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C:\Users\tdayton\Desktop\"/>
    </mc:Choice>
  </mc:AlternateContent>
  <xr:revisionPtr revIDLastSave="0" documentId="13_ncr:1_{D7E3A3F2-0C42-4568-B97D-F1F4672C4A5D}" xr6:coauthVersionLast="47" xr6:coauthVersionMax="47" xr10:uidLastSave="{00000000-0000-0000-0000-000000000000}"/>
  <bookViews>
    <workbookView xWindow="-110" yWindow="-110" windowWidth="38620" windowHeight="21100" xr2:uid="{00000000-000D-0000-FFFF-FFFF00000000}"/>
  </bookViews>
  <sheets>
    <sheet name="Sheet1" sheetId="1" r:id="rId1"/>
  </sheets>
  <definedNames>
    <definedName name="_xlnm._FilterDatabase" localSheetId="0" hidden="1">Sheet1!$A$2:$AN$32937</definedName>
    <definedName name="conf">#REF!</definedName>
    <definedName name="data">Sheet1!$A$2:$AN$8499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499" i="1" l="1"/>
  <c r="A8498" i="1"/>
  <c r="A8497" i="1"/>
  <c r="A8496" i="1"/>
  <c r="A8495" i="1"/>
  <c r="A8494" i="1"/>
  <c r="A8493" i="1"/>
  <c r="A8492" i="1"/>
  <c r="A8491" i="1"/>
  <c r="A8490" i="1"/>
  <c r="A8489" i="1"/>
  <c r="A8488" i="1"/>
  <c r="A8487" i="1"/>
  <c r="A8486" i="1"/>
  <c r="A8485" i="1"/>
  <c r="A8484" i="1"/>
  <c r="A8483" i="1"/>
  <c r="A8482" i="1"/>
  <c r="A8481" i="1"/>
  <c r="A8480" i="1"/>
  <c r="A8479" i="1"/>
  <c r="A8478" i="1"/>
  <c r="A8477" i="1"/>
  <c r="A8476" i="1"/>
  <c r="A8475" i="1"/>
  <c r="A8474" i="1"/>
  <c r="A8473" i="1"/>
  <c r="A8472" i="1"/>
  <c r="A8471" i="1"/>
  <c r="A8470" i="1"/>
  <c r="A8469" i="1"/>
  <c r="A8468" i="1"/>
  <c r="A8467" i="1"/>
  <c r="A8466" i="1"/>
  <c r="A8465" i="1"/>
  <c r="A8464" i="1"/>
  <c r="A8463" i="1"/>
  <c r="A8462" i="1"/>
  <c r="A8461" i="1"/>
  <c r="A8460" i="1"/>
  <c r="A8459" i="1"/>
  <c r="A8458" i="1"/>
  <c r="A8457" i="1"/>
  <c r="A8456" i="1"/>
  <c r="A8455" i="1"/>
  <c r="A8454" i="1"/>
  <c r="A8453" i="1"/>
  <c r="A8452" i="1"/>
  <c r="A8451" i="1"/>
  <c r="A8450" i="1"/>
  <c r="A8449" i="1"/>
  <c r="A8448" i="1"/>
  <c r="A8447" i="1"/>
  <c r="A8446" i="1"/>
  <c r="A8445" i="1"/>
  <c r="A8444" i="1"/>
  <c r="A8443" i="1"/>
  <c r="A8442" i="1"/>
  <c r="A8441" i="1"/>
  <c r="A8440" i="1"/>
  <c r="A8439" i="1"/>
  <c r="A8438" i="1"/>
  <c r="A8437" i="1"/>
  <c r="A8436" i="1"/>
  <c r="A8435" i="1"/>
  <c r="A8434" i="1"/>
  <c r="A8433" i="1"/>
  <c r="A8432" i="1"/>
  <c r="A8431" i="1"/>
  <c r="A8430" i="1"/>
  <c r="A8429" i="1"/>
  <c r="A8428" i="1"/>
  <c r="A8427" i="1"/>
  <c r="A8426" i="1"/>
  <c r="A8425" i="1"/>
  <c r="A8424" i="1"/>
  <c r="A8423" i="1"/>
  <c r="A8422" i="1"/>
  <c r="A8421" i="1"/>
  <c r="A8420" i="1"/>
  <c r="A8419" i="1"/>
  <c r="A8418" i="1"/>
  <c r="A8417" i="1"/>
  <c r="A8416" i="1"/>
  <c r="A8415" i="1"/>
  <c r="A8414" i="1"/>
  <c r="A8413" i="1"/>
  <c r="A8412" i="1"/>
  <c r="A8411" i="1"/>
  <c r="A8410" i="1"/>
  <c r="A8409" i="1"/>
  <c r="A8408" i="1"/>
  <c r="A8407" i="1"/>
  <c r="A8406" i="1"/>
  <c r="A8405" i="1"/>
  <c r="A8404" i="1"/>
  <c r="A8403" i="1"/>
  <c r="A8402" i="1"/>
  <c r="A8401" i="1"/>
  <c r="A8400" i="1"/>
  <c r="A8399" i="1"/>
  <c r="A8398" i="1"/>
  <c r="A8397" i="1"/>
  <c r="A8396" i="1"/>
  <c r="A8395" i="1"/>
  <c r="A8394" i="1"/>
  <c r="A8393" i="1"/>
  <c r="A8392" i="1"/>
  <c r="A8391" i="1"/>
  <c r="A8390" i="1"/>
  <c r="A8389" i="1"/>
  <c r="A8388" i="1"/>
  <c r="A8387" i="1"/>
  <c r="A8386" i="1"/>
  <c r="A8385" i="1"/>
  <c r="A8384" i="1"/>
  <c r="A8383" i="1"/>
  <c r="A8382" i="1"/>
  <c r="A8381" i="1"/>
  <c r="A8380" i="1"/>
  <c r="A8379" i="1"/>
  <c r="A8378" i="1"/>
  <c r="A8377" i="1"/>
  <c r="A8376" i="1"/>
  <c r="A8375" i="1"/>
  <c r="A8374" i="1"/>
  <c r="A8373" i="1"/>
  <c r="A8372" i="1"/>
  <c r="A8371" i="1"/>
  <c r="A8370" i="1"/>
  <c r="A8369" i="1"/>
  <c r="A8368" i="1"/>
  <c r="A8367" i="1"/>
  <c r="A8366" i="1"/>
  <c r="A8365" i="1"/>
  <c r="A8364" i="1"/>
  <c r="A8363" i="1"/>
  <c r="A8362" i="1"/>
  <c r="A8361" i="1"/>
  <c r="A8360" i="1"/>
  <c r="A8359" i="1"/>
  <c r="A8358" i="1"/>
  <c r="A8357" i="1"/>
  <c r="A8356" i="1"/>
  <c r="A8355" i="1"/>
  <c r="A8354" i="1"/>
  <c r="A8353" i="1"/>
  <c r="A8352" i="1"/>
  <c r="A8351" i="1"/>
  <c r="A8350" i="1"/>
  <c r="A8349" i="1"/>
  <c r="A8348" i="1"/>
  <c r="A8347" i="1"/>
  <c r="A8346" i="1"/>
  <c r="A8345" i="1"/>
  <c r="A8344" i="1"/>
  <c r="A8343" i="1"/>
  <c r="A8342" i="1"/>
  <c r="A8341" i="1"/>
  <c r="A8340" i="1"/>
  <c r="A8339" i="1"/>
  <c r="A8338" i="1"/>
  <c r="A8337" i="1"/>
  <c r="A8336" i="1"/>
  <c r="A8335" i="1"/>
  <c r="A8334" i="1"/>
  <c r="A8333" i="1"/>
  <c r="A8332" i="1"/>
  <c r="A8331" i="1"/>
  <c r="A8330" i="1"/>
  <c r="A8329" i="1"/>
  <c r="A8328" i="1"/>
  <c r="A8327" i="1"/>
  <c r="A8326" i="1"/>
  <c r="A8325" i="1"/>
  <c r="A8324" i="1"/>
  <c r="A8323" i="1"/>
  <c r="A8322" i="1"/>
  <c r="A8321" i="1"/>
  <c r="A8320" i="1"/>
  <c r="A8319" i="1"/>
  <c r="A8318" i="1"/>
  <c r="A8317" i="1"/>
  <c r="A8316" i="1"/>
  <c r="A8315" i="1"/>
  <c r="A8314" i="1"/>
  <c r="A8313" i="1"/>
  <c r="A8312" i="1"/>
  <c r="A8311" i="1"/>
  <c r="A8310" i="1"/>
  <c r="A8309" i="1"/>
  <c r="A8308" i="1"/>
  <c r="A8307" i="1"/>
  <c r="A8306" i="1"/>
  <c r="A8305" i="1"/>
  <c r="A8304" i="1"/>
  <c r="A8303" i="1"/>
  <c r="A8302" i="1"/>
  <c r="A8301" i="1"/>
  <c r="A8300" i="1"/>
  <c r="A8299" i="1"/>
  <c r="A8298" i="1"/>
  <c r="A8297" i="1"/>
  <c r="A8296" i="1"/>
  <c r="A8295" i="1"/>
  <c r="A8294" i="1"/>
  <c r="A8293" i="1"/>
  <c r="A8292" i="1"/>
  <c r="A8291" i="1"/>
  <c r="A8290" i="1"/>
  <c r="A8289" i="1"/>
  <c r="A8288" i="1"/>
  <c r="A8287" i="1"/>
  <c r="A8286" i="1"/>
  <c r="A8285" i="1"/>
  <c r="A8284" i="1"/>
  <c r="A8283" i="1"/>
  <c r="A8282" i="1"/>
  <c r="A8281" i="1"/>
  <c r="A8280" i="1"/>
  <c r="A8279" i="1"/>
  <c r="A8278" i="1"/>
  <c r="A8277" i="1"/>
  <c r="A8276" i="1"/>
  <c r="A8275" i="1"/>
  <c r="A8274" i="1"/>
  <c r="A8273" i="1"/>
  <c r="A8272" i="1"/>
  <c r="A8271" i="1"/>
  <c r="A8270" i="1"/>
  <c r="A8269" i="1"/>
  <c r="A8268" i="1"/>
  <c r="A8267" i="1"/>
  <c r="A8266" i="1"/>
  <c r="A8265" i="1"/>
  <c r="A8264" i="1"/>
  <c r="A8263" i="1"/>
  <c r="A8262" i="1"/>
  <c r="A8261" i="1"/>
  <c r="A8260" i="1"/>
  <c r="A8259" i="1"/>
  <c r="A8258" i="1"/>
  <c r="A8257" i="1"/>
  <c r="A8256" i="1"/>
  <c r="A8255" i="1"/>
  <c r="A8254" i="1"/>
  <c r="A8253" i="1"/>
  <c r="A8252" i="1"/>
  <c r="A8251" i="1"/>
  <c r="A8250" i="1"/>
  <c r="A8249" i="1"/>
  <c r="A8248" i="1"/>
  <c r="A8247" i="1"/>
  <c r="A8246" i="1"/>
  <c r="A8245" i="1"/>
  <c r="A8244" i="1"/>
  <c r="A8243" i="1"/>
  <c r="A8242" i="1"/>
  <c r="A8241" i="1"/>
  <c r="A8240" i="1"/>
  <c r="A8239" i="1"/>
  <c r="A8238" i="1"/>
  <c r="A8237" i="1"/>
  <c r="A8236" i="1"/>
  <c r="A8235" i="1"/>
  <c r="A8234" i="1"/>
  <c r="A8233" i="1"/>
  <c r="A8232" i="1"/>
  <c r="A8231" i="1"/>
  <c r="A8230" i="1"/>
  <c r="A8229" i="1"/>
  <c r="A8228" i="1"/>
  <c r="A8227" i="1"/>
  <c r="A8226" i="1"/>
  <c r="A8225" i="1"/>
  <c r="A8224" i="1"/>
  <c r="A8223" i="1"/>
  <c r="A8222" i="1"/>
  <c r="A8221" i="1"/>
  <c r="A8220" i="1"/>
  <c r="A8219" i="1"/>
  <c r="A8218" i="1"/>
  <c r="A8217" i="1"/>
  <c r="A8216" i="1"/>
  <c r="A8215" i="1"/>
  <c r="A8214" i="1"/>
  <c r="A8213" i="1"/>
  <c r="A8212" i="1"/>
  <c r="A8211" i="1"/>
  <c r="A8210" i="1"/>
  <c r="A8209" i="1"/>
  <c r="A8208" i="1"/>
  <c r="A8207" i="1"/>
  <c r="A8206" i="1"/>
  <c r="A8205" i="1"/>
  <c r="A8204" i="1"/>
  <c r="A8203" i="1"/>
  <c r="A8202" i="1"/>
  <c r="A8201" i="1"/>
  <c r="A8200" i="1"/>
  <c r="A8199" i="1"/>
  <c r="A8198" i="1"/>
  <c r="A8197" i="1"/>
  <c r="A8196" i="1"/>
  <c r="A8195" i="1"/>
  <c r="A8194" i="1"/>
  <c r="A8193" i="1"/>
  <c r="A8192" i="1"/>
  <c r="A8191" i="1"/>
  <c r="A8190" i="1"/>
  <c r="A8189" i="1"/>
  <c r="A8188" i="1"/>
  <c r="A8187" i="1"/>
  <c r="A8186" i="1"/>
  <c r="A8185" i="1"/>
  <c r="A8184" i="1"/>
  <c r="A8183" i="1"/>
  <c r="A8182" i="1"/>
  <c r="A8181" i="1"/>
  <c r="A8180" i="1"/>
  <c r="A8179" i="1"/>
  <c r="A8178" i="1"/>
  <c r="A8177" i="1"/>
  <c r="A8176" i="1"/>
  <c r="A8175" i="1"/>
  <c r="A8174" i="1"/>
  <c r="A8173" i="1"/>
  <c r="A8172" i="1"/>
  <c r="A8171" i="1"/>
  <c r="A8170" i="1"/>
  <c r="A8169" i="1"/>
  <c r="A8168" i="1"/>
  <c r="A8167" i="1"/>
  <c r="A8166" i="1"/>
  <c r="A8165" i="1"/>
  <c r="A8164" i="1"/>
  <c r="A8163" i="1"/>
  <c r="A8162" i="1"/>
  <c r="A8161" i="1"/>
  <c r="A8160" i="1"/>
  <c r="A8159" i="1"/>
  <c r="A8158" i="1"/>
  <c r="A8157" i="1"/>
  <c r="A8156" i="1"/>
  <c r="A8155" i="1"/>
  <c r="A8154" i="1"/>
  <c r="A8153" i="1"/>
  <c r="A8152" i="1"/>
  <c r="A8151" i="1"/>
  <c r="A8150" i="1"/>
  <c r="A8149" i="1"/>
  <c r="A8148" i="1"/>
  <c r="A8147" i="1"/>
  <c r="A8146" i="1"/>
  <c r="A8145" i="1"/>
  <c r="A8144" i="1"/>
  <c r="A8143" i="1"/>
  <c r="A8142" i="1"/>
  <c r="A8141" i="1"/>
  <c r="A8140" i="1"/>
  <c r="A8139" i="1"/>
  <c r="A8138" i="1"/>
  <c r="A8137" i="1"/>
  <c r="A8136" i="1"/>
  <c r="A8135" i="1"/>
  <c r="A8134" i="1"/>
  <c r="A8133" i="1"/>
  <c r="A8132" i="1"/>
  <c r="A8131" i="1"/>
  <c r="A8130" i="1"/>
  <c r="A8129" i="1"/>
  <c r="A8128" i="1"/>
  <c r="A8127" i="1"/>
  <c r="A8126" i="1"/>
  <c r="A8125" i="1"/>
  <c r="A8124" i="1"/>
  <c r="A8123" i="1"/>
  <c r="A8122" i="1"/>
  <c r="A8121" i="1"/>
  <c r="A8120" i="1"/>
  <c r="A8119" i="1"/>
  <c r="A8118" i="1"/>
  <c r="A8117" i="1"/>
  <c r="A8116" i="1"/>
  <c r="A8115" i="1"/>
  <c r="A8114" i="1"/>
  <c r="A8113" i="1"/>
  <c r="A8112" i="1"/>
  <c r="A8111" i="1"/>
  <c r="A8110" i="1"/>
  <c r="A8109" i="1"/>
  <c r="A8108" i="1"/>
  <c r="A8107" i="1"/>
  <c r="A8106" i="1"/>
  <c r="A8105" i="1"/>
  <c r="A8104" i="1"/>
  <c r="A8103" i="1"/>
  <c r="A8102" i="1"/>
  <c r="A8101" i="1"/>
  <c r="A8100" i="1"/>
  <c r="A8099" i="1"/>
  <c r="A8098" i="1"/>
  <c r="A8097" i="1"/>
  <c r="A8096" i="1"/>
  <c r="A8095" i="1"/>
  <c r="A8094" i="1"/>
  <c r="A8093" i="1"/>
  <c r="A8092" i="1"/>
  <c r="A8091" i="1"/>
  <c r="A8090" i="1"/>
  <c r="A8089" i="1"/>
  <c r="A8088" i="1"/>
  <c r="A8087" i="1"/>
  <c r="A8086" i="1"/>
  <c r="A8085" i="1"/>
  <c r="A8084" i="1"/>
  <c r="A8083" i="1"/>
  <c r="A8082" i="1"/>
  <c r="A8081" i="1"/>
  <c r="A8080" i="1"/>
  <c r="A8079" i="1"/>
  <c r="A8078" i="1"/>
  <c r="A8077" i="1"/>
  <c r="A8076" i="1"/>
  <c r="A8075" i="1"/>
  <c r="A8074" i="1"/>
  <c r="A8073" i="1"/>
  <c r="A8072" i="1"/>
  <c r="A8071" i="1"/>
  <c r="A8070" i="1"/>
  <c r="A8069" i="1"/>
  <c r="A8068" i="1"/>
  <c r="A8067" i="1"/>
  <c r="A8066" i="1"/>
  <c r="A8065" i="1"/>
  <c r="A8064" i="1"/>
  <c r="A8063" i="1"/>
  <c r="A8062" i="1"/>
  <c r="A8061" i="1"/>
  <c r="A8060" i="1"/>
  <c r="A8059" i="1"/>
  <c r="A8058" i="1"/>
  <c r="A8057" i="1"/>
  <c r="A8056" i="1"/>
  <c r="A8055" i="1"/>
  <c r="A8054" i="1"/>
  <c r="A8053" i="1"/>
  <c r="A8052" i="1"/>
  <c r="A8051" i="1"/>
  <c r="A8050" i="1"/>
  <c r="A8049" i="1"/>
  <c r="A8048" i="1"/>
  <c r="A8047" i="1"/>
  <c r="A8046" i="1"/>
  <c r="A8045" i="1"/>
  <c r="A8044" i="1"/>
  <c r="A8043" i="1"/>
  <c r="A8042" i="1"/>
  <c r="A8041" i="1"/>
  <c r="A8040" i="1"/>
  <c r="A8039" i="1"/>
  <c r="A8038" i="1"/>
  <c r="A8037" i="1"/>
  <c r="A8036" i="1"/>
  <c r="A8035" i="1"/>
  <c r="A8034" i="1"/>
  <c r="A8033" i="1"/>
  <c r="A8032" i="1"/>
  <c r="A8031" i="1"/>
  <c r="A8030" i="1"/>
  <c r="A8029" i="1"/>
  <c r="A8028" i="1"/>
  <c r="A8027" i="1"/>
  <c r="A8026" i="1"/>
  <c r="A8025" i="1"/>
  <c r="A8024" i="1"/>
  <c r="A8023" i="1"/>
  <c r="A8022" i="1"/>
  <c r="A8021" i="1"/>
  <c r="A8020" i="1"/>
  <c r="A8019" i="1"/>
  <c r="A8018" i="1"/>
  <c r="A8017" i="1"/>
  <c r="A8016" i="1"/>
  <c r="A8015" i="1"/>
  <c r="A8014" i="1"/>
  <c r="A8013" i="1"/>
  <c r="A8012" i="1"/>
  <c r="A8011" i="1"/>
  <c r="A8010" i="1"/>
  <c r="A8009" i="1"/>
  <c r="A8008" i="1"/>
  <c r="A8007" i="1"/>
  <c r="A8006" i="1"/>
  <c r="A8005" i="1"/>
  <c r="A8004" i="1"/>
  <c r="A8003" i="1"/>
  <c r="A8002" i="1"/>
  <c r="A8001" i="1"/>
  <c r="A8000" i="1"/>
  <c r="A7999" i="1"/>
  <c r="A7998" i="1"/>
  <c r="A7997" i="1"/>
  <c r="A7996" i="1"/>
  <c r="A7995" i="1"/>
  <c r="A7994" i="1"/>
  <c r="A7993" i="1"/>
  <c r="A7992" i="1"/>
  <c r="A7991" i="1"/>
  <c r="A7990" i="1"/>
  <c r="A7989" i="1"/>
  <c r="A7988" i="1"/>
  <c r="A7987" i="1"/>
  <c r="A7986" i="1"/>
  <c r="A7985" i="1"/>
  <c r="A7984" i="1"/>
  <c r="A7983" i="1"/>
  <c r="A7982" i="1"/>
  <c r="A7981" i="1"/>
  <c r="A7980" i="1"/>
  <c r="A7979" i="1"/>
  <c r="A7978" i="1"/>
  <c r="A7977" i="1"/>
  <c r="A7976" i="1"/>
  <c r="A7975" i="1"/>
  <c r="A7974" i="1"/>
  <c r="A7973" i="1"/>
  <c r="A7972" i="1"/>
  <c r="A7971" i="1"/>
  <c r="A7970" i="1"/>
  <c r="A7969" i="1"/>
  <c r="A7968" i="1"/>
  <c r="A7967" i="1"/>
  <c r="A7966" i="1"/>
  <c r="A7965" i="1"/>
  <c r="A7964" i="1"/>
  <c r="A7963" i="1"/>
  <c r="A7962" i="1"/>
  <c r="A7961" i="1"/>
  <c r="A7960" i="1"/>
  <c r="A7959" i="1"/>
  <c r="A7958" i="1"/>
  <c r="A7957" i="1"/>
  <c r="A7956" i="1"/>
  <c r="A7955" i="1"/>
  <c r="A7954" i="1"/>
  <c r="A7953" i="1"/>
  <c r="A7952" i="1"/>
  <c r="A7951" i="1"/>
  <c r="A7950" i="1"/>
  <c r="A7949" i="1"/>
  <c r="A7948" i="1"/>
  <c r="A7947" i="1"/>
  <c r="A7946" i="1"/>
  <c r="A7945" i="1"/>
  <c r="A7944" i="1"/>
  <c r="A7943" i="1"/>
  <c r="A7942" i="1"/>
  <c r="A7941" i="1"/>
  <c r="A7940" i="1"/>
  <c r="A7939" i="1"/>
  <c r="A7938" i="1"/>
  <c r="A7937" i="1"/>
  <c r="A7936" i="1"/>
  <c r="A7935" i="1"/>
  <c r="A7934" i="1"/>
  <c r="A7933" i="1"/>
  <c r="A7932" i="1"/>
  <c r="A7931" i="1"/>
  <c r="A7930" i="1"/>
  <c r="A7929" i="1"/>
  <c r="A7928" i="1"/>
  <c r="A7927" i="1"/>
  <c r="A7926" i="1"/>
  <c r="A7925" i="1"/>
  <c r="A7924" i="1"/>
  <c r="A7923" i="1"/>
  <c r="A7922" i="1"/>
  <c r="A7921" i="1"/>
  <c r="A7920" i="1"/>
  <c r="A7919" i="1"/>
  <c r="A7918" i="1"/>
  <c r="A7917" i="1"/>
  <c r="A7916" i="1"/>
  <c r="A7915" i="1"/>
  <c r="A7914" i="1"/>
  <c r="A7913" i="1"/>
  <c r="A7912" i="1"/>
  <c r="A7911" i="1"/>
  <c r="A7910" i="1"/>
  <c r="A7909" i="1"/>
  <c r="A7908" i="1"/>
  <c r="A7907" i="1"/>
  <c r="A7906" i="1"/>
  <c r="A7905" i="1"/>
  <c r="A7904" i="1"/>
  <c r="A7903" i="1"/>
  <c r="A7902" i="1"/>
  <c r="A7901" i="1"/>
  <c r="A7900" i="1"/>
  <c r="A7899" i="1"/>
  <c r="A7898" i="1"/>
  <c r="A7897" i="1"/>
  <c r="A7896" i="1"/>
  <c r="A7895" i="1"/>
  <c r="A7894" i="1"/>
  <c r="A7893" i="1"/>
  <c r="A7892" i="1"/>
  <c r="A7891" i="1"/>
  <c r="A7890" i="1"/>
  <c r="A7889" i="1"/>
  <c r="A7888" i="1"/>
  <c r="A7887" i="1"/>
  <c r="A7886" i="1"/>
  <c r="A7885" i="1"/>
  <c r="A7884" i="1"/>
  <c r="A7883" i="1"/>
  <c r="A7882" i="1"/>
  <c r="A7881" i="1"/>
  <c r="A7880" i="1"/>
  <c r="A7879" i="1"/>
  <c r="A7878" i="1"/>
  <c r="A7877" i="1"/>
  <c r="A7876" i="1"/>
  <c r="A7875" i="1"/>
  <c r="A7874" i="1"/>
  <c r="A7873" i="1"/>
  <c r="A7872" i="1"/>
  <c r="A7871" i="1"/>
  <c r="A7870" i="1"/>
  <c r="A7869" i="1"/>
  <c r="A7868" i="1"/>
  <c r="A7867" i="1"/>
  <c r="A7866" i="1"/>
  <c r="A7865" i="1"/>
  <c r="A7864" i="1"/>
  <c r="A7863" i="1"/>
  <c r="A7862" i="1"/>
  <c r="A7861" i="1"/>
  <c r="A7860" i="1"/>
  <c r="A7859" i="1"/>
  <c r="A7858" i="1"/>
  <c r="A7857" i="1"/>
  <c r="A7856" i="1"/>
  <c r="A7855" i="1"/>
  <c r="A7854" i="1"/>
  <c r="A7853" i="1"/>
  <c r="A7852" i="1"/>
  <c r="A7851" i="1"/>
  <c r="A7850" i="1"/>
  <c r="A7849" i="1"/>
  <c r="A7848" i="1"/>
  <c r="A7847" i="1"/>
  <c r="A7846" i="1"/>
  <c r="A7845" i="1"/>
  <c r="A7844" i="1"/>
  <c r="A7843" i="1"/>
  <c r="A7842" i="1"/>
  <c r="A7841" i="1"/>
  <c r="A7840" i="1"/>
  <c r="A7839" i="1"/>
  <c r="A7838" i="1"/>
  <c r="A7837" i="1"/>
  <c r="A7836" i="1"/>
  <c r="A7835" i="1"/>
  <c r="A7834" i="1"/>
  <c r="A7833" i="1"/>
  <c r="A7832" i="1"/>
  <c r="A7831" i="1"/>
  <c r="A7830" i="1"/>
  <c r="A7829" i="1"/>
  <c r="A7828" i="1"/>
  <c r="A7827" i="1"/>
  <c r="A7826" i="1"/>
  <c r="A7825" i="1"/>
  <c r="A7824" i="1"/>
  <c r="A7823" i="1"/>
  <c r="A7822" i="1"/>
  <c r="A7821" i="1"/>
  <c r="A7820" i="1"/>
  <c r="A7819" i="1"/>
  <c r="A7818" i="1"/>
  <c r="A7817" i="1"/>
  <c r="A7816" i="1"/>
  <c r="A7815" i="1"/>
  <c r="A7814" i="1"/>
  <c r="A7813" i="1"/>
  <c r="A7812" i="1"/>
  <c r="A7811" i="1"/>
  <c r="A7810" i="1"/>
  <c r="A7809" i="1"/>
  <c r="A7808" i="1"/>
  <c r="A7807" i="1"/>
  <c r="A7806" i="1"/>
  <c r="A7805" i="1"/>
  <c r="A7804" i="1"/>
  <c r="A7803" i="1"/>
  <c r="A7802" i="1"/>
  <c r="A7801" i="1"/>
  <c r="A7800" i="1"/>
  <c r="A7799" i="1"/>
  <c r="A7798" i="1"/>
  <c r="A7797" i="1"/>
  <c r="A7796" i="1"/>
  <c r="A7795" i="1"/>
  <c r="A7794" i="1"/>
  <c r="A7793" i="1"/>
  <c r="A7792" i="1"/>
  <c r="A7791" i="1"/>
  <c r="A7790" i="1"/>
  <c r="A7789" i="1"/>
  <c r="A7788" i="1"/>
  <c r="A7787" i="1"/>
  <c r="A7786" i="1"/>
  <c r="A7785" i="1"/>
  <c r="A7784" i="1"/>
  <c r="A7783" i="1"/>
  <c r="A7782" i="1"/>
  <c r="A7781" i="1"/>
  <c r="A7780" i="1"/>
  <c r="A7779" i="1"/>
  <c r="A7778" i="1"/>
  <c r="A7777" i="1"/>
  <c r="A7776" i="1"/>
  <c r="A7775" i="1"/>
  <c r="A7774" i="1"/>
  <c r="A7773" i="1"/>
  <c r="A7772" i="1"/>
  <c r="A7771" i="1"/>
  <c r="A7770" i="1"/>
  <c r="A7769" i="1"/>
  <c r="A7768" i="1"/>
  <c r="A7767" i="1"/>
  <c r="A7766" i="1"/>
  <c r="A7765" i="1"/>
  <c r="A7764" i="1"/>
  <c r="A7763" i="1"/>
  <c r="A7762" i="1"/>
  <c r="A7761" i="1"/>
  <c r="A7760" i="1"/>
  <c r="A7759" i="1"/>
  <c r="A7758" i="1"/>
  <c r="A7757" i="1"/>
  <c r="A7756" i="1"/>
  <c r="A7755" i="1"/>
  <c r="A7754" i="1"/>
  <c r="A7753" i="1"/>
  <c r="A7752" i="1"/>
  <c r="A7751" i="1"/>
  <c r="A7750" i="1"/>
  <c r="A7749" i="1"/>
  <c r="A7748" i="1"/>
  <c r="A7747" i="1"/>
  <c r="A7746" i="1"/>
  <c r="A7745" i="1"/>
  <c r="A7744" i="1"/>
  <c r="A7743" i="1"/>
  <c r="A7742" i="1"/>
  <c r="A7741" i="1"/>
  <c r="A7740" i="1"/>
  <c r="A7739" i="1"/>
  <c r="A7738" i="1"/>
  <c r="A7737" i="1"/>
  <c r="A7736" i="1"/>
  <c r="A7735" i="1"/>
  <c r="A7734" i="1"/>
  <c r="A7733" i="1"/>
  <c r="A7732" i="1"/>
  <c r="A7731" i="1"/>
  <c r="A7730" i="1"/>
  <c r="A7729" i="1"/>
  <c r="A7728" i="1"/>
  <c r="A7727" i="1"/>
  <c r="A7726" i="1"/>
  <c r="A7725" i="1"/>
  <c r="A7724" i="1"/>
  <c r="A7723" i="1"/>
  <c r="A7722" i="1"/>
  <c r="A7721" i="1"/>
  <c r="A7720" i="1"/>
  <c r="A7719" i="1"/>
  <c r="A7718" i="1"/>
  <c r="A7717" i="1"/>
  <c r="A7716" i="1"/>
  <c r="A7715" i="1"/>
  <c r="A7714" i="1"/>
  <c r="A7713" i="1"/>
  <c r="A7712" i="1"/>
  <c r="A7711" i="1"/>
  <c r="A7710" i="1"/>
  <c r="A7709" i="1"/>
  <c r="A7708" i="1"/>
  <c r="A7707" i="1"/>
  <c r="A7706" i="1"/>
  <c r="A7705" i="1"/>
  <c r="A7704" i="1"/>
  <c r="A7703" i="1"/>
  <c r="A7702" i="1"/>
  <c r="A7701" i="1"/>
  <c r="A7700" i="1"/>
  <c r="A7699" i="1"/>
  <c r="A7698" i="1"/>
  <c r="A7697" i="1"/>
  <c r="A7696" i="1"/>
  <c r="A7695" i="1"/>
  <c r="A7694" i="1"/>
  <c r="A7693" i="1"/>
  <c r="A7692" i="1"/>
  <c r="A7691" i="1"/>
  <c r="A7690" i="1"/>
  <c r="A7689" i="1"/>
  <c r="A7688" i="1"/>
  <c r="A7687" i="1"/>
  <c r="A7686" i="1"/>
  <c r="A7685" i="1"/>
  <c r="A7684" i="1"/>
  <c r="A7683" i="1"/>
  <c r="A7682" i="1"/>
  <c r="A7681" i="1"/>
  <c r="A7680" i="1"/>
  <c r="A7679" i="1"/>
  <c r="A7678" i="1"/>
  <c r="A7677" i="1"/>
  <c r="A7676" i="1"/>
  <c r="A7675" i="1"/>
  <c r="A7674" i="1"/>
  <c r="A7673" i="1"/>
  <c r="A7672" i="1"/>
  <c r="A7671" i="1"/>
  <c r="A7670" i="1"/>
  <c r="A7669" i="1"/>
  <c r="A7668" i="1"/>
  <c r="A7667" i="1"/>
  <c r="A7666" i="1"/>
  <c r="A7665" i="1"/>
  <c r="A7664" i="1"/>
  <c r="A7663" i="1"/>
  <c r="A7662" i="1"/>
  <c r="A7661" i="1"/>
  <c r="A7660" i="1"/>
  <c r="A7659" i="1"/>
  <c r="A7658" i="1"/>
  <c r="A7657" i="1"/>
  <c r="A7656" i="1"/>
  <c r="A7655" i="1"/>
  <c r="A7654" i="1"/>
  <c r="A7653" i="1"/>
  <c r="A7652" i="1"/>
  <c r="A7651" i="1"/>
  <c r="A7650" i="1"/>
  <c r="A7649" i="1"/>
  <c r="A7648" i="1"/>
  <c r="A7647" i="1"/>
  <c r="A7646" i="1"/>
  <c r="A7645" i="1"/>
  <c r="A7644" i="1"/>
  <c r="A7643" i="1"/>
  <c r="A7642" i="1"/>
  <c r="A7641" i="1"/>
  <c r="A7640" i="1"/>
  <c r="A7639" i="1"/>
  <c r="A7638" i="1"/>
  <c r="A7637" i="1"/>
  <c r="A7636" i="1"/>
  <c r="A7635" i="1"/>
  <c r="A7634" i="1"/>
  <c r="A7633" i="1"/>
  <c r="A7632" i="1"/>
  <c r="A7631" i="1"/>
  <c r="A7630" i="1"/>
  <c r="A7629" i="1"/>
  <c r="A7628" i="1"/>
  <c r="A7627" i="1"/>
  <c r="A7626" i="1"/>
  <c r="A7625" i="1"/>
  <c r="A7624" i="1"/>
  <c r="A7623" i="1"/>
  <c r="A7622" i="1"/>
  <c r="A7621" i="1"/>
  <c r="A7620" i="1"/>
  <c r="A7619" i="1"/>
  <c r="A7618" i="1"/>
  <c r="A7617" i="1"/>
  <c r="A7616" i="1"/>
  <c r="A7615" i="1"/>
  <c r="A7614" i="1"/>
  <c r="A7613" i="1"/>
  <c r="A7612" i="1"/>
  <c r="A7611" i="1"/>
  <c r="A7610" i="1"/>
  <c r="A7609" i="1"/>
  <c r="A7608" i="1"/>
  <c r="A7607" i="1"/>
  <c r="A7606" i="1"/>
  <c r="A7605" i="1"/>
  <c r="A7604" i="1"/>
  <c r="A7603" i="1"/>
  <c r="A7602" i="1"/>
  <c r="A7601" i="1"/>
  <c r="A7600" i="1"/>
  <c r="A7599" i="1"/>
  <c r="A7598" i="1"/>
  <c r="A7597" i="1"/>
  <c r="A7596" i="1"/>
  <c r="A7595" i="1"/>
  <c r="A7594" i="1"/>
  <c r="A7593" i="1"/>
  <c r="A7592" i="1"/>
  <c r="A7591" i="1"/>
  <c r="A7590" i="1"/>
  <c r="A7589" i="1"/>
  <c r="A7588" i="1"/>
  <c r="A7587" i="1"/>
  <c r="A7586" i="1"/>
  <c r="A7585" i="1"/>
  <c r="A7584" i="1"/>
  <c r="A7583" i="1"/>
  <c r="A7582" i="1"/>
  <c r="A7581" i="1"/>
  <c r="A7580" i="1"/>
  <c r="A7579" i="1"/>
  <c r="A7578" i="1"/>
  <c r="A7577" i="1"/>
  <c r="A7576" i="1"/>
  <c r="A7575" i="1"/>
  <c r="A7574" i="1"/>
  <c r="A7573" i="1"/>
  <c r="A7572" i="1"/>
  <c r="A7571" i="1"/>
  <c r="A7570" i="1"/>
  <c r="A7569" i="1"/>
  <c r="A7568" i="1"/>
  <c r="A7567" i="1"/>
  <c r="A7566" i="1"/>
  <c r="A7565" i="1"/>
  <c r="A7564" i="1"/>
  <c r="A7563" i="1"/>
  <c r="A7562" i="1"/>
  <c r="A7561" i="1"/>
  <c r="A7560" i="1"/>
  <c r="A7559" i="1"/>
  <c r="A7558" i="1"/>
  <c r="A7557" i="1"/>
  <c r="A7556" i="1"/>
  <c r="A7555" i="1"/>
  <c r="A7554" i="1"/>
  <c r="A7553" i="1"/>
  <c r="A7552" i="1"/>
  <c r="A7551" i="1"/>
  <c r="A7550" i="1"/>
  <c r="A7549" i="1"/>
  <c r="A7548" i="1"/>
  <c r="A7547" i="1"/>
  <c r="A7546" i="1"/>
  <c r="A7545" i="1"/>
  <c r="A7544" i="1"/>
  <c r="A7543" i="1"/>
  <c r="A7542" i="1"/>
  <c r="A7541" i="1"/>
  <c r="A7540" i="1"/>
  <c r="A7539" i="1"/>
  <c r="A7538" i="1"/>
  <c r="A7537" i="1"/>
  <c r="A7536" i="1"/>
  <c r="A7535" i="1"/>
  <c r="A7534" i="1"/>
  <c r="A7533" i="1"/>
  <c r="A7532" i="1"/>
  <c r="A7531" i="1"/>
  <c r="A7530" i="1"/>
  <c r="A7529" i="1"/>
  <c r="A7528" i="1"/>
  <c r="A7527" i="1"/>
  <c r="A7526" i="1"/>
  <c r="A7525" i="1"/>
  <c r="A7524" i="1"/>
  <c r="A7523" i="1"/>
  <c r="A7522" i="1"/>
  <c r="A7521" i="1"/>
  <c r="A7520" i="1"/>
  <c r="A7519" i="1"/>
  <c r="A7518" i="1"/>
  <c r="A7517" i="1"/>
  <c r="A7516" i="1"/>
  <c r="A7515" i="1"/>
  <c r="A7514" i="1"/>
  <c r="A7513" i="1"/>
  <c r="A7512" i="1"/>
  <c r="A7511" i="1"/>
  <c r="A7510" i="1"/>
  <c r="A7509" i="1"/>
  <c r="A7508" i="1"/>
  <c r="A7507" i="1"/>
  <c r="A7506" i="1"/>
  <c r="A7505" i="1"/>
  <c r="A7504" i="1"/>
  <c r="A7503" i="1"/>
  <c r="A7502" i="1"/>
  <c r="A7501" i="1"/>
  <c r="A7500" i="1"/>
  <c r="A7499" i="1"/>
  <c r="A7498" i="1"/>
  <c r="A7497" i="1"/>
  <c r="A7496" i="1"/>
  <c r="A7495" i="1"/>
  <c r="A7494" i="1"/>
  <c r="A7493" i="1"/>
  <c r="A7492" i="1"/>
  <c r="A7491" i="1"/>
  <c r="A7490" i="1"/>
  <c r="A7489" i="1"/>
  <c r="A7488" i="1"/>
  <c r="A7487" i="1"/>
  <c r="A7486" i="1"/>
  <c r="A7485" i="1"/>
  <c r="A7484" i="1"/>
  <c r="A7483" i="1"/>
  <c r="A7482" i="1"/>
  <c r="A7481" i="1"/>
  <c r="A7480" i="1"/>
  <c r="A7479" i="1"/>
  <c r="A7478" i="1"/>
  <c r="A7477" i="1"/>
  <c r="A7476" i="1"/>
  <c r="A7475" i="1"/>
  <c r="A7474" i="1"/>
  <c r="A7473" i="1"/>
  <c r="A7472" i="1"/>
  <c r="A7471" i="1"/>
  <c r="A7470" i="1"/>
  <c r="A7469" i="1"/>
  <c r="A7468" i="1"/>
  <c r="A7467" i="1"/>
  <c r="A7466" i="1"/>
  <c r="A7465" i="1"/>
  <c r="A7464" i="1"/>
  <c r="A7463" i="1"/>
  <c r="A7462" i="1"/>
  <c r="A7461" i="1"/>
  <c r="A7460" i="1"/>
  <c r="A7459" i="1"/>
  <c r="A7458" i="1"/>
  <c r="A7457" i="1"/>
  <c r="A7456" i="1"/>
  <c r="A7455" i="1"/>
  <c r="A7454" i="1"/>
  <c r="A7453" i="1"/>
  <c r="A7452" i="1"/>
  <c r="A7451" i="1"/>
  <c r="A7450" i="1"/>
  <c r="A7449" i="1"/>
  <c r="A7448" i="1"/>
  <c r="A7447" i="1"/>
  <c r="A7446" i="1"/>
  <c r="A7445" i="1"/>
  <c r="A7444" i="1"/>
  <c r="A7443" i="1"/>
  <c r="A7442" i="1"/>
  <c r="A7441" i="1"/>
  <c r="A7440" i="1"/>
  <c r="A7439" i="1"/>
  <c r="A7438" i="1"/>
  <c r="A7437" i="1"/>
  <c r="A7436" i="1"/>
  <c r="A7435" i="1"/>
  <c r="A7434" i="1"/>
  <c r="A7433" i="1"/>
  <c r="A7432" i="1"/>
  <c r="A7431" i="1"/>
  <c r="A7430" i="1"/>
  <c r="A7429" i="1"/>
  <c r="A7428" i="1"/>
  <c r="A7427" i="1"/>
  <c r="A7426" i="1"/>
  <c r="A7425" i="1"/>
  <c r="A7424" i="1"/>
  <c r="A7423" i="1"/>
  <c r="A7422" i="1"/>
  <c r="A7421" i="1"/>
  <c r="A7420" i="1"/>
  <c r="A7419" i="1"/>
  <c r="A7418" i="1"/>
  <c r="A7417" i="1"/>
  <c r="A7416" i="1"/>
  <c r="A7415" i="1"/>
  <c r="A7414" i="1"/>
  <c r="A7413" i="1"/>
  <c r="A7412" i="1"/>
  <c r="A7411" i="1"/>
  <c r="A7410" i="1"/>
  <c r="A7409" i="1"/>
  <c r="A7408" i="1"/>
  <c r="A7407" i="1"/>
  <c r="A7406" i="1"/>
  <c r="A7405" i="1"/>
  <c r="A7404" i="1"/>
  <c r="A7403" i="1"/>
  <c r="A7402" i="1"/>
  <c r="A7401" i="1"/>
  <c r="A7400" i="1"/>
  <c r="A7399" i="1"/>
  <c r="A7398" i="1"/>
  <c r="A7397" i="1"/>
  <c r="A7396" i="1"/>
  <c r="A7395" i="1"/>
  <c r="A7394" i="1"/>
  <c r="A7393" i="1"/>
  <c r="A7392" i="1"/>
  <c r="A7391" i="1"/>
  <c r="A7390" i="1"/>
  <c r="A7389" i="1"/>
  <c r="A7388" i="1"/>
  <c r="A7387" i="1"/>
  <c r="A7386" i="1"/>
  <c r="A7385" i="1"/>
  <c r="A7384" i="1"/>
  <c r="A7383" i="1"/>
  <c r="A7382" i="1"/>
  <c r="A7381" i="1"/>
  <c r="A7380" i="1"/>
  <c r="A7379" i="1"/>
  <c r="A7378" i="1"/>
  <c r="A7377" i="1"/>
  <c r="A7376" i="1"/>
  <c r="A7375" i="1"/>
  <c r="A7374" i="1"/>
  <c r="A7373" i="1"/>
  <c r="A7372" i="1"/>
  <c r="A7371" i="1"/>
  <c r="A7370" i="1"/>
  <c r="A7369" i="1"/>
  <c r="A7368" i="1"/>
  <c r="A7367" i="1"/>
  <c r="A7366" i="1"/>
  <c r="A7365" i="1"/>
  <c r="A7364" i="1"/>
  <c r="A7363" i="1"/>
  <c r="A7362" i="1"/>
  <c r="A7361" i="1"/>
  <c r="A7360" i="1"/>
  <c r="A7359" i="1"/>
  <c r="A7358" i="1"/>
  <c r="A7357" i="1"/>
  <c r="A7356" i="1"/>
  <c r="A7355" i="1"/>
  <c r="A7354" i="1"/>
  <c r="A7353" i="1"/>
  <c r="A7352" i="1"/>
  <c r="A7351" i="1"/>
  <c r="A7350" i="1"/>
  <c r="A7349" i="1"/>
  <c r="A7348" i="1"/>
  <c r="A7347" i="1"/>
  <c r="A7346" i="1"/>
  <c r="A7345" i="1"/>
  <c r="A7344" i="1"/>
  <c r="A7343" i="1"/>
  <c r="A7342" i="1"/>
  <c r="A7341" i="1"/>
  <c r="A7340" i="1"/>
  <c r="A7339" i="1"/>
  <c r="A7338" i="1"/>
  <c r="A7337" i="1"/>
  <c r="A7336" i="1"/>
  <c r="A7335" i="1"/>
  <c r="A7334" i="1"/>
  <c r="A7333" i="1"/>
  <c r="A7332" i="1"/>
  <c r="A7331" i="1"/>
  <c r="A7330" i="1"/>
  <c r="A7329" i="1"/>
  <c r="A7328" i="1"/>
  <c r="A7327" i="1"/>
  <c r="A7326" i="1"/>
  <c r="A7325" i="1"/>
  <c r="A7324" i="1"/>
  <c r="A7323" i="1"/>
  <c r="A7322" i="1"/>
  <c r="A7321" i="1"/>
  <c r="A7320" i="1"/>
  <c r="A7319" i="1"/>
  <c r="A7318" i="1"/>
  <c r="A7317" i="1"/>
  <c r="A7316" i="1"/>
  <c r="A7315" i="1"/>
  <c r="A7314" i="1"/>
  <c r="A7313" i="1"/>
  <c r="A7312" i="1"/>
  <c r="A7311" i="1"/>
  <c r="A7310" i="1"/>
  <c r="A7309" i="1"/>
  <c r="A7308" i="1"/>
  <c r="A7307" i="1"/>
  <c r="A7306" i="1"/>
  <c r="A7305" i="1"/>
  <c r="A7304" i="1"/>
  <c r="A7303" i="1"/>
  <c r="A7302" i="1"/>
  <c r="A7301" i="1"/>
  <c r="A7300" i="1"/>
  <c r="A7299" i="1"/>
  <c r="A7298" i="1"/>
  <c r="A7297" i="1"/>
  <c r="A7296" i="1"/>
  <c r="A7295" i="1"/>
  <c r="A7294" i="1"/>
  <c r="A7293" i="1"/>
  <c r="A7292" i="1"/>
  <c r="A7291" i="1"/>
  <c r="A7290" i="1"/>
  <c r="A7289" i="1"/>
  <c r="A7288" i="1"/>
  <c r="A7287" i="1"/>
  <c r="A7286" i="1"/>
  <c r="A7285" i="1"/>
  <c r="A7284" i="1"/>
  <c r="A7283" i="1"/>
  <c r="A7282" i="1"/>
  <c r="A7281" i="1"/>
  <c r="A7280" i="1"/>
  <c r="A7279" i="1"/>
  <c r="A7278" i="1"/>
  <c r="A7277" i="1"/>
  <c r="A7276" i="1"/>
  <c r="A7275" i="1"/>
  <c r="A7274" i="1"/>
  <c r="A7273" i="1"/>
  <c r="A7272" i="1"/>
  <c r="A7271" i="1"/>
  <c r="A7270" i="1"/>
  <c r="A7269" i="1"/>
  <c r="A7268" i="1"/>
  <c r="A7267" i="1"/>
  <c r="A7266" i="1"/>
  <c r="A7265" i="1"/>
  <c r="A7264" i="1"/>
  <c r="A7263" i="1"/>
  <c r="A7262" i="1"/>
  <c r="A7261" i="1"/>
  <c r="A7260" i="1"/>
  <c r="A7259" i="1"/>
  <c r="A7258" i="1"/>
  <c r="A7257" i="1"/>
  <c r="A7256" i="1"/>
  <c r="A7255" i="1"/>
  <c r="A7254" i="1"/>
  <c r="A7253" i="1"/>
  <c r="A7252" i="1"/>
  <c r="A7251" i="1"/>
  <c r="A7250" i="1"/>
  <c r="A7249" i="1"/>
  <c r="A7248" i="1"/>
  <c r="A7247" i="1"/>
  <c r="A7246" i="1"/>
  <c r="A7245" i="1"/>
  <c r="A7244" i="1"/>
  <c r="A7243" i="1"/>
  <c r="A7242" i="1"/>
  <c r="A7241" i="1"/>
  <c r="A7240" i="1"/>
  <c r="A7239" i="1"/>
  <c r="A7238" i="1"/>
  <c r="A7237" i="1"/>
  <c r="A7236" i="1"/>
  <c r="A7235" i="1"/>
  <c r="A7234" i="1"/>
  <c r="A7233" i="1"/>
  <c r="A7232" i="1"/>
  <c r="A7231" i="1"/>
  <c r="A7230" i="1"/>
  <c r="A7229" i="1"/>
  <c r="A7228" i="1"/>
  <c r="A7227" i="1"/>
  <c r="A7226" i="1"/>
  <c r="A7225" i="1"/>
  <c r="A7224" i="1"/>
  <c r="A7223" i="1"/>
  <c r="A7222" i="1"/>
  <c r="A7221" i="1"/>
  <c r="A7220" i="1"/>
  <c r="A7219" i="1"/>
  <c r="A7218" i="1"/>
  <c r="A7217" i="1"/>
  <c r="A7216" i="1"/>
  <c r="A7215" i="1"/>
  <c r="A7214" i="1"/>
  <c r="A7213" i="1"/>
  <c r="A7212" i="1"/>
  <c r="A7211" i="1"/>
  <c r="A7210" i="1"/>
  <c r="A7209" i="1"/>
  <c r="A7208" i="1"/>
  <c r="A7207" i="1"/>
  <c r="A7206" i="1"/>
  <c r="A7205" i="1"/>
  <c r="A7204" i="1"/>
  <c r="A7203" i="1"/>
  <c r="A7202" i="1"/>
  <c r="A7201" i="1"/>
  <c r="A7200" i="1"/>
  <c r="A7199" i="1"/>
  <c r="A7198" i="1"/>
  <c r="A7197" i="1"/>
  <c r="A7196" i="1"/>
  <c r="A7195" i="1"/>
  <c r="A7194" i="1"/>
  <c r="A7193" i="1"/>
  <c r="A7192" i="1"/>
  <c r="A7191" i="1"/>
  <c r="A7190" i="1"/>
  <c r="A7189" i="1"/>
  <c r="A7188" i="1"/>
  <c r="A7187" i="1"/>
  <c r="A7186" i="1"/>
  <c r="A7185" i="1"/>
  <c r="A7184" i="1"/>
  <c r="A7183" i="1"/>
  <c r="A7182" i="1"/>
  <c r="A7181" i="1"/>
  <c r="A7180" i="1"/>
  <c r="A7179" i="1"/>
  <c r="A7178" i="1"/>
  <c r="A7177" i="1"/>
  <c r="A7176" i="1"/>
  <c r="A7175" i="1"/>
  <c r="A7174" i="1"/>
  <c r="A7173" i="1"/>
  <c r="A7172" i="1"/>
  <c r="A7171" i="1"/>
  <c r="A7170" i="1"/>
  <c r="A7169" i="1"/>
  <c r="A7168" i="1"/>
  <c r="A7167" i="1"/>
  <c r="A7166" i="1"/>
  <c r="A7165" i="1"/>
  <c r="A7164" i="1"/>
  <c r="A7163" i="1"/>
  <c r="A7162" i="1"/>
  <c r="A7161" i="1"/>
  <c r="A7160" i="1"/>
  <c r="A7159" i="1"/>
  <c r="A7158" i="1"/>
  <c r="A7157" i="1"/>
  <c r="A7156" i="1"/>
  <c r="A7155" i="1"/>
  <c r="A7154" i="1"/>
  <c r="A7153" i="1"/>
  <c r="A7152" i="1"/>
  <c r="A7151" i="1"/>
  <c r="A7150" i="1"/>
  <c r="A7149" i="1"/>
  <c r="A7148" i="1"/>
  <c r="A7147" i="1"/>
  <c r="A7146" i="1"/>
  <c r="A7145" i="1"/>
  <c r="A7144" i="1"/>
  <c r="A7143" i="1"/>
  <c r="A7142" i="1"/>
  <c r="A7141" i="1"/>
  <c r="A7140" i="1"/>
  <c r="A7139" i="1"/>
  <c r="A7138" i="1"/>
  <c r="A7137" i="1"/>
  <c r="A7136" i="1"/>
  <c r="A7135" i="1"/>
  <c r="A7134" i="1"/>
  <c r="A7133" i="1"/>
  <c r="A7132" i="1"/>
  <c r="A7131" i="1"/>
  <c r="A7130" i="1"/>
  <c r="A7129" i="1"/>
  <c r="A7128" i="1"/>
  <c r="A7127" i="1"/>
  <c r="A7126" i="1"/>
  <c r="A7125" i="1"/>
  <c r="A7124" i="1"/>
  <c r="A7123" i="1"/>
  <c r="A7122" i="1"/>
  <c r="A7121" i="1"/>
  <c r="A7120" i="1"/>
  <c r="A7119" i="1"/>
  <c r="A7118" i="1"/>
  <c r="A7117" i="1"/>
  <c r="A7116" i="1"/>
  <c r="A7115" i="1"/>
  <c r="A7114" i="1"/>
  <c r="A7113" i="1"/>
  <c r="A7112" i="1"/>
  <c r="A7111" i="1"/>
  <c r="A7110" i="1"/>
  <c r="A7109" i="1"/>
  <c r="A7108" i="1"/>
  <c r="A7107" i="1"/>
  <c r="A7106" i="1"/>
  <c r="A7105" i="1"/>
  <c r="A7104" i="1"/>
  <c r="A7103" i="1"/>
  <c r="A7102" i="1"/>
  <c r="A7101" i="1"/>
  <c r="A7100" i="1"/>
  <c r="A7099" i="1"/>
  <c r="A7098" i="1"/>
  <c r="A7097" i="1"/>
  <c r="A7096" i="1"/>
  <c r="A7095" i="1"/>
  <c r="A7094" i="1"/>
  <c r="A7093" i="1"/>
  <c r="A7092" i="1"/>
  <c r="A7091" i="1"/>
  <c r="A7090" i="1"/>
  <c r="A7089" i="1"/>
  <c r="A7088" i="1"/>
  <c r="A7087" i="1"/>
  <c r="A7086" i="1"/>
  <c r="A7085" i="1"/>
  <c r="A7084" i="1"/>
  <c r="A7083" i="1"/>
  <c r="A7082" i="1"/>
  <c r="A7081" i="1"/>
  <c r="A7080" i="1"/>
  <c r="A7079" i="1"/>
  <c r="A7078" i="1"/>
  <c r="A7077" i="1"/>
  <c r="A7076" i="1"/>
  <c r="A7075" i="1"/>
  <c r="A7074" i="1"/>
  <c r="A7073" i="1"/>
  <c r="A7072" i="1"/>
  <c r="A7071" i="1"/>
  <c r="A7070" i="1"/>
  <c r="A7069" i="1"/>
  <c r="A7068" i="1"/>
  <c r="A7067" i="1"/>
  <c r="A7066" i="1"/>
  <c r="A7065" i="1"/>
  <c r="A7064" i="1"/>
  <c r="A7063" i="1"/>
  <c r="A7062" i="1"/>
  <c r="A7061" i="1"/>
  <c r="A7060" i="1"/>
  <c r="A7059" i="1"/>
  <c r="A7058" i="1"/>
  <c r="A7057" i="1"/>
  <c r="A7056" i="1"/>
  <c r="A7055" i="1"/>
  <c r="A7054" i="1"/>
  <c r="A7053" i="1"/>
  <c r="A7052" i="1"/>
  <c r="A7051" i="1"/>
  <c r="A7050" i="1"/>
  <c r="A7049" i="1"/>
  <c r="A7048" i="1"/>
  <c r="A7047" i="1"/>
  <c r="A7046" i="1"/>
  <c r="A7045" i="1"/>
  <c r="A7044" i="1"/>
  <c r="A7043" i="1"/>
  <c r="A7042" i="1"/>
  <c r="A7041" i="1"/>
  <c r="A7040" i="1"/>
  <c r="A7039" i="1"/>
  <c r="A7038" i="1"/>
  <c r="A7037" i="1"/>
  <c r="A7036" i="1"/>
  <c r="A7035" i="1"/>
  <c r="A7034" i="1"/>
  <c r="A7033" i="1"/>
  <c r="A7032" i="1"/>
  <c r="A7031" i="1"/>
  <c r="A7030" i="1"/>
  <c r="A7029" i="1"/>
  <c r="A7028" i="1"/>
  <c r="A7027" i="1"/>
  <c r="A7026" i="1"/>
  <c r="A7025" i="1"/>
  <c r="A7024" i="1"/>
  <c r="A7023" i="1"/>
  <c r="A7022" i="1"/>
  <c r="A7021" i="1"/>
  <c r="A7020" i="1"/>
  <c r="A7019" i="1"/>
  <c r="A7018" i="1"/>
  <c r="A7017" i="1"/>
  <c r="A7016" i="1"/>
  <c r="A7015" i="1"/>
  <c r="A7014" i="1"/>
  <c r="A7013" i="1"/>
  <c r="A7012" i="1"/>
  <c r="A7011" i="1"/>
  <c r="A7010" i="1"/>
  <c r="A7009" i="1"/>
  <c r="A7008" i="1"/>
  <c r="A7007" i="1"/>
  <c r="A7006" i="1"/>
  <c r="A7005" i="1"/>
  <c r="A7004" i="1"/>
  <c r="A7003" i="1"/>
  <c r="A7002" i="1"/>
  <c r="A7001" i="1"/>
  <c r="A7000" i="1"/>
  <c r="A6999" i="1"/>
  <c r="A6998" i="1"/>
  <c r="A6997" i="1"/>
  <c r="A6996" i="1"/>
  <c r="A6995" i="1"/>
  <c r="A6994" i="1"/>
  <c r="A6993" i="1"/>
  <c r="A6992" i="1"/>
  <c r="A6991" i="1"/>
  <c r="A6990" i="1"/>
  <c r="A6989" i="1"/>
  <c r="A6988" i="1"/>
  <c r="A6987" i="1"/>
  <c r="A6986" i="1"/>
  <c r="A6985" i="1"/>
  <c r="A6984" i="1"/>
  <c r="A6983" i="1"/>
  <c r="A6982" i="1"/>
  <c r="A6981" i="1"/>
  <c r="A6980" i="1"/>
  <c r="A6979" i="1"/>
  <c r="A6978" i="1"/>
  <c r="A6977" i="1"/>
  <c r="A6976" i="1"/>
  <c r="A6975" i="1"/>
  <c r="A6974" i="1"/>
  <c r="A6973" i="1"/>
  <c r="A6972" i="1"/>
  <c r="A6971" i="1"/>
  <c r="A6970" i="1"/>
  <c r="A6969" i="1"/>
  <c r="A6968" i="1"/>
  <c r="A6967" i="1"/>
  <c r="A6966" i="1"/>
  <c r="A6965" i="1"/>
  <c r="A6964" i="1"/>
  <c r="A6963" i="1"/>
  <c r="A6962" i="1"/>
  <c r="A6961" i="1"/>
  <c r="A6960" i="1"/>
  <c r="A6959" i="1"/>
  <c r="A6958" i="1"/>
  <c r="A6957" i="1"/>
  <c r="A6956" i="1"/>
  <c r="A6955" i="1"/>
  <c r="A6954" i="1"/>
  <c r="A6953" i="1"/>
  <c r="A6952" i="1"/>
  <c r="A6951" i="1"/>
  <c r="A6950" i="1"/>
  <c r="A6949" i="1"/>
  <c r="A6948" i="1"/>
  <c r="A6947" i="1"/>
  <c r="A6946" i="1"/>
  <c r="A6945" i="1"/>
  <c r="A6944" i="1"/>
  <c r="A6943" i="1"/>
  <c r="A6942" i="1"/>
  <c r="A6941" i="1"/>
  <c r="A6940" i="1"/>
  <c r="A6939" i="1"/>
  <c r="A6938" i="1"/>
  <c r="A6937" i="1"/>
  <c r="A6936" i="1"/>
  <c r="A6935" i="1"/>
  <c r="A6934" i="1"/>
  <c r="A6933" i="1"/>
  <c r="A6932" i="1"/>
  <c r="A6931" i="1"/>
  <c r="A6930" i="1"/>
  <c r="A6929" i="1"/>
  <c r="A6928" i="1"/>
  <c r="A6927" i="1"/>
  <c r="A6926" i="1"/>
  <c r="A6925" i="1"/>
  <c r="A6924" i="1"/>
  <c r="A6923" i="1"/>
  <c r="A6922" i="1"/>
  <c r="A6921" i="1"/>
  <c r="A6920" i="1"/>
  <c r="A6919" i="1"/>
  <c r="A6918" i="1"/>
  <c r="A6917" i="1"/>
  <c r="A6916" i="1"/>
  <c r="A6915" i="1"/>
  <c r="A6914" i="1"/>
  <c r="A6913" i="1"/>
  <c r="A6912" i="1"/>
  <c r="A6911" i="1"/>
  <c r="A6910" i="1"/>
  <c r="A6909" i="1"/>
  <c r="A6908" i="1"/>
  <c r="A6907" i="1"/>
  <c r="A6906" i="1"/>
  <c r="A6905" i="1"/>
  <c r="A6904" i="1"/>
  <c r="A6903" i="1"/>
  <c r="A6902" i="1"/>
  <c r="A6901" i="1"/>
  <c r="A6900" i="1"/>
  <c r="A6899" i="1"/>
  <c r="A6898" i="1"/>
  <c r="A6897" i="1"/>
  <c r="A6896" i="1"/>
  <c r="A6895" i="1"/>
  <c r="A6894" i="1"/>
  <c r="A6893" i="1"/>
  <c r="A6892" i="1"/>
  <c r="A6891" i="1"/>
  <c r="A6890" i="1"/>
  <c r="A6889" i="1"/>
  <c r="A6888" i="1"/>
  <c r="A6887" i="1"/>
  <c r="A6886" i="1"/>
  <c r="A6885" i="1"/>
  <c r="A6884" i="1"/>
  <c r="A6883" i="1"/>
  <c r="A6882" i="1"/>
  <c r="A6881" i="1"/>
  <c r="A6880" i="1"/>
  <c r="A6879" i="1"/>
  <c r="A6878" i="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G8499" i="1"/>
  <c r="G8498" i="1"/>
  <c r="G8497" i="1"/>
  <c r="G8496" i="1"/>
  <c r="G8495" i="1"/>
  <c r="G8494" i="1"/>
  <c r="G8493" i="1"/>
  <c r="G8492" i="1"/>
  <c r="G8491" i="1"/>
  <c r="G8490" i="1"/>
  <c r="G8489" i="1"/>
  <c r="G8488" i="1"/>
  <c r="G8487" i="1"/>
  <c r="G8486" i="1"/>
  <c r="G8485" i="1"/>
  <c r="G8484" i="1"/>
  <c r="G8483" i="1"/>
  <c r="G8482" i="1"/>
  <c r="G8481" i="1"/>
  <c r="G8480" i="1"/>
  <c r="G8479" i="1"/>
  <c r="G8478" i="1"/>
  <c r="G8477" i="1"/>
  <c r="G8476" i="1"/>
  <c r="G8475" i="1"/>
  <c r="G8474" i="1"/>
  <c r="G8473" i="1"/>
  <c r="G8472" i="1"/>
  <c r="G8471" i="1"/>
  <c r="G8470" i="1"/>
  <c r="G8469" i="1"/>
  <c r="G8468" i="1"/>
  <c r="G8467" i="1"/>
  <c r="G8466" i="1"/>
  <c r="G8465" i="1"/>
  <c r="G8464" i="1"/>
  <c r="G8463" i="1"/>
  <c r="G8462" i="1"/>
  <c r="G8461" i="1"/>
  <c r="G8460" i="1"/>
  <c r="G8459" i="1"/>
  <c r="G8458" i="1"/>
  <c r="G8457" i="1"/>
  <c r="G8456" i="1"/>
  <c r="G8455" i="1"/>
  <c r="G8454" i="1"/>
  <c r="G8453" i="1"/>
  <c r="G8452" i="1"/>
  <c r="G8451" i="1"/>
  <c r="G8450" i="1"/>
  <c r="G8449" i="1"/>
  <c r="G8448" i="1"/>
  <c r="G8447" i="1"/>
  <c r="G8446" i="1"/>
  <c r="G8445" i="1"/>
  <c r="G8444" i="1"/>
  <c r="G8443" i="1"/>
  <c r="G8442" i="1"/>
  <c r="G8441" i="1"/>
  <c r="G8440" i="1"/>
  <c r="G8439" i="1"/>
  <c r="G8438" i="1"/>
  <c r="G8437" i="1"/>
  <c r="G8436" i="1"/>
  <c r="G8435" i="1"/>
  <c r="G8434" i="1"/>
  <c r="G8433" i="1"/>
  <c r="G8432" i="1"/>
  <c r="G8431" i="1"/>
  <c r="G8430" i="1"/>
  <c r="G8429" i="1"/>
  <c r="G8428" i="1"/>
  <c r="G8427" i="1"/>
  <c r="G8426" i="1"/>
  <c r="G8425" i="1"/>
  <c r="G8424" i="1"/>
  <c r="G8423" i="1"/>
  <c r="G8422" i="1"/>
  <c r="G8421" i="1"/>
  <c r="G8420" i="1"/>
  <c r="G8419" i="1"/>
  <c r="G8418" i="1"/>
  <c r="G8417" i="1"/>
  <c r="G8416" i="1"/>
  <c r="G8415" i="1"/>
  <c r="G8414" i="1"/>
  <c r="G8413" i="1"/>
  <c r="G8412" i="1"/>
  <c r="G8411" i="1"/>
  <c r="G8410" i="1"/>
  <c r="G8409" i="1"/>
  <c r="G8408" i="1"/>
  <c r="G8407" i="1"/>
  <c r="G8406" i="1"/>
  <c r="G8405" i="1"/>
  <c r="G8404" i="1"/>
  <c r="G8403" i="1"/>
  <c r="G8402" i="1"/>
  <c r="G8401" i="1"/>
  <c r="G8400" i="1"/>
  <c r="G8399" i="1"/>
  <c r="G8398" i="1"/>
  <c r="G8397" i="1"/>
  <c r="G8396" i="1"/>
  <c r="G8395" i="1"/>
  <c r="G8394" i="1"/>
  <c r="G8393" i="1"/>
  <c r="G8392" i="1"/>
  <c r="G8391" i="1"/>
  <c r="G8390" i="1"/>
  <c r="G8389" i="1"/>
  <c r="G8388" i="1"/>
  <c r="G8387" i="1"/>
  <c r="G8386" i="1"/>
  <c r="G8385" i="1"/>
  <c r="G8384" i="1"/>
  <c r="G8383" i="1"/>
  <c r="G8382" i="1"/>
  <c r="G8381" i="1"/>
  <c r="G8380" i="1"/>
  <c r="G8379" i="1"/>
  <c r="G8378" i="1"/>
  <c r="G8377" i="1"/>
  <c r="G8376" i="1"/>
  <c r="G8375" i="1"/>
  <c r="G8374" i="1"/>
  <c r="G8373" i="1"/>
  <c r="G8372" i="1"/>
  <c r="G8371" i="1"/>
  <c r="G8370" i="1"/>
  <c r="G8369" i="1"/>
  <c r="G8368" i="1"/>
  <c r="G8367" i="1"/>
  <c r="G8366" i="1"/>
  <c r="G8365" i="1"/>
  <c r="G8364" i="1"/>
  <c r="G8363" i="1"/>
  <c r="G8362" i="1"/>
  <c r="G8361" i="1"/>
  <c r="G8360" i="1"/>
  <c r="G8359" i="1"/>
  <c r="G8358" i="1"/>
  <c r="G8357" i="1"/>
  <c r="G8356" i="1"/>
  <c r="G8355" i="1"/>
  <c r="G8354" i="1"/>
  <c r="G8353" i="1"/>
  <c r="G8352" i="1"/>
  <c r="G8351" i="1"/>
  <c r="G8350" i="1"/>
  <c r="G8349" i="1"/>
  <c r="G8348" i="1"/>
  <c r="G8347" i="1"/>
  <c r="G8346" i="1"/>
  <c r="G8345" i="1"/>
  <c r="G8344" i="1"/>
  <c r="G8343" i="1"/>
  <c r="G8342" i="1"/>
  <c r="G8341" i="1"/>
  <c r="G8340" i="1"/>
  <c r="G8339" i="1"/>
  <c r="G8338" i="1"/>
  <c r="G8337" i="1"/>
  <c r="G8336" i="1"/>
  <c r="G8335" i="1"/>
  <c r="G8334" i="1"/>
  <c r="G8333" i="1"/>
  <c r="G8332" i="1"/>
  <c r="G8331" i="1"/>
  <c r="G8330" i="1"/>
  <c r="G8329" i="1"/>
  <c r="G8328" i="1"/>
  <c r="G8327" i="1"/>
  <c r="G8326" i="1"/>
  <c r="G8325" i="1"/>
  <c r="G8324" i="1"/>
  <c r="G8323" i="1"/>
  <c r="G8322" i="1"/>
  <c r="G8321" i="1"/>
  <c r="G8320" i="1"/>
  <c r="G8319" i="1"/>
  <c r="G8318" i="1"/>
  <c r="G8317" i="1"/>
  <c r="G8316" i="1"/>
  <c r="G8315" i="1"/>
  <c r="G8314" i="1"/>
  <c r="G8313" i="1"/>
  <c r="G8312" i="1"/>
  <c r="G8311" i="1"/>
  <c r="G8310" i="1"/>
  <c r="G8309" i="1"/>
  <c r="G8308" i="1"/>
  <c r="G8307" i="1"/>
  <c r="G8306" i="1"/>
  <c r="G8305" i="1"/>
  <c r="G8304" i="1"/>
  <c r="G8303" i="1"/>
  <c r="G8302" i="1"/>
  <c r="G8301" i="1"/>
  <c r="G8300" i="1"/>
  <c r="G8299" i="1"/>
  <c r="G8298" i="1"/>
  <c r="G8297" i="1"/>
  <c r="G8296" i="1"/>
  <c r="G8295" i="1"/>
  <c r="G8294" i="1"/>
  <c r="G8293" i="1"/>
  <c r="G8292" i="1"/>
  <c r="G8291" i="1"/>
  <c r="G8290" i="1"/>
  <c r="G8289" i="1"/>
  <c r="G8288" i="1"/>
  <c r="G8287" i="1"/>
  <c r="G8286" i="1"/>
  <c r="G8285" i="1"/>
  <c r="G8284" i="1"/>
  <c r="G8283" i="1"/>
  <c r="G8282" i="1"/>
  <c r="G8281" i="1"/>
  <c r="G8280" i="1"/>
  <c r="G8279" i="1"/>
  <c r="G8278" i="1"/>
  <c r="G8277" i="1"/>
  <c r="G8276" i="1"/>
  <c r="G8275" i="1"/>
  <c r="G8274" i="1"/>
  <c r="G8273" i="1"/>
  <c r="G8272" i="1"/>
  <c r="G8271" i="1"/>
  <c r="G8270" i="1"/>
  <c r="G8269" i="1"/>
  <c r="G8268" i="1"/>
  <c r="G8267" i="1"/>
  <c r="G8266" i="1"/>
  <c r="G8265" i="1"/>
  <c r="G8264" i="1"/>
  <c r="G8263" i="1"/>
  <c r="G8262" i="1"/>
  <c r="G8261" i="1"/>
  <c r="G8260" i="1"/>
  <c r="G8259" i="1"/>
  <c r="G8258" i="1"/>
  <c r="G8257" i="1"/>
  <c r="G8256" i="1"/>
  <c r="G8255" i="1"/>
  <c r="G8254" i="1"/>
  <c r="G8253" i="1"/>
  <c r="G8252" i="1"/>
  <c r="G8251" i="1"/>
  <c r="G8250" i="1"/>
  <c r="G8249" i="1"/>
  <c r="G8248" i="1"/>
  <c r="G8247" i="1"/>
  <c r="G8246" i="1"/>
  <c r="G8245" i="1"/>
  <c r="G8244" i="1"/>
  <c r="G8243" i="1"/>
  <c r="G8242" i="1"/>
  <c r="G8241" i="1"/>
  <c r="G8240" i="1"/>
  <c r="G8239" i="1"/>
  <c r="G8238" i="1"/>
  <c r="G8237" i="1"/>
  <c r="G8236" i="1"/>
  <c r="G8235" i="1"/>
  <c r="G8234" i="1"/>
  <c r="G8233" i="1"/>
  <c r="G8232" i="1"/>
  <c r="G8231" i="1"/>
  <c r="G8230" i="1"/>
  <c r="G8229" i="1"/>
  <c r="G8228" i="1"/>
  <c r="G8227" i="1"/>
  <c r="G8226" i="1"/>
  <c r="G8225" i="1"/>
  <c r="G8224" i="1"/>
  <c r="G8223" i="1"/>
  <c r="G8222" i="1"/>
  <c r="G8221" i="1"/>
  <c r="G8220" i="1"/>
  <c r="G8219" i="1"/>
  <c r="G8218" i="1"/>
  <c r="G8217" i="1"/>
  <c r="G8216" i="1"/>
  <c r="G8215" i="1"/>
  <c r="G8214" i="1"/>
  <c r="G8213" i="1"/>
  <c r="G8212" i="1"/>
  <c r="G8211" i="1"/>
  <c r="G8210" i="1"/>
  <c r="G8209" i="1"/>
  <c r="G8208" i="1"/>
  <c r="G8207" i="1"/>
  <c r="G8206" i="1"/>
  <c r="G8205" i="1"/>
  <c r="G8204" i="1"/>
  <c r="G8203" i="1"/>
  <c r="G8202" i="1"/>
  <c r="G8201" i="1"/>
  <c r="G8200" i="1"/>
  <c r="G8199" i="1"/>
  <c r="G8198" i="1"/>
  <c r="G8197" i="1"/>
  <c r="G8196" i="1"/>
  <c r="G8195" i="1"/>
  <c r="G8194" i="1"/>
  <c r="G8193" i="1"/>
  <c r="G8192" i="1"/>
  <c r="G8191" i="1"/>
  <c r="G8190" i="1"/>
  <c r="G8189" i="1"/>
  <c r="G8188" i="1"/>
  <c r="G8187" i="1"/>
  <c r="G8186" i="1"/>
  <c r="G8185" i="1"/>
  <c r="G8184" i="1"/>
  <c r="G8183" i="1"/>
  <c r="G8182" i="1"/>
  <c r="G8181" i="1"/>
  <c r="G8180" i="1"/>
  <c r="G8179" i="1"/>
  <c r="G8178" i="1"/>
  <c r="G8177" i="1"/>
  <c r="G8176" i="1"/>
  <c r="G8175" i="1"/>
  <c r="G8174" i="1"/>
  <c r="G8173" i="1"/>
  <c r="G8172" i="1"/>
  <c r="G8171" i="1"/>
  <c r="G8170" i="1"/>
  <c r="G8169" i="1"/>
  <c r="G8168" i="1"/>
  <c r="G8167" i="1"/>
  <c r="G8166" i="1"/>
  <c r="G8165" i="1"/>
  <c r="G8164" i="1"/>
  <c r="G8163" i="1"/>
  <c r="G8162" i="1"/>
  <c r="G8161" i="1"/>
  <c r="G8160" i="1"/>
  <c r="G8159" i="1"/>
  <c r="G8158" i="1"/>
  <c r="G8157" i="1"/>
  <c r="G8156" i="1"/>
  <c r="G8155" i="1"/>
  <c r="G8154" i="1"/>
  <c r="G8153" i="1"/>
  <c r="G8152" i="1"/>
  <c r="G8151" i="1"/>
  <c r="G8150" i="1"/>
  <c r="G8149" i="1"/>
  <c r="G8148" i="1"/>
  <c r="G8147" i="1"/>
  <c r="G8146" i="1"/>
  <c r="G8145" i="1"/>
  <c r="G8144" i="1"/>
  <c r="G8143" i="1"/>
  <c r="G8142" i="1"/>
  <c r="G8141" i="1"/>
  <c r="G8140" i="1"/>
  <c r="G8139" i="1"/>
  <c r="G8138" i="1"/>
  <c r="G8137" i="1"/>
  <c r="G8136" i="1"/>
  <c r="G8135" i="1"/>
  <c r="G8134" i="1"/>
  <c r="G8133" i="1"/>
  <c r="G8132" i="1"/>
  <c r="G8131" i="1"/>
  <c r="G8130" i="1"/>
  <c r="G8129" i="1"/>
  <c r="G8128" i="1"/>
  <c r="G8127" i="1"/>
  <c r="G8126" i="1"/>
  <c r="G8125" i="1"/>
  <c r="G8124" i="1"/>
  <c r="G8123" i="1"/>
  <c r="G8122" i="1"/>
  <c r="G8121" i="1"/>
  <c r="G8120" i="1"/>
  <c r="G8119" i="1"/>
  <c r="G8118" i="1"/>
  <c r="G8117" i="1"/>
  <c r="G8116" i="1"/>
  <c r="G8115" i="1"/>
  <c r="G8114" i="1"/>
  <c r="G8113" i="1"/>
  <c r="G8112" i="1"/>
  <c r="G8111" i="1"/>
  <c r="G8110" i="1"/>
  <c r="G8109" i="1"/>
  <c r="G8108" i="1"/>
  <c r="G8107" i="1"/>
  <c r="G8106" i="1"/>
  <c r="G8105" i="1"/>
  <c r="G8104" i="1"/>
  <c r="G8103" i="1"/>
  <c r="G8102" i="1"/>
  <c r="G8101" i="1"/>
  <c r="G8100" i="1"/>
  <c r="G8099" i="1"/>
  <c r="G8098" i="1"/>
  <c r="G8097" i="1"/>
  <c r="G8096" i="1"/>
  <c r="G8095" i="1"/>
  <c r="G8094" i="1"/>
  <c r="G8093" i="1"/>
  <c r="G8092" i="1"/>
  <c r="G8091" i="1"/>
  <c r="G8090" i="1"/>
  <c r="G8089" i="1"/>
  <c r="G8088" i="1"/>
  <c r="G8087" i="1"/>
  <c r="G8086" i="1"/>
  <c r="G8085" i="1"/>
  <c r="G8084" i="1"/>
  <c r="G8083" i="1"/>
  <c r="G8082" i="1"/>
  <c r="G8081" i="1"/>
  <c r="G8080" i="1"/>
  <c r="G8079" i="1"/>
  <c r="G8078" i="1"/>
  <c r="G8077" i="1"/>
  <c r="G8076" i="1"/>
  <c r="G8075" i="1"/>
  <c r="G8074" i="1"/>
  <c r="G8073" i="1"/>
  <c r="G8072" i="1"/>
  <c r="G8071" i="1"/>
  <c r="G8070" i="1"/>
  <c r="G8068" i="1"/>
  <c r="G8067" i="1"/>
  <c r="G8066" i="1"/>
  <c r="G8065" i="1"/>
  <c r="G8064" i="1"/>
  <c r="G8063" i="1"/>
  <c r="G8062" i="1"/>
  <c r="G8061" i="1"/>
  <c r="G8060" i="1"/>
  <c r="G8059" i="1"/>
  <c r="G8058" i="1"/>
  <c r="G8057" i="1"/>
  <c r="G8056" i="1"/>
  <c r="G8055" i="1"/>
  <c r="G8054" i="1"/>
  <c r="G8053" i="1"/>
  <c r="G8052" i="1"/>
  <c r="G8051" i="1"/>
  <c r="G8050" i="1"/>
  <c r="G8049" i="1"/>
  <c r="G8048" i="1"/>
  <c r="G8047" i="1"/>
  <c r="G8046" i="1"/>
  <c r="G8045" i="1"/>
  <c r="G8044" i="1"/>
  <c r="G8043" i="1"/>
  <c r="G8042" i="1"/>
  <c r="G8041" i="1"/>
  <c r="G8040" i="1"/>
  <c r="G8039" i="1"/>
  <c r="G8038" i="1"/>
  <c r="G8037" i="1"/>
  <c r="G8036" i="1"/>
  <c r="G8035" i="1"/>
  <c r="G8034" i="1"/>
  <c r="G8033" i="1"/>
  <c r="G8032" i="1"/>
  <c r="G8031" i="1"/>
  <c r="G8030" i="1"/>
  <c r="G8029" i="1"/>
  <c r="G8028" i="1"/>
  <c r="G8027" i="1"/>
  <c r="G8026" i="1"/>
  <c r="G8025" i="1"/>
  <c r="G8024" i="1"/>
  <c r="G8023" i="1"/>
  <c r="G8022" i="1"/>
  <c r="G8021" i="1"/>
  <c r="G8020" i="1"/>
  <c r="G8019" i="1"/>
  <c r="G8018" i="1"/>
  <c r="G8017" i="1"/>
  <c r="G8016" i="1"/>
  <c r="G8015" i="1"/>
  <c r="G8014" i="1"/>
  <c r="G8013" i="1"/>
  <c r="G8012" i="1"/>
  <c r="G8011" i="1"/>
  <c r="G8010" i="1"/>
  <c r="G8009" i="1"/>
  <c r="G8008" i="1"/>
  <c r="G8007" i="1"/>
  <c r="G8006" i="1"/>
  <c r="G8005" i="1"/>
  <c r="G8004" i="1"/>
  <c r="G8003" i="1"/>
  <c r="G8002" i="1"/>
  <c r="G8001" i="1"/>
  <c r="G8000" i="1"/>
  <c r="G7999" i="1"/>
  <c r="G7998" i="1"/>
  <c r="G7997" i="1"/>
  <c r="G7996" i="1"/>
  <c r="G7995" i="1"/>
  <c r="G7994" i="1"/>
  <c r="G7993" i="1"/>
  <c r="G7992" i="1"/>
  <c r="G7991" i="1"/>
  <c r="G7990" i="1"/>
  <c r="G7989" i="1"/>
  <c r="G7988" i="1"/>
  <c r="G7987" i="1"/>
  <c r="G7986" i="1"/>
  <c r="G7985" i="1"/>
  <c r="G7984" i="1"/>
  <c r="G7983" i="1"/>
  <c r="G7982" i="1"/>
  <c r="G7981" i="1"/>
  <c r="G7980" i="1"/>
  <c r="G7979" i="1"/>
  <c r="G7978" i="1"/>
  <c r="G7977" i="1"/>
  <c r="G7976" i="1"/>
  <c r="G7975" i="1"/>
  <c r="G7974" i="1"/>
  <c r="G7973" i="1"/>
  <c r="G7972" i="1"/>
  <c r="G7971" i="1"/>
  <c r="G7970" i="1"/>
  <c r="G7969" i="1"/>
  <c r="G7968" i="1"/>
  <c r="G7967" i="1"/>
  <c r="G7966" i="1"/>
  <c r="G7965" i="1"/>
  <c r="G7964" i="1"/>
  <c r="G7963" i="1"/>
  <c r="G7962" i="1"/>
  <c r="G7961" i="1"/>
  <c r="G7960" i="1"/>
  <c r="G7959" i="1"/>
  <c r="G7958" i="1"/>
  <c r="G7957" i="1"/>
  <c r="G7956" i="1"/>
  <c r="G7955" i="1"/>
  <c r="G7954" i="1"/>
  <c r="G7953" i="1"/>
  <c r="G7952" i="1"/>
  <c r="G7951" i="1"/>
  <c r="G7950" i="1"/>
  <c r="G7949" i="1"/>
  <c r="G7948" i="1"/>
  <c r="G7947" i="1"/>
  <c r="G7946" i="1"/>
  <c r="G7945" i="1"/>
  <c r="G7944" i="1"/>
  <c r="G7943" i="1"/>
  <c r="G7942" i="1"/>
  <c r="G7941" i="1"/>
  <c r="G7940" i="1"/>
  <c r="G7939" i="1"/>
  <c r="G7938" i="1"/>
  <c r="G7937" i="1"/>
  <c r="G7936" i="1"/>
  <c r="G7935" i="1"/>
  <c r="G7934" i="1"/>
  <c r="G7933" i="1"/>
  <c r="G7932" i="1"/>
  <c r="G7931" i="1"/>
  <c r="G7930" i="1"/>
  <c r="G7929" i="1"/>
  <c r="G7928" i="1"/>
  <c r="G7927" i="1"/>
  <c r="G7926" i="1"/>
  <c r="G7925" i="1"/>
  <c r="G7924" i="1"/>
  <c r="G7923" i="1"/>
  <c r="G7922" i="1"/>
  <c r="G7921" i="1"/>
  <c r="G7920" i="1"/>
  <c r="G7919" i="1"/>
  <c r="G7918" i="1"/>
  <c r="G7917" i="1"/>
  <c r="G7916" i="1"/>
  <c r="G7915" i="1"/>
  <c r="G7914" i="1"/>
  <c r="G7913" i="1"/>
  <c r="G7912" i="1"/>
  <c r="G7911" i="1"/>
  <c r="G7910" i="1"/>
  <c r="G7909" i="1"/>
  <c r="G7908" i="1"/>
  <c r="G7907" i="1"/>
  <c r="G7906" i="1"/>
  <c r="G7905" i="1"/>
  <c r="G7904" i="1"/>
  <c r="G7903" i="1"/>
  <c r="G7902" i="1"/>
  <c r="G7901" i="1"/>
  <c r="G7900" i="1"/>
  <c r="G7899" i="1"/>
  <c r="G7898" i="1"/>
  <c r="G7897" i="1"/>
  <c r="G7896" i="1"/>
  <c r="G7895" i="1"/>
  <c r="G7894" i="1"/>
  <c r="G7893" i="1"/>
  <c r="G7892" i="1"/>
  <c r="G7891" i="1"/>
  <c r="G7890" i="1"/>
  <c r="G7889" i="1"/>
  <c r="G7888" i="1"/>
  <c r="G7887" i="1"/>
  <c r="G7886" i="1"/>
  <c r="G7885" i="1"/>
  <c r="G7884" i="1"/>
  <c r="G7883" i="1"/>
  <c r="G7882" i="1"/>
  <c r="G7881" i="1"/>
  <c r="G7880" i="1"/>
  <c r="G7879" i="1"/>
  <c r="G7878" i="1"/>
  <c r="G7877" i="1"/>
  <c r="G7876" i="1"/>
  <c r="G7875" i="1"/>
  <c r="G7874" i="1"/>
  <c r="G7873" i="1"/>
  <c r="G7872" i="1"/>
  <c r="G7871" i="1"/>
  <c r="G7870" i="1"/>
  <c r="G7869" i="1"/>
  <c r="G7868" i="1"/>
  <c r="G7867" i="1"/>
  <c r="G7866" i="1"/>
  <c r="G7865" i="1"/>
  <c r="G7864" i="1"/>
  <c r="G7863" i="1"/>
  <c r="G7862" i="1"/>
  <c r="G7861" i="1"/>
  <c r="G7860" i="1"/>
  <c r="G7859" i="1"/>
  <c r="G7858" i="1"/>
  <c r="G7857" i="1"/>
  <c r="G7856" i="1"/>
  <c r="G7855" i="1"/>
  <c r="G7854" i="1"/>
  <c r="G7853" i="1"/>
  <c r="G7852" i="1"/>
  <c r="G7851" i="1"/>
  <c r="G7850" i="1"/>
  <c r="G7849" i="1"/>
  <c r="G7847" i="1"/>
  <c r="G7846" i="1"/>
  <c r="G7845" i="1"/>
  <c r="G7844" i="1"/>
  <c r="G7843" i="1"/>
  <c r="G7842" i="1"/>
  <c r="G7841" i="1"/>
  <c r="G7840" i="1"/>
  <c r="G7839" i="1"/>
  <c r="G7838" i="1"/>
  <c r="G7837" i="1"/>
  <c r="G7836" i="1"/>
  <c r="G7835" i="1"/>
  <c r="G7834" i="1"/>
  <c r="G7833" i="1"/>
  <c r="G7832" i="1"/>
  <c r="G7831" i="1"/>
  <c r="G7830" i="1"/>
  <c r="G7829" i="1"/>
  <c r="G7828" i="1"/>
  <c r="G7827" i="1"/>
  <c r="G7826" i="1"/>
  <c r="G7825" i="1"/>
  <c r="G7824" i="1"/>
  <c r="G7823" i="1"/>
  <c r="G7822" i="1"/>
  <c r="G7821" i="1"/>
  <c r="G7820" i="1"/>
  <c r="G7819" i="1"/>
  <c r="G7818" i="1"/>
  <c r="G7817" i="1"/>
  <c r="G7816" i="1"/>
  <c r="G7815" i="1"/>
  <c r="G7814" i="1"/>
  <c r="G7813" i="1"/>
  <c r="G7812" i="1"/>
  <c r="G7811" i="1"/>
  <c r="G7810" i="1"/>
  <c r="G7809" i="1"/>
  <c r="G7808" i="1"/>
  <c r="G7807" i="1"/>
  <c r="G7806" i="1"/>
  <c r="G7805" i="1"/>
  <c r="G7804" i="1"/>
  <c r="G7803" i="1"/>
  <c r="G7802" i="1"/>
  <c r="G7801" i="1"/>
  <c r="G7800" i="1"/>
  <c r="G7799" i="1"/>
  <c r="G7798" i="1"/>
  <c r="G7797" i="1"/>
  <c r="G7796" i="1"/>
  <c r="G7795" i="1"/>
  <c r="G7794" i="1"/>
  <c r="G7793" i="1"/>
  <c r="G7792" i="1"/>
  <c r="G7791" i="1"/>
  <c r="G7790" i="1"/>
  <c r="G7789" i="1"/>
  <c r="G7788" i="1"/>
  <c r="G7787" i="1"/>
  <c r="G7786" i="1"/>
  <c r="G7785" i="1"/>
  <c r="G7784" i="1"/>
  <c r="G7783" i="1"/>
  <c r="G7782" i="1"/>
  <c r="G7781" i="1"/>
  <c r="G7780" i="1"/>
  <c r="G7779" i="1"/>
  <c r="G7778" i="1"/>
  <c r="G7777" i="1"/>
  <c r="G7776" i="1"/>
  <c r="G7775" i="1"/>
  <c r="G7774" i="1"/>
  <c r="G7773" i="1"/>
  <c r="G7772" i="1"/>
  <c r="G7771" i="1"/>
  <c r="G7770" i="1"/>
  <c r="G7769" i="1"/>
  <c r="G7768" i="1"/>
  <c r="G7767" i="1"/>
  <c r="G7766" i="1"/>
  <c r="G7765" i="1"/>
  <c r="G7764" i="1"/>
  <c r="G7763" i="1"/>
  <c r="G7762" i="1"/>
  <c r="G7761" i="1"/>
  <c r="G7760" i="1"/>
  <c r="G7759" i="1"/>
  <c r="G7758" i="1"/>
  <c r="G7757" i="1"/>
  <c r="G7756" i="1"/>
  <c r="G7755" i="1"/>
  <c r="G7754" i="1"/>
  <c r="G7753" i="1"/>
  <c r="G7752" i="1"/>
  <c r="G7751" i="1"/>
  <c r="G7750" i="1"/>
  <c r="G7749" i="1"/>
  <c r="G7748" i="1"/>
  <c r="G7747" i="1"/>
  <c r="G7746" i="1"/>
  <c r="G7745" i="1"/>
  <c r="G7744" i="1"/>
  <c r="G7743" i="1"/>
  <c r="G7742" i="1"/>
  <c r="G7741" i="1"/>
  <c r="G7740" i="1"/>
  <c r="G7739" i="1"/>
  <c r="G7738" i="1"/>
  <c r="G7737" i="1"/>
  <c r="G7736" i="1"/>
  <c r="G7735" i="1"/>
  <c r="G7734" i="1"/>
  <c r="G7733" i="1"/>
  <c r="G7732" i="1"/>
  <c r="G7731" i="1"/>
  <c r="G7730" i="1"/>
  <c r="G7729" i="1"/>
  <c r="G7728" i="1"/>
  <c r="G7727" i="1"/>
  <c r="G7726" i="1"/>
  <c r="G7725" i="1"/>
  <c r="G7724" i="1"/>
  <c r="G7723" i="1"/>
  <c r="G7722" i="1"/>
  <c r="G7721" i="1"/>
  <c r="G7720" i="1"/>
  <c r="G7719" i="1"/>
  <c r="G7718" i="1"/>
  <c r="G7717" i="1"/>
  <c r="G7716" i="1"/>
  <c r="G7715" i="1"/>
  <c r="G7714" i="1"/>
  <c r="G7713" i="1"/>
  <c r="G7712" i="1"/>
  <c r="G7711" i="1"/>
  <c r="G7709" i="1"/>
  <c r="G7708" i="1"/>
  <c r="G7707" i="1"/>
  <c r="G7706" i="1"/>
  <c r="G7705" i="1"/>
  <c r="G7704" i="1"/>
  <c r="G7703" i="1"/>
  <c r="G7702" i="1"/>
  <c r="G7701" i="1"/>
  <c r="G7700" i="1"/>
  <c r="G7699" i="1"/>
  <c r="G7698" i="1"/>
  <c r="G7697" i="1"/>
  <c r="G7696" i="1"/>
  <c r="G7695" i="1"/>
  <c r="G7694" i="1"/>
  <c r="G7693" i="1"/>
  <c r="G7692" i="1"/>
  <c r="G7691" i="1"/>
  <c r="G7690" i="1"/>
  <c r="G7689" i="1"/>
  <c r="G7688" i="1"/>
  <c r="G7687" i="1"/>
  <c r="G7686" i="1"/>
  <c r="G7685" i="1"/>
  <c r="G7684" i="1"/>
  <c r="G7683" i="1"/>
  <c r="G7682" i="1"/>
  <c r="G7681" i="1"/>
  <c r="G7680" i="1"/>
  <c r="G7679" i="1"/>
  <c r="G7678" i="1"/>
  <c r="G7677" i="1"/>
  <c r="G7675" i="1"/>
  <c r="G7674" i="1"/>
  <c r="G7673" i="1"/>
  <c r="G7672" i="1"/>
  <c r="G7671" i="1"/>
  <c r="G7670" i="1"/>
  <c r="G7669" i="1"/>
  <c r="G7668" i="1"/>
  <c r="G7667" i="1"/>
  <c r="G7666" i="1"/>
  <c r="G7665" i="1"/>
  <c r="G7664" i="1"/>
  <c r="G7663" i="1"/>
  <c r="G7662" i="1"/>
  <c r="G7661" i="1"/>
  <c r="G7660" i="1"/>
  <c r="G7659" i="1"/>
  <c r="G7658" i="1"/>
  <c r="G7657" i="1"/>
  <c r="G7656" i="1"/>
  <c r="G7655" i="1"/>
  <c r="G7654" i="1"/>
  <c r="G7653" i="1"/>
  <c r="G7652" i="1"/>
  <c r="G7651" i="1"/>
  <c r="G7650" i="1"/>
  <c r="G7649" i="1"/>
  <c r="G7648" i="1"/>
  <c r="G7647" i="1"/>
  <c r="G7646" i="1"/>
  <c r="G7645" i="1"/>
  <c r="G7644" i="1"/>
  <c r="G7643" i="1"/>
  <c r="G7642" i="1"/>
  <c r="G7641" i="1"/>
  <c r="G7640" i="1"/>
  <c r="G7639" i="1"/>
  <c r="G7638" i="1"/>
  <c r="G7637" i="1"/>
  <c r="G7636" i="1"/>
  <c r="G7635" i="1"/>
  <c r="G7634" i="1"/>
  <c r="G7633" i="1"/>
  <c r="G7632" i="1"/>
  <c r="G7631" i="1"/>
  <c r="G7630" i="1"/>
  <c r="G7629" i="1"/>
  <c r="G7628" i="1"/>
  <c r="G7627" i="1"/>
  <c r="G7626" i="1"/>
  <c r="G7625" i="1"/>
  <c r="G7624" i="1"/>
  <c r="G7623" i="1"/>
  <c r="G7622" i="1"/>
  <c r="G7621" i="1"/>
  <c r="G7620" i="1"/>
  <c r="G7619" i="1"/>
  <c r="G7618" i="1"/>
  <c r="G7617" i="1"/>
  <c r="G7616" i="1"/>
  <c r="G7615" i="1"/>
  <c r="G7614" i="1"/>
  <c r="G7613" i="1"/>
  <c r="G7612" i="1"/>
  <c r="G7611" i="1"/>
  <c r="G7610" i="1"/>
  <c r="G7609" i="1"/>
  <c r="G7608" i="1"/>
  <c r="G7607" i="1"/>
  <c r="G7606" i="1"/>
  <c r="G7605" i="1"/>
  <c r="G7604" i="1"/>
  <c r="G7603" i="1"/>
  <c r="G7602" i="1"/>
  <c r="G7601" i="1"/>
  <c r="G7600" i="1"/>
  <c r="G7599" i="1"/>
  <c r="G7598" i="1"/>
  <c r="G7597" i="1"/>
  <c r="G7596" i="1"/>
  <c r="G7595" i="1"/>
  <c r="G7594" i="1"/>
  <c r="G7593" i="1"/>
  <c r="G7592" i="1"/>
  <c r="G7591" i="1"/>
  <c r="G7590" i="1"/>
  <c r="G7589" i="1"/>
  <c r="G7588" i="1"/>
  <c r="G7587" i="1"/>
  <c r="G7586" i="1"/>
  <c r="G7585" i="1"/>
  <c r="G7584" i="1"/>
  <c r="G7583" i="1"/>
  <c r="G7582" i="1"/>
  <c r="G7581" i="1"/>
  <c r="G7580" i="1"/>
  <c r="G7579" i="1"/>
  <c r="G7578" i="1"/>
  <c r="G7577" i="1"/>
  <c r="G7576" i="1"/>
  <c r="G7575" i="1"/>
  <c r="G7574" i="1"/>
  <c r="G7573" i="1"/>
  <c r="G7572" i="1"/>
  <c r="G7571" i="1"/>
  <c r="G7570" i="1"/>
  <c r="G7569" i="1"/>
  <c r="G7568" i="1"/>
  <c r="G7567" i="1"/>
  <c r="G7566" i="1"/>
  <c r="G7565" i="1"/>
  <c r="G7564" i="1"/>
  <c r="G7563" i="1"/>
  <c r="G7562" i="1"/>
  <c r="G7561" i="1"/>
  <c r="G7560" i="1"/>
  <c r="G7559" i="1"/>
  <c r="G7558" i="1"/>
  <c r="G7557" i="1"/>
  <c r="G7556" i="1"/>
  <c r="G7555" i="1"/>
  <c r="G7554" i="1"/>
  <c r="G7553" i="1"/>
  <c r="G7552" i="1"/>
  <c r="G7551" i="1"/>
  <c r="G7550" i="1"/>
  <c r="G7549" i="1"/>
  <c r="G7548" i="1"/>
  <c r="G7547" i="1"/>
  <c r="G7546" i="1"/>
  <c r="G7544" i="1"/>
  <c r="G7543" i="1"/>
  <c r="G7542" i="1"/>
  <c r="G7541" i="1"/>
  <c r="G7540" i="1"/>
  <c r="G7539" i="1"/>
  <c r="G7538" i="1"/>
  <c r="G7537" i="1"/>
  <c r="G7536" i="1"/>
  <c r="G7535" i="1"/>
  <c r="G7534" i="1"/>
  <c r="G7533" i="1"/>
  <c r="G7532" i="1"/>
  <c r="G7531" i="1"/>
  <c r="G7530" i="1"/>
  <c r="G7529" i="1"/>
  <c r="G7528" i="1"/>
  <c r="G7527" i="1"/>
  <c r="G7526" i="1"/>
  <c r="G7525" i="1"/>
  <c r="G7524" i="1"/>
  <c r="G7523" i="1"/>
  <c r="G7522" i="1"/>
  <c r="G7521" i="1"/>
  <c r="G7519" i="1"/>
  <c r="G7518" i="1"/>
  <c r="G7517" i="1"/>
  <c r="G7516" i="1"/>
  <c r="G7515" i="1"/>
  <c r="G7514" i="1"/>
  <c r="G7513" i="1"/>
  <c r="G7512" i="1"/>
  <c r="G7511" i="1"/>
  <c r="G7510" i="1"/>
  <c r="G7509" i="1"/>
  <c r="G7508" i="1"/>
  <c r="G7507" i="1"/>
  <c r="G7506" i="1"/>
  <c r="G7505" i="1"/>
  <c r="G7504" i="1"/>
  <c r="G7503" i="1"/>
  <c r="G7502" i="1"/>
  <c r="G7501" i="1"/>
  <c r="G7500" i="1"/>
  <c r="G7499" i="1"/>
  <c r="G7498" i="1"/>
  <c r="G7497" i="1"/>
  <c r="G7496" i="1"/>
  <c r="G7495" i="1"/>
  <c r="G7494" i="1"/>
  <c r="G7493" i="1"/>
  <c r="G7492" i="1"/>
  <c r="G7491" i="1"/>
  <c r="G7490" i="1"/>
  <c r="G7489" i="1"/>
  <c r="G7488" i="1"/>
  <c r="G7487" i="1"/>
  <c r="G7486" i="1"/>
  <c r="G7485" i="1"/>
  <c r="G7484" i="1"/>
  <c r="G7483" i="1"/>
  <c r="G7482" i="1"/>
  <c r="G7481" i="1"/>
  <c r="G7480" i="1"/>
  <c r="G7479" i="1"/>
  <c r="G7478" i="1"/>
  <c r="G7477" i="1"/>
  <c r="G7476" i="1"/>
  <c r="G7475" i="1"/>
  <c r="G7474" i="1"/>
  <c r="G7473" i="1"/>
  <c r="G7472" i="1"/>
  <c r="G7471" i="1"/>
  <c r="G7470" i="1"/>
  <c r="G7469" i="1"/>
  <c r="G7468" i="1"/>
  <c r="G7467" i="1"/>
  <c r="G7466" i="1"/>
  <c r="G7465" i="1"/>
  <c r="G7464" i="1"/>
  <c r="G7463" i="1"/>
  <c r="G7462" i="1"/>
  <c r="G7461" i="1"/>
  <c r="G7460" i="1"/>
  <c r="G7459" i="1"/>
  <c r="G7458" i="1"/>
  <c r="G7457" i="1"/>
  <c r="G7456" i="1"/>
  <c r="G7455" i="1"/>
  <c r="G7454" i="1"/>
  <c r="G7453" i="1"/>
  <c r="G7452" i="1"/>
  <c r="G7451" i="1"/>
  <c r="G7450" i="1"/>
  <c r="G7449" i="1"/>
  <c r="G7448" i="1"/>
  <c r="G7447" i="1"/>
  <c r="G7446" i="1"/>
  <c r="G7445" i="1"/>
  <c r="G7444" i="1"/>
  <c r="G7443" i="1"/>
  <c r="G7442" i="1"/>
  <c r="G7441" i="1"/>
  <c r="G7440" i="1"/>
  <c r="G7439" i="1"/>
  <c r="G7438" i="1"/>
  <c r="G7437" i="1"/>
  <c r="G7436" i="1"/>
  <c r="G7435" i="1"/>
  <c r="G7434" i="1"/>
  <c r="G7433" i="1"/>
  <c r="G7432" i="1"/>
  <c r="G7431" i="1"/>
  <c r="G7430" i="1"/>
  <c r="G7429" i="1"/>
  <c r="G7428" i="1"/>
  <c r="G7427" i="1"/>
  <c r="G7426" i="1"/>
  <c r="G7425" i="1"/>
  <c r="G7424" i="1"/>
  <c r="G7422" i="1"/>
  <c r="G7421" i="1"/>
  <c r="G7420" i="1"/>
  <c r="G7419" i="1"/>
  <c r="G7418" i="1"/>
  <c r="G7417" i="1"/>
  <c r="G7416" i="1"/>
  <c r="G7415" i="1"/>
  <c r="G7414" i="1"/>
  <c r="G7413" i="1"/>
  <c r="G7412" i="1"/>
  <c r="G7411" i="1"/>
  <c r="G7410" i="1"/>
  <c r="G7409" i="1"/>
  <c r="G7408" i="1"/>
  <c r="G7407" i="1"/>
  <c r="G7406" i="1"/>
  <c r="G7405" i="1"/>
  <c r="G7404" i="1"/>
  <c r="G7403" i="1"/>
  <c r="G7402" i="1"/>
  <c r="G7401" i="1"/>
  <c r="G7400" i="1"/>
  <c r="G7399" i="1"/>
  <c r="G7398" i="1"/>
  <c r="G7397" i="1"/>
  <c r="G7396" i="1"/>
  <c r="G7395" i="1"/>
  <c r="G7394" i="1"/>
  <c r="G7393" i="1"/>
  <c r="G7392" i="1"/>
  <c r="G7391" i="1"/>
  <c r="G7390" i="1"/>
  <c r="G7389" i="1"/>
  <c r="G7388" i="1"/>
  <c r="G7387" i="1"/>
  <c r="G7386" i="1"/>
  <c r="G7385" i="1"/>
  <c r="G7384" i="1"/>
  <c r="G7383" i="1"/>
  <c r="G7382" i="1"/>
  <c r="G7381" i="1"/>
  <c r="G7380" i="1"/>
  <c r="G7379" i="1"/>
  <c r="G7378" i="1"/>
  <c r="G7377" i="1"/>
  <c r="G7375" i="1"/>
  <c r="G7374" i="1"/>
  <c r="G7373" i="1"/>
  <c r="G7372" i="1"/>
  <c r="G7371" i="1"/>
  <c r="G7370" i="1"/>
  <c r="G7369" i="1"/>
  <c r="G7368" i="1"/>
  <c r="G7367" i="1"/>
  <c r="G7366" i="1"/>
  <c r="G7365" i="1"/>
  <c r="G7364" i="1"/>
  <c r="G7363" i="1"/>
  <c r="G7362" i="1"/>
  <c r="G7361" i="1"/>
  <c r="G7360" i="1"/>
  <c r="G7359" i="1"/>
  <c r="G7358" i="1"/>
  <c r="G7357" i="1"/>
  <c r="G7356" i="1"/>
  <c r="G7355" i="1"/>
  <c r="G7354" i="1"/>
  <c r="G7353" i="1"/>
  <c r="G7352" i="1"/>
  <c r="G7350" i="1"/>
  <c r="G7349" i="1"/>
  <c r="G7348" i="1"/>
  <c r="G7347" i="1"/>
  <c r="G7346" i="1"/>
  <c r="G7345" i="1"/>
  <c r="G7344" i="1"/>
  <c r="G7343" i="1"/>
  <c r="G7342" i="1"/>
  <c r="G7341" i="1"/>
  <c r="G7340" i="1"/>
  <c r="G7339" i="1"/>
  <c r="G7337" i="1"/>
  <c r="G7336" i="1"/>
  <c r="G7335" i="1"/>
  <c r="G7334" i="1"/>
  <c r="G7333" i="1"/>
  <c r="G7332" i="1"/>
  <c r="G7331" i="1"/>
  <c r="G7330" i="1"/>
  <c r="G7329" i="1"/>
  <c r="G7328" i="1"/>
  <c r="G7327" i="1"/>
  <c r="G7326" i="1"/>
  <c r="G7325" i="1"/>
  <c r="G7324" i="1"/>
  <c r="G7323" i="1"/>
  <c r="G7322" i="1"/>
  <c r="G7321" i="1"/>
  <c r="G7320" i="1"/>
  <c r="G7319" i="1"/>
  <c r="G7318" i="1"/>
  <c r="G7317" i="1"/>
  <c r="G7316" i="1"/>
  <c r="G7315" i="1"/>
  <c r="G7314" i="1"/>
  <c r="G7313" i="1"/>
  <c r="G7312" i="1"/>
  <c r="G7310" i="1"/>
  <c r="G7309" i="1"/>
  <c r="G7308" i="1"/>
  <c r="G7307" i="1"/>
  <c r="G7306" i="1"/>
  <c r="G7305" i="1"/>
  <c r="G7304" i="1"/>
  <c r="G7303" i="1"/>
  <c r="G7302" i="1"/>
  <c r="G7301" i="1"/>
  <c r="G7300" i="1"/>
  <c r="G7299" i="1"/>
  <c r="G7298" i="1"/>
  <c r="G7297" i="1"/>
  <c r="G7296" i="1"/>
  <c r="G7295" i="1"/>
  <c r="G7294" i="1"/>
  <c r="G7293" i="1"/>
  <c r="G7292" i="1"/>
  <c r="G7291" i="1"/>
  <c r="G7290" i="1"/>
  <c r="G7289" i="1"/>
  <c r="G7288" i="1"/>
  <c r="G7287" i="1"/>
  <c r="G7286" i="1"/>
  <c r="G7285" i="1"/>
  <c r="G7284" i="1"/>
  <c r="G7283" i="1"/>
  <c r="G7282" i="1"/>
  <c r="G7281" i="1"/>
  <c r="G7280" i="1"/>
  <c r="G7279" i="1"/>
  <c r="G7278" i="1"/>
  <c r="G7277" i="1"/>
  <c r="G7276" i="1"/>
  <c r="G7275" i="1"/>
  <c r="G7274" i="1"/>
  <c r="G7273" i="1"/>
  <c r="G7272" i="1"/>
  <c r="G7271" i="1"/>
  <c r="G7270" i="1"/>
  <c r="G7269" i="1"/>
  <c r="G7268" i="1"/>
  <c r="G7267" i="1"/>
  <c r="G7266" i="1"/>
  <c r="G7265" i="1"/>
  <c r="G7264" i="1"/>
  <c r="G7263" i="1"/>
  <c r="G7262" i="1"/>
  <c r="G7261" i="1"/>
  <c r="G7260" i="1"/>
  <c r="G7259" i="1"/>
  <c r="G7258" i="1"/>
  <c r="G7257" i="1"/>
  <c r="G7256" i="1"/>
  <c r="G7255" i="1"/>
  <c r="G7254" i="1"/>
  <c r="G7253" i="1"/>
  <c r="G7252" i="1"/>
  <c r="G7251" i="1"/>
  <c r="G7250" i="1"/>
  <c r="G7249" i="1"/>
  <c r="G7248" i="1"/>
  <c r="G7247" i="1"/>
  <c r="G7246" i="1"/>
  <c r="G7245" i="1"/>
  <c r="G7244" i="1"/>
  <c r="G7243" i="1"/>
  <c r="G7242" i="1"/>
  <c r="G7241" i="1"/>
  <c r="G7240" i="1"/>
  <c r="G7239" i="1"/>
  <c r="G7238" i="1"/>
  <c r="G7237" i="1"/>
  <c r="G7236" i="1"/>
  <c r="G7235" i="1"/>
  <c r="G7234" i="1"/>
  <c r="G7233" i="1"/>
  <c r="G7232" i="1"/>
  <c r="G7231" i="1"/>
  <c r="G7230" i="1"/>
  <c r="G7229" i="1"/>
  <c r="G7228" i="1"/>
  <c r="G7227" i="1"/>
  <c r="G7226" i="1"/>
  <c r="G7225" i="1"/>
  <c r="G7224" i="1"/>
  <c r="G7223" i="1"/>
  <c r="G7222" i="1"/>
  <c r="G7221" i="1"/>
  <c r="G7220" i="1"/>
  <c r="G7219" i="1"/>
  <c r="G7218" i="1"/>
  <c r="G7217" i="1"/>
  <c r="G7216" i="1"/>
  <c r="G7215" i="1"/>
  <c r="G7214" i="1"/>
  <c r="G7213" i="1"/>
  <c r="G7212" i="1"/>
  <c r="G7211" i="1"/>
  <c r="G7210" i="1"/>
  <c r="G7209" i="1"/>
  <c r="G7208" i="1"/>
  <c r="G7207" i="1"/>
  <c r="G7206" i="1"/>
  <c r="G7205" i="1"/>
  <c r="G7204" i="1"/>
  <c r="G7203" i="1"/>
  <c r="G7202" i="1"/>
  <c r="G7201" i="1"/>
  <c r="G7200" i="1"/>
  <c r="G7199" i="1"/>
  <c r="G7198" i="1"/>
  <c r="G7197" i="1"/>
  <c r="G7196" i="1"/>
  <c r="G7195" i="1"/>
  <c r="G7194" i="1"/>
  <c r="G7193" i="1"/>
  <c r="G7192" i="1"/>
  <c r="G7191" i="1"/>
  <c r="G7190" i="1"/>
  <c r="G7189" i="1"/>
  <c r="G7188" i="1"/>
  <c r="G7187" i="1"/>
  <c r="G7186" i="1"/>
  <c r="G7185" i="1"/>
  <c r="G7184" i="1"/>
  <c r="G7183" i="1"/>
  <c r="G7182" i="1"/>
  <c r="G7181" i="1"/>
  <c r="G7180" i="1"/>
  <c r="G7179" i="1"/>
  <c r="G7178" i="1"/>
  <c r="G7177" i="1"/>
  <c r="G7176" i="1"/>
  <c r="G7175" i="1"/>
  <c r="G7174" i="1"/>
  <c r="G7173" i="1"/>
  <c r="G7172" i="1"/>
  <c r="G7171" i="1"/>
  <c r="G7170" i="1"/>
  <c r="G7169" i="1"/>
  <c r="G7168" i="1"/>
  <c r="G7167" i="1"/>
  <c r="G7166" i="1"/>
  <c r="G7165" i="1"/>
  <c r="G7164" i="1"/>
  <c r="G7163" i="1"/>
  <c r="G7162" i="1"/>
  <c r="G7161" i="1"/>
  <c r="G7160" i="1"/>
  <c r="G7159" i="1"/>
  <c r="G7158" i="1"/>
  <c r="G7157" i="1"/>
  <c r="G7156" i="1"/>
  <c r="G7155" i="1"/>
  <c r="G7154" i="1"/>
  <c r="G7153" i="1"/>
  <c r="G7152" i="1"/>
  <c r="G7151" i="1"/>
  <c r="G7150" i="1"/>
  <c r="G7149" i="1"/>
  <c r="G7148" i="1"/>
  <c r="G7147" i="1"/>
  <c r="G7146" i="1"/>
  <c r="G7145" i="1"/>
  <c r="G7144" i="1"/>
  <c r="G7143" i="1"/>
  <c r="G7142" i="1"/>
  <c r="G7141" i="1"/>
  <c r="G7140" i="1"/>
  <c r="G7139" i="1"/>
  <c r="G7138" i="1"/>
  <c r="G7137" i="1"/>
  <c r="G7136" i="1"/>
  <c r="G7135" i="1"/>
  <c r="G7134" i="1"/>
  <c r="G7133" i="1"/>
  <c r="G7132" i="1"/>
  <c r="G7131" i="1"/>
  <c r="G7130" i="1"/>
  <c r="G7129" i="1"/>
  <c r="G7128" i="1"/>
  <c r="G7127" i="1"/>
  <c r="G7126" i="1"/>
  <c r="G7125" i="1"/>
  <c r="G7124" i="1"/>
  <c r="G7123" i="1"/>
  <c r="G7122" i="1"/>
  <c r="G7121" i="1"/>
  <c r="G7120" i="1"/>
  <c r="G7119" i="1"/>
  <c r="G7118" i="1"/>
  <c r="G7117" i="1"/>
  <c r="G7116" i="1"/>
  <c r="G7115" i="1"/>
  <c r="G7114" i="1"/>
  <c r="G7113" i="1"/>
  <c r="G7112" i="1"/>
  <c r="G7110" i="1"/>
  <c r="G7109" i="1"/>
  <c r="G7108" i="1"/>
  <c r="G7107" i="1"/>
  <c r="G7106" i="1"/>
  <c r="G7105" i="1"/>
  <c r="G7104" i="1"/>
  <c r="G7103" i="1"/>
  <c r="G7102" i="1"/>
  <c r="G7101" i="1"/>
  <c r="G7100" i="1"/>
  <c r="G7099" i="1"/>
  <c r="G7098" i="1"/>
  <c r="G7097" i="1"/>
  <c r="G7096" i="1"/>
  <c r="G7095" i="1"/>
  <c r="G7094" i="1"/>
  <c r="G7093" i="1"/>
  <c r="G7092" i="1"/>
  <c r="G7091" i="1"/>
  <c r="G7089" i="1"/>
  <c r="G7088" i="1"/>
  <c r="G7087" i="1"/>
  <c r="G7086" i="1"/>
  <c r="G7085" i="1"/>
  <c r="G7084" i="1"/>
  <c r="G7083" i="1"/>
  <c r="G7082" i="1"/>
  <c r="G7081" i="1"/>
  <c r="G7080" i="1"/>
  <c r="G7079" i="1"/>
  <c r="G7078" i="1"/>
  <c r="G7077" i="1"/>
  <c r="G7076" i="1"/>
  <c r="G7075" i="1"/>
  <c r="G7074" i="1"/>
  <c r="G7073" i="1"/>
  <c r="G7072" i="1"/>
  <c r="G7071" i="1"/>
  <c r="G7070" i="1"/>
  <c r="G7069" i="1"/>
  <c r="G7068" i="1"/>
  <c r="G7067" i="1"/>
  <c r="G7066" i="1"/>
  <c r="G7065" i="1"/>
  <c r="G7064" i="1"/>
  <c r="G7063" i="1"/>
  <c r="G7062" i="1"/>
  <c r="G7061" i="1"/>
  <c r="G7060" i="1"/>
  <c r="G7059" i="1"/>
  <c r="G7058" i="1"/>
  <c r="G7057" i="1"/>
  <c r="G7056" i="1"/>
  <c r="G7055" i="1"/>
  <c r="G7054" i="1"/>
  <c r="G7052" i="1"/>
  <c r="G7051" i="1"/>
  <c r="G7050" i="1"/>
  <c r="G7049" i="1"/>
  <c r="G7048" i="1"/>
  <c r="G7047" i="1"/>
  <c r="G7046" i="1"/>
  <c r="G7045" i="1"/>
  <c r="G7044" i="1"/>
  <c r="G7043" i="1"/>
  <c r="G7042" i="1"/>
  <c r="G7041" i="1"/>
  <c r="G7040" i="1"/>
  <c r="G7039" i="1"/>
  <c r="G7038" i="1"/>
  <c r="G7037" i="1"/>
  <c r="G7036" i="1"/>
  <c r="G7035" i="1"/>
  <c r="G7034" i="1"/>
  <c r="G7033" i="1"/>
  <c r="G7032" i="1"/>
  <c r="G7031" i="1"/>
  <c r="G7030" i="1"/>
  <c r="G7029" i="1"/>
  <c r="G7028" i="1"/>
  <c r="G7027" i="1"/>
  <c r="G7026" i="1"/>
  <c r="G7025" i="1"/>
  <c r="G7024" i="1"/>
  <c r="G7023" i="1"/>
  <c r="G7022" i="1"/>
  <c r="G7021" i="1"/>
  <c r="G7020" i="1"/>
  <c r="G7019" i="1"/>
  <c r="G7018" i="1"/>
  <c r="G7017" i="1"/>
  <c r="G7016" i="1"/>
  <c r="G7015" i="1"/>
  <c r="G7014" i="1"/>
  <c r="G7013" i="1"/>
  <c r="G7012" i="1"/>
  <c r="G7011" i="1"/>
  <c r="G7010" i="1"/>
  <c r="G7009" i="1"/>
  <c r="G7008" i="1"/>
  <c r="G7007" i="1"/>
  <c r="G7006" i="1"/>
  <c r="G7005" i="1"/>
  <c r="G7004" i="1"/>
  <c r="G7003" i="1"/>
  <c r="G7002" i="1"/>
  <c r="G7001" i="1"/>
  <c r="G7000" i="1"/>
  <c r="G6999" i="1"/>
  <c r="G6998" i="1"/>
  <c r="G6997" i="1"/>
  <c r="G6996" i="1"/>
  <c r="G6995" i="1"/>
  <c r="G6994" i="1"/>
  <c r="G6993" i="1"/>
  <c r="G6992" i="1"/>
  <c r="G6991" i="1"/>
  <c r="G6990" i="1"/>
  <c r="G6989" i="1"/>
  <c r="G6988" i="1"/>
  <c r="G6987" i="1"/>
  <c r="G6986" i="1"/>
  <c r="G6985" i="1"/>
  <c r="G6984" i="1"/>
  <c r="G6983" i="1"/>
  <c r="G6982" i="1"/>
  <c r="G6981" i="1"/>
  <c r="G6980" i="1"/>
  <c r="G6979" i="1"/>
  <c r="G6978" i="1"/>
  <c r="G6977" i="1"/>
  <c r="G6976" i="1"/>
  <c r="G6975" i="1"/>
  <c r="G6974" i="1"/>
  <c r="G6973" i="1"/>
  <c r="G6972" i="1"/>
  <c r="G6971" i="1"/>
  <c r="G6970" i="1"/>
  <c r="G6969" i="1"/>
  <c r="G6968" i="1"/>
  <c r="G6967" i="1"/>
  <c r="G6966" i="1"/>
  <c r="G6965" i="1"/>
  <c r="G6964" i="1"/>
  <c r="G6963" i="1"/>
  <c r="G6962" i="1"/>
  <c r="G6961" i="1"/>
  <c r="G6960" i="1"/>
  <c r="G6959" i="1"/>
  <c r="G6958" i="1"/>
  <c r="G6957" i="1"/>
  <c r="G6956" i="1"/>
  <c r="G6955" i="1"/>
  <c r="G6954" i="1"/>
  <c r="G6953" i="1"/>
  <c r="G6952" i="1"/>
  <c r="G6951" i="1"/>
  <c r="G6950" i="1"/>
  <c r="G6949" i="1"/>
  <c r="G6948" i="1"/>
  <c r="G6947" i="1"/>
  <c r="G6946" i="1"/>
  <c r="G6945" i="1"/>
  <c r="G6944" i="1"/>
  <c r="G6943" i="1"/>
  <c r="G6942" i="1"/>
  <c r="G6941" i="1"/>
  <c r="G6940" i="1"/>
  <c r="G6938" i="1"/>
  <c r="G6937" i="1"/>
  <c r="G6936" i="1"/>
  <c r="G6935" i="1"/>
  <c r="G6934" i="1"/>
  <c r="G6933" i="1"/>
  <c r="G6932" i="1"/>
  <c r="G6931" i="1"/>
  <c r="G6930" i="1"/>
  <c r="G6929" i="1"/>
  <c r="G6928" i="1"/>
  <c r="G6927" i="1"/>
  <c r="G6926" i="1"/>
  <c r="G6925" i="1"/>
  <c r="G6924" i="1"/>
  <c r="G6923" i="1"/>
  <c r="G6922" i="1"/>
  <c r="G6921" i="1"/>
  <c r="G6920" i="1"/>
  <c r="G6919" i="1"/>
  <c r="G6918" i="1"/>
  <c r="G6917" i="1"/>
  <c r="G6916" i="1"/>
  <c r="G6915" i="1"/>
  <c r="G6914" i="1"/>
  <c r="G6913" i="1"/>
  <c r="G6912" i="1"/>
  <c r="G6911" i="1"/>
  <c r="G6910" i="1"/>
  <c r="G6909" i="1"/>
  <c r="G6908" i="1"/>
  <c r="G6907" i="1"/>
  <c r="G6906" i="1"/>
  <c r="G6905" i="1"/>
  <c r="G6904" i="1"/>
  <c r="G6903" i="1"/>
  <c r="G6902" i="1"/>
  <c r="G6901" i="1"/>
  <c r="G6900" i="1"/>
  <c r="G6899" i="1"/>
  <c r="G6898" i="1"/>
  <c r="G6897" i="1"/>
  <c r="G6896" i="1"/>
  <c r="G6895" i="1"/>
  <c r="G6894" i="1"/>
  <c r="G6893" i="1"/>
  <c r="G6892" i="1"/>
  <c r="G6891" i="1"/>
  <c r="G6890" i="1"/>
  <c r="G6889" i="1"/>
  <c r="G6888" i="1"/>
  <c r="G6887" i="1"/>
  <c r="G6886" i="1"/>
  <c r="G6885" i="1"/>
  <c r="G6884" i="1"/>
  <c r="G6883" i="1"/>
  <c r="G6882" i="1"/>
  <c r="G6881" i="1"/>
  <c r="G6880" i="1"/>
  <c r="G6879" i="1"/>
  <c r="G6878" i="1"/>
  <c r="G6877" i="1"/>
  <c r="G6876" i="1"/>
  <c r="G6875" i="1"/>
  <c r="G6874" i="1"/>
  <c r="G6873" i="1"/>
  <c r="G6872" i="1"/>
  <c r="G6871" i="1"/>
  <c r="G6870" i="1"/>
  <c r="G6869" i="1"/>
  <c r="G6868" i="1"/>
  <c r="G6867" i="1"/>
  <c r="G6866" i="1"/>
  <c r="G6865" i="1"/>
  <c r="G6864" i="1"/>
  <c r="G6863" i="1"/>
  <c r="G6862" i="1"/>
  <c r="G6861" i="1"/>
  <c r="G6860" i="1"/>
  <c r="G6859" i="1"/>
  <c r="G6858" i="1"/>
  <c r="G6857" i="1"/>
  <c r="G6856" i="1"/>
  <c r="G6855" i="1"/>
  <c r="G6854" i="1"/>
  <c r="G6853" i="1"/>
  <c r="G6852" i="1"/>
  <c r="G6851" i="1"/>
  <c r="G6850" i="1"/>
  <c r="G6849" i="1"/>
  <c r="G6848" i="1"/>
  <c r="G6847" i="1"/>
  <c r="G6846" i="1"/>
  <c r="G6845" i="1"/>
  <c r="G6844" i="1"/>
  <c r="G6843" i="1"/>
  <c r="G6842" i="1"/>
  <c r="G6841" i="1"/>
  <c r="G6840" i="1"/>
  <c r="G6839" i="1"/>
  <c r="G6838" i="1"/>
  <c r="G6837" i="1"/>
  <c r="G6836" i="1"/>
  <c r="G6835" i="1"/>
  <c r="G6834" i="1"/>
  <c r="G6833" i="1"/>
  <c r="G6832" i="1"/>
  <c r="G6831" i="1"/>
  <c r="G6830" i="1"/>
  <c r="G6829" i="1"/>
  <c r="G6828" i="1"/>
  <c r="G6827" i="1"/>
  <c r="G6825" i="1"/>
  <c r="G6824" i="1"/>
  <c r="G6823" i="1"/>
  <c r="G6822" i="1"/>
  <c r="G6821" i="1"/>
  <c r="G6820" i="1"/>
  <c r="G6819" i="1"/>
  <c r="G6818" i="1"/>
  <c r="G6817" i="1"/>
  <c r="G6816" i="1"/>
  <c r="G6815" i="1"/>
  <c r="G6814" i="1"/>
  <c r="G6813" i="1"/>
  <c r="G6812" i="1"/>
  <c r="G6811" i="1"/>
  <c r="G6810" i="1"/>
  <c r="G6809" i="1"/>
  <c r="G6808" i="1"/>
  <c r="G6807" i="1"/>
  <c r="G6806" i="1"/>
  <c r="G6805" i="1"/>
  <c r="G6804" i="1"/>
  <c r="G6803" i="1"/>
  <c r="G6802" i="1"/>
  <c r="G6801" i="1"/>
  <c r="G6800" i="1"/>
  <c r="G6799" i="1"/>
  <c r="G6798" i="1"/>
  <c r="G6797" i="1"/>
  <c r="G6796" i="1"/>
  <c r="G6795" i="1"/>
  <c r="G6794" i="1"/>
  <c r="G6793" i="1"/>
  <c r="G6792" i="1"/>
  <c r="G6791" i="1"/>
  <c r="G6790" i="1"/>
  <c r="G6789" i="1"/>
  <c r="G6788" i="1"/>
  <c r="G6787" i="1"/>
  <c r="G6786" i="1"/>
  <c r="G6785" i="1"/>
  <c r="G6784" i="1"/>
  <c r="G6783" i="1"/>
  <c r="G6782" i="1"/>
  <c r="G6781" i="1"/>
  <c r="G6780" i="1"/>
  <c r="G6779" i="1"/>
  <c r="G6778" i="1"/>
  <c r="G6777" i="1"/>
  <c r="G6776" i="1"/>
  <c r="G6775" i="1"/>
  <c r="G6774" i="1"/>
  <c r="G6773" i="1"/>
  <c r="G6772" i="1"/>
  <c r="G6771" i="1"/>
  <c r="G6770" i="1"/>
  <c r="G6769" i="1"/>
  <c r="G6768" i="1"/>
  <c r="G6767" i="1"/>
  <c r="G6766" i="1"/>
  <c r="G6765" i="1"/>
  <c r="G6764" i="1"/>
  <c r="G6763" i="1"/>
  <c r="G6762" i="1"/>
  <c r="G6761" i="1"/>
  <c r="G6760" i="1"/>
  <c r="G6759" i="1"/>
  <c r="G6758" i="1"/>
  <c r="G6757" i="1"/>
  <c r="G6756" i="1"/>
  <c r="G6755" i="1"/>
  <c r="G6754" i="1"/>
  <c r="G6753" i="1"/>
  <c r="G6752" i="1"/>
  <c r="G6751" i="1"/>
  <c r="G6750" i="1"/>
  <c r="G6749" i="1"/>
  <c r="G6748" i="1"/>
  <c r="G6747" i="1"/>
  <c r="G6746" i="1"/>
  <c r="G6745" i="1"/>
  <c r="G6744" i="1"/>
  <c r="G6743" i="1"/>
  <c r="G6742" i="1"/>
  <c r="G6741" i="1"/>
  <c r="G6740" i="1"/>
  <c r="G6739" i="1"/>
  <c r="G6738" i="1"/>
  <c r="G6737" i="1"/>
  <c r="G6736" i="1"/>
  <c r="G6735" i="1"/>
  <c r="G6734" i="1"/>
  <c r="G6733" i="1"/>
  <c r="G6732" i="1"/>
  <c r="G6731" i="1"/>
  <c r="G6730" i="1"/>
  <c r="G6729" i="1"/>
  <c r="G6728" i="1"/>
  <c r="G6727" i="1"/>
  <c r="G6726" i="1"/>
  <c r="G6725" i="1"/>
  <c r="G6724" i="1"/>
  <c r="G6723" i="1"/>
  <c r="G6722" i="1"/>
  <c r="G6721" i="1"/>
  <c r="G6720" i="1"/>
  <c r="G6719" i="1"/>
  <c r="G6718" i="1"/>
  <c r="G6717" i="1"/>
  <c r="G6716" i="1"/>
  <c r="G6715" i="1"/>
  <c r="G6714" i="1"/>
  <c r="G6713" i="1"/>
  <c r="G6712" i="1"/>
  <c r="G6711" i="1"/>
  <c r="G6710" i="1"/>
  <c r="G6709" i="1"/>
  <c r="G6708" i="1"/>
  <c r="G6707" i="1"/>
  <c r="G6706" i="1"/>
  <c r="G6705" i="1"/>
  <c r="G6704" i="1"/>
  <c r="G6703" i="1"/>
  <c r="G6702" i="1"/>
  <c r="G6701" i="1"/>
  <c r="G6700" i="1"/>
  <c r="G6699" i="1"/>
  <c r="G6698" i="1"/>
  <c r="G6697" i="1"/>
  <c r="G6696" i="1"/>
  <c r="G6695" i="1"/>
  <c r="G6694" i="1"/>
  <c r="G6693" i="1"/>
  <c r="G6692" i="1"/>
  <c r="G6691" i="1"/>
  <c r="G6690" i="1"/>
  <c r="G6689" i="1"/>
  <c r="G6688" i="1"/>
  <c r="G6687" i="1"/>
  <c r="G6686" i="1"/>
  <c r="G6685" i="1"/>
  <c r="G6684" i="1"/>
  <c r="G6683" i="1"/>
  <c r="G6682" i="1"/>
  <c r="G6681" i="1"/>
  <c r="G6680" i="1"/>
  <c r="G6679" i="1"/>
  <c r="G6678" i="1"/>
  <c r="G6677" i="1"/>
  <c r="G6676" i="1"/>
  <c r="G6675" i="1"/>
  <c r="G6674" i="1"/>
  <c r="G6673" i="1"/>
  <c r="G6672" i="1"/>
  <c r="G6671" i="1"/>
  <c r="G6670" i="1"/>
  <c r="G6669" i="1"/>
  <c r="G6668" i="1"/>
  <c r="G6667" i="1"/>
  <c r="G6666" i="1"/>
  <c r="G6665" i="1"/>
  <c r="G6664" i="1"/>
  <c r="G6663" i="1"/>
  <c r="G6662" i="1"/>
  <c r="G6661" i="1"/>
  <c r="G6660" i="1"/>
  <c r="G6659" i="1"/>
  <c r="G6658" i="1"/>
  <c r="G6657" i="1"/>
  <c r="G6656" i="1"/>
  <c r="G6655" i="1"/>
  <c r="G6654" i="1"/>
  <c r="G6653" i="1"/>
  <c r="G6652" i="1"/>
  <c r="G6651" i="1"/>
  <c r="G6650" i="1"/>
  <c r="G6649" i="1"/>
  <c r="G6648" i="1"/>
  <c r="G6647" i="1"/>
  <c r="G6646" i="1"/>
  <c r="G6645" i="1"/>
  <c r="G6644" i="1"/>
  <c r="G6643" i="1"/>
  <c r="G6642" i="1"/>
  <c r="G6641" i="1"/>
  <c r="G6640" i="1"/>
  <c r="G6639" i="1"/>
  <c r="G6638" i="1"/>
  <c r="G6637" i="1"/>
  <c r="G6636" i="1"/>
  <c r="G6635" i="1"/>
  <c r="G6634" i="1"/>
  <c r="G6633" i="1"/>
  <c r="G6632" i="1"/>
  <c r="G6631" i="1"/>
  <c r="G6630" i="1"/>
  <c r="G6629" i="1"/>
  <c r="G6628" i="1"/>
  <c r="G6627" i="1"/>
  <c r="G6626" i="1"/>
  <c r="G6625" i="1"/>
  <c r="G6624" i="1"/>
  <c r="G6623" i="1"/>
  <c r="G6622" i="1"/>
  <c r="G6621" i="1"/>
  <c r="G6620" i="1"/>
  <c r="G6619" i="1"/>
  <c r="G6618" i="1"/>
  <c r="G6617" i="1"/>
  <c r="G6616" i="1"/>
  <c r="G6615" i="1"/>
  <c r="G6614" i="1"/>
  <c r="G6613" i="1"/>
  <c r="G6612" i="1"/>
  <c r="G6611" i="1"/>
  <c r="G6610" i="1"/>
  <c r="G6609" i="1"/>
  <c r="G6608" i="1"/>
  <c r="G6607" i="1"/>
  <c r="G6606" i="1"/>
  <c r="G6605" i="1"/>
  <c r="G6604" i="1"/>
  <c r="G6603" i="1"/>
  <c r="G6602" i="1"/>
  <c r="G6601" i="1"/>
  <c r="G6600" i="1"/>
  <c r="G6599" i="1"/>
  <c r="G6598" i="1"/>
  <c r="G6597" i="1"/>
  <c r="G6596" i="1"/>
  <c r="G6595" i="1"/>
  <c r="G6594" i="1"/>
  <c r="G6593" i="1"/>
  <c r="G6592" i="1"/>
  <c r="G6591" i="1"/>
  <c r="G6590" i="1"/>
  <c r="G6589" i="1"/>
  <c r="G6588" i="1"/>
  <c r="G6587" i="1"/>
  <c r="G6586" i="1"/>
  <c r="G6585" i="1"/>
  <c r="G6584" i="1"/>
  <c r="G6583" i="1"/>
  <c r="G6582" i="1"/>
  <c r="G6581" i="1"/>
  <c r="G6580" i="1"/>
  <c r="G6579" i="1"/>
  <c r="G6578" i="1"/>
  <c r="G6577" i="1"/>
  <c r="G6576" i="1"/>
  <c r="G6575" i="1"/>
  <c r="G6574" i="1"/>
  <c r="G6573" i="1"/>
  <c r="G6572" i="1"/>
  <c r="G6571" i="1"/>
  <c r="G6570" i="1"/>
  <c r="G6569" i="1"/>
  <c r="G6568" i="1"/>
  <c r="G6567" i="1"/>
  <c r="G6566" i="1"/>
  <c r="G6565" i="1"/>
  <c r="G6564" i="1"/>
  <c r="G6563" i="1"/>
  <c r="G6562" i="1"/>
  <c r="G6561" i="1"/>
  <c r="G6560" i="1"/>
  <c r="G6559" i="1"/>
  <c r="G6558" i="1"/>
  <c r="G6557" i="1"/>
  <c r="G6556" i="1"/>
  <c r="G6555" i="1"/>
  <c r="G6554" i="1"/>
  <c r="G6553" i="1"/>
  <c r="G6552" i="1"/>
  <c r="G6551" i="1"/>
  <c r="G6550" i="1"/>
  <c r="G6549" i="1"/>
  <c r="G6548" i="1"/>
  <c r="G6547" i="1"/>
  <c r="G6546" i="1"/>
  <c r="G6545" i="1"/>
  <c r="G6544" i="1"/>
  <c r="G6543" i="1"/>
  <c r="G6542" i="1"/>
  <c r="G6541" i="1"/>
  <c r="G6540" i="1"/>
  <c r="G6539" i="1"/>
  <c r="G6538" i="1"/>
  <c r="G6537" i="1"/>
  <c r="G6536" i="1"/>
  <c r="G6535" i="1"/>
  <c r="G6534" i="1"/>
  <c r="G6533" i="1"/>
  <c r="G6532" i="1"/>
  <c r="G6531" i="1"/>
  <c r="G6530" i="1"/>
  <c r="G6529" i="1"/>
  <c r="G6528" i="1"/>
  <c r="G6527" i="1"/>
  <c r="G6526" i="1"/>
  <c r="G6525" i="1"/>
  <c r="G6524" i="1"/>
  <c r="G6523" i="1"/>
  <c r="G6522" i="1"/>
  <c r="G6521" i="1"/>
  <c r="G6520" i="1"/>
  <c r="G6519" i="1"/>
  <c r="G6518" i="1"/>
  <c r="G6517" i="1"/>
  <c r="G6516" i="1"/>
  <c r="G6515" i="1"/>
  <c r="G6514" i="1"/>
  <c r="G6513" i="1"/>
  <c r="G6512" i="1"/>
  <c r="G6511" i="1"/>
  <c r="G6510" i="1"/>
  <c r="G6509" i="1"/>
  <c r="G6508" i="1"/>
  <c r="G6507" i="1"/>
  <c r="G6506" i="1"/>
  <c r="G6505" i="1"/>
  <c r="G6504" i="1"/>
  <c r="G6503" i="1"/>
  <c r="G6502" i="1"/>
  <c r="G6501" i="1"/>
  <c r="G6500" i="1"/>
  <c r="G6499" i="1"/>
  <c r="G6497" i="1"/>
  <c r="G6496" i="1"/>
  <c r="G6495" i="1"/>
  <c r="G6494" i="1"/>
  <c r="G6493" i="1"/>
  <c r="G6492" i="1"/>
  <c r="G6491" i="1"/>
  <c r="G6490" i="1"/>
  <c r="G6489" i="1"/>
  <c r="G6488" i="1"/>
  <c r="G6487" i="1"/>
  <c r="G6486" i="1"/>
  <c r="G6485" i="1"/>
  <c r="G6484" i="1"/>
  <c r="G6483" i="1"/>
  <c r="G6482" i="1"/>
  <c r="G6481" i="1"/>
  <c r="G6480" i="1"/>
  <c r="G6479" i="1"/>
  <c r="G6478" i="1"/>
  <c r="G6477" i="1"/>
  <c r="G6476" i="1"/>
  <c r="G6474" i="1"/>
  <c r="G6473" i="1"/>
  <c r="G6472" i="1"/>
  <c r="G6471" i="1"/>
  <c r="G6470" i="1"/>
  <c r="G6469" i="1"/>
  <c r="G6468" i="1"/>
  <c r="G6467" i="1"/>
  <c r="G6466" i="1"/>
  <c r="G6465" i="1"/>
  <c r="G6464" i="1"/>
  <c r="G6463" i="1"/>
  <c r="G6462" i="1"/>
  <c r="G6461" i="1"/>
  <c r="G6460" i="1"/>
  <c r="G6459" i="1"/>
  <c r="G6458" i="1"/>
  <c r="G6457" i="1"/>
  <c r="G6456" i="1"/>
  <c r="G6455" i="1"/>
  <c r="G6454" i="1"/>
  <c r="G6453" i="1"/>
  <c r="G6452" i="1"/>
  <c r="G6451" i="1"/>
  <c r="G6450" i="1"/>
  <c r="G6449" i="1"/>
  <c r="G6448" i="1"/>
  <c r="G6447" i="1"/>
  <c r="G6446" i="1"/>
  <c r="G6445" i="1"/>
  <c r="G6444" i="1"/>
  <c r="G6443" i="1"/>
  <c r="G6442" i="1"/>
  <c r="G6441" i="1"/>
  <c r="G6440" i="1"/>
  <c r="G6439" i="1"/>
  <c r="G6438" i="1"/>
  <c r="G6437" i="1"/>
  <c r="G6436" i="1"/>
  <c r="G6435" i="1"/>
  <c r="G6434" i="1"/>
  <c r="G6433" i="1"/>
  <c r="G6432" i="1"/>
  <c r="G6431" i="1"/>
  <c r="G6430" i="1"/>
  <c r="G6429" i="1"/>
  <c r="G6428" i="1"/>
  <c r="G6427" i="1"/>
  <c r="G6426" i="1"/>
  <c r="G6425" i="1"/>
  <c r="G6424" i="1"/>
  <c r="G6423" i="1"/>
  <c r="G6422" i="1"/>
  <c r="G6421" i="1"/>
  <c r="G6420" i="1"/>
  <c r="G6419" i="1"/>
  <c r="G6418" i="1"/>
  <c r="G6417" i="1"/>
  <c r="G6416" i="1"/>
  <c r="G6415" i="1"/>
  <c r="G6414" i="1"/>
  <c r="G6413" i="1"/>
  <c r="G6412" i="1"/>
  <c r="G6411" i="1"/>
  <c r="G6410" i="1"/>
  <c r="G6409" i="1"/>
  <c r="G6408" i="1"/>
  <c r="G6407" i="1"/>
  <c r="G6406" i="1"/>
  <c r="G6405" i="1"/>
  <c r="G6404" i="1"/>
  <c r="G6403" i="1"/>
  <c r="G6402" i="1"/>
  <c r="G6401" i="1"/>
  <c r="G6400" i="1"/>
  <c r="G6399" i="1"/>
  <c r="G6398" i="1"/>
  <c r="G6397" i="1"/>
  <c r="G6396" i="1"/>
  <c r="G6395" i="1"/>
  <c r="G6394" i="1"/>
  <c r="G6393" i="1"/>
  <c r="G6392" i="1"/>
  <c r="G6391" i="1"/>
  <c r="G6390" i="1"/>
  <c r="G6389" i="1"/>
  <c r="G6388" i="1"/>
  <c r="G6387" i="1"/>
  <c r="G6386" i="1"/>
  <c r="G6385" i="1"/>
  <c r="G6384" i="1"/>
  <c r="G6383" i="1"/>
  <c r="G6382" i="1"/>
  <c r="G6381" i="1"/>
  <c r="G6380" i="1"/>
  <c r="G6379" i="1"/>
  <c r="G6378" i="1"/>
  <c r="G6377" i="1"/>
  <c r="G6376" i="1"/>
  <c r="G6375" i="1"/>
  <c r="G6374" i="1"/>
  <c r="G6373" i="1"/>
  <c r="G6372" i="1"/>
  <c r="G6371" i="1"/>
  <c r="G6370" i="1"/>
  <c r="G6369" i="1"/>
  <c r="G6368" i="1"/>
  <c r="G6367" i="1"/>
  <c r="G6366" i="1"/>
  <c r="G6365" i="1"/>
  <c r="G6364" i="1"/>
  <c r="G6363" i="1"/>
  <c r="G6362" i="1"/>
  <c r="G6361" i="1"/>
  <c r="G6360" i="1"/>
  <c r="G6359" i="1"/>
  <c r="G6358" i="1"/>
  <c r="G6357" i="1"/>
  <c r="G6356" i="1"/>
  <c r="G6355" i="1"/>
  <c r="G6354" i="1"/>
  <c r="G6353" i="1"/>
  <c r="G6352" i="1"/>
  <c r="G6351" i="1"/>
  <c r="G6350" i="1"/>
  <c r="G6349" i="1"/>
  <c r="G6348" i="1"/>
  <c r="G6347" i="1"/>
  <c r="G6346" i="1"/>
  <c r="G6345" i="1"/>
  <c r="G6344" i="1"/>
  <c r="G6343" i="1"/>
  <c r="G6342" i="1"/>
  <c r="G6341" i="1"/>
  <c r="G6340" i="1"/>
  <c r="G6339" i="1"/>
  <c r="G6338" i="1"/>
  <c r="G6337" i="1"/>
  <c r="G6336" i="1"/>
  <c r="G6335" i="1"/>
  <c r="G6334" i="1"/>
  <c r="G6333" i="1"/>
  <c r="G6332" i="1"/>
  <c r="G6331" i="1"/>
  <c r="G6329" i="1"/>
  <c r="G6328" i="1"/>
  <c r="G6327" i="1"/>
  <c r="G6326" i="1"/>
  <c r="G6325" i="1"/>
  <c r="G6324" i="1"/>
  <c r="G6323" i="1"/>
  <c r="G6322" i="1"/>
  <c r="G6321" i="1"/>
  <c r="G6320" i="1"/>
  <c r="G6319" i="1"/>
  <c r="G6318" i="1"/>
  <c r="G6317" i="1"/>
  <c r="G6316" i="1"/>
  <c r="G6315" i="1"/>
  <c r="G6314" i="1"/>
  <c r="G6313" i="1"/>
  <c r="G6312" i="1"/>
  <c r="G6311" i="1"/>
  <c r="G6310" i="1"/>
  <c r="G6309" i="1"/>
  <c r="G6308" i="1"/>
  <c r="G6307" i="1"/>
  <c r="G6306" i="1"/>
  <c r="G6305" i="1"/>
  <c r="G6304" i="1"/>
  <c r="G6303" i="1"/>
  <c r="G6302" i="1"/>
  <c r="G6301" i="1"/>
  <c r="G6299" i="1"/>
  <c r="G6298" i="1"/>
  <c r="G6297" i="1"/>
  <c r="G6296" i="1"/>
  <c r="G6295" i="1"/>
  <c r="G6294" i="1"/>
  <c r="G6293" i="1"/>
  <c r="G6292" i="1"/>
  <c r="G6291" i="1"/>
  <c r="G6290" i="1"/>
  <c r="G6289" i="1"/>
  <c r="G6288" i="1"/>
  <c r="G6287" i="1"/>
  <c r="G6286" i="1"/>
  <c r="G6285" i="1"/>
  <c r="G6284" i="1"/>
  <c r="G6283" i="1"/>
  <c r="G6282" i="1"/>
  <c r="G6281" i="1"/>
  <c r="G6280" i="1"/>
  <c r="G6279" i="1"/>
  <c r="G6278" i="1"/>
  <c r="G6277" i="1"/>
  <c r="G6276" i="1"/>
  <c r="G6275" i="1"/>
  <c r="G6274" i="1"/>
  <c r="G6273" i="1"/>
  <c r="G6272" i="1"/>
  <c r="G6271" i="1"/>
  <c r="G6270" i="1"/>
  <c r="G6269" i="1"/>
  <c r="G6268" i="1"/>
  <c r="G6267" i="1"/>
  <c r="G6266" i="1"/>
  <c r="G6265" i="1"/>
  <c r="G6264" i="1"/>
  <c r="G6263" i="1"/>
  <c r="G6262" i="1"/>
  <c r="G6261" i="1"/>
  <c r="G6260" i="1"/>
  <c r="G6259" i="1"/>
  <c r="G6258" i="1"/>
  <c r="G6257" i="1"/>
  <c r="G6256" i="1"/>
  <c r="G6255" i="1"/>
  <c r="G6254" i="1"/>
  <c r="G6253" i="1"/>
  <c r="G6252" i="1"/>
  <c r="G6251" i="1"/>
  <c r="G6250" i="1"/>
  <c r="G6249" i="1"/>
  <c r="G6248" i="1"/>
  <c r="G6247" i="1"/>
  <c r="G6246" i="1"/>
  <c r="G6245" i="1"/>
  <c r="G6244" i="1"/>
  <c r="G6243" i="1"/>
  <c r="G6242" i="1"/>
  <c r="G6241" i="1"/>
  <c r="G6240" i="1"/>
  <c r="G6239" i="1"/>
  <c r="G6238" i="1"/>
  <c r="G6237" i="1"/>
  <c r="G6236" i="1"/>
  <c r="G6235" i="1"/>
  <c r="G6234" i="1"/>
  <c r="G6233" i="1"/>
  <c r="G6232" i="1"/>
  <c r="G6231" i="1"/>
  <c r="G6230" i="1"/>
  <c r="G6229" i="1"/>
  <c r="G6228" i="1"/>
  <c r="G6227" i="1"/>
  <c r="G6226" i="1"/>
  <c r="G6225" i="1"/>
  <c r="G6224" i="1"/>
  <c r="G6223" i="1"/>
  <c r="G6222" i="1"/>
  <c r="G6221" i="1"/>
  <c r="G6220" i="1"/>
  <c r="G6219" i="1"/>
  <c r="G6218" i="1"/>
  <c r="G6217" i="1"/>
  <c r="G6216" i="1"/>
  <c r="G6215" i="1"/>
  <c r="G6214" i="1"/>
  <c r="G6213" i="1"/>
  <c r="G6212" i="1"/>
  <c r="G6211" i="1"/>
  <c r="G6210" i="1"/>
  <c r="G6209" i="1"/>
  <c r="G6208" i="1"/>
  <c r="G6207" i="1"/>
  <c r="G6206" i="1"/>
  <c r="G6205" i="1"/>
  <c r="G6204" i="1"/>
  <c r="G6203" i="1"/>
  <c r="G6202" i="1"/>
  <c r="G6201" i="1"/>
  <c r="G6200" i="1"/>
  <c r="G6199" i="1"/>
  <c r="G6198" i="1"/>
  <c r="G6197" i="1"/>
  <c r="G6196" i="1"/>
  <c r="G6195" i="1"/>
  <c r="G6194" i="1"/>
  <c r="G6193" i="1"/>
  <c r="G6192" i="1"/>
  <c r="G6191" i="1"/>
  <c r="G6190" i="1"/>
  <c r="G6189" i="1"/>
  <c r="G6188" i="1"/>
  <c r="G6187" i="1"/>
  <c r="G6186" i="1"/>
  <c r="G6185" i="1"/>
  <c r="G6184" i="1"/>
  <c r="G6183" i="1"/>
  <c r="G6182" i="1"/>
  <c r="G6181" i="1"/>
  <c r="G6180" i="1"/>
  <c r="G6179" i="1"/>
  <c r="G6178" i="1"/>
  <c r="G6177" i="1"/>
  <c r="G6176" i="1"/>
  <c r="G6175" i="1"/>
  <c r="G6174" i="1"/>
  <c r="G6173" i="1"/>
  <c r="G6172" i="1"/>
  <c r="G6171" i="1"/>
  <c r="G6170" i="1"/>
  <c r="G6169" i="1"/>
  <c r="G6168" i="1"/>
  <c r="G6167" i="1"/>
  <c r="G6166" i="1"/>
  <c r="G6165" i="1"/>
  <c r="G6164" i="1"/>
  <c r="G6163" i="1"/>
  <c r="G6162" i="1"/>
  <c r="G6161" i="1"/>
  <c r="G6160" i="1"/>
  <c r="G6159" i="1"/>
  <c r="G6158" i="1"/>
  <c r="G6157" i="1"/>
  <c r="G6156" i="1"/>
  <c r="G6155" i="1"/>
  <c r="G6154" i="1"/>
  <c r="G6153" i="1"/>
  <c r="G6152" i="1"/>
  <c r="G6151" i="1"/>
  <c r="G6150" i="1"/>
  <c r="G6149" i="1"/>
  <c r="G6148" i="1"/>
  <c r="G6147" i="1"/>
  <c r="G6146" i="1"/>
  <c r="G6145" i="1"/>
  <c r="G6144" i="1"/>
  <c r="G6143" i="1"/>
  <c r="G6142" i="1"/>
  <c r="G6141" i="1"/>
  <c r="G6140" i="1"/>
  <c r="G6139" i="1"/>
  <c r="G6138" i="1"/>
  <c r="G6137" i="1"/>
  <c r="G6136" i="1"/>
  <c r="G6135" i="1"/>
  <c r="G6134" i="1"/>
  <c r="G6133" i="1"/>
  <c r="G6132" i="1"/>
  <c r="G6131" i="1"/>
  <c r="G6130" i="1"/>
  <c r="G6129" i="1"/>
  <c r="G6128" i="1"/>
  <c r="G6127" i="1"/>
  <c r="G6126" i="1"/>
  <c r="G6125" i="1"/>
  <c r="G6124" i="1"/>
  <c r="G6123" i="1"/>
  <c r="G6122" i="1"/>
  <c r="G6121" i="1"/>
  <c r="G6120" i="1"/>
  <c r="G6119" i="1"/>
  <c r="G6118" i="1"/>
  <c r="G6117" i="1"/>
  <c r="G6116" i="1"/>
  <c r="G6115" i="1"/>
  <c r="G6114" i="1"/>
  <c r="G6113" i="1"/>
  <c r="G6112" i="1"/>
  <c r="G6111" i="1"/>
  <c r="G6110" i="1"/>
  <c r="G6109" i="1"/>
  <c r="G6108" i="1"/>
  <c r="G6107" i="1"/>
  <c r="G6106" i="1"/>
  <c r="G6105" i="1"/>
  <c r="G6104" i="1"/>
  <c r="G6103" i="1"/>
  <c r="G6102" i="1"/>
  <c r="G6101" i="1"/>
  <c r="G6100" i="1"/>
  <c r="G6099" i="1"/>
  <c r="G6098" i="1"/>
  <c r="G6097" i="1"/>
  <c r="G6096" i="1"/>
  <c r="G6095" i="1"/>
  <c r="G6094" i="1"/>
  <c r="G6093" i="1"/>
  <c r="G6092" i="1"/>
  <c r="G6091" i="1"/>
  <c r="G6090" i="1"/>
  <c r="G6089" i="1"/>
  <c r="G6088" i="1"/>
  <c r="G6087" i="1"/>
  <c r="G6086" i="1"/>
  <c r="G6085" i="1"/>
  <c r="G6084" i="1"/>
  <c r="G6083" i="1"/>
  <c r="G6082" i="1"/>
  <c r="G6081" i="1"/>
  <c r="G6080" i="1"/>
  <c r="G6079" i="1"/>
  <c r="G6078" i="1"/>
  <c r="G6077" i="1"/>
  <c r="G6076" i="1"/>
  <c r="G6075" i="1"/>
  <c r="G6074" i="1"/>
  <c r="G6073" i="1"/>
  <c r="G6072" i="1"/>
  <c r="G6071" i="1"/>
  <c r="G6070" i="1"/>
  <c r="G6069" i="1"/>
  <c r="G6068" i="1"/>
  <c r="G6067" i="1"/>
  <c r="G6066" i="1"/>
  <c r="G6065" i="1"/>
  <c r="G6064" i="1"/>
  <c r="G6063" i="1"/>
  <c r="G6062" i="1"/>
  <c r="G6061" i="1"/>
  <c r="G6060" i="1"/>
  <c r="G6059" i="1"/>
  <c r="G6058" i="1"/>
  <c r="G6057" i="1"/>
  <c r="G6056" i="1"/>
  <c r="G6055" i="1"/>
  <c r="G6054" i="1"/>
  <c r="G6053" i="1"/>
  <c r="G6052" i="1"/>
  <c r="G6051" i="1"/>
  <c r="G6050" i="1"/>
  <c r="G6049" i="1"/>
  <c r="G6048" i="1"/>
  <c r="G6047" i="1"/>
  <c r="G6046" i="1"/>
  <c r="G6045" i="1"/>
  <c r="G6044" i="1"/>
  <c r="G6043" i="1"/>
  <c r="G6042" i="1"/>
  <c r="G6041" i="1"/>
  <c r="G6040" i="1"/>
  <c r="G6039" i="1"/>
  <c r="G6038" i="1"/>
  <c r="G6037" i="1"/>
  <c r="G6036" i="1"/>
  <c r="G6035" i="1"/>
  <c r="G6034" i="1"/>
  <c r="G6033" i="1"/>
  <c r="G6032" i="1"/>
  <c r="G6031" i="1"/>
  <c r="G6030" i="1"/>
  <c r="G6029" i="1"/>
  <c r="G6028" i="1"/>
  <c r="G6027" i="1"/>
  <c r="G6026" i="1"/>
  <c r="G6025" i="1"/>
  <c r="G6024" i="1"/>
  <c r="G6023" i="1"/>
  <c r="G6022" i="1"/>
  <c r="G6021" i="1"/>
  <c r="G6020" i="1"/>
  <c r="G6019" i="1"/>
  <c r="G6018" i="1"/>
  <c r="G6017" i="1"/>
  <c r="G6016" i="1"/>
  <c r="G6015" i="1"/>
  <c r="G6014" i="1"/>
  <c r="G6013" i="1"/>
  <c r="G6012" i="1"/>
  <c r="G6011" i="1"/>
  <c r="G6010" i="1"/>
  <c r="G6009" i="1"/>
  <c r="G6008" i="1"/>
  <c r="G6007" i="1"/>
  <c r="G6006" i="1"/>
  <c r="G6005" i="1"/>
  <c r="G6004" i="1"/>
  <c r="G6003" i="1"/>
  <c r="G6002" i="1"/>
  <c r="G6001" i="1"/>
  <c r="G6000" i="1"/>
  <c r="G5999" i="1"/>
  <c r="G5998" i="1"/>
  <c r="G5997" i="1"/>
  <c r="G5996" i="1"/>
  <c r="G5995" i="1"/>
  <c r="G5994" i="1"/>
  <c r="G5993" i="1"/>
  <c r="G5992" i="1"/>
  <c r="G5991" i="1"/>
  <c r="G5990" i="1"/>
  <c r="G5989" i="1"/>
  <c r="G5988" i="1"/>
  <c r="G5987" i="1"/>
  <c r="G5986" i="1"/>
  <c r="G5985" i="1"/>
  <c r="G5984" i="1"/>
  <c r="G5983" i="1"/>
  <c r="G5982" i="1"/>
  <c r="G5981" i="1"/>
  <c r="G5980" i="1"/>
  <c r="G5979" i="1"/>
  <c r="G5978" i="1"/>
  <c r="G5977" i="1"/>
  <c r="G5976" i="1"/>
  <c r="G5975" i="1"/>
  <c r="G5974" i="1"/>
  <c r="G5973" i="1"/>
  <c r="G5972" i="1"/>
  <c r="G5971" i="1"/>
  <c r="G5970" i="1"/>
  <c r="G5969" i="1"/>
  <c r="G5968" i="1"/>
  <c r="G5967" i="1"/>
  <c r="G5966" i="1"/>
  <c r="G5965" i="1"/>
  <c r="G5964" i="1"/>
  <c r="G5963" i="1"/>
  <c r="G5962" i="1"/>
  <c r="G5961" i="1"/>
  <c r="G5960" i="1"/>
  <c r="G5959" i="1"/>
  <c r="G5958" i="1"/>
  <c r="G5957" i="1"/>
  <c r="G5956" i="1"/>
  <c r="G5955" i="1"/>
  <c r="G5954" i="1"/>
  <c r="G5953" i="1"/>
  <c r="G5952" i="1"/>
  <c r="G5951" i="1"/>
  <c r="G5950" i="1"/>
  <c r="G5949" i="1"/>
  <c r="G5948" i="1"/>
  <c r="G5947" i="1"/>
  <c r="G5946" i="1"/>
  <c r="G5945" i="1"/>
  <c r="G5944" i="1"/>
  <c r="G5943" i="1"/>
  <c r="G5942" i="1"/>
  <c r="G5941" i="1"/>
  <c r="G5940" i="1"/>
  <c r="G5939" i="1"/>
  <c r="G5938" i="1"/>
  <c r="G5937" i="1"/>
  <c r="G5936" i="1"/>
  <c r="G5935" i="1"/>
  <c r="G5934" i="1"/>
  <c r="G5933" i="1"/>
  <c r="G5932" i="1"/>
  <c r="G5931" i="1"/>
  <c r="G5930" i="1"/>
  <c r="G5928" i="1"/>
  <c r="G5927" i="1"/>
  <c r="G5926" i="1"/>
  <c r="G5925" i="1"/>
  <c r="G5924" i="1"/>
  <c r="G5923" i="1"/>
  <c r="G5922" i="1"/>
  <c r="G5921" i="1"/>
  <c r="G5920" i="1"/>
  <c r="G5919" i="1"/>
  <c r="G5918" i="1"/>
  <c r="G5917" i="1"/>
  <c r="G5916" i="1"/>
  <c r="G5915" i="1"/>
  <c r="G5914" i="1"/>
  <c r="G5913" i="1"/>
  <c r="G5910" i="1"/>
  <c r="G5909" i="1"/>
  <c r="G5908" i="1"/>
  <c r="G5907" i="1"/>
  <c r="G5906" i="1"/>
  <c r="G5905" i="1"/>
  <c r="G5904" i="1"/>
  <c r="G5903" i="1"/>
  <c r="G5902" i="1"/>
  <c r="G5901" i="1"/>
  <c r="G5900" i="1"/>
  <c r="G5899" i="1"/>
  <c r="G5898" i="1"/>
  <c r="G5897" i="1"/>
  <c r="G5896" i="1"/>
  <c r="G5895" i="1"/>
  <c r="G5894" i="1"/>
  <c r="G5893" i="1"/>
  <c r="G5892" i="1"/>
  <c r="G5891" i="1"/>
  <c r="G5890" i="1"/>
  <c r="G5889" i="1"/>
  <c r="G5888" i="1"/>
  <c r="G5887" i="1"/>
  <c r="G5886" i="1"/>
  <c r="G5885" i="1"/>
  <c r="G5884" i="1"/>
  <c r="G5883" i="1"/>
  <c r="G5882" i="1"/>
  <c r="G5881" i="1"/>
  <c r="G5880" i="1"/>
  <c r="G5879" i="1"/>
  <c r="G5878" i="1"/>
  <c r="G5877" i="1"/>
  <c r="G5876" i="1"/>
  <c r="G5875" i="1"/>
  <c r="G5874" i="1"/>
  <c r="G5873" i="1"/>
  <c r="G5872" i="1"/>
  <c r="G5871" i="1"/>
  <c r="G5870" i="1"/>
  <c r="G5869" i="1"/>
  <c r="G5868" i="1"/>
  <c r="G5867" i="1"/>
  <c r="G5866" i="1"/>
  <c r="G5864" i="1"/>
  <c r="G5863" i="1"/>
  <c r="G5862" i="1"/>
  <c r="G5861" i="1"/>
  <c r="G5860" i="1"/>
  <c r="G5859" i="1"/>
  <c r="G5858" i="1"/>
  <c r="G5857" i="1"/>
  <c r="G5856" i="1"/>
  <c r="G5855" i="1"/>
  <c r="G5854" i="1"/>
  <c r="G5853" i="1"/>
  <c r="G5852" i="1"/>
  <c r="G5851" i="1"/>
  <c r="G5850" i="1"/>
  <c r="G5849" i="1"/>
  <c r="G5848" i="1"/>
  <c r="G5847" i="1"/>
  <c r="G5846" i="1"/>
  <c r="G5845" i="1"/>
  <c r="G5844" i="1"/>
  <c r="G5843" i="1"/>
  <c r="G5842" i="1"/>
  <c r="G5841" i="1"/>
  <c r="G5840" i="1"/>
  <c r="G5839" i="1"/>
  <c r="G5838" i="1"/>
  <c r="G5837" i="1"/>
  <c r="G5836" i="1"/>
  <c r="G5835" i="1"/>
  <c r="G5834" i="1"/>
  <c r="G5833" i="1"/>
  <c r="G5832" i="1"/>
  <c r="G5831" i="1"/>
  <c r="G5830" i="1"/>
  <c r="G5829" i="1"/>
  <c r="G5828" i="1"/>
  <c r="G5827" i="1"/>
  <c r="G5826" i="1"/>
  <c r="G5825" i="1"/>
  <c r="G5824" i="1"/>
  <c r="G5823" i="1"/>
  <c r="G5822" i="1"/>
  <c r="G5821" i="1"/>
  <c r="G5820" i="1"/>
  <c r="G5819" i="1"/>
  <c r="G5818" i="1"/>
  <c r="G5817" i="1"/>
  <c r="G5816" i="1"/>
  <c r="G5815" i="1"/>
  <c r="G5814" i="1"/>
  <c r="G5813" i="1"/>
  <c r="G5812" i="1"/>
  <c r="G5811" i="1"/>
  <c r="G5810" i="1"/>
  <c r="G5809" i="1"/>
  <c r="G5808" i="1"/>
  <c r="G5807" i="1"/>
  <c r="G5806" i="1"/>
  <c r="G5805" i="1"/>
  <c r="G5804" i="1"/>
  <c r="G5803" i="1"/>
  <c r="G5802" i="1"/>
  <c r="G5801" i="1"/>
  <c r="G5800" i="1"/>
  <c r="G5799" i="1"/>
  <c r="G5798" i="1"/>
  <c r="G5797" i="1"/>
  <c r="G5796" i="1"/>
  <c r="G5795" i="1"/>
  <c r="G5794" i="1"/>
  <c r="G5793" i="1"/>
  <c r="G5792" i="1"/>
  <c r="G5791" i="1"/>
  <c r="G5790" i="1"/>
  <c r="G5789" i="1"/>
  <c r="G5788" i="1"/>
  <c r="G5787" i="1"/>
  <c r="G5786" i="1"/>
  <c r="G5785" i="1"/>
  <c r="G5784" i="1"/>
  <c r="G5783" i="1"/>
  <c r="G5782" i="1"/>
  <c r="G5781" i="1"/>
  <c r="G5780" i="1"/>
  <c r="G5779" i="1"/>
  <c r="G5778" i="1"/>
  <c r="G5777" i="1"/>
  <c r="G5776" i="1"/>
  <c r="G5775" i="1"/>
  <c r="G5774" i="1"/>
  <c r="G5773" i="1"/>
  <c r="G5772" i="1"/>
  <c r="G5771" i="1"/>
  <c r="G5770" i="1"/>
  <c r="G5769" i="1"/>
  <c r="G5768" i="1"/>
  <c r="G5767" i="1"/>
  <c r="G5766" i="1"/>
  <c r="G5765" i="1"/>
  <c r="G5764" i="1"/>
  <c r="G5763" i="1"/>
  <c r="G5762" i="1"/>
  <c r="G5761" i="1"/>
  <c r="G5760" i="1"/>
  <c r="G5759" i="1"/>
  <c r="G5758" i="1"/>
  <c r="G5757" i="1"/>
  <c r="G5756" i="1"/>
  <c r="G5755" i="1"/>
  <c r="G5754" i="1"/>
  <c r="G5753" i="1"/>
  <c r="G5752" i="1"/>
  <c r="G5751" i="1"/>
  <c r="G5750" i="1"/>
  <c r="G5749" i="1"/>
  <c r="G5748" i="1"/>
  <c r="G5747" i="1"/>
  <c r="G5746" i="1"/>
  <c r="G5745" i="1"/>
  <c r="G5744" i="1"/>
  <c r="G5743" i="1"/>
  <c r="G5742" i="1"/>
  <c r="G5741" i="1"/>
  <c r="G5740" i="1"/>
  <c r="G5739" i="1"/>
  <c r="G5738" i="1"/>
  <c r="G5737" i="1"/>
  <c r="G5736" i="1"/>
  <c r="G5735" i="1"/>
  <c r="G5734" i="1"/>
  <c r="G5733" i="1"/>
  <c r="G5732" i="1"/>
  <c r="G5731" i="1"/>
  <c r="G5730" i="1"/>
  <c r="G5729" i="1"/>
  <c r="G5728" i="1"/>
  <c r="G5727" i="1"/>
  <c r="G5726" i="1"/>
  <c r="G5725" i="1"/>
  <c r="G5724" i="1"/>
  <c r="G5723" i="1"/>
  <c r="G5722" i="1"/>
  <c r="G5721" i="1"/>
  <c r="G5720" i="1"/>
  <c r="G5719" i="1"/>
  <c r="G5718" i="1"/>
  <c r="G5717" i="1"/>
  <c r="G5716" i="1"/>
  <c r="G5715" i="1"/>
  <c r="G5714" i="1"/>
  <c r="G5713" i="1"/>
  <c r="G5712" i="1"/>
  <c r="G5711" i="1"/>
  <c r="G5710" i="1"/>
  <c r="G5709" i="1"/>
  <c r="G5708" i="1"/>
  <c r="G5707" i="1"/>
  <c r="G5706" i="1"/>
  <c r="G5704" i="1"/>
  <c r="G5703" i="1"/>
  <c r="G5702" i="1"/>
  <c r="G5701" i="1"/>
  <c r="G5700" i="1"/>
  <c r="G5699" i="1"/>
  <c r="G5698" i="1"/>
  <c r="G5697" i="1"/>
  <c r="G5696" i="1"/>
  <c r="G5695" i="1"/>
  <c r="G5694" i="1"/>
  <c r="G5693" i="1"/>
  <c r="G5692" i="1"/>
  <c r="G5691" i="1"/>
  <c r="G5690" i="1"/>
  <c r="G5689" i="1"/>
  <c r="G5688" i="1"/>
  <c r="G5687" i="1"/>
  <c r="G5686" i="1"/>
  <c r="G5685" i="1"/>
  <c r="G5684" i="1"/>
  <c r="G5683" i="1"/>
  <c r="G5682" i="1"/>
  <c r="G5681"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7" i="1"/>
  <c r="G5636" i="1"/>
  <c r="G5635" i="1"/>
  <c r="G5634" i="1"/>
  <c r="G5633" i="1"/>
  <c r="G5632" i="1"/>
  <c r="G5631" i="1"/>
  <c r="G5630" i="1"/>
  <c r="G5629" i="1"/>
  <c r="G5628" i="1"/>
  <c r="G5627" i="1"/>
  <c r="G5626" i="1"/>
  <c r="G5625" i="1"/>
  <c r="G5624" i="1"/>
  <c r="G5623" i="1"/>
  <c r="G5622" i="1"/>
  <c r="G5621" i="1"/>
  <c r="G5620" i="1"/>
  <c r="G5619" i="1"/>
  <c r="G5618" i="1"/>
  <c r="G5617" i="1"/>
  <c r="G5616" i="1"/>
  <c r="G5615"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70" i="1"/>
  <c r="G5569" i="1"/>
  <c r="G5568" i="1"/>
  <c r="G5567" i="1"/>
  <c r="G5566" i="1"/>
  <c r="G5565" i="1"/>
  <c r="G5564" i="1"/>
  <c r="G5563" i="1"/>
  <c r="G5562" i="1"/>
  <c r="G5561"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0"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40"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2" i="1"/>
  <c r="G5151" i="1"/>
  <c r="G5150" i="1"/>
  <c r="G5149" i="1"/>
  <c r="G5148" i="1"/>
  <c r="G5147" i="1"/>
  <c r="G5146" i="1"/>
  <c r="G5145" i="1"/>
  <c r="G5144" i="1"/>
  <c r="G5143" i="1"/>
  <c r="G5142" i="1"/>
  <c r="G5141" i="1"/>
  <c r="G5140" i="1"/>
  <c r="G5139" i="1"/>
  <c r="G5138" i="1"/>
  <c r="G5137" i="1"/>
  <c r="G5136" i="1"/>
  <c r="G5135" i="1"/>
  <c r="G5134" i="1"/>
  <c r="G5133" i="1"/>
  <c r="G5132" i="1"/>
  <c r="G5131" i="1"/>
  <c r="G5130"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5" i="1"/>
  <c r="G5054" i="1"/>
  <c r="G5053" i="1"/>
  <c r="G5052" i="1"/>
  <c r="G5051" i="1"/>
  <c r="G5050" i="1"/>
  <c r="G5049" i="1"/>
  <c r="G5048" i="1"/>
  <c r="G5047" i="1"/>
  <c r="G5046" i="1"/>
  <c r="G5045" i="1"/>
  <c r="G5044" i="1"/>
  <c r="G5043" i="1"/>
  <c r="G5042" i="1"/>
  <c r="G5041" i="1"/>
  <c r="G5040" i="1"/>
  <c r="G5039" i="1"/>
  <c r="G5038" i="1"/>
  <c r="G5037" i="1"/>
  <c r="G5036" i="1"/>
  <c r="G5035" i="1"/>
  <c r="G5034" i="1"/>
  <c r="G5033" i="1"/>
  <c r="G5032" i="1"/>
  <c r="G5031" i="1"/>
  <c r="G5030" i="1"/>
  <c r="G5029" i="1"/>
  <c r="G5028" i="1"/>
  <c r="G5027" i="1"/>
  <c r="G5026" i="1"/>
  <c r="G5025"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8" i="1"/>
  <c r="G4967" i="1"/>
  <c r="G4966" i="1"/>
  <c r="G4965" i="1"/>
  <c r="G4964" i="1"/>
  <c r="G4963" i="1"/>
  <c r="G4962" i="1"/>
  <c r="G4961" i="1"/>
  <c r="G4960" i="1"/>
  <c r="G4959" i="1"/>
  <c r="G4958" i="1"/>
  <c r="G4957" i="1"/>
  <c r="G4956" i="1"/>
  <c r="G4955" i="1"/>
  <c r="G4954" i="1"/>
  <c r="G4953" i="1"/>
  <c r="G4952" i="1"/>
  <c r="G4951" i="1"/>
  <c r="G4950" i="1"/>
  <c r="G4949" i="1"/>
  <c r="G4948"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7" i="1"/>
  <c r="G4886" i="1"/>
  <c r="G4885" i="1"/>
  <c r="G4884" i="1"/>
  <c r="G4883" i="1"/>
  <c r="G4882" i="1"/>
  <c r="G4881" i="1"/>
  <c r="G4880" i="1"/>
  <c r="G4879" i="1"/>
  <c r="G4878" i="1"/>
  <c r="G4877" i="1"/>
  <c r="G4876" i="1"/>
  <c r="G4875" i="1"/>
  <c r="G4874"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5" i="1"/>
  <c r="G4794" i="1"/>
  <c r="G4793" i="1"/>
  <c r="G4792" i="1"/>
  <c r="G4791" i="1"/>
  <c r="G4790" i="1"/>
  <c r="G4789" i="1"/>
  <c r="G4788" i="1"/>
  <c r="G4787" i="1"/>
  <c r="G4786" i="1"/>
  <c r="G4785" i="1"/>
  <c r="G4784"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20" i="1"/>
  <c r="G4419" i="1"/>
  <c r="G4418" i="1"/>
  <c r="G4417" i="1"/>
  <c r="G4416" i="1"/>
  <c r="G4415" i="1"/>
  <c r="G4414" i="1"/>
  <c r="G4413" i="1"/>
  <c r="G4412" i="1"/>
  <c r="G4411"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4"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1" refreshedVersion="3" savePassword="1" background="1">
    <dbPr connection="DSN=AssessPro - Washoe;Description=Used by AssessPro;UID=print;PWD=a;APP=2007 Microsoft Office system;WSID=ASSR266093;DATABASE=AssessPro;Network=DBMSSOCN" command="SELECT WashoeQI2010YTD.APN, WashoeQI2010YTD.AddRec, WashoeQI2010YTD.Situs, WashoeQI2010YTD.SalesDate, WashoeQI2010YTD.SalePrice, WashoeQI2010YTD.SaleVerf, WashoeQI2010YTD.RecDoc, WashoeQI2010YTD.Subdivision, WashoeQI2010YTD.YearBlt, WashoeQI2010YTD.WAY, WashoeQI2010YTD.BldgType, WashoeQI2010YTD.Stories, WashoeQI2010YTD.BldgSF, WashoeQI2010YTD.Grade, WashoeQI2010YTD.Beds, WashoeQI2010YTD.FullBaths, WashoeQI2010YTD.HalfBaths, WashoeQI2010YTD.HeatType, WashoeQI2010YTD.ExtWalls, WashoeQI2010YTD.RoofType, WashoeQI2010YTD.GarType, WashoeQI2010YTD.GarArea, WashoeQI2010YTD.BsmtType, WashoeQI2010YTD.BsmtArea, WashoeQI2010YTD.LandUseAtSale, WashoeQI2010YTD.Zoning, WashoeQI2010YTD.Acres, WashoeQI2010YTD.Owner1, WashoeQI2010YTD.AddOwner, WashoeQI2010YTD.Mailing1, WashoeQI2010YTD.Mailing2, WashoeQI2010YTD.City, WashoeQI2010YTD.State, WashoeQI2010YTD.Zip, WashoeQI2010YTD.PriorOwner, WashoeQI2010YTD.PriorPID, WashoeQI2010YTD.LegalDesc, WashoeQI2010YTD.TaxDist, WashoeQI2010YTD.TotalUnits, WashoeQI2010YTD.Neighborhood_x000d__x000a_FROM AssessPro.dbo.WashoeQI2010YTD WashoeQI2010YTD"/>
  </connection>
  <connection id="2" xr16:uid="{00000000-0015-0000-FFFF-FFFF01000000}" name="Connection1" type="1" refreshedVersion="3" savePassword="1" background="1">
    <dbPr connection="DSN=AssessPro - Washoe;Description=Used by AssessPro;UID=print;PWD=a;APP=2007 Microsoft Office system;WSID=ASSR266093;DATABASE=AssessPro;Network=DBMSSOCN" command="SELECT WashoeQI2010YTD.APN, WashoeQI2010YTD.AddRec, WashoeQI2010YTD.Situs, WashoeQI2010YTD.SalesDate, WashoeQI2010YTD.SalePrice, WashoeQI2010YTD.SaleVerf, WashoeQI2010YTD.RecDoc, WashoeQI2010YTD.Subdivision, WashoeQI2010YTD.YearBlt, WashoeQI2010YTD.WAY, WashoeQI2010YTD.BldgType, WashoeQI2010YTD.Stories, WashoeQI2010YTD.BldgSF, WashoeQI2010YTD.Grade, WashoeQI2010YTD.Beds, WashoeQI2010YTD.FullBaths, WashoeQI2010YTD.HalfBaths, WashoeQI2010YTD.HeatType, WashoeQI2010YTD.ExtWalls, WashoeQI2010YTD.RoofType, WashoeQI2010YTD.GarType, WashoeQI2010YTD.GarArea, WashoeQI2010YTD.BsmtType, WashoeQI2010YTD.BsmtArea, WashoeQI2010YTD.LandUseAtSale, WashoeQI2010YTD.Zoning, WashoeQI2010YTD.Acres, WashoeQI2010YTD.Owner1, WashoeQI2010YTD.AddOwner, WashoeQI2010YTD.Mailing1, WashoeQI2010YTD.Mailing2, WashoeQI2010YTD.City, WashoeQI2010YTD.State, WashoeQI2010YTD.Zip, WashoeQI2010YTD.PriorOwner, WashoeQI2010YTD.PriorPID, WashoeQI2010YTD.LegalDesc, WashoeQI2010YTD.TaxDist, WashoeQI2010YTD.TotalUnits, WashoeQI2010YTD.Neighborhood_x000d__x000a_FROM AssessPro.dbo.WashoeQI2010YTD WashoeQI2010YTD"/>
  </connection>
  <connection id="3" xr16:uid="{00000000-0015-0000-FFFF-FFFF02000000}" name="Connection2" type="1" refreshedVersion="3" savePassword="1" background="1">
    <dbPr connection="DSN=AssessPro - Washoe;Description=Used by AssessPro;UID=print;PWD=a;APP=2007 Microsoft Office system;WSID=ASSR266093;DATABASE=AssessPro;Network=DBMSSOCN" command="SELECT WashoeQI2010YTD.APN, WashoeQI2010YTD.AddRec, WashoeQI2010YTD.Situs, WashoeQI2010YTD.SalesDate, WashoeQI2010YTD.SalePrice, WashoeQI2010YTD.SaleVerf, WashoeQI2010YTD.RecDoc, WashoeQI2010YTD.Subdivision, WashoeQI2010YTD.YearBlt, WashoeQI2010YTD.WAY, WashoeQI2010YTD.BldgType, WashoeQI2010YTD.Stories, WashoeQI2010YTD.BldgSF, WashoeQI2010YTD.Grade, WashoeQI2010YTD.Beds, WashoeQI2010YTD.FullBaths, WashoeQI2010YTD.HalfBaths, WashoeQI2010YTD.HeatType, WashoeQI2010YTD.ExtWalls, WashoeQI2010YTD.RoofType, WashoeQI2010YTD.GarType, WashoeQI2010YTD.GarArea, WashoeQI2010YTD.BsmtType, WashoeQI2010YTD.BsmtArea, WashoeQI2010YTD.LandUseAtSale, WashoeQI2010YTD.Zoning, WashoeQI2010YTD.Acres, WashoeQI2010YTD.Owner1, WashoeQI2010YTD.AddOwner, WashoeQI2010YTD.Mailing1, WashoeQI2010YTD.Mailing2, WashoeQI2010YTD.City, WashoeQI2010YTD.State, WashoeQI2010YTD.Zip, WashoeQI2010YTD.PriorOwner, WashoeQI2010YTD.PriorPID, WashoeQI2010YTD.LegalDesc, WashoeQI2010YTD.TaxDist, WashoeQI2010YTD.TotalUnits, WashoeQI2010YTD.Neighborhood_x000d__x000a_FROM AssessPro.dbo.WashoeQI2010YTD WashoeQI2010YTD"/>
  </connection>
</connections>
</file>

<file path=xl/sharedStrings.xml><?xml version="1.0" encoding="utf-8"?>
<sst xmlns="http://schemas.openxmlformats.org/spreadsheetml/2006/main" count="208628" uniqueCount="38888">
  <si>
    <t>SMITH, GERAD D et al</t>
  </si>
  <si>
    <t xml:space="preserve">ZMAILA, KATRINA </t>
  </si>
  <si>
    <t>KBCZ</t>
  </si>
  <si>
    <t xml:space="preserve">ASHURST FAMILY TRUST  </t>
  </si>
  <si>
    <t>026-012-11</t>
  </si>
  <si>
    <t>HERNANDEZ, FELIPE F et al</t>
  </si>
  <si>
    <t>505 APPLE ST</t>
  </si>
  <si>
    <t>nv</t>
  </si>
  <si>
    <t xml:space="preserve">BURGER REVOCABLE TRUST, MARGARET A  </t>
  </si>
  <si>
    <t>007-284-13</t>
  </si>
  <si>
    <t>NORTHSTAR RANCH 1</t>
  </si>
  <si>
    <t xml:space="preserve">GREATER NEVADA CREDIT UNION </t>
  </si>
  <si>
    <t>SPRINGLAND VILLAGE AMD 3</t>
  </si>
  <si>
    <t>234-012-05</t>
  </si>
  <si>
    <t>16610 SNOW FLOWER DR</t>
  </si>
  <si>
    <t>4602 NEIL RD</t>
  </si>
  <si>
    <t>003-620-15</t>
  </si>
  <si>
    <t>089-151-42</t>
  </si>
  <si>
    <t xml:space="preserve">PINNACLE LAND HOLDINGS LLC </t>
  </si>
  <si>
    <t>TOSCANA @ D`ANDREA 2B</t>
  </si>
  <si>
    <t>402-110-10</t>
  </si>
  <si>
    <t>MONTREUX 3</t>
  </si>
  <si>
    <t>HV-2/HV-3</t>
  </si>
  <si>
    <t xml:space="preserve">SAN JOSE </t>
  </si>
  <si>
    <t>148-010-20</t>
  </si>
  <si>
    <t>JCJD</t>
  </si>
  <si>
    <t>DMDC</t>
  </si>
  <si>
    <t>6230 INGLESTON DR</t>
  </si>
  <si>
    <t>PIONEER MEADOWS VLG 4A UT 1</t>
  </si>
  <si>
    <t>528-200-01</t>
  </si>
  <si>
    <t>NORTH SPRINGS EST 2</t>
  </si>
  <si>
    <t>089-460-21</t>
  </si>
  <si>
    <t>HADD</t>
  </si>
  <si>
    <t>NORTH SPRINGS EST 3</t>
  </si>
  <si>
    <t>530-140-05</t>
  </si>
  <si>
    <t>WILD HAWK RIDGE 1</t>
  </si>
  <si>
    <t>161-011-03</t>
  </si>
  <si>
    <t>DOUBLE DIAMOND RANCH 7</t>
  </si>
  <si>
    <t>161-180-06</t>
  </si>
  <si>
    <t>96145</t>
  </si>
  <si>
    <t>R/S 210148</t>
  </si>
  <si>
    <t>001-052-48</t>
  </si>
  <si>
    <t>1675 PINECREST CT</t>
  </si>
  <si>
    <t>PM 4469</t>
  </si>
  <si>
    <t>SPANISH SPRINGS SUB</t>
  </si>
  <si>
    <t>94552</t>
  </si>
  <si>
    <t xml:space="preserve">SENN, KATIE M </t>
  </si>
  <si>
    <t xml:space="preserve">BARBA, ALEXANDER D &amp; ADAM P </t>
  </si>
  <si>
    <t xml:space="preserve">HOMEYER LIVING TRUST  </t>
  </si>
  <si>
    <t>PM 4685</t>
  </si>
  <si>
    <t>CORONET SUB 3</t>
  </si>
  <si>
    <t>TRADITIONS AT CAUGHLIN RANCH 2 LT 240 BLK B</t>
  </si>
  <si>
    <t>NORTHGATE 17E</t>
  </si>
  <si>
    <t>1041 BAYWOOD DR</t>
  </si>
  <si>
    <t>WILLOW CREEK STATION 1</t>
  </si>
  <si>
    <t>LEWIS HOMES SPARKS 12K</t>
  </si>
  <si>
    <t>MOGUL HIGHLANDS UNIT 1</t>
  </si>
  <si>
    <t>SIERRA HIGHLANDS UT NO 9B</t>
  </si>
  <si>
    <t xml:space="preserve">THORNTON TRUST, WILLIAM C &amp; BARBARA C  </t>
  </si>
  <si>
    <t xml:space="preserve">MOFFETT, ROBERT S JR &amp; BARBARA L </t>
  </si>
  <si>
    <t>SIERRA HIGHLANDS 12B AMD</t>
  </si>
  <si>
    <t>020-450-08</t>
  </si>
  <si>
    <t>152-010-16</t>
  </si>
  <si>
    <t>11515 DESERT BLOOM DR</t>
  </si>
  <si>
    <t>SIERRA HIGHLANDS 3</t>
  </si>
  <si>
    <t xml:space="preserve">FOGAL, VALORI K </t>
  </si>
  <si>
    <t>FOSTER FAMILY TRUST, ROBERT J &amp; TORY A  et al</t>
  </si>
  <si>
    <t>SCHWARZMANN-SAUTMAN SURV TRST, SUSAN B et al</t>
  </si>
  <si>
    <t>CASTLE RIDGE 1</t>
  </si>
  <si>
    <t>041-243-08</t>
  </si>
  <si>
    <t>528-090-04</t>
  </si>
  <si>
    <t>PIONEER MEADOWS VLG 3 UT 1</t>
  </si>
  <si>
    <t>WINGFIELD SPRINGS 24A</t>
  </si>
  <si>
    <t xml:space="preserve">BANK OF NEW YORK </t>
  </si>
  <si>
    <t>DMEA</t>
  </si>
  <si>
    <t>WINGFIELD SPRINGS 22</t>
  </si>
  <si>
    <t>ACKC</t>
  </si>
  <si>
    <t>EVANS CREEK EST 3</t>
  </si>
  <si>
    <t xml:space="preserve">HOFFMAN FAMILY TRUST  </t>
  </si>
  <si>
    <t>041-100-95</t>
  </si>
  <si>
    <t>OAVD</t>
  </si>
  <si>
    <t>087-430-16</t>
  </si>
  <si>
    <t>INCLINE VILLAGE 3</t>
  </si>
  <si>
    <t>GALENA TERRACE 3</t>
  </si>
  <si>
    <t xml:space="preserve">KOWALCZYK, JOHN S &amp; LAURA </t>
  </si>
  <si>
    <t>049-450-48</t>
  </si>
  <si>
    <t>ARROWCREEK 3</t>
  </si>
  <si>
    <t>LAKE PARK HEIGHTS AMD</t>
  </si>
  <si>
    <t>530 COLGATE CT</t>
  </si>
  <si>
    <t xml:space="preserve">MITCHELL, CYNTHIA </t>
  </si>
  <si>
    <t xml:space="preserve">DALTON FAMILY TRUST  </t>
  </si>
  <si>
    <t>BREITWIESER, RICADEMUS et al</t>
  </si>
  <si>
    <t xml:space="preserve">JUVE, CALEB O &amp; AMIE M </t>
  </si>
  <si>
    <t>4840 KESHMIRI PL</t>
  </si>
  <si>
    <t>NORTHGATE 3A</t>
  </si>
  <si>
    <t>NORTHGATE 2D</t>
  </si>
  <si>
    <t xml:space="preserve">OLSEN, SHAUNA </t>
  </si>
  <si>
    <t>VISTA DEL ORO 2</t>
  </si>
  <si>
    <t>GREENBRAE TERRACE ADD 8</t>
  </si>
  <si>
    <t>TANGLEWOOD EST 2</t>
  </si>
  <si>
    <t>VILLAS AT LAKERIDGE 4</t>
  </si>
  <si>
    <t>6570 OGLALA CT</t>
  </si>
  <si>
    <t>STONE CREEK 7</t>
  </si>
  <si>
    <t>508-020-22</t>
  </si>
  <si>
    <t>STONE CREEK 7 LT 316 BLK A</t>
  </si>
  <si>
    <t>MEYER MEADOWS SUB</t>
  </si>
  <si>
    <t>PARK VERDE</t>
  </si>
  <si>
    <t xml:space="preserve">TAYLOR BEAN &amp; WHITAKER MTG </t>
  </si>
  <si>
    <t>140-020-81</t>
  </si>
  <si>
    <t>PEAVINE VIEW EST 5</t>
  </si>
  <si>
    <t>SILVERADA NORTH 2</t>
  </si>
  <si>
    <t xml:space="preserve">RICKETTS, ANTONY F &amp; CAROLE-ANN </t>
  </si>
  <si>
    <t xml:space="preserve">1820 LAUREL RIDGE DR </t>
  </si>
  <si>
    <t>FR NE4 NW4 SEC 16 TWP 19 RGE 19</t>
  </si>
  <si>
    <t xml:space="preserve">HORTON, MARK P &amp; JULIE A </t>
  </si>
  <si>
    <t xml:space="preserve">TAMASABY, MOHSEN  </t>
  </si>
  <si>
    <t xml:space="preserve">4875 MOUNTAINSHYRE RD </t>
  </si>
  <si>
    <t>202-111-46</t>
  </si>
  <si>
    <t>140-030-40</t>
  </si>
  <si>
    <t>PM 3961</t>
  </si>
  <si>
    <t>090-040-16</t>
  </si>
  <si>
    <t>7178 BEACON DR</t>
  </si>
  <si>
    <t>530-140-11</t>
  </si>
  <si>
    <t>EAGLE CANYON 3</t>
  </si>
  <si>
    <t>RALEIGH HEIGHTS 1</t>
  </si>
  <si>
    <t>40 STORMY CT</t>
  </si>
  <si>
    <t>RENO HIGHLANDS 2 UT 1</t>
  </si>
  <si>
    <t>161-081-02</t>
  </si>
  <si>
    <t>EEAA</t>
  </si>
  <si>
    <t>DOUBLE DIAMOND RANCH 29A</t>
  </si>
  <si>
    <t>161-011-26</t>
  </si>
  <si>
    <t>LEWIS HOMES SPARKS 7A</t>
  </si>
  <si>
    <t xml:space="preserve">YOUNG, RONALD J &amp; MARY D  </t>
  </si>
  <si>
    <t xml:space="preserve">W7051 FOREST GLEN CT </t>
  </si>
  <si>
    <t>GREENVILLE</t>
  </si>
  <si>
    <t>54942</t>
  </si>
  <si>
    <t>127-023-06</t>
  </si>
  <si>
    <t>132-211-24</t>
  </si>
  <si>
    <t xml:space="preserve">BARNETT, JASON D &amp; JAMIE K </t>
  </si>
  <si>
    <t xml:space="preserve">DUTCHER, JESSE J </t>
  </si>
  <si>
    <t xml:space="preserve">NGUYEN FAMILY TRUST  </t>
  </si>
  <si>
    <t>260 JOHN EUGENE CT</t>
  </si>
  <si>
    <t xml:space="preserve">AMERICAN HOME MAKEOVERS LLC </t>
  </si>
  <si>
    <t>RANCHO SAN RAFAEL TH PH I UT 2 LT 41</t>
  </si>
  <si>
    <t>BRUCE 4</t>
  </si>
  <si>
    <t>Yard Imp</t>
  </si>
  <si>
    <t>7145 CREST HILL DR</t>
  </si>
  <si>
    <t>ECFQ</t>
  </si>
  <si>
    <t>NEIE</t>
  </si>
  <si>
    <t xml:space="preserve">PORTLAND </t>
  </si>
  <si>
    <t>HEPPNER 4</t>
  </si>
  <si>
    <t>GAHC</t>
  </si>
  <si>
    <t>GAQD</t>
  </si>
  <si>
    <t xml:space="preserve">CITY NATIONAL BANK </t>
  </si>
  <si>
    <t>2095 REGENT ST</t>
  </si>
  <si>
    <t>MAYBERRY PARK SUB DIV</t>
  </si>
  <si>
    <t>DOUBLE DIAMOND RANCH 29C</t>
  </si>
  <si>
    <t>VILLAGES AT DAMONTE RANCH 16A</t>
  </si>
  <si>
    <t>AHEK</t>
  </si>
  <si>
    <t>DEIC</t>
  </si>
  <si>
    <t>BEGA</t>
  </si>
  <si>
    <t>AMBROSE 1</t>
  </si>
  <si>
    <t>MULT GAR</t>
  </si>
  <si>
    <t>ABNE</t>
  </si>
  <si>
    <t>HIGHLAND PARK</t>
  </si>
  <si>
    <t>ABQF</t>
  </si>
  <si>
    <t>GLENWOOD EST 3</t>
  </si>
  <si>
    <t xml:space="preserve">DALIPOSON REVOCABLE TRUST, JOHN &amp; BARBARA  </t>
  </si>
  <si>
    <t>3131 GREEN RIVER DR</t>
  </si>
  <si>
    <t>SKY COUNTRY EST 3</t>
  </si>
  <si>
    <t>140-020-56</t>
  </si>
  <si>
    <t>VILLAGES AT DAMONTE RANCH 13C</t>
  </si>
  <si>
    <t>SJOSTROM, TODD et al</t>
  </si>
  <si>
    <t xml:space="preserve">GHAFFARY, ABDUL &amp; LATARA </t>
  </si>
  <si>
    <t xml:space="preserve">KASTLE INV HIGHLAND PLACE LLC </t>
  </si>
  <si>
    <t xml:space="preserve">LUPERCIO, BENJAMIN &amp; JANA B </t>
  </si>
  <si>
    <t>141 CHRIS AVE</t>
  </si>
  <si>
    <t xml:space="preserve">PERI, IVA LEE </t>
  </si>
  <si>
    <t xml:space="preserve">SAWYER, THOMAS &amp; GRETCHEN  </t>
  </si>
  <si>
    <t xml:space="preserve">6280 SIERRA MESA DR </t>
  </si>
  <si>
    <t xml:space="preserve">MORGAN, JOHN E &amp; CAREY L  </t>
  </si>
  <si>
    <t xml:space="preserve">2940 BULL RIDER DR </t>
  </si>
  <si>
    <t xml:space="preserve">BR CATRON LLC  </t>
  </si>
  <si>
    <t xml:space="preserve">PETERSON, KEVIN M &amp; SASHA M </t>
  </si>
  <si>
    <t xml:space="preserve">REED, PHILIPP K &amp; GINA P </t>
  </si>
  <si>
    <t xml:space="preserve">SPANGLER, WILLIAM M &amp; JEAN A </t>
  </si>
  <si>
    <t>10023 KENTFIELD PL</t>
  </si>
  <si>
    <t xml:space="preserve">NATIONAL TRANSFER SERVICES LLC </t>
  </si>
  <si>
    <t xml:space="preserve">BAUER FAMILY TRUST  </t>
  </si>
  <si>
    <t>6124 GREENBROOK DR</t>
  </si>
  <si>
    <t xml:space="preserve">ALLEN, DANIEL T &amp; MARY A </t>
  </si>
  <si>
    <t>TAHOE VISTA</t>
  </si>
  <si>
    <t>STERLING RANCH 1</t>
  </si>
  <si>
    <t>1659 DAVIDSON WAY</t>
  </si>
  <si>
    <t>AKGC</t>
  </si>
  <si>
    <t xml:space="preserve">MICCILE, FAY </t>
  </si>
  <si>
    <t xml:space="preserve">HEYDON, TIMOTHY &amp; MARIE </t>
  </si>
  <si>
    <t>AFCA</t>
  </si>
  <si>
    <t xml:space="preserve">LEE FAMILY TRUST  </t>
  </si>
  <si>
    <t>522-921-10</t>
  </si>
  <si>
    <t>SKY VISTA VILLAGE 8A</t>
  </si>
  <si>
    <t xml:space="preserve">CLARK, MICHAEL E </t>
  </si>
  <si>
    <t>550-010-18</t>
  </si>
  <si>
    <t>HOUSTON</t>
  </si>
  <si>
    <t>WINGFIELD SPRINGS 13D PH 2</t>
  </si>
  <si>
    <t>NDCA</t>
  </si>
  <si>
    <t>161-011-20</t>
  </si>
  <si>
    <t>Conv Market</t>
  </si>
  <si>
    <t>CARRIAGE HOUSE</t>
  </si>
  <si>
    <t>OVERLOOK 1B</t>
  </si>
  <si>
    <t xml:space="preserve">NEMETH, KALMAN &amp; SUSAN </t>
  </si>
  <si>
    <t>P O BOX 50081</t>
  </si>
  <si>
    <t>SIERRA HIGHLANDS 11</t>
  </si>
  <si>
    <t>BBHA</t>
  </si>
  <si>
    <t>GALENA TERRACE EST 1</t>
  </si>
  <si>
    <t>FIELDCREEK RANCH 5</t>
  </si>
  <si>
    <t>GREGORY PARK</t>
  </si>
  <si>
    <t>510-085-04</t>
  </si>
  <si>
    <t>DGCA</t>
  </si>
  <si>
    <t>STONE CANYON 9</t>
  </si>
  <si>
    <t>504-580-11</t>
  </si>
  <si>
    <t>NORTHGATE 16G</t>
  </si>
  <si>
    <t>LEWIS LAKESIDE 1</t>
  </si>
  <si>
    <t>2555 CLEAR ACRE LN</t>
  </si>
  <si>
    <t>CLEAR ACRE CONDO AMD</t>
  </si>
  <si>
    <t>ROSEVILLE</t>
  </si>
  <si>
    <t>PARK TERRACE 2 AMD</t>
  </si>
  <si>
    <t>ST JAMES`S VILLAGE 1C</t>
  </si>
  <si>
    <t>046-060-27</t>
  </si>
  <si>
    <t>049-300-40</t>
  </si>
  <si>
    <t>LEWIS HOMES SPARKS 12R</t>
  </si>
  <si>
    <t>RS 831</t>
  </si>
  <si>
    <t xml:space="preserve">SANCHEZ, JUAN A  </t>
  </si>
  <si>
    <t xml:space="preserve">2065 WATERHOUSE RD </t>
  </si>
  <si>
    <t>16500 PYRAMID WAY</t>
  </si>
  <si>
    <t>197 E GROVE ST</t>
  </si>
  <si>
    <t>KARA MIA CONDO 2</t>
  </si>
  <si>
    <t xml:space="preserve">BABCOCK, RODILYN </t>
  </si>
  <si>
    <t>KARA MIA CONDO 2 LT 19 BLK A</t>
  </si>
  <si>
    <t>4</t>
  </si>
  <si>
    <t>AJAQ</t>
  </si>
  <si>
    <t>KEEFER, ADAM R et al</t>
  </si>
  <si>
    <t>6341 PEPPERGRASS DR #75</t>
  </si>
  <si>
    <t xml:space="preserve">EBERHARD, STEPHEN P &amp; MARY A </t>
  </si>
  <si>
    <t xml:space="preserve">BECKETT, JOHN W &amp; LISA D </t>
  </si>
  <si>
    <t xml:space="preserve">BLUMEN, CHRISTOPHER D  </t>
  </si>
  <si>
    <t xml:space="preserve">10285 CAVALRY CIR </t>
  </si>
  <si>
    <t xml:space="preserve">GEE, MASON L </t>
  </si>
  <si>
    <t>25 MOGUL MOUNTAIN CIR</t>
  </si>
  <si>
    <t xml:space="preserve">HARDT, DANA  </t>
  </si>
  <si>
    <t xml:space="preserve">2560 SOLARI DR </t>
  </si>
  <si>
    <t>50 N SIERRA ST PH 12</t>
  </si>
  <si>
    <t xml:space="preserve">HUNT, CINDY L </t>
  </si>
  <si>
    <t>ORCHARD TERRACE ESTATE LLC LLC</t>
  </si>
  <si>
    <t>845 MALLARD PL</t>
  </si>
  <si>
    <t>CARTER, ERIC D et al</t>
  </si>
  <si>
    <t xml:space="preserve">STRULL, DAVID J </t>
  </si>
  <si>
    <t>1750 WELLINGTON WEST</t>
  </si>
  <si>
    <t>GOLDEN HILLS PH 1 LT 68</t>
  </si>
  <si>
    <t>2950 BULL RIDER DR</t>
  </si>
  <si>
    <t>GOLDEN HILLS PH 1 LT 67</t>
  </si>
  <si>
    <t>2915 BULL RIDER DR</t>
  </si>
  <si>
    <t>GOLDEN HILLS PH 1 LT 64</t>
  </si>
  <si>
    <t>2755 BULL RIDER CT</t>
  </si>
  <si>
    <t>GOLDEN HILLS PH 1 LT 43</t>
  </si>
  <si>
    <t>2706 TOBIANO DR</t>
  </si>
  <si>
    <t>GOLDEN HILLS PH 1 LT 83</t>
  </si>
  <si>
    <t>GOLDEN HILLS 2A LT 138</t>
  </si>
  <si>
    <t>GOLDEN HILLS 2A LT 139</t>
  </si>
  <si>
    <t>162 DAISY MAE LN</t>
  </si>
  <si>
    <t>MONTREUX 7B</t>
  </si>
  <si>
    <t xml:space="preserve">LUSK-SMITH FAMILY TRUST  </t>
  </si>
  <si>
    <t>148-010-47</t>
  </si>
  <si>
    <t>JCKE</t>
  </si>
  <si>
    <t>SADDLEHORN 5</t>
  </si>
  <si>
    <t>TIBURON</t>
  </si>
  <si>
    <t>94920</t>
  </si>
  <si>
    <t>LEWIS HOMES SPARKS 12S</t>
  </si>
  <si>
    <t>502-020-10</t>
  </si>
  <si>
    <t>GOLDEN HIGHLANDS 5</t>
  </si>
  <si>
    <t>502-010-11</t>
  </si>
  <si>
    <t>CANYON HILLS 1D</t>
  </si>
  <si>
    <t xml:space="preserve">NOT AVAILABLE </t>
  </si>
  <si>
    <t>NOT SUPPLIED</t>
  </si>
  <si>
    <t>RIVERSIDE HEIGHTS</t>
  </si>
  <si>
    <t xml:space="preserve">PICKUP, ROBERT K </t>
  </si>
  <si>
    <t>AFFQ</t>
  </si>
  <si>
    <t>2161 BARBERRY WAY</t>
  </si>
  <si>
    <t>SIERRA GARDENS MH LT 59 BLK B</t>
  </si>
  <si>
    <t xml:space="preserve">WILLIAMS, VIRGINIA L </t>
  </si>
  <si>
    <t>PO BOX 235</t>
  </si>
  <si>
    <t>LA</t>
  </si>
  <si>
    <t xml:space="preserve">GRAND SLAM PROPERTIES LLC </t>
  </si>
  <si>
    <t>PM 786</t>
  </si>
  <si>
    <t>FR NW4 SW4</t>
  </si>
  <si>
    <t>522-100-21</t>
  </si>
  <si>
    <t>CRAMPTON ADD</t>
  </si>
  <si>
    <t>CLEARACRE GARDEN NO 2</t>
  </si>
  <si>
    <t>10775 DOUBLE R BLVD</t>
  </si>
  <si>
    <t>CREST</t>
  </si>
  <si>
    <t xml:space="preserve">BIGGS, CHAREESE </t>
  </si>
  <si>
    <t xml:space="preserve"> SPARKS BLVD</t>
  </si>
  <si>
    <t>BLOCK W/EIFS</t>
  </si>
  <si>
    <t xml:space="preserve"> SOMERSETT PKWY</t>
  </si>
  <si>
    <t xml:space="preserve"> DOUBLE DIAMOND PKWY</t>
  </si>
  <si>
    <t xml:space="preserve">530 E PATRIOT BLVD #143 </t>
  </si>
  <si>
    <t xml:space="preserve"> DOUBLE R BLVD</t>
  </si>
  <si>
    <t xml:space="preserve">SULLIVAN REVOCABLE TRUST, IONA B  </t>
  </si>
  <si>
    <t>1601 RHODODENDRON DR SP 565</t>
  </si>
  <si>
    <t>97439</t>
  </si>
  <si>
    <t xml:space="preserve"> FLOWERING SAGE CT</t>
  </si>
  <si>
    <t xml:space="preserve"> CAVALRY CIR</t>
  </si>
  <si>
    <t xml:space="preserve"> NORTHWOOD BLVD</t>
  </si>
  <si>
    <t>HERMOSA BEACH</t>
  </si>
  <si>
    <t xml:space="preserve"> E INTERSTATE 80</t>
  </si>
  <si>
    <t xml:space="preserve"> SHEEP RANCH CT</t>
  </si>
  <si>
    <t xml:space="preserve"> VISTA OCCHIO</t>
  </si>
  <si>
    <t xml:space="preserve"> VISTA BLVD</t>
  </si>
  <si>
    <t xml:space="preserve"> UNSPECIFIED</t>
  </si>
  <si>
    <t xml:space="preserve"> CLEAR ACRE LN</t>
  </si>
  <si>
    <t xml:space="preserve"> S VIRGINIA ST</t>
  </si>
  <si>
    <t xml:space="preserve">ROLLING, KRISTIN </t>
  </si>
  <si>
    <t xml:space="preserve"> BURNS ST</t>
  </si>
  <si>
    <t xml:space="preserve"> VIRGINIA LAKE WAY</t>
  </si>
  <si>
    <t>OMAR, AMIR M et al</t>
  </si>
  <si>
    <t xml:space="preserve">SIERRA VISTA </t>
  </si>
  <si>
    <t>222-120-04</t>
  </si>
  <si>
    <t>OADD</t>
  </si>
  <si>
    <t xml:space="preserve">SPARKS                  </t>
  </si>
  <si>
    <t>GOLDEN HIGHLANDS 3</t>
  </si>
  <si>
    <t>502-010-07</t>
  </si>
  <si>
    <t>THE MEADOWS 1</t>
  </si>
  <si>
    <t>900 GOLFERS PASS RD</t>
  </si>
  <si>
    <t>CONDO PM 1177</t>
  </si>
  <si>
    <t>BREIMON ACRES</t>
  </si>
  <si>
    <t>COUNTRY CLUB ACRES AMD FR LT 1 BLK H</t>
  </si>
  <si>
    <t xml:space="preserve">ROWLAND, ROBERT G &amp; CHERYL C </t>
  </si>
  <si>
    <t xml:space="preserve">FINN, MICKEY &amp; SHARON </t>
  </si>
  <si>
    <t>DAMONTE RANCH INVESTORS LLC</t>
  </si>
  <si>
    <t>P O BOX 2669</t>
  </si>
  <si>
    <t>208-510-05</t>
  </si>
  <si>
    <t>BAMD</t>
  </si>
  <si>
    <t>PALLADIO LT 1005</t>
  </si>
  <si>
    <t xml:space="preserve">ARNOLD TRUST, MICHAEL   </t>
  </si>
  <si>
    <t>255 N SIERRA ST  # 1204</t>
  </si>
  <si>
    <t>FR NE4 NE4 SEC 22 TWP 19 RGE 19</t>
  </si>
  <si>
    <t>LAAD</t>
  </si>
  <si>
    <t xml:space="preserve">AGUILAR, JOSEPHINE &amp; ARMANDO P </t>
  </si>
  <si>
    <t>845 SOUTHWOOD BLVD</t>
  </si>
  <si>
    <t>CREEKSIDE EAST</t>
  </si>
  <si>
    <t>VILLAGES AT DAMONTE RANCH 17C</t>
  </si>
  <si>
    <t>140-020-46</t>
  </si>
  <si>
    <t>2685 CACTUS VIEW DR</t>
  </si>
  <si>
    <t>FR SW4 NW4</t>
  </si>
  <si>
    <t>FR SW4 NW4 SEC 10 TWP 20 RGE 19</t>
  </si>
  <si>
    <t>DOUBLE DIAMOND RANCH 1A</t>
  </si>
  <si>
    <t>022-353-06</t>
  </si>
  <si>
    <t>522-010-25</t>
  </si>
  <si>
    <t xml:space="preserve">LNV CORPORATION </t>
  </si>
  <si>
    <t xml:space="preserve">NRES-NV1 LLC </t>
  </si>
  <si>
    <t>002-040-36</t>
  </si>
  <si>
    <t>BDEC</t>
  </si>
  <si>
    <t>151 VISTA RAFAEL PKWY</t>
  </si>
  <si>
    <t>EAGLES NEST</t>
  </si>
  <si>
    <t>CONC BLOCK</t>
  </si>
  <si>
    <t>MUNV</t>
  </si>
  <si>
    <t xml:space="preserve">NEUENFELDT, RICHARD </t>
  </si>
  <si>
    <t>EAGLES NEST LT 56 BLK B</t>
  </si>
  <si>
    <t>BHDA</t>
  </si>
  <si>
    <t>SUNNY ACRES 1</t>
  </si>
  <si>
    <t>10285 CAVALRY CIR</t>
  </si>
  <si>
    <t>10200 CAVALRY CIR</t>
  </si>
  <si>
    <t xml:space="preserve">SODHI, KASHMIR S &amp; AJIT K </t>
  </si>
  <si>
    <t>MILANO/NOVARA @ D`ANDREA</t>
  </si>
  <si>
    <t xml:space="preserve">FETT, LARRY G </t>
  </si>
  <si>
    <t>VISTA HEIGHTS SOUTH 2</t>
  </si>
  <si>
    <t>518-150-06</t>
  </si>
  <si>
    <t xml:space="preserve">NRES NV3 LLC </t>
  </si>
  <si>
    <t xml:space="preserve">PNC MORTGAGE </t>
  </si>
  <si>
    <t>EBAD</t>
  </si>
  <si>
    <t>900 SOUTH MEADOWS PKWY</t>
  </si>
  <si>
    <t>TANAMERA CONDOMINIUMS 2</t>
  </si>
  <si>
    <t>MF21</t>
  </si>
  <si>
    <t>BAJC</t>
  </si>
  <si>
    <t>NORTHGATE 11D</t>
  </si>
  <si>
    <t xml:space="preserve">SF9 </t>
  </si>
  <si>
    <t>AGFK</t>
  </si>
  <si>
    <t>VILLAGE GREEN 1</t>
  </si>
  <si>
    <t>IDBF</t>
  </si>
  <si>
    <t>FIELDCREEK RANCH 3</t>
  </si>
  <si>
    <t>STONE VENEER</t>
  </si>
  <si>
    <t>049-241-01</t>
  </si>
  <si>
    <t>PLEASANT VALLEY RANCHOS 2</t>
  </si>
  <si>
    <t>SIERRA LOMA 1</t>
  </si>
  <si>
    <t>RENO HIGHLANDS 2 UT 2</t>
  </si>
  <si>
    <t>AFVE</t>
  </si>
  <si>
    <t>200 W 2ND ST</t>
  </si>
  <si>
    <t>RIVERWALK CONDOMINIUMS</t>
  </si>
  <si>
    <t>14</t>
  </si>
  <si>
    <t>AOCA</t>
  </si>
  <si>
    <t>ABWF</t>
  </si>
  <si>
    <t>RIVER RUN UNIT II</t>
  </si>
  <si>
    <t>50 N SIERRA ST</t>
  </si>
  <si>
    <t>WINGFIELD SPRINGS 17C</t>
  </si>
  <si>
    <t>522-791-02</t>
  </si>
  <si>
    <t xml:space="preserve">KESSLER, MARC J </t>
  </si>
  <si>
    <t>PLATEROS, SATURNINO J et al</t>
  </si>
  <si>
    <t>PO BOX 34312</t>
  </si>
  <si>
    <t>7275 PROVENCE CIR</t>
  </si>
  <si>
    <t xml:space="preserve">S &amp; L INVESTMENTS, LLC </t>
  </si>
  <si>
    <t>59 DAMONTE RANCH PKWY #B-198</t>
  </si>
  <si>
    <t>CEIL RAD EL</t>
  </si>
  <si>
    <t>IGBG</t>
  </si>
  <si>
    <t>HIDDEN MEADOWS 5A</t>
  </si>
  <si>
    <t>051-540-12</t>
  </si>
  <si>
    <t>NEGE</t>
  </si>
  <si>
    <t>89520</t>
  </si>
  <si>
    <t>KAAZ</t>
  </si>
  <si>
    <t>VINEYARDS VILLAGE 3</t>
  </si>
  <si>
    <t>PALLADIO</t>
  </si>
  <si>
    <t>13</t>
  </si>
  <si>
    <t>CURTAIN-EIFS</t>
  </si>
  <si>
    <t>011-115-07</t>
  </si>
  <si>
    <t>AOFA</t>
  </si>
  <si>
    <t>PA</t>
  </si>
  <si>
    <t>FR SE4 NE4</t>
  </si>
  <si>
    <t>Fast FD Rest</t>
  </si>
  <si>
    <t>ABV AVG/HIGH</t>
  </si>
  <si>
    <t>Day Care Ctr</t>
  </si>
  <si>
    <t>FORCED AIR</t>
  </si>
  <si>
    <t>STUD-HRDBD</t>
  </si>
  <si>
    <t>GAEC</t>
  </si>
  <si>
    <t>GRAND SIERRA RESORT PH 1B LT 1810</t>
  </si>
  <si>
    <t>STEAMBOAT SPRINGS ESTS 3</t>
  </si>
  <si>
    <t>MURT</t>
  </si>
  <si>
    <t xml:space="preserve">MONTE VISTA EST </t>
  </si>
  <si>
    <t>MIRAMONTE 2B</t>
  </si>
  <si>
    <t>512-050-08</t>
  </si>
  <si>
    <t>DLLC</t>
  </si>
  <si>
    <t xml:space="preserve">MCNEILL, JOHN R &amp; LISA G </t>
  </si>
  <si>
    <t>FR SW4 SE4 SEC 18 TWP 20 RGE 20 RS 1692</t>
  </si>
  <si>
    <t>7761 MARINER COVE DR</t>
  </si>
  <si>
    <t>WHITE , DAVID  et al</t>
  </si>
  <si>
    <t>TURTLE CREEK 2 LT 312</t>
  </si>
  <si>
    <t xml:space="preserve">READING, GAIL M  </t>
  </si>
  <si>
    <t>DEREVIANKO, ANDREI et al</t>
  </si>
  <si>
    <t xml:space="preserve">HALEY, MICHAEL  </t>
  </si>
  <si>
    <t>150-102-08</t>
  </si>
  <si>
    <t>WOODLAND VILLAGE 10</t>
  </si>
  <si>
    <t>556-120-18</t>
  </si>
  <si>
    <t>FALCONCREST 1 PH 1</t>
  </si>
  <si>
    <t>DBOA</t>
  </si>
  <si>
    <t>MEADOWLANDS 2B</t>
  </si>
  <si>
    <t>SIERRA VISTA VILLAS 1</t>
  </si>
  <si>
    <t>SIERRA HEIGHTS RENO 4</t>
  </si>
  <si>
    <t>599 RABBIT RIDGE CT</t>
  </si>
  <si>
    <t>RS 3850</t>
  </si>
  <si>
    <t>152-280-20</t>
  </si>
  <si>
    <t>RS 3850 LT 1262A</t>
  </si>
  <si>
    <t>EBCD</t>
  </si>
  <si>
    <t>ACRE</t>
  </si>
  <si>
    <t>SKYLINE VILLA TH</t>
  </si>
  <si>
    <t>DESERT HIGHLANDS 4E</t>
  </si>
  <si>
    <t>HAZELCREST NO 4</t>
  </si>
  <si>
    <t>GEFA</t>
  </si>
  <si>
    <t>KANSAS CITY</t>
  </si>
  <si>
    <t>GEDU</t>
  </si>
  <si>
    <t>GLEN MEADOWS VILLAGE</t>
  </si>
  <si>
    <t>VANTAGE POINT 3</t>
  </si>
  <si>
    <t>041-242-04</t>
  </si>
  <si>
    <t>ABDB</t>
  </si>
  <si>
    <t>GALENA FOREST EST 2E PH 4</t>
  </si>
  <si>
    <t>HEPPNER SUBDIVISION NO 4</t>
  </si>
  <si>
    <t>SIERRA HIGHLANDS 9B</t>
  </si>
  <si>
    <t>ARLINGTON HEIGHTS</t>
  </si>
  <si>
    <t>1730 US HIGHWAY 50</t>
  </si>
  <si>
    <t>ENCINO</t>
  </si>
  <si>
    <t>91436</t>
  </si>
  <si>
    <t>NORTHSTAR RANCH PH 4</t>
  </si>
  <si>
    <t>502-552-13</t>
  </si>
  <si>
    <t>4869 RAMCREEK TRL</t>
  </si>
  <si>
    <t xml:space="preserve">ATCHLEY, DAVID &amp; PENNY </t>
  </si>
  <si>
    <t>ORANGEVALE</t>
  </si>
  <si>
    <t>95662</t>
  </si>
  <si>
    <t>BRUCE</t>
  </si>
  <si>
    <t xml:space="preserve">RIISKA, JUDITH S </t>
  </si>
  <si>
    <t xml:space="preserve">MESZAROS, CHARLES J &amp; NANCY L  </t>
  </si>
  <si>
    <t xml:space="preserve">6695 MARBREE DR </t>
  </si>
  <si>
    <t xml:space="preserve">ROWAN, MICHAEL R &amp; SALLY A  </t>
  </si>
  <si>
    <t xml:space="preserve">6683 MARBREE DR </t>
  </si>
  <si>
    <t>757 UNION PACIFIC ST</t>
  </si>
  <si>
    <t>Ind Mfg-Lite</t>
  </si>
  <si>
    <t>FR S2 NE4</t>
  </si>
  <si>
    <t>SURPRISE VALLEY RNCH 3B</t>
  </si>
  <si>
    <t>94541</t>
  </si>
  <si>
    <t>BOULDER CITY</t>
  </si>
  <si>
    <t>1436 E 9TH ST</t>
  </si>
  <si>
    <t>PARK TERRACE 1</t>
  </si>
  <si>
    <t xml:space="preserve">PETER VALVE COMPANY INC </t>
  </si>
  <si>
    <t>BACKER TRUST PROPERTY 2</t>
  </si>
  <si>
    <t>NEWPORT HEIGHTS</t>
  </si>
  <si>
    <t>082-615-19</t>
  </si>
  <si>
    <t>518-130-07</t>
  </si>
  <si>
    <t>2366 DODGE DR</t>
  </si>
  <si>
    <t>WINGFIELD SPRINGS 26A UT 2 LT 209</t>
  </si>
  <si>
    <t>1418 E 9TH ST</t>
  </si>
  <si>
    <t>PARK TERRACE 1 AMD</t>
  </si>
  <si>
    <t>NORTHGATE 12C</t>
  </si>
  <si>
    <t>208-280-06</t>
  </si>
  <si>
    <t>MEDALLION EST 1</t>
  </si>
  <si>
    <t>BEAA</t>
  </si>
  <si>
    <t>SILVERADA 1</t>
  </si>
  <si>
    <t>BHAK</t>
  </si>
  <si>
    <t>RS 4710</t>
  </si>
  <si>
    <t xml:space="preserve">CITIMORTGAGE INC </t>
  </si>
  <si>
    <t>1841 CATHAM LN</t>
  </si>
  <si>
    <t xml:space="preserve">BURNETT, ALAN &amp; MINDY </t>
  </si>
  <si>
    <t>PO BOX 34492</t>
  </si>
  <si>
    <t>LEWIS HOMES-SPARKS 16D LT 199 BLK C</t>
  </si>
  <si>
    <t>WILLOW CREEK STATION 11A</t>
  </si>
  <si>
    <t>CLARIDGE POINTE ON GREEN</t>
  </si>
  <si>
    <t>082-300-35</t>
  </si>
  <si>
    <t>GAGB</t>
  </si>
  <si>
    <t>FIRST TEE 10 PH 1 @ KILEY RNCH</t>
  </si>
  <si>
    <t>510-191-11</t>
  </si>
  <si>
    <t>FIRST TEE 10 PH 2 @ KILEY RNCH</t>
  </si>
  <si>
    <t xml:space="preserve">SPARKS DEVELOPMENT LLC </t>
  </si>
  <si>
    <t>510-191-12</t>
  </si>
  <si>
    <t>SATELLITE HILLS 2B</t>
  </si>
  <si>
    <t>232-060-16</t>
  </si>
  <si>
    <t>PANTHER VALLEY EST</t>
  </si>
  <si>
    <t>SOUTHRIDGE EST</t>
  </si>
  <si>
    <t>EEBC</t>
  </si>
  <si>
    <t>ARROWCREEK VILLAGE 4 UT 4</t>
  </si>
  <si>
    <t>152-020-47</t>
  </si>
  <si>
    <t>EBDD</t>
  </si>
  <si>
    <t>ARROWCREEK 15</t>
  </si>
  <si>
    <t>152-441-03</t>
  </si>
  <si>
    <t>EBHD</t>
  </si>
  <si>
    <t>6768 RABBIT BRUSH CT</t>
  </si>
  <si>
    <t>ARROWCREEK 26</t>
  </si>
  <si>
    <t xml:space="preserve">SCHEFFER, CHRISTOPHER J&amp; PATRICIA A </t>
  </si>
  <si>
    <t>152-010-38</t>
  </si>
  <si>
    <t>ARROWCREEK 26 LT 2610</t>
  </si>
  <si>
    <t>SKY RANCH UNIT 1-B</t>
  </si>
  <si>
    <t>NEWTOWN TRACT AMD</t>
  </si>
  <si>
    <t>023-260-42</t>
  </si>
  <si>
    <t>1765 DAKOTA RIDGE TRL</t>
  </si>
  <si>
    <t>039-112-25</t>
  </si>
  <si>
    <t xml:space="preserve">D R HORTON INC SACRAMENTO </t>
  </si>
  <si>
    <t>526-330-02</t>
  </si>
  <si>
    <t>218-120-26</t>
  </si>
  <si>
    <t>PEBBLE CREEK 4</t>
  </si>
  <si>
    <t>530-280-51</t>
  </si>
  <si>
    <t>PO BOX 1236</t>
  </si>
  <si>
    <t>ROUND MOUNTAIN</t>
  </si>
  <si>
    <t>STONE CREEK 3</t>
  </si>
  <si>
    <t>YORKSHIRE MANOR</t>
  </si>
  <si>
    <t>SIERRA EST 4B</t>
  </si>
  <si>
    <t>AUTUMN RIDGE 1 @ SOMERSETT</t>
  </si>
  <si>
    <t>232-010-61</t>
  </si>
  <si>
    <t>502-020-15</t>
  </si>
  <si>
    <t>EABG</t>
  </si>
  <si>
    <t>FALLEN LEAF @ GALENA CONDO</t>
  </si>
  <si>
    <t xml:space="preserve">CC  </t>
  </si>
  <si>
    <t>082-315-23</t>
  </si>
  <si>
    <t>BGBC</t>
  </si>
  <si>
    <t>DOUBLE DIAMOND RANCH 11A</t>
  </si>
  <si>
    <t>160-102-03</t>
  </si>
  <si>
    <t>EEGC</t>
  </si>
  <si>
    <t>160-220-17</t>
  </si>
  <si>
    <t>EEFB</t>
  </si>
  <si>
    <t>140-020-53</t>
  </si>
  <si>
    <t>ST JAMES VILLAGE 2A</t>
  </si>
  <si>
    <t>SANTA CLARA</t>
  </si>
  <si>
    <t>WINGFIELD SPRINGS 26A</t>
  </si>
  <si>
    <t>520-020-50</t>
  </si>
  <si>
    <t>JUNIPER TERRACE MH EST 6A</t>
  </si>
  <si>
    <t>LOYALTON</t>
  </si>
  <si>
    <t>89419</t>
  </si>
  <si>
    <t>1380 CHRIS LN</t>
  </si>
  <si>
    <t>PM 4323</t>
  </si>
  <si>
    <t>020-241-56</t>
  </si>
  <si>
    <t>PM 4323 LT 2</t>
  </si>
  <si>
    <t>SUNRAY</t>
  </si>
  <si>
    <t>LAAC</t>
  </si>
  <si>
    <t>9642 OTTER WAY</t>
  </si>
  <si>
    <t>MEADOWS 3 LT 115</t>
  </si>
  <si>
    <t>1725 BURWOOD CIR</t>
  </si>
  <si>
    <t xml:space="preserve">DOUBLE DIAMOND RANCH 6D LT 271 </t>
  </si>
  <si>
    <t>514-340-09</t>
  </si>
  <si>
    <t>KILEY RANCH PH 2 UT 8</t>
  </si>
  <si>
    <t>DGDB</t>
  </si>
  <si>
    <t>DLCC</t>
  </si>
  <si>
    <t xml:space="preserve">TRANCHIDA, DONNA  </t>
  </si>
  <si>
    <t>EACD</t>
  </si>
  <si>
    <t>95949</t>
  </si>
  <si>
    <t>049-401-32</t>
  </si>
  <si>
    <t>FIELDCREEK RANCH 12A</t>
  </si>
  <si>
    <t>142-020-12</t>
  </si>
  <si>
    <t>ECDF</t>
  </si>
  <si>
    <t xml:space="preserve">FANNIE MAE </t>
  </si>
  <si>
    <t>208-390-10</t>
  </si>
  <si>
    <t>PM 2399</t>
  </si>
  <si>
    <t>VANTAGE POINT 1</t>
  </si>
  <si>
    <t>041-242-02</t>
  </si>
  <si>
    <t xml:space="preserve">KINTNER FAMILY TRUST  </t>
  </si>
  <si>
    <t>CURTI RANCH 2 UT 6</t>
  </si>
  <si>
    <t>FIRST TEE 9 @ KILEY RANCH</t>
  </si>
  <si>
    <t>510-042-11</t>
  </si>
  <si>
    <t>DLBC</t>
  </si>
  <si>
    <t>PRESERVE 1</t>
  </si>
  <si>
    <t>510-082-23</t>
  </si>
  <si>
    <t>DGCB</t>
  </si>
  <si>
    <t>WOODLAND VILLAGE 14</t>
  </si>
  <si>
    <t>556-390-09</t>
  </si>
  <si>
    <t xml:space="preserve">DOLAN TRUST, THOMAS S  </t>
  </si>
  <si>
    <t>VILLAGES @ DAMONTE RANCH 19A-2</t>
  </si>
  <si>
    <t>140-020-82</t>
  </si>
  <si>
    <t>610 PASO FINO CT</t>
  </si>
  <si>
    <t xml:space="preserve">LEBLANC, MAGNUS J JR </t>
  </si>
  <si>
    <t>CURTI RANCH 2 UT 6 LT 740</t>
  </si>
  <si>
    <t>3760 PEREGRINE CIR</t>
  </si>
  <si>
    <t>COLD SPRINGS VALLEY HM 1 LT 4 BLK L</t>
  </si>
  <si>
    <t>PO BOX 669</t>
  </si>
  <si>
    <t>046-060-42</t>
  </si>
  <si>
    <t>JCCG</t>
  </si>
  <si>
    <t>CURTI RANCH 1</t>
  </si>
  <si>
    <t>016-430-25</t>
  </si>
  <si>
    <t>COTTONWOOD CREEK EST 1</t>
  </si>
  <si>
    <t>017-012-07</t>
  </si>
  <si>
    <t>402-251-13</t>
  </si>
  <si>
    <t>TOSCANA @ D`ANDREA 5</t>
  </si>
  <si>
    <t>GALLERIA STATION 1</t>
  </si>
  <si>
    <t>402-110-20</t>
  </si>
  <si>
    <t>2I @ SOMERSETT</t>
  </si>
  <si>
    <t xml:space="preserve">WARNER, ELIZABETH H </t>
  </si>
  <si>
    <t xml:space="preserve">SOMERSETT 2I ASSOCIATES LLC </t>
  </si>
  <si>
    <t>232-020-43</t>
  </si>
  <si>
    <t xml:space="preserve">TAYLOR FAMILY TRUST  </t>
  </si>
  <si>
    <t>161-011-32</t>
  </si>
  <si>
    <t>DOUBLE DIAMOND RANCH 8B</t>
  </si>
  <si>
    <t xml:space="preserve">SP  </t>
  </si>
  <si>
    <t>FR SW4 NE4</t>
  </si>
  <si>
    <t>FR SW4 NE4 SEC 10 TWP 17 RGE 19</t>
  </si>
  <si>
    <t>JCLF</t>
  </si>
  <si>
    <t>AVONDALE</t>
  </si>
  <si>
    <t>85392</t>
  </si>
  <si>
    <t>LATHROP PARK LLC LLC</t>
  </si>
  <si>
    <t>083-061-08</t>
  </si>
  <si>
    <t>STONE CREEK 9</t>
  </si>
  <si>
    <t>508-020-29</t>
  </si>
  <si>
    <t>WOODLAND VILLAGE 13</t>
  </si>
  <si>
    <t>556-420-19</t>
  </si>
  <si>
    <t>VALLEJOS, EDMUNDO N  et al</t>
  </si>
  <si>
    <t xml:space="preserve">3727 ALLEGRINI DR </t>
  </si>
  <si>
    <t xml:space="preserve">VALLEJOS, EDMUNDO N  </t>
  </si>
  <si>
    <t>PO BOX 4199</t>
  </si>
  <si>
    <t xml:space="preserve">ISKANDAR, REZA A  </t>
  </si>
  <si>
    <t>13353 MT BALDY ST</t>
  </si>
  <si>
    <t xml:space="preserve">MALONE, DANNY A  </t>
  </si>
  <si>
    <t xml:space="preserve">827 E YORK WAY </t>
  </si>
  <si>
    <t xml:space="preserve">BUTLER, KARIN J  </t>
  </si>
  <si>
    <t>PO BOX 70</t>
  </si>
  <si>
    <t>RIVERWALK CONDOMINIUMS LT 1204</t>
  </si>
  <si>
    <t xml:space="preserve">FLANAGAN, CAROL C </t>
  </si>
  <si>
    <t xml:space="preserve">S LAKE TAHOE </t>
  </si>
  <si>
    <t>96150</t>
  </si>
  <si>
    <t>514-010-67</t>
  </si>
  <si>
    <t>SUN MESA 2</t>
  </si>
  <si>
    <t>504-460-01</t>
  </si>
  <si>
    <t>2060 PEACEFUL VALLEY DR</t>
  </si>
  <si>
    <t>1341 MALLARD CT</t>
  </si>
  <si>
    <t>UNIVERSITY HEIGHTS 1</t>
  </si>
  <si>
    <t>RESERVE AT MONTE ROSA 1</t>
  </si>
  <si>
    <t>1045 WHITES CREEK LN</t>
  </si>
  <si>
    <t>SUNRISE AT WHITES CREEK</t>
  </si>
  <si>
    <t xml:space="preserve">ROWE, JUSTIN S </t>
  </si>
  <si>
    <t>049-251-46</t>
  </si>
  <si>
    <t>EADE</t>
  </si>
  <si>
    <t>89449</t>
  </si>
  <si>
    <t>94546</t>
  </si>
  <si>
    <t>514-010-68</t>
  </si>
  <si>
    <t>DLHC</t>
  </si>
  <si>
    <t>DJBA</t>
  </si>
  <si>
    <t>PENSCO TRUST COMPANY CUSTODIAN</t>
  </si>
  <si>
    <t>SAN FRANCISCO</t>
  </si>
  <si>
    <t xml:space="preserve">JPMORGAN CHASE BANK NA </t>
  </si>
  <si>
    <t>PO BOX 3295</t>
  </si>
  <si>
    <t>WRIGHTWOOD</t>
  </si>
  <si>
    <t>DOUBLE DIAMOND RANCH 8A</t>
  </si>
  <si>
    <t>161-180-12</t>
  </si>
  <si>
    <t xml:space="preserve">BERRY FAMILY TRUST  </t>
  </si>
  <si>
    <t>150-030-21</t>
  </si>
  <si>
    <t>ARROWCREEK 12A</t>
  </si>
  <si>
    <t xml:space="preserve">COMPASS VENTURES LLC </t>
  </si>
  <si>
    <t>152-010-19</t>
  </si>
  <si>
    <t>ARROWCREEK 16</t>
  </si>
  <si>
    <t>152-443-13</t>
  </si>
  <si>
    <t>WINGFIELD SPRINGS 19A PH1</t>
  </si>
  <si>
    <t>NORTHGATE 4A</t>
  </si>
  <si>
    <t>DOUBLE DIAMOND RANCH 28A</t>
  </si>
  <si>
    <t>161-011-28</t>
  </si>
  <si>
    <t>SILVER SHORES 14</t>
  </si>
  <si>
    <t>1008 GREENBRAE DR</t>
  </si>
  <si>
    <t xml:space="preserve">VALENCIA, JOSE L  </t>
  </si>
  <si>
    <t xml:space="preserve">1008 GREENBRAE DR </t>
  </si>
  <si>
    <t>GREENBRAE TERRACE WLY ADD A LT 12 BLK E</t>
  </si>
  <si>
    <t>NJ</t>
  </si>
  <si>
    <t>DALLAS</t>
  </si>
  <si>
    <t>75252</t>
  </si>
  <si>
    <t xml:space="preserve">LANG, DAVID &amp; HOLLY </t>
  </si>
  <si>
    <t xml:space="preserve">ASHRAYA INVEST INC PRF SHR PLN </t>
  </si>
  <si>
    <t>2971 MALLORCA WAY</t>
  </si>
  <si>
    <t xml:space="preserve">RUSHING, MURIS U </t>
  </si>
  <si>
    <t xml:space="preserve">CHICAS, JAIME A M </t>
  </si>
  <si>
    <t>VILLAS AT SKY VISTA PH 1</t>
  </si>
  <si>
    <t xml:space="preserve">MCALLESTER, LOIS L  </t>
  </si>
  <si>
    <t xml:space="preserve">LDU </t>
  </si>
  <si>
    <t>FCKB</t>
  </si>
  <si>
    <t>SIERRA HIGHLANDS 1</t>
  </si>
  <si>
    <t>BBIC</t>
  </si>
  <si>
    <t>LAKE RIDGE SHORES 3</t>
  </si>
  <si>
    <t>BENNINGTON COURT</t>
  </si>
  <si>
    <t>OAPB</t>
  </si>
  <si>
    <t>16765 MOUNT ROSE HWY</t>
  </si>
  <si>
    <t>FR NW4 NW4 NW4 SEC 3 TWP 17 RGE 19</t>
  </si>
  <si>
    <t xml:space="preserve">BARAJAS-GONZALEZ, JESUS </t>
  </si>
  <si>
    <t xml:space="preserve">THORNTON, DANIEL A &amp; JANNEL J  </t>
  </si>
  <si>
    <t>2920 WEBSTER ST</t>
  </si>
  <si>
    <t>049-242-12</t>
  </si>
  <si>
    <t>EABA</t>
  </si>
  <si>
    <t>ABOC</t>
  </si>
  <si>
    <t>SIERRA VIEW</t>
  </si>
  <si>
    <t>5788 SIMONS DR</t>
  </si>
  <si>
    <t>VILLAGES AT DAMONTE RANCH 19A-</t>
  </si>
  <si>
    <t>530-280-16</t>
  </si>
  <si>
    <t>EAGLE CANYON 3 UT 2</t>
  </si>
  <si>
    <t>CANYON PINES 1 LT 97</t>
  </si>
  <si>
    <t xml:space="preserve">MOHUN FAMILY TRUST  </t>
  </si>
  <si>
    <t>MONTREUX 4 SOUTH</t>
  </si>
  <si>
    <t>148-210-03</t>
  </si>
  <si>
    <t>SADDLEHORN SOUTH 7</t>
  </si>
  <si>
    <t>ARROWCREEK 27</t>
  </si>
  <si>
    <t>152-880-04</t>
  </si>
  <si>
    <t>SAN CARLOS</t>
  </si>
  <si>
    <t>89130</t>
  </si>
  <si>
    <t>BCBK</t>
  </si>
  <si>
    <t>MACKY HEIGHTS</t>
  </si>
  <si>
    <t>7155 GAZIN CT</t>
  </si>
  <si>
    <t>WILD STALLION EST 2 LT 109</t>
  </si>
  <si>
    <t xml:space="preserve">LAKEVIEW </t>
  </si>
  <si>
    <t>3755 WASATCH AVE</t>
  </si>
  <si>
    <t>1875 FIFE DR</t>
  </si>
  <si>
    <t>10140 VIA FIORI</t>
  </si>
  <si>
    <t>Bar/Tavern</t>
  </si>
  <si>
    <t>AHBQ</t>
  </si>
  <si>
    <t>SIERRA GARDENS MH LT 79 BLK B</t>
  </si>
  <si>
    <t>STONE CANYON PH 8</t>
  </si>
  <si>
    <t>LEWIS HOMES SPARKS 1</t>
  </si>
  <si>
    <t>SPANISH SPRINGS</t>
  </si>
  <si>
    <t>SPANISH SPRINGS SUB UNIT</t>
  </si>
  <si>
    <t>TX</t>
  </si>
  <si>
    <t>1036 BAYWOOD DR</t>
  </si>
  <si>
    <t>SUNRISE VILLAS</t>
  </si>
  <si>
    <t xml:space="preserve">GROSULAK, DALE M &amp; KATHRYNN J </t>
  </si>
  <si>
    <t>144 VILLAGE BLVD</t>
  </si>
  <si>
    <t>2A @ SOMERSETT</t>
  </si>
  <si>
    <t xml:space="preserve">CRUM, DONALD R &amp; CHRISTINE A </t>
  </si>
  <si>
    <t>204-010-74</t>
  </si>
  <si>
    <t>CIMARRON 5</t>
  </si>
  <si>
    <t xml:space="preserve">ROBINSON FAMILY TRUST  </t>
  </si>
  <si>
    <t>GORELICK INVESTMENT GROUP II LLC</t>
  </si>
  <si>
    <t>001-010-34</t>
  </si>
  <si>
    <t>7175 LODGEPOLE PINE CT</t>
  </si>
  <si>
    <t>WOODLAND VILLAGE 12</t>
  </si>
  <si>
    <t>ANAF</t>
  </si>
  <si>
    <t>ANJA</t>
  </si>
  <si>
    <t>LAKERIDGE TERRACE WEST 1</t>
  </si>
  <si>
    <t>SKYLINE VIEW</t>
  </si>
  <si>
    <t>GBDC</t>
  </si>
  <si>
    <t>WINGFIELD NV GROUP HOLDING CO  LLC</t>
  </si>
  <si>
    <t xml:space="preserve">KANE FAMILY TRUST, STEVEN &amp; JACQUELINE   </t>
  </si>
  <si>
    <t>TYROLIAN VILLAGE 2</t>
  </si>
  <si>
    <t>NORTHRIDGE HEIGHTS 1</t>
  </si>
  <si>
    <t>DALY CITY</t>
  </si>
  <si>
    <t>SMITHRIDGE PARK TH 3 UT 2</t>
  </si>
  <si>
    <t>NACA</t>
  </si>
  <si>
    <t>003-130-57</t>
  </si>
  <si>
    <t>BHBA</t>
  </si>
  <si>
    <t>PEEK PARCEL 1 PH 3</t>
  </si>
  <si>
    <t xml:space="preserve">CHARLES SCHWAB BANK </t>
  </si>
  <si>
    <t xml:space="preserve">HAND, MARVIN P </t>
  </si>
  <si>
    <t xml:space="preserve">STEVEN L OBRIEN LLC </t>
  </si>
  <si>
    <t>DGAC</t>
  </si>
  <si>
    <t>SPRING CREEK 1B</t>
  </si>
  <si>
    <t xml:space="preserve">NEVADA AFFORDABLE HOUSING TRST  </t>
  </si>
  <si>
    <t>JUNIPER HEIGHTS 1</t>
  </si>
  <si>
    <t>SPRING CREEK SUB UNIT 3A</t>
  </si>
  <si>
    <t>SPRING CREEK 2E</t>
  </si>
  <si>
    <t>8065 SHIFTING SANDS DR</t>
  </si>
  <si>
    <t xml:space="preserve">COBERT, ADAM </t>
  </si>
  <si>
    <t>14840 REDMOND DR</t>
  </si>
  <si>
    <t>2601 W 7TH ST</t>
  </si>
  <si>
    <t>CAPITOL HEIGHTS 1 LT 26</t>
  </si>
  <si>
    <t>LAKE RIDGE SHORES 4</t>
  </si>
  <si>
    <t>FRAC SE4 OF NE4</t>
  </si>
  <si>
    <t>7445 HINTON DR</t>
  </si>
  <si>
    <t xml:space="preserve">VOGEL, MICHAEL  </t>
  </si>
  <si>
    <t xml:space="preserve">7445 HINTON DR </t>
  </si>
  <si>
    <t>SILVER SHORES 35 LT 550</t>
  </si>
  <si>
    <t>OAHC</t>
  </si>
  <si>
    <t>SIERRA ESTATES UNIT 4-D</t>
  </si>
  <si>
    <t>SIERRA HEIGHTS RENO 2B</t>
  </si>
  <si>
    <t>049-401-36</t>
  </si>
  <si>
    <t>EAJF</t>
  </si>
  <si>
    <t>SIERRA EST 1B</t>
  </si>
  <si>
    <t>FREDERICK ADD</t>
  </si>
  <si>
    <t xml:space="preserve">MDR </t>
  </si>
  <si>
    <t>152-020-48</t>
  </si>
  <si>
    <t>DOUBLE DIAMOND RANCH 2C</t>
  </si>
  <si>
    <t xml:space="preserve">FLESHMAN, BILL &amp; KATHLEEN </t>
  </si>
  <si>
    <t>160-101-09</t>
  </si>
  <si>
    <t>DOUBLE DIAMOND RANCH 30</t>
  </si>
  <si>
    <t xml:space="preserve">MAZZA FAMILY TRUST  </t>
  </si>
  <si>
    <t>REDDING</t>
  </si>
  <si>
    <t>3890 E LEONESIO DR</t>
  </si>
  <si>
    <t>PRATERS ADD</t>
  </si>
  <si>
    <t xml:space="preserve">YAM, ERIC &amp; MARIA C </t>
  </si>
  <si>
    <t>18137 CHIEFTAIN CT</t>
  </si>
  <si>
    <t xml:space="preserve">SANKOVICH FAMILY TRUST, LARRY  </t>
  </si>
  <si>
    <t>ECMG</t>
  </si>
  <si>
    <t>GALENA TERRACE EST 2</t>
  </si>
  <si>
    <t>642 PINE MEADOWS DR</t>
  </si>
  <si>
    <t>WILLIAMSBURG APT HMS 1 #4</t>
  </si>
  <si>
    <t xml:space="preserve">BAYVIEW LOAN SERVICING LLC </t>
  </si>
  <si>
    <t>WILLIAMSBURG APT HM 1 UT 4 LT 16 BLK B</t>
  </si>
  <si>
    <t xml:space="preserve">ROSCOM, JULES M &amp; LYDIA E  </t>
  </si>
  <si>
    <t>RANCHO CORDOVA</t>
  </si>
  <si>
    <t>95742</t>
  </si>
  <si>
    <t xml:space="preserve">JACKPINE LLC </t>
  </si>
  <si>
    <t xml:space="preserve">COOLBAUGH, MARK F </t>
  </si>
  <si>
    <t xml:space="preserve">WICKWIRE, CURTIS C </t>
  </si>
  <si>
    <t>RENO FOOTHILLS 1</t>
  </si>
  <si>
    <t>ADLA</t>
  </si>
  <si>
    <t xml:space="preserve">HUA, YUNG SEAN </t>
  </si>
  <si>
    <t>SAPPHIRE RIDGE 2</t>
  </si>
  <si>
    <t xml:space="preserve">KONDAUR CAPITAL CORP </t>
  </si>
  <si>
    <t>204-570-02</t>
  </si>
  <si>
    <t>8780 GOLF CANYON CT</t>
  </si>
  <si>
    <t>4G @ SOMERSETT</t>
  </si>
  <si>
    <t>234-140-01</t>
  </si>
  <si>
    <t>4G @ SOMERSETT LT 4</t>
  </si>
  <si>
    <t>STONE CANYON 11</t>
  </si>
  <si>
    <t>504-580-12</t>
  </si>
  <si>
    <t>2165 KIETZKE LN</t>
  </si>
  <si>
    <t>PO BOX 19584</t>
  </si>
  <si>
    <t xml:space="preserve">FITZGERALD REVOCABLE TRUST, BERT W &amp; SUSAN R   </t>
  </si>
  <si>
    <t>4025 SAN DONATO LOOP</t>
  </si>
  <si>
    <t>1425 PROSPECT AVE</t>
  </si>
  <si>
    <t>GREENBRAE TERRACE WLY D1</t>
  </si>
  <si>
    <t xml:space="preserve">BUSICK, MICHAEL J </t>
  </si>
  <si>
    <t xml:space="preserve">2740 SPINNAKER DR </t>
  </si>
  <si>
    <t>561 KEYSTONE AVE #455</t>
  </si>
  <si>
    <t xml:space="preserve">WILLIAMS, WALTER A &amp; DAVEE G </t>
  </si>
  <si>
    <t>10205 CAVALRY CIR</t>
  </si>
  <si>
    <t>9345 SPOTTED HORSE RD</t>
  </si>
  <si>
    <t>BELLA VISTA VILLAGE A UT 1 LT 1190</t>
  </si>
  <si>
    <t>9355 SPOTTED HORSE RD</t>
  </si>
  <si>
    <t>BELLA VISTA VILLAGE A UT 1 LT 1191</t>
  </si>
  <si>
    <t>9365 SPOTTED HORSE RD</t>
  </si>
  <si>
    <t>BELLA VISTA VILLAGE A UT 1 LT 1192</t>
  </si>
  <si>
    <t>9385 SPOTTED HORSE RD</t>
  </si>
  <si>
    <t>BELLA VISTA VILLAGE A UT 1 LT 1194</t>
  </si>
  <si>
    <t>9370 SPOTTED HORSE RD</t>
  </si>
  <si>
    <t>BELLA VISTA VILLAGE A UT 1 LT 1207</t>
  </si>
  <si>
    <t>9360 SPOTTED HORSE RD</t>
  </si>
  <si>
    <t>BELLA VISTA VILLAGE A UT 1 LT 1208</t>
  </si>
  <si>
    <t>325 HARBOUR COVE DR</t>
  </si>
  <si>
    <t>MARINA WATERFRONT CONDOMINIUMS</t>
  </si>
  <si>
    <t>Mixed Retail</t>
  </si>
  <si>
    <t>SGL-STUCC/WD</t>
  </si>
  <si>
    <t>MAYBERRY PARK LT 1 BLK C</t>
  </si>
  <si>
    <t>GCED</t>
  </si>
  <si>
    <t>DESERT SPRINGS 1</t>
  </si>
  <si>
    <t>BLACK MARLIN LLC LLC</t>
  </si>
  <si>
    <t>FR NW4 NE4 SEC 23 TWP 19 RGE 19</t>
  </si>
  <si>
    <t>ANND</t>
  </si>
  <si>
    <t>04555210 &amp;</t>
  </si>
  <si>
    <t>JCGF</t>
  </si>
  <si>
    <t>CANYON HILLS 3</t>
  </si>
  <si>
    <t>566-121-01</t>
  </si>
  <si>
    <t>NORTHGATE 17F</t>
  </si>
  <si>
    <t>208-650-04</t>
  </si>
  <si>
    <t xml:space="preserve">CONTRERAS, EUGENIO &amp; SOFIA </t>
  </si>
  <si>
    <t>NORTHGATE 2F</t>
  </si>
  <si>
    <t>NORTHGATE 15B</t>
  </si>
  <si>
    <t>33 COASTAL OAKS CIR</t>
  </si>
  <si>
    <t>200-010-17</t>
  </si>
  <si>
    <t>SUNCREST 3A</t>
  </si>
  <si>
    <t>IADF</t>
  </si>
  <si>
    <t>NEW WASHOE CITY SUB 3</t>
  </si>
  <si>
    <t>526-130-02</t>
  </si>
  <si>
    <t>FOOTHILLS AT WINGFIELD VLG 7C</t>
  </si>
  <si>
    <t xml:space="preserve">STEVE C HAMILTON INC </t>
  </si>
  <si>
    <t>526-420-02</t>
  </si>
  <si>
    <t>FOOTHILLS AT WINGFIELD VLG 9</t>
  </si>
  <si>
    <t>NORTHGATE 5C</t>
  </si>
  <si>
    <t>EAGLE CANYON 3 UT 1A</t>
  </si>
  <si>
    <t>530-280-20</t>
  </si>
  <si>
    <t xml:space="preserve">SULLIVAN FAMILY 1992 TRUST  </t>
  </si>
  <si>
    <t>VISTA HEIGHTS NORTH PH 2B</t>
  </si>
  <si>
    <t xml:space="preserve">BROOKS, JANET C </t>
  </si>
  <si>
    <t xml:space="preserve">1304 RAMBLING WIND DR </t>
  </si>
  <si>
    <t xml:space="preserve">FALLON </t>
  </si>
  <si>
    <t>GRAND SIERRA RESORT PH 1A LT 1739</t>
  </si>
  <si>
    <t>511 CHENEY ST</t>
  </si>
  <si>
    <t>SOUTHERN ADD FR</t>
  </si>
  <si>
    <t>NEW SUNNYSIDE ADD AMD</t>
  </si>
  <si>
    <t>RENO HEIGHTS</t>
  </si>
  <si>
    <t>2300 DICKERSON RD</t>
  </si>
  <si>
    <t>SHORELINE VILLAS CONDOS</t>
  </si>
  <si>
    <t>AGMA</t>
  </si>
  <si>
    <t>526-010-05</t>
  </si>
  <si>
    <t>208-280-10</t>
  </si>
  <si>
    <t>6850 SHARLANDS AVE</t>
  </si>
  <si>
    <t>SILVER CREEK ATTACHED HOMES</t>
  </si>
  <si>
    <t>BBAA</t>
  </si>
  <si>
    <t xml:space="preserve">MARQUARDT, JAY J &amp; DEANNA L </t>
  </si>
  <si>
    <t>P O BOX 91494</t>
  </si>
  <si>
    <t>ANCHORAGE</t>
  </si>
  <si>
    <t xml:space="preserve">THOMPSON FAMILY TRUST  </t>
  </si>
  <si>
    <t xml:space="preserve">DAVIS </t>
  </si>
  <si>
    <t>810 ALDER AVE</t>
  </si>
  <si>
    <t xml:space="preserve">PETTIE, TINA </t>
  </si>
  <si>
    <t>WILDCREEK GOLF VILLAS PH 2</t>
  </si>
  <si>
    <t>087-600-08</t>
  </si>
  <si>
    <t>DESERT HIGHLANDS 5</t>
  </si>
  <si>
    <t>5695 VISTA LUNA CT</t>
  </si>
  <si>
    <t xml:space="preserve">SHEMDEAN, GHANDI H  </t>
  </si>
  <si>
    <t>PO BOX 1017</t>
  </si>
  <si>
    <t>PEAVINE VIEW EST 3</t>
  </si>
  <si>
    <t>087-400-22</t>
  </si>
  <si>
    <t>WOODLAND VILLAGE 2</t>
  </si>
  <si>
    <t xml:space="preserve">MCSWIGGIN FAMILY TRUST  </t>
  </si>
  <si>
    <t>INCLINE CREEK EST</t>
  </si>
  <si>
    <t>129-280-22</t>
  </si>
  <si>
    <t>PUAA</t>
  </si>
  <si>
    <t>SUN VALLEY 5 FR</t>
  </si>
  <si>
    <t xml:space="preserve">MAYFAIR PROPERTY LLC </t>
  </si>
  <si>
    <t>CIMARRON 12 PH 2</t>
  </si>
  <si>
    <t>ANVA</t>
  </si>
  <si>
    <t>SMITHRIDGE PARK TH 2</t>
  </si>
  <si>
    <t>DJAB</t>
  </si>
  <si>
    <t>030-020-97</t>
  </si>
  <si>
    <t>PRATERS ADD FR</t>
  </si>
  <si>
    <t>4215 WEEMS WAY</t>
  </si>
  <si>
    <t>FR W2 SE4</t>
  </si>
  <si>
    <t xml:space="preserve">MCCOMBS TRUST, DAVID  </t>
  </si>
  <si>
    <t>FR W2 SE4 SEC 30 TWP 20 RGE 20</t>
  </si>
  <si>
    <t>SIERRA MEADOWS 5B</t>
  </si>
  <si>
    <t xml:space="preserve">BERKOVATZ, JAMES A &amp; DIANE L </t>
  </si>
  <si>
    <t>NORTHGATE 12E</t>
  </si>
  <si>
    <t>IBGF</t>
  </si>
  <si>
    <t>EDKC</t>
  </si>
  <si>
    <t>NORTHGATE 19</t>
  </si>
  <si>
    <t>CHINO HILLS</t>
  </si>
  <si>
    <t>208-300-01</t>
  </si>
  <si>
    <t>GRAND SIERRA RESORT PH 1A</t>
  </si>
  <si>
    <t>CONCORD</t>
  </si>
  <si>
    <t xml:space="preserve">ROSTAGNI, MARCELLO J </t>
  </si>
  <si>
    <t>SAGE POINT 2</t>
  </si>
  <si>
    <t>TOSCANA @ D`ANDREA 4B</t>
  </si>
  <si>
    <t>402-110-17</t>
  </si>
  <si>
    <t>2400 TRIPP DR</t>
  </si>
  <si>
    <t>WHISPERING SPRINGS AMD LT A2L BLK F</t>
  </si>
  <si>
    <t>DOUBLE DIAMOND RANCH 24A</t>
  </si>
  <si>
    <t>514-010-41</t>
  </si>
  <si>
    <t>FIRENZE @ D`ANDREA 1</t>
  </si>
  <si>
    <t>402-100-24</t>
  </si>
  <si>
    <t>HUFFAKER VILLAGE 3</t>
  </si>
  <si>
    <t>164-030-04</t>
  </si>
  <si>
    <t>EFNC</t>
  </si>
  <si>
    <t>NORTHGATE VILLAGE 2 AMD</t>
  </si>
  <si>
    <t>BAAA</t>
  </si>
  <si>
    <t>JUNIPER TRAILS 7A</t>
  </si>
  <si>
    <t>ABVF</t>
  </si>
  <si>
    <t>JUNIPER TRAILS 5</t>
  </si>
  <si>
    <t>DMGC</t>
  </si>
  <si>
    <t>NGAU</t>
  </si>
  <si>
    <t>PM 1417</t>
  </si>
  <si>
    <t xml:space="preserve">CULLUM, DONALD W &amp; PATRICIA K </t>
  </si>
  <si>
    <t>FCNF</t>
  </si>
  <si>
    <t>SAGEWOOD EST 3B</t>
  </si>
  <si>
    <t>9350 SPOTTED HORSE RD</t>
  </si>
  <si>
    <t>BELLA VISTA VILLAGE A UT 1 LT 1209</t>
  </si>
  <si>
    <t>2097 WATERHOUSE RD</t>
  </si>
  <si>
    <t>BELLA VISTA RANCH VILLAGE B UT 1 LT 2001</t>
  </si>
  <si>
    <t>2093 WATERHOUSE RD</t>
  </si>
  <si>
    <t>BELLA VISTA RANCH VILLAGE B UT 1 LT 2002</t>
  </si>
  <si>
    <t>2090 WATERHOUSE RD</t>
  </si>
  <si>
    <t>BELLA VISTA RANCH VILLAGE B UT 1 LT 2267</t>
  </si>
  <si>
    <t>2098 WATERHOUSE RD</t>
  </si>
  <si>
    <t>BELLA VISTA RANCH VILLAGE B UT 1 LT 2266</t>
  </si>
  <si>
    <t>2010 BEARS RANCH DR</t>
  </si>
  <si>
    <t>BELLA VISTA RANCH VILLAGE B UT 1 LT 2090</t>
  </si>
  <si>
    <t>2030 BEARS RANCH DR</t>
  </si>
  <si>
    <t>BELLA VISTA RANCH VILLAGE B UT 1 LT 2091</t>
  </si>
  <si>
    <t>AE</t>
  </si>
  <si>
    <t>164-330-01</t>
  </si>
  <si>
    <t>EFFA</t>
  </si>
  <si>
    <t>PM 3223 CONDO</t>
  </si>
  <si>
    <t>556-120-08</t>
  </si>
  <si>
    <t>WILLOW RANCH PH 2</t>
  </si>
  <si>
    <t>232-110-04</t>
  </si>
  <si>
    <t>NEJE</t>
  </si>
  <si>
    <t>NEFE</t>
  </si>
  <si>
    <t>VIRGINIA FOOTHILLS 1</t>
  </si>
  <si>
    <t>ALAMEDA</t>
  </si>
  <si>
    <t>VISTA RIDGE 6</t>
  </si>
  <si>
    <t>518-130-24</t>
  </si>
  <si>
    <t>FIRST TEE 3 AMD</t>
  </si>
  <si>
    <t>510-500-04</t>
  </si>
  <si>
    <t>DLAB</t>
  </si>
  <si>
    <t>LEARENO EST 1</t>
  </si>
  <si>
    <t>VISTA DEL ORO SUB UT 6-B</t>
  </si>
  <si>
    <t xml:space="preserve">TUCCORI, LEO R &amp; NANCY D </t>
  </si>
  <si>
    <t>1000 BECK ST</t>
  </si>
  <si>
    <t>LAKESIDE PLAZA 1</t>
  </si>
  <si>
    <t>MAZZONE EST 1</t>
  </si>
  <si>
    <t xml:space="preserve">BELL, LARRY D </t>
  </si>
  <si>
    <t xml:space="preserve">455 MANCIANO WAY </t>
  </si>
  <si>
    <t>PYRAMID RANCH ESTATES 5A</t>
  </si>
  <si>
    <t>SILVER SHORES 24</t>
  </si>
  <si>
    <t>090-260-29</t>
  </si>
  <si>
    <t>NORTH HAVEN PARK AMD</t>
  </si>
  <si>
    <t xml:space="preserve">DOWNER, BETTY L </t>
  </si>
  <si>
    <t>94587</t>
  </si>
  <si>
    <t>WOODSTOCK II(QUIET TITLE)</t>
  </si>
  <si>
    <t>NEW YORK</t>
  </si>
  <si>
    <t>MEADOW VIEW TERRACE 1</t>
  </si>
  <si>
    <t>BFGB</t>
  </si>
  <si>
    <t>WASHOE VALLEY FARMS</t>
  </si>
  <si>
    <t xml:space="preserve">RASMUSSEN FAMILY TRUST  </t>
  </si>
  <si>
    <t xml:space="preserve">CORNWALL, DIANNE L </t>
  </si>
  <si>
    <t>SOUTHWEST TERRACE 3</t>
  </si>
  <si>
    <t>VILLAGES 2 AMD</t>
  </si>
  <si>
    <t>021-64 65</t>
  </si>
  <si>
    <t>VIRGINIA CITY</t>
  </si>
  <si>
    <t>GA</t>
  </si>
  <si>
    <t>076-790-21</t>
  </si>
  <si>
    <t>625 N MADDUX DR</t>
  </si>
  <si>
    <t xml:space="preserve">FINCH, CONSTANCE </t>
  </si>
  <si>
    <t>HILL VIEW TERRACE LT 6 BLK A</t>
  </si>
  <si>
    <t>GRAND SUMMIT LT 28</t>
  </si>
  <si>
    <t>1041 CROWN VIEW DR</t>
  </si>
  <si>
    <t>FOOTHILLS @ WINGFIELD VIG 8B</t>
  </si>
  <si>
    <t>526-010-34</t>
  </si>
  <si>
    <t>DMID</t>
  </si>
  <si>
    <t>DOUBLE DIAMOND RANCH 5B</t>
  </si>
  <si>
    <t>160-370-01</t>
  </si>
  <si>
    <t>003-020-76</t>
  </si>
  <si>
    <t xml:space="preserve">HASSELL, CRAIG A &amp; SHAWN D </t>
  </si>
  <si>
    <t>2832 CEDAR RIDGE DR</t>
  </si>
  <si>
    <t>14005 RED ROCK RD</t>
  </si>
  <si>
    <t xml:space="preserve">LEMAIRE, DANIEL A </t>
  </si>
  <si>
    <t>RS 210148 LT B</t>
  </si>
  <si>
    <t>PM 2058</t>
  </si>
  <si>
    <t>MEADOWVALE 8</t>
  </si>
  <si>
    <t xml:space="preserve">ROBELLO, CLYDE R &amp; DOROTHY R </t>
  </si>
  <si>
    <t xml:space="preserve">PRENTICE, MICHAEL &amp; KIM  </t>
  </si>
  <si>
    <t xml:space="preserve">BERNSON FAMILY TRUST  </t>
  </si>
  <si>
    <t>SPRINGLAND VILLAGE 3 AMD</t>
  </si>
  <si>
    <t>9140 CORDOBA BLVD</t>
  </si>
  <si>
    <t>042-011-27</t>
  </si>
  <si>
    <t>DBAM</t>
  </si>
  <si>
    <t>140-020-43</t>
  </si>
  <si>
    <t>LLR1</t>
  </si>
  <si>
    <t xml:space="preserve">NEVADA SECURITY BANK </t>
  </si>
  <si>
    <t>GLEN MEADOWS VLG</t>
  </si>
  <si>
    <t xml:space="preserve">ASSELIN, ROBERT J &amp; MARY E </t>
  </si>
  <si>
    <t xml:space="preserve">BANCO POPULAR NORTH AMERICA </t>
  </si>
  <si>
    <t xml:space="preserve">KAREN WALKER HILL INC </t>
  </si>
  <si>
    <t>NORTHGATE 17B</t>
  </si>
  <si>
    <t>100 W PUEBLO ST</t>
  </si>
  <si>
    <t xml:space="preserve">SHIREY, FLOYD D </t>
  </si>
  <si>
    <t>Mega Whse</t>
  </si>
  <si>
    <t>4210 SANTA MARIA DR</t>
  </si>
  <si>
    <t xml:space="preserve">BUENTING, RICHARD H  </t>
  </si>
  <si>
    <t xml:space="preserve">PEARSON, DEAN </t>
  </si>
  <si>
    <t>EL RANCHO BUENA VISTA 2 LT 95</t>
  </si>
  <si>
    <t>WILDCREEK GOLF VILLAS 1</t>
  </si>
  <si>
    <t>MEADOWVALE 8 UT C</t>
  </si>
  <si>
    <t>SIERRA CANYON @ SOMERSETT VG 8</t>
  </si>
  <si>
    <t>234-021-46</t>
  </si>
  <si>
    <t>MT SHADOWS INCLINE 8 AMD</t>
  </si>
  <si>
    <t>118 RUBICON PEAK LN</t>
  </si>
  <si>
    <t xml:space="preserve">CONSOLIDATED FOUR LLC </t>
  </si>
  <si>
    <t>LAKEVIEW LT 24 BLK K</t>
  </si>
  <si>
    <t>6774 RUNNYMEDE DR</t>
  </si>
  <si>
    <t>WINGFIELD SPRINGS 9A</t>
  </si>
  <si>
    <t>COMP ROLL</t>
  </si>
  <si>
    <t>086-461-25</t>
  </si>
  <si>
    <t>PEAVINE EST LT 212</t>
  </si>
  <si>
    <t>PEAVINE ESTATES</t>
  </si>
  <si>
    <t>984 WHEATLAND CT</t>
  </si>
  <si>
    <t xml:space="preserve">KLEIN, KEITH </t>
  </si>
  <si>
    <t>2280 GATEWOOD DR</t>
  </si>
  <si>
    <t>5543 PEARL DR</t>
  </si>
  <si>
    <t xml:space="preserve">TAYLOR, JONATHAN  </t>
  </si>
  <si>
    <t xml:space="preserve">1964 BLOSSOM VIEW </t>
  </si>
  <si>
    <t xml:space="preserve">KDH BUILDERS WILDCREEK LLC </t>
  </si>
  <si>
    <t>C/O MICHAELSON CONNOR &amp; BOUL INC</t>
  </si>
  <si>
    <t>4400 WILL ROGERS PKWY STE 300</t>
  </si>
  <si>
    <t xml:space="preserve">OKLAHOMA CITY </t>
  </si>
  <si>
    <t>CLEARVIEW HTS SUB DIV</t>
  </si>
  <si>
    <t>94550</t>
  </si>
  <si>
    <t>530 E PATRIOT BLVD</t>
  </si>
  <si>
    <t>WATERFORD PARK 2 BLDG B</t>
  </si>
  <si>
    <t>ACDC</t>
  </si>
  <si>
    <t>MANZANITA EST</t>
  </si>
  <si>
    <t>WINGFIELD SPRINGS 19-A</t>
  </si>
  <si>
    <t>DOUBLE DIAMOND RANCH 13A</t>
  </si>
  <si>
    <t>160-020-12</t>
  </si>
  <si>
    <t>EEHB</t>
  </si>
  <si>
    <t>SKY COUNTRY EST 5</t>
  </si>
  <si>
    <t>001-510-06</t>
  </si>
  <si>
    <t xml:space="preserve">JET CONSTRUCTION LLC </t>
  </si>
  <si>
    <t>LEWIS HOMES SPARKS 12P</t>
  </si>
  <si>
    <t>NORTHGATE 14B</t>
  </si>
  <si>
    <t>039-151-80</t>
  </si>
  <si>
    <t xml:space="preserve">BURNS, MARY V </t>
  </si>
  <si>
    <t>SILVERADO RANCH EST 3 PH 1</t>
  </si>
  <si>
    <t>SMITHRIDGE GREENS 2 AMD</t>
  </si>
  <si>
    <t>SMITHRIDGE PARK TH 4 UT 2</t>
  </si>
  <si>
    <t xml:space="preserve">COWARD FAMILY TRUST  </t>
  </si>
  <si>
    <t>EDGEWATER 3</t>
  </si>
  <si>
    <t>DESERT HIGHLANDS 4C</t>
  </si>
  <si>
    <t xml:space="preserve">JOHNSON FAMILY TRUST  </t>
  </si>
  <si>
    <t>514-340-07</t>
  </si>
  <si>
    <t>HORIZON HILLS UNIT 2</t>
  </si>
  <si>
    <t>MOBILE GLEN 2</t>
  </si>
  <si>
    <t>4693 W LEONESIO DR</t>
  </si>
  <si>
    <t xml:space="preserve">WRIGHT TRUST, WANDA C  </t>
  </si>
  <si>
    <t>MOBILE GLEN 2 LT 50</t>
  </si>
  <si>
    <t>EECA</t>
  </si>
  <si>
    <t>SILVERADO RANCH EST 1B</t>
  </si>
  <si>
    <t>89523</t>
  </si>
  <si>
    <t>039-021-33</t>
  </si>
  <si>
    <t xml:space="preserve">SECRETARY OF VETERANS AFFAIRS </t>
  </si>
  <si>
    <t xml:space="preserve">BELLISSIMO LIVING TRUST  </t>
  </si>
  <si>
    <t>514-010-31</t>
  </si>
  <si>
    <t>WINGFIELD SPRINGS 27 PH 1</t>
  </si>
  <si>
    <t>520-020-60</t>
  </si>
  <si>
    <t>SOUTH SAN FRANCISCO</t>
  </si>
  <si>
    <t>ALUMINUM MBH</t>
  </si>
  <si>
    <t>DOUBLE DIAMOND RANCH 22A</t>
  </si>
  <si>
    <t>161-180-13</t>
  </si>
  <si>
    <t>SCENIC TERRACE 2</t>
  </si>
  <si>
    <t>AFOD</t>
  </si>
  <si>
    <t>BELLI ADD</t>
  </si>
  <si>
    <t>1529 DELUCCHI LN</t>
  </si>
  <si>
    <t>NEIL MANOR</t>
  </si>
  <si>
    <t>SMITHRIDGE PARK 1</t>
  </si>
  <si>
    <t>NAEC</t>
  </si>
  <si>
    <t xml:space="preserve">TALLMAN, MARYANNE </t>
  </si>
  <si>
    <t>DONNER SPRINGS 2A</t>
  </si>
  <si>
    <t>BONANZA</t>
  </si>
  <si>
    <t>NORTHGATE 8C</t>
  </si>
  <si>
    <t>EBBD</t>
  </si>
  <si>
    <t>ARROWCREEK VILLAGE 1B</t>
  </si>
  <si>
    <t>152-020-63</t>
  </si>
  <si>
    <t>WINGFIELD SPRINGS 7</t>
  </si>
  <si>
    <t>522-110-06</t>
  </si>
  <si>
    <t>6707 ALTESINO DR</t>
  </si>
  <si>
    <t>8985 DOUBLE DIAMOND PKWY</t>
  </si>
  <si>
    <t>PM 3973</t>
  </si>
  <si>
    <t>160-860-33</t>
  </si>
  <si>
    <t>PM 3973 LT 8B</t>
  </si>
  <si>
    <t>EFQT</t>
  </si>
  <si>
    <t>SIENA 2</t>
  </si>
  <si>
    <t>Whse Showrm</t>
  </si>
  <si>
    <t>ACADEMY MANOR 1</t>
  </si>
  <si>
    <t>OBAA</t>
  </si>
  <si>
    <t xml:space="preserve">LAKEMONT CANYON PINES LLC </t>
  </si>
  <si>
    <t>232-710-02</t>
  </si>
  <si>
    <t>FLR RAD HW</t>
  </si>
  <si>
    <t>POURED CONC</t>
  </si>
  <si>
    <t>AK</t>
  </si>
  <si>
    <t>LAS VEGAS</t>
  </si>
  <si>
    <t>8091 TRES ARROYOS CT</t>
  </si>
  <si>
    <t>MAAJ</t>
  </si>
  <si>
    <t>HBEI</t>
  </si>
  <si>
    <t>95993</t>
  </si>
  <si>
    <t>JUNIPER TERRACE MH EST 5</t>
  </si>
  <si>
    <t>550-380-02</t>
  </si>
  <si>
    <t>NORTH POINT</t>
  </si>
  <si>
    <t>SKY RIDGE 2</t>
  </si>
  <si>
    <t>SKY VISTA VILLAGE 11A</t>
  </si>
  <si>
    <t>550-020-24</t>
  </si>
  <si>
    <t>152-020-36</t>
  </si>
  <si>
    <t>PEBBLE CREEK 2</t>
  </si>
  <si>
    <t>530-280-24</t>
  </si>
  <si>
    <t xml:space="preserve">CRUCITTI, PAUL &amp; PAMELA </t>
  </si>
  <si>
    <t>GOLDEN HIGHLANDS PH 6</t>
  </si>
  <si>
    <t>502-010-13</t>
  </si>
  <si>
    <t>PM 4902</t>
  </si>
  <si>
    <t>COLD SPRINGS</t>
  </si>
  <si>
    <t>EVANS PARK 7</t>
  </si>
  <si>
    <t>LEARENO EST 3</t>
  </si>
  <si>
    <t>5395 CORRAL DR</t>
  </si>
  <si>
    <t>SUN DANCE RIDGE LT 1 BLK B</t>
  </si>
  <si>
    <t>630 MEADOW VISTA DR</t>
  </si>
  <si>
    <t>1704 SHADOW WOOD RD</t>
  </si>
  <si>
    <t>PACIFIC GROVE</t>
  </si>
  <si>
    <t>93950</t>
  </si>
  <si>
    <t>3670 HAWKINGS CT</t>
  </si>
  <si>
    <t>516-020-27</t>
  </si>
  <si>
    <t>526-010-13</t>
  </si>
  <si>
    <t>DHCB</t>
  </si>
  <si>
    <t>LEWIS HOMES SPARKS 12F</t>
  </si>
  <si>
    <t>LEWIS HOMES SPARKS 12J</t>
  </si>
  <si>
    <t>LEWIS HOMES-SPARKS NO 12J</t>
  </si>
  <si>
    <t>MONTREUX 2</t>
  </si>
  <si>
    <t>SPANISH SPRINGS VILLAGE 4</t>
  </si>
  <si>
    <t>148-010-12</t>
  </si>
  <si>
    <t>JCIF</t>
  </si>
  <si>
    <t>AHCU</t>
  </si>
  <si>
    <t xml:space="preserve">HEYDON, TIMOTHY </t>
  </si>
  <si>
    <t>3105 WEST PLUMB LN</t>
  </si>
  <si>
    <t>PM 170</t>
  </si>
  <si>
    <t>6100 INGLESTON DR</t>
  </si>
  <si>
    <t>5398 SUN VALLEY BLVD</t>
  </si>
  <si>
    <t>BFCA</t>
  </si>
  <si>
    <t>BEFQ</t>
  </si>
  <si>
    <t>3380 ROSALINDA DR</t>
  </si>
  <si>
    <t>SIERRA LOMA 2</t>
  </si>
  <si>
    <t>HIGHLANDS AT CIMARRON EAST 3</t>
  </si>
  <si>
    <t>084-270-47</t>
  </si>
  <si>
    <t>DMAD</t>
  </si>
  <si>
    <t>5965 ALMANDINE DR</t>
  </si>
  <si>
    <t>HIGHLAND PLACE LT 4</t>
  </si>
  <si>
    <t>FOOTHILL MEADOWS</t>
  </si>
  <si>
    <t>Misc</t>
  </si>
  <si>
    <t>AFUC</t>
  </si>
  <si>
    <t>GOOD/VERY GD</t>
  </si>
  <si>
    <t>HUNTER LAKE TH</t>
  </si>
  <si>
    <t>AFHA</t>
  </si>
  <si>
    <t>1200 RIVERSIDE DR</t>
  </si>
  <si>
    <t>1200 RIVERSIDE DR AMD</t>
  </si>
  <si>
    <t>AGQA</t>
  </si>
  <si>
    <t>CRYSTAL BAY PARK</t>
  </si>
  <si>
    <t>1150 LA GUARDIA LN</t>
  </si>
  <si>
    <t>WHITES CREEK EST 1</t>
  </si>
  <si>
    <t>SKY VISTA VILLAGE 11D</t>
  </si>
  <si>
    <t>550-020-29</t>
  </si>
  <si>
    <t>WINGFIELD SPRINGS 13B PH2</t>
  </si>
  <si>
    <t>522-010-64</t>
  </si>
  <si>
    <t>EVANS CREEK EST 6</t>
  </si>
  <si>
    <t>CIMARRON 3</t>
  </si>
  <si>
    <t xml:space="preserve">PRINGLE, SCOTT </t>
  </si>
  <si>
    <t>SPANISH SPRINGS 2</t>
  </si>
  <si>
    <t xml:space="preserve">VERDI </t>
  </si>
  <si>
    <t>PBHA</t>
  </si>
  <si>
    <t>FAIRWAY EST 2</t>
  </si>
  <si>
    <t>BHCC</t>
  </si>
  <si>
    <t>UNIVERSITY RIDGE 6</t>
  </si>
  <si>
    <t xml:space="preserve">WACHOVIA MORTGAGE FSB  </t>
  </si>
  <si>
    <t>WILLOW CREEK STATION 7C1</t>
  </si>
  <si>
    <t>GREENBRAE TERRACE 18</t>
  </si>
  <si>
    <t>MORTON LT 30 BLK A</t>
  </si>
  <si>
    <t>MANOR HEATH</t>
  </si>
  <si>
    <t xml:space="preserve">LONG LIVING TRUST  </t>
  </si>
  <si>
    <t>WINGFIELD SPRINGS 20 PH 1</t>
  </si>
  <si>
    <t>520-020-30</t>
  </si>
  <si>
    <t>STEAMBOAT SPRINGS EST 1</t>
  </si>
  <si>
    <t>WILLOW CREEK STATION 11-A</t>
  </si>
  <si>
    <t>030-020-91</t>
  </si>
  <si>
    <t xml:space="preserve">WESTSTAR CREDIT UNION </t>
  </si>
  <si>
    <t>485 TASKER WAY</t>
  </si>
  <si>
    <t>GREENBRAE TERRACE</t>
  </si>
  <si>
    <t>O`SULLIVAN ADD FR</t>
  </si>
  <si>
    <t xml:space="preserve">ENTRUST ADMINISTRATION TRUST  </t>
  </si>
  <si>
    <t xml:space="preserve">ARIF, MIAN </t>
  </si>
  <si>
    <t>PM 4109</t>
  </si>
  <si>
    <t xml:space="preserve">MCALLESTER, PETER </t>
  </si>
  <si>
    <t>037-360-02</t>
  </si>
  <si>
    <t>BELLA VISTA RNCH VILLGE B UT 1</t>
  </si>
  <si>
    <t>AKAQ</t>
  </si>
  <si>
    <t xml:space="preserve">BROWN FAMILY TRUST  </t>
  </si>
  <si>
    <t>ECCE</t>
  </si>
  <si>
    <t>316 CALIFORNIA AVE # 17</t>
  </si>
  <si>
    <t>SIERRA VIEW ESTS UNIT ONE</t>
  </si>
  <si>
    <t>3727 ALLEGRINI DR</t>
  </si>
  <si>
    <t>FOOTHILLS AT WINGFIELD VLG 15B LT 15-95</t>
  </si>
  <si>
    <t>SIERRA EST 1A</t>
  </si>
  <si>
    <t>SIERRA GARDENS MH LT 20 BLK B</t>
  </si>
  <si>
    <t xml:space="preserve">TRU-JOH LLC </t>
  </si>
  <si>
    <t>ELMCREST HEIGHTS 2</t>
  </si>
  <si>
    <t>516-012-07</t>
  </si>
  <si>
    <t>DLKC</t>
  </si>
  <si>
    <t>VISTAS 1A PH 2</t>
  </si>
  <si>
    <t>SOUTHVIEW</t>
  </si>
  <si>
    <t>TAFD</t>
  </si>
  <si>
    <t>CAUGHLIN COTTAGES 1</t>
  </si>
  <si>
    <t>009-251-17</t>
  </si>
  <si>
    <t>WOODLAND VILLAGE 15</t>
  </si>
  <si>
    <t xml:space="preserve">PIN OAK HOMES LLC  </t>
  </si>
  <si>
    <t>556-390-16</t>
  </si>
  <si>
    <t>MT SHADOWS INCLINE 1</t>
  </si>
  <si>
    <t xml:space="preserve">NATIONAL RESIDENTIAL  NOMINEE </t>
  </si>
  <si>
    <t>DESERT HIGHLANDS 4A</t>
  </si>
  <si>
    <t>514-010-63</t>
  </si>
  <si>
    <t xml:space="preserve">DAYTON </t>
  </si>
  <si>
    <t xml:space="preserve">ALARAB, GRETCHEN </t>
  </si>
  <si>
    <t xml:space="preserve">WK&amp;J LLC </t>
  </si>
  <si>
    <t>LAKERIDGE SPRINGS 2</t>
  </si>
  <si>
    <t>856 LIGHTHOUSE CT</t>
  </si>
  <si>
    <t>6900 S MCCARRAN BLVD STE 2030</t>
  </si>
  <si>
    <t>CRYSTAL LAKE 1A LT 48 BLK B</t>
  </si>
  <si>
    <t>THOMAS CREEK EST 2C</t>
  </si>
  <si>
    <t>RIVER PARK 3</t>
  </si>
  <si>
    <t>1000</t>
  </si>
  <si>
    <t>FOOTHILLS AT WINGFIELD VLG 13B</t>
  </si>
  <si>
    <t>039-151-90</t>
  </si>
  <si>
    <t>PARKSIDE VISTA</t>
  </si>
  <si>
    <t xml:space="preserve">LODI </t>
  </si>
  <si>
    <t>TRADITIONS CAUGHLIN RANCH 2</t>
  </si>
  <si>
    <t xml:space="preserve">PRUDENTIAL RELOCATION INC </t>
  </si>
  <si>
    <t>041-243-19</t>
  </si>
  <si>
    <t>FOOTHILLS AT WINGFIELD VLG 7A</t>
  </si>
  <si>
    <t>NORTHGATE 3D</t>
  </si>
  <si>
    <t>MORNINGSTAR 2</t>
  </si>
  <si>
    <t>204-020-25</t>
  </si>
  <si>
    <t>TURTLE CREEK 2</t>
  </si>
  <si>
    <t>560-020-17</t>
  </si>
  <si>
    <t>FOOTHILLS AT WINGFIELD VLG 13A</t>
  </si>
  <si>
    <t>GREENBRAE WLY ADD C</t>
  </si>
  <si>
    <t>FOOTHILLS AT WINGFIELD VLG 5</t>
  </si>
  <si>
    <t>6279 GOLDEN MEADOW RD</t>
  </si>
  <si>
    <t>96161</t>
  </si>
  <si>
    <t xml:space="preserve">WOO, KWANG H &amp; SAM S </t>
  </si>
  <si>
    <t>SIERRA CEDARS AMD</t>
  </si>
  <si>
    <t>FILLMORE</t>
  </si>
  <si>
    <t>ADIA</t>
  </si>
  <si>
    <t>VIRGINIA FOOTHILLS 6</t>
  </si>
  <si>
    <t>GEDC</t>
  </si>
  <si>
    <t xml:space="preserve">NEWARK </t>
  </si>
  <si>
    <t>94560</t>
  </si>
  <si>
    <t>PYRAMID RANCH EST 2</t>
  </si>
  <si>
    <t>89441</t>
  </si>
  <si>
    <t>532-091-05</t>
  </si>
  <si>
    <t>HACD</t>
  </si>
  <si>
    <t>SKY VISTA VILLAGE 10A PH2</t>
  </si>
  <si>
    <t>LAGUNA BEACH</t>
  </si>
  <si>
    <t>CIMARRON 6 PH 2</t>
  </si>
  <si>
    <t>524-010-01</t>
  </si>
  <si>
    <t>WOODLAND VILLAGE 5</t>
  </si>
  <si>
    <t>PETALUMA</t>
  </si>
  <si>
    <t>94954</t>
  </si>
  <si>
    <t>SCENIC TERRACE</t>
  </si>
  <si>
    <t>232-020-51</t>
  </si>
  <si>
    <t>FAAD</t>
  </si>
  <si>
    <t>SOMERSETT TOWN CENTER RES 1</t>
  </si>
  <si>
    <t>SIERRA ESTATES 2</t>
  </si>
  <si>
    <t>Serv Gar-Rpr</t>
  </si>
  <si>
    <t>1</t>
  </si>
  <si>
    <t>LOW/AVG</t>
  </si>
  <si>
    <t>SPACE HEATER</t>
  </si>
  <si>
    <t>SGL-MTL/STL</t>
  </si>
  <si>
    <t xml:space="preserve">AC  </t>
  </si>
  <si>
    <t>175 E GROVE ST</t>
  </si>
  <si>
    <t>KARA MIA CONDO 1</t>
  </si>
  <si>
    <t xml:space="preserve">MU  </t>
  </si>
  <si>
    <t>FR SE4</t>
  </si>
  <si>
    <t>Storage Whse</t>
  </si>
  <si>
    <t xml:space="preserve">HDR </t>
  </si>
  <si>
    <t>WASHOE VALLEY</t>
  </si>
  <si>
    <t>GRAND SIERRA RESORT PH 1A LT 1752</t>
  </si>
  <si>
    <t>550-010-20</t>
  </si>
  <si>
    <t>PYRAMID PARK 2</t>
  </si>
  <si>
    <t>EDGE @ RENO</t>
  </si>
  <si>
    <t>PIEDMONT</t>
  </si>
  <si>
    <t>FOOTHILLS AT WINGFIELD VLG 15B</t>
  </si>
  <si>
    <t xml:space="preserve">MCKINNIE, THOMAS A </t>
  </si>
  <si>
    <t>6630 OWENS DR</t>
  </si>
  <si>
    <t xml:space="preserve">PLEASANTON </t>
  </si>
  <si>
    <t>94588</t>
  </si>
  <si>
    <t>ABCC</t>
  </si>
  <si>
    <t>CASTLE RIDGE 5</t>
  </si>
  <si>
    <t xml:space="preserve">BOYCE, KATHY </t>
  </si>
  <si>
    <t>Conversion</t>
  </si>
  <si>
    <t>3550 BARRON WAY</t>
  </si>
  <si>
    <t>LONGLEY CHINEE OFFICE WH</t>
  </si>
  <si>
    <t>Ind Flex</t>
  </si>
  <si>
    <t>PACKAGE UNIT</t>
  </si>
  <si>
    <t>CONC BLK TEX</t>
  </si>
  <si>
    <t xml:space="preserve">IC  </t>
  </si>
  <si>
    <t xml:space="preserve">NEVADA STATE BANK </t>
  </si>
  <si>
    <t>025-470-46</t>
  </si>
  <si>
    <t>PM 3299</t>
  </si>
  <si>
    <t>EVERGREEN 1</t>
  </si>
  <si>
    <t>140-030-19</t>
  </si>
  <si>
    <t>DAMONTE RANCH VILLAGES 22</t>
  </si>
  <si>
    <t>140-020-79</t>
  </si>
  <si>
    <t>EDJB</t>
  </si>
  <si>
    <t>PM 4767</t>
  </si>
  <si>
    <t>CARSON CITY</t>
  </si>
  <si>
    <t>GREENBRAE TERRACE 12</t>
  </si>
  <si>
    <t>3330 DELNA DR</t>
  </si>
  <si>
    <t xml:space="preserve">SHERIFF, IMRAN &amp; MARZIA </t>
  </si>
  <si>
    <t>FR NE4 NW4 SEC 18 TWP 20 RGE 20</t>
  </si>
  <si>
    <t>2940 BULL RIDER DR</t>
  </si>
  <si>
    <t xml:space="preserve">LAN, GEORGE H &amp; LUCY R </t>
  </si>
  <si>
    <t>695 DENSLOWE DR</t>
  </si>
  <si>
    <t>STERLING VILLAGE FR LTS 16 &amp; 17 BLK 3</t>
  </si>
  <si>
    <t>ECNG</t>
  </si>
  <si>
    <t>RS 5210</t>
  </si>
  <si>
    <t>140-892-43</t>
  </si>
  <si>
    <t>VIRGINIA FOOTHILLS 1 LT 25 BLK B</t>
  </si>
  <si>
    <t>FR NE4 NE4 SEC 23 TWP 19 RGE 19</t>
  </si>
  <si>
    <t>SPRINGLAND VLG 2ND AMD 5</t>
  </si>
  <si>
    <t>8500 HOLIDAY LN</t>
  </si>
  <si>
    <t>080-021-12</t>
  </si>
  <si>
    <t>AFRE</t>
  </si>
  <si>
    <t>555 MARGRAVE DR</t>
  </si>
  <si>
    <t>SIERRA MEADOWS</t>
  </si>
  <si>
    <t xml:space="preserve">KAUR, GURMIT </t>
  </si>
  <si>
    <t>ADFC</t>
  </si>
  <si>
    <t>GRAVITY FURN</t>
  </si>
  <si>
    <t>FR NW4</t>
  </si>
  <si>
    <t xml:space="preserve">AVERAGE_ </t>
  </si>
  <si>
    <t>MN</t>
  </si>
  <si>
    <t>ADAQ</t>
  </si>
  <si>
    <t>OR</t>
  </si>
  <si>
    <t>086-070-12</t>
  </si>
  <si>
    <t>SIERRA HIGHLANDS 12B</t>
  </si>
  <si>
    <t>14205 SADDLEBOW CT</t>
  </si>
  <si>
    <t xml:space="preserve">WILLIAMS, DALE &amp; LINDA </t>
  </si>
  <si>
    <t>GEDB</t>
  </si>
  <si>
    <t>MEADOW STAR</t>
  </si>
  <si>
    <t>WARDS ADD</t>
  </si>
  <si>
    <t xml:space="preserve">TODD, JEFFREY P </t>
  </si>
  <si>
    <t>740 RALSTON ST</t>
  </si>
  <si>
    <t xml:space="preserve">FRY , HARRY C </t>
  </si>
  <si>
    <t>DFFC</t>
  </si>
  <si>
    <t>SIERRA EST 2</t>
  </si>
  <si>
    <t>SPANISH SPRINGS VILLAGE 1</t>
  </si>
  <si>
    <t>GEAC</t>
  </si>
  <si>
    <t>SILVER SHORES 1</t>
  </si>
  <si>
    <t>MAYBERRY RANCH EST 1</t>
  </si>
  <si>
    <t>280 ISLAND AVE</t>
  </si>
  <si>
    <t>PARK TOWERS</t>
  </si>
  <si>
    <t>18</t>
  </si>
  <si>
    <t>HOT WATER</t>
  </si>
  <si>
    <t>011-112-01</t>
  </si>
  <si>
    <t>AJDA</t>
  </si>
  <si>
    <t>THE MONTAGE PH 4</t>
  </si>
  <si>
    <t>518-130-21</t>
  </si>
  <si>
    <t>615 UBALDO CT</t>
  </si>
  <si>
    <t>CURTI RANCH 2 UT 4</t>
  </si>
  <si>
    <t xml:space="preserve">MARTIN, PAUL E &amp; JANET R  </t>
  </si>
  <si>
    <t>140-030-17</t>
  </si>
  <si>
    <t>CURTI RANCH 2 UT 4 LT 419</t>
  </si>
  <si>
    <t>EVERGREEN 2</t>
  </si>
  <si>
    <t>220-080-04</t>
  </si>
  <si>
    <t>25 BOBCAT DR</t>
  </si>
  <si>
    <t>FBAE</t>
  </si>
  <si>
    <t>SIERRA HIGHLANDS UT NO 2B</t>
  </si>
  <si>
    <t>NORTHGATE 1A</t>
  </si>
  <si>
    <t>040-930-11</t>
  </si>
  <si>
    <t>MANZANITA WEST 6</t>
  </si>
  <si>
    <t>SIERRA VISTA VILLAS OF RENO 2 LT 10 BLK 3</t>
  </si>
  <si>
    <t>528-010-35</t>
  </si>
  <si>
    <t>2860 SUNLINE DR</t>
  </si>
  <si>
    <t xml:space="preserve">GARGYA, SUKUMAR </t>
  </si>
  <si>
    <t>94520</t>
  </si>
  <si>
    <t>SKI LANE BITTERBRUSH 2 LT 124</t>
  </si>
  <si>
    <t>LBD PROPERTIES LLC</t>
  </si>
  <si>
    <t xml:space="preserve">6005 MEADOW EDGE DR </t>
  </si>
  <si>
    <t xml:space="preserve">AMERICAN HOME MORTGAGE </t>
  </si>
  <si>
    <t xml:space="preserve">DAYLO, ROMEL L &amp; ERLINDA C </t>
  </si>
  <si>
    <t>ELMCREST HTS #3</t>
  </si>
  <si>
    <t>4525 COBRA DR</t>
  </si>
  <si>
    <t>MESA MEADOWS</t>
  </si>
  <si>
    <t>516-020-24</t>
  </si>
  <si>
    <t>KILEY RANCH WEST 3A UT 2</t>
  </si>
  <si>
    <t>516-020-29</t>
  </si>
  <si>
    <t>LAKESIDE RANCH EST 2</t>
  </si>
  <si>
    <t xml:space="preserve">EKLUND FAMILY TRUST, LANCE J &amp; JOANNE R  </t>
  </si>
  <si>
    <t>CANYON PINES 3</t>
  </si>
  <si>
    <t xml:space="preserve">PUD </t>
  </si>
  <si>
    <t>HIDDEN VALLEY 5</t>
  </si>
  <si>
    <t>4700</t>
  </si>
  <si>
    <t>SILVER SHORES 34</t>
  </si>
  <si>
    <t>554-121-09</t>
  </si>
  <si>
    <t>022-351-03</t>
  </si>
  <si>
    <t xml:space="preserve">HALL LIVING TRUST  </t>
  </si>
  <si>
    <t xml:space="preserve">RENO      </t>
  </si>
  <si>
    <t>FAAC</t>
  </si>
  <si>
    <t>BASEMENT HIGH</t>
  </si>
  <si>
    <t>HERITAGE ON THE GREEN 2</t>
  </si>
  <si>
    <t>GOLDEN HILLS 2A LT 133</t>
  </si>
  <si>
    <t>GOLDEN HILLS 2A LT 141</t>
  </si>
  <si>
    <t>GOLDEN HILLS 2A LT 142</t>
  </si>
  <si>
    <t>GOLDEN HILLS 2A LT 166</t>
  </si>
  <si>
    <t xml:space="preserve">PRENTICE, MICHAEL &amp; KIM </t>
  </si>
  <si>
    <t xml:space="preserve">DELIA, ROBERT J &amp; ELIZABETH M </t>
  </si>
  <si>
    <t xml:space="preserve">MINTON, STEPHEN A III &amp; DOROTHY J </t>
  </si>
  <si>
    <t>124 CAMINO DEL SOL</t>
  </si>
  <si>
    <t>94591</t>
  </si>
  <si>
    <t xml:space="preserve">VOHLAND LIVING TRUST, LEWIS L  </t>
  </si>
  <si>
    <t>MEYER MEADOWS SUB DIV</t>
  </si>
  <si>
    <t>2540 SUNLINE DR</t>
  </si>
  <si>
    <t>TANAMERA CONDO 2</t>
  </si>
  <si>
    <t>SKY COUNTRY EST 8</t>
  </si>
  <si>
    <t>6501 PEPPERGRASS DR</t>
  </si>
  <si>
    <t>001-510-07</t>
  </si>
  <si>
    <t>PARKLAND 1</t>
  </si>
  <si>
    <t>002-040-41</t>
  </si>
  <si>
    <t>G CURTI RANCH 2</t>
  </si>
  <si>
    <t>143-040-11</t>
  </si>
  <si>
    <t>BEAR CREEK</t>
  </si>
  <si>
    <t>049-440-35</t>
  </si>
  <si>
    <t>EAGD</t>
  </si>
  <si>
    <t>AIJD</t>
  </si>
  <si>
    <t>AIIC</t>
  </si>
  <si>
    <t>ADVV</t>
  </si>
  <si>
    <t>NABA</t>
  </si>
  <si>
    <t>SMITHRIDGE GREENS 1 AMD</t>
  </si>
  <si>
    <t xml:space="preserve">SPRINGFIELD </t>
  </si>
  <si>
    <t>232-010-60</t>
  </si>
  <si>
    <t>GEBA</t>
  </si>
  <si>
    <t>SILVER TERRACE AMD</t>
  </si>
  <si>
    <t>090-061-41</t>
  </si>
  <si>
    <t>GEAA</t>
  </si>
  <si>
    <t>NDLA</t>
  </si>
  <si>
    <t>GREENFIELD</t>
  </si>
  <si>
    <t>GFSF</t>
  </si>
  <si>
    <t>WA</t>
  </si>
  <si>
    <t xml:space="preserve">BETZ FAMILY TRUST  </t>
  </si>
  <si>
    <t>ANBF</t>
  </si>
  <si>
    <t>MD</t>
  </si>
  <si>
    <t>JBEF</t>
  </si>
  <si>
    <t>520-020-21</t>
  </si>
  <si>
    <t>WINGFIELD SPRINGS 4B</t>
  </si>
  <si>
    <t>522-010-13</t>
  </si>
  <si>
    <t>ECAT</t>
  </si>
  <si>
    <t>OBCT</t>
  </si>
  <si>
    <t>ABLA</t>
  </si>
  <si>
    <t xml:space="preserve">CAMPBELL </t>
  </si>
  <si>
    <t>NDJB</t>
  </si>
  <si>
    <t>YORKSHIRE MANOR 2</t>
  </si>
  <si>
    <t>DDIA</t>
  </si>
  <si>
    <t>MORGAN POINTE @ SOMERSETT</t>
  </si>
  <si>
    <t>556-020-04</t>
  </si>
  <si>
    <t>LAKE HILLS 2</t>
  </si>
  <si>
    <t>566-010-06</t>
  </si>
  <si>
    <t>6337 PEPPERGRASS DR</t>
  </si>
  <si>
    <t>PIONEER MEADOWS VLG 9 PH 1 LT 76</t>
  </si>
  <si>
    <t>6341 PEPPERGRASS DR</t>
  </si>
  <si>
    <t>ELSEY, RICHARD F LLC</t>
  </si>
  <si>
    <t>PIONEER MEADOWS VLG 9 PH 1 LT 75</t>
  </si>
  <si>
    <t>6497 PEPPERGRASS DR</t>
  </si>
  <si>
    <t>PIONEER MEADOWS VLG 9 PH 2 LT 203</t>
  </si>
  <si>
    <t>PIONEER MEADOWS VLG 9 PH 2 LT 202</t>
  </si>
  <si>
    <t>SKY VISTA VILLAGE 10B PH 2</t>
  </si>
  <si>
    <t>Med Office</t>
  </si>
  <si>
    <t>PEBBLE CREEK 5</t>
  </si>
  <si>
    <t>HIGH COUNTRY</t>
  </si>
  <si>
    <t xml:space="preserve">SUN VALLEY </t>
  </si>
  <si>
    <t xml:space="preserve">GONZALEZ, ERNESTO  </t>
  </si>
  <si>
    <t>294 E 9TH AVE</t>
  </si>
  <si>
    <t>160-220-30</t>
  </si>
  <si>
    <t>1051 CROWN VIEW DR</t>
  </si>
  <si>
    <t>GRAND SUMMIT</t>
  </si>
  <si>
    <t xml:space="preserve">LENNAR RENO LLC </t>
  </si>
  <si>
    <t>202-160-09</t>
  </si>
  <si>
    <t>GRAND SUMMIT LT 26</t>
  </si>
  <si>
    <t>BBJC</t>
  </si>
  <si>
    <t>OCLG</t>
  </si>
  <si>
    <t>EASTRIDGE 1</t>
  </si>
  <si>
    <t>ACBD</t>
  </si>
  <si>
    <t>CLAY TILE</t>
  </si>
  <si>
    <t>OCKG</t>
  </si>
  <si>
    <t>510-191-08</t>
  </si>
  <si>
    <t>CANYON HILLS 1B</t>
  </si>
  <si>
    <t xml:space="preserve"> </t>
  </si>
  <si>
    <t>ANKA</t>
  </si>
  <si>
    <t>6040</t>
  </si>
  <si>
    <t>234-021-41</t>
  </si>
  <si>
    <t>SIERRA CANYON @ SOMERSETT VG 7 LT 64</t>
  </si>
  <si>
    <t>FAGC</t>
  </si>
  <si>
    <t>COTTAGES</t>
  </si>
  <si>
    <t>021-042-22</t>
  </si>
  <si>
    <t>NDGB</t>
  </si>
  <si>
    <t>STONE CANYON 8</t>
  </si>
  <si>
    <t>504-580-09</t>
  </si>
  <si>
    <t>CABD</t>
  </si>
  <si>
    <t>STONE CREEK 1</t>
  </si>
  <si>
    <t>SUN VALLEY</t>
  </si>
  <si>
    <t>89433</t>
  </si>
  <si>
    <t xml:space="preserve">BANK OF NEW YORK MELLON </t>
  </si>
  <si>
    <t>08345002 &amp;</t>
  </si>
  <si>
    <t xml:space="preserve">PD  </t>
  </si>
  <si>
    <t>89436</t>
  </si>
  <si>
    <t>DLDC</t>
  </si>
  <si>
    <t>DGCC</t>
  </si>
  <si>
    <t>232-020-11</t>
  </si>
  <si>
    <t>LINCOLN</t>
  </si>
  <si>
    <t>95648</t>
  </si>
  <si>
    <t>021-160-51</t>
  </si>
  <si>
    <t>Clubhouse</t>
  </si>
  <si>
    <t>FRAC NE4 OF SW4</t>
  </si>
  <si>
    <t>TOSCANA @ D`ANDREA 6A</t>
  </si>
  <si>
    <t>PO BOX 19434</t>
  </si>
  <si>
    <t>MEADOWRIDGE 1C</t>
  </si>
  <si>
    <t xml:space="preserve">KNECHT, KEVIN </t>
  </si>
  <si>
    <t>PO BOX 10565</t>
  </si>
  <si>
    <t>AHFC</t>
  </si>
  <si>
    <t xml:space="preserve">PURSUIT PROPERTIES LLC  </t>
  </si>
  <si>
    <t>89135</t>
  </si>
  <si>
    <t>SIERRA HEIGHTS RENO 3E</t>
  </si>
  <si>
    <t>SOUTHLAND HTS</t>
  </si>
  <si>
    <t xml:space="preserve">JP MORGAN CHASE BANK NA </t>
  </si>
  <si>
    <t xml:space="preserve">DRURY FAMILY TRUST  </t>
  </si>
  <si>
    <t xml:space="preserve">SIERRA HOMES REALTY </t>
  </si>
  <si>
    <t>RED ROCK EST</t>
  </si>
  <si>
    <t xml:space="preserve">HERITAGE BANK OF NEVADA </t>
  </si>
  <si>
    <t>GGBJ</t>
  </si>
  <si>
    <t>502-020-12</t>
  </si>
  <si>
    <t>PEEK PARCEL 1 PH 2</t>
  </si>
  <si>
    <t>080-021-18</t>
  </si>
  <si>
    <t>GFCC</t>
  </si>
  <si>
    <t>CREST AT STONEFIELD 1 UT 1</t>
  </si>
  <si>
    <t>080-021-15</t>
  </si>
  <si>
    <t>SPRING CREEK 1A</t>
  </si>
  <si>
    <t>WINGFIELD SPRINGS 15A</t>
  </si>
  <si>
    <t>522-010-39</t>
  </si>
  <si>
    <t>EAGLE CANYON 2 UT 1</t>
  </si>
  <si>
    <t>530-280-11</t>
  </si>
  <si>
    <t>O`SULLIVAN TRACT</t>
  </si>
  <si>
    <t>CAUGHLIN RIDGES 1 VSTA PT</t>
  </si>
  <si>
    <t>AFEC</t>
  </si>
  <si>
    <t>WOODLAND VILLAGE 11</t>
  </si>
  <si>
    <t>RENO PARK MH EST</t>
  </si>
  <si>
    <t>RENO PARK MH EST 2A AMD</t>
  </si>
  <si>
    <t>TENAYA CREEK</t>
  </si>
  <si>
    <t>003-070-20</t>
  </si>
  <si>
    <t>CORONET 3</t>
  </si>
  <si>
    <t>AFNC</t>
  </si>
  <si>
    <t>94556</t>
  </si>
  <si>
    <t>PSAA</t>
  </si>
  <si>
    <t>1285 VIRBEL LN</t>
  </si>
  <si>
    <t>PM 1392</t>
  </si>
  <si>
    <t>009-030-44</t>
  </si>
  <si>
    <t>PANICARI AMD</t>
  </si>
  <si>
    <t>011-041-12</t>
  </si>
  <si>
    <t>TOWN &amp; COUNTRY VLG 2 AMD</t>
  </si>
  <si>
    <t>WILLOW CREEK STATION 7B2</t>
  </si>
  <si>
    <t>HERONS LANDING 1</t>
  </si>
  <si>
    <t xml:space="preserve">SAN RAMON </t>
  </si>
  <si>
    <t>HBAF</t>
  </si>
  <si>
    <t>SKY VISTA VILLAGE 9B</t>
  </si>
  <si>
    <t>SKY VISTA VILLAGE 10A PH 2</t>
  </si>
  <si>
    <t>FR SE4 NE4 SEC 13 TWP 19 RGE 19</t>
  </si>
  <si>
    <t>AMAQ</t>
  </si>
  <si>
    <t>149 FLORENCE DR</t>
  </si>
  <si>
    <t>TROY</t>
  </si>
  <si>
    <t>CIMARRON 2</t>
  </si>
  <si>
    <t>DENVER</t>
  </si>
  <si>
    <t>FOOTHILLS AT WINGFIELD VLG 6</t>
  </si>
  <si>
    <t>526-010-09</t>
  </si>
  <si>
    <t xml:space="preserve">DEUTSCHE BANK TRST CO AMERICAS </t>
  </si>
  <si>
    <t>SAGEHEN HILL 2 PH 4</t>
  </si>
  <si>
    <t>082-591-24</t>
  </si>
  <si>
    <t>EABF</t>
  </si>
  <si>
    <t>ROYAL HEIGHTS 5</t>
  </si>
  <si>
    <t>SIERRA MEADOWS 8</t>
  </si>
  <si>
    <t>HILLBORO 3</t>
  </si>
  <si>
    <t>STEAMBOAT SPRINGS EST 2</t>
  </si>
  <si>
    <t>IEBC</t>
  </si>
  <si>
    <t>SPYGLASS EST 2</t>
  </si>
  <si>
    <t xml:space="preserve">5240 VIDETTE MEADOWS DR </t>
  </si>
  <si>
    <t>516-020-35</t>
  </si>
  <si>
    <t>DGDC</t>
  </si>
  <si>
    <t>VINEYARDS VILLAGE 2</t>
  </si>
  <si>
    <t>R1-7</t>
  </si>
  <si>
    <t>2184 CAMELLIA DR</t>
  </si>
  <si>
    <t>BRISTLE CONE</t>
  </si>
  <si>
    <t>DJDA</t>
  </si>
  <si>
    <t>ACSE</t>
  </si>
  <si>
    <t>VILLAGES 1</t>
  </si>
  <si>
    <t xml:space="preserve">BAUGHMAN FAMILY TRUST  </t>
  </si>
  <si>
    <t>PO BOX 18127</t>
  </si>
  <si>
    <t>161-011-22</t>
  </si>
  <si>
    <t>EASTLAND HILLS 1B</t>
  </si>
  <si>
    <t xml:space="preserve">WINGFIELD SPRINGS 24C </t>
  </si>
  <si>
    <t>4600 NEIL RD</t>
  </si>
  <si>
    <t>MEADOWVIEW TERRACE 4 AMD</t>
  </si>
  <si>
    <t>3227 CREEKSIDE LN</t>
  </si>
  <si>
    <t>WILDCREEK EST 1 LT 121</t>
  </si>
  <si>
    <t>HAYDON SHOEMAKER SE ADD</t>
  </si>
  <si>
    <t>MEADOWVALE 3</t>
  </si>
  <si>
    <t>6885 EAGLE WING CIR</t>
  </si>
  <si>
    <t>MEADOW VIEW TERRACE 2 AMD</t>
  </si>
  <si>
    <t>SPARKS VILLAGE GREEN</t>
  </si>
  <si>
    <t>3190 SKY COUNTRY DR</t>
  </si>
  <si>
    <t>1066 PALMWOOD DR</t>
  </si>
  <si>
    <t>791 GRAND CANYON BLVD</t>
  </si>
  <si>
    <t>MORTON</t>
  </si>
  <si>
    <t>015-071-25</t>
  </si>
  <si>
    <t>SOUTHWEST VISTAS 5</t>
  </si>
  <si>
    <t>859 NUTMEG PL</t>
  </si>
  <si>
    <t xml:space="preserve">GONZALEZ, JOSE H </t>
  </si>
  <si>
    <t>13717 HART ST</t>
  </si>
  <si>
    <t>VAN NUYS</t>
  </si>
  <si>
    <t xml:space="preserve">SPRENGER &amp; SPRENGER </t>
  </si>
  <si>
    <t>DONNER SPRINGS SUB UNIT 3</t>
  </si>
  <si>
    <t>LAMOILLE</t>
  </si>
  <si>
    <t>89828</t>
  </si>
  <si>
    <t>6960 FLOWER ST</t>
  </si>
  <si>
    <t xml:space="preserve">PAGE, DEBORAH R &amp; GARY L </t>
  </si>
  <si>
    <t>LEWIS HOMES SPARKS 7C</t>
  </si>
  <si>
    <t>DONNER SPRINGS 3A</t>
  </si>
  <si>
    <t>4771 GALLERIA PKWY</t>
  </si>
  <si>
    <t>RS 4722</t>
  </si>
  <si>
    <t xml:space="preserve">SB SPARKS 389 LLC </t>
  </si>
  <si>
    <t>PM 4395 LT 1 RS 4722</t>
  </si>
  <si>
    <t xml:space="preserve">URBAN ARENA HOLDINGS LIMITED </t>
  </si>
  <si>
    <t xml:space="preserve">EWA BEACH </t>
  </si>
  <si>
    <t>STONE CANYON 10</t>
  </si>
  <si>
    <t>526-010-32</t>
  </si>
  <si>
    <t>SILVERADA NORTH 1</t>
  </si>
  <si>
    <t>504-580-10</t>
  </si>
  <si>
    <t>DONNER SPRINGS 6</t>
  </si>
  <si>
    <t>HILLBORO 5</t>
  </si>
  <si>
    <t>SIERRA HEIGHTS RENO 3A</t>
  </si>
  <si>
    <t>HILL VIEW TERRACE</t>
  </si>
  <si>
    <t>18299 PANDA BEAR CT</t>
  </si>
  <si>
    <t xml:space="preserve">ZOBEL, DAWN R </t>
  </si>
  <si>
    <t>WOODLAND VILLAGE PH 16 1393</t>
  </si>
  <si>
    <t xml:space="preserve">SCHULTZ TRUST, HAROLD R  </t>
  </si>
  <si>
    <t>14220 EAGLE SPRINGS CT</t>
  </si>
  <si>
    <t>AFGB</t>
  </si>
  <si>
    <t>SILVER SHORES 2</t>
  </si>
  <si>
    <t>090-010-30</t>
  </si>
  <si>
    <t>SILVER SHORES 15</t>
  </si>
  <si>
    <t>SILVER SHORES 22</t>
  </si>
  <si>
    <t>090-260-24</t>
  </si>
  <si>
    <t>JUNIPER RIDGE 4</t>
  </si>
  <si>
    <t>009-030-50</t>
  </si>
  <si>
    <t>ABPF</t>
  </si>
  <si>
    <t>CAUGHLIN CREEK 4</t>
  </si>
  <si>
    <t>MT</t>
  </si>
  <si>
    <t>214-010-08</t>
  </si>
  <si>
    <t>ABJC</t>
  </si>
  <si>
    <t xml:space="preserve">MAJOULET, RICHARD J &amp; CAROL J  </t>
  </si>
  <si>
    <t xml:space="preserve">ROSEVILLE </t>
  </si>
  <si>
    <t>95661</t>
  </si>
  <si>
    <t>GRAND SIERRA RESORT PH 1A LT 1786</t>
  </si>
  <si>
    <t xml:space="preserve">GRAHAM, PAUL A </t>
  </si>
  <si>
    <t xml:space="preserve">KOFSKY, MATTHEW &amp; SHARON </t>
  </si>
  <si>
    <t>GRAND SIERRA RESORT PH 1B LT 1869</t>
  </si>
  <si>
    <t>VISTA RIDGE 3</t>
  </si>
  <si>
    <t xml:space="preserve">HONEY LAKE BASIN COMPANY INC </t>
  </si>
  <si>
    <t>NY</t>
  </si>
  <si>
    <t>FREMONT</t>
  </si>
  <si>
    <t>94555</t>
  </si>
  <si>
    <t>COUNTRY CLUB ACRES AMD FR LT 1 BLK G</t>
  </si>
  <si>
    <t>ADOC</t>
  </si>
  <si>
    <t>232-060-11</t>
  </si>
  <si>
    <t>FADA</t>
  </si>
  <si>
    <t>026-342-12</t>
  </si>
  <si>
    <t>DBLA</t>
  </si>
  <si>
    <t>STEAMBOAT SPRINGS EST 3</t>
  </si>
  <si>
    <t xml:space="preserve">HDS </t>
  </si>
  <si>
    <t>IEAC</t>
  </si>
  <si>
    <t>STERLING VILLAGE 2</t>
  </si>
  <si>
    <t>4B-4E @ SOMERSETT</t>
  </si>
  <si>
    <t>234-011-31</t>
  </si>
  <si>
    <t>2875 IDLEWILD DR</t>
  </si>
  <si>
    <t>AFIA</t>
  </si>
  <si>
    <t>89595</t>
  </si>
  <si>
    <t xml:space="preserve">MERITAGE HOMES OF NEVADA INC </t>
  </si>
  <si>
    <t>526-010-14</t>
  </si>
  <si>
    <t>FOOTHILLS AT WINGFIELD VLG 10</t>
  </si>
  <si>
    <t xml:space="preserve">FIRST INDEPENDENT BANK OF NEV </t>
  </si>
  <si>
    <t>232-020-52</t>
  </si>
  <si>
    <t>DAVIS</t>
  </si>
  <si>
    <t>95616</t>
  </si>
  <si>
    <t>COUNTRY CLUB ACRES AMD</t>
  </si>
  <si>
    <t>VILLAS AT SKY VISTA 1</t>
  </si>
  <si>
    <t>550-020-31</t>
  </si>
  <si>
    <t>GFAD</t>
  </si>
  <si>
    <t>WILD STALLION EST 1</t>
  </si>
  <si>
    <t xml:space="preserve">PNC BANK NA </t>
  </si>
  <si>
    <t>552-132-11</t>
  </si>
  <si>
    <t>013-234-03</t>
  </si>
  <si>
    <t xml:space="preserve">DP REAL ESTATE INVESTMENTS LLC </t>
  </si>
  <si>
    <t>FLOOR FURN</t>
  </si>
  <si>
    <t xml:space="preserve">SYNERGY WEALTH LLC </t>
  </si>
  <si>
    <t>6885 EAGLE WING DR</t>
  </si>
  <si>
    <t>ADJA</t>
  </si>
  <si>
    <t>017-062-09</t>
  </si>
  <si>
    <t>IBHF</t>
  </si>
  <si>
    <t xml:space="preserve">CANFIELD, MORGAN &amp; ASHLEY </t>
  </si>
  <si>
    <t>IFCH</t>
  </si>
  <si>
    <t>DOUBLE DIAMOND RANCH 2B</t>
  </si>
  <si>
    <t>160-101-08</t>
  </si>
  <si>
    <t>HUFFAKER HILLS 1</t>
  </si>
  <si>
    <t>FOOTHILLS AT WINGFIELD VLG 4</t>
  </si>
  <si>
    <t>SACRAMENTO</t>
  </si>
  <si>
    <t>FOOTHILLS AT WINGFIELD VLG 15A</t>
  </si>
  <si>
    <t>084-560-09</t>
  </si>
  <si>
    <t>DMFC</t>
  </si>
  <si>
    <t>CIMARRON 4</t>
  </si>
  <si>
    <t>204-650-01</t>
  </si>
  <si>
    <t>NORTHGATE 5D</t>
  </si>
  <si>
    <t>STUD-STUCCO</t>
  </si>
  <si>
    <t>EFPP</t>
  </si>
  <si>
    <t>PAHRUMP</t>
  </si>
  <si>
    <t>255 N SIERRA ST</t>
  </si>
  <si>
    <t>MONTAGE PH 2</t>
  </si>
  <si>
    <t>HiRise Condo</t>
  </si>
  <si>
    <t>23</t>
  </si>
  <si>
    <t>HEAT PUMP</t>
  </si>
  <si>
    <t>NEW WASHOE CITY SUB 4</t>
  </si>
  <si>
    <t>PEEK PARCEL 1 PH 1</t>
  </si>
  <si>
    <t>GALENA MEADOWS 2</t>
  </si>
  <si>
    <t>EAGLE CANYON 2 UT 6</t>
  </si>
  <si>
    <t>530-280-54</t>
  </si>
  <si>
    <t>HAFD</t>
  </si>
  <si>
    <t>EAGLE CANYON 4 UT 1</t>
  </si>
  <si>
    <t>530-280-58</t>
  </si>
  <si>
    <t xml:space="preserve">HILL, JAYSON C &amp; JOYLENE D </t>
  </si>
  <si>
    <t>WILDCREEK GARDEN CONDOS LT 52 BLK A</t>
  </si>
  <si>
    <t>BFAA</t>
  </si>
  <si>
    <t>3230 WEDEKIND RD</t>
  </si>
  <si>
    <t>MOUNTAIN MEADOWS CONDOMINIUM</t>
  </si>
  <si>
    <t>HBBF</t>
  </si>
  <si>
    <t>BRIDLE PATH HOMES 2</t>
  </si>
  <si>
    <t>IEJF</t>
  </si>
  <si>
    <t>2439 SPRING FLOWER DR</t>
  </si>
  <si>
    <t>VILLAGES AT DAMONTE RANCH 15B LT 169</t>
  </si>
  <si>
    <t>JUNIPER HEIGHTS 2</t>
  </si>
  <si>
    <t>011-543-02</t>
  </si>
  <si>
    <t>AODA</t>
  </si>
  <si>
    <t>SHERMAN PARK EST</t>
  </si>
  <si>
    <t>ZEPHYR COVE</t>
  </si>
  <si>
    <t>89448</t>
  </si>
  <si>
    <t>AFWC</t>
  </si>
  <si>
    <t>MARTIN ADD</t>
  </si>
  <si>
    <t>ARROWCREEK 4B</t>
  </si>
  <si>
    <t>152-020-55</t>
  </si>
  <si>
    <t>152-030-15</t>
  </si>
  <si>
    <t xml:space="preserve">FERNHOFF, JAMES W &amp; SUSAN D </t>
  </si>
  <si>
    <t>PO BOX 1342</t>
  </si>
  <si>
    <t>550-010-06</t>
  </si>
  <si>
    <t>SKY VISTA VILLAGE 7B</t>
  </si>
  <si>
    <t>550-010-50</t>
  </si>
  <si>
    <t>SKY VISTA VILLAGE 4</t>
  </si>
  <si>
    <t>550-010-52</t>
  </si>
  <si>
    <t>200-010-18</t>
  </si>
  <si>
    <t>SEDONA VILLAGE 2</t>
  </si>
  <si>
    <t>204-020-28</t>
  </si>
  <si>
    <t xml:space="preserve">RAWSON, RICK &amp; LORI </t>
  </si>
  <si>
    <t xml:space="preserve">LONE PINE GROUP LLC </t>
  </si>
  <si>
    <t>ACOD</t>
  </si>
  <si>
    <t>DONNER SPRINGS 7</t>
  </si>
  <si>
    <t>SILVERADO RANCH EST 5 PH3</t>
  </si>
  <si>
    <t>WESTGATE</t>
  </si>
  <si>
    <t>NORTHGATE 11A</t>
  </si>
  <si>
    <t>NORTHGATE 3C</t>
  </si>
  <si>
    <t>ORANGE</t>
  </si>
  <si>
    <t>14605 RIM ROCK DR</t>
  </si>
  <si>
    <t xml:space="preserve">7025 SACRED CIR </t>
  </si>
  <si>
    <t xml:space="preserve">LANCE, PATTI A </t>
  </si>
  <si>
    <t>FOOTHILLS AT WINGFIELD VLG 12 LT 34</t>
  </si>
  <si>
    <t>FIELDCREEK RANCH 12B</t>
  </si>
  <si>
    <t>142-020-18</t>
  </si>
  <si>
    <t>EDEC</t>
  </si>
  <si>
    <t>SUN MESA 1</t>
  </si>
  <si>
    <t>1049 CROWN VIEW DR</t>
  </si>
  <si>
    <t>WINTERCREEK 1</t>
  </si>
  <si>
    <t>234-021-08</t>
  </si>
  <si>
    <t>2005</t>
  </si>
  <si>
    <t>2006</t>
  </si>
  <si>
    <t>6011</t>
  </si>
  <si>
    <t>4005</t>
  </si>
  <si>
    <t>4400</t>
  </si>
  <si>
    <t>9000</t>
  </si>
  <si>
    <t>4000</t>
  </si>
  <si>
    <t>5200</t>
  </si>
  <si>
    <t>6705</t>
  </si>
  <si>
    <t>6005</t>
  </si>
  <si>
    <t>1016</t>
  </si>
  <si>
    <t>1011</t>
  </si>
  <si>
    <t>4025</t>
  </si>
  <si>
    <t>2000</t>
  </si>
  <si>
    <t>2010</t>
  </si>
  <si>
    <t>1040</t>
  </si>
  <si>
    <t>4040</t>
  </si>
  <si>
    <t xml:space="preserve">RANGANATH, VEENA </t>
  </si>
  <si>
    <t>MERIDIAN</t>
  </si>
  <si>
    <t>CURTI RANCH 2 UT 8</t>
  </si>
  <si>
    <t>140-030-41</t>
  </si>
  <si>
    <t>140-030-38</t>
  </si>
  <si>
    <t xml:space="preserve">XIE, JIAN </t>
  </si>
  <si>
    <t>5880 BLUE CANYON DR</t>
  </si>
  <si>
    <t>100 N ARLINGTON AVE - APT# 6E</t>
  </si>
  <si>
    <t>6242 ALPINE MEADOWS LOOP</t>
  </si>
  <si>
    <t>13325 STONELAND DR</t>
  </si>
  <si>
    <t>SILVER SHORES 4</t>
  </si>
  <si>
    <t>BRUCE SUBDIVISION NO 4</t>
  </si>
  <si>
    <t>LAKERIDGE SPRINGS 7</t>
  </si>
  <si>
    <t>FOLSOM</t>
  </si>
  <si>
    <t>STERLING</t>
  </si>
  <si>
    <t>STONEFIELD 3</t>
  </si>
  <si>
    <t>080-021-20</t>
  </si>
  <si>
    <t xml:space="preserve">CELERITY LLC </t>
  </si>
  <si>
    <t>RALEIGH HEIGHTS 3</t>
  </si>
  <si>
    <t xml:space="preserve">BITS COMM REHABILITATION &amp; , AFFORDABILITY PROJECT LTD </t>
  </si>
  <si>
    <t>LEWIS HOMES SPARKS 5A</t>
  </si>
  <si>
    <t>MONTREUX 8</t>
  </si>
  <si>
    <t>10044 VIA SOLANO</t>
  </si>
  <si>
    <t>VILLAGES AT DAMONTE RANCH 16B</t>
  </si>
  <si>
    <t>STONE</t>
  </si>
  <si>
    <t>OAKLAND</t>
  </si>
  <si>
    <t>152-030-07</t>
  </si>
  <si>
    <t>550-020-30</t>
  </si>
  <si>
    <t>WINGFIELD SPRINGS 15B</t>
  </si>
  <si>
    <t>522-010-40</t>
  </si>
  <si>
    <t>GRAND SUMMIT LT 29</t>
  </si>
  <si>
    <t>1039 CROWN VIEW DR</t>
  </si>
  <si>
    <t>GRAND SUMMIT LT 30</t>
  </si>
  <si>
    <t>1037 CROWN VIEW DR</t>
  </si>
  <si>
    <t>SIERRA HIGHLANDS 2B</t>
  </si>
  <si>
    <t>6548 S MC CARRAN BLVD</t>
  </si>
  <si>
    <t>PM 4937</t>
  </si>
  <si>
    <t>040-920-16</t>
  </si>
  <si>
    <t>GALENA FOREST EST 2B</t>
  </si>
  <si>
    <t>1.5U</t>
  </si>
  <si>
    <t>ROYAL HEIGHTS 1</t>
  </si>
  <si>
    <t>EAGLE CANYON 2 UT 7</t>
  </si>
  <si>
    <t>530-280-55</t>
  </si>
  <si>
    <t>SKY RANCH NORTH 2D</t>
  </si>
  <si>
    <t>534-290-17</t>
  </si>
  <si>
    <t>HBDF</t>
  </si>
  <si>
    <t>PO BOX 953</t>
  </si>
  <si>
    <t>UNIVERSITY HTS 2 PH 5 AMD</t>
  </si>
  <si>
    <t>6470 LEGEND VISTA</t>
  </si>
  <si>
    <t xml:space="preserve">CTX MORTGAGE COMPANY LLC </t>
  </si>
  <si>
    <t>BHCD</t>
  </si>
  <si>
    <t>UNIVERSITY HEIGHTS 2 PH 3</t>
  </si>
  <si>
    <t>FR SW4 SE4 SEC 33 TWP 20 RGE 20</t>
  </si>
  <si>
    <t>MEADOW VIEW ADD</t>
  </si>
  <si>
    <t>LEWIS HOMES SPARKS 8</t>
  </si>
  <si>
    <t>MANOR GARDENS</t>
  </si>
  <si>
    <t>FOREST HILLS</t>
  </si>
  <si>
    <t xml:space="preserve">DIMAYUGA , CRESENCIO D  </t>
  </si>
  <si>
    <t>435 PINE MEADOW DR # 34D</t>
  </si>
  <si>
    <t>WILLOW CREEK STATION 3</t>
  </si>
  <si>
    <t>2215 HEDGEWOOD DR</t>
  </si>
  <si>
    <t>WARREN ESTATES UNIT NO 1</t>
  </si>
  <si>
    <t xml:space="preserve">TNSS LLC </t>
  </si>
  <si>
    <t>WARREN ESTATES UT 1  LT 31 BLK B</t>
  </si>
  <si>
    <t>GORELICK REAL ESTATE ADVISORS  LLC</t>
  </si>
  <si>
    <t>208-550-01</t>
  </si>
  <si>
    <t>160-390-22</t>
  </si>
  <si>
    <t>CIMARRON EAST 2</t>
  </si>
  <si>
    <t>2181 KIETZKE LN</t>
  </si>
  <si>
    <t>SOUTHAMPTON EST 1</t>
  </si>
  <si>
    <t>GOLDEN HILLS 2A</t>
  </si>
  <si>
    <t>BR CATRON LLC  LLC</t>
  </si>
  <si>
    <t>10630 MATHER BLVD</t>
  </si>
  <si>
    <t xml:space="preserve">MATHER </t>
  </si>
  <si>
    <t>95655</t>
  </si>
  <si>
    <t>CATRON LOTS LLC LLC</t>
  </si>
  <si>
    <t>145-020-15</t>
  </si>
  <si>
    <t>RIVER PARK 2</t>
  </si>
  <si>
    <t>SPRING MANOR</t>
  </si>
  <si>
    <t xml:space="preserve">SLO PROPERTIES LLC </t>
  </si>
  <si>
    <t>SIERRA VISTA TRACT</t>
  </si>
  <si>
    <t>DLGC</t>
  </si>
  <si>
    <t>VISTA RIDGE 2C</t>
  </si>
  <si>
    <t>518-130-22</t>
  </si>
  <si>
    <t>DLJC</t>
  </si>
  <si>
    <t>3891 WARREN WAY</t>
  </si>
  <si>
    <t>SIENA 1</t>
  </si>
  <si>
    <t>030-022-20</t>
  </si>
  <si>
    <t>DKCB</t>
  </si>
  <si>
    <t>NORTHSTAR RANCH 2</t>
  </si>
  <si>
    <t>GLENWOOD EST 1</t>
  </si>
  <si>
    <t>MT ROSE BOWL 2 AMD</t>
  </si>
  <si>
    <t>CONDO PM 1392 UT 2</t>
  </si>
  <si>
    <t>NALA</t>
  </si>
  <si>
    <t>NAFK</t>
  </si>
  <si>
    <t>MAJESTIC RANCH EST 2-A</t>
  </si>
  <si>
    <t>017-410-57</t>
  </si>
  <si>
    <t>IELG</t>
  </si>
  <si>
    <t xml:space="preserve">SAN DIEGO </t>
  </si>
  <si>
    <t>152-010-43</t>
  </si>
  <si>
    <t>550-010-09</t>
  </si>
  <si>
    <t>SPRING RIDGE 1 PH 3 AMD</t>
  </si>
  <si>
    <t>SUNRISE CREEK 1</t>
  </si>
  <si>
    <t xml:space="preserve">HARRIGAN FAMILY TRUST, MICHAEL G &amp; CYNTHIA M   </t>
  </si>
  <si>
    <t>FCDF</t>
  </si>
  <si>
    <t>EXCELLENT</t>
  </si>
  <si>
    <t xml:space="preserve">BANK OF AMERICA NA </t>
  </si>
  <si>
    <t>ANGE</t>
  </si>
  <si>
    <t>4241 DANT BLVD</t>
  </si>
  <si>
    <t>VERY GD/EXC</t>
  </si>
  <si>
    <t>ANFE</t>
  </si>
  <si>
    <t>GHBJ</t>
  </si>
  <si>
    <t>ENERGY CON</t>
  </si>
  <si>
    <t>MI</t>
  </si>
  <si>
    <t>CHICAGO</t>
  </si>
  <si>
    <t>SILVER SHORES 32</t>
  </si>
  <si>
    <t>SILVER LAKE 2</t>
  </si>
  <si>
    <t>GEEB</t>
  </si>
  <si>
    <t>ARROWCREEK 19</t>
  </si>
  <si>
    <t>152-442-02</t>
  </si>
  <si>
    <t>CASAZZA RANCH EST 6</t>
  </si>
  <si>
    <t>044-292-13</t>
  </si>
  <si>
    <t>ECLF</t>
  </si>
  <si>
    <t>FIELDCREEK RANCH 7</t>
  </si>
  <si>
    <t>049-300-70</t>
  </si>
  <si>
    <t>ECDE</t>
  </si>
  <si>
    <t>LANCER EST 4</t>
  </si>
  <si>
    <t>049-401-14</t>
  </si>
  <si>
    <t>EABD</t>
  </si>
  <si>
    <t>402-020-17</t>
  </si>
  <si>
    <t>DKEB</t>
  </si>
  <si>
    <t xml:space="preserve">GIT-R-DONE LLC </t>
  </si>
  <si>
    <t>PO BOX 50160</t>
  </si>
  <si>
    <t>DMBD</t>
  </si>
  <si>
    <t>FOOTHILLS AT WINGFIELD VLG 12</t>
  </si>
  <si>
    <t>526-010-16</t>
  </si>
  <si>
    <t>DMBB</t>
  </si>
  <si>
    <t>PIONEER MEADOWS VILLAGE 1 UT 2</t>
  </si>
  <si>
    <t>528-061-04</t>
  </si>
  <si>
    <t>DPAC</t>
  </si>
  <si>
    <t>ROBERTS 5</t>
  </si>
  <si>
    <t xml:space="preserve">LAROCCO, MICHAEL </t>
  </si>
  <si>
    <t>PO BOX 18502</t>
  </si>
  <si>
    <t>3865 E LEONESIO WAY</t>
  </si>
  <si>
    <t>FOOTHILLS AT WINGFIELD VLG 8A</t>
  </si>
  <si>
    <t xml:space="preserve">NUD </t>
  </si>
  <si>
    <t>526-010-26</t>
  </si>
  <si>
    <t>556-420-08</t>
  </si>
  <si>
    <t>GCDD</t>
  </si>
  <si>
    <t xml:space="preserve">FOOTE, RAYMON D &amp; CYNTHIA L </t>
  </si>
  <si>
    <t>MESA MEADOWS 4</t>
  </si>
  <si>
    <t>STUD-EIFS</t>
  </si>
  <si>
    <t xml:space="preserve">BAKERSFIELD </t>
  </si>
  <si>
    <t>DOUBLE DIAMOND RANCH 16A</t>
  </si>
  <si>
    <t>DOUBLE DIAMOND RANCH 11B</t>
  </si>
  <si>
    <t>160-102-07</t>
  </si>
  <si>
    <t>MEADOWS 4</t>
  </si>
  <si>
    <t>160-220-20</t>
  </si>
  <si>
    <t>520-020-11</t>
  </si>
  <si>
    <t>DMGD</t>
  </si>
  <si>
    <t>WINGFIELD SPRINGS 21A PH1</t>
  </si>
  <si>
    <t>520-020-13</t>
  </si>
  <si>
    <t>BEHE</t>
  </si>
  <si>
    <t>JUNIPER RIDGE 2</t>
  </si>
  <si>
    <t>SW4</t>
  </si>
  <si>
    <t>KDAZ</t>
  </si>
  <si>
    <t>DAMONTE RANCH VILLAGE 14A</t>
  </si>
  <si>
    <t>152-030-03</t>
  </si>
  <si>
    <t>ECBE</t>
  </si>
  <si>
    <t>17910 FANTAIL CIR</t>
  </si>
  <si>
    <t>RENO PARK MH EST 2A AMD LT 21 BLK J</t>
  </si>
  <si>
    <t>NORTHGATE 3N</t>
  </si>
  <si>
    <t>200-020-11</t>
  </si>
  <si>
    <t>NORTHERN LIGHTS 3</t>
  </si>
  <si>
    <t>082-402-10</t>
  </si>
  <si>
    <t>89144</t>
  </si>
  <si>
    <t>AFKC</t>
  </si>
  <si>
    <t>550-010-04</t>
  </si>
  <si>
    <t xml:space="preserve">TOD </t>
  </si>
  <si>
    <t>SMITHRIDGE PARK TH 4 UT1</t>
  </si>
  <si>
    <t xml:space="preserve">WATSON, GALEN C &amp; SUSAN L </t>
  </si>
  <si>
    <t>SKY VISTA VILLAGE 1B</t>
  </si>
  <si>
    <t>WESTFIELD VILLAGE</t>
  </si>
  <si>
    <t>AFLC</t>
  </si>
  <si>
    <t>BAVV</t>
  </si>
  <si>
    <t>083-291-26</t>
  </si>
  <si>
    <t>FOOTHILLS AT WINGFIELD VLG 1</t>
  </si>
  <si>
    <t>SPRING CREEK</t>
  </si>
  <si>
    <t>89815</t>
  </si>
  <si>
    <t>2095 RED WILLOW DR</t>
  </si>
  <si>
    <t>BELLA VISTA VILLAGE A UT 1 LT 1120</t>
  </si>
  <si>
    <t>MESA MEADOWS 2</t>
  </si>
  <si>
    <t>2015 RED WILLOW DR</t>
  </si>
  <si>
    <t>BELLA VISTA VILLAGE A UT 1 LT 1126</t>
  </si>
  <si>
    <t>2065 WATERHOUSE RD</t>
  </si>
  <si>
    <t>BELLA VISTA RANCH VILLAGE B UT 1 LT 2006</t>
  </si>
  <si>
    <t>2057 WATERHOUSE RD</t>
  </si>
  <si>
    <t>BELLA VISTA RANCH VILLAGE B UT 1 LT 2007</t>
  </si>
  <si>
    <t>PADA</t>
  </si>
  <si>
    <t>GCPF</t>
  </si>
  <si>
    <t>BGBD</t>
  </si>
  <si>
    <t>BAHD</t>
  </si>
  <si>
    <t>1110 MERIDIAN RANCH DR</t>
  </si>
  <si>
    <t>SIERRA CANYON @ SOMERSETT VG 7</t>
  </si>
  <si>
    <t xml:space="preserve">FADROWSKY, ALEXANDER J &amp; JUDITH L </t>
  </si>
  <si>
    <t>HONOLULU</t>
  </si>
  <si>
    <t>HI</t>
  </si>
  <si>
    <t>530-280-60</t>
  </si>
  <si>
    <t xml:space="preserve">SYTINGCO, LORETA U </t>
  </si>
  <si>
    <t>402-020-15</t>
  </si>
  <si>
    <t xml:space="preserve">FERNHOFF FAMILY TRUST  </t>
  </si>
  <si>
    <t>P O BOX 1342</t>
  </si>
  <si>
    <t>BBFC</t>
  </si>
  <si>
    <t>GRAND SIERRA RESORT PH 5</t>
  </si>
  <si>
    <t>WILLOW CREEK STATION 4</t>
  </si>
  <si>
    <t>2055 RED WILLOW DR</t>
  </si>
  <si>
    <t>BELLA VISTA VILLAGE A UT 1 LT 1123</t>
  </si>
  <si>
    <t>090-174-01</t>
  </si>
  <si>
    <t>SILVER LAKE 2 LT 345 BLK L</t>
  </si>
  <si>
    <t>PO BOX 3444</t>
  </si>
  <si>
    <t xml:space="preserve">NAKHAEE, ROOZBEH </t>
  </si>
  <si>
    <t>PO BOX 11956</t>
  </si>
  <si>
    <t>2855 IDLEWILD DR</t>
  </si>
  <si>
    <t>IDLEWILD RIVERFRONT CONDO</t>
  </si>
  <si>
    <t>ROSEWOOD LAKES 4</t>
  </si>
  <si>
    <t>021-160-35</t>
  </si>
  <si>
    <t>LAKERIDGE SPRINGS 1</t>
  </si>
  <si>
    <t>WILLOW CREEK STATION 6</t>
  </si>
  <si>
    <t xml:space="preserve">SODERMAN LIVING TRUST, HELMER &amp; BLANCHE  </t>
  </si>
  <si>
    <t>WILLOW CREEK STATION 7B1</t>
  </si>
  <si>
    <t>SILVERADO RNCH EST 3 PH 1</t>
  </si>
  <si>
    <t>GEORGETOWN</t>
  </si>
  <si>
    <t>95634</t>
  </si>
  <si>
    <t>FIELDCREEK RANCH 6</t>
  </si>
  <si>
    <t>PM 2731</t>
  </si>
  <si>
    <t>038-730-06</t>
  </si>
  <si>
    <t>FBEF</t>
  </si>
  <si>
    <t>NGGC</t>
  </si>
  <si>
    <t>VISTA DEL ORO 6A</t>
  </si>
  <si>
    <t>WHITES CREEK EST 2</t>
  </si>
  <si>
    <t>049-230-08</t>
  </si>
  <si>
    <t>ECFF</t>
  </si>
  <si>
    <t>MEADOW CREEK VILLAGE 1</t>
  </si>
  <si>
    <t>OCAA</t>
  </si>
  <si>
    <t>WILDCREEK GOLF VILLAS 2</t>
  </si>
  <si>
    <t xml:space="preserve">KLEIN, DALE K &amp; VICTORIA A </t>
  </si>
  <si>
    <t>2275 RUDDY WAY</t>
  </si>
  <si>
    <t>WILLOW CREEK STATION UT 1</t>
  </si>
  <si>
    <t xml:space="preserve">MARTINEZ, JAIME </t>
  </si>
  <si>
    <t>SIERRA MEADOWS 5A</t>
  </si>
  <si>
    <t>CANYON HILLS 2</t>
  </si>
  <si>
    <t>087-041-07</t>
  </si>
  <si>
    <t>NEW WASHOE CITY 6</t>
  </si>
  <si>
    <t xml:space="preserve">DUNN, CHRISTOPHER R &amp; JESSICA A </t>
  </si>
  <si>
    <t>SAN ANSELMO</t>
  </si>
  <si>
    <t>SPRING CREEK 2G</t>
  </si>
  <si>
    <t>083-291-32</t>
  </si>
  <si>
    <t>LAAF</t>
  </si>
  <si>
    <t>NORTHWEST VILLAS 3</t>
  </si>
  <si>
    <t>SKY COUNTRY EST 1</t>
  </si>
  <si>
    <t>GBFC</t>
  </si>
  <si>
    <t>DOUBLE DIAMOND RANCH 14A</t>
  </si>
  <si>
    <t>160-020-18</t>
  </si>
  <si>
    <t>DOUBLE DIAMOND RANCH 23</t>
  </si>
  <si>
    <t>161-180-07</t>
  </si>
  <si>
    <t>ACADEMY MANOR SUB NO 1</t>
  </si>
  <si>
    <t>EL RANCHO BUENA VISTA 2</t>
  </si>
  <si>
    <t>SPLIT</t>
  </si>
  <si>
    <t>HIDDEN SPRINGS 1</t>
  </si>
  <si>
    <t>HIDDEN SPRINGS 3</t>
  </si>
  <si>
    <t>DBIC</t>
  </si>
  <si>
    <t>WASHOE VISTA</t>
  </si>
  <si>
    <t>BHAC</t>
  </si>
  <si>
    <t>200 TALUS WAY</t>
  </si>
  <si>
    <t xml:space="preserve">NATIONAL CITY BANK </t>
  </si>
  <si>
    <t>95746</t>
  </si>
  <si>
    <t>AREA 3 PH 1 @ SOMERSETT</t>
  </si>
  <si>
    <t>SAN DIEGO</t>
  </si>
  <si>
    <t>038-530-37</t>
  </si>
  <si>
    <t>AAHC</t>
  </si>
  <si>
    <t>HEATHER</t>
  </si>
  <si>
    <t>ABHD</t>
  </si>
  <si>
    <t>CANYON PINES 1</t>
  </si>
  <si>
    <t xml:space="preserve">RESIDENTIAL FUNDING CO LLC </t>
  </si>
  <si>
    <t>039-011-15</t>
  </si>
  <si>
    <t>AREA 2 PH 1 @ SOMERSETT</t>
  </si>
  <si>
    <t>026-032-12</t>
  </si>
  <si>
    <t>BFID</t>
  </si>
  <si>
    <t>3912 CLEAR ACRE LN</t>
  </si>
  <si>
    <t>WILDCREEK GARDEN CONDOS</t>
  </si>
  <si>
    <t xml:space="preserve">MANION, CHRISTINE </t>
  </si>
  <si>
    <t>94568</t>
  </si>
  <si>
    <t>FRONTIER EST</t>
  </si>
  <si>
    <t xml:space="preserve">GARDNER FAMILY TRUST  </t>
  </si>
  <si>
    <t>837 SOUTHWOOD BLVD</t>
  </si>
  <si>
    <t>CREEKSIDE WEST</t>
  </si>
  <si>
    <t>026-012-13</t>
  </si>
  <si>
    <t>GREENBRAE TERRACE WLY F</t>
  </si>
  <si>
    <t>THIRD CREEK CONDO AMD</t>
  </si>
  <si>
    <t>1888 LAUREL RIDGE DR</t>
  </si>
  <si>
    <t xml:space="preserve">HOULIHAN, RICHARD </t>
  </si>
  <si>
    <t>161-011-23</t>
  </si>
  <si>
    <t>083-060-79</t>
  </si>
  <si>
    <t>MONTREUX 9</t>
  </si>
  <si>
    <t>148-010-54</t>
  </si>
  <si>
    <t>PM 2870</t>
  </si>
  <si>
    <t>085-780-39</t>
  </si>
  <si>
    <t>EL DORADO HILLS</t>
  </si>
  <si>
    <t>95762</t>
  </si>
  <si>
    <t xml:space="preserve">895 UNIVERSITY PARK LOOP N </t>
  </si>
  <si>
    <t>049-381-40</t>
  </si>
  <si>
    <t xml:space="preserve">MILLBRAE </t>
  </si>
  <si>
    <t>MAYBERRY MEADOWS 3</t>
  </si>
  <si>
    <t>5765 VISTA SERENA WAY</t>
  </si>
  <si>
    <t>KILEY WEST 4-A PH 2</t>
  </si>
  <si>
    <t>UPPER HIGHLANDS 1</t>
  </si>
  <si>
    <t>084-400-13</t>
  </si>
  <si>
    <t>DMED</t>
  </si>
  <si>
    <t>6700 SPANISH SPRINGS RD</t>
  </si>
  <si>
    <t>530-280-26</t>
  </si>
  <si>
    <t>EAGLE CANYON 3 UNT 5</t>
  </si>
  <si>
    <t>530-280-48</t>
  </si>
  <si>
    <t>524-010-03</t>
  </si>
  <si>
    <t>DOUBLE DIAMOND RANCH 27A</t>
  </si>
  <si>
    <t>DONNER SPRINGS SUB UT 2C-</t>
  </si>
  <si>
    <t>SILVER LAKE 1A</t>
  </si>
  <si>
    <t>DAYTON</t>
  </si>
  <si>
    <t>SILVER LAKE 1B</t>
  </si>
  <si>
    <t>PACMAN PROPERTIES LLC</t>
  </si>
  <si>
    <t xml:space="preserve">3421 CHEECHAKO DR </t>
  </si>
  <si>
    <t>BELLA VISTA RANCH VILLAGE B UT</t>
  </si>
  <si>
    <t>165-011-16</t>
  </si>
  <si>
    <t>EDMC</t>
  </si>
  <si>
    <t>2009 WATERHOUSE RD</t>
  </si>
  <si>
    <t>BELLA VISTA RANCH VILLAGE B UT 1 LT 2013</t>
  </si>
  <si>
    <t>DONNER SPRINGS 2C2</t>
  </si>
  <si>
    <t>PO BOX 4649</t>
  </si>
  <si>
    <t>640 BURNS ST</t>
  </si>
  <si>
    <t>BURKES ADD AMD FR LT 8 BLK 14</t>
  </si>
  <si>
    <t>EAGLE RIDGE 2 PH 1 LT 206</t>
  </si>
  <si>
    <t>ACLE</t>
  </si>
  <si>
    <t>JUNIPER TRAILS 6</t>
  </si>
  <si>
    <t>GRAND SUMMIT LT 27</t>
  </si>
  <si>
    <t>1047 CROWN VIEW DR</t>
  </si>
  <si>
    <t>MUE4</t>
  </si>
  <si>
    <t>VILLAGES AT DAMONTE RANCH 11A</t>
  </si>
  <si>
    <t>140-040-09</t>
  </si>
  <si>
    <t>140-020-52</t>
  </si>
  <si>
    <t xml:space="preserve">WILLISTON </t>
  </si>
  <si>
    <t>32696</t>
  </si>
  <si>
    <t>NORTHGATE 3L</t>
  </si>
  <si>
    <t>NORTHGATE 2C</t>
  </si>
  <si>
    <t>1005</t>
  </si>
  <si>
    <t>1025</t>
  </si>
  <si>
    <t>1015</t>
  </si>
  <si>
    <t>EAGLE RIDGE 2 PH 1</t>
  </si>
  <si>
    <t>041-241-07</t>
  </si>
  <si>
    <t>SILVERADO RANCH EST 9</t>
  </si>
  <si>
    <t>204-010-76</t>
  </si>
  <si>
    <t>ARROWCREEK 12B</t>
  </si>
  <si>
    <t>LEWIS HOMES SPARKS NO 4</t>
  </si>
  <si>
    <t xml:space="preserve">AGUILAR, JAIME &amp; LETICIA  </t>
  </si>
  <si>
    <t>PO BOX 533</t>
  </si>
  <si>
    <t xml:space="preserve">KING BEACH </t>
  </si>
  <si>
    <t>96143</t>
  </si>
  <si>
    <t>SPRINGLAND VLGE AMEND UT</t>
  </si>
  <si>
    <t>132-240-15</t>
  </si>
  <si>
    <t>O`SULLIVAN AMD</t>
  </si>
  <si>
    <t xml:space="preserve">MCLAIN, GARY  </t>
  </si>
  <si>
    <t>VISTA DEL ORO 6</t>
  </si>
  <si>
    <t>BDBC</t>
  </si>
  <si>
    <t>SEVERN HEIGHTS 1</t>
  </si>
  <si>
    <t>OBDP</t>
  </si>
  <si>
    <t>MEADOWVALE 4</t>
  </si>
  <si>
    <t>090-010-52</t>
  </si>
  <si>
    <t>SILVER TERRACE 2 PH 1</t>
  </si>
  <si>
    <t>BELLA VISTA VILLAGE A UT 1</t>
  </si>
  <si>
    <t>165-011-14</t>
  </si>
  <si>
    <t xml:space="preserve">VOCHATZER, DONALD E &amp; PATRICIA A </t>
  </si>
  <si>
    <t>ROSEWOOD LAKES 3</t>
  </si>
  <si>
    <t>021-160-29</t>
  </si>
  <si>
    <t>NDIC</t>
  </si>
  <si>
    <t>PO BOX 70562</t>
  </si>
  <si>
    <t>NECA</t>
  </si>
  <si>
    <t>OAUB</t>
  </si>
  <si>
    <t>BELSERA</t>
  </si>
  <si>
    <t>042-011-29</t>
  </si>
  <si>
    <t>OAAD</t>
  </si>
  <si>
    <t>VILLAGIO DELLA MONTAGNA</t>
  </si>
  <si>
    <t>FR S2 SEC 6 TWP 19 RGE 20</t>
  </si>
  <si>
    <t>ROUNDHOUSE VILLAGE</t>
  </si>
  <si>
    <t>FR SE4 SE4</t>
  </si>
  <si>
    <t>1075 GOLDFIELD ST</t>
  </si>
  <si>
    <t xml:space="preserve">MITCHELL, CHRIS </t>
  </si>
  <si>
    <t>SILVERADA 1 LT 24</t>
  </si>
  <si>
    <t>SANTA CRUZ</t>
  </si>
  <si>
    <t>234-021-40</t>
  </si>
  <si>
    <t xml:space="preserve">DAVIS FAMILY TRUST  </t>
  </si>
  <si>
    <t>759 MAYS BLVD</t>
  </si>
  <si>
    <t>CEDARS</t>
  </si>
  <si>
    <t>WOODLAND VILLAGE 3</t>
  </si>
  <si>
    <t>087-430-32</t>
  </si>
  <si>
    <t>WOODLAND VILLAGE 4</t>
  </si>
  <si>
    <t>CREEKRIDGE NORTH 1</t>
  </si>
  <si>
    <t>041-242-05</t>
  </si>
  <si>
    <t>CASTLE RIDGE 3</t>
  </si>
  <si>
    <t>218-120-05</t>
  </si>
  <si>
    <t>ABID</t>
  </si>
  <si>
    <t>3B @ SOMERSETT</t>
  </si>
  <si>
    <t>232-020-17</t>
  </si>
  <si>
    <t>FABC</t>
  </si>
  <si>
    <t>NORTHGATE 17D</t>
  </si>
  <si>
    <t>SOUTHSIDE FR</t>
  </si>
  <si>
    <t>120 MARTIN ST</t>
  </si>
  <si>
    <t>PM 4917</t>
  </si>
  <si>
    <t>014-061-04</t>
  </si>
  <si>
    <t>PM 4917 LT 1</t>
  </si>
  <si>
    <t>155 JUNIPER HILL RD</t>
  </si>
  <si>
    <t>PM 1803</t>
  </si>
  <si>
    <t xml:space="preserve">HEFNER, KIMBERLY </t>
  </si>
  <si>
    <t>PM 1803 LT 1</t>
  </si>
  <si>
    <t>ABRG</t>
  </si>
  <si>
    <t>HORIZON HILLS 2</t>
  </si>
  <si>
    <t xml:space="preserve">JARDON, BRADLEY </t>
  </si>
  <si>
    <t>KINGS VIEW EST 2</t>
  </si>
  <si>
    <t>001-010-49</t>
  </si>
  <si>
    <t>SIERRA LOMA 3</t>
  </si>
  <si>
    <t>89519</t>
  </si>
  <si>
    <t>MILL CREEK ESTATES</t>
  </si>
  <si>
    <t>WOOD CREEK SUB DIV</t>
  </si>
  <si>
    <t xml:space="preserve">SABIN, JONATHAN R </t>
  </si>
  <si>
    <t>330 SKI WAY</t>
  </si>
  <si>
    <t>ALPINE TERRACE</t>
  </si>
  <si>
    <t>DOUBLE DIAMOND RANCH 17B</t>
  </si>
  <si>
    <t>125 SUGAR HILL DR</t>
  </si>
  <si>
    <t xml:space="preserve">DOMINGUEZ, RAQUEL </t>
  </si>
  <si>
    <t>HIGH COUNTRY LT 69 BLK 4</t>
  </si>
  <si>
    <t>038-622-18</t>
  </si>
  <si>
    <t>HIGHLAND PLACE</t>
  </si>
  <si>
    <t>084-270-45</t>
  </si>
  <si>
    <t>ROYAL HEIGHTS 3</t>
  </si>
  <si>
    <t>DOUBLE DIAMOND RANCH 12A</t>
  </si>
  <si>
    <t xml:space="preserve">SUNLAND </t>
  </si>
  <si>
    <t>SURPRISE VLY RNCHS 2 PH 2</t>
  </si>
  <si>
    <t>WESTRIDGE EST 1</t>
  </si>
  <si>
    <t>MONTREUX 2 SOUTH</t>
  </si>
  <si>
    <t>BCBC</t>
  </si>
  <si>
    <t>SUNBURST</t>
  </si>
  <si>
    <t xml:space="preserve">WELLS FARGO BANK NA </t>
  </si>
  <si>
    <t>KINGS VIEW EST 1</t>
  </si>
  <si>
    <t>BAFC</t>
  </si>
  <si>
    <t>NORTHRIDGE HILLS</t>
  </si>
  <si>
    <t>BCCA</t>
  </si>
  <si>
    <t>PLEASANTON</t>
  </si>
  <si>
    <t>94566</t>
  </si>
  <si>
    <t>208-280-02</t>
  </si>
  <si>
    <t>REDWOOD CITY</t>
  </si>
  <si>
    <t>LEWIS HOMES SPARKS 16 B</t>
  </si>
  <si>
    <t>SKY VISTA VILLAGE 2B</t>
  </si>
  <si>
    <t>1690 CORLEONE DR</t>
  </si>
  <si>
    <t>89443</t>
  </si>
  <si>
    <t>ELMCREST HEIGHTS 4</t>
  </si>
  <si>
    <t xml:space="preserve">PATEL, JESAL </t>
  </si>
  <si>
    <t>205 E 4TH ST</t>
  </si>
  <si>
    <t>MORRILL SMITH ADD</t>
  </si>
  <si>
    <t>WINGFIELD SPRINGS 9B</t>
  </si>
  <si>
    <t>522-100-22</t>
  </si>
  <si>
    <t xml:space="preserve">KEPKE, WILLIAM F </t>
  </si>
  <si>
    <t>5262 N ELK RIVER RD</t>
  </si>
  <si>
    <t>PZAA</t>
  </si>
  <si>
    <t>6755 PEPPERMINT CT</t>
  </si>
  <si>
    <t xml:space="preserve">PAIGE, FREDERICK G </t>
  </si>
  <si>
    <t>090-182-17</t>
  </si>
  <si>
    <t>SILVER LAKE 2 LT 450 BLK I</t>
  </si>
  <si>
    <t>HEPPNER 1</t>
  </si>
  <si>
    <t xml:space="preserve">PFENNING, GARY L </t>
  </si>
  <si>
    <t>NORTHGATE 21</t>
  </si>
  <si>
    <t>208-320-09</t>
  </si>
  <si>
    <t>WATERFORD PARK 1 AMD</t>
  </si>
  <si>
    <t>WINGFIELD SPRINGS 27 PH 2</t>
  </si>
  <si>
    <t>93940</t>
  </si>
  <si>
    <t>520-020-61</t>
  </si>
  <si>
    <t>DMFD</t>
  </si>
  <si>
    <t>RS 5101</t>
  </si>
  <si>
    <t xml:space="preserve">MAYBERRY PROPERTIES LLC </t>
  </si>
  <si>
    <t>CORONET 1</t>
  </si>
  <si>
    <t>2740 SPINNAKER DR</t>
  </si>
  <si>
    <t>8920 SILVERKIST DR</t>
  </si>
  <si>
    <t xml:space="preserve">SEELING, JOHN  </t>
  </si>
  <si>
    <t>SILVER TERRACE 2 PH 2 LT 148</t>
  </si>
  <si>
    <t>NORTHGATE 7D</t>
  </si>
  <si>
    <t>SHADOWBROOK NORTH FR</t>
  </si>
  <si>
    <t>035-571-20</t>
  </si>
  <si>
    <t>090-010-37</t>
  </si>
  <si>
    <t>PMAA</t>
  </si>
  <si>
    <t>CURTI RANCH 2 UT 5</t>
  </si>
  <si>
    <t xml:space="preserve">BAC HOME LOANS SERVICING LP </t>
  </si>
  <si>
    <t>CAUGHLIN CREEK 6</t>
  </si>
  <si>
    <t>214-010-13</t>
  </si>
  <si>
    <t>GOLDEN MEADOWS 1</t>
  </si>
  <si>
    <t>088-202-48</t>
  </si>
  <si>
    <t>HEPPNER 1 LT 4</t>
  </si>
  <si>
    <t>FIRST TEE 5</t>
  </si>
  <si>
    <t>510-191-02</t>
  </si>
  <si>
    <t>DLAA</t>
  </si>
  <si>
    <t>HILLSBOROUGH</t>
  </si>
  <si>
    <t xml:space="preserve">LAKEMONT WILD STALLION LLC </t>
  </si>
  <si>
    <t>MIRAMONTE 3A</t>
  </si>
  <si>
    <t>512-050-04</t>
  </si>
  <si>
    <t>DLFC</t>
  </si>
  <si>
    <t>VISTAS UNIT 1A PHASE 1</t>
  </si>
  <si>
    <t>SOUTHWEST VISTAS 1</t>
  </si>
  <si>
    <t>MARKRIDGE SOUTHWEST</t>
  </si>
  <si>
    <t>275 KINGSTON HILL WAY</t>
  </si>
  <si>
    <t>HIDDEN VALLEY 3</t>
  </si>
  <si>
    <t>CHISM ADD</t>
  </si>
  <si>
    <t xml:space="preserve">PAPAS, ELENI </t>
  </si>
  <si>
    <t>MEADOWVIEW 1</t>
  </si>
  <si>
    <t>026-341-47</t>
  </si>
  <si>
    <t>WILDCREEK EST 1</t>
  </si>
  <si>
    <t>LAKE HILLS 3</t>
  </si>
  <si>
    <t>566-010-07</t>
  </si>
  <si>
    <t>SURPRISE VLEY RANCHOS 1A</t>
  </si>
  <si>
    <t>EAGLE CANYON 2 UT 3</t>
  </si>
  <si>
    <t>520-020-07</t>
  </si>
  <si>
    <t>6090 INGLESTON DR</t>
  </si>
  <si>
    <t>WINGFIELD SPRINGS 24C</t>
  </si>
  <si>
    <t>SIERRA HIGHLANDS 4D</t>
  </si>
  <si>
    <t>520-020-25</t>
  </si>
  <si>
    <t>6070 INGLESTON DR</t>
  </si>
  <si>
    <t>BGAC</t>
  </si>
  <si>
    <t>NORTHSIDE VILLAGE</t>
  </si>
  <si>
    <t xml:space="preserve">HOUSEHOLD FINANCE REALTY CORP </t>
  </si>
  <si>
    <t>082-451-24</t>
  </si>
  <si>
    <t>LEWIS HOMES SPARKS 5B</t>
  </si>
  <si>
    <t>LEWIS HOMES SPARKS 12C</t>
  </si>
  <si>
    <t>100 N ARLINGTON AVE</t>
  </si>
  <si>
    <t>ARLINGTON TOWERS</t>
  </si>
  <si>
    <t>AOEA</t>
  </si>
  <si>
    <t>EQUITY TRUST CO CUSTODIAN</t>
  </si>
  <si>
    <t>GRAND SIERRA RESORT PH 2 LT 1927</t>
  </si>
  <si>
    <t>SMITHRIDGE PARK TH 3</t>
  </si>
  <si>
    <t xml:space="preserve">CENTRAL MORTGAGE CO </t>
  </si>
  <si>
    <t>6280 SIERRA MESA DR</t>
  </si>
  <si>
    <t xml:space="preserve">FIVE STAR INC </t>
  </si>
  <si>
    <t>ARROWCREEK 28 LT 2809</t>
  </si>
  <si>
    <t xml:space="preserve">BLUTH TRUST  </t>
  </si>
  <si>
    <t xml:space="preserve">GLENBROOK </t>
  </si>
  <si>
    <t>MODESTO</t>
  </si>
  <si>
    <t>SOUTHWEST VISTAS 3</t>
  </si>
  <si>
    <t xml:space="preserve">CASCI, NICOLE K </t>
  </si>
  <si>
    <t>DJCA</t>
  </si>
  <si>
    <t>VIRGINIA FOOTHILLS 3</t>
  </si>
  <si>
    <t>RUSTIC MANOR</t>
  </si>
  <si>
    <t>LAKERIDGE TERRACE 1</t>
  </si>
  <si>
    <t>ELKO</t>
  </si>
  <si>
    <t>160-390-20</t>
  </si>
  <si>
    <t>EFOO</t>
  </si>
  <si>
    <t>FINSETH HOLDINGS LLC</t>
  </si>
  <si>
    <t>2300 W SAHARA AVE STE 800</t>
  </si>
  <si>
    <t>1277 MARNE DR</t>
  </si>
  <si>
    <t>SIERRA HEIGHTS RENO 3A LT 104 BLK 5</t>
  </si>
  <si>
    <t>ELMCREST HEIGHTS 1</t>
  </si>
  <si>
    <t>895 UNIVERSITY PARK LOOP N</t>
  </si>
  <si>
    <t>6057 CIELO CIR</t>
  </si>
  <si>
    <t>3870 E LEONESIO WAY</t>
  </si>
  <si>
    <t xml:space="preserve">CHAPIN, RODNEY D &amp; MIRIAM  </t>
  </si>
  <si>
    <t>DOUBLE DIAMOND RANCH 27B</t>
  </si>
  <si>
    <t>161-011-21</t>
  </si>
  <si>
    <t>NORTHGATE 7A</t>
  </si>
  <si>
    <t>YORKSHIRE MANOR NO 2</t>
  </si>
  <si>
    <t>6811</t>
  </si>
  <si>
    <t>TALUS POINT</t>
  </si>
  <si>
    <t>BHAA</t>
  </si>
  <si>
    <t>94133</t>
  </si>
  <si>
    <t xml:space="preserve">3555 SOUTHAMPTON DR </t>
  </si>
  <si>
    <t>089-151-36</t>
  </si>
  <si>
    <t>EAAF</t>
  </si>
  <si>
    <t>HIDDEN VALLEY 2</t>
  </si>
  <si>
    <t>208-280-04</t>
  </si>
  <si>
    <t>AGHE</t>
  </si>
  <si>
    <t>NAPA</t>
  </si>
  <si>
    <t>94558</t>
  </si>
  <si>
    <t xml:space="preserve">CA </t>
  </si>
  <si>
    <t xml:space="preserve">WASHOE VALLEY </t>
  </si>
  <si>
    <t>GREENBRAE TERRACE WLY C</t>
  </si>
  <si>
    <t>23 E O ST</t>
  </si>
  <si>
    <t>GREENBRAE TERRACE ADD 9</t>
  </si>
  <si>
    <t>200 COURT ST</t>
  </si>
  <si>
    <t xml:space="preserve">HANDFINGER, LAWAN </t>
  </si>
  <si>
    <t>2700 PLUMAS ST</t>
  </si>
  <si>
    <t>SMITHRIDGE PARK TH 1</t>
  </si>
  <si>
    <t>2740 ZINNIA DR</t>
  </si>
  <si>
    <t xml:space="preserve">MAUZY, JONATHAN S &amp; PATRICIA A  </t>
  </si>
  <si>
    <t>038-530-39</t>
  </si>
  <si>
    <t>NORTHRIDGE HEIGHTS 5</t>
  </si>
  <si>
    <t xml:space="preserve">MARTIN ADD </t>
  </si>
  <si>
    <t xml:space="preserve">EQUITY TRUST </t>
  </si>
  <si>
    <t>GRAND SIERRA RESORT PH 1A LT 1709</t>
  </si>
  <si>
    <t>BRIDLE PATH HM 3</t>
  </si>
  <si>
    <t>530-280-03</t>
  </si>
  <si>
    <t>HAED</t>
  </si>
  <si>
    <t>WILD HAWK RIDGE 2</t>
  </si>
  <si>
    <t>530-140-18</t>
  </si>
  <si>
    <t>STUD-WD SID</t>
  </si>
  <si>
    <t>TAEQ</t>
  </si>
  <si>
    <t>PONDEROSA 5</t>
  </si>
  <si>
    <t>04930039 &amp;</t>
  </si>
  <si>
    <t>FR NW4 SE4 SEC 34 TWP 18 RGE 20</t>
  </si>
  <si>
    <t>552-132-12</t>
  </si>
  <si>
    <t>GBBC</t>
  </si>
  <si>
    <t>LOS ALTOS</t>
  </si>
  <si>
    <t>FIELDCREEK RANCH 2</t>
  </si>
  <si>
    <t>AEJC</t>
  </si>
  <si>
    <t>NEWLANDS MANOR</t>
  </si>
  <si>
    <t>WILD STALLION EST 2</t>
  </si>
  <si>
    <t>HYDE PARK</t>
  </si>
  <si>
    <t>UNIVERSITY HEIGHTS 4</t>
  </si>
  <si>
    <t>UNIVERSITY RIDGE 8</t>
  </si>
  <si>
    <t>PO BOX 237</t>
  </si>
  <si>
    <t xml:space="preserve">MAJOULET, RICHARD &amp; CAROL  </t>
  </si>
  <si>
    <t>GRAND SIERRA RESORT PH 3 LT 2025</t>
  </si>
  <si>
    <t>SIERRA HEIGHTS RENO 3C</t>
  </si>
  <si>
    <t>FERNLEY</t>
  </si>
  <si>
    <t xml:space="preserve">SHAW, IKE </t>
  </si>
  <si>
    <t>CAAD</t>
  </si>
  <si>
    <t>4A @ SOMERSETT</t>
  </si>
  <si>
    <t>92694</t>
  </si>
  <si>
    <t>234-011-23</t>
  </si>
  <si>
    <t>MORNINGSTAR 3</t>
  </si>
  <si>
    <t>504-580-07</t>
  </si>
  <si>
    <t>FIRST TEE 7 @ KILEY RANCH</t>
  </si>
  <si>
    <t>510-042-10</t>
  </si>
  <si>
    <t>OATC</t>
  </si>
  <si>
    <t>508-020-48</t>
  </si>
  <si>
    <t>STONE CREST 5</t>
  </si>
  <si>
    <t>508-020-50</t>
  </si>
  <si>
    <t>STONE CREST 7</t>
  </si>
  <si>
    <t>89533</t>
  </si>
  <si>
    <t>508-020-52</t>
  </si>
  <si>
    <t>STONE CREST 8</t>
  </si>
  <si>
    <t>508-020-53</t>
  </si>
  <si>
    <t>SIERRA VISTA 1</t>
  </si>
  <si>
    <t>083-060-94</t>
  </si>
  <si>
    <t>DCAD</t>
  </si>
  <si>
    <t>SUNRISE AT KILEY RANCH AMD</t>
  </si>
  <si>
    <t>5200 BELLAZZA CT</t>
  </si>
  <si>
    <t>5520 TANNERWOOD DR</t>
  </si>
  <si>
    <t>UPPER HIGHLANDS 2</t>
  </si>
  <si>
    <t>527-050-05</t>
  </si>
  <si>
    <t>SILVERADO RANCH EST 2 PH3</t>
  </si>
  <si>
    <t>OFFENHAUSER ADD S HLS EST</t>
  </si>
  <si>
    <t xml:space="preserve">MCKENNIE, TOM </t>
  </si>
  <si>
    <t>77338</t>
  </si>
  <si>
    <t>G CURTI RANCH UT 3</t>
  </si>
  <si>
    <t>143-040-16</t>
  </si>
  <si>
    <t>TALE</t>
  </si>
  <si>
    <t>ADRA</t>
  </si>
  <si>
    <t>ELK GROVE</t>
  </si>
  <si>
    <t>EAGLE CANYON 2</t>
  </si>
  <si>
    <t>089-160-48</t>
  </si>
  <si>
    <t>FIRST TEE 8</t>
  </si>
  <si>
    <t>FR SE4 SEC 36 TWP 20 RGE 19</t>
  </si>
  <si>
    <t>H TWO O AMD</t>
  </si>
  <si>
    <t>OK</t>
  </si>
  <si>
    <t>SAN MARINO @ D`ANDREA 1</t>
  </si>
  <si>
    <t>030-022-19</t>
  </si>
  <si>
    <t>DKDC</t>
  </si>
  <si>
    <t>PAEA</t>
  </si>
  <si>
    <t>95138</t>
  </si>
  <si>
    <t>530-140-22</t>
  </si>
  <si>
    <t>EAGLE CANYON 3 UT 4A</t>
  </si>
  <si>
    <t>PAKA</t>
  </si>
  <si>
    <t>CARLSBAD</t>
  </si>
  <si>
    <t>SKY VISTA VILLAGE 6B</t>
  </si>
  <si>
    <t>550-010-47</t>
  </si>
  <si>
    <t>SKY VISTA VILLAGE 1A</t>
  </si>
  <si>
    <t>NAKC</t>
  </si>
  <si>
    <t>ROSEVIEW 1</t>
  </si>
  <si>
    <t>1805</t>
  </si>
  <si>
    <t>VINEYARDS VILLAGE 1</t>
  </si>
  <si>
    <t xml:space="preserve">VINEYARD INVESTORS LLC </t>
  </si>
  <si>
    <t>516-012-08</t>
  </si>
  <si>
    <t>DLEC</t>
  </si>
  <si>
    <t>CIMARRON 8</t>
  </si>
  <si>
    <t>524-310-05</t>
  </si>
  <si>
    <t>15100 NAPOLEON DR</t>
  </si>
  <si>
    <t>UT</t>
  </si>
  <si>
    <t>SILVER SHORES 17</t>
  </si>
  <si>
    <t>090-260-11</t>
  </si>
  <si>
    <t>PLACITAS</t>
  </si>
  <si>
    <t>GRANITE BAY</t>
  </si>
  <si>
    <t>95678</t>
  </si>
  <si>
    <t>OABD</t>
  </si>
  <si>
    <t>KEELE</t>
  </si>
  <si>
    <t>522-010-22</t>
  </si>
  <si>
    <t>3A @ SOMERSETT</t>
  </si>
  <si>
    <t>232-020-18</t>
  </si>
  <si>
    <t>NORTHGATE 11C</t>
  </si>
  <si>
    <t>208-460-04</t>
  </si>
  <si>
    <t>MOGUL MEADOWS UNIT TWO</t>
  </si>
  <si>
    <t xml:space="preserve">BECK, SAMUEL </t>
  </si>
  <si>
    <t>6295 SHARLANDS AVE STE 1</t>
  </si>
  <si>
    <t>FR NW4 SE4</t>
  </si>
  <si>
    <t>BAKER LANE APARTMENTS</t>
  </si>
  <si>
    <t>AIFA</t>
  </si>
  <si>
    <t>CUPERTINO</t>
  </si>
  <si>
    <t>4606 NEIL RD</t>
  </si>
  <si>
    <t>NORTHGATE 18A</t>
  </si>
  <si>
    <t xml:space="preserve">LONG BEACH </t>
  </si>
  <si>
    <t>FINN RANCH</t>
  </si>
  <si>
    <t>FINN RANCH FR 54 55</t>
  </si>
  <si>
    <t xml:space="preserve">MARIE, SUSAN H  </t>
  </si>
  <si>
    <t>WOODLAND VILLAGE 8</t>
  </si>
  <si>
    <t>556-120-14</t>
  </si>
  <si>
    <t xml:space="preserve">SCHOLZ 2005 TRUST, LEO M  </t>
  </si>
  <si>
    <t xml:space="preserve">MCKINNIE, TOM </t>
  </si>
  <si>
    <t>KILEY WEST 4-B</t>
  </si>
  <si>
    <t>510-192-12</t>
  </si>
  <si>
    <t xml:space="preserve">STEWART FAMILY TRUST  </t>
  </si>
  <si>
    <t>VISTA RIDGE 2B</t>
  </si>
  <si>
    <t>518-130-14</t>
  </si>
  <si>
    <t>DLFD</t>
  </si>
  <si>
    <t xml:space="preserve">BRADEN, PATRICIA A  </t>
  </si>
  <si>
    <t xml:space="preserve">2840 ALBAZANO DR </t>
  </si>
  <si>
    <t>WINGFIELD SPRINGS 21A PH 1 LT 2103</t>
  </si>
  <si>
    <t>LAKERIDGE SPRINGS 3</t>
  </si>
  <si>
    <t>VIA BIANCA MH EST 2 LT 32 BLK J</t>
  </si>
  <si>
    <t>HV-1</t>
  </si>
  <si>
    <t>HV COMPLETE</t>
  </si>
  <si>
    <t>042-011-30</t>
  </si>
  <si>
    <t>RS 210148</t>
  </si>
  <si>
    <t>1812 BELFORD RD</t>
  </si>
  <si>
    <t>SPYGLASS EST 1 PHASE 2</t>
  </si>
  <si>
    <t>TRUCKEE RIVER TOWNHOMES</t>
  </si>
  <si>
    <t>SIERRA HEIGHTS RENO 6B</t>
  </si>
  <si>
    <t>1414 E 9TH ST</t>
  </si>
  <si>
    <t>6707 MARBREE DR</t>
  </si>
  <si>
    <t>PIONEER MEADOWS VILLAGE 2 UT 1 LT II-70</t>
  </si>
  <si>
    <t>6695 MARBREE DR</t>
  </si>
  <si>
    <t>SKY VISTA VILLAGE 10A PH 1</t>
  </si>
  <si>
    <t>WILDCREEK EST 2</t>
  </si>
  <si>
    <t>PIONEER MEADOWS VILLAGE 2 UT 1 LT II-69</t>
  </si>
  <si>
    <t>6683 MARBREE DR</t>
  </si>
  <si>
    <t>PIONEER MEADOWS VILLAGE 2 UT 1 LT II-68</t>
  </si>
  <si>
    <t>6671 MARBREE DR</t>
  </si>
  <si>
    <t xml:space="preserve">NEWLANDS MANOR </t>
  </si>
  <si>
    <t>026-011-13</t>
  </si>
  <si>
    <t>NEW SOUTHSIDE ADD</t>
  </si>
  <si>
    <t>AJBQ</t>
  </si>
  <si>
    <t xml:space="preserve">BRAIK, GORDON A &amp; SUSAN K  </t>
  </si>
  <si>
    <t>PO BOX 23</t>
  </si>
  <si>
    <t xml:space="preserve">SEQUIM </t>
  </si>
  <si>
    <t>98382</t>
  </si>
  <si>
    <t xml:space="preserve">MONTAGE MARKETING CORPORATION </t>
  </si>
  <si>
    <t>011-546-01</t>
  </si>
  <si>
    <t xml:space="preserve">LEVY, JEROME &amp; BRENDA </t>
  </si>
  <si>
    <t>LIGHTNING W RANCH RNCH UT</t>
  </si>
  <si>
    <t>055-361-01</t>
  </si>
  <si>
    <t>SAGEHEN HILL 2 PH 2</t>
  </si>
  <si>
    <t>MACH</t>
  </si>
  <si>
    <t>BRUNETTI 1</t>
  </si>
  <si>
    <t>2185 GLEN EAGLES DR</t>
  </si>
  <si>
    <t>SILVERADO RANCH EST 2 PH2</t>
  </si>
  <si>
    <t>204-010-24</t>
  </si>
  <si>
    <t>GRANITE RIDGE 1</t>
  </si>
  <si>
    <t>528-120-02</t>
  </si>
  <si>
    <t>TIERRA DEL SOL 2</t>
  </si>
  <si>
    <t>NORTHWEST VILLAS 2</t>
  </si>
  <si>
    <t>COLLEGE TOWN</t>
  </si>
  <si>
    <t>EVANS PARK 5</t>
  </si>
  <si>
    <t>WASHOE MEADOWS</t>
  </si>
  <si>
    <t>SILVER KNOLLS RANCH ESTS</t>
  </si>
  <si>
    <t>087-430-02</t>
  </si>
  <si>
    <t>COLD SPRINGS RANCH 7</t>
  </si>
  <si>
    <t>087-430-18</t>
  </si>
  <si>
    <t xml:space="preserve">KASTLE INVESMENTS HIGHLAND, PLACE LLC </t>
  </si>
  <si>
    <t>204-561-02</t>
  </si>
  <si>
    <t>SAPPHIRE RIDGE 3</t>
  </si>
  <si>
    <t>204-020-22</t>
  </si>
  <si>
    <t>10920 RED ROCK RD</t>
  </si>
  <si>
    <t>GRZ3</t>
  </si>
  <si>
    <t>GRAND SUMMIT LT 31</t>
  </si>
  <si>
    <t>1035 CROWN VIEW DR</t>
  </si>
  <si>
    <t>GRAND SUMMIT LT 32</t>
  </si>
  <si>
    <t>554-010-08</t>
  </si>
  <si>
    <t>SILVER TERRACE 2 PH 2</t>
  </si>
  <si>
    <t>152-020-40</t>
  </si>
  <si>
    <t>554-210-02</t>
  </si>
  <si>
    <t>PEAVINE VIEW EST 4</t>
  </si>
  <si>
    <t>556-020-02</t>
  </si>
  <si>
    <t>GCBD</t>
  </si>
  <si>
    <t>2761 HARDING WAY</t>
  </si>
  <si>
    <t>HARDING WAY</t>
  </si>
  <si>
    <t>001-113-03</t>
  </si>
  <si>
    <t>NORTH TRUCKEE TH</t>
  </si>
  <si>
    <t>DJAA</t>
  </si>
  <si>
    <t>SAGEHEN HILLS</t>
  </si>
  <si>
    <t>2E @ SOMERSETT AMD</t>
  </si>
  <si>
    <t>232-610-03</t>
  </si>
  <si>
    <t>FACC</t>
  </si>
  <si>
    <t>CONCRETE TIL</t>
  </si>
  <si>
    <t>MF30</t>
  </si>
  <si>
    <t>Motel</t>
  </si>
  <si>
    <t xml:space="preserve">MENA-MARQUEZ, ENRIQUE </t>
  </si>
  <si>
    <t>PLANO</t>
  </si>
  <si>
    <t>GRAND SIERRA RESORT PH 1B LT 1861</t>
  </si>
  <si>
    <t xml:space="preserve">PRIEWE FAMILY TRUST  </t>
  </si>
  <si>
    <t>GRAND SIERRA RESORT PH 6 LT 2357</t>
  </si>
  <si>
    <t>08512301,0</t>
  </si>
  <si>
    <t>HIDDEN CANYON 2</t>
  </si>
  <si>
    <t>051-400-13</t>
  </si>
  <si>
    <t>LIVERMORE</t>
  </si>
  <si>
    <t>94551</t>
  </si>
  <si>
    <t>SILVER KNOLLS EST 2</t>
  </si>
  <si>
    <t>NGVV</t>
  </si>
  <si>
    <t>855 CHERRYTREE DR</t>
  </si>
  <si>
    <t>530-280-32</t>
  </si>
  <si>
    <t xml:space="preserve">CANTRELL, WILLIAM M &amp; HOPE C  </t>
  </si>
  <si>
    <t>ARROWCREEK 31 LT 3112</t>
  </si>
  <si>
    <t>SOUTHWEST VISTAS 4B</t>
  </si>
  <si>
    <t>DMCD</t>
  </si>
  <si>
    <t>WINGFIELD SPRINGS 8B</t>
  </si>
  <si>
    <t>522-110-09</t>
  </si>
  <si>
    <t>SKY VISTA VILLAGE 10B PH2</t>
  </si>
  <si>
    <t>CIMARRON 7</t>
  </si>
  <si>
    <t>VILLAGES AT DAMONTE RANCH 18A</t>
  </si>
  <si>
    <t>140-020-55</t>
  </si>
  <si>
    <t>VILLAGES AT DAMONTE RANCH 18B</t>
  </si>
  <si>
    <t>NEWTOWN ADD</t>
  </si>
  <si>
    <t xml:space="preserve">ACEVEDO, FERNANDO &amp; VIRGINIA </t>
  </si>
  <si>
    <t xml:space="preserve">DEL ROSARIO, MILAGROS A </t>
  </si>
  <si>
    <t>P O BOX 11956</t>
  </si>
  <si>
    <t>STONEBROOK EST</t>
  </si>
  <si>
    <t xml:space="preserve">HUNG, DAVID K &amp; CINDY S </t>
  </si>
  <si>
    <t>518 BARBADOS LN</t>
  </si>
  <si>
    <t>WESTERN ADD</t>
  </si>
  <si>
    <t>AFJA</t>
  </si>
  <si>
    <t>NORTHGATE 12D</t>
  </si>
  <si>
    <t>208-280-08</t>
  </si>
  <si>
    <t>CURTI RANCH 2 UT 7</t>
  </si>
  <si>
    <t>FBCD</t>
  </si>
  <si>
    <t>MOGUL MEADOWS 2</t>
  </si>
  <si>
    <t>N EXT BARNARD ADD</t>
  </si>
  <si>
    <t>DBCC</t>
  </si>
  <si>
    <t>BFBA</t>
  </si>
  <si>
    <t>SILVER SHORES 21</t>
  </si>
  <si>
    <t>090-260-20</t>
  </si>
  <si>
    <t>LOS ANGELES</t>
  </si>
  <si>
    <t>PCFA</t>
  </si>
  <si>
    <t>SONORA</t>
  </si>
  <si>
    <t>EAGLE CANYON 3 UT 3</t>
  </si>
  <si>
    <t>STEAMBOAT SPRINGS EST NO</t>
  </si>
  <si>
    <t xml:space="preserve">MANAGEMENT RESOURCE ASSOC LTD </t>
  </si>
  <si>
    <t>COUNTRY CLUB HEIGHTS</t>
  </si>
  <si>
    <t>ANMC</t>
  </si>
  <si>
    <t>DONNER SPRINGS 4</t>
  </si>
  <si>
    <t xml:space="preserve">SMITH 2009 LIVING TRUST, DAVID S  </t>
  </si>
  <si>
    <t>PO BOX 6408</t>
  </si>
  <si>
    <t>WINGFIELD SPRINGS 24B</t>
  </si>
  <si>
    <t>HILLCREST EAST</t>
  </si>
  <si>
    <t>003-070-01</t>
  </si>
  <si>
    <t>BGCC</t>
  </si>
  <si>
    <t>1155</t>
  </si>
  <si>
    <t>STEADFIELD EST 1</t>
  </si>
  <si>
    <t>H TWO O</t>
  </si>
  <si>
    <t xml:space="preserve">MATTES REVOCABLE COMM PROP TR, PETER A &amp; CAROL A  </t>
  </si>
  <si>
    <t>AAGF</t>
  </si>
  <si>
    <t>CANYON VISTA NORTH</t>
  </si>
  <si>
    <t>WINGFIELD SPRINGS 17A</t>
  </si>
  <si>
    <t>2840 ALBAZANO DR</t>
  </si>
  <si>
    <t>522-010-36</t>
  </si>
  <si>
    <t>WINGFIELD SPRINGS 5</t>
  </si>
  <si>
    <t>522-010-14</t>
  </si>
  <si>
    <t>STONE CANYON 2</t>
  </si>
  <si>
    <t>083-060-88</t>
  </si>
  <si>
    <t>510-041-01</t>
  </si>
  <si>
    <t>DLDA</t>
  </si>
  <si>
    <t>5630 EL PASEO DR</t>
  </si>
  <si>
    <t>OH</t>
  </si>
  <si>
    <t>PEAVINE VEIW EST 6</t>
  </si>
  <si>
    <t>556-020-06</t>
  </si>
  <si>
    <t>PEAVINE VIEW EST 7</t>
  </si>
  <si>
    <t>PO BOX 673</t>
  </si>
  <si>
    <t>556-020-08</t>
  </si>
  <si>
    <t>WOODLAND VILLAGE 6</t>
  </si>
  <si>
    <t>556-120-10</t>
  </si>
  <si>
    <t>WOODLAND VILLAGE 7</t>
  </si>
  <si>
    <t>556-120-12</t>
  </si>
  <si>
    <t>KILEY WEST 4A PH 2</t>
  </si>
  <si>
    <t>510-192-11</t>
  </si>
  <si>
    <t>DGBC</t>
  </si>
  <si>
    <t>MILL STREET ADD</t>
  </si>
  <si>
    <t>UNIVERSITY RIDGE 7 &amp; 9 PH 2</t>
  </si>
  <si>
    <t>003-670-05</t>
  </si>
  <si>
    <t>WOODLAND HILLS</t>
  </si>
  <si>
    <t>LEMMON VALLEY EST</t>
  </si>
  <si>
    <t>4875 MOUNTAINSHYRE RD</t>
  </si>
  <si>
    <t>CASTLE RIDGE 3 LT 1017</t>
  </si>
  <si>
    <t>ROLLING HILLS HIGHLANDS 1</t>
  </si>
  <si>
    <t>ESPLANADE AT DAMONTE RANCH VLG 24A LT 3</t>
  </si>
  <si>
    <t>530-140-25</t>
  </si>
  <si>
    <t>1418 TALON DR</t>
  </si>
  <si>
    <t>EAGLE CANYON 3 UT 1B LT 53</t>
  </si>
  <si>
    <t>WILD HAWK RIDGE 5</t>
  </si>
  <si>
    <t>WACO</t>
  </si>
  <si>
    <t>PM 2968</t>
  </si>
  <si>
    <t>530-114-07</t>
  </si>
  <si>
    <t>ECGF</t>
  </si>
  <si>
    <t>NEW WASHOE CITY 1</t>
  </si>
  <si>
    <t>LEMMON VALLEY EST 4</t>
  </si>
  <si>
    <t>WILD HAWK RIDGE 4</t>
  </si>
  <si>
    <t>VILLAGES AT DAMONTE RANCH 17B</t>
  </si>
  <si>
    <t>160-540-02</t>
  </si>
  <si>
    <t>530-140-20</t>
  </si>
  <si>
    <t xml:space="preserve">LUCCHESI FAMILY TRUST  </t>
  </si>
  <si>
    <t>SKY RANCH NORTH 2E</t>
  </si>
  <si>
    <t>534-290-19</t>
  </si>
  <si>
    <t>SPRING VISTA</t>
  </si>
  <si>
    <t>WINGFIELD SPRINGS 19B PH 1</t>
  </si>
  <si>
    <t>CANYON HILLS 1</t>
  </si>
  <si>
    <t>087-041-06</t>
  </si>
  <si>
    <t>GCGD</t>
  </si>
  <si>
    <t>DOUBLE DIAMOND RANCH 17A</t>
  </si>
  <si>
    <t>160-390-13</t>
  </si>
  <si>
    <t>DOUBLE DIAMOND RANCH 16B</t>
  </si>
  <si>
    <t xml:space="preserve">MCALLESTER, PETER G  </t>
  </si>
  <si>
    <t>160-390-21</t>
  </si>
  <si>
    <t>DOUBLE DIAMOND RANCH 6B</t>
  </si>
  <si>
    <t>INCLINE VILLAGE 4</t>
  </si>
  <si>
    <t>FR NE4 NE4</t>
  </si>
  <si>
    <t xml:space="preserve">IRANI LIVING TRUST  </t>
  </si>
  <si>
    <t>2000 HOLCOMB RANCH LN</t>
  </si>
  <si>
    <t>VIRGINIA FOOTHILLS UNIT 6</t>
  </si>
  <si>
    <t>DESERT HIGHLANDS 4B</t>
  </si>
  <si>
    <t>514-340-11</t>
  </si>
  <si>
    <t>455 E TAYLOR ST</t>
  </si>
  <si>
    <t xml:space="preserve">HABEMAN, PAMELA </t>
  </si>
  <si>
    <t>89513</t>
  </si>
  <si>
    <t>BURKES ADD LT 9 BLK 11</t>
  </si>
  <si>
    <t>6060 INGLESTON DR</t>
  </si>
  <si>
    <t>COIT HEIGHTS 4B</t>
  </si>
  <si>
    <t>MEADOWLANDS 3</t>
  </si>
  <si>
    <t>BARING SQUARE</t>
  </si>
  <si>
    <t>ABKB</t>
  </si>
  <si>
    <t>160 UTAH ST</t>
  </si>
  <si>
    <t xml:space="preserve">GRANITE BAY </t>
  </si>
  <si>
    <t>SUN VALLEY 3 FR LT 1 BLK A</t>
  </si>
  <si>
    <t>CASTRO VALLEY</t>
  </si>
  <si>
    <t>140-030-30</t>
  </si>
  <si>
    <t>2085 HIGHVIEW CT</t>
  </si>
  <si>
    <t>EQUITY TRUST COMPANY CUSTODIAN</t>
  </si>
  <si>
    <t>MINDEN</t>
  </si>
  <si>
    <t>NORTHGATE 12B</t>
  </si>
  <si>
    <t xml:space="preserve">AURA AMERICA INC </t>
  </si>
  <si>
    <t xml:space="preserve">GARCIA, MIGUEL N &amp; MARIBEL </t>
  </si>
  <si>
    <t xml:space="preserve">HOME RENEW LLC </t>
  </si>
  <si>
    <t>Mini Whse</t>
  </si>
  <si>
    <t>NO HVAC</t>
  </si>
  <si>
    <t xml:space="preserve">C2  </t>
  </si>
  <si>
    <t xml:space="preserve">KINGSLEY FAMILY TRUST  </t>
  </si>
  <si>
    <t>2683 ANTONIO LN</t>
  </si>
  <si>
    <t xml:space="preserve">EGAN, CASE L &amp; LAURI J </t>
  </si>
  <si>
    <t>208-052-03</t>
  </si>
  <si>
    <t>NORTHGATE 8B LT 29 BLK D</t>
  </si>
  <si>
    <t>OVERLOOK 2</t>
  </si>
  <si>
    <t>161-011-18</t>
  </si>
  <si>
    <t>SILVERADO RANCH EST 6 &amp; 7</t>
  </si>
  <si>
    <t>9900 WILBUR MAY PKWY</t>
  </si>
  <si>
    <t>FLEUR DE LIS 1</t>
  </si>
  <si>
    <t xml:space="preserve">HENDERSON </t>
  </si>
  <si>
    <t>BRIDLE PATH HM 5</t>
  </si>
  <si>
    <t>076-790-18</t>
  </si>
  <si>
    <t>WOODLAND VILLAGE PH 16</t>
  </si>
  <si>
    <t xml:space="preserve">PLACER LLC </t>
  </si>
  <si>
    <t>556-390-20</t>
  </si>
  <si>
    <t>MANZANITA WEST 2</t>
  </si>
  <si>
    <t>140-030-34</t>
  </si>
  <si>
    <t xml:space="preserve">COONS, PEGGY </t>
  </si>
  <si>
    <t>ORINDA</t>
  </si>
  <si>
    <t>5945 COYOTE RIDGE CT</t>
  </si>
  <si>
    <t>JONATHAN, HENRY et al</t>
  </si>
  <si>
    <t>VIA BIANCA MH EST PH 2</t>
  </si>
  <si>
    <t>10378 SUGAR PINE RD</t>
  </si>
  <si>
    <t xml:space="preserve">ZIEGLER, JOHANNES M &amp; SWENJA K </t>
  </si>
  <si>
    <t>SMITHRIDGE GREENS 2</t>
  </si>
  <si>
    <t xml:space="preserve">MELLO, DONALD J &amp; ELENA P </t>
  </si>
  <si>
    <t>4540</t>
  </si>
  <si>
    <t>ACJC</t>
  </si>
  <si>
    <t xml:space="preserve">GEORGE, DENNIS L &amp; SHIRLEY J </t>
  </si>
  <si>
    <t>NORTHGATE 3B</t>
  </si>
  <si>
    <t>GARCIA, JUAN C et al</t>
  </si>
  <si>
    <t>8290 MESA PARK RD</t>
  </si>
  <si>
    <t>R/S 2488 ADJ</t>
  </si>
  <si>
    <t>039-141-33</t>
  </si>
  <si>
    <t>R/S 2488 PARCEL A</t>
  </si>
  <si>
    <t xml:space="preserve">SPARKS           </t>
  </si>
  <si>
    <t>1MGA</t>
  </si>
  <si>
    <t>HBED</t>
  </si>
  <si>
    <t>PEBBLE CREEK 3</t>
  </si>
  <si>
    <t>530-280-35</t>
  </si>
  <si>
    <t>GREENBRAE TERRACE 15</t>
  </si>
  <si>
    <t>LEWIS HOMES SPARKS 12D</t>
  </si>
  <si>
    <t>LEWIS HOMES SPARKS 12H</t>
  </si>
  <si>
    <t>TAND</t>
  </si>
  <si>
    <t>TATE</t>
  </si>
  <si>
    <t>TAME</t>
  </si>
  <si>
    <t>TAOD</t>
  </si>
  <si>
    <t>TALD</t>
  </si>
  <si>
    <t>TAAC</t>
  </si>
  <si>
    <t>TAVE</t>
  </si>
  <si>
    <t>TAJD</t>
  </si>
  <si>
    <t>TAHE</t>
  </si>
  <si>
    <t>TARD</t>
  </si>
  <si>
    <t>TAQK</t>
  </si>
  <si>
    <t>TAPD</t>
  </si>
  <si>
    <t>TASE</t>
  </si>
  <si>
    <t>TABE</t>
  </si>
  <si>
    <t>TAKE</t>
  </si>
  <si>
    <t>PONDEROSA 4</t>
  </si>
  <si>
    <t>EAGF</t>
  </si>
  <si>
    <t>DESERT HIGHLANDS 3</t>
  </si>
  <si>
    <t>514-010-46</t>
  </si>
  <si>
    <t>GENOA</t>
  </si>
  <si>
    <t>ARROWCREEK 25</t>
  </si>
  <si>
    <t>152-010-33</t>
  </si>
  <si>
    <t>EBGE</t>
  </si>
  <si>
    <t>152-030-10</t>
  </si>
  <si>
    <t>626 PYRAMID WAY</t>
  </si>
  <si>
    <t>OSULLIVAN TRACT</t>
  </si>
  <si>
    <t>OSULLIVAN TRACT LT 7 &amp; N 15` LT 6 BLK R</t>
  </si>
  <si>
    <t>NORTHMORE PARK 1</t>
  </si>
  <si>
    <t>872 TANAGER ST</t>
  </si>
  <si>
    <t>MT BROOK STATION CONDO</t>
  </si>
  <si>
    <t>152-430-10</t>
  </si>
  <si>
    <t>MEADOWS 1</t>
  </si>
  <si>
    <t>9260 OGDEN TRAIL DR</t>
  </si>
  <si>
    <t>SURPRISE VALLEY RANCHOS 2A</t>
  </si>
  <si>
    <t>076-801-04</t>
  </si>
  <si>
    <t>SURPRISE VALLEY RANCHOS 2A LT 69 BLK B</t>
  </si>
  <si>
    <t>2781 MONTE VERDE WAY</t>
  </si>
  <si>
    <t xml:space="preserve">NOEL LIVING TRUST  </t>
  </si>
  <si>
    <t>LEWIS HOMES SPARKS 7A LT 10</t>
  </si>
  <si>
    <t>DANVILLE</t>
  </si>
  <si>
    <t>WOOD SHINGLE</t>
  </si>
  <si>
    <t>DBMB</t>
  </si>
  <si>
    <t>SCENIC TERRACE II</t>
  </si>
  <si>
    <t>Roof Type</t>
  </si>
  <si>
    <t>Gar Area</t>
  </si>
  <si>
    <t xml:space="preserve">SODERMAN ADMIN TRUST, HELMER &amp; BLANCHE  </t>
  </si>
  <si>
    <t>036-011-28</t>
  </si>
  <si>
    <t>022-353-02</t>
  </si>
  <si>
    <t>LEWIS HOMES-SPARKS NO 15-</t>
  </si>
  <si>
    <t>003-620-10</t>
  </si>
  <si>
    <t>2955 LAKESIDE DR</t>
  </si>
  <si>
    <t>LAKESIDE PLAZA 2</t>
  </si>
  <si>
    <t xml:space="preserve">ASSELIN, SCOTT M  </t>
  </si>
  <si>
    <t xml:space="preserve">SHELLBACK PROPERTIES LLC </t>
  </si>
  <si>
    <t>255 N SIERRA ST UNIT 1217</t>
  </si>
  <si>
    <t>SIERRA VIEW SUB DIV</t>
  </si>
  <si>
    <t>HILLCREST</t>
  </si>
  <si>
    <t>082-621-04</t>
  </si>
  <si>
    <t>GAFC</t>
  </si>
  <si>
    <t>LAKEVIEW</t>
  </si>
  <si>
    <t>HV-2</t>
  </si>
  <si>
    <t>GREENBRAE TERRACE 7</t>
  </si>
  <si>
    <t>LEWIS HOMES SPARKS 16D</t>
  </si>
  <si>
    <t>PYRAMID RANCH EST 4D</t>
  </si>
  <si>
    <t>RIVER PARK 3B</t>
  </si>
  <si>
    <t>EAHF</t>
  </si>
  <si>
    <t xml:space="preserve">T M B BUILDERS </t>
  </si>
  <si>
    <t>514-540-02</t>
  </si>
  <si>
    <t>DLIC</t>
  </si>
  <si>
    <t>TRIPLE CROWN 5</t>
  </si>
  <si>
    <t>STONE CANYON 4</t>
  </si>
  <si>
    <t>083-060-92</t>
  </si>
  <si>
    <t>581 GOLDEN VISTA CT</t>
  </si>
  <si>
    <t xml:space="preserve">KAHLON, MANPREET </t>
  </si>
  <si>
    <t>GOLDEN MEADOWS 1 LT 134</t>
  </si>
  <si>
    <t>SILVERGATE 3</t>
  </si>
  <si>
    <t>1220 PLUMAS ST</t>
  </si>
  <si>
    <t>490 CAPRICORN CIR</t>
  </si>
  <si>
    <t xml:space="preserve">MCLAUGHLIN, BRIAN J &amp; PATRICIA A  </t>
  </si>
  <si>
    <t>NH</t>
  </si>
  <si>
    <t>1740 DAKOTA RIDGE CT</t>
  </si>
  <si>
    <t>DOUBLE DIAMOND RANCH 19A</t>
  </si>
  <si>
    <t>SIERRA CANYON @ SOMERSETT VG 4</t>
  </si>
  <si>
    <t xml:space="preserve">LYNCH FAMILY TRUST  </t>
  </si>
  <si>
    <t xml:space="preserve">GORELICK REAL ESTATE ADVISORS </t>
  </si>
  <si>
    <t xml:space="preserve">1888 LAUREL RIDGE DR </t>
  </si>
  <si>
    <t>LAUREL PARK 2</t>
  </si>
  <si>
    <t xml:space="preserve">2342 MELODY LN </t>
  </si>
  <si>
    <t>VISTAS 1B UT 1</t>
  </si>
  <si>
    <t>NAMA</t>
  </si>
  <si>
    <t>EL RANCHO BUENA VISTA 1</t>
  </si>
  <si>
    <t>021-101-17</t>
  </si>
  <si>
    <t>MAYBERRY MEADOWS 2</t>
  </si>
  <si>
    <t xml:space="preserve">HUNTINGTON BEACH </t>
  </si>
  <si>
    <t>92646</t>
  </si>
  <si>
    <t>530-140-08</t>
  </si>
  <si>
    <t>SKY VISTA VILLAGE 12</t>
  </si>
  <si>
    <t>550-020-17</t>
  </si>
  <si>
    <t>DGAQ</t>
  </si>
  <si>
    <t>GREYHAVEN</t>
  </si>
  <si>
    <t>DEJA</t>
  </si>
  <si>
    <t>MERCHANT COURTS</t>
  </si>
  <si>
    <t>DBNA</t>
  </si>
  <si>
    <t xml:space="preserve">NOEL, RICK &amp; DONNA </t>
  </si>
  <si>
    <t>WINGFIELD SPRINGS 6</t>
  </si>
  <si>
    <t>082-402-16</t>
  </si>
  <si>
    <t xml:space="preserve">HAMER, JOHN F &amp; LINDA M </t>
  </si>
  <si>
    <t>SPRING CREEK SUB UT NO 2A</t>
  </si>
  <si>
    <t xml:space="preserve">VAN DRONGELEN, STEPHEN &amp; SANDRA I  </t>
  </si>
  <si>
    <t>COLD SPRINGS RANCH 6</t>
  </si>
  <si>
    <t>HIDDEN SPRINGS 2</t>
  </si>
  <si>
    <t>ABFD</t>
  </si>
  <si>
    <t>046-060-31</t>
  </si>
  <si>
    <t>ANOE</t>
  </si>
  <si>
    <t>EAGLE CANYON 3 UT 4B</t>
  </si>
  <si>
    <t>530-280-43</t>
  </si>
  <si>
    <t>3095 LAKESIDE DR</t>
  </si>
  <si>
    <t>SUN GARDENS CONDO</t>
  </si>
  <si>
    <t>WINGFIELD SPRINGS 19B PH1</t>
  </si>
  <si>
    <t>ALUM CREEK PATIO HMS UT 1</t>
  </si>
  <si>
    <t>OAKC</t>
  </si>
  <si>
    <t>CAUGHLIN CREST</t>
  </si>
  <si>
    <t>ACAC</t>
  </si>
  <si>
    <t>OASD</t>
  </si>
  <si>
    <t>HIGHLAND VISTA</t>
  </si>
  <si>
    <t>SOUTHLAND HEIGHTS</t>
  </si>
  <si>
    <t xml:space="preserve">UNION CITY </t>
  </si>
  <si>
    <t>010-051-46</t>
  </si>
  <si>
    <t>AFSA</t>
  </si>
  <si>
    <t>RENO TOWNSITE</t>
  </si>
  <si>
    <t>Restaurant</t>
  </si>
  <si>
    <t>2</t>
  </si>
  <si>
    <t>WARM/COOL</t>
  </si>
  <si>
    <t>BLOCK W/STUC</t>
  </si>
  <si>
    <t>Commercial</t>
  </si>
  <si>
    <t>MUWM</t>
  </si>
  <si>
    <t>Apt Res</t>
  </si>
  <si>
    <t>THREE</t>
  </si>
  <si>
    <t>RADIATOR</t>
  </si>
  <si>
    <t>BRICK</t>
  </si>
  <si>
    <t>MUDR</t>
  </si>
  <si>
    <t xml:space="preserve">ANDERSON FAMILY TRUST  </t>
  </si>
  <si>
    <t>ARROWCREEK 8</t>
  </si>
  <si>
    <t>152-020-85</t>
  </si>
  <si>
    <t>THIRD CREEK CONDOMINIUMS</t>
  </si>
  <si>
    <t xml:space="preserve">DANVILLE </t>
  </si>
  <si>
    <t>IGBH</t>
  </si>
  <si>
    <t>ENCINITAS</t>
  </si>
  <si>
    <t>18 E GREENBRAE DR</t>
  </si>
  <si>
    <t>GREENBRAE TERR ADD 9 LT 28 BLK 36</t>
  </si>
  <si>
    <t xml:space="preserve">END-IRA INC </t>
  </si>
  <si>
    <t>1070 W CENTURY DR STE 101</t>
  </si>
  <si>
    <t>LOUISVILLE</t>
  </si>
  <si>
    <t>5755 PEAK RD</t>
  </si>
  <si>
    <t>GCDE</t>
  </si>
  <si>
    <t>WOODLAND VILLAGE 1</t>
  </si>
  <si>
    <t>087-430-28</t>
  </si>
  <si>
    <t>ORIENT</t>
  </si>
  <si>
    <t>99160</t>
  </si>
  <si>
    <t>LAKE RIDGE 1</t>
  </si>
  <si>
    <t xml:space="preserve">MCLAIN, GARY </t>
  </si>
  <si>
    <t xml:space="preserve">PETTIE, HELEN N </t>
  </si>
  <si>
    <t xml:space="preserve">WORMINGTON FAMILY TRUST, NORMA J  </t>
  </si>
  <si>
    <t>SIERRA HEIGHTS SUB DIV 1</t>
  </si>
  <si>
    <t>O`HALLORAN, DONALD M  et al</t>
  </si>
  <si>
    <t>MONROY, EDUARDO et al</t>
  </si>
  <si>
    <t>PAWA</t>
  </si>
  <si>
    <t>818 MC COURRY BLVD</t>
  </si>
  <si>
    <t xml:space="preserve">WOOD CREEK </t>
  </si>
  <si>
    <t>WOOD CREEK  LT 91</t>
  </si>
  <si>
    <t>822 GERALDINE DR</t>
  </si>
  <si>
    <t>INCLINE VILLAGE 1 LT 30 BLK J</t>
  </si>
  <si>
    <t>520-020-19</t>
  </si>
  <si>
    <t>94549</t>
  </si>
  <si>
    <t xml:space="preserve">SEVEN FEATHERS LLC </t>
  </si>
  <si>
    <t>039-111-29</t>
  </si>
  <si>
    <t>AAIB</t>
  </si>
  <si>
    <t>TOSCANA @ D`ANDREA 3A</t>
  </si>
  <si>
    <t>NORTHGATE 2B</t>
  </si>
  <si>
    <t>UNIVERSITY RIDGE 7 &amp; 9 PH 3</t>
  </si>
  <si>
    <t>003-620-17</t>
  </si>
  <si>
    <t>2345 TRIPP DR</t>
  </si>
  <si>
    <t>ELMCREST HEIGHTS 3</t>
  </si>
  <si>
    <t>94534</t>
  </si>
  <si>
    <t>IGDH</t>
  </si>
  <si>
    <t>4964 BROKEN SPUR RD</t>
  </si>
  <si>
    <t>1525 E 9TH ST</t>
  </si>
  <si>
    <t>FR NW4 SEC 22 TWP 19 RGE 19</t>
  </si>
  <si>
    <t>ACPE</t>
  </si>
  <si>
    <t>6634 MARBREE DR</t>
  </si>
  <si>
    <t>CURTI 2</t>
  </si>
  <si>
    <t xml:space="preserve">PO  </t>
  </si>
  <si>
    <t xml:space="preserve">DAYTWA ASSETS LLC </t>
  </si>
  <si>
    <t>13206 N 17TH PL</t>
  </si>
  <si>
    <t>0</t>
  </si>
  <si>
    <t>REDFIELD EST</t>
  </si>
  <si>
    <t>SMITHRIDGE PARK TH 3 UT 5</t>
  </si>
  <si>
    <t>ACED</t>
  </si>
  <si>
    <t>232-080-07</t>
  </si>
  <si>
    <t>FABF</t>
  </si>
  <si>
    <t>Sierra Canyon @ Somersett VG 4</t>
  </si>
  <si>
    <t>234-021-32</t>
  </si>
  <si>
    <t>NORTHERN LIGHTS 6</t>
  </si>
  <si>
    <t xml:space="preserve">CARLSBAD </t>
  </si>
  <si>
    <t>BRANDON, STEVEN T et al</t>
  </si>
  <si>
    <t>COUDRIET, MICHAEL D &amp; KARA K et al</t>
  </si>
  <si>
    <t>FR NE4 SW4</t>
  </si>
  <si>
    <t xml:space="preserve">RENO </t>
  </si>
  <si>
    <t>FR NE4 SW4 SEC 3 TWP 19 RGE 19</t>
  </si>
  <si>
    <t>AMPHITHEATER 3</t>
  </si>
  <si>
    <t>SAN JOSE</t>
  </si>
  <si>
    <t>BDAC</t>
  </si>
  <si>
    <t xml:space="preserve">HABERMAN, PAMELA </t>
  </si>
  <si>
    <t>HUFFAKER HILLS 3</t>
  </si>
  <si>
    <t>EFCB</t>
  </si>
  <si>
    <t>HUFFAKER HILLS 6</t>
  </si>
  <si>
    <t>EFDC</t>
  </si>
  <si>
    <t>9050 DOUBLE R BLVD</t>
  </si>
  <si>
    <t>PALISADES NORTH CONDO</t>
  </si>
  <si>
    <t>012-211-30</t>
  </si>
  <si>
    <t>UNION CITY</t>
  </si>
  <si>
    <t>GRAND SIERRA RESORT PH 6</t>
  </si>
  <si>
    <t xml:space="preserve">HOMESALES INC </t>
  </si>
  <si>
    <t>012-211-34</t>
  </si>
  <si>
    <t>TOWNHOUSES  AT HOLCOMB PLACE</t>
  </si>
  <si>
    <t>012-132-17</t>
  </si>
  <si>
    <t>AJFA</t>
  </si>
  <si>
    <t>631 GOULD ST</t>
  </si>
  <si>
    <t>PM 4733</t>
  </si>
  <si>
    <t xml:space="preserve">GILLIS, ERICA Z </t>
  </si>
  <si>
    <t>013-051-25</t>
  </si>
  <si>
    <t>VALLEJO</t>
  </si>
  <si>
    <t>522-100-12</t>
  </si>
  <si>
    <t xml:space="preserve"> PYRAMID WAY</t>
  </si>
  <si>
    <t xml:space="preserve">PF  </t>
  </si>
  <si>
    <t xml:space="preserve">TRUCKEE MEADOWS WATER AUTH </t>
  </si>
  <si>
    <t>SIERRA SAGE EST II</t>
  </si>
  <si>
    <t>Townhse Ins</t>
  </si>
  <si>
    <t>NDBA</t>
  </si>
  <si>
    <t>SKYLINE HEIGHTS 2</t>
  </si>
  <si>
    <t>AVG/GOOD</t>
  </si>
  <si>
    <t>PLYWOOD</t>
  </si>
  <si>
    <t>Dugout</t>
  </si>
  <si>
    <t>HOMEWOOD</t>
  </si>
  <si>
    <t>96141</t>
  </si>
  <si>
    <t>ANQD</t>
  </si>
  <si>
    <t>VIRGINIA FOOTHILLS 2</t>
  </si>
  <si>
    <t xml:space="preserve">FRY, HARRY C </t>
  </si>
  <si>
    <t>GEBB</t>
  </si>
  <si>
    <t>11970 ANDES ST</t>
  </si>
  <si>
    <t>PEAVINE EST</t>
  </si>
  <si>
    <t>PIONEER MEADOWS VILLAGE 2 UT 2</t>
  </si>
  <si>
    <t>RENO PARK MH EST 2B2</t>
  </si>
  <si>
    <t>NOVATO</t>
  </si>
  <si>
    <t>94945</t>
  </si>
  <si>
    <t>049-251-15</t>
  </si>
  <si>
    <t>MOUNTAIN VIEW</t>
  </si>
  <si>
    <t>NORTHGATE 8B</t>
  </si>
  <si>
    <t>EAGLE CANYON 4</t>
  </si>
  <si>
    <t>530-280-05</t>
  </si>
  <si>
    <t>EAGLE CANYON 3 UT 1B</t>
  </si>
  <si>
    <t>530-280-22</t>
  </si>
  <si>
    <t xml:space="preserve">JW REALTY LLC </t>
  </si>
  <si>
    <t>SARATOGA</t>
  </si>
  <si>
    <t>SILVER SHORES 10</t>
  </si>
  <si>
    <t>ALBK</t>
  </si>
  <si>
    <t>BURKES ADD</t>
  </si>
  <si>
    <t>4MV</t>
  </si>
  <si>
    <t>30 BLACK POOL CT</t>
  </si>
  <si>
    <t>NORTHGATE 12A</t>
  </si>
  <si>
    <t>PO BOX 225</t>
  </si>
  <si>
    <t>ADIN</t>
  </si>
  <si>
    <t>1032 CROWN VIEW DR</t>
  </si>
  <si>
    <t>GRAND SUMMIT LT 24</t>
  </si>
  <si>
    <t>AKBK</t>
  </si>
  <si>
    <t>VILLAGES AT DAMONTE RANCH 19B-</t>
  </si>
  <si>
    <t>140-020-83</t>
  </si>
  <si>
    <t>VINTAGE HILLS 2</t>
  </si>
  <si>
    <t>DDGC</t>
  </si>
  <si>
    <t>VISTA RIDGE 2A</t>
  </si>
  <si>
    <t>518-130-18</t>
  </si>
  <si>
    <t>CHIANTI 2</t>
  </si>
  <si>
    <t>TRIPLE CROWN 6</t>
  </si>
  <si>
    <t>POGO INVESTMENTS LLC LLC</t>
  </si>
  <si>
    <t>1300 KIRMAN AVE</t>
  </si>
  <si>
    <t>MORTON 3</t>
  </si>
  <si>
    <t>015-021-01</t>
  </si>
  <si>
    <t>MORTON 3 LT 7 BLK J</t>
  </si>
  <si>
    <t>MIRAMONTE 1</t>
  </si>
  <si>
    <t>140-020-03</t>
  </si>
  <si>
    <t>ESPLANADE AT DAMONTE RANCH VLG 24A LT 1</t>
  </si>
  <si>
    <t>EDIA</t>
  </si>
  <si>
    <t>SIERRA HEIGHTS RENO 3D</t>
  </si>
  <si>
    <t>NORTHWEST TERRACE</t>
  </si>
  <si>
    <t>Daylight</t>
  </si>
  <si>
    <t>BCBA</t>
  </si>
  <si>
    <t>RENO HIGHLANDS</t>
  </si>
  <si>
    <t>89452</t>
  </si>
  <si>
    <t>989 TAHOE BLVD</t>
  </si>
  <si>
    <t>TAHOE RACQUET CLUB</t>
  </si>
  <si>
    <t>PGAA</t>
  </si>
  <si>
    <t>SPRING CREEK SUB UNIT 1A</t>
  </si>
  <si>
    <t>049-010-26</t>
  </si>
  <si>
    <t>Auto Center</t>
  </si>
  <si>
    <t>SP HTR RAD</t>
  </si>
  <si>
    <t>MESA MEADOWS 5</t>
  </si>
  <si>
    <t>512-010-18</t>
  </si>
  <si>
    <t>555 E PATRIOT BLVD</t>
  </si>
  <si>
    <t>WATERFORD PARK 2 BLDG E</t>
  </si>
  <si>
    <t>FOSTER CITY</t>
  </si>
  <si>
    <t xml:space="preserve">PATNAUDE, JINTANA </t>
  </si>
  <si>
    <t>WINGFIELD SPRINGS 4A</t>
  </si>
  <si>
    <t>522-010-12</t>
  </si>
  <si>
    <t xml:space="preserve">WALLMUTH, JUDI A </t>
  </si>
  <si>
    <t>KBAF</t>
  </si>
  <si>
    <t>PO BOX 863</t>
  </si>
  <si>
    <t>SKY VISTA VILLAGE 10A</t>
  </si>
  <si>
    <t xml:space="preserve">RANCHO SAN RAFAEL III LLC </t>
  </si>
  <si>
    <t>RS 4892</t>
  </si>
  <si>
    <t>EAGLE CANYON 2 UT 5</t>
  </si>
  <si>
    <t xml:space="preserve">CRONEY LIVING TRUST  </t>
  </si>
  <si>
    <t>530-280-46</t>
  </si>
  <si>
    <t>SPANISH SPRINGS VILLAGE 2</t>
  </si>
  <si>
    <t>WILDCREEK EST 3</t>
  </si>
  <si>
    <t>026-710-02</t>
  </si>
  <si>
    <t>140-030-37</t>
  </si>
  <si>
    <t>140-030-39</t>
  </si>
  <si>
    <t>SILVER KNOLLS RANCH EST 3</t>
  </si>
  <si>
    <t>89141</t>
  </si>
  <si>
    <t>SKY VISTA VILLAGE 8B</t>
  </si>
  <si>
    <t>SIMON 2</t>
  </si>
  <si>
    <t>LEWIS HOMES SPARKS 12G</t>
  </si>
  <si>
    <t>PPAA</t>
  </si>
  <si>
    <t>929 NORTHWOOD BLVD</t>
  </si>
  <si>
    <t>THIRD CREEK CONDO</t>
  </si>
  <si>
    <t>PFAA</t>
  </si>
  <si>
    <t>806 ORIOLE WAY</t>
  </si>
  <si>
    <t>VILLAGE COURT</t>
  </si>
  <si>
    <t>PACA</t>
  </si>
  <si>
    <t>ARROWCREEK VILLAGE 2B</t>
  </si>
  <si>
    <t>SADDLEHORN SOUTH 4</t>
  </si>
  <si>
    <t>150-030-18</t>
  </si>
  <si>
    <t>WOODLAND VILLAGE 9</t>
  </si>
  <si>
    <t>INCLINE VILLAGE 1</t>
  </si>
  <si>
    <t>CIMARRON 1</t>
  </si>
  <si>
    <t>JCHF</t>
  </si>
  <si>
    <t>SAMMAMISH</t>
  </si>
  <si>
    <t>EBED</t>
  </si>
  <si>
    <t>STERLING VILLAGE</t>
  </si>
  <si>
    <t>SILVER SHORES 25</t>
  </si>
  <si>
    <t>090-260-30</t>
  </si>
  <si>
    <t>GGAI</t>
  </si>
  <si>
    <t>1SVR</t>
  </si>
  <si>
    <t>MEADOWVIEW TERRACE 7</t>
  </si>
  <si>
    <t>SILVER STATE CONDO</t>
  </si>
  <si>
    <t>VILLAGES AT DAMONTE RANCH 17A</t>
  </si>
  <si>
    <t>140-020-45</t>
  </si>
  <si>
    <t xml:space="preserve">LAS VEGAS </t>
  </si>
  <si>
    <t>TRIPLE CROWN 3</t>
  </si>
  <si>
    <t>402-110-08</t>
  </si>
  <si>
    <t>204-020-37</t>
  </si>
  <si>
    <t>ROYAL SAGE 5 LT 9</t>
  </si>
  <si>
    <t>12895 WELCOME WAY</t>
  </si>
  <si>
    <t>EDHE</t>
  </si>
  <si>
    <t xml:space="preserve">SICHER, ROBERT A &amp; CHERYL T </t>
  </si>
  <si>
    <t>5900 SUNSET RIDGE CT</t>
  </si>
  <si>
    <t>ARROWCREEK 24A LT 2409</t>
  </si>
  <si>
    <t>475 LAKESHORE BLVD</t>
  </si>
  <si>
    <t>CRYSTAL BAY COVE COND</t>
  </si>
  <si>
    <t>PCEA</t>
  </si>
  <si>
    <t>FR NE4 NW4 SEC 16 TWP 20 RGE 19</t>
  </si>
  <si>
    <t>GRAND SIERRA RESORT PH 2 LT 1973</t>
  </si>
  <si>
    <t>DONNER SPRINGS 2C3</t>
  </si>
  <si>
    <t>NANCY HEIGHTS 1</t>
  </si>
  <si>
    <t xml:space="preserve">TYLER, SANDRA J </t>
  </si>
  <si>
    <t>STEVEN L O`BRIEN LLC LLC</t>
  </si>
  <si>
    <t xml:space="preserve">MAVERIK INC </t>
  </si>
  <si>
    <t>880 WEST CENTER</t>
  </si>
  <si>
    <t>NORTH SALT LAKE</t>
  </si>
  <si>
    <t xml:space="preserve">DILORETO HOMES OF NEVADA </t>
  </si>
  <si>
    <t>SIERRA HEIGHTS RENO 1C</t>
  </si>
  <si>
    <t xml:space="preserve">NC  </t>
  </si>
  <si>
    <t>567 W 4TH ST</t>
  </si>
  <si>
    <t>BELLA VISTA CONDO</t>
  </si>
  <si>
    <t xml:space="preserve">GRANGE, FRED </t>
  </si>
  <si>
    <t>200 TAMAL PLAZA 115</t>
  </si>
  <si>
    <t>CORTE MADERA</t>
  </si>
  <si>
    <t>94925</t>
  </si>
  <si>
    <t>007-273-16</t>
  </si>
  <si>
    <t>AGUA</t>
  </si>
  <si>
    <t>HILLBORO 4</t>
  </si>
  <si>
    <t>1130 S UNIVERSITY PARK LOOP</t>
  </si>
  <si>
    <t>MARSH ADD</t>
  </si>
  <si>
    <t xml:space="preserve">LAMBERT FAMILY TRUST, P D  </t>
  </si>
  <si>
    <t>NORTHERN LIGHTS 2</t>
  </si>
  <si>
    <t xml:space="preserve">GODIN, GENE </t>
  </si>
  <si>
    <t>130 BARNESON AVE # 5</t>
  </si>
  <si>
    <t>SAN MATEO</t>
  </si>
  <si>
    <t>STONE CANYON 3</t>
  </si>
  <si>
    <t xml:space="preserve">TRUCKEE </t>
  </si>
  <si>
    <t>96160</t>
  </si>
  <si>
    <t>083-060-90</t>
  </si>
  <si>
    <t>STONE CANYON PH 5</t>
  </si>
  <si>
    <t>504-580-02</t>
  </si>
  <si>
    <t>STONE CANYON PH 6</t>
  </si>
  <si>
    <t>504-580-04</t>
  </si>
  <si>
    <t>STONE CANYON 6</t>
  </si>
  <si>
    <t>2800 ROYAL CROWN CT</t>
  </si>
  <si>
    <t>ROYAL SAGE 5</t>
  </si>
  <si>
    <t>663 PINE MEADOWS DR</t>
  </si>
  <si>
    <t>WILLIAMSBURG APT 1 UT 4</t>
  </si>
  <si>
    <t>160-390-32</t>
  </si>
  <si>
    <t xml:space="preserve">VAN DIEST, ROBERT &amp; LYDIA J </t>
  </si>
  <si>
    <t>ROSENBAUM, HERSCHEL et al</t>
  </si>
  <si>
    <t>PEAVINE HEIGHTS 2</t>
  </si>
  <si>
    <t>570-020-02</t>
  </si>
  <si>
    <t>GADC</t>
  </si>
  <si>
    <t>10985 RED PINE RD</t>
  </si>
  <si>
    <t>GACE</t>
  </si>
  <si>
    <t>524-310-04</t>
  </si>
  <si>
    <t>012-211-33</t>
  </si>
  <si>
    <t>92397</t>
  </si>
  <si>
    <t>EFIA</t>
  </si>
  <si>
    <t>19 E L ST</t>
  </si>
  <si>
    <t>GREEN BRAE TERRACE ADD 10</t>
  </si>
  <si>
    <t xml:space="preserve">HENDERSON, KARAN </t>
  </si>
  <si>
    <t>GREEN BRAE TERRACE ADD 10 LT 7 BLK 32</t>
  </si>
  <si>
    <t>2650 PLUMAS ST</t>
  </si>
  <si>
    <t>PLUMAS SOUTH</t>
  </si>
  <si>
    <t>ADQA</t>
  </si>
  <si>
    <t>1465 E PECKHAM LN</t>
  </si>
  <si>
    <t>MEADOWS AMD</t>
  </si>
  <si>
    <t>NAIA</t>
  </si>
  <si>
    <t>ROYAL HEIGHTS 5 AMD</t>
  </si>
  <si>
    <t>CREEKRIDGE SOUTH 3</t>
  </si>
  <si>
    <t>94596</t>
  </si>
  <si>
    <t>150-102-07</t>
  </si>
  <si>
    <t>PM 2961</t>
  </si>
  <si>
    <t>FALLBROOK</t>
  </si>
  <si>
    <t>LYBARGER, STEPHEN A et al</t>
  </si>
  <si>
    <t>WINGFIELD SPRINGS 14</t>
  </si>
  <si>
    <t>522-010-43</t>
  </si>
  <si>
    <t>CIMARRON 13</t>
  </si>
  <si>
    <t>CRESTVIEW HEIGHTS</t>
  </si>
  <si>
    <t xml:space="preserve">CORONA CYAN LLC  </t>
  </si>
  <si>
    <t xml:space="preserve">YERINGTON </t>
  </si>
  <si>
    <t>89447</t>
  </si>
  <si>
    <t>PEAVINE VIEW EST 8</t>
  </si>
  <si>
    <t>556-020-10</t>
  </si>
  <si>
    <t>SPRING CREEK 3C</t>
  </si>
  <si>
    <t>SAN RAFAEL</t>
  </si>
  <si>
    <t>EAGLE CANYON 1</t>
  </si>
  <si>
    <t>089-160-44</t>
  </si>
  <si>
    <t>OAIC</t>
  </si>
  <si>
    <t>COUNTRY EST 2 AMD</t>
  </si>
  <si>
    <t>STONE CREST 3</t>
  </si>
  <si>
    <t>SPRING CREEK 2H</t>
  </si>
  <si>
    <t>083-291-35</t>
  </si>
  <si>
    <t>GREENBRAE TERRACE WLY G</t>
  </si>
  <si>
    <t>CIMARRON WEST 1</t>
  </si>
  <si>
    <t>2016</t>
  </si>
  <si>
    <t>AEBK</t>
  </si>
  <si>
    <t>INCLINE VILLAGE 5</t>
  </si>
  <si>
    <t>FL</t>
  </si>
  <si>
    <t>STONE CREEK II</t>
  </si>
  <si>
    <t>508-020-11</t>
  </si>
  <si>
    <t>STONE CREEK IV</t>
  </si>
  <si>
    <t>508-020-17</t>
  </si>
  <si>
    <t>STONE CREEK 5</t>
  </si>
  <si>
    <t>CENTURY GLEN 2</t>
  </si>
  <si>
    <t xml:space="preserve">POWELL FAMILY TRUST  </t>
  </si>
  <si>
    <t>017-062-13</t>
  </si>
  <si>
    <t>MOUNT CHARLESTON 1</t>
  </si>
  <si>
    <t xml:space="preserve">TRUCKEE MEADOWS HABITAT, FOR HUMANITY </t>
  </si>
  <si>
    <t>086-142-11</t>
  </si>
  <si>
    <t>94941</t>
  </si>
  <si>
    <t>HUFFAKER HILLS 2</t>
  </si>
  <si>
    <t>HUFFAKER HILLS 4</t>
  </si>
  <si>
    <t>OVERLOOK 3</t>
  </si>
  <si>
    <t>204-010-69</t>
  </si>
  <si>
    <t>650 S ROCK BLVD</t>
  </si>
  <si>
    <t>MISSION INDUSTRIAL UNIT</t>
  </si>
  <si>
    <t>2375 TRIPP DR</t>
  </si>
  <si>
    <t>WHISPERING SPRINGS AMD LT A3L BLK D</t>
  </si>
  <si>
    <t>EDGEWATER 1</t>
  </si>
  <si>
    <t>SKY RANCH NORTH 2G</t>
  </si>
  <si>
    <t>534-290-21</t>
  </si>
  <si>
    <t>514-340-14</t>
  </si>
  <si>
    <t>LIBERTY HILLS EST</t>
  </si>
  <si>
    <t>939 INCLINE WAY</t>
  </si>
  <si>
    <t xml:space="preserve">LAGUNA BEACH </t>
  </si>
  <si>
    <t>92651</t>
  </si>
  <si>
    <t>GOLDEN MEADOWS 2</t>
  </si>
  <si>
    <t>088-202-49</t>
  </si>
  <si>
    <t>NORTHERN LIGHTS 5</t>
  </si>
  <si>
    <t>13310 ARROWSPRINGS DR</t>
  </si>
  <si>
    <t>CEDARVILLE</t>
  </si>
  <si>
    <t>3949 CLEAR ACRE LN</t>
  </si>
  <si>
    <t>508-020-45</t>
  </si>
  <si>
    <t>STONE CREST 4</t>
  </si>
  <si>
    <t>FR E2 E2 SEC 7 TWP 20 RGE 20</t>
  </si>
  <si>
    <t>SIERRA VIEW EST UT 1</t>
  </si>
  <si>
    <t xml:space="preserve">HAMES, ALEX &amp; CORRIE </t>
  </si>
  <si>
    <t>TOSCANA @ D`ANDREA 2A</t>
  </si>
  <si>
    <t>NORTHGATE 8D</t>
  </si>
  <si>
    <t>SIERRA MEADOWS 4</t>
  </si>
  <si>
    <t>EABE</t>
  </si>
  <si>
    <t xml:space="preserve">COOLEY, RICHARD L &amp; VERONICA C </t>
  </si>
  <si>
    <t>3550 BRIGHTON WAY</t>
  </si>
  <si>
    <t>DDDQ</t>
  </si>
  <si>
    <t>1416 E 9TH ST</t>
  </si>
  <si>
    <t>REDI PROPERTIES LLC  LLC</t>
  </si>
  <si>
    <t xml:space="preserve">5855 LONE HORSE DR </t>
  </si>
  <si>
    <t>4015</t>
  </si>
  <si>
    <t>1157</t>
  </si>
  <si>
    <t>1055</t>
  </si>
  <si>
    <t>1035</t>
  </si>
  <si>
    <t>4705</t>
  </si>
  <si>
    <t>2015</t>
  </si>
  <si>
    <t>2008</t>
  </si>
  <si>
    <t>6012</t>
  </si>
  <si>
    <t>6000</t>
  </si>
  <si>
    <t>9400</t>
  </si>
  <si>
    <t>1705</t>
  </si>
  <si>
    <t>4715</t>
  </si>
  <si>
    <t>6130 MIDDLE FORK DR</t>
  </si>
  <si>
    <t>LEWIS HOMES SPARKS 10</t>
  </si>
  <si>
    <t>ARROWCREEK 31 LT 3130</t>
  </si>
  <si>
    <t>EBFD</t>
  </si>
  <si>
    <t>1412 E 9TH ST</t>
  </si>
  <si>
    <t xml:space="preserve">CARTWRIGHT, ROBIN </t>
  </si>
  <si>
    <t>3609 HERONS LANDING</t>
  </si>
  <si>
    <t>DHDC</t>
  </si>
  <si>
    <t>DEGA</t>
  </si>
  <si>
    <t>NEWLANDS TERRACE</t>
  </si>
  <si>
    <t>AFBK</t>
  </si>
  <si>
    <t>MARKER TRACT</t>
  </si>
  <si>
    <t>AFXC</t>
  </si>
  <si>
    <t>MARSHS ADD</t>
  </si>
  <si>
    <t>MARSHS ADD FR LT 1 &amp; 2 BLK 6</t>
  </si>
  <si>
    <t>FLEUR DE LIS 2</t>
  </si>
  <si>
    <t>AGKA</t>
  </si>
  <si>
    <t>EVANS NE ADD AMD</t>
  </si>
  <si>
    <t xml:space="preserve">GONZALEZ, ERNESTO </t>
  </si>
  <si>
    <t xml:space="preserve">WILLIAMS LIVING TRUST  </t>
  </si>
  <si>
    <t>3C @ SOMERSETT</t>
  </si>
  <si>
    <t>232-020-37</t>
  </si>
  <si>
    <t>514-010-79</t>
  </si>
  <si>
    <t>GRAND SIERRA RESORT PH 1B LT 1891</t>
  </si>
  <si>
    <t>EAGLE CANYON 2 UT 2</t>
  </si>
  <si>
    <t>HV-1/HV-2</t>
  </si>
  <si>
    <t>030-022-14</t>
  </si>
  <si>
    <t>SMITHRIDGE PARK TH 4 UT 1</t>
  </si>
  <si>
    <t>DOUBLE DIAMOND RANCH 14B</t>
  </si>
  <si>
    <t>CANYON VISTA SOUTH</t>
  </si>
  <si>
    <t>5550 MADRID CT</t>
  </si>
  <si>
    <t>WELLINGTON</t>
  </si>
  <si>
    <t>89444</t>
  </si>
  <si>
    <t>01835101 &amp;</t>
  </si>
  <si>
    <t>SPYGLASS EST 1 PH 2 LT 23 BLK A</t>
  </si>
  <si>
    <t xml:space="preserve">TICKLED PINK TRUST  </t>
  </si>
  <si>
    <t>011-547-02</t>
  </si>
  <si>
    <t>WINGFIELD SPRINGS 11</t>
  </si>
  <si>
    <t>SATELLITE HILLS 2C</t>
  </si>
  <si>
    <t>FR NW4 NE4</t>
  </si>
  <si>
    <t xml:space="preserve">HEFFNER, CHARLES R &amp; MARGUERITE A </t>
  </si>
  <si>
    <t>947 INCLINE WAY</t>
  </si>
  <si>
    <t>PO BOX 20025</t>
  </si>
  <si>
    <t>NORTHRIDGE AMD</t>
  </si>
  <si>
    <t xml:space="preserve">NEWPORT BEACH </t>
  </si>
  <si>
    <t>820 ORIOLE WAY</t>
  </si>
  <si>
    <t>1450 IDLEWILD DR</t>
  </si>
  <si>
    <t>HBCF</t>
  </si>
  <si>
    <t>SKY RANCH NORTH 2H</t>
  </si>
  <si>
    <t>534-420-01</t>
  </si>
  <si>
    <t>HBEF</t>
  </si>
  <si>
    <t>SKY RANCH NORTH 2J</t>
  </si>
  <si>
    <t>534-420-07</t>
  </si>
  <si>
    <t>006-280-32</t>
  </si>
  <si>
    <t>6683 LILAC DAWN DR</t>
  </si>
  <si>
    <t>PIONEER MEADOWS VILLAGE 2 UT 2 LT II-79</t>
  </si>
  <si>
    <t>6671 LILAC DAWN DR</t>
  </si>
  <si>
    <t>PIONEER MEADOWS VILLAGE 2 UT 2 LT II-78</t>
  </si>
  <si>
    <t>PO BOX 51599</t>
  </si>
  <si>
    <t>NORTHSTAR RANCH 3</t>
  </si>
  <si>
    <t>502-020-18</t>
  </si>
  <si>
    <t>MEADOWLANDS 1</t>
  </si>
  <si>
    <t>6658 LILAC DAWN DR</t>
  </si>
  <si>
    <t>PIONEER MEADOWS VILLAGE 2 UT 2 LT II-77</t>
  </si>
  <si>
    <t>6670 LILAC DAWN DR</t>
  </si>
  <si>
    <t>PIONEER MEADOWS VILLAGE 2 UT 2 LT II-76</t>
  </si>
  <si>
    <t>6682 LILAC DAWN DR</t>
  </si>
  <si>
    <t>PIONEER MEADOWS VILLAGE 2 UT 2 LT II-75</t>
  </si>
  <si>
    <t>526-010-11</t>
  </si>
  <si>
    <t>6909 VOYAGE DR</t>
  </si>
  <si>
    <t>FOOTHILLS AT WINGFIELD VLG 7C LT 7-122</t>
  </si>
  <si>
    <t>STONE CREEK 8</t>
  </si>
  <si>
    <t>508-020-26</t>
  </si>
  <si>
    <t>5510 SUMMER SUN LN</t>
  </si>
  <si>
    <t>SUN MESA 1 LT 33</t>
  </si>
  <si>
    <t>5520 SUMMER SUN LN</t>
  </si>
  <si>
    <t>SUN MESA 1 LT 34</t>
  </si>
  <si>
    <t>1024 CROWN VIEW DR</t>
  </si>
  <si>
    <t>GRAND SUMMIT LT 63</t>
  </si>
  <si>
    <t xml:space="preserve">OAKLAND </t>
  </si>
  <si>
    <t>1GCA</t>
  </si>
  <si>
    <t xml:space="preserve">TENNEY FAMILY TRUST  </t>
  </si>
  <si>
    <t>002-040-30</t>
  </si>
  <si>
    <t>SKY COUNTRY EST 4</t>
  </si>
  <si>
    <t>001-010-57</t>
  </si>
  <si>
    <t>234-021-21</t>
  </si>
  <si>
    <t>900 SOUTH MEADOWS PKWY # 214</t>
  </si>
  <si>
    <t>TANAMERA CONDOMINIUMS 2 LT 2813</t>
  </si>
  <si>
    <t>RENO HEIGHTS SUBDIVISION</t>
  </si>
  <si>
    <t>022-370-09</t>
  </si>
  <si>
    <t xml:space="preserve">SMITH FAMILY TRUST  </t>
  </si>
  <si>
    <t xml:space="preserve">RAZO, WILLY R &amp; BRENDA P </t>
  </si>
  <si>
    <t>MEADOWS 3</t>
  </si>
  <si>
    <t>160-220-03</t>
  </si>
  <si>
    <t>900 SOUTH MEADOWS PKWY 2824</t>
  </si>
  <si>
    <t>ANTA</t>
  </si>
  <si>
    <t>4BV</t>
  </si>
  <si>
    <t>Bank</t>
  </si>
  <si>
    <t>3</t>
  </si>
  <si>
    <t>AVG/ABV  AVG</t>
  </si>
  <si>
    <t>MUCC</t>
  </si>
  <si>
    <t>HENDERSON</t>
  </si>
  <si>
    <t>OBGQ</t>
  </si>
  <si>
    <t>4608 NEIL RD</t>
  </si>
  <si>
    <t>PECKHAM GARDENS</t>
  </si>
  <si>
    <t>MEADOWLANDS 2A</t>
  </si>
  <si>
    <t>SILVER SHORES 5</t>
  </si>
  <si>
    <t>090-010-39</t>
  </si>
  <si>
    <t>95370</t>
  </si>
  <si>
    <t xml:space="preserve">CRNO ASSOCIATES LLC </t>
  </si>
  <si>
    <t>208-510-04</t>
  </si>
  <si>
    <t>HIDDEN VALLEY HIGHLANDS 1</t>
  </si>
  <si>
    <t>PYRAMID PARK 1</t>
  </si>
  <si>
    <t>MEADOWVALE 2</t>
  </si>
  <si>
    <t>GREENBRAE TERRACE WLY B</t>
  </si>
  <si>
    <t>PYRAMID RANCH EST 4B</t>
  </si>
  <si>
    <t xml:space="preserve">PARAGON RELOCATION RESOURCES </t>
  </si>
  <si>
    <t>WILLOW RANCH PH 1</t>
  </si>
  <si>
    <t>232-010-62</t>
  </si>
  <si>
    <t>SKI LANE BITTERBRUSH 1</t>
  </si>
  <si>
    <t>POAA</t>
  </si>
  <si>
    <t>140-280-01</t>
  </si>
  <si>
    <t>EDHC</t>
  </si>
  <si>
    <t>SMARIE INVESTMENTS LLC  LLC</t>
  </si>
  <si>
    <t xml:space="preserve">SACRAMENTO </t>
  </si>
  <si>
    <t>RENADA CREST 1</t>
  </si>
  <si>
    <t>Dental Off</t>
  </si>
  <si>
    <t>LEMMON VALLEY EST 3</t>
  </si>
  <si>
    <t>VIRGINIA FOOTHILLS UNIT 3</t>
  </si>
  <si>
    <t xml:space="preserve">XYZ REAL ESTATE LLC </t>
  </si>
  <si>
    <t>ADVP</t>
  </si>
  <si>
    <t>SPANISH VIEW EST</t>
  </si>
  <si>
    <t>524-412-01</t>
  </si>
  <si>
    <t>3202 W MARCH LN STE A</t>
  </si>
  <si>
    <t>LANCER EST 10</t>
  </si>
  <si>
    <t>BOSCARELLO, JOHN et al</t>
  </si>
  <si>
    <t>1076 CROWN VIEW DR</t>
  </si>
  <si>
    <t>GRAND SUMMIT LT 13</t>
  </si>
  <si>
    <t>1080 CROWN VIEW DR</t>
  </si>
  <si>
    <t>GRAND SUMMIT LT 12</t>
  </si>
  <si>
    <t>1084 CROWN VIEW DR</t>
  </si>
  <si>
    <t>GRAND SUMMIT LT 11</t>
  </si>
  <si>
    <t>1088 CROWN VIEW DR</t>
  </si>
  <si>
    <t>RS 5163</t>
  </si>
  <si>
    <t>RS 5163 LT10A REFER TO DOCUMENT 3769084 FOR COMPLE</t>
  </si>
  <si>
    <t>BEEC</t>
  </si>
  <si>
    <t>WILLOW CREEK STATION UT 4</t>
  </si>
  <si>
    <t>5980 PROMONTORY DR</t>
  </si>
  <si>
    <t>HIGHLAND PLACE LT 19</t>
  </si>
  <si>
    <t>FR SE4 NW4 SEC 34 TWP 18 RGE 20</t>
  </si>
  <si>
    <t>VILLAGES AT DAMONTE RANCH 15A</t>
  </si>
  <si>
    <t>140-020-41</t>
  </si>
  <si>
    <t>2MD</t>
  </si>
  <si>
    <t>UNIVERSITY TERRACE AMD</t>
  </si>
  <si>
    <t>526-010-33</t>
  </si>
  <si>
    <t>WINGFIELD SPRINGS 13B PH1</t>
  </si>
  <si>
    <t>522-010-63</t>
  </si>
  <si>
    <t>DMCC</t>
  </si>
  <si>
    <t>TRADITIONS CAUGHLIN RCH 1</t>
  </si>
  <si>
    <t xml:space="preserve">COIS FAMILY PARTNERS LLC </t>
  </si>
  <si>
    <t>15181 SOBEY RD</t>
  </si>
  <si>
    <t>041-243-17</t>
  </si>
  <si>
    <t>1645 WOODCREST CT</t>
  </si>
  <si>
    <t>SBE @ SOMERSETT</t>
  </si>
  <si>
    <t>WALNUT CREEK</t>
  </si>
  <si>
    <t>234-021-39</t>
  </si>
  <si>
    <t>SBE @ SOMERSETT LT 158</t>
  </si>
  <si>
    <t>1635 WOODCREST CT</t>
  </si>
  <si>
    <t>SBE @ SOMERSETT LT 159</t>
  </si>
  <si>
    <t>MEDALLION EST 2</t>
  </si>
  <si>
    <t xml:space="preserve">CROSS LIVING TRUST  </t>
  </si>
  <si>
    <t>VISTA RIDGE 4</t>
  </si>
  <si>
    <t>518-130-16</t>
  </si>
  <si>
    <t>SKY VISTA VILLAGE 10B PH1</t>
  </si>
  <si>
    <t>550-010-34</t>
  </si>
  <si>
    <t>SKY VISTA VILLAGE 6C</t>
  </si>
  <si>
    <t>550-010-48</t>
  </si>
  <si>
    <t>89432</t>
  </si>
  <si>
    <t>WELLS ADD</t>
  </si>
  <si>
    <t>EDIC</t>
  </si>
  <si>
    <t>VILLAGES AT DAMONTE RANCH 13B</t>
  </si>
  <si>
    <t>140-020-50</t>
  </si>
  <si>
    <t>PEBBLE CREEK 1</t>
  </si>
  <si>
    <t>530-280-13</t>
  </si>
  <si>
    <t>HAFF</t>
  </si>
  <si>
    <t>SKY VISTA VILLAGE 2A</t>
  </si>
  <si>
    <t>550-010-08</t>
  </si>
  <si>
    <t>GERLACH</t>
  </si>
  <si>
    <t>3E @ SOMERSETT</t>
  </si>
  <si>
    <t>232-510-05</t>
  </si>
  <si>
    <t>SPRING CREEK 2F</t>
  </si>
  <si>
    <t>083-291-28</t>
  </si>
  <si>
    <t xml:space="preserve">SANTA ROSA </t>
  </si>
  <si>
    <t xml:space="preserve">ROI STRATEGIES LLC </t>
  </si>
  <si>
    <t>WILLOW CREEK STATION 10</t>
  </si>
  <si>
    <t>030-020-40</t>
  </si>
  <si>
    <t xml:space="preserve">ORINDA </t>
  </si>
  <si>
    <t>94563</t>
  </si>
  <si>
    <t>CARMICHAEL</t>
  </si>
  <si>
    <t>450 PANZARETA CT</t>
  </si>
  <si>
    <t>CURTI RANCH 2 UT 6 LT 605</t>
  </si>
  <si>
    <t>WINGFIELD SPRINGS 13A</t>
  </si>
  <si>
    <t>522-010-38</t>
  </si>
  <si>
    <t xml:space="preserve">ANDERSON 2000 REVOCABLE TRUST, ROBERT  </t>
  </si>
  <si>
    <t>PM 864 LT 1</t>
  </si>
  <si>
    <t>ABSF</t>
  </si>
  <si>
    <t>COPPER POINT</t>
  </si>
  <si>
    <t>OACA</t>
  </si>
  <si>
    <t>1238 MESA CIR</t>
  </si>
  <si>
    <t>SPRINGWOOD 1</t>
  </si>
  <si>
    <t>AKCM</t>
  </si>
  <si>
    <t>LAFAYETTE</t>
  </si>
  <si>
    <t>420 WONDER ST</t>
  </si>
  <si>
    <t>PM 4767 LT 1</t>
  </si>
  <si>
    <t>SPRING CREEK 2A</t>
  </si>
  <si>
    <t>2905 ROCKRIDGE PL</t>
  </si>
  <si>
    <t>91360</t>
  </si>
  <si>
    <t>KELLY RANCH EST</t>
  </si>
  <si>
    <t>026-341-53</t>
  </si>
  <si>
    <t>MORNINGSTAR 1</t>
  </si>
  <si>
    <t>204-020-20</t>
  </si>
  <si>
    <t>DAMONTE RANCH VILLAGES 23A</t>
  </si>
  <si>
    <t>6000 MOUNTAIN SHADOW LN</t>
  </si>
  <si>
    <t xml:space="preserve">BAILEY &amp; DUTTON </t>
  </si>
  <si>
    <t>140-020-85</t>
  </si>
  <si>
    <t>ESPLANADE @ DAMONTE RCH 24A</t>
  </si>
  <si>
    <t>4370 JACOB PATRICK CT</t>
  </si>
  <si>
    <t>DONNER SPRINGS 2C-3</t>
  </si>
  <si>
    <t>TRUCKEE</t>
  </si>
  <si>
    <t>96162</t>
  </si>
  <si>
    <t>DMOF</t>
  </si>
  <si>
    <t>SIERRA HEIGHTS RENO 3B</t>
  </si>
  <si>
    <t xml:space="preserve">GOLDEN </t>
  </si>
  <si>
    <t>PEAVINE HEIGHTS 1</t>
  </si>
  <si>
    <t>082-180-60</t>
  </si>
  <si>
    <t>HIDDEN VALLEY 6</t>
  </si>
  <si>
    <t xml:space="preserve">GR  </t>
  </si>
  <si>
    <t xml:space="preserve">REESE INVESTMENTS INC </t>
  </si>
  <si>
    <t>HEPPNER SUB DIV 1</t>
  </si>
  <si>
    <t xml:space="preserve">BLOOMSTEIN, MARC J &amp; LINDA B </t>
  </si>
  <si>
    <t>WASHOE VALLEY FARMS FR</t>
  </si>
  <si>
    <t>NEHD</t>
  </si>
  <si>
    <t>WI</t>
  </si>
  <si>
    <t>KAAJ</t>
  </si>
  <si>
    <t>FR NE4 NW4</t>
  </si>
  <si>
    <t>NM</t>
  </si>
  <si>
    <t xml:space="preserve">HALL CHARITABLE FOUNDATION, D RAY &amp; SIBYL </t>
  </si>
  <si>
    <t>550-010-43</t>
  </si>
  <si>
    <t>LOS GATOS</t>
  </si>
  <si>
    <t>120 VILLAGE BLVD</t>
  </si>
  <si>
    <t>HAAQ</t>
  </si>
  <si>
    <t>EVANS CREEK EST 5</t>
  </si>
  <si>
    <t>4 @ SOMERSETT</t>
  </si>
  <si>
    <t>RENO VISTA 1</t>
  </si>
  <si>
    <t>FIRENZE @ D`ANDREA 4</t>
  </si>
  <si>
    <t>402-100-29</t>
  </si>
  <si>
    <t xml:space="preserve">TAHOE CITY </t>
  </si>
  <si>
    <t>TYROLIAN VILLAGE 4</t>
  </si>
  <si>
    <t>FALCONCREST 1 PH 2</t>
  </si>
  <si>
    <t xml:space="preserve">R3  </t>
  </si>
  <si>
    <t>232-060-25</t>
  </si>
  <si>
    <t>WILDCREEK EST</t>
  </si>
  <si>
    <t>NEUENSCHWANDER</t>
  </si>
  <si>
    <t>95618</t>
  </si>
  <si>
    <t xml:space="preserve">STEPHAN, JONATHAN M &amp; NICOLE L </t>
  </si>
  <si>
    <t>GRAND SIERRA RESORT PH 1B LT 1808</t>
  </si>
  <si>
    <t xml:space="preserve">A7  </t>
  </si>
  <si>
    <t xml:space="preserve">A2  </t>
  </si>
  <si>
    <t xml:space="preserve">A1  </t>
  </si>
  <si>
    <t>550-010-37</t>
  </si>
  <si>
    <t>SKY VISTA VILLAGE 8C</t>
  </si>
  <si>
    <t>550-170-01</t>
  </si>
  <si>
    <t>PIONEER MEADOWS VLG 9 PH 2</t>
  </si>
  <si>
    <t>528-220-02</t>
  </si>
  <si>
    <t xml:space="preserve">RIALTO LLC </t>
  </si>
  <si>
    <t>THOUSAND OAKS</t>
  </si>
  <si>
    <t>PAVV</t>
  </si>
  <si>
    <t>VIRGINIA FOOTHILLS 4</t>
  </si>
  <si>
    <t>SAGEHEN HILLS 2 PH 1</t>
  </si>
  <si>
    <t>208-390-08</t>
  </si>
  <si>
    <t>BAIC</t>
  </si>
  <si>
    <t>SLATE</t>
  </si>
  <si>
    <t>HEPPNER 3</t>
  </si>
  <si>
    <t>GFFF</t>
  </si>
  <si>
    <t>STREETER 1</t>
  </si>
  <si>
    <t>7115 PROVENCE CIR</t>
  </si>
  <si>
    <t>NORTHGATE 19 LT 36</t>
  </si>
  <si>
    <t>614 OAKWOOD DR</t>
  </si>
  <si>
    <t>WILLIAMSBURG APT HM 1 UT 1</t>
  </si>
  <si>
    <t>021-160-25</t>
  </si>
  <si>
    <t>SPRING CREEK 3A</t>
  </si>
  <si>
    <t>SPRING CREEK 3E</t>
  </si>
  <si>
    <t>083-830-27</t>
  </si>
  <si>
    <t>CREEKRIDGE SOUTH 1</t>
  </si>
  <si>
    <t>220-080-09</t>
  </si>
  <si>
    <t>LAKE RIDGE SHORES 2</t>
  </si>
  <si>
    <t>PO BOX 5009</t>
  </si>
  <si>
    <t>LAUREL PARK 1</t>
  </si>
  <si>
    <t>Bsmt Type</t>
  </si>
  <si>
    <t>Gar Type</t>
  </si>
  <si>
    <t>Bsmt Area</t>
  </si>
  <si>
    <t>Avg Yr Blt</t>
  </si>
  <si>
    <t>Total Units</t>
  </si>
  <si>
    <t>RecDoc</t>
  </si>
  <si>
    <t>LUC at Sale</t>
  </si>
  <si>
    <t>Neighborhood</t>
  </si>
  <si>
    <t>Acres</t>
  </si>
  <si>
    <t>TaxDist</t>
  </si>
  <si>
    <t>Add Rec</t>
  </si>
  <si>
    <t>APN</t>
  </si>
  <si>
    <t>Situs</t>
  </si>
  <si>
    <t>Owner1</t>
  </si>
  <si>
    <t>Exterior Walls</t>
  </si>
  <si>
    <t>021-101-16</t>
  </si>
  <si>
    <t>NDFB</t>
  </si>
  <si>
    <t>SIERRA VISTA 3</t>
  </si>
  <si>
    <t>083-061-01</t>
  </si>
  <si>
    <t xml:space="preserve">ENTEZARI, MOHAMMAD &amp; TOKAMEH </t>
  </si>
  <si>
    <t>1345 WOLF RUN RD</t>
  </si>
  <si>
    <t>PXAA</t>
  </si>
  <si>
    <t>94538</t>
  </si>
  <si>
    <t>EVANS CREEK EST 7</t>
  </si>
  <si>
    <t>L2.5</t>
  </si>
  <si>
    <t xml:space="preserve">WILLIAMS FAMILY TRUST  </t>
  </si>
  <si>
    <t>SHARON HILL 9</t>
  </si>
  <si>
    <t>051-592-09</t>
  </si>
  <si>
    <t>WMSBURG APT HMES 1</t>
  </si>
  <si>
    <t>WILLIAMSBURG APT HM 1 LT 7 BLK A UT 3</t>
  </si>
  <si>
    <t xml:space="preserve">SPANISH SPRINGS  </t>
  </si>
  <si>
    <t>634 OAKWOOD DR</t>
  </si>
  <si>
    <t>WILLIAMSBURG APT HM 1 UT 4</t>
  </si>
  <si>
    <t xml:space="preserve">SMITH, VICTORIA J </t>
  </si>
  <si>
    <t>WILLIAMSBURG APT HM 1 UT 4 LT 36 BLK C</t>
  </si>
  <si>
    <t>VIA BIANCA MBL HM EST PH</t>
  </si>
  <si>
    <t>SUSANVILLE</t>
  </si>
  <si>
    <t>96130</t>
  </si>
  <si>
    <t>550 W PLUMB LN B507</t>
  </si>
  <si>
    <t>ADUB</t>
  </si>
  <si>
    <t>SPARKS VILLAGE GREEN 1</t>
  </si>
  <si>
    <t>3867 WARREN WAY</t>
  </si>
  <si>
    <t xml:space="preserve">COVEC, STEVEN W </t>
  </si>
  <si>
    <t>024-131-13</t>
  </si>
  <si>
    <t xml:space="preserve">MARMOT REOF I LLC </t>
  </si>
  <si>
    <t>HILLBORO 2</t>
  </si>
  <si>
    <t>HILLBORO 6</t>
  </si>
  <si>
    <t>EASTSIDE 2</t>
  </si>
  <si>
    <t xml:space="preserve">JACKSON, DAVID E </t>
  </si>
  <si>
    <t>123 JUANITA DR</t>
  </si>
  <si>
    <t>FOREST PINES CONDO 1 AMD</t>
  </si>
  <si>
    <t xml:space="preserve">MDU </t>
  </si>
  <si>
    <t>WEST SACRAMENTO</t>
  </si>
  <si>
    <t>PLAA</t>
  </si>
  <si>
    <t>136 JUANITA DR</t>
  </si>
  <si>
    <t>COEUR DU LAC CONDO</t>
  </si>
  <si>
    <t>WILLOW CREEK STATION 2</t>
  </si>
  <si>
    <t>CENTURY GLEN UNIT NO 1</t>
  </si>
  <si>
    <t xml:space="preserve">RENO             </t>
  </si>
  <si>
    <t xml:space="preserve">PSP </t>
  </si>
  <si>
    <t>FR SW4 SW4</t>
  </si>
  <si>
    <t xml:space="preserve">SWEGER FAMILY TRUST, DONNA  </t>
  </si>
  <si>
    <t>CANYON PINES 2</t>
  </si>
  <si>
    <t>232-371-03</t>
  </si>
  <si>
    <t>SIERRA CANYON @ SOMERSETT VG 9</t>
  </si>
  <si>
    <t xml:space="preserve">PN II INC </t>
  </si>
  <si>
    <t>234-021-47</t>
  </si>
  <si>
    <t>SANTA ROSA</t>
  </si>
  <si>
    <t>WESTERN HEIGHTS</t>
  </si>
  <si>
    <t>12535 WATER LILY WAY</t>
  </si>
  <si>
    <t>GREENBRAE TERRACE 3</t>
  </si>
  <si>
    <t xml:space="preserve">JONES, DAVID A &amp; LISA B </t>
  </si>
  <si>
    <t>SUN ACRES TRACT 1</t>
  </si>
  <si>
    <t>ALBION</t>
  </si>
  <si>
    <t>GOMEZ, JUAN  et al</t>
  </si>
  <si>
    <t>PRIDA, JARRAD J et al</t>
  </si>
  <si>
    <t>MOBILE GLEN 1</t>
  </si>
  <si>
    <t>3885 E LEONESIO DR</t>
  </si>
  <si>
    <t>CLEARACRE GARDEN 2</t>
  </si>
  <si>
    <t xml:space="preserve">FLORENCE </t>
  </si>
  <si>
    <t xml:space="preserve">AMERICAN GENERAL FINANCIAL SER </t>
  </si>
  <si>
    <t>508-020-19</t>
  </si>
  <si>
    <t>STONE CREEK 10</t>
  </si>
  <si>
    <t>508-020-32</t>
  </si>
  <si>
    <t>STONE CREST 1</t>
  </si>
  <si>
    <t>WINNEMUCCA</t>
  </si>
  <si>
    <t>89445</t>
  </si>
  <si>
    <t>508-020-36</t>
  </si>
  <si>
    <t>STONE CREST 2</t>
  </si>
  <si>
    <t>508-020-38</t>
  </si>
  <si>
    <t>NEW SUNNYSIDE ADD</t>
  </si>
  <si>
    <t>89515</t>
  </si>
  <si>
    <t>AMDQ</t>
  </si>
  <si>
    <t>ST GEORGE</t>
  </si>
  <si>
    <t>1548 CHESTER SQ</t>
  </si>
  <si>
    <t xml:space="preserve">KYRK LIVING TRUST  </t>
  </si>
  <si>
    <t>LEWIS HOMES SPARKS 3</t>
  </si>
  <si>
    <t>5975 ALMANDINE DR</t>
  </si>
  <si>
    <t>HIGHLAND PLACE LT 3</t>
  </si>
  <si>
    <t>NORTHGATE 11B</t>
  </si>
  <si>
    <t>ESTATES AT MT ROSE 1</t>
  </si>
  <si>
    <t>FR NW4 NW4</t>
  </si>
  <si>
    <t>FR NW4 NW4 SEC 23 TWP 19 RGE 19</t>
  </si>
  <si>
    <t>SKY VISTA VILLAGE 10B PH3</t>
  </si>
  <si>
    <t>550-010-46</t>
  </si>
  <si>
    <t>SKY VISTA VILLAGE 7A</t>
  </si>
  <si>
    <t>550-010-49</t>
  </si>
  <si>
    <t>GOLDEN VALLEY RANCHOS 1</t>
  </si>
  <si>
    <t>DONNER CREEK VLGE AMENDED</t>
  </si>
  <si>
    <t xml:space="preserve">CAPUTO, SON C </t>
  </si>
  <si>
    <t>DMAE</t>
  </si>
  <si>
    <t>CIMARRON 9 PH 2</t>
  </si>
  <si>
    <t>WINGFIELD SPRINGS 19B PH 2</t>
  </si>
  <si>
    <t>520-160-04</t>
  </si>
  <si>
    <t>EFRU</t>
  </si>
  <si>
    <t>555 PATRIOT BLVD</t>
  </si>
  <si>
    <t>WATERFORD PARK 2</t>
  </si>
  <si>
    <t>ESTATES AT MT ROSE 2</t>
  </si>
  <si>
    <t xml:space="preserve">TL MT ROSE ESTATES LP </t>
  </si>
  <si>
    <t>150-102-09</t>
  </si>
  <si>
    <t>DOUBLE DIAMOND RANCH 1C</t>
  </si>
  <si>
    <t>160-101-06</t>
  </si>
  <si>
    <t>GEDA</t>
  </si>
  <si>
    <t>FOOTHILLS AT WINGFIELD VLG 13B LT 13-205</t>
  </si>
  <si>
    <t xml:space="preserve">HUMPHREYS FAMILY TRUST   </t>
  </si>
  <si>
    <t>NEW WASHOE CITY 3</t>
  </si>
  <si>
    <t>13601 MOUNT RAINIER ST</t>
  </si>
  <si>
    <t>BOCHSLER, DAVID et al</t>
  </si>
  <si>
    <t>CHIPMAN, MERCY et al</t>
  </si>
  <si>
    <t xml:space="preserve">3105 SCARLET OAKS CT </t>
  </si>
  <si>
    <t>1940 CHAMPION HILLS DR</t>
  </si>
  <si>
    <t xml:space="preserve">PAIGE, FREDERICK </t>
  </si>
  <si>
    <t>YORKSHIRE MANOR 2 LT 75</t>
  </si>
  <si>
    <t>1820 AUBURN WAY</t>
  </si>
  <si>
    <t>ACADEMY MANOR  2</t>
  </si>
  <si>
    <t xml:space="preserve">PORRAS, GUSTAVO V  </t>
  </si>
  <si>
    <t>015-152-15</t>
  </si>
  <si>
    <t>ACADEMY MANOR 2  LT 14  BLK H</t>
  </si>
  <si>
    <t>1051 BAYWOOD DR</t>
  </si>
  <si>
    <t>TULSA</t>
  </si>
  <si>
    <t>526-120-17</t>
  </si>
  <si>
    <t>ROSEPARK 3</t>
  </si>
  <si>
    <t xml:space="preserve">TOLL SOUTH RENO LLC </t>
  </si>
  <si>
    <t>140-040-29</t>
  </si>
  <si>
    <t>EDHD</t>
  </si>
  <si>
    <t>CARAMELLA RANCH</t>
  </si>
  <si>
    <t>GARDNERVILLE</t>
  </si>
  <si>
    <t>89460</t>
  </si>
  <si>
    <t>016-420-25</t>
  </si>
  <si>
    <t>EDDC</t>
  </si>
  <si>
    <t>G CURTI RANCH 1</t>
  </si>
  <si>
    <t xml:space="preserve">KB HOME RENO INC </t>
  </si>
  <si>
    <t>016-420-28</t>
  </si>
  <si>
    <t>SADDLEHORN 1</t>
  </si>
  <si>
    <t xml:space="preserve">LDS </t>
  </si>
  <si>
    <t>DHEC</t>
  </si>
  <si>
    <t>1.5F</t>
  </si>
  <si>
    <t>GOOD</t>
  </si>
  <si>
    <t>METAL</t>
  </si>
  <si>
    <t xml:space="preserve">GC  </t>
  </si>
  <si>
    <t>VERDI</t>
  </si>
  <si>
    <t>89439</t>
  </si>
  <si>
    <t>FCQG</t>
  </si>
  <si>
    <t>SILVER SHORES 3</t>
  </si>
  <si>
    <t>090-010-32</t>
  </si>
  <si>
    <t>RIDGECREST</t>
  </si>
  <si>
    <t>NORTHGATE VILLAGE 1</t>
  </si>
  <si>
    <t>530-280-41</t>
  </si>
  <si>
    <t>89434</t>
  </si>
  <si>
    <t>MONTREUX 5 SOUTH</t>
  </si>
  <si>
    <t xml:space="preserve">MONTREUX HOMEOWNERS ASSN </t>
  </si>
  <si>
    <t>4005 QUAIL ROCK LN</t>
  </si>
  <si>
    <t xml:space="preserve">MONTREUX DEVELOPMENT GROUP LLC </t>
  </si>
  <si>
    <t>6120 INGLESTON DR</t>
  </si>
  <si>
    <t>SKY VISTA VILLAGE 9A</t>
  </si>
  <si>
    <t>550-010-05</t>
  </si>
  <si>
    <t>DOUBLE DIAMOND RANCH 15</t>
  </si>
  <si>
    <t>160-020-17</t>
  </si>
  <si>
    <t>CIMARRON WEST 2</t>
  </si>
  <si>
    <t>039-190-91</t>
  </si>
  <si>
    <t>AOBQ</t>
  </si>
  <si>
    <t>RAMSEY</t>
  </si>
  <si>
    <t>021-160-46</t>
  </si>
  <si>
    <t>VILLAGE AT IDLEWILD PARK</t>
  </si>
  <si>
    <t>ADSA</t>
  </si>
  <si>
    <t>BRIGHTON MANOR 1</t>
  </si>
  <si>
    <t xml:space="preserve">FIRST HORIZON HOME LOANS </t>
  </si>
  <si>
    <t>019-140-23</t>
  </si>
  <si>
    <t>ANCB</t>
  </si>
  <si>
    <t>Office Bldg</t>
  </si>
  <si>
    <t>861 NUTMEG PL</t>
  </si>
  <si>
    <t>SUMMERSNOW</t>
  </si>
  <si>
    <t>QUAIL LANDING</t>
  </si>
  <si>
    <t xml:space="preserve">J &amp; A DEVELOPMENT LLC </t>
  </si>
  <si>
    <t>035-301-48</t>
  </si>
  <si>
    <t>ARROWCREEK 28</t>
  </si>
  <si>
    <t>95624</t>
  </si>
  <si>
    <t>NORTHGATE 3E</t>
  </si>
  <si>
    <t>SIERRA HIGHLANDS 10</t>
  </si>
  <si>
    <t>PROMONTORY AMD</t>
  </si>
  <si>
    <t>514-082-01</t>
  </si>
  <si>
    <t>ANDERSON</t>
  </si>
  <si>
    <t>STONE CREEK III</t>
  </si>
  <si>
    <t>508-020-15</t>
  </si>
  <si>
    <t>BRENTWOOD</t>
  </si>
  <si>
    <t>94513</t>
  </si>
  <si>
    <t>012-211-27</t>
  </si>
  <si>
    <t>CRYSTAL LAKE 1A</t>
  </si>
  <si>
    <t>COUNTRY EST 3 AMD</t>
  </si>
  <si>
    <t xml:space="preserve">SULLIVAN, CAROLYN P  </t>
  </si>
  <si>
    <t xml:space="preserve">4685 FIRTREE LN </t>
  </si>
  <si>
    <t>ROSEWOOD LAKES 2</t>
  </si>
  <si>
    <t>TWIN LAKES EST 1</t>
  </si>
  <si>
    <t>STUD-TEX PLY</t>
  </si>
  <si>
    <t>MAYBERRY MEADOWS 4A</t>
  </si>
  <si>
    <t>1025 MEADOW ST</t>
  </si>
  <si>
    <t>WESTFIELD VILLAGE LT 15 BLK E</t>
  </si>
  <si>
    <t xml:space="preserve">C A V LIMITED PARTNERSHIP </t>
  </si>
  <si>
    <t>3325 W PLUMB LN</t>
  </si>
  <si>
    <t>89570</t>
  </si>
  <si>
    <t>BURKE ADD</t>
  </si>
  <si>
    <t>DOUBLE DIAMOND RANCH 22B LT 46</t>
  </si>
  <si>
    <t>EEIC</t>
  </si>
  <si>
    <t>RIDGEVIEW 1</t>
  </si>
  <si>
    <t xml:space="preserve">PNC BANK NA  </t>
  </si>
  <si>
    <t>801 NORTHWOOD BLVD</t>
  </si>
  <si>
    <t>INCLINE MANOR</t>
  </si>
  <si>
    <t xml:space="preserve">307 SUMMIT DR </t>
  </si>
  <si>
    <t xml:space="preserve">EMERALD HILLS </t>
  </si>
  <si>
    <t>PQAA</t>
  </si>
  <si>
    <t>SCOTTSDALE</t>
  </si>
  <si>
    <t>CIMARRON WEST 3</t>
  </si>
  <si>
    <t>530-140-23</t>
  </si>
  <si>
    <t>WINGFIELD SPRINGS 20 PH 3</t>
  </si>
  <si>
    <t>520-270-03</t>
  </si>
  <si>
    <t xml:space="preserve">DUNBAR FAMILY TRUST  </t>
  </si>
  <si>
    <t xml:space="preserve">RENO SUN LLC </t>
  </si>
  <si>
    <t>HILLBRAE TRACT</t>
  </si>
  <si>
    <t>HARBOUR COVE</t>
  </si>
  <si>
    <t>037-030-34</t>
  </si>
  <si>
    <t>DIFB</t>
  </si>
  <si>
    <t>SIERRA VALLEY EST</t>
  </si>
  <si>
    <t>CENTURY GLEN 3</t>
  </si>
  <si>
    <t>LEWIS HOMES SPARKS 12B</t>
  </si>
  <si>
    <t>TWO</t>
  </si>
  <si>
    <t>MEADOWLANDS SUB NO 3</t>
  </si>
  <si>
    <t>PBGA</t>
  </si>
  <si>
    <t>MOUNTAINGATE 1</t>
  </si>
  <si>
    <t xml:space="preserve">MOUNTAINGATE VENTURES LLC </t>
  </si>
  <si>
    <t>142-012-01</t>
  </si>
  <si>
    <t>ECED</t>
  </si>
  <si>
    <t>GOLDEN HILLS PH 1</t>
  </si>
  <si>
    <t xml:space="preserve">NELSON, JAMES R &amp; DONNA E </t>
  </si>
  <si>
    <t>GRASS VALLEY</t>
  </si>
  <si>
    <t>95945</t>
  </si>
  <si>
    <t>145-020-13</t>
  </si>
  <si>
    <t>EDAD</t>
  </si>
  <si>
    <t>2535 DEER VALLEY DR</t>
  </si>
  <si>
    <t>LEWIS HOMES SPARKS 2</t>
  </si>
  <si>
    <t>WILDCREEK GARDEN CONDO</t>
  </si>
  <si>
    <t>EL RANCHO BUENA VISTA 4A</t>
  </si>
  <si>
    <t>P O BOX 1</t>
  </si>
  <si>
    <t>PIONEER MEADOWS VILLAGE 2 UT 1 LT II-67</t>
  </si>
  <si>
    <t>1400 MANCHESTER CIR</t>
  </si>
  <si>
    <t>BGAU</t>
  </si>
  <si>
    <t xml:space="preserve">HUMPHREYS, TRAVIS M </t>
  </si>
  <si>
    <t xml:space="preserve">4384 COPPERHEAD CT </t>
  </si>
  <si>
    <t xml:space="preserve">CRUM, DONALD R &amp; CHRISTINE </t>
  </si>
  <si>
    <t>96151</t>
  </si>
  <si>
    <t>928 WENDY LN</t>
  </si>
  <si>
    <t>COUNTRY CLUB COURT</t>
  </si>
  <si>
    <t>GREENBRAE TERRACE WLY H</t>
  </si>
  <si>
    <t>2356 ROUNDHOUSE RD</t>
  </si>
  <si>
    <t xml:space="preserve">PERLO, STANLEY &amp; GAYLE D </t>
  </si>
  <si>
    <t>IRONHORSE VILLAGE 1 AMD LT 5 UT P1R BLK A</t>
  </si>
  <si>
    <t>COMSTOCK EST 3</t>
  </si>
  <si>
    <t>LAKESIDE MEADOWS 1</t>
  </si>
  <si>
    <t>SOUTH TERRACE HEIGHTS</t>
  </si>
  <si>
    <t>4951 CATALINA DR</t>
  </si>
  <si>
    <t>6659 MARBREE DR</t>
  </si>
  <si>
    <t>PIONEER MEADOWS VILLAGE 2 UT 1 LT II-66</t>
  </si>
  <si>
    <t>6647 MARBREE DR</t>
  </si>
  <si>
    <t>PIONEER MEADOWS VILLAGE 2 UT 1 LT II-65</t>
  </si>
  <si>
    <t>6635 MARBREE DR</t>
  </si>
  <si>
    <t>TOSCANA @ D`ANDREA 7B</t>
  </si>
  <si>
    <t>402-110-23</t>
  </si>
  <si>
    <t>HUFFAKER VILLAGE 1</t>
  </si>
  <si>
    <t>2229 KIETZKE LN</t>
  </si>
  <si>
    <t xml:space="preserve">AHUJA, CHANDAR P </t>
  </si>
  <si>
    <t>1602 SILVERTHREAD DR</t>
  </si>
  <si>
    <t>IBDH</t>
  </si>
  <si>
    <t>22825 CARRIAGE DR</t>
  </si>
  <si>
    <t>10059 TRAILSIDE CT</t>
  </si>
  <si>
    <t>ARROWCREEK 4A</t>
  </si>
  <si>
    <t>152-020-53</t>
  </si>
  <si>
    <t>ARROWCREEK 4A LT 408</t>
  </si>
  <si>
    <t>ABGD</t>
  </si>
  <si>
    <t>214-010-14</t>
  </si>
  <si>
    <t>012-342-16</t>
  </si>
  <si>
    <t>NCHT</t>
  </si>
  <si>
    <t>1401 ROBERTS ST</t>
  </si>
  <si>
    <t xml:space="preserve">1401 INVESTMENTS LLC </t>
  </si>
  <si>
    <t>5446 VISTA TERRACE LN</t>
  </si>
  <si>
    <t>MILL STREET ADD LT 31 BLK C</t>
  </si>
  <si>
    <t>160-020-19</t>
  </si>
  <si>
    <t>PEAA</t>
  </si>
  <si>
    <t>DAMONTE RANCH VILLAGE 14-B</t>
  </si>
  <si>
    <t>PARK VERDE SUB</t>
  </si>
  <si>
    <t>FAIRFIELD HEIGHTS FR</t>
  </si>
  <si>
    <t>STUD-MTL SID</t>
  </si>
  <si>
    <t>MEADOWVALE 8 UT D</t>
  </si>
  <si>
    <t>DOUBLE DIAMOND RANCH 24B</t>
  </si>
  <si>
    <t>161-011-19</t>
  </si>
  <si>
    <t>ATASCADERO</t>
  </si>
  <si>
    <t>93422</t>
  </si>
  <si>
    <t xml:space="preserve">US BANK NA </t>
  </si>
  <si>
    <t>ADPA</t>
  </si>
  <si>
    <t>DONNER SPRINGS</t>
  </si>
  <si>
    <t>FAIR/AVG</t>
  </si>
  <si>
    <t>NDMC</t>
  </si>
  <si>
    <t>DONNER CREEK VILLAGE AMD</t>
  </si>
  <si>
    <t>Mult</t>
  </si>
  <si>
    <t>MEYER MEADOWS 2</t>
  </si>
  <si>
    <t>SIERRA VISTA</t>
  </si>
  <si>
    <t xml:space="preserve">INCLINE VILLAGE </t>
  </si>
  <si>
    <t>1033 CROWN VIEW DR</t>
  </si>
  <si>
    <t>GRAND SUMMIT LT 33</t>
  </si>
  <si>
    <t>1031 CROWN VIEW DR</t>
  </si>
  <si>
    <t>GRAND SUMMIT LT 34</t>
  </si>
  <si>
    <t>1029 CROWN VIEW DR</t>
  </si>
  <si>
    <t>GRAND SUMMIT LT 35</t>
  </si>
  <si>
    <t>IEDD</t>
  </si>
  <si>
    <t>FR NW4 NE4 SEC 34 TWP 18 RGE 20</t>
  </si>
  <si>
    <t>IENF</t>
  </si>
  <si>
    <t>FR SE4 NW4</t>
  </si>
  <si>
    <t>PM 3928</t>
  </si>
  <si>
    <t>085-441-01</t>
  </si>
  <si>
    <t>PAAA</t>
  </si>
  <si>
    <t>ROBERTS 4A</t>
  </si>
  <si>
    <t xml:space="preserve">ALFORD 2005 REV LIVING TRUST, DON &amp; RUTH  </t>
  </si>
  <si>
    <t>2196 PEBBLE BEACH DR</t>
  </si>
  <si>
    <t>SOUTHSIDE FR LT 8 BLK G</t>
  </si>
  <si>
    <t xml:space="preserve">SMYLY, ROBERT D </t>
  </si>
  <si>
    <t>1400 E 9TH ST</t>
  </si>
  <si>
    <t>ROSENBLEDT, VALLORY et al</t>
  </si>
  <si>
    <t>DUHON, GARY W &amp; FLORENCE L et al</t>
  </si>
  <si>
    <t>8370 CINNAMON RIDGE LN</t>
  </si>
  <si>
    <t xml:space="preserve">COMBS, WILLIAM D &amp;JUANITA M </t>
  </si>
  <si>
    <t>3207 BRUSHWOOD LN</t>
  </si>
  <si>
    <t>PO BOX 33155</t>
  </si>
  <si>
    <t>SILVERADO RNCH EST 11 PH1</t>
  </si>
  <si>
    <t>NORTHGATE 4B</t>
  </si>
  <si>
    <t>2175 DEL MONTE LN</t>
  </si>
  <si>
    <t>775 KINGSTON LN</t>
  </si>
  <si>
    <t xml:space="preserve">1527 POPTART CT                         </t>
  </si>
  <si>
    <t>WILDCREEK TH</t>
  </si>
  <si>
    <t>026-012-06</t>
  </si>
  <si>
    <t>BFAB</t>
  </si>
  <si>
    <t>SOUTHSIDE</t>
  </si>
  <si>
    <t>ALAQ</t>
  </si>
  <si>
    <t>WILLIAMSBURG APT 1 UT 3</t>
  </si>
  <si>
    <t>402-020-09</t>
  </si>
  <si>
    <t>DKBA</t>
  </si>
  <si>
    <t>SAVONA VILLAGE @ D`ANDREA</t>
  </si>
  <si>
    <t>365 PINE ST</t>
  </si>
  <si>
    <t xml:space="preserve">PICKWELL, CHRISTOPHER </t>
  </si>
  <si>
    <t>TOWNHOUSES AT HOLCOMB PLACE LT 15</t>
  </si>
  <si>
    <t>TANGLEWOOD GROVE</t>
  </si>
  <si>
    <t>516-281-04</t>
  </si>
  <si>
    <t>LIU, GUOFENG et al</t>
  </si>
  <si>
    <t xml:space="preserve">JEWELL, BRIAN R </t>
  </si>
  <si>
    <t>GORELICK INVESTMENT GRP I LLC</t>
  </si>
  <si>
    <t>DOUBLE DIAMOND RANCH 28B</t>
  </si>
  <si>
    <t>161-011-33</t>
  </si>
  <si>
    <t>BRECKENRIDGE</t>
  </si>
  <si>
    <t xml:space="preserve">ESTANCIA RENO LLC </t>
  </si>
  <si>
    <t>202-160-10</t>
  </si>
  <si>
    <t>SKY VISTA VILLAGE 11C</t>
  </si>
  <si>
    <t>COIT HEIGHTS 4A</t>
  </si>
  <si>
    <t>SKY VISTA VILLAGE 6A</t>
  </si>
  <si>
    <t>161-180-10</t>
  </si>
  <si>
    <t>GRAND SIERRA RESORT PH 2</t>
  </si>
  <si>
    <t>SPANISH SPRINGS VLG N 1</t>
  </si>
  <si>
    <t>089-160-42</t>
  </si>
  <si>
    <t>550-010-21</t>
  </si>
  <si>
    <t>PM 5019</t>
  </si>
  <si>
    <t>532-032-11</t>
  </si>
  <si>
    <t>2294 LANSTAR DR</t>
  </si>
  <si>
    <t>EAGLE CANYON 4 UT 2</t>
  </si>
  <si>
    <t>532-020-08</t>
  </si>
  <si>
    <t xml:space="preserve">HUDSON FAMILY TRUST  </t>
  </si>
  <si>
    <t>WILLOWBROOK 2 AMD</t>
  </si>
  <si>
    <t>20 WOODCHUCK CIR</t>
  </si>
  <si>
    <t>PM 864</t>
  </si>
  <si>
    <t>550-010-19</t>
  </si>
  <si>
    <t xml:space="preserve">XIE &amp; YAN 2004 TRUST, JIAN S &amp; CARINA  </t>
  </si>
  <si>
    <t>89435</t>
  </si>
  <si>
    <t>LEWIS HOMES SPARKS 12A</t>
  </si>
  <si>
    <t>SPRINGLAND VILLAGE 3</t>
  </si>
  <si>
    <t>DJEA</t>
  </si>
  <si>
    <t>2415 SUNNY SLOPE DR</t>
  </si>
  <si>
    <t>SPRINGLAND VILLAGE 4 AMD</t>
  </si>
  <si>
    <t>HILLBORO 1</t>
  </si>
  <si>
    <t>LOW/FAIR</t>
  </si>
  <si>
    <t>WALL FURNACE</t>
  </si>
  <si>
    <t>SIDING</t>
  </si>
  <si>
    <t>BEIC</t>
  </si>
  <si>
    <t>EAAG</t>
  </si>
  <si>
    <t>PO BOX 7644</t>
  </si>
  <si>
    <t>DONNER SPRINGS 2C1</t>
  </si>
  <si>
    <t>ROBERTS 1</t>
  </si>
  <si>
    <t>GRAND SIERRA RESORT PH 1B LT 1867</t>
  </si>
  <si>
    <t>NBEA</t>
  </si>
  <si>
    <t>WOOD SHAKE</t>
  </si>
  <si>
    <t>MF14</t>
  </si>
  <si>
    <t xml:space="preserve">AURORA LOAN SERVICES LLC </t>
  </si>
  <si>
    <t>89413</t>
  </si>
  <si>
    <t>WINGFIELD SPRINGS 13C</t>
  </si>
  <si>
    <t>522-010-50</t>
  </si>
  <si>
    <t>PHOENIX</t>
  </si>
  <si>
    <t>BRIDLE PATH HM 6</t>
  </si>
  <si>
    <t>HUFFAKER VILLAGE 2</t>
  </si>
  <si>
    <t>ACQE</t>
  </si>
  <si>
    <t>4802 RAMCREEK TRL</t>
  </si>
  <si>
    <t xml:space="preserve">OSGOOD, ERIC </t>
  </si>
  <si>
    <t>DOUBLE DIAMOND RANCH 25</t>
  </si>
  <si>
    <t>ARROWCREEK 11</t>
  </si>
  <si>
    <t>STONE CREEK PHASE 1</t>
  </si>
  <si>
    <t>STONE CREEK 2</t>
  </si>
  <si>
    <t>STERLING RANCH 2</t>
  </si>
  <si>
    <t>049-241-06</t>
  </si>
  <si>
    <t>WASHOE TERRACE</t>
  </si>
  <si>
    <t>BRUCE 3</t>
  </si>
  <si>
    <t>COLD SPRINGS VALLEY HM 1</t>
  </si>
  <si>
    <t>DOUBLE DIAMOND RANCH 6C</t>
  </si>
  <si>
    <t>160-540-07</t>
  </si>
  <si>
    <t>TANAMERA 1</t>
  </si>
  <si>
    <t>160-220-31</t>
  </si>
  <si>
    <t>STONE CANYON PH 4</t>
  </si>
  <si>
    <t>CIMARRON 6 PH 1</t>
  </si>
  <si>
    <t>PIONEER MEADOWS VILLAGE 1 UT 1</t>
  </si>
  <si>
    <t>NORTHGATE 5E</t>
  </si>
  <si>
    <t>200-010-19</t>
  </si>
  <si>
    <t>CHATEAU ACRES 1</t>
  </si>
  <si>
    <t>HV-6</t>
  </si>
  <si>
    <t>SOMERSETT TOWN CENTER RES 2</t>
  </si>
  <si>
    <t>232-060-19</t>
  </si>
  <si>
    <t>2F @ SOMERSETT</t>
  </si>
  <si>
    <t>SKY VISTA VILLAGE 3</t>
  </si>
  <si>
    <t>SKY VISTA VILLAGE 11B</t>
  </si>
  <si>
    <t>550-020-27</t>
  </si>
  <si>
    <t>222-120-03</t>
  </si>
  <si>
    <t>AUTUMN RIDGE 1 AT SOMERSETT</t>
  </si>
  <si>
    <t>FAIRWAY EST 1</t>
  </si>
  <si>
    <t>LEMMON VALLEY EST 2</t>
  </si>
  <si>
    <t>026-011-12</t>
  </si>
  <si>
    <t>SOMERSETT TOWN CENTER RES PH 4</t>
  </si>
  <si>
    <t>1G</t>
  </si>
  <si>
    <t>500 E 5TH AVE</t>
  </si>
  <si>
    <t>PM 378</t>
  </si>
  <si>
    <t>PM 378 LT A</t>
  </si>
  <si>
    <t xml:space="preserve">HEIDRICH, DEAN </t>
  </si>
  <si>
    <t>ANFD</t>
  </si>
  <si>
    <t>055-281-33</t>
  </si>
  <si>
    <t>IGAF</t>
  </si>
  <si>
    <t>549 IDEAL CT</t>
  </si>
  <si>
    <t>VALLEY VILLAGE NO 1 &amp; 2</t>
  </si>
  <si>
    <t>VALLEY VILLAGE 1 &amp; 2 LT 119</t>
  </si>
  <si>
    <t>GFBD</t>
  </si>
  <si>
    <t>DAMONTE RANCH VILLAGE 14-A</t>
  </si>
  <si>
    <t>SIERRA HEIGHTS RENO 5A</t>
  </si>
  <si>
    <t>1GCR</t>
  </si>
  <si>
    <t xml:space="preserve">GREENSTREET HOLDINGS LLC </t>
  </si>
  <si>
    <t>ID</t>
  </si>
  <si>
    <t>556-401-25</t>
  </si>
  <si>
    <t>COLD SPRINGS VALLEY 2</t>
  </si>
  <si>
    <t>026-012-14</t>
  </si>
  <si>
    <t>SOMERSETT TOWN CENTER RES 3</t>
  </si>
  <si>
    <t xml:space="preserve">186 CHERYL BECK DR </t>
  </si>
  <si>
    <t>CO</t>
  </si>
  <si>
    <t>MILL CREEK EST</t>
  </si>
  <si>
    <t>BDCK</t>
  </si>
  <si>
    <t>TOSCANO TOWNHOMES</t>
  </si>
  <si>
    <t>TAHOE CITY</t>
  </si>
  <si>
    <t>PBAA</t>
  </si>
  <si>
    <t>TYROLIAN VILLAGE 3</t>
  </si>
  <si>
    <t>SIMI VALLEY</t>
  </si>
  <si>
    <t>95722</t>
  </si>
  <si>
    <t>HIGHLANDS AT CIMARRON EAST 1</t>
  </si>
  <si>
    <t>PROMONTORY</t>
  </si>
  <si>
    <t>KILEY RANCH PH 2C UT 5</t>
  </si>
  <si>
    <t>516-020-39</t>
  </si>
  <si>
    <t>VISTAS 1A PH 1</t>
  </si>
  <si>
    <t>MONTREUX 1</t>
  </si>
  <si>
    <t>148-010-01</t>
  </si>
  <si>
    <t>16920 DELACROIX</t>
  </si>
  <si>
    <t xml:space="preserve">CERBERUS INVESTMENTS LLC </t>
  </si>
  <si>
    <t>2710 SAGE BLUFF CT</t>
  </si>
  <si>
    <t xml:space="preserve">PENDERGRASS REV LIVING TRUST, PATRICIA R  </t>
  </si>
  <si>
    <t>3515 W PLUMB LN</t>
  </si>
  <si>
    <t>VISTA DEL ORO 6B</t>
  </si>
  <si>
    <t>91355</t>
  </si>
  <si>
    <t xml:space="preserve">GREEN, CHRISTOPHER R &amp; JULIANNE </t>
  </si>
  <si>
    <t>SILVERGATE 2</t>
  </si>
  <si>
    <t>BAKERSFIELD</t>
  </si>
  <si>
    <t>93314</t>
  </si>
  <si>
    <t>LEMOND, ROBERT et al</t>
  </si>
  <si>
    <t>PARKWAY MH EST</t>
  </si>
  <si>
    <t>RIVERA-SALAS, JOSE D  et al</t>
  </si>
  <si>
    <t xml:space="preserve">WINNEMUCCA </t>
  </si>
  <si>
    <t>039-190-86</t>
  </si>
  <si>
    <t>95826</t>
  </si>
  <si>
    <t xml:space="preserve">AMTRUST BANK  </t>
  </si>
  <si>
    <t>13353 MOUNT BALDY ST</t>
  </si>
  <si>
    <t>SIERRA VIEW ESTATES 1</t>
  </si>
  <si>
    <t>SIERRA VIEW EST 1 LT 13 BLK A</t>
  </si>
  <si>
    <t>RENO PARK MH EST 2B3</t>
  </si>
  <si>
    <t>NORTHGATE 16C</t>
  </si>
  <si>
    <t>NORTHGATE 2E</t>
  </si>
  <si>
    <t>090-260-04</t>
  </si>
  <si>
    <t>PANTHER EST 1</t>
  </si>
  <si>
    <t>082-451-30</t>
  </si>
  <si>
    <t>BGFB</t>
  </si>
  <si>
    <t>MEADOWRIDGE 1A AMD</t>
  </si>
  <si>
    <t>OAGB</t>
  </si>
  <si>
    <t>OCCD</t>
  </si>
  <si>
    <t>GALENA TERRACE 1</t>
  </si>
  <si>
    <t>049-450-36</t>
  </si>
  <si>
    <t>HIDDEN CANYON 4B</t>
  </si>
  <si>
    <t>051-400-25</t>
  </si>
  <si>
    <t>1455 LOCKSLEY WAY</t>
  </si>
  <si>
    <t>SIERRA HEIGHTS RENO 3D LT 321 BLK D</t>
  </si>
  <si>
    <t>DIIU</t>
  </si>
  <si>
    <t>RIVER PARK 1</t>
  </si>
  <si>
    <t>ARROWCREEK VILLAGE 3</t>
  </si>
  <si>
    <t>152-020-38</t>
  </si>
  <si>
    <t>CAUGHLIN CREEK 2A</t>
  </si>
  <si>
    <t>SAGE POINT 3</t>
  </si>
  <si>
    <t>TOSCANA @ D`ANDREA 1</t>
  </si>
  <si>
    <t>402-110-05</t>
  </si>
  <si>
    <t>502-020-16</t>
  </si>
  <si>
    <t>RIM ROCK EST</t>
  </si>
  <si>
    <t>95747</t>
  </si>
  <si>
    <t>ROLLING HILLS HIGHLANDS 2</t>
  </si>
  <si>
    <t>GGCJ</t>
  </si>
  <si>
    <t>VA</t>
  </si>
  <si>
    <t>080-790-03</t>
  </si>
  <si>
    <t>CREST AT STONEFIELD 1 UT 2</t>
  </si>
  <si>
    <t>PEEK PARCEL 1 PH 4</t>
  </si>
  <si>
    <t>ARROWCREEK 13</t>
  </si>
  <si>
    <t>SPRING RIDGE 1 PH 2 AMD</t>
  </si>
  <si>
    <t>083-666-14</t>
  </si>
  <si>
    <t>DCAC</t>
  </si>
  <si>
    <t>MOUNTAIN MEADOWS CONDOMINIUMS LT 87</t>
  </si>
  <si>
    <t>ARIF, MIAN et al</t>
  </si>
  <si>
    <t xml:space="preserve">SULLIVAN, DANIEL P &amp; KATHLEEN K </t>
  </si>
  <si>
    <t>2F @ SOMERSETT LT 67</t>
  </si>
  <si>
    <t>4820 WEDEKIND RD</t>
  </si>
  <si>
    <t>RS 5188</t>
  </si>
  <si>
    <t>DFBA</t>
  </si>
  <si>
    <t>89423</t>
  </si>
  <si>
    <t>ROSS PARK EST</t>
  </si>
  <si>
    <t>6180 INGLESTON DR</t>
  </si>
  <si>
    <t>UNIVERSITY RIDGE 6 LT 7</t>
  </si>
  <si>
    <t>027-041-07</t>
  </si>
  <si>
    <t>SPRINGLAND VILLAGE 2</t>
  </si>
  <si>
    <t>PRATER ADD</t>
  </si>
  <si>
    <t>IRONHORSE VILLAGE 1 AMD</t>
  </si>
  <si>
    <t xml:space="preserve">MILLER TRUST, ELLEN B  </t>
  </si>
  <si>
    <t>FR E2 OF E2</t>
  </si>
  <si>
    <t>083-360-06</t>
  </si>
  <si>
    <t>DMEB</t>
  </si>
  <si>
    <t>RS 4552</t>
  </si>
  <si>
    <t xml:space="preserve">INCLINE VLG              </t>
  </si>
  <si>
    <t>INCLINE VILLAGE UNIT #1-A</t>
  </si>
  <si>
    <t>335 SKI WAY</t>
  </si>
  <si>
    <t>MT SHADOWS INCLINE 9 AMD</t>
  </si>
  <si>
    <t xml:space="preserve">GONZALES, ERNESTO </t>
  </si>
  <si>
    <t>EBLE</t>
  </si>
  <si>
    <t>ARROWCREEK VILLAGE 1A</t>
  </si>
  <si>
    <t>530-280-18</t>
  </si>
  <si>
    <t>SPANISH SPRINGS VILLAGE 7</t>
  </si>
  <si>
    <t>089-151-48</t>
  </si>
  <si>
    <t>EAGLE CANYON II UT 3</t>
  </si>
  <si>
    <t>3909 CLEAR ACRE LN</t>
  </si>
  <si>
    <t xml:space="preserve">FREMONT </t>
  </si>
  <si>
    <t>94539</t>
  </si>
  <si>
    <t>DOUBLE DIAMOND RANCH 18</t>
  </si>
  <si>
    <t>160-390-16</t>
  </si>
  <si>
    <t>2450 LYMBERY ST</t>
  </si>
  <si>
    <t>RENO 2 CONDO</t>
  </si>
  <si>
    <t>ADMA</t>
  </si>
  <si>
    <t>SKYLINE HEIGHTS 6</t>
  </si>
  <si>
    <t>ECKF</t>
  </si>
  <si>
    <t>1325 SOUTH MEADOWS PKWY</t>
  </si>
  <si>
    <t>PALISADES SOUTH</t>
  </si>
  <si>
    <t>NORTHRIDGE SMALL EST</t>
  </si>
  <si>
    <t>GCAF</t>
  </si>
  <si>
    <t xml:space="preserve">BENEFICIAL MORTGAGE CO OF NEV </t>
  </si>
  <si>
    <t>1557 DELUCCHI LN</t>
  </si>
  <si>
    <t>EAGLE CANYON 3 UT 5</t>
  </si>
  <si>
    <t>MA</t>
  </si>
  <si>
    <t>SILVER SHORES 35</t>
  </si>
  <si>
    <t>554-140-01</t>
  </si>
  <si>
    <t>FIRST TEE 6</t>
  </si>
  <si>
    <t>510-071-05</t>
  </si>
  <si>
    <t>DLCB</t>
  </si>
  <si>
    <t>KILEY RANCH 2B UT 9</t>
  </si>
  <si>
    <t>516-020-28</t>
  </si>
  <si>
    <t>PIONEER MEADOWS VILLAGE 2 UT 1 LT II-64</t>
  </si>
  <si>
    <t>6636 LILAC DAWN CT</t>
  </si>
  <si>
    <t>PIONEER MEADOWS VILLAGE 2 UT 1 LT II-62</t>
  </si>
  <si>
    <t>STONE CANYON PH 7</t>
  </si>
  <si>
    <t xml:space="preserve">CRONAN, FRANK  </t>
  </si>
  <si>
    <t xml:space="preserve">2032 STONEWOOD CT </t>
  </si>
  <si>
    <t xml:space="preserve">SAN PEDRO </t>
  </si>
  <si>
    <t>DESERT HIGHLANDS 4F</t>
  </si>
  <si>
    <t>LEWIS HOMES SPARKS 9</t>
  </si>
  <si>
    <t xml:space="preserve">GUTIERREZ, ROMAN H </t>
  </si>
  <si>
    <t>GBAF</t>
  </si>
  <si>
    <t>SILVER LAKE 1C</t>
  </si>
  <si>
    <t xml:space="preserve">SF4 </t>
  </si>
  <si>
    <t>SPARKS VILLAGE GREEN 2</t>
  </si>
  <si>
    <t xml:space="preserve">LEE, ALBERT J  </t>
  </si>
  <si>
    <t>SMITHRIDGE GREENS 2 UNIT</t>
  </si>
  <si>
    <t xml:space="preserve">O`DAY, DON E &amp; JENNY I  </t>
  </si>
  <si>
    <t>3485 SAN MATEO AVE</t>
  </si>
  <si>
    <t>SMITHRIDGE PARK TWNHSE #1</t>
  </si>
  <si>
    <t>FR W2</t>
  </si>
  <si>
    <t>FR NW4 SW4 SEC 23 TWP 16 RGE 18</t>
  </si>
  <si>
    <t>084-560-07</t>
  </si>
  <si>
    <t>SIERRA HIGHLANDS 4 PH 1A</t>
  </si>
  <si>
    <t>SIERRA HIGHLANDS 12 AMD</t>
  </si>
  <si>
    <t>39-69 70 7</t>
  </si>
  <si>
    <t>FOOTHILLS AT WINGFIELD VLG 14A</t>
  </si>
  <si>
    <t>526-010-29</t>
  </si>
  <si>
    <t>ARROWCREEK 31</t>
  </si>
  <si>
    <t>STONE CREEK 6 LT 288 BLK A</t>
  </si>
  <si>
    <t>360 DENSLOWE DR</t>
  </si>
  <si>
    <t xml:space="preserve">LOKSHIN FAMILY TRUST  </t>
  </si>
  <si>
    <t>STERLING VILLAGE 2 LT 7 BLK C</t>
  </si>
  <si>
    <t>619 J ST</t>
  </si>
  <si>
    <t>2H @ SOMERSETT</t>
  </si>
  <si>
    <t>SILVER KNOLLS RANCH EST 5</t>
  </si>
  <si>
    <t>PYRAMID RANCH EST 4A</t>
  </si>
  <si>
    <t>FCCF</t>
  </si>
  <si>
    <t>VIA BIANCA MH EST 2</t>
  </si>
  <si>
    <t xml:space="preserve">CAIN 1997 FAMILY TRUST  </t>
  </si>
  <si>
    <t>VIRGINIA LAKESHORE TH</t>
  </si>
  <si>
    <t xml:space="preserve">SWD-NVL LLC </t>
  </si>
  <si>
    <t>ADNA</t>
  </si>
  <si>
    <t>AIEA</t>
  </si>
  <si>
    <t>725 JAMAICA AVE</t>
  </si>
  <si>
    <t>5000 NEIL RD</t>
  </si>
  <si>
    <t>GALENA TERRACE 5</t>
  </si>
  <si>
    <t xml:space="preserve">LOS GATOS </t>
  </si>
  <si>
    <t>TYROLIAN VILLAGE 7 AMD</t>
  </si>
  <si>
    <t>VALLEY PARK EST</t>
  </si>
  <si>
    <t>HOMBRE WAY</t>
  </si>
  <si>
    <t>021-760-02</t>
  </si>
  <si>
    <t xml:space="preserve">SCHEBETTA FAMILY TRUST  </t>
  </si>
  <si>
    <t>VILLAGES  AT DAMONTE RANCH 15B</t>
  </si>
  <si>
    <t>140-020-42</t>
  </si>
  <si>
    <t>VILLAGES AT DAMONTE RANCH 20A</t>
  </si>
  <si>
    <t>140-020-73</t>
  </si>
  <si>
    <t>EDEB</t>
  </si>
  <si>
    <t>DECC</t>
  </si>
  <si>
    <t>STUCCO ON BL</t>
  </si>
  <si>
    <t>R1-9</t>
  </si>
  <si>
    <t>PAGNI RANCH 7</t>
  </si>
  <si>
    <t>SILVER SHORES 19</t>
  </si>
  <si>
    <t>090-260-15</t>
  </si>
  <si>
    <t>SILVER SHORES 23</t>
  </si>
  <si>
    <t>090-260-27</t>
  </si>
  <si>
    <t>931 INCLINE WAY</t>
  </si>
  <si>
    <t>MCCLOUD CONDO</t>
  </si>
  <si>
    <t xml:space="preserve">JIKI LLC </t>
  </si>
  <si>
    <t xml:space="preserve">2963 STONEBRIDGE TRAIL </t>
  </si>
  <si>
    <t>374 STATE ST</t>
  </si>
  <si>
    <t xml:space="preserve">PARCELS, LARRY C </t>
  </si>
  <si>
    <t>HEMPSTEAD GARDENS</t>
  </si>
  <si>
    <t>YORKTOWN</t>
  </si>
  <si>
    <t>FR SW4  SE4 SEC 33 TWP 20 RGE 20</t>
  </si>
  <si>
    <t>MEADOWLANDS 2C</t>
  </si>
  <si>
    <t xml:space="preserve">TOLL NORTH RENO LLC </t>
  </si>
  <si>
    <t>234-021-10</t>
  </si>
  <si>
    <t>4767 BRADFORD LN</t>
  </si>
  <si>
    <t>PARKWOOD ESTATES SUB UT #</t>
  </si>
  <si>
    <t>SPRINGLAND VILLAGE 1B</t>
  </si>
  <si>
    <t xml:space="preserve">ALLEN, DANIEL T </t>
  </si>
  <si>
    <t>LEWIS HOMES SPARKS 7B</t>
  </si>
  <si>
    <t>PM 840</t>
  </si>
  <si>
    <t xml:space="preserve">RENO INVESTMENT GROUP LLC </t>
  </si>
  <si>
    <t xml:space="preserve">SULLIVAN, MARK P  </t>
  </si>
  <si>
    <t xml:space="preserve">LAXALT TRUST, PETER D  </t>
  </si>
  <si>
    <t>HERON`S LANDING 1</t>
  </si>
  <si>
    <t>ULLAH, M TOBARAK et al</t>
  </si>
  <si>
    <t>1430 KEYSTONE AVE</t>
  </si>
  <si>
    <t xml:space="preserve">WRIGHT, STEPHEN  </t>
  </si>
  <si>
    <t>94526</t>
  </si>
  <si>
    <t>EASTLAND HILLS 1-B</t>
  </si>
  <si>
    <t>WILLOW CREEK STATION 5</t>
  </si>
  <si>
    <t>SIERRA VALLEY ESTATES</t>
  </si>
  <si>
    <t>OAKLEY</t>
  </si>
  <si>
    <t>94561</t>
  </si>
  <si>
    <t>038-530-33</t>
  </si>
  <si>
    <t>2553 HIBERNICA LN</t>
  </si>
  <si>
    <t>PIONEER MEADOWS VILLAGE 2 UT 1 LT II-32</t>
  </si>
  <si>
    <t>6610 MARBREE DR</t>
  </si>
  <si>
    <t>PALISADES NORTH CONDOMINIUMS</t>
  </si>
  <si>
    <t>DOUBLE DIAMOND RANCH 1B</t>
  </si>
  <si>
    <t>160-101-05</t>
  </si>
  <si>
    <t>160-220-12</t>
  </si>
  <si>
    <t>536 FAIRVIEW BLVD</t>
  </si>
  <si>
    <t>7570 HALIFAX DR</t>
  </si>
  <si>
    <t>RALEIGH HEIGHTS 1 LT 64</t>
  </si>
  <si>
    <t>CHURCH HILL EST</t>
  </si>
  <si>
    <t>001-041-63</t>
  </si>
  <si>
    <t>5950 PROMONTORY DR</t>
  </si>
  <si>
    <t>HIGHLAND PLACE LT 16</t>
  </si>
  <si>
    <t>5930 PROMONTORY DR</t>
  </si>
  <si>
    <t>HIGHLAND PLACE LT 14</t>
  </si>
  <si>
    <t xml:space="preserve">STEWART, TARA L </t>
  </si>
  <si>
    <t>NORTHERN LIGHTS 1</t>
  </si>
  <si>
    <t>RENO PARK ESTATES 2B-8</t>
  </si>
  <si>
    <t>KAAF</t>
  </si>
  <si>
    <t>SPRING CREEK 2D</t>
  </si>
  <si>
    <t xml:space="preserve">SANTA FE                 </t>
  </si>
  <si>
    <t>PIONEER MEADOWS VILLAGE 2 UT 1 LT II-29</t>
  </si>
  <si>
    <t>6646 MARBREE DR</t>
  </si>
  <si>
    <t>PIONEER MEADOWS VILLAGE 2 UT 1 LT II-28</t>
  </si>
  <si>
    <t>6658 MARBREE DR</t>
  </si>
  <si>
    <t>PIONEER MEADOWS VILLAGE 2 UT 1 LT II-27</t>
  </si>
  <si>
    <t>6670 MARBREE DR</t>
  </si>
  <si>
    <t>PIONEER MEADOWS VILLAGE 2 UT 1 LT II-26</t>
  </si>
  <si>
    <t>6682 MARBREE DR</t>
  </si>
  <si>
    <t>PIONEER MEADOWS VILLAGE 2 UT 1 LT II-25</t>
  </si>
  <si>
    <t xml:space="preserve">RPR PROPERTY HOLDINGS LLC </t>
  </si>
  <si>
    <t>THE MONTAGE PH 3</t>
  </si>
  <si>
    <t>011-564-01</t>
  </si>
  <si>
    <t>GRAND SIERRA RESORT PH 3</t>
  </si>
  <si>
    <t>012-211-31</t>
  </si>
  <si>
    <t>ARROWCREEK 24A</t>
  </si>
  <si>
    <t>152-430-09</t>
  </si>
  <si>
    <t xml:space="preserve">MURILLO, MIGUEL A &amp; WENDY M </t>
  </si>
  <si>
    <t>PM 2301</t>
  </si>
  <si>
    <t>SIERRA CANYON @ SOMERSETT VG 6</t>
  </si>
  <si>
    <t>5735 FLOWERING SAGE TRL</t>
  </si>
  <si>
    <t>ARROWCREEK 22</t>
  </si>
  <si>
    <t xml:space="preserve">JONES, MILLICENT </t>
  </si>
  <si>
    <t>152-430-07</t>
  </si>
  <si>
    <t>ARROWCREEK 22 LT 2206</t>
  </si>
  <si>
    <t>ST JAMES VILLAGE 1D</t>
  </si>
  <si>
    <t>046-060-39</t>
  </si>
  <si>
    <t>PIONEER MEADOWS VILLAGE 2 UT 1 LT II-31</t>
  </si>
  <si>
    <t>6622 MARBREE DR</t>
  </si>
  <si>
    <t>PIONEER MEADOWS VILLAGE 2 UT 1 LT II-30</t>
  </si>
  <si>
    <t>PO BOX 502</t>
  </si>
  <si>
    <t>89721</t>
  </si>
  <si>
    <t>SPRINGLAND VILLAGE 5 AMD</t>
  </si>
  <si>
    <t>SKY VISTA VILLAGE 10A PH1</t>
  </si>
  <si>
    <t>204-020-48</t>
  </si>
  <si>
    <t>2217 SAPPHIRE RIDGE WAY</t>
  </si>
  <si>
    <t>SAPPHIRE RIDGE 1</t>
  </si>
  <si>
    <t>GRANITE RIDGE 2</t>
  </si>
  <si>
    <t>204-600-07</t>
  </si>
  <si>
    <t>BALD</t>
  </si>
  <si>
    <t>GRANITE RIDGE 3</t>
  </si>
  <si>
    <t xml:space="preserve">NEVADA FEDERAL CREDIT UNION </t>
  </si>
  <si>
    <t>RANCHO MANOR</t>
  </si>
  <si>
    <t>550-010-45</t>
  </si>
  <si>
    <t>VILLAS AT SKY VISTA 2</t>
  </si>
  <si>
    <t>550-020-32</t>
  </si>
  <si>
    <t xml:space="preserve">DEUTSCHE BANK NATIONAL TRST CO </t>
  </si>
  <si>
    <t>556-290-02</t>
  </si>
  <si>
    <t>164-030-03</t>
  </si>
  <si>
    <t>FR NW4 NE4 SEC 18 TWP 20 RGE 20</t>
  </si>
  <si>
    <t>94553</t>
  </si>
  <si>
    <t>232-380-13</t>
  </si>
  <si>
    <t>FAED</t>
  </si>
  <si>
    <t>KILEY RANCH WEST PH 3A UT 3</t>
  </si>
  <si>
    <t>SKY RIDGE 1</t>
  </si>
  <si>
    <t>514-010-32</t>
  </si>
  <si>
    <t xml:space="preserve">ALLEN FAMILY TRUST  </t>
  </si>
  <si>
    <t xml:space="preserve">SONDERGAARD, MICHAEL R &amp; EILEEN Q </t>
  </si>
  <si>
    <t>FOOTHILLS AT WINGFIELD VLG 5 LT 5-127</t>
  </si>
  <si>
    <t>NORTHGATE 16F</t>
  </si>
  <si>
    <t>FIRST TEE 2</t>
  </si>
  <si>
    <t>510-191-01</t>
  </si>
  <si>
    <t>RANCHO SAN RAFAEL TH PH 1 UT 2</t>
  </si>
  <si>
    <t>003-020-63</t>
  </si>
  <si>
    <t>UNIVERSITY RIDGE 7 &amp; 9 PH 1</t>
  </si>
  <si>
    <t>232-060-17</t>
  </si>
  <si>
    <t>WILDCREEK GOLF VILLAS 3</t>
  </si>
  <si>
    <t>CELERITY LLC LLC</t>
  </si>
  <si>
    <t>026-341-48</t>
  </si>
  <si>
    <t>DBGC</t>
  </si>
  <si>
    <t>THE MONTAGE PH 1</t>
  </si>
  <si>
    <t xml:space="preserve">HAYWARD </t>
  </si>
  <si>
    <t>94542</t>
  </si>
  <si>
    <t>011-032-35</t>
  </si>
  <si>
    <t xml:space="preserve">I B PROPERTY HOLDINGS LLC </t>
  </si>
  <si>
    <t>EVANS NORTH ADD</t>
  </si>
  <si>
    <t>DDFF</t>
  </si>
  <si>
    <t xml:space="preserve">NRES-NV3 LLC </t>
  </si>
  <si>
    <t>MEADOW VISTA</t>
  </si>
  <si>
    <t xml:space="preserve">BAILEY, IRENE </t>
  </si>
  <si>
    <t>WATERFORD PARK 2 LT 165 BLK A</t>
  </si>
  <si>
    <t>94536</t>
  </si>
  <si>
    <t>ARROWCREEK 32</t>
  </si>
  <si>
    <t>1845 WIND RANCH RD</t>
  </si>
  <si>
    <t xml:space="preserve">BFH LLC </t>
  </si>
  <si>
    <t xml:space="preserve">SIEPENKOTHEN FAMILY TRUST  </t>
  </si>
  <si>
    <t>528-010-28</t>
  </si>
  <si>
    <t>RENO 37 LLC  LLC</t>
  </si>
  <si>
    <t xml:space="preserve">STOCKTON </t>
  </si>
  <si>
    <t>95219</t>
  </si>
  <si>
    <t>FAVV</t>
  </si>
  <si>
    <t>SOMERSETT VILLAGE 5B</t>
  </si>
  <si>
    <t>234-021-19</t>
  </si>
  <si>
    <t>FAAB</t>
  </si>
  <si>
    <t>NDKF</t>
  </si>
  <si>
    <t>VILLAS AT LAKERIDGE 2</t>
  </si>
  <si>
    <t>2F</t>
  </si>
  <si>
    <t xml:space="preserve">Sgl Fam Res </t>
  </si>
  <si>
    <t>ONE</t>
  </si>
  <si>
    <t>FAIR</t>
  </si>
  <si>
    <t>FA</t>
  </si>
  <si>
    <t>HARDBOARD</t>
  </si>
  <si>
    <t>COMP SHINGLE</t>
  </si>
  <si>
    <t>GARA</t>
  </si>
  <si>
    <t xml:space="preserve">SF6 </t>
  </si>
  <si>
    <t>NO</t>
  </si>
  <si>
    <t>RENO</t>
  </si>
  <si>
    <t>NV</t>
  </si>
  <si>
    <t xml:space="preserve">FEDERAL HOME LOAN MTG CORP </t>
  </si>
  <si>
    <t>BCAC</t>
  </si>
  <si>
    <t>2D</t>
  </si>
  <si>
    <t>ELMCREST HEIGHTS 5</t>
  </si>
  <si>
    <t>BI LV</t>
  </si>
  <si>
    <t>WD SHINGLE</t>
  </si>
  <si>
    <t>Multiple</t>
  </si>
  <si>
    <t>96148</t>
  </si>
  <si>
    <t>AGNA</t>
  </si>
  <si>
    <t>ASPH SHINGLE</t>
  </si>
  <si>
    <t>YES</t>
  </si>
  <si>
    <t>2500 E 2ND ST</t>
  </si>
  <si>
    <t>GRAND SIERRA RESORT PH 1B</t>
  </si>
  <si>
    <t>Hotel Condo</t>
  </si>
  <si>
    <t>27</t>
  </si>
  <si>
    <t>ABOVE AVG</t>
  </si>
  <si>
    <t>HOT/CHILL WA</t>
  </si>
  <si>
    <t>CURTAIN-CO/G</t>
  </si>
  <si>
    <t>MURL</t>
  </si>
  <si>
    <t>CA</t>
  </si>
  <si>
    <t xml:space="preserve">HSBC BANK USA </t>
  </si>
  <si>
    <t>012-211-29</t>
  </si>
  <si>
    <t>WOODSTOCK I (QUIET TITLE)</t>
  </si>
  <si>
    <t>HV-4</t>
  </si>
  <si>
    <t>FR N2</t>
  </si>
  <si>
    <t>98 WINTER ST</t>
  </si>
  <si>
    <t>ADDK</t>
  </si>
  <si>
    <t>ARIF, FAHAD et al</t>
  </si>
  <si>
    <t>WILLIAMSBURG APT HM 1 UT2</t>
  </si>
  <si>
    <t>LEWIS HOMES-SPARKS 12S</t>
  </si>
  <si>
    <t>TRACY</t>
  </si>
  <si>
    <t>SIERRA CANYON @ SOMERSETT VG 3</t>
  </si>
  <si>
    <t xml:space="preserve">HAIN, MARK </t>
  </si>
  <si>
    <t>234-021-25</t>
  </si>
  <si>
    <t>CONC TILT-UP</t>
  </si>
  <si>
    <t>MUW4</t>
  </si>
  <si>
    <t>HAYWARD</t>
  </si>
  <si>
    <t>94545</t>
  </si>
  <si>
    <t>FAAF</t>
  </si>
  <si>
    <t>Sierra Canyon @ Somersett VG 5</t>
  </si>
  <si>
    <t>234-021-34</t>
  </si>
  <si>
    <t>JANESVILLE</t>
  </si>
  <si>
    <t>PYRAMID RANCH EST 5B</t>
  </si>
  <si>
    <t>089-160-28</t>
  </si>
  <si>
    <t>700 COLLEGE DR</t>
  </si>
  <si>
    <t>INCLINE MT ROSE CHALETS</t>
  </si>
  <si>
    <t>PTAA</t>
  </si>
  <si>
    <t>500 DAMONTE RANCH PKWY</t>
  </si>
  <si>
    <t>ECFO</t>
  </si>
  <si>
    <t>BEAB</t>
  </si>
  <si>
    <t>DOUBLE DIAMOND RANCH 9</t>
  </si>
  <si>
    <t>161-180-14</t>
  </si>
  <si>
    <t>830 ORIOLE WAY</t>
  </si>
  <si>
    <t>ROYAL PINES CONDO AMD</t>
  </si>
  <si>
    <t>SAN RAMON</t>
  </si>
  <si>
    <t>94583</t>
  </si>
  <si>
    <t>PAIA</t>
  </si>
  <si>
    <t>PCAA</t>
  </si>
  <si>
    <t>SUNNYVALE</t>
  </si>
  <si>
    <t>400 FAIRVIEW BLVD</t>
  </si>
  <si>
    <t>DONOVAN RANCH 2</t>
  </si>
  <si>
    <t xml:space="preserve">BRASELTON, ROBERT D SR &amp; KYM M </t>
  </si>
  <si>
    <t>534-450-08</t>
  </si>
  <si>
    <t>DONOVAN RANCH 2 LT 232</t>
  </si>
  <si>
    <t>MORAGA</t>
  </si>
  <si>
    <t xml:space="preserve">FIDDLE STIX LLC </t>
  </si>
  <si>
    <t>DONNER SPRINGS 5</t>
  </si>
  <si>
    <t>SMITHRIDGE PARK 2</t>
  </si>
  <si>
    <t>Addl Owner</t>
  </si>
  <si>
    <t>Half Baths</t>
  </si>
  <si>
    <t>Year Blt</t>
  </si>
  <si>
    <t>Heat Type</t>
  </si>
  <si>
    <t>Mailing1</t>
  </si>
  <si>
    <t>Mailing2</t>
  </si>
  <si>
    <t>City</t>
  </si>
  <si>
    <t>State</t>
  </si>
  <si>
    <t>Zip</t>
  </si>
  <si>
    <t>PriorOwner</t>
  </si>
  <si>
    <t>PriorPID</t>
  </si>
  <si>
    <t>LegalDesc</t>
  </si>
  <si>
    <t>Subdivision</t>
  </si>
  <si>
    <t>BldgType</t>
  </si>
  <si>
    <t>Stories</t>
  </si>
  <si>
    <t>Grade</t>
  </si>
  <si>
    <t>Beds</t>
  </si>
  <si>
    <t>Sales Date</t>
  </si>
  <si>
    <t>Sale Price</t>
  </si>
  <si>
    <t>Sale Verf</t>
  </si>
  <si>
    <t>Bldg SF</t>
  </si>
  <si>
    <t>Full Baths</t>
  </si>
  <si>
    <t/>
  </si>
  <si>
    <t>SPRINGFIELD</t>
  </si>
  <si>
    <t>MO</t>
  </si>
  <si>
    <t>PAGA</t>
  </si>
  <si>
    <t>807 ALDER AVE</t>
  </si>
  <si>
    <t>SIERRA MEADOWS 6</t>
  </si>
  <si>
    <t>1515 SAN PEDRO ST</t>
  </si>
  <si>
    <t>VISTAS 1A PH 3</t>
  </si>
  <si>
    <t xml:space="preserve">MUNSON, DIANE &amp; GARY </t>
  </si>
  <si>
    <t>083-534-16</t>
  </si>
  <si>
    <t>VISTAS 1A PH 3 LT 3 BLK A</t>
  </si>
  <si>
    <t>WINGFIELD SPRINGS 10A</t>
  </si>
  <si>
    <t>SIERRA VIEW EST 1 LT 117 BLK C</t>
  </si>
  <si>
    <t xml:space="preserve">NBS PARTNERSHIP I LTD PTSP </t>
  </si>
  <si>
    <t>126-290-01</t>
  </si>
  <si>
    <t>140-020-06</t>
  </si>
  <si>
    <t>ALAMEDA HEIGHTS</t>
  </si>
  <si>
    <t>LOW</t>
  </si>
  <si>
    <t xml:space="preserve">HOUSING AUTHORITY CITY OF RENO </t>
  </si>
  <si>
    <t>2385 TRIPP DR</t>
  </si>
  <si>
    <t>WHISPERING SPRINGS AMD</t>
  </si>
  <si>
    <t>BB ELEC</t>
  </si>
  <si>
    <t>BECA</t>
  </si>
  <si>
    <t>66 RIVER FRONT DR</t>
  </si>
  <si>
    <t>314 LORRAINE CT</t>
  </si>
  <si>
    <t>1870 MC CLOUD AVE</t>
  </si>
  <si>
    <t>NORTH VALLEY</t>
  </si>
  <si>
    <t>BRICK VENEER</t>
  </si>
  <si>
    <t>NORTH VALLEY LT 6 BLK H</t>
  </si>
  <si>
    <t>BECK</t>
  </si>
  <si>
    <t>SIERRA GARDENS MH</t>
  </si>
  <si>
    <t>MUUN</t>
  </si>
  <si>
    <t>083-291-24</t>
  </si>
  <si>
    <t>SIERRA HEIGHTS RENO 2A</t>
  </si>
  <si>
    <t>SKI LANE BITTERBRUSH 2</t>
  </si>
  <si>
    <t>FIELDCREEK RANCH 9</t>
  </si>
  <si>
    <t>049-300-78</t>
  </si>
  <si>
    <t>BRIDLE PATH HM 4</t>
  </si>
  <si>
    <t>140-020-51</t>
  </si>
  <si>
    <t xml:space="preserve">ROWE, SEAN M  </t>
  </si>
  <si>
    <t>IRONHORSE VILLAGE 2 AMD</t>
  </si>
  <si>
    <t>LEWIS HOMES-SPARKS NO 12F</t>
  </si>
  <si>
    <t>GREENBRAE TERRACE WLY A</t>
  </si>
  <si>
    <t xml:space="preserve">RIPLEY, PAUL &amp; NEDRA L </t>
  </si>
  <si>
    <t>3280 ERIN DR</t>
  </si>
  <si>
    <t xml:space="preserve">BROOKS, ANDREW N &amp; MANDY K </t>
  </si>
  <si>
    <t>ST JAMES`S VILLAGE 1G</t>
  </si>
  <si>
    <t>14360 PLEASANT HILL DR</t>
  </si>
  <si>
    <t xml:space="preserve">CHINO HILLS </t>
  </si>
  <si>
    <t>CSB UE NEVADA DPC HOLDINGS LLC LLC</t>
  </si>
  <si>
    <t xml:space="preserve">BERMEOSOLO, GREG &amp; JENELLE </t>
  </si>
  <si>
    <t xml:space="preserve">MOYER, MICHAEL &amp; MARYANNA </t>
  </si>
  <si>
    <t xml:space="preserve">DOGGETT/HADDAD TRUST  </t>
  </si>
  <si>
    <t>SILVER KNOLLS RANCH EST 7</t>
  </si>
  <si>
    <t xml:space="preserve">AMITY PROPERTIES LLC </t>
  </si>
  <si>
    <t xml:space="preserve">PORTOLA </t>
  </si>
  <si>
    <t>PEAVINE HEIGHTS 3</t>
  </si>
  <si>
    <t>570-020-03</t>
  </si>
  <si>
    <t>402-110-24</t>
  </si>
  <si>
    <t>DKFC</t>
  </si>
  <si>
    <t>FR S2</t>
  </si>
  <si>
    <t>REDONDO BEACH</t>
  </si>
  <si>
    <t>DLM 1</t>
  </si>
  <si>
    <t>94131</t>
  </si>
  <si>
    <t>DE</t>
  </si>
  <si>
    <t>LEWIS HOMES SPARKS 7D</t>
  </si>
  <si>
    <t>RALEIGH HTS SUB 1</t>
  </si>
  <si>
    <t>SOUTHWEST TERRACE 1</t>
  </si>
  <si>
    <t xml:space="preserve">SCHMIDT, GERRITT V &amp; DENA N </t>
  </si>
  <si>
    <t>2045 MEADOWVIEW LN</t>
  </si>
  <si>
    <t>LEE, CALVIN et al</t>
  </si>
  <si>
    <t>WILKINSON 1</t>
  </si>
  <si>
    <t>VACAVILLE</t>
  </si>
  <si>
    <t>95687</t>
  </si>
  <si>
    <t>9050 CONVAIR WAY</t>
  </si>
  <si>
    <t>STONEFIELD 3 LT 52</t>
  </si>
  <si>
    <t>6245 ELK IVORY</t>
  </si>
  <si>
    <t>144-010-15</t>
  </si>
  <si>
    <t>7815 CASAREY CT</t>
  </si>
  <si>
    <t xml:space="preserve">ROOT, ROBERT H III </t>
  </si>
  <si>
    <t>UPPER HIGHLANDS @ CIMARRON EAST 1 LT 134</t>
  </si>
  <si>
    <t>FR SW4 SE4</t>
  </si>
  <si>
    <t>CENTURY EST</t>
  </si>
  <si>
    <t>026-011-10</t>
  </si>
  <si>
    <t>WILDCREEK GOLF VILLAS 1CA</t>
  </si>
  <si>
    <t xml:space="preserve">CITIBANK NA </t>
  </si>
  <si>
    <t>026-640-10</t>
  </si>
  <si>
    <t>1685 SILVERTHREAD DR</t>
  </si>
  <si>
    <t>DOUBLE DIAMOND RANCH 22B</t>
  </si>
  <si>
    <t xml:space="preserve">MCLEOD, SCOTT D </t>
  </si>
  <si>
    <t>161-180-19</t>
  </si>
  <si>
    <t>PM 4737</t>
  </si>
  <si>
    <t>1000 TECHNOLOGY DR MS-314</t>
  </si>
  <si>
    <t>O`FALLON</t>
  </si>
  <si>
    <t>63368</t>
  </si>
  <si>
    <t>015-032-21</t>
  </si>
  <si>
    <t>MEYER MEADOWS LT 19 BLK N</t>
  </si>
  <si>
    <t xml:space="preserve">RENO                     </t>
  </si>
  <si>
    <t>NORTHGATE 2A</t>
  </si>
  <si>
    <t>NORTHGATE 14A</t>
  </si>
  <si>
    <t>SIERRA MEADOWS SUB UNIT 7</t>
  </si>
  <si>
    <t xml:space="preserve">DORNBACH, CHARLES R &amp; SUSANNE K </t>
  </si>
  <si>
    <t>VISTA DEL ORO SUB DIV 2</t>
  </si>
  <si>
    <t>OAVV</t>
  </si>
  <si>
    <t>GALENA TERR ESTS UNIT 1</t>
  </si>
  <si>
    <t xml:space="preserve">INDYMAC VENTURE LLC </t>
  </si>
  <si>
    <t>CLEARVIEW HEIGHTS</t>
  </si>
  <si>
    <t>BFLB</t>
  </si>
  <si>
    <t>MEADOWVALE 8 AMD</t>
  </si>
  <si>
    <t>FR S2 SE4</t>
  </si>
  <si>
    <t>WILLIAMS</t>
  </si>
  <si>
    <t>PBLA</t>
  </si>
  <si>
    <t>2845 DEER RUN DR</t>
  </si>
  <si>
    <t>60 BLUE SKIES CT</t>
  </si>
  <si>
    <t>SPRING CREEK 2H LT 18 BLK H</t>
  </si>
  <si>
    <t>16865 RUE DE PARC</t>
  </si>
  <si>
    <t xml:space="preserve">SOUTHWEST POINTE ASSOC LLC </t>
  </si>
  <si>
    <t xml:space="preserve">RENO        </t>
  </si>
  <si>
    <t>SILVER SHORES 16</t>
  </si>
  <si>
    <t>PBFA</t>
  </si>
  <si>
    <t>929 SOUTHWOOD BLVD</t>
  </si>
  <si>
    <t>PINEWOOD CONDO</t>
  </si>
  <si>
    <t>95617</t>
  </si>
  <si>
    <t>PAHA</t>
  </si>
  <si>
    <t>1000 LAKESHORE BLVD</t>
  </si>
  <si>
    <t>PARA</t>
  </si>
  <si>
    <t xml:space="preserve">BRAIK, GORDON A  </t>
  </si>
  <si>
    <t>SEQUIM</t>
  </si>
  <si>
    <t>SPANISH SPRINGS VILLAGE 5</t>
  </si>
  <si>
    <t>COTTONWOOD CREEK EST 3</t>
  </si>
  <si>
    <t>017-012-12</t>
  </si>
  <si>
    <t>PM 1963</t>
  </si>
  <si>
    <t>CREST AT STONEFIELD PH 1 UT 1</t>
  </si>
  <si>
    <t>402-110-25</t>
  </si>
  <si>
    <t>198 COUNTRY CLUB DR</t>
  </si>
  <si>
    <t>COUNTRY CLUB VILLAS</t>
  </si>
  <si>
    <t>130-170-22</t>
  </si>
  <si>
    <t>PJAA</t>
  </si>
  <si>
    <t xml:space="preserve">LOGAN, JAMES F JR &amp; JANEA A </t>
  </si>
  <si>
    <t xml:space="preserve">NATIONSTAR MORTGAGE LLC </t>
  </si>
  <si>
    <t>TRIPLE CROWN 7A</t>
  </si>
  <si>
    <t xml:space="preserve">ROTH, RICHARD A &amp; SARANGEREL </t>
  </si>
  <si>
    <t>WILLOW HILLS 1 AMD</t>
  </si>
  <si>
    <t>SEATTLE</t>
  </si>
  <si>
    <t>BEEA</t>
  </si>
  <si>
    <t>SILVERADA 4</t>
  </si>
  <si>
    <t>KAPOLEI</t>
  </si>
  <si>
    <t>FR SE4 SW4</t>
  </si>
  <si>
    <t xml:space="preserve">OREGON AMINAL RESCUE TRUST  </t>
  </si>
  <si>
    <t>SATELLITE HILLS 1</t>
  </si>
  <si>
    <t>WILLOW CREEK WEST 1</t>
  </si>
  <si>
    <t>CENTURY GLEN 1</t>
  </si>
  <si>
    <t xml:space="preserve">HOMECRAFTERS LTD </t>
  </si>
  <si>
    <t>DOUBLE DIAMOND RANCH 3</t>
  </si>
  <si>
    <t xml:space="preserve">SPARKS </t>
  </si>
  <si>
    <t>HUYCK</t>
  </si>
  <si>
    <t>144-010-07</t>
  </si>
  <si>
    <t>MONTREUX 7C</t>
  </si>
  <si>
    <t>148-010-48</t>
  </si>
  <si>
    <t>1145 ZEPHYR WAY</t>
  </si>
  <si>
    <t>GREENBRAE TERRACE 6</t>
  </si>
  <si>
    <t>GREENBRAE TERRACE 4</t>
  </si>
  <si>
    <t>GREENBRAE TERRACE 11</t>
  </si>
  <si>
    <t>LINCOLN PARK</t>
  </si>
  <si>
    <t>ROSEPARK 2</t>
  </si>
  <si>
    <t>JUNIPER TERRACE MH EST 2</t>
  </si>
  <si>
    <t>6310 KLAMATH CT</t>
  </si>
  <si>
    <t>FIRST TEE 4 @ KILEY RANCH</t>
  </si>
  <si>
    <t>510-042-09</t>
  </si>
  <si>
    <t>P O BOX 7436</t>
  </si>
  <si>
    <t xml:space="preserve">CAPITAL ONE NA </t>
  </si>
  <si>
    <t>EDGEWOOD PARK</t>
  </si>
  <si>
    <t>FR SW4</t>
  </si>
  <si>
    <t xml:space="preserve">BLECHEN, THOMAS F </t>
  </si>
  <si>
    <t>16020 TOURMALINE DR</t>
  </si>
  <si>
    <t xml:space="preserve">R15 </t>
  </si>
  <si>
    <t>DJAD</t>
  </si>
  <si>
    <t>LEWIS HOMES SPARKS 15B</t>
  </si>
  <si>
    <t>TOSCANA @ D`ANDREA 7A</t>
  </si>
  <si>
    <t xml:space="preserve">CARLING, DOUGLAS A </t>
  </si>
  <si>
    <t>SIERRA MEADOWS SUB UNIT 4</t>
  </si>
  <si>
    <t>1019 BROOKTREE DR</t>
  </si>
  <si>
    <t>LEWIS HOMES SPARKS 12L</t>
  </si>
  <si>
    <t>BRISTLE CONE CONDO</t>
  </si>
  <si>
    <t>MORGAN HILL</t>
  </si>
  <si>
    <t>152-420-10</t>
  </si>
  <si>
    <t>10296 VIA VERONA</t>
  </si>
  <si>
    <t xml:space="preserve">CG INVESTORS LLC </t>
  </si>
  <si>
    <t xml:space="preserve">I   </t>
  </si>
  <si>
    <t xml:space="preserve">ABC INVESTORS GROUP INC </t>
  </si>
  <si>
    <t>GHAJ</t>
  </si>
  <si>
    <t>RENO PARK MH EST 2A</t>
  </si>
  <si>
    <t>MH Real Prop</t>
  </si>
  <si>
    <t xml:space="preserve">SECRETARY HOUSING &amp; URBAN DEV </t>
  </si>
  <si>
    <t>GCCD</t>
  </si>
  <si>
    <t>GALENA TERRACE 8</t>
  </si>
  <si>
    <t xml:space="preserve">VEASLEY, JEFF  </t>
  </si>
  <si>
    <t>REDFIELD ESTATES</t>
  </si>
  <si>
    <t>AIHC</t>
  </si>
  <si>
    <t>NEWTOWN TRACT</t>
  </si>
  <si>
    <t>Retail Store</t>
  </si>
  <si>
    <t>CONCRETE BLK</t>
  </si>
  <si>
    <t xml:space="preserve">TC  </t>
  </si>
  <si>
    <t>DEEQ</t>
  </si>
  <si>
    <t>AGGD</t>
  </si>
  <si>
    <t>SILVERADO RANCH EST 4A</t>
  </si>
  <si>
    <t xml:space="preserve">LOPEZ, JUAN C &amp; JAMIE O </t>
  </si>
  <si>
    <t xml:space="preserve">6707 MARBREE DR </t>
  </si>
  <si>
    <t>MILLER, WILLIAM W et al</t>
  </si>
  <si>
    <t>1205 CLIFF PARK WAY</t>
  </si>
  <si>
    <t>BELLA VISTA AT WINGFIELD SPRIN</t>
  </si>
  <si>
    <t>520-020-27</t>
  </si>
  <si>
    <t>AGPA</t>
  </si>
  <si>
    <t>GOLDEN HILLS 2A LT 165</t>
  </si>
  <si>
    <t>86 ROYAL RIDGE CT</t>
  </si>
  <si>
    <t>MATHER</t>
  </si>
  <si>
    <t>GOLDEN HILLS 2A LT 143</t>
  </si>
  <si>
    <t>SILVER ROCK LLC  LLC</t>
  </si>
  <si>
    <t>2 TOWNSEND ST # 1-210</t>
  </si>
  <si>
    <t>769 MAYS BLVD</t>
  </si>
  <si>
    <t>SAGE POINT 4</t>
  </si>
  <si>
    <t>SURPRISE VALLEY RNCH 1B</t>
  </si>
  <si>
    <t xml:space="preserve">ZIMMERMAN REVOCABLE TRUST, ROSLYN M   </t>
  </si>
  <si>
    <t>100 GREENRIDGE DR</t>
  </si>
  <si>
    <t>GREENRIDGE</t>
  </si>
  <si>
    <t>GREENRIDGE LT 1 &amp; 2</t>
  </si>
  <si>
    <t>PO BOX 1774</t>
  </si>
  <si>
    <t>APTOS</t>
  </si>
  <si>
    <t xml:space="preserve">BUTTERFIELD, MICHAEL G  </t>
  </si>
  <si>
    <t xml:space="preserve">2925 RAWHIDE ST </t>
  </si>
  <si>
    <t xml:space="preserve">SILVER SPRINGS </t>
  </si>
  <si>
    <t>89429</t>
  </si>
  <si>
    <t>PO BOX 2669</t>
  </si>
  <si>
    <t>BC</t>
  </si>
  <si>
    <t>5635 EL PASEO DR</t>
  </si>
  <si>
    <t xml:space="preserve">ELKO </t>
  </si>
  <si>
    <t>CAUGHLIN CREEK 5</t>
  </si>
  <si>
    <t>214-010-12</t>
  </si>
  <si>
    <t>FR NE4 SEC 22 TWP 19 RGE 19</t>
  </si>
  <si>
    <t>ANIC</t>
  </si>
  <si>
    <t>2750 PLUMAS ST</t>
  </si>
  <si>
    <t>SALEM PLAZA</t>
  </si>
  <si>
    <t>Townhse End</t>
  </si>
  <si>
    <t>STUCCO</t>
  </si>
  <si>
    <t>BUILT-UP ROC</t>
  </si>
  <si>
    <t>MUSV</t>
  </si>
  <si>
    <t xml:space="preserve">BERG FAMILY TRUST  </t>
  </si>
  <si>
    <t>9405 SAN MARCOS RD</t>
  </si>
  <si>
    <t xml:space="preserve">FEDERAL NAT`L MORTGAGE ASSN </t>
  </si>
  <si>
    <t>DFGC</t>
  </si>
  <si>
    <t>VISTA DEL ORO 4</t>
  </si>
  <si>
    <t>PARADISE PARK</t>
  </si>
  <si>
    <t>Duplex</t>
  </si>
  <si>
    <t xml:space="preserve">R2  </t>
  </si>
  <si>
    <t>GBCC</t>
  </si>
  <si>
    <t>BEBM</t>
  </si>
  <si>
    <t xml:space="preserve">HUMANITY SYSTEMS INC </t>
  </si>
  <si>
    <t>DOUBLE DIAMOND RANCH 13A AMD</t>
  </si>
  <si>
    <t xml:space="preserve">K B PROPERTIES </t>
  </si>
  <si>
    <t>160-612-19</t>
  </si>
  <si>
    <t xml:space="preserve">WATSON FAMILY TRUST  </t>
  </si>
  <si>
    <t xml:space="preserve">900 S MEADOWS PKWY # 921 </t>
  </si>
  <si>
    <t>ROYAL HEIGHTS 2</t>
  </si>
  <si>
    <t>SILVERADO RANCH EST 11 PH 2</t>
  </si>
  <si>
    <t>204-480-06</t>
  </si>
  <si>
    <t>EASTLAND HILLS SUB UT #1-</t>
  </si>
  <si>
    <t>2169 KIETZKE LN</t>
  </si>
  <si>
    <t xml:space="preserve">RODRIGUEZ, KEVIN ADOLFO DELGADO </t>
  </si>
  <si>
    <t>827 E YORK WAY</t>
  </si>
  <si>
    <t>CENTURY GLEN 1 LT 10 BLK E</t>
  </si>
  <si>
    <t>ALPHA BRAVO HOLDINGS LLC</t>
  </si>
  <si>
    <t>85 KIRMAN 303</t>
  </si>
  <si>
    <t xml:space="preserve">AMERICAN EQUITY FUNDING INC </t>
  </si>
  <si>
    <t>GRAND SIERRA RESORT PH 1A LT 1772</t>
  </si>
  <si>
    <t xml:space="preserve">KINSLEY FAMILY TRUST, JACK &amp; GLENDA  </t>
  </si>
  <si>
    <t>119 VISTA RAFAEL PKWY</t>
  </si>
  <si>
    <t>EVANS VISTA AMD</t>
  </si>
  <si>
    <t>BRICK SOLID</t>
  </si>
  <si>
    <t>PREMIER TRUST INC CUSTODIAN</t>
  </si>
  <si>
    <t>SILVERADO RANCH EST 2 PH 2</t>
  </si>
  <si>
    <t>161-011-06</t>
  </si>
  <si>
    <t>PM 4096</t>
  </si>
  <si>
    <t>PIONEER MEADOWS VLG 9 PH 1</t>
  </si>
  <si>
    <t>225 W MOANA LN</t>
  </si>
  <si>
    <t>528-010-36</t>
  </si>
  <si>
    <t>DPAB</t>
  </si>
  <si>
    <t>4604 NEIL RD</t>
  </si>
  <si>
    <t>041-243-23</t>
  </si>
  <si>
    <t xml:space="preserve">HERNANDEZ, ADRIAN  </t>
  </si>
  <si>
    <t xml:space="preserve">6130 MIDDLE FORK DR </t>
  </si>
  <si>
    <t xml:space="preserve">RUIZ, ERIC </t>
  </si>
  <si>
    <t xml:space="preserve">CUA, ARNOLD C &amp; GRACE T </t>
  </si>
  <si>
    <t>PO BOX 23005</t>
  </si>
  <si>
    <t>WAN CHAI POST OFFICE</t>
  </si>
  <si>
    <t>WAN CHAI HONG KONG</t>
  </si>
  <si>
    <t>HONG KONG</t>
  </si>
  <si>
    <t xml:space="preserve">ROTH , CAROL M  </t>
  </si>
  <si>
    <t>6688 ASTON CIR</t>
  </si>
  <si>
    <t>SILVERADO RANCH UT 2 PH 1</t>
  </si>
  <si>
    <t>ROYAL HEIGHTS 4</t>
  </si>
  <si>
    <t>3123 SWEET CLOVER ST</t>
  </si>
  <si>
    <t>MAYBERRY MEADOWS UNIT TWO</t>
  </si>
  <si>
    <t>MAYBERRY MEADOWS 2 LT 133 BLK C</t>
  </si>
  <si>
    <t>LONG BEACH</t>
  </si>
  <si>
    <t>CRYSTAL BAY</t>
  </si>
  <si>
    <t>WINDING WOOD</t>
  </si>
  <si>
    <t>DUBLIN</t>
  </si>
  <si>
    <t>204-020-19</t>
  </si>
  <si>
    <t xml:space="preserve">TORVINEN-MCCURRY FAMILY TRUST  </t>
  </si>
  <si>
    <t xml:space="preserve">1155 JESSICA LN </t>
  </si>
  <si>
    <t xml:space="preserve">FERNLEY               </t>
  </si>
  <si>
    <t>SPANISH SPRINGS VLG 6</t>
  </si>
  <si>
    <t>089-151-47</t>
  </si>
  <si>
    <t>514-221-10</t>
  </si>
  <si>
    <t>VISTAS 1B UT 2</t>
  </si>
  <si>
    <t xml:space="preserve">BELLISSIMO, PEGGY </t>
  </si>
  <si>
    <t>12585 WATER LILY WAY</t>
  </si>
  <si>
    <t>DESERT SPRINGS 2</t>
  </si>
  <si>
    <t>HAAD</t>
  </si>
  <si>
    <t xml:space="preserve">BANKUNITED </t>
  </si>
  <si>
    <t>SPRING CREEK SUB UNIT 2G</t>
  </si>
  <si>
    <t>PYRAMID RANCH EST 3A</t>
  </si>
  <si>
    <t xml:space="preserve">PRINCIPAL BANK </t>
  </si>
  <si>
    <t>HABD</t>
  </si>
  <si>
    <t>SPARKS VILLAGE GREEN SUB</t>
  </si>
  <si>
    <t>AUTUMNWOOD</t>
  </si>
  <si>
    <t>030-021-07</t>
  </si>
  <si>
    <t>001-010-56</t>
  </si>
  <si>
    <t>SKY COUNTRY EST 3 LT 311 BLK B</t>
  </si>
  <si>
    <t>WASHINGTON HEIGHTS 1</t>
  </si>
  <si>
    <t>SILVER SHORES 9</t>
  </si>
  <si>
    <t>090-010-34</t>
  </si>
  <si>
    <t>7955 WHITE FALLS DR</t>
  </si>
  <si>
    <t>534-290-08</t>
  </si>
  <si>
    <t>SPRING RIDGE 1 PH 1 AMD</t>
  </si>
  <si>
    <t>TIERRA DEL SOL 1</t>
  </si>
  <si>
    <t>152-020-22</t>
  </si>
  <si>
    <t>1671 BOX CANYON DR</t>
  </si>
  <si>
    <t xml:space="preserve">WALNUT CREEK </t>
  </si>
  <si>
    <t xml:space="preserve">INCLINE CREEK LLC </t>
  </si>
  <si>
    <t>870 SOUTHWOOD BLVD</t>
  </si>
  <si>
    <t>SOUTHWOOD COURT</t>
  </si>
  <si>
    <t>RANCHO SAN RAFAEL TH 3</t>
  </si>
  <si>
    <t>003-020-75</t>
  </si>
  <si>
    <t>009-461-22</t>
  </si>
  <si>
    <t>ACMD</t>
  </si>
  <si>
    <t xml:space="preserve">222 INCLINE COURT LLC </t>
  </si>
  <si>
    <t>EDGE</t>
  </si>
  <si>
    <t>VILLAGES AT DAMONTE RANCH 13A</t>
  </si>
  <si>
    <t>140-020-31</t>
  </si>
  <si>
    <t>EDAC</t>
  </si>
  <si>
    <t>035-281-13</t>
  </si>
  <si>
    <t>DJAC</t>
  </si>
  <si>
    <t>MOGUL MEADOWS 1</t>
  </si>
  <si>
    <t>SHERWOOD HEIGHTS</t>
  </si>
  <si>
    <t>SUN ACRES TRACT 3</t>
  </si>
  <si>
    <t>VISTA HEIGHTS SOUTH 4</t>
  </si>
  <si>
    <t>514-010-18</t>
  </si>
  <si>
    <t>JIANG, WEISHE et al</t>
  </si>
  <si>
    <t>WINGFIELD SPRINGS 10B</t>
  </si>
  <si>
    <t>522-100-13</t>
  </si>
  <si>
    <t>514-010-75</t>
  </si>
  <si>
    <t>PLASTIC TILE</t>
  </si>
  <si>
    <t xml:space="preserve">RUIZ, CLAUDIA C </t>
  </si>
  <si>
    <t>VISTA DEL ORO 3</t>
  </si>
  <si>
    <t>LEWIS HOMES-SPARKS NO 12M</t>
  </si>
  <si>
    <t>PO BOX 872992</t>
  </si>
  <si>
    <t>WASILLA</t>
  </si>
  <si>
    <t>99687</t>
  </si>
  <si>
    <t>SILVER SHORES 11</t>
  </si>
  <si>
    <t>FALLON</t>
  </si>
  <si>
    <t>090-260-03</t>
  </si>
  <si>
    <t>SILVER SHORES 12</t>
  </si>
  <si>
    <t>SILVERADO RANCH EST 8</t>
  </si>
  <si>
    <t>084-270-43</t>
  </si>
  <si>
    <t>SILVERADO RANCH EST 11 PH1</t>
  </si>
  <si>
    <t>95630</t>
  </si>
  <si>
    <t>140-020-44</t>
  </si>
  <si>
    <t>SHERMAN OAKS</t>
  </si>
  <si>
    <t>AJAA</t>
  </si>
  <si>
    <t>082-402-17</t>
  </si>
  <si>
    <t>NORTHGATE 16A</t>
  </si>
  <si>
    <t>LEARENO ESTATES UNIT NO 5</t>
  </si>
  <si>
    <t>PO BOX 8070</t>
  </si>
  <si>
    <t>MONTREUX 7C LT 723</t>
  </si>
  <si>
    <t>121 JUANITA DR</t>
  </si>
  <si>
    <t>FOREST PINES CONDO 2</t>
  </si>
  <si>
    <t>FOREST PINES CONDO 2 LT 36</t>
  </si>
  <si>
    <t>RENO PARK MH EST 2B1</t>
  </si>
  <si>
    <t>2512 WABASH CIR</t>
  </si>
  <si>
    <t>WILLOW CREEK STATION 6 LT 22 BLK A</t>
  </si>
  <si>
    <t>1064 OXEN RD</t>
  </si>
  <si>
    <t>11805 TERRA LINDA WAY</t>
  </si>
  <si>
    <t>RUSTIC LOG</t>
  </si>
  <si>
    <t xml:space="preserve">BRIDGES CONSTRUCTION INC </t>
  </si>
  <si>
    <t>WASHINGTON</t>
  </si>
  <si>
    <t>PO BOX 7574</t>
  </si>
  <si>
    <t>NORTH LAS VEGAS</t>
  </si>
  <si>
    <t>2185 DRISCOLL DR</t>
  </si>
  <si>
    <t>11052 LAMOUR LN</t>
  </si>
  <si>
    <t xml:space="preserve">SPEVAK, MICHAEL J </t>
  </si>
  <si>
    <t>RS 5210 LT 122-B</t>
  </si>
  <si>
    <t>HATJOPOULOS, MARIA et al</t>
  </si>
  <si>
    <t>JCMF</t>
  </si>
  <si>
    <t xml:space="preserve">8094 ANSELMO CT                         </t>
  </si>
  <si>
    <t>534-290-10</t>
  </si>
  <si>
    <t xml:space="preserve">GARDNERVILLE </t>
  </si>
  <si>
    <t>SATELLITE HILLS 3A AMD</t>
  </si>
  <si>
    <t>1660 BELFORD RD</t>
  </si>
  <si>
    <t>Neig Shp Ctr</t>
  </si>
  <si>
    <t>MEADOWVALE 1</t>
  </si>
  <si>
    <t xml:space="preserve">LESCANO, EFREN K &amp; ELENITA G </t>
  </si>
  <si>
    <t>RIVERSIDE TERRACE AMD</t>
  </si>
  <si>
    <t>083-060-77</t>
  </si>
  <si>
    <t>93514</t>
  </si>
  <si>
    <t>1180 TURNBERRY DR</t>
  </si>
  <si>
    <t>PM 2178</t>
  </si>
  <si>
    <t>GDBF</t>
  </si>
  <si>
    <t>BRITTON 2</t>
  </si>
  <si>
    <t>GFEF</t>
  </si>
  <si>
    <t>RANCHO 1</t>
  </si>
  <si>
    <t>HV-3/HV-4</t>
  </si>
  <si>
    <t>NEW WASHOE CITY 5</t>
  </si>
  <si>
    <t>502-301-01</t>
  </si>
  <si>
    <t>R140</t>
  </si>
  <si>
    <t>WINGFIELD SPRINGS 26A UT 2</t>
  </si>
  <si>
    <t>520-322-07</t>
  </si>
  <si>
    <t>WINGFIELD SPRINGS 20 PH 2</t>
  </si>
  <si>
    <t>520-270-02</t>
  </si>
  <si>
    <t>KCAZ</t>
  </si>
  <si>
    <t>ARROWCREEK 1</t>
  </si>
  <si>
    <t>ROSEVIEW 2</t>
  </si>
  <si>
    <t>021-160-47</t>
  </si>
  <si>
    <t>SKYLINE CREST 1</t>
  </si>
  <si>
    <t>ACCD</t>
  </si>
  <si>
    <t>STUD-BRICK</t>
  </si>
  <si>
    <t>9601</t>
  </si>
  <si>
    <t>6879 VOYAGE DR</t>
  </si>
  <si>
    <t>FOOTHILLS AT WINGFIELD VLG 7C LT 7-124</t>
  </si>
  <si>
    <t>6893 VOYAGE DR</t>
  </si>
  <si>
    <t>FOOTHILLS AT WINGFIELD VLG 7C LT 7-123</t>
  </si>
  <si>
    <t xml:space="preserve">HAHN, JOHN A  </t>
  </si>
  <si>
    <t>SUN VALLEY 5</t>
  </si>
  <si>
    <t xml:space="preserve">SODHI, KASHMIR </t>
  </si>
  <si>
    <t>GREENBRAE TERRACE 14</t>
  </si>
  <si>
    <t>021-160-52</t>
  </si>
  <si>
    <t>SOUTHWEST TERRACE 2</t>
  </si>
  <si>
    <t xml:space="preserve">WINDY HILL HOMES LLC </t>
  </si>
  <si>
    <t xml:space="preserve">GRACE COMMUNITY CHURCH OF RENO </t>
  </si>
  <si>
    <t>COUNTRY CLUB OF INCLINE</t>
  </si>
  <si>
    <t>DAMONTE RANCH VILLAGE 11B</t>
  </si>
  <si>
    <t>VERY GOOD</t>
  </si>
  <si>
    <t xml:space="preserve">SPD </t>
  </si>
  <si>
    <t>GALENA FOREST EST 1</t>
  </si>
  <si>
    <t>SUNSET VIEW RANCHO EST 2</t>
  </si>
  <si>
    <t>DKHF</t>
  </si>
  <si>
    <t>2560 SOLARI DR</t>
  </si>
  <si>
    <t>SKYLINE HEIGHTS 2 LT 13</t>
  </si>
  <si>
    <t>FR SW4 NE4 SEC 26 TWP 19 RGE 19</t>
  </si>
  <si>
    <t>ROBERTS 4B</t>
  </si>
  <si>
    <t>1450 AZURE CIR</t>
  </si>
  <si>
    <t>ACADEMY MANOR 2</t>
  </si>
  <si>
    <t>MESA MEADOWS 6</t>
  </si>
  <si>
    <t>516-020-25</t>
  </si>
  <si>
    <t xml:space="preserve">13325 STONELAND DR </t>
  </si>
  <si>
    <t xml:space="preserve">TRUCKEE RIVER DEVELOPMENT LLC </t>
  </si>
  <si>
    <t>PO BOX 10677</t>
  </si>
  <si>
    <t xml:space="preserve">BEN LOMOND </t>
  </si>
  <si>
    <t xml:space="preserve">RENO               </t>
  </si>
  <si>
    <t>7415 DESERT PLAINS DR</t>
  </si>
  <si>
    <t>CIMARRON EAST 4 LT 439</t>
  </si>
  <si>
    <t>LAKERIDGE SPRINGS 6</t>
  </si>
  <si>
    <t>042-011-26</t>
  </si>
  <si>
    <t>LEGEND TRAIL 1B</t>
  </si>
  <si>
    <t>049-060-60</t>
  </si>
  <si>
    <t>EAGG</t>
  </si>
  <si>
    <t>NEW WASHOE CITY 4</t>
  </si>
  <si>
    <t>LEWIS HOMES SPARKS 12I</t>
  </si>
  <si>
    <t>080-790-06</t>
  </si>
  <si>
    <t>CREST AT STONEFIELD 1 UT 3</t>
  </si>
  <si>
    <t>080-800-06</t>
  </si>
  <si>
    <t>450 N ARLINGTON AVE</t>
  </si>
  <si>
    <t>BELVEDERE TOWERS 1</t>
  </si>
  <si>
    <t>CONC FORMED</t>
  </si>
  <si>
    <t>AOHA</t>
  </si>
  <si>
    <t>VALLEY VILLAGE 1 &amp; 2</t>
  </si>
  <si>
    <t>MEADOW CREEK EST 2B</t>
  </si>
  <si>
    <t xml:space="preserve">ROUND MOUNTAIN </t>
  </si>
  <si>
    <t>520-020-33</t>
  </si>
  <si>
    <t xml:space="preserve">KARADANIS, GEORGE M &amp; JEANNE </t>
  </si>
  <si>
    <t>LEWIS HOMES SPARKS 16C2</t>
  </si>
  <si>
    <t xml:space="preserve">155 GARDNER ST LLP </t>
  </si>
  <si>
    <t>089-151-17</t>
  </si>
  <si>
    <t xml:space="preserve">STATELINE </t>
  </si>
  <si>
    <t>EFMA</t>
  </si>
  <si>
    <t>7680 BLUESTONE DR</t>
  </si>
  <si>
    <t xml:space="preserve">CARSON CITY </t>
  </si>
  <si>
    <t>GEBC</t>
  </si>
  <si>
    <t>LEARENO EST 5</t>
  </si>
  <si>
    <t>COLD SPRINGS VALLEY HM 2</t>
  </si>
  <si>
    <t>DDHA</t>
  </si>
  <si>
    <t>DDEC</t>
  </si>
  <si>
    <t>GREENBRAE TERRACE WLY E</t>
  </si>
  <si>
    <t>DDKC</t>
  </si>
  <si>
    <t>GREENBRAE TERRACE WLY D</t>
  </si>
  <si>
    <t>LEARENO EST 2</t>
  </si>
  <si>
    <t>085-081-10</t>
  </si>
  <si>
    <t>KILEY RANCH WEST 3A UT 5 &amp; 7</t>
  </si>
  <si>
    <t xml:space="preserve">FLAGSTAR BANK FSB </t>
  </si>
  <si>
    <t>FR NE4 SE4</t>
  </si>
  <si>
    <t>321 SKI WAY</t>
  </si>
  <si>
    <t>HERSHBERGER, MAURICE L et al</t>
  </si>
  <si>
    <t>CAPITOL HEIGHTS 1</t>
  </si>
  <si>
    <t>YUMA</t>
  </si>
  <si>
    <t>85364</t>
  </si>
  <si>
    <t>BELLI RANCH EST</t>
  </si>
  <si>
    <t>3895 NATURE TR</t>
  </si>
  <si>
    <t>949 HAROLD DR</t>
  </si>
  <si>
    <t>MONTCLAIR VILLAS</t>
  </si>
  <si>
    <t>SILVER KNOLLS RANCH ESTS 5</t>
  </si>
  <si>
    <t>BURLINGAME</t>
  </si>
  <si>
    <t xml:space="preserve">CHRISTIAN, ANNIE T </t>
  </si>
  <si>
    <t>089-151-44</t>
  </si>
  <si>
    <t>COOL</t>
  </si>
  <si>
    <t>95614</t>
  </si>
  <si>
    <t>COLD SPRINGS RANCH 1</t>
  </si>
  <si>
    <t>RENO HIGHLANDS 3</t>
  </si>
  <si>
    <t>UNIVERSITY RIDGE 2</t>
  </si>
  <si>
    <t>ALBION SUB</t>
  </si>
  <si>
    <t>TERRACE TRACT</t>
  </si>
  <si>
    <t>MESA</t>
  </si>
  <si>
    <t>NBCQ</t>
  </si>
  <si>
    <t>MORTON 2</t>
  </si>
  <si>
    <t>945 BRENTWOOD DR</t>
  </si>
  <si>
    <t>KILEY RANCH 2 UT 1</t>
  </si>
  <si>
    <t>KILEY RANCH 2 UT 8</t>
  </si>
  <si>
    <t>STONE CREEK 6</t>
  </si>
  <si>
    <t>508-020-20</t>
  </si>
  <si>
    <t>PRESERVE 2</t>
  </si>
  <si>
    <t>510-085-10</t>
  </si>
  <si>
    <t>ROBISONS ADD</t>
  </si>
  <si>
    <t xml:space="preserve">R4  </t>
  </si>
  <si>
    <t>89521</t>
  </si>
  <si>
    <t>NADA</t>
  </si>
  <si>
    <t>GREENBRAE TERRACE ADD 17</t>
  </si>
  <si>
    <t>R1-6</t>
  </si>
  <si>
    <t>SPARKS</t>
  </si>
  <si>
    <t>89431</t>
  </si>
  <si>
    <t xml:space="preserve">GMAC MORTGAGE LLC </t>
  </si>
  <si>
    <t>IL</t>
  </si>
  <si>
    <t>BB HOT WATER</t>
  </si>
  <si>
    <t>INCLINE VILLAGE</t>
  </si>
  <si>
    <t>89451</t>
  </si>
  <si>
    <t xml:space="preserve">GREENWOOD PRAIRIE INVESTMENTS </t>
  </si>
  <si>
    <t xml:space="preserve">WELLS FARGO FINANCIAL NEVADA 2 </t>
  </si>
  <si>
    <t>DBPA</t>
  </si>
  <si>
    <t>FERRARIS ADD</t>
  </si>
  <si>
    <t>NORTHERN LIGHTS 4</t>
  </si>
  <si>
    <t xml:space="preserve">HOUSEHOLD FINANCE REALTY CORP  </t>
  </si>
  <si>
    <t>GOLDEN HILLS 2A LT 164</t>
  </si>
  <si>
    <t>GOLDEN HILLS 2A LT 140</t>
  </si>
  <si>
    <t xml:space="preserve">SHULTS, JEFF </t>
  </si>
  <si>
    <t>CITYSIDE @ SOMERSETT</t>
  </si>
  <si>
    <t>232-080-03</t>
  </si>
  <si>
    <t>SKYLINE HEIGHTS 1</t>
  </si>
  <si>
    <t>AVANSINO, STANLEY L et al</t>
  </si>
  <si>
    <t>CHEN, XIAOHAI et al</t>
  </si>
  <si>
    <t>ECID</t>
  </si>
  <si>
    <t xml:space="preserve">GRR </t>
  </si>
  <si>
    <t>MABJ</t>
  </si>
  <si>
    <t>RS 213391</t>
  </si>
  <si>
    <t xml:space="preserve">LDR </t>
  </si>
  <si>
    <t>COLD SPRINGS VLY HOMES #2</t>
  </si>
  <si>
    <t>GCFD</t>
  </si>
  <si>
    <t>531 SILVERTIP DR</t>
  </si>
  <si>
    <t>SIERRA VISTA VILLAS 2</t>
  </si>
  <si>
    <t>BABA</t>
  </si>
  <si>
    <t>BCAQ</t>
  </si>
  <si>
    <t>TUCSON</t>
  </si>
  <si>
    <t>916 HAROLD DR</t>
  </si>
  <si>
    <t>CEDARCREST</t>
  </si>
  <si>
    <t>2.5F</t>
  </si>
  <si>
    <t>CANYON HILLS 1A</t>
  </si>
  <si>
    <t>514-010-20</t>
  </si>
  <si>
    <t>SILVIO EST</t>
  </si>
  <si>
    <t xml:space="preserve">6910 POCO BUENO CIR </t>
  </si>
  <si>
    <t>518-130-25</t>
  </si>
  <si>
    <t xml:space="preserve">BAIK, IK H </t>
  </si>
  <si>
    <t>WINGFIELD SPRINGS 21B</t>
  </si>
  <si>
    <t>6415 MICMAC CT</t>
  </si>
  <si>
    <t>STONE CREEK 10 LT 470 BLK A</t>
  </si>
  <si>
    <t>PHAA</t>
  </si>
  <si>
    <t>AGWC</t>
  </si>
  <si>
    <t>AGJQ</t>
  </si>
  <si>
    <t>PARK TERRACE 1 AMD LT B3 BLK 3</t>
  </si>
  <si>
    <t>NORTHRIDGE HEIGHTS 7</t>
  </si>
  <si>
    <t>1790 LANDER ST</t>
  </si>
  <si>
    <t xml:space="preserve">RISSONE, MELINA </t>
  </si>
  <si>
    <t>4985 W 7TH ST</t>
  </si>
  <si>
    <t>BCAA</t>
  </si>
  <si>
    <t>528-020-07</t>
  </si>
  <si>
    <t>DNAC</t>
  </si>
  <si>
    <t>YERINGTON</t>
  </si>
  <si>
    <t>GENF</t>
  </si>
  <si>
    <t>SIERRA SAGE EST</t>
  </si>
  <si>
    <t>GEFC</t>
  </si>
  <si>
    <t>GRANITE HILLS 2</t>
  </si>
  <si>
    <t>GEGA</t>
  </si>
  <si>
    <t>GRANITE HILLS 1</t>
  </si>
  <si>
    <t>SANTA BARBARA</t>
  </si>
  <si>
    <t>SIERRA SAGE ESTATES II</t>
  </si>
  <si>
    <t xml:space="preserve">HAILE, CAVAN </t>
  </si>
  <si>
    <t>3327 VICENTE ST</t>
  </si>
  <si>
    <t>SIERRA SAGE EST 2</t>
  </si>
  <si>
    <t>13984 LEAR BLVD</t>
  </si>
  <si>
    <t>ELDORADO VILLAS</t>
  </si>
  <si>
    <t>ELDORADO VILLAS LT 69 BLK I</t>
  </si>
  <si>
    <t>GEHA</t>
  </si>
  <si>
    <t>SIERRA VIEW EST 1</t>
  </si>
  <si>
    <t>GEJA</t>
  </si>
  <si>
    <t>89450</t>
  </si>
  <si>
    <t>VISTA DEL ORO 1</t>
  </si>
  <si>
    <t>AZ</t>
  </si>
  <si>
    <t>ALFC</t>
  </si>
  <si>
    <t>FR NE4</t>
  </si>
  <si>
    <t>AVERAGE</t>
  </si>
  <si>
    <t>FA/AC</t>
  </si>
  <si>
    <t>SF15</t>
  </si>
  <si>
    <t>TRUCKEE RIVER HIGHLANDS</t>
  </si>
  <si>
    <t>JCBF</t>
  </si>
  <si>
    <t>10345 PROFESSIONAL CIR STE 100</t>
  </si>
  <si>
    <t>528-010-30</t>
  </si>
  <si>
    <t>HIDDEN VALLEY 1</t>
  </si>
  <si>
    <t>SUN DANCE RIDGE</t>
  </si>
  <si>
    <t xml:space="preserve">LBD PROPERTIES LLC </t>
  </si>
  <si>
    <t>MEEHAN, JOSPEH T  et al</t>
  </si>
  <si>
    <t xml:space="preserve">6497 PEPPERGRASS DR </t>
  </si>
  <si>
    <t xml:space="preserve">ROBERTS FAMILY TRUST  </t>
  </si>
  <si>
    <t>440 TINA CT</t>
  </si>
  <si>
    <t xml:space="preserve">ROBERTS, MORSE L JR </t>
  </si>
  <si>
    <t>16164 BACHMAN AVE</t>
  </si>
  <si>
    <t>MONTE SERENO</t>
  </si>
  <si>
    <t>COIT HEIGHTS 3</t>
  </si>
  <si>
    <t xml:space="preserve">CARTUS FINANCIAL CORPORATION </t>
  </si>
  <si>
    <t>DAKOTA RIDGE @ SOMERSETT</t>
  </si>
  <si>
    <t xml:space="preserve">BISHOP </t>
  </si>
  <si>
    <t>TYLER WAY TH AMD</t>
  </si>
  <si>
    <t>PO BOX 7752</t>
  </si>
  <si>
    <t>94947</t>
  </si>
  <si>
    <t xml:space="preserve">JOHNSON LIVING TRUST  </t>
  </si>
  <si>
    <t>NORTHGATE 8A</t>
  </si>
  <si>
    <t>95831</t>
  </si>
  <si>
    <t>ARROWCREEK 23</t>
  </si>
  <si>
    <t>152-430-06</t>
  </si>
  <si>
    <t xml:space="preserve">CABANERO, BERNADETTE D &amp; ROGELIO M </t>
  </si>
  <si>
    <t>ANTIOCH</t>
  </si>
  <si>
    <t>GRAND VIEW</t>
  </si>
  <si>
    <t>039-780-05</t>
  </si>
  <si>
    <t>SEDONA VILLAGE 1</t>
  </si>
  <si>
    <t>204-020-27</t>
  </si>
  <si>
    <t>BAEB</t>
  </si>
  <si>
    <t>OVERLOOK 1</t>
  </si>
  <si>
    <t>SILVERADO RNCH EST 6 &amp; 7</t>
  </si>
  <si>
    <t>KILEY RANCH WEST 3A UT 3</t>
  </si>
  <si>
    <t xml:space="preserve">MILLER, WILLIAM S </t>
  </si>
  <si>
    <t>152-471-07</t>
  </si>
  <si>
    <t>DOUBLE DIAMOND RANCH 19B</t>
  </si>
  <si>
    <t>160-390-31</t>
  </si>
  <si>
    <t>DOUBLE DIAMOND RANCH 6A</t>
  </si>
  <si>
    <t>160-020-09</t>
  </si>
  <si>
    <t>204-433-03</t>
  </si>
  <si>
    <t>OVERLOOK 1B LT 131</t>
  </si>
  <si>
    <t>234-161-15</t>
  </si>
  <si>
    <t xml:space="preserve">7815 CASAREY CT                         </t>
  </si>
  <si>
    <t>MADERA</t>
  </si>
  <si>
    <t>93637</t>
  </si>
  <si>
    <t>5480 TRAPPER CT</t>
  </si>
  <si>
    <t>STONE CANYON 2 LT 31</t>
  </si>
  <si>
    <t>816 TRADEWINDS CT</t>
  </si>
  <si>
    <t>STONE CANYON 9 LT 481 BLK A</t>
  </si>
  <si>
    <t>OMAHA</t>
  </si>
  <si>
    <t>NE</t>
  </si>
  <si>
    <t>PM 3486</t>
  </si>
  <si>
    <t>216-040-07</t>
  </si>
  <si>
    <t>CASTLE RIDGE 7</t>
  </si>
  <si>
    <t>CASITAS DE LA SIERRA</t>
  </si>
  <si>
    <t>043-020-34</t>
  </si>
  <si>
    <t>OCBB</t>
  </si>
  <si>
    <t>STOVE</t>
  </si>
  <si>
    <t>EAGLE CANYON 2 UT 4</t>
  </si>
  <si>
    <t>530-280-29</t>
  </si>
  <si>
    <t>RS 5194</t>
  </si>
  <si>
    <t>ANHE</t>
  </si>
  <si>
    <t>2000 SILVERADA BLVD</t>
  </si>
  <si>
    <t>MOSAIC CONDO</t>
  </si>
  <si>
    <t>026-284-35</t>
  </si>
  <si>
    <t>DBJA</t>
  </si>
  <si>
    <t>BHAB</t>
  </si>
  <si>
    <t>RANCHO SAN RAFAEL TH</t>
  </si>
  <si>
    <t xml:space="preserve">SULLIVAN, LELAND </t>
  </si>
  <si>
    <t>SIERRA HEIGHTS RENO 1B</t>
  </si>
  <si>
    <t>NANCY HEIGHTS 2</t>
  </si>
  <si>
    <t>JUNIPER HILLS</t>
  </si>
  <si>
    <t>PM 4343</t>
  </si>
  <si>
    <t xml:space="preserve">WOOD IS GOOD LLC </t>
  </si>
  <si>
    <t>BEDA</t>
  </si>
  <si>
    <t>516-020-34</t>
  </si>
  <si>
    <t>OXNARD</t>
  </si>
  <si>
    <t xml:space="preserve">MCBEAN, ROBERT A &amp; DORIAN F </t>
  </si>
  <si>
    <t>1784 FAIRWAY HILLS TRL</t>
  </si>
  <si>
    <t xml:space="preserve">YAM FAMILY TRUST  </t>
  </si>
  <si>
    <t>17490 DESERT LAKE DR</t>
  </si>
  <si>
    <t>WOODLAND VILLAGE 11 LT 928</t>
  </si>
  <si>
    <t>THIRD CREEK CONDO LT 104 BLK 28</t>
  </si>
  <si>
    <t>SOUTHWEST VISTAS 4A</t>
  </si>
  <si>
    <t>152-030-05</t>
  </si>
  <si>
    <t xml:space="preserve">CANINO, MICHAEL A &amp; KATHRYN J </t>
  </si>
  <si>
    <t>RYDER NV MANAGEMENT LLC LLC</t>
  </si>
  <si>
    <t xml:space="preserve">BERNABE, FREDERICO &amp; MARIA L  </t>
  </si>
  <si>
    <t xml:space="preserve">3365 GRANADA AVE </t>
  </si>
  <si>
    <t>DESERT HIGHLANDS 4D</t>
  </si>
  <si>
    <t>514-010-64</t>
  </si>
  <si>
    <t>OLD WASHOE EST</t>
  </si>
  <si>
    <t>IAEE</t>
  </si>
  <si>
    <t>SILVERADO RANCH EST 5 PH2</t>
  </si>
  <si>
    <t>LEWIS HOMES SPARKS 4</t>
  </si>
  <si>
    <t xml:space="preserve">CHEN, PING </t>
  </si>
  <si>
    <t xml:space="preserve">ROBINSON EQUITIES LLC </t>
  </si>
  <si>
    <t>RANCHO SAN RAFAEL TOWNHOMES</t>
  </si>
  <si>
    <t>003-020-59</t>
  </si>
  <si>
    <t>PEAVINE VIEW EST 9</t>
  </si>
  <si>
    <t>556-020-11</t>
  </si>
  <si>
    <t>003-670-03</t>
  </si>
  <si>
    <t>BHBC</t>
  </si>
  <si>
    <t>MOUNTAIN VIEW EST 1A</t>
  </si>
  <si>
    <t xml:space="preserve">SAMUELS FAMILY 1999 TRUST  </t>
  </si>
  <si>
    <t>003-122-14</t>
  </si>
  <si>
    <t>BGDC</t>
  </si>
  <si>
    <t>MCCARRAN KNOLLS CONDO</t>
  </si>
  <si>
    <t>JI, HONGLI et al</t>
  </si>
  <si>
    <t>355 S WELLS AVE</t>
  </si>
  <si>
    <t>FORGETTE, JASON T et al</t>
  </si>
  <si>
    <t>PO BOX 02</t>
  </si>
  <si>
    <t>129-650-26</t>
  </si>
  <si>
    <t>FR</t>
  </si>
  <si>
    <t>INCLINE VILLAGE 2</t>
  </si>
  <si>
    <t>JUNIPER TERRACE MH EST 6B</t>
  </si>
  <si>
    <t xml:space="preserve">FELTER, RANDALL F &amp; JENNIFER L </t>
  </si>
  <si>
    <t>SEVEN FEATHERS LLC LLC</t>
  </si>
  <si>
    <t>618 SMITHRIDGE PARK</t>
  </si>
  <si>
    <t xml:space="preserve">PACIFICA L SEVENTEEN LLC </t>
  </si>
  <si>
    <t>SMITHRIDGE PARK TH 4 UT 2 LT 618</t>
  </si>
  <si>
    <t>1535 DELUCCHI LN</t>
  </si>
  <si>
    <t>SMITHRIDGE PK TOWNHOUSE 1</t>
  </si>
  <si>
    <t>NORTHGATE 7C</t>
  </si>
  <si>
    <t>NORTHGATE 3M</t>
  </si>
  <si>
    <t>200-020-10</t>
  </si>
  <si>
    <t>Mini-Lube Gr</t>
  </si>
  <si>
    <t xml:space="preserve">RKL INVESTMENT CO LLC </t>
  </si>
  <si>
    <t xml:space="preserve">KURTZ TRUST, CHRIS &amp; FREDA  </t>
  </si>
  <si>
    <t>DOUBLE DIAMOND RANCH 6D</t>
  </si>
  <si>
    <t>160-540-08</t>
  </si>
  <si>
    <t>510-023-14</t>
  </si>
  <si>
    <t>HERONS LANDING 2</t>
  </si>
  <si>
    <t>WILLIAMSBURG TH LT 6 BLK 5</t>
  </si>
  <si>
    <t>1810 PRIOR RD</t>
  </si>
  <si>
    <t>ROYAL HEIGHTS 5 LT 146</t>
  </si>
  <si>
    <t>SUN VALLEY 6</t>
  </si>
  <si>
    <t>030-022-11</t>
  </si>
  <si>
    <t>DKGC</t>
  </si>
  <si>
    <t>SHADOW LANE</t>
  </si>
  <si>
    <t>030-010-11</t>
  </si>
  <si>
    <t>SILVER STATE</t>
  </si>
  <si>
    <t>HIGH COUNTRY SUB</t>
  </si>
  <si>
    <t>WOODSIDE 1</t>
  </si>
  <si>
    <t xml:space="preserve">BUNT, ROY </t>
  </si>
  <si>
    <t>DHAA</t>
  </si>
  <si>
    <t>FR SW4 SE4 SEC 15 TWP 19 RGE 19</t>
  </si>
  <si>
    <t>AFPC</t>
  </si>
  <si>
    <t>POWNINGS ADD</t>
  </si>
  <si>
    <t>PM 4308</t>
  </si>
  <si>
    <t>013-172-08</t>
  </si>
  <si>
    <t>MEYER MEADOWS</t>
  </si>
  <si>
    <t>DAVENPORT</t>
  </si>
  <si>
    <t>IA</t>
  </si>
  <si>
    <t>PO BOX 17923</t>
  </si>
  <si>
    <t>LOVELOCK</t>
  </si>
  <si>
    <t>6828 DE LONGPRE AVE</t>
  </si>
  <si>
    <t xml:space="preserve">RELOCATION ADVANTAGE LLC  </t>
  </si>
  <si>
    <t>DAMONTE RANCH VILLAGE 14B</t>
  </si>
  <si>
    <t xml:space="preserve">ROYCE, SABRINA </t>
  </si>
  <si>
    <t xml:space="preserve">SALERNO, JON M &amp; SANDRA S </t>
  </si>
  <si>
    <t>GOLD RIVER</t>
  </si>
  <si>
    <t>95670</t>
  </si>
  <si>
    <t xml:space="preserve">HERBERT TRUST, CHRISTINA M  </t>
  </si>
  <si>
    <t>3744 VANCOUVER DR</t>
  </si>
  <si>
    <t>SPRINGWOOD SUB UNIT 1</t>
  </si>
  <si>
    <t>SKYLINE HEIGHTS 5</t>
  </si>
  <si>
    <t>ROSEPARK 1</t>
  </si>
  <si>
    <t xml:space="preserve">STERLING SAVINGS BANK </t>
  </si>
  <si>
    <t>HEITZMAN, GEORGE D L III et al</t>
  </si>
  <si>
    <t>BRUCE 2</t>
  </si>
  <si>
    <t>085-702-15</t>
  </si>
  <si>
    <t>CIMARRON EAST 4</t>
  </si>
  <si>
    <t>084-270-48</t>
  </si>
  <si>
    <t>PM 2871</t>
  </si>
  <si>
    <t xml:space="preserve">GROSULAK, DALE </t>
  </si>
  <si>
    <t xml:space="preserve">KLEIN, KEITH  </t>
  </si>
  <si>
    <t>SKY RANCH 1A</t>
  </si>
  <si>
    <t>12190 ANDES ST</t>
  </si>
  <si>
    <t xml:space="preserve">NICKLES, CHARLES A </t>
  </si>
  <si>
    <t>HAZELCREST # 4 LT 46-B</t>
  </si>
  <si>
    <t>PYRAMID RANCH EST 5A</t>
  </si>
  <si>
    <t>089-160-22</t>
  </si>
  <si>
    <t>R/S 213391</t>
  </si>
  <si>
    <t>WESTPOINT 1</t>
  </si>
  <si>
    <t>041-240-41</t>
  </si>
  <si>
    <t>IGCG</t>
  </si>
  <si>
    <t xml:space="preserve">RENO     </t>
  </si>
  <si>
    <t>TOWN OF SPARKS</t>
  </si>
  <si>
    <t>92630</t>
  </si>
  <si>
    <t xml:space="preserve">FUCHS INVESTMENT LLC </t>
  </si>
  <si>
    <t>VINTAGE HILLS 1</t>
  </si>
  <si>
    <t>2502 86TH AVE NE</t>
  </si>
  <si>
    <t>CLYDE HILL</t>
  </si>
  <si>
    <t xml:space="preserve">MITCHELL, ROBERT G SR &amp; DORIS K </t>
  </si>
  <si>
    <t>PO BOX 6660</t>
  </si>
  <si>
    <t>VISTA HEIGHTS SOUTH 6</t>
  </si>
  <si>
    <t>514-010-36</t>
  </si>
  <si>
    <t>SCHWARTZ, JOHN R  et al</t>
  </si>
  <si>
    <t>12390 ROCKY MOUNTAIN ST</t>
  </si>
  <si>
    <t>HAZELCREST NO 4 LT 2B</t>
  </si>
  <si>
    <t xml:space="preserve">SMILEY, STEPHEN E &amp; PAMELA L </t>
  </si>
  <si>
    <t>6265 EVEREST CT</t>
  </si>
  <si>
    <t xml:space="preserve">GROSULAK, DALE M &amp; KATHERYN J </t>
  </si>
  <si>
    <t xml:space="preserve">CITIMORTGAGE, INC </t>
  </si>
  <si>
    <t>LIU, YANMING et al</t>
  </si>
  <si>
    <t>MEARES, DAVID et al</t>
  </si>
  <si>
    <t>038-530-40</t>
  </si>
  <si>
    <t xml:space="preserve">TIETJEN, MICHAEL T &amp; JILL D </t>
  </si>
  <si>
    <t>1770 CAVERN DR</t>
  </si>
  <si>
    <t>PLACERVILLE</t>
  </si>
  <si>
    <t>95667</t>
  </si>
  <si>
    <t>333 SKI WAY</t>
  </si>
  <si>
    <t xml:space="preserve">SPARKS                   </t>
  </si>
  <si>
    <t>GOLDEN HIGHLANDS 4</t>
  </si>
  <si>
    <t>DEDK</t>
  </si>
  <si>
    <t>Y</t>
  </si>
  <si>
    <t>SIERRA VISTA 2</t>
  </si>
  <si>
    <t>083-060-96</t>
  </si>
  <si>
    <t>SOUTHVIEW 2</t>
  </si>
  <si>
    <t>OCNA</t>
  </si>
  <si>
    <t>SOUTH HILLS EST 1</t>
  </si>
  <si>
    <t xml:space="preserve">MDS </t>
  </si>
  <si>
    <t>93555</t>
  </si>
  <si>
    <t>96822</t>
  </si>
  <si>
    <t>95482</t>
  </si>
  <si>
    <t>94598</t>
  </si>
  <si>
    <t>3948 CLEAR ACRE LN</t>
  </si>
  <si>
    <t xml:space="preserve">JUNG, BRANDEN </t>
  </si>
  <si>
    <t>WILDCREEK GARDEN CONDOS UT 261 BLK C</t>
  </si>
  <si>
    <t>ANAE</t>
  </si>
  <si>
    <t xml:space="preserve">TAYLOR, MARIA D </t>
  </si>
  <si>
    <t>530 E PATRIOT BLVD # F-165</t>
  </si>
  <si>
    <t xml:space="preserve">CROMIE FAMILY TRUST  </t>
  </si>
  <si>
    <t xml:space="preserve">SAS-3 LLC </t>
  </si>
  <si>
    <t xml:space="preserve">GREENWOOD , ROBERT </t>
  </si>
  <si>
    <t>IWASAKA, JAMES T et al</t>
  </si>
  <si>
    <t>10295 CAVALRY CIR</t>
  </si>
  <si>
    <t>SUN GARDENS CONDO LT 32</t>
  </si>
  <si>
    <t>MORTON SUB NO 2</t>
  </si>
  <si>
    <t xml:space="preserve">CONLEY FAMILY TRUST, SHANNON  </t>
  </si>
  <si>
    <t>AGAC</t>
  </si>
  <si>
    <t>FERRARA @ D`ANDREA</t>
  </si>
  <si>
    <t xml:space="preserve">NV </t>
  </si>
  <si>
    <t>SIERRA HEIGHTS RENO 1A</t>
  </si>
  <si>
    <t>DJBC</t>
  </si>
  <si>
    <t>EASTLAND HILLS 1A</t>
  </si>
  <si>
    <t>5 LIBRE CIR</t>
  </si>
  <si>
    <t>HOT SPRINGS VILLAGE</t>
  </si>
  <si>
    <t>AR</t>
  </si>
  <si>
    <t>EASTLAND HILLS 2</t>
  </si>
  <si>
    <t xml:space="preserve">CROMIE, RICHARD J &amp; MARCIA K </t>
  </si>
  <si>
    <t xml:space="preserve">FORNEY , KEVIN </t>
  </si>
  <si>
    <t xml:space="preserve">1032 CROWN VIEW DR </t>
  </si>
  <si>
    <t>LANCER EST 2</t>
  </si>
  <si>
    <t>MEADOWVALE 6</t>
  </si>
  <si>
    <t>HAZELCREST 4</t>
  </si>
  <si>
    <t>6648 COPPER ANN DR</t>
  </si>
  <si>
    <t>ACNE</t>
  </si>
  <si>
    <t>WINGFIELD SPRINGS 19A PH 1</t>
  </si>
  <si>
    <t>AUBURN</t>
  </si>
  <si>
    <t>TYLER WAY TH</t>
  </si>
  <si>
    <t>DDJA</t>
  </si>
  <si>
    <t>LEWIS HOMES-SPARKS UNIT 9</t>
  </si>
  <si>
    <t>NORDHOFF, DONALD W et al</t>
  </si>
  <si>
    <t>1119 PROSPECT AVE</t>
  </si>
  <si>
    <t xml:space="preserve">LEWIS, PHILLIP N  </t>
  </si>
  <si>
    <t>GREENBRAE TERRACE WLY B LT 15 BLK G</t>
  </si>
  <si>
    <t xml:space="preserve">CATALANO, DAVID P SR &amp; ANDREA L </t>
  </si>
  <si>
    <t>WOODSIDE 2A</t>
  </si>
  <si>
    <t>SHADOW GLEN EST 1</t>
  </si>
  <si>
    <t>WARREN EST 1</t>
  </si>
  <si>
    <t>SURPRISE VALLEY RANCHOS 3A</t>
  </si>
  <si>
    <t>SAGE POINT 1</t>
  </si>
  <si>
    <t>SILVER SHORES 26</t>
  </si>
  <si>
    <t>090-021-04</t>
  </si>
  <si>
    <t>402-292-21</t>
  </si>
  <si>
    <t>DKKC</t>
  </si>
  <si>
    <t>FIRENZE @ D`ANDREA 2</t>
  </si>
  <si>
    <t>402-100-26</t>
  </si>
  <si>
    <t>LEWIS HOMES SPARKS 15A</t>
  </si>
  <si>
    <t>PAGNI RANCH 5</t>
  </si>
  <si>
    <t>PO BOX 3341</t>
  </si>
  <si>
    <t>GREENBRAE TERRACE ADD 7</t>
  </si>
  <si>
    <t>1120 BROOKTREE DR</t>
  </si>
  <si>
    <t>DIAZ, ABDON R et al</t>
  </si>
  <si>
    <t>PO BOX 26903</t>
  </si>
  <si>
    <t xml:space="preserve">HICKS FAMILY TRUST  </t>
  </si>
  <si>
    <t>1411 WESLEY DR</t>
  </si>
  <si>
    <t xml:space="preserve">ROVERI INVESTMENTS LTD </t>
  </si>
  <si>
    <t>LAKE PARK HEIGHTS AMD LT 8 BLK E</t>
  </si>
  <si>
    <t>LM #228</t>
  </si>
  <si>
    <t>93546</t>
  </si>
  <si>
    <t xml:space="preserve">MPG LAND HOLDINGS </t>
  </si>
  <si>
    <t>076-080-15</t>
  </si>
  <si>
    <t>MILL VALLEY</t>
  </si>
  <si>
    <t>G CURTI RANCH UT 4</t>
  </si>
  <si>
    <t>143-040-17</t>
  </si>
  <si>
    <t>GALENA TERRACE 10</t>
  </si>
  <si>
    <t xml:space="preserve">DOWD FAMILY TRUST  </t>
  </si>
  <si>
    <t xml:space="preserve">547 KNOTTY PINE DR </t>
  </si>
  <si>
    <t xml:space="preserve">LIFE CHURCH </t>
  </si>
  <si>
    <t>PO BOX 18711</t>
  </si>
  <si>
    <t>FR SW4 NW4 SEC 14 TWP 18 RGE 20</t>
  </si>
  <si>
    <t>EDKF</t>
  </si>
  <si>
    <t xml:space="preserve">FERGUSON, WILLIAM &amp; VICKI </t>
  </si>
  <si>
    <t xml:space="preserve">149 FLORENCE DR </t>
  </si>
  <si>
    <t>DESERT HIGHLANDS 1 PH 2</t>
  </si>
  <si>
    <t>WINGFIELD SPRINGS 16</t>
  </si>
  <si>
    <t>522-010-46</t>
  </si>
  <si>
    <t>FR SE4 NW4 SEC 15 TWP 19 RGE 19</t>
  </si>
  <si>
    <t>WEST RENO HEIGHTS</t>
  </si>
  <si>
    <t>610 M ST</t>
  </si>
  <si>
    <t>GREENBRAE TERRACE ADD #5</t>
  </si>
  <si>
    <t>GREENBRAE TERRACE 5 LT 4 BLK 24</t>
  </si>
  <si>
    <t>UKIAH</t>
  </si>
  <si>
    <t>435 PINE MEADOWS DR</t>
  </si>
  <si>
    <t>WILLIAMSBURG TH</t>
  </si>
  <si>
    <t>10255 CAVALRY CIR</t>
  </si>
  <si>
    <t>10265 CAVALRY CIR</t>
  </si>
  <si>
    <t>10315 CAVALRY CIR</t>
  </si>
  <si>
    <t>10220 CAVALRY CIR</t>
  </si>
  <si>
    <t>10210 CAVALRY CIR</t>
  </si>
  <si>
    <t>DYER</t>
  </si>
  <si>
    <t>8605 18TH HOLE TRL</t>
  </si>
  <si>
    <t>WINGFIELD SPRINGS 21A PH 1</t>
  </si>
  <si>
    <t>LAKESIDE PLAZA 1 LT 276B BLK X</t>
  </si>
  <si>
    <t xml:space="preserve">LAMONTE FAMILY TRUST  </t>
  </si>
  <si>
    <t>GRAND SIERRA RESORT PH 4</t>
  </si>
  <si>
    <t>012-211-32</t>
  </si>
  <si>
    <t>3685 BUTCH CASSIDY DR</t>
  </si>
  <si>
    <t>PM 3692</t>
  </si>
  <si>
    <t>049-440-28</t>
  </si>
  <si>
    <t>PM 3692 LT 1</t>
  </si>
  <si>
    <t>ALAMO</t>
  </si>
  <si>
    <t xml:space="preserve">HIGLEY, STEPHEN C &amp; LOUISA W </t>
  </si>
  <si>
    <t>SIERRA CANYON @ SOMERSETT VG 1</t>
  </si>
  <si>
    <t>3840 SLEEPY HOLLOW DR</t>
  </si>
  <si>
    <t>SIERRA HEIGHTS 1</t>
  </si>
  <si>
    <t>3895 E LEONESIO DR</t>
  </si>
  <si>
    <t xml:space="preserve">TURCAN , CRISTINA  </t>
  </si>
  <si>
    <t>3895 E LEONESIO DR #D2</t>
  </si>
  <si>
    <t>PONDEROSA 2</t>
  </si>
  <si>
    <t>HV-3</t>
  </si>
  <si>
    <t>HV HEAT ONLY</t>
  </si>
  <si>
    <t>GARB</t>
  </si>
  <si>
    <t>FR SW4 OF NW4 SEC 19 TWP 20 RGE 20</t>
  </si>
  <si>
    <t xml:space="preserve">LOS ALTOS </t>
  </si>
  <si>
    <t>MEADOWVIEW PH 2</t>
  </si>
  <si>
    <t>MORRILL ADD</t>
  </si>
  <si>
    <t>STATELINE</t>
  </si>
  <si>
    <t>ALUM CREEK PATIO HMS UT 3</t>
  </si>
  <si>
    <t>FRAC NW4</t>
  </si>
  <si>
    <t>UNIVERSITY PARK</t>
  </si>
  <si>
    <t>AMPHITHEATER 2</t>
  </si>
  <si>
    <t>RIVER PARK 4</t>
  </si>
  <si>
    <t>PBEA</t>
  </si>
  <si>
    <t>FAIRFIELD</t>
  </si>
  <si>
    <t>SPANISH SPRINGS VILLAGE 6</t>
  </si>
  <si>
    <t xml:space="preserve">LOVE, JACK H &amp; SHARON M </t>
  </si>
  <si>
    <t>3701 MONTEVERDE DR</t>
  </si>
  <si>
    <t xml:space="preserve">MOFFITT, KIMBLE &amp; BETTY </t>
  </si>
  <si>
    <t xml:space="preserve">1120 SNOWFLOWER WAY                 </t>
  </si>
  <si>
    <t xml:space="preserve">TRAN, THUY </t>
  </si>
  <si>
    <t xml:space="preserve">CORKILL REVOCABLE LIV TRUST  </t>
  </si>
  <si>
    <t>993 DESERT DR</t>
  </si>
  <si>
    <t xml:space="preserve">MELARA PORTILLO, MARIA A </t>
  </si>
  <si>
    <t xml:space="preserve">HOOD, JAMES F &amp; MELISSA JANE </t>
  </si>
  <si>
    <t>676 CAROL LN</t>
  </si>
  <si>
    <t>QUINCY</t>
  </si>
  <si>
    <t>95971</t>
  </si>
  <si>
    <t xml:space="preserve">HUFF, DEAN &amp; KAERLIG </t>
  </si>
  <si>
    <t xml:space="preserve">BIERLEIN, ANDREW </t>
  </si>
  <si>
    <t xml:space="preserve">YOUMANS, SCOTT </t>
  </si>
  <si>
    <t>8775 FOLSOM BLVD STE 200</t>
  </si>
  <si>
    <t>FDCJ</t>
  </si>
  <si>
    <t>WINGFIELD SPRINGS 24C PH 2 LT 1221</t>
  </si>
  <si>
    <t>TRIPLE CROWN 1</t>
  </si>
  <si>
    <t xml:space="preserve">YOON FAMILY TRUST, HEE J &amp; HANNA H  </t>
  </si>
  <si>
    <t xml:space="preserve">RYCKEBOSCH, STEVEN V &amp; LYNN A </t>
  </si>
  <si>
    <t>14959 LAKEWOOD LN</t>
  </si>
  <si>
    <t>BR CATRON LLC LLC</t>
  </si>
  <si>
    <t xml:space="preserve">SALA, FRED </t>
  </si>
  <si>
    <t>PO BOX 5333</t>
  </si>
  <si>
    <t>255 N SIERRA ST UNIT 2104</t>
  </si>
  <si>
    <t xml:space="preserve">LEAR, GREGORY T &amp; STEPHANY A </t>
  </si>
  <si>
    <t>MARQUEZ, ELMER et al</t>
  </si>
  <si>
    <t xml:space="preserve">J M P RRESIDENTIAL PROPERTIES </t>
  </si>
  <si>
    <t>PO BOX 33878</t>
  </si>
  <si>
    <t xml:space="preserve">HOLDRIDGE, SHANNON </t>
  </si>
  <si>
    <t xml:space="preserve">ABRAHAM, DARRYL </t>
  </si>
  <si>
    <t xml:space="preserve">WHEELER, THOMAS E &amp; SUZANNE L  </t>
  </si>
  <si>
    <t>PO BOX 3417</t>
  </si>
  <si>
    <t>HV-5</t>
  </si>
  <si>
    <t xml:space="preserve">CAIN FAMILY TRUST  </t>
  </si>
  <si>
    <t>316 CALIFORNIA AVE 17</t>
  </si>
  <si>
    <t xml:space="preserve">PARKER, IVA J  </t>
  </si>
  <si>
    <t xml:space="preserve">4820 WEDEKIND RD </t>
  </si>
  <si>
    <t>DIPIETRO, JOHN F et al</t>
  </si>
  <si>
    <t xml:space="preserve">JBR 1 LLC </t>
  </si>
  <si>
    <t>440 D ST</t>
  </si>
  <si>
    <t xml:space="preserve">PAYTON, NORBERT </t>
  </si>
  <si>
    <t xml:space="preserve">DENSLOWE 360 LLC </t>
  </si>
  <si>
    <t>937 TAHOE BLVD 200</t>
  </si>
  <si>
    <t xml:space="preserve">BENTLEY, DALE C &amp; PAMELA M  </t>
  </si>
  <si>
    <t xml:space="preserve">1870 MCCLOUD AVE </t>
  </si>
  <si>
    <t xml:space="preserve">SIERRA NEVADA PROP HOLDING LLC </t>
  </si>
  <si>
    <t>C/O TERI MARTINETTI</t>
  </si>
  <si>
    <t>9449 LONG RIVER DR</t>
  </si>
  <si>
    <t xml:space="preserve">SUM RANCH LLC  </t>
  </si>
  <si>
    <t xml:space="preserve">8290 MESA PARK RD </t>
  </si>
  <si>
    <t>NAGM</t>
  </si>
  <si>
    <t xml:space="preserve">1401 ROBERTS ST </t>
  </si>
  <si>
    <t xml:space="preserve">HSIAO, ALICE </t>
  </si>
  <si>
    <t xml:space="preserve">6337 PEPPERGRASS DR </t>
  </si>
  <si>
    <t xml:space="preserve">HAAS, PENNY L </t>
  </si>
  <si>
    <t xml:space="preserve">FINI , CHARLOTTE R  </t>
  </si>
  <si>
    <t xml:space="preserve">121 FOOTE AVE </t>
  </si>
  <si>
    <t xml:space="preserve">EBERHARD REVOCABLE TRUST, STEPHEN P &amp; MARY A  </t>
  </si>
  <si>
    <t xml:space="preserve">SULLIVAN REVOCABLE TRUST, LYNN F  </t>
  </si>
  <si>
    <t>1601 RHODODENDRON DR 565</t>
  </si>
  <si>
    <t>FLORENCE</t>
  </si>
  <si>
    <t xml:space="preserve">SHAFFER LIVING TRUST, JAMES L &amp; CHERYL C  </t>
  </si>
  <si>
    <t>PO BOX 33062</t>
  </si>
  <si>
    <t xml:space="preserve">SCHIEBERT, DANIEL &amp; VIRGINIA </t>
  </si>
  <si>
    <t xml:space="preserve">REDERFORD, DANIELLE </t>
  </si>
  <si>
    <t xml:space="preserve">LATIMER INVESTMENTS LLC </t>
  </si>
  <si>
    <t>10067 E DESERT CANYON DR</t>
  </si>
  <si>
    <t xml:space="preserve">O`HALLORAN - LONG LIVING TRUST  </t>
  </si>
  <si>
    <t>6850 SHARLANDS AVE #J-1052</t>
  </si>
  <si>
    <t xml:space="preserve">KAPPERMAN FAMILY TRUST  </t>
  </si>
  <si>
    <t>130 SUGARHILL DR</t>
  </si>
  <si>
    <t xml:space="preserve">BURNS, GREG </t>
  </si>
  <si>
    <t>16765 MT ROSE HWY</t>
  </si>
  <si>
    <t>5255 LONGLEY LN</t>
  </si>
  <si>
    <t xml:space="preserve">INFINITY INVESTMENTS LLC </t>
  </si>
  <si>
    <t xml:space="preserve">RAUCHLE PROPERTIES LLC </t>
  </si>
  <si>
    <t xml:space="preserve">UTT, TIMOTHY J &amp; ANNA M  </t>
  </si>
  <si>
    <t xml:space="preserve">1418 TALON DR </t>
  </si>
  <si>
    <t xml:space="preserve">LAMAESTRA, MARCO &amp; KATELYND </t>
  </si>
  <si>
    <t xml:space="preserve">FINN FAMILY TRUST, MICKEY &amp; SHARON  </t>
  </si>
  <si>
    <t xml:space="preserve">3770 ROYER CT </t>
  </si>
  <si>
    <t xml:space="preserve">MOTHERWAY, RYAN P &amp; MICHELLE R  </t>
  </si>
  <si>
    <t xml:space="preserve">PENA, KYLE C  </t>
  </si>
  <si>
    <t xml:space="preserve">3760 PEREGRINE CIR </t>
  </si>
  <si>
    <t>003-082-01</t>
  </si>
  <si>
    <t xml:space="preserve">HENSON, CHARLES R &amp; ROBERTA C </t>
  </si>
  <si>
    <t xml:space="preserve">SMITH, JACQUELINE L </t>
  </si>
  <si>
    <t>010-041-11</t>
  </si>
  <si>
    <t>003-130-22</t>
  </si>
  <si>
    <t xml:space="preserve">LIVERMORE </t>
  </si>
  <si>
    <t>BOSTON</t>
  </si>
  <si>
    <t>035-281-11</t>
  </si>
  <si>
    <t>082-591-20</t>
  </si>
  <si>
    <t>LAKE FOREST</t>
  </si>
  <si>
    <t xml:space="preserve">5320 VISTA HEIGHTS DR </t>
  </si>
  <si>
    <t>1660 ALAMO DR</t>
  </si>
  <si>
    <t>PM 1086</t>
  </si>
  <si>
    <t xml:space="preserve">WOOD , JOCELYN K  </t>
  </si>
  <si>
    <t xml:space="preserve">1660 ALAMO DR </t>
  </si>
  <si>
    <t xml:space="preserve">COLLINGS, DOROTHEA O </t>
  </si>
  <si>
    <t>PM 1086 LT 4</t>
  </si>
  <si>
    <t>1680 HENSLEY ST</t>
  </si>
  <si>
    <t>PM 461</t>
  </si>
  <si>
    <t>6992 POCO BUENO CIR</t>
  </si>
  <si>
    <t xml:space="preserve">AMERICAN HOME MORTGAGE SERV </t>
  </si>
  <si>
    <t>PM 461 LT B</t>
  </si>
  <si>
    <t>2924 BRYAN ST</t>
  </si>
  <si>
    <t>BEE, KARLA L  et al</t>
  </si>
  <si>
    <t xml:space="preserve">2924 BRYAN ST </t>
  </si>
  <si>
    <t xml:space="preserve">REIFSCHNEIDER, DAVID M </t>
  </si>
  <si>
    <t>CHURCH HILL EST LT 2</t>
  </si>
  <si>
    <t>2904 BRYAN ST</t>
  </si>
  <si>
    <t xml:space="preserve">CASTILLO, GENEVIEVE M </t>
  </si>
  <si>
    <t xml:space="preserve">LY, LILA </t>
  </si>
  <si>
    <t>CHURCH HILL EST LT 7; FR PM 4468</t>
  </si>
  <si>
    <t>2617 SUNRAY DR</t>
  </si>
  <si>
    <t>CARTER, ALEXANDER B III  et al</t>
  </si>
  <si>
    <t xml:space="preserve">CARTER CHRISTINE A </t>
  </si>
  <si>
    <t xml:space="preserve">1680 PINOAK LN </t>
  </si>
  <si>
    <t xml:space="preserve">BISELLI, ARNOLD &amp; ANA </t>
  </si>
  <si>
    <t>SUNRAY LT 3 BLK A</t>
  </si>
  <si>
    <t>2610 SUNRAY DR</t>
  </si>
  <si>
    <t>PM 4467</t>
  </si>
  <si>
    <t xml:space="preserve">GRIMES, PATRICK M &amp; LINDA S  </t>
  </si>
  <si>
    <t xml:space="preserve">6570 MAHOGANY RIDGE AVE </t>
  </si>
  <si>
    <t xml:space="preserve">KETELS, CHRISTOPHER P </t>
  </si>
  <si>
    <t>001-052-47</t>
  </si>
  <si>
    <t>PM 4467 LT 1</t>
  </si>
  <si>
    <t>2915 BRYAN ST</t>
  </si>
  <si>
    <t xml:space="preserve">KERNS FAMILY TRUST, TOM &amp; PAULA  </t>
  </si>
  <si>
    <t>PM 4469 LT 4</t>
  </si>
  <si>
    <t>3535 BALBOA DR</t>
  </si>
  <si>
    <t xml:space="preserve">TERPSTRA, RICK D </t>
  </si>
  <si>
    <t>8912 MOUNT HOOD CT</t>
  </si>
  <si>
    <t>SIERRA VISTA VILLAS OF RENO 2 LT 7 BLK 1</t>
  </si>
  <si>
    <t>3530 ROSALINDA DR</t>
  </si>
  <si>
    <t xml:space="preserve">ETCHELLS 1999 FAMILY TRUST  </t>
  </si>
  <si>
    <t>P O BOX 28</t>
  </si>
  <si>
    <t>ACTON</t>
  </si>
  <si>
    <t>SIERRA VISTA VILLAS OF RENO 1 LT 15 BLK 3</t>
  </si>
  <si>
    <t>3301 BRYAN ST</t>
  </si>
  <si>
    <t xml:space="preserve">HOSSAIN, SHAHIN A &amp; KAMAL </t>
  </si>
  <si>
    <t>P O BOX 41313</t>
  </si>
  <si>
    <t xml:space="preserve">SATTERWHITE, CHAD </t>
  </si>
  <si>
    <t>SIERRA HEIGHTS RENO 5A LT 1 BLK B</t>
  </si>
  <si>
    <t>3350 BRYAN ST</t>
  </si>
  <si>
    <t xml:space="preserve">NW RENO NINE LLC </t>
  </si>
  <si>
    <t>PO BOX 5635</t>
  </si>
  <si>
    <t xml:space="preserve">CHEOSAKUL, SAKUL &amp; CATHERINE S  </t>
  </si>
  <si>
    <t>SIERRA HEIGHTS RENO 5A LT 15 BLK D</t>
  </si>
  <si>
    <t>2915 ANDREA ST</t>
  </si>
  <si>
    <t xml:space="preserve">LAKE, ERIN L </t>
  </si>
  <si>
    <t xml:space="preserve">FITZPATRICK, MARIO F &amp; BRIDGET E </t>
  </si>
  <si>
    <t>SUNBURST LT 2 BLK A</t>
  </si>
  <si>
    <t>2975 ANDREA ST</t>
  </si>
  <si>
    <t xml:space="preserve">RUSU, CRISTINA  </t>
  </si>
  <si>
    <t xml:space="preserve">RIVAS, FATIMA D C  </t>
  </si>
  <si>
    <t>SUNBURST LT 6 BLK A</t>
  </si>
  <si>
    <t>2815 HARDING WAY</t>
  </si>
  <si>
    <t>FITCH, TERRY W  et al</t>
  </si>
  <si>
    <t xml:space="preserve">STEWART LORIE R </t>
  </si>
  <si>
    <t xml:space="preserve">2815 HARDING WAY </t>
  </si>
  <si>
    <t>SUNBURST LT 37 BLK C</t>
  </si>
  <si>
    <t>2745 SEVERN DR</t>
  </si>
  <si>
    <t xml:space="preserve">DORE, ERIN E </t>
  </si>
  <si>
    <t>SEVERN HEIGHTS 1 LT 14</t>
  </si>
  <si>
    <t xml:space="preserve">CORTISSE, GEORGE &amp; DOREEN </t>
  </si>
  <si>
    <t>HARDING WAY LT 4</t>
  </si>
  <si>
    <t>3964 GLENVIEW TER</t>
  </si>
  <si>
    <t xml:space="preserve">SECREST, MARK E &amp; MICHELLE M </t>
  </si>
  <si>
    <t xml:space="preserve">GOMEZ LIVING TRUST  </t>
  </si>
  <si>
    <t>KINGS VIEW EST 1 LT 10 BLK B</t>
  </si>
  <si>
    <t>3935 REGAL DR</t>
  </si>
  <si>
    <t xml:space="preserve">FIELDS, ERIC A &amp; HOLLY A  </t>
  </si>
  <si>
    <t xml:space="preserve">3935 REGAL DR </t>
  </si>
  <si>
    <t>KINGS VIEW EST 1 LT 28 BLK A</t>
  </si>
  <si>
    <t>3947 REGAL DR</t>
  </si>
  <si>
    <t xml:space="preserve">BOWMAN, WILLIAM R &amp; DORIS F </t>
  </si>
  <si>
    <t>10414 W EARLL DR</t>
  </si>
  <si>
    <t xml:space="preserve">BORBON LIVING TRUST, RENE E &amp; SOCORRO I  </t>
  </si>
  <si>
    <t>KINGS VIEW EST 1 LT 25 BLK A</t>
  </si>
  <si>
    <t>3923 REGAL DR</t>
  </si>
  <si>
    <t xml:space="preserve">MULOCK, GARY &amp; SERENA </t>
  </si>
  <si>
    <t>PRUITT, ADAM et al</t>
  </si>
  <si>
    <t>KINGS VIEW EST 2 LT 31 BLK A</t>
  </si>
  <si>
    <t>1445 SURF WAY</t>
  </si>
  <si>
    <t xml:space="preserve">REIDER FAMILY TRUST  </t>
  </si>
  <si>
    <t xml:space="preserve">REIDER, CHARLES W &amp; CANDICE L </t>
  </si>
  <si>
    <t>SIERRA HEIGHTS RENO 5A LT 29 BLK D</t>
  </si>
  <si>
    <t>3545 BRYAN ST</t>
  </si>
  <si>
    <t xml:space="preserve">BROWN, MATTHEW S </t>
  </si>
  <si>
    <t>3455 GULLING RD</t>
  </si>
  <si>
    <t>NORTHRIDGE HILLS LT 2</t>
  </si>
  <si>
    <t>3575 BRYAN ST</t>
  </si>
  <si>
    <t xml:space="preserve">ROWBAL, AARON M  </t>
  </si>
  <si>
    <t xml:space="preserve">3575 BRYAN ST </t>
  </si>
  <si>
    <t>NORTHRIDGE HILLS LT 4</t>
  </si>
  <si>
    <t>1390 KIRSTON ST</t>
  </si>
  <si>
    <t xml:space="preserve">LINDSTROM, ORVILLE R &amp; ANITA M </t>
  </si>
  <si>
    <t xml:space="preserve">NADA, LEOPOLDO S &amp; MARIA V </t>
  </si>
  <si>
    <t>NORTHRIDGE HILLS LT 59</t>
  </si>
  <si>
    <t>1350 KIRSTON ST</t>
  </si>
  <si>
    <t xml:space="preserve">NORTHRIDGE HILLS </t>
  </si>
  <si>
    <t xml:space="preserve">GULIZIA, ROBERTO &amp; MINDI </t>
  </si>
  <si>
    <t>NORTHRIDGE HILLS LT 58</t>
  </si>
  <si>
    <t>3938 ASPENDALE DR</t>
  </si>
  <si>
    <t>HENKE, JAY W  et al</t>
  </si>
  <si>
    <t xml:space="preserve">3938 ASPENDALE DR </t>
  </si>
  <si>
    <t xml:space="preserve">PAPUTSIDIS, THEODOROS </t>
  </si>
  <si>
    <t>KINGS VIEW EST 2 LT 11 BLK B</t>
  </si>
  <si>
    <t>2946 ASPENDALE DR</t>
  </si>
  <si>
    <t xml:space="preserve">CASTLE, LEONARD D &amp; SHIRLEY A </t>
  </si>
  <si>
    <t>1000 JOSHUA DR</t>
  </si>
  <si>
    <t xml:space="preserve">LOVEMARK FAMILY TRUST </t>
  </si>
  <si>
    <t>KINGS VIEW EST 2 LT 17 BLK B</t>
  </si>
  <si>
    <t>3891 ASPENDALE CT</t>
  </si>
  <si>
    <t xml:space="preserve">WHITE, JUSTIN D </t>
  </si>
  <si>
    <t xml:space="preserve">HEW, RYAN M D </t>
  </si>
  <si>
    <t>KINGS VIEW EST 2 LT 20 BLK B</t>
  </si>
  <si>
    <t>3830 W 7TH ST</t>
  </si>
  <si>
    <t xml:space="preserve">OLIVAS, JUAN J </t>
  </si>
  <si>
    <t>P O BOX 4079</t>
  </si>
  <si>
    <t xml:space="preserve">BUNCIO, ELINORA V </t>
  </si>
  <si>
    <t>FR SW4 SW4 SEC 4 TWP 19 RGE 19</t>
  </si>
  <si>
    <t>1485 MARNE DR</t>
  </si>
  <si>
    <t>LYONS, ALAN M  et al</t>
  </si>
  <si>
    <t xml:space="preserve">1485 MARNE DR </t>
  </si>
  <si>
    <t xml:space="preserve">SHELTON, JACQUELINE </t>
  </si>
  <si>
    <t>SIERRA HEIGHTS RENO 3B LT 136 BLK 4</t>
  </si>
  <si>
    <t>1435 MARNE DR</t>
  </si>
  <si>
    <t xml:space="preserve">RCR PROPERTIES LLC </t>
  </si>
  <si>
    <t>2837 TURTLE HEAD PEAK DR</t>
  </si>
  <si>
    <t xml:space="preserve">REINDERS, ROBERT &amp; KIM </t>
  </si>
  <si>
    <t>SIERRA HEIGHTS RENO 3B LT 133 BLK 4</t>
  </si>
  <si>
    <t>1365 MARNE DR</t>
  </si>
  <si>
    <t>SU, FENG et al</t>
  </si>
  <si>
    <t>ZENG YUEHUA</t>
  </si>
  <si>
    <t xml:space="preserve">804 BROWN SQUIRREL LN </t>
  </si>
  <si>
    <t xml:space="preserve">FONG, MING K &amp; NA Y </t>
  </si>
  <si>
    <t>SIERRA HEIGHTS RENO 3B LT 128 BLK 4</t>
  </si>
  <si>
    <t>1330 MARNE DR</t>
  </si>
  <si>
    <t xml:space="preserve">MESSICK, SEAN J &amp; JOCELYN A </t>
  </si>
  <si>
    <t>SIERRA HEIGHTS RENO 3B LT 143 BLK 3</t>
  </si>
  <si>
    <t>1410 MARNE DR</t>
  </si>
  <si>
    <t xml:space="preserve">PLACENCIA, MARIA </t>
  </si>
  <si>
    <t>SIERRA HEIGHTS RENO 3B LT 149 BLK 3</t>
  </si>
  <si>
    <t>1420 LOCKSLEY WAY</t>
  </si>
  <si>
    <t>SORRELL, BRIAN A et al</t>
  </si>
  <si>
    <t>SIERRA HEIGHTS RENO 3C LT 287 BLK 2</t>
  </si>
  <si>
    <t>2601 VAN BUREN DR</t>
  </si>
  <si>
    <t xml:space="preserve">MENDEZ-GONZALEZ, CARLOS </t>
  </si>
  <si>
    <t>SIERRA HEIGHTS RENO 3C LT 257 BLK 1</t>
  </si>
  <si>
    <t>826 WYOMING AVE</t>
  </si>
  <si>
    <t>NORTHWEST VILLAS 1</t>
  </si>
  <si>
    <t xml:space="preserve">BARRY, DOROTHY N </t>
  </si>
  <si>
    <t>MCMAHON, PERRY J et al</t>
  </si>
  <si>
    <t>NORTHWEST VILLAS 1 LT 2 BLK A</t>
  </si>
  <si>
    <t>10560 N MC CARRAN BLVD</t>
  </si>
  <si>
    <t>PM 2910</t>
  </si>
  <si>
    <t xml:space="preserve">ATREVLE </t>
  </si>
  <si>
    <t>2410 FAIR OAKS BLVD STE 220</t>
  </si>
  <si>
    <t>95825</t>
  </si>
  <si>
    <t xml:space="preserve">WASHOE HV INVESTMENTS LLC </t>
  </si>
  <si>
    <t>001-272-33</t>
  </si>
  <si>
    <t>PM 2910 LT 2</t>
  </si>
  <si>
    <t>1040 MARK ALLEN CIR</t>
  </si>
  <si>
    <t>SIERRA HEIGHTS RENO 7</t>
  </si>
  <si>
    <t xml:space="preserve">COMPRIX, MATTHEW &amp; MICHELLE </t>
  </si>
  <si>
    <t>SIERRA HEIGHTS RENO 7 LT 4 BLK A</t>
  </si>
  <si>
    <t>2310 KINGS ROW</t>
  </si>
  <si>
    <t>PM 2203</t>
  </si>
  <si>
    <t xml:space="preserve">ELIGIO, ADRIAN &amp; ALICIA  </t>
  </si>
  <si>
    <t xml:space="preserve">2310 KINGS ROW </t>
  </si>
  <si>
    <t>PM 2203 LT D</t>
  </si>
  <si>
    <t>1220 ST ALBERTS DR</t>
  </si>
  <si>
    <t xml:space="preserve">DHOOGHE, ARMANITA </t>
  </si>
  <si>
    <t xml:space="preserve">SMITH, DENISE N </t>
  </si>
  <si>
    <t>SIERRA HEIGHTS RENO 7 LT 17 BLK C</t>
  </si>
  <si>
    <t>3195 KINGS ROW</t>
  </si>
  <si>
    <t xml:space="preserve">LEE R SANFORD &amp; MICHELLE M , SEEVERS-SANFORD FAM TRUST  </t>
  </si>
  <si>
    <t>10012 WILTON OAKS CT</t>
  </si>
  <si>
    <t xml:space="preserve">ELK GROVE </t>
  </si>
  <si>
    <t>SANFORD, LEE R  et al</t>
  </si>
  <si>
    <t>SIERRA HEIGHTS RENO 4 LT 89 BLK 9</t>
  </si>
  <si>
    <t>1301 SURF WAY</t>
  </si>
  <si>
    <t xml:space="preserve">TAYLOR, TORRIE N  </t>
  </si>
  <si>
    <t>50 MARGARITA COURT</t>
  </si>
  <si>
    <t xml:space="preserve">DOAK, STERLING A </t>
  </si>
  <si>
    <t>SIERRA HEIGHTS RENO 4 LT 70 BLK 6</t>
  </si>
  <si>
    <t>3430 PIERREMONT RD</t>
  </si>
  <si>
    <t xml:space="preserve">CHORNIY, WENDA S &amp; VLADIMIR I  </t>
  </si>
  <si>
    <t xml:space="preserve">355 STEAMBOAT CT </t>
  </si>
  <si>
    <t>SIERRA HEIGHTS RENO 4 LT 18 BLK 3</t>
  </si>
  <si>
    <t>3425 PIERREMONT RD</t>
  </si>
  <si>
    <t xml:space="preserve">BELDEN, CONNIE L </t>
  </si>
  <si>
    <t>BESSMER-HECKER, MELISSA J et al</t>
  </si>
  <si>
    <t>SIERRA HEIGHTS RENO 4 LT 32 BLK 4</t>
  </si>
  <si>
    <t>3370 BERTHOUD LN</t>
  </si>
  <si>
    <t xml:space="preserve">CRAIK, LOIS J &amp; KEVIN J  </t>
  </si>
  <si>
    <t xml:space="preserve">3370 BERTHOUD LN </t>
  </si>
  <si>
    <t xml:space="preserve">HALL, TOM W &amp; SUE I </t>
  </si>
  <si>
    <t>SIERRA HEIGHTS RENO 4 LT 58 BLK 4</t>
  </si>
  <si>
    <t>3001 ACCACIA WAY</t>
  </si>
  <si>
    <t xml:space="preserve">STEELE , DAVID L &amp; MARY L  </t>
  </si>
  <si>
    <t xml:space="preserve">WRIGHT LIVING TRUST  </t>
  </si>
  <si>
    <t>SIERRA HEIGHTS RENO 3A LT 113 BLK 6</t>
  </si>
  <si>
    <t>3070 KINGS ROW</t>
  </si>
  <si>
    <t xml:space="preserve">FLOUTSIS, NIKOLAOS </t>
  </si>
  <si>
    <t>4295 WARREN WAY</t>
  </si>
  <si>
    <t>SIERRA HEIGHTS RENO 3A LT 108 BLK 6</t>
  </si>
  <si>
    <t>3001 KINGS ROW</t>
  </si>
  <si>
    <t xml:space="preserve">MCCOMBS, CHRISTOPHER G &amp; CHANIKA M </t>
  </si>
  <si>
    <t xml:space="preserve">1780 CARLIN ST </t>
  </si>
  <si>
    <t>SIERRA HEIGHTS RENO 3A LT 118 BLK 7</t>
  </si>
  <si>
    <t xml:space="preserve">WELLS FARGO HOME MORTGAGE INC </t>
  </si>
  <si>
    <t>3035 ATTRIDGE PL</t>
  </si>
  <si>
    <t xml:space="preserve">TURNER, DANIEL H  </t>
  </si>
  <si>
    <t xml:space="preserve">3035 ATTRIDGE PL </t>
  </si>
  <si>
    <t xml:space="preserve">ATTRIDGE TRUST 3035  </t>
  </si>
  <si>
    <t>SIERRA HEIGHTS RENO 3A LT 94 BLK 5</t>
  </si>
  <si>
    <t>3075 ATTRIDGE PL</t>
  </si>
  <si>
    <t xml:space="preserve">BOLL REV INTER VIVOS TRUST, ROBERT P  </t>
  </si>
  <si>
    <t>1355 JOY LAKE RD</t>
  </si>
  <si>
    <t xml:space="preserve">BOLL, ROBERT P </t>
  </si>
  <si>
    <t>SIERRA HEIGHTS RENO 3A LT 91 BLK 5</t>
  </si>
  <si>
    <t>1220 CONWAY LN</t>
  </si>
  <si>
    <t>RUSSELL, MARK W et al</t>
  </si>
  <si>
    <t>MOERS-RUSSELL MARY L</t>
  </si>
  <si>
    <t>2275 GARDNER RD</t>
  </si>
  <si>
    <t>GALLOWAY</t>
  </si>
  <si>
    <t>SIERRA LOMA 1 LT 33 BLK 1</t>
  </si>
  <si>
    <t>1135 WAGON WHEEL CIR</t>
  </si>
  <si>
    <t xml:space="preserve">COFFING, CHRISTINE S </t>
  </si>
  <si>
    <t>SIERRA LOMA 2 LT 30 BLK 1</t>
  </si>
  <si>
    <t>1103 FRONTIER CT</t>
  </si>
  <si>
    <t xml:space="preserve">SMITH, COURTNEY </t>
  </si>
  <si>
    <t>SIERRA LOMA 2 LT 43 BLK 3</t>
  </si>
  <si>
    <t>3422 BOWIE RD</t>
  </si>
  <si>
    <t xml:space="preserve">CRAIG, BARBARA  </t>
  </si>
  <si>
    <t xml:space="preserve">3422 BOWIE RD </t>
  </si>
  <si>
    <t>SIERRA LOMA 3 LT 3</t>
  </si>
  <si>
    <t>1275 SEARCHLITE CT</t>
  </si>
  <si>
    <t xml:space="preserve">AMENDOLA, MADELENE C </t>
  </si>
  <si>
    <t>6137 WYCLIFFE CIR</t>
  </si>
  <si>
    <t xml:space="preserve">WINDHAM, EVELYN L </t>
  </si>
  <si>
    <t>SIERRA LOMA 3 LT 15</t>
  </si>
  <si>
    <t>1201 FREDDIE CT</t>
  </si>
  <si>
    <t xml:space="preserve">ANDERSON, GRANT D &amp; SUSAN D </t>
  </si>
  <si>
    <t>2255 PENNSWOOD CT</t>
  </si>
  <si>
    <t>SIERRA LOMA 3 LT 56</t>
  </si>
  <si>
    <t>1280 FREDDIE CT</t>
  </si>
  <si>
    <t>CEVASCO, MARYLOU et al</t>
  </si>
  <si>
    <t xml:space="preserve">1280 FREDDIE CT </t>
  </si>
  <si>
    <t>SIERRA LOMA 3 LT 60</t>
  </si>
  <si>
    <t>1190 FREDDIE CT</t>
  </si>
  <si>
    <t xml:space="preserve">SWEDER, CARLY J </t>
  </si>
  <si>
    <t>SIERRA LOMA 3 LT 72</t>
  </si>
  <si>
    <t>1160 FREDDIE CT</t>
  </si>
  <si>
    <t xml:space="preserve">ROWLEY, LEROY S  </t>
  </si>
  <si>
    <t xml:space="preserve">1160 FREDDIE CT </t>
  </si>
  <si>
    <t>SIERRA LOMA 3 LT 75</t>
  </si>
  <si>
    <t>1140 FREDDIE CT</t>
  </si>
  <si>
    <t xml:space="preserve">CARNEY-HIRSCH, JANICE </t>
  </si>
  <si>
    <t xml:space="preserve">KINGMAN-BAIRD, LISA A </t>
  </si>
  <si>
    <t>SIERRA LOMA 3 LT 77</t>
  </si>
  <si>
    <t>1110 RAYBURN DR</t>
  </si>
  <si>
    <t xml:space="preserve">ZEME, ALLEN W </t>
  </si>
  <si>
    <t>SIERRA LOMA 3 LT 97</t>
  </si>
  <si>
    <t>3090 SLATER AVE</t>
  </si>
  <si>
    <t>O`SHEA, WARD et al</t>
  </si>
  <si>
    <t xml:space="preserve">WILSON, JAMES G </t>
  </si>
  <si>
    <t>SIERRA HEIGHTS RENO 3A LT 50 BLK 3</t>
  </si>
  <si>
    <t>3010 SLATER AVE</t>
  </si>
  <si>
    <t xml:space="preserve">BELZ, VANESSA </t>
  </si>
  <si>
    <t xml:space="preserve">SIBERELL, ANDREA </t>
  </si>
  <si>
    <t>SIERRA HEIGHTS RENO 3A LT 44 BLK 3</t>
  </si>
  <si>
    <t>2990 SLATER AVE</t>
  </si>
  <si>
    <t>BENTLEY, LINDA  et al</t>
  </si>
  <si>
    <t xml:space="preserve">2990 SLATER AVE </t>
  </si>
  <si>
    <t>SIERRA HEIGHTS RENO 3A LT 43 BLK 3</t>
  </si>
  <si>
    <t>2650 APOLLO WAY</t>
  </si>
  <si>
    <t xml:space="preserve">KALAMAFONI, ROCKY H </t>
  </si>
  <si>
    <t>SIERRA HEIGHTS RENO 3A LT 26 BLK 2</t>
  </si>
  <si>
    <t>1460 LOCKSLEY WAY</t>
  </si>
  <si>
    <t xml:space="preserve">JONES, JOSHUA K </t>
  </si>
  <si>
    <t>SIERRA HEIGHTS RENO 3D LT 318 BLK B</t>
  </si>
  <si>
    <t>2630 SCHOLL DR</t>
  </si>
  <si>
    <t xml:space="preserve">ROBINSON, RYAN E &amp; kATHERINE S </t>
  </si>
  <si>
    <t xml:space="preserve">LEMONS TRUST, MAVIS  </t>
  </si>
  <si>
    <t>SIERRA HEIGHTS RENO 3D LT 350 BLK C</t>
  </si>
  <si>
    <t>1495 BRIDGEWOOD LN</t>
  </si>
  <si>
    <t xml:space="preserve">BJELLAND, MICHAEL J </t>
  </si>
  <si>
    <t xml:space="preserve">RINDY, REVA </t>
  </si>
  <si>
    <t>SIERRA HEIGHTS RENO 3D LT 331 BLK F</t>
  </si>
  <si>
    <t>2865 SCHOLL DR</t>
  </si>
  <si>
    <t>WU, JACK  et al</t>
  </si>
  <si>
    <t xml:space="preserve">3963 REGAL DR </t>
  </si>
  <si>
    <t>SIERRA HEIGHTS RENO 3E LT 362 BLK B</t>
  </si>
  <si>
    <t>1535 WYOMING AVE</t>
  </si>
  <si>
    <t xml:space="preserve">HABKIRK, ELIZABETH B &amp; DAVID P </t>
  </si>
  <si>
    <t>1070 RIVERBERRY DR</t>
  </si>
  <si>
    <t>WESTGATE LT 21</t>
  </si>
  <si>
    <t>1835 BECKY CT</t>
  </si>
  <si>
    <t xml:space="preserve">HAWKINS, THOMAS E  </t>
  </si>
  <si>
    <t xml:space="preserve">BREDEHOFT, TODD M </t>
  </si>
  <si>
    <t>WESTGATE LT 45</t>
  </si>
  <si>
    <t>2660 NICHOLETTE DR</t>
  </si>
  <si>
    <t>WADE, CHRISTOPHER R  et al</t>
  </si>
  <si>
    <t xml:space="preserve">2660 NICHOLETTE DR </t>
  </si>
  <si>
    <t xml:space="preserve">SODHI, KASHMIR S </t>
  </si>
  <si>
    <t>NORTHWEST VILLAS 2 LT 63 BLK E</t>
  </si>
  <si>
    <t>2680 NICHOLETTE DR</t>
  </si>
  <si>
    <t xml:space="preserve">TACKETT, CURTIS &amp; CRISTINA </t>
  </si>
  <si>
    <t>NORTHWEST VILLAS 2 LT 62 BLK E</t>
  </si>
  <si>
    <t>2772 POWDER DR</t>
  </si>
  <si>
    <t xml:space="preserve">LIGHT, TERESA K &amp; JOHN A </t>
  </si>
  <si>
    <t>NORTHWEST VILLAS 2 LT 59 BLK D</t>
  </si>
  <si>
    <t>2766 POWDER DR</t>
  </si>
  <si>
    <t>GARCIA-MOTA, RODOLFO et al</t>
  </si>
  <si>
    <t xml:space="preserve">FELIX-DEGARCIA MARA </t>
  </si>
  <si>
    <t xml:space="preserve">2766 POWDER DR </t>
  </si>
  <si>
    <t>NORTHWEST VILLAS 2 LT 58 BLK D</t>
  </si>
  <si>
    <t>2718 POWDER DR</t>
  </si>
  <si>
    <t xml:space="preserve">CHORNITY, VLADIMIR I &amp; WENDA S </t>
  </si>
  <si>
    <t>355 STEAMBOAT CT</t>
  </si>
  <si>
    <t>NORTHWEST VILLAS 2 LT 50 BLK D</t>
  </si>
  <si>
    <t>1010 BRADDOCK CT</t>
  </si>
  <si>
    <t xml:space="preserve">BAREUTHER, DAVID R </t>
  </si>
  <si>
    <t>HAEBLER, DAVID et al</t>
  </si>
  <si>
    <t>NORTHWEST VILLAS 2 LT 29 BLK C</t>
  </si>
  <si>
    <t>2649 RAYMA CT</t>
  </si>
  <si>
    <t xml:space="preserve">ULLRICH, TRACY  </t>
  </si>
  <si>
    <t xml:space="preserve">YONKER, MICHAEL A </t>
  </si>
  <si>
    <t>NORTHWEST VILLAS 3 LT 13 BLK A</t>
  </si>
  <si>
    <t>1090 TUDOR CT</t>
  </si>
  <si>
    <t xml:space="preserve">BURTON, JOHN W &amp; MIMI R </t>
  </si>
  <si>
    <t xml:space="preserve">BURTON, JOHN W </t>
  </si>
  <si>
    <t>NORTHWEST VILLAS 2 LT 11 BLK A</t>
  </si>
  <si>
    <t>WESTVIEW</t>
  </si>
  <si>
    <t xml:space="preserve">YOUNG, OLGA </t>
  </si>
  <si>
    <t>PO BOX 10067</t>
  </si>
  <si>
    <t>WESTVIEW LT 2 BLK A</t>
  </si>
  <si>
    <t>3466 BOWIE RD</t>
  </si>
  <si>
    <t xml:space="preserve">ROWDEN, JASON G &amp; SHANNON K </t>
  </si>
  <si>
    <t>LUCERO, ERIC L et al</t>
  </si>
  <si>
    <t>NORTHWEST TERRACE LT 8 BLK A</t>
  </si>
  <si>
    <t>3464 BOWIE RD</t>
  </si>
  <si>
    <t xml:space="preserve">CORDS, ANITA L </t>
  </si>
  <si>
    <t xml:space="preserve">CIARAMELLA, NICHOLAS A &amp; ELISE R </t>
  </si>
  <si>
    <t>NORTHWEST TERRACE LT 7 BLK A</t>
  </si>
  <si>
    <t>3462 BOWIE RD</t>
  </si>
  <si>
    <t xml:space="preserve">MCCREARY, RUSS &amp; NELLY </t>
  </si>
  <si>
    <t xml:space="preserve">ROSSI, VINCENT D </t>
  </si>
  <si>
    <t>NORTHWEST TERRACE LT 6 BLK A</t>
  </si>
  <si>
    <t>3350 BIG SKY DR</t>
  </si>
  <si>
    <t>SRIPHONGNGARM, JAMLONG et al</t>
  </si>
  <si>
    <t>SRIPHONG-NGARM KITIYA</t>
  </si>
  <si>
    <t xml:space="preserve">NGAMSOMBAT, ROY V &amp; ORANEE </t>
  </si>
  <si>
    <t>SKY COUNTRY EST 1 LT 11</t>
  </si>
  <si>
    <t>3330 BIG SKY DR</t>
  </si>
  <si>
    <t xml:space="preserve">WAGEMANS, CHARLES S V B  </t>
  </si>
  <si>
    <t>1220 TASMAN DR UNIT 574</t>
  </si>
  <si>
    <t xml:space="preserve">SUNNYVALE </t>
  </si>
  <si>
    <t xml:space="preserve">GARDIKIOTIS, SPYRIDON &amp; BACH </t>
  </si>
  <si>
    <t>SKY COUNTRY EST 1 LT 9</t>
  </si>
  <si>
    <t>3071 SKY COUNTRY DR</t>
  </si>
  <si>
    <t>SKY COUNTRY EST 2</t>
  </si>
  <si>
    <t>NGUYEN, QUANG et al</t>
  </si>
  <si>
    <t>3071 COUNTRY DR</t>
  </si>
  <si>
    <t>001-010-53</t>
  </si>
  <si>
    <t>SKY COUNTRY EST 2 LT 18</t>
  </si>
  <si>
    <t>3350 SNAKE RIVER DR</t>
  </si>
  <si>
    <t xml:space="preserve">DOUGAN, JERRY &amp; KRISTINE  </t>
  </si>
  <si>
    <t>835 SANTA DOROTEA CIR</t>
  </si>
  <si>
    <t>ROHNERT PARK</t>
  </si>
  <si>
    <t>94928</t>
  </si>
  <si>
    <t xml:space="preserve">WU, MING T &amp; LING H </t>
  </si>
  <si>
    <t>SKY COUNTRY EST 2 LT 7</t>
  </si>
  <si>
    <t xml:space="preserve">WALSER, JONATHAN R &amp; DAWN L </t>
  </si>
  <si>
    <t xml:space="preserve">CARROW, RICHARD F &amp; MICHELLE R </t>
  </si>
  <si>
    <t>3120 GREEN RIVER DR</t>
  </si>
  <si>
    <t xml:space="preserve">MCANALLY, WILLIAM M  </t>
  </si>
  <si>
    <t xml:space="preserve">3120 GREEN RIVER DR </t>
  </si>
  <si>
    <t>SKY COUNTRY EST 3 LT 322 BLK D</t>
  </si>
  <si>
    <t>3100 GREEN RIVER DR</t>
  </si>
  <si>
    <t xml:space="preserve">WOLD, SHARON M &amp; REED JR </t>
  </si>
  <si>
    <t xml:space="preserve">HALBERT TRUST, DONALD L &amp; MARIE H  </t>
  </si>
  <si>
    <t>SKY COUNTRY EST 3 LT 324 BLK D</t>
  </si>
  <si>
    <t>3121 PLATTE RIVER DR</t>
  </si>
  <si>
    <t xml:space="preserve">PROKOSCH, ADRIENNE R  </t>
  </si>
  <si>
    <t xml:space="preserve">3121 PLATTE RIVER DR </t>
  </si>
  <si>
    <t>SKY COUNTRY EST 3 LT 326 BLK D</t>
  </si>
  <si>
    <t>3221 GREEN RIVER DR</t>
  </si>
  <si>
    <t xml:space="preserve">SWOPE REVOCABLE TRUST  </t>
  </si>
  <si>
    <t xml:space="preserve">3221 GREEN RIVER DR </t>
  </si>
  <si>
    <t xml:space="preserve">SWOPE, REBECCA M  </t>
  </si>
  <si>
    <t>SKY COUNTRY EST 4 LT 429 BLK C</t>
  </si>
  <si>
    <t>3390 SNAKE RIVER DR</t>
  </si>
  <si>
    <t xml:space="preserve">MARKEN, WENDY </t>
  </si>
  <si>
    <t>PO BOX 5263</t>
  </si>
  <si>
    <t>SKY COUNTRY EST 5 LT 534 BLK G</t>
  </si>
  <si>
    <t>3291 GREEN RIVER DR</t>
  </si>
  <si>
    <t xml:space="preserve">BUENAVENTURA, JAYALI D &amp; MA C O </t>
  </si>
  <si>
    <t xml:space="preserve">VANDENBURG, ADEFUNKE O </t>
  </si>
  <si>
    <t>SKY COUNTRY EST 8 LT 806 BLK C</t>
  </si>
  <si>
    <t>586 CITADEL WAY</t>
  </si>
  <si>
    <t xml:space="preserve">CLIFFORD FAMILY TRUST  </t>
  </si>
  <si>
    <t>CHARLES F JR/GERALDINE M CLIFFORD TTEE</t>
  </si>
  <si>
    <t>1424 WASHINGTON ST</t>
  </si>
  <si>
    <t>COLLEGE TOWN LT 20 BLK D</t>
  </si>
  <si>
    <t>520 CHOATE CT</t>
  </si>
  <si>
    <t xml:space="preserve">HANSEN FAMILY TRUST, MJJR  </t>
  </si>
  <si>
    <t>570 JUNIPER HILL RD</t>
  </si>
  <si>
    <t xml:space="preserve">HANSEN, MICHAEL K &amp; JOY L  </t>
  </si>
  <si>
    <t>COLLEGE TOWN LT 25 BLK D</t>
  </si>
  <si>
    <t>530 CITADEL WAY</t>
  </si>
  <si>
    <t>FRANK, SARA N et al</t>
  </si>
  <si>
    <t>COLLEGE TOWN LT 30 BLK D</t>
  </si>
  <si>
    <t>2300 COTTAGE CT</t>
  </si>
  <si>
    <t xml:space="preserve">TARVER, RYAN </t>
  </si>
  <si>
    <t>CIMARRON 1 LT 22 BLK C</t>
  </si>
  <si>
    <t>1675 PEAVINE RD</t>
  </si>
  <si>
    <t xml:space="preserve">FLECK, DONALD E </t>
  </si>
  <si>
    <t>CIMARRON 1 LT 9 BLK B</t>
  </si>
  <si>
    <t>1865 PEAVINE RD</t>
  </si>
  <si>
    <t xml:space="preserve">FOOTE, RAYMON </t>
  </si>
  <si>
    <t>FOOTE, RAYMON et al</t>
  </si>
  <si>
    <t>CIMARRON 2 LT 25 BLK C</t>
  </si>
  <si>
    <t>1481 HIGHLAND PINES DR</t>
  </si>
  <si>
    <t>HOFFMAN, BENJAMIN C et al</t>
  </si>
  <si>
    <t>BABCOCK KATHERINE L</t>
  </si>
  <si>
    <t xml:space="preserve">BUEHLER, MATTHEW R &amp; SUSAN R </t>
  </si>
  <si>
    <t>EVANS PARK 5 LT 7 BLK D</t>
  </si>
  <si>
    <t>2235 BRISBANE AVE</t>
  </si>
  <si>
    <t xml:space="preserve">MUNZ, CHRISTOPHER P  </t>
  </si>
  <si>
    <t xml:space="preserve">THURNER, ARTHUR C &amp; DEBRA S </t>
  </si>
  <si>
    <t>RENO HIGHLANDS 2 UT 2 LT 3 BLK J</t>
  </si>
  <si>
    <t>2285 ARCANE AVE</t>
  </si>
  <si>
    <t xml:space="preserve">WALKER, GARY D </t>
  </si>
  <si>
    <t xml:space="preserve">MASON, ALEXANDERIA </t>
  </si>
  <si>
    <t>RENO HIGHLANDS 3 LT 6 BLK C</t>
  </si>
  <si>
    <t>2290 WARD PL</t>
  </si>
  <si>
    <t xml:space="preserve">RENO HIGHLANDS 3  </t>
  </si>
  <si>
    <t xml:space="preserve">SIMKO, ANTHONY </t>
  </si>
  <si>
    <t>303 MINNIE ST</t>
  </si>
  <si>
    <t>FAIRBANKS</t>
  </si>
  <si>
    <t xml:space="preserve">GARDELLA, CHRISTOPHER T </t>
  </si>
  <si>
    <t>RENO HIGHLANDS 3 LT 2; W 10 FT LT 1 BLK B</t>
  </si>
  <si>
    <t>2075 IVES AVE</t>
  </si>
  <si>
    <t xml:space="preserve">JORDAN, BRIAN </t>
  </si>
  <si>
    <t>PO BOX 13765</t>
  </si>
  <si>
    <t xml:space="preserve">BANK OF AMERICA </t>
  </si>
  <si>
    <t>RENO HIGHLANDS 2 UT 2 LT 14 BLK F</t>
  </si>
  <si>
    <t>1915 IVES AVE</t>
  </si>
  <si>
    <t xml:space="preserve">GREEN, JESSE D &amp; MEGAN E </t>
  </si>
  <si>
    <t xml:space="preserve">AMES, RICHARD </t>
  </si>
  <si>
    <t>RENO HIGHLANDS 2 UT 2 LT 6 BLK F</t>
  </si>
  <si>
    <t>2095 COLEMAN DR</t>
  </si>
  <si>
    <t>GREENSTEIN, JONATHAN D  et al</t>
  </si>
  <si>
    <t xml:space="preserve">2095 COLEMAN DR </t>
  </si>
  <si>
    <t xml:space="preserve">ARRASCADA, JOHN L </t>
  </si>
  <si>
    <t>RENO HIGHLANDS 2 UT 2 LT 1 BLK C</t>
  </si>
  <si>
    <t>1865 ARCANE AVE</t>
  </si>
  <si>
    <t xml:space="preserve">WILSON, LESLIE &amp; LAURA </t>
  </si>
  <si>
    <t>1428 LANGLEY DR</t>
  </si>
  <si>
    <t>RENO HIGHLANDS 2 UT 1 LT 8 BLK C</t>
  </si>
  <si>
    <t>841 WASHINGTON ST</t>
  </si>
  <si>
    <t xml:space="preserve">AUSTIN, HOPE </t>
  </si>
  <si>
    <t xml:space="preserve">ALEXANDER, WILLIAM S </t>
  </si>
  <si>
    <t>002-371-17</t>
  </si>
  <si>
    <t>WESTERN ADD LT 16 FR 17 BLK 18</t>
  </si>
  <si>
    <t>2150 ARCANE AVE</t>
  </si>
  <si>
    <t xml:space="preserve">HILL, JASON  </t>
  </si>
  <si>
    <t>PO BOX 5404</t>
  </si>
  <si>
    <t xml:space="preserve">CRANE, GERALD B &amp; CAROL A </t>
  </si>
  <si>
    <t xml:space="preserve">RENO HIGHLANDS 2 UT 1 LT 3 BLK I </t>
  </si>
  <si>
    <t>1970 ARCANE AVE</t>
  </si>
  <si>
    <t>BRANDENBURG, AMY C  et al</t>
  </si>
  <si>
    <t xml:space="preserve">1970 ARCANE AVE </t>
  </si>
  <si>
    <t xml:space="preserve">NOEL, RICK &amp; DONNA  </t>
  </si>
  <si>
    <t>RENO HIGHLANDS 2 UT 1 LT 19 BLK B</t>
  </si>
  <si>
    <t>1945 SIMPSON AVE</t>
  </si>
  <si>
    <t xml:space="preserve">SPIDELL, JASON E </t>
  </si>
  <si>
    <t>1945 SIMPSON DR</t>
  </si>
  <si>
    <t>SPIDELL, JASON E et al</t>
  </si>
  <si>
    <t>RENO HIGHLANDS LT 15 BLK E</t>
  </si>
  <si>
    <t>1920 SIMPSON AVE</t>
  </si>
  <si>
    <t>EBBERSON, SUSAN et al</t>
  </si>
  <si>
    <t xml:space="preserve">1920 SIMPSON AVE </t>
  </si>
  <si>
    <t>RENO HIGHLANDS LT 14 BLK D</t>
  </si>
  <si>
    <t>1805 ELLENDALE RD</t>
  </si>
  <si>
    <t xml:space="preserve">LEE, ERIN L </t>
  </si>
  <si>
    <t>PO BOX 10603</t>
  </si>
  <si>
    <t>RENO HIGHLANDS LT 1 BLK D</t>
  </si>
  <si>
    <t>1620 PEAVINE RD</t>
  </si>
  <si>
    <t>PM 2591</t>
  </si>
  <si>
    <t xml:space="preserve">SANTTI, ASHLEY L </t>
  </si>
  <si>
    <t xml:space="preserve">CASSINELLI, KERI A </t>
  </si>
  <si>
    <t>002-195-01</t>
  </si>
  <si>
    <t>PM 2591 LT C</t>
  </si>
  <si>
    <t>2350 KEYSTONE AVE</t>
  </si>
  <si>
    <t>PM 2658</t>
  </si>
  <si>
    <t xml:space="preserve">FOLTZ, CLINTON  </t>
  </si>
  <si>
    <t xml:space="preserve">2350 KEYSTONE AVE </t>
  </si>
  <si>
    <t>002-195-05</t>
  </si>
  <si>
    <t>PM 2658 LT E</t>
  </si>
  <si>
    <t>2181 COBBLESTONE CT</t>
  </si>
  <si>
    <t>COBBLESTONE COURT</t>
  </si>
  <si>
    <t xml:space="preserve">RENO KOREAN PRESBYTERIAN CHRCH </t>
  </si>
  <si>
    <t>148 RICHARDS WAY</t>
  </si>
  <si>
    <t xml:space="preserve">MOON FAMILY TRUST  </t>
  </si>
  <si>
    <t>COBBLESTONE COURT LT 6 BLK A</t>
  </si>
  <si>
    <t>1380 VAN NESS AVE</t>
  </si>
  <si>
    <t xml:space="preserve">MASSEY, MARSHALL D &amp; MELODY C  </t>
  </si>
  <si>
    <t>PM 170 LT B</t>
  </si>
  <si>
    <t>2045 BONNEVILLE AVE</t>
  </si>
  <si>
    <t>RENO VISTA</t>
  </si>
  <si>
    <t xml:space="preserve">DE LARA, EVELIN C R  </t>
  </si>
  <si>
    <t xml:space="preserve">2045 BONNEVILLE AVE </t>
  </si>
  <si>
    <t>RENO VISTA LT 3 BLK A</t>
  </si>
  <si>
    <t>1450 PEAVINE RD</t>
  </si>
  <si>
    <t>MILLER, CURT C et al</t>
  </si>
  <si>
    <t>SAN FILIPPO KELLY M</t>
  </si>
  <si>
    <t>FR SE4 NW4 SEC 3 TWP 19 RGE 19</t>
  </si>
  <si>
    <t>1670 WESLEY DR</t>
  </si>
  <si>
    <t xml:space="preserve">MARCHAND, ERIC &amp; KELLI </t>
  </si>
  <si>
    <t xml:space="preserve">RAUH, TERRY </t>
  </si>
  <si>
    <t>002-273-15</t>
  </si>
  <si>
    <t>LAKE PARK HEIGHTS AMD LT 15 BLK C</t>
  </si>
  <si>
    <t>1710 WESLEY DR</t>
  </si>
  <si>
    <t xml:space="preserve">BROOKS, JACK H </t>
  </si>
  <si>
    <t>BARTER, ALFRED S et al</t>
  </si>
  <si>
    <t>LAKE PARK HEIGHTS AMD LT 17 BLK C</t>
  </si>
  <si>
    <t>1585 KEYSTONE AVE</t>
  </si>
  <si>
    <t>BALEME, SAMUEL E et al</t>
  </si>
  <si>
    <t>PACK-BALEME TIFFANY M</t>
  </si>
  <si>
    <t xml:space="preserve">HARADA, DAWN C </t>
  </si>
  <si>
    <t>LAKE PARK HEIGHTS AMD LT 7 BLK D</t>
  </si>
  <si>
    <t>1330 WESLEY DR</t>
  </si>
  <si>
    <t xml:space="preserve">CHESSER, SOPHIA  </t>
  </si>
  <si>
    <t xml:space="preserve">1330 WESLEY DR </t>
  </si>
  <si>
    <t>LAKE PARK HEIGHTS AMD LT 30 BLK D</t>
  </si>
  <si>
    <t>3116 OCEAN PORT DR</t>
  </si>
  <si>
    <t>1143 WESLEY DR</t>
  </si>
  <si>
    <t xml:space="preserve">GORELANGTON, TIMOTHY L  </t>
  </si>
  <si>
    <t xml:space="preserve">1143 WESLEY DR </t>
  </si>
  <si>
    <t xml:space="preserve">CITADEL PROPERTIES INC </t>
  </si>
  <si>
    <t>LAKE PARK HEIGHTS AMD LT 25 BLK E</t>
  </si>
  <si>
    <t>2050 KEYSTONE AVE</t>
  </si>
  <si>
    <t xml:space="preserve">CHILCOAT, TERRALL W </t>
  </si>
  <si>
    <t>1450 EARL DR</t>
  </si>
  <si>
    <t>AMPHITHEATER 6</t>
  </si>
  <si>
    <t>SABLOFF, SHAWN D et al</t>
  </si>
  <si>
    <t xml:space="preserve">WESTON TRUST, STELLA K  </t>
  </si>
  <si>
    <t>AMPHITHEATER 6 LT 35 BLK D</t>
  </si>
  <si>
    <t>1200 ALTURAS AVE</t>
  </si>
  <si>
    <t xml:space="preserve">LICATA FAMILY TRUST, BRIAN M  </t>
  </si>
  <si>
    <t>2298 RICHLAND AVE</t>
  </si>
  <si>
    <t xml:space="preserve">JONES, EVAN N </t>
  </si>
  <si>
    <t>AMPHITHEATER 3 LT 15 BLK E</t>
  </si>
  <si>
    <t>1172 WILLIAMS AVE</t>
  </si>
  <si>
    <t xml:space="preserve">SCHOPPE, TRENTON L &amp; CASSONDRA C </t>
  </si>
  <si>
    <t xml:space="preserve">BROWN, SHELLEY A </t>
  </si>
  <si>
    <t>AMPHITHEATER 3 LT 13 BLK F</t>
  </si>
  <si>
    <t>1185 GRANDVIEW AVE</t>
  </si>
  <si>
    <t>AMPHITHEATER 4</t>
  </si>
  <si>
    <t xml:space="preserve">WHEELER, WILLIAM N &amp; SARAH-LYNN </t>
  </si>
  <si>
    <t xml:space="preserve">NGUYEN, KRISTIN A &amp; VU A  </t>
  </si>
  <si>
    <t>AMPHITHEATER 4 LT 10 BLK K</t>
  </si>
  <si>
    <t>755 BROOKFIELD DR</t>
  </si>
  <si>
    <t xml:space="preserve">GRIMES, PATRICK M &amp; LINDA S </t>
  </si>
  <si>
    <t xml:space="preserve">CLARK, JOHN A </t>
  </si>
  <si>
    <t>AMPHITHEATER 2 LT 3 BLK F</t>
  </si>
  <si>
    <t>845 BROOKFIELD DR</t>
  </si>
  <si>
    <t xml:space="preserve">AMPHITHEATER 2 </t>
  </si>
  <si>
    <t xml:space="preserve">MAGEE, FRANK J  </t>
  </si>
  <si>
    <t xml:space="preserve">845 BROOKFIELD DR </t>
  </si>
  <si>
    <t xml:space="preserve">CLARK TRUST, JUNE G   </t>
  </si>
  <si>
    <t>AMPHITHEATER 2 FR LT 7, 8 BLK F</t>
  </si>
  <si>
    <t>875 W 11TH ST</t>
  </si>
  <si>
    <t>AMPHITHEATER 1</t>
  </si>
  <si>
    <t xml:space="preserve">GORDON, STACY B </t>
  </si>
  <si>
    <t>2106 BIDWELL WAY</t>
  </si>
  <si>
    <t>95815</t>
  </si>
  <si>
    <t>AMPHITHEATER 1 LT 15 BLK C</t>
  </si>
  <si>
    <t>850 W 11TH ST</t>
  </si>
  <si>
    <t xml:space="preserve">DANIEL, DAVID W </t>
  </si>
  <si>
    <t xml:space="preserve">JUNG TRUST, MATTHEW C  </t>
  </si>
  <si>
    <t>AMPHITHEATER 1 LT 13 BLK B</t>
  </si>
  <si>
    <t>964 GEAR ST</t>
  </si>
  <si>
    <t xml:space="preserve">WOODWARD, ELLIOTT </t>
  </si>
  <si>
    <t>WASHINGTON HEIGHTS 1 LT 29 BLK G</t>
  </si>
  <si>
    <t>979 MELBA DR</t>
  </si>
  <si>
    <t xml:space="preserve">STEELE, SHARON L </t>
  </si>
  <si>
    <t xml:space="preserve">DUCKWORTH, COLIN M </t>
  </si>
  <si>
    <t>002-361-32</t>
  </si>
  <si>
    <t>WASHINGTON HEIGHTS 1 LT 13 BLK G  ADJ RS 4219</t>
  </si>
  <si>
    <t>921 MELBA DR</t>
  </si>
  <si>
    <t xml:space="preserve">NELSON, JOEL R </t>
  </si>
  <si>
    <t xml:space="preserve">SISTARE FAMILY TRUST  </t>
  </si>
  <si>
    <t>WASHINGTON HEIGHTS 1 LT 12 BLK D</t>
  </si>
  <si>
    <t>931 MELBA DR</t>
  </si>
  <si>
    <t xml:space="preserve">DAINES FAMILY TRUST, MICHAEL &amp; LISA  </t>
  </si>
  <si>
    <t>MICHAEL K MD &amp; LISA S DAINES TRUSTEE</t>
  </si>
  <si>
    <t>235 FALLING WATER CT</t>
  </si>
  <si>
    <t xml:space="preserve">DUGAN, ALISON M </t>
  </si>
  <si>
    <t>WASHINGTON HEIGHTS 1 LT 10 BLK D</t>
  </si>
  <si>
    <t>925 KIMBAL DR</t>
  </si>
  <si>
    <t xml:space="preserve">ELLIS, BRANDON C  </t>
  </si>
  <si>
    <t xml:space="preserve">ELLIS, BRANDON C &amp; ALISSA C </t>
  </si>
  <si>
    <t>WASHINGTON HEIGHTS 1 LT 6 BLK B</t>
  </si>
  <si>
    <t>75 HASTINGS DR</t>
  </si>
  <si>
    <t>PRAY ADD</t>
  </si>
  <si>
    <t xml:space="preserve">MCCALL, KATHERINE R </t>
  </si>
  <si>
    <t>921 WHITAKER DR</t>
  </si>
  <si>
    <t>PETTENGILL, BONNIE M et al</t>
  </si>
  <si>
    <t>PRAY ADD LT 6</t>
  </si>
  <si>
    <t>2010 WINDSOR WAY</t>
  </si>
  <si>
    <t xml:space="preserve">LONG, MONTANA M &amp; HEATHER T </t>
  </si>
  <si>
    <t>ROYAL HEIGHTS 2 LT 36</t>
  </si>
  <si>
    <t>1425 MAJESTIC DR</t>
  </si>
  <si>
    <t xml:space="preserve">STUDEBAKER, JONATHAN D </t>
  </si>
  <si>
    <t xml:space="preserve">PRESCOTT, JAMES A </t>
  </si>
  <si>
    <t>ROYAL HEIGHTS 1 LT 25</t>
  </si>
  <si>
    <t>1495 MAJESTIC DR</t>
  </si>
  <si>
    <t xml:space="preserve">GAO, ZHIWEI </t>
  </si>
  <si>
    <t xml:space="preserve">ROOSEVELT MORTGAGE ACQUISITION </t>
  </si>
  <si>
    <t>ROYAL HEIGHTS 1 FR LT 22</t>
  </si>
  <si>
    <t>1545 ROYAL DR</t>
  </si>
  <si>
    <t xml:space="preserve">BEAUREGARD, MARION K  </t>
  </si>
  <si>
    <t xml:space="preserve">15445 ROYAL DR </t>
  </si>
  <si>
    <t xml:space="preserve">CHING, ELIZABETH A </t>
  </si>
  <si>
    <t>TOWN &amp; COUNTRY VILLAGE 2 AMD LT 16</t>
  </si>
  <si>
    <t>1310 KINGS ROW</t>
  </si>
  <si>
    <t>ROYAL HEIGHTS 3 AMD FR</t>
  </si>
  <si>
    <t xml:space="preserve">KLINTWORTH, JOE ANN </t>
  </si>
  <si>
    <t>514 SILVERSMITH PL</t>
  </si>
  <si>
    <t>ROYAL HEIGHTS AMD 3 FR LT 22</t>
  </si>
  <si>
    <t>1395 KINGS ROW</t>
  </si>
  <si>
    <t>ROYAL HTS 3</t>
  </si>
  <si>
    <t xml:space="preserve">CLIFFORD, PENELOPE A  </t>
  </si>
  <si>
    <t>ROYAL HEIGHTS 3 AMD FR LT 32 33</t>
  </si>
  <si>
    <t>1115 MAJESTIC CT</t>
  </si>
  <si>
    <t xml:space="preserve">DELA CRUZ, RAMIL S &amp; CHERYL </t>
  </si>
  <si>
    <t xml:space="preserve">DELA CRUZ, RAMIL S </t>
  </si>
  <si>
    <t>ROYAL HEIGHTS 3 LT 7</t>
  </si>
  <si>
    <t>1630 VAN NESS AVE</t>
  </si>
  <si>
    <t>TRIEMPE LLC</t>
  </si>
  <si>
    <t xml:space="preserve">1660 VAN NESS AVE </t>
  </si>
  <si>
    <t xml:space="preserve">O`BRIEN, MELANIA </t>
  </si>
  <si>
    <t>MONTE VISTA EST LT 12 BLK A</t>
  </si>
  <si>
    <t>2165 PRINCE WAY</t>
  </si>
  <si>
    <t xml:space="preserve">BRAY, LAURIE J  </t>
  </si>
  <si>
    <t xml:space="preserve">2165 PRINCE WAY </t>
  </si>
  <si>
    <t>ROYAL HEIGHTS 4 LT 53</t>
  </si>
  <si>
    <t>1055 MC DONALD DR</t>
  </si>
  <si>
    <t>CAMARGO, CARLOS et al</t>
  </si>
  <si>
    <t>GARCIA ZOILA</t>
  </si>
  <si>
    <t>1055 MCDONALD DR</t>
  </si>
  <si>
    <t>ROYAL HEIGHTS 4 LT 72</t>
  </si>
  <si>
    <t>1895 PRINCE WAY</t>
  </si>
  <si>
    <t>NADY, JOSEPH W et al</t>
  </si>
  <si>
    <t>34 MORAINE DR</t>
  </si>
  <si>
    <t xml:space="preserve">BUTNER LIVING TRUST, LEAH  </t>
  </si>
  <si>
    <t>ROYAL HEIGHTS 4 LT 67</t>
  </si>
  <si>
    <t>2055 PRINCE WAY</t>
  </si>
  <si>
    <t xml:space="preserve">SALISBURY FAMILY TRUST, CHARLES E   </t>
  </si>
  <si>
    <t xml:space="preserve">SALISBURY, CHARLES E  </t>
  </si>
  <si>
    <t>ROYAL HEIGHTS 4 LT 59</t>
  </si>
  <si>
    <t>2010 PRINCE WAY</t>
  </si>
  <si>
    <t>HUMPHREY, CODY et al</t>
  </si>
  <si>
    <t>ROYAL HEIGHTS 4 LT 13</t>
  </si>
  <si>
    <t>FR SE4 SEC 3 TWP 19 RGE 19</t>
  </si>
  <si>
    <t>1330 MC DONALD DR</t>
  </si>
  <si>
    <t>AFFONSO, GARY et al</t>
  </si>
  <si>
    <t>1330 MCDONALD DR</t>
  </si>
  <si>
    <t>ROYAL HEIGHTS 5 LT 265</t>
  </si>
  <si>
    <t>1315 KING ARTHUR CT</t>
  </si>
  <si>
    <t xml:space="preserve">SMITH, RYAN J </t>
  </si>
  <si>
    <t>ROMERO, ALICIA A et al</t>
  </si>
  <si>
    <t>ROYAL HEIGHTS 5 LT 5</t>
  </si>
  <si>
    <t>1340 KING ARTHUR CT</t>
  </si>
  <si>
    <t>STARKS-BIXBY, LAURA  et al</t>
  </si>
  <si>
    <t xml:space="preserve">1340 KING ARTHUR </t>
  </si>
  <si>
    <t xml:space="preserve">SMITH, VICKI D </t>
  </si>
  <si>
    <t>ROYAL HEIGHTS 5  LT 2</t>
  </si>
  <si>
    <t>1610 SEVERN DR</t>
  </si>
  <si>
    <t xml:space="preserve">FISHER, CLINTON </t>
  </si>
  <si>
    <t xml:space="preserve">COVIC, ROBERT R </t>
  </si>
  <si>
    <t>ROYAL HEIGHTS 5 LT 252</t>
  </si>
  <si>
    <t>1905 PRIOR RD</t>
  </si>
  <si>
    <t>MOJUMDER, NURNOBI et al</t>
  </si>
  <si>
    <t>ROYAL HEIGHTS 5  LT 115</t>
  </si>
  <si>
    <t>1485 VAN PETTEN ST</t>
  </si>
  <si>
    <t xml:space="preserve">HURTADO, JUAN A </t>
  </si>
  <si>
    <t xml:space="preserve">SHAW, DAMON &amp; SALLY </t>
  </si>
  <si>
    <t>ROYAL HEIGHTS 5 LT 84</t>
  </si>
  <si>
    <t>1920 KINGS ROW</t>
  </si>
  <si>
    <t xml:space="preserve">SANDSTROM, PENNY J  </t>
  </si>
  <si>
    <t xml:space="preserve">FROST, NANCY J </t>
  </si>
  <si>
    <t>ROYAL HEIGHTS 5 LT 37</t>
  </si>
  <si>
    <t>1795 KINGS ROW</t>
  </si>
  <si>
    <t xml:space="preserve">KIMBALL, MISTI </t>
  </si>
  <si>
    <t>ROYAL HEIGHTS 5 LT 166</t>
  </si>
  <si>
    <t>1675 CROWN DR</t>
  </si>
  <si>
    <t>FORSYTHE, DREW G et al</t>
  </si>
  <si>
    <t xml:space="preserve">REICHLIN, JOSEPH A JR </t>
  </si>
  <si>
    <t>ROYAL HEIGHTS 5 LT 61</t>
  </si>
  <si>
    <t>2185 KING EDWARD DR</t>
  </si>
  <si>
    <t xml:space="preserve">SMITH, THERESA M </t>
  </si>
  <si>
    <t xml:space="preserve">GREENE LIVING TRUST, STEVE &amp; JACKIE  </t>
  </si>
  <si>
    <t>ROYAL HEIGHTS 5 AMD LT 229</t>
  </si>
  <si>
    <t>2275 JESTER CT</t>
  </si>
  <si>
    <t xml:space="preserve">COPELAND , JOSEPH S &amp; LEANNDRA </t>
  </si>
  <si>
    <t xml:space="preserve">HARADA, ROGER R </t>
  </si>
  <si>
    <t>ROYAL HEIGHTS 5 LT 224</t>
  </si>
  <si>
    <t>2255 KING EDWARD DR</t>
  </si>
  <si>
    <t xml:space="preserve">MEGLAND LLC </t>
  </si>
  <si>
    <t>PO BOX 127</t>
  </si>
  <si>
    <t>BLUE DIAMOND</t>
  </si>
  <si>
    <t xml:space="preserve">DODA LIVING TRUST  </t>
  </si>
  <si>
    <t>ROYAL HEIGHTS 5 LT 216</t>
  </si>
  <si>
    <t>849 PUTNAM DR</t>
  </si>
  <si>
    <t xml:space="preserve">BRAIK, MARTIN &amp; AMIE </t>
  </si>
  <si>
    <t xml:space="preserve">849 PUTNAM DR </t>
  </si>
  <si>
    <t>EVANS PARK 7 LT 12 BLK B</t>
  </si>
  <si>
    <t>1417 WESSEX CIR</t>
  </si>
  <si>
    <t>HINOJOSA, TOMAS JR &amp; RENEE J et al</t>
  </si>
  <si>
    <t xml:space="preserve">P4500 MOUNTAI GATE </t>
  </si>
  <si>
    <t xml:space="preserve">DUNN TRUST, PETER G &amp; SHARON K  </t>
  </si>
  <si>
    <t>PARKLAND 1 LT 6</t>
  </si>
  <si>
    <t>1432 WESSEX CIR</t>
  </si>
  <si>
    <t xml:space="preserve">WADE, JOHN  T  </t>
  </si>
  <si>
    <t>PARKLAND 1 LT 43</t>
  </si>
  <si>
    <t>1450 WESSEX CIR</t>
  </si>
  <si>
    <t>LEVINE, LARRY A et al</t>
  </si>
  <si>
    <t>GREY-LEVINE KAREN</t>
  </si>
  <si>
    <t>3301 PRINCETON WAY</t>
  </si>
  <si>
    <t>PARKLAND 1 LT 38</t>
  </si>
  <si>
    <t>1678 COMMONWEALTH CIR</t>
  </si>
  <si>
    <t>PARKLAND 2</t>
  </si>
  <si>
    <t xml:space="preserve">ALBRIGHT, WILLIAM H </t>
  </si>
  <si>
    <t xml:space="preserve">VALMONTE, ARTURO A </t>
  </si>
  <si>
    <t>002-040-58</t>
  </si>
  <si>
    <t>PARKLAND 2 LT 3</t>
  </si>
  <si>
    <t>1679 COMMONWEALTH CIR</t>
  </si>
  <si>
    <t xml:space="preserve">SHUMAKER, STANLEY E &amp; NEILA S </t>
  </si>
  <si>
    <t>405 GREENSBURG CIR</t>
  </si>
  <si>
    <t>CONABOY, MARTIN et al</t>
  </si>
  <si>
    <t>PARKLAND 2 LT 18</t>
  </si>
  <si>
    <t>125 VISTA RAFAEL PKWY</t>
  </si>
  <si>
    <t xml:space="preserve">CHAMBERS, LUCAS &amp; JENILEE </t>
  </si>
  <si>
    <t xml:space="preserve">HAMRICK, TRAVIS C </t>
  </si>
  <si>
    <t>EAGLES NEST LT 57 BLK B</t>
  </si>
  <si>
    <t>123 VISTA RAFAEL PKWY</t>
  </si>
  <si>
    <t xml:space="preserve">GWALTNEY, JOHN </t>
  </si>
  <si>
    <t>EAGLES NEST LT 61 BLK B</t>
  </si>
  <si>
    <t>77 VISTA RAFAEL PKWY</t>
  </si>
  <si>
    <t xml:space="preserve">DEL REY, FERNANDO A  </t>
  </si>
  <si>
    <t>EAGLES NEST LT 33 BLK B</t>
  </si>
  <si>
    <t>13 VISTA RAFAEL PKWY</t>
  </si>
  <si>
    <t xml:space="preserve">GUSS, MAUREEN </t>
  </si>
  <si>
    <t>19 VISTGA RAFAEL PKWY</t>
  </si>
  <si>
    <t>THOMAS, LAURIE et al</t>
  </si>
  <si>
    <t>EAGLES NEST LT 1 BLK A</t>
  </si>
  <si>
    <t>95 VISTA RAFAEL PKWY</t>
  </si>
  <si>
    <t xml:space="preserve">ALBEE, WILLIAM E &amp; FLORENCE M </t>
  </si>
  <si>
    <t>10425 RED ROCK RD</t>
  </si>
  <si>
    <t>EAGLES NEST LT 30 BLK B</t>
  </si>
  <si>
    <t>63 VISTA RAFAEL PKWY</t>
  </si>
  <si>
    <t>EAGLES NEST LT 46 BLK B</t>
  </si>
  <si>
    <t>53 VISTA RAFAEL PKWY</t>
  </si>
  <si>
    <t xml:space="preserve">SPERGEL, LAWRENCE </t>
  </si>
  <si>
    <t>1402-C POST ST</t>
  </si>
  <si>
    <t>EAGLES NEST LT 11 BLK A</t>
  </si>
  <si>
    <t>37 VISTA RAFAEL PKWY</t>
  </si>
  <si>
    <t xml:space="preserve">ALLEN, DONALD S </t>
  </si>
  <si>
    <t>EAGLES NEST LT 19 BLK A</t>
  </si>
  <si>
    <t xml:space="preserve">PERKINS, MATHEW </t>
  </si>
  <si>
    <t>EAGLES NEST LT 72 BLK B</t>
  </si>
  <si>
    <t>57 VISTA RAFAEL PKWY</t>
  </si>
  <si>
    <t xml:space="preserve">EAGLES NEST </t>
  </si>
  <si>
    <t xml:space="preserve">YASMEEN, HATTIE L </t>
  </si>
  <si>
    <t>CLEARLAKE OAKS</t>
  </si>
  <si>
    <t>95423</t>
  </si>
  <si>
    <t xml:space="preserve">KAHRAMAN, SUZAN </t>
  </si>
  <si>
    <t>EAGLES NEST LT 12 BLK A</t>
  </si>
  <si>
    <t>4700 EMERY DR</t>
  </si>
  <si>
    <t xml:space="preserve">DRACE, JACK R </t>
  </si>
  <si>
    <t>PO BOX 61241</t>
  </si>
  <si>
    <t xml:space="preserve">HUNDEN, JOANNE A </t>
  </si>
  <si>
    <t>FR SW4 NW4 SEC 26 TWP 20 RGE 19</t>
  </si>
  <si>
    <t>BGNE</t>
  </si>
  <si>
    <t>3525 BUCKHORN WAY</t>
  </si>
  <si>
    <t xml:space="preserve">SCHULTZ, JORDAN T &amp; KATHERINE </t>
  </si>
  <si>
    <t>WOOD IS GOOD LLC  LLC</t>
  </si>
  <si>
    <t>RENO FOOTHILLS 1 LT 20</t>
  </si>
  <si>
    <t>3525 LODESTAR LN</t>
  </si>
  <si>
    <t>CHAMBERLIN, ERICA A  et al</t>
  </si>
  <si>
    <t xml:space="preserve">3525 LODESTAR LN </t>
  </si>
  <si>
    <t>RENO FOOTHILLS 1 LT 40</t>
  </si>
  <si>
    <t>3431 GYPSUM RD</t>
  </si>
  <si>
    <t xml:space="preserve">STEVENSON, PAUL </t>
  </si>
  <si>
    <t>PO BOX 3828</t>
  </si>
  <si>
    <t xml:space="preserve">CALLAHAN INVESTMENT PROP LLC </t>
  </si>
  <si>
    <t>RENO FOOTHILLS 1 LT 80</t>
  </si>
  <si>
    <t>3596 GYPSUM RD</t>
  </si>
  <si>
    <t xml:space="preserve">D`INNOCENTI 2008 FAMILY TRUST  </t>
  </si>
  <si>
    <t>7890 PEAVINE VIEW CT</t>
  </si>
  <si>
    <t xml:space="preserve">NAGEL LIVING TRUST  </t>
  </si>
  <si>
    <t>RENO FOOTHILLS 1 LT 93</t>
  </si>
  <si>
    <t>3235 GYPSUM RD</t>
  </si>
  <si>
    <t>RENO DAWNS CONDOMINIUMS</t>
  </si>
  <si>
    <t xml:space="preserve">LAGUNSAD, MANNIE &amp; OLGA </t>
  </si>
  <si>
    <t xml:space="preserve">6405 BRISTOL WAY </t>
  </si>
  <si>
    <t xml:space="preserve">WILLIAMS, ANTHONY J </t>
  </si>
  <si>
    <t>RENO DAWNS CONDOS LT 1</t>
  </si>
  <si>
    <t>BHEA</t>
  </si>
  <si>
    <t>185 SILVERSTONE PL</t>
  </si>
  <si>
    <t>PM 1247 FR</t>
  </si>
  <si>
    <t xml:space="preserve">HILFER LIVING TRUST  </t>
  </si>
  <si>
    <t xml:space="preserve">900 S UNIVERSITY PARK LOOP </t>
  </si>
  <si>
    <t xml:space="preserve">ISBISTER FAMILY TRUST  </t>
  </si>
  <si>
    <t>PM 1247 FR LT 2</t>
  </si>
  <si>
    <t>BHBE</t>
  </si>
  <si>
    <t>660 KANE CT</t>
  </si>
  <si>
    <t xml:space="preserve">YOUNG, MARTIN </t>
  </si>
  <si>
    <t xml:space="preserve">BOUDREAUX, ANN </t>
  </si>
  <si>
    <t>UNIVERSITY HEIGHTS 4 LT 4 BLK A</t>
  </si>
  <si>
    <t>3020 COMSTOCK DR</t>
  </si>
  <si>
    <t xml:space="preserve">DELAFOSSE, EARL J JR  </t>
  </si>
  <si>
    <t>PO BOX 12905</t>
  </si>
  <si>
    <t>89510-2905</t>
  </si>
  <si>
    <t xml:space="preserve">ROSS, TOBY G </t>
  </si>
  <si>
    <t>UNIVERSITY HEIGHTS 1 LT 2 BLK A</t>
  </si>
  <si>
    <t>935 DEMOS CT</t>
  </si>
  <si>
    <t xml:space="preserve">ALESSANDRA , MARILEE R  </t>
  </si>
  <si>
    <t xml:space="preserve">935 DEMOS CT </t>
  </si>
  <si>
    <t xml:space="preserve">SAMUELS FAMILY TRUST  </t>
  </si>
  <si>
    <t>UNIVERSITY HTS 2 PH 5 AMD LT 10 BLK H</t>
  </si>
  <si>
    <t>3165 SOCRATES DR</t>
  </si>
  <si>
    <t>UNIVERSITY HTS II PHASE 2</t>
  </si>
  <si>
    <t xml:space="preserve">ALLEN, CHAD E </t>
  </si>
  <si>
    <t xml:space="preserve">CHAPPEL, JOHN N &amp; VALERIE J </t>
  </si>
  <si>
    <t>UNIVERSITY HEIGHTS 2 LT  3 BLK C</t>
  </si>
  <si>
    <t>3065 ACHILLES DR</t>
  </si>
  <si>
    <t>LEANILLO, FLORENTINO &amp; ROSALINDA et al</t>
  </si>
  <si>
    <t>13620 JETMORE AVE</t>
  </si>
  <si>
    <t xml:space="preserve">PARAMOUNT </t>
  </si>
  <si>
    <t>GARCIA, ADELA G et al</t>
  </si>
  <si>
    <t>UNIVERSITY HEIGHTS 2 PH 3 LT 4 BLK E</t>
  </si>
  <si>
    <t>1024 UNIVERSITY RIDGE DR</t>
  </si>
  <si>
    <t>UNIVERSITY RIDGE 1</t>
  </si>
  <si>
    <t xml:space="preserve">CHANG, SANG K &amp; SUN Y </t>
  </si>
  <si>
    <t>UNIVERSITY RIDGE 1 LT 22 BLK C</t>
  </si>
  <si>
    <t>905 UNIVERSITY PL</t>
  </si>
  <si>
    <t xml:space="preserve">LARSEN LIVING TRUST  </t>
  </si>
  <si>
    <t xml:space="preserve">905 UNIVERSITY PL                       </t>
  </si>
  <si>
    <t xml:space="preserve">NEAL LIVING TRUST, NORMA  </t>
  </si>
  <si>
    <t>UNIVERSITY RIDGE 1 LT 11 BLK B</t>
  </si>
  <si>
    <t>651 TARN WAY</t>
  </si>
  <si>
    <t xml:space="preserve">WILLSON, PAMELA G </t>
  </si>
  <si>
    <t>10207 PRINCESS SARIT WAY</t>
  </si>
  <si>
    <t>SANTEE</t>
  </si>
  <si>
    <t>LST SECURITIES LLC LLC</t>
  </si>
  <si>
    <t>WASHOE VISTA LT 105 BLK C</t>
  </si>
  <si>
    <t>3692 SHALE CT</t>
  </si>
  <si>
    <t xml:space="preserve">WOODRUFF, JASON J &amp; KIMBERLY C  </t>
  </si>
  <si>
    <t xml:space="preserve">SULLIVAN, JOSEPH P &amp; CHRISTINE D  </t>
  </si>
  <si>
    <t>WASHOE VISTA LT 78 BLK B</t>
  </si>
  <si>
    <t>3661 SHALE CT</t>
  </si>
  <si>
    <t xml:space="preserve">BRONK, JOEL K &amp; MEGAN  </t>
  </si>
  <si>
    <t xml:space="preserve">CALLAHAN, THOMAS J </t>
  </si>
  <si>
    <t>WASHOE VISTA LT 72 BLK B</t>
  </si>
  <si>
    <t>625 TALUS WAY</t>
  </si>
  <si>
    <t>GONZALEZ, EZEQUIEL E et al</t>
  </si>
  <si>
    <t xml:space="preserve">JOHNSON, J MARK </t>
  </si>
  <si>
    <t>WASHOE VISTA LT 65 BLK B</t>
  </si>
  <si>
    <t>641 TALUS WAY</t>
  </si>
  <si>
    <t xml:space="preserve">WATTERS, MARCIA &amp; JAMES  </t>
  </si>
  <si>
    <t xml:space="preserve">641 TALUS WAY </t>
  </si>
  <si>
    <t>WASHOE VISTA LT 62 BLK B</t>
  </si>
  <si>
    <t>540 TARN WAY</t>
  </si>
  <si>
    <t xml:space="preserve">MILLER, MONICA K  </t>
  </si>
  <si>
    <t xml:space="preserve">GWALTNEY TRUST, ONETIA  </t>
  </si>
  <si>
    <t>WASHOE VISTA LT 23 BLK A</t>
  </si>
  <si>
    <t>3391 ADLER CT</t>
  </si>
  <si>
    <t>MATTOS, JOHN V  LLC</t>
  </si>
  <si>
    <t xml:space="preserve">3391 ALDER CT </t>
  </si>
  <si>
    <t>WASHOE VISTA LT 21 BLK A</t>
  </si>
  <si>
    <t>3470 UNIVERSITY GREEN DR</t>
  </si>
  <si>
    <t xml:space="preserve">GRANT, TERESA M </t>
  </si>
  <si>
    <t>UNIVERSITY RIDGE 2 LT 11 BLK B</t>
  </si>
  <si>
    <t>1035 UNIVERSITY RIDGE DR</t>
  </si>
  <si>
    <t xml:space="preserve">PETREE, RHONDA </t>
  </si>
  <si>
    <t>PO BOX 52</t>
  </si>
  <si>
    <t xml:space="preserve">HUNTER FAMILY TRUST  </t>
  </si>
  <si>
    <t>UNIVERSITY RIDGE 8 LT 1</t>
  </si>
  <si>
    <t>945 MORRILL HALL CT</t>
  </si>
  <si>
    <t xml:space="preserve">BELL, THOMAS W </t>
  </si>
  <si>
    <t>945 MORRILl HALL CT</t>
  </si>
  <si>
    <t xml:space="preserve">BOUWER, CONSUELO C </t>
  </si>
  <si>
    <t>UNIVERSITY RIDGE 8 LT 11</t>
  </si>
  <si>
    <t>1174 UNIVERSITY RIDGE DR</t>
  </si>
  <si>
    <t xml:space="preserve">ROK, BENJAMIN A </t>
  </si>
  <si>
    <t>KNADEL, AARON et al</t>
  </si>
  <si>
    <t>UNIVERSITY RIDGE 8 LT 31</t>
  </si>
  <si>
    <t>622 MOUNT DIABLO DR</t>
  </si>
  <si>
    <t xml:space="preserve">COWAN, MICHAEL K &amp; SUSAN E </t>
  </si>
  <si>
    <t>TENAYA CREEK LT 10 BLK A</t>
  </si>
  <si>
    <t>652 DIAMOND O DR</t>
  </si>
  <si>
    <t xml:space="preserve">GRIFFITH, TRACY C </t>
  </si>
  <si>
    <t>TENAYA CREEK LT 13 BLK B</t>
  </si>
  <si>
    <t>621 MOUNT DIABLO DR</t>
  </si>
  <si>
    <t xml:space="preserve">GALLERON, SHERYL J </t>
  </si>
  <si>
    <t>621 MOUNT DIABLE DR</t>
  </si>
  <si>
    <t>TENAYA CREEK LT 7 BLK B</t>
  </si>
  <si>
    <t>5230 TENAYA CREEK LN</t>
  </si>
  <si>
    <t>LAMBDIN, KIEL A et al</t>
  </si>
  <si>
    <t>TENAYA CREEK LT 59 BLK A</t>
  </si>
  <si>
    <t>5220 TENAYA CREEK LN</t>
  </si>
  <si>
    <t xml:space="preserve">ADAMS, JOAN </t>
  </si>
  <si>
    <t>MALDONADO-RUIZ, SAUL et al</t>
  </si>
  <si>
    <t>TENAYA CREEK LT 60 BLK A</t>
  </si>
  <si>
    <t>5330 RUBY CREEK CT</t>
  </si>
  <si>
    <t xml:space="preserve">NAKAO, JEREMY </t>
  </si>
  <si>
    <t xml:space="preserve">GARCIA, ANTONIO &amp; MARIA </t>
  </si>
  <si>
    <t>TENAYA CREEK LT 38 BLK A</t>
  </si>
  <si>
    <t>5340 RUBY CREEK CT</t>
  </si>
  <si>
    <t>ETCHEVERRY, PETER et al</t>
  </si>
  <si>
    <t>300 BRITT RD</t>
  </si>
  <si>
    <t xml:space="preserve">CARBAJAL , JAVIER R  </t>
  </si>
  <si>
    <t>TENAYA CREEK LT 37 BLK A</t>
  </si>
  <si>
    <t>625 RUBY CREEK LN</t>
  </si>
  <si>
    <t xml:space="preserve">ADAMS, MATTHEW W </t>
  </si>
  <si>
    <t>TENAYA CREEK LT 29 BLK A</t>
  </si>
  <si>
    <t>5299 MOUNT DANA DR</t>
  </si>
  <si>
    <t xml:space="preserve">WHITE, GARY W </t>
  </si>
  <si>
    <t>5299 MT DANA DR</t>
  </si>
  <si>
    <t xml:space="preserve">KELLY, KATHRINE </t>
  </si>
  <si>
    <t>TENAYA CREEK LT 27 BLK A</t>
  </si>
  <si>
    <t>690 RUBY CREEK LN</t>
  </si>
  <si>
    <t xml:space="preserve">AGUILAR-MORA, JOSE L </t>
  </si>
  <si>
    <t>TENAYA CREEK LT 16 BLK D</t>
  </si>
  <si>
    <t>845 UNIVERSITY PARK LOOP N</t>
  </si>
  <si>
    <t xml:space="preserve">CORBIT, JEANNE M </t>
  </si>
  <si>
    <t>845 N UNIVERSITY PARK LOOP</t>
  </si>
  <si>
    <t>UNIVERSITY RIDGE 6 LT 2</t>
  </si>
  <si>
    <t>835 UNIVERSITY PARK LOOP N</t>
  </si>
  <si>
    <t>LOPEZ, J GUADALUPE A  et al</t>
  </si>
  <si>
    <t xml:space="preserve">APOLINAR MARIA C </t>
  </si>
  <si>
    <t>835 N UNIVERSITY PARK LOOP</t>
  </si>
  <si>
    <t>UNIVERSITY RIDGE 6 LT 1</t>
  </si>
  <si>
    <t>886 UNIVERSITY PARK LOOP N</t>
  </si>
  <si>
    <t>YODNIL, PRACHANAN et al</t>
  </si>
  <si>
    <t>886 N UNIVERSITY PARK LOOP</t>
  </si>
  <si>
    <t>UNIVERSITY RIDGE 6 LT 46</t>
  </si>
  <si>
    <t>3484 WEAVER PL</t>
  </si>
  <si>
    <t xml:space="preserve">ALBARRAN, TLALOC M </t>
  </si>
  <si>
    <t>UNIVERSITY RIDGE 6 LT 12</t>
  </si>
  <si>
    <t>3427 WEAVER PL</t>
  </si>
  <si>
    <t xml:space="preserve">CHAMBERS, SHIRLEY K &amp; MICHAEL D </t>
  </si>
  <si>
    <t>UNIVERSITY RIDGE 6 LT 35</t>
  </si>
  <si>
    <t>3419 WEAVER PL</t>
  </si>
  <si>
    <t xml:space="preserve">OLISCANU, ALIONA A  </t>
  </si>
  <si>
    <t xml:space="preserve">3419 WEAVER PL </t>
  </si>
  <si>
    <t>UNIVERSITY RIDGE 6 LT 34</t>
  </si>
  <si>
    <t>355 MADISON MARIE LN</t>
  </si>
  <si>
    <t xml:space="preserve">WARD, CHELSEA M </t>
  </si>
  <si>
    <t xml:space="preserve">WHITLOCK, SEAN M &amp; ARIEL K </t>
  </si>
  <si>
    <t>RANCHO SAN RAFAEL TH LT 88</t>
  </si>
  <si>
    <t>4209 AMBER MARIE LN</t>
  </si>
  <si>
    <t>RAUCHLE RENTALS LLC  LLC</t>
  </si>
  <si>
    <t>OXLEY LIVING TRUST, WALTER &amp; CECILIA et al</t>
  </si>
  <si>
    <t>RANCHO SAN RAFAEL TOWNHOMES LT 10</t>
  </si>
  <si>
    <t>4159 AMBER MARIE LN</t>
  </si>
  <si>
    <t xml:space="preserve">SMITH, AARON R </t>
  </si>
  <si>
    <t xml:space="preserve">DICKINSON, ROBERT </t>
  </si>
  <si>
    <t>RANCHO SAN RAFAEL TH LT 15</t>
  </si>
  <si>
    <t>4200 AMBER MARIE LN</t>
  </si>
  <si>
    <t xml:space="preserve">BIALE, ADRION E </t>
  </si>
  <si>
    <t>RANCHO SAN RAFAEL TH LT 102</t>
  </si>
  <si>
    <t>4297 KATHLEEN DENISE LN</t>
  </si>
  <si>
    <t xml:space="preserve">MICHENZI, SALVATORE A </t>
  </si>
  <si>
    <t xml:space="preserve">PITTMAN, TERRELL W &amp; LINDA L </t>
  </si>
  <si>
    <t>RANCHO SAN RAFAEL TOWNHOMES LT 135</t>
  </si>
  <si>
    <t>4320 NATHAN STEPHEN CT</t>
  </si>
  <si>
    <t>SCRUGGS, DEVIN et al</t>
  </si>
  <si>
    <t>C/O DAN G SCRUGGS</t>
  </si>
  <si>
    <t>P O BOX 41132</t>
  </si>
  <si>
    <t>95160</t>
  </si>
  <si>
    <t>RANCHO SAN RAFAEL TOWNHOMES LT 63</t>
  </si>
  <si>
    <t>4490 NATHAN STEPHEN CT</t>
  </si>
  <si>
    <t xml:space="preserve">HERDA TRUST, AMBER L   </t>
  </si>
  <si>
    <t xml:space="preserve">DAHMAN, FLETCHER D &amp; LAURA L </t>
  </si>
  <si>
    <t>RANCHO SAN RAFAEL TH LT 73</t>
  </si>
  <si>
    <t>390 ANDREW CAHILL LN</t>
  </si>
  <si>
    <t xml:space="preserve">GEISLER, ANDREA C </t>
  </si>
  <si>
    <t xml:space="preserve">FISHER LIVING TRUST, JAMES R &amp; DIANNE R  </t>
  </si>
  <si>
    <t>RANCHO SAN RAFAEL TH LT 20</t>
  </si>
  <si>
    <t>4017 ANTHONY JAMES CT</t>
  </si>
  <si>
    <t>RANCHO SAN RAFAEL TOWNHOMES LT 33</t>
  </si>
  <si>
    <t>4599 KATHLEEN DENISE LN</t>
  </si>
  <si>
    <t>HAGEN, BARRY &amp; HOLLY L et al</t>
  </si>
  <si>
    <t xml:space="preserve">SATTERWHITE, ASHLEY E </t>
  </si>
  <si>
    <t>RANCHO SAN RAFAEL TH PH I UT 2 LT 18</t>
  </si>
  <si>
    <t>4519 KATHLEEN DENISE LN</t>
  </si>
  <si>
    <t xml:space="preserve">LENGDORFER FAMILY TRUST  </t>
  </si>
  <si>
    <t>1302 FOOTHILL RD</t>
  </si>
  <si>
    <t>RANCHO SAN RAFAEL TH PH I UT 2 LT 4</t>
  </si>
  <si>
    <t>370 DAWSON JACOB LN</t>
  </si>
  <si>
    <t xml:space="preserve">CAMPBELL, DOROTHY </t>
  </si>
  <si>
    <t xml:space="preserve">ALLEN, LIZABETH </t>
  </si>
  <si>
    <t>RANCHO SAN RAFAEL TH PH I UT 2 LT 58</t>
  </si>
  <si>
    <t>350 DAWSON JACOB LN</t>
  </si>
  <si>
    <t xml:space="preserve">PULLEY, ROBERT D </t>
  </si>
  <si>
    <t xml:space="preserve">350 DAWSON JACOB LN </t>
  </si>
  <si>
    <t xml:space="preserve">WEEDEN, KYLE D </t>
  </si>
  <si>
    <t>RANCHO SAN RAFAEL TH PH I UT 2 LT 56</t>
  </si>
  <si>
    <t>310 DAWSON JACOB LN</t>
  </si>
  <si>
    <t xml:space="preserve">GRUNER LIVING TRUST  </t>
  </si>
  <si>
    <t>1853 WOODTRAIL CT</t>
  </si>
  <si>
    <t xml:space="preserve">LAPPIN, KATHARINE R </t>
  </si>
  <si>
    <t>RANCHO SAN RAFAEL TH PH I UT 2 LT 50</t>
  </si>
  <si>
    <t>250 JOHN EUGENE CT</t>
  </si>
  <si>
    <t xml:space="preserve">BARBA, ANDREW </t>
  </si>
  <si>
    <t xml:space="preserve">250 JOHN EUGENE CT </t>
  </si>
  <si>
    <t>RANCHO SAN RAFAEL TH PH I UT 2 LT 40</t>
  </si>
  <si>
    <t>200 JOHN EUGENE CT</t>
  </si>
  <si>
    <t xml:space="preserve">WILSON, ANDREA N </t>
  </si>
  <si>
    <t>RANCHO SAN RAFAEL TH PH I UT 2 LT 35</t>
  </si>
  <si>
    <t>355 DAWSON JACOB LN</t>
  </si>
  <si>
    <t>MCCROSSAN, EDWARD O  et al</t>
  </si>
  <si>
    <t>1331 HOMER ST APT 106</t>
  </si>
  <si>
    <t>VANCOUVER</t>
  </si>
  <si>
    <t>V6B 5M5</t>
  </si>
  <si>
    <t xml:space="preserve">MCCROSSAN, EDWARD O  </t>
  </si>
  <si>
    <t>RANCHO SAN RAFAEL TH PH I UT 2 LT 104</t>
  </si>
  <si>
    <t>4556 KATHLEEN DENISE LN</t>
  </si>
  <si>
    <t>RANCHO SAN RAFAEL TH 1 UT 2</t>
  </si>
  <si>
    <t xml:space="preserve">ZIEGLER FAMILY TRUST, JOHANNES M &amp; SWENJA K  </t>
  </si>
  <si>
    <t>RANCHO SAN RAFAEL TH I UT 2 LT 62</t>
  </si>
  <si>
    <t>4568 KATHLEEN DENISE LN</t>
  </si>
  <si>
    <t xml:space="preserve">BLEVINS, JANICE M </t>
  </si>
  <si>
    <t>RANCHO SAN RAFAEL TH I UT 2 LT 64</t>
  </si>
  <si>
    <t>4677 KATHLEEN DENISE LN</t>
  </si>
  <si>
    <t xml:space="preserve">RAUCHLE TRUST, CRAIG W  </t>
  </si>
  <si>
    <t>RANCHO SAN RAFAEL TH PH I UT 2 LT 30</t>
  </si>
  <si>
    <t>4647 KATHLEEN DENISE LN</t>
  </si>
  <si>
    <t xml:space="preserve">WEINTRAUB, JULIE </t>
  </si>
  <si>
    <t>RANCHO SAN RAFAEL TH PH I UT 2 LT 25</t>
  </si>
  <si>
    <t>4641 KATHLEEN DENISE LN</t>
  </si>
  <si>
    <t>RANCHO SAN RAFAEL TH PH I UT 2 LT 24</t>
  </si>
  <si>
    <t>4635 KATHLEEN DENISE LN</t>
  </si>
  <si>
    <t xml:space="preserve">ASKIN, CHRISTOPHER P &amp; ANN B  </t>
  </si>
  <si>
    <t>RANCHO SAN RAFAEL TH PH I UT 2 LT 23</t>
  </si>
  <si>
    <t>4695 SARAH BETH LN</t>
  </si>
  <si>
    <t>GREENE, CYNTHIA et al</t>
  </si>
  <si>
    <t>RANCHO SAN RAFAEL TH PH I UT 2 LT 83</t>
  </si>
  <si>
    <t>4675 SARAH BETH LN</t>
  </si>
  <si>
    <t>ABE, JOSHUA A  et al</t>
  </si>
  <si>
    <t>LAINE, ROGER M et al</t>
  </si>
  <si>
    <t>RANCHO SAN RAFAEL TH PH I UT 2 LT 85</t>
  </si>
  <si>
    <t xml:space="preserve">WILLIAM A ANDERSON TEST TRUST  </t>
  </si>
  <si>
    <t xml:space="preserve"> KATHRYN E NORTH</t>
  </si>
  <si>
    <t>950 DEMUS CT</t>
  </si>
  <si>
    <t>EDGE @ RENO LT 411 BLK 4</t>
  </si>
  <si>
    <t xml:space="preserve">DAS FAMILY LIVING TRUST  </t>
  </si>
  <si>
    <t>3572 GENEVA DR</t>
  </si>
  <si>
    <t>EDGE @ RENO LT 412 BLK 4</t>
  </si>
  <si>
    <t xml:space="preserve">FUJIMOTO, MIEKO </t>
  </si>
  <si>
    <t>86 LINDA AVE APT 212</t>
  </si>
  <si>
    <t>EDGE @ RENO LT 423 BLK 4</t>
  </si>
  <si>
    <t xml:space="preserve">ERICKSON, PAUL F &amp; MISTY D </t>
  </si>
  <si>
    <t>3601 GLEN ECHO LN</t>
  </si>
  <si>
    <t xml:space="preserve">ROBINSON, BOYD &amp; HEIDI </t>
  </si>
  <si>
    <t>EDGE @ RENO LT 433 BLK 4</t>
  </si>
  <si>
    <t xml:space="preserve">MEYER, WILLIAM G &amp; CAROL A </t>
  </si>
  <si>
    <t>125 AVE BLEU DE CLAIR</t>
  </si>
  <si>
    <t>EDGE @ RENO LT 301 BLK 3</t>
  </si>
  <si>
    <t xml:space="preserve">OLIPHANT, DONALD </t>
  </si>
  <si>
    <t>200 TALUS WAY # 211</t>
  </si>
  <si>
    <t>EDGE @ RENO LT 211 BLK 2</t>
  </si>
  <si>
    <t xml:space="preserve">VOEKS, MARSHALL </t>
  </si>
  <si>
    <t>2190 ANDROMEDA WAY</t>
  </si>
  <si>
    <t>EDGE @ RENO LT 201 BLK 2</t>
  </si>
  <si>
    <t>1160 UNIVERSITY PARK LOOP S</t>
  </si>
  <si>
    <t>RAFUSON, DELIA B et al</t>
  </si>
  <si>
    <t>1160 S UNIVERSITY PARK LOOP</t>
  </si>
  <si>
    <t xml:space="preserve">BOTOR, THERESAMAJOSEFA L </t>
  </si>
  <si>
    <t>UNIVERSITY RIDGE 7 &amp; 9 PH 1 LT 21</t>
  </si>
  <si>
    <t>1035 UNIVERSITY PARK LOOP S</t>
  </si>
  <si>
    <t>PAVALTOS, NICOLE et al</t>
  </si>
  <si>
    <t>WILLIAMS JUSTIN H</t>
  </si>
  <si>
    <t>1035 UNIVERSITY PARK LOOP SOUTH</t>
  </si>
  <si>
    <t xml:space="preserve">HILL, MICHAEL P &amp; KARI M </t>
  </si>
  <si>
    <t>UNIVERSITY RIDGE 7 &amp; 9 PH 1 LT 41</t>
  </si>
  <si>
    <t>585 MADELINE JANE LN</t>
  </si>
  <si>
    <t xml:space="preserve">STICKEL, AMIE L  </t>
  </si>
  <si>
    <t xml:space="preserve">585 MADELINE JANE LN </t>
  </si>
  <si>
    <t xml:space="preserve">ROWELL, KENNETH E </t>
  </si>
  <si>
    <t>RANCHO SAN RAFAEL TH 3 LT 5</t>
  </si>
  <si>
    <t>635 MADELINE JANE LN</t>
  </si>
  <si>
    <t>ELKIK, CHELSEY et al</t>
  </si>
  <si>
    <t xml:space="preserve">635 MADELINE JANE LN </t>
  </si>
  <si>
    <t xml:space="preserve">MANN, GURDEEP S </t>
  </si>
  <si>
    <t>RANCHO SAN RAFAEL TH 3 LT 10</t>
  </si>
  <si>
    <t>655 MADELINE JANE LN</t>
  </si>
  <si>
    <t xml:space="preserve">LIM, DIONNE C </t>
  </si>
  <si>
    <t xml:space="preserve">OXLEY LIVING TRUST, WALTER &amp; CECILIA  </t>
  </si>
  <si>
    <t>RANCHO SAN RAFAEL TH 3 LT 12</t>
  </si>
  <si>
    <t>470 PRESTON BURR LN</t>
  </si>
  <si>
    <t xml:space="preserve">JACKSON, MARVIN D </t>
  </si>
  <si>
    <t xml:space="preserve">470 PRESTON BURR LN </t>
  </si>
  <si>
    <t xml:space="preserve">ST JOHN, STEPHANIE L </t>
  </si>
  <si>
    <t>RANCHO SAN RAFAEL TH 3 LT 21</t>
  </si>
  <si>
    <t>460 PRESTON BURR LN</t>
  </si>
  <si>
    <t xml:space="preserve">DAVIS, ALLISON M </t>
  </si>
  <si>
    <t xml:space="preserve">LEMON, JOHN E &amp; COLLEEN R </t>
  </si>
  <si>
    <t>RANCHO SAN RAFAEL TH 3 LT 22</t>
  </si>
  <si>
    <t>455 PRESTON BURR LN</t>
  </si>
  <si>
    <t xml:space="preserve">DAVIS, DAN A &amp; XIN </t>
  </si>
  <si>
    <t>RANCHO SAN RAFAEL TH 3 LT 30 RS 4710</t>
  </si>
  <si>
    <t>445 PRESTON BURR LN</t>
  </si>
  <si>
    <t xml:space="preserve">ACOSTA, FERNANDO C </t>
  </si>
  <si>
    <t>RANCHO SAN RAFAEL TH 3 LT 29 RS 4710</t>
  </si>
  <si>
    <t>RANCHO SAN RAFAEL TH 3 LT 28 RS 4710</t>
  </si>
  <si>
    <t>405 PRESTON BURR LN</t>
  </si>
  <si>
    <t>DICKINSON, RYAN M  et al</t>
  </si>
  <si>
    <t>405 PRESTON BURR</t>
  </si>
  <si>
    <t>RANCHO SAN RAFAEL TH 3 LT 25 RS 4710</t>
  </si>
  <si>
    <t>660 STACIE NICOLE LN</t>
  </si>
  <si>
    <t>GARDNER, AMY et al</t>
  </si>
  <si>
    <t>108 HLLCREST CIRCLE</t>
  </si>
  <si>
    <t>RANCHO SAN RAFAEL TH 3 LT 48</t>
  </si>
  <si>
    <t>650 STACIE NICOLE LN</t>
  </si>
  <si>
    <t>RANCHO SAN RAFAEL TH 3 LT 49</t>
  </si>
  <si>
    <t>600 STACIE NICOLE LN</t>
  </si>
  <si>
    <t xml:space="preserve">SCHWEITZER, JOSEPH L JR &amp; SUSAN J </t>
  </si>
  <si>
    <t>RANCHO SAN RAFAEL TH 3 LT 54</t>
  </si>
  <si>
    <t>4650 CIARRA KENNEDY LN</t>
  </si>
  <si>
    <t xml:space="preserve">VITALE, DARIO </t>
  </si>
  <si>
    <t>RANCHO SAN RAFAEL TH 3 LT 60</t>
  </si>
  <si>
    <t>4750 CIARRA KENNEDY LN</t>
  </si>
  <si>
    <t xml:space="preserve">GLUCK , DALE A  </t>
  </si>
  <si>
    <t xml:space="preserve">4750 CIARRA KENNEDY LN </t>
  </si>
  <si>
    <t>RANCHO SAN RAFAEL TH 3 LT 70</t>
  </si>
  <si>
    <t>4790 CIARRA KENNEDY LN</t>
  </si>
  <si>
    <t>BEST, BRITTANY A  et al</t>
  </si>
  <si>
    <t xml:space="preserve">4790 CIARRA KENNEDY LN </t>
  </si>
  <si>
    <t>RANCHO SAN RAFAEL TH 3 LT 73</t>
  </si>
  <si>
    <t>4800 CIARRA KENNEDY LN</t>
  </si>
  <si>
    <t xml:space="preserve">EMARD, LAURA K </t>
  </si>
  <si>
    <t>171 LARK LN</t>
  </si>
  <si>
    <t>RANCHO SAN RAFAEL TH 3 LT 74</t>
  </si>
  <si>
    <t>605 STACIE NICOLE LN</t>
  </si>
  <si>
    <t xml:space="preserve">MEIER, GARY  </t>
  </si>
  <si>
    <t xml:space="preserve">605 STACIE NICOLE LN </t>
  </si>
  <si>
    <t>RANCHO SAN RAFAEL TH 3 LT 37</t>
  </si>
  <si>
    <t>4730 CIARRA KENNEDY LN</t>
  </si>
  <si>
    <t xml:space="preserve">BISSONETTE, LAURIE </t>
  </si>
  <si>
    <t>003-802-26</t>
  </si>
  <si>
    <t>RS 4892 LT 68-A</t>
  </si>
  <si>
    <t>4740 CIARRA KENNEDY LN</t>
  </si>
  <si>
    <t>RS4892</t>
  </si>
  <si>
    <t xml:space="preserve">GRILLO, TERESA L </t>
  </si>
  <si>
    <t>003-802-27</t>
  </si>
  <si>
    <t>RS 4892 LT 69-A</t>
  </si>
  <si>
    <t>4770 CIARRA KENNEDY LN</t>
  </si>
  <si>
    <t xml:space="preserve">WEBBER FAMILY TRUST  </t>
  </si>
  <si>
    <t>15020 NAPOLEON DR</t>
  </si>
  <si>
    <t>003-802-29</t>
  </si>
  <si>
    <t>RS 4892 LT 71-A</t>
  </si>
  <si>
    <t>4780 CIARRA KENNEDY LN</t>
  </si>
  <si>
    <t xml:space="preserve">ALBERT, TERENCE E &amp; ELIZABETH A </t>
  </si>
  <si>
    <t>17025 CASTLE PINE DR</t>
  </si>
  <si>
    <t>003-802-30</t>
  </si>
  <si>
    <t>RS 4892 LT 72-A</t>
  </si>
  <si>
    <t>4810 CIARRA KENNEDY LN</t>
  </si>
  <si>
    <t>JOHNSON, RACHEL E  et al</t>
  </si>
  <si>
    <t xml:space="preserve">4810 CIARRA KENNEDY LN </t>
  </si>
  <si>
    <t>003-802-33</t>
  </si>
  <si>
    <t>RS 4892 LT 75-A</t>
  </si>
  <si>
    <t>4820 CIARRA KENNEDY LN</t>
  </si>
  <si>
    <t>003-802-34</t>
  </si>
  <si>
    <t>RS 4892 LT 76-A</t>
  </si>
  <si>
    <t>4775 CIARRA KENNEDY LN</t>
  </si>
  <si>
    <t xml:space="preserve">LEGACY ENTERPRISES LLC </t>
  </si>
  <si>
    <t xml:space="preserve">43 STARBUCK DR </t>
  </si>
  <si>
    <t xml:space="preserve">MUIR BEACH </t>
  </si>
  <si>
    <t>94965</t>
  </si>
  <si>
    <t>MOUGLE WEST PROPERTIES LLC LLC</t>
  </si>
  <si>
    <t>RANCHO SAN RAFAEL TH 3 LT 122</t>
  </si>
  <si>
    <t>925 SIENNA PARK DR</t>
  </si>
  <si>
    <t xml:space="preserve">DONALD, JOSEPH G &amp; NADINE J </t>
  </si>
  <si>
    <t>PO BOX 484</t>
  </si>
  <si>
    <t>LOTUS</t>
  </si>
  <si>
    <t>95651</t>
  </si>
  <si>
    <t xml:space="preserve">MURPHY, ELLEN &amp; SCOTT  </t>
  </si>
  <si>
    <t>UNIVERSITY RIDGE 7 &amp; 9 PH 2 LT 36</t>
  </si>
  <si>
    <t>395 ORRCREST DR</t>
  </si>
  <si>
    <t>VALLES, SARAH M et al</t>
  </si>
  <si>
    <t>HIGHLAND VISTA LT 22</t>
  </si>
  <si>
    <t>365 ORRCREST DR</t>
  </si>
  <si>
    <t xml:space="preserve">MEADE, MICHELLE </t>
  </si>
  <si>
    <t>MORA-CAMARENA, ARMANDO et al</t>
  </si>
  <si>
    <t>HIGHLAND VISTA LT 17</t>
  </si>
  <si>
    <t>680 SIENNA PARK CT</t>
  </si>
  <si>
    <t xml:space="preserve">PATTERSON, MICHAEL P &amp; KATHLEEN M </t>
  </si>
  <si>
    <t xml:space="preserve">GORAYA, KULDIP </t>
  </si>
  <si>
    <t>UNIVERSITY RIDGE 7 &amp; 9 PH 3 LT 14</t>
  </si>
  <si>
    <t>715 SIENNA STATION WAY</t>
  </si>
  <si>
    <t>CHOI, SEUNG S et al</t>
  </si>
  <si>
    <t>CHONG KRISTINE</t>
  </si>
  <si>
    <t xml:space="preserve">ELLIS, ROBERT A </t>
  </si>
  <si>
    <t>UNIVERSITY RIDGE 7 &amp; 9 PH 3 LT 47</t>
  </si>
  <si>
    <t>3975 WIXOM DR</t>
  </si>
  <si>
    <t xml:space="preserve">ROMICK, KAREN </t>
  </si>
  <si>
    <t xml:space="preserve">6851 CHESTERFIELD LN </t>
  </si>
  <si>
    <t>TALUS POINT LT 10-3975-1</t>
  </si>
  <si>
    <t>230 BISSET CT</t>
  </si>
  <si>
    <t>TSCHERNIA, NICHOLAS P  et al</t>
  </si>
  <si>
    <t xml:space="preserve">67 REYBURN DR </t>
  </si>
  <si>
    <t xml:space="preserve">DAVENPORT, LESLIE </t>
  </si>
  <si>
    <t>TALUS POINT LT 16-230-2</t>
  </si>
  <si>
    <t>50 GRISWOLD CT</t>
  </si>
  <si>
    <t xml:space="preserve">KRAUSS, GINA J </t>
  </si>
  <si>
    <t>50 GRISWOLD WAY UNIT A</t>
  </si>
  <si>
    <t>TALUS POINT LT 19-50-1</t>
  </si>
  <si>
    <t>3710 COASTAL ST</t>
  </si>
  <si>
    <t>SAUTMAN, SUSAN B et al</t>
  </si>
  <si>
    <t>MOUNTAIN VIEW EST 1A LT 14</t>
  </si>
  <si>
    <t>3880 SARAVA CT</t>
  </si>
  <si>
    <t xml:space="preserve">COLVIN, GARY &amp; CAROL  </t>
  </si>
  <si>
    <t>MOUNTAIN VIEW EST 1A LT 1</t>
  </si>
  <si>
    <t>3720 THISTLE DOWN CT</t>
  </si>
  <si>
    <t xml:space="preserve">BOTHNE, GRACE </t>
  </si>
  <si>
    <t>MOUNTAIN VIEW EST 1A LT 44</t>
  </si>
  <si>
    <t>3725 THISTLE DOWN CT</t>
  </si>
  <si>
    <t xml:space="preserve">NADA, KATRINA L  </t>
  </si>
  <si>
    <t>3725 THISTLEDOWN CT</t>
  </si>
  <si>
    <t xml:space="preserve">MOUNTAIN VIEW EST 1A LT 38 LT </t>
  </si>
  <si>
    <t>2969 TIERRA VERDE E</t>
  </si>
  <si>
    <t xml:space="preserve">ANDERSON, SHAWN M &amp; LAVON M </t>
  </si>
  <si>
    <t>339 VALLEY VISTA DR</t>
  </si>
  <si>
    <t xml:space="preserve">EVANS TRUST  </t>
  </si>
  <si>
    <t>MCCARRAN KNOLLS CONDO LT 64 BLK F</t>
  </si>
  <si>
    <t>1426 SELMI DR</t>
  </si>
  <si>
    <t xml:space="preserve">PARAWAN FAMILY TRUST  </t>
  </si>
  <si>
    <t>731 N PARAWAN ST</t>
  </si>
  <si>
    <t>MCCARRAN KNOLLS CONDO LT 47 BLK D</t>
  </si>
  <si>
    <t>2985 TIERRA VERDE E</t>
  </si>
  <si>
    <t xml:space="preserve">JAMES, JANE &amp; SIMON </t>
  </si>
  <si>
    <t>1510 TREE TOP CT</t>
  </si>
  <si>
    <t>MCCARRAN KNOLLS CONDO LT 68 BLK F</t>
  </si>
  <si>
    <t>2943 TIERRA VERDE E</t>
  </si>
  <si>
    <t xml:space="preserve">BOEHM, DONALD F &amp; JENNIFER L  </t>
  </si>
  <si>
    <t xml:space="preserve">15570 GLENSHIRE DR </t>
  </si>
  <si>
    <t>MCCARRAN KNOLLS CONDO LT 75 BLK G</t>
  </si>
  <si>
    <t>2935 TIERRA VERDE E</t>
  </si>
  <si>
    <t xml:space="preserve">G &amp; D NEVADAONE LLC  </t>
  </si>
  <si>
    <t>1655 E WALNUT ST</t>
  </si>
  <si>
    <t>MCCARRAN KNOLLS CONDO LT 77 BLK G</t>
  </si>
  <si>
    <t>2900 TIERRA VERDE W</t>
  </si>
  <si>
    <t xml:space="preserve">PRINGLE, SCOTT K </t>
  </si>
  <si>
    <t>1325 W 7TH ST #C</t>
  </si>
  <si>
    <t>MCCARRAN KNOLLS CONDO LT 1 BLK A</t>
  </si>
  <si>
    <t>2927 TIERRA VERDE E</t>
  </si>
  <si>
    <t xml:space="preserve">CORNFIELD, SUSAN  </t>
  </si>
  <si>
    <t>2130 ALPHABET DR</t>
  </si>
  <si>
    <t>MCCARRAN KNOLLS CONDO LT 91 BLK H</t>
  </si>
  <si>
    <t>2903 TIERRA VERDE E</t>
  </si>
  <si>
    <t xml:space="preserve">MORVILLO, MELODY </t>
  </si>
  <si>
    <t xml:space="preserve">LOGAN, JARED R &amp; ANDREA M </t>
  </si>
  <si>
    <t>MCCARRAN KNOLLS CONDO LT 96 BLK H</t>
  </si>
  <si>
    <t>2922 TIERRA VERDE W</t>
  </si>
  <si>
    <t xml:space="preserve">KAM, ERIK &amp; VICKIE L P </t>
  </si>
  <si>
    <t>92-717 MEHANI ST</t>
  </si>
  <si>
    <t xml:space="preserve">RODRIGUEZ, CARLOS JR </t>
  </si>
  <si>
    <t>MCCARRAN KNOLLS CONDO LT 11 BLK A</t>
  </si>
  <si>
    <t>2948 TIERRA VERDE W</t>
  </si>
  <si>
    <t xml:space="preserve">BOTTENBERG, B ALAN </t>
  </si>
  <si>
    <t>14284 QUAIL SPRINGS CT</t>
  </si>
  <si>
    <t>MCCARRAN KNOLLS CONDO LT 21 BLK B</t>
  </si>
  <si>
    <t>2290 TRIPP DR</t>
  </si>
  <si>
    <t>GARDEN HILL 2</t>
  </si>
  <si>
    <t xml:space="preserve">MALDONADO, CINTHIA S </t>
  </si>
  <si>
    <t xml:space="preserve">CASTELLON-SANTANA, DAVID </t>
  </si>
  <si>
    <t>GARDEN HILL 2 LT J BLK A</t>
  </si>
  <si>
    <t>2285 TRIPP DR</t>
  </si>
  <si>
    <t>ARCIGA, JESUS et al</t>
  </si>
  <si>
    <t xml:space="preserve">RODRIGUEZ  VELARDE ESTELA </t>
  </si>
  <si>
    <t>GARDEN HILL 2 LT Q BLK B</t>
  </si>
  <si>
    <t>2233 PATTON DR</t>
  </si>
  <si>
    <t xml:space="preserve">RMM LLC </t>
  </si>
  <si>
    <t>ATTN GREG MADDING</t>
  </si>
  <si>
    <t>1800 FLORIBUNDA AVE</t>
  </si>
  <si>
    <t xml:space="preserve">MADDING, GREG </t>
  </si>
  <si>
    <t>GARDEN HILL 2 LT 8 BLK C</t>
  </si>
  <si>
    <t>2197 PATTON DR</t>
  </si>
  <si>
    <t>3105 W PLUMB LN</t>
  </si>
  <si>
    <t>GARDEN HILL 2 LT 9 BLK C</t>
  </si>
  <si>
    <t>2440 SUTRO ST</t>
  </si>
  <si>
    <t xml:space="preserve">ALAPAI LLC </t>
  </si>
  <si>
    <t>2533 N CARSON ST STE 4421</t>
  </si>
  <si>
    <t xml:space="preserve">HORIE, WILFRED Y &amp; RENEE T </t>
  </si>
  <si>
    <t>2090 PATTON DR</t>
  </si>
  <si>
    <t>GARDEN HILL 1</t>
  </si>
  <si>
    <t xml:space="preserve">DENOCE, CRAIG W </t>
  </si>
  <si>
    <t>GARDEN HILL 1 LT 11 BLK A</t>
  </si>
  <si>
    <t>2100 PATTON DR</t>
  </si>
  <si>
    <t>GARDEN HILL 1 LT 12 BLK A</t>
  </si>
  <si>
    <t>775 N MADDUX DR</t>
  </si>
  <si>
    <t xml:space="preserve">COPENHAVER, WILLIAM M </t>
  </si>
  <si>
    <t>HILL VIEW TERRACE LT 18 BLK A</t>
  </si>
  <si>
    <t xml:space="preserve">FRETZ, ERICA L  </t>
  </si>
  <si>
    <t>670 N MADDUX DR</t>
  </si>
  <si>
    <t xml:space="preserve">DOLAN, PATRICIA A  </t>
  </si>
  <si>
    <t>HILL VIEW TERRACE LT 5 BLK D</t>
  </si>
  <si>
    <t>750 N MADDUX DR</t>
  </si>
  <si>
    <t xml:space="preserve">KIRKLAND, ROGER &amp; KATHLEEN </t>
  </si>
  <si>
    <t>HILL VIEW TERRACE LT 4 BLK E</t>
  </si>
  <si>
    <t>770 N MADDUX DR</t>
  </si>
  <si>
    <t xml:space="preserve">PLASKON, KYRIL  </t>
  </si>
  <si>
    <t>C/O MARK AND SANDY BOVEE</t>
  </si>
  <si>
    <t>50 N SIERRA ST NO 1105</t>
  </si>
  <si>
    <t xml:space="preserve">BOVEE, MARK &amp; SANDRA </t>
  </si>
  <si>
    <t>HILL VIEW TERRACE LT 5 BLK E</t>
  </si>
  <si>
    <t>775 HOOD AVE</t>
  </si>
  <si>
    <t xml:space="preserve">ANTHONY, JESSELIN T </t>
  </si>
  <si>
    <t>HILL VIEW TERRACE LT 10 BLK E</t>
  </si>
  <si>
    <t>735 HOOD AVE</t>
  </si>
  <si>
    <t xml:space="preserve">MACAULEY, LINDA </t>
  </si>
  <si>
    <t xml:space="preserve">NAVARRO, MARIA I </t>
  </si>
  <si>
    <t>HILL VIEW TERRACE LT 13 BLK E</t>
  </si>
  <si>
    <t>25 S MADDUX DR</t>
  </si>
  <si>
    <t xml:space="preserve">ANDERSON, JOANNE M </t>
  </si>
  <si>
    <t>3800 CRAZY HORSE RD</t>
  </si>
  <si>
    <t>HILL VIEW TERRACE LT 33 BLK F</t>
  </si>
  <si>
    <t>1895 WILDER ST</t>
  </si>
  <si>
    <t>JAUREGUI, MELECIA  et al</t>
  </si>
  <si>
    <t xml:space="preserve">1895 WILDER ST </t>
  </si>
  <si>
    <t xml:space="preserve">BELL, DAN A &amp; ALICE J </t>
  </si>
  <si>
    <t>ALAMEDA HEIGHTS LT 1 BLK B</t>
  </si>
  <si>
    <t>1991 MONTELLO ST</t>
  </si>
  <si>
    <t>ALAMEDA HEIGHTS LT 1 BLK F</t>
  </si>
  <si>
    <t>1920 WILDER ST</t>
  </si>
  <si>
    <t xml:space="preserve">XYZ LLC </t>
  </si>
  <si>
    <t xml:space="preserve">98 WINTER ST </t>
  </si>
  <si>
    <t xml:space="preserve">HENDRICKS TRUST, NEIL R  </t>
  </si>
  <si>
    <t>ALAMEDA HEIGHTS LT 23 BLK C</t>
  </si>
  <si>
    <t>1970 WILDER ST</t>
  </si>
  <si>
    <t>RIVERA-ORTIZ, LUIS A et al</t>
  </si>
  <si>
    <t>65 S MADDUX DR</t>
  </si>
  <si>
    <t>ALAMEDA HEIGHTS LT 7 BLK C</t>
  </si>
  <si>
    <t>1955 CITRON ST</t>
  </si>
  <si>
    <t xml:space="preserve">CARTLEDGE, GLYNN </t>
  </si>
  <si>
    <t>ALAMEDA HEIGHTS LT 12 BLK C</t>
  </si>
  <si>
    <t>1905 CITRON ST</t>
  </si>
  <si>
    <t xml:space="preserve">AQUINO, ARNEL D </t>
  </si>
  <si>
    <t xml:space="preserve">HENDERSON, WILLIE </t>
  </si>
  <si>
    <t>ALAMEDA HEIGHTS LT 26 BLK C</t>
  </si>
  <si>
    <t>1924 CITRON ST</t>
  </si>
  <si>
    <t xml:space="preserve">VANWRIGHT, CHARLES E &amp; MISTY R  </t>
  </si>
  <si>
    <t xml:space="preserve">1924 CITRON ST </t>
  </si>
  <si>
    <t xml:space="preserve">AUJERO, RENE D </t>
  </si>
  <si>
    <t>ALAMEDA HEIGHTS LT 19 BLK E</t>
  </si>
  <si>
    <t>1925 BISHOP ST</t>
  </si>
  <si>
    <t>ALAMEDA HEIGHTS LT 20 BLK E</t>
  </si>
  <si>
    <t>1956 BISHOP ST</t>
  </si>
  <si>
    <t>MENDEZ, CRISOFORO T et al</t>
  </si>
  <si>
    <t>ALAMEDA HEIGHTS LT 5 BLK G</t>
  </si>
  <si>
    <t xml:space="preserve">CUEVAS, JOSE S </t>
  </si>
  <si>
    <t>642 EUREKA AVE</t>
  </si>
  <si>
    <t>ALAMEDA HEIGHTS LT 13 BLK G</t>
  </si>
  <si>
    <t>1889 DESNA ST</t>
  </si>
  <si>
    <t>CRUZ-ROMAN, JESUS et al</t>
  </si>
  <si>
    <t>CRUZ MINERVA</t>
  </si>
  <si>
    <t xml:space="preserve">1860 DESNA ST </t>
  </si>
  <si>
    <t>QUIJANO, FRANCISCO E  et al</t>
  </si>
  <si>
    <t>ALAMEDA HEIGHTS LT 22 BLK J</t>
  </si>
  <si>
    <t>1846 FIFE DR</t>
  </si>
  <si>
    <t xml:space="preserve">BARKER, FRANK  </t>
  </si>
  <si>
    <t xml:space="preserve">1846 FIFE DR </t>
  </si>
  <si>
    <t>ALAMEDA HEIGHTS LT 8 BLK J</t>
  </si>
  <si>
    <t>1590 OLIVER AVE</t>
  </si>
  <si>
    <t>PM 2775 ADJ</t>
  </si>
  <si>
    <t xml:space="preserve">ELDER, JIMMIE O &amp; DARLEEN G  </t>
  </si>
  <si>
    <t xml:space="preserve">1590 OLIVER AVE </t>
  </si>
  <si>
    <t>PADILLA, NORBERTO et al</t>
  </si>
  <si>
    <t>004-255-17</t>
  </si>
  <si>
    <t>PM 2775 ADJ LT 2 BLK N</t>
  </si>
  <si>
    <t>1830 HELENA AVE</t>
  </si>
  <si>
    <t xml:space="preserve">GRANATA, LAURETTE M </t>
  </si>
  <si>
    <t>ALAMEDA HEIGHTS LT 4 BLK P</t>
  </si>
  <si>
    <t xml:space="preserve">DULAC, DOUGLAS S &amp; AYUMI D </t>
  </si>
  <si>
    <t>2500 TRIPP DR #7</t>
  </si>
  <si>
    <t xml:space="preserve">ISOM, AARON </t>
  </si>
  <si>
    <t>WHISPERING SPRINGS AMD LT A1U BLK A</t>
  </si>
  <si>
    <t xml:space="preserve">JI, LIANG </t>
  </si>
  <si>
    <t>2385 TRIPP DR APT 6</t>
  </si>
  <si>
    <t>JI, LIANG et al</t>
  </si>
  <si>
    <t>WHISPERING SPRINGS AMD LT A3U BLK E</t>
  </si>
  <si>
    <t>2355 TRIPP DR</t>
  </si>
  <si>
    <t xml:space="preserve">SULLIVAN, MARK P </t>
  </si>
  <si>
    <t xml:space="preserve">1880 TESS WAY                           </t>
  </si>
  <si>
    <t>WHISPERING SPRINGS AMD LT A4U BLK C</t>
  </si>
  <si>
    <t xml:space="preserve">REDEI, LASZLO &amp; GUILLERMINA </t>
  </si>
  <si>
    <t>WHISPERING SPRINGS AMD LT B2U BLK C</t>
  </si>
  <si>
    <t>POLYCOMP TRUST COMPANY CUSTODIAN</t>
  </si>
  <si>
    <t>DEAN CHESTNUT IRA</t>
  </si>
  <si>
    <t>2005 DE LA CRUZ BLVD STE 180</t>
  </si>
  <si>
    <t>GAO XIURONG</t>
  </si>
  <si>
    <t>3933 KING ROW</t>
  </si>
  <si>
    <t>WHISPERING SPRINGS AMD LT A1L BLK E</t>
  </si>
  <si>
    <t>2520 TRIPP DR</t>
  </si>
  <si>
    <t>WHISPERING SPRINGS AMD LT B4U BLK H</t>
  </si>
  <si>
    <t>333 COBALT WAY - STE 107</t>
  </si>
  <si>
    <t xml:space="preserve">BRIGHT, KENDRA  </t>
  </si>
  <si>
    <t>2520 TRIPP DR # 7</t>
  </si>
  <si>
    <t>WHISPERING SPRINGS AMD LT B4L BLK H</t>
  </si>
  <si>
    <t xml:space="preserve">WASSMUTH, GLENN &amp; DONNA </t>
  </si>
  <si>
    <t xml:space="preserve">1533 STRASDIN LN </t>
  </si>
  <si>
    <t>WHISPERING SPRINGS AMD LT A3L BLK L</t>
  </si>
  <si>
    <t>2607 WADE ST</t>
  </si>
  <si>
    <t>WHISPERING SPRINGS AMD LT A2L BLK L</t>
  </si>
  <si>
    <t>2100 HIGHVIEW CT</t>
  </si>
  <si>
    <t xml:space="preserve">PHILLIPS, TERRY W  </t>
  </si>
  <si>
    <t>2100 HIGHVIEW CT # 7</t>
  </si>
  <si>
    <t>WHISPERING SPRINGS AMD LT A4L BLK O</t>
  </si>
  <si>
    <t>3501 TRIPP DR</t>
  </si>
  <si>
    <t>PM 2394</t>
  </si>
  <si>
    <t xml:space="preserve">T D APARTMENTS LLC </t>
  </si>
  <si>
    <t>WERNER OTT</t>
  </si>
  <si>
    <t>6170 RIDGEVIEW CT # E</t>
  </si>
  <si>
    <t xml:space="preserve">OTT, WERNER L  </t>
  </si>
  <si>
    <t>PM 2394 LT 1</t>
  </si>
  <si>
    <t xml:space="preserve"> WHITFIELD WAY</t>
  </si>
  <si>
    <t xml:space="preserve">GRETEBECK, RODNEY J </t>
  </si>
  <si>
    <t>2195 WHITFIELD WAY</t>
  </si>
  <si>
    <t>004-321-15</t>
  </si>
  <si>
    <t>NORTH VALLEY LT 10 BLK D ADJ  RS 3936</t>
  </si>
  <si>
    <t>2095 MC CLOUD AVE</t>
  </si>
  <si>
    <t xml:space="preserve">HAUSER, CORY </t>
  </si>
  <si>
    <t>2095 MCCLOUD AVE</t>
  </si>
  <si>
    <t xml:space="preserve">JAEKE 1990 FAMILY TRUST, ELSIE P  </t>
  </si>
  <si>
    <t>NORTH VALLEY LT 10 BLK C</t>
  </si>
  <si>
    <t>2075 MC CLOUD AVE</t>
  </si>
  <si>
    <t xml:space="preserve">MONDRAGON, LARRY II </t>
  </si>
  <si>
    <t>PO BOX 408</t>
  </si>
  <si>
    <t>NASELLE</t>
  </si>
  <si>
    <t>98638</t>
  </si>
  <si>
    <t>NORTH VALLEY LT 8 BLK C</t>
  </si>
  <si>
    <t>2030 MC CLOUD AVE</t>
  </si>
  <si>
    <t xml:space="preserve">KOZLOWSKI, MICHAEL E  </t>
  </si>
  <si>
    <t xml:space="preserve">2030 MCCLOUD </t>
  </si>
  <si>
    <t xml:space="preserve">DONALSON, LINDA </t>
  </si>
  <si>
    <t>NORTH VALLEY LT 12 BLK E</t>
  </si>
  <si>
    <t>2130 CITRON ST</t>
  </si>
  <si>
    <t xml:space="preserve">LARKINS , JOHN &amp; MARGARITA  </t>
  </si>
  <si>
    <t>2085 whitfield way</t>
  </si>
  <si>
    <t>YAEGER, LANCE W et al</t>
  </si>
  <si>
    <t>NORTH VALLEY LT 3 BLK G</t>
  </si>
  <si>
    <t>955 N MADDUX DR</t>
  </si>
  <si>
    <t>CENTENNIAL PARK</t>
  </si>
  <si>
    <t>HATJOPOULOS, DESPINA et al</t>
  </si>
  <si>
    <t xml:space="preserve">1659 DAVIDSON WAY                       </t>
  </si>
  <si>
    <t xml:space="preserve">GREER, ROBERT R &amp; CAROL P </t>
  </si>
  <si>
    <t>CENTENNIAL PARK FR LTS 30 &amp; 31</t>
  </si>
  <si>
    <t>3550 WILLOW HILLS CIR</t>
  </si>
  <si>
    <t>SATTAR, MOHAMMAD A et al</t>
  </si>
  <si>
    <t>4334 FELL ST</t>
  </si>
  <si>
    <t>95838</t>
  </si>
  <si>
    <t>WILLOW HILLS 1 AMD LT 3</t>
  </si>
  <si>
    <t>3534 WILLOW HILLS CIR</t>
  </si>
  <si>
    <t xml:space="preserve">MACDONALD FAMILY TRUST  </t>
  </si>
  <si>
    <t>6301 CITRINE AVE</t>
  </si>
  <si>
    <t xml:space="preserve">RUIZ, REYNALDO &amp; LISA  </t>
  </si>
  <si>
    <t>WILLOW HILLS 1 AMD LT 11</t>
  </si>
  <si>
    <t>3506 WILLOW HILLS CIR</t>
  </si>
  <si>
    <t xml:space="preserve">TRAN, RICHARD  </t>
  </si>
  <si>
    <t>10505 DILLINGHAM DR</t>
  </si>
  <si>
    <t>WILLOW HILLS 1 AMD LT 25</t>
  </si>
  <si>
    <t>3484 WILLOW HILLS CIR</t>
  </si>
  <si>
    <t xml:space="preserve">HLAING, PHYU P </t>
  </si>
  <si>
    <t>WILLOW HILLS 1 AMD LT 36</t>
  </si>
  <si>
    <t>3480 WILLOW HILLS CIR</t>
  </si>
  <si>
    <t xml:space="preserve">BERLILN, GREG &amp; BELEN </t>
  </si>
  <si>
    <t>WILLOW HILLS 1 AMD LT 38</t>
  </si>
  <si>
    <t>3500 TRIPP DR</t>
  </si>
  <si>
    <t xml:space="preserve">PEREZ, MOISES &amp; PATRICIA  </t>
  </si>
  <si>
    <t>WILLOW HILLS 1 AMD LT 43</t>
  </si>
  <si>
    <t>3547 WILLOW HILLS CIR</t>
  </si>
  <si>
    <t xml:space="preserve">JOHNSON, MARLENE </t>
  </si>
  <si>
    <t>85 COLLEGE AVE</t>
  </si>
  <si>
    <t xml:space="preserve">RIVERA, ROSE O </t>
  </si>
  <si>
    <t>WILLOW HILLS 1 AMD LT 55</t>
  </si>
  <si>
    <t>3519 WILLOW HILLS CIR</t>
  </si>
  <si>
    <t xml:space="preserve">MACY, MARDIE </t>
  </si>
  <si>
    <t>410 BROADWAY E # 247</t>
  </si>
  <si>
    <t>WILLOW HILLS 1 AMD LT 59</t>
  </si>
  <si>
    <t xml:space="preserve">CHANG, CHEE CHIANG </t>
  </si>
  <si>
    <t>1327 INDIAN RUNNER DR</t>
  </si>
  <si>
    <t>95767</t>
  </si>
  <si>
    <t xml:space="preserve">SINGH, BISHAN </t>
  </si>
  <si>
    <t>CLEAR ACRE CONDO AMD LT 7 BLK A</t>
  </si>
  <si>
    <t xml:space="preserve">SHEHADY, MARILYN </t>
  </si>
  <si>
    <t>2555 CLEARACRE LN # 6-3</t>
  </si>
  <si>
    <t>BELLISTER, SETH A et al</t>
  </si>
  <si>
    <t>CLEAR ACRE CONDO AMD LT 6 BLK A</t>
  </si>
  <si>
    <t>2681 ZINNIA DR</t>
  </si>
  <si>
    <t xml:space="preserve">DECK, RONALD &amp; DEBORAH </t>
  </si>
  <si>
    <t>SIERRA GARDENS MH LT 95 BLK D</t>
  </si>
  <si>
    <t>2671 ZINNIA DR</t>
  </si>
  <si>
    <t>AYALA, ROBERTO et al</t>
  </si>
  <si>
    <t>NUNEZ GUILLERMINA</t>
  </si>
  <si>
    <t>SALDANA, GERARDO A et al</t>
  </si>
  <si>
    <t>SIERRA GARDENS MH LT 96 BLK D</t>
  </si>
  <si>
    <t>2631 ZINNIA DR</t>
  </si>
  <si>
    <t>WILLARD, BRIAN T et al</t>
  </si>
  <si>
    <t>CRISTOFF-WILLARD CARLA L</t>
  </si>
  <si>
    <t>8695 WHITE PEACOCK WAY</t>
  </si>
  <si>
    <t xml:space="preserve">SOLIE, ROGER M </t>
  </si>
  <si>
    <t>SIERRA GARDENS MH LT 100 BLK D</t>
  </si>
  <si>
    <t>2640 DAFFODIL WAY</t>
  </si>
  <si>
    <t xml:space="preserve">MCDONOUGH, RACHAEL &amp; JAMES J </t>
  </si>
  <si>
    <t>SIERRA GARDENS MH LT 106 BLK D</t>
  </si>
  <si>
    <t>2699 DAFFODIL WAY</t>
  </si>
  <si>
    <t>FREGOSO, EDUARDO  et al</t>
  </si>
  <si>
    <t xml:space="preserve">TORRES MARIA E </t>
  </si>
  <si>
    <t>PO BOX 16431</t>
  </si>
  <si>
    <t xml:space="preserve">SO LAKE TAHOE </t>
  </si>
  <si>
    <t>SIERRA GARDENS MH LT 130 BLK G</t>
  </si>
  <si>
    <t>2650 LARKSPUR ST</t>
  </si>
  <si>
    <t xml:space="preserve">BLANCO, NOEMI C  </t>
  </si>
  <si>
    <t xml:space="preserve">2650 LARKSPUR ST </t>
  </si>
  <si>
    <t>SIERRA GARDENS MH LT 135 BLK G</t>
  </si>
  <si>
    <t>2180 BLAZING STAR DR</t>
  </si>
  <si>
    <t xml:space="preserve">ORELLANA, TOMAS A </t>
  </si>
  <si>
    <t>1547 W 22ND PL</t>
  </si>
  <si>
    <t>SIERRA GARDENS MH LT 139 BLK G</t>
  </si>
  <si>
    <t>2180 BARBERRY WAY</t>
  </si>
  <si>
    <t xml:space="preserve">SIEGEL, LAURENT  </t>
  </si>
  <si>
    <t xml:space="preserve">2180 BARBERRY WAY </t>
  </si>
  <si>
    <t>SIEGEL, LAURENT  et al</t>
  </si>
  <si>
    <t>SIERRA GARDENS MH LT 120 BLK F</t>
  </si>
  <si>
    <t>2186 BARBERRY WAY</t>
  </si>
  <si>
    <t>SIERRA GARDENS MH LT 117 BLK F</t>
  </si>
  <si>
    <t>2188 BARBERRY WAY</t>
  </si>
  <si>
    <t>YAMAGUCHI, KEITH K et al</t>
  </si>
  <si>
    <t>5630 DUCLERCQUE WAY</t>
  </si>
  <si>
    <t>VALENCIA, ORMIDIO et al</t>
  </si>
  <si>
    <t>SIERRA GARDENS MH LT 116 BLK F</t>
  </si>
  <si>
    <t>2704 ZINNIA DR</t>
  </si>
  <si>
    <t xml:space="preserve">OLIVER, LOUIS R &amp; BARBARA L </t>
  </si>
  <si>
    <t>720 SIENNA STATION WAY</t>
  </si>
  <si>
    <t>GUTIERREZ, RAUL et al</t>
  </si>
  <si>
    <t>SIERRA GARDENS MH LT 87 BLK B</t>
  </si>
  <si>
    <t>2193 BARBERRY WAY</t>
  </si>
  <si>
    <t>SIERRA GARDENS MH LT 75 BLK B</t>
  </si>
  <si>
    <t>2159 BARBERRY WAY</t>
  </si>
  <si>
    <t>TAPIA, JOSE et al</t>
  </si>
  <si>
    <t>RAMIREZ MARIA</t>
  </si>
  <si>
    <t>4380 SAN GABRIEL DR</t>
  </si>
  <si>
    <t xml:space="preserve">ORELLANA, ALEX A </t>
  </si>
  <si>
    <t>SIERRA GARDENS MH LT 58 BLK B</t>
  </si>
  <si>
    <t>2745 SNAPDRAGON WAY</t>
  </si>
  <si>
    <t xml:space="preserve">GOMEZ, ELIZABETH </t>
  </si>
  <si>
    <t>SIERRA GARDENS MH LT 196 BLK K</t>
  </si>
  <si>
    <t>2151 CAMELLIA DR</t>
  </si>
  <si>
    <t xml:space="preserve">REYES-POSADA, ERIK C  </t>
  </si>
  <si>
    <t xml:space="preserve">2151 CAMELLIA DR </t>
  </si>
  <si>
    <t>SIERRA GARDENS MH LT 206 BLK K</t>
  </si>
  <si>
    <t>2155 BARBERRY WAY</t>
  </si>
  <si>
    <t xml:space="preserve">BERRY, LARRY JOE </t>
  </si>
  <si>
    <t>SIERRA GARDENS MH LT 56 BLK B</t>
  </si>
  <si>
    <t>2149 BARBERRY WAY</t>
  </si>
  <si>
    <t xml:space="preserve">CAPUTO, REGINA M </t>
  </si>
  <si>
    <t>SIERRA GARDENS MH LT 53 BLK B</t>
  </si>
  <si>
    <t>2147 BARBERRY WAY</t>
  </si>
  <si>
    <t xml:space="preserve">MUNOZ, ESMERALDA L </t>
  </si>
  <si>
    <t xml:space="preserve">PEREA, LOIS E </t>
  </si>
  <si>
    <t>SIERRA GARDENS MH LT 52 BLK B</t>
  </si>
  <si>
    <t>2168 CAMELLIA DR</t>
  </si>
  <si>
    <t xml:space="preserve">GARZON, ROCIO </t>
  </si>
  <si>
    <t xml:space="preserve">SEGURA, ANTONIO </t>
  </si>
  <si>
    <t>SIERRA GARDENS MH LT 28 BLK B</t>
  </si>
  <si>
    <t>2180 CAMELLIA DR</t>
  </si>
  <si>
    <t xml:space="preserve">ALVAREZ, JOSUE I  </t>
  </si>
  <si>
    <t xml:space="preserve">2180 CAMELLIA DR </t>
  </si>
  <si>
    <t>SIERRA GARDENS MH LT 22 BLK B</t>
  </si>
  <si>
    <t xml:space="preserve">BAILEY TRUST, STEPHEN W &amp; VICKI L  </t>
  </si>
  <si>
    <t>2187 CAMELLIA DR</t>
  </si>
  <si>
    <t xml:space="preserve">CASTRO, MARIA E </t>
  </si>
  <si>
    <t>SIERRA GARDENS MH LT 153 BLK H</t>
  </si>
  <si>
    <t>3485 EVERETT DR</t>
  </si>
  <si>
    <t xml:space="preserve">MILLAN, GONZALO &amp; HOPE </t>
  </si>
  <si>
    <t xml:space="preserve">3485 EVERETT DR                     </t>
  </si>
  <si>
    <t xml:space="preserve">WOODS, DAVID A &amp; CAROL J  </t>
  </si>
  <si>
    <t>SIERRA HEIGHTS RENO 1C LT 248 BLK 4</t>
  </si>
  <si>
    <t>1525 AKARD DR</t>
  </si>
  <si>
    <t>HIGGINS, LILY M  et al</t>
  </si>
  <si>
    <t xml:space="preserve">BREWSTER, MICHAEL L </t>
  </si>
  <si>
    <t>SIERRA HEIGHTS RENO 1C LT 310 BLK 1</t>
  </si>
  <si>
    <t>1360 AKARD DR</t>
  </si>
  <si>
    <t xml:space="preserve">TILLOUS, TAMMIE T &amp; JEAN C  </t>
  </si>
  <si>
    <t xml:space="preserve">1360 AKARD DR </t>
  </si>
  <si>
    <t>SIERRA HEIGHTS RENO 1B LT 218 BLK 11</t>
  </si>
  <si>
    <t>1345 AKARD DR</t>
  </si>
  <si>
    <t xml:space="preserve">BOUTHILLIER, THOMAS N JR </t>
  </si>
  <si>
    <t xml:space="preserve">BELANGER, RICHARD C  </t>
  </si>
  <si>
    <t>SIERRA HEIGHTS RENO 1B LT 195 BLK 10</t>
  </si>
  <si>
    <t>1265 BELDON WAY</t>
  </si>
  <si>
    <t xml:space="preserve">BOLGER, JEREMIAH P  </t>
  </si>
  <si>
    <t xml:space="preserve">1265 BELDON WAY </t>
  </si>
  <si>
    <t>SIERRA HEIGHTS RENO 1B LT 155 BLK 9</t>
  </si>
  <si>
    <t>3535 W 7TH ST</t>
  </si>
  <si>
    <t xml:space="preserve">COOPER, DONALD W  </t>
  </si>
  <si>
    <t>SIERRA HEIGHTS RENO 1B LT 149 BLK 9</t>
  </si>
  <si>
    <t>1200 AKARD DR</t>
  </si>
  <si>
    <t>WOODS, DAVID N &amp; RACHEL M et al</t>
  </si>
  <si>
    <t>P O BOX 213</t>
  </si>
  <si>
    <t>SIERRA HEIGHTS RENO 1B LT 208 BLK 2</t>
  </si>
  <si>
    <t>1080 BELDON WAY</t>
  </si>
  <si>
    <t xml:space="preserve">BOLLINGER, ANN </t>
  </si>
  <si>
    <t xml:space="preserve">LENIZ, JOHN L &amp; SARAH Y </t>
  </si>
  <si>
    <t>SIERRA HEIGHTS RENO 1B LT 168 BLK 7</t>
  </si>
  <si>
    <t>1140 BELDON WAY</t>
  </si>
  <si>
    <t xml:space="preserve">HUMFELD, BRANDY J </t>
  </si>
  <si>
    <t xml:space="preserve">LAMBERT, BRYAN D &amp; ERIN K </t>
  </si>
  <si>
    <t>SIERRA HEIGHTS RENO 1B LT 171  BLK 7</t>
  </si>
  <si>
    <t>1240 CASA LOMA DR</t>
  </si>
  <si>
    <t xml:space="preserve">ADRIAN, MARTIN P &amp; DIANA J </t>
  </si>
  <si>
    <t>22201 BURWOOD LANE</t>
  </si>
  <si>
    <t>ESCALON</t>
  </si>
  <si>
    <t>95320</t>
  </si>
  <si>
    <t xml:space="preserve">HOUK FAMILY TRUST  </t>
  </si>
  <si>
    <t>SIERRA HEIGHTS RENO 1B LT 126 BLK 5</t>
  </si>
  <si>
    <t>1100 CASA LOMA DR</t>
  </si>
  <si>
    <t xml:space="preserve">TABOR, MARK L JR </t>
  </si>
  <si>
    <t xml:space="preserve">BYRD, LEONILA P </t>
  </si>
  <si>
    <t>SIERRA HEIGHTS RENO 1B LT 133 BLK 5</t>
  </si>
  <si>
    <t>3370 DOWNEY AVE</t>
  </si>
  <si>
    <t xml:space="preserve">WILSON, NOAH J </t>
  </si>
  <si>
    <t xml:space="preserve">STILLE, KATHIE J &amp; THOMAS A </t>
  </si>
  <si>
    <t>SIERRA HEIGHTS RENO 1B LT 103 BLK 8</t>
  </si>
  <si>
    <t>3480 DOWNEY AVE</t>
  </si>
  <si>
    <t xml:space="preserve">WEAVER, DONALD C </t>
  </si>
  <si>
    <t xml:space="preserve">FOWLER, WALTER S &amp; MARGARET E </t>
  </si>
  <si>
    <t>SIERRA HEIGHTS RENO 2A LT 238 BLK 1</t>
  </si>
  <si>
    <t>3440 DOWNEY AVE</t>
  </si>
  <si>
    <t xml:space="preserve">3066 MARKRIDGE DR </t>
  </si>
  <si>
    <t>SIERRA HEIGHTS RENO 2A LT 241 BLK 1</t>
  </si>
  <si>
    <t>910 BELDON WAY</t>
  </si>
  <si>
    <t xml:space="preserve">RUPP, DONALD L &amp; ANN M </t>
  </si>
  <si>
    <t>SIERRA HEIGHTS RENO 1A LT 59 BLK 7</t>
  </si>
  <si>
    <t>1010 BELDON WAY</t>
  </si>
  <si>
    <t xml:space="preserve">BACKUS, ROBERT &amp; SANDRA   </t>
  </si>
  <si>
    <t>1620 RAINBOW RIDGE RD</t>
  </si>
  <si>
    <t xml:space="preserve">HAMMOND, DENNIS </t>
  </si>
  <si>
    <t>SIERRA HEIGHTS RENO 1A LT 63 BLK 7</t>
  </si>
  <si>
    <t>1125 AKARD DR</t>
  </si>
  <si>
    <t xml:space="preserve">HARPER, TRUDY C </t>
  </si>
  <si>
    <t>PENUNURI-YEPIZ, ALMA S AKA</t>
  </si>
  <si>
    <t>SIERRA HEIGHTS RENO 1A FR LT 27 BLK 7</t>
  </si>
  <si>
    <t>965 BELDON WAY</t>
  </si>
  <si>
    <t xml:space="preserve">CRAIG TRUST, BOBBY G  </t>
  </si>
  <si>
    <t>10005 MONUMENT DR</t>
  </si>
  <si>
    <t>GRANTS PASS</t>
  </si>
  <si>
    <t>97526</t>
  </si>
  <si>
    <t>SIERRA HEIGHTS RENO 1A LT 69 BLK 6</t>
  </si>
  <si>
    <t>945 AKARD DR</t>
  </si>
  <si>
    <t xml:space="preserve">HOSKINS, JOHN A &amp; MARILEE </t>
  </si>
  <si>
    <t>561 KEYSTONE AVE #367</t>
  </si>
  <si>
    <t xml:space="preserve">DERENZY, DENISE </t>
  </si>
  <si>
    <t>SIERRA HEIGHTS RENO 1A LT 36 BLK 3</t>
  </si>
  <si>
    <t>765 AKARD DR</t>
  </si>
  <si>
    <t>WU, MARK  et al</t>
  </si>
  <si>
    <t xml:space="preserve">7790 GREAT BASIN RD </t>
  </si>
  <si>
    <t>SIERRA HEIGHTS RENO 1A LT 44 BLK 3</t>
  </si>
  <si>
    <t>790 BELDON WAY</t>
  </si>
  <si>
    <t xml:space="preserve">YOUNG, BARBARA </t>
  </si>
  <si>
    <t>PO BOX 273</t>
  </si>
  <si>
    <t>802 N ELM ST</t>
  </si>
  <si>
    <t>THREE OAKS</t>
  </si>
  <si>
    <t>SIERRA HEIGHTS RENO 1A LT 51 BLK 3</t>
  </si>
  <si>
    <t>2401 W 7TH ST</t>
  </si>
  <si>
    <t xml:space="preserve">SATHER, SHARON  </t>
  </si>
  <si>
    <t xml:space="preserve">2401 W 7TH ST </t>
  </si>
  <si>
    <t xml:space="preserve">GREEN, BENJAMIN &amp; SHEILA C </t>
  </si>
  <si>
    <t>CAPITOL HEIGHTS 1 LT 37</t>
  </si>
  <si>
    <t>685 NANCY CIR</t>
  </si>
  <si>
    <t xml:space="preserve">NEGRETTE, JUSTIN </t>
  </si>
  <si>
    <t>NANCY HEIGHTS 1 LT 31</t>
  </si>
  <si>
    <t>3470 RAUSCHER DR</t>
  </si>
  <si>
    <t xml:space="preserve">TOMBURELLO, RICK </t>
  </si>
  <si>
    <t xml:space="preserve">BUSSEY FAMILY TRUST, CHARLES N &amp; COLLEEN L  </t>
  </si>
  <si>
    <t>SIERRA HEIGHTS RENO 2A LT 202 BLK 2</t>
  </si>
  <si>
    <t>3370 RAUSCHER DR</t>
  </si>
  <si>
    <t xml:space="preserve">MOXEY, CLINTON D &amp; VONDA K  </t>
  </si>
  <si>
    <t xml:space="preserve">10585 SILVA RANCH RD </t>
  </si>
  <si>
    <t xml:space="preserve">VAN PELT, LARRY W </t>
  </si>
  <si>
    <t>SIERRA HEIGHTS RENO 2A LT 211 BLK 2</t>
  </si>
  <si>
    <t>3050 HEIGHTS DR</t>
  </si>
  <si>
    <t xml:space="preserve">PARSONS, CHRISTOPHER &amp; NICHOLE </t>
  </si>
  <si>
    <t xml:space="preserve">3050 HEIGHTS DR        </t>
  </si>
  <si>
    <t xml:space="preserve">BAKER, WINIFRED C &amp; DEXTER K </t>
  </si>
  <si>
    <t xml:space="preserve">SIERRA HEIGHTS RENO 2A LT 184 BLK 2  </t>
  </si>
  <si>
    <t>3145 STATLER CIR</t>
  </si>
  <si>
    <t xml:space="preserve">MORSE, JOSEPH B  </t>
  </si>
  <si>
    <t>FAGALDE, CHRISTA M et al</t>
  </si>
  <si>
    <t>SIERRA HEIGHTS RENO 2B LT 259 BLK 7</t>
  </si>
  <si>
    <t>636 IBIS LN</t>
  </si>
  <si>
    <t>YOUNG, JASON et al</t>
  </si>
  <si>
    <t>SIERRA HEIGHTS RENO 2B LT 272 BLK 6</t>
  </si>
  <si>
    <t>2850 JUDITH LN</t>
  </si>
  <si>
    <t xml:space="preserve">CHERRY, DAVID C </t>
  </si>
  <si>
    <t>SIERRA HEIGHTS RENO 2B LT 336 BLK 2</t>
  </si>
  <si>
    <t>2501 EDGEWOOD DR</t>
  </si>
  <si>
    <t>SIERRA HEIGHTS RENO 6A</t>
  </si>
  <si>
    <t xml:space="preserve">BURNS , LESLIE M  </t>
  </si>
  <si>
    <t xml:space="preserve">2501 EDGEWOOD DR </t>
  </si>
  <si>
    <t xml:space="preserve">BANIS, RICHARD P &amp; CAROLYN J </t>
  </si>
  <si>
    <t>SIERRA HEIGHTS RENO 6A LT 63 BLK 4</t>
  </si>
  <si>
    <t>2545 EDGEWOOD DR</t>
  </si>
  <si>
    <t xml:space="preserve">GRASHUIS, MONICA R </t>
  </si>
  <si>
    <t xml:space="preserve">MACKINTOSH, ROY &amp; CLAUDIA </t>
  </si>
  <si>
    <t>SIERRA HEIGHTS RENO 6A LT 62 BLK 4</t>
  </si>
  <si>
    <t>2710 EDGEWOOD DR</t>
  </si>
  <si>
    <t xml:space="preserve">LATTIN, MARK W  </t>
  </si>
  <si>
    <t xml:space="preserve">MARKOVICH, EDWARD J &amp; MARILYN E </t>
  </si>
  <si>
    <t>SIERRA HEIGHTS RENO 6B LT 36 BLK B</t>
  </si>
  <si>
    <t>2910 EVERETT DR</t>
  </si>
  <si>
    <t xml:space="preserve">PENLEY, BEAU </t>
  </si>
  <si>
    <t xml:space="preserve">HARPER, ANN L </t>
  </si>
  <si>
    <t>NANCY HEIGHTS 2 LT 11</t>
  </si>
  <si>
    <t>2915 EVERETT DR</t>
  </si>
  <si>
    <t>NANCY HEIGHTS 3</t>
  </si>
  <si>
    <t xml:space="preserve">DUVALL, DOUGLAS A &amp; KATHLEEN W </t>
  </si>
  <si>
    <t>5300 S EDMONDS DR</t>
  </si>
  <si>
    <t>NANCY HEIGHTS 3 LT 3</t>
  </si>
  <si>
    <t>3005 EVERETT DR</t>
  </si>
  <si>
    <t>KATZENSTEIN, DEVIN  et al</t>
  </si>
  <si>
    <t xml:space="preserve">3005 EVERETT DR </t>
  </si>
  <si>
    <t>NANCY HEIGHTS 3 LT 10</t>
  </si>
  <si>
    <t>3311 SANDRA DR</t>
  </si>
  <si>
    <t xml:space="preserve">MACDOUGALL, JAMES P &amp; SARAH E </t>
  </si>
  <si>
    <t>SIERRA HEIGHTS RENO 2A LT 137 BLK 4</t>
  </si>
  <si>
    <t>3275 BARBARA CIR</t>
  </si>
  <si>
    <t xml:space="preserve">PALMER FAMILY TRUST, WILLIAM H II &amp; MARGARET E  </t>
  </si>
  <si>
    <t>4849 ALLISON DR</t>
  </si>
  <si>
    <t xml:space="preserve">GONZALES, ROMEO &amp; AMALIA </t>
  </si>
  <si>
    <t>SIERRA HEIGHTS RENO 2A LT 110 BLK 5</t>
  </si>
  <si>
    <t>3190 HEIGHTS DR</t>
  </si>
  <si>
    <t xml:space="preserve">CAMP, AMANDA L  </t>
  </si>
  <si>
    <t>CAMP, AMANDA L  et al</t>
  </si>
  <si>
    <t>SIERRA HEIGHTS RENO 2A LT 59 BLK 5</t>
  </si>
  <si>
    <t>3230 HEIGHTS DR</t>
  </si>
  <si>
    <t>SIERRA HEIGHTS RENO 2A LT 63 BLK 5</t>
  </si>
  <si>
    <t>3185 HEIGHTS DR</t>
  </si>
  <si>
    <t>CEBALLOS-SALAS, ANTONIO et al</t>
  </si>
  <si>
    <t xml:space="preserve">IBANEZ, EMILIO </t>
  </si>
  <si>
    <t>SIERRA HEIGHTS RENO 2A LT 48 BLK 6</t>
  </si>
  <si>
    <t>3155 HEIGHTS DR</t>
  </si>
  <si>
    <t>SIERRA HEIGHTS RENO NO 2A</t>
  </si>
  <si>
    <t xml:space="preserve">DOWNS, CANDACE </t>
  </si>
  <si>
    <t>SIERRA HEIGHTS RENO 2A LT 51 BLK 6</t>
  </si>
  <si>
    <t>3255 HEIGHTS DR</t>
  </si>
  <si>
    <t xml:space="preserve">VELEZ, JOE JR  </t>
  </si>
  <si>
    <t xml:space="preserve">3255 HEIGHTS DR </t>
  </si>
  <si>
    <t xml:space="preserve">SCHIESTEL, NICK W </t>
  </si>
  <si>
    <t>SIERRA HEIGHTS RENO 2A LT 37 BLK 6 + FR PM 962</t>
  </si>
  <si>
    <t xml:space="preserve"> N MC CARRAN BLVD</t>
  </si>
  <si>
    <t>PM 4863</t>
  </si>
  <si>
    <t>Discnt Whse</t>
  </si>
  <si>
    <t xml:space="preserve">10350 MCCARRAN RENO LLC </t>
  </si>
  <si>
    <t>2303 W ATHERTON DR</t>
  </si>
  <si>
    <t>MANTECA</t>
  </si>
  <si>
    <t>95337</t>
  </si>
  <si>
    <t>BEST, CARL et al</t>
  </si>
  <si>
    <t>005-340-11</t>
  </si>
  <si>
    <t>PM 4863 LT F</t>
  </si>
  <si>
    <t>2185 ELMCREST DR</t>
  </si>
  <si>
    <t xml:space="preserve">WITTLIEF , RICHARD E II &amp; CRYSTAL R  </t>
  </si>
  <si>
    <t>ELMCREST HEIGHTS 5  LT 3 BLK A</t>
  </si>
  <si>
    <t>1665 ELMCREST DR</t>
  </si>
  <si>
    <t>MOORE, TRACY A  et al</t>
  </si>
  <si>
    <t>1665 ELMCREST</t>
  </si>
  <si>
    <t>ELMCREST HEIGHTS 1 LT 23  BLK L</t>
  </si>
  <si>
    <t>1699 ELMCREST DR</t>
  </si>
  <si>
    <t xml:space="preserve">THOLKE, FRED R </t>
  </si>
  <si>
    <t xml:space="preserve">LOGAN, STEVEN A </t>
  </si>
  <si>
    <t>ELMCREST HEIGHTS 2  LT 19  BLK L</t>
  </si>
  <si>
    <t>1795 ELMCREST DR</t>
  </si>
  <si>
    <t xml:space="preserve">UNDERWOOD, JOHN </t>
  </si>
  <si>
    <t>ELMCREST HEIGHTS 2 LT 13 BLK L</t>
  </si>
  <si>
    <t>1865 ELMCREST DR</t>
  </si>
  <si>
    <t xml:space="preserve">OWEN, ROBB &amp; JENNIFER </t>
  </si>
  <si>
    <t>1560 CALIFORNIA AVE</t>
  </si>
  <si>
    <t xml:space="preserve">PORCH SWING PROPERTIES LLC </t>
  </si>
  <si>
    <t>006-021-25</t>
  </si>
  <si>
    <t>ELMCREST HEIGHTS 3 LT 8 BLK L &amp; FR ST</t>
  </si>
  <si>
    <t>985 MUNLEY DR</t>
  </si>
  <si>
    <t>WILCOCK, MICAH S  et al</t>
  </si>
  <si>
    <t>ELMCREST HEIGHTS 4 LT 8 BLK C</t>
  </si>
  <si>
    <t>840 BOWMAN DR</t>
  </si>
  <si>
    <t xml:space="preserve">ERNST, WENDIE I </t>
  </si>
  <si>
    <t xml:space="preserve">3565 LODESTAR LN </t>
  </si>
  <si>
    <t>SIMMONS, MARK D et al</t>
  </si>
  <si>
    <t>ELMCREST HEIGHTS 5  LT 31 BLK C</t>
  </si>
  <si>
    <t>1020 BOWMAN DR</t>
  </si>
  <si>
    <t xml:space="preserve">WOOTEN, JOHN E III &amp; EMILY M  </t>
  </si>
  <si>
    <t xml:space="preserve">1020 BOWMAN DR </t>
  </si>
  <si>
    <t>ELMCREST HEIGHTS 5 LT 39 BLK C</t>
  </si>
  <si>
    <t>1045 BOWMAN DR</t>
  </si>
  <si>
    <t xml:space="preserve">BRUMBAUGH, LEE </t>
  </si>
  <si>
    <t>FRANKE, KURT A et al</t>
  </si>
  <si>
    <t>ELMCREST HEIGHTS 5  LT 3 BLK B</t>
  </si>
  <si>
    <t>725 RUBY AVE</t>
  </si>
  <si>
    <t xml:space="preserve">MAHAN, MARK S </t>
  </si>
  <si>
    <t>136 E WALKER RD</t>
  </si>
  <si>
    <t xml:space="preserve">BOYER, EVELYN B </t>
  </si>
  <si>
    <t>ELMCREST HTS #3 LT 12 BLK G</t>
  </si>
  <si>
    <t>829 MC DONALD DR</t>
  </si>
  <si>
    <t>ELMCREST HEIGHTS 3  LT 32  BLK H</t>
  </si>
  <si>
    <t>1560 ELMCREST DR</t>
  </si>
  <si>
    <t xml:space="preserve">SHORT REVOCABLE TRUST, TED F &amp; RUTH M  </t>
  </si>
  <si>
    <t>13855 VIRGINIA FOOTHILLS DR</t>
  </si>
  <si>
    <t xml:space="preserve">SHORT, TED F </t>
  </si>
  <si>
    <t>ELMCREST HEIGHTS 1 LT 4 BLK J</t>
  </si>
  <si>
    <t>800 NOVELLY DR</t>
  </si>
  <si>
    <t xml:space="preserve">KUERZI, MINETTE A </t>
  </si>
  <si>
    <t>CLEARVIEW HTS LT 3 BLK F</t>
  </si>
  <si>
    <t>1050 NOVELLY DR</t>
  </si>
  <si>
    <t xml:space="preserve">REETZ, DEBRA A  </t>
  </si>
  <si>
    <t xml:space="preserve">1050 NOVELLY DR </t>
  </si>
  <si>
    <t xml:space="preserve">HALL TRUST  </t>
  </si>
  <si>
    <t>CLEARVIEW HEIGHTS LT 15 BLK F</t>
  </si>
  <si>
    <t>1955 W 6TH ST</t>
  </si>
  <si>
    <t>NORTHRIDGE HEIGHTS 3</t>
  </si>
  <si>
    <t xml:space="preserve">CRISS, DAVID W &amp; JACQUELINE B </t>
  </si>
  <si>
    <t>PSC 45 BOX 1734</t>
  </si>
  <si>
    <t xml:space="preserve">APO </t>
  </si>
  <si>
    <t xml:space="preserve">CRISS, DAVID W  </t>
  </si>
  <si>
    <t>NORTHRIDGE HEIGHTS 3 LT 51</t>
  </si>
  <si>
    <t>2165 W 6TH ST</t>
  </si>
  <si>
    <t>NORTHRIDGE HEIGHTS  5</t>
  </si>
  <si>
    <t xml:space="preserve">DUVALL, DOUGLAS A &amp; KATHLEEN W  </t>
  </si>
  <si>
    <t xml:space="preserve">5300 S EDMONDS DR </t>
  </si>
  <si>
    <t xml:space="preserve">DUVALL, DOUGLAS A &amp; KAATHLEEN W  </t>
  </si>
  <si>
    <t>NORTHRIDGE HEIGHTS 5  LT 76</t>
  </si>
  <si>
    <t>2180 W 6TH ST</t>
  </si>
  <si>
    <t xml:space="preserve">PURDY, EMILY R  </t>
  </si>
  <si>
    <t>2180 WEST 6TH ST</t>
  </si>
  <si>
    <t xml:space="preserve">SIENKO, JOHN R </t>
  </si>
  <si>
    <t>NORTHRIDGE HEIGHTS SUB NO 5 LOT 88</t>
  </si>
  <si>
    <t>2100 W 6TH ST</t>
  </si>
  <si>
    <t>NORTHRIDGE 4</t>
  </si>
  <si>
    <t xml:space="preserve">EMM, SANDI </t>
  </si>
  <si>
    <t xml:space="preserve">GUERRA, NIDIA Y </t>
  </si>
  <si>
    <t>NORTHRIDGE 4 LT 71</t>
  </si>
  <si>
    <t>1975 CARLIN ST</t>
  </si>
  <si>
    <t>WELLS, JEANINE M et al</t>
  </si>
  <si>
    <t xml:space="preserve">SMITH, GARY L &amp; JUDITH A </t>
  </si>
  <si>
    <t>NORTHRIDGE HEIGHTS 7 LT 4</t>
  </si>
  <si>
    <t>2260 W 6TH ST</t>
  </si>
  <si>
    <t>NORTHRIDGE HTS 5 FR 84 &amp;</t>
  </si>
  <si>
    <t xml:space="preserve">LANTIS, EDWARD D &amp; LAUREN C </t>
  </si>
  <si>
    <t xml:space="preserve">POWERS REVOCABLE TRUST, ROSALIE M  </t>
  </si>
  <si>
    <t>NORTHRIDGE HEIGHTS SUB NO 5 FR LOTS 84 &amp; 85</t>
  </si>
  <si>
    <t>1735 CARLIN ST</t>
  </si>
  <si>
    <t>NORTHRIDGE HEIGHTS 9</t>
  </si>
  <si>
    <t xml:space="preserve">CARLIN PROPERTIES LLC </t>
  </si>
  <si>
    <t>730 AESOP CT</t>
  </si>
  <si>
    <t xml:space="preserve">MUNSON, JOHN N &amp; LISA V </t>
  </si>
  <si>
    <t>NORTHRIDGE HEIGHTS 9 LT 45</t>
  </si>
  <si>
    <t>1640 W 7TH ST</t>
  </si>
  <si>
    <t xml:space="preserve">LINK , MATTHEW J  </t>
  </si>
  <si>
    <t xml:space="preserve">ROGERS, JIMMY D &amp; LIZBETH L </t>
  </si>
  <si>
    <t>NORTHRIDGE HEIGHTS 1 LT 5</t>
  </si>
  <si>
    <t>1018 UNIVERSITY TER</t>
  </si>
  <si>
    <t xml:space="preserve">MOLLER, DAPHNE LEA </t>
  </si>
  <si>
    <t>NEW SUNNYSIDE ADD AMD LT 10 BLK I</t>
  </si>
  <si>
    <t>50 BARKER CIR</t>
  </si>
  <si>
    <t>SUNNYSIDE ADD AMD</t>
  </si>
  <si>
    <t xml:space="preserve">TORREY TRUST, GUY E III  </t>
  </si>
  <si>
    <t>PO BOX 983</t>
  </si>
  <si>
    <t>STINSON BEACH</t>
  </si>
  <si>
    <t>94970</t>
  </si>
  <si>
    <t xml:space="preserve">TORREY, GUY E III </t>
  </si>
  <si>
    <t>SUNNYSIDE ADD AMD LT 12 BLK 5</t>
  </si>
  <si>
    <t>964 UNIVERSITY TER</t>
  </si>
  <si>
    <t xml:space="preserve">PARRAGUIRRE, JEAN M </t>
  </si>
  <si>
    <t>964 UNIVERSITY TERRACE</t>
  </si>
  <si>
    <t xml:space="preserve">ARMSTRONG, RICHARD J &amp; MONICA </t>
  </si>
  <si>
    <t>NEW SUNNYSIDE ADD 2ND AMD LT 2 BLK J</t>
  </si>
  <si>
    <t>881 W 7TH ST</t>
  </si>
  <si>
    <t xml:space="preserve">SUNNYSIDE ALVARO EVANS ADD </t>
  </si>
  <si>
    <t xml:space="preserve">PRENTICE, MICHAEL A &amp; KIM D </t>
  </si>
  <si>
    <t xml:space="preserve">BLAKESLEE 2007 TRUST  </t>
  </si>
  <si>
    <t>SUNNYSIDE ALVARO EVANS ADD S107` LT 1 &amp; 2 BLK 4</t>
  </si>
  <si>
    <t>770 VINE ST</t>
  </si>
  <si>
    <t>NEW SUNNSIDE ADD FR L10 &amp;</t>
  </si>
  <si>
    <t xml:space="preserve">BREITING, JAMES R </t>
  </si>
  <si>
    <t>NEW SUNNYSIDE ADD LT 9 &amp; FR LOT 10 BLK 13</t>
  </si>
  <si>
    <t>737 WASHINGTON ST</t>
  </si>
  <si>
    <t>WESTERN ADDITION FRAC</t>
  </si>
  <si>
    <t xml:space="preserve">MOFFETT, NANNETTE </t>
  </si>
  <si>
    <t>2135 BRISTOL PL</t>
  </si>
  <si>
    <t xml:space="preserve">STAPLES, DOUGLAS </t>
  </si>
  <si>
    <t>WESTERN ADD FR LT 31 BLK 13</t>
  </si>
  <si>
    <t>1556 CARLIN ST</t>
  </si>
  <si>
    <t>STARDUST GARDENS 1</t>
  </si>
  <si>
    <t xml:space="preserve">SOWLE, CHANEL </t>
  </si>
  <si>
    <t>2380 CARTWRIGHT RD</t>
  </si>
  <si>
    <t>STARDUST GARDENS 1 LT 15</t>
  </si>
  <si>
    <t>BCDA</t>
  </si>
  <si>
    <t>1511 W 6TH ST</t>
  </si>
  <si>
    <t>DIN PROPERTY SOLUTIONS LLC</t>
  </si>
  <si>
    <t>C/O DOMINIQUE &amp; IVA NEVEUX</t>
  </si>
  <si>
    <t xml:space="preserve">1745 BONEVILLE AVE </t>
  </si>
  <si>
    <t xml:space="preserve">NEVEUX, DOMINIQUE P &amp; IVA  </t>
  </si>
  <si>
    <t>FR S2 NE4 SEC 10 TWP 19 RGE 19</t>
  </si>
  <si>
    <t>584 MARVIN WAY</t>
  </si>
  <si>
    <t xml:space="preserve">CHRISTENSEN FAMILY TRUST  </t>
  </si>
  <si>
    <t>PO BOX 1155</t>
  </si>
  <si>
    <t>RENO HEIGHTS LT 8</t>
  </si>
  <si>
    <t>1950 STARDUST ST</t>
  </si>
  <si>
    <t>CHEW, SERENA et al</t>
  </si>
  <si>
    <t xml:space="preserve">MELROSE, ROBERT L &amp; DALIS H </t>
  </si>
  <si>
    <t>RENO HEIGHTS LT 76</t>
  </si>
  <si>
    <t>1801 RIBEIRO CIR</t>
  </si>
  <si>
    <t xml:space="preserve">RICE, STACEY  </t>
  </si>
  <si>
    <t xml:space="preserve">SHELDON, RUSSELL P &amp; WILMA C  </t>
  </si>
  <si>
    <t>RENO HEIGHTS LT 62</t>
  </si>
  <si>
    <t>540 PETER CIR</t>
  </si>
  <si>
    <t>STEPHENS, DARRYL  et al</t>
  </si>
  <si>
    <t>HILL-STEPHENS LORI</t>
  </si>
  <si>
    <t xml:space="preserve">4334 SETTING SUN DR </t>
  </si>
  <si>
    <t>RENO HEIGHTS LT 52</t>
  </si>
  <si>
    <t>2110 DICKERSON RD</t>
  </si>
  <si>
    <t>RETTUS LLC</t>
  </si>
  <si>
    <t>SUTTER STREMMEL</t>
  </si>
  <si>
    <t xml:space="preserve">2110 DICKERSON RD </t>
  </si>
  <si>
    <t xml:space="preserve">KRAHN, NIKOLAU &amp; IRMA </t>
  </si>
  <si>
    <t>FR SW4 SEC 10 TWP 19 RGE 19</t>
  </si>
  <si>
    <t>AGOU</t>
  </si>
  <si>
    <t>MITCHELL, LARUE  et al</t>
  </si>
  <si>
    <t>2300 DICKERSON RD UNIT 7</t>
  </si>
  <si>
    <t xml:space="preserve">MITCHELL, LARUE  </t>
  </si>
  <si>
    <t xml:space="preserve">SHORELINE VILLAS CONDOS LT 7  </t>
  </si>
  <si>
    <t>SHORELINE VILLAS CONDOS LT 34</t>
  </si>
  <si>
    <t xml:space="preserve">MESSER, JANICE </t>
  </si>
  <si>
    <t>2300 DICKERSON RD 26</t>
  </si>
  <si>
    <t>SHORELINE VILLAS CONDOS UNIT 26</t>
  </si>
  <si>
    <t>1940 DICKERSON RD</t>
  </si>
  <si>
    <t xml:space="preserve">HAYNES, MAX </t>
  </si>
  <si>
    <t>PO BOX 35</t>
  </si>
  <si>
    <t>KIC RETIREMENT FUND et al</t>
  </si>
  <si>
    <t>006-320-12</t>
  </si>
  <si>
    <t>TOSCANO TOWNHOMES LT 12</t>
  </si>
  <si>
    <t>2770 DANA KRISTIN LN</t>
  </si>
  <si>
    <t>BROCKOVICH TRUST, NICK A et al</t>
  </si>
  <si>
    <t>213 TURKEY CREEK WAY</t>
  </si>
  <si>
    <t xml:space="preserve">BROCKOVICH TRUST, NICK A   </t>
  </si>
  <si>
    <t>TRUCKEE RIVER TOWNHOMES LT 18</t>
  </si>
  <si>
    <t>2750 DANA KRISTIN LN</t>
  </si>
  <si>
    <t>ZUMWALT, CHARLES et al</t>
  </si>
  <si>
    <t xml:space="preserve">2750 DANA KRISTIN LN </t>
  </si>
  <si>
    <t>TRUCKEE RIVER TOWNHOMES LT 16</t>
  </si>
  <si>
    <t>2700 DANA KRISTIN LN</t>
  </si>
  <si>
    <t xml:space="preserve">BROUGHTON REV TRUST, PETER H  </t>
  </si>
  <si>
    <t>1970 DICKERSON RD</t>
  </si>
  <si>
    <t>TRUCKEE RIVER TOWNHOMES LT 11</t>
  </si>
  <si>
    <t>1505 N VIRGINIA ST</t>
  </si>
  <si>
    <t>4465 SO JONES BLVD</t>
  </si>
  <si>
    <t>007-011-10</t>
  </si>
  <si>
    <t>EVANS VISTA AMD LT 2 FR LT 1 BLK 2</t>
  </si>
  <si>
    <t>BDDQ</t>
  </si>
  <si>
    <t>201 BARTLETT ST</t>
  </si>
  <si>
    <t xml:space="preserve">GRAY, ROGER </t>
  </si>
  <si>
    <t>PO BOX 60826</t>
  </si>
  <si>
    <t xml:space="preserve">BEUERMANN, MARGARETE </t>
  </si>
  <si>
    <t>UNIVERSITY PARK LT 16 BLK A</t>
  </si>
  <si>
    <t>315 RAFFETTO DR</t>
  </si>
  <si>
    <t xml:space="preserve">HICKS, DOUGLAS A </t>
  </si>
  <si>
    <t>2965 INDIAN CREEK DR</t>
  </si>
  <si>
    <t>STERLING VILLAGE 2 LT 18 BLK C</t>
  </si>
  <si>
    <t>1115 EVANS AVE</t>
  </si>
  <si>
    <t>UNIVERSITY HEIGHTS</t>
  </si>
  <si>
    <t xml:space="preserve">BOARD OF REGENTS UNIV NEVADA </t>
  </si>
  <si>
    <t>UNIVERSITY OF NEVADA RENO - 239</t>
  </si>
  <si>
    <t>895 N CENTER ST</t>
  </si>
  <si>
    <t>89557</t>
  </si>
  <si>
    <t>HEALY, ROSALIE et al</t>
  </si>
  <si>
    <t>UNIVERSITY HEIGHTS LT 10 BLK J</t>
  </si>
  <si>
    <t>95 BARTLETT ST</t>
  </si>
  <si>
    <t xml:space="preserve">RVALRC LLC </t>
  </si>
  <si>
    <t>1155 BEECH ST</t>
  </si>
  <si>
    <t xml:space="preserve">ODD FELLOWS RETIREMENT MNR INC </t>
  </si>
  <si>
    <t>00707313 &amp;</t>
  </si>
  <si>
    <t>UNIVERSITY PARK LT 10 + UNIVERSITY HEIGHTS LT 4 TH</t>
  </si>
  <si>
    <t>1317 RALSTON ST</t>
  </si>
  <si>
    <t>PENROD , AARON C  et al</t>
  </si>
  <si>
    <t xml:space="preserve">1317 RALSTON ST </t>
  </si>
  <si>
    <t xml:space="preserve">GINI TRUST, OLGA  </t>
  </si>
  <si>
    <t>UNIVERSITY TERRACE AMD LT 8 BLK 16</t>
  </si>
  <si>
    <t>1150 RALSTON ST</t>
  </si>
  <si>
    <t xml:space="preserve">FARWELL, CRAIG C </t>
  </si>
  <si>
    <t>11865 OCEAN VIEW DR</t>
  </si>
  <si>
    <t>UNIVERSITY TERRACE AMD LT 2 BLK 12</t>
  </si>
  <si>
    <t>1101 THE STRAND</t>
  </si>
  <si>
    <t xml:space="preserve">MICKEY D`S PROPERTIES LLC </t>
  </si>
  <si>
    <t>3999 KINGS CANYON RD</t>
  </si>
  <si>
    <t xml:space="preserve">MCDONALD FAMILY TRUST, ROBERT L &amp; DEBRA M  </t>
  </si>
  <si>
    <t>UNIVERSITY TERRACE AMD FR LT 3 &amp; 4 BLK 11</t>
  </si>
  <si>
    <t>1155 BUENA VISTA AVE</t>
  </si>
  <si>
    <t xml:space="preserve">MCCUTCHEON, CAMERON </t>
  </si>
  <si>
    <t xml:space="preserve">MCCUTCHEON, SUSAN </t>
  </si>
  <si>
    <t>UNIVERSITY TERRACE AMD LT 14 BLK 7</t>
  </si>
  <si>
    <t>1120 THE STRAND</t>
  </si>
  <si>
    <t xml:space="preserve">BREAZEALE, RONNIE D &amp; SARA J </t>
  </si>
  <si>
    <t>2030 PARKWAY DR</t>
  </si>
  <si>
    <t xml:space="preserve">ORTON, DOUGLAS C &amp; KATHERINE </t>
  </si>
  <si>
    <t>UNIVERSITY TERRACE AMD LT 6 BLK 7</t>
  </si>
  <si>
    <t>1160 THE STRAND</t>
  </si>
  <si>
    <t xml:space="preserve">KOP/PINTAR 2006 FAMILY TRUST  </t>
  </si>
  <si>
    <t>1100 STAGECOACH LN</t>
  </si>
  <si>
    <t xml:space="preserve">MARTINEZ, ANTOINETTE </t>
  </si>
  <si>
    <t>UNIVERSITY TERRACE AMD LT 3 BLK 7</t>
  </si>
  <si>
    <t>1101 N SIERRA ST</t>
  </si>
  <si>
    <t xml:space="preserve">ROSSI FAMILY TRUST, VINCENT A  </t>
  </si>
  <si>
    <t>007-119-06</t>
  </si>
  <si>
    <t>UNIVERSITY TERRACE AMD LT 7 BLK 1</t>
  </si>
  <si>
    <t>1395 N VIRGINIA ST</t>
  </si>
  <si>
    <t>MORTENSEN TRACT</t>
  </si>
  <si>
    <t>RISSONE SURVIVORS TRUST, RONALD P et al</t>
  </si>
  <si>
    <t>MORTENSEN TRACT LT 1</t>
  </si>
  <si>
    <t>1057 BELL ST</t>
  </si>
  <si>
    <t xml:space="preserve">PLATT, WILLIAM R </t>
  </si>
  <si>
    <t>PO BOX 1028</t>
  </si>
  <si>
    <t xml:space="preserve">WOJCIK, TREVOR &amp; CAROLINE G </t>
  </si>
  <si>
    <t>ST GEORGE ADD FR LT 9 BLK F</t>
  </si>
  <si>
    <t>646 GEAR ST</t>
  </si>
  <si>
    <t xml:space="preserve">KAPCZYNSKI, WILLIAM J &amp; JACQUELINE  </t>
  </si>
  <si>
    <t xml:space="preserve">6 WILD SAGE CIR </t>
  </si>
  <si>
    <t>ST GEORGE LT 8 BLK F</t>
  </si>
  <si>
    <t>390 W 11TH ST</t>
  </si>
  <si>
    <t>MILLER ADD</t>
  </si>
  <si>
    <t xml:space="preserve">ROBARDS 2009 TRUST, RONALD R &amp; DONNA J  </t>
  </si>
  <si>
    <t>MILLER ADD LT 13</t>
  </si>
  <si>
    <t>350 W 11TH ST</t>
  </si>
  <si>
    <t xml:space="preserve">CHAFFEE PROPERTIES LLC </t>
  </si>
  <si>
    <t>MILLER ADD LT 8</t>
  </si>
  <si>
    <t>300 W 11TH ST</t>
  </si>
  <si>
    <t xml:space="preserve">OLIPHINT, PAUL  </t>
  </si>
  <si>
    <t>MILLER ADD LT 1</t>
  </si>
  <si>
    <t>210 W 11TH ST</t>
  </si>
  <si>
    <t>UNIVERSITY ADD</t>
  </si>
  <si>
    <t xml:space="preserve">COOPER, JEFFREY </t>
  </si>
  <si>
    <t>PO BOX 8186</t>
  </si>
  <si>
    <t xml:space="preserve">PRICE, JESSICA E </t>
  </si>
  <si>
    <t>UNIVERSITY ADD FR LT 11 12</t>
  </si>
  <si>
    <t>341 UNIVERSITY TER</t>
  </si>
  <si>
    <t>PM 313</t>
  </si>
  <si>
    <t xml:space="preserve">SPICER, CLAYTON T  </t>
  </si>
  <si>
    <t xml:space="preserve">341 UNIVERSITY TERRACE </t>
  </si>
  <si>
    <t>PM 313 LT A</t>
  </si>
  <si>
    <t>33 W 8TH ST</t>
  </si>
  <si>
    <t>EVANS NW ADD AMD</t>
  </si>
  <si>
    <t xml:space="preserve">BAJWA, NAVPRIT S </t>
  </si>
  <si>
    <t>2406 PRATER WY</t>
  </si>
  <si>
    <t>EVANS NW ADD AMD LT 4</t>
  </si>
  <si>
    <t>337 E 9TH ST</t>
  </si>
  <si>
    <t>EVANS NE ADD</t>
  </si>
  <si>
    <t xml:space="preserve">LAWLER TRUST, JOHN R  </t>
  </si>
  <si>
    <t>920 EVANS AVE</t>
  </si>
  <si>
    <t xml:space="preserve">PELC FAMILY TRUST  </t>
  </si>
  <si>
    <t>EVANS NE ADD LT 8 BLK 7</t>
  </si>
  <si>
    <t>736 RALSTON ST</t>
  </si>
  <si>
    <t>WARDS ADD FR LT 11 &amp; 12 BLK N</t>
  </si>
  <si>
    <t>701 EVANS AVE</t>
  </si>
  <si>
    <t xml:space="preserve">BAUER LIVING TRUST, DAVID G &amp; DONNA M </t>
  </si>
  <si>
    <t>720 ADDLER RD</t>
  </si>
  <si>
    <t>EVANS NE ADD FR LT 16 BLK 13</t>
  </si>
  <si>
    <t>AOKK</t>
  </si>
  <si>
    <t>324 E 7TH ST</t>
  </si>
  <si>
    <t>PM 3989</t>
  </si>
  <si>
    <t xml:space="preserve">SHARIRLI, MAHIN  </t>
  </si>
  <si>
    <t>PO BOX 31136</t>
  </si>
  <si>
    <t>89173</t>
  </si>
  <si>
    <t xml:space="preserve">JERNIGAN, ONNA </t>
  </si>
  <si>
    <t>007-231-04</t>
  </si>
  <si>
    <t>PM 3989 LT A</t>
  </si>
  <si>
    <t>AOJC</t>
  </si>
  <si>
    <t>326 E 7TH ST</t>
  </si>
  <si>
    <t xml:space="preserve">MINORE, DIRK M &amp; HEATHER S </t>
  </si>
  <si>
    <t>655 EQUINE CT</t>
  </si>
  <si>
    <t>PM 3989 LT B</t>
  </si>
  <si>
    <t>468 E 8TH ST</t>
  </si>
  <si>
    <t xml:space="preserve">TANKERSLEY, WILLIAM T &amp; KIMBERLEE G </t>
  </si>
  <si>
    <t>579 YELLOW JACKET RD</t>
  </si>
  <si>
    <t xml:space="preserve">JACKSON LIVING TRUST, WARREN L  </t>
  </si>
  <si>
    <t>EVANS NE ADD AMD LT 19 BLK 5</t>
  </si>
  <si>
    <t>224 E 7TH ST</t>
  </si>
  <si>
    <t>EVANS ADD FRAC</t>
  </si>
  <si>
    <t xml:space="preserve">QUANTUM INVESTMENTS LLC </t>
  </si>
  <si>
    <t>605 LAKE ST</t>
  </si>
  <si>
    <t xml:space="preserve">VAN SANDT, VICKI </t>
  </si>
  <si>
    <t>EVANS ADD FRAC LOT 9 BLK 10</t>
  </si>
  <si>
    <t>1233 BON REA WAY</t>
  </si>
  <si>
    <t xml:space="preserve">MESSINA , JENNIFER N  </t>
  </si>
  <si>
    <t>UNIVERSITY TERRACE AMD LT 14 BLK 20</t>
  </si>
  <si>
    <t>1240 RIDGEWAY CT</t>
  </si>
  <si>
    <t xml:space="preserve">HANSROTE, GEORGE &amp; SUN DUK </t>
  </si>
  <si>
    <t xml:space="preserve">CUNNING, JAMES L </t>
  </si>
  <si>
    <t>UNIVERSITY TERRACE AMD LT 6 BLK 20</t>
  </si>
  <si>
    <t>535 W 11TH ST</t>
  </si>
  <si>
    <t>UNIVERSITY TERR AMD FR 5&amp;</t>
  </si>
  <si>
    <t xml:space="preserve">SERGOTT REVOCABLE TRUST, KEVIN J &amp; SONDRA L  </t>
  </si>
  <si>
    <t>PO BOX 3073</t>
  </si>
  <si>
    <t xml:space="preserve">SERGOTT, KEVIN J &amp; SONDRA L </t>
  </si>
  <si>
    <t>UNIVERSITY TERRACE ADD AMD FR LT 5 &amp; 6 BLK 18</t>
  </si>
  <si>
    <t>1130 BON REA WAY</t>
  </si>
  <si>
    <t xml:space="preserve">WHITLOCK, CORY M  </t>
  </si>
  <si>
    <t xml:space="preserve">KREIMER, JAMES D &amp; ALLYSON P </t>
  </si>
  <si>
    <t>UNIVERSITY TERRACE ADD LT 2 BLK 18</t>
  </si>
  <si>
    <t xml:space="preserve">YOUNG, MICHAEL L </t>
  </si>
  <si>
    <t>BELLA VISTA CONDO LT 605</t>
  </si>
  <si>
    <t xml:space="preserve">CAFFERY, STEPHANIE </t>
  </si>
  <si>
    <t>450 N ARLINGTON AVE UNIT 207</t>
  </si>
  <si>
    <t>007-462-07</t>
  </si>
  <si>
    <t>BELVEDERE TOWERS 1 LT N-2-7</t>
  </si>
  <si>
    <t>D P CAPITAL GROUP LLC</t>
  </si>
  <si>
    <t xml:space="preserve">6450 PEAVINE HILLS AVE </t>
  </si>
  <si>
    <t>BELVEDERE TOWERS 1 LT N-3-4</t>
  </si>
  <si>
    <t>685 WINSTON DR</t>
  </si>
  <si>
    <t>ORTIZ, RIGOBERTO et al</t>
  </si>
  <si>
    <t xml:space="preserve">YOUNG, CHRIS </t>
  </si>
  <si>
    <t>STERLING VILLAGE LT 15 BLK 4</t>
  </si>
  <si>
    <t>570 WINSTON DR</t>
  </si>
  <si>
    <t xml:space="preserve">MEDINA-GONZALEZ, GUADALUPE </t>
  </si>
  <si>
    <t>STERLING VILLAGE LT 6 BLK 3</t>
  </si>
  <si>
    <t>630 WINSTON DR</t>
  </si>
  <si>
    <t xml:space="preserve">VARELA-RODRIGUEZ, RANULFO </t>
  </si>
  <si>
    <t xml:space="preserve">630 WINSTON DR </t>
  </si>
  <si>
    <t>STERLING VILLAGE LT 10 BLK 3</t>
  </si>
  <si>
    <t>4220 SWANSON LN</t>
  </si>
  <si>
    <t>675 DENSLOWE DR</t>
  </si>
  <si>
    <t>STERLING VILLAGE FR LTS 16 17 &amp; 18 BLK 3</t>
  </si>
  <si>
    <t>625 DENSLOWE DR</t>
  </si>
  <si>
    <t xml:space="preserve">ROULLIER, WILLIAM T &amp; PENNY L  </t>
  </si>
  <si>
    <t xml:space="preserve">635 DENSLOWE DR APT C                   </t>
  </si>
  <si>
    <t xml:space="preserve">LAN , GEORGE H &amp; LUCY R </t>
  </si>
  <si>
    <t>STERLING VILLAGE FR LTS 21 22 &amp; 23 BLK 3</t>
  </si>
  <si>
    <t>605 DENSLOWE DR</t>
  </si>
  <si>
    <t>STERLING VILLAGE LT 23 FR 22 BLK 3</t>
  </si>
  <si>
    <t>670 DENSLOWE DR</t>
  </si>
  <si>
    <t xml:space="preserve">STERLING VILLAGE </t>
  </si>
  <si>
    <t>SUN QIAN</t>
  </si>
  <si>
    <t>STERLING VILLAGE FR LTS 9 &amp; 10 BLK 2</t>
  </si>
  <si>
    <t>665 SOUTHWORTH DR</t>
  </si>
  <si>
    <t>DAI, WEN et al</t>
  </si>
  <si>
    <t xml:space="preserve">DAI, WEN </t>
  </si>
  <si>
    <t>STERLING VILLAGE LT 15 BLK 1</t>
  </si>
  <si>
    <t>855 SOUTHWORTH DR</t>
  </si>
  <si>
    <t>STERLING VILLAGE FR LT 17 BLK 5</t>
  </si>
  <si>
    <t>702 SOUTHWORTH DR</t>
  </si>
  <si>
    <t xml:space="preserve">FLORES, JOERUDY P </t>
  </si>
  <si>
    <t>STERLING VILLAGE LT 4 BLK 6</t>
  </si>
  <si>
    <t>840 SOUTHWORTH DR</t>
  </si>
  <si>
    <t xml:space="preserve">HARRIS, SABRINA </t>
  </si>
  <si>
    <t>517 ARROYO RD</t>
  </si>
  <si>
    <t>SONOMA</t>
  </si>
  <si>
    <t>95476</t>
  </si>
  <si>
    <t>STERLING VILLAGE LT 12 BLK 6</t>
  </si>
  <si>
    <t>902 SOUTHWORTH DR</t>
  </si>
  <si>
    <t>SORRETA, GIANPAULO M et al</t>
  </si>
  <si>
    <t>MATSUMOTO NAOKO</t>
  </si>
  <si>
    <t>5439 DESERTSTONE DR</t>
  </si>
  <si>
    <t xml:space="preserve">NOEL, LEWIS &amp; GAIL </t>
  </si>
  <si>
    <t>STERLING VILLAGE LT 15 BLK 6</t>
  </si>
  <si>
    <t>920 SOUTHWORTH DR</t>
  </si>
  <si>
    <t xml:space="preserve">DAVIS, DANIELLE </t>
  </si>
  <si>
    <t>DAVIS, DANIELLE et al</t>
  </si>
  <si>
    <t>STERLING VILLAGE LT 16 BLK 6</t>
  </si>
  <si>
    <t>1385 TRAINER WAY</t>
  </si>
  <si>
    <t xml:space="preserve">MILLER, RACHEL </t>
  </si>
  <si>
    <t>HILLBORO 1 LT 10 BLK 1</t>
  </si>
  <si>
    <t>1225 TRAINER WAY</t>
  </si>
  <si>
    <t xml:space="preserve">GONZALEZ, BLANCA C </t>
  </si>
  <si>
    <t xml:space="preserve">3535 NEIL RD APT 3                      </t>
  </si>
  <si>
    <t>HILLBORO 1 LT 2 BLK 1</t>
  </si>
  <si>
    <t>1385 CASTLE WAY</t>
  </si>
  <si>
    <t xml:space="preserve">MENDEZ, ELENA L </t>
  </si>
  <si>
    <t>HILLBORO 1 LT 11 BLK 3</t>
  </si>
  <si>
    <t>1520 SUTRO ST</t>
  </si>
  <si>
    <t>WU, CHAN ZHEN et al</t>
  </si>
  <si>
    <t>CAI BO JUN</t>
  </si>
  <si>
    <t xml:space="preserve">WU, CHAN ZHEN </t>
  </si>
  <si>
    <t>HILLBORO 1 LT 20 BLK 3</t>
  </si>
  <si>
    <t>1580 TRAINER WAY</t>
  </si>
  <si>
    <t xml:space="preserve">CAI, YIN MAN  </t>
  </si>
  <si>
    <t>22 CADELL PLACE</t>
  </si>
  <si>
    <t>HILLBORO 2 LT 5 BLK 10</t>
  </si>
  <si>
    <t>1620 TRAINER WAY</t>
  </si>
  <si>
    <t xml:space="preserve">SALAZAR DE JIMENEZ, MARIA J </t>
  </si>
  <si>
    <t xml:space="preserve">ANDERSON, LUKE B &amp; REGINA S </t>
  </si>
  <si>
    <t>HILLBORO 3 LT 1 BLK 13</t>
  </si>
  <si>
    <t>1590 MONTELLO ST</t>
  </si>
  <si>
    <t xml:space="preserve">RODRIGUEZ, NICOLASA R </t>
  </si>
  <si>
    <t>HILLBORO 2 LT 2 BLK 11</t>
  </si>
  <si>
    <t>1740 HADDOCK DR</t>
  </si>
  <si>
    <t xml:space="preserve">TREJO, JESUS B &amp; ROSA I </t>
  </si>
  <si>
    <t xml:space="preserve">ERLACH, TIMOTHY </t>
  </si>
  <si>
    <t>HILLBORO 3 LT 7 BLK 14</t>
  </si>
  <si>
    <t>1555 CASTLE WAY</t>
  </si>
  <si>
    <t xml:space="preserve">DIEP, WAN &amp; CHAN </t>
  </si>
  <si>
    <t>HILLBORO 2 LT 8 BLK 11</t>
  </si>
  <si>
    <t>1525 CASTLE WAY</t>
  </si>
  <si>
    <t xml:space="preserve">CAI, BO L </t>
  </si>
  <si>
    <t>CAI, BO L et al</t>
  </si>
  <si>
    <t>HILLBORO 2 LT 9 BLK 11</t>
  </si>
  <si>
    <t>2000 TRAINER WAY</t>
  </si>
  <si>
    <t xml:space="preserve">1450 TRAINER WAY </t>
  </si>
  <si>
    <t>HILLBORO 6 LT 7</t>
  </si>
  <si>
    <t>1500 MANHATTAN ST</t>
  </si>
  <si>
    <t xml:space="preserve">BELTEJAR, EVELYN D </t>
  </si>
  <si>
    <t xml:space="preserve">GUMALOT, ARMENIO O &amp; ERLINDA L </t>
  </si>
  <si>
    <t>HILLBORO 6 LT 25</t>
  </si>
  <si>
    <t>1960 HADDOCK DR</t>
  </si>
  <si>
    <t xml:space="preserve">SALDANA-MENA, LEODEGARIO </t>
  </si>
  <si>
    <t xml:space="preserve">1960 HADDOCK DR </t>
  </si>
  <si>
    <t>HILLBORO 6 LT 46</t>
  </si>
  <si>
    <t>1975 CASTLE WAY</t>
  </si>
  <si>
    <t xml:space="preserve">TOY, CHU PUI &amp; QU PING-CHEN </t>
  </si>
  <si>
    <t>HILLBORO 6 LT 44</t>
  </si>
  <si>
    <t>1905 HILLBORO AVE</t>
  </si>
  <si>
    <t>HILLBORO  5</t>
  </si>
  <si>
    <t xml:space="preserve">LEW, TONY </t>
  </si>
  <si>
    <t>3519 HARBOR VIEW AVE</t>
  </si>
  <si>
    <t>94619</t>
  </si>
  <si>
    <t>HILLBORO 5 LT 46</t>
  </si>
  <si>
    <t>1251 ARNOLD DR</t>
  </si>
  <si>
    <t>PATTON-FREDERICK ADD 2</t>
  </si>
  <si>
    <t>PATTON-FREDERICK ADD 2 LT 32 BLK B</t>
  </si>
  <si>
    <t>1670 CASTLE WAY</t>
  </si>
  <si>
    <t>DIEP, CHAN et al</t>
  </si>
  <si>
    <t>HILLBORO 4 LT 9 BLK 19</t>
  </si>
  <si>
    <t>1625 HILLBORO AVE</t>
  </si>
  <si>
    <t xml:space="preserve">SLOCUM, MARIE S </t>
  </si>
  <si>
    <t>HORST EVELYN A FAMILY TRUST et al TTEE</t>
  </si>
  <si>
    <t>HILLBORO 4 LT 33 BLK 19</t>
  </si>
  <si>
    <t>1615 HILLBORO AVE</t>
  </si>
  <si>
    <t xml:space="preserve">H &amp; N PROPERTIES LLC </t>
  </si>
  <si>
    <t xml:space="preserve">SPRENGER, HENRY B II </t>
  </si>
  <si>
    <t>HILLBORO 4 L 34 BLK 19</t>
  </si>
  <si>
    <t>1525 HILLBORO AVE</t>
  </si>
  <si>
    <t xml:space="preserve">SUAREZ PARRA, JOSE ENRIQUE </t>
  </si>
  <si>
    <t>1525 HILLBORO</t>
  </si>
  <si>
    <t>HILLBORO 4 LT 38 BLK 19</t>
  </si>
  <si>
    <t>1560 HILLBORO AVE</t>
  </si>
  <si>
    <t xml:space="preserve">GONZALEZ-CURIEL , AUDEL  </t>
  </si>
  <si>
    <t xml:space="preserve">1560 HILLBORO AVE </t>
  </si>
  <si>
    <t>HILLBORO 5 LT 1</t>
  </si>
  <si>
    <t>1575 CARVILLE DR</t>
  </si>
  <si>
    <t xml:space="preserve">LEAL, ROSA C </t>
  </si>
  <si>
    <t>HILLBORO 5 LT 9</t>
  </si>
  <si>
    <t>1340 E 11TH ST</t>
  </si>
  <si>
    <t xml:space="preserve">BRANDON, RONALD L </t>
  </si>
  <si>
    <t xml:space="preserve">VEASLEY, JEFFREY </t>
  </si>
  <si>
    <t>FERRARIS ADD LT 5 BLK B</t>
  </si>
  <si>
    <t>1331 10TH ST</t>
  </si>
  <si>
    <t xml:space="preserve">SANCHEZ, EVANGELINA </t>
  </si>
  <si>
    <t xml:space="preserve">KING-CAMPBELL, FELICIA Y  </t>
  </si>
  <si>
    <t>FERRARIS ADD LT 9 BLK B</t>
  </si>
  <si>
    <t>1492 E 11TH ST</t>
  </si>
  <si>
    <t xml:space="preserve">SMITH , LESLIE D  </t>
  </si>
  <si>
    <t>1830 15TH AVE</t>
  </si>
  <si>
    <t>FERRARIS ADD LT 1 BLK C</t>
  </si>
  <si>
    <t>1431 10TH ST</t>
  </si>
  <si>
    <t xml:space="preserve">LYNGAR, CHRISTOPHER R  </t>
  </si>
  <si>
    <t>1431 E 10TH ST</t>
  </si>
  <si>
    <t xml:space="preserve">CHAGOLLA-MARQUEZ, JULIO </t>
  </si>
  <si>
    <t>FERRARIS ADD LT 7 BLK C</t>
  </si>
  <si>
    <t>1175 GOLDFIELD ST</t>
  </si>
  <si>
    <t>SILVERADA 1 LT 19</t>
  </si>
  <si>
    <t>1155 GOLDFIELD ST</t>
  </si>
  <si>
    <t>GARCIA, EMILY et al</t>
  </si>
  <si>
    <t xml:space="preserve">6517 SANDY ROCK RD </t>
  </si>
  <si>
    <t>SILVERADA 1 LT 20</t>
  </si>
  <si>
    <t>2760 CAMINO DIABLO</t>
  </si>
  <si>
    <t>94597</t>
  </si>
  <si>
    <t xml:space="preserve">LINARES-RODRIGUEZ, ELOY </t>
  </si>
  <si>
    <t>1190 MANHATTAN ST</t>
  </si>
  <si>
    <t>SILVERADA SUB DIV 1</t>
  </si>
  <si>
    <t xml:space="preserve">DONOR, EDWARD </t>
  </si>
  <si>
    <t xml:space="preserve">1190 MANHATTAN ST </t>
  </si>
  <si>
    <t xml:space="preserve">CHATMAN, BERTA L </t>
  </si>
  <si>
    <t>SILVERADA 1 LT 61</t>
  </si>
  <si>
    <t>1280 MANHATTAN ST</t>
  </si>
  <si>
    <t xml:space="preserve">SOLT, JASEN T  </t>
  </si>
  <si>
    <t xml:space="preserve">1280 MANHATTAN ST </t>
  </si>
  <si>
    <t>SILVERADA 1 LT 64</t>
  </si>
  <si>
    <t>2565 TYBO AVE</t>
  </si>
  <si>
    <t>SILVERADA 4 LT 5</t>
  </si>
  <si>
    <t>2515 TYBO AVE</t>
  </si>
  <si>
    <t xml:space="preserve">PANG, JINGNAN &amp; JACQULYN M </t>
  </si>
  <si>
    <t>3389 CITY VIEW TER</t>
  </si>
  <si>
    <t>ZHEN, LONG W et al</t>
  </si>
  <si>
    <t>SILVERADA 4 LT 7</t>
  </si>
  <si>
    <t>2585 E 9TH ST</t>
  </si>
  <si>
    <t>LING, FUJUAN et al</t>
  </si>
  <si>
    <t>SILVERADA 4 LT 31</t>
  </si>
  <si>
    <t>2530 TYBO AVE</t>
  </si>
  <si>
    <t xml:space="preserve">BUYUNGAN, MARATOL R </t>
  </si>
  <si>
    <t>SILVERADA 4 LT 21</t>
  </si>
  <si>
    <t>2390 E 9TH ST</t>
  </si>
  <si>
    <t xml:space="preserve">AYALA-ALCANTAR, DAGOBERTO </t>
  </si>
  <si>
    <t xml:space="preserve">FREDRICKSON, JOEL T &amp; JUDY R </t>
  </si>
  <si>
    <t>SILVERADA 4 LT 43</t>
  </si>
  <si>
    <t>2455 TRIDENT WAY</t>
  </si>
  <si>
    <t xml:space="preserve">SPRAIN, DIANA A </t>
  </si>
  <si>
    <t>SILVERADA 4 LT 60</t>
  </si>
  <si>
    <t>840 SHONE DR</t>
  </si>
  <si>
    <t xml:space="preserve">SOLANO, MARIA T </t>
  </si>
  <si>
    <t>CHC PROPERTIES LLC  LLC</t>
  </si>
  <si>
    <t>SILVERADA 4 LT 81</t>
  </si>
  <si>
    <t>995 SILVERADA BLVD</t>
  </si>
  <si>
    <t xml:space="preserve">EVANS, RICHARD C </t>
  </si>
  <si>
    <t>7645 HILLVIEW DR</t>
  </si>
  <si>
    <t xml:space="preserve">PRIVATE CAPITAL GROUP LLC </t>
  </si>
  <si>
    <t>SILVERADA 4 LT 14</t>
  </si>
  <si>
    <t>638 ELKO AVE</t>
  </si>
  <si>
    <t>MORRILLS ADD</t>
  </si>
  <si>
    <t xml:space="preserve">PETERS, KYLE </t>
  </si>
  <si>
    <t>MORRILLS ADD LT 5 BLK 7</t>
  </si>
  <si>
    <t>620 E 7TH ST</t>
  </si>
  <si>
    <t>BOEGLE, CHARLENE S  et al</t>
  </si>
  <si>
    <t xml:space="preserve">6202 MESA RD </t>
  </si>
  <si>
    <t>MORRILL ADD FR LT 7 &amp; 8 BLK 7</t>
  </si>
  <si>
    <t>666 N WELLS AVE</t>
  </si>
  <si>
    <t>LEETE SYND ADD FR BLK 1 &amp;</t>
  </si>
  <si>
    <t>WALL HT PUMP</t>
  </si>
  <si>
    <t>SINGH, BALJIT et al</t>
  </si>
  <si>
    <t>1261 POTRERO CIR</t>
  </si>
  <si>
    <t xml:space="preserve">SUISUN CITY </t>
  </si>
  <si>
    <t>94585</t>
  </si>
  <si>
    <t xml:space="preserve">US SMALL BUSINESS ADMIN </t>
  </si>
  <si>
    <t>LEETE SYNDICATE ADD FR BLK 1 &amp; 2</t>
  </si>
  <si>
    <t>630 MORRILL AVE</t>
  </si>
  <si>
    <t>LEETE SYNDICATE LOTS 7 &amp;</t>
  </si>
  <si>
    <t>MACIAS, MARIA G et al</t>
  </si>
  <si>
    <t>LEETE SYNDICATE ADD LTS 7 &amp; 8 BLK 10</t>
  </si>
  <si>
    <t>1027 E 6TH ST</t>
  </si>
  <si>
    <t>PM 4478</t>
  </si>
  <si>
    <t xml:space="preserve">BANKUNITED FSB </t>
  </si>
  <si>
    <t>008-195-21</t>
  </si>
  <si>
    <t xml:space="preserve">PM 4478 LT 3 </t>
  </si>
  <si>
    <t>624 QUINCY ST</t>
  </si>
  <si>
    <t>LEETE SYNDICATE ADD</t>
  </si>
  <si>
    <t xml:space="preserve">WANG , LIJUN </t>
  </si>
  <si>
    <t xml:space="preserve">624 QUINCY ST </t>
  </si>
  <si>
    <t>LEETE SYNDICATE ADD LT 6 &amp; 7 BLK 12</t>
  </si>
  <si>
    <t>1126 E 4TH ST</t>
  </si>
  <si>
    <t>Cocktail Lou</t>
  </si>
  <si>
    <t>1126 EAST 4TH ST LLC  LLC</t>
  </si>
  <si>
    <t xml:space="preserve">135 VESTA ST </t>
  </si>
  <si>
    <t xml:space="preserve">TRAINOR TRUST, MARIE  </t>
  </si>
  <si>
    <t>MORRILL SMITH ADD LT 4 BLK 5</t>
  </si>
  <si>
    <t>1483 E 4TH ST</t>
  </si>
  <si>
    <t>MORRILL SMITH ADD FRAC</t>
  </si>
  <si>
    <t xml:space="preserve">RENTERIA, RUBEN </t>
  </si>
  <si>
    <t>446 15TH ST</t>
  </si>
  <si>
    <t>MORRILL SMITH ADD LT 3 BLK 9</t>
  </si>
  <si>
    <t>1075 MONITOR DR</t>
  </si>
  <si>
    <t>SILVERADA 5</t>
  </si>
  <si>
    <t xml:space="preserve">ZHOU, WEI M &amp; XIAN Y </t>
  </si>
  <si>
    <t>SILVERADA 5 LT 50</t>
  </si>
  <si>
    <t>1040 MONITOR DR</t>
  </si>
  <si>
    <t xml:space="preserve">TRINH, DUONG T  </t>
  </si>
  <si>
    <t xml:space="preserve">8150 OPAL STATION DR </t>
  </si>
  <si>
    <t>SILVERADA 5 LT 14</t>
  </si>
  <si>
    <t>1060 MONITOR DR</t>
  </si>
  <si>
    <t xml:space="preserve">FLORES, FELIPE &amp; AURORA  </t>
  </si>
  <si>
    <t xml:space="preserve">VILLANUEVA, JOSE </t>
  </si>
  <si>
    <t>SILVERADA 5 LT 13</t>
  </si>
  <si>
    <t>2285 E 9TH ST</t>
  </si>
  <si>
    <t>SILVERADA 6</t>
  </si>
  <si>
    <t>ARREOLA, MAGDALENO R et al</t>
  </si>
  <si>
    <t>ESTRADA VERONICA L</t>
  </si>
  <si>
    <t>SILVERADA 6 LT 2</t>
  </si>
  <si>
    <t>2315 TRIDENT WAY</t>
  </si>
  <si>
    <t xml:space="preserve">RUELAS, LINDA G </t>
  </si>
  <si>
    <t>SILVERADA 6 FR LT 13 &amp; 14</t>
  </si>
  <si>
    <t>430 MORRILL AVE</t>
  </si>
  <si>
    <t>DOWNTOWN SERVICE CENTER</t>
  </si>
  <si>
    <t xml:space="preserve">ARTISTIC FENCE COMPANY </t>
  </si>
  <si>
    <t>5740 US HIGHWAY 50 E</t>
  </si>
  <si>
    <t xml:space="preserve">NELSON TRUST, VANCE E &amp; MARJORIE  </t>
  </si>
  <si>
    <t>DOWNTOWN SERVICE CENTER LT 112</t>
  </si>
  <si>
    <t>1375 BUTLER ST</t>
  </si>
  <si>
    <t xml:space="preserve">PALOMAR, PEDRO G  </t>
  </si>
  <si>
    <t xml:space="preserve">1375 BUTLER ST </t>
  </si>
  <si>
    <t>SHERMAN PARK EST LT 58 BLK A</t>
  </si>
  <si>
    <t>1388 BUTLER ST</t>
  </si>
  <si>
    <t xml:space="preserve">SOLANO, MARIELA E </t>
  </si>
  <si>
    <t>SHERMAN PARK EST LT 10 BLK B</t>
  </si>
  <si>
    <t>1316 BUTLER ST</t>
  </si>
  <si>
    <t xml:space="preserve">YANES, IMELDA L S </t>
  </si>
  <si>
    <t xml:space="preserve">AMESCUA, GUADALUPE </t>
  </si>
  <si>
    <t>SHERMAN PARK EST LT 31 BLK B</t>
  </si>
  <si>
    <t>1334 BUTLER ST</t>
  </si>
  <si>
    <t>SHERMAN PARK</t>
  </si>
  <si>
    <t>RAMIREZ, FRANCISCO J H  et al</t>
  </si>
  <si>
    <t xml:space="preserve">5420 NAPOLEON DR </t>
  </si>
  <si>
    <t>SHERMAN PARK EST LT 25 BLK B</t>
  </si>
  <si>
    <t xml:space="preserve">SHRESTHA, ISHOR K &amp; SITA </t>
  </si>
  <si>
    <t>1400 E 9TH ST UNIT 2</t>
  </si>
  <si>
    <t xml:space="preserve">SHRESTHA, ISHOR K  </t>
  </si>
  <si>
    <t>PARK TERRACE 1 LT A3 BLK 2</t>
  </si>
  <si>
    <t>SHRESTHA, ISHOR K et al</t>
  </si>
  <si>
    <t>1400 E 9TH ST NO 12</t>
  </si>
  <si>
    <t>PARK TERRACE 1 AMD LT A2 BLK 2</t>
  </si>
  <si>
    <t>AZEDEH NADIMI</t>
  </si>
  <si>
    <t xml:space="preserve">HOWLETT REVOCABLE TRUST, SHIRLEY J  </t>
  </si>
  <si>
    <t>PARK TERRACE 1 LT B5 BLK 1</t>
  </si>
  <si>
    <t>PARK TERRACE 1 LT B6 BLK 1</t>
  </si>
  <si>
    <t xml:space="preserve">SANCHEZ, EDVIGES </t>
  </si>
  <si>
    <t>13750 MOUNT WHITNEY ST</t>
  </si>
  <si>
    <t>PARK TERRACE 1 AMD LT A5U</t>
  </si>
  <si>
    <t xml:space="preserve">VALDEZ, VICTOR </t>
  </si>
  <si>
    <t>2989 MOUNTAIN SPRINGS RD</t>
  </si>
  <si>
    <t xml:space="preserve">ARZATE, MARCELINA </t>
  </si>
  <si>
    <t>PARK TERRACE 1 LT A3 BLK 4</t>
  </si>
  <si>
    <t>1402 E 9TH ST</t>
  </si>
  <si>
    <t>WANG FANG</t>
  </si>
  <si>
    <t>3066 MARKRIDGE DRIVE</t>
  </si>
  <si>
    <t>PARK TERRACE 2 AMD LT 8 BLK 6</t>
  </si>
  <si>
    <t>1404 E 9TH ST</t>
  </si>
  <si>
    <t>PARK TERRACE AMD 2 LT 1 BLDG 7</t>
  </si>
  <si>
    <t xml:space="preserve">ESPOSITO, MARTIN J &amp; PATRICIA L  </t>
  </si>
  <si>
    <t xml:space="preserve">112 LILY CT </t>
  </si>
  <si>
    <t xml:space="preserve">HERCULES </t>
  </si>
  <si>
    <t>94547</t>
  </si>
  <si>
    <t>PARK TERRACE 2 AMD LT 1 BLK 11</t>
  </si>
  <si>
    <t>PARK TERRACE 2 AMD LT 5 BLK 11</t>
  </si>
  <si>
    <t>AMEND PARK TERRACE  2</t>
  </si>
  <si>
    <t>PARK TERRACE 2 AMD LT 9 BLK 11</t>
  </si>
  <si>
    <t>PARK TERRACE 2 AMENDED</t>
  </si>
  <si>
    <t>PARK TERRACE UNIT TWO UNIT 1 BLDG 12</t>
  </si>
  <si>
    <t xml:space="preserve">JI, HONGLI </t>
  </si>
  <si>
    <t>3933 KINGS ROW</t>
  </si>
  <si>
    <t>PARK TERRACE 2 AMD LT 5 BLK 12</t>
  </si>
  <si>
    <t>1285 HILLBORO AVE</t>
  </si>
  <si>
    <t>HILLBORO PLACE</t>
  </si>
  <si>
    <t xml:space="preserve">BARAJAS, ENRIQUE R  </t>
  </si>
  <si>
    <t xml:space="preserve">1285 HILLBORO AVE </t>
  </si>
  <si>
    <t>008-083-50</t>
  </si>
  <si>
    <t>HILLBORO PLACE LT 6</t>
  </si>
  <si>
    <t>615 ELKO AVE</t>
  </si>
  <si>
    <t>PM 4555</t>
  </si>
  <si>
    <t xml:space="preserve">3310 W HIDDEN VALLEY DR </t>
  </si>
  <si>
    <t>008-181-06</t>
  </si>
  <si>
    <t>PM 4555 LT D</t>
  </si>
  <si>
    <t>AHGA</t>
  </si>
  <si>
    <t>6990 EAGLE CREEK CT</t>
  </si>
  <si>
    <t>RS 5222</t>
  </si>
  <si>
    <t xml:space="preserve">HALL, ANTHONY L &amp; SHELLY R </t>
  </si>
  <si>
    <t>330 JACKSON SPRINGS DR</t>
  </si>
  <si>
    <t xml:space="preserve">STEWART TRUST, ROBERT L  </t>
  </si>
  <si>
    <t>009-040-39</t>
  </si>
  <si>
    <t>RS 5222 PAR Y, , REFER TO DOC 3867143 FOR COMPLETE</t>
  </si>
  <si>
    <t>2905 ROWLAND RD</t>
  </si>
  <si>
    <t>GLENWOOD EST 2</t>
  </si>
  <si>
    <t xml:space="preserve">LANDON, MEGAN G </t>
  </si>
  <si>
    <t xml:space="preserve">ASHTON, GEOFFREY &amp; SUZANNE </t>
  </si>
  <si>
    <t>GLENWOOD EST 2 LT 7</t>
  </si>
  <si>
    <t>1245 ROWLAND RD</t>
  </si>
  <si>
    <t xml:space="preserve">DIAZ, JASON D &amp; LAUREN M </t>
  </si>
  <si>
    <t>3991 W 7TH ST 2</t>
  </si>
  <si>
    <t xml:space="preserve">COLEMAN, ROBERT </t>
  </si>
  <si>
    <t>GLENWOOD EST 2 LT 26</t>
  </si>
  <si>
    <t>270 LIVERMORE DR</t>
  </si>
  <si>
    <t xml:space="preserve">ANDRESEN FAMILY TRUST  </t>
  </si>
  <si>
    <t xml:space="preserve">270 LIVERMORE DR                        </t>
  </si>
  <si>
    <t xml:space="preserve">ANDRESEN, JULIUS T &amp; ELAINE M  </t>
  </si>
  <si>
    <t>AMBROSE 1 LT 7 BLK A</t>
  </si>
  <si>
    <t>5060 AMBROSE DR</t>
  </si>
  <si>
    <t xml:space="preserve">SIMON, JANET C </t>
  </si>
  <si>
    <t>AMBROSE 1 LT 4 BLK B</t>
  </si>
  <si>
    <t>4125 HACKAMORE DR</t>
  </si>
  <si>
    <t>HACKETT, JAMES M et al</t>
  </si>
  <si>
    <t>4515 CANYON DR</t>
  </si>
  <si>
    <t xml:space="preserve">DESIGN INVESTMENTS LLC </t>
  </si>
  <si>
    <t>FR S2 SEC 17 TWP 19 RGE 19</t>
  </si>
  <si>
    <t>4325 ROSS DR</t>
  </si>
  <si>
    <t xml:space="preserve">SHAW, STEPHEN D &amp; CLAUDIA C </t>
  </si>
  <si>
    <t xml:space="preserve">6316 MORI ST                            </t>
  </si>
  <si>
    <t xml:space="preserve">MCLEAN                   </t>
  </si>
  <si>
    <t xml:space="preserve">MURPHY TRUST, T E  </t>
  </si>
  <si>
    <t>JUNIPER HILLS LT 18 BLK D</t>
  </si>
  <si>
    <t>4235 ROSS DR</t>
  </si>
  <si>
    <t xml:space="preserve">TSANIFF, GEORGE &amp; CATHERINE L  </t>
  </si>
  <si>
    <t xml:space="preserve">4235 ROSS DR </t>
  </si>
  <si>
    <t xml:space="preserve">VOM ORDE FAMILY TRUST  </t>
  </si>
  <si>
    <t>JUNIPER HILLS LT 8 BLK F</t>
  </si>
  <si>
    <t>4305 BRIDLE WAY</t>
  </si>
  <si>
    <t xml:space="preserve">AL, JULIA T  </t>
  </si>
  <si>
    <t xml:space="preserve">4305 BRIDLE WAY </t>
  </si>
  <si>
    <t>JUNIPER HILLS LT 5 BLK H</t>
  </si>
  <si>
    <t>4885 CANYON DR</t>
  </si>
  <si>
    <t xml:space="preserve">STONE, GEORGE E &amp; DIANE D </t>
  </si>
  <si>
    <t xml:space="preserve">DEVINE, EDWARD J JR </t>
  </si>
  <si>
    <t>FR SW4 SEC 17 TWP 19 RGE 19</t>
  </si>
  <si>
    <t>5100 ELDORADO DR</t>
  </si>
  <si>
    <t xml:space="preserve">HAYWARD FAMILY TRUST, DANIEL T &amp; JULIE A  </t>
  </si>
  <si>
    <t xml:space="preserve">TOLOTTI, JASON C &amp; MARISSA M </t>
  </si>
  <si>
    <t>HIGHLAND PARK LT 35</t>
  </si>
  <si>
    <t>5301 CANYON DR</t>
  </si>
  <si>
    <t xml:space="preserve">APPLEBAUGH, GREGORY R </t>
  </si>
  <si>
    <t>HIGHLAND PARK FR LT 18</t>
  </si>
  <si>
    <t>4695 CANYON DR</t>
  </si>
  <si>
    <t xml:space="preserve">PEDDIE, CHRIS S &amp; SHARON M </t>
  </si>
  <si>
    <t>HIGHLAND PARKS LT 7</t>
  </si>
  <si>
    <t xml:space="preserve"> JUNIPER HILL RD</t>
  </si>
  <si>
    <t>PM 3271</t>
  </si>
  <si>
    <t xml:space="preserve">KANELLOS FAMILY 1998 TRUST  </t>
  </si>
  <si>
    <t xml:space="preserve">15 PRONGHORN CT     </t>
  </si>
  <si>
    <t xml:space="preserve">ZHOU, XIAO Z </t>
  </si>
  <si>
    <t>009-120-16</t>
  </si>
  <si>
    <t>PM 3271 LT 1</t>
  </si>
  <si>
    <t>4010 CANYON DR</t>
  </si>
  <si>
    <t xml:space="preserve">MERCER, ROBIN  </t>
  </si>
  <si>
    <t xml:space="preserve">4010 CANYON DR </t>
  </si>
  <si>
    <t>FR S2 SE4 SEC 17 TWP 19 RGE 19</t>
  </si>
  <si>
    <t>EXC/HV-1</t>
  </si>
  <si>
    <t>4790 CAUGHLIN PKWY # 709</t>
  </si>
  <si>
    <t xml:space="preserve">DAY FAMILY TRUST, THEODORE J  </t>
  </si>
  <si>
    <t>455 JUNIPER HILL RD</t>
  </si>
  <si>
    <t>PM 3502</t>
  </si>
  <si>
    <t xml:space="preserve">MATHEWSON, ROBERT A </t>
  </si>
  <si>
    <t>425 JUNIPER HILL RD</t>
  </si>
  <si>
    <t xml:space="preserve">SMITH FAMILY TRUST, G BLAKE &amp; RUTH F  </t>
  </si>
  <si>
    <t>009-132-09</t>
  </si>
  <si>
    <t>PM 3502 LT A</t>
  </si>
  <si>
    <t>PM 3502 LT B</t>
  </si>
  <si>
    <t>3935 SAN DONATO LP</t>
  </si>
  <si>
    <t xml:space="preserve">LOCKARD, STELLA M  </t>
  </si>
  <si>
    <t xml:space="preserve">3935 SAN DONATO LOOP </t>
  </si>
  <si>
    <t>009-151-21</t>
  </si>
  <si>
    <t>RS 5101 LT 13A (REFER TO DOCUMENT#3682814 FOR COMP</t>
  </si>
  <si>
    <t>3975 SAN DONATO LP</t>
  </si>
  <si>
    <t xml:space="preserve">STITSER, CONRAD R </t>
  </si>
  <si>
    <t>9009 TIMOTHY DR</t>
  </si>
  <si>
    <t>009-151-12</t>
  </si>
  <si>
    <t>RS 5101 LT 17A (REFER TO DOCUMENT#3682814 FOR COMP</t>
  </si>
  <si>
    <t>4005 SAN DONATO LP</t>
  </si>
  <si>
    <t xml:space="preserve">MAKIENKO, IGOR I  </t>
  </si>
  <si>
    <t xml:space="preserve">4005 SAN DONATO LOOP </t>
  </si>
  <si>
    <t>009-151-15</t>
  </si>
  <si>
    <t>RS 5101 LT 20A (REFER TO DOCUMENT3682814 FOR COMPL</t>
  </si>
  <si>
    <t>4025 SAN DONATO LP</t>
  </si>
  <si>
    <t>009-151-16</t>
  </si>
  <si>
    <t>RS 5101 LT 21A (REFER TO DOCUMENT # 3682814 FOR CO</t>
  </si>
  <si>
    <t>4035 SAN DONATO LP</t>
  </si>
  <si>
    <t xml:space="preserve">VICKERS, LAUREL </t>
  </si>
  <si>
    <t>4035 SAN DANATO LOOP LT 22</t>
  </si>
  <si>
    <t>009-151-17</t>
  </si>
  <si>
    <t>RS 5101 LT 22A (REFER TO DOCUMENT # 3682814 FOR CO</t>
  </si>
  <si>
    <t>4045 SAN DONATO LP</t>
  </si>
  <si>
    <t>BUNUEL-JORDANA, MARTA et al</t>
  </si>
  <si>
    <t>4045 SAN DONATO LOOP</t>
  </si>
  <si>
    <t>009-151-18</t>
  </si>
  <si>
    <t>RS 5101 LT 23A (REFER TO DOCUMENT #3682814 FOR COM</t>
  </si>
  <si>
    <t>4055 SAN DONATO LP</t>
  </si>
  <si>
    <t xml:space="preserve">BROWN, GREGORY L &amp; CHERYL L </t>
  </si>
  <si>
    <t>4055 SAN DONANTO LOOP</t>
  </si>
  <si>
    <t>009-151-19</t>
  </si>
  <si>
    <t>RS 5101 LT 24A (REFER TO DOCUMENT #3682814 FOR COM</t>
  </si>
  <si>
    <t>3345 IDLEWILD DR</t>
  </si>
  <si>
    <t xml:space="preserve">BROWN, JONATHAN M &amp; SUSAN O  </t>
  </si>
  <si>
    <t>GLENWOOD EST 1 LT 5</t>
  </si>
  <si>
    <t>2225 BALSAM ST</t>
  </si>
  <si>
    <t xml:space="preserve">BENNETT, CHARLOTTE </t>
  </si>
  <si>
    <t xml:space="preserve">ZUNINI FAMILY TRUST, JACQUELINE S  </t>
  </si>
  <si>
    <t>GLENWOOD EST 1 LT 52</t>
  </si>
  <si>
    <t>2270 BALSAM ST</t>
  </si>
  <si>
    <t xml:space="preserve">BARKER 1998 FAMILY TRUST, BRETT D  </t>
  </si>
  <si>
    <t>165 W LIBERT ST # 210</t>
  </si>
  <si>
    <t xml:space="preserve">NIELSON LIVING TRUST, SHIRLEY  </t>
  </si>
  <si>
    <t>GLENWOOD EST 1 LT 72</t>
  </si>
  <si>
    <t>910 KEELE DR</t>
  </si>
  <si>
    <t>HETTINGER, MARY-CLAIRE et al</t>
  </si>
  <si>
    <t>1540 SWAN CIR</t>
  </si>
  <si>
    <t>FR SEC 16 TWP 19 RGE 19</t>
  </si>
  <si>
    <t>2882 GLENWOOD CT</t>
  </si>
  <si>
    <t xml:space="preserve">GRAYBEAL, DAVID A </t>
  </si>
  <si>
    <t xml:space="preserve">GUELICH, RICHARD H III </t>
  </si>
  <si>
    <t>GLENWOOD EST 3 LT 29</t>
  </si>
  <si>
    <t>1403 EASTWOOD DR</t>
  </si>
  <si>
    <t xml:space="preserve">GRAF FAMILY TRUST, ROBERT L &amp; JOANN  </t>
  </si>
  <si>
    <t>GLENWOOD EST 3 LT 4</t>
  </si>
  <si>
    <t>1465 SHEWMAKER CT</t>
  </si>
  <si>
    <t xml:space="preserve">FORD FAMILY TRUST  </t>
  </si>
  <si>
    <t xml:space="preserve">BARNEY, BRIAN </t>
  </si>
  <si>
    <t>GLENWOOD EST 3 LT 46</t>
  </si>
  <si>
    <t>1490 SHEWMAKER CT</t>
  </si>
  <si>
    <t xml:space="preserve">WALLISH, PETER J </t>
  </si>
  <si>
    <t xml:space="preserve">BARNEY, PHILIP E </t>
  </si>
  <si>
    <t>GLENWOOD EST 3 LT 44</t>
  </si>
  <si>
    <t>2445 TRENTHAM WAY</t>
  </si>
  <si>
    <t>MINETTO, RICHARD J  et al</t>
  </si>
  <si>
    <t>SPATZ LISA L</t>
  </si>
  <si>
    <t xml:space="preserve">CROCKET, WILL G &amp; SANDRA H </t>
  </si>
  <si>
    <t>CORONET 1 LT 5</t>
  </si>
  <si>
    <t>1180 KEELE DR</t>
  </si>
  <si>
    <t xml:space="preserve">SODERLUND, MATTHEW B &amp; JENNIFER A  </t>
  </si>
  <si>
    <t xml:space="preserve">GOODMAN, CRAIG L &amp; KATE </t>
  </si>
  <si>
    <t>CORONET 1 LT 28</t>
  </si>
  <si>
    <t>2010 SHAIR DR</t>
  </si>
  <si>
    <t>PM 37</t>
  </si>
  <si>
    <t xml:space="preserve">LESTER, ROSA M &amp; DANIEL P </t>
  </si>
  <si>
    <t xml:space="preserve">BRENDLE FAMILY TRUST  </t>
  </si>
  <si>
    <t>PM 37 LT 1</t>
  </si>
  <si>
    <t>1895 CARTER DR</t>
  </si>
  <si>
    <t>ROCKWOOD SUB</t>
  </si>
  <si>
    <t xml:space="preserve">STAMPS, SETH L &amp; HILARY </t>
  </si>
  <si>
    <t>ROCKWOOD LT 22 BLK B</t>
  </si>
  <si>
    <t>2085 LA FOND DR</t>
  </si>
  <si>
    <t>DRISCOLL HILLS</t>
  </si>
  <si>
    <t>ROBERTSON, COLIN M et al</t>
  </si>
  <si>
    <t>155 UNIVERSITY TERR # B</t>
  </si>
  <si>
    <t>FNBN-RESCON I LLC LLC</t>
  </si>
  <si>
    <t>DRISCOLL HILLS LT 15 BLK A</t>
  </si>
  <si>
    <t>2090 DRISCOLL DR</t>
  </si>
  <si>
    <t>DRISCOLL HILLS SUB</t>
  </si>
  <si>
    <t xml:space="preserve">BROCK, RYAN &amp; AMANDA </t>
  </si>
  <si>
    <t xml:space="preserve">CASERTA FAMILY TRUST  </t>
  </si>
  <si>
    <t>DRISCOLL HILLS LT 10 BLK A</t>
  </si>
  <si>
    <t>2195 DRISCOLL DR</t>
  </si>
  <si>
    <t>DRISCOLL HILLS 2</t>
  </si>
  <si>
    <t xml:space="preserve">RICHARD L BEDELL LIVING TRUST  </t>
  </si>
  <si>
    <t xml:space="preserve">BEDELL, RICHARD L JR </t>
  </si>
  <si>
    <t>DRISCOLL HILLS 2 LT 13 BLK D</t>
  </si>
  <si>
    <t>3490 MERIDIAN LN</t>
  </si>
  <si>
    <t>CLAYPOOL, DONALD B et al</t>
  </si>
  <si>
    <t>HARBOUR SHANNON M</t>
  </si>
  <si>
    <t xml:space="preserve">OGLESBY FAMILY TRUST, FRANK L &amp; SHERLA  A  </t>
  </si>
  <si>
    <t>SOUTHAMPTON EST 1 LT 5 BLK C</t>
  </si>
  <si>
    <t>3305 PRESCOTT WAY</t>
  </si>
  <si>
    <t>MOSS, BARBARA E  et al</t>
  </si>
  <si>
    <t xml:space="preserve">3305 PRESCOTT WAY </t>
  </si>
  <si>
    <t>NORRIS, WENDELL W et al</t>
  </si>
  <si>
    <t>SOUTHAMPTON EST 1 LT 11 BLK B</t>
  </si>
  <si>
    <t>3515 MERIDIAN LN</t>
  </si>
  <si>
    <t>PM 2817 FR (RS 2975)</t>
  </si>
  <si>
    <t xml:space="preserve">FOLMER, EELKE </t>
  </si>
  <si>
    <t>3515 MERIDAN LN</t>
  </si>
  <si>
    <t>009-381-10</t>
  </si>
  <si>
    <t>PM 2817 FR LT 1 (RS 2975)</t>
  </si>
  <si>
    <t>3365 SOUTHAMPTON DR</t>
  </si>
  <si>
    <t xml:space="preserve">RAY, RONALD L &amp; KATHLIN L </t>
  </si>
  <si>
    <t xml:space="preserve">KEYSER-COOPER, TERRI </t>
  </si>
  <si>
    <t>PM 2817 FR LT 1 RS 2975</t>
  </si>
  <si>
    <t>3500 SOUTHAMPTON DR</t>
  </si>
  <si>
    <t>YEUNG, RICHARD S  et al</t>
  </si>
  <si>
    <t>3500 SOUTHAMPTON</t>
  </si>
  <si>
    <t xml:space="preserve">LICHTER FAMILY TRUST  </t>
  </si>
  <si>
    <t>SOUTHAMPTON EST 1 LT 5 BLK F</t>
  </si>
  <si>
    <t>00000</t>
  </si>
  <si>
    <t>600 GREENSBURG CIR</t>
  </si>
  <si>
    <t>SOUTHAMPTON ESTS UNIT 2</t>
  </si>
  <si>
    <t>600 GREENBURG CIR</t>
  </si>
  <si>
    <t>SOUTHAMPTON EST 2 LT 22 BLK A</t>
  </si>
  <si>
    <t>900 GREENSBURG CIR</t>
  </si>
  <si>
    <t>SOUTHAMPTON EST 2</t>
  </si>
  <si>
    <t xml:space="preserve">LORI A GUNDERSEN &amp; BETH A , SHADLE TRUST  </t>
  </si>
  <si>
    <t xml:space="preserve">B-JENSEN, MICHAEL T &amp; JANNA D </t>
  </si>
  <si>
    <t>SOUTHAMPTON EST 2 LT 19 BLK A</t>
  </si>
  <si>
    <t>3570 ASH FORK DR</t>
  </si>
  <si>
    <t>VINH, QUANG B  et al</t>
  </si>
  <si>
    <t xml:space="preserve">PHAN KATELYNE C </t>
  </si>
  <si>
    <t xml:space="preserve">3570 ASHFORK DR </t>
  </si>
  <si>
    <t>KJOLL, TORE K et al</t>
  </si>
  <si>
    <t>SOUTHAMPTON EST 2 LT 68 BLK C</t>
  </si>
  <si>
    <t>3541 BRIGHTON WAY</t>
  </si>
  <si>
    <t xml:space="preserve">TORRES, GUINEVERE </t>
  </si>
  <si>
    <t>SOUTHAMPTON EST 2 LT 67 BLK C</t>
  </si>
  <si>
    <t>3595 BRIGHTON WAY</t>
  </si>
  <si>
    <t xml:space="preserve">CIOFALO FAMILY TRUST  </t>
  </si>
  <si>
    <t>FRANK &amp; LEFRAN CIOFALO TRUSTEE</t>
  </si>
  <si>
    <t>3575 BRIGHTON WAY</t>
  </si>
  <si>
    <t xml:space="preserve">NEAPOLITAN LIVING TRUST, ROBERT &amp; BEVERLY  </t>
  </si>
  <si>
    <t>SOUTHAMPTON EST 2 LT 58 BLK C</t>
  </si>
  <si>
    <t>30 ARBOR OAK CT</t>
  </si>
  <si>
    <t>WEST PLUMB LN EST 2 AMD</t>
  </si>
  <si>
    <t xml:space="preserve">JOHNSON, JAMES M &amp; ELIZABETH A  </t>
  </si>
  <si>
    <t xml:space="preserve">30 ARBOR OAK CT </t>
  </si>
  <si>
    <t>WEST PLUMB LANE EST 2 AMD LT 262 BLK A</t>
  </si>
  <si>
    <t xml:space="preserve"> THORNHILL DR</t>
  </si>
  <si>
    <t xml:space="preserve">DIGGS, DAVID E &amp; GRETCHEN L </t>
  </si>
  <si>
    <t>2981 RUSTIC MANOR CT</t>
  </si>
  <si>
    <t xml:space="preserve">CREO 107 LLC </t>
  </si>
  <si>
    <t>PM 4343 LT 1</t>
  </si>
  <si>
    <t>4145 LONGKNIFE RD</t>
  </si>
  <si>
    <t>JUNIPER TRAIL 1</t>
  </si>
  <si>
    <t xml:space="preserve">HOFFMANN, RICHARD A &amp; CAROLYN D </t>
  </si>
  <si>
    <t xml:space="preserve">JENSEN, MICHAEL T B &amp; D B </t>
  </si>
  <si>
    <t>JUNIPER TRAILS 1 LT 10 BLK B</t>
  </si>
  <si>
    <t>4269 WATER HOLE RD</t>
  </si>
  <si>
    <t>JUNIPER TRAILS UNIT 2</t>
  </si>
  <si>
    <t xml:space="preserve">CLADIANOS TRUST, ANTONIA II   </t>
  </si>
  <si>
    <t xml:space="preserve">NOWAK, BARBARA D </t>
  </si>
  <si>
    <t>JUNIPER TRAILS 2 LT 4 BLK C</t>
  </si>
  <si>
    <t>3150 WEDGEWOOD CT</t>
  </si>
  <si>
    <t>RIVER RUN 2</t>
  </si>
  <si>
    <t xml:space="preserve">SCHWEBER, ERIN M </t>
  </si>
  <si>
    <t>RIVER RUN 2 LT 38 BLK 10</t>
  </si>
  <si>
    <t>3290 DUTCH CREEK CT</t>
  </si>
  <si>
    <t xml:space="preserve">OTTENBACHER, JOHN J </t>
  </si>
  <si>
    <t xml:space="preserve">THOMAS FAMILY TRUST, BEVERLY C  </t>
  </si>
  <si>
    <t>RIVER RUN 2 LT 57 BLK 15</t>
  </si>
  <si>
    <t>3205 ALUM CREEK CT</t>
  </si>
  <si>
    <t>RIVER RUN UNIT II AMENDED</t>
  </si>
  <si>
    <t xml:space="preserve">TAVERNIA FAMILY TRUST  </t>
  </si>
  <si>
    <t xml:space="preserve">TAVERNIA, GEORGE P &amp; RUTH E  </t>
  </si>
  <si>
    <t>RIVER RUN 2 AMD LT 66 BLK 18</t>
  </si>
  <si>
    <t>4010 WILLOWSPRINGS DR</t>
  </si>
  <si>
    <t>EDGEWATER UNIT NO 3</t>
  </si>
  <si>
    <t xml:space="preserve">LUCHETTI TRUST, J A  </t>
  </si>
  <si>
    <t>1765 GREENFIELD DR</t>
  </si>
  <si>
    <t xml:space="preserve">CASSIDY LIVING TRUST  </t>
  </si>
  <si>
    <t>EDGEWATER 3 LT 4 BLK B</t>
  </si>
  <si>
    <t>260 MEADOW BROOK DR</t>
  </si>
  <si>
    <t xml:space="preserve">GOSAL, BALBIR S </t>
  </si>
  <si>
    <t xml:space="preserve">SODHI, LAKHUIR </t>
  </si>
  <si>
    <t>EDGEWATER 3 LT 16 BLK B</t>
  </si>
  <si>
    <t>205 BLUEWATER CT</t>
  </si>
  <si>
    <t>GHEZZI, CECELIA et al</t>
  </si>
  <si>
    <t xml:space="preserve">WHEELER, BRIAN D &amp; TINA M </t>
  </si>
  <si>
    <t>EDGEWATER 3 LT 21 BLK B</t>
  </si>
  <si>
    <t>195 EDGEWATER PKWY</t>
  </si>
  <si>
    <t xml:space="preserve">REED, NATALIE </t>
  </si>
  <si>
    <t>4050 FALLING WATER DR</t>
  </si>
  <si>
    <t>EDGEWATER 1 LT 16 BLK E</t>
  </si>
  <si>
    <t>4095 WILLOWSPRINGS CT</t>
  </si>
  <si>
    <t xml:space="preserve">FOSTER, JUSTIN &amp; AMY </t>
  </si>
  <si>
    <t xml:space="preserve">GRIFFIN FAMILY TRUST, RICHARD &amp; RANDY   </t>
  </si>
  <si>
    <t>EDGEWATER 1 LT 9 BLK A</t>
  </si>
  <si>
    <t>3885 RIVERHAVEN DR</t>
  </si>
  <si>
    <t>EDGEWATER UNIT 1</t>
  </si>
  <si>
    <t xml:space="preserve">SWAINSTON, ROLF K &amp; PAULINE F </t>
  </si>
  <si>
    <t>EDGEWATER 1 LT 7 BLK F</t>
  </si>
  <si>
    <t>155 EDGEWATER PKWY</t>
  </si>
  <si>
    <t xml:space="preserve">GEIGER, EMIL J &amp; KATHRYN M  </t>
  </si>
  <si>
    <t>BALABANOVA, SNEJANA I et al</t>
  </si>
  <si>
    <t>EDGEWATER 1 LT 12 BLK E</t>
  </si>
  <si>
    <t>3073 BRAMBLE DR</t>
  </si>
  <si>
    <t>MAYBERRY MEADOWS ONE</t>
  </si>
  <si>
    <t xml:space="preserve">O`MARA, DAVID C &amp; COURTNEY M  </t>
  </si>
  <si>
    <t xml:space="preserve">3073 BRAMBLE DR </t>
  </si>
  <si>
    <t>MAYBERRY MEADOWS 1 LT 24 BLK B</t>
  </si>
  <si>
    <t>1288 CREEK HAVEN CIR</t>
  </si>
  <si>
    <t xml:space="preserve">HUGHES FAMILY 1996 TRUST  </t>
  </si>
  <si>
    <t>210 TERRACE VIEW</t>
  </si>
  <si>
    <t xml:space="preserve">HUGHES, CHARLES F </t>
  </si>
  <si>
    <t>ALUM CREEK PATIO HM 1 LT 4 BLK B</t>
  </si>
  <si>
    <t>1294 CREEK HAVEN CIR</t>
  </si>
  <si>
    <t xml:space="preserve">GARRETT 2005 REV LIVING TRUST, DONALD W &amp; MARGARET  </t>
  </si>
  <si>
    <t xml:space="preserve">GARRETT, DONALD W </t>
  </si>
  <si>
    <t>ALUM CREEK PATIO HM 1 LT 2 BLK B</t>
  </si>
  <si>
    <t>1263 CREEK HAVEN CIR</t>
  </si>
  <si>
    <t xml:space="preserve">FOURKAS, JOHN P  </t>
  </si>
  <si>
    <t xml:space="preserve">STEERE, JOAN I  </t>
  </si>
  <si>
    <t>ALUM CREEK PATIO HM 1 LT 6 BLK C</t>
  </si>
  <si>
    <t>1575 WHEATGRASS DR</t>
  </si>
  <si>
    <t xml:space="preserve">CAVAKIS, STACEY </t>
  </si>
  <si>
    <t xml:space="preserve">PAPKE TRUST, KEITH G &amp; RUTH J  </t>
  </si>
  <si>
    <t>MAYBERRY MEADOWS 3 LT 241 BLK C</t>
  </si>
  <si>
    <t>3110 SWEET CLOVER ST</t>
  </si>
  <si>
    <t>SWEET CLOVER RESIDENTIAL TRUST et al</t>
  </si>
  <si>
    <t xml:space="preserve">SWEET CLOVER RESIDENTIAL TRUST  </t>
  </si>
  <si>
    <t>MAYBERRY MEADOWS 2 LT 130 BLK A</t>
  </si>
  <si>
    <t>4033 CLOVER CREEK CT</t>
  </si>
  <si>
    <t xml:space="preserve">GRANT REVOCABLE TRUST  </t>
  </si>
  <si>
    <t>4440 PINEHAVEN RD</t>
  </si>
  <si>
    <t xml:space="preserve">BOYER REVOCABLE TRUST  </t>
  </si>
  <si>
    <t>CAUGHLIN CREEK 2A LT 203 BLK A</t>
  </si>
  <si>
    <t>4000 CLOVER CREEK CT</t>
  </si>
  <si>
    <t xml:space="preserve">PICABO LLC </t>
  </si>
  <si>
    <t>3980 PLATEAU RD</t>
  </si>
  <si>
    <t xml:space="preserve">ALLISON FAMILY TRUST, JOHN J  </t>
  </si>
  <si>
    <t>CAUGHLIN CREEK 2A LT 207 BLK B</t>
  </si>
  <si>
    <t>3955 INNSBRUCK CT</t>
  </si>
  <si>
    <t>CAUGHLIN CREEK UNIT TWO-B</t>
  </si>
  <si>
    <t xml:space="preserve">DICKSON, CHARLES R  </t>
  </si>
  <si>
    <t xml:space="preserve">3955 INNSBRUCK CT </t>
  </si>
  <si>
    <t xml:space="preserve">DIEHL, ROBERT O &amp; SHIRLEY M  </t>
  </si>
  <si>
    <t>CAUGHLIN CREEK 2B LT 231 BLK C</t>
  </si>
  <si>
    <t>3825 CHINOOK CREEK RD</t>
  </si>
  <si>
    <t>CAUGHLIN CREEK UNIT 3</t>
  </si>
  <si>
    <t xml:space="preserve">CANNADY, BETTY  </t>
  </si>
  <si>
    <t xml:space="preserve">CARTER, NICK E &amp; CANDY H </t>
  </si>
  <si>
    <t>009-660-29</t>
  </si>
  <si>
    <t>CAUGHLIN CREEK 3 LT 304 BLK A</t>
  </si>
  <si>
    <t>1195 RIVERBERRY DR</t>
  </si>
  <si>
    <t>MAYBERRY MEADOWS FOUR-A</t>
  </si>
  <si>
    <t xml:space="preserve">LUNT, JENNIFER J </t>
  </si>
  <si>
    <t xml:space="preserve">WOOD, TIMOTHY M &amp; DONNA J </t>
  </si>
  <si>
    <t>MAYBERRY MEADOWS 4A LT 431 BLK B</t>
  </si>
  <si>
    <t>1020 RIVERBERRY DR</t>
  </si>
  <si>
    <t xml:space="preserve">RICE, JOHN H  </t>
  </si>
  <si>
    <t xml:space="preserve">PO BOX 1654                             </t>
  </si>
  <si>
    <t xml:space="preserve">YOUNT REVOCABLE TRUST, CHRISTOPHER &amp; MARY  </t>
  </si>
  <si>
    <t>MAYBERRY MEADOWS UT 4A LT 403 BLK A</t>
  </si>
  <si>
    <t>1085 RIVERBERRY DR</t>
  </si>
  <si>
    <t xml:space="preserve">HOLLINGER, PAUL &amp; LENORA L  </t>
  </si>
  <si>
    <t xml:space="preserve">1085 RIVERBERRY DR </t>
  </si>
  <si>
    <t>MAYBERRY MEADOWS 4A LT 439 BLK B</t>
  </si>
  <si>
    <t>1166 BRANDER CT</t>
  </si>
  <si>
    <t>MAYBERRY MEADOWS 4B</t>
  </si>
  <si>
    <t xml:space="preserve">MEANS FAMILY TRUST, TROY &amp; LESLEY  </t>
  </si>
  <si>
    <t xml:space="preserve">MEANS, TROY &amp; LESLEY </t>
  </si>
  <si>
    <t>009-683-08</t>
  </si>
  <si>
    <t>MAYBERRY MEADOWS 4B LT 526 BLK B (ADJ RS 2473)</t>
  </si>
  <si>
    <t>3328 SPRING CREEK CIR</t>
  </si>
  <si>
    <t xml:space="preserve">SUTTON, LAURA A </t>
  </si>
  <si>
    <t>ALUM CREEK PATIO HM 3 LT 31 BLK D</t>
  </si>
  <si>
    <t>4395 MOUNTAINGATE DR</t>
  </si>
  <si>
    <t>JUNIPER RIDGE 1</t>
  </si>
  <si>
    <t>SHEPARD, CHARLES E et al</t>
  </si>
  <si>
    <t>SWALLOW WENDY W</t>
  </si>
  <si>
    <t xml:space="preserve">SEEVERS FAMILY TRUST  </t>
  </si>
  <si>
    <t>JUNIPER RIDGE 1 LT 111 BLK C</t>
  </si>
  <si>
    <t>4350 MOUNTAINGATE DR</t>
  </si>
  <si>
    <t>1GLC</t>
  </si>
  <si>
    <t>JUNIPER RIDGE SUB UNIT 1</t>
  </si>
  <si>
    <t xml:space="preserve">MURPHY FAMILY TRUST, HENRY F &amp; BONNIE  </t>
  </si>
  <si>
    <t>13000 VALLEY SPRINGS RD</t>
  </si>
  <si>
    <t xml:space="preserve">DURKEE, DANIELLE M </t>
  </si>
  <si>
    <t>JUNIPER RIDGE 1 LT 105 BLK B</t>
  </si>
  <si>
    <t>3874 ZOE LN</t>
  </si>
  <si>
    <t>ROS 5240</t>
  </si>
  <si>
    <t xml:space="preserve">LAZZARESCHI, DANIEL S </t>
  </si>
  <si>
    <t>3876 ZOE LN</t>
  </si>
  <si>
    <t xml:space="preserve">UPSON FAMILY TRUST, EDWIN P &amp; ZOE A  </t>
  </si>
  <si>
    <t>009-131-59</t>
  </si>
  <si>
    <t>RS 5240 PAR B</t>
  </si>
  <si>
    <t>4455 JUNIPER TRL</t>
  </si>
  <si>
    <t>GRANT, THOMAS &amp; SARAH  et al</t>
  </si>
  <si>
    <t xml:space="preserve">GRANT, THOMAS &amp; SARAH  </t>
  </si>
  <si>
    <t>JUNIPER RIDGE 2 LT 202 BLK A</t>
  </si>
  <si>
    <t>4385 MEADOWGATE TRL</t>
  </si>
  <si>
    <t>JUNIPER RIDGE 3</t>
  </si>
  <si>
    <t xml:space="preserve">RESNIK, JEFFREY P &amp; CLAIRE D </t>
  </si>
  <si>
    <t>009-030-45</t>
  </si>
  <si>
    <t>JUNIPER RIDGE 3 LT 302 BLK A</t>
  </si>
  <si>
    <t>4395 MEADOWGATE TRL</t>
  </si>
  <si>
    <t xml:space="preserve">MCCONNELL, SHAWN P &amp; SARA J </t>
  </si>
  <si>
    <t>BRUNELLI, ANTHONY M et al</t>
  </si>
  <si>
    <t>JUNIPER RIDGE 3 LT 301 BLK A</t>
  </si>
  <si>
    <t>1290 SHERWOOD DR</t>
  </si>
  <si>
    <t>MAYBERRY PLACE</t>
  </si>
  <si>
    <t xml:space="preserve">HOLLAND, JUDAH &amp; ERIN </t>
  </si>
  <si>
    <t>HOLLAND, JUDAH &amp; ERIN et al</t>
  </si>
  <si>
    <t>009-233-31</t>
  </si>
  <si>
    <t>MAYBERRY PLACE LT 19</t>
  </si>
  <si>
    <t>AFMC</t>
  </si>
  <si>
    <t>1181 SAGEBERRY CT</t>
  </si>
  <si>
    <t xml:space="preserve">SANDERS, RICHARD J &amp; DONNA L  </t>
  </si>
  <si>
    <t xml:space="preserve">NAONG, REMY </t>
  </si>
  <si>
    <t>MAYBERRY PLACE LT 11</t>
  </si>
  <si>
    <t>4813 IDLEWILD DR</t>
  </si>
  <si>
    <t>DANKO, REKA et al</t>
  </si>
  <si>
    <t>009-142-02</t>
  </si>
  <si>
    <t>MAYBERRY RANCH EST 1 FR LT 11</t>
  </si>
  <si>
    <t>4850 ALLISON DR</t>
  </si>
  <si>
    <t xml:space="preserve">SHANE FAMILY TRUST, STAN  </t>
  </si>
  <si>
    <t>PO BOX 2207</t>
  </si>
  <si>
    <t xml:space="preserve">SHANE, STAN </t>
  </si>
  <si>
    <t>009-144-03</t>
  </si>
  <si>
    <t>MAYBERRY RANCH EST 1 LT 35</t>
  </si>
  <si>
    <t>1215 W 2ND ST</t>
  </si>
  <si>
    <t xml:space="preserve">SCS WORLDLINK LLC </t>
  </si>
  <si>
    <t>1217 W 2ND ST</t>
  </si>
  <si>
    <t>FR NE4 SE4 SEC 10 TWP 19 RGE 19 (RS 2747)</t>
  </si>
  <si>
    <t>160 ARLETTA ST</t>
  </si>
  <si>
    <t xml:space="preserve">PALMER FAMILY TRUST, WILLIAM H II &amp; MARGARET  </t>
  </si>
  <si>
    <t>CHISM ADD LT 7 BLK 3</t>
  </si>
  <si>
    <t>1007 W COMMERCIAL ROW</t>
  </si>
  <si>
    <t>KEYSTONE PROPERTY MGMT LLC  LLC</t>
  </si>
  <si>
    <t>PO BOX 877</t>
  </si>
  <si>
    <t>89440</t>
  </si>
  <si>
    <t xml:space="preserve">SCHMOKER, JOHN  </t>
  </si>
  <si>
    <t>010-045-09</t>
  </si>
  <si>
    <t>FR SE4 SEC 10 TWP 19 RGE 19</t>
  </si>
  <si>
    <t>2341 RIVIERA ST</t>
  </si>
  <si>
    <t xml:space="preserve">GALLIVAN, MICHELLE </t>
  </si>
  <si>
    <t>PARKSIDE VISTA LT 33 BLK A</t>
  </si>
  <si>
    <t>2401 RIVIERA ST</t>
  </si>
  <si>
    <t xml:space="preserve">KAZEMI, LAILA </t>
  </si>
  <si>
    <t xml:space="preserve">PIEDMONT, ANTHONY D </t>
  </si>
  <si>
    <t>PARKSIDE VISTA LT 36 BLK A</t>
  </si>
  <si>
    <t>2420 IDLEWILD DR</t>
  </si>
  <si>
    <t xml:space="preserve">POLONI TRUST, TONI   </t>
  </si>
  <si>
    <t xml:space="preserve">SULLIVAN, JAMES P </t>
  </si>
  <si>
    <t>PARKSIDE VISTA LT 7 BLK A</t>
  </si>
  <si>
    <t>2321 RIVIERA ST</t>
  </si>
  <si>
    <t>PARKSIDE VISTA LT 32 BLK A</t>
  </si>
  <si>
    <t>2220 RIVIERA ST</t>
  </si>
  <si>
    <t xml:space="preserve">SIMERAL, ALISA A </t>
  </si>
  <si>
    <t xml:space="preserve">TOLOTTI TRUST, CARMELA G  </t>
  </si>
  <si>
    <t>PARKSIDE VISTA LT 13 BLK B</t>
  </si>
  <si>
    <t>1535 ELIZABETH ST</t>
  </si>
  <si>
    <t xml:space="preserve">RAMMEL, THOMAS H &amp; AMANDA L </t>
  </si>
  <si>
    <t xml:space="preserve">ELLIS, JOYCE E &amp; JOSEPH A </t>
  </si>
  <si>
    <t>BONANZA LT 7 BLK B</t>
  </si>
  <si>
    <t>1670 MC KINLEY DR</t>
  </si>
  <si>
    <t xml:space="preserve">COX, CHARLOTTE A  </t>
  </si>
  <si>
    <t xml:space="preserve">1670 MCKINLEY DR </t>
  </si>
  <si>
    <t xml:space="preserve">WEATHERS TRUST, LEAH  </t>
  </si>
  <si>
    <t>SIERRA VIEW LT 15 BLK G</t>
  </si>
  <si>
    <t>695 ROBIN ST</t>
  </si>
  <si>
    <t xml:space="preserve">MCKIBBEN, MARK S &amp; LARA C </t>
  </si>
  <si>
    <t>4125 RIVERHAVEN DR</t>
  </si>
  <si>
    <t>SIERRA VIEW LT 6 BLK E</t>
  </si>
  <si>
    <t>1740 CALIFORNIA AVE</t>
  </si>
  <si>
    <t>WILLIAMS SUB DIV</t>
  </si>
  <si>
    <t xml:space="preserve">HODGES, JONATHAN </t>
  </si>
  <si>
    <t xml:space="preserve">PATE, STEPHAN F </t>
  </si>
  <si>
    <t>WILLIAMS LT 3 BLK D</t>
  </si>
  <si>
    <t>1570 FOSTER DR</t>
  </si>
  <si>
    <t xml:space="preserve">BECKER, JOSEPH F </t>
  </si>
  <si>
    <t xml:space="preserve">FUQUAY, JOEL D </t>
  </si>
  <si>
    <t>SIERRA VIEW LT 7 BLK L</t>
  </si>
  <si>
    <t>1460 FOSTER DR</t>
  </si>
  <si>
    <t xml:space="preserve">SEAMAN, RUTH </t>
  </si>
  <si>
    <t xml:space="preserve">CORSO LIVING TRUST, M SUE  </t>
  </si>
  <si>
    <t>640 ROBIN ST</t>
  </si>
  <si>
    <t xml:space="preserve">PATRICK D STRIECK &amp; LAWRENCE M, POWELL TRUST  </t>
  </si>
  <si>
    <t>C/O LAWRENCE M POWELL TRUSTEE</t>
  </si>
  <si>
    <t xml:space="preserve">640 ROBIN ST </t>
  </si>
  <si>
    <t xml:space="preserve">KENDALL, JUDY L  </t>
  </si>
  <si>
    <t>SIERRA VIEW SUB DIV LT 9 BLK D</t>
  </si>
  <si>
    <t>1545 VULGAMORE PL</t>
  </si>
  <si>
    <t>STECKER, ZEBUEL C et al</t>
  </si>
  <si>
    <t xml:space="preserve">GALLI, CHRISTINE E </t>
  </si>
  <si>
    <t>WILLIAMS LT 4 BLK A</t>
  </si>
  <si>
    <t>2043 WESTFIELD AVE</t>
  </si>
  <si>
    <t xml:space="preserve">COLEGROVE, MICHAEL S </t>
  </si>
  <si>
    <t>WESTFIELD VILLAGE LT 28 BLK A</t>
  </si>
  <si>
    <t>801 CHERRY LN</t>
  </si>
  <si>
    <t>STURGEON, DARRON C &amp; ADDIE M LLC</t>
  </si>
  <si>
    <t>801 CHERRY LN LLC  LLC</t>
  </si>
  <si>
    <t>FR SE4  NE4 SEC 15 TWP 19 RGE 19</t>
  </si>
  <si>
    <t>674 ARBUTUS ST</t>
  </si>
  <si>
    <t>SPANGLER, SAMUEL et al</t>
  </si>
  <si>
    <t>4105 GARLAN DR</t>
  </si>
  <si>
    <t xml:space="preserve">CORRAO, JEFFERY S </t>
  </si>
  <si>
    <t>WESTFIELD VILLAGE LOT 20 BLK B</t>
  </si>
  <si>
    <t>2301 WESTFIELD AVE</t>
  </si>
  <si>
    <t xml:space="preserve">MENTGEN, JENNIFER S </t>
  </si>
  <si>
    <t xml:space="preserve">FRANKLIN TRUST  </t>
  </si>
  <si>
    <t>WESTFIELD VILLAGE LT 39 BLK A</t>
  </si>
  <si>
    <t>686 HUNTER LAKE DR</t>
  </si>
  <si>
    <t xml:space="preserve">PORUCZNICK, LISA S &amp; JOHN A  </t>
  </si>
  <si>
    <t xml:space="preserve">686 HUNTER LAKE DR </t>
  </si>
  <si>
    <t xml:space="preserve">MEE LIVING TRUST, BARBARA  </t>
  </si>
  <si>
    <t>PANICARI AMD LT 14</t>
  </si>
  <si>
    <t>1054 PRIMROSE ST</t>
  </si>
  <si>
    <t xml:space="preserve">PICKARD, BRANDON </t>
  </si>
  <si>
    <t xml:space="preserve">MARTINO, VALERIE JO </t>
  </si>
  <si>
    <t>WESTFIELD VILLAGE LT 11 BLK E</t>
  </si>
  <si>
    <t>886 PRIMROSE ST</t>
  </si>
  <si>
    <t xml:space="preserve">DECHENT, ELIAS &amp; ROBIN M </t>
  </si>
  <si>
    <t>1000 BECK ST UNIT 267</t>
  </si>
  <si>
    <t>WESTFIELD VILLAGE LT 5 BLK E</t>
  </si>
  <si>
    <t>860 PRIMROSE ST</t>
  </si>
  <si>
    <t xml:space="preserve">NEWTON, RONALDO </t>
  </si>
  <si>
    <t>WESTFIELD VILLAGE LT 4 BLK E</t>
  </si>
  <si>
    <t>1040 MEADOW ST</t>
  </si>
  <si>
    <t>HELLWINKEL, CRYSTALL et al</t>
  </si>
  <si>
    <t xml:space="preserve">AVERY, GERALD L </t>
  </si>
  <si>
    <t>WESTFIELD VILLAGE LT 11 BLK D</t>
  </si>
  <si>
    <t>665 ARBUTUS ST</t>
  </si>
  <si>
    <t xml:space="preserve">LANDECK, ZACHARY T  </t>
  </si>
  <si>
    <t>TOFTDAHL, HEIDI J et al</t>
  </si>
  <si>
    <t>WESTFIELD VILLAGE LT 25 BLK C</t>
  </si>
  <si>
    <t>771 ARBUTUS ST</t>
  </si>
  <si>
    <t xml:space="preserve">MARESJO, AMANDA L &amp; ERIK C </t>
  </si>
  <si>
    <t xml:space="preserve">STOUSLAND, ALF T &amp; RUTH K </t>
  </si>
  <si>
    <t>WESTFIELD VILLAGE LT 21 BLK C</t>
  </si>
  <si>
    <t>1203 S MARSH AVE</t>
  </si>
  <si>
    <t>GRIFFITH, VINCENT et al</t>
  </si>
  <si>
    <t xml:space="preserve">1203 MARSH AVE </t>
  </si>
  <si>
    <t xml:space="preserve">KINDRED TRUST, DAVIS &amp; KATHLEEN  </t>
  </si>
  <si>
    <t>FAIRFIELD HEIGHTS FR BLK 2</t>
  </si>
  <si>
    <t>FAIRFIELD HTS FRAC</t>
  </si>
  <si>
    <t>FAIRFIELD HEIGHTS FR LT 17 BLK 1</t>
  </si>
  <si>
    <t>1365 MONROE ST</t>
  </si>
  <si>
    <t xml:space="preserve">PALMER, TRACI L </t>
  </si>
  <si>
    <t xml:space="preserve">PACE, DWIGHT D &amp; KATHLEEN A </t>
  </si>
  <si>
    <t>820 LYMAN AVE</t>
  </si>
  <si>
    <t xml:space="preserve">MARTIN, JEFFREY R </t>
  </si>
  <si>
    <t xml:space="preserve">LAUB, LARRY &amp; BETTY </t>
  </si>
  <si>
    <t>KEELE LT 3 BLK C</t>
  </si>
  <si>
    <t>865 DANIEL DR</t>
  </si>
  <si>
    <t>TOWN &amp; COUNTRY EST</t>
  </si>
  <si>
    <t xml:space="preserve">SALTENBERGER, DAVID S &amp; BECKY S  </t>
  </si>
  <si>
    <t xml:space="preserve">865 DANIEL DR </t>
  </si>
  <si>
    <t xml:space="preserve">OAKS LIVING TRUST, LENORE  </t>
  </si>
  <si>
    <t>TOWN &amp; COUNTRY EST LT 7 BLK B</t>
  </si>
  <si>
    <t>864 DANIEL DR</t>
  </si>
  <si>
    <t xml:space="preserve">LESLIE, SHEILA L </t>
  </si>
  <si>
    <t>825 HUMBOLDT ST</t>
  </si>
  <si>
    <t xml:space="preserve">SCOTT, STEFANIE </t>
  </si>
  <si>
    <t>TOWN &amp; COUNTRY EST LT 3 BLK A</t>
  </si>
  <si>
    <t>1770 WREN ST</t>
  </si>
  <si>
    <t xml:space="preserve">CONNOLLY  </t>
  </si>
  <si>
    <t xml:space="preserve">YORK , ADAM D &amp; CATHALEAN M </t>
  </si>
  <si>
    <t xml:space="preserve">1770 WREN ST </t>
  </si>
  <si>
    <t xml:space="preserve">YORK , ADAM D  </t>
  </si>
  <si>
    <t>CONNOLLY  LT 8 BLK B</t>
  </si>
  <si>
    <t>980 ROBIN ST</t>
  </si>
  <si>
    <t>FERRIS</t>
  </si>
  <si>
    <t xml:space="preserve">WORTHEN , BYRON W &amp; KERI A </t>
  </si>
  <si>
    <t xml:space="preserve">SCHNEIDER TRUST, DANIEL W &amp; DEBORAH H  </t>
  </si>
  <si>
    <t>FERRIS LT 5 BLK B</t>
  </si>
  <si>
    <t>1630 MARLA DR</t>
  </si>
  <si>
    <t xml:space="preserve">SOSNOWSKI, JOHN STEVEN </t>
  </si>
  <si>
    <t xml:space="preserve">HAESCHE, COLLEEN P </t>
  </si>
  <si>
    <t>FERRIS LT 2 BLK C</t>
  </si>
  <si>
    <t>995 MEMORY LN</t>
  </si>
  <si>
    <t xml:space="preserve">BANNON, KYLE </t>
  </si>
  <si>
    <t xml:space="preserve">JONES, RYAN T </t>
  </si>
  <si>
    <t>WEST RENO HEIGHTS LT 11 BLK 2</t>
  </si>
  <si>
    <t>1355 CHARLES DR</t>
  </si>
  <si>
    <t xml:space="preserve">RAUSCH, ROGER W &amp; KATHLEEN A  </t>
  </si>
  <si>
    <t xml:space="preserve">1355 CHARLES DR </t>
  </si>
  <si>
    <t xml:space="preserve">WILLS, KRISTIN A &amp; BARTON B </t>
  </si>
  <si>
    <t>WEST RENO HEIGHTS LT 1 BLK 2</t>
  </si>
  <si>
    <t>1101 FORSON DR</t>
  </si>
  <si>
    <t>SLEEPY HOLLOW</t>
  </si>
  <si>
    <t xml:space="preserve">HAMILTON, EMILY A  </t>
  </si>
  <si>
    <t>316 CALIFORNIA PMB 93</t>
  </si>
  <si>
    <t xml:space="preserve">SWALL LIVING TRUST, ANDREW C &amp; MARTHA J  </t>
  </si>
  <si>
    <t>SLEEPY HOLLOW SUB LT 17</t>
  </si>
  <si>
    <t>1165 FAIRFIELD AVE</t>
  </si>
  <si>
    <t>ETCHEBERRY ADD</t>
  </si>
  <si>
    <t xml:space="preserve">THOMPSON, NANCY  </t>
  </si>
  <si>
    <t xml:space="preserve">1165 FAIRFIELD AVE </t>
  </si>
  <si>
    <t xml:space="preserve">ZIMMERMAN, HEIDI C </t>
  </si>
  <si>
    <t>ETCHEBERRY ADD LT 6 &amp; N 18` LT 7 BLK B</t>
  </si>
  <si>
    <t>1112 MANOR DR</t>
  </si>
  <si>
    <t xml:space="preserve">RAMMER, RICHARD R </t>
  </si>
  <si>
    <t>PO BOX 5276</t>
  </si>
  <si>
    <t>95063-5276</t>
  </si>
  <si>
    <t>MANOR HEATH FR LT 8 &amp; 9 BLK B</t>
  </si>
  <si>
    <t>1125 JONADA PL</t>
  </si>
  <si>
    <t xml:space="preserve">ANDERSON, CHRISTINE L  </t>
  </si>
  <si>
    <t xml:space="preserve">1125 JONADA PL </t>
  </si>
  <si>
    <t xml:space="preserve">ALLEGRETTI, THOMAS J </t>
  </si>
  <si>
    <t>CRESTVIEW HEIGHTS SUBDIVISION LOT B</t>
  </si>
  <si>
    <t>50 KAYE WAY</t>
  </si>
  <si>
    <t>LINDA</t>
  </si>
  <si>
    <t xml:space="preserve">BROWN, WILLIAM S  </t>
  </si>
  <si>
    <t>539 AMERICAN OAKS AVE</t>
  </si>
  <si>
    <t xml:space="preserve">NEWBURY PARK </t>
  </si>
  <si>
    <t>91320</t>
  </si>
  <si>
    <t>LINDA LT 5 BLK D</t>
  </si>
  <si>
    <t>2011 REGENT ST</t>
  </si>
  <si>
    <t>PM 1209 (RS 2992)</t>
  </si>
  <si>
    <t xml:space="preserve">THOMPSON, RENEE J </t>
  </si>
  <si>
    <t>010-302-16</t>
  </si>
  <si>
    <t>PM 1209 LOT A (RS 2992)</t>
  </si>
  <si>
    <t>1430 CLOUGH RD</t>
  </si>
  <si>
    <t>PM 1667</t>
  </si>
  <si>
    <t xml:space="preserve">JEFFREY, CHRISTOPHER &amp; JESSICA </t>
  </si>
  <si>
    <t>PM 1667 LT 3</t>
  </si>
  <si>
    <t>1750 PALISADE DR</t>
  </si>
  <si>
    <t xml:space="preserve">GRIMES, KENNETH D &amp; LAURIE A M J  </t>
  </si>
  <si>
    <t xml:space="preserve">INGRAM, ERIC M &amp; KATHLEEN S </t>
  </si>
  <si>
    <t>NEUENSCHWANDER LT 6 BLK B</t>
  </si>
  <si>
    <t xml:space="preserve"> MOUNT ROSE ST</t>
  </si>
  <si>
    <t>AMENDED MANOR KNOLL SUB</t>
  </si>
  <si>
    <t>RAMELLI, ALAN et al</t>
  </si>
  <si>
    <t>SCHAFER-RAMELLI ANDREA</t>
  </si>
  <si>
    <t>PO BOX 12504</t>
  </si>
  <si>
    <t xml:space="preserve">BROWN, RAY S &amp; ROCHELLE M  </t>
  </si>
  <si>
    <t>1515 FAIRFIELD AVE</t>
  </si>
  <si>
    <t>2230 KEEVER CT</t>
  </si>
  <si>
    <t xml:space="preserve">FRANKOVICH, JOHN &amp; ELAINE </t>
  </si>
  <si>
    <t>1555 CLOUGH RD</t>
  </si>
  <si>
    <t xml:space="preserve">SCHULL, HEIDI R </t>
  </si>
  <si>
    <t>2842 IDLEWILD DR</t>
  </si>
  <si>
    <t xml:space="preserve">DRAKE , ELIOT  </t>
  </si>
  <si>
    <t xml:space="preserve">PANRUCKER, HEIDI L &amp; TROY P </t>
  </si>
  <si>
    <t>FR NW4 NW4 SEC 15 TWP 19 RGE 19</t>
  </si>
  <si>
    <t>105 TROY LN</t>
  </si>
  <si>
    <t xml:space="preserve">MILLAR, BEATRICE O </t>
  </si>
  <si>
    <t>137 CYPRESS HILL DR</t>
  </si>
  <si>
    <t xml:space="preserve">GOMMERT, HEINZ A </t>
  </si>
  <si>
    <t>103 TROY LN</t>
  </si>
  <si>
    <t>2095 CALIFORNIA AVE</t>
  </si>
  <si>
    <t xml:space="preserve">WILCH, CHRISTOPHER </t>
  </si>
  <si>
    <t>FR SE4 NE4 SEC 16 TWP 19 RGE 19</t>
  </si>
  <si>
    <t>690 SHAMROCK LN</t>
  </si>
  <si>
    <t>4963 3RD ST</t>
  </si>
  <si>
    <t>CARPINTERIA</t>
  </si>
  <si>
    <t xml:space="preserve">CHOY, WAYBURN H &amp; PAULINE </t>
  </si>
  <si>
    <t>FR SE4 NE4 SEC 16 TWP 10 RGE 19</t>
  </si>
  <si>
    <t>1635 DAVIDSON WAY</t>
  </si>
  <si>
    <t>LUMOS FAMILY TRUST TTEE et al</t>
  </si>
  <si>
    <t>180 LOTUS CIRCLE</t>
  </si>
  <si>
    <t xml:space="preserve">CROFUT, EUGENE J  </t>
  </si>
  <si>
    <t>FR SE4  SW4 SEC 15 TWP 19 RGE 19</t>
  </si>
  <si>
    <t>WILBUR</t>
  </si>
  <si>
    <t>NOT AVAILABLE</t>
  </si>
  <si>
    <t>1485 HUNTER LAKE DR</t>
  </si>
  <si>
    <t>FERRERA, LAURA et al</t>
  </si>
  <si>
    <t>FR SE4 SW4 SEC 15 TWP 19 RGE 19</t>
  </si>
  <si>
    <t>1455 FOSTER DR</t>
  </si>
  <si>
    <t xml:space="preserve">PINJUV, GEORGE </t>
  </si>
  <si>
    <t xml:space="preserve">FERRERA TRUST, BRUNO  </t>
  </si>
  <si>
    <t>HUNTER LAKE TH LT 28</t>
  </si>
  <si>
    <t>1421 FOSTER DR</t>
  </si>
  <si>
    <t xml:space="preserve">METCALFE, JOHN D &amp; THERESA R </t>
  </si>
  <si>
    <t xml:space="preserve">METCALFE, THERESA R </t>
  </si>
  <si>
    <t>HUNTER LAKE TH LT 11</t>
  </si>
  <si>
    <t>1515 FOSTER DR</t>
  </si>
  <si>
    <t>HUNTER LAKE TOWNHOUSES</t>
  </si>
  <si>
    <t xml:space="preserve">FIBIGER, GREGORY M </t>
  </si>
  <si>
    <t xml:space="preserve">GOMEZ TRUST, MARIA C  </t>
  </si>
  <si>
    <t>HUNTER LAKE TH LT 58</t>
  </si>
  <si>
    <t>1338 JONES ST</t>
  </si>
  <si>
    <t>MAJESTIC DOMESTIC LLC</t>
  </si>
  <si>
    <t>507 D CASAZZA DR</t>
  </si>
  <si>
    <t xml:space="preserve">C &amp; M LLC </t>
  </si>
  <si>
    <t>RIVERSIDE TERRACE AMD LT 20</t>
  </si>
  <si>
    <t xml:space="preserve">MALOTT, PATRICIA A </t>
  </si>
  <si>
    <t>2929 BUFFALO SPDWY # 606</t>
  </si>
  <si>
    <t xml:space="preserve">RAKESTRAW FAMILY TRUST, ALBERT E &amp; MOLLY P  </t>
  </si>
  <si>
    <t>1200 RIVERSDE DR AMD LT 1201</t>
  </si>
  <si>
    <t xml:space="preserve">HOLMES TRUST, JOAN S  </t>
  </si>
  <si>
    <t>1200 RIVERSIDE DR #1229</t>
  </si>
  <si>
    <t xml:space="preserve">THOMAS, LOUISE H </t>
  </si>
  <si>
    <t>1200 RIVERSIDE DR AMD LT 1229</t>
  </si>
  <si>
    <t>MOORE, FERN et al</t>
  </si>
  <si>
    <t>1200 RIVERSIDE DR #1207</t>
  </si>
  <si>
    <t xml:space="preserve">KINNEY, MICHAEL E </t>
  </si>
  <si>
    <t>1200 RIVERSIDE DR AMD LT 1207</t>
  </si>
  <si>
    <t xml:space="preserve">THIMOT, ROBERT P </t>
  </si>
  <si>
    <t>1200 RIVERSIDE DR # 1274</t>
  </si>
  <si>
    <t>1200 RIVERSIDE DR AMD LT 1284</t>
  </si>
  <si>
    <t xml:space="preserve">JAMIESON, CAMPBELL J &amp; CATHERINE J </t>
  </si>
  <si>
    <t>235 N PINE ST</t>
  </si>
  <si>
    <t xml:space="preserve">MCCLENAHAN J W COMPANY </t>
  </si>
  <si>
    <t>1200 RIVERSDE DR AMD LT 1215</t>
  </si>
  <si>
    <t xml:space="preserve">KMAG </t>
  </si>
  <si>
    <t>1200 RIVERSIDE DRIVE # 1219</t>
  </si>
  <si>
    <t xml:space="preserve">MATSON, KENNETH G </t>
  </si>
  <si>
    <t>1200 RIVERSIDE DR AMD LT 1219</t>
  </si>
  <si>
    <t>CEMER, JOHN S et al</t>
  </si>
  <si>
    <t>1200 RIERSIDE DR 1218</t>
  </si>
  <si>
    <t>1200 RIVERSIDE DR AMD LT 1218</t>
  </si>
  <si>
    <t xml:space="preserve">YOUNGS, ALISON </t>
  </si>
  <si>
    <t>1200 RIVERSIDE 1246</t>
  </si>
  <si>
    <t>1200 RIVERSIDE DR AMD LT 1246</t>
  </si>
  <si>
    <t xml:space="preserve">RUSSELL REVOCABLE LIVING TRST, JAMES A &amp; MARJORIE M  </t>
  </si>
  <si>
    <t>PO BOX 85</t>
  </si>
  <si>
    <t>WAIALUA</t>
  </si>
  <si>
    <t>96791</t>
  </si>
  <si>
    <t xml:space="preserve">PHILLIP E FETTY &amp; LAURIE, ADAMS-FETTY REV TRUST  </t>
  </si>
  <si>
    <t>1200 RIVERSDE DR AMD LT 1245</t>
  </si>
  <si>
    <t xml:space="preserve">CHOI, EUGENE Y &amp; ANITA T  </t>
  </si>
  <si>
    <t>1200 RIVERSIDE DR # 1220</t>
  </si>
  <si>
    <t xml:space="preserve">GALLEGOS, EDWARD </t>
  </si>
  <si>
    <t>1200 RIVERSDE DR AMD LT 1220</t>
  </si>
  <si>
    <t>1601 FOSTER DR</t>
  </si>
  <si>
    <t xml:space="preserve">CURTIS TRUST, WILLIAM A JR   </t>
  </si>
  <si>
    <t>WILLIAM A JR CURTIS TRUSTEE</t>
  </si>
  <si>
    <t xml:space="preserve">MELLO, MELISSA C </t>
  </si>
  <si>
    <t>STONEBROOK EST LT 61</t>
  </si>
  <si>
    <t>326 W RIVERVIEW CIR</t>
  </si>
  <si>
    <t xml:space="preserve">POLLARD 1998 FAMILY TRUST, WILLIAM G &amp; JANIS E  </t>
  </si>
  <si>
    <t>PO BOX 100</t>
  </si>
  <si>
    <t>FLORISTON</t>
  </si>
  <si>
    <t>STONEBROOK EST LT 5</t>
  </si>
  <si>
    <t>250 E RIVERVIEW CIR</t>
  </si>
  <si>
    <t xml:space="preserve">AMSBRY, MICHAEL G </t>
  </si>
  <si>
    <t>136 VESTA ST</t>
  </si>
  <si>
    <t>SILVER DOLLAR PROPERTY GROUP  LLC</t>
  </si>
  <si>
    <t>STONEBROOK EST LT 54</t>
  </si>
  <si>
    <t>665 E RIVERVIEW CIR</t>
  </si>
  <si>
    <t xml:space="preserve">SZONY, MARGUERITE R </t>
  </si>
  <si>
    <t>1772 BELFORD RD</t>
  </si>
  <si>
    <t xml:space="preserve">BLACK FAMILY TRUST  </t>
  </si>
  <si>
    <t>STONEBROOK EST LT 33</t>
  </si>
  <si>
    <t xml:space="preserve">SEDAM, SABRINA A  </t>
  </si>
  <si>
    <t>2855 IDLEWILD DR APT 327</t>
  </si>
  <si>
    <t>89509-1182</t>
  </si>
  <si>
    <t>IDLEWILD RIVERFRONT CONDO LT 153 BLK I</t>
  </si>
  <si>
    <t>IDLEWILD RVRFRNT CONDO 2</t>
  </si>
  <si>
    <t xml:space="preserve">MILLER, KIRK &amp; DIANNE </t>
  </si>
  <si>
    <t>2875 IDLEWILD DR # 28</t>
  </si>
  <si>
    <t>IDLEWILD RIVERFRONT CONDO 2 LT 74 BLK A</t>
  </si>
  <si>
    <t>IDLEWILD RIVERFRONT CONDO II</t>
  </si>
  <si>
    <t xml:space="preserve">PROFFER, PHILIP P &amp; LOUISE </t>
  </si>
  <si>
    <t>PO BOX 297</t>
  </si>
  <si>
    <t>GLENBROOK</t>
  </si>
  <si>
    <t xml:space="preserve">NEWMAN, DOLORES </t>
  </si>
  <si>
    <t>IDLEWILD RIVERFRONT CONDOS II LT 6 BLK A</t>
  </si>
  <si>
    <t>2678 IDLEWILD DR</t>
  </si>
  <si>
    <t>RIVERINE TH</t>
  </si>
  <si>
    <t xml:space="preserve">YOUNG, JOCK S  </t>
  </si>
  <si>
    <t xml:space="preserve">2678 IDLEWILD DR </t>
  </si>
  <si>
    <t xml:space="preserve">DEUTSCHE BANK NATIONAL ASSN </t>
  </si>
  <si>
    <t>RIVERINE TH LT 4 BLK A</t>
  </si>
  <si>
    <t xml:space="preserve">SAGAN FAMILY TRUST, STUART R &amp; PAULA A  </t>
  </si>
  <si>
    <t>4TH GREEN DRIVE</t>
  </si>
  <si>
    <t>KINGSBURY PROP MANAGEMENT LLC LLC</t>
  </si>
  <si>
    <t>VILLAGE AT IDLEWILD PARK LT 4-3-21</t>
  </si>
  <si>
    <t>VILLAGE AT IDLEWILD PARK LT 3-3-18</t>
  </si>
  <si>
    <t xml:space="preserve">DAVID PICK FAMILY PARTNERSHIP </t>
  </si>
  <si>
    <t>VILLAGE AT IDLEWILD PARK LT 8-1-2</t>
  </si>
  <si>
    <t>VILLAGE AT IDLEWILD PARK LT 5-3-9</t>
  </si>
  <si>
    <t xml:space="preserve">MAJOR, ANDREA  </t>
  </si>
  <si>
    <t>1450 IDLEWILD DR # 831</t>
  </si>
  <si>
    <t xml:space="preserve">ZAHREDDINE, NICK </t>
  </si>
  <si>
    <t>VILLAGE AT IDLEWILD PARK LT 8-3-12</t>
  </si>
  <si>
    <t xml:space="preserve">SAWTELL TRUST, JOHN R  </t>
  </si>
  <si>
    <t>3429 SKYLINE BLVD</t>
  </si>
  <si>
    <t>VILLAGE AT IDLEWILD PARK LT 6-3-19</t>
  </si>
  <si>
    <t>VILLAGE AT IDLEWILD PARK LT 7-3-12</t>
  </si>
  <si>
    <t>VILLAGE AT IDLEWILD PARK LT 11-1-6</t>
  </si>
  <si>
    <t xml:space="preserve">SAWTELL 2006 TRUST, JOHN R   </t>
  </si>
  <si>
    <t xml:space="preserve">3429 SKYLINE BLVD </t>
  </si>
  <si>
    <t xml:space="preserve">NV PACIFIC LOCK &amp; NAVIGATION  </t>
  </si>
  <si>
    <t>VILLAGE AT IDLEWILD PARK LT 12-2-11</t>
  </si>
  <si>
    <t>119 VINE ST</t>
  </si>
  <si>
    <t xml:space="preserve">HURSH , JACK P JR  </t>
  </si>
  <si>
    <t>PO BOX 13822</t>
  </si>
  <si>
    <t>POWNINGS ADD FR LT 6 BLK O</t>
  </si>
  <si>
    <t>128 BELL ST</t>
  </si>
  <si>
    <t xml:space="preserve">HUDGENS FAMILY TRUST, ROBERT L  </t>
  </si>
  <si>
    <t>3801 LAMAY LN</t>
  </si>
  <si>
    <t xml:space="preserve">G &amp; B PROPERTIES INC </t>
  </si>
  <si>
    <t>POWNINGS ADD LT 12 BLK K</t>
  </si>
  <si>
    <t>236 N SIERRA ST</t>
  </si>
  <si>
    <t>SIERRA &amp; VIRGINIA PROPERTY LLC</t>
  </si>
  <si>
    <t>C/O SHANE TYTENICZ</t>
  </si>
  <si>
    <t>832 W SUPERIOR ST STE 205</t>
  </si>
  <si>
    <t xml:space="preserve">CHICAGO </t>
  </si>
  <si>
    <t>WELLS FARGO BANK TTEE et al</t>
  </si>
  <si>
    <t>RENO TOWNSITE FR LT 6 BLK O</t>
  </si>
  <si>
    <t>45 KEYSTONE AVE</t>
  </si>
  <si>
    <t>GILBERTS</t>
  </si>
  <si>
    <t xml:space="preserve">ECONOMIC CONSULTING INC  </t>
  </si>
  <si>
    <t>GILBERTS LT 1 BLK Z</t>
  </si>
  <si>
    <t>18 VINE ST</t>
  </si>
  <si>
    <t xml:space="preserve">TENIR LLC </t>
  </si>
  <si>
    <t>POWNINGS ADD LT 10 BLK X</t>
  </si>
  <si>
    <t>641 JONES ST</t>
  </si>
  <si>
    <t xml:space="preserve">BURKE FAMILY TRUST  </t>
  </si>
  <si>
    <t>PO BOX 3178</t>
  </si>
  <si>
    <t>IVERSON, ALVIN et al</t>
  </si>
  <si>
    <t>POWNINGS ADD FR LT 9 &amp; 10 BLK U</t>
  </si>
  <si>
    <t xml:space="preserve"> RIVERSIDE DR</t>
  </si>
  <si>
    <t xml:space="preserve">SIERRA BLUE INVESTMENTS LLC </t>
  </si>
  <si>
    <t>165 W LIBERTY ST - STE 210</t>
  </si>
  <si>
    <t xml:space="preserve">DUPUIS TRUST, DAVID J  </t>
  </si>
  <si>
    <t>011-096-02</t>
  </si>
  <si>
    <t>POWNINGS ADD FR LT 5 6 &amp; 7 BLK V</t>
  </si>
  <si>
    <t>539 RIVERSIDE DR</t>
  </si>
  <si>
    <t>011-096-03</t>
  </si>
  <si>
    <t>432 RIDGE ST</t>
  </si>
  <si>
    <t xml:space="preserve">SHARP PROPERTIES </t>
  </si>
  <si>
    <t>RIVERSIDE HEIGHTS LT 3 BLK 8</t>
  </si>
  <si>
    <t>120 COURT ST</t>
  </si>
  <si>
    <t>LAKES ADD</t>
  </si>
  <si>
    <t xml:space="preserve">DUFFY, PETER &amp; ELAINE </t>
  </si>
  <si>
    <t>1610 MAYBERRY DR</t>
  </si>
  <si>
    <t>LAKES ADD LT 3 BLK 9</t>
  </si>
  <si>
    <t>AJCM</t>
  </si>
  <si>
    <t>115 RIDGE ST</t>
  </si>
  <si>
    <t xml:space="preserve">BUSHUR, AARON </t>
  </si>
  <si>
    <t xml:space="preserve">MARTIN FAMILY TRUST  </t>
  </si>
  <si>
    <t>LAKES ADD FR LT 14 BLK 9</t>
  </si>
  <si>
    <t>770 CALIFORNIA AVE</t>
  </si>
  <si>
    <t>DUNAGAN, MARK W et al</t>
  </si>
  <si>
    <t xml:space="preserve">DEPOALI MICHELLE M </t>
  </si>
  <si>
    <t xml:space="preserve">770 CALIFORNIA AVE </t>
  </si>
  <si>
    <t xml:space="preserve">POUDRIER, ROBERT R &amp; DEBBIE R </t>
  </si>
  <si>
    <t>NEWLANDS TERRACE LT 6 FR LT 5 BLK G</t>
  </si>
  <si>
    <t>750 CALIFORNIA AVE</t>
  </si>
  <si>
    <t xml:space="preserve">KEENAN REVOCABLE TRUST, JERRY L &amp; CYNTHIA S  </t>
  </si>
  <si>
    <t xml:space="preserve">2701 CITRUS RD # A </t>
  </si>
  <si>
    <t xml:space="preserve">ROSKOSKI LIVING TRUST  </t>
  </si>
  <si>
    <t>NEWLANDS TERRACE FR LT 4 5 BLK G</t>
  </si>
  <si>
    <t>627 MARSH AVE</t>
  </si>
  <si>
    <t xml:space="preserve">MEANS, DONALD &amp; MARY A </t>
  </si>
  <si>
    <t xml:space="preserve">TRAIL, ELLENLOU C  </t>
  </si>
  <si>
    <t>NEWLANDS TERRACE LT 16 BLK D</t>
  </si>
  <si>
    <t>651 MARSH AVE</t>
  </si>
  <si>
    <t>ALDAX FAMILY TRUST AGREEMENT et al</t>
  </si>
  <si>
    <t>726 MARSH AVE</t>
  </si>
  <si>
    <t xml:space="preserve">CADY JOINT REVOCABLE TRUST  </t>
  </si>
  <si>
    <t>NEWLANDS TERRACE LT 13 BLK D</t>
  </si>
  <si>
    <t>644 MARSH AVE</t>
  </si>
  <si>
    <t xml:space="preserve">LUCIANO, CYRUS &amp; JOSIE  </t>
  </si>
  <si>
    <t>CADY, NICHOLAS M et al TTEE</t>
  </si>
  <si>
    <t>NEWLANDS TERRACE LT 9 &amp; 10 BLK E</t>
  </si>
  <si>
    <t>577 MARSH AVE</t>
  </si>
  <si>
    <t xml:space="preserve">ROUTSIS FAMILY TRUST , THAILIA  </t>
  </si>
  <si>
    <t>PO BOX 4311</t>
  </si>
  <si>
    <t xml:space="preserve">ROUTSIS, THALIA </t>
  </si>
  <si>
    <t>NEWLANDS TERRACE LT 15 BLK A</t>
  </si>
  <si>
    <t>535 MARSH AVE</t>
  </si>
  <si>
    <t xml:space="preserve">DAWSON, JOHN W &amp; JACQUELINE N </t>
  </si>
  <si>
    <t>COTTONWOOD FARM &amp; LIVESTOCK LLC</t>
  </si>
  <si>
    <t>MARKER TRACT LT 10 BLK 1</t>
  </si>
  <si>
    <t>531 ST LAWRENCE AVE</t>
  </si>
  <si>
    <t xml:space="preserve">CALHOUN, ROBERT C </t>
  </si>
  <si>
    <t>MARKER TRACT LT 7 BLK 2</t>
  </si>
  <si>
    <t>532 HUMBOLDT ST</t>
  </si>
  <si>
    <t>NCW LLC</t>
  </si>
  <si>
    <t>C/O ERIC ESCOBAR DDS</t>
  </si>
  <si>
    <t>MARSH ADD LT 8 BLK 4</t>
  </si>
  <si>
    <t>669 S VIRGINIA ST</t>
  </si>
  <si>
    <t>701 SO VIRGINIA LLC</t>
  </si>
  <si>
    <t>165 W LIBERTY ST STE 100</t>
  </si>
  <si>
    <t xml:space="preserve">WEISSART, DAVID &amp; CHERYL H </t>
  </si>
  <si>
    <t>CRAMPTON ADD LT 9 BLK D</t>
  </si>
  <si>
    <t>630 SINCLAIR ST</t>
  </si>
  <si>
    <t xml:space="preserve">DIAMANTINE, TONY </t>
  </si>
  <si>
    <t>P O BOX 654</t>
  </si>
  <si>
    <t>PENNGROVE</t>
  </si>
  <si>
    <t>94951</t>
  </si>
  <si>
    <t xml:space="preserve">TOMROSE, SANDRA </t>
  </si>
  <si>
    <t>NEW SOUTHSIDE ADD  LT 6 BLK 3</t>
  </si>
  <si>
    <t>703 NIXON AVE</t>
  </si>
  <si>
    <t xml:space="preserve">ROGERS, BENJAMIN S &amp; JILL H </t>
  </si>
  <si>
    <t>HOWARD, CATHERINE P et al</t>
  </si>
  <si>
    <t>NEWLANDS TERRACE LT 3 BLK F</t>
  </si>
  <si>
    <t>534 ST LAWRENCE AVE</t>
  </si>
  <si>
    <t xml:space="preserve">LINTHICUM, DENVER &amp; CHELSEA  </t>
  </si>
  <si>
    <t xml:space="preserve">534 ST LAWRENCE ST </t>
  </si>
  <si>
    <t>MITCHELL, MARK G et al</t>
  </si>
  <si>
    <t>MARKER TRACT LT 13 BLK 3</t>
  </si>
  <si>
    <t>555 RENO AVE</t>
  </si>
  <si>
    <t xml:space="preserve">HERSCHBACH, STEPHEN &amp; KAREN B </t>
  </si>
  <si>
    <t>4942 KNIGHTS WAY</t>
  </si>
  <si>
    <t xml:space="preserve">DAWSON , JOHN W &amp; JACQUELINE N  </t>
  </si>
  <si>
    <t>MARKER TRACT FR LT 9 &amp; 10 BLK 3</t>
  </si>
  <si>
    <t>815 S ARLINGTON AVE</t>
  </si>
  <si>
    <t>GARVENS TRACT</t>
  </si>
  <si>
    <t xml:space="preserve">COLLINS, ROBERT H &amp; SUSAN M  </t>
  </si>
  <si>
    <t>506 MCDONALD DRIVE</t>
  </si>
  <si>
    <t>GARVENS TRACT LT 3 BLK 4</t>
  </si>
  <si>
    <t>835 S ARLINGTON AVE</t>
  </si>
  <si>
    <t xml:space="preserve">SCHNEIDER, JOSEPH &amp; REBECCA </t>
  </si>
  <si>
    <t xml:space="preserve">WOODBURN TRUST, BETTY H  </t>
  </si>
  <si>
    <t>GARVENS TRACT LT 4 &amp; 5 BLK 4</t>
  </si>
  <si>
    <t>451 RENO AVE</t>
  </si>
  <si>
    <t>PM 4753</t>
  </si>
  <si>
    <t xml:space="preserve">RICHARD, MERVYN D &amp; PATRICIA A </t>
  </si>
  <si>
    <t xml:space="preserve">RABINOVITZ, JOEL </t>
  </si>
  <si>
    <t>011-261-12</t>
  </si>
  <si>
    <t>PM 4753 LT 1</t>
  </si>
  <si>
    <t>802 LANDER ST</t>
  </si>
  <si>
    <t xml:space="preserve">RHODES, JOHN B &amp; TERRY G  </t>
  </si>
  <si>
    <t>P O BOX 18191</t>
  </si>
  <si>
    <t>ZIMMERMAN, HEIDI C et al</t>
  </si>
  <si>
    <t>MARSHS ADD FR LT 11 &amp; 12 BLK 7</t>
  </si>
  <si>
    <t>842 LANDER ST</t>
  </si>
  <si>
    <t>SCENIC PARK</t>
  </si>
  <si>
    <t xml:space="preserve">DOUGHERTY, ROBERT F &amp; LORRAINE L </t>
  </si>
  <si>
    <t>3450 FROST LN</t>
  </si>
  <si>
    <t>SCENIC PARK LT 1 BLK 3</t>
  </si>
  <si>
    <t>812 LANDER ST</t>
  </si>
  <si>
    <t xml:space="preserve">SOWIN REV LIVING TRUST, FRANK J JR   </t>
  </si>
  <si>
    <t xml:space="preserve">O`NEIL LIVING TRUST, IRA &amp; ROSE M  </t>
  </si>
  <si>
    <t>SCENIC PARK LT 4 &amp; FR LT 5 BLK 3</t>
  </si>
  <si>
    <t>709 PLUMAS ST</t>
  </si>
  <si>
    <t xml:space="preserve">WALLACE FAMILY TRUST  </t>
  </si>
  <si>
    <t>BRIAN S &amp; PAULA L WALLACE TRUSTEE</t>
  </si>
  <si>
    <t>40 SAGITTARIUS CT</t>
  </si>
  <si>
    <t xml:space="preserve">DELGRANDE FAMILY TRUST, LINO  </t>
  </si>
  <si>
    <t>739 PLUMAS ST</t>
  </si>
  <si>
    <t>PM 4657</t>
  </si>
  <si>
    <t>011-265-16</t>
  </si>
  <si>
    <t>PM 4657 LT 1</t>
  </si>
  <si>
    <t>602 JOHN FREMONT DR</t>
  </si>
  <si>
    <t>FLYNN, TIMOTHY P  et al</t>
  </si>
  <si>
    <t xml:space="preserve">PANE TONI M </t>
  </si>
  <si>
    <t xml:space="preserve">6002 JOHN FREMONT DR </t>
  </si>
  <si>
    <t>NEWLANDS MANOR LT 1 BLK 2</t>
  </si>
  <si>
    <t>912 NIXON AVE</t>
  </si>
  <si>
    <t xml:space="preserve">CARRICO, RENEE E </t>
  </si>
  <si>
    <t>6270 STONE VALLEY</t>
  </si>
  <si>
    <t>NEWLANDS TERRACE LT 8 BLK S</t>
  </si>
  <si>
    <t>1025 MANOR DR</t>
  </si>
  <si>
    <t xml:space="preserve">GIANOLI, CELIA </t>
  </si>
  <si>
    <t xml:space="preserve">1025 MANOR DR                           </t>
  </si>
  <si>
    <t xml:space="preserve">GIANOLI, PAUL </t>
  </si>
  <si>
    <t>NEWLANDS MANOR LT 6 BLK 14 &amp; POR DITCH</t>
  </si>
  <si>
    <t>1040 LA RUE AVE</t>
  </si>
  <si>
    <t xml:space="preserve">DIANDA FAMILY TRUST, CHRIS &amp; JAIMIE  </t>
  </si>
  <si>
    <t xml:space="preserve">DIANDA, CHRISTOPHER A &amp; JAIMIE M  </t>
  </si>
  <si>
    <t>NEWLANDS MANOR FR LT 4 BLK 8</t>
  </si>
  <si>
    <t>190 CIRCLE DR</t>
  </si>
  <si>
    <t xml:space="preserve">DAPRA, ANNA R </t>
  </si>
  <si>
    <t xml:space="preserve">PATTON, JOHN P &amp; GABRIELLE J </t>
  </si>
  <si>
    <t>NEWLANDS MANOR FR LT 7 &amp; 8 BLK 16</t>
  </si>
  <si>
    <t>1155 MARK TWAIN AVE</t>
  </si>
  <si>
    <t xml:space="preserve">SHOGREN, CARL R  </t>
  </si>
  <si>
    <t xml:space="preserve">WULFORST FAMILY TRUST  </t>
  </si>
  <si>
    <t>NEWLANDS MANOR FR LT 7 8 &amp; 9 BLK 10</t>
  </si>
  <si>
    <t>865 MONROE ST</t>
  </si>
  <si>
    <t xml:space="preserve">CARAMELLA-NARDIELLO LIV TRUST  </t>
  </si>
  <si>
    <t>4619 BYRON CIR</t>
  </si>
  <si>
    <t>IRVING</t>
  </si>
  <si>
    <t xml:space="preserve">MCDONALD, PHILIP A </t>
  </si>
  <si>
    <t>NEWLANDS TERRACE LT 9 BLK U</t>
  </si>
  <si>
    <t>640 LA RUE AVE</t>
  </si>
  <si>
    <t>PM 4512</t>
  </si>
  <si>
    <t>HUNT, BRIAN et al</t>
  </si>
  <si>
    <t>MYRMEL ERIN</t>
  </si>
  <si>
    <t>011-312-03</t>
  </si>
  <si>
    <t>PM 4512 LT 1</t>
  </si>
  <si>
    <t>1034 S ARLINGTON AVE</t>
  </si>
  <si>
    <t>REINMILLER</t>
  </si>
  <si>
    <t xml:space="preserve">JENNINGS, ERIC &amp; ASHLEY </t>
  </si>
  <si>
    <t xml:space="preserve">MANNIX TRUST, FRANCINE P  </t>
  </si>
  <si>
    <t>REINMILLER LT 7 FR LT 6 BLK 2</t>
  </si>
  <si>
    <t>340 W TAYLOR ST</t>
  </si>
  <si>
    <t>PM 4684</t>
  </si>
  <si>
    <t xml:space="preserve">CRAY, ASHLEY A </t>
  </si>
  <si>
    <t>PO BOX 18191</t>
  </si>
  <si>
    <t>011-321-03</t>
  </si>
  <si>
    <t>PM 4684 LT 1</t>
  </si>
  <si>
    <t>195 MARTIN ST</t>
  </si>
  <si>
    <t xml:space="preserve">STEGMAIER TRUST  </t>
  </si>
  <si>
    <t>2545 WESTVIEW BLVD</t>
  </si>
  <si>
    <t xml:space="preserve">JOHN L WADE NEVADA ASSET LLC </t>
  </si>
  <si>
    <t>MARTIN ADD LT 5 FR 4 BLK 8</t>
  </si>
  <si>
    <t>805 HASKELL ST</t>
  </si>
  <si>
    <t>KEYBAKE PROPERTIES LLC  LLC</t>
  </si>
  <si>
    <t xml:space="preserve">849 LIGHTHOUSE CT </t>
  </si>
  <si>
    <t xml:space="preserve">805 HASKELL ST TRUST  </t>
  </si>
  <si>
    <t>MARTIN ADD FR LT 1 BLK 7</t>
  </si>
  <si>
    <t>901 S CENTER ST</t>
  </si>
  <si>
    <t xml:space="preserve">901 SOUTH CENTER ST LLC </t>
  </si>
  <si>
    <t>1300 CLOUGH RD</t>
  </si>
  <si>
    <t xml:space="preserve">PURELINE INC </t>
  </si>
  <si>
    <t>NEW SOUTHSIDE ADD LT 12 &amp; 13 FR LT 14 BLK 9</t>
  </si>
  <si>
    <t>1001 LA RUE AVE</t>
  </si>
  <si>
    <t xml:space="preserve">GRADY, WENDY </t>
  </si>
  <si>
    <t>EMERTERIO, TRUDY M TTEE et al</t>
  </si>
  <si>
    <t>NEWLANDS MANOR LT 18 BLK 7</t>
  </si>
  <si>
    <t>522 ISLAND AVE</t>
  </si>
  <si>
    <t>WINGFIELD PARK CONDO</t>
  </si>
  <si>
    <t xml:space="preserve">HALIFAX, WILLIAM D </t>
  </si>
  <si>
    <t>4855 BIENTIAN WAY</t>
  </si>
  <si>
    <t xml:space="preserve">LATIMER, LINDA G </t>
  </si>
  <si>
    <t>WINGFIELD PARK CONDO LT 3A</t>
  </si>
  <si>
    <t>AFTA</t>
  </si>
  <si>
    <t xml:space="preserve">NOTHOM, KAREN </t>
  </si>
  <si>
    <t>PO BOX 10909</t>
  </si>
  <si>
    <t>96816</t>
  </si>
  <si>
    <t>ARLINGTON TOWERS LT 156 BLK 20</t>
  </si>
  <si>
    <t xml:space="preserve">OTTO, OLE T </t>
  </si>
  <si>
    <t>100 N ARLINGTON AVE 23M</t>
  </si>
  <si>
    <t>ARLINGTON TOWERS LT 191M BLK 23</t>
  </si>
  <si>
    <t xml:space="preserve">WEST, WILLIAM  M </t>
  </si>
  <si>
    <t>280 ISLAND AVE #401</t>
  </si>
  <si>
    <t>PARK TOWERS LT 401</t>
  </si>
  <si>
    <t>TERRY C THOLL TRUSTEE</t>
  </si>
  <si>
    <t>3740 JAGGED ROCK RD</t>
  </si>
  <si>
    <t xml:space="preserve">THOLL, TERRY C </t>
  </si>
  <si>
    <t>PARK TOWERS LT 902</t>
  </si>
  <si>
    <t xml:space="preserve">KUROWSKI, ERIC W &amp; JENNIFER C  </t>
  </si>
  <si>
    <t>30 FOX GLOVE CT</t>
  </si>
  <si>
    <t xml:space="preserve">NOBLETON PROPERTIES LLC </t>
  </si>
  <si>
    <t>011-475-23</t>
  </si>
  <si>
    <t>PARK TOWERS ADJ LT 1407 RS 4251</t>
  </si>
  <si>
    <t>836 S CENTER ST</t>
  </si>
  <si>
    <t>PM 4435</t>
  </si>
  <si>
    <t xml:space="preserve">SCRANTON, BONNIE </t>
  </si>
  <si>
    <t>BUSINESS &amp; PROFESS COLLECTION, SERVICES INC et al</t>
  </si>
  <si>
    <t>011-481-01</t>
  </si>
  <si>
    <t>PM 4435  LT 1A</t>
  </si>
  <si>
    <t xml:space="preserve">EAGAN, SCOTT </t>
  </si>
  <si>
    <t>200 W 2ND ST # 411</t>
  </si>
  <si>
    <t>RIVERWALK CONDOMINIUMS LT 411</t>
  </si>
  <si>
    <t xml:space="preserve">PUCKETT, SCOTT </t>
  </si>
  <si>
    <t>2376 RODOLFO CT</t>
  </si>
  <si>
    <t>89438</t>
  </si>
  <si>
    <t>RIVERWALK CONDOMINIUMS LT 608</t>
  </si>
  <si>
    <t xml:space="preserve">COLBURN, MONTGOMERY &amp; CATHERINE U </t>
  </si>
  <si>
    <t>200 W 2ND ST # 904</t>
  </si>
  <si>
    <t>RIVERWALK CONDOMINIUMS LT 904</t>
  </si>
  <si>
    <t xml:space="preserve">MIKEL, MICHAEL A </t>
  </si>
  <si>
    <t>011-495-20</t>
  </si>
  <si>
    <t>RIVERWALK CONDOMINIUMS LT 1010</t>
  </si>
  <si>
    <t xml:space="preserve">COOPER, PATRICIA E </t>
  </si>
  <si>
    <t>200 W 2ND ST #1406</t>
  </si>
  <si>
    <t xml:space="preserve">RIVERWALK DEVELOPMENT LLC </t>
  </si>
  <si>
    <t>RIVERWALK CONDOMINIUMS LT 1406</t>
  </si>
  <si>
    <t xml:space="preserve">USSHER, JOANNE  </t>
  </si>
  <si>
    <t>200 W 2ND ST # 1502</t>
  </si>
  <si>
    <t>011-496-20</t>
  </si>
  <si>
    <t>RIVERWALK CONDOMINIUMS LT 1502</t>
  </si>
  <si>
    <t>200 W 2ND ST 1504</t>
  </si>
  <si>
    <t xml:space="preserve">WALLACH TRUST, LEWIS &amp; CYNTHIA   </t>
  </si>
  <si>
    <t>RIVERWALK CONDOMINIUMS LT 1504</t>
  </si>
  <si>
    <t>EBRAHIMI, HOUSHANG B  et al</t>
  </si>
  <si>
    <t>518 RIDDLE RD # 3</t>
  </si>
  <si>
    <t xml:space="preserve">CINCINNATI </t>
  </si>
  <si>
    <t>45220</t>
  </si>
  <si>
    <t>RIVERWALK CONDOMINIUMS LT 1506</t>
  </si>
  <si>
    <t>11780 CANYON DAWN DR</t>
  </si>
  <si>
    <t xml:space="preserve">MARTIN, THEODORE W &amp; KATHRYN B </t>
  </si>
  <si>
    <t>PALLADIO LT 504</t>
  </si>
  <si>
    <t xml:space="preserve">COSTELLA, RYAN D </t>
  </si>
  <si>
    <t>50 N SIERRA ST # 506</t>
  </si>
  <si>
    <t xml:space="preserve">WALKER, JAN </t>
  </si>
  <si>
    <t>PALLADIO LT 506</t>
  </si>
  <si>
    <t>SMITH, STEVEN C et al</t>
  </si>
  <si>
    <t>1900 ALASKAN WAY 116</t>
  </si>
  <si>
    <t xml:space="preserve">PALLADIO LLC </t>
  </si>
  <si>
    <t>PALLADIO LT 510</t>
  </si>
  <si>
    <t>SEGUNDO AGOURA BEACH LLC  LLC</t>
  </si>
  <si>
    <t>1520 SEABRIDGE LN</t>
  </si>
  <si>
    <t xml:space="preserve">SLATON FAMILY TRUST  </t>
  </si>
  <si>
    <t>PALLADIO LT 601</t>
  </si>
  <si>
    <t xml:space="preserve">POSTMAN FAMILY TRUST, MARSHALL  </t>
  </si>
  <si>
    <t>50 N SIERRA ST # 603</t>
  </si>
  <si>
    <t xml:space="preserve">PALLADIO LLC THE </t>
  </si>
  <si>
    <t>PALLADIO LT 603</t>
  </si>
  <si>
    <t xml:space="preserve">ADAMSON, RYAN L </t>
  </si>
  <si>
    <t>50 N SIERRA ST # 704</t>
  </si>
  <si>
    <t>PALLADIO LT 704</t>
  </si>
  <si>
    <t xml:space="preserve">MADALEGRE LTD PARTNERSHIP </t>
  </si>
  <si>
    <t>ATTN DAVID WHITTEMORE</t>
  </si>
  <si>
    <t xml:space="preserve">2411 GREEN MOUNTAIN CT </t>
  </si>
  <si>
    <t xml:space="preserve">DAMONTE VIEW LLC </t>
  </si>
  <si>
    <t>PALLADIO LT 709</t>
  </si>
  <si>
    <t xml:space="preserve">MAASKANT TRUST  </t>
  </si>
  <si>
    <t>PO BOX 2347</t>
  </si>
  <si>
    <t>PORTOLA</t>
  </si>
  <si>
    <t xml:space="preserve">PROMMEL, JOAN M &amp; ROBERT A </t>
  </si>
  <si>
    <t>PALLADIO LT 808</t>
  </si>
  <si>
    <t xml:space="preserve">NIRDLINGER, SHAWN D </t>
  </si>
  <si>
    <t>50 N SIERRA ST 902</t>
  </si>
  <si>
    <t xml:space="preserve">WRIGHT, DAVID R JR &amp; DIANA E </t>
  </si>
  <si>
    <t>PALLADIO LT 902</t>
  </si>
  <si>
    <t xml:space="preserve">GARIBALDI TRUST, TALIA N   </t>
  </si>
  <si>
    <t xml:space="preserve">1311 RIVERGATE DR </t>
  </si>
  <si>
    <t>95240</t>
  </si>
  <si>
    <t>PALLADIO LT 909</t>
  </si>
  <si>
    <t>50 N SIERRA ST 1005</t>
  </si>
  <si>
    <t xml:space="preserve">NELSON, TIMOTHY &amp; MARY </t>
  </si>
  <si>
    <t>50 N SIERRA ST # 1210</t>
  </si>
  <si>
    <t>PALLADIO LT 1210</t>
  </si>
  <si>
    <t xml:space="preserve">CASOS, ROBERT C </t>
  </si>
  <si>
    <t>255 N SIERRA ST UNIT 320</t>
  </si>
  <si>
    <t>CASOS, ROBERT C et al</t>
  </si>
  <si>
    <t>THE MONTAGE PH 4 LT 320</t>
  </si>
  <si>
    <t xml:space="preserve">YUAN, ANDY  </t>
  </si>
  <si>
    <t xml:space="preserve">132 CARRICK CIR </t>
  </si>
  <si>
    <t>MONTAGE 1 LT 707</t>
  </si>
  <si>
    <t xml:space="preserve">FASEHE TRUST  </t>
  </si>
  <si>
    <t>255 N SIERRA ST # 803</t>
  </si>
  <si>
    <t>MONTAGE PH 2 LT 803</t>
  </si>
  <si>
    <t xml:space="preserve">BURGER, MARGARET A </t>
  </si>
  <si>
    <t>MONTAGE PH 2 LT 818</t>
  </si>
  <si>
    <t xml:space="preserve">VAN NEYHOF REV LIVING TRUST, ROBERT C &amp; NANCY P   </t>
  </si>
  <si>
    <t>417 SILVER STAR CT</t>
  </si>
  <si>
    <t>MONTAGE PH 2 LT 903</t>
  </si>
  <si>
    <t xml:space="preserve">COLE, STEPHEN J </t>
  </si>
  <si>
    <t>255 N SIERRA ST 1005</t>
  </si>
  <si>
    <t>MONTAGE PH 2 LT 1008</t>
  </si>
  <si>
    <t>MONTAGE PH 2 LT 1101</t>
  </si>
  <si>
    <t>MONTAGE PH 2 LT 1103</t>
  </si>
  <si>
    <t xml:space="preserve">GORELICK INVESTMENTS LLC </t>
  </si>
  <si>
    <t>MONTAGE PH 2 LT 1104</t>
  </si>
  <si>
    <t xml:space="preserve">SPALTHOFF FAMILY TRUST  </t>
  </si>
  <si>
    <t>255 N SIERRA ST 1116</t>
  </si>
  <si>
    <t>MONTAGE PH 2 LT 1116</t>
  </si>
  <si>
    <t>MONTAGE PH 2 LT 1204</t>
  </si>
  <si>
    <t xml:space="preserve">BONASERA REV LIVING TRUST, TIM &amp; EMILY  </t>
  </si>
  <si>
    <t>C/O BONASERA SALES</t>
  </si>
  <si>
    <t>160 SARATOGA AVE  280</t>
  </si>
  <si>
    <t xml:space="preserve">SANTA CLARA </t>
  </si>
  <si>
    <t>MONTAGE PH 2 LT 1211</t>
  </si>
  <si>
    <t>MONTAGE PH 2 LT 1216</t>
  </si>
  <si>
    <t xml:space="preserve">HASKO, IVAN </t>
  </si>
  <si>
    <t>255 N SIERRA ST UN IT 1219</t>
  </si>
  <si>
    <t>MONTAGE PH 2 LT 1219</t>
  </si>
  <si>
    <t xml:space="preserve">PACIFIC PERFUSION SERVICES INC, 401 (K) PROFIT SHARING PL </t>
  </si>
  <si>
    <t xml:space="preserve">18124 WEDGE PARKWAY # 505 </t>
  </si>
  <si>
    <t>MONTAGE PH 2 LT 1403</t>
  </si>
  <si>
    <t xml:space="preserve">FRANK, NICHOLAS &amp; ALEXANDRA </t>
  </si>
  <si>
    <t>8270 TRAIL HOLLOW CT</t>
  </si>
  <si>
    <t>MONTAGE PH 2 LT 1404</t>
  </si>
  <si>
    <t xml:space="preserve">POWERS, LINDA M </t>
  </si>
  <si>
    <t>255 N SIERRA ST UNIT 1410</t>
  </si>
  <si>
    <t>MONTAGE PH 2 LT 1410</t>
  </si>
  <si>
    <t>MONTAGE PH 2 LT 1411</t>
  </si>
  <si>
    <t xml:space="preserve">MUIZELAAR, J PAUL  </t>
  </si>
  <si>
    <t xml:space="preserve">1304 39TH ST </t>
  </si>
  <si>
    <t>95816</t>
  </si>
  <si>
    <t>MONTAGE PH 2 LT 1418</t>
  </si>
  <si>
    <t xml:space="preserve">FLEEGER, GARY &amp; MARLANE </t>
  </si>
  <si>
    <t>255 N SIERRA ST #1501</t>
  </si>
  <si>
    <t>MONTAGE PH 2 LT 1501</t>
  </si>
  <si>
    <t>MONTAGE PH 2 LT 1504</t>
  </si>
  <si>
    <t>MONTAGE PH 2 LT 1506</t>
  </si>
  <si>
    <t xml:space="preserve">GIBSON, RANDALL P &amp; CATHERINE M </t>
  </si>
  <si>
    <t>155 WILDHORSE VALLEY RD</t>
  </si>
  <si>
    <t>MONTAGE PH 2 LT 1508</t>
  </si>
  <si>
    <t>MONTAGE PH 2 LT 1510</t>
  </si>
  <si>
    <t xml:space="preserve">O`CONNOR TRUST, JUDITH A  </t>
  </si>
  <si>
    <t>255 N SIERRA ST UNIT 1605</t>
  </si>
  <si>
    <t xml:space="preserve">O`CONNOR, JUDITH  </t>
  </si>
  <si>
    <t>MONTAGE PH 2 LT 1605</t>
  </si>
  <si>
    <t xml:space="preserve">NAKAMURA, ALVIN T  </t>
  </si>
  <si>
    <t>PO BOX 1233</t>
  </si>
  <si>
    <t xml:space="preserve">WAILUKU </t>
  </si>
  <si>
    <t>96793</t>
  </si>
  <si>
    <t>MONTAGE PH 2 LT 1611</t>
  </si>
  <si>
    <t xml:space="preserve">NEIDHART REVOCABLE LIVING TRST, SUSAN  </t>
  </si>
  <si>
    <t>255 N SIERRA ST UNIT 1612</t>
  </si>
  <si>
    <t>MONTAGE PH 2 LT 1612</t>
  </si>
  <si>
    <t xml:space="preserve">HOLLOWAY, GEORGE </t>
  </si>
  <si>
    <t>255 N SIERRA ST UNIT 1614</t>
  </si>
  <si>
    <t>MONTAGE PH 2 LT 1614</t>
  </si>
  <si>
    <t xml:space="preserve">CECIL, GARY &amp; NANCY L  </t>
  </si>
  <si>
    <t>5027 OLIVE OAK WAY</t>
  </si>
  <si>
    <t xml:space="preserve">CARMICHAEL </t>
  </si>
  <si>
    <t>MONTAGE PH 2 LT 1618</t>
  </si>
  <si>
    <t>MONTAGE PH 2 LT 1701</t>
  </si>
  <si>
    <t>MONTAGE PH 2 LT 1710</t>
  </si>
  <si>
    <t xml:space="preserve">TURNER-WILLIAMS, DORIS </t>
  </si>
  <si>
    <t>5322 BAYVIEW AVE</t>
  </si>
  <si>
    <t>RICHMOND</t>
  </si>
  <si>
    <t>MONTAGE PH 2 LT 1716</t>
  </si>
  <si>
    <t xml:space="preserve">POVINE, CARL M &amp; MARIANNE  </t>
  </si>
  <si>
    <t>679 1/2 GARDEN ST</t>
  </si>
  <si>
    <t xml:space="preserve">BRISTOL </t>
  </si>
  <si>
    <t>MONTAGE PH 2 LT 1719</t>
  </si>
  <si>
    <t>MONTAGE PH 2 LT 1811</t>
  </si>
  <si>
    <t>MONTAGE PH 2 LT 1816</t>
  </si>
  <si>
    <t xml:space="preserve">MORRIS TRUST, JODY A   </t>
  </si>
  <si>
    <t>255 N SIERRA ST UNIT 1818</t>
  </si>
  <si>
    <t>MONTAGE PH 2 LT 1818</t>
  </si>
  <si>
    <t xml:space="preserve">HO TRUST, LESTER  </t>
  </si>
  <si>
    <t>2425 GREENSBORO DR</t>
  </si>
  <si>
    <t xml:space="preserve">HO, LESTER </t>
  </si>
  <si>
    <t>MONTAGE PH 2 LT 1904</t>
  </si>
  <si>
    <t xml:space="preserve">DRUEHL FAMILY BYPASS TRUST  </t>
  </si>
  <si>
    <t>1807 CHALET CIR</t>
  </si>
  <si>
    <t>KERRVILLE</t>
  </si>
  <si>
    <t>MONTAGE PH 2 LT 1919</t>
  </si>
  <si>
    <t>MONTAGE PH 2 LT 2007</t>
  </si>
  <si>
    <t>160 SARATOGA AVE 280</t>
  </si>
  <si>
    <t>OKADA TRUST, MICHAEL M et al</t>
  </si>
  <si>
    <t>MONTAGE PH 2 LT 2018</t>
  </si>
  <si>
    <t>848 NORTH RAINBOW BLVD 3188</t>
  </si>
  <si>
    <t>MONTAGE PH 2 LT 2118</t>
  </si>
  <si>
    <t>THE MONTAGE PH 3 LT 2203</t>
  </si>
  <si>
    <t xml:space="preserve">TELANDER, PHILLIP &amp; MARGARET </t>
  </si>
  <si>
    <t>255 N SIERRA ST 2204</t>
  </si>
  <si>
    <t>THE MONTAGE PH 3 LT 2204</t>
  </si>
  <si>
    <t>THE MONTAGE PH 3 LT 2206</t>
  </si>
  <si>
    <t>THE MONTAGE PH 3 LT 2209</t>
  </si>
  <si>
    <t xml:space="preserve">KARRASCH, CHARLES C JR </t>
  </si>
  <si>
    <t>255 N SIERRA ST UNIT 2219</t>
  </si>
  <si>
    <t>THE MONTAGE PH 3 LT 2219</t>
  </si>
  <si>
    <t>THE MONTAGE PH 3 LT 510</t>
  </si>
  <si>
    <t>10 STATE ST</t>
  </si>
  <si>
    <t>BRICK W/BLK</t>
  </si>
  <si>
    <t xml:space="preserve">ARCHOSAUR III LLC  </t>
  </si>
  <si>
    <t xml:space="preserve">1159 HYMETTUS AVE </t>
  </si>
  <si>
    <t>LEUCADIA</t>
  </si>
  <si>
    <t xml:space="preserve">ILIESCU FAMILY TRUST, JOHN JR &amp; SONNIA  </t>
  </si>
  <si>
    <t>011-118-02</t>
  </si>
  <si>
    <t>LAKES ADD LT 6 BLK 2</t>
  </si>
  <si>
    <t xml:space="preserve"> STATE ST</t>
  </si>
  <si>
    <t>ASHLAR STONE</t>
  </si>
  <si>
    <t>011-603-04</t>
  </si>
  <si>
    <t>LAKES ADD LT 4 &amp; 5 BLK 2 AND STREET ABANDONMENT</t>
  </si>
  <si>
    <t>011-407-01</t>
  </si>
  <si>
    <t>011-408-03</t>
  </si>
  <si>
    <t>755 E 2ND ST</t>
  </si>
  <si>
    <t xml:space="preserve">HALEWIJN, TERRELL H  </t>
  </si>
  <si>
    <t>PO BOX 298</t>
  </si>
  <si>
    <t xml:space="preserve">OAK BLUFFS </t>
  </si>
  <si>
    <t>HAYDON SHOEMAKER SE ADD LT 9 BLK P</t>
  </si>
  <si>
    <t>690 E 2ND ST</t>
  </si>
  <si>
    <t>HAYDON ADD FR LTS 18 &amp;</t>
  </si>
  <si>
    <t xml:space="preserve">TEC PROPERTIES LLC </t>
  </si>
  <si>
    <t>3470 SAN JUAN DR</t>
  </si>
  <si>
    <t xml:space="preserve">GIELOW-SHAMP CHARITABLE TRUST  </t>
  </si>
  <si>
    <t>HAYDON &amp; SHOEMAKER ADD LOTS 18 &amp; 19 BLK  N</t>
  </si>
  <si>
    <t>738 E 2ND ST</t>
  </si>
  <si>
    <t>AITKEN ADD ELY PORT</t>
  </si>
  <si>
    <t xml:space="preserve">HAYER, AMRIK </t>
  </si>
  <si>
    <t>1651 N VIRGINIA ST</t>
  </si>
  <si>
    <t>AITKEN ADD E 42 FT LT 1 BLK 12</t>
  </si>
  <si>
    <t>785 AITKEN ST</t>
  </si>
  <si>
    <t>AITKEN ADD</t>
  </si>
  <si>
    <t xml:space="preserve">A1A PROPERTIES LLC </t>
  </si>
  <si>
    <t>4314 SETTING SUN DR</t>
  </si>
  <si>
    <t>BELL, DENNIS W &amp; SHANNON V  et al</t>
  </si>
  <si>
    <t>AITKEN ADD LT 6 FR 4 &amp; 3 BLK 2</t>
  </si>
  <si>
    <t>776 AITKEN ST</t>
  </si>
  <si>
    <t>BAREN, GABRIEL et al</t>
  </si>
  <si>
    <t>7135 BANBURY CT</t>
  </si>
  <si>
    <t>AITKEN ADD LT 2 BLK 3</t>
  </si>
  <si>
    <t>816 E 2ND ST</t>
  </si>
  <si>
    <t xml:space="preserve">RIEDEMAN, LYNN C </t>
  </si>
  <si>
    <t>AITKEN LT 10 BLK 1</t>
  </si>
  <si>
    <t>865 WILLOW ST</t>
  </si>
  <si>
    <t xml:space="preserve">NELSON, MARILEN E  </t>
  </si>
  <si>
    <t>C/O PRESTON TINNELL</t>
  </si>
  <si>
    <t>1475 TERMINAL WAY STE A1-6</t>
  </si>
  <si>
    <t xml:space="preserve">SPRENGER TRUST, HENRY B II  </t>
  </si>
  <si>
    <t>AITKEN ADD LT 4 BLK 6</t>
  </si>
  <si>
    <t>1043 LEWIS ST</t>
  </si>
  <si>
    <t>GOULD W2</t>
  </si>
  <si>
    <t xml:space="preserve">RENOWN HEALTH INC </t>
  </si>
  <si>
    <t>ATTN PROPERTY MANAGEMENT</t>
  </si>
  <si>
    <t>1155 MILL STREET I 2</t>
  </si>
  <si>
    <t>GOULD W2 LT 9(UNOFFICIAL) FR NE4 SE4 SEC 12 TWP 19</t>
  </si>
  <si>
    <t>1053 LEWIS ST</t>
  </si>
  <si>
    <t>FR NE4 SE4 SEC 12 TWP 19 RGE 19</t>
  </si>
  <si>
    <t>1765 LEWIS ST</t>
  </si>
  <si>
    <t>GOULD UNOFF</t>
  </si>
  <si>
    <t xml:space="preserve">TRAVELERS RV </t>
  </si>
  <si>
    <t>295 KIETZKE LN</t>
  </si>
  <si>
    <t xml:space="preserve">ADAMS 2006 TRUST, MARGARET M  </t>
  </si>
  <si>
    <t>012-164-01</t>
  </si>
  <si>
    <t>GOULD UNOFF FR LT 11</t>
  </si>
  <si>
    <t>4750 JOULE ST</t>
  </si>
  <si>
    <t>PM 5022</t>
  </si>
  <si>
    <t xml:space="preserve">4750 JOULE ST LLC </t>
  </si>
  <si>
    <t>12737 FORREST DR</t>
  </si>
  <si>
    <t>EDINBORO</t>
  </si>
  <si>
    <t xml:space="preserve">WESTERN SWAGELOK CO </t>
  </si>
  <si>
    <t>012-281-02</t>
  </si>
  <si>
    <t>PM 5022 LT 1</t>
  </si>
  <si>
    <t>NCFU</t>
  </si>
  <si>
    <t>4980 JOULE ST</t>
  </si>
  <si>
    <t>SIERRA PACIFIC IND PARK</t>
  </si>
  <si>
    <t xml:space="preserve">NORTOM CORPORATION  </t>
  </si>
  <si>
    <t>1850 MT DIABLO BLVD # 440</t>
  </si>
  <si>
    <t xml:space="preserve">RIVERSIDE MANUFACTURING CO </t>
  </si>
  <si>
    <t>SIERRA PACIFIC IND PARK LT 2 BLK D</t>
  </si>
  <si>
    <t>1775 KUENZLI ST</t>
  </si>
  <si>
    <t>EVAP COOL</t>
  </si>
  <si>
    <t xml:space="preserve">BOGART LIVING TRUST  </t>
  </si>
  <si>
    <t>3630 BLACK FOREST LN</t>
  </si>
  <si>
    <t>DAUENHAUSER PROPERTIES LTD et al</t>
  </si>
  <si>
    <t>FR SE4 NE4 SEC 12 TWP 19 RGE 19</t>
  </si>
  <si>
    <t>1170 FINANCIAL BLVD</t>
  </si>
  <si>
    <t>PM 3663</t>
  </si>
  <si>
    <t xml:space="preserve">IB  </t>
  </si>
  <si>
    <t xml:space="preserve">HIDDEN VALLEY TECH CENTER LLC </t>
  </si>
  <si>
    <t>C/O BASIN STREET PROPERTIES</t>
  </si>
  <si>
    <t>50 W LIBERTY ST STE 900</t>
  </si>
  <si>
    <t xml:space="preserve">RENO INVESTOR LLC </t>
  </si>
  <si>
    <t>012-403-01</t>
  </si>
  <si>
    <t>PM 3663 LT 2A</t>
  </si>
  <si>
    <t>NCEU</t>
  </si>
  <si>
    <t>1140 FINANCIAL BLVD</t>
  </si>
  <si>
    <t>PM 3848</t>
  </si>
  <si>
    <t>012-403-03</t>
  </si>
  <si>
    <t>PM 3848 LT 2</t>
  </si>
  <si>
    <t>1150 FINANCIAL BLVD</t>
  </si>
  <si>
    <t>PM 3848 LT 3</t>
  </si>
  <si>
    <t>4855 JOULE ST</t>
  </si>
  <si>
    <t>PM 4359</t>
  </si>
  <si>
    <t xml:space="preserve">CARSTARPHEN FAMILY TRUST  </t>
  </si>
  <si>
    <t>JOHN  &amp; SANDRA CARSTARPHEN TRUSTEE</t>
  </si>
  <si>
    <t>1310 HILLTOP RD</t>
  </si>
  <si>
    <t xml:space="preserve">JPL GROUP LLC </t>
  </si>
  <si>
    <t>012-431-05</t>
  </si>
  <si>
    <t>PM 4359 LT B-2</t>
  </si>
  <si>
    <t>NCDT</t>
  </si>
  <si>
    <t>4865 JOULE ST</t>
  </si>
  <si>
    <t>PM 4362</t>
  </si>
  <si>
    <t>LILLANEY 2004 IRREVOCABLE TRST</t>
  </si>
  <si>
    <t>4865 JOULE ST # C-5</t>
  </si>
  <si>
    <t xml:space="preserve">LILLANEY 2004 IRREVOCABLE TRST  </t>
  </si>
  <si>
    <t>012-431-03</t>
  </si>
  <si>
    <t>PM 4362 LT C5</t>
  </si>
  <si>
    <t xml:space="preserve"> WILD WAVES WAY</t>
  </si>
  <si>
    <t>REV TR 4913</t>
  </si>
  <si>
    <t xml:space="preserve">CFCP LLC </t>
  </si>
  <si>
    <t>1885 S ARLINGTON ST - STE 103</t>
  </si>
  <si>
    <t xml:space="preserve">RIVERFRONT VILLAGE LLC </t>
  </si>
  <si>
    <t>REV TR MAP 4913</t>
  </si>
  <si>
    <t xml:space="preserve">CHOPRA, PRAVESH </t>
  </si>
  <si>
    <t>2120 CANOSA CT</t>
  </si>
  <si>
    <t>GRAND SIERRA RESORT PH 1A LT 1701</t>
  </si>
  <si>
    <t>C/O STACY JONES</t>
  </si>
  <si>
    <t xml:space="preserve">2710 SAGE BLUFF CT </t>
  </si>
  <si>
    <t xml:space="preserve">UL SAHAR, FNU NAJAM </t>
  </si>
  <si>
    <t>119 HAVENWOOD AVE</t>
  </si>
  <si>
    <t>GRAND SIERRA RESORT PH 1A LT 1719</t>
  </si>
  <si>
    <t xml:space="preserve">CHAN, PAUL &amp; MARIA </t>
  </si>
  <si>
    <t>3511 LAKE TERRACE DR</t>
  </si>
  <si>
    <t>95758</t>
  </si>
  <si>
    <t>EMMAUS OPPORTUNITY INVESTORS LLC</t>
  </si>
  <si>
    <t>GRAND SIERRA RESORT PH 1A LT 1721</t>
  </si>
  <si>
    <t xml:space="preserve">GUPTA, AJIT </t>
  </si>
  <si>
    <t>33635 QUAIL RUN RD</t>
  </si>
  <si>
    <t>GRAND SIERRA RESORT PH 1A LT 1731</t>
  </si>
  <si>
    <t>PO BOX 60099</t>
  </si>
  <si>
    <t xml:space="preserve">PRIEWE, DAVID T </t>
  </si>
  <si>
    <t>WOOD IS GOOD LLC et al</t>
  </si>
  <si>
    <t>GRAND SIERRA RESORT PH 1A LT 1753</t>
  </si>
  <si>
    <t>TAYLOR, JAMES E &amp; CAROL C et al</t>
  </si>
  <si>
    <t>898 LUXURY DR</t>
  </si>
  <si>
    <t>94518</t>
  </si>
  <si>
    <t>GRAND SIERRA RESORT PH 1A LT 1769</t>
  </si>
  <si>
    <t xml:space="preserve">NAVARRO, ERNESTO P &amp; ROSANA M </t>
  </si>
  <si>
    <t>2205 CYPRESS POINT</t>
  </si>
  <si>
    <t>DISCOVERY BAY</t>
  </si>
  <si>
    <t>GRAND SIERRA RESORT PH 1A LT 1771</t>
  </si>
  <si>
    <t xml:space="preserve">TMI PROPERTY GROUP LLC </t>
  </si>
  <si>
    <t>GRAND SIERRA RESORT PH 1A LT 1770</t>
  </si>
  <si>
    <t>SCHERSCHEL, RICHARD &amp; JANET M et al</t>
  </si>
  <si>
    <t>4622 FIRTREE LN</t>
  </si>
  <si>
    <t>GRAND SIERRA RESORT PH 1A LT 1775</t>
  </si>
  <si>
    <t xml:space="preserve">FLOWER, JACK E &amp; PAULA L </t>
  </si>
  <si>
    <t>GRAND SIERRA RESORT PH 1A LT 1789</t>
  </si>
  <si>
    <t xml:space="preserve">TRUONG, BACHNHAN T </t>
  </si>
  <si>
    <t>472 HIGHLAND AVENUE</t>
  </si>
  <si>
    <t>GRAND SIERRA RESORT PH 1A LT 1792</t>
  </si>
  <si>
    <t>8504 BISHOP CREEK CR</t>
  </si>
  <si>
    <t xml:space="preserve">ANAND, PRAMOD </t>
  </si>
  <si>
    <t>PO BOX 1260</t>
  </si>
  <si>
    <t>NEWARK</t>
  </si>
  <si>
    <t>GRAND SIERRA RESORT PH 1A LT 1776</t>
  </si>
  <si>
    <t xml:space="preserve">HARPER, CANDICE K </t>
  </si>
  <si>
    <t>18 SOUTH ACRES RD</t>
  </si>
  <si>
    <t>94548</t>
  </si>
  <si>
    <t>GRAND SIERRA RESORT PH 1B LT 1821</t>
  </si>
  <si>
    <t xml:space="preserve">WOOLF FAMILY TRUST  </t>
  </si>
  <si>
    <t>5136 MAKENNA CT</t>
  </si>
  <si>
    <t>GRAND SIERRA RESORT PH 1B LT 1831</t>
  </si>
  <si>
    <t xml:space="preserve">PEDERSON , ROBERT R &amp; LOU ANN </t>
  </si>
  <si>
    <t xml:space="preserve">1435 OAKHURST AVE </t>
  </si>
  <si>
    <t>GRAND SIERRA RESORT PH 1B LT 1847</t>
  </si>
  <si>
    <t>3912 LEON DR</t>
  </si>
  <si>
    <t xml:space="preserve">HOME STAR GROUP LLC </t>
  </si>
  <si>
    <t>1502 W SEDONA DR</t>
  </si>
  <si>
    <t>DOWNINGTOWN</t>
  </si>
  <si>
    <t>19335</t>
  </si>
  <si>
    <t>GRAND SIERRA RESORT PH 1B LT 1863</t>
  </si>
  <si>
    <t>8860 SCOTT VALLEY CT</t>
  </si>
  <si>
    <t xml:space="preserve">BUFO LLC </t>
  </si>
  <si>
    <t>P O BOX 19361</t>
  </si>
  <si>
    <t>GRAND SIERRA RESORT PH 1B LT 1873</t>
  </si>
  <si>
    <t>GRAND SIERRA RESORT PH 1B LT 1877</t>
  </si>
  <si>
    <t xml:space="preserve">YANG, GEORGE S &amp; LAUREN P  </t>
  </si>
  <si>
    <t xml:space="preserve">4037 ACAPULCO DR </t>
  </si>
  <si>
    <t>GRAND SIERRA RESORT PH 1B LT 1879</t>
  </si>
  <si>
    <t>PO BOX 23005 WAN CHAI POST OFFICE</t>
  </si>
  <si>
    <t>WAN CHAI</t>
  </si>
  <si>
    <t xml:space="preserve">GRAY, RON &amp; MARILYN </t>
  </si>
  <si>
    <t>GRAND SIERRA RESORT PH 1B LT 1883</t>
  </si>
  <si>
    <t xml:space="preserve">RING LIVING TRUST  </t>
  </si>
  <si>
    <t>DALE W RING TRUSTEE</t>
  </si>
  <si>
    <t>6107 CARRIAGE HOUSE WAY</t>
  </si>
  <si>
    <t>GRAND SIERRA RESORT PH 1B LT 1887</t>
  </si>
  <si>
    <t xml:space="preserve">ZHU, LIN </t>
  </si>
  <si>
    <t>163 N SAN TOMAS AQUINO RD</t>
  </si>
  <si>
    <t>GRAND SIERRA RESORT PH 1B LT 1888</t>
  </si>
  <si>
    <t xml:space="preserve">JAFRI, VAJID &amp; SHAREEN </t>
  </si>
  <si>
    <t>592 DORY LN</t>
  </si>
  <si>
    <t>REDWOOD SHORES</t>
  </si>
  <si>
    <t>GRAND SIERRA RESORT PH 1B LT 1878</t>
  </si>
  <si>
    <t>2120 CANOSA ST</t>
  </si>
  <si>
    <t>GRAND SIERRA RESORT PH 2 LT 1917</t>
  </si>
  <si>
    <t>GRAND SIERRA RESORT PH 2 LT 1919</t>
  </si>
  <si>
    <t xml:space="preserve">C/O STACY JONES </t>
  </si>
  <si>
    <t>2710 SAGE BLUFF</t>
  </si>
  <si>
    <t xml:space="preserve">TRUONG FAMILY TRUST, CAO  </t>
  </si>
  <si>
    <t>8690 LEROY ST</t>
  </si>
  <si>
    <t xml:space="preserve">TRUONG, BE T </t>
  </si>
  <si>
    <t>GRAND SIERRA RESORT PH 2 LT 1938</t>
  </si>
  <si>
    <t xml:space="preserve">PEDERSON, ROBERT R &amp; LOU ANN </t>
  </si>
  <si>
    <t>2500 E 2ND ST UT 1961</t>
  </si>
  <si>
    <t>PHAM, CHAU N  et al</t>
  </si>
  <si>
    <t>GRAND SIERRA RESORT PH 2 LT 1961</t>
  </si>
  <si>
    <t xml:space="preserve">PRIEWE, DAVID </t>
  </si>
  <si>
    <t xml:space="preserve">AUSTIN , HUNTER </t>
  </si>
  <si>
    <t xml:space="preserve">5860 HIGH LONESOME TRAIL </t>
  </si>
  <si>
    <t>GRAND SIERRA RESORT PH 2 LT 1964</t>
  </si>
  <si>
    <t xml:space="preserve">HAY, BARRY </t>
  </si>
  <si>
    <t>33774 TRAILSIDE WAY</t>
  </si>
  <si>
    <t>GRAND SIERRA RESORT PH 2 LT 1981</t>
  </si>
  <si>
    <t>GRAND SIERRA RESORT PH 2 LT 1987</t>
  </si>
  <si>
    <t xml:space="preserve">GRAY, RON &amp; MARILYN R </t>
  </si>
  <si>
    <t>932 LAKEVIEW DR</t>
  </si>
  <si>
    <t>GRAND SIERRA RESORT PH 3 LT 2010</t>
  </si>
  <si>
    <t>1000 PINE LN</t>
  </si>
  <si>
    <t>GRAND SIERRA RESORT PH 3 LT 2008</t>
  </si>
  <si>
    <t xml:space="preserve">33635 QUAIL RUN RD </t>
  </si>
  <si>
    <t>GRAND SIERRA RESORT PH 3 LT 2045</t>
  </si>
  <si>
    <t xml:space="preserve">JP MORGAN MORTGAGE ACQUISITION </t>
  </si>
  <si>
    <t>GRAND SIERRA RESORT PH 3 LT 2075</t>
  </si>
  <si>
    <t xml:space="preserve">WINTERS, PATRICK  &amp; HEIDI </t>
  </si>
  <si>
    <t>GRAND SIERRA RESORT PH 4 LT 2146</t>
  </si>
  <si>
    <t>GRAND SIERRA RESORT PH 4 LT 2191</t>
  </si>
  <si>
    <t>1435 OAKHURST AVE</t>
  </si>
  <si>
    <t>GRAND SIERRA RESORT PH 5 LT 2261</t>
  </si>
  <si>
    <t>GRAND SIERRA RESORT PH 5 LT 2277</t>
  </si>
  <si>
    <t xml:space="preserve">SCHLAG, EMCELIZA </t>
  </si>
  <si>
    <t xml:space="preserve">21039 GLENWOLD DR </t>
  </si>
  <si>
    <t>WALNUT</t>
  </si>
  <si>
    <t>91789</t>
  </si>
  <si>
    <t xml:space="preserve">YUMUL, ROBERTO R </t>
  </si>
  <si>
    <t>GRAND SIERRA RESORT PH 6 LT 2330</t>
  </si>
  <si>
    <t>IZADY, MICHAEL et al</t>
  </si>
  <si>
    <t>157 W 79TH STREET #5B</t>
  </si>
  <si>
    <t>GRAND SIERRA RESORT PH 6 LT 2337</t>
  </si>
  <si>
    <t>LEE, CATHERINE et al</t>
  </si>
  <si>
    <t>GRAND SIERRA RESORT PH 6 LT 2345</t>
  </si>
  <si>
    <t>KUNG, MING KIT et al</t>
  </si>
  <si>
    <t>RM 906 FUI FU HOUSE</t>
  </si>
  <si>
    <t>SIU SAI WAN  CHAI WAN</t>
  </si>
  <si>
    <t xml:space="preserve">MA, LUCAS </t>
  </si>
  <si>
    <t>GRAND SIERRA RESORT PH 6 LT 2342</t>
  </si>
  <si>
    <t xml:space="preserve">NUNN, HENRY P III &amp; D`ARCY C  </t>
  </si>
  <si>
    <t xml:space="preserve">4841 SALLY CT </t>
  </si>
  <si>
    <t xml:space="preserve">TU, JULIE </t>
  </si>
  <si>
    <t>GRAND SIERRA RESORT PH 6 LT 2365</t>
  </si>
  <si>
    <t xml:space="preserve">NUNN, HENRY &amp; D`ARCY </t>
  </si>
  <si>
    <t>4847 SALLY CT</t>
  </si>
  <si>
    <t>94858</t>
  </si>
  <si>
    <t xml:space="preserve">MENDOZA, CYNTHIA P </t>
  </si>
  <si>
    <t>GRAND SIERRA RESORT PH 6 LT 2354</t>
  </si>
  <si>
    <t>313 PILOT RD</t>
  </si>
  <si>
    <t>GRAND SIERRA RESORT PH 6 LT 2381</t>
  </si>
  <si>
    <t xml:space="preserve">VANDERBOKKE, LEE </t>
  </si>
  <si>
    <t>GRAND SIERRA RESORT PH 6 LT 2385</t>
  </si>
  <si>
    <t xml:space="preserve">TRUONG, CHANH T </t>
  </si>
  <si>
    <t>746 SAN MIGUEL AVE</t>
  </si>
  <si>
    <t>STOCKTON</t>
  </si>
  <si>
    <t>GRAND SIERRA RESORT PH 6 LT 2389</t>
  </si>
  <si>
    <t>398 STATE ST</t>
  </si>
  <si>
    <t xml:space="preserve">LOGIE, CHARLES A &amp; JACQUELINE S </t>
  </si>
  <si>
    <t xml:space="preserve">MANAGEMENT &amp; DEVEL SER INC </t>
  </si>
  <si>
    <t xml:space="preserve">TOWNHOUSES AT HOLCOMB PLACE LT </t>
  </si>
  <si>
    <t>390 STATE ST</t>
  </si>
  <si>
    <t xml:space="preserve">DENNIS, SHELINDA </t>
  </si>
  <si>
    <t>TOWNHOUSES AT HOLCOMB PLACE LT 2</t>
  </si>
  <si>
    <t>382 STATE ST</t>
  </si>
  <si>
    <t xml:space="preserve">MARRACCINI, DARRELL &amp; LISA </t>
  </si>
  <si>
    <t>TOWNHOUSES AT HOLCOMB PLACE LT 3</t>
  </si>
  <si>
    <t>TOWNHOUSES AT HOLCOMB PLACE LT 4</t>
  </si>
  <si>
    <t>366 STATE ST</t>
  </si>
  <si>
    <t xml:space="preserve">PAWLOWSKI, STEPHEN </t>
  </si>
  <si>
    <t>4326 LORETO LN</t>
  </si>
  <si>
    <t>TOWNHOUSES AT HOLCOMB PLACE LT 5</t>
  </si>
  <si>
    <t>358 STATE ST</t>
  </si>
  <si>
    <t xml:space="preserve">JOHNSON, MARK E  </t>
  </si>
  <si>
    <t xml:space="preserve">358 STATE ST </t>
  </si>
  <si>
    <t>TOWNHOUSES AT HOLCOMB PLACE LT 6</t>
  </si>
  <si>
    <t>350 STATE ST</t>
  </si>
  <si>
    <t xml:space="preserve">CONWAY, MAUREEN D </t>
  </si>
  <si>
    <t>TOWNHOUSES AT HOLCOMB PLACE LT 7</t>
  </si>
  <si>
    <t>342 STATE ST</t>
  </si>
  <si>
    <t xml:space="preserve">CALLAHAN, JOSEPH P </t>
  </si>
  <si>
    <t>TOWNHOUSES AT HOLCOMB PLACE LT 8</t>
  </si>
  <si>
    <t>334 STATE ST</t>
  </si>
  <si>
    <t>LAIDMAN, SETH et al</t>
  </si>
  <si>
    <t>PO BOX 4946</t>
  </si>
  <si>
    <t>TOWNHOUSES AT HOLCOMB PLACE LT 9</t>
  </si>
  <si>
    <t>326 STATE ST</t>
  </si>
  <si>
    <t xml:space="preserve">WISSENBACH, CODY </t>
  </si>
  <si>
    <t>TOWNHOUSES AT HOLCOMB PLACE LT 10</t>
  </si>
  <si>
    <t>318 STATE ST</t>
  </si>
  <si>
    <t xml:space="preserve">BENZLEY, TRES M </t>
  </si>
  <si>
    <t>TOWNHOUSES AT HOLCOMB PLACE LT 11</t>
  </si>
  <si>
    <t>310 STATE ST</t>
  </si>
  <si>
    <t xml:space="preserve">MATRONE, FRANK L </t>
  </si>
  <si>
    <t>TOWNHOUSES AT HOLCOMB PLACE LT 12</t>
  </si>
  <si>
    <t>385 PINE ST</t>
  </si>
  <si>
    <t>DOROSTKAR, MINA et al</t>
  </si>
  <si>
    <t>2288 CARRIAGE DR</t>
  </si>
  <si>
    <t>TOWNHOUSES AT HOLCOMB PLACE LT 13</t>
  </si>
  <si>
    <t>375 PINE ST</t>
  </si>
  <si>
    <t>HULSEY, CAMERON  et al</t>
  </si>
  <si>
    <t xml:space="preserve">375 PINE ST </t>
  </si>
  <si>
    <t>HUSLEY, CAMERON  et al</t>
  </si>
  <si>
    <t>TOWNHOUSES AT HOLCOMB PLACE LT 14</t>
  </si>
  <si>
    <t>355 PINE ST</t>
  </si>
  <si>
    <t xml:space="preserve">LEPPEK, TREVOR J </t>
  </si>
  <si>
    <t>TOWNHOUSES AT HOLCOMB PLACE LT 16</t>
  </si>
  <si>
    <t xml:space="preserve">DAVE MCCOMBS PROPERTIES LLC </t>
  </si>
  <si>
    <t>5340 N SCARSDALE DR</t>
  </si>
  <si>
    <t xml:space="preserve">LARSEN, CHRISTINE P </t>
  </si>
  <si>
    <t>MISSION INDUSTRIAL UNIT - OWNERS ASSOCIATION LT 9</t>
  </si>
  <si>
    <t xml:space="preserve">WELLS ADD LT 13  BLK 4 </t>
  </si>
  <si>
    <t>1210 RYLAND ST</t>
  </si>
  <si>
    <t>CURTI SUB DIV 2</t>
  </si>
  <si>
    <t>GDR GROUP LLC</t>
  </si>
  <si>
    <t>GERARDO &amp; ELIZABETH RODRIGUEZ</t>
  </si>
  <si>
    <t xml:space="preserve">781 ASPEN TRAIL </t>
  </si>
  <si>
    <t>RODRIGUEZ-GOMEZ, GERARDO D  et al</t>
  </si>
  <si>
    <t>CURTI 2 LT 14 BLK A</t>
  </si>
  <si>
    <t>1215 CURTI DR</t>
  </si>
  <si>
    <t xml:space="preserve">WANG , HAI Y  </t>
  </si>
  <si>
    <t xml:space="preserve">HANCOCK, JEFFREY N </t>
  </si>
  <si>
    <t>CURTI 2 LT 23 BLK A</t>
  </si>
  <si>
    <t>1195 CURTI DR</t>
  </si>
  <si>
    <t>CARPIO, EDRAS R  et al</t>
  </si>
  <si>
    <t xml:space="preserve">1195 CURTI DR </t>
  </si>
  <si>
    <t>CURTI 2 LT 24 BLK A</t>
  </si>
  <si>
    <t>695 KATHERINE DR</t>
  </si>
  <si>
    <t>CURTI 1</t>
  </si>
  <si>
    <t xml:space="preserve">NUNAN, RONALD &amp; ANNIE J  </t>
  </si>
  <si>
    <t xml:space="preserve">10 CORTE DORADO </t>
  </si>
  <si>
    <t>ORONOS, PETE A et al</t>
  </si>
  <si>
    <t>CURTI 1 LT 19 BLK B</t>
  </si>
  <si>
    <t>1075 STEWART ST</t>
  </si>
  <si>
    <t>CURTI SUB DIV 3</t>
  </si>
  <si>
    <t xml:space="preserve">GUSTIN, AARON &amp; TAWNEE </t>
  </si>
  <si>
    <t xml:space="preserve">HOUSE, BARBARA G </t>
  </si>
  <si>
    <t>CURTI 3 LT 26 BLK B</t>
  </si>
  <si>
    <t>1365 STEWART ST</t>
  </si>
  <si>
    <t>CURTI SUB DIV</t>
  </si>
  <si>
    <t xml:space="preserve">HOSSAIN, MUHAMMAD ISMAIL </t>
  </si>
  <si>
    <t>CURTI 1 LT 11 BLK C</t>
  </si>
  <si>
    <t>495 BALLENTYNE WAY</t>
  </si>
  <si>
    <t>BALLENTYNE</t>
  </si>
  <si>
    <t xml:space="preserve">MORSE, SHARON </t>
  </si>
  <si>
    <t xml:space="preserve">CECCARELLI FAMILY TRUST, JOSEPH J &amp; SHARON R  </t>
  </si>
  <si>
    <t>BALLENTYNE LT 7</t>
  </si>
  <si>
    <t>617 GOULD ST</t>
  </si>
  <si>
    <t xml:space="preserve">MILL STREET ADD </t>
  </si>
  <si>
    <t xml:space="preserve">YEE , CHING H </t>
  </si>
  <si>
    <t>6128 GREENBROOK DR</t>
  </si>
  <si>
    <t>MILL STREET ADD FR LT 2 BLK D</t>
  </si>
  <si>
    <t>PO BOX 578</t>
  </si>
  <si>
    <t>BIEBER</t>
  </si>
  <si>
    <t xml:space="preserve">BANK OF NY MELLON TRUST CO </t>
  </si>
  <si>
    <t>PM 4733 LT 1</t>
  </si>
  <si>
    <t>1540 MILL ST</t>
  </si>
  <si>
    <t>PO BOX 18438</t>
  </si>
  <si>
    <t>VAZQUEZ-NAVARRO, ANTONIO et al</t>
  </si>
  <si>
    <t>MILL STREET ADD LT 3 BLK A</t>
  </si>
  <si>
    <t>1731 STEWART ST</t>
  </si>
  <si>
    <t xml:space="preserve">D`INNOCENTI FAMILY TRUST  </t>
  </si>
  <si>
    <t>GREGORY P &amp; SANDRA A D`INNOCENTI TRUSTEE</t>
  </si>
  <si>
    <t>ULLO, JAMES J  et al</t>
  </si>
  <si>
    <t>MILL STREET ADD LT 16 BLK A</t>
  </si>
  <si>
    <t>1650 DAYTON WAY</t>
  </si>
  <si>
    <t xml:space="preserve">JIMENEZ, FRANCISCO </t>
  </si>
  <si>
    <t>565 MARGRAVE DR</t>
  </si>
  <si>
    <t>MILL STREET ADD LT 8 FR LT 9 BLK B</t>
  </si>
  <si>
    <t>1580 STEWART ST</t>
  </si>
  <si>
    <t>MILL STREET ADD FR 7 8 &amp;</t>
  </si>
  <si>
    <t xml:space="preserve">RODRIGUEZ, MANUEL A B  </t>
  </si>
  <si>
    <t xml:space="preserve">1580 STEWART ST </t>
  </si>
  <si>
    <t>MILL STREET ADD FR LT 7 8 &amp; 9 BLK C</t>
  </si>
  <si>
    <t xml:space="preserve">BELTRAN, EANILO P &amp; ESPERANZA G  </t>
  </si>
  <si>
    <t>425 ROBERTS ST</t>
  </si>
  <si>
    <t xml:space="preserve">PANKEY, ALLAN &amp; JANICE </t>
  </si>
  <si>
    <t>PO BOX 2821</t>
  </si>
  <si>
    <t>WELLS ADD LT 14 BLK 5</t>
  </si>
  <si>
    <t>411 ROBERTS ST</t>
  </si>
  <si>
    <t xml:space="preserve">WELLS ADD </t>
  </si>
  <si>
    <t xml:space="preserve">WILSON, BROOKS H  </t>
  </si>
  <si>
    <t xml:space="preserve">TURNER, CRAIG W  </t>
  </si>
  <si>
    <t>WELLS ADD FR LT 15  BLK 5</t>
  </si>
  <si>
    <t>501 THOMA ST</t>
  </si>
  <si>
    <t xml:space="preserve">DONG, DEXTER </t>
  </si>
  <si>
    <t xml:space="preserve">ENGVALL-ESTY, KIM </t>
  </si>
  <si>
    <t>SOUTHERN ADD FR LT 12 BLK 8</t>
  </si>
  <si>
    <t>620 ROBERTS ST</t>
  </si>
  <si>
    <t>PM 4866</t>
  </si>
  <si>
    <t xml:space="preserve">CHAN, MAY J  </t>
  </si>
  <si>
    <t xml:space="preserve">620 ROBERT ST </t>
  </si>
  <si>
    <t>013-102-04</t>
  </si>
  <si>
    <t>PM 4866 LT 1</t>
  </si>
  <si>
    <t>622 ROBERTS ST</t>
  </si>
  <si>
    <t xml:space="preserve">CHAN , MAY J  </t>
  </si>
  <si>
    <t xml:space="preserve">620 ROBERTS ST </t>
  </si>
  <si>
    <t>PM 4866 LT 2</t>
  </si>
  <si>
    <t>627 THOMA ST</t>
  </si>
  <si>
    <t>PM 4368</t>
  </si>
  <si>
    <t xml:space="preserve">REPREZA-MARROQUIN, GERARDO A </t>
  </si>
  <si>
    <t xml:space="preserve">SALAZAR, DIEGO </t>
  </si>
  <si>
    <t>013-104-17</t>
  </si>
  <si>
    <t>PM 4368 LT A</t>
  </si>
  <si>
    <t>837 WHEELER AVE</t>
  </si>
  <si>
    <t xml:space="preserve">ALONSO FAMILY TRUST  </t>
  </si>
  <si>
    <t>2100 KOLDEWEY DR</t>
  </si>
  <si>
    <t xml:space="preserve">COAN, VANCE  </t>
  </si>
  <si>
    <t>MEADOW VIEW ADD FR LT 13 14 BLK 1</t>
  </si>
  <si>
    <t>824 HOLCOMB AVE</t>
  </si>
  <si>
    <t>MEADOW VIEW ADDITION</t>
  </si>
  <si>
    <t>1720 S ARLINGTON AVE</t>
  </si>
  <si>
    <t xml:space="preserve">KING, CARTER R </t>
  </si>
  <si>
    <t>MEADOW VIEW ADD LT 1 BLK 1</t>
  </si>
  <si>
    <t>528 THOMA ST</t>
  </si>
  <si>
    <t>SOUTHERN ADDITION FR 3 &amp;</t>
  </si>
  <si>
    <t xml:space="preserve">THEISEN, CHRIS </t>
  </si>
  <si>
    <t>12550 SE 93RD AVE STE 400</t>
  </si>
  <si>
    <t>CLACKAMAS</t>
  </si>
  <si>
    <t xml:space="preserve">BAKER TRUST, CATHERINE F  </t>
  </si>
  <si>
    <t>SOUTHERN ADD FR LT 3 4 BLK 10</t>
  </si>
  <si>
    <t xml:space="preserve">430 16TH AVE                            </t>
  </si>
  <si>
    <t xml:space="preserve">SAN FRANCISCO            </t>
  </si>
  <si>
    <t>SOUTHERN ADD FR LT 12 BLK 10</t>
  </si>
  <si>
    <t>605 E TAYLOR ST</t>
  </si>
  <si>
    <t xml:space="preserve">VETERANS GUEST HOUSE INC </t>
  </si>
  <si>
    <t>880 LOCUST ST</t>
  </si>
  <si>
    <t xml:space="preserve">MAGEE, RAYMOND H  </t>
  </si>
  <si>
    <t>BURKES ADD LT 21 BLK 9</t>
  </si>
  <si>
    <t>662 KIRMAN AVE</t>
  </si>
  <si>
    <t>MORTON, ANDREW et al</t>
  </si>
  <si>
    <t>13470 MAHOGANY DR</t>
  </si>
  <si>
    <t>BELLI ADD LT 3 BLK 1</t>
  </si>
  <si>
    <t>895 THOMA ST</t>
  </si>
  <si>
    <t>FRAC NE4</t>
  </si>
  <si>
    <t xml:space="preserve">WILLIAMS, MATTHEW C </t>
  </si>
  <si>
    <t xml:space="preserve">THOMA TRUST # 895  </t>
  </si>
  <si>
    <t>FRAC NE4 SEC 13 TWP 19 RGE 19</t>
  </si>
  <si>
    <t>805 WILKINSON AVE</t>
  </si>
  <si>
    <t xml:space="preserve">CHRISSANI REVOCABLE FAM TRUST  </t>
  </si>
  <si>
    <t>STEPHEN &amp; LINDA BRAUN TRUSTEE</t>
  </si>
  <si>
    <t xml:space="preserve">WILKINSON 1 LT 6 BLK A </t>
  </si>
  <si>
    <t>840 YORI AVE</t>
  </si>
  <si>
    <t xml:space="preserve">ROBINSON, ALVIN H  </t>
  </si>
  <si>
    <t xml:space="preserve">SARIO TRUST, BETTY W  </t>
  </si>
  <si>
    <t>WILKINSON 1 LT 13 BLK D</t>
  </si>
  <si>
    <t>601 CORDONE AVE</t>
  </si>
  <si>
    <t>PARCEL 601 CORDONE AVE</t>
  </si>
  <si>
    <t>DIAZ-RAMIREZ, MARTIN et al</t>
  </si>
  <si>
    <t>FR SEC 13 TWP 19 RGE 19</t>
  </si>
  <si>
    <t>845 CORDONE AVE</t>
  </si>
  <si>
    <t>HOSSAIN, ZAKIR et al</t>
  </si>
  <si>
    <t>FR NE4 NE4 SEC 13 TWP 19 RGE 19</t>
  </si>
  <si>
    <t>740 CORDONE AVE</t>
  </si>
  <si>
    <t>WILKINSON 4</t>
  </si>
  <si>
    <t xml:space="preserve">RODARTE, DEMECIO M </t>
  </si>
  <si>
    <t>WILKINSON 4 LT 5</t>
  </si>
  <si>
    <t>1055 WILSON AVE</t>
  </si>
  <si>
    <t xml:space="preserve">TAYLOR, MATTHEW A  </t>
  </si>
  <si>
    <t xml:space="preserve">1055 WILSON AVE </t>
  </si>
  <si>
    <t xml:space="preserve">KNECHT, KEVIN D </t>
  </si>
  <si>
    <t>BURKES ADD N 70` LT 7 BLK 19</t>
  </si>
  <si>
    <t>443 BURNS ST</t>
  </si>
  <si>
    <t>PM 4236</t>
  </si>
  <si>
    <t>013-166-10</t>
  </si>
  <si>
    <t>PM 4236 LT A</t>
  </si>
  <si>
    <t>516 CRAMPTON ST</t>
  </si>
  <si>
    <t xml:space="preserve">CURTIN, DANIEL M JR </t>
  </si>
  <si>
    <t xml:space="preserve">BOWERS LIVING TRUST  </t>
  </si>
  <si>
    <t>BURKES ADD LT 4 BLK 20</t>
  </si>
  <si>
    <t>PM 4308 LT 1</t>
  </si>
  <si>
    <t>PM 4828</t>
  </si>
  <si>
    <t>ROTH TRUST, CAROL M et al</t>
  </si>
  <si>
    <t>ROTH, CAROL M et al</t>
  </si>
  <si>
    <t>013-172-09</t>
  </si>
  <si>
    <t>PM 4828 LT 10A</t>
  </si>
  <si>
    <t>511 BURNS ST</t>
  </si>
  <si>
    <t>PM 4828 LT 10B</t>
  </si>
  <si>
    <t>945 BATES AVE</t>
  </si>
  <si>
    <t>ALBION LT 23 BLK B</t>
  </si>
  <si>
    <t>978 WILKINSON AVE</t>
  </si>
  <si>
    <t xml:space="preserve">JAMES, JEANNIE L </t>
  </si>
  <si>
    <t xml:space="preserve">TURNER, CHERI </t>
  </si>
  <si>
    <t>ALBION LT 13 BLK B</t>
  </si>
  <si>
    <t>906 BATES AVE</t>
  </si>
  <si>
    <t>ZIMMERMAN TRUST, L R et al</t>
  </si>
  <si>
    <t>ALBION LT 2 BLK C</t>
  </si>
  <si>
    <t>905 BELGRAVE AVE</t>
  </si>
  <si>
    <t>SINGH, PARAMJIT et al</t>
  </si>
  <si>
    <t xml:space="preserve">905 BELGRAVE AVE </t>
  </si>
  <si>
    <t>ALBION LT 29 BLK D</t>
  </si>
  <si>
    <t>977 BELGRAVE AVE</t>
  </si>
  <si>
    <t xml:space="preserve">CORIA, ROCIO </t>
  </si>
  <si>
    <t>972 BELGRAVE AVE</t>
  </si>
  <si>
    <t xml:space="preserve">SEAMANS, BEVERLY J </t>
  </si>
  <si>
    <t>ALBION LT 18 BLK D</t>
  </si>
  <si>
    <t>908 BELGRAVE AVE</t>
  </si>
  <si>
    <t xml:space="preserve">ALBION  </t>
  </si>
  <si>
    <t xml:space="preserve">SCHOMBERG, RUTH B </t>
  </si>
  <si>
    <t xml:space="preserve">ALBION LT 2 BLK E </t>
  </si>
  <si>
    <t>915 CORDONE AVE</t>
  </si>
  <si>
    <t xml:space="preserve">CURTIS , STEVEN E &amp; DAGMAR I  </t>
  </si>
  <si>
    <t xml:space="preserve">915 CORDONE AVE </t>
  </si>
  <si>
    <t>HEMPSTEAD GARDENS LT 3 BLK A</t>
  </si>
  <si>
    <t>990 LESTER AVE</t>
  </si>
  <si>
    <t xml:space="preserve">HANCOCK, JEFFREY L  </t>
  </si>
  <si>
    <t>ALBION LT 15 BLK F</t>
  </si>
  <si>
    <t>915 MELROSE DR</t>
  </si>
  <si>
    <t>HEMPSTEAD GARDENS LT 28 BLK B</t>
  </si>
  <si>
    <t>940 CORDONE AVE</t>
  </si>
  <si>
    <t xml:space="preserve">SINGH, RAMANDIP </t>
  </si>
  <si>
    <t xml:space="preserve">940 CORDONE </t>
  </si>
  <si>
    <t>HEMPSTEAD GARDENS LT 8 BLK B</t>
  </si>
  <si>
    <t>940 MELROSE DR</t>
  </si>
  <si>
    <t xml:space="preserve">YEE FAMILY TRUST, SHIEK H &amp; SUSAN   </t>
  </si>
  <si>
    <t>HEMPSTEAD GARDENS LT 8 BLK C</t>
  </si>
  <si>
    <t>180 MALONE LN</t>
  </si>
  <si>
    <t>MCCORMICK ADD FR</t>
  </si>
  <si>
    <t xml:space="preserve">HAILE, MARCUS &amp; LYNNE </t>
  </si>
  <si>
    <t xml:space="preserve">MAGDAMO, ROLANDO V &amp; HELGA </t>
  </si>
  <si>
    <t>MCCORMICK ADD AMD FR LT 17 BLK 1</t>
  </si>
  <si>
    <t>137 BURNS ST</t>
  </si>
  <si>
    <t>MCCORMICK ADD AMD</t>
  </si>
  <si>
    <t xml:space="preserve">JOHNSON, ALAN L &amp; IVYE M  </t>
  </si>
  <si>
    <t xml:space="preserve">137 BURNS ST </t>
  </si>
  <si>
    <t>MCCORMICK ADD AMD LT 4 5 6 BLK 1</t>
  </si>
  <si>
    <t>201 WONDER ST</t>
  </si>
  <si>
    <t>MADRY, ROBERT F et al</t>
  </si>
  <si>
    <t>TERRACE TRACT LT 16 BLK 2</t>
  </si>
  <si>
    <t>205 WONDER ST</t>
  </si>
  <si>
    <t>PM 4752</t>
  </si>
  <si>
    <t>GOSS, STACEY et al</t>
  </si>
  <si>
    <t xml:space="preserve">8011 HIGHLAND FLUME CIR </t>
  </si>
  <si>
    <t>013-223-15</t>
  </si>
  <si>
    <t>PM 4752 LT 1</t>
  </si>
  <si>
    <t>203 WONDER ST</t>
  </si>
  <si>
    <t xml:space="preserve">GOSS, STACEY </t>
  </si>
  <si>
    <t>220 MAGNOLIA ST</t>
  </si>
  <si>
    <t>PM 4752 LT 2</t>
  </si>
  <si>
    <t>436 BURNS ST</t>
  </si>
  <si>
    <t xml:space="preserve">COGBURN, CARMEN R </t>
  </si>
  <si>
    <t xml:space="preserve">NEUFELD, AMY M </t>
  </si>
  <si>
    <t>BURKES ADD FR LT 5 BLK 23</t>
  </si>
  <si>
    <t>325 CLAREMONT ST</t>
  </si>
  <si>
    <t>PM 4430</t>
  </si>
  <si>
    <t xml:space="preserve">PIMENTEL, ALAN D </t>
  </si>
  <si>
    <t>013-224-04</t>
  </si>
  <si>
    <t>PM 4430 PAR 4A</t>
  </si>
  <si>
    <t>326 CLAREMONT ST</t>
  </si>
  <si>
    <t xml:space="preserve">QUAIN, KYLE &amp; SHAYNA </t>
  </si>
  <si>
    <t>1625 BELFORD RD</t>
  </si>
  <si>
    <t>BURKES ADD LT 4 BLK 27</t>
  </si>
  <si>
    <t>102 BURNS ST</t>
  </si>
  <si>
    <t>MCCORMICKS ADD AMD 3 FR</t>
  </si>
  <si>
    <t xml:space="preserve">DAWSON, PATRICK M </t>
  </si>
  <si>
    <t>919 LINCOLN WAY</t>
  </si>
  <si>
    <t>013-226-27</t>
  </si>
  <si>
    <t>MCCORMICKS ADD LT 3 FR 4 BLK 2 RS 3011</t>
  </si>
  <si>
    <t>400 CLAREMONT ST</t>
  </si>
  <si>
    <t xml:space="preserve">MEZA, MANUEL D </t>
  </si>
  <si>
    <t>410 CLAREMONT DR</t>
  </si>
  <si>
    <t xml:space="preserve">MEZZANO TOWNLEY TRUST  </t>
  </si>
  <si>
    <t>BURKES ADD FR LT 1 BLK 28</t>
  </si>
  <si>
    <t>450 CLAREMONT ST</t>
  </si>
  <si>
    <t xml:space="preserve">CARLOCK, PAM M </t>
  </si>
  <si>
    <t>BURKES ADD LT 4  BLK 28</t>
  </si>
  <si>
    <t>437 WONDER ST</t>
  </si>
  <si>
    <t>GRIFFIN, GREGORY H  et al</t>
  </si>
  <si>
    <t xml:space="preserve">HARRINGTON ANN M </t>
  </si>
  <si>
    <t xml:space="preserve">2375 S ARLINGTON AVE </t>
  </si>
  <si>
    <t>FISHER LIVING TRUST, JAMES R &amp; DIANE R TTEE et al</t>
  </si>
  <si>
    <t>BURKES ADD LT 8 BLK 28</t>
  </si>
  <si>
    <t>445 WONDER ST</t>
  </si>
  <si>
    <t>PM 3998</t>
  </si>
  <si>
    <t xml:space="preserve">OAKS, THERESA A </t>
  </si>
  <si>
    <t>013-232-06</t>
  </si>
  <si>
    <t>PM 3998 LT B</t>
  </si>
  <si>
    <t>410 WONDER ST</t>
  </si>
  <si>
    <t>PM 4718</t>
  </si>
  <si>
    <t xml:space="preserve">TURNBOW TRUST  </t>
  </si>
  <si>
    <t>013-234-02</t>
  </si>
  <si>
    <t>PM 4718 LT 1</t>
  </si>
  <si>
    <t>425 CAMDEN ALLEY</t>
  </si>
  <si>
    <t xml:space="preserve">AMIMECAFE CORPORATION </t>
  </si>
  <si>
    <t>219 W ROBINSON ST # 888</t>
  </si>
  <si>
    <t>PM 4718 LT 2</t>
  </si>
  <si>
    <t xml:space="preserve">COGLE, MARVIN A &amp; LAUREL M </t>
  </si>
  <si>
    <t>435 CAMDEN ALLEY</t>
  </si>
  <si>
    <t>PM 4767 LT 2</t>
  </si>
  <si>
    <t xml:space="preserve">COOK, JACKIE </t>
  </si>
  <si>
    <t>PO BOX 6434</t>
  </si>
  <si>
    <t xml:space="preserve">MC CREARY, MILDRED D </t>
  </si>
  <si>
    <t>630 BURNS ST</t>
  </si>
  <si>
    <t>PM 4674</t>
  </si>
  <si>
    <t>PO BOX 71111</t>
  </si>
  <si>
    <t>013-235-05</t>
  </si>
  <si>
    <t>PM 4674 PARCEL 1</t>
  </si>
  <si>
    <t>525 CLAREMONT ST</t>
  </si>
  <si>
    <t>BLACKSON, HOLLY et al</t>
  </si>
  <si>
    <t>7687 PICKERING CIR</t>
  </si>
  <si>
    <t xml:space="preserve">WARFIELD, DAVID L  </t>
  </si>
  <si>
    <t>PM 4674 LT 2</t>
  </si>
  <si>
    <t>580 CLAREMONT ST</t>
  </si>
  <si>
    <t>PM 4683</t>
  </si>
  <si>
    <t xml:space="preserve">LEGGE, THEODORE  </t>
  </si>
  <si>
    <t>4807 W LAKERIDGE TERR</t>
  </si>
  <si>
    <t>013-236-10</t>
  </si>
  <si>
    <t>PM 4683 LT 1</t>
  </si>
  <si>
    <t>1145 KIRMAN AVE</t>
  </si>
  <si>
    <t xml:space="preserve">LEGGE, THEODORE </t>
  </si>
  <si>
    <t>4807 W LAKERIDGE TER</t>
  </si>
  <si>
    <t>PM 4683 LT 2</t>
  </si>
  <si>
    <t>722 BALZAR CIR</t>
  </si>
  <si>
    <t>STURTEVANT, PAUL T et al</t>
  </si>
  <si>
    <t xml:space="preserve">PAPE, RICHARD H </t>
  </si>
  <si>
    <t>MOUNTAIN VIEW LT 11 BLK C</t>
  </si>
  <si>
    <t>707 CLAREMONT CIR</t>
  </si>
  <si>
    <t xml:space="preserve">MOUNTAIN VIEW </t>
  </si>
  <si>
    <t xml:space="preserve">VASKOVSKIS, KRYSTEN M  </t>
  </si>
  <si>
    <t xml:space="preserve">CLARK, LAURA A </t>
  </si>
  <si>
    <t>MOUNTAIN VIEW  LT 23 BLK C</t>
  </si>
  <si>
    <t>1005 WILKINSON AVE</t>
  </si>
  <si>
    <t xml:space="preserve">DOBBS, SHANNON J </t>
  </si>
  <si>
    <t>FR SW4 NE4 SEC 13 TWP 19 RGE 19</t>
  </si>
  <si>
    <t>1155 KIETZKE LN</t>
  </si>
  <si>
    <t xml:space="preserve">QUIGLEY INVESTMENT COMPANY </t>
  </si>
  <si>
    <t>C/O MRB HOLDINGS CORP</t>
  </si>
  <si>
    <t>4865 JOULE ST #C5</t>
  </si>
  <si>
    <t xml:space="preserve">MRB REALTY LLC </t>
  </si>
  <si>
    <t>1405 VASSAR ST</t>
  </si>
  <si>
    <t xml:space="preserve">PERONA, CARLYN </t>
  </si>
  <si>
    <t xml:space="preserve">RAMOS, ADRIAN </t>
  </si>
  <si>
    <t>2315 MARKET ST</t>
  </si>
  <si>
    <t>PM 3636</t>
  </si>
  <si>
    <t>CHESTER REAL ESTATE LLC  LLC</t>
  </si>
  <si>
    <t>922 S COUNTRY CLUB DR</t>
  </si>
  <si>
    <t xml:space="preserve">JMMS PROPERTIES LLC </t>
  </si>
  <si>
    <t>013-281-01</t>
  </si>
  <si>
    <t>PM 3636 LT B</t>
  </si>
  <si>
    <t xml:space="preserve"> TERMINAL WAY</t>
  </si>
  <si>
    <t xml:space="preserve">STEBBINS PROPERTIES LLC  </t>
  </si>
  <si>
    <t xml:space="preserve">945 TERMINAL WAY </t>
  </si>
  <si>
    <t xml:space="preserve">FORD, WILLIAM R JR  </t>
  </si>
  <si>
    <t>013-321-06</t>
  </si>
  <si>
    <t>PM 3709 LT 1</t>
  </si>
  <si>
    <t>308 VASSAR ST</t>
  </si>
  <si>
    <t>015-011-03</t>
  </si>
  <si>
    <t>SOUTHSIDE FR LT 2 BLK A</t>
  </si>
  <si>
    <t>1339 LOCUST ST</t>
  </si>
  <si>
    <t>PM 4400</t>
  </si>
  <si>
    <t>SALDANA-TORIBIO, CARLOS et al</t>
  </si>
  <si>
    <t>013-371-34</t>
  </si>
  <si>
    <t>PM 4400 LT B</t>
  </si>
  <si>
    <t>1306 LOCUST ST</t>
  </si>
  <si>
    <t>VERDIN-MOLINA, LORENZO  et al</t>
  </si>
  <si>
    <t xml:space="preserve">3801 W 7TH ST </t>
  </si>
  <si>
    <t>015-013-21</t>
  </si>
  <si>
    <t>SOUTHSIDE FR LT 1 BLK B</t>
  </si>
  <si>
    <t>1415 KIRMAN AVE</t>
  </si>
  <si>
    <t>SOUTHSIDE FR LT 3</t>
  </si>
  <si>
    <t xml:space="preserve">WARD, LEON L &amp; NILMA G  </t>
  </si>
  <si>
    <t xml:space="preserve">RUIZ, MIGUEL &amp; MARIA G </t>
  </si>
  <si>
    <t>015-014-06</t>
  </si>
  <si>
    <t>SOUTHSIDE FR LT 3 BLK D</t>
  </si>
  <si>
    <t xml:space="preserve">LLTIF LLC </t>
  </si>
  <si>
    <t>3545 AIRWAY DR # 113</t>
  </si>
  <si>
    <t>1490 KIRMAN AVE</t>
  </si>
  <si>
    <t xml:space="preserve">TORRES, RODRIGO </t>
  </si>
  <si>
    <t>760 COLORADO RIVER BLVD</t>
  </si>
  <si>
    <t>015-022-08</t>
  </si>
  <si>
    <t>MORTON 3 LT 12 BLK I</t>
  </si>
  <si>
    <t>90 WILKINSON CT</t>
  </si>
  <si>
    <t xml:space="preserve">PEREZ DUARTE, ANA L </t>
  </si>
  <si>
    <t>015-023-08</t>
  </si>
  <si>
    <t>FR NW4 SE4 SEC 13 TWP 19 RGE 19</t>
  </si>
  <si>
    <t>845 BROADWAY BLVD</t>
  </si>
  <si>
    <t>MOLISEE, DANIELLE D et al</t>
  </si>
  <si>
    <t>015-023-17</t>
  </si>
  <si>
    <t>MORTON 2 LT 4 BLK K</t>
  </si>
  <si>
    <t>740 BRENTWOOD DR</t>
  </si>
  <si>
    <t xml:space="preserve">BENTLEY, LAUREN F  </t>
  </si>
  <si>
    <t xml:space="preserve">JAIME, BARBARA E </t>
  </si>
  <si>
    <t>015-025-04</t>
  </si>
  <si>
    <t>MORTON 2 LT 27 BLK E</t>
  </si>
  <si>
    <t>1340 YORI AVE</t>
  </si>
  <si>
    <t>AHMED, MD J et al</t>
  </si>
  <si>
    <t>SHARMIN SHIFAT</t>
  </si>
  <si>
    <t xml:space="preserve">ISLAM, NAZRUL </t>
  </si>
  <si>
    <t>015-031-34</t>
  </si>
  <si>
    <t>FR SE4 SEC 13 TWP 19 RGE 20</t>
  </si>
  <si>
    <t>1320 YORI AVE</t>
  </si>
  <si>
    <t>EDGERTON, KYLE E et al</t>
  </si>
  <si>
    <t>015-031-33</t>
  </si>
  <si>
    <t>1002 BROADWAY BLVD</t>
  </si>
  <si>
    <t>DEVLIN, CARLEEN K et al</t>
  </si>
  <si>
    <t>TEC PROPERTY SOLUTIONS LLC LLC</t>
  </si>
  <si>
    <t>015-032-06</t>
  </si>
  <si>
    <t>MEYER MEADOWS LT 4 BLK N</t>
  </si>
  <si>
    <t>1090 BROADWAY BLVD</t>
  </si>
  <si>
    <t xml:space="preserve">KILLIAM , CYRUS W  </t>
  </si>
  <si>
    <t xml:space="preserve">MORAN, BARBARA J </t>
  </si>
  <si>
    <t>015-032-09</t>
  </si>
  <si>
    <t>MEYER MEADOWS LT 7 BLK N</t>
  </si>
  <si>
    <t>1035 BRENTWOOD DR</t>
  </si>
  <si>
    <t xml:space="preserve">MEYER MEADOWS </t>
  </si>
  <si>
    <t xml:space="preserve">CUSACK, STACY K </t>
  </si>
  <si>
    <t xml:space="preserve">JACKSON, LUTHER F &amp; PEGGY </t>
  </si>
  <si>
    <t>015-032-18</t>
  </si>
  <si>
    <t>MEYER MEADOWS LT 16 BLK N</t>
  </si>
  <si>
    <t>1005 BRENTWOOD DR</t>
  </si>
  <si>
    <t xml:space="preserve">GUAJARDO-TORRES, MARY </t>
  </si>
  <si>
    <t>015-032-19</t>
  </si>
  <si>
    <t>MEYER MEADOWS LT 17 BLK N</t>
  </si>
  <si>
    <t>C/O CR TITLE SERVICES ATTN REO DEPT</t>
  </si>
  <si>
    <t>1450 YORI AVE</t>
  </si>
  <si>
    <t xml:space="preserve">KOCH, AMELIA </t>
  </si>
  <si>
    <t>FRANCHI, MICHAEL A et al</t>
  </si>
  <si>
    <t>015-032-24</t>
  </si>
  <si>
    <t>MORTON 2 LT 2 BLK G</t>
  </si>
  <si>
    <t>1285 BRENTWOOD DR</t>
  </si>
  <si>
    <t>GUERRERO-RUELAS, MARTIN et al</t>
  </si>
  <si>
    <t>GUERRERO TERESITA</t>
  </si>
  <si>
    <t xml:space="preserve">1285 BRENTWOOD DR </t>
  </si>
  <si>
    <t>015-033-04</t>
  </si>
  <si>
    <t>MEYER MEADOWS LT 7 BLK R</t>
  </si>
  <si>
    <t>1265 BRENTWOOD DR</t>
  </si>
  <si>
    <t>RAMIREZ-AMBRIZ, JOSE S  et al</t>
  </si>
  <si>
    <t>DIAZ-CISNEROS MARIA T</t>
  </si>
  <si>
    <t>015-033-06</t>
  </si>
  <si>
    <t>MEYER MEADOWS LT 5 BLK R</t>
  </si>
  <si>
    <t>485 COLORADO RIVER BLVD</t>
  </si>
  <si>
    <t xml:space="preserve">STARBUCK, BRIAN T &amp; JOSELLA M  </t>
  </si>
  <si>
    <t>PO BOX 18763</t>
  </si>
  <si>
    <t>015-062-12</t>
  </si>
  <si>
    <t>327 COLORADO RIVER BLVD</t>
  </si>
  <si>
    <t xml:space="preserve">CASCI, PHILLIP C &amp; ANNETTE B </t>
  </si>
  <si>
    <t>1020 COUNTRY ESTATES CIR</t>
  </si>
  <si>
    <t>015-062-19</t>
  </si>
  <si>
    <t>SOUTHSIDE FR LT 6 BLK G</t>
  </si>
  <si>
    <t>1506 LOCUST ST</t>
  </si>
  <si>
    <t xml:space="preserve">MEDINA, PORFIRIO &amp; DONNA L </t>
  </si>
  <si>
    <t>4901 FUSCHIA WAY</t>
  </si>
  <si>
    <t>015-063-25</t>
  </si>
  <si>
    <t>PM 2301 LT A</t>
  </si>
  <si>
    <t>CENTRAL RENO HOUSING ASST TRST</t>
  </si>
  <si>
    <t>550 W PLUMB LANE B507</t>
  </si>
  <si>
    <t>765 GRAND CANYON BLVD</t>
  </si>
  <si>
    <t xml:space="preserve">NISIHURA , MARIA  </t>
  </si>
  <si>
    <t>015-071-27</t>
  </si>
  <si>
    <t>MORTON LT 32 BLK A</t>
  </si>
  <si>
    <t>715 GRAND CANYON BLVD</t>
  </si>
  <si>
    <t>015-071-30</t>
  </si>
  <si>
    <t>MORTON LT 35 BLK A</t>
  </si>
  <si>
    <t>1265 CAPITOL HILL AVE</t>
  </si>
  <si>
    <t xml:space="preserve">ZAMBRANO, CAROLOS E &amp; SONIA M V DE </t>
  </si>
  <si>
    <t xml:space="preserve">LEE, LINDA S &amp; RONALD A </t>
  </si>
  <si>
    <t>015-081-18</t>
  </si>
  <si>
    <t>MEYER MEADOWS LT 16 BLK O</t>
  </si>
  <si>
    <t>965 CAPITOL HILL AVE</t>
  </si>
  <si>
    <t xml:space="preserve">ROSENE, TIMOTHY M &amp; DIANE M </t>
  </si>
  <si>
    <t>50 RIVER PARK CT</t>
  </si>
  <si>
    <t xml:space="preserve">ETCHEGOIN, MARIE L </t>
  </si>
  <si>
    <t>015-081-28</t>
  </si>
  <si>
    <t>MEYER MEADOWS LT 26 BLK O</t>
  </si>
  <si>
    <t>1150 CAPITOL HILL AVE</t>
  </si>
  <si>
    <t xml:space="preserve">TORRES-PENA, MARTA E  </t>
  </si>
  <si>
    <t>1150 CAPITOL HILL</t>
  </si>
  <si>
    <t>015-082-11</t>
  </si>
  <si>
    <t>MEYER MEADOWS LT 9 BLK P</t>
  </si>
  <si>
    <t>1290 CAPITOL HILL AVE</t>
  </si>
  <si>
    <t xml:space="preserve">MUIR FAMILY TRUST  </t>
  </si>
  <si>
    <t>PO BOX 750</t>
  </si>
  <si>
    <t xml:space="preserve">PALMER, EVELYN L </t>
  </si>
  <si>
    <t>015-082-16</t>
  </si>
  <si>
    <t>MEYER MEADOWS LT 14 BLK P</t>
  </si>
  <si>
    <t>1540 LAIOLO DR</t>
  </si>
  <si>
    <t xml:space="preserve">SENDON, CLAUDE </t>
  </si>
  <si>
    <t>2668 MARKRIDGE DR</t>
  </si>
  <si>
    <t>CHASE HOME FINANCE LLC LLC</t>
  </si>
  <si>
    <t>015-083-08</t>
  </si>
  <si>
    <t>MEYER MEADOWS LT 13 BLK R</t>
  </si>
  <si>
    <t>1535 RADCLIFFE DR</t>
  </si>
  <si>
    <t xml:space="preserve">ROGERS , JOHN K  </t>
  </si>
  <si>
    <t xml:space="preserve">1535 RADCLIFFE DR </t>
  </si>
  <si>
    <t>015-092-07</t>
  </si>
  <si>
    <t>ACADEMY MANOR 1 LT 6 BLK B</t>
  </si>
  <si>
    <t>1595 RADCLIFFE DR</t>
  </si>
  <si>
    <t xml:space="preserve">PACKER, JONATHAN R </t>
  </si>
  <si>
    <t>DEGIACOMO, FRANCES et al</t>
  </si>
  <si>
    <t>015-092-10</t>
  </si>
  <si>
    <t>ACADEMY MANOR 1 LT 9 BLK B</t>
  </si>
  <si>
    <t>1660 AUBURN WAY</t>
  </si>
  <si>
    <t xml:space="preserve">CORBITT, GLEN B </t>
  </si>
  <si>
    <t>015-092-17</t>
  </si>
  <si>
    <t>ACADEMY MANOR 2 LT 6 BLK G</t>
  </si>
  <si>
    <t>1640 AUBURN WAY</t>
  </si>
  <si>
    <t xml:space="preserve">VEGA-ORELLANA, LUIS R </t>
  </si>
  <si>
    <t xml:space="preserve">MELGAR, MARIA J </t>
  </si>
  <si>
    <t>015-092-19</t>
  </si>
  <si>
    <t>ACADEMY MANOR 2 LT 4 BLK G</t>
  </si>
  <si>
    <t>1630 AUBURN WAY</t>
  </si>
  <si>
    <t xml:space="preserve">WAINSCOTT, JUSTIN  </t>
  </si>
  <si>
    <t xml:space="preserve">1630 AUBURN WAY </t>
  </si>
  <si>
    <t>015-092-20</t>
  </si>
  <si>
    <t>ACADEMY MANOR 1 LT 12 BLK B</t>
  </si>
  <si>
    <t>1635 CLEMSON RD</t>
  </si>
  <si>
    <t xml:space="preserve">DEL ROSARIO, MILA A  </t>
  </si>
  <si>
    <t>REYES-RAMIREZ, REBECA et al</t>
  </si>
  <si>
    <t>015-093-12</t>
  </si>
  <si>
    <t>ACADEMY MANOR 1 LT 11 BLK C</t>
  </si>
  <si>
    <t>1490 CLEMSON RD</t>
  </si>
  <si>
    <t>REYES-MARTINEZ, CARLOS A et al</t>
  </si>
  <si>
    <t xml:space="preserve">SHEPLEY 2007 LIVING TRUST, THERESA  </t>
  </si>
  <si>
    <t>015-094-11</t>
  </si>
  <si>
    <t>ACADEMY MANOR 1 LT 19 BLK D</t>
  </si>
  <si>
    <t>1570 HARVARD WAY</t>
  </si>
  <si>
    <t>TOLEDO-LINARES, RUBEN et al</t>
  </si>
  <si>
    <t>015-095-02</t>
  </si>
  <si>
    <t>ACADEMY MANOR 1 LT 11 BLK E</t>
  </si>
  <si>
    <t>891 CASAZZA DR</t>
  </si>
  <si>
    <t>NORMAN TRACT UNOFF</t>
  </si>
  <si>
    <t>1173 SCENIC PARK TERR</t>
  </si>
  <si>
    <t>BAGWELL, SHANNON L et al</t>
  </si>
  <si>
    <t>015-123-17</t>
  </si>
  <si>
    <t>NORMAN TRACT UNOFF LT 2</t>
  </si>
  <si>
    <t>1830 WRONDEL WAY</t>
  </si>
  <si>
    <t>WELSH SUB</t>
  </si>
  <si>
    <t xml:space="preserve">JIMENEZ, EFRAIN  </t>
  </si>
  <si>
    <t xml:space="preserve">1830 WRONDEL WAY </t>
  </si>
  <si>
    <t xml:space="preserve">PERA REVOCABLE TRUST  </t>
  </si>
  <si>
    <t>015-124-35</t>
  </si>
  <si>
    <t>WELSH LT 7 BLK B</t>
  </si>
  <si>
    <t>1735 GRASSLAND PL</t>
  </si>
  <si>
    <t xml:space="preserve">FISHER, MARGARITA </t>
  </si>
  <si>
    <t>015-133-09</t>
  </si>
  <si>
    <t>MEYER MEADOWS 2 LT 4 BLK V</t>
  </si>
  <si>
    <t>1801 RADCLIFFE DR</t>
  </si>
  <si>
    <t>WILLIAMS, JUSTIN et al</t>
  </si>
  <si>
    <t xml:space="preserve">1801 RADCLIFFE DR </t>
  </si>
  <si>
    <t>015-152-10</t>
  </si>
  <si>
    <t>ACADEMY MANOR 2 LT 9 BLK H</t>
  </si>
  <si>
    <t>1845 RADCLIFFE DR</t>
  </si>
  <si>
    <t>CHAVEZ-GOMEZ, MARTIN et al</t>
  </si>
  <si>
    <t>CHAVEZ ALICIA</t>
  </si>
  <si>
    <t>015-152-12</t>
  </si>
  <si>
    <t>ACADEMY MANOR 2 LT 11 BLK H</t>
  </si>
  <si>
    <t>1725 HARVARD WAY</t>
  </si>
  <si>
    <t xml:space="preserve">EVERS FAMILY LIVING TRUST </t>
  </si>
  <si>
    <t>015-153-04</t>
  </si>
  <si>
    <t>ACADEMY MANOR 2 LT 6 BLK K</t>
  </si>
  <si>
    <t>1601 LEHIGH DR</t>
  </si>
  <si>
    <t xml:space="preserve">RIOS, MELISSA </t>
  </si>
  <si>
    <t>015-153-09</t>
  </si>
  <si>
    <t>ACADEMY MANOR 2 LT 1 BLK K</t>
  </si>
  <si>
    <t>1601 PEDRETTI RD</t>
  </si>
  <si>
    <t>ACADEMY MANOR SUB DIV 2</t>
  </si>
  <si>
    <t>015-154-12</t>
  </si>
  <si>
    <t>ACADEMY MANOR 2 LT 1 BLK L</t>
  </si>
  <si>
    <t>1511 LOCUST ST</t>
  </si>
  <si>
    <t>PM 4744</t>
  </si>
  <si>
    <t xml:space="preserve">PATTERSON, SEAN P </t>
  </si>
  <si>
    <t>232 COURT ST</t>
  </si>
  <si>
    <t>013-411-09</t>
  </si>
  <si>
    <t>PM 4744 LT 2</t>
  </si>
  <si>
    <t>1545 LOCUST ST</t>
  </si>
  <si>
    <t>YOUNG, CHRIS M &amp; BRENDA J et al</t>
  </si>
  <si>
    <t>PM 4744 LT 3</t>
  </si>
  <si>
    <t>217 BRET HARTE AVE</t>
  </si>
  <si>
    <t>GRZYMSKI, JOSEPH J III et al</t>
  </si>
  <si>
    <t xml:space="preserve">SIEMON FAMILY TRUST, RICHARD E  </t>
  </si>
  <si>
    <t>MANOR GARDENS LT 3 BLK A</t>
  </si>
  <si>
    <t>1263 MARK TWAIN AVE</t>
  </si>
  <si>
    <t>ARLINGTON SUBRBN HM</t>
  </si>
  <si>
    <t>ROWE, JEFFREY T et al</t>
  </si>
  <si>
    <t>LAMBERT, KENNETH B et al</t>
  </si>
  <si>
    <t>ARLINGTON HEIGHTS FR LT 2 BLK B</t>
  </si>
  <si>
    <t>1277 MARK TWAIN AVE</t>
  </si>
  <si>
    <t>ARLINGTON HEIGHTS  SUBRBN HM</t>
  </si>
  <si>
    <t xml:space="preserve">OWENS, MICHAEL D </t>
  </si>
  <si>
    <t xml:space="preserve">FENNELL, NANCY </t>
  </si>
  <si>
    <t>ARLINGTON HEIGHTS SUBRBN HM  FR LT 3 BLK B</t>
  </si>
  <si>
    <t>1202 MARK TWAIN AVE</t>
  </si>
  <si>
    <t xml:space="preserve">WOODS, DAVID T </t>
  </si>
  <si>
    <t xml:space="preserve">WALKER, CYNTHIA L  </t>
  </si>
  <si>
    <t>ARLINGTON HEIGHTS SUBURBAN HM FR LT 1 BLK B</t>
  </si>
  <si>
    <t>1218 PATRICK AVE</t>
  </si>
  <si>
    <t xml:space="preserve">BRIEGEL, ERIKA </t>
  </si>
  <si>
    <t xml:space="preserve">KING TRUST, JOHN T  </t>
  </si>
  <si>
    <t>FR SE4 SEC 14 TWP 19 RGE 19</t>
  </si>
  <si>
    <t>1208 PATRICK AVE</t>
  </si>
  <si>
    <t>ARLINGTON HTS SUBRBN</t>
  </si>
  <si>
    <t xml:space="preserve">FORRESTER, SCOTT </t>
  </si>
  <si>
    <t xml:space="preserve">1208 PATRICK AVE </t>
  </si>
  <si>
    <t xml:space="preserve">BECKER TRUST, JANE K  </t>
  </si>
  <si>
    <t>ARLINGTON HTS SUBRBN FR LT 1 BLK A</t>
  </si>
  <si>
    <t>742 MONROE ST</t>
  </si>
  <si>
    <t xml:space="preserve">ELLIS, VALERIE </t>
  </si>
  <si>
    <t xml:space="preserve">WILSON FAMILY TRUST, WALTER C &amp; SHIRLEY G  </t>
  </si>
  <si>
    <t>ARLINGTON SUBURBAN HOME TRACT FR LT 1 BLK A</t>
  </si>
  <si>
    <t>1260 PATRICK AVE</t>
  </si>
  <si>
    <t>ARLINGTON SUBURBAN HM</t>
  </si>
  <si>
    <t xml:space="preserve">SCOTT, KELLY ANN </t>
  </si>
  <si>
    <t xml:space="preserve">DIETRICH, SUZANNE M </t>
  </si>
  <si>
    <t>ARLINGTON SUBURBAN HM LT 32 BLK 2</t>
  </si>
  <si>
    <t>1226 LANDER ST</t>
  </si>
  <si>
    <t xml:space="preserve">MORAN , ABIGAIL A </t>
  </si>
  <si>
    <t xml:space="preserve">1226 LANDER ST </t>
  </si>
  <si>
    <t xml:space="preserve">IRELAND, KELLY S </t>
  </si>
  <si>
    <t>ARLINGTON HEIGHTS LT 8 BLK 2</t>
  </si>
  <si>
    <t>357 MARY ST</t>
  </si>
  <si>
    <t>MCCARTHYS ADD</t>
  </si>
  <si>
    <t xml:space="preserve">BUCHER, HAROLD M &amp; ADRIAN A  </t>
  </si>
  <si>
    <t xml:space="preserve">STEPHENSON, WILLIAM A </t>
  </si>
  <si>
    <t>MCCARTHYS ADD LT 4 BLK 2 (LESS N 5 FT)</t>
  </si>
  <si>
    <t xml:space="preserve">FLINT, VIOLA M &amp; DOUG D </t>
  </si>
  <si>
    <t>SIERRA VISTA S 40` LTS 5 &amp; 6 BLK 19</t>
  </si>
  <si>
    <t>115 MARY ST</t>
  </si>
  <si>
    <t>RS 4486</t>
  </si>
  <si>
    <t xml:space="preserve">FERGUSON , WILLIAM M &amp; VICKI A </t>
  </si>
  <si>
    <t xml:space="preserve">BECKER, MICHAEL A </t>
  </si>
  <si>
    <t>014-061-12</t>
  </si>
  <si>
    <t>RS 4486 LT 101</t>
  </si>
  <si>
    <t xml:space="preserve">BRANDON T &amp; RUBY A CONGDON </t>
  </si>
  <si>
    <t>6302 FIREBEE CT</t>
  </si>
  <si>
    <t xml:space="preserve">CONGDON FAMILY TRUST  </t>
  </si>
  <si>
    <t xml:space="preserve"> MARTIN ST</t>
  </si>
  <si>
    <t>BRANDON T &amp; RUBY A CONGDON TRUSTEE</t>
  </si>
  <si>
    <t xml:space="preserve">CONGDON, BRANDON T &amp; RUBY A  </t>
  </si>
  <si>
    <t>PM 4917 LT 2</t>
  </si>
  <si>
    <t>22 MARTIN ST</t>
  </si>
  <si>
    <t xml:space="preserve">WIC HOLDINGS LLC </t>
  </si>
  <si>
    <t>PO BOX 40472</t>
  </si>
  <si>
    <t xml:space="preserve">HOUSE OF BLACK AND WHITE </t>
  </si>
  <si>
    <t>MARTIN ADD FR LT 1 LT 2 BLK 4</t>
  </si>
  <si>
    <t>218 WONDER ST</t>
  </si>
  <si>
    <t>TERRACE TRACT ADD</t>
  </si>
  <si>
    <t>GHILIERI, JOHN  et al</t>
  </si>
  <si>
    <t xml:space="preserve">2191 MAXFLI DR </t>
  </si>
  <si>
    <t>TERRACE TRACT ADD LT 3 BLK 3</t>
  </si>
  <si>
    <t>830 CROCKER WAY</t>
  </si>
  <si>
    <t>MANOR HEATH ADD</t>
  </si>
  <si>
    <t xml:space="preserve">MATTEONI REVOCABLE TRUST, CHRISTI  </t>
  </si>
  <si>
    <t xml:space="preserve">MATTEONI, CHRISTI A </t>
  </si>
  <si>
    <t>MANOR HEATH LT 13 BLK G</t>
  </si>
  <si>
    <t>1125 MOUNT ROSE ST</t>
  </si>
  <si>
    <t xml:space="preserve">WESTMONT, JODIE A &amp; SCOTT A </t>
  </si>
  <si>
    <t>1125 MT ROSE ST</t>
  </si>
  <si>
    <t xml:space="preserve">TATRO, RICHARD D &amp; MONA V </t>
  </si>
  <si>
    <t>MANOR HEATH LT 8 BLK G</t>
  </si>
  <si>
    <t>1135 MOUNT ROSE ST</t>
  </si>
  <si>
    <t xml:space="preserve">NICHOLS, MARK W &amp; JODY A </t>
  </si>
  <si>
    <t>DEWEY, JON et al</t>
  </si>
  <si>
    <t>MANOR HEATH LT 7 BLK G</t>
  </si>
  <si>
    <t>731 W PUEBLO ST</t>
  </si>
  <si>
    <t>O`BRIEN`S SOUTHBRAE ADD</t>
  </si>
  <si>
    <t xml:space="preserve">HANCOCK 1998 FAMILY TRUST  </t>
  </si>
  <si>
    <t>209 URBAN RD</t>
  </si>
  <si>
    <t xml:space="preserve">RALPHS, MARY C  </t>
  </si>
  <si>
    <t>O`BRIEN`S SOUTHBRAE ADD FR 5 6</t>
  </si>
  <si>
    <t>1411 LANDER ST</t>
  </si>
  <si>
    <t xml:space="preserve">CRITES, CARY D </t>
  </si>
  <si>
    <t>O`BRIEN`S SOUTHBRAE ADD LT 3 BLK 11</t>
  </si>
  <si>
    <t>1461 LANDER ST</t>
  </si>
  <si>
    <t xml:space="preserve">WARFIELD, JASON </t>
  </si>
  <si>
    <t>O`BRIEN`S SOUTHBRAE ADD FR LT 8 ALL LT 9 BLK 11</t>
  </si>
  <si>
    <t>395 W ARROYO ST</t>
  </si>
  <si>
    <t>PM 2440</t>
  </si>
  <si>
    <t>MITCHELL, CHRISTI S et al</t>
  </si>
  <si>
    <t xml:space="preserve">395 W ARROYO ST </t>
  </si>
  <si>
    <t xml:space="preserve">GOLDING, LEISA </t>
  </si>
  <si>
    <t>PM 2440 LT 2</t>
  </si>
  <si>
    <t>320 CALIENTE ST</t>
  </si>
  <si>
    <t>PM 3890</t>
  </si>
  <si>
    <t xml:space="preserve">MCCALEB, JONATHAN L </t>
  </si>
  <si>
    <t xml:space="preserve">MILLER, PHYLLIS M </t>
  </si>
  <si>
    <t>014-113-04</t>
  </si>
  <si>
    <t>PM 3890 LT 2</t>
  </si>
  <si>
    <t>255 W ARROYO ST</t>
  </si>
  <si>
    <t xml:space="preserve">WALSH TRUST, KATHLEEN S   </t>
  </si>
  <si>
    <t xml:space="preserve">255 ARROYO ST </t>
  </si>
  <si>
    <t>SIERRA VISTA LT 8 BLK 17</t>
  </si>
  <si>
    <t>201 W ARROYO ST</t>
  </si>
  <si>
    <t>PM 3560</t>
  </si>
  <si>
    <t xml:space="preserve">GARDNER LIVING TRUST  </t>
  </si>
  <si>
    <t>TOM W JR &amp; SUE GARDNER TRUSTEE</t>
  </si>
  <si>
    <t>014-115-10</t>
  </si>
  <si>
    <t>PM 3560 LT 2</t>
  </si>
  <si>
    <t>211 W ARROYO ST</t>
  </si>
  <si>
    <t>PM 4211</t>
  </si>
  <si>
    <t xml:space="preserve">MILOVICH, DAVID N  </t>
  </si>
  <si>
    <t>5550 VENTANA PKWY</t>
  </si>
  <si>
    <t>LAXALT, RICHARD M et al</t>
  </si>
  <si>
    <t>014-115-11</t>
  </si>
  <si>
    <t>PM 4211 LT 2</t>
  </si>
  <si>
    <t>130 CALIENTE ST</t>
  </si>
  <si>
    <t xml:space="preserve">MARMOT REOF II LLC </t>
  </si>
  <si>
    <t xml:space="preserve">1064 OXEN RD </t>
  </si>
  <si>
    <t xml:space="preserve">BATY, ALISA </t>
  </si>
  <si>
    <t>SIERRA VISTA LT 9 BLK 10</t>
  </si>
  <si>
    <t>124 CALIENTE ST</t>
  </si>
  <si>
    <t xml:space="preserve">GRULLI, ACE L </t>
  </si>
  <si>
    <t xml:space="preserve">SIERRA VISTA LT 10 FR 11 BLK 10 </t>
  </si>
  <si>
    <t>1385 HASKELL ST</t>
  </si>
  <si>
    <t>KISMET INVESTMENT PROP LLC  LLC</t>
  </si>
  <si>
    <t>7400 CENTER AVE STE 102</t>
  </si>
  <si>
    <t>92647</t>
  </si>
  <si>
    <t xml:space="preserve">BOSCACCI GROUP LLC </t>
  </si>
  <si>
    <t>SIERRA VISTA LT 1 BLK 11</t>
  </si>
  <si>
    <t>AEAQ</t>
  </si>
  <si>
    <t>221 W PUEBLO ST</t>
  </si>
  <si>
    <t>SINNOTT, JAMES P JR  et al</t>
  </si>
  <si>
    <t>SIERRA VISTA ADD LT 3 BLK 11</t>
  </si>
  <si>
    <t>1300 HASKELL ST</t>
  </si>
  <si>
    <t>SIERRA NEVADA GROUPS LLC</t>
  </si>
  <si>
    <t>11245 TORINO WAY</t>
  </si>
  <si>
    <t>SIERRA NEVADA GROUPS LLC LLC</t>
  </si>
  <si>
    <t>SIERRA VISTA N 100` LT 7 BLK 8</t>
  </si>
  <si>
    <t>50 SOUTHRIDGE DR</t>
  </si>
  <si>
    <t xml:space="preserve">LONG, CHRIS A &amp; SHERRI L  </t>
  </si>
  <si>
    <t>SOUTHRIDGE EST LT 16 BLK B</t>
  </si>
  <si>
    <t>225 SOUTHRIDGE DR</t>
  </si>
  <si>
    <t xml:space="preserve">KARADANIS, WILLIAM M &amp; CHRISTINE H  </t>
  </si>
  <si>
    <t xml:space="preserve">225 SOUTHRIDGE DR </t>
  </si>
  <si>
    <t xml:space="preserve">POOLE FAMILY TRUST  </t>
  </si>
  <si>
    <t>SOUTHRIDGE EST LT 13 BLK A</t>
  </si>
  <si>
    <t>1125 DARTMOUTH DR</t>
  </si>
  <si>
    <t xml:space="preserve">FR SW4 SW4 </t>
  </si>
  <si>
    <t xml:space="preserve">THOMPSON, JEFFREY E &amp; SARA L </t>
  </si>
  <si>
    <t xml:space="preserve">NEVIS, RICHARD </t>
  </si>
  <si>
    <t>FR SW4 SW4 SEC 14 TWP 19 RGE 19</t>
  </si>
  <si>
    <t>1695 S ARLINGTON AVE</t>
  </si>
  <si>
    <t xml:space="preserve">MARTIN, ADRIENNE A </t>
  </si>
  <si>
    <t xml:space="preserve">MINSHEW, EVE-LYN S </t>
  </si>
  <si>
    <t>FR SW4 SEC 14 TWP 19 RGE 19</t>
  </si>
  <si>
    <t>999 DARTMOUTH DR</t>
  </si>
  <si>
    <t>INTERLAKEN PARK FRAC 10 &amp; 12</t>
  </si>
  <si>
    <t>WADHAMS, JESSE et al</t>
  </si>
  <si>
    <t xml:space="preserve">GRIMES NICOLE W </t>
  </si>
  <si>
    <t xml:space="preserve">PRICHARD/BELKNAP 1998 REV TRST  </t>
  </si>
  <si>
    <t>INTERLAKEN PARK FRAC LTS 10 &amp; 12</t>
  </si>
  <si>
    <t>501 KOEHLEPP AVE</t>
  </si>
  <si>
    <t xml:space="preserve">BREEN, DONNA  </t>
  </si>
  <si>
    <t>PO BOX 1482</t>
  </si>
  <si>
    <t>FR SE4 SE4 SEC 14 TWP 19 RGE 19</t>
  </si>
  <si>
    <t>479 W PLUMB LN</t>
  </si>
  <si>
    <t>ARLINGTON PARK</t>
  </si>
  <si>
    <t xml:space="preserve">LANGTON, NICHOLAS </t>
  </si>
  <si>
    <t>343 URBAN RD</t>
  </si>
  <si>
    <t>014-201-17</t>
  </si>
  <si>
    <t>ARLINGTON PARK LT 11 BLK A</t>
  </si>
  <si>
    <t>470 W PUEBLO ST</t>
  </si>
  <si>
    <t xml:space="preserve">COLLINS TRUST, SUSAN MURRAY  </t>
  </si>
  <si>
    <t>506 MCDONALD DR</t>
  </si>
  <si>
    <t>SIERRA VISTA TRACT LT 9 BLK 22</t>
  </si>
  <si>
    <t>441 MOUNT ROSE ST</t>
  </si>
  <si>
    <t>SIERRA VISTA FR</t>
  </si>
  <si>
    <t xml:space="preserve">WILCOX, BOISE </t>
  </si>
  <si>
    <t>441 MT ROSE ST</t>
  </si>
  <si>
    <t>SIERRA VISTA FR LT 3 BLK 22</t>
  </si>
  <si>
    <t>475 ARDMORE DR</t>
  </si>
  <si>
    <t xml:space="preserve">COX, HELEN L </t>
  </si>
  <si>
    <t>141 APPLE LN</t>
  </si>
  <si>
    <t>LOS BANOS</t>
  </si>
  <si>
    <t>93635</t>
  </si>
  <si>
    <t>SOUTHLAND HTS  LT 22 BLK A</t>
  </si>
  <si>
    <t>476 ARDMORE DR</t>
  </si>
  <si>
    <t xml:space="preserve">WIKLER, REBECCA L  </t>
  </si>
  <si>
    <t xml:space="preserve">476 ARDMORE DR </t>
  </si>
  <si>
    <t xml:space="preserve">SOUTHLAND HEIGHTS LT 3 BLK G </t>
  </si>
  <si>
    <t>1660 PLUMAS ST</t>
  </si>
  <si>
    <t>SOUTHLAND HTS SUB DIV</t>
  </si>
  <si>
    <t xml:space="preserve">AKINS, BILLIE J </t>
  </si>
  <si>
    <t xml:space="preserve">GILL, DANIEL J </t>
  </si>
  <si>
    <t>SOUTHLAND HTS SUB DIV LOT 14 BLK G</t>
  </si>
  <si>
    <t>1656 KNOX AVE</t>
  </si>
  <si>
    <t xml:space="preserve">MUNIZZA, DAVID  </t>
  </si>
  <si>
    <t xml:space="preserve">1656 KNOX AVE </t>
  </si>
  <si>
    <t>BEAL, LONNIE L et al</t>
  </si>
  <si>
    <t>SOUTHLAND HEIGHTS LT 18 BLK E</t>
  </si>
  <si>
    <t>1655 ORDWAY AVE</t>
  </si>
  <si>
    <t xml:space="preserve">SVENDSEN, TIMOTHY B </t>
  </si>
  <si>
    <t>SOUTHLAND HEIGHTS LT 13 BLK D</t>
  </si>
  <si>
    <t>1616 WATT ST</t>
  </si>
  <si>
    <t xml:space="preserve">SPARK-STAHL, GEORGE E </t>
  </si>
  <si>
    <t>61616 WATT ST</t>
  </si>
  <si>
    <t>SCHWEICKERT, TIFFANY L et al</t>
  </si>
  <si>
    <t>SOUTHLAND HEIGHTS LT 4 BLK D</t>
  </si>
  <si>
    <t>1617 OAKHURST AVE</t>
  </si>
  <si>
    <t xml:space="preserve">SCHMIDT 2006 FAMILY TRUST, GERRITT V D &amp; DENA N   </t>
  </si>
  <si>
    <t xml:space="preserve">2045 MEADOWVIEW LN </t>
  </si>
  <si>
    <t>COPADO, ANGEL R  et al</t>
  </si>
  <si>
    <t>SOUTHLAND HEIGHTS LT 3 BLK C</t>
  </si>
  <si>
    <t>1622 ORDWAY AVE</t>
  </si>
  <si>
    <t xml:space="preserve">HARMON, JACOB </t>
  </si>
  <si>
    <t xml:space="preserve">KOLBET FAMILY TRUST  </t>
  </si>
  <si>
    <t>SOUTHLAND HEIGHTS LT 6 BLK C</t>
  </si>
  <si>
    <t>1643 LAKESIDE DR</t>
  </si>
  <si>
    <t>HILL, FLORENCE L  et al</t>
  </si>
  <si>
    <t>4823 CHARLOTTE WAY</t>
  </si>
  <si>
    <t xml:space="preserve">BOL HOLDINGS LLC </t>
  </si>
  <si>
    <t>SOUTHLAND HEIGHTS LT 9 BLK B</t>
  </si>
  <si>
    <t>250 GLENMANOR DR</t>
  </si>
  <si>
    <t xml:space="preserve">DE LOS SANTOS, WASHINGTON E </t>
  </si>
  <si>
    <t>SOUTHLAND HEIGHTS LT 3 BLK H</t>
  </si>
  <si>
    <t>255 W PLUMB LN</t>
  </si>
  <si>
    <t xml:space="preserve">O`CONNOR, TARA L  </t>
  </si>
  <si>
    <t xml:space="preserve">SILVAS, HARRY A &amp; ESTELA M </t>
  </si>
  <si>
    <t>RAMSEY LT 7 BLK A</t>
  </si>
  <si>
    <t>305 W PLUMB LN</t>
  </si>
  <si>
    <t>PARKER, CODY J BUYER</t>
  </si>
  <si>
    <t xml:space="preserve">INTO HOMES FOUNDATION TRUST  </t>
  </si>
  <si>
    <t>RAMSEY LT 5 BLK A</t>
  </si>
  <si>
    <t>423 W PLUMB LN</t>
  </si>
  <si>
    <t>SOUTHWEST PROFESSIONAL CTR</t>
  </si>
  <si>
    <t xml:space="preserve">GREATHOUSE, KAREN S </t>
  </si>
  <si>
    <t>SOUTHWEST PROFESSIONAL CTR LT 11 BLK A</t>
  </si>
  <si>
    <t>AEFP</t>
  </si>
  <si>
    <t>595 MARGRAVE DR</t>
  </si>
  <si>
    <t xml:space="preserve">LIZAOLA, ISIDRO </t>
  </si>
  <si>
    <t xml:space="preserve">NORRIS, SCOTT </t>
  </si>
  <si>
    <t>SIERRA MEADOWS LT 10 BLK C</t>
  </si>
  <si>
    <t>575 MARGRAVE DR</t>
  </si>
  <si>
    <t xml:space="preserve">COX, MICHAEL W </t>
  </si>
  <si>
    <t xml:space="preserve">BALL, MICHAEL J SR </t>
  </si>
  <si>
    <t>SIERRA MEADOWS LT 8 BLK C</t>
  </si>
  <si>
    <t>SIERRA MEADOWS LT 6 BLK C</t>
  </si>
  <si>
    <t>525 MARGRAVE DR</t>
  </si>
  <si>
    <t xml:space="preserve">MANHA FAMILY TRUST, FERN  </t>
  </si>
  <si>
    <t>675 MONGOLO DR</t>
  </si>
  <si>
    <t xml:space="preserve">SAULNIER, NORMAN D </t>
  </si>
  <si>
    <t>SIERRA MEADOWS LT 3 BLK C</t>
  </si>
  <si>
    <t>510 MARGRAVE DR</t>
  </si>
  <si>
    <t xml:space="preserve">PRENTICE, MIKE A &amp; KIM D </t>
  </si>
  <si>
    <t>SIERRA MEADOWS LT 2 BLK D</t>
  </si>
  <si>
    <t>520 MARGRAVE DR</t>
  </si>
  <si>
    <t xml:space="preserve">BAHENA, YANET </t>
  </si>
  <si>
    <t>SIERRA MEADOWS LT 3 BLK D</t>
  </si>
  <si>
    <t>560 MARGRAVE DR</t>
  </si>
  <si>
    <t xml:space="preserve">DANSIE, CHRISTINA A  </t>
  </si>
  <si>
    <t xml:space="preserve">560 MARGRAVE DR </t>
  </si>
  <si>
    <t>SIERRA MEADOWS LT 7 BLK D</t>
  </si>
  <si>
    <t>595 APPLE ST</t>
  </si>
  <si>
    <t xml:space="preserve">AVILA-NAVARRO, NOE </t>
  </si>
  <si>
    <t xml:space="preserve">595 APPLE ST </t>
  </si>
  <si>
    <t>JC GEMINI LLC  LLC</t>
  </si>
  <si>
    <t>SIERRA MEADOWS LT 20 BLK D</t>
  </si>
  <si>
    <t>535 APPLE ST</t>
  </si>
  <si>
    <t xml:space="preserve">MILKE, CURT </t>
  </si>
  <si>
    <t xml:space="preserve">CHAVEZ, FIDEL C </t>
  </si>
  <si>
    <t>SIERRA MEADOWS LT 14 BLK D</t>
  </si>
  <si>
    <t>2330 S VIRGINIA ST</t>
  </si>
  <si>
    <t>ATTN: R/E TAX DEPT</t>
  </si>
  <si>
    <t>2800 EAST LAKE ST</t>
  </si>
  <si>
    <t xml:space="preserve">MINNEAPOLIS </t>
  </si>
  <si>
    <t>FR NW4 SEC 24 RGE 19 TWP 19</t>
  </si>
  <si>
    <t>520 APPLE ST</t>
  </si>
  <si>
    <t>SIERRA MEADOWS ANNEX</t>
  </si>
  <si>
    <t xml:space="preserve">CARDNO, ROBERT M  </t>
  </si>
  <si>
    <t xml:space="preserve">1540 BONITA AVE </t>
  </si>
  <si>
    <t xml:space="preserve">BERKELEY </t>
  </si>
  <si>
    <t xml:space="preserve">BENBOW, PATRICK </t>
  </si>
  <si>
    <t>SIERRA MEADOWS ANNEX LT 3 BLK A</t>
  </si>
  <si>
    <t>2357 YORI AVE</t>
  </si>
  <si>
    <t>FR N2 SEC 24 TWP 19 RGE 19</t>
  </si>
  <si>
    <t>2265 HARVARD WAY</t>
  </si>
  <si>
    <t>PM 3744</t>
  </si>
  <si>
    <t xml:space="preserve">BURGEONING GROUP LLC  </t>
  </si>
  <si>
    <t xml:space="preserve">460 HAYBALE </t>
  </si>
  <si>
    <t xml:space="preserve">HURLEY PROPERTIES LLC  </t>
  </si>
  <si>
    <t>015-301-41</t>
  </si>
  <si>
    <t>PM 3744 LT B2A</t>
  </si>
  <si>
    <t>2285 HARVARD WAY</t>
  </si>
  <si>
    <t xml:space="preserve">LEWIS INVESTMENT LLC </t>
  </si>
  <si>
    <t xml:space="preserve">NEV-IDA PROPERTY INVESTMENTS </t>
  </si>
  <si>
    <t>PM 3744 LT B2B</t>
  </si>
  <si>
    <t xml:space="preserve">WHITE LIVING TRUST  </t>
  </si>
  <si>
    <t>3983 S MCCARRAN BLVD STE 245</t>
  </si>
  <si>
    <t xml:space="preserve">WHITE, WARREN J JR &amp; ANNETTE C </t>
  </si>
  <si>
    <t>SIERRA CEDARS AMD LT 97 BLK 4</t>
  </si>
  <si>
    <t>2241 KIETZKE LN</t>
  </si>
  <si>
    <t xml:space="preserve">LOPEZ, LILI LOPEZ </t>
  </si>
  <si>
    <t>2241 KIETZKE LN UNIT F</t>
  </si>
  <si>
    <t xml:space="preserve">DIETZEL FAMILY TRUST  </t>
  </si>
  <si>
    <t>SIERRA CEDARS AMD LT 153 BLK 3</t>
  </si>
  <si>
    <t xml:space="preserve">MCKINNEY, MICHELLE C R  </t>
  </si>
  <si>
    <t>SIERRA CEDARS AMD LT 150 BLK 2</t>
  </si>
  <si>
    <t xml:space="preserve">BIRKE, SVITLANA </t>
  </si>
  <si>
    <t>2169 KIETZKE LN UNIT E</t>
  </si>
  <si>
    <t>SIERRA CEDARS AMD LT 138 BLK 2</t>
  </si>
  <si>
    <t>2185 KIETZKE LN</t>
  </si>
  <si>
    <t xml:space="preserve">SMITH 2009 LIVINGTRUST  </t>
  </si>
  <si>
    <t>SIERRA CEDARS AMD LT 59 BLK 2</t>
  </si>
  <si>
    <t>2197 KIETZKE LN</t>
  </si>
  <si>
    <t>RHOADES, BRANDON  et al</t>
  </si>
  <si>
    <t>2197 KIETZKE LN STE F</t>
  </si>
  <si>
    <t>SIERRA CEDARS AMD LT 33 BLK 2</t>
  </si>
  <si>
    <t>2201 KIETZKE LN</t>
  </si>
  <si>
    <t xml:space="preserve">SMITH, DAVID S </t>
  </si>
  <si>
    <t>SIERRA CEDARS AMD LT 11A BLK 1</t>
  </si>
  <si>
    <t>2213 KIETZKE LN</t>
  </si>
  <si>
    <t xml:space="preserve">ROZO, YENNY M </t>
  </si>
  <si>
    <t>1479 S WELLS AVE # 11</t>
  </si>
  <si>
    <t xml:space="preserve">NECHAK, DAVID C </t>
  </si>
  <si>
    <t>SIERRA CEDARS AMD LT 27 BLK 1</t>
  </si>
  <si>
    <t>SIERRA CEDARS AMD LT 95 BLK 3</t>
  </si>
  <si>
    <t>2193 KIETZKE LN</t>
  </si>
  <si>
    <t xml:space="preserve">9405 SAN MARCOS RD </t>
  </si>
  <si>
    <t xml:space="preserve">ATASCADERO </t>
  </si>
  <si>
    <t>SIERRA CEDARS AMD LT 44 BLK 2</t>
  </si>
  <si>
    <t xml:space="preserve">LANDON, JOSEPH R </t>
  </si>
  <si>
    <t>PO BOX 1711</t>
  </si>
  <si>
    <t>TRAVIS AFB</t>
  </si>
  <si>
    <t>94535</t>
  </si>
  <si>
    <t>SIERRA CEDARS AMD LT 10 BLK 1</t>
  </si>
  <si>
    <t>2209 KIETZKE LN</t>
  </si>
  <si>
    <t xml:space="preserve">PATON, ROGER SCOTT </t>
  </si>
  <si>
    <t>PO BOX 280944</t>
  </si>
  <si>
    <t>SIERRA CEDARS AMD LT 18 BLK 1</t>
  </si>
  <si>
    <t>KARA MIA CONDO 1 LT 13 BLK A</t>
  </si>
  <si>
    <t>KARA MIA CONDO 1 LT 25 BLK A</t>
  </si>
  <si>
    <t>555 KEATS CIR</t>
  </si>
  <si>
    <t>KARA MIA CONDO 1 LT 35 BLK A</t>
  </si>
  <si>
    <t xml:space="preserve">TRONE, MADELEINE S &amp; MONTY W </t>
  </si>
  <si>
    <t>KARA MIA CONDO 1 LT 36 BLK A</t>
  </si>
  <si>
    <t>CAIN, RHONDA et al</t>
  </si>
  <si>
    <t>KARA MIA CONDO 1 LT 39 BLK A</t>
  </si>
  <si>
    <t xml:space="preserve">GUO, MING </t>
  </si>
  <si>
    <t>824 PAT LN</t>
  </si>
  <si>
    <t>KARA MIA CONDO 1 LT 43 BLK A</t>
  </si>
  <si>
    <t>14115 SAGE HILL RD</t>
  </si>
  <si>
    <t>PIONEER PARKWAY HOLDING CO LLC</t>
  </si>
  <si>
    <t>1380 GREG ST STE 231</t>
  </si>
  <si>
    <t xml:space="preserve">KARADANIS GEORGE R PTSP </t>
  </si>
  <si>
    <t>016-410-01</t>
  </si>
  <si>
    <t>FR SE4 SW4 SEC 21 TWP 18 RGE 20</t>
  </si>
  <si>
    <t>EDBF</t>
  </si>
  <si>
    <t>14100 SAGE HILL RD</t>
  </si>
  <si>
    <t>016-410-02</t>
  </si>
  <si>
    <t xml:space="preserve"> SUTHERLAND LN</t>
  </si>
  <si>
    <t>016-410-18</t>
  </si>
  <si>
    <t>FR SW4 SEC 21 TWP 18 RGE 20</t>
  </si>
  <si>
    <t>13905 RANCHO VERDE DR</t>
  </si>
  <si>
    <t>VIRGINIA FOOTHILLS 5</t>
  </si>
  <si>
    <t xml:space="preserve">SCHREIBER, KEVIN E &amp; MAUREEN A </t>
  </si>
  <si>
    <t>VIRGINIA FOOTHILLS 5 LT H"A" BLK H</t>
  </si>
  <si>
    <t>13815 RANCHEROS DR</t>
  </si>
  <si>
    <t>VIRGINIA FOOTHILLS UNIT 2</t>
  </si>
  <si>
    <t xml:space="preserve">OAKS, MATTHEW G </t>
  </si>
  <si>
    <t xml:space="preserve">13815 RANCHEROS DR </t>
  </si>
  <si>
    <t>VIRGINIA FOOTHILLS UT 2 LT 6 BLK G</t>
  </si>
  <si>
    <t>14410 RANCHEROS DR</t>
  </si>
  <si>
    <t xml:space="preserve">WADDLE , CHRISTOPHER M  </t>
  </si>
  <si>
    <t xml:space="preserve">MCCARTHY, JAMES R SR &amp; NANCY JO </t>
  </si>
  <si>
    <t>VIRGINIA FOOTHILLS 2 LT 2 BLK E</t>
  </si>
  <si>
    <t>14185 VIRGINIA FOOTHILLS DR</t>
  </si>
  <si>
    <t xml:space="preserve">ELFVING, METTE H </t>
  </si>
  <si>
    <t xml:space="preserve">ELLSWORTH, KATHERINE </t>
  </si>
  <si>
    <t>VIRGINIA FOOTHILLS 3 LT 37 BLK D</t>
  </si>
  <si>
    <t>14230 VIRGINIA FOOTHILLS DR</t>
  </si>
  <si>
    <t xml:space="preserve">HOLLINGER, PATRICK </t>
  </si>
  <si>
    <t xml:space="preserve">SEXTON, BESSIE T </t>
  </si>
  <si>
    <t>VIRGINIA FOOTHILLS UNIT 3 LT 29 BLK H</t>
  </si>
  <si>
    <t xml:space="preserve">LOFFSWOLD LIVING TRUST, DAVID M &amp; GLORIA A  </t>
  </si>
  <si>
    <t>14755 RANCHEROS DR</t>
  </si>
  <si>
    <t xml:space="preserve">ANDREWS, KENNETH T </t>
  </si>
  <si>
    <t>VIRGINIA FOOTHILLS 2  LT 2  BLK C</t>
  </si>
  <si>
    <t>14740 CHAMY DR</t>
  </si>
  <si>
    <t xml:space="preserve">RICHTER, CRAIG R &amp; BECKIE A </t>
  </si>
  <si>
    <t xml:space="preserve">HORNTVEDT, MICHAEL K </t>
  </si>
  <si>
    <t>VIRGINIA FOOTHILLS 4 LT 35 BLK C</t>
  </si>
  <si>
    <t>14455 RANCHEROS DR</t>
  </si>
  <si>
    <t>VIRGINIA FOOTHILLS UT 2</t>
  </si>
  <si>
    <t xml:space="preserve">PETRILLA, DAVID </t>
  </si>
  <si>
    <t>PO BOX 6931</t>
  </si>
  <si>
    <t>VIRGINIA FOOTHILLS UT 2 LT 19 BLK C</t>
  </si>
  <si>
    <t>14750 RIM ROCK DR</t>
  </si>
  <si>
    <t xml:space="preserve">JOHNSTON, STEPHEN D &amp; KERRY </t>
  </si>
  <si>
    <t>TYLER PROPERTIES LLC  LLC</t>
  </si>
  <si>
    <t>FR SE4 OF SE4 SEC 27 TWP 18 RGE 20</t>
  </si>
  <si>
    <t>14776 PINE KNOLLS LN</t>
  </si>
  <si>
    <t xml:space="preserve">NGUYEN, KY VAN &amp; THOM  </t>
  </si>
  <si>
    <t xml:space="preserve">2245 SNOWMASS DR </t>
  </si>
  <si>
    <t>FR SE4 SEC 27 TWP 18 RGE 20</t>
  </si>
  <si>
    <t>1540 STATE ROUTE 341</t>
  </si>
  <si>
    <t xml:space="preserve">COKER, RANDALL A &amp; ELMIRA </t>
  </si>
  <si>
    <t>2240 CANNONBALL</t>
  </si>
  <si>
    <t>FR SW4 SE4 SEC 27 TWP 18 RGE 20</t>
  </si>
  <si>
    <t>1429 SIOUX TRL</t>
  </si>
  <si>
    <t xml:space="preserve">BROWN, ERIK &amp; MELISSA </t>
  </si>
  <si>
    <t xml:space="preserve">METCALFE, LORETTA S </t>
  </si>
  <si>
    <t>VIRGINIA FOOTHILLS 6 LT 3 BLK O</t>
  </si>
  <si>
    <t>14355 SITTING BULL CIR</t>
  </si>
  <si>
    <t>IPSEN, CHRISTOPHER G et al</t>
  </si>
  <si>
    <t xml:space="preserve">NIPP, MARK D </t>
  </si>
  <si>
    <t>VIRGINIA FOOTHILLS 6 LT 3 BLK P</t>
  </si>
  <si>
    <t>13780 COCHISE DR</t>
  </si>
  <si>
    <t xml:space="preserve">PIETERS, JOSUA C &amp; MARJOELIN </t>
  </si>
  <si>
    <t xml:space="preserve">SHIREY, FLOYD A &amp; DONNA J </t>
  </si>
  <si>
    <t>VIRGINIA FOOTHILLS UNIT 6 LOT 16</t>
  </si>
  <si>
    <t>13895 KEWANNA TRL</t>
  </si>
  <si>
    <t xml:space="preserve">BRUMBERGER, LARRY S &amp; SUGGIE G  </t>
  </si>
  <si>
    <t xml:space="preserve">13895 KAWANA TRAIL </t>
  </si>
  <si>
    <t>SMITH, STEPHEN C et al</t>
  </si>
  <si>
    <t>VIRGINIA FOOTHILLS #6 LT 3 BLK N</t>
  </si>
  <si>
    <t>100 SHELTER CT</t>
  </si>
  <si>
    <t xml:space="preserve">SORENSON, CAMERON W &amp; PAMELA J  </t>
  </si>
  <si>
    <t xml:space="preserve">SPRINGER, MICHAEL B &amp; TINA M </t>
  </si>
  <si>
    <t>CURTI RANCH 1 LT 11 BLK A</t>
  </si>
  <si>
    <t>15125 WESTERN SPRINGS DR</t>
  </si>
  <si>
    <t>COMSTOCK ESTATES UNIT 1</t>
  </si>
  <si>
    <t xml:space="preserve">ROBERTSON, THOMAS &amp; DIANE M </t>
  </si>
  <si>
    <t xml:space="preserve">HORSTMAN, RUBIN </t>
  </si>
  <si>
    <t>COMSTOCK ESTATES 1 LT 1 BLK B</t>
  </si>
  <si>
    <t>1465 KING LN</t>
  </si>
  <si>
    <t>BECKER, MICHAEL A et al</t>
  </si>
  <si>
    <t>1595 GEIGER GRADE RD</t>
  </si>
  <si>
    <t>PM 4426</t>
  </si>
  <si>
    <t xml:space="preserve">ADAMS, ROY A &amp; LESLIE G  </t>
  </si>
  <si>
    <t>14100 SADDLEBOW DR</t>
  </si>
  <si>
    <t>017-055-30</t>
  </si>
  <si>
    <t>PM 4426 LT 1</t>
  </si>
  <si>
    <t>EDCQ</t>
  </si>
  <si>
    <t>15235 KIVETT LN</t>
  </si>
  <si>
    <t xml:space="preserve">ALLEN FAMILY TRUST, CATHERINE   </t>
  </si>
  <si>
    <t xml:space="preserve">WARJABEDIAN , ADRIANO L &amp; TATIANA S </t>
  </si>
  <si>
    <t>15110 KIVETT LN</t>
  </si>
  <si>
    <t xml:space="preserve">BASSOW, TOM </t>
  </si>
  <si>
    <t xml:space="preserve">PRICE, DEANNA J </t>
  </si>
  <si>
    <t>1770 MOON LN</t>
  </si>
  <si>
    <t>FR N2 NE4</t>
  </si>
  <si>
    <t xml:space="preserve">ORTON, CHRISTOPHER A </t>
  </si>
  <si>
    <t xml:space="preserve">MOON, BERTHA M </t>
  </si>
  <si>
    <t>FR N2 NE4  SEC 34 TWP 18 RGE 20</t>
  </si>
  <si>
    <t>1465 HOT SPRINGS RD</t>
  </si>
  <si>
    <t xml:space="preserve">PRESSE, WILLIAM L IV </t>
  </si>
  <si>
    <t xml:space="preserve">BING TRUST , D GERALD JR   </t>
  </si>
  <si>
    <t>1180 NEW PASS RD</t>
  </si>
  <si>
    <t>PM 160</t>
  </si>
  <si>
    <t xml:space="preserve">WYATT, MARK &amp; JANICE </t>
  </si>
  <si>
    <t>PM 160  LT A</t>
  </si>
  <si>
    <t>15435 SYLVESTER RD</t>
  </si>
  <si>
    <t>PM 476</t>
  </si>
  <si>
    <t xml:space="preserve">CORSON, DANA &amp; MISTY </t>
  </si>
  <si>
    <t xml:space="preserve">PAVEY, PETER J </t>
  </si>
  <si>
    <t>PM 476 LT D</t>
  </si>
  <si>
    <t>15280 STARR GROVE WAY</t>
  </si>
  <si>
    <t xml:space="preserve">JONES TRUST, LINDA L  </t>
  </si>
  <si>
    <t>LINDA L JONES TRUSTEE</t>
  </si>
  <si>
    <t>15385 KIVETT LN</t>
  </si>
  <si>
    <t xml:space="preserve">OTT, DONALD B </t>
  </si>
  <si>
    <t>FRAC SW4 OF NE4</t>
  </si>
  <si>
    <t>15570 SYLVESTER RD</t>
  </si>
  <si>
    <t>PM 621</t>
  </si>
  <si>
    <t xml:space="preserve">BRYAN, TIMOTHY &amp; ARLYN  </t>
  </si>
  <si>
    <t xml:space="preserve">COLKITT-LUPOLD TRUST  </t>
  </si>
  <si>
    <t>PARCEL C PARCEL MAP 621</t>
  </si>
  <si>
    <t>15385 BONANZA LN</t>
  </si>
  <si>
    <t>KOVACS, ALEXANDRU et al</t>
  </si>
  <si>
    <t xml:space="preserve">VALDERRAMA, MARIA L </t>
  </si>
  <si>
    <t xml:space="preserve">PM 621 LT D </t>
  </si>
  <si>
    <t>15687 COPPER CANYON DR</t>
  </si>
  <si>
    <t xml:space="preserve">RAACK, KEVIN D &amp; TELE </t>
  </si>
  <si>
    <t>6469 MEADOW HILL DR</t>
  </si>
  <si>
    <t xml:space="preserve">BITTNER TRUST, JANET  </t>
  </si>
  <si>
    <t>15750 TOLL RD</t>
  </si>
  <si>
    <t xml:space="preserve">MOHR, JOHN T </t>
  </si>
  <si>
    <t>325 W UTAH AVE</t>
  </si>
  <si>
    <t>TOOELE</t>
  </si>
  <si>
    <t xml:space="preserve">GARCIA, PATRICIA </t>
  </si>
  <si>
    <t>FR SW4 NE4 SE4  SEC 34 TWP 18 RGE 20</t>
  </si>
  <si>
    <t>15570 PINION DR</t>
  </si>
  <si>
    <t>FR NW4 NE4 SE4</t>
  </si>
  <si>
    <t xml:space="preserve">HUNT, SYLVIA W  </t>
  </si>
  <si>
    <t xml:space="preserve">15570 PINION DR </t>
  </si>
  <si>
    <t>FR NW4 NE4 SE4 SEC 34 TWP 18 RGE 20</t>
  </si>
  <si>
    <t>1805 TEMPLE HILL RD</t>
  </si>
  <si>
    <t>WALKER, WILLIAM E BUYER</t>
  </si>
  <si>
    <t>4990 S VIRGINIA ST</t>
  </si>
  <si>
    <t xml:space="preserve">ELLIOTT, SANDRA L </t>
  </si>
  <si>
    <t>E 1/3 W 3/5 S2 NW4 NE4 SE4 SEC 34 TWP 18 RGE 20</t>
  </si>
  <si>
    <t>1865 TEMPLE HILL RD</t>
  </si>
  <si>
    <t xml:space="preserve">WALKER, ROMUALDO E  </t>
  </si>
  <si>
    <t xml:space="preserve">PO BOX 11962                            </t>
  </si>
  <si>
    <t>1660 BIG SMOKEY DR</t>
  </si>
  <si>
    <t>PM 2877</t>
  </si>
  <si>
    <t xml:space="preserve">MOOSBRUGGER, BERT J </t>
  </si>
  <si>
    <t xml:space="preserve">STALLONE, CARL J JR &amp; AMY L </t>
  </si>
  <si>
    <t>017-211-03</t>
  </si>
  <si>
    <t>PM 2877 LT B</t>
  </si>
  <si>
    <t>1640 BIG SMOKEY DR</t>
  </si>
  <si>
    <t>PM 4419</t>
  </si>
  <si>
    <t xml:space="preserve">TUCEY, MICHAEL R </t>
  </si>
  <si>
    <t xml:space="preserve">BAKER FAMILY TRUST, S K  </t>
  </si>
  <si>
    <t>RS 4419 LT 101</t>
  </si>
  <si>
    <t>16290 RHYOLITE CIR</t>
  </si>
  <si>
    <t xml:space="preserve">GONZALEZ, ALFREDO </t>
  </si>
  <si>
    <t>STEAMBOAT SPRINGS #1 LT 21 BLK C</t>
  </si>
  <si>
    <t>16125 RHYOLITE CIR</t>
  </si>
  <si>
    <t xml:space="preserve">MCDOWELL, SPENCER L </t>
  </si>
  <si>
    <t>STEAMBOAT SPRINGS EST 1 LT 41 BLK A</t>
  </si>
  <si>
    <t>16085 RHYOLITE CIR</t>
  </si>
  <si>
    <t xml:space="preserve">LAUSE, TIMOTHY </t>
  </si>
  <si>
    <t>STEAMBOAT SPRINGS EST 2 LT 3 BLK D</t>
  </si>
  <si>
    <t>16405 RHYOLITE CIR</t>
  </si>
  <si>
    <t xml:space="preserve">READING , GAIL  </t>
  </si>
  <si>
    <t>18 GREENBRAE DR</t>
  </si>
  <si>
    <t>STEAMBOAT SPRINGS EST 1 LT 17 BLK B</t>
  </si>
  <si>
    <t>235 ZIRCON DR</t>
  </si>
  <si>
    <t xml:space="preserve">GUTIERREZ, NICOLAS  </t>
  </si>
  <si>
    <t xml:space="preserve">235 ZIRCON DR </t>
  </si>
  <si>
    <t xml:space="preserve">NOEL, LEWIS </t>
  </si>
  <si>
    <t>STEAMBOAT SPRINGS ESTS 3 LT 6 BLK B</t>
  </si>
  <si>
    <t>15085 RHYOLITE CIR</t>
  </si>
  <si>
    <t xml:space="preserve">PITTS, PETE </t>
  </si>
  <si>
    <t>STEAMBOAT SPRINGS EST 2  LT 13  BLK D</t>
  </si>
  <si>
    <t>16030 TOURMALINE DR</t>
  </si>
  <si>
    <t>STEAMBOAT SPRINGS EST 3 LT 18 BLK E</t>
  </si>
  <si>
    <t>15000 PERLITE DR</t>
  </si>
  <si>
    <t xml:space="preserve">GOMEZ, VIRNA L P </t>
  </si>
  <si>
    <t>STEAMBOAT SPRINGS ESTS 3 LT 9 BLK E</t>
  </si>
  <si>
    <t>14030 PERLITE DR</t>
  </si>
  <si>
    <t>HUERSTEL, TERESE G  et al</t>
  </si>
  <si>
    <t xml:space="preserve">DOUGLAS GARY A </t>
  </si>
  <si>
    <t xml:space="preserve">13570 GOLD RUN DR </t>
  </si>
  <si>
    <t>STEAMBOAT SPRINGS EST UT 3 LT 3 BLK E</t>
  </si>
  <si>
    <t>14087 RHYOLITE CIR</t>
  </si>
  <si>
    <t xml:space="preserve">MUELLER, MARCI </t>
  </si>
  <si>
    <t xml:space="preserve">14087 RHYOLITE CT </t>
  </si>
  <si>
    <t>STEAMBOAT SPRINGS EST 3 LT 24 BLK D</t>
  </si>
  <si>
    <t>67 ZIRCON DR</t>
  </si>
  <si>
    <t xml:space="preserve">FLINT, DOUG D &amp; VIOLA M  </t>
  </si>
  <si>
    <t>STEAMBOAT SPRINGS ESTS 3 LT 2 BLK F</t>
  </si>
  <si>
    <t>15077 LIMONITE CT</t>
  </si>
  <si>
    <t xml:space="preserve">KIZER, RANDY W &amp; TRINA </t>
  </si>
  <si>
    <t>STEAMBOAT SPRINGS EST 3 LT 19 BLK F</t>
  </si>
  <si>
    <t>14035 PERLITE DR</t>
  </si>
  <si>
    <t>SKAGGS, JEFFREY L &amp; SHANNON  et al</t>
  </si>
  <si>
    <t xml:space="preserve">14035 PERLITE DR </t>
  </si>
  <si>
    <t xml:space="preserve">CASAS, MASON &amp; MEGAN </t>
  </si>
  <si>
    <t>STEAMBOAT SPRINGS EST 3 LT 4 BLK H</t>
  </si>
  <si>
    <t>14640 TOLL RD</t>
  </si>
  <si>
    <t>PM 782</t>
  </si>
  <si>
    <t>GOSHOW, JOHN et al</t>
  </si>
  <si>
    <t>WARREN ROZANA L</t>
  </si>
  <si>
    <t>21480 DELTA DR</t>
  </si>
  <si>
    <t xml:space="preserve">STEINHARDT, THOMAS B &amp; LINDA S </t>
  </si>
  <si>
    <t>PM 782 LT C</t>
  </si>
  <si>
    <t>430 MIRA ST</t>
  </si>
  <si>
    <t>VIA BIANCA MH EST 1</t>
  </si>
  <si>
    <t xml:space="preserve">CRANMER, KATHLEEN </t>
  </si>
  <si>
    <t xml:space="preserve">TURNBULL, MARYANN </t>
  </si>
  <si>
    <t>VIA BIANCA MH EST 1 LT 14 BLK A</t>
  </si>
  <si>
    <t>335 CAPELLA DR</t>
  </si>
  <si>
    <t xml:space="preserve">PARLANE, GEOFFREY K &amp; JENNIFER </t>
  </si>
  <si>
    <t>4679 GOLD STRIKE CT</t>
  </si>
  <si>
    <t xml:space="preserve">PHIPPS FAMILY TRUST  </t>
  </si>
  <si>
    <t>VIA BIANCA MH EST 1 LT 4 BLK C</t>
  </si>
  <si>
    <t>15080 VEGA ST</t>
  </si>
  <si>
    <t xml:space="preserve">HYBARGER, RONALD P &amp; LINDA G </t>
  </si>
  <si>
    <t xml:space="preserve">BROOKS, DAVID S  </t>
  </si>
  <si>
    <t>VIA BIANCA MH EST 2 LT 2 BLK D</t>
  </si>
  <si>
    <t>360 SCORPIO CIR</t>
  </si>
  <si>
    <t xml:space="preserve">BAUER, TIMOTHY D  </t>
  </si>
  <si>
    <t xml:space="preserve">AHLER, ADAM J </t>
  </si>
  <si>
    <t>VIA BIANCA MH EST 1 LT 15 BLK J</t>
  </si>
  <si>
    <t>155 ARIES CIR</t>
  </si>
  <si>
    <t xml:space="preserve">PRUITT, LOIS C </t>
  </si>
  <si>
    <t>VIA BIANCA MH EST 2 LT 21 BLK D</t>
  </si>
  <si>
    <t xml:space="preserve">BERNACCHI, GLORIA E </t>
  </si>
  <si>
    <t>320 SATURN CIR</t>
  </si>
  <si>
    <t>TROY, MICHAEL J et al</t>
  </si>
  <si>
    <t xml:space="preserve">KIRN FAMILY TRUST  </t>
  </si>
  <si>
    <t>VIA BIANCA MH  2 LT 29 BLK J</t>
  </si>
  <si>
    <t>115 GEMINI CIR</t>
  </si>
  <si>
    <t xml:space="preserve">EDWARDS, REVON &amp; NOEL </t>
  </si>
  <si>
    <t>155 GEMINI CIR</t>
  </si>
  <si>
    <t xml:space="preserve">JONES, JENNIFER E </t>
  </si>
  <si>
    <t>VIA BIANCA MH EST 2 LT 56 BLK D</t>
  </si>
  <si>
    <t>290 NEILSON RD</t>
  </si>
  <si>
    <t>ROSENBAUM, HERSHEL et al</t>
  </si>
  <si>
    <t>BEKKEN MARIJKE L</t>
  </si>
  <si>
    <t>132 ANDREW LANE</t>
  </si>
  <si>
    <t>INDYMAC VENTURE LLC  LLC</t>
  </si>
  <si>
    <t>FR NW4 SEC 9 TWP 17 RGE 20</t>
  </si>
  <si>
    <t>130 DEL MESA CIR</t>
  </si>
  <si>
    <t>GRANT, JASON C et al</t>
  </si>
  <si>
    <t xml:space="preserve">SADER NEVADA TRUST  </t>
  </si>
  <si>
    <t>017-350-45</t>
  </si>
  <si>
    <t>FR NW4 NW4 SEC 9 TWP 17 RGE 20 (R/S 2749)</t>
  </si>
  <si>
    <t>1125 S CANTLON LN</t>
  </si>
  <si>
    <t>PM 3196</t>
  </si>
  <si>
    <t xml:space="preserve">GREBITUS, WILLIAM  </t>
  </si>
  <si>
    <t>017-372-24</t>
  </si>
  <si>
    <t>PM 3196 LT M</t>
  </si>
  <si>
    <t>IEIH</t>
  </si>
  <si>
    <t>605 CHANCE LN</t>
  </si>
  <si>
    <t>REV PM 3957 LT 2</t>
  </si>
  <si>
    <t xml:space="preserve">JORDAN 1989 REVOCABLE TRUST, SCOTT T &amp; MARCY J   </t>
  </si>
  <si>
    <t xml:space="preserve">TARAS TRUST, RICHARD V  </t>
  </si>
  <si>
    <t>REV 3957 LT 2</t>
  </si>
  <si>
    <t>15195 WESTERN SPRINGS DR</t>
  </si>
  <si>
    <t>COMSTOCK EST 2</t>
  </si>
  <si>
    <t xml:space="preserve">HUBBARD, ROBERT &amp; JUDITH </t>
  </si>
  <si>
    <t xml:space="preserve">ABEND, CAROLYN </t>
  </si>
  <si>
    <t>017-062-11</t>
  </si>
  <si>
    <t>COMSTOCK EST 2 LT 8 BLK B</t>
  </si>
  <si>
    <t>1415 WILD MUSTANG LN</t>
  </si>
  <si>
    <t xml:space="preserve">WILLIAMS, CYNTHIA J </t>
  </si>
  <si>
    <t xml:space="preserve">SIMPSON, CAROL S </t>
  </si>
  <si>
    <t>COMSTOCK EST 2 LT 11 BLK C</t>
  </si>
  <si>
    <t>15180 BAILEY CANYON DR</t>
  </si>
  <si>
    <t>WESNER, TRISHA et al</t>
  </si>
  <si>
    <t xml:space="preserve">HOWELL, JEFFREY G &amp; JAMIE </t>
  </si>
  <si>
    <t>COMSTOCK EST 3 LT 9 BLK D</t>
  </si>
  <si>
    <t>673 SILVER FALLS CT</t>
  </si>
  <si>
    <t xml:space="preserve">DARRAH, HARLAN J &amp; KELLY L  </t>
  </si>
  <si>
    <t xml:space="preserve">673 SILVER FALLS CT </t>
  </si>
  <si>
    <t>COTTONWOOD CREEK EST 1 LT 18 BLK B</t>
  </si>
  <si>
    <t>16880 MAJESTIC VIEW DR</t>
  </si>
  <si>
    <t xml:space="preserve">DIEHL, RUTH  </t>
  </si>
  <si>
    <t xml:space="preserve">1255 SPRINGER CT </t>
  </si>
  <si>
    <t>MAJESTIC RANCH EST 2-A LT 3</t>
  </si>
  <si>
    <t>1730 DANIEL WEBSTER DR</t>
  </si>
  <si>
    <t>RIVER MT PK SUB AMD FR 1</t>
  </si>
  <si>
    <t>WALLMANN, JAMES H &amp; CLAUDIA V et al</t>
  </si>
  <si>
    <t xml:space="preserve">HULSEY FAMILY TRUST  </t>
  </si>
  <si>
    <t>1780 SOMERSET PL</t>
  </si>
  <si>
    <t>SOMERSET EST</t>
  </si>
  <si>
    <t xml:space="preserve">ADAMS, JUDITH </t>
  </si>
  <si>
    <t>1780 SOMERSETT PL</t>
  </si>
  <si>
    <t>SOMERSET EST LT 5</t>
  </si>
  <si>
    <t>2275 SAGITTARIUS DR</t>
  </si>
  <si>
    <t xml:space="preserve">STARLIGHT VILLAGE  </t>
  </si>
  <si>
    <t xml:space="preserve">ALBRECHT, MATTHEW J &amp; TIFFANY L </t>
  </si>
  <si>
    <t>STARLIGHT VILLAGE LT 2 BLK D</t>
  </si>
  <si>
    <t>1525 WHITE RIDGE CIR</t>
  </si>
  <si>
    <t xml:space="preserve">BURTON 2011 REV LIVING TRUST, EMILY  </t>
  </si>
  <si>
    <t xml:space="preserve">BURTON, EMILY </t>
  </si>
  <si>
    <t>1485 AZURE CIR</t>
  </si>
  <si>
    <t xml:space="preserve">BARNES, BARRY &amp; ELIZABETH </t>
  </si>
  <si>
    <t xml:space="preserve">FEEST, WARD C &amp; VALERIE </t>
  </si>
  <si>
    <t xml:space="preserve">220 SUNNYSIDE DR </t>
  </si>
  <si>
    <t xml:space="preserve">FOSTER, ROBERT J &amp; TORY A  </t>
  </si>
  <si>
    <t>1900 PINERIDGE DR</t>
  </si>
  <si>
    <t>MARDOCK, JAMES D et al</t>
  </si>
  <si>
    <t>MEYER EMELIE B</t>
  </si>
  <si>
    <t>1900 PINE RIDGE DR</t>
  </si>
  <si>
    <t xml:space="preserve">FULLER TRUST, LOLITA  </t>
  </si>
  <si>
    <t>2085 SHARON WAY</t>
  </si>
  <si>
    <t>HARVEY</t>
  </si>
  <si>
    <t>LONG, DARRELL et al</t>
  </si>
  <si>
    <t>HARVEY LT 1</t>
  </si>
  <si>
    <t>2140 THOMAS JEFFERSON DR</t>
  </si>
  <si>
    <t>PM 1233</t>
  </si>
  <si>
    <t>165 W LIBERTY ST STE 210</t>
  </si>
  <si>
    <t>PM 1233 LT 3</t>
  </si>
  <si>
    <t>1735 MC NEVIN CT</t>
  </si>
  <si>
    <t>SPRING MEADOWS</t>
  </si>
  <si>
    <t xml:space="preserve">BATY, JILL A  </t>
  </si>
  <si>
    <t xml:space="preserve">1735 MCNEVIN CT </t>
  </si>
  <si>
    <t xml:space="preserve">SMELTZER, PATRICIA L </t>
  </si>
  <si>
    <t>SPRING MEADOWS LT 2</t>
  </si>
  <si>
    <t>1710 MC NEVIN CT</t>
  </si>
  <si>
    <t>SPRING MEADOW</t>
  </si>
  <si>
    <t xml:space="preserve">CLAYTON, STEVEN D &amp; KATHRYN A  </t>
  </si>
  <si>
    <t>1710 MCNEVIN CT</t>
  </si>
  <si>
    <t xml:space="preserve">BUTWELL REVOCABLE TRUST, JEFFREY W &amp; SALLY S </t>
  </si>
  <si>
    <t>SPRING MEADOWS LT 7</t>
  </si>
  <si>
    <t>2170 YUMA LN</t>
  </si>
  <si>
    <t xml:space="preserve">WALKER, JASON G &amp; KERRI </t>
  </si>
  <si>
    <t xml:space="preserve">WALKER, JASON G </t>
  </si>
  <si>
    <t>FR SE4 NW4 SEC 22 TWP 19 RGE 19</t>
  </si>
  <si>
    <t>2360 ARMSTRONG LN</t>
  </si>
  <si>
    <t>HUKARI, CHARLES et al</t>
  </si>
  <si>
    <t xml:space="preserve">HAWORTH, JANET C </t>
  </si>
  <si>
    <t>1270 PINERIDGE DR</t>
  </si>
  <si>
    <t xml:space="preserve">BENSON, JASON D &amp; DENISE G </t>
  </si>
  <si>
    <t xml:space="preserve">LUNAK LIVING TRUST  </t>
  </si>
  <si>
    <t>FR NW4 NE4 SEC 22 TWP 19 RGE 19</t>
  </si>
  <si>
    <t>1120 PINERIDGE DR</t>
  </si>
  <si>
    <t xml:space="preserve">OCHS, MATTHEW D &amp; LINDSAY B  </t>
  </si>
  <si>
    <t xml:space="preserve">PARKE FAMILY TRUST, JACK &amp; JANET  </t>
  </si>
  <si>
    <t xml:space="preserve">FR NE4 SEC 22 TWP 19 RGE 19 </t>
  </si>
  <si>
    <t>2990 RUSTIC MANOR CIR</t>
  </si>
  <si>
    <t>GRADY, FOREST L et al</t>
  </si>
  <si>
    <t>RUSTIC MANOR LT 11</t>
  </si>
  <si>
    <t>3095 SUSILEEN DR</t>
  </si>
  <si>
    <t xml:space="preserve">CLARK, THOMAS J  </t>
  </si>
  <si>
    <t xml:space="preserve">3095 SUSILEEN DR </t>
  </si>
  <si>
    <t>FR SW4 SEC 22 TWP 19 RGE 19</t>
  </si>
  <si>
    <t>2693 MARKRIDGE DR</t>
  </si>
  <si>
    <t>MARKRIDGE SUB AMEND FR</t>
  </si>
  <si>
    <t>LAMB, ERIKA C et al</t>
  </si>
  <si>
    <t>3495 LAKERIDGE DR #308</t>
  </si>
  <si>
    <t xml:space="preserve">LAMB, ERIKA C </t>
  </si>
  <si>
    <t>MARKRIDGE AMD LT 6 BLK D</t>
  </si>
  <si>
    <t>1135 BELFORD RD</t>
  </si>
  <si>
    <t>PM 4779</t>
  </si>
  <si>
    <t xml:space="preserve">SANKOVICH, LARRY L &amp; CARLA J </t>
  </si>
  <si>
    <t>018-191-85</t>
  </si>
  <si>
    <t>PM 4779  LT 2</t>
  </si>
  <si>
    <t>3010 NATALIE ST</t>
  </si>
  <si>
    <t xml:space="preserve">EVANS, DARREN &amp; SHAWNEE </t>
  </si>
  <si>
    <t>3197 SUSILEEN DR</t>
  </si>
  <si>
    <t xml:space="preserve">AMESBURY, WILLIAM H </t>
  </si>
  <si>
    <t>FR NW4 SW4 SEC 22 TWP 19 RGE 19</t>
  </si>
  <si>
    <t xml:space="preserve">3197 SUSILEEN DR </t>
  </si>
  <si>
    <t>3155 SUSILEEN DR</t>
  </si>
  <si>
    <t>GRIFFIN, KIRSTIN  et al</t>
  </si>
  <si>
    <t xml:space="preserve">CARTER DANIEL </t>
  </si>
  <si>
    <t xml:space="preserve">ROOT , ROBERT H  </t>
  </si>
  <si>
    <t>1701 BERKELEY DR</t>
  </si>
  <si>
    <t xml:space="preserve">HASLER, GINA M  </t>
  </si>
  <si>
    <t xml:space="preserve">1701 BERKELEY DR </t>
  </si>
  <si>
    <t xml:space="preserve">HASLER, NICHOLAS C &amp; GINA M  </t>
  </si>
  <si>
    <t>1485 WEBSTER WAY</t>
  </si>
  <si>
    <t>PM 132</t>
  </si>
  <si>
    <t xml:space="preserve">PIPER, JUSTIN &amp; LEIGH </t>
  </si>
  <si>
    <t xml:space="preserve">MEANS FAMILY TRUST, TRAVIS WILLIAM   </t>
  </si>
  <si>
    <t>PM 132 LT D</t>
  </si>
  <si>
    <t>1474 CORONET BLVD</t>
  </si>
  <si>
    <t>TAYLOR, EARL et al</t>
  </si>
  <si>
    <t>HARMATTA MAXINE C</t>
  </si>
  <si>
    <t>1474 CORNET BLVD</t>
  </si>
  <si>
    <t xml:space="preserve">KALIN FAMILY TRUST  </t>
  </si>
  <si>
    <t>PM 132 LT A</t>
  </si>
  <si>
    <t>1885 BERKELEY DR</t>
  </si>
  <si>
    <t>PM 4290</t>
  </si>
  <si>
    <t xml:space="preserve">BEKO, THOMAS P  </t>
  </si>
  <si>
    <t xml:space="preserve">WILHOITE, HOLLY E </t>
  </si>
  <si>
    <t>018-223-05</t>
  </si>
  <si>
    <t>PM 4290 LT 3</t>
  </si>
  <si>
    <t>1685 BELFORD RD</t>
  </si>
  <si>
    <t>EVERGREEN HIGHLANDS</t>
  </si>
  <si>
    <t>BJORNSON, KERRIGAN et al</t>
  </si>
  <si>
    <t>EVERGREEN HIGHLANDS LT 17 BLK A</t>
  </si>
  <si>
    <t>2660 OUTLOOK DR</t>
  </si>
  <si>
    <t>GREEN ACRE HEIGHTS AMD</t>
  </si>
  <si>
    <t xml:space="preserve">BLOCK, BRIAN M  </t>
  </si>
  <si>
    <t>GREEN ACRE HEIGHTS AMD LT 13 BLK B</t>
  </si>
  <si>
    <t>1151 SKYLINE BLVD</t>
  </si>
  <si>
    <t>GREEN ACRE HTS</t>
  </si>
  <si>
    <t>FETTIC, LACY P et al</t>
  </si>
  <si>
    <t>5217 SIMONS DR</t>
  </si>
  <si>
    <t xml:space="preserve">FETTIC, LACY P </t>
  </si>
  <si>
    <t>GREEN ACRE HEIGHTS LT 14</t>
  </si>
  <si>
    <t>3323 MARTHIAM AVE</t>
  </si>
  <si>
    <t xml:space="preserve">REYNOLDS, MARY M &amp; JAMES D </t>
  </si>
  <si>
    <t xml:space="preserve">COLLIER LIVING TRUST  </t>
  </si>
  <si>
    <t>MARKRIDGE SOUTHWEST LT 20 BLK C</t>
  </si>
  <si>
    <t>3220 MARTHIAM AVE</t>
  </si>
  <si>
    <t>HOME ORCHARD</t>
  </si>
  <si>
    <t>JUNG, OOIN  et al</t>
  </si>
  <si>
    <t xml:space="preserve">RASK, DAHL &amp; DIANE  </t>
  </si>
  <si>
    <t>HOME ORCHARD LT 7 BLK B</t>
  </si>
  <si>
    <t>3265 MARTHIAM AVE</t>
  </si>
  <si>
    <t>HOME ORCHARD FR</t>
  </si>
  <si>
    <t xml:space="preserve">BARCELON, ALAN R &amp; MICHELLE B </t>
  </si>
  <si>
    <t>HOME ORCHARD FR LT 6</t>
  </si>
  <si>
    <t>3245 MARTHIAM AVE</t>
  </si>
  <si>
    <t>HOME ORCHARD SUB</t>
  </si>
  <si>
    <t xml:space="preserve">KWON, OSU </t>
  </si>
  <si>
    <t xml:space="preserve">HETTINGER LIVING TRUST  </t>
  </si>
  <si>
    <t>018-280-30</t>
  </si>
  <si>
    <t>HOME ORCHARD LT 5</t>
  </si>
  <si>
    <t>3372 COREY DR</t>
  </si>
  <si>
    <t>PM 3895</t>
  </si>
  <si>
    <t xml:space="preserve">BYRNE, DEAN R &amp; CLAUDIA  </t>
  </si>
  <si>
    <t xml:space="preserve">MOORE, CHRISTOPHER M </t>
  </si>
  <si>
    <t>018-280-49</t>
  </si>
  <si>
    <t>PM 3895 LT P1</t>
  </si>
  <si>
    <t>3361 COREY DR</t>
  </si>
  <si>
    <t>RS 3953</t>
  </si>
  <si>
    <t xml:space="preserve">BELL, BRADLEY &amp; JULIE </t>
  </si>
  <si>
    <t xml:space="preserve">FISHER, WILLIAM G &amp; HEATHER M </t>
  </si>
  <si>
    <t>018-280-46</t>
  </si>
  <si>
    <t>RS3953 LT A1</t>
  </si>
  <si>
    <t>1811 THREE MILE DR</t>
  </si>
  <si>
    <t>SPYGLASS ESTATES II</t>
  </si>
  <si>
    <t xml:space="preserve">BARKER, BRETT </t>
  </si>
  <si>
    <t>SPYGLASS EST 2 LT 10 BLK A</t>
  </si>
  <si>
    <t>1821 THREE MILE DR</t>
  </si>
  <si>
    <t xml:space="preserve">ELLISON, STEVEN &amp; JAE </t>
  </si>
  <si>
    <t xml:space="preserve">WALLER, JOANNE H </t>
  </si>
  <si>
    <t>SPYGLASS EST 2 LT 9 BLK A</t>
  </si>
  <si>
    <t>3165 REANON CT</t>
  </si>
  <si>
    <t xml:space="preserve">OLSEN, HOWARD W &amp; NANCY D </t>
  </si>
  <si>
    <t xml:space="preserve">BRUCE, SHALLEEN A &amp; JACOB C </t>
  </si>
  <si>
    <t xml:space="preserve">SHERWOOD HEIGHTS LT 44 </t>
  </si>
  <si>
    <t>3180 COREY DR</t>
  </si>
  <si>
    <t>LARKINS, STEPHEN J et al</t>
  </si>
  <si>
    <t xml:space="preserve">DUNHAM, PAUL K </t>
  </si>
  <si>
    <t>SHERWOOD HEIGHTS LT 14</t>
  </si>
  <si>
    <t>1015 MAPLEWOOD DR</t>
  </si>
  <si>
    <t xml:space="preserve">PELTIER, ELISE R </t>
  </si>
  <si>
    <t>1985 MARGOT CIR</t>
  </si>
  <si>
    <t>KARADANIS, SOPHIE A et al</t>
  </si>
  <si>
    <t xml:space="preserve">KARADANIS, SOPHIE A </t>
  </si>
  <si>
    <t>708 W PLUMB LN</t>
  </si>
  <si>
    <t>SINGER, CAMERON J  et al</t>
  </si>
  <si>
    <t>PO BOX 18335</t>
  </si>
  <si>
    <t>COUNTRY CLUB HEIGHTS FR LT 13</t>
  </si>
  <si>
    <t>670 HILLCREST DR</t>
  </si>
  <si>
    <t xml:space="preserve">PARSONS, SUSAN E </t>
  </si>
  <si>
    <t>1935 HUMBOLDT ST</t>
  </si>
  <si>
    <t xml:space="preserve">HSU, MINDY S </t>
  </si>
  <si>
    <t xml:space="preserve">RANALLO TRUST, ALDO W  </t>
  </si>
  <si>
    <t>450 W PLUMB LN</t>
  </si>
  <si>
    <t>GIURLANI, JANAE et al</t>
  </si>
  <si>
    <t xml:space="preserve">450 W PLUMB LN </t>
  </si>
  <si>
    <t>COUNTRY CLUB ACRES AMD FR LT 4 BLK A</t>
  </si>
  <si>
    <t>1990 PLUMAS ST</t>
  </si>
  <si>
    <t xml:space="preserve">DONALSON, LISA A &amp; JOEL C </t>
  </si>
  <si>
    <t>225 HILLCREST DR</t>
  </si>
  <si>
    <t xml:space="preserve">KANIG, ROBIN L </t>
  </si>
  <si>
    <t xml:space="preserve">HUTCHENS, BARRY </t>
  </si>
  <si>
    <t>COUNTRY CLUB ACRES AMD FR BLK J</t>
  </si>
  <si>
    <t>2097 PLUMAS ST</t>
  </si>
  <si>
    <t xml:space="preserve">DURHAM, NADIA M </t>
  </si>
  <si>
    <t>2184 HUMBOLDT ST</t>
  </si>
  <si>
    <t>PM 1465</t>
  </si>
  <si>
    <t xml:space="preserve">LIEBGOTT, ROBERT A &amp; CHRISTINE </t>
  </si>
  <si>
    <t xml:space="preserve">2184 HUMBOLDT ST </t>
  </si>
  <si>
    <t xml:space="preserve">LIEBGOTT, CHRISTINE </t>
  </si>
  <si>
    <t>PM 1465 LT 2</t>
  </si>
  <si>
    <t>2000 WATT ST</t>
  </si>
  <si>
    <t>SLADEK, CHRIS et al</t>
  </si>
  <si>
    <t>YANG XIAOJIE</t>
  </si>
  <si>
    <t xml:space="preserve">SAXTON, LINDA </t>
  </si>
  <si>
    <t>2555 SHARON WAY</t>
  </si>
  <si>
    <t>FERRE SEPARATE PROPERTY TRUST, CHRISTOPHER E  TTEE et al</t>
  </si>
  <si>
    <t xml:space="preserve">2555 SHARON WAY </t>
  </si>
  <si>
    <t>FR SW4 NW4 SEC 23 TWP 19 RGE 19</t>
  </si>
  <si>
    <t>2200 LINDLEY WAY</t>
  </si>
  <si>
    <t>2 NEWLANDS CIR</t>
  </si>
  <si>
    <t>ROLAKE HOLDINGS LLC  LLC</t>
  </si>
  <si>
    <t>280 WILD ROSE DR</t>
  </si>
  <si>
    <t xml:space="preserve">HARRISON, JAMES L &amp; INGEBORG M </t>
  </si>
  <si>
    <t>280 WILDROSE DR</t>
  </si>
  <si>
    <t>2488 PLUMAS ST</t>
  </si>
  <si>
    <t>KANTOLA, JAMES R et al</t>
  </si>
  <si>
    <t>PREWITT, KIM et al</t>
  </si>
  <si>
    <t>COUNTRY CLUB ACRES AMD FR LT 2 BLK E</t>
  </si>
  <si>
    <t>2376 SUNRISE DR</t>
  </si>
  <si>
    <t xml:space="preserve">CHANCE, JOANNE R </t>
  </si>
  <si>
    <t xml:space="preserve">REYNOLDS, JAMES D &amp; MARY M </t>
  </si>
  <si>
    <t>COUNTRY CLUB ACRES AMD FR LT 4 BLK E</t>
  </si>
  <si>
    <t>10 RANCHO MANOR DR</t>
  </si>
  <si>
    <t xml:space="preserve">RANCHO MANOR </t>
  </si>
  <si>
    <t>SMITH-HALL, RAMONA  et al</t>
  </si>
  <si>
    <t>HALL CURTIS</t>
  </si>
  <si>
    <t xml:space="preserve">10 RANCHO MANOR DR </t>
  </si>
  <si>
    <t>RANCHO MANOR FR LT 2 BLK B (R/S 1697 LT 1)</t>
  </si>
  <si>
    <t>1905 DANT BLVD</t>
  </si>
  <si>
    <t xml:space="preserve">NYGARD, EUGENE S </t>
  </si>
  <si>
    <t xml:space="preserve">MARGISON FAMILY TRUST  </t>
  </si>
  <si>
    <t>RANCHO MANOR FR LT 1 BLK C</t>
  </si>
  <si>
    <t>972 EDEN CT</t>
  </si>
  <si>
    <t>PATTON</t>
  </si>
  <si>
    <t xml:space="preserve">OMAYE 1990 TRUST  </t>
  </si>
  <si>
    <t xml:space="preserve">1846 THREE MILE DR </t>
  </si>
  <si>
    <t xml:space="preserve">HARIRI, MAJEED </t>
  </si>
  <si>
    <t>PATTON LT 6</t>
  </si>
  <si>
    <t>975 BERRUM LN</t>
  </si>
  <si>
    <t xml:space="preserve">GREER, ROBERT A &amp; CAROL P </t>
  </si>
  <si>
    <t>PATTON LT 10</t>
  </si>
  <si>
    <t>60 BERRUM LN</t>
  </si>
  <si>
    <t xml:space="preserve">JAYMESON, EDWARD A </t>
  </si>
  <si>
    <t>FR SE4 SE4 SEC 23 TWP 19 RGE 19</t>
  </si>
  <si>
    <t>285 W MOANA LN</t>
  </si>
  <si>
    <t xml:space="preserve">PECA LLC </t>
  </si>
  <si>
    <t>5961 LOS ALTOS PKWY #101</t>
  </si>
  <si>
    <t>SOUMBENIOTIS, JAMES A et al</t>
  </si>
  <si>
    <t>FR SE4 SW4 SEC 24 TWP 19 RGE 19</t>
  </si>
  <si>
    <t>3260 LYMBERY ST</t>
  </si>
  <si>
    <t>NIXON FARM</t>
  </si>
  <si>
    <t xml:space="preserve">MUNOZ , DANIEL &amp; JUANITA  </t>
  </si>
  <si>
    <t>PO BOX 19310</t>
  </si>
  <si>
    <t>019-360-20</t>
  </si>
  <si>
    <t>NIXON FARM AMD FR LT 9 &amp; 10 &amp; FR ST</t>
  </si>
  <si>
    <t>215 MOORE LN</t>
  </si>
  <si>
    <t>BROOKDALE PARK</t>
  </si>
  <si>
    <t>MARSHALL, VALENTINA M et al</t>
  </si>
  <si>
    <t xml:space="preserve">DRAKE, TERRANCE S &amp; MARVIA L </t>
  </si>
  <si>
    <t>BROOKDALE PARK FR LT 15</t>
  </si>
  <si>
    <t>SALEM PLAZA LT 115C3 BLK 2750</t>
  </si>
  <si>
    <t xml:space="preserve">MACUR, JOHN J </t>
  </si>
  <si>
    <t>PO BOX 2891</t>
  </si>
  <si>
    <t xml:space="preserve">SIEVERS FAMILY TRUST  </t>
  </si>
  <si>
    <t>SALEM PLAZA LT 114B BLK 2750</t>
  </si>
  <si>
    <t xml:space="preserve">CHICODREFF, ANASTASIA M </t>
  </si>
  <si>
    <t>2750 PLUMAS ST # 107</t>
  </si>
  <si>
    <t xml:space="preserve">CHICODREFF, LARRY </t>
  </si>
  <si>
    <t>SALEM PLAZA LT 107F BLK 2750</t>
  </si>
  <si>
    <t xml:space="preserve">EQUITY TRUST-FBO 109387 </t>
  </si>
  <si>
    <t xml:space="preserve">100 WOODLAND AVE </t>
  </si>
  <si>
    <t xml:space="preserve">SUMMIT </t>
  </si>
  <si>
    <t>SALEM PLAZA LT 107F BLK 2700</t>
  </si>
  <si>
    <t xml:space="preserve">SPIEGEL , ALAN  </t>
  </si>
  <si>
    <t>2700 PLUMAS ST # 109</t>
  </si>
  <si>
    <t>SALEM PLAZA LT 109F BLK 2700</t>
  </si>
  <si>
    <t>SALEM PLAZA LT 224C BLK 2750</t>
  </si>
  <si>
    <t xml:space="preserve">NOLAN, SARAH ANNE </t>
  </si>
  <si>
    <t>2750 PLUMAS ST #216</t>
  </si>
  <si>
    <t>SALEM PLAZA LT 216F BLK 2750</t>
  </si>
  <si>
    <t xml:space="preserve">PROCHAZKA, JAN R &amp; EVA </t>
  </si>
  <si>
    <t>2700 PLUMAS ST #205</t>
  </si>
  <si>
    <t>SALEM PLAZA LT 205C BLK 2700</t>
  </si>
  <si>
    <t xml:space="preserve">PANG, SHANG LIN &amp; FENG CHU </t>
  </si>
  <si>
    <t>2750 PLUMAS ST 304C</t>
  </si>
  <si>
    <t>SALEM PLAZA LT 304C BLK 2750</t>
  </si>
  <si>
    <t xml:space="preserve">SAUGSTAD, MARK C &amp; KATHLEEN C </t>
  </si>
  <si>
    <t>PO BOX 884</t>
  </si>
  <si>
    <t>GIRDWOOD</t>
  </si>
  <si>
    <t>99587</t>
  </si>
  <si>
    <t>SALEM PLAZA LT 302A BLK 2750</t>
  </si>
  <si>
    <t xml:space="preserve">SIEWIT, GINA M  </t>
  </si>
  <si>
    <t>1149 DENISE WAY</t>
  </si>
  <si>
    <t>SALEM PLAZA LT 314B BLK 2700</t>
  </si>
  <si>
    <t xml:space="preserve">NICHOLAS, TODD </t>
  </si>
  <si>
    <t>1611 CALITERRA WAY</t>
  </si>
  <si>
    <t>SALEM PLAZA LT 315A3 BLK 2700</t>
  </si>
  <si>
    <t>1225 BRINKBY AVE</t>
  </si>
  <si>
    <t>PM 2853</t>
  </si>
  <si>
    <t xml:space="preserve">LILES, RODGER E JR </t>
  </si>
  <si>
    <t>PO BOX 21105</t>
  </si>
  <si>
    <t xml:space="preserve">BRINKBY TRUST #1225  </t>
  </si>
  <si>
    <t>019-432-21</t>
  </si>
  <si>
    <t>PM 2853 LT C</t>
  </si>
  <si>
    <t xml:space="preserve">POLEN, NATALIA </t>
  </si>
  <si>
    <t>4001 S VIRGINIA ST STE AC</t>
  </si>
  <si>
    <t>LAKESIDE PLAZA 1 LT 155C BLK X</t>
  </si>
  <si>
    <t xml:space="preserve">RAINWOOD LTD </t>
  </si>
  <si>
    <t>MEJIA, CARMELITO V et al</t>
  </si>
  <si>
    <t>LAKESIDE PLAZA 1 LT 159A BLK  X</t>
  </si>
  <si>
    <t>LAKESIDE PLAZA 1 LT 353C BLK X</t>
  </si>
  <si>
    <t xml:space="preserve">FRANCHINI, MARIA O  </t>
  </si>
  <si>
    <t>1000 BECK ST # 362</t>
  </si>
  <si>
    <t xml:space="preserve">LIRIANO, FLORDELISA </t>
  </si>
  <si>
    <t>LAKESIDE PLAZA 1 LT 362D2 BLK X</t>
  </si>
  <si>
    <t xml:space="preserve">CHEUNG, CATHERINE </t>
  </si>
  <si>
    <t>32 ULLOA ST</t>
  </si>
  <si>
    <t xml:space="preserve">HAYS TRUST, MARILYN A  </t>
  </si>
  <si>
    <t>LAKESIDE PLAZA 1 LT 372D BLK X</t>
  </si>
  <si>
    <t xml:space="preserve">SISTEAM LLC </t>
  </si>
  <si>
    <t>507 CASAZZA DR STE D</t>
  </si>
  <si>
    <t>LAKESIDE PLAZA 2 LT 113B BLK Y</t>
  </si>
  <si>
    <t xml:space="preserve">TAM, SUE </t>
  </si>
  <si>
    <t>2955 LAKESIDE DR # 119</t>
  </si>
  <si>
    <t xml:space="preserve">O`KONSKI, PATRICK G &amp; ALICE J </t>
  </si>
  <si>
    <t>LAKESIDE PLAZA 2 LT 119A1 BLK Y</t>
  </si>
  <si>
    <t xml:space="preserve">CATANIA, PAUL  </t>
  </si>
  <si>
    <t>2955 LAKESIDE DR # 120</t>
  </si>
  <si>
    <t xml:space="preserve">CANTANIA, PAUL  </t>
  </si>
  <si>
    <t>LAKESIDE PLAZA 2 LT 120B BLK Y</t>
  </si>
  <si>
    <t>PRICE, STEVEN W  et al</t>
  </si>
  <si>
    <t>LAKESIDE PLAZA 2 LT 232G BLK Y</t>
  </si>
  <si>
    <t xml:space="preserve">WILSON, ROBERT F SR &amp; EILEEN M  </t>
  </si>
  <si>
    <t>2955 LAKESIDE DR # 237</t>
  </si>
  <si>
    <t xml:space="preserve">PARKER TRUST, VESTER W  </t>
  </si>
  <si>
    <t>LAKESIDE PLAZA 2 LT 237F BLK Y</t>
  </si>
  <si>
    <t xml:space="preserve">BURNS, STEPHEN D </t>
  </si>
  <si>
    <t>2955 LAKESIDE DR 309</t>
  </si>
  <si>
    <t>LAKESIDE PLAZA 2 LT 309C BLK Y</t>
  </si>
  <si>
    <t>LAKESIDE PLAZA 2 LT 310E BLK Y</t>
  </si>
  <si>
    <t>2704 EASTSHORE DR</t>
  </si>
  <si>
    <t xml:space="preserve">DE FRANCHESSIN, GENEVIEVE </t>
  </si>
  <si>
    <t xml:space="preserve">2704 EASTSHORE DR </t>
  </si>
  <si>
    <t>VIRGINIA LAKESHORE TH LT 3 BLK 1</t>
  </si>
  <si>
    <t>2718 EASTSHORE DR</t>
  </si>
  <si>
    <t xml:space="preserve">GREENLEE FAMILY TRUST  </t>
  </si>
  <si>
    <t xml:space="preserve">GREENLEE, MERVIN L &amp; NORMA M </t>
  </si>
  <si>
    <t>VIRGINIA LAKESHORE TH LT 10 BLK 1</t>
  </si>
  <si>
    <t>2806 EASTSHORE DR</t>
  </si>
  <si>
    <t xml:space="preserve">FISHER, BILLY J </t>
  </si>
  <si>
    <t>2806 EASTSHORE PL</t>
  </si>
  <si>
    <t>VIRGINIA LAKESHORE TH LT 4 BLK 2</t>
  </si>
  <si>
    <t>3104 EASTSHORE DR</t>
  </si>
  <si>
    <t xml:space="preserve">GRANADO, FRANK G </t>
  </si>
  <si>
    <t>3104 EASTSHORE PL</t>
  </si>
  <si>
    <t>VIRGINIA LAKESHORE TH LT 3 BLK 5</t>
  </si>
  <si>
    <t>3106 EASTSHORE DR</t>
  </si>
  <si>
    <t xml:space="preserve">BARABAS, TODD </t>
  </si>
  <si>
    <t xml:space="preserve">3333 LEES AVE </t>
  </si>
  <si>
    <t>VIRGINIA LAKESHORE TH LT 4 BLK 5</t>
  </si>
  <si>
    <t xml:space="preserve"> EASTSHORE DR</t>
  </si>
  <si>
    <t>019-460-39</t>
  </si>
  <si>
    <t>VIRGINIA LAKESHORE TH LT 3A BLK 5</t>
  </si>
  <si>
    <t xml:space="preserve">FRANKLIN, BRIAN &amp; SONIA  </t>
  </si>
  <si>
    <t>2450 LYMBERY ST # 105</t>
  </si>
  <si>
    <t xml:space="preserve">FRANKLIN, BRIAN  </t>
  </si>
  <si>
    <t>RENO 2 CONDO LT 105 BLK A</t>
  </si>
  <si>
    <t xml:space="preserve">TSCHANNEN, ERNEST E </t>
  </si>
  <si>
    <t>1940 4TH ST 14</t>
  </si>
  <si>
    <t>RENO 2 CONDO LT 114 BLK A</t>
  </si>
  <si>
    <t xml:space="preserve">WILLIAMSON, RICHARD &amp; LENORA  </t>
  </si>
  <si>
    <t xml:space="preserve">724 CANARY CIR </t>
  </si>
  <si>
    <t xml:space="preserve">DEL`OSTIA, TERRY A &amp; MICHAEL J </t>
  </si>
  <si>
    <t>SUN GARDENS CONDO LT 5</t>
  </si>
  <si>
    <t xml:space="preserve">LINDSEY, JAMES D &amp; JESSIE L </t>
  </si>
  <si>
    <t>1945 MIDAS DR</t>
  </si>
  <si>
    <t>BURKHARDT, JOSEPH M et al</t>
  </si>
  <si>
    <t>SUN GARDENS CONDO LT 6</t>
  </si>
  <si>
    <t xml:space="preserve">SNYDER, STEPHEN F  </t>
  </si>
  <si>
    <t>3095 LAKESIDE DR # 202</t>
  </si>
  <si>
    <t xml:space="preserve">RAVILIOUS, MARLENE H </t>
  </si>
  <si>
    <t>SUN GARDENS CONDO LT 16</t>
  </si>
  <si>
    <t xml:space="preserve">LANG, WILLIAM &amp; MIRANDA  </t>
  </si>
  <si>
    <t>5305 COGNAC CT</t>
  </si>
  <si>
    <t xml:space="preserve">LOUIE, WAI C </t>
  </si>
  <si>
    <t>SUN GARDENS CONDO LT 21</t>
  </si>
  <si>
    <t xml:space="preserve">MILLER TRUST, ELLEN B </t>
  </si>
  <si>
    <t>20980 AMES LN</t>
  </si>
  <si>
    <t>SUN GARDENS CONDO LT 41</t>
  </si>
  <si>
    <t>SUN GARDENS CONDO LT 40</t>
  </si>
  <si>
    <t xml:space="preserve">THOMAS LIVING TRUST   </t>
  </si>
  <si>
    <t>2240 HAMPTON PARK CT</t>
  </si>
  <si>
    <t xml:space="preserve">THOMAS, PATRICIA E </t>
  </si>
  <si>
    <t>PLUMAS SOUTH LT 24 BLK F</t>
  </si>
  <si>
    <t xml:space="preserve"> E MOANA LN</t>
  </si>
  <si>
    <t xml:space="preserve">B&amp;C WESTERN DEVELOPMENT LLC </t>
  </si>
  <si>
    <t xml:space="preserve">BRIGHTON MANOR LLC </t>
  </si>
  <si>
    <t>BRIGHTON MANOR 1 LT A</t>
  </si>
  <si>
    <t>1355 WATERLOO DR</t>
  </si>
  <si>
    <t>RS 4690</t>
  </si>
  <si>
    <t xml:space="preserve">WALKER, VERONICA F  </t>
  </si>
  <si>
    <t xml:space="preserve">1355 WATERLOO DR </t>
  </si>
  <si>
    <t xml:space="preserve">HARDY LIVING TRUST, LEROY &amp; PATTI  </t>
  </si>
  <si>
    <t>019-531-04</t>
  </si>
  <si>
    <t>RS 4690  LT 113A</t>
  </si>
  <si>
    <t>1440 WATERLOO DR</t>
  </si>
  <si>
    <t>BRIGHTON MANOR 1 LT 124</t>
  </si>
  <si>
    <t>1430 WATERLOO DR</t>
  </si>
  <si>
    <t>BRIGHTON MANOR 1 LT 125</t>
  </si>
  <si>
    <t>1420 WATERLOO DR</t>
  </si>
  <si>
    <t xml:space="preserve">ALLYN, PATRICIA L  </t>
  </si>
  <si>
    <t xml:space="preserve">1420 WATERLOO DR </t>
  </si>
  <si>
    <t>BRIGHTON MANOR 1 LT 126</t>
  </si>
  <si>
    <t>1410 WATERLOO DR</t>
  </si>
  <si>
    <t xml:space="preserve">SWANSON, KENNETH C &amp; PATRICE </t>
  </si>
  <si>
    <t>4270 WILD EAGLE TE</t>
  </si>
  <si>
    <t xml:space="preserve">P AND C INVESTMENT LLC </t>
  </si>
  <si>
    <t>BRIGHTON MANOR 1 LT 127</t>
  </si>
  <si>
    <t>1400 WATERLOO DR</t>
  </si>
  <si>
    <t xml:space="preserve">NELSON, TAYLOR M </t>
  </si>
  <si>
    <t xml:space="preserve">KELLEY, THOMAS L </t>
  </si>
  <si>
    <t>BRIGHTON MANOR 1 LT 128</t>
  </si>
  <si>
    <t>1304 WATERLOO DR</t>
  </si>
  <si>
    <t xml:space="preserve">GRZEBINIAK, STEVEN J &amp; JULIA E  </t>
  </si>
  <si>
    <t xml:space="preserve">3607 GRAND TETON CT </t>
  </si>
  <si>
    <t xml:space="preserve">OSTERHOUT, RALPH &amp; SUZANNE </t>
  </si>
  <si>
    <t>BRIGHTON MANOR 1 LT 140</t>
  </si>
  <si>
    <t>CAMDEN 2</t>
  </si>
  <si>
    <t xml:space="preserve">ZZZ </t>
  </si>
  <si>
    <t xml:space="preserve">VIRGINIA LAKE SENIOR PARTNERS </t>
  </si>
  <si>
    <t>380 LINDEN ST</t>
  </si>
  <si>
    <t xml:space="preserve">VLC INVESTMENTS LLC </t>
  </si>
  <si>
    <t>019-580-01</t>
  </si>
  <si>
    <t>CAMDEN 2 LT A</t>
  </si>
  <si>
    <t xml:space="preserve"> LAFAYETTE LN</t>
  </si>
  <si>
    <t xml:space="preserve">CAMDEN 2 CA </t>
  </si>
  <si>
    <t>CAMDEN 2 LT 201</t>
  </si>
  <si>
    <t>CAMDEN 2 LT 202</t>
  </si>
  <si>
    <t>CAMDEN 2 LT 203</t>
  </si>
  <si>
    <t>CAMDEN 2 LT 204</t>
  </si>
  <si>
    <t>CAMDEN 2 LT 205</t>
  </si>
  <si>
    <t>CAMDEN 2 LT 206</t>
  </si>
  <si>
    <t>2829 WRONDEL WAY</t>
  </si>
  <si>
    <t>2000 HOLCOMB RANCH RD</t>
  </si>
  <si>
    <t xml:space="preserve">HEIDRICH FAMILY LIMITED PTSP </t>
  </si>
  <si>
    <t>HILLBRAE TRACT FR LT 9 BLK A</t>
  </si>
  <si>
    <t>2825 WRONDEL WAY</t>
  </si>
  <si>
    <t xml:space="preserve">MAHAN, SANDRA &amp; JOHN M </t>
  </si>
  <si>
    <t>1365 RILEY AVE</t>
  </si>
  <si>
    <t>AVILA, HERMELINDA N  et al</t>
  </si>
  <si>
    <t xml:space="preserve">1365 RILEY AVE </t>
  </si>
  <si>
    <t>SUN ACRES TRACT 3 FR LT 2 BLK B</t>
  </si>
  <si>
    <t>1370 CHRIS LN</t>
  </si>
  <si>
    <t>PM 4322</t>
  </si>
  <si>
    <t>OLIVER, BRIAN et al</t>
  </si>
  <si>
    <t>WRIGHT YOKO</t>
  </si>
  <si>
    <t>2704 SUN CHASER CT</t>
  </si>
  <si>
    <t>020-241-30</t>
  </si>
  <si>
    <t>PM 4322 LT 2</t>
  </si>
  <si>
    <t>1374 CHRIS LN</t>
  </si>
  <si>
    <t xml:space="preserve">ALVAREZ, MIGUEL </t>
  </si>
  <si>
    <t>PM 4322 LT 3</t>
  </si>
  <si>
    <t>1384 CHRIS LN</t>
  </si>
  <si>
    <t xml:space="preserve">ALVAREZ, ELVA </t>
  </si>
  <si>
    <t>1430 CHRIS LN</t>
  </si>
  <si>
    <t>PM 4323  LT 1</t>
  </si>
  <si>
    <t>1131 PARKVIEW ST</t>
  </si>
  <si>
    <t>1131 PARKVIEW SERIES OF FBD, RENO LLC LLC</t>
  </si>
  <si>
    <t>C/O BARBARA &amp; FRANCIS GORMLEY</t>
  </si>
  <si>
    <t>PO BOX 13</t>
  </si>
  <si>
    <t>SALFORDVILLE</t>
  </si>
  <si>
    <t>18958</t>
  </si>
  <si>
    <t>FBD HOLDINGS LLC  LLC</t>
  </si>
  <si>
    <t>FRAC NE4 OF NW4</t>
  </si>
  <si>
    <t>1120 PARKVIEW ST</t>
  </si>
  <si>
    <t>REYES-SOLIS, SAMUEL et al</t>
  </si>
  <si>
    <t>FR NE4 NW4 SEC 30 TWP 19 RGE 20</t>
  </si>
  <si>
    <t>1050 PARKVIEW ST</t>
  </si>
  <si>
    <t>PM 1665</t>
  </si>
  <si>
    <t xml:space="preserve">VARGAS, ALFONSO M  </t>
  </si>
  <si>
    <t xml:space="preserve">2635 E 9TH ST </t>
  </si>
  <si>
    <t xml:space="preserve">CAMERON LIVING TRUST, MARIE J  </t>
  </si>
  <si>
    <t>PM 1665 LT A</t>
  </si>
  <si>
    <t>3563 KINDRED AVE</t>
  </si>
  <si>
    <t>MORENO-VARGAS, ALFONSO et al</t>
  </si>
  <si>
    <t>2635 E 9TH ST</t>
  </si>
  <si>
    <t>3583 KINDRED AVE</t>
  </si>
  <si>
    <t>3601 KINDRED AVE</t>
  </si>
  <si>
    <t xml:space="preserve">ASSELIN , SCOTT M  </t>
  </si>
  <si>
    <t>3595 CARLOS LN</t>
  </si>
  <si>
    <t>3595 CARLOS SERIES OF FBD RENO LLC</t>
  </si>
  <si>
    <t>1053 PARKVIEW ST</t>
  </si>
  <si>
    <t>1053 PARKVIEW SERIES OF FBD , RENO LLC  LLC</t>
  </si>
  <si>
    <t>1037 PARKVIEW ST</t>
  </si>
  <si>
    <t>1037 PARKVIEW SERIES OF FBD , RENO LLC LLC</t>
  </si>
  <si>
    <t>3580 KINDRED AVE</t>
  </si>
  <si>
    <t>3580 KINDRED SERIES OF FBD , RENO LLC LLC</t>
  </si>
  <si>
    <t>3964 NEIL RD</t>
  </si>
  <si>
    <t>PM 533</t>
  </si>
  <si>
    <t xml:space="preserve">KEENAN, DARREN &amp; ROXANE  </t>
  </si>
  <si>
    <t xml:space="preserve">8803 MOHAMED CIR </t>
  </si>
  <si>
    <t>PM 533 LT 2</t>
  </si>
  <si>
    <t>3968 NEIL RD</t>
  </si>
  <si>
    <t>PM 533 LT 3</t>
  </si>
  <si>
    <t>3972 NEIL RD</t>
  </si>
  <si>
    <t>PM 1239</t>
  </si>
  <si>
    <t xml:space="preserve">SILVER BRIDGE LLC </t>
  </si>
  <si>
    <t>PM 1239 LT 1</t>
  </si>
  <si>
    <t>3980 NEIL RD</t>
  </si>
  <si>
    <t xml:space="preserve">CHEN LIVING TRUST  </t>
  </si>
  <si>
    <t>C/O VAIL &amp; ASSOCIATES REALTY</t>
  </si>
  <si>
    <t>137 VASSAR ST #8</t>
  </si>
  <si>
    <t>PM 1239 LT 3</t>
  </si>
  <si>
    <t>4060 NEIL RD</t>
  </si>
  <si>
    <t>GARCIA-RUIZ, PEDRO et al</t>
  </si>
  <si>
    <t xml:space="preserve">MARTINEZ MARGARITA V G </t>
  </si>
  <si>
    <t xml:space="preserve">GOMEZ, PEDRO &amp; MARIA D </t>
  </si>
  <si>
    <t>SUN ACRES TRACT 1 FR 13 &amp; 14</t>
  </si>
  <si>
    <t>4130 SHINNERS PL</t>
  </si>
  <si>
    <t xml:space="preserve">SMITH REV LIVING TRUST, JERELYN J   </t>
  </si>
  <si>
    <t xml:space="preserve">4130 SHINNERS PL </t>
  </si>
  <si>
    <t xml:space="preserve">MILLER, MARIANNE P </t>
  </si>
  <si>
    <t xml:space="preserve">MA , YALA </t>
  </si>
  <si>
    <t>861 NUTMEG PL #5</t>
  </si>
  <si>
    <t>SUMMERSNOW LT 5 BLK D</t>
  </si>
  <si>
    <t>SUMMERSNOW AMD</t>
  </si>
  <si>
    <t xml:space="preserve">MAGGY 2007 REV LIVING TRUST, MATTHEW  </t>
  </si>
  <si>
    <t xml:space="preserve">5266 SKYSTONE DR </t>
  </si>
  <si>
    <t xml:space="preserve">MAGGY, MATTHEW </t>
  </si>
  <si>
    <t>SUMMERSNOW AMD LT 3 BLK C</t>
  </si>
  <si>
    <t>857 NUTMEG PL</t>
  </si>
  <si>
    <t xml:space="preserve">RAJA, RAMAKRISHNAN </t>
  </si>
  <si>
    <t>4604 NEIL RD APT 120</t>
  </si>
  <si>
    <t>SUMMERSNOW LT 3 BLK B</t>
  </si>
  <si>
    <t>863 NUTMEG PL</t>
  </si>
  <si>
    <t>SUMMERSNOW CONDO</t>
  </si>
  <si>
    <t>JIMENEZ, FABIAN R  et al</t>
  </si>
  <si>
    <t xml:space="preserve">210 CROWN POINT DR </t>
  </si>
  <si>
    <t>SUMMERSNOW CONDO LT 8 BLK E</t>
  </si>
  <si>
    <t>855 NUTMEG PL</t>
  </si>
  <si>
    <t>JARAR, ALI et al</t>
  </si>
  <si>
    <t>855 NUTMEG PL 3</t>
  </si>
  <si>
    <t xml:space="preserve">BARRERA, MARIA D </t>
  </si>
  <si>
    <t>SUMMERSNOW LT 3 BLK A</t>
  </si>
  <si>
    <t xml:space="preserve">TRENKLE, JUANITA M </t>
  </si>
  <si>
    <t>1465 E PECKHAM LN #10</t>
  </si>
  <si>
    <t>MEADOWS AMD LT 10</t>
  </si>
  <si>
    <t xml:space="preserve">NEWMAN, PAUL </t>
  </si>
  <si>
    <t>1465 E PECKMAN LN 44</t>
  </si>
  <si>
    <t>MEADOWS AMD LT 44</t>
  </si>
  <si>
    <t xml:space="preserve">TUTTLE, JOEWELL K </t>
  </si>
  <si>
    <t>1465 E PECKHAM LN # 50</t>
  </si>
  <si>
    <t xml:space="preserve">UBERUAGA, JOSE A </t>
  </si>
  <si>
    <t>MEADOWS AMD LT 50</t>
  </si>
  <si>
    <t xml:space="preserve">DU, JUNLEI </t>
  </si>
  <si>
    <t>1465 E PECKHAM LN # 66</t>
  </si>
  <si>
    <t>REYNOLDS, DAVID W  et al</t>
  </si>
  <si>
    <t>MEADOWS AMD LT 66</t>
  </si>
  <si>
    <t>1309 POWELL LN</t>
  </si>
  <si>
    <t>PM 4108</t>
  </si>
  <si>
    <t xml:space="preserve">SALT, ARTHUR L III &amp; GAIL </t>
  </si>
  <si>
    <t>3190 LAGOMARSINO DR</t>
  </si>
  <si>
    <t>020-450-04</t>
  </si>
  <si>
    <t>PM 4108 LT B1</t>
  </si>
  <si>
    <t>1308 POWELL LN</t>
  </si>
  <si>
    <t>ZAISAN SERIES LLC , SERIES P LLC</t>
  </si>
  <si>
    <t>SHARON A HUDSON</t>
  </si>
  <si>
    <t>3259 VISTA VALLATA</t>
  </si>
  <si>
    <t>PM 4108 LT B3</t>
  </si>
  <si>
    <t>1312 POWELL LN</t>
  </si>
  <si>
    <t xml:space="preserve">HU, JING B </t>
  </si>
  <si>
    <t>1661 CALITERA WAY</t>
  </si>
  <si>
    <t>PM 4109 LT C3</t>
  </si>
  <si>
    <t>3870 NEIL RD</t>
  </si>
  <si>
    <t>PM 5021</t>
  </si>
  <si>
    <t>NEIL ROAD SENIOR APTS LLC</t>
  </si>
  <si>
    <t>888 W SECOND ST # 308</t>
  </si>
  <si>
    <t xml:space="preserve">SIERRA BOUQUET VII LLC </t>
  </si>
  <si>
    <t>020-460-05</t>
  </si>
  <si>
    <t>PM 5021 PAR 1</t>
  </si>
  <si>
    <t>4790 SINELIO DR</t>
  </si>
  <si>
    <t xml:space="preserve">GILLINGS, RUTH A  </t>
  </si>
  <si>
    <t xml:space="preserve">4790 SINELIO DR </t>
  </si>
  <si>
    <t>CASTRO, RUBEN G et al</t>
  </si>
  <si>
    <t>EASTSIDE 2 LT 4 BLK A</t>
  </si>
  <si>
    <t>4770 SINELIO DR</t>
  </si>
  <si>
    <t xml:space="preserve">STANISZEWSKI, MICHAEL D &amp; JULIE R  </t>
  </si>
  <si>
    <t xml:space="preserve">4770 SINELIO DR </t>
  </si>
  <si>
    <t xml:space="preserve">CARMEAN FAMILY TRUST  </t>
  </si>
  <si>
    <t>EASTSIDE 2 LT 2 BLK A</t>
  </si>
  <si>
    <t>4835 SINELIO DR</t>
  </si>
  <si>
    <t xml:space="preserve">EASTSIDE </t>
  </si>
  <si>
    <t xml:space="preserve">BURT, JERALD C &amp; EDNA W </t>
  </si>
  <si>
    <t>409  13TH ST</t>
  </si>
  <si>
    <t xml:space="preserve">BURT, JERALD C </t>
  </si>
  <si>
    <t>EASTSIDE 2 LT 9 BLK C</t>
  </si>
  <si>
    <t>4805 SINELIO DR</t>
  </si>
  <si>
    <t>4900 ELLIS ST</t>
  </si>
  <si>
    <t xml:space="preserve">LASALLE BANK NA </t>
  </si>
  <si>
    <t>EASTSIDE 2 LT 1 BLK B</t>
  </si>
  <si>
    <t>2340 WALNUT ST</t>
  </si>
  <si>
    <t>EASTSIDE SUB DIV 2</t>
  </si>
  <si>
    <t xml:space="preserve">FREY, RYAN </t>
  </si>
  <si>
    <t>ECKHARDT, MARJORIE ESTATE</t>
  </si>
  <si>
    <t>EASTSIDE 2 LT 13 BLK A</t>
  </si>
  <si>
    <t>4070 BILLY DR</t>
  </si>
  <si>
    <t>RAMIREZ-GONZALEZ, JOSE L et al</t>
  </si>
  <si>
    <t xml:space="preserve">EPPER, THELMA F </t>
  </si>
  <si>
    <t>EL RANCHO BUENA VISTA 1 LT 98</t>
  </si>
  <si>
    <t>4100 EDRIE DR</t>
  </si>
  <si>
    <t xml:space="preserve">CREEL, MARTHA J </t>
  </si>
  <si>
    <t xml:space="preserve">GOODNIGHT FAMILY PROP LLC </t>
  </si>
  <si>
    <t>EL RANCHO BUENA VISTA 1 LT 69</t>
  </si>
  <si>
    <t>4135 BILLY DR</t>
  </si>
  <si>
    <t>WALLACE, MICHAEL et al</t>
  </si>
  <si>
    <t xml:space="preserve">WALLACE, MICHAEL </t>
  </si>
  <si>
    <t>EL RANCHO BUENA VISTA 1 LT 76</t>
  </si>
  <si>
    <t>4135 MIRA LOMA DR</t>
  </si>
  <si>
    <t xml:space="preserve">RONNINGQ, MICHAEL R  </t>
  </si>
  <si>
    <t xml:space="preserve">4135 MIRA LOMA DR </t>
  </si>
  <si>
    <t>EL RANCHO BUENA VISTA 1 LT 10</t>
  </si>
  <si>
    <t>2330 DERBISH WAY</t>
  </si>
  <si>
    <t>PM 726</t>
  </si>
  <si>
    <t xml:space="preserve">VOSS, CAROL L &amp; STEVEN L </t>
  </si>
  <si>
    <t xml:space="preserve">MCDOUGALL FAMILY TRUST  </t>
  </si>
  <si>
    <t>PM 726 LT 1</t>
  </si>
  <si>
    <t>2325 DERBISH WAY</t>
  </si>
  <si>
    <t xml:space="preserve">MOLLATH , BRIAN S </t>
  </si>
  <si>
    <t xml:space="preserve">2325 DERBISH WAY </t>
  </si>
  <si>
    <t xml:space="preserve">MOLLATH FAMILY TRUST  </t>
  </si>
  <si>
    <t>PM 726 LT 2</t>
  </si>
  <si>
    <t>2925 BOBBY DR</t>
  </si>
  <si>
    <t xml:space="preserve">LANDEROS, JOSE A V  </t>
  </si>
  <si>
    <t xml:space="preserve">SCHUCKERT, CYNTHIA A </t>
  </si>
  <si>
    <t>EL RANCHO BUENA VISTA 2 LT 21</t>
  </si>
  <si>
    <t>2965 BOBBY DR</t>
  </si>
  <si>
    <t xml:space="preserve">DYE , SHAUNA C  </t>
  </si>
  <si>
    <t xml:space="preserve">2965 BOBBY DR </t>
  </si>
  <si>
    <t>EL RANCHO BUENA VISTA 2 LT 25</t>
  </si>
  <si>
    <t>2922 RANDOLPH DR</t>
  </si>
  <si>
    <t xml:space="preserve">SODERMAN ADMINISTRATIVE TRUST, HELMER &amp; BLANCHE  </t>
  </si>
  <si>
    <t>ROBERT V STREJC &amp; JUDITH A SUTTON TTEE</t>
  </si>
  <si>
    <t>EL RANCHO BUENA VISTA 2 LT 54</t>
  </si>
  <si>
    <t>2935 S ESCONDIDO CT</t>
  </si>
  <si>
    <t xml:space="preserve">JARA, JAIME </t>
  </si>
  <si>
    <t>EL RANCHO BUENA VISTA 2 LT 61</t>
  </si>
  <si>
    <t xml:space="preserve">5290 BELSERA CT </t>
  </si>
  <si>
    <t>4010 MUSTANG CT</t>
  </si>
  <si>
    <t xml:space="preserve">ZAINOS, KARRI M &amp; RODRIGO R  </t>
  </si>
  <si>
    <t xml:space="preserve">4010 MUSTANG CT </t>
  </si>
  <si>
    <t>EL RANCHO BUENA VISTA 2 LT 7</t>
  </si>
  <si>
    <t>4070 DE SOTO WAY</t>
  </si>
  <si>
    <t xml:space="preserve">COURTNEY, WILLIAM B </t>
  </si>
  <si>
    <t xml:space="preserve">TAYLOR, PAUL S </t>
  </si>
  <si>
    <t>EL RANCHO BUENA VISTA 4A LT 7 BLK C</t>
  </si>
  <si>
    <t>2865 SANTA ANA DR</t>
  </si>
  <si>
    <t xml:space="preserve">FAIL , TYLER J  </t>
  </si>
  <si>
    <t xml:space="preserve">BROCK, RYAN J &amp; AMANDA J  </t>
  </si>
  <si>
    <t>EL RANCHO BUENA VISTA 2 LT 153</t>
  </si>
  <si>
    <t>2885 SANTA ANA DR</t>
  </si>
  <si>
    <t xml:space="preserve">ATER, MICHAEL K </t>
  </si>
  <si>
    <t>EL RANCHO BUENA VISTA 2 LT 155</t>
  </si>
  <si>
    <t>2850 N ESCONDIDO CT</t>
  </si>
  <si>
    <t xml:space="preserve">LEIGHTON, TOMYLEE W &amp; MARIE E </t>
  </si>
  <si>
    <t xml:space="preserve">LIGHT FAMILY TRUST  </t>
  </si>
  <si>
    <t>EL RANCHO BUENA VISTA 2 LT 162</t>
  </si>
  <si>
    <t>2857 JAKE ST</t>
  </si>
  <si>
    <t xml:space="preserve">NAJARRO, MARX L </t>
  </si>
  <si>
    <t>EL RANCHO BUENA VISTA 2 LT 137</t>
  </si>
  <si>
    <t>2758 AZUZA WAY</t>
  </si>
  <si>
    <t xml:space="preserve">RILEY, NICOLAS V &amp; JULIE C  </t>
  </si>
  <si>
    <t>HIDDEN SPRINGS 2 LT 241 BLK F</t>
  </si>
  <si>
    <t>4202 PERRO LN</t>
  </si>
  <si>
    <t>ZSOMBOR, RICHARD J et al</t>
  </si>
  <si>
    <t>4370 PERRO LN</t>
  </si>
  <si>
    <t>HIDDEN SPRINGS 2 LT 234 BLK F</t>
  </si>
  <si>
    <t>4270 PERRO LN</t>
  </si>
  <si>
    <t xml:space="preserve">TORRES, ALEJANDRO D  </t>
  </si>
  <si>
    <t xml:space="preserve">4270 PERRO LN </t>
  </si>
  <si>
    <t>HIDDEN SPRINGS 2 LT 232 BLK F</t>
  </si>
  <si>
    <t>2700 RANDOLPH DR</t>
  </si>
  <si>
    <t xml:space="preserve">SEE, AUDRY L </t>
  </si>
  <si>
    <t>HIDDEN SPRINGS 1 LT 60 BLK E</t>
  </si>
  <si>
    <t>2761 AZUZA WAY</t>
  </si>
  <si>
    <t xml:space="preserve">WALKER, TIMOTHY E </t>
  </si>
  <si>
    <t>6015 S VIRGINIA ST #E175</t>
  </si>
  <si>
    <t>HEDGES, JAMES R et al</t>
  </si>
  <si>
    <t>HIDDEN SPRINGS 2 LT 71 BLK E</t>
  </si>
  <si>
    <t>2771 AZUZA WAY</t>
  </si>
  <si>
    <t>IHLER, TONI et al</t>
  </si>
  <si>
    <t>6130 MONTEREY HWY SP # 148</t>
  </si>
  <si>
    <t>HIDDEN SPRINGS 2 LT 73 BLK E</t>
  </si>
  <si>
    <t>4090 PERRO LN</t>
  </si>
  <si>
    <t>WILHELM, MICHAEL A  et al</t>
  </si>
  <si>
    <t xml:space="preserve">PEIRCE, SHARI A </t>
  </si>
  <si>
    <t>HIDDEN SPRINGS 1 LT 26 BLK D</t>
  </si>
  <si>
    <t>4085 PERRO LN</t>
  </si>
  <si>
    <t xml:space="preserve">DAILEY, TIMOTHY M </t>
  </si>
  <si>
    <t xml:space="preserve">4085 PERRO LN </t>
  </si>
  <si>
    <t xml:space="preserve">ALDER, CLAY D </t>
  </si>
  <si>
    <t>HIDDEN SPRINGS 1 LT 103 BLK B</t>
  </si>
  <si>
    <t>2727 PAJARO PL</t>
  </si>
  <si>
    <t xml:space="preserve">ORTEGA, ADAM W </t>
  </si>
  <si>
    <t>HIDDEN SPRINGS 1 LT 90 BLK B</t>
  </si>
  <si>
    <t>2771 PAJARO PL</t>
  </si>
  <si>
    <t xml:space="preserve">WILSON , JAMILLAH R </t>
  </si>
  <si>
    <t>HIDDEN SPRINGS 1 LT 82 BLK B</t>
  </si>
  <si>
    <t>4205 PERRO LN</t>
  </si>
  <si>
    <t xml:space="preserve">SPENCER, LOIS </t>
  </si>
  <si>
    <t>HIDDEN SPRINGS 2 LT 111 BLK B</t>
  </si>
  <si>
    <t>3509 GRACIA DEL DIOS DR</t>
  </si>
  <si>
    <t xml:space="preserve">GALLINETTI, RAYSHA M  </t>
  </si>
  <si>
    <t>3509 GRACIA DEL DIOS</t>
  </si>
  <si>
    <t xml:space="preserve">SANCHEZ, MARCY M &amp; LAZARO </t>
  </si>
  <si>
    <t>DONNER SPRINGS 2A LT 18</t>
  </si>
  <si>
    <t>4365 DEL PASO DR</t>
  </si>
  <si>
    <t xml:space="preserve">MIKELICH, STEVEN G &amp; MICHELE L  </t>
  </si>
  <si>
    <t xml:space="preserve">22386 CONKLIN TRAILS </t>
  </si>
  <si>
    <t xml:space="preserve">SONORA </t>
  </si>
  <si>
    <t xml:space="preserve">UYEDA, PATRICIA A </t>
  </si>
  <si>
    <t>DONNER SPRINGS 2A LT 68</t>
  </si>
  <si>
    <t>4415 PRIMAVERA AVE</t>
  </si>
  <si>
    <t xml:space="preserve">LASATER, LESLIE &amp; ELISABETH  </t>
  </si>
  <si>
    <t>KLINE, GREGORY W et al</t>
  </si>
  <si>
    <t>DONNER SPRINGS 2A LT 50</t>
  </si>
  <si>
    <t>3500 RIO POCO RD</t>
  </si>
  <si>
    <t xml:space="preserve">LIENTI , ANDREW F &amp; MARIONNE R  </t>
  </si>
  <si>
    <t xml:space="preserve">PULITI, DAMIEN P &amp; TIFFANI S  </t>
  </si>
  <si>
    <t>DONNER SPRINGS 2C1 LT 34</t>
  </si>
  <si>
    <t>3523 SOL GRANDE CT</t>
  </si>
  <si>
    <t xml:space="preserve">SCHMIDT, CHRISTINE M </t>
  </si>
  <si>
    <t xml:space="preserve">3523 SOL GRANDE CT </t>
  </si>
  <si>
    <t xml:space="preserve">SOL GRANDE TRUST #3523  </t>
  </si>
  <si>
    <t>DONNER SPRINGS 2C1 LT 37</t>
  </si>
  <si>
    <t>3565 PARQUE VERDE LN</t>
  </si>
  <si>
    <t>DONNER SPRINGS SUB NO 2C-</t>
  </si>
  <si>
    <t xml:space="preserve">MENDOZA, OSWALDO </t>
  </si>
  <si>
    <t xml:space="preserve">CANOY, EMMANUEL &amp; MA S P </t>
  </si>
  <si>
    <t>DONNER SPRINGS 2C1 LT 71</t>
  </si>
  <si>
    <t>4205 PRIMAVERA AVE</t>
  </si>
  <si>
    <t>DONNER SPRINGS 2C1 LT 10</t>
  </si>
  <si>
    <t>6635 LOMA VISTA LN</t>
  </si>
  <si>
    <t>E2 NE4 NW4 NE4 NE4</t>
  </si>
  <si>
    <t xml:space="preserve">MOOREHOUSE, DONALD N &amp; SHERRY E  </t>
  </si>
  <si>
    <t>E1/2 OF NE1/4 OF NW1/4 OF NE1/4 OF NE1/4  SEC 34 T</t>
  </si>
  <si>
    <t>NEDF</t>
  </si>
  <si>
    <t>4295 PERRO LN</t>
  </si>
  <si>
    <t xml:space="preserve">RUSKOWITZ FAMILY TRUST  </t>
  </si>
  <si>
    <t>2010 TENAYA WAY</t>
  </si>
  <si>
    <t>HIDDEN SPRINGS 3 LT 116 BLK B</t>
  </si>
  <si>
    <t>2721 SANTA ANA DR</t>
  </si>
  <si>
    <t>MITCHELL, CHAD E et al</t>
  </si>
  <si>
    <t xml:space="preserve">FOREMAN TRUST, BARBARA L  </t>
  </si>
  <si>
    <t>HIDDEN SPRINGS 3 LT 230 BLK F</t>
  </si>
  <si>
    <t>2735 CABALLO DR</t>
  </si>
  <si>
    <t xml:space="preserve">CHINANDER, KELLY N </t>
  </si>
  <si>
    <t xml:space="preserve">INCZE, TIBERIU &amp; MAGDALENA </t>
  </si>
  <si>
    <t>HIDDEN SPRINGS 3 LT 204 BLK G</t>
  </si>
  <si>
    <t>4369 PESCADO WAY</t>
  </si>
  <si>
    <t xml:space="preserve">WALLER, HANNE R  </t>
  </si>
  <si>
    <t>HIDDEN SPRINGS 3 LT 199 BLK G</t>
  </si>
  <si>
    <t>2734 PERRO CT</t>
  </si>
  <si>
    <t xml:space="preserve">CHAVEZ, ISMAEL  </t>
  </si>
  <si>
    <t xml:space="preserve">2734 PERRO CT </t>
  </si>
  <si>
    <t>HIDDEN SPRINGS 3 LT 212 BLK G</t>
  </si>
  <si>
    <t>2769 CHAVEZ DR</t>
  </si>
  <si>
    <t xml:space="preserve">GHIGLIERI, WILLIAM A &amp; LENA M </t>
  </si>
  <si>
    <t>HIDDEN SPRINGS 3 LT 154 BLK I</t>
  </si>
  <si>
    <t>2794 CHAVEZ DR</t>
  </si>
  <si>
    <t xml:space="preserve">CRUZ, SAUL R </t>
  </si>
  <si>
    <t>HIDDEN SPRINGS 3 LT 147 BLK A</t>
  </si>
  <si>
    <t>4150 SPRING DR</t>
  </si>
  <si>
    <t xml:space="preserve">ESCOBAR, JUAN F &amp; ARACELI M D  </t>
  </si>
  <si>
    <t xml:space="preserve">GOBEL LIVING TRUST </t>
  </si>
  <si>
    <t>DONNER SPRINGS LT 8</t>
  </si>
  <si>
    <t>4170 SPRING DR</t>
  </si>
  <si>
    <t>SCHAEFER, JILL L et al</t>
  </si>
  <si>
    <t xml:space="preserve">F &amp; M FAMILY TRUST  </t>
  </si>
  <si>
    <t>DONNER SPRINGS LT 9</t>
  </si>
  <si>
    <t>3860 AMADOR WAY</t>
  </si>
  <si>
    <t xml:space="preserve">SHANNON, JOSEPH &amp; MARYANN </t>
  </si>
  <si>
    <t>2860 AMADOR WAY</t>
  </si>
  <si>
    <t>DONNER SPRINGS LT 104</t>
  </si>
  <si>
    <t>3835 VANTAGE WAY</t>
  </si>
  <si>
    <t>DORANGRICCHIA, MATHEW C III &amp; REBECCA K  et al</t>
  </si>
  <si>
    <t xml:space="preserve">3835 VANTAGE WAY </t>
  </si>
  <si>
    <t>DONNER SPRINGS LT 123</t>
  </si>
  <si>
    <t>4280 SPRING DR</t>
  </si>
  <si>
    <t>IRWIN, DAVID et al</t>
  </si>
  <si>
    <t>DONNER SPRINGS LT 17</t>
  </si>
  <si>
    <t>4260 SETTLER DR</t>
  </si>
  <si>
    <t xml:space="preserve">SANDBERG, ROBERT &amp; TERESA K </t>
  </si>
  <si>
    <t>DONNER SPRINGS LT 98</t>
  </si>
  <si>
    <t>4235 SNOWSHOE LN</t>
  </si>
  <si>
    <t xml:space="preserve">DIXON, JENNA M </t>
  </si>
  <si>
    <t>DONNER SPRINGS 3A LT 77</t>
  </si>
  <si>
    <t>4175 SNOWSHOE LN</t>
  </si>
  <si>
    <t xml:space="preserve">HANDROCK, GAIL E  </t>
  </si>
  <si>
    <t xml:space="preserve">ROSAS, ISABEL </t>
  </si>
  <si>
    <t>DONNER SPRINGS 3A LT 81</t>
  </si>
  <si>
    <t>4151 VIVIAN CT</t>
  </si>
  <si>
    <t xml:space="preserve">O`NEAL, JUDITH </t>
  </si>
  <si>
    <t>305 GALENA PINES RD</t>
  </si>
  <si>
    <t>DONNER SPRINGS 3A LT 29</t>
  </si>
  <si>
    <t>4150 VIVIAN CT</t>
  </si>
  <si>
    <t xml:space="preserve">FILCHER, STEVEN L &amp; NATALIE J </t>
  </si>
  <si>
    <t xml:space="preserve">MCHENRY FAMILY TRUST  </t>
  </si>
  <si>
    <t>DONNER SPRINGS 3A LT 36</t>
  </si>
  <si>
    <t>4360 ACADIA WAY</t>
  </si>
  <si>
    <t>LOPEZ, LIZZETH et al</t>
  </si>
  <si>
    <t>DONNER SPRINGS 3A LT 59</t>
  </si>
  <si>
    <t>4320 ACADIA WAY</t>
  </si>
  <si>
    <t xml:space="preserve">ALCALA-CRUZ, MARIA I  </t>
  </si>
  <si>
    <t xml:space="preserve">4320 ACADIA WAY </t>
  </si>
  <si>
    <t>DONNER SPRINGS 3A LT 63</t>
  </si>
  <si>
    <t>4165 BISMARCK DR</t>
  </si>
  <si>
    <t xml:space="preserve">HALTOM, JOHN W &amp; MYLINDA C </t>
  </si>
  <si>
    <t>4165 BISMARK DR</t>
  </si>
  <si>
    <t xml:space="preserve">DEL REAL, ABEL R SR </t>
  </si>
  <si>
    <t>DONNER SPRINGS 3A LT 43</t>
  </si>
  <si>
    <t>4230 SIERRA MADRE DR</t>
  </si>
  <si>
    <t>DONNER SPRINGS SUB UT 3B</t>
  </si>
  <si>
    <t xml:space="preserve">BUCHMANN, JEREMY L  </t>
  </si>
  <si>
    <t xml:space="preserve">4230 SIERRA MADRE DR </t>
  </si>
  <si>
    <t>DONNER SPRINGS 3B LT 63</t>
  </si>
  <si>
    <t>4310 SIERRA MADRE DR</t>
  </si>
  <si>
    <t xml:space="preserve">PENDRAGON, BRUCE  </t>
  </si>
  <si>
    <t xml:space="preserve">4310 SIERRA MADRE DR </t>
  </si>
  <si>
    <t>DONNER SPRINGS 7 LT 1 BLK B</t>
  </si>
  <si>
    <t>4355 MATICH DR</t>
  </si>
  <si>
    <t xml:space="preserve">DASALLA, ROWENA A </t>
  </si>
  <si>
    <t xml:space="preserve">PETRINI, JULIE </t>
  </si>
  <si>
    <t>DONNER SPRINGS 3B LT 29</t>
  </si>
  <si>
    <t>4430 SAN GABRIEL DR</t>
  </si>
  <si>
    <t>DONNER SPRINGS SUB UNIT 4</t>
  </si>
  <si>
    <t xml:space="preserve">KLUFT, OLAVO J  </t>
  </si>
  <si>
    <t xml:space="preserve">4430 SAN GABRIEL DR </t>
  </si>
  <si>
    <t>DONNER SPRINGS 4 LT 57</t>
  </si>
  <si>
    <t>4465 REGGIE RD</t>
  </si>
  <si>
    <t xml:space="preserve">WONG, JAMES K &amp; BEVERLY A  </t>
  </si>
  <si>
    <t xml:space="preserve">46-194 NONA LOOP </t>
  </si>
  <si>
    <t>KANEOKE</t>
  </si>
  <si>
    <t>96744</t>
  </si>
  <si>
    <t xml:space="preserve">REGGIE TRUST #4665  </t>
  </si>
  <si>
    <t>PM 786 LT A</t>
  </si>
  <si>
    <t>4310 SNOWSHOE LN</t>
  </si>
  <si>
    <t xml:space="preserve">RODIGHIERO, JANICE M </t>
  </si>
  <si>
    <t>DONNER SPRINGS 4 LT 20</t>
  </si>
  <si>
    <t>4340 SNOWSHOE LN</t>
  </si>
  <si>
    <t>ERGER, STEVEN J  et al</t>
  </si>
  <si>
    <t xml:space="preserve">5131 W ACOMA RD </t>
  </si>
  <si>
    <t xml:space="preserve">INGLEDUE, DONALD E JR &amp; NOLA K </t>
  </si>
  <si>
    <t>DONNER SPRINGS 4 LT 18</t>
  </si>
  <si>
    <t>4535 GORC WAY</t>
  </si>
  <si>
    <t>DONNER SPRINGS SUB UNIT 5</t>
  </si>
  <si>
    <t xml:space="preserve">DOYLE, GAIL D </t>
  </si>
  <si>
    <t xml:space="preserve">BARKHURST TRST, STELLA  </t>
  </si>
  <si>
    <t>DONNER SPRINGS 5 LT 20</t>
  </si>
  <si>
    <t>4520 RIO POCO RD</t>
  </si>
  <si>
    <t xml:space="preserve">MEYER, JENNIFER R </t>
  </si>
  <si>
    <t>DONNER SPRINGS 5 LT 15</t>
  </si>
  <si>
    <t>4490 RIO POCO RD</t>
  </si>
  <si>
    <t>MOSELEY, ZEPHANIAH et al</t>
  </si>
  <si>
    <t>DONNER SPRINGS 5 LT 12</t>
  </si>
  <si>
    <t>3630 LA TIERRA TER</t>
  </si>
  <si>
    <t>DONNER SPRINGS 2C-2</t>
  </si>
  <si>
    <t>ORNELAS, DORA G et al</t>
  </si>
  <si>
    <t>DONNER SPRINGS 2C2 LT 53 BLK C</t>
  </si>
  <si>
    <t>3620 LA TIERRA TER</t>
  </si>
  <si>
    <t xml:space="preserve">EDDY, MARIE  </t>
  </si>
  <si>
    <t>3620 LA TIERRA TERRACE</t>
  </si>
  <si>
    <t>DONNER SPRINGS 2C2 LT 54 BLK C</t>
  </si>
  <si>
    <t>4385 SETTLER DR</t>
  </si>
  <si>
    <t xml:space="preserve">GEORGE, PATRICK &amp; THUY </t>
  </si>
  <si>
    <t xml:space="preserve">4385 SETTLER DR </t>
  </si>
  <si>
    <t>DONNER SPRINGS 2C2 LT 34 BLK C</t>
  </si>
  <si>
    <t>4120 CAMINO LINDO WAY</t>
  </si>
  <si>
    <t xml:space="preserve">VILLANUEVA, CRUZ </t>
  </si>
  <si>
    <t xml:space="preserve">JARA-ULLOA, HIPOLITO </t>
  </si>
  <si>
    <t>DONNER SPRINGS 2C2 LT 82 BLK E</t>
  </si>
  <si>
    <t>3591 LA TIERRA TER</t>
  </si>
  <si>
    <t xml:space="preserve">CUTLER, FRED A &amp; EMILY B  </t>
  </si>
  <si>
    <t>DONNER SPRINGS 2C2 LT 27 BLK B</t>
  </si>
  <si>
    <t>3721 LA TIERRA TER</t>
  </si>
  <si>
    <t xml:space="preserve">MARQUICIAS, ROBERT L &amp; MARIAN F </t>
  </si>
  <si>
    <t>3721 LA TIERRA TERRACE</t>
  </si>
  <si>
    <t>DONNER SPRINGS 2C2 LT 14 BLK B</t>
  </si>
  <si>
    <t>3731 LA TIERRA TER</t>
  </si>
  <si>
    <t xml:space="preserve">SCHWARTZ, RHEU H III &amp; SHIRLEY M S </t>
  </si>
  <si>
    <t>DONNER SPRINGS 2C2 LT 13 BLK B</t>
  </si>
  <si>
    <t>3821 LA TIERRA TER</t>
  </si>
  <si>
    <t xml:space="preserve">JOHNSTON, JOE N &amp; LYNDA A </t>
  </si>
  <si>
    <t>3821 LA TIERRA TERRACE</t>
  </si>
  <si>
    <t>DONNER SPRINGS 2C2 LT 4 BLK A</t>
  </si>
  <si>
    <t>4340 SETTLER DR</t>
  </si>
  <si>
    <t xml:space="preserve">VAUGHN , PATRICIA M </t>
  </si>
  <si>
    <t>DONNER SPRINGS 2C2 LT 68 BLK D</t>
  </si>
  <si>
    <t>4530 SPRING DR</t>
  </si>
  <si>
    <t xml:space="preserve">PRIJATEL, MICHAEL A  </t>
  </si>
  <si>
    <t xml:space="preserve">4530 SPRING DR </t>
  </si>
  <si>
    <t xml:space="preserve">SAVAGE, GAYLE </t>
  </si>
  <si>
    <t>DONNER SPRINGS 2C3 LT 32 BLK B</t>
  </si>
  <si>
    <t>4690 SPRING DR</t>
  </si>
  <si>
    <t xml:space="preserve">GREER, MICHAEL R &amp; SHAWNA N </t>
  </si>
  <si>
    <t>HERNANDEZ, ISAURO P et al</t>
  </si>
  <si>
    <t>DONNER SPRINGS 2C3 LT 14 BLK B</t>
  </si>
  <si>
    <t>4625 SPRING DR</t>
  </si>
  <si>
    <t xml:space="preserve">LEE, CHRISTI </t>
  </si>
  <si>
    <t xml:space="preserve">CLARKE, JEREMY B </t>
  </si>
  <si>
    <t>DONNER SPRINGS 2C3 LT 88 BLK E</t>
  </si>
  <si>
    <t>4555 SPRING DR</t>
  </si>
  <si>
    <t xml:space="preserve">BROWN, BONNEY </t>
  </si>
  <si>
    <t>DONNER SPRINGS 2C3 LT 56 BLK D</t>
  </si>
  <si>
    <t>4525 SPRING DR</t>
  </si>
  <si>
    <t xml:space="preserve">DONNER SPRINGS 2C3  </t>
  </si>
  <si>
    <t xml:space="preserve">SUNG, ALBERT &amp; KWAI-YEE Q  </t>
  </si>
  <si>
    <t xml:space="preserve">3686 BOZEMAN DR </t>
  </si>
  <si>
    <t>DONNER SPRINGS 2C3 LT 59 BLK D</t>
  </si>
  <si>
    <t>3990 RIO POCO RD</t>
  </si>
  <si>
    <t xml:space="preserve">HENRY, JOHN H  </t>
  </si>
  <si>
    <t>2153 MOUNTAIN RIVER RD</t>
  </si>
  <si>
    <t>BERTHOUD</t>
  </si>
  <si>
    <t xml:space="preserve">NEARMAN, CAROL A &amp; CHARLES F </t>
  </si>
  <si>
    <t>DONNER SPRINGS 2C3 LT 187 BLK I</t>
  </si>
  <si>
    <t>3840 RIO POCO RD</t>
  </si>
  <si>
    <t xml:space="preserve">TURNBOW, DALTON R </t>
  </si>
  <si>
    <t xml:space="preserve">SWEENEY , J CRAIG </t>
  </si>
  <si>
    <t>DONNER SPRINGS 2C3 LT 191 BLK I</t>
  </si>
  <si>
    <t>4015 PARQUE VERDE LN</t>
  </si>
  <si>
    <t xml:space="preserve">NICHOLS, CODY L </t>
  </si>
  <si>
    <t xml:space="preserve">ROHE LIVING TRUST, NELLIE   </t>
  </si>
  <si>
    <t>DONNER SPRINGS 2C3 LT 156 BLK G</t>
  </si>
  <si>
    <t>4585 RIO ENCANTADO LN</t>
  </si>
  <si>
    <t xml:space="preserve">LUPER, TERRY Q &amp; KIMBERLY C  </t>
  </si>
  <si>
    <t xml:space="preserve">ARMSTRONG, JUDITH A </t>
  </si>
  <si>
    <t>DONNER SPRINGS 2C3 LT 225 BLK K</t>
  </si>
  <si>
    <t>4685 RIO ENCANTADO LN</t>
  </si>
  <si>
    <t xml:space="preserve">CHANEY, CARRIE L  </t>
  </si>
  <si>
    <t xml:space="preserve">4685 RIO ENCANTADO LN </t>
  </si>
  <si>
    <t xml:space="preserve">DIVINE ROCK LLC  </t>
  </si>
  <si>
    <t>DONNER SPRINGS 2C3 LT 215 BLK J</t>
  </si>
  <si>
    <t>4305 TORO CT</t>
  </si>
  <si>
    <t>MEJIA, ANDREINA et al</t>
  </si>
  <si>
    <t>DONNER SPRINGS 6 LT 30 BLK C</t>
  </si>
  <si>
    <t>4330 TORO CT</t>
  </si>
  <si>
    <t xml:space="preserve">CHU, FU M </t>
  </si>
  <si>
    <t xml:space="preserve">JENSEN, JILL M  </t>
  </si>
  <si>
    <t>DONNER SPRINGS 6 LT 34 BLK C</t>
  </si>
  <si>
    <t>4477 REGGIE RD</t>
  </si>
  <si>
    <t xml:space="preserve">OHARRA, KRISTIN </t>
  </si>
  <si>
    <t xml:space="preserve">CONNELL, JENNA  </t>
  </si>
  <si>
    <t>DONNER CREEK VILLAGE AMD LT 197 BLK A</t>
  </si>
  <si>
    <t>4521 REGGIE RD</t>
  </si>
  <si>
    <t>TOM, ERIC C &amp; VIVIAN B et al</t>
  </si>
  <si>
    <t>4521 REGGIE RD UT 208</t>
  </si>
  <si>
    <t>DONNER CREEK VILLAGE AMD LT 208 BLK A</t>
  </si>
  <si>
    <t>4394 MATICH DR</t>
  </si>
  <si>
    <t xml:space="preserve">MOORE LIVING TRUST  </t>
  </si>
  <si>
    <t>9679 SHADOWSTONE WAY</t>
  </si>
  <si>
    <t xml:space="preserve">MOORE, KEVIN M &amp; LISA A  </t>
  </si>
  <si>
    <t>DONNER CREEK VILLAGE AMD LT 184 BLK A</t>
  </si>
  <si>
    <t>4382 MATICH DR</t>
  </si>
  <si>
    <t xml:space="preserve">WYNN, MICHON C </t>
  </si>
  <si>
    <t>DONNER CREEK VILLAGE AMD LT 190 BLK A</t>
  </si>
  <si>
    <t>4717 REGGIE RD</t>
  </si>
  <si>
    <t xml:space="preserve">HENRY, LENARD S &amp; REBECCA A  </t>
  </si>
  <si>
    <t xml:space="preserve">4717 REGGIE RD </t>
  </si>
  <si>
    <t>DONNER CREEK VILLAGE AMD LT 272 BLK A</t>
  </si>
  <si>
    <t>4669 REGGIE RD</t>
  </si>
  <si>
    <t>GREENE, CAROL E et al</t>
  </si>
  <si>
    <t>GOODWIN, ANTHONY et al</t>
  </si>
  <si>
    <t>DONNER CREEK VILLAGE AMD LT 265 BLK A</t>
  </si>
  <si>
    <t>4637 REGGIE RD</t>
  </si>
  <si>
    <t xml:space="preserve">HOANG, THUY K </t>
  </si>
  <si>
    <t xml:space="preserve">PYRAMID REAL ESTATE INV LLC </t>
  </si>
  <si>
    <t>DONNER CREEK VILLAGE AMD LT 261 BLK A</t>
  </si>
  <si>
    <t>4609 REGGIE RD</t>
  </si>
  <si>
    <t xml:space="preserve">BOSCARELLO, TYLER J </t>
  </si>
  <si>
    <t>DONNER CREEK VILLAGE AMD LT 258 BLK A</t>
  </si>
  <si>
    <t>4601 REGGIE RD</t>
  </si>
  <si>
    <t xml:space="preserve">VALVERDE, JOSHUA J </t>
  </si>
  <si>
    <t xml:space="preserve">RUSH, MAREN </t>
  </si>
  <si>
    <t>DONNER CREEK VILLAGE AMD LT 227 BLK A</t>
  </si>
  <si>
    <t>4725 REGGIE RD</t>
  </si>
  <si>
    <t>WONG, KWONG C et al</t>
  </si>
  <si>
    <t>KWAN TERESA</t>
  </si>
  <si>
    <t>2495 BANTRY LN</t>
  </si>
  <si>
    <t>S SAN FRANCISCO</t>
  </si>
  <si>
    <t xml:space="preserve">ROSS, JAMES M   </t>
  </si>
  <si>
    <t>DONNER CREEK VILLAGE AMD LT 243 BLK A</t>
  </si>
  <si>
    <t>4749 REGGIE RD</t>
  </si>
  <si>
    <t xml:space="preserve">BIRMINGHAM, RAYMOND </t>
  </si>
  <si>
    <t>DONNER CREEK VILLAGE AMD LT 249 BLK A</t>
  </si>
  <si>
    <t>4418 MATICH DR</t>
  </si>
  <si>
    <t xml:space="preserve">PHAM , CHI  </t>
  </si>
  <si>
    <t xml:space="preserve">4418 MATICH DR </t>
  </si>
  <si>
    <t>DONNER CREEK VILLAGE AMD LT 172 BLK A</t>
  </si>
  <si>
    <t>4422 MATICH DR</t>
  </si>
  <si>
    <t xml:space="preserve">WEEKS, CAROLYN M </t>
  </si>
  <si>
    <t>WEEKS, CAROLYN M et al</t>
  </si>
  <si>
    <t>DONNER CREEK VILLAGE AMD LT 170 BLK A</t>
  </si>
  <si>
    <t>5001 REGGIE RD</t>
  </si>
  <si>
    <t xml:space="preserve">RAMIREZ, ARMANDO JR </t>
  </si>
  <si>
    <t xml:space="preserve">KENNEDY, ANN </t>
  </si>
  <si>
    <t>DONNER CREEK VILLAGE AMD LT 328 BLK A</t>
  </si>
  <si>
    <t>4945 REGGIE RD</t>
  </si>
  <si>
    <t>DONNER CREEK VILLAGE AMD LT 314 BLK A</t>
  </si>
  <si>
    <t>4476 MATICH DR</t>
  </si>
  <si>
    <t xml:space="preserve">BOTHNE LIVING TRUST  </t>
  </si>
  <si>
    <t>9210 WALKING STICK CT</t>
  </si>
  <si>
    <t xml:space="preserve">REAVES TRUST, SHIRLEY A  </t>
  </si>
  <si>
    <t>DONNER CREEK VILLAGE AMD LT 125 BLK A</t>
  </si>
  <si>
    <t>4560 MATICH DR</t>
  </si>
  <si>
    <t xml:space="preserve">VEREMYOVA, TATYANA </t>
  </si>
  <si>
    <t>DONNER CREEK VILLAGE AMD LT 151 BLK A</t>
  </si>
  <si>
    <t>4640 RIO POCO RD</t>
  </si>
  <si>
    <t xml:space="preserve">BROWN, DANIEL C </t>
  </si>
  <si>
    <t>4640 RIO POCO DR</t>
  </si>
  <si>
    <t xml:space="preserve">IMSDAHL INVESTMENTS LLC </t>
  </si>
  <si>
    <t>DONNER CREEK VILLAGE AMD LT 63 BLK A</t>
  </si>
  <si>
    <t>4642 RIO POCO RD</t>
  </si>
  <si>
    <t xml:space="preserve">STAFFORD, DENNIS </t>
  </si>
  <si>
    <t>60 DARILYN LN</t>
  </si>
  <si>
    <t>DONNER CREEK VILLAGE AMD LT 64 BLK A</t>
  </si>
  <si>
    <t>5021 REGGIE RD</t>
  </si>
  <si>
    <t xml:space="preserve">HUNT, MARY A </t>
  </si>
  <si>
    <t xml:space="preserve">WAGSTROM, JUDY </t>
  </si>
  <si>
    <t>DONNER CREEK VILLAGE 1 AMD 1 LT 7 BLK A</t>
  </si>
  <si>
    <t>4708 RIO POCO RD</t>
  </si>
  <si>
    <t xml:space="preserve">WALKER , BILL D  </t>
  </si>
  <si>
    <t>160 ROGERS CT</t>
  </si>
  <si>
    <t>DONNER CREEK VILLAGE 1 AMD LT 29 BLK A</t>
  </si>
  <si>
    <t>4706 RIO POCO RD</t>
  </si>
  <si>
    <t>DONNER CREEK VLG AMD</t>
  </si>
  <si>
    <t xml:space="preserve">MALONE, LEE ANN </t>
  </si>
  <si>
    <t xml:space="preserve">JDS NV I LLC </t>
  </si>
  <si>
    <t>DONNER CREEK VILLAGE 1 AMD LT 32 BLK A</t>
  </si>
  <si>
    <t>4696 RIO POCO RD</t>
  </si>
  <si>
    <t>DONNER CREEK VILLAGE 1 AMD LT 35 BLK A</t>
  </si>
  <si>
    <t>4692 RIO POCO RD</t>
  </si>
  <si>
    <t xml:space="preserve">DONAHOE, SAMUEL J  </t>
  </si>
  <si>
    <t xml:space="preserve">4692 RIO POCO DR </t>
  </si>
  <si>
    <t xml:space="preserve">SMITH, GAVIN M </t>
  </si>
  <si>
    <t>DONNER CREEK VILLAGE 1 AMD LT 37 BLK A</t>
  </si>
  <si>
    <t>4690 RIO POCO RD</t>
  </si>
  <si>
    <t xml:space="preserve">ADAMS, JENNIFER A </t>
  </si>
  <si>
    <t>DONNER CREEK VILLAGE 1 AMD LT 40 BLK A</t>
  </si>
  <si>
    <t>4075 LEEWARD CT</t>
  </si>
  <si>
    <t xml:space="preserve">SIEGEL, MARLENE C </t>
  </si>
  <si>
    <t xml:space="preserve">BENDER, CAROL A </t>
  </si>
  <si>
    <t>THE VILLAGES UNIT 1 LT 108 BLK D</t>
  </si>
  <si>
    <t>4306 LORETO LN</t>
  </si>
  <si>
    <t xml:space="preserve">LAU, PATRICK H </t>
  </si>
  <si>
    <t xml:space="preserve">4306 LORETO LN </t>
  </si>
  <si>
    <t xml:space="preserve">HARDIN TRUST, LILAS J  </t>
  </si>
  <si>
    <t>VILLAGES 1 LT 81 BLK C</t>
  </si>
  <si>
    <t>4051 SNOWSHOE LN</t>
  </si>
  <si>
    <t xml:space="preserve">SILTMAN, STARR </t>
  </si>
  <si>
    <t xml:space="preserve">EVERETT, DIANE E </t>
  </si>
  <si>
    <t>VILLAGES 1 LT 22 BLK A</t>
  </si>
  <si>
    <t>4332 LORETO LN</t>
  </si>
  <si>
    <t xml:space="preserve">BACKMAN, MARK </t>
  </si>
  <si>
    <t xml:space="preserve">KOHL TRUST, ANNE  </t>
  </si>
  <si>
    <t>VILLAGES UT 1 LT 68 BLK C</t>
  </si>
  <si>
    <t>4551 CREEKSIDE CIR</t>
  </si>
  <si>
    <t>DYKINS, IAIN S et al</t>
  </si>
  <si>
    <t>4551 CREEKSIDE CR</t>
  </si>
  <si>
    <t>VILLAGES 2 AMD LT 48 BLK C</t>
  </si>
  <si>
    <t>3188 JOSHUAPARK DR</t>
  </si>
  <si>
    <t>RESHEL LLC U/C</t>
  </si>
  <si>
    <t>C/O EVERGREEN NOTE SERVICING</t>
  </si>
  <si>
    <t>295 HOLCOMB AVE # 3</t>
  </si>
  <si>
    <t>ROSEWOOD LAKES 2 LT 6 BLK C</t>
  </si>
  <si>
    <t>4724 PARKPOINT CT</t>
  </si>
  <si>
    <t xml:space="preserve">MICHAUD, WILLIAM J </t>
  </si>
  <si>
    <t>ROSEWOOD LAKES 2 LT 20 BLK D</t>
  </si>
  <si>
    <t>4708 HYDEPARK CT</t>
  </si>
  <si>
    <t xml:space="preserve">DEBAUW, HELEN R &amp; JOHN M </t>
  </si>
  <si>
    <t>ROSEWOOD LAKES 2 LT 7 BLK D</t>
  </si>
  <si>
    <t>3258 JOSHUAPARK DR</t>
  </si>
  <si>
    <t>ROSEWOOD LAKES SUB UT 2</t>
  </si>
  <si>
    <t xml:space="preserve">KOCH, ALFRED C </t>
  </si>
  <si>
    <t xml:space="preserve">HAYNES, JAMES E &amp; JEAN M </t>
  </si>
  <si>
    <t>ROSEWOOD LAKES 2 LT 2 BLK D</t>
  </si>
  <si>
    <t>2865 FAIRWOOD DR</t>
  </si>
  <si>
    <t xml:space="preserve">HAMLYN , RAYMOND E &amp; NANCY  </t>
  </si>
  <si>
    <t xml:space="preserve">HAMLYN , RAYMOND E  </t>
  </si>
  <si>
    <t>ROSEWOOD LAKES 4 LT 31 BLK E</t>
  </si>
  <si>
    <t>3090 FAIRWOOD DR</t>
  </si>
  <si>
    <t xml:space="preserve">WILSON REV LIVING TRUST, LOWELL E  </t>
  </si>
  <si>
    <t>2403 HYDRUS AVE</t>
  </si>
  <si>
    <t>ROSEWOOD LAKES 3 LT 20 BLK F</t>
  </si>
  <si>
    <t>4521 PARK ROSE CIR</t>
  </si>
  <si>
    <t xml:space="preserve">MADOLE, JOHN D JR &amp; DIANE C </t>
  </si>
  <si>
    <t xml:space="preserve">ZDUNICH, STEPHEN L </t>
  </si>
  <si>
    <t>ROSEVIEW 1 LT 20 BLK A</t>
  </si>
  <si>
    <t>4533 PARK ROSE CIR</t>
  </si>
  <si>
    <t>ROSEVIEW SUB 1</t>
  </si>
  <si>
    <t xml:space="preserve">DODD, VINCENT E </t>
  </si>
  <si>
    <t>ROSEVIEW 1 LT 17 BLK A</t>
  </si>
  <si>
    <t>4541 PARK ROSE CIR</t>
  </si>
  <si>
    <t xml:space="preserve">ADAMS, KENNA </t>
  </si>
  <si>
    <t>ROSEVIEW 1 LT 15 BLK A</t>
  </si>
  <si>
    <t>3115 WINTER ROSE CIR</t>
  </si>
  <si>
    <t xml:space="preserve">HOLLAND, SUSAN  </t>
  </si>
  <si>
    <t xml:space="preserve">3115 WINTER ROSE CIR </t>
  </si>
  <si>
    <t xml:space="preserve">MILLS, ELIZABETH A </t>
  </si>
  <si>
    <t>ROSEVIEW 2 LT 117 BLK A</t>
  </si>
  <si>
    <t>4594 SAGE ROSE WAY</t>
  </si>
  <si>
    <t>WANG, CHUNYAN et al</t>
  </si>
  <si>
    <t xml:space="preserve">KANG QINYAN </t>
  </si>
  <si>
    <t xml:space="preserve">ARELLANO-TORRES, GABINO </t>
  </si>
  <si>
    <t>ROSEVIEW UT 2 LOT 84 BLK A</t>
  </si>
  <si>
    <t>4720 MOUNTAIN QUAIL CT</t>
  </si>
  <si>
    <t xml:space="preserve">BALDWIN, FLORENCE L </t>
  </si>
  <si>
    <t>140 LAKECREST CT</t>
  </si>
  <si>
    <t xml:space="preserve">PETERSON FAMILY TRUST, GLENN C JR  </t>
  </si>
  <si>
    <t>HERONS LANDING 1 LT 13</t>
  </si>
  <si>
    <t>4770 MOUNTAIN QUAIL CT</t>
  </si>
  <si>
    <t xml:space="preserve">CARTER, ANGELA  </t>
  </si>
  <si>
    <t xml:space="preserve">4770 MOUNTAIN QUAIL CT </t>
  </si>
  <si>
    <t xml:space="preserve">BARTON, JARA </t>
  </si>
  <si>
    <t>HERONS LANDING 1 LT 8</t>
  </si>
  <si>
    <t>3440 HERON`S LANDING DR</t>
  </si>
  <si>
    <t xml:space="preserve">TAFOYA, PAUL S &amp; SALLY M </t>
  </si>
  <si>
    <t>9505 GRASS VALLEY RD</t>
  </si>
  <si>
    <t xml:space="preserve">LONG, RONALD R &amp; ELIZABETH A </t>
  </si>
  <si>
    <t>HERONS LANDING 1 LT 21</t>
  </si>
  <si>
    <t>3570 HERON`S LANDING DR</t>
  </si>
  <si>
    <t xml:space="preserve">BEKOWICH FAMILY TRUST  </t>
  </si>
  <si>
    <t xml:space="preserve">HEIMSOTH, ALAN R </t>
  </si>
  <si>
    <t>HERON`S LANDING 1 LT 34</t>
  </si>
  <si>
    <t>3524 HERON`S CIR</t>
  </si>
  <si>
    <t xml:space="preserve">MENGELKAMP, DAVID M  </t>
  </si>
  <si>
    <t xml:space="preserve">GILLILAND, SEAN M </t>
  </si>
  <si>
    <t>HERON`S LANDING 1 LT 134</t>
  </si>
  <si>
    <t>3533 HERON`S CIR</t>
  </si>
  <si>
    <t xml:space="preserve">CENDEJAS, MADONNA A </t>
  </si>
  <si>
    <t>P O BOX 51918</t>
  </si>
  <si>
    <t>95151</t>
  </si>
  <si>
    <t xml:space="preserve">GASH FAMILY TRUST, RONALD R  </t>
  </si>
  <si>
    <t>HERONS LANDING 1 LT 153</t>
  </si>
  <si>
    <t>3817 HERON`S LANDING DR</t>
  </si>
  <si>
    <t xml:space="preserve">BEKOWICH, RADWAN S &amp; JANE L  </t>
  </si>
  <si>
    <t xml:space="preserve">MCWAIN, RONALD E  </t>
  </si>
  <si>
    <t>HERONS LANDING 2 LT 74</t>
  </si>
  <si>
    <t>4983 HOMBRE WAY</t>
  </si>
  <si>
    <t xml:space="preserve">GORE , JAY R &amp; PATRICIA J  </t>
  </si>
  <si>
    <t xml:space="preserve">FOOTE REVOCABLE LIVING TRUST  </t>
  </si>
  <si>
    <t>HOMBRE WAY LT 3</t>
  </si>
  <si>
    <t>2475 SOLARI DR</t>
  </si>
  <si>
    <t xml:space="preserve">PAULS, NICK G &amp; IRENE L  </t>
  </si>
  <si>
    <t xml:space="preserve">890 NEPTUNE CT </t>
  </si>
  <si>
    <t>SKYLINE HEIGHTS 2 LT 20</t>
  </si>
  <si>
    <t>2430 SOLARI DR</t>
  </si>
  <si>
    <t xml:space="preserve">BATORY, KEITH D &amp; CHRIS A </t>
  </si>
  <si>
    <t>PO BOX 1169</t>
  </si>
  <si>
    <t xml:space="preserve">BATORY, BOLESLAW J </t>
  </si>
  <si>
    <t>SKYLINE HEIGHTS 2 LT 16</t>
  </si>
  <si>
    <t>2300 SOLARI DR</t>
  </si>
  <si>
    <t xml:space="preserve">KLAICH, NICHOLAS &amp; KATHERINE L </t>
  </si>
  <si>
    <t>ANDERSON, STEVEN et al</t>
  </si>
  <si>
    <t>SKYLINE HEIGHTS 1 LT 6 BLK 4</t>
  </si>
  <si>
    <t>2535 SKYLINE BLVD</t>
  </si>
  <si>
    <t xml:space="preserve">TSIOPOS, LAZARUS G  </t>
  </si>
  <si>
    <t>SKYLINE HEIGHTS 2 LT 4</t>
  </si>
  <si>
    <t>2385 MUELLER DR</t>
  </si>
  <si>
    <t>SKYLINE HEIGHTS 4</t>
  </si>
  <si>
    <t xml:space="preserve">EVANS, ARTHUR G </t>
  </si>
  <si>
    <t>6716 W WAKEFIELD DR</t>
  </si>
  <si>
    <t>ALEXANDRIA</t>
  </si>
  <si>
    <t>023-023-15</t>
  </si>
  <si>
    <t>SKYLINE HEIGHTS 4 FR LT 1 BLK D  RS 4212 LT 3A</t>
  </si>
  <si>
    <t>2725 SOLARI DR</t>
  </si>
  <si>
    <t xml:space="preserve">ALBRIGHT, THOMAS &amp; KATIA </t>
  </si>
  <si>
    <t xml:space="preserve">NATIONAL EQUITY INC  &amp; N P, DODGE JR TRUST  </t>
  </si>
  <si>
    <t>SKYLINE HEIGHTS 5 LT 3</t>
  </si>
  <si>
    <t>2390 PATIDAR DR</t>
  </si>
  <si>
    <t>PM 2597</t>
  </si>
  <si>
    <t xml:space="preserve">STAYNER REVOCABLE TRUST, ROBERT A &amp; ISABEL M  </t>
  </si>
  <si>
    <t>PO BOX 8685</t>
  </si>
  <si>
    <t xml:space="preserve">STAYNER, ROBERT A </t>
  </si>
  <si>
    <t>023-090-03</t>
  </si>
  <si>
    <t>PM 2597 LT A</t>
  </si>
  <si>
    <t>3261 SAN SIMEON CT</t>
  </si>
  <si>
    <t xml:space="preserve">FRANZ, MICHAEL M &amp; MARIANNE S </t>
  </si>
  <si>
    <t>3261 SAN SIMION CT</t>
  </si>
  <si>
    <t>WALKER, MARGO  et al</t>
  </si>
  <si>
    <t>SOUTHWEST TERRACE 1 LT 15</t>
  </si>
  <si>
    <t>3247 SAN SIMEON CT</t>
  </si>
  <si>
    <t xml:space="preserve">NELLOR FAMILY TRUST  </t>
  </si>
  <si>
    <t>SOUTHWEST TERRACE 1 LT 22</t>
  </si>
  <si>
    <t>3660 PLUMAS ST</t>
  </si>
  <si>
    <t xml:space="preserve">SCHOW, STEPHEN J </t>
  </si>
  <si>
    <t>PO BOX 34628</t>
  </si>
  <si>
    <t>GREENFIELD S 71.94` LT 8; N 78.06` LT 9 BLK A</t>
  </si>
  <si>
    <t>2150 SIERRA SAGE LN</t>
  </si>
  <si>
    <t>FR SE4 OF NW4</t>
  </si>
  <si>
    <t xml:space="preserve">ROTTMAN, RICHARD </t>
  </si>
  <si>
    <t>850 E WILLIIAM ST</t>
  </si>
  <si>
    <t>FR SE4 NW4 SEC 26 TWP 19 RGE 19</t>
  </si>
  <si>
    <t>2150 SKYLINE BLVD</t>
  </si>
  <si>
    <t>SKYLINE HEIGHTS 1 +</t>
  </si>
  <si>
    <t>MOODY, GREGORY C et al</t>
  </si>
  <si>
    <t>HOLDER-MOODY STEPHANIE M</t>
  </si>
  <si>
    <t>1028 CUSTER ST</t>
  </si>
  <si>
    <t>OAK HARBOR</t>
  </si>
  <si>
    <t>98277</t>
  </si>
  <si>
    <t>SKYLINE HEIGHTS 1 LT 6 BLK 2 + STRIP</t>
  </si>
  <si>
    <t>3995 SKYLINE BLVD</t>
  </si>
  <si>
    <t xml:space="preserve">NORRIS , JACOB E  </t>
  </si>
  <si>
    <t xml:space="preserve">3995 SKYLINE BLVD </t>
  </si>
  <si>
    <t>TWIN LAKES EST 1 LT 30 BLK H</t>
  </si>
  <si>
    <t>3880 PICCADILLY DR</t>
  </si>
  <si>
    <t xml:space="preserve">QUERAL, JUSTIN R </t>
  </si>
  <si>
    <t xml:space="preserve">LUTSCH, PATRICK </t>
  </si>
  <si>
    <t>SKYLINE HEIGHTS 6 LT 4</t>
  </si>
  <si>
    <t>3845 PICCADILLY DR</t>
  </si>
  <si>
    <t xml:space="preserve">ROMSKA, JEFFERY L &amp; KIMBERLY N  </t>
  </si>
  <si>
    <t xml:space="preserve">3845 PICCADILLY DR </t>
  </si>
  <si>
    <t xml:space="preserve">ESSLINGER, PEGGY R &amp; DAVID G  </t>
  </si>
  <si>
    <t>TWIN LAKES EST 1 LT 24 BLK P</t>
  </si>
  <si>
    <t>1495 MANZANITA LN</t>
  </si>
  <si>
    <t xml:space="preserve">CARANO FAMILY TRUST, GARY L  </t>
  </si>
  <si>
    <t xml:space="preserve">REGAN FAMILY TRUST, MOLLY   </t>
  </si>
  <si>
    <t>LAKE RIDGE 1 LT 4</t>
  </si>
  <si>
    <t>4550 PLUMAS ST</t>
  </si>
  <si>
    <t>LAKE RIDGE 2</t>
  </si>
  <si>
    <t xml:space="preserve">WHEELER, NEIL  </t>
  </si>
  <si>
    <t xml:space="preserve">4550 PLUMAS ST </t>
  </si>
  <si>
    <t>BRESLIN, DENISE et al</t>
  </si>
  <si>
    <t>LAKE RIDGE 2 LT 220</t>
  </si>
  <si>
    <t>3330 NORMAN DR</t>
  </si>
  <si>
    <t xml:space="preserve">JOLIE, MARK F &amp; LAURA A  </t>
  </si>
  <si>
    <t xml:space="preserve">DYE, EDWARD R &amp; SANDRA A </t>
  </si>
  <si>
    <t>SOUTHWEST TERRACE 2 LT 20</t>
  </si>
  <si>
    <t>3455 NORMAN CIR</t>
  </si>
  <si>
    <t xml:space="preserve">BANDUCCI, JOANNE M </t>
  </si>
  <si>
    <t>SOUTHWEST TERRACE 3 LT 18</t>
  </si>
  <si>
    <t>3510 SAN MATEO AVE</t>
  </si>
  <si>
    <t>SOUTHWEST TERRACE 3A</t>
  </si>
  <si>
    <t xml:space="preserve">VALENTINE, RICHARD K </t>
  </si>
  <si>
    <t xml:space="preserve">SOUTHWEST TERRACE 3A LT 67 </t>
  </si>
  <si>
    <t>4940 PLUMAS ST</t>
  </si>
  <si>
    <t>LAKERIDGE GREEN 1</t>
  </si>
  <si>
    <t>BRANDIN, JILL F et al</t>
  </si>
  <si>
    <t>PO BOX 6899</t>
  </si>
  <si>
    <t>LAKERIDGE GREEN 1 LT A-103</t>
  </si>
  <si>
    <t>1700 SANDPOINT CIR</t>
  </si>
  <si>
    <t>LAKE RIDGE 3</t>
  </si>
  <si>
    <t xml:space="preserve">MEYER LIVING TRUST, EZRA A &amp; ABBY G  </t>
  </si>
  <si>
    <t xml:space="preserve">MEYER, EZRA A &amp; ABBY G </t>
  </si>
  <si>
    <t>LAKE RIDGE 3 LT 312</t>
  </si>
  <si>
    <t>2101 LAKERIDGE DR</t>
  </si>
  <si>
    <t xml:space="preserve">LAVALLEE, JOE &amp; RENEE </t>
  </si>
  <si>
    <t xml:space="preserve">2101 LAKERIDGE DR  </t>
  </si>
  <si>
    <t xml:space="preserve">LAVALEE, JOE &amp; RENEE </t>
  </si>
  <si>
    <t>LAKE RIDGE UT 3  LT 325</t>
  </si>
  <si>
    <t>5195 RIO PINAR DR</t>
  </si>
  <si>
    <t xml:space="preserve">MCQUIDE, DOUGLAS D &amp; CAROL A </t>
  </si>
  <si>
    <t xml:space="preserve">HEWITT, HAROLD W </t>
  </si>
  <si>
    <t>LAKE RIDGE 3 LT 357</t>
  </si>
  <si>
    <t>1928 VILLA WAY S</t>
  </si>
  <si>
    <t>VILLAS AT LAKERIDGE 1</t>
  </si>
  <si>
    <t xml:space="preserve">SHIPLEY, JARED A </t>
  </si>
  <si>
    <t xml:space="preserve">HEDGES FAMILY TRUST  </t>
  </si>
  <si>
    <t>VILLAS AT LAKERIDGE 1 LT 1928C</t>
  </si>
  <si>
    <t>5014 LAKERIDGE TER E</t>
  </si>
  <si>
    <t xml:space="preserve">HAY TRUST, PAMELA R   </t>
  </si>
  <si>
    <t>5014 E LAKERIDGE TERR</t>
  </si>
  <si>
    <t xml:space="preserve">DUNN, JOHN S &amp; MYRNA L </t>
  </si>
  <si>
    <t>LAKERIDGE TERRACE 1 LT 2</t>
  </si>
  <si>
    <t>5032 LAKERIDGE TER E</t>
  </si>
  <si>
    <t xml:space="preserve">KATSEANES, JOHN &amp; KATE </t>
  </si>
  <si>
    <t>1614 CRESTWOOD DR</t>
  </si>
  <si>
    <t>LAKERIDGE TERRACE 1 LT 9</t>
  </si>
  <si>
    <t>5060 LAKERIDGE TER E</t>
  </si>
  <si>
    <t>LAKERIDGE TERRACE 2</t>
  </si>
  <si>
    <t>4869 LAKERIDGE TER W</t>
  </si>
  <si>
    <t>LAKERIDGE TERRACE 2 LT 22</t>
  </si>
  <si>
    <t>5050 LAKERIDGE TER E</t>
  </si>
  <si>
    <t xml:space="preserve">WOLGAST FAMILY TRUST, DAVID W   </t>
  </si>
  <si>
    <t>306 WATERWOOD DR</t>
  </si>
  <si>
    <t>YAHALA</t>
  </si>
  <si>
    <t>34797</t>
  </si>
  <si>
    <t>PETERSON, MARK  et al</t>
  </si>
  <si>
    <t>LAKERIDGE TERRACE 2 LT 15</t>
  </si>
  <si>
    <t>5056 LAKERIDGE TER E</t>
  </si>
  <si>
    <t xml:space="preserve">JONES, SHARON L &amp; DOYLE W </t>
  </si>
  <si>
    <t>2905 ALPINE CREEK RD</t>
  </si>
  <si>
    <t xml:space="preserve">CASS, MELANIE  </t>
  </si>
  <si>
    <t>LAKERIDGE TERRACE 2 LT 16</t>
  </si>
  <si>
    <t>5062 LAKERIDGE TER E</t>
  </si>
  <si>
    <t xml:space="preserve">NEWMAN FAMILY TRUST  </t>
  </si>
  <si>
    <t>WENDELL K &amp; JOYCE A NEWMAN TRUSTEES</t>
  </si>
  <si>
    <t>35 LEWERS CREEK RD</t>
  </si>
  <si>
    <t>LAKERIDGE TERRACE 2 LT 17</t>
  </si>
  <si>
    <t>3595 GIBRALTAR DR</t>
  </si>
  <si>
    <t xml:space="preserve">POWERS, TIMOTHY P &amp; SUSANNA </t>
  </si>
  <si>
    <t xml:space="preserve">DAVIS FAMILY TRUST, RAYMOND &amp; LOUISE  </t>
  </si>
  <si>
    <t>SKYLINE CREST 1 LT 103 BLK C</t>
  </si>
  <si>
    <t>2125 PARKRIDGE CIR</t>
  </si>
  <si>
    <t>LAKERIDGE HEIGHTS</t>
  </si>
  <si>
    <t xml:space="preserve">GOULD, ROXANNE </t>
  </si>
  <si>
    <t>11458 TUNNEL HILL WAY</t>
  </si>
  <si>
    <t xml:space="preserve">EDMONDSON, LEE D &amp; VICTORIA L </t>
  </si>
  <si>
    <t>LAKERIDGE HEIGHTS AMD LT 1</t>
  </si>
  <si>
    <t>ANLC</t>
  </si>
  <si>
    <t>4803 LAKERIDGE TER W</t>
  </si>
  <si>
    <t>LAKERIDGE TERR W UT 1 480</t>
  </si>
  <si>
    <t xml:space="preserve">JOHNSON FAMILY  1998 TRUST  </t>
  </si>
  <si>
    <t xml:space="preserve">4803 W LAKERIDGE TERRACE </t>
  </si>
  <si>
    <t xml:space="preserve">JOHNSON , DAVID &amp; KATHLEEN  </t>
  </si>
  <si>
    <t>LAKERIDGE TERR W UT 1 4803</t>
  </si>
  <si>
    <t>4819 LAKERIDGE TER W</t>
  </si>
  <si>
    <t xml:space="preserve">JONES TRUST  </t>
  </si>
  <si>
    <t xml:space="preserve">4819 W LAKERIDGE TERRACE </t>
  </si>
  <si>
    <t xml:space="preserve">MOORE FAMILY TRUST  </t>
  </si>
  <si>
    <t>LAKERIDGE TERRACE WEST UNIT ONE LOT 4819</t>
  </si>
  <si>
    <t>4817 LAKERIDGE TER W</t>
  </si>
  <si>
    <t xml:space="preserve">HO, LESTER  </t>
  </si>
  <si>
    <t>LAKERIDGE TERRACE WEST 1 LT 4817</t>
  </si>
  <si>
    <t>1860 VILLA WAY</t>
  </si>
  <si>
    <t xml:space="preserve">BITZ, KELLY S &amp; FREDERICK G </t>
  </si>
  <si>
    <t>VILLAS AT LAKERIDGE UT 2 LT 1860C</t>
  </si>
  <si>
    <t>1932 VILLA WAY S</t>
  </si>
  <si>
    <t xml:space="preserve">DE FRANCHESSIN, LIONEL &amp; MARIELLE </t>
  </si>
  <si>
    <t>1932 S VILLA WY</t>
  </si>
  <si>
    <t xml:space="preserve">DAVIS FAMILY TRUST, FREDERICK A JR  </t>
  </si>
  <si>
    <t>VILLAS AT LAKERIDGE 2 LT 1932A</t>
  </si>
  <si>
    <t>3497 SKYLINE BLVD</t>
  </si>
  <si>
    <t>ZDENKOVA, VERONIKA L et al</t>
  </si>
  <si>
    <t>MAUSERT MARK L</t>
  </si>
  <si>
    <t>P O BOX 71032</t>
  </si>
  <si>
    <t xml:space="preserve">WESTIN TRUST, SANDRA L  </t>
  </si>
  <si>
    <t>SKYLINE VILLA TH LT 12 BLK E</t>
  </si>
  <si>
    <t>3385 SKYLINE BLVD</t>
  </si>
  <si>
    <t>SKYLINE VILLA TOWNHOUSES</t>
  </si>
  <si>
    <t xml:space="preserve">MILLER, KENNETH G </t>
  </si>
  <si>
    <t>3010 VILLA MARBELLA CIR</t>
  </si>
  <si>
    <t xml:space="preserve">BARTLETT LIVING TRUST, MARY L  </t>
  </si>
  <si>
    <t>SKYLINE VILLA TH LT 59</t>
  </si>
  <si>
    <t>3353 SKYLINE BLVD</t>
  </si>
  <si>
    <t xml:space="preserve">SAWTELL 2006 TRUST, SHARRON G  </t>
  </si>
  <si>
    <t xml:space="preserve">MISCHKER FAMILY TRUST, RALPH A &amp; NINA M   </t>
  </si>
  <si>
    <t>SKYLINE VILLA TOWNHOUSES LOT 82</t>
  </si>
  <si>
    <t>4931 LAKERIDGE TER W</t>
  </si>
  <si>
    <t>LAKERIDGE TERRACE WEST 2</t>
  </si>
  <si>
    <t xml:space="preserve">MATSUMOTO 1991 REVOCABLE TRUST, MARILYNN M   </t>
  </si>
  <si>
    <t>99-1041 MANAKO ST</t>
  </si>
  <si>
    <t xml:space="preserve">MATSUMOTO , MARILYNN M  </t>
  </si>
  <si>
    <t>LAKERIDGE TERRACE WEST 2 LT 4931</t>
  </si>
  <si>
    <t>1665 WENDY WAY</t>
  </si>
  <si>
    <t xml:space="preserve">FROSLIE, ROGER &amp; LINDA  </t>
  </si>
  <si>
    <t>1140 W PECKHAM LN</t>
  </si>
  <si>
    <t>PM 2511</t>
  </si>
  <si>
    <t xml:space="preserve">MURRAY, KEVIN &amp; LYNNE  </t>
  </si>
  <si>
    <t xml:space="preserve">1140 W PECKHAM LN </t>
  </si>
  <si>
    <t xml:space="preserve">MALAGON, IXTLACCIHUATL </t>
  </si>
  <si>
    <t>023-490-03</t>
  </si>
  <si>
    <t>PM 2511 LT A</t>
  </si>
  <si>
    <t>1150 W PECKHAM LN</t>
  </si>
  <si>
    <t xml:space="preserve">BRIDGEPORT GROUP LLC </t>
  </si>
  <si>
    <t>PM 2511 LT B</t>
  </si>
  <si>
    <t>1170 SWEETWATER DR</t>
  </si>
  <si>
    <t>SWEET WATER RESIDENTAL TRUST et al</t>
  </si>
  <si>
    <t xml:space="preserve">SWEET WATER RESIDENTAL TRUST  </t>
  </si>
  <si>
    <t>2235 MUELLER DR</t>
  </si>
  <si>
    <t xml:space="preserve">DISCOVERY COVE TRUST  </t>
  </si>
  <si>
    <t>SKYLINE HEIGHTS 4 LT 6 BLK C</t>
  </si>
  <si>
    <t>2370 MUELLER DR</t>
  </si>
  <si>
    <t xml:space="preserve">GROSSMAN, AARON R &amp; DIXIE R  </t>
  </si>
  <si>
    <t xml:space="preserve">GARRETT LIVING TRUST, DONALD &amp; MARGARET  </t>
  </si>
  <si>
    <t>SKYLINE HEIGHTS 4 LT 18 BLK B</t>
  </si>
  <si>
    <t>3135 CASHILL BLVD</t>
  </si>
  <si>
    <t>SKYLINE VILLAGE LOWER</t>
  </si>
  <si>
    <t xml:space="preserve">HALL LIVING TRUST, EVE LINDA  </t>
  </si>
  <si>
    <t>69631 EAST LAKE CT</t>
  </si>
  <si>
    <t>DESERT HOT SPRINGS</t>
  </si>
  <si>
    <t>92241</t>
  </si>
  <si>
    <t xml:space="preserve">HALL, EVE L  </t>
  </si>
  <si>
    <t>SKYLINE VILLAGE LT E9  LOWER BLK E</t>
  </si>
  <si>
    <t>3075 CASHILL BLVD</t>
  </si>
  <si>
    <t xml:space="preserve">LUND, NICOLE </t>
  </si>
  <si>
    <t xml:space="preserve">BALDERSTON, GLEN R </t>
  </si>
  <si>
    <t>SKYLINE VILLAGE LT C4 LOWER BLK C</t>
  </si>
  <si>
    <t>1970 VILLA WAY S</t>
  </si>
  <si>
    <t xml:space="preserve">RODRIGUE, THOMAS R </t>
  </si>
  <si>
    <t xml:space="preserve">1970 VILLA WAY SOUTH </t>
  </si>
  <si>
    <t xml:space="preserve">KELLY LIVING TRUST, CANDACE D  </t>
  </si>
  <si>
    <t xml:space="preserve">VILLAS AT LAKERIDGE 4 LT 1970B BLK A  </t>
  </si>
  <si>
    <t>2045 SUNBURST WAY</t>
  </si>
  <si>
    <t>VILLAS AT LAKERIDGE NO 4</t>
  </si>
  <si>
    <t xml:space="preserve">HENSON, JOHN M &amp; JONNA JO </t>
  </si>
  <si>
    <t xml:space="preserve">BARLOW FAMILY TRUST  </t>
  </si>
  <si>
    <t>VILLAS AT LAKERDGE UNIT 4 UNIT 2045-D</t>
  </si>
  <si>
    <t>2235 HEDGEWOOD DR</t>
  </si>
  <si>
    <t xml:space="preserve">DURFEE, TRAVIS &amp; PAMELA K  </t>
  </si>
  <si>
    <t xml:space="preserve">GOODERMOTE, MICHAEL &amp; JULIA </t>
  </si>
  <si>
    <t>WARREN EST 1 LT 29 BLK B</t>
  </si>
  <si>
    <t>2201 SADDLE RIDGE CT</t>
  </si>
  <si>
    <t xml:space="preserve">SKYLINE VIEW  </t>
  </si>
  <si>
    <t>AVILES, MARIO A A  et al</t>
  </si>
  <si>
    <t xml:space="preserve">ANGARITA MONICA I F </t>
  </si>
  <si>
    <t>2201 SADDLERIDGE CT</t>
  </si>
  <si>
    <t xml:space="preserve">WEINSTEIN LIVING TRUST, KIVE  </t>
  </si>
  <si>
    <t>SKYLINE VIEW LT 28 BLK B</t>
  </si>
  <si>
    <t>2230 SADDLE RIDGE CT</t>
  </si>
  <si>
    <t xml:space="preserve">KULIKOWSKI REVOCABLE TRUST, GARY &amp; KITTY  </t>
  </si>
  <si>
    <t xml:space="preserve">CARTER, COREY </t>
  </si>
  <si>
    <t>SKYLINE VIEW LT 24 BLK B</t>
  </si>
  <si>
    <t>2340 WIDE HORIZON DR</t>
  </si>
  <si>
    <t>HENRY C &amp; PATRICIA D HICKS TRUSTEE</t>
  </si>
  <si>
    <t>4371 DUNDEE RD</t>
  </si>
  <si>
    <t xml:space="preserve">HICKS, HENRY C &amp; PATRICIA D  </t>
  </si>
  <si>
    <t>SKYLINE VIEW LT 89 BLK G</t>
  </si>
  <si>
    <t>2376 SILVER RIDGE DR</t>
  </si>
  <si>
    <t xml:space="preserve">GODDARD FAMILY TRUST  </t>
  </si>
  <si>
    <t xml:space="preserve">GODDARD, VIRGINIA M </t>
  </si>
  <si>
    <t>SKYLINE VIEW LT 64 BLK D</t>
  </si>
  <si>
    <t>2366 SILVER RIDGE DR</t>
  </si>
  <si>
    <t xml:space="preserve">HULLMAN, JAMIE E &amp; GWEN A  </t>
  </si>
  <si>
    <t xml:space="preserve">SALAZAR FAMILY TRUST, RICHARD E &amp; NANCY C  </t>
  </si>
  <si>
    <t>SKYLINE VIEW LT 62 BLK D</t>
  </si>
  <si>
    <t>2342 SILVER RIDGE DR</t>
  </si>
  <si>
    <t xml:space="preserve">HILL-THOMAS, GARRY K &amp; ROSANA M </t>
  </si>
  <si>
    <t xml:space="preserve">GRIFFIN, MATTHEW </t>
  </si>
  <si>
    <t>SKYLINE VIEW LT 57 BLK D</t>
  </si>
  <si>
    <t>2399 WIDE HORIZON DR</t>
  </si>
  <si>
    <t>SURAL, MEGHAN K  et al</t>
  </si>
  <si>
    <t xml:space="preserve">OTIS, JEFF W </t>
  </si>
  <si>
    <t>SKYLINE VIEW LT 93 BLK F</t>
  </si>
  <si>
    <t>4273 MUIRWOOD CIR</t>
  </si>
  <si>
    <t xml:space="preserve">COLOVICH, ROBERT J &amp; DEBRA P </t>
  </si>
  <si>
    <t>MANZANITA EST LT 42 BLK C</t>
  </si>
  <si>
    <t>4351 AMBERWOOD AVE</t>
  </si>
  <si>
    <t xml:space="preserve">BRANDVOLD, SANDRA </t>
  </si>
  <si>
    <t xml:space="preserve">4351 AMBERWOOD AVE </t>
  </si>
  <si>
    <t>MANZANITA EST LT 97 BLK A</t>
  </si>
  <si>
    <t>2150 AUGUSTA AVE</t>
  </si>
  <si>
    <t xml:space="preserve">MANZANITA EST  </t>
  </si>
  <si>
    <t xml:space="preserve">LESSARD, JOSEPH P &amp; KRISTIN K  </t>
  </si>
  <si>
    <t xml:space="preserve">KAMINSKI, DAVID S &amp; MERRILEE F </t>
  </si>
  <si>
    <t>023-662-33</t>
  </si>
  <si>
    <t>MANZANITA EST LT 1 FR LT 2 BLK B</t>
  </si>
  <si>
    <t>3601 SKYLINE BLVD</t>
  </si>
  <si>
    <t>VISTA DEL SUR AMD</t>
  </si>
  <si>
    <t xml:space="preserve">SHOONG, ROSEMARY L </t>
  </si>
  <si>
    <t>PO BOX 7769</t>
  </si>
  <si>
    <t>023-670-05</t>
  </si>
  <si>
    <t>VISTA DEL SUR LT 31 BLK A</t>
  </si>
  <si>
    <t>ANRA</t>
  </si>
  <si>
    <t xml:space="preserve">RIGGS , JOHN E &amp; BARBARA A  </t>
  </si>
  <si>
    <t>3601-7 SKYLINE BLVD</t>
  </si>
  <si>
    <t xml:space="preserve">HILL, DAVID R </t>
  </si>
  <si>
    <t>023-670-29</t>
  </si>
  <si>
    <t>VISTA DEL SUR LT 7 BLK A</t>
  </si>
  <si>
    <t>4271 DANT BLVD</t>
  </si>
  <si>
    <t>MANZANITA WEST 1</t>
  </si>
  <si>
    <t xml:space="preserve">ZANSLER FAMILY LIVING TRUST  </t>
  </si>
  <si>
    <t xml:space="preserve">ZANSLER, DENNIS A &amp; CANDACE M </t>
  </si>
  <si>
    <t>MANZANITA WEST 1 LT 21 BLK C</t>
  </si>
  <si>
    <t>2363 MANZANITA LN</t>
  </si>
  <si>
    <t xml:space="preserve">SHEEHAN , MARIA C </t>
  </si>
  <si>
    <t xml:space="preserve">2363 MANZANITA LN </t>
  </si>
  <si>
    <t>MANZANITA WEST 2 LT 22 BLK B</t>
  </si>
  <si>
    <t xml:space="preserve">MANZANITA WEST 1 </t>
  </si>
  <si>
    <t xml:space="preserve">LAMBERT FAMILY TRUST, KEN &amp; JENNIFER  </t>
  </si>
  <si>
    <t xml:space="preserve">FOX FAMILY TRUST  </t>
  </si>
  <si>
    <t>MANZANITA WEST 1 LT 24 BLK C</t>
  </si>
  <si>
    <t>3705 LAKESIDE DR</t>
  </si>
  <si>
    <t>PM 4951</t>
  </si>
  <si>
    <t>DOUBLEJACK PROPERTIES LLC  LLC</t>
  </si>
  <si>
    <t xml:space="preserve">11180 VINCENT LN </t>
  </si>
  <si>
    <t xml:space="preserve">LAKESIDE PROFESS CENTER LLC </t>
  </si>
  <si>
    <t>023-131-75</t>
  </si>
  <si>
    <t>PM 4951 LT A</t>
  </si>
  <si>
    <t>4020 WARREN WAY</t>
  </si>
  <si>
    <t xml:space="preserve">FARRELL, DIANE </t>
  </si>
  <si>
    <t xml:space="preserve">SHEPPARD, LOUISE S </t>
  </si>
  <si>
    <t>CORONET SUB 3 LOT 55</t>
  </si>
  <si>
    <t>835 MANZANITA LN</t>
  </si>
  <si>
    <t xml:space="preserve">CHRISTIE, JENNIFER A </t>
  </si>
  <si>
    <t>CORONET 3 LT 70</t>
  </si>
  <si>
    <t>4290 LAKESIDE DR</t>
  </si>
  <si>
    <t xml:space="preserve">BROWN, STEVEN &amp; KATHY </t>
  </si>
  <si>
    <t xml:space="preserve">AUSTIN BLUE LLC </t>
  </si>
  <si>
    <t>CORONET 3 LT 76</t>
  </si>
  <si>
    <t>4155 JASPER LN</t>
  </si>
  <si>
    <t xml:space="preserve">SMITH LIVING TRUST, ROBERT L  </t>
  </si>
  <si>
    <t xml:space="preserve">FLYNN FAMILY TRUST </t>
  </si>
  <si>
    <t>RENADA CREST 1 LT 28  BLK D</t>
  </si>
  <si>
    <t>805 SINGINGWOOD DR</t>
  </si>
  <si>
    <t xml:space="preserve">CAPEL , JAMES R &amp; JEAN F  </t>
  </si>
  <si>
    <t xml:space="preserve">RECANZONE, VIRGINIA M </t>
  </si>
  <si>
    <t>ROBERTS 1 LT 36</t>
  </si>
  <si>
    <t>865 SINGINGWOOD DR</t>
  </si>
  <si>
    <t xml:space="preserve">HILLEN, KEITH &amp; MARY </t>
  </si>
  <si>
    <t>2600 LAKERIDGE SHORES E</t>
  </si>
  <si>
    <t xml:space="preserve">HILLEN, KEITH  </t>
  </si>
  <si>
    <t>ROBERTS 1 LT 42</t>
  </si>
  <si>
    <t>4680 LAKESIDE DR</t>
  </si>
  <si>
    <t>FR W2 SW4</t>
  </si>
  <si>
    <t xml:space="preserve">MORELAND, JEFFREY R </t>
  </si>
  <si>
    <t xml:space="preserve">BAROLI, ALTA L </t>
  </si>
  <si>
    <t>FR W2 SW4 SEC 25 TWP 19 RGE 19</t>
  </si>
  <si>
    <t>860 SINGINGWOOD DR</t>
  </si>
  <si>
    <t>ROBERTS SUB UNIT NO 1</t>
  </si>
  <si>
    <t xml:space="preserve">KING, JAMES R &amp; MICHELLE A </t>
  </si>
  <si>
    <t xml:space="preserve">DECANIO FAMILY TRUST  </t>
  </si>
  <si>
    <t>ROBERTS SUB UNIT NO 1 LOT 50</t>
  </si>
  <si>
    <t>830 SINGINGWOOD DR</t>
  </si>
  <si>
    <t xml:space="preserve">EUSE, VINCENT L </t>
  </si>
  <si>
    <t>2720 PEBBLERIDGE DR</t>
  </si>
  <si>
    <t xml:space="preserve">AKER FAMILY TRUST  </t>
  </si>
  <si>
    <t>ROBERTS 1 LT 47</t>
  </si>
  <si>
    <t>4806 COOL SPRINGS DR</t>
  </si>
  <si>
    <t>ROBERTS 4</t>
  </si>
  <si>
    <t>LEVITT, MICHAEL et al</t>
  </si>
  <si>
    <t>3485 FROST LN</t>
  </si>
  <si>
    <t xml:space="preserve">HALLGREN, SEAN </t>
  </si>
  <si>
    <t>ROBERTS 4 LT 20</t>
  </si>
  <si>
    <t>3600 LAKESIDE DR</t>
  </si>
  <si>
    <t>PM 41 FR</t>
  </si>
  <si>
    <t>CASSINARI ENTERPRISES LLC  LLC</t>
  </si>
  <si>
    <t xml:space="preserve">LOUIS J CASSINARI </t>
  </si>
  <si>
    <t>PO BOX 6183</t>
  </si>
  <si>
    <t xml:space="preserve">NEVADA PIZZA VILLAGE ASSOC LLC </t>
  </si>
  <si>
    <t>PM 41 FR LT 1</t>
  </si>
  <si>
    <t>4795 WARREN WAY</t>
  </si>
  <si>
    <t>ROBERT`S 4 A</t>
  </si>
  <si>
    <t xml:space="preserve">RANGEL, DANIEL JR &amp; CHRISTINA  </t>
  </si>
  <si>
    <t xml:space="preserve">NICKLAUS FAMILY TRUST  </t>
  </si>
  <si>
    <t>ROBERTS 4A LT 41</t>
  </si>
  <si>
    <t>890 PINEBROOK RD</t>
  </si>
  <si>
    <t xml:space="preserve">LITTLE-LANGI FAMILY TRUST  </t>
  </si>
  <si>
    <t>ROBERTS 4B LT 18</t>
  </si>
  <si>
    <t>4865 WARREN WAY</t>
  </si>
  <si>
    <t xml:space="preserve">HUBBELL LIVING TRUST  </t>
  </si>
  <si>
    <t xml:space="preserve">4865 WARREN WAY </t>
  </si>
  <si>
    <t>MARTINELLI / ALASTUEY FAM TR, RICHARD L &amp; RENA T TTEE et al</t>
  </si>
  <si>
    <t>ROBERTS 4A LT 34</t>
  </si>
  <si>
    <t>4183 BAKER LN</t>
  </si>
  <si>
    <t xml:space="preserve">CHRISTIAN, ELAINE </t>
  </si>
  <si>
    <t>1460 WAIANUENUE</t>
  </si>
  <si>
    <t>HILO</t>
  </si>
  <si>
    <t>96720</t>
  </si>
  <si>
    <t>BAKER LANE APTS LT 34 BLK 4 &amp; 1/38TH INT COMMON AR</t>
  </si>
  <si>
    <t>4020 RUTH CT</t>
  </si>
  <si>
    <t>WILLOWBROOK II FR LTS 5C</t>
  </si>
  <si>
    <t xml:space="preserve">HOWARD, MARINA A  </t>
  </si>
  <si>
    <t xml:space="preserve">24045 DOVER LN </t>
  </si>
  <si>
    <t>WILLOWBROOK II FR LTS 5C &amp; 6C</t>
  </si>
  <si>
    <t>3921 GREENBRIAR CT</t>
  </si>
  <si>
    <t>WILLOWBROOK II</t>
  </si>
  <si>
    <t xml:space="preserve">MADDEN FAMILY TRUST  </t>
  </si>
  <si>
    <t>2238 S ARLINGTON AVE</t>
  </si>
  <si>
    <t>WILLOWBROOK II FR LT 14-D &amp; 15-D</t>
  </si>
  <si>
    <t>3901 GREENBRIAR CT</t>
  </si>
  <si>
    <t xml:space="preserve">SCHEURER, HANS J &amp; CARLA L </t>
  </si>
  <si>
    <t xml:space="preserve">ALLEN, DAN  </t>
  </si>
  <si>
    <t>WILLOWBROOK 2 FR LT 15 BLK D</t>
  </si>
  <si>
    <t>WILLOWBROOK II AMENDED LT 56 BLK C</t>
  </si>
  <si>
    <t>345 LORRAINE CT</t>
  </si>
  <si>
    <t xml:space="preserve">CHAPMAN, ARTHUR E &amp; CORINNE A  </t>
  </si>
  <si>
    <t xml:space="preserve">345 LORRAINE CT </t>
  </si>
  <si>
    <t xml:space="preserve">FORD TRUST, ARLENE V  </t>
  </si>
  <si>
    <t>WILLOWBROOK II AMENDED LT 72 BLK D</t>
  </si>
  <si>
    <t>431 ROSE GARDEN CT</t>
  </si>
  <si>
    <t xml:space="preserve">ROWE, WANNEE </t>
  </si>
  <si>
    <t xml:space="preserve">PARKER LIVING TRUST, MARILYN R  </t>
  </si>
  <si>
    <t>WILLOWBROOK II AMD LT 31 BLK B</t>
  </si>
  <si>
    <t>4885 PINESPRINGS DR</t>
  </si>
  <si>
    <t xml:space="preserve">MCCOSKEY, HUBERT E </t>
  </si>
  <si>
    <t xml:space="preserve">MANDICHAK, RICHARD M  </t>
  </si>
  <si>
    <t>ROBERTS 5 LT 21 BLK A</t>
  </si>
  <si>
    <t>3614 LAKESIDE DR</t>
  </si>
  <si>
    <t>LAKESIDE CROSSING AMD</t>
  </si>
  <si>
    <t>Health Club</t>
  </si>
  <si>
    <t>DAYTWA ASSETS LLC et al</t>
  </si>
  <si>
    <t>LAKESIDE CROSSING AMD  LT C-1</t>
  </si>
  <si>
    <t>3612 LAKESIDE DR (PLANT)</t>
  </si>
  <si>
    <t>LAKESIDE CROSSING AMD  FR CA</t>
  </si>
  <si>
    <t>4650 BRITTANY CT</t>
  </si>
  <si>
    <t xml:space="preserve">MOREALI, GARY </t>
  </si>
  <si>
    <t xml:space="preserve">DURFEE, TRAVIS </t>
  </si>
  <si>
    <t>REDFIELD EST LT 19 BLK A</t>
  </si>
  <si>
    <t>310 KILBORNE AVE</t>
  </si>
  <si>
    <t>JIN, TIANFENG et al</t>
  </si>
  <si>
    <t>MARAKIS , STEVE D et al</t>
  </si>
  <si>
    <t>REDFIELD EST LT 20 BLK B</t>
  </si>
  <si>
    <t>CENTURION PLAZA</t>
  </si>
  <si>
    <t>LOGAN FAMILY TRUST TTEE et al</t>
  </si>
  <si>
    <t>CENTURION PLAZA LT 8</t>
  </si>
  <si>
    <t>3875 WARREN WAY</t>
  </si>
  <si>
    <t xml:space="preserve">LAMERS, DONALD A  </t>
  </si>
  <si>
    <t xml:space="preserve">FINE, KYLE J &amp; NATASHA J </t>
  </si>
  <si>
    <t>CENTURION PLAZA LT 11</t>
  </si>
  <si>
    <t>140 SMITHRIDGE PARK</t>
  </si>
  <si>
    <t>SMITHRIDGE PK TOWNHSE #2</t>
  </si>
  <si>
    <t xml:space="preserve">JONES FAMILY TRUST  </t>
  </si>
  <si>
    <t>63 CEDARBROOK CT</t>
  </si>
  <si>
    <t xml:space="preserve">MAYA, ADOLPH JR &amp; KAREN R </t>
  </si>
  <si>
    <t>SMITHRIDGE PARK TOWNHOUSES 2 LT 140</t>
  </si>
  <si>
    <t>143 SMITHRIDGE PARK</t>
  </si>
  <si>
    <t xml:space="preserve">SLATTENGREN FAMILY TRUST  </t>
  </si>
  <si>
    <t>1695 EASTLAKE BLVD</t>
  </si>
  <si>
    <t xml:space="preserve">SLATTERGREN, GARY &amp; HELEN </t>
  </si>
  <si>
    <t>SMITHRIDGE PARK TH 2 LT 143</t>
  </si>
  <si>
    <t>178 SMITHRIDGE PARK</t>
  </si>
  <si>
    <t xml:space="preserve">DIPTY, MANGAL D </t>
  </si>
  <si>
    <t>519 SMITHRIDGE PARK</t>
  </si>
  <si>
    <t xml:space="preserve">QUINTERO, JOSE </t>
  </si>
  <si>
    <t>SMITHRIDGE PARK TH 2 LT 178</t>
  </si>
  <si>
    <t>173 SMITHRIDGE PARK</t>
  </si>
  <si>
    <t>SMITHRIDGE PARK TH 2 LT 173</t>
  </si>
  <si>
    <t>195 SMITHRIDGE PARK</t>
  </si>
  <si>
    <t xml:space="preserve">CHEN, HONG W </t>
  </si>
  <si>
    <t>4900 BUCK POINT CT</t>
  </si>
  <si>
    <t>SMITHRIDGE PARK TH 2 LT 195</t>
  </si>
  <si>
    <t>208 SMITHRIDGE PARK</t>
  </si>
  <si>
    <t>PATRICK &amp; JEANNINE P COWARD TRUSTEE</t>
  </si>
  <si>
    <t xml:space="preserve">CREW, CHARLES L &amp; DEBRA A </t>
  </si>
  <si>
    <t>SMITHRIDGE PK TH 2 LT 208</t>
  </si>
  <si>
    <t>1600 HAWTHORNE RD</t>
  </si>
  <si>
    <t>SMITHRIDGE PARK SUB DIV 1</t>
  </si>
  <si>
    <t xml:space="preserve">CAMPBELL, CHARLENE </t>
  </si>
  <si>
    <t xml:space="preserve">MACKENZIE 1991 FAMILY TRUST  </t>
  </si>
  <si>
    <t>4531 ASTER DR</t>
  </si>
  <si>
    <t>SMITHRIDGE PARK SUB NO 1</t>
  </si>
  <si>
    <t xml:space="preserve">HUDDLESTON, DAVID &amp; TERESA R  </t>
  </si>
  <si>
    <t xml:space="preserve">4531 ASTER DR </t>
  </si>
  <si>
    <t xml:space="preserve">HUDDLESTON, DAVID  </t>
  </si>
  <si>
    <t>SMITHRIDGE PARK 1 LT 50 BLK H</t>
  </si>
  <si>
    <t>4500 ASTER DR</t>
  </si>
  <si>
    <t xml:space="preserve">MARINO, NICOLE L </t>
  </si>
  <si>
    <t>MEDEROS, JOSE L et al</t>
  </si>
  <si>
    <t>SMITHRIDGE PARK 1 LT 9 &amp; FR 8 BLK J</t>
  </si>
  <si>
    <t>4501 AZALEA DR</t>
  </si>
  <si>
    <t xml:space="preserve">ROJAS, GLORIA  </t>
  </si>
  <si>
    <t>SMITHRIDGE PARK 1 LT 14 BLK J</t>
  </si>
  <si>
    <t>4575 AZALEA DR</t>
  </si>
  <si>
    <t xml:space="preserve">RAI, RAJNISH </t>
  </si>
  <si>
    <t xml:space="preserve">4575 AZALEA DR </t>
  </si>
  <si>
    <t>SMITHRIDGE PARK 1 LT 17 BLK J</t>
  </si>
  <si>
    <t>4575 PERSIMMON RD</t>
  </si>
  <si>
    <t>ROSALES, SALVADOR R et al</t>
  </si>
  <si>
    <t>PO BOX 1913</t>
  </si>
  <si>
    <t>SMITHRIDGE PARK 2 LT 21 BLK F</t>
  </si>
  <si>
    <t>4610 ALDER DR</t>
  </si>
  <si>
    <t xml:space="preserve">MUNOZ, CRYSTAL  </t>
  </si>
  <si>
    <t xml:space="preserve">4610 ALDER DR </t>
  </si>
  <si>
    <t>SMITHRIDGE PARK 2 LT 5 BLK F</t>
  </si>
  <si>
    <t>4615 ALMOND DR</t>
  </si>
  <si>
    <t>ALLRED, MARIA et al</t>
  </si>
  <si>
    <t xml:space="preserve">4630 ASTER DR </t>
  </si>
  <si>
    <t>SMITHRIDGE PARK 2 LT 20 BLK I</t>
  </si>
  <si>
    <t>4615 ASTER DR</t>
  </si>
  <si>
    <t>SMITHRIDGE PARK SUBDIV 2</t>
  </si>
  <si>
    <t xml:space="preserve">ROGERS, PAULA J </t>
  </si>
  <si>
    <t xml:space="preserve">PIKE FAMILY TRUST, ROY &amp; PHYLLIS  </t>
  </si>
  <si>
    <t>SMITHRIDGE PARK SUBDIVISION PLAT NO 2 LOT 45 BLK H</t>
  </si>
  <si>
    <t>4651 ASTER DR</t>
  </si>
  <si>
    <t>SMITHRIDGE PARK SUB NO 2</t>
  </si>
  <si>
    <t xml:space="preserve">LADRIGAN, JASON &amp; PAULA </t>
  </si>
  <si>
    <t xml:space="preserve">WIGDAHL LIVING TRUST, ROGER &amp; PHYLLIS </t>
  </si>
  <si>
    <t>SMITHRIDGE PARK SUB NO 2 LOT 38 BLK H</t>
  </si>
  <si>
    <t>234 SMITHRIDGE PARK</t>
  </si>
  <si>
    <t>SMITHRIDGE PARK TWNHSE #2</t>
  </si>
  <si>
    <t>MANNAN, MOHAMMED et al</t>
  </si>
  <si>
    <t>AKHTER MOMOTAJ</t>
  </si>
  <si>
    <t xml:space="preserve">234 SMITHRIDGE PK </t>
  </si>
  <si>
    <t>SMITHRIDGE PARK TOWNHOUSES UNIT NO 2 LOT 234</t>
  </si>
  <si>
    <t>231 SMITHRIDGE PARK</t>
  </si>
  <si>
    <t>FLORES, ROMAN P et al</t>
  </si>
  <si>
    <t>SMITHRIDGE PARK TH 2 LT 231</t>
  </si>
  <si>
    <t>215 SMITHRIDGE PARK</t>
  </si>
  <si>
    <t>SMITHRIDGE PARK TH 2 LT 215</t>
  </si>
  <si>
    <t>267 SMITHRIDGE PARK</t>
  </si>
  <si>
    <t>SMITHRIDGE PARK TH</t>
  </si>
  <si>
    <t>900 S MEADOWS PKWY # 921</t>
  </si>
  <si>
    <t>SMITHRIDGE PARK TH 2  ADD LT 267</t>
  </si>
  <si>
    <t>251 SMITHRIDGE PARK</t>
  </si>
  <si>
    <t xml:space="preserve">DU, FRANK C &amp; MAE T </t>
  </si>
  <si>
    <t>14800 REDMOND DR</t>
  </si>
  <si>
    <t>BARRERA-SANDOVAL, RUBI A et al</t>
  </si>
  <si>
    <t>SMITHRIDGE PARK TH 2 LT 251 ADD</t>
  </si>
  <si>
    <t>4911 CATALINA DR</t>
  </si>
  <si>
    <t>SMITHRIDGE GREENS #1 AMD</t>
  </si>
  <si>
    <t xml:space="preserve">BOND FAMILY TRUST  </t>
  </si>
  <si>
    <t>SMITHRIDGE GREENS UNIT NO 1 AMD UNIT 1 LOT 2 BLK A</t>
  </si>
  <si>
    <t>4931 CATALINA DR</t>
  </si>
  <si>
    <t xml:space="preserve">QUINTANILLA, ZULMA D C </t>
  </si>
  <si>
    <t>SMITHRIDGE GREENS 1 AMD LT 4-4 BLK A</t>
  </si>
  <si>
    <t xml:space="preserve">TAYLOR, SUKSAMARN C </t>
  </si>
  <si>
    <t>SMITHRIDGE GREENS 1 AMD LT 6 BLK A</t>
  </si>
  <si>
    <t xml:space="preserve">G &amp; D NEVADA ONE LLC </t>
  </si>
  <si>
    <t>1655 E WALNUT</t>
  </si>
  <si>
    <t xml:space="preserve">GONZALEZ, LILIA </t>
  </si>
  <si>
    <t>SMITHRIDGE GREENS 1 AMD LT 6-3 BLK A</t>
  </si>
  <si>
    <t>4961 CATALINA DR</t>
  </si>
  <si>
    <t>SMITHRGE GRN UNIT 1 UNT 3</t>
  </si>
  <si>
    <t xml:space="preserve">CORGILE, EDDIE </t>
  </si>
  <si>
    <t>SMITHRIDGE GREEN AMENDED UNIT NO 1 UNIT 3 LOT 7 BL</t>
  </si>
  <si>
    <t>4981 CATALINA DR</t>
  </si>
  <si>
    <t>G &amp; D NEVADA ONE LLC</t>
  </si>
  <si>
    <t>SMITHRIDGE GREENS 1 UT 2 LT 9 BLK A</t>
  </si>
  <si>
    <t>5001 CATALINA DR</t>
  </si>
  <si>
    <t xml:space="preserve">IRA SERVICES TRUST COMPANY </t>
  </si>
  <si>
    <t>FBO CRAIG W DENOCE</t>
  </si>
  <si>
    <t>PO BOX 34836</t>
  </si>
  <si>
    <t>SMITHRIDGE GREENS 1 AMD LT 11-2 BLK A</t>
  </si>
  <si>
    <t>5010 CATALINA DR</t>
  </si>
  <si>
    <t xml:space="preserve">1655 E WALNUT ST </t>
  </si>
  <si>
    <t>SMITHRIDGE GREENS 1 AMD UT 2 LT 31 BLK B</t>
  </si>
  <si>
    <t>745 JAMAICA AVE</t>
  </si>
  <si>
    <t>LEMUS, MARIO B et al</t>
  </si>
  <si>
    <t>745 JAMAICA AVE # 3</t>
  </si>
  <si>
    <t>SMITHRIDGE GREENS 1 AMD UT 3 LT 18 BLK B</t>
  </si>
  <si>
    <t xml:space="preserve">PRATER, RENEE L  </t>
  </si>
  <si>
    <t>725 JAMAICA AVE STE 1</t>
  </si>
  <si>
    <t>SMITHRIDGE GREENS 1 AMD LT 17-1 BLK B</t>
  </si>
  <si>
    <t>705 JAMAICA AVE</t>
  </si>
  <si>
    <t>SMITHRGE GRNS 1 AMEND UT</t>
  </si>
  <si>
    <t xml:space="preserve">DANIELS, REX G JR </t>
  </si>
  <si>
    <t>SMITHRIDGE GREENS UT 1 AMD UNIT 2 LOT 16 BLOCK B</t>
  </si>
  <si>
    <t>5011 CATALINA DR</t>
  </si>
  <si>
    <t>WINKLER, LARRY et al</t>
  </si>
  <si>
    <t>CASSINELLI JEANNIE</t>
  </si>
  <si>
    <t>49 SAWBUCK RD</t>
  </si>
  <si>
    <t xml:space="preserve">AMES LIVING TRUST  </t>
  </si>
  <si>
    <t>SMITHRIDGE GREENS 1 AMD LT 12-1 BLK A</t>
  </si>
  <si>
    <t xml:space="preserve">SANDEFER, JOAN M </t>
  </si>
  <si>
    <t>SMITHRIDGE GREENS 1 AMD UT 2 LT 12 BLK A</t>
  </si>
  <si>
    <t>5021 CATALINA DR</t>
  </si>
  <si>
    <t>SMITHRIDGE GREENS 1 AMD LT 13-1 BLK A</t>
  </si>
  <si>
    <t>5031 CATALINA DR</t>
  </si>
  <si>
    <t xml:space="preserve">LAVALLEY, MELL E </t>
  </si>
  <si>
    <t>SMITHRIDGE GREENS 1 AMD LT 14-2 BLK A</t>
  </si>
  <si>
    <t>710 JAMAICA AVE</t>
  </si>
  <si>
    <t xml:space="preserve">BARRAZA-PANIAGUA, MARIA A </t>
  </si>
  <si>
    <t>710 JAMAICA AVE 1</t>
  </si>
  <si>
    <t>SMITHRIDGE GREENS 1 AMD UT 1 LT 37 BLK C</t>
  </si>
  <si>
    <t>286 SMITHRIDGE PARK</t>
  </si>
  <si>
    <t>SMITHRIDGE PARK 3 UNIT 1</t>
  </si>
  <si>
    <t xml:space="preserve">SUMNER TRUST, CAROL C  </t>
  </si>
  <si>
    <t>SMITHRIDGE PARK 3 UNIT 1 LT 286</t>
  </si>
  <si>
    <t>300 SMITHRIDGE PARK</t>
  </si>
  <si>
    <t xml:space="preserve">SNYDER, LAWRENCE I &amp; PATRICIA J </t>
  </si>
  <si>
    <t>317 SMITHRIDGE PARK</t>
  </si>
  <si>
    <t>SMITHRIDGE PARK TWNHSE #3</t>
  </si>
  <si>
    <t>SMITHRIDGE PARK TH 3 UT 2 LT 317</t>
  </si>
  <si>
    <t>327 SMITHRIDGE PARK</t>
  </si>
  <si>
    <t xml:space="preserve">HENTON 2000 TRUST  </t>
  </si>
  <si>
    <t>13440 TULLOCH RD</t>
  </si>
  <si>
    <t>JAMESTOWN</t>
  </si>
  <si>
    <t>95327</t>
  </si>
  <si>
    <t xml:space="preserve">HENTON, RODNEY &amp; PENNIE  </t>
  </si>
  <si>
    <t>SMITHRIDGE PARK TH 3 UT 2 LT 327</t>
  </si>
  <si>
    <t>343 SMITHRIDGE PARK</t>
  </si>
  <si>
    <t xml:space="preserve">CHE, LINH P </t>
  </si>
  <si>
    <t>PO BOX 17433</t>
  </si>
  <si>
    <t>SMITHRIDGE PARK TH 3 UT 2 LT 343</t>
  </si>
  <si>
    <t>860 JAMAICA AVE</t>
  </si>
  <si>
    <t>HUYNH, LANG et al</t>
  </si>
  <si>
    <t xml:space="preserve">PHAM KIM L </t>
  </si>
  <si>
    <t>2119 HOMANN WAY</t>
  </si>
  <si>
    <t>DAVIS, MARVIN E et al</t>
  </si>
  <si>
    <t>SMITHRIDGE GREENS 2 UT 4  LT 19  BLK C</t>
  </si>
  <si>
    <t>5011 TAHITI WAY</t>
  </si>
  <si>
    <t>HUYNH JENNY</t>
  </si>
  <si>
    <t>3535 BIG SKY COURT</t>
  </si>
  <si>
    <t>TARANTINO, ANGELO S et al</t>
  </si>
  <si>
    <t>SMITHRIDGE GREENS 2 AMD LT 9-2 BLK B</t>
  </si>
  <si>
    <t>5030 NEIL RD</t>
  </si>
  <si>
    <t xml:space="preserve">GARCIA LIVING TRUST, ANTHONY  </t>
  </si>
  <si>
    <t>SMITHRIDGE GREENS 2 UNIT 1 LOT 3 BLK A</t>
  </si>
  <si>
    <t>SMITHRIDGE GREENS 2 LT 3-2 BLK A</t>
  </si>
  <si>
    <t xml:space="preserve">LITKENHAUS, SANDRA K </t>
  </si>
  <si>
    <t>SMITHRIDGE GREENS 2 UNIT 3</t>
  </si>
  <si>
    <t>SMITHRIDGE GREENS 2 UT 3</t>
  </si>
  <si>
    <t>G&amp;D NEVADAONE LLC  LLC</t>
  </si>
  <si>
    <t xml:space="preserve">1655 EAST WALNUT </t>
  </si>
  <si>
    <t>SMITHRIDGE GREENS 2 UT 3 LT 2 BLK A</t>
  </si>
  <si>
    <t>366 SMITHRIDGE PARK</t>
  </si>
  <si>
    <t>GONZALEZ, DEMETRIO T et al</t>
  </si>
  <si>
    <t>366 SMITHRIDGE PK</t>
  </si>
  <si>
    <t xml:space="preserve">ORTIZ-RODRIGUEZ, SANDRA </t>
  </si>
  <si>
    <t>SMITHRIDGE PARK TH 3 UT 3 LT 366</t>
  </si>
  <si>
    <t>372 SMITHRIDGE PARK</t>
  </si>
  <si>
    <t>SMITHRIDGE PARK TH 3 UT 3</t>
  </si>
  <si>
    <t>JONES FAMILY TRUST et al</t>
  </si>
  <si>
    <t>SMITHRIDGE PARK TH 3 UT 3 LT 372</t>
  </si>
  <si>
    <t>375 SMITHRIDGE PARK</t>
  </si>
  <si>
    <t xml:space="preserve">SLATTENGREN, GARY E &amp; HELEN Y </t>
  </si>
  <si>
    <t>SMITHRIDGE PARK TH 3 UT 3 LT 375</t>
  </si>
  <si>
    <t>389 SMITHRIDGE PARK</t>
  </si>
  <si>
    <t>SMITHRIDGE PARK 3</t>
  </si>
  <si>
    <t>DU, HENRY H et al</t>
  </si>
  <si>
    <t>MARCHAN, MARTHA et al</t>
  </si>
  <si>
    <t>SMITHRIDGE PARK 3 UT 4 LT 389</t>
  </si>
  <si>
    <t>390 SMITHRIDGE PARK</t>
  </si>
  <si>
    <t>SMITHRIDGE PK TWNHSE 3 UT</t>
  </si>
  <si>
    <t xml:space="preserve">GALENA CATTLE CO REV TRUST  </t>
  </si>
  <si>
    <t>2370 TELLURIDE DR</t>
  </si>
  <si>
    <t>CISNEROS, MARIO D et al</t>
  </si>
  <si>
    <t>SMITHRIDGE PK TH 3 UT4 LT 390</t>
  </si>
  <si>
    <t>393 SMITHRIDGE PARK</t>
  </si>
  <si>
    <t>SMITHRIDGE PARK TH 3 UT 4</t>
  </si>
  <si>
    <t>CABRERA-ANDINO, WASHINGTON L  et al</t>
  </si>
  <si>
    <t xml:space="preserve">393 SMITHRIDGE PK </t>
  </si>
  <si>
    <t>SMITHRIDGE PARK TH 3 UT 4 LT 393</t>
  </si>
  <si>
    <t>397 SMITHRIDGE PARK</t>
  </si>
  <si>
    <t>SMITHRIDGE PARK TH UT 4</t>
  </si>
  <si>
    <t xml:space="preserve">DU, FRANK C &amp; MAE T  </t>
  </si>
  <si>
    <t xml:space="preserve">14800 REDMONDDR </t>
  </si>
  <si>
    <t>SMITHRIDGE PARK TH 3 UT 4 LT 397</t>
  </si>
  <si>
    <t>401 SMITHRIDGE PARK</t>
  </si>
  <si>
    <t xml:space="preserve">ROWEN, ROBERT D  </t>
  </si>
  <si>
    <t xml:space="preserve">WILLIAMS, TED G </t>
  </si>
  <si>
    <t>SMITHRIDGE PARK TH 3 UT 4 LT 401</t>
  </si>
  <si>
    <t>432 SMITHRIDGE PARK</t>
  </si>
  <si>
    <t xml:space="preserve">SLATTENGREN, GARY &amp; HELEN </t>
  </si>
  <si>
    <t>SMITHRIDGE PARK TH 3 UT 4 LT 432</t>
  </si>
  <si>
    <t>506 SMITHRIDGE PARK</t>
  </si>
  <si>
    <t>SMITHRIDGE PARK TWNHSE NO 3 UNIT NO 5 LOT 506</t>
  </si>
  <si>
    <t>508 SMITHRIDGE PARK</t>
  </si>
  <si>
    <t xml:space="preserve">GARCIA, ALVARO D </t>
  </si>
  <si>
    <t>SMITHRIDGE PARK TH 3 UT 5 LT 508</t>
  </si>
  <si>
    <t>510 SMITHRIDGE PARK</t>
  </si>
  <si>
    <t>SMITHRIDGE PARK TH 3 UT 5 LT 510</t>
  </si>
  <si>
    <t>521 SMITHRIDGE PARK</t>
  </si>
  <si>
    <t>COWARD FAMILY TRUST et al</t>
  </si>
  <si>
    <t>SMITHRIDGE PARK TOWNHOUSES NO 3 UNIT NO 5 LOT 521</t>
  </si>
  <si>
    <t>520 SMITHRIDGE PARK</t>
  </si>
  <si>
    <t xml:space="preserve">COWARD FAMILY 2003 TRUST  </t>
  </si>
  <si>
    <t>SALAM, ABDUS et al</t>
  </si>
  <si>
    <t>SMITHRIDGE PARK TH 3 UT 5 LT 520</t>
  </si>
  <si>
    <t>451 SMITHRIDGE PARK</t>
  </si>
  <si>
    <t>LOPEZ, ROBERTO et al</t>
  </si>
  <si>
    <t>PO BOX 20325</t>
  </si>
  <si>
    <t>SMITHRIDGE PARK TH 3 UT 5 LT 451</t>
  </si>
  <si>
    <t>475 SMITHRIDGE PARK</t>
  </si>
  <si>
    <t xml:space="preserve">XU, LIANG  </t>
  </si>
  <si>
    <t xml:space="preserve">475 SMITHRIDGE PARK </t>
  </si>
  <si>
    <t xml:space="preserve">TRUJILLO, MANUEL G </t>
  </si>
  <si>
    <t>SMITHRIDGE PARK TH 3 UT 5 LT 475</t>
  </si>
  <si>
    <t>481 SMITHRIDGE PARK</t>
  </si>
  <si>
    <t xml:space="preserve">RODRIGUEZ, HAISSYL P </t>
  </si>
  <si>
    <t>BRAMAN 1998 TRUST, ELIZABETH A TTEE et al</t>
  </si>
  <si>
    <t>SMITHRIDGE PARK TH 3 UT 5 LT 481</t>
  </si>
  <si>
    <t>491 SMITHRIDGE PARK</t>
  </si>
  <si>
    <t xml:space="preserve">INGELS , BILL &amp; JOANNE  </t>
  </si>
  <si>
    <t>SMITHRIDGE PARK TH 3 UT 5 LT 491</t>
  </si>
  <si>
    <t>564 SMITHRIDGE PARK</t>
  </si>
  <si>
    <t>SMITHRIGE PARK TH 4</t>
  </si>
  <si>
    <t xml:space="preserve">REID 2001 REVOCABLE TRUST, LINDA C   </t>
  </si>
  <si>
    <t>9900 WILBUR MAY # 4701</t>
  </si>
  <si>
    <t xml:space="preserve">REID, LINDA C  </t>
  </si>
  <si>
    <t>SMITHRIDGE PARK TH 4 UT 1  LT 564</t>
  </si>
  <si>
    <t>559 SMITHRIDGE PARK</t>
  </si>
  <si>
    <t xml:space="preserve">TM4GLF M LLC </t>
  </si>
  <si>
    <t>3270 PIAZZO CIR</t>
  </si>
  <si>
    <t xml:space="preserve">BOYCE 1989 TRUST  </t>
  </si>
  <si>
    <t>SMITHRIDGE PARK TH 4 UT 1 LT 559</t>
  </si>
  <si>
    <t>573 SMITHRIDGE PARK</t>
  </si>
  <si>
    <t>4790 CAUGHLIN PKWY # 706</t>
  </si>
  <si>
    <t>SMITHRIDGE PARK TH 4 UT 1 LT 573</t>
  </si>
  <si>
    <t>576 SMITHRIDGE PARK</t>
  </si>
  <si>
    <t xml:space="preserve">ORTIZ MELENDEZ, GUILLERMO A </t>
  </si>
  <si>
    <t xml:space="preserve">FUENTES, MARTHA I  </t>
  </si>
  <si>
    <t>SMITHRIDGE PARK TH 4 UT 1 LT 576</t>
  </si>
  <si>
    <t>540 SMITHRIDGE PARK</t>
  </si>
  <si>
    <t>WOZNIAK, KELLY et al</t>
  </si>
  <si>
    <t>SMITHRIDGE PARK TH 4 UT 1 LT 540</t>
  </si>
  <si>
    <t>535 SMITHRIDGE PARK</t>
  </si>
  <si>
    <t>SMITHRIDGE PARK TH 4 UT 1 LT 535</t>
  </si>
  <si>
    <t>626 SMITHRIDGE PARK</t>
  </si>
  <si>
    <t>MENDEZ, MIGUEL et al</t>
  </si>
  <si>
    <t>SMITHRIDGE PARK TH 4 UT 2 LT 626</t>
  </si>
  <si>
    <t>1527 DELUCCHI LN</t>
  </si>
  <si>
    <t xml:space="preserve">DENNISON-STEINHAUSER, KEVIN  </t>
  </si>
  <si>
    <t>1527 DELUCCHI LN UNIT 1</t>
  </si>
  <si>
    <t>NEIL MANOR LT 3</t>
  </si>
  <si>
    <t>1553 DELUCCHI LN</t>
  </si>
  <si>
    <t xml:space="preserve">STANDERFER, TIM L &amp; C ELYSE </t>
  </si>
  <si>
    <t>13385 W SADDLEBOW DR</t>
  </si>
  <si>
    <t>NEIL MANOR LT 123</t>
  </si>
  <si>
    <t>LY, HUNG et al</t>
  </si>
  <si>
    <t>DAM ANH</t>
  </si>
  <si>
    <t>3150 SKY COUNTRY DR</t>
  </si>
  <si>
    <t>NEIL MANOR LT 2</t>
  </si>
  <si>
    <t xml:space="preserve">BEYER, DARIN </t>
  </si>
  <si>
    <t>1529 DELUCCHI LN # H</t>
  </si>
  <si>
    <t>NEIL MANOR LT 20</t>
  </si>
  <si>
    <t xml:space="preserve">WHITTEY TRUST, HOA V  </t>
  </si>
  <si>
    <t>1535 DELUCCHI LN #B</t>
  </si>
  <si>
    <t>NEIL MANOR LT 44</t>
  </si>
  <si>
    <t>1551 DELUCCHI LN</t>
  </si>
  <si>
    <t xml:space="preserve">DAVIS, GLEN E </t>
  </si>
  <si>
    <t>377 MANDARIN DR 104</t>
  </si>
  <si>
    <t>CLARK, RICHARD P et al</t>
  </si>
  <si>
    <t>NEIL MANOR LT 110</t>
  </si>
  <si>
    <t xml:space="preserve">VON WAGONER, MARY C </t>
  </si>
  <si>
    <t>3209 ALUM CREEK CT</t>
  </si>
  <si>
    <t xml:space="preserve">VILLAGOMEZ, ALEJANDRINA L </t>
  </si>
  <si>
    <t>NEIL MANOR LT 138</t>
  </si>
  <si>
    <t>1 SMITHRIDGE PARK</t>
  </si>
  <si>
    <t>SEDANO, ROBERTO et al</t>
  </si>
  <si>
    <t>SMITHRIDGE PARK TH 1 LT 1</t>
  </si>
  <si>
    <t>4 SMITHRIDGE PARK</t>
  </si>
  <si>
    <t xml:space="preserve">AHUJA, CHANDAR </t>
  </si>
  <si>
    <t>1602 SILVER THREAD DR</t>
  </si>
  <si>
    <t xml:space="preserve">CABALLOS, VICTOR </t>
  </si>
  <si>
    <t>SMITHRIDGE PK TH 1 LT 4</t>
  </si>
  <si>
    <t>14 SMITHRIDGE PARK</t>
  </si>
  <si>
    <t xml:space="preserve">AKHTER, NAZNIN </t>
  </si>
  <si>
    <t>SMITHRIDGE PARK TH 1 LT 14</t>
  </si>
  <si>
    <t>41 SMITHRIDGE PARK</t>
  </si>
  <si>
    <t xml:space="preserve">GONZALEZ, CARMEN A  </t>
  </si>
  <si>
    <t xml:space="preserve">ROSAS, JOSE L </t>
  </si>
  <si>
    <t>SMITHRIDGE PARK TH 1 LT 41</t>
  </si>
  <si>
    <t>43 SMITHRIDGE PARK</t>
  </si>
  <si>
    <t xml:space="preserve">ODAY, DON E &amp; JENNY I </t>
  </si>
  <si>
    <t xml:space="preserve">KRAFT, SANDRA M </t>
  </si>
  <si>
    <t>SMITHRIDGE PARK TH 1 LT 43</t>
  </si>
  <si>
    <t>107 SMITHRIDGE PARK</t>
  </si>
  <si>
    <t>DOAN, DINH D  et al</t>
  </si>
  <si>
    <t xml:space="preserve">107 SMITHRIDGE PARK </t>
  </si>
  <si>
    <t xml:space="preserve">DOAN, DINH D  </t>
  </si>
  <si>
    <t>SMITHRIDGE PARK TH 1 LT 107</t>
  </si>
  <si>
    <t>92 SMITHRIDGE PARK</t>
  </si>
  <si>
    <t>SMITHRIDGE PARK TOWNHOUSE NO 1 LOT 92</t>
  </si>
  <si>
    <t>88 SMITHRIDGE PARK</t>
  </si>
  <si>
    <t>DU, HENRY et al</t>
  </si>
  <si>
    <t>PAREDES-SERRANO, CARLOS et al</t>
  </si>
  <si>
    <t>SMITHRIDGE PARK TH 1 LT 88</t>
  </si>
  <si>
    <t>80 SMITHRIDGE PARK</t>
  </si>
  <si>
    <t xml:space="preserve">TM4GLF LLC L </t>
  </si>
  <si>
    <t>KATHY BOYCE</t>
  </si>
  <si>
    <t>SMITHRIDGE PARK TH 1 LT 80</t>
  </si>
  <si>
    <t>71 SMITHRIDGE PARK</t>
  </si>
  <si>
    <t>SMITHRIDGE PARK TWNHSE NO 1 LOT 71</t>
  </si>
  <si>
    <t>55 SMITHRIDGE PARK</t>
  </si>
  <si>
    <t>GARCIA, SERGIO C et al</t>
  </si>
  <si>
    <t>GUILLE MARIA G</t>
  </si>
  <si>
    <t>55 SMITHRIDGE PK</t>
  </si>
  <si>
    <t>SMITHRIDGE PARK TH 1 LT 55</t>
  </si>
  <si>
    <t>47 SMITHRIDGE PARK</t>
  </si>
  <si>
    <t xml:space="preserve">DU, FRANK &amp; MAE TAN </t>
  </si>
  <si>
    <t xml:space="preserve">NOVA, FREDERICO A </t>
  </si>
  <si>
    <t>SMITHRIDGE PARK TH 1 LT 47</t>
  </si>
  <si>
    <t>3875 REWANA WAY</t>
  </si>
  <si>
    <t>REWANA 2</t>
  </si>
  <si>
    <t>BUE, DARIN et al</t>
  </si>
  <si>
    <t>REWANA 2 LT 86</t>
  </si>
  <si>
    <t>NAHF</t>
  </si>
  <si>
    <t>4235 REWANA WAY</t>
  </si>
  <si>
    <t>REWANA SUB #1 FRAC</t>
  </si>
  <si>
    <t>GRISSELL, BRAD et al</t>
  </si>
  <si>
    <t>474 W PLUMB LN</t>
  </si>
  <si>
    <t xml:space="preserve">SMITH, JULIE M </t>
  </si>
  <si>
    <t>PM 932 LT C</t>
  </si>
  <si>
    <t>7400 S VIRGINIA ST</t>
  </si>
  <si>
    <t>FRAC N2 OF N2</t>
  </si>
  <si>
    <t xml:space="preserve">LAUNCHING PAD INC </t>
  </si>
  <si>
    <t>FRAC NW4 OF NE4</t>
  </si>
  <si>
    <t xml:space="preserve">GRAY, PETER A </t>
  </si>
  <si>
    <t>PM 5038</t>
  </si>
  <si>
    <t>Shell  Neigh</t>
  </si>
  <si>
    <t xml:space="preserve">LONGLEY CORNERS LLC </t>
  </si>
  <si>
    <t>855 MILL ST STE 2A</t>
  </si>
  <si>
    <t xml:space="preserve">CAPURRO-QUILICI INVESTMENTS </t>
  </si>
  <si>
    <t>025-470-64</t>
  </si>
  <si>
    <t>PM 5038 LT 2</t>
  </si>
  <si>
    <t>4655 SORDI CT</t>
  </si>
  <si>
    <t>VELAZQUEZ, LUIS A H  et al</t>
  </si>
  <si>
    <t xml:space="preserve">4655 SORDI CT </t>
  </si>
  <si>
    <t>MAZZONE EST 1 LT 3 BLK A</t>
  </si>
  <si>
    <t>4645 SORDI CT</t>
  </si>
  <si>
    <t>MAZZONE ESTATES UNIT NO 1</t>
  </si>
  <si>
    <t>WEEKS, CAROLYN  et al</t>
  </si>
  <si>
    <t xml:space="preserve">4645 SORDI CT </t>
  </si>
  <si>
    <t>MAZZONE ESTATES 1 LT 4 BLK A</t>
  </si>
  <si>
    <t xml:space="preserve">NVMC LLC </t>
  </si>
  <si>
    <t>PO BOX 2683</t>
  </si>
  <si>
    <t xml:space="preserve">NAPA </t>
  </si>
  <si>
    <t xml:space="preserve">ALTIZER, BRIAN &amp; VON </t>
  </si>
  <si>
    <t>PECKHAM GARDENS LT 20</t>
  </si>
  <si>
    <t>PECKHAM GARDENS LT 32</t>
  </si>
  <si>
    <t>PECKHAM GARDENS LT 108</t>
  </si>
  <si>
    <t xml:space="preserve">DELGADILLO, JAVIER &amp; MARIA </t>
  </si>
  <si>
    <t>COL, RICHARD et al</t>
  </si>
  <si>
    <t>PECKHAM GARDENS LT 94</t>
  </si>
  <si>
    <t>PECKHAM GARDENS LT 39</t>
  </si>
  <si>
    <t>HOFMAN, DAVID et al</t>
  </si>
  <si>
    <t>5505 FLOWERING SAGE TRL</t>
  </si>
  <si>
    <t>PECKHAM GARDENS LT 119</t>
  </si>
  <si>
    <t xml:space="preserve">EARL, CYNTHIA J </t>
  </si>
  <si>
    <t>6623 STONE VALLEY DR</t>
  </si>
  <si>
    <t>PECKHAM GARDENS LT 71</t>
  </si>
  <si>
    <t xml:space="preserve">BIMBO, MICHELLE T </t>
  </si>
  <si>
    <t>PO BOX 1883</t>
  </si>
  <si>
    <t>MASTER, KELLY et al</t>
  </si>
  <si>
    <t>PECKHAM GARDENS LT 61</t>
  </si>
  <si>
    <t xml:space="preserve">CONTRERAS, JAVIER </t>
  </si>
  <si>
    <t xml:space="preserve">VADEN FAMILY TRUST, WILLIAM R  </t>
  </si>
  <si>
    <t>PECKHAM GARDENS LT 142</t>
  </si>
  <si>
    <t xml:space="preserve">ANGELL, LAWRENCE &amp; LEA  </t>
  </si>
  <si>
    <t>4604 NEIL RD # 119</t>
  </si>
  <si>
    <t>PECKHAM GARDENS LT 152</t>
  </si>
  <si>
    <t xml:space="preserve">SALAZAR, IMELDA </t>
  </si>
  <si>
    <t>1084 SALVADOR ST</t>
  </si>
  <si>
    <t>COSTA MESA</t>
  </si>
  <si>
    <t>92626</t>
  </si>
  <si>
    <t xml:space="preserve">WHITE, KAREN J </t>
  </si>
  <si>
    <t>PECKHAM GARDENS LT 206</t>
  </si>
  <si>
    <t xml:space="preserve">YOOK, JONG U </t>
  </si>
  <si>
    <t>1534 PRAIRE LN</t>
  </si>
  <si>
    <t xml:space="preserve">SCHANTZ TRUST, MARK A &amp; MARCELLA P  </t>
  </si>
  <si>
    <t>PECKHAM GARDENS LT 234</t>
  </si>
  <si>
    <t>PECKHAM GARDENS LT  246</t>
  </si>
  <si>
    <t xml:space="preserve">MOHAMMEDNUR, ABDULNEBI S &amp; FARAGA A </t>
  </si>
  <si>
    <t>7235 BEACON DR</t>
  </si>
  <si>
    <t>PECKHAM GARDENS LT 266</t>
  </si>
  <si>
    <t xml:space="preserve">NICHOLAS, IRYNA  </t>
  </si>
  <si>
    <t>PECKHAM GARDENS LT 185</t>
  </si>
  <si>
    <t xml:space="preserve">RAJA, SANTOSH S </t>
  </si>
  <si>
    <t>4604 NEIL RD 120</t>
  </si>
  <si>
    <t xml:space="preserve">NUGENT FAMILY TRUST  </t>
  </si>
  <si>
    <t>PECKHAM GARDENS LT 151</t>
  </si>
  <si>
    <t>IRA SERVICES TRUST COMPANY CUSTODIAN</t>
  </si>
  <si>
    <t>22855 POPLAR GROVE SQUARE</t>
  </si>
  <si>
    <t>PECKHAM GARDENS LT 149</t>
  </si>
  <si>
    <t>4604 NEIL RD UNIT 136</t>
  </si>
  <si>
    <t xml:space="preserve">REA, MARK &amp; DIANE </t>
  </si>
  <si>
    <t>PECKHAM GARDENS LT 203</t>
  </si>
  <si>
    <t>PECKHAM GARDENS LT 247</t>
  </si>
  <si>
    <t xml:space="preserve">3000 SOLARI LLC  </t>
  </si>
  <si>
    <t>C/O THILO WILHELM</t>
  </si>
  <si>
    <t>2290 BULETTE RD</t>
  </si>
  <si>
    <t xml:space="preserve">WILHELM, THILO </t>
  </si>
  <si>
    <t>PECKHAM GARDENS LT 245</t>
  </si>
  <si>
    <t xml:space="preserve">BANCACO, CORNELIO JR </t>
  </si>
  <si>
    <t>PO BOX 11722</t>
  </si>
  <si>
    <t>LAHAINA</t>
  </si>
  <si>
    <t>96761</t>
  </si>
  <si>
    <t>PECKHAM GARDENS LT 261</t>
  </si>
  <si>
    <t xml:space="preserve">N NEVADA CHILDREN`S CANCER , FOUNDATION  </t>
  </si>
  <si>
    <t xml:space="preserve">C/O JULIE THOLL DEJAN </t>
  </si>
  <si>
    <t>3550 BARRON WAY STE 5A</t>
  </si>
  <si>
    <t>LONGLEY CHINEE OFFICE WH LT 5 BLK A</t>
  </si>
  <si>
    <t>3785 MOORPARK CT</t>
  </si>
  <si>
    <t xml:space="preserve">SILVA, RANDALL D &amp; KONNY A </t>
  </si>
  <si>
    <t>PO BOX 4606</t>
  </si>
  <si>
    <t>PM 840  LT D</t>
  </si>
  <si>
    <t>4215 WEEMS LN</t>
  </si>
  <si>
    <t>PM 3733</t>
  </si>
  <si>
    <t>Government</t>
  </si>
  <si>
    <t xml:space="preserve">STEP 2 </t>
  </si>
  <si>
    <t xml:space="preserve">1435 N VIRGINIA ST </t>
  </si>
  <si>
    <t xml:space="preserve">LIGHTHOUSE OF THE SIERRA LLC </t>
  </si>
  <si>
    <t>026-021-03</t>
  </si>
  <si>
    <t>PM 3733 LT 2</t>
  </si>
  <si>
    <t>BFCQ</t>
  </si>
  <si>
    <t>2710 SCOTTSDALE RD</t>
  </si>
  <si>
    <t>PM 3132</t>
  </si>
  <si>
    <t>026-031-26</t>
  </si>
  <si>
    <t>PM 3132 LT 2</t>
  </si>
  <si>
    <t>2735 SCOTTSDALE RD</t>
  </si>
  <si>
    <t xml:space="preserve">LEE, SETH M  </t>
  </si>
  <si>
    <t xml:space="preserve">2735 SCOTTSDALE RD </t>
  </si>
  <si>
    <t xml:space="preserve">RAO, JACK  </t>
  </si>
  <si>
    <t>PM 3299 LT 2</t>
  </si>
  <si>
    <t xml:space="preserve">SEBASTIAN, ANTHONY  </t>
  </si>
  <si>
    <t>616 NEWBRIDGE WAY</t>
  </si>
  <si>
    <t>WILDCREEK GARDEN CONDOS LT 283 BLK D</t>
  </si>
  <si>
    <t>3948 CLEAR ACRE LN UNIT 261</t>
  </si>
  <si>
    <t xml:space="preserve">JOHNSON, TODD B </t>
  </si>
  <si>
    <t>WILDCREEK GARDEN CONDOS LT 284 BLK D</t>
  </si>
  <si>
    <t>3945 CLEAR ACRE LN</t>
  </si>
  <si>
    <t xml:space="preserve">DUTCHER REVOCABLE LIVING TRUST, VERN  </t>
  </si>
  <si>
    <t>2920 4TH ST</t>
  </si>
  <si>
    <t xml:space="preserve">DUTCHER, VERN M  </t>
  </si>
  <si>
    <t>WILDCREEK GARDEN CONDOMINIUMS UNIT 268 BLK C</t>
  </si>
  <si>
    <t>3944 CLEAR ACRE LN</t>
  </si>
  <si>
    <t xml:space="preserve">MCGUIRE, PATRICK J </t>
  </si>
  <si>
    <t>WILDCREEK GARDEN CONDOS LT 251 BLK B</t>
  </si>
  <si>
    <t>3939 CLEAR ACRE LN</t>
  </si>
  <si>
    <t xml:space="preserve">SIGSTAD TRUST, KEVIN L &amp; LISA A  </t>
  </si>
  <si>
    <t>SIGSTAD KEVIN L &amp; LISA A</t>
  </si>
  <si>
    <t>PO BOX 70070</t>
  </si>
  <si>
    <t xml:space="preserve">RICHARD, KEVIN &amp; TONI </t>
  </si>
  <si>
    <t>WILDCREEK GARDEN CONDO 229 BLK B</t>
  </si>
  <si>
    <t>3935 CLEAR ACRE LN</t>
  </si>
  <si>
    <t xml:space="preserve">COX, ALLEN K  </t>
  </si>
  <si>
    <t>3935 CLEAR ACRE LN # 213</t>
  </si>
  <si>
    <t>WILDCREEK GARDEN CONDO LT 213 BLK B</t>
  </si>
  <si>
    <t>3942 CLEAR ACRE LN</t>
  </si>
  <si>
    <t xml:space="preserve">NGU, DUC &amp; JASMINE </t>
  </si>
  <si>
    <t xml:space="preserve">SMITH, LAWRENCE &amp; BERGEN </t>
  </si>
  <si>
    <t>WILDCREEK GARDEN CONDOS LT 244 BLK B</t>
  </si>
  <si>
    <t>3918 CLEAR ACRE LN</t>
  </si>
  <si>
    <t>GORELICK REAL ESTATE ADVISORS LLC</t>
  </si>
  <si>
    <t xml:space="preserve">NEWMAN, GORDON M &amp; MARIA M </t>
  </si>
  <si>
    <t>WILDCREEK GARDEN CONDOS UNIT 75 BLK A</t>
  </si>
  <si>
    <t>3919 CLEAR ACRE LN</t>
  </si>
  <si>
    <t xml:space="preserve">PEARCE, STEVEN &amp; TERRY </t>
  </si>
  <si>
    <t>1632 UNION ST</t>
  </si>
  <si>
    <t>WILDCREEK GARDEN CONDO LT 162 BLK B</t>
  </si>
  <si>
    <t>1880 TESS WAY</t>
  </si>
  <si>
    <t>WILDCREEK GARDEN CONDO LT 164 BLK B</t>
  </si>
  <si>
    <t>3920 CLEAR ACRE LN</t>
  </si>
  <si>
    <t>WILDCREEK GARDEN CONDOS LT 92 BLK A</t>
  </si>
  <si>
    <t>3930 CLEAR ACRE LN</t>
  </si>
  <si>
    <t>WILDCREEK GARDEN CONDOS LT 124 BLK A</t>
  </si>
  <si>
    <t xml:space="preserve">MARTIN, ROBIN E </t>
  </si>
  <si>
    <t>3909 CLEAR ACRE LN # 37</t>
  </si>
  <si>
    <t>WILDCREEK GARDEN CONDO LT 37 BLK B</t>
  </si>
  <si>
    <t>WILDCREEK GARDEN</t>
  </si>
  <si>
    <t>DILLON, STANLEY C &amp; CATHY M  et al</t>
  </si>
  <si>
    <t>2282 CHRISTINA ST NW</t>
  </si>
  <si>
    <t>SALEM</t>
  </si>
  <si>
    <t>WILDCREEK GARDEN LT 38 BLK B</t>
  </si>
  <si>
    <t>PO BOX 8976</t>
  </si>
  <si>
    <t xml:space="preserve">SISCO, CHRISTINE L  </t>
  </si>
  <si>
    <t>3230 WEDEKIND RD # 16</t>
  </si>
  <si>
    <t xml:space="preserve">MOUNTAIN MEADOWS TOWNHOMES LLC </t>
  </si>
  <si>
    <t>MOUNTAIN MEADOWS CONDOMINIUMS LT 16</t>
  </si>
  <si>
    <t xml:space="preserve">REYNOSO, BILLY J </t>
  </si>
  <si>
    <t>3230 WEDEKIND RD # 22</t>
  </si>
  <si>
    <t xml:space="preserve">HERNANDEZ, JOSE P </t>
  </si>
  <si>
    <t>MOUNTAIN MEADOWS CONDOMINIUMS LT 22</t>
  </si>
  <si>
    <t xml:space="preserve">JAMES, ROBERT B III </t>
  </si>
  <si>
    <t>3230 WEDEKIND RD # 81</t>
  </si>
  <si>
    <t>MOUNTAIN MEADOWS CONDOMINIUMS LT 81</t>
  </si>
  <si>
    <t xml:space="preserve">CASEY, BRIAN J &amp; MICHELE A </t>
  </si>
  <si>
    <t>1825 HUNTER CREEK RD</t>
  </si>
  <si>
    <t>MOUNTAIN MEADOWS CONDOMINIUMS LT 80</t>
  </si>
  <si>
    <t xml:space="preserve">HARAUGHTY, MUREL D &amp; GAY K  </t>
  </si>
  <si>
    <t xml:space="preserve">2195 SEQUOIA LN </t>
  </si>
  <si>
    <t xml:space="preserve">PEREZ, VAREN M &amp; HEATHER K </t>
  </si>
  <si>
    <t>MOUNTAIN MEADOWS CONDOMINIUMS LT 78</t>
  </si>
  <si>
    <t xml:space="preserve">WILLIAMS, BRIAN </t>
  </si>
  <si>
    <t>3230 WEDEKIND RD - UNIT 91</t>
  </si>
  <si>
    <t>MOUNTAIN MEADOWS CONDOMINIUMS LT 91</t>
  </si>
  <si>
    <t xml:space="preserve">MOSLEY, ROBERT </t>
  </si>
  <si>
    <t>3230 WEDEKIND RD Apt 86</t>
  </si>
  <si>
    <t>MOUNTAIN MEADOWS TOWN HOMES LLC</t>
  </si>
  <si>
    <t>MOUNTAIN MEADOWS CONDOMINIUMS LT 86</t>
  </si>
  <si>
    <t xml:space="preserve">PINEDA, DOUGLAS A </t>
  </si>
  <si>
    <t>3230 WEDEKIND RD # 25</t>
  </si>
  <si>
    <t>MOUNTAIN MEADOWS CONDOMINIUMS LT 25</t>
  </si>
  <si>
    <t xml:space="preserve">PERCIVAL, JOHN A &amp; LINDA J </t>
  </si>
  <si>
    <t>9732 STATE ROUTE 445 PMB 125</t>
  </si>
  <si>
    <t>MOUNTAIN MEADOWS CONDOMINIUMS LT 26</t>
  </si>
  <si>
    <t xml:space="preserve">JACOBS, JULIAN </t>
  </si>
  <si>
    <t>3230 WEDEKIND RD 27</t>
  </si>
  <si>
    <t>MOUNTAIN MEADOWS CONDOMINIUMS LT 27</t>
  </si>
  <si>
    <t>MOUNTAIN MEADOWS CONDOMINIUMS LT 30</t>
  </si>
  <si>
    <t>DEVER, JACKIE A  et al</t>
  </si>
  <si>
    <t xml:space="preserve">3230 WEDEKIND ROAD # 31 </t>
  </si>
  <si>
    <t>MOUNTAIN MEADOWS CONDOMINIUMS LT 31</t>
  </si>
  <si>
    <t xml:space="preserve">KASSA, ASTEWAI A  </t>
  </si>
  <si>
    <t>3230 WEDEKIND RD UNIT 41</t>
  </si>
  <si>
    <t>MOUNTAIN MEADOWS CONDOMINIUMS LT 41</t>
  </si>
  <si>
    <t>MOUNTAIN MEADOWS CONDOMINIUMS LT 46</t>
  </si>
  <si>
    <t>ARROYO, APOLINAR F et al</t>
  </si>
  <si>
    <t xml:space="preserve">3230 WEDEKIND RD # 61 </t>
  </si>
  <si>
    <t>MOUNTAIN MEADOWS CONDOMINIUMS LT 61</t>
  </si>
  <si>
    <t>BARENO, DOUGLAS M  et al</t>
  </si>
  <si>
    <t>3230 WEDEKIND RD # 64</t>
  </si>
  <si>
    <t xml:space="preserve">MMTH2 LLC </t>
  </si>
  <si>
    <t>MOUNTAIN MEADOWS CONDOMINIUMS LT 64</t>
  </si>
  <si>
    <t>3230 WEDEKIND RD 71</t>
  </si>
  <si>
    <t>MOUNTAIN MEADOWS CONDOMINIUMS LT 71</t>
  </si>
  <si>
    <t>MOUNTAIN MEADOWS CONDO</t>
  </si>
  <si>
    <t>MOUNTAIN MEADOWS CONDO LT 73</t>
  </si>
  <si>
    <t xml:space="preserve">MADDOCK, JAMES A &amp; DONNA D </t>
  </si>
  <si>
    <t>3230 WEDEKIND RD 77</t>
  </si>
  <si>
    <t>MOUNTAIN MEADOWS CONDOMINIUMS LT 77</t>
  </si>
  <si>
    <t xml:space="preserve">CASTRO , LUIS R  </t>
  </si>
  <si>
    <t>3230 WEDEKIND RD # 116</t>
  </si>
  <si>
    <t>MOUNTAIN MEADOWS CONDOMINIUMS LT 116</t>
  </si>
  <si>
    <t>STAUFFER, ROSALINDA Q  et al</t>
  </si>
  <si>
    <t>3230 WEDEKIND RD # 122</t>
  </si>
  <si>
    <t>CMR MM LLC</t>
  </si>
  <si>
    <t>MOUNTAIN MEADOWS CONDOMINIUMS LT 122</t>
  </si>
  <si>
    <t xml:space="preserve">ANDERSON, STEPHEN A </t>
  </si>
  <si>
    <t>3230 WEDEKIND RD 127</t>
  </si>
  <si>
    <t xml:space="preserve">CMR MM LLC </t>
  </si>
  <si>
    <t>MOUNTAIN MEADOWS CONDOMINIUMS LT 127</t>
  </si>
  <si>
    <t xml:space="preserve">CASTRO, JOSE M </t>
  </si>
  <si>
    <t>3230 WEDEKIND RD APT 129</t>
  </si>
  <si>
    <t>MOUNTAIN MEADOWS CONDO LT 129</t>
  </si>
  <si>
    <t>3230 WEDEKIND RD # 94</t>
  </si>
  <si>
    <t xml:space="preserve">DOWDY, KATHRYN A  </t>
  </si>
  <si>
    <t>MOUNTAIN MEADOWS CONDOMINIUMS LT 94</t>
  </si>
  <si>
    <t xml:space="preserve">CASILLAS-BECERRA, MARIA  </t>
  </si>
  <si>
    <t>3230 WEDEKIND RD # 99</t>
  </si>
  <si>
    <t xml:space="preserve">MMTH3 LLC </t>
  </si>
  <si>
    <t>MOUNTAIN MEADOWS CONDO LT 99</t>
  </si>
  <si>
    <t xml:space="preserve">NAVA, EUSEBIO </t>
  </si>
  <si>
    <t>3230 WEDEKIND RD # 100</t>
  </si>
  <si>
    <t>MOUNTAIN MEADOWS CONDOMINIUMS LT 100</t>
  </si>
  <si>
    <t xml:space="preserve">YOSHIMURA, LINDSAY &amp; MARGARET </t>
  </si>
  <si>
    <t>40849 SUNDALE DR</t>
  </si>
  <si>
    <t>MOUNTAIN MEADOWS CONDOMINIUMS LT 104</t>
  </si>
  <si>
    <t>MOUNTAIN MEADOWS CONDOMINIUMS LT 106</t>
  </si>
  <si>
    <t xml:space="preserve">FRANKLIN-KOVAL LIVING TRUST  </t>
  </si>
  <si>
    <t>124 W JEFFREY PINE RD</t>
  </si>
  <si>
    <t xml:space="preserve">JACOBS, MOLLY </t>
  </si>
  <si>
    <t>MOUNTAIN MEADOWS CONDOMINIUMS LT 110</t>
  </si>
  <si>
    <t xml:space="preserve">SHAW, LARRY W &amp; PATRICIA M  </t>
  </si>
  <si>
    <t xml:space="preserve">12750 THUNDERBOLT DR </t>
  </si>
  <si>
    <t xml:space="preserve">TRAVERS, ROBERT &amp; INGER </t>
  </si>
  <si>
    <t>MOUNTAIN MEADOWS CONDOMINIUMS LT 112</t>
  </si>
  <si>
    <t>2401 CANNAN ST</t>
  </si>
  <si>
    <t>GARCIA-SALDIERNA, ANA et al</t>
  </si>
  <si>
    <t>MARTINEZ, FELIPE P et al</t>
  </si>
  <si>
    <t>SILVERADA NORTH 1 LT 55</t>
  </si>
  <si>
    <t>2166 EDGEMAR CIR</t>
  </si>
  <si>
    <t xml:space="preserve">GARCIA, DAVID &amp; ESMERALDA </t>
  </si>
  <si>
    <t>SILVERADA NORTH 2 LT 34</t>
  </si>
  <si>
    <t>2544 GARFIELD DR</t>
  </si>
  <si>
    <t>FALCONCREST 1 PH 1 LT 31 BLK B</t>
  </si>
  <si>
    <t>2540 GARFIELD DR</t>
  </si>
  <si>
    <t xml:space="preserve">PRIJATEL, NICOLE </t>
  </si>
  <si>
    <t xml:space="preserve">MARCELL, SANDRA L </t>
  </si>
  <si>
    <t>FALCONCREST 1 PH 1 LT 35 BLK B</t>
  </si>
  <si>
    <t>2532 GARFIELD DR</t>
  </si>
  <si>
    <t xml:space="preserve">DUTCHER, VERNON </t>
  </si>
  <si>
    <t>FALCONCREST 1 PH 1 LT 39 BLK B</t>
  </si>
  <si>
    <t>2642 FANTO CT</t>
  </si>
  <si>
    <t>FALCONCREST UT 1 PHASE 2</t>
  </si>
  <si>
    <t xml:space="preserve">GONZALEZ, OLIMPIA </t>
  </si>
  <si>
    <t xml:space="preserve">GOUDEY, MARGERY I </t>
  </si>
  <si>
    <t>FALCONCREST UT 1 PH 2 LT 13 BLK D</t>
  </si>
  <si>
    <t>2572 GARFIELD DR</t>
  </si>
  <si>
    <t xml:space="preserve">JOHNSON, EARL R </t>
  </si>
  <si>
    <t>FALCONCREST 1 PH 2 LT 21 BLK C</t>
  </si>
  <si>
    <t>2642 BETSY CT</t>
  </si>
  <si>
    <t xml:space="preserve">SPIRAL INFINITY LLC </t>
  </si>
  <si>
    <t xml:space="preserve">HARTNEY, EDWARD F &amp; JUDY </t>
  </si>
  <si>
    <t>FALCONCREST 1 PH 2 LT 31 BLK E</t>
  </si>
  <si>
    <t>3511 BARRYMORE DR</t>
  </si>
  <si>
    <t xml:space="preserve">DIAZ-FLORES, CARLOS </t>
  </si>
  <si>
    <t>MEADOW VIEW TERRACE 1 LT 18</t>
  </si>
  <si>
    <t>2555 STARKS WAY</t>
  </si>
  <si>
    <t xml:space="preserve">MARRIOTT, BILLIE S </t>
  </si>
  <si>
    <t>6840 SUMMIT VIEW DR</t>
  </si>
  <si>
    <t>CHOQUETTE, FRANCIS E et al</t>
  </si>
  <si>
    <t>MEADOW VIEW TERRACE 1 LT 44</t>
  </si>
  <si>
    <t>2505 STARKS WAY</t>
  </si>
  <si>
    <t xml:space="preserve">1685 MURPHY PL </t>
  </si>
  <si>
    <t xml:space="preserve">JOHN, TIMOTHY A </t>
  </si>
  <si>
    <t>MEADOW VIEW TERRACE 1 LT 39</t>
  </si>
  <si>
    <t>2426 MARJAY CT</t>
  </si>
  <si>
    <t>CROOK, BILLY C et al</t>
  </si>
  <si>
    <t xml:space="preserve">CROOK, BILLY C </t>
  </si>
  <si>
    <t>MEADOWVIEW TERRACE 2 AMD LT 7 BLK B</t>
  </si>
  <si>
    <t>3045 HILLHOUSE CT</t>
  </si>
  <si>
    <t>AMIRFAR, SUSAN E  et al</t>
  </si>
  <si>
    <t xml:space="preserve">6400 E HATCH RD </t>
  </si>
  <si>
    <t>HUGHSON</t>
  </si>
  <si>
    <t>95326</t>
  </si>
  <si>
    <t xml:space="preserve">AMIRFAR, SUSAN E  </t>
  </si>
  <si>
    <t>MEADOWVIEW TERRACE 4 AMD LT 6 BLK B</t>
  </si>
  <si>
    <t>2620 STARKS WAY</t>
  </si>
  <si>
    <t>MEADOWVIEW TERRACE 3A</t>
  </si>
  <si>
    <t xml:space="preserve">FRAYSSINOUX, PHILIPPE </t>
  </si>
  <si>
    <t xml:space="preserve">FRAYSSINOUX, PHILLIPE </t>
  </si>
  <si>
    <t>MEADOWVIEW TERRACE 3A LT 12</t>
  </si>
  <si>
    <t>2650 STARKS WAY</t>
  </si>
  <si>
    <t>WATSON, SONIA L et al</t>
  </si>
  <si>
    <t>MEADOWVIEW TERRACE 3A LT 9</t>
  </si>
  <si>
    <t>3446 TERRACE KNOLL CT</t>
  </si>
  <si>
    <t>MEADOWVIEW TERRACE 3</t>
  </si>
  <si>
    <t xml:space="preserve">TRUST NO NV28321  </t>
  </si>
  <si>
    <t>PO BOX 3333</t>
  </si>
  <si>
    <t>OCALA</t>
  </si>
  <si>
    <t>34478</t>
  </si>
  <si>
    <t xml:space="preserve">NUMBER 6273035 TRUST  </t>
  </si>
  <si>
    <t>MEADOWVIEW TERRACE 3B LT 15</t>
  </si>
  <si>
    <t>3454 TERRACE KNOLL CT</t>
  </si>
  <si>
    <t>MEADOWVIEW TERRACE UNIT 3</t>
  </si>
  <si>
    <t xml:space="preserve">MATTHEWS, DAVID P  </t>
  </si>
  <si>
    <t xml:space="preserve">WESTON, JAMES F &amp; MABEL E </t>
  </si>
  <si>
    <t>MEADOWVIEW TERRACE UNIT 3B LT 17</t>
  </si>
  <si>
    <t>3458 TERRACE KNOLL CT</t>
  </si>
  <si>
    <t xml:space="preserve">GALBREATH, DAN L </t>
  </si>
  <si>
    <t xml:space="preserve">TOOKE, THOMAS D </t>
  </si>
  <si>
    <t>MEADOWVIEW TERRACE 3B LT 18</t>
  </si>
  <si>
    <t>2395 MELODY LN</t>
  </si>
  <si>
    <t>PLANT, JOSEPH J et al</t>
  </si>
  <si>
    <t>SCENIC TERRACE LT 7 BLK A</t>
  </si>
  <si>
    <t>3405 SCOTTSDALE RD</t>
  </si>
  <si>
    <t xml:space="preserve">GUILLEN, BEATRIZ A  </t>
  </si>
  <si>
    <t xml:space="preserve">3405 SCOTTSDALE RD </t>
  </si>
  <si>
    <t>SCENIC TERRACE LT 1 BLK A</t>
  </si>
  <si>
    <t>2376 MELODY LN</t>
  </si>
  <si>
    <t xml:space="preserve">SCENIC TERRACE  </t>
  </si>
  <si>
    <t xml:space="preserve">RAMOS, GABINO R  </t>
  </si>
  <si>
    <t xml:space="preserve">7440 BERRYHILL </t>
  </si>
  <si>
    <t>SCENIC TERRACE  LT 49 BLK B</t>
  </si>
  <si>
    <t>2443 MELODY LN</t>
  </si>
  <si>
    <t xml:space="preserve">STEPHENS, KASIA C </t>
  </si>
  <si>
    <t xml:space="preserve">GREATER NEVADA MORTGAGE SERV </t>
  </si>
  <si>
    <t>SCENIC TERRACE LT 102 BLK C</t>
  </si>
  <si>
    <t>2360 MELODY LN</t>
  </si>
  <si>
    <t xml:space="preserve">MANZOOR, KHALED &amp; SAHARA </t>
  </si>
  <si>
    <t xml:space="preserve">NELSON, RON </t>
  </si>
  <si>
    <t>3473 RIDGECREST DR</t>
  </si>
  <si>
    <t xml:space="preserve">ECKLEY, CASEY W </t>
  </si>
  <si>
    <t xml:space="preserve">PADILLA, JOSE G </t>
  </si>
  <si>
    <t>SCENIC TERRACE 2 LT 275 BLK B</t>
  </si>
  <si>
    <t>3426 RIDGECREST CT</t>
  </si>
  <si>
    <t xml:space="preserve">WHEELER, DAVID M &amp; CATHERINE M  </t>
  </si>
  <si>
    <t>3426 RIDGECREST  CT</t>
  </si>
  <si>
    <t xml:space="preserve">KAUNECKIS, DEREK L </t>
  </si>
  <si>
    <t>SCENIC TERRACE 2 LT 309 BLK D</t>
  </si>
  <si>
    <t>3416 RIDGECREST DR</t>
  </si>
  <si>
    <t>BYRNE, EDWIN J et al</t>
  </si>
  <si>
    <t xml:space="preserve">3416 RIDGECREST DR </t>
  </si>
  <si>
    <t xml:space="preserve">BYRNE, EDWIN J </t>
  </si>
  <si>
    <t>SCENIC TERRACE 2 LT 312 BLK D</t>
  </si>
  <si>
    <t>3403 RIDGECREST DR</t>
  </si>
  <si>
    <t xml:space="preserve">JUDIN, LILYA &amp; ALEKSEI </t>
  </si>
  <si>
    <t xml:space="preserve">ANDERTON, HALEY K </t>
  </si>
  <si>
    <t>SCENIC TERRACE 2 LT 240 BLK B</t>
  </si>
  <si>
    <t>2347 MELODY LN</t>
  </si>
  <si>
    <t xml:space="preserve">RIVERA ANGELICA M </t>
  </si>
  <si>
    <t>SCENIC TERRACE 2 LT 211 BLK A</t>
  </si>
  <si>
    <t>3330 CLEAR ACRE LN</t>
  </si>
  <si>
    <t>FR NE4 OF NE4</t>
  </si>
  <si>
    <t xml:space="preserve">STODDARD, MARK &amp; JULIE  </t>
  </si>
  <si>
    <t xml:space="preserve">3330 CLEAR ACRE LN </t>
  </si>
  <si>
    <t>FR NE4 OF NE4 SEC 36 TWP 20 RGE 19</t>
  </si>
  <si>
    <t>2316 MELODY LN</t>
  </si>
  <si>
    <t xml:space="preserve">PICINSKI, PATRYK L </t>
  </si>
  <si>
    <t>2316 MELODY N</t>
  </si>
  <si>
    <t xml:space="preserve">GANDHI, MANISHA A </t>
  </si>
  <si>
    <t>SCENIC TERRACE 2 LT 300 BLK B</t>
  </si>
  <si>
    <t>2336 MELODY LN</t>
  </si>
  <si>
    <t xml:space="preserve">BAILEY-SMITH, MEGAN A </t>
  </si>
  <si>
    <t>11285 MESSINA WAY</t>
  </si>
  <si>
    <t>SCENIC TERRACE 2 LT 296 BLK B</t>
  </si>
  <si>
    <t>3005 SCOTTSDALE RD</t>
  </si>
  <si>
    <t xml:space="preserve">KAVOOSI, ALEX G </t>
  </si>
  <si>
    <t>026-561-06</t>
  </si>
  <si>
    <t>MEADOWVIEW TERRACE 7 LT 22 BLK A</t>
  </si>
  <si>
    <t>3015 SCOTTSDALE RD</t>
  </si>
  <si>
    <t>MEADOWVIEW TERRACE 7 ADJ</t>
  </si>
  <si>
    <t xml:space="preserve">BYRNE, BRENT W &amp; KAITLIN E  </t>
  </si>
  <si>
    <t xml:space="preserve">NANCE, STERLING </t>
  </si>
  <si>
    <t>026-561-27</t>
  </si>
  <si>
    <t>MEADOWVIEW TERRACE 7 ADJ LT 23 BLK A (RS3101)</t>
  </si>
  <si>
    <t>3246 EPIC AVE</t>
  </si>
  <si>
    <t xml:space="preserve">CHAN, JOSE V </t>
  </si>
  <si>
    <t xml:space="preserve">BARKER, CLYDE C &amp; GLORIA E </t>
  </si>
  <si>
    <t>CENTURY EST LT 53</t>
  </si>
  <si>
    <t>3270 EPIC AVE</t>
  </si>
  <si>
    <t xml:space="preserve">SPANGRUD, PAUL L &amp; ANA V M </t>
  </si>
  <si>
    <t>CENTURY EST LT 50</t>
  </si>
  <si>
    <t>2009 S MACKENZIE CIR</t>
  </si>
  <si>
    <t xml:space="preserve">ARREDONDO, ALFONSO G </t>
  </si>
  <si>
    <t>MEADOWVIEW 1 LT 2 BLK C</t>
  </si>
  <si>
    <t>2725 SCOTTSDALE RD</t>
  </si>
  <si>
    <t>PM 3321</t>
  </si>
  <si>
    <t xml:space="preserve">ROBERTS-DARBY, MARY </t>
  </si>
  <si>
    <t>7800 BARNSLEY WAY</t>
  </si>
  <si>
    <t>95757</t>
  </si>
  <si>
    <t>026-032-13</t>
  </si>
  <si>
    <t>PM 3321 LT B</t>
  </si>
  <si>
    <t>3544 NIBLICK DR</t>
  </si>
  <si>
    <t xml:space="preserve">SMITH, EVAN  </t>
  </si>
  <si>
    <t xml:space="preserve">3544 NIBLICK DR </t>
  </si>
  <si>
    <t>WILDCREEK GOLF VILLAS 1 AMD LT 31 ADJ RS 4048 LT 3</t>
  </si>
  <si>
    <t>3548 NIBLICK DR</t>
  </si>
  <si>
    <t xml:space="preserve">SHEPPARD, T G &amp; M ELAINE </t>
  </si>
  <si>
    <t>1100 RL ROJO GRANDE</t>
  </si>
  <si>
    <t xml:space="preserve">NIBLICK TRUST #3548 </t>
  </si>
  <si>
    <t>WILDCREEK GOLF VILLAS 1 AMD LT 29 ADJ RS 4048 LT 2</t>
  </si>
  <si>
    <t>3558 MASHIE DR</t>
  </si>
  <si>
    <t xml:space="preserve">SOLETA, TANYA P </t>
  </si>
  <si>
    <t xml:space="preserve">LAXAMANA, GLORIA M &amp;  RICARDO M  </t>
  </si>
  <si>
    <t>WILDCREEK GOLF VILLAS 1 AMD LT 8 ADJ RS 4048 LT 8A</t>
  </si>
  <si>
    <t>3565 MASHIE DR</t>
  </si>
  <si>
    <t xml:space="preserve">CLARK, DUSTIN M </t>
  </si>
  <si>
    <t>WILDCREEK GOLF VILLAS 1 LT 24</t>
  </si>
  <si>
    <t>3555 NIBLICK DR</t>
  </si>
  <si>
    <t>WILDCREEK GOLF VILLAS 1 AMD</t>
  </si>
  <si>
    <t xml:space="preserve">SHEPPARD, T G &amp; ELAINE  </t>
  </si>
  <si>
    <t>1100 EL ROJO GRANDE</t>
  </si>
  <si>
    <t>026-640-06</t>
  </si>
  <si>
    <t>WILDCREEK GOLF VILLAS 1 LT 27 AMD</t>
  </si>
  <si>
    <t>2193 BURROWS CT</t>
  </si>
  <si>
    <t>MERCADO, SUSANA G et al</t>
  </si>
  <si>
    <t>MEADOWVIEW PH 2 LT 11</t>
  </si>
  <si>
    <t>2155 DELAWARE CT</t>
  </si>
  <si>
    <t xml:space="preserve">GOUTAGNY, JONATHAN  </t>
  </si>
  <si>
    <t xml:space="preserve">2155 DELAWARE CT </t>
  </si>
  <si>
    <t>MEADOWVIEW PH 2 LT 27</t>
  </si>
  <si>
    <t>2242 DOYLE CT</t>
  </si>
  <si>
    <t xml:space="preserve">BAGSIC, ROMMEL G &amp; BEVERLY N </t>
  </si>
  <si>
    <t xml:space="preserve">AGUIRRE, ELIBORIO S </t>
  </si>
  <si>
    <t>KELLY RANCH EST LT 15</t>
  </si>
  <si>
    <t>3170 CREEKSIDE LN</t>
  </si>
  <si>
    <t xml:space="preserve">SINGH, KRIPAL </t>
  </si>
  <si>
    <t>WILDCREEK EST 1 LT 130</t>
  </si>
  <si>
    <t>3250 CREEKSIDE LN</t>
  </si>
  <si>
    <t xml:space="preserve">NUNEZ, MANUEL J &amp; JOSEFINA A D  </t>
  </si>
  <si>
    <t>SEGURA-MENA, GUILLERMO et al</t>
  </si>
  <si>
    <t>WILDCREEK EST 1 LT 137</t>
  </si>
  <si>
    <t>2151 DIVOT DR</t>
  </si>
  <si>
    <t xml:space="preserve">RIVARD, MELINDA I </t>
  </si>
  <si>
    <t xml:space="preserve">BOOTHROYD, MARIA D </t>
  </si>
  <si>
    <t>WILDCREEK GOLF VILLAS 2 LT 216</t>
  </si>
  <si>
    <t>3512 BRASSIE DR</t>
  </si>
  <si>
    <t>4101 WISEMAN BLVD</t>
  </si>
  <si>
    <t>SAN ANTONIO</t>
  </si>
  <si>
    <t>78251</t>
  </si>
  <si>
    <t>LOPEZ, JOSE L A  et al</t>
  </si>
  <si>
    <t>WILDCREEK GOLF VILLAS 2 LT 232</t>
  </si>
  <si>
    <t>3516 MASHIE DR</t>
  </si>
  <si>
    <t>ANTONITSCH, DIANNE J et al</t>
  </si>
  <si>
    <t>WILDCREEK GOLF VILLAS 2 LT 252</t>
  </si>
  <si>
    <t>3439 BENTGRASS CT</t>
  </si>
  <si>
    <t xml:space="preserve">BRISTOL, KYLE A </t>
  </si>
  <si>
    <t>WILDCREEK ESTATES 2 LT 206</t>
  </si>
  <si>
    <t>2363 WILDCREEK DR</t>
  </si>
  <si>
    <t xml:space="preserve">HOLLAND, JENNIFER A  </t>
  </si>
  <si>
    <t xml:space="preserve">2363 WILDCREEK DR </t>
  </si>
  <si>
    <t>WILDCREEK EST 2 LT 242</t>
  </si>
  <si>
    <t>3195 CITYVIEW TER</t>
  </si>
  <si>
    <t>RAO, JI LU  et al</t>
  </si>
  <si>
    <t xml:space="preserve">CHEN JIAN KAI </t>
  </si>
  <si>
    <t xml:space="preserve">1020 GREENWICH WAY </t>
  </si>
  <si>
    <t xml:space="preserve">COLONIAL BANK NA </t>
  </si>
  <si>
    <t>WILDCREEK EST 2 LT 232</t>
  </si>
  <si>
    <t>3464 FAIRWAY CT</t>
  </si>
  <si>
    <t xml:space="preserve">BROWN, STEPHEN G &amp; MARILOU R  </t>
  </si>
  <si>
    <t xml:space="preserve">3464 FAIRWAY CT </t>
  </si>
  <si>
    <t xml:space="preserve">DELL`ERGO, MATTHEW </t>
  </si>
  <si>
    <t>WILDCREEK EST 3 LT 326</t>
  </si>
  <si>
    <t>3443 FAIRWAY CT</t>
  </si>
  <si>
    <t>NGUYEN, LONG T et al</t>
  </si>
  <si>
    <t>LUU VIENG T</t>
  </si>
  <si>
    <t>3443 FAIRVIEW CT</t>
  </si>
  <si>
    <t>WILDCREEK EST 3 LT 333</t>
  </si>
  <si>
    <t>3235 FAIRWAY DR</t>
  </si>
  <si>
    <t xml:space="preserve">SCHRAMM, RICHARD F &amp; LINDA S </t>
  </si>
  <si>
    <t>WILDCREEK EST 3 LT 346</t>
  </si>
  <si>
    <t>3242 BENTGRASS DR</t>
  </si>
  <si>
    <t xml:space="preserve">BAUMBACH, WENDY </t>
  </si>
  <si>
    <t xml:space="preserve">HERNANDEZ, ANNA M </t>
  </si>
  <si>
    <t>WILDCREEK EST 3 LT 305</t>
  </si>
  <si>
    <t>3222 FAIRWAY DR</t>
  </si>
  <si>
    <t xml:space="preserve">WOODARD, CORY B </t>
  </si>
  <si>
    <t xml:space="preserve">3222 FAIRWAY DR                         </t>
  </si>
  <si>
    <t xml:space="preserve">WONG, JANICE S  </t>
  </si>
  <si>
    <t>WILDCREEK EST 3 LT 314</t>
  </si>
  <si>
    <t>3451 NIBLICK DR</t>
  </si>
  <si>
    <t xml:space="preserve">LEACH, WILLIAM A &amp; ANN E </t>
  </si>
  <si>
    <t>WILDCREEK GOLF VILLAS 3 LT 322</t>
  </si>
  <si>
    <t>3430 MASHIE DR</t>
  </si>
  <si>
    <t xml:space="preserve">SIMAS, DOUGLAS M &amp; GAY L </t>
  </si>
  <si>
    <t>278 RIVER FLOW DR</t>
  </si>
  <si>
    <t xml:space="preserve">GUSTAFSON, KEVIN &amp; KALI D </t>
  </si>
  <si>
    <t>WILDCREEK GOLF VILLAS 3 LT 321</t>
  </si>
  <si>
    <t>3446 MASHIE DR</t>
  </si>
  <si>
    <t xml:space="preserve">SANCHEZ, SERGIO </t>
  </si>
  <si>
    <t xml:space="preserve">FREEMAN, EILEEN M </t>
  </si>
  <si>
    <t>WILDCREEK GOLF VILLAS 3 LT 317</t>
  </si>
  <si>
    <t>3462 BRASSIE DR</t>
  </si>
  <si>
    <t xml:space="preserve">PUCKETT, COURTNEY S &amp; JUSTIN  </t>
  </si>
  <si>
    <t xml:space="preserve">3462 BRASSIE DR </t>
  </si>
  <si>
    <t>WILDCREEK GOLF VILLAS PH 3 LT 330</t>
  </si>
  <si>
    <t>3472 BRASSIE DR</t>
  </si>
  <si>
    <t xml:space="preserve">LANTZ, JANICE E  </t>
  </si>
  <si>
    <t xml:space="preserve">3472 BRASSIE CT </t>
  </si>
  <si>
    <t>WILDCREEK GOLF VILLAS 3 LT 335</t>
  </si>
  <si>
    <t>3476 BRASSIE DR</t>
  </si>
  <si>
    <t xml:space="preserve">SPRIGGS, ROBERT L &amp; JUDY A </t>
  </si>
  <si>
    <t>602 STAGECOACH RD</t>
  </si>
  <si>
    <t xml:space="preserve">MENTABERRY, MICHAEL S </t>
  </si>
  <si>
    <t>WILDCREEK GOLF VILLAS 3 LT 336</t>
  </si>
  <si>
    <t>3479 BRASSIE DR</t>
  </si>
  <si>
    <t>GARCIA, GABRIELA  et al</t>
  </si>
  <si>
    <t xml:space="preserve">BARRAGAN, FRANCISCO J </t>
  </si>
  <si>
    <t>WILDCREEK GOLF VILLAS 3 LT 334</t>
  </si>
  <si>
    <t>MOSAIC CONDO LT 111 BLK 1</t>
  </si>
  <si>
    <t>MOSAIC CONDO LT 214 BLK 2</t>
  </si>
  <si>
    <t>MOSAIC CONDO LT 122 BLK 1</t>
  </si>
  <si>
    <t>MOSAIC CONDO LT 324 BLK 3</t>
  </si>
  <si>
    <t xml:space="preserve">FRANCISCO, LARRY I &amp; FORTUNATA C  </t>
  </si>
  <si>
    <t>MOSAIC CONDO LT 823 BLK 8</t>
  </si>
  <si>
    <t>MOSAIC CONDO LT 1022 BLK 10</t>
  </si>
  <si>
    <t>3135 STERLING RIDGE CIR</t>
  </si>
  <si>
    <t xml:space="preserve">LOCKWOOD, DAVID  </t>
  </si>
  <si>
    <t>WILDCREEK TH LT 43</t>
  </si>
  <si>
    <t>3133 STERLING RIDGE CIR</t>
  </si>
  <si>
    <t xml:space="preserve">ANG, DONALD </t>
  </si>
  <si>
    <t xml:space="preserve">MARTINEZ, ELVIA B </t>
  </si>
  <si>
    <t>WILDCREEK TH LT 44</t>
  </si>
  <si>
    <t>1742 GAULT WAY</t>
  </si>
  <si>
    <t xml:space="preserve">COLVIG-CAMERON , LYNNE  </t>
  </si>
  <si>
    <t xml:space="preserve">1742 GAULT WAY </t>
  </si>
  <si>
    <t>MEADOWVALE 8 LT 4-B</t>
  </si>
  <si>
    <t>1762 GAULT WAY</t>
  </si>
  <si>
    <t xml:space="preserve">MARTIN, ANTONIO G  </t>
  </si>
  <si>
    <t>1237 S GREENWOOD AVE APT # 15</t>
  </si>
  <si>
    <t xml:space="preserve">MONTELLO </t>
  </si>
  <si>
    <t>LOPEZ, ADALY et al</t>
  </si>
  <si>
    <t>MEADOWVALE 8 UT D LT 3</t>
  </si>
  <si>
    <t>1772 GAULT WAY</t>
  </si>
  <si>
    <t>MEADOWVALE 8 AMEND UNIT F</t>
  </si>
  <si>
    <t>LIU, CHENGYUN et al</t>
  </si>
  <si>
    <t>2647 ADEL WAY</t>
  </si>
  <si>
    <t>MEADOWVALE 8 AMEND UNIT</t>
  </si>
  <si>
    <t xml:space="preserve">ZOMOZA, GLADIS </t>
  </si>
  <si>
    <t>340 TINA CIR</t>
  </si>
  <si>
    <t>MEADOWVALE 8 AMEND UT F LT 72</t>
  </si>
  <si>
    <t>1793 SUE WAY</t>
  </si>
  <si>
    <t xml:space="preserve">BARKER, CLYDE &amp; GLORIA </t>
  </si>
  <si>
    <t xml:space="preserve">25587 E GLASGOW PL                      </t>
  </si>
  <si>
    <t xml:space="preserve">AURORA                   </t>
  </si>
  <si>
    <t xml:space="preserve">TENBOER, BRIEANNE L </t>
  </si>
  <si>
    <t>MEADOWVALE 8 AMD UT B LT 71</t>
  </si>
  <si>
    <t>1773 SUE WAY</t>
  </si>
  <si>
    <t xml:space="preserve">LEMUS, MARIO B </t>
  </si>
  <si>
    <t>75 WILLIAM G DR</t>
  </si>
  <si>
    <t>TEWKSBURY</t>
  </si>
  <si>
    <t>MEADOWVALE 8 UT C LT 70</t>
  </si>
  <si>
    <t>1701 SUE WAY</t>
  </si>
  <si>
    <t>MEADOWVALE UNIT 8 UNIT B</t>
  </si>
  <si>
    <t xml:space="preserve">RAULT, BERNARD M &amp; REYNA E </t>
  </si>
  <si>
    <t>5415 PEARL DR</t>
  </si>
  <si>
    <t>MEADOWVALE UNIT 8 UNIT B OF LOT 65</t>
  </si>
  <si>
    <t>1706 SUE WAY</t>
  </si>
  <si>
    <t>RJB1 LLC</t>
  </si>
  <si>
    <t xml:space="preserve">440 D ST </t>
  </si>
  <si>
    <t xml:space="preserve">ORIENT </t>
  </si>
  <si>
    <t>MEADOWVALE 8 UT A LT 51</t>
  </si>
  <si>
    <t>1711 GAULT WAY</t>
  </si>
  <si>
    <t xml:space="preserve">MEADOWVALE 8 </t>
  </si>
  <si>
    <t xml:space="preserve">WALLACE, BRANDON K </t>
  </si>
  <si>
    <t>LUCRECIA LLC  LLC</t>
  </si>
  <si>
    <t>MEADOWVALE 8 UT C LT 41</t>
  </si>
  <si>
    <t>1550 GAULT WAY</t>
  </si>
  <si>
    <t>601 W 4TH ST</t>
  </si>
  <si>
    <t>MEADOWVALE 8 LT 19 BLK A</t>
  </si>
  <si>
    <t>2675 ROCK BLVD</t>
  </si>
  <si>
    <t xml:space="preserve">MEADOWVALE 8 AMD  </t>
  </si>
  <si>
    <t>AGAPITO, JANETH C  et al</t>
  </si>
  <si>
    <t xml:space="preserve">2675 ROCK BLVD </t>
  </si>
  <si>
    <t>MEADOWVALE 8 AMD LT 24A LT B</t>
  </si>
  <si>
    <t>RS 5188 PAR A1, , (REFER TO DOC 3808256 FOR COMPLE</t>
  </si>
  <si>
    <t>5625 WEDEKIND RD</t>
  </si>
  <si>
    <t xml:space="preserve">WEDEKIND TRUST # 5625, NRES-NV3 </t>
  </si>
  <si>
    <t>FRAC NE4 NE4</t>
  </si>
  <si>
    <t>2247 OPPIO ST</t>
  </si>
  <si>
    <t>CASEY, GATLIN J et al</t>
  </si>
  <si>
    <t>MILLER TESSA</t>
  </si>
  <si>
    <t xml:space="preserve">KEEVER, DAVID </t>
  </si>
  <si>
    <t>YORKSHIRE MANOR 2 LT 30</t>
  </si>
  <si>
    <t>2193 OPPIO ST</t>
  </si>
  <si>
    <t xml:space="preserve">VEGA, ROBERT JR  </t>
  </si>
  <si>
    <t xml:space="preserve">2193 OPPIO ST </t>
  </si>
  <si>
    <t>YORKSHIRE MANOR 2 LT 33</t>
  </si>
  <si>
    <t>2113 OPPIO ST</t>
  </si>
  <si>
    <t>YORKSHIRE 2</t>
  </si>
  <si>
    <t xml:space="preserve">RAMOS, MARIA G </t>
  </si>
  <si>
    <t xml:space="preserve">923 HELLYER AVE                         </t>
  </si>
  <si>
    <t xml:space="preserve">SAN JOSE                 </t>
  </si>
  <si>
    <t>YORKSHIRE MANOR 2 LT 41</t>
  </si>
  <si>
    <t>2115 OPPIO ST</t>
  </si>
  <si>
    <t xml:space="preserve">TAO-NGO, WYNNIE TO </t>
  </si>
  <si>
    <t>10003 HOLLENBECK ST</t>
  </si>
  <si>
    <t>89178</t>
  </si>
  <si>
    <t>YORKSHIRE MANOR 2 LT 44</t>
  </si>
  <si>
    <t>2171 ROCK BLVD</t>
  </si>
  <si>
    <t>CORDOVA-ORELLANA, JOSUE N  et al</t>
  </si>
  <si>
    <t xml:space="preserve">SOLARES-RAMOS MARIA C </t>
  </si>
  <si>
    <t>PO BOX 76</t>
  </si>
  <si>
    <t>YORKSHIRE MANOR 2 LT 107</t>
  </si>
  <si>
    <t>2152 OPPIO ST</t>
  </si>
  <si>
    <t xml:space="preserve">PHILLIPS, LINDA K </t>
  </si>
  <si>
    <t>4070 SILVER SAGE DR</t>
  </si>
  <si>
    <t>YORKSHIRE MANOR 2 LT 77</t>
  </si>
  <si>
    <t>2112 OPPIO ST</t>
  </si>
  <si>
    <t xml:space="preserve">ZARAGOZA, ALICIA </t>
  </si>
  <si>
    <t xml:space="preserve">BANK OF AMERICA NA  </t>
  </si>
  <si>
    <t>YORKSHIRE MANOR 2 LT 81</t>
  </si>
  <si>
    <t>2253 OPPIO ST</t>
  </si>
  <si>
    <t xml:space="preserve">RENTERIA, RALPH E JR </t>
  </si>
  <si>
    <t>YORKSHIRE MANOR 2 LT 25</t>
  </si>
  <si>
    <t>2257 OPPIO ST</t>
  </si>
  <si>
    <t xml:space="preserve">CERRITOS, ZULEYMA L  </t>
  </si>
  <si>
    <t xml:space="preserve">2257 OPPIO ST </t>
  </si>
  <si>
    <t>YORKSHIRE MANOR 2 LT 26</t>
  </si>
  <si>
    <t>2291 ROCK BLVD</t>
  </si>
  <si>
    <t xml:space="preserve">GONZALEZ, JAIME </t>
  </si>
  <si>
    <t>YORKSHIRE MANOR 2 LT 95</t>
  </si>
  <si>
    <t>2263 ROCK BLVD</t>
  </si>
  <si>
    <t xml:space="preserve">DUNN, ALLEN W &amp; JEAN L </t>
  </si>
  <si>
    <t>430 ANGELA PL</t>
  </si>
  <si>
    <t>YORKSHIRE MANOR 2 LT 97</t>
  </si>
  <si>
    <t>1534 CHESTER SQ</t>
  </si>
  <si>
    <t xml:space="preserve">ROBERT E LEE &amp; LESLIE J, CARMICHAEL REV INT TRST  </t>
  </si>
  <si>
    <t>140 HAMILTON CT</t>
  </si>
  <si>
    <t>YORKSHIRE MANOR NO 2 LOT 58</t>
  </si>
  <si>
    <t>2274 OPPIO ST</t>
  </si>
  <si>
    <t xml:space="preserve">HARTSELL, PATRICIA  </t>
  </si>
  <si>
    <t xml:space="preserve">2274 OPPIO ST </t>
  </si>
  <si>
    <t>YORKSHIRE MANOR NO 2 LT 68</t>
  </si>
  <si>
    <t>1954 19TH ST</t>
  </si>
  <si>
    <t>MEADOWVALE 11</t>
  </si>
  <si>
    <t>SOLANO, ALFONSO A et al</t>
  </si>
  <si>
    <t xml:space="preserve">HARTSELL, PATRICIA L </t>
  </si>
  <si>
    <t>MEADOWVALE 11 LT 2</t>
  </si>
  <si>
    <t>3200 WILMA DR</t>
  </si>
  <si>
    <t>PIERCE, TRANCITO D &amp; JOSIAH R et al</t>
  </si>
  <si>
    <t>SPARKS VILLAGE GREEN 1 LT 58</t>
  </si>
  <si>
    <t>3250 BUNKER HILL LN</t>
  </si>
  <si>
    <t>MENA, ANTONIO &amp; LORENA C  et al</t>
  </si>
  <si>
    <t>SPARKS VILLAGE GREEN 1 LT 28</t>
  </si>
  <si>
    <t>3276 HOLMAN WAY</t>
  </si>
  <si>
    <t xml:space="preserve">NICHOLSON, JOLANTA M </t>
  </si>
  <si>
    <t xml:space="preserve">UNGER, JASPER A III &amp; BETH ANNE </t>
  </si>
  <si>
    <t>SPARKS VILLAGE GREEN SUB UNIT 2 LOT 86</t>
  </si>
  <si>
    <t>3213 HOLMAN WAY</t>
  </si>
  <si>
    <t xml:space="preserve">PETERSEN, FRANK M &amp; PATRICIA J </t>
  </si>
  <si>
    <t xml:space="preserve">PETERSEN, FRANK M </t>
  </si>
  <si>
    <t>SPARKS VILLAGE GREEN 2 LT 97</t>
  </si>
  <si>
    <t>3376 LAGOMARSINO CT</t>
  </si>
  <si>
    <t xml:space="preserve">MCFARLAND , SHANE M </t>
  </si>
  <si>
    <t xml:space="preserve">COX, CHARLES M &amp; MARJORIE O </t>
  </si>
  <si>
    <t>SPARKS VILLAGE GREEN 2 LT 49</t>
  </si>
  <si>
    <t>3377 LAGOMARSINO CT</t>
  </si>
  <si>
    <t xml:space="preserve">LIPPARELLI, LUKE </t>
  </si>
  <si>
    <t>SPARKS VILLAGE GREEN 2 LT 43</t>
  </si>
  <si>
    <t>1020 LEPORI WAY</t>
  </si>
  <si>
    <t xml:space="preserve">BURNS, PAUL </t>
  </si>
  <si>
    <t>P O BOX 420</t>
  </si>
  <si>
    <t>RIPON</t>
  </si>
  <si>
    <t>95386</t>
  </si>
  <si>
    <t xml:space="preserve">BOOHER, BEVERLY </t>
  </si>
  <si>
    <t>SPARKS VILLAGE GREEN SUB 2 LT 22</t>
  </si>
  <si>
    <t>913 LEPORI WAY</t>
  </si>
  <si>
    <t xml:space="preserve">MULHERN, MARIE F </t>
  </si>
  <si>
    <t>913 LEPORI DR</t>
  </si>
  <si>
    <t>SPARKS VILLAGE GREEN 2 LT 71</t>
  </si>
  <si>
    <t>1365 GAULT WAY</t>
  </si>
  <si>
    <t xml:space="preserve">RIVAS, MARIA F  </t>
  </si>
  <si>
    <t xml:space="preserve">1365 GAULT WAY </t>
  </si>
  <si>
    <t>MANTZ, GREGORY D et al</t>
  </si>
  <si>
    <t>GREENBRAE TERRACE WLY ADD H LT 19 BLK 12</t>
  </si>
  <si>
    <t>1245 GAULT WAY</t>
  </si>
  <si>
    <t xml:space="preserve">BECK, BRITTNEY L  </t>
  </si>
  <si>
    <t xml:space="preserve">1245 GAULT WAY </t>
  </si>
  <si>
    <t xml:space="preserve">ALLRED TRUST, MAI T  </t>
  </si>
  <si>
    <t>GREENBRAE TERRACE WLY ADD H LT 25 BLK 12</t>
  </si>
  <si>
    <t>1365 DODSON WAY</t>
  </si>
  <si>
    <t xml:space="preserve">ISAAC, JERRY  </t>
  </si>
  <si>
    <t xml:space="preserve">1365 DODSON WAY </t>
  </si>
  <si>
    <t>GREENBRAE TERRACE WLY H LT 27 BLK 11</t>
  </si>
  <si>
    <t>2639 11TH ST</t>
  </si>
  <si>
    <t>GREENBRAE TERRACE WLY H LT 1 BLK 11</t>
  </si>
  <si>
    <t>2625 ROCK BLVD</t>
  </si>
  <si>
    <t xml:space="preserve">CASTILLO, ANTONIO </t>
  </si>
  <si>
    <t>MEADOWVALE 6 UT 6 LT 1 BLK N</t>
  </si>
  <si>
    <t>2465 ROCK BLVD</t>
  </si>
  <si>
    <t xml:space="preserve">NETTENSTROM, GARY R &amp; JODI  </t>
  </si>
  <si>
    <t xml:space="preserve">899 DRIFTWOOD LN </t>
  </si>
  <si>
    <t xml:space="preserve">FALLEN </t>
  </si>
  <si>
    <t>MEADOWVALE 6 LT 7 BLK N</t>
  </si>
  <si>
    <t>2465 OPPIO ST</t>
  </si>
  <si>
    <t>HUMFELD, JERRALD W et al</t>
  </si>
  <si>
    <t>URIBE, FRANK T &amp; PAMELA  et al</t>
  </si>
  <si>
    <t>MEADOWVALE 6 LT 13 BLK M</t>
  </si>
  <si>
    <t>1660 ZEPHYR WAY</t>
  </si>
  <si>
    <t>MEADOWVALE 6 LT 4 BLK P</t>
  </si>
  <si>
    <t>1730 ZEPHYR WAY</t>
  </si>
  <si>
    <t>MEADOWVALE 7 A</t>
  </si>
  <si>
    <t xml:space="preserve">PUNAY, JENNY &amp; CESAR </t>
  </si>
  <si>
    <t xml:space="preserve">AGTARAP, DINAH </t>
  </si>
  <si>
    <t>MEADOWVALE 7 A LT 14 BLK P</t>
  </si>
  <si>
    <t>1773 PLYMOUTH WAY</t>
  </si>
  <si>
    <t>MEADOWVALE 7C</t>
  </si>
  <si>
    <t xml:space="preserve">PALACIOS, MANUEL P </t>
  </si>
  <si>
    <t>MEADOWVALE 7C LT 20 BLK P</t>
  </si>
  <si>
    <t>1761 PLYMOUTH WAY</t>
  </si>
  <si>
    <t xml:space="preserve">NORTHRUP, ADAM L </t>
  </si>
  <si>
    <t xml:space="preserve">GRIMM, CARL G &amp; MARIFE D </t>
  </si>
  <si>
    <t>MEADOWVALE 7C LT 20B BLK P</t>
  </si>
  <si>
    <t>1645 ZEPHYR WAY</t>
  </si>
  <si>
    <t xml:space="preserve">HAWKING, VALERIE F </t>
  </si>
  <si>
    <t xml:space="preserve">DAUWALTER, CHARLES L &amp; MARIA A </t>
  </si>
  <si>
    <t>MEADOWVALE 6 LT 28 BLK L</t>
  </si>
  <si>
    <t>1305 PLYMOUTH WAY</t>
  </si>
  <si>
    <t xml:space="preserve">KADBAN, MOYED H </t>
  </si>
  <si>
    <t>687 E CAMDEN AVE</t>
  </si>
  <si>
    <t>EL CAJON</t>
  </si>
  <si>
    <t xml:space="preserve">JORGENSEN, ANITA </t>
  </si>
  <si>
    <t>GREENBRAE TERRACE WESTERLY ADD H LT 26 BLK 9</t>
  </si>
  <si>
    <t>1325 ZEPHYR WAY</t>
  </si>
  <si>
    <t xml:space="preserve">GALVAN, RAMON R </t>
  </si>
  <si>
    <t>GREENBRAE TERRACE WLY ADD G LT 26 BLK 8</t>
  </si>
  <si>
    <t>1005 ARLEEN WAY</t>
  </si>
  <si>
    <t>PEREZ, CHRISTOPHER  et al</t>
  </si>
  <si>
    <t xml:space="preserve">1005 ARLEEN WAY </t>
  </si>
  <si>
    <t>PYRAMID PARK 2 LT 3 BLK G</t>
  </si>
  <si>
    <t>2565 HOLMAN WAY</t>
  </si>
  <si>
    <t xml:space="preserve">RODRIGUEZ, BRENDA D  </t>
  </si>
  <si>
    <t xml:space="preserve">2565 HOLMAN WAY </t>
  </si>
  <si>
    <t>PYRAMID PARK 2 LT 1 BLK A</t>
  </si>
  <si>
    <t>2500 11TH ST</t>
  </si>
  <si>
    <t xml:space="preserve">BABCOCK, ERIN M &amp; CURTIS A </t>
  </si>
  <si>
    <t>GREENBRAE TERRACE WLY G LT 4 BLK 10</t>
  </si>
  <si>
    <t>1305 YORK WAY</t>
  </si>
  <si>
    <t xml:space="preserve">HERNANDEZ, JOSE L </t>
  </si>
  <si>
    <t>GREENBRAE TERRACE WLY G LT 18 BLK 7</t>
  </si>
  <si>
    <t>1115 YORK WAY</t>
  </si>
  <si>
    <t xml:space="preserve">RICO, JESUS C </t>
  </si>
  <si>
    <t>GREENBRAE TERRACE WLY ADD G LT 26 BLK 7</t>
  </si>
  <si>
    <t>1360 VANCE WAY</t>
  </si>
  <si>
    <t xml:space="preserve">PEREZ, ANGELICA H  </t>
  </si>
  <si>
    <t>GREENBRAE TERRACE WLY ADD E LT 14 BLK 4</t>
  </si>
  <si>
    <t>1245 XMAN WAY</t>
  </si>
  <si>
    <t>GREENBRAE TE WLY ADD F</t>
  </si>
  <si>
    <t xml:space="preserve">MARTINEZ-CHICAS, SANDRA </t>
  </si>
  <si>
    <t>GREENBRAE TE WLY ADD F LT 9 BLK 5</t>
  </si>
  <si>
    <t>1970 11TH ST</t>
  </si>
  <si>
    <t>GREENBRAE TERRACE WLY ADD E LT 3 BLK 6</t>
  </si>
  <si>
    <t>2160 11TH ST</t>
  </si>
  <si>
    <t>MENA-PADILLA, ROXANA et al</t>
  </si>
  <si>
    <t>DAVIS, ALEEN J et al</t>
  </si>
  <si>
    <t>GREENBRAE TERRACE  WLY ADD F LT 10 BLK 6</t>
  </si>
  <si>
    <t>2200 11TH ST</t>
  </si>
  <si>
    <t xml:space="preserve">TOLOTTI FAMILY TRUST  </t>
  </si>
  <si>
    <t>6585 MAHOGANY RIDGE DR</t>
  </si>
  <si>
    <t xml:space="preserve">TOLOTTI, RYAN B &amp; CHRISTY A </t>
  </si>
  <si>
    <t>GREENBRAE TERRACE WLY F LT 12 BLK 6</t>
  </si>
  <si>
    <t>2225 HOLMAN WAY</t>
  </si>
  <si>
    <t xml:space="preserve">GUILLEN, ARMANDO  </t>
  </si>
  <si>
    <t>PYRAMID PARK 2 LT 5 BLK B</t>
  </si>
  <si>
    <t>2090 HOLMAN WAY</t>
  </si>
  <si>
    <t xml:space="preserve">OWENS, QUENTIN A </t>
  </si>
  <si>
    <t xml:space="preserve">ALVAREZ, JOSE B </t>
  </si>
  <si>
    <t>PYRAMID PARK 1 LT 15 BLK C</t>
  </si>
  <si>
    <t>2180 SCHROEDER WAY</t>
  </si>
  <si>
    <t xml:space="preserve">HOPPER, JAMES B JR  </t>
  </si>
  <si>
    <t xml:space="preserve">2180 SCHROEDER WAY                      </t>
  </si>
  <si>
    <t xml:space="preserve">REILEY, MARY B </t>
  </si>
  <si>
    <t>PYRAMID PARK 1 LT 15 BLK D</t>
  </si>
  <si>
    <t>2161 LOGAN WAY</t>
  </si>
  <si>
    <t xml:space="preserve">HARTLEY, LINDA J </t>
  </si>
  <si>
    <t>CAROLO, BRIAN P et al</t>
  </si>
  <si>
    <t>PYRAMID PARK 1 FR LT 5 BLK E</t>
  </si>
  <si>
    <t>2095 OPPIO ST</t>
  </si>
  <si>
    <t xml:space="preserve">GRAY, MICHAEL W II &amp; JULIE K  </t>
  </si>
  <si>
    <t xml:space="preserve">MATEO, OSCAR B </t>
  </si>
  <si>
    <t>MEADOWVALE 3 LT 9 BLK D</t>
  </si>
  <si>
    <t>1985 OPPIO ST</t>
  </si>
  <si>
    <t>WILCOX, JAMES D et al</t>
  </si>
  <si>
    <t>MEADOWVALE 3 LT 12 BLK D</t>
  </si>
  <si>
    <t>1775 VANCE WAY</t>
  </si>
  <si>
    <t>MEADOWVALE SUB UNIT 3</t>
  </si>
  <si>
    <t xml:space="preserve">COBOS, VICTOR S </t>
  </si>
  <si>
    <t xml:space="preserve">JUSTICE, KATHLEEN &amp; EDWARD </t>
  </si>
  <si>
    <t>MEADWOVALE SUB UNIT 3 LOT 25 BLK I</t>
  </si>
  <si>
    <t>1750 TYLER WAY</t>
  </si>
  <si>
    <t>MARTINEZ-HERNANDEZ, ADRIAN et al</t>
  </si>
  <si>
    <t>MEADOWVALE 4 LT 12 BLK H</t>
  </si>
  <si>
    <t>1180 UPTON WAY</t>
  </si>
  <si>
    <t xml:space="preserve">SOUZA, PATRICIA L </t>
  </si>
  <si>
    <t>GREENBRAE TERRACE WLY E LT 6 BLK 3</t>
  </si>
  <si>
    <t>1225 UPTON WAY</t>
  </si>
  <si>
    <t>844 1/2 CALIFORNIA AVE</t>
  </si>
  <si>
    <t>VENICE</t>
  </si>
  <si>
    <t>GREENBRAE TERRACE WLY ADD E LT 30 BLK 2</t>
  </si>
  <si>
    <t>1919 11TH ST</t>
  </si>
  <si>
    <t>DICUS, CLAY A et al</t>
  </si>
  <si>
    <t xml:space="preserve">GREENBRAE TERRACE WLY E LT 1 BLK 2 </t>
  </si>
  <si>
    <t>1240 TYLER WAY</t>
  </si>
  <si>
    <t xml:space="preserve">BENITEZ, LETICIA M </t>
  </si>
  <si>
    <t xml:space="preserve">FLORES, MARIA A &amp; ANTONIO A </t>
  </si>
  <si>
    <t>GREENBRAE TERRACE WLY ADD E LT 8 BLK 2</t>
  </si>
  <si>
    <t>1420 TYLER WAY</t>
  </si>
  <si>
    <t xml:space="preserve">GONZALEZ, GLORIA E </t>
  </si>
  <si>
    <t>GREENBRAE TERRACE WLY E LT 16 BLK 2</t>
  </si>
  <si>
    <t>1722 MEADOWVALE WAY</t>
  </si>
  <si>
    <t>MEADOWVALE SUB UNIT NO 10</t>
  </si>
  <si>
    <t xml:space="preserve">KOVACS, BRYAN S </t>
  </si>
  <si>
    <t xml:space="preserve">JONES, PAUL B &amp; ANA </t>
  </si>
  <si>
    <t>MEADOWVALE 10 LT 10 BLK F</t>
  </si>
  <si>
    <t>1768 MEADOWVALE WAY</t>
  </si>
  <si>
    <t>MEADOWVALE 10</t>
  </si>
  <si>
    <t>ORELLANA, AMILCAR &amp; ANA  et al</t>
  </si>
  <si>
    <t xml:space="preserve">MEADOWVALE 10 LT 16 BLK F </t>
  </si>
  <si>
    <t>1776 MEADOWVALE WAY</t>
  </si>
  <si>
    <t xml:space="preserve">RAMIREZ PEREZ, MAYRA E </t>
  </si>
  <si>
    <t>2325 JESSIE</t>
  </si>
  <si>
    <t xml:space="preserve">GARATE, EUGENE D &amp; RONDA T </t>
  </si>
  <si>
    <t>MEADOWVALE 10 LT 17 BLK F</t>
  </si>
  <si>
    <t>1713 MEADOWVALE WAY</t>
  </si>
  <si>
    <t>MEADOWVALE SUB UNIT 10</t>
  </si>
  <si>
    <t xml:space="preserve">MARTINEZ, JOSEFINA </t>
  </si>
  <si>
    <t xml:space="preserve">DEVERA, ALBUEN M &amp; GRACE S </t>
  </si>
  <si>
    <t>MEADOWVALE SUB UNIT 10 LT 2 BLK I</t>
  </si>
  <si>
    <t>1801 17TH ST</t>
  </si>
  <si>
    <t xml:space="preserve">VALLE, HECTOR A C  </t>
  </si>
  <si>
    <t xml:space="preserve">18001 17TH ST </t>
  </si>
  <si>
    <t>MEADOWVALE 1 LT 8 BLK G</t>
  </si>
  <si>
    <t>1730 OPPIO ST</t>
  </si>
  <si>
    <t xml:space="preserve">MERCADO, SONIA M </t>
  </si>
  <si>
    <t>MEADOWVALE 2 LT 16 BLK A</t>
  </si>
  <si>
    <t>1760 OPPIO ST</t>
  </si>
  <si>
    <t>MEADOWVALE SUB DIV 2</t>
  </si>
  <si>
    <t xml:space="preserve">HARVEY, BENJAMIN C </t>
  </si>
  <si>
    <t xml:space="preserve">POEHLAND LIVING TRUST  </t>
  </si>
  <si>
    <t>LT 17 BLK A MEADOWVALE SUB DIV 2</t>
  </si>
  <si>
    <t>1835 ROCK BLVD</t>
  </si>
  <si>
    <t>PADILLA-PLASCENCIA, IRENE et al</t>
  </si>
  <si>
    <t>MEADOWVALE 2 LT 24 BLK A</t>
  </si>
  <si>
    <t>1562 GREENBRAE DR</t>
  </si>
  <si>
    <t>SIERRA HEIGHTS 1 LT 6 BLK 1</t>
  </si>
  <si>
    <t>1465 SBRAGIA WAY</t>
  </si>
  <si>
    <t xml:space="preserve">GREENBURG, BRET J &amp; JAMIE L  </t>
  </si>
  <si>
    <t xml:space="preserve">1465 SBRAGIA WAY </t>
  </si>
  <si>
    <t xml:space="preserve">PIERSON, BARBARA A </t>
  </si>
  <si>
    <t>GREENBRAE TERRACE WLY D LT M BLK M</t>
  </si>
  <si>
    <t>1121 SBRAGIA WAY</t>
  </si>
  <si>
    <t xml:space="preserve">BRAVO-MCKAY, PATRICIA </t>
  </si>
  <si>
    <t>GREENBRAE TERRACE WLY ADD C LT 44 BLK M</t>
  </si>
  <si>
    <t>1109 SBRAGIA WAY</t>
  </si>
  <si>
    <t>GREENBRAE TERR WLY ADD C</t>
  </si>
  <si>
    <t>LOPEZ, MICHAEL R et al</t>
  </si>
  <si>
    <t>FALCON, JAVIER et al</t>
  </si>
  <si>
    <t>GREENBRAE TERRACE SUB WESTERLY ADD C LOT 47 BLK M</t>
  </si>
  <si>
    <t>1103 SBRAGIA WAY</t>
  </si>
  <si>
    <t xml:space="preserve">HERRERA, INDOLFO C </t>
  </si>
  <si>
    <t>1565 17TH ST</t>
  </si>
  <si>
    <t>GREENBRAE TERRACE WLY ADD C LT 1 BLK M</t>
  </si>
  <si>
    <t>1420 RUSSELL WAY</t>
  </si>
  <si>
    <t xml:space="preserve">HICKS, DOUGLAS </t>
  </si>
  <si>
    <t>BISHOP</t>
  </si>
  <si>
    <t>GREENBRAE TERRACE WESTERLY ADD D LT J BLK M</t>
  </si>
  <si>
    <t>1365 RUSSELL WAY</t>
  </si>
  <si>
    <t xml:space="preserve">VARGAS, HUMBERTO </t>
  </si>
  <si>
    <t>GREENBRAE TERRACE WLY ADD D LT Q BLK L</t>
  </si>
  <si>
    <t>1109 RUSSELL WAY</t>
  </si>
  <si>
    <t>REYES, JASMINE et al</t>
  </si>
  <si>
    <t xml:space="preserve">1109 RUSSELL WAY </t>
  </si>
  <si>
    <t>GREENBRAE TERRACE WLY ADD C LT 31 BLK L</t>
  </si>
  <si>
    <t>1280 GREENBRAE DR</t>
  </si>
  <si>
    <t>ARAGON-CARPIO, EDY et al</t>
  </si>
  <si>
    <t>CHAVEZ, JESUS G et al</t>
  </si>
  <si>
    <t>GREENBRAE TERRACE WLY ADD D LT D BLK L</t>
  </si>
  <si>
    <t>1360 GREENBRAE DR</t>
  </si>
  <si>
    <t>GREENBRAE TERR WLY ADD D</t>
  </si>
  <si>
    <t xml:space="preserve">NAJERA, BRYAN R </t>
  </si>
  <si>
    <t xml:space="preserve">CENTER, JERRY K </t>
  </si>
  <si>
    <t>GREENBRAE TERRACE WESTERLY ADD D LT H BLK L</t>
  </si>
  <si>
    <t>1460 GREENBRAE DR</t>
  </si>
  <si>
    <t xml:space="preserve">NUNEZ-MELENDEZ, MARIA D J </t>
  </si>
  <si>
    <t>MURILLO, ROBERTO  et al</t>
  </si>
  <si>
    <t>GREENBRAE TERRACE SUB WESTERLY ADD D LOT L BLK L</t>
  </si>
  <si>
    <t>1604 11TH ST</t>
  </si>
  <si>
    <t>SMITH, JELANI et al</t>
  </si>
  <si>
    <t>GREENBRAE TERRACE WLY ADD A LT 16 BLK E</t>
  </si>
  <si>
    <t>1820 GREENBRAE DR</t>
  </si>
  <si>
    <t xml:space="preserve">FULLER, JAMES L &amp; LOIS I </t>
  </si>
  <si>
    <t>PARK VERDE LT 5 BLK A</t>
  </si>
  <si>
    <t>1912 GREENBRAE DR</t>
  </si>
  <si>
    <t>MARQUEZ, BRAULIO M et al</t>
  </si>
  <si>
    <t xml:space="preserve">MENA JULIA C </t>
  </si>
  <si>
    <t xml:space="preserve">1912 GREENBRAE DR </t>
  </si>
  <si>
    <t xml:space="preserve">O`GRADY, PHILLIP S &amp; HEATHER E  </t>
  </si>
  <si>
    <t>FR NW4 NW4 SEC 5 TWP 19 RGE 20</t>
  </si>
  <si>
    <t>1865 VERANO DR</t>
  </si>
  <si>
    <t xml:space="preserve">PARK VERDE  </t>
  </si>
  <si>
    <t xml:space="preserve">MIRAMONTES, SANTIAGO J  </t>
  </si>
  <si>
    <t xml:space="preserve">1865 VERANO DR </t>
  </si>
  <si>
    <t xml:space="preserve">CAZARES, SOCORRO R </t>
  </si>
  <si>
    <t>PARK VERDE LT 15 BLK C</t>
  </si>
  <si>
    <t>1480 LORENA ST</t>
  </si>
  <si>
    <t xml:space="preserve">CASTRO, RAUL  </t>
  </si>
  <si>
    <t xml:space="preserve">1480 LORENA </t>
  </si>
  <si>
    <t>PARK VERDE LT 4 BLK C</t>
  </si>
  <si>
    <t>1540 LORENA ST</t>
  </si>
  <si>
    <t>MEDINA-GUIJARRO, KARINA  et al</t>
  </si>
  <si>
    <t xml:space="preserve">1540 LORENA ST </t>
  </si>
  <si>
    <t>PARK VERDE LT 1 BLK C</t>
  </si>
  <si>
    <t>1850 VERANO DR</t>
  </si>
  <si>
    <t xml:space="preserve">MACIAS, J GUADALUPE A </t>
  </si>
  <si>
    <t xml:space="preserve">1850 VERANO DR </t>
  </si>
  <si>
    <t>PARK VERDE LT 27 BLK B</t>
  </si>
  <si>
    <t>1870 VERANO DR</t>
  </si>
  <si>
    <t>GARCIA, SALVADOR G  et al</t>
  </si>
  <si>
    <t xml:space="preserve">ESTRADA, GENARO &amp; ROSA </t>
  </si>
  <si>
    <t>PARK VERDE LT 29 BLK B</t>
  </si>
  <si>
    <t>1845 GREENBRAE DR</t>
  </si>
  <si>
    <t xml:space="preserve">GARCIA, PEDRO R  </t>
  </si>
  <si>
    <t>PARK VERDE SUB LT 6 BLK B</t>
  </si>
  <si>
    <t>1535 17TH ST</t>
  </si>
  <si>
    <t xml:space="preserve">REINHARDT, NICHOLAS A &amp; TARA L  </t>
  </si>
  <si>
    <t xml:space="preserve">10215 COYOTE CREEK DR </t>
  </si>
  <si>
    <t>SIERRA HEIGHTS 1 LT 21 BLK 3</t>
  </si>
  <si>
    <t>1785 OXFORD AVE</t>
  </si>
  <si>
    <t xml:space="preserve">JACINTO, VIOLETA </t>
  </si>
  <si>
    <t>SIERRA HEIGHTS 1 LT 27 BLK 3</t>
  </si>
  <si>
    <t>1649 OXFORD AVE</t>
  </si>
  <si>
    <t xml:space="preserve">GONAZLES, NICOLE M </t>
  </si>
  <si>
    <t>1649 OXFORD</t>
  </si>
  <si>
    <t>SWICKARD, DIANA M et al</t>
  </si>
  <si>
    <t>SIERRA HEIGHTS 1 LT 33 BLK 3</t>
  </si>
  <si>
    <t>1574 OXFORD AVE</t>
  </si>
  <si>
    <t xml:space="preserve">SOTELO, ROSARIO  </t>
  </si>
  <si>
    <t xml:space="preserve">1574 OXFORD AVE </t>
  </si>
  <si>
    <t xml:space="preserve">HOVEN , MARK T  </t>
  </si>
  <si>
    <t>SIERRA HEIGHTS 1 LT 51 BLK 4</t>
  </si>
  <si>
    <t>1650 OXFORD AVE</t>
  </si>
  <si>
    <t xml:space="preserve">GARCIA, TOMAS &amp; GLORIA  </t>
  </si>
  <si>
    <t>670 TEEL ST</t>
  </si>
  <si>
    <t>SIERRA HEIGHTS 1 LT 56 BLK 4</t>
  </si>
  <si>
    <t>SIERRA HEIGHTS 1 LT 59 BLK 4</t>
  </si>
  <si>
    <t>1537 PROSPECT AVE</t>
  </si>
  <si>
    <t xml:space="preserve">VARGAS, ISABEL S  </t>
  </si>
  <si>
    <t xml:space="preserve">CRUZ-SANCHEZ, ARACELI </t>
  </si>
  <si>
    <t>SIERRA HEIGHTS 1 LT 73 BLK 4</t>
  </si>
  <si>
    <t>1574 PROSPECT AVE</t>
  </si>
  <si>
    <t>SIERRA HEIGHTS SUB UNIT 1</t>
  </si>
  <si>
    <t xml:space="preserve">825 SEQUOIA PASS CT </t>
  </si>
  <si>
    <t>SIERRA HEIGHTS 1 LT 83 BLK 5</t>
  </si>
  <si>
    <t>1741 GREENBRAE DR</t>
  </si>
  <si>
    <t>ROSCOM, EDITHA et al</t>
  </si>
  <si>
    <t>SIERRA HEIGHTS 1 LT 93 BLK 5</t>
  </si>
  <si>
    <t>1635 GREENBRAE DR</t>
  </si>
  <si>
    <t xml:space="preserve">CAPPS FAMILY REV LIVING TRUST   </t>
  </si>
  <si>
    <t>2430 HOLMAN WAY</t>
  </si>
  <si>
    <t xml:space="preserve">LEE, LINDA S  RONALD A </t>
  </si>
  <si>
    <t>SIERRA HEIGHTS 1 LT 98 BLK 5</t>
  </si>
  <si>
    <t>3056 MEADOWLANDS DR</t>
  </si>
  <si>
    <t>GREENBRAE TERRACE WLY D1 LT 1 BLK J1</t>
  </si>
  <si>
    <t>1380 OXFORD AVE</t>
  </si>
  <si>
    <t>GREENBRAE TERRACE WLY D 1</t>
  </si>
  <si>
    <t xml:space="preserve">VERMEYS &amp; VERMEYS LIVING TRUST  </t>
  </si>
  <si>
    <t xml:space="preserve">VERMEYS, HAROLD R &amp; BARBARA L </t>
  </si>
  <si>
    <t>GREENBRAE TERRACE WLY ADD D 1 LT C BLK J-I</t>
  </si>
  <si>
    <t>1255 OXFORD AVE</t>
  </si>
  <si>
    <t xml:space="preserve">DUTCHER, VERN </t>
  </si>
  <si>
    <t xml:space="preserve">227 CLAY ST                             </t>
  </si>
  <si>
    <t>GREENBRAE TERRACE WLY D LT B BLK I</t>
  </si>
  <si>
    <t>1235 OXFORD AVE</t>
  </si>
  <si>
    <t xml:space="preserve">CRAWFORD, CYNTHIA R  </t>
  </si>
  <si>
    <t xml:space="preserve">1235 OXFORD AVE </t>
  </si>
  <si>
    <t xml:space="preserve">WHITE, STEVEN E </t>
  </si>
  <si>
    <t>GREENBRAE TERRACE WESTERLY ADD D LT A BLK 1</t>
  </si>
  <si>
    <t>1406 13TH ST</t>
  </si>
  <si>
    <t>TEIXEIRA, MICHAEL et al</t>
  </si>
  <si>
    <t>GREENBRAE TERRACE WLY ADD D LT D BLK J</t>
  </si>
  <si>
    <t>1245 PROSPECT AVE</t>
  </si>
  <si>
    <t>GREENBRAE TERRACE WLY ADD D LT G BLK J</t>
  </si>
  <si>
    <t>1407 12TH ST</t>
  </si>
  <si>
    <t xml:space="preserve">ESCALANTE, HILDA </t>
  </si>
  <si>
    <t>GREENBRAE TERRACE WLY ADD B LT 34 BLK J</t>
  </si>
  <si>
    <t xml:space="preserve">10671 FIRE POPPY CIR </t>
  </si>
  <si>
    <t>1102 OXFORD AVE</t>
  </si>
  <si>
    <t>PATTERSON, ROSALIE E et al</t>
  </si>
  <si>
    <t>532 5TH ST</t>
  </si>
  <si>
    <t>MARYSVILLE</t>
  </si>
  <si>
    <t>GREENBRAE TERRACE WLY B LT 8 BLK G</t>
  </si>
  <si>
    <t>1404 12TH ST</t>
  </si>
  <si>
    <t xml:space="preserve">CARPENTER, BELVA </t>
  </si>
  <si>
    <t xml:space="preserve">PEREZ, RICHARD A &amp; LORRAINE M </t>
  </si>
  <si>
    <t>GREENBRAE TERRACE WLY B LT 13 BLK G</t>
  </si>
  <si>
    <t>1016 PROSPECT AVE</t>
  </si>
  <si>
    <t xml:space="preserve">MARTINEZ, IRENE  </t>
  </si>
  <si>
    <t>GREENBRAE TERRACE WLY ADD B LT 15 BLK F</t>
  </si>
  <si>
    <t>1504 11TH ST</t>
  </si>
  <si>
    <t xml:space="preserve">TORRES-TORRES, JAVIER </t>
  </si>
  <si>
    <t>GREENBRAE TERRACE WLY ADD B LT 16 BLK F</t>
  </si>
  <si>
    <t>916 PROSPECT AVE</t>
  </si>
  <si>
    <t xml:space="preserve">TRUJILLO, ARTURO </t>
  </si>
  <si>
    <t>NORTHMORE PARK 1 LT 6 BLK F</t>
  </si>
  <si>
    <t>817 OXFORD AVE</t>
  </si>
  <si>
    <t>NORTHMORE PARK SUB 1</t>
  </si>
  <si>
    <t xml:space="preserve">OXFORD AVE INC </t>
  </si>
  <si>
    <t xml:space="preserve">MORIN, R P &amp; GRETA </t>
  </si>
  <si>
    <t>NORTHMORE PARK SUB LOT 4 BLK A</t>
  </si>
  <si>
    <t>822 OXFORD AVE</t>
  </si>
  <si>
    <t xml:space="preserve">HOWER, STEVEN &amp; MARCIA </t>
  </si>
  <si>
    <t>NORTHMORE PARK 1 LT 4 BLK B</t>
  </si>
  <si>
    <t>PM 5015</t>
  </si>
  <si>
    <t>P O BOX 30013</t>
  </si>
  <si>
    <t xml:space="preserve">SPARKS METHODIST CHURCH INC </t>
  </si>
  <si>
    <t>027-450-15</t>
  </si>
  <si>
    <t>PM 5015 PAR B</t>
  </si>
  <si>
    <t>1714 MANCHESTER WAY</t>
  </si>
  <si>
    <t xml:space="preserve">LOVE, CHRISTINA L </t>
  </si>
  <si>
    <t>YORKSHIRE MANOR LT 66</t>
  </si>
  <si>
    <t>1721 LONDON CIR</t>
  </si>
  <si>
    <t xml:space="preserve">CHILDS, DOUGLAS P &amp; AMBER J  </t>
  </si>
  <si>
    <t xml:space="preserve">1721 LONDON CIR </t>
  </si>
  <si>
    <t>YORKSHIRE MANOR LOT 26</t>
  </si>
  <si>
    <t>1695 LONDON CIR</t>
  </si>
  <si>
    <t xml:space="preserve">OWENS, ELIZABETH J </t>
  </si>
  <si>
    <t xml:space="preserve">MADSEN, ROBERT C </t>
  </si>
  <si>
    <t>YORKSHIRE MANOR LT 40</t>
  </si>
  <si>
    <t>1635 YORK WAY</t>
  </si>
  <si>
    <t xml:space="preserve">HYDER, GARY A &amp; DIANE K </t>
  </si>
  <si>
    <t xml:space="preserve">STONESTREET TRUST, DAVID J  </t>
  </si>
  <si>
    <t>YORKSHIRE MANOR LT 124</t>
  </si>
  <si>
    <t>1677 MANCHESTER WAY</t>
  </si>
  <si>
    <t xml:space="preserve">DOERING, RACHEL L  </t>
  </si>
  <si>
    <t>YORKSHIRE MANOR LT 143</t>
  </si>
  <si>
    <t>1680 LONDON CIR</t>
  </si>
  <si>
    <t>YORKSHIRE MANOR LT 156</t>
  </si>
  <si>
    <t>1647 LONDON CIR</t>
  </si>
  <si>
    <t xml:space="preserve">TURNER, STEPHANIE V </t>
  </si>
  <si>
    <t xml:space="preserve">KRAUSE, RICHARD A </t>
  </si>
  <si>
    <t>YORKSHIRE MANOR LT 99</t>
  </si>
  <si>
    <t>990 HOLMAN WAY</t>
  </si>
  <si>
    <t>5814 TAPPAN DR</t>
  </si>
  <si>
    <t xml:space="preserve">MUROYA, SAM I &amp; CRISANTA </t>
  </si>
  <si>
    <t>TYLER WAY TH AMD LT 9 BLK B</t>
  </si>
  <si>
    <t>1031 TYLER WAY</t>
  </si>
  <si>
    <t>TYLER WAY TOWN HOUSES</t>
  </si>
  <si>
    <t xml:space="preserve">STAUVERMAN, TALICA A  </t>
  </si>
  <si>
    <t>TYLER WAY TOWN HOUSES UNIT 15 BLK A</t>
  </si>
  <si>
    <t>915 TYLER WAY</t>
  </si>
  <si>
    <t>TIFT, LEWIS W  et al</t>
  </si>
  <si>
    <t xml:space="preserve">915 TYLER WAY </t>
  </si>
  <si>
    <t xml:space="preserve">TYLER WAY TH LT 42 BLK F </t>
  </si>
  <si>
    <t>3560 4TH ST</t>
  </si>
  <si>
    <t xml:space="preserve">SOMMERS, ROBERT &amp; RUTH </t>
  </si>
  <si>
    <t>900 S MEADOWS PKWY 2824</t>
  </si>
  <si>
    <t xml:space="preserve">RIOS, BERTHA A A </t>
  </si>
  <si>
    <t>SIERRA EST 4B LT 2 BLK H</t>
  </si>
  <si>
    <t>3410 NOWLIN LN</t>
  </si>
  <si>
    <t xml:space="preserve">EWING, LISA M  </t>
  </si>
  <si>
    <t xml:space="preserve">ARNETT, NEAL M </t>
  </si>
  <si>
    <t>SIERRA EST 4D LT 1 BLK J</t>
  </si>
  <si>
    <t>3687 MAC ARTHUR ST</t>
  </si>
  <si>
    <t>SILVERGATE SUB UNIT #2</t>
  </si>
  <si>
    <t xml:space="preserve">O`CONNOR, DANIEL D </t>
  </si>
  <si>
    <t>3687 MACARTHUR ST</t>
  </si>
  <si>
    <t>PAGE VENTURES LLC DBA</t>
  </si>
  <si>
    <t>SILVERGATE 2 LT 3</t>
  </si>
  <si>
    <t>3626 KOSKELA DR</t>
  </si>
  <si>
    <t xml:space="preserve">OLIVER, JOHN R </t>
  </si>
  <si>
    <t>PO BOX 21355</t>
  </si>
  <si>
    <t xml:space="preserve">SALIN, WILLIAM H </t>
  </si>
  <si>
    <t>SILVERGATE 2 LT 24</t>
  </si>
  <si>
    <t>3644 KOSKELA DR</t>
  </si>
  <si>
    <t xml:space="preserve">VOLZ, STACY R  </t>
  </si>
  <si>
    <t xml:space="preserve">3644 KOSKELA DR </t>
  </si>
  <si>
    <t>SILVERGATE 2 LT 27</t>
  </si>
  <si>
    <t>3664 KOSKELA DR</t>
  </si>
  <si>
    <t xml:space="preserve">LAKE, JAMES N </t>
  </si>
  <si>
    <t>SILVERGATE 2 LT 29</t>
  </si>
  <si>
    <t>3684 KOSKELA DR</t>
  </si>
  <si>
    <t>KEEN, NICHOLAS S  et al</t>
  </si>
  <si>
    <t xml:space="preserve">HENNING FAMILY TRUST  </t>
  </si>
  <si>
    <t>SILVERGATE 2 LT 31</t>
  </si>
  <si>
    <t>3692 MAC ARTHUR ST</t>
  </si>
  <si>
    <t>MULLER, WEST et al</t>
  </si>
  <si>
    <t>SILVERGATE 2 LT 34</t>
  </si>
  <si>
    <t>3644 KEOGH DR</t>
  </si>
  <si>
    <t xml:space="preserve">GARCIA, CHRISTINA M  </t>
  </si>
  <si>
    <t xml:space="preserve">3644 KEOUGH DR </t>
  </si>
  <si>
    <t>LEW, JENNIE A et al</t>
  </si>
  <si>
    <t>SILVERGATE 3 LT 26</t>
  </si>
  <si>
    <t>3693 KOSKELA DR</t>
  </si>
  <si>
    <t xml:space="preserve">GOLDEN, JAMES D JR &amp; DIANA </t>
  </si>
  <si>
    <t xml:space="preserve">MCALLESTER, LOIS </t>
  </si>
  <si>
    <t>SILVERGATE 2 LT 8</t>
  </si>
  <si>
    <t>3673 KOSKELA DR</t>
  </si>
  <si>
    <t xml:space="preserve">SHAIK, SHARMIN  </t>
  </si>
  <si>
    <t xml:space="preserve">3673 KOSKELA DR </t>
  </si>
  <si>
    <t xml:space="preserve">VRANKEN TRUST  </t>
  </si>
  <si>
    <t>SILVERGATE UT 2 LT 10</t>
  </si>
  <si>
    <t>3250 VICKIE LN</t>
  </si>
  <si>
    <t xml:space="preserve">WATSON, COLE E </t>
  </si>
  <si>
    <t>SIERRA EST 2 LT 113 BLK 8</t>
  </si>
  <si>
    <t>50 ERIC AVE</t>
  </si>
  <si>
    <t xml:space="preserve">ACOSTA, SULEYMA M  </t>
  </si>
  <si>
    <t xml:space="preserve">50 ERIC AVE </t>
  </si>
  <si>
    <t>SIERRA EST 2 LT 101 BLK 7</t>
  </si>
  <si>
    <t>3265 ELAINE WAY</t>
  </si>
  <si>
    <t xml:space="preserve">GONZALES, FLOYD P  </t>
  </si>
  <si>
    <t>SIERRA EST 2 LT 62 BLK 5</t>
  </si>
  <si>
    <t>3225 ELAINE WAY</t>
  </si>
  <si>
    <t xml:space="preserve">LOPEZ, JANET D  </t>
  </si>
  <si>
    <t>BALZ, SONJA M et al</t>
  </si>
  <si>
    <t>SIERRA EST 2 LT 58 BLK 5</t>
  </si>
  <si>
    <t>3125 ELAINE WAY</t>
  </si>
  <si>
    <t xml:space="preserve">DICKMAN, ALLISON F </t>
  </si>
  <si>
    <t xml:space="preserve">IZQUIERDO, JOSE A &amp; RAQUEL </t>
  </si>
  <si>
    <t>SIERRA EST 2 LT 51 BLK 5</t>
  </si>
  <si>
    <t>3110 ELAINE WAY</t>
  </si>
  <si>
    <t xml:space="preserve">ESPINOZA, FELIPE </t>
  </si>
  <si>
    <t>HERNANDEZ, LUIS A et al</t>
  </si>
  <si>
    <t>SIERRA EST 2 LT 77 BLK 6</t>
  </si>
  <si>
    <t>3160 ELAINE WAY</t>
  </si>
  <si>
    <t>4597 VILLAGE GREEN PKWY</t>
  </si>
  <si>
    <t>SIERRA EST 2 LT 74 BLK 6</t>
  </si>
  <si>
    <t>3205 VICKIE LN</t>
  </si>
  <si>
    <t>SIERRA EST2</t>
  </si>
  <si>
    <t xml:space="preserve">JOHNSON, JERRY </t>
  </si>
  <si>
    <t>SIERRA EST 2 LT 85 BLK 6</t>
  </si>
  <si>
    <t>3185 VICKIE LN</t>
  </si>
  <si>
    <t xml:space="preserve">PADILLA, BENITO N  </t>
  </si>
  <si>
    <t xml:space="preserve">BERNARD, GEORGINA A </t>
  </si>
  <si>
    <t>SIERRA EST 2 LT 84 BLK 6</t>
  </si>
  <si>
    <t>3115 VICKIE LN</t>
  </si>
  <si>
    <t xml:space="preserve">BIBRIEZCA, ROBERTO </t>
  </si>
  <si>
    <t>SIERRA EST 2 LT 80 BLK 6</t>
  </si>
  <si>
    <t>3265 DELNA DR</t>
  </si>
  <si>
    <t xml:space="preserve">XU, LI </t>
  </si>
  <si>
    <t>SIERRA EST 2 LT 181 BLK 9</t>
  </si>
  <si>
    <t>180 E EMERSON WAY</t>
  </si>
  <si>
    <t>SIERRA EST 2 LT 168 BLK 9</t>
  </si>
  <si>
    <t>3120 PROBASCO WAY</t>
  </si>
  <si>
    <t xml:space="preserve">ROBERTS, CHRISTOPHER H </t>
  </si>
  <si>
    <t>SIERRA EST 2 LT 164 BLK 9</t>
  </si>
  <si>
    <t>3260 PROBASCO WAY</t>
  </si>
  <si>
    <t>SIERRA EST 2 LT 154 BLK 9</t>
  </si>
  <si>
    <t>3140 DELNA DR</t>
  </si>
  <si>
    <t xml:space="preserve">WEBB, SUSAN M </t>
  </si>
  <si>
    <t>WITT, JANET K et al</t>
  </si>
  <si>
    <t>SIERRA EST 2 LT 204 BLK 10</t>
  </si>
  <si>
    <t>3220 DELNA DR</t>
  </si>
  <si>
    <t xml:space="preserve">GARCIA , LEEBERNADETTE V  </t>
  </si>
  <si>
    <t xml:space="preserve">3220 DELNA DR </t>
  </si>
  <si>
    <t>SIERRA EST 2 LT 203 BLK 10</t>
  </si>
  <si>
    <t>3280 DELNA DR</t>
  </si>
  <si>
    <t xml:space="preserve">MERCHENT , SARAH  </t>
  </si>
  <si>
    <t>SIERRA EST 2 LT 197 BLK 10</t>
  </si>
  <si>
    <t>620 EMERSON WAY</t>
  </si>
  <si>
    <t>VISTA DEL ORO SUB UNIT 5B</t>
  </si>
  <si>
    <t xml:space="preserve">GIANNANDREA, JOHN A &amp; SAYDE M </t>
  </si>
  <si>
    <t xml:space="preserve">DOMGAARD LIVING TRUST, LAUVANE R  </t>
  </si>
  <si>
    <t>VISTA DEL ORO 5-B LT 4 BLK K</t>
  </si>
  <si>
    <t>654 ABBAY WAY</t>
  </si>
  <si>
    <t xml:space="preserve">MARTINEZ, MAGALI  </t>
  </si>
  <si>
    <t xml:space="preserve">654 ABBAY WAY </t>
  </si>
  <si>
    <t xml:space="preserve">LA DELPHA, CHERIE </t>
  </si>
  <si>
    <t>VISTA DEL ORO 6 LT 2 BLK O</t>
  </si>
  <si>
    <t>333 GRANADA DR</t>
  </si>
  <si>
    <t xml:space="preserve">TORRES, MIGUEL JR </t>
  </si>
  <si>
    <t xml:space="preserve">333 GRANADA DR  </t>
  </si>
  <si>
    <t xml:space="preserve">LOCKE, BENJAMIN D &amp; JESSICA M </t>
  </si>
  <si>
    <t>VISTA DEL ORO 6B LT 8 BLK P</t>
  </si>
  <si>
    <t>130 ABBAY WAY</t>
  </si>
  <si>
    <t xml:space="preserve">RODRIGUEZ, JORGE </t>
  </si>
  <si>
    <t xml:space="preserve">HELMING, JOHN C </t>
  </si>
  <si>
    <t>VISTA DEL ORO 6B LT 18 BLK P</t>
  </si>
  <si>
    <t>282 ABBAY WAY</t>
  </si>
  <si>
    <t xml:space="preserve">REINERS, BRANDON L </t>
  </si>
  <si>
    <t>REINERS, BRANDON L et al</t>
  </si>
  <si>
    <t>VISTA DEL ORO 6B LT 22 BLK P</t>
  </si>
  <si>
    <t>330 ELGES WAY</t>
  </si>
  <si>
    <t xml:space="preserve">LEITKO, ROBERT &amp; VALERIE </t>
  </si>
  <si>
    <t xml:space="preserve">FYFE, DANIEL M &amp; SHARI K </t>
  </si>
  <si>
    <t>VISTA DEL ORO 6-B LT 25 BLK Q</t>
  </si>
  <si>
    <t>3323 4TH ST</t>
  </si>
  <si>
    <t xml:space="preserve">DUTRA, JACOBY R </t>
  </si>
  <si>
    <t xml:space="preserve">BRAUNEL, ZACHARY T&amp; EMILIE </t>
  </si>
  <si>
    <t>VISTA DEL ORO 6 LT 16 BLK O</t>
  </si>
  <si>
    <t>735 EMERSON WAY</t>
  </si>
  <si>
    <t>VISTA DEL ORO SUB DIV 5 B</t>
  </si>
  <si>
    <t xml:space="preserve">RIDGEWAY, MICHAEL S &amp; PATTIE R </t>
  </si>
  <si>
    <t xml:space="preserve">RIDGEWAY, PATTIE R </t>
  </si>
  <si>
    <t>VISTA DEL ORO 5B LT 28 BLK H</t>
  </si>
  <si>
    <t>351 LENWOOD DR</t>
  </si>
  <si>
    <t xml:space="preserve">HUMPHREYS, RICHARD C </t>
  </si>
  <si>
    <t>VISTA DEL ORO 6B LT 4 BLK L</t>
  </si>
  <si>
    <t>385 LENWOOD DR</t>
  </si>
  <si>
    <t xml:space="preserve">VISTA DEL ORO 5A </t>
  </si>
  <si>
    <t xml:space="preserve">DELALUZ, SANDRA Y </t>
  </si>
  <si>
    <t>VISTA DEL ORO 5A FR LT 1 BLK L</t>
  </si>
  <si>
    <t>110 LENWOOD DR</t>
  </si>
  <si>
    <t>VISTA DEL ORO SUB UNIT 6-</t>
  </si>
  <si>
    <t xml:space="preserve">GILBERT, CHRISTOPHER S </t>
  </si>
  <si>
    <t>VISTA DEL ORO 6B LT 26 BLK M</t>
  </si>
  <si>
    <t>3191 SHARI WAY</t>
  </si>
  <si>
    <t xml:space="preserve">VELASQUEZ, PEDRO &amp; GRISELDA </t>
  </si>
  <si>
    <t xml:space="preserve">WEBSTER, KATHY </t>
  </si>
  <si>
    <t>MEADOWLANDS 2B LT 23</t>
  </si>
  <si>
    <t>3197 CRESCENT CT</t>
  </si>
  <si>
    <t>MEADOWLANDS SUB UNIT NO 1</t>
  </si>
  <si>
    <t xml:space="preserve">GLADSTONE, JEREMEY D &amp; YECENIA Y </t>
  </si>
  <si>
    <t>MEADOWLANDS 1 LT 73</t>
  </si>
  <si>
    <t>3116 MEADOWLANDS DR</t>
  </si>
  <si>
    <t xml:space="preserve">WALKER , RODDRICK T  </t>
  </si>
  <si>
    <t xml:space="preserve">3116 MEADOWLANDS DR </t>
  </si>
  <si>
    <t>MEADOWLANDS 1 LT 51</t>
  </si>
  <si>
    <t>3221 MEADOWLANDS DR</t>
  </si>
  <si>
    <t xml:space="preserve">ZUCCO, JEFFREY T &amp; MICHELLE J  </t>
  </si>
  <si>
    <t xml:space="preserve">BREWER, CYNDI L </t>
  </si>
  <si>
    <t>MEADOWLANDS 1 LT 27</t>
  </si>
  <si>
    <t>2 E GAULT WAY</t>
  </si>
  <si>
    <t xml:space="preserve">PALOMAR, MAGDALENA </t>
  </si>
  <si>
    <t>SIERRA EST 1A LT 178 BLK 9</t>
  </si>
  <si>
    <t>89 E GAULT WAY</t>
  </si>
  <si>
    <t xml:space="preserve">MALDONADO, LILIANA E  </t>
  </si>
  <si>
    <t>89 GAULT WAY</t>
  </si>
  <si>
    <t>SIERRA EST 1A LT 166 BLK 8</t>
  </si>
  <si>
    <t>2800 GROSE LN</t>
  </si>
  <si>
    <t xml:space="preserve">SNELL, KATRIN M  </t>
  </si>
  <si>
    <t xml:space="preserve">2800 GROSE LN </t>
  </si>
  <si>
    <t>SIERRA EST 1B LT 134 BLK 6</t>
  </si>
  <si>
    <t>2860 GROSE LN</t>
  </si>
  <si>
    <t>SIERRA EST 1B LT 136 BLK 6</t>
  </si>
  <si>
    <t>2890 GROSE LN</t>
  </si>
  <si>
    <t xml:space="preserve">FAUSETT, JACOB M &amp; ERIN L  </t>
  </si>
  <si>
    <t xml:space="preserve">2890 GROSE LN </t>
  </si>
  <si>
    <t xml:space="preserve">MTGLQ INVESTORS LP </t>
  </si>
  <si>
    <t>SIERRA EST 1B LT 137 BLK 6</t>
  </si>
  <si>
    <t>100 E GAULT WAY</t>
  </si>
  <si>
    <t>SIERRA EST 1A FR</t>
  </si>
  <si>
    <t xml:space="preserve">SEGURA ACOSTA, LUIS A </t>
  </si>
  <si>
    <t>SIERRA EST 1A LT 144 BLK 7</t>
  </si>
  <si>
    <t>440 E GAULT WAY</t>
  </si>
  <si>
    <t xml:space="preserve">AUMAN FAMILY TRUST  </t>
  </si>
  <si>
    <t xml:space="preserve">440 E GAULT WAY </t>
  </si>
  <si>
    <t>PARKWOOD EST 2 LT 5 BLK C</t>
  </si>
  <si>
    <t>2750 PATRICE DR</t>
  </si>
  <si>
    <t>SPRING MANOR LT 22</t>
  </si>
  <si>
    <t>2555 TALLMAN RD</t>
  </si>
  <si>
    <t>PARKWOOD EST 2</t>
  </si>
  <si>
    <t xml:space="preserve">ARSENEAU, LAURIE J &amp; JEANNE C  </t>
  </si>
  <si>
    <t>570 NACY CIR</t>
  </si>
  <si>
    <t xml:space="preserve">MURREY TRUST  </t>
  </si>
  <si>
    <t>PARKWOOD EST 2 LT 15 BLK A</t>
  </si>
  <si>
    <t>2535 TALLMAN RD</t>
  </si>
  <si>
    <t xml:space="preserve">BAILEY, FRANK G </t>
  </si>
  <si>
    <t xml:space="preserve">JOHNSON, HERMAN </t>
  </si>
  <si>
    <t>PARKWOOD EST 2 LT 14 BLK A</t>
  </si>
  <si>
    <t>2795 STINE WAY</t>
  </si>
  <si>
    <t xml:space="preserve">GRUNDHAUSER, PHILLIP W &amp; CARRIE V  </t>
  </si>
  <si>
    <t>GREENBRAE TERR ADD 17 LT 16 BLK 57</t>
  </si>
  <si>
    <t>2775 STINE WAY</t>
  </si>
  <si>
    <t xml:space="preserve">GOMEZ, MIGUEL A </t>
  </si>
  <si>
    <t>GREENBRAE TERR ADD 17 LT 15 BLK 57</t>
  </si>
  <si>
    <t>2700 STINE WAY</t>
  </si>
  <si>
    <t xml:space="preserve">AVILA-FALCON, BLANCA G </t>
  </si>
  <si>
    <t>GREENBRAE TERR ADD 17 LT 23 BLK 56</t>
  </si>
  <si>
    <t>2695 COPPA WAY</t>
  </si>
  <si>
    <t xml:space="preserve">DIAZ, MARIA I </t>
  </si>
  <si>
    <t>GREENBRAE TERR ADD 17 LT 12 BLK 56</t>
  </si>
  <si>
    <t>2680 COPPA WAY</t>
  </si>
  <si>
    <t xml:space="preserve">BABEL, RALPH W </t>
  </si>
  <si>
    <t xml:space="preserve">ARROYO, SHAWN </t>
  </si>
  <si>
    <t>GREENBRAE TERR ADD 17 LT 25 BLK 55</t>
  </si>
  <si>
    <t>2760 COPPA WAY</t>
  </si>
  <si>
    <t>GREEN BRAE TERRACE ADD 17</t>
  </si>
  <si>
    <t>2801 MILANO DR</t>
  </si>
  <si>
    <t>GREENBRAE TERR ADD 17 LT 21 BLK 55</t>
  </si>
  <si>
    <t>164 GAULT WAY</t>
  </si>
  <si>
    <t>VISTA DEL ORO SUB DIV 3</t>
  </si>
  <si>
    <t xml:space="preserve">KAPAHEE, RUTH L </t>
  </si>
  <si>
    <t>6835 HIBISCUS CT</t>
  </si>
  <si>
    <t xml:space="preserve">TROXELL, JESSIE M </t>
  </si>
  <si>
    <t>VISTA DEL ORO 3 LT 13 BLK E</t>
  </si>
  <si>
    <t>182 GAULT WAY</t>
  </si>
  <si>
    <t>VISTA DEL ORO SUB NO 3</t>
  </si>
  <si>
    <t xml:space="preserve">MORGAN LIVING TRUST, WILLIAM H &amp; DONNA R  </t>
  </si>
  <si>
    <t xml:space="preserve">MORGAN, WILLIAM H &amp; DONNA R </t>
  </si>
  <si>
    <t>VISTA DEL ORO 3 LT 12 BLK E</t>
  </si>
  <si>
    <t>GREENBRAE TERR</t>
  </si>
  <si>
    <t xml:space="preserve">DUTCHER, VERNON  </t>
  </si>
  <si>
    <t>GREENBRAE TERR ADD 16 AMD LT 1 BLK 62</t>
  </si>
  <si>
    <t>381 GAULT WAY</t>
  </si>
  <si>
    <t xml:space="preserve">MCNEALL, PHYLLIS L  </t>
  </si>
  <si>
    <t xml:space="preserve">SEIDLER, WILLIAM H &amp; CAROLYN </t>
  </si>
  <si>
    <t>VISTA DEL ORO 3 LT 44 BLK D</t>
  </si>
  <si>
    <t>343 GAULT WAY</t>
  </si>
  <si>
    <t xml:space="preserve">BRECKE, SANDRA </t>
  </si>
  <si>
    <t>PO BOX 50202</t>
  </si>
  <si>
    <t>VISTA DEL ORO 3 LT 42 BLK D</t>
  </si>
  <si>
    <t>321 GAULT WAY</t>
  </si>
  <si>
    <t xml:space="preserve">MARTINEZ, VERONICA  </t>
  </si>
  <si>
    <t>VISTA DEL ORO 3 LT 41 BLK D</t>
  </si>
  <si>
    <t>137 GAULT WAY</t>
  </si>
  <si>
    <t xml:space="preserve">HERNANDEZ, EPIFANIO </t>
  </si>
  <si>
    <t>VISTA DEL ORO 3 LT 31 BLK D</t>
  </si>
  <si>
    <t>360 DEVERE WAY</t>
  </si>
  <si>
    <t>VISTA DEL ORO SUB UNIT 3</t>
  </si>
  <si>
    <t xml:space="preserve">PEREZ-VELASQUEZ, JOSE F  </t>
  </si>
  <si>
    <t xml:space="preserve">LITTON LOAN SERVICING LP </t>
  </si>
  <si>
    <t>VISTA DEL ORO 3 LT 2 BLK D</t>
  </si>
  <si>
    <t>321 DEVERE WAY</t>
  </si>
  <si>
    <t>VISTA DEL ORO 3 LT 41 BLK C</t>
  </si>
  <si>
    <t>251 DEVERE WAY</t>
  </si>
  <si>
    <t xml:space="preserve">ROSSI FAMILY TRUST, NICHOLAS D E   </t>
  </si>
  <si>
    <t xml:space="preserve">PETERPOSTEN, WILLIAM T JR </t>
  </si>
  <si>
    <t>VISTA DEL ORO 3 LT 37 BLK C</t>
  </si>
  <si>
    <t>118 GALLERON WAY</t>
  </si>
  <si>
    <t xml:space="preserve">MARIANO, EMERITA F </t>
  </si>
  <si>
    <t xml:space="preserve">118 GALLERON WAY </t>
  </si>
  <si>
    <t xml:space="preserve">SABALLA, NORMAN &amp; MERCEDES </t>
  </si>
  <si>
    <t>VISTA DEL ORO 2  LT 15 BLK C</t>
  </si>
  <si>
    <t>200 GALLERON WAY</t>
  </si>
  <si>
    <t xml:space="preserve">SHIPPEN , KRISTA M  </t>
  </si>
  <si>
    <t xml:space="preserve">200 GALLERON WAY </t>
  </si>
  <si>
    <t>CHAVEZ, EDIN A et al</t>
  </si>
  <si>
    <t>VISTA DEL ORO 2 LT 11 BLK C</t>
  </si>
  <si>
    <t>2575 COPPA WAY</t>
  </si>
  <si>
    <t>SALAS, EDGAR R et al</t>
  </si>
  <si>
    <t>ETCHEVERRY A &amp; L TRUST et al</t>
  </si>
  <si>
    <t>GREENBRAE TERR ADD 17 LT 7 BLK 56</t>
  </si>
  <si>
    <t>331 MC GOLDRICK WAY</t>
  </si>
  <si>
    <t xml:space="preserve">VERNACCHIO, JULIA E </t>
  </si>
  <si>
    <t>331 MCGOLDRICK WAY</t>
  </si>
  <si>
    <t>LEAVITT , RODNEY L  et al</t>
  </si>
  <si>
    <t>VISTA DEL ORO 1 LT 30 BLK A</t>
  </si>
  <si>
    <t>281 MC GOLDRICK WAY</t>
  </si>
  <si>
    <t>VISTA DEL ORO 1 LT 26 BLK A</t>
  </si>
  <si>
    <t>2415 COURTLAND WAY</t>
  </si>
  <si>
    <t xml:space="preserve">MENGO, JUAN M  </t>
  </si>
  <si>
    <t>VISTA DEL ORO 4 LT 39 BLK A</t>
  </si>
  <si>
    <t>92 YORK WAY</t>
  </si>
  <si>
    <t xml:space="preserve">CULVER, JUSTIN R </t>
  </si>
  <si>
    <t>VISTA DEL ORO 4 LT 34 BLK A</t>
  </si>
  <si>
    <t>182 YORK WAY</t>
  </si>
  <si>
    <t>CASTILLO, MARIA et al</t>
  </si>
  <si>
    <t>VISTA DEL ORO 1 LT 12 BLK A</t>
  </si>
  <si>
    <t>210 YORK WAY</t>
  </si>
  <si>
    <t xml:space="preserve">HOGUE, RALPH V &amp; TERI L </t>
  </si>
  <si>
    <t>1367 E ROSEMARY TRAIL</t>
  </si>
  <si>
    <t>CASA GRANDE</t>
  </si>
  <si>
    <t>VISTA DEL ORO 1 LT 10 BLK A</t>
  </si>
  <si>
    <t>281 GALLERON WAY</t>
  </si>
  <si>
    <t xml:space="preserve">ACUNA, CESAR JR  </t>
  </si>
  <si>
    <t xml:space="preserve">281 GALLERON WAY </t>
  </si>
  <si>
    <t>VISTA DEL ORO 2 LT 38 BLK B</t>
  </si>
  <si>
    <t>55 GALLERON WAY</t>
  </si>
  <si>
    <t>VISTA DEL ORO 4 LT 25 BLK B</t>
  </si>
  <si>
    <t>15 GALLERON WAY</t>
  </si>
  <si>
    <t>VISTA DEL ORO SUB NO 4</t>
  </si>
  <si>
    <t xml:space="preserve">VASQUEZ, MELANIE J </t>
  </si>
  <si>
    <t xml:space="preserve">ROBINSON SCHAFFNER FAMILY TRST  </t>
  </si>
  <si>
    <t>VISTA DEL ORO 4 LT 23 BLK B</t>
  </si>
  <si>
    <t>91 SHERIDAN WAY</t>
  </si>
  <si>
    <t xml:space="preserve">BRUNS, RODNEY J </t>
  </si>
  <si>
    <t>295 HOLCOMB AVE STE 3</t>
  </si>
  <si>
    <t xml:space="preserve">SANDELL FAMILY TRUST, JAMES &amp; CHERYL  </t>
  </si>
  <si>
    <t>SIERRA EST 1A LT 45 BLK 2</t>
  </si>
  <si>
    <t>2630 GROSE LN</t>
  </si>
  <si>
    <t>GALLEGOS, JOSE M et al</t>
  </si>
  <si>
    <t>PO BOX 3170</t>
  </si>
  <si>
    <t>SIERRA EST 1B LT 129 BLK 6</t>
  </si>
  <si>
    <t>2630 PROBASCO WAY</t>
  </si>
  <si>
    <t>JAMES, REED T et al</t>
  </si>
  <si>
    <t>MOOSE , ROBERTA et al</t>
  </si>
  <si>
    <t>SIERRA EST 1A LT 93 BLK 5</t>
  </si>
  <si>
    <t>23 E DEVERE WAY</t>
  </si>
  <si>
    <t>SIERRA ESTATES 1A</t>
  </si>
  <si>
    <t>SIERRA EST 1A LT 16 BLK 1</t>
  </si>
  <si>
    <t>2650 BAXTER WAY</t>
  </si>
  <si>
    <t xml:space="preserve">LLOYD, YVETTE </t>
  </si>
  <si>
    <t xml:space="preserve">BERGUE, RODGER L &amp; JEAN </t>
  </si>
  <si>
    <t>SIERRA EST 1A FR LT 54  55 BLK 3</t>
  </si>
  <si>
    <t>2501 JANELLE DR</t>
  </si>
  <si>
    <t xml:space="preserve">LOPEZ, JOSE </t>
  </si>
  <si>
    <t>YORKTOWN LT 29</t>
  </si>
  <si>
    <t>2575 PATRICE DR</t>
  </si>
  <si>
    <t xml:space="preserve">OROZCO, PEDRO N  </t>
  </si>
  <si>
    <t xml:space="preserve">2575 PATRICE DR </t>
  </si>
  <si>
    <t xml:space="preserve">SKULASON, SANDUR T </t>
  </si>
  <si>
    <t>YORKTOWN LT 9</t>
  </si>
  <si>
    <t>2255 NELSON WAY</t>
  </si>
  <si>
    <t>GREENBRAE TERRACE ADD 15</t>
  </si>
  <si>
    <t xml:space="preserve">MATIAS, ALMA S </t>
  </si>
  <si>
    <t xml:space="preserve">RIOS-RIVERA, ISMAEL </t>
  </si>
  <si>
    <t>GREENBRAE TERR ADD 15 LT 6 BLK 52</t>
  </si>
  <si>
    <t>445 RICHARDS WAY</t>
  </si>
  <si>
    <t xml:space="preserve">VALDEZ, VILMA </t>
  </si>
  <si>
    <t xml:space="preserve">OBERG, CHARLES E  </t>
  </si>
  <si>
    <t>GREENBRAE TERR ADD 14 LT 3 BLK 45</t>
  </si>
  <si>
    <t>2081 4TH ST</t>
  </si>
  <si>
    <t xml:space="preserve">CAPURRO, ROBERT L &amp; MARCELLA A </t>
  </si>
  <si>
    <t xml:space="preserve">2081 4TH ST </t>
  </si>
  <si>
    <t>GREENBRAE TERR ADD 14 LT 1 BLK 45</t>
  </si>
  <si>
    <t>665 TASKER WAY</t>
  </si>
  <si>
    <t>AUGUSTINE, NICOLE M et al</t>
  </si>
  <si>
    <t>GREENBRAE TERR ADD 15 LT 21 BLK 50</t>
  </si>
  <si>
    <t>480 TASKER WAY</t>
  </si>
  <si>
    <t>GREENBRAE TER ADD 15</t>
  </si>
  <si>
    <t>CERVANTES, SHEILA M et al</t>
  </si>
  <si>
    <t xml:space="preserve">DUENAS, FRANCISCO R &amp; KELLY A </t>
  </si>
  <si>
    <t>GREENBRAE TERR ADD 15 LT 4 BLK 51</t>
  </si>
  <si>
    <t>2300 NELSON WAY</t>
  </si>
  <si>
    <t xml:space="preserve">BARRERA, ROBERTO S &amp; DIAN R  </t>
  </si>
  <si>
    <t xml:space="preserve">7502 DESERT PLAINS DR </t>
  </si>
  <si>
    <t>GREENBRAE TERR ADD LT 15  BLK 51</t>
  </si>
  <si>
    <t>435 YORK WAY</t>
  </si>
  <si>
    <t xml:space="preserve">CERDA, MARTIN  </t>
  </si>
  <si>
    <t>GREENBRAE TERR ADD 15 LT 29 BLK 51</t>
  </si>
  <si>
    <t>2080 PROBASCO WAY</t>
  </si>
  <si>
    <t xml:space="preserve">LOPEZ, JOSE T  </t>
  </si>
  <si>
    <t xml:space="preserve">2080 PROBASCO WAY </t>
  </si>
  <si>
    <t xml:space="preserve">DEFIESTA, EUFROCINA &amp; ELISEO </t>
  </si>
  <si>
    <t>149 E YORK WAY</t>
  </si>
  <si>
    <t xml:space="preserve">LEWIS, HOPE C </t>
  </si>
  <si>
    <t>750 MCDONALD DR</t>
  </si>
  <si>
    <t>109 E YORK WAY</t>
  </si>
  <si>
    <t>100 E RICHARDS WAY</t>
  </si>
  <si>
    <t>91 E YORK WAY</t>
  </si>
  <si>
    <t xml:space="preserve">MILLER, TRUMAN L &amp; PATSY R  </t>
  </si>
  <si>
    <t>1880 W PLUMB LN</t>
  </si>
  <si>
    <t xml:space="preserve">STEPHENSON, JAMES A  </t>
  </si>
  <si>
    <t>FR SW4 SE4 SEC 33 TWP 20 RGE 20 RS 505 LT 1</t>
  </si>
  <si>
    <t>2155 PROBASCO WAY</t>
  </si>
  <si>
    <t>OTTO, DONALD J JR et al</t>
  </si>
  <si>
    <t>95 E YORK WAY</t>
  </si>
  <si>
    <t xml:space="preserve">JONES, NEWMAN &amp; MYRTIS A </t>
  </si>
  <si>
    <t xml:space="preserve">PO BOX 1825 </t>
  </si>
  <si>
    <t>59 BACH CT</t>
  </si>
  <si>
    <t>PM 1267</t>
  </si>
  <si>
    <t xml:space="preserve">GODDARD, DAVID A </t>
  </si>
  <si>
    <t xml:space="preserve">MARTINEZ, NELLY </t>
  </si>
  <si>
    <t>PM 1267 LT A</t>
  </si>
  <si>
    <t>140 E QUAIL ST</t>
  </si>
  <si>
    <t>PM 1825</t>
  </si>
  <si>
    <t xml:space="preserve">COSTA, JUAN C </t>
  </si>
  <si>
    <t>PO BOX 20172</t>
  </si>
  <si>
    <t xml:space="preserve">ROMO DE MARTIN, MARIA D </t>
  </si>
  <si>
    <t>PM 1825 LT 2</t>
  </si>
  <si>
    <t>312 GREENBRAE DR</t>
  </si>
  <si>
    <t xml:space="preserve">OJEDA, KARINA  </t>
  </si>
  <si>
    <t>312 GREENBRAE</t>
  </si>
  <si>
    <t>GREENBRAE TERR ADD 7 LT 9 BLK 42</t>
  </si>
  <si>
    <t>1602 4TH ST</t>
  </si>
  <si>
    <t xml:space="preserve">LOPEZ, JAIME </t>
  </si>
  <si>
    <t xml:space="preserve">1602 4TH ST </t>
  </si>
  <si>
    <t>GREENBRAE TERR ADD 7 LT 1 BLK 42</t>
  </si>
  <si>
    <t>115 P ST</t>
  </si>
  <si>
    <t xml:space="preserve">FARNIA, THERESA L </t>
  </si>
  <si>
    <t xml:space="preserve">TAVERNIA TRUST, MARJORIE S  </t>
  </si>
  <si>
    <t>GREENBRAE TERR ADD 7 LT 5 BLK 41</t>
  </si>
  <si>
    <t xml:space="preserve">ESCALANTE REVOCABLE LIV TRUST, MARY ALICE R  </t>
  </si>
  <si>
    <t>GREENBRAE TERR ADD 9 LT 6 BLK 36</t>
  </si>
  <si>
    <t>4 E GREENBRAE DR</t>
  </si>
  <si>
    <t xml:space="preserve">GHIDOSSI, MARTY </t>
  </si>
  <si>
    <t>P O BOX 12084</t>
  </si>
  <si>
    <t xml:space="preserve">WATNES TRUST, MILDRED M  </t>
  </si>
  <si>
    <t>GREENBRAE TERR ADD 8 LT 23 BLK 36</t>
  </si>
  <si>
    <t>605 OLEANDER WAY</t>
  </si>
  <si>
    <t>SABILLON-HIDALGO, SANDRA S et al</t>
  </si>
  <si>
    <t>GREGORY PARK LT 4</t>
  </si>
  <si>
    <t>650 E GREENBRAE DR</t>
  </si>
  <si>
    <t xml:space="preserve">SANCHEZ, ERNESTINA E  </t>
  </si>
  <si>
    <t xml:space="preserve">650 E GREENBRAE DR </t>
  </si>
  <si>
    <t xml:space="preserve">SANDOVAL, SOLIN </t>
  </si>
  <si>
    <t>TANGLEWOOD EST 2 LT 2  BLK 2</t>
  </si>
  <si>
    <t>552 OLEANDER WAY</t>
  </si>
  <si>
    <t xml:space="preserve">YOON, MAE C &amp; BYONG K  </t>
  </si>
  <si>
    <t xml:space="preserve">552 OLEANDER WAY </t>
  </si>
  <si>
    <t>SPILKER LAND COMPANY INC et al</t>
  </si>
  <si>
    <t>GREGORY PARK LT 63</t>
  </si>
  <si>
    <t>656 E QUAIL ST</t>
  </si>
  <si>
    <t xml:space="preserve">FERRER, RENATO &amp; MARILOU </t>
  </si>
  <si>
    <t xml:space="preserve">656 E QUAIL ST </t>
  </si>
  <si>
    <t>GREGORY PARK LT 45</t>
  </si>
  <si>
    <t>506 E QUAIL ST</t>
  </si>
  <si>
    <t xml:space="preserve">CARSTEN, SAVANNAH N  </t>
  </si>
  <si>
    <t xml:space="preserve">506 E QUAIL ST </t>
  </si>
  <si>
    <t xml:space="preserve">TACNER, JOHN N &amp; TONI C </t>
  </si>
  <si>
    <t>GREGORY PARK LT 38</t>
  </si>
  <si>
    <t>296 E QUAIL ST</t>
  </si>
  <si>
    <t>GREGORY PARK SUB</t>
  </si>
  <si>
    <t xml:space="preserve">QUAYLE, DOUGLAS &amp; CHRISTINA  </t>
  </si>
  <si>
    <t xml:space="preserve">ROSAS, GABRIEL </t>
  </si>
  <si>
    <t>GREGORY PARK LT 30</t>
  </si>
  <si>
    <t>216 E QUAIL ST</t>
  </si>
  <si>
    <t xml:space="preserve">MIRANDA, KIRKZION C </t>
  </si>
  <si>
    <t>GREGORY PARK LT 28</t>
  </si>
  <si>
    <t>515 STEFFANIE WAY</t>
  </si>
  <si>
    <t>URBINA, PEDRO A et al</t>
  </si>
  <si>
    <t>VISTA DEL ORO 6A LT 34 BLK 0</t>
  </si>
  <si>
    <t>534 STEFFANIE WAY</t>
  </si>
  <si>
    <t xml:space="preserve">BREWER, JANET M &amp; CHARLES G </t>
  </si>
  <si>
    <t>VISTA DEL ORO 6A LT 5 BLK R</t>
  </si>
  <si>
    <t>454 PENNY WAY</t>
  </si>
  <si>
    <t xml:space="preserve">WILEY, STEVE J &amp; TERESA R </t>
  </si>
  <si>
    <t>9815 DIXON LN</t>
  </si>
  <si>
    <t xml:space="preserve">CLARK, JENNIFER L </t>
  </si>
  <si>
    <t>VISTA DEL ORO 6A LT 3 BLK S</t>
  </si>
  <si>
    <t>3354 DEBBIE WAY</t>
  </si>
  <si>
    <t xml:space="preserve">MARIANO , RAMON M  </t>
  </si>
  <si>
    <t xml:space="preserve">3354 DEBBIE WAY </t>
  </si>
  <si>
    <t xml:space="preserve">BLANCEY, DENNIS W </t>
  </si>
  <si>
    <t>VISTA DEL ORO 6A LT 1 BLK S</t>
  </si>
  <si>
    <t>3059 MEADOWLANDS DR</t>
  </si>
  <si>
    <t xml:space="preserve">MADRID, EDMUNDO I </t>
  </si>
  <si>
    <t xml:space="preserve">KITCHENS, OLEN B II &amp; ROBERTA L </t>
  </si>
  <si>
    <t>MEADOWLANDS 3 LT 32</t>
  </si>
  <si>
    <t>3082 SHARI WAY</t>
  </si>
  <si>
    <t xml:space="preserve">POUNDS LIVING TRUST  </t>
  </si>
  <si>
    <t xml:space="preserve">POUNDS, JACK S &amp; MELBA R </t>
  </si>
  <si>
    <t>MEADOWLANDS 3 LT 39</t>
  </si>
  <si>
    <t>384 GAMBLE DR</t>
  </si>
  <si>
    <t xml:space="preserve">MORRIS, JOANNA L  </t>
  </si>
  <si>
    <t xml:space="preserve">384 GAMBLE DR </t>
  </si>
  <si>
    <t>MEADOWLANDS 2A LT 16</t>
  </si>
  <si>
    <t>3259 SALTERN WAY</t>
  </si>
  <si>
    <t xml:space="preserve">CLIMO, TAMARA L </t>
  </si>
  <si>
    <t xml:space="preserve">THOMPSON, RAYMOND O </t>
  </si>
  <si>
    <t>MEADOWLANDS 2A LT 42</t>
  </si>
  <si>
    <t>3229 EDNA CT</t>
  </si>
  <si>
    <t xml:space="preserve">RAMIREZ, ESTEBAN &amp; MONICA </t>
  </si>
  <si>
    <t>MEADOWLANDS 2B LT 3</t>
  </si>
  <si>
    <t>497 GAMBLE DR</t>
  </si>
  <si>
    <t xml:space="preserve">LIPPERT, JOSHUA M </t>
  </si>
  <si>
    <t>MEADOWLANDS 2C LT 49</t>
  </si>
  <si>
    <t>3331 SHARI WAY</t>
  </si>
  <si>
    <t>LAMONDA, GABRIELLE D et al</t>
  </si>
  <si>
    <t>MEADOWLANDS 2C LT 45</t>
  </si>
  <si>
    <t>3291 SHARI WAY</t>
  </si>
  <si>
    <t>MEADOWLANDS SUB UNIT #2-C</t>
  </si>
  <si>
    <t xml:space="preserve">BRIGGS, GERALD D &amp; TERESA L </t>
  </si>
  <si>
    <t>216 DESERT ROSE DR</t>
  </si>
  <si>
    <t>MEADOWLANDS 2C LT 41</t>
  </si>
  <si>
    <t>3053 SPRINGLAND DR</t>
  </si>
  <si>
    <t xml:space="preserve">MORRIS FAMILY LIVING TRUST </t>
  </si>
  <si>
    <t>LEWIS HOMES SPARKS 4 LT 60</t>
  </si>
  <si>
    <t>3257 WATERFIELD DR</t>
  </si>
  <si>
    <t>LEWIS HOMES SPARKS NO 4-A</t>
  </si>
  <si>
    <t xml:space="preserve">CURRY, JOHN  </t>
  </si>
  <si>
    <t xml:space="preserve">146 ALAMO DR                            </t>
  </si>
  <si>
    <t>LEWIS HOMES SPARKS 4A LT 5</t>
  </si>
  <si>
    <t>2922 SPRINGLAND DR</t>
  </si>
  <si>
    <t xml:space="preserve">LEE, CHARLOTTE M </t>
  </si>
  <si>
    <t>CAPURRO, CLAUDIA J et al</t>
  </si>
  <si>
    <t>LEWIS HOMES SPARKS 4 LT 67</t>
  </si>
  <si>
    <t>3023 SPRINGLAND DR</t>
  </si>
  <si>
    <t xml:space="preserve">LARA-HERNANDEZ, RUTILO </t>
  </si>
  <si>
    <t xml:space="preserve">NELSON, LINDA E </t>
  </si>
  <si>
    <t>LEWIS HOMES SPARKS 4 LT 56</t>
  </si>
  <si>
    <t>2973 SPRINGLAND CT</t>
  </si>
  <si>
    <t xml:space="preserve">ROWLEY, CASEY E &amp; CANDICE J </t>
  </si>
  <si>
    <t xml:space="preserve">BOYD, SHIRLEY M &amp; ROBERT J </t>
  </si>
  <si>
    <t>LEWIS HOMES SPARKS 4 LT 53</t>
  </si>
  <si>
    <t>2965 PARKLAND DR</t>
  </si>
  <si>
    <t xml:space="preserve">CLARK , STANLEY H  </t>
  </si>
  <si>
    <t xml:space="preserve">2965 PARKLAND DR </t>
  </si>
  <si>
    <t>LEWIS HOMES SPARKS 4 LT 17</t>
  </si>
  <si>
    <t>1455 RIDGELAND DR</t>
  </si>
  <si>
    <t xml:space="preserve">BARTRUFF, DAVID B </t>
  </si>
  <si>
    <t>LEWIS HOMES SPARKS 4 LT 7</t>
  </si>
  <si>
    <t>1485 RIDGELAND DR</t>
  </si>
  <si>
    <t xml:space="preserve">FYFE, DANIEL M &amp; SHARI K  </t>
  </si>
  <si>
    <t xml:space="preserve">795 SIENNA PARK DR </t>
  </si>
  <si>
    <t xml:space="preserve">WALKER, JON B &amp; DIANA L </t>
  </si>
  <si>
    <t>LEWIS HOMES SPARKS 4 LT 4</t>
  </si>
  <si>
    <t>1458 SHADY OAK DR</t>
  </si>
  <si>
    <t xml:space="preserve">POWERS, AMY M  </t>
  </si>
  <si>
    <t xml:space="preserve">1458 SHADY OAK DR </t>
  </si>
  <si>
    <t xml:space="preserve">CREDIT SHELTER TRUST  </t>
  </si>
  <si>
    <t>LEWIS HOMES SPARKS 5A LT 13</t>
  </si>
  <si>
    <t>1508 SHADY OAK DR</t>
  </si>
  <si>
    <t>LEWIS HOMES SPARKS NO 5-A</t>
  </si>
  <si>
    <t xml:space="preserve">MOLINO, JASON G </t>
  </si>
  <si>
    <t xml:space="preserve">GUILLEN, JOSE &amp; JUANA </t>
  </si>
  <si>
    <t>LEWIS HOMES SPARKS 5A LT 45</t>
  </si>
  <si>
    <t>2882 MONTE VERDE WAY</t>
  </si>
  <si>
    <t xml:space="preserve">ESQUIVEL, MARIA L  </t>
  </si>
  <si>
    <t xml:space="preserve">KELLY, SABRINA </t>
  </si>
  <si>
    <t>LEWIS HOMES SPARKS 5B LT 8</t>
  </si>
  <si>
    <t>2828 LAGUNA WAY</t>
  </si>
  <si>
    <t>LEWIS HOMES-SPARKS 5-B</t>
  </si>
  <si>
    <t xml:space="preserve">REYOME, ROCHELLE D &amp; RICHARD F II </t>
  </si>
  <si>
    <t>LEWIS HOMES SPARKS 5B LT 15</t>
  </si>
  <si>
    <t>2924 ROUND MOUNTAIN RD</t>
  </si>
  <si>
    <t xml:space="preserve">DESORMIER, WILLIAM L &amp; PATRICIA L </t>
  </si>
  <si>
    <t xml:space="preserve">MUNDT, ALLEN V &amp; LYN </t>
  </si>
  <si>
    <t>EASTLAND HILLS 1B LT 2</t>
  </si>
  <si>
    <t>2980 LIDA LN</t>
  </si>
  <si>
    <t xml:space="preserve">CORBIT, RICHARD C &amp; DARLENE </t>
  </si>
  <si>
    <t xml:space="preserve">JOHNSON, MICHAEL L &amp; JULIE A </t>
  </si>
  <si>
    <t>EASTLAND HILLS 1B LT 38</t>
  </si>
  <si>
    <t>2992 LIDA LN</t>
  </si>
  <si>
    <t xml:space="preserve">LAWSON, JAY &amp; CHERYL </t>
  </si>
  <si>
    <t>EASTLAND HILLS 1B LT 41</t>
  </si>
  <si>
    <t>2981 LIDA LN</t>
  </si>
  <si>
    <t>VALDEZ, NICHOLAS K &amp; CASEYLYNN D et al</t>
  </si>
  <si>
    <t>EASTLAND HILLS 1B LT 46</t>
  </si>
  <si>
    <t>2961 LIDA LN</t>
  </si>
  <si>
    <t xml:space="preserve">KOLSTRUP, BETTY </t>
  </si>
  <si>
    <t>1830 BALBOA DR</t>
  </si>
  <si>
    <t xml:space="preserve">PETERSON, CHRISTOPHER M </t>
  </si>
  <si>
    <t>EASTLAND HILLS 1B LT 56</t>
  </si>
  <si>
    <t>3223 CLAN ALPINE DR</t>
  </si>
  <si>
    <t xml:space="preserve">WELLER LIVING TRUST, GLENN E  </t>
  </si>
  <si>
    <t xml:space="preserve">POKORSKI LIVING TRUST, RICHARD &amp; JENIFER   </t>
  </si>
  <si>
    <t>EASTLAND HILLS 1A LT 9</t>
  </si>
  <si>
    <t>3269 CANDELARIA DR</t>
  </si>
  <si>
    <t xml:space="preserve">DISHMAN, CLINTON E &amp; CASSANDRA T </t>
  </si>
  <si>
    <t xml:space="preserve">CROZIER, JEFFREY W &amp; JAIME F </t>
  </si>
  <si>
    <t>EASTLAND HILLS 1A LT 4</t>
  </si>
  <si>
    <t>1610 HAMILTON DR</t>
  </si>
  <si>
    <t>EASTLAND HILLS 2 LT 4 BLK A</t>
  </si>
  <si>
    <t>3258 BEATTY CIR</t>
  </si>
  <si>
    <t>EASTLAND HILLS 1-A</t>
  </si>
  <si>
    <t xml:space="preserve">SMITH FAMILY TRUST, ALAN D  </t>
  </si>
  <si>
    <t>51 YOLANDA DR</t>
  </si>
  <si>
    <t>94960</t>
  </si>
  <si>
    <t>EASTLAND HILLS 1A LT 90</t>
  </si>
  <si>
    <t>3163 CLAN ALPINE DR</t>
  </si>
  <si>
    <t xml:space="preserve">CONSTANTE 1997 REVOCABLE TRUST, SEFERINA  </t>
  </si>
  <si>
    <t xml:space="preserve">CHARLEY, ALBERT T JR &amp; PATRICIA A </t>
  </si>
  <si>
    <t>EASTLAND HILLS 1A LT 83</t>
  </si>
  <si>
    <t>1535 OLINGHOUSE ST</t>
  </si>
  <si>
    <t xml:space="preserve">SALGADO, EDGAR R &amp; BRENDA A  </t>
  </si>
  <si>
    <t xml:space="preserve">HEATH, PERRY L  </t>
  </si>
  <si>
    <t>EASTLAND HILLS 1A LT 60</t>
  </si>
  <si>
    <t>1545 OLINGHOUSE ST</t>
  </si>
  <si>
    <t>EASTLAND HILLS SUB UT 1-A</t>
  </si>
  <si>
    <t xml:space="preserve">SCHLATER, AUGUSTUS T III </t>
  </si>
  <si>
    <t xml:space="preserve">SABA, WILLIAM S </t>
  </si>
  <si>
    <t>EASTLAND HILLS 1A LT 59</t>
  </si>
  <si>
    <t>2996 CLOVERDALE DR</t>
  </si>
  <si>
    <t xml:space="preserve">STUART, BRIAN K  </t>
  </si>
  <si>
    <t xml:space="preserve">2996 CLOVERDALE DR </t>
  </si>
  <si>
    <t>EASTLAND HILLS 2 LT 106 BLK I</t>
  </si>
  <si>
    <t>2927 CLOVERDALE DR</t>
  </si>
  <si>
    <t xml:space="preserve">WEST, HONOR L </t>
  </si>
  <si>
    <t>EASTLAND HILLS 2 LT 116 BLK K</t>
  </si>
  <si>
    <t>3367 JARBIDGE WAY</t>
  </si>
  <si>
    <t>1288 LAMBIC DR</t>
  </si>
  <si>
    <t xml:space="preserve">BERG, GEORGE &amp; CAROL </t>
  </si>
  <si>
    <t>EASTLAND HILLS 2 LT 51 BLK D</t>
  </si>
  <si>
    <t>3222 JARBIDGE WAY</t>
  </si>
  <si>
    <t xml:space="preserve">JORDY, JEREMIAH S &amp; CHRISTINA N </t>
  </si>
  <si>
    <t>EASTLAND HILLS 2 LT 131 BLK H</t>
  </si>
  <si>
    <t>3245 DANVILLE DR</t>
  </si>
  <si>
    <t>BARKOCY, JOSHUA et al</t>
  </si>
  <si>
    <t>EASTLAND HILLS 2 LT 94 BLK H</t>
  </si>
  <si>
    <t>1878 DEEP CREEK DR</t>
  </si>
  <si>
    <t xml:space="preserve">ROVIG, STEVEN J </t>
  </si>
  <si>
    <t xml:space="preserve">FUGITT, DARRIN &amp; ANNETTE L </t>
  </si>
  <si>
    <t>EASTLAND HILLS 2 LT 77 BLK F</t>
  </si>
  <si>
    <t>1370 BERKSHIRE CT</t>
  </si>
  <si>
    <t xml:space="preserve">EILERS, KATIE </t>
  </si>
  <si>
    <t>WILLOW CREEK STATION 3 LT 13 BLK A</t>
  </si>
  <si>
    <t>2662 WABASH CIR</t>
  </si>
  <si>
    <t xml:space="preserve">SMITH, JESSE T &amp; JENNIFER A </t>
  </si>
  <si>
    <t xml:space="preserve">WABASH TRUST#2662  </t>
  </si>
  <si>
    <t>WILLOW CREEK STATION 5 LT 27 BLK B</t>
  </si>
  <si>
    <t>2648 WABASH CIR</t>
  </si>
  <si>
    <t>WILLOW CREEK STATION  5</t>
  </si>
  <si>
    <t xml:space="preserve">MORTON, STEPHEN A &amp; ARLENE J </t>
  </si>
  <si>
    <t>6385 REY DEL SIERRA DR</t>
  </si>
  <si>
    <t xml:space="preserve">MARTINEZ, HECTOR &amp; MARIA </t>
  </si>
  <si>
    <t>WILLOW CREEK STATION 5 LT 25 BLK B</t>
  </si>
  <si>
    <t>1797 BERKSHIRE DR</t>
  </si>
  <si>
    <t>WILLOW CRK STN UT 5 FR 1</t>
  </si>
  <si>
    <t xml:space="preserve">STATHES, MARK E SR </t>
  </si>
  <si>
    <t xml:space="preserve">CONSUMER SOLUTIONS REO LLC </t>
  </si>
  <si>
    <t>WILLOW CREEK STATION 5 FR LT 1 2 BLK A</t>
  </si>
  <si>
    <t>1665 O`MALLEY DR</t>
  </si>
  <si>
    <t>WILLOW CREEK STATION 7A-2</t>
  </si>
  <si>
    <t xml:space="preserve">MOLTER, DANIEL S  </t>
  </si>
  <si>
    <t xml:space="preserve">1665 O`MALLEY DR </t>
  </si>
  <si>
    <t>WILLOW CREEK STATION 7A-2 LT 3 BLK A</t>
  </si>
  <si>
    <t>5038 PLEASANT VIEW DR</t>
  </si>
  <si>
    <t xml:space="preserve">HUMES, SHAWN C &amp; JENNIFER L  </t>
  </si>
  <si>
    <t xml:space="preserve">CHISHOLM, KYLE </t>
  </si>
  <si>
    <t>SUNSET VIEW RANCHO EST 2 LT 21</t>
  </si>
  <si>
    <t>1511 DEL ROSA WAY</t>
  </si>
  <si>
    <t>LEWIS HOMES-SPARKS NO 7-A</t>
  </si>
  <si>
    <t xml:space="preserve">WAGNER, ERIC L </t>
  </si>
  <si>
    <t xml:space="preserve">DOHERTY, WILLIAM R </t>
  </si>
  <si>
    <t>LEWIS HOMES SPARKS 7A LT 30</t>
  </si>
  <si>
    <t>2497 HERMOSA DR</t>
  </si>
  <si>
    <t xml:space="preserve">PIERETTI, RAYMOND </t>
  </si>
  <si>
    <t xml:space="preserve">2497 HERMOSA DR </t>
  </si>
  <si>
    <t xml:space="preserve">TALLAKSEN FAMILY TRUST  </t>
  </si>
  <si>
    <t>LEWIS HOMES SPARKS 7B LT 20</t>
  </si>
  <si>
    <t>2470 SPRINGLAND DR</t>
  </si>
  <si>
    <t>LEWIS HOMES-SPARKS NO 7-C</t>
  </si>
  <si>
    <t xml:space="preserve">WOO, BYUNG H </t>
  </si>
  <si>
    <t>LEWIS HOMES SPARKS 7C LT 38 BLK C</t>
  </si>
  <si>
    <t>2488 HERMOSA DR</t>
  </si>
  <si>
    <t xml:space="preserve">ARAMANDA, RALPH &amp; VANESSA </t>
  </si>
  <si>
    <t xml:space="preserve">WELTIN, MIKE HK </t>
  </si>
  <si>
    <t>LEWIS HOMES SPARKS 7B LT 36</t>
  </si>
  <si>
    <t>1622 DEL ROSA WAY</t>
  </si>
  <si>
    <t>LEWIS HOMES-SPARKS  8</t>
  </si>
  <si>
    <t xml:space="preserve">EVERHART, RONALD &amp; KAREN  </t>
  </si>
  <si>
    <t xml:space="preserve">FERNANDEZ, NICOLAS A </t>
  </si>
  <si>
    <t>LEWIS HOMES-SPARKS 8 LT 23 BLK B</t>
  </si>
  <si>
    <t>2521 MONTE VERDE WAY</t>
  </si>
  <si>
    <t>CAPURRO LLC</t>
  </si>
  <si>
    <t>C/O CHARLES M ANDRUS</t>
  </si>
  <si>
    <t>560 CALLE DE LA PLATA</t>
  </si>
  <si>
    <t xml:space="preserve">ANDRUS, CHARLES </t>
  </si>
  <si>
    <t>LEWIS HOMES SPARKS 8 LT 28 BLK B</t>
  </si>
  <si>
    <t>2721 MONTE VERDE WAY</t>
  </si>
  <si>
    <t>BALDERRAMA, EUGENE R JR et al</t>
  </si>
  <si>
    <t xml:space="preserve">BIGGINS, MATTHEW &amp; KELLY </t>
  </si>
  <si>
    <t>LEWIS HOMES SPARKS 7A LT 13</t>
  </si>
  <si>
    <t>1904 KIRBY CT</t>
  </si>
  <si>
    <t xml:space="preserve">OLIVO, FRANCISCO J  </t>
  </si>
  <si>
    <t xml:space="preserve">1904 KIRBY CT </t>
  </si>
  <si>
    <t>LEWIS HOMES SPARKS 9 LT 29 BLK A</t>
  </si>
  <si>
    <t>1818 FIELDCREST DR</t>
  </si>
  <si>
    <t xml:space="preserve">COTTO, ELSA P  </t>
  </si>
  <si>
    <t xml:space="preserve">1818 FIELDCREST DR </t>
  </si>
  <si>
    <t>LEWIS HOMES SPARKS 9 LT 40 BLK A</t>
  </si>
  <si>
    <t>1458 DEL ROSA WAY</t>
  </si>
  <si>
    <t>SPRINGLAND</t>
  </si>
  <si>
    <t xml:space="preserve">WOLFE, BANG NGOC </t>
  </si>
  <si>
    <t xml:space="preserve">HIBBARD, LYLE G &amp; SHERRIE C </t>
  </si>
  <si>
    <t>SPRINGLAND LT 12 BLK A</t>
  </si>
  <si>
    <t>2232 TANGERINE ST</t>
  </si>
  <si>
    <t xml:space="preserve">MOODY, ERIC N &amp; ARPORNPHAND </t>
  </si>
  <si>
    <t>1870 HIGH DESERT</t>
  </si>
  <si>
    <t xml:space="preserve">EWANICK, JOEL &amp; ELIZABETH </t>
  </si>
  <si>
    <t>LEWIS HOMES SPARKS 10 LT 60 BLK A</t>
  </si>
  <si>
    <t>1681 CANDLEWOOD ST</t>
  </si>
  <si>
    <t xml:space="preserve">POTEETE, WILLIAM R &amp; SARAH L  </t>
  </si>
  <si>
    <t xml:space="preserve">1681 CANDLEWOOD ST </t>
  </si>
  <si>
    <t>LEWIS HOMES SPARKS 10 LT 25 BLK B</t>
  </si>
  <si>
    <t>2066 EASTBROOK DR</t>
  </si>
  <si>
    <t xml:space="preserve">PRASAD, SATYA N &amp; SADHANA </t>
  </si>
  <si>
    <t>LEWIS HOMES SPARKS 10 LT 15 BLK C</t>
  </si>
  <si>
    <t>1704 CANDLEWOOD ST</t>
  </si>
  <si>
    <t>LEWIS HOMES-SPARKS UT #10</t>
  </si>
  <si>
    <t xml:space="preserve">SHOVAH, SHIRLEY A </t>
  </si>
  <si>
    <t>LEWIS HOMES SPARKS 10 LT 120 BLK D</t>
  </si>
  <si>
    <t>2162 TANGERINE ST</t>
  </si>
  <si>
    <t xml:space="preserve">CHANDLER, MARK A &amp; RENEE J </t>
  </si>
  <si>
    <t>7048 BRONINGTON DR SW</t>
  </si>
  <si>
    <t>TUMWATER</t>
  </si>
  <si>
    <t>NUNEZ-ESTRADA, JOSE N et al</t>
  </si>
  <si>
    <t>LEWIS HOMES SPARKS 10 LT 90 BLK E</t>
  </si>
  <si>
    <t>2051 SYCAMORE GLEN DR</t>
  </si>
  <si>
    <t xml:space="preserve">SANCHEZ-GUEVARA, HENRY W  </t>
  </si>
  <si>
    <t>LEWIS HOMES SPARKS 7C LT 5 BLK B</t>
  </si>
  <si>
    <t>1370 SYCAMORE GLEN CT</t>
  </si>
  <si>
    <t xml:space="preserve">CHACON, NORMA E  </t>
  </si>
  <si>
    <t xml:space="preserve">1370 SYCAMORE GLEN CT </t>
  </si>
  <si>
    <t>LEWIS HOMES SPARKS 7D LT 4 BLK A</t>
  </si>
  <si>
    <t>2311 SYCAMORE GLEN DR</t>
  </si>
  <si>
    <t xml:space="preserve">YANG, KEH-CHIANG &amp; JUI-TING </t>
  </si>
  <si>
    <t>2311 SYCAMORE GLEN DR #5</t>
  </si>
  <si>
    <t xml:space="preserve">DICKINSON, ROBERT  </t>
  </si>
  <si>
    <t>SPRINGLAND VILLAGE 1B LT DR-5 BLK 2</t>
  </si>
  <si>
    <t>2614 SUNNY SLOPE DR</t>
  </si>
  <si>
    <t xml:space="preserve">BANDY TRUST, CATHERINE  </t>
  </si>
  <si>
    <t>7685 DESERT VISTA DR</t>
  </si>
  <si>
    <t>SPRINGLAND VILLAGE 1B LT D-6 BLK 12</t>
  </si>
  <si>
    <t>2576 SUNNY SLOPE DR</t>
  </si>
  <si>
    <t xml:space="preserve">MCBETH, BRUCE </t>
  </si>
  <si>
    <t xml:space="preserve">2576-6 SUNNYSLOPE DR </t>
  </si>
  <si>
    <t xml:space="preserve">LINDSAY, ADRIANNE C </t>
  </si>
  <si>
    <t>SPRINGLAND VILLAGE 2 LT D6 BLK 15</t>
  </si>
  <si>
    <t xml:space="preserve">MACKESSY, CHRISTINE </t>
  </si>
  <si>
    <t>2576 SUNNY SLOPE DR UT 5</t>
  </si>
  <si>
    <t>SPRINGLAND VILLAGE 2 LT DR5 BLK 15</t>
  </si>
  <si>
    <t>2402 SUNNY SLOPE DR</t>
  </si>
  <si>
    <t xml:space="preserve">SMITH, MICHAEL V &amp; REBECCA M  </t>
  </si>
  <si>
    <t>2402 SUNNYSLOPE DR #11</t>
  </si>
  <si>
    <t xml:space="preserve">LYONS, MEGHAN F </t>
  </si>
  <si>
    <t>SPRINGLAND VILLAGE 2 LT C11 BLK 8</t>
  </si>
  <si>
    <t>2526 SUNNY SLOPE DR</t>
  </si>
  <si>
    <t xml:space="preserve">BECK, LESLIE V </t>
  </si>
  <si>
    <t>2526 SUNNY SLOPE DR # 4</t>
  </si>
  <si>
    <t>SPRINGLAND VILLAGE 2 LT CR4 BLK 10</t>
  </si>
  <si>
    <t>1840 CAMELBACK DR</t>
  </si>
  <si>
    <t xml:space="preserve">NGUYEN, SANFORD A </t>
  </si>
  <si>
    <t>WILLOW CREEK STATION 4 LT 15 BLK B</t>
  </si>
  <si>
    <t>1885 CAMELBACK DR</t>
  </si>
  <si>
    <t xml:space="preserve">LONG, BARBARA  </t>
  </si>
  <si>
    <t>9945 BANDANA WAY</t>
  </si>
  <si>
    <t xml:space="preserve">PETERS LIVING TRUST  </t>
  </si>
  <si>
    <t>WILLOW CREEK STATION 4 LT 43 BLK C</t>
  </si>
  <si>
    <t>1580 FIRMAN CT</t>
  </si>
  <si>
    <t>EASTLAND HILLS 4B</t>
  </si>
  <si>
    <t xml:space="preserve">BURKE, RAYNELL &amp; HERBERT  </t>
  </si>
  <si>
    <t xml:space="preserve">3870 ISLE OF SKYE DR </t>
  </si>
  <si>
    <t>EASTLAND HILLS 4B LT 19 BLK C</t>
  </si>
  <si>
    <t>3705 VISTA BLVD</t>
  </si>
  <si>
    <t>PM 1810</t>
  </si>
  <si>
    <t xml:space="preserve">CONFORTI, RACHEL L &amp; JOSEPH M </t>
  </si>
  <si>
    <t>030-393-40</t>
  </si>
  <si>
    <t>PM 1810 FR LT 1 2 3 RS 3816 LT 2-A</t>
  </si>
  <si>
    <t>1740 CROSSING CT</t>
  </si>
  <si>
    <t xml:space="preserve">AMENDOLA, RICK &amp; EKATERINA  </t>
  </si>
  <si>
    <t>WILLOW CREEK STATION 5 LT 48 BLK D</t>
  </si>
  <si>
    <t>1720 CROSSING CT</t>
  </si>
  <si>
    <t xml:space="preserve">JOHNSON, WENDY D </t>
  </si>
  <si>
    <t xml:space="preserve">HALE, RANDY </t>
  </si>
  <si>
    <t>WILLOW CREEK STATION 5 LT 45 BLK D</t>
  </si>
  <si>
    <t>2671 WABASH CIR</t>
  </si>
  <si>
    <t xml:space="preserve">WILLOW CREEK STA 5 FR  </t>
  </si>
  <si>
    <t xml:space="preserve">WITTMAN , SARAH </t>
  </si>
  <si>
    <t xml:space="preserve">3671 WABASH CIR </t>
  </si>
  <si>
    <t>WILLOW CREEK STATION  5 FR LT 32 33 BLK C</t>
  </si>
  <si>
    <t>1958 DEEP CREEK CT</t>
  </si>
  <si>
    <t>EASTLAND HILLS 5</t>
  </si>
  <si>
    <t xml:space="preserve">LYTTLE, FRANK &amp; KAREN  </t>
  </si>
  <si>
    <t xml:space="preserve">AVITIA, VICKY </t>
  </si>
  <si>
    <t>EASTLAND HILLS 5 LT 7 BLK A</t>
  </si>
  <si>
    <t>2627 SUNNY SLOPE DR</t>
  </si>
  <si>
    <t xml:space="preserve">MOODY, BRIAN G </t>
  </si>
  <si>
    <t>2657 SUNNY SLOPE # 4</t>
  </si>
  <si>
    <t xml:space="preserve">HORENSKY 1992 FAMILY TRUST, MARY A  </t>
  </si>
  <si>
    <t>SPRINGLAND VILLAGE AMD 3 LT 4 BLK 19</t>
  </si>
  <si>
    <t>2629 SUNNY SLOPE DR</t>
  </si>
  <si>
    <t xml:space="preserve">MOFFETT, BARBARA LEE &amp; ROBERT S JR </t>
  </si>
  <si>
    <t xml:space="preserve">MORENO, MARGARET </t>
  </si>
  <si>
    <t>SPRINGLAND VILLAGE 3 AMD LT 3 BLK 20</t>
  </si>
  <si>
    <t>HENRY , ROBERT A  et al</t>
  </si>
  <si>
    <t>2627 SUNNY SLOPE DR # 1</t>
  </si>
  <si>
    <t xml:space="preserve">HENRY , ROBERT A  </t>
  </si>
  <si>
    <t>SPRINGLAND VILLAGE 3 AMD LT 1 BLK 19</t>
  </si>
  <si>
    <t>2519 SUNNY SLOPE DR</t>
  </si>
  <si>
    <t xml:space="preserve">LEIGHTON, STEPHEN &amp; TERRIE </t>
  </si>
  <si>
    <t>4103 TALLADEGA DR</t>
  </si>
  <si>
    <t xml:space="preserve">WORDEN FAMILY TRUST  </t>
  </si>
  <si>
    <t>SPRINGLAND VILLAGE AMD 3 LT 4 BLK 28</t>
  </si>
  <si>
    <t>2521 SUNNY SLOPE DR</t>
  </si>
  <si>
    <t xml:space="preserve">TANKERSLEY, BARBARA </t>
  </si>
  <si>
    <t>2521 SUNNY SLOPE DR 2</t>
  </si>
  <si>
    <t>SPRINGLAND VILLAGE 3 AMD LT 2 BLK 27</t>
  </si>
  <si>
    <t>2511 SYCAMORE GLEN DR</t>
  </si>
  <si>
    <t xml:space="preserve">KARAKAS, RACHEL B </t>
  </si>
  <si>
    <t>2511 SYCAMORE GLEN #3</t>
  </si>
  <si>
    <t xml:space="preserve">MCGILL, CHRISTOPHER K  </t>
  </si>
  <si>
    <t>SPRINGLAND VILLAGE 2 AMD UT 4 LT 3 BLK 35</t>
  </si>
  <si>
    <t>BECERRA, NANCY et al</t>
  </si>
  <si>
    <t>675 PARLANTI LN SPC 81</t>
  </si>
  <si>
    <t>WEBB, STEPHANIE et al</t>
  </si>
  <si>
    <t>SPRINGLAND VILLAGE 2 AMD UT 4 LT 3 BLK 32</t>
  </si>
  <si>
    <t>2663 SYCAMORE GLEN DR</t>
  </si>
  <si>
    <t xml:space="preserve">TURNEY, MICHAEL J &amp; NANCY J </t>
  </si>
  <si>
    <t>4367 TIMBERLINE DR</t>
  </si>
  <si>
    <t xml:space="preserve">WATSON, RICHARD W </t>
  </si>
  <si>
    <t>SPRINGLAND VILLAGE 2 AMD UT 5 LT 4 BLK 47</t>
  </si>
  <si>
    <t>2671 SYCAMORE GLEN DR</t>
  </si>
  <si>
    <t xml:space="preserve">BLACKWELDER, BRADFORD A &amp; SHEREE J </t>
  </si>
  <si>
    <t>2671 SYCAMORE GLEN DR #2</t>
  </si>
  <si>
    <t>MORE, JASON et al</t>
  </si>
  <si>
    <t>SPRINGLAND VILLAGE 2 AMD UT 5 LT 2 BLK 45</t>
  </si>
  <si>
    <t>2659 SYCAMORE GLEN DR</t>
  </si>
  <si>
    <t xml:space="preserve">BENSON, YETTIANA </t>
  </si>
  <si>
    <t xml:space="preserve">2659 SYCAMORE GLEN DR </t>
  </si>
  <si>
    <t xml:space="preserve">VALDEZ, JASON T </t>
  </si>
  <si>
    <t>SPRINGLAND VILLAGE 2 AMD UT 5 LT 3 BLK 48</t>
  </si>
  <si>
    <t xml:space="preserve">NORDHOFF, DONALD W </t>
  </si>
  <si>
    <t>1768 DONEGAN ST</t>
  </si>
  <si>
    <t xml:space="preserve">CHURCHILL, SANDI </t>
  </si>
  <si>
    <t>WILLOW CREEK STATION 6 LT 59 BLK H</t>
  </si>
  <si>
    <t>1736 ROUND MOUNTAIN RD</t>
  </si>
  <si>
    <t>LEWIS HOMES SPARKS 15A LT 120 BLK A</t>
  </si>
  <si>
    <t>1747 ROUND MOUNTAIN CIR</t>
  </si>
  <si>
    <t>LEWIS HOMES-SPARKS NO 15A</t>
  </si>
  <si>
    <t xml:space="preserve">ORRELL, BRIAN P  </t>
  </si>
  <si>
    <t xml:space="preserve">1747 ROUND MOUNTAIN </t>
  </si>
  <si>
    <t xml:space="preserve">NEWTON TRUST, RONALD L &amp; SUE E  </t>
  </si>
  <si>
    <t>LEWIS HOMES SPARKS 15A LT 116 FR 115 BLK B</t>
  </si>
  <si>
    <t>1818 TOPEKA CT</t>
  </si>
  <si>
    <t>WILLOW CREEK STATION 7A1</t>
  </si>
  <si>
    <t xml:space="preserve">FINTLAND, LISA K </t>
  </si>
  <si>
    <t>REMSCHNER, DAN R et al</t>
  </si>
  <si>
    <t>WILLOW CREEK STATION 7A-1 LT 38 BLK B</t>
  </si>
  <si>
    <t>1955 TOPEKA CIR</t>
  </si>
  <si>
    <t xml:space="preserve">ROBINSON, GERALD E &amp; NORMA J </t>
  </si>
  <si>
    <t>WILLOW CREEK STATION 7A-1 LT 32 BLK A</t>
  </si>
  <si>
    <t>1681 TOPEKA CIR</t>
  </si>
  <si>
    <t xml:space="preserve">STRELOW, JOHN R  </t>
  </si>
  <si>
    <t xml:space="preserve">1681 TOPEKA CIR </t>
  </si>
  <si>
    <t xml:space="preserve">PITSNOGLE, JAMES </t>
  </si>
  <si>
    <t>WILLOW CREEK STATION 7A-1 LT 20 BLK A</t>
  </si>
  <si>
    <t>1663 ROUND MOUNTAIN CIR</t>
  </si>
  <si>
    <t>LEWIS HOMES-SPARKS 15-B LT 194 BLK C</t>
  </si>
  <si>
    <t>1667 ROUND MOUNTAIN CIR</t>
  </si>
  <si>
    <t xml:space="preserve">SPEICHER, DEBRA L </t>
  </si>
  <si>
    <t xml:space="preserve">MILLER, MERL HOAGLAND </t>
  </si>
  <si>
    <t>LEWIS HOMES-SPARKS 15-B LT 196 BLK C</t>
  </si>
  <si>
    <t>1673 ROUND MOUNTAIN CIR</t>
  </si>
  <si>
    <t>CHAVEZ-GARCIA, SALVADOR JR et al</t>
  </si>
  <si>
    <t>LEWIS HOMES-SPARKS 15-B LT 199 BLK C</t>
  </si>
  <si>
    <t>1674 ROUND MOUNTAIN CIR</t>
  </si>
  <si>
    <t xml:space="preserve">MCNAMARA, PATRICK </t>
  </si>
  <si>
    <t xml:space="preserve">2228 MOSLEY AVE </t>
  </si>
  <si>
    <t xml:space="preserve">ALAMEDA </t>
  </si>
  <si>
    <t>LEWIS HOMES-SPARKS 15-B LT 151 BLK A</t>
  </si>
  <si>
    <t>3040 CATHAM CT</t>
  </si>
  <si>
    <t>LEWIS HOMES SPARKS 16-B</t>
  </si>
  <si>
    <t>LEE, RICK J &amp; BARBARA A  et al</t>
  </si>
  <si>
    <t>3464 CLAN ALPINE DR</t>
  </si>
  <si>
    <t xml:space="preserve">HERBERT, MEI H </t>
  </si>
  <si>
    <t>LEWIS HOMES SPARKS 16B LT 58 BLK C</t>
  </si>
  <si>
    <t>1714 CATHAM LN</t>
  </si>
  <si>
    <t xml:space="preserve">ARMENDARIZ, CARMEN </t>
  </si>
  <si>
    <t>DIGLIO, STEPHEN J et al</t>
  </si>
  <si>
    <t>LEWIS HOMES SPARKS 16 B LT 76 BLK C</t>
  </si>
  <si>
    <t>3176 SHADOW LN</t>
  </si>
  <si>
    <t>LEWIS HOMES SPARKS 16C1</t>
  </si>
  <si>
    <t xml:space="preserve">RATTO, MITCH M &amp; HILLARY G  </t>
  </si>
  <si>
    <t xml:space="preserve">3176 SHADOW LN </t>
  </si>
  <si>
    <t>LEWIS HOMES SPARKS 16C-1 LT 113 BLK A</t>
  </si>
  <si>
    <t>1977 TRESTLE CT</t>
  </si>
  <si>
    <t>WILLOW CREEK STATION 7B-1</t>
  </si>
  <si>
    <t xml:space="preserve">HUENE, DONALD &amp; PATRICIA </t>
  </si>
  <si>
    <t>WILLOW CREEK STATION 7B-1 LT 45 BLK D</t>
  </si>
  <si>
    <t>1974 TRESTLE CT</t>
  </si>
  <si>
    <t xml:space="preserve">BEIRLE, DEIDRE J </t>
  </si>
  <si>
    <t>WILLOW CREEK STATION 7B-1 LT 42 BLK D</t>
  </si>
  <si>
    <t>2033 WABASH CIR</t>
  </si>
  <si>
    <t xml:space="preserve">MENDOZA, ROSIE L </t>
  </si>
  <si>
    <t xml:space="preserve">TRISLER, JAMES A &amp; DEEANN </t>
  </si>
  <si>
    <t>WILLOW CREEK STATION 7B-1 LT 26 BLK C</t>
  </si>
  <si>
    <t>2091 WABASH CIR</t>
  </si>
  <si>
    <t xml:space="preserve">BUNN, MATTHEW O </t>
  </si>
  <si>
    <t xml:space="preserve">AARDAL, MARILYNN B </t>
  </si>
  <si>
    <t>WILLOW CREEK STATION 7B-1 LT 23 BLK C</t>
  </si>
  <si>
    <t>2111 WABASH CIR</t>
  </si>
  <si>
    <t>1547 WEST 22ND PL</t>
  </si>
  <si>
    <t>WILLOW CREEK STATION 7B-2 LT 31 BLK B</t>
  </si>
  <si>
    <t>2005 WOODTRAIL DR</t>
  </si>
  <si>
    <t>WILLOW CREEK STATION 7C-1</t>
  </si>
  <si>
    <t xml:space="preserve">FEORANZO, JOHN G &amp; CARLA M  </t>
  </si>
  <si>
    <t xml:space="preserve">CLOUTIER, TERRY W &amp; KAREN S </t>
  </si>
  <si>
    <t>WILLOW CREEK STATION 7C-1 LT 25 BLK D</t>
  </si>
  <si>
    <t>1827 BERKSHIRE DR</t>
  </si>
  <si>
    <t xml:space="preserve">DAVEY, AARON J &amp; TERRA L </t>
  </si>
  <si>
    <t xml:space="preserve">BAUMANN TRUST, JOETTE D  </t>
  </si>
  <si>
    <t>WILLOW CREEK STATION 7C-1 LT 29 BLK D</t>
  </si>
  <si>
    <t>2201 WABASH CIR</t>
  </si>
  <si>
    <t>WILLOW CREEK STATION UT 7B2</t>
  </si>
  <si>
    <t>MITCHELL, STEPHANIE L  et al</t>
  </si>
  <si>
    <t xml:space="preserve">CHIAPPETTO, JOSEPH </t>
  </si>
  <si>
    <t>WILLOW CREEK STATION UT 7B2 LT 12 BLK B</t>
  </si>
  <si>
    <t>1849 CATHAM LN</t>
  </si>
  <si>
    <t>LEWIS HOMES-SPARKS 16D LT 198 BLK C</t>
  </si>
  <si>
    <t>3218 MYLES DR</t>
  </si>
  <si>
    <t xml:space="preserve">SPIVACK, DIANNA L  </t>
  </si>
  <si>
    <t xml:space="preserve">3218 MYLES DR </t>
  </si>
  <si>
    <t xml:space="preserve">YOUNG, MIKE C </t>
  </si>
  <si>
    <t>LEWIS HOMES-SPARKS 16C-2 LT 125 BLK A</t>
  </si>
  <si>
    <t>3193 MYLES DR</t>
  </si>
  <si>
    <t>LEWIS HOMES SPARKS 16 C-2</t>
  </si>
  <si>
    <t xml:space="preserve">MENDEZ, DEVON  </t>
  </si>
  <si>
    <t xml:space="preserve">MANN, KATRINA  </t>
  </si>
  <si>
    <t>LEWIS HOMES-SPARKS 16C-2 LT 157 BLK C</t>
  </si>
  <si>
    <t>3075 MYLES DR</t>
  </si>
  <si>
    <t xml:space="preserve">CHAVARRIA, CARLOS W &amp; ANA C </t>
  </si>
  <si>
    <t xml:space="preserve">3075 MYLES DR                           </t>
  </si>
  <si>
    <t>LEWIS HOMES-SPARKS 16D LT 180 BLK B</t>
  </si>
  <si>
    <t>1524 WINTERWOOD AVE</t>
  </si>
  <si>
    <t>PM 2462</t>
  </si>
  <si>
    <t xml:space="preserve">KOCH, THOMAS C JR &amp; DEBBIE K  </t>
  </si>
  <si>
    <t xml:space="preserve">1524 WINTERWOOD AVE </t>
  </si>
  <si>
    <t>PM 2462 LT 3</t>
  </si>
  <si>
    <t>3545 VISTA BLVD</t>
  </si>
  <si>
    <t>PM 2593</t>
  </si>
  <si>
    <t xml:space="preserve">GRANT, KORY &amp; ALEXANDRIA  </t>
  </si>
  <si>
    <t>030-550-08</t>
  </si>
  <si>
    <t>PM 2593 LT 3</t>
  </si>
  <si>
    <t>2751 WABASH CIR</t>
  </si>
  <si>
    <t>WILLOWCREEK STATION 8</t>
  </si>
  <si>
    <t xml:space="preserve">ELKRIDGE INVESTMENTS LLC </t>
  </si>
  <si>
    <t>5151 MILAGRO CT</t>
  </si>
  <si>
    <t xml:space="preserve">SIXBERRY, STEVEN R &amp; JILL M  </t>
  </si>
  <si>
    <t>030-020-57</t>
  </si>
  <si>
    <t>WILLOW CREEK STATION  8  LT 2 BLK A</t>
  </si>
  <si>
    <t>955 RAILBORNE DR</t>
  </si>
  <si>
    <t xml:space="preserve">WINKELMAN, RIO KRISTINE &amp; SCOTT </t>
  </si>
  <si>
    <t xml:space="preserve">ALFIERI, MARC &amp; MELISA J </t>
  </si>
  <si>
    <t>WILLOW CREEK STATION 8 LT 9 BLK A</t>
  </si>
  <si>
    <t>931 RAILBORNE CT</t>
  </si>
  <si>
    <t>WILLOW CREEK STATION 8</t>
  </si>
  <si>
    <t xml:space="preserve">GWIN, DAVID A </t>
  </si>
  <si>
    <t xml:space="preserve">PEREZ, SALVADOR &amp; ADALINE </t>
  </si>
  <si>
    <t>WILLOW CREEK STATION 8 LT 14 BLK A</t>
  </si>
  <si>
    <t>998 RAILBORNE DR</t>
  </si>
  <si>
    <t xml:space="preserve">SMITH, CHARLANETTE &amp; BYRON F </t>
  </si>
  <si>
    <t>998 MARRACCO DR</t>
  </si>
  <si>
    <t xml:space="preserve">DEPOALI, MICHAEL L &amp; LAUNA P </t>
  </si>
  <si>
    <t>WILLOW CREEK STATION 8 LT 34 BLK B</t>
  </si>
  <si>
    <t>915 LIONEL CT</t>
  </si>
  <si>
    <t>WILLOW CREEK STATION UT 9</t>
  </si>
  <si>
    <t xml:space="preserve">KUNZE, KATIE </t>
  </si>
  <si>
    <t>2460 TUSCAN WAY</t>
  </si>
  <si>
    <t>030-020-53</t>
  </si>
  <si>
    <t>WILLOW CREEK STATION 9 LT 6 BLK A</t>
  </si>
  <si>
    <t xml:space="preserve"> PRIMIO WAY</t>
  </si>
  <si>
    <t>PAGNI RANCH 2</t>
  </si>
  <si>
    <t xml:space="preserve">DE LA CRUZ, LUIS A </t>
  </si>
  <si>
    <t>2850 DEER RUN DR</t>
  </si>
  <si>
    <t xml:space="preserve">MURILLO-GONZALEZ, RAUL </t>
  </si>
  <si>
    <t>030-181-14</t>
  </si>
  <si>
    <t>PAGNI RANCH 2 LT 5 BLK A</t>
  </si>
  <si>
    <t>DKIE</t>
  </si>
  <si>
    <t>915 LOCOMOTIVE WAY</t>
  </si>
  <si>
    <t xml:space="preserve">MCCLUNG, TIMOTHY D &amp; LINDA J </t>
  </si>
  <si>
    <t>WILLOW CREEK STATION 10 LT 2 BLK A</t>
  </si>
  <si>
    <t>1015 LOCOMOTIVE WAY</t>
  </si>
  <si>
    <t xml:space="preserve">PULETAU, SIOSAIA M &amp; LINDA B </t>
  </si>
  <si>
    <t>1015 LOCOMOTIVE CT</t>
  </si>
  <si>
    <t xml:space="preserve">MAUNDER, MARLENE D </t>
  </si>
  <si>
    <t>WILLOW CREEK STATION 11A LT 1 BLK A</t>
  </si>
  <si>
    <t>1086 LOCOMOTIVE CT</t>
  </si>
  <si>
    <t xml:space="preserve">TAYLOR, KENNETH C &amp; SHAYLA J  </t>
  </si>
  <si>
    <t xml:space="preserve">1086 LOCOMOTIVE CT </t>
  </si>
  <si>
    <t>WILLOW CREEK STATION 11A LT 13 BLK A</t>
  </si>
  <si>
    <t>1056 LOCOMOTIVE CT</t>
  </si>
  <si>
    <t xml:space="preserve">REBIDEAUX, LOUIS J </t>
  </si>
  <si>
    <t xml:space="preserve">MILLER, BENJAMIN &amp; ROXY P </t>
  </si>
  <si>
    <t>WILLOW CREEK STATION 11A LT 16 BLK A</t>
  </si>
  <si>
    <t>1026 CABOOSE WAY</t>
  </si>
  <si>
    <t>WILLOW CREEK STATION 11-B</t>
  </si>
  <si>
    <t xml:space="preserve">POKAKA`A, DUDLEY C &amp; MARGARET B </t>
  </si>
  <si>
    <t xml:space="preserve">ANDRADA, ROMANA </t>
  </si>
  <si>
    <t>WILLOW CREEK STATION 11B LT 17 BLK C</t>
  </si>
  <si>
    <t>1002 PETE`S WAY</t>
  </si>
  <si>
    <t xml:space="preserve">SIMONSEN, JOSEPH W &amp; CYNTHIA A </t>
  </si>
  <si>
    <t xml:space="preserve">DIFIESTA, NEMIA A </t>
  </si>
  <si>
    <t>PAGNI RANCH 7 LT 712 BLK A</t>
  </si>
  <si>
    <t>1075 PETE`S WAY</t>
  </si>
  <si>
    <t xml:space="preserve">DAVIS, SCOTT A </t>
  </si>
  <si>
    <t xml:space="preserve">WARD, ALANA J </t>
  </si>
  <si>
    <t>PAGNI RANCH 7 LT 733 BLK C</t>
  </si>
  <si>
    <t>2366 PRIMIO WAY</t>
  </si>
  <si>
    <t>PAGNI RANCH 6</t>
  </si>
  <si>
    <t xml:space="preserve">CROW, CHAD C &amp; MARY T  </t>
  </si>
  <si>
    <t xml:space="preserve">2366 PRIMIO WAY </t>
  </si>
  <si>
    <t>PAGNI RANCH 6 LT 605 BLK A</t>
  </si>
  <si>
    <t>1025 FESTA WAY</t>
  </si>
  <si>
    <t>ARTHUR V &amp; SUSAN A JOHNSON TRUSTEE</t>
  </si>
  <si>
    <t>991 PETE`S WAY</t>
  </si>
  <si>
    <t>SCHUMAKER ESTATE, TINA L  ESTATE</t>
  </si>
  <si>
    <t>PAGNI RANCH 6 LT 621 BLK C</t>
  </si>
  <si>
    <t>1066 DOLCE DR</t>
  </si>
  <si>
    <t xml:space="preserve">AMORELLI, MARC D  </t>
  </si>
  <si>
    <t xml:space="preserve">1066 DOLCE DR </t>
  </si>
  <si>
    <t>PAGNI RANCH 5 LT 508 BLK A</t>
  </si>
  <si>
    <t>1949 ENGINEER CT</t>
  </si>
  <si>
    <t>WILLOW CREEK STATION 13</t>
  </si>
  <si>
    <t xml:space="preserve">FREE, TARA M </t>
  </si>
  <si>
    <t xml:space="preserve">HURTADO, JESS G &amp; MARY T </t>
  </si>
  <si>
    <t>030-682-04</t>
  </si>
  <si>
    <t>WILLOW CREEK STATION 13 LT 8 BLK A</t>
  </si>
  <si>
    <t>1861 SPRING BLOSSOM LN</t>
  </si>
  <si>
    <t>PAYTON, SHANTI A W et al</t>
  </si>
  <si>
    <t>DEJESUS ASHLY V</t>
  </si>
  <si>
    <t>1861 SPRINGBLOSSOM LN</t>
  </si>
  <si>
    <t>RODRIGUEZ , MARTIN R et al</t>
  </si>
  <si>
    <t>AUTUMNWOOD LT 7</t>
  </si>
  <si>
    <t>2101 RED BLOSSOM CT</t>
  </si>
  <si>
    <t xml:space="preserve">HAMPTON, MICHELLE C </t>
  </si>
  <si>
    <t xml:space="preserve">COLLINS, ROBERT A &amp; AMY J </t>
  </si>
  <si>
    <t>AUTUMNWOOD LT 59</t>
  </si>
  <si>
    <t>2122 BLOSSOM VIEW DR</t>
  </si>
  <si>
    <t xml:space="preserve">LYONS, CHARLES W </t>
  </si>
  <si>
    <t xml:space="preserve">BANK OF THE WEST </t>
  </si>
  <si>
    <t>AUTUMNWOOD LT 79</t>
  </si>
  <si>
    <t>3360 WATERFIELD DR</t>
  </si>
  <si>
    <t>SHORE, BRIAN et al</t>
  </si>
  <si>
    <t xml:space="preserve">RODRIGUEZ, RUBEN &amp; MONICA </t>
  </si>
  <si>
    <t>SHADOW LANE LT 39 BLK B</t>
  </si>
  <si>
    <t>3498 SHADOW RANCH DR</t>
  </si>
  <si>
    <t xml:space="preserve">KEMP, KYLE C </t>
  </si>
  <si>
    <t xml:space="preserve">NGUYEN, TOM V </t>
  </si>
  <si>
    <t>SHADOW LANE LT 25 BLK B</t>
  </si>
  <si>
    <t>1850 MERCHANT ST</t>
  </si>
  <si>
    <t>PM 833</t>
  </si>
  <si>
    <t xml:space="preserve">VILLAGIO APARTMENTS LLC </t>
  </si>
  <si>
    <t>3702 S VIRGINIA ST # G2</t>
  </si>
  <si>
    <t xml:space="preserve">CRP PROPERTIES INC </t>
  </si>
  <si>
    <t>PM 833 LT B</t>
  </si>
  <si>
    <t>1560 STEVEN CT</t>
  </si>
  <si>
    <t>SILVER STATE CONDO LT 2 BLK E</t>
  </si>
  <si>
    <t>1554 STEVEN CT</t>
  </si>
  <si>
    <t xml:space="preserve">TRUJILLO, CARMEN  </t>
  </si>
  <si>
    <t xml:space="preserve">1554 STEVEN CT </t>
  </si>
  <si>
    <t>SILVER STATE CONDO 4 BLK E</t>
  </si>
  <si>
    <t>1544 STEVEN CT</t>
  </si>
  <si>
    <t xml:space="preserve">MUNOZ-VILLANUEVA, MARCO A </t>
  </si>
  <si>
    <t>SILVER STATE CONDO LT 7 BLK E</t>
  </si>
  <si>
    <t>1528 STEVEN CT</t>
  </si>
  <si>
    <t xml:space="preserve">KING, CHARLES D &amp; TERRI L </t>
  </si>
  <si>
    <t>2680 WESTVIEW BLVD</t>
  </si>
  <si>
    <t>SILVER STATE CONDO LT 11 BLK F</t>
  </si>
  <si>
    <t>1553 STEVEN CT</t>
  </si>
  <si>
    <t>SILVER STATE COND UNIT B</t>
  </si>
  <si>
    <t xml:space="preserve">GRIM, LAWRENCE </t>
  </si>
  <si>
    <t xml:space="preserve">1553 STEVEN CT </t>
  </si>
  <si>
    <t xml:space="preserve">GRIM, MADISON K  </t>
  </si>
  <si>
    <t>SILVER STATE COND UNIT B LT 16 BLK D</t>
  </si>
  <si>
    <t>1031 ADRIAN WAY</t>
  </si>
  <si>
    <t xml:space="preserve">AVILA-ORTEGA, SUSEL  </t>
  </si>
  <si>
    <t>SILVER STATE CONDO LT 25 BLK C</t>
  </si>
  <si>
    <t>969 ADRIAN WAY</t>
  </si>
  <si>
    <t xml:space="preserve">MCFARLAND, ARDIE </t>
  </si>
  <si>
    <t>SILVER STATE CONDO LT 33 BLK A</t>
  </si>
  <si>
    <t>943 ADRIAN WAY</t>
  </si>
  <si>
    <t xml:space="preserve">MILLER, THOMAS E </t>
  </si>
  <si>
    <t>943 ADRIEAN WAY</t>
  </si>
  <si>
    <t>SILVER STATE CONDO LT 37 BLK A</t>
  </si>
  <si>
    <t>968 ADRIAN WAY</t>
  </si>
  <si>
    <t xml:space="preserve">BROOKS, DAVID </t>
  </si>
  <si>
    <t>SILVER STATE CONDOS LT 40 BLK M</t>
  </si>
  <si>
    <t>1533 SHANNON WAY</t>
  </si>
  <si>
    <t xml:space="preserve">MARTIN , BOB  </t>
  </si>
  <si>
    <t xml:space="preserve">1533 SHANNON WAY </t>
  </si>
  <si>
    <t>SILVER STATE CONDO LT 50 BLK K</t>
  </si>
  <si>
    <t>970 DAMON LN</t>
  </si>
  <si>
    <t xml:space="preserve">GIMBLIN TRUST, LYNNE A  </t>
  </si>
  <si>
    <t>LYNNE A GIMBLIN TRUSTEE</t>
  </si>
  <si>
    <t>14135 SADDLEBOW DR</t>
  </si>
  <si>
    <t>SILVER STATE CONDO LT 60 BLK J</t>
  </si>
  <si>
    <t>1006 10TH ST</t>
  </si>
  <si>
    <t>FR E2</t>
  </si>
  <si>
    <t xml:space="preserve">ORPIADA, TOMAS A </t>
  </si>
  <si>
    <t xml:space="preserve">BRIDGES, MARK E &amp; CYNTHIA A </t>
  </si>
  <si>
    <t>FR E2 SEC 5 TWP 19 RGE 20</t>
  </si>
  <si>
    <t>2163 GREYHAVEN LN</t>
  </si>
  <si>
    <t xml:space="preserve">CORNELL, THOMAS </t>
  </si>
  <si>
    <t>GREYHAVEN LT 10 BLK C</t>
  </si>
  <si>
    <t>2183 GREYHAVEN LN</t>
  </si>
  <si>
    <t xml:space="preserve">FRANCIS, DAVID </t>
  </si>
  <si>
    <t xml:space="preserve">WILSON, SAMUEL &amp; SUSAN </t>
  </si>
  <si>
    <t>GREYHAVEN LOT 13 BLK D</t>
  </si>
  <si>
    <t>2340 JESSIE AVE</t>
  </si>
  <si>
    <t xml:space="preserve">FIGUEROA, DOUGLAS A  </t>
  </si>
  <si>
    <t>SIERRA VALLEY EST LT 55 BLK 2</t>
  </si>
  <si>
    <t>2125 PAULINE AVE</t>
  </si>
  <si>
    <t xml:space="preserve">SIN, YIU H </t>
  </si>
  <si>
    <t>SIERRA VALLEY EST LT 39 BLK 2</t>
  </si>
  <si>
    <t>2365 JESSIE AVE</t>
  </si>
  <si>
    <t xml:space="preserve">REISINGER, TARA K  </t>
  </si>
  <si>
    <t xml:space="preserve">2365 JESSIE AVE </t>
  </si>
  <si>
    <t>SIERRA VALLEY EST LT 14 BLK 1</t>
  </si>
  <si>
    <t>2165 JESSIE AVE</t>
  </si>
  <si>
    <t xml:space="preserve">SALDANA, NICANDRO </t>
  </si>
  <si>
    <t xml:space="preserve">FOSTER, KENNETH P &amp; ILENE A </t>
  </si>
  <si>
    <t>SIERRA VALLEY EST LT 4 BLK 1</t>
  </si>
  <si>
    <t>2047 K ST</t>
  </si>
  <si>
    <t xml:space="preserve">RAMIREZ, LETICIA A D </t>
  </si>
  <si>
    <t>FREDERICK ADD LT 2 BLK 2</t>
  </si>
  <si>
    <t>1960 J ST</t>
  </si>
  <si>
    <t>NW4</t>
  </si>
  <si>
    <t xml:space="preserve">AQUINO, NELSON C &amp; VICTORIA B </t>
  </si>
  <si>
    <t xml:space="preserve">PROFFITT FAMILY TRUST  </t>
  </si>
  <si>
    <t>FR NW4 SEC 5 TWP 19 RGE 20</t>
  </si>
  <si>
    <t>1120 19TH ST</t>
  </si>
  <si>
    <t xml:space="preserve">GORDON, EDWARD T  </t>
  </si>
  <si>
    <t xml:space="preserve">1120 19TH ST </t>
  </si>
  <si>
    <t xml:space="preserve">TRUSLOVE, IAN &amp; MICAELA </t>
  </si>
  <si>
    <t>N EXT BARNARD ADD LT 1 BLK 6</t>
  </si>
  <si>
    <t>1801 BRUNETTI WAY</t>
  </si>
  <si>
    <t>BRUNETTI 2</t>
  </si>
  <si>
    <t xml:space="preserve">HELD, ELIOT M  </t>
  </si>
  <si>
    <t xml:space="preserve">1801 BRUNETTI WAY </t>
  </si>
  <si>
    <t>BRUNETTI 2 LT 8 BLK B</t>
  </si>
  <si>
    <t>1960 BRUNETTI WAY</t>
  </si>
  <si>
    <t xml:space="preserve">MCINTYRE, ZACHARIAH </t>
  </si>
  <si>
    <t>BRUNETTI 1 LT 9 BLK A</t>
  </si>
  <si>
    <t>1920 K ST</t>
  </si>
  <si>
    <t>HOBBS, ALDINE K et al</t>
  </si>
  <si>
    <t>N EXT BARNARD ADD LT 2 BLK 4</t>
  </si>
  <si>
    <t>1932 K ST</t>
  </si>
  <si>
    <t xml:space="preserve">PASLEY, BENJIMAN P &amp; DEBORAH R </t>
  </si>
  <si>
    <t>HAWKINS, KENNETH R et al</t>
  </si>
  <si>
    <t>FREDERICK ADD LT 7 BLK 1</t>
  </si>
  <si>
    <t>1200 SULLIVAN LN</t>
  </si>
  <si>
    <t xml:space="preserve">HEWSON, ROBERT D JR &amp; DALLA F </t>
  </si>
  <si>
    <t xml:space="preserve">PETRINI TRUST, EVA  </t>
  </si>
  <si>
    <t>FREDERICK ADD LT 1 BLK 1</t>
  </si>
  <si>
    <t>1902 H ST</t>
  </si>
  <si>
    <t xml:space="preserve">CAIN, JULIE I </t>
  </si>
  <si>
    <t xml:space="preserve">CRITTENDEN, CHRYSTI </t>
  </si>
  <si>
    <t>NEWTOWN TRACT AMD FR LT 1-5 BLK 38</t>
  </si>
  <si>
    <t>1930 H ST</t>
  </si>
  <si>
    <t>NEWTOWN TRACT LOT 8 &amp;</t>
  </si>
  <si>
    <t xml:space="preserve">HARTMAN, CHARLES A </t>
  </si>
  <si>
    <t>NEWTOWN TR AMDLT 8 &amp; 9 BLK 38</t>
  </si>
  <si>
    <t>1017 19TH ST</t>
  </si>
  <si>
    <t>HERRERA, SOCORRO et al</t>
  </si>
  <si>
    <t xml:space="preserve">1017 19TH ST </t>
  </si>
  <si>
    <t xml:space="preserve">HERRERA, SOCORRO </t>
  </si>
  <si>
    <t>NEWTOWN ADD AMD N 30` LT 1 THRU 3 BLK 47</t>
  </si>
  <si>
    <t>1730 I ST</t>
  </si>
  <si>
    <t>NEWTOWN ADD AMD</t>
  </si>
  <si>
    <t xml:space="preserve">POURCHOT, JACOB </t>
  </si>
  <si>
    <t xml:space="preserve">1730 I ST </t>
  </si>
  <si>
    <t>NEWTOWN TR AMD LT 8 &amp; 9 BLK 45</t>
  </si>
  <si>
    <t>1614 I ST</t>
  </si>
  <si>
    <t>NEWTOWN ADD FR 5 ALL</t>
  </si>
  <si>
    <t xml:space="preserve">O`BANION, SARAH T </t>
  </si>
  <si>
    <t xml:space="preserve">COMBS, KENNETH C &amp; CHRISTINE M </t>
  </si>
  <si>
    <t>031-202-02</t>
  </si>
  <si>
    <t>NEWTOWN ADD FR LOT 5 &amp; ALL LOT 4 BLOCK 44</t>
  </si>
  <si>
    <t>1541 I ST</t>
  </si>
  <si>
    <t xml:space="preserve">BOYD, DANA K &amp; TAMARA L </t>
  </si>
  <si>
    <t>45 ECLIPSE DR</t>
  </si>
  <si>
    <t>NEWTOWN TRACT LT 23 &amp; 24 BLK 43</t>
  </si>
  <si>
    <t>1511 I ST</t>
  </si>
  <si>
    <t xml:space="preserve">VAIL , CHRISTOPHER A  </t>
  </si>
  <si>
    <t xml:space="preserve">3325 W PLUMB LN </t>
  </si>
  <si>
    <t>NEWTOWN TRACT AMD LT 30 &amp; 31 BLK 43</t>
  </si>
  <si>
    <t>1070 I ST</t>
  </si>
  <si>
    <t xml:space="preserve">ALTIZER, BRIAN &amp; VON  </t>
  </si>
  <si>
    <t>PRATER ADD FR BLK 47</t>
  </si>
  <si>
    <t>1110 I ST</t>
  </si>
  <si>
    <t xml:space="preserve">HECK, JENNIFER D </t>
  </si>
  <si>
    <t>1120 I ST</t>
  </si>
  <si>
    <t>965 10TH ST</t>
  </si>
  <si>
    <t>PRATERS ADD FRAC</t>
  </si>
  <si>
    <t xml:space="preserve">GASCA, REBECCA S  </t>
  </si>
  <si>
    <t xml:space="preserve">COOPER, KENT D &amp; LEANN </t>
  </si>
  <si>
    <t>949 H ST</t>
  </si>
  <si>
    <t xml:space="preserve">ALVEY, AMANDA L  </t>
  </si>
  <si>
    <t xml:space="preserve">949 H ST </t>
  </si>
  <si>
    <t>PRATER ADD E 50` OF N 158.5` LT 6 BLK 42</t>
  </si>
  <si>
    <t>2100 PRATER WAY</t>
  </si>
  <si>
    <t xml:space="preserve">TALLEWAL PROPETY LLC </t>
  </si>
  <si>
    <t>PO BOX 2226</t>
  </si>
  <si>
    <t>MARTINMAAS, CHESTER A et al</t>
  </si>
  <si>
    <t>FRAC E2 OF SE4</t>
  </si>
  <si>
    <t>1825 H ST</t>
  </si>
  <si>
    <t>REV TM 4087</t>
  </si>
  <si>
    <t xml:space="preserve">QUAN, BONNIE </t>
  </si>
  <si>
    <t xml:space="preserve">NAISBITT PROPERTIES LLC </t>
  </si>
  <si>
    <t>REV TM 4087 (FORMERLY NEWTOWN TRACT LTS 25 &amp; 26 BL</t>
  </si>
  <si>
    <t>1820 G ST</t>
  </si>
  <si>
    <t xml:space="preserve">NEWTOWN ADD </t>
  </si>
  <si>
    <t>RODRIGUEZ, JESSICA J  et al</t>
  </si>
  <si>
    <t>NEWTOWN ADD LT 5 6 BLK 34</t>
  </si>
  <si>
    <t>1822 F ST</t>
  </si>
  <si>
    <t xml:space="preserve">NEWTOWN TRACT AMD </t>
  </si>
  <si>
    <t>NEWTOWN TRACT AMD LT 6 &amp; 7 BLK 27</t>
  </si>
  <si>
    <t>1756 F ST</t>
  </si>
  <si>
    <t>NEWTOWN ADD FR 14 &amp;</t>
  </si>
  <si>
    <t xml:space="preserve">GARCIA, TERRI A  </t>
  </si>
  <si>
    <t xml:space="preserve">1756 F ST </t>
  </si>
  <si>
    <t xml:space="preserve">WOOD IS GOOD </t>
  </si>
  <si>
    <t>NEWTOWN ADD FR LT 14 &amp; 15 BLK 28</t>
  </si>
  <si>
    <t>818 ROCK BLVD</t>
  </si>
  <si>
    <t>NEWTOWN ADD AMD FR 14 15</t>
  </si>
  <si>
    <t xml:space="preserve">KRAUSE, DENNIS E &amp; JUDY J </t>
  </si>
  <si>
    <t>4540 SPRING DR</t>
  </si>
  <si>
    <t>NEWTOWN ADD AMD FR LT 14 15 16 BLK 32</t>
  </si>
  <si>
    <t>1553 H ST</t>
  </si>
  <si>
    <t>NEWTOWN ADD FR 19 21 ALL</t>
  </si>
  <si>
    <t xml:space="preserve">AHMED, RAKIB P </t>
  </si>
  <si>
    <t xml:space="preserve">ISLAM, SUMONA </t>
  </si>
  <si>
    <t>NEWTOWN ADD FR 19 &amp; 21 ALL 20 BLK 42</t>
  </si>
  <si>
    <t>1545 H ST</t>
  </si>
  <si>
    <t>NEWTOWN ADD FR 24 ALL</t>
  </si>
  <si>
    <t xml:space="preserve">BELAND, ASHLEY </t>
  </si>
  <si>
    <t xml:space="preserve">RICHARDSON, BEULAH I </t>
  </si>
  <si>
    <t xml:space="preserve">NEWTOWN ADDITION LOT 23 AND N 85 FT OF LOT 24 BLK </t>
  </si>
  <si>
    <t>1520 G ST</t>
  </si>
  <si>
    <t>HAINES, CHERYL L et al</t>
  </si>
  <si>
    <t xml:space="preserve">GARCIA, KENNETH R &amp; S YVETTE R </t>
  </si>
  <si>
    <t>NEWTOWN TRACT LT 5 6 BLK 31</t>
  </si>
  <si>
    <t>2580 E ST</t>
  </si>
  <si>
    <t xml:space="preserve">HOVORE FAMILY TRUST  </t>
  </si>
  <si>
    <t>532 SULLIVAN LN</t>
  </si>
  <si>
    <t>NEWTOWN TRACT FR</t>
  </si>
  <si>
    <t xml:space="preserve">SULLI INK </t>
  </si>
  <si>
    <t xml:space="preserve">MORIN, RAMOULD P &amp; GRETA L </t>
  </si>
  <si>
    <t>NEWTOWN TRACT FR BLK 25</t>
  </si>
  <si>
    <t>1830 E ST</t>
  </si>
  <si>
    <t>NEWTOWN ADD LT 9 &amp; 10 BLK 22</t>
  </si>
  <si>
    <t>1848 E ST</t>
  </si>
  <si>
    <t xml:space="preserve">MESILLA PROPERTIES LLC </t>
  </si>
  <si>
    <t>NEWTOWN TRACT AMD LT 12 &amp; 13 BLK 22</t>
  </si>
  <si>
    <t>1522 F ST</t>
  </si>
  <si>
    <t xml:space="preserve">LIU, LISHA </t>
  </si>
  <si>
    <t>C/O REMAX PREMIER PROP</t>
  </si>
  <si>
    <t>5250 NEIL RD STE 100</t>
  </si>
  <si>
    <t>NEWTOWN TRACT LT 6 7 BLK 30</t>
  </si>
  <si>
    <t>1600 PRATER WAY</t>
  </si>
  <si>
    <t>NEWTON TRACT AMD</t>
  </si>
  <si>
    <t>PE-PRE STUCC</t>
  </si>
  <si>
    <t>SINGH, GURBACHAN et al</t>
  </si>
  <si>
    <t>KAUR GURMIT</t>
  </si>
  <si>
    <t xml:space="preserve">SINGH, GURBACHAN </t>
  </si>
  <si>
    <t>NEWTON TRACT AMD LT 1 THRU 7 BLK 20</t>
  </si>
  <si>
    <t>1652 PRATER WAY</t>
  </si>
  <si>
    <t>NEWTOWN ADD 12 13 &amp;</t>
  </si>
  <si>
    <t>SINGH, JASWINDER et al</t>
  </si>
  <si>
    <t xml:space="preserve">KAUR VARINDER </t>
  </si>
  <si>
    <t xml:space="preserve">1825 PRATER WAY </t>
  </si>
  <si>
    <t>NEWTOWN ADDITION LOTS 12 13 &amp; 14 BLK 20</t>
  </si>
  <si>
    <t>NEWTOWN ADD LOTS 15 &amp;</t>
  </si>
  <si>
    <t>NEWTOWN ADDITION LOTS 15 &amp; 16 BLK 20</t>
  </si>
  <si>
    <t>824 12TH ST</t>
  </si>
  <si>
    <t xml:space="preserve">LIPTROT, ALICE J </t>
  </si>
  <si>
    <t>14895 NORTHWOODS BLVD</t>
  </si>
  <si>
    <t xml:space="preserve">PAGE, JAMES F &amp; EDNA C </t>
  </si>
  <si>
    <t>PRATER ADD FR LT 6 BLK 41</t>
  </si>
  <si>
    <t>845 PYRAMID WAY</t>
  </si>
  <si>
    <t>MAHMOOD, KHALID et al</t>
  </si>
  <si>
    <t>FERREL SHIRLEY M</t>
  </si>
  <si>
    <t>PRATERS ADD FR LT 1 BLK 37</t>
  </si>
  <si>
    <t>2567 E CYGNET CIR</t>
  </si>
  <si>
    <t xml:space="preserve">AGUILAR, MARTA M </t>
  </si>
  <si>
    <t>PARADISE PARK LT 8</t>
  </si>
  <si>
    <t>2575 E CYGNET CIR</t>
  </si>
  <si>
    <t>PARADISE PARK LT 10</t>
  </si>
  <si>
    <t>2583 E CYGNET CIR</t>
  </si>
  <si>
    <t>PARADISE PARK LT 12</t>
  </si>
  <si>
    <t>2587 E CYGNET CIR</t>
  </si>
  <si>
    <t xml:space="preserve">GARCIA, TOMAS &amp; GLORIA </t>
  </si>
  <si>
    <t xml:space="preserve">NOEL, RICKY &amp; DONNA </t>
  </si>
  <si>
    <t>PARADISE PARK LT 13</t>
  </si>
  <si>
    <t>2639 W CYGNET CIR</t>
  </si>
  <si>
    <t>C/O MARIBEL GARCIA</t>
  </si>
  <si>
    <t>PARADISE PARK SUB LOT 26</t>
  </si>
  <si>
    <t>2389 ROUNDHOUSE RD</t>
  </si>
  <si>
    <t>C/O ELLEN B MILLER TTEE</t>
  </si>
  <si>
    <t>IRONHORSE VILLAGE 1 AMD LT 8-D BLK B</t>
  </si>
  <si>
    <t>2333 ROUNDHOUSE RD</t>
  </si>
  <si>
    <t xml:space="preserve">DOTY, RICHARD A &amp; SHARON  </t>
  </si>
  <si>
    <t>PO BOX 66</t>
  </si>
  <si>
    <t xml:space="preserve">ALDERPOINT </t>
  </si>
  <si>
    <t>IRONHORSE VILLAGE 1 AMD LT 2 BLK B UT D</t>
  </si>
  <si>
    <t>2348 ROUNDHOUSE RD</t>
  </si>
  <si>
    <t>IRONHORSE VLGE 1</t>
  </si>
  <si>
    <t xml:space="preserve">GNIBUS, JOSEPH L &amp; GLYNIS J R </t>
  </si>
  <si>
    <t>5662 WEDGEWOOD CIR</t>
  </si>
  <si>
    <t xml:space="preserve">TREMAYNE CONSTRUCTION INC </t>
  </si>
  <si>
    <t>IRONHORSE VILLAGE 1 AMD UT P1R LT 4 BLK A</t>
  </si>
  <si>
    <t>142 RACQUET CLUB DR</t>
  </si>
  <si>
    <t>RANCHO MIRAGE</t>
  </si>
  <si>
    <t>92270</t>
  </si>
  <si>
    <t>2364 ROUNDHOUSE RD</t>
  </si>
  <si>
    <t xml:space="preserve">IRONHORSE VILLAGE 1 </t>
  </si>
  <si>
    <t xml:space="preserve">GOEDEWAAGEN LIVING TRUST  </t>
  </si>
  <si>
    <t>IRONHORSE VILLAGE 1 LT 6A BLK A</t>
  </si>
  <si>
    <t>2240 CANNONBALL RD</t>
  </si>
  <si>
    <t xml:space="preserve">CHAMBERS, RANDY W  </t>
  </si>
  <si>
    <t xml:space="preserve">COKER, ELMIRA &amp; RANDALL </t>
  </si>
  <si>
    <t>ROUNDHOUSE VILLAGE LT 10 BLK D</t>
  </si>
  <si>
    <t>2218 CANNONBALL RD</t>
  </si>
  <si>
    <t xml:space="preserve">DUDE RANCH LLC </t>
  </si>
  <si>
    <t>440 D STREET</t>
  </si>
  <si>
    <t>ROUNDHOUSE VILLAGE LT 14 BLK D</t>
  </si>
  <si>
    <t>973 FLATCAR LN</t>
  </si>
  <si>
    <t xml:space="preserve">GIMBLIN REVOCABLE TRUST, R S   </t>
  </si>
  <si>
    <t xml:space="preserve">973 FLATCAR LN </t>
  </si>
  <si>
    <t>ROUNDHOUSE VILLAGE LT 10 BLK B</t>
  </si>
  <si>
    <t>1849 MERCHANT ST</t>
  </si>
  <si>
    <t>MENDOZA-VERA, RAUL et al</t>
  </si>
  <si>
    <t>MERCHANT COURTS LT 7 BLK A</t>
  </si>
  <si>
    <t>1861 MERCHANT ST</t>
  </si>
  <si>
    <t xml:space="preserve">ALVAREZ, ARACELI </t>
  </si>
  <si>
    <t xml:space="preserve">1861 MERCHANT ST </t>
  </si>
  <si>
    <t>MERCHANT COURTS LT 11</t>
  </si>
  <si>
    <t>2107 G ST</t>
  </si>
  <si>
    <t xml:space="preserve">PETTY, MICHAEL D &amp; JANET L </t>
  </si>
  <si>
    <t>6481 CITORI DR</t>
  </si>
  <si>
    <t xml:space="preserve">SCOTT, CHRIS </t>
  </si>
  <si>
    <t>IRONHORSE VILLAGE 2 AMD LT 2C-4 BLK D</t>
  </si>
  <si>
    <t>031-123-12</t>
  </si>
  <si>
    <t>2240 VICTORIAN AVE</t>
  </si>
  <si>
    <t xml:space="preserve">VIRK, ABHEYDEEP S  </t>
  </si>
  <si>
    <t>9305 HUMMER CT</t>
  </si>
  <si>
    <t>FR SE4 SEC 6 TWP 19 RGE 20</t>
  </si>
  <si>
    <t>2002 VICTORIAN AVE</t>
  </si>
  <si>
    <t>SMITH, JOSEPHINE et al</t>
  </si>
  <si>
    <t>C/O KELLER REALTY</t>
  </si>
  <si>
    <t>135 VESTA ST</t>
  </si>
  <si>
    <t>PUCCINELLI TRUST, MOOSE et al</t>
  </si>
  <si>
    <t>NEWTOWN TRACT LT 1 &amp; 2 BLK 1</t>
  </si>
  <si>
    <t>1917 C ST</t>
  </si>
  <si>
    <t xml:space="preserve">9609 WOODHOLLOW DR                      </t>
  </si>
  <si>
    <t>NEWTOWN ADD LT 28 BLK 11</t>
  </si>
  <si>
    <t>1943 C ST</t>
  </si>
  <si>
    <t>NEWTOWN TRACT LTS 20 &amp; 21 BLK 11</t>
  </si>
  <si>
    <t>1857 C ST</t>
  </si>
  <si>
    <t xml:space="preserve">POWELL, THOMAS &amp; KATHLEEN </t>
  </si>
  <si>
    <t>11555 OSAGE RD</t>
  </si>
  <si>
    <t>NEWTOWN TRACT LT 19 BLK 10</t>
  </si>
  <si>
    <t>1821 C ST</t>
  </si>
  <si>
    <t xml:space="preserve">RUIZ, ROSALINA D </t>
  </si>
  <si>
    <t>NEWTOWN TRACT LT 27 BLK 10</t>
  </si>
  <si>
    <t>1602 D ST</t>
  </si>
  <si>
    <t>REV 3388</t>
  </si>
  <si>
    <t xml:space="preserve">MCPHERSON, TERRY JR </t>
  </si>
  <si>
    <t>824 D ST</t>
  </si>
  <si>
    <t>NEWTON TRACT LT 1 &amp; FR LT 2 BLK 17, REV 3388</t>
  </si>
  <si>
    <t>505 12TH ST</t>
  </si>
  <si>
    <t>ROBISONS ADD FR LT 1 &amp;</t>
  </si>
  <si>
    <t xml:space="preserve">HARPER, CHARLES </t>
  </si>
  <si>
    <t xml:space="preserve">SANDOVAL, MONICA </t>
  </si>
  <si>
    <t>ROBISONS ADD N70` LT 1 &amp; 2 BLK 24</t>
  </si>
  <si>
    <t>409 12TH ST</t>
  </si>
  <si>
    <t>ROBISONS</t>
  </si>
  <si>
    <t xml:space="preserve">CONLIN, BREENA </t>
  </si>
  <si>
    <t>4739 WOOD THRUSH LN</t>
  </si>
  <si>
    <t>ROBISONS ADD LT 3 &amp; 4 BLK 19</t>
  </si>
  <si>
    <t>1015 PRATER WAY</t>
  </si>
  <si>
    <t xml:space="preserve">PICO-RENTERIA, EDWIN A </t>
  </si>
  <si>
    <t>PRATER ADD E20` LT 9 &amp; W30` LT 10 BLK 31</t>
  </si>
  <si>
    <t>1108 E ST</t>
  </si>
  <si>
    <t>ROBISON ADD</t>
  </si>
  <si>
    <t xml:space="preserve">MCBIRNEY, HARRY </t>
  </si>
  <si>
    <t>ROBISON ADD LT 3 &amp; 4  BLK 25</t>
  </si>
  <si>
    <t>826 F ST</t>
  </si>
  <si>
    <t>PLACHY, KEVIN  et al</t>
  </si>
  <si>
    <t>4864 35TH AVE SW</t>
  </si>
  <si>
    <t xml:space="preserve">SEATTLE </t>
  </si>
  <si>
    <t>PRATER ADD LT 4 BLK 29</t>
  </si>
  <si>
    <t>103 19TH ST</t>
  </si>
  <si>
    <t>TOWN OF SPARKS LOT 14,15,</t>
  </si>
  <si>
    <t xml:space="preserve">P &amp; H INVESTMENTS </t>
  </si>
  <si>
    <t>TOWN OF SPARKS LTS 14, 15 &amp; 16 BLK P</t>
  </si>
  <si>
    <t>1727 C ST</t>
  </si>
  <si>
    <t xml:space="preserve">MCDERMOTT, JOHN W &amp; TERESA L </t>
  </si>
  <si>
    <t>7788 BAREBACK DR</t>
  </si>
  <si>
    <t>NEWTOWN TRACT W17` LT 25 &amp; E17` LT 24 BLK 9</t>
  </si>
  <si>
    <t>424 12TH ST</t>
  </si>
  <si>
    <t xml:space="preserve">JW &amp; LL INVESTMENTS LLC </t>
  </si>
  <si>
    <t>4906 SIERRA PINE DR</t>
  </si>
  <si>
    <t xml:space="preserve">WONG, JOSEPH S M  </t>
  </si>
  <si>
    <t>ROBISONS ADD LT 19 &amp; 20 BLK 18</t>
  </si>
  <si>
    <t>919 F ST</t>
  </si>
  <si>
    <t xml:space="preserve">HYDE, LAURA </t>
  </si>
  <si>
    <t>10610 APPLE MILL DR</t>
  </si>
  <si>
    <t xml:space="preserve">ASCHENBACH, JILL </t>
  </si>
  <si>
    <t>PRATER ADD  FR  LT 17  BLK 27</t>
  </si>
  <si>
    <t>946 E ST</t>
  </si>
  <si>
    <t xml:space="preserve">TROJAN IRREVOCABLE TRUST  </t>
  </si>
  <si>
    <t>P O BOX 50396</t>
  </si>
  <si>
    <t xml:space="preserve">CHANES, ALMA </t>
  </si>
  <si>
    <t>ROBISON ADD LT 11 &amp; 12 BLK 27</t>
  </si>
  <si>
    <t>433 PYRAMID WAY</t>
  </si>
  <si>
    <t>ROBISON ADD 8</t>
  </si>
  <si>
    <t>ROBISON ADD LOTS 8 &amp; 9 BLK 15</t>
  </si>
  <si>
    <t>427 PYRAMID WAY</t>
  </si>
  <si>
    <t>ROBISON ADD 6</t>
  </si>
  <si>
    <t>ROBISON ADD LOTS 6 &amp; 7 BLK 15</t>
  </si>
  <si>
    <t>411 PYRAMID WAY</t>
  </si>
  <si>
    <t>ROBISON ADD 4</t>
  </si>
  <si>
    <t>ROBISON ADD LOTS 4 &amp; 5 BLK 15</t>
  </si>
  <si>
    <t>829 D ST</t>
  </si>
  <si>
    <t>ROBISON`S ADD FR LOTS 21-</t>
  </si>
  <si>
    <t xml:space="preserve">ELIZARDE, CATALINO P &amp; AGRIPINA V  </t>
  </si>
  <si>
    <t xml:space="preserve">829 D ST </t>
  </si>
  <si>
    <t xml:space="preserve">GRIFFITH FAMILY TRUST  </t>
  </si>
  <si>
    <t>ROBISON`S ADD THE E34` OF LOTS 22, 23 &amp; 24 &amp; THE E</t>
  </si>
  <si>
    <t>910 VICTORIAN AVE</t>
  </si>
  <si>
    <t xml:space="preserve">BHP LLC </t>
  </si>
  <si>
    <t>9645 GATEWAY DR STE A</t>
  </si>
  <si>
    <t>ARMSTRONG, BETSY et al</t>
  </si>
  <si>
    <t>ROBISON ADD LOT 3 BLK 2</t>
  </si>
  <si>
    <t>1650 HYMER AVE</t>
  </si>
  <si>
    <t xml:space="preserve">REFRIGERATION SUPPLIES DISTRIB </t>
  </si>
  <si>
    <t xml:space="preserve">26021 ATLANTIC OCEAN DR </t>
  </si>
  <si>
    <t xml:space="preserve">LAKE FOREST </t>
  </si>
  <si>
    <t>TOWN OF SPARKS FR BLK 21</t>
  </si>
  <si>
    <t>1973 HYMER AVE</t>
  </si>
  <si>
    <t xml:space="preserve">TOWN OF SPARKS </t>
  </si>
  <si>
    <t xml:space="preserve">MELCHING, STEVEN M &amp; YVONNE S </t>
  </si>
  <si>
    <t>21004 NINE MILE CT</t>
  </si>
  <si>
    <t xml:space="preserve">KLUZNIK, DON </t>
  </si>
  <si>
    <t>TOWN OF SPARKS LT 18 19 BLK 29</t>
  </si>
  <si>
    <t>NGGK</t>
  </si>
  <si>
    <t>1465 HYMER AVE</t>
  </si>
  <si>
    <t>TOWN OF SPARKS N 87` LT 1</t>
  </si>
  <si>
    <t xml:space="preserve">TYNAN, TARYN </t>
  </si>
  <si>
    <t>14130 SPRING CANYON RD</t>
  </si>
  <si>
    <t>PINE GROVE</t>
  </si>
  <si>
    <t>95665</t>
  </si>
  <si>
    <t xml:space="preserve">SIMONSEN, HEIDI R </t>
  </si>
  <si>
    <t>TOWN OF SPARKS  N 87` LT 1 &amp; 2 BLK 24</t>
  </si>
  <si>
    <t>540 L ST</t>
  </si>
  <si>
    <t xml:space="preserve">GAMBOA, DEANNA </t>
  </si>
  <si>
    <t>357 SMITHRIDGE PARK</t>
  </si>
  <si>
    <t>GREENBRAE TERRACE 4 LT 10 BLK 20</t>
  </si>
  <si>
    <t>640 L ST</t>
  </si>
  <si>
    <t>CRAZY MOUNTAIN LLC</t>
  </si>
  <si>
    <t>6015 S VIRGINIA #301</t>
  </si>
  <si>
    <t>GREENBRAE TERRACE 4 LT 6 BLK 20</t>
  </si>
  <si>
    <t>316 M ST</t>
  </si>
  <si>
    <t>GREENBRAE TERRACE NO 6</t>
  </si>
  <si>
    <t xml:space="preserve">KINNEAR, LAWRENCE E JR </t>
  </si>
  <si>
    <t xml:space="preserve">FISHER LIVING TRUST, JAMES R &amp; DIANE   </t>
  </si>
  <si>
    <t>GREENBRAE TERRACE 6 LT 7 BLK 26</t>
  </si>
  <si>
    <t>332 M ST</t>
  </si>
  <si>
    <t>BLANCHARD, KENNETH et al</t>
  </si>
  <si>
    <t>GREENBRAE TERRACE 6 LT 3 BLK 26</t>
  </si>
  <si>
    <t>325 M ST</t>
  </si>
  <si>
    <t>GREENBRAE TERRACE 6 LT 30 BLK 22</t>
  </si>
  <si>
    <t>301 M ST</t>
  </si>
  <si>
    <t xml:space="preserve">SISCO, SHANNON L </t>
  </si>
  <si>
    <t>PO BOX 4994</t>
  </si>
  <si>
    <t>GREENBRAE TERRACE 6 LT 23 BLK 22</t>
  </si>
  <si>
    <t>336 L ST</t>
  </si>
  <si>
    <t xml:space="preserve">THOMAS, LISA S </t>
  </si>
  <si>
    <t xml:space="preserve">336 L ST     </t>
  </si>
  <si>
    <t xml:space="preserve">WANG, YU CHEN </t>
  </si>
  <si>
    <t>GREENBRAE TERRACE 4 LT 2 BLK 22</t>
  </si>
  <si>
    <t>1409 STANFORD WAY</t>
  </si>
  <si>
    <t>GREEN BRAE TERRACE 10</t>
  </si>
  <si>
    <t xml:space="preserve">BORUNDA REVOCABLE TRUST, EFREN &amp; ELVIRA  </t>
  </si>
  <si>
    <t xml:space="preserve">BORUNDA, EFREN &amp; ELVIRA </t>
  </si>
  <si>
    <t>GREEN BRAE TERRACE 10 LT 13 BLK 23</t>
  </si>
  <si>
    <t>1500 BREAKER WAY</t>
  </si>
  <si>
    <t xml:space="preserve">BREAKER  </t>
  </si>
  <si>
    <t xml:space="preserve">CARRILLO, NORMA P  </t>
  </si>
  <si>
    <t xml:space="preserve">1500 BREAKER WAY </t>
  </si>
  <si>
    <t xml:space="preserve">MILLER LIVING TRUST, MARNIE E  </t>
  </si>
  <si>
    <t xml:space="preserve">BREAKER LT 4 BLK A   </t>
  </si>
  <si>
    <t>539 L ST</t>
  </si>
  <si>
    <t>NICKERSON, JAMES  et al</t>
  </si>
  <si>
    <t xml:space="preserve">539 L ST </t>
  </si>
  <si>
    <t xml:space="preserve">NICKERSON, JAMES  </t>
  </si>
  <si>
    <t>GREENBRAE TERRACE 4 LT 9 BLK 18</t>
  </si>
  <si>
    <t>429 L ST</t>
  </si>
  <si>
    <t xml:space="preserve">ANDERSON, CHERYL A  </t>
  </si>
  <si>
    <t xml:space="preserve">419 L ST </t>
  </si>
  <si>
    <t>GREENBRAE TERRACE 4 LT 15 BLK 18</t>
  </si>
  <si>
    <t>549 K ST</t>
  </si>
  <si>
    <t xml:space="preserve">ZEVENBERGER, ALBERT &amp; LEIGH M </t>
  </si>
  <si>
    <t xml:space="preserve">TAGULAO, EUSEBIO M &amp; CARMELITA D  </t>
  </si>
  <si>
    <t>GREENBRAE TERRACE 4 LT 8 BLK 16</t>
  </si>
  <si>
    <t>449 K ST</t>
  </si>
  <si>
    <t>CROWE, JAMES B et al</t>
  </si>
  <si>
    <t>GREENBRAE TERRACE 4 LT 13 BLK 16</t>
  </si>
  <si>
    <t>630 J ST</t>
  </si>
  <si>
    <t>GREENBRAE TERRACE 2</t>
  </si>
  <si>
    <t>SALDANA BARAJAS, J JESUS et al</t>
  </si>
  <si>
    <t>GREENBRAE TERRACE 2 LT 31 BLK 16</t>
  </si>
  <si>
    <t>109 L ST</t>
  </si>
  <si>
    <t xml:space="preserve">ALTERMAN, JEROME P &amp; KAREN R </t>
  </si>
  <si>
    <t>GREENBRAE TERRACE 4 LT 15 BLK 19</t>
  </si>
  <si>
    <t>1327 1ST ST</t>
  </si>
  <si>
    <t>GREENBRAE TERRACE 4 LT 17 BLK 19</t>
  </si>
  <si>
    <t>333 K ST</t>
  </si>
  <si>
    <t xml:space="preserve">HAGGARD, CLINTON J </t>
  </si>
  <si>
    <t xml:space="preserve">FULLER, IRIS M </t>
  </si>
  <si>
    <t>GREENBRAE TERRACE 4  LT 3  BLK 17</t>
  </si>
  <si>
    <t>313 K ST</t>
  </si>
  <si>
    <t xml:space="preserve">ARECHIGA, DIANA </t>
  </si>
  <si>
    <t>GREENBRAE TERRACE 4 LT 9 BLK 17</t>
  </si>
  <si>
    <t>1227 1ST ST</t>
  </si>
  <si>
    <t>MARTINEZ, EDWARD &amp; JESSICA E et al</t>
  </si>
  <si>
    <t>GREENBRAE TERRACE 4 LT 17 BLK 17</t>
  </si>
  <si>
    <t>114 J ST</t>
  </si>
  <si>
    <t xml:space="preserve">POURCHOT, LUCAS J </t>
  </si>
  <si>
    <t>GREENBRAE TERRACE 3 LT 22 BLK 17</t>
  </si>
  <si>
    <t>1 CASTLE WAY</t>
  </si>
  <si>
    <t>35 E L ST</t>
  </si>
  <si>
    <t>GREENBRAE TERRACE SUB #10</t>
  </si>
  <si>
    <t>GREENBRAE TERRACE SUB NO 10  LOT 3 BLK 32</t>
  </si>
  <si>
    <t>30 E K ST</t>
  </si>
  <si>
    <t>BRITTON KRISTINE E</t>
  </si>
  <si>
    <t xml:space="preserve">ZUCK, SUSAN D </t>
  </si>
  <si>
    <t>GREENBRAE TERRACE 11 LT 21 BLK 32</t>
  </si>
  <si>
    <t>23 E K ST</t>
  </si>
  <si>
    <t xml:space="preserve">MESTAS, ELPIDIO </t>
  </si>
  <si>
    <t>GREENBRAE TERRACE 11 LT 6 BLK 31</t>
  </si>
  <si>
    <t>23 E J ST</t>
  </si>
  <si>
    <t xml:space="preserve">CARTER, GREGORY T </t>
  </si>
  <si>
    <t>23 EAST J ST</t>
  </si>
  <si>
    <t>GREENBRAE TERRACE 11 LT 6 BLK 30</t>
  </si>
  <si>
    <t>1302 PROBASCO WAY</t>
  </si>
  <si>
    <t xml:space="preserve">SHABAZZ, KARIM MAURICE </t>
  </si>
  <si>
    <t>HUSSEY, WILLIAM et al</t>
  </si>
  <si>
    <t>GREENBRAE TERR ADD 11 LT 9 BLK 33</t>
  </si>
  <si>
    <t>1211 BREAKER WAY</t>
  </si>
  <si>
    <t xml:space="preserve">GARCIA, MARCOS L &amp; ALVINA G  </t>
  </si>
  <si>
    <t xml:space="preserve">1211 BREAKER WAY </t>
  </si>
  <si>
    <t>LOUDERBACK PROPERTIES OF NV LLC</t>
  </si>
  <si>
    <t>SIMON 2 LT 5 BLK A</t>
  </si>
  <si>
    <t>344 E I ST</t>
  </si>
  <si>
    <t>SIMON 1</t>
  </si>
  <si>
    <t xml:space="preserve">VILLASENOR, JOHN A &amp; CATHY A  </t>
  </si>
  <si>
    <t>SIMON 1  LT 3 BLK B</t>
  </si>
  <si>
    <t>1200 BREAKER WAY</t>
  </si>
  <si>
    <t xml:space="preserve">MCPHAIL, MICHAEL D </t>
  </si>
  <si>
    <t>SIMON 2 LT 8 BLK B</t>
  </si>
  <si>
    <t>365 O`BRIEN WAY</t>
  </si>
  <si>
    <t xml:space="preserve">ROLAND, ROBERT M </t>
  </si>
  <si>
    <t>365 OBRIEN WAY</t>
  </si>
  <si>
    <t>RAMIREZ, MARTIN R et al</t>
  </si>
  <si>
    <t xml:space="preserve">GREENBRAE TERRACE 18 LT 3 BLK 8    </t>
  </si>
  <si>
    <t>1235 TANGLEWOOD DR</t>
  </si>
  <si>
    <t xml:space="preserve">FLOREY, DENNIS L &amp; LAURA M </t>
  </si>
  <si>
    <t xml:space="preserve">CASTLEBERRY, JUDY R </t>
  </si>
  <si>
    <t>GREENBRAE TERRACE 18 LT 13 BLK 8</t>
  </si>
  <si>
    <t xml:space="preserve">BARBERA, CLAIRE J </t>
  </si>
  <si>
    <t>GREENBRAE TERRACE 2 LT7 BLK 13</t>
  </si>
  <si>
    <t>539 J ST</t>
  </si>
  <si>
    <t xml:space="preserve">BARTLETT, KERMIT L &amp; ALICIA G </t>
  </si>
  <si>
    <t>GREENBRAE TERRACE 2 LT 9 BLK 13</t>
  </si>
  <si>
    <t>519 J ST</t>
  </si>
  <si>
    <t xml:space="preserve">MCDOWELL, BRIANNE E  </t>
  </si>
  <si>
    <t>519  J ST</t>
  </si>
  <si>
    <t>GREEN BRAE TERRACE 2  LT 11 BLK 13</t>
  </si>
  <si>
    <t>337 J ST</t>
  </si>
  <si>
    <t xml:space="preserve">JOHNSON, DOROTHY </t>
  </si>
  <si>
    <t>GREEN BRAE TERRACE 3 LT 2 BLK 14</t>
  </si>
  <si>
    <t>246 H ST</t>
  </si>
  <si>
    <t>MARTINEZ, JUAN A et al</t>
  </si>
  <si>
    <t>HUYCK LT 8 BLK 9</t>
  </si>
  <si>
    <t>316 H ST</t>
  </si>
  <si>
    <t>MOTSINGER, JORDEN et al</t>
  </si>
  <si>
    <t xml:space="preserve">SOLLI, HELEN </t>
  </si>
  <si>
    <t>HUYCK LT 5 BLK 9</t>
  </si>
  <si>
    <t>344 H ST</t>
  </si>
  <si>
    <t>HOMER, KATRINA J et al</t>
  </si>
  <si>
    <t xml:space="preserve">LEVY, MARCEL A &amp;  RACHAEL A </t>
  </si>
  <si>
    <t>HUYCK LT 2 BLK 9</t>
  </si>
  <si>
    <t>1029 1ST ST</t>
  </si>
  <si>
    <t>GREEN BRAE TERRACE</t>
  </si>
  <si>
    <t xml:space="preserve">PATEL, UMESH N &amp; PRITKA U </t>
  </si>
  <si>
    <t>GREEN BRAE TERRACE FR LT 6 7 BLK 11</t>
  </si>
  <si>
    <t>8 E H ST</t>
  </si>
  <si>
    <t xml:space="preserve">PADILLA-AVINA, SALVADOR </t>
  </si>
  <si>
    <t>GREENBRAE TERRACE 12 LT 15 BLK 28</t>
  </si>
  <si>
    <t>1000 PROBASCO WAY</t>
  </si>
  <si>
    <t>GREENBRAE TERRACE SUB #12</t>
  </si>
  <si>
    <t xml:space="preserve">OLMEDA, ELIZABETH </t>
  </si>
  <si>
    <t>GREENBRAE TERRACE 12  LT 5 BLK 29</t>
  </si>
  <si>
    <t>215 E PRATER WAY</t>
  </si>
  <si>
    <t xml:space="preserve">PM 916  </t>
  </si>
  <si>
    <t xml:space="preserve">WALALA INVESTMENT CORPORATION </t>
  </si>
  <si>
    <t>2370 E MANDA RD</t>
  </si>
  <si>
    <t xml:space="preserve">HOOD, MARILYN A &amp; SAMMIE E </t>
  </si>
  <si>
    <t>PM 916 FR LT 1 (RS 2047)</t>
  </si>
  <si>
    <t>DIDQ</t>
  </si>
  <si>
    <t>275 E PRATER WAY</t>
  </si>
  <si>
    <t>PM 916 FR</t>
  </si>
  <si>
    <t xml:space="preserve">PRATER WAY STORAGE LLC </t>
  </si>
  <si>
    <t xml:space="preserve">925 N FAIRGROUNDS RD </t>
  </si>
  <si>
    <t>GOLDENDALE</t>
  </si>
  <si>
    <t>98620</t>
  </si>
  <si>
    <t xml:space="preserve">DOUGLAS FAMILY TRUST  </t>
  </si>
  <si>
    <t>PM 916 FR LT 1 (RS 2047 LT 8)</t>
  </si>
  <si>
    <t>431 G ST</t>
  </si>
  <si>
    <t xml:space="preserve">ESCH, BRIAN E </t>
  </si>
  <si>
    <t xml:space="preserve">431 G ST </t>
  </si>
  <si>
    <t>HUYCK LT 13 BLK 2</t>
  </si>
  <si>
    <t>845 4TH ST</t>
  </si>
  <si>
    <t xml:space="preserve">WEEDEN, JULIA </t>
  </si>
  <si>
    <t xml:space="preserve">ARSENEAU, GRETCHEN M &amp; JAMES J </t>
  </si>
  <si>
    <t>HUYCK LT 11 BLK 2</t>
  </si>
  <si>
    <t>110 PRATER WAY</t>
  </si>
  <si>
    <t xml:space="preserve">HUYCK  </t>
  </si>
  <si>
    <t xml:space="preserve">SAYASANE, SOMBOUN </t>
  </si>
  <si>
    <t>HUYCK LT 5 FR 6 BLK 10</t>
  </si>
  <si>
    <t>120 PRATER WAY</t>
  </si>
  <si>
    <t xml:space="preserve">ESHELMAN, DEREK  </t>
  </si>
  <si>
    <t>HUYCK FR LT 6 BLK 10</t>
  </si>
  <si>
    <t>256 G ST</t>
  </si>
  <si>
    <t xml:space="preserve">HUYCK </t>
  </si>
  <si>
    <t>CAVANAUGH, JAMES et al</t>
  </si>
  <si>
    <t>RATTI JULIA</t>
  </si>
  <si>
    <t>535 4TH ST</t>
  </si>
  <si>
    <t xml:space="preserve">MOORE, DIANA K </t>
  </si>
  <si>
    <t>HUYCK LT 8 BLK 7</t>
  </si>
  <si>
    <t>630 F ST</t>
  </si>
  <si>
    <t xml:space="preserve">OSULLIVAN ADD  </t>
  </si>
  <si>
    <t xml:space="preserve">WHITE, LARRY A &amp; GINGER L </t>
  </si>
  <si>
    <t xml:space="preserve">630 F ST </t>
  </si>
  <si>
    <t xml:space="preserve">URIBE , DIEGO &amp; ZULMA </t>
  </si>
  <si>
    <t>O`SULLIVAN ADD  W 37` OF E 62` LT 1 &amp; 2 BLK S</t>
  </si>
  <si>
    <t>680 MARIAN WAY</t>
  </si>
  <si>
    <t>COMSTOCK 1</t>
  </si>
  <si>
    <t xml:space="preserve">RICHARDS, SCOTT &amp; JOY B </t>
  </si>
  <si>
    <t>COMSTOCK 1 LT 10</t>
  </si>
  <si>
    <t>649 STANFORD WAY</t>
  </si>
  <si>
    <t>LINCOLN PARK ADD LOT 5 FR</t>
  </si>
  <si>
    <t xml:space="preserve">ARCE-AUSTIN, TEODORA </t>
  </si>
  <si>
    <t xml:space="preserve">649 STANFORD WAY </t>
  </si>
  <si>
    <t>LINCOLN PARK ADD FR 4 &amp; LT 5 BLK 17</t>
  </si>
  <si>
    <t>5 LINCOLN WAY</t>
  </si>
  <si>
    <t>LINCOLN PARK SUB DIV</t>
  </si>
  <si>
    <t xml:space="preserve">O`MEALY , THOMAS C  </t>
  </si>
  <si>
    <t>137 MCGOLDRICK WAY</t>
  </si>
  <si>
    <t xml:space="preserve">NEWSOM, GLADYS </t>
  </si>
  <si>
    <t>LINCOLN PARK LT 3 BLK C</t>
  </si>
  <si>
    <t>13 LINCOLN WAY</t>
  </si>
  <si>
    <t>SLOBE, DAVID S et al</t>
  </si>
  <si>
    <t>HURLBUT GAIL A</t>
  </si>
  <si>
    <t>15480 CHERRYWOOD</t>
  </si>
  <si>
    <t>LINCOLN PARK LT 7 BLK C</t>
  </si>
  <si>
    <t>850 MARIAN WAY</t>
  </si>
  <si>
    <t>PM 571</t>
  </si>
  <si>
    <t xml:space="preserve">GARCIA, SANDRA M </t>
  </si>
  <si>
    <t>MELENDEZ, MARTIN et al</t>
  </si>
  <si>
    <t>PM 571 LT B</t>
  </si>
  <si>
    <t>450 STANFORD WAY</t>
  </si>
  <si>
    <t>ROSEPARK 1 LT 5 BLK B</t>
  </si>
  <si>
    <t>660 TEEL ST</t>
  </si>
  <si>
    <t xml:space="preserve">ILACQUA, JOSEFINA &amp; MONTE A  </t>
  </si>
  <si>
    <t xml:space="preserve">660 TEEL ST </t>
  </si>
  <si>
    <t xml:space="preserve">MCKEOWN, JEFFREY M &amp; DONNA A </t>
  </si>
  <si>
    <t>ROSEPARK 2 LT 9 BLK C</t>
  </si>
  <si>
    <t>665 LYYSKI ST</t>
  </si>
  <si>
    <t xml:space="preserve">HERNANDEZ, MAURICIO F </t>
  </si>
  <si>
    <t>ROSEPARK 2 LT 22 BLK C</t>
  </si>
  <si>
    <t>615 LYYSKI ST</t>
  </si>
  <si>
    <t xml:space="preserve">GERRARD, MICHAEL R  </t>
  </si>
  <si>
    <t>ROSEPARK 2 LT 27 BLK C</t>
  </si>
  <si>
    <t>605 LYYSKI ST</t>
  </si>
  <si>
    <t>ROSEPARK  2  LT 28 BLK C</t>
  </si>
  <si>
    <t>670 LYYSKI ST</t>
  </si>
  <si>
    <t>ROSEPARK 2 LT 56 BLK D</t>
  </si>
  <si>
    <t>680 LYYSKI ST</t>
  </si>
  <si>
    <t xml:space="preserve">MARTIN-RAMIREZ, CECILIA P  </t>
  </si>
  <si>
    <t xml:space="preserve">680 LYYSKI ST </t>
  </si>
  <si>
    <t>ROSEPARK 2 LT 57 BLK D</t>
  </si>
  <si>
    <t>630 GLEESON WAY</t>
  </si>
  <si>
    <t>SPRINGVALE 1A</t>
  </si>
  <si>
    <t>RAYAS-MARTIN, EDGAR et al</t>
  </si>
  <si>
    <t>RAYAS GRISELDA</t>
  </si>
  <si>
    <t>DELGADO, JOSE I G  et al</t>
  </si>
  <si>
    <t>SPRINGVALE 1A LT 2 BLK 4</t>
  </si>
  <si>
    <t>600 THORNTON ST</t>
  </si>
  <si>
    <t>ROSEPARK SUB 3</t>
  </si>
  <si>
    <t xml:space="preserve">HERNANDEZ-ALONSO, JOSE L </t>
  </si>
  <si>
    <t>ROSEPARK SUB 3 LT 76 BLK C</t>
  </si>
  <si>
    <t>610 THORNTON ST</t>
  </si>
  <si>
    <t xml:space="preserve">BASS, WILLIAM L &amp; CHERYL </t>
  </si>
  <si>
    <t>ROSEPARK 3 LT 77 BLK C</t>
  </si>
  <si>
    <t>650 THORNTON ST</t>
  </si>
  <si>
    <t xml:space="preserve">CARPITA, EDWARD C </t>
  </si>
  <si>
    <t xml:space="preserve">NEAL, GREGORY C &amp; CHERIE F </t>
  </si>
  <si>
    <t>ROSEPARK SUB 3 LT 79 BLK C</t>
  </si>
  <si>
    <t>210 SELLS ST</t>
  </si>
  <si>
    <t xml:space="preserve">LAVANWAY, DAVID  </t>
  </si>
  <si>
    <t xml:space="preserve">210 SELLS ST </t>
  </si>
  <si>
    <t>ROSEPARK 3 LT 92 BLK D</t>
  </si>
  <si>
    <t>255 SELLS ST</t>
  </si>
  <si>
    <t xml:space="preserve">VOLOCHENKO, NATHAN A </t>
  </si>
  <si>
    <t xml:space="preserve">TOTI, LOUIS S </t>
  </si>
  <si>
    <t>ROSEPARK 3 LT 117 BLK E</t>
  </si>
  <si>
    <t>215 E LINCOLN WAY</t>
  </si>
  <si>
    <t>ROSEPARK 3 LT 66 BLK A</t>
  </si>
  <si>
    <t>545 6TH ST</t>
  </si>
  <si>
    <t>OSULLIVAN TRACT AMD</t>
  </si>
  <si>
    <t>O`SULLIVAN TRACT  LT 13 14 BLK P</t>
  </si>
  <si>
    <t>538 6TH ST</t>
  </si>
  <si>
    <t xml:space="preserve">DELAFIELD FAMILY TRUST   </t>
  </si>
  <si>
    <t>PO BOX 2095</t>
  </si>
  <si>
    <t>O`SULLIVAN AMD LT 9 &amp; 10 BLK O</t>
  </si>
  <si>
    <t>444 PYRAMID WAY</t>
  </si>
  <si>
    <t xml:space="preserve">O`SULLIVAN AMD </t>
  </si>
  <si>
    <t xml:space="preserve">JENSBY, JEFFREY A &amp; CATHERINE S </t>
  </si>
  <si>
    <t xml:space="preserve">KROSHUS FAMILY TRUST  </t>
  </si>
  <si>
    <t>O`SULLIVAN AMD LT 12 &amp; FR  LT 11 BLK J</t>
  </si>
  <si>
    <t>718 D ST</t>
  </si>
  <si>
    <t>555 12TH ST STE 1250</t>
  </si>
  <si>
    <t xml:space="preserve">OKUNIEWICZ 718 LLC </t>
  </si>
  <si>
    <t>O`SULLIVAN ADD W 44` LT 23 &amp; 24 BLK J</t>
  </si>
  <si>
    <t>423 5TH ST</t>
  </si>
  <si>
    <t>OSULLIVAN TRACT LT 19 FR</t>
  </si>
  <si>
    <t xml:space="preserve">CRESSE, RICHARD &amp; DOLORES </t>
  </si>
  <si>
    <t>2608 BUTANO DR</t>
  </si>
  <si>
    <t>95821</t>
  </si>
  <si>
    <t>OSULLIVAN TRACT LT 19 &amp; N12.5` LT 20 BLK L</t>
  </si>
  <si>
    <t>12 LINCOLN WAY</t>
  </si>
  <si>
    <t xml:space="preserve">DEMAGGIO, FELICIA </t>
  </si>
  <si>
    <t xml:space="preserve">6595 CANOE HILL DR </t>
  </si>
  <si>
    <t>LINCOLN PARK LT 21 BLK A</t>
  </si>
  <si>
    <t>300 FODRIN WAY</t>
  </si>
  <si>
    <t xml:space="preserve">FODRIN TRUST 300  </t>
  </si>
  <si>
    <t>LINCOLN PARK LT 2 BLK B</t>
  </si>
  <si>
    <t>487 E LINCOLN WAY</t>
  </si>
  <si>
    <t>WILLIAMSBURG TOWNHOMES</t>
  </si>
  <si>
    <t xml:space="preserve">ZAMORA, VICTOR F  </t>
  </si>
  <si>
    <t>487 E LINCOLN WAY UNIT C-3</t>
  </si>
  <si>
    <t>WILLIAMSBURG TH LT 3 BLK 1</t>
  </si>
  <si>
    <t>430 C ST</t>
  </si>
  <si>
    <t>CALDER, EDGAR A  et al</t>
  </si>
  <si>
    <t>PO BOX 2282</t>
  </si>
  <si>
    <t>O`SULLIVAN TRACT LT 1 BLK E</t>
  </si>
  <si>
    <t xml:space="preserve">WALTRIP, WILLIAM &amp; RAYNETTE A </t>
  </si>
  <si>
    <t>614 OAKWOOD DR # 1</t>
  </si>
  <si>
    <t xml:space="preserve">WALTRIP, WILLIAM  </t>
  </si>
  <si>
    <t>WILLIAMSBURG APT HM 1 UT 1 LT 38 BLK C</t>
  </si>
  <si>
    <t>634 OAKWOOD DR APT 4</t>
  </si>
  <si>
    <t xml:space="preserve">GROSS, EDWARD C </t>
  </si>
  <si>
    <t>654 OAKWOOD DR</t>
  </si>
  <si>
    <t>WILLIAMSBURG APT HM</t>
  </si>
  <si>
    <t xml:space="preserve">PEREZ, SINAI </t>
  </si>
  <si>
    <t>654 OAKWOOD DR UT 4</t>
  </si>
  <si>
    <t>WILLIAMSBURG APT HM 1 UT 4 LT 34 BLK C</t>
  </si>
  <si>
    <t>621 OAKWOOD DR</t>
  </si>
  <si>
    <t xml:space="preserve">SPARACO FAMILY TRUST  </t>
  </si>
  <si>
    <t>ANTHONY F &amp; MARI J SPARACO TRUSTEE</t>
  </si>
  <si>
    <t>1084 PEPPER LN</t>
  </si>
  <si>
    <t>WILLIAMSBURG APT HM 1 UT 4 LT 23 BLK C</t>
  </si>
  <si>
    <t>WILLIAMSBURG APT HM 1 UT 2 LT 23 BLK C</t>
  </si>
  <si>
    <t>603 PINE MEADOWS DR</t>
  </si>
  <si>
    <t>WILLIAMSBURG APT HOMES 1</t>
  </si>
  <si>
    <t xml:space="preserve">WHITE FAMILY , STEPHEN L &amp; TRACY L  </t>
  </si>
  <si>
    <t>PO BOX 33145</t>
  </si>
  <si>
    <t xml:space="preserve">RANDOM PROPRTS ACQSTN CORP III </t>
  </si>
  <si>
    <t>WILLIAMSBURG APT HM 1 UT 2 LT 1 BLK A</t>
  </si>
  <si>
    <t>681 OAKWOOD DR</t>
  </si>
  <si>
    <t xml:space="preserve">M &amp; M FAMILY TRUST 2007  </t>
  </si>
  <si>
    <t>MICHAEL P &amp; MELISSA J LINDELL, TTEE</t>
  </si>
  <si>
    <t xml:space="preserve">365 DOUGLAS FIR DR </t>
  </si>
  <si>
    <t xml:space="preserve">LINDELL, MICHAEL  </t>
  </si>
  <si>
    <t>WILLIAMSBURG APT HM 1 UT 3 LT 29 BLK C</t>
  </si>
  <si>
    <t>683 PINE MEADOWS DR</t>
  </si>
  <si>
    <t xml:space="preserve">ANDREWS, KATHERINE M </t>
  </si>
  <si>
    <t>683 PINE MEADOWS DR # 2</t>
  </si>
  <si>
    <t>LEE, RICHARD  et al</t>
  </si>
  <si>
    <t>WILLIAMSBURG APT HM 1 UT2 LT 9 BLK A</t>
  </si>
  <si>
    <t xml:space="preserve">COYOTE BLUFF PROPERTIES LLC </t>
  </si>
  <si>
    <t>10580 N MCCARRAN BLVD STE 115-140</t>
  </si>
  <si>
    <t>WILLIAMSBURG APT HM 1UT 4 LT 7 BLK A</t>
  </si>
  <si>
    <t>653 PINE MEADOWS DR</t>
  </si>
  <si>
    <t>WILLIAMSBURG</t>
  </si>
  <si>
    <t>MCFARLAND, ARDIE et al</t>
  </si>
  <si>
    <t>653 PINE MEADOWS #3</t>
  </si>
  <si>
    <t xml:space="preserve">SILVA, TERESA </t>
  </si>
  <si>
    <t>WILLIAMSBURG APT HM 1 UT 3 LT 6 BLK A</t>
  </si>
  <si>
    <t>512 NICHOLS BLVD</t>
  </si>
  <si>
    <t>PINE MEADOWS</t>
  </si>
  <si>
    <t xml:space="preserve">J D LITMON &amp; ASSOCIATES </t>
  </si>
  <si>
    <t>512 NICHOLS BLVD # 2A</t>
  </si>
  <si>
    <t>CHOATE, KYLE et al</t>
  </si>
  <si>
    <t>PINE MEADOWS LT 2 BLK A</t>
  </si>
  <si>
    <t>DFAA</t>
  </si>
  <si>
    <t>536 NICHOLS BLVD</t>
  </si>
  <si>
    <t>WOOLDRIDGE, SUSAN J et al</t>
  </si>
  <si>
    <t>4910 SANTENAY LN</t>
  </si>
  <si>
    <t>PINE MEADOWS LT 4 BLK A</t>
  </si>
  <si>
    <t>506 NICHOLS BLVD</t>
  </si>
  <si>
    <t>KUMAR, PREM  et al</t>
  </si>
  <si>
    <t>PINE MEADOWS LT 5 BLK A</t>
  </si>
  <si>
    <t>033-212-07</t>
  </si>
  <si>
    <t>1635 GREG ST</t>
  </si>
  <si>
    <t>PM 1192</t>
  </si>
  <si>
    <t xml:space="preserve">STEFFAN, KENNETH L </t>
  </si>
  <si>
    <t>420 MOGUL MOUNTAIN DR</t>
  </si>
  <si>
    <t xml:space="preserve">LEWIS, VIRGIL R &amp; MARY J </t>
  </si>
  <si>
    <t>PM 1192 LT 1 &amp; FR LT 2</t>
  </si>
  <si>
    <t>1050 CONEY ISLAND DR</t>
  </si>
  <si>
    <t>Transit Whse</t>
  </si>
  <si>
    <t xml:space="preserve">FEDEX FREIGHT INC </t>
  </si>
  <si>
    <t>C/O BURKE &amp; ASSOCIATES</t>
  </si>
  <si>
    <t>3336 E 32ND ST #217</t>
  </si>
  <si>
    <t>74135</t>
  </si>
  <si>
    <t xml:space="preserve">BRAGG INVESTMENT COMPANY </t>
  </si>
  <si>
    <t>FR SECS 8 &amp;</t>
  </si>
  <si>
    <t>950 E GREG ST</t>
  </si>
  <si>
    <t xml:space="preserve">WILLIAMS LILL HOLDINGS LP </t>
  </si>
  <si>
    <t xml:space="preserve">1477 TILLIE LEWIS DR </t>
  </si>
  <si>
    <t xml:space="preserve">WIPF, DAVID E </t>
  </si>
  <si>
    <t>034-131-19</t>
  </si>
  <si>
    <t>FR SW4 SEC 10 TWP 19 RGE 20  RS 3406</t>
  </si>
  <si>
    <t>1105 KLEPPE LN</t>
  </si>
  <si>
    <t>FR S2 SW4</t>
  </si>
  <si>
    <t xml:space="preserve">NEPENTHE PROPERTIES LLC </t>
  </si>
  <si>
    <t>2420 CAMINO RAMON - STE 112</t>
  </si>
  <si>
    <t xml:space="preserve">A &amp; C PROPERTIES LLC </t>
  </si>
  <si>
    <t>03413301 &amp;</t>
  </si>
  <si>
    <t>FR S2 SW4 SEC 10 TWP 19 RGE 20 (RS 2956)</t>
  </si>
  <si>
    <t>1755 PURINA WAY</t>
  </si>
  <si>
    <t>R/S 436956</t>
  </si>
  <si>
    <t>BRE/NV SPICE IND CTR #1 LLC</t>
  </si>
  <si>
    <t>C/O THOMAS REUTERS TAX</t>
  </si>
  <si>
    <t>2235 FARADAY AV STE O</t>
  </si>
  <si>
    <t xml:space="preserve">PLDSPE LLC </t>
  </si>
  <si>
    <t>R/S 436956 LT A</t>
  </si>
  <si>
    <t>1980 KLEPPE LN</t>
  </si>
  <si>
    <t>PM 3239</t>
  </si>
  <si>
    <t xml:space="preserve">MATASSA FAMILY TRUST, THOMAS &amp; ANNA  </t>
  </si>
  <si>
    <t>17115 S VIRGINIA ST</t>
  </si>
  <si>
    <t xml:space="preserve">NEVADA WING CIVIL AIR PATROL </t>
  </si>
  <si>
    <t>034-164-01</t>
  </si>
  <si>
    <t>PM 3239 LT 2</t>
  </si>
  <si>
    <t>2251 LARKIN CIR</t>
  </si>
  <si>
    <t>EAST SPARKS IND PK 20 FR</t>
  </si>
  <si>
    <t xml:space="preserve">BRAGG INVESTMENT COMPANY INC </t>
  </si>
  <si>
    <t>6242 PARAMOUNT BLVD</t>
  </si>
  <si>
    <t xml:space="preserve">ACCRUIT EAT28 LLC </t>
  </si>
  <si>
    <t>034-171-17</t>
  </si>
  <si>
    <t>EAST SPARKS INDUSTRIAL PARK - LT 20 BLK C</t>
  </si>
  <si>
    <t>2085 E GREG ST</t>
  </si>
  <si>
    <t>PM 2346</t>
  </si>
  <si>
    <t xml:space="preserve">DESI PROPEERTIES LLC  </t>
  </si>
  <si>
    <t>PO BOX 20035</t>
  </si>
  <si>
    <t>034-171-37</t>
  </si>
  <si>
    <t>PM 2346 LT B</t>
  </si>
  <si>
    <t>864 DEMING WAY</t>
  </si>
  <si>
    <t>PM 1775</t>
  </si>
  <si>
    <t>P O BOX 70070</t>
  </si>
  <si>
    <t xml:space="preserve">GERBER, EDWIN G </t>
  </si>
  <si>
    <t xml:space="preserve">PM 1775 LT 4 </t>
  </si>
  <si>
    <t xml:space="preserve"> SPICE ISLANDS DR</t>
  </si>
  <si>
    <t>PM 1856</t>
  </si>
  <si>
    <t xml:space="preserve">OWNERS OF CONDO PM 1856 </t>
  </si>
  <si>
    <t>CONDO PM 1856 CA</t>
  </si>
  <si>
    <t>1395 SPICE ISLANDS DR</t>
  </si>
  <si>
    <t xml:space="preserve">NEVADA ENERGY LEASING LLC </t>
  </si>
  <si>
    <t>PO BOX 10083</t>
  </si>
  <si>
    <t>PAR 1 CONDO PAR MAP 1856</t>
  </si>
  <si>
    <t>NGFT</t>
  </si>
  <si>
    <t>PM 1856 LT 2</t>
  </si>
  <si>
    <t>PM 1856 LOT 3</t>
  </si>
  <si>
    <t>PM 1856 LT 4</t>
  </si>
  <si>
    <t>64 HARDY DR</t>
  </si>
  <si>
    <t>STANFORD FREEPORT</t>
  </si>
  <si>
    <t xml:space="preserve">PARTICLE COUNT LLC </t>
  </si>
  <si>
    <t xml:space="preserve">226 MOTT CT </t>
  </si>
  <si>
    <t xml:space="preserve">GOULDSTONE, BARBARA L </t>
  </si>
  <si>
    <t>034-253-15</t>
  </si>
  <si>
    <t>STANFORD FREEPORT LT 3 BLK B2 RS 2989</t>
  </si>
  <si>
    <t>475 E GREG ST</t>
  </si>
  <si>
    <t>EAST-WEST COMMERCE CENTER</t>
  </si>
  <si>
    <t>G &amp; R LLC</t>
  </si>
  <si>
    <t>C/O GARY OR GENA ROMERO</t>
  </si>
  <si>
    <t>16165 TANEA DR</t>
  </si>
  <si>
    <t xml:space="preserve">TSRC PROPERTIES LTD </t>
  </si>
  <si>
    <t>034-144-05</t>
  </si>
  <si>
    <t>EAST-WEST COMMERCE CENTER LT 4</t>
  </si>
  <si>
    <t>4707 W LEONESIO DR</t>
  </si>
  <si>
    <t xml:space="preserve">HEMBREE, DAVID W  </t>
  </si>
  <si>
    <t xml:space="preserve">4707 W LEONESIO DR </t>
  </si>
  <si>
    <t>ZALAZAR, J CRUZ A et al</t>
  </si>
  <si>
    <t>MOBILE GLEN 1 LT 43</t>
  </si>
  <si>
    <t>4700 W LEONESIO DR</t>
  </si>
  <si>
    <t xml:space="preserve">SCROGGINS, BEVERLY L </t>
  </si>
  <si>
    <t>MOBILE GLEN SUB 1  LT 41</t>
  </si>
  <si>
    <t>4714 W LEONESIO DR</t>
  </si>
  <si>
    <t xml:space="preserve">CAVE, KARON </t>
  </si>
  <si>
    <t>MOBILE GLEN 1 LT 38</t>
  </si>
  <si>
    <t>4740 SKAGGS CIR</t>
  </si>
  <si>
    <t>MOBILE GLEN SUB UNIT NO 1</t>
  </si>
  <si>
    <t xml:space="preserve">DIPAOLO, JOHN R </t>
  </si>
  <si>
    <t xml:space="preserve">BALLARD, RAND &amp; MARION </t>
  </si>
  <si>
    <t>MOBILE GLEN 1 LT 9</t>
  </si>
  <si>
    <t>4795 SKAGGS CIR</t>
  </si>
  <si>
    <t xml:space="preserve">ALVAREZ, MARGARITO </t>
  </si>
  <si>
    <t>MOBILE GLEN 1 LT 8</t>
  </si>
  <si>
    <t>4748 W LEONESIO DR</t>
  </si>
  <si>
    <t xml:space="preserve">SAMPSON, PAUL  </t>
  </si>
  <si>
    <t xml:space="preserve">4748 W LEONESIO DR </t>
  </si>
  <si>
    <t>MOBILE GLEN 1 LT 30</t>
  </si>
  <si>
    <t>460 LEOPARD LILLY CT</t>
  </si>
  <si>
    <t>SUN VALLEY VIEW EST</t>
  </si>
  <si>
    <t xml:space="preserve">HOWELL 2009 TRUST, DUANE LEE  </t>
  </si>
  <si>
    <t>PO BOX 4096</t>
  </si>
  <si>
    <t xml:space="preserve">COOPER, JEANNE A  </t>
  </si>
  <si>
    <t>SUN VALLEY VIEW EST LT 15</t>
  </si>
  <si>
    <t>4940 SAGUARO DR</t>
  </si>
  <si>
    <t>GARCIA, CINDY S et al</t>
  </si>
  <si>
    <t xml:space="preserve">LEO ROSSOW LLC </t>
  </si>
  <si>
    <t>MACKY HEIGHTS LT 19 BLK B</t>
  </si>
  <si>
    <t>160 W 1ST AVE</t>
  </si>
  <si>
    <t xml:space="preserve">ROSS TRUST, JAMES C   </t>
  </si>
  <si>
    <t xml:space="preserve">6326 LIBERTY CHAPEL RD </t>
  </si>
  <si>
    <t>SC</t>
  </si>
  <si>
    <t>ROSS PARK EST LT 25 BLK A</t>
  </si>
  <si>
    <t>4901 SUN VALLEY BLVD</t>
  </si>
  <si>
    <t>RS 4842</t>
  </si>
  <si>
    <t xml:space="preserve">ESTRADA, JOSE P  </t>
  </si>
  <si>
    <t>PM 1871 LT 4 RS 4842 LT B</t>
  </si>
  <si>
    <t xml:space="preserve">PURDY, RICHARD </t>
  </si>
  <si>
    <t>3885 E LEONESIO DR C-1</t>
  </si>
  <si>
    <t>CLEARACRE GARDEN 2 LT C-1 BLK 3</t>
  </si>
  <si>
    <t xml:space="preserve">HAUKAAS, ANDREW C </t>
  </si>
  <si>
    <t>CLEARACRE GARDEN 2 LT D2 BLK 2</t>
  </si>
  <si>
    <t xml:space="preserve">JARMAD LLC </t>
  </si>
  <si>
    <t>312 W 4TH ST</t>
  </si>
  <si>
    <t xml:space="preserve">FARRAR, ROBERT G &amp; MONICA T </t>
  </si>
  <si>
    <t>CLEARACRE GARDEN 2 LT D2 BLK 8</t>
  </si>
  <si>
    <t xml:space="preserve">NELSON REVOCABLE LIVING TRUST, JAMES D  </t>
  </si>
  <si>
    <t xml:space="preserve">CALDERON, RIGOBERTO &amp; WENDY  </t>
  </si>
  <si>
    <t>CLEARACRE GARDEN 2 LT F1 BLK 4</t>
  </si>
  <si>
    <t>3855 E LEONESIO WAY</t>
  </si>
  <si>
    <t xml:space="preserve">ALFORD REVOCABLE LIVING TRUST, DON &amp; RUTH  </t>
  </si>
  <si>
    <t>2196 PEBBLE BEACH CIR</t>
  </si>
  <si>
    <t xml:space="preserve">OTTER CLIFFS LLC </t>
  </si>
  <si>
    <t>CLEARACRE GARDEN 2 UNIT A2 BLG 5</t>
  </si>
  <si>
    <t xml:space="preserve">NOTT, JUSTIN </t>
  </si>
  <si>
    <t>3870 E LEONESIO WAY G2</t>
  </si>
  <si>
    <t>CLEARACRE GARDEN 2  LT G2 BLDG 6</t>
  </si>
  <si>
    <t xml:space="preserve">GONZALEZ, KRISTINA </t>
  </si>
  <si>
    <t xml:space="preserve">4535 CHINA ROSE CIR </t>
  </si>
  <si>
    <t>CLEARACRE GARDEN 2 LT H2 BLK 6</t>
  </si>
  <si>
    <t>3880 E LEONESIO DR</t>
  </si>
  <si>
    <t>CLEARACRE GARDEN 2 LT C2 BLK 7</t>
  </si>
  <si>
    <t>3430 N TRUCKEE LN</t>
  </si>
  <si>
    <t>PM 2782</t>
  </si>
  <si>
    <t>STONE , DAVID &amp; MARLINA  et al</t>
  </si>
  <si>
    <t>WASHOE COUNTY TREASURER TTEE</t>
  </si>
  <si>
    <t xml:space="preserve">5081 CHAPPELET DR </t>
  </si>
  <si>
    <t>MCMAHON, PATRICIA et al</t>
  </si>
  <si>
    <t>035-300-96</t>
  </si>
  <si>
    <t>PM 2782 LT 2</t>
  </si>
  <si>
    <t>1012 SUNNYBROOK LN</t>
  </si>
  <si>
    <t>SHADOWBROOK</t>
  </si>
  <si>
    <t xml:space="preserve">MARTINEZ, DIANA A  </t>
  </si>
  <si>
    <t xml:space="preserve">1012 SUNNYBROOK LN </t>
  </si>
  <si>
    <t>SHADOWBROOK LT 13 BLK A</t>
  </si>
  <si>
    <t>4659 CLEM CIR</t>
  </si>
  <si>
    <t xml:space="preserve">CANO-CARRASCO, PEDRO </t>
  </si>
  <si>
    <t>MOBILE GLEN 2 LT 6</t>
  </si>
  <si>
    <t>4820 RAMPION WAY</t>
  </si>
  <si>
    <t>LUDDY, DEBRA L et al</t>
  </si>
  <si>
    <t>HIGH COUNTRY LT 8 BLK 5</t>
  </si>
  <si>
    <t>4850 RAMPION WAY</t>
  </si>
  <si>
    <t xml:space="preserve">MACIAS, REFUGIO  </t>
  </si>
  <si>
    <t xml:space="preserve">4850 RAMPION WAY </t>
  </si>
  <si>
    <t>HIGH COUNTRY LT 5 BLK 5</t>
  </si>
  <si>
    <t>360 SUGAR HILL DR</t>
  </si>
  <si>
    <t>HIGH COUNTRY LT 26 BLK 5</t>
  </si>
  <si>
    <t>140 LOFTY VIEW DR</t>
  </si>
  <si>
    <t xml:space="preserve">GONZALEZ, ERNESTO D  </t>
  </si>
  <si>
    <t xml:space="preserve">294 E 9TH AVE </t>
  </si>
  <si>
    <t xml:space="preserve">VANDERBILT MTG &amp; FINANCE INC </t>
  </si>
  <si>
    <t>HIGH COUNTRY SUB LT 21 BLK 5</t>
  </si>
  <si>
    <t>125 LOFTY VIEW DR</t>
  </si>
  <si>
    <t>HIGH COUNTRY LT 31 BLK 6</t>
  </si>
  <si>
    <t>190 SUGAR HILL DR</t>
  </si>
  <si>
    <t>RUEL, DOMINGO M  et al</t>
  </si>
  <si>
    <t>BROWN, SUSAN et al</t>
  </si>
  <si>
    <t>HIGH COUNTRY LT 35 BLK 6</t>
  </si>
  <si>
    <t>130 SUGAR HILL DR</t>
  </si>
  <si>
    <t xml:space="preserve">KAPPERMAN, RICHARD J </t>
  </si>
  <si>
    <t>HIGH COUNTRY LT 41 BLK 6</t>
  </si>
  <si>
    <t>105 SUGAR HILL DR</t>
  </si>
  <si>
    <t xml:space="preserve">JIMINEZ, MARIA M  </t>
  </si>
  <si>
    <t xml:space="preserve">105 SUGAR HILL DR </t>
  </si>
  <si>
    <t>HIGH COUNTRY LT 71 BLK 4</t>
  </si>
  <si>
    <t>165 SUGAR HILL DR</t>
  </si>
  <si>
    <t xml:space="preserve">POUND, THOMAS E </t>
  </si>
  <si>
    <t>HIGH COUNTRY LT 65 BLK 4</t>
  </si>
  <si>
    <t>215 SUGAR HILL DR</t>
  </si>
  <si>
    <t>CARRANZA-PADILLA, VILMA A et al</t>
  </si>
  <si>
    <t xml:space="preserve">SILVA, ALEJANDRO </t>
  </si>
  <si>
    <t>HIGH COUNTRY LT 60 BLK 4</t>
  </si>
  <si>
    <t>265 SUGAR HILL DR</t>
  </si>
  <si>
    <t>HIGH COUNTRY LT 55 BLK 4</t>
  </si>
  <si>
    <t>3205 RENO VISTA DR</t>
  </si>
  <si>
    <t>PANORAMA VILLAGE AMD</t>
  </si>
  <si>
    <t xml:space="preserve">PANORAMA VILLAGE CONDOMINIUMS </t>
  </si>
  <si>
    <t>LIMITED PARTNERSHIP</t>
  </si>
  <si>
    <t xml:space="preserve">PANORAMA VILLAGE AMD LT 4 BLK 8-23 </t>
  </si>
  <si>
    <t>1414 STRATUS CT</t>
  </si>
  <si>
    <t>SATELLITE HILLS SUB UT 1</t>
  </si>
  <si>
    <t xml:space="preserve">KNOLL, ROBERT &amp; CONSTANCE V </t>
  </si>
  <si>
    <t xml:space="preserve">MARX, DAVID SR &amp; BETTY </t>
  </si>
  <si>
    <t>SATELLITE HILLS 1 LT 38 BLK D</t>
  </si>
  <si>
    <t>1362 SATELLITE DR</t>
  </si>
  <si>
    <t xml:space="preserve">PIMPL, MARCY  </t>
  </si>
  <si>
    <t>KULESZA, TERESA A et al</t>
  </si>
  <si>
    <t>SATELLITE HILLS 1 LT 49 BLK D</t>
  </si>
  <si>
    <t>1381 SATELLITE DR</t>
  </si>
  <si>
    <t xml:space="preserve">RIDDLE, JENNIFER E </t>
  </si>
  <si>
    <t xml:space="preserve">1381 SATELLITE DR   </t>
  </si>
  <si>
    <t xml:space="preserve">PICKETT, BETTY JO </t>
  </si>
  <si>
    <t>SATELLITE HILLS 1 LT 21 BLK B</t>
  </si>
  <si>
    <t>1403 SATELLITE DR</t>
  </si>
  <si>
    <t xml:space="preserve">DURHAM, JOSHUA D &amp; BRANDI </t>
  </si>
  <si>
    <t xml:space="preserve">WHITAKER TRUST, STEVEN D  </t>
  </si>
  <si>
    <t>SATELLITE HILLS 1 LT 24 BLK B</t>
  </si>
  <si>
    <t>4515 WHITNEY CIR</t>
  </si>
  <si>
    <t xml:space="preserve">HASKEW, KEVIN D &amp; LEANNE D </t>
  </si>
  <si>
    <t xml:space="preserve">WADSWORTH, DONALD P </t>
  </si>
  <si>
    <t>WILLOW CREEK WEST 1 LT 40 BLK B</t>
  </si>
  <si>
    <t>4345 WHITNEY CIR</t>
  </si>
  <si>
    <t xml:space="preserve">RUPPERT, DARON L &amp; ASHLEY  </t>
  </si>
  <si>
    <t xml:space="preserve">RUPPERT, DARON L  </t>
  </si>
  <si>
    <t>WILLOW CREEK WEST 1 LT 64 BLK E</t>
  </si>
  <si>
    <t>4588 WHITNEY CIR</t>
  </si>
  <si>
    <t xml:space="preserve">HARTMANN, MARK A &amp; BRENDA L </t>
  </si>
  <si>
    <t xml:space="preserve">HERALD FAMILY TRUST  </t>
  </si>
  <si>
    <t>WILLOW CREEK WEST 1 LT 26 BLK A</t>
  </si>
  <si>
    <t>4378 GARRATT CIR</t>
  </si>
  <si>
    <t>WILLOW CREEK WEST 2</t>
  </si>
  <si>
    <t xml:space="preserve">AGUIRRE, HERMAN </t>
  </si>
  <si>
    <t xml:space="preserve">4378 GARRATT CIR </t>
  </si>
  <si>
    <t>WILLOW CREEK WEST 2A LT 11 BLK A</t>
  </si>
  <si>
    <t>915 BERNICE CT</t>
  </si>
  <si>
    <t xml:space="preserve">KNOWLES, ENOCH O IV </t>
  </si>
  <si>
    <t>FIRANZI, DELORES et al</t>
  </si>
  <si>
    <t>SHADOWBROOK NORTH FR LT10 BLK A</t>
  </si>
  <si>
    <t>990 TERESA PL</t>
  </si>
  <si>
    <t>BUSSEY, JEANETTE L  et al</t>
  </si>
  <si>
    <t>PARRISH, GLENN C et al</t>
  </si>
  <si>
    <t>VINTAGE HILLS 1 LT 34 BLK B</t>
  </si>
  <si>
    <t>835 VIVIAN DR</t>
  </si>
  <si>
    <t xml:space="preserve">COX, RONALD D &amp; KAREN A </t>
  </si>
  <si>
    <t xml:space="preserve">WACHOVIA MORTGAGE FSB FKA </t>
  </si>
  <si>
    <t>VINTAGE HILLS 2 LT 89 BLK D</t>
  </si>
  <si>
    <t>3266 QUAIL LANDING CT</t>
  </si>
  <si>
    <t>NORTHERN SKYE PROPERTIES LLC</t>
  </si>
  <si>
    <t>PO BOX 637</t>
  </si>
  <si>
    <t>QUAIL LANDING LT 14</t>
  </si>
  <si>
    <t>3322 QUAIL LANDING CT</t>
  </si>
  <si>
    <t>QUAIL LANDING LT 10</t>
  </si>
  <si>
    <t>3336 QUAIL LANDING CT</t>
  </si>
  <si>
    <t>QUAIL LANDING LT 9</t>
  </si>
  <si>
    <t>3350 QUAIL LANDING CT</t>
  </si>
  <si>
    <t>QUAIL LANDING LT 8</t>
  </si>
  <si>
    <t>3353 QUAIL LANDING CT</t>
  </si>
  <si>
    <t>QUAIL LANDING LT 7</t>
  </si>
  <si>
    <t>3339 QUAIL LANDING CT</t>
  </si>
  <si>
    <t>QUAIL LANDING LT 6</t>
  </si>
  <si>
    <t>3325 QUAIL LANDING CT</t>
  </si>
  <si>
    <t xml:space="preserve">BROWN, RICHARD &amp; LISA </t>
  </si>
  <si>
    <t>7626 BADELONA CT</t>
  </si>
  <si>
    <t>QUAIL LANDING LT 5</t>
  </si>
  <si>
    <t>3283 QUAIL LANDING CT</t>
  </si>
  <si>
    <t>QUAIL LANDING LT 2</t>
  </si>
  <si>
    <t>3267 QUAIL LANDING CT</t>
  </si>
  <si>
    <t>QUAIL LANDING LT 1</t>
  </si>
  <si>
    <t>2075 MATTEONI DR</t>
  </si>
  <si>
    <t xml:space="preserve">ALSUM, JASON  </t>
  </si>
  <si>
    <t xml:space="preserve">2075 MATTEONI DR </t>
  </si>
  <si>
    <t>SIERRA MEADOWS 6 LT 129</t>
  </si>
  <si>
    <t>1805 HOWARD DR</t>
  </si>
  <si>
    <t>SIERRA MEADOWS 6 LT 84</t>
  </si>
  <si>
    <t>1903 LA HACIENDA DR</t>
  </si>
  <si>
    <t>SIERRA MEADOWS 6 LT 58</t>
  </si>
  <si>
    <t>2170 HOWARD DR</t>
  </si>
  <si>
    <t xml:space="preserve">HUDSPETH, LOGAN  </t>
  </si>
  <si>
    <t xml:space="preserve">MAYVILLE LIVING TRUST, STEPHEN &amp; ANNE  </t>
  </si>
  <si>
    <t>SIERRA MEADOWS UT 6 LT 70</t>
  </si>
  <si>
    <t>796 GLEN MOLLY DR</t>
  </si>
  <si>
    <t>OJEDA-ALVARADO, JOSE J et al</t>
  </si>
  <si>
    <t xml:space="preserve">TENNANT, DAVID B &amp; ELIZABETH A </t>
  </si>
  <si>
    <t>CENTURY GLEN UNIT NO 1 LOT 9 BLK Q</t>
  </si>
  <si>
    <t>858 E YORK WAY</t>
  </si>
  <si>
    <t xml:space="preserve">GRIST , GREGORY S </t>
  </si>
  <si>
    <t>CENTURY GLEN 1 LT 6 BLK D</t>
  </si>
  <si>
    <t>886 GLEN MOLLY DR</t>
  </si>
  <si>
    <t xml:space="preserve">HONEYMAN, JAMES D </t>
  </si>
  <si>
    <t xml:space="preserve">886 GLEN MOLLY DR </t>
  </si>
  <si>
    <t>CENTURY GLEN 1 LT 27 BLK E</t>
  </si>
  <si>
    <t>860 GLEN MOLLY DR</t>
  </si>
  <si>
    <t xml:space="preserve">PALMER, VERONICA </t>
  </si>
  <si>
    <t xml:space="preserve">860 GLEN MOLLY DR </t>
  </si>
  <si>
    <t>CENTURY GLEN UT 1 LT 23 BLK E</t>
  </si>
  <si>
    <t>831 GLEN MOLLY DR</t>
  </si>
  <si>
    <t xml:space="preserve">HESSON , ALEXANDRA A  </t>
  </si>
  <si>
    <t xml:space="preserve">831 GLEN MOLLY DR </t>
  </si>
  <si>
    <t>CENTURY GLEN 1 LT 10 BLK F</t>
  </si>
  <si>
    <t>853 GLEN MOLLY DR</t>
  </si>
  <si>
    <t>CENTURY GLEN UNIT NO 1 LOT 7 BLK F</t>
  </si>
  <si>
    <t>877 GLEN MOLLY DR</t>
  </si>
  <si>
    <t xml:space="preserve">PALMA, HELEN D </t>
  </si>
  <si>
    <t xml:space="preserve">AUFDENKAMP, DON W </t>
  </si>
  <si>
    <t>CENTURY GLEN 1 LT 4 BLK F</t>
  </si>
  <si>
    <t>885 GLEN MOLLY DR</t>
  </si>
  <si>
    <t xml:space="preserve">PADILLA, ROGELIO G  </t>
  </si>
  <si>
    <t xml:space="preserve">885 GLEN MOLLY DR </t>
  </si>
  <si>
    <t>CENTURY GLEN 1 LT 3 BLK F</t>
  </si>
  <si>
    <t>2220 GLEN VISTA DR</t>
  </si>
  <si>
    <t>VARGAS, GABRIEL et al</t>
  </si>
  <si>
    <t>SIERRA MEADOWS 6 LT 99</t>
  </si>
  <si>
    <t>2216 HOWARD DR</t>
  </si>
  <si>
    <t>CENTURY GLEN 3 LT 5 BLK N</t>
  </si>
  <si>
    <t>2208 HOWARD DR</t>
  </si>
  <si>
    <t xml:space="preserve">HENDERSON, WILLIAM </t>
  </si>
  <si>
    <t>CENTURY GLEN 3 LT 6 BLK N</t>
  </si>
  <si>
    <t>2300 HOWARD DR</t>
  </si>
  <si>
    <t xml:space="preserve">MUNOZ, JOSE M R </t>
  </si>
  <si>
    <t>CENTURY GLEN 3 LT 19 BLK H</t>
  </si>
  <si>
    <t>2363 WILLIAM MORBY DR</t>
  </si>
  <si>
    <t xml:space="preserve">MEYER, WILLIAM C &amp; MARTHA J </t>
  </si>
  <si>
    <t xml:space="preserve">CRONIN, JEFFREY M &amp; LISA M </t>
  </si>
  <si>
    <t>CENTURY GLEN 3 LT 11 BLK H</t>
  </si>
  <si>
    <t>2343 WILLIAM MORBY DR</t>
  </si>
  <si>
    <t>CENTURY GLEN UNIT NO 3</t>
  </si>
  <si>
    <t>LANDRETH, DAVID W et al</t>
  </si>
  <si>
    <t xml:space="preserve">WILLIAM MORBY TRUST #2343  </t>
  </si>
  <si>
    <t>CENTURY GLEN 3 LT 7 BLK H</t>
  </si>
  <si>
    <t>1031 JASON DR</t>
  </si>
  <si>
    <t>HILBERG, ROBERT C  et al</t>
  </si>
  <si>
    <t xml:space="preserve">FOSTER, HOWARD J &amp; HEATHER S </t>
  </si>
  <si>
    <t>CENTURY GLEN 3 LT 2 BLK M</t>
  </si>
  <si>
    <t>780 GLEN VISTA DR</t>
  </si>
  <si>
    <t>4820 W HIDDEN VALLEY DR</t>
  </si>
  <si>
    <t>CENTURY GLEN 2 LT 13 BLK B</t>
  </si>
  <si>
    <t>856 GLEN VALLEY DR</t>
  </si>
  <si>
    <t>TORRES, MARIA E  et al</t>
  </si>
  <si>
    <t>CENTURY GLEN 2 LT 7 BLK C</t>
  </si>
  <si>
    <t>1747 HOWARD CT</t>
  </si>
  <si>
    <t xml:space="preserve">MARTINEZ, MARISOL </t>
  </si>
  <si>
    <t xml:space="preserve">1747 HOWARD CT </t>
  </si>
  <si>
    <t>SIERRA MEADOWS 4 LT 27</t>
  </si>
  <si>
    <t>858 LA LINDA VISTA DR</t>
  </si>
  <si>
    <t xml:space="preserve">CARRILLO-GARCIA, MARTHA C  </t>
  </si>
  <si>
    <t xml:space="preserve">858 LA LINDA VISTA DR </t>
  </si>
  <si>
    <t>SIERRA MEADOWS 4 LT 55</t>
  </si>
  <si>
    <t>904 E GREENBRAE DR</t>
  </si>
  <si>
    <t xml:space="preserve">PANNING, AURA R  </t>
  </si>
  <si>
    <t>904 E GREENBRAE</t>
  </si>
  <si>
    <t>SIERRA MEADOWS 4 LT 62</t>
  </si>
  <si>
    <t>791 DESERT VIEW CT</t>
  </si>
  <si>
    <t xml:space="preserve">DECELL, AMANDA N </t>
  </si>
  <si>
    <t>SIERRA MEADOWS 7 LT 8</t>
  </si>
  <si>
    <t>800 DESERT VIEW DR</t>
  </si>
  <si>
    <t xml:space="preserve">WESTBROOK, TERRY W </t>
  </si>
  <si>
    <t>SIERRA MEADOWS 4 LT 68</t>
  </si>
  <si>
    <t>845 SAGE VIEW DR</t>
  </si>
  <si>
    <t xml:space="preserve">CARR, PEGGY J  </t>
  </si>
  <si>
    <t xml:space="preserve">845 SAGEVIEW DR </t>
  </si>
  <si>
    <t xml:space="preserve">PANISSIDI, NICHOLAS L </t>
  </si>
  <si>
    <t>SIERRA MEADOWS UT 4 LT 93</t>
  </si>
  <si>
    <t>975 SAGE VIEW DR</t>
  </si>
  <si>
    <t>DAVIDSON, JERED et al</t>
  </si>
  <si>
    <t>FERCHI, MONICA et al</t>
  </si>
  <si>
    <t>SIERRA MEADOWS 4 LT 86</t>
  </si>
  <si>
    <t>868 O`CALLAGHAN DR</t>
  </si>
  <si>
    <t xml:space="preserve">LYNCH, MATTHEW </t>
  </si>
  <si>
    <t>PO BOX 3481</t>
  </si>
  <si>
    <t>SIERRA MEADOWS 4 LT 98</t>
  </si>
  <si>
    <t>977 RIO VISTA DR</t>
  </si>
  <si>
    <t xml:space="preserve">DUNHAM, DAVID W </t>
  </si>
  <si>
    <t>6000 WINNEMUCCA RANCH RD</t>
  </si>
  <si>
    <t>GREENE, EDWARD B et al</t>
  </si>
  <si>
    <t>SIERRA MEADOWS 5A LT 71</t>
  </si>
  <si>
    <t>1601 BONITA VISTA DR</t>
  </si>
  <si>
    <t xml:space="preserve">FENTON, HILLARY  </t>
  </si>
  <si>
    <t xml:space="preserve">1601 BONITA VISTA DR </t>
  </si>
  <si>
    <t>SIERRA MEADOWS 5A LT 70</t>
  </si>
  <si>
    <t>966 LA SIERRA DR</t>
  </si>
  <si>
    <t xml:space="preserve">MASKALY, MICHAEL F &amp; DOROTHY P </t>
  </si>
  <si>
    <t>555 MOGUL MOUNTAIN</t>
  </si>
  <si>
    <t>SIERRA MEADOWS 5A LT 69</t>
  </si>
  <si>
    <t>1552 BONITA VISTA DR</t>
  </si>
  <si>
    <t xml:space="preserve">BORNHOFT FAMILY TRUST  </t>
  </si>
  <si>
    <t>413 E EMERSON WAY</t>
  </si>
  <si>
    <t>HANSON, KELLI et al</t>
  </si>
  <si>
    <t>SIERRA MEADOWS 5A LT 54</t>
  </si>
  <si>
    <t>909 MESA RIDGE DR</t>
  </si>
  <si>
    <t xml:space="preserve">SOUZA, MAURICE J &amp; MARY H  </t>
  </si>
  <si>
    <t>909 MESA RIDGE DR 4</t>
  </si>
  <si>
    <t>WOODSIDE 1 LT 4 BLK B</t>
  </si>
  <si>
    <t>988 MESA RIDGE DR</t>
  </si>
  <si>
    <t xml:space="preserve">HILLARD, ANGELA M </t>
  </si>
  <si>
    <t>988 MESA RIDGE DR APT 3</t>
  </si>
  <si>
    <t xml:space="preserve">MESA RIDGE TRUST # 988  </t>
  </si>
  <si>
    <t>WOODSIDE 1 LT 3 BLK D</t>
  </si>
  <si>
    <t>834 RIDGEWOOD DR</t>
  </si>
  <si>
    <t xml:space="preserve">ELLIS, DANIEL H &amp; LISSANNE M  </t>
  </si>
  <si>
    <t>834 RIDGEWOOD DR # 1</t>
  </si>
  <si>
    <t>WOODSIDE 1 LT 1 BLK N</t>
  </si>
  <si>
    <t>845 RIDGEWOOD DR</t>
  </si>
  <si>
    <t>CUBERO, JORGE et al</t>
  </si>
  <si>
    <t>FONG-CUBERO OLIMPIA</t>
  </si>
  <si>
    <t>845 RIDGEWOOD DR # 2</t>
  </si>
  <si>
    <t>WOODSIDE 1 BLDG 4 LT 2 BLK Q</t>
  </si>
  <si>
    <t>828 WOODGLEN DR</t>
  </si>
  <si>
    <t xml:space="preserve">HERZBERG, JOHNNY R &amp; CAROL J </t>
  </si>
  <si>
    <t>1344 DISC DR #325</t>
  </si>
  <si>
    <t>WOODSIDE 1 LT 2 BLK V</t>
  </si>
  <si>
    <t>839 WOODGLEN DR</t>
  </si>
  <si>
    <t xml:space="preserve">HERZBERG, CAROL </t>
  </si>
  <si>
    <t>1344 DISC DR # 325</t>
  </si>
  <si>
    <t>WOODSIDE 1 LT 3 BLK X</t>
  </si>
  <si>
    <t>957 RIO VISTA DR</t>
  </si>
  <si>
    <t xml:space="preserve">BUCHANAN, BRANDON R </t>
  </si>
  <si>
    <t xml:space="preserve">STEWARD, WILLIAM T &amp; HEATHER M </t>
  </si>
  <si>
    <t>SIERRA MEADOWS 5B LT 75</t>
  </si>
  <si>
    <t>1108 O`CALLAGHAN DR</t>
  </si>
  <si>
    <t xml:space="preserve">BROWN, RONALD L &amp; LORI S </t>
  </si>
  <si>
    <t>5250 TOYON DR</t>
  </si>
  <si>
    <t>SIERRA MEADOWS 5B LT 89</t>
  </si>
  <si>
    <t>1828 RIZZO DR</t>
  </si>
  <si>
    <t xml:space="preserve">MARR, CHRISTOPHER J &amp; CASEY R  </t>
  </si>
  <si>
    <t xml:space="preserve">MARR, CHRISTOPHER J </t>
  </si>
  <si>
    <t>SIERRA MEADOWS 5B LT 139</t>
  </si>
  <si>
    <t>1918 RIZZO DR</t>
  </si>
  <si>
    <t xml:space="preserve">THOMAS, MATTHEW J &amp; MONICA M </t>
  </si>
  <si>
    <t>SIERRA MEADOWS 5B LT 135</t>
  </si>
  <si>
    <t>924 GLEN MEADOW DR</t>
  </si>
  <si>
    <t>CARDONA, CESAR A  et al</t>
  </si>
  <si>
    <t xml:space="preserve">924 GLEN MEADOW DR                      </t>
  </si>
  <si>
    <t xml:space="preserve">ORPIADA, MYRNA P &amp; DANILO A </t>
  </si>
  <si>
    <t>LEWIS HOMES SPARKS 1 LT 2</t>
  </si>
  <si>
    <t>1010 RALPH CT</t>
  </si>
  <si>
    <t xml:space="preserve">HOWE, AARON &amp; AMBER </t>
  </si>
  <si>
    <t>LEWIS HOMES SPARKS 1 LT 36</t>
  </si>
  <si>
    <t>925 E YORK WAY</t>
  </si>
  <si>
    <t xml:space="preserve">JOHNSON, MICHELLE </t>
  </si>
  <si>
    <t>LEWIS HOMES SPARKS 1 LT 53</t>
  </si>
  <si>
    <t>1093 GLEN MOLLY DR</t>
  </si>
  <si>
    <t xml:space="preserve">DELA CUEVA, MICHAEL &amp; ANDREA </t>
  </si>
  <si>
    <t>LEWIS HOMES SPARKS 1 LT 65</t>
  </si>
  <si>
    <t>1044 GLEN MARTIN DR</t>
  </si>
  <si>
    <t xml:space="preserve">GRAHAM, CINDY A </t>
  </si>
  <si>
    <t>1044 GLENN MARTIN DR</t>
  </si>
  <si>
    <t>LEWIS HOMES SPARKS 2 LT 83</t>
  </si>
  <si>
    <t>1004 E GREENBRAE DR</t>
  </si>
  <si>
    <t xml:space="preserve">LARSEN, CYNTHIA K </t>
  </si>
  <si>
    <t>SPANISH SPRINGS LT 79</t>
  </si>
  <si>
    <t>1051 ALTA VISTA DR</t>
  </si>
  <si>
    <t xml:space="preserve">CASTRO, VIVIANA </t>
  </si>
  <si>
    <t>PO BOX 1736</t>
  </si>
  <si>
    <t>SPANISH SPRINGS LT 85</t>
  </si>
  <si>
    <t>1171 ALTA VISTA DR</t>
  </si>
  <si>
    <t xml:space="preserve">WILDE, RANDALL M  </t>
  </si>
  <si>
    <t xml:space="preserve">1171 ALTA VISTA DR </t>
  </si>
  <si>
    <t>SPANISH SPRINGS LT 93</t>
  </si>
  <si>
    <t>1186 LA VIA WAY</t>
  </si>
  <si>
    <t xml:space="preserve">DELEON, JOE A  &amp; TABITHA  </t>
  </si>
  <si>
    <t xml:space="preserve">DELEON, JOE A </t>
  </si>
  <si>
    <t>SPANISH SPRINGS LT 6</t>
  </si>
  <si>
    <t>1191 LOS AMIGOS DR</t>
  </si>
  <si>
    <t xml:space="preserve">EDMUNDS, BRANDI </t>
  </si>
  <si>
    <t xml:space="preserve">SPANISH SPRINGS LT 10 </t>
  </si>
  <si>
    <t>1121 LOS AMIGOS DR</t>
  </si>
  <si>
    <t>MALDONADO, ISIDORO H  et al</t>
  </si>
  <si>
    <t xml:space="preserve">GONZALEZ CLARA M </t>
  </si>
  <si>
    <t xml:space="preserve">828 GLEN MARTIN DR </t>
  </si>
  <si>
    <t>SPANISH SPRINGS LT 16</t>
  </si>
  <si>
    <t>1068 E GREENBRAE DR</t>
  </si>
  <si>
    <t>MONROY-MAGANA, ADONAY A  et al</t>
  </si>
  <si>
    <t xml:space="preserve">MONROY INGRID V </t>
  </si>
  <si>
    <t xml:space="preserve">HOFF, JENNIFER J </t>
  </si>
  <si>
    <t>SPANISH SPRINGS LT 56</t>
  </si>
  <si>
    <t>1093 E GREENBRAE DR</t>
  </si>
  <si>
    <t xml:space="preserve">BARBER, ROBERT A &amp; THERESA A </t>
  </si>
  <si>
    <t xml:space="preserve">KERN, ANGELINA M &amp; JAMES W JR  </t>
  </si>
  <si>
    <t>SPANISH SPRINGS LT 20</t>
  </si>
  <si>
    <t>876 GLENBROOK CT</t>
  </si>
  <si>
    <t xml:space="preserve">MURPHY, SHERRY L </t>
  </si>
  <si>
    <t>JOHNSON, HOUSTON F  et al</t>
  </si>
  <si>
    <t xml:space="preserve">SPANISH SPRINGS #2 LT 64 </t>
  </si>
  <si>
    <t>809 MARRACCO DR</t>
  </si>
  <si>
    <t xml:space="preserve">CORDOVA, VERONICA P </t>
  </si>
  <si>
    <t>SPANISH SPRINGS 2 LT 70</t>
  </si>
  <si>
    <t>1035 MONSON DR</t>
  </si>
  <si>
    <t>LEWIS HOMES SPARKS NO 2</t>
  </si>
  <si>
    <t xml:space="preserve">HENDERSON, RALPH J &amp; VINA E </t>
  </si>
  <si>
    <t>LEWIS HOMES SPARKS NO 2 LOT 145</t>
  </si>
  <si>
    <t>1138 MONSON DR</t>
  </si>
  <si>
    <t xml:space="preserve">VOCHATZER FAMILY TRUST  </t>
  </si>
  <si>
    <t>LEWIS HOMES SPARKS 2 LT 116</t>
  </si>
  <si>
    <t>1058 MONSON DR</t>
  </si>
  <si>
    <t>LEWIS HOMES SPARKS NO 2 LOT 113</t>
  </si>
  <si>
    <t>2354 ROSEMARY DR</t>
  </si>
  <si>
    <t>GARCIA-PACHECO, ROGELIO et al</t>
  </si>
  <si>
    <t>HYATT STACEY M</t>
  </si>
  <si>
    <t>LEWIS HOMES SPARKS 2 LT 135</t>
  </si>
  <si>
    <t xml:space="preserve">EDWARDS, BRENDA S </t>
  </si>
  <si>
    <t xml:space="preserve">855 CHERRY TREE DR # 3 </t>
  </si>
  <si>
    <t>WOODSIDE 2A LT 3 BLK N</t>
  </si>
  <si>
    <t>1150 BROOKTREE DR</t>
  </si>
  <si>
    <t>PARKS, JAMES D  et al</t>
  </si>
  <si>
    <t xml:space="preserve">1150 BROOKTREE DR </t>
  </si>
  <si>
    <t>WOODSIDE 2-A LT 1 BLK C</t>
  </si>
  <si>
    <t xml:space="preserve">STROUPE LIVING TRUST  </t>
  </si>
  <si>
    <t>2748 STARR MEADOWS LOOP</t>
  </si>
  <si>
    <t xml:space="preserve">STROUPE, KEVIN  </t>
  </si>
  <si>
    <t>WOODSIDE 2-A LT 2 BLK B</t>
  </si>
  <si>
    <t xml:space="preserve">NAHAS REV LIVING TRUST, RONALD B  </t>
  </si>
  <si>
    <t>RONALD B NAHAS, TRUSTEE</t>
  </si>
  <si>
    <t>8820 WESTERN SKIES DR</t>
  </si>
  <si>
    <t xml:space="preserve">LONG, DORAIN </t>
  </si>
  <si>
    <t>WOODSIDE 2-A LT 4 BLK F</t>
  </si>
  <si>
    <t>1162 CALVADOS DR</t>
  </si>
  <si>
    <t>CENTURY GLEN 4 FR</t>
  </si>
  <si>
    <t>CENTURY GLEN 4 FR LT 14 BLK I</t>
  </si>
  <si>
    <t>937 SPANISH SPRINGS RD</t>
  </si>
  <si>
    <t xml:space="preserve">927 SPANISH SPRINGS RD </t>
  </si>
  <si>
    <t>SHADOW GLEN EST 1 LT 5</t>
  </si>
  <si>
    <t>1039 PINEWOOD DR</t>
  </si>
  <si>
    <t xml:space="preserve">REILLY, RACHEL A  </t>
  </si>
  <si>
    <t xml:space="preserve">1039 PINEWOOD DR </t>
  </si>
  <si>
    <t>SHADOW GLEN EST 1 LT 108</t>
  </si>
  <si>
    <t>1073 PINEWOOD DR</t>
  </si>
  <si>
    <t xml:space="preserve">CLANCY, KEEGAN J  </t>
  </si>
  <si>
    <t>TIRONA, VICTOR B JR et al</t>
  </si>
  <si>
    <t>SHADOW GLEN EST 1 LT 102</t>
  </si>
  <si>
    <t>2811 FARGO WAY</t>
  </si>
  <si>
    <t>SUAREZ, JUAN A et al</t>
  </si>
  <si>
    <t>LEWIS HOMES SPARKS 3 LT 28</t>
  </si>
  <si>
    <t>2751 FARGO WAY</t>
  </si>
  <si>
    <t xml:space="preserve">BROWN, SUSANNE </t>
  </si>
  <si>
    <t>LEWIS HOMES SPARKS 3 LT 26</t>
  </si>
  <si>
    <t>2651 FARGO WAY</t>
  </si>
  <si>
    <t xml:space="preserve">DORNBACH FAMILY TRUST  </t>
  </si>
  <si>
    <t>LEWIS HOMES SPARKS 3 LT 23</t>
  </si>
  <si>
    <t>1101 GLEN MOLLY CT</t>
  </si>
  <si>
    <t>LEWIS HOMES-SPARKS 3</t>
  </si>
  <si>
    <t xml:space="preserve">BEAN, JANE N </t>
  </si>
  <si>
    <t xml:space="preserve">MARTINEZ, DANIEL &amp; BLENDA </t>
  </si>
  <si>
    <t>LEWIS HOMES SPARKS 3 LT 11</t>
  </si>
  <si>
    <t>1161 GLEN MOLLY CT</t>
  </si>
  <si>
    <t>GRIFFIN, KERI A et al</t>
  </si>
  <si>
    <t xml:space="preserve">KIMMERY, PETER T </t>
  </si>
  <si>
    <t>LEWIS HOMES SPARKS 3 LT 9</t>
  </si>
  <si>
    <t>1191 GLEN MOLLY CT</t>
  </si>
  <si>
    <t xml:space="preserve">BROWN REV LIVING TRUST, SADIE V   </t>
  </si>
  <si>
    <t xml:space="preserve">MILLER, SUSAN </t>
  </si>
  <si>
    <t>LEWIS HOMES SPARKS 3 LT 8</t>
  </si>
  <si>
    <t>2650 FARGO WAY</t>
  </si>
  <si>
    <t>DISIMONE, JESSE R et al</t>
  </si>
  <si>
    <t>JUSTINIANO TRACEY B</t>
  </si>
  <si>
    <t>LEWIS HOMES SPARKS 3 LT 56</t>
  </si>
  <si>
    <t>1048 PAISLEY CT</t>
  </si>
  <si>
    <t xml:space="preserve">THRALLS, MATTHEW N &amp; ALLISON R </t>
  </si>
  <si>
    <t>SPANISH SPRINGS 2 LT 45</t>
  </si>
  <si>
    <t>1040 PAISLEY CT</t>
  </si>
  <si>
    <t>LOVELESS-PASEK TRUST et al</t>
  </si>
  <si>
    <t>2620 WESTVIEW BLVD</t>
  </si>
  <si>
    <t xml:space="preserve">SCARPA, MICHAEL </t>
  </si>
  <si>
    <t>SPANISH SPRINGS 2 LT 44</t>
  </si>
  <si>
    <t>1032 PAISLEY CT</t>
  </si>
  <si>
    <t xml:space="preserve">MERRYMAN, DOUGLAS &amp; THERESA </t>
  </si>
  <si>
    <t xml:space="preserve">PEREOS, STELANI </t>
  </si>
  <si>
    <t>SPANISH SPRINGS 2 LT 43</t>
  </si>
  <si>
    <t>950 ROBBIE WAY</t>
  </si>
  <si>
    <t xml:space="preserve">DOSPUEBLOS, JOSEPH A </t>
  </si>
  <si>
    <t xml:space="preserve">LONG, DANIEL M &amp; SHARON L </t>
  </si>
  <si>
    <t>SPANISH SPRINGS 2 LT 24</t>
  </si>
  <si>
    <t>875 O`CALLAGHAN DR</t>
  </si>
  <si>
    <t xml:space="preserve">CAPLINGER, MICHAEL B &amp; LA`KELEA A </t>
  </si>
  <si>
    <t>565 SPARKS # 266</t>
  </si>
  <si>
    <t>SPANISH SPRINGS 2 LT 10</t>
  </si>
  <si>
    <t>856 PINEWOOD CT</t>
  </si>
  <si>
    <t>SHADOW GLEN 5</t>
  </si>
  <si>
    <t xml:space="preserve">RAMOS, RAMON R &amp; MARICELA </t>
  </si>
  <si>
    <t xml:space="preserve">856 PINEWOOD CT </t>
  </si>
  <si>
    <t xml:space="preserve">MONTGOMERY, RONALD G </t>
  </si>
  <si>
    <t>SHADOW GLEN EST 5 LT 10</t>
  </si>
  <si>
    <t xml:space="preserve">NEW TRUST, JIM  P &amp; CYNDA R  </t>
  </si>
  <si>
    <t>2389 MADRID DR</t>
  </si>
  <si>
    <t>SUNRISE VILLAS AMD LT 54 BLK C</t>
  </si>
  <si>
    <t>1062 BAYWOOD DR</t>
  </si>
  <si>
    <t xml:space="preserve">WARDLAW, JANE </t>
  </si>
  <si>
    <t>11055 BIGHORN DR</t>
  </si>
  <si>
    <t xml:space="preserve">WILLIAMS, SHANNON M </t>
  </si>
  <si>
    <t>SUNRISE VILLAS AMD LT 71 BLK C</t>
  </si>
  <si>
    <t>PO BOX 7436</t>
  </si>
  <si>
    <t>SUNRISE VILLAS AMD LT 92 BLK C</t>
  </si>
  <si>
    <t>1002 BAYWOOD DR</t>
  </si>
  <si>
    <t xml:space="preserve">BARRENCHEA ENTERPRISES INC </t>
  </si>
  <si>
    <t>2925 PINEBOUGH CT</t>
  </si>
  <si>
    <t>SUNRISE VILLAS AMD LT 118 BLK A</t>
  </si>
  <si>
    <t xml:space="preserve">DUFFY, JOSEPH G </t>
  </si>
  <si>
    <t>P O BOX 515</t>
  </si>
  <si>
    <t>SUNRISE VILLAS AMD LT 120 BLK A</t>
  </si>
  <si>
    <t>1005 BAYWOOD DR</t>
  </si>
  <si>
    <t>100 BATHURST CT</t>
  </si>
  <si>
    <t>SUNRISE VILLAS AMD LT 6 BLK C</t>
  </si>
  <si>
    <t xml:space="preserve">MORALES-QUIJANO , JESUS R  </t>
  </si>
  <si>
    <t xml:space="preserve">1005 BAYWOOD DR D </t>
  </si>
  <si>
    <t>SUNRISE VILLAS AMD LT 8 BLK C</t>
  </si>
  <si>
    <t>1029 BAYWOOD DR</t>
  </si>
  <si>
    <t xml:space="preserve">SMITH FAMILY TRUST, PAUL H &amp; JEANNIE P  </t>
  </si>
  <si>
    <t>PAUL H &amp; JEANNIE P SMITH TRUSTEE</t>
  </si>
  <si>
    <t>2610 PLEASANT VIEW PL</t>
  </si>
  <si>
    <t xml:space="preserve">SMITH, PAUL H &amp; JEANNIE P </t>
  </si>
  <si>
    <t>SUNRISE VILLAS AMD LT 29 BLK B</t>
  </si>
  <si>
    <t xml:space="preserve">HAWKINS, MICHELE K </t>
  </si>
  <si>
    <t>1029 BAYWOOD DR C</t>
  </si>
  <si>
    <t>SUNRISE VILLAS AMD LT 30 BLK B</t>
  </si>
  <si>
    <t>1031 BAYWOOD DR</t>
  </si>
  <si>
    <t xml:space="preserve">SHIREY, DONNA J  </t>
  </si>
  <si>
    <t>1031 BAYWOOD DR # A</t>
  </si>
  <si>
    <t xml:space="preserve">DRAPER, NOREEN J </t>
  </si>
  <si>
    <t>SUNRISE VILLAS AMD LT 36 BLK B</t>
  </si>
  <si>
    <t>SUNRISE VILLAS BLDG B</t>
  </si>
  <si>
    <t xml:space="preserve">FENWICK, RAY &amp; SHERRY  </t>
  </si>
  <si>
    <t>1041 BAYWOOD DR # 10</t>
  </si>
  <si>
    <t>SIU, ANGUS et al</t>
  </si>
  <si>
    <t>SUNRISE VILLAS AMD LT 46 BLK B</t>
  </si>
  <si>
    <t>1039 BRADLEY SQ</t>
  </si>
  <si>
    <t xml:space="preserve">MARTIN FAMILY LIVING TRUST  </t>
  </si>
  <si>
    <t>410 VERONICA AVE</t>
  </si>
  <si>
    <t>BARING SQUARE LT 20 BLK 3</t>
  </si>
  <si>
    <t>1075 BRADLEY SQ</t>
  </si>
  <si>
    <t xml:space="preserve">LOVE, JOSEPH M </t>
  </si>
  <si>
    <t>PO BOX 5003</t>
  </si>
  <si>
    <t>89513-5003</t>
  </si>
  <si>
    <t xml:space="preserve">LOWERY, JOAN L </t>
  </si>
  <si>
    <t>BARING SQUARE LT 38 BLK 5</t>
  </si>
  <si>
    <t>1101 BRADLEY SQ</t>
  </si>
  <si>
    <t>LEE, RONALD L &amp; JACI R et al</t>
  </si>
  <si>
    <t>4555 GOODWIN RD</t>
  </si>
  <si>
    <t>BARING SQUARE LT 51 BLK 5</t>
  </si>
  <si>
    <t>1109 BRADLEY SQ</t>
  </si>
  <si>
    <t xml:space="preserve">JAYO LIVING TRUST, RAYMOND  </t>
  </si>
  <si>
    <t>1290 TACOMA WAY</t>
  </si>
  <si>
    <t xml:space="preserve">JAYO, RAYMOND </t>
  </si>
  <si>
    <t xml:space="preserve">BARING SQUARE LT 55 BLK 5 </t>
  </si>
  <si>
    <t>1014 BRADLEY SQ</t>
  </si>
  <si>
    <t xml:space="preserve">FURST, STEPHANIE R </t>
  </si>
  <si>
    <t xml:space="preserve">1014 BRADLEY SQ                         </t>
  </si>
  <si>
    <t>BARING SQUARE LT 76 BLK 7</t>
  </si>
  <si>
    <t>1016 BRADLEY SQ</t>
  </si>
  <si>
    <t xml:space="preserve">GARIBAY-MORA, DELIA </t>
  </si>
  <si>
    <t>BARING SQUARE LT 77 BLK 7</t>
  </si>
  <si>
    <t>1062 BRADLEY SQ</t>
  </si>
  <si>
    <t xml:space="preserve">ARENAS, JUANA M F </t>
  </si>
  <si>
    <t>BARING SQUARE LT 89 BLK 8</t>
  </si>
  <si>
    <t>3106 BRISTLE BRANCH DR</t>
  </si>
  <si>
    <t>BRISTLE CONE COND UNIT B</t>
  </si>
  <si>
    <t>MORLAN, DALE L et al</t>
  </si>
  <si>
    <t xml:space="preserve">MORLAN, DALE L </t>
  </si>
  <si>
    <t>BRISTLE CONE CONDOMINIUMS LT 2B BLK A</t>
  </si>
  <si>
    <t>3118 BRISTLE BRANCH DR</t>
  </si>
  <si>
    <t xml:space="preserve">DE LARWELLE, DOLORES </t>
  </si>
  <si>
    <t xml:space="preserve">GONZALEZ, LINDA S  </t>
  </si>
  <si>
    <t>BRISTLE CONE CONDOMINIUMS LT 19 BLK C</t>
  </si>
  <si>
    <t>3196 BRISTLE BRANCH DR</t>
  </si>
  <si>
    <t xml:space="preserve">NICKELSON, ROBERT R &amp; TRACY  </t>
  </si>
  <si>
    <t xml:space="preserve">4689 CAMPOS LN </t>
  </si>
  <si>
    <t xml:space="preserve">WINTERS </t>
  </si>
  <si>
    <t>95694</t>
  </si>
  <si>
    <t xml:space="preserve">DAFOE REVOCABLE LIVING TRUST, MARILYNN A  </t>
  </si>
  <si>
    <t>BRISTLE CONE CONDOMINIUMS LT 66A BLK L</t>
  </si>
  <si>
    <t>3212 BRISTLE BRANCH DR</t>
  </si>
  <si>
    <t xml:space="preserve">EVERETT, JIM &amp; SANDRA </t>
  </si>
  <si>
    <t xml:space="preserve">ROBERTS, JEREMY </t>
  </si>
  <si>
    <t>BRISTLE CONE CONDOMINIUMS LT 70A BLK M</t>
  </si>
  <si>
    <t>3230 BRISTLE BRANCH DR</t>
  </si>
  <si>
    <t>BRISTLE CONE CONDOMINIUMS LT 74B BLK M</t>
  </si>
  <si>
    <t>3218 BRISTLE BRANCH DR</t>
  </si>
  <si>
    <t xml:space="preserve">MILLER, ADRIEN G </t>
  </si>
  <si>
    <t>BRISTLE CONE CONDOMINIUMS LT 71B BLK M</t>
  </si>
  <si>
    <t>3188 INDEPENDENT CT</t>
  </si>
  <si>
    <t>PALMWOOD</t>
  </si>
  <si>
    <t xml:space="preserve">RAMOS, JESUS MARQUEZ JR </t>
  </si>
  <si>
    <t>PALMWOOD 1 LT 2 BLK A</t>
  </si>
  <si>
    <t>1207 PULLMAN DR</t>
  </si>
  <si>
    <t>WILLOW CREEK STATION #1</t>
  </si>
  <si>
    <t xml:space="preserve">BROWN, ROBERT L &amp; TAMI  </t>
  </si>
  <si>
    <t xml:space="preserve">BROWN, ROBERT L &amp; TAMI L </t>
  </si>
  <si>
    <t>WILLOW CREEK STATION 1 LT 5 BLK A</t>
  </si>
  <si>
    <t>1309 PULLMAN DR</t>
  </si>
  <si>
    <t>YBARRA, KATHERINE et al</t>
  </si>
  <si>
    <t>MENEZES DEREK</t>
  </si>
  <si>
    <t xml:space="preserve">WORTHEN, BRYON W &amp; KERI A </t>
  </si>
  <si>
    <t>WILLOW CREEK STATION 1 LT 35 BLK D</t>
  </si>
  <si>
    <t>1281 PULLMAN CT</t>
  </si>
  <si>
    <t xml:space="preserve">COURTNEY FAMILY TRUST, LESTER J &amp; CHARLENE J  </t>
  </si>
  <si>
    <t xml:space="preserve">COURTNEY, CHARLENE J </t>
  </si>
  <si>
    <t>WILLOW CREEK STATION 1 LT 47 BLK D</t>
  </si>
  <si>
    <t>1279 JUNCTION DR</t>
  </si>
  <si>
    <t xml:space="preserve">VASQUEZ, RIVERA </t>
  </si>
  <si>
    <t>WILLOW CREEK STATION 1 LT 75 BLK E</t>
  </si>
  <si>
    <t>1310 COACHMAN CT</t>
  </si>
  <si>
    <t xml:space="preserve">MORAN, LUIS </t>
  </si>
  <si>
    <t>WILLOW CREEK STATION 2 LT 32 BLK B</t>
  </si>
  <si>
    <t>1381 COUPLER CT</t>
  </si>
  <si>
    <t>WILLOW CRK STN 2</t>
  </si>
  <si>
    <t xml:space="preserve">CAREY, SCOTT </t>
  </si>
  <si>
    <t>WILLOW CREEK STATION 2 LT 109 BLK D</t>
  </si>
  <si>
    <t>1721 BURNSIDE DR</t>
  </si>
  <si>
    <t xml:space="preserve">LINN, JENNIFER A  </t>
  </si>
  <si>
    <t xml:space="preserve">1721 BURNSIDE DR </t>
  </si>
  <si>
    <t xml:space="preserve">SMITH, SCOTT D &amp; FAITH A </t>
  </si>
  <si>
    <t>LEWIS HOMES SPARKS 12A LT 38 BLK C</t>
  </si>
  <si>
    <t>1720 BURNSIDE DR</t>
  </si>
  <si>
    <t xml:space="preserve">CASTELLANOS-GUTIERREZ, JOSE J </t>
  </si>
  <si>
    <t>LEWIS HOMES SPARKS 12A LT 3 BLK B</t>
  </si>
  <si>
    <t>1711 FARGO WAY</t>
  </si>
  <si>
    <t xml:space="preserve">ELLIS, LAURIE J </t>
  </si>
  <si>
    <t xml:space="preserve">PENDLETON FAMILY TRUST, BRUCE &amp; ANNE </t>
  </si>
  <si>
    <t>LEWIS HOMES SPARKS 12B LT 25 BLK E</t>
  </si>
  <si>
    <t>1634 SABATINO DR</t>
  </si>
  <si>
    <t xml:space="preserve">OLDS, MARINA </t>
  </si>
  <si>
    <t xml:space="preserve">CRISP, DAVID &amp; KERRY </t>
  </si>
  <si>
    <t>LEWIS HOMES SPARKS 12B LT 33 BLK E</t>
  </si>
  <si>
    <t>1408 EXPRESS ST</t>
  </si>
  <si>
    <t>LEWIS HOMES SPARKS UT 12-</t>
  </si>
  <si>
    <t xml:space="preserve">ROCKRIVER TRUST  </t>
  </si>
  <si>
    <t>PO BOX 50502</t>
  </si>
  <si>
    <t xml:space="preserve">ROCKRIVER, WILLIAM A &amp; SUSANNE K Y </t>
  </si>
  <si>
    <t>LEWIS HOMES SPARKS 12B LT 49 BLK G</t>
  </si>
  <si>
    <t>1349 KENDAL CT</t>
  </si>
  <si>
    <t xml:space="preserve">RIMINGTON, KENT &amp; KELLEEN  </t>
  </si>
  <si>
    <t xml:space="preserve">1349 KENDAL CT </t>
  </si>
  <si>
    <t xml:space="preserve">ALEXANDER, CHRISTINE R </t>
  </si>
  <si>
    <t>LEWIS HOMES SPARKS 12C LT 119 BLK H</t>
  </si>
  <si>
    <t>1277 EXPRESS ST</t>
  </si>
  <si>
    <t>LEWIS HOMES SPARKS 12E</t>
  </si>
  <si>
    <t>LEWIS HOMES SPARKS 12E LT 224 BLK K</t>
  </si>
  <si>
    <t>1259 SKYLARK ST</t>
  </si>
  <si>
    <t xml:space="preserve">WOODS, JERRY M &amp; JENNIFER L </t>
  </si>
  <si>
    <t>LEWIS HOMES SPARKS 12P LT 925 BLK K</t>
  </si>
  <si>
    <t>1280 KENDAL CT</t>
  </si>
  <si>
    <t xml:space="preserve">SIKDER, SEPO </t>
  </si>
  <si>
    <t>LEWIS HOMES SPARKS 12D LT 414 BLK H</t>
  </si>
  <si>
    <t>1306 EXPRESS ST</t>
  </si>
  <si>
    <t>LEWIS HOMES-SPARKS 12-E</t>
  </si>
  <si>
    <t xml:space="preserve">BARAJAS, GERARDO &amp; VIRGINIA </t>
  </si>
  <si>
    <t xml:space="preserve">HORAN, CHERYL </t>
  </si>
  <si>
    <t>LEWIS HOMES SPARKS 12E LT 208 BLK G</t>
  </si>
  <si>
    <t>1322 EXPRESS ST</t>
  </si>
  <si>
    <t>MELARA, LILIAN C ORTIZ et al</t>
  </si>
  <si>
    <t xml:space="preserve">1322 EXPRESS ST </t>
  </si>
  <si>
    <t xml:space="preserve">SISCO, TRACY A </t>
  </si>
  <si>
    <t>LEWIS HOMES SPARKS 12E LT 204 BLK G</t>
  </si>
  <si>
    <t>1421 ALVIN CT</t>
  </si>
  <si>
    <t>LEWIS HOMES-SPARKS 12D</t>
  </si>
  <si>
    <t xml:space="preserve">MADERA, NELLIE </t>
  </si>
  <si>
    <t xml:space="preserve">ROBINSON, BOYD L &amp; HEIDI J </t>
  </si>
  <si>
    <t>LEWIS HOMES SPARKS 12D LT 424 BLK G</t>
  </si>
  <si>
    <t>1971 BURNSIDE DR</t>
  </si>
  <si>
    <t xml:space="preserve">HARMON, ERICKA T &amp; BRANDON E  </t>
  </si>
  <si>
    <t xml:space="preserve">1971 BURNSIDE DR </t>
  </si>
  <si>
    <t>LEWIS HOMES SPARKS 12F LT 350 BLK C</t>
  </si>
  <si>
    <t>1982 UNION ST</t>
  </si>
  <si>
    <t xml:space="preserve">JEPSEN INVESTMENTS LLC </t>
  </si>
  <si>
    <t>LEWIS HOMES SPARKS 12G LT 518 BLK C</t>
  </si>
  <si>
    <t>1962 UNION ST</t>
  </si>
  <si>
    <t xml:space="preserve">GHUSN, GEORGE SR </t>
  </si>
  <si>
    <t xml:space="preserve">1962 UNION ST </t>
  </si>
  <si>
    <t>LEWIS HOMES SPARKS 12G LT 516 BLK C</t>
  </si>
  <si>
    <t>2140 BURNSIDE DR</t>
  </si>
  <si>
    <t xml:space="preserve">TAYLOR, REBECCA </t>
  </si>
  <si>
    <t xml:space="preserve">2140 BURNSIDE DR </t>
  </si>
  <si>
    <t>LEWIS HOMES SPARKS 12F LT 334 BLK B</t>
  </si>
  <si>
    <t>1850 BURNSIDE DR</t>
  </si>
  <si>
    <t xml:space="preserve">SMITH, LYLE T </t>
  </si>
  <si>
    <t>LEWIS HOMES SPARKS 12F LT 308 BLK B</t>
  </si>
  <si>
    <t>1920 BURNSIDE DR</t>
  </si>
  <si>
    <t xml:space="preserve">DONALDSON, BRUCE E </t>
  </si>
  <si>
    <t>LEWIS HOMES-SPARKS 12F LT 313 BLK B</t>
  </si>
  <si>
    <t>1832 UNION ST</t>
  </si>
  <si>
    <t xml:space="preserve">BATESON, KYLE W &amp; AMANDA C </t>
  </si>
  <si>
    <t>LEWIS HOMES SPARKS 12G LT 506 BLK C</t>
  </si>
  <si>
    <t>1863 UNION ST</t>
  </si>
  <si>
    <t>ZALDIVAR , NELSON O  et al</t>
  </si>
  <si>
    <t xml:space="preserve">WAINWRIGHT, JOHN E JR </t>
  </si>
  <si>
    <t>LEWIS HOMES SPARKS 12G LT 542 BLK D</t>
  </si>
  <si>
    <t>1771 FARGO WAY</t>
  </si>
  <si>
    <t xml:space="preserve">UBALDO, JULIAN SALDANA-JACINTO </t>
  </si>
  <si>
    <t>LEWIS HOMES SPARKS 12I LT 628 BLK E</t>
  </si>
  <si>
    <t>1731 FARGO WAY</t>
  </si>
  <si>
    <t>RAMIREZ-RAMIREZ, ADRIAN  et al</t>
  </si>
  <si>
    <t xml:space="preserve">1731 FARGO WAY </t>
  </si>
  <si>
    <t xml:space="preserve">SCHULER, DALE D </t>
  </si>
  <si>
    <t>LEWIS HOMES SPARKS 12I LT 625 BLK E</t>
  </si>
  <si>
    <t>3110 N TRUCKEE LN</t>
  </si>
  <si>
    <t xml:space="preserve">GUIDI, TERRY  </t>
  </si>
  <si>
    <t xml:space="preserve">1005 B BAYWOOD DR </t>
  </si>
  <si>
    <t>NORTH TRUCKEE TH LT 4 BLK A</t>
  </si>
  <si>
    <t>1850 WOODHAVEN LN</t>
  </si>
  <si>
    <t xml:space="preserve">CISNEROS-TORRES, MANUEL </t>
  </si>
  <si>
    <t>LEWIS HOMES SPARKS 12H LT 8 BLK L</t>
  </si>
  <si>
    <t>1920 WOODHAVEN LN</t>
  </si>
  <si>
    <t>IZQUIERDO, JESUS O  et al</t>
  </si>
  <si>
    <t>OREGEL-DE IZQUIERDO ROSELIA</t>
  </si>
  <si>
    <t xml:space="preserve">RAMIERZ, LUIS &amp; ELVIRA </t>
  </si>
  <si>
    <t>LEWIS HOMES SPARKS 12H LT 6 BLK M</t>
  </si>
  <si>
    <t>1930 WOODHAVEN LN</t>
  </si>
  <si>
    <t xml:space="preserve">HENKE, CHEONG H &amp; MARK A </t>
  </si>
  <si>
    <t>LEWIS HOMES SPARKS 12H LT 5 BLK M</t>
  </si>
  <si>
    <t>1298 FLORA GLEN DR</t>
  </si>
  <si>
    <t xml:space="preserve">SANCHEZ, JOHN G </t>
  </si>
  <si>
    <t xml:space="preserve">MOWREY, ROBERT M </t>
  </si>
  <si>
    <t>LEWIS HOMES SPARKS 12J LT 52 BLK M</t>
  </si>
  <si>
    <t>1272 FLORA GLEN DR</t>
  </si>
  <si>
    <t>LEWIS HOMES SPARKS12J</t>
  </si>
  <si>
    <t xml:space="preserve">D`OLIMPIO, STEFANO  </t>
  </si>
  <si>
    <t>LEWIS HOMES SPARKS 12J LT 47 BLK M</t>
  </si>
  <si>
    <t>2150 WOODHAVEN LN</t>
  </si>
  <si>
    <t xml:space="preserve">LANGE, JOSPEH A &amp; ALICIA R  </t>
  </si>
  <si>
    <t xml:space="preserve">HENRY TRUST, JUNE M  </t>
  </si>
  <si>
    <t>LEWIS HOMES SPARKS 12J LT 77 BLK N</t>
  </si>
  <si>
    <t>1238 GILLY LN</t>
  </si>
  <si>
    <t xml:space="preserve">SWEDOWSKI, MICHAEL J &amp; SUSIE R  </t>
  </si>
  <si>
    <t xml:space="preserve">4705 CHIPWOOD DR </t>
  </si>
  <si>
    <t xml:space="preserve">BOTSFORD FAMILY TRUST, SUSAN L  </t>
  </si>
  <si>
    <t>LEWIS HOMES SPARKS 12J LT 68 BLK N</t>
  </si>
  <si>
    <t>1228 GILLY LN</t>
  </si>
  <si>
    <t xml:space="preserve">ZONNEVELD, JACOBUS T &amp; AMBER </t>
  </si>
  <si>
    <t xml:space="preserve">ZONNEVELD, JACOBUS T </t>
  </si>
  <si>
    <t>LEWIS HOMES SPARKS 12J LT 67 BLK N</t>
  </si>
  <si>
    <t>1237 LAWTON CT</t>
  </si>
  <si>
    <t xml:space="preserve">ALBERT, FRANCIS K JR </t>
  </si>
  <si>
    <t xml:space="preserve">LONG, MICHAEL L &amp; STACY L </t>
  </si>
  <si>
    <t>LEWIS HOMES SPARKS 12K LT 136 BLK P</t>
  </si>
  <si>
    <t>2441 FARGO WAY</t>
  </si>
  <si>
    <t xml:space="preserve">COLWELL, DARRELL L &amp; CAROLYN L  </t>
  </si>
  <si>
    <t>6800 STRAND AVE # 437</t>
  </si>
  <si>
    <t>LEWIS HOMES SPARKS 12K LT 119 BLK O</t>
  </si>
  <si>
    <t>1758 BLUEHAVEN DR</t>
  </si>
  <si>
    <t xml:space="preserve">THOMPSON, VIRGINIA W </t>
  </si>
  <si>
    <t>LEWIS HOMES SPARKS 12M LT 805 BLK I</t>
  </si>
  <si>
    <t>1761 SABATINO DR</t>
  </si>
  <si>
    <t xml:space="preserve">RITTEL, STACY M </t>
  </si>
  <si>
    <t>LEWIS HOMES SPARKS 12L LT 738 BLK F</t>
  </si>
  <si>
    <t>1290 HIGHGATE CT</t>
  </si>
  <si>
    <t xml:space="preserve">TOMBURELLO, JESSE J &amp; BRENDA L </t>
  </si>
  <si>
    <t>LEWIS HOMES SPARKS 12M LT 818 BLK J</t>
  </si>
  <si>
    <t>2075 HAYWOOD DR</t>
  </si>
  <si>
    <t xml:space="preserve">JOHNSON, NORMA JEAN </t>
  </si>
  <si>
    <t xml:space="preserve">2075 HAYWOOD DR </t>
  </si>
  <si>
    <t xml:space="preserve">VILLANUEVA, RAYMUND R &amp; EDITHA R </t>
  </si>
  <si>
    <t>LEWIS HOMES SPARKS 12R LT 248 BLK T</t>
  </si>
  <si>
    <t>2256 MORNINGLORY DR</t>
  </si>
  <si>
    <t xml:space="preserve">DE LA TORRE, JAVIER </t>
  </si>
  <si>
    <t xml:space="preserve">CLEWELL TRUST, LEO L  </t>
  </si>
  <si>
    <t>LEWIS HOMES SPARKS 12S LT 337 BLK S</t>
  </si>
  <si>
    <t>2266 MORNINGLORY DR</t>
  </si>
  <si>
    <t>LEWIS HOMES-SPARKS NO 12S</t>
  </si>
  <si>
    <t xml:space="preserve">RISTICH, TRUDIE L  </t>
  </si>
  <si>
    <t>SHIVERS, ANDREW G  et al</t>
  </si>
  <si>
    <t>LEWIS HOMES SPARKS 12S LT 336 BLK S</t>
  </si>
  <si>
    <t>1237 N ROCKDALE DR</t>
  </si>
  <si>
    <t>BORN, BRYAN G et al</t>
  </si>
  <si>
    <t>LEWIS HOMES SPARKS 12S LT 331 BLK S</t>
  </si>
  <si>
    <t>1241 N ROCKDALE DR</t>
  </si>
  <si>
    <t xml:space="preserve">POTTER, THOMAS B &amp; LINDA K </t>
  </si>
  <si>
    <t>2075 PIPING ROCK DR</t>
  </si>
  <si>
    <t xml:space="preserve">ELDRIDGE, JULIE &amp; JAUDAUN  </t>
  </si>
  <si>
    <t>LEWIS HOMES SPARKS 12S LT 330 BLK S</t>
  </si>
  <si>
    <t>2236 ROCKDALE DR</t>
  </si>
  <si>
    <t>MOORE, VERONICA P et al</t>
  </si>
  <si>
    <t xml:space="preserve">HERNANDEZ-ESTRADA, MARIA T </t>
  </si>
  <si>
    <t>LEWIS HOMES SPARKS 12S LT 320 BLK P</t>
  </si>
  <si>
    <t>1226 N ROCKDALE DR</t>
  </si>
  <si>
    <t xml:space="preserve">HERNANDEZ, CESAR &amp; SHARON </t>
  </si>
  <si>
    <t>1226 NORTH ROCKDALE DR</t>
  </si>
  <si>
    <t>LEWIS HOMES SPARKS 12S LT 303 BLK P</t>
  </si>
  <si>
    <t>1233 IAN CT</t>
  </si>
  <si>
    <t xml:space="preserve">DYE, EDWARD R  </t>
  </si>
  <si>
    <t xml:space="preserve">1233 IAN CT </t>
  </si>
  <si>
    <t xml:space="preserve">COLLIER, PAUL L &amp; JULIE T </t>
  </si>
  <si>
    <t>HYDE PARK LT 3</t>
  </si>
  <si>
    <t>694 MARRACCO DR</t>
  </si>
  <si>
    <t xml:space="preserve">LINDSAY, JAMES B &amp; NYLA R  </t>
  </si>
  <si>
    <t xml:space="preserve">694 MARRACCO DR </t>
  </si>
  <si>
    <t xml:space="preserve">WILSON, HUGH E &amp; LINDA A </t>
  </si>
  <si>
    <t>SIERRA MEADOWS 8 LT 12</t>
  </si>
  <si>
    <t>748 RANCHO VIA DR</t>
  </si>
  <si>
    <t xml:space="preserve">FELLS, DONALD </t>
  </si>
  <si>
    <t xml:space="preserve">COLLINS, KATHRYN D </t>
  </si>
  <si>
    <t>SIERRA MEADOWS 8 LT 84</t>
  </si>
  <si>
    <t>683 MARRACCO DR</t>
  </si>
  <si>
    <t>TORDOFF, JASON E et al</t>
  </si>
  <si>
    <t>SIERRA MEADOWS 8 LT 95</t>
  </si>
  <si>
    <t>1802 BRIERLEY WAY</t>
  </si>
  <si>
    <t>BRE/NV INDUSTRIAL PROP LLC</t>
  </si>
  <si>
    <t>% THOMSON REUTERS</t>
  </si>
  <si>
    <t xml:space="preserve">2235 FARADAY AV STE O </t>
  </si>
  <si>
    <t xml:space="preserve">PROLOGIS TRUST </t>
  </si>
  <si>
    <t>037-251-14</t>
  </si>
  <si>
    <t>FR NW4 SEC 11 TWP 19 RGE 20 ( RS 2957 LT C)</t>
  </si>
  <si>
    <t>750 VISTA BLVD</t>
  </si>
  <si>
    <t>PM 2789</t>
  </si>
  <si>
    <t xml:space="preserve">SECURITY CAPITAL INDUST TRUST </t>
  </si>
  <si>
    <t>037-272-24</t>
  </si>
  <si>
    <t>PM 2789 LT 2</t>
  </si>
  <si>
    <t>550 VISTA BLVD</t>
  </si>
  <si>
    <t>PM 43</t>
  </si>
  <si>
    <t>037-278-03</t>
  </si>
  <si>
    <t>PM 43 FR LTS A B &amp; C (RS 3313)</t>
  </si>
  <si>
    <t>PM 3787</t>
  </si>
  <si>
    <t xml:space="preserve">EFG LLC </t>
  </si>
  <si>
    <t>444 SALOMON CIR</t>
  </si>
  <si>
    <t xml:space="preserve">ASHLAND COPPER HOLDINGS LLC </t>
  </si>
  <si>
    <t>037-331-06</t>
  </si>
  <si>
    <t>PM 3787 LT E</t>
  </si>
  <si>
    <t>1129 HARBOUR COVE CT</t>
  </si>
  <si>
    <t>C/O ROBERT T GALES MANAGING MEMBER</t>
  </si>
  <si>
    <t>GALES TRUST OF 2002, ROBERT T  et al</t>
  </si>
  <si>
    <t>HARBOUR COVE LT 52</t>
  </si>
  <si>
    <t>1149 HARBOUR COVE CT</t>
  </si>
  <si>
    <t xml:space="preserve">PLYS, TERRY &amp; DAPHNE </t>
  </si>
  <si>
    <t>11580 OREGON BLVD</t>
  </si>
  <si>
    <t xml:space="preserve">LEMMON VALLEY </t>
  </si>
  <si>
    <t>HARBOUR COVE LT 47</t>
  </si>
  <si>
    <t>1187 BAYSHORE DR</t>
  </si>
  <si>
    <t xml:space="preserve">ANDERSON, RUTH E </t>
  </si>
  <si>
    <t>440 NORTHRIDGE RD</t>
  </si>
  <si>
    <t>HARBOUR COVE LT 2</t>
  </si>
  <si>
    <t>MARINA COMMERCIAL OFFICES LLC</t>
  </si>
  <si>
    <t>325 HARBOUR COVE DR STE 211</t>
  </si>
  <si>
    <t xml:space="preserve">MARINA VILLAGE LLC </t>
  </si>
  <si>
    <t>MARINA WATERFRONT CONDOMINIUMS LT C-201</t>
  </si>
  <si>
    <t>DIEO</t>
  </si>
  <si>
    <t>425 SPARKS BLVD</t>
  </si>
  <si>
    <t>PM 4967</t>
  </si>
  <si>
    <t>COX FAMILY LLC</t>
  </si>
  <si>
    <t>C/O BJ`S RESTAURANTS INC</t>
  </si>
  <si>
    <t>7755 CENTER AVENUE #300</t>
  </si>
  <si>
    <t>HUNTINGTON BEACH</t>
  </si>
  <si>
    <t xml:space="preserve">BJ`S RESTAURANTS INC </t>
  </si>
  <si>
    <t>037-400-06</t>
  </si>
  <si>
    <t>PM 4967 LT 2</t>
  </si>
  <si>
    <t>533 CRYSTAL PARK RD</t>
  </si>
  <si>
    <t>FR NE2 SE2</t>
  </si>
  <si>
    <t xml:space="preserve">CAYTON, GERALD A &amp; VICTORIA D </t>
  </si>
  <si>
    <t>PO BOX 864</t>
  </si>
  <si>
    <t>FR NE1/4 OF SE1/4 &amp; SE1/4 OF NE1/4 OF SEC 18 TWP 1</t>
  </si>
  <si>
    <t>FCRF</t>
  </si>
  <si>
    <t>413 HUNKEN CIR</t>
  </si>
  <si>
    <t>CRYSTAL PEAK EST</t>
  </si>
  <si>
    <t xml:space="preserve">WALKER, DONALD G </t>
  </si>
  <si>
    <t>1105 TERMINAL WAY STE 202</t>
  </si>
  <si>
    <t>SORRENTINO, KATHE K et al</t>
  </si>
  <si>
    <t>CRYSTAL PEAK EST LT 2</t>
  </si>
  <si>
    <t>720 HILL LN</t>
  </si>
  <si>
    <t>PM 2150</t>
  </si>
  <si>
    <t>PM 2150 LT 2</t>
  </si>
  <si>
    <t>365 TENAYA LN</t>
  </si>
  <si>
    <t xml:space="preserve">MANSFIELD TRUST, VIRGINIA M   </t>
  </si>
  <si>
    <t>THOMAS R HOLGUIN TRUSTEE</t>
  </si>
  <si>
    <t>PO BOX 874</t>
  </si>
  <si>
    <t xml:space="preserve">NELSON, JUDY L </t>
  </si>
  <si>
    <t>FRAC W2 OF SE4</t>
  </si>
  <si>
    <t>520 CRYSTAL PARK RD</t>
  </si>
  <si>
    <t xml:space="preserve">JACKSON, JOHN A </t>
  </si>
  <si>
    <t xml:space="preserve">HELU, WILLIAM J </t>
  </si>
  <si>
    <t>FR NE4 NE4 SEC 19 TWP 19 RGE 18</t>
  </si>
  <si>
    <t>300 HIRSH RD</t>
  </si>
  <si>
    <t>R/S 2386</t>
  </si>
  <si>
    <t xml:space="preserve">BOCK, MATTHEW </t>
  </si>
  <si>
    <t>955 S VIRGINIA ST STE 300</t>
  </si>
  <si>
    <t>038-242-13</t>
  </si>
  <si>
    <t>R/S 2386 LT C</t>
  </si>
  <si>
    <t>80 BOBCAT DR</t>
  </si>
  <si>
    <t xml:space="preserve">DUVAL, STEVEN  </t>
  </si>
  <si>
    <t xml:space="preserve">BROWNING, BRUCE &amp; RHONDA </t>
  </si>
  <si>
    <t>MOGUL HIGHLANDS 1 LT 8 BLK D</t>
  </si>
  <si>
    <t>MOGUL HIGHLANDS 1</t>
  </si>
  <si>
    <t xml:space="preserve">CONNELL FAMILY TRUST  </t>
  </si>
  <si>
    <t xml:space="preserve">CONNELL, VICKI L </t>
  </si>
  <si>
    <t>MOGUL HIGHLANDS 1  LT 24 BLK C</t>
  </si>
  <si>
    <t>274 EUCALYPTUS CT</t>
  </si>
  <si>
    <t>MOGUL HIGHLANDS 3A</t>
  </si>
  <si>
    <t xml:space="preserve">KNIGHT, WILLIAM M &amp; CARLEY F  </t>
  </si>
  <si>
    <t xml:space="preserve">274 EUCALYPTUS CT </t>
  </si>
  <si>
    <t>MOGUL HIGHLANDS 3A LT 1 BLK A</t>
  </si>
  <si>
    <t>315 MOGUL MOUNTAIN DR</t>
  </si>
  <si>
    <t>MOGUL HIGHLANDS 2B</t>
  </si>
  <si>
    <t xml:space="preserve">HUTCHINSON, LAURA A &amp; STEPHEN M </t>
  </si>
  <si>
    <t>MOGUL HIGHLANDS 2B LT 6 BLK A</t>
  </si>
  <si>
    <t>35 MULE DEER DR</t>
  </si>
  <si>
    <t>GRIMES, JONATHAN M et al</t>
  </si>
  <si>
    <t xml:space="preserve">HEAL, JOHN </t>
  </si>
  <si>
    <t>MOGUL HIGHLANDS 2B LT 1 BLK C</t>
  </si>
  <si>
    <t>10100 TIMBERWOLF DR</t>
  </si>
  <si>
    <t>MOGUL MEADOWS UNIT ONE</t>
  </si>
  <si>
    <t xml:space="preserve">COURTING FAMILY LIVING TRUST  </t>
  </si>
  <si>
    <t xml:space="preserve">COURTING, MARK &amp; JUDITH </t>
  </si>
  <si>
    <t>MOGUL MEADOWS UNIT ONE LOT 9 BLK C</t>
  </si>
  <si>
    <t>10095 TIMBERWOLF DR</t>
  </si>
  <si>
    <t xml:space="preserve">LIPPMAN, CHRISTOPHER &amp; ALISON </t>
  </si>
  <si>
    <t>MOGUL MEADOWS 1 LT 7 BLK B</t>
  </si>
  <si>
    <t>215 GOOSEBERRY DR</t>
  </si>
  <si>
    <t xml:space="preserve">BORJA, ERIC &amp; SARA </t>
  </si>
  <si>
    <t xml:space="preserve">HILL TRUST  </t>
  </si>
  <si>
    <t>MOGUL MEADOWS 1 LT 12 BLK B</t>
  </si>
  <si>
    <t>10080 RACCOON CT</t>
  </si>
  <si>
    <t xml:space="preserve">SUTLIFF, MARK W &amp; BRITTNEY J  </t>
  </si>
  <si>
    <t>MOGUL MEADOWS UNIT ONE LOT 28 BLK B</t>
  </si>
  <si>
    <t>390 CLIFF VIEW DR</t>
  </si>
  <si>
    <t xml:space="preserve">ECKVAHL, JAMES C &amp; CHANTAL </t>
  </si>
  <si>
    <t xml:space="preserve">BURRIS, ROBERT C JR &amp; KAREN E </t>
  </si>
  <si>
    <t>MOGUL MEADOWS 1 LT 19 BLK B</t>
  </si>
  <si>
    <t>10400 NIGHTHAWK CIR</t>
  </si>
  <si>
    <t>SANDWITH , JESSE J et al</t>
  </si>
  <si>
    <t>MOGUL MEADOWS 2 LT 36 BLK D</t>
  </si>
  <si>
    <t>230 MOONSHINE CIR</t>
  </si>
  <si>
    <t>NIMS , MARK B  et al</t>
  </si>
  <si>
    <t>RHOADES PAMELA</t>
  </si>
  <si>
    <t xml:space="preserve">ILER, HERBERT W &amp; BARBARA J </t>
  </si>
  <si>
    <t>MOGUL MEADOWS 2 LT 28 BLK D</t>
  </si>
  <si>
    <t>175 LEMMING DR</t>
  </si>
  <si>
    <t xml:space="preserve">BLACK, JOSHUA J &amp; ANDREA R  </t>
  </si>
  <si>
    <t xml:space="preserve">ROMANO FAMILY TRUST  </t>
  </si>
  <si>
    <t>MOGUL MEADOWS 2 LT 7 BLK C</t>
  </si>
  <si>
    <t>165 MARMOT DR</t>
  </si>
  <si>
    <t xml:space="preserve">PUSKAS, CAROL A  </t>
  </si>
  <si>
    <t>PO BOX 956</t>
  </si>
  <si>
    <t>MOGUL MEADOWS 2 LT 3 BLK B</t>
  </si>
  <si>
    <t>185 MARMOT DR</t>
  </si>
  <si>
    <t xml:space="preserve">BAXTER FAMILY TRUST  </t>
  </si>
  <si>
    <t>55 GOSHAWK CT</t>
  </si>
  <si>
    <t>MOGUL MEADOWS UNIT TWO LOT 4 BLK B</t>
  </si>
  <si>
    <t>10325 MOUNTAIN DEW CIR</t>
  </si>
  <si>
    <t xml:space="preserve">DAVIS, DAVID R &amp; HEIDI A </t>
  </si>
  <si>
    <t xml:space="preserve">BRUNO, THERESA L </t>
  </si>
  <si>
    <t>MOGUL MEADOWS 2 LT 44 BLK D</t>
  </si>
  <si>
    <t>135 SHADYCREST DR</t>
  </si>
  <si>
    <t xml:space="preserve">BRINKERHOFF, PETER J II &amp; SALLY K </t>
  </si>
  <si>
    <t>89437</t>
  </si>
  <si>
    <t xml:space="preserve">DE CASPER, JOSEPH E &amp; JILL M </t>
  </si>
  <si>
    <t>038-621-48</t>
  </si>
  <si>
    <t>GLEN MEADOWS VLG LT 71A BLK E (R/S 2870)</t>
  </si>
  <si>
    <t>1905 STONERIDGE DR</t>
  </si>
  <si>
    <t xml:space="preserve">GRAY, GERALD W JR </t>
  </si>
  <si>
    <t>GLEN MEADOWS VLG LT 8A BLK B (R/S 2870)</t>
  </si>
  <si>
    <t>145 WEDGEWOOD DR</t>
  </si>
  <si>
    <t xml:space="preserve">LIEBMANN REVOCABLE TRUST, JOHN H  </t>
  </si>
  <si>
    <t>60 LOS ALTOS AVE</t>
  </si>
  <si>
    <t xml:space="preserve">LIEBMANN, JOHN H </t>
  </si>
  <si>
    <t>038-610-72</t>
  </si>
  <si>
    <t>GLEN MEADOWS VILLAGE  LT 31A BLK C (R/S 2870)</t>
  </si>
  <si>
    <t>120 WEDGEWOOD DR</t>
  </si>
  <si>
    <t xml:space="preserve">COTE, PAUL </t>
  </si>
  <si>
    <t>PO BOX 373</t>
  </si>
  <si>
    <t>KARTHAUSER, KASEY L et al</t>
  </si>
  <si>
    <t>038-610-73</t>
  </si>
  <si>
    <t>GLEN MEADOW VILLAGE LT 42A BLK D</t>
  </si>
  <si>
    <t>115 FALLBROOK DR</t>
  </si>
  <si>
    <t>CANCILLA, CHRISTOPHER G et al</t>
  </si>
  <si>
    <t>PO BOX 434</t>
  </si>
  <si>
    <t>GLEN MEADOWS VILLAGE LT 54A BLK D (RS 2870)</t>
  </si>
  <si>
    <t>135 SAGEGLEN DR</t>
  </si>
  <si>
    <t>DALE , MARY-MARGARET et al</t>
  </si>
  <si>
    <t xml:space="preserve">135 SAGEGLEN DR </t>
  </si>
  <si>
    <t xml:space="preserve">HILL, MEGAN L </t>
  </si>
  <si>
    <t>038-610-75</t>
  </si>
  <si>
    <t>GLEN MEADOWS VLG LT 108A BLK G (R/S 2870)</t>
  </si>
  <si>
    <t>175 SAGEBROOK DR</t>
  </si>
  <si>
    <t xml:space="preserve">GRAY, JOSEPH A &amp; BEVERLY </t>
  </si>
  <si>
    <t>PO BOX 465</t>
  </si>
  <si>
    <t xml:space="preserve">PIERSON, GERALD &amp; TINA </t>
  </si>
  <si>
    <t>038-630-97</t>
  </si>
  <si>
    <t>RS 4111 LT 192-A</t>
  </si>
  <si>
    <t>60 LEMMING DR</t>
  </si>
  <si>
    <t>MOGUL MEADOWS 3C</t>
  </si>
  <si>
    <t xml:space="preserve">NEVINS , MARYBETH E &amp; THOMAS J  </t>
  </si>
  <si>
    <t xml:space="preserve">60 LEMMING DR </t>
  </si>
  <si>
    <t>MOGUL MEADOWS 3C LT 3 BLK A</t>
  </si>
  <si>
    <t>2615 ERMINIA RD</t>
  </si>
  <si>
    <t>BELLI RANCH EST LT 24 BLK D</t>
  </si>
  <si>
    <t>425 RIVER BEND DR</t>
  </si>
  <si>
    <t>BELLI RANCH ESTATES</t>
  </si>
  <si>
    <t xml:space="preserve">RICCO, GARY &amp; LUANN </t>
  </si>
  <si>
    <t xml:space="preserve">ANDERSEN FAMILY TRUST  </t>
  </si>
  <si>
    <t>BELLI RANCH ESTATES LT 34 BLK A</t>
  </si>
  <si>
    <t>45 GOSHAWK CT</t>
  </si>
  <si>
    <t>MOGUL MEADOWS UNIT 3E</t>
  </si>
  <si>
    <t xml:space="preserve">WILLANS, ARTHUR &amp; SHARON </t>
  </si>
  <si>
    <t xml:space="preserve">ELLIS, LARRY V &amp; ELSA E </t>
  </si>
  <si>
    <t>038-701-14</t>
  </si>
  <si>
    <t>25 EAGLE CLAW CT</t>
  </si>
  <si>
    <t>MOGUL MEADOWS 3E</t>
  </si>
  <si>
    <t xml:space="preserve">HARIG, TRACY </t>
  </si>
  <si>
    <t>038-700-23</t>
  </si>
  <si>
    <t>MOGUL MEADOWS 3E LT 9 BLK A</t>
  </si>
  <si>
    <t>150 MULE DEER DR</t>
  </si>
  <si>
    <t xml:space="preserve">GILBERTSON, LAWRENCE T &amp; MARY A </t>
  </si>
  <si>
    <t xml:space="preserve">BLAKELY, PETER M &amp; DEBORA J </t>
  </si>
  <si>
    <t>PM 2731 LT 1D1</t>
  </si>
  <si>
    <t>8710 WHITE FIR ST</t>
  </si>
  <si>
    <t xml:space="preserve">CLARK, SCOTT G </t>
  </si>
  <si>
    <t>STANDER, BERT et al</t>
  </si>
  <si>
    <t>RIVER PARK 1 LT 17 BLK C</t>
  </si>
  <si>
    <t>306 RIVER FRONT DR</t>
  </si>
  <si>
    <t xml:space="preserve">VINSON, TED S </t>
  </si>
  <si>
    <t xml:space="preserve">MAHONEY TRUST, MAUREEN  </t>
  </si>
  <si>
    <t>038-781-06</t>
  </si>
  <si>
    <t>RIVER PARK 2 LT 206 BLK A</t>
  </si>
  <si>
    <t>320 SYLVAN CIR</t>
  </si>
  <si>
    <t xml:space="preserve">BRUNO FAMILY TRUST  </t>
  </si>
  <si>
    <t>SUNRISE CREEK 1 LT 6 BLK B</t>
  </si>
  <si>
    <t>5205 CRYSTAL VISTA LN</t>
  </si>
  <si>
    <t xml:space="preserve">GASS, MARY A </t>
  </si>
  <si>
    <t xml:space="preserve">5205 CRYSTAL VISTA LN </t>
  </si>
  <si>
    <t xml:space="preserve">MANCILLA, NOEL N &amp; JOSEPHINE M  </t>
  </si>
  <si>
    <t>SIERRA HIGHLANDS 1 LT 37 BLK C</t>
  </si>
  <si>
    <t>1910 QUAIL RUN RD</t>
  </si>
  <si>
    <t xml:space="preserve">PHILIPPEOS, CHRIS M  </t>
  </si>
  <si>
    <t>P O BOX 50661</t>
  </si>
  <si>
    <t>SIERRA HIGHLANDS 1 LT 17 BLK C</t>
  </si>
  <si>
    <t>1930 SWEETGRASS LN</t>
  </si>
  <si>
    <t>SIERRA HIGHLANDS 1 LT 68 BLK D</t>
  </si>
  <si>
    <t>5250 CRYSTAL VISTA LN</t>
  </si>
  <si>
    <t>SIERRA HIGHALNDS 1</t>
  </si>
  <si>
    <t xml:space="preserve">COLDANI , CORRINE  </t>
  </si>
  <si>
    <t xml:space="preserve">GRANT, THOMAS &amp; SARAH </t>
  </si>
  <si>
    <t>SIERRA HIGHLANDS 1 LT 39 BLK D</t>
  </si>
  <si>
    <t>1892 SIERRA HIGHLANDS DR</t>
  </si>
  <si>
    <t xml:space="preserve">HAMMAN, HARRY R &amp; CARNIA C </t>
  </si>
  <si>
    <t>1600 ALAMO ST</t>
  </si>
  <si>
    <t>ALDANA, ALEX et al</t>
  </si>
  <si>
    <t>SIERRA HIGHLANDS 11 LT 15 BLK A</t>
  </si>
  <si>
    <t>5315 SEVILLE CT</t>
  </si>
  <si>
    <t>COIT HEIGHTS 1</t>
  </si>
  <si>
    <t xml:space="preserve">COLLINS, SCOTT A &amp; JULIE E  </t>
  </si>
  <si>
    <t xml:space="preserve">CHOLEY, THEODORE J JR </t>
  </si>
  <si>
    <t>COIT HEIGHTS 1 LT 2 BLK A</t>
  </si>
  <si>
    <t>1701 TERRACE HEIGHTS LN</t>
  </si>
  <si>
    <t xml:space="preserve">TERAN, PAOLA </t>
  </si>
  <si>
    <t>SIERRA HIGHLANDS 2B LT 50 BLK B</t>
  </si>
  <si>
    <t>5140 IDLEBURY WAY</t>
  </si>
  <si>
    <t xml:space="preserve">WALKER, PHILLIP C &amp; REBECCA L </t>
  </si>
  <si>
    <t>SIERRA HIGHLANDS 2B LT 52 BLK B</t>
  </si>
  <si>
    <t>5120 IDLEBURY WAY</t>
  </si>
  <si>
    <t>SIERRA HIGHLANDS 2D</t>
  </si>
  <si>
    <t xml:space="preserve">MILLER, NATHANIAL &amp; KATRINA </t>
  </si>
  <si>
    <t xml:space="preserve">FERGUSON, CATHERINE D </t>
  </si>
  <si>
    <t>SIERRA HIGHLANDS 2B AMD LT 54 BLK B</t>
  </si>
  <si>
    <t>8260 LEROY ST</t>
  </si>
  <si>
    <t xml:space="preserve">HILL, RUDY A  </t>
  </si>
  <si>
    <t xml:space="preserve">8260 LEROY ST </t>
  </si>
  <si>
    <t>FR SW4 SEC 18 TWP 19 RGE 19</t>
  </si>
  <si>
    <t>2345 ESCALERA CT</t>
  </si>
  <si>
    <t>COIT HEIGHTS 2</t>
  </si>
  <si>
    <t xml:space="preserve">BOGUCKI, ANTHONY </t>
  </si>
  <si>
    <t>COIT HEIGHTS 2 LT 20 BLK A</t>
  </si>
  <si>
    <t>2312 MADERA CT</t>
  </si>
  <si>
    <t xml:space="preserve">SMITH , BRYAN M  </t>
  </si>
  <si>
    <t xml:space="preserve">2312 MADERA CT </t>
  </si>
  <si>
    <t>COIT HEIGHTS 2 LT 14 BLK A</t>
  </si>
  <si>
    <t>5361 VISTA LARGA CIR</t>
  </si>
  <si>
    <t>EBNER, JEFFREY A et al</t>
  </si>
  <si>
    <t xml:space="preserve">CKH FAMILY TRUST  </t>
  </si>
  <si>
    <t>SIERRA HIGHLANDS 3 LT 68 BLK F</t>
  </si>
  <si>
    <t>5371 VISTA LARGA CIR</t>
  </si>
  <si>
    <t>TERRELL, MARC A et al</t>
  </si>
  <si>
    <t>SHAW JODI L</t>
  </si>
  <si>
    <t xml:space="preserve">HUTCHINSON, STEPHEN M &amp; LAURA A </t>
  </si>
  <si>
    <t>SIERRA HIGHLANDS 3 LT 69 BLK F</t>
  </si>
  <si>
    <t>5385 LADYBUG CT</t>
  </si>
  <si>
    <t xml:space="preserve">HANSELMAN, RONALD L III </t>
  </si>
  <si>
    <t xml:space="preserve">JENSEN LIVING TRUST  </t>
  </si>
  <si>
    <t>SIERRA HIGHLANDS 3 LT 74 BLK F</t>
  </si>
  <si>
    <t>1899 RAINBOW RIDGE RD</t>
  </si>
  <si>
    <t>CHAMORRO, AARON J et al</t>
  </si>
  <si>
    <t>11800 OCEAN VIEW DR</t>
  </si>
  <si>
    <t xml:space="preserve">SANTOS, SERGIO F </t>
  </si>
  <si>
    <t>SIERRA HIGHLANDS 3 LT 1 BLK A</t>
  </si>
  <si>
    <t>1825 FOX RUN RD</t>
  </si>
  <si>
    <t>CASTRO, JAKE O et al</t>
  </si>
  <si>
    <t>MOCH STACY M</t>
  </si>
  <si>
    <t>SIERRA HIGHLANDS 3 LT 20 BLK B</t>
  </si>
  <si>
    <t>5346 MOUNTCREST LN</t>
  </si>
  <si>
    <t xml:space="preserve">YETTER, KATHERYN L  </t>
  </si>
  <si>
    <t xml:space="preserve">PARHAM, ANTHONY O &amp; BRIANNE R </t>
  </si>
  <si>
    <t>SIERRA HIGHLANDS 3 LT 41 BLK D</t>
  </si>
  <si>
    <t>1735 SHADOW PARK DR</t>
  </si>
  <si>
    <t>SIERRA HIGHLANDS 9A</t>
  </si>
  <si>
    <t xml:space="preserve">MARTIN, ASHLYNN S </t>
  </si>
  <si>
    <t xml:space="preserve">VISUTHICHO, ADOON &amp; CHANPHEN </t>
  </si>
  <si>
    <t>SIERRA HIGHLANDS 9A LT 7 BLK B</t>
  </si>
  <si>
    <t>5149 DRIFTSTONE AVE</t>
  </si>
  <si>
    <t>COIT HEIGHTS SUB UT NO 4A</t>
  </si>
  <si>
    <t xml:space="preserve">BAJO, KATHERINE </t>
  </si>
  <si>
    <t xml:space="preserve">PATTON LIVING TRUST  </t>
  </si>
  <si>
    <t>COIT HEIGHTS 4A LT 40 BLK C</t>
  </si>
  <si>
    <t>5155 DRIFTSTONE AVE</t>
  </si>
  <si>
    <t>PARIN, PETAR G et al</t>
  </si>
  <si>
    <t>PARINA PETRANKA V</t>
  </si>
  <si>
    <t>15590 CAMINO DEL CERRO</t>
  </si>
  <si>
    <t>95032-3720</t>
  </si>
  <si>
    <t xml:space="preserve">MOSIER, SAM A </t>
  </si>
  <si>
    <t>COIT HEIGHTS 4A LT 42 BLK C</t>
  </si>
  <si>
    <t>5171 DRIFTSTONE AVE</t>
  </si>
  <si>
    <t>COIT HEIGHTS UT 4A</t>
  </si>
  <si>
    <t xml:space="preserve">FLEMING, JOHN E &amp; HELEN P  </t>
  </si>
  <si>
    <t xml:space="preserve">5171 DRIFTSTONE AVE </t>
  </si>
  <si>
    <t xml:space="preserve">SCHROEDER LIVING TRUST, ROSS E  </t>
  </si>
  <si>
    <t>COIT HEIGHTS UT 4A LT 47 BLK C</t>
  </si>
  <si>
    <t>5163 ASPENVIEW DR</t>
  </si>
  <si>
    <t xml:space="preserve">BADER, ALEC A </t>
  </si>
  <si>
    <t>COIT HEIGHTS 4B LT 93 BLK D</t>
  </si>
  <si>
    <t>5108 DRIFTSTONE AVE</t>
  </si>
  <si>
    <t xml:space="preserve">CRAIG REVOCABLE TRUST, JOAN J  </t>
  </si>
  <si>
    <t>642 TALUS WAY</t>
  </si>
  <si>
    <t xml:space="preserve">CRAIG, JOAN J </t>
  </si>
  <si>
    <t>COIT HEIGHTS 4A LT 25 BLK B</t>
  </si>
  <si>
    <t>1773 MELBOURNE CT</t>
  </si>
  <si>
    <t>HART, ERIK et al</t>
  </si>
  <si>
    <t>SIERRA HIGHLANDS 4 PH 1A LT 82 BLK E</t>
  </si>
  <si>
    <t>5898 SHADOW PARK DR</t>
  </si>
  <si>
    <t>SIERRA HIGHLANDS 4 PHS 1B</t>
  </si>
  <si>
    <t xml:space="preserve">ACOSTA, JULIA </t>
  </si>
  <si>
    <t xml:space="preserve">MYERS, PETER J </t>
  </si>
  <si>
    <t>SIERRA HIGHLANDS 4 PH 1B LT 88 BLK E</t>
  </si>
  <si>
    <t>5946 COYOTE RIDGE RD</t>
  </si>
  <si>
    <t>SIERRA HIGHLANDS 4 PHS 1C</t>
  </si>
  <si>
    <t>PO BOX 7312</t>
  </si>
  <si>
    <t xml:space="preserve">SAVAGE COYOTE RIDGE RD TRUST  </t>
  </si>
  <si>
    <t>SIERRA HIGHLANDS 4 PH 1C LT 27 BLK C</t>
  </si>
  <si>
    <t>5201 CHALLIS CIR</t>
  </si>
  <si>
    <t xml:space="preserve">SHEPHERD, NATALIE J </t>
  </si>
  <si>
    <t>5201 CHALLIS DR</t>
  </si>
  <si>
    <t xml:space="preserve">DODDS, CLAIRE </t>
  </si>
  <si>
    <t>COIT HEIGHTS 3 LT 41 BLK C</t>
  </si>
  <si>
    <t>5290 COIT DR</t>
  </si>
  <si>
    <t xml:space="preserve">SMITHSON, RICHARD &amp; JUNE  </t>
  </si>
  <si>
    <t xml:space="preserve">5290 COIT DR </t>
  </si>
  <si>
    <t xml:space="preserve">WHITWORTH FAMILY TRUST, RALPH V  </t>
  </si>
  <si>
    <t>COIT HEIGHTS 3 LT 50 BLK C</t>
  </si>
  <si>
    <t>5795 SYDNEY CT</t>
  </si>
  <si>
    <t xml:space="preserve">HAFT, EVAN </t>
  </si>
  <si>
    <t xml:space="preserve">BOBADILLA, BALDO R &amp; ANASTASIA L </t>
  </si>
  <si>
    <t>SIERRA HIGHLANDS 4D LT 7 BLK A</t>
  </si>
  <si>
    <t>5842 ROYAL VISTA WAY</t>
  </si>
  <si>
    <t xml:space="preserve">BJERRE, DANA J &amp; KARI E </t>
  </si>
  <si>
    <t>865 CLIFF VIEW DR</t>
  </si>
  <si>
    <t>SIERRA HIGHLANDS 4D LT 69 BLK C</t>
  </si>
  <si>
    <t>5935 COYOTE RIDGE CT</t>
  </si>
  <si>
    <t xml:space="preserve">CARROU, STEPHANE &amp; ALEXANDRA  </t>
  </si>
  <si>
    <t xml:space="preserve">1880 VALPARAISO AVE </t>
  </si>
  <si>
    <t xml:space="preserve">MENLO PARK </t>
  </si>
  <si>
    <t xml:space="preserve">PASCAL, MIKAEL </t>
  </si>
  <si>
    <t>SIERRA HIGHLANDS 4D LT 18 BLK A</t>
  </si>
  <si>
    <t xml:space="preserve">ORLANDO, SAMULE L &amp; MARIANA </t>
  </si>
  <si>
    <t>MURAWSKI, EDWARD R et al</t>
  </si>
  <si>
    <t xml:space="preserve">SIERRA HIGHLANDS 4D LT 21 BLK A </t>
  </si>
  <si>
    <t>5970 RIDGE LN</t>
  </si>
  <si>
    <t>SIERRA HIGHLANDS 4E</t>
  </si>
  <si>
    <t xml:space="preserve">WALTER, MARK R &amp; SHERRI L </t>
  </si>
  <si>
    <t xml:space="preserve">CHEN FAMILY TRUST, DOROTHY T  </t>
  </si>
  <si>
    <t>SIERRA HIGHLANDS 4E LT 27 BLK A</t>
  </si>
  <si>
    <t>5939 RIDGE LN</t>
  </si>
  <si>
    <t xml:space="preserve">RATTO, NICHOLAS A </t>
  </si>
  <si>
    <t>SIERRA HIGHLANDS 4E LT 42 BLK B</t>
  </si>
  <si>
    <t>5380 WINDWOOD LN</t>
  </si>
  <si>
    <t>SIERRA HIGHLANDS UNIT 6</t>
  </si>
  <si>
    <t xml:space="preserve">JONES, GERRAD &amp; RACHEL  </t>
  </si>
  <si>
    <t xml:space="preserve">5380 WINDWOOD LN </t>
  </si>
  <si>
    <t>SIERRA HIGHLANDS UNIT 6 LOT 11 BLOCK A</t>
  </si>
  <si>
    <t>5300 WINDWOOD LN</t>
  </si>
  <si>
    <t>SIERRA HIGHLANDS 6</t>
  </si>
  <si>
    <t>PLUFF, DARREN A  et al</t>
  </si>
  <si>
    <t xml:space="preserve">MAWSON AMANDA L </t>
  </si>
  <si>
    <t xml:space="preserve">5300 WINDWOOD LN </t>
  </si>
  <si>
    <t>SIERRA HIGHLANDS 6 LT 8 BLK A</t>
  </si>
  <si>
    <t>5980 BANKSIDE WAY</t>
  </si>
  <si>
    <t>BACKER TRUST PROPERTY 1</t>
  </si>
  <si>
    <t xml:space="preserve">CRONEN, JAMES &amp; JODY </t>
  </si>
  <si>
    <t xml:space="preserve">SURABOTSOPON, NARIN &amp; PRINDA </t>
  </si>
  <si>
    <t>BACKER TRUST PROPERTY 1 LT 18 BLK B</t>
  </si>
  <si>
    <t>2446 SKYVIEW DR</t>
  </si>
  <si>
    <t>COIT HEIGHTS SUB UNIT 4C</t>
  </si>
  <si>
    <t xml:space="preserve">RAITS, STACEY K </t>
  </si>
  <si>
    <t xml:space="preserve">HOLMES, BARBARA N </t>
  </si>
  <si>
    <t>COIT HEIGHTS SUB UNIT 4C LOT 120 BLOCK B</t>
  </si>
  <si>
    <t>1711 KRISTIN CT</t>
  </si>
  <si>
    <t xml:space="preserve">ROLAND, MICHAEL J &amp; BRIANNE M </t>
  </si>
  <si>
    <t>SIERRA HIGHLANDS 9B LT 3 BLK A</t>
  </si>
  <si>
    <t>1669 SHADOW PARK DR</t>
  </si>
  <si>
    <t xml:space="preserve">ARATA, DANIEL &amp; ANGELA </t>
  </si>
  <si>
    <t>6036 WHITE WATER WAY</t>
  </si>
  <si>
    <t>SIERRA HIGHLANDS 9B LT 8 BLK A</t>
  </si>
  <si>
    <t>1733 SHADOW PARK DR</t>
  </si>
  <si>
    <t>PM 2360</t>
  </si>
  <si>
    <t xml:space="preserve">MARKS, STANLEY A &amp; CHARLENE C  </t>
  </si>
  <si>
    <t xml:space="preserve">1689 SHADOW PARK DR </t>
  </si>
  <si>
    <t xml:space="preserve">FELIX, ANUEVO U &amp; LOURDES </t>
  </si>
  <si>
    <t>039-190-48</t>
  </si>
  <si>
    <t>PM 2360 LOT 1</t>
  </si>
  <si>
    <t>SIERRA HIGHLANDS 9B LT 49 BLK E</t>
  </si>
  <si>
    <t>1549 LINDSAY DR</t>
  </si>
  <si>
    <t xml:space="preserve">BRIA, DANIEL L </t>
  </si>
  <si>
    <t xml:space="preserve">LEDUC FAMILY TRUST, SALLY J  </t>
  </si>
  <si>
    <t>SIERRA HIGHLANDS UNIT NO 9B LOT 21 BLK B</t>
  </si>
  <si>
    <t>1045 BACKER WAY</t>
  </si>
  <si>
    <t xml:space="preserve">MARKS, STANLEY A &amp; CHARLENE C </t>
  </si>
  <si>
    <t>1689 SHADOW PARK DR</t>
  </si>
  <si>
    <t xml:space="preserve">ESCALERA INVESTMENTS LLC </t>
  </si>
  <si>
    <t>BACKER TRUST 2 LT 82 BLK F</t>
  </si>
  <si>
    <t>1080 MC GEE DR</t>
  </si>
  <si>
    <t>LEE, BARRY D &amp; SHARON E et al</t>
  </si>
  <si>
    <t>1080 MCGEE DR</t>
  </si>
  <si>
    <t xml:space="preserve">FEDERAL NATIONAL MORTAGE ASSN </t>
  </si>
  <si>
    <t>BACKER TRUST PROPERTY 2 LT 65 BLK F</t>
  </si>
  <si>
    <t>5998 WALNUT CREEK RD</t>
  </si>
  <si>
    <t>ZUNINI, JOSEPH P et al</t>
  </si>
  <si>
    <t xml:space="preserve">AHMAD, SAJIDA N </t>
  </si>
  <si>
    <t>BACKER TRUST PROPERTY 2 LT 58 BLK D</t>
  </si>
  <si>
    <t>5960 WALNUT CREEK RD</t>
  </si>
  <si>
    <t>CAI, JINLI et al</t>
  </si>
  <si>
    <t>LIU YANG</t>
  </si>
  <si>
    <t xml:space="preserve">LIU , YANG </t>
  </si>
  <si>
    <t>BACKER TRUST PROPERTY 2 LT 54</t>
  </si>
  <si>
    <t>1640 SIERRA HIGHLANDS DR</t>
  </si>
  <si>
    <t xml:space="preserve">ROBINSON, TIMOTHY M &amp; LORA A  </t>
  </si>
  <si>
    <t xml:space="preserve">HERRERA, ERIKA D &amp; ROY E  </t>
  </si>
  <si>
    <t>SIERRA HIGHLANDS UNIT NO 12 AMD LOT 78 BLK B</t>
  </si>
  <si>
    <t>1673 MARINETTE CT</t>
  </si>
  <si>
    <t xml:space="preserve">WESTERGARD, BRIDGET M </t>
  </si>
  <si>
    <t>SIERRA HIGHLANDS 12 AMD LT 25 BLK A</t>
  </si>
  <si>
    <t>1720 CASSANDRA CT</t>
  </si>
  <si>
    <t>CHEN, XIN X  et al</t>
  </si>
  <si>
    <t xml:space="preserve">1720 CASSANDRA CT </t>
  </si>
  <si>
    <t xml:space="preserve">CHEN, XIN X  </t>
  </si>
  <si>
    <t>SIERRA HIGHLANDS 12 AMD LT 14 BLK A</t>
  </si>
  <si>
    <t>5995 S VIRGINIA ST</t>
  </si>
  <si>
    <t>PM 2798</t>
  </si>
  <si>
    <t>PINOCCHIO`S FAMILY LLC  LLC</t>
  </si>
  <si>
    <t xml:space="preserve">551 E MOANA LN </t>
  </si>
  <si>
    <t>040-141-34</t>
  </si>
  <si>
    <t>PM 2798 LT B</t>
  </si>
  <si>
    <t>945 LEAH CIR</t>
  </si>
  <si>
    <t>LEWIS LAKESIDE 3</t>
  </si>
  <si>
    <t>3420 THORNHILL CT</t>
  </si>
  <si>
    <t>LEWIS LAKESIDE 3 LT 189 BLK B</t>
  </si>
  <si>
    <t>973 LEAH CIR</t>
  </si>
  <si>
    <t xml:space="preserve">SWITZER, NEIL </t>
  </si>
  <si>
    <t>LEWIS LAKESIDE 3 LT 175 BLK B</t>
  </si>
  <si>
    <t>983 LEAH CIR</t>
  </si>
  <si>
    <t xml:space="preserve">URMSTON, JEFFREY D &amp; STEPHANIE M  </t>
  </si>
  <si>
    <t>EDWARDS/LEIDEL FAMILY TRUST TTEE et al</t>
  </si>
  <si>
    <t>LEWIS LAKESIDE 3 LT 170 BLK B</t>
  </si>
  <si>
    <t>993 LEAH CIR</t>
  </si>
  <si>
    <t>CONNER, DALE &amp; MARINA J et al</t>
  </si>
  <si>
    <t>CONNER, MARINA J et al</t>
  </si>
  <si>
    <t>LEWIS LAKESIDE 3 LT 165 BLK B</t>
  </si>
  <si>
    <t>960 LEAH CIR</t>
  </si>
  <si>
    <t xml:space="preserve">JUETT, JOHN &amp; VIRGINIA </t>
  </si>
  <si>
    <t>BIANCA-DEBAY, CLAUDIA et al</t>
  </si>
  <si>
    <t>LEWIS LAKESIDE 3 LT 148 BLK A</t>
  </si>
  <si>
    <t>6124 TORRINGTON DR</t>
  </si>
  <si>
    <t>LEWIS LAKESIDE 4</t>
  </si>
  <si>
    <t xml:space="preserve">FRENCH, AMY G &amp; CHARLES S </t>
  </si>
  <si>
    <t xml:space="preserve">6124 TORRINGTON DR                  </t>
  </si>
  <si>
    <t xml:space="preserve">TWAY, GEORGE F &amp; SUSAN A </t>
  </si>
  <si>
    <t>LEWIS LAKESIDE 4 LT 200 BLK B</t>
  </si>
  <si>
    <t>2150 GREEN TREE LN</t>
  </si>
  <si>
    <t>GREEN TREE ASSOCIATES LLC</t>
  </si>
  <si>
    <t xml:space="preserve">2150 GREEN TREE LN </t>
  </si>
  <si>
    <t xml:space="preserve">MEACHAM TRUST, MONTY R &amp; MICHELLE  </t>
  </si>
  <si>
    <t>FR NE4 SEC 12 TWP 18 RGE 19</t>
  </si>
  <si>
    <t>980 RIDGEVIEW DR</t>
  </si>
  <si>
    <t xml:space="preserve">YOUNG, THOMAS E &amp; MARINA M  </t>
  </si>
  <si>
    <t xml:space="preserve">980 RIDGEVIEW DR </t>
  </si>
  <si>
    <t xml:space="preserve">AJL PROPERTY SERVICES LLC </t>
  </si>
  <si>
    <t>LEWIS LAKESIDE 1 LT 74 BLK E</t>
  </si>
  <si>
    <t>987 MIRROR LAKE DR</t>
  </si>
  <si>
    <t xml:space="preserve">KAUFMAN, CARL P &amp; SHEILA </t>
  </si>
  <si>
    <t xml:space="preserve">BENSON LIVING TRUST  </t>
  </si>
  <si>
    <t>LEWIS LAKESIDE 1 LT 39 BLK B</t>
  </si>
  <si>
    <t>998 QUAIL HOLLOW DR</t>
  </si>
  <si>
    <t xml:space="preserve">FRINK, LINDA </t>
  </si>
  <si>
    <t xml:space="preserve">MUNNS, JACK L II &amp; VANESSA I </t>
  </si>
  <si>
    <t>LEWIS LAKESIDE 1 LT 23 BLK A</t>
  </si>
  <si>
    <t>976 MIRROR LAKE DR</t>
  </si>
  <si>
    <t xml:space="preserve">O`ROURKE, SUZANNE  </t>
  </si>
  <si>
    <t xml:space="preserve">AZZARA LIVING TRUST  </t>
  </si>
  <si>
    <t>LEWIS LAKESIDE 1 LT 14 BLK A</t>
  </si>
  <si>
    <t>6086 TORRINGTON DR</t>
  </si>
  <si>
    <t>LEWIS LAKESIDE 2</t>
  </si>
  <si>
    <t xml:space="preserve">SANDOVAL, LILIA </t>
  </si>
  <si>
    <t xml:space="preserve">FULWIDER </t>
  </si>
  <si>
    <t>LEWIS LAKESIDE 2 LT 101 BLK A</t>
  </si>
  <si>
    <t>1675 VIEW CREST DR</t>
  </si>
  <si>
    <t>FRANCE , ROBERT D &amp; PATRICIA A  et al</t>
  </si>
  <si>
    <t xml:space="preserve">4345 CASTLEWOOD CT </t>
  </si>
  <si>
    <t xml:space="preserve">BEAULIEU, NICOLE </t>
  </si>
  <si>
    <t>LAKESIDE MEADOWS 1 LT 21</t>
  </si>
  <si>
    <t>9011 TIMOTHY DR</t>
  </si>
  <si>
    <t xml:space="preserve">KORNSTEIN FAMILY 2007 TRUST  </t>
  </si>
  <si>
    <t>825 LAKESHORE BLVD</t>
  </si>
  <si>
    <t>FR SE4 SW4 SEC 12 TWP 18 RGE 19</t>
  </si>
  <si>
    <t>3155 HOLCOMB RANCH LN</t>
  </si>
  <si>
    <t>PM 522 FR</t>
  </si>
  <si>
    <t xml:space="preserve">WINCHESTER FAMILY TRUST, MAY ANN  </t>
  </si>
  <si>
    <t xml:space="preserve">2250 HEDGEWOOD DR </t>
  </si>
  <si>
    <t>040-650-23</t>
  </si>
  <si>
    <t>PM 522 FR LT B   RS 3814</t>
  </si>
  <si>
    <t>8505 DIERINGER DR</t>
  </si>
  <si>
    <t>PM 153</t>
  </si>
  <si>
    <t xml:space="preserve">COWEN, JAMES W &amp; DIANE M </t>
  </si>
  <si>
    <t xml:space="preserve">SIERRA ATLANTIC LLC </t>
  </si>
  <si>
    <t>PM 153  PAR B</t>
  </si>
  <si>
    <t>10475 DRYDEN DR</t>
  </si>
  <si>
    <t>FAIRVIEW FARMS 2</t>
  </si>
  <si>
    <t xml:space="preserve">WULFORST, SCOTT P &amp; CHERI  </t>
  </si>
  <si>
    <t>10475 DRYDEN LN</t>
  </si>
  <si>
    <t xml:space="preserve">GLOVER TRUST, AUDREY J  </t>
  </si>
  <si>
    <t>FAIRVIEW FARMS 2 LT 14 BLK B</t>
  </si>
  <si>
    <t>12050 THOMAS CREEK RD</t>
  </si>
  <si>
    <t>RS 4616</t>
  </si>
  <si>
    <t xml:space="preserve">PECHARICH TRUST, JOHN &amp; ROXANN  </t>
  </si>
  <si>
    <t xml:space="preserve">PROVIDENT FUNDING ASSOCIATES </t>
  </si>
  <si>
    <t>RS 4616 LT C2</t>
  </si>
  <si>
    <t>6144 GREENBROOK DR</t>
  </si>
  <si>
    <t>LEWIS LAKESIDE 5</t>
  </si>
  <si>
    <t xml:space="preserve">DEMIRTAS, HULYA </t>
  </si>
  <si>
    <t xml:space="preserve">6144 GREENBROOK DR </t>
  </si>
  <si>
    <t xml:space="preserve">GREENBRROK TRUST #6144  </t>
  </si>
  <si>
    <t>LEWIS LAKESIDE 5 LT 238 BLK A</t>
  </si>
  <si>
    <t>6141 GREENBROOK DR</t>
  </si>
  <si>
    <t xml:space="preserve">DOUCET 1989 TRUST, D JOSEPH &amp; LOUISE M  </t>
  </si>
  <si>
    <t xml:space="preserve">ALLEN TRUST, JACQUELINE S  </t>
  </si>
  <si>
    <t>LEWIS LAKESIDE 5 LT 254 BLK B</t>
  </si>
  <si>
    <t>1175 DEL MONTE LN</t>
  </si>
  <si>
    <t xml:space="preserve">ROSSER, PETER F &amp; JENNIFER A </t>
  </si>
  <si>
    <t xml:space="preserve">CARVILLE, JENNIFER </t>
  </si>
  <si>
    <t>040-081-41</t>
  </si>
  <si>
    <t>FRAC W2 SE4 SEC 36 TWP 19 RGE 19</t>
  </si>
  <si>
    <t>PREMIER TRUST CUSTODIAN</t>
  </si>
  <si>
    <t>PM 4937 LT 13A</t>
  </si>
  <si>
    <t>8000 LAKESIDE DR</t>
  </si>
  <si>
    <t>P O BOX 17129</t>
  </si>
  <si>
    <t xml:space="preserve">SMITH TRUST, STEVEN P &amp; DIANA   </t>
  </si>
  <si>
    <t>LAKESIDE RANCH EST 2 AMD LT 14A</t>
  </si>
  <si>
    <t>2680 OLIVE PL</t>
  </si>
  <si>
    <t>LAKESIDE RANCH EST 2 AMD</t>
  </si>
  <si>
    <t xml:space="preserve">RODNEY L REVOCABLE TRUST  </t>
  </si>
  <si>
    <t>RODNEY L MCKIMMEY TRUSTEE</t>
  </si>
  <si>
    <t>1509 MARBELLA RIDGE CT</t>
  </si>
  <si>
    <t xml:space="preserve">MCKIMMEY, RODNEY </t>
  </si>
  <si>
    <t>040-930-23</t>
  </si>
  <si>
    <t>LAKESIDE RANCH EST 2 AMD LT 9A</t>
  </si>
  <si>
    <t xml:space="preserve">HIGO, NORMAN R &amp; DONNA J </t>
  </si>
  <si>
    <t>PM 1112</t>
  </si>
  <si>
    <t xml:space="preserve">O`CONNOR, ALBERT H </t>
  </si>
  <si>
    <t>PM 1112 LT 1</t>
  </si>
  <si>
    <t>4125 CHRISTY WAY</t>
  </si>
  <si>
    <t xml:space="preserve">HEISS, KEVIN &amp; LINDA  </t>
  </si>
  <si>
    <t xml:space="preserve">4125 CHRISTY WAY </t>
  </si>
  <si>
    <t>FRONTIER EST LT 5 BLK B</t>
  </si>
  <si>
    <t>4125 BADGER CIR</t>
  </si>
  <si>
    <t xml:space="preserve">ZIMMERMAN, JON D &amp; NANCEE S </t>
  </si>
  <si>
    <t xml:space="preserve">HSBC BANK USA NA </t>
  </si>
  <si>
    <t>FRONTIER EST LT 6 BLK A</t>
  </si>
  <si>
    <t>4189 PLATEAU CT</t>
  </si>
  <si>
    <t>PM 3609</t>
  </si>
  <si>
    <t xml:space="preserve">WYATT FAMILY TRUST, JOSEPH E &amp; FRAN M  </t>
  </si>
  <si>
    <t>041-062-71</t>
  </si>
  <si>
    <t>PM 3609 LT D1</t>
  </si>
  <si>
    <t>3699 CASHILL BLVD</t>
  </si>
  <si>
    <t xml:space="preserve">PISANI, DONALD J &amp; MARY A </t>
  </si>
  <si>
    <t xml:space="preserve">ELLIOTT, TRAVIS J &amp; KATHRYN A </t>
  </si>
  <si>
    <t>SOUTH TERRACE HEIGHTS LT 15 BLK A</t>
  </si>
  <si>
    <t>3685 CASHILL BLVD</t>
  </si>
  <si>
    <t xml:space="preserve">MITCHELL, THOMAS D  </t>
  </si>
  <si>
    <t xml:space="preserve">3685 CASHILL BLVD </t>
  </si>
  <si>
    <t>SOUTH TERRACE HEIGHTS LT 10 BLK A</t>
  </si>
  <si>
    <t>6435 MEADOW VALLEY LN</t>
  </si>
  <si>
    <t xml:space="preserve">ROBERTSON, JAMES B &amp; HEATHER A </t>
  </si>
  <si>
    <t>6435 MEADOWVALLEY LN</t>
  </si>
  <si>
    <t xml:space="preserve">OSBORNE TRUST, ROBERT L &amp; DARLENE L  </t>
  </si>
  <si>
    <t>MEADOWRIDGE 1A AMD LT 16 BLK 1</t>
  </si>
  <si>
    <t>6385 MEADOW HILL CIR</t>
  </si>
  <si>
    <t xml:space="preserve">SALCEDO, SARAH  </t>
  </si>
  <si>
    <t xml:space="preserve">OBRIEN, KAREN L </t>
  </si>
  <si>
    <t>MEADOWRIDGE 1C LT 2 BLK A</t>
  </si>
  <si>
    <t>230 BRUNSWICK MILL RD</t>
  </si>
  <si>
    <t xml:space="preserve">SOWERS, RICHARD M  </t>
  </si>
  <si>
    <t xml:space="preserve">230 BRUNSWICK MILL RD </t>
  </si>
  <si>
    <t>FOREST HILLS LT 2 BLK C</t>
  </si>
  <si>
    <t>3593 SKYLINE VIEW DR</t>
  </si>
  <si>
    <t xml:space="preserve">SANGSTER, GARY D </t>
  </si>
  <si>
    <t>WOOD, MAXINE L et al</t>
  </si>
  <si>
    <t>EASTRIDGE 1 LT 1 BLK C</t>
  </si>
  <si>
    <t>3603 HEMLOCK WAY</t>
  </si>
  <si>
    <t xml:space="preserve">DAVIS , STEVEN L  </t>
  </si>
  <si>
    <t xml:space="preserve">HARDY, DEL </t>
  </si>
  <si>
    <t>EASTRIDGE 1 LT 5 BLK C</t>
  </si>
  <si>
    <t>2554 BRYCE CANYON LN</t>
  </si>
  <si>
    <t>OSTERMAN TRUST, LARRY E et al</t>
  </si>
  <si>
    <t>OSTERMAN, LARRY E  et al</t>
  </si>
  <si>
    <t>EASTRIDGE 1 LT 6 BLK B</t>
  </si>
  <si>
    <t>3584 HEMLOCK WAY</t>
  </si>
  <si>
    <t xml:space="preserve">PLASSMAN, VICTOR J II &amp; ELIZABETH  </t>
  </si>
  <si>
    <t xml:space="preserve">3280 CHERUM ST           </t>
  </si>
  <si>
    <t xml:space="preserve">WILLS, WESLEY &amp; MARY </t>
  </si>
  <si>
    <t>EASTRIDGE 1 LT 11 BLK E</t>
  </si>
  <si>
    <t>3583 HEMLOCK WAY</t>
  </si>
  <si>
    <t>SELLS, MEGAN et al</t>
  </si>
  <si>
    <t>EASTRIDGE 1 LT 1 BLK D</t>
  </si>
  <si>
    <t>40 MAC FARLANE DR</t>
  </si>
  <si>
    <t>PM 1795</t>
  </si>
  <si>
    <t xml:space="preserve">FLOCCHINI, CHRISTOPHER J &amp; JOANNE H </t>
  </si>
  <si>
    <t>40 MACFARLANE LN</t>
  </si>
  <si>
    <t xml:space="preserve">FERRINGTON, SUSAN </t>
  </si>
  <si>
    <t>PM 1795 LT 3</t>
  </si>
  <si>
    <t>3725 BRIGHTON WAY</t>
  </si>
  <si>
    <t xml:space="preserve">HORTON FAMILY TRUST, CHRISTOPHER R   </t>
  </si>
  <si>
    <t xml:space="preserve">HILD FAMILY TRUST, WARREN C &amp; RUTH G  </t>
  </si>
  <si>
    <t>CAUGHLIN RIDGES 1 VSTA PT LT 12 BLK A</t>
  </si>
  <si>
    <t>3879 VISTACREST DR</t>
  </si>
  <si>
    <t>KOVACH, KEVIN et al</t>
  </si>
  <si>
    <t xml:space="preserve">LISSY/LLOP LIVING TRUST  </t>
  </si>
  <si>
    <t>CAUGHLIN CREST LT 16 BLK A</t>
  </si>
  <si>
    <t>3907 VISTACREST DR</t>
  </si>
  <si>
    <t xml:space="preserve">DAVIS, KURT L &amp; MERI H </t>
  </si>
  <si>
    <t>3907 VISTA CREST DR</t>
  </si>
  <si>
    <t xml:space="preserve">ELLIS, DENNIS P &amp; KATHLEEN E </t>
  </si>
  <si>
    <t>CAUGHLIN CREST LT 2 BLK A</t>
  </si>
  <si>
    <t>4665 VILLAGE GREEN PKWY</t>
  </si>
  <si>
    <t>O`SULLIVAN, COLIN P  et al</t>
  </si>
  <si>
    <t xml:space="preserve">SMITH MIRIAM E </t>
  </si>
  <si>
    <t>4665 VILLAGE GREEN</t>
  </si>
  <si>
    <t xml:space="preserve">GRINDLE , A L </t>
  </si>
  <si>
    <t>VILLAGE GREEN 1 LT 114 BLK A</t>
  </si>
  <si>
    <t>4669 WALTHAM CT</t>
  </si>
  <si>
    <t xml:space="preserve">SALA, TODD A &amp; TARA M  </t>
  </si>
  <si>
    <t xml:space="preserve">4669 WALTHAM CT </t>
  </si>
  <si>
    <t>VILLAGE GREEN 1 FR LT 130 &amp; 140 BLK A</t>
  </si>
  <si>
    <t>4651 SOMMERVILLE WAY</t>
  </si>
  <si>
    <t xml:space="preserve">PATRICK REVOCABLE TRUST, JAMES &amp; JANET  </t>
  </si>
  <si>
    <t xml:space="preserve">PATRICK, JAMES &amp; JANET </t>
  </si>
  <si>
    <t>VILLAGE GREEN 1 LT 159 BLK B</t>
  </si>
  <si>
    <t>4695 SOMMERVILLE WAY</t>
  </si>
  <si>
    <t xml:space="preserve">CARNEY FAMILY TRUST   </t>
  </si>
  <si>
    <t xml:space="preserve">CARNEY, BRAD A &amp; KELLY R </t>
  </si>
  <si>
    <t>VILLAGE GREEN 1 LT 155 BLK B</t>
  </si>
  <si>
    <t>3135 GREENSBURG CIR</t>
  </si>
  <si>
    <t xml:space="preserve">TIPPETT, VICKIE L </t>
  </si>
  <si>
    <t xml:space="preserve">OLECHNY, STEVEN &amp; LOIS </t>
  </si>
  <si>
    <t>WESTPOINT 1 LT 9 BLK A</t>
  </si>
  <si>
    <t>3801 N WESTPOINT DR</t>
  </si>
  <si>
    <t xml:space="preserve">LEBEAU, REBECCA l </t>
  </si>
  <si>
    <t xml:space="preserve">KOEHLER, MICHAEL F &amp; KIM L </t>
  </si>
  <si>
    <t>WESTPOINT 1 LT 15 BLK B</t>
  </si>
  <si>
    <t>3871 N WESTPOINT DR</t>
  </si>
  <si>
    <t>WESTPOINT 2</t>
  </si>
  <si>
    <t xml:space="preserve">DURAND, JAMES B &amp; IRENE J </t>
  </si>
  <si>
    <t xml:space="preserve">ZUGEL TRUST, LAWRENCE M &amp; DAGMAR  </t>
  </si>
  <si>
    <t>041-240-86</t>
  </si>
  <si>
    <t>WESTPOINT 2 LT 23 BLK D</t>
  </si>
  <si>
    <t>3921 N WESTPOINT DR</t>
  </si>
  <si>
    <t>LUO , SHEN-YI et al</t>
  </si>
  <si>
    <t xml:space="preserve">SHUBINSKI, ROBERT E </t>
  </si>
  <si>
    <t>WESTPOINT 2 LT 18 BLK D</t>
  </si>
  <si>
    <t>4795 CAUGHLIN PKWY</t>
  </si>
  <si>
    <t>PM 3697</t>
  </si>
  <si>
    <t xml:space="preserve">KAJ PROPERTIES III LLC </t>
  </si>
  <si>
    <t>PO BOX 19765</t>
  </si>
  <si>
    <t xml:space="preserve">FOUR M LLC </t>
  </si>
  <si>
    <t>041-490-19</t>
  </si>
  <si>
    <t>PM 3697 LT 4</t>
  </si>
  <si>
    <t>ABEQ</t>
  </si>
  <si>
    <t>4655 BRADFORD CT</t>
  </si>
  <si>
    <t>VANTAGE POINT 1 LT 123 BLK A</t>
  </si>
  <si>
    <t>4684 BRADFORD LN</t>
  </si>
  <si>
    <t xml:space="preserve">COPELAND, LANI </t>
  </si>
  <si>
    <t xml:space="preserve">4684 BRADFORD LN </t>
  </si>
  <si>
    <t xml:space="preserve">DAVIS LIVING TRUST, DORIS H  </t>
  </si>
  <si>
    <t>VANTAGE POINT 1 LT 114 BLK B</t>
  </si>
  <si>
    <t>4795 DEERFIELD CT</t>
  </si>
  <si>
    <t xml:space="preserve">BONTA, RONALD M &amp; DELIA G </t>
  </si>
  <si>
    <t>5612 GRIZZLY RD</t>
  </si>
  <si>
    <t>VANTAGE POINT 3 LT 309 BLK B</t>
  </si>
  <si>
    <t>4750 BRADFORD LN</t>
  </si>
  <si>
    <t xml:space="preserve">CASTRO, ANDREA M </t>
  </si>
  <si>
    <t xml:space="preserve">4750 BRADFORD LN </t>
  </si>
  <si>
    <t>VANTAGE POINT 3 LT 329 BLK C</t>
  </si>
  <si>
    <t>6625 EVANS CREEK DR</t>
  </si>
  <si>
    <t xml:space="preserve">BRAUNSTEIN, KEN &amp; DIANA </t>
  </si>
  <si>
    <t>EVANS CREEK EST 3 LT 26 BLK D</t>
  </si>
  <si>
    <t>1889 ROLLING BROOK CT</t>
  </si>
  <si>
    <t xml:space="preserve">GOODMAN, JUSTIN &amp; ALEXANDRA </t>
  </si>
  <si>
    <t>EVANS CREEK EST 3 LT 10 BLK B</t>
  </si>
  <si>
    <t>1921 ROLLING BROOK LN</t>
  </si>
  <si>
    <t xml:space="preserve">WESTFALL, ALISON S </t>
  </si>
  <si>
    <t xml:space="preserve">1921 ROLLING BROOK LN </t>
  </si>
  <si>
    <t xml:space="preserve">GLENN FAMILY TRUST  </t>
  </si>
  <si>
    <t>EVANS CREEK EST 3 LT 7 BLK B</t>
  </si>
  <si>
    <t>4580 LYNNFIELD CT</t>
  </si>
  <si>
    <t>WRIGHT, BARBARA L  et al</t>
  </si>
  <si>
    <t xml:space="preserve">WOLFE FAMILY TRUST, HANS R  </t>
  </si>
  <si>
    <t>041-461-22</t>
  </si>
  <si>
    <t>HERITAGE ON THE GREEN 2 LT 215 BLK A</t>
  </si>
  <si>
    <t>4389 DUNKELD RD</t>
  </si>
  <si>
    <t xml:space="preserve">HOFFMAN FAMILY LIVING TRUST  </t>
  </si>
  <si>
    <t>4980 ABERFELDY RD</t>
  </si>
  <si>
    <t xml:space="preserve">HOFFMAN, BARBARA G </t>
  </si>
  <si>
    <t>CASTLE RIDGE 1 LT 102 BLK A</t>
  </si>
  <si>
    <t>2835 LAKE RIDGE SHORES E</t>
  </si>
  <si>
    <t xml:space="preserve">OWEN, GARY </t>
  </si>
  <si>
    <t>140 W HUFFAKER LN STE 509</t>
  </si>
  <si>
    <t xml:space="preserve">ZUNDEL, DAVID O &amp; SHARYN G </t>
  </si>
  <si>
    <t>LAKE RIDGE SHORES 4 LT 3 BLK C</t>
  </si>
  <si>
    <t>2415 NORTH SHORE DR</t>
  </si>
  <si>
    <t>LAKE RIDGE SHORES UNIT 1</t>
  </si>
  <si>
    <t>MARTIN, AILEEN  et al</t>
  </si>
  <si>
    <t>PO BOX 7176</t>
  </si>
  <si>
    <t xml:space="preserve">HENSON FAMILY TRUST, NOLAN E  </t>
  </si>
  <si>
    <t>LAKE RIDGE SHORES 1 LT 102</t>
  </si>
  <si>
    <t>2555 LAKE RIDGE SHORES W</t>
  </si>
  <si>
    <t>LAKE RIDGE SHORES AMD 1</t>
  </si>
  <si>
    <t xml:space="preserve">A J &amp; SUZETTE FAMILY TRUST  </t>
  </si>
  <si>
    <t>ALVIN J &amp; SUZETTE D HICKS TRUSTEES</t>
  </si>
  <si>
    <t>2555 W LAKE RIDGE SHORES</t>
  </si>
  <si>
    <t>LAKE RIDGE SHORES 1 AMD LT 110</t>
  </si>
  <si>
    <t>2670 LAKE RIDGE SHORES W</t>
  </si>
  <si>
    <t xml:space="preserve">BARSKY TRUST, SANFORD  </t>
  </si>
  <si>
    <t xml:space="preserve">BARSKY, SANFORD H </t>
  </si>
  <si>
    <t>LAKE RIDGE SHORES 2 LT 228</t>
  </si>
  <si>
    <t>2685 LAKE RIDGE SHORES W</t>
  </si>
  <si>
    <t>CANNADY, MINDY C et al</t>
  </si>
  <si>
    <t>MOYLE DUSTY L</t>
  </si>
  <si>
    <t>2685 LAKERIDGE SHORES WEST</t>
  </si>
  <si>
    <t>LAKE RIDGE SHORES 2 LT 213</t>
  </si>
  <si>
    <t>2615 LAKE RIDGE SHORES W</t>
  </si>
  <si>
    <t>LAKE RIDGE SHORES UNIT TW</t>
  </si>
  <si>
    <t xml:space="preserve">MURRAY, THOMAS P </t>
  </si>
  <si>
    <t>2615 LAKERIDGE SHORES W</t>
  </si>
  <si>
    <t xml:space="preserve">BLUME, HAZEL P </t>
  </si>
  <si>
    <t>LAKE RIDGE SHORES 2 LT 219</t>
  </si>
  <si>
    <t>2720 LAKE RIDGE SHORES W</t>
  </si>
  <si>
    <t xml:space="preserve">BROPHY LIVING TRUST  </t>
  </si>
  <si>
    <t>2720 LAKERIDGE SHORES W</t>
  </si>
  <si>
    <t xml:space="preserve">BROPHY, STEVEN B </t>
  </si>
  <si>
    <t>LAKE RIDGE SHORES 3 LT 313</t>
  </si>
  <si>
    <t>2765 SPINNAKER DR</t>
  </si>
  <si>
    <t>LAKE RIDGE SHORES EAST 2B</t>
  </si>
  <si>
    <t xml:space="preserve">ETNYRE, ROBB P &amp; KAREN B  </t>
  </si>
  <si>
    <t xml:space="preserve">2765 SPINNAKER DR </t>
  </si>
  <si>
    <t>LAKE RIDGE SHORES EAST 2B LT 106 BLK C</t>
  </si>
  <si>
    <t>6283 COPPER RIDGE</t>
  </si>
  <si>
    <t xml:space="preserve">DROSTE TRUST, DIETER  </t>
  </si>
  <si>
    <t>6542 QUARRY LN</t>
  </si>
  <si>
    <t xml:space="preserve">POWELL, STANLEY D </t>
  </si>
  <si>
    <t>COPPER POINT LT 31 BLK D</t>
  </si>
  <si>
    <t>COPPER POINT C/A</t>
  </si>
  <si>
    <t xml:space="preserve">COPPER POINT AT LAKERIDGE, HOA </t>
  </si>
  <si>
    <t>C/O TRUCKEE MEADOWS PROPERTIES</t>
  </si>
  <si>
    <t>6170 RIDGEVIEW CT STE C</t>
  </si>
  <si>
    <t>BANKS, DENNIS &amp; SUSAN et al</t>
  </si>
  <si>
    <t>COPPER POINT COMMON AREA</t>
  </si>
  <si>
    <t>1958 MOUNTAIN VISTA WAY</t>
  </si>
  <si>
    <t xml:space="preserve">DIMAGGIO, JOHN &amp; CARLA </t>
  </si>
  <si>
    <t xml:space="preserve">EVERETT, NORMAN &amp; ELIZABETH A R </t>
  </si>
  <si>
    <t>CREST LT 7 BLK C</t>
  </si>
  <si>
    <t>6174 SQUIRES LN</t>
  </si>
  <si>
    <t xml:space="preserve">SHAMBAUGH TRUST, NEIL &amp; ELISA  </t>
  </si>
  <si>
    <t>CARRIAGE HOUSE LT 54 BLK D</t>
  </si>
  <si>
    <t>6164 CARRIAGE HOUSE WAY</t>
  </si>
  <si>
    <t>CARRIAGE HOUSE SUB</t>
  </si>
  <si>
    <t xml:space="preserve">SNEED REVOCABLE LIVING TRUST, JUDITH O  </t>
  </si>
  <si>
    <t xml:space="preserve">PETERSCHMIDT FAMILY TRUST, CARL G &amp; ALICE M  </t>
  </si>
  <si>
    <t>CARRIAGE HOUSE LT 103 BLK E</t>
  </si>
  <si>
    <t>6290 SUNRISE MEADOWS LOOP</t>
  </si>
  <si>
    <t xml:space="preserve">ANDERSON FAMILY TRUST, PAUL J   </t>
  </si>
  <si>
    <t xml:space="preserve">KEYES 2009 TRUST, SAUNDRA E  </t>
  </si>
  <si>
    <t>LAKERIDGE SPRINGS 1 LT 64 BLK C</t>
  </si>
  <si>
    <t>2691 STARR MEADOWS LOOP</t>
  </si>
  <si>
    <t xml:space="preserve">ALBERT, MARK H &amp; BRIDGET B </t>
  </si>
  <si>
    <t>2691 STARR MEADOWS LP</t>
  </si>
  <si>
    <t xml:space="preserve">MUNTEAN, JOHN L &amp; DONNA F </t>
  </si>
  <si>
    <t>LAKERIDGE SPRINGS 1 LT 107 BLK E</t>
  </si>
  <si>
    <t>2805 ALPINE CREEK RD</t>
  </si>
  <si>
    <t xml:space="preserve">MALONEY, MICHAEL D &amp; JACQUELINE G  </t>
  </si>
  <si>
    <t xml:space="preserve">PETRILLA, MARCUS </t>
  </si>
  <si>
    <t>LAKERIDGE SPRINGS 1 LT 44 BLK B</t>
  </si>
  <si>
    <t>2889 MOUNTAIN SPRINGS RD</t>
  </si>
  <si>
    <t>LAKERIDGE SPRINGS UNT TWO</t>
  </si>
  <si>
    <t xml:space="preserve">TSCHABRUN, DONALD B &amp; BRENDA J </t>
  </si>
  <si>
    <t>LAKERIDGE SPRINGS UNIT TWO LT 64 BLK C</t>
  </si>
  <si>
    <t>2799 MOUNTAIN SPRINGS RD</t>
  </si>
  <si>
    <t xml:space="preserve">MSH LLC </t>
  </si>
  <si>
    <t>2809 MOUNTAIN SPRINGS RD</t>
  </si>
  <si>
    <t xml:space="preserve">STROM, WILLIAM </t>
  </si>
  <si>
    <t>042-322-05</t>
  </si>
  <si>
    <t>LAKERIDGE SPRINGS 2 LT 55 BLK C + CORNER</t>
  </si>
  <si>
    <t>3136 ALPINE CREEK RD</t>
  </si>
  <si>
    <t xml:space="preserve">ALDRED, JOHN B &amp; NANCY H </t>
  </si>
  <si>
    <t xml:space="preserve">BANK OF NEW YORK  </t>
  </si>
  <si>
    <t>LAKERIDGE SPRINGS 3 LT 19 BLK A</t>
  </si>
  <si>
    <t>3080 ALPINE CREEK RD</t>
  </si>
  <si>
    <t>FREY, CHRISTOPHER P et al</t>
  </si>
  <si>
    <t>GERARDIN-FREY MICAELA D</t>
  </si>
  <si>
    <t xml:space="preserve">SHAW, JOSEPHINE A </t>
  </si>
  <si>
    <t>LAKERIDGE SPRINGS 3 LT 11 BLK A</t>
  </si>
  <si>
    <t>3076 ALPINE CREEK RD</t>
  </si>
  <si>
    <t xml:space="preserve">MARS-WELLHONER FAMILY TRUST  </t>
  </si>
  <si>
    <t>2590 SPINNAKER DR</t>
  </si>
  <si>
    <t>LAKERIDGE SPRINGS 3 LT 10 BLK A</t>
  </si>
  <si>
    <t>6360 S COPPER CREEK CT</t>
  </si>
  <si>
    <t xml:space="preserve">BURNS, MARY V  </t>
  </si>
  <si>
    <t xml:space="preserve">16610 SNOW FLOWER DR </t>
  </si>
  <si>
    <t xml:space="preserve">ROESSLER, BARBARA A </t>
  </si>
  <si>
    <t>LAKERIDGE SPRINGS 3 LT 2 BLK A</t>
  </si>
  <si>
    <t>6336 N COPPER CREEK CT</t>
  </si>
  <si>
    <t xml:space="preserve">MIHAYLOVA, TATIANA  </t>
  </si>
  <si>
    <t xml:space="preserve">MEREDITH, BETTY L </t>
  </si>
  <si>
    <t>LAKERIDGE SPRINGS 3 LT 54 BLK B</t>
  </si>
  <si>
    <t>6337 N COPPER CREEK CT</t>
  </si>
  <si>
    <t xml:space="preserve">PARISE, DIXIE L </t>
  </si>
  <si>
    <t>6337 NORTH COPPER CREEK CT</t>
  </si>
  <si>
    <t>LAKERIDGE SPRINGS 3 LT 47 BLK B</t>
  </si>
  <si>
    <t>6020 SUNRISE MEADOWS LOOP</t>
  </si>
  <si>
    <t xml:space="preserve">BOESE, ERIC S &amp; ZIVILE </t>
  </si>
  <si>
    <t xml:space="preserve">HAIGH LIVING TRUST  </t>
  </si>
  <si>
    <t>LAKERIDGE SPRINGS 6 LT 602 BLK A</t>
  </si>
  <si>
    <t>6085 QUAIL MEADOWS CT</t>
  </si>
  <si>
    <t xml:space="preserve">GALLWAS, JORGI L </t>
  </si>
  <si>
    <t>LAKERIDGE SPRINGS 7 LT 716 BLK B</t>
  </si>
  <si>
    <t>5250 BELLAZZA CT</t>
  </si>
  <si>
    <t xml:space="preserve">VU, BRIAN T </t>
  </si>
  <si>
    <t>MOSS, BARBARA E et al</t>
  </si>
  <si>
    <t>BELSERA LT 13</t>
  </si>
  <si>
    <t>5280 BELLAZZA CT</t>
  </si>
  <si>
    <t>SWAN, THOMAS et al</t>
  </si>
  <si>
    <t>5280 BELLAZA CT</t>
  </si>
  <si>
    <t>BELSERA LT 10</t>
  </si>
  <si>
    <t>6190 VISTA OCCHIO</t>
  </si>
  <si>
    <t xml:space="preserve">HINCKLEY, ARTHUR T &amp; CINDY A </t>
  </si>
  <si>
    <t>65 HIDDEN LAKE DR</t>
  </si>
  <si>
    <t xml:space="preserve">TNT LTD </t>
  </si>
  <si>
    <t>VILLAGIO DELLA MONTAGNA 1 LT 111</t>
  </si>
  <si>
    <t>6180 VISTA OCCHIO</t>
  </si>
  <si>
    <t xml:space="preserve">CGM SEPARATE PROPERTY TRUST  </t>
  </si>
  <si>
    <t xml:space="preserve">6180 OCCHIO VISTA </t>
  </si>
  <si>
    <t xml:space="preserve">VILLAGIO DELLA MONTAGNA 1 LT </t>
  </si>
  <si>
    <t>6170 VISTA OCCHIO</t>
  </si>
  <si>
    <t xml:space="preserve">BURCHARD , SCOTT W &amp; AMY H  </t>
  </si>
  <si>
    <t>VILLAGIO DELLA MONTAGNA 1 LT 113</t>
  </si>
  <si>
    <t>VILLAGIO DELLA MONTAGNA 1 LT 110</t>
  </si>
  <si>
    <t>8450 DIERINGER DR</t>
  </si>
  <si>
    <t>FR SE SEC 1</t>
  </si>
  <si>
    <t xml:space="preserve">GUENTHER, GODEHARD A </t>
  </si>
  <si>
    <t>2688 ROCKVIEW DR</t>
  </si>
  <si>
    <t>FR SE4 SE4 SEC 1 TWP 18 RGE 19</t>
  </si>
  <si>
    <t>700 MILE CIRCLE DR</t>
  </si>
  <si>
    <t>PM 1851</t>
  </si>
  <si>
    <t xml:space="preserve">ALONSO, RICARDO J &amp; CARISSA M  </t>
  </si>
  <si>
    <t xml:space="preserve">LANDA TRUST, LARRY M  </t>
  </si>
  <si>
    <t>PM 1851 LT B</t>
  </si>
  <si>
    <t>1190 MILE CIRCLE DR</t>
  </si>
  <si>
    <t>NW 4</t>
  </si>
  <si>
    <t xml:space="preserve">LAMB FAMILY TRUST  </t>
  </si>
  <si>
    <t>8140 W RED COACH AVE</t>
  </si>
  <si>
    <t xml:space="preserve">FR NE4 SEC 12 TWP 18 RGE 19 &amp; FR NW4 SEC 7 TWP 28 </t>
  </si>
  <si>
    <t>300 MILE CIRCLE DR</t>
  </si>
  <si>
    <t xml:space="preserve">FINLEY, DAVID C &amp; LAURA M </t>
  </si>
  <si>
    <t>FR SE4 SW4 SEC 6 TWP 18 RGE 20</t>
  </si>
  <si>
    <t>9800 DIXON LN</t>
  </si>
  <si>
    <t>PM 2676</t>
  </si>
  <si>
    <t>SLAGLE, CYNTHIA M et al</t>
  </si>
  <si>
    <t>043-070-14</t>
  </si>
  <si>
    <t>PM 2676 LT A</t>
  </si>
  <si>
    <t>8610 DIXON LN</t>
  </si>
  <si>
    <t xml:space="preserve">GRUNDLER, JOSEPH </t>
  </si>
  <si>
    <t>MEADOW CREEK VILLAGE 1 LT 2 BLK A</t>
  </si>
  <si>
    <t>8690 DIXON LN</t>
  </si>
  <si>
    <t xml:space="preserve">WALLQUIST, WILLIAM A </t>
  </si>
  <si>
    <t>MEADOW CREEK VILLAGE 1 LT 10 BLK A</t>
  </si>
  <si>
    <t>8770 DIXON LN</t>
  </si>
  <si>
    <t xml:space="preserve">LEUTZINGER TRUST, ROBERT N  </t>
  </si>
  <si>
    <t>ROBERT N LEUTZINGER TRUSTEE</t>
  </si>
  <si>
    <t>2014 TREMONT LN</t>
  </si>
  <si>
    <t xml:space="preserve">LEUTZINGER, ROBERT N  </t>
  </si>
  <si>
    <t>MEADOW CREEK VILLAGE 1 LT 18 BLK A</t>
  </si>
  <si>
    <t>640 W PATRIOT BLVD</t>
  </si>
  <si>
    <t>MEADOW CREEK EST 2-B</t>
  </si>
  <si>
    <t xml:space="preserve">FETTIG FAMILY TRUST  </t>
  </si>
  <si>
    <t xml:space="preserve">660 W PATRIOT BLVD </t>
  </si>
  <si>
    <t xml:space="preserve">PETERSON FAMILY TRUST, Q &amp; V  </t>
  </si>
  <si>
    <t>MEADOW CREEK ESTATES 2-B  LT 59 BLK D</t>
  </si>
  <si>
    <t>695 MEADOW VISTA DR</t>
  </si>
  <si>
    <t xml:space="preserve">695 MEADOW VISTA DR </t>
  </si>
  <si>
    <t xml:space="preserve">GORING FAMILY TRUST  </t>
  </si>
  <si>
    <t>MEADOW CREEK EST 2B LT 76 BLK D</t>
  </si>
  <si>
    <t>775 MEADOW VISTA DR</t>
  </si>
  <si>
    <t>ALLEN, EDWARD M et al</t>
  </si>
  <si>
    <t>STILES ERIN E</t>
  </si>
  <si>
    <t xml:space="preserve">LEDGER FAMILY TRUST  </t>
  </si>
  <si>
    <t>MEADOW CREEK EST 2B LT 73 BLK D</t>
  </si>
  <si>
    <t>824 BLUE FALLS PL</t>
  </si>
  <si>
    <t>CRYSTAL LAKE SUB UNIT 1A</t>
  </si>
  <si>
    <t xml:space="preserve">FRICKE, AARON B </t>
  </si>
  <si>
    <t>150 LAS VEGAS BLVD N UNIT 1010</t>
  </si>
  <si>
    <t xml:space="preserve">BACON GRANDCHILDRENS TRUST, MAXINE  </t>
  </si>
  <si>
    <t>CRYSTAL LAKE 1A  LT 3 BLK A</t>
  </si>
  <si>
    <t>834 BLUE FALLS PL</t>
  </si>
  <si>
    <t xml:space="preserve">STEELE TRUST, KIMBERLY A  </t>
  </si>
  <si>
    <t>KIMBERLY RAE TRUSTEE</t>
  </si>
  <si>
    <t xml:space="preserve">RAE, KIMBERLY </t>
  </si>
  <si>
    <t>CRYSTAL LAKE 1A LT 8</t>
  </si>
  <si>
    <t>7110 LIGHTHOUSE LN</t>
  </si>
  <si>
    <t>LIU, WENSHENG et al</t>
  </si>
  <si>
    <t>7110 LIGHTHOUSE LN # 22</t>
  </si>
  <si>
    <t xml:space="preserve">BARRY, OLGA A </t>
  </si>
  <si>
    <t>CRYSTAL LAKE 1A LT 22</t>
  </si>
  <si>
    <t>7251 BLUE FALLS CIR</t>
  </si>
  <si>
    <t xml:space="preserve">SIMPSON, MARJORIE </t>
  </si>
  <si>
    <t>89511-1014</t>
  </si>
  <si>
    <t xml:space="preserve">MC CALLUM, MARGARET </t>
  </si>
  <si>
    <t>CRYSTAL LAKE 1A LT 36 BLK B</t>
  </si>
  <si>
    <t>855 LIGHTHOUSE CT</t>
  </si>
  <si>
    <t xml:space="preserve">FARRELL, JACQUES L &amp; DR MARIE P </t>
  </si>
  <si>
    <t>13915 CALLE ELEGANTE</t>
  </si>
  <si>
    <t>CRYSTAL LAKE 1A  LT 44  BLK B</t>
  </si>
  <si>
    <t>850 LIGHTHOUSE CT</t>
  </si>
  <si>
    <t xml:space="preserve">YOUNG, KAREN  </t>
  </si>
  <si>
    <t xml:space="preserve">850 LIGHTHOUSE CT </t>
  </si>
  <si>
    <t>CRYSTAL LAKE 1A  LT 51 BLK B</t>
  </si>
  <si>
    <t>7647 DEVONSHIRE LN</t>
  </si>
  <si>
    <t xml:space="preserve">COLEMAN, REBECCA </t>
  </si>
  <si>
    <t>COUNTRY EST 3 AMD LT 7 BLK A</t>
  </si>
  <si>
    <t>7665 WATER VIEW WAY</t>
  </si>
  <si>
    <t xml:space="preserve">PAHOLKE, KIMBERLY G  </t>
  </si>
  <si>
    <t>HOWELLS, JULIUS A et al</t>
  </si>
  <si>
    <t>COUNTRY EST 3 AMD  LT 11 BLK A</t>
  </si>
  <si>
    <t>839 SWALEDALE DR</t>
  </si>
  <si>
    <t>COUNTRY ESTATES 5 AMD</t>
  </si>
  <si>
    <t xml:space="preserve">MARLATT, STEWART G &amp; TERRY  </t>
  </si>
  <si>
    <t xml:space="preserve">839 SWALEDALE DR </t>
  </si>
  <si>
    <t>COUNTRY ESTATES 5 AMD LT 4 BLK A</t>
  </si>
  <si>
    <t>7476 WHEELDALE CIR</t>
  </si>
  <si>
    <t>COUNTRY ESTATES NO 5 AMD</t>
  </si>
  <si>
    <t xml:space="preserve">POWERS LIVING TRUST, JIMMY D  </t>
  </si>
  <si>
    <t>PO BOX 727</t>
  </si>
  <si>
    <t>LOS ALAMOS</t>
  </si>
  <si>
    <t>93440</t>
  </si>
  <si>
    <t xml:space="preserve">SIMBERKOFF 1995 TRUST, CORNELIA W  </t>
  </si>
  <si>
    <t>COUNTRY ESTATES NO 5 AMD  LOT 14 BLK A</t>
  </si>
  <si>
    <t>7671 BARNSDALE RD</t>
  </si>
  <si>
    <t>COUNTRY EST 4 AMD</t>
  </si>
  <si>
    <t xml:space="preserve">SMITH , JUSTIN D &amp; RENEE A  </t>
  </si>
  <si>
    <t xml:space="preserve">SMITH , JUSTIN D  </t>
  </si>
  <si>
    <t>043-214-03</t>
  </si>
  <si>
    <t>COUNTRY EST 4 AMD LT 3 BLK A</t>
  </si>
  <si>
    <t>7683 BARNSDALE RD</t>
  </si>
  <si>
    <t xml:space="preserve">ACALANES FAMILY REV TRUST  </t>
  </si>
  <si>
    <t>JAMES A &amp; KIMBERLY L ROETS TRUSTEES</t>
  </si>
  <si>
    <t>9801 GAVIN STONE AVE</t>
  </si>
  <si>
    <t>89145</t>
  </si>
  <si>
    <t xml:space="preserve">ROETS, JAMES A &amp; KIMBERLY L </t>
  </si>
  <si>
    <t>043-214-05</t>
  </si>
  <si>
    <t>COUNTRY EST 4 AMD LT 5 BLK A</t>
  </si>
  <si>
    <t>7740 PICKERING CIR</t>
  </si>
  <si>
    <t xml:space="preserve">MEEHAN, GREGORY E &amp; ANNETTE S </t>
  </si>
  <si>
    <t xml:space="preserve">THOMPSON, MARCUS T </t>
  </si>
  <si>
    <t>043-214-16</t>
  </si>
  <si>
    <t>COUNTRY EST 4 AMD LT 5  BLK C</t>
  </si>
  <si>
    <t>7721 PICKERING CIR</t>
  </si>
  <si>
    <t>DRAHOS, MARIA et al</t>
  </si>
  <si>
    <t xml:space="preserve">DRAHOS, MARIA </t>
  </si>
  <si>
    <t>COUNTRY EST 4 AMD LT 5 BLK B</t>
  </si>
  <si>
    <t>7575 LIGHTHOUSE LN</t>
  </si>
  <si>
    <t>COUNTRY EST 6 AMD</t>
  </si>
  <si>
    <t xml:space="preserve">CAVINS, JENNIFER L </t>
  </si>
  <si>
    <t xml:space="preserve">WIGGERS, RICHARD C &amp; JENIFER W </t>
  </si>
  <si>
    <t>COUNTRY EST 6 AMD  LT 14 BLK A</t>
  </si>
  <si>
    <t>7566 WHIMBLETON WAY</t>
  </si>
  <si>
    <t xml:space="preserve">FERREL, NATASHA </t>
  </si>
  <si>
    <t>C/O MARJI SMITH</t>
  </si>
  <si>
    <t>PO BOX 1122</t>
  </si>
  <si>
    <t>FERNDALE</t>
  </si>
  <si>
    <t>95536</t>
  </si>
  <si>
    <t xml:space="preserve">VICTORIOUS LIFE PROPERTIES LLC </t>
  </si>
  <si>
    <t>COUNTRY EST 6 AMD LT 18 BLK A</t>
  </si>
  <si>
    <t>7509 WHIMBLETON WAY</t>
  </si>
  <si>
    <t>COUNTRY EST 7 AMD</t>
  </si>
  <si>
    <t xml:space="preserve">KONG MING TRUST  </t>
  </si>
  <si>
    <t>PETROSSI LOUIS F SR TRUSTEE</t>
  </si>
  <si>
    <t>COUNTRY EST 7 AMD LT 3 BLK A</t>
  </si>
  <si>
    <t>7555 WHIMBLETON WAY</t>
  </si>
  <si>
    <t>WYATT, KELLY M et al</t>
  </si>
  <si>
    <t>COUNTRY EST 7 AMD LT 19 BLK A</t>
  </si>
  <si>
    <t>7569 WHIMBLETON WAY</t>
  </si>
  <si>
    <t xml:space="preserve">MACK, JANELLE </t>
  </si>
  <si>
    <t>COUNTRY EST 7 AMD LT 25 BLK A</t>
  </si>
  <si>
    <t>7595 LIGHTHOUSE LN</t>
  </si>
  <si>
    <t xml:space="preserve">HOLMES, THEODORE F &amp; CHESLEY A </t>
  </si>
  <si>
    <t xml:space="preserve">BAILEY, BLAIR E </t>
  </si>
  <si>
    <t>COUNTRY EST 7 AMD LT 44 BLK A</t>
  </si>
  <si>
    <t>7598 DEVONSHIRE LN</t>
  </si>
  <si>
    <t xml:space="preserve">WULFING, KRISTINA E  </t>
  </si>
  <si>
    <t xml:space="preserve">SANCHEZ TRUST, M JANE  </t>
  </si>
  <si>
    <t>COUNTRY EST 2 AMD LT 13 BLK B</t>
  </si>
  <si>
    <t>7563 DEVONSHIRE LN</t>
  </si>
  <si>
    <t>BLAIN, NICOLE et al</t>
  </si>
  <si>
    <t>BLAIR, COREY et al</t>
  </si>
  <si>
    <t>COUNTRY EST 2 AMD LT 8 BLK A</t>
  </si>
  <si>
    <t>7516 DEVONSHIRE LN</t>
  </si>
  <si>
    <t>COUNTRY  EST AMD 2</t>
  </si>
  <si>
    <t xml:space="preserve">DEMAFELIZ, CRISTINE V  </t>
  </si>
  <si>
    <t xml:space="preserve">CORTEZ, NORAH </t>
  </si>
  <si>
    <t>COUNTRY EST 2 AMD LT 5 BLK C</t>
  </si>
  <si>
    <t>486 SIERRA LEAF CIR</t>
  </si>
  <si>
    <t xml:space="preserve">DOBYNS FAMILY TRUST  </t>
  </si>
  <si>
    <t xml:space="preserve">DOBYNS, ELDON &amp; EARLENE </t>
  </si>
  <si>
    <t>CASITAS DE LA SIERRA LT 4 BLK A</t>
  </si>
  <si>
    <t>404 SIERRA LEAF CIR</t>
  </si>
  <si>
    <t xml:space="preserve">TYLER, DONALD J </t>
  </si>
  <si>
    <t>CASITAS DE LA SIERRA LT 39 BLK A</t>
  </si>
  <si>
    <t>460 SPRING LEAF CIR</t>
  </si>
  <si>
    <t xml:space="preserve">JOUFLAS, PETER T &amp; SANDY H  </t>
  </si>
  <si>
    <t xml:space="preserve">GAJEWSKI, HELEN </t>
  </si>
  <si>
    <t>CASITAS DE LA SIERRA LT 43 BLK C</t>
  </si>
  <si>
    <t>425 SIERRA LEAF CIR</t>
  </si>
  <si>
    <t xml:space="preserve">KINTNER, DONALD &amp; SALLY J </t>
  </si>
  <si>
    <t>CASITAS DE LA SIERRA LT 56 BLK C</t>
  </si>
  <si>
    <t>445 SIERRA LEAF CIR</t>
  </si>
  <si>
    <t xml:space="preserve">BERRY, GREGORY J </t>
  </si>
  <si>
    <t>7915 KEVIN LN</t>
  </si>
  <si>
    <t>CASITAS DE LA SIERRA LT 54 BLK C</t>
  </si>
  <si>
    <t>455 SIERRA LEAF CIR</t>
  </si>
  <si>
    <t xml:space="preserve">AHRENS TRUST, LEAHNELL  </t>
  </si>
  <si>
    <t xml:space="preserve">AHRENS FAMILY TRUST  </t>
  </si>
  <si>
    <t>CASITAS DE LA SIERRA LT 50 BLK C</t>
  </si>
  <si>
    <t>180 W HUFFAKER LN</t>
  </si>
  <si>
    <t>RS 4369</t>
  </si>
  <si>
    <t xml:space="preserve">RJB PARTNERSHIP </t>
  </si>
  <si>
    <t>180 W HUFFAKER LN # 301</t>
  </si>
  <si>
    <t xml:space="preserve">TWO TRO LLC </t>
  </si>
  <si>
    <t>043-320-03</t>
  </si>
  <si>
    <t>RS 4369 LT 3A</t>
  </si>
  <si>
    <t>140 W HUFFAKER LN</t>
  </si>
  <si>
    <t xml:space="preserve">AFA PROPERTIES LLC </t>
  </si>
  <si>
    <t>140 HUFFAKER #510</t>
  </si>
  <si>
    <t>043-320-06</t>
  </si>
  <si>
    <t>RS 4369 LT 5K</t>
  </si>
  <si>
    <t>RS 4369 LT 5L</t>
  </si>
  <si>
    <t>12080 MAHOGANY CIR</t>
  </si>
  <si>
    <t xml:space="preserve">ALLRED, GARY L &amp; CINDY L </t>
  </si>
  <si>
    <t>1855 SOUTH GUAM ST</t>
  </si>
  <si>
    <t>RIDGERPOST</t>
  </si>
  <si>
    <t>SOUTH HILLS EST 1 LT 74</t>
  </si>
  <si>
    <t>280 FLORECA WAY</t>
  </si>
  <si>
    <t xml:space="preserve">WHITEFORD, MICHAEL L </t>
  </si>
  <si>
    <t>CAVANAUGH, J J AKA</t>
  </si>
  <si>
    <t>OFFENHAUSER ADD S HLS EST LT 35</t>
  </si>
  <si>
    <t>13255 SOUTH HILLS DR</t>
  </si>
  <si>
    <t>SOUTH HILLS EST 3</t>
  </si>
  <si>
    <t xml:space="preserve">SMELTZER, CHRISTOPHER R &amp; LEAH R </t>
  </si>
  <si>
    <t xml:space="preserve">NORMAN, DOMINIC C </t>
  </si>
  <si>
    <t>SOUTH HILLS EST 3 LT 507</t>
  </si>
  <si>
    <t>13230 SOUTH HILLS DR</t>
  </si>
  <si>
    <t>SOUTH HILLS EST 3 HODGE ADD</t>
  </si>
  <si>
    <t>QUINN, ANDREW C et al</t>
  </si>
  <si>
    <t>FOGELQUIST SARA M</t>
  </si>
  <si>
    <t>NANNINI TRUST, SUE M TTEE et al</t>
  </si>
  <si>
    <t>SOUTH HILLS EST 3 HODGE ADD LT 304</t>
  </si>
  <si>
    <t>13250 SOUTH HILLS DR</t>
  </si>
  <si>
    <t>SOUTH HILLS EST 3 HODGE A</t>
  </si>
  <si>
    <t xml:space="preserve">DOLLARHIDE, DAWN M </t>
  </si>
  <si>
    <t>1590 ZOLEZZI LN</t>
  </si>
  <si>
    <t>SOUTH HILLS EST 3 HODGE AD LT 305</t>
  </si>
  <si>
    <t>13270 SOUTH HILLS DR</t>
  </si>
  <si>
    <t xml:space="preserve">SOUTH HILLS EST 3 HODGE </t>
  </si>
  <si>
    <t xml:space="preserve">PEREZ, MARIO H &amp; LAURIE K  </t>
  </si>
  <si>
    <t xml:space="preserve">MORROW, JEFFREY J &amp; LIBBIE R </t>
  </si>
  <si>
    <t>SOUTH HILLS EST 3 LT 306</t>
  </si>
  <si>
    <t>120 DANETTE CIR</t>
  </si>
  <si>
    <t>BREZINA, MATTHEW J  et al</t>
  </si>
  <si>
    <t xml:space="preserve">120 DANETTE CIR </t>
  </si>
  <si>
    <t>SOUTH HILLS EST 3 HODGE ADDN LT 311</t>
  </si>
  <si>
    <t>12500 OVERBROOK DR</t>
  </si>
  <si>
    <t>SPRING VALLEY EST 3</t>
  </si>
  <si>
    <t xml:space="preserve">GARRELL, AMBER A </t>
  </si>
  <si>
    <t>SPRING VALLEY EST 3 LT 66 BLK A</t>
  </si>
  <si>
    <t>12490 OVERBROOK DR</t>
  </si>
  <si>
    <t xml:space="preserve">KERR, MICHEAL A &amp; MARIE M  </t>
  </si>
  <si>
    <t xml:space="preserve">12490 OVERBROOK DR </t>
  </si>
  <si>
    <t>SPRING VALLEY EST 3 LT 67 BLK A</t>
  </si>
  <si>
    <t>12570 OVERBROOK DR</t>
  </si>
  <si>
    <t xml:space="preserve">GILL, DAVID F </t>
  </si>
  <si>
    <t xml:space="preserve">MAGROGAN, TRISHA C &amp; JAMES F </t>
  </si>
  <si>
    <t>SPRING VALLEY EST 3 LT 59 BLK A</t>
  </si>
  <si>
    <t>12965 BROILI DR</t>
  </si>
  <si>
    <t>SOUTHERN COMFORT UNIT TWO</t>
  </si>
  <si>
    <t xml:space="preserve">HARKER, ALFRED L &amp; SUE M </t>
  </si>
  <si>
    <t xml:space="preserve">BAKER, GEORGIA A </t>
  </si>
  <si>
    <t>SOUTHERN COMFORT #2 LT 13 BLK A</t>
  </si>
  <si>
    <t>1965 PALMIRA DR</t>
  </si>
  <si>
    <t>PM 1279</t>
  </si>
  <si>
    <t xml:space="preserve">KATICH, DARREN &amp; LESLIE </t>
  </si>
  <si>
    <t xml:space="preserve">BUGICA, GARY L &amp; DIANE M </t>
  </si>
  <si>
    <t>PM 1279 LOT 2</t>
  </si>
  <si>
    <t>375 ZOLEZZI LN</t>
  </si>
  <si>
    <t xml:space="preserve">WEIGL FAMILY TRUST  </t>
  </si>
  <si>
    <t>55 OCELET PLACE</t>
  </si>
  <si>
    <t xml:space="preserve">WOODY TRUST, EDNA J  </t>
  </si>
  <si>
    <t>FRSW4 SE4 SEC 17 TWP 18 RGE 20</t>
  </si>
  <si>
    <t>ECHE</t>
  </si>
  <si>
    <t>12250 JEPPSON LN</t>
  </si>
  <si>
    <t xml:space="preserve">COX, KEITH W </t>
  </si>
  <si>
    <t>FR SW4 SE4 SEC 17 TWP 18 RGE 20</t>
  </si>
  <si>
    <t>401 ZOLEZZI LN</t>
  </si>
  <si>
    <t xml:space="preserve">ZOLEZZI VENTURE LLC </t>
  </si>
  <si>
    <t>044-320-48</t>
  </si>
  <si>
    <t>FR SE4 SW4 SEC 17 TWP 18 RGE 20 (RS 3182)</t>
  </si>
  <si>
    <t>ECRA</t>
  </si>
  <si>
    <t>11130 BONDSHIRE DR</t>
  </si>
  <si>
    <t>SOUTHERN COMFORT 1</t>
  </si>
  <si>
    <t xml:space="preserve">GREEN, JAMES M &amp; PATRICIA A  </t>
  </si>
  <si>
    <t xml:space="preserve">11130 BONDSHIRE DR </t>
  </si>
  <si>
    <t>SOUTHERN COMFORT 1 LT 18 BLK A</t>
  </si>
  <si>
    <t>1700 ELI DR</t>
  </si>
  <si>
    <t>PM 3097</t>
  </si>
  <si>
    <t xml:space="preserve">MANGAT, JAGJIT </t>
  </si>
  <si>
    <t>591 RABBIT RIDGE CT</t>
  </si>
  <si>
    <t>044-361-08</t>
  </si>
  <si>
    <t>PM 3097 LT 2</t>
  </si>
  <si>
    <t>1650 MONTE VISTA DR</t>
  </si>
  <si>
    <t>SIERRA MANOR SUB</t>
  </si>
  <si>
    <t>MONTE VISTA PROPERTY LLC</t>
  </si>
  <si>
    <t xml:space="preserve">437 W PLUMB LN </t>
  </si>
  <si>
    <t xml:space="preserve">WORSNOP, MARK V &amp; CHERYL W </t>
  </si>
  <si>
    <t>044-363-15</t>
  </si>
  <si>
    <t>SIERRA MANOR AMD ADJ LT 5 BLK D (LT 5A RS 3893)</t>
  </si>
  <si>
    <t>1450 MALLORY LN</t>
  </si>
  <si>
    <t>THOMAS CREEK HEIGHTS</t>
  </si>
  <si>
    <t xml:space="preserve">ERLACH, WILLIAM J &amp; ALEXIS J  </t>
  </si>
  <si>
    <t xml:space="preserve">1450 MALLORY LN </t>
  </si>
  <si>
    <t>THOMAS CREEK HEIGHTS LT 5</t>
  </si>
  <si>
    <t>215 SURREY DR</t>
  </si>
  <si>
    <t>RS 5187</t>
  </si>
  <si>
    <t>MINEIKIS, ALIKS et al</t>
  </si>
  <si>
    <t>MIHAILOVA JULIJA</t>
  </si>
  <si>
    <t>PO BOX 1112</t>
  </si>
  <si>
    <t xml:space="preserve">CUMPTON, GERALD &amp; JAUNICE </t>
  </si>
  <si>
    <t>045-322-06</t>
  </si>
  <si>
    <t>RS 5187  PAR 2A  (Refer to Document #3807651 for C</t>
  </si>
  <si>
    <t>20995 DAVID DR</t>
  </si>
  <si>
    <t>PLEASANT VALLEY EST</t>
  </si>
  <si>
    <t xml:space="preserve">SEWELL, CHRISTOPHER </t>
  </si>
  <si>
    <t>PLEASANT VALLEY EST LT 1 BLK C</t>
  </si>
  <si>
    <t>21010 AMES LN</t>
  </si>
  <si>
    <t>PM 292</t>
  </si>
  <si>
    <t xml:space="preserve">WOO, ALICIA G </t>
  </si>
  <si>
    <t>PM 292 LT 1</t>
  </si>
  <si>
    <t>20855 AMES LN</t>
  </si>
  <si>
    <t>PM 456</t>
  </si>
  <si>
    <t xml:space="preserve">JOHNSON, MEREDITH C </t>
  </si>
  <si>
    <t xml:space="preserve">20855 AMES LN                           </t>
  </si>
  <si>
    <t>PM 456 LT B</t>
  </si>
  <si>
    <t>5440 WINTERGREEN LN</t>
  </si>
  <si>
    <t xml:space="preserve">YOUNG, CHARLES P  </t>
  </si>
  <si>
    <t>5440 WINTERGREEN</t>
  </si>
  <si>
    <t xml:space="preserve">ZINK, HAROLD L JR &amp; TARA </t>
  </si>
  <si>
    <t>GALENA TERR ESTS UNIT 1 LT 76</t>
  </si>
  <si>
    <t>5540 WINTERGREEN LN</t>
  </si>
  <si>
    <t>FRASER, CRAIG  et al</t>
  </si>
  <si>
    <t xml:space="preserve">5540 WINTERGREEN LN </t>
  </si>
  <si>
    <t xml:space="preserve">FLOOD, RAYMOND E </t>
  </si>
  <si>
    <t>GALENA TERRACE EST 2 LT 212</t>
  </si>
  <si>
    <t>045-541-02</t>
  </si>
  <si>
    <t>GALENA TERRACE EST  1</t>
  </si>
  <si>
    <t>BALVIN, RACHEL  et al</t>
  </si>
  <si>
    <t xml:space="preserve">GRAFFAM DANIEL R </t>
  </si>
  <si>
    <t xml:space="preserve">SCOTT, RONALD L </t>
  </si>
  <si>
    <t>GALENA TERRACE EST  1 LT 50</t>
  </si>
  <si>
    <t>15380 CALLAHAN RD</t>
  </si>
  <si>
    <t xml:space="preserve">KRENKEL, JESSICA A  </t>
  </si>
  <si>
    <t>045-551-01</t>
  </si>
  <si>
    <t>GALENA TERRACE  EST 1 LT 1 &amp; FR ST</t>
  </si>
  <si>
    <t>5345 WILDWOOD DR</t>
  </si>
  <si>
    <t>GALENA TERRACE ESTATES 1</t>
  </si>
  <si>
    <t xml:space="preserve">MOLLATH TRUST, ELIZABETH F  </t>
  </si>
  <si>
    <t>2115 MANZANITA LN</t>
  </si>
  <si>
    <t xml:space="preserve">MOLLATH, ELIZABETH </t>
  </si>
  <si>
    <t>GALENA TERRACE ESTATES 1 FR LT 16 &amp; FR LT 15</t>
  </si>
  <si>
    <t>5245 GOLDENROD DR</t>
  </si>
  <si>
    <t>PM 513 RS 2769</t>
  </si>
  <si>
    <t>BLACK, METIS et al</t>
  </si>
  <si>
    <t>04557118,2</t>
  </si>
  <si>
    <t>PM 513 LT B RS 2769</t>
  </si>
  <si>
    <t>5340 CEDARWOOD DR</t>
  </si>
  <si>
    <t>MOUNTAIN MEADOWS SUB 1</t>
  </si>
  <si>
    <t xml:space="preserve">FITZ, MARY A  </t>
  </si>
  <si>
    <t xml:space="preserve">5340 CEDARWOOD DR </t>
  </si>
  <si>
    <t xml:space="preserve">FITZ, DENTON S &amp; MARY A  </t>
  </si>
  <si>
    <t>MOUNTAIN MEADOWS 1 LT 12</t>
  </si>
  <si>
    <t>3283 MARANATHA RD</t>
  </si>
  <si>
    <t>PM 607</t>
  </si>
  <si>
    <t xml:space="preserve">MCLENNAN, JAMES C &amp; ELIZABETH A  </t>
  </si>
  <si>
    <t xml:space="preserve">3283 MARANATHA RD </t>
  </si>
  <si>
    <t>PM 607 LT E</t>
  </si>
  <si>
    <t>120 W WILLIS LN</t>
  </si>
  <si>
    <t>ST JAMES`S VILLAGE 1B</t>
  </si>
  <si>
    <t xml:space="preserve">ELMORE, MARK </t>
  </si>
  <si>
    <t>SHAPIRO, ROBERT et al</t>
  </si>
  <si>
    <t>046-060-24</t>
  </si>
  <si>
    <t>ST JAMES`S VILLAGE 1B LT 63 BLK F</t>
  </si>
  <si>
    <t>182 W MARCHMONT LN</t>
  </si>
  <si>
    <t xml:space="preserve">SCOTT, WILLIAM S &amp; TRACY L </t>
  </si>
  <si>
    <t>ST JAMES`S VILLAGE 1C LT 42 BLK E</t>
  </si>
  <si>
    <t>178 NOTTINGHAM CT</t>
  </si>
  <si>
    <t xml:space="preserve">PDF INVESTMENTS LLC </t>
  </si>
  <si>
    <t>ST JAMES`S VILLAGE 1C LT 37 BLK D</t>
  </si>
  <si>
    <t>34 BENNINGTON CT</t>
  </si>
  <si>
    <t xml:space="preserve">HODGE FAMILY TRUST, RICK &amp; ANNIE  </t>
  </si>
  <si>
    <t>RICHARD G &amp; ANN L HODGE TRUSTEE</t>
  </si>
  <si>
    <t>38 BENNINGTON CT</t>
  </si>
  <si>
    <t>BENNINGTON COURT LT 315</t>
  </si>
  <si>
    <t>16455 BONNIE LN</t>
  </si>
  <si>
    <t xml:space="preserve">CANNATA, KENNETH J </t>
  </si>
  <si>
    <t xml:space="preserve">O`HARRA, TERRY G </t>
  </si>
  <si>
    <t>FR N2 SE4 SEC 10 TWP 17 RGE 19</t>
  </si>
  <si>
    <t>16980 MOUNTAIN BLUEBIRD DR</t>
  </si>
  <si>
    <t xml:space="preserve">SCHOPPER-RICHMOND FAMILY TRUST  </t>
  </si>
  <si>
    <t>13015 FELLOWSHIP WAY</t>
  </si>
  <si>
    <t xml:space="preserve">HOLMES, MELISSA </t>
  </si>
  <si>
    <t>FR SE4 NE4 SEC 10 TWP 17 RGE 19</t>
  </si>
  <si>
    <t>16975 MOUNTAIN BLUEBIRD DR</t>
  </si>
  <si>
    <t xml:space="preserve">GALLAGHER, PATRICK &amp; CHANPHEN  </t>
  </si>
  <si>
    <t xml:space="preserve">TWEDT FAMILY TRUST, WILLIAM L &amp; LEXIE  </t>
  </si>
  <si>
    <t>17230 BIG PINE DR</t>
  </si>
  <si>
    <t xml:space="preserve">WHITMER, JAMES R &amp; DEBORAH L </t>
  </si>
  <si>
    <t>HOGAN, KAROL et al</t>
  </si>
  <si>
    <t>16435 SNOW FLOWER DR</t>
  </si>
  <si>
    <t xml:space="preserve">HANCOCK, SAMUEL L &amp; KAREN M </t>
  </si>
  <si>
    <t xml:space="preserve">CLADIANOS TRUST, ANTONIA II  </t>
  </si>
  <si>
    <t>FR NW4 SE4 SEC 10 TWP 17 RGE 19</t>
  </si>
  <si>
    <t>SE4 OF NE4 OF SE4</t>
  </si>
  <si>
    <t xml:space="preserve">LODESTAR FINANCIAL GROUP </t>
  </si>
  <si>
    <t>18124 WEDGE PKWY #504</t>
  </si>
  <si>
    <t xml:space="preserve">SHELBRAN INVESTMENTS LP </t>
  </si>
  <si>
    <t>SE4  NE4  SE4 SEC 10 TWP 17 RGE 19</t>
  </si>
  <si>
    <t>3330 JOY LAKE RD</t>
  </si>
  <si>
    <t>PM 1353 FR</t>
  </si>
  <si>
    <t xml:space="preserve">WEBSTER, MICHAEL  </t>
  </si>
  <si>
    <t>323 TAHOS RD</t>
  </si>
  <si>
    <t>047-031-01</t>
  </si>
  <si>
    <t>PM 1353 FR LT 4</t>
  </si>
  <si>
    <t>805 JOY LAKE RD</t>
  </si>
  <si>
    <t xml:space="preserve">BIERLY, KEVIN A  </t>
  </si>
  <si>
    <t>931 MONROE DR STE A102 PMB 415</t>
  </si>
  <si>
    <t xml:space="preserve">ATLANTA </t>
  </si>
  <si>
    <t xml:space="preserve">ALLISON TRUST, DEBRA A  </t>
  </si>
  <si>
    <t>GALENA FOREST EST 1 LT 4 BLK A</t>
  </si>
  <si>
    <t>2000 BLUE SPRUCE RD</t>
  </si>
  <si>
    <t>GALENA FOREST ESTATES 1</t>
  </si>
  <si>
    <t xml:space="preserve">LERMAN TRUST, STEPHEN J   </t>
  </si>
  <si>
    <t xml:space="preserve">VADETSKY 1994 FAMILY TRUST  </t>
  </si>
  <si>
    <t>GALENA FOREST ESTATES 1 LT 26 BLK B</t>
  </si>
  <si>
    <t>200 ABIES RD</t>
  </si>
  <si>
    <t xml:space="preserve">COLLINSWORTH, GARY W &amp; PAMELA L </t>
  </si>
  <si>
    <t xml:space="preserve">TROJAN, LONNA </t>
  </si>
  <si>
    <t>GALENA FOREST EST 1 LT 1 BLK J</t>
  </si>
  <si>
    <t>1400 JOY LAKE RD</t>
  </si>
  <si>
    <t xml:space="preserve">AINSBURG, JULIA J </t>
  </si>
  <si>
    <t xml:space="preserve">JAFERIAN, BENJAMIN </t>
  </si>
  <si>
    <t>GALENA FOREST EST 1 LT 17 BLK C</t>
  </si>
  <si>
    <t>250 DOUGLAS FIR CIR</t>
  </si>
  <si>
    <t xml:space="preserve">DUIS, JANICE A </t>
  </si>
  <si>
    <t>SIRVA RELOCATION CREDIT LLC LLC</t>
  </si>
  <si>
    <t>GALENA FOREST EST 1 LT 28 BLK E</t>
  </si>
  <si>
    <t>250 MUGO PINE CIR</t>
  </si>
  <si>
    <t xml:space="preserve">COOPER, ARTHUR L &amp; PENNY L </t>
  </si>
  <si>
    <t xml:space="preserve">WILLIAMS TRUST, NELLIE M   </t>
  </si>
  <si>
    <t>GALENA FOREST EST 1 LT 37 BLK E</t>
  </si>
  <si>
    <t>140 YELLOW PINE CIR</t>
  </si>
  <si>
    <t>GALENA FOREST EST 2</t>
  </si>
  <si>
    <t xml:space="preserve">KREMER, JASON &amp; NICOLE </t>
  </si>
  <si>
    <t>GALENA FOREST EST 2A LT 7 BLK A</t>
  </si>
  <si>
    <t>1695 GREEN ASH RD</t>
  </si>
  <si>
    <t>GALENA FOREST ESTS 2-E/4</t>
  </si>
  <si>
    <t xml:space="preserve">DUCKWORTH REV FAMILY TRUST  </t>
  </si>
  <si>
    <t xml:space="preserve">DUCKWORTH, CHRISTINE L &amp; RUSSELL B </t>
  </si>
  <si>
    <t>GALENA FOREST EST UT 2E PH4 LT 2 BLK E</t>
  </si>
  <si>
    <t>1730 GREEN ASH RD</t>
  </si>
  <si>
    <t xml:space="preserve">SCOTT, HEIDI L </t>
  </si>
  <si>
    <t xml:space="preserve">1730 GREEN ASH RD </t>
  </si>
  <si>
    <t xml:space="preserve">BOUCHARD, DAVID R </t>
  </si>
  <si>
    <t>GALENA FOREST EST 2E PH 4 LT 4 BLK F</t>
  </si>
  <si>
    <t>145 TWINBERRY CIR</t>
  </si>
  <si>
    <t xml:space="preserve">NICKOLLS, JOHN R &amp; KATHLEEN E </t>
  </si>
  <si>
    <t>390 CHERRY AVE</t>
  </si>
  <si>
    <t xml:space="preserve">LONG, CHARLES &amp;  JANE </t>
  </si>
  <si>
    <t>GALENA FOREST EST 2-B LT 6 BLK B</t>
  </si>
  <si>
    <t>345 PINEY CREEK RD</t>
  </si>
  <si>
    <t>GALENA FOREST EST 2-C</t>
  </si>
  <si>
    <t xml:space="preserve">SMITH, CATHERINE M &amp; MICHAEL J </t>
  </si>
  <si>
    <t xml:space="preserve">345 PINEY CREEK RD                      </t>
  </si>
  <si>
    <t xml:space="preserve">MOORE, TIMOTHY J </t>
  </si>
  <si>
    <t>GALENA FOREST EST 2C LT 2 BLK A</t>
  </si>
  <si>
    <t>420 PINEY CREEK RD</t>
  </si>
  <si>
    <t>GALENA FOREST EST 2D</t>
  </si>
  <si>
    <t xml:space="preserve">POORE, RICHARD W &amp; SUSAN A  </t>
  </si>
  <si>
    <t>PO BOX 93388</t>
  </si>
  <si>
    <t xml:space="preserve">SOUTHLAKE </t>
  </si>
  <si>
    <t>WILLIAMS/EVERS FAMILY TRUST TTEE et al</t>
  </si>
  <si>
    <t>GALENA FOREST EST 2D LT 3 BLK C</t>
  </si>
  <si>
    <t>570 PINEY CREEK RD</t>
  </si>
  <si>
    <t xml:space="preserve">SHINDELL, JAMES S C &amp; DEBORAH A </t>
  </si>
  <si>
    <t>GALENA FOREST EST 2E PH 4 LT 3 BLK B</t>
  </si>
  <si>
    <t>3095 JOY LAKE RD</t>
  </si>
  <si>
    <t>PM 2383</t>
  </si>
  <si>
    <t xml:space="preserve">CLEARY, JAMES A &amp; KRISTINA </t>
  </si>
  <si>
    <t>1106 SALAMANCA CT</t>
  </si>
  <si>
    <t xml:space="preserve">LUNDBERG, JONATHON E &amp; KARLA J </t>
  </si>
  <si>
    <t>047-075-05</t>
  </si>
  <si>
    <t>PM 2383 LT 2</t>
  </si>
  <si>
    <t>16730 MOUNT ROSE HWY</t>
  </si>
  <si>
    <t>PM 3090</t>
  </si>
  <si>
    <t xml:space="preserve">RITTER, TIMOTHY D </t>
  </si>
  <si>
    <t>16730 MT ROSE HWY</t>
  </si>
  <si>
    <t xml:space="preserve">LASALLE BANK NA  </t>
  </si>
  <si>
    <t>047-162-09</t>
  </si>
  <si>
    <t>PM 3090 LT 1</t>
  </si>
  <si>
    <t>16925 MOUNT ROSE HWY</t>
  </si>
  <si>
    <t>RS 4927</t>
  </si>
  <si>
    <t xml:space="preserve">ROSIN, JONATHAN P &amp; KATHERINE J </t>
  </si>
  <si>
    <t xml:space="preserve">STOUT, DAVID V &amp; KAREN M </t>
  </si>
  <si>
    <t>047-162-11</t>
  </si>
  <si>
    <t>RS 4927 LT 4</t>
  </si>
  <si>
    <t>15 SUNRIDGE CT W</t>
  </si>
  <si>
    <t>SUNRIDGE</t>
  </si>
  <si>
    <t xml:space="preserve">MOSES, RICHARD &amp; CHRISTINA </t>
  </si>
  <si>
    <t>PO BOX 374</t>
  </si>
  <si>
    <t>PINE VALLEY</t>
  </si>
  <si>
    <t>91962</t>
  </si>
  <si>
    <t>SUNRIDGE LT 18 BLK A</t>
  </si>
  <si>
    <t>11065 BUMS GULCH RD</t>
  </si>
  <si>
    <t>MT ROSE BOWL 2</t>
  </si>
  <si>
    <t xml:space="preserve">SAWYER LIVING TRUST, KRISTEN T  </t>
  </si>
  <si>
    <t>651 MALLARD CT</t>
  </si>
  <si>
    <t>ARNOLD</t>
  </si>
  <si>
    <t xml:space="preserve">GOEBEL, THOMAS M &amp; PISE </t>
  </si>
  <si>
    <t>MT ROSE BOWL 2 LT 8</t>
  </si>
  <si>
    <t>11085 BUMS GULCH RD</t>
  </si>
  <si>
    <t>MT ROSE BOWL 2 AMD LT 7</t>
  </si>
  <si>
    <t>12005 BUMS GULCH RD</t>
  </si>
  <si>
    <t xml:space="preserve">WILLIAMS, REBECCA M S &amp; JOHN K </t>
  </si>
  <si>
    <t>MT ROSE BOWL 2 AMD LT 6</t>
  </si>
  <si>
    <t>4830 ROSE ROCK LN</t>
  </si>
  <si>
    <t>NE4 SE4 SE4 SE4</t>
  </si>
  <si>
    <t xml:space="preserve">CAPPEL, MARK  </t>
  </si>
  <si>
    <t>PO BOX 20293</t>
  </si>
  <si>
    <t>NE4 SE4 SE4 SE4 SEC 34 TWP 18 RGE 19</t>
  </si>
  <si>
    <t>13260 FELLOWSHIP WAY</t>
  </si>
  <si>
    <t>THOMAS CREEK EST UT NO 2-</t>
  </si>
  <si>
    <t xml:space="preserve">CARLOMAGNO 1997 TRUST, DAVID &amp; PATRICIA  </t>
  </si>
  <si>
    <t xml:space="preserve">CUMMINGS, DIANE M </t>
  </si>
  <si>
    <t>THOMAS CREEK EST UT NO 2-C LT 23 BLK B</t>
  </si>
  <si>
    <t>12725 ROSEVIEW LN</t>
  </si>
  <si>
    <t xml:space="preserve">SHARPE, NOEL P </t>
  </si>
  <si>
    <t>527 TRAVERSE DR</t>
  </si>
  <si>
    <t xml:space="preserve">COSTA MESA </t>
  </si>
  <si>
    <t>KAGE, DANIEL P et al</t>
  </si>
  <si>
    <t>THOMAS CREEK EST 2C LT 80 BLK G</t>
  </si>
  <si>
    <t>5465 GRANITE BAY CT</t>
  </si>
  <si>
    <t>PM 4564</t>
  </si>
  <si>
    <t xml:space="preserve">HORKY, RICKY E </t>
  </si>
  <si>
    <t>139 PERIWINKLE DR</t>
  </si>
  <si>
    <t>RADCLIFFE</t>
  </si>
  <si>
    <t>KY</t>
  </si>
  <si>
    <t>049-221-11</t>
  </si>
  <si>
    <t>PM 4564 LT 1</t>
  </si>
  <si>
    <t>5410 GRANITE BAY CT</t>
  </si>
  <si>
    <t>PM 4565</t>
  </si>
  <si>
    <t xml:space="preserve">SCHEELER FAMILY TRUST  </t>
  </si>
  <si>
    <t>JACOB J &amp; SHIRLEY K SCHEELER TRUSTEE</t>
  </si>
  <si>
    <t>745 SILVER RUN DR</t>
  </si>
  <si>
    <t>049-221-19</t>
  </si>
  <si>
    <t>PM 4565 LT 6</t>
  </si>
  <si>
    <t>16205 N TIMBERLINE DR</t>
  </si>
  <si>
    <t>TIMBERLINE EST 1</t>
  </si>
  <si>
    <t>NYKIEL-HERBERT, BARBARA et al</t>
  </si>
  <si>
    <t xml:space="preserve">SMITH, STEVE W &amp; SALIA M </t>
  </si>
  <si>
    <t>TIMBERLINE EST 1 LT 3 BLK C</t>
  </si>
  <si>
    <t>75 OCELET WAY</t>
  </si>
  <si>
    <t xml:space="preserve">HAUSNER, BRUCE M &amp; NEDA G  </t>
  </si>
  <si>
    <t xml:space="preserve">75 OCELET WAY </t>
  </si>
  <si>
    <t xml:space="preserve">CARLIN, LINDA D </t>
  </si>
  <si>
    <t>FIELDCREEK RANCH 7 LT 24 BLK C</t>
  </si>
  <si>
    <t>75 GAZELLE RD</t>
  </si>
  <si>
    <t xml:space="preserve">GOECKER, MATTHEW </t>
  </si>
  <si>
    <t>FIELDCREEK RANCH 7 LT 9 BLK B</t>
  </si>
  <si>
    <t>12575 FIELDCREEK LN</t>
  </si>
  <si>
    <t>AHMED, WASEEM  et al</t>
  </si>
  <si>
    <t>XERAS JULIE</t>
  </si>
  <si>
    <t xml:space="preserve">12575 FIELDCREEK LN </t>
  </si>
  <si>
    <t xml:space="preserve">LEWIS FAMILY TRUST  </t>
  </si>
  <si>
    <t>FIELDCREEK RANCH 7 LT 13 BLK C</t>
  </si>
  <si>
    <t>55 OCELET PL</t>
  </si>
  <si>
    <t xml:space="preserve">DURLESTER, BARRY D &amp; SHEILA B </t>
  </si>
  <si>
    <t>FIELDCREEK RANCH 7 LT 19 BLK C</t>
  </si>
  <si>
    <t>55 WATER LILY CT</t>
  </si>
  <si>
    <t>FIELDCREEK RANCH</t>
  </si>
  <si>
    <t xml:space="preserve">VOGEL, PETER E &amp; SHAWN K </t>
  </si>
  <si>
    <t>SCHWARTZ, JACQUELINE L et al TTEE</t>
  </si>
  <si>
    <t>FIELDCREEK RANCH 5 LT 6  BLK C</t>
  </si>
  <si>
    <t>13380 FIELDCREEK LN</t>
  </si>
  <si>
    <t>FRASER, DAVID E  et al</t>
  </si>
  <si>
    <t>SNELL-FRASER CYNTHIA</t>
  </si>
  <si>
    <t xml:space="preserve">13380 FIELDCREEK LN </t>
  </si>
  <si>
    <t>FIELDCREEK RANCH 2 LT 9 BLK D</t>
  </si>
  <si>
    <t>13315 FIELDCREEK LN</t>
  </si>
  <si>
    <t xml:space="preserve">TALLMAN LIVING TRUST  </t>
  </si>
  <si>
    <t xml:space="preserve">LSPI EXCHANGE CORP </t>
  </si>
  <si>
    <t>FIELDCREEK RANCH 2 LT 12 BLK C</t>
  </si>
  <si>
    <t>13555 FIELDCREEK LN</t>
  </si>
  <si>
    <t xml:space="preserve">DUNN, SCOTT S &amp; CRYSTALIN </t>
  </si>
  <si>
    <t xml:space="preserve">COLLIER, ANITA T </t>
  </si>
  <si>
    <t>FIELDCREEK RANCH 2 LT 1 BLK A</t>
  </si>
  <si>
    <t>35 DESERT WILLOW WAY</t>
  </si>
  <si>
    <t>AYARBE, SUSAN D  et al</t>
  </si>
  <si>
    <t>FIELDCREEK RANCH 3 LT 14 BLK A</t>
  </si>
  <si>
    <t>12565 WATER LILY WAY</t>
  </si>
  <si>
    <t xml:space="preserve">SIMINSKE, WILLIAM J &amp; LYNDA L  </t>
  </si>
  <si>
    <t xml:space="preserve">12565 WATER LILY WAY </t>
  </si>
  <si>
    <t xml:space="preserve">DEETER FAMILY TRUST, MARK W  </t>
  </si>
  <si>
    <t>FIELDCREEK RANCH 5 LT 5  BLK B</t>
  </si>
  <si>
    <t>12955 WELCOME WAY</t>
  </si>
  <si>
    <t xml:space="preserve">PISER, DAVID H &amp; MARY  </t>
  </si>
  <si>
    <t xml:space="preserve">3727 BERRY DR </t>
  </si>
  <si>
    <t>STUDIO CITY</t>
  </si>
  <si>
    <t xml:space="preserve">MARTENS, DWIGHT H &amp; EMILY J </t>
  </si>
  <si>
    <t>FIELDCREEK RANCH 6 LT 2 BLK C</t>
  </si>
  <si>
    <t>1080 ZOLEZZI LN</t>
  </si>
  <si>
    <t>PM 4194</t>
  </si>
  <si>
    <t>KOPPEL, SHIRLEY S et al</t>
  </si>
  <si>
    <t xml:space="preserve">KOPPEL, SHIRLEY S </t>
  </si>
  <si>
    <t>049-351-01</t>
  </si>
  <si>
    <t>PM 4194 LT B</t>
  </si>
  <si>
    <t>12955 VALLEY SPRINGS RD</t>
  </si>
  <si>
    <t xml:space="preserve">LAWRENCE FAMILY TRUST  </t>
  </si>
  <si>
    <t xml:space="preserve">LAWRENCE, FRANCIS R &amp; MARYAN A </t>
  </si>
  <si>
    <t>FR NW4 NW4 SEC 20 TWP 18 RGE 20</t>
  </si>
  <si>
    <t xml:space="preserve">FONTANI, ROBERTO C &amp; JULIE A </t>
  </si>
  <si>
    <t xml:space="preserve">1150 LA GUARDIA RD </t>
  </si>
  <si>
    <t xml:space="preserve">DIAZ, LIESA &amp; VAL </t>
  </si>
  <si>
    <t>WHITES CREEK EST 1 LT 30 BLK E</t>
  </si>
  <si>
    <t>13060 VALLEY SPRINGS RD</t>
  </si>
  <si>
    <t>PM 2491</t>
  </si>
  <si>
    <t xml:space="preserve">WHITAKER, PATRICK T &amp; ABBI J </t>
  </si>
  <si>
    <t xml:space="preserve">13060 VALLEY SPRINGS RD </t>
  </si>
  <si>
    <t xml:space="preserve">LANE, LISA K </t>
  </si>
  <si>
    <t>PM 2491 LT 3</t>
  </si>
  <si>
    <t>2155 SNOWMASS DR</t>
  </si>
  <si>
    <t xml:space="preserve">LUJAN, ROBERT JR &amp; GINA </t>
  </si>
  <si>
    <t xml:space="preserve">BALDI TRUST, JOSEPH J &amp; BETTY L  </t>
  </si>
  <si>
    <t>LANCER EST 2 LT 14 BLK D</t>
  </si>
  <si>
    <t>2205 SNOWMASS DR</t>
  </si>
  <si>
    <t xml:space="preserve">HILL, LORRAINE S </t>
  </si>
  <si>
    <t xml:space="preserve">LEVIN FAMILY TRUST, LEE &amp; KATHY  </t>
  </si>
  <si>
    <t>LANCER EST 2 LT 3 BLK D</t>
  </si>
  <si>
    <t>2200 SNOWMASS DR</t>
  </si>
  <si>
    <t>LANCER ESTATES UNIT 2</t>
  </si>
  <si>
    <t xml:space="preserve">MANGIAPIA&amp;SCHELER-MANGIAPIA TR, JOSEPH &amp; SANDRA  </t>
  </si>
  <si>
    <t>WILLIS, DIANE E et al</t>
  </si>
  <si>
    <t>LANCER EST 2 LT 12 BLK B</t>
  </si>
  <si>
    <t>14480 SUNDANCE DR</t>
  </si>
  <si>
    <t>LANCER EST 1</t>
  </si>
  <si>
    <t xml:space="preserve">WORTHAM, E JEAN  </t>
  </si>
  <si>
    <t xml:space="preserve">14480 SUNDANCE DR </t>
  </si>
  <si>
    <t xml:space="preserve">BRACE FAMILY TRUST  </t>
  </si>
  <si>
    <t>LANCER EST 1 LT 7 BLK A</t>
  </si>
  <si>
    <t>30 TARGHEE CT</t>
  </si>
  <si>
    <t>LANCER ESTATES UNIT 3</t>
  </si>
  <si>
    <t xml:space="preserve">MACFARLANE, SCOTT R </t>
  </si>
  <si>
    <t>18124 WEDGE PKWY 177</t>
  </si>
  <si>
    <t xml:space="preserve">QUINN, ROBERT E &amp; DIANE M </t>
  </si>
  <si>
    <t>04940102,0</t>
  </si>
  <si>
    <t>LANCER EST 3 LT 4 BLK F</t>
  </si>
  <si>
    <t>2240 STOWE DR</t>
  </si>
  <si>
    <t>LANCER EST 3</t>
  </si>
  <si>
    <t xml:space="preserve">FAISS, ELLEN S  </t>
  </si>
  <si>
    <t>774 MAYS BLVD #10</t>
  </si>
  <si>
    <t xml:space="preserve">LOGIE, CHARLES A &amp; JACQUELINE </t>
  </si>
  <si>
    <t>LANCER EST 3 LT 16 BLK D</t>
  </si>
  <si>
    <t>2230 STOWE DR</t>
  </si>
  <si>
    <t xml:space="preserve">PERRY, WARREN S III </t>
  </si>
  <si>
    <t>18124 WEDGE PKWY # 531</t>
  </si>
  <si>
    <t xml:space="preserve">HUSE, MICHAEL L </t>
  </si>
  <si>
    <t>LANCER EST 3 LT 15 BLK D</t>
  </si>
  <si>
    <t>2450 TELLURIDE DR</t>
  </si>
  <si>
    <t>ESHAGHI, VOVA et al</t>
  </si>
  <si>
    <t xml:space="preserve">MCBRIDE, NATHAN </t>
  </si>
  <si>
    <t>LANCER EST 4 LT 42 BLK C</t>
  </si>
  <si>
    <t>55 TELLURIDE CT</t>
  </si>
  <si>
    <t xml:space="preserve">KAPLOWITZ, MATTHEW &amp; LINDA G </t>
  </si>
  <si>
    <t xml:space="preserve">ROWAN, JEFFREY P &amp; CYNTHIA </t>
  </si>
  <si>
    <t>049-523-16</t>
  </si>
  <si>
    <t>LANCER EST 4 LT 7 BLK E</t>
  </si>
  <si>
    <t>2445 KILLINGTON DR</t>
  </si>
  <si>
    <t xml:space="preserve">VERNON, WAYNE C </t>
  </si>
  <si>
    <t xml:space="preserve">ATHERTON, JOHN J &amp; NISSA J </t>
  </si>
  <si>
    <t>LANCER EST 4 LT 32 BLK J</t>
  </si>
  <si>
    <t>55 CHINCHILLA LN</t>
  </si>
  <si>
    <t xml:space="preserve">DUNN, KEVIN G &amp; KELLI ANN  </t>
  </si>
  <si>
    <t>FIELDCREEK RANCH 6 LOT 5 BLK F</t>
  </si>
  <si>
    <t>14465 GHOST RIDER DR</t>
  </si>
  <si>
    <t>ROSS, SCOTT G  et al</t>
  </si>
  <si>
    <t xml:space="preserve">GOLDINA OLGA G </t>
  </si>
  <si>
    <t xml:space="preserve">14465 GHOST RIDER DR </t>
  </si>
  <si>
    <t xml:space="preserve">TAYLOR, GARY W </t>
  </si>
  <si>
    <t>STERLING RANCH 1 LT 22 BLK A</t>
  </si>
  <si>
    <t>35 SUMMER SAGE CT</t>
  </si>
  <si>
    <t>ROSS, JOHN W et al</t>
  </si>
  <si>
    <t>ROBERTS TATIANA G</t>
  </si>
  <si>
    <t xml:space="preserve">DODGE, N P JR  </t>
  </si>
  <si>
    <t>STERLING RANCH 1 LT 21 BLK A</t>
  </si>
  <si>
    <t>45 SUMMER SAGE CT</t>
  </si>
  <si>
    <t xml:space="preserve">JAQUISH, JOSEPH R  </t>
  </si>
  <si>
    <t>PO BOX 19577</t>
  </si>
  <si>
    <t>JAQUISH, JOSEPH R  et al</t>
  </si>
  <si>
    <t>STERLING RANCH 1 LT 20 BLK A</t>
  </si>
  <si>
    <t>14545 GHOST RIDER DR</t>
  </si>
  <si>
    <t xml:space="preserve">BARTLETT TRUST, JANE A  </t>
  </si>
  <si>
    <t>STERLING RANCH 1 LT 10 BLK A</t>
  </si>
  <si>
    <t>2080 HONEY RIDGE DR</t>
  </si>
  <si>
    <t xml:space="preserve">DEBRABANDER, MICHAEL &amp; KATHERINE </t>
  </si>
  <si>
    <t xml:space="preserve">KORNAHRENS, ROBERT E JR &amp; SHERRY L </t>
  </si>
  <si>
    <t>STERLING RANCH 2 LT 37 BLK E</t>
  </si>
  <si>
    <t>14370 GHOST RIDER DR</t>
  </si>
  <si>
    <t>P O BOX 18647</t>
  </si>
  <si>
    <t xml:space="preserve">BAUER, THOMAS F &amp; PRISCILLA D </t>
  </si>
  <si>
    <t>STERLING RANCH 2 LT 29 BLK E</t>
  </si>
  <si>
    <t>455 SNOWMASS CT</t>
  </si>
  <si>
    <t>LANCER ESTATES 8</t>
  </si>
  <si>
    <t xml:space="preserve">COOPER, NATHAN  </t>
  </si>
  <si>
    <t xml:space="preserve">455 SNOWMASS CT </t>
  </si>
  <si>
    <t xml:space="preserve">SANCHEZ, JERRY P &amp; STELLA </t>
  </si>
  <si>
    <t>049-401-27</t>
  </si>
  <si>
    <t>LANCER EST 8 LT 25 BLK F</t>
  </si>
  <si>
    <t>485 SNOWMASS CT</t>
  </si>
  <si>
    <t xml:space="preserve">FOGARTY, MATTHEW R &amp; MEGAN M </t>
  </si>
  <si>
    <t xml:space="preserve">FOGARTY, MEGAN M </t>
  </si>
  <si>
    <t>LANCER ESTATES 8 LT 22 BLK F</t>
  </si>
  <si>
    <t>465 FORT COLLINS DR</t>
  </si>
  <si>
    <t xml:space="preserve">DALE, ERIC J &amp; DIANE A </t>
  </si>
  <si>
    <t>465 FT COLLINS DR</t>
  </si>
  <si>
    <t xml:space="preserve">LONG, HARRY E &amp; SILVIA B </t>
  </si>
  <si>
    <t>GALENA TERRACE 1 LT 135</t>
  </si>
  <si>
    <t>5018 E ALBUQUERQUE RD</t>
  </si>
  <si>
    <t xml:space="preserve">ERNSTER, PETER V JR &amp; STEPHANIE B </t>
  </si>
  <si>
    <t>5018 W ALBUQUERQUE RD</t>
  </si>
  <si>
    <t xml:space="preserve">WEST, MICHAEL R &amp; TRULY G </t>
  </si>
  <si>
    <t>SOUTHWEST VISTAS 1 LT 431 BLK J</t>
  </si>
  <si>
    <t xml:space="preserve">6440 LEGEND VISTA </t>
  </si>
  <si>
    <t>DIXON ELECTRIC PENSION PLAN et al</t>
  </si>
  <si>
    <t>3451 TEGLIA DR</t>
  </si>
  <si>
    <t>LEGEND TRAIL 1B LT 22</t>
  </si>
  <si>
    <t xml:space="preserve">6545 LEGEND VISTA </t>
  </si>
  <si>
    <t>LEGEND TRAIL 1A</t>
  </si>
  <si>
    <t xml:space="preserve">RAYMOND C DENT JR &amp; STERLING F, RASCHER REV TRUST  </t>
  </si>
  <si>
    <t>6545 LEGEND VISTA</t>
  </si>
  <si>
    <t xml:space="preserve">PAVICH, NICHOLAS J &amp; LILLIAN D </t>
  </si>
  <si>
    <t>049-060-58</t>
  </si>
  <si>
    <t>LEGEND TRAIL 1A LT 4</t>
  </si>
  <si>
    <t>6345 PAINTED TRL</t>
  </si>
  <si>
    <t>POMINVILLE, THOMAS R et al</t>
  </si>
  <si>
    <t>1950 GOLDEN GATE</t>
  </si>
  <si>
    <t>LEGEND TRAIL 1B LT 29</t>
  </si>
  <si>
    <t>17125 CASTLE PINE CT</t>
  </si>
  <si>
    <t>PINE TREE RANCH 2</t>
  </si>
  <si>
    <t xml:space="preserve">BROWN, DANIEL  </t>
  </si>
  <si>
    <t xml:space="preserve">17125 CASTLE PINE CT </t>
  </si>
  <si>
    <t xml:space="preserve">GRADY, SHAWN P &amp; SARAH B </t>
  </si>
  <si>
    <t>PINE TREE RANCH 2 LT 12 BLK C</t>
  </si>
  <si>
    <t>850 WHITES CREEK LN</t>
  </si>
  <si>
    <t>PM 3143</t>
  </si>
  <si>
    <t>BROWN, GABRIEL B et al</t>
  </si>
  <si>
    <t>049-251-32</t>
  </si>
  <si>
    <t>PM 3143 LT A</t>
  </si>
  <si>
    <t>12770 BUCKTHORN LN</t>
  </si>
  <si>
    <t xml:space="preserve">LABADIE, MICHAEL L &amp; THONET L  </t>
  </si>
  <si>
    <t xml:space="preserve">12770 BUCKTHORN LN </t>
  </si>
  <si>
    <t xml:space="preserve">APPELBAUM TRUST, STEVEN J  </t>
  </si>
  <si>
    <t>FIELDCREEK RANCH 9 LT 9 BLK A</t>
  </si>
  <si>
    <t>3783 VANCOUVER DR</t>
  </si>
  <si>
    <t>GALENA TERRACE 2</t>
  </si>
  <si>
    <t>NICHOLS, THOMAS M  et al</t>
  </si>
  <si>
    <t xml:space="preserve">KEELEY VIRGINIA L </t>
  </si>
  <si>
    <t>MUNRO, SHARLET et al</t>
  </si>
  <si>
    <t>049-450-41</t>
  </si>
  <si>
    <t>GALENA TERRACE 2 LT 242</t>
  </si>
  <si>
    <t xml:space="preserve"> N TIMBERLINE DR</t>
  </si>
  <si>
    <t>PM 3613</t>
  </si>
  <si>
    <t xml:space="preserve">SMITH REVOCABLE TRUST, STEVEN P &amp; DIANA L   </t>
  </si>
  <si>
    <t>P O BOX 19757</t>
  </si>
  <si>
    <t xml:space="preserve">BIELSER, CHRISTOPHER R &amp; LAURA M </t>
  </si>
  <si>
    <t>049-060-52</t>
  </si>
  <si>
    <t>PM 3613  FR ADJ LT 1 (RS 3862 LT 1B)</t>
  </si>
  <si>
    <t>15040 N TIMBERLINE DR</t>
  </si>
  <si>
    <t xml:space="preserve">GARECHT, WILLIAM &amp; PATRICIA </t>
  </si>
  <si>
    <t xml:space="preserve">KORN , WILLIAM G JR &amp; ELIZE L  </t>
  </si>
  <si>
    <t>049-871-08</t>
  </si>
  <si>
    <t>PM 3827 LT 3</t>
  </si>
  <si>
    <t>172 HEREFORD WAY</t>
  </si>
  <si>
    <t xml:space="preserve">KEMP, KEVIN T &amp; LYNNETTE M </t>
  </si>
  <si>
    <t>050-113-27</t>
  </si>
  <si>
    <t>PLEASANT VALLEY RANCHOS 2 LT 4 BLK F</t>
  </si>
  <si>
    <t>185 E LARAMIE DR</t>
  </si>
  <si>
    <t>RS 5174</t>
  </si>
  <si>
    <t xml:space="preserve">SPRATLEY, DARYL E &amp; CARRIE L </t>
  </si>
  <si>
    <t>050-045-01</t>
  </si>
  <si>
    <t>RS 5174 LT 9A BLK G, , REFER TO DOC 3776624 FOR CO</t>
  </si>
  <si>
    <t>174 HEREFORD WAY</t>
  </si>
  <si>
    <t>PLEASANT VALLEY RANCHOS 3</t>
  </si>
  <si>
    <t>CRANMER, CHRISTINA et al</t>
  </si>
  <si>
    <t xml:space="preserve">PRISBREY, DANIEL C &amp; PEGGY </t>
  </si>
  <si>
    <t>PLEASANT VALLEY RANCHOS 3 LT 5 BLK F</t>
  </si>
  <si>
    <t>45 MIDDLEFIELD PL</t>
  </si>
  <si>
    <t>PM 2587</t>
  </si>
  <si>
    <t>GLOVER, RITA A et al</t>
  </si>
  <si>
    <t>3983 S MCCARRAN BLVD # 504</t>
  </si>
  <si>
    <t>050-220-44</t>
  </si>
  <si>
    <t>PM 2587 LT 3</t>
  </si>
  <si>
    <t>780 ORO LOMA RD</t>
  </si>
  <si>
    <t>HAEBLER, DAVE  et al</t>
  </si>
  <si>
    <t xml:space="preserve">CHANEY-HAEBLER JEANINE M </t>
  </si>
  <si>
    <t>PO BOX 20753</t>
  </si>
  <si>
    <t xml:space="preserve">LOS MONTANAS LLC  </t>
  </si>
  <si>
    <t>WASHOE TERRACE LT 5 BLK F</t>
  </si>
  <si>
    <t>315 VIOLA WAY</t>
  </si>
  <si>
    <t>WASHOE TERRACE SUB DIV FR</t>
  </si>
  <si>
    <t xml:space="preserve">ISERNHAGEN, AUGUST C &amp; KRYSTA R </t>
  </si>
  <si>
    <t>WASHOE TERRACE SUB FR LT 5 BLK A</t>
  </si>
  <si>
    <t>1360 BRENDA WAY</t>
  </si>
  <si>
    <t xml:space="preserve">MCCOY, ROBERT &amp; ROBIN </t>
  </si>
  <si>
    <t>NEW WASHOE CITY 1 LT 6 BLK D</t>
  </si>
  <si>
    <t>1300 BRENDA WAY</t>
  </si>
  <si>
    <t>NEW WASHOE CITY SUBD 1</t>
  </si>
  <si>
    <t xml:space="preserve">PRICE, JONATHAN J </t>
  </si>
  <si>
    <t>NEW WASHOE CITY 1 LT 3 BLK D</t>
  </si>
  <si>
    <t>2955 DOUGLAS DR</t>
  </si>
  <si>
    <t>PM 3345</t>
  </si>
  <si>
    <t>DUNCAN, AUBREY N et al</t>
  </si>
  <si>
    <t>DONELSON AMY L</t>
  </si>
  <si>
    <t>2955 DOUGLASS DR</t>
  </si>
  <si>
    <t xml:space="preserve">HON, RAYMOND L &amp; PATRICIA B </t>
  </si>
  <si>
    <t>050-301-27</t>
  </si>
  <si>
    <t>PM 3345 LT D1</t>
  </si>
  <si>
    <t>3970 DOC BAR CT</t>
  </si>
  <si>
    <t>PM 3352</t>
  </si>
  <si>
    <t xml:space="preserve">LAUTZENHISER, BARRY &amp; KATHERINE </t>
  </si>
  <si>
    <t>2090 RABBIT DR</t>
  </si>
  <si>
    <t>GILLETT, MICHELLE L et al</t>
  </si>
  <si>
    <t>050-301-51</t>
  </si>
  <si>
    <t>PM 3352 FR LT B4-1</t>
  </si>
  <si>
    <t>152 PEPPY SAN CT</t>
  </si>
  <si>
    <t>PM 3354</t>
  </si>
  <si>
    <t>LAXAGUE, JOHN J et al</t>
  </si>
  <si>
    <t>CAMPBELL-LAXAGUE SHAWNA J</t>
  </si>
  <si>
    <t>3273 EAST WARMSPRINGS RD</t>
  </si>
  <si>
    <t>050-301-74</t>
  </si>
  <si>
    <t>PM 3354 LT A1</t>
  </si>
  <si>
    <t>325 WILDLIFE WAY</t>
  </si>
  <si>
    <t xml:space="preserve">LEBLANC, DOMINIQUE J &amp; KATHLENE T </t>
  </si>
  <si>
    <t xml:space="preserve">LANE, TROY R &amp; CHRISTINA M </t>
  </si>
  <si>
    <t>OLD WASHOE EST LT 24 BLK F</t>
  </si>
  <si>
    <t>440 OLD WASHOE CIR</t>
  </si>
  <si>
    <t>FRYE-SPRAY, MICHELLE et al</t>
  </si>
  <si>
    <t>SPRAY MICHAEL L</t>
  </si>
  <si>
    <t>OLD WASHOE EST LT 39 BLK I</t>
  </si>
  <si>
    <t>2190 CHUKAR DR</t>
  </si>
  <si>
    <t xml:space="preserve">FAIRBANK, MICHELINE &amp; CHARLES  III </t>
  </si>
  <si>
    <t xml:space="preserve">2190 CHUKAR DR </t>
  </si>
  <si>
    <t>NEW WASHOE CITY 3 LT 21 BLK F</t>
  </si>
  <si>
    <t>2010 CHIPMUNK DR</t>
  </si>
  <si>
    <t xml:space="preserve">FUSON, TASHA J &amp; MARK </t>
  </si>
  <si>
    <t xml:space="preserve">LANZINO, MICHELE D </t>
  </si>
  <si>
    <t>NEW WASHOE CITY SUB 3 LT 1 BLK D</t>
  </si>
  <si>
    <t>3000 SYDNEY CIR</t>
  </si>
  <si>
    <t>WASHOE SIERRA SUB NO 2</t>
  </si>
  <si>
    <t xml:space="preserve">DAVENPORT, DONALD W &amp; BEVERLY J </t>
  </si>
  <si>
    <t>WASHOE SIERRA  2 LT 1 BLK B</t>
  </si>
  <si>
    <t>3095 WOLF LN</t>
  </si>
  <si>
    <t xml:space="preserve">LUTTRELL, ROBERT &amp; LYNN </t>
  </si>
  <si>
    <t xml:space="preserve">STRAUSS, SUSAN L </t>
  </si>
  <si>
    <t>NEW WASHOE CITY SUB NO 4 LOT 10 BLK P</t>
  </si>
  <si>
    <t>2275 BEAVER DR</t>
  </si>
  <si>
    <t xml:space="preserve">22825 CARRIAGE DR </t>
  </si>
  <si>
    <t xml:space="preserve">IMB REO LLC </t>
  </si>
  <si>
    <t>NEW WASHOE CITY 3 LT 4 BLK L</t>
  </si>
  <si>
    <t>225 DRAKE WAY</t>
  </si>
  <si>
    <t>PM 579</t>
  </si>
  <si>
    <t xml:space="preserve">BURNS, BRAD </t>
  </si>
  <si>
    <t>PM 579 LT A</t>
  </si>
  <si>
    <t>340 SPARROW WAY</t>
  </si>
  <si>
    <t xml:space="preserve">ESLINGER, JAMES P </t>
  </si>
  <si>
    <t>NEW WASHOE CITY 5 LT 7 BLK N</t>
  </si>
  <si>
    <t>4075 DRAKE WAY</t>
  </si>
  <si>
    <t xml:space="preserve">WELLS FARGO FINANCIAL NV 2 INC </t>
  </si>
  <si>
    <t>NEW WASHOE CITY 5 LT 1 BLK M</t>
  </si>
  <si>
    <t>3065 EASTLAKE BLVD</t>
  </si>
  <si>
    <t>LEWIS , TERRY A  et al</t>
  </si>
  <si>
    <t>NEW WASHOE CITY SUB 4 LT 18 BLK K</t>
  </si>
  <si>
    <t>2995 WHITE PINE DR</t>
  </si>
  <si>
    <t xml:space="preserve">SPERRY, LAURA </t>
  </si>
  <si>
    <t>NEW WASHOE CITY 4 LT 14 BLK I</t>
  </si>
  <si>
    <t>3025 WHITE PINE DR</t>
  </si>
  <si>
    <t xml:space="preserve">BUSH, MICHAEL J </t>
  </si>
  <si>
    <t>NEW WASHOE CITY SUB 4 LT 11 BLK I</t>
  </si>
  <si>
    <t>2945 HAWK ST</t>
  </si>
  <si>
    <t xml:space="preserve">SANDER, TEMPLE </t>
  </si>
  <si>
    <t>NEW WASHOE CITY 4 LT 18 BLK J</t>
  </si>
  <si>
    <t>170 PUMA DR</t>
  </si>
  <si>
    <t xml:space="preserve">CULLEN, CINDY  </t>
  </si>
  <si>
    <t xml:space="preserve">170 PUMA DR </t>
  </si>
  <si>
    <t xml:space="preserve">ZENK, DAVID E &amp; A MARIE </t>
  </si>
  <si>
    <t>NEW WASHOE CITY 4 LT 1 BLK L</t>
  </si>
  <si>
    <t>160 JACKDAW LN</t>
  </si>
  <si>
    <t xml:space="preserve">YUAN, SAMUEL S M &amp; SHIRLAND C </t>
  </si>
  <si>
    <t xml:space="preserve">GERMAN, KEVIN &amp; KIMBERLY </t>
  </si>
  <si>
    <t>NEW WASHOE CITY 6 LT A-4</t>
  </si>
  <si>
    <t>265 MAGPIE WAY</t>
  </si>
  <si>
    <t>BELL, BRANDON et al</t>
  </si>
  <si>
    <t>JEREMIAS CASSADY</t>
  </si>
  <si>
    <t xml:space="preserve">265 MAGPIE WAY </t>
  </si>
  <si>
    <t>NEW WASHOE CITY 5 LT 2 BLK C</t>
  </si>
  <si>
    <t>130 ESMERALDA DR</t>
  </si>
  <si>
    <t>PM 167</t>
  </si>
  <si>
    <t xml:space="preserve">ROSEBERRY, KEVIN C &amp; TIANNA J </t>
  </si>
  <si>
    <t xml:space="preserve">BARTLEY TRUST, RENE D  </t>
  </si>
  <si>
    <t>PM 167 LT 2</t>
  </si>
  <si>
    <t>4355 APOLLONIO WAY</t>
  </si>
  <si>
    <t>PM 865</t>
  </si>
  <si>
    <t>4357 APOLLONIO WAY</t>
  </si>
  <si>
    <t xml:space="preserve">SHERK, AMY A </t>
  </si>
  <si>
    <t>PM 865 LOT 1</t>
  </si>
  <si>
    <t>4325 GANDER LN</t>
  </si>
  <si>
    <t xml:space="preserve">LINDERMAN , KEVIN &amp; TARA </t>
  </si>
  <si>
    <t xml:space="preserve">4325 GANDER LN </t>
  </si>
  <si>
    <t xml:space="preserve">CORTEZ, DON R &amp; JOANNE </t>
  </si>
  <si>
    <t>NEW WASHOE CITY 5 LT 26 BLK O</t>
  </si>
  <si>
    <t>3370 PERSHING LN</t>
  </si>
  <si>
    <t>WASHOE VALLEY FARMS FR 11</t>
  </si>
  <si>
    <t>PACK, GLORIA F et al</t>
  </si>
  <si>
    <t xml:space="preserve">PACK, GLORIA F </t>
  </si>
  <si>
    <t>WASHOE VALLEY FARMS FR LTS 11 &amp; 12</t>
  </si>
  <si>
    <t>3055 HOLLY LN</t>
  </si>
  <si>
    <t>SALAUN-OPPERMAN, CYNTHIA L et al</t>
  </si>
  <si>
    <t xml:space="preserve">PRIESTLEY, RICHARD L </t>
  </si>
  <si>
    <t>FR NW4 SEC 5 TWP 16 RGE 20</t>
  </si>
  <si>
    <t>3710 WHITE PINE DR</t>
  </si>
  <si>
    <t xml:space="preserve">CAMPBELL, DENNIS H </t>
  </si>
  <si>
    <t>WASHOE VALLEY FARMS FR LT 7 BLK K</t>
  </si>
  <si>
    <t>3320 NYE DR</t>
  </si>
  <si>
    <t xml:space="preserve">KESSLER, SCOTT B </t>
  </si>
  <si>
    <t>WASHOE VALLEY FARMS LT 9 BLK N</t>
  </si>
  <si>
    <t>4875 GRAYS STARLIGHT CT</t>
  </si>
  <si>
    <t>PM 3414</t>
  </si>
  <si>
    <t xml:space="preserve">4875 GRAYS STARLIGHT CT </t>
  </si>
  <si>
    <t>050-490-12</t>
  </si>
  <si>
    <t>PM 3414 LT A4-4-1</t>
  </si>
  <si>
    <t>2110 WHIRLAWAY PL</t>
  </si>
  <si>
    <t xml:space="preserve">MORRAH, RONALD H &amp; BRIGITTE U  </t>
  </si>
  <si>
    <t xml:space="preserve">DEPUTY, RICHARD W </t>
  </si>
  <si>
    <t>HIDDEN VALLEY HIGHLANDS 1 LT 24 BLK F</t>
  </si>
  <si>
    <t>7250 PEMBROKE DR</t>
  </si>
  <si>
    <t xml:space="preserve">BLANKENBURG, DIANE </t>
  </si>
  <si>
    <t>HIDDEN VALLEY HIGHLANDS 1 LT 1 BLK B</t>
  </si>
  <si>
    <t>2340 SILKY SULLIVAN LN</t>
  </si>
  <si>
    <t xml:space="preserve">HIX, EDWARD A &amp; PAMELA E  </t>
  </si>
  <si>
    <t xml:space="preserve">JOHNSON, ALAN L &amp; IVYE </t>
  </si>
  <si>
    <t>HIDDEN VALLEY HIGHLANDS 1 LT 5 BLK C</t>
  </si>
  <si>
    <t>5660 PELHAM DR</t>
  </si>
  <si>
    <t xml:space="preserve">STAFFORD TRUST, DONALD T  </t>
  </si>
  <si>
    <t>3353 FOREST VIEW LN</t>
  </si>
  <si>
    <t xml:space="preserve">HILLYGUS, JUSTIN W </t>
  </si>
  <si>
    <t>HIDDEN VALLEY 3 LT 2 BLK B + PATH</t>
  </si>
  <si>
    <t>3175 W HIDDEN VALLEY DR</t>
  </si>
  <si>
    <t xml:space="preserve">BUSCH, LAUREL S &amp; PHILLIP F  </t>
  </si>
  <si>
    <t xml:space="preserve">3175 W HIDDEN VALLEY DR </t>
  </si>
  <si>
    <t>051-121-03</t>
  </si>
  <si>
    <t>HIDDEN VALLEY 3 LT 36  BLK B + PATH</t>
  </si>
  <si>
    <t>3445 TAMARISK DR</t>
  </si>
  <si>
    <t xml:space="preserve">LARSON, THOMAS J </t>
  </si>
  <si>
    <t xml:space="preserve">JONES TRUST, RUTH D  </t>
  </si>
  <si>
    <t>051-152-08</t>
  </si>
  <si>
    <t>HIDDEN VALLEY 2 LT 38 BLK D + PATH</t>
  </si>
  <si>
    <t>3385 SHAWNEE CIR</t>
  </si>
  <si>
    <t>HIDDEN VALLEY SUB 2</t>
  </si>
  <si>
    <t xml:space="preserve">AVILES, JASON G &amp; YVESSA M </t>
  </si>
  <si>
    <t xml:space="preserve">HUSSEY, DAVID F &amp; ELAINE T </t>
  </si>
  <si>
    <t>HIDDEN VALLEY 2 LT 9 BLK F + PATH</t>
  </si>
  <si>
    <t>3551 E HIDDEN VALLEY DR</t>
  </si>
  <si>
    <t xml:space="preserve">ERNSBERGER FAMILY TRUST, JOHN L &amp; SUZANNE G  </t>
  </si>
  <si>
    <t>PO BOX 915</t>
  </si>
  <si>
    <t>CASCADE</t>
  </si>
  <si>
    <t xml:space="preserve">KEWELL FAMILY TRUST, CORALEE &amp; FRED  </t>
  </si>
  <si>
    <t>WASHOE MEADOWS LT 1 BLK F</t>
  </si>
  <si>
    <t>3470 W HIDDEN VALLEY DR</t>
  </si>
  <si>
    <t>HIDDEN VALLEY SUB DIV 3</t>
  </si>
  <si>
    <t xml:space="preserve">MINDACH, EDWARD F </t>
  </si>
  <si>
    <t>HIDDEN VALLEY 3  LT 24 BLK Z</t>
  </si>
  <si>
    <t>4035 INVERNESS DR</t>
  </si>
  <si>
    <t>HIDDEN VALLEY  4</t>
  </si>
  <si>
    <t xml:space="preserve">MANN, ERIC &amp; C RYAN </t>
  </si>
  <si>
    <t xml:space="preserve">GOLDEN FAMILY TRUST, RICHARD  </t>
  </si>
  <si>
    <t>HIDDEN VALLEY 4  LT 13  BLK Z</t>
  </si>
  <si>
    <t>4321 W HIDDEN VALLEY DR</t>
  </si>
  <si>
    <t>BROOKSIDE LAKES 1A</t>
  </si>
  <si>
    <t xml:space="preserve">VALADEZ, JOSE &amp; LISA </t>
  </si>
  <si>
    <t>051-203-04</t>
  </si>
  <si>
    <t>BROOKSIDE LAKES 1A LT 7 BLK A + FR ST</t>
  </si>
  <si>
    <t>4381 W HIDDEN VALLEY DR</t>
  </si>
  <si>
    <t xml:space="preserve">AMCOTTS-WERNER, KAREN P </t>
  </si>
  <si>
    <t>051-203-07</t>
  </si>
  <si>
    <t>BROOKSIDE LAKES 1A LT 10 BLK A + FR ST</t>
  </si>
  <si>
    <t>4900 W HIDDEN VALLEY DR</t>
  </si>
  <si>
    <t xml:space="preserve">547 RALSTON LLC </t>
  </si>
  <si>
    <t>PO BOX 18177</t>
  </si>
  <si>
    <t xml:space="preserve">MARAZITA, FRANK A &amp; DEBORAH J </t>
  </si>
  <si>
    <t>HIDDEN VALLEY 5 LT 1 BLK X</t>
  </si>
  <si>
    <t>5480 CYPRESS POINT DR</t>
  </si>
  <si>
    <t xml:space="preserve">PERKINS, DWIGHT G &amp; CATHY H </t>
  </si>
  <si>
    <t xml:space="preserve">PERKINS, DWIGHT G </t>
  </si>
  <si>
    <t>HIDDEN VALLEY 5 LT 8 FR 9 BLK V</t>
  </si>
  <si>
    <t>7871 S SOUTHMOOR CIR</t>
  </si>
  <si>
    <t xml:space="preserve">MALONE, JOHN A &amp; CHRISTINA E  </t>
  </si>
  <si>
    <t>HIDDEN VALLEY 1 LT 26 BLK J</t>
  </si>
  <si>
    <t>4800 E HIDDEN VALLEY DR</t>
  </si>
  <si>
    <t xml:space="preserve">GERAGHTY REVOCABLE TRUST, THOMAS W &amp; BARBARA L   </t>
  </si>
  <si>
    <t xml:space="preserve">4800 E HIDDEN VALLEY DR                 </t>
  </si>
  <si>
    <t xml:space="preserve">JOHNSON, KAREN S </t>
  </si>
  <si>
    <t>HIDDEN VALLEY 1 LT 12 BLK K &amp; 10` STRIP</t>
  </si>
  <si>
    <t>5025 SLEEPY HOLLOW DR</t>
  </si>
  <si>
    <t xml:space="preserve">ANNIS, JAMES &amp; REGENIA </t>
  </si>
  <si>
    <t xml:space="preserve">5025 SLEEPY HOLLOW DR                   </t>
  </si>
  <si>
    <t>HIDDEN VALLEY 1 LT 34 BLK J</t>
  </si>
  <si>
    <t>2960 MAN OF WAR DR</t>
  </si>
  <si>
    <t>RS 4348</t>
  </si>
  <si>
    <t xml:space="preserve">GOTSCHALL, DAVID V &amp; NANCY F </t>
  </si>
  <si>
    <t>051-352-13</t>
  </si>
  <si>
    <t>RS 4348 LT 4A</t>
  </si>
  <si>
    <t>5469 HIDDEN VALLEY CT</t>
  </si>
  <si>
    <t xml:space="preserve">CRUITT-ROSS TRUST  </t>
  </si>
  <si>
    <t>ROSS, DIANE C et al</t>
  </si>
  <si>
    <t>BROOKSIDE LAKES 1A LT 17 BLK A</t>
  </si>
  <si>
    <t>6009 CLEAR CREEK DR</t>
  </si>
  <si>
    <t xml:space="preserve">LUNDQUIST, MARK </t>
  </si>
  <si>
    <t xml:space="preserve">6009 CLEAR CREEK DR                     </t>
  </si>
  <si>
    <t>HIDDEN CANYON 2 LT 27 BLK C</t>
  </si>
  <si>
    <t>5978 BLUE HILLS CT</t>
  </si>
  <si>
    <t xml:space="preserve">CARD, DEBRA S &amp; DORAN R </t>
  </si>
  <si>
    <t xml:space="preserve">KEYS FAMILY TRUST  </t>
  </si>
  <si>
    <t>HIDDEN CANYON 2 LT 43 BLK C</t>
  </si>
  <si>
    <t>7125 PEMBROKE DR</t>
  </si>
  <si>
    <t xml:space="preserve">DOEBLER, MICHEAL V  </t>
  </si>
  <si>
    <t>719 E SONORAN DR</t>
  </si>
  <si>
    <t>84780</t>
  </si>
  <si>
    <t>051-090-04</t>
  </si>
  <si>
    <t>HIDDEN VALLEY 6 LT 2 BLK E</t>
  </si>
  <si>
    <t>6060 STILLMEADOW DR</t>
  </si>
  <si>
    <t>HIDDEN CANYON 3</t>
  </si>
  <si>
    <t xml:space="preserve">HUCKABY, DAVID R &amp; THERESA S  </t>
  </si>
  <si>
    <t xml:space="preserve">6060 STILLMEADOW DR </t>
  </si>
  <si>
    <t>051-400-15</t>
  </si>
  <si>
    <t>HIDDEN CANYON 3 LT 3 BLK A</t>
  </si>
  <si>
    <t>325 DESERT MEADOW CT</t>
  </si>
  <si>
    <t>HIDDEN MEADOW 2</t>
  </si>
  <si>
    <t xml:space="preserve">DAVIS-PULLEY, JEANIE  </t>
  </si>
  <si>
    <t xml:space="preserve">325 DESERT MEADOW CT </t>
  </si>
  <si>
    <t>COMSTOCK, MELVIN B et al</t>
  </si>
  <si>
    <t>051-540-03</t>
  </si>
  <si>
    <t>HIDDEN MEADOW 2 LT 26</t>
  </si>
  <si>
    <t>5905 STILLMEADOW DR</t>
  </si>
  <si>
    <t>HIDDEN CANYON 4B LT 23</t>
  </si>
  <si>
    <t>5815 CORVUS CT</t>
  </si>
  <si>
    <t xml:space="preserve">JOHNSTONE, TOURINE &amp; TREVOR  </t>
  </si>
  <si>
    <t xml:space="preserve">NESEMEIER, FREDERICK G &amp; MARCIA L </t>
  </si>
  <si>
    <t>HIDDEN CANYON 4B LT 18</t>
  </si>
  <si>
    <t>5735 STILLMEADOW CT</t>
  </si>
  <si>
    <t xml:space="preserve">CARTER, GLEN R &amp; LALEH M </t>
  </si>
  <si>
    <t>HIDDEN CANYON 4B LT 12</t>
  </si>
  <si>
    <t>1950 ALPHABET DR</t>
  </si>
  <si>
    <t xml:space="preserve">HAMILTON, MICHAEL J &amp; SIU F LAM </t>
  </si>
  <si>
    <t xml:space="preserve">HAMILTON, MICHAEL J &amp; SHU F LAM </t>
  </si>
  <si>
    <t>HIDDEN MEADOWS 5A LT 79</t>
  </si>
  <si>
    <t>3770 JAGGED ROCK RD</t>
  </si>
  <si>
    <t xml:space="preserve">NASON, MARK E </t>
  </si>
  <si>
    <t>SHARON HILL 9 LT 32</t>
  </si>
  <si>
    <t>7400 ROUGH ROCK DR</t>
  </si>
  <si>
    <t>SHARON HILL 10</t>
  </si>
  <si>
    <t xml:space="preserve">RODDY, WILLIAM C &amp; DALIA </t>
  </si>
  <si>
    <t>051-592-11</t>
  </si>
  <si>
    <t>SHARON HILL 10 LT 57</t>
  </si>
  <si>
    <t>7345 ROCKY FLATS CT</t>
  </si>
  <si>
    <t xml:space="preserve">LARSON, ANN M  </t>
  </si>
  <si>
    <t>PO BOX 9575</t>
  </si>
  <si>
    <t>KOWATCH, THOMAS  et al</t>
  </si>
  <si>
    <t>SHARON HILL 10 LT 43</t>
  </si>
  <si>
    <t>4045 S OLD US HWY 395</t>
  </si>
  <si>
    <t>FR S4 NW4;NW4 SW4</t>
  </si>
  <si>
    <t>COPPER</t>
  </si>
  <si>
    <t xml:space="preserve">CLARK, DAVID B </t>
  </si>
  <si>
    <t>220 AVE I</t>
  </si>
  <si>
    <t xml:space="preserve">CHEVY CHASE BANK FSB  </t>
  </si>
  <si>
    <t>FR SW4 NW4;NW4 SW4 SEC 3 TWP 16 RGE 19</t>
  </si>
  <si>
    <t>IGJJ</t>
  </si>
  <si>
    <t>4850 S OLD US HWY 395</t>
  </si>
  <si>
    <t xml:space="preserve">GILLEMOT FAMILY TRUST, GEORGE W  </t>
  </si>
  <si>
    <t>GEORGE W GILLEMOT TRUSTEE</t>
  </si>
  <si>
    <t>4814 OLD US HWY 395</t>
  </si>
  <si>
    <t xml:space="preserve">AZEVEDO, NORMAN J &amp; RHONDA A </t>
  </si>
  <si>
    <t>FR NE4 SEC 10 TWP 16 RGE 19</t>
  </si>
  <si>
    <t>4799 FRANKTOWN RD</t>
  </si>
  <si>
    <t xml:space="preserve">WILLIAMS, MELVIN L &amp; REBECCA F </t>
  </si>
  <si>
    <t xml:space="preserve">PIPKIN, KELLYLYNN C </t>
  </si>
  <si>
    <t>FR SW4 NW4 SEC 10 TWP 16 RGE 19</t>
  </si>
  <si>
    <t>5460 MEACHAM ST</t>
  </si>
  <si>
    <t xml:space="preserve">HOF , DENNIS A </t>
  </si>
  <si>
    <t>162 GARNET CIR</t>
  </si>
  <si>
    <t>FR SEC 14 TWP 16 RGE 19</t>
  </si>
  <si>
    <t>5775 S OLD US HWY 395</t>
  </si>
  <si>
    <t xml:space="preserve">RIFE, MICHAEL C </t>
  </si>
  <si>
    <t>5775 OLD US HWY 395</t>
  </si>
  <si>
    <t xml:space="preserve">LEBAS FAMILY TRUST, JOSEPH &amp; JULAYNE  </t>
  </si>
  <si>
    <t>FR NW4 SEC 23 TWP 16 RGE 19</t>
  </si>
  <si>
    <t>465 DUCK HILL RD</t>
  </si>
  <si>
    <t>PM 1709 FR (R/S 2837)</t>
  </si>
  <si>
    <t xml:space="preserve">HUGHES, T W &amp; ERLINDA  </t>
  </si>
  <si>
    <t>CR3112 BOX 675</t>
  </si>
  <si>
    <t>JACKSONVILLE</t>
  </si>
  <si>
    <t>75766</t>
  </si>
  <si>
    <t xml:space="preserve">BELL, BARRY W &amp; KARLA K </t>
  </si>
  <si>
    <t>055-270-10</t>
  </si>
  <si>
    <t>PM 1709 FR PAR 1 (R/S 2837)</t>
  </si>
  <si>
    <t>IFAH</t>
  </si>
  <si>
    <t>600 PONDEROSA POINT DR</t>
  </si>
  <si>
    <t>RS 5239</t>
  </si>
  <si>
    <t xml:space="preserve">KUHL TRUST, DONALD &amp; SHERRY  </t>
  </si>
  <si>
    <t>7409 FRANKTOWN RD</t>
  </si>
  <si>
    <t xml:space="preserve">PONDEROSA LAND/LVSTOCK CO INC </t>
  </si>
  <si>
    <t>055-301-39</t>
  </si>
  <si>
    <t>DLM 213 LT 1 ADJ RS 5239 LT 1A REFER TO DOC 338608</t>
  </si>
  <si>
    <t>25 LONESOME POLECAT LN</t>
  </si>
  <si>
    <t xml:space="preserve">EDWARDS, JAMES </t>
  </si>
  <si>
    <t xml:space="preserve">WHITE, MARLIN &amp; TERESA </t>
  </si>
  <si>
    <t>FR SE4 SE4 SEC 26 TWP 16 RGE 19</t>
  </si>
  <si>
    <t>9 SILVER SADDLE CT</t>
  </si>
  <si>
    <t xml:space="preserve">NEWSOM, SHANE L &amp; STEFEN L </t>
  </si>
  <si>
    <t xml:space="preserve">KUHL, DONALD D &amp; SHARON E </t>
  </si>
  <si>
    <t>LIGHTNING W RANCH RNCH UT LT 43 BLK M</t>
  </si>
  <si>
    <t>13 LIGHTNING W RANCH RD</t>
  </si>
  <si>
    <t xml:space="preserve">WOODS, MAURA A &amp; CHAD R </t>
  </si>
  <si>
    <t>LIGHTNING "W" RANCH RANCH UT LT 33 BLK I</t>
  </si>
  <si>
    <t>60 E LIGHTNING W RANCH RD</t>
  </si>
  <si>
    <t xml:space="preserve">GLADYS, JOHN M &amp; NICHOLAS W </t>
  </si>
  <si>
    <t>LIGHTNING "W" RANCH RANCH UT LT 89 BLK P</t>
  </si>
  <si>
    <t>2 LAKE MEADOW LN</t>
  </si>
  <si>
    <t>LIGHTNING W RANCH RANCH UNIT</t>
  </si>
  <si>
    <t xml:space="preserve">KENNEDY FAMILY TRUST  </t>
  </si>
  <si>
    <t>7375 FRANKTOWN RD</t>
  </si>
  <si>
    <t xml:space="preserve">HARVEY, ALAN L </t>
  </si>
  <si>
    <t>LIGHTNING W RANCH RANCH UT LT 10 BLK H</t>
  </si>
  <si>
    <t>FR SEC 28 29 32 &amp; 33</t>
  </si>
  <si>
    <t xml:space="preserve">LIGON TRUST, JOHN A  </t>
  </si>
  <si>
    <t>303 CHEVY CHASE DR</t>
  </si>
  <si>
    <t>BERTRAND LIVING TRUST, ELDEN L &amp; VIRGINIA D TTEE et al</t>
  </si>
  <si>
    <t>FR SEC 28 29 32 &amp; 33 TWP 45 RGE 18</t>
  </si>
  <si>
    <t xml:space="preserve">BERNARD, BRIAN  </t>
  </si>
  <si>
    <t xml:space="preserve">3516 MILTON MILL RD </t>
  </si>
  <si>
    <t xml:space="preserve">SALISBURG </t>
  </si>
  <si>
    <t xml:space="preserve">CABRERA, PAUL </t>
  </si>
  <si>
    <t xml:space="preserve">GABOR, HELGA </t>
  </si>
  <si>
    <t>FOE UT 40</t>
  </si>
  <si>
    <t>9226 DUNASZIGET</t>
  </si>
  <si>
    <t>HUNGARY</t>
  </si>
  <si>
    <t xml:space="preserve">FREIMAN, DIDI </t>
  </si>
  <si>
    <t>061-050-20</t>
  </si>
  <si>
    <t>SE4 NW4 SEC 15 TWP 43 RGE 19</t>
  </si>
  <si>
    <t>BAILEY, MITCHELL et al</t>
  </si>
  <si>
    <t>27 S SPRING MT CIRCLE</t>
  </si>
  <si>
    <t>E2 OF SE4 OF SW4</t>
  </si>
  <si>
    <t xml:space="preserve">UNITED STATES OF AMERICA </t>
  </si>
  <si>
    <t>C/O BLM WINNEMUCCA FIELD OFFICE</t>
  </si>
  <si>
    <t>5100 E WINNEMUCCA BLVD</t>
  </si>
  <si>
    <t xml:space="preserve">DUCK FLAT RANCH LLC  </t>
  </si>
  <si>
    <t>SW4 SW4 SEC 24 TWP 39 RGE 23</t>
  </si>
  <si>
    <t>FR SEC 24 TWP 39 RGE 23</t>
  </si>
  <si>
    <t>2000 BULL CREEK RD</t>
  </si>
  <si>
    <t>DLM 191</t>
  </si>
  <si>
    <t xml:space="preserve">GISELA, ANGELA  </t>
  </si>
  <si>
    <t>PO BOX 111</t>
  </si>
  <si>
    <t xml:space="preserve">SPRINGER, RICK </t>
  </si>
  <si>
    <t>066-250-01</t>
  </si>
  <si>
    <t>DLM 191 LT 3</t>
  </si>
  <si>
    <t>SW4 NE4</t>
  </si>
  <si>
    <t xml:space="preserve">BRIGHT-HOLLAND CO </t>
  </si>
  <si>
    <t>SW4 NE4 SEC 24 TWP 33 RGE 20</t>
  </si>
  <si>
    <t>NW4 NW4</t>
  </si>
  <si>
    <t>NW4 NW4 SEC 23 TWP 33 RGE 21</t>
  </si>
  <si>
    <t>W2 NE4 &amp; NW4 SE4</t>
  </si>
  <si>
    <t>W2 NE4 &amp; NW4 SE4 SEC 25 TWP 33 RGE 20</t>
  </si>
  <si>
    <t>SW4 NE4 SEC 30 TWP 33 RGE 21</t>
  </si>
  <si>
    <t>SE4 NW4</t>
  </si>
  <si>
    <t>SE4 NW4 SEC 31 TWP 33 RGE 21</t>
  </si>
  <si>
    <t>N2 LT 5</t>
  </si>
  <si>
    <t>N2 LT 5 SEC 7 TWP 34 RGE 20</t>
  </si>
  <si>
    <t>NW4 NW4 SEC 10 TWP 34 RGE 20</t>
  </si>
  <si>
    <t>LT 1</t>
  </si>
  <si>
    <t>LT 1 SEC 18 TWP 34 RGE 20</t>
  </si>
  <si>
    <t>NW4 NE4</t>
  </si>
  <si>
    <t>NW4 NE4 SEC 17 TWP 34 RGE 20</t>
  </si>
  <si>
    <t>260 DEL ORA AVE</t>
  </si>
  <si>
    <t xml:space="preserve">WESTBERG, DEANNA J  </t>
  </si>
  <si>
    <t xml:space="preserve">GERLACH </t>
  </si>
  <si>
    <t xml:space="preserve">LUCCHESI FAMILY TRUST, JOSEPH &amp; ANTOINETTE C  </t>
  </si>
  <si>
    <t>GERLACH LT 2 BLK 1</t>
  </si>
  <si>
    <t>225 GROVE ST</t>
  </si>
  <si>
    <t xml:space="preserve">HOPKINS, RON &amp; VIRGINIA </t>
  </si>
  <si>
    <t xml:space="preserve">225 GROVE ST </t>
  </si>
  <si>
    <t xml:space="preserve">GREEN, DAVID R </t>
  </si>
  <si>
    <t>GERLACH LT 4 BLK X</t>
  </si>
  <si>
    <t>1265 ANAHO RD</t>
  </si>
  <si>
    <t>FR SEC 29 &amp;</t>
  </si>
  <si>
    <t xml:space="preserve">CLDS LP  </t>
  </si>
  <si>
    <t>12738 RUE VINCENNES</t>
  </si>
  <si>
    <t>92131</t>
  </si>
  <si>
    <t>LA BARGE, PETER et al</t>
  </si>
  <si>
    <t xml:space="preserve">S2 SE4 SEC 29 TWP 26 RGE 18; N2 NE4 SEC 32 TWP 26 </t>
  </si>
  <si>
    <t xml:space="preserve">BORG, BRIAN  </t>
  </si>
  <si>
    <t>PO BOX 3224</t>
  </si>
  <si>
    <t xml:space="preserve">SALVATION ARMY </t>
  </si>
  <si>
    <t>NE4 OF NE4 OF SE4</t>
  </si>
  <si>
    <t>4743 E COLLEY RD</t>
  </si>
  <si>
    <t>BELOIT</t>
  </si>
  <si>
    <t>N2 OF SE4 OF SE4 OF NW4</t>
  </si>
  <si>
    <t xml:space="preserve">ROBINSON, HAROLD </t>
  </si>
  <si>
    <t>160 FLANIGAN RD</t>
  </si>
  <si>
    <t xml:space="preserve">INGRAM, DOUGLAS R &amp; BRUCIE M </t>
  </si>
  <si>
    <t>NW4 SEC 26 TWP 27 RGE 18</t>
  </si>
  <si>
    <t xml:space="preserve">GONZALEZ, JESUS &amp; LINDA </t>
  </si>
  <si>
    <t>1095 NE CORNELL RD</t>
  </si>
  <si>
    <t>HILLSBORO</t>
  </si>
  <si>
    <t>N1/2 AND PORTION OF S1/2 OF SECTION 35 TWP 27N RGE</t>
  </si>
  <si>
    <t xml:space="preserve">HALEY, ANTHONY </t>
  </si>
  <si>
    <t>18294 GOOSE LAKE DR</t>
  </si>
  <si>
    <t>FR S2 SW4 SEC 35/36 TWP 27 RGE 18</t>
  </si>
  <si>
    <t>NW1/4 OF SECTION 27 TWP 27N RGE 18E</t>
  </si>
  <si>
    <t>PYRAMID LAKE RANCHES 3</t>
  </si>
  <si>
    <t xml:space="preserve">HUYNH, HENRY </t>
  </si>
  <si>
    <t>1648 MARINETTE CT</t>
  </si>
  <si>
    <t>PYRAMID LAKE RANCHES 3 LT 6</t>
  </si>
  <si>
    <t xml:space="preserve">WIN, RENA </t>
  </si>
  <si>
    <t>20518 E PALM BEACH DR</t>
  </si>
  <si>
    <t>QUEEN CREEK</t>
  </si>
  <si>
    <t>85142</t>
  </si>
  <si>
    <t xml:space="preserve">IGLOO INDUSTRIES LLC  </t>
  </si>
  <si>
    <t>SW4 OF SW4 OF NW4</t>
  </si>
  <si>
    <t xml:space="preserve">JOBE, SHIRLEY ANN </t>
  </si>
  <si>
    <t>2908 OCEAN BLVD</t>
  </si>
  <si>
    <t>CORONA DEL MAR</t>
  </si>
  <si>
    <t>92625</t>
  </si>
  <si>
    <t xml:space="preserve">NRLL INC </t>
  </si>
  <si>
    <t>FR SW4 SW4 SEC 30 TWP 27 RGE 19</t>
  </si>
  <si>
    <t>WILLIAMS, LINDA E et al</t>
  </si>
  <si>
    <t xml:space="preserve">C/O ROBERT G BURNS </t>
  </si>
  <si>
    <t xml:space="preserve">4757 COTTAGE LN </t>
  </si>
  <si>
    <t xml:space="preserve">WILLIAMS, LYNN F &amp; LINDA E </t>
  </si>
  <si>
    <t>N2 OF NE4 OF SE4</t>
  </si>
  <si>
    <t xml:space="preserve">REESE INVESTMENT PROP INC  </t>
  </si>
  <si>
    <t xml:space="preserve">BELOIT  </t>
  </si>
  <si>
    <t>LANDLINK USA LLC  LLC</t>
  </si>
  <si>
    <t>FR NE4 NW4 SEC 22 TWP 27 RGE 18</t>
  </si>
  <si>
    <t>FR SE4 NE4 NW4</t>
  </si>
  <si>
    <t xml:space="preserve">BASSETT, BERNARD J </t>
  </si>
  <si>
    <t>191 COURT ST</t>
  </si>
  <si>
    <t>BINGHAMTON</t>
  </si>
  <si>
    <t>FR SE4 NE4 NW4 SEC 22 TWP 27 RGE 18</t>
  </si>
  <si>
    <t>SW4 OF NE4 OF NW4</t>
  </si>
  <si>
    <t xml:space="preserve">CHANES, ALMA A </t>
  </si>
  <si>
    <t>SW4 OF NE4 OF NW4 SEC 22 TWP 27 RGE 18</t>
  </si>
  <si>
    <t>NW1/4 OF NE1/4 OF NW1/4 SEC 9 TWP 26N RGE 18E</t>
  </si>
  <si>
    <t>NW4 NE4 SW4</t>
  </si>
  <si>
    <t xml:space="preserve">AMERISTAR INVESTMENT LLC </t>
  </si>
  <si>
    <t>NW4 NE4 SW4 SEC 16 TWP 26 RGE 18</t>
  </si>
  <si>
    <t>NW4 NE4 NW4</t>
  </si>
  <si>
    <t xml:space="preserve">HORTON, BARBARA </t>
  </si>
  <si>
    <t>5105 N 40TH ST E 104</t>
  </si>
  <si>
    <t xml:space="preserve">PARDUN, DAVE </t>
  </si>
  <si>
    <t>NW4 NE4 NW4 SEC 15 TWP 26 RGE 18</t>
  </si>
  <si>
    <t xml:space="preserve">BAILEY, MICHAEL A &amp; KATHERINE A </t>
  </si>
  <si>
    <t>17825 DAVENPORT LN</t>
  </si>
  <si>
    <t xml:space="preserve">HEAD, AGNES M &amp; ROBERT E </t>
  </si>
  <si>
    <t>FR SW4 SW4 SEC 14 TWP 26 RGE 19</t>
  </si>
  <si>
    <t>074-181-15</t>
  </si>
  <si>
    <t>500 SERENITY PL</t>
  </si>
  <si>
    <t>DLM 119</t>
  </si>
  <si>
    <t>BREITMEYER, MARTIN W III et al</t>
  </si>
  <si>
    <t>ESCHEN ALEXANDRA L</t>
  </si>
  <si>
    <t>DLM 119 LT 4</t>
  </si>
  <si>
    <t>855 SERENITY PL</t>
  </si>
  <si>
    <t>DLM 130</t>
  </si>
  <si>
    <t>JONES, JULIANNE et al</t>
  </si>
  <si>
    <t xml:space="preserve">7130 BURLWOOD DR </t>
  </si>
  <si>
    <t xml:space="preserve">ANCHORAGE </t>
  </si>
  <si>
    <t xml:space="preserve">MORGAN AZ FINANCIAL LLC </t>
  </si>
  <si>
    <t>DLM 130 LT 6</t>
  </si>
  <si>
    <t>600 TWO FORTY RD</t>
  </si>
  <si>
    <t>PAR 35-3-0-6</t>
  </si>
  <si>
    <t xml:space="preserve">CAMERON, WESLEY R &amp; EVELYN N </t>
  </si>
  <si>
    <t xml:space="preserve">600 TWO FORTY RD                        </t>
  </si>
  <si>
    <t>PAR 2-2-0-3</t>
  </si>
  <si>
    <t>WALSH, BRYAN T et al</t>
  </si>
  <si>
    <t>CANNIZZARO-WALSH RITA MAE</t>
  </si>
  <si>
    <t xml:space="preserve">HILDENBRAND FAMILY TRUST  </t>
  </si>
  <si>
    <t>5237 AXE HANDLE CANYON RD</t>
  </si>
  <si>
    <t>DLM 193</t>
  </si>
  <si>
    <t xml:space="preserve">LANGFORD REVOCABLE LIVING TRST, RAYMOND W &amp; ANNA K  </t>
  </si>
  <si>
    <t>076-150-04</t>
  </si>
  <si>
    <t>DLM 193 LT 2</t>
  </si>
  <si>
    <t>4900 AXE HANDLE CANYON RD</t>
  </si>
  <si>
    <t xml:space="preserve">MARTIN, LAWRENCE M &amp; SUSAN M </t>
  </si>
  <si>
    <t xml:space="preserve">FENT, RONALD E JR &amp; CONNIE S </t>
  </si>
  <si>
    <t>PARCEL 32-2-1-6</t>
  </si>
  <si>
    <t>6255 REBEL CAUSE RD</t>
  </si>
  <si>
    <t>LT 25-3-0-7</t>
  </si>
  <si>
    <t xml:space="preserve">LENZ, DAVID J &amp; CHERE B </t>
  </si>
  <si>
    <t>1532 HEATHER LN</t>
  </si>
  <si>
    <t>IMB REO LLC LLC</t>
  </si>
  <si>
    <t>5400 WINNEMUCCA RANCH RD</t>
  </si>
  <si>
    <t>PAR 13-2-0-5</t>
  </si>
  <si>
    <t xml:space="preserve">SHAW, KATHRYN P &amp; DAVID A  </t>
  </si>
  <si>
    <t>PO BOX 58</t>
  </si>
  <si>
    <t xml:space="preserve">DILLON CITY </t>
  </si>
  <si>
    <t>94929</t>
  </si>
  <si>
    <t xml:space="preserve">KIC RETIREMENT FUND </t>
  </si>
  <si>
    <t>076-262-05</t>
  </si>
  <si>
    <t xml:space="preserve">PARCEL 13-2-0-5  </t>
  </si>
  <si>
    <t>3355 BACON RIND RD</t>
  </si>
  <si>
    <t>PM 2327</t>
  </si>
  <si>
    <t xml:space="preserve">BRIGGS, CARL E &amp; AILEEN S </t>
  </si>
  <si>
    <t>PM 2327 LT 3</t>
  </si>
  <si>
    <t>2880 BARRANCA DR</t>
  </si>
  <si>
    <t>PM 1759</t>
  </si>
  <si>
    <t xml:space="preserve">STERLING LIVING TRUST  </t>
  </si>
  <si>
    <t>2280 BARRANCA DR</t>
  </si>
  <si>
    <t xml:space="preserve">STERLING, GORDON A &amp; JENNY E </t>
  </si>
  <si>
    <t>PM 1759 LT 1</t>
  </si>
  <si>
    <t>65 LA LOMA WAY</t>
  </si>
  <si>
    <t>PM 1964</t>
  </si>
  <si>
    <t xml:space="preserve">HORNER, KEVIN &amp; JANEEN </t>
  </si>
  <si>
    <t xml:space="preserve">DOMINGUEZ FAMILY TRUST  </t>
  </si>
  <si>
    <t xml:space="preserve">PM 1964 LT B  </t>
  </si>
  <si>
    <t>625 LA CALMA CT</t>
  </si>
  <si>
    <t xml:space="preserve">GOMOLKA, JEROME M &amp; JENNIFER R </t>
  </si>
  <si>
    <t xml:space="preserve">CAROLAN FAMILY TRUST  </t>
  </si>
  <si>
    <t>PM 1963 LT B</t>
  </si>
  <si>
    <t xml:space="preserve"> LOS ARBOLES LN</t>
  </si>
  <si>
    <t>DLM 162</t>
  </si>
  <si>
    <t>MOLLY ENTERPRISES LLC  LLC</t>
  </si>
  <si>
    <t>4025 NE HAWTHORNE #207</t>
  </si>
  <si>
    <t>97214</t>
  </si>
  <si>
    <t xml:space="preserve">GREENE, KENNETH D </t>
  </si>
  <si>
    <t>076-310-42</t>
  </si>
  <si>
    <t>DLM 162 LT 5</t>
  </si>
  <si>
    <t>HBDJ</t>
  </si>
  <si>
    <t>746 LINTERNA LN</t>
  </si>
  <si>
    <t>PM 1690</t>
  </si>
  <si>
    <t xml:space="preserve">GRAY, DANIEL &amp; AMBER </t>
  </si>
  <si>
    <t xml:space="preserve">NEILL, JAMES P JR &amp; JULIE C </t>
  </si>
  <si>
    <t>PM 1690 LT D</t>
  </si>
  <si>
    <t>585 CAPISTRANO CIR</t>
  </si>
  <si>
    <t>PM 3102</t>
  </si>
  <si>
    <t xml:space="preserve">JACKSON, DARREN S &amp; HEATHER L </t>
  </si>
  <si>
    <t xml:space="preserve">RESIDENTIAL FUNDING COMPANY, LLC </t>
  </si>
  <si>
    <t>076-360-75</t>
  </si>
  <si>
    <t>PM 3102 LT 1</t>
  </si>
  <si>
    <t>560 VALLE VERDE DR</t>
  </si>
  <si>
    <t xml:space="preserve">PETERS, SCOTT W &amp; LAURIE </t>
  </si>
  <si>
    <t xml:space="preserve">WILLIAMSON, ELDON K &amp; CAROL A </t>
  </si>
  <si>
    <t>PM 1417 LT D</t>
  </si>
  <si>
    <t>550 CALLE BONITO CT</t>
  </si>
  <si>
    <t>PM 1502</t>
  </si>
  <si>
    <t>SWEETINGHAM, RONALD W  et al</t>
  </si>
  <si>
    <t>SWARTZ JENNIFER S</t>
  </si>
  <si>
    <t>26053 MULHOLLAND HWY</t>
  </si>
  <si>
    <t>CALABASAS</t>
  </si>
  <si>
    <t xml:space="preserve">INGRAFFIA, EDWARD &amp; IRENE </t>
  </si>
  <si>
    <t>076-371-30</t>
  </si>
  <si>
    <t>PM 1502 FR LT 1</t>
  </si>
  <si>
    <t>105 CHIEFTAN DR</t>
  </si>
  <si>
    <t>RS 5268</t>
  </si>
  <si>
    <t xml:space="preserve">SCHNIEDER, JAMES N &amp; CINDY L </t>
  </si>
  <si>
    <t>3589 DESERT FOX DR</t>
  </si>
  <si>
    <t xml:space="preserve">JORDAN, TIMOTHY R </t>
  </si>
  <si>
    <t>076-470-18</t>
  </si>
  <si>
    <t>RS 5268 PAR D1, , REFER TO DOC 3926523 FOR COMPLET</t>
  </si>
  <si>
    <t xml:space="preserve"> RODERO RD</t>
  </si>
  <si>
    <t>FRAC SECS 2 11 14 23 25 &amp;</t>
  </si>
  <si>
    <t>MAEJ</t>
  </si>
  <si>
    <t>HCR-79 BOX 1082</t>
  </si>
  <si>
    <t>CROWLEY LAKE</t>
  </si>
  <si>
    <t>LM 228  LT 4</t>
  </si>
  <si>
    <t>5155 PASTURE VIEW RD</t>
  </si>
  <si>
    <t xml:space="preserve">THOMAS, JUDY </t>
  </si>
  <si>
    <t>DLM 1 LT 10-2-1-12</t>
  </si>
  <si>
    <t>5000 HIDDEN CREEK RD</t>
  </si>
  <si>
    <t>DLM 132</t>
  </si>
  <si>
    <t>PHEE, TOM C  et al</t>
  </si>
  <si>
    <t>PO BOX 378</t>
  </si>
  <si>
    <t xml:space="preserve">GRANT </t>
  </si>
  <si>
    <t>32949</t>
  </si>
  <si>
    <t>DLM 132 LT 3</t>
  </si>
  <si>
    <t>4700 WILD HORSE RD</t>
  </si>
  <si>
    <t>DLM 96</t>
  </si>
  <si>
    <t xml:space="preserve">SHAVER, TIMOTHY L &amp; MARIA M </t>
  </si>
  <si>
    <t xml:space="preserve">ROONEY, MARTHA J </t>
  </si>
  <si>
    <t>DLM 96 LT 1</t>
  </si>
  <si>
    <t>5600 TWIN SPRINGS RD</t>
  </si>
  <si>
    <t>25-2-1-13</t>
  </si>
  <si>
    <t xml:space="preserve">MURRAY, JERRY G &amp; ANN </t>
  </si>
  <si>
    <t>PAR 25-2-1-13 SEC 36 TWP 22 RGE 21</t>
  </si>
  <si>
    <t>5500 TWIN SPRINGS RD</t>
  </si>
  <si>
    <t>FR SW4 SE4 SE4</t>
  </si>
  <si>
    <t xml:space="preserve">RASMUSSEN, DANIELLE M </t>
  </si>
  <si>
    <t>PARC 25 2 1 12</t>
  </si>
  <si>
    <t>3000 YELLOW TAIL RD</t>
  </si>
  <si>
    <t xml:space="preserve">BURSTEIN TRUST, ALBERT H  </t>
  </si>
  <si>
    <t xml:space="preserve">VANDER MEER, JOHN &amp; JEANETTE </t>
  </si>
  <si>
    <t>PARCEL 1-1-1-11</t>
  </si>
  <si>
    <t>1000 IRONWOOD RD</t>
  </si>
  <si>
    <t>8-2-1-11</t>
  </si>
  <si>
    <t>EVANS , JAMIE  et al</t>
  </si>
  <si>
    <t>BURICH LAWRENCE</t>
  </si>
  <si>
    <t xml:space="preserve">ELLISON, LEWIS G &amp; JONI L </t>
  </si>
  <si>
    <t>LOT 8-2-1-11</t>
  </si>
  <si>
    <t>3655 AMY RD</t>
  </si>
  <si>
    <t>DLM 145</t>
  </si>
  <si>
    <t xml:space="preserve">MACDONALD, JOHN &amp; AMANDA M </t>
  </si>
  <si>
    <t>077-220-04</t>
  </si>
  <si>
    <t>DLM 145 LT 1</t>
  </si>
  <si>
    <t>5700 MICROWAVE RD</t>
  </si>
  <si>
    <t>DLM 200</t>
  </si>
  <si>
    <t>GOTTSCHALK, CHANDA M et al</t>
  </si>
  <si>
    <t>077-280-02</t>
  </si>
  <si>
    <t>DLM 200 LT 2</t>
  </si>
  <si>
    <t>860 BOOTSTRAP LN</t>
  </si>
  <si>
    <t>DLM 151</t>
  </si>
  <si>
    <t xml:space="preserve">STIDHAM, DONALD J &amp; REBECCA E </t>
  </si>
  <si>
    <t>6715 CANOE HILL DR</t>
  </si>
  <si>
    <t xml:space="preserve">ENO, LAURA </t>
  </si>
  <si>
    <t>077-340-23</t>
  </si>
  <si>
    <t>DLM 151 LT 1</t>
  </si>
  <si>
    <t>3305 RIGHT HAND CANYON RD</t>
  </si>
  <si>
    <t>DLM 127</t>
  </si>
  <si>
    <t xml:space="preserve">CHESNUT, DAVID E &amp; KAREN L </t>
  </si>
  <si>
    <t>4446 E SHETLAND DR</t>
  </si>
  <si>
    <t>SANTAN VALLEY</t>
  </si>
  <si>
    <t>85140</t>
  </si>
  <si>
    <t xml:space="preserve">WELLS, DUANE E </t>
  </si>
  <si>
    <t>DLM 127 LT 1</t>
  </si>
  <si>
    <t>1283 LEFT HAND CANYON RD</t>
  </si>
  <si>
    <t>WILCOX RANCH 2</t>
  </si>
  <si>
    <t xml:space="preserve">ROGERS, CRAIG S &amp; STEPHANIE L </t>
  </si>
  <si>
    <t>1604 VIEW CREST</t>
  </si>
  <si>
    <t>FLOWER, JACK E &amp; PAULA L et al</t>
  </si>
  <si>
    <t xml:space="preserve">WILCOX RANCH 2 LT 23 </t>
  </si>
  <si>
    <t>PM 3220</t>
  </si>
  <si>
    <t xml:space="preserve">GRAY , DANIEL G  </t>
  </si>
  <si>
    <t xml:space="preserve">4964 BROKEN SPUR RD </t>
  </si>
  <si>
    <t>PM 3220 LT 2-2</t>
  </si>
  <si>
    <t>5871 WHISKEY SPRINGS RD</t>
  </si>
  <si>
    <t>PM 3081</t>
  </si>
  <si>
    <t xml:space="preserve">LUMBERT, BRUCE &amp; DEBORAH  </t>
  </si>
  <si>
    <t xml:space="preserve">WHISKEY SPRINGS LLC </t>
  </si>
  <si>
    <t>PM 3081 LT 1-1</t>
  </si>
  <si>
    <t>655 THOROUGHBRED CIR</t>
  </si>
  <si>
    <t xml:space="preserve">PFENNIG, EVERETTE G JR &amp; TONYA J  </t>
  </si>
  <si>
    <t xml:space="preserve">RANDAZZO, PATRICIA J </t>
  </si>
  <si>
    <t>RS 213391 LT 331</t>
  </si>
  <si>
    <t>365 LIPIZZAN LN</t>
  </si>
  <si>
    <t>R/S 213391 FR</t>
  </si>
  <si>
    <t xml:space="preserve">COOPER, LESTER K &amp; KRISTINE A </t>
  </si>
  <si>
    <t xml:space="preserve">365 LIPIZZAN LN                         </t>
  </si>
  <si>
    <t>R/S 213391 FR LT 296</t>
  </si>
  <si>
    <t>15205 RED ROCK RD</t>
  </si>
  <si>
    <t>FEILLER, BARBARA et al</t>
  </si>
  <si>
    <t>15205 N RED ROCK RD</t>
  </si>
  <si>
    <t>RS 684 LT 206</t>
  </si>
  <si>
    <t>40 HORSESHOE CIR</t>
  </si>
  <si>
    <t xml:space="preserve">GRAY, DANIEL G </t>
  </si>
  <si>
    <t>RS 831 LT 133</t>
  </si>
  <si>
    <t>15 HORSESHOE CIR</t>
  </si>
  <si>
    <t xml:space="preserve">MCDONALD, KELLY &amp; JULIE A  </t>
  </si>
  <si>
    <t xml:space="preserve">17550 THRUSH LN </t>
  </si>
  <si>
    <t xml:space="preserve">GRAUER, JAY R &amp; JANICE </t>
  </si>
  <si>
    <t>RS 312612 LT 129</t>
  </si>
  <si>
    <t>80 ARABIAN WAY</t>
  </si>
  <si>
    <t>RS 21339</t>
  </si>
  <si>
    <t xml:space="preserve">SIGAFOOSE, DUSTIN J </t>
  </si>
  <si>
    <t xml:space="preserve">ARNOLD, LAURA M </t>
  </si>
  <si>
    <t>RS 213391 LT 261</t>
  </si>
  <si>
    <t>15365 RED ROCK RD</t>
  </si>
  <si>
    <t>FRANKS, WILLIAM G et al</t>
  </si>
  <si>
    <t>15365 N RED ROCK RD</t>
  </si>
  <si>
    <t xml:space="preserve">HAKIELLO, GEORGE G </t>
  </si>
  <si>
    <t>RS 210148 LT 203</t>
  </si>
  <si>
    <t>950 THOROUGHBRED CIR</t>
  </si>
  <si>
    <t xml:space="preserve">KALLER, SUSAN A &amp; DOUGLAS E  </t>
  </si>
  <si>
    <t>RS 213391 FR LT 301</t>
  </si>
  <si>
    <t>16105 RED ROCK RD</t>
  </si>
  <si>
    <t xml:space="preserve">GASKIN, RICHARD L &amp; BONNIE M </t>
  </si>
  <si>
    <t xml:space="preserve">PO BOX 8966 </t>
  </si>
  <si>
    <t>R/S 213391 LT 250</t>
  </si>
  <si>
    <t>15050 FRONTIER RD</t>
  </si>
  <si>
    <t xml:space="preserve">WIX, RONDAL H &amp; DONNA M </t>
  </si>
  <si>
    <t xml:space="preserve">KAUFMAN, TERRI G  </t>
  </si>
  <si>
    <t>R/S FILE # 312612 AMENDED LT 108</t>
  </si>
  <si>
    <t>180 MULETAIL CIR</t>
  </si>
  <si>
    <t>RS 684</t>
  </si>
  <si>
    <t>RS 684 LT 85</t>
  </si>
  <si>
    <t>150 QUARTERHORSE CIR</t>
  </si>
  <si>
    <t>R/S 21339</t>
  </si>
  <si>
    <t xml:space="preserve">BOWLES, RICHARD L &amp; DENISE R  </t>
  </si>
  <si>
    <t>RS # 213391 LT 229</t>
  </si>
  <si>
    <t>190 QUARTERHORSE CIR</t>
  </si>
  <si>
    <t xml:space="preserve">CRINKLAW, LYLE S &amp; JILL J </t>
  </si>
  <si>
    <t>NICHOLS, DONALD O JR TTEE et al</t>
  </si>
  <si>
    <t>RS 213391 LT 225</t>
  </si>
  <si>
    <t>200 QUARTERHORSE CIR</t>
  </si>
  <si>
    <t>FACE BRICK</t>
  </si>
  <si>
    <t xml:space="preserve">MANG, MARK D &amp; ELIZABETH A </t>
  </si>
  <si>
    <t>RS 687 LT 190</t>
  </si>
  <si>
    <t>230 QUARTERHORSE CIR</t>
  </si>
  <si>
    <t xml:space="preserve">PETERMAN, RANDEL J </t>
  </si>
  <si>
    <t xml:space="preserve">WISE, CATHY M </t>
  </si>
  <si>
    <t>RS 213391 LT 193</t>
  </si>
  <si>
    <t>16350 RED ROCK RD</t>
  </si>
  <si>
    <t xml:space="preserve">CARNEVALE, CHRISTOPHER A </t>
  </si>
  <si>
    <t>P O BOX 5281</t>
  </si>
  <si>
    <t>RS 213391 LT 177</t>
  </si>
  <si>
    <t>16755 RED ROCK RD</t>
  </si>
  <si>
    <t xml:space="preserve">GAU, RICHARD F &amp; TERRIL A </t>
  </si>
  <si>
    <t>16755 N RED ROCK RD</t>
  </si>
  <si>
    <t>RS 687 LT 137</t>
  </si>
  <si>
    <t>16250 FETLOCK DR</t>
  </si>
  <si>
    <t xml:space="preserve">FILLMORE, JOHN M </t>
  </si>
  <si>
    <t>1930 E TONTO</t>
  </si>
  <si>
    <t>APACHE JUNCTION</t>
  </si>
  <si>
    <t>85219</t>
  </si>
  <si>
    <t>RS 213391 LT 222</t>
  </si>
  <si>
    <t>16200 FETLOCK DR</t>
  </si>
  <si>
    <t xml:space="preserve">CONWAY, KENNETH C &amp; LYNN </t>
  </si>
  <si>
    <t>RS 213391 LT 223</t>
  </si>
  <si>
    <t>16325 DRY VALLEY RD</t>
  </si>
  <si>
    <t xml:space="preserve">CHAIDEZ, JOSE SR &amp; MARIA </t>
  </si>
  <si>
    <t>992 I ST</t>
  </si>
  <si>
    <t>MONDRAGON, MATTHEW G et al</t>
  </si>
  <si>
    <t>R/S 210148 LT 41</t>
  </si>
  <si>
    <t>16135 DRY VALLEY RD</t>
  </si>
  <si>
    <t>R/S 21014</t>
  </si>
  <si>
    <t xml:space="preserve">OVERTON, FRANK L </t>
  </si>
  <si>
    <t>1442 LAUGHING CHUKAR LN</t>
  </si>
  <si>
    <t>RS 210148 LT 47</t>
  </si>
  <si>
    <t>95 BUCKBOARD CIR</t>
  </si>
  <si>
    <t xml:space="preserve">ANDERSON, GRETA L  </t>
  </si>
  <si>
    <t>PO BOX 60463</t>
  </si>
  <si>
    <t xml:space="preserve">PITTS, GREGORY J </t>
  </si>
  <si>
    <t>RS 210148 LT 64</t>
  </si>
  <si>
    <t>15915 CHOKECHERRY LN</t>
  </si>
  <si>
    <t xml:space="preserve">CHILDERS, JOEL </t>
  </si>
  <si>
    <t>W1/2 OF W1/2  OF SE1/4 OF NE1/4 SEC 3 TWP 23 RGE 1</t>
  </si>
  <si>
    <t>16355 ROUNDUP RD</t>
  </si>
  <si>
    <t xml:space="preserve">VAN DER LINDEN, DALE A  </t>
  </si>
  <si>
    <t xml:space="preserve">16355 ROUNDUP RD </t>
  </si>
  <si>
    <t>RS 684 FILE# 210148 LT 13</t>
  </si>
  <si>
    <t xml:space="preserve"> FETLOCK DR</t>
  </si>
  <si>
    <t xml:space="preserve">GIRARD, JUNE </t>
  </si>
  <si>
    <t>9315 SW 35TH LN</t>
  </si>
  <si>
    <t>GAINESVILLE</t>
  </si>
  <si>
    <t>FR SW4 NW4 SEC 3 TWP 23 RGE 18</t>
  </si>
  <si>
    <t>16795 FETLOCK DR</t>
  </si>
  <si>
    <t>RS 213391 FR</t>
  </si>
  <si>
    <t xml:space="preserve">CONE, MICHAEL E </t>
  </si>
  <si>
    <t>8518 SILVER SHORES DR</t>
  </si>
  <si>
    <t>RS 213391 FR LT 120</t>
  </si>
  <si>
    <t>28040 PERCHERON DR</t>
  </si>
  <si>
    <t xml:space="preserve">STEWART, DANIEL W </t>
  </si>
  <si>
    <t>RS 213391 LT 62</t>
  </si>
  <si>
    <t>27990 PERCHERON DR</t>
  </si>
  <si>
    <t xml:space="preserve">WILLIAMSON, ROWAN B </t>
  </si>
  <si>
    <t>RS 213391 LT 61</t>
  </si>
  <si>
    <t xml:space="preserve"> BENNER DR</t>
  </si>
  <si>
    <t xml:space="preserve">AMERICAN ESTATE &amp; TRUST </t>
  </si>
  <si>
    <t>18121 LAKE HILLS CT</t>
  </si>
  <si>
    <t xml:space="preserve">GLASSER, DEAN T </t>
  </si>
  <si>
    <t>RS 213391 LT 3</t>
  </si>
  <si>
    <t>15010 RED ROCK RD</t>
  </si>
  <si>
    <t xml:space="preserve">FEILLER, FRANK R &amp; BARBARA A </t>
  </si>
  <si>
    <t>1027 BURLWOOD DR</t>
  </si>
  <si>
    <t>CHO, JEUNG A et al</t>
  </si>
  <si>
    <t>RED ROCK EST LT 71</t>
  </si>
  <si>
    <t>15034 RED ROCK RD</t>
  </si>
  <si>
    <t>PM 2131</t>
  </si>
  <si>
    <t xml:space="preserve">TODD, MARSHALL </t>
  </si>
  <si>
    <t>PO BOX 7415</t>
  </si>
  <si>
    <t xml:space="preserve">ABBEY FAMILY TRUST  </t>
  </si>
  <si>
    <t>PM 2131 LT 3</t>
  </si>
  <si>
    <t>115 GORHAM CT</t>
  </si>
  <si>
    <t>PM 1835</t>
  </si>
  <si>
    <t xml:space="preserve">ODELL, SETH G &amp; LINDSAY R  </t>
  </si>
  <si>
    <t xml:space="preserve">115 GORHAM CT </t>
  </si>
  <si>
    <t xml:space="preserve">BUMPS, BRUCE W </t>
  </si>
  <si>
    <t>PARCEL A PARCEL MAP 1835</t>
  </si>
  <si>
    <t>15075 GOODING DR</t>
  </si>
  <si>
    <t>PM 1889</t>
  </si>
  <si>
    <t xml:space="preserve">CURRIE, MARK E  </t>
  </si>
  <si>
    <t xml:space="preserve">15075 GODDING DR </t>
  </si>
  <si>
    <t xml:space="preserve">          </t>
  </si>
  <si>
    <t xml:space="preserve">MATISHECK FAMILY TRUST, JASON R  </t>
  </si>
  <si>
    <t>PM 1889 LT 3</t>
  </si>
  <si>
    <t>15091 RED ROCK RD</t>
  </si>
  <si>
    <t xml:space="preserve">D A S PROPERTIES LLC </t>
  </si>
  <si>
    <t>15570 RED ROCK RD</t>
  </si>
  <si>
    <t>PM 2058 LT 2</t>
  </si>
  <si>
    <t xml:space="preserve"> WENDELL LN</t>
  </si>
  <si>
    <t>PM 2059</t>
  </si>
  <si>
    <t xml:space="preserve">HO, MINH DINH </t>
  </si>
  <si>
    <t>86-890 INIKI PL</t>
  </si>
  <si>
    <t>WAIANAE</t>
  </si>
  <si>
    <t>96792</t>
  </si>
  <si>
    <t xml:space="preserve">WALL, PETER J </t>
  </si>
  <si>
    <t>PM 2059 LT 3</t>
  </si>
  <si>
    <t>14465 HOPE LN</t>
  </si>
  <si>
    <t>PM 2855</t>
  </si>
  <si>
    <t xml:space="preserve">RINKS, RYAN </t>
  </si>
  <si>
    <t>P O BOX 1512</t>
  </si>
  <si>
    <t xml:space="preserve">NEALE, ARLEEN P </t>
  </si>
  <si>
    <t>079-382-13</t>
  </si>
  <si>
    <t>PM 2855 LT 3</t>
  </si>
  <si>
    <t>1240 ANTELOPE VALLEY RD</t>
  </si>
  <si>
    <t xml:space="preserve">DEVOTIONS LLC SERIES H </t>
  </si>
  <si>
    <t>1250 ANTELOPE VALLEY RD</t>
  </si>
  <si>
    <t>RED ROCK EST LT 138</t>
  </si>
  <si>
    <t>125 BORON LN</t>
  </si>
  <si>
    <t xml:space="preserve">SLATER, RICHARD F &amp; SHANI L  </t>
  </si>
  <si>
    <t xml:space="preserve">125 BORON LN </t>
  </si>
  <si>
    <t>GAMEL, JUDY N et al</t>
  </si>
  <si>
    <t>RED ROCK EST LT 331</t>
  </si>
  <si>
    <t>1344 ANTELOPE VALLEY RD</t>
  </si>
  <si>
    <t>PM 2868</t>
  </si>
  <si>
    <t xml:space="preserve">GIBBS, WILLIAM J &amp; TAMRA K  </t>
  </si>
  <si>
    <t xml:space="preserve">KING, TAMRA W </t>
  </si>
  <si>
    <t>079-450-02</t>
  </si>
  <si>
    <t>PM 2868 LT 2</t>
  </si>
  <si>
    <t>1355 ANTELOPE VALLEY RD</t>
  </si>
  <si>
    <t>PM 1875</t>
  </si>
  <si>
    <t xml:space="preserve">MITCHELL, MARK G </t>
  </si>
  <si>
    <t>079-450-20</t>
  </si>
  <si>
    <t>PM 1875 FR LT 2</t>
  </si>
  <si>
    <t>1359 ANTELOPE VALLEY RD</t>
  </si>
  <si>
    <t xml:space="preserve">VIA, DONALD II </t>
  </si>
  <si>
    <t>079-450-22</t>
  </si>
  <si>
    <t>PM 1875 FR LT 4</t>
  </si>
  <si>
    <t>9310 MATTERHORN BLVD</t>
  </si>
  <si>
    <t>PM 2841</t>
  </si>
  <si>
    <t xml:space="preserve">RANGAPPA, JAI K </t>
  </si>
  <si>
    <t>105 REFLECTION LN</t>
  </si>
  <si>
    <t>HAMPTON</t>
  </si>
  <si>
    <t>23666</t>
  </si>
  <si>
    <t>079-450-41</t>
  </si>
  <si>
    <t>PM 2841 FR LT 1</t>
  </si>
  <si>
    <t>15355 ELKHORN LN</t>
  </si>
  <si>
    <t>PM 2418</t>
  </si>
  <si>
    <t xml:space="preserve">CUNNINGHAM, JERRY D JR </t>
  </si>
  <si>
    <t>PM 2418 LT 4</t>
  </si>
  <si>
    <t>1230 MINERAL FLAT RD</t>
  </si>
  <si>
    <t xml:space="preserve">WELLS, VENCIL E JR </t>
  </si>
  <si>
    <t xml:space="preserve">1230 MINERAL FLAT RD                    </t>
  </si>
  <si>
    <t xml:space="preserve">TAYLOR, STUART A &amp; ANGELA E </t>
  </si>
  <si>
    <t>RED ROCK EST LT 253</t>
  </si>
  <si>
    <t>100 ANTELOPE VALLEY CT</t>
  </si>
  <si>
    <t>PM 3238</t>
  </si>
  <si>
    <t xml:space="preserve">ZIEGLER, MITCHELL &amp; VICTORIA </t>
  </si>
  <si>
    <t>9732 STATE RT 445 STE 158</t>
  </si>
  <si>
    <t xml:space="preserve">JAEGER, ROBERT G </t>
  </si>
  <si>
    <t>079-500-42</t>
  </si>
  <si>
    <t>PM 3238 FR LT 1</t>
  </si>
  <si>
    <t>1210 ALUM ROCK RD</t>
  </si>
  <si>
    <t>PM 5035</t>
  </si>
  <si>
    <t>REISS, DANIEL J  et al</t>
  </si>
  <si>
    <t xml:space="preserve">HAASS, BETTY JO S </t>
  </si>
  <si>
    <t>079-500-10</t>
  </si>
  <si>
    <t>PM 5035 PAR A</t>
  </si>
  <si>
    <t>11485 BIRCH ST</t>
  </si>
  <si>
    <t>HEPPNER 2</t>
  </si>
  <si>
    <t xml:space="preserve">DOEGE, JEFFERY L &amp; KATHY D </t>
  </si>
  <si>
    <t xml:space="preserve">THRESHER TRUST  </t>
  </si>
  <si>
    <t>HEPPNER 2 LT 7</t>
  </si>
  <si>
    <t>11370 HEARTPINE ST</t>
  </si>
  <si>
    <t>HEPPNER SUB NO 2 S2</t>
  </si>
  <si>
    <t xml:space="preserve">DANCE, CAROLE </t>
  </si>
  <si>
    <t xml:space="preserve">MCCROSKEY, JUDITH M &amp; DENNIS J </t>
  </si>
  <si>
    <t>HEPPNER 2 FR LT 65</t>
  </si>
  <si>
    <t>11350 DEODAR WAY</t>
  </si>
  <si>
    <t>PM 173</t>
  </si>
  <si>
    <t xml:space="preserve">IBARRA, JUAN R &amp; MARIA E </t>
  </si>
  <si>
    <t>PM 173 LT 48A</t>
  </si>
  <si>
    <t>10505 DEODAR WAY</t>
  </si>
  <si>
    <t>HEPPNER 1 FR</t>
  </si>
  <si>
    <t xml:space="preserve">TRUITT, JEFFERY R </t>
  </si>
  <si>
    <t xml:space="preserve">BROTHWELL, RONALD A &amp; ANDREA </t>
  </si>
  <si>
    <t>HEPPNER 1 FR LT 61</t>
  </si>
  <si>
    <t>750 UTAH ST</t>
  </si>
  <si>
    <t xml:space="preserve">CYCHOLL, DANIEL M </t>
  </si>
  <si>
    <t xml:space="preserve">750 UTAH ST                </t>
  </si>
  <si>
    <t xml:space="preserve">DAVIS, LARRY E &amp; NIKI K </t>
  </si>
  <si>
    <t>HEPPNER 1 LT 73</t>
  </si>
  <si>
    <t>10835 CHESAPEAKE DR</t>
  </si>
  <si>
    <t>15 CARRINGTON WAY</t>
  </si>
  <si>
    <t>HEPPNER 1 LT 22</t>
  </si>
  <si>
    <t>11855 LEMMON DR</t>
  </si>
  <si>
    <t>HEPPNER SUDIVISION NO 3</t>
  </si>
  <si>
    <t>LECHUGA-GARCIA, NICOLAS et al</t>
  </si>
  <si>
    <t>SALGUERO, ELMER N et al</t>
  </si>
  <si>
    <t>HEPPNER 3 LT 15 BLK 16</t>
  </si>
  <si>
    <t>11795 TUPELO ST</t>
  </si>
  <si>
    <t xml:space="preserve">HIGHT, RICHARD JR &amp; SAMATHA </t>
  </si>
  <si>
    <t>HEPPNER LT 11 BLK 15</t>
  </si>
  <si>
    <t>135 OREGON BLVD</t>
  </si>
  <si>
    <t xml:space="preserve">EISEMANN, JAMIE </t>
  </si>
  <si>
    <t xml:space="preserve">ARIF, FAHAD </t>
  </si>
  <si>
    <t>HEPPNER 3 LT 3 BLK 23</t>
  </si>
  <si>
    <t>11905 LEMMON DR</t>
  </si>
  <si>
    <t xml:space="preserve">BUSS, DAVID E  </t>
  </si>
  <si>
    <t xml:space="preserve">11905 LEMMON DR </t>
  </si>
  <si>
    <t>HEPPNER 3 LT 11 BLK 23</t>
  </si>
  <si>
    <t>11595 SITKA ST</t>
  </si>
  <si>
    <t>FIRST STEP AFFORD HOUSING TRST</t>
  </si>
  <si>
    <t>KRISZTINA DOMBOVARI TRUSTEE</t>
  </si>
  <si>
    <t>550 W PLUMB LN #B507</t>
  </si>
  <si>
    <t>HEPPNER 3 LT 8  BLK 3</t>
  </si>
  <si>
    <t>11538 SITKA ST</t>
  </si>
  <si>
    <t>STREETER SUB NO 1</t>
  </si>
  <si>
    <t xml:space="preserve">BROWN, ERIC J &amp; CYNTHIA </t>
  </si>
  <si>
    <t xml:space="preserve">DUNGAN LIVING TRUST  </t>
  </si>
  <si>
    <t>STREETER 1 LT 4 BLK 7</t>
  </si>
  <si>
    <t>11540 TUPELO ST</t>
  </si>
  <si>
    <t xml:space="preserve">AUBLE, FALLON </t>
  </si>
  <si>
    <t xml:space="preserve">LOVIG, JULIE J </t>
  </si>
  <si>
    <t>STREETER 1 LT 4 BLK 8</t>
  </si>
  <si>
    <t>11545 LEMMON DR</t>
  </si>
  <si>
    <t xml:space="preserve">LOPEZ, RENE M &amp; DIANE  </t>
  </si>
  <si>
    <t xml:space="preserve">8610 SOPWITH BLVD </t>
  </si>
  <si>
    <t>STREETER 1 LT 10 BLK 8</t>
  </si>
  <si>
    <t>11479 TUPELO ST</t>
  </si>
  <si>
    <t>CASTILLO, ENRIQUE et al</t>
  </si>
  <si>
    <t xml:space="preserve">CASTELLON, JESUS &amp; DEIDA </t>
  </si>
  <si>
    <t>STREETER 1 LT 9 BLK 11</t>
  </si>
  <si>
    <t>11795 MISTLETOE ST</t>
  </si>
  <si>
    <t>JETER, TIMOTHY R JR  et al</t>
  </si>
  <si>
    <t>HEPPNER 3 LT 12 BLK 12</t>
  </si>
  <si>
    <t>11580 CHESAPEAKE DR</t>
  </si>
  <si>
    <t xml:space="preserve">SORENSON, JAMIE L </t>
  </si>
  <si>
    <t>1158 CHESAPEAK DR</t>
  </si>
  <si>
    <t>HEPPNER 3 LT 7 BLK 5</t>
  </si>
  <si>
    <t>11562 CHESAPEAKE DR</t>
  </si>
  <si>
    <t xml:space="preserve">HUBER, ANNE &amp; DWAYNE </t>
  </si>
  <si>
    <t xml:space="preserve">KANEKOA, KALANI M &amp; JENNY L </t>
  </si>
  <si>
    <t>STREETER 1 LT 2 BLK 4</t>
  </si>
  <si>
    <t>11512 CHESAPEAKE DR</t>
  </si>
  <si>
    <t xml:space="preserve">AGUIRRE, ALBERT R &amp; CAROLE J </t>
  </si>
  <si>
    <t>STREETER 1 LT 6 BLK 4</t>
  </si>
  <si>
    <t>11511 MISTLETOE ST</t>
  </si>
  <si>
    <t>QUINTANILLA, LORENA et al</t>
  </si>
  <si>
    <t xml:space="preserve">FIERRO JOSE M V </t>
  </si>
  <si>
    <t xml:space="preserve">MATLOCK, ROBERT </t>
  </si>
  <si>
    <t>STREETER 1 LT 14 BLK 4</t>
  </si>
  <si>
    <t>11558 PEPPER WAY</t>
  </si>
  <si>
    <t>CABALLERO-MUNOZ, SANTIAGO et al</t>
  </si>
  <si>
    <t xml:space="preserve">11558 PEPPER WAY </t>
  </si>
  <si>
    <t>STREETER 1 LT 2 BLK 6</t>
  </si>
  <si>
    <t>11775 CHESAPEAKE DR</t>
  </si>
  <si>
    <t>HEPPNER SUB NO 3</t>
  </si>
  <si>
    <t xml:space="preserve">TOMBURELLO, DINO A </t>
  </si>
  <si>
    <t>11790 DEODER WAY</t>
  </si>
  <si>
    <t>HEPPNER 3 LT 12 BLK 11</t>
  </si>
  <si>
    <t>11790 DEODAR WAY</t>
  </si>
  <si>
    <t>HEPPNER 3 LT 5 BLK 11</t>
  </si>
  <si>
    <t>11625 DEODAR WAY</t>
  </si>
  <si>
    <t xml:space="preserve">DELGADO, MARIA C </t>
  </si>
  <si>
    <t>HEPPNER 3 LT 12 BLK 7</t>
  </si>
  <si>
    <t>11665 DEODAR WAY</t>
  </si>
  <si>
    <t xml:space="preserve">FERRARA, BRIAN &amp; SHEAH </t>
  </si>
  <si>
    <t xml:space="preserve">MUHLENBERG, RACHEL A </t>
  </si>
  <si>
    <t>HEPPNER 3 LT 14 BLK 7</t>
  </si>
  <si>
    <t>11610 HEARTPINE ST</t>
  </si>
  <si>
    <t xml:space="preserve">OLSON, RODNEY V JR </t>
  </si>
  <si>
    <t>HEPPNER 3 LT 5 BLK 7</t>
  </si>
  <si>
    <t>11542 HEARTPINE ST</t>
  </si>
  <si>
    <t xml:space="preserve">WHITNEY, AARON F  </t>
  </si>
  <si>
    <t xml:space="preserve">11542 HEARTPINE ST </t>
  </si>
  <si>
    <t>STREETER 1 LT 2 BLK 2</t>
  </si>
  <si>
    <t>11835 OVERLAND RD</t>
  </si>
  <si>
    <t>HEPPNER SUB NO 4</t>
  </si>
  <si>
    <t xml:space="preserve">RAMOS, VERONICA </t>
  </si>
  <si>
    <t xml:space="preserve">ARIZTIA, SHIRLEY </t>
  </si>
  <si>
    <t>HEPPNER 4 LT 14 BLK 9</t>
  </si>
  <si>
    <t>645 IDAHO ST</t>
  </si>
  <si>
    <t>BOAG, EMILY M et al</t>
  </si>
  <si>
    <t>HEPPNER 4 LT 8 BLK 9</t>
  </si>
  <si>
    <t>413 MATTERHORN BLVD</t>
  </si>
  <si>
    <t xml:space="preserve">DEAN, KATIE L </t>
  </si>
  <si>
    <t>HEPPNER 4 LT 5 BLK 16</t>
  </si>
  <si>
    <t>660 MATTERHORN BLVD</t>
  </si>
  <si>
    <t xml:space="preserve">KERNS, DONALD &amp; ARCELIA </t>
  </si>
  <si>
    <t xml:space="preserve">JIMENEZ, EFRAIN M </t>
  </si>
  <si>
    <t>HEPPNER 4 LT 9 BLK 17</t>
  </si>
  <si>
    <t>11615 FIR DR</t>
  </si>
  <si>
    <t>HEPPNER  4</t>
  </si>
  <si>
    <t xml:space="preserve">DAVALT, SARAH </t>
  </si>
  <si>
    <t>31 REXFORD CT</t>
  </si>
  <si>
    <t>HEPPNER 4 LT 18 BLK 14</t>
  </si>
  <si>
    <t>11625 FIR DR</t>
  </si>
  <si>
    <t>HEPPNER SUB DIV 4</t>
  </si>
  <si>
    <t>GRAHAM, JAMES M  et al</t>
  </si>
  <si>
    <t xml:space="preserve">FUNDERBURK ELIZABETH C </t>
  </si>
  <si>
    <t xml:space="preserve">NEVES, LARRY R &amp; POPPY </t>
  </si>
  <si>
    <t>HEPPNER 4 LT 19 BLK 14</t>
  </si>
  <si>
    <t>11685 FIR DR</t>
  </si>
  <si>
    <t xml:space="preserve">RYAN, LINDA L &amp; ROBERT L  </t>
  </si>
  <si>
    <t xml:space="preserve">11685 FIR DR </t>
  </si>
  <si>
    <t>HEPPNER 4 LT 22 BLK 14</t>
  </si>
  <si>
    <t>11580 OVERLAND RD</t>
  </si>
  <si>
    <t xml:space="preserve">BARAJAS, LORENZO A  </t>
  </si>
  <si>
    <t xml:space="preserve">11580 OVERLAND RD </t>
  </si>
  <si>
    <t>HEPPNER 4 LT 9 BLK 14</t>
  </si>
  <si>
    <t>11590 JUNIPER ST</t>
  </si>
  <si>
    <t xml:space="preserve">MORK, RICHARD </t>
  </si>
  <si>
    <t xml:space="preserve">JAGER, DANIEL </t>
  </si>
  <si>
    <t>HEPPNER 4 LT 7 BLK 13</t>
  </si>
  <si>
    <t>11510 JUNIPER ST</t>
  </si>
  <si>
    <t xml:space="preserve">BOLENDER, SHAWN A &amp; ILENE  </t>
  </si>
  <si>
    <t>HEPPNER 4 LT 11 BLK 13</t>
  </si>
  <si>
    <t>960 MATTERHORN BLVD</t>
  </si>
  <si>
    <t xml:space="preserve">DELLADIO, CHRISTIAN &amp; SANDI C </t>
  </si>
  <si>
    <t>HEPPNER 4 LT 2 BLK 17</t>
  </si>
  <si>
    <t>11645 JUNIPER ST</t>
  </si>
  <si>
    <t>FITZGIBBONS, MICHAEL M &amp; NOREEN C et al</t>
  </si>
  <si>
    <t>11665 JUNIPER ST</t>
  </si>
  <si>
    <t xml:space="preserve">DANNER, LESLIE F &amp; TERRIANN R </t>
  </si>
  <si>
    <t>HEPPNER 4 LT 9 BLK 11</t>
  </si>
  <si>
    <t>462 NILES WAY</t>
  </si>
  <si>
    <t>VALLEY PARK ESTATES</t>
  </si>
  <si>
    <t xml:space="preserve">BUCKI, JODY L &amp; BELINDA J </t>
  </si>
  <si>
    <t>VALLEY PARK EST LT 23</t>
  </si>
  <si>
    <t>499 NILES WAY</t>
  </si>
  <si>
    <t xml:space="preserve">NEVES, POPPY </t>
  </si>
  <si>
    <t>VALLEY PARK EST LT 51</t>
  </si>
  <si>
    <t>9540 FLEETWOOD DR</t>
  </si>
  <si>
    <t xml:space="preserve">SEIBOLD, MERLIN L  </t>
  </si>
  <si>
    <t xml:space="preserve">9540 FLEETWOOD DR </t>
  </si>
  <si>
    <t>VALLEY PARK EST LT 48</t>
  </si>
  <si>
    <t>9535 FLEETWOOD DR</t>
  </si>
  <si>
    <t xml:space="preserve">WITTIG, ROBERT K  </t>
  </si>
  <si>
    <t xml:space="preserve">9545 FLEETWOOD DR </t>
  </si>
  <si>
    <t xml:space="preserve">WARE, DENA </t>
  </si>
  <si>
    <t>VALLEY PARK EST LT 8</t>
  </si>
  <si>
    <t>470 COMPTON ST</t>
  </si>
  <si>
    <t xml:space="preserve">MOTTERN, SAMUEL &amp; BRUNILDA  </t>
  </si>
  <si>
    <t xml:space="preserve">470 COMPTON ST </t>
  </si>
  <si>
    <t xml:space="preserve">HOWARD, JAMES J </t>
  </si>
  <si>
    <t>VALLEY PARK EST LT 27</t>
  </si>
  <si>
    <t>491 COMPTON ST</t>
  </si>
  <si>
    <t>5395 LADYBUG CT</t>
  </si>
  <si>
    <t xml:space="preserve">RAY, RECIE S </t>
  </si>
  <si>
    <t>VALLEY PARK EST LT 42</t>
  </si>
  <si>
    <t>9368 HOLIDAY CT</t>
  </si>
  <si>
    <t>VALLEY VLG 1 &amp; 2 LTS 51 &amp;</t>
  </si>
  <si>
    <t>MALAER, JOHNIE LEE  et al</t>
  </si>
  <si>
    <t xml:space="preserve">MALAER, JOHNIE L  </t>
  </si>
  <si>
    <t>VALLEY VILLAGE 1 &amp; 2 LT 51 &amp; 52</t>
  </si>
  <si>
    <t>VALLEY VILLAGE 1 &amp; 2 FRAC</t>
  </si>
  <si>
    <t xml:space="preserve">SNOW, RICK </t>
  </si>
  <si>
    <t>1192 ALTA VISTA DR</t>
  </si>
  <si>
    <t>BABER, KELSIE E &amp; VERONICA L et al</t>
  </si>
  <si>
    <t>VALLEY VILLAGE 1 &amp; 2 FR LT 19</t>
  </si>
  <si>
    <t>GFVV</t>
  </si>
  <si>
    <t>9335 FLEETWOOD DR</t>
  </si>
  <si>
    <t>VALLEY VILLAGE 1 &amp; 2 LT 133</t>
  </si>
  <si>
    <t>730 KIT CT</t>
  </si>
  <si>
    <t xml:space="preserve">MACEDO, ABILIO  </t>
  </si>
  <si>
    <t>PO BOX 61481</t>
  </si>
  <si>
    <t>VALLEY VILLAGE 1 &amp; 2 LT 177</t>
  </si>
  <si>
    <t>9260 FLEETWOOD DR</t>
  </si>
  <si>
    <t xml:space="preserve">CARPENTER, TAMARA </t>
  </si>
  <si>
    <t xml:space="preserve">HOWARD, MARGARET E  </t>
  </si>
  <si>
    <t>VALLEY VILLAGE 1 &amp; 2 LT 90</t>
  </si>
  <si>
    <t>245 MAGNOLIA WAY</t>
  </si>
  <si>
    <t>VALLEY VILLAGE  3 &amp; 4</t>
  </si>
  <si>
    <t xml:space="preserve">KENNESON, PETER &amp; KELLY </t>
  </si>
  <si>
    <t>VALLEY VILLAGE 3 &amp; 4 LT 47</t>
  </si>
  <si>
    <t>335 PALACE DR</t>
  </si>
  <si>
    <t>LEMMON VALLEY ESTS UNIT 2</t>
  </si>
  <si>
    <t xml:space="preserve">RECANZONE, MONIQUE D </t>
  </si>
  <si>
    <t>LEMMON VALLEY EST 2 LT 4</t>
  </si>
  <si>
    <t>295 PALACE DR</t>
  </si>
  <si>
    <t xml:space="preserve">DIBARI, DAVID JR </t>
  </si>
  <si>
    <t>LEMMON VALLEY EST 4 LT 15</t>
  </si>
  <si>
    <t>9415 GREMLIN WAY</t>
  </si>
  <si>
    <t xml:space="preserve">SILVER STATE HOUSING TRUST  </t>
  </si>
  <si>
    <t>550 W PLUMB LN # B507</t>
  </si>
  <si>
    <t xml:space="preserve">SILVER STATE SCHOOL CR UNION </t>
  </si>
  <si>
    <t>LEMMON VALLEY EST 2 LT 31</t>
  </si>
  <si>
    <t>215 JUDY WAY</t>
  </si>
  <si>
    <t xml:space="preserve">HYSELL, LUKE D &amp; CAROLINE M </t>
  </si>
  <si>
    <t xml:space="preserve">HYSELL, LUKE </t>
  </si>
  <si>
    <t>LEMMON VALLEY EST 2 LT 29</t>
  </si>
  <si>
    <t>9365 GREMLIN WAY</t>
  </si>
  <si>
    <t xml:space="preserve">LEONARD , GARY G  </t>
  </si>
  <si>
    <t xml:space="preserve">9365 GREMLIN WAY </t>
  </si>
  <si>
    <t xml:space="preserve">MARTIN, CHARLES X &amp; BARBARA F </t>
  </si>
  <si>
    <t>LEMMON VALLEY EST 2 LT 26</t>
  </si>
  <si>
    <t>315 E PATRICIAN DR</t>
  </si>
  <si>
    <t xml:space="preserve">GRESHAM, ELENA </t>
  </si>
  <si>
    <t xml:space="preserve">PIKE, DAVID M &amp; DEIDRE M </t>
  </si>
  <si>
    <t>LEMMON VALLEY EST 2 LT 41</t>
  </si>
  <si>
    <t>420 E PATRICIAN DR</t>
  </si>
  <si>
    <t xml:space="preserve">PARISEAU, DON B  </t>
  </si>
  <si>
    <t xml:space="preserve">420 E PATRICIAN DR </t>
  </si>
  <si>
    <t>LEMMON VALLEY EST 2 LT 22</t>
  </si>
  <si>
    <t>420 PALACE DR</t>
  </si>
  <si>
    <t xml:space="preserve">VAN ORNUM, GARY L &amp; JANICE L </t>
  </si>
  <si>
    <t>9075 RESERVOIR ST</t>
  </si>
  <si>
    <t>LEMMON VALLEY EST 3 LT 15</t>
  </si>
  <si>
    <t>140 PAXTON LN</t>
  </si>
  <si>
    <t>LEMMON VALLEY  EST</t>
  </si>
  <si>
    <t xml:space="preserve">HUGHES, EDWARD &amp; GWEN </t>
  </si>
  <si>
    <t xml:space="preserve">LILLY, DONALD L &amp; DULCIE F </t>
  </si>
  <si>
    <t>LEMMON VALLEY EST LT 8</t>
  </si>
  <si>
    <t>170 PAXTON LN</t>
  </si>
  <si>
    <t xml:space="preserve">VILLARRUEL, BLANCA F </t>
  </si>
  <si>
    <t>LEMMON VALLEY EST LT 7</t>
  </si>
  <si>
    <t>9495 FREMONT WAY</t>
  </si>
  <si>
    <t>LEMMON VALLEY EST UT 4</t>
  </si>
  <si>
    <t xml:space="preserve">ANGLEY, PATRICK M &amp; DEIDRA L </t>
  </si>
  <si>
    <t>LEMMON VALLEY EST UT 4 LT 64</t>
  </si>
  <si>
    <t>9425 FREMONT WAY</t>
  </si>
  <si>
    <t>LEMMON VALLEY ESTATES 4</t>
  </si>
  <si>
    <t xml:space="preserve">ZIMMERLE, WILLIAM J II </t>
  </si>
  <si>
    <t xml:space="preserve">BRADFIELD, ALAN L &amp; TARA J </t>
  </si>
  <si>
    <t>LEMMON VALLEY EST 4 LT 57</t>
  </si>
  <si>
    <t>260 PALACE DR</t>
  </si>
  <si>
    <t xml:space="preserve">ANDERSON, PEGGY S </t>
  </si>
  <si>
    <t>LEMMON VALLEY EST 4 LT 18</t>
  </si>
  <si>
    <t>235 PALACE DR</t>
  </si>
  <si>
    <t>LEMMON VALLEY EST  4</t>
  </si>
  <si>
    <t>ADRIAN, JOSEPH J JR &amp; BREANN J et al</t>
  </si>
  <si>
    <t xml:space="preserve">MONTES, JAVIER &amp; HAYDEE </t>
  </si>
  <si>
    <t>LEMMON VALLEY EST 4  LT 9</t>
  </si>
  <si>
    <t>225 PALACE DR</t>
  </si>
  <si>
    <t>EDDY, PEGGY ANN et al</t>
  </si>
  <si>
    <t xml:space="preserve">EDDY, PEGGY ANN </t>
  </si>
  <si>
    <t>LEMMON VALLEY EST 4 LT 8</t>
  </si>
  <si>
    <t xml:space="preserve"> ESTATES RD</t>
  </si>
  <si>
    <t>DLM 79</t>
  </si>
  <si>
    <t xml:space="preserve">JONES, RICHARD </t>
  </si>
  <si>
    <t>1289 TATE DR</t>
  </si>
  <si>
    <t xml:space="preserve">KUHN, ROBERT W &amp; VALERIE S </t>
  </si>
  <si>
    <t>DLM 79 LT 48</t>
  </si>
  <si>
    <t>GFNJ</t>
  </si>
  <si>
    <t>1860 ESTATES RD</t>
  </si>
  <si>
    <t xml:space="preserve">NIMSIC, THOMAS L &amp; SILVIA G  </t>
  </si>
  <si>
    <t xml:space="preserve">1550 EASTLAKE BLVD </t>
  </si>
  <si>
    <t xml:space="preserve">THURMOND, JOHN V  </t>
  </si>
  <si>
    <t>DLM 79  LT 47</t>
  </si>
  <si>
    <t>265 KARSTEN CT</t>
  </si>
  <si>
    <t>VALLEY VILLAGE 6</t>
  </si>
  <si>
    <t xml:space="preserve">LEMMON VALLEY HOUSING ASST TR  </t>
  </si>
  <si>
    <t>550 W PLUMB LN B-507</t>
  </si>
  <si>
    <t>VALLEY VILLAGE 6 LT 6</t>
  </si>
  <si>
    <t>7842 WELSH DR</t>
  </si>
  <si>
    <t xml:space="preserve">FERRIN, JASON M &amp; KARA D </t>
  </si>
  <si>
    <t xml:space="preserve">PERALTA, JUANA A </t>
  </si>
  <si>
    <t>PEEK PARCEL 1 PH 1 LT 75</t>
  </si>
  <si>
    <t>7838 WELSH DR</t>
  </si>
  <si>
    <t xml:space="preserve">BOWDEN, DEBORAH M  </t>
  </si>
  <si>
    <t xml:space="preserve">OKONKWO, VIRGINIA </t>
  </si>
  <si>
    <t>PEEK PARCEL 1 PH 1 LT 74</t>
  </si>
  <si>
    <t>7786 WELSH DR</t>
  </si>
  <si>
    <t xml:space="preserve">MUNOZ, RONALD O  </t>
  </si>
  <si>
    <t xml:space="preserve">7786 WELSH DR </t>
  </si>
  <si>
    <t>PEEK PARCEL 1 PH 1 LT 61</t>
  </si>
  <si>
    <t>7640 BICHON ST</t>
  </si>
  <si>
    <t xml:space="preserve">BARNETT, BRITTNEY A </t>
  </si>
  <si>
    <t xml:space="preserve">BRADLEY, JUSTIN </t>
  </si>
  <si>
    <t>PEEK PARCEL 1 PH 1 LT 56</t>
  </si>
  <si>
    <t>7695 BICHON ST</t>
  </si>
  <si>
    <t xml:space="preserve">HAYES, BRANDI  </t>
  </si>
  <si>
    <t xml:space="preserve">7695 BICHON ST </t>
  </si>
  <si>
    <t>PEEK PARCEL 1 PH 1 LT 47</t>
  </si>
  <si>
    <t>7680 APPENZELL ST</t>
  </si>
  <si>
    <t xml:space="preserve">SAWYER, GLENN H &amp; LORETTA J </t>
  </si>
  <si>
    <t xml:space="preserve">FLETCHER TRUST, BARBARA J  </t>
  </si>
  <si>
    <t>PEEK PARCEL 1 PH 1 LT 45</t>
  </si>
  <si>
    <t>7670 APPENZELL ST</t>
  </si>
  <si>
    <t xml:space="preserve">LINDSTROM, COLE </t>
  </si>
  <si>
    <t>PEEK PARCEL 1 PH 1 LT 44</t>
  </si>
  <si>
    <t>8981 KEMMER ST</t>
  </si>
  <si>
    <t xml:space="preserve">KISTNER, KYLE L &amp; NICOLE  </t>
  </si>
  <si>
    <t xml:space="preserve">8981 KEMMER ST </t>
  </si>
  <si>
    <t>PEEK PARCEL 1 PH 1 LT 34</t>
  </si>
  <si>
    <t>8945 GRIFFON CT</t>
  </si>
  <si>
    <t xml:space="preserve">MUNOZ-SILVA, RAUL </t>
  </si>
  <si>
    <t xml:space="preserve">HARRIS, MARK P &amp; MICHELLE R </t>
  </si>
  <si>
    <t>PEEK PARCEL 1 PH 1 LT 22</t>
  </si>
  <si>
    <t>7853 WELSH DR</t>
  </si>
  <si>
    <t xml:space="preserve">JOHNSON, NORMAN L JR &amp; SARAH C </t>
  </si>
  <si>
    <t>PEEK PARCEL 1 PH 1 LT 15</t>
  </si>
  <si>
    <t>7857 WELSH DR</t>
  </si>
  <si>
    <t xml:space="preserve">CATU, JUAN F &amp; GRACIELA G  </t>
  </si>
  <si>
    <t xml:space="preserve">7857 WELSH DR </t>
  </si>
  <si>
    <t>DENNIS BANKS CONSTRUCTION LLC LLC</t>
  </si>
  <si>
    <t>PEEK PARCEL 1 PH 1 LT 14</t>
  </si>
  <si>
    <t>7865 WELSH DR</t>
  </si>
  <si>
    <t xml:space="preserve">BRYAN, TRAVIS &amp; LINDSEY </t>
  </si>
  <si>
    <t>PEEK PARCEL 1 PH 1 LT 12</t>
  </si>
  <si>
    <t>7877 WELSH DR</t>
  </si>
  <si>
    <t xml:space="preserve">BENNETT, RICHARD </t>
  </si>
  <si>
    <t>PEEK PARCEL 1 PH 1 LT 9</t>
  </si>
  <si>
    <t>7863 TULEAR ST</t>
  </si>
  <si>
    <t xml:space="preserve">RECTOR, MEGHAN C </t>
  </si>
  <si>
    <t>SPRING, DANIEL A et al</t>
  </si>
  <si>
    <t>PEEK PARCEL 1 PH 2 LT 85</t>
  </si>
  <si>
    <t>7814 TULEAR ST</t>
  </si>
  <si>
    <t xml:space="preserve">PADILLA, ARTURO B  </t>
  </si>
  <si>
    <t xml:space="preserve">COWEN, MATTHEW &amp; LEAH J </t>
  </si>
  <si>
    <t>PEEK PARCEL 1 PH 2 LT 140</t>
  </si>
  <si>
    <t>7718 WELSH DR</t>
  </si>
  <si>
    <t xml:space="preserve">SOROUSHIIAN, SIAVASH  </t>
  </si>
  <si>
    <t xml:space="preserve">DURAN, DAWVER D  </t>
  </si>
  <si>
    <t>PEEK PARCEL 1 PH 2 LT 130</t>
  </si>
  <si>
    <t>7710 WELSH DR</t>
  </si>
  <si>
    <t xml:space="preserve">LIANILLO, MARITES P </t>
  </si>
  <si>
    <t>PEEK PARCEL 1 PH 2 LT 128</t>
  </si>
  <si>
    <t>7525 APPENZELL ST</t>
  </si>
  <si>
    <t xml:space="preserve">DURAN, MANUEL I </t>
  </si>
  <si>
    <t>PEEK PARCEL 1 PH 2 LT 125</t>
  </si>
  <si>
    <t>7741 WELSH DR</t>
  </si>
  <si>
    <t xml:space="preserve">RANVIER, TAMATHA D </t>
  </si>
  <si>
    <t xml:space="preserve">PEREZ, NAIN &amp; MARIA G </t>
  </si>
  <si>
    <t>PEEK PARCEL 1 PH 2 LT 106</t>
  </si>
  <si>
    <t>9035 ANDRASTE WAY</t>
  </si>
  <si>
    <t>RIVADA, WYMMIE et al</t>
  </si>
  <si>
    <t xml:space="preserve">9035 ANDRASTE WAY </t>
  </si>
  <si>
    <t>CASTELLON, SALVADOR A et al</t>
  </si>
  <si>
    <t>CREST AT STONEFIELD 1 UT 1 LT 20</t>
  </si>
  <si>
    <t>9080 ALSANDAIR CT</t>
  </si>
  <si>
    <t xml:space="preserve">KUNDE, GREG P &amp; NANDA E  </t>
  </si>
  <si>
    <t xml:space="preserve">9080 ALSANDAIR CT </t>
  </si>
  <si>
    <t>CREST AT STONEFIELD 1 UT 1 LT 16</t>
  </si>
  <si>
    <t>8982 MAHON DR</t>
  </si>
  <si>
    <t xml:space="preserve">EQUITY TRUST CO </t>
  </si>
  <si>
    <t>RONALD JUE</t>
  </si>
  <si>
    <t>PO BOX 3609</t>
  </si>
  <si>
    <t xml:space="preserve">BRUNSVOLD, CHRISTOPHER J &amp; K J </t>
  </si>
  <si>
    <t>CREST AT STONEFIELD 1 UT 1 LT 72</t>
  </si>
  <si>
    <t>8959 MAHON DR</t>
  </si>
  <si>
    <t xml:space="preserve">MADERA, ARACELI </t>
  </si>
  <si>
    <t>PALOMAR, FRANCISCO &amp; HERMINIA et al</t>
  </si>
  <si>
    <t>CREST AT STONEFIELD 1 UT 1 LT 61</t>
  </si>
  <si>
    <t>8983 MAHON DR</t>
  </si>
  <si>
    <t>NEIBLE, CHRISTOPHER D et al</t>
  </si>
  <si>
    <t>NIERA-MEZA MARITSSA</t>
  </si>
  <si>
    <t>MORREALE, JEFFREY M et al</t>
  </si>
  <si>
    <t>CREST AT STONEFIELD 1 UT 1 LT 57</t>
  </si>
  <si>
    <t>8989 MAHON DR</t>
  </si>
  <si>
    <t xml:space="preserve">ALVAREZ, FELIPE R &amp; MARIA E </t>
  </si>
  <si>
    <t xml:space="preserve">8989 MAHON </t>
  </si>
  <si>
    <t>CREST AT STONEFIELD 1 UT 1 LT 56</t>
  </si>
  <si>
    <t>8939 SORCHA ST</t>
  </si>
  <si>
    <t>CHAVEZ, NELIDA E et al</t>
  </si>
  <si>
    <t>CREST AT STONEFIELD 1 UT 1 LT 38</t>
  </si>
  <si>
    <t>8951 SORCHA ST</t>
  </si>
  <si>
    <t xml:space="preserve">MCDONALD , MICHELLE  </t>
  </si>
  <si>
    <t xml:space="preserve">8951 SORCHA ST </t>
  </si>
  <si>
    <t xml:space="preserve">SORCHA TRUST 8951  </t>
  </si>
  <si>
    <t>CREST AT STONEFIELD 1 UT 1 LT 36</t>
  </si>
  <si>
    <t>8993 SORCHA ST</t>
  </si>
  <si>
    <t>DE CUELLAR, MARGARITA F  et al</t>
  </si>
  <si>
    <t xml:space="preserve">8993 SORCHA ST </t>
  </si>
  <si>
    <t>CREST AT STONEFIELD 1 UT 1 LT 29</t>
  </si>
  <si>
    <t>8997 SORCHA ST</t>
  </si>
  <si>
    <t xml:space="preserve">GONZALEZ, VICTOR </t>
  </si>
  <si>
    <t>CREST AT STONEFIELD 1 UT 1 LT 27</t>
  </si>
  <si>
    <t>7975 IMALL CT</t>
  </si>
  <si>
    <t xml:space="preserve">MCKENZIE, PAUL D </t>
  </si>
  <si>
    <t>PEEK PARCEL 1 PH 3 LT 247</t>
  </si>
  <si>
    <t>7764 CORSO ST</t>
  </si>
  <si>
    <t xml:space="preserve">MORENO, ANTHONY </t>
  </si>
  <si>
    <t xml:space="preserve">BUNK, ROBERT J </t>
  </si>
  <si>
    <t>PEEK PARCEL 1 PH 3 LT 243</t>
  </si>
  <si>
    <t>7701 CORSO ST</t>
  </si>
  <si>
    <t xml:space="preserve">ZHU, DONGZI </t>
  </si>
  <si>
    <t>PEEK PARCEL 1 PH 3 LT 175</t>
  </si>
  <si>
    <t>7747 CORSO ST</t>
  </si>
  <si>
    <t xml:space="preserve">MOSS, PATRICIA R </t>
  </si>
  <si>
    <t xml:space="preserve">ROBBINS, KATHY </t>
  </si>
  <si>
    <t>PEEK PARCEL 1 PH 3 LT 163</t>
  </si>
  <si>
    <t>7767 CORSO ST</t>
  </si>
  <si>
    <t xml:space="preserve">COTHRAN, RONALD B </t>
  </si>
  <si>
    <t>P O BOX 14871</t>
  </si>
  <si>
    <t>PEEK PARCEL 1 PH 3 LT 159</t>
  </si>
  <si>
    <t>7776 TULEAR ST</t>
  </si>
  <si>
    <t xml:space="preserve">ACEVEDO, ALEJANDRA  </t>
  </si>
  <si>
    <t xml:space="preserve">7776 TULEAR ST </t>
  </si>
  <si>
    <t>PEEK PARCEL 1 PH 3 LT 211</t>
  </si>
  <si>
    <t>7716 TULEAR ST</t>
  </si>
  <si>
    <t xml:space="preserve">GRAVES, GLENNS II &amp; TERRA D </t>
  </si>
  <si>
    <t xml:space="preserve">TRUJILLO, IRMA </t>
  </si>
  <si>
    <t>PEEK PARCEL 1 PH 3 LT 196</t>
  </si>
  <si>
    <t>7505 APPENZELL ST</t>
  </si>
  <si>
    <t xml:space="preserve">PERKINS, ANDREW </t>
  </si>
  <si>
    <t>PEEK PARCEL 1 PH 3 LT 194</t>
  </si>
  <si>
    <t>7737 TULEAR ST</t>
  </si>
  <si>
    <t>BONILLA, EDGAR et al</t>
  </si>
  <si>
    <t>PEEK PARCEL 1 PH 3 LT 188</t>
  </si>
  <si>
    <t>7765 TULEAR ST</t>
  </si>
  <si>
    <t>DE LA PUENTE, BEATRIZ et al</t>
  </si>
  <si>
    <t>PEEK PARCEL 1 PH 3 LT 181</t>
  </si>
  <si>
    <t>7767 TULEAR ST</t>
  </si>
  <si>
    <t xml:space="preserve">JOVEL, SILVIA M </t>
  </si>
  <si>
    <t>VILLASENOR-ORDUNDA, JOSE L et al</t>
  </si>
  <si>
    <t>PEEK PARCEL 1 PH 3 LT 180</t>
  </si>
  <si>
    <t>8928 MAHON DR</t>
  </si>
  <si>
    <t xml:space="preserve">SOLOMON, BRIAN &amp; SARAH </t>
  </si>
  <si>
    <t>080-800-02</t>
  </si>
  <si>
    <t>CREST AT STONEFIELD 1 UT 2 LT 106</t>
  </si>
  <si>
    <t>8910 MAHON DR</t>
  </si>
  <si>
    <t xml:space="preserve">ZARAGOZA-GONZALEZ, JUAN C &amp; LAURA A </t>
  </si>
  <si>
    <t xml:space="preserve">DELANEY, PABLO A &amp; RUTH E </t>
  </si>
  <si>
    <t>CREST AT STONEFIELD 1 UT 2 LT 103</t>
  </si>
  <si>
    <t>8917 MAHON DR</t>
  </si>
  <si>
    <t xml:space="preserve">FARREN, GEOFF </t>
  </si>
  <si>
    <t>NAVARRO, ANTONIO V et al</t>
  </si>
  <si>
    <t>080-800-03</t>
  </si>
  <si>
    <t>CREST AT STONEFIELD 1 UT 2 LT 96</t>
  </si>
  <si>
    <t>8916 SORCHA ST</t>
  </si>
  <si>
    <t xml:space="preserve">ODOM, KRISTY L </t>
  </si>
  <si>
    <t xml:space="preserve">SWARR, JASON &amp; GINA </t>
  </si>
  <si>
    <t>CREST AT STONEFIELD 1 UT 2 LT 90</t>
  </si>
  <si>
    <t>7668 CORSO ST</t>
  </si>
  <si>
    <t xml:space="preserve">ARELLANO, JORGE &amp; SEVERINA R D  </t>
  </si>
  <si>
    <t xml:space="preserve">7668 CORSO ST </t>
  </si>
  <si>
    <t>PEEK PARCEL 1 PH 4 LT 296</t>
  </si>
  <si>
    <t>7630 CORSO ST</t>
  </si>
  <si>
    <t xml:space="preserve">RODRIGUEZ, ARTHUR JR </t>
  </si>
  <si>
    <t>CARRILLO, ARMANDO et al</t>
  </si>
  <si>
    <t>PEEK PARCEL 1 PH 4 LT 284</t>
  </si>
  <si>
    <t>7635 CORSO ST</t>
  </si>
  <si>
    <t xml:space="preserve">BRINSON, JADE M  </t>
  </si>
  <si>
    <t xml:space="preserve">THOMPSON, JASON M &amp; ALICIA S </t>
  </si>
  <si>
    <t>PEEK PARCEL 1 PH 4 LT 264</t>
  </si>
  <si>
    <t>8988 WYNNE ST</t>
  </si>
  <si>
    <t xml:space="preserve">BENWELL, JUNE M </t>
  </si>
  <si>
    <t>4325 CERRITOS AVE</t>
  </si>
  <si>
    <t xml:space="preserve">WYNNE TRUST 8988 NRES NV-L LLC </t>
  </si>
  <si>
    <t>080-881-04</t>
  </si>
  <si>
    <t>CREST AT STONEFIELD 1 UT 3 LT 177</t>
  </si>
  <si>
    <t>8998 FINNSECH DR</t>
  </si>
  <si>
    <t xml:space="preserve">SNELSON, PATRICK C &amp; ANITA R </t>
  </si>
  <si>
    <t>CREST AT STONEFIELD 1 UT 3 LT 143</t>
  </si>
  <si>
    <t>8947 FINNSECH DR</t>
  </si>
  <si>
    <t xml:space="preserve">GOMEZ, PEDRO G  </t>
  </si>
  <si>
    <t xml:space="preserve">8947 FINNSECH DR </t>
  </si>
  <si>
    <t>CREST AT STONEFIELD 1 UT 3 LT 117</t>
  </si>
  <si>
    <t>8999 FINNSECH DR</t>
  </si>
  <si>
    <t xml:space="preserve">BISCHOPINK, EDWARD L &amp; PAULETTE L </t>
  </si>
  <si>
    <t>CREST AT STONEFIELD 1 UT 3 LT 108</t>
  </si>
  <si>
    <t>8917 FINNSECH DR</t>
  </si>
  <si>
    <t xml:space="preserve">PIMENTEL, RUBEN N &amp; BELEN B  </t>
  </si>
  <si>
    <t>PO BOX 7753</t>
  </si>
  <si>
    <t xml:space="preserve">KETCHIKAN </t>
  </si>
  <si>
    <t>CREST AT STONEFIELD 1 UT 3 LT 122</t>
  </si>
  <si>
    <t>8903 WYNNE ST</t>
  </si>
  <si>
    <t>HEAPHY, MELISSA A  et al</t>
  </si>
  <si>
    <t>CREST AT STONEFIELD 1 UT 3 LT 160</t>
  </si>
  <si>
    <t>8915 WYNNE ST</t>
  </si>
  <si>
    <t>DEGUZMAN, QUEEN R L et al</t>
  </si>
  <si>
    <t>CREST AT STONEFIELD 1 UT 3 LT 158</t>
  </si>
  <si>
    <t>220 MER MAC ST</t>
  </si>
  <si>
    <t>FR S2 NW4</t>
  </si>
  <si>
    <t>P51 LLC</t>
  </si>
  <si>
    <t>5186 CARROLL CANYON RD # 100</t>
  </si>
  <si>
    <t xml:space="preserve">REAL ASSET LOCATORS INC </t>
  </si>
  <si>
    <t>FR S2 NW4 SEC 12 TWP 20 RGE 18</t>
  </si>
  <si>
    <t>GAMJ</t>
  </si>
  <si>
    <t>10408 TRAIL DR</t>
  </si>
  <si>
    <t>FR SW4 SEC 1 TWP 20 RGE 18</t>
  </si>
  <si>
    <t>GABF</t>
  </si>
  <si>
    <t>317 LENCO AVE</t>
  </si>
  <si>
    <t>P51 LLC LLC</t>
  </si>
  <si>
    <t>FR SW4 SEC 1 TWP 20 RGE 19</t>
  </si>
  <si>
    <t>700 LENCO AVE</t>
  </si>
  <si>
    <t>204 LENCO AVE</t>
  </si>
  <si>
    <t>202 LENCO AVE</t>
  </si>
  <si>
    <t>200 SUSAN CT</t>
  </si>
  <si>
    <t>FR S2 SEC 1 TWP 20 RGE 18</t>
  </si>
  <si>
    <t>300 TRAIL DR</t>
  </si>
  <si>
    <t>201 COPPERFIELD DR</t>
  </si>
  <si>
    <t>208 COPPERFIELD DR</t>
  </si>
  <si>
    <t xml:space="preserve"> LONGVIEW LN</t>
  </si>
  <si>
    <t>10713 TRAIL DR</t>
  </si>
  <si>
    <t>10727 TRAIL DR</t>
  </si>
  <si>
    <t xml:space="preserve">ECHEVERRIA PETER FAM LTD PTSP </t>
  </si>
  <si>
    <t>9432 DOUBLE R BLVD</t>
  </si>
  <si>
    <t>GAVV</t>
  </si>
  <si>
    <t>R/S #457246</t>
  </si>
  <si>
    <t xml:space="preserve">RD &amp; TR LONG FAMILY 1997 TRUST  </t>
  </si>
  <si>
    <t>1000 N DIVISION ST</t>
  </si>
  <si>
    <t xml:space="preserve">WASHINGTON TRUST BANK </t>
  </si>
  <si>
    <t>RS 1062 LT 32</t>
  </si>
  <si>
    <t>17005 N US 395 HWY</t>
  </si>
  <si>
    <t xml:space="preserve">RODRIGUEZ, ESTEBAN JR </t>
  </si>
  <si>
    <t>17005 US HWY 395 NORTH</t>
  </si>
  <si>
    <t xml:space="preserve">LEHMAN, JACK L </t>
  </si>
  <si>
    <t>NORTHRIDGE AMD FR LT 4 BLK 3</t>
  </si>
  <si>
    <t>17565 NORTHRIDGE AVE</t>
  </si>
  <si>
    <t>PM 701</t>
  </si>
  <si>
    <t xml:space="preserve">PELTZ, THOMAS O &amp; DEBORAH R  </t>
  </si>
  <si>
    <t xml:space="preserve">17565 NORTHRIDGE AVE </t>
  </si>
  <si>
    <t xml:space="preserve">SMITH TRUST, LOUIS D &amp; MARIAN L  </t>
  </si>
  <si>
    <t>PM 701 LT 1</t>
  </si>
  <si>
    <t>17605 NORTHRIDGE AVE</t>
  </si>
  <si>
    <t>PM 727</t>
  </si>
  <si>
    <t xml:space="preserve">WEIS, ROBERT L </t>
  </si>
  <si>
    <t>PM 727 LT 2</t>
  </si>
  <si>
    <t>18010 NORTHRIDGE AVE</t>
  </si>
  <si>
    <t>PM 438</t>
  </si>
  <si>
    <t xml:space="preserve">MARTINEZ, JOHNNY O JR &amp; SANDRA J </t>
  </si>
  <si>
    <t xml:space="preserve">KEENAN, MICHAEL M SR &amp; SUSAN E </t>
  </si>
  <si>
    <t>PM 438 LT A</t>
  </si>
  <si>
    <t>18155 NORTHRIDGE AVE</t>
  </si>
  <si>
    <t>PM 3930</t>
  </si>
  <si>
    <t xml:space="preserve">DEDIC, JILL </t>
  </si>
  <si>
    <t>081-204-04</t>
  </si>
  <si>
    <t>PM 3930 LT 3A</t>
  </si>
  <si>
    <t>18175 NORTHRIDGE AVE</t>
  </si>
  <si>
    <t xml:space="preserve">RICE, ROBERT W  </t>
  </si>
  <si>
    <t xml:space="preserve">18175 NORTHRIDGE AVE </t>
  </si>
  <si>
    <t>PM 3930 LT 4A</t>
  </si>
  <si>
    <t>1022 BUCK MOUNTAIN RD</t>
  </si>
  <si>
    <t>ROLLING HILLS HIGHLANDS 1 AMD</t>
  </si>
  <si>
    <t xml:space="preserve">BERTOLOZZI, RICK P  </t>
  </si>
  <si>
    <t xml:space="preserve">1022 BUCK MOUNTAIN RD </t>
  </si>
  <si>
    <t xml:space="preserve">ROSSI, SYLVIA P </t>
  </si>
  <si>
    <t>ROLLING HILLS HIGHLANDS 1 AMD LT 19 BLK A</t>
  </si>
  <si>
    <t>1017 BUCK MOUNTAIN RD</t>
  </si>
  <si>
    <t xml:space="preserve">FRANCISCO, JORDAN C  </t>
  </si>
  <si>
    <t xml:space="preserve">LINDNER, MARK L &amp; SUSAN M </t>
  </si>
  <si>
    <t>ROLLING HILLS HIGHLANDS 1 LT 17 BLK A</t>
  </si>
  <si>
    <t>6568 RUBY MOUNTAIN RD</t>
  </si>
  <si>
    <t>GLODE, CHRIS J et al</t>
  </si>
  <si>
    <t xml:space="preserve">SIDERIUS, ANDREW </t>
  </si>
  <si>
    <t>ROLLING HILLS HIGHLANDS 2 AMD LT 12 BLK A</t>
  </si>
  <si>
    <t>6592 WASSUK RIDGE RD</t>
  </si>
  <si>
    <t>ROLLING HILLS HIGHLANDS 2 AMD</t>
  </si>
  <si>
    <t>HERNANDEZ, DAVID A  et al</t>
  </si>
  <si>
    <t>ROLLING HILLS HIGHLANDS 2 AMD LT 23 BLK C</t>
  </si>
  <si>
    <t>6589 WASSUK RIDGE RD</t>
  </si>
  <si>
    <t xml:space="preserve">MONTGOMERY, MICHAEL J &amp; VICKIE L </t>
  </si>
  <si>
    <t>21104 TUCKER RD</t>
  </si>
  <si>
    <t>GREENLEAF</t>
  </si>
  <si>
    <t>83626</t>
  </si>
  <si>
    <t>ROLLING HILLS HIGHLANDS 2 AMD LT 21 BLK B</t>
  </si>
  <si>
    <t>9945 N VIRGINIA ST</t>
  </si>
  <si>
    <t xml:space="preserve">9945 N VIRGINIA LLC </t>
  </si>
  <si>
    <t>PO BOX 4359</t>
  </si>
  <si>
    <t>SVENDSEN, EDWARD K et al</t>
  </si>
  <si>
    <t>FR NW4 NE4 SEC 7 TWP 20 RGE 19</t>
  </si>
  <si>
    <t>9875 N VIRGINIA ST</t>
  </si>
  <si>
    <t xml:space="preserve">WOODHAM, SARAH </t>
  </si>
  <si>
    <t xml:space="preserve">9875 N VIRGINIA ST </t>
  </si>
  <si>
    <t>FRAC W2 OF SW4</t>
  </si>
  <si>
    <t>360 MEDGAR AVE</t>
  </si>
  <si>
    <t xml:space="preserve">WORSLEY, STEVEN &amp; HELENA </t>
  </si>
  <si>
    <t>PO BOX 4042</t>
  </si>
  <si>
    <t>BLOCK F LOT 7 FR NE4  SW4  SEC 9 TWP 20 RGE 19</t>
  </si>
  <si>
    <t>310 MEDGAR AVE</t>
  </si>
  <si>
    <t xml:space="preserve">SWEET, GENE  </t>
  </si>
  <si>
    <t xml:space="preserve">310 MEDGAR AVE </t>
  </si>
  <si>
    <t>FR SE4 SW4 SEC 9 TWP 20 RGE 19 J E SWEATT TRACT UN</t>
  </si>
  <si>
    <t>9440 N VIRGINIA ST</t>
  </si>
  <si>
    <t xml:space="preserve">WILLIAMS, THOMAS R &amp; MARGOT E  </t>
  </si>
  <si>
    <t xml:space="preserve">9420 N VIRGINIA ST </t>
  </si>
  <si>
    <t>FRAC SW4 OF SW4</t>
  </si>
  <si>
    <t>8495 MOHAWK LN</t>
  </si>
  <si>
    <t>MACFARLANE, CARRA R  et al</t>
  </si>
  <si>
    <t xml:space="preserve">8495 MOHAWK LN </t>
  </si>
  <si>
    <t>HORIZON HILLS 2 LT 17</t>
  </si>
  <si>
    <t>2235 DAKOTA WAY</t>
  </si>
  <si>
    <t xml:space="preserve">WEATHERILL, DAMON M &amp; KRISIE A </t>
  </si>
  <si>
    <t>651 STEEPLECHASE CT</t>
  </si>
  <si>
    <t>HORIZON HILLS 2 LT 56</t>
  </si>
  <si>
    <t>8035 BLACKFOOT WAY</t>
  </si>
  <si>
    <t xml:space="preserve">RODRIGUEZ, JAVIER &amp; NINFA </t>
  </si>
  <si>
    <t>HORIZON HILLS 2 LT 174</t>
  </si>
  <si>
    <t>2499 HOPI CT</t>
  </si>
  <si>
    <t xml:space="preserve">BITZ, GARY G </t>
  </si>
  <si>
    <t>2497 HOPI CT</t>
  </si>
  <si>
    <t xml:space="preserve">RAMPLEY, PERRY &amp; JANICE </t>
  </si>
  <si>
    <t>HORIZON HILLS 2 LT 110</t>
  </si>
  <si>
    <t>128 KENNEDY DR</t>
  </si>
  <si>
    <t>NEVADA AFFORDABLE HOUSING TRST</t>
  </si>
  <si>
    <t xml:space="preserve">AURA AMERICA INC TTEE </t>
  </si>
  <si>
    <t>PO BOX 20222</t>
  </si>
  <si>
    <t xml:space="preserve">NEVADA NEW HOPE #72105 TRUST  </t>
  </si>
  <si>
    <t>7645 ESSEX WAY</t>
  </si>
  <si>
    <t>WEBSTER, KENNY &amp; REBECCA et al</t>
  </si>
  <si>
    <t>180 E SURGE ST</t>
  </si>
  <si>
    <t xml:space="preserve">KELLY, ELEANOREA J </t>
  </si>
  <si>
    <t>RALEIGH HEIGHTS SUB UNIT NO 1 LOT 47</t>
  </si>
  <si>
    <t>7640 ESSEX WAY</t>
  </si>
  <si>
    <t xml:space="preserve">MILLER, CLAUDIA D </t>
  </si>
  <si>
    <t>4060 BLUE WING WAY</t>
  </si>
  <si>
    <t>RALEIGH HEIGHTS 1 LT 39</t>
  </si>
  <si>
    <t>7615 CAMDEN CIR</t>
  </si>
  <si>
    <t xml:space="preserve">GILMORE, BREETTE D </t>
  </si>
  <si>
    <t>RALEIGH HEIGHTS 1 LT 98</t>
  </si>
  <si>
    <t>7540 COBB CIR</t>
  </si>
  <si>
    <t xml:space="preserve">KNITTLE-TABAR FAMILY TRUST  </t>
  </si>
  <si>
    <t>RALEIGH HTS SUB 1 LT 83</t>
  </si>
  <si>
    <t>7485 ESSEX WAY</t>
  </si>
  <si>
    <t xml:space="preserve">BARRERA, ROBERTO S &amp; DIAN R </t>
  </si>
  <si>
    <t>RALEIGH HEIGHTS 1 LT 11</t>
  </si>
  <si>
    <t>7455 ESSEX WAY</t>
  </si>
  <si>
    <t xml:space="preserve">RODRIGUEZ, GUADALUPE  </t>
  </si>
  <si>
    <t>RALEIGH HEIGHTS 1 LT 9</t>
  </si>
  <si>
    <t>7411 ESSEX WAY</t>
  </si>
  <si>
    <t xml:space="preserve">HARTMAN FAMILY TRUST, WAYNE A &amp; GLENDA K  </t>
  </si>
  <si>
    <t>1085 CALLENDER WAY</t>
  </si>
  <si>
    <t>RALEIGH HEIGHTS 1 LT 6</t>
  </si>
  <si>
    <t xml:space="preserve">EASY ACCESS HOUSING TRUST  </t>
  </si>
  <si>
    <t>1225 HOGE RD</t>
  </si>
  <si>
    <t>FR NW4 SW4 NW4</t>
  </si>
  <si>
    <t xml:space="preserve">BURKE, FORD L </t>
  </si>
  <si>
    <t xml:space="preserve">9372 MALAYA GARNET CT                   </t>
  </si>
  <si>
    <t>89148</t>
  </si>
  <si>
    <t xml:space="preserve">BACKMAN FAMILY TRUST  </t>
  </si>
  <si>
    <t>FR NW4 SW4 NW4 SEC 27 TWP 20 RGE 19</t>
  </si>
  <si>
    <t>BGRZ</t>
  </si>
  <si>
    <t>1335 HOGE RD</t>
  </si>
  <si>
    <t>BURKE, GABRIEL T et al</t>
  </si>
  <si>
    <t>LOPES AIMEE M</t>
  </si>
  <si>
    <t>730 HARRIS RD</t>
  </si>
  <si>
    <t>PM 3074</t>
  </si>
  <si>
    <t>BAKER, SALAH ABU et al</t>
  </si>
  <si>
    <t>082-361-76</t>
  </si>
  <si>
    <t>PM 3074 LT 1</t>
  </si>
  <si>
    <t>BGRD</t>
  </si>
  <si>
    <t>7585 GLADSTONE DR</t>
  </si>
  <si>
    <t xml:space="preserve">NUNEZ, LETICIA S </t>
  </si>
  <si>
    <t>RALEIGH HEIGHTS 3 LT 217</t>
  </si>
  <si>
    <t>7660 CARLYLE DR</t>
  </si>
  <si>
    <t>BURCHETT, TIMOTHY W et al</t>
  </si>
  <si>
    <t>4950 SAN DIEGO CT</t>
  </si>
  <si>
    <t>RALEIGH HEIGHTS 3 LT 273</t>
  </si>
  <si>
    <t>7744 FOWLER AVE</t>
  </si>
  <si>
    <t>RALEIGH HEIGHTS 2</t>
  </si>
  <si>
    <t xml:space="preserve">MARLO, KEVIN L &amp; CHRISTINE E </t>
  </si>
  <si>
    <t>RALEIGH HEIGHTS 2 LT 141</t>
  </si>
  <si>
    <t>570 DARWIN CIR</t>
  </si>
  <si>
    <t xml:space="preserve">SMITH, KATHLEEN  </t>
  </si>
  <si>
    <t xml:space="preserve">MCDONALD, DANIEL &amp; JACALYN </t>
  </si>
  <si>
    <t>RALEIGH HEIGHTS 2 LT 170</t>
  </si>
  <si>
    <t>7785 YORKSHIRE DR</t>
  </si>
  <si>
    <t xml:space="preserve">ADAME, LISETTE </t>
  </si>
  <si>
    <t xml:space="preserve">7885 FIRE OPAL BLVD </t>
  </si>
  <si>
    <t>RALEIGH HEIGHTS 2 LT 174</t>
  </si>
  <si>
    <t>7775 YORKSHIRE DR</t>
  </si>
  <si>
    <t xml:space="preserve">SIERRA BUDGET HOUSING TRUST  </t>
  </si>
  <si>
    <t xml:space="preserve">HAREN, DEREK D &amp; DEVONA A </t>
  </si>
  <si>
    <t>RALEIGH HEIGHTS 2 LT 175</t>
  </si>
  <si>
    <t>3405 ROLLING RIDGE RD</t>
  </si>
  <si>
    <t>GOLDEN VALLEY ESTATES NO</t>
  </si>
  <si>
    <t xml:space="preserve">LANGE , ELAINE A  </t>
  </si>
  <si>
    <t xml:space="preserve">3405 ROLLING RIDGE RD </t>
  </si>
  <si>
    <t xml:space="preserve">SCHOLL, KEVIN S &amp; TERESA A </t>
  </si>
  <si>
    <t>GOLDEN VALLEY EST 1 LT 4</t>
  </si>
  <si>
    <t>8850 SPEARHEAD WAY</t>
  </si>
  <si>
    <t xml:space="preserve">INMAN, STEVEN K &amp; NANCY A </t>
  </si>
  <si>
    <t xml:space="preserve">GOWER LIVING TRUST, CHARLES D &amp; EILEEN M  </t>
  </si>
  <si>
    <t>FR NE4 SEC 14 TWP 20 RGE 19</t>
  </si>
  <si>
    <t>3475 ROLLING RIDGE RD</t>
  </si>
  <si>
    <t xml:space="preserve">GOODFELLOW FAMILY TRUST  </t>
  </si>
  <si>
    <t xml:space="preserve">PO BOX 61766                            </t>
  </si>
  <si>
    <t xml:space="preserve">GOODFELLOW, CRAIG L &amp; DIANNE C </t>
  </si>
  <si>
    <t>110 HOGE RD</t>
  </si>
  <si>
    <t>PM 389</t>
  </si>
  <si>
    <t xml:space="preserve">MB RENO LLC </t>
  </si>
  <si>
    <t>PO BOX 6206</t>
  </si>
  <si>
    <t xml:space="preserve">DAILEY, AUBREY R </t>
  </si>
  <si>
    <t>PM 386 LT 3</t>
  </si>
  <si>
    <t>1615 COLLINS CIR</t>
  </si>
  <si>
    <t>ROLLING HILLS RANCHOS 1</t>
  </si>
  <si>
    <t xml:space="preserve">MARTINEZ, RICARDO </t>
  </si>
  <si>
    <t xml:space="preserve">1516 COLLINS CIR                        </t>
  </si>
  <si>
    <t>ROLLING HILLS RANCHOS 1 LT 2 BLK B</t>
  </si>
  <si>
    <t>1675 SAGEHEN LN</t>
  </si>
  <si>
    <t>PM 1266</t>
  </si>
  <si>
    <t xml:space="preserve">MANDEVILLE, CHARLES R &amp; JEAN </t>
  </si>
  <si>
    <t>1831 WINDSONG</t>
  </si>
  <si>
    <t>PM 1266 LT B</t>
  </si>
  <si>
    <t>1465 KATE LN</t>
  </si>
  <si>
    <t xml:space="preserve">PEEL , ROSEMARY  </t>
  </si>
  <si>
    <t xml:space="preserve">1465 KATE LN </t>
  </si>
  <si>
    <t xml:space="preserve">ROGERS LIVING TRUST, CARL E  </t>
  </si>
  <si>
    <t>SAGEHEN HILLS SUB LOT 11 BLK A</t>
  </si>
  <si>
    <t>1819 MAGER CIR</t>
  </si>
  <si>
    <t>RS 1691</t>
  </si>
  <si>
    <t xml:space="preserve">MILLER, WILLIAM L &amp; ELSIE M  </t>
  </si>
  <si>
    <t xml:space="preserve">1819 COLLINS CIR </t>
  </si>
  <si>
    <t>RS 1691 LT B</t>
  </si>
  <si>
    <t>1801 NEWPORT LN</t>
  </si>
  <si>
    <t>PM 4394</t>
  </si>
  <si>
    <t xml:space="preserve">KEILEY, ETHAN &amp; JESSICA </t>
  </si>
  <si>
    <t>082-593-04</t>
  </si>
  <si>
    <t>PM 4394 LT A</t>
  </si>
  <si>
    <t>305 WESTERN RD</t>
  </si>
  <si>
    <t xml:space="preserve">SIERRA WESTERN PROPERTIES LLC </t>
  </si>
  <si>
    <t>3125 BOSCHERTOWN RD</t>
  </si>
  <si>
    <t>ST CHARLES</t>
  </si>
  <si>
    <t xml:space="preserve">STANDARD MOTOR PRODUCTS INC </t>
  </si>
  <si>
    <t>PM 352 PAR 3</t>
  </si>
  <si>
    <t>240 WESTERN RD</t>
  </si>
  <si>
    <t>PM 4346</t>
  </si>
  <si>
    <t xml:space="preserve">MORGAN, JOEL J &amp; MARIA L </t>
  </si>
  <si>
    <t>1689 IRON MOUNTAIN DR</t>
  </si>
  <si>
    <t>082-613-02</t>
  </si>
  <si>
    <t>PM 4346 LT 4</t>
  </si>
  <si>
    <t>6570 MEYERS AVE</t>
  </si>
  <si>
    <t>RS 138</t>
  </si>
  <si>
    <t xml:space="preserve">ALVENDIA, WILFRIDO L </t>
  </si>
  <si>
    <t>RS 138 LT 18 &amp; 19</t>
  </si>
  <si>
    <t>6510 MEYERS AVE</t>
  </si>
  <si>
    <t xml:space="preserve">REDMAN, ERNEST E  </t>
  </si>
  <si>
    <t xml:space="preserve">6510 MEYERS AVE </t>
  </si>
  <si>
    <t>KOEPNICK, RICHARD C &amp; EDITH P et al</t>
  </si>
  <si>
    <t>FR SE4 NW4 SEC 16 TWP 20 RGE 19</t>
  </si>
  <si>
    <t>7551 LYTTON CT</t>
  </si>
  <si>
    <t xml:space="preserve">LOPEZ, MARIA D P B  </t>
  </si>
  <si>
    <t xml:space="preserve">7551 LYTTON CT </t>
  </si>
  <si>
    <t>082-591-17</t>
  </si>
  <si>
    <t>SAGEHEN HILLS 2 PH 1 LT 20 BLK A</t>
  </si>
  <si>
    <t>7521 LYTTON CT</t>
  </si>
  <si>
    <t xml:space="preserve">CUNNING, ROSHELLE  </t>
  </si>
  <si>
    <t xml:space="preserve">PO BOX 577 </t>
  </si>
  <si>
    <t xml:space="preserve">FOLSOM </t>
  </si>
  <si>
    <t>95763</t>
  </si>
  <si>
    <t>SAGEHEN HILLS  2 PH 1 LT 17 BLK A</t>
  </si>
  <si>
    <t>7530 LYTTON CT</t>
  </si>
  <si>
    <t xml:space="preserve">REYNOLDS, ROGER  </t>
  </si>
  <si>
    <t>082-701-10</t>
  </si>
  <si>
    <t>SAGEHEN HILLS 2 PH 1 LT 13 BLK A</t>
  </si>
  <si>
    <t>7640 LYTTON RD</t>
  </si>
  <si>
    <t xml:space="preserve">DE LA CERDA, EUGENIO T </t>
  </si>
  <si>
    <t>SAGEHEN HILL 2 PH 2 LT 9</t>
  </si>
  <si>
    <t>1065 CHISHOLM TRL</t>
  </si>
  <si>
    <t xml:space="preserve">HEINRICH, MICHAEL &amp; CHRISTY M </t>
  </si>
  <si>
    <t>SAGEHEN HILL 2 PH 2 LT 37</t>
  </si>
  <si>
    <t>4954 NEWPORT CT</t>
  </si>
  <si>
    <t xml:space="preserve">GRIFFITH, JAMES D </t>
  </si>
  <si>
    <t>NEWPORT HEIGHTS LT 15</t>
  </si>
  <si>
    <t>082-361-77</t>
  </si>
  <si>
    <t>7535 S CLARIDGE POINTE PKWY</t>
  </si>
  <si>
    <t xml:space="preserve">DUNN, JUSTIN E  </t>
  </si>
  <si>
    <t>CLARIDGE POINTE ON THE GREEN LT 8 BLK B</t>
  </si>
  <si>
    <t>7500 DIAMOND POINTE WAY</t>
  </si>
  <si>
    <t xml:space="preserve">WEILAND, DOUGLAS D </t>
  </si>
  <si>
    <t>CLARIDGE POINTE ON GREEN LT 9 BLK B</t>
  </si>
  <si>
    <t>7591 DIAMOND POINTE WAY</t>
  </si>
  <si>
    <t xml:space="preserve">GRIMMER, KEVIN L </t>
  </si>
  <si>
    <t>GARCIA, ADAM et al</t>
  </si>
  <si>
    <t>CLARIDGE POINTE ON THE GREEN LT 20 BLK C</t>
  </si>
  <si>
    <t>1370 COPPER LEAF DR</t>
  </si>
  <si>
    <t xml:space="preserve">TITUS, ROBIN L </t>
  </si>
  <si>
    <t>P O BOX 377</t>
  </si>
  <si>
    <t>PANTHER EST 1 LT 20</t>
  </si>
  <si>
    <t>510 COLBY LN</t>
  </si>
  <si>
    <t>PM 1453</t>
  </si>
  <si>
    <t xml:space="preserve">JONES, BRADY M </t>
  </si>
  <si>
    <t>082-381-19</t>
  </si>
  <si>
    <t>PM 1453 LT 2</t>
  </si>
  <si>
    <t>7105 FREEDOM DR</t>
  </si>
  <si>
    <t xml:space="preserve">VIDAL, DAWN R </t>
  </si>
  <si>
    <t xml:space="preserve">HALL, STEVEN C &amp; SHEILA W </t>
  </si>
  <si>
    <t>SPRING CREEK 1A LT 25 BLK A</t>
  </si>
  <si>
    <t>7025 FREEDOM DR</t>
  </si>
  <si>
    <t>KK MAN LLC  LLC</t>
  </si>
  <si>
    <t xml:space="preserve">110 JACKDAW LN </t>
  </si>
  <si>
    <t>HOWARD, MIKE L  et al</t>
  </si>
  <si>
    <t>SPRING CREEK  1A LT 17 BLK A</t>
  </si>
  <si>
    <t>7015 FREEDOM DR</t>
  </si>
  <si>
    <t xml:space="preserve">VALENTI, SAM  </t>
  </si>
  <si>
    <t xml:space="preserve">7015 FREEDOM DR </t>
  </si>
  <si>
    <t>SPRING CREEK 1A LT 16 BLK A</t>
  </si>
  <si>
    <t>6975 FREEDOM DR</t>
  </si>
  <si>
    <t xml:space="preserve">DURAN, ERIC A </t>
  </si>
  <si>
    <t>SPRING CREEK 1A LT 12 BLK A</t>
  </si>
  <si>
    <t>6935 FREEDOM DR</t>
  </si>
  <si>
    <t xml:space="preserve">MURILLO-AMARO , ANTONIO </t>
  </si>
  <si>
    <t xml:space="preserve">6935 FREEDOM DR </t>
  </si>
  <si>
    <t>SPRING CREEK 1A LT 9 BLK A</t>
  </si>
  <si>
    <t>6925 FREEDOM DR</t>
  </si>
  <si>
    <t xml:space="preserve">GIBBONS, JUDEE S </t>
  </si>
  <si>
    <t>SPRING CREEK 1A LT 8 BLK A</t>
  </si>
  <si>
    <t>105 MAY DR</t>
  </si>
  <si>
    <t xml:space="preserve">MCILVAIN, JUSTIN A &amp; GUADALUPE  </t>
  </si>
  <si>
    <t xml:space="preserve">105 MAY DR </t>
  </si>
  <si>
    <t>SPRING CREEK 1A LT 1 BLK B</t>
  </si>
  <si>
    <t>7000 FREEDOM DR</t>
  </si>
  <si>
    <t>7000 FREEDOM  DR</t>
  </si>
  <si>
    <t>SPRING CREEK 1A LT 7 BLK B</t>
  </si>
  <si>
    <t>6960 SUNKIST DR</t>
  </si>
  <si>
    <t xml:space="preserve">BECK, ALBERT JR  </t>
  </si>
  <si>
    <t xml:space="preserve">GALL, GREGORY J </t>
  </si>
  <si>
    <t>SPRING CREEK SUB UNIT 1-A LOT 6 BLK C</t>
  </si>
  <si>
    <t>6970 SUNKIST DR</t>
  </si>
  <si>
    <t xml:space="preserve">COPLEY, CAROLE J  </t>
  </si>
  <si>
    <t xml:space="preserve">SPARKS AFFORDABLE HOUSING TRST  </t>
  </si>
  <si>
    <t>SPRING CREEK 1A  LT 7 BLK C</t>
  </si>
  <si>
    <t>500 WHITEHORSE AVE</t>
  </si>
  <si>
    <t>MESA MOBILE MANORS UNIT 1</t>
  </si>
  <si>
    <t>ZAMORA, MARIA E BUYER</t>
  </si>
  <si>
    <t>500 WHITE HORSE AVE</t>
  </si>
  <si>
    <t>MESA MOBILE MANORS 1 LT 15</t>
  </si>
  <si>
    <t>6890 PAH RAH DR</t>
  </si>
  <si>
    <t xml:space="preserve">UMBACH, KEITH D </t>
  </si>
  <si>
    <t>SPRING CREEK 1B LT 10 BLK A</t>
  </si>
  <si>
    <t>6950 PAH RAH DR</t>
  </si>
  <si>
    <t>MUNSON, COTY D et al</t>
  </si>
  <si>
    <t>ROBERTS JESSICA L</t>
  </si>
  <si>
    <t>SPRING CREEK 1B LT 4 BLK A</t>
  </si>
  <si>
    <t>6935 PAH RAH DR</t>
  </si>
  <si>
    <t xml:space="preserve">SUFFICOOL, KEITH M  </t>
  </si>
  <si>
    <t xml:space="preserve">6935 PAH RAH DR </t>
  </si>
  <si>
    <t>SPRING CREEK 1B LT 22 BLK C</t>
  </si>
  <si>
    <t>6825 EVENING STAR DR</t>
  </si>
  <si>
    <t xml:space="preserve">LAUGHLIN , DEREK D  </t>
  </si>
  <si>
    <t>OLSON, LINDSEY N et al</t>
  </si>
  <si>
    <t>SPRING CREEK 1B LT 12 BLK C</t>
  </si>
  <si>
    <t>6745 EVENING STAR DR</t>
  </si>
  <si>
    <t>SPRING CREEK SUB UT 1-B</t>
  </si>
  <si>
    <t xml:space="preserve">PATTON, SAVANAH A </t>
  </si>
  <si>
    <t>SPRING CREEK 1-B LT 17 BLK B</t>
  </si>
  <si>
    <t>6740 EVENING STAR DR</t>
  </si>
  <si>
    <t xml:space="preserve">VALDES, EBLIN </t>
  </si>
  <si>
    <t>SPRING CREEK 1B LT 11 BLK B</t>
  </si>
  <si>
    <t>6790 EVENING STAR DR</t>
  </si>
  <si>
    <t>MCELVAIN, RAYMOND J et al</t>
  </si>
  <si>
    <t>SPRING CREEK 1B LT 6 BLK B</t>
  </si>
  <si>
    <t>6825 CANOE HILL DR</t>
  </si>
  <si>
    <t xml:space="preserve">WOOD, RONALD J &amp; SANDRA K </t>
  </si>
  <si>
    <t>SPRING CREEK SUB UT NO 2A LT 26 BLK B</t>
  </si>
  <si>
    <t>6730 CANOE HILL DR</t>
  </si>
  <si>
    <t xml:space="preserve">GORBERT, DAVID I </t>
  </si>
  <si>
    <t xml:space="preserve">MELTON, SHARON </t>
  </si>
  <si>
    <t>SPRING CREEK 2A LT 7 BLK E</t>
  </si>
  <si>
    <t>6740 CANOE HILL DR</t>
  </si>
  <si>
    <t xml:space="preserve">TAYLOR, JESSICA M </t>
  </si>
  <si>
    <t>6740 CANYON HILL DR</t>
  </si>
  <si>
    <t>SPRING CREEK 2A LT 6 BLK E</t>
  </si>
  <si>
    <t>310 BLUE SKIES DR</t>
  </si>
  <si>
    <t>PADILLA, DARRELL P et al</t>
  </si>
  <si>
    <t>SPRING CREEK 2D LT 11 BLK A</t>
  </si>
  <si>
    <t>25 SHADY VIEW CT</t>
  </si>
  <si>
    <t xml:space="preserve">SUNDERLAND, JACOB W &amp; LAUREN L </t>
  </si>
  <si>
    <t xml:space="preserve">MEMBRADO, ORLANDO &amp; JACQUELINE A </t>
  </si>
  <si>
    <t>SPRING CREEK 2D LT 14 BLK A</t>
  </si>
  <si>
    <t>6610 CANOE HILL DR</t>
  </si>
  <si>
    <t xml:space="preserve">MARSHEK, AARON &amp; MELISSA </t>
  </si>
  <si>
    <t>RANGEL, JUAN A et al</t>
  </si>
  <si>
    <t>SPRING CREEK 2A LT 18 BLK E</t>
  </si>
  <si>
    <t>510 SUMMERHILL DR</t>
  </si>
  <si>
    <t>RODRIGUEZ, MARIA et al</t>
  </si>
  <si>
    <t xml:space="preserve">DACHA, TYLER A </t>
  </si>
  <si>
    <t>JUNIPER HEIGHTS 1 LT 50 BLK F</t>
  </si>
  <si>
    <t>540 STOCKADE DR</t>
  </si>
  <si>
    <t>P O BOX 3271</t>
  </si>
  <si>
    <t>JUNIPER HEIGHTS 1 LT 47 BLK F</t>
  </si>
  <si>
    <t>595 STOCKADE DR</t>
  </si>
  <si>
    <t xml:space="preserve">POGGIONE, ANDREA </t>
  </si>
  <si>
    <t>JUNIPER HEIGHTS 1 LT 36 BLK D</t>
  </si>
  <si>
    <t>570 SUMMERHILL DR</t>
  </si>
  <si>
    <t xml:space="preserve">SUN VALLEY HOUSING TRUST  </t>
  </si>
  <si>
    <t>JUNIPER HEIGHTS 1 LT 31 BLK D</t>
  </si>
  <si>
    <t>505 SUMMERHILL DR</t>
  </si>
  <si>
    <t xml:space="preserve">GARCIA-QUINTERO, HUMBERTO JR </t>
  </si>
  <si>
    <t>JUNIPER HEIGHTS 1 LT 11 BLK B</t>
  </si>
  <si>
    <t>5114 VALLEY HI DR</t>
  </si>
  <si>
    <t xml:space="preserve">GRUBBS, REBECCA K  </t>
  </si>
  <si>
    <t xml:space="preserve">5114 VALLEY HI DR </t>
  </si>
  <si>
    <t>JUNIPER HEIGHTS 2 LT 77 BLK G</t>
  </si>
  <si>
    <t>5120 VALLEY HI DR</t>
  </si>
  <si>
    <t xml:space="preserve">MCDONOUGH, JAMES &amp; RACHEL </t>
  </si>
  <si>
    <t>JUNIPER HEIGHTS UT 2A LT 75 BLK G</t>
  </si>
  <si>
    <t>5189 VALLEY HI DR</t>
  </si>
  <si>
    <t>JUNIPER HEIGHTS 2B</t>
  </si>
  <si>
    <t xml:space="preserve">NEVADA TRUST 5189 VALLEY HI  </t>
  </si>
  <si>
    <t>C/O JOHN R LILLY TRUSTEE</t>
  </si>
  <si>
    <t>785 MILES AVE</t>
  </si>
  <si>
    <t xml:space="preserve">SANTA MARIA </t>
  </si>
  <si>
    <t>93455</t>
  </si>
  <si>
    <t>JUNIPER HEIGHTS 2B LT 89 BLK H</t>
  </si>
  <si>
    <t>7230 PAH RAH DR</t>
  </si>
  <si>
    <t>SPRING CREEK 3-A</t>
  </si>
  <si>
    <t>HOLDEN, JASON E et al</t>
  </si>
  <si>
    <t>AYERS-HOLDEN AMANDA</t>
  </si>
  <si>
    <t>SPRING CREEK 3A LT 13 BLK D</t>
  </si>
  <si>
    <t>45 WINTER STORM CT</t>
  </si>
  <si>
    <t xml:space="preserve">DRAPER, LARRY D </t>
  </si>
  <si>
    <t>SPRING CREEK 3A LT 33 BLK B</t>
  </si>
  <si>
    <t>25 WINTER STORM CT</t>
  </si>
  <si>
    <t xml:space="preserve">EUBANKS, LUTHER &amp; BONNIE </t>
  </si>
  <si>
    <t>SPRING CREEK UNIT 3A  LT 35 BLK B</t>
  </si>
  <si>
    <t xml:space="preserve">BORJA, JOSE L R </t>
  </si>
  <si>
    <t xml:space="preserve">504 DENSLOWE DR                         </t>
  </si>
  <si>
    <t>SPRING CREEK SUB UNIT 3A LOT 49 BLK B</t>
  </si>
  <si>
    <t>60 STORMY CT</t>
  </si>
  <si>
    <t xml:space="preserve">MENDEZ-GONZALEZ, BYRON A </t>
  </si>
  <si>
    <t>GIBSON, BILLY L JR et al</t>
  </si>
  <si>
    <t>SPRING CREEK 3A LT 51 BLK B</t>
  </si>
  <si>
    <t>7100 LINDSEY LN</t>
  </si>
  <si>
    <t xml:space="preserve">YU, WEI Z &amp; LILLIAN J  </t>
  </si>
  <si>
    <t xml:space="preserve">5548 JUNCTION PEAK DR </t>
  </si>
  <si>
    <t>SPRING CREEK SUB UNIT 3-A LOT 1 BLK B</t>
  </si>
  <si>
    <t>7395 PAH RAH DR</t>
  </si>
  <si>
    <t>SPRING CREEK SUB UNIT 3B</t>
  </si>
  <si>
    <t>ALLEN, RICHARD N  et al</t>
  </si>
  <si>
    <t xml:space="preserve">7395 PAH RAH DR </t>
  </si>
  <si>
    <t xml:space="preserve">LANCOUR, RYAN </t>
  </si>
  <si>
    <t>083-060-74</t>
  </si>
  <si>
    <t>SPRING CREEK 3-B LT 2 BLK B</t>
  </si>
  <si>
    <t>7365 PANAMA CT</t>
  </si>
  <si>
    <t xml:space="preserve">ULRICH FAMILY TRUST  </t>
  </si>
  <si>
    <t xml:space="preserve">DEMAY, CHRISTOPHER R &amp; KRISTEN N </t>
  </si>
  <si>
    <t>SPRING CREEK 3C LT 20 BLK A</t>
  </si>
  <si>
    <t>70 SHADY VIEW CT</t>
  </si>
  <si>
    <t xml:space="preserve">DECASTRO , TERESITA A  </t>
  </si>
  <si>
    <t xml:space="preserve">70 SHADY VIEW CT </t>
  </si>
  <si>
    <t>SPRING CREEK 2E LT 1 BLK G</t>
  </si>
  <si>
    <t>SPRING CREEK  2E</t>
  </si>
  <si>
    <t>SPRING CREEK  2E LT 4 BLK G</t>
  </si>
  <si>
    <t>430 BLUE SKIES DR</t>
  </si>
  <si>
    <t xml:space="preserve">BONANO, JEFFREY M  </t>
  </si>
  <si>
    <t xml:space="preserve">430 BLUE SKIES DR </t>
  </si>
  <si>
    <t>KRISTIANSEN, ALLAN S et al</t>
  </si>
  <si>
    <t>SPRING CREEK 2F LT 13 BLK G</t>
  </si>
  <si>
    <t>6610 APRIL ST</t>
  </si>
  <si>
    <t xml:space="preserve">BESSETTE, NOAH </t>
  </si>
  <si>
    <t xml:space="preserve">ORMSBEE, RODNEY K &amp; DEANN J </t>
  </si>
  <si>
    <t>SPRING CREEK 2F LT 27 BLK F</t>
  </si>
  <si>
    <t>6645 APRIL ST</t>
  </si>
  <si>
    <t xml:space="preserve">KROLL, BRIAN T &amp; MINDY E </t>
  </si>
  <si>
    <t xml:space="preserve">CAMPOS, EDGAR &amp; JULIE </t>
  </si>
  <si>
    <t>SPRING CREEK 2F LT 27 BLK E</t>
  </si>
  <si>
    <t>480 BLUE SKIES DR</t>
  </si>
  <si>
    <t xml:space="preserve">STONEBURNER, SUSAN  </t>
  </si>
  <si>
    <t xml:space="preserve">480 BLUE SKIES DR </t>
  </si>
  <si>
    <t>SPRING CREEK 2G LT 18 BLK C</t>
  </si>
  <si>
    <t>520 BLUE SKIES DR</t>
  </si>
  <si>
    <t xml:space="preserve">CALDERA, ROSAURA G </t>
  </si>
  <si>
    <t>083-811-08</t>
  </si>
  <si>
    <t>SPRING CREEK 2G LT 22 BLK C</t>
  </si>
  <si>
    <t>6850 HIBISCUS CT</t>
  </si>
  <si>
    <t xml:space="preserve">HIBISCUS COURT TRUST  </t>
  </si>
  <si>
    <t>C/O EDWIN SILVERMAN TRUSTEE</t>
  </si>
  <si>
    <t>5250 NEIL RD # 100</t>
  </si>
  <si>
    <t xml:space="preserve">RAWLINGS, THOMAS L &amp; MICHELLE L </t>
  </si>
  <si>
    <t>SPRING CREEK SUB UNIT 2G LOT 40 BLK D</t>
  </si>
  <si>
    <t>7570 PAH RAH DR</t>
  </si>
  <si>
    <t>SPRING CREEK SUB UNIT 3E</t>
  </si>
  <si>
    <t xml:space="preserve">COULTER, AGNES G </t>
  </si>
  <si>
    <t xml:space="preserve">BETZ FAMILY TRUST, JAY  </t>
  </si>
  <si>
    <t>SPRING CREEK SUB UNIT 3E LOT 12 BLK D</t>
  </si>
  <si>
    <t>45 JORDYN CT</t>
  </si>
  <si>
    <t xml:space="preserve">REESE, CHARITY F </t>
  </si>
  <si>
    <t>SPRING CREEK 3E LT 43 BLK A</t>
  </si>
  <si>
    <t>20 ROXY CT</t>
  </si>
  <si>
    <t xml:space="preserve">MILLER, DAVID C </t>
  </si>
  <si>
    <t xml:space="preserve">ROBLES, GUADALUPE P </t>
  </si>
  <si>
    <t>SPRING CREEK 3E LT 40 BLK A</t>
  </si>
  <si>
    <t xml:space="preserve">40 BLUE SKIES CT </t>
  </si>
  <si>
    <t>20 SAGE CREEK CT</t>
  </si>
  <si>
    <t>TAGULAO, EDWARD D  et al</t>
  </si>
  <si>
    <t xml:space="preserve">20 SAGE CREEK CT </t>
  </si>
  <si>
    <t xml:space="preserve">GILBERTSON, BRIAN </t>
  </si>
  <si>
    <t>SPRING CREEK 2H LT 9 BLK H</t>
  </si>
  <si>
    <t>605 BLUE SKIES DR</t>
  </si>
  <si>
    <t xml:space="preserve">BLANTON TRUST, JERRY G   </t>
  </si>
  <si>
    <t xml:space="preserve">605 BLUE SKIES DR </t>
  </si>
  <si>
    <t xml:space="preserve">BLANTON, JERRY G  </t>
  </si>
  <si>
    <t>SPRING CREEK 2H LT 7 BLK H</t>
  </si>
  <si>
    <t>575 BLUE SKIES DR</t>
  </si>
  <si>
    <t xml:space="preserve">ANDREWS, DAVID B </t>
  </si>
  <si>
    <t>SEDANO, JUAN J et al</t>
  </si>
  <si>
    <t>SPRING CREEK 2H LT 4 BLK H</t>
  </si>
  <si>
    <t>6770 PAH RAH DR</t>
  </si>
  <si>
    <t xml:space="preserve">SYMONDS, KATHY </t>
  </si>
  <si>
    <t>PO BOX 1250</t>
  </si>
  <si>
    <t>SOULSBYVILLE</t>
  </si>
  <si>
    <t>95372</t>
  </si>
  <si>
    <t>SPRING CREEK 2H LT 5 BLK D</t>
  </si>
  <si>
    <t>12650 E INTERSTATE 80</t>
  </si>
  <si>
    <t xml:space="preserve">DEBORD LIVING TRUST  </t>
  </si>
  <si>
    <t>CURTIS L &amp; MARY J DEBORD TRUSTEE</t>
  </si>
  <si>
    <t>12301 E INTERSTATE 80</t>
  </si>
  <si>
    <t>FR SEC 2 TWP 19 RGE 21</t>
  </si>
  <si>
    <t>LABZ</t>
  </si>
  <si>
    <t xml:space="preserve">TAHOE-RENO INDUSTRIAL CENTER </t>
  </si>
  <si>
    <t>FR SW4 SEC 2 TWP 19 RGE 21</t>
  </si>
  <si>
    <t>FR NW4 NW4 SEC 11 TWP 19 RGE 21</t>
  </si>
  <si>
    <t xml:space="preserve"> LINCOLN HWY</t>
  </si>
  <si>
    <t>TOWN OF WADSWORTH ADJ</t>
  </si>
  <si>
    <t xml:space="preserve">HAMMOND, JAMES B  </t>
  </si>
  <si>
    <t xml:space="preserve">809 DIVOT DR </t>
  </si>
  <si>
    <t xml:space="preserve">FERNLEY </t>
  </si>
  <si>
    <t xml:space="preserve">SHEPPARD, KEVIN E  </t>
  </si>
  <si>
    <t>084-220-30</t>
  </si>
  <si>
    <t>TOWN OF WADSWORTH FR LT 3 BLK 9 &amp; PORTION OF STREE</t>
  </si>
  <si>
    <t>31700 CANTLON DR</t>
  </si>
  <si>
    <t>PM 3477</t>
  </si>
  <si>
    <t xml:space="preserve">TESTOLIN FAMILY 2007 TRUST  </t>
  </si>
  <si>
    <t>2850 WILCOX RANCH RD</t>
  </si>
  <si>
    <t xml:space="preserve">COMER, KEN &amp; PENNY </t>
  </si>
  <si>
    <t>084-282-21</t>
  </si>
  <si>
    <t>PM 3477 LT B</t>
  </si>
  <si>
    <t>8675 EAGLENEST RD</t>
  </si>
  <si>
    <t>PM 2713</t>
  </si>
  <si>
    <t xml:space="preserve">VANETTI, ROY  </t>
  </si>
  <si>
    <t xml:space="preserve">8675 EAGLENEST RD </t>
  </si>
  <si>
    <t xml:space="preserve">JIROUSEK, ROBERT A &amp; GENEVIEVE </t>
  </si>
  <si>
    <t>084-351-16</t>
  </si>
  <si>
    <t>PM 2713 LT 4</t>
  </si>
  <si>
    <t>8555 EAGLENEST RD</t>
  </si>
  <si>
    <t>PM 2922</t>
  </si>
  <si>
    <t xml:space="preserve">MILLER, BROCK M &amp; SHANA </t>
  </si>
  <si>
    <t xml:space="preserve">LOUDENBURG, RONALD J &amp; MARY J </t>
  </si>
  <si>
    <t>084-351-07</t>
  </si>
  <si>
    <t>PM 2922 LOT 2</t>
  </si>
  <si>
    <t>8875 EAGLENEST RD</t>
  </si>
  <si>
    <t>PM 3010</t>
  </si>
  <si>
    <t xml:space="preserve">TAYLOR, WAYNE P &amp; TRACY M </t>
  </si>
  <si>
    <t>1017 W BENSON AVE</t>
  </si>
  <si>
    <t xml:space="preserve">TOBIN, PETER J &amp; DEBORAH </t>
  </si>
  <si>
    <t>084-351-01</t>
  </si>
  <si>
    <t>PM 3010 LT 2</t>
  </si>
  <si>
    <t>485 DISPENSIA ST</t>
  </si>
  <si>
    <t>STAMPMILL EST 2B</t>
  </si>
  <si>
    <t xml:space="preserve">DUNCAN LIVING TRUST, MICHAEL J  </t>
  </si>
  <si>
    <t>PO BOX 203</t>
  </si>
  <si>
    <t>LOOKOUT</t>
  </si>
  <si>
    <t xml:space="preserve">DUNCAN, MICHAEL </t>
  </si>
  <si>
    <t>STAMPMILL EST 2B LT 4 BLK B</t>
  </si>
  <si>
    <t>4349 DIAMONDBACK CT</t>
  </si>
  <si>
    <t xml:space="preserve">NGUYEN, LY U </t>
  </si>
  <si>
    <t>HIGHLANDS AT CIMARRON EAST 1 LT 108</t>
  </si>
  <si>
    <t>4369 DIAMONDBACK CT</t>
  </si>
  <si>
    <t xml:space="preserve">BELL, DONALD S &amp; PATRICIA B </t>
  </si>
  <si>
    <t>HIGHLANDS AT CIMARRON EAST 1 LT 107</t>
  </si>
  <si>
    <t>4390 DIAMONDBACK CT</t>
  </si>
  <si>
    <t xml:space="preserve">SLAUGHTER REVOCABLE TRUST, VICTOR &amp; KATHLEEN  </t>
  </si>
  <si>
    <t>4390 DIAMOND BACK CT</t>
  </si>
  <si>
    <t xml:space="preserve">GIBBINS FAMILY REVOCABLE TRUST </t>
  </si>
  <si>
    <t>HIGHLANDS AT CIMARRON EAST 1 LT 105</t>
  </si>
  <si>
    <t>4350 DIAMONDBACK CT</t>
  </si>
  <si>
    <t xml:space="preserve">LIETZ REVOCABLE TRUST, PATRICIA R &amp; WILLIAM E  </t>
  </si>
  <si>
    <t xml:space="preserve">LIETZ, WILLIAM E &amp; PATRICIA R </t>
  </si>
  <si>
    <t>HIGHLANDS AT CIMARRON EAST 1 LT 103</t>
  </si>
  <si>
    <t>4348 COPPERHEAD CT</t>
  </si>
  <si>
    <t xml:space="preserve">PETRU, NANCY </t>
  </si>
  <si>
    <t xml:space="preserve">AVERY, RANDI L </t>
  </si>
  <si>
    <t>HIGHLANDS AT CIMARRON EAST 1 LT 113</t>
  </si>
  <si>
    <t>7747 RUSTLER CT</t>
  </si>
  <si>
    <t xml:space="preserve">MARTINEZ, RICHARD E &amp; LEILIA M  </t>
  </si>
  <si>
    <t xml:space="preserve">21147 CIMARRON WAY </t>
  </si>
  <si>
    <t xml:space="preserve">SANTA CLARITA </t>
  </si>
  <si>
    <t>91390</t>
  </si>
  <si>
    <t xml:space="preserve">REIGLE, RONALD W &amp; CAROLYN M </t>
  </si>
  <si>
    <t>CIMMARRON EAST 2 LT 221</t>
  </si>
  <si>
    <t>4081 DESERT FOX DR</t>
  </si>
  <si>
    <t>DEPAUW, JOHN B &amp; LAURA L et al</t>
  </si>
  <si>
    <t>CIMMARRON EAST 2 LT 242</t>
  </si>
  <si>
    <t>7637 DESERT VISTA DR</t>
  </si>
  <si>
    <t xml:space="preserve">STEVENSON, MATTHEW N &amp; WENDI G  </t>
  </si>
  <si>
    <t xml:space="preserve">SLAVIK, JAROSLAV &amp; STEPHANIE F </t>
  </si>
  <si>
    <t>HIGHLANDS AT CIMMARON EAST 3 LT 326</t>
  </si>
  <si>
    <t>3720 DESERT FOX DR</t>
  </si>
  <si>
    <t xml:space="preserve">TIERNAN, FRANCIS M IV &amp; JOANNE M </t>
  </si>
  <si>
    <t xml:space="preserve">BURK, CORY J &amp; HOLLY N </t>
  </si>
  <si>
    <t>CIMARRON EAST 4 LT 417</t>
  </si>
  <si>
    <t>7434 DESERT PLAINS DR</t>
  </si>
  <si>
    <t xml:space="preserve">BIVENS, STEPHANIE M </t>
  </si>
  <si>
    <t xml:space="preserve">MITCHELL LIVING TRUST, DAVID W &amp; CAROL L  </t>
  </si>
  <si>
    <t>CIMARRON EAST 4 LT 427</t>
  </si>
  <si>
    <t>3733 BIG DIPPER CT</t>
  </si>
  <si>
    <t xml:space="preserve">KAISER, CURTIS D &amp; LAUREN R  </t>
  </si>
  <si>
    <t xml:space="preserve">3733 BIG DIPPER CT </t>
  </si>
  <si>
    <t>FOOTHILLS AT WINGFIELD VLG 1 LT 1-66</t>
  </si>
  <si>
    <t>3753 ARCTURAS CT</t>
  </si>
  <si>
    <t xml:space="preserve">ESCALERA FAMILY TRUST  </t>
  </si>
  <si>
    <t>RAMOS, JOSE I et al</t>
  </si>
  <si>
    <t>FOOTHILLS AT WINGFIELD VLG 1 LT 1-49</t>
  </si>
  <si>
    <t>7393 EUROPA DR</t>
  </si>
  <si>
    <t xml:space="preserve">PEREZ, DEBRA </t>
  </si>
  <si>
    <t>FOOTHILLS AT WINGFIELD VLG 1 LT 1-22</t>
  </si>
  <si>
    <t>7353 ULYSSES DR</t>
  </si>
  <si>
    <t xml:space="preserve">CURD FAMILY REV TRUST , STEPHEN B &amp; MARSHA A   </t>
  </si>
  <si>
    <t xml:space="preserve">GONCZE, ZOLTAN &amp; ANDREA </t>
  </si>
  <si>
    <t>FOOTHILLS AT WINGFIELD VLG 1 LT 1-3</t>
  </si>
  <si>
    <t>FOOTHILLS WINGFIELD VILLAGE 1</t>
  </si>
  <si>
    <t>3741 MYTHICAL CT</t>
  </si>
  <si>
    <t>FOOTHILLS AT WINGFIELD VLG 2</t>
  </si>
  <si>
    <t xml:space="preserve">WELCH, CHARLES B &amp; COLEEN </t>
  </si>
  <si>
    <t>084-270-52</t>
  </si>
  <si>
    <t>FOOTHILLS AT WINGFIELD VLG 2 LT 2-96</t>
  </si>
  <si>
    <t>3761 MYTHICAL CT</t>
  </si>
  <si>
    <t>MINARD, SHAWN J &amp; JENNIFER M  et al</t>
  </si>
  <si>
    <t xml:space="preserve">3761 MYTHICAL CT </t>
  </si>
  <si>
    <t xml:space="preserve">RYDER-DUDA II LLC </t>
  </si>
  <si>
    <t>FOOTHILLS AT WINGFIELD VLG 2 LT 2-97</t>
  </si>
  <si>
    <t>3781 MYTHICAL CT</t>
  </si>
  <si>
    <t xml:space="preserve">PERDUE FAMILY TRUST, MARK A &amp; VERA Y  </t>
  </si>
  <si>
    <t>MARK A &amp; VERA Y PERDUE TRUSTEES</t>
  </si>
  <si>
    <t>3311 SKYLINE BLVD</t>
  </si>
  <si>
    <t xml:space="preserve">PERDUE, MARK A &amp; VERA Y </t>
  </si>
  <si>
    <t>FOOTHILLS AT WINGFIELD VLG 2 LT 2-98</t>
  </si>
  <si>
    <t>3760 MYTHICAL CT</t>
  </si>
  <si>
    <t xml:space="preserve">HUDSON, JAMES L &amp; KATHY L  </t>
  </si>
  <si>
    <t xml:space="preserve">3760 MYTHICAL CT </t>
  </si>
  <si>
    <t>FOOTHILLS AT WINGFIELD VLG 2 LT 2-99</t>
  </si>
  <si>
    <t>3740 MYTHICAL CT</t>
  </si>
  <si>
    <t xml:space="preserve">MURRAY, DUGAN J &amp; NICHOLE J </t>
  </si>
  <si>
    <t>FOOTHILLS AT WINGFIELD VLG 2 LT 2-100</t>
  </si>
  <si>
    <t>181 E 1ST AVE</t>
  </si>
  <si>
    <t>SUN VALLEY FR</t>
  </si>
  <si>
    <t xml:space="preserve">HACKWORTH , SHAYNE  </t>
  </si>
  <si>
    <t xml:space="preserve">HUFFMAN FAMILY TRUST, GENE &amp; MARY  </t>
  </si>
  <si>
    <t>SUN VALLEY FR LT 13 BLK B</t>
  </si>
  <si>
    <t>5215 LEON DR</t>
  </si>
  <si>
    <t xml:space="preserve">SUN VALLEY  </t>
  </si>
  <si>
    <t xml:space="preserve">ORTEGA, OSUKI A </t>
  </si>
  <si>
    <t>SUN VALLEY FR LT 5 BLK C</t>
  </si>
  <si>
    <t>5249 LUPIN DR</t>
  </si>
  <si>
    <t xml:space="preserve">DER MANUELIAN, NOELA S </t>
  </si>
  <si>
    <t xml:space="preserve">5249 LUPIN DR </t>
  </si>
  <si>
    <t>BRUCE 3 LT 15</t>
  </si>
  <si>
    <t>424 E GEPFORD PKWY</t>
  </si>
  <si>
    <t xml:space="preserve">KISSELBURG TRUST, RUTH O   </t>
  </si>
  <si>
    <t>FR NE4 SE4 SEC 19 TWP 20 RGE 20</t>
  </si>
  <si>
    <t>5264 LEON DR</t>
  </si>
  <si>
    <t>PM 1385</t>
  </si>
  <si>
    <t xml:space="preserve">FLORES, SILVIA R </t>
  </si>
  <si>
    <t>PM 1385 LT 2</t>
  </si>
  <si>
    <t>410 E GEPFORD PKWY</t>
  </si>
  <si>
    <t>PM 1590</t>
  </si>
  <si>
    <t xml:space="preserve">WEBB, TIMOTHY M </t>
  </si>
  <si>
    <t xml:space="preserve">MARINA VIEW CORPORATION </t>
  </si>
  <si>
    <t>PM 1590 LT A</t>
  </si>
  <si>
    <t>396 E GEPFORD PKWY</t>
  </si>
  <si>
    <t xml:space="preserve">SABILLON, KEVIN L M </t>
  </si>
  <si>
    <t>PM 2399 LT B</t>
  </si>
  <si>
    <t>320 SOLAR CT</t>
  </si>
  <si>
    <t>GURLEY, WILLIAM &amp; LILLIAN et al</t>
  </si>
  <si>
    <t xml:space="preserve">330 SOLAR CT </t>
  </si>
  <si>
    <t xml:space="preserve">R &amp; L NEVADA HOLDINGS LLC </t>
  </si>
  <si>
    <t>PM 4737 LT 1</t>
  </si>
  <si>
    <t>330 SOLAR CT</t>
  </si>
  <si>
    <t>PM 4737 LT 2</t>
  </si>
  <si>
    <t>5220 SOLAR CT S</t>
  </si>
  <si>
    <t>PM 4738</t>
  </si>
  <si>
    <t xml:space="preserve">COLEMAN, ALLEN R </t>
  </si>
  <si>
    <t>7319 TUSTIN RD</t>
  </si>
  <si>
    <t>PRUNEDALE</t>
  </si>
  <si>
    <t>085-081-29</t>
  </si>
  <si>
    <t>PM 4738 LT 4-C</t>
  </si>
  <si>
    <t>5260 LUPIN DR</t>
  </si>
  <si>
    <t xml:space="preserve">SEATON, VIOLET </t>
  </si>
  <si>
    <t>BRUCE 3 LT 4</t>
  </si>
  <si>
    <t>5345 SLOPE DR</t>
  </si>
  <si>
    <t>SUN VALLEY 3</t>
  </si>
  <si>
    <t xml:space="preserve">CRUZ, ARMANDO </t>
  </si>
  <si>
    <t>085-102-69</t>
  </si>
  <si>
    <t>SUN VALLEY 3 LT 5 ADJ  RS 3886</t>
  </si>
  <si>
    <t>5360 SLOPE DR</t>
  </si>
  <si>
    <t>MCCARTHY, DAWN et al</t>
  </si>
  <si>
    <t>SUN VALLEY 3 FR LT 7 BLK D</t>
  </si>
  <si>
    <t>5456 SIDEHILL DR</t>
  </si>
  <si>
    <t>PM 1459</t>
  </si>
  <si>
    <t xml:space="preserve">OWENS, CASEY </t>
  </si>
  <si>
    <t xml:space="preserve">WALKER, JOHN S &amp; KELLI J </t>
  </si>
  <si>
    <t>PM 1459 LT C</t>
  </si>
  <si>
    <t>285 W 4TH AVE</t>
  </si>
  <si>
    <t>PM 2546</t>
  </si>
  <si>
    <t xml:space="preserve">MCLEOD, STAN </t>
  </si>
  <si>
    <t>6417 HICKORY AVE</t>
  </si>
  <si>
    <t>085-112-01</t>
  </si>
  <si>
    <t>PM 2546 LT A</t>
  </si>
  <si>
    <t>5382 FRANS CT</t>
  </si>
  <si>
    <t xml:space="preserve">TICAS-RODAS, HORTENCIA M </t>
  </si>
  <si>
    <t xml:space="preserve">GREWING FAMILY TRUST  </t>
  </si>
  <si>
    <t>HEATHER LT 5 BLK A</t>
  </si>
  <si>
    <t>5390 FRANS CT</t>
  </si>
  <si>
    <t xml:space="preserve">SIEVER, JOHN R &amp; SANDY L </t>
  </si>
  <si>
    <t>1123 CALVADOS DR</t>
  </si>
  <si>
    <t>HEATHER LT 1 BLK A</t>
  </si>
  <si>
    <t>5370 CORRAL DR</t>
  </si>
  <si>
    <t xml:space="preserve">RIVERA, REINA M </t>
  </si>
  <si>
    <t xml:space="preserve">BURTON, RONALD F &amp; HARRIETT L </t>
  </si>
  <si>
    <t>SUN DANCE RIDGE LT 3 BLK A</t>
  </si>
  <si>
    <t>5380 CORRAL DR</t>
  </si>
  <si>
    <t xml:space="preserve">VILLANUEVA-PORRAS, RAMON A </t>
  </si>
  <si>
    <t>SUN DANCE RIDGE LT 2 BLK A</t>
  </si>
  <si>
    <t>315 CALIFORNIA AVE # 222</t>
  </si>
  <si>
    <t>ROBERTS, TRISHA A  et al</t>
  </si>
  <si>
    <t>534 GLENMYRA CIR</t>
  </si>
  <si>
    <t>BERNAL, ISAIAS C  et al</t>
  </si>
  <si>
    <t xml:space="preserve">CORDOVA MARIA S </t>
  </si>
  <si>
    <t xml:space="preserve">COUCH, DONALD L </t>
  </si>
  <si>
    <t>BRUCE LT 15</t>
  </si>
  <si>
    <t>519 GLENMYRA CIR</t>
  </si>
  <si>
    <t xml:space="preserve">SALAZAR, JOSE Z &amp; MARIA I </t>
  </si>
  <si>
    <t xml:space="preserve">MAYLAND LIVING TRUST, RUTH   </t>
  </si>
  <si>
    <t>SUN VALLEY  6 FR LT 1 BLK C</t>
  </si>
  <si>
    <t>513 GLENMYRA CIR</t>
  </si>
  <si>
    <t>HERNANDEZ-RAMOS, ROGELIO et al</t>
  </si>
  <si>
    <t>HERNANDEZ MARIA D C</t>
  </si>
  <si>
    <t xml:space="preserve">LAURAS LOVELIES LLC </t>
  </si>
  <si>
    <t>SUN VALLEY 6 LT 1 BLK C</t>
  </si>
  <si>
    <t>366 E 4TH AVE</t>
  </si>
  <si>
    <t>SUN VALLEY SUB NO 2 FR</t>
  </si>
  <si>
    <t xml:space="preserve">LACKIE , PAUL &amp; LOUISE  </t>
  </si>
  <si>
    <t>SUN VALLEY SUB NO 2 FR LOT 1 BLK 2</t>
  </si>
  <si>
    <t>5390 LEON DR</t>
  </si>
  <si>
    <t>PM 2265</t>
  </si>
  <si>
    <t xml:space="preserve">MEJIA, JESUS </t>
  </si>
  <si>
    <t xml:space="preserve">M &amp; I BANK FSB </t>
  </si>
  <si>
    <t>PM 2265 LT 2</t>
  </si>
  <si>
    <t>5340 CAROL DR</t>
  </si>
  <si>
    <t>PM 4074</t>
  </si>
  <si>
    <t xml:space="preserve">STARK, JERRY T III </t>
  </si>
  <si>
    <t>085-154-63</t>
  </si>
  <si>
    <t>PM 4074 LT 1</t>
  </si>
  <si>
    <t>5335 CAROL DR</t>
  </si>
  <si>
    <t>SUN VALLEY 2 FR</t>
  </si>
  <si>
    <t>SUN VALLEY 2 FR LT 5 BLK 4</t>
  </si>
  <si>
    <t>5379 CAROL DR</t>
  </si>
  <si>
    <t>PM 293</t>
  </si>
  <si>
    <t>HERNANDEZ-FLORES, VICTOR M et al</t>
  </si>
  <si>
    <t>HERNANDEZ DILCIA A</t>
  </si>
  <si>
    <t xml:space="preserve">WHITTLESEY, STEVEN C </t>
  </si>
  <si>
    <t>SUN VLY SUB-DIV #2 N2 FRAC</t>
  </si>
  <si>
    <t>545 E 2ND AVE</t>
  </si>
  <si>
    <t xml:space="preserve">SPEARMAN, JOHNNY L &amp; JOAN </t>
  </si>
  <si>
    <t xml:space="preserve">MCREYNOLDS, LELAND M &amp; LAURA </t>
  </si>
  <si>
    <t>BRUCE SUB NO 4 LT 4 BLK B</t>
  </si>
  <si>
    <t>475 CARNES CIR</t>
  </si>
  <si>
    <t>ACOSTA, FEDERICO  et al</t>
  </si>
  <si>
    <t xml:space="preserve">475 CARNES CIR </t>
  </si>
  <si>
    <t>BRUCE 4 LT 9 BLK F</t>
  </si>
  <si>
    <t>560 BIG KNOB DR</t>
  </si>
  <si>
    <t xml:space="preserve">AGUILAR, ROSENDO </t>
  </si>
  <si>
    <t>BRUCE 4 LT 2 BLK D</t>
  </si>
  <si>
    <t>5495 FLORA WAY</t>
  </si>
  <si>
    <t xml:space="preserve">LEIDER FAMILY TRUST  </t>
  </si>
  <si>
    <t>7825 ROSESTONE LN</t>
  </si>
  <si>
    <t xml:space="preserve">LEONHARDT LIVING TRUST  </t>
  </si>
  <si>
    <t>RIM ROCK EST LT 20</t>
  </si>
  <si>
    <t>115 W 6TH AVE</t>
  </si>
  <si>
    <t xml:space="preserve">PR  </t>
  </si>
  <si>
    <t xml:space="preserve">SUN VALLEY GENERAL IMPR DIST </t>
  </si>
  <si>
    <t>5000 SUN VALLEY BLVD</t>
  </si>
  <si>
    <t>CAYY</t>
  </si>
  <si>
    <t>5564 SLOPE DR</t>
  </si>
  <si>
    <t xml:space="preserve">HOLCOMB RESIDUAL TRUST, GROVE R   </t>
  </si>
  <si>
    <t>C/O FRANCIS J DOBROWSKI TTEE</t>
  </si>
  <si>
    <t>6280 S MCCARRAN BLVD # D2</t>
  </si>
  <si>
    <t>GARDNER, TOM W JR TTEE et al</t>
  </si>
  <si>
    <t>FR NW4 SE4 SEC 18 TWP 20 RGE 20</t>
  </si>
  <si>
    <t>152 WEWOKA WAY</t>
  </si>
  <si>
    <t>PM 2503</t>
  </si>
  <si>
    <t xml:space="preserve">MONJAR, THOMAS E </t>
  </si>
  <si>
    <t>CARVER, VERLENE et al</t>
  </si>
  <si>
    <t>085-241-22</t>
  </si>
  <si>
    <t>PM 2503 LT B</t>
  </si>
  <si>
    <t>5675 DUCLERCQUE WAY</t>
  </si>
  <si>
    <t>TRUCKEE MEADOWS MH EST 1</t>
  </si>
  <si>
    <t xml:space="preserve">GOMEZ, VICTOR M &amp; GRISELDA </t>
  </si>
  <si>
    <t>TRUCKEE MEADOWS MH EST 1 LT 8</t>
  </si>
  <si>
    <t>5665 DUCLERCQUE WAY</t>
  </si>
  <si>
    <t xml:space="preserve">TRUCKEE MDOWS DEV MH EST 1 </t>
  </si>
  <si>
    <t xml:space="preserve">ANDERSON, WILLIAM R &amp; MYRTLE J </t>
  </si>
  <si>
    <t>5665 DUCLERQUE WAY</t>
  </si>
  <si>
    <t>TRUCKEE MEADOWS DEV MH EST 1 LT 7</t>
  </si>
  <si>
    <t xml:space="preserve"> SUN VALLEY BLVD</t>
  </si>
  <si>
    <t xml:space="preserve">HIGHLAND STORES INC </t>
  </si>
  <si>
    <t xml:space="preserve">BI-RITE MARKET NO 4 </t>
  </si>
  <si>
    <t>FRAC NW4 OF NW4 OF SE4</t>
  </si>
  <si>
    <t>CAAQ</t>
  </si>
  <si>
    <t>5690 SUN VALLEY BLVD</t>
  </si>
  <si>
    <t>271 DIAMOND CIR</t>
  </si>
  <si>
    <t>GOLDEN</t>
  </si>
  <si>
    <t xml:space="preserve">TORRES, SONIA </t>
  </si>
  <si>
    <t xml:space="preserve">ANDERSON, MYRA M </t>
  </si>
  <si>
    <t>GOLDEN LT 15</t>
  </si>
  <si>
    <t>522 ALOHA WAY</t>
  </si>
  <si>
    <t>BRUCE SUB NO 2</t>
  </si>
  <si>
    <t>BOWMAN, DORIS M et al</t>
  </si>
  <si>
    <t>BRUCE 2 LT 22</t>
  </si>
  <si>
    <t>505 ALOHA WAY</t>
  </si>
  <si>
    <t xml:space="preserve">RODRIGUEZ, VICTOR H  </t>
  </si>
  <si>
    <t>6121 LAKESIDE DR #150</t>
  </si>
  <si>
    <t>BRUCE 2 LT 1</t>
  </si>
  <si>
    <t>525 ALOHA WAY</t>
  </si>
  <si>
    <t xml:space="preserve">ALLEN, JACQUE M  </t>
  </si>
  <si>
    <t xml:space="preserve">525 ALOHA WAY </t>
  </si>
  <si>
    <t xml:space="preserve">BELL, LINDA K </t>
  </si>
  <si>
    <t>BRUCE 2 LT 11</t>
  </si>
  <si>
    <t>340 QUARTZ LN</t>
  </si>
  <si>
    <t>PM 1595</t>
  </si>
  <si>
    <t xml:space="preserve">HAGER, SUSAN E </t>
  </si>
  <si>
    <t>6115 CHIMNEY DR</t>
  </si>
  <si>
    <t>PM 1595 LT 1</t>
  </si>
  <si>
    <t>5895 JOCELYN LN</t>
  </si>
  <si>
    <t>PM 1864</t>
  </si>
  <si>
    <t xml:space="preserve">FOSTER, ARTHUR J JR </t>
  </si>
  <si>
    <t>PM 1864 LOT 3A</t>
  </si>
  <si>
    <t>255 ELQUIST DR</t>
  </si>
  <si>
    <t>ELQUIST EST</t>
  </si>
  <si>
    <t xml:space="preserve">GARABITO, YEYSON F &amp; DUNLA K  </t>
  </si>
  <si>
    <t xml:space="preserve">255 ELQUIST DR </t>
  </si>
  <si>
    <t xml:space="preserve">LUBICH, JOHN I JR  </t>
  </si>
  <si>
    <t>ELQUIST EST LT 6</t>
  </si>
  <si>
    <t>241 COSTA DR</t>
  </si>
  <si>
    <t>FR SW4 NE4 NE4</t>
  </si>
  <si>
    <t xml:space="preserve">FLORES, GREGORIO V  </t>
  </si>
  <si>
    <t xml:space="preserve">HITT, JAYSON M </t>
  </si>
  <si>
    <t>FR SW4 NE4 NE4  SEC 18 TWP 20 RGE 20</t>
  </si>
  <si>
    <t>255 E 8TH AVE</t>
  </si>
  <si>
    <t>PM 2622</t>
  </si>
  <si>
    <t xml:space="preserve">VIEYRA, HONORIO Z </t>
  </si>
  <si>
    <t>085-390-34</t>
  </si>
  <si>
    <t>PM 2622 LT B</t>
  </si>
  <si>
    <t>226 PENELOPE DR</t>
  </si>
  <si>
    <t>CLARKSON 1</t>
  </si>
  <si>
    <t xml:space="preserve">ORTEGA, RAFAELA </t>
  </si>
  <si>
    <t>CLARKSON 1 LT 9</t>
  </si>
  <si>
    <t>5587 DAYSPRING LN</t>
  </si>
  <si>
    <t xml:space="preserve">TITTLE, PATRICIA E </t>
  </si>
  <si>
    <t>PERRY, DAVID J et al</t>
  </si>
  <si>
    <t>PM 3928 LT 1</t>
  </si>
  <si>
    <t>5590 LIL ABNER LN</t>
  </si>
  <si>
    <t xml:space="preserve">JERNBERG, PAUL M &amp; DESIRAE L </t>
  </si>
  <si>
    <t xml:space="preserve">MASKALY, MICHAEL &amp; DOROTHY P </t>
  </si>
  <si>
    <t>FR SW4 SE4 SEC 18 TWP 20 RGE 20</t>
  </si>
  <si>
    <t>5548 SUN VALLEY BLVD</t>
  </si>
  <si>
    <t>PM 2408</t>
  </si>
  <si>
    <t xml:space="preserve">BADILLO, JUAN </t>
  </si>
  <si>
    <t>6530 GALIC CT</t>
  </si>
  <si>
    <t>PM 2408 LT A</t>
  </si>
  <si>
    <t>120 DAISY MAE LN</t>
  </si>
  <si>
    <t xml:space="preserve">HERNANDEZ, ABEL M &amp; ENEDINA A  </t>
  </si>
  <si>
    <t xml:space="preserve">120 DAISY MAE LN </t>
  </si>
  <si>
    <t>PM 2408 LT B</t>
  </si>
  <si>
    <t>5815 PEARL DR</t>
  </si>
  <si>
    <t xml:space="preserve">ARELLANO, RIGOBERTO P &amp; ESPERENZA </t>
  </si>
  <si>
    <t>5500 LUPIN DR</t>
  </si>
  <si>
    <t xml:space="preserve">RUIZ, GERARDO </t>
  </si>
  <si>
    <t>085-461-57</t>
  </si>
  <si>
    <t>SUN VALLEY 5 FR LT 4 BLK B  (RS 3233)</t>
  </si>
  <si>
    <t>5725 ANNA MADALINE CIR</t>
  </si>
  <si>
    <t xml:space="preserve">CLENDENEN LIVING TRUST, RALPH J &amp; DORINE D  </t>
  </si>
  <si>
    <t>5730 CHORN LN</t>
  </si>
  <si>
    <t xml:space="preserve">OBERG, HEATHER </t>
  </si>
  <si>
    <t>FR SW4 NE4 SEC 18 TWP 20 RGE 20</t>
  </si>
  <si>
    <t>145 PENELOPE CT</t>
  </si>
  <si>
    <t>MISHLER</t>
  </si>
  <si>
    <t xml:space="preserve">MARTINEZ, JESUS  </t>
  </si>
  <si>
    <t xml:space="preserve">145 PENELOPE CT </t>
  </si>
  <si>
    <t xml:space="preserve">TORRES, SALVADOR &amp; HILSI S  </t>
  </si>
  <si>
    <t>MISHLER LT 6 BLK A</t>
  </si>
  <si>
    <t>140 PENELOPE CT</t>
  </si>
  <si>
    <t xml:space="preserve">MUNOZ, MARTIN DIAZ </t>
  </si>
  <si>
    <t xml:space="preserve">140 PENELOPE                </t>
  </si>
  <si>
    <t xml:space="preserve">SUN VALLEY        </t>
  </si>
  <si>
    <t>MISHLER LT 7 BLK A</t>
  </si>
  <si>
    <t>5753 APPLEGATE DR</t>
  </si>
  <si>
    <t xml:space="preserve">DE LA CRUZ, VICENTE  </t>
  </si>
  <si>
    <t xml:space="preserve">5753 APPLEGATE DR </t>
  </si>
  <si>
    <t>PARKWAY MH EST LT 21</t>
  </si>
  <si>
    <t>485 E 7TH AVE</t>
  </si>
  <si>
    <t xml:space="preserve">MARTINEZ, VIRGINIA </t>
  </si>
  <si>
    <t>5721 YUKON DR</t>
  </si>
  <si>
    <t>HARTWICK, THOMAS E L III et al</t>
  </si>
  <si>
    <t>SUN VALLEY 5 LT 12 BLK D</t>
  </si>
  <si>
    <t>195 STACI WAY</t>
  </si>
  <si>
    <t xml:space="preserve">HARNES, BRANDON J &amp; STEPHANIE G </t>
  </si>
  <si>
    <t>NORTH HAVEN PARK AMD LT 1 BLK A</t>
  </si>
  <si>
    <t>PM 837</t>
  </si>
  <si>
    <t>KRULPER, LEONARD M et al</t>
  </si>
  <si>
    <t>PHELPS REBECCA L</t>
  </si>
  <si>
    <t>PM 837 LT B</t>
  </si>
  <si>
    <t>5537 PEARL DR</t>
  </si>
  <si>
    <t>PM 4432</t>
  </si>
  <si>
    <t xml:space="preserve">PHELPS, NATHANIEL &amp; KRISTA E  </t>
  </si>
  <si>
    <t xml:space="preserve">5537 PEARL DR </t>
  </si>
  <si>
    <t>085-551-13</t>
  </si>
  <si>
    <t>PM 4432 LT 2</t>
  </si>
  <si>
    <t>5554 MARK CIR</t>
  </si>
  <si>
    <t xml:space="preserve">TORRES, DOMINGO JR &amp; ESTELA </t>
  </si>
  <si>
    <t>MARTINEZ, JIM et al</t>
  </si>
  <si>
    <t>SUN VALLEY 5 FR LT 6 BLK I</t>
  </si>
  <si>
    <t>5570 PEARL DR</t>
  </si>
  <si>
    <t>PM 151</t>
  </si>
  <si>
    <t xml:space="preserve">VILLARREAL , JOSE C &amp; MARICELA  </t>
  </si>
  <si>
    <t xml:space="preserve">5570 PEARL DR </t>
  </si>
  <si>
    <t>PM 151 LT C</t>
  </si>
  <si>
    <t>500 JAN MOR CT</t>
  </si>
  <si>
    <t>JAN MOR</t>
  </si>
  <si>
    <t xml:space="preserve">MARTIN , MENDA &amp; ARCHIE </t>
  </si>
  <si>
    <t xml:space="preserve">500 JAN MOR CT </t>
  </si>
  <si>
    <t>JAN MOR LT 12 BLK A</t>
  </si>
  <si>
    <t>535 JAN MOR CT</t>
  </si>
  <si>
    <t>JAN-MOR</t>
  </si>
  <si>
    <t>JAN-MOR LT 4 BLK A</t>
  </si>
  <si>
    <t>564 MORGAN CIR</t>
  </si>
  <si>
    <t>PM 2345</t>
  </si>
  <si>
    <t>UNDERWOOD, FRED W &amp; ANGELA L et al</t>
  </si>
  <si>
    <t>PM 2345 LOT 2</t>
  </si>
  <si>
    <t>5490 SLOPE DR</t>
  </si>
  <si>
    <t xml:space="preserve">SHEPHERD, HARRY </t>
  </si>
  <si>
    <t xml:space="preserve">5565 SHEPHERD CIR </t>
  </si>
  <si>
    <t xml:space="preserve">CLARK, MARY K </t>
  </si>
  <si>
    <t>5685 VANILLA CT</t>
  </si>
  <si>
    <t>PM 1519</t>
  </si>
  <si>
    <t xml:space="preserve">CEDOMIO, HERLINDA </t>
  </si>
  <si>
    <t>PM 1519 LT 1</t>
  </si>
  <si>
    <t>5653 VANILLA CT</t>
  </si>
  <si>
    <t xml:space="preserve">NEVAREZ, MARIA M </t>
  </si>
  <si>
    <t>PM 1519 LT 2</t>
  </si>
  <si>
    <t>5627 CHOCOLATE DR</t>
  </si>
  <si>
    <t>PM 1874</t>
  </si>
  <si>
    <t xml:space="preserve">POWNING, GREG &amp; SHEILA </t>
  </si>
  <si>
    <t>25 NIGHT OWL DR</t>
  </si>
  <si>
    <t>PM 1874 LT 4</t>
  </si>
  <si>
    <t>5600 N SHEPHERD CIR</t>
  </si>
  <si>
    <t>PM 2416</t>
  </si>
  <si>
    <t xml:space="preserve">ALEXANDER, DENNIS L &amp; NANCY </t>
  </si>
  <si>
    <t>PM 2416 LT C</t>
  </si>
  <si>
    <t>5540 WESTHILL CT</t>
  </si>
  <si>
    <t xml:space="preserve">FLORES, JOAQUINA R  </t>
  </si>
  <si>
    <t>REYES, OBDULIA P et al</t>
  </si>
  <si>
    <t>WESTERN HEIGHTS LT 5 BLK A</t>
  </si>
  <si>
    <t>5256 FLINTSTONE CIR</t>
  </si>
  <si>
    <t xml:space="preserve">SOUZA, EDWARD </t>
  </si>
  <si>
    <t>FR NW4 SW4 SEC 19 TWP 20 RGE 20</t>
  </si>
  <si>
    <t>195 W 5TH AVE</t>
  </si>
  <si>
    <t>FR W2 SW4 SE4 SW4</t>
  </si>
  <si>
    <t xml:space="preserve">LACK-MORENO, CHRISTINA </t>
  </si>
  <si>
    <t xml:space="preserve">195 W 5TH AVE </t>
  </si>
  <si>
    <t>EAST 150`  S 132`  W2  SW4 SE4 SW4 SEC 18 TWP 20 R</t>
  </si>
  <si>
    <t>5732 SIDEHILL DR</t>
  </si>
  <si>
    <t>FR NW4 SE4 NW4</t>
  </si>
  <si>
    <t>PETRIE, GEORGE A JR et al</t>
  </si>
  <si>
    <t>13920 EL ESPEJO RD</t>
  </si>
  <si>
    <t>LA MIRANDA</t>
  </si>
  <si>
    <t xml:space="preserve">DALBEN, ART </t>
  </si>
  <si>
    <t>FR NW4 SE4 NW4 SEC 18 TWP 20 RGE 20</t>
  </si>
  <si>
    <t>5721 JACOBSON WAY</t>
  </si>
  <si>
    <t>RS 2650</t>
  </si>
  <si>
    <t>LUENEBURG, BRIGITTE et al</t>
  </si>
  <si>
    <t>PO BOX 21073</t>
  </si>
  <si>
    <t>085-660-13</t>
  </si>
  <si>
    <t>R/S 2650 LT 6</t>
  </si>
  <si>
    <t>5260 SIDEHILL DR</t>
  </si>
  <si>
    <t>PM 52</t>
  </si>
  <si>
    <t xml:space="preserve">HERNANDEZ FAMILY TRUST, LELAND F  </t>
  </si>
  <si>
    <t>820 KUENZLI ST</t>
  </si>
  <si>
    <t>PM 52 LT 1</t>
  </si>
  <si>
    <t>5267 SLOPE DR</t>
  </si>
  <si>
    <t>SUN VALLEY 4 FR</t>
  </si>
  <si>
    <t xml:space="preserve">SCHAAL, RICHARD A </t>
  </si>
  <si>
    <t>SUN VALLEY 4 FR LT 4 BLK B</t>
  </si>
  <si>
    <t>225 W 2ND AVE</t>
  </si>
  <si>
    <t>PM 19</t>
  </si>
  <si>
    <t xml:space="preserve">BRAVO-REYES, YESSICA </t>
  </si>
  <si>
    <t>PM 19 LT 1</t>
  </si>
  <si>
    <t>5247 SLOPE DR</t>
  </si>
  <si>
    <t>PM 3631</t>
  </si>
  <si>
    <t xml:space="preserve">PUENTES, RAQUEL </t>
  </si>
  <si>
    <t xml:space="preserve">MANOUKIAN FAMILY TRUST  </t>
  </si>
  <si>
    <t>085-712-03</t>
  </si>
  <si>
    <t>PM 3631 LT C</t>
  </si>
  <si>
    <t>5365 SIDEHILL DR</t>
  </si>
  <si>
    <t>FR SW4 OF NW4</t>
  </si>
  <si>
    <t>MENDOZA, MARTIN et al</t>
  </si>
  <si>
    <t xml:space="preserve">5365 SIDE HILL DR </t>
  </si>
  <si>
    <t>265 LUPIN CT</t>
  </si>
  <si>
    <t>SUN VALLEY EST 1</t>
  </si>
  <si>
    <t xml:space="preserve">BUCHANAN, DAVID  </t>
  </si>
  <si>
    <t xml:space="preserve">MARISCAL, DOMINGO </t>
  </si>
  <si>
    <t>SUN VALLEY EST 1 LT 3 BLK A</t>
  </si>
  <si>
    <t>5444 WOODS DR</t>
  </si>
  <si>
    <t>RS 1262</t>
  </si>
  <si>
    <t>YANES, ESDRAS C et al</t>
  </si>
  <si>
    <t>P O BOX 573</t>
  </si>
  <si>
    <t>RS 1262 LT 12</t>
  </si>
  <si>
    <t>5425 WOODS DR</t>
  </si>
  <si>
    <t xml:space="preserve">RODRIGUEZ, JOSE R I  </t>
  </si>
  <si>
    <t xml:space="preserve">SECRERETARY HOUSING URBAN DEV </t>
  </si>
  <si>
    <t>FR NE4 NE4 SEC 19 TWP 20 RGE 20</t>
  </si>
  <si>
    <t>280 E 7TH AVE</t>
  </si>
  <si>
    <t>PM 1961</t>
  </si>
  <si>
    <t xml:space="preserve">CAPPINI, MARLENE T </t>
  </si>
  <si>
    <t>280 EAST 7TH AVE</t>
  </si>
  <si>
    <t>PM 1961 LT 1</t>
  </si>
  <si>
    <t>298 LEON CT</t>
  </si>
  <si>
    <t>GARCIA, DANIEL et al</t>
  </si>
  <si>
    <t>PM 2870 LT 1</t>
  </si>
  <si>
    <t>300 LEON CT</t>
  </si>
  <si>
    <t xml:space="preserve">PEREZ, URBANO </t>
  </si>
  <si>
    <t>PM 2870 LT 2</t>
  </si>
  <si>
    <t>295 LEON CT</t>
  </si>
  <si>
    <t xml:space="preserve">PARTIDA-PRECIADO, JAZMIN </t>
  </si>
  <si>
    <t xml:space="preserve">295 LEON CT </t>
  </si>
  <si>
    <t xml:space="preserve">MONIGHETTI, KAREN A  </t>
  </si>
  <si>
    <t>085-780-47</t>
  </si>
  <si>
    <t>PM 2871 LT 4</t>
  </si>
  <si>
    <t>5615 LUPIN DR</t>
  </si>
  <si>
    <t>RS 2459</t>
  </si>
  <si>
    <t>FLORES-GUTIERREZ, ESLY A  et al</t>
  </si>
  <si>
    <t>ARREOLA, ALFREDO R et al</t>
  </si>
  <si>
    <t>085-790-21</t>
  </si>
  <si>
    <t>RS 2459 LT 3</t>
  </si>
  <si>
    <t>490 SHORT AVE</t>
  </si>
  <si>
    <t>PM 247</t>
  </si>
  <si>
    <t xml:space="preserve">LOPEZ-DUARTE, ALEXANDRA D  </t>
  </si>
  <si>
    <t xml:space="preserve">VEGA, JOSE G </t>
  </si>
  <si>
    <t>PM 247 LT A SUN VALLEY 6 FR LT 4 BLK C</t>
  </si>
  <si>
    <t>492 SHORT AVE</t>
  </si>
  <si>
    <t xml:space="preserve">WILKINS, ELLIE L  </t>
  </si>
  <si>
    <t xml:space="preserve">492 SHORT AVE </t>
  </si>
  <si>
    <t xml:space="preserve">GOUR, BARBRO C </t>
  </si>
  <si>
    <t>PM 247 LT B</t>
  </si>
  <si>
    <t>5335 MADEIROS DR</t>
  </si>
  <si>
    <t>PM 561</t>
  </si>
  <si>
    <t>GEE, SARAH L et al</t>
  </si>
  <si>
    <t>HCR 69 BOX 490-8</t>
  </si>
  <si>
    <t>AMARGOSA VALLEY</t>
  </si>
  <si>
    <t>PM 561 LT 3</t>
  </si>
  <si>
    <t>5101 BREIMON AVE</t>
  </si>
  <si>
    <t xml:space="preserve">HILBISH, JERRY JR </t>
  </si>
  <si>
    <t>BREIMON ACRES LT 1 BLK A</t>
  </si>
  <si>
    <t>GAY, LORNE A  et al</t>
  </si>
  <si>
    <t>141 LACY LN</t>
  </si>
  <si>
    <t>PM 1778</t>
  </si>
  <si>
    <t xml:space="preserve">MILHOLAN, BYRAN A &amp; BRENDA L  </t>
  </si>
  <si>
    <t xml:space="preserve">141 LACY LN </t>
  </si>
  <si>
    <t xml:space="preserve">DAVIS, DONALD L </t>
  </si>
  <si>
    <t>PM 1778 LT A</t>
  </si>
  <si>
    <t>5166 CAROL DR</t>
  </si>
  <si>
    <t xml:space="preserve">MENDEZ, MARISELA A &amp; MARIO </t>
  </si>
  <si>
    <t>085-022-36</t>
  </si>
  <si>
    <t>PM 2178 LT B</t>
  </si>
  <si>
    <t>10810 SANTA FE RD</t>
  </si>
  <si>
    <t xml:space="preserve">GLASGOW, RANDALL L </t>
  </si>
  <si>
    <t>SILVER KNOLLS EST 2 FR LT 28</t>
  </si>
  <si>
    <t>10270 CROCKETT DR</t>
  </si>
  <si>
    <t xml:space="preserve">RUSSELL, JEFFREY W &amp; PRISCILLA M  </t>
  </si>
  <si>
    <t xml:space="preserve">WHOLEY, BYRON &amp; DAWN </t>
  </si>
  <si>
    <t>SILVER KNOLLS RANCH EST 3 LT 30 BLK 1</t>
  </si>
  <si>
    <t>10710 OSAGE RD</t>
  </si>
  <si>
    <t>SILVER KNOLLS RCH EST 3 F</t>
  </si>
  <si>
    <t>BISHOP SEP PROPERTY TRUST, NANCY R et al</t>
  </si>
  <si>
    <t>BISHOP, NANCY R et al</t>
  </si>
  <si>
    <t>SILVER KNOLLS RCH EST 3 LT 24 BLK 2</t>
  </si>
  <si>
    <t>10835 SANTA FE RD</t>
  </si>
  <si>
    <t xml:space="preserve">DUNN, MELISSA S  </t>
  </si>
  <si>
    <t xml:space="preserve">10835 SANTA FE RD </t>
  </si>
  <si>
    <t>SILVER KNOLLS EST 2 LT 20</t>
  </si>
  <si>
    <t>11055 LARSON RANCH RD</t>
  </si>
  <si>
    <t>SILVER KNOLLS RANCHOS 6A</t>
  </si>
  <si>
    <t xml:space="preserve">KAVANAUGH, KENNETH C &amp; KATHERYN M </t>
  </si>
  <si>
    <t xml:space="preserve">SMITH LIVING TRUST, LORRAINE M  </t>
  </si>
  <si>
    <t>SILVER KNOLLS RANCHOS 6A LT 5</t>
  </si>
  <si>
    <t>10775 WHITEHAWK DR</t>
  </si>
  <si>
    <t xml:space="preserve">CALDWELL, MICHAEL P </t>
  </si>
  <si>
    <t>SILVER KNOLLS RANCHOS 6A  LT 36</t>
  </si>
  <si>
    <t>10155 SILVER KNOLLS BLVD</t>
  </si>
  <si>
    <t>PM 91</t>
  </si>
  <si>
    <t xml:space="preserve">4GETIT LIVING TRUST  </t>
  </si>
  <si>
    <t>10995 OSAGE RD</t>
  </si>
  <si>
    <t xml:space="preserve">STEVENS, JANE M </t>
  </si>
  <si>
    <t>PM 91 LT 1</t>
  </si>
  <si>
    <t>11590 OSAGE RD</t>
  </si>
  <si>
    <t>N2 NE4 NE4 NE4</t>
  </si>
  <si>
    <t xml:space="preserve">WATSON, JOHN T JR &amp; JOAN A </t>
  </si>
  <si>
    <t xml:space="preserve">13429 CROSSDALE AVE                     </t>
  </si>
  <si>
    <t xml:space="preserve">NORWALK                  </t>
  </si>
  <si>
    <t xml:space="preserve">DZIMINSKI, LAURA L </t>
  </si>
  <si>
    <t>N2 NE4 NE4 NE4 SEC 24 TWP 21 RGE 18</t>
  </si>
  <si>
    <t>11775 OSAGE RD</t>
  </si>
  <si>
    <t>PM 348</t>
  </si>
  <si>
    <t xml:space="preserve">SHERMAN, BRANDON E </t>
  </si>
  <si>
    <t>PM 348 LT A</t>
  </si>
  <si>
    <t>11675 OSAGE RD</t>
  </si>
  <si>
    <t>PM 377 FR</t>
  </si>
  <si>
    <t>086-250-36</t>
  </si>
  <si>
    <t>PM 377 FR LT A</t>
  </si>
  <si>
    <t>12060 JEAN WAY</t>
  </si>
  <si>
    <t>BRITTON SUB</t>
  </si>
  <si>
    <t xml:space="preserve">BRADSHAW, LEO W </t>
  </si>
  <si>
    <t>BRITTON SUB 1 LOT 12</t>
  </si>
  <si>
    <t>12240 ALBERT WAY</t>
  </si>
  <si>
    <t xml:space="preserve">BUDGET RURAL HOUSING TRUST  </t>
  </si>
  <si>
    <t>BRITTON 2 LT 11</t>
  </si>
  <si>
    <t>12025 ALBERT WAY</t>
  </si>
  <si>
    <t xml:space="preserve">DICKERSON LIVING TRUST, GARY T  </t>
  </si>
  <si>
    <t>FR SE4 SEC 21 TWP 21 RGE 19</t>
  </si>
  <si>
    <t>10540 MIZPAH CIR</t>
  </si>
  <si>
    <t xml:space="preserve">TRUDELL, MARK A </t>
  </si>
  <si>
    <t>FR N2 SW4 SEC 25 TWP 21 RGE 18</t>
  </si>
  <si>
    <t>10150 CALLE MARIA CT</t>
  </si>
  <si>
    <t xml:space="preserve">ROUGEAU, THOM &amp; TAMI R </t>
  </si>
  <si>
    <t>10170 CALLE MARIA ST</t>
  </si>
  <si>
    <t xml:space="preserve">MARSHALL, ROBERT A &amp; CAROL M </t>
  </si>
  <si>
    <t>FR NE4 SE4 SEC 25 TWP 21 RGE 18</t>
  </si>
  <si>
    <t>7575 THOLL DR</t>
  </si>
  <si>
    <t xml:space="preserve">ETO, STEPHEN &amp; MARGARET </t>
  </si>
  <si>
    <t>ROUGH AND READY</t>
  </si>
  <si>
    <t>95975</t>
  </si>
  <si>
    <t>RANCHO 1 LT 10</t>
  </si>
  <si>
    <t>7725 THOLL DR</t>
  </si>
  <si>
    <t>LOPEZ, GILBERT R et al</t>
  </si>
  <si>
    <t xml:space="preserve">LOPEZ, GILBERT R </t>
  </si>
  <si>
    <t>RANCHO 1 LT 7</t>
  </si>
  <si>
    <t>7895 THOLL DR</t>
  </si>
  <si>
    <t>RANCHO SUB DIV 1</t>
  </si>
  <si>
    <t xml:space="preserve">JENSEN, JOHN H &amp; MAGDALENA </t>
  </si>
  <si>
    <t xml:space="preserve">7895 THOLL DR </t>
  </si>
  <si>
    <t>RANCHO 1 LT 4</t>
  </si>
  <si>
    <t>7720 THOLL DR</t>
  </si>
  <si>
    <t xml:space="preserve">CROME FAMILY TRUST  </t>
  </si>
  <si>
    <t>1210 MILE CIR</t>
  </si>
  <si>
    <t xml:space="preserve">CROME, KENNETH J &amp; ROSEMARIE </t>
  </si>
  <si>
    <t>RANCHO 1 LT 18</t>
  </si>
  <si>
    <t>7500 THOLL DR</t>
  </si>
  <si>
    <t xml:space="preserve">FIGUEIREDO, MANUEL A </t>
  </si>
  <si>
    <t>RANCHO 1 LT 13</t>
  </si>
  <si>
    <t>5360 TETON ST</t>
  </si>
  <si>
    <t>HIGH SIERRA PROPERTIES LLC  LLC</t>
  </si>
  <si>
    <t>RUBY RED LLC, SERIES K  LLC</t>
  </si>
  <si>
    <t>HAZELCREST 4 LT 69B</t>
  </si>
  <si>
    <t>5332 TETON ST</t>
  </si>
  <si>
    <t xml:space="preserve">MUNCY, DAN E &amp; LEE B </t>
  </si>
  <si>
    <t xml:space="preserve">CHEETSOS, MERRILEE A &amp; KIRT M </t>
  </si>
  <si>
    <t>HAZELCREST 4 LT 68A</t>
  </si>
  <si>
    <t>5330 TETON ST</t>
  </si>
  <si>
    <t>MUNCY, DAN E &amp; LEE B et al</t>
  </si>
  <si>
    <t xml:space="preserve">CHEETSOS, KURT M &amp; MERRILEE A </t>
  </si>
  <si>
    <t>HAZELCREST 4 LT 67A</t>
  </si>
  <si>
    <t>531 E TAYLOR ST</t>
  </si>
  <si>
    <t xml:space="preserve">HOAGLAND , MARVIN &amp; RIZALINA  </t>
  </si>
  <si>
    <t>12192 ANDES ST</t>
  </si>
  <si>
    <t xml:space="preserve">NICKLES , CHARLES A </t>
  </si>
  <si>
    <t>531 E TAYLOR</t>
  </si>
  <si>
    <t>HAZELCREST# 4 LT 45-B</t>
  </si>
  <si>
    <t>12330 ROCKY MOUNTAIN ST</t>
  </si>
  <si>
    <t xml:space="preserve">SWANSTROM FAMILY TRUST  </t>
  </si>
  <si>
    <t xml:space="preserve">GEHLHAAR, RICK &amp; NICOLE </t>
  </si>
  <si>
    <t>HAZELCREST NO 4 LT 12B</t>
  </si>
  <si>
    <t>12342 ROCKY MOUNTAIN ST</t>
  </si>
  <si>
    <t xml:space="preserve">HIGH SIERRA PROPERTIES LLC </t>
  </si>
  <si>
    <t>6449 BROOKVIEW DR</t>
  </si>
  <si>
    <t xml:space="preserve">RUBY RED LLC SERIES G </t>
  </si>
  <si>
    <t>HAZELCREST NO 4 LT 9A</t>
  </si>
  <si>
    <t xml:space="preserve">CRISAFULLI, DAVID  </t>
  </si>
  <si>
    <t>12371 ROCKY MOUNTAIN ST</t>
  </si>
  <si>
    <t xml:space="preserve">WILKEN, JEREMY R </t>
  </si>
  <si>
    <t>HAZELCREST 4 LT 110B</t>
  </si>
  <si>
    <t>12363 ROCKY MOUNTAIN ST</t>
  </si>
  <si>
    <t>HIGH SIERRA PROPERTIES LLC</t>
  </si>
  <si>
    <t>6449 BROOKVIEW CIR</t>
  </si>
  <si>
    <t xml:space="preserve">MLT INVESTMENTS LLC </t>
  </si>
  <si>
    <t>HAZELCREST 4 LT 111B</t>
  </si>
  <si>
    <t>12353 ROCKY MOUNTAIN ST</t>
  </si>
  <si>
    <t xml:space="preserve">HAMMERFEST LLC </t>
  </si>
  <si>
    <t>2688 STARR MEADOWS LOOP</t>
  </si>
  <si>
    <t>HAZELCREST 4 LT 113</t>
  </si>
  <si>
    <t>12052 ROCKY MOUNTAIN ST</t>
  </si>
  <si>
    <t>HAZELCREST 4 LT 27A</t>
  </si>
  <si>
    <t>12183 ROCKY MOUNTAIN ST</t>
  </si>
  <si>
    <t xml:space="preserve">SANTORA, FRANCESCO &amp; WEI N </t>
  </si>
  <si>
    <t>HAZELCREST 4 LT 40B</t>
  </si>
  <si>
    <t>12050 HIMALAYA ST</t>
  </si>
  <si>
    <t xml:space="preserve">RODRIGUEZ, JUAN </t>
  </si>
  <si>
    <t xml:space="preserve">ESPARZA, ALMA </t>
  </si>
  <si>
    <t>HAZELCREST NO 4 LOT 80B</t>
  </si>
  <si>
    <t>12020 GREEN MOUNTAIN ST</t>
  </si>
  <si>
    <t>315 CALIFORNIA AVE # 17</t>
  </si>
  <si>
    <t xml:space="preserve">RUBY RED LLC - SERIES J </t>
  </si>
  <si>
    <t>HAZELCREST 4 LT 92B</t>
  </si>
  <si>
    <t>12022 GREEN MOUNTAIN ST</t>
  </si>
  <si>
    <t>ROWAN, RICHARD C  et al</t>
  </si>
  <si>
    <t xml:space="preserve">BUCHER ROSE M </t>
  </si>
  <si>
    <t xml:space="preserve">6316 MEADOW CREEK DR </t>
  </si>
  <si>
    <t>HAZELCREST 4 LT 91B</t>
  </si>
  <si>
    <t>12101 GREEN MOUNTAIN ST</t>
  </si>
  <si>
    <t xml:space="preserve">HIGH SIERRA PROPERTIES LLC   </t>
  </si>
  <si>
    <t xml:space="preserve">CAIN FAMILY IRREVOCABLE TRUST  </t>
  </si>
  <si>
    <t>HAZELCREST 4 LT 97B</t>
  </si>
  <si>
    <t>11135 WHITE SAGE DR</t>
  </si>
  <si>
    <t xml:space="preserve">MCCARTNEY, RICHARD B </t>
  </si>
  <si>
    <t xml:space="preserve">KRAIL, DAVID W &amp; DEBRA M </t>
  </si>
  <si>
    <t>SIERRA SAGE EST LT 5</t>
  </si>
  <si>
    <t>11170 WHITE SAGE DR</t>
  </si>
  <si>
    <t xml:space="preserve">SIERRA SAGE EST </t>
  </si>
  <si>
    <t xml:space="preserve">PINTOR, BERTHA </t>
  </si>
  <si>
    <t>SIERRA SAGE EST LT 33</t>
  </si>
  <si>
    <t>11235 WHITE SAGE DR</t>
  </si>
  <si>
    <t xml:space="preserve">MAJORS, ROBERT C &amp; RUTH  </t>
  </si>
  <si>
    <t>SIERRA SAGE EST LT 15</t>
  </si>
  <si>
    <t>15018 MALACHITE CT</t>
  </si>
  <si>
    <t xml:space="preserve">SNEDDEN, WENDY L </t>
  </si>
  <si>
    <t>15018 MALACHITE DR</t>
  </si>
  <si>
    <t xml:space="preserve">DUNCAN, RICHARD III </t>
  </si>
  <si>
    <t>GRANITE HILLS 2 LT 1 BLK A</t>
  </si>
  <si>
    <t>15016 MALACHITE CT</t>
  </si>
  <si>
    <t xml:space="preserve">GROSULAK, DALE &amp; KATHRYNN J </t>
  </si>
  <si>
    <t>GRANITE HILLS 2 LT 2 BLK A</t>
  </si>
  <si>
    <t>15024 HUMITE LN</t>
  </si>
  <si>
    <t xml:space="preserve">SHATTUCK, ROBERT &amp; ALEXIS </t>
  </si>
  <si>
    <t>8600 SIRIUS CIR</t>
  </si>
  <si>
    <t xml:space="preserve">SHATTUCK, ALEXIS </t>
  </si>
  <si>
    <t>GRANITE HILLS 2 LT 34 BLK A</t>
  </si>
  <si>
    <t>15022 HUMITE LN</t>
  </si>
  <si>
    <t>GRANITE HILLS 2 LT 35 BLK A</t>
  </si>
  <si>
    <t>10048 HUMITE LN</t>
  </si>
  <si>
    <t xml:space="preserve">BENJILALI, MOUNIR &amp; ANGELA M </t>
  </si>
  <si>
    <t>GRANITE HILLS 2 LT 37 BLK A</t>
  </si>
  <si>
    <t>10012 HUMITE LN</t>
  </si>
  <si>
    <t>GRANITE HILLS 2 LT 55 BLK A</t>
  </si>
  <si>
    <t>11042 ZEOLITE DR</t>
  </si>
  <si>
    <t xml:space="preserve">TRAPPE, JOHN H SR &amp; BONNIE S </t>
  </si>
  <si>
    <t xml:space="preserve">SEELING, JACK </t>
  </si>
  <si>
    <t>GRANITE HILLS 2 LT 23 &amp; FR LT E BLK A</t>
  </si>
  <si>
    <t>11032 ZEOLITE DR</t>
  </si>
  <si>
    <t xml:space="preserve">STURTZ, DAVID W &amp; CINDY A </t>
  </si>
  <si>
    <t>8470 CORRIGAN WAY</t>
  </si>
  <si>
    <t xml:space="preserve">BJORNSON, KERRIGAN &amp; MARIE </t>
  </si>
  <si>
    <t>GRANITE HILLS 2 LT 27 BLK A</t>
  </si>
  <si>
    <t>10025 HUMITE LN</t>
  </si>
  <si>
    <t>TROTH, RACHEL et al</t>
  </si>
  <si>
    <t xml:space="preserve">MAZZA, CHARLES </t>
  </si>
  <si>
    <t>GRANITE HILLS 2 LT 64 BLK B</t>
  </si>
  <si>
    <t>10039 HUMITE LN</t>
  </si>
  <si>
    <t xml:space="preserve">ECKMAN, ELIJAH </t>
  </si>
  <si>
    <t>GRANITE HILLS 2 LT 71 &amp; FR LT F BLK B</t>
  </si>
  <si>
    <t>10098 ZEOLITE DR</t>
  </si>
  <si>
    <t xml:space="preserve">MCBRIDE, PATRICK B &amp; JEANNIE M </t>
  </si>
  <si>
    <t xml:space="preserve">GLASER, KEVIN L &amp; HEIDI R </t>
  </si>
  <si>
    <t>GRANITE HILLS 2 LT 80 BLK B</t>
  </si>
  <si>
    <t>10086 ZEOLITE DR</t>
  </si>
  <si>
    <t xml:space="preserve">RAMIRO, JOVENCIO M &amp; FELICIDAD </t>
  </si>
  <si>
    <t>612 PRICE ST</t>
  </si>
  <si>
    <t>GRANITE HILLS 2 LT 86 BLK B</t>
  </si>
  <si>
    <t>10070 ZEOLITE DR</t>
  </si>
  <si>
    <t xml:space="preserve">READ FAMILY TRUST, DAVID A  </t>
  </si>
  <si>
    <t>DAVID A &amp; LINDA A READ TRUSTEE</t>
  </si>
  <si>
    <t xml:space="preserve">GONZALEZ, HORTENCIA B </t>
  </si>
  <si>
    <t>GRANITE HILLS 2 LT 96 BLK C</t>
  </si>
  <si>
    <t>10097 ZEOLITE DR</t>
  </si>
  <si>
    <t xml:space="preserve">MILAN, JEREMIAH J &amp; MARISSA </t>
  </si>
  <si>
    <t>7667 CORSO ST</t>
  </si>
  <si>
    <t>GRANITE HILLS 2 LT 110 BLK C</t>
  </si>
  <si>
    <t>15033 CUPRITE ST</t>
  </si>
  <si>
    <t xml:space="preserve">NOGUERA, MARIA E  </t>
  </si>
  <si>
    <t xml:space="preserve">15033 CUPRITE ST </t>
  </si>
  <si>
    <t>GRANITE HILLS 2 LT 139 BLK C</t>
  </si>
  <si>
    <t>15021 CUPRITE ST</t>
  </si>
  <si>
    <t xml:space="preserve">SCHUSTER, DOREENA  </t>
  </si>
  <si>
    <t xml:space="preserve">15021 CUPRITE ST </t>
  </si>
  <si>
    <t>GRANITE HILLS 2 LT 145 BLK C</t>
  </si>
  <si>
    <t>15019 CUPRITE ST</t>
  </si>
  <si>
    <t xml:space="preserve">STEELMAN, JAMES &amp; PATTY </t>
  </si>
  <si>
    <t>7826 TULEAR ST</t>
  </si>
  <si>
    <t xml:space="preserve">REALIZE LLC </t>
  </si>
  <si>
    <t>GRANITE HILLS 2 LT 146 BLK C</t>
  </si>
  <si>
    <t>11005 KERNITE CT</t>
  </si>
  <si>
    <t xml:space="preserve">GROVES, SCOTT E &amp; SHARLEEN R </t>
  </si>
  <si>
    <t xml:space="preserve">F&amp;J PROPERTIES LLC </t>
  </si>
  <si>
    <t>GRANITE HILLS 1 LT 127</t>
  </si>
  <si>
    <t>10015 OBSIDIAN DR</t>
  </si>
  <si>
    <t xml:space="preserve">FURLONG, WILLIAM W &amp; CONNIE E  </t>
  </si>
  <si>
    <t xml:space="preserve">10015 OBSIDIAN DR </t>
  </si>
  <si>
    <t>GRANITE HILLS 1 LT 105</t>
  </si>
  <si>
    <t>11018 BORNITE CT</t>
  </si>
  <si>
    <t xml:space="preserve">SNYDER, THOMAS J &amp; KELLY L </t>
  </si>
  <si>
    <t xml:space="preserve">GIRARD, JEFFREY R &amp; KAREN K </t>
  </si>
  <si>
    <t>GRANITE HILLS 1 LT 143</t>
  </si>
  <si>
    <t>13015 KERNITE ST</t>
  </si>
  <si>
    <t xml:space="preserve">GOMEZ, MARIA C </t>
  </si>
  <si>
    <t xml:space="preserve">VALADEZ, EDITH </t>
  </si>
  <si>
    <t>GRANITE HILLS 1 LT 147</t>
  </si>
  <si>
    <t>13005 KERNITE ST</t>
  </si>
  <si>
    <t xml:space="preserve">PATTON, TRENT R JR  </t>
  </si>
  <si>
    <t xml:space="preserve">13005 KERNITE </t>
  </si>
  <si>
    <t xml:space="preserve">CHONG REVOCABLE TRUST, CHEE L  </t>
  </si>
  <si>
    <t>GRANITE HILLS 1 LT 148</t>
  </si>
  <si>
    <t>13081 EXINITE DR</t>
  </si>
  <si>
    <t xml:space="preserve">ELIASON, EDWARD J &amp; PAMELA A </t>
  </si>
  <si>
    <t>391 CAMINO DE LA ALDEA</t>
  </si>
  <si>
    <t>GRANITE HILLS 1 LT 81</t>
  </si>
  <si>
    <t>10057 ATWOOD ST</t>
  </si>
  <si>
    <t xml:space="preserve">CHILD, HAROLD W JR  </t>
  </si>
  <si>
    <t xml:space="preserve">10057 ATWOOD ST </t>
  </si>
  <si>
    <t xml:space="preserve">BERG TRUST, WARREN E &amp; JILL A  </t>
  </si>
  <si>
    <t>GRANITE HILLS 1 LT 55</t>
  </si>
  <si>
    <t>10082 ALBITE ST</t>
  </si>
  <si>
    <t xml:space="preserve">MADERA, DAISY </t>
  </si>
  <si>
    <t>GRANITE HILLS 1 LT 14</t>
  </si>
  <si>
    <t>10012 ALBITE ST</t>
  </si>
  <si>
    <t xml:space="preserve">ROBERTS , BARRY L &amp; BOBBI J  </t>
  </si>
  <si>
    <t xml:space="preserve">6349 SPRINGWOOD DR </t>
  </si>
  <si>
    <t>SMITH, JAMES E &amp; CAROL H  et al</t>
  </si>
  <si>
    <t>GRANITE HILLS 1 LT 21</t>
  </si>
  <si>
    <t>14101 STEAD BLVD</t>
  </si>
  <si>
    <t xml:space="preserve">ROBERTSON, CHRISTOPHER R </t>
  </si>
  <si>
    <t>SIERRA SAGE EST 2 LT 8</t>
  </si>
  <si>
    <t>14051 STEAD BLVD</t>
  </si>
  <si>
    <t xml:space="preserve">WILKINS, JASON D  </t>
  </si>
  <si>
    <t>SIERRA SAGE ESTATES 2 LT 13</t>
  </si>
  <si>
    <t>14031 STEAD BLVD</t>
  </si>
  <si>
    <t>SIERRA SAGE EST II LT 15</t>
  </si>
  <si>
    <t>13071 MOUNT ANDERSON ST</t>
  </si>
  <si>
    <t>SIERRA SAGE ESTATES II LOT 42</t>
  </si>
  <si>
    <t>13110 MOUNT BABCOCK ST</t>
  </si>
  <si>
    <t>LAFONTAINE, NANCY et al</t>
  </si>
  <si>
    <t>2021 TENNESSEE ST</t>
  </si>
  <si>
    <t>94590</t>
  </si>
  <si>
    <t xml:space="preserve">LAFONTAINE, NANCY </t>
  </si>
  <si>
    <t>SIERRA SAGE EST II LT 47</t>
  </si>
  <si>
    <t>13210 MOUNT BABCOCK ST</t>
  </si>
  <si>
    <t xml:space="preserve">DIDULO, DIANA </t>
  </si>
  <si>
    <t>PO BOX # 34</t>
  </si>
  <si>
    <t xml:space="preserve">FRIANT </t>
  </si>
  <si>
    <t>93626</t>
  </si>
  <si>
    <t xml:space="preserve">ULRICH, JASON V &amp; ALEXIS M </t>
  </si>
  <si>
    <t>SIERRA SAGE EST 2 LT 60</t>
  </si>
  <si>
    <t>13220 MOUNT BABCOCK ST</t>
  </si>
  <si>
    <t xml:space="preserve">LOCKE, JOHN </t>
  </si>
  <si>
    <t>13220 MT BABCOCK</t>
  </si>
  <si>
    <t xml:space="preserve">MICHEL INVESTMENTS LTD PTSP </t>
  </si>
  <si>
    <t>SIERRA SAGE ESTATES II LOT 61</t>
  </si>
  <si>
    <t>13260 ROLLING SAGE PL</t>
  </si>
  <si>
    <t xml:space="preserve">BRANTLEY, SARA K  </t>
  </si>
  <si>
    <t xml:space="preserve">13260 ROLLING SAGE PL </t>
  </si>
  <si>
    <t>SIERRA SAGE EST 2 LT 65</t>
  </si>
  <si>
    <t>13690 MOUNT BABCOCK ST</t>
  </si>
  <si>
    <t xml:space="preserve">CHI LIVING TRUST  </t>
  </si>
  <si>
    <t>217 ADA AVE # 10</t>
  </si>
  <si>
    <t xml:space="preserve">CHI, CARLOS L &amp; YANMEI  </t>
  </si>
  <si>
    <t>SIERRA SAGE EST 2 LT 108</t>
  </si>
  <si>
    <t>5280 ECHO AVE</t>
  </si>
  <si>
    <t>SMITH, PATRICK W  et al</t>
  </si>
  <si>
    <t>1145 ANTELOPE RD</t>
  </si>
  <si>
    <t xml:space="preserve">ARCH BAY HOLDING LLC </t>
  </si>
  <si>
    <t>SIERRA SAGE EST II LT 136</t>
  </si>
  <si>
    <t>5204 ECHO AVE</t>
  </si>
  <si>
    <t>SMITH, PATRICK W et al</t>
  </si>
  <si>
    <t>AVILA, GERARDO ROSALES et al</t>
  </si>
  <si>
    <t>SIERRA SAGE EST 2 LT 169</t>
  </si>
  <si>
    <t>5202 ECHO AVE</t>
  </si>
  <si>
    <t>OTT-UDELL BRENDA A</t>
  </si>
  <si>
    <t xml:space="preserve">BARAJAS, MARIA D &amp; ISAUL  </t>
  </si>
  <si>
    <t>SIERRA SAGE EST 2 LT 170</t>
  </si>
  <si>
    <t>12981 MOUNT CHARLESTON ST</t>
  </si>
  <si>
    <t xml:space="preserve">WOOD, ROBERT W JR  </t>
  </si>
  <si>
    <t xml:space="preserve">12981 MT CHARLESTON ST </t>
  </si>
  <si>
    <t>SIERRA SAGE ESTATES II LOT 172</t>
  </si>
  <si>
    <t>13802 LEAR BLVD</t>
  </si>
  <si>
    <t xml:space="preserve">HIRSCHY, TERRY M </t>
  </si>
  <si>
    <t>4155 ISHI TR</t>
  </si>
  <si>
    <t>OROVILLE</t>
  </si>
  <si>
    <t>95965</t>
  </si>
  <si>
    <t>ELDORADO VILLAS LT 1 BLK A</t>
  </si>
  <si>
    <t>13840 LEAR BLVD</t>
  </si>
  <si>
    <t xml:space="preserve">YONTZ, JERRY &amp; WENDY </t>
  </si>
  <si>
    <t>ELDORADO VILLAS LT 17 BLK F</t>
  </si>
  <si>
    <t>13862 LEAR BLVD</t>
  </si>
  <si>
    <t xml:space="preserve">13862 LEAR BLVD                         </t>
  </si>
  <si>
    <t>ELDORADO VILLAS LT 23 BLK E</t>
  </si>
  <si>
    <t>13874 LEAR BLVD</t>
  </si>
  <si>
    <t>ELDORADO VILLAS LT 26 BLK E</t>
  </si>
  <si>
    <t>13868 LEAR BLVD</t>
  </si>
  <si>
    <t xml:space="preserve">GEHLERT, GREG &amp; LAURIE  </t>
  </si>
  <si>
    <t xml:space="preserve">13868 LEAR BLVD </t>
  </si>
  <si>
    <t xml:space="preserve">TIDWELL FAMILY TRUST  </t>
  </si>
  <si>
    <t>ELDORADO VILLAS LT 36 BLK D</t>
  </si>
  <si>
    <t>C/O WASHINGTON MUTUAL BANK</t>
  </si>
  <si>
    <t>7255 BAYMEADOWS WAY MAIL STOP JAXB2007</t>
  </si>
  <si>
    <t>32256</t>
  </si>
  <si>
    <t xml:space="preserve">MCQUADE, CURTIS &amp; MALEAH </t>
  </si>
  <si>
    <t>13998 LEAR BLVD</t>
  </si>
  <si>
    <t xml:space="preserve">BALLARD, FRANK M &amp; SANDRA  </t>
  </si>
  <si>
    <t xml:space="preserve">13998 LEAR BLVD </t>
  </si>
  <si>
    <t>ELDORADO VILLAS LT 76 BLK I</t>
  </si>
  <si>
    <t>14024 LEAR BLVD</t>
  </si>
  <si>
    <t xml:space="preserve">GERCHMAN, RYAN M </t>
  </si>
  <si>
    <t>ELDORADO VILLAS LT 88 BLK K</t>
  </si>
  <si>
    <t>14022 LEAR BLVD</t>
  </si>
  <si>
    <t xml:space="preserve">MANNING FAMILY 1994 TRUST  </t>
  </si>
  <si>
    <t xml:space="preserve">13350 RIM ROCK DR </t>
  </si>
  <si>
    <t>ELDORADO VILLAS LT 89 BLK K</t>
  </si>
  <si>
    <t>13691 MOUNT BALDY ST</t>
  </si>
  <si>
    <t xml:space="preserve">1655 E WALNUT </t>
  </si>
  <si>
    <t xml:space="preserve">PEDERSEN, ROD </t>
  </si>
  <si>
    <t>SIERRA VIEW EST 1 LT 29 BLK A</t>
  </si>
  <si>
    <t>13665 MOUNT SHASTA ST</t>
  </si>
  <si>
    <t xml:space="preserve">DE VALENZUELA, MARIA </t>
  </si>
  <si>
    <t>SIERRA VIEW EST 1 LT 80 BLK B</t>
  </si>
  <si>
    <t>13580 MOUNT SHASTA ST</t>
  </si>
  <si>
    <t xml:space="preserve">VDA DE GARCIA, ISABEL V </t>
  </si>
  <si>
    <t xml:space="preserve">HANNA, CRAIG J &amp; KATHLEEN A </t>
  </si>
  <si>
    <t>SIERRA VIEW EST 1 LT 94 BLK C</t>
  </si>
  <si>
    <t>13761 MOUNT WHITNEY ST</t>
  </si>
  <si>
    <t>SMITH, CAROL J et al</t>
  </si>
  <si>
    <t>ZAMUDIO-CARRANZA, AUDIEL et al</t>
  </si>
  <si>
    <t>SIERRA VIEW EST 1 LT 131 BLK C</t>
  </si>
  <si>
    <t>13701 MOUNT WHITNEY ST</t>
  </si>
  <si>
    <t xml:space="preserve">LOPEZ, JOSE R ROMAN </t>
  </si>
  <si>
    <t>SIERRA VIEW EST 1 LT 125 BLK C</t>
  </si>
  <si>
    <t>13675 MOUNT WHITNEY ST</t>
  </si>
  <si>
    <t xml:space="preserve">MAYFIELD, DANIEL R &amp; JOYCE E </t>
  </si>
  <si>
    <t xml:space="preserve">PEREZ, MANUEL </t>
  </si>
  <si>
    <t>SIERRA VIEW EST 1 LT 167 BLK F</t>
  </si>
  <si>
    <t>13630 MOUNT WHITNEY ST</t>
  </si>
  <si>
    <t xml:space="preserve">SIGAAN, MIRIAM </t>
  </si>
  <si>
    <t xml:space="preserve">13630 MT WHITNEY ST </t>
  </si>
  <si>
    <t>SIERRA VIEW EST 1 LT 165 BLK E</t>
  </si>
  <si>
    <t>13655 MOUNT OLYMPUS ST</t>
  </si>
  <si>
    <t xml:space="preserve">WOUPIO, HEATHER M </t>
  </si>
  <si>
    <t>13655 MT OLYMPUS</t>
  </si>
  <si>
    <t xml:space="preserve">DEATHERAGE, CLAUDIA J </t>
  </si>
  <si>
    <t>SIERRA VIEW EST1 LT 164 BLK E</t>
  </si>
  <si>
    <t>13650 MOUNT OLYMPUS ST</t>
  </si>
  <si>
    <t xml:space="preserve">BUEHNER, THOMAS E &amp; MARTHA E  </t>
  </si>
  <si>
    <t xml:space="preserve">6774 E DUTCH CREEK ST </t>
  </si>
  <si>
    <t xml:space="preserve">HIGHLANDS RANCH </t>
  </si>
  <si>
    <t>SIERRA VIEW EST 1 LT 143 BLK D</t>
  </si>
  <si>
    <t>13660 MOUNT OLYMPUS ST</t>
  </si>
  <si>
    <t xml:space="preserve">MADRIZ, IVAN </t>
  </si>
  <si>
    <t>SIERRA VIEW ESTATES UNIT ONE LOT 142 BLK D</t>
  </si>
  <si>
    <t>TORRES, MARIA  et al</t>
  </si>
  <si>
    <t>BELLO JOSE</t>
  </si>
  <si>
    <t>PO BOX 7011</t>
  </si>
  <si>
    <t xml:space="preserve">MENDEZ, GILBERT </t>
  </si>
  <si>
    <t>SIERRA VIEW EST 1 LT 133 BLK D</t>
  </si>
  <si>
    <t>13491 MOUNT BALDY ST</t>
  </si>
  <si>
    <t xml:space="preserve">SHEPPHIRD, JOHN C &amp; JENNIFER </t>
  </si>
  <si>
    <t>550 WEST PLUMB LN STE B # 151</t>
  </si>
  <si>
    <t>SIERRA VIEW EST 1 LT 18 BLK A</t>
  </si>
  <si>
    <t>13405 MOUNT LASSEN ST</t>
  </si>
  <si>
    <t>HAMPTON COURT EST</t>
  </si>
  <si>
    <t>VAN WIE, JOHN S  et al</t>
  </si>
  <si>
    <t xml:space="preserve">13405 MT LASSEN ST </t>
  </si>
  <si>
    <t>HAMPTON COURT EST LT 179 BLK K</t>
  </si>
  <si>
    <t>13543 MOUNT SHASTA ST</t>
  </si>
  <si>
    <t>SIERRA VIEW EST 1 LT 72 BLK B</t>
  </si>
  <si>
    <t>13372 MOUNT LASSEN ST</t>
  </si>
  <si>
    <t>FREITAS, LANCE et al</t>
  </si>
  <si>
    <t>SIERRA VIEW EST 1 LT 51 BLK B</t>
  </si>
  <si>
    <t>13390 MOUNT LASSEN ST</t>
  </si>
  <si>
    <t>2280 GATEWAY DR</t>
  </si>
  <si>
    <t xml:space="preserve">RODRIGUEZ, JUAN C </t>
  </si>
  <si>
    <t>SIERRA VIEW EST 1 LT 50 BLK B</t>
  </si>
  <si>
    <t>13381 MOUNT WHITNEY ST</t>
  </si>
  <si>
    <t xml:space="preserve">MISCH, CHAD E </t>
  </si>
  <si>
    <t>13381 MT WHITNEY ST</t>
  </si>
  <si>
    <t>SIERRA VIEW EST 1 LT 248 BLK H</t>
  </si>
  <si>
    <t>13353 MOUNT WHITNEY ST</t>
  </si>
  <si>
    <t xml:space="preserve">NORIEGA, EDUARDO </t>
  </si>
  <si>
    <t>SIERRA VIEW EST 1 LT 249 BLK H</t>
  </si>
  <si>
    <t>13540 MOUNT RAINIER ST</t>
  </si>
  <si>
    <t xml:space="preserve">OROZCO, MARTIN R </t>
  </si>
  <si>
    <t xml:space="preserve">LOPEZ, LAURA D </t>
  </si>
  <si>
    <t>SIERRA VIEW EST 1 LT 178 BLK F</t>
  </si>
  <si>
    <t>13481 MOUNT WHITNEY ST</t>
  </si>
  <si>
    <t xml:space="preserve">MARSHMAN, WYONA L  </t>
  </si>
  <si>
    <t xml:space="preserve">13481 MT WHITNEY                        </t>
  </si>
  <si>
    <t xml:space="preserve">CIMADON, SCOTT A </t>
  </si>
  <si>
    <t>SIERRA VIEW EST 1 LT 107 BLK C</t>
  </si>
  <si>
    <t>13230 MOUNT WHITNEY ST</t>
  </si>
  <si>
    <t>SIERRA VIEW ESTATES UNIT ONE LOT 201 BLK G</t>
  </si>
  <si>
    <t>13290 MOUNT WHITNEY ST</t>
  </si>
  <si>
    <t xml:space="preserve">VILLA, RENE R  </t>
  </si>
  <si>
    <t xml:space="preserve">13290 MT WHITNEY </t>
  </si>
  <si>
    <t>SIERRA VIEW EST 1 LT 195 BLK G</t>
  </si>
  <si>
    <t>13291 MOUNT HOOD ST</t>
  </si>
  <si>
    <t xml:space="preserve">MORALES, MANUEL O  </t>
  </si>
  <si>
    <t xml:space="preserve">13291 MT HOOD ST </t>
  </si>
  <si>
    <t>SIERRA VIEW EST 1 LT 57 BLK B</t>
  </si>
  <si>
    <t>13243 MOUNT LOGAN ST</t>
  </si>
  <si>
    <t xml:space="preserve">TREGO, JAMES A &amp; JOANN F </t>
  </si>
  <si>
    <t>5375 DOUBLE CREEK CT</t>
  </si>
  <si>
    <t>SIERRA VIEW EST 1 LT 224 BLK J</t>
  </si>
  <si>
    <t>13191 MOUNT BALDY ST</t>
  </si>
  <si>
    <t>SIERRA VIEW EST UT 1 LT 2 BLK A</t>
  </si>
  <si>
    <t>11852 ANDES ST</t>
  </si>
  <si>
    <t>086-461-20</t>
  </si>
  <si>
    <t>PEAVINE EST LT 217</t>
  </si>
  <si>
    <t>11932 ANDES ST</t>
  </si>
  <si>
    <t xml:space="preserve">KAMPPI, JENNIFER M </t>
  </si>
  <si>
    <t>086-461-24</t>
  </si>
  <si>
    <t>PEAVINE EST LT 213</t>
  </si>
  <si>
    <t>11630 ROCKY MOUNTAIN ST</t>
  </si>
  <si>
    <t xml:space="preserve">JACINTO-MORENO, JOSE D J  </t>
  </si>
  <si>
    <t>086-062-33</t>
  </si>
  <si>
    <t>HAZELCREST 2 LT 111</t>
  </si>
  <si>
    <t>11710 ROCKY MOUNTAIN ST</t>
  </si>
  <si>
    <t xml:space="preserve">PARKER, PATRICK D &amp; JOAN J </t>
  </si>
  <si>
    <t>086-462-22</t>
  </si>
  <si>
    <t>PEAVINE EST LT 240</t>
  </si>
  <si>
    <t>11591 ROCKY MOUNTAIN ST</t>
  </si>
  <si>
    <t>086-062-30</t>
  </si>
  <si>
    <t>PEAVINE EST LT 125</t>
  </si>
  <si>
    <t>11753 GREEN MOUNTAIN ST</t>
  </si>
  <si>
    <t>STOJSIC, SEAN D  et al</t>
  </si>
  <si>
    <t xml:space="preserve">2222 ELLICE WAY </t>
  </si>
  <si>
    <t>086-462-03</t>
  </si>
  <si>
    <t>PEAVINE EST LT 184</t>
  </si>
  <si>
    <t>11712 GREEN MOUNTAIN ST</t>
  </si>
  <si>
    <t>HAZELCREST 3</t>
  </si>
  <si>
    <t xml:space="preserve">JANDAL , LUIS A  </t>
  </si>
  <si>
    <t xml:space="preserve">105 JOSEPFINA CT </t>
  </si>
  <si>
    <t>086-462-08</t>
  </si>
  <si>
    <t>HAZELCREST 3 LT 250</t>
  </si>
  <si>
    <t>11482 ROCKY MOUNTAIN ST</t>
  </si>
  <si>
    <t xml:space="preserve">DE MARTINEZ, MARIA DEL C A </t>
  </si>
  <si>
    <t>086-061-38</t>
  </si>
  <si>
    <t>HAZELCREST 2 LT 104</t>
  </si>
  <si>
    <t>11473 ROCKY MOUNTAIN ST</t>
  </si>
  <si>
    <t xml:space="preserve">ROWAN, RICHARD </t>
  </si>
  <si>
    <t>6316 MEADOW CREEK DR</t>
  </si>
  <si>
    <t>086-061-31</t>
  </si>
  <si>
    <t>PEAVINE EST LT 120B</t>
  </si>
  <si>
    <t>11432 ANDES ST</t>
  </si>
  <si>
    <t xml:space="preserve">DUENAS, FRANCISCO &amp; KELLY A </t>
  </si>
  <si>
    <t xml:space="preserve">DEGEISO, CHRISTOPHER M </t>
  </si>
  <si>
    <t>086-052-48</t>
  </si>
  <si>
    <t>PEAVINE EST LT 55</t>
  </si>
  <si>
    <t>11460 ANDES ST</t>
  </si>
  <si>
    <t xml:space="preserve">GELDMACHER 2008 TRUST, GRACE S  </t>
  </si>
  <si>
    <t xml:space="preserve">796 AHWANEE DR </t>
  </si>
  <si>
    <t xml:space="preserve">DICKINSON , ROBERT  </t>
  </si>
  <si>
    <t>086-061-19</t>
  </si>
  <si>
    <t>PEAVINE EST LT 144</t>
  </si>
  <si>
    <t>11502 ANDES ST</t>
  </si>
  <si>
    <t xml:space="preserve">HAWKINS, BRIAN P  </t>
  </si>
  <si>
    <t xml:space="preserve">11502 ANDES ST </t>
  </si>
  <si>
    <t>086-061-22</t>
  </si>
  <si>
    <t>HAZELCREST 2 LT 141</t>
  </si>
  <si>
    <t>11473 GREEN MOUNTAIN ST</t>
  </si>
  <si>
    <t xml:space="preserve">CARRILLO-BLANCO, NOEMI </t>
  </si>
  <si>
    <t>086-061-05</t>
  </si>
  <si>
    <t>PEAVINE EST LT 170</t>
  </si>
  <si>
    <t>11150 ROCKY MOUNTAIN ST</t>
  </si>
  <si>
    <t>PEAVINE EST AMD</t>
  </si>
  <si>
    <t>MENDEZ-APARICIO, JESUS et al</t>
  </si>
  <si>
    <t>9563 AUTUMN LEAF WAY</t>
  </si>
  <si>
    <t xml:space="preserve">KNOX, JOAN A </t>
  </si>
  <si>
    <t>086-051-03</t>
  </si>
  <si>
    <t>PEAVINE EST LT 87</t>
  </si>
  <si>
    <t>11282 ROCKY MOUNTAIN ST</t>
  </si>
  <si>
    <t xml:space="preserve">RODRIGUEZ, JUAN &amp; JAMIE </t>
  </si>
  <si>
    <t>086-052-36</t>
  </si>
  <si>
    <t>PEAVINE EST LT 94</t>
  </si>
  <si>
    <t>11203 ROCKY MOUNTAIN ST</t>
  </si>
  <si>
    <t xml:space="preserve">MANIPUD, VIRGILIO A </t>
  </si>
  <si>
    <t>086-051-09</t>
  </si>
  <si>
    <t>PEAVINE EST LT 80</t>
  </si>
  <si>
    <t>11270 ANDES ST</t>
  </si>
  <si>
    <t>086-052-23</t>
  </si>
  <si>
    <t>PEAVINE EST LT 68</t>
  </si>
  <si>
    <t>11272 GREEN MOUNTAIN ST</t>
  </si>
  <si>
    <t xml:space="preserve">PACATTE, EVA </t>
  </si>
  <si>
    <t xml:space="preserve">11272 GREEN MOUNTAIN </t>
  </si>
  <si>
    <t>086-052-12</t>
  </si>
  <si>
    <t>PEAVINE EST LT 27</t>
  </si>
  <si>
    <t>11261 GREEN MOUNTAIN ST</t>
  </si>
  <si>
    <t xml:space="preserve">HICKMAN, MICHAEL S </t>
  </si>
  <si>
    <t xml:space="preserve">CRAGUN LIVING TRUST, BEN  </t>
  </si>
  <si>
    <t>086-052-10</t>
  </si>
  <si>
    <t>PEAVINE EST LT 9</t>
  </si>
  <si>
    <t>11181 GREEN MOUNTAIN ST</t>
  </si>
  <si>
    <t xml:space="preserve">225 BURNS RD </t>
  </si>
  <si>
    <t xml:space="preserve">ELYRIA </t>
  </si>
  <si>
    <t xml:space="preserve">WHITE, ARTHUR N </t>
  </si>
  <si>
    <t>086-051-40</t>
  </si>
  <si>
    <t>PEAVINE EST LT 5</t>
  </si>
  <si>
    <t>11153 GREEN MOUNTAIN ST</t>
  </si>
  <si>
    <t>086-051-43</t>
  </si>
  <si>
    <t>PEAVINE EST LT 2</t>
  </si>
  <si>
    <t>9855 MEADOW STAR DR</t>
  </si>
  <si>
    <t>PM 4287</t>
  </si>
  <si>
    <t xml:space="preserve">CULPEPPER, MARCUS A &amp; MARY A </t>
  </si>
  <si>
    <t>9855 MEADOWSTAR DR</t>
  </si>
  <si>
    <t xml:space="preserve">ADRIAN, JENA </t>
  </si>
  <si>
    <t>086-810-08</t>
  </si>
  <si>
    <t>PM 4287 LT 1</t>
  </si>
  <si>
    <t>9845 MEADOW STAR DR</t>
  </si>
  <si>
    <t xml:space="preserve">LOOK, JASMINE M  </t>
  </si>
  <si>
    <t xml:space="preserve">SAUCEDO, ANACLETO H </t>
  </si>
  <si>
    <t>PM 4287 LT 2</t>
  </si>
  <si>
    <t>9825 MEADOW STAR DR</t>
  </si>
  <si>
    <t xml:space="preserve">HOLBY, ERIC J  </t>
  </si>
  <si>
    <t xml:space="preserve">9825 MEADOWSTAR DR </t>
  </si>
  <si>
    <t xml:space="preserve">FILOTEO, ALDWIN </t>
  </si>
  <si>
    <t>PM 4287 LT 3</t>
  </si>
  <si>
    <t>9815 MEADOW STAR DR</t>
  </si>
  <si>
    <t xml:space="preserve">FRANCO, EDURADO &amp; IRACEMA </t>
  </si>
  <si>
    <t>PM 4287 LT 4</t>
  </si>
  <si>
    <t>9735 MEADOW STAR DR</t>
  </si>
  <si>
    <t>PO BOX 1900</t>
  </si>
  <si>
    <t>MEADOW STAR LT 24</t>
  </si>
  <si>
    <t>9725 MEADOW STAR DR</t>
  </si>
  <si>
    <t xml:space="preserve">HOUSTON, KEVIN R  </t>
  </si>
  <si>
    <t>ORDONEZ, DAVID A et al</t>
  </si>
  <si>
    <t>MEADOW STAR LT 23</t>
  </si>
  <si>
    <t>9715 MEADOW STAR DR</t>
  </si>
  <si>
    <t xml:space="preserve">HERRERA, LUCILA </t>
  </si>
  <si>
    <t xml:space="preserve">FIGUEROA, JOSE M </t>
  </si>
  <si>
    <t>MEADOW STAR LT 22</t>
  </si>
  <si>
    <t>9655 MEADOW STAR DR</t>
  </si>
  <si>
    <t xml:space="preserve">MCCARRELL, CLIFF W  </t>
  </si>
  <si>
    <t xml:space="preserve">TAYLOR, ROSS W </t>
  </si>
  <si>
    <t>MEADOW STAR LT 16</t>
  </si>
  <si>
    <t>9625 MEADOW STAR DR</t>
  </si>
  <si>
    <t>GONZALEZ, MAXIMO et al</t>
  </si>
  <si>
    <t>18323 DUSTIN CT</t>
  </si>
  <si>
    <t>MEADOW STAR LT 13</t>
  </si>
  <si>
    <t>9605 MEADOW STAR DR</t>
  </si>
  <si>
    <t xml:space="preserve">HANDFINGER, BRIAN P </t>
  </si>
  <si>
    <t>MEADOW STAR LT 11</t>
  </si>
  <si>
    <t>9515 MEADOW STAR DR</t>
  </si>
  <si>
    <t xml:space="preserve">REID, JOHN  </t>
  </si>
  <si>
    <t xml:space="preserve">9515 MEADOW STAR DR </t>
  </si>
  <si>
    <t xml:space="preserve">SHAFER, AARON </t>
  </si>
  <si>
    <t>MEADOW STAR LT 2</t>
  </si>
  <si>
    <t>14050 MOUNT CHARLESTON ST</t>
  </si>
  <si>
    <t xml:space="preserve">OROPEZA, FERNANDO &amp; JENNIFER  </t>
  </si>
  <si>
    <t xml:space="preserve">14050 MT CHARLESTON ST </t>
  </si>
  <si>
    <t>MOUNT CHARLESTON 1 LT 6</t>
  </si>
  <si>
    <t>18950 PINON PINE AVE</t>
  </si>
  <si>
    <t xml:space="preserve">ULLBERG FAMILY TRUST  </t>
  </si>
  <si>
    <t>PO BOX 1002</t>
  </si>
  <si>
    <t>CONGRESS</t>
  </si>
  <si>
    <t>85332</t>
  </si>
  <si>
    <t xml:space="preserve">ULLBERG, WARREN R &amp; PHYLLIS M </t>
  </si>
  <si>
    <t>NORTHRIDGE SMALL EST LT 7 BLK 2</t>
  </si>
  <si>
    <t>17665 W ASPEN CIR</t>
  </si>
  <si>
    <t xml:space="preserve">DANIEL, DANIELLE A  </t>
  </si>
  <si>
    <t xml:space="preserve">17665 WEST ASPEN CIR </t>
  </si>
  <si>
    <t>NORTHRIDGE SMALL EST LT 11</t>
  </si>
  <si>
    <t>17730 E ASPEN CIR</t>
  </si>
  <si>
    <t xml:space="preserve">MCCABE, PATRICK </t>
  </si>
  <si>
    <t>NORTHRIDGE SMALL EST LT 19</t>
  </si>
  <si>
    <t>18750 MESQUITE AVE</t>
  </si>
  <si>
    <t>PM 1518</t>
  </si>
  <si>
    <t xml:space="preserve">COLD SPRINGS EQUESTRIAN TRUST  </t>
  </si>
  <si>
    <t xml:space="preserve">550 W PLUMB LN # B507 </t>
  </si>
  <si>
    <t>PM 1518 LT 3</t>
  </si>
  <si>
    <t>17690 ROPER CT</t>
  </si>
  <si>
    <t>PM 1647</t>
  </si>
  <si>
    <t xml:space="preserve">MOLLOY, CHERYL L </t>
  </si>
  <si>
    <t xml:space="preserve">MANZONIE, JOHNNY J </t>
  </si>
  <si>
    <t>PM 1647 LT 4C</t>
  </si>
  <si>
    <t>3645 PEREGRINE CIR</t>
  </si>
  <si>
    <t xml:space="preserve">BENEDICT, DUANE W &amp; NANCI </t>
  </si>
  <si>
    <t>NOEL, RICK  et al</t>
  </si>
  <si>
    <t>COLD SPRINGS VALLEY HM 1 LT 15 BLK K</t>
  </si>
  <si>
    <t>3700 BRANT ST</t>
  </si>
  <si>
    <t>COLD SPRINGS VALLEY 1</t>
  </si>
  <si>
    <t xml:space="preserve">FISHER , RANDALL J  </t>
  </si>
  <si>
    <t>3885 LIMKIN DR</t>
  </si>
  <si>
    <t>COLD SPRINGS VALLEY HOMES 1 LT 4 BLK D</t>
  </si>
  <si>
    <t>3600 PEREGRINE CT</t>
  </si>
  <si>
    <t xml:space="preserve">VALENCIA, IVA L </t>
  </si>
  <si>
    <t>COLD SPRINGS VALLEY HM 1 LT 6 BLK C</t>
  </si>
  <si>
    <t>3630 GULL ST</t>
  </si>
  <si>
    <t>JONES, TIMOTHY J et al</t>
  </si>
  <si>
    <t>17260 COLD SPRINGS DR</t>
  </si>
  <si>
    <t>COLD SPRINGS VALLEY HOMES 1 LT 2 BLK G</t>
  </si>
  <si>
    <t xml:space="preserve">WILSON, JEFFREY C </t>
  </si>
  <si>
    <t>18111 PRESTON AVE STE 900</t>
  </si>
  <si>
    <t>HARVEY, YURNELLI et al</t>
  </si>
  <si>
    <t>COLD SPRINGS VALLEY HM 1 LT 13 BLK J</t>
  </si>
  <si>
    <t>17825 OWL CT</t>
  </si>
  <si>
    <t xml:space="preserve">VOWINKEL, GEORGE H </t>
  </si>
  <si>
    <t xml:space="preserve">17468 BEAR LAKE DR                      </t>
  </si>
  <si>
    <t>RENO PARK MH EST LT 28 BLK E</t>
  </si>
  <si>
    <t>17745 PEACOCK PL</t>
  </si>
  <si>
    <t xml:space="preserve">CLAYTON, ROBERT D &amp; GERTRUDE </t>
  </si>
  <si>
    <t xml:space="preserve">17745 PEACOCK PL </t>
  </si>
  <si>
    <t xml:space="preserve">HITT, GARY R  </t>
  </si>
  <si>
    <t>RENO PARK MH EST LT 21 BLK E</t>
  </si>
  <si>
    <t>3765 MEADOWLARK DR</t>
  </si>
  <si>
    <t xml:space="preserve">COUNTRY LIVING ASSISTANCE TR  </t>
  </si>
  <si>
    <t xml:space="preserve">FERREL, SUSAN M </t>
  </si>
  <si>
    <t>RENO PARK MH EST LT 5 BLK G</t>
  </si>
  <si>
    <t>3840 HUMMINGBIRD DR</t>
  </si>
  <si>
    <t xml:space="preserve">CARLSEN, SHIRLEY </t>
  </si>
  <si>
    <t>RENO PARK MH EST LT 8 BLK G</t>
  </si>
  <si>
    <t>3860 HUMMINGBIRD DR</t>
  </si>
  <si>
    <t>SNETHEN, ROBERT &amp; ERIN U/C</t>
  </si>
  <si>
    <t>RENO PARK MH EST LT 9 BLK G</t>
  </si>
  <si>
    <t>3860 SANDPIPER DR</t>
  </si>
  <si>
    <t>RENO PARK MH EST UT 2A</t>
  </si>
  <si>
    <t xml:space="preserve">SISCO 2010 LIVING TRUST, VERA L  </t>
  </si>
  <si>
    <t>PO BOX 61762</t>
  </si>
  <si>
    <t>RENO PARK MH EST UT 2A LT 17 BLK D</t>
  </si>
  <si>
    <t>17570 THRUSH LN</t>
  </si>
  <si>
    <t xml:space="preserve">GILBERT 2005 TRUST, ROBERT E   </t>
  </si>
  <si>
    <t xml:space="preserve">550 ROCKERFELLER RD </t>
  </si>
  <si>
    <t xml:space="preserve">BERRY CREEK </t>
  </si>
  <si>
    <t>95916</t>
  </si>
  <si>
    <t>RENO PARK MH EST 2A LT 13 BLK C</t>
  </si>
  <si>
    <t>17995 BLACKBIRD DR</t>
  </si>
  <si>
    <t xml:space="preserve">ZEVNICK, CLINTON M  </t>
  </si>
  <si>
    <t xml:space="preserve">17995 BLACKBIRD DR </t>
  </si>
  <si>
    <t>RENO PARK MH EST 2A LT 7 BLK I</t>
  </si>
  <si>
    <t>18025 BLACKBIRD DR</t>
  </si>
  <si>
    <t xml:space="preserve">MEDINA, GAIL M </t>
  </si>
  <si>
    <t xml:space="preserve">RITTER, PAUL &amp; B VIRGINIA </t>
  </si>
  <si>
    <t>RENO PARK MH EST 2A LT 4 BLK I</t>
  </si>
  <si>
    <t>3825 BOBOLINK CIR</t>
  </si>
  <si>
    <t>RENO PARK MH EST 2A LT 3 BLK F</t>
  </si>
  <si>
    <t>3930 BOBOLINK CIR</t>
  </si>
  <si>
    <t xml:space="preserve">BARTON, JIMMY L </t>
  </si>
  <si>
    <t>RENO PARK MH EST 2A LT 8 BLK E</t>
  </si>
  <si>
    <t>3940 BOBOLINK CIR</t>
  </si>
  <si>
    <t xml:space="preserve">HOVATTER, TODD &amp; TAMMY </t>
  </si>
  <si>
    <t xml:space="preserve">SANDERSON, JOHN E &amp; IRENE B  </t>
  </si>
  <si>
    <t>RENO PARK MH EST 2A LT 7 BLK E</t>
  </si>
  <si>
    <t>4065 BOBOLINK CIR</t>
  </si>
  <si>
    <t xml:space="preserve">ARAIZA, SERENA A </t>
  </si>
  <si>
    <t xml:space="preserve">352 PARKCHESTER DR </t>
  </si>
  <si>
    <t>RENO PARK MH EST 2A LT 48 BLK H</t>
  </si>
  <si>
    <t>20 JACANA CT</t>
  </si>
  <si>
    <t>ROMAN DE LOPEZ, ALMA D et al</t>
  </si>
  <si>
    <t>LOPEZ JIMENEZ ALBERTO</t>
  </si>
  <si>
    <t>RENO PARK MH EST 2A LT 28 BLK I</t>
  </si>
  <si>
    <t>17875 BLACKBIRD DR</t>
  </si>
  <si>
    <t xml:space="preserve">PHOENIX CAPITAL XV LLC </t>
  </si>
  <si>
    <t>530 OAK GROVE STE 202/203</t>
  </si>
  <si>
    <t>MENLO PARK</t>
  </si>
  <si>
    <t>STONECREST INCOME&amp;OPPORTUNITY, FUND 1 LLC LLC</t>
  </si>
  <si>
    <t>RENO PARK MH EST 2A LT 19 BLK I</t>
  </si>
  <si>
    <t>17840 BLACKBIRD DR</t>
  </si>
  <si>
    <t xml:space="preserve">MAZZO, GABRIEL A </t>
  </si>
  <si>
    <t>PO BOX 12851</t>
  </si>
  <si>
    <t>RENO PARK MH EST 2A LT 24 BLK H</t>
  </si>
  <si>
    <t>4020 GOLDFINCH DR</t>
  </si>
  <si>
    <t xml:space="preserve">HOUSE, STEVE L &amp; SHARON M </t>
  </si>
  <si>
    <t>P O BOX 60087</t>
  </si>
  <si>
    <t>RENO PARK MH EST 2A AMD LT 16 BLK L</t>
  </si>
  <si>
    <t>17405 EGRET LN</t>
  </si>
  <si>
    <t xml:space="preserve">BURRS, DENTON D  </t>
  </si>
  <si>
    <t xml:space="preserve">17405 EGRET LN </t>
  </si>
  <si>
    <t>COLD SPRINGS VALLEY HM 2 LT 3 BLK G</t>
  </si>
  <si>
    <t>17495 EGRET LN</t>
  </si>
  <si>
    <t>COLD SPRINGS VALLEY 1 &amp;</t>
  </si>
  <si>
    <t xml:space="preserve">COLD SPRINGS CHILD CARE, CENTER INC </t>
  </si>
  <si>
    <t>COLD SPRINGS VALLEY HOMES UNIT NO 2 LOTS 1 &amp; 2 BLK</t>
  </si>
  <si>
    <t>GCIQ</t>
  </si>
  <si>
    <t>3835 PEREGRINE CIR</t>
  </si>
  <si>
    <t>COLD SPRINGS VLY HOMES #</t>
  </si>
  <si>
    <t xml:space="preserve">SIMMONS, JERRY &amp; DINEENA  </t>
  </si>
  <si>
    <t>PO BOX 2082</t>
  </si>
  <si>
    <t>COLD SPRINGS VLY HOMES 2  LT 7  BLK E</t>
  </si>
  <si>
    <t>17420 EGRET LN</t>
  </si>
  <si>
    <t xml:space="preserve">FREEMAN, JANICE L </t>
  </si>
  <si>
    <t xml:space="preserve">17420 EGRET LN </t>
  </si>
  <si>
    <t xml:space="preserve">CUNNINGHAM, RICHARD &amp; DEBRA L </t>
  </si>
  <si>
    <t>COLD SPRINGS VLY HOMES # 2 LT 21 BLK H</t>
  </si>
  <si>
    <t>3810 BITTERN CT</t>
  </si>
  <si>
    <t xml:space="preserve">DONOHOE, LINDA C  </t>
  </si>
  <si>
    <t xml:space="preserve">9545 FREMONT WAY </t>
  </si>
  <si>
    <t xml:space="preserve">HOLLIBAUGH TRUST, ROBERT M   </t>
  </si>
  <si>
    <t>COLD SPRINGS VALLEY HM 2 LT 20 BLK A</t>
  </si>
  <si>
    <t>17360 EGRET LN</t>
  </si>
  <si>
    <t xml:space="preserve">DOMBOVARI TRUSTEE , KRISZTINA  </t>
  </si>
  <si>
    <t xml:space="preserve">JAMES C CLEMENT </t>
  </si>
  <si>
    <t>295 HOLCOMB AVE - STE 3</t>
  </si>
  <si>
    <t xml:space="preserve">EZ COLD SPRINGS LIVING TRUST   </t>
  </si>
  <si>
    <t>COLD SPRINGS VALLEY HOMES 2 LT 27 BLK H</t>
  </si>
  <si>
    <t>3770 BRANT ST</t>
  </si>
  <si>
    <t>REDDING, MARTY K &amp; KATHRYN L et al</t>
  </si>
  <si>
    <t xml:space="preserve">BENOIT, CARL E </t>
  </si>
  <si>
    <t>COLD SPRINGS VALLEY HM 2 LT 1 BLK B</t>
  </si>
  <si>
    <t>3790 BRANT ST</t>
  </si>
  <si>
    <t>COLD SPRINGS VALLEY HOMES 2</t>
  </si>
  <si>
    <t xml:space="preserve">SHERMAN, BILLY  </t>
  </si>
  <si>
    <t xml:space="preserve">3790 BRANT ST </t>
  </si>
  <si>
    <t xml:space="preserve">PAXTON, JUSTIN N &amp; KARA J </t>
  </si>
  <si>
    <t>COLD SPRINGS VALLEY HOMES 2 LT 3 BLK B</t>
  </si>
  <si>
    <t>3455 BECARD LN</t>
  </si>
  <si>
    <t>COLD SPRINGS VALLEY 3</t>
  </si>
  <si>
    <t xml:space="preserve">WELSH, JESSE L </t>
  </si>
  <si>
    <t xml:space="preserve">ROBLES, ERIKA E  </t>
  </si>
  <si>
    <t>COLD SPRINGS VALLEY HM 3 LT 9 BLK E</t>
  </si>
  <si>
    <t>3455 CANVASBACK LN</t>
  </si>
  <si>
    <t>COLD SPRINGS VALLEY HM 3</t>
  </si>
  <si>
    <t xml:space="preserve">WILLIAMS , VANCE A JR &amp; LETICIA  </t>
  </si>
  <si>
    <t xml:space="preserve">3455 CANVASBACK LN </t>
  </si>
  <si>
    <t xml:space="preserve">WILLIAMS , VANCE A JR  </t>
  </si>
  <si>
    <t>COLD SPRINGS VALLEY HM 3 LT 18 BLK D</t>
  </si>
  <si>
    <t>3375 CANVASBACK LN</t>
  </si>
  <si>
    <t xml:space="preserve">BASSETT, DIANE R  </t>
  </si>
  <si>
    <t xml:space="preserve">3375 CANVASBACK LN </t>
  </si>
  <si>
    <t xml:space="preserve">WILLINGHAM, JAMES B &amp; PAMELA J </t>
  </si>
  <si>
    <t>COLD SPRINGS VLY HOMES # 3 LT 10 BLK D</t>
  </si>
  <si>
    <t>3415 CANVASBACK LN</t>
  </si>
  <si>
    <t>BRIDGES, MICHAEL G et al</t>
  </si>
  <si>
    <t xml:space="preserve">MORGAN FAMILY TRUST  </t>
  </si>
  <si>
    <t>COLD SPRINGS VALLEY HOMES 3  LT 14 BLK D</t>
  </si>
  <si>
    <t>3450 CANVASBACK LN</t>
  </si>
  <si>
    <t>COLD SPRINGS VALLEY HMS 3</t>
  </si>
  <si>
    <t xml:space="preserve">CUMMINGS, MARK B  </t>
  </si>
  <si>
    <t>3450 CANVASBACK</t>
  </si>
  <si>
    <t>COLD SPRINGS VALLEY HM 3 LT 5 BLK C</t>
  </si>
  <si>
    <t>17665 MACAW LN</t>
  </si>
  <si>
    <t xml:space="preserve">WYATT, PATRICK D &amp; DONNA D  </t>
  </si>
  <si>
    <t xml:space="preserve">17665 MACAW LN </t>
  </si>
  <si>
    <t>RENO PARK MH EST 2B1 LT 8 BLK B</t>
  </si>
  <si>
    <t>17585 FANTAIL ST</t>
  </si>
  <si>
    <t xml:space="preserve">BALDYGA, JOSEPH </t>
  </si>
  <si>
    <t>RENO PARK MH EST 2B1 LT 20 BLK C</t>
  </si>
  <si>
    <t>17645 FANTAIL ST</t>
  </si>
  <si>
    <t xml:space="preserve">CHRISTOPHER, JENNIFER </t>
  </si>
  <si>
    <t xml:space="preserve">GONZALEZ, HECTOR A </t>
  </si>
  <si>
    <t>RENO PARK MH EST 2B1 LT 23 BLK C</t>
  </si>
  <si>
    <t>17570 FANTAIL ST</t>
  </si>
  <si>
    <t>RENO PARK EST 2BA</t>
  </si>
  <si>
    <t xml:space="preserve">RIVERA, MARIA C </t>
  </si>
  <si>
    <t>RENO PARK EST 2B1 LT 32 D</t>
  </si>
  <si>
    <t>17550 FANTAIL ST</t>
  </si>
  <si>
    <t xml:space="preserve">AFFORDABLE RURAL HOME ASSIST , TRUST  </t>
  </si>
  <si>
    <t>C/O KRISZTINA DOMBOVARI TTEE</t>
  </si>
  <si>
    <t xml:space="preserve">CLARK, GARY &amp; DEBBIE </t>
  </si>
  <si>
    <t>RENO PARK MH EST 2B1 LT 33 BLK D</t>
  </si>
  <si>
    <t>17510 FANTAIL ST</t>
  </si>
  <si>
    <t xml:space="preserve">AFFORDABLE COUNTRY LIVING TRST  </t>
  </si>
  <si>
    <t>RENO PARK MH EST 2B2 LT 1 BLK E</t>
  </si>
  <si>
    <t>17510 MACAW LN</t>
  </si>
  <si>
    <t xml:space="preserve">WHITAKER, WILLIAM M </t>
  </si>
  <si>
    <t>RENO PARK EST 2B3 LT 16 BLK B</t>
  </si>
  <si>
    <t>17355 WHIPPOORWILL LN</t>
  </si>
  <si>
    <t>RENO PARK MH EST 2B4</t>
  </si>
  <si>
    <t xml:space="preserve">GAGNON, MICHAEL A </t>
  </si>
  <si>
    <t>RENO PARK EST 2B4 LT 12 BLK C</t>
  </si>
  <si>
    <t>3850 MACAW LN</t>
  </si>
  <si>
    <t>RENO PARK EST 2B4</t>
  </si>
  <si>
    <t xml:space="preserve">MCWILLIAMS, ROY &amp; JUDDIE </t>
  </si>
  <si>
    <t>3771 PEREGRINE CIR</t>
  </si>
  <si>
    <t xml:space="preserve">GUY, DARLENE A </t>
  </si>
  <si>
    <t>RENO PARK EST 2B4 LT 2 BLK A</t>
  </si>
  <si>
    <t>17410 WHIPPOORWILL LN</t>
  </si>
  <si>
    <t>PLAKK, KELLIE E et al</t>
  </si>
  <si>
    <t>17410 WHIPPOORWILL</t>
  </si>
  <si>
    <t>RENO PARK EST 2B4 LT 17 BLK B</t>
  </si>
  <si>
    <t>17220 SUNBIRD LN</t>
  </si>
  <si>
    <t>RENO PARK MH EST 2B7</t>
  </si>
  <si>
    <t xml:space="preserve">LEYDECKER, JAMES J &amp; SALLY A  </t>
  </si>
  <si>
    <t xml:space="preserve">17220 SUNBIRD LN </t>
  </si>
  <si>
    <t>RENO PARK MH EST 2B7 LT 15 BLK D</t>
  </si>
  <si>
    <t>17225 WHIPPOORWILL LN</t>
  </si>
  <si>
    <t xml:space="preserve">BROWN, JERRY &amp; CAROLYN </t>
  </si>
  <si>
    <t>RENO PARK ESTATES 2B-8 LT 13 BLK B</t>
  </si>
  <si>
    <t>10705 WELLS FARGO RD</t>
  </si>
  <si>
    <t xml:space="preserve">SHERMAN, SUZANNE M </t>
  </si>
  <si>
    <t>SILVER KNOLLS RANCH EST 5 LT 30</t>
  </si>
  <si>
    <t>10505 WELLS FARGO RD</t>
  </si>
  <si>
    <t xml:space="preserve">BUDREWICZ, JOHN &amp; ANTOINETTE </t>
  </si>
  <si>
    <t xml:space="preserve">PO BOX 60536                            </t>
  </si>
  <si>
    <t>SILVER KNOLLS RANCH EST 5 LT 22</t>
  </si>
  <si>
    <t>10605 RED ROCK RD</t>
  </si>
  <si>
    <t xml:space="preserve">CHASE, DONALD J  </t>
  </si>
  <si>
    <t xml:space="preserve">10605 RED ROCK RD </t>
  </si>
  <si>
    <t>SILVER KNOLLS RANCH EST 5 LT 1</t>
  </si>
  <si>
    <t>11005 BIGHORN DR</t>
  </si>
  <si>
    <t xml:space="preserve">MUNIZ, GUILLERMO Z &amp; SHERRY L  </t>
  </si>
  <si>
    <t xml:space="preserve">PRUITT, RICHARD L &amp; DIANE E </t>
  </si>
  <si>
    <t>SILVER KNOLLS RANCH EST 7 LT 13 BLK B</t>
  </si>
  <si>
    <t>10250 SUTTERS MILL LN</t>
  </si>
  <si>
    <t xml:space="preserve">ROSS, JOHN M &amp; ALISON </t>
  </si>
  <si>
    <t>10250 ALDEBARAN DR</t>
  </si>
  <si>
    <t xml:space="preserve">ROSS, JOHN M </t>
  </si>
  <si>
    <t>SILVER KNOLLS RANCH EST 7 LT 38 BLK C</t>
  </si>
  <si>
    <t>10505 SUTTERS MILL LN</t>
  </si>
  <si>
    <t>SILVER KNOLLS RANCH 7</t>
  </si>
  <si>
    <t xml:space="preserve">DOUGLAS, LAUREL H </t>
  </si>
  <si>
    <t>SILVER KNOLLS RANCH EST 7 LT 44 BLK C</t>
  </si>
  <si>
    <t>17130 TOURACO CT</t>
  </si>
  <si>
    <t xml:space="preserve">ESCOBAR, ROSA </t>
  </si>
  <si>
    <t>BROWN, BETTY J  et al</t>
  </si>
  <si>
    <t>COLD SPRINGS RANCH 1 LT 3 BLK D</t>
  </si>
  <si>
    <t>17185 WAXWING ST</t>
  </si>
  <si>
    <t xml:space="preserve">REINHARDT, RONALD &amp; CYNTHIA G  </t>
  </si>
  <si>
    <t xml:space="preserve">17185 WAXWING </t>
  </si>
  <si>
    <t xml:space="preserve">REEVES, HARLEY A &amp; DEBORAH K </t>
  </si>
  <si>
    <t>COLD SPRINGS RANCH 1 LT 3 BLK C</t>
  </si>
  <si>
    <t>17530 BLACKBIRD DR</t>
  </si>
  <si>
    <t>RENO PARK EST 2B9</t>
  </si>
  <si>
    <t xml:space="preserve">LEVEAUX, NICOLOUS J  </t>
  </si>
  <si>
    <t xml:space="preserve">DARR, STEVE </t>
  </si>
  <si>
    <t>RENO PARK EST 2B9 LT 38 BLK D</t>
  </si>
  <si>
    <t>4045 GROUSE WAY</t>
  </si>
  <si>
    <t xml:space="preserve">COLLINS, HOWARD C &amp; EVA J </t>
  </si>
  <si>
    <t>RENO PARK EST 2B9 LT 29 BLK C</t>
  </si>
  <si>
    <t>3985 GROUSE WAY</t>
  </si>
  <si>
    <t>LINDRUM, BRENT et al</t>
  </si>
  <si>
    <t>AYRES SABRINA</t>
  </si>
  <si>
    <t>3895 GROUSE WAY</t>
  </si>
  <si>
    <t xml:space="preserve">TAYLOR, DAYMON &amp; WALETTA </t>
  </si>
  <si>
    <t>RENO PARK EST 2B9 LT 35 BLK C</t>
  </si>
  <si>
    <t>3975 GROUSE WAY</t>
  </si>
  <si>
    <t xml:space="preserve">RUSHING, DAVID L </t>
  </si>
  <si>
    <t xml:space="preserve">1620 GAULT WAY </t>
  </si>
  <si>
    <t>RENO PARK EST 2B9 LT 36 BLK C</t>
  </si>
  <si>
    <t>3830 DIAMOND PEAK DR</t>
  </si>
  <si>
    <t>PEAVINE VIEW EST 1</t>
  </si>
  <si>
    <t>BAXTER, JOYCE E  et al</t>
  </si>
  <si>
    <t xml:space="preserve">3830 DIAMOND PEAK DR </t>
  </si>
  <si>
    <t>087-400-04</t>
  </si>
  <si>
    <t>PEAVINE VIEW EST 1 LT 1 BLK A</t>
  </si>
  <si>
    <t>3865 DIAMOND PEAK DR</t>
  </si>
  <si>
    <t xml:space="preserve">PEAVINE VIEW EST 2 </t>
  </si>
  <si>
    <t xml:space="preserve">BARNETTE, TODD </t>
  </si>
  <si>
    <t>087-400-20</t>
  </si>
  <si>
    <t>PEAVINE VIEW EST 2 FR LT 2 BLK A</t>
  </si>
  <si>
    <t>19995 FULL HOUSE RD</t>
  </si>
  <si>
    <t>DLM 146</t>
  </si>
  <si>
    <t xml:space="preserve">LIFESTYLE HOMES TND LLC </t>
  </si>
  <si>
    <t>P O BOX 7548</t>
  </si>
  <si>
    <t>087-021-22</t>
  </si>
  <si>
    <t>DLM 146 LT 2</t>
  </si>
  <si>
    <t>GCHJ</t>
  </si>
  <si>
    <t>17135 AMETHYST DR</t>
  </si>
  <si>
    <t>TRACEY, JAMES M et al</t>
  </si>
  <si>
    <t xml:space="preserve">CRANE, CHRISTOPHER &amp; DEIDREA </t>
  </si>
  <si>
    <t>COLD SPRINGS RANCH 6 LT 4 BLK H</t>
  </si>
  <si>
    <t>17110 AMETHYST DR</t>
  </si>
  <si>
    <t xml:space="preserve">BARELA, BENJAMIN M &amp; DIANA F </t>
  </si>
  <si>
    <t>COLD SPRINGS RANCH 6 LT 14 BLK E</t>
  </si>
  <si>
    <t>17275 AQUAMARINE DR</t>
  </si>
  <si>
    <t xml:space="preserve">CHESNUTT, AARON M &amp; LAURIE L  </t>
  </si>
  <si>
    <t xml:space="preserve">17275 AQUAMARINE DR </t>
  </si>
  <si>
    <t>087-430-34</t>
  </si>
  <si>
    <t>COLD SPRINGS RANCH 7 ADJ LT 11 BLK I (RS 3870 LT 1</t>
  </si>
  <si>
    <t>17175 AQUAMARINE DR</t>
  </si>
  <si>
    <t xml:space="preserve">LARSEN, BILL N </t>
  </si>
  <si>
    <t>PO BOX 1793</t>
  </si>
  <si>
    <t xml:space="preserve">BOLGER, JEREMIAH P </t>
  </si>
  <si>
    <t>COLD SPRINGS RANCH 7 ADJ LT 1 BLK I (RS 3870 LT 1A</t>
  </si>
  <si>
    <t>17214 AQUAMARINE DR</t>
  </si>
  <si>
    <t xml:space="preserve">EDWARDS, TERESA M </t>
  </si>
  <si>
    <t xml:space="preserve">SCHONERT, MARITA H </t>
  </si>
  <si>
    <t>COLD SPRINGS RANCH 7  LT 20  BLK H</t>
  </si>
  <si>
    <t>17290 MAGNETITE DR</t>
  </si>
  <si>
    <t xml:space="preserve">DAWSON, CLAIRE L  </t>
  </si>
  <si>
    <t xml:space="preserve">17265 AQUAMARINE DR </t>
  </si>
  <si>
    <t>COLD SPRINGS RANCH 7 LT 18 BLK G</t>
  </si>
  <si>
    <t>3935 RAINIER CT</t>
  </si>
  <si>
    <t xml:space="preserve">THOMAS, THOMAS B JR &amp; NICHOLE R </t>
  </si>
  <si>
    <t xml:space="preserve">MCPHAIL, MARK D &amp; KATHLEEN G </t>
  </si>
  <si>
    <t>PEAVINE VIEW EST 3 LT 20 BLK A</t>
  </si>
  <si>
    <t>17863 BEAR RIVER CT</t>
  </si>
  <si>
    <t>OLSON , AUSTIN K  et al</t>
  </si>
  <si>
    <t xml:space="preserve">17863 BEAR RIVER CT </t>
  </si>
  <si>
    <t>WOODLAND VILLAGE 1 LT 64</t>
  </si>
  <si>
    <t>17833 BEAR RIVER CT</t>
  </si>
  <si>
    <t>BERIGAN, WILLIAM J et al</t>
  </si>
  <si>
    <t xml:space="preserve">HILL, JIM L &amp; NANCY J </t>
  </si>
  <si>
    <t>WOODLAND VILLAGE 1 LT 61</t>
  </si>
  <si>
    <t>35 PEBBLE CT</t>
  </si>
  <si>
    <t xml:space="preserve">MILTON, NICOLE A </t>
  </si>
  <si>
    <t>WOODLAND VILLAGE 1 LT 42</t>
  </si>
  <si>
    <t>17308 BEAR LAKE DR</t>
  </si>
  <si>
    <t xml:space="preserve">SALAZAR, JOSE L  </t>
  </si>
  <si>
    <t xml:space="preserve">17308 BEAR LAKE DR </t>
  </si>
  <si>
    <t>MOORE, BEVERLY E ESTATE</t>
  </si>
  <si>
    <t>WOODLAND VILLAGE 1 LT 23</t>
  </si>
  <si>
    <t>17347 BEAR LAKE DR</t>
  </si>
  <si>
    <t xml:space="preserve">WHITENER, CARRIE A </t>
  </si>
  <si>
    <t>NRES-NV1 LLC LLC</t>
  </si>
  <si>
    <t>WOODLAND VILLAGE 1 LT 8</t>
  </si>
  <si>
    <t>17639 FEATHER RIVER CT</t>
  </si>
  <si>
    <t xml:space="preserve">STORMOEN, TROY D </t>
  </si>
  <si>
    <t>WOODLAND VILLAGE 2 LT 128</t>
  </si>
  <si>
    <t>17668 FEATHER RIVER CT</t>
  </si>
  <si>
    <t xml:space="preserve">BRAZIL, RALPH A  </t>
  </si>
  <si>
    <t xml:space="preserve">17668 FEATHER RIVER CT </t>
  </si>
  <si>
    <t>WOODLAND VILLAGE 2 LT 148</t>
  </si>
  <si>
    <t>17457 BEAR LAKE DR</t>
  </si>
  <si>
    <t xml:space="preserve">BIRCH, BRIAN &amp; HOLLY M  </t>
  </si>
  <si>
    <t xml:space="preserve">17457 BEAR LAKE DR </t>
  </si>
  <si>
    <t>WOODLAND VILLAGE 3 LT 202</t>
  </si>
  <si>
    <t>17626 GRAND VALLEY CT</t>
  </si>
  <si>
    <t xml:space="preserve">RODRIGUEZ FAMILY TRUST, ANTHONY &amp; KELLI  </t>
  </si>
  <si>
    <t xml:space="preserve">RODRIGUEZ, ANTHONY J &amp; KELLI J </t>
  </si>
  <si>
    <t>WOODLAND VILLAGE 3 LT 205</t>
  </si>
  <si>
    <t>17597 GRAND VALLEY CT</t>
  </si>
  <si>
    <t>MEURER, ERIC D  et al</t>
  </si>
  <si>
    <t xml:space="preserve">17597 GRAND VALLEY CT </t>
  </si>
  <si>
    <t xml:space="preserve">MEURER, ERIC D  </t>
  </si>
  <si>
    <t>WOODLAND VILLAGE 3 LT 219</t>
  </si>
  <si>
    <t>17685 FROST PEAK CT</t>
  </si>
  <si>
    <t xml:space="preserve">SALCIDO, EDWARD R &amp; CHRISTINE  </t>
  </si>
  <si>
    <t xml:space="preserve">17685 FROST PEAK CT </t>
  </si>
  <si>
    <t xml:space="preserve">VASKO, JAMES L </t>
  </si>
  <si>
    <t>WOODLAND VILLAGE 3 LT241</t>
  </si>
  <si>
    <t>17772 FOSSIL CT</t>
  </si>
  <si>
    <t xml:space="preserve">SAVILLE, DUSTIN L &amp; ASHLEY S  </t>
  </si>
  <si>
    <t xml:space="preserve">17772 FOSSIL CT </t>
  </si>
  <si>
    <t>WOODLAND VILLAGE 3 LT 245</t>
  </si>
  <si>
    <t>17757 FIESTA CT</t>
  </si>
  <si>
    <t xml:space="preserve">STOUT, GEORGE W &amp; SANDRA L  </t>
  </si>
  <si>
    <t xml:space="preserve">17757 FIESTA CT </t>
  </si>
  <si>
    <t>WOODLAND VILLAGE 3 LT 257</t>
  </si>
  <si>
    <t>17777 FIESTA CT</t>
  </si>
  <si>
    <t xml:space="preserve">GRATO, ROGER J JR </t>
  </si>
  <si>
    <t xml:space="preserve">KOSTALEK, JAMES &amp; KIM L </t>
  </si>
  <si>
    <t>WOODLAND VILLAGE 3 LT 255</t>
  </si>
  <si>
    <t>17629 ELK CT</t>
  </si>
  <si>
    <t xml:space="preserve">DOLAN, MICHAEL J </t>
  </si>
  <si>
    <t xml:space="preserve">WESTPHAL, MICHAEL J JR &amp; TERY J </t>
  </si>
  <si>
    <t>WOODLAND VILLAGE 3 LT 215</t>
  </si>
  <si>
    <t>17864 GEORGETOWN DR</t>
  </si>
  <si>
    <t xml:space="preserve">LORTON, JEFF M &amp; SANDRA </t>
  </si>
  <si>
    <t xml:space="preserve">TORRES, CHRISTOPHER J &amp; ALISA N </t>
  </si>
  <si>
    <t xml:space="preserve">WOODLAND VILLAGE 4 LT 367 (SPLIT FROM 087-021-36) </t>
  </si>
  <si>
    <t>17834 GEORGETOWN DR</t>
  </si>
  <si>
    <t xml:space="preserve">BAKER , GAYLE &amp; TIMOTHY K  </t>
  </si>
  <si>
    <t>WOODLAND VILLAGE 4 LT 370</t>
  </si>
  <si>
    <t>17725 GEORGETOWN DR</t>
  </si>
  <si>
    <t xml:space="preserve">FOGAL, DAWNELLE A &amp; MICHAEL A  </t>
  </si>
  <si>
    <t xml:space="preserve">17725 GEORGETOWN DR </t>
  </si>
  <si>
    <t>WOODLAND VILLAGE 4 LT 355</t>
  </si>
  <si>
    <t>17805 GEORGETOWN DR</t>
  </si>
  <si>
    <t xml:space="preserve">POEHLMANN, MATTHEW E &amp; MELINDA K </t>
  </si>
  <si>
    <t xml:space="preserve">WOODLAND VILLAGE 4 LT 363 </t>
  </si>
  <si>
    <t>17685 GEORGETOWN CT</t>
  </si>
  <si>
    <t>MAYBERRY, MICHELLE D et al</t>
  </si>
  <si>
    <t>ALVARADO, DIANA V et al</t>
  </si>
  <si>
    <t xml:space="preserve">WOODLAND VILLAGE 4 LT 351 </t>
  </si>
  <si>
    <t>18155 RIO CT</t>
  </si>
  <si>
    <t xml:space="preserve">TURNER, DAVID A &amp; JOAN M </t>
  </si>
  <si>
    <t xml:space="preserve">WOODLAND VILLAGE 4 LT 306  </t>
  </si>
  <si>
    <t>18125 PASADO CT</t>
  </si>
  <si>
    <t xml:space="preserve">VEZINA, DONAVAN T </t>
  </si>
  <si>
    <t xml:space="preserve">18125 PASADO CT </t>
  </si>
  <si>
    <t xml:space="preserve">WOODLAND VILLAGE 4 LT 326 </t>
  </si>
  <si>
    <t>17944 FONTI CT</t>
  </si>
  <si>
    <t xml:space="preserve">FURNESS, BONNIE M </t>
  </si>
  <si>
    <t xml:space="preserve">17944 FONTI CT                    </t>
  </si>
  <si>
    <t xml:space="preserve">MORALES, JEREMY J &amp; JANA M </t>
  </si>
  <si>
    <t xml:space="preserve">WOODLAND VILLAGE 4 LT 288 (SPLIT FROM 087-021-36) </t>
  </si>
  <si>
    <t>17925 FONTI CT</t>
  </si>
  <si>
    <t xml:space="preserve">GUY, RICHARD &amp; AMBER </t>
  </si>
  <si>
    <t xml:space="preserve">KASSEES, FRANK J </t>
  </si>
  <si>
    <t xml:space="preserve">WOODLAND VILLAGE 4 LT 291 (SPLIT FROM 087-021-36) </t>
  </si>
  <si>
    <t>18005 LOCKSPUR CT</t>
  </si>
  <si>
    <t xml:space="preserve">BRADLEY, NORMA C </t>
  </si>
  <si>
    <t>4224 PANCHO RD</t>
  </si>
  <si>
    <t>CAMARILLO</t>
  </si>
  <si>
    <t xml:space="preserve">WOODLAND VILLAGE 4 LT 338 (SPLIT FROM 087-021-36) </t>
  </si>
  <si>
    <t>18055 LOCKSPUR CT</t>
  </si>
  <si>
    <t xml:space="preserve">BUTLER, AMY L </t>
  </si>
  <si>
    <t xml:space="preserve">HUGHES, DAVID A &amp; BARBARA M </t>
  </si>
  <si>
    <t xml:space="preserve">WOODLAND VILLAGE 4 LT 333 (SPLIT FROM 087-021-36) </t>
  </si>
  <si>
    <t>3595 E GOLDEN VALLEY RD</t>
  </si>
  <si>
    <t xml:space="preserve">NAY, EDWARD L &amp; KATHLEEN M  </t>
  </si>
  <si>
    <t xml:space="preserve">3595 E GOLDEN VALLEY RD </t>
  </si>
  <si>
    <t>900 NORTH HILLS BLVD</t>
  </si>
  <si>
    <t>GOLDEN VALLEY IND PARK FR</t>
  </si>
  <si>
    <t>088-241-01</t>
  </si>
  <si>
    <t>GOLDEN VALLEY INDUSTRIAL PARK FR LT 1 BLK A (RS 31</t>
  </si>
  <si>
    <t>GBCU</t>
  </si>
  <si>
    <t>880 NORTH HILLS BLVD</t>
  </si>
  <si>
    <t>GOLDEN VALLEY INDUSTRIAL PARK FR LT C BLK A (RS 31</t>
  </si>
  <si>
    <t>6575 DAVID JAMES BLVD</t>
  </si>
  <si>
    <t xml:space="preserve">CAMERON, WES &amp; EVELYN </t>
  </si>
  <si>
    <t xml:space="preserve">KELLY, MIKE D &amp; KRISTINE </t>
  </si>
  <si>
    <t>DESERT SPRINGS 1 LT 72 BLK E</t>
  </si>
  <si>
    <t>80 SAHARA CT</t>
  </si>
  <si>
    <t xml:space="preserve">HOLMSTROM, ERIK K &amp; CINDY A </t>
  </si>
  <si>
    <t>17842 KACHINA CT</t>
  </si>
  <si>
    <t xml:space="preserve">ORTIZ, MARCO A &amp; ROSAURA I </t>
  </si>
  <si>
    <t>DESERT SPRINGS 1 LT 46 BLK E</t>
  </si>
  <si>
    <t>35 DESERT SPRING CIR</t>
  </si>
  <si>
    <t xml:space="preserve">KLASON TRUST, MILDRED I  </t>
  </si>
  <si>
    <t>DESERT SPRINGS 1 LT 22 BLK E</t>
  </si>
  <si>
    <t>3610 ERIN DR</t>
  </si>
  <si>
    <t xml:space="preserve">CUMINGS REVOCABLE TRUST, LORRAINE F  </t>
  </si>
  <si>
    <t>4976 ALTA RICO</t>
  </si>
  <si>
    <t xml:space="preserve">RODONI, RUSSELL J &amp; KAREN A </t>
  </si>
  <si>
    <t>DESERT SPRINGS 1 LT 2 BLK B</t>
  </si>
  <si>
    <t>37 S SPRING MOUNTAIN CIR</t>
  </si>
  <si>
    <t xml:space="preserve">PIAZZA, VINCENT P &amp; MELISSA D  </t>
  </si>
  <si>
    <t xml:space="preserve">MORENO FAMILY TRUST  </t>
  </si>
  <si>
    <t>DESERT SPRINGS 1 LT 8  BLK C</t>
  </si>
  <si>
    <t>17 S AMANDA CIR</t>
  </si>
  <si>
    <t xml:space="preserve">TURNER, BILLIE L </t>
  </si>
  <si>
    <t>DESERT SPRINGS 1 LT 38 BLK C</t>
  </si>
  <si>
    <t>3625 ERIN DR</t>
  </si>
  <si>
    <t>ANDERSON, BRIAN J et al</t>
  </si>
  <si>
    <t>3625 ERIN AVE</t>
  </si>
  <si>
    <t>DESERT SPRINGS 1 LT 45 BLK C</t>
  </si>
  <si>
    <t>5690 DOLORES DR</t>
  </si>
  <si>
    <t xml:space="preserve">MARTINEZ, CHRISTOPHER E &amp; MEGAN G </t>
  </si>
  <si>
    <t xml:space="preserve">TURNER, NICKIE E &amp; LORRAIN D </t>
  </si>
  <si>
    <t>DESERT SPRINGS 1 LOT 3 BLOCK A</t>
  </si>
  <si>
    <t>7640 ROBERT BANKS BLVD</t>
  </si>
  <si>
    <t xml:space="preserve">BONCA, ANDREW J </t>
  </si>
  <si>
    <t>DESERT SPRINGS 1 LT 19 BLK D</t>
  </si>
  <si>
    <t>69 S PATTERSON PL</t>
  </si>
  <si>
    <t xml:space="preserve">INURRIAGA, JOSE R M </t>
  </si>
  <si>
    <t>DESERT SPRINGS 1 LT 31 BLK D</t>
  </si>
  <si>
    <t>5490 DOLORES DR</t>
  </si>
  <si>
    <t>DESERT SPRINGS UNIT 2</t>
  </si>
  <si>
    <t>TAYLOR, DANIEL A et al</t>
  </si>
  <si>
    <t xml:space="preserve">HUMPHREYS, ANTHEA G  </t>
  </si>
  <si>
    <t>DESERT SPRINGS 2 LT 7 BLK A</t>
  </si>
  <si>
    <t>5530 DOLORES DR</t>
  </si>
  <si>
    <t xml:space="preserve">FAIGIN, FREDERICK L </t>
  </si>
  <si>
    <t>DESERT SPRINGS 2 LT 11 BLK A</t>
  </si>
  <si>
    <t>120 W SKY RANCH CT</t>
  </si>
  <si>
    <t>PYRAMID RANCH EST UNIT 2</t>
  </si>
  <si>
    <t xml:space="preserve">BRANT, RICHARD A  </t>
  </si>
  <si>
    <t>120 WEST SKY RANCH CT</t>
  </si>
  <si>
    <t>PYRAMID RANCH ESTATES 2 LT 32 BLK D</t>
  </si>
  <si>
    <t>60 PALM SPRINGS CT</t>
  </si>
  <si>
    <t>PYRAMID RANCH ESTS UNIT 1</t>
  </si>
  <si>
    <t xml:space="preserve">MCAVOY, STEPHANIE L </t>
  </si>
  <si>
    <t xml:space="preserve">FISHER LIVING TRUST, JAMES R &amp; DIANE R </t>
  </si>
  <si>
    <t>PYRAMID RANCH EST 1 LT 22 BLK B</t>
  </si>
  <si>
    <t>170 EMANUEL CT</t>
  </si>
  <si>
    <t xml:space="preserve">SHADLOW, MARK C </t>
  </si>
  <si>
    <t xml:space="preserve">LUONG, STEVE &amp; LIEN K </t>
  </si>
  <si>
    <t>PYRAMID RANCH EST 3A LT 44 BLK A</t>
  </si>
  <si>
    <t>10375 PALM DESERT DR</t>
  </si>
  <si>
    <t xml:space="preserve">LUKAS , IVY K  </t>
  </si>
  <si>
    <t xml:space="preserve">10375 PALM DESERT DR </t>
  </si>
  <si>
    <t>PYRAMID RANCH EST 3A LT 16 BLK D</t>
  </si>
  <si>
    <t>185 REGIER SPRINGS DR</t>
  </si>
  <si>
    <t xml:space="preserve">MONROE, MARK J  </t>
  </si>
  <si>
    <t xml:space="preserve">185 REIGER SPRINGS DR </t>
  </si>
  <si>
    <t>PYRAMID RANCH EST 3A LT 11 BLK B</t>
  </si>
  <si>
    <t>115 TEQUILLA CT</t>
  </si>
  <si>
    <t xml:space="preserve">BOWLIN, SHANE &amp; KAREN  </t>
  </si>
  <si>
    <t>PO BOX 8711</t>
  </si>
  <si>
    <t>NIKISKI</t>
  </si>
  <si>
    <t>99635</t>
  </si>
  <si>
    <t>PYRAMID RANCH EST 3A LT 8 BLK A</t>
  </si>
  <si>
    <t>125 TEQUILLA CT</t>
  </si>
  <si>
    <t xml:space="preserve">MURRAY, JOHN R &amp; SELENE M  </t>
  </si>
  <si>
    <t xml:space="preserve">125 TEQUILLA CT </t>
  </si>
  <si>
    <t xml:space="preserve">PARSCH, TIM </t>
  </si>
  <si>
    <t>PYRAMID RANCH EST UNIT 3A FRAC LOT 6 &amp; ALL LOT 7 B</t>
  </si>
  <si>
    <t>40 DATE PALM DR</t>
  </si>
  <si>
    <t xml:space="preserve">BIERBACH, HAROLD R </t>
  </si>
  <si>
    <t xml:space="preserve">YORK, LANA J &amp; JOSEPH M </t>
  </si>
  <si>
    <t>PYRAMID RANCH EST 4A LT 6 BLK A</t>
  </si>
  <si>
    <t>280 KARNAK CIR</t>
  </si>
  <si>
    <t xml:space="preserve">HILL, TIMOTHY </t>
  </si>
  <si>
    <t>PYRAMID RANCH EST 4B LT 26 BLK A</t>
  </si>
  <si>
    <t>205 KARNAK CIR</t>
  </si>
  <si>
    <t>PYRAMID RANCH EST 4</t>
  </si>
  <si>
    <t xml:space="preserve">GLOYD, MICHAEL J  </t>
  </si>
  <si>
    <t xml:space="preserve">205 KAMAK CIR </t>
  </si>
  <si>
    <t>PYRAMID RANCH EST 4B LT 9 BLK D</t>
  </si>
  <si>
    <t>125 ROSETTA STONE CT</t>
  </si>
  <si>
    <t>LAFORGE, JERRY L et al</t>
  </si>
  <si>
    <t xml:space="preserve">WILLIAMS, FREDERICK D &amp; ERIKA G </t>
  </si>
  <si>
    <t>PYRAMID RANCH EST 4B LT 11 BLK E</t>
  </si>
  <si>
    <t>25 ROSETTA STONE CT</t>
  </si>
  <si>
    <t xml:space="preserve">DREW, DYANA L </t>
  </si>
  <si>
    <t>PYRAMID RANCH EST 4B LT 6 BLK E</t>
  </si>
  <si>
    <t>105 DATE PALM DR</t>
  </si>
  <si>
    <t>PYRAMID RANCH EST 4C</t>
  </si>
  <si>
    <t xml:space="preserve">HIGGINBOTHAM, ROBIN D  </t>
  </si>
  <si>
    <t>PO BOX 2290</t>
  </si>
  <si>
    <t xml:space="preserve">PINTAR, MARKO &amp; TONICA </t>
  </si>
  <si>
    <t>PYRAMID RANCH EST 4C LT 45 BLK C</t>
  </si>
  <si>
    <t>560 ASWAN ST</t>
  </si>
  <si>
    <t xml:space="preserve">SANDERS, EUGENE D &amp; MARCIA J </t>
  </si>
  <si>
    <t xml:space="preserve">SPALIONE , EDWARD O </t>
  </si>
  <si>
    <t>PYRAMID RANCH EST 4C LT 29 BLK C</t>
  </si>
  <si>
    <t>720 ASWAN ST</t>
  </si>
  <si>
    <t>PYRAMID RANCH EST UT 4D</t>
  </si>
  <si>
    <t xml:space="preserve">AIELLO, MICHAEL J  </t>
  </si>
  <si>
    <t xml:space="preserve">SMITH LIVING TRUST, BARBARA J  </t>
  </si>
  <si>
    <t>PYRAMID RANCH EST UT 4D LT 11 BLK K</t>
  </si>
  <si>
    <t>360 HYACINTH ST</t>
  </si>
  <si>
    <t xml:space="preserve">ANGELO, ARTHUR N &amp; KIM M </t>
  </si>
  <si>
    <t>1157 LIBERTY CT</t>
  </si>
  <si>
    <t>PYRAMID RANCH EST4D LT 8 BLK K</t>
  </si>
  <si>
    <t>5555 GRASSWOOD DR</t>
  </si>
  <si>
    <t xml:space="preserve">KENNEDY, THOMAS J </t>
  </si>
  <si>
    <t>SPRINGWOOD 1 LT 5 BLK E</t>
  </si>
  <si>
    <t>3752 ERIN CT</t>
  </si>
  <si>
    <t xml:space="preserve">MCELROY, JAROD M  </t>
  </si>
  <si>
    <t xml:space="preserve">3752 ERIN CT </t>
  </si>
  <si>
    <t xml:space="preserve">TUCKER, LOUISE M </t>
  </si>
  <si>
    <t>SPRINGWOOD # 1 LT 45 BLK A</t>
  </si>
  <si>
    <t>159 ROSETTA STONE DR</t>
  </si>
  <si>
    <t xml:space="preserve">CAMPBELL, LARRY D JR &amp; BOBIJO </t>
  </si>
  <si>
    <t xml:space="preserve">159 ROSETTA STONE DR </t>
  </si>
  <si>
    <t>PYRAMID RANCH EST 5A LT 4 BLK A</t>
  </si>
  <si>
    <t>202 DESERT ROSE DR</t>
  </si>
  <si>
    <t>ARSENAULT, ANGELIQUE et al</t>
  </si>
  <si>
    <t xml:space="preserve">VILLA-LEAL EVER J </t>
  </si>
  <si>
    <t xml:space="preserve">202 DESERT ROSE DR </t>
  </si>
  <si>
    <t xml:space="preserve">HOPKINS FAMILY TRUST  </t>
  </si>
  <si>
    <t>PYRAMID RANCH EST 5A LT 10 BLK C</t>
  </si>
  <si>
    <t>219 DESERT ROSE DR</t>
  </si>
  <si>
    <t xml:space="preserve">SNELLBAKER, MICHAEL J </t>
  </si>
  <si>
    <t xml:space="preserve">LA RUE FAMILY PARTNERS L P </t>
  </si>
  <si>
    <t>PYRAMID RANCH EST 5A LT 1 BLK B</t>
  </si>
  <si>
    <t>255 NICOLE DR</t>
  </si>
  <si>
    <t>SPANISH SPRINGS VLG UT 1</t>
  </si>
  <si>
    <t xml:space="preserve">GEPHART LIVING TRUST  </t>
  </si>
  <si>
    <t>2940 BARRANCA DR</t>
  </si>
  <si>
    <t xml:space="preserve">GEPHART, LINDA D </t>
  </si>
  <si>
    <t>SPANISH SPRINGS VILLAGE UT 1 LT 2 BLK C</t>
  </si>
  <si>
    <t>145 NICOLE DR</t>
  </si>
  <si>
    <t>SPANISH SPRINGS VLG 1</t>
  </si>
  <si>
    <t xml:space="preserve">DUGGER, CHRISTOPHER J </t>
  </si>
  <si>
    <t>SPANISH SPRINGS VLG 1 LT 4 BLK E</t>
  </si>
  <si>
    <t>80 SHEENA CT</t>
  </si>
  <si>
    <t xml:space="preserve">MAHAFFEY, NATHAN &amp; CATHY  </t>
  </si>
  <si>
    <t xml:space="preserve">80 SHEENA CT </t>
  </si>
  <si>
    <t xml:space="preserve">SHAPIRO TRUST  </t>
  </si>
  <si>
    <t>SPANISH SPRINGS VILLAGE 1 LT 6 BLK A</t>
  </si>
  <si>
    <t>207 WHITE ROSE DR</t>
  </si>
  <si>
    <t xml:space="preserve">ABBOTT, MATTHEW D &amp; LISA </t>
  </si>
  <si>
    <t>PYRAMID RANCH EST 5B LT 25 BLK C</t>
  </si>
  <si>
    <t>150 VERONICA AVE</t>
  </si>
  <si>
    <t>SPANISH SPRINGS VLG 2</t>
  </si>
  <si>
    <t xml:space="preserve">OCHOA, JAIME  </t>
  </si>
  <si>
    <t xml:space="preserve">NICKELS, JERRY &amp; ANN </t>
  </si>
  <si>
    <t>SPANISH SPRINGS VLG 2 LT 10 BLK E</t>
  </si>
  <si>
    <t>145 VERONICA AVE</t>
  </si>
  <si>
    <t xml:space="preserve">REYES, JOHN &amp; COLLEEN M </t>
  </si>
  <si>
    <t xml:space="preserve">DEMARS, VANCE L &amp; BERNADETTE </t>
  </si>
  <si>
    <t>SPANISH SPRINGS VILLAGE 2 LT 8 BLK F</t>
  </si>
  <si>
    <t>140 MONUMENTAL CIR</t>
  </si>
  <si>
    <t>SPANISH SPRINGS VILLAGE</t>
  </si>
  <si>
    <t xml:space="preserve">SOTO, KIMBERLY </t>
  </si>
  <si>
    <t>SPANISH SPRINGS VILLAGE 2 LT 17 BLK F</t>
  </si>
  <si>
    <t>185 VERONICA AVE</t>
  </si>
  <si>
    <t>MARLOW, BRANDON R et al</t>
  </si>
  <si>
    <t xml:space="preserve">THOMPSON TRUST  </t>
  </si>
  <si>
    <t>SPANISH SPRINGS VILLAGE 2 LT 5 BLK F</t>
  </si>
  <si>
    <t>195 MONUMENTAL CIR</t>
  </si>
  <si>
    <t xml:space="preserve">DILLON, TRAVIS T </t>
  </si>
  <si>
    <t>195 MONUMENAL CIR</t>
  </si>
  <si>
    <t xml:space="preserve">PINELL, MICHAEL A </t>
  </si>
  <si>
    <t>SPANISH SPRINGS VILLAGE 2 LT 1 BLK G</t>
  </si>
  <si>
    <t>250 MONUMENTAL CIR</t>
  </si>
  <si>
    <t>SPANISH SPRINGS VILLAGE 3</t>
  </si>
  <si>
    <t xml:space="preserve">KOEPKE, EDWARD L &amp; SHERRI L  </t>
  </si>
  <si>
    <t>089-151-40</t>
  </si>
  <si>
    <t>SPANISH SPRINGS VILLAGE 3 LT 28 BLK F</t>
  </si>
  <si>
    <t>180 MIA DR</t>
  </si>
  <si>
    <t>SPANISH SPRINGS VLG 4</t>
  </si>
  <si>
    <t>MORIN, SAMUEL J et al</t>
  </si>
  <si>
    <t>SPANISH SPRINGS VLG 4 LT 29  BLK G</t>
  </si>
  <si>
    <t>255 MIA DR</t>
  </si>
  <si>
    <t>SPANISH SPRINGS VLG UNT 4</t>
  </si>
  <si>
    <t xml:space="preserve">SHIPP, JENNIE L  </t>
  </si>
  <si>
    <t xml:space="preserve">BELL, SARAH R </t>
  </si>
  <si>
    <t>SPANISH SPRINGS VILLAGE 4 LT 1 BLK H</t>
  </si>
  <si>
    <t>365 EMBER DR</t>
  </si>
  <si>
    <t xml:space="preserve">NUNLEY, DELBERT E JR &amp; LISA R </t>
  </si>
  <si>
    <t>SPANISH SPRINGS VILLAGE 4 LT 17 BLK H</t>
  </si>
  <si>
    <t>405 EMBER DR</t>
  </si>
  <si>
    <t xml:space="preserve">VARGAS, JOSEPH E </t>
  </si>
  <si>
    <t xml:space="preserve">NELSON, GREGORY N </t>
  </si>
  <si>
    <t>SPANISH SPRINGS VILLAGE 4 LT 21 BLK H</t>
  </si>
  <si>
    <t>390 EMBER DR</t>
  </si>
  <si>
    <t>NARANJO-FLORES, JULIO C  et al</t>
  </si>
  <si>
    <t>MORENO-VALADEZ MARIA</t>
  </si>
  <si>
    <t xml:space="preserve">390 EMBER DR </t>
  </si>
  <si>
    <t>SPANISH SPRINGS VILLAGE 4 LT 7 BLK I</t>
  </si>
  <si>
    <t>360 EMBER DR</t>
  </si>
  <si>
    <t xml:space="preserve">HOVORE TRUST, GREGORY D  </t>
  </si>
  <si>
    <t xml:space="preserve">HOVORE, GREGORY D </t>
  </si>
  <si>
    <t>SPANISH SPRINGS VILLAGE 4 LT 4 BLK I</t>
  </si>
  <si>
    <t>350 EMBER DR</t>
  </si>
  <si>
    <t>LINDBERG, DWAYNE &amp; DANIELLE D et al</t>
  </si>
  <si>
    <t>IBANEZ, JOSE L R  et al</t>
  </si>
  <si>
    <t>SPANISH SPRINGS VILLAGE 4 LT 3 BLK I</t>
  </si>
  <si>
    <t>290 EMBER DR</t>
  </si>
  <si>
    <t xml:space="preserve">KEEN, EUGENE &amp; TAMMY </t>
  </si>
  <si>
    <t xml:space="preserve">290 EMBER DR </t>
  </si>
  <si>
    <t xml:space="preserve">KEEN, EUGENE  </t>
  </si>
  <si>
    <t>SPANISH SPRINGS VILLAGE 4 LT 39 BLK A</t>
  </si>
  <si>
    <t>320 NICOLE DR</t>
  </si>
  <si>
    <t xml:space="preserve">WILSON , SAMUEL &amp; SUSAN  </t>
  </si>
  <si>
    <t xml:space="preserve">320 NICOLE DR </t>
  </si>
  <si>
    <t>SPANISH SPRINGS VILLAGE 5 LT 21 BLK B</t>
  </si>
  <si>
    <t>290 NICOLE DR</t>
  </si>
  <si>
    <t>SPANISH SPRINGS VILLAGE UT 5</t>
  </si>
  <si>
    <t xml:space="preserve">SIMPSON, KAREN M </t>
  </si>
  <si>
    <t>SPANISH SPRINGS VILLAGE 5 LT 18 BLK B</t>
  </si>
  <si>
    <t>435 NICOLE DR</t>
  </si>
  <si>
    <t xml:space="preserve">SEEKINS, KATIA S </t>
  </si>
  <si>
    <t xml:space="preserve">SEEKINS, KATIE S </t>
  </si>
  <si>
    <t>SPANISH SPRINGS VILLAGE 6 LT 4 BLK K</t>
  </si>
  <si>
    <t>290 CARLENE DR</t>
  </si>
  <si>
    <t xml:space="preserve">ELWELL, THEODORE F JR &amp; RHONDA M  </t>
  </si>
  <si>
    <t xml:space="preserve">290 CARLENE DR </t>
  </si>
  <si>
    <t>SPANISH SPRINGS VILLAGE 6 LT 24  BLK D</t>
  </si>
  <si>
    <t>9025 MOYA BLVD</t>
  </si>
  <si>
    <t>PM 3614 ADJ</t>
  </si>
  <si>
    <t xml:space="preserve">PANCAL 87 MOYA 193 LLC </t>
  </si>
  <si>
    <t>C/O TYCO NORTH AMERICAN SHARED SERVICES</t>
  </si>
  <si>
    <t>PO BOX 5006</t>
  </si>
  <si>
    <t>BOCA RATON</t>
  </si>
  <si>
    <t>33431</t>
  </si>
  <si>
    <t>PANCAL 87 MOYA 193 LLC et al</t>
  </si>
  <si>
    <t>090-030-15</t>
  </si>
  <si>
    <t>PM 3614 ADJ LT A</t>
  </si>
  <si>
    <t>12995 ECHO CT</t>
  </si>
  <si>
    <t>PANCAL 400 LEAR 190 LLC</t>
  </si>
  <si>
    <t>GRP  et al</t>
  </si>
  <si>
    <t>PM 3961 LT 2</t>
  </si>
  <si>
    <t>6645 ECHO CT</t>
  </si>
  <si>
    <t xml:space="preserve">PANCAL 200 LEAR 301 LLC </t>
  </si>
  <si>
    <t>PORTER, ESTHER L et al</t>
  </si>
  <si>
    <t>PM 3961 LT 3</t>
  </si>
  <si>
    <t>6640 ECHO AVE</t>
  </si>
  <si>
    <t>PANCAL 429 LEAR 191 LLC</t>
  </si>
  <si>
    <t>PANATTONI INVESTMENTS LLC et al</t>
  </si>
  <si>
    <t>090-040-29</t>
  </si>
  <si>
    <t>PM 4685 LT B</t>
  </si>
  <si>
    <t>13805 MOUNT ANDERSON ST</t>
  </si>
  <si>
    <t>PM 3525</t>
  </si>
  <si>
    <t xml:space="preserve">RUSSELL STOVER CANDIES INC </t>
  </si>
  <si>
    <t>4900 OAK ST</t>
  </si>
  <si>
    <t xml:space="preserve">LTJ RENO LLC </t>
  </si>
  <si>
    <t>090-050-80</t>
  </si>
  <si>
    <t>PM 3525 LT C</t>
  </si>
  <si>
    <t>8400 GIPSY WAY</t>
  </si>
  <si>
    <t xml:space="preserve">MCCOY, CHRISTINA M </t>
  </si>
  <si>
    <t>KYLE, KYLE K et al</t>
  </si>
  <si>
    <t>090-010-50</t>
  </si>
  <si>
    <t>LEARENO EST 1 ADJ LT 43 BLK F</t>
  </si>
  <si>
    <t>8465 GIPSY WAY</t>
  </si>
  <si>
    <t xml:space="preserve">WUNGNEMA, RAELENE D </t>
  </si>
  <si>
    <t xml:space="preserve">MILLER, ERNEST &amp; REGIS M </t>
  </si>
  <si>
    <t>LEARENO EST 1 LT 25 BLK D</t>
  </si>
  <si>
    <t>8520 CORRIGAN WAY</t>
  </si>
  <si>
    <t xml:space="preserve">LADD, FOREST G </t>
  </si>
  <si>
    <t>LEARENO EST 2 LT 19 BLK B</t>
  </si>
  <si>
    <t>8517 CORRIGAN WAY</t>
  </si>
  <si>
    <t xml:space="preserve">HUGHES, JEDEDIAH W &amp; ASHLEY M </t>
  </si>
  <si>
    <t>LEARENO EST 2 LT 2 BLK A</t>
  </si>
  <si>
    <t>8660 CORRIGAN WAY</t>
  </si>
  <si>
    <t xml:space="preserve">THOMPSON, CINDY </t>
  </si>
  <si>
    <t>2792 SPANISH TRAIL RD</t>
  </si>
  <si>
    <t>MOAB</t>
  </si>
  <si>
    <t>84532</t>
  </si>
  <si>
    <t>LEARENO EST 3 LT 21 BLK B</t>
  </si>
  <si>
    <t>8675 STRUTTER WAY</t>
  </si>
  <si>
    <t xml:space="preserve">HUE, WINSTON &amp; NELLIE </t>
  </si>
  <si>
    <t>8675 STRUTTER WAU</t>
  </si>
  <si>
    <t>RAHI REAL ESTATE HOLDING LLC LLC</t>
  </si>
  <si>
    <t>LEARENO EST 3 LT 28 BLK B</t>
  </si>
  <si>
    <t>8654 STRUTTER WAY</t>
  </si>
  <si>
    <t xml:space="preserve">MILLER, CARLOTA H  </t>
  </si>
  <si>
    <t xml:space="preserve">8654 STRUTTER WAY </t>
  </si>
  <si>
    <t>LEARENO EST 3 LT 43 BLK A</t>
  </si>
  <si>
    <t>8740 RED BARON BLVD</t>
  </si>
  <si>
    <t xml:space="preserve">GEYER, JOHN P &amp; BEVERLY A </t>
  </si>
  <si>
    <t>LEARENO EST 3 LT 52 BLK A</t>
  </si>
  <si>
    <t>8665 RED BARON BLVD</t>
  </si>
  <si>
    <t xml:space="preserve">SANDERSON, MICHAEL C </t>
  </si>
  <si>
    <t xml:space="preserve">8665 RED BARON BLVD </t>
  </si>
  <si>
    <t xml:space="preserve">HOLMES, JEREMY C &amp; RACHEL M </t>
  </si>
  <si>
    <t>LEARENO EST 5 LT 544 BLK D</t>
  </si>
  <si>
    <t>8655 RED BARON BLVD</t>
  </si>
  <si>
    <t xml:space="preserve">ALTRINGER, PAMELA </t>
  </si>
  <si>
    <t>11080 DEODAR WAY</t>
  </si>
  <si>
    <t xml:space="preserve">CALDWELL, MICHAEL D &amp; DEBORAH S </t>
  </si>
  <si>
    <t>LEARENO EST 5 LT 543 BLK D</t>
  </si>
  <si>
    <t>8673 PIPER PL</t>
  </si>
  <si>
    <t>HOOF, DIANNA G  et al</t>
  </si>
  <si>
    <t xml:space="preserve">SPENCE ROBIN M </t>
  </si>
  <si>
    <t xml:space="preserve">HOOF, DIANNA G  </t>
  </si>
  <si>
    <t>LEARENO EST 5 LT 530 BLK C</t>
  </si>
  <si>
    <t>8674 PIPER PL</t>
  </si>
  <si>
    <t xml:space="preserve">PLASCENCIA, NORA E </t>
  </si>
  <si>
    <t>LEARENO EST 5 LT 547 BLK E</t>
  </si>
  <si>
    <t>8684 PIPER PL</t>
  </si>
  <si>
    <t xml:space="preserve">FIELDING , SHIRLEY P  </t>
  </si>
  <si>
    <t xml:space="preserve">PENROSE, STEPHEN E &amp; STACY </t>
  </si>
  <si>
    <t>LEARENO EST 5 LT 546 BLK E</t>
  </si>
  <si>
    <t>8654 PIPER PL</t>
  </si>
  <si>
    <t xml:space="preserve">SASS, CAMERON &amp; LORA  </t>
  </si>
  <si>
    <t xml:space="preserve">8654 PIPER PL </t>
  </si>
  <si>
    <t>LEARENO EST 5 LT 549 BLK E</t>
  </si>
  <si>
    <t>8663 PIPER PL</t>
  </si>
  <si>
    <t xml:space="preserve">BALLARD, CLINTON &amp; JACLYN  </t>
  </si>
  <si>
    <t xml:space="preserve">OLSEN, DAVID A &amp; JANA L </t>
  </si>
  <si>
    <t>LEARENO EST 5 LT 531 BLK C</t>
  </si>
  <si>
    <t>8600 SOPWITH BLVD</t>
  </si>
  <si>
    <t xml:space="preserve">WEBER, BRYAN &amp; SHERI  </t>
  </si>
  <si>
    <t xml:space="preserve">8600 SOPWITH </t>
  </si>
  <si>
    <t>LEARENO EST 5 LT 518 BLK C</t>
  </si>
  <si>
    <t>7663 CRYSTAL SHORES DR</t>
  </si>
  <si>
    <t>FRASER, ALLEN et al</t>
  </si>
  <si>
    <t>SILVER SHORES 1 LT 108 BLK B</t>
  </si>
  <si>
    <t>7860 BIG RIVER DR</t>
  </si>
  <si>
    <t xml:space="preserve">IBARRA-DURAN, MARA A </t>
  </si>
  <si>
    <t xml:space="preserve">WOODS, MARILYN S </t>
  </si>
  <si>
    <t>SILVER SHORES 9 LT 912 BLK A</t>
  </si>
  <si>
    <t>7660 SOFT WINDS DR</t>
  </si>
  <si>
    <t xml:space="preserve">DUARTE, JESSE L  </t>
  </si>
  <si>
    <t>SILVER SHORES 1 LT 141 BLK D</t>
  </si>
  <si>
    <t>8745 SOPWITH BLVD</t>
  </si>
  <si>
    <t xml:space="preserve">LAWSON TRUST, JANETTE R  </t>
  </si>
  <si>
    <t>PO BOX 1755</t>
  </si>
  <si>
    <t xml:space="preserve">REED-LAWSON, JANETTE I </t>
  </si>
  <si>
    <t>SILVER SHORES 1 LT 148 BLK D</t>
  </si>
  <si>
    <t>8710 SOPWITH BLVD</t>
  </si>
  <si>
    <t xml:space="preserve">DOLLIVER, CHRISTOPHER </t>
  </si>
  <si>
    <t>SILVER SHORES 1 LT 150 BLK A</t>
  </si>
  <si>
    <t>8830 SOPWITH BLVD</t>
  </si>
  <si>
    <t xml:space="preserve">CHANDLER, DEWAINE C  </t>
  </si>
  <si>
    <t>SILVER SHORES 1 LT 162 BLK A</t>
  </si>
  <si>
    <t>7705 CRYSTAL SHORES DR</t>
  </si>
  <si>
    <t xml:space="preserve">NAVARRETE, ROSA A &amp; JORGE  </t>
  </si>
  <si>
    <t xml:space="preserve">ROMAN, VICTOR </t>
  </si>
  <si>
    <t>SILVER SHORES 9 LT 941 BLK D</t>
  </si>
  <si>
    <t>7745 CRYSTAL SHORES DR</t>
  </si>
  <si>
    <t xml:space="preserve">MARISCAL-BUSTOS, HECTOR </t>
  </si>
  <si>
    <t xml:space="preserve">GUNN, DEREK M </t>
  </si>
  <si>
    <t>SILVER SHORES 9 LT 937 BLK D</t>
  </si>
  <si>
    <t>7761 BIG RIVER DR</t>
  </si>
  <si>
    <t xml:space="preserve">HERNANEZ-VELASQUEZ, MARIA D C  </t>
  </si>
  <si>
    <t xml:space="preserve">7761 BIG RIVER DR </t>
  </si>
  <si>
    <t>MCDOWELL, GINGER A et al</t>
  </si>
  <si>
    <t>SILVER SHORES 9 LT 934 BLK C</t>
  </si>
  <si>
    <t>7801 BIG RIVER DR</t>
  </si>
  <si>
    <t xml:space="preserve">BENJILALI, MOUNIR &amp; ANGELA </t>
  </si>
  <si>
    <t xml:space="preserve">TREMORE, DANIEL W </t>
  </si>
  <si>
    <t>SILVER SHORES 9 LT 930 BLK C</t>
  </si>
  <si>
    <t>7675 ROLLING CLOUDS DR</t>
  </si>
  <si>
    <t xml:space="preserve">MESSER, SHARON L </t>
  </si>
  <si>
    <t xml:space="preserve">7675 ROLLING CLOUDS DR </t>
  </si>
  <si>
    <t>SILVER SHORES 2 LT 208 BLK A</t>
  </si>
  <si>
    <t>7886 BIG RIVER DR</t>
  </si>
  <si>
    <t xml:space="preserve">DEVINE, DANIEL L &amp; CHELSEA A </t>
  </si>
  <si>
    <t xml:space="preserve">COUNTRYWIDE BANK FSB </t>
  </si>
  <si>
    <t>SILVER SHORES 9 LT 915 BLK A</t>
  </si>
  <si>
    <t>8540 SILVER SHORES DR</t>
  </si>
  <si>
    <t xml:space="preserve">TIPTON, VAN G </t>
  </si>
  <si>
    <t>SILVER SHORES 3 LT 338</t>
  </si>
  <si>
    <t>8570 SILVER SHORES DR</t>
  </si>
  <si>
    <t xml:space="preserve">RACHEL, TIMOTHY A &amp; MARIA G </t>
  </si>
  <si>
    <t>GRAYSON, BRIAN G et al</t>
  </si>
  <si>
    <t>SILVER SHORES 3 LT 341</t>
  </si>
  <si>
    <t>8650 SILVER SHORES DR</t>
  </si>
  <si>
    <t xml:space="preserve">CORNEJO, GEOFFREY &amp; ANA MAE </t>
  </si>
  <si>
    <t xml:space="preserve">CRUZ, JULIO C </t>
  </si>
  <si>
    <t>SILVER SHORES 3 LT 349</t>
  </si>
  <si>
    <t>8541 RED BARON BLVD</t>
  </si>
  <si>
    <t>SILVER SHORES UNIT FOUR</t>
  </si>
  <si>
    <t xml:space="preserve">CLIFFORD, CHARLES V </t>
  </si>
  <si>
    <t>SILVER SHORES 4 LT 402</t>
  </si>
  <si>
    <t>8529 RED BARON BLVD</t>
  </si>
  <si>
    <t xml:space="preserve">GENMAR LLC </t>
  </si>
  <si>
    <t>SILVER SHORES 4 LT 408</t>
  </si>
  <si>
    <t>8523 RED BARON BLVD</t>
  </si>
  <si>
    <t>ZARATE, ISIDORA L  et al</t>
  </si>
  <si>
    <t xml:space="preserve">HENDERSON, GREGORY T &amp; JODY R </t>
  </si>
  <si>
    <t>SILVER SHORES 4 LT 411</t>
  </si>
  <si>
    <t>8655 SILVER SHORES DR</t>
  </si>
  <si>
    <t xml:space="preserve">CHACE, MICHAEL J  </t>
  </si>
  <si>
    <t xml:space="preserve">FIDDLER, RICHARD &amp; ALISSON </t>
  </si>
  <si>
    <t>SILVER SHORES 3 LT 301</t>
  </si>
  <si>
    <t>8580 BEECHCRAFT DR</t>
  </si>
  <si>
    <t xml:space="preserve">FORD, JOHN </t>
  </si>
  <si>
    <t>SILVER SHORES 4 LT 419</t>
  </si>
  <si>
    <t>8528 RED BARON BLVD</t>
  </si>
  <si>
    <t xml:space="preserve">REED-LAWSON TRUST, JANETTE  </t>
  </si>
  <si>
    <t xml:space="preserve">REED-LAWSON, JANETTE </t>
  </si>
  <si>
    <t>SILVER SHORES 4 LT 440</t>
  </si>
  <si>
    <t>8538 RED BARON BLVD</t>
  </si>
  <si>
    <t xml:space="preserve">SILVER SHORES 4 </t>
  </si>
  <si>
    <t xml:space="preserve">HOSKINS, JOANN A  </t>
  </si>
  <si>
    <t>CHACON, EDWIN J et al</t>
  </si>
  <si>
    <t>SILVER SHORES 4 LT 445</t>
  </si>
  <si>
    <t>8467 SOPWITH BLVD</t>
  </si>
  <si>
    <t xml:space="preserve">PEREZ-PINEDA, VALERIA A </t>
  </si>
  <si>
    <t>SILVER SHORES 5 LT 529</t>
  </si>
  <si>
    <t>7630 DEEP BAY DR</t>
  </si>
  <si>
    <t xml:space="preserve">OBRIEN, SHANNON M </t>
  </si>
  <si>
    <t>SILVER SHORES 5 LT 516</t>
  </si>
  <si>
    <t>8474 SOPWITH BLVD</t>
  </si>
  <si>
    <t xml:space="preserve">O`DELL, KEITH W  </t>
  </si>
  <si>
    <t xml:space="preserve">SHOEMAKER, KENNETH W &amp; SHELACE L </t>
  </si>
  <si>
    <t>SILVER SHORES 5 LT 534</t>
  </si>
  <si>
    <t>8409 CORRIGAN WAY</t>
  </si>
  <si>
    <t>SILVER SHORES 7</t>
  </si>
  <si>
    <t xml:space="preserve">EMERSON, MARSHALL </t>
  </si>
  <si>
    <t>090-010-35</t>
  </si>
  <si>
    <t>SILVER SHORES 7 LT 713</t>
  </si>
  <si>
    <t>8405 CORRIGAN WAY</t>
  </si>
  <si>
    <t xml:space="preserve">CHAPLIN, FRANCES L </t>
  </si>
  <si>
    <t>SILVER SHORES 7 LT 714</t>
  </si>
  <si>
    <t>7897 MOSS CREEK CT</t>
  </si>
  <si>
    <t xml:space="preserve">ESPINSOA, DANIELE </t>
  </si>
  <si>
    <t>695 BARNWOOD CT</t>
  </si>
  <si>
    <t xml:space="preserve">QUINTON, GARY </t>
  </si>
  <si>
    <t>SILVER SHORES 10 LT 1009 BLK A</t>
  </si>
  <si>
    <t>7905 WHITE FALLS DR</t>
  </si>
  <si>
    <t xml:space="preserve">OLVERA, MARIA E </t>
  </si>
  <si>
    <t>SILVER SHORES 10 LT 1038 BLK D</t>
  </si>
  <si>
    <t xml:space="preserve">SMELTZER, RICHARD T </t>
  </si>
  <si>
    <t xml:space="preserve">SMELTZER, RICHARD T IV </t>
  </si>
  <si>
    <t>SILVER SHORES 11 LT 1104 BLK A</t>
  </si>
  <si>
    <t>7975 WHITE FALLS DR</t>
  </si>
  <si>
    <t xml:space="preserve">ALLEN, CAROLYN P  </t>
  </si>
  <si>
    <t xml:space="preserve">7975 WHITE FALLS DR </t>
  </si>
  <si>
    <t>SILVER SHORES 11 LT 1106 BLK A</t>
  </si>
  <si>
    <t>7916 WHITE FALLS DR</t>
  </si>
  <si>
    <t>KANIA, ELLEN M U/C</t>
  </si>
  <si>
    <t>PO BOX 1798</t>
  </si>
  <si>
    <t xml:space="preserve">KANIA, ELLEN M </t>
  </si>
  <si>
    <t>SILVER SHORES 10 LT 1036 BLK C</t>
  </si>
  <si>
    <t>8559 TURTLE CREEK CT</t>
  </si>
  <si>
    <t xml:space="preserve">FLOYD, LAURA P </t>
  </si>
  <si>
    <t>SILVER SHORES 11 LT 1131 BLK C</t>
  </si>
  <si>
    <t>7898 ANCHOR POINT DR</t>
  </si>
  <si>
    <t xml:space="preserve">FOX , DAVID  </t>
  </si>
  <si>
    <t xml:space="preserve">MARISCAL-LUQUIN, JOSE A </t>
  </si>
  <si>
    <t>SILVER SHORES 14 LT 1408 BLK A</t>
  </si>
  <si>
    <t>7786 CRYSTAL SHORES DR</t>
  </si>
  <si>
    <t xml:space="preserve">MOORE, KIRK W  </t>
  </si>
  <si>
    <t xml:space="preserve">7786 CRYSTAL SHORES DR </t>
  </si>
  <si>
    <t>SILVER SHORES 12 LT 1202 BLK A</t>
  </si>
  <si>
    <t>7805 CRYSTAL SHORES DR</t>
  </si>
  <si>
    <t>SILVER SHORES UNIT 12</t>
  </si>
  <si>
    <t xml:space="preserve">ROSSANO, SEAN P &amp; MARIA D </t>
  </si>
  <si>
    <t xml:space="preserve">AMRINE, LYNN R </t>
  </si>
  <si>
    <t>SILVER SHORES 12 LT 1232 BLK B</t>
  </si>
  <si>
    <t>7810 MONTEREY SHORES DR</t>
  </si>
  <si>
    <t>SILVER SHORES 6A</t>
  </si>
  <si>
    <t xml:space="preserve">HUYBERS, JOHANNA C  </t>
  </si>
  <si>
    <t xml:space="preserve">7810 MONTEREY SHORES DR </t>
  </si>
  <si>
    <t>090-260-06</t>
  </si>
  <si>
    <t>SILVER SHORES 6A LT 627 BLK C</t>
  </si>
  <si>
    <t>8045 WHITE FALLS DR</t>
  </si>
  <si>
    <t>SILVER SHORES 18</t>
  </si>
  <si>
    <t xml:space="preserve">BOUYDSTON, RUSSELL E </t>
  </si>
  <si>
    <t>090-260-08</t>
  </si>
  <si>
    <t>SILVER SHORES 18 LT 1832</t>
  </si>
  <si>
    <t>8065 WHITE FALLS DR</t>
  </si>
  <si>
    <t xml:space="preserve">BAXTER, TAMMY JO  </t>
  </si>
  <si>
    <t xml:space="preserve">8065 WHITE FALLS DR </t>
  </si>
  <si>
    <t>SILVER SHORES 18 LT 1830</t>
  </si>
  <si>
    <t>8030 SHIFTING SANDS DR</t>
  </si>
  <si>
    <t>PENAFLOR, VICTOR H et al</t>
  </si>
  <si>
    <t xml:space="preserve">CURRAN, NELLIE </t>
  </si>
  <si>
    <t>SILVER SHORES 15 LT 1502</t>
  </si>
  <si>
    <t>8028 ANCHOR POINT DR</t>
  </si>
  <si>
    <t xml:space="preserve">ARANDIA, CARLOS P </t>
  </si>
  <si>
    <t>SILVER SHORES 16 LT 1602</t>
  </si>
  <si>
    <t>8087 ANCHOR POINT DR</t>
  </si>
  <si>
    <t xml:space="preserve">DESIDERIO, CARLOS </t>
  </si>
  <si>
    <t xml:space="preserve">SALDANA, SERGIO </t>
  </si>
  <si>
    <t>SILVER SHORES 16 LT 1624</t>
  </si>
  <si>
    <t>8140 BIG RIVER DR</t>
  </si>
  <si>
    <t xml:space="preserve">DUNNING, WILLIAM M  </t>
  </si>
  <si>
    <t>SILVER SHORES 17 LT 1723</t>
  </si>
  <si>
    <t>8040 BIG RIVER DR</t>
  </si>
  <si>
    <t xml:space="preserve">GUTIERREZ-SIFUENTES, JAIME </t>
  </si>
  <si>
    <t xml:space="preserve">PEREZ-BECERRA, JUAN </t>
  </si>
  <si>
    <t>SILVER SHORES 17 LT 1713</t>
  </si>
  <si>
    <t>8030 BIG RIVER DR</t>
  </si>
  <si>
    <t xml:space="preserve">PINKSTON, REX L &amp; SUSAN L </t>
  </si>
  <si>
    <t>SILVER SHORES 17 LT 1712</t>
  </si>
  <si>
    <t>7940 BIG RIVER DR</t>
  </si>
  <si>
    <t xml:space="preserve">SWANSON, JAMIE </t>
  </si>
  <si>
    <t>SILVER SHORES 17 LT 1704</t>
  </si>
  <si>
    <t>7921 BIG RIVER DR</t>
  </si>
  <si>
    <t xml:space="preserve">BAKER, MARY </t>
  </si>
  <si>
    <t xml:space="preserve">DEMARAIS, CAROLYN S </t>
  </si>
  <si>
    <t>SILVER SHORES 17 LT 1748</t>
  </si>
  <si>
    <t>7991 BIG RIVER DR</t>
  </si>
  <si>
    <t xml:space="preserve">MARTINEZ, RUTILIO </t>
  </si>
  <si>
    <t xml:space="preserve">7991 BIG RIVER DR </t>
  </si>
  <si>
    <t>SILVER SHORES 17 LT 1741</t>
  </si>
  <si>
    <t>8040 SAND PEBBLE DR</t>
  </si>
  <si>
    <t xml:space="preserve">CHRISTENSEN, RICHARD JR </t>
  </si>
  <si>
    <t>VONG, VA A et al</t>
  </si>
  <si>
    <t>SILVER SHORES 19 LT 1914</t>
  </si>
  <si>
    <t>8020 MONTEREY SHORES DR</t>
  </si>
  <si>
    <t xml:space="preserve">WEST, DEBORAH L </t>
  </si>
  <si>
    <t>5600 JERSEY RIDGE RD APT I2</t>
  </si>
  <si>
    <t>GARCIA-AYALA, OSWALDO et al</t>
  </si>
  <si>
    <t>SILVER SHORES 19 LT 1929</t>
  </si>
  <si>
    <t>8010 MONTEREY SHORES DR</t>
  </si>
  <si>
    <t xml:space="preserve">MCGAFFEY, WILLIAM L &amp; BETTY A </t>
  </si>
  <si>
    <t>SILVER SHORES 19 LT 1930</t>
  </si>
  <si>
    <t>8265 SHIFTING SANDS DR</t>
  </si>
  <si>
    <t>MOLL, JUSTIN D et al</t>
  </si>
  <si>
    <t>SILVER SHORES 21 LT 2109</t>
  </si>
  <si>
    <t>8731 MALIBU DR</t>
  </si>
  <si>
    <t xml:space="preserve">SOTELO, SAUL &amp; ALICIA  </t>
  </si>
  <si>
    <t xml:space="preserve">ARZOLA, TOMAS &amp; ALICIA </t>
  </si>
  <si>
    <t>SILVER SHORES 21 LT 2116</t>
  </si>
  <si>
    <t>8188 ANCHOR POINT DR</t>
  </si>
  <si>
    <t xml:space="preserve">ATKINS, JESSE R &amp; LINDA L  </t>
  </si>
  <si>
    <t xml:space="preserve">MAGDAMMIT, SEAN &amp; ZENAIDA </t>
  </si>
  <si>
    <t>SILVER SHORES 21 LT 2130</t>
  </si>
  <si>
    <t>8220 SHIFTING SANDS DR</t>
  </si>
  <si>
    <t xml:space="preserve">WAGNER, RENEE A  </t>
  </si>
  <si>
    <t xml:space="preserve">8220 SHIFTING SANDS </t>
  </si>
  <si>
    <t xml:space="preserve">ROTHERY, MICHAEL F </t>
  </si>
  <si>
    <t>SILVER SHORES 21 LT 2136</t>
  </si>
  <si>
    <t>8190 SHIFTING SANDS DR</t>
  </si>
  <si>
    <t>SEDANO , HECTOR et al</t>
  </si>
  <si>
    <t xml:space="preserve">FLORES-SEDANO CONSUELO N </t>
  </si>
  <si>
    <t xml:space="preserve">8190 SHIFTING SANDS DR </t>
  </si>
  <si>
    <t xml:space="preserve">SHIFTING SANDS PROPERTY TRUST  </t>
  </si>
  <si>
    <t>SILVER SHORES 21 LT 2133</t>
  </si>
  <si>
    <t>8261 BIG RIVER DR</t>
  </si>
  <si>
    <t xml:space="preserve">COX, JEREMY &amp; CAYLEE </t>
  </si>
  <si>
    <t xml:space="preserve">VALDEZ, JULIO &amp; FLORENCIA </t>
  </si>
  <si>
    <t>SILVER SHORES 22 LT 2210</t>
  </si>
  <si>
    <t>8151 MONTEREY SHORES DR</t>
  </si>
  <si>
    <t xml:space="preserve">GEORGE, CHRISTOPHER </t>
  </si>
  <si>
    <t xml:space="preserve">BONILLA, PETE A </t>
  </si>
  <si>
    <t>SILVER SHORES 23 LT 2332</t>
  </si>
  <si>
    <t>8185 WHITE FALLS DR</t>
  </si>
  <si>
    <t xml:space="preserve">MARTIN, STEPHEN H &amp; BETTY LOU </t>
  </si>
  <si>
    <t xml:space="preserve">PARCO, MARIBEL T &amp; LOUIE RAY C </t>
  </si>
  <si>
    <t>SILVER SHORES 24 LT 2401</t>
  </si>
  <si>
    <t>8490 CORAL REEF DR</t>
  </si>
  <si>
    <t xml:space="preserve">BONFIGLIO, JOSEPH A &amp; LAURIE J </t>
  </si>
  <si>
    <t xml:space="preserve">SALERNO, MICHAEL &amp; DANA </t>
  </si>
  <si>
    <t>SILVER SHORES 25 LT 2508</t>
  </si>
  <si>
    <t>8500 CORAL REEF DR</t>
  </si>
  <si>
    <t xml:space="preserve">VISCARRA, HUMBERTO &amp; EVAN E </t>
  </si>
  <si>
    <t xml:space="preserve">8500 CORAL REEF DR                      </t>
  </si>
  <si>
    <t>SILVER SHORES 25 LT 2509</t>
  </si>
  <si>
    <t>8511 CORAL REEF DR</t>
  </si>
  <si>
    <t>BARCENAS, CARMEN et al</t>
  </si>
  <si>
    <t xml:space="preserve">8511 CORAL REEF DR </t>
  </si>
  <si>
    <t>SILVER SHORES 25 LT 2512</t>
  </si>
  <si>
    <t>8451 CORAL REEF DR</t>
  </si>
  <si>
    <t>CALDERON, FRANCISCO et al</t>
  </si>
  <si>
    <t xml:space="preserve">8451 CORAL REEF DR </t>
  </si>
  <si>
    <t xml:space="preserve">WEST, JACALYN L </t>
  </si>
  <si>
    <t>SILVER SHORES 25 LT 2518</t>
  </si>
  <si>
    <t>8431 CORAL REEF DR</t>
  </si>
  <si>
    <t xml:space="preserve">AGUIRRE, MARTIN </t>
  </si>
  <si>
    <t xml:space="preserve">8431 CORAL REEF DR                      </t>
  </si>
  <si>
    <t>FRANKLIN, JOHN K  et al</t>
  </si>
  <si>
    <t>SILVER SHORES 25 LT 2520</t>
  </si>
  <si>
    <t>637 WOODRIDGE CIR</t>
  </si>
  <si>
    <t>WOODRIDGE SUB 1</t>
  </si>
  <si>
    <t xml:space="preserve">HENRY, PATRICK S &amp; ELYSA A </t>
  </si>
  <si>
    <t>WOODRIDGE 1 LT 8 BLK A</t>
  </si>
  <si>
    <t>525 LAKESHORE BLVD</t>
  </si>
  <si>
    <t>CRYSTAL SHORES WEST</t>
  </si>
  <si>
    <t xml:space="preserve">PAGE LIVING TRUST  </t>
  </si>
  <si>
    <t>314 LORING AVE</t>
  </si>
  <si>
    <t>DOLE, MALCOLM JR TTEE et al</t>
  </si>
  <si>
    <t>CRYSTAL SHORES WEST LT 54</t>
  </si>
  <si>
    <t xml:space="preserve">DHARMARAJ FAMILY TRUST  </t>
  </si>
  <si>
    <t>19546 NORTHAMPTON DR</t>
  </si>
  <si>
    <t>525 LAKESHORE 49 LLC LLC</t>
  </si>
  <si>
    <t>CRYSTAL SHORES WEST LT 49</t>
  </si>
  <si>
    <t>587 LAKESHORE BLVD</t>
  </si>
  <si>
    <t>PM 1050</t>
  </si>
  <si>
    <t xml:space="preserve">VERSTAPPEN LIVING TRUST, RONALD B   </t>
  </si>
  <si>
    <t xml:space="preserve">PO BOX 6454 </t>
  </si>
  <si>
    <t xml:space="preserve">SPIKE 2000 LLC </t>
  </si>
  <si>
    <t>PM 1050 LT 2</t>
  </si>
  <si>
    <t>585 LAKESHORE BLVD</t>
  </si>
  <si>
    <t xml:space="preserve">PODESTA REVOCABLE TRUST, CRAIG &amp; GINA   </t>
  </si>
  <si>
    <t>PO BOX 170</t>
  </si>
  <si>
    <t xml:space="preserve">LINDEN </t>
  </si>
  <si>
    <t>95236</t>
  </si>
  <si>
    <t xml:space="preserve">JAZZ 2000 LLC </t>
  </si>
  <si>
    <t>122-100-09</t>
  </si>
  <si>
    <t>PM 1050 LT 1</t>
  </si>
  <si>
    <t>573 LAKESHORE BLVD</t>
  </si>
  <si>
    <t>PM 2934</t>
  </si>
  <si>
    <t xml:space="preserve">O`NEAL FAMILY TRUST  </t>
  </si>
  <si>
    <t>350 ABIES RD</t>
  </si>
  <si>
    <t xml:space="preserve">FLINTLOCK TRUST  </t>
  </si>
  <si>
    <t>122-100-17</t>
  </si>
  <si>
    <t>PM 2934 LT 1</t>
  </si>
  <si>
    <t>575 LAKESHORE BLVD</t>
  </si>
  <si>
    <t>PM 2934 LT 2</t>
  </si>
  <si>
    <t>549 PONDEROSA AVE</t>
  </si>
  <si>
    <t>PONDEROSA 1</t>
  </si>
  <si>
    <t xml:space="preserve">DUBAR, COURTNEY </t>
  </si>
  <si>
    <t>774 MAYS BLVD # 10-541</t>
  </si>
  <si>
    <t xml:space="preserve">FETTERLY FAMILY TRUST  </t>
  </si>
  <si>
    <t>PONDEROSA 1 LT 1 BLK B</t>
  </si>
  <si>
    <t xml:space="preserve">INCLINE MANOR LLC </t>
  </si>
  <si>
    <t>1031 OLMSTED DR</t>
  </si>
  <si>
    <t xml:space="preserve">HARDIE TRUST, STEVEN R  </t>
  </si>
  <si>
    <t>PONDEROSA 2 LT 26 BLK B</t>
  </si>
  <si>
    <t>520 SUGARPINE DR</t>
  </si>
  <si>
    <t xml:space="preserve">OOSTERMAN, ROBERT T JR &amp; SHARON A  </t>
  </si>
  <si>
    <t xml:space="preserve">414 BRIARWOOD DR </t>
  </si>
  <si>
    <t xml:space="preserve">SAN FRANCISCO </t>
  </si>
  <si>
    <t xml:space="preserve">COOK, LAURA M </t>
  </si>
  <si>
    <t>PONDEROSA 5 LT 12 BLK 3</t>
  </si>
  <si>
    <t>575 SUGARPINE DR</t>
  </si>
  <si>
    <t xml:space="preserve">SHUBINSKI FAMILY TRUST   </t>
  </si>
  <si>
    <t>C/O ROBERT &amp; JOAN SHUBINSKI</t>
  </si>
  <si>
    <t>PO BOX 6825</t>
  </si>
  <si>
    <t>PONDEROSA 4 LT 21 BLK D</t>
  </si>
  <si>
    <t>581 SUGARPINE DR</t>
  </si>
  <si>
    <t xml:space="preserve">OLIVA, PETER A &amp; TIFFANY A </t>
  </si>
  <si>
    <t>PO BOX 3885</t>
  </si>
  <si>
    <t xml:space="preserve">PELCZARSKI FAMILY TRUST  </t>
  </si>
  <si>
    <t>PONDEROSA 4 LT 16 BLK D</t>
  </si>
  <si>
    <t>569 SILVERTIP DR</t>
  </si>
  <si>
    <t>PONDEROSA SUB 2 FR 12 ALL</t>
  </si>
  <si>
    <t xml:space="preserve">MFG INCLINE LLC </t>
  </si>
  <si>
    <t>8300 N HAYDEN RD</t>
  </si>
  <si>
    <t>85258</t>
  </si>
  <si>
    <t xml:space="preserve">DEMARTINO FAMILY 1996 TRUST  </t>
  </si>
  <si>
    <t>PONDEROSA 2 FR LT 12 &amp; ALL LT 13 BLK B</t>
  </si>
  <si>
    <t>547 COLE CIR</t>
  </si>
  <si>
    <t>PONDEROSA SUB DIV 5</t>
  </si>
  <si>
    <t xml:space="preserve">EKIN, JOHN &amp; SHARON </t>
  </si>
  <si>
    <t xml:space="preserve">HARRIES JOINT LIVING TRUST , DAVID G &amp; KATHLEEN M  </t>
  </si>
  <si>
    <t>PONDEROSA 5 LT 1 BLK 6</t>
  </si>
  <si>
    <t>538 DALE DR</t>
  </si>
  <si>
    <t>PONDEROSA 5 AMD</t>
  </si>
  <si>
    <t xml:space="preserve">DELFER, FRANK </t>
  </si>
  <si>
    <t>PONDEROSA 5 AMD LT 2 BLK 6</t>
  </si>
  <si>
    <t>336 2ND CREEK DR</t>
  </si>
  <si>
    <t>PONDEROSA SUB DIV 4</t>
  </si>
  <si>
    <t xml:space="preserve">SCHULTZ LIVING TRUST, ARTHUR B   </t>
  </si>
  <si>
    <t>PO BOX 4842</t>
  </si>
  <si>
    <t xml:space="preserve">GIBBONS, JOHN D &amp; ALMA E  </t>
  </si>
  <si>
    <t>PONDEROSA 4 LT 3 BLK B</t>
  </si>
  <si>
    <t>236 ALLEN WAY</t>
  </si>
  <si>
    <t xml:space="preserve">CAMPI, CURTIS </t>
  </si>
  <si>
    <t xml:space="preserve">236 ALLEN WAY </t>
  </si>
  <si>
    <t xml:space="preserve">WORTHINGTON, GLORIA J </t>
  </si>
  <si>
    <t>LAKEVIEW LT 15 BLK F</t>
  </si>
  <si>
    <t>652 CRYSTAL PEAK RD</t>
  </si>
  <si>
    <t xml:space="preserve">KRAMM REVOCABLE TRUST  </t>
  </si>
  <si>
    <t>PO BOX 7194</t>
  </si>
  <si>
    <t>SPREKELS</t>
  </si>
  <si>
    <t>92962</t>
  </si>
  <si>
    <t xml:space="preserve">CERRETTI, ANTU J &amp; ALEXIS P </t>
  </si>
  <si>
    <t>LAKEVIEW LT 1 BLK F</t>
  </si>
  <si>
    <t>650 LAKESHORE BLVD</t>
  </si>
  <si>
    <t xml:space="preserve">TOURSTAR I LLC </t>
  </si>
  <si>
    <t>6560 SW MCCARRAN BLVD STE A</t>
  </si>
  <si>
    <t xml:space="preserve">ROBINS TRUST  </t>
  </si>
  <si>
    <t>LAKEVIEW LT 19 BLK B</t>
  </si>
  <si>
    <t>731 MARTIS PEAK DR</t>
  </si>
  <si>
    <t xml:space="preserve">GIOSSO FAMILY LIVING TRUST  </t>
  </si>
  <si>
    <t>240 BARNESON AVE</t>
  </si>
  <si>
    <t xml:space="preserve">GLOSSO, JOHN L &amp; PATRICIA A </t>
  </si>
  <si>
    <t>LAKEVIEW LT 7 BLK E</t>
  </si>
  <si>
    <t>C/O INTERO REAL ESTATE</t>
  </si>
  <si>
    <t>570 LAKESHORE BLVD</t>
  </si>
  <si>
    <t>835 FREELS PEAK DR</t>
  </si>
  <si>
    <t xml:space="preserve">WILHOIT FAMILY TRUST, DAVID M &amp; ANNE E  </t>
  </si>
  <si>
    <t>930 TAHOE BLVD 802-403</t>
  </si>
  <si>
    <t xml:space="preserve">GATES, FAMILY TRUST  </t>
  </si>
  <si>
    <t>LAKEVIEW LT 7 BLK I</t>
  </si>
  <si>
    <t>880 FREELS PEAK DR</t>
  </si>
  <si>
    <t>JAMES C &amp; JOAN E DAVIS TRUSTEES</t>
  </si>
  <si>
    <t>66 SEAVIEW TERR</t>
  </si>
  <si>
    <t xml:space="preserve">RIDGEVIEW ESTATES DEV LLC </t>
  </si>
  <si>
    <t>LAKEVIEW LT 12 BLK L</t>
  </si>
  <si>
    <t>939 LAKESHORE BLVD</t>
  </si>
  <si>
    <t>935 LAKESHORE BLVD LLC</t>
  </si>
  <si>
    <t>123 SOUTH HILLS DR</t>
  </si>
  <si>
    <t>BRISBANE</t>
  </si>
  <si>
    <t xml:space="preserve">WALCHEK FAMILY TRUST  </t>
  </si>
  <si>
    <t>FR N2 NW4 SEC 22 TWP 16 RGE 18</t>
  </si>
  <si>
    <t>936 LAKESHORE BLVD</t>
  </si>
  <si>
    <t xml:space="preserve">HUNTER REVOCABLE TRUST, JOHN D &amp; CYNTHIA V  </t>
  </si>
  <si>
    <t>4 BRIGHTWOOD CIR</t>
  </si>
  <si>
    <t xml:space="preserve">BAKAR FAMILY TRUST  </t>
  </si>
  <si>
    <t>LAKEVIEW LT 10 BLK N</t>
  </si>
  <si>
    <t>920 LAKESHORE BLVD</t>
  </si>
  <si>
    <t>LAKEVIEW 1</t>
  </si>
  <si>
    <t xml:space="preserve">SHELLOW FAMILY TRUST, ROY &amp; EVA  </t>
  </si>
  <si>
    <t>16830 BAJIO RD</t>
  </si>
  <si>
    <t xml:space="preserve">REDFERN FAMILY TRUST  </t>
  </si>
  <si>
    <t>LAKEVIEW 1 LT 6 BLK N</t>
  </si>
  <si>
    <t>912 LAKESHORE BLVD</t>
  </si>
  <si>
    <t xml:space="preserve">HANKLA, JAMES K &amp; MELISSA J </t>
  </si>
  <si>
    <t>PO BOX 6084</t>
  </si>
  <si>
    <t>HUDSON, VIRGINIA M TTEE et al</t>
  </si>
  <si>
    <t>LAKEVIEW LT 4 BLK N</t>
  </si>
  <si>
    <t>KWAN, JAELYN S et al</t>
  </si>
  <si>
    <t>4130 CESAR CHAVEZ ST 14</t>
  </si>
  <si>
    <t xml:space="preserve">POLLARD, EIRAM A </t>
  </si>
  <si>
    <t>CEDARS LT 2</t>
  </si>
  <si>
    <t>LEROY, JONATHAN et al</t>
  </si>
  <si>
    <t>PO BOX 5690</t>
  </si>
  <si>
    <t>CHERRY, PATRICK A &amp; DIANA L et al</t>
  </si>
  <si>
    <t>CEDARS LT 14</t>
  </si>
  <si>
    <t>501 LAKESHORE BLVD</t>
  </si>
  <si>
    <t>LAKESHORE TERRACE AMENDED</t>
  </si>
  <si>
    <t xml:space="preserve">HOFFMAN REVOCABLE TRUST, PEGGY M  </t>
  </si>
  <si>
    <t xml:space="preserve">23811 FAIRGREENS E </t>
  </si>
  <si>
    <t xml:space="preserve">LAGUNA NIGUEL </t>
  </si>
  <si>
    <t>92677</t>
  </si>
  <si>
    <t>DILL, CHRISTINE G et al</t>
  </si>
  <si>
    <t>LAKESHORE TERRACE AMD LT 21</t>
  </si>
  <si>
    <t>LAKESHORE TERRACE AMD</t>
  </si>
  <si>
    <t xml:space="preserve">KIBAK, KRISTIAN </t>
  </si>
  <si>
    <t>PO BOX 3141</t>
  </si>
  <si>
    <t xml:space="preserve">GEORGE, JOANNA </t>
  </si>
  <si>
    <t>LAKESHORE TERRACE AMD LT 56</t>
  </si>
  <si>
    <t xml:space="preserve">HEMMINGER, MARY E </t>
  </si>
  <si>
    <t>CRYSTAL BAY COVE COND LT 18</t>
  </si>
  <si>
    <t>540 GONOWABIE RD</t>
  </si>
  <si>
    <t>CRYSTAL BAY PARK FR LT 33</t>
  </si>
  <si>
    <t xml:space="preserve">SNYDER 1998 FAMILY TRUST, PATRICK &amp; FILOMENA  </t>
  </si>
  <si>
    <t>6285 CROOKED STICK CIR</t>
  </si>
  <si>
    <t xml:space="preserve">VICKERS MANAGEMENT LTD </t>
  </si>
  <si>
    <t>CRYSTAL BAY PARK FR LT 33 &amp; 34 BLK 14</t>
  </si>
  <si>
    <t>514 GONOWABIE RD</t>
  </si>
  <si>
    <t xml:space="preserve">SARDELLA, LOUIS M  </t>
  </si>
  <si>
    <t>PO BOX 277</t>
  </si>
  <si>
    <t>WALKER, NICHOLAS et al</t>
  </si>
  <si>
    <t>CRYSTAL BAY PARK LT 28 BLK 14</t>
  </si>
  <si>
    <t>520 PAHUTE RD</t>
  </si>
  <si>
    <t xml:space="preserve">MCGONIGAL, JAMES A &amp; JOANNE P </t>
  </si>
  <si>
    <t>5140 GROSVENOR CIR</t>
  </si>
  <si>
    <t xml:space="preserve">PACIFIC PROPERTIES </t>
  </si>
  <si>
    <t>CRYSTAL BAY PARK FR LT 36 37 40 BLK 9</t>
  </si>
  <si>
    <t>340 STATE ROUTE 28</t>
  </si>
  <si>
    <t>CRYSTAL BAY PARK FR TR 9</t>
  </si>
  <si>
    <t xml:space="preserve">LEVIN, PETER S  </t>
  </si>
  <si>
    <t>PO BOX 1756</t>
  </si>
  <si>
    <t>TSCB</t>
  </si>
  <si>
    <t>101 RED CEDAR RD</t>
  </si>
  <si>
    <t xml:space="preserve">CRYSTAL BAY PALISADES </t>
  </si>
  <si>
    <t xml:space="preserve">CANNISTRARO, MARK P &amp; JILL </t>
  </si>
  <si>
    <t>930 TAHOE BLVD #802-318</t>
  </si>
  <si>
    <t>ISAACSON, KAY M et al</t>
  </si>
  <si>
    <t>123-190-26</t>
  </si>
  <si>
    <t>CRYSTAL BAY PALISADES ADJ LT 10 BLK C (RS 3772)</t>
  </si>
  <si>
    <t>PCGA</t>
  </si>
  <si>
    <t>CRYSTAL BAY PALISADES ADJ</t>
  </si>
  <si>
    <t xml:space="preserve">PHILIPP FAMILY TRUST, LAWRENCE &amp; LINDA  </t>
  </si>
  <si>
    <t>LAWRENCE A &amp; LINDA J PHILIPP TRUSTEE</t>
  </si>
  <si>
    <t>2362 PHEASANT RUN CR</t>
  </si>
  <si>
    <t xml:space="preserve">GREEN LIVING TRUST  </t>
  </si>
  <si>
    <t>CRYSTAL BAY PALISADES ADJ LT 20 BLK C (RS 3772)</t>
  </si>
  <si>
    <t xml:space="preserve">MEDSCAPE INC </t>
  </si>
  <si>
    <t>204 W SPEAR ST</t>
  </si>
  <si>
    <t xml:space="preserve">WOOD FAMILY TRUST  </t>
  </si>
  <si>
    <t>CRYSTAL BAY PALISADES ADJ LT 25 BLK C (RS 3772)</t>
  </si>
  <si>
    <t>LEVIN, PETER S et al</t>
  </si>
  <si>
    <t>MIURA-LEVIN SHIHO</t>
  </si>
  <si>
    <t>490 TUSCARORA RD</t>
  </si>
  <si>
    <t>123-151-02</t>
  </si>
  <si>
    <t>455 LAKESHORE BLVD</t>
  </si>
  <si>
    <t>CRYSTAL TOWER</t>
  </si>
  <si>
    <t xml:space="preserve">STRAUSS FAMILY SURVIVORS TRUST, RICHARD H   </t>
  </si>
  <si>
    <t xml:space="preserve">STRAUSS FAMILY TRUST, RICHARD H   </t>
  </si>
  <si>
    <t>CRYSTAL TOWER LT F</t>
  </si>
  <si>
    <t>PCDA</t>
  </si>
  <si>
    <t>120 STATE ROUTE 28</t>
  </si>
  <si>
    <t>STILLWATER COVE</t>
  </si>
  <si>
    <t xml:space="preserve">BEART FAMILY TRUST  </t>
  </si>
  <si>
    <t>445 S GRAND AVE</t>
  </si>
  <si>
    <t>PASADENA</t>
  </si>
  <si>
    <t xml:space="preserve">BEART, ROBERT W &amp; CYNTHIA A </t>
  </si>
  <si>
    <t>STILLWATER COVE AMD 1 LT 22</t>
  </si>
  <si>
    <t>PCBA</t>
  </si>
  <si>
    <t xml:space="preserve">BUDGE TRUST, WILLA K  </t>
  </si>
  <si>
    <t>WILLA K BUDGE TRUSTEE</t>
  </si>
  <si>
    <t>2298 PACIFIC AVE #5</t>
  </si>
  <si>
    <t xml:space="preserve">BEALL REVOCABLE LIVING TRUST, ALAN C  </t>
  </si>
  <si>
    <t>STILLWATER COVE UT 23 BLK A</t>
  </si>
  <si>
    <t>391 WILLOW CT</t>
  </si>
  <si>
    <t>PM 98 CONDO</t>
  </si>
  <si>
    <t xml:space="preserve">YELOWITZ 2006 TRUST, JASON  </t>
  </si>
  <si>
    <t>391 WILLOW CT A</t>
  </si>
  <si>
    <t xml:space="preserve">YELOWITZ, JASON </t>
  </si>
  <si>
    <t>PM 984 LT 4</t>
  </si>
  <si>
    <t>730 BETTY LN</t>
  </si>
  <si>
    <t xml:space="preserve">ANDERS, LESIA </t>
  </si>
  <si>
    <t>930 TAHOE BLVD #802-264</t>
  </si>
  <si>
    <t>WINDING WOOD LT 82</t>
  </si>
  <si>
    <t>803 MC COURRY BLVD</t>
  </si>
  <si>
    <t xml:space="preserve">BARRETT REVOCABLE TRUST, NANCY E  </t>
  </si>
  <si>
    <t>PO BOX 7021</t>
  </si>
  <si>
    <t xml:space="preserve">MALOY LIVING TRUST, EVELYN F  </t>
  </si>
  <si>
    <t>WINDING WOOD LT 101</t>
  </si>
  <si>
    <t>423 PAT CT</t>
  </si>
  <si>
    <t xml:space="preserve">ERICKSON, BLAIR N &amp; FARIDEH </t>
  </si>
  <si>
    <t xml:space="preserve">1205 BEACH ST </t>
  </si>
  <si>
    <t xml:space="preserve">DISCOVERY BAY </t>
  </si>
  <si>
    <t xml:space="preserve">MARRINER TRUST, DAVID &amp; NANCY  </t>
  </si>
  <si>
    <t>WINDING WOOD LT 93</t>
  </si>
  <si>
    <t>480 WINDING WAY</t>
  </si>
  <si>
    <t xml:space="preserve">GREEN, JASON &amp; ANGELA L </t>
  </si>
  <si>
    <t xml:space="preserve">480 WINDING WAY                         </t>
  </si>
  <si>
    <t>WINDING WOOD LT 5</t>
  </si>
  <si>
    <t>591 LUCILLE DR</t>
  </si>
  <si>
    <t xml:space="preserve">LARSON , CHRISTINE R  </t>
  </si>
  <si>
    <t>774 MAYS BLVD # 10-101</t>
  </si>
  <si>
    <t>EDGEWOOD PARK LT 3</t>
  </si>
  <si>
    <t>851 COLLEGE DR</t>
  </si>
  <si>
    <t>TSUDA, KESA et al</t>
  </si>
  <si>
    <t>212 35TH ST</t>
  </si>
  <si>
    <t xml:space="preserve">CALIFORNIA BANK &amp; TRUST </t>
  </si>
  <si>
    <t>EDGEWOOD PARK LT 30</t>
  </si>
  <si>
    <t>857 COLLEGE DR</t>
  </si>
  <si>
    <t>ZUCKERMAN FAMILY TRUST, GORDON S et al</t>
  </si>
  <si>
    <t>10523 E CORRINE DR</t>
  </si>
  <si>
    <t>85259</t>
  </si>
  <si>
    <t xml:space="preserve">ZUCKERMAN, GORDON &amp; SUSAN </t>
  </si>
  <si>
    <t>EDGEWOOD PARK LT 31</t>
  </si>
  <si>
    <t>855 COLLEGE DR</t>
  </si>
  <si>
    <t>EDGE WOOD PARK</t>
  </si>
  <si>
    <t xml:space="preserve">THESMAN, MICHAEL S </t>
  </si>
  <si>
    <t>16868 CALLE BELLAVISTA</t>
  </si>
  <si>
    <t>PACIFIC PALISADES</t>
  </si>
  <si>
    <t>EDGEWOOD PARK LT 32</t>
  </si>
  <si>
    <t>593 N DYER CIR</t>
  </si>
  <si>
    <t xml:space="preserve">DCH EVANS FAMILY TRUST  </t>
  </si>
  <si>
    <t xml:space="preserve">DYER TRUST #593  </t>
  </si>
  <si>
    <t>EDGEWOOD PARK LT 35</t>
  </si>
  <si>
    <t>585 N DYER CIR</t>
  </si>
  <si>
    <t>DANIEL, AARON et al</t>
  </si>
  <si>
    <t>NIBLER COLLEEN</t>
  </si>
  <si>
    <t>585 NORTH DYER CIR</t>
  </si>
  <si>
    <t xml:space="preserve">COOK, WARREN F &amp; MARIA J </t>
  </si>
  <si>
    <t>EDGEWOOD PARK LT 37</t>
  </si>
  <si>
    <t>818 DONNA DR</t>
  </si>
  <si>
    <t xml:space="preserve">SABIN, JONATHAN R &amp; SUSAN </t>
  </si>
  <si>
    <t>26 N HAVEN WAY</t>
  </si>
  <si>
    <t>SAG HARBOR</t>
  </si>
  <si>
    <t>WOOD CREEK SUB LT 14</t>
  </si>
  <si>
    <t>869 S DYER CIR</t>
  </si>
  <si>
    <t xml:space="preserve">HOOPENGARDNER, DAVID &amp; KATHERINE </t>
  </si>
  <si>
    <t>EDGEWOOD PARK LT 83</t>
  </si>
  <si>
    <t>590 MC DONALD DR</t>
  </si>
  <si>
    <t xml:space="preserve">HANSON, PETER A </t>
  </si>
  <si>
    <t>PO BOX 5989</t>
  </si>
  <si>
    <t>EDGEWOOD PARK LT 93</t>
  </si>
  <si>
    <t>864 DONNA DR</t>
  </si>
  <si>
    <t>WOOD CREEK SUB</t>
  </si>
  <si>
    <t>WONG, KRISTOPHER WAH-KEH et al</t>
  </si>
  <si>
    <t xml:space="preserve">8575 SANDSTONE CT </t>
  </si>
  <si>
    <t xml:space="preserve">VIERSEN, ROBERT F &amp; EVELYN L  </t>
  </si>
  <si>
    <t>WOOD CREEK SUB LOT 21</t>
  </si>
  <si>
    <t>599 CREST LN</t>
  </si>
  <si>
    <t>INCLINE CREST</t>
  </si>
  <si>
    <t xml:space="preserve">GIANNINI FAMILY TRUST  </t>
  </si>
  <si>
    <t xml:space="preserve">2323 WOOSTER AVE </t>
  </si>
  <si>
    <t xml:space="preserve">BELMONT </t>
  </si>
  <si>
    <t>NEWMAN, DAVID T et al</t>
  </si>
  <si>
    <t>INCLINE CREST LT 23</t>
  </si>
  <si>
    <t>451 JILL CT</t>
  </si>
  <si>
    <t>SCHULTEN LIVING TRUST, MARK E et al</t>
  </si>
  <si>
    <t>6710 BAYSHORE WALK</t>
  </si>
  <si>
    <t xml:space="preserve">BRYANT, SCOTT &amp; TERRI </t>
  </si>
  <si>
    <t>INCLINE VILLAGE 2 LT 12 BLK W</t>
  </si>
  <si>
    <t>808 TONI CT</t>
  </si>
  <si>
    <t xml:space="preserve">SCHLADOW, GEOFFREY &amp; SHARON  </t>
  </si>
  <si>
    <t>624 OAK AVE</t>
  </si>
  <si>
    <t xml:space="preserve">KRUEGER, FREDERICK R </t>
  </si>
  <si>
    <t>INCLINE VILLAGE 2 LT 14 BLK S</t>
  </si>
  <si>
    <t>796 TYNER WAY</t>
  </si>
  <si>
    <t>YOUNG, CRAIG A  et al</t>
  </si>
  <si>
    <t>INCLINE VILLAGE 2 LT 20 BLK S</t>
  </si>
  <si>
    <t>794 TYNER WAY</t>
  </si>
  <si>
    <t xml:space="preserve">GLARUS PROPERTIES LLC </t>
  </si>
  <si>
    <t>C/O RBC TRUST CO</t>
  </si>
  <si>
    <t>4550 NEW LINDEN HILL RD STE 200</t>
  </si>
  <si>
    <t>WILMINGTON</t>
  </si>
  <si>
    <t>INCLINE VILLAGE 2 LT 21 BLK S</t>
  </si>
  <si>
    <t>941 DORCEY DR</t>
  </si>
  <si>
    <t xml:space="preserve">MIYAMOTO , EDWARD </t>
  </si>
  <si>
    <t xml:space="preserve">835 POLLARD RD </t>
  </si>
  <si>
    <t>INCLINE VILLAGE 2 LT 33 BLK J</t>
  </si>
  <si>
    <t>929 DORCEY DR</t>
  </si>
  <si>
    <t xml:space="preserve">INGRAHAM, SCOTT R </t>
  </si>
  <si>
    <t xml:space="preserve">MCNELLY FAMILY TRUST  </t>
  </si>
  <si>
    <t>INCLINE VILLAGE 2 LT 19 BLK J</t>
  </si>
  <si>
    <t>579 DOUGLAS CT</t>
  </si>
  <si>
    <t>INCLINE VILLAGE UT #2 FR</t>
  </si>
  <si>
    <t xml:space="preserve">JONES, PATRICIA M </t>
  </si>
  <si>
    <t>810 EDGEHILL DR</t>
  </si>
  <si>
    <t>125-163-21</t>
  </si>
  <si>
    <t>INCLINE VILLAGE 2 FR LT 15 BLK M</t>
  </si>
  <si>
    <t>309 LAURA CT</t>
  </si>
  <si>
    <t>ROBINSON, REED et al</t>
  </si>
  <si>
    <t>P O BOX 6233</t>
  </si>
  <si>
    <t xml:space="preserve">LAURA COURT LLC </t>
  </si>
  <si>
    <t>INCLINE VILLAGE 2 LT 44 BLK F</t>
  </si>
  <si>
    <t>977 DORCEY DR</t>
  </si>
  <si>
    <t>INCLINE VILLAGE UNIT NO 2</t>
  </si>
  <si>
    <t>MCGINNIS, KEITH et al</t>
  </si>
  <si>
    <t>LAURENCE JEAN</t>
  </si>
  <si>
    <t xml:space="preserve">MCCABE, GEORGE &amp; GRETCHEN </t>
  </si>
  <si>
    <t>INCLINE VILLAGE 2 LT 31 BLK I</t>
  </si>
  <si>
    <t>986 DORCEY DR</t>
  </si>
  <si>
    <t xml:space="preserve">NOVAK FAMILY REV TRUST  </t>
  </si>
  <si>
    <t>986 DORSEY DR</t>
  </si>
  <si>
    <t xml:space="preserve">NOVAK, KERRY W &amp; CYNTHIA Z </t>
  </si>
  <si>
    <t>INCLINE VILLAGE 2 LT 2 BLK H</t>
  </si>
  <si>
    <t>803 JENNIFER ST</t>
  </si>
  <si>
    <t xml:space="preserve">ROGERS, PATRICK &amp; CATHERINE </t>
  </si>
  <si>
    <t>P O BOX 3456</t>
  </si>
  <si>
    <t xml:space="preserve">ALLEN, MICHAEL S </t>
  </si>
  <si>
    <t>INCLINE VILLAGE 1 LT 32 BLK A</t>
  </si>
  <si>
    <t>797 IDA CT</t>
  </si>
  <si>
    <t>RS 4329</t>
  </si>
  <si>
    <t xml:space="preserve">MACRICOSTAS, GEORGE C </t>
  </si>
  <si>
    <t>930 TAHOE BLVD 802-525</t>
  </si>
  <si>
    <t xml:space="preserve">KGI-ONE </t>
  </si>
  <si>
    <t>125-211-05</t>
  </si>
  <si>
    <t>RS 4329 LT 23A</t>
  </si>
  <si>
    <t>TAGG</t>
  </si>
  <si>
    <t>RIDGEVIEW ESTATES DEV LLC</t>
  </si>
  <si>
    <t>824 GERALDINE DR</t>
  </si>
  <si>
    <t>IRBY, HAROLD L et al</t>
  </si>
  <si>
    <t>SI YANGLING</t>
  </si>
  <si>
    <t xml:space="preserve">AVERKIN REVOCABLE TRUST, EUGENE G &amp; CAROLE R  </t>
  </si>
  <si>
    <t>INCLINE VILLAGE1 LT 31 BLK J</t>
  </si>
  <si>
    <t>840 JENNIFER ST</t>
  </si>
  <si>
    <t xml:space="preserve">CUTTLER, DAVID H &amp; DEBORAH L  </t>
  </si>
  <si>
    <t>840 JENNNIFER ST</t>
  </si>
  <si>
    <t xml:space="preserve">MASON LIVING TRUST  </t>
  </si>
  <si>
    <t>INCLINE VILLAGE 1 LT 39 BLK J</t>
  </si>
  <si>
    <t>839 JENNIFER ST</t>
  </si>
  <si>
    <t xml:space="preserve">NILSSON, DAVID &amp; DARLENE </t>
  </si>
  <si>
    <t xml:space="preserve">MCNAIR, DONALD F &amp; CHUN H </t>
  </si>
  <si>
    <t>INCLINE VILLAGE 1 LT 13 BLK A</t>
  </si>
  <si>
    <t>860 JEFFREY ST</t>
  </si>
  <si>
    <t>SAUER, DENNY F  et al</t>
  </si>
  <si>
    <t>1698 BRIDGEVIEW CT</t>
  </si>
  <si>
    <t xml:space="preserve">SAUER MANTHE FAMILY TRUST  </t>
  </si>
  <si>
    <t>INCLINE VILLAGE 1 LT 40  FR 41 BLK C</t>
  </si>
  <si>
    <t>788 GERALDINE DR</t>
  </si>
  <si>
    <t>INCLINE VILLAGE UNIT #1</t>
  </si>
  <si>
    <t xml:space="preserve">DUCOING REVOCABLE LIVING TRUST, CHRISTINE GRUFMAN  </t>
  </si>
  <si>
    <t xml:space="preserve">3531 SPRINGFIELD DR </t>
  </si>
  <si>
    <t>INCLINE VILLAGE 1 LT 15 BLK C</t>
  </si>
  <si>
    <t>772 GERALDINE DR</t>
  </si>
  <si>
    <t>INCLINE VILLAGE 1A</t>
  </si>
  <si>
    <t xml:space="preserve">LUSICH, PETER L IV </t>
  </si>
  <si>
    <t>5010 FRECKLES CT</t>
  </si>
  <si>
    <t>INCLINE VILLAGE 1A LT 12 BLK B</t>
  </si>
  <si>
    <t>759 GERALDINE DR</t>
  </si>
  <si>
    <t>PACE, CLARE E et al</t>
  </si>
  <si>
    <t>P O BOX 4266</t>
  </si>
  <si>
    <t xml:space="preserve">UHRIG, CHARLES E </t>
  </si>
  <si>
    <t>INCLINE VILLAGE UNIT #1-A  LOT 7 BLK C</t>
  </si>
  <si>
    <t>899 JENNIFER ST</t>
  </si>
  <si>
    <t xml:space="preserve">WANBERG, JIM &amp; JEAN  </t>
  </si>
  <si>
    <t>PO BOX 6137</t>
  </si>
  <si>
    <t>JOLY TRUST, PAUL M &amp; ELIZABETH  TTEE et al</t>
  </si>
  <si>
    <t>INCLINE VILLAGE UNIT #1-A  LOT 14 BLK M</t>
  </si>
  <si>
    <t>682 RALSTON CT</t>
  </si>
  <si>
    <t xml:space="preserve">GALLIEN, FREDERICK &amp; VICTORIA K </t>
  </si>
  <si>
    <t xml:space="preserve">FERRELL, CYNTHIA L </t>
  </si>
  <si>
    <t>INCLINE VILLAGE 1A LT 10 BLK E</t>
  </si>
  <si>
    <t>938 JENNIFER ST</t>
  </si>
  <si>
    <t>MORITZ, JAMES J &amp; SUSAN G et al</t>
  </si>
  <si>
    <t>2835 RAMONA RD</t>
  </si>
  <si>
    <t xml:space="preserve">SIEGEL TRUST, LAWRENCE &amp; GAIL  </t>
  </si>
  <si>
    <t>INCLINE VILLAGE 1A LT 9 BLK F</t>
  </si>
  <si>
    <t>964 JENNIFER ST</t>
  </si>
  <si>
    <t xml:space="preserve">CARRERA REVOCABLE LIVING TRUST, RANDALL J   </t>
  </si>
  <si>
    <t>INCLINE VILLAGE 1A LT 8 BLK G</t>
  </si>
  <si>
    <t>692 SUTRO CT</t>
  </si>
  <si>
    <t xml:space="preserve">GRANT, JAMES &amp; MARY  </t>
  </si>
  <si>
    <t xml:space="preserve">692 SUTRO CT </t>
  </si>
  <si>
    <t xml:space="preserve">GONZALES TRUST, RAYMOND G &amp; DELIA G  </t>
  </si>
  <si>
    <t>INCLINE VILLAGE 1A LT 2 BLK G</t>
  </si>
  <si>
    <t>949 APOLLO WAY</t>
  </si>
  <si>
    <t xml:space="preserve">STEINBERG, RAYMOND &amp; ZELDA </t>
  </si>
  <si>
    <t>INCLINE VILLAGE 5 LT 17 BLK E</t>
  </si>
  <si>
    <t>950 APOLLO WAY</t>
  </si>
  <si>
    <t xml:space="preserve">BOLTON, HENRY &amp; JULIE  </t>
  </si>
  <si>
    <t>C/O H &amp; J RENO LLC</t>
  </si>
  <si>
    <t xml:space="preserve">BAHNEMAN LIVING TRUST, HELEN T  </t>
  </si>
  <si>
    <t>INCLINE VILLAGE 5 LT 9 BLK C</t>
  </si>
  <si>
    <t>1039 APOLLO WAY</t>
  </si>
  <si>
    <t xml:space="preserve">ROEHR, THOMAS S &amp; POLLY </t>
  </si>
  <si>
    <t>8116 RIVERSIDE FARM RD</t>
  </si>
  <si>
    <t>MARSHALL</t>
  </si>
  <si>
    <t xml:space="preserve">LAFRANCE FAMILY TRUST  </t>
  </si>
  <si>
    <t>INCLINE VILLAGE 5  LT 28 BLK B</t>
  </si>
  <si>
    <t>1000 APOLLO WAY</t>
  </si>
  <si>
    <t xml:space="preserve">STONE, MICHAEL G </t>
  </si>
  <si>
    <t>101-140 STONECREEK RD</t>
  </si>
  <si>
    <t>CANMORE</t>
  </si>
  <si>
    <t>AB</t>
  </si>
  <si>
    <t>TIW 3J3</t>
  </si>
  <si>
    <t>INCLINE VILLAGE 5 LT 9 BLK H</t>
  </si>
  <si>
    <t>610 2ND CREEK DR</t>
  </si>
  <si>
    <t>INCLINE VILLAGE UNIT NO 4</t>
  </si>
  <si>
    <t xml:space="preserve">VIRK, KANWARDEEP S </t>
  </si>
  <si>
    <t>610 SECOND CREEK DR</t>
  </si>
  <si>
    <t>INCLINE VILLAGE 4 LT 25 BLK E</t>
  </si>
  <si>
    <t>657 TYNER WAY</t>
  </si>
  <si>
    <t xml:space="preserve">CHARLES FAMILY TRUST  </t>
  </si>
  <si>
    <t>44 MARIE ST</t>
  </si>
  <si>
    <t>SAUSALITO</t>
  </si>
  <si>
    <t>CHARLES, MERL A et al</t>
  </si>
  <si>
    <t>INCLINE VILLAGE 4 LT 9 BLK A</t>
  </si>
  <si>
    <t>609 DOESKIN CT</t>
  </si>
  <si>
    <t xml:space="preserve">ARGENT REVOCABLE TRUST  </t>
  </si>
  <si>
    <t xml:space="preserve">803 CHARLES CT </t>
  </si>
  <si>
    <t>ABACUS NEVADA LIMITED PTSP et al</t>
  </si>
  <si>
    <t>INCLINE VILLAGE 4 LT 7 BLK F</t>
  </si>
  <si>
    <t>559 LEN WAY</t>
  </si>
  <si>
    <t xml:space="preserve">FERRALL, WILLIAM &amp; KRISTEN  </t>
  </si>
  <si>
    <t xml:space="preserve">BRITT, RANDALL &amp; DIANE </t>
  </si>
  <si>
    <t>INCLINE VILLAGE 4 LT 18 BLK G</t>
  </si>
  <si>
    <t>579 VALLEY DR</t>
  </si>
  <si>
    <t xml:space="preserve">DAVID LAUREN &amp; DANIELLE FAMILY, TRUST  </t>
  </si>
  <si>
    <t>9150 N 70TH ST</t>
  </si>
  <si>
    <t>PARADISE VALLEY</t>
  </si>
  <si>
    <t>85253</t>
  </si>
  <si>
    <t xml:space="preserve">DAVID LAUREN &amp; DANIELLE TRUST  </t>
  </si>
  <si>
    <t>INCLINE VILLAGE 4 LT 12 BLK G</t>
  </si>
  <si>
    <t>591 TYNER WAY</t>
  </si>
  <si>
    <t xml:space="preserve">DREWES FAMILY TRUST  </t>
  </si>
  <si>
    <t xml:space="preserve">DREWES, WILLIAM G &amp; LIZA H  </t>
  </si>
  <si>
    <t>INCLINE VILLAGE UT 4 LT 57 BLK E</t>
  </si>
  <si>
    <t>593 TYNER WAY</t>
  </si>
  <si>
    <t>HO, VICTOR  et al</t>
  </si>
  <si>
    <t>LAWSON ARIELLE</t>
  </si>
  <si>
    <t xml:space="preserve">11926 COBBLESTONE DR </t>
  </si>
  <si>
    <t xml:space="preserve">HOUSTON </t>
  </si>
  <si>
    <t>INCLINE VILLAGE 4 LT 58 BLK E</t>
  </si>
  <si>
    <t>621 TUMBLEWEED CIR</t>
  </si>
  <si>
    <t xml:space="preserve">SNODGRESS TRUST, JAMES R &amp; CAROL A  </t>
  </si>
  <si>
    <t>JAMES R &amp; CAROL A SNODGRESS TRUSTEE</t>
  </si>
  <si>
    <t>1712 ALLISON WAY</t>
  </si>
  <si>
    <t>REDLANDS</t>
  </si>
  <si>
    <t>92373</t>
  </si>
  <si>
    <t>INCLINE VILLAGE 4  LT 10 BLK L</t>
  </si>
  <si>
    <t>562 ANTLER CT</t>
  </si>
  <si>
    <t xml:space="preserve">CZECZULIN, NICK </t>
  </si>
  <si>
    <t xml:space="preserve">DEWITT, CLINTON IV  </t>
  </si>
  <si>
    <t>INCLINE VILLAGE 4 LT 29 BLK I</t>
  </si>
  <si>
    <t>560 ANTLER CT</t>
  </si>
  <si>
    <t xml:space="preserve">MERRITT, STEVEN C &amp; MARILYN G  </t>
  </si>
  <si>
    <t xml:space="preserve">13809 CARDIGAN AVE </t>
  </si>
  <si>
    <t>KENNEDY, MICHAEL G et al</t>
  </si>
  <si>
    <t>INCLINE VILLAGE 4 LT 28 BLK I</t>
  </si>
  <si>
    <t>660 TUMBLEWEED CIR</t>
  </si>
  <si>
    <t xml:space="preserve">SMITH LIVING TRUST  </t>
  </si>
  <si>
    <t>24360 LOMA PRIETA AVE</t>
  </si>
  <si>
    <t xml:space="preserve">JG/CG TRUST  </t>
  </si>
  <si>
    <t>INCLINE VILLAGE 4 LT 5 BLK J</t>
  </si>
  <si>
    <t>684 SADDLEHORN DR</t>
  </si>
  <si>
    <t>2.5U</t>
  </si>
  <si>
    <t xml:space="preserve">LEHR, KAY W </t>
  </si>
  <si>
    <t xml:space="preserve">F HEISE LAND &amp; LIVESTOCK CO IN </t>
  </si>
  <si>
    <t>INCLINE VILLAGE 4 LT 13 BLK N</t>
  </si>
  <si>
    <t>1084 LUCERNE WAY</t>
  </si>
  <si>
    <t xml:space="preserve">THOMAS FAMILY TRUST, STEPHEN &amp; SARAH  </t>
  </si>
  <si>
    <t xml:space="preserve">THOMAS, STEPHEN R &amp; SARAH A </t>
  </si>
  <si>
    <t>TYROLIAN VILLAGE 7 AMD LT 24</t>
  </si>
  <si>
    <t>1046 LUCERNE WAY</t>
  </si>
  <si>
    <t xml:space="preserve">HOIDA, WILLIAM &amp; KARIN </t>
  </si>
  <si>
    <t xml:space="preserve">1046 LUCERNE WAY </t>
  </si>
  <si>
    <t>SCHAEFER, NATALIE et al</t>
  </si>
  <si>
    <t>TYROLIAN VILLAGE 7 LT 9</t>
  </si>
  <si>
    <t>1136 ALTDORF TER</t>
  </si>
  <si>
    <t xml:space="preserve">BEHM TRUST  </t>
  </si>
  <si>
    <t xml:space="preserve">809 RIDGEPOINTE CT </t>
  </si>
  <si>
    <t>94582</t>
  </si>
  <si>
    <t xml:space="preserve">STANGELAND FAMILY TRUST  </t>
  </si>
  <si>
    <t>TYROLIAN VILLAGE 7 AMD LT 81</t>
  </si>
  <si>
    <t xml:space="preserve">BIRD, DEBORAH H &amp; MICHAEL J </t>
  </si>
  <si>
    <t>2465 RIGDON ST</t>
  </si>
  <si>
    <t>MT SHADOWS INCLINE 1 LT 18</t>
  </si>
  <si>
    <t>MT SHADOWS OF INCLINE 1</t>
  </si>
  <si>
    <t xml:space="preserve">FERNANDEZ TRUST, JOSE A   </t>
  </si>
  <si>
    <t xml:space="preserve">2300 GARFIELD AVE </t>
  </si>
  <si>
    <t>JOFFE, GERARDO &amp; PRISCILLA et al</t>
  </si>
  <si>
    <t>MT SHADOWS OF INCLINE #1 LT 19</t>
  </si>
  <si>
    <t>MT SHADOWS INCLINE 3</t>
  </si>
  <si>
    <t xml:space="preserve">DEFINED PENSION PLAN SJPCNC </t>
  </si>
  <si>
    <t>1521 NORTH TAMARACK</t>
  </si>
  <si>
    <t>VISALIA</t>
  </si>
  <si>
    <t>93291</t>
  </si>
  <si>
    <t>MT SHADOWS INCLINE 3 LT 68</t>
  </si>
  <si>
    <t>MT SHADOWS INCLINE 5</t>
  </si>
  <si>
    <t xml:space="preserve">VYACHESLAV ZHAKOV &amp; MARIA, PREOBRAZHENSKAYA LIV TRST  </t>
  </si>
  <si>
    <t>4566 ALTURAS DR</t>
  </si>
  <si>
    <t>MT SHADOWS INCLINE 5 LT 115</t>
  </si>
  <si>
    <t>MT SHADOWS OF INCLINE 5</t>
  </si>
  <si>
    <t xml:space="preserve">CORY, GERALD A JR </t>
  </si>
  <si>
    <t>PO BOX 1207</t>
  </si>
  <si>
    <t>BATTLE GROUND</t>
  </si>
  <si>
    <t xml:space="preserve">SAUTER FAMILY TRUST  </t>
  </si>
  <si>
    <t>MT SHADOWS OF INCLINE 5 LT 117</t>
  </si>
  <si>
    <t xml:space="preserve">KAVIANI FAMILY TRUST  </t>
  </si>
  <si>
    <t xml:space="preserve">1567 VIA CAMPO AUREO </t>
  </si>
  <si>
    <t>MT SHADOWS OF INCLINE 5 LT 134</t>
  </si>
  <si>
    <t>MT SHADOWS OF INCLINE 7</t>
  </si>
  <si>
    <t xml:space="preserve">HRUBY, MONICA M  </t>
  </si>
  <si>
    <t>321 SKI WAY UNIT 170</t>
  </si>
  <si>
    <t>MT SHADOWS OF INCLINE 7 LT 170</t>
  </si>
  <si>
    <t>MT SHADOWS INCLINE 8</t>
  </si>
  <si>
    <t xml:space="preserve">JUSTILIANO, FRANK &amp; FANNY Y </t>
  </si>
  <si>
    <t>1310 FILLMORE ST - APT 402</t>
  </si>
  <si>
    <t xml:space="preserve">HARDIN TRUST, DAVID M &amp; MICHELE N  </t>
  </si>
  <si>
    <t>MT SHADOWS INCLINE 8 AMD LT 273</t>
  </si>
  <si>
    <t xml:space="preserve">MANNING FAMILY TRUST  </t>
  </si>
  <si>
    <t>1452 CASTLE CREST</t>
  </si>
  <si>
    <t xml:space="preserve">HEXTALL, DENNIS H &amp; REBECCA A </t>
  </si>
  <si>
    <t>MT SHADOWS INCLINE 8 AMD LT 270</t>
  </si>
  <si>
    <t>GIPSON, ROBIN  et al</t>
  </si>
  <si>
    <t>853 COMMODORE DR APT 566</t>
  </si>
  <si>
    <t>SAN BRUNO</t>
  </si>
  <si>
    <t xml:space="preserve">HAIL, ROBERT L </t>
  </si>
  <si>
    <t>MT SHADOWS INCLINE 8 AMD LT 278</t>
  </si>
  <si>
    <t>CITY POINT VENTURES LLC</t>
  </si>
  <si>
    <t>16901 N DALLAS PKWY STE 100</t>
  </si>
  <si>
    <t xml:space="preserve">ADDISON </t>
  </si>
  <si>
    <t xml:space="preserve">PALMER FAMILY TRUST, RONALD G  </t>
  </si>
  <si>
    <t>MT SHADOWS INCLINE 9 AMD LT 308</t>
  </si>
  <si>
    <t xml:space="preserve">DARLING, LORI J </t>
  </si>
  <si>
    <t>335 SKI WAY UNIT 351</t>
  </si>
  <si>
    <t xml:space="preserve">YAMASHITA LIVING TRUST  </t>
  </si>
  <si>
    <t>MT SHADOWS INCLINE 9 AMD LT 351</t>
  </si>
  <si>
    <t xml:space="preserve">MARSHALL, WINTON &amp; MILDRED T </t>
  </si>
  <si>
    <t>4389 MALIA ST 429</t>
  </si>
  <si>
    <t>96821</t>
  </si>
  <si>
    <t xml:space="preserve">ANDERSON TRUST  </t>
  </si>
  <si>
    <t>MT SHADOWS INCLINE 9 AMD LT 353</t>
  </si>
  <si>
    <t>695 CRISTINA DR</t>
  </si>
  <si>
    <t>SCOTCHWOOD</t>
  </si>
  <si>
    <t xml:space="preserve">CIRQUE PROPERTIES LLC </t>
  </si>
  <si>
    <t>1283 WESTMOOR TR</t>
  </si>
  <si>
    <t>WINNETKA</t>
  </si>
  <si>
    <t xml:space="preserve">OSHETSKI, JOHN &amp; CHRISTINA </t>
  </si>
  <si>
    <t>SCOTCHWOOD LT 9</t>
  </si>
  <si>
    <t>727 CHAMPAGNE RD</t>
  </si>
  <si>
    <t xml:space="preserve">SCHWEIGERT FAMILY TRUST  </t>
  </si>
  <si>
    <t>LOTHAR L &amp; STELLA M SCHWEIGERT TRUSTEE</t>
  </si>
  <si>
    <t>PO BOX 3765</t>
  </si>
  <si>
    <t xml:space="preserve">SHIRLEY FAMILY TRUST  </t>
  </si>
  <si>
    <t>CHATEAU ACRES 1 LT 3 BLK B</t>
  </si>
  <si>
    <t>WHITTOME, ANDREW J et al</t>
  </si>
  <si>
    <t>901 3RD ST # 101</t>
  </si>
  <si>
    <t>SANTA MONICA</t>
  </si>
  <si>
    <t xml:space="preserve">MOBLEY, MICHAEL C </t>
  </si>
  <si>
    <t>SKI LANE BITTERBRUSH 1 LT 22</t>
  </si>
  <si>
    <t xml:space="preserve">CIARAMELLA OLSSON FAMILY TRUST  </t>
  </si>
  <si>
    <t>CIARAMELLA LINDA M/OLSSON OLE JOHN TTEE</t>
  </si>
  <si>
    <t>4852 WATERBURY WAY</t>
  </si>
  <si>
    <t xml:space="preserve">OLSSON, OLE J </t>
  </si>
  <si>
    <t>SKI LANE-BITTERBRUSH 1  LT 25</t>
  </si>
  <si>
    <t>POPPE, NANCY E  et al</t>
  </si>
  <si>
    <t xml:space="preserve">14569 NW LARSON RD </t>
  </si>
  <si>
    <t>97321</t>
  </si>
  <si>
    <t>SNYDER, MARK E  et al</t>
  </si>
  <si>
    <t>SKI LANE BITTERBRUSH 1 LT 6</t>
  </si>
  <si>
    <t xml:space="preserve">DUVIGNEAU LIVING TRUST, H &amp; G  </t>
  </si>
  <si>
    <t>930 TAHOE BLVD # 802-294</t>
  </si>
  <si>
    <t xml:space="preserve">DUVIGNEAU, HEINZ T &amp; GISELA </t>
  </si>
  <si>
    <t>SKI LANE BITTERBRUSH 2 LT 69</t>
  </si>
  <si>
    <t xml:space="preserve">OLSEN, LEE E  </t>
  </si>
  <si>
    <t xml:space="preserve">467 BALCH WAY </t>
  </si>
  <si>
    <t xml:space="preserve">WALL, DAVID E &amp; GLORIA </t>
  </si>
  <si>
    <t>SKI LANE BITTERBRUSH 2 LT 64</t>
  </si>
  <si>
    <t xml:space="preserve">NATIONAL BUSINESS SYSTEMS INC  </t>
  </si>
  <si>
    <t xml:space="preserve">C/O JOSEPH D RYAN </t>
  </si>
  <si>
    <t xml:space="preserve">2905 W SERVICE RD </t>
  </si>
  <si>
    <t>EAGAN</t>
  </si>
  <si>
    <t>SKI LANE BITTERBRUSH 2 LT 146 (RS 3413)</t>
  </si>
  <si>
    <t xml:space="preserve">REDDY, VODUR S &amp; NANDA N </t>
  </si>
  <si>
    <t>621 MEADOWGATE CT</t>
  </si>
  <si>
    <t xml:space="preserve">HUBBARD, STEVEN S &amp; KATHLEEN </t>
  </si>
  <si>
    <t>SKI LANE BITTERBRUSH 2 LT 166</t>
  </si>
  <si>
    <t>MATHEU VENTURES LLC  LLC</t>
  </si>
  <si>
    <t xml:space="preserve">14 MORNING SUN RD </t>
  </si>
  <si>
    <t>CALANDRELLA, STEPHEN A TTEE et al</t>
  </si>
  <si>
    <t>SKI LANE BITTERBRUSH 2 LT 173</t>
  </si>
  <si>
    <t xml:space="preserve">WANG &amp; XIE REV LIVING TRUST, SHELDON X &amp; APRIL M  </t>
  </si>
  <si>
    <t>315 ORCHID DR</t>
  </si>
  <si>
    <t>94903-2527</t>
  </si>
  <si>
    <t>MEDNICK, HOWARD et al</t>
  </si>
  <si>
    <t>SKI LANE BITTERBRUSH 2 LT 198</t>
  </si>
  <si>
    <t xml:space="preserve">DREAGER, JOHN &amp; LORI  </t>
  </si>
  <si>
    <t>16308 EAST RIDGELINE DR</t>
  </si>
  <si>
    <t xml:space="preserve">FOUNTAIN VALLEY </t>
  </si>
  <si>
    <t>85268</t>
  </si>
  <si>
    <t>SKI LANE BITTERBRUSH 2 LT 113</t>
  </si>
  <si>
    <t xml:space="preserve">STROMQUIST TRUST, BARBARA A  </t>
  </si>
  <si>
    <t>C/O EARL CARSON, CPA</t>
  </si>
  <si>
    <t>P O BOX 2066</t>
  </si>
  <si>
    <t>91358</t>
  </si>
  <si>
    <t>SKI LANE BITTERBRUSH 2 LT 125</t>
  </si>
  <si>
    <t>LHJS INVESTMENTS LLC</t>
  </si>
  <si>
    <t>1355 WILLOW WAY # 261</t>
  </si>
  <si>
    <t xml:space="preserve">SMITH REVOCABLE LIVING TRUST, M TREVOR  </t>
  </si>
  <si>
    <t xml:space="preserve">BATTAGLIA FAMILY TRUST  </t>
  </si>
  <si>
    <t>2025 BELMONT AVE</t>
  </si>
  <si>
    <t xml:space="preserve">BATTAGLIA, GARY R &amp; LAURA L </t>
  </si>
  <si>
    <t>SKI LANE BITTERBRUSH 2 LT 221</t>
  </si>
  <si>
    <t xml:space="preserve">MILLS LIVING TRUST  </t>
  </si>
  <si>
    <t>141 RIDGECREST DR</t>
  </si>
  <si>
    <t xml:space="preserve">RICHHART, ANDREA &amp; RAYMOND </t>
  </si>
  <si>
    <t>SKI LANE BITTERBRUSH 2 LT 132</t>
  </si>
  <si>
    <t>1324 TIROL DR</t>
  </si>
  <si>
    <t xml:space="preserve">TYROLIAN VILLAGE 1 </t>
  </si>
  <si>
    <t>SREBRIC, JELENA et al</t>
  </si>
  <si>
    <t>3074 SHEFFIELD DR</t>
  </si>
  <si>
    <t>STATE COLLEGE</t>
  </si>
  <si>
    <t xml:space="preserve">GEBB, DENISE M </t>
  </si>
  <si>
    <t>TYROLIAN VILLAGE 1  LT C-15</t>
  </si>
  <si>
    <t>1363 VALAIS WAY</t>
  </si>
  <si>
    <t xml:space="preserve">KMETOVICZ, RONALD &amp; GAYLE  </t>
  </si>
  <si>
    <t>PO BOX 1070</t>
  </si>
  <si>
    <t xml:space="preserve">MCDOUGALL TRUST, KELLY C  </t>
  </si>
  <si>
    <t>TYROLIAN VILLAGE 2 LT C62</t>
  </si>
  <si>
    <t>1346 TIROL DR</t>
  </si>
  <si>
    <t xml:space="preserve">VOSS TRUST, PAUL   </t>
  </si>
  <si>
    <t>11556 VERNETTE CT</t>
  </si>
  <si>
    <t>TYROLIAN VILLAGE 3 LT C93</t>
  </si>
  <si>
    <t>1343 TIROL DR</t>
  </si>
  <si>
    <t xml:space="preserve">SPERANDIO, JENNIFER L </t>
  </si>
  <si>
    <t>3528 ACADIA LN</t>
  </si>
  <si>
    <t>TYROLIAN VILLAGE 3 LT C98</t>
  </si>
  <si>
    <t>1457 GLARUS CT</t>
  </si>
  <si>
    <t>3.5F</t>
  </si>
  <si>
    <t xml:space="preserve">NORTHWEST PROPERTIES ASSOC </t>
  </si>
  <si>
    <t>2810 E SUNSET RD # 5-167</t>
  </si>
  <si>
    <t xml:space="preserve">FRONTLINE TRUST </t>
  </si>
  <si>
    <t>TYROLIAN VILLAGE 4 LT C176</t>
  </si>
  <si>
    <t>1442 BERNE CT</t>
  </si>
  <si>
    <t>TYROLIAN VILLAGE 4 C-242</t>
  </si>
  <si>
    <t xml:space="preserve">JOHN HUANG &amp; JOY CHEN REV TRST  </t>
  </si>
  <si>
    <t xml:space="preserve">1235 TOURNAMENT DR </t>
  </si>
  <si>
    <t xml:space="preserve">TALTON, THOMAS C </t>
  </si>
  <si>
    <t>1399 TIROL DR</t>
  </si>
  <si>
    <t xml:space="preserve">MCMILLAN, DUNCAN S &amp; JULIE R </t>
  </si>
  <si>
    <t>TYROLIAN VILLAGE 4 LT C-140</t>
  </si>
  <si>
    <t>1398 TIROL DR</t>
  </si>
  <si>
    <t>TYROLIAN VILLAGE 4 C-214</t>
  </si>
  <si>
    <t xml:space="preserve">FLOYD , CHRIS &amp; TERESA </t>
  </si>
  <si>
    <t>PO BOX 665</t>
  </si>
  <si>
    <t xml:space="preserve">JACKSON </t>
  </si>
  <si>
    <t>95642</t>
  </si>
  <si>
    <t xml:space="preserve">PETITHOMME, HENRY F </t>
  </si>
  <si>
    <t>1396 TIROL DR</t>
  </si>
  <si>
    <t xml:space="preserve">TYROLIAN VILLAGE 4 </t>
  </si>
  <si>
    <t xml:space="preserve">FULGHAM, FRANK &amp; DORIS </t>
  </si>
  <si>
    <t>359 GOLDEN MOSS CT</t>
  </si>
  <si>
    <t xml:space="preserve">BLAIR, LUCINDA L </t>
  </si>
  <si>
    <t>126-540-02</t>
  </si>
  <si>
    <t>TYROLIAN VILLAGE 4 ADJ LT C-215  R/S 2776</t>
  </si>
  <si>
    <t>170 VILLAGE BLVD</t>
  </si>
  <si>
    <t xml:space="preserve">WILLIAMS, ASHLEY G &amp; SUSAN D </t>
  </si>
  <si>
    <t>7214 AVIARA DR</t>
  </si>
  <si>
    <t xml:space="preserve">BRUNO TRUST, CAROL  </t>
  </si>
  <si>
    <t>MCCLOUD CONDO LT 13 BLK I</t>
  </si>
  <si>
    <t xml:space="preserve">BAKER TRUST AGREEMENT, ROBERT P  </t>
  </si>
  <si>
    <t>578 FALLEN LEAF WAY</t>
  </si>
  <si>
    <t xml:space="preserve">FRUHLING FAMILY LIVING TRUST  </t>
  </si>
  <si>
    <t>MCCLOUD CONDO LT 177</t>
  </si>
  <si>
    <t xml:space="preserve">BERES TRUST, JAMES &amp; ROBIN  </t>
  </si>
  <si>
    <t>1219 HOMEWOOD AVE</t>
  </si>
  <si>
    <t xml:space="preserve">MANDELL, DENNIS L &amp; JULIE A </t>
  </si>
  <si>
    <t>MCCLOUD CONDO LT 81</t>
  </si>
  <si>
    <t xml:space="preserve">MARK GINSBURG &amp; BETH SACHRISON, REVOCABLE TRUST  </t>
  </si>
  <si>
    <t>5815 E PLACITA ROCOSA</t>
  </si>
  <si>
    <t>85750</t>
  </si>
  <si>
    <t xml:space="preserve">WILBUR, JAMES D &amp; SHARON K </t>
  </si>
  <si>
    <t>MCCLOUD CONDO LT 92</t>
  </si>
  <si>
    <t xml:space="preserve">KRUSE LIVING TRUST, JOHN E &amp; KIMBERLY J   </t>
  </si>
  <si>
    <t xml:space="preserve">77 VENTURA AVE </t>
  </si>
  <si>
    <t xml:space="preserve">BENJAMIN FAMILY REV LIVING TR  </t>
  </si>
  <si>
    <t>MCCLOUD CONDO LT 66</t>
  </si>
  <si>
    <t xml:space="preserve">GOODIN, STANLEY F &amp; HEIDI M </t>
  </si>
  <si>
    <t>6117 CARRIAGE HOUSE WAY</t>
  </si>
  <si>
    <t xml:space="preserve">CULLEN, JOHN P </t>
  </si>
  <si>
    <t>MCCLOUD CONDO LT 116</t>
  </si>
  <si>
    <t xml:space="preserve">K &amp; D ENTERPRISES INC  </t>
  </si>
  <si>
    <t xml:space="preserve">616 CUPRIEN WAY </t>
  </si>
  <si>
    <t xml:space="preserve">JOHNSON, MARK D &amp; KAREN M </t>
  </si>
  <si>
    <t>MCCLOUD CONDO LT 194</t>
  </si>
  <si>
    <t>LOEHR, JEFFREY T et al</t>
  </si>
  <si>
    <t>23 REYNOLDS CT</t>
  </si>
  <si>
    <t xml:space="preserve">MELVILLE FAMILY TRUST  </t>
  </si>
  <si>
    <t>MCCLOUD CONDO LT 237 BLK 8</t>
  </si>
  <si>
    <t xml:space="preserve">LEVIN, EDWARD &amp; CAROL  </t>
  </si>
  <si>
    <t xml:space="preserve">4628 GREENVALLEY RD </t>
  </si>
  <si>
    <t xml:space="preserve">FAIRFIELD </t>
  </si>
  <si>
    <t xml:space="preserve">CAROTHERS, DANIEL R </t>
  </si>
  <si>
    <t>MCCLOUD CONDO LT 241 BLK 8</t>
  </si>
  <si>
    <t xml:space="preserve">SMITH NEVADA TRUST, MARK E  </t>
  </si>
  <si>
    <t>PO BOX 4049</t>
  </si>
  <si>
    <t xml:space="preserve">SMITH, MARK E </t>
  </si>
  <si>
    <t>MCCLOUD CONDO LT 243</t>
  </si>
  <si>
    <t xml:space="preserve">HAAS FAMILY TRUST, CHRISTOPHER &amp; KIM  </t>
  </si>
  <si>
    <t>2742 FRESNO ST</t>
  </si>
  <si>
    <t xml:space="preserve">RELUCIO &amp; MONDONENDO-RELUCIO, FAMILY TRUST  </t>
  </si>
  <si>
    <t>MCCLOUD CONDO LT 206 BLK 7</t>
  </si>
  <si>
    <t xml:space="preserve">SMITH, MARK  </t>
  </si>
  <si>
    <t>MCCLOUD CONDO LT 214</t>
  </si>
  <si>
    <t xml:space="preserve">MOLL, NATHAN A &amp; ANN L </t>
  </si>
  <si>
    <t>5848 N WHITE SANDS RD</t>
  </si>
  <si>
    <t>MCCLOUD CONDO LT 252 BLK 8</t>
  </si>
  <si>
    <t>825 SOUTHWOOD BLVD</t>
  </si>
  <si>
    <t>SOUTHWOOD PINES</t>
  </si>
  <si>
    <t xml:space="preserve">LEBLANC, LEONARD D JR &amp; LORI M </t>
  </si>
  <si>
    <t>825 SOUTHWOOD BLVD  # 1</t>
  </si>
  <si>
    <t>SOUTHWOOD PINES LT 1</t>
  </si>
  <si>
    <t xml:space="preserve">IANCU, SANDA &amp; TEODOR D </t>
  </si>
  <si>
    <t>PO BOX 6167</t>
  </si>
  <si>
    <t xml:space="preserve">FLEISCHHACKER, FRANK </t>
  </si>
  <si>
    <t>SOUTHWOOD PINES LT 3</t>
  </si>
  <si>
    <t xml:space="preserve">HORTON , RYAN J  </t>
  </si>
  <si>
    <t>PO BOX 4741</t>
  </si>
  <si>
    <t>SOUTHWOOD PINES LT 5</t>
  </si>
  <si>
    <t xml:space="preserve">ALPIO, BARBARA </t>
  </si>
  <si>
    <t>348 WEST OAKWOOD BLVD</t>
  </si>
  <si>
    <t xml:space="preserve">BAIARDO, DONNA M </t>
  </si>
  <si>
    <t>CREEKSIDE WEST LT 10</t>
  </si>
  <si>
    <t xml:space="preserve">FRESCO, BENJAMIN &amp; KRISTAL </t>
  </si>
  <si>
    <t>PO BOX 3094</t>
  </si>
  <si>
    <t xml:space="preserve">CAMPAGNA, VICTOR T &amp; JENNIFER L </t>
  </si>
  <si>
    <t>CREEKSIDE WEST LT 11</t>
  </si>
  <si>
    <t xml:space="preserve">CODELLI LIVING TRUST  </t>
  </si>
  <si>
    <t>3696 GLASGOW CIR</t>
  </si>
  <si>
    <t xml:space="preserve">ALBA, HOLLY S </t>
  </si>
  <si>
    <t>CREEKSIDE WEST LT 19</t>
  </si>
  <si>
    <t xml:space="preserve">ZEIGLER, DAVID &amp; FUMIKO  </t>
  </si>
  <si>
    <t xml:space="preserve">845 SOUTHWOOD BLVD # 17 </t>
  </si>
  <si>
    <t xml:space="preserve">CHAN, FRED C &amp; CAROL L </t>
  </si>
  <si>
    <t>CREEKSIDE EAST LT 16</t>
  </si>
  <si>
    <t xml:space="preserve">MURRELL, JOHN F &amp; APRIL F  </t>
  </si>
  <si>
    <t>845 SOUTHWOOD BLVD # 36</t>
  </si>
  <si>
    <t xml:space="preserve">ADAMS, RUTH J  </t>
  </si>
  <si>
    <t>CREEKSIDE EAST LT 36</t>
  </si>
  <si>
    <t xml:space="preserve">ZDIMAL , JONATHAN &amp; HEATHER D  </t>
  </si>
  <si>
    <t xml:space="preserve">141 SARATOGA AVE </t>
  </si>
  <si>
    <t xml:space="preserve">RUDLOFF, ROBERT O &amp; ELAINE M </t>
  </si>
  <si>
    <t>CREEKSIDE EAST LT 43</t>
  </si>
  <si>
    <t xml:space="preserve">GRAY, PAUL &amp; MICHELE </t>
  </si>
  <si>
    <t>6652 VIREO WAY</t>
  </si>
  <si>
    <t xml:space="preserve">FRANCO, FRANK A &amp; CHERYL A </t>
  </si>
  <si>
    <t>CREEKSIDE EAST LT 58</t>
  </si>
  <si>
    <t>861 SOUTHWOOD BLVD</t>
  </si>
  <si>
    <t>HIGH SIERRA CONDO</t>
  </si>
  <si>
    <t xml:space="preserve">FINNERTY, MARTIN J </t>
  </si>
  <si>
    <t>362 REDFIELD PL</t>
  </si>
  <si>
    <t>HIGH SIERRA CONDO LT 10</t>
  </si>
  <si>
    <t xml:space="preserve">MORCAP REO IV LLC </t>
  </si>
  <si>
    <t>SIDLEY AUSTIN LLP</t>
  </si>
  <si>
    <t>555 WEST 5TH ST 40TH FLOOR</t>
  </si>
  <si>
    <t xml:space="preserve">MORALES, ANGELO </t>
  </si>
  <si>
    <t xml:space="preserve">1041 FOUNTAIN DR </t>
  </si>
  <si>
    <t>FOREST PINES CONDO 1 AMD LT 72</t>
  </si>
  <si>
    <t xml:space="preserve">CAVELLINI, JAMES R &amp; MARY E  </t>
  </si>
  <si>
    <t xml:space="preserve">1035 RANCHO LINDO DR </t>
  </si>
  <si>
    <t xml:space="preserve">PETALUMA </t>
  </si>
  <si>
    <t>94952</t>
  </si>
  <si>
    <t xml:space="preserve">KREISER, FRANK D &amp; PATRICIA J </t>
  </si>
  <si>
    <t>FOREST PINES CONDO 1 AMD LT 68</t>
  </si>
  <si>
    <t xml:space="preserve">DECLARATION OF TRUST  </t>
  </si>
  <si>
    <t>ANSON G &amp; JACKLYN M MCCOOK TTEE</t>
  </si>
  <si>
    <t xml:space="preserve">2731 VIA MONTECITO </t>
  </si>
  <si>
    <t>SAN CLEMENTE</t>
  </si>
  <si>
    <t>92672</t>
  </si>
  <si>
    <t xml:space="preserve">OLSON, CRAIG D &amp; ELIZABETH A </t>
  </si>
  <si>
    <t>FOREST PINES CONDO 1 AMD LT 23</t>
  </si>
  <si>
    <t xml:space="preserve">DURICA, WILLIAM J &amp; LAURA A </t>
  </si>
  <si>
    <t>3855 LIVE OAK LN</t>
  </si>
  <si>
    <t xml:space="preserve">STRUVER, ODA M  </t>
  </si>
  <si>
    <t>FOREST PINES CONDO 1 AMD LT 12</t>
  </si>
  <si>
    <t xml:space="preserve">HESS FAMILY TRUST  </t>
  </si>
  <si>
    <t>BRIAN P &amp; PATRICIA K HESS TRUSTEE</t>
  </si>
  <si>
    <t>5465 CHATELAINE CIR</t>
  </si>
  <si>
    <t xml:space="preserve">SHAW, FRANCIS D &amp; BETTY D  </t>
  </si>
  <si>
    <t>FOREST PINES CONDO 1 AMD LT 18</t>
  </si>
  <si>
    <t xml:space="preserve">JACKSON 2005 TRUST, T STEVEN  </t>
  </si>
  <si>
    <t>7070 WINDSTAR DR</t>
  </si>
  <si>
    <t xml:space="preserve">SCHNIEPER, NIVIA G </t>
  </si>
  <si>
    <t>COEUR DU LAC CONDO LT 4</t>
  </si>
  <si>
    <t>DENT, MATTHEW B et al</t>
  </si>
  <si>
    <t>136 JUANITA DR UNIT 47</t>
  </si>
  <si>
    <t>CAROTHERS, DANIEL-RAY et al</t>
  </si>
  <si>
    <t>COEUR DU LAC CONDO LT 47</t>
  </si>
  <si>
    <t xml:space="preserve">STUART, ELBRIDGE &amp; DEBRA </t>
  </si>
  <si>
    <t>PO BOX 8340</t>
  </si>
  <si>
    <t xml:space="preserve">SKIDMORE, CHERYL D </t>
  </si>
  <si>
    <t>COEUR DU LAC CONDO LT 49</t>
  </si>
  <si>
    <t>150 JUANITA DR</t>
  </si>
  <si>
    <t>VILLAGE HIGHLANDS</t>
  </si>
  <si>
    <t xml:space="preserve">STEG TRUST, JACKIE L  </t>
  </si>
  <si>
    <t>TIKI HARLOW TRUSTEE</t>
  </si>
  <si>
    <t>4033 POPPLETON WAY</t>
  </si>
  <si>
    <t xml:space="preserve">STEG, JACKIE </t>
  </si>
  <si>
    <t>VILLAGE HIGHLANDS LT 1 BLK A</t>
  </si>
  <si>
    <t>165 VILLAGE BLVD</t>
  </si>
  <si>
    <t xml:space="preserve">MAST 2002 REVOCABLE TRUST, JEFFREY &amp; LAVERNE  </t>
  </si>
  <si>
    <t>4790 CAUGHLIN PKWY # 203</t>
  </si>
  <si>
    <t xml:space="preserve">INCLINE #6 LLC </t>
  </si>
  <si>
    <t>VILLAGE HIGHLANDS LT 6 BLK B</t>
  </si>
  <si>
    <t xml:space="preserve">RYAN, SHAUN J &amp; WENDY L </t>
  </si>
  <si>
    <t>1350 BEVERLY RD #115-170</t>
  </si>
  <si>
    <t>MC LEAN</t>
  </si>
  <si>
    <t>TAHOE RACQUET CLUB LT 71</t>
  </si>
  <si>
    <t xml:space="preserve">KAY LIVING TRUST, BARRY S &amp; BARBARA N  </t>
  </si>
  <si>
    <t>930 TAHOE BLVD STE 802 343</t>
  </si>
  <si>
    <t>TAHOE RACQUET CLUB LT 77</t>
  </si>
  <si>
    <t>915 SOUTHWOOD BLVD</t>
  </si>
  <si>
    <t>SIERRA BOUQUET</t>
  </si>
  <si>
    <t xml:space="preserve">HILLARD, DAVID &amp; JOANNA </t>
  </si>
  <si>
    <t xml:space="preserve">69 EAGLE DR </t>
  </si>
  <si>
    <t xml:space="preserve">NOVATO </t>
  </si>
  <si>
    <t>94949</t>
  </si>
  <si>
    <t xml:space="preserve">CHRISTIAN, RICHARD A &amp; GENA R  </t>
  </si>
  <si>
    <t>127-460-04</t>
  </si>
  <si>
    <t>SIERRA BOUQUET LT 4</t>
  </si>
  <si>
    <t>PKAA</t>
  </si>
  <si>
    <t>919 SOUTHWOOD BLVD</t>
  </si>
  <si>
    <t xml:space="preserve">GRIFFIN, PETER B &amp; SANDRA B </t>
  </si>
  <si>
    <t xml:space="preserve">10535 PARKER DR </t>
  </si>
  <si>
    <t>EDEN PRAIRE</t>
  </si>
  <si>
    <t>55347</t>
  </si>
  <si>
    <t xml:space="preserve">SHOBE, LEE A &amp; SALLY E  </t>
  </si>
  <si>
    <t>127-023-05</t>
  </si>
  <si>
    <t>SIERRA BOUQUET LT 6</t>
  </si>
  <si>
    <t xml:space="preserve">DOWLING, DANIEL </t>
  </si>
  <si>
    <t>PO BOX 75000</t>
  </si>
  <si>
    <t xml:space="preserve">FRASER SEPARATE PROPERTY TR, JERAN L  </t>
  </si>
  <si>
    <t>PINEWOOD CONDO LT 18</t>
  </si>
  <si>
    <t xml:space="preserve">KOIKE, HIDEO D &amp; JUDITH </t>
  </si>
  <si>
    <t>1011 BLUE MIST PL</t>
  </si>
  <si>
    <t>PINEWOOD CONDO LT 10</t>
  </si>
  <si>
    <t>285 DEER CT</t>
  </si>
  <si>
    <t>DEER CREEK</t>
  </si>
  <si>
    <t xml:space="preserve">FAGAN 1997 TRUST, LAMBERT &amp; SUSAN M   </t>
  </si>
  <si>
    <t>PO BOX 3973</t>
  </si>
  <si>
    <t xml:space="preserve">MELLON FAMILY TRUST  </t>
  </si>
  <si>
    <t>127-030-27</t>
  </si>
  <si>
    <t>DEER CREEK LT 21</t>
  </si>
  <si>
    <t>290 DEER CT</t>
  </si>
  <si>
    <t xml:space="preserve">SMITH, MARK </t>
  </si>
  <si>
    <t>DEER CREEK LT 3</t>
  </si>
  <si>
    <t>285 GLEN WAY</t>
  </si>
  <si>
    <t>DEER CREEK 3</t>
  </si>
  <si>
    <t xml:space="preserve">FOX LIVING TRUST  </t>
  </si>
  <si>
    <t>20411 KENT WAY</t>
  </si>
  <si>
    <t xml:space="preserve">STEELE, DONALD F &amp; DOROTHY </t>
  </si>
  <si>
    <t>127-030-33</t>
  </si>
  <si>
    <t xml:space="preserve">DEER CREEK 3 LT 2 </t>
  </si>
  <si>
    <t>PIAA</t>
  </si>
  <si>
    <t>220 GLEN WAY</t>
  </si>
  <si>
    <t xml:space="preserve">HOAGLUND, WESLEY C  </t>
  </si>
  <si>
    <t xml:space="preserve">11352 ORCHARD VIEW LN </t>
  </si>
  <si>
    <t xml:space="preserve">TUSTIN </t>
  </si>
  <si>
    <t>92782</t>
  </si>
  <si>
    <t xml:space="preserve">SIERRA BOUQUET-THE GLEN LLC </t>
  </si>
  <si>
    <t>127-590-12</t>
  </si>
  <si>
    <t>DEER CREEK 3 LT 8  ADJ RS 4265 LT 8-A</t>
  </si>
  <si>
    <t>200 GLEN WAY</t>
  </si>
  <si>
    <t xml:space="preserve">SPITZER FAMILY 2008 NEV TRUST  </t>
  </si>
  <si>
    <t xml:space="preserve">ZAHLER FAMILY TRUST  </t>
  </si>
  <si>
    <t>DEER CREEK 3 LT 10  ADJ RS 4265 LT 10-A</t>
  </si>
  <si>
    <t>300 GLEN WAY</t>
  </si>
  <si>
    <t>PM 4264</t>
  </si>
  <si>
    <t>BRESLOW, ERIC et al</t>
  </si>
  <si>
    <t>PO BOX 6426</t>
  </si>
  <si>
    <t xml:space="preserve">KING FAMILY TRUST 2002 </t>
  </si>
  <si>
    <t>127-030-36</t>
  </si>
  <si>
    <t>PM 4264 LT 4 (THE RESERVE A CONDOMINIUM)</t>
  </si>
  <si>
    <t>PAVA</t>
  </si>
  <si>
    <t>730 COUNTRY CLUB DR</t>
  </si>
  <si>
    <t>INCLINE VLGE 3 FR</t>
  </si>
  <si>
    <t>KOWALCZYK, ROBERT M et al</t>
  </si>
  <si>
    <t>PM 415 LT C-5</t>
  </si>
  <si>
    <t>966 AGATE CT</t>
  </si>
  <si>
    <t xml:space="preserve">GEIS TRUST, DAVID R JR  </t>
  </si>
  <si>
    <t>PO BOX 5416</t>
  </si>
  <si>
    <t xml:space="preserve">BENTLEY FAMILY TRUST, GAY  </t>
  </si>
  <si>
    <t>INCLINE VILLAGE 3 LT 20 BLK P</t>
  </si>
  <si>
    <t>706 GOLFERS PASS RD</t>
  </si>
  <si>
    <t xml:space="preserve">MANGIARACINA, MICHAEL &amp; MELISSA </t>
  </si>
  <si>
    <t>PO BOX 6645</t>
  </si>
  <si>
    <t>INCLINE VILLAGE 3 LT 3 BLK K</t>
  </si>
  <si>
    <t>688 WILSON WAY</t>
  </si>
  <si>
    <t>PM 920</t>
  </si>
  <si>
    <t xml:space="preserve">HOOPER LIVING TRUST, DANA H  </t>
  </si>
  <si>
    <t>1070 FRANQUETTE AVE</t>
  </si>
  <si>
    <t>PM 920 LT 4</t>
  </si>
  <si>
    <t>789 TRENT CT</t>
  </si>
  <si>
    <t>ALSTON, ROB &amp; AMY et al</t>
  </si>
  <si>
    <t>PO BOX 3312</t>
  </si>
  <si>
    <t>INCLINE VILLAGE 3 LT 10 BLK E</t>
  </si>
  <si>
    <t>807 SNEAD CT</t>
  </si>
  <si>
    <t xml:space="preserve">BUSH, CLARK G </t>
  </si>
  <si>
    <t>16 BENT OAK</t>
  </si>
  <si>
    <t>COTO DE CAZA</t>
  </si>
  <si>
    <t>92674</t>
  </si>
  <si>
    <t>INCLINE VILLAGE 3 LT 4 BLK E</t>
  </si>
  <si>
    <t>800 GOLFERS PASS RD</t>
  </si>
  <si>
    <t xml:space="preserve">NAJARIAN REVOCABLE TRUST, THOMAS  </t>
  </si>
  <si>
    <t>P O BOX 6755</t>
  </si>
  <si>
    <t xml:space="preserve">BENNETT 1990 REVOCABLE TRUST, AGNES J  </t>
  </si>
  <si>
    <t>INCLINE VILLAGE 3 LT 1 BLK F</t>
  </si>
  <si>
    <t>699 HOGAN CT</t>
  </si>
  <si>
    <t>PM 1158</t>
  </si>
  <si>
    <t xml:space="preserve">ROSEMAN, BERNARD L &amp; SILVANA A  </t>
  </si>
  <si>
    <t xml:space="preserve">2198 POPPY LN </t>
  </si>
  <si>
    <t xml:space="preserve">WILLITS </t>
  </si>
  <si>
    <t>95490</t>
  </si>
  <si>
    <t>DAY, DEREK C et al</t>
  </si>
  <si>
    <t>PM 1158 LOT 4 &amp; 1/4TH INT IN COMMON AREA</t>
  </si>
  <si>
    <t xml:space="preserve">SAFRAN, JOHN JR &amp; MARY C </t>
  </si>
  <si>
    <t>2306 AVENUE B</t>
  </si>
  <si>
    <t>BRADENTON BEACH</t>
  </si>
  <si>
    <t>34217</t>
  </si>
  <si>
    <t xml:space="preserve">POOLE, MARSHA </t>
  </si>
  <si>
    <t>INCLINE MT ROSE CHALETS LT 18</t>
  </si>
  <si>
    <t>859 GOLFERS PASS RD</t>
  </si>
  <si>
    <t>BERNARDI, TERRY et al</t>
  </si>
  <si>
    <t>JABLON-BERNARDI CAROLE S</t>
  </si>
  <si>
    <t>P O BOX 4378</t>
  </si>
  <si>
    <t>HOLLIDAY, ROSEMARY C et al</t>
  </si>
  <si>
    <t>INCLINE VILLAGE 3 LT 4 BLK B</t>
  </si>
  <si>
    <t>TAIC</t>
  </si>
  <si>
    <t>868 ROSEWOOD CIR</t>
  </si>
  <si>
    <t>JACOBSON, JEFFREY A  et al</t>
  </si>
  <si>
    <t xml:space="preserve">JACOBSON DIANE A </t>
  </si>
  <si>
    <t>4951 BONITA BAY BLVD  PH 201</t>
  </si>
  <si>
    <t xml:space="preserve">BONITA SPRINGS </t>
  </si>
  <si>
    <t>34134</t>
  </si>
  <si>
    <t xml:space="preserve">ZERWECK, JOHN </t>
  </si>
  <si>
    <t>INCLINE CREEK EST LT 5</t>
  </si>
  <si>
    <t>789 PINION PINE WAY</t>
  </si>
  <si>
    <t xml:space="preserve">SUVA, JAMES D &amp; SARAH E  </t>
  </si>
  <si>
    <t>789 PINION PINE WY</t>
  </si>
  <si>
    <t>INCLINE CREEK EST LT 50</t>
  </si>
  <si>
    <t>747 PINION PINE WAY</t>
  </si>
  <si>
    <t>7660 FAY AVE - STE H-536</t>
  </si>
  <si>
    <t>LA JOLLA</t>
  </si>
  <si>
    <t xml:space="preserve">GREEN, RUSEL &amp; MARY A </t>
  </si>
  <si>
    <t>INCLINE CREEK EST LT 57</t>
  </si>
  <si>
    <t xml:space="preserve">ELLIS, ERIN A </t>
  </si>
  <si>
    <t>PO BOX 6865</t>
  </si>
  <si>
    <t xml:space="preserve">MARES, KIM P </t>
  </si>
  <si>
    <t>CONDO PM 1177 LT 3</t>
  </si>
  <si>
    <t>647 VILLAGE BLVD</t>
  </si>
  <si>
    <t>PM 1249 CONDO</t>
  </si>
  <si>
    <t xml:space="preserve">WESTERBERG, KIMBERLY </t>
  </si>
  <si>
    <t>PO BOX 5047</t>
  </si>
  <si>
    <t xml:space="preserve">LABRIE, STEPHEN L </t>
  </si>
  <si>
    <t>CONDO PM 1249  LT 3</t>
  </si>
  <si>
    <t>898 LAKE COUNTRY DR</t>
  </si>
  <si>
    <t>LAKE COUNTRY EST 1 ADJ</t>
  </si>
  <si>
    <t xml:space="preserve">ELLERBECK , ROBERT &amp; JANE  </t>
  </si>
  <si>
    <t xml:space="preserve">1164 SANDERS DR </t>
  </si>
  <si>
    <t xml:space="preserve">MORAGA </t>
  </si>
  <si>
    <t xml:space="preserve">BISI FAMILY TRUST  </t>
  </si>
  <si>
    <t>LAKE COUNTRY EST 1 LT 1 ADJ RS 3429</t>
  </si>
  <si>
    <t>876 LAKE COUNTRY CIR</t>
  </si>
  <si>
    <t xml:space="preserve">SHEEHY FAMILY TRUST  </t>
  </si>
  <si>
    <t>10692 ELKHORN DR</t>
  </si>
  <si>
    <t xml:space="preserve">COLLINS, DAVID E &amp; JUDITH T </t>
  </si>
  <si>
    <t>LAKE COUNTRY EST 1 LT 6 ADJ  RS 3429</t>
  </si>
  <si>
    <t xml:space="preserve">LEMMON, NANCY </t>
  </si>
  <si>
    <t>3 POPPY PL</t>
  </si>
  <si>
    <t xml:space="preserve">WALENTYNOWICZ, AGNIESZKA  </t>
  </si>
  <si>
    <t>130-070-04</t>
  </si>
  <si>
    <t>ALPINE TERRACE LT 1</t>
  </si>
  <si>
    <t xml:space="preserve">BROWN, KEVIN A &amp; AMY </t>
  </si>
  <si>
    <t>4853 RAMCREEK TR</t>
  </si>
  <si>
    <t xml:space="preserve">ASHTON, RACHEL J </t>
  </si>
  <si>
    <t>130-070-03</t>
  </si>
  <si>
    <t>ALPINE TERRACE LT 2</t>
  </si>
  <si>
    <t xml:space="preserve">LOWE LIVING TRUST  </t>
  </si>
  <si>
    <t>2939 RICHLAND AVE</t>
  </si>
  <si>
    <t xml:space="preserve">LOWE, GORDON &amp; MAUREEN  </t>
  </si>
  <si>
    <t>130-070-02</t>
  </si>
  <si>
    <t>ALPINE TERRACE LT 3</t>
  </si>
  <si>
    <t xml:space="preserve">MILGRIM, HAROLD </t>
  </si>
  <si>
    <t>220 EAST FLAMINGO RD 307</t>
  </si>
  <si>
    <t>89169</t>
  </si>
  <si>
    <t xml:space="preserve">HENRICKS LIVING TRUST  </t>
  </si>
  <si>
    <t>130-070-19</t>
  </si>
  <si>
    <t>ALPINE TERRACE LT 15</t>
  </si>
  <si>
    <t>1043 TOMAHAWK TRL</t>
  </si>
  <si>
    <t>WHISPERING PINES</t>
  </si>
  <si>
    <t xml:space="preserve">BALINT, SERGIU </t>
  </si>
  <si>
    <t>WHISPERING PINES LT 14 BLK A</t>
  </si>
  <si>
    <t>1053 TOMAHAWK TRL</t>
  </si>
  <si>
    <t xml:space="preserve">AURA LIVING TRUST  </t>
  </si>
  <si>
    <t>770 HAPPY VALLEY RD</t>
  </si>
  <si>
    <t>WHISPERING PINES LT 18 BLK A</t>
  </si>
  <si>
    <t>1054 WAR BONNET WAY</t>
  </si>
  <si>
    <t>WHISPERING PINES SUB-DIV</t>
  </si>
  <si>
    <t xml:space="preserve">CARSMAN, COURTNEY &amp; EVAN </t>
  </si>
  <si>
    <t>PO BOX 3076</t>
  </si>
  <si>
    <t xml:space="preserve">HALE, CINDY L </t>
  </si>
  <si>
    <t>WHISPERING PINES LOT 16 BLK C</t>
  </si>
  <si>
    <t>1050 WAR BONNET WAY</t>
  </si>
  <si>
    <t xml:space="preserve">LOZNER, RONN A &amp; DENISE L  </t>
  </si>
  <si>
    <t xml:space="preserve">8281 118TH AVE N </t>
  </si>
  <si>
    <t xml:space="preserve">LARGO </t>
  </si>
  <si>
    <t>33773</t>
  </si>
  <si>
    <t>WILLIAMS, BRIAN P et al</t>
  </si>
  <si>
    <t>WHISPERING PINES LT 14 BLK C</t>
  </si>
  <si>
    <t>1079 FLUME RD</t>
  </si>
  <si>
    <t xml:space="preserve">BUCHANAN, JOHN R &amp; PATRICIA G </t>
  </si>
  <si>
    <t>15867 MINA WAY</t>
  </si>
  <si>
    <t xml:space="preserve">FENRICH, JOHN N III &amp; SHERRIE M </t>
  </si>
  <si>
    <t>MILL CREEK EST LT 8 BLK E</t>
  </si>
  <si>
    <t>1073 SAWMILL RD</t>
  </si>
  <si>
    <t xml:space="preserve">LIDO FAMILY TRUST  </t>
  </si>
  <si>
    <t>THE LIDO FAMILY TRUST</t>
  </si>
  <si>
    <t>774 MAYS BLVD #10-321</t>
  </si>
  <si>
    <t xml:space="preserve">KOMITO FAMILY TRUST  </t>
  </si>
  <si>
    <t>MILL CREEK EST LT 10 BLK F</t>
  </si>
  <si>
    <t>260 ESTATES DR</t>
  </si>
  <si>
    <t>PM 1163</t>
  </si>
  <si>
    <t xml:space="preserve">DERBY FAMILY LIVING TRUST  </t>
  </si>
  <si>
    <t>15 TEABERRY LN</t>
  </si>
  <si>
    <t xml:space="preserve">BASSETT TRUST, KATHRYN C  </t>
  </si>
  <si>
    <t>PM 1163 PARCEL 2</t>
  </si>
  <si>
    <t>120 COUNTRY CLUB DR</t>
  </si>
  <si>
    <t>VILLAGE AT INCLINE 1</t>
  </si>
  <si>
    <t xml:space="preserve">HOFFMAN, DAVID </t>
  </si>
  <si>
    <t>578 24TH AVE</t>
  </si>
  <si>
    <t xml:space="preserve">RENARD, MARK S &amp; ALICIA M </t>
  </si>
  <si>
    <t>VILLAGE AT INCLINE 1 LT 56</t>
  </si>
  <si>
    <t>PAQA</t>
  </si>
  <si>
    <t xml:space="preserve">NADELSON, ADAM &amp; KATHLEEN  </t>
  </si>
  <si>
    <t xml:space="preserve">8607 ROYALBROOK CT </t>
  </si>
  <si>
    <t xml:space="preserve">DALLAS </t>
  </si>
  <si>
    <t>75243</t>
  </si>
  <si>
    <t xml:space="preserve">APPELL FAMILY TRUST, SURVIVOR`S TRUST  </t>
  </si>
  <si>
    <t>VILLAGE AT INCLINE 1  LT 57</t>
  </si>
  <si>
    <t>VILLAGE AT INCLINE THE 1</t>
  </si>
  <si>
    <t xml:space="preserve">WEINER, ADAM W </t>
  </si>
  <si>
    <t>2291 SMOKEY SKY DR</t>
  </si>
  <si>
    <t>VILLAGE AT INCLINE 1 LT 58</t>
  </si>
  <si>
    <t>1000 LAKESHORE</t>
  </si>
  <si>
    <t xml:space="preserve">BANASZEK FAMILY TRUST </t>
  </si>
  <si>
    <t>1018 COHEN CT</t>
  </si>
  <si>
    <t>1000 LAKESHORE LT 14 BLK A</t>
  </si>
  <si>
    <t>1081 TILLER DR</t>
  </si>
  <si>
    <t xml:space="preserve">MINOR/ZOLLINGER 2008 REV TRUST  </t>
  </si>
  <si>
    <t>499 WALSH RD</t>
  </si>
  <si>
    <t xml:space="preserve">ATHERTON </t>
  </si>
  <si>
    <t>MINOR, MICHAEL J  et al</t>
  </si>
  <si>
    <t>MILL CREEK EST LT 10 BLK B</t>
  </si>
  <si>
    <t>1069 MILL CREEK RD</t>
  </si>
  <si>
    <t xml:space="preserve">PIZER, RONALD J </t>
  </si>
  <si>
    <t>4115 TALLADEGA DR</t>
  </si>
  <si>
    <t xml:space="preserve">PERHACS, JOHN D &amp; MICHELE A </t>
  </si>
  <si>
    <t>MILL CREEK EST LT 9 BLK C</t>
  </si>
  <si>
    <t>1064 MILL CREEK RD</t>
  </si>
  <si>
    <t>MILL CREEK EST LT 28 BLK D</t>
  </si>
  <si>
    <t>230 PINE CONE RD</t>
  </si>
  <si>
    <t>MILL CREEK ESTATES LT 4  BLK J</t>
  </si>
  <si>
    <t>269 TRAMWAY RD</t>
  </si>
  <si>
    <t xml:space="preserve">ZIEGENHAGEN REVOCABLE TRST, EILEEN  </t>
  </si>
  <si>
    <t>59 PARTRIDGE DR</t>
  </si>
  <si>
    <t xml:space="preserve">ZIEGENHAGEN, EILEEN D </t>
  </si>
  <si>
    <t>MILL CREEK ESTATES LT 12 BLK H</t>
  </si>
  <si>
    <t>202 WHEEL RD</t>
  </si>
  <si>
    <t xml:space="preserve">BRODERIC REVOCABLE TRUST, STUART C  </t>
  </si>
  <si>
    <t>94 PROSPECT RIDGE RD</t>
  </si>
  <si>
    <t>HOLDERNESS</t>
  </si>
  <si>
    <t>BRODERIC, STUART C et al</t>
  </si>
  <si>
    <t>MILL CREEK EST LT 14 BLK J</t>
  </si>
  <si>
    <t>112 STEAM CIR</t>
  </si>
  <si>
    <t xml:space="preserve">PATRICK LIVING TRUST, SCOTT T &amp; DEANA L  </t>
  </si>
  <si>
    <t xml:space="preserve">112 STEAM CIR                           </t>
  </si>
  <si>
    <t xml:space="preserve">PATRICK, SCOTT &amp; DEANA </t>
  </si>
  <si>
    <t>MILL CREEK EST LT 27 BLK M</t>
  </si>
  <si>
    <t>1535 DEBRA LN</t>
  </si>
  <si>
    <t xml:space="preserve">RUBIN, STEVE &amp; LOVISA </t>
  </si>
  <si>
    <t>FR W2 SW4 SEC 23 TWP 16 RGE 18</t>
  </si>
  <si>
    <t>1575 DEBRA LN</t>
  </si>
  <si>
    <t>CLARK, JAN F &amp; JULIE P et al</t>
  </si>
  <si>
    <t>P O BOX 4987</t>
  </si>
  <si>
    <t>TAVV</t>
  </si>
  <si>
    <t>1169 LAKESHORE BLVD</t>
  </si>
  <si>
    <t>STUART, ELBRIDGE et al</t>
  </si>
  <si>
    <t>FR S2 SW4 SEC 23 TWP 16 RGE 18</t>
  </si>
  <si>
    <t xml:space="preserve">MURPHY, MELANIE S  </t>
  </si>
  <si>
    <t xml:space="preserve">1640 INDIAN PONY CIR </t>
  </si>
  <si>
    <t xml:space="preserve">WESTLAKE VILLAGE </t>
  </si>
  <si>
    <t>91362</t>
  </si>
  <si>
    <t>COUNTRY CLUB VILLAS LT 31</t>
  </si>
  <si>
    <t xml:space="preserve">OLSON TRUST, DAVID &amp; MICHELLE   </t>
  </si>
  <si>
    <t xml:space="preserve">490 HAMES RD </t>
  </si>
  <si>
    <t>CORRALITOS</t>
  </si>
  <si>
    <t xml:space="preserve">OLSON , DAVID A &amp; MICHELLE C  </t>
  </si>
  <si>
    <t>COUNTRY CLUB VILLAS  LT 47-C</t>
  </si>
  <si>
    <t>980 CART CT</t>
  </si>
  <si>
    <t>FAIRWAY ESTATES NO 2</t>
  </si>
  <si>
    <t xml:space="preserve">DALTON, JACK F </t>
  </si>
  <si>
    <t>392 CENTRAL PARK W APT 15P</t>
  </si>
  <si>
    <t>10025-5868</t>
  </si>
  <si>
    <t xml:space="preserve">MATOSSIAN, HARRY &amp; MARY KAY </t>
  </si>
  <si>
    <t>FAIRWAY EST 2 LT 57</t>
  </si>
  <si>
    <t>966 CADDIE CT</t>
  </si>
  <si>
    <t xml:space="preserve">BENJAMIN FAMILY LIVING TRUST  </t>
  </si>
  <si>
    <t xml:space="preserve">TITUS LIVING TRUST, GAIL S  </t>
  </si>
  <si>
    <t>FAIRWAY EST 2 LT 55</t>
  </si>
  <si>
    <t>611 CADDIE CT</t>
  </si>
  <si>
    <t xml:space="preserve">BERGMANN 1999 TRUST, ROGER A   </t>
  </si>
  <si>
    <t>4947 LAKERIDGE TERRACE LN W</t>
  </si>
  <si>
    <t xml:space="preserve">TAHOE INVESTMENTS I LLC </t>
  </si>
  <si>
    <t>FAIRWAY ESTATES NO 2 LOT 52</t>
  </si>
  <si>
    <t>660 14TH GREEN DR</t>
  </si>
  <si>
    <t xml:space="preserve">BORG, SCOTT &amp; AMY </t>
  </si>
  <si>
    <t>11 WINDHAM LN</t>
  </si>
  <si>
    <t>FARMINGTON</t>
  </si>
  <si>
    <t>CT</t>
  </si>
  <si>
    <t xml:space="preserve">PATCHETT FAMILY TRUST  </t>
  </si>
  <si>
    <t>FAIRWAY EST 2 LT 72</t>
  </si>
  <si>
    <t>678 14TH GREEN DR</t>
  </si>
  <si>
    <t xml:space="preserve">BERGE, GARY R &amp; DEBRA L </t>
  </si>
  <si>
    <t xml:space="preserve">CARACCIOLO TRUST  </t>
  </si>
  <si>
    <t>FAIRWAY EST 2 LT 77</t>
  </si>
  <si>
    <t>671 14TH GREEN DR</t>
  </si>
  <si>
    <t xml:space="preserve">LYONS, RICHARD B &amp; KATHARINE H </t>
  </si>
  <si>
    <t xml:space="preserve">FINEMAN LIVING TRUST, MARTIN &amp; BETTY  </t>
  </si>
  <si>
    <t>FAIRWAY EST 2 LT 81</t>
  </si>
  <si>
    <t>TACE</t>
  </si>
  <si>
    <t>645 14TH GREEN DR</t>
  </si>
  <si>
    <t>11 PLUMBRIDGE LN</t>
  </si>
  <si>
    <t>HILTON HEAD</t>
  </si>
  <si>
    <t>29928</t>
  </si>
  <si>
    <t xml:space="preserve">FAGAN TRUST, LAMBERT &amp; SUSAN M  </t>
  </si>
  <si>
    <t>FAIRWAY EST 2 LT 85</t>
  </si>
  <si>
    <t>629 14TH GREEN DR</t>
  </si>
  <si>
    <t xml:space="preserve">PURLSY SPARKS TRUST  </t>
  </si>
  <si>
    <t>140 STRATFORD</t>
  </si>
  <si>
    <t xml:space="preserve">CHASE FAMILY TRUST  </t>
  </si>
  <si>
    <t>FAIRWAY EST 2 LT 88</t>
  </si>
  <si>
    <t>615 COUNTRY CLUB DR</t>
  </si>
  <si>
    <t>REV PM 2523</t>
  </si>
  <si>
    <t>CALDER, JEFFREY &amp; PATRICIA et al</t>
  </si>
  <si>
    <t>C/O ERIN PYNES</t>
  </si>
  <si>
    <t>1504 VIVALDI ST</t>
  </si>
  <si>
    <t>CARDIF BY THE SEA</t>
  </si>
  <si>
    <t>13105001-0</t>
  </si>
  <si>
    <t>978 GLENROCK CT</t>
  </si>
  <si>
    <t>GLENROCK</t>
  </si>
  <si>
    <t xml:space="preserve">MCGONIGAL, JAMES A &amp; JOANNA </t>
  </si>
  <si>
    <t xml:space="preserve">GILANFARR, PHILIP </t>
  </si>
  <si>
    <t>GLENROCK LT 3</t>
  </si>
  <si>
    <t xml:space="preserve">HSBC MORTGAGE CORPORATION USA </t>
  </si>
  <si>
    <t>GLENROCK LT 11</t>
  </si>
  <si>
    <t xml:space="preserve">VAKILIAN, RAMIN &amp; ERIKA </t>
  </si>
  <si>
    <t>4315 W POTRERO RD</t>
  </si>
  <si>
    <t>NEWBURY PARK</t>
  </si>
  <si>
    <t xml:space="preserve">ALBAUGH REVOCABLE TRUST, GLEN &amp; SANDRA  </t>
  </si>
  <si>
    <t>GLENROCK LT 13</t>
  </si>
  <si>
    <t xml:space="preserve">HODGE, PAUL C </t>
  </si>
  <si>
    <t>14781 MEMORIAL DR 3057</t>
  </si>
  <si>
    <t>HUTCHISON, CANDACE L et al</t>
  </si>
  <si>
    <t>GLENROCK LOT 28</t>
  </si>
  <si>
    <t>696 VILLAGE BLVD</t>
  </si>
  <si>
    <t>WOODMINSTER</t>
  </si>
  <si>
    <t xml:space="preserve">CAMEJO LLC </t>
  </si>
  <si>
    <t>CREOLE</t>
  </si>
  <si>
    <t>WOODMINSTER LT 21 BLK B</t>
  </si>
  <si>
    <t>PAZA</t>
  </si>
  <si>
    <t xml:space="preserve">GREENE REV LIVING TRUST, EDWARD  </t>
  </si>
  <si>
    <t>1418 MANATEE CIR UNIT 305</t>
  </si>
  <si>
    <t xml:space="preserve">TARPON SPRINGS </t>
  </si>
  <si>
    <t>34689</t>
  </si>
  <si>
    <t xml:space="preserve">DISBROW, TODD C </t>
  </si>
  <si>
    <t>WOODMINSTER LT 22 BLK B</t>
  </si>
  <si>
    <t>WOODMINSTER SUB</t>
  </si>
  <si>
    <t xml:space="preserve">SEIDLER FAMILY TRUST  </t>
  </si>
  <si>
    <t>696 VILLAGE BLVD NO 25</t>
  </si>
  <si>
    <t xml:space="preserve">SEIDLER, WILLIAM R &amp; MARION A  </t>
  </si>
  <si>
    <t>WOODMINSTER  LT 25  BLK B</t>
  </si>
  <si>
    <t>WOODMINSTER SUBDIVISION</t>
  </si>
  <si>
    <t xml:space="preserve">TABANO, CHARLES A &amp; EILEEN </t>
  </si>
  <si>
    <t>6325 MEADOW CREEK DRIVE</t>
  </si>
  <si>
    <t>WOODMINSTER SUBDIVISION LOT 32 BLK B</t>
  </si>
  <si>
    <t>645 COUNTRY CLUB DR</t>
  </si>
  <si>
    <t>BROOKSIDE INCLINE 1</t>
  </si>
  <si>
    <t>MUNDAHL, KATHLEEN et al</t>
  </si>
  <si>
    <t>7905 RICHARD KING TR</t>
  </si>
  <si>
    <t>AUSTIN</t>
  </si>
  <si>
    <t>78749</t>
  </si>
  <si>
    <t xml:space="preserve">NIELD FAMILY TRUST  </t>
  </si>
  <si>
    <t>BROOKSIDE INCLINE 1 LT 2</t>
  </si>
  <si>
    <t>PBDA</t>
  </si>
  <si>
    <t>908 HAROLD DR</t>
  </si>
  <si>
    <t>FAIRWAY PINES</t>
  </si>
  <si>
    <t xml:space="preserve">MOORE, WILLIAM J &amp; MARLA H  </t>
  </si>
  <si>
    <t xml:space="preserve">2408 KAYWOOD LN </t>
  </si>
  <si>
    <t xml:space="preserve">                         </t>
  </si>
  <si>
    <t xml:space="preserve">SILVER SPRING       </t>
  </si>
  <si>
    <t>FAIRWAY PINES LT 15 BLK B</t>
  </si>
  <si>
    <t xml:space="preserve">SCHIBLER, GRANT A  </t>
  </si>
  <si>
    <t xml:space="preserve">21551 CANYON WAY </t>
  </si>
  <si>
    <t>COLFAX</t>
  </si>
  <si>
    <t>95713</t>
  </si>
  <si>
    <t xml:space="preserve">RUST FAMILY PARTNERSHIP I LTD </t>
  </si>
  <si>
    <t>FAIRWAY PINES LT 25 BLK A</t>
  </si>
  <si>
    <t xml:space="preserve">CARNEVALE, STEVEN J &amp; CHRISTINE A </t>
  </si>
  <si>
    <t>554 N ALTA VISTA AVE</t>
  </si>
  <si>
    <t>MONROVIA</t>
  </si>
  <si>
    <t xml:space="preserve">JORTH, SUSAN </t>
  </si>
  <si>
    <t>FAIRWAY PINES LT 48 BLK A</t>
  </si>
  <si>
    <t>505 COUNTRY CLUB DR</t>
  </si>
  <si>
    <t xml:space="preserve">JAY, KELLY K &amp; PATSY H </t>
  </si>
  <si>
    <t>2 SANDHILL CT</t>
  </si>
  <si>
    <t xml:space="preserve">KLIKOFF FAMILY TRUST   </t>
  </si>
  <si>
    <t>FAIRWAY EST 2 LT 16</t>
  </si>
  <si>
    <t>961 FAIRWAY PARK DR</t>
  </si>
  <si>
    <t>FAIRWAY PARK</t>
  </si>
  <si>
    <t xml:space="preserve">BUSCHHUETER, FRANK </t>
  </si>
  <si>
    <t>1281 PARKSIDE DR</t>
  </si>
  <si>
    <t>95376</t>
  </si>
  <si>
    <t>FAIRWAY PARK LT 7 BLK B</t>
  </si>
  <si>
    <t xml:space="preserve">HELLMANN FAMILY TRUST  </t>
  </si>
  <si>
    <t>2002 BRUCEALA CT</t>
  </si>
  <si>
    <t>CARDIFF</t>
  </si>
  <si>
    <t xml:space="preserve">MILITELLO, DAVID R &amp; COLLEEN A </t>
  </si>
  <si>
    <t>CEDARCREST LT 3</t>
  </si>
  <si>
    <t xml:space="preserve">CEDARCREST  </t>
  </si>
  <si>
    <t xml:space="preserve">HAYEK, ELIAS &amp; TRINA R </t>
  </si>
  <si>
    <t>PO BOX 12106</t>
  </si>
  <si>
    <t>DUBAI</t>
  </si>
  <si>
    <t>UNITED ARAB EMIRATES</t>
  </si>
  <si>
    <t xml:space="preserve">HELLMAN FAMILY TRUST  </t>
  </si>
  <si>
    <t>CEDARCREST LT 31 BLK 1</t>
  </si>
  <si>
    <t xml:space="preserve">IRVING, MARK P &amp; AMY L </t>
  </si>
  <si>
    <t>7082 MARSH WREN ST</t>
  </si>
  <si>
    <t>MONTCLAIR VILLAS LT 14</t>
  </si>
  <si>
    <t>948 HAROLD DR</t>
  </si>
  <si>
    <t>VILLAGE GREEN</t>
  </si>
  <si>
    <t xml:space="preserve">SLATTERY, STEVE &amp; COLLEEN </t>
  </si>
  <si>
    <t>800 EASY LN</t>
  </si>
  <si>
    <t>CEREF II LLC LLC</t>
  </si>
  <si>
    <t>VILLAGE GREEN LT 13</t>
  </si>
  <si>
    <t>PAFA</t>
  </si>
  <si>
    <t>649 ALPINE VIEW DR</t>
  </si>
  <si>
    <t xml:space="preserve">PETERSON LIVING TRUST, LYLE &amp; ANGELA  </t>
  </si>
  <si>
    <t>14644 HERITAGE WAY</t>
  </si>
  <si>
    <t>COUNTRY CLUB OF INCLINE LT 13 BLK B</t>
  </si>
  <si>
    <t>465 EAGLE DR</t>
  </si>
  <si>
    <t xml:space="preserve">BARNES, BENJAMIN K &amp; ROBYN E </t>
  </si>
  <si>
    <t>6208 TAGGART UT B</t>
  </si>
  <si>
    <t>COUNTRY CLUB OF INCLINE LT 3  BLK G</t>
  </si>
  <si>
    <t>448 2ND TEE DR</t>
  </si>
  <si>
    <t xml:space="preserve">BRUNO TRUST OF 1995, CAROL  </t>
  </si>
  <si>
    <t>P O BOX 6104</t>
  </si>
  <si>
    <t>WHITE, FREDERICK A  et al TTEE</t>
  </si>
  <si>
    <t>COUNTRY CLUB OF INCLINE LT 13 BLK J</t>
  </si>
  <si>
    <t>440 MOUNTAIN LAKE CT</t>
  </si>
  <si>
    <t>SERCU, JOHN C et al</t>
  </si>
  <si>
    <t>5428 CHAMPSEY PL NW</t>
  </si>
  <si>
    <t>ISSAQUAH</t>
  </si>
  <si>
    <t>COUNTRY CLUB OF INCLINE  LT 11 BLK J</t>
  </si>
  <si>
    <t>363 MOUNTAIN LAKE CT</t>
  </si>
  <si>
    <t xml:space="preserve">HUFFMAN, NANCY L &amp; ROSS M  </t>
  </si>
  <si>
    <t xml:space="preserve">3531 NEWRIDGE DR </t>
  </si>
  <si>
    <t xml:space="preserve">RANCHO PALOS VERDES </t>
  </si>
  <si>
    <t xml:space="preserve">NEVADA PACIFIC DEVEL CORP </t>
  </si>
  <si>
    <t>COUNTRY CLUB OF INCLINE LOT 16 BLK K</t>
  </si>
  <si>
    <t>355 WILDERNESS CT</t>
  </si>
  <si>
    <t>GARY M &amp; DONNA J STANGELAND TRUSTEE</t>
  </si>
  <si>
    <t>PO BOX 3795</t>
  </si>
  <si>
    <t>COUNTRY CLUB OF INCLINE LT 33 BLK K</t>
  </si>
  <si>
    <t>377 2ND TEE DR</t>
  </si>
  <si>
    <t xml:space="preserve">WILBUR, JAMES &amp; SHARON </t>
  </si>
  <si>
    <t>377 SECOND TEE DR</t>
  </si>
  <si>
    <t>89451-8915</t>
  </si>
  <si>
    <t xml:space="preserve">BROWN LIVING TRUST, COOPER &amp; LAURA  </t>
  </si>
  <si>
    <t>COUNTRY CLUB OF INCLINE LT 6 BLK L</t>
  </si>
  <si>
    <t>416 COUNTRY CLUB DR</t>
  </si>
  <si>
    <t>FAIRWAY ESTATES UNIT NO 1</t>
  </si>
  <si>
    <t xml:space="preserve">KENNEDY, RICHARD L &amp; CHRISTINE J </t>
  </si>
  <si>
    <t xml:space="preserve">416 COUNTRY CLUB DR </t>
  </si>
  <si>
    <t xml:space="preserve">KENNEDY LIVING TRUST, RICHARD &amp; CHRISTINE  </t>
  </si>
  <si>
    <t>FAIRWAY EST 1 LT 103</t>
  </si>
  <si>
    <t>973 FAIRWAY BLVD</t>
  </si>
  <si>
    <t xml:space="preserve">WHITE FAMILY TRUST, MATTHEW  </t>
  </si>
  <si>
    <t xml:space="preserve">WHITE, MATTHEW T &amp; MELISSA A  </t>
  </si>
  <si>
    <t>FAIRWAY EST 1 LT 92</t>
  </si>
  <si>
    <t>451 COUNTRY CLUB DR</t>
  </si>
  <si>
    <t xml:space="preserve">BRUNI 1999 FAMILY TRUST  </t>
  </si>
  <si>
    <t xml:space="preserve">75 BELLE ROCHE </t>
  </si>
  <si>
    <t xml:space="preserve">REDWOOD CITY </t>
  </si>
  <si>
    <t xml:space="preserve">BRUNI, STEVEN A &amp; PATRICE M  </t>
  </si>
  <si>
    <t>FAIRWAY EST 1 LT 79</t>
  </si>
  <si>
    <t>996 3RD GREEN CT</t>
  </si>
  <si>
    <t xml:space="preserve">KAY 1989 LIVING TRUST, BARRY S &amp; BARBARA N   </t>
  </si>
  <si>
    <t>930 TAHOE BLVD #802-343</t>
  </si>
  <si>
    <t>FAIRWAY EST 1 LT 75</t>
  </si>
  <si>
    <t>996 WEDGE CT</t>
  </si>
  <si>
    <t>FAIRWAY ESTATES 1</t>
  </si>
  <si>
    <t xml:space="preserve">WAGNER 1996 TRUST, CHARLES   </t>
  </si>
  <si>
    <t>PO BOX 5314</t>
  </si>
  <si>
    <t xml:space="preserve">JORDAN , ROBERT L JR &amp; NORA </t>
  </si>
  <si>
    <t>FAIRWAY EST 1 LT 64</t>
  </si>
  <si>
    <t>361 COUNTRY CLUB DR</t>
  </si>
  <si>
    <t xml:space="preserve">FLYNN COMMUNITY PROPERTY TRUST, MICHAEL E &amp; BONNIE F   </t>
  </si>
  <si>
    <t>80970 WEISKOPF</t>
  </si>
  <si>
    <t xml:space="preserve">LA QUINTA </t>
  </si>
  <si>
    <t>92253</t>
  </si>
  <si>
    <t xml:space="preserve">MAPPS FAMILY TRUST  </t>
  </si>
  <si>
    <t>FAIRWAY EST 1 LT 37</t>
  </si>
  <si>
    <t>971 FAIRWAY BLVD</t>
  </si>
  <si>
    <t>INCLINE VILLA</t>
  </si>
  <si>
    <t xml:space="preserve">ALTHOFF LIVING TRUST  </t>
  </si>
  <si>
    <t>7080 ANNABELLE DR</t>
  </si>
  <si>
    <t xml:space="preserve">ELLINGSON, IVAN &amp; PATRICIA </t>
  </si>
  <si>
    <t>INCLINE VILLA LT 6</t>
  </si>
  <si>
    <t>924 WENDY LN</t>
  </si>
  <si>
    <t>PM 1012 CONDO</t>
  </si>
  <si>
    <t xml:space="preserve">BRUNELLO, ANTHONY &amp; HALEY </t>
  </si>
  <si>
    <t>924 WENDY LN UNIT A</t>
  </si>
  <si>
    <t>DUROSE FAMILY TRUST et al</t>
  </si>
  <si>
    <t>CONDO PM 1012 LT 1</t>
  </si>
  <si>
    <t xml:space="preserve">SQUIER, JOHN H &amp; TRISHA </t>
  </si>
  <si>
    <t>78735 SPYGLASS HILLS DR</t>
  </si>
  <si>
    <t>LAS QUINTA</t>
  </si>
  <si>
    <t>COUNTRY CLUB CT LT 1</t>
  </si>
  <si>
    <t xml:space="preserve">FONG, NEPENTHE &amp; PAMELA </t>
  </si>
  <si>
    <t>4303 AMEROSE PL</t>
  </si>
  <si>
    <t>COUNTRY CLUB COURT LT 3</t>
  </si>
  <si>
    <t>WU, ZHE et al</t>
  </si>
  <si>
    <t>1069 RYE CT</t>
  </si>
  <si>
    <t xml:space="preserve">CHRISTMAS, KENNETH C SR &amp; JOHANNE E </t>
  </si>
  <si>
    <t>COUNTRY CLUB COURT LT 5</t>
  </si>
  <si>
    <t xml:space="preserve">MATTHEWS, DONALD K &amp; YOUN S </t>
  </si>
  <si>
    <t>PO BOX 2194</t>
  </si>
  <si>
    <t>BALINT, SABIN O et al</t>
  </si>
  <si>
    <t>INCLINE MANOR LT 21</t>
  </si>
  <si>
    <t xml:space="preserve">RUPPENTHAL CARR FAMILY LIVING , TRUST  </t>
  </si>
  <si>
    <t xml:space="preserve">BROWN, CHARLES L JR </t>
  </si>
  <si>
    <t>INCLINE MANOR LT 37</t>
  </si>
  <si>
    <t>HESS, CAROL P  et al</t>
  </si>
  <si>
    <t xml:space="preserve">2308 HYDE PARK AVE </t>
  </si>
  <si>
    <t xml:space="preserve">LAKE HAVASU CITY </t>
  </si>
  <si>
    <t>INCLINE MANOR LT 64</t>
  </si>
  <si>
    <t xml:space="preserve">FALZARANO, ANN M </t>
  </si>
  <si>
    <t>PO BOX 4603</t>
  </si>
  <si>
    <t xml:space="preserve">HERREN, LISA </t>
  </si>
  <si>
    <t>WOODSTOCK 1  LT 14 (QUIET TITLE)</t>
  </si>
  <si>
    <t xml:space="preserve">PAYNTER LIVING TRUST </t>
  </si>
  <si>
    <t>6312 BEAR CREEK CT</t>
  </si>
  <si>
    <t xml:space="preserve">PAYNTER, LOIS J </t>
  </si>
  <si>
    <t>132-051-06</t>
  </si>
  <si>
    <t>WOODSTOCK I LT 27 (QUIET TITLE)</t>
  </si>
  <si>
    <t xml:space="preserve">O`NEILL, RICHARD V &amp; CAROL L  </t>
  </si>
  <si>
    <t xml:space="preserve">15230 GALT ST </t>
  </si>
  <si>
    <t xml:space="preserve">SAN LEANDRO </t>
  </si>
  <si>
    <t>94579</t>
  </si>
  <si>
    <t xml:space="preserve">FEITEN, PAUL M  </t>
  </si>
  <si>
    <t>WOODSTOCK 2 LT 51</t>
  </si>
  <si>
    <t xml:space="preserve">G &amp; D NEVADA TWO LLC </t>
  </si>
  <si>
    <t xml:space="preserve">KEENE LIVING TRUST  </t>
  </si>
  <si>
    <t>WOODSTOCK 2 LT 74 (QUIET TITLE)</t>
  </si>
  <si>
    <t xml:space="preserve">BILOTTI, ANTHONY J &amp; ANDREA </t>
  </si>
  <si>
    <t>5710 SARAH RD</t>
  </si>
  <si>
    <t xml:space="preserve">CASINI, SETH S &amp; GERALYN K </t>
  </si>
  <si>
    <t>THIRD CREEK CONDO AMD LT 7 BLK 2</t>
  </si>
  <si>
    <t>CARSON, STEVE E et al</t>
  </si>
  <si>
    <t>PO BOX 5490</t>
  </si>
  <si>
    <t xml:space="preserve">TREUHAFT, THOMAS S &amp; JENNIFER L </t>
  </si>
  <si>
    <t>THIRD CREEK CONDO AMD LT 38 BLK 10</t>
  </si>
  <si>
    <t xml:space="preserve">JAMISON FAMILY TRUST  </t>
  </si>
  <si>
    <t xml:space="preserve">159 TIVOLI LN </t>
  </si>
  <si>
    <t xml:space="preserve">SCHINDLER FAMILY TRUST  </t>
  </si>
  <si>
    <t>THIRD CREEK CONDOMINIUMS LT 88 BLK 23</t>
  </si>
  <si>
    <t>GUSTIN, MARVIN WAYNE et al</t>
  </si>
  <si>
    <t xml:space="preserve">WINTHROP, BRETT E </t>
  </si>
  <si>
    <t>3825 BOULDER PATCH</t>
  </si>
  <si>
    <t xml:space="preserve">CROUSE DEVELOPMENTS LLC </t>
  </si>
  <si>
    <t>THIRD CREEK CONDO LT 109 BLK 29</t>
  </si>
  <si>
    <t xml:space="preserve">GINGILOSKI FAMILY TRUST  </t>
  </si>
  <si>
    <t>PO BOX 421</t>
  </si>
  <si>
    <t xml:space="preserve">SANTA FE </t>
  </si>
  <si>
    <t>THIRD CREEK CONDO LT 119 BLK 31</t>
  </si>
  <si>
    <t>THIRD CREEK CONDOS</t>
  </si>
  <si>
    <t xml:space="preserve">VIVIER 2006 LIVING TRUST  </t>
  </si>
  <si>
    <t xml:space="preserve">5943 FOLIGNO WAY </t>
  </si>
  <si>
    <t xml:space="preserve">PERRY, WARREN A </t>
  </si>
  <si>
    <t>THIRD CREEK CONDOS UNIT 133 BLK 35</t>
  </si>
  <si>
    <t>865 TAHOE BLVD</t>
  </si>
  <si>
    <t>INDUSTRIAL SUB NO 2 FR</t>
  </si>
  <si>
    <t xml:space="preserve">FAE HOLDINGS 407454R LLC </t>
  </si>
  <si>
    <t>1475 POWELL ST STE 101</t>
  </si>
  <si>
    <t>EMERYVILLE</t>
  </si>
  <si>
    <t xml:space="preserve">NEWMAN, EDWARD F &amp; CAROL J  </t>
  </si>
  <si>
    <t>INDUSTRIAL SUB NO 2 FR BLK E</t>
  </si>
  <si>
    <t xml:space="preserve">PEREZ, PHILLIP M &amp; JAMIE L </t>
  </si>
  <si>
    <t>7440 SEDGEFIELD AVE</t>
  </si>
  <si>
    <t>SEANEY, THOMAS M TTEE et al</t>
  </si>
  <si>
    <t>ROYAL PINES CONDO AMD LT 19</t>
  </si>
  <si>
    <t>ROYAL PINES CONDO</t>
  </si>
  <si>
    <t>HOYLE, JAMES S  et al</t>
  </si>
  <si>
    <t xml:space="preserve">HOWARD SHERRI L </t>
  </si>
  <si>
    <t xml:space="preserve">172 RAINTREE DR </t>
  </si>
  <si>
    <t xml:space="preserve">JARCIK, KATIE </t>
  </si>
  <si>
    <t>ROYAL PINES CONDO AMD LT 62</t>
  </si>
  <si>
    <t xml:space="preserve">BOHANNON, SUSAN C </t>
  </si>
  <si>
    <t xml:space="preserve">DELLA ROSA TRUST, EVERETT E &amp; NORMA J  </t>
  </si>
  <si>
    <t>ROYAL PINES CONDO AMD LT 58</t>
  </si>
  <si>
    <t xml:space="preserve">BATEMAN, NANETTE </t>
  </si>
  <si>
    <t xml:space="preserve">PO BOX 5523 </t>
  </si>
  <si>
    <t>VILLAGE COURT LT 6</t>
  </si>
  <si>
    <t xml:space="preserve">SUNSET MIST LLC </t>
  </si>
  <si>
    <t>728 HANCOCK DR</t>
  </si>
  <si>
    <t xml:space="preserve">CARDON, TORRY L </t>
  </si>
  <si>
    <t>VILLAGE COURT LT 16</t>
  </si>
  <si>
    <t>836 SOUTHWOOD BLVD</t>
  </si>
  <si>
    <t>CREEKSIDE</t>
  </si>
  <si>
    <t xml:space="preserve">KAPLAN, SHANA M  </t>
  </si>
  <si>
    <t>836 SOUTHWOOD BLVD #4</t>
  </si>
  <si>
    <t>CREEKSIDE LT 4</t>
  </si>
  <si>
    <t>840 SOUTHWOOD BLVD</t>
  </si>
  <si>
    <t>MOUNTAIN HOUSE</t>
  </si>
  <si>
    <t xml:space="preserve">YIM, CHUL </t>
  </si>
  <si>
    <t>1425 KENDAL CT</t>
  </si>
  <si>
    <t xml:space="preserve">BALFREY, ROBERT E JR &amp; JANA L </t>
  </si>
  <si>
    <t>MOUNTAIN HOUSE LT 3</t>
  </si>
  <si>
    <t>GROZA, HORATIU B  et al</t>
  </si>
  <si>
    <t xml:space="preserve">FUIA NADIA </t>
  </si>
  <si>
    <t>SOUTHWOOD COURT LT 5</t>
  </si>
  <si>
    <t>830 SOUTHWOOD BLVD</t>
  </si>
  <si>
    <t>PM 2887</t>
  </si>
  <si>
    <t xml:space="preserve">BEAL, IRMA </t>
  </si>
  <si>
    <t>1705 NANTES WAY</t>
  </si>
  <si>
    <t xml:space="preserve">ETRADE BANK </t>
  </si>
  <si>
    <t>132-212-07</t>
  </si>
  <si>
    <t>PM 2887 LT 2</t>
  </si>
  <si>
    <t>933 NORTHWOOD BLVD</t>
  </si>
  <si>
    <t>POINTE AT THIRD CREEK</t>
  </si>
  <si>
    <t xml:space="preserve">DELANOY 1991 TRUST  </t>
  </si>
  <si>
    <t>8348 TURTLE CREEK CIR</t>
  </si>
  <si>
    <t xml:space="preserve">ALEXANDER TRUST, ANNA M  </t>
  </si>
  <si>
    <t>132-060-01</t>
  </si>
  <si>
    <t>THE POINTE AT THIRD CREEK LT 14</t>
  </si>
  <si>
    <t>PAPA</t>
  </si>
  <si>
    <t>215 LARK CT</t>
  </si>
  <si>
    <t xml:space="preserve">TURNER/AAROE FAMILY 2010 TRUST  </t>
  </si>
  <si>
    <t>13365 CREST VALLEY DR</t>
  </si>
  <si>
    <t>KILBURG, ELIZABETH et al</t>
  </si>
  <si>
    <t>PM 3223 CONDO LT 1</t>
  </si>
  <si>
    <t>213 LARK CT</t>
  </si>
  <si>
    <t xml:space="preserve">SKOWRONSKI, EVAN &amp; LAURA  </t>
  </si>
  <si>
    <t>930 TAHOE BLVD # 802-145</t>
  </si>
  <si>
    <t xml:space="preserve">PETRAKIS, CHRIS P &amp; KAROLYN B </t>
  </si>
  <si>
    <t>PM 3223 CONDO LT 2</t>
  </si>
  <si>
    <t xml:space="preserve">HAMER, PAUL S &amp; MARY L  </t>
  </si>
  <si>
    <t xml:space="preserve">800 RIDGEPOINTE CT </t>
  </si>
  <si>
    <t xml:space="preserve">GOLDENBERG, BLAKE </t>
  </si>
  <si>
    <t>MT BROOK STATION CONDO LT 1</t>
  </si>
  <si>
    <t>MT BROOK STATION CONDO LT 34</t>
  </si>
  <si>
    <t xml:space="preserve">VANDERPOOL, AARON  </t>
  </si>
  <si>
    <t>PO BOX 1527</t>
  </si>
  <si>
    <t>MT BROOK STATION CONDO LT 17</t>
  </si>
  <si>
    <t xml:space="preserve">OZAKI FAMILY TRUST, STACY P &amp; LAISHA W  </t>
  </si>
  <si>
    <t>3419 ECHO SPRINGS RD</t>
  </si>
  <si>
    <t xml:space="preserve">SHEWRY, WILLLIAM J </t>
  </si>
  <si>
    <t>MT BROOK STATION CONDO LT 30</t>
  </si>
  <si>
    <t>TELFEIAN, HENRY F et al</t>
  </si>
  <si>
    <t>1247 ALVARDO RD</t>
  </si>
  <si>
    <t>BERKELEY</t>
  </si>
  <si>
    <t xml:space="preserve">RICHARD, KERRY E &amp; TAMMY L </t>
  </si>
  <si>
    <t>MT BROOK STATION CONDO LT 49</t>
  </si>
  <si>
    <t xml:space="preserve"> INCLINE WAY</t>
  </si>
  <si>
    <t>915 INCLINE WAY</t>
  </si>
  <si>
    <t xml:space="preserve">SAVY TRUST, DANIELLE E  </t>
  </si>
  <si>
    <t>900 DONNA DR</t>
  </si>
  <si>
    <t xml:space="preserve">SAVY, DANIELLE </t>
  </si>
  <si>
    <t>132-232-02</t>
  </si>
  <si>
    <t>915 INCLINE WAY CONDO LT 101</t>
  </si>
  <si>
    <t xml:space="preserve">DENISON, SARRAH L  </t>
  </si>
  <si>
    <t>915 INCLINE WAY # 202</t>
  </si>
  <si>
    <t>915 INCLINE WAY CONDO LT 202</t>
  </si>
  <si>
    <t>BELLIS , DAVID  et al</t>
  </si>
  <si>
    <t xml:space="preserve">1811 W 3RD ST </t>
  </si>
  <si>
    <t>915 INCLINE WAY CONDO LT 201</t>
  </si>
  <si>
    <t xml:space="preserve">CRAIG LIVING TRUST, JEFFRE C &amp; JEANNE M  </t>
  </si>
  <si>
    <t>2089 MOHAWK TR</t>
  </si>
  <si>
    <t>TOMAHAWK</t>
  </si>
  <si>
    <t>54487</t>
  </si>
  <si>
    <t>915 INCLINE WAY CONDO LT 302</t>
  </si>
  <si>
    <t xml:space="preserve">BAILEY REVOCABLE TRUST, AVIS A  </t>
  </si>
  <si>
    <t>4400 SPYGLASS DR</t>
  </si>
  <si>
    <t>SPRINGDALE</t>
  </si>
  <si>
    <t>72764</t>
  </si>
  <si>
    <t>915 INCLINE WAY CONDO LT 301</t>
  </si>
  <si>
    <t>BERGQUIST, MARK  et al</t>
  </si>
  <si>
    <t>PO BOX 659</t>
  </si>
  <si>
    <t>915 INCLINE WAY CONDO LT 104</t>
  </si>
  <si>
    <t xml:space="preserve">WEAVER, JAMES W &amp; SUZAN R </t>
  </si>
  <si>
    <t>9055 CODOBA BLVD</t>
  </si>
  <si>
    <t>915 INCLINE WAY CONDO LT 103</t>
  </si>
  <si>
    <t xml:space="preserve">VAUGHN, GLENN  </t>
  </si>
  <si>
    <t>3905 STATE ST # 7298</t>
  </si>
  <si>
    <t>915 INCLINE WAY CONDO LT 204</t>
  </si>
  <si>
    <t xml:space="preserve">CHEN, KUAN-HUA &amp; WEI-HSUN </t>
  </si>
  <si>
    <t>915 INCLINE WAY # 304</t>
  </si>
  <si>
    <t>915 INCLINE WAY CONDO LT 304</t>
  </si>
  <si>
    <t>14045 RIATA CIR</t>
  </si>
  <si>
    <t>SAGEWOOD EST 1</t>
  </si>
  <si>
    <t xml:space="preserve">WALKER, RODNEY R </t>
  </si>
  <si>
    <t>PO BOX 41286</t>
  </si>
  <si>
    <t>016-573-23</t>
  </si>
  <si>
    <t>SAGEWOOD EST 1 LT 1 BLK C</t>
  </si>
  <si>
    <t>1410 SIOUX TRL</t>
  </si>
  <si>
    <t>SAGEWOOD ESTATES 2</t>
  </si>
  <si>
    <t>TARANTINO, JEANNE M et al</t>
  </si>
  <si>
    <t xml:space="preserve">BAZATA, RICHARD &amp; JEAN </t>
  </si>
  <si>
    <t>016-574-19</t>
  </si>
  <si>
    <t>SAGEWOOD ESTATES UT 2  LT 6 BLK F</t>
  </si>
  <si>
    <t>30 HIGH CHAPARRAL WAY</t>
  </si>
  <si>
    <t>SAGEWOOD EST3B</t>
  </si>
  <si>
    <t xml:space="preserve">MCCORD, ROGER R &amp; WENDY L  </t>
  </si>
  <si>
    <t xml:space="preserve">TAMS, GARY L </t>
  </si>
  <si>
    <t>016-573-59</t>
  </si>
  <si>
    <t>SAGEWOOD EST 3B LT 11 BLK A</t>
  </si>
  <si>
    <t>1275 HIGH CHAPARRAL DR</t>
  </si>
  <si>
    <t xml:space="preserve">SMITH, LYNN E &amp; ASHLEY M  </t>
  </si>
  <si>
    <t xml:space="preserve">HENDRICKSON, PAUL J  </t>
  </si>
  <si>
    <t>016-573-43</t>
  </si>
  <si>
    <t>SAGEWOOD EST 3B LT 19 BLK A</t>
  </si>
  <si>
    <t>1270 HIGH CHAPARRAL DR</t>
  </si>
  <si>
    <t xml:space="preserve">SCHEFFER, PATRICK R &amp; BRITTA M </t>
  </si>
  <si>
    <t>016-575-11</t>
  </si>
  <si>
    <t>SAGEWOOD EST 3B LT 1 BLK C</t>
  </si>
  <si>
    <t>1055 TAPADERO TRL</t>
  </si>
  <si>
    <t>SHADOW HILLS 2</t>
  </si>
  <si>
    <t>SCHRICKER REVOCABLE TRUST, DONALD R  et al</t>
  </si>
  <si>
    <t>1055 TAPADERO</t>
  </si>
  <si>
    <t xml:space="preserve">PECK LIVING TURST  </t>
  </si>
  <si>
    <t>016-572-16</t>
  </si>
  <si>
    <t>SHADOW HILLS 2 LT 12</t>
  </si>
  <si>
    <t>1150 TAPADERO TRL</t>
  </si>
  <si>
    <t xml:space="preserve">BRESLIN, DYLAN J &amp; LAUREN L </t>
  </si>
  <si>
    <t xml:space="preserve">SIMPSON, ALAN A &amp; PATRICIA H </t>
  </si>
  <si>
    <t>016-573-05</t>
  </si>
  <si>
    <t>SHADOW HILLS 2 LT 7</t>
  </si>
  <si>
    <t>13587 GOLD RUN DR</t>
  </si>
  <si>
    <t xml:space="preserve">DRAKULICH, LUKE &amp; JANET </t>
  </si>
  <si>
    <t>COTTONWOOD CREEK EST 3 LT 305</t>
  </si>
  <si>
    <t>PM 3627 FR</t>
  </si>
  <si>
    <t xml:space="preserve">TAJ MANAGEMENT COMPANY LLC </t>
  </si>
  <si>
    <t>2265 SADDLETREE TR</t>
  </si>
  <si>
    <t>140-173-01</t>
  </si>
  <si>
    <t>PM 3627 FR LT 5   RS 3785 LT 1 BLD B</t>
  </si>
  <si>
    <t>2275 EVERGREEN PARK DR</t>
  </si>
  <si>
    <t>WILLIAMS, SHANE R et al</t>
  </si>
  <si>
    <t>VILLAGES AT DAMONTE RANCH 13B LT 147</t>
  </si>
  <si>
    <t>1990 SIERRA OAKS CT</t>
  </si>
  <si>
    <t>NEWELL, ZACHARY et al</t>
  </si>
  <si>
    <t>WANG XUAN</t>
  </si>
  <si>
    <t>1990 SEIRRA OAKS CT</t>
  </si>
  <si>
    <t>VILLAGES AT DAMONTE RANCH 13A LT 47 BLK A</t>
  </si>
  <si>
    <t>2090 BAXTER VILLAGE DR</t>
  </si>
  <si>
    <t xml:space="preserve">MACMAHON, CHRISTOPHER &amp; KRISTI </t>
  </si>
  <si>
    <t xml:space="preserve">JOHNSON, TYSON G &amp; JENNIFER </t>
  </si>
  <si>
    <t>VILLAGES AT DAMONTE RANCH 13A LT 18 BLK D</t>
  </si>
  <si>
    <t>2195 EVERGREEN PARK DR</t>
  </si>
  <si>
    <t xml:space="preserve">GURKO, EILEEN A  </t>
  </si>
  <si>
    <t>TURNER, DANIEL G et al</t>
  </si>
  <si>
    <t>VILLAGES AT DAMONTE RANCH 13A LT 64 BLK E</t>
  </si>
  <si>
    <t>2175 EVERGREEN PARK DR</t>
  </si>
  <si>
    <t>2175  EVERGREEN PARK DR</t>
  </si>
  <si>
    <t>VILLAGES AT DAMONTE RANCH 13A LT 62 BLK E</t>
  </si>
  <si>
    <t>10035 HAMPTON PARK DR</t>
  </si>
  <si>
    <t>VILLAGES DAMONTE RANCH 13A</t>
  </si>
  <si>
    <t xml:space="preserve">KANNAN, BINDU </t>
  </si>
  <si>
    <t>1600 3RD ST APT 209</t>
  </si>
  <si>
    <t>BOTELLO, RICHARD A &amp; KELLY J TTEE et al</t>
  </si>
  <si>
    <t>VILLAGES @ DAMONTE RANCH 13A LT 90 BLK H</t>
  </si>
  <si>
    <t>10085 HAMPTON PARK DR</t>
  </si>
  <si>
    <t xml:space="preserve">MYERS, SHAYNE A  </t>
  </si>
  <si>
    <t xml:space="preserve">10085 HAMPTON PARK DR </t>
  </si>
  <si>
    <t>VILLAGES AT DAMONTE RANCH 13A LT 85 BLK H</t>
  </si>
  <si>
    <t>2250 EVERGREEN PARK DR</t>
  </si>
  <si>
    <t xml:space="preserve">SHELL, BRADLEY S &amp; BRENDA I  </t>
  </si>
  <si>
    <t>PO BOX 856</t>
  </si>
  <si>
    <t xml:space="preserve">VIRGINIA CITY </t>
  </si>
  <si>
    <t>VILLAGES AT DAMONTE RANCH 13A LT 72 BLK G</t>
  </si>
  <si>
    <t>510 SEATTLE SLEW CT</t>
  </si>
  <si>
    <t>DOANE, CAROLYN et al</t>
  </si>
  <si>
    <t xml:space="preserve">510 SEATTLE SLEW CT </t>
  </si>
  <si>
    <t xml:space="preserve">MARCOE, BARBIE L </t>
  </si>
  <si>
    <t>CURTI RANCH 2 UT 5 LT 533</t>
  </si>
  <si>
    <t>520 SEATTLE SLEW CT</t>
  </si>
  <si>
    <t xml:space="preserve">MCMAHON, ERIN M  </t>
  </si>
  <si>
    <t xml:space="preserve">AARSKAUG, MELISSA K </t>
  </si>
  <si>
    <t>CURTI RANCH 2 UT 5 LT 532</t>
  </si>
  <si>
    <t>570 SEATTLE SLEW CT</t>
  </si>
  <si>
    <t>FAENZA, PATRICK et al</t>
  </si>
  <si>
    <t>BAKER MICHON</t>
  </si>
  <si>
    <t xml:space="preserve">MOYLE, GREGORY A &amp; SUSANNE M </t>
  </si>
  <si>
    <t>CURTI RANCH 2 UT 5 LT 527</t>
  </si>
  <si>
    <t>511 BECKFIELD CT</t>
  </si>
  <si>
    <t xml:space="preserve">COURTNEY , CECIL R JR  </t>
  </si>
  <si>
    <t xml:space="preserve">511 BECKFIELD CT </t>
  </si>
  <si>
    <t>CURTI RANCH 2 UT 5 LT 501</t>
  </si>
  <si>
    <t>530 SECRETARIAT CT</t>
  </si>
  <si>
    <t>AYANAM, BALAJI S  et al</t>
  </si>
  <si>
    <t xml:space="preserve">530 SECRETARIAT CT </t>
  </si>
  <si>
    <t>CURTI RANCH 2 UT 5 LT 566</t>
  </si>
  <si>
    <t>511 SECRETARIAT CT</t>
  </si>
  <si>
    <t xml:space="preserve">GREGORY, BRAD W &amp; SUSAN L </t>
  </si>
  <si>
    <t>CURTI RANCH 2 UT 5 LT 552</t>
  </si>
  <si>
    <t>2565 BATON DR</t>
  </si>
  <si>
    <t xml:space="preserve">SUHY, LOUIS R JR &amp; ANNETTE </t>
  </si>
  <si>
    <t xml:space="preserve">WESTMONT, SCOTT A &amp; JODIE </t>
  </si>
  <si>
    <t>DAMONTE RANCH VILLAGE 14-A LT 6</t>
  </si>
  <si>
    <t>2480 BATON DR</t>
  </si>
  <si>
    <t xml:space="preserve">KELLNER, AMBER N &amp; ROY D </t>
  </si>
  <si>
    <t xml:space="preserve">POULTON, JEFF &amp; ANGELA </t>
  </si>
  <si>
    <t>DAMONTE RANCH VILLAGE 14-A LT 21</t>
  </si>
  <si>
    <t>10480 BLOCKADE DR</t>
  </si>
  <si>
    <t xml:space="preserve">JOHNSON, NATHANIEL R &amp; AMANDA B </t>
  </si>
  <si>
    <t xml:space="preserve">JOHNSON, RICHARD J III/MARGARITA M </t>
  </si>
  <si>
    <t>DAMONTE RANCH VILLAGE 14-A LT 24</t>
  </si>
  <si>
    <t>10440 BLOCKADE DR</t>
  </si>
  <si>
    <t xml:space="preserve">DEVLIN, NATHAN  </t>
  </si>
  <si>
    <t xml:space="preserve">10440 BLOCKADE DR </t>
  </si>
  <si>
    <t xml:space="preserve">BARNES TRUST, DARWIN H  </t>
  </si>
  <si>
    <t>DAMONTE RANCH VILLAGE 14A LT 28</t>
  </si>
  <si>
    <t>10461 BLOCKADE DR</t>
  </si>
  <si>
    <t xml:space="preserve">MIRELES, DANIEL </t>
  </si>
  <si>
    <t xml:space="preserve">BOLLINGER, STEVE L </t>
  </si>
  <si>
    <t>DAMONTE RANCH VILLAGE 14-A LT 37</t>
  </si>
  <si>
    <t>10501 BLOCKADE DR</t>
  </si>
  <si>
    <t xml:space="preserve">VILLANUEVA, EDUARDO C &amp; JOANA Y </t>
  </si>
  <si>
    <t xml:space="preserve">KEEN, CASEY W &amp; CHELSEA J </t>
  </si>
  <si>
    <t>DAMONTE RANCH VILLAGE 14-A LT 41</t>
  </si>
  <si>
    <t xml:space="preserve">PURYEAR, JAMES </t>
  </si>
  <si>
    <t>10630 COPPER LAKE DR</t>
  </si>
  <si>
    <t xml:space="preserve">COX, LEANN </t>
  </si>
  <si>
    <t xml:space="preserve">10630 COPPER LAKE DR </t>
  </si>
  <si>
    <t xml:space="preserve">GORDON , LAURA T &amp; WILLIAM M  </t>
  </si>
  <si>
    <t>VILLAGES AT DAMONTE RANCH 15A LT 178 BLK E</t>
  </si>
  <si>
    <t>2560 COUNTRY FALLS LN</t>
  </si>
  <si>
    <t xml:space="preserve">LARMORE, ROBERT D &amp; EUGENIA A  </t>
  </si>
  <si>
    <t xml:space="preserve">GOOD, CHELSEA A </t>
  </si>
  <si>
    <t>VILLAGES AT DAMONTE RANCH 15A LT 4 BLK A</t>
  </si>
  <si>
    <t>2570 COUNTRY FALLS LN</t>
  </si>
  <si>
    <t xml:space="preserve">ROBERTSON, CHARLES J &amp; TAWNYA L </t>
  </si>
  <si>
    <t xml:space="preserve">TURNER, WILLIS W &amp; NORMA M  </t>
  </si>
  <si>
    <t>VILLAGES AT DAMONTE RANCH 15A LT 3 BLK A</t>
  </si>
  <si>
    <t>2289 BIG TRAIL CIR</t>
  </si>
  <si>
    <t xml:space="preserve">STEINGARD REVOCABLE TRUST, CAROL J  </t>
  </si>
  <si>
    <t>PO BOX 140</t>
  </si>
  <si>
    <t>33429</t>
  </si>
  <si>
    <t xml:space="preserve">HERTZ, JUSTIN S &amp; MINDY E </t>
  </si>
  <si>
    <t>VILLAGES AT DAMONTE RANCH 16A LT 102 BLK A</t>
  </si>
  <si>
    <t xml:space="preserve"> BIG TRAIL CIR</t>
  </si>
  <si>
    <t>JARCIK , TERRY JR  et al</t>
  </si>
  <si>
    <t>2281 BIG TRAIL CIR</t>
  </si>
  <si>
    <t xml:space="preserve">LINN, NIKITA J </t>
  </si>
  <si>
    <t>140-351-07</t>
  </si>
  <si>
    <t>VILLAGES AT DAMONTE RANCH 16A LT 106 BLK A</t>
  </si>
  <si>
    <t>2237 BIG TRAIL CIR</t>
  </si>
  <si>
    <t xml:space="preserve">KEYS, JACQUELINE M </t>
  </si>
  <si>
    <t>SOMERVILLE, CHRISTOPHER J et al</t>
  </si>
  <si>
    <t>VILLAGES AT DAMONTE RANCH 16B LT 217</t>
  </si>
  <si>
    <t>2217 RIO LOBO LN</t>
  </si>
  <si>
    <t>MCVAY, NATHANIEL et al</t>
  </si>
  <si>
    <t>YORK AMANDA</t>
  </si>
  <si>
    <t xml:space="preserve">ALDERMAN, ROBERT </t>
  </si>
  <si>
    <t>VILLAGES AT DAMONTE RANCH 16B LT 234</t>
  </si>
  <si>
    <t>2236 BIG TRAIL CIR</t>
  </si>
  <si>
    <t xml:space="preserve">FINEMAN, GREGORY S </t>
  </si>
  <si>
    <t>VILLAGES AT DAMONTE RANCH 16B LT 231</t>
  </si>
  <si>
    <t>2238 BIG TRAIL CIR</t>
  </si>
  <si>
    <t xml:space="preserve">NELSON, EDWARD P </t>
  </si>
  <si>
    <t>2238 BIG TRAIL CT</t>
  </si>
  <si>
    <t xml:space="preserve">BOURDEAU, KELLEY W &amp; ADRIANA S </t>
  </si>
  <si>
    <t>VILLAGES AT DAMONTE RANCH 16B LT 230</t>
  </si>
  <si>
    <t>2359 CLEMENTINE LN</t>
  </si>
  <si>
    <t xml:space="preserve">ROBERTSON, CONNIE L </t>
  </si>
  <si>
    <t xml:space="preserve">GUGLIOTTA, DOMINICK &amp; KATHLEEN </t>
  </si>
  <si>
    <t>VILLAGES AT DAMONTE RANCH 16A LT 142 BLK C</t>
  </si>
  <si>
    <t>2334 CLEMENTINE LN</t>
  </si>
  <si>
    <t>SELLMAN, PETER A  et al</t>
  </si>
  <si>
    <t xml:space="preserve">LARKIN KARIS R </t>
  </si>
  <si>
    <t xml:space="preserve">2334 CLEMENTINE LN </t>
  </si>
  <si>
    <t xml:space="preserve">TSAO, SABINE M </t>
  </si>
  <si>
    <t>VILLAGES AT DAMONTE RANCH 16A LT 145 BLK D</t>
  </si>
  <si>
    <t>2690 ALDER BRIDGE CT</t>
  </si>
  <si>
    <t xml:space="preserve">PAARLBERG, JAMES R &amp; CAITLIN </t>
  </si>
  <si>
    <t xml:space="preserve">DEUTSCH BANK NATIONAL TRUST CO </t>
  </si>
  <si>
    <t>VILLAGES AT DAMONTE RANCH 17A LT 36 BLK F</t>
  </si>
  <si>
    <t>10611 APPLE MILL DR</t>
  </si>
  <si>
    <t xml:space="preserve">MORREY, J JOHN &amp; MARILYN </t>
  </si>
  <si>
    <t>10611 APPLE HILL DR</t>
  </si>
  <si>
    <t xml:space="preserve">HALLE, SHAWN S &amp; WENDY L </t>
  </si>
  <si>
    <t>VILLAGES AT DAMONTE RANCH 17A LT 72 BLK E</t>
  </si>
  <si>
    <t>10635 AUTUMN WALK LN</t>
  </si>
  <si>
    <t xml:space="preserve">ERWIN, MATTHEW W &amp; MALYE M </t>
  </si>
  <si>
    <t>VILLAGES AT DAMONTE RANCH 17A LT 60 BLK C</t>
  </si>
  <si>
    <t>10570 ELM GLEN CT</t>
  </si>
  <si>
    <t xml:space="preserve">WARD, CHAD &amp; TRACEY </t>
  </si>
  <si>
    <t xml:space="preserve">AVERILL, METHINEE </t>
  </si>
  <si>
    <t>VILLAGES AT DAMONTE RANCH 17A LT 50 BLK A</t>
  </si>
  <si>
    <t>10550 ELM GLEN CT</t>
  </si>
  <si>
    <t xml:space="preserve">BANARES, CARMINIA R &amp; RODOLFO C </t>
  </si>
  <si>
    <t xml:space="preserve">NEDDENREIP FAMILY TRUST  </t>
  </si>
  <si>
    <t>VILLAGES AT DAMONTE RANCH 17A LT 51 BLK A</t>
  </si>
  <si>
    <t>10575 AUTUMN WALK CT</t>
  </si>
  <si>
    <t xml:space="preserve">SANDERS, ANDREW J &amp; STEFANIE C  </t>
  </si>
  <si>
    <t xml:space="preserve">CHENNAULT, SUZANNE M </t>
  </si>
  <si>
    <t>VILLAGES AT DAMONTE RANCH 17C LT 155</t>
  </si>
  <si>
    <t>10063 KENTFIELD PL</t>
  </si>
  <si>
    <t>VILLAGES AT DAMONTE RANCH 12B</t>
  </si>
  <si>
    <t>YASMIN TOBARAK</t>
  </si>
  <si>
    <t xml:space="preserve">FREITAS, MICHAEL D &amp; MEGHAN E </t>
  </si>
  <si>
    <t>140-020-48</t>
  </si>
  <si>
    <t>VILLAGES AT DAMONTE RANCH 12B LT 53 BLK A</t>
  </si>
  <si>
    <t>10047 CASCADE FALLS DR</t>
  </si>
  <si>
    <t xml:space="preserve">RAY, DIANE </t>
  </si>
  <si>
    <t>10047 CASCADE FALLS</t>
  </si>
  <si>
    <t>VILLAGES AT DAMONTE RANCH 12B LT 68 BLK B</t>
  </si>
  <si>
    <t>10095 CASCADE FALLS DR</t>
  </si>
  <si>
    <t xml:space="preserve">HAKANSON, BRYAN &amp; LILLIE </t>
  </si>
  <si>
    <t>VILLAGES AT DAMONTE RANCH 12B LT 65 BLK B</t>
  </si>
  <si>
    <t>10050 STONECHASE CT</t>
  </si>
  <si>
    <t xml:space="preserve">TAYLOR, RICHARD S &amp; DENISE M </t>
  </si>
  <si>
    <t>15301 VENTURA BLVD D300</t>
  </si>
  <si>
    <t xml:space="preserve">GIBSON, ERIC F </t>
  </si>
  <si>
    <t>VILLAGES AT DAMONTE RANCH 12B LT 60 BLK B</t>
  </si>
  <si>
    <t>2081 BRITTANY MEADOWS DR</t>
  </si>
  <si>
    <t xml:space="preserve">HISERODT, ROSS J  </t>
  </si>
  <si>
    <t xml:space="preserve">OCAMPO, ROCHELLE </t>
  </si>
  <si>
    <t>VILLAGES AT DAMONTE RANCH 13B LT 102</t>
  </si>
  <si>
    <t>10187 CASCADE FALLS CT</t>
  </si>
  <si>
    <t xml:space="preserve">NELSON, LYNDSAY </t>
  </si>
  <si>
    <t xml:space="preserve">10187 CASCADE FALLS CT </t>
  </si>
  <si>
    <t>VILLAGES AT DAMONTE RANCH 13C LT 209</t>
  </si>
  <si>
    <t>10192 CASCADE FALLS CT</t>
  </si>
  <si>
    <t xml:space="preserve">DOWNUM, ASHLYN </t>
  </si>
  <si>
    <t>VILLAGES AT DAMONTE RANCH 13C LT 206</t>
  </si>
  <si>
    <t>10172 CASCADE FALLS CT</t>
  </si>
  <si>
    <t>RAWLINGS, DESIRAE M et al</t>
  </si>
  <si>
    <t>BECKETT, SARA et al</t>
  </si>
  <si>
    <t>VILLAGES AT DAMONTE RANCH 13C LT 203</t>
  </si>
  <si>
    <t>2165 EAGLE GREENS DR</t>
  </si>
  <si>
    <t>HAVEN, GINGER L  et al</t>
  </si>
  <si>
    <t>VILLAGES AT DAMONTE RANCH 13B  LT 132</t>
  </si>
  <si>
    <t>2155 EAGLE GREENS DR</t>
  </si>
  <si>
    <t xml:space="preserve">SNOWBIRD ASSOCIATES LLC </t>
  </si>
  <si>
    <t>21771 ARRIBA REAL # H</t>
  </si>
  <si>
    <t xml:space="preserve">BOCA RATON               </t>
  </si>
  <si>
    <t>33433</t>
  </si>
  <si>
    <t xml:space="preserve">GUASCH, JEREMY L &amp; WENDI </t>
  </si>
  <si>
    <t>VILLAGES AT DAMONTE RANCH 13B  LT 133</t>
  </si>
  <si>
    <t>10070 EAGLE GREENS CT</t>
  </si>
  <si>
    <t xml:space="preserve">ROEDER, GARY L &amp; CHRISTIN M  </t>
  </si>
  <si>
    <t xml:space="preserve">10070 EAGLE GREENS CT </t>
  </si>
  <si>
    <t>VILLAGES AT DAMONTE RANCH 13B  LT 138</t>
  </si>
  <si>
    <t>10115 BURGHLEY CT</t>
  </si>
  <si>
    <t xml:space="preserve">SOMMERS FAMILY TRUST  </t>
  </si>
  <si>
    <t xml:space="preserve">ROELLE, COLETTE </t>
  </si>
  <si>
    <t>VILLAGES AT DAMONTE RANCH 11A LT 28</t>
  </si>
  <si>
    <t>10135 BURGHLEY CT</t>
  </si>
  <si>
    <t xml:space="preserve">RUDDY, JOHN D &amp; AMANDA </t>
  </si>
  <si>
    <t xml:space="preserve">WALLIS, MICHAEL &amp; VENUS </t>
  </si>
  <si>
    <t>VILLAGES AT DAMONTE RANCH 11A LT 26</t>
  </si>
  <si>
    <t>10060 BURGHLEY LN</t>
  </si>
  <si>
    <t xml:space="preserve">HELSER, KYMBERLY  </t>
  </si>
  <si>
    <t>10060 BURGHLEY</t>
  </si>
  <si>
    <t>VILLAGES AT DAMONTE RANCH 11A LT 14</t>
  </si>
  <si>
    <t>2655 VITORIA CT</t>
  </si>
  <si>
    <t xml:space="preserve">HAAS, MICHAEL &amp; ELIZABETH </t>
  </si>
  <si>
    <t xml:space="preserve">EDWARDS, RICHARD S &amp; SUSAN L </t>
  </si>
  <si>
    <t>VILLAGES AT DAMONTE RANCH 11A LT 50</t>
  </si>
  <si>
    <t>2650 VITORIA CT</t>
  </si>
  <si>
    <t xml:space="preserve">MEILTOFT, ROBIN K </t>
  </si>
  <si>
    <t>VILLAGES AT DAMONTE RANCH 11A LT 46</t>
  </si>
  <si>
    <t>2670 VITORIA CT</t>
  </si>
  <si>
    <t xml:space="preserve">BOTICH FAMILY TRUST, JOHN A &amp; RITA F  </t>
  </si>
  <si>
    <t xml:space="preserve">C/O SUSAN M BOTICH          </t>
  </si>
  <si>
    <t>18636 RIVER WOODS DR</t>
  </si>
  <si>
    <t>BEND</t>
  </si>
  <si>
    <t xml:space="preserve">MASHOUR, DAVID K </t>
  </si>
  <si>
    <t>VILLAGES AT DAMONTE RANCH 11A LT 45</t>
  </si>
  <si>
    <t>2695 FRIESIAN CT</t>
  </si>
  <si>
    <t xml:space="preserve">MUTNAN, ANDREW N &amp; AMY L </t>
  </si>
  <si>
    <t>VILLAGES AT DAMONTE RANCH 11A LT 43</t>
  </si>
  <si>
    <t>9930 BURGHLEY LN</t>
  </si>
  <si>
    <t xml:space="preserve">ALEXANDER, ROBERT M &amp; DEANNA L </t>
  </si>
  <si>
    <t>VILLAGES AT DAMONTE RANCH 11A LT 1</t>
  </si>
  <si>
    <t>2670 FURY CT</t>
  </si>
  <si>
    <t xml:space="preserve">LLOYD, RICHARD L JR </t>
  </si>
  <si>
    <t xml:space="preserve">PERSKY, STEPHEN L &amp; SUZANNE O </t>
  </si>
  <si>
    <t>VILLAGES AT DAMONTE RANCH 11A LT 54</t>
  </si>
  <si>
    <t>10581 BLOCKADE DR</t>
  </si>
  <si>
    <t xml:space="preserve">WALTERS, SONDRA M  </t>
  </si>
  <si>
    <t>10581 BLOCKADE</t>
  </si>
  <si>
    <t>DAMONTE RANCH VILLAGE 14-B LT 101</t>
  </si>
  <si>
    <t>10593 BLOCKADE DR</t>
  </si>
  <si>
    <t xml:space="preserve">PEARSON, EVAN L &amp; CHRISTINA M  </t>
  </si>
  <si>
    <t xml:space="preserve">BERNIER, JEFFREY A &amp; REBECCA C </t>
  </si>
  <si>
    <t>DAMONTE RANCH VILLAGE 14B LT 103</t>
  </si>
  <si>
    <t>10595 BLOCKADE DR</t>
  </si>
  <si>
    <t xml:space="preserve">BUCKLER LIVING TRUST  </t>
  </si>
  <si>
    <t xml:space="preserve">10595 BLOCKADE DR </t>
  </si>
  <si>
    <t xml:space="preserve">BUCKLER, BRAD S &amp; JOAN J  </t>
  </si>
  <si>
    <t>DAMONTE RANCH VILLAGE 14-B LT 104</t>
  </si>
  <si>
    <t>2530 SEVEN PINES CT</t>
  </si>
  <si>
    <t xml:space="preserve">CATTERSON, AUGUSTA &amp; ALAN </t>
  </si>
  <si>
    <t>DAMONTE RANCH VILLAGE 14-B LT 85</t>
  </si>
  <si>
    <t>10540 BLOCKADE DR</t>
  </si>
  <si>
    <t xml:space="preserve">MAYPARK, BRANDON &amp; NICOLE </t>
  </si>
  <si>
    <t xml:space="preserve">O`SULLIVAN, ROGER C &amp; KATHLEEN H  </t>
  </si>
  <si>
    <t>DAMONTE RANCH VILLAGE 14-B LT 92</t>
  </si>
  <si>
    <t>10799 STONE HOLLOW DR</t>
  </si>
  <si>
    <t xml:space="preserve">DONNELLY, MARK T &amp; SUZANNE A  </t>
  </si>
  <si>
    <t xml:space="preserve">10799 STONE HOLLOW DR </t>
  </si>
  <si>
    <t xml:space="preserve">GEORGE, DAMON L </t>
  </si>
  <si>
    <t>VILLAGES AT DAMONTE RANCH 18A LT 111</t>
  </si>
  <si>
    <t>2335 VIRGINIA VISTA DR</t>
  </si>
  <si>
    <t xml:space="preserve">SHOPSHIRE FAMILY REV LIVING TR  </t>
  </si>
  <si>
    <t>P O BOX 17397</t>
  </si>
  <si>
    <t xml:space="preserve">SHOPSHIRE, ROBERT &amp; KATHLEEN </t>
  </si>
  <si>
    <t>VILLAGES AT DAMONTE RANCH 18A LT 104</t>
  </si>
  <si>
    <t>10835 DANCING ASPEN DR</t>
  </si>
  <si>
    <t xml:space="preserve">FARIA, BRIAN M &amp; MARIA T </t>
  </si>
  <si>
    <t>10835 DANCING ASPEN</t>
  </si>
  <si>
    <t>VILLAGES AT DAMONTE RANCH 18A LT 154</t>
  </si>
  <si>
    <t>10823 RUSHING FLUME DR</t>
  </si>
  <si>
    <t>PARMENTER, KAREN M et al</t>
  </si>
  <si>
    <t xml:space="preserve">DEWEESE, MARK D &amp; JULIE M </t>
  </si>
  <si>
    <t>VILLAGES AT DAMONTE RANCH 18A LT 145</t>
  </si>
  <si>
    <t>10831 CROOKED CANYON DR</t>
  </si>
  <si>
    <t xml:space="preserve">CANNON, DEREK &amp; MELINDA </t>
  </si>
  <si>
    <t>PICKENS, MATTHEW et al</t>
  </si>
  <si>
    <t>VILLAGES AT DAMONTE RANCH 18A LT 134</t>
  </si>
  <si>
    <t>10841 CROOKED CANYON DR</t>
  </si>
  <si>
    <t xml:space="preserve">SHUKLA, ALOK &amp; BHAVNA </t>
  </si>
  <si>
    <t xml:space="preserve">HAIL, APRIL N &amp; TODD A </t>
  </si>
  <si>
    <t>VILLAGES AT DAMONTE RANCH 18A LT 133</t>
  </si>
  <si>
    <t>10798 STONE HOLLOW DR</t>
  </si>
  <si>
    <t xml:space="preserve">NARUSEVICIUS, ARUNAS </t>
  </si>
  <si>
    <t>VILLAGES AT DAMONTE RANCH 18A LT 125</t>
  </si>
  <si>
    <t>10772 STONE HOLLOW DR</t>
  </si>
  <si>
    <t xml:space="preserve">KAMINSKI, ROBERT L &amp; DEBORAH D </t>
  </si>
  <si>
    <t>VILLAGES AT DAMONTE RANCH 18A LT 118</t>
  </si>
  <si>
    <t>2330 CLEMENTINE LN</t>
  </si>
  <si>
    <t xml:space="preserve">PEREGRIN, ASHLEY &amp; THOMAS  </t>
  </si>
  <si>
    <t xml:space="preserve">BAYLESS, KIMBERLEE M &amp; RICHARD </t>
  </si>
  <si>
    <t>VILLAGES AT DAMONTE RANCH 16B LT 241</t>
  </si>
  <si>
    <t>2311 CLEMENTINE LN</t>
  </si>
  <si>
    <t xml:space="preserve">HEYWOOD, CORTNEY T </t>
  </si>
  <si>
    <t>VILLAGES AT DAMONTE RANCH 16B LT 239</t>
  </si>
  <si>
    <t>2312 COPPER SPRINGS DR</t>
  </si>
  <si>
    <t xml:space="preserve">LONTOC, JONATHAN R &amp; ROSALINA C  </t>
  </si>
  <si>
    <t>VILLAGES AT DAMONTE RANCH 18B LT 203</t>
  </si>
  <si>
    <t>2336 COPPER SPRINGS DR</t>
  </si>
  <si>
    <t>DUHON, GARY W &amp; FLORENCE L  et al</t>
  </si>
  <si>
    <t>VILLAGES AT DAMONTE RANCH 18B LT 207</t>
  </si>
  <si>
    <t>2342 COPPER SPRINGS DR</t>
  </si>
  <si>
    <t xml:space="preserve">DAHL, ELIZABETH A &amp; BARRY L </t>
  </si>
  <si>
    <t>2342 COPPER SRINGS DR</t>
  </si>
  <si>
    <t xml:space="preserve">OLIVE, ALAN C &amp; VALYNN F </t>
  </si>
  <si>
    <t>VILLAGES AT DAMONTE RANCH 18B LT 208</t>
  </si>
  <si>
    <t>10898 RUSHING FLUME DR</t>
  </si>
  <si>
    <t>21ST CENTURY EVENTS LLC</t>
  </si>
  <si>
    <t>C-TOWN LLC LLC</t>
  </si>
  <si>
    <t>VILLAGES AT DAMONTE RANCH 18B LT 227</t>
  </si>
  <si>
    <t>10860 RUSHING FLUME DR</t>
  </si>
  <si>
    <t xml:space="preserve">WALTON, ROBERT J &amp; JULIE D  </t>
  </si>
  <si>
    <t xml:space="preserve">10860 RUSHING FLUME DR                  </t>
  </si>
  <si>
    <t xml:space="preserve">YAMAMURA, MONTE </t>
  </si>
  <si>
    <t>VILLAGES AT DAMONTE RANCH 18B LT 231</t>
  </si>
  <si>
    <t>10850 RUSHING FLUME DR</t>
  </si>
  <si>
    <t xml:space="preserve">HUPP, SHAWN  </t>
  </si>
  <si>
    <t xml:space="preserve">10850 RUSHING FLUME DR </t>
  </si>
  <si>
    <t>VILLAGES AT DAMONTE RANCH 18B LT232</t>
  </si>
  <si>
    <t>10853 RUSHING FLUME DR</t>
  </si>
  <si>
    <t xml:space="preserve">LARKIN, JESSICA D  </t>
  </si>
  <si>
    <t xml:space="preserve">10853 RUSHING FLUME </t>
  </si>
  <si>
    <t>VILLAGES AT DAMONTE RANCH 18B LT 233</t>
  </si>
  <si>
    <t>10883 RUSHING FLUME DR</t>
  </si>
  <si>
    <t xml:space="preserve">LAXALT, KATHLEEN </t>
  </si>
  <si>
    <t xml:space="preserve">BLAKE, DONNA M </t>
  </si>
  <si>
    <t>VILLAGES AT DAMONTE RANCH 18B LT 236</t>
  </si>
  <si>
    <t>10893 RUSHING FLUME DR</t>
  </si>
  <si>
    <t>SHARMA, RAKESH K &amp; PARVEEN L et al</t>
  </si>
  <si>
    <t>VILLAGES AT DAMONTE RANCH 18B LT 237</t>
  </si>
  <si>
    <t>10865 DANCING ASPEN DR</t>
  </si>
  <si>
    <t xml:space="preserve">CONWAY, JOHN F &amp; KATHLEEN M </t>
  </si>
  <si>
    <t>10865 DANCING ASPEN</t>
  </si>
  <si>
    <t xml:space="preserve">TAYLEN, JOHN E &amp; SUSAN R </t>
  </si>
  <si>
    <t>VILLAGES AT DAMONTE RANCH 18B LT 246</t>
  </si>
  <si>
    <t>10895 DANCING ASPEN DR</t>
  </si>
  <si>
    <t xml:space="preserve">SINGH, SAURABH &amp; NEHA </t>
  </si>
  <si>
    <t>VILLAGES AT DAMONTE RANCH 18B LT 249</t>
  </si>
  <si>
    <t>10891 CROOKED CANYON DR</t>
  </si>
  <si>
    <t>GILREATH, AMANDA  et al</t>
  </si>
  <si>
    <t xml:space="preserve">10891 CROOKED CANYON DR </t>
  </si>
  <si>
    <t xml:space="preserve">MORGAN, JAMIE K </t>
  </si>
  <si>
    <t>VILLAGES AT DAMONTE RANCH 18B LT 226</t>
  </si>
  <si>
    <t>10190 HAMPTON PARK DR</t>
  </si>
  <si>
    <t xml:space="preserve">SMITH, ELYSE M </t>
  </si>
  <si>
    <t xml:space="preserve">LITTLEWOOD, JAMES E </t>
  </si>
  <si>
    <t>VILLAGES AT DAMONTE RANCH 13C LT 259</t>
  </si>
  <si>
    <t>10140 HAMPTON PARK DR</t>
  </si>
  <si>
    <t xml:space="preserve">MESSICK, JASON R &amp; MARIA E B </t>
  </si>
  <si>
    <t xml:space="preserve">10140 HAMPTON PARK DR </t>
  </si>
  <si>
    <t>VILLAGES AT DAMONTE RANCH 13C LT 255</t>
  </si>
  <si>
    <t>2520 COUNTRY FALLS LN</t>
  </si>
  <si>
    <t xml:space="preserve">SOLOMONSON, SANDRA D </t>
  </si>
  <si>
    <t>2520 COUNTRYFALLS LN</t>
  </si>
  <si>
    <t>BLACK , BARBARA E  et al</t>
  </si>
  <si>
    <t>VILLAGES AT DAMONTE RANCH 15B LT 13</t>
  </si>
  <si>
    <t>2540 COUNTRY FALLS LN</t>
  </si>
  <si>
    <t xml:space="preserve">RISTORCELLI REVOCABLE TRUST  </t>
  </si>
  <si>
    <t>393 FRICKE CT</t>
  </si>
  <si>
    <t xml:space="preserve">RISTORCELLI, STEVEN J &amp; MARGARET </t>
  </si>
  <si>
    <t>VILLAGES AT DAMONTE RANCH 15B LT 11</t>
  </si>
  <si>
    <t>10670 CEDAR BEND CT</t>
  </si>
  <si>
    <t xml:space="preserve">SMITH, DAVID </t>
  </si>
  <si>
    <t xml:space="preserve">SALANGUIT, IMELDA M &amp; INGLEBERT S </t>
  </si>
  <si>
    <t>VILLAGES AT DAMONTE RANCH 15B LT 110</t>
  </si>
  <si>
    <t>10640 CEDAR BEND CT</t>
  </si>
  <si>
    <t xml:space="preserve">SMITH, MARSHI L </t>
  </si>
  <si>
    <t xml:space="preserve">CLEVELAND, PHILLIP W </t>
  </si>
  <si>
    <t>VILLAGES AT DAMONTE RANCH 15B LT 107</t>
  </si>
  <si>
    <t>2525 COUNTRY FALLS LN</t>
  </si>
  <si>
    <t xml:space="preserve">PELLETT, THOMAS B &amp; SABRINA M  </t>
  </si>
  <si>
    <t xml:space="preserve">LEBLANC, DOMINIQUE J </t>
  </si>
  <si>
    <t>VILLAGES AT DAMONTE RANCH 15B LT 99</t>
  </si>
  <si>
    <t>10657 FIRE POPPY CIR</t>
  </si>
  <si>
    <t xml:space="preserve">MCNEILL, CASEY J </t>
  </si>
  <si>
    <t>VILLAGES AT DAMONTE RANCH 15B LT 32</t>
  </si>
  <si>
    <t>10677 FIRE POPPY CIR</t>
  </si>
  <si>
    <t xml:space="preserve">HERRMANN, KENNETH G &amp; IDA EDNA </t>
  </si>
  <si>
    <t>VILLAGES AT DAMONTE RANCH 15B LT 22</t>
  </si>
  <si>
    <t>2408 SPRING FLOWER DR</t>
  </si>
  <si>
    <t xml:space="preserve">NUNN, LINDSEY T  </t>
  </si>
  <si>
    <t xml:space="preserve">2408 SPRING FLOWER DR </t>
  </si>
  <si>
    <t xml:space="preserve">PEARSON LIVING TRUST  </t>
  </si>
  <si>
    <t>VILLAGES AT DAMONTE RANCH 15B LT 128</t>
  </si>
  <si>
    <t>2448 SPRING FLOWER DR</t>
  </si>
  <si>
    <t>KWONG, DAVID V et al</t>
  </si>
  <si>
    <t>VILLAGES AT DAMONTE RANCH 15B LT 123</t>
  </si>
  <si>
    <t xml:space="preserve">ALBRIGHT, ERIN L </t>
  </si>
  <si>
    <t>2407 SPRING FLOWER DR</t>
  </si>
  <si>
    <t>VILLAGES AT DAMONTE RANCH 15B LT 173</t>
  </si>
  <si>
    <t>2780 BEACH RIVER DR</t>
  </si>
  <si>
    <t xml:space="preserve">CONDIE FAMILY TRUST, S J   </t>
  </si>
  <si>
    <t xml:space="preserve">2780 BEACH RIVER DR </t>
  </si>
  <si>
    <t xml:space="preserve">HORSTMAN, ROBIN L </t>
  </si>
  <si>
    <t>VILLAGES AT DAMONTE RANCH 17B LT 105</t>
  </si>
  <si>
    <t>10870 SAND HOLLOW CT</t>
  </si>
  <si>
    <t xml:space="preserve">CASSINGHAM FAMILY TRUST  </t>
  </si>
  <si>
    <t>VILLAGES AT DAMONTE RANCH 17B LT 97</t>
  </si>
  <si>
    <t>10810 SAND HOLLOW CT</t>
  </si>
  <si>
    <t xml:space="preserve">PRATOOMSUVARN, ARTHIT &amp; SAVALAK </t>
  </si>
  <si>
    <t xml:space="preserve">10810 SAND HOLLOW CT </t>
  </si>
  <si>
    <t xml:space="preserve">GABRIEL, EDGAR &amp; MELISSA </t>
  </si>
  <si>
    <t>VILLAGES AT DAMONTE RANCH 17B LT 94</t>
  </si>
  <si>
    <t>435 RUFFIAN CT</t>
  </si>
  <si>
    <t xml:space="preserve">GRANGE, STUART D &amp; KIMBERLY A </t>
  </si>
  <si>
    <t>CURTI RANCH 2 UT 6 LT 648</t>
  </si>
  <si>
    <t>425 RUFFIAN CT</t>
  </si>
  <si>
    <t xml:space="preserve">CASTORENA, XAVIER C </t>
  </si>
  <si>
    <t>CURTI RANCH 2 UT 6 LT 647</t>
  </si>
  <si>
    <t>470 CICADA CT</t>
  </si>
  <si>
    <t>CHANA, BARJINDER S et al</t>
  </si>
  <si>
    <t>CHAGGER NARINDER K</t>
  </si>
  <si>
    <t xml:space="preserve">BAILEY, STANELY C &amp; MAYBLE </t>
  </si>
  <si>
    <t>CURTI RANCH 2 UT 6 LT 625</t>
  </si>
  <si>
    <t>480 SYSONBY CT</t>
  </si>
  <si>
    <t xml:space="preserve">CROSSLEY, RACHEL A </t>
  </si>
  <si>
    <t xml:space="preserve">CHERRY FAMILY TRUST  </t>
  </si>
  <si>
    <t>CURTI RANCH 2 UT 6 LT 680</t>
  </si>
  <si>
    <t>491 ALYSHEBA CT</t>
  </si>
  <si>
    <t xml:space="preserve">ABBEY 2004 TRUST, JOHN P  </t>
  </si>
  <si>
    <t>4070 GREENACRE RD</t>
  </si>
  <si>
    <t xml:space="preserve">ABBEY, JOHN P </t>
  </si>
  <si>
    <t>CURTI RANCH 2 UT 6 LT 678</t>
  </si>
  <si>
    <t>430 ALYSHEBA CT</t>
  </si>
  <si>
    <t xml:space="preserve">SERPA, DANIELLE M </t>
  </si>
  <si>
    <t>1130 HIGH CHAPARRAL DR</t>
  </si>
  <si>
    <t>CURTI RANCH 2 UT 6 LT 661</t>
  </si>
  <si>
    <t>485 DARTMOOR CT</t>
  </si>
  <si>
    <t xml:space="preserve">KEWANYAMA , JULIE R &amp; MILLARD A  </t>
  </si>
  <si>
    <t xml:space="preserve">MARTINEZ, JOSE R </t>
  </si>
  <si>
    <t>CURTI RANCH 2 UT 6 LT 737</t>
  </si>
  <si>
    <t>445 DARTMOOR CT</t>
  </si>
  <si>
    <t xml:space="preserve">HARLEY, GARTH H JR </t>
  </si>
  <si>
    <t>CURTI RANCH 2 UT 6 LT 733</t>
  </si>
  <si>
    <t>491 MIESQUE CT</t>
  </si>
  <si>
    <t xml:space="preserve">ROEN, MICHAEL </t>
  </si>
  <si>
    <t>CURTI RANCH 2 UT 6 LT 721</t>
  </si>
  <si>
    <t>450 MIESQUE CT</t>
  </si>
  <si>
    <t xml:space="preserve">M K INC </t>
  </si>
  <si>
    <t>1805 N CARSON ST 362</t>
  </si>
  <si>
    <t>CURTI RANCH 2 UT 6 LT 706</t>
  </si>
  <si>
    <t>615 PASO FINO CT</t>
  </si>
  <si>
    <t xml:space="preserve">COE, JAMIE T &amp; MARIE A </t>
  </si>
  <si>
    <t xml:space="preserve">TURNER, MARK B  </t>
  </si>
  <si>
    <t>CURTI RANCH 2 UT 6 LT 751</t>
  </si>
  <si>
    <t>1863 RESISTOL DR</t>
  </si>
  <si>
    <t xml:space="preserve">ASHBAUGH, JONATHAN N  </t>
  </si>
  <si>
    <t>VILLAGES AT DAMONTE RANCH 20A LT 34</t>
  </si>
  <si>
    <t>1811 STETSON DR</t>
  </si>
  <si>
    <t>VILLAGES AT DAMONTE RANCH 20A LT 198</t>
  </si>
  <si>
    <t>1803 STETSON DR</t>
  </si>
  <si>
    <t xml:space="preserve">GONZALES, ARMANDO JR </t>
  </si>
  <si>
    <t xml:space="preserve">HALLGREN, SEAN  </t>
  </si>
  <si>
    <t>VILLAGES AT DAMONTE RANCH 20A LT 201</t>
  </si>
  <si>
    <t>1801 STETSON DR</t>
  </si>
  <si>
    <t xml:space="preserve">DUNITHAN, KIERSTEN A </t>
  </si>
  <si>
    <t xml:space="preserve">HALLGREN, SABRINA C F  </t>
  </si>
  <si>
    <t>VILLAGES AT DAMONTE RANCH 20A LT 202</t>
  </si>
  <si>
    <t>1828 RESISTOL DR</t>
  </si>
  <si>
    <t>MCGLINN, NATASHA M et al</t>
  </si>
  <si>
    <t>VILLAGES AT DAMONTE RANCH 20A LT 174</t>
  </si>
  <si>
    <t>11034 COLTON DR</t>
  </si>
  <si>
    <t xml:space="preserve">MORGAN , DONALD G  </t>
  </si>
  <si>
    <t xml:space="preserve">11034 COLTON DR </t>
  </si>
  <si>
    <t>VILLAGES AT DAMONTE RANCH 20A LT 53</t>
  </si>
  <si>
    <t>11028 COLTON DR</t>
  </si>
  <si>
    <t>VILLAGES AT DAMONTE RANCH 20A LT 50</t>
  </si>
  <si>
    <t>11023 LAMOUR LN</t>
  </si>
  <si>
    <t xml:space="preserve">RASNER, JACOB S &amp; CHELSEY D </t>
  </si>
  <si>
    <t>VILLAGES AT DAMONTE RANCH 20A LT 7</t>
  </si>
  <si>
    <t>11027 LAMOUR LN</t>
  </si>
  <si>
    <t xml:space="preserve">GURLER TRUST  </t>
  </si>
  <si>
    <t>5420 WILMINGTON CT</t>
  </si>
  <si>
    <t>VILLAGES AT DAMONTE RANCH 20A LT 5</t>
  </si>
  <si>
    <t>11016 COLTON DR</t>
  </si>
  <si>
    <t xml:space="preserve">SMITH, JENNIFER A </t>
  </si>
  <si>
    <t>VERTUCCI, MICHAEL  et al</t>
  </si>
  <si>
    <t>VILLAGES AT DAMONTE RANCH 20A LT 44</t>
  </si>
  <si>
    <t>1875 RESISTOL DR</t>
  </si>
  <si>
    <t xml:space="preserve">MCDONALD, ZACHARY R </t>
  </si>
  <si>
    <t xml:space="preserve">DILORETO FAMILY TRUST, THOMAS &amp; SUSAN  </t>
  </si>
  <si>
    <t>VILLAGES AT DAMONTE RANCH 20A LT 35</t>
  </si>
  <si>
    <t>1875 STETSON DR</t>
  </si>
  <si>
    <t xml:space="preserve">MCELROY, MARCUS </t>
  </si>
  <si>
    <t>VILLAGES AT DAMONTE RANCH 20A LT 190</t>
  </si>
  <si>
    <t>2295 QUAILWOOD DR</t>
  </si>
  <si>
    <t xml:space="preserve">EURE, EDWARD E &amp; CAROL M </t>
  </si>
  <si>
    <t>VILLAGES AT DAMONTE RANCH 19A-1 LT 53</t>
  </si>
  <si>
    <t>2285 QUAILWOOD DR</t>
  </si>
  <si>
    <t xml:space="preserve">BERSCH LIVING TRUST, STEPHEN L &amp; PATRICIA H  </t>
  </si>
  <si>
    <t>P O BOX 19567</t>
  </si>
  <si>
    <t xml:space="preserve">BERSCH, STEPHEN &amp; PATRICIA </t>
  </si>
  <si>
    <t>VILLAGES AT DAMONTE RANCH 19A-1 LT 52</t>
  </si>
  <si>
    <t>10705 CLEAR VISTA DR</t>
  </si>
  <si>
    <t xml:space="preserve">GUINTO FAMILY TRUST  </t>
  </si>
  <si>
    <t>C/O THOMAS &amp; MARISSA M GUINTO</t>
  </si>
  <si>
    <t xml:space="preserve">10705 CLEAR VISTA DR </t>
  </si>
  <si>
    <t>VILLAGES AT DAMONTE RANCH 19A-1 LT 75</t>
  </si>
  <si>
    <t>10715 CLEAR VISTA DR</t>
  </si>
  <si>
    <t xml:space="preserve">SMITH, TRAVIS D &amp; JILL R </t>
  </si>
  <si>
    <t>VILLAGES AT DAMONTE RANCH 19A-1 LT 76</t>
  </si>
  <si>
    <t>10725 CLEAR VISTA DR</t>
  </si>
  <si>
    <t xml:space="preserve">BOYD, GENE R &amp; SARA J </t>
  </si>
  <si>
    <t>VILLAGES AT DAMONTE RANCH 19A-1 LT 77</t>
  </si>
  <si>
    <t>10735 CLEAR VISTA DR</t>
  </si>
  <si>
    <t xml:space="preserve">COWEN, JASON J &amp; KIMBERLY T </t>
  </si>
  <si>
    <t>VILLAGES AT DAMONTE RANCH 19A-1 LT 78</t>
  </si>
  <si>
    <t>10745 CLEAR VISTA DR</t>
  </si>
  <si>
    <t xml:space="preserve">GAWRONSKI, AGATA M </t>
  </si>
  <si>
    <t>VILLAGES AT DAMONTE RANCH 19A-1 LT 79</t>
  </si>
  <si>
    <t>10755 CLEAR VISTA DR</t>
  </si>
  <si>
    <t xml:space="preserve">FRENZEL, NOEL M  </t>
  </si>
  <si>
    <t xml:space="preserve">10755 CLEAR VISTA DR </t>
  </si>
  <si>
    <t>VILLAGES AT DAMONTE RANCH 19A-1 LT 80</t>
  </si>
  <si>
    <t>10750 CLEAR VISTA DR</t>
  </si>
  <si>
    <t xml:space="preserve">BUENO REVOCABLE LIVING TRUST, MARIA P  </t>
  </si>
  <si>
    <t>VILLAGES AT DAMONTE RANCH 19A-1 LT 68</t>
  </si>
  <si>
    <t>10730 CLEAR VISTA DR</t>
  </si>
  <si>
    <t>RAYNER, RYAN J et al</t>
  </si>
  <si>
    <t>HADLEIGH AIMEE</t>
  </si>
  <si>
    <t>VILLAGES AT DAMONTE RANCH 19A-1 LT 70</t>
  </si>
  <si>
    <t>10720 CLEAR VISTA DR</t>
  </si>
  <si>
    <t xml:space="preserve">CULBREATH, CAROLE E </t>
  </si>
  <si>
    <t>VILLAGES AT DAMONTE RANCH 19A-1 LT 71</t>
  </si>
  <si>
    <t>2280 QUAILWOOD DR</t>
  </si>
  <si>
    <t xml:space="preserve">LEWIS, JES A &amp; MELISSA M </t>
  </si>
  <si>
    <t xml:space="preserve">WOOLF, LANCE &amp; JENNIFER </t>
  </si>
  <si>
    <t>VILLAGES AT DAMONTE RANCH 19A-1 LT 74</t>
  </si>
  <si>
    <t>10741 MISTY MEADOWS DR</t>
  </si>
  <si>
    <t xml:space="preserve">TRAVIS, RENEE M </t>
  </si>
  <si>
    <t xml:space="preserve">HULL, KAREN L </t>
  </si>
  <si>
    <t>VILLAGES AT DAMONTE RANCH 19A-1 LT 57</t>
  </si>
  <si>
    <t>10765 CLEAR VISTA DR</t>
  </si>
  <si>
    <t xml:space="preserve">SY, JOSIELYN V  </t>
  </si>
  <si>
    <t>VILLAGES AT DAMONTE RANCH 19A-1 LT 81</t>
  </si>
  <si>
    <t>10775 CLEAR VISTA DR</t>
  </si>
  <si>
    <t xml:space="preserve">REID, ERIC D </t>
  </si>
  <si>
    <t>VILLAGES AT DAMONTE RANCH 19A-1 LT 82</t>
  </si>
  <si>
    <t>10795 CLEAR VISTA DR</t>
  </si>
  <si>
    <t xml:space="preserve">GOODWIN, BILLY J &amp; GAIL A </t>
  </si>
  <si>
    <t>VILLAGES AT DAMONTE RANCH 19A-1 LT 83</t>
  </si>
  <si>
    <t>2240 INDIAN WELLS DR</t>
  </si>
  <si>
    <t>FONDI, MICHAEL E et al</t>
  </si>
  <si>
    <t>2210 ASH CANYON RD</t>
  </si>
  <si>
    <t>VILLAGES AT DAMONTE RANCH 19A-2 LT 24</t>
  </si>
  <si>
    <t>10777 MISTY MEADOWS DR</t>
  </si>
  <si>
    <t xml:space="preserve">EBERLE, DENISE C </t>
  </si>
  <si>
    <t>VILLAGES AT DAMONTE RANCH 19A-1 LT 63</t>
  </si>
  <si>
    <t>10709 GRAYSLAKE DR</t>
  </si>
  <si>
    <t>VILLAGES AT DAMONTE RANCH 19B-1 LT 77</t>
  </si>
  <si>
    <t>10719 GRAYSLAKE DR</t>
  </si>
  <si>
    <t xml:space="preserve">SHAW, JEFFREY </t>
  </si>
  <si>
    <t>ANGRES, JULIAN D  et al</t>
  </si>
  <si>
    <t>VILLAGES AT DAMONTE RANCH 19B-1 LT 74</t>
  </si>
  <si>
    <t>10724 GRAYSLAKE DR</t>
  </si>
  <si>
    <t>VILLAGES AT DAMONTE RANCH 19B-1 LT 142</t>
  </si>
  <si>
    <t>10718 GRAYSLAKE DR</t>
  </si>
  <si>
    <t xml:space="preserve">MURPHY, SHANNON D &amp; JANET E </t>
  </si>
  <si>
    <t>10718 GRANSLAKE DR</t>
  </si>
  <si>
    <t>VILLAGES AT DAMONTE RANCH 19B-1 LT 141</t>
  </si>
  <si>
    <t>10710 GRAYSLAKE DR</t>
  </si>
  <si>
    <t xml:space="preserve">O`KELLY, SANDRA L </t>
  </si>
  <si>
    <t xml:space="preserve">BROWN, MICHAEL S &amp; CHRISTA S </t>
  </si>
  <si>
    <t>VILLAGES AT DAMONTE RANCH 19B-1 LT 139</t>
  </si>
  <si>
    <t>10825 OAKHAVEN DR</t>
  </si>
  <si>
    <t>VILLAGES AT DAMONTE RANCH 19B-1 LT 174</t>
  </si>
  <si>
    <t>10800 OAKHAVEN DR</t>
  </si>
  <si>
    <t xml:space="preserve">MICHAUT REVOCABLE TRUST, DAVID M &amp; RENATE  </t>
  </si>
  <si>
    <t>3651 LAKEVIEW RD</t>
  </si>
  <si>
    <t xml:space="preserve">CUMMINS, RICHARD L JR &amp; AIMEE M </t>
  </si>
  <si>
    <t>VILLAGES AT DAMONTE RANCH 19B-1 LT 179</t>
  </si>
  <si>
    <t>2115 HUNTSDALE DR</t>
  </si>
  <si>
    <t xml:space="preserve">MAMBOURG, DONALD E &amp; JERRY A </t>
  </si>
  <si>
    <t xml:space="preserve">2115 HUNTSDALE DR </t>
  </si>
  <si>
    <t>VILLAGES AT DAMONTE RANCH 19B-1 LT 134</t>
  </si>
  <si>
    <t>2107 HUNTSDALE DR</t>
  </si>
  <si>
    <t>VILLAGES AT DAMONTE RANCH 19B-1 LT 136</t>
  </si>
  <si>
    <t>2103 HUNTSDALE DR</t>
  </si>
  <si>
    <t xml:space="preserve">DURANTE , BARBARA L  </t>
  </si>
  <si>
    <t xml:space="preserve">2103 HUNTSDALE DR </t>
  </si>
  <si>
    <t>DURANTE , BARBARA L  et al</t>
  </si>
  <si>
    <t>VILLAGES AT DAMONTE RANCH 19B-1 LT 137</t>
  </si>
  <si>
    <t>2101 HUNTSDALE DR</t>
  </si>
  <si>
    <t xml:space="preserve">SALAO, GRACE </t>
  </si>
  <si>
    <t xml:space="preserve">2101 HUNTSDALE DR </t>
  </si>
  <si>
    <t xml:space="preserve">HANCOCK, EMILY </t>
  </si>
  <si>
    <t>VILLAGES AT DAMONTE RANCH 19B-1 LT 138</t>
  </si>
  <si>
    <t>2108 HAZELCREST DR</t>
  </si>
  <si>
    <t xml:space="preserve">HYMAN, AYESHA </t>
  </si>
  <si>
    <t>VILLAGES AT DAMONTE RANCH 19B-1 LT 95</t>
  </si>
  <si>
    <t>2112 HAZELCREST DR</t>
  </si>
  <si>
    <t xml:space="preserve">CLUFF, TYLER &amp; SUSAN M </t>
  </si>
  <si>
    <t xml:space="preserve">FREE, GREGORY W </t>
  </si>
  <si>
    <t>VILLAGES AT DAMONTE RANCH 19B-1 LT 96</t>
  </si>
  <si>
    <t>13730 SEABISCUIT DR</t>
  </si>
  <si>
    <t xml:space="preserve">HELLER, CLIFFORD M &amp; DANA D </t>
  </si>
  <si>
    <t xml:space="preserve">LOVE, BERYL W II &amp; WENDY S </t>
  </si>
  <si>
    <t>CURTI RANCH 2 UT 7 LT 815</t>
  </si>
  <si>
    <t>531 MARTINGALE CT</t>
  </si>
  <si>
    <t xml:space="preserve">BLESSING, JILL </t>
  </si>
  <si>
    <t xml:space="preserve">DOOLEY LIVING TRUST  </t>
  </si>
  <si>
    <t>CURTI RANCH 2 UT 7 LT 826</t>
  </si>
  <si>
    <t>13610 CHARISMATIC CT</t>
  </si>
  <si>
    <t>FREY, JOSHUA J  et al</t>
  </si>
  <si>
    <t xml:space="preserve">STARR SARAH B </t>
  </si>
  <si>
    <t xml:space="preserve">13610 CHARISMATIC CT </t>
  </si>
  <si>
    <t xml:space="preserve">SZYMANSKI, JUSTIN M &amp; NICKI M </t>
  </si>
  <si>
    <t>CURTI RANCH 2 UT 7 LT 832</t>
  </si>
  <si>
    <t>475 SILVER BRIDLE CT</t>
  </si>
  <si>
    <t>PETERSEN, ERIK B et al</t>
  </si>
  <si>
    <t>MAHAN MELANIE L</t>
  </si>
  <si>
    <t>CURTI RANCH 2 UT 7 LT 840</t>
  </si>
  <si>
    <t>13735 SEABISCUIT DR</t>
  </si>
  <si>
    <t xml:space="preserve">NESEMEIER, MARCIA L  </t>
  </si>
  <si>
    <t xml:space="preserve">13735 SEABISCUIT DR </t>
  </si>
  <si>
    <t xml:space="preserve">RUNYAN, RICHARD D &amp; LORI M  </t>
  </si>
  <si>
    <t>CURTI RANCH 2 UT 7 LT 862</t>
  </si>
  <si>
    <t>13765 SEABISCUIT DR</t>
  </si>
  <si>
    <t xml:space="preserve">HOLZGREFE, HENRY H &amp; LIDA J </t>
  </si>
  <si>
    <t xml:space="preserve">BARTKUS, VICTOR D &amp; PATRICIA A </t>
  </si>
  <si>
    <t>CURTI RANCH 2 UT 7 LT 865</t>
  </si>
  <si>
    <t>13850 SEABISCUIT DR</t>
  </si>
  <si>
    <t xml:space="preserve">CUMMINGS, WILLIAM P &amp; AMY M </t>
  </si>
  <si>
    <t>CURTI RANCH 2 UT 7 LT 798</t>
  </si>
  <si>
    <t>13830 SEABISCUIT DR</t>
  </si>
  <si>
    <t>STEWART, LUCAS W et al</t>
  </si>
  <si>
    <t xml:space="preserve">ROBERTI, JANICE </t>
  </si>
  <si>
    <t>CURTI RANCH 2 UT 7 LT 800</t>
  </si>
  <si>
    <t>650 EQUINE CT</t>
  </si>
  <si>
    <t xml:space="preserve">STUCKY , DANIEL &amp; ASHLEY </t>
  </si>
  <si>
    <t xml:space="preserve">650 EQUINE CT </t>
  </si>
  <si>
    <t>89531</t>
  </si>
  <si>
    <t xml:space="preserve">SHIPP, RYAN &amp; JULIE  </t>
  </si>
  <si>
    <t>CURTI RANCH 2 UT 7 LT 770</t>
  </si>
  <si>
    <t>485 HALEB CT</t>
  </si>
  <si>
    <t xml:space="preserve">JAQUEZ, GUADALUPE </t>
  </si>
  <si>
    <t xml:space="preserve">485 HALEB CT </t>
  </si>
  <si>
    <t xml:space="preserve">LEPE , HUMBERTO A &amp; ELIZABETH A  </t>
  </si>
  <si>
    <t>CURTI RANCH 2 UT 7 LT 958</t>
  </si>
  <si>
    <t>10810 SERRATINA DR</t>
  </si>
  <si>
    <t xml:space="preserve">BUSTOS, JUSTIN J </t>
  </si>
  <si>
    <t>DAMONTE RANCH VILLAGES 22 LT 44</t>
  </si>
  <si>
    <t>10675 SOLANO CT</t>
  </si>
  <si>
    <t>FREEMAN, NEWTON W et al</t>
  </si>
  <si>
    <t>10730 SERRATINA DR</t>
  </si>
  <si>
    <t>DAMONTE RANCH VILLAGES 22 LT 32</t>
  </si>
  <si>
    <t>10799 CORDERO DR</t>
  </si>
  <si>
    <t>DESAI, RAJEN J  et al</t>
  </si>
  <si>
    <t xml:space="preserve">10799 CORDERO DR </t>
  </si>
  <si>
    <t>DAMONTE RANCH VILLAGES 22 LT 15</t>
  </si>
  <si>
    <t>1800 BRAEMORE DR</t>
  </si>
  <si>
    <t xml:space="preserve">WUNG, GRACE </t>
  </si>
  <si>
    <t>DAMONTE RANCH VILLAGES 22 LT 14</t>
  </si>
  <si>
    <t>10740 CORDERO DR</t>
  </si>
  <si>
    <t xml:space="preserve">VIVEIROS, DANIEL R &amp; PATRICIA A </t>
  </si>
  <si>
    <t>146 CARDINAL RD</t>
  </si>
  <si>
    <t>CRANSTON</t>
  </si>
  <si>
    <t>RI</t>
  </si>
  <si>
    <t>DAMONTE RANCH VILLAGES 22 LT 79</t>
  </si>
  <si>
    <t>1861 BRAEMORE DR</t>
  </si>
  <si>
    <t xml:space="preserve">DAVIS , KAMERON T  </t>
  </si>
  <si>
    <t xml:space="preserve">1861 BRAEMORE DR </t>
  </si>
  <si>
    <t xml:space="preserve">FIORELLO , DINO J &amp; EUGENIA </t>
  </si>
  <si>
    <t>DAMONTE RANCH VILLAGES 22 LT 72</t>
  </si>
  <si>
    <t>10815 SERRATINA DR</t>
  </si>
  <si>
    <t xml:space="preserve">CHAPUT, CATHERINE J </t>
  </si>
  <si>
    <t>DAMONTE RANCH VILLAGES 22 LT 67</t>
  </si>
  <si>
    <t>10920 SERRATINA DR</t>
  </si>
  <si>
    <t xml:space="preserve">GIOMI FAMILY TRUST, RICHARD &amp; MYUNG SOOK  </t>
  </si>
  <si>
    <t xml:space="preserve">10920 SERRATINA DR </t>
  </si>
  <si>
    <t>DAMONTE RANCH VILLAGES 22 LT 55</t>
  </si>
  <si>
    <t>10950 SERRATINA DR</t>
  </si>
  <si>
    <t>ESENARRO, DEBORAH K et al</t>
  </si>
  <si>
    <t>DAMONTE RANCH VILLAGES 22 LT 58</t>
  </si>
  <si>
    <t>14050 TAGOR RD</t>
  </si>
  <si>
    <t xml:space="preserve">REEVES, JUSTIN T  </t>
  </si>
  <si>
    <t>CURTI RANCH 2 UT 8 LT 135</t>
  </si>
  <si>
    <t>14046 TAGOR RD</t>
  </si>
  <si>
    <t xml:space="preserve">14046 TAGOR RD </t>
  </si>
  <si>
    <t>CURTI RANCH 2 UT 8 LT 136</t>
  </si>
  <si>
    <t>14040 TAGOR RD</t>
  </si>
  <si>
    <t xml:space="preserve">CONNOLLY, DAVID J &amp; JENNIFER M  </t>
  </si>
  <si>
    <t xml:space="preserve">LEE, THOMAS E &amp; DEBORAH  </t>
  </si>
  <si>
    <t>CURTI RANCH 2 UT 8 LT 139</t>
  </si>
  <si>
    <t>14020 TAGOR RD</t>
  </si>
  <si>
    <t xml:space="preserve">WOOD, DONALD B </t>
  </si>
  <si>
    <t>14020 TAGOR DR</t>
  </si>
  <si>
    <t>CURTI RANCH 2 UT 8 LT 141</t>
  </si>
  <si>
    <t>400 PARADE CT</t>
  </si>
  <si>
    <t xml:space="preserve">CARLISLE, TABITHA &amp; CHRISTOPHER </t>
  </si>
  <si>
    <t>CURTI RANCH 2 UT 8 LT 101</t>
  </si>
  <si>
    <t>14021 WELSH MOUNTAIN CT</t>
  </si>
  <si>
    <t xml:space="preserve">G &amp; L TRUST  </t>
  </si>
  <si>
    <t>GARY T &amp; LORI R CANEPA TRUSTEE</t>
  </si>
  <si>
    <t>14170 POWDER RIVER DR</t>
  </si>
  <si>
    <t xml:space="preserve">GOLDING REVOCABLE TRUST, MCKENZY &amp; COOPER  </t>
  </si>
  <si>
    <t>CURTI RANCH 2 UT 8 LT 110</t>
  </si>
  <si>
    <t>560 CONNEMARAS CT</t>
  </si>
  <si>
    <t xml:space="preserve">JOHNSON , ZACHARY  </t>
  </si>
  <si>
    <t xml:space="preserve">560 CONNEMARAS CT </t>
  </si>
  <si>
    <t>CURTI RANCH 2 UT 8 LT 953</t>
  </si>
  <si>
    <t>525 CONNEMARAS CT</t>
  </si>
  <si>
    <t xml:space="preserve">BENGSTON, PHILLIP G &amp; ARLENE M </t>
  </si>
  <si>
    <t xml:space="preserve">CANNADY, ALVIN R &amp; MARION </t>
  </si>
  <si>
    <t>CURTI RANCH 2 UT 8 LT 944</t>
  </si>
  <si>
    <t>590 NEEDLES CT</t>
  </si>
  <si>
    <t xml:space="preserve">GOODWIN, CHRISTOPHER M </t>
  </si>
  <si>
    <t xml:space="preserve">ZACCHEO FAMILY TRUST, JAMES D &amp; LISA A  </t>
  </si>
  <si>
    <t>CURTI RANCH 2 UT 8 LT 932</t>
  </si>
  <si>
    <t>521 NEEDLES CT</t>
  </si>
  <si>
    <t xml:space="preserve">MONTROSS, JOHN </t>
  </si>
  <si>
    <t>CULP, MICHAEL et al</t>
  </si>
  <si>
    <t>CURTI RANCH 2 UT 8 LT 920</t>
  </si>
  <si>
    <t>501 NEEDLES CT</t>
  </si>
  <si>
    <t xml:space="preserve">WEBER, THOMAS R </t>
  </si>
  <si>
    <t>CURTI RANCH 2 UT 8 LT 922</t>
  </si>
  <si>
    <t>540 LITTLE SORREL CT</t>
  </si>
  <si>
    <t xml:space="preserve">FETTY, JUSTIN P  </t>
  </si>
  <si>
    <t xml:space="preserve">MCCOLLOUGH, JOSEPH M </t>
  </si>
  <si>
    <t>CURTI RANCH 2 UT 8 LT 903</t>
  </si>
  <si>
    <t>2160 OVERLAND PARK DR</t>
  </si>
  <si>
    <t xml:space="preserve">ESQUIVEL, GUSTAVO &amp; DIANA </t>
  </si>
  <si>
    <t>DAMONTE RANCH VILLAGES 23A LT 99</t>
  </si>
  <si>
    <t>2170 OVERLAND PARK DR</t>
  </si>
  <si>
    <t xml:space="preserve">KUCKHOFF, CRAIG </t>
  </si>
  <si>
    <t xml:space="preserve">2170 OVERLAND PARK DR </t>
  </si>
  <si>
    <t>DAMONTE RANCH VILLAGES 23A LT 98</t>
  </si>
  <si>
    <t>2180 OVERLAND PARK DR</t>
  </si>
  <si>
    <t xml:space="preserve">LOMPA JOINT LIVING TRUST, EDWARD F SR &amp; ANNA J   </t>
  </si>
  <si>
    <t xml:space="preserve">2180 OVERLAND PARK </t>
  </si>
  <si>
    <t>DAMONTE RANCH VILLAGES 23A LT 97</t>
  </si>
  <si>
    <t>2185 OVERLAND PARK DR</t>
  </si>
  <si>
    <t xml:space="preserve">HASTINGS, NANCY </t>
  </si>
  <si>
    <t>DAMONTE RANCH VILLAGES 23A LT 169</t>
  </si>
  <si>
    <t>2145 OVERLAND PARK DR</t>
  </si>
  <si>
    <t xml:space="preserve">MENAHEM, DANIEL </t>
  </si>
  <si>
    <t>2500 WALNUT ST 208</t>
  </si>
  <si>
    <t>DAMONTE RANCH VILLAGES 23A LT 173</t>
  </si>
  <si>
    <t>10696 WASHINGTON PARK DR</t>
  </si>
  <si>
    <t>SIERRA SAGE INVESTMENTS LLC  LLC</t>
  </si>
  <si>
    <t>2365 SOLITUDE DR</t>
  </si>
  <si>
    <t>ANGST, KENNETH D et al</t>
  </si>
  <si>
    <t>DAMONTE RANCH VILLAGES 23A LT 109</t>
  </si>
  <si>
    <t>10672 BRITTANY PARK DR</t>
  </si>
  <si>
    <t>TRAN, STEPHEN et al</t>
  </si>
  <si>
    <t xml:space="preserve">10672 BRITTANY PARK DR </t>
  </si>
  <si>
    <t>DAMONTE RANCH VILLAGES 23A LT 177</t>
  </si>
  <si>
    <t>10660 BRITTANY PARK DR</t>
  </si>
  <si>
    <t>DAMONTE RANCH VILLAGES 23A LT 196</t>
  </si>
  <si>
    <t>10640 BRITTANY PARK DR</t>
  </si>
  <si>
    <t xml:space="preserve">HERNANDEZ, LEE J &amp; NHIT </t>
  </si>
  <si>
    <t>110640 BRITTANY PARK DR</t>
  </si>
  <si>
    <t>DAMONTE RANCH VILLAGES 23A LT 201</t>
  </si>
  <si>
    <t>10691 BRITTANY PARK DR</t>
  </si>
  <si>
    <t xml:space="preserve">KYSER, ARTHUR B </t>
  </si>
  <si>
    <t xml:space="preserve">3522 CROWN POINT DR </t>
  </si>
  <si>
    <t>DAMONTE RANCH VILLAGES 23A LT 4</t>
  </si>
  <si>
    <t>2650 BRENTINA CT</t>
  </si>
  <si>
    <t xml:space="preserve">ENRIQUEZ, ROMMEL M </t>
  </si>
  <si>
    <t>DAMONTE RANCH VILLAGE 11B LT 23</t>
  </si>
  <si>
    <t>2660 BRENTINA CT</t>
  </si>
  <si>
    <t xml:space="preserve">RUSSELL, EDWARD D II &amp; VICTORIA K </t>
  </si>
  <si>
    <t>2660 BRETINA CT</t>
  </si>
  <si>
    <t>DAMONTE RANCH VILLAGE 11B LT 22</t>
  </si>
  <si>
    <t>2655 RELEVANT CT</t>
  </si>
  <si>
    <t xml:space="preserve">POINIER, BRET C &amp; JENNA  </t>
  </si>
  <si>
    <t xml:space="preserve">2655 RELEVANT DR </t>
  </si>
  <si>
    <t>DAMONTE RANCH VILLAGE 11B LT 15</t>
  </si>
  <si>
    <t>2665 WEYMOOR CT</t>
  </si>
  <si>
    <t xml:space="preserve">STEWART, MARK T &amp; MELANIE A </t>
  </si>
  <si>
    <t xml:space="preserve">PRIMACY CLOSING CORP </t>
  </si>
  <si>
    <t>DAMONTE RANCH VILLAGE 11B LT 6</t>
  </si>
  <si>
    <t>2670 WEYMOOR CT</t>
  </si>
  <si>
    <t xml:space="preserve">HUMASON, ROBERT  </t>
  </si>
  <si>
    <t>3983 S MCCARRAN BLVD STE 575</t>
  </si>
  <si>
    <t>DAMONTE RANCH VILLAGE 11B LT 4</t>
  </si>
  <si>
    <t>1700 WIND RANCH RD</t>
  </si>
  <si>
    <t>1700 B WIND RANCH RD</t>
  </si>
  <si>
    <t xml:space="preserve">TURGEON, RONALD &amp; MAUREEN </t>
  </si>
  <si>
    <t>ESPLANADE AT DAMONTE RANCH VLG 24A LT 2</t>
  </si>
  <si>
    <t>1730 DARK HORSE RD</t>
  </si>
  <si>
    <t xml:space="preserve">HAMILTON, GLORIA L </t>
  </si>
  <si>
    <t>1730 C DARK HORSE RD</t>
  </si>
  <si>
    <t>BORDER, KIM B et al</t>
  </si>
  <si>
    <t>608 SAN CONRADO TERRACE  5</t>
  </si>
  <si>
    <t xml:space="preserve">KOWATCH, THOMAS J  </t>
  </si>
  <si>
    <t>1730  A DARK HORSE RD</t>
  </si>
  <si>
    <t>1740 DARK HORSE RD</t>
  </si>
  <si>
    <t xml:space="preserve">WALLIN LIVING TRUST  </t>
  </si>
  <si>
    <t>550 WEST PLUMB LN STE B510</t>
  </si>
  <si>
    <t>89509-3468</t>
  </si>
  <si>
    <t xml:space="preserve">PRUITT, KERI D </t>
  </si>
  <si>
    <t>1740 A DARK HORSE RD</t>
  </si>
  <si>
    <t xml:space="preserve">KNOLL, DAVID C  </t>
  </si>
  <si>
    <t xml:space="preserve">2996 SANTOS LN </t>
  </si>
  <si>
    <t>1775 WIND RANCH RD</t>
  </si>
  <si>
    <t xml:space="preserve">KIRCHER, JOSEPH G &amp; PAULA </t>
  </si>
  <si>
    <t>1331 ANTELOPE VALLEY RD</t>
  </si>
  <si>
    <t xml:space="preserve">BENNETT, CANDYCE </t>
  </si>
  <si>
    <t>1785 WIND RANCH RD</t>
  </si>
  <si>
    <t xml:space="preserve">FLANARY, DESIREE M </t>
  </si>
  <si>
    <t>1785 WIND RANCH RD #C</t>
  </si>
  <si>
    <t xml:space="preserve">RENO LAND &amp; CATTLE LLC </t>
  </si>
  <si>
    <t xml:space="preserve">MIHAYLOV, MARTIN B </t>
  </si>
  <si>
    <t>3492 PAINTED VISTA DR</t>
  </si>
  <si>
    <t xml:space="preserve">CURTI FAMILY TRUST, HAROLD &amp; BARBARA  </t>
  </si>
  <si>
    <t>11046 LAMOUR LN</t>
  </si>
  <si>
    <t>VILLAGES AT DAMONTE RANCH 20B</t>
  </si>
  <si>
    <t xml:space="preserve">ASIBEY-BONSU, JAMES O  </t>
  </si>
  <si>
    <t xml:space="preserve">11046 LAMOUR DR </t>
  </si>
  <si>
    <t>140-020-80</t>
  </si>
  <si>
    <t>VILLAGES AT DAMONTE RANCH 20B LT 125</t>
  </si>
  <si>
    <t>11044 LAMOUR LN</t>
  </si>
  <si>
    <t xml:space="preserve">FRANCE, LAURIE </t>
  </si>
  <si>
    <t xml:space="preserve">11044 LAMOUR LN </t>
  </si>
  <si>
    <t>VILLAGES AT DAMONTE RANCH 20B LT 126</t>
  </si>
  <si>
    <t>11054 LAMOUR LN</t>
  </si>
  <si>
    <t xml:space="preserve">JONES, DAVID A </t>
  </si>
  <si>
    <t>RS 5210 LT 121-B</t>
  </si>
  <si>
    <t>11050 LAMOUR LN</t>
  </si>
  <si>
    <t xml:space="preserve">WESLEY, RICKY </t>
  </si>
  <si>
    <t xml:space="preserve">11050 LAMOUR LN </t>
  </si>
  <si>
    <t>RS 5210 LT 123-B</t>
  </si>
  <si>
    <t>11048 LAMOUR LN</t>
  </si>
  <si>
    <t>OLSON, DEANNA M  et al</t>
  </si>
  <si>
    <t xml:space="preserve">11048 LAMOUR LN </t>
  </si>
  <si>
    <t>RS 5210 LT 124-B</t>
  </si>
  <si>
    <t>11053 LAMOUR LN</t>
  </si>
  <si>
    <t>RS 4924</t>
  </si>
  <si>
    <t xml:space="preserve">RYAN , BARBARA S  </t>
  </si>
  <si>
    <t xml:space="preserve">REYNOLDS LIVING TRUST  </t>
  </si>
  <si>
    <t>140-893-07</t>
  </si>
  <si>
    <t>VILLAGES AT DAMONTE RANCH 20B LT 106 RS 4924</t>
  </si>
  <si>
    <t>11057 LAMOUR LN</t>
  </si>
  <si>
    <t xml:space="preserve">MITCHELL, RONALD A </t>
  </si>
  <si>
    <t>140-893-09</t>
  </si>
  <si>
    <t>VILLAGES AT DAMONTE RANCH 20B LT 104 RS 4924</t>
  </si>
  <si>
    <t>11059 LAMOUR LN</t>
  </si>
  <si>
    <t>SMITH , JOSEPH  et al</t>
  </si>
  <si>
    <t xml:space="preserve">HEALY MARY E </t>
  </si>
  <si>
    <t xml:space="preserve">11059 LAMOUR LN </t>
  </si>
  <si>
    <t xml:space="preserve">HEALY , MARY E  </t>
  </si>
  <si>
    <t>140-893-10</t>
  </si>
  <si>
    <t>VILLAGES AT DAMONTE RANCH 20B LT 103 RS 4924</t>
  </si>
  <si>
    <t>1840 WIND RANCH RD</t>
  </si>
  <si>
    <t>ESPLANADE @ DAMONTE RANCH 24-B</t>
  </si>
  <si>
    <t>NEUBERT, THOMAS L et al</t>
  </si>
  <si>
    <t>1840 B WIND RANCH RD</t>
  </si>
  <si>
    <t>ABAS, CAMILLE C  et al</t>
  </si>
  <si>
    <t>140-870-01</t>
  </si>
  <si>
    <t>ESPLANADE AT DAMONTE RANCH VLG 24-B LT 3 BLK 46</t>
  </si>
  <si>
    <t>1896 WIND RANCH RD</t>
  </si>
  <si>
    <t xml:space="preserve">MORGAN, KAREN </t>
  </si>
  <si>
    <t>1896 B WIND RANCH RD</t>
  </si>
  <si>
    <t>ESPLANADE AT DAMONTE RANCH VLG 24-B LT 3</t>
  </si>
  <si>
    <t>1920 WIND RANCH RD</t>
  </si>
  <si>
    <t xml:space="preserve">TUREK, ROBERT S </t>
  </si>
  <si>
    <t>1920 A WIND RANCH RD</t>
  </si>
  <si>
    <t>1924 WIND RANCH RD</t>
  </si>
  <si>
    <t xml:space="preserve">HENTON, CHAD &amp; JULIE </t>
  </si>
  <si>
    <t>33 HOLYOKE ST UT 1</t>
  </si>
  <si>
    <t xml:space="preserve">ZEBOTT, BRUCE A &amp; SALLY R </t>
  </si>
  <si>
    <t>1924 A WIND RANCH RD</t>
  </si>
  <si>
    <t>ESPLANADE AT DAMONTE RANCH VLG 24-B LT 2</t>
  </si>
  <si>
    <t>1928 WIND RANCH RD</t>
  </si>
  <si>
    <t>RENNER, LA RISA DAWN et al</t>
  </si>
  <si>
    <t xml:space="preserve">1928 B WIND RANCH RD </t>
  </si>
  <si>
    <t xml:space="preserve">PEOPLES, LAURA A </t>
  </si>
  <si>
    <t>1928 A WIND RANCH RD</t>
  </si>
  <si>
    <t>1932 WIND RANCH RD</t>
  </si>
  <si>
    <t xml:space="preserve">MICHAUT TRUST, DAVID M &amp; RENATE  </t>
  </si>
  <si>
    <t>ESPLANADE AT DAMONTE RANCH VLG 24-B LT 3 BLDG 58</t>
  </si>
  <si>
    <t xml:space="preserve">MCCURLEY, JOSHUA D  </t>
  </si>
  <si>
    <t>1932 A WIND RANCH RD</t>
  </si>
  <si>
    <t>1944 WIND RANCH RD</t>
  </si>
  <si>
    <t xml:space="preserve">PHELPS, JARRET M </t>
  </si>
  <si>
    <t>1944 B WIND RANCH RD</t>
  </si>
  <si>
    <t xml:space="preserve">BANYS, ROLANDAS </t>
  </si>
  <si>
    <t xml:space="preserve">1944 A WIND RANCH RD </t>
  </si>
  <si>
    <t>1948 WIND RANCH RD</t>
  </si>
  <si>
    <t>KATZ, LESLIE A et al</t>
  </si>
  <si>
    <t>DAUGHHETEE, JERRY et al</t>
  </si>
  <si>
    <t>1948 A WIND RANCH RD</t>
  </si>
  <si>
    <t>FOSTER, CHRISTINA et al</t>
  </si>
  <si>
    <t>1928 C WIND RANCH RD</t>
  </si>
  <si>
    <t>ESPLANADE AT DAMONTE RANCH VLG 24-B LT 1</t>
  </si>
  <si>
    <t xml:space="preserve">KADLIC, MARIANNE T  </t>
  </si>
  <si>
    <t xml:space="preserve">1932 C WIND RANCH RD </t>
  </si>
  <si>
    <t>WATSON, DIANA C et al</t>
  </si>
  <si>
    <t>1944 C WIND RANCH RD</t>
  </si>
  <si>
    <t xml:space="preserve">WATSON, DIANA C </t>
  </si>
  <si>
    <t>ESPLANADE AT DAMONTE RANCH VLG 24-B LT 1 BLDG 59</t>
  </si>
  <si>
    <t xml:space="preserve">STENDERUP, ERIC P </t>
  </si>
  <si>
    <t>1948 C WIND RANCH RD</t>
  </si>
  <si>
    <t xml:space="preserve"> MESA CORTONA DR</t>
  </si>
  <si>
    <t>DAMONTE RANCH 5 VLG 1 &amp; 2 UT 1</t>
  </si>
  <si>
    <t xml:space="preserve">LP DAMONTE LLC </t>
  </si>
  <si>
    <t>141-010-13</t>
  </si>
  <si>
    <t>DAMONTE RANCH PH 5 VILLAGES 1 &amp; 2 UT 1 LT 57</t>
  </si>
  <si>
    <t>EDFC</t>
  </si>
  <si>
    <t>DAMONTE RANCH PH 5 VILLAGES 1 &amp; 2 UT 1 LT 73</t>
  </si>
  <si>
    <t>DAMONTE RANCH PH 5 VILLAGES 1 &amp; 2 UT 1 LT 72</t>
  </si>
  <si>
    <t xml:space="preserve"> ROLLINS DR</t>
  </si>
  <si>
    <t>DAMONTE RANCH PH 5 VILLAGES 1 &amp; 2 UT 1 LT 128</t>
  </si>
  <si>
    <t>DAMONTE RANCH PH 5 VILLAGES 1 &amp; 2 UT 1 LT 127</t>
  </si>
  <si>
    <t>PM 4280</t>
  </si>
  <si>
    <t>GATEWAY COMPANY L C et al</t>
  </si>
  <si>
    <t>4785 CAUGHLIN PARKWAY</t>
  </si>
  <si>
    <t xml:space="preserve">SOUTH RENO INVESTORS LLC </t>
  </si>
  <si>
    <t>142-011-05</t>
  </si>
  <si>
    <t>PM 4280 LT A</t>
  </si>
  <si>
    <t>ECEC</t>
  </si>
  <si>
    <t xml:space="preserve"> ARROWCREEK PKWY</t>
  </si>
  <si>
    <t>PM 4424</t>
  </si>
  <si>
    <t>142-011-03</t>
  </si>
  <si>
    <t>PM 4424 LT 2</t>
  </si>
  <si>
    <t>940 FLANDERS RD</t>
  </si>
  <si>
    <t xml:space="preserve">FREEMAN, PETER D &amp; WHITNEY B </t>
  </si>
  <si>
    <t xml:space="preserve">BAILEY, MATTHEW B  </t>
  </si>
  <si>
    <t>WHITES CREEK EST 2 LT 8 BLK A</t>
  </si>
  <si>
    <t>16002 GREEN SPRINGS DR</t>
  </si>
  <si>
    <t>PINE TREE RANCH 3</t>
  </si>
  <si>
    <t>GREEN SPRINGS LLC  LLC</t>
  </si>
  <si>
    <t>PO BOX 93418</t>
  </si>
  <si>
    <t>89193</t>
  </si>
  <si>
    <t xml:space="preserve">CLEWETT FAMILY TRUST  </t>
  </si>
  <si>
    <t>049-251-20</t>
  </si>
  <si>
    <t>PINE TREE RANCH 3 LT 1 BLK A</t>
  </si>
  <si>
    <t>11 WISTERIA CT</t>
  </si>
  <si>
    <t>PINE TREE RANCH 6</t>
  </si>
  <si>
    <t xml:space="preserve">BUEHLER, JAMES H </t>
  </si>
  <si>
    <t xml:space="preserve">MURRAY, ROBERT A &amp; PAMELA A </t>
  </si>
  <si>
    <t>049-251-35</t>
  </si>
  <si>
    <t>PINE TREE RANCH 6 LT 7 BLK B</t>
  </si>
  <si>
    <t>FIELDCREEK RANCH 1B</t>
  </si>
  <si>
    <t>142-124-01</t>
  </si>
  <si>
    <t>12680 SILVER WOLF RD</t>
  </si>
  <si>
    <t xml:space="preserve">FOLGNER, DONALD K &amp; JENNIFER M  </t>
  </si>
  <si>
    <t>12680 SILVER WOLF DR</t>
  </si>
  <si>
    <t xml:space="preserve">MINNIX TRUST, PAT &amp; PATTI  </t>
  </si>
  <si>
    <t>142-125-01</t>
  </si>
  <si>
    <t>FIELDCREEK RANCH 1B LT 2 BLK D</t>
  </si>
  <si>
    <t>1299 WOLF RUN RD</t>
  </si>
  <si>
    <t xml:space="preserve">RUMMELL REV LIVING TRUST, LARRY E &amp; KRISTILYNN E  </t>
  </si>
  <si>
    <t xml:space="preserve">RUMMELL, LARRY  &amp; KRISTILYNN </t>
  </si>
  <si>
    <t>142-126-01</t>
  </si>
  <si>
    <t>FIELDCREEK RANCH 1B LT 12 BLK A</t>
  </si>
  <si>
    <t>12695 SILVER WOLF RD</t>
  </si>
  <si>
    <t>VENTURA, MICHAEL et al</t>
  </si>
  <si>
    <t>1160 AIKOO PL</t>
  </si>
  <si>
    <t>PEARL CITY</t>
  </si>
  <si>
    <t>96782</t>
  </si>
  <si>
    <t>FIELDCREEK RANCH 1B LT 15 BLK A</t>
  </si>
  <si>
    <t>1287 WHITE CEDAR CT</t>
  </si>
  <si>
    <t>GALENA MEADOWS 1</t>
  </si>
  <si>
    <t>WANG, XIAOJIE et al</t>
  </si>
  <si>
    <t>YUE TONGLIN</t>
  </si>
  <si>
    <t xml:space="preserve">ANTONITSCH, DIANNE J </t>
  </si>
  <si>
    <t>049-381-39</t>
  </si>
  <si>
    <t>GALENA MEADOWS 1 LT 16 BLK C</t>
  </si>
  <si>
    <t>1285 WHITE CEDAR CT</t>
  </si>
  <si>
    <t xml:space="preserve">CLARK, ROBERT A &amp; SUSAN K </t>
  </si>
  <si>
    <t>GALENA MEADOWS 1 LT 15 BLK C</t>
  </si>
  <si>
    <t>403 SOLITUDE CT</t>
  </si>
  <si>
    <t>LANCER ESTATES 10</t>
  </si>
  <si>
    <t xml:space="preserve">FRICKE, ANTOINETTE </t>
  </si>
  <si>
    <t>18143 NORLENE WAY</t>
  </si>
  <si>
    <t xml:space="preserve">GRASS VALLEY </t>
  </si>
  <si>
    <t>LANCER ESTATES 10 LT 16 BLK C</t>
  </si>
  <si>
    <t>14395 MOUNT SNOW DR</t>
  </si>
  <si>
    <t xml:space="preserve">RAMOS, GARYN E &amp; KIMBERLY A </t>
  </si>
  <si>
    <t>WALBOM, THOMAS A JR et al</t>
  </si>
  <si>
    <t>LANCER ESTATES 10 LT 6 BLK A</t>
  </si>
  <si>
    <t>2355 SOLITUDE DR</t>
  </si>
  <si>
    <t xml:space="preserve">LUTHER, JOHN </t>
  </si>
  <si>
    <t>LANCER EST 10 LT 5 BLK A</t>
  </si>
  <si>
    <t>16155 TANEA DR</t>
  </si>
  <si>
    <t>BEITEL, ALEXANDER G et al</t>
  </si>
  <si>
    <t>BROWN MONA LISA</t>
  </si>
  <si>
    <t xml:space="preserve">GARCIA-BULA, EVELYN </t>
  </si>
  <si>
    <t>GALENA MEADOWS 2 LT 39 BLK A</t>
  </si>
  <si>
    <t>25 TANEA CT</t>
  </si>
  <si>
    <t xml:space="preserve">MURPHY, JON L &amp; CINDY A  </t>
  </si>
  <si>
    <t xml:space="preserve">25 TANEA CT </t>
  </si>
  <si>
    <t xml:space="preserve">COESENS, LARRY D &amp; COLLEEN M </t>
  </si>
  <si>
    <t>GALENA MEADOWS 2 LT 43 BLK B</t>
  </si>
  <si>
    <t>12885 SILVER WOLF RD</t>
  </si>
  <si>
    <t xml:space="preserve">QURAISHI, VALUE &amp; NADEEM </t>
  </si>
  <si>
    <t>12885 SIVER WOLF RD</t>
  </si>
  <si>
    <t>FIELDCREEK RANCH 12A LT 51</t>
  </si>
  <si>
    <t>1215 SPRINGER CT</t>
  </si>
  <si>
    <t xml:space="preserve">WHITEMAN FAMILY TRUST  </t>
  </si>
  <si>
    <t xml:space="preserve">LUPO, HENRY J &amp; JULIE A </t>
  </si>
  <si>
    <t>FIELDCREEK RANCH 12B LT 25</t>
  </si>
  <si>
    <t>1285 SPRINGER CT</t>
  </si>
  <si>
    <t>SHEA, CHRISTOPHER J &amp; JAMIE S et al</t>
  </si>
  <si>
    <t>14050 MOONRISE CT</t>
  </si>
  <si>
    <t>FIELDCREEK RANCH 12B LT 18</t>
  </si>
  <si>
    <t xml:space="preserve"> RAIDER RUN RD</t>
  </si>
  <si>
    <t>FR SEC 30</t>
  </si>
  <si>
    <t xml:space="preserve">MCDANIEL, MARK &amp; AMANDA </t>
  </si>
  <si>
    <t>2620 EMILY ST</t>
  </si>
  <si>
    <t>FR SEC 30 TWP 18 RGE 20 LT 34</t>
  </si>
  <si>
    <t>14405 BIHLER RD</t>
  </si>
  <si>
    <t>U S PATENT</t>
  </si>
  <si>
    <t xml:space="preserve">BLOCK TRUST, FRANK E  </t>
  </si>
  <si>
    <t>14405 BIHLER</t>
  </si>
  <si>
    <t xml:space="preserve">BARING, THOMAS J &amp; THERWANA R </t>
  </si>
  <si>
    <t>GOVERNMENT HOMESITES LT 128 FR SEC 30 TWP 18 RGE 2</t>
  </si>
  <si>
    <t xml:space="preserve"> SPEZIA RD</t>
  </si>
  <si>
    <t>WILKIN, MICHAEL S   et al</t>
  </si>
  <si>
    <t>FERRELL GAIL S</t>
  </si>
  <si>
    <t>14430 SPEZIA RD</t>
  </si>
  <si>
    <t xml:space="preserve">LUKKARI, DANIEL J </t>
  </si>
  <si>
    <t>LT 130 SEC 30 TWP 18 RGE 20</t>
  </si>
  <si>
    <t>4321 CAUGHLIN PKWY</t>
  </si>
  <si>
    <t xml:space="preserve">DOROSTKAR, MASSOUD  </t>
  </si>
  <si>
    <t>SUNRISE AT WHITES CREEK LT 1</t>
  </si>
  <si>
    <t>1075 WHITES CREEK LN</t>
  </si>
  <si>
    <t>COLE, JOHN H  et al</t>
  </si>
  <si>
    <t>HEAVENS BARBARA</t>
  </si>
  <si>
    <t>PO BOX 135</t>
  </si>
  <si>
    <t>96771</t>
  </si>
  <si>
    <t>SUNRISE AT WHITES CREEK LT 4</t>
  </si>
  <si>
    <t>1085 WHITES CREEK LN</t>
  </si>
  <si>
    <t>RS 4552 LT 5A</t>
  </si>
  <si>
    <t>830 WHITES CREEK LN</t>
  </si>
  <si>
    <t>PM 3066</t>
  </si>
  <si>
    <t xml:space="preserve">PARRISH, JASON T </t>
  </si>
  <si>
    <t>PARRISH, JASON T et al</t>
  </si>
  <si>
    <t>PM 3066 FR LT 1   RS 3688</t>
  </si>
  <si>
    <t>16045 RIVER OAKS CT</t>
  </si>
  <si>
    <t>RS 4693</t>
  </si>
  <si>
    <t>CLARK, KAREN A et al</t>
  </si>
  <si>
    <t>SUTHERLAND VERONICA</t>
  </si>
  <si>
    <t xml:space="preserve">BADER, GARY D &amp; LETA K </t>
  </si>
  <si>
    <t>142-281-06</t>
  </si>
  <si>
    <t>RS 4693 LT 19A</t>
  </si>
  <si>
    <t xml:space="preserve"> WEDGE PKWY</t>
  </si>
  <si>
    <t xml:space="preserve">TAYGAN INVESTMENTS LLC </t>
  </si>
  <si>
    <t>2140 W ANATOLE ST</t>
  </si>
  <si>
    <t>83646</t>
  </si>
  <si>
    <t xml:space="preserve">MAY TRUST  </t>
  </si>
  <si>
    <t>FALLEN LEAF @ GALENA CONDO LT 014</t>
  </si>
  <si>
    <t>FALLEN LEAF @ GALENA CONDO LT 015</t>
  </si>
  <si>
    <t xml:space="preserve">DELEHANTY TRUST, JAMES &amp; MARY LOU  </t>
  </si>
  <si>
    <t>17000 WEDGE PKWY # 412</t>
  </si>
  <si>
    <t xml:space="preserve">DELEHANTY, MARY LOU </t>
  </si>
  <si>
    <t>FALLEN LEAF @ GALENA CONDO LT 042</t>
  </si>
  <si>
    <t xml:space="preserve">PALSER, BRANDON S </t>
  </si>
  <si>
    <t>17000 WEDGE PKWY  # 523</t>
  </si>
  <si>
    <t>FALLEN LEAF @ GALENA CONDO LT 057 BLDG 5</t>
  </si>
  <si>
    <t xml:space="preserve">KOJNOK, ROMAN </t>
  </si>
  <si>
    <t>17000 WEDGE PARKWAY # 2122</t>
  </si>
  <si>
    <t xml:space="preserve">MARTINI, TODD A </t>
  </si>
  <si>
    <t>FALLEN LEAF @ GALENA CONDO LT 216</t>
  </si>
  <si>
    <t xml:space="preserve">SOETJE, GEORGE </t>
  </si>
  <si>
    <t>8031 LAKESHORE DR</t>
  </si>
  <si>
    <t>SAGLE</t>
  </si>
  <si>
    <t>83860</t>
  </si>
  <si>
    <t xml:space="preserve">BLANK, MICHAEL </t>
  </si>
  <si>
    <t>FALLEN LEAF @ GALENA CONDO LT 213</t>
  </si>
  <si>
    <t xml:space="preserve">NEILL, CORY J &amp; SHELLEY Y  </t>
  </si>
  <si>
    <t>FALLEN LEAF @ GALENA CONDO LT 196</t>
  </si>
  <si>
    <t xml:space="preserve">PARK, CHARLIE C &amp; HYON JIN </t>
  </si>
  <si>
    <t>17000 WEDGE PKWY 921</t>
  </si>
  <si>
    <t>89511-3225</t>
  </si>
  <si>
    <t>FALLEN LEAF @ GALENA CONDO LT 095</t>
  </si>
  <si>
    <t>BUCHLER, THELMA B et al</t>
  </si>
  <si>
    <t>17000 WEDGE PKY NO 811</t>
  </si>
  <si>
    <t xml:space="preserve">BUCHLER, HOWARD A </t>
  </si>
  <si>
    <t>FALLEN LEAF @ GALENA CONDO LT 081</t>
  </si>
  <si>
    <t>BORRIES, BREANNA  et al</t>
  </si>
  <si>
    <t>17000 WEDGE PKWY UNIT 812</t>
  </si>
  <si>
    <t>FALLEN LEAF @ GALENA CONDO LT 082</t>
  </si>
  <si>
    <t>C/O TAE SIK LEE</t>
  </si>
  <si>
    <t>2652 LAKERIDGE SHORES EAST</t>
  </si>
  <si>
    <t xml:space="preserve">PETRILLA, BRANDON </t>
  </si>
  <si>
    <t>FALLEN LEAF @ GALENA CONDO LT 085</t>
  </si>
  <si>
    <t xml:space="preserve">LINCOLN TRUST COMPANY </t>
  </si>
  <si>
    <t>FBO TIMOTHY KINSINGER</t>
  </si>
  <si>
    <t>PO BOX 173859</t>
  </si>
  <si>
    <t xml:space="preserve">DENVER </t>
  </si>
  <si>
    <t>FALLEN LEAF @ GALENA CONDO LT 072</t>
  </si>
  <si>
    <t xml:space="preserve">IVERSON, CRAIG J &amp; KIMBALL L </t>
  </si>
  <si>
    <t>17000 WEDGE PKWY 725</t>
  </si>
  <si>
    <t xml:space="preserve">CARR, CYNTHIA D </t>
  </si>
  <si>
    <t>FALLEN LEAF @ GALENA CONDO LT 074</t>
  </si>
  <si>
    <t xml:space="preserve">LANGEWAY, JEFFREY </t>
  </si>
  <si>
    <t>17000 WEDGE PKWY # 323</t>
  </si>
  <si>
    <t>FALLEN LEAF @ GALENA CONDO LT 037</t>
  </si>
  <si>
    <t xml:space="preserve">LYNN, DIANNA </t>
  </si>
  <si>
    <t>16985 MOUNTAIN BLUEBIRD DR</t>
  </si>
  <si>
    <t>FALLEN LEAF @ GALENA CONDO LT 345</t>
  </si>
  <si>
    <t xml:space="preserve">ATLAN, ALEXANDRE </t>
  </si>
  <si>
    <t>855 MONROE ST</t>
  </si>
  <si>
    <t>KLEIDOSTY, BRIAN J et al</t>
  </si>
  <si>
    <t>FALLEN LEAF @ GALENA CONDO LT 346</t>
  </si>
  <si>
    <t xml:space="preserve">MANN FAMILY TRUST, DONALD A  </t>
  </si>
  <si>
    <t>15623 WATERLOO CIR</t>
  </si>
  <si>
    <t xml:space="preserve">MANN, DONALD A </t>
  </si>
  <si>
    <t>FALLEN LEAF @ GALENA CONDO LT 255</t>
  </si>
  <si>
    <t>DING, WEI et al</t>
  </si>
  <si>
    <t>17000 WEDGE PARKWAY #2524</t>
  </si>
  <si>
    <t>FALLEN LEAF @ GALENA CONDO LT 253</t>
  </si>
  <si>
    <t xml:space="preserve">WARD, DAVID </t>
  </si>
  <si>
    <t>C/O TIM WARD</t>
  </si>
  <si>
    <t>3345 17TH ST # 8</t>
  </si>
  <si>
    <t xml:space="preserve">MANSFIELD, DAVID L &amp; AUDRA  </t>
  </si>
  <si>
    <t>FALLEN LEAF @ GALENA CONDO LT 241</t>
  </si>
  <si>
    <t xml:space="preserve">DIAZ LIVING TRUST, CONCHA  </t>
  </si>
  <si>
    <t>830 HOLLENBECK</t>
  </si>
  <si>
    <t>WEST COVINA</t>
  </si>
  <si>
    <t>91791</t>
  </si>
  <si>
    <t xml:space="preserve">DIAZ, CONCHA </t>
  </si>
  <si>
    <t>FALLEN LEAF @ GALENA CONDO LT 246</t>
  </si>
  <si>
    <t>GOMEZ, TERESE et al</t>
  </si>
  <si>
    <t>FALLEN LEAF @ GALENA CONDO LT 226</t>
  </si>
  <si>
    <t>17000 WEDGE PKWY # 2624</t>
  </si>
  <si>
    <t xml:space="preserve">BLANK, MICHAEL A </t>
  </si>
  <si>
    <t>FALLEN LEAF @ GALENA CONDO LT 263</t>
  </si>
  <si>
    <t xml:space="preserve">RICO, ELIZABETH A  </t>
  </si>
  <si>
    <t>PO BOX 19083</t>
  </si>
  <si>
    <t xml:space="preserve">TRAMWAY LP </t>
  </si>
  <si>
    <t>FALLEN LEAF @ GALENA CONDO LT 266</t>
  </si>
  <si>
    <t>CHEN, XUEDONG et al</t>
  </si>
  <si>
    <t>YU XIN</t>
  </si>
  <si>
    <t>1665 SILVERTHREAD DR</t>
  </si>
  <si>
    <t>DEW, BRIAN D et al</t>
  </si>
  <si>
    <t>FALLEN LEAF @ GALENA CONDO LT 265</t>
  </si>
  <si>
    <t xml:space="preserve">CHRISTIANSEN, ERIC M </t>
  </si>
  <si>
    <t>17000 WEDGE PKWY # 3211</t>
  </si>
  <si>
    <t xml:space="preserve">WEILAND, MICHAEL J </t>
  </si>
  <si>
    <t>FALLEN LEAF @ GALENA CONDO LT 321</t>
  </si>
  <si>
    <t xml:space="preserve">BAUGHMAN, GERALD &amp; FABIOLA </t>
  </si>
  <si>
    <t>FALLEN LEAF @ GALENA CONDO LT 176</t>
  </si>
  <si>
    <t xml:space="preserve">ATCHISON, GEORGE C &amp; LINDA J </t>
  </si>
  <si>
    <t xml:space="preserve">17000 WEDGE PARKWAY - UT 1724 </t>
  </si>
  <si>
    <t xml:space="preserve">WALKER LIVING TRUST, THOMAS J  </t>
  </si>
  <si>
    <t>FALLEN LEAF @ GALENA CONDO LT 173</t>
  </si>
  <si>
    <t xml:space="preserve">WATT, SUSI D  </t>
  </si>
  <si>
    <t>17000 WEDGE PKWY # 1821</t>
  </si>
  <si>
    <t>FALLEN LEAF @ GALENA CONDO LT 185</t>
  </si>
  <si>
    <t xml:space="preserve">BLACK TRUST, THOMAS F &amp; PATRICIA F  </t>
  </si>
  <si>
    <t>3939 CANYON RD</t>
  </si>
  <si>
    <t>FALLEN LEAF @ GALENA CONDO LT 127</t>
  </si>
  <si>
    <t xml:space="preserve">KENNEDY, STEVEN C &amp; MARY E </t>
  </si>
  <si>
    <t>FALLEN LEAF @ GALENA CONDO LT 135</t>
  </si>
  <si>
    <t>13971 S VIRGINIA ST</t>
  </si>
  <si>
    <t>RS 4766</t>
  </si>
  <si>
    <t>MURR</t>
  </si>
  <si>
    <t xml:space="preserve">POUSTINCHIAN, MOHAMAD &amp; YANGJA K  </t>
  </si>
  <si>
    <t xml:space="preserve">7688 STONE LEAF RD </t>
  </si>
  <si>
    <t xml:space="preserve">TARANTO HOLDINGS LLC </t>
  </si>
  <si>
    <t>RS 4766 LT 1E</t>
  </si>
  <si>
    <t>EAFR</t>
  </si>
  <si>
    <t>3745 BOULDER PATCH</t>
  </si>
  <si>
    <t xml:space="preserve">FORDING LIVING TRUST, RICHARD A &amp; JOANNE M   </t>
  </si>
  <si>
    <t xml:space="preserve">3745 BOULDER PATCH </t>
  </si>
  <si>
    <t>RESERVE AT MONTE ROSA 1 LT 19</t>
  </si>
  <si>
    <t>3955 NATURE TRAIL</t>
  </si>
  <si>
    <t xml:space="preserve">DURINGER FAMILY TRUST  </t>
  </si>
  <si>
    <t>3955 NATURE TRL</t>
  </si>
  <si>
    <t xml:space="preserve">DURINGER, MICHAEL S &amp; SUSAN E </t>
  </si>
  <si>
    <t>RESERVE AT MONTE ROSA 1 LT 31</t>
  </si>
  <si>
    <t>MOUNTAINGATE 1 LT R3 (REMAINDER)</t>
  </si>
  <si>
    <t xml:space="preserve"> ROCK CROSSING DR</t>
  </si>
  <si>
    <t>142-350-09</t>
  </si>
  <si>
    <t>MOUNTAINGATE 1 POR. OF LT R1</t>
  </si>
  <si>
    <t>13470 DAMONTE VIEW LN</t>
  </si>
  <si>
    <t xml:space="preserve">LEOPANDO TRUST, FE B   </t>
  </si>
  <si>
    <t xml:space="preserve">13470 DAMONTE VIEW LN </t>
  </si>
  <si>
    <t>MOUNTAINGATE 1 LT 42</t>
  </si>
  <si>
    <t>13460 DAMONTE VIEW LN</t>
  </si>
  <si>
    <t xml:space="preserve">GLENN, GERARD E JR &amp; ELIZABETH R </t>
  </si>
  <si>
    <t>MOUNTAINGATE 1 LT 41</t>
  </si>
  <si>
    <t>13450 DAMONTE VIEW LN</t>
  </si>
  <si>
    <t xml:space="preserve">WASLEY, GERALD A &amp; REGINA </t>
  </si>
  <si>
    <t>MOUNTAINGATE 1 LT 40</t>
  </si>
  <si>
    <t>13388 CREST VALLEY DR</t>
  </si>
  <si>
    <t xml:space="preserve">MILLER FAMILY TRUST </t>
  </si>
  <si>
    <t>MOUNTAINGATE 1 LT 55</t>
  </si>
  <si>
    <t>13364 CREST VALLEY DR</t>
  </si>
  <si>
    <t xml:space="preserve">JOHNSON, GENEVIEVE G  </t>
  </si>
  <si>
    <t xml:space="preserve">13364 CREST VALLEY DR </t>
  </si>
  <si>
    <t>MOUNTAINGATE 1 LT 52</t>
  </si>
  <si>
    <t>13389 CREST VALLEY DR</t>
  </si>
  <si>
    <t xml:space="preserve">LUPO, HENRY J &amp; JULIE A  </t>
  </si>
  <si>
    <t xml:space="preserve">13389 CREST VALLEY DR </t>
  </si>
  <si>
    <t>MOUNTAINGATE 1 LT 46</t>
  </si>
  <si>
    <t>13301 ARROWSPRINGS DR</t>
  </si>
  <si>
    <t xml:space="preserve">YOUNT FAMILY TRUST, CHRISTOPHER &amp; MARY  </t>
  </si>
  <si>
    <t xml:space="preserve">13301 ARROWSPRINGS DR </t>
  </si>
  <si>
    <t xml:space="preserve">YOUNT, CHRISTOPHER G &amp; MARY E </t>
  </si>
  <si>
    <t>MOUNTAINGATE 1 LT 68</t>
  </si>
  <si>
    <t>565 WHITE QUARTZ DR</t>
  </si>
  <si>
    <t xml:space="preserve">JONES, LARRY L &amp; LYNN M </t>
  </si>
  <si>
    <t xml:space="preserve">MACMILLAN, SCOTT J &amp; JENNIFER L </t>
  </si>
  <si>
    <t>MOUNTAINGATE 1 LT 23</t>
  </si>
  <si>
    <t>MOUNTAINGATE PH2-A1</t>
  </si>
  <si>
    <t>142-350-13</t>
  </si>
  <si>
    <t>MOUNTAINGATE GATE PHASE 2 A-1 LT 228</t>
  </si>
  <si>
    <t>MOUNTAIN GATE PHASE 2 A-1 LT 229</t>
  </si>
  <si>
    <t xml:space="preserve"> ARROWSPRINGS DR</t>
  </si>
  <si>
    <t>142-350-06</t>
  </si>
  <si>
    <t>MOUNTAINGATE PHASE 2-A1 LT 225</t>
  </si>
  <si>
    <t>MOUNTAINGATE PHASE 2-A1 LT 226</t>
  </si>
  <si>
    <t>MOUNTAINGATE PHASE 2-A1 LT 227</t>
  </si>
  <si>
    <t>595 STATE ROUTE 341</t>
  </si>
  <si>
    <t xml:space="preserve">PIONEER PARKWAY HOLDING CO LLC </t>
  </si>
  <si>
    <t>C/O LEWIS OPERATING CORP</t>
  </si>
  <si>
    <t>PIONEER PARKWAY HOLDING CO LLC LLC</t>
  </si>
  <si>
    <t>016-420-04</t>
  </si>
  <si>
    <t>FR NE4 SEC 28 TWP 18 RGE 20</t>
  </si>
  <si>
    <t>11195 MESSINA WAY</t>
  </si>
  <si>
    <t>CARAMELLA RANCH LT 13</t>
  </si>
  <si>
    <t>11335 TORINO WAY</t>
  </si>
  <si>
    <t xml:space="preserve">HARRIS, BRIAN </t>
  </si>
  <si>
    <t xml:space="preserve">DAMICO, PHILIP J &amp; TAMMY T  </t>
  </si>
  <si>
    <t>CARAMELLA RANCH LT 143</t>
  </si>
  <si>
    <t>495 MANCIANO WAY</t>
  </si>
  <si>
    <t xml:space="preserve">ELMORE, STEVE R JR &amp; JESSICA A </t>
  </si>
  <si>
    <t>G CURTI RANCH 1 LT 380</t>
  </si>
  <si>
    <t>485 MANCIANO WAY</t>
  </si>
  <si>
    <t xml:space="preserve">KIKUMOTO, JAMI </t>
  </si>
  <si>
    <t>G CURTI RANCH 1 LT 381</t>
  </si>
  <si>
    <t>475 MANCIANO WAY</t>
  </si>
  <si>
    <t xml:space="preserve">LUPIEN, KAREN L </t>
  </si>
  <si>
    <t>G CURTI RANCH 1 LT 382</t>
  </si>
  <si>
    <t>465 MANCIANO WAY</t>
  </si>
  <si>
    <t xml:space="preserve">SOLFERINO 1989 FAMILY TRUST, TONY A &amp; VINCENZINA   </t>
  </si>
  <si>
    <t xml:space="preserve">465 MANCIANO WAY </t>
  </si>
  <si>
    <t>SOLFERINO, TONY A &amp; VINCENZINA  LLC</t>
  </si>
  <si>
    <t>G CURTI RANCH 1 LT 383</t>
  </si>
  <si>
    <t>455 MANCIANO WAY</t>
  </si>
  <si>
    <t xml:space="preserve">CHOWDHURY, MOHAMMED E  </t>
  </si>
  <si>
    <t>DOA PROP IIIB (KB MODELS) LLC LLC</t>
  </si>
  <si>
    <t>G CURTI RANCH 1 LT 384</t>
  </si>
  <si>
    <t>445 MANCIANO WAY</t>
  </si>
  <si>
    <t xml:space="preserve">SHERIDAN, MATTHEW S &amp; AMY F </t>
  </si>
  <si>
    <t>G CURTI RANCH 1 LT 385</t>
  </si>
  <si>
    <t>435 MANCIANO WAY</t>
  </si>
  <si>
    <t xml:space="preserve">BODENSTEINER, TODD T &amp; AMY C  </t>
  </si>
  <si>
    <t>G CURTI RANCH 1 LT 386</t>
  </si>
  <si>
    <t>425 MANCIANO WAY</t>
  </si>
  <si>
    <t xml:space="preserve">MARTENS, STEVEN A &amp; DAWN H </t>
  </si>
  <si>
    <t xml:space="preserve">MARTENS, DAWN &amp; STEVEN </t>
  </si>
  <si>
    <t>G CURTI RANCH 1 LT 387</t>
  </si>
  <si>
    <t>405 MANCIANO WAY</t>
  </si>
  <si>
    <t xml:space="preserve">ADAMSON, TIFFANY C  </t>
  </si>
  <si>
    <t>G CURTI RANCH 1 LT 389</t>
  </si>
  <si>
    <t>435 SONDRIO CT</t>
  </si>
  <si>
    <t xml:space="preserve">SPROSS, CHRISTIAN &amp; LOUISE A </t>
  </si>
  <si>
    <t xml:space="preserve">435 SONDRIO CT                          </t>
  </si>
  <si>
    <t>G CURTI RANCH 1 LT 347</t>
  </si>
  <si>
    <t>480 TERAMO CT</t>
  </si>
  <si>
    <t xml:space="preserve">ALLIED NEVADA GOLD CORP </t>
  </si>
  <si>
    <t>9790 GATEWAY DR 200</t>
  </si>
  <si>
    <t>G CURTI RANCH 1 LT 353</t>
  </si>
  <si>
    <t xml:space="preserve"> TERAMO CT</t>
  </si>
  <si>
    <t xml:space="preserve">G CURTI RNCH &amp; CARAMELLA RNCH, LANDSCAPE MAINT ASSOC INC </t>
  </si>
  <si>
    <t>C/O ASSOCIATED MANAGEMENT INC</t>
  </si>
  <si>
    <t>5955 TYRONE ROD STE 1</t>
  </si>
  <si>
    <t>G CURTI RANCH 1 CA D</t>
  </si>
  <si>
    <t>EDVV</t>
  </si>
  <si>
    <t>420 MANCIANO WAY</t>
  </si>
  <si>
    <t xml:space="preserve">LASTER, ERIC &amp; ERIN </t>
  </si>
  <si>
    <t>G CURTI RANCH 1 LT 378</t>
  </si>
  <si>
    <t>430 MANCIANO WAY</t>
  </si>
  <si>
    <t xml:space="preserve">NEVARES, MICHAEL A &amp; EMMA </t>
  </si>
  <si>
    <t>NEVARES, MICHAEL A  et al</t>
  </si>
  <si>
    <t>G CURTI RANCH 1 LT 377</t>
  </si>
  <si>
    <t>440 MANCIANO WAY</t>
  </si>
  <si>
    <t xml:space="preserve">TILTON, MICHAEL D </t>
  </si>
  <si>
    <t xml:space="preserve">440 MANCIANO WAY </t>
  </si>
  <si>
    <t>G CURTI RANCH 1 LT 376</t>
  </si>
  <si>
    <t>460 MANCIANO WAY</t>
  </si>
  <si>
    <t xml:space="preserve">LENTON, RICHARD S &amp; MELANIE S </t>
  </si>
  <si>
    <t>G CURTI RANCH 1 LT 374</t>
  </si>
  <si>
    <t>480 MANCIANO WAY</t>
  </si>
  <si>
    <t xml:space="preserve">GUZMAN, CHRISTOPHER &amp; ANDREA  </t>
  </si>
  <si>
    <t>G CURTI RANCH 1 LT 372</t>
  </si>
  <si>
    <t>490 MANCIANO WAY</t>
  </si>
  <si>
    <t xml:space="preserve">OVESON, JASON &amp; PATRICIA J </t>
  </si>
  <si>
    <t xml:space="preserve">OVESON, JASON </t>
  </si>
  <si>
    <t>G CURTI RANCH 1 LT 371</t>
  </si>
  <si>
    <t>465 PESARO WAY</t>
  </si>
  <si>
    <t xml:space="preserve">FAITLIN, BORRIS &amp; ORLY  </t>
  </si>
  <si>
    <t>G CURTI RANCH 1 LT 334</t>
  </si>
  <si>
    <t>455 PESARO WAY</t>
  </si>
  <si>
    <t xml:space="preserve">KOBANY, ELENA </t>
  </si>
  <si>
    <t>G CURTI RANCH 1 LT 333</t>
  </si>
  <si>
    <t>590 VERELLI CT</t>
  </si>
  <si>
    <t xml:space="preserve">PASCOE, MICHAEL J &amp; CRYSTAL D  </t>
  </si>
  <si>
    <t xml:space="preserve">590 VERELLI CT </t>
  </si>
  <si>
    <t>G CURTI RANCH 1 LT 191</t>
  </si>
  <si>
    <t>599 VERELLI CT</t>
  </si>
  <si>
    <t>VIJAYARAGHAVAN, ANAND et al</t>
  </si>
  <si>
    <t>G CURTI RANCH 1 LT 190</t>
  </si>
  <si>
    <t>597 VERELLI CT</t>
  </si>
  <si>
    <t xml:space="preserve">HONG, SON Y &amp; KYONG Y </t>
  </si>
  <si>
    <t>G CURTI RANCH 1 LT 189</t>
  </si>
  <si>
    <t>595 VERELLI CT</t>
  </si>
  <si>
    <t xml:space="preserve">ULLESEIT, DIANE  </t>
  </si>
  <si>
    <t xml:space="preserve">595 VERELLI CT </t>
  </si>
  <si>
    <t>G CURTI RANCH 1 LT 188</t>
  </si>
  <si>
    <t>585 VERELLI CT</t>
  </si>
  <si>
    <t xml:space="preserve">ROUTSON, DEBORA L </t>
  </si>
  <si>
    <t>G CURTI RANCH 1 LT 187</t>
  </si>
  <si>
    <t>575 VERELLI CT</t>
  </si>
  <si>
    <t xml:space="preserve">GLANTZ, LEISA K  </t>
  </si>
  <si>
    <t xml:space="preserve">575 VERELLI CT </t>
  </si>
  <si>
    <t>G CURTI RANCH 1 LT 186</t>
  </si>
  <si>
    <t>565 VERELLI CT</t>
  </si>
  <si>
    <t xml:space="preserve">BENNINGTON, RICHARD P &amp; MARY C </t>
  </si>
  <si>
    <t>G CURTI RANCH 1 LT 185</t>
  </si>
  <si>
    <t>555 VERELLI CT</t>
  </si>
  <si>
    <t xml:space="preserve">RUSSELL, KEVIN &amp; SHEENA </t>
  </si>
  <si>
    <t>G CURTI RANCH 1 LT 184</t>
  </si>
  <si>
    <t>545 VERELLI CT</t>
  </si>
  <si>
    <t xml:space="preserve">MI, MENGJIAO </t>
  </si>
  <si>
    <t>UNR</t>
  </si>
  <si>
    <t>G CURTI RANCH 1 LT 183</t>
  </si>
  <si>
    <t>535 VERELLI CT</t>
  </si>
  <si>
    <t xml:space="preserve">CRUZ, ANTHONY P D </t>
  </si>
  <si>
    <t>G CURTI RANCH 1 LT 182</t>
  </si>
  <si>
    <t>525 VERELLI CT</t>
  </si>
  <si>
    <t xml:space="preserve">GALIGUIS, KRISTIAN &amp; JOAN I </t>
  </si>
  <si>
    <t xml:space="preserve">P O BOX 1010 </t>
  </si>
  <si>
    <t xml:space="preserve">MARINA </t>
  </si>
  <si>
    <t>93933</t>
  </si>
  <si>
    <t xml:space="preserve">GALIGUIS, KRISTIAN &amp; JOAN  </t>
  </si>
  <si>
    <t>G CURTI RANCH 1 LT 181</t>
  </si>
  <si>
    <t>515 VERELLI CT</t>
  </si>
  <si>
    <t xml:space="preserve">BEATTIE, COREY &amp; JEANNA </t>
  </si>
  <si>
    <t>G CURTI RANCH 1 LT 180</t>
  </si>
  <si>
    <t>505 VERELLI CT</t>
  </si>
  <si>
    <t xml:space="preserve">RUCKMAN, AMIE M &amp; JASON  </t>
  </si>
  <si>
    <t xml:space="preserve">505 VERELLI CT </t>
  </si>
  <si>
    <t>G CURTI RANCH 1 LT 179</t>
  </si>
  <si>
    <t xml:space="preserve"> PESARO WAY</t>
  </si>
  <si>
    <t>G CURTI RANCH 1 CA A</t>
  </si>
  <si>
    <t>11410 CERVINO DR</t>
  </si>
  <si>
    <t xml:space="preserve">HAMER - 2000 TRUST, JOHN &amp; LINDA  </t>
  </si>
  <si>
    <t>PO BOX 1086</t>
  </si>
  <si>
    <t>G CURTI RANCH 1 LT 226</t>
  </si>
  <si>
    <t>11400 CERVINO DR</t>
  </si>
  <si>
    <t xml:space="preserve">VARON, STEVEN T &amp; CARLA A  </t>
  </si>
  <si>
    <t>GUNDLACH, RONALD et al</t>
  </si>
  <si>
    <t>G CURTI RANCH 1 LT 225</t>
  </si>
  <si>
    <t>500 PESARO WAY</t>
  </si>
  <si>
    <t>G CURTI RANCH 1 LT 211</t>
  </si>
  <si>
    <t>510 PESARO WAY</t>
  </si>
  <si>
    <t xml:space="preserve">VENUGOPALAN, BALAJI </t>
  </si>
  <si>
    <t xml:space="preserve">510 PESARO WAY </t>
  </si>
  <si>
    <t>G CURTI RANCH 1 LT 210</t>
  </si>
  <si>
    <t>G CURTI RANCH 1 CA B</t>
  </si>
  <si>
    <t>400 STRADELLA CT</t>
  </si>
  <si>
    <t xml:space="preserve">RIPPEE, LUKE M </t>
  </si>
  <si>
    <t>JONES , AISHA T  et al</t>
  </si>
  <si>
    <t>G CURTI RANCH 1 LT 243</t>
  </si>
  <si>
    <t>405 STRADELLA CT</t>
  </si>
  <si>
    <t>DUHON, GARY W &amp; FLORENCE L V et al</t>
  </si>
  <si>
    <t xml:space="preserve">MOORE, ROBERT L &amp; KELLI </t>
  </si>
  <si>
    <t>G CURTI RANCH 1 LT 262</t>
  </si>
  <si>
    <t xml:space="preserve"> CERVINO DR</t>
  </si>
  <si>
    <t>G CURTI RANCH 1 CA C</t>
  </si>
  <si>
    <t>11420 CERVINO DR</t>
  </si>
  <si>
    <t xml:space="preserve">KIELY, DANIEL &amp; COURTNEY  </t>
  </si>
  <si>
    <t xml:space="preserve">11420 CERVINO DR </t>
  </si>
  <si>
    <t>G CURTI RANCH 1 LT 227</t>
  </si>
  <si>
    <t>485 CORTONO DR</t>
  </si>
  <si>
    <t xml:space="preserve">BRIZUELA, HENRY A  </t>
  </si>
  <si>
    <t xml:space="preserve">485 CORTANO DR </t>
  </si>
  <si>
    <t>G CURTI RANCH 1 LT 287</t>
  </si>
  <si>
    <t>365 MANCIANO WAY</t>
  </si>
  <si>
    <t xml:space="preserve">MITCHELL LIVING TRUST, K  </t>
  </si>
  <si>
    <t>G CURTI RANCH UT 3 LT 601</t>
  </si>
  <si>
    <t>355 MANCIANO WAY</t>
  </si>
  <si>
    <t>ENTRUST HAWAII INC  FBO</t>
  </si>
  <si>
    <t>ENTRUST NEW DIRECTION IRA INC</t>
  </si>
  <si>
    <t>90027-1657</t>
  </si>
  <si>
    <t>G CURTI RANCH UT 3 LT 602</t>
  </si>
  <si>
    <t>345 MANCIANO WAY</t>
  </si>
  <si>
    <t>WHITE, ROBERT E JR et al</t>
  </si>
  <si>
    <t>G CURTI RANCH UT 3 LT 603</t>
  </si>
  <si>
    <t>335 MANCIANO WAY</t>
  </si>
  <si>
    <t xml:space="preserve">MARTINEZ, CASSANDRA S &amp; OLIVER </t>
  </si>
  <si>
    <t>G CURTI RANCH UT 3 LT 604</t>
  </si>
  <si>
    <t>325 MANCIANO WAY</t>
  </si>
  <si>
    <t>STATHOS, JAMES G  et al</t>
  </si>
  <si>
    <t xml:space="preserve">925 N 5TH ST </t>
  </si>
  <si>
    <t xml:space="preserve">GROVER BEACH </t>
  </si>
  <si>
    <t>93433</t>
  </si>
  <si>
    <t>G CURTI RANCH UT 3 LT 605</t>
  </si>
  <si>
    <t>380 MANCIANO WAY</t>
  </si>
  <si>
    <t xml:space="preserve">ESTEVEZ, SALLY A  </t>
  </si>
  <si>
    <t>G CURTI RANCH 2 LT 394</t>
  </si>
  <si>
    <t>330 MANCIANO WAY</t>
  </si>
  <si>
    <t>REYES, MARIA R et al</t>
  </si>
  <si>
    <t>G CURTI RANCH UT 3 LT 597</t>
  </si>
  <si>
    <t>340 MANCIANO WAY</t>
  </si>
  <si>
    <t xml:space="preserve">SPRAGGINS, BRANDON &amp; CHRYSTAL </t>
  </si>
  <si>
    <t>G CURTI RANCH UT 3 LT 598</t>
  </si>
  <si>
    <t>350 MANCIANO WAY</t>
  </si>
  <si>
    <t xml:space="preserve">DEANGELO, JAMES J &amp; HEIDI N </t>
  </si>
  <si>
    <t>G CURTI RANCH UT 3 LT 599</t>
  </si>
  <si>
    <t>360 MANCIANO WAY</t>
  </si>
  <si>
    <t xml:space="preserve">SMITH, JASON &amp; SANDRA  </t>
  </si>
  <si>
    <t>G CURTI RANCH UT 3 LT 600</t>
  </si>
  <si>
    <t>325 SONDRIO WAY</t>
  </si>
  <si>
    <t xml:space="preserve">CODY, DONNA L </t>
  </si>
  <si>
    <t>G CURTI RANCH 2 LT 420</t>
  </si>
  <si>
    <t>395 PESARO WAY</t>
  </si>
  <si>
    <t>HANSELMAN, JUSTIN E et al</t>
  </si>
  <si>
    <t>G CURTI RANCH 2 LT 431</t>
  </si>
  <si>
    <t>385 PESARO WAY</t>
  </si>
  <si>
    <t>ZHU, MEIHONG et al</t>
  </si>
  <si>
    <t>AN CHANGLONG</t>
  </si>
  <si>
    <t>G CURTI RANCH 2 LT 432</t>
  </si>
  <si>
    <t>375 PESARO WAY</t>
  </si>
  <si>
    <t xml:space="preserve">MAR LIVING TRUST  </t>
  </si>
  <si>
    <t>MARGARET N CARRIGAN TRUSTEE</t>
  </si>
  <si>
    <t xml:space="preserve">CARRIGAN, MARGARET </t>
  </si>
  <si>
    <t>G CURTI RANCH 2 LT 433</t>
  </si>
  <si>
    <t>365 PESARO WAY</t>
  </si>
  <si>
    <t xml:space="preserve">PURVIS, TARA L  </t>
  </si>
  <si>
    <t xml:space="preserve">365 PESARO WAY </t>
  </si>
  <si>
    <t>G CURTI RANCH 2 LT 434</t>
  </si>
  <si>
    <t>355 PESARO WAY</t>
  </si>
  <si>
    <t xml:space="preserve">CHEN, CHIH-CHUNG &amp; WU-YANG  </t>
  </si>
  <si>
    <t>G CURTI RANCH 2 LT 435</t>
  </si>
  <si>
    <t>345 PESARO WAY</t>
  </si>
  <si>
    <t xml:space="preserve">KITCHEN, JOHN B &amp; GLYNIS </t>
  </si>
  <si>
    <t>G CURTI RANCH 2 LT 436</t>
  </si>
  <si>
    <t>335 PESARO WAY</t>
  </si>
  <si>
    <t xml:space="preserve">CHIRIBOGA, DESTINY &amp; CAMILO </t>
  </si>
  <si>
    <t>G CURTI RANCH 2 LT 437</t>
  </si>
  <si>
    <t>325 PESARO WAY</t>
  </si>
  <si>
    <t xml:space="preserve">WOODS , JULIE A  </t>
  </si>
  <si>
    <t xml:space="preserve">325 PESARO WAY </t>
  </si>
  <si>
    <t>G CURTI RANCH 2 LT 438</t>
  </si>
  <si>
    <t>315 PESARO WAY</t>
  </si>
  <si>
    <t>LINCOLN, MATTHEW C et al</t>
  </si>
  <si>
    <t>G CURTI RANCH 2 LT 439</t>
  </si>
  <si>
    <t>310 PESARO WAY</t>
  </si>
  <si>
    <t xml:space="preserve">TRIUMPH, IMEL B </t>
  </si>
  <si>
    <t>G CURTI RANCH 2 LT 440</t>
  </si>
  <si>
    <t>320 PESARO WAY</t>
  </si>
  <si>
    <t>SEFCHICK, SOPHIA M et al</t>
  </si>
  <si>
    <t>G CURTI RANCH 2 LT 441</t>
  </si>
  <si>
    <t>330 PESARO WAY</t>
  </si>
  <si>
    <t>CHINTAM, RAJ G et al</t>
  </si>
  <si>
    <t>G CURTI RANCH 2 LT 442</t>
  </si>
  <si>
    <t>340 PESARO WAY</t>
  </si>
  <si>
    <t xml:space="preserve">CAYANAN, PEPITO D &amp; MELIZA P </t>
  </si>
  <si>
    <t>G CURTI RANCH 2 LT 443</t>
  </si>
  <si>
    <t>350 PESARO WAY</t>
  </si>
  <si>
    <t xml:space="preserve">JOLLEY, ERIKA K &amp; DAMOND P </t>
  </si>
  <si>
    <t xml:space="preserve">350 PESARO WAY </t>
  </si>
  <si>
    <t>G CURTI RANCH 2 LT 444</t>
  </si>
  <si>
    <t>360 PESARO WAY</t>
  </si>
  <si>
    <t xml:space="preserve">DAYTON, DAVID B </t>
  </si>
  <si>
    <t>PO BOX 3715</t>
  </si>
  <si>
    <t>G CURTI RANCH 2 LT 445</t>
  </si>
  <si>
    <t>380 PESARO WAY</t>
  </si>
  <si>
    <t xml:space="preserve">HALL, DALLAS L &amp; JENNIFER L </t>
  </si>
  <si>
    <t>G CURTI RANCH 2 LT 447</t>
  </si>
  <si>
    <t>390 PESARO WAY</t>
  </si>
  <si>
    <t xml:space="preserve">RUSU, ELENA R  </t>
  </si>
  <si>
    <t>G CURTI RANCH 2 LT 448</t>
  </si>
  <si>
    <t>440 PESARO WAY</t>
  </si>
  <si>
    <t xml:space="preserve">LINE, ANA A </t>
  </si>
  <si>
    <t>G CURTI RANCH 2 LT 453</t>
  </si>
  <si>
    <t>450 PESARO WAY</t>
  </si>
  <si>
    <t xml:space="preserve">MANTINI, CONSTANCE B  </t>
  </si>
  <si>
    <t>G CURTI RANCH 2 LT 454</t>
  </si>
  <si>
    <t>490 PESARO WAY</t>
  </si>
  <si>
    <t xml:space="preserve">MILLS, MELVIN G  </t>
  </si>
  <si>
    <t>G CURTI RANCH 2 LT 455</t>
  </si>
  <si>
    <t>405 TERRACINA WAY</t>
  </si>
  <si>
    <t xml:space="preserve">ROSA, JOSEPH </t>
  </si>
  <si>
    <t>G CURTI RANCH 2 LT 465</t>
  </si>
  <si>
    <t>G CURTI RANCH 2 LT 466</t>
  </si>
  <si>
    <t>385 TERRACINA WAY</t>
  </si>
  <si>
    <t xml:space="preserve">GORIN , SEAN &amp; ANDREA </t>
  </si>
  <si>
    <t xml:space="preserve">385 TERRACINA WAY </t>
  </si>
  <si>
    <t>G CURTI RANCH 2 LT 467</t>
  </si>
  <si>
    <t>375 TERRACINA WAY</t>
  </si>
  <si>
    <t xml:space="preserve">MCGINNESS, BRETT M &amp; SARA R  </t>
  </si>
  <si>
    <t xml:space="preserve">375 TERRACINA WAY </t>
  </si>
  <si>
    <t>G CURTI RANCH 2 LT 468</t>
  </si>
  <si>
    <t>365 TERRACINA WAY</t>
  </si>
  <si>
    <t>THOMSEN, TERI L  et al</t>
  </si>
  <si>
    <t xml:space="preserve">365 TERRACINA WAY </t>
  </si>
  <si>
    <t>G CURTI RANCH 2 LT 469</t>
  </si>
  <si>
    <t>370 TERRACINA WAY</t>
  </si>
  <si>
    <t xml:space="preserve">HELTERBRIDLE, BRUCE E &amp; MELODY K  </t>
  </si>
  <si>
    <t xml:space="preserve">370 TERRACINA WAY </t>
  </si>
  <si>
    <t>G CURTI RANCH 2 LT 470</t>
  </si>
  <si>
    <t>380 TERRACINA WAY</t>
  </si>
  <si>
    <t xml:space="preserve">LANKIREDDY, ASHOK R &amp; NEELIMA </t>
  </si>
  <si>
    <t xml:space="preserve">380 TERRACINA WAY </t>
  </si>
  <si>
    <t>G CURTI RANCH 2 LT 471</t>
  </si>
  <si>
    <t>390 TERRACINA WAY</t>
  </si>
  <si>
    <t xml:space="preserve">GROVE, ANDREA &amp; JASON  </t>
  </si>
  <si>
    <t xml:space="preserve">390 TERRACINA WAY </t>
  </si>
  <si>
    <t>G CURTI RANCH 2 LT 472</t>
  </si>
  <si>
    <t>400 TERRACINA WAY</t>
  </si>
  <si>
    <t xml:space="preserve">CASALLAS, CONNIE </t>
  </si>
  <si>
    <t>G CURTI RANCH 2 LT 473</t>
  </si>
  <si>
    <t>410 TERRACINA WAY</t>
  </si>
  <si>
    <t xml:space="preserve">NICKERSON, BRYAN E &amp; TIFFANI I </t>
  </si>
  <si>
    <t>G CURTI RANCH 2 LT 474</t>
  </si>
  <si>
    <t>11605 CERVINO DR</t>
  </si>
  <si>
    <t xml:space="preserve">VESTAL, JESSICA L  </t>
  </si>
  <si>
    <t xml:space="preserve">11605 CERVINO DR </t>
  </si>
  <si>
    <t>G CURTI RANCH 2 LT 545</t>
  </si>
  <si>
    <t>11615 CERVINO DR</t>
  </si>
  <si>
    <t xml:space="preserve">CROOKSTON, CHAD &amp; ALLISON R  </t>
  </si>
  <si>
    <t>G CURTI RANCH 2 LT 546</t>
  </si>
  <si>
    <t>395 BULLUNO DR</t>
  </si>
  <si>
    <t xml:space="preserve">KHAN, RAHILA N </t>
  </si>
  <si>
    <t>G CURTI RANCH 2 LT 544</t>
  </si>
  <si>
    <t>375 BULLUNO DR</t>
  </si>
  <si>
    <t xml:space="preserve">PRATT, CHARLES A &amp; MARSHA J  </t>
  </si>
  <si>
    <t xml:space="preserve">375 BULLUNO DR </t>
  </si>
  <si>
    <t>G CURTI RANCH 2 LT 542</t>
  </si>
  <si>
    <t>340 BULLUNO DR</t>
  </si>
  <si>
    <t xml:space="preserve">CHATTIN, EMERSON B  </t>
  </si>
  <si>
    <t xml:space="preserve">340 BULLUNO DR </t>
  </si>
  <si>
    <t>G CURTI RANCH 2 LT 552</t>
  </si>
  <si>
    <t>350 BULLUNO DR</t>
  </si>
  <si>
    <t xml:space="preserve">350 BULLUNO DR </t>
  </si>
  <si>
    <t xml:space="preserve">NGUYEN, KIM CHI  </t>
  </si>
  <si>
    <t>G CURTI RANCH 2 LT 551</t>
  </si>
  <si>
    <t>360 BULLUNO DR</t>
  </si>
  <si>
    <t xml:space="preserve">LAMKIN, BRADLEY A &amp; ELIZABETH A </t>
  </si>
  <si>
    <t>G CURTI RANCH 2 LT 550</t>
  </si>
  <si>
    <t>370 BULLUNO DR</t>
  </si>
  <si>
    <t xml:space="preserve">MCCRACKEN, TIMOTHY M &amp; ALMA </t>
  </si>
  <si>
    <t xml:space="preserve">370 BULLUNO DR </t>
  </si>
  <si>
    <t>G CURTI RANCH 2 LT 549</t>
  </si>
  <si>
    <t>380 BULLUNO DR</t>
  </si>
  <si>
    <t xml:space="preserve">RYAN FAMILY TRUST  </t>
  </si>
  <si>
    <t>G CURTI RANCH 2 LT 548</t>
  </si>
  <si>
    <t>390 BULLUNO DR</t>
  </si>
  <si>
    <t xml:space="preserve">DELACRUZ, JUAN PAOLO </t>
  </si>
  <si>
    <t xml:space="preserve">390 BULLUNO DR </t>
  </si>
  <si>
    <t>G CURTI RANCH 2 LT 547</t>
  </si>
  <si>
    <t>315 MANCIANO WAY</t>
  </si>
  <si>
    <t xml:space="preserve">PERREIRA, DOUGLAS &amp; SUSAN A </t>
  </si>
  <si>
    <t>G CURTI RANCH UT 4 LT 606</t>
  </si>
  <si>
    <t>301 MANCIANO WAY</t>
  </si>
  <si>
    <t>IVTCHENKO, SVETLANA et al</t>
  </si>
  <si>
    <t>G CURTI RANCH UT 4 LT 608</t>
  </si>
  <si>
    <t>11301 VERAZAE DR</t>
  </si>
  <si>
    <t xml:space="preserve">DULEY, JEREMIAH &amp; MELODY  </t>
  </si>
  <si>
    <t xml:space="preserve">11301 VERAZAE DR </t>
  </si>
  <si>
    <t>G CURTI RANCH UT 4 LT 609</t>
  </si>
  <si>
    <t>11315 VERAZAE DR</t>
  </si>
  <si>
    <t xml:space="preserve">LEVIN, CHRISTOPHER M </t>
  </si>
  <si>
    <t>G CURTI RANCH UT 4 LT 611</t>
  </si>
  <si>
    <t>11325 VERAZAE DR</t>
  </si>
  <si>
    <t xml:space="preserve">MOORE, EDUARDO Z &amp; ERIN A </t>
  </si>
  <si>
    <t>G CURTI RANCH UT 4 LT 612</t>
  </si>
  <si>
    <t>11340 VERAZAE DR</t>
  </si>
  <si>
    <t xml:space="preserve">BLITSTEIN, ADAM M &amp; JAMIE M S </t>
  </si>
  <si>
    <t>G CURTI RANCH UT 4 LT 594</t>
  </si>
  <si>
    <t>3771 PORTLAND DR</t>
  </si>
  <si>
    <t xml:space="preserve">HARDY, MICHAEL </t>
  </si>
  <si>
    <t>GALENA TERRACE 3 LT 327</t>
  </si>
  <si>
    <t>3886 BELLINGHAM DR</t>
  </si>
  <si>
    <t xml:space="preserve">MCVEY, MICHAEL S &amp; LILIANA C  </t>
  </si>
  <si>
    <t xml:space="preserve">3886 BELLINGHAM DR </t>
  </si>
  <si>
    <t xml:space="preserve">CARREIRO, JOSEPH L &amp; LAURA H </t>
  </si>
  <si>
    <t>GALENA TERRACE 3 LT 316</t>
  </si>
  <si>
    <t>3845 CORVALLIS DR</t>
  </si>
  <si>
    <t xml:space="preserve">VANHEGAN, GRAHAM W C &amp; CYNTHIA W </t>
  </si>
  <si>
    <t>1830 WESTMOUNT ROAD NW</t>
  </si>
  <si>
    <t>CALGARY</t>
  </si>
  <si>
    <t>T2N 3M5</t>
  </si>
  <si>
    <t xml:space="preserve">ANDERSON, THOMAS E &amp; SHELLEY S </t>
  </si>
  <si>
    <t>GALENA TERRACE 5 LT 504</t>
  </si>
  <si>
    <t>535 PROVO CT</t>
  </si>
  <si>
    <t>GALENA TE 7</t>
  </si>
  <si>
    <t xml:space="preserve">FISCHER, DONNA L </t>
  </si>
  <si>
    <t>LABORDE, JAMES et al</t>
  </si>
  <si>
    <t>144-010-12</t>
  </si>
  <si>
    <t>GALENA TERRACE 7 LT 728</t>
  </si>
  <si>
    <t>4438 WHITE FISH DR</t>
  </si>
  <si>
    <t xml:space="preserve">MILES, KEVIN &amp; KRISTIN  </t>
  </si>
  <si>
    <t xml:space="preserve">IVERSON, JEFFREY A &amp; JUDITH M </t>
  </si>
  <si>
    <t>GALENA TERRACE 8 LT 809</t>
  </si>
  <si>
    <t>4447 WHITE FISH DR</t>
  </si>
  <si>
    <t>BATEMAN, MICHAEL L et al</t>
  </si>
  <si>
    <t>GALENA TERRACE 8 LT 819</t>
  </si>
  <si>
    <t>4665 EDMONTON DR</t>
  </si>
  <si>
    <t>YOST, STEPHEN R &amp; PATRICIA A et al</t>
  </si>
  <si>
    <t>RNEO</t>
  </si>
  <si>
    <t>GALENA TERRACE 8 LT 801</t>
  </si>
  <si>
    <t>483 MISSOULA CT</t>
  </si>
  <si>
    <t xml:space="preserve">SIKORA FAMILY TRUST, ERIC L &amp; DIANE L  </t>
  </si>
  <si>
    <t>144-010-18</t>
  </si>
  <si>
    <t>GALENA TERRACE 10 LT 1006</t>
  </si>
  <si>
    <t>612 MOAB CT</t>
  </si>
  <si>
    <t>GALENA TERRACE 9</t>
  </si>
  <si>
    <t>CUELLAR, ALFRED &amp; HORTENSIA et al</t>
  </si>
  <si>
    <t>144-010-20</t>
  </si>
  <si>
    <t>GALENA TERRACE 9 LT 905</t>
  </si>
  <si>
    <t>614 MOAB CT</t>
  </si>
  <si>
    <t xml:space="preserve">GREENBLAT, DAVID &amp; MARY </t>
  </si>
  <si>
    <t xml:space="preserve">MILLER TRUST, ELIZABETH D  </t>
  </si>
  <si>
    <t>GALENA TERRACE 9 LT 906</t>
  </si>
  <si>
    <t>4460 GREAT FALLS LOOP</t>
  </si>
  <si>
    <t xml:space="preserve">FOSTER, WILLIAM J </t>
  </si>
  <si>
    <t>GALENA TERRACE 9 LT 923</t>
  </si>
  <si>
    <t>1821 KODIAK CIR</t>
  </si>
  <si>
    <t>HORNBACK, DALE W &amp; KAREN J et al</t>
  </si>
  <si>
    <t>5720 DIJON CIR</t>
  </si>
  <si>
    <t xml:space="preserve">ALFARO, CONRAD &amp; RIOLITA A </t>
  </si>
  <si>
    <t>BEAR CREEK LT 26</t>
  </si>
  <si>
    <t>1779 KODIAK CIR</t>
  </si>
  <si>
    <t xml:space="preserve">SIMPKINS FAMILY TRUST  </t>
  </si>
  <si>
    <t>ROBERT S SIMPKINS TRUSTEE</t>
  </si>
  <si>
    <t>605 OXBOW CT</t>
  </si>
  <si>
    <t xml:space="preserve">MCKINNE, THOMAS A </t>
  </si>
  <si>
    <t>BEAR CREEK LT 24</t>
  </si>
  <si>
    <t>1768 KODIAK CIR</t>
  </si>
  <si>
    <t xml:space="preserve">O`DONNELL, LON A &amp; KRISTA L  </t>
  </si>
  <si>
    <t xml:space="preserve">1768 KODIAK CIR </t>
  </si>
  <si>
    <t>BEAR CREEK LT 12</t>
  </si>
  <si>
    <t>1806 KODIAK CIR</t>
  </si>
  <si>
    <t xml:space="preserve">DROST, ADAM M &amp; DEANNA Q </t>
  </si>
  <si>
    <t>BEAR CREEK LT 5</t>
  </si>
  <si>
    <t>1818 KODIAK CIR</t>
  </si>
  <si>
    <t xml:space="preserve">JOHNSON, LEAH NAOMI  </t>
  </si>
  <si>
    <t xml:space="preserve">GURKO, DEAN T &amp; ELSJE E </t>
  </si>
  <si>
    <t>BEAR CREEK LT 3</t>
  </si>
  <si>
    <t xml:space="preserve">ZACCHEO, JIM  </t>
  </si>
  <si>
    <t>345 KYLE CT</t>
  </si>
  <si>
    <t>PM 4036</t>
  </si>
  <si>
    <t xml:space="preserve">HORACHEK, BRETT B </t>
  </si>
  <si>
    <t xml:space="preserve">AFFINITO, TAUNI </t>
  </si>
  <si>
    <t>049-440-23</t>
  </si>
  <si>
    <t>PM 4036 LT 2</t>
  </si>
  <si>
    <t>8340 DESERT WAY</t>
  </si>
  <si>
    <t xml:space="preserve">FISHER, JOHN L </t>
  </si>
  <si>
    <t>016-380-22</t>
  </si>
  <si>
    <t>10075 BULL RIDER CT</t>
  </si>
  <si>
    <t>GOLDEN HILLS PH 1 LT 48</t>
  </si>
  <si>
    <t>2635 TRAIL RIDER DR</t>
  </si>
  <si>
    <t xml:space="preserve">HOWARD, BRIAN K &amp; TINA M </t>
  </si>
  <si>
    <t xml:space="preserve">LEWIS, LYNETTE C </t>
  </si>
  <si>
    <t>GOLDEN HILLS PH 1 LT 34</t>
  </si>
  <si>
    <t>2690 TRAIL RIDER DR</t>
  </si>
  <si>
    <t xml:space="preserve">HOLMES, GERALYN M  </t>
  </si>
  <si>
    <t>OSMAN, GARY M et al</t>
  </si>
  <si>
    <t>GOLDEN HILLS PH 1 LT 21</t>
  </si>
  <si>
    <t>10125 GOLD MINE DR</t>
  </si>
  <si>
    <t xml:space="preserve">SCHEBLER FAMILY TRUST  </t>
  </si>
  <si>
    <t>PO BOX 18771</t>
  </si>
  <si>
    <t xml:space="preserve">SCHEBLER, ROBERT K &amp; SUSAN </t>
  </si>
  <si>
    <t>GOLDEN HILLS PH 1 LT 18</t>
  </si>
  <si>
    <t>10145 GOLD MINE DR</t>
  </si>
  <si>
    <t xml:space="preserve">DAVIS, TODD A </t>
  </si>
  <si>
    <t xml:space="preserve">FONDI, JONATHAN M &amp; CARRIE A </t>
  </si>
  <si>
    <t>GOLDEN HILLS PH 1 LT 16</t>
  </si>
  <si>
    <t>2608 MULE CIR</t>
  </si>
  <si>
    <t>NG, JEANNY M  et al</t>
  </si>
  <si>
    <t>GOLDEN HILLS PH 1 LT 12</t>
  </si>
  <si>
    <t>2680 MULE CIR</t>
  </si>
  <si>
    <t xml:space="preserve">BEBER FAMILY TRUST, MICHAEL &amp; TERRI  </t>
  </si>
  <si>
    <t>GOLDEN HILLS PH 1 LT 4</t>
  </si>
  <si>
    <t>2690 MULE CIR</t>
  </si>
  <si>
    <t>GOLDEN HILLS 1</t>
  </si>
  <si>
    <t xml:space="preserve">ALSTEAD, BRYCE </t>
  </si>
  <si>
    <t xml:space="preserve">P &amp; C INVESTMENT LLC </t>
  </si>
  <si>
    <t>GOLDEN HILLS 1 LT 3</t>
  </si>
  <si>
    <t>10185 GOLD MINE DR</t>
  </si>
  <si>
    <t xml:space="preserve">BARTHOLOMEW, ROBERT &amp; BEVERLY </t>
  </si>
  <si>
    <t>GONTOVA, POLINA et al</t>
  </si>
  <si>
    <t>GOLDEN HILLS PH 1 LT 107</t>
  </si>
  <si>
    <t>BR CATRON LLC</t>
  </si>
  <si>
    <t>5794 TANNERWOOD DR</t>
  </si>
  <si>
    <t>PM 2794</t>
  </si>
  <si>
    <t xml:space="preserve">WILLMAN REALTY TRUST  </t>
  </si>
  <si>
    <t xml:space="preserve">LUBEK FAMILY TRUST, JOSEPH J &amp; MARY  </t>
  </si>
  <si>
    <t>047-181-30</t>
  </si>
  <si>
    <t>PM 2794  LT B</t>
  </si>
  <si>
    <t>5590 LAUSANNE DR</t>
  </si>
  <si>
    <t xml:space="preserve">ORR FAMILY TRUST  </t>
  </si>
  <si>
    <t>5580 LAUSANNE DR</t>
  </si>
  <si>
    <t>MONTREUX 1 LT 177</t>
  </si>
  <si>
    <t>5775 CLARENS CT</t>
  </si>
  <si>
    <t xml:space="preserve">KLOVE TRUST, BARBARA &amp; WILLIAM   </t>
  </si>
  <si>
    <t>MONTREUX 1 LT 138</t>
  </si>
  <si>
    <t>5845 STRASBOURG CT</t>
  </si>
  <si>
    <t>1425 SAN RAYMUNDO RD</t>
  </si>
  <si>
    <t xml:space="preserve">KANE, STEVEN E &amp; JACQUELINE P  </t>
  </si>
  <si>
    <t>MONTREUX 1 LT 131</t>
  </si>
  <si>
    <t>5895 CHAMBERY CIR</t>
  </si>
  <si>
    <t xml:space="preserve">WOLFF FAMILY TRUST, ROBERT S  </t>
  </si>
  <si>
    <t xml:space="preserve">WOLFF, ROBERT S </t>
  </si>
  <si>
    <t>MONTREUX 1 LT 117</t>
  </si>
  <si>
    <t>5760 FLORIMONT CT</t>
  </si>
  <si>
    <t xml:space="preserve">BOYER, GREGORY E </t>
  </si>
  <si>
    <t>MONTREUX 1 LT 159</t>
  </si>
  <si>
    <t>5755 FLORIMONT CT</t>
  </si>
  <si>
    <t xml:space="preserve">LANDA FAMILY TRUST, TOM &amp; DENISE  </t>
  </si>
  <si>
    <t xml:space="preserve">ENGLAND FAMILY TRUST, KIMBERLY N &amp; GORDON G  </t>
  </si>
  <si>
    <t>MONTREUX 1 LT 156</t>
  </si>
  <si>
    <t>6021 MONTE ROSA CT</t>
  </si>
  <si>
    <t xml:space="preserve">ZEFF, PETER W &amp; MARGARET M </t>
  </si>
  <si>
    <t>939 ENSLEN AVE</t>
  </si>
  <si>
    <t>95350</t>
  </si>
  <si>
    <t xml:space="preserve">BACKFISCH FAMILY TRUST  </t>
  </si>
  <si>
    <t>MONTREUX 2 LT 245</t>
  </si>
  <si>
    <t>5895 LAUSANNE DR</t>
  </si>
  <si>
    <t xml:space="preserve">MULVANEY , THEODORE M &amp; ERIN E  </t>
  </si>
  <si>
    <t xml:space="preserve">ZAHLER, PAUL </t>
  </si>
  <si>
    <t>MONTREUX 2 LT 212</t>
  </si>
  <si>
    <t>5805 LAUSANNE DR</t>
  </si>
  <si>
    <t xml:space="preserve">WOLF LIVING TRUST, ROBERT H &amp; REBECCA H  </t>
  </si>
  <si>
    <t>6485 MONTREAUX LN</t>
  </si>
  <si>
    <t>SWIFT, AUSTIN D  et al</t>
  </si>
  <si>
    <t>MONTREUX 2 LT 204</t>
  </si>
  <si>
    <t>6395 ZERMATT CT</t>
  </si>
  <si>
    <t xml:space="preserve">KEHRIG LIMITED PARTNERSHIP </t>
  </si>
  <si>
    <t>PO BOX 2348</t>
  </si>
  <si>
    <t xml:space="preserve">KEHRIG, RICHARD J &amp; JEAN L </t>
  </si>
  <si>
    <t>MONTREUX 3 LT 310 BLK B</t>
  </si>
  <si>
    <t>6355 WETZELL CT</t>
  </si>
  <si>
    <t xml:space="preserve">POTESTIO , BRADFORD T &amp; DIANN E  </t>
  </si>
  <si>
    <t xml:space="preserve">325 LAKEVIEW PL </t>
  </si>
  <si>
    <t xml:space="preserve">DODD FAMILY TRUST, STEPHEN F  </t>
  </si>
  <si>
    <t>MONTREUX 3 LT 330 BLK E</t>
  </si>
  <si>
    <t>6638 GEBSER CT</t>
  </si>
  <si>
    <t>PM 3622</t>
  </si>
  <si>
    <t xml:space="preserve">RUSH FAMILY TRUST  </t>
  </si>
  <si>
    <t>244 E JEFFREY PINE RD</t>
  </si>
  <si>
    <t>148-180-08</t>
  </si>
  <si>
    <t>PM 3622 LT 507</t>
  </si>
  <si>
    <t>6619 JUNG CT</t>
  </si>
  <si>
    <t>PM 3624</t>
  </si>
  <si>
    <t>CERBERUS INVESTMENTS LLC</t>
  </si>
  <si>
    <t xml:space="preserve">1145 BELFORD RD </t>
  </si>
  <si>
    <t>148-180-16</t>
  </si>
  <si>
    <t>PM 3624 LT 514</t>
  </si>
  <si>
    <t>5225 NESTLE CT</t>
  </si>
  <si>
    <t>PM 3640</t>
  </si>
  <si>
    <t xml:space="preserve">BURNHAM, WILLIAM L &amp; MARY M  </t>
  </si>
  <si>
    <t xml:space="preserve">SCHROLL FAMILY TRUST  </t>
  </si>
  <si>
    <t>148-191-07</t>
  </si>
  <si>
    <t>PM 3640 LT 105S</t>
  </si>
  <si>
    <t>6553 CHAMPETRE CT</t>
  </si>
  <si>
    <t>PM 3676</t>
  </si>
  <si>
    <t xml:space="preserve">MOORE 2006 LIVING TRUST  </t>
  </si>
  <si>
    <t>19608 FARWELL AVE</t>
  </si>
  <si>
    <t xml:space="preserve">TANTAU FAMILY TRUST  </t>
  </si>
  <si>
    <t>148-200-08</t>
  </si>
  <si>
    <t>PM 3676 LT 607</t>
  </si>
  <si>
    <t>630 PINEY CREEK RD</t>
  </si>
  <si>
    <t>MOSSNEVADA LLC et al</t>
  </si>
  <si>
    <t>147-210-02</t>
  </si>
  <si>
    <t>MONTREUX 2 SOUTH FR LT B</t>
  </si>
  <si>
    <t>4505 ALPES WAY</t>
  </si>
  <si>
    <t>MONTREUX 3 SOUTH</t>
  </si>
  <si>
    <t xml:space="preserve">YOON, HEE J </t>
  </si>
  <si>
    <t>MONTREUX 3 SOUTH LT 307S FORMERLY 148-222-18</t>
  </si>
  <si>
    <t>4585 ALPES WAY</t>
  </si>
  <si>
    <t xml:space="preserve">MCCORMACK, MATTHEW C &amp; TIFFANY </t>
  </si>
  <si>
    <t>700 PINEY CREEK RD</t>
  </si>
  <si>
    <t>MONTREUX 3 SOUTH LT 304S</t>
  </si>
  <si>
    <t>16865 RUE DU PARC</t>
  </si>
  <si>
    <t>MONTREUX 7B LT 701</t>
  </si>
  <si>
    <t>20505 MARGAUX RD</t>
  </si>
  <si>
    <t xml:space="preserve">LUZ, JAMES T &amp; LAVERNE  </t>
  </si>
  <si>
    <t xml:space="preserve">650 SAND RIDGE CT </t>
  </si>
  <si>
    <t xml:space="preserve">HESPERUS </t>
  </si>
  <si>
    <t>81326</t>
  </si>
  <si>
    <t>MONTREUX 4 SOUTH LT 419</t>
  </si>
  <si>
    <t>20540 LATOUR WAY</t>
  </si>
  <si>
    <t xml:space="preserve">MCCULLOCH, JOHN W </t>
  </si>
  <si>
    <t xml:space="preserve">LES MAISONS LTD </t>
  </si>
  <si>
    <t>MONTREUX 4 SOUTH LT 402</t>
  </si>
  <si>
    <t>20520 LATOUR WAY</t>
  </si>
  <si>
    <t xml:space="preserve">DEMGEN FAMILY TRUST, JOHN &amp; JOAN  </t>
  </si>
  <si>
    <t>MONTREUX 4 SOUTH LT 401</t>
  </si>
  <si>
    <t>5980 GAUGUIN</t>
  </si>
  <si>
    <t xml:space="preserve">SCHROLL, MARCIA P  </t>
  </si>
  <si>
    <t xml:space="preserve">5980 GAUGUIN CT </t>
  </si>
  <si>
    <t xml:space="preserve">BALFREY TRUST, ROBERT &amp; ALICE   </t>
  </si>
  <si>
    <t>MONTREUX 7C LT 745</t>
  </si>
  <si>
    <t>5865 CARTIER</t>
  </si>
  <si>
    <t xml:space="preserve">BORST, GEORGE &amp; REIKO  </t>
  </si>
  <si>
    <t xml:space="preserve">5865 CARTIER DR </t>
  </si>
  <si>
    <t>MONTREUX 7C LT 725</t>
  </si>
  <si>
    <t>16900 DELACROIX</t>
  </si>
  <si>
    <t>BURKS, WILLIAM R et al</t>
  </si>
  <si>
    <t>MONTREUX 7C LT 722</t>
  </si>
  <si>
    <t>16880 DELACROIX</t>
  </si>
  <si>
    <t xml:space="preserve">KREITLEIN, PHILIP &amp; AMY </t>
  </si>
  <si>
    <t>4437 WHITE FISH DR</t>
  </si>
  <si>
    <t xml:space="preserve">MONTREUX HIGHLANDS III LLC </t>
  </si>
  <si>
    <t>MONTREUX 7C LT 721</t>
  </si>
  <si>
    <t>5945 GAUGUIN</t>
  </si>
  <si>
    <t xml:space="preserve">BALFREY REV LIVING TRUST, ROBERT &amp; ALICE   </t>
  </si>
  <si>
    <t>P O BOX 4077</t>
  </si>
  <si>
    <t>MONTREUX 7C LT 720</t>
  </si>
  <si>
    <t>5985 GAUGUIN</t>
  </si>
  <si>
    <t xml:space="preserve">PEREZ, DAVID R &amp; YOLANDA  </t>
  </si>
  <si>
    <t>MONTREUX 7C LT 718</t>
  </si>
  <si>
    <t>16940 SALUT CT</t>
  </si>
  <si>
    <t xml:space="preserve">DAOUST LIVING TRUST  </t>
  </si>
  <si>
    <t>16885 RUE DU PARC</t>
  </si>
  <si>
    <t>FISERV ISS &amp; CO FBO FBO</t>
  </si>
  <si>
    <t>148-010-06</t>
  </si>
  <si>
    <t>MONTREUX 8 LT 820</t>
  </si>
  <si>
    <t>6425 DE CHARDIN LN</t>
  </si>
  <si>
    <t>KENNEY, MICHAEL P &amp; JO ANNA et al</t>
  </si>
  <si>
    <t>6425 DE CHARDIN LANE LLC  LLC</t>
  </si>
  <si>
    <t>MONTREUX 9 LT 909</t>
  </si>
  <si>
    <t>6605 DE CHARDIN LN</t>
  </si>
  <si>
    <t xml:space="preserve">BARBER FAMILY TRUST, JOHN F &amp; SUSAN C   </t>
  </si>
  <si>
    <t>JOHN F &amp; SUSAN C BARBER TRUSTEE</t>
  </si>
  <si>
    <t>5805 CLARENS CT</t>
  </si>
  <si>
    <t>MONTREUX 9 LT 911</t>
  </si>
  <si>
    <t>6705 DE CHARDIN LN</t>
  </si>
  <si>
    <t xml:space="preserve">MCGANN/MORETTI REV TRUST  </t>
  </si>
  <si>
    <t>980 NINTH ST # 2000</t>
  </si>
  <si>
    <t>95814</t>
  </si>
  <si>
    <t>MCGANN, TERRY M  et al</t>
  </si>
  <si>
    <t>MONTREUX 9 LT 916</t>
  </si>
  <si>
    <t>6745 DE CHARDIN LN</t>
  </si>
  <si>
    <t>VANNELLI, STEVEN et al</t>
  </si>
  <si>
    <t>PO BOX 11044</t>
  </si>
  <si>
    <t>92655</t>
  </si>
  <si>
    <t>MONTREUX 9 LT 918</t>
  </si>
  <si>
    <t xml:space="preserve"> BORDEAUX DR</t>
  </si>
  <si>
    <t>148-310-08</t>
  </si>
  <si>
    <t>MONTREUX 5 SOUTH CA 3</t>
  </si>
  <si>
    <t>JCVV</t>
  </si>
  <si>
    <t>MONTREUX 5 SOUTH STREETS</t>
  </si>
  <si>
    <t xml:space="preserve"> MARGAUX RD</t>
  </si>
  <si>
    <t>MONTREUX 5 SOUTH CA 2</t>
  </si>
  <si>
    <t xml:space="preserve"> POMEROL DR</t>
  </si>
  <si>
    <t>MONTREUX 5 SOUTH CA 4</t>
  </si>
  <si>
    <t xml:space="preserve"> BORDEAUX CT</t>
  </si>
  <si>
    <t>MONTREUX 5 SOUTH CA 5</t>
  </si>
  <si>
    <t>13255 W SADDLEBOW DR</t>
  </si>
  <si>
    <t>REV TR 4004</t>
  </si>
  <si>
    <t xml:space="preserve">HOBBS, NORMAN D &amp; ELIZABETH A </t>
  </si>
  <si>
    <t>PO BOX 19215</t>
  </si>
  <si>
    <t xml:space="preserve">OLSEEN, ALDEN E &amp; DIANE </t>
  </si>
  <si>
    <t>13280 W SADDLEBOW DR</t>
  </si>
  <si>
    <t>SADDLEHORN 10</t>
  </si>
  <si>
    <t xml:space="preserve">TIEKEN, DAVID &amp; NANCY L </t>
  </si>
  <si>
    <t>7 BRENGLE CT</t>
  </si>
  <si>
    <t>049-020-28</t>
  </si>
  <si>
    <t>SADDLEHORN 10 LT 1012 BLK A</t>
  </si>
  <si>
    <t>14180 MOONRISE CT</t>
  </si>
  <si>
    <t xml:space="preserve">HERSCHBACH, THOMAS E &amp; MICHELLE  </t>
  </si>
  <si>
    <t xml:space="preserve">WINANS, RONALD C &amp; DEBRA J </t>
  </si>
  <si>
    <t>049-203-01</t>
  </si>
  <si>
    <t>SADDLEHORN 1 LT 1 BLK D</t>
  </si>
  <si>
    <t>4430 WILD EAGLE TER</t>
  </si>
  <si>
    <t xml:space="preserve">DENTON, JOSEPH W </t>
  </si>
  <si>
    <t>049-203-03</t>
  </si>
  <si>
    <t>SADDLEHORN 1 LT 3 BLK D</t>
  </si>
  <si>
    <t>4305 SADDLEHORN DR</t>
  </si>
  <si>
    <t xml:space="preserve">ARNOLD FAMILY TRUST, DANIEL W  </t>
  </si>
  <si>
    <t xml:space="preserve">ARNOLD, DANIEL W </t>
  </si>
  <si>
    <t>049-203-14</t>
  </si>
  <si>
    <t>SADDLEHORN 1 LT 14 BLK D</t>
  </si>
  <si>
    <t>4385 SADDLEHORN DR</t>
  </si>
  <si>
    <t>SADDLEHORN UT 1</t>
  </si>
  <si>
    <t xml:space="preserve">NICELY, JAMES M &amp; LANE E </t>
  </si>
  <si>
    <t>RAY, DIANE et al</t>
  </si>
  <si>
    <t>049-203-18</t>
  </si>
  <si>
    <t>SADDLEHORN UT 1 LT 18 BLK D</t>
  </si>
  <si>
    <t>14120 SADDLEBOW DR</t>
  </si>
  <si>
    <t>SADDLEHORN 2</t>
  </si>
  <si>
    <t xml:space="preserve">LIEBERMAN, JOSH &amp; SHELLY </t>
  </si>
  <si>
    <t>049-461-10</t>
  </si>
  <si>
    <t>SADDLEHORN 2 LT 9H BLK H</t>
  </si>
  <si>
    <t>14080 SADDLEBOW DR</t>
  </si>
  <si>
    <t xml:space="preserve">STAMENSON, MICHAEL G &amp; CATHERINE </t>
  </si>
  <si>
    <t xml:space="preserve">SHOPSHIRE FAMILY LIVING TRUST  </t>
  </si>
  <si>
    <t>049-461-14</t>
  </si>
  <si>
    <t>SADDLEHORN 5 LT 504 BLK A</t>
  </si>
  <si>
    <t>14070 SADDLEBOW DR</t>
  </si>
  <si>
    <t xml:space="preserve">HANLEY, RICHARD G &amp; VALERIE L  </t>
  </si>
  <si>
    <t xml:space="preserve">ENGLIN, LANCE E &amp; BONNIE L </t>
  </si>
  <si>
    <t>049-461-15</t>
  </si>
  <si>
    <t>SADDLEHORN 5 LT 505 BLK A</t>
  </si>
  <si>
    <t xml:space="preserve">YOUNKER FAMILY TRUST  </t>
  </si>
  <si>
    <t>049-471-20</t>
  </si>
  <si>
    <t>SADDLEHORN 2 LT 7G BLK G</t>
  </si>
  <si>
    <t>14600 S QUIET MEADOW DR</t>
  </si>
  <si>
    <t>SADDLEHORN 9</t>
  </si>
  <si>
    <t xml:space="preserve">GOLMIS, THEODORE L &amp; LORNA A </t>
  </si>
  <si>
    <t xml:space="preserve">HULBURD FAMILY TRUST  </t>
  </si>
  <si>
    <t>049-651-07</t>
  </si>
  <si>
    <t>SADDLEHORN 9 LT 911 BLK C</t>
  </si>
  <si>
    <t>14285 DOMINGO CT</t>
  </si>
  <si>
    <t>SADDLEHORN 3</t>
  </si>
  <si>
    <t xml:space="preserve">LICHTER FAMILY TRUST, ROWLIN L &amp; BARBARA L  </t>
  </si>
  <si>
    <t>ROWLIN L &amp; BARBARA L LICHTER TRUSTEE</t>
  </si>
  <si>
    <t xml:space="preserve">LICHTER, ROWLIN L &amp; BARBARA </t>
  </si>
  <si>
    <t>049-492-07</t>
  </si>
  <si>
    <t>SADDLEHORN 3 LT 329 BLK C</t>
  </si>
  <si>
    <t>14280 QUIET MEADOW DR</t>
  </si>
  <si>
    <t>DUKE, BRANDON J &amp; INA-MARIE et al</t>
  </si>
  <si>
    <t xml:space="preserve">37456 SOUTHWOOD DR </t>
  </si>
  <si>
    <t>FREMONT DR</t>
  </si>
  <si>
    <t>049-491-07</t>
  </si>
  <si>
    <t>SADDLEHORN 3 LT 316 BLK B</t>
  </si>
  <si>
    <t>15450 FAWN LN</t>
  </si>
  <si>
    <t>PM 3468</t>
  </si>
  <si>
    <t xml:space="preserve">JOHNSON, SEAN F &amp; ALISA N </t>
  </si>
  <si>
    <t xml:space="preserve">BIRCH, MARILYN C  </t>
  </si>
  <si>
    <t>150-222-02</t>
  </si>
  <si>
    <t>PM 3468 LT 2</t>
  </si>
  <si>
    <t>15619 FAWN LN</t>
  </si>
  <si>
    <t>PM 494</t>
  </si>
  <si>
    <t xml:space="preserve">REIFERT, JAMES F &amp; DIANE G </t>
  </si>
  <si>
    <t xml:space="preserve">HUNT FAMILY TRUST  </t>
  </si>
  <si>
    <t>049-131-02</t>
  </si>
  <si>
    <t>PM 494 LT A</t>
  </si>
  <si>
    <t>15615 FAWN LN</t>
  </si>
  <si>
    <t xml:space="preserve">HOVENDEN, TODD C &amp; MARIA J </t>
  </si>
  <si>
    <t>049-131-03</t>
  </si>
  <si>
    <t>PM 494 LT B</t>
  </si>
  <si>
    <t>5695 ROCK FARM RD</t>
  </si>
  <si>
    <t>E2 W2 SE4 NE4 SW4</t>
  </si>
  <si>
    <t xml:space="preserve">BENNA, JOHN B &amp; JENNIFER Y  </t>
  </si>
  <si>
    <t xml:space="preserve">5695 ROCK FARM RD </t>
  </si>
  <si>
    <t xml:space="preserve">BENNA, JENNIFER Y  </t>
  </si>
  <si>
    <t>049-040-24</t>
  </si>
  <si>
    <t>E2 W2 SE4 NE4 SW4 SEC 26 TWP 18 RGE 19</t>
  </si>
  <si>
    <t>14180 WILD QUAIL CT</t>
  </si>
  <si>
    <t>SADDLEHORN SOUTH 2</t>
  </si>
  <si>
    <t xml:space="preserve">GALGON, MANFRED &amp; KARI </t>
  </si>
  <si>
    <t>150-030-14</t>
  </si>
  <si>
    <t>SADDLEHORN SOUTH 2 LT 207</t>
  </si>
  <si>
    <t>14205 WILD QUAIL CT</t>
  </si>
  <si>
    <t xml:space="preserve">ROLFES FAM LIVING TRUST  </t>
  </si>
  <si>
    <t xml:space="preserve">CHESSICK, KENNETH C &amp; ELLEN </t>
  </si>
  <si>
    <t>SADDLEHORN SOUTH 2 LT 202</t>
  </si>
  <si>
    <t>14304 SWIFT CREEK CT</t>
  </si>
  <si>
    <t xml:space="preserve">GRAY, RHYS  </t>
  </si>
  <si>
    <t xml:space="preserve">14304 SWIFT CREEK CT </t>
  </si>
  <si>
    <t>SADDLEHORN SOUTH 4 LT 403</t>
  </si>
  <si>
    <t>7005 QUAIL ROCK LN</t>
  </si>
  <si>
    <t>SADDLEHORN SOUTH 5</t>
  </si>
  <si>
    <t>REGAN, MOLLY M et al</t>
  </si>
  <si>
    <t xml:space="preserve">WEISHAHN FAMILY TRUST  </t>
  </si>
  <si>
    <t>150-011-02</t>
  </si>
  <si>
    <t>SADDLEHORN SOUTH 5 LT 518</t>
  </si>
  <si>
    <t>14238 QUAIL SPRINGS CT</t>
  </si>
  <si>
    <t>SADDLEHORN SOUTH 6</t>
  </si>
  <si>
    <t xml:space="preserve">CHESSICK, KENNETH &amp; ELLEN </t>
  </si>
  <si>
    <t>300 N STATE ST UNIT 5132</t>
  </si>
  <si>
    <t xml:space="preserve">NIELSEN, KURTIS D  </t>
  </si>
  <si>
    <t>150-030-20</t>
  </si>
  <si>
    <t>SADDLEHORN SOUTH 6 LT 601</t>
  </si>
  <si>
    <t>14265 TABLE ROCK CT</t>
  </si>
  <si>
    <t xml:space="preserve">CLAYTON, RONALD W &amp; SUSAN S  </t>
  </si>
  <si>
    <t xml:space="preserve">14265 TABLE ROCK CT </t>
  </si>
  <si>
    <t>SADDLEHORN SOUTH 7 LT 810</t>
  </si>
  <si>
    <t>14800 PARISIAN CT</t>
  </si>
  <si>
    <t xml:space="preserve">GREENBAUM, DONALD D &amp; PRISCILLA G </t>
  </si>
  <si>
    <t>WILCOX CANYON HOLDINGS LLC LLC</t>
  </si>
  <si>
    <t>ESTATES AT MT ROSE 1 LT 80</t>
  </si>
  <si>
    <t>14805 PARISIAN CT</t>
  </si>
  <si>
    <t xml:space="preserve">SHARPTON, THOMAS </t>
  </si>
  <si>
    <t xml:space="preserve">WEST RIVERPARK LP  </t>
  </si>
  <si>
    <t>ESTATES AT MT ROSE 1 LT 79</t>
  </si>
  <si>
    <t>14900 NAPOLEON CT</t>
  </si>
  <si>
    <t xml:space="preserve">MOSS, DAVID &amp; DEVORRAH </t>
  </si>
  <si>
    <t>ESTATES AT MT ROSE 1 LT 76</t>
  </si>
  <si>
    <t>5365 MISTRAL CT</t>
  </si>
  <si>
    <t xml:space="preserve">KILEY, MEGAN L </t>
  </si>
  <si>
    <t xml:space="preserve">FLEX, ANGELO R </t>
  </si>
  <si>
    <t>ESTATES AT MT ROSE 1 LT 57</t>
  </si>
  <si>
    <t>15180 CHATEAU AVE</t>
  </si>
  <si>
    <t xml:space="preserve">ROBERTS, CHARLES H &amp; LARFRANCES A </t>
  </si>
  <si>
    <t>7012 HAWAII KAI DR  UNIT 704</t>
  </si>
  <si>
    <t>96825</t>
  </si>
  <si>
    <t xml:space="preserve">KNECHT, RONALD R &amp; RACHEL </t>
  </si>
  <si>
    <t>ESTATES AT MT ROSE 1 LT 44</t>
  </si>
  <si>
    <t>15080 CHATEAU AVE</t>
  </si>
  <si>
    <t xml:space="preserve">MARTENS FAMILY TRUST  </t>
  </si>
  <si>
    <t xml:space="preserve">MARTENS, DWIGHT H &amp; EMILY J   </t>
  </si>
  <si>
    <t>ESTATES AT MT ROSE 1 LT 40</t>
  </si>
  <si>
    <t>15065 GOLDENROD DR</t>
  </si>
  <si>
    <t xml:space="preserve">LYON, DANIEL H &amp; JULIE Z </t>
  </si>
  <si>
    <t>ESTATES AT MT ROSE 2 LT 275</t>
  </si>
  <si>
    <t>15105 GOLDENROD DR</t>
  </si>
  <si>
    <t>GUINN, THOMAS L  et al</t>
  </si>
  <si>
    <t xml:space="preserve">15105 GOLDENROD DR </t>
  </si>
  <si>
    <t>ESTATES AT MT ROSE 2 LT 273</t>
  </si>
  <si>
    <t>15145 GOLDENROD DR</t>
  </si>
  <si>
    <t xml:space="preserve">CASEY, ROBERT L &amp; FRANCES S  </t>
  </si>
  <si>
    <t xml:space="preserve">15145 GOLDENROD DR </t>
  </si>
  <si>
    <t>ESTATES AT MT ROSE 2 LT 271</t>
  </si>
  <si>
    <t>15165 GOLDENROD DR</t>
  </si>
  <si>
    <t xml:space="preserve">SCHLENKER, REBECCA &amp; ROLLIE D </t>
  </si>
  <si>
    <t>ESTATES AT MT ROSE 2 LT 270</t>
  </si>
  <si>
    <t>5405 MENAGERIE AVE</t>
  </si>
  <si>
    <t xml:space="preserve">PERAHIA, BARAK </t>
  </si>
  <si>
    <t>ESTATES AT MT ROSE 2 LT 247</t>
  </si>
  <si>
    <t>15000 NAPOLEON DR</t>
  </si>
  <si>
    <t xml:space="preserve">ATALLA GENERATION SKIPPING TRS  </t>
  </si>
  <si>
    <t>18124 WEDGE PKWY # 172</t>
  </si>
  <si>
    <t>ESTATES AT MT ROSE 2 LT 259</t>
  </si>
  <si>
    <t>5400 MENAGERIE AVE</t>
  </si>
  <si>
    <t xml:space="preserve">PEPLAU-BAYLIES FAMILY TRUST  </t>
  </si>
  <si>
    <t>PO BOX 5124</t>
  </si>
  <si>
    <t>ESTATES AT MT ROSE 2 LT 252</t>
  </si>
  <si>
    <t>5380 MENAGERIE AVE</t>
  </si>
  <si>
    <t xml:space="preserve">ARVIZU, LINDA L &amp; RICHARD O </t>
  </si>
  <si>
    <t>22667 STAGG ST</t>
  </si>
  <si>
    <t>WEST HILLS</t>
  </si>
  <si>
    <t>ESTATES AT MT ROSE 2 LT 253</t>
  </si>
  <si>
    <t>15200 REDMOND LOOP</t>
  </si>
  <si>
    <t>HENKE, PHILLIP et al</t>
  </si>
  <si>
    <t xml:space="preserve">MCINTOSH, RONALD C JR &amp; CATHERINE T </t>
  </si>
  <si>
    <t>ESTATES AT MT ROSE 2 LT 212</t>
  </si>
  <si>
    <t>10395 TEWA CT</t>
  </si>
  <si>
    <t xml:space="preserve">CHRISTOPHER TRUST, ALEXANDER G  </t>
  </si>
  <si>
    <t>18124 WEDGE PKWY #1001</t>
  </si>
  <si>
    <t xml:space="preserve">CHRISTOPHER, ALEXANDER G &amp; SUSAN B </t>
  </si>
  <si>
    <t>ARROWCREEK 1 LT 134</t>
  </si>
  <si>
    <t>10136 INDIAN RIDGE DR</t>
  </si>
  <si>
    <t xml:space="preserve">BRIGGS FAMILY TRUST, VICKI &amp; ROBERT  </t>
  </si>
  <si>
    <t xml:space="preserve">PRATTE, ROBERT A &amp; CYNTHIA J </t>
  </si>
  <si>
    <t>ARROWCREEK 3 LT 307</t>
  </si>
  <si>
    <t xml:space="preserve">RYCKEBOSCH, KYLE </t>
  </si>
  <si>
    <t>3891 WARREN WY</t>
  </si>
  <si>
    <t>2706 WIND FEATHER TRL</t>
  </si>
  <si>
    <t xml:space="preserve">BLAKELEY TRUST  </t>
  </si>
  <si>
    <t>PO BOX 31103</t>
  </si>
  <si>
    <t xml:space="preserve">GERKE TRUST, DAWN  </t>
  </si>
  <si>
    <t>ARROWCREEK VILLAGE 1A LT 31</t>
  </si>
  <si>
    <t>2719 WIND FEATHER TRL</t>
  </si>
  <si>
    <t xml:space="preserve">SMITH, WILLIAM J &amp; KRISTEN L </t>
  </si>
  <si>
    <t>ARROWCREEK VILLAGE 1A LT 43</t>
  </si>
  <si>
    <t>2762 SHADOW DANCER TRL</t>
  </si>
  <si>
    <t xml:space="preserve">PICCININI REVOCABLE TRUST, LOLA M  </t>
  </si>
  <si>
    <t>ARROWCREEK VILLAGE 1A LT 21</t>
  </si>
  <si>
    <t>2754 SHADOW DANCER TRL</t>
  </si>
  <si>
    <t xml:space="preserve">MCONNELL FAMILY TRUST  </t>
  </si>
  <si>
    <t xml:space="preserve">MCONNELL, DONALD F &amp; MARGARET A </t>
  </si>
  <si>
    <t>ARROWCREEK VILLAGE 1A LT 19</t>
  </si>
  <si>
    <t>2739 SHADOW DANCER TRL</t>
  </si>
  <si>
    <t xml:space="preserve">DICKINSON 1998 TRUST, CHARLES   </t>
  </si>
  <si>
    <t>ARROWCREEK VILLAGE 1A LT 15</t>
  </si>
  <si>
    <t>2981 STONEBRIDGE TRL</t>
  </si>
  <si>
    <t>ARROWCREEK VILLAGE 2A</t>
  </si>
  <si>
    <t xml:space="preserve">DUNN, JASON G &amp; ALISON R  </t>
  </si>
  <si>
    <t xml:space="preserve">MCKIE, BARRY J &amp; YOLANDA A </t>
  </si>
  <si>
    <t>152-020-41</t>
  </si>
  <si>
    <t>ARROWCREEK VILLAGE 2A LT 53</t>
  </si>
  <si>
    <t>2870 SHALE CREEK DR</t>
  </si>
  <si>
    <t xml:space="preserve">PIPER M FAMILY TRUST  </t>
  </si>
  <si>
    <t>JOHN E MCLURE TRUSTEE</t>
  </si>
  <si>
    <t xml:space="preserve">CONDIE FAMILY TRUST, S J  </t>
  </si>
  <si>
    <t>ARROWCREEK VILLAGE 2A LT 56</t>
  </si>
  <si>
    <t>2864 SHALE CREEK DR</t>
  </si>
  <si>
    <t>GRIFFIN-GUSTAFSON, KALI D et al</t>
  </si>
  <si>
    <t>GUSTAFSON KEVIN R</t>
  </si>
  <si>
    <t xml:space="preserve">ANDERSON, TIFFINI R </t>
  </si>
  <si>
    <t>ARROWCREEK VILLAGE 2A LT 57</t>
  </si>
  <si>
    <t>2871 SHALE CREEK DR</t>
  </si>
  <si>
    <t xml:space="preserve">KIRBY, HAL D  </t>
  </si>
  <si>
    <t>ARROWCREEK VILLAGE 2A LT 60</t>
  </si>
  <si>
    <t>3000 GRANITE POINTE DR</t>
  </si>
  <si>
    <t>YINGHONG, WENG et al</t>
  </si>
  <si>
    <t>JIN TIANFENG</t>
  </si>
  <si>
    <t xml:space="preserve">2479 RANGE VIEW CT </t>
  </si>
  <si>
    <t xml:space="preserve">ROUTSIS, JOHN B  </t>
  </si>
  <si>
    <t>ARROWCREEK VILLAGE 2B LT 12</t>
  </si>
  <si>
    <t>2971 ROUNDROCK CT</t>
  </si>
  <si>
    <t xml:space="preserve">KENYHERZ, TINA M </t>
  </si>
  <si>
    <t>ARROWCREEK VILLAGE 2B LT 31</t>
  </si>
  <si>
    <t>2973 EAGLE ROCK CT</t>
  </si>
  <si>
    <t xml:space="preserve">KATZ, MARY F &amp; HARVEY A </t>
  </si>
  <si>
    <t>105 PARKVIEW CIR</t>
  </si>
  <si>
    <t xml:space="preserve">REEL, JEREMY J </t>
  </si>
  <si>
    <t>ARROWCREEK VILLAGE 2B LT 3</t>
  </si>
  <si>
    <t>1050 INDIAN SUMMER CT</t>
  </si>
  <si>
    <t xml:space="preserve">BENO, BARBARA </t>
  </si>
  <si>
    <t xml:space="preserve">HEUER, PAUL &amp; MISTY </t>
  </si>
  <si>
    <t>ARROWCREEK 4B LT 440</t>
  </si>
  <si>
    <t>1042 INDIAN SUMMER CT</t>
  </si>
  <si>
    <t xml:space="preserve">SEWELL, TERENCE &amp; GABRIELLE </t>
  </si>
  <si>
    <t>ARROWCREEK 4B LT 441</t>
  </si>
  <si>
    <t>1015 TAOS RANCH CT</t>
  </si>
  <si>
    <t xml:space="preserve">MCCROSSIN, JAMES L &amp; JANNIFER A  </t>
  </si>
  <si>
    <t xml:space="preserve">1015 TAOS RANCH CT </t>
  </si>
  <si>
    <t xml:space="preserve">MAYO FOUNDATION FOR MEDICAL, EDUCATION &amp; RESEARCH </t>
  </si>
  <si>
    <t>ARROWCREEK 4B LT 419</t>
  </si>
  <si>
    <t>10025 W DESERT CANYON DR</t>
  </si>
  <si>
    <t xml:space="preserve">VU, TRUNG Q </t>
  </si>
  <si>
    <t xml:space="preserve">10025 W DESERT CANYON DR </t>
  </si>
  <si>
    <t>ARROWCREEK 4B LT 423</t>
  </si>
  <si>
    <t>10300 RAINMAKER CT</t>
  </si>
  <si>
    <t>ARROWCREEK 5</t>
  </si>
  <si>
    <t>RUSSELL, SCOTT A et al</t>
  </si>
  <si>
    <t>CUELENAERE LEONI</t>
  </si>
  <si>
    <t>850 COTTONWOOD RD</t>
  </si>
  <si>
    <t xml:space="preserve">RUSSELL, SCOTT A </t>
  </si>
  <si>
    <t>152-020-61</t>
  </si>
  <si>
    <t>ARROWCREEK 5 LT 503</t>
  </si>
  <si>
    <t>10292 RAINMAKER CT</t>
  </si>
  <si>
    <t xml:space="preserve">SCHULTZ REVOCABLE TRUST, PHILLIP A &amp; VIRGINIA M  </t>
  </si>
  <si>
    <t xml:space="preserve">SCHULTZ, PHILLIP A &amp; VIRGINIA M </t>
  </si>
  <si>
    <t>ARROWCREEK 5 LT 505</t>
  </si>
  <si>
    <t>3036 PALMER POINTE CT</t>
  </si>
  <si>
    <t>ARROWCREEK 7</t>
  </si>
  <si>
    <t xml:space="preserve">LOGAN MARITAL PROPERTY TRUST, RALPH E &amp; VALERIE R  </t>
  </si>
  <si>
    <t xml:space="preserve">LOGAN, RALPH E &amp; VALERIE R </t>
  </si>
  <si>
    <t>152-020-66</t>
  </si>
  <si>
    <t>ARROWCREEK 7 LT 706</t>
  </si>
  <si>
    <t>5330 VENTANA PKWY</t>
  </si>
  <si>
    <t xml:space="preserve">ALPERS FAMILY TRUST, ALAN &amp; ERIN  </t>
  </si>
  <si>
    <t>SOUTHWEST VISTAS 3 LT 503 BLK K</t>
  </si>
  <si>
    <t>1221 MESA CIR</t>
  </si>
  <si>
    <t xml:space="preserve">TURR, ANTHONY </t>
  </si>
  <si>
    <t>PO BOX 276415</t>
  </si>
  <si>
    <t>SOUTHWEST VISTAS 3 LT 608 BLK M</t>
  </si>
  <si>
    <t>6098 MESA RD</t>
  </si>
  <si>
    <t>BROWNE, JAMES M  et al</t>
  </si>
  <si>
    <t xml:space="preserve">6098 MESA RD </t>
  </si>
  <si>
    <t xml:space="preserve">LACEY, CONCETTA R </t>
  </si>
  <si>
    <t>SOUTHWEST VISTAS 3 LT 618 BLK N</t>
  </si>
  <si>
    <t>5862 N WHITE SANDS RD</t>
  </si>
  <si>
    <t xml:space="preserve">BURKHART, THOMAS H &amp; CHRISTINE A </t>
  </si>
  <si>
    <t xml:space="preserve">EVANS, MICHAEL C &amp; KAREN L </t>
  </si>
  <si>
    <t>SOUTHWEST VISTAS 3 LT 808 BLK S</t>
  </si>
  <si>
    <t>5802 N WHITE SANDS RD</t>
  </si>
  <si>
    <t xml:space="preserve">NISHIMURA, DEANE &amp; MARTHA </t>
  </si>
  <si>
    <t xml:space="preserve">ADKINS, PATRICIA J </t>
  </si>
  <si>
    <t>SOUTHWEST VISTAS 3 LT 812 BLK S</t>
  </si>
  <si>
    <t>5966 N WHITE SANDS RD</t>
  </si>
  <si>
    <t xml:space="preserve">FRANK, WILLIAM L &amp; BEATRIZ E </t>
  </si>
  <si>
    <t xml:space="preserve">MEYERKORTH LIVING TRUST  </t>
  </si>
  <si>
    <t>SOUTHWEST VISTAS 3 LT 828 BLK U</t>
  </si>
  <si>
    <t>5201 N ELK RIVER RD</t>
  </si>
  <si>
    <t xml:space="preserve">POINDEXTER, ROBERT R &amp; ELIZABETH </t>
  </si>
  <si>
    <t>TABUCCHI, JAMES S T  et al TTEE</t>
  </si>
  <si>
    <t>SOUTHWEST VISTAS 3 LT 707 BLK C</t>
  </si>
  <si>
    <t>144 MULE CREEK CIR</t>
  </si>
  <si>
    <t>EISELE, WALTER E  et al</t>
  </si>
  <si>
    <t xml:space="preserve">EISELE, WALTER E  </t>
  </si>
  <si>
    <t>SOUTHWEST VISTAS 3 LT 714 BLK C</t>
  </si>
  <si>
    <t>437 SOCORRO CT</t>
  </si>
  <si>
    <t xml:space="preserve">FALCOCCHIA, EDDIE </t>
  </si>
  <si>
    <t>ARROWCREEK 11 LT 1149</t>
  </si>
  <si>
    <t>3438 NAMBE DR</t>
  </si>
  <si>
    <t xml:space="preserve">MACLEAN, HAWLEY &amp; DAPHINE </t>
  </si>
  <si>
    <t>1325 AIRMOTIVE WAY STE 390</t>
  </si>
  <si>
    <t>ARROWCREEK 11 LT 1115</t>
  </si>
  <si>
    <t>3410 NAMBE DR</t>
  </si>
  <si>
    <t xml:space="preserve">BURNEY FAMILY TRUST  </t>
  </si>
  <si>
    <t xml:space="preserve">TROTTER FAMILY LP </t>
  </si>
  <si>
    <t>ARROWCREEK 11 LT 1119</t>
  </si>
  <si>
    <t>386 QUESTA CT</t>
  </si>
  <si>
    <t xml:space="preserve">HUMPHREY, ALAN E  </t>
  </si>
  <si>
    <t xml:space="preserve">386 QUESTA CT </t>
  </si>
  <si>
    <t xml:space="preserve">ROSS FAMILY TRUST, RICHARD &amp; LYNDA  </t>
  </si>
  <si>
    <t>ARROWCREEK 11 LT 1125</t>
  </si>
  <si>
    <t>3368 NAMBE DR</t>
  </si>
  <si>
    <t xml:space="preserve">SHEPHERD, NIGEL &amp; VICTORIA </t>
  </si>
  <si>
    <t xml:space="preserve">SMITH, TROY &amp; JENNIFER K </t>
  </si>
  <si>
    <t>152-010-23</t>
  </si>
  <si>
    <t>ARROWCREEK 11 LT 1127A (RS 3653)</t>
  </si>
  <si>
    <t>3516 PAINTED VISTA DR</t>
  </si>
  <si>
    <t xml:space="preserve">STEINGARD REVOCABLE TRUST, CAROL  </t>
  </si>
  <si>
    <t>ARROWCREEK 12A LT 1278</t>
  </si>
  <si>
    <t>513 SPIRIT RIDGE CT</t>
  </si>
  <si>
    <t xml:space="preserve">ANDERSON, JAMES R &amp; PATRICIA E </t>
  </si>
  <si>
    <t>ARROWCREEK 12A LT 1220</t>
  </si>
  <si>
    <t>583 ECHO RIDGE CT</t>
  </si>
  <si>
    <t xml:space="preserve">BRIGHTWELL, NICHOLAS &amp; AMANDA </t>
  </si>
  <si>
    <t xml:space="preserve">MOURELATOS FAMILY TRUST, PAULA  </t>
  </si>
  <si>
    <t>152-010-21</t>
  </si>
  <si>
    <t>ARROWCREEK 12B LT 1259</t>
  </si>
  <si>
    <t>629 RABBIT RIDGE CT</t>
  </si>
  <si>
    <t xml:space="preserve">SIZELOVE, ANDREW P &amp; MEGAN S  </t>
  </si>
  <si>
    <t xml:space="preserve">629 RABBIT RIDGE </t>
  </si>
  <si>
    <t>MURRAY, KEVIN W &amp; LYNNE P TTEE et al</t>
  </si>
  <si>
    <t>ARROWCREEK 12B LT 1269</t>
  </si>
  <si>
    <t>2767 SKY HORSE TRL</t>
  </si>
  <si>
    <t xml:space="preserve">KATONA FAMILY LIVING TRUST  </t>
  </si>
  <si>
    <t xml:space="preserve">KATONA, JOHN B &amp; ANNE S </t>
  </si>
  <si>
    <t>ARROWCREEK VILLAGE 1B LT 81</t>
  </si>
  <si>
    <t>2775 SKY HORSE TRL</t>
  </si>
  <si>
    <t xml:space="preserve">NEWCOME, MARK A &amp; CINDY L  </t>
  </si>
  <si>
    <t xml:space="preserve">SUMMERS, JAMES B &amp; TRISA M </t>
  </si>
  <si>
    <t>ARROWCREEK VILLAGE 1B LT 78</t>
  </si>
  <si>
    <t>2768 SKY HORSE TRL</t>
  </si>
  <si>
    <t xml:space="preserve">GIBBONS, JAMES A </t>
  </si>
  <si>
    <t xml:space="preserve">WARM, IRA &amp; MARGARET </t>
  </si>
  <si>
    <t>ARROWCREEK VILLAGE 1B LT 73</t>
  </si>
  <si>
    <t>2757 SPIRIT ROCK TRL</t>
  </si>
  <si>
    <t xml:space="preserve">LEWMAN, CHOI HA &amp; DANIEL R  </t>
  </si>
  <si>
    <t xml:space="preserve">MAKI LIVING TRUST  </t>
  </si>
  <si>
    <t>ARROWCREEK VILLAGE 1B LT 63</t>
  </si>
  <si>
    <t>603 ROSE PEAK CT</t>
  </si>
  <si>
    <t xml:space="preserve">HASS REVOCABLE TRUST  </t>
  </si>
  <si>
    <t>18124 WEDGE PKWY PMB 446</t>
  </si>
  <si>
    <t xml:space="preserve">STAUB, CARL A &amp; KIM </t>
  </si>
  <si>
    <t>152-010-26</t>
  </si>
  <si>
    <t>ARROWCREEK 13 LT 1307</t>
  </si>
  <si>
    <t>605 ROSE PEAK CT</t>
  </si>
  <si>
    <t xml:space="preserve">WIMBUSH FAMILY TRUST  </t>
  </si>
  <si>
    <t xml:space="preserve">WIMBUSH, MARK &amp; LOIS </t>
  </si>
  <si>
    <t>ARROWCREEK 13 LT 1308</t>
  </si>
  <si>
    <t>3661 SPIRIT BLUFF CT</t>
  </si>
  <si>
    <t>DINAPOLI, JULIE K et al</t>
  </si>
  <si>
    <t xml:space="preserve">DINAPOLI, JULIE K </t>
  </si>
  <si>
    <t>152-350-11</t>
  </si>
  <si>
    <t>ARROWCREEK 13 LT 1323</t>
  </si>
  <si>
    <t>3116 MARBLE RIDGE CT</t>
  </si>
  <si>
    <t xml:space="preserve">GRAVILLE, BENJAMIN &amp; TRACEY S  </t>
  </si>
  <si>
    <t xml:space="preserve">WORTHAM, GARY &amp; KAREN </t>
  </si>
  <si>
    <t>ARROWCREEK VILLAGE 3 LT 23</t>
  </si>
  <si>
    <t>1142 EAGLE VISTA CT</t>
  </si>
  <si>
    <t xml:space="preserve">DAHM 2005 TRUST, JAMES J &amp; LESLIE A  </t>
  </si>
  <si>
    <t xml:space="preserve">DEMGEN, JOHN M &amp; JOAN S </t>
  </si>
  <si>
    <t>ARROWCREEK 8 LT 809</t>
  </si>
  <si>
    <t>3408 WHITE MOUNTAIN CT</t>
  </si>
  <si>
    <t xml:space="preserve">LACKSHIN, ERIC B </t>
  </si>
  <si>
    <t>ARROWCREEK VILLAGE 4 UT 4 LT 417</t>
  </si>
  <si>
    <t>3388 WHITE MOUNTAIN CT</t>
  </si>
  <si>
    <t xml:space="preserve">SHERMAN, SCOT H &amp; MARNE </t>
  </si>
  <si>
    <t xml:space="preserve">MACK, ROBERT J &amp; KAREN L </t>
  </si>
  <si>
    <t>ARROWCREEK VILLAGE 4 UT 4 LT 416</t>
  </si>
  <si>
    <t>3382 WHITE MOUNTAIN CT</t>
  </si>
  <si>
    <t xml:space="preserve">HIGGINS, BRUCE D &amp; JEANNE M </t>
  </si>
  <si>
    <t xml:space="preserve">REGNIER, A PAUL &amp; NANCY A </t>
  </si>
  <si>
    <t>ARROWCREEK VILLAGE 4 UT 4 LT 415</t>
  </si>
  <si>
    <t>3370 WHITE MOUNTAIN CT</t>
  </si>
  <si>
    <t xml:space="preserve">WRIGHT, RICHARD G &amp; ALICIA R </t>
  </si>
  <si>
    <t xml:space="preserve">MELBERG, PHYLLIS M </t>
  </si>
  <si>
    <t>ARROWCREEK VILLAGE 4 UT 4 LT 413</t>
  </si>
  <si>
    <t>5870 FLOWERING SAGE CT</t>
  </si>
  <si>
    <t xml:space="preserve">ENGELHART, JAMES A &amp; RUTH E  </t>
  </si>
  <si>
    <t xml:space="preserve">5870 FLOWERING SAGE CT </t>
  </si>
  <si>
    <t>ARROWCREEK 23 LT 2301</t>
  </si>
  <si>
    <t xml:space="preserve"> FLOWERING SAGE TRL</t>
  </si>
  <si>
    <t>ARROWCREEK 23 LT 2316</t>
  </si>
  <si>
    <t>11025 MONTANO RANCH CT</t>
  </si>
  <si>
    <t>ARROWCREEK 22 LT 2211</t>
  </si>
  <si>
    <t>11005 MONTANO RANCH CT</t>
  </si>
  <si>
    <t xml:space="preserve">LIEBMAN, ALAN J &amp; SUSAN W </t>
  </si>
  <si>
    <t>2405 GLENVIEW RD</t>
  </si>
  <si>
    <t>GLENVIEW</t>
  </si>
  <si>
    <t xml:space="preserve">GUSTAFSON, KEVIN R &amp; KALI G </t>
  </si>
  <si>
    <t>ARROWCREEK 22 LT 2209</t>
  </si>
  <si>
    <t>5812 N 12TH ST #16</t>
  </si>
  <si>
    <t xml:space="preserve">AGKG TRUST  </t>
  </si>
  <si>
    <t>5745 FLOWERING SAGE TRL</t>
  </si>
  <si>
    <t>ARROWCREEK 22 LT 2205</t>
  </si>
  <si>
    <t>4020 COCOPAH CT</t>
  </si>
  <si>
    <t xml:space="preserve">DRAGICS TRUST , CAROLYN  </t>
  </si>
  <si>
    <t>10400 PINE NEEDLE TR</t>
  </si>
  <si>
    <t>STRONGVILLE</t>
  </si>
  <si>
    <t>44149</t>
  </si>
  <si>
    <t xml:space="preserve">DRAGICS, MICHAEL S &amp; CAROLYN </t>
  </si>
  <si>
    <t>ARROWCREEK 31 LT 3103</t>
  </si>
  <si>
    <t>10072 VIA SOLANO</t>
  </si>
  <si>
    <t xml:space="preserve">SPICER, MARY C &amp; DONALD E   </t>
  </si>
  <si>
    <t>ARROWCREEK 31 LT 3114</t>
  </si>
  <si>
    <t>10058 VIA SOLANO</t>
  </si>
  <si>
    <t>WANG, JI et al</t>
  </si>
  <si>
    <t>LI MIN</t>
  </si>
  <si>
    <t>ARROWCREEK 31 LT 3113</t>
  </si>
  <si>
    <t>10142 VIA VERONA</t>
  </si>
  <si>
    <t xml:space="preserve">KLASCH, JOSEPH T &amp; VICTORIA M </t>
  </si>
  <si>
    <t xml:space="preserve">10142 VIA VERONA </t>
  </si>
  <si>
    <t>ARROWCREEK 31 LT 3119</t>
  </si>
  <si>
    <t>6600 MARBLE CANYON RD</t>
  </si>
  <si>
    <t xml:space="preserve">CAMERON, JAMES J </t>
  </si>
  <si>
    <t>SOUTHWEST VISTAS 4A LT 1047</t>
  </si>
  <si>
    <t>7005 COUR ST MICHELLE</t>
  </si>
  <si>
    <t xml:space="preserve">GIOLITO, DION </t>
  </si>
  <si>
    <t>7005 COUR ST MICHELE</t>
  </si>
  <si>
    <t>ARROWCREEK 16 LT 1635</t>
  </si>
  <si>
    <t>5895 SUNSET RIDGE CT</t>
  </si>
  <si>
    <t xml:space="preserve">RUPPERT, RYAN &amp; JESSE  </t>
  </si>
  <si>
    <t>10830 RUSHING FLUME DR</t>
  </si>
  <si>
    <t>ARROWCREEK 24A LT 2401</t>
  </si>
  <si>
    <t>5910 SUNSET RIDGE CT</t>
  </si>
  <si>
    <t xml:space="preserve">POTTEY, CHARLES A &amp; DONNA J </t>
  </si>
  <si>
    <t>ARROWCREEK 24A LT 2408</t>
  </si>
  <si>
    <t xml:space="preserve">DON K CALLAHAN INSURANCE CONSU, PROFIT SHARING PLAN </t>
  </si>
  <si>
    <t>3445 WHITE MOUNTAIN CT</t>
  </si>
  <si>
    <t xml:space="preserve">GUSTAFSON, KEVIN R </t>
  </si>
  <si>
    <t>ARROWCREEK 19 LT 1937</t>
  </si>
  <si>
    <t>10266 VIA BIANCA</t>
  </si>
  <si>
    <t xml:space="preserve">DWYER LIVING TRUST, CLAUDIA   </t>
  </si>
  <si>
    <t>PO BOX 18057</t>
  </si>
  <si>
    <t xml:space="preserve">DWYER, CLAUDIA S </t>
  </si>
  <si>
    <t>ARROWCREEK 32 LT 3235</t>
  </si>
  <si>
    <t>10198 VIA COMO</t>
  </si>
  <si>
    <t xml:space="preserve">GREEN, JASON A &amp; MELISSA M  </t>
  </si>
  <si>
    <t xml:space="preserve">10198 VIA COMO </t>
  </si>
  <si>
    <t>ARROWCREEK 32 LT 3221</t>
  </si>
  <si>
    <t>5741 INDIGO RUN DR</t>
  </si>
  <si>
    <t xml:space="preserve">PASTOR, JULIA </t>
  </si>
  <si>
    <t xml:space="preserve">HENDRIX, KENNETH D </t>
  </si>
  <si>
    <t>ARROWCREEK 19 LT 1908</t>
  </si>
  <si>
    <t>2095 S TESUQUE RD</t>
  </si>
  <si>
    <t xml:space="preserve">MENSCH, DAVID E &amp; DEBORAH J  </t>
  </si>
  <si>
    <t xml:space="preserve">GRANDFIELD LIVING TRUST, JAMES M &amp; MONA I  </t>
  </si>
  <si>
    <t xml:space="preserve">SOUTHWEST VISTAS 4B LT 1034 </t>
  </si>
  <si>
    <t>2169 S TESUQUE RD</t>
  </si>
  <si>
    <t xml:space="preserve">FARRENKOPF, BRUCE C &amp; PAULA L  </t>
  </si>
  <si>
    <t xml:space="preserve">BRENNER, MICHAEL D &amp; TAMRA L </t>
  </si>
  <si>
    <t xml:space="preserve">SOUTHWEST VISTAS 4B LT 1029 </t>
  </si>
  <si>
    <t>2185 KINGMAN CT</t>
  </si>
  <si>
    <t xml:space="preserve">SWEET, AUSTIN K &amp; KERRY A  </t>
  </si>
  <si>
    <t xml:space="preserve">SOUTHWEST VISTAS 4B LT 1040 </t>
  </si>
  <si>
    <t>2201 S TESUQUE RD</t>
  </si>
  <si>
    <t>STUMP, CHAD M  et al</t>
  </si>
  <si>
    <t>GARRY ELIZABETH A</t>
  </si>
  <si>
    <t xml:space="preserve">MUNKDALE FAMILY TRUST  </t>
  </si>
  <si>
    <t xml:space="preserve">SOUTHWEST VISTAS 4B LT 1025 </t>
  </si>
  <si>
    <t>2184 S TESUQUE RD</t>
  </si>
  <si>
    <t xml:space="preserve">DEVRIES, KAREN L  </t>
  </si>
  <si>
    <t xml:space="preserve">BARSAMIAN, BRUCE B &amp; BEVERLY D </t>
  </si>
  <si>
    <t xml:space="preserve">SOUTHWEST VISTAS 4B LT 1023 </t>
  </si>
  <si>
    <t>10705 RENEGADE CT</t>
  </si>
  <si>
    <t>ARROWCREEK 20</t>
  </si>
  <si>
    <t xml:space="preserve">RUSHTON-DAVIS LIVING TRUST  </t>
  </si>
  <si>
    <t xml:space="preserve">10705 RENEGADE CT </t>
  </si>
  <si>
    <t>RUSHTON, RICHARD M  et al</t>
  </si>
  <si>
    <t>ARROWCREEK 20 LT 14</t>
  </si>
  <si>
    <t>6165 S FEATHERSTONE CIR</t>
  </si>
  <si>
    <t xml:space="preserve">MEJIA, CARLOS JR &amp; ANDREA </t>
  </si>
  <si>
    <t>ARROWCREEK 20 LT 5</t>
  </si>
  <si>
    <t>12300 HIGH VISTA DR</t>
  </si>
  <si>
    <t>ARROWCREEK 24B</t>
  </si>
  <si>
    <t>152-430-11</t>
  </si>
  <si>
    <t>ARROWCREEK 24B LT 2421</t>
  </si>
  <si>
    <t>203 SNOW CREEK CT</t>
  </si>
  <si>
    <t xml:space="preserve">MARSHALL, DONALD E &amp; HEATHER S  </t>
  </si>
  <si>
    <t xml:space="preserve">ASPLUND, BERT J &amp; YOUNG AE </t>
  </si>
  <si>
    <t>SOUTHWEST VISTAS  5  LT 718</t>
  </si>
  <si>
    <t>10811 ZOELLER CT</t>
  </si>
  <si>
    <t xml:space="preserve">HEYWOOD REVOCABLE TRUST, ROBERT &amp; CAROL   </t>
  </si>
  <si>
    <t>PO BOX 2800-PMB278</t>
  </si>
  <si>
    <t>CAREFREE</t>
  </si>
  <si>
    <t>85377</t>
  </si>
  <si>
    <t xml:space="preserve">HAYWARD LIVING TRUST  </t>
  </si>
  <si>
    <t xml:space="preserve">ARROWCREEK 25 LT 9 </t>
  </si>
  <si>
    <t>7315 MASTERS DR</t>
  </si>
  <si>
    <t>WALKER, ELISABETH D M et al</t>
  </si>
  <si>
    <t xml:space="preserve">ARROWCREEK 25 LT 30 </t>
  </si>
  <si>
    <t>10556 RUE D FLORE</t>
  </si>
  <si>
    <t xml:space="preserve">FISHER, MICHAEL &amp; KAREN </t>
  </si>
  <si>
    <t xml:space="preserve">HARRIS, LORRAINE M &amp; ROY </t>
  </si>
  <si>
    <t>ARROWCREEK 15  LT 1531</t>
  </si>
  <si>
    <t>10514 RUE D FLORE</t>
  </si>
  <si>
    <t xml:space="preserve">STEELE FAMILY TRUST, DAVID &amp; MARY  </t>
  </si>
  <si>
    <t xml:space="preserve">TRIPPET FAMILY TRUST  </t>
  </si>
  <si>
    <t>ARROWCREEK 15  LT 1528</t>
  </si>
  <si>
    <t>10515 RUE D FLORE</t>
  </si>
  <si>
    <t xml:space="preserve">WOODBURN, RICHARD F &amp; JANE L </t>
  </si>
  <si>
    <t>REN, WEI W et al</t>
  </si>
  <si>
    <t>ARROWCREEK 15  LT 1504</t>
  </si>
  <si>
    <t>7280 TEMPE CT</t>
  </si>
  <si>
    <t>SOUTHWEST VISTAS 6</t>
  </si>
  <si>
    <t xml:space="preserve">ENRIGHT, ANTHONY &amp; DENISE L  </t>
  </si>
  <si>
    <t xml:space="preserve">BERTSCH, FRED M &amp; CYNTHIA V </t>
  </si>
  <si>
    <t>SOUTHWEST VISTAS 6 LT 877</t>
  </si>
  <si>
    <t>6532 MASTERS DR</t>
  </si>
  <si>
    <t xml:space="preserve">BRUNTZ FAMILY TRUST  </t>
  </si>
  <si>
    <t xml:space="preserve">BRUNTZ, LANCE &amp; TRACY  </t>
  </si>
  <si>
    <t>ARROWCREEK 26 LT 2644</t>
  </si>
  <si>
    <t>6533 SALT BRUSH CT</t>
  </si>
  <si>
    <t>9631 GLEN RIDGE DR</t>
  </si>
  <si>
    <t>ARROWCREEK 26 LT 2630</t>
  </si>
  <si>
    <t>6565 SALT BRUSH CT</t>
  </si>
  <si>
    <t xml:space="preserve">SORENSEN, THOMAS J &amp; ANDREA  </t>
  </si>
  <si>
    <t>4871 TURNING LEAF WY</t>
  </si>
  <si>
    <t>ARROWCREEK 26 LT 2629</t>
  </si>
  <si>
    <t>6672 MASTERS DR</t>
  </si>
  <si>
    <t xml:space="preserve">BUTTERFLY RANCH LLC  </t>
  </si>
  <si>
    <t>110 PACIFIC AVE # 215</t>
  </si>
  <si>
    <t xml:space="preserve">MORANDI TRUST  </t>
  </si>
  <si>
    <t>ARROWCREEK 26 LT 2647</t>
  </si>
  <si>
    <t>6801 OAK GRASS CT</t>
  </si>
  <si>
    <t xml:space="preserve">AVERY, KEITH R &amp; CAROLE A  </t>
  </si>
  <si>
    <t>BECKER FAMILY TRUST et al TTEE</t>
  </si>
  <si>
    <t>ARROWCREEK 26 LT 2614</t>
  </si>
  <si>
    <t>6205 ELK IVORY DR</t>
  </si>
  <si>
    <t>YOUNG, DAVID R  et al</t>
  </si>
  <si>
    <t xml:space="preserve">MAKELY REBECCA E </t>
  </si>
  <si>
    <t xml:space="preserve">8400 REAGAN GLEN </t>
  </si>
  <si>
    <t>ARROWCREEK 28 LT 2824</t>
  </si>
  <si>
    <t>6180 SIERRA MESA DR</t>
  </si>
  <si>
    <t xml:space="preserve">MAGEE, PETER J JR </t>
  </si>
  <si>
    <t>6180 SIERRA MESA ST</t>
  </si>
  <si>
    <t>ARROWCREEK 28 LT 2803</t>
  </si>
  <si>
    <t>3935 MULES EAR CT</t>
  </si>
  <si>
    <t>RS 4626</t>
  </si>
  <si>
    <t xml:space="preserve">CEASRI, TODD W &amp; KRISTIN E </t>
  </si>
  <si>
    <t>152-902-02</t>
  </si>
  <si>
    <t>RS 4626 LT 2750B</t>
  </si>
  <si>
    <t>4010 GRAY FOX CT</t>
  </si>
  <si>
    <t xml:space="preserve">DAB HOLDINGS LLC </t>
  </si>
  <si>
    <t xml:space="preserve">770 TRADEMARK DR </t>
  </si>
  <si>
    <t>ARROWCREEK 27 LT 2744</t>
  </si>
  <si>
    <t>4070 GRAY FOX CT</t>
  </si>
  <si>
    <t>CHARLES P &amp; CYNTHIA C BLUTH TRUSTEE</t>
  </si>
  <si>
    <t>1730 HIGHWAY 50</t>
  </si>
  <si>
    <t>ARROWCREEK 27 LT 2742</t>
  </si>
  <si>
    <t>4035 GRAY FOX CT</t>
  </si>
  <si>
    <t>ARROWCREEK 27 LT 2738</t>
  </si>
  <si>
    <t>4110 SPOTTED EAGLE CT</t>
  </si>
  <si>
    <t>ARROWCREEK 27 LT 2730</t>
  </si>
  <si>
    <t>4165 DROP TINE CT</t>
  </si>
  <si>
    <t>CHOI, ANDY JAE  et al</t>
  </si>
  <si>
    <t xml:space="preserve">CHO YOOSUN </t>
  </si>
  <si>
    <t xml:space="preserve">4165 DROP TINE CT </t>
  </si>
  <si>
    <t xml:space="preserve">PEARCE CONSTRUCTION INC </t>
  </si>
  <si>
    <t>ARROWCREEK 27 LT 2717</t>
  </si>
  <si>
    <t>4195 DROP TINE CT</t>
  </si>
  <si>
    <t>ARROWCREEK 27 LT 2716</t>
  </si>
  <si>
    <t>4225 DROP TINE CT</t>
  </si>
  <si>
    <t>ARROWCREEK 27 LT 2715</t>
  </si>
  <si>
    <t>6020 MORMON TEA WAY</t>
  </si>
  <si>
    <t>ARROWCREEK UT 27 LT 2707</t>
  </si>
  <si>
    <t>5851 WINDING RIDGE DR</t>
  </si>
  <si>
    <t>ARROWCREEK 27 LT 2727</t>
  </si>
  <si>
    <t>257 E JEFFREY PINE RD</t>
  </si>
  <si>
    <t>SCOTCH PINES EST FR 8 &amp;</t>
  </si>
  <si>
    <t xml:space="preserve">HAUTH, JEFFREY &amp; NANCY </t>
  </si>
  <si>
    <t>9503 NORTHSIDE DR</t>
  </si>
  <si>
    <t>LEONA VALLEY</t>
  </si>
  <si>
    <t>93551</t>
  </si>
  <si>
    <t xml:space="preserve">STIEG, DAVID E &amp; SUSAN L </t>
  </si>
  <si>
    <t>154-066-10</t>
  </si>
  <si>
    <t>SCOTCH PINES EST FR LTS 8 &amp; 9 BLK C (RS 3840 LT 8A</t>
  </si>
  <si>
    <t>218 N EARLHAM CT</t>
  </si>
  <si>
    <t xml:space="preserve">PORZIG, ULLRICH E &amp; LINDA K  </t>
  </si>
  <si>
    <t xml:space="preserve">218 N EARLHAM CT </t>
  </si>
  <si>
    <t xml:space="preserve">COURTNEY, KATHRYN A </t>
  </si>
  <si>
    <t>ST JAMES VILLAGE 1D LT 426 BLK D</t>
  </si>
  <si>
    <t>222 N EARLHAM CT</t>
  </si>
  <si>
    <t xml:space="preserve">HAUGHIAN, ROBERT D &amp; MARY K </t>
  </si>
  <si>
    <t xml:space="preserve">WEISS FAMILY TRUST, HOWARD &amp; SALLY   </t>
  </si>
  <si>
    <t>ST JAMES VILLAGE 1D LT 424 BLK D</t>
  </si>
  <si>
    <t>212 WATERMAN CT</t>
  </si>
  <si>
    <t xml:space="preserve">GORDON, JEFFREY D &amp; CHERYL L </t>
  </si>
  <si>
    <t xml:space="preserve">212 WATERMAN CT </t>
  </si>
  <si>
    <t>ST JAMES VILLAGE 1D LT 418 BLK D</t>
  </si>
  <si>
    <t>205 PADDINGTON CT</t>
  </si>
  <si>
    <t>CHRIS P &amp; FREDA KURTZ TRUSTEE</t>
  </si>
  <si>
    <t>202 PADDINGTON CT</t>
  </si>
  <si>
    <t xml:space="preserve">DOUGLASS, SCOTT H &amp; KRISTA </t>
  </si>
  <si>
    <t>ST JAMES VILLAGE 1D LT 409 BLK D</t>
  </si>
  <si>
    <t>224 S EARLHAM CT</t>
  </si>
  <si>
    <t xml:space="preserve">LONG, RONALD &amp; ELIZABETH </t>
  </si>
  <si>
    <t xml:space="preserve">DUNCAN, STEVEN R &amp; DOROTHEA </t>
  </si>
  <si>
    <t>ST JAMES VILLAGE 1D LT 446 BLK F</t>
  </si>
  <si>
    <t>194 E MARCHMONT LN</t>
  </si>
  <si>
    <t xml:space="preserve">PENNINGTON, JERRY B &amp; LINNEA W  </t>
  </si>
  <si>
    <t xml:space="preserve">194 MARCHMONT LN </t>
  </si>
  <si>
    <t xml:space="preserve">MILLS, FREDERICK L &amp; VALERIE </t>
  </si>
  <si>
    <t>ST JAMES VILLAGE 1D LT 433 BLK E</t>
  </si>
  <si>
    <t>375 TIMBERCREEK CT</t>
  </si>
  <si>
    <t xml:space="preserve">MURPHY FAMILY TRUST, MICHAEL &amp; JUANITA  </t>
  </si>
  <si>
    <t>2152 S TESUEQUE RD</t>
  </si>
  <si>
    <t xml:space="preserve">MURPHY, MICHAEL J &amp; JUANITA J </t>
  </si>
  <si>
    <t>ST JAMES VILLAGE 2A LT 509</t>
  </si>
  <si>
    <t>206 MARCHMONT CT</t>
  </si>
  <si>
    <t>ST JAMES VILLAGE 1E</t>
  </si>
  <si>
    <t xml:space="preserve">HUDSON, STACEY A F &amp; SAMANTHA R </t>
  </si>
  <si>
    <t xml:space="preserve">TABRIZI, FARZAD &amp; CAROL </t>
  </si>
  <si>
    <t>046-060-48</t>
  </si>
  <si>
    <t>ST JAMES VILLAGE 1E LT 614</t>
  </si>
  <si>
    <t>227 SHEPHERD`S BUSH CT</t>
  </si>
  <si>
    <t xml:space="preserve">ALLTHAUS, SANDRA J </t>
  </si>
  <si>
    <t>ST JAMES`S VILLAGE 1G LT 801</t>
  </si>
  <si>
    <t>10450 S VIRGINIA ST</t>
  </si>
  <si>
    <t>PM 937</t>
  </si>
  <si>
    <t xml:space="preserve">MAC DONALD FAMILY TRUST  </t>
  </si>
  <si>
    <t>PAUL G &amp; CATHERINE M MAC DONALD TRUSTEE</t>
  </si>
  <si>
    <t>42 BENNINGTON CT</t>
  </si>
  <si>
    <t>022-252-02</t>
  </si>
  <si>
    <t>PM 937 LT 3</t>
  </si>
  <si>
    <t>9555 COMANCHE MOON DR</t>
  </si>
  <si>
    <t xml:space="preserve">JOHNSON, LOIS J </t>
  </si>
  <si>
    <t>DOUBLE DIAMOND RANCH 1A LT 60</t>
  </si>
  <si>
    <t>9565 COMANCHE MOON DR</t>
  </si>
  <si>
    <t xml:space="preserve">IRBY SURVIVOR`S TRUST  </t>
  </si>
  <si>
    <t>RENA E IRBY TRUSTEE</t>
  </si>
  <si>
    <t xml:space="preserve">9565 COMANCHE MOON DR </t>
  </si>
  <si>
    <t>DOUBLE DIAMOND RANCH 1A LT 59</t>
  </si>
  <si>
    <t>1533 DIAMOND COUNTRY DR</t>
  </si>
  <si>
    <t xml:space="preserve">MANNING, ROBERT &amp; LOIS </t>
  </si>
  <si>
    <t xml:space="preserve">MUELLER, ROBERT C &amp; SUSAN F </t>
  </si>
  <si>
    <t>DOUBLE DIAMOND RANCH 12A LT 12</t>
  </si>
  <si>
    <t>1517 DIAMOND COUNTRY DR</t>
  </si>
  <si>
    <t xml:space="preserve">SANFORD FAMILY TRUST  </t>
  </si>
  <si>
    <t>DALE V SANFORD TRUSTEE</t>
  </si>
  <si>
    <t>1509 DIAMOND COUNTRY DR</t>
  </si>
  <si>
    <t xml:space="preserve">COTE, THOMAS J </t>
  </si>
  <si>
    <t>DOUBLE DIAMOND RANCH 12A LT 14</t>
  </si>
  <si>
    <t>9788 NORTHRUP DR</t>
  </si>
  <si>
    <t xml:space="preserve">DEVENCENZI TRUST, MARK S &amp; DORTHY M  </t>
  </si>
  <si>
    <t>1605 TAOS LN</t>
  </si>
  <si>
    <t xml:space="preserve">DEVENCENZI, MARK S &amp; DORTHY M </t>
  </si>
  <si>
    <t>DOUBLE DIAMOND RANCH 3 LT 75</t>
  </si>
  <si>
    <t>9647 NORTHRUP DR</t>
  </si>
  <si>
    <t xml:space="preserve">QUINTON, WENDEL &amp; ALYSMAY </t>
  </si>
  <si>
    <t>13400 STONEY BROOK DR</t>
  </si>
  <si>
    <t>DOUBLE DIAMOND RANCH 3 LT 16</t>
  </si>
  <si>
    <t>9692 NORTHRUP DR</t>
  </si>
  <si>
    <t xml:space="preserve">LO TRUST, HELEN C   </t>
  </si>
  <si>
    <t xml:space="preserve">MORRISSEY, JEANNE </t>
  </si>
  <si>
    <t>DOUBLE DIAMOND RANCH 3 LT 39</t>
  </si>
  <si>
    <t>1780 NORTHRUP CT</t>
  </si>
  <si>
    <t xml:space="preserve">GLACKEN, SHANE M  </t>
  </si>
  <si>
    <t xml:space="preserve">WILKIN, GREG B </t>
  </si>
  <si>
    <t>DOUBLE DIAMOND RANCH 3 LT 31</t>
  </si>
  <si>
    <t>9788 THUNDER MOUNTAIN WAY</t>
  </si>
  <si>
    <t xml:space="preserve">HARGROVE, CHANTE A </t>
  </si>
  <si>
    <t xml:space="preserve">WAHL, THERESE </t>
  </si>
  <si>
    <t>DOUBLE DIAMOND RANCH 3 LT 26</t>
  </si>
  <si>
    <t>1650 LEGACY VILLAGE RD</t>
  </si>
  <si>
    <t>DOUBLE DIAMOND RANCH 2A</t>
  </si>
  <si>
    <t xml:space="preserve">HOLMES, DAVID S &amp; TANYA   </t>
  </si>
  <si>
    <t xml:space="preserve">1650 LEGACY VILLAGE RD </t>
  </si>
  <si>
    <t xml:space="preserve">HOFFMAN, JULIE L </t>
  </si>
  <si>
    <t>022-353-08</t>
  </si>
  <si>
    <t>DOUBLE DIAMOND RANCH 2A LT 107 BLK I</t>
  </si>
  <si>
    <t>1665 LEGACY VILLAGE RD</t>
  </si>
  <si>
    <t xml:space="preserve">MUELLER, CAROL N </t>
  </si>
  <si>
    <t>1435 WESTWOOD DR</t>
  </si>
  <si>
    <t xml:space="preserve">LUCAS, MICHAEL R </t>
  </si>
  <si>
    <t>DOUBLE DIAMOND RANCH 2A LT 25 BLK B</t>
  </si>
  <si>
    <t>9660 OAKLEY LN</t>
  </si>
  <si>
    <t xml:space="preserve">TAYLOR, MICHAEL S </t>
  </si>
  <si>
    <t>DOUBLE DIAMOND RANCH 2A LT 21 BLK B</t>
  </si>
  <si>
    <t>9680 N LEGACY CT</t>
  </si>
  <si>
    <t>LOMONACO, ROBERT A et al</t>
  </si>
  <si>
    <t xml:space="preserve">LOMONACO, ROBERT A </t>
  </si>
  <si>
    <t>DOUBLE DIAMOND RANCH 2A LT 6 BLK A</t>
  </si>
  <si>
    <t>9660 N LEGACY CT</t>
  </si>
  <si>
    <t>18124 WEDGE PARKWAY # 183</t>
  </si>
  <si>
    <t>DOUBLE DIAMOND RANCH 2A LT 4 BLK A</t>
  </si>
  <si>
    <t>9725 SHADOWSTONE CT</t>
  </si>
  <si>
    <t xml:space="preserve">LAWTON FAMILY LP, MADELEINE G </t>
  </si>
  <si>
    <t>203 PADDINGTON CT</t>
  </si>
  <si>
    <t xml:space="preserve">STREET FAMILY TRUST, ROY  </t>
  </si>
  <si>
    <t>DOUBLE DIAMOND RANCH 11A LT 9 BLK A</t>
  </si>
  <si>
    <t>9720 SHADOWSTONE CT</t>
  </si>
  <si>
    <t xml:space="preserve">JANDA, MARTIN R &amp; VIRGINIA R  </t>
  </si>
  <si>
    <t xml:space="preserve">9720 SHADOWSTONE CT </t>
  </si>
  <si>
    <t>DOUBLE DIAMOND RANCH 11A LT 2 BLK A</t>
  </si>
  <si>
    <t>1490 CAYUSE WAY</t>
  </si>
  <si>
    <t xml:space="preserve">NORDQUIST, JOSHUA A &amp; THERESA O </t>
  </si>
  <si>
    <t>DOUBLE DIAMOND RANCH 1B LT 86</t>
  </si>
  <si>
    <t>1275 TULE DR</t>
  </si>
  <si>
    <t xml:space="preserve">WEIDEMAIER, JOHN &amp; CYNTHIA  </t>
  </si>
  <si>
    <t xml:space="preserve">7270 THERESE TRAIL </t>
  </si>
  <si>
    <t xml:space="preserve">BROWNS VALLEY </t>
  </si>
  <si>
    <t>95918</t>
  </si>
  <si>
    <t>MEADOWS 1 LT 7</t>
  </si>
  <si>
    <t>9630 TRUCKEE MEADOWS PL</t>
  </si>
  <si>
    <t xml:space="preserve">MYERS TRUST, CAROLYN M  </t>
  </si>
  <si>
    <t>1771 GLEN COVE CT</t>
  </si>
  <si>
    <t xml:space="preserve">MYERS, CAROLYN </t>
  </si>
  <si>
    <t>THE MEADOWS 1 LT 44</t>
  </si>
  <si>
    <t>1272 TULE DR</t>
  </si>
  <si>
    <t xml:space="preserve">BYE, JEANETTE E </t>
  </si>
  <si>
    <t>3210 KESSARIS WAY</t>
  </si>
  <si>
    <t xml:space="preserve">QUANTUM SERVICING CORP </t>
  </si>
  <si>
    <t>160-334-15</t>
  </si>
  <si>
    <t>MEADOWS 1 LT 54</t>
  </si>
  <si>
    <t>9713 CATTAIL CIR</t>
  </si>
  <si>
    <t>MEADOWS 2</t>
  </si>
  <si>
    <t xml:space="preserve">JOHNSON, BENJAMIN R </t>
  </si>
  <si>
    <t xml:space="preserve">9713 CATTAIL CIR </t>
  </si>
  <si>
    <t xml:space="preserve">CATE-SIMON , KAREN </t>
  </si>
  <si>
    <t>MEADOWS 2 LT 104</t>
  </si>
  <si>
    <t>10390 COYOTE CREEK DR</t>
  </si>
  <si>
    <t xml:space="preserve">LONG, SILVIA B </t>
  </si>
  <si>
    <t>DOUBLE DIAMOND RANCH 5B LT 116 BLK J</t>
  </si>
  <si>
    <t>1681 DUTCH RAVINE CT</t>
  </si>
  <si>
    <t xml:space="preserve">ANDERSEN, VALERIE J </t>
  </si>
  <si>
    <t xml:space="preserve">ZIMMERMAN, PETER C &amp; CAROLYN J </t>
  </si>
  <si>
    <t>DOUBLE DIAMOND RANCH 5B LT 96 BLK I</t>
  </si>
  <si>
    <t>1600 RED GULCH CT</t>
  </si>
  <si>
    <t xml:space="preserve">BROUHARD, JEREMIAH G </t>
  </si>
  <si>
    <t>DOUBLE DIAMOND RANCH 5B LT 90 BLK I</t>
  </si>
  <si>
    <t>10325 COYOTE CREEK DR</t>
  </si>
  <si>
    <t>HOCKETT, BRYAN S et al</t>
  </si>
  <si>
    <t>OSHEA-HOCKETT REGINA</t>
  </si>
  <si>
    <t xml:space="preserve">PARK, EUGENE </t>
  </si>
  <si>
    <t>DOUBLE DIAMOND RANCH 5B LT 72 BLK G</t>
  </si>
  <si>
    <t>9590 APACHE ROSE DR</t>
  </si>
  <si>
    <t xml:space="preserve">SHAW, LOGAN S &amp; ASHLEY </t>
  </si>
  <si>
    <t xml:space="preserve">1408 COLTON PL </t>
  </si>
  <si>
    <t xml:space="preserve">MARTINEZ </t>
  </si>
  <si>
    <t xml:space="preserve">DALEY, JAYME D &amp; JOHN P </t>
  </si>
  <si>
    <t>DOUBLE DIAMOND RANCH 1C LT 97</t>
  </si>
  <si>
    <t>9555 APACHE ROSE DR</t>
  </si>
  <si>
    <t>LANDERMAN, LOUIS J et al</t>
  </si>
  <si>
    <t>NOSECEK-LANDERMAN ANGELA R</t>
  </si>
  <si>
    <t xml:space="preserve">DALEY, JOHN P &amp; JAYME D </t>
  </si>
  <si>
    <t>DOUBLE DIAMOND RANCH 1C LT 5</t>
  </si>
  <si>
    <t>9655 BOULDER CREEK LN</t>
  </si>
  <si>
    <t xml:space="preserve">REEVES, THOMAS L &amp; JEAN F </t>
  </si>
  <si>
    <t xml:space="preserve">MCDONALD, VICTOR L </t>
  </si>
  <si>
    <t>DOUBLE DIAMOND RANCH 2B LT 23 BLK E</t>
  </si>
  <si>
    <t>1721 THUNDER MOUNTAIN CT</t>
  </si>
  <si>
    <t xml:space="preserve">NASON, THOMAS </t>
  </si>
  <si>
    <t>DOUBLE DIAMOND RANCH 2B LT 16 BLK F</t>
  </si>
  <si>
    <t>1685 LEGACY VILLAGE RD</t>
  </si>
  <si>
    <t xml:space="preserve">GABRIELLI TRUST, JOAN T   </t>
  </si>
  <si>
    <t>HO, KIM-YEN THI et al</t>
  </si>
  <si>
    <t>DOUBLE DIAMOND RANCH 2B LT 37 BLK B</t>
  </si>
  <si>
    <t>9729 THUNDER MOUNTAIN WAY</t>
  </si>
  <si>
    <t xml:space="preserve">FRITZ, RONALD J </t>
  </si>
  <si>
    <t>DOUBLE DIAMOND RANCH 2C LT 1 BLK A</t>
  </si>
  <si>
    <t>9620 COMANCHE MOON DR</t>
  </si>
  <si>
    <t>REO</t>
  </si>
  <si>
    <t>DOUBLE DIAMOND RANCH 2C LT 17 BLK B</t>
  </si>
  <si>
    <t>9925 BANDANA WAY</t>
  </si>
  <si>
    <t>DOUBLE DIAMOND RANCH 12B</t>
  </si>
  <si>
    <t xml:space="preserve">IBANEZ, ALEJANDRO J &amp; ALISON K </t>
  </si>
  <si>
    <t xml:space="preserve">METZKER, GARY L </t>
  </si>
  <si>
    <t>160-102-05</t>
  </si>
  <si>
    <t>DOUBLE DIAMOND RANCH 12B LT 26</t>
  </si>
  <si>
    <t>9960 BANDANA WAY</t>
  </si>
  <si>
    <t xml:space="preserve">ANDERSON, JOHANN B &amp; JUN W </t>
  </si>
  <si>
    <t>TURK, DEBRA J et al</t>
  </si>
  <si>
    <t>DOUBLE DIAMOND RANCH 12B LT 81</t>
  </si>
  <si>
    <t>10440 SILVER RUSH CT</t>
  </si>
  <si>
    <t xml:space="preserve">HANSEN LIVING TRUST, EARL &amp; CONSTANCE  </t>
  </si>
  <si>
    <t>BARBARIA, JUDY F et al</t>
  </si>
  <si>
    <t>DOUBLE DIAMOND RANCH 14A LT 24 BLK A</t>
  </si>
  <si>
    <t>10420 SILVER RUSH CT</t>
  </si>
  <si>
    <t>CIMINO, STEVE et al</t>
  </si>
  <si>
    <t>DOUBLE DIAMOND RANCH 14A LT 26 BLK A</t>
  </si>
  <si>
    <t>10370 GOLD RUSH CT</t>
  </si>
  <si>
    <t xml:space="preserve">ADLER LIVING TRUST  </t>
  </si>
  <si>
    <t xml:space="preserve">ADLER, WAYNE R &amp; JILL </t>
  </si>
  <si>
    <t>DOUBLE DIAMOND RANCH 14A LT 30 BLK B</t>
  </si>
  <si>
    <t>9660 ROLLING ROCK WAY</t>
  </si>
  <si>
    <t xml:space="preserve">SUR, STEPHANIE </t>
  </si>
  <si>
    <t xml:space="preserve">SWENSON, PAUL L &amp; BONNIE J </t>
  </si>
  <si>
    <t>DOUBLE DIAMOND RANCH 11B LT 68 BLK D</t>
  </si>
  <si>
    <t>9676 OTTER WAY</t>
  </si>
  <si>
    <t>STEVENS, MICHA M et al</t>
  </si>
  <si>
    <t>MEADOWS 3 LT 107</t>
  </si>
  <si>
    <t>ROBERT M &amp; CANDICE K SADER TRUSTEE</t>
  </si>
  <si>
    <t>8600 TECHNOLOGY WAY STE 101</t>
  </si>
  <si>
    <t xml:space="preserve">BUNTYN-POTENZA, SUSAN </t>
  </si>
  <si>
    <t>1629 MOUNTAIN LN</t>
  </si>
  <si>
    <t xml:space="preserve">LEGAULT LIVING TRUST, TRUST B  </t>
  </si>
  <si>
    <t xml:space="preserve">LEGAULT, P E </t>
  </si>
  <si>
    <t>DOUBLE DIAMOND RANCH 6A LT 23 BLK A</t>
  </si>
  <si>
    <t>1603 MOUNTAIN LN</t>
  </si>
  <si>
    <t xml:space="preserve">MONTES, MARGARET A </t>
  </si>
  <si>
    <t xml:space="preserve">MOSCHETTI, MEGAN </t>
  </si>
  <si>
    <t>DOUBLE DIAMOND RANCH 6A LT 10 BLK A</t>
  </si>
  <si>
    <t>1608 ROCKY COVE LN</t>
  </si>
  <si>
    <t xml:space="preserve">BANGERT INVESTMENTS LLC </t>
  </si>
  <si>
    <t>P O BOX 1024</t>
  </si>
  <si>
    <t xml:space="preserve">MILLER JR, GARY E </t>
  </si>
  <si>
    <t>DOUBLE DIAMOND RANCH 6A LT 77 BLK D</t>
  </si>
  <si>
    <t>1681 ROCKY COVE LN</t>
  </si>
  <si>
    <t xml:space="preserve">VLA FAMILY TRUST  </t>
  </si>
  <si>
    <t xml:space="preserve">C/O LEVERTY &amp; ASSOC LAW            </t>
  </si>
  <si>
    <t>832 WILLOW ST</t>
  </si>
  <si>
    <t xml:space="preserve">MASSEY, GEORGIA </t>
  </si>
  <si>
    <t>DOUBLE DIAMOND RANCH 6A LT 84 BLK E</t>
  </si>
  <si>
    <t>1650 SUTTER PL</t>
  </si>
  <si>
    <t xml:space="preserve">WIKANDER, WERNER &amp; SHIRLEY A </t>
  </si>
  <si>
    <t>DOUBLE DIAMOND RANCH 6A LT 51 BLK C</t>
  </si>
  <si>
    <t>10439 SUMMERSHADE LN</t>
  </si>
  <si>
    <t xml:space="preserve">GORDON REVOCABLE LIV TRUST, JAMES F &amp; HELEN M  </t>
  </si>
  <si>
    <t xml:space="preserve">10439 SUMMERESHADE LN </t>
  </si>
  <si>
    <t xml:space="preserve">GORDON, HELEN </t>
  </si>
  <si>
    <t>DOUBLE DIAMOND RANCH 6A LT 101 BLK F</t>
  </si>
  <si>
    <t>9697 OTTER WAY</t>
  </si>
  <si>
    <t xml:space="preserve">BORDYCOTT LIVING TRUST  </t>
  </si>
  <si>
    <t>100 N ARLINGTON AVE #340</t>
  </si>
  <si>
    <t xml:space="preserve">TIONGSON, BELLA A </t>
  </si>
  <si>
    <t>MEADOWS 4 LT 152</t>
  </si>
  <si>
    <t>9740 RIPPLE WAY</t>
  </si>
  <si>
    <t xml:space="preserve">QUINN, CASEY P &amp; SHANNON M </t>
  </si>
  <si>
    <t xml:space="preserve">QUINN, SHANNON M </t>
  </si>
  <si>
    <t>MEADOWS 4 LT 184</t>
  </si>
  <si>
    <t>9724 RIPPLE WAY</t>
  </si>
  <si>
    <t xml:space="preserve">SHIELDS, SHERRY A </t>
  </si>
  <si>
    <t>531 KOHLEPP AVE</t>
  </si>
  <si>
    <t xml:space="preserve">GARDNER FAMILY TRUST, SAMUEL J  </t>
  </si>
  <si>
    <t>MEADOWS 4 LT 181</t>
  </si>
  <si>
    <t>9716 RIPPLE WAY</t>
  </si>
  <si>
    <t xml:space="preserve">SHERIFF, MARZIA I &amp; IMRAN </t>
  </si>
  <si>
    <t>MEADOWS 4 LT 179</t>
  </si>
  <si>
    <t>1108 SCENIC PARK TER</t>
  </si>
  <si>
    <t>REINHARDT, AARON W et al</t>
  </si>
  <si>
    <t>COSTELLA DANIELLE L</t>
  </si>
  <si>
    <t xml:space="preserve">FINNERTY, PATRICK &amp; ANGELA </t>
  </si>
  <si>
    <t>MEADOWS 4 LT 175</t>
  </si>
  <si>
    <t>9667 SHADOWSTONE WAY</t>
  </si>
  <si>
    <t>DOUBLE DIAMOND RANCH 11C</t>
  </si>
  <si>
    <t>BURAK, MATTHEW J et al</t>
  </si>
  <si>
    <t>RUBENSTEIN LAINIE D</t>
  </si>
  <si>
    <t>160-102-08</t>
  </si>
  <si>
    <t>DOUBLE DIAMOND RANCH 11C LT 79 BLK A</t>
  </si>
  <si>
    <t>9685 SHADOWSTONE WAY</t>
  </si>
  <si>
    <t xml:space="preserve">FRENCH LIVING TRUST  </t>
  </si>
  <si>
    <t>JOHN B &amp; DONNA J FRENCH TRUSTEE</t>
  </si>
  <si>
    <t>4170 LONGKNIFE RD</t>
  </si>
  <si>
    <t xml:space="preserve">FRENCH, JOHN B &amp; DONNA </t>
  </si>
  <si>
    <t>DOUBLE DIAMOND RANCH 11C LT 76 BLK A</t>
  </si>
  <si>
    <t>9650 SHADOWSTONE WAY</t>
  </si>
  <si>
    <t xml:space="preserve">MCDANIEL, DAVID L  </t>
  </si>
  <si>
    <t xml:space="preserve">9650 SHADOWSTONE WAY </t>
  </si>
  <si>
    <t xml:space="preserve">COSTA, DAVID &amp; LAURA </t>
  </si>
  <si>
    <t>DOUBLE DIAMOND RANCH 11C LT 95 BLK B</t>
  </si>
  <si>
    <t>1456 DIAMOND COUNTRY DR</t>
  </si>
  <si>
    <t xml:space="preserve">FAORO FAMILY TRUST, LOIS H  </t>
  </si>
  <si>
    <t xml:space="preserve">LEEMING, LOIS H </t>
  </si>
  <si>
    <t>DOUBLE DIAMOND RANCH 13A LT 34</t>
  </si>
  <si>
    <t>1476 WILD WOLF WAY</t>
  </si>
  <si>
    <t>W M HAAS LLC  LLC</t>
  </si>
  <si>
    <t>C/O ALICE HAAS</t>
  </si>
  <si>
    <t xml:space="preserve">1476 WILD WOLF WAY </t>
  </si>
  <si>
    <t>ROWE, JENNIFER TTEE et al</t>
  </si>
  <si>
    <t>DOUBLE DIAMOND RANCH 13A LT 4</t>
  </si>
  <si>
    <t>1487 WILD WOLF WAY</t>
  </si>
  <si>
    <t>DUNN, SUZANNE M et al</t>
  </si>
  <si>
    <t>1487 WILD WOLF</t>
  </si>
  <si>
    <t>DOUBLE DIAMOND RANCH 13A LT 13</t>
  </si>
  <si>
    <t>1409 WILD WOLF WAY</t>
  </si>
  <si>
    <t xml:space="preserve">BOLIN, WILLIAM M </t>
  </si>
  <si>
    <t>DOUBLE DIAMOND RANCH 13A LT 30</t>
  </si>
  <si>
    <t>1448 WILD WOLF WAY</t>
  </si>
  <si>
    <t xml:space="preserve">DEMERITT LIVING TRUST  </t>
  </si>
  <si>
    <t>844 HUFFAKER ESTATES CR</t>
  </si>
  <si>
    <t xml:space="preserve">CARLYLE TRUST, RUTH E  </t>
  </si>
  <si>
    <t>DOUBLE DIAMOND RANCH 13A LT 40</t>
  </si>
  <si>
    <t>1476 GAUCHO LN</t>
  </si>
  <si>
    <t xml:space="preserve">JACKSON, RONALD K &amp; DONNA L </t>
  </si>
  <si>
    <t xml:space="preserve">DANIELS TRUST, REX G SR &amp; RITA  </t>
  </si>
  <si>
    <t>DOUBLE DIAMOND RANCH 13A LT 58</t>
  </si>
  <si>
    <t>10175 DONNER PEAK DR</t>
  </si>
  <si>
    <t xml:space="preserve">RHODA, STEWART R &amp; KATHLEEN  </t>
  </si>
  <si>
    <t>DOUBLE DIAMOND RANCH 13A LT 47</t>
  </si>
  <si>
    <t>1444 GAUCHO LN</t>
  </si>
  <si>
    <t xml:space="preserve">ALDERMAN, HUBERT JR &amp; HELEN M </t>
  </si>
  <si>
    <t>DOUBLE DIAMOND RANCH 13B AMD LT 65</t>
  </si>
  <si>
    <t>10619 VISTA BONITA LN</t>
  </si>
  <si>
    <t xml:space="preserve">MIMS FAMILY TRUST  </t>
  </si>
  <si>
    <t>STEVEN G &amp; SHERRIE L MIMS TRUSTEE</t>
  </si>
  <si>
    <t>220 N EARLHAM CT</t>
  </si>
  <si>
    <t>DOUBLE DIAMOND RANCH 17A LT 8</t>
  </si>
  <si>
    <t>10535 VISTA ALTA DR</t>
  </si>
  <si>
    <t xml:space="preserve">LOREMAN, JUNE K </t>
  </si>
  <si>
    <t>DOUBLE DIAMOND RANCH 17A LT 15</t>
  </si>
  <si>
    <t>1295 VISTA ALTA CT</t>
  </si>
  <si>
    <t xml:space="preserve">TONN AB LIVING TRUST, ED &amp; JOY   </t>
  </si>
  <si>
    <t>2017 NICKLAUS CIR</t>
  </si>
  <si>
    <t xml:space="preserve">TONN, ED &amp; JOY L </t>
  </si>
  <si>
    <t>DOUBLE DIAMOND RANCH 17A LT 17</t>
  </si>
  <si>
    <t>10620 ARBOR WAY</t>
  </si>
  <si>
    <t>BLAU, DANIEL T  et al</t>
  </si>
  <si>
    <t xml:space="preserve">10620 ARBOR WAY </t>
  </si>
  <si>
    <t xml:space="preserve">NGUYEN, LUY D &amp; HOA T </t>
  </si>
  <si>
    <t>DOUBLE DIAMOND RANCH 17A LT 31</t>
  </si>
  <si>
    <t>1310 ARBOR CT</t>
  </si>
  <si>
    <t xml:space="preserve">FEENEY, SEAN M </t>
  </si>
  <si>
    <t xml:space="preserve">DAY, SUSAN R </t>
  </si>
  <si>
    <t>DOUBLE DIAMOND RANCH 17A LT 55</t>
  </si>
  <si>
    <t>1681 EMERALD BAY DR</t>
  </si>
  <si>
    <t xml:space="preserve">SUTHERLAND, RICHARD L JR &amp; AMANDA E  </t>
  </si>
  <si>
    <t xml:space="preserve">1681 EMERALD BAY DR </t>
  </si>
  <si>
    <t>DOUBLE DIAMOND RANCH 18 LT 15</t>
  </si>
  <si>
    <t>1801 EMERALD BAY DR</t>
  </si>
  <si>
    <t xml:space="preserve">PRICE, BRANDON &amp; KENDALL </t>
  </si>
  <si>
    <t xml:space="preserve">LEWIS TRUST, EDWARD S  </t>
  </si>
  <si>
    <t>DOUBLE DIAMOND RANCH 18 LT 26</t>
  </si>
  <si>
    <t>1751 EMERALD BAY DR</t>
  </si>
  <si>
    <t xml:space="preserve">SQUATRITO, ANNE-MARIE </t>
  </si>
  <si>
    <t>1751 EMERALD BAY</t>
  </si>
  <si>
    <t xml:space="preserve">STEINER, SUSAN L </t>
  </si>
  <si>
    <t>DOUBLE DIAMOND RANCH 18 LT 21</t>
  </si>
  <si>
    <t>10509 YUBA CT</t>
  </si>
  <si>
    <t>LE, KIM et al</t>
  </si>
  <si>
    <t>25661 CRESTFIELD CIR</t>
  </si>
  <si>
    <t xml:space="preserve">GEIST, KRISTIE &amp; MICHAEL </t>
  </si>
  <si>
    <t>DOUBLE DIAMOND RANCH 18 LT 65</t>
  </si>
  <si>
    <t>10504 MEEKS BAY CT</t>
  </si>
  <si>
    <t xml:space="preserve">AUSTIN, NANCY L </t>
  </si>
  <si>
    <t>160-660-07</t>
  </si>
  <si>
    <t>DOUBLE DIAMOND RANCH 18 LT 35 ADJ  RS 4035 LT 35A</t>
  </si>
  <si>
    <t>1445 GOLD CLIFF CT</t>
  </si>
  <si>
    <t xml:space="preserve">MARTINEZ, FRANK A &amp; DENISE L </t>
  </si>
  <si>
    <t>LIMACO, CARMELITA F et al</t>
  </si>
  <si>
    <t>DOUBLE DIAMOND RANCH 14B LT 73 BLK B</t>
  </si>
  <si>
    <t>1250 EDGEHILL CT</t>
  </si>
  <si>
    <t xml:space="preserve">CROWSON FAMILY TRUST, TERRY L &amp; ROSE  </t>
  </si>
  <si>
    <t xml:space="preserve">2150 N DEER RUN RD </t>
  </si>
  <si>
    <t xml:space="preserve">CROWSON, TERRY L &amp; ROSE  </t>
  </si>
  <si>
    <t>DOUBLE DIAMOND RANCH VILLAGE 16A LT 44</t>
  </si>
  <si>
    <t>1250 S FOXGLEN CT</t>
  </si>
  <si>
    <t xml:space="preserve">YOAKUM-REED FAMILY TRUST  </t>
  </si>
  <si>
    <t>6235 LOU CT</t>
  </si>
  <si>
    <t xml:space="preserve">LASA LIMITED PARTNERSHIP </t>
  </si>
  <si>
    <t>DOUBLE DIAMOND RANCH VILLAGE 16A LT 55</t>
  </si>
  <si>
    <t>1365 N FOXGLEN CT</t>
  </si>
  <si>
    <t xml:space="preserve">LEE, KRISTA </t>
  </si>
  <si>
    <t>1365 N FOX GLEN CIR</t>
  </si>
  <si>
    <t xml:space="preserve">SMITH, DEREK B &amp; DEBORAH H </t>
  </si>
  <si>
    <t>DOUBLE DIAMOND RANCH VILLAGE 16A LT 12</t>
  </si>
  <si>
    <t>1350 DALWOOD CT</t>
  </si>
  <si>
    <t xml:space="preserve">CARTER, JOSEPH R </t>
  </si>
  <si>
    <t>DOUBLE DIAMOND RANCH 16A LT 20</t>
  </si>
  <si>
    <t>10470 ARBOR WAY</t>
  </si>
  <si>
    <t xml:space="preserve">NEDDENRIEP, DOUGLAS F &amp; SHARLENE M </t>
  </si>
  <si>
    <t>59 DAMONTE RANCH PKWY B-313</t>
  </si>
  <si>
    <t xml:space="preserve">HILL, MARY M  </t>
  </si>
  <si>
    <t>DOUBLE DIAMOND RANCH 16B LT 73</t>
  </si>
  <si>
    <t>10555 ARBOR WAY</t>
  </si>
  <si>
    <t xml:space="preserve">CARLSON, DIANE D </t>
  </si>
  <si>
    <t>DOUBLE DIAMOND RANCH 16B LT 87</t>
  </si>
  <si>
    <t>10641 VISTA BELLA LN</t>
  </si>
  <si>
    <t>DOUBLE DIAMOND RANCH 17B LT 79</t>
  </si>
  <si>
    <t>10681 VISTA BELLA LN</t>
  </si>
  <si>
    <t xml:space="preserve">GASTON, NICHOLAS R </t>
  </si>
  <si>
    <t xml:space="preserve">BLANCHARD, ROD D &amp; AMELIA H </t>
  </si>
  <si>
    <t>DOUBLE DIAMOND RANCH 17B LT 75</t>
  </si>
  <si>
    <t>10702 VISTA BONITA LN</t>
  </si>
  <si>
    <t>LORDS, KENNETH H &amp; CARMEN M  LLC</t>
  </si>
  <si>
    <t xml:space="preserve">10702 VISTA BONITA LN </t>
  </si>
  <si>
    <t>DOUBLE DIAMOND RANCH 17B LT 69</t>
  </si>
  <si>
    <t>10642 VISTA BONITA LN</t>
  </si>
  <si>
    <t xml:space="preserve">JONES, SHAWN M </t>
  </si>
  <si>
    <t xml:space="preserve">HOFFMAN, FRANCES R </t>
  </si>
  <si>
    <t>DOUBLE DIAMOND RANCH 17B LT 59</t>
  </si>
  <si>
    <t>10610 VISTA BELLA LN</t>
  </si>
  <si>
    <t xml:space="preserve">WOOD, ERIC &amp; DARCY </t>
  </si>
  <si>
    <t xml:space="preserve">2670 SUNRISE DR </t>
  </si>
  <si>
    <t xml:space="preserve">MEADOW VISTA </t>
  </si>
  <si>
    <t>DOUBLE DIAMOND RANCH 17B LT 84</t>
  </si>
  <si>
    <t>10437 CHADWELL DR</t>
  </si>
  <si>
    <t xml:space="preserve">NICHOLS, RUSSELL R </t>
  </si>
  <si>
    <t>DOUBLE DIAMOND RANCH 6B LT 187</t>
  </si>
  <si>
    <t>10439 CHADWELL DR</t>
  </si>
  <si>
    <t>KLEINHANS, JOCELYN G et al</t>
  </si>
  <si>
    <t xml:space="preserve">KLEINHANS, JOCELYN G </t>
  </si>
  <si>
    <t>DOUBLE DIAMOND RANCH 6B LT 188</t>
  </si>
  <si>
    <t>10457 CHADWELL DR</t>
  </si>
  <si>
    <t xml:space="preserve">PAULSEN, GARY </t>
  </si>
  <si>
    <t>18124 WEDGE PKWY # 420</t>
  </si>
  <si>
    <t>DOUBLE DIAMOND RANCH 6B LT 194</t>
  </si>
  <si>
    <t>10459 CHADWELL DR</t>
  </si>
  <si>
    <t>BETTENCOURT, ROY S JR et al</t>
  </si>
  <si>
    <t xml:space="preserve">POSNIEN, ASHLEY </t>
  </si>
  <si>
    <t>DOUBLE DIAMOND RANCH 6B LT 195</t>
  </si>
  <si>
    <t>10465 CHADWELL DR</t>
  </si>
  <si>
    <t xml:space="preserve">HIX, ROBERT L &amp; VIRGINIA A </t>
  </si>
  <si>
    <t>DOUBLE DIAMOND RANCH 6B LT 198</t>
  </si>
  <si>
    <t>1645 IRON MOUNTAIN DR</t>
  </si>
  <si>
    <t xml:space="preserve">CARLSON, LLOYD L &amp; DEBORAH J  </t>
  </si>
  <si>
    <t xml:space="preserve">1645 IRON MOUNTAIN DR                   </t>
  </si>
  <si>
    <t>DOUBLE DIAMOND RANCH 6B LT 110</t>
  </si>
  <si>
    <t>10407 CHADWELL DR</t>
  </si>
  <si>
    <t xml:space="preserve">ELLWANGER, ARAGON R  </t>
  </si>
  <si>
    <t xml:space="preserve">10407 CHADWELL DR </t>
  </si>
  <si>
    <t>DOUBLE DIAMOND RANCH 6B LT 174</t>
  </si>
  <si>
    <t>1340 STERLING CREST LN</t>
  </si>
  <si>
    <t xml:space="preserve">EAGLE, BEVIN </t>
  </si>
  <si>
    <t>DOUBLE DIAMOND RANCH 15 LT 40</t>
  </si>
  <si>
    <t>10621 COPPER MOON CT</t>
  </si>
  <si>
    <t xml:space="preserve">HWH INVESTMENT LLC </t>
  </si>
  <si>
    <t>HERBERT HUEBNER</t>
  </si>
  <si>
    <t>15020 REDMOND LOOP</t>
  </si>
  <si>
    <t xml:space="preserve">HUEBNER, HERBERT W </t>
  </si>
  <si>
    <t>DOUBLE DIAMOND RANCH 15 LT 31</t>
  </si>
  <si>
    <t>10645 BLUE MOON CT</t>
  </si>
  <si>
    <t xml:space="preserve">RAHMEYER, SHAUN </t>
  </si>
  <si>
    <t xml:space="preserve">PEGRAM, TIM A </t>
  </si>
  <si>
    <t>DOUBLE DIAMOND RANCH 15 LT 20</t>
  </si>
  <si>
    <t>1685 IRON MOUNTAIN DR</t>
  </si>
  <si>
    <t xml:space="preserve">BECK, CHRISTOPHER P &amp; LINDA M </t>
  </si>
  <si>
    <t>DOUBLE DIAMOND RANCH 6C LT 132</t>
  </si>
  <si>
    <t>1668 IRON MOUNTAIN DR</t>
  </si>
  <si>
    <t xml:space="preserve">CODE, LENA </t>
  </si>
  <si>
    <t xml:space="preserve">OTOOLE, WANDA </t>
  </si>
  <si>
    <t>DOUBLE DIAMOND RANCH 6C LT 127</t>
  </si>
  <si>
    <t>10565 TWIN BRIDGES WAY</t>
  </si>
  <si>
    <t xml:space="preserve">SQUIRES, AARON R &amp; KALA D </t>
  </si>
  <si>
    <t>SQUIRES, AARON  et al</t>
  </si>
  <si>
    <t>DOUBLE DIAMOND RANCH 19A LT 14</t>
  </si>
  <si>
    <t>1740 GRANITE CHIEF DR</t>
  </si>
  <si>
    <t>DOUBLE DIAMOND 19A</t>
  </si>
  <si>
    <t xml:space="preserve">SETH, AJAY K &amp; KIRTI </t>
  </si>
  <si>
    <t xml:space="preserve">BIRNBERG, ETHAN </t>
  </si>
  <si>
    <t>DOUBLE DIAMOND RANCH 19A LT 55</t>
  </si>
  <si>
    <t>10598 IRON POINT CIR</t>
  </si>
  <si>
    <t>SANTINA , WINNIE S et al</t>
  </si>
  <si>
    <t xml:space="preserve">10598 IRON POINT CIR </t>
  </si>
  <si>
    <t xml:space="preserve">SANTINA , WINNIE S </t>
  </si>
  <si>
    <t xml:space="preserve">DOUBLE DIAMOND RANCH 6D LT 216 </t>
  </si>
  <si>
    <t>10552 IRON POINT CIR</t>
  </si>
  <si>
    <t xml:space="preserve">PARK, KEVIN J &amp; STEPHANIE J </t>
  </si>
  <si>
    <t xml:space="preserve">DOUBLE DIAMOND RANCH 6D LT 222 </t>
  </si>
  <si>
    <t>10511 CRYSTAL BAY DR</t>
  </si>
  <si>
    <t xml:space="preserve">MEARES, DAVID </t>
  </si>
  <si>
    <t>DOUBLE DIAMOND RANCH 19B LT 69</t>
  </si>
  <si>
    <t>10633 EAGLE FALLS WAY</t>
  </si>
  <si>
    <t xml:space="preserve">WATKINS, DANIEL &amp; TIDA  </t>
  </si>
  <si>
    <t xml:space="preserve">SORENSON, JAY W &amp; BARBARA </t>
  </si>
  <si>
    <t>DOUBLE DIAMOND RANCH 19B LT 119</t>
  </si>
  <si>
    <t>1600 GRANITE CHIEF DR</t>
  </si>
  <si>
    <t xml:space="preserve">DIXON, WAYNE A &amp; PENNY C  </t>
  </si>
  <si>
    <t xml:space="preserve">1600 GRANITE CHIEF DR </t>
  </si>
  <si>
    <t>DOUBLE DIAMOND RANCH 19B LT 110</t>
  </si>
  <si>
    <t>1690 GRANITE CHIEF DR</t>
  </si>
  <si>
    <t xml:space="preserve">KIRKPATRICK, KOREE M </t>
  </si>
  <si>
    <t>DOUBLE DIAMOND RANCH 19B LT 86</t>
  </si>
  <si>
    <t>10639 PROFESSIONAL CIR</t>
  </si>
  <si>
    <t>PM 4664</t>
  </si>
  <si>
    <t>Shell Office</t>
  </si>
  <si>
    <t>HUMPHREY, DAVID K et al</t>
  </si>
  <si>
    <t>MAHIKOA KULANI</t>
  </si>
  <si>
    <t>6400 SW ROSEWOOD ST</t>
  </si>
  <si>
    <t>LAKE OSWEGO</t>
  </si>
  <si>
    <t xml:space="preserve">SOUTH MEADOWS COMM PROP LLC </t>
  </si>
  <si>
    <t>160-900-15</t>
  </si>
  <si>
    <t>PM 4664 LT 6</t>
  </si>
  <si>
    <t>PM 4782</t>
  </si>
  <si>
    <t>GBM PROPERTIES LLC  LLC</t>
  </si>
  <si>
    <t>C/O GASTON &amp; WILKERSON</t>
  </si>
  <si>
    <t>4751 CAUGHLIN PKWY</t>
  </si>
  <si>
    <t>160-900-33</t>
  </si>
  <si>
    <t>PM 4782 LT 16</t>
  </si>
  <si>
    <t xml:space="preserve">HZ RENTAL PROPERTIES LLC </t>
  </si>
  <si>
    <t>122 PEPPY SAN CT</t>
  </si>
  <si>
    <t>ZIMMERMAN, TODD D &amp; LISA H et al</t>
  </si>
  <si>
    <t>TANAMERA 1 LT 4113</t>
  </si>
  <si>
    <t>SOMMERS, RUTH A et al</t>
  </si>
  <si>
    <t>900 S MEADOWS PKWY # 2824</t>
  </si>
  <si>
    <t>TANAMERA 1 LT 3912</t>
  </si>
  <si>
    <t xml:space="preserve">MAY, ROBERT M  </t>
  </si>
  <si>
    <t>900 S MEADOWS PKWY # 4213</t>
  </si>
  <si>
    <t xml:space="preserve">PLANETA, JULIE R </t>
  </si>
  <si>
    <t>TANAMERA 1 LT 4213</t>
  </si>
  <si>
    <t xml:space="preserve">WOLF, DANIEL J </t>
  </si>
  <si>
    <t>TANAMERA 1 LT 3723</t>
  </si>
  <si>
    <t xml:space="preserve">MILBOUER, MICHAEL </t>
  </si>
  <si>
    <t>900 SOUTH MEADOWS PKWY 382</t>
  </si>
  <si>
    <t xml:space="preserve">COLSON, MICHAEL J &amp; CHERYL  </t>
  </si>
  <si>
    <t>160-912-27</t>
  </si>
  <si>
    <t>TANAMERA 1 LT 3822</t>
  </si>
  <si>
    <t>POSADAS, RICHARD et al</t>
  </si>
  <si>
    <t>1200 TATE DR</t>
  </si>
  <si>
    <t xml:space="preserve">POSADAS, RICHARD </t>
  </si>
  <si>
    <t>TANAMERA 1 LT 3623</t>
  </si>
  <si>
    <t>HZ RENTAL PROPERTIES LLC</t>
  </si>
  <si>
    <t>C/O KATHLEEN HERZING</t>
  </si>
  <si>
    <t>900 S MEADOWS PKWY # 2514</t>
  </si>
  <si>
    <t>ZIMMERMAN, TODD &amp; LISA H  et al</t>
  </si>
  <si>
    <t>TANAMERA 1 LT 3512</t>
  </si>
  <si>
    <t xml:space="preserve">WAGNER FAMILY TRUST  </t>
  </si>
  <si>
    <t>100 CLEAR CREEK CT</t>
  </si>
  <si>
    <t xml:space="preserve">CARTER, LAWRENCE G </t>
  </si>
  <si>
    <t>TANAMERA 1 LT 3511 BLDG 35/2 UNIT E2</t>
  </si>
  <si>
    <t xml:space="preserve">THOMPSON, NICKOLAS H </t>
  </si>
  <si>
    <t xml:space="preserve">PO BOX 17087                            </t>
  </si>
  <si>
    <t>TANAMERA 1 LT 2412</t>
  </si>
  <si>
    <t>FAZZARI, MICHAEL  et al</t>
  </si>
  <si>
    <t>900 S MEADOWS PKWY #2514</t>
  </si>
  <si>
    <t xml:space="preserve">YELLEY, JASON &amp; RASA </t>
  </si>
  <si>
    <t>TANAMERA 1 LT 2513</t>
  </si>
  <si>
    <t xml:space="preserve">SOMMERS, RUTH A </t>
  </si>
  <si>
    <t>TANAMERA 1 LT 2611 BLG 26/1</t>
  </si>
  <si>
    <t xml:space="preserve">BURGESS FAMILY TRUST  </t>
  </si>
  <si>
    <t>3352 WHITE MOUNTAIN CT</t>
  </si>
  <si>
    <t>CLUTE, WARREN et al</t>
  </si>
  <si>
    <t>TANAMERA 1 LT 3412</t>
  </si>
  <si>
    <t xml:space="preserve">SOULE FAMILY REVOCABLE TRUST  </t>
  </si>
  <si>
    <t>PO BOX 680</t>
  </si>
  <si>
    <t xml:space="preserve">HAAS, MICHAEL E &amp; ELIZABETH A </t>
  </si>
  <si>
    <t>TANAMERA 1 LT 2624</t>
  </si>
  <si>
    <t xml:space="preserve">SIMPSON LIVING TRUST, WILLIAM B &amp; CAROL S   </t>
  </si>
  <si>
    <t>900 SOUTH MEADOWS PKWY # 5511</t>
  </si>
  <si>
    <t xml:space="preserve">BARONE-TANAMERA CONDOS LLC </t>
  </si>
  <si>
    <t>TANAMERA 1 LT 5511</t>
  </si>
  <si>
    <t xml:space="preserve">ANDRINI FAMILY TRUST, RENEE C  </t>
  </si>
  <si>
    <t>900 S MEADOWS PKY # 5314</t>
  </si>
  <si>
    <t xml:space="preserve">ANDRINI, RENEE C </t>
  </si>
  <si>
    <t>TANAMERA 1 LT 5314</t>
  </si>
  <si>
    <t xml:space="preserve">CHANG, WALTON K </t>
  </si>
  <si>
    <t>1036 TENNESSEE ST</t>
  </si>
  <si>
    <t>TANAMERA 1 LT 5214</t>
  </si>
  <si>
    <t xml:space="preserve">COOPER, LEANN &amp; KENT D </t>
  </si>
  <si>
    <t>900 SOUTH MEADOWS PKWY # 5021</t>
  </si>
  <si>
    <t>TANAMERA 1 LT 5021</t>
  </si>
  <si>
    <t xml:space="preserve">SOULE FAMILY TRUST  </t>
  </si>
  <si>
    <t>900 S MEADOWS PKWY UNIT 2624</t>
  </si>
  <si>
    <t>TANAMERA CONDOMINIUMS 2 LT 1914</t>
  </si>
  <si>
    <t xml:space="preserve">BITTICKS, ROBERT  </t>
  </si>
  <si>
    <t xml:space="preserve">5356 LAS VIRGENY RD </t>
  </si>
  <si>
    <t>160-922-02</t>
  </si>
  <si>
    <t>TANAMERA CONDOMINIUMS 2 LT 2023</t>
  </si>
  <si>
    <t xml:space="preserve">CHADWELL, WILLIAM R </t>
  </si>
  <si>
    <t xml:space="preserve">STEWART, GREGORY W &amp; LYNN A </t>
  </si>
  <si>
    <t>6318 WHALEY DR</t>
  </si>
  <si>
    <t>95135</t>
  </si>
  <si>
    <t>TANAMERA CONDOMINIUMS 2 LT 2811</t>
  </si>
  <si>
    <t xml:space="preserve">LIEBERMAN LIVING TRUST, RONALD M  </t>
  </si>
  <si>
    <t>900 S MEADOWS PKWY # 312</t>
  </si>
  <si>
    <t xml:space="preserve">LIEBERMAN, RONALD M </t>
  </si>
  <si>
    <t>TANAMERA CONDOMINIUMS 2 LT 312</t>
  </si>
  <si>
    <t xml:space="preserve">YOUNGS, DONALD D  </t>
  </si>
  <si>
    <t>900 S MEADOWS PKWY # 413</t>
  </si>
  <si>
    <t>160-923-30</t>
  </si>
  <si>
    <t>TANAMERA CONDO 2 LT 413 BLG 4/1</t>
  </si>
  <si>
    <t>SCHWARZ, JOSHUA  et al</t>
  </si>
  <si>
    <t>900 S MEADOWS PKWY # 412</t>
  </si>
  <si>
    <t xml:space="preserve">CORBRIDGE, CURTIS M &amp; ALICIA M </t>
  </si>
  <si>
    <t>TANAMERA CONDOMINIUMS 2 LT 412</t>
  </si>
  <si>
    <t xml:space="preserve">HEFFNER FAMILY TRUST, CHARLES R &amp; MARGUERITE A  </t>
  </si>
  <si>
    <t>900 S MEADOWS PKWY # 214</t>
  </si>
  <si>
    <t xml:space="preserve">HEFFNER, RITCH  </t>
  </si>
  <si>
    <t>TANAMERA CONDOMINIUMS 2 LT 411</t>
  </si>
  <si>
    <t xml:space="preserve">COLT, ROBERT H JR </t>
  </si>
  <si>
    <t>900 S MEADOWS PKWY # 324</t>
  </si>
  <si>
    <t xml:space="preserve">MEYERS, DAVID G &amp; KAREN </t>
  </si>
  <si>
    <t>TANAMERA CONDOMINIUMS 2 LT 324</t>
  </si>
  <si>
    <t xml:space="preserve">SCHILLING, VALENTINA L </t>
  </si>
  <si>
    <t>900 S MEADOWS PKWY 322</t>
  </si>
  <si>
    <t xml:space="preserve">PARR, ASHLEY </t>
  </si>
  <si>
    <t>160-924-15</t>
  </si>
  <si>
    <t>TANAMERA CONDOMINIUMS 2 LT 322</t>
  </si>
  <si>
    <t xml:space="preserve">PRYISKOVA, INESSA </t>
  </si>
  <si>
    <t>900 S MEADOWS PKWY 122</t>
  </si>
  <si>
    <t>TANAMERA CONDOMINIUMS 2 LT 122</t>
  </si>
  <si>
    <t>PO BOX 97</t>
  </si>
  <si>
    <t>848 MEADOW GATE RD</t>
  </si>
  <si>
    <t>TANAMERA CONDOMINIUMS 2 LT 1011</t>
  </si>
  <si>
    <t xml:space="preserve">FOSTER, JOE E JR  </t>
  </si>
  <si>
    <t>900 S MEADOWS PKWY # 1312</t>
  </si>
  <si>
    <t>TANAMERA CONDOMINIUMS 2 LT 1312</t>
  </si>
  <si>
    <t>MURPHY, THOMAS F &amp; JEAN T et al</t>
  </si>
  <si>
    <t>TANAMERA CONDOMINIUMS 2 LT 921</t>
  </si>
  <si>
    <t xml:space="preserve">SANCHEZ-BICKLEY FAMILY TRUST  </t>
  </si>
  <si>
    <t>10559 MOSS WOOD CT</t>
  </si>
  <si>
    <t xml:space="preserve">ELLISON TRUST, LORIN B  </t>
  </si>
  <si>
    <t>TANAMERA CONDOMINIUMS 2 LT 1711</t>
  </si>
  <si>
    <t xml:space="preserve">WILSON, ERIK &amp; CHRISTI </t>
  </si>
  <si>
    <t>9550 APACHE ROSE DR</t>
  </si>
  <si>
    <t xml:space="preserve">PLEWA, LOUISE M  </t>
  </si>
  <si>
    <t>TANAMERA CONDOMINIUMS 2 LT 1514</t>
  </si>
  <si>
    <t xml:space="preserve">DEBUSSCHERE TRUST , ANN M  </t>
  </si>
  <si>
    <t>4790 CAUGHLIN PKWY # 424</t>
  </si>
  <si>
    <t>CEMER, JOHN S  et al</t>
  </si>
  <si>
    <t>TANAMERA CONDOMINIUMS 2 LT 1613</t>
  </si>
  <si>
    <t xml:space="preserve">HUET, PAUL &amp; JOYCE </t>
  </si>
  <si>
    <t>3345 S HIGHLAND DR</t>
  </si>
  <si>
    <t>TANAMERA CONDOMINIUMS 2 LT 1424</t>
  </si>
  <si>
    <t xml:space="preserve">WHITESAGE REVOCABLE TRUST, MICHAEL D   </t>
  </si>
  <si>
    <t>900 S MEADOWS APT 1423</t>
  </si>
  <si>
    <t>160-928-06</t>
  </si>
  <si>
    <t>TANAMERA CONDOMINIUMS 2 LT 1423</t>
  </si>
  <si>
    <t>1761 GLEN COVE CT</t>
  </si>
  <si>
    <t xml:space="preserve">HELZER, DANIEL F &amp; MARIA L Y  </t>
  </si>
  <si>
    <t>DOUBLE DIAMOND RANCH 24A LT 4</t>
  </si>
  <si>
    <t>9607 GLEN RIDGE DR</t>
  </si>
  <si>
    <t xml:space="preserve">GUNNELS, VERLIN &amp; LUCINDA  </t>
  </si>
  <si>
    <t>9706 GLEN RIDGE DR</t>
  </si>
  <si>
    <t xml:space="preserve">CULLEY, BARRY D &amp; CYNTHIA A </t>
  </si>
  <si>
    <t>DOUBLE DIAMOND RANCH 24A LT 44</t>
  </si>
  <si>
    <t>1795 CEDAR CREST CT</t>
  </si>
  <si>
    <t xml:space="preserve">SHALES, SHANNON M </t>
  </si>
  <si>
    <t>DOUBLE DIAMOND RANCH 24A LT 38</t>
  </si>
  <si>
    <t>9656 GLEN RIDGE DR</t>
  </si>
  <si>
    <t>CLORE, KOLT et al</t>
  </si>
  <si>
    <t xml:space="preserve">GLEN RIDGE TRUST # 9656 </t>
  </si>
  <si>
    <t>DOUBLE DIAMOND RANCH 24B LT 78</t>
  </si>
  <si>
    <t>1854 SAN PABLO DR</t>
  </si>
  <si>
    <t>PENSCO TRUST COMPANY et al</t>
  </si>
  <si>
    <t>C/O COLLEEN BARRETT</t>
  </si>
  <si>
    <t>1854 SAN PABLO</t>
  </si>
  <si>
    <t xml:space="preserve">BANNERS, BRIAN E </t>
  </si>
  <si>
    <t>DOUBLE DIAMOND RANCH 27A LT 40</t>
  </si>
  <si>
    <t>1895 SAN PABLO DR</t>
  </si>
  <si>
    <t xml:space="preserve">GASBARRI, CLAUDIO </t>
  </si>
  <si>
    <t xml:space="preserve">STUART, DEVIN B &amp; SAMANTHA M </t>
  </si>
  <si>
    <t>DOUBLE DIAMOND RANCH 27A LT 35</t>
  </si>
  <si>
    <t>1885 SAN PABLO DR</t>
  </si>
  <si>
    <t xml:space="preserve">HA, YAN WAI </t>
  </si>
  <si>
    <t xml:space="preserve">TOMPKINS, DAVID C &amp; JULIE L </t>
  </si>
  <si>
    <t>DOUBLE DIAMOND RANCH 27A LT 34</t>
  </si>
  <si>
    <t>1875 SAN PABLO DR</t>
  </si>
  <si>
    <t xml:space="preserve">JACOBSEN, TERESA B &amp; DANIEL O </t>
  </si>
  <si>
    <t xml:space="preserve">SIMONICH, JEFFREY R </t>
  </si>
  <si>
    <t>DOUBLE DIAMOND RANCH 27A LT 33</t>
  </si>
  <si>
    <t>1812 SAN JOSE CT</t>
  </si>
  <si>
    <t xml:space="preserve">ASHMAN, BARBARA L </t>
  </si>
  <si>
    <t>DOUBLE DIAMOND RANCH 27B LT 58</t>
  </si>
  <si>
    <t>1893 SAN JOSE CT</t>
  </si>
  <si>
    <t xml:space="preserve">HENDRICKSON, SCOT E </t>
  </si>
  <si>
    <t xml:space="preserve">WEBER, LARRY </t>
  </si>
  <si>
    <t>DOUBLE DIAMOND RANCH 27B LT 51</t>
  </si>
  <si>
    <t>1890 SAN RAMON DR</t>
  </si>
  <si>
    <t xml:space="preserve">SIMPSON, DEBRA J </t>
  </si>
  <si>
    <t>DOUBLE DIAMOND RANCH 27B LT 66</t>
  </si>
  <si>
    <t>1885 SAN LORENZO DR</t>
  </si>
  <si>
    <t xml:space="preserve">HENDERSON, MARK W &amp; CONSTANCE M </t>
  </si>
  <si>
    <t>1885 SAN LORENZO</t>
  </si>
  <si>
    <t xml:space="preserve">RASHMAJIAN, ROBIN A </t>
  </si>
  <si>
    <t>DOUBLE DIAMOND RANCH 27B LT 74</t>
  </si>
  <si>
    <t>9689 WOODHOLLOW DR</t>
  </si>
  <si>
    <t xml:space="preserve">COSTA, JOHN JR </t>
  </si>
  <si>
    <t xml:space="preserve">RYCKELEY, ELAINE D </t>
  </si>
  <si>
    <t>DOUBLE DIAMOND RANCH 27B LT 88</t>
  </si>
  <si>
    <t xml:space="preserve">BELL, CLAYTON &amp; NEROLI </t>
  </si>
  <si>
    <t>P O BOX 5991</t>
  </si>
  <si>
    <t xml:space="preserve">KELSO LIVING TRUST  </t>
  </si>
  <si>
    <t>FLEUR DE LIS 1 LT 204</t>
  </si>
  <si>
    <t xml:space="preserve">WHITEHEAD, JERRY C  </t>
  </si>
  <si>
    <t xml:space="preserve">501 HAMMILL LN </t>
  </si>
  <si>
    <t xml:space="preserve">MCQUARRIE, MICHAEL L &amp; DEBRA J </t>
  </si>
  <si>
    <t>FLEUR DE LIS 1 LT 1504</t>
  </si>
  <si>
    <t>9900 WILBUR MAY PKWY # 802</t>
  </si>
  <si>
    <t xml:space="preserve">KELSO, MINOR L &amp; A MAXINE </t>
  </si>
  <si>
    <t>FLEUR DE LIS 1 LT 804</t>
  </si>
  <si>
    <t xml:space="preserve">KORNISH, GARY C &amp; DINAH J </t>
  </si>
  <si>
    <t>9900 WILBUR MAY PKWY 1201</t>
  </si>
  <si>
    <t xml:space="preserve">MCENEANY FAMILY TRUST  </t>
  </si>
  <si>
    <t>FLEUR DE LIS 1 LT 1204</t>
  </si>
  <si>
    <t xml:space="preserve">MALVAR, HENRIQUE S &amp; REGINA V P </t>
  </si>
  <si>
    <t>16403 NE 50TH WAY</t>
  </si>
  <si>
    <t>REDMOND</t>
  </si>
  <si>
    <t xml:space="preserve">LEFFLER FAMILY TRUST  </t>
  </si>
  <si>
    <t>FLEUR DE LIS 1 LT 802</t>
  </si>
  <si>
    <t>9900 WILBUR MAY PKWY # 804</t>
  </si>
  <si>
    <t xml:space="preserve">WEISHAHN, CURTIS L &amp; ELIZABETH E  </t>
  </si>
  <si>
    <t>FLEUR DE LIS 1 LT 803</t>
  </si>
  <si>
    <t xml:space="preserve">JOHNSON 2008 FAMILY TRUST  </t>
  </si>
  <si>
    <t>9900 WILBUR MAY PKWY 1005</t>
  </si>
  <si>
    <t xml:space="preserve">JOHNSON, ANSON L &amp; MELANIE A </t>
  </si>
  <si>
    <t>FLEUR DE LIS 1 LT 1001</t>
  </si>
  <si>
    <t xml:space="preserve">SPENCER TRUST, ROBERT H   </t>
  </si>
  <si>
    <t>5585 SHADOWCREST</t>
  </si>
  <si>
    <t>MAYES-SMITH, SUSAN et al</t>
  </si>
  <si>
    <t>FLEUR DE LIS 1 LT 906</t>
  </si>
  <si>
    <t xml:space="preserve">KELLER REV LIVING TRUST, OSCAR W &amp; BEVERLY A   </t>
  </si>
  <si>
    <t>9900 WILBUR MAY PKWY #2704</t>
  </si>
  <si>
    <t xml:space="preserve">K AND H LLC </t>
  </si>
  <si>
    <t>FLEUR DE LIS 1 LT 1903</t>
  </si>
  <si>
    <t>LINCOLN TRUST CO FBO</t>
  </si>
  <si>
    <t>JOHN GULNOSSO IRA</t>
  </si>
  <si>
    <t>P O BOX 173859</t>
  </si>
  <si>
    <t xml:space="preserve">NICHOLS FAMILY TRUST  </t>
  </si>
  <si>
    <t>FLEUR DE LIS 1 LT 1606</t>
  </si>
  <si>
    <t xml:space="preserve">GERDTS, RICHARD T &amp; TAMARA J  </t>
  </si>
  <si>
    <t>9900 WILBUR MAY PKWY # 1704</t>
  </si>
  <si>
    <t>FLEUR DE LIS 1 LT 1703</t>
  </si>
  <si>
    <t xml:space="preserve">MATKULAK, ANTHON </t>
  </si>
  <si>
    <t>FLEUR DE LIS 1 LT 2604</t>
  </si>
  <si>
    <t xml:space="preserve">MCSHANE, STEVEN &amp; TAMARA T </t>
  </si>
  <si>
    <t>PO BOX 1548</t>
  </si>
  <si>
    <t>HOMER</t>
  </si>
  <si>
    <t>FLEUR DE LIS 1 LT 2406</t>
  </si>
  <si>
    <t>FLEUR DE LIS 1 LT 2402</t>
  </si>
  <si>
    <t>1629 BRIDGEVIEW CT</t>
  </si>
  <si>
    <t xml:space="preserve">DURANT, JUSTIN R &amp; HEIDI A </t>
  </si>
  <si>
    <t xml:space="preserve">BARCIA, DANIEL &amp; PATRICIA </t>
  </si>
  <si>
    <t>DOUBLE DIAMOND RANCH 25 LT 12</t>
  </si>
  <si>
    <t>DOUBLE DIAMOND RANCH VLG 25 LT 6</t>
  </si>
  <si>
    <t>9816 BRIDGEVIEW DR</t>
  </si>
  <si>
    <t xml:space="preserve">WONG, DANIEL &amp; JUDY R </t>
  </si>
  <si>
    <t xml:space="preserve">REYNOSO, GLADYS </t>
  </si>
  <si>
    <t>DOUBLE DIAMOND RANCH 25 LT 52</t>
  </si>
  <si>
    <t>9565 NAVIGATOR DR</t>
  </si>
  <si>
    <t xml:space="preserve">RUSPIL, MATHEW </t>
  </si>
  <si>
    <t xml:space="preserve">VOSTI, LELAND &amp; SHARON </t>
  </si>
  <si>
    <t>DOUBLE DIAMOND RANCH 30 LT 30</t>
  </si>
  <si>
    <t xml:space="preserve">GREEN STREET HOLDINGS LLC </t>
  </si>
  <si>
    <t>1895 BADLANDS DR</t>
  </si>
  <si>
    <t xml:space="preserve">MOYER, AMELIA  </t>
  </si>
  <si>
    <t xml:space="preserve">1895 BADLANDS DR </t>
  </si>
  <si>
    <t>DOUBLE DIAMOND RANCH 30 LT 69</t>
  </si>
  <si>
    <t>1880 BADLANDS DR</t>
  </si>
  <si>
    <t xml:space="preserve">BECK, DEBORAH </t>
  </si>
  <si>
    <t xml:space="preserve">CRANE, CLAYTON E </t>
  </si>
  <si>
    <t>DOUBLE DIAMOND RANCH 30 LT 71</t>
  </si>
  <si>
    <t>1781 BIG BOULDER DR</t>
  </si>
  <si>
    <t xml:space="preserve">DRAKE, KIMBERLY A </t>
  </si>
  <si>
    <t xml:space="preserve">ROBERTS, JAMES P </t>
  </si>
  <si>
    <t>DOUBLE DIAMOND RANCH 29A LT 172</t>
  </si>
  <si>
    <t>1769 BIG BOULDER DR</t>
  </si>
  <si>
    <t>RENFROW, KATHLEEN  et al</t>
  </si>
  <si>
    <t>DOUBLE DIAMOND RANCH 29A LT 170</t>
  </si>
  <si>
    <t>9574 STEEP CLIMB CT</t>
  </si>
  <si>
    <t xml:space="preserve">CRUMBY, MARK R &amp; SARAH M  </t>
  </si>
  <si>
    <t>COMEAUX, DEBRA et al</t>
  </si>
  <si>
    <t>DOUBLE DIAMOND RANCH VILLAGE 29A LT 131</t>
  </si>
  <si>
    <t>9534 STEEP CLIMB CT</t>
  </si>
  <si>
    <t xml:space="preserve">JONES FAMILY TRUST, HENRY L  </t>
  </si>
  <si>
    <t xml:space="preserve">9534 STEEP CLIMB CT </t>
  </si>
  <si>
    <t xml:space="preserve">JONES, HENRY L </t>
  </si>
  <si>
    <t>DOUBLE DIAMOND RANCH 29A LT 129</t>
  </si>
  <si>
    <t>1786 CAVERN DR</t>
  </si>
  <si>
    <t xml:space="preserve">GRAHAM, NANCY L  </t>
  </si>
  <si>
    <t xml:space="preserve">1786 CAVERN DR </t>
  </si>
  <si>
    <t>DOUBLE DIAMOND RANCH 28A LT 154</t>
  </si>
  <si>
    <t>1625 GULCH WAY</t>
  </si>
  <si>
    <t xml:space="preserve">CEASRI, TODD W &amp; KRISTIN E  </t>
  </si>
  <si>
    <t xml:space="preserve">1752 PENTLAND CT                        </t>
  </si>
  <si>
    <t xml:space="preserve">FOLSOM                   </t>
  </si>
  <si>
    <t>HELSCHEIN FAM 2007 LIV TRUST TTEE et al</t>
  </si>
  <si>
    <t>DOUBLE DIAMOND RANCH 7 LT 708</t>
  </si>
  <si>
    <t>1690 CRATER CT</t>
  </si>
  <si>
    <t xml:space="preserve">PFEIFLE, GREGORY &amp; PAULA </t>
  </si>
  <si>
    <t xml:space="preserve">SMITH, KIM D &amp; EMORY C </t>
  </si>
  <si>
    <t>DOUBLE DIAMOND RANCH VILLAGE 7 LT 729</t>
  </si>
  <si>
    <t>1696 MOQUITH CT</t>
  </si>
  <si>
    <t xml:space="preserve">EVANS, BRIAN E &amp; APRIL L </t>
  </si>
  <si>
    <t>DOUBLE DIAMOND RANCH 7 LT 741</t>
  </si>
  <si>
    <t>10055 ANIANE ST</t>
  </si>
  <si>
    <t xml:space="preserve">BAGATTA, GIORGIO &amp; JENNIFER E  </t>
  </si>
  <si>
    <t xml:space="preserve">10055 ANIANE ST </t>
  </si>
  <si>
    <t>DOUBLE DIAMOND RANCH 23 LT 188</t>
  </si>
  <si>
    <t>1795 ARROW WOOD CT</t>
  </si>
  <si>
    <t xml:space="preserve">HOWARD, CARRIE M &amp; IAN L  </t>
  </si>
  <si>
    <t xml:space="preserve">1795 ARROW WOOD CT </t>
  </si>
  <si>
    <t>DOUBLE DIAMOND RANCH 23 LT 172</t>
  </si>
  <si>
    <t>1763 ARROW WOOD CT</t>
  </si>
  <si>
    <t xml:space="preserve">CRANE, WENDY M  </t>
  </si>
  <si>
    <t xml:space="preserve">LEWIS LIVING TRUST, JEFFREY &amp; MELISSA  </t>
  </si>
  <si>
    <t>DOUBLE DIAMOND RANCH 23 LT 168</t>
  </si>
  <si>
    <t>1707 COLAVITA WAY</t>
  </si>
  <si>
    <t xml:space="preserve">TANG, JOHN Y &amp; PATRICIA </t>
  </si>
  <si>
    <t xml:space="preserve">1707 COLAVITA WAY     </t>
  </si>
  <si>
    <t xml:space="preserve">HANSEN, ERIC G &amp; MARGARET N </t>
  </si>
  <si>
    <t>DOUBLE DIAMOND RANCH 23 LT 104</t>
  </si>
  <si>
    <t>1748 COLAVITA WAY</t>
  </si>
  <si>
    <t>DOUBLE DIAMOND RANCH 23 LT 123</t>
  </si>
  <si>
    <t>1845 BERINGER WAY</t>
  </si>
  <si>
    <t xml:space="preserve">MESTRESSAT TRUST  </t>
  </si>
  <si>
    <t xml:space="preserve">FARRENKOPF TRUST  </t>
  </si>
  <si>
    <t>DOUBLE DIAMOND RANCH 23 LT 148</t>
  </si>
  <si>
    <t xml:space="preserve">MARES, RICHARD J &amp; MARY GRACE </t>
  </si>
  <si>
    <t>9900 WILBUR MAY PKWY 3702</t>
  </si>
  <si>
    <t>FLEUR DE LIS 2 LT 3703</t>
  </si>
  <si>
    <t xml:space="preserve">HUET, PAUL A &amp; JOYCE M </t>
  </si>
  <si>
    <t>9900 WILBUR MAY PKWY # 3704</t>
  </si>
  <si>
    <t>FLEUR DE LIS 2 LT 3705</t>
  </si>
  <si>
    <t xml:space="preserve">WEEKS, KYUNG-UN S  </t>
  </si>
  <si>
    <t>9900 WILBUR MAY #3903</t>
  </si>
  <si>
    <t xml:space="preserve">MACLEOD, RICHARD C &amp; ELLEN R </t>
  </si>
  <si>
    <t>FLEUR DE LIS 2 LT 3901</t>
  </si>
  <si>
    <t xml:space="preserve">HILL, DAVID &amp; SUWANEE </t>
  </si>
  <si>
    <t>9900 WILBUR MAY PKWY # 3603</t>
  </si>
  <si>
    <t>FLEUR DE LIS 2 LT 3603</t>
  </si>
  <si>
    <t xml:space="preserve">KOCHER, BEAT &amp; ANNEMARIE </t>
  </si>
  <si>
    <t>PO BOX 1984</t>
  </si>
  <si>
    <t>FLEUR DE LIS 2 LT 4001</t>
  </si>
  <si>
    <t xml:space="preserve">WATSON, WILLIAM &amp; ROSEMARY </t>
  </si>
  <si>
    <t xml:space="preserve">2 NICHOLS AVE </t>
  </si>
  <si>
    <t xml:space="preserve">PLATTSBURGH </t>
  </si>
  <si>
    <t xml:space="preserve">ALLEN FAMILY TRUST, CATHERINE  </t>
  </si>
  <si>
    <t>FLEUR DE LIS 2 LT 4602</t>
  </si>
  <si>
    <t xml:space="preserve">MIHAYLO TRUST, STEVEN G  </t>
  </si>
  <si>
    <t>STEVEN G MIHAYLO TRUSTEE</t>
  </si>
  <si>
    <t>P O BOX 19790</t>
  </si>
  <si>
    <t xml:space="preserve">IMERGENT INC </t>
  </si>
  <si>
    <t>FLEUR DE LIS 2 LT 4206</t>
  </si>
  <si>
    <t xml:space="preserve">BAUMANN, EUGENE H &amp; BEATRICE </t>
  </si>
  <si>
    <t>9900 WILBUR MAY PKWY 4503</t>
  </si>
  <si>
    <t>FLEUR DE LIS 2 LT 4502</t>
  </si>
  <si>
    <t>1590 CANYONLANDS CT</t>
  </si>
  <si>
    <t xml:space="preserve">VAUGHAN, JUDY L </t>
  </si>
  <si>
    <t>THORN, MICHAEL D et al</t>
  </si>
  <si>
    <t>DOUBLE DIAMOND RANCH 29C LT 321</t>
  </si>
  <si>
    <t>1530 CANYONLANDS CT</t>
  </si>
  <si>
    <t xml:space="preserve">BOZSIK, JOSEPH &amp; ELYSE </t>
  </si>
  <si>
    <t>KATZMANN, KARA et al</t>
  </si>
  <si>
    <t>DOUBLE DIAMOND RANCH 29C LT 326</t>
  </si>
  <si>
    <t>1615 CANYONLANDS WAY</t>
  </si>
  <si>
    <t>LEFT COAST VENTURES LLC, CANYONLANDS SERIES</t>
  </si>
  <si>
    <t>C/O PHILLIP D TELANDER</t>
  </si>
  <si>
    <t>450 N ARLINGTON # 403</t>
  </si>
  <si>
    <t xml:space="preserve">TELANDER, PHILLIP D &amp; MARGARET M  </t>
  </si>
  <si>
    <t>DOUBLE DIAMOND RANCH 29C LT 347</t>
  </si>
  <si>
    <t>9335 HUMMER CT</t>
  </si>
  <si>
    <t xml:space="preserve">TAYLOR, KEVIN N </t>
  </si>
  <si>
    <t xml:space="preserve">GONZALEZ, DEMETRIO T </t>
  </si>
  <si>
    <t>DOUBLE DIAMOND RANCH 28B LT 241</t>
  </si>
  <si>
    <t>9365 HUMMER CT</t>
  </si>
  <si>
    <t>ZHU, MEI et al</t>
  </si>
  <si>
    <t xml:space="preserve">GAO DI </t>
  </si>
  <si>
    <t xml:space="preserve">9365 HUMMER CT </t>
  </si>
  <si>
    <t xml:space="preserve">HYLAN, BREA A &amp; STEVEN P </t>
  </si>
  <si>
    <t>DOUBLE DIAMOND RANCH 28B LT 238</t>
  </si>
  <si>
    <t>1610 ARBOLEDA DR</t>
  </si>
  <si>
    <t>MOYER, MICHAEL et al</t>
  </si>
  <si>
    <t>DEMOLSKI, KAI M et al</t>
  </si>
  <si>
    <t>DOUBLE DIAMOND RANCH 8A LT 36</t>
  </si>
  <si>
    <t>1645 ARBOLEDA DR</t>
  </si>
  <si>
    <t xml:space="preserve">DYE, CASEY A </t>
  </si>
  <si>
    <t>PO BOX 19362</t>
  </si>
  <si>
    <t>DOUBLE DIAMOND RANCH 8A LT 30</t>
  </si>
  <si>
    <t>1750 CAMARADERIE WAY</t>
  </si>
  <si>
    <t xml:space="preserve">PREHM, AMY  </t>
  </si>
  <si>
    <t xml:space="preserve">HALE, MARY E </t>
  </si>
  <si>
    <t>DOUBLE DIAMOND RANCH 22A LT 80</t>
  </si>
  <si>
    <t>1771 CANYON SHADOW CIR</t>
  </si>
  <si>
    <t xml:space="preserve">KAUFFMANN, LEON  </t>
  </si>
  <si>
    <t xml:space="preserve">CONIDARIS, LAWRENCE V </t>
  </si>
  <si>
    <t>DOUBLE DIAMOND RANCH 22A LT 106</t>
  </si>
  <si>
    <t>1735 CANYON SHADOW CIR</t>
  </si>
  <si>
    <t>DOUBLE DIAMOND RANCH VLG 22A</t>
  </si>
  <si>
    <t xml:space="preserve">NAPOLI, ALICIA L  </t>
  </si>
  <si>
    <t>DOUBLE DIAMOND RANCH VLG 22A LT 100</t>
  </si>
  <si>
    <t>1731 CAMARADERIE WAY</t>
  </si>
  <si>
    <t>DOUBLE DIAMOND RANCH 22A LT 89</t>
  </si>
  <si>
    <t>1820 MONTELENA CT</t>
  </si>
  <si>
    <t xml:space="preserve">STEPHENS, MARILYN Y </t>
  </si>
  <si>
    <t xml:space="preserve">MONTELENA TRUST # 1820  </t>
  </si>
  <si>
    <t>DOUBLE DIAMOND RANCH 22A LT 29</t>
  </si>
  <si>
    <t>1805 MONTELENA CT</t>
  </si>
  <si>
    <t xml:space="preserve">HALIM, ASHIF M &amp; SHABANA N </t>
  </si>
  <si>
    <t xml:space="preserve">MONTELENA TRUST 1805  </t>
  </si>
  <si>
    <t>DOUBLE DIAMOND RANCH 22A LT 16</t>
  </si>
  <si>
    <t>10205 LUCENTE WAY</t>
  </si>
  <si>
    <t>DOUBLE DIAMOND RANCH 22A LT 15</t>
  </si>
  <si>
    <t>10195 ROBILEE CT</t>
  </si>
  <si>
    <t xml:space="preserve">BORDALLO, MICHAEL J &amp; JESSICA R </t>
  </si>
  <si>
    <t xml:space="preserve">GATLIN, PAMELA G </t>
  </si>
  <si>
    <t>DOUBLE DIAMOND RANCH 22A LT 1</t>
  </si>
  <si>
    <t>1600 PICKET CT</t>
  </si>
  <si>
    <t xml:space="preserve">RYAN, RICHARD K </t>
  </si>
  <si>
    <t>DOUBLE DIAMOND RANCH 9 LT 51</t>
  </si>
  <si>
    <t>1650 SILVERTHREAD DR</t>
  </si>
  <si>
    <t>WATSON, ANDREW et al</t>
  </si>
  <si>
    <t xml:space="preserve">ADLAO, SEAN </t>
  </si>
  <si>
    <t>DOUBLE DIAMOND RANCH 9 LT 30</t>
  </si>
  <si>
    <t>1715 GOLD BELT DR</t>
  </si>
  <si>
    <t xml:space="preserve">REID, ROBERT P &amp; EMMA J </t>
  </si>
  <si>
    <t>DOUBLE DIAMOND RANCH 9 LT 35</t>
  </si>
  <si>
    <t>1578 GEMTOWN CT</t>
  </si>
  <si>
    <t xml:space="preserve">MORRISON , DANA M &amp; MICHELLE L  </t>
  </si>
  <si>
    <t xml:space="preserve">1578 GEMTOWN CT </t>
  </si>
  <si>
    <t xml:space="preserve">LAN, LUCY R H &amp; GEORGE H C </t>
  </si>
  <si>
    <t>DOUBLE DIAMOND RANCH 9 LT 9</t>
  </si>
  <si>
    <t>1598 GEMTOWN CT</t>
  </si>
  <si>
    <t xml:space="preserve">KEYES, JEFFREY L &amp; KARA </t>
  </si>
  <si>
    <t xml:space="preserve">1598 GEMTOWN CT </t>
  </si>
  <si>
    <t xml:space="preserve">FULLER, JOHN D &amp; JON H </t>
  </si>
  <si>
    <t>DOUBLE DIAMOND RANCH 9 LT 11</t>
  </si>
  <si>
    <t>1638 GEMTOWN DR</t>
  </si>
  <si>
    <t xml:space="preserve">BAKER, RON &amp; GLORIA </t>
  </si>
  <si>
    <t xml:space="preserve">LA FRENAYE, JOHN C &amp; DEBORAH </t>
  </si>
  <si>
    <t>DOUBLE DIAMOND RANCH 9 LT 66</t>
  </si>
  <si>
    <t>1640 MURRIETA CT</t>
  </si>
  <si>
    <t xml:space="preserve">HARPER, RICHARD J &amp; BILLIE D  </t>
  </si>
  <si>
    <t xml:space="preserve">674 HERMITAGE PL </t>
  </si>
  <si>
    <t>95134</t>
  </si>
  <si>
    <t xml:space="preserve">ENARD, NEAL L  </t>
  </si>
  <si>
    <t>DOUBLE DIAMOND RANCH 8B LT 39</t>
  </si>
  <si>
    <t>1656 SEWELL DR</t>
  </si>
  <si>
    <t xml:space="preserve">FRENSDORFF, VICTORIA D </t>
  </si>
  <si>
    <t xml:space="preserve">DRYNAN, LARRY A &amp; BROOKE E </t>
  </si>
  <si>
    <t>DOUBLE DIAMOND RANCH 8B LT 59</t>
  </si>
  <si>
    <t>1688 SEWELL DR</t>
  </si>
  <si>
    <t xml:space="preserve">MK INC </t>
  </si>
  <si>
    <t xml:space="preserve">PAGE, JOHN W II &amp; CYNTHIA D  </t>
  </si>
  <si>
    <t>DOUBLE DIAMOND RANCH 8B LT 63</t>
  </si>
  <si>
    <t xml:space="preserve"> CHANTILLY WAY</t>
  </si>
  <si>
    <t xml:space="preserve">OWENS, MARY E  </t>
  </si>
  <si>
    <t>10425 CHANTILLY WAY</t>
  </si>
  <si>
    <t>LEWIS, LAWRENCE S TTEE et al</t>
  </si>
  <si>
    <t>DOUBLE DIAMOND RANCH 8B LT 26</t>
  </si>
  <si>
    <t xml:space="preserve">SMITH, STEVE W &amp; SAILA M </t>
  </si>
  <si>
    <t>10495 CHANTILLY WAY</t>
  </si>
  <si>
    <t xml:space="preserve">HUTCHINSON, SANDRA </t>
  </si>
  <si>
    <t>DOUBLE DIAMOND RANCH 8B LT 33</t>
  </si>
  <si>
    <t>1675 GHETTIS WAY</t>
  </si>
  <si>
    <t>LIPKOWITZ, MATTHEW et al</t>
  </si>
  <si>
    <t>DELGADO, ESTELA et al</t>
  </si>
  <si>
    <t>DOUBLE DIAMOND RANCH 8B LT 13</t>
  </si>
  <si>
    <t>10560 KENAI DR</t>
  </si>
  <si>
    <t xml:space="preserve">MARSHALL, JONATHAN L &amp; SHANNON </t>
  </si>
  <si>
    <t>DOUBLE DIAMOND RANCH 22B LT 45</t>
  </si>
  <si>
    <t>10550 KENAI DR</t>
  </si>
  <si>
    <t xml:space="preserve">AUGUST, JENNIFER B &amp; THURN </t>
  </si>
  <si>
    <t>DOUBLE DIAMOND RANCH 22B LT 44</t>
  </si>
  <si>
    <t>10585 DILLINGHAM DR</t>
  </si>
  <si>
    <t>JACKSON, AMY M et al</t>
  </si>
  <si>
    <t>DOUBLE DIAMOND RANCH 22B LT 4</t>
  </si>
  <si>
    <t>10595 HAMPTON CREEK DR</t>
  </si>
  <si>
    <t xml:space="preserve">NELSON FAMILY 1990 TRUST  </t>
  </si>
  <si>
    <t xml:space="preserve">1180 PADDOCK LN </t>
  </si>
  <si>
    <t xml:space="preserve">GREGG FAMILY TRUST, LINDA  </t>
  </si>
  <si>
    <t>DOUBLE DIAMOND RANCH 22B LT 6</t>
  </si>
  <si>
    <t>10550 DILLINGHAM DR</t>
  </si>
  <si>
    <t xml:space="preserve">BACKUS, GREGORY A &amp; CARISSA L </t>
  </si>
  <si>
    <t>DOUBLE DIAMOND RANCH 22B LT 21</t>
  </si>
  <si>
    <t>1765 GOLD BELT DR</t>
  </si>
  <si>
    <t xml:space="preserve">GLASS, DARRIN P &amp; KATHERINE L </t>
  </si>
  <si>
    <t>ANDERSEN, KARYN L et al</t>
  </si>
  <si>
    <t>DOUBLE DIAMOND RANCH 22B LT 35</t>
  </si>
  <si>
    <t>2485 HOMELAND DR</t>
  </si>
  <si>
    <t>STONEHAVEN ACRES</t>
  </si>
  <si>
    <t xml:space="preserve">OLLOM, MARCUS &amp; JULIE </t>
  </si>
  <si>
    <t xml:space="preserve">KARAYAN TRUST, MARI E  </t>
  </si>
  <si>
    <t>044-062-03</t>
  </si>
  <si>
    <t>STONEHAVEN ACRES LT 4</t>
  </si>
  <si>
    <t>12305 WESTRIDGE DR</t>
  </si>
  <si>
    <t>WEST RIDGE EST 1</t>
  </si>
  <si>
    <t xml:space="preserve">ALEXANDER, COURTNEY </t>
  </si>
  <si>
    <t>044-063-19</t>
  </si>
  <si>
    <t>WEST RIDGE EST 1 LT 15</t>
  </si>
  <si>
    <t>12375 WESTRIDGE DR</t>
  </si>
  <si>
    <t xml:space="preserve">YOST, DAVID L &amp; JANELLE L </t>
  </si>
  <si>
    <t xml:space="preserve">CHRISTIANSON, BRIAN &amp; JANE E </t>
  </si>
  <si>
    <t>044-063-16</t>
  </si>
  <si>
    <t>WEST RIDGE EST 1 LT 18</t>
  </si>
  <si>
    <t>55 DE ANZA DR</t>
  </si>
  <si>
    <t xml:space="preserve">WISNERE, CYNTHIA &amp; KELLY  </t>
  </si>
  <si>
    <t xml:space="preserve">55 DE ANZA DR </t>
  </si>
  <si>
    <t>044-053-01</t>
  </si>
  <si>
    <t>SUNNY ACRES 1 LT 36</t>
  </si>
  <si>
    <t>12585 OAK GLEN DR</t>
  </si>
  <si>
    <t xml:space="preserve">MILLER, BRIAN &amp; MICHELE  </t>
  </si>
  <si>
    <t xml:space="preserve">GILMAN, LEONARD B &amp; DANELL </t>
  </si>
  <si>
    <t>044-202-03</t>
  </si>
  <si>
    <t>RIDGEVIEW 1 LT 4 BLK A</t>
  </si>
  <si>
    <t>510 GENOVESE LN</t>
  </si>
  <si>
    <t>11050 BOULDER GLEN WAY</t>
  </si>
  <si>
    <t>CASAZZA RANCH EST 6 LT 627</t>
  </si>
  <si>
    <t>515 GENOVESE LN</t>
  </si>
  <si>
    <t xml:space="preserve">PLOUGH REVOCABLE TRUST, JOHN E &amp; CECILIA  </t>
  </si>
  <si>
    <t xml:space="preserve">PLOUGH, JOHN E </t>
  </si>
  <si>
    <t>CASAZZA RANCH EST 6 LT 621</t>
  </si>
  <si>
    <t xml:space="preserve">REYNOLDS, RODNEY J &amp; BEVERLY M  </t>
  </si>
  <si>
    <t>PO BOX 1905</t>
  </si>
  <si>
    <t>GRAEAGLE</t>
  </si>
  <si>
    <t>160-892-05</t>
  </si>
  <si>
    <t>PALISADES SOUTH LT 11</t>
  </si>
  <si>
    <t xml:space="preserve">ROOKE , CRAIG R &amp; CATHERINE M  </t>
  </si>
  <si>
    <t>1325 S MEADOWS PKWY # 223</t>
  </si>
  <si>
    <t>160-892-14</t>
  </si>
  <si>
    <t>PALISADES SOUTH LT 27</t>
  </si>
  <si>
    <t xml:space="preserve">ERICSON TRUST, REBECCA A  </t>
  </si>
  <si>
    <t>1836 DIVISION ST UT 6</t>
  </si>
  <si>
    <t>EAST TROY</t>
  </si>
  <si>
    <t xml:space="preserve">ERICSON, REBECCA </t>
  </si>
  <si>
    <t>160-892-25</t>
  </si>
  <si>
    <t>PALISADES SOUTH LT 46</t>
  </si>
  <si>
    <t>RS 4354</t>
  </si>
  <si>
    <t>DOUBLE R GALLERIA LLC</t>
  </si>
  <si>
    <t>3427 GONI RD 109</t>
  </si>
  <si>
    <t>WESTLAKE, GLYN &amp; COLLEEN et al</t>
  </si>
  <si>
    <t>160-260-42</t>
  </si>
  <si>
    <t>RS 4354 LT A</t>
  </si>
  <si>
    <t>EFLQ</t>
  </si>
  <si>
    <t>9333 DOUBLE R BLVD</t>
  </si>
  <si>
    <t>DOUBLE R GALLERIA LLC  LLC</t>
  </si>
  <si>
    <t>PO BOX 1781</t>
  </si>
  <si>
    <t xml:space="preserve">GLIC REAL ESTATE HOLDINGS LLC </t>
  </si>
  <si>
    <t>160-260-43</t>
  </si>
  <si>
    <t>RS 4354 LT B</t>
  </si>
  <si>
    <t>887 TRADEMARK DR</t>
  </si>
  <si>
    <t>PM 4998</t>
  </si>
  <si>
    <t xml:space="preserve">WILLIAMS ELECTRONICS GAMES INC, A DELAWARE CORP </t>
  </si>
  <si>
    <t>800 S NORTHPOINT BLVD</t>
  </si>
  <si>
    <t>WAUKEGAN</t>
  </si>
  <si>
    <t xml:space="preserve">DP PARTNERS TRADEMARK I LLC </t>
  </si>
  <si>
    <t>163-102-01</t>
  </si>
  <si>
    <t>PM 4998 PAR 2</t>
  </si>
  <si>
    <t xml:space="preserve">LEE REVOCABLE TRUST, BRADFORD H  </t>
  </si>
  <si>
    <t>4795 SOUTH SADDLEHORN DR</t>
  </si>
  <si>
    <t xml:space="preserve">ORTON, KATHERINE P </t>
  </si>
  <si>
    <t>160-270-35</t>
  </si>
  <si>
    <t>PM 4096 LT 3</t>
  </si>
  <si>
    <t xml:space="preserve"> GATEWAY DR</t>
  </si>
  <si>
    <t>RS 3340</t>
  </si>
  <si>
    <t xml:space="preserve">PRENTICE, VERN </t>
  </si>
  <si>
    <t>4840 W HIDDEN VALLEY DR</t>
  </si>
  <si>
    <t>160-690-01</t>
  </si>
  <si>
    <t>RS 3340 LT 5</t>
  </si>
  <si>
    <t>8975 DOUBLE DIAMOND PKWY</t>
  </si>
  <si>
    <t>PM 3967</t>
  </si>
  <si>
    <t xml:space="preserve">RDH INVESTMENTS LLC </t>
  </si>
  <si>
    <t>1540 S KING ST</t>
  </si>
  <si>
    <t>96826</t>
  </si>
  <si>
    <t xml:space="preserve">CARSON, GAIL L </t>
  </si>
  <si>
    <t>160-860-11</t>
  </si>
  <si>
    <t>PM 3967 LT 6A</t>
  </si>
  <si>
    <t>1445 SOUTH MEADOWS PKWY</t>
  </si>
  <si>
    <t>PM 5032</t>
  </si>
  <si>
    <t xml:space="preserve">R&amp;J DELONG PROPERTIES LLC </t>
  </si>
  <si>
    <t>2712 STARR MEADOWS LOOP</t>
  </si>
  <si>
    <t xml:space="preserve">CREEKSIDE DEVELOPMENT LLC </t>
  </si>
  <si>
    <t>163-240-02</t>
  </si>
  <si>
    <t>PM 5032  PAR A</t>
  </si>
  <si>
    <t>PM 4452</t>
  </si>
  <si>
    <t xml:space="preserve">HEIDRICH, DEAN R </t>
  </si>
  <si>
    <t>160-630-76</t>
  </si>
  <si>
    <t>PM 4452 LT 3</t>
  </si>
  <si>
    <t>PM 4453</t>
  </si>
  <si>
    <t>163-251-04</t>
  </si>
  <si>
    <t>PM 4453 LT 4</t>
  </si>
  <si>
    <t>PM 4453 LT 5</t>
  </si>
  <si>
    <t>9565 PROTOTYPE CT</t>
  </si>
  <si>
    <t>RS 4933</t>
  </si>
  <si>
    <t>163-072-20</t>
  </si>
  <si>
    <t>RS 4933 LT 1</t>
  </si>
  <si>
    <t>9365 PROTOTYPE CT</t>
  </si>
  <si>
    <t>RS 4933 LT 2</t>
  </si>
  <si>
    <t>RS 4933 LT 3</t>
  </si>
  <si>
    <t xml:space="preserve"> PROTOTYPE CT</t>
  </si>
  <si>
    <t>RS 4933 CA</t>
  </si>
  <si>
    <t>EFVV</t>
  </si>
  <si>
    <t>RS 4934</t>
  </si>
  <si>
    <t>163-291-04</t>
  </si>
  <si>
    <t>RS 4934 LT 4</t>
  </si>
  <si>
    <t>RS 4934 LT 5</t>
  </si>
  <si>
    <t>7462 CELESTE DR</t>
  </si>
  <si>
    <t xml:space="preserve">RIGGAN, LINDA T </t>
  </si>
  <si>
    <t xml:space="preserve">RIBEIRO TRUST, LORALEE  </t>
  </si>
  <si>
    <t>HUFFAKER VILLAGE 1 LT 18</t>
  </si>
  <si>
    <t>164-071-04</t>
  </si>
  <si>
    <t>WATERFORD PARK 2 LT 251 BLK A</t>
  </si>
  <si>
    <t>MOLINA, STEPHANIE et al</t>
  </si>
  <si>
    <t>14020 BROILI DR</t>
  </si>
  <si>
    <t xml:space="preserve">MOLINA, STEPHANIE </t>
  </si>
  <si>
    <t>022-201-24</t>
  </si>
  <si>
    <t>WATERFORD PARK 2 LT 287 BLK A</t>
  </si>
  <si>
    <t xml:space="preserve">PATRIOT CONDOS #127 LLC </t>
  </si>
  <si>
    <t>1725 LANDER ST</t>
  </si>
  <si>
    <t xml:space="preserve">NEWELL LIVING TRUST, JAMES H  </t>
  </si>
  <si>
    <t>164-071-26</t>
  </si>
  <si>
    <t>WATERFORD PARK 2 LT 297 BLK A</t>
  </si>
  <si>
    <t xml:space="preserve">HUANG FAMILY TRUST  </t>
  </si>
  <si>
    <t>45105 COUGAR CIR</t>
  </si>
  <si>
    <t xml:space="preserve">HUANG, CHIA-WOAN </t>
  </si>
  <si>
    <t>022-201-39</t>
  </si>
  <si>
    <t>WATERFORD PARK 2 LT 225 BLK A</t>
  </si>
  <si>
    <t xml:space="preserve">LIVINGSTON TRUST, PATSY M  </t>
  </si>
  <si>
    <t>555 E PATRIOT BLVD 183</t>
  </si>
  <si>
    <t>022-201-59</t>
  </si>
  <si>
    <t>WATERFORD PARK 2 LT 183 BLK A</t>
  </si>
  <si>
    <t>164-071-70</t>
  </si>
  <si>
    <t xml:space="preserve">MARRUJO, RONALD G &amp; PAULA </t>
  </si>
  <si>
    <t>164-072-01</t>
  </si>
  <si>
    <t>WATERFORD PARK 2 LT 248 BLK A</t>
  </si>
  <si>
    <t xml:space="preserve">MILLAR IRREVOCABLE TRUST, TERRENCE W JR   </t>
  </si>
  <si>
    <t xml:space="preserve">1461 FRAUN CT </t>
  </si>
  <si>
    <t>022-202-15</t>
  </si>
  <si>
    <t>WATERFORD PARK 2 LT 262 BLK A</t>
  </si>
  <si>
    <t xml:space="preserve">STIEB TRUST, DAVID A  </t>
  </si>
  <si>
    <t>STIEB DAVID A</t>
  </si>
  <si>
    <t>3375 COREY DR</t>
  </si>
  <si>
    <t>164-072-44</t>
  </si>
  <si>
    <t>WATERFORD PARK 2 LT 218 BLK A</t>
  </si>
  <si>
    <t xml:space="preserve">TATMAN, SETH &amp; STACIE </t>
  </si>
  <si>
    <t>1810 MONTELENA CT</t>
  </si>
  <si>
    <t xml:space="preserve">LAY, THOMAS H </t>
  </si>
  <si>
    <t>022-202-53</t>
  </si>
  <si>
    <t>WATERFORD PARK 2 LT 198 BLK A</t>
  </si>
  <si>
    <t xml:space="preserve">POST, JACK JR &amp; CHAROLD J </t>
  </si>
  <si>
    <t>P O BOX 3404</t>
  </si>
  <si>
    <t>022-202-55</t>
  </si>
  <si>
    <t>WATERFORD PARK 2 LT 188 BLK A</t>
  </si>
  <si>
    <t xml:space="preserve">MILLS, LANE R &amp; LISA A </t>
  </si>
  <si>
    <t>1965 SHECKLER CUTOFF</t>
  </si>
  <si>
    <t>022-202-59</t>
  </si>
  <si>
    <t>WATERFORD PARK 2 LT 184 BLK A</t>
  </si>
  <si>
    <t>PATRIOT CONDOS #127 LLC</t>
  </si>
  <si>
    <t>C/O JAMES H NEWELL</t>
  </si>
  <si>
    <t xml:space="preserve">NEWELL REV LIVING TRUST, JAMES H   </t>
  </si>
  <si>
    <t>022-202-65</t>
  </si>
  <si>
    <t>WATERFORD PARK 2 LT 176 BLK A</t>
  </si>
  <si>
    <t xml:space="preserve">VAN HORN, JACK P &amp; HELGA  </t>
  </si>
  <si>
    <t>530 EAST PATIOT BLVD # 172</t>
  </si>
  <si>
    <t>022-202-67</t>
  </si>
  <si>
    <t>WATERFORD PARK 2 LT 172 BLK A</t>
  </si>
  <si>
    <t>7690 BLUESTONE DR</t>
  </si>
  <si>
    <t>LENZORA, RICHARD M et al</t>
  </si>
  <si>
    <t>3065 WINDEMERE</t>
  </si>
  <si>
    <t xml:space="preserve">LENZORA, RICHARD M </t>
  </si>
  <si>
    <t>022-203-09</t>
  </si>
  <si>
    <t>WATERFORD PARK 2 LT 323 BLK B</t>
  </si>
  <si>
    <t xml:space="preserve">CHRISTIANSEN, PAUL A &amp; KIM  </t>
  </si>
  <si>
    <t xml:space="preserve">908 W TELEGRAPH ST </t>
  </si>
  <si>
    <t xml:space="preserve">ALLY BANK  </t>
  </si>
  <si>
    <t>022-205-07</t>
  </si>
  <si>
    <t>WATERFORD PARK 2 LT 306 BLK B</t>
  </si>
  <si>
    <t xml:space="preserve">CURRIE REVOCABLE TRUST, JOHN G &amp; MICHELE Y   </t>
  </si>
  <si>
    <t xml:space="preserve">719 CAUGHLIN GLEN </t>
  </si>
  <si>
    <t xml:space="preserve">CURRIE, JOHN G  </t>
  </si>
  <si>
    <t>022-205-10</t>
  </si>
  <si>
    <t>WATERFORD PARK 2 LT 326 BLK B</t>
  </si>
  <si>
    <t xml:space="preserve">SOLANO, SANTIAGO &amp; COREEN </t>
  </si>
  <si>
    <t>470 SNOWMASS CT</t>
  </si>
  <si>
    <t xml:space="preserve">JAMES, AARON U </t>
  </si>
  <si>
    <t>022-205-12</t>
  </si>
  <si>
    <t>WATERFORD PARK 2 LT 328 BLK B</t>
  </si>
  <si>
    <t>164-074-15</t>
  </si>
  <si>
    <t>WATERFORD PARK 2 LT 330 BLK B</t>
  </si>
  <si>
    <t xml:space="preserve">MOSES-PONTER, WENDY C </t>
  </si>
  <si>
    <t>555 E PATRIOT # 151</t>
  </si>
  <si>
    <t>022-211-05</t>
  </si>
  <si>
    <t>WATERFORD PARK 2 BLDG E LT 151 BLK A</t>
  </si>
  <si>
    <t>WATERFORD PARK 2 BLDG C</t>
  </si>
  <si>
    <t xml:space="preserve">NEWELL, JAMES H &amp; PATRICIA </t>
  </si>
  <si>
    <t>164-082-04</t>
  </si>
  <si>
    <t>WATERFORD PARK 2 BLDG C LT 127 BLK D</t>
  </si>
  <si>
    <t xml:space="preserve">HUANG, MING HSIAO &amp; CHIA WOAN </t>
  </si>
  <si>
    <t>022-212-07</t>
  </si>
  <si>
    <t>WATERFORD PARK 2 BLDG C LT 117 BLK D</t>
  </si>
  <si>
    <t xml:space="preserve">BERNACCHI, GLORIA </t>
  </si>
  <si>
    <t>530 EAST PATRIOT BLVD 109</t>
  </si>
  <si>
    <t>022-212-12</t>
  </si>
  <si>
    <t>WATERFORD PARK 2 BLDG B LT 109 BLK D</t>
  </si>
  <si>
    <t>WE ACQUISTIONS LLC</t>
  </si>
  <si>
    <t>C/O KROMER INVESTMENTS INC</t>
  </si>
  <si>
    <t>11890 DONNER PASS RD - STE 4</t>
  </si>
  <si>
    <t>022-212-15</t>
  </si>
  <si>
    <t>WATERFORD PARK 2 BLDG B LT 105 BLK D</t>
  </si>
  <si>
    <t xml:space="preserve">BARBARICK, VICTOR E &amp; SHARLENE M </t>
  </si>
  <si>
    <t>2644 OLD SONOMA RD</t>
  </si>
  <si>
    <t xml:space="preserve">JEANOTTE, AMY E </t>
  </si>
  <si>
    <t>022-213-02</t>
  </si>
  <si>
    <t>WATERFORD PARK 2 BLDG E LT 154 BLK A</t>
  </si>
  <si>
    <t xml:space="preserve">MICELI, MELISSA </t>
  </si>
  <si>
    <t>022-213-06</t>
  </si>
  <si>
    <t>WATERFORD PARK 2 BLDG E LT 162 BLK A</t>
  </si>
  <si>
    <t>WATERFORD PARK 2 BLDG D</t>
  </si>
  <si>
    <t xml:space="preserve">NEWELL REVOCABLE TRUST, JAMES H  </t>
  </si>
  <si>
    <t>022-213-11</t>
  </si>
  <si>
    <t>WATERFORD PARK 2 BLDG D LT 144 BLK A</t>
  </si>
  <si>
    <t>022-213-14</t>
  </si>
  <si>
    <t>WATERFORD PARK 2 BLDG D LT 136 BLK A</t>
  </si>
  <si>
    <t xml:space="preserve">MICHAELS, DANIEL F </t>
  </si>
  <si>
    <t>530 E PATRIOT BLVD # 118</t>
  </si>
  <si>
    <t xml:space="preserve">KOEHLER, MICHAEL F &amp; KIM L A </t>
  </si>
  <si>
    <t>022-214-07</t>
  </si>
  <si>
    <t>WATERFORD PARK 2 BLDG C LT 118 BLK D</t>
  </si>
  <si>
    <t xml:space="preserve">DIETRICH, KATHERINE R  </t>
  </si>
  <si>
    <t>530 E PATRIOT BLVD # B116</t>
  </si>
  <si>
    <t>022-214-09</t>
  </si>
  <si>
    <t>WATERFORD PARK 2 BLDG B LT 116 BLK D</t>
  </si>
  <si>
    <t xml:space="preserve">STELZNER, DONOVAN W </t>
  </si>
  <si>
    <t>530 E PATRIOT BLVD 381</t>
  </si>
  <si>
    <t>164-091-18</t>
  </si>
  <si>
    <t>WATERFORD PARK 2 LT 381 BLK C</t>
  </si>
  <si>
    <t xml:space="preserve">REMS , GLORIA  </t>
  </si>
  <si>
    <t>1230 AUTUMN HILLS DR</t>
  </si>
  <si>
    <t xml:space="preserve">MEISNER, EMILY </t>
  </si>
  <si>
    <t>022-206-12</t>
  </si>
  <si>
    <t>WATERFORD PARK 2 LT 396 BLK C</t>
  </si>
  <si>
    <t xml:space="preserve">REIERSON, ERIC J &amp; JENNIFER R  </t>
  </si>
  <si>
    <t>530 E PATRIOT BLVD APT 364</t>
  </si>
  <si>
    <t>022-206-35</t>
  </si>
  <si>
    <t>WATERFORD PARK 2 LT 364 BLK C</t>
  </si>
  <si>
    <t xml:space="preserve">KAMEI, ROBERT K  </t>
  </si>
  <si>
    <t>7680 BLUESTONE # 354</t>
  </si>
  <si>
    <t>022-206-40</t>
  </si>
  <si>
    <t>WATERFORD PARK 2 LT 354 BLK C</t>
  </si>
  <si>
    <t>7450 LONGLEY LN</t>
  </si>
  <si>
    <t>SJ RANCH 3</t>
  </si>
  <si>
    <t xml:space="preserve">L &amp; L PROPERTY LLC </t>
  </si>
  <si>
    <t>7025 LONGLEY LN STE 40</t>
  </si>
  <si>
    <t>022-341-05</t>
  </si>
  <si>
    <t>SJ RANCH 3 LT 5</t>
  </si>
  <si>
    <t>7440 LONGLEY LN</t>
  </si>
  <si>
    <t>022-341-06</t>
  </si>
  <si>
    <t>SJ RANCH 3 LT 6</t>
  </si>
  <si>
    <t>REV TR #4936</t>
  </si>
  <si>
    <t>Vet Hosp</t>
  </si>
  <si>
    <t>12530 THOMAS CREEK RD</t>
  </si>
  <si>
    <t>REV TR # 4936</t>
  </si>
  <si>
    <t>590 E HUFFAKER LN</t>
  </si>
  <si>
    <t xml:space="preserve">REYOME, RICHARD &amp; HESTER </t>
  </si>
  <si>
    <t>022-071-19</t>
  </si>
  <si>
    <t>HUFFAKER HILLS 1 LT 2 +</t>
  </si>
  <si>
    <t>790 E HUFFAKER LN</t>
  </si>
  <si>
    <t xml:space="preserve">AMBURGEY, MARLON </t>
  </si>
  <si>
    <t>022-071-25</t>
  </si>
  <si>
    <t>HUFFAKER HILLS 2 LT A BLK 201</t>
  </si>
  <si>
    <t xml:space="preserve">SAMANIEGO, TIMOTHY &amp; REBECCA </t>
  </si>
  <si>
    <t>775 KINGSTON LN # D</t>
  </si>
  <si>
    <t>164-141-04</t>
  </si>
  <si>
    <t>WATERFORD PARK 1 AMD LT 1D</t>
  </si>
  <si>
    <t>785 KINGSTON LN</t>
  </si>
  <si>
    <t xml:space="preserve">BIANCONE, MIIKE </t>
  </si>
  <si>
    <t xml:space="preserve">7215 STONEHEDGE CIR </t>
  </si>
  <si>
    <t>022-281-06</t>
  </si>
  <si>
    <t>WATERFORD PARK 1 AMD LT 2A</t>
  </si>
  <si>
    <t>164-142-08</t>
  </si>
  <si>
    <t>WATERFORD PARK 1 AMD LT 2F</t>
  </si>
  <si>
    <t>795 KINGSTON LN</t>
  </si>
  <si>
    <t>LO, WEI C et al</t>
  </si>
  <si>
    <t>691 SEVILLE PL</t>
  </si>
  <si>
    <t xml:space="preserve">FLACK, RUTH R </t>
  </si>
  <si>
    <t>022-282-14</t>
  </si>
  <si>
    <t>WATERFORD PARK 1 AMD LT 4F</t>
  </si>
  <si>
    <t>419 BARCLAY CT</t>
  </si>
  <si>
    <t>WATERFORD PARK 3A</t>
  </si>
  <si>
    <t xml:space="preserve">RUSSELL, JANET A </t>
  </si>
  <si>
    <t>530 E PATRIOT BLVD UN 419</t>
  </si>
  <si>
    <t>022-190-06</t>
  </si>
  <si>
    <t>WATERFORD PARK 3A LT CR BLK 2</t>
  </si>
  <si>
    <t>417 BARCLAY CT</t>
  </si>
  <si>
    <t>LO, WEI-CHI et al</t>
  </si>
  <si>
    <t>KUO MEI-HUNG</t>
  </si>
  <si>
    <t xml:space="preserve">691 SEVILLE PL </t>
  </si>
  <si>
    <t>022-190-08</t>
  </si>
  <si>
    <t>WATERFORD PARK 3A LT AR BLK 2</t>
  </si>
  <si>
    <t>7600 BLUESTONE DR</t>
  </si>
  <si>
    <t xml:space="preserve">HITZELBERG, WILLIAM A </t>
  </si>
  <si>
    <t xml:space="preserve">KURTENBACH, TERRY L </t>
  </si>
  <si>
    <t>022-111-03</t>
  </si>
  <si>
    <t>HUFFAKER HILLS 3 LT 39 BLK D</t>
  </si>
  <si>
    <t>7629 PLOTT CIR</t>
  </si>
  <si>
    <t xml:space="preserve">HEBEL, THOMAS R &amp; CRISTA L  </t>
  </si>
  <si>
    <t>022-111-08</t>
  </si>
  <si>
    <t>HUFFAKER HILLS 3 LT 44 BLK D</t>
  </si>
  <si>
    <t>7665 RHINESTONE CIR</t>
  </si>
  <si>
    <t xml:space="preserve">TAPPER, DENZIL &amp; BARBARA  </t>
  </si>
  <si>
    <t>4410 GREAT FALLS LOOP</t>
  </si>
  <si>
    <t xml:space="preserve">HARPER TRUST, ARLINE H  </t>
  </si>
  <si>
    <t>022-111-32</t>
  </si>
  <si>
    <t>HUFFAKER HILLS 3 LT 68 BLK F</t>
  </si>
  <si>
    <t>7580 BLUESTONE DR</t>
  </si>
  <si>
    <t xml:space="preserve">FLOCCHINI FAMILY PARTNERSHIP, RICHARD &amp; PATRICIA </t>
  </si>
  <si>
    <t xml:space="preserve">LEMAY, MARSHALL D &amp; JUDITH A </t>
  </si>
  <si>
    <t>022-100-07</t>
  </si>
  <si>
    <t>HUFFAKER HILLS 3 LT 7 BLK A</t>
  </si>
  <si>
    <t>810 CRAIGMONT DR</t>
  </si>
  <si>
    <t xml:space="preserve">PIETZ, RYAN M </t>
  </si>
  <si>
    <t>AGUIRRE, JIRIAN G &amp; CAROLINE C et al</t>
  </si>
  <si>
    <t>022-100-11</t>
  </si>
  <si>
    <t>HUFFAKER HILLS 3 LT 11 BLK A</t>
  </si>
  <si>
    <t>7545 YOUNG CIR</t>
  </si>
  <si>
    <t xml:space="preserve">FLOCCHINI FAMILY PARTNERSHIP  </t>
  </si>
  <si>
    <t>14270 TABLE ROCK CT</t>
  </si>
  <si>
    <t>022-100-18</t>
  </si>
  <si>
    <t>HUFFAKER HILLS 3 LT 18 BLK B</t>
  </si>
  <si>
    <t>7666 ARMIN CIR</t>
  </si>
  <si>
    <t xml:space="preserve">JONES, EDWARD </t>
  </si>
  <si>
    <t>2124 PALM GROVE AVE</t>
  </si>
  <si>
    <t xml:space="preserve">JESSE, REBECCA K </t>
  </si>
  <si>
    <t>022-120-22</t>
  </si>
  <si>
    <t>HUFFAKER HILLS 4 LT 22 BLK B</t>
  </si>
  <si>
    <t>981 CRAIGMONT DR</t>
  </si>
  <si>
    <t xml:space="preserve">DOLEZAL, JOE F </t>
  </si>
  <si>
    <t xml:space="preserve">DECOSSE, GLORIA </t>
  </si>
  <si>
    <t>022-120-25</t>
  </si>
  <si>
    <t>HUFFAKER HILLS 4 LT 25 BLK C</t>
  </si>
  <si>
    <t>7568 CUMBERLAND CIR</t>
  </si>
  <si>
    <t>LEE, EUGENE K et al</t>
  </si>
  <si>
    <t>DING XIAO L</t>
  </si>
  <si>
    <t xml:space="preserve">LEE, EUGENE </t>
  </si>
  <si>
    <t>022-130-14</t>
  </si>
  <si>
    <t>HUFFAKER HILLS 4 LT 55 BLK F</t>
  </si>
  <si>
    <t>7528 RORY CIR</t>
  </si>
  <si>
    <t xml:space="preserve">FARLEY, CAROLYN M  </t>
  </si>
  <si>
    <t xml:space="preserve">7528 RORY CIR </t>
  </si>
  <si>
    <t>022-130-39</t>
  </si>
  <si>
    <t>HUFFAKER HILLS 4 LT 80 BLK H</t>
  </si>
  <si>
    <t>7400 SUGARLOAF DR</t>
  </si>
  <si>
    <t xml:space="preserve">CAREY, CHARLES R &amp; LINDA  </t>
  </si>
  <si>
    <t xml:space="preserve">7400 SUGARLOAF DR </t>
  </si>
  <si>
    <t xml:space="preserve">HOUSEHOLD REALTY FINANCE CORP </t>
  </si>
  <si>
    <t>022-081-03</t>
  </si>
  <si>
    <t>HUFFAKER HILLS 1 LT 28</t>
  </si>
  <si>
    <t>7489 LIMESTONE DR</t>
  </si>
  <si>
    <t>SCHWEISTHAL, DEREK et al</t>
  </si>
  <si>
    <t>022-063-19</t>
  </si>
  <si>
    <t>HUFFAKER HILLS 1 LT 69</t>
  </si>
  <si>
    <t>7491 LIMESTONE DR</t>
  </si>
  <si>
    <t xml:space="preserve">ALLEN FAMILY TRUST OF 1991  </t>
  </si>
  <si>
    <t>022-063-20</t>
  </si>
  <si>
    <t>HUFFAKER HILLS 1 LT 70</t>
  </si>
  <si>
    <t>885 CAMBRIDGE WAY</t>
  </si>
  <si>
    <t xml:space="preserve">CHRISTIANSON, SCOTT A &amp; PEGGY L  </t>
  </si>
  <si>
    <t xml:space="preserve">SETZER, CHARLES W &amp; JENNIFER J </t>
  </si>
  <si>
    <t>164-224-12</t>
  </si>
  <si>
    <t>HUFFAKER HILLS 1 LT 162</t>
  </si>
  <si>
    <t>7292 STONEHOUSE CIR</t>
  </si>
  <si>
    <t>AAKER, NATHANIEL B  et al</t>
  </si>
  <si>
    <t xml:space="preserve">ROSA, MARIE E </t>
  </si>
  <si>
    <t>164-224-32</t>
  </si>
  <si>
    <t>HUFFAKER HILLS 1 LT 166</t>
  </si>
  <si>
    <t>7215 SUGARLOAF DR</t>
  </si>
  <si>
    <t xml:space="preserve">GOFF, JILL V  </t>
  </si>
  <si>
    <t xml:space="preserve">7215 SUGARLOAF DR </t>
  </si>
  <si>
    <t>022-083-02</t>
  </si>
  <si>
    <t>HUFFAKER HILLS 1 LT 191</t>
  </si>
  <si>
    <t>7360 GEMSTONE DR</t>
  </si>
  <si>
    <t xml:space="preserve">LEMAY, MARSHALL D &amp;JUDITH A </t>
  </si>
  <si>
    <t xml:space="preserve">KING, STEVEN A </t>
  </si>
  <si>
    <t>022-083-11</t>
  </si>
  <si>
    <t>HUFFAKER HILLS 1 LT 183</t>
  </si>
  <si>
    <t>1010 AUTUMN HILLS DR</t>
  </si>
  <si>
    <t xml:space="preserve">HILL, KEITH E </t>
  </si>
  <si>
    <t>1010 AUTUMN HILLS</t>
  </si>
  <si>
    <t>022-083-17</t>
  </si>
  <si>
    <t>HUFFAKER HILLS 1 LT 189</t>
  </si>
  <si>
    <t>1040 E HUFFAKER LN</t>
  </si>
  <si>
    <t xml:space="preserve">RAMIREZ-REYES, LOURDES </t>
  </si>
  <si>
    <t>1040 EAST HUFFAKER LANE</t>
  </si>
  <si>
    <t>022-092-07</t>
  </si>
  <si>
    <t>HUFFAKER HILLS 2 LT B BLK 208</t>
  </si>
  <si>
    <t>1235 AUTUMN HILLS DR</t>
  </si>
  <si>
    <t xml:space="preserve">SPADE, JONI M </t>
  </si>
  <si>
    <t xml:space="preserve">DELATORRE, MARCO A </t>
  </si>
  <si>
    <t>022-157-03</t>
  </si>
  <si>
    <t>HUFFAKER HILLS 6 LT 3</t>
  </si>
  <si>
    <t>1325 AUTUMN HILLS DR</t>
  </si>
  <si>
    <t xml:space="preserve">LOOMIS, DAVID C </t>
  </si>
  <si>
    <t xml:space="preserve">PARK, ROXAN M </t>
  </si>
  <si>
    <t>022-156-02</t>
  </si>
  <si>
    <t>HUFFAKER HILLS 6 LT 12</t>
  </si>
  <si>
    <t>1201 LANDERWOOD DR</t>
  </si>
  <si>
    <t xml:space="preserve">SHREVE, ADAM W </t>
  </si>
  <si>
    <t>022-155-10</t>
  </si>
  <si>
    <t>HUFFAKER HILLS 6 LT 68</t>
  </si>
  <si>
    <t>1235 RADFORD DR</t>
  </si>
  <si>
    <t xml:space="preserve">GOODWIN, RONALD L JR </t>
  </si>
  <si>
    <t>022-153-04</t>
  </si>
  <si>
    <t>HUFFAKER HILLS 6 LT 30</t>
  </si>
  <si>
    <t>1260 LANDERWOOD DR</t>
  </si>
  <si>
    <t>CHRISTENSEN, JENNIFER Y  et al</t>
  </si>
  <si>
    <t xml:space="preserve">CHAMBERS, JOSEPH E &amp; JACKLYN A </t>
  </si>
  <si>
    <t>022-153-10</t>
  </si>
  <si>
    <t>HUFFAKER HILLS 6 LT 24</t>
  </si>
  <si>
    <t>7444 WALLSEND DR</t>
  </si>
  <si>
    <t xml:space="preserve">SMITH, KYLEN  </t>
  </si>
  <si>
    <t xml:space="preserve">REED TRUST, LEE  </t>
  </si>
  <si>
    <t>022-152-01</t>
  </si>
  <si>
    <t>HUFFAKER HILLS 6 LT 36</t>
  </si>
  <si>
    <t>1345 E HUFFAKER LN</t>
  </si>
  <si>
    <t>HUFFAKER HILLS 7</t>
  </si>
  <si>
    <t>REYES, PETER et al</t>
  </si>
  <si>
    <t>022-144-11</t>
  </si>
  <si>
    <t>HUFFAKER HILLS 7 LT 30 BLK C</t>
  </si>
  <si>
    <t>7480 BERRYHILL DR</t>
  </si>
  <si>
    <t xml:space="preserve">BRANDES, ERIC T </t>
  </si>
  <si>
    <t>022-142-02</t>
  </si>
  <si>
    <t>HUFFAKER HILLS 7 LT 11 BLK B</t>
  </si>
  <si>
    <t>1430 AMSTON RD</t>
  </si>
  <si>
    <t xml:space="preserve">FONG, ALEXIS </t>
  </si>
  <si>
    <t xml:space="preserve">1430 AMSTON RD </t>
  </si>
  <si>
    <t>HUFFAKER VILLAGE 2 LT 209</t>
  </si>
  <si>
    <t>1436 AMSTON RD</t>
  </si>
  <si>
    <t xml:space="preserve">ITZA, DENICE </t>
  </si>
  <si>
    <t xml:space="preserve">1436 AMSTON RD </t>
  </si>
  <si>
    <t xml:space="preserve">WANG, YUPING </t>
  </si>
  <si>
    <t>HUFFAKER VILLAGE 2 LT 210</t>
  </si>
  <si>
    <t>1485 AMSTON RD</t>
  </si>
  <si>
    <t xml:space="preserve">TINAJERO, MARTHA A  </t>
  </si>
  <si>
    <t xml:space="preserve">1485 AMSTON RD </t>
  </si>
  <si>
    <t>HUFFAKER VILLAGE 2 LT 219</t>
  </si>
  <si>
    <t>1460 AUTUMN HILLS DR</t>
  </si>
  <si>
    <t xml:space="preserve">BURROWS, NANCY S </t>
  </si>
  <si>
    <t xml:space="preserve">LINDER, SCOTT A &amp; MICHELE L </t>
  </si>
  <si>
    <t>HUFFAKER VILLAGE 3 LT 309</t>
  </si>
  <si>
    <t>7565 MICHAELA DR</t>
  </si>
  <si>
    <t xml:space="preserve">KVAM, JAY </t>
  </si>
  <si>
    <t xml:space="preserve">7565 MICHAELA </t>
  </si>
  <si>
    <t xml:space="preserve">ZEPEDA, MANUEL </t>
  </si>
  <si>
    <t>HUFFAKER VILLAGE 3 LT 301</t>
  </si>
  <si>
    <t>1575 AUTUMN HILLS DR</t>
  </si>
  <si>
    <t xml:space="preserve">RIDGE, GEORGE G &amp; GLADYS M </t>
  </si>
  <si>
    <t>HUFFAKER VILLAGE 3 LT 326</t>
  </si>
  <si>
    <t xml:space="preserve">VERDIER, JERRY A </t>
  </si>
  <si>
    <t>1506 BEAR CREEK DR</t>
  </si>
  <si>
    <t>PALISADES NORTH CONDO LT 144</t>
  </si>
  <si>
    <t xml:space="preserve">RANSOM, DEVIN M </t>
  </si>
  <si>
    <t>9050 DOUBLE R BLVD # 1412</t>
  </si>
  <si>
    <t xml:space="preserve">BARTELL, KENNETH L &amp; JANA L </t>
  </si>
  <si>
    <t>PALISADES NORTH COND LT 142 BLK 14</t>
  </si>
  <si>
    <t xml:space="preserve">CRAIG , DANIEL D &amp; SERENA K  </t>
  </si>
  <si>
    <t xml:space="preserve">3711 BLUEJAY LANE </t>
  </si>
  <si>
    <t xml:space="preserve">NAPERVILLE </t>
  </si>
  <si>
    <t xml:space="preserve">KALTENBACH, ANDREW K </t>
  </si>
  <si>
    <t>PALISADES NORTH CONDO LT 95 BLK 9</t>
  </si>
  <si>
    <t xml:space="preserve">HOWELL, GEORGE A </t>
  </si>
  <si>
    <t>9050 DOUBLE R BLVD 922</t>
  </si>
  <si>
    <t>PALISADES NORTH CONDOS LT 96 BLDG 9</t>
  </si>
  <si>
    <t>TREMBLAY, BRADLEY T et al</t>
  </si>
  <si>
    <t>LANG LINDA</t>
  </si>
  <si>
    <t>563 AMBROSE DR</t>
  </si>
  <si>
    <t>SALINAS</t>
  </si>
  <si>
    <t xml:space="preserve">DEUTSCHE BANK NAT`L TRUST CO </t>
  </si>
  <si>
    <t>PALISADES NORTH CONDO LT 97 BLK 9</t>
  </si>
  <si>
    <t xml:space="preserve">RAABE, STEPHANIE C  </t>
  </si>
  <si>
    <t>9050 DOUBLE R BLVD #1022</t>
  </si>
  <si>
    <t>PALISADES NORTH CONDO LT 106</t>
  </si>
  <si>
    <t xml:space="preserve">MORGAN, CHELSEA K </t>
  </si>
  <si>
    <t>9050 DOUBLE R BLVD # 121</t>
  </si>
  <si>
    <t>PALISADES NORTH CONDO LT 015</t>
  </si>
  <si>
    <t xml:space="preserve">MASSOLO, JOSEPH  </t>
  </si>
  <si>
    <t>PO BOX 500</t>
  </si>
  <si>
    <t>CHUALAR</t>
  </si>
  <si>
    <t>93925</t>
  </si>
  <si>
    <t>PALISADES NORTH CONDO LT 13</t>
  </si>
  <si>
    <t xml:space="preserve">SMITH , LINDA  </t>
  </si>
  <si>
    <t>9050 DOUBLE R BLVD # 322</t>
  </si>
  <si>
    <t>PALISADES NORTH CONDO LT 036</t>
  </si>
  <si>
    <t xml:space="preserve">HASKINS, JULIE  </t>
  </si>
  <si>
    <t>9050 DOUBLE R BLVD APT 425</t>
  </si>
  <si>
    <t>PALISADES NORTH CONDO LT 44 BLK 4</t>
  </si>
  <si>
    <t xml:space="preserve">COWAN, STEPHANIE L </t>
  </si>
  <si>
    <t>9050 DOUBLE R BLVD #611</t>
  </si>
  <si>
    <t>PALISADES NORTH CONDO LT 61</t>
  </si>
  <si>
    <t>5434 LONGLEY LN</t>
  </si>
  <si>
    <t>PM 4387</t>
  </si>
  <si>
    <t xml:space="preserve">CLEAR PROPERTIES LLC </t>
  </si>
  <si>
    <t>1000 FLANDERS RD</t>
  </si>
  <si>
    <t xml:space="preserve">MDM2 HOLDINGS LLC </t>
  </si>
  <si>
    <t>164-401-04</t>
  </si>
  <si>
    <t>PM 4387 LT 1F</t>
  </si>
  <si>
    <t xml:space="preserve"> LONGLEY LN</t>
  </si>
  <si>
    <t xml:space="preserve">EVMAR INVESTORS LLC </t>
  </si>
  <si>
    <t>PO BOX 3605</t>
  </si>
  <si>
    <t>JOHNSTON FAMILY TRUST OF 1998, EVERETT H et al</t>
  </si>
  <si>
    <t>164-421-13</t>
  </si>
  <si>
    <t>PM 4902 LT 8A</t>
  </si>
  <si>
    <t>5490 LONGLEY LN</t>
  </si>
  <si>
    <t>C/O COLLIERS NEVADA MGMT</t>
  </si>
  <si>
    <t>10765 DOUBLE R BLVD STE 100</t>
  </si>
  <si>
    <t>PM 4902 LT 8B</t>
  </si>
  <si>
    <t>1995 PEACEFUL VALLEY DR</t>
  </si>
  <si>
    <t>SALANGUIT, NESTOR S  et al</t>
  </si>
  <si>
    <t xml:space="preserve">1995 PEACEFUL VALLEY DR </t>
  </si>
  <si>
    <t>BELLA VISTA VILLAGE A UT 1 LT 1154</t>
  </si>
  <si>
    <t>1985 PEACEFUL VALLEY DR</t>
  </si>
  <si>
    <t xml:space="preserve">WHITEHURST-CARTER, GERARD H &amp; ONDRIA M </t>
  </si>
  <si>
    <t>BELLA VISTA VILLAGE A UT 1 LT 1153</t>
  </si>
  <si>
    <t>1975 PEACEFUL VALLEY DR</t>
  </si>
  <si>
    <t xml:space="preserve">PASUPULETI, SAIMURALI </t>
  </si>
  <si>
    <t>BELLA VISTA VILLAGE A UT 1 LT 1152</t>
  </si>
  <si>
    <t>1965 PEACEFUL VALLEY DR</t>
  </si>
  <si>
    <t xml:space="preserve">FOLDEN, DWAYNE A &amp; BOBBIE J  </t>
  </si>
  <si>
    <t xml:space="preserve">1965 PEACEFUL VALLEY DR </t>
  </si>
  <si>
    <t>BELLA VISTA VILLAGE A UT 1 LT 1151</t>
  </si>
  <si>
    <t>2085 PEACEFUL VALLEY DR</t>
  </si>
  <si>
    <t xml:space="preserve">WESTPHAL, JASON P &amp; MELISSA M  </t>
  </si>
  <si>
    <t xml:space="preserve">2085 PEACEFUL VALLEY DR </t>
  </si>
  <si>
    <t>BELLA VISTA VILLAGE A UT 1 LT 1073</t>
  </si>
  <si>
    <t>2075 PEACEFUL VALLEY DR</t>
  </si>
  <si>
    <t xml:space="preserve">ADAMS, CARMELITO </t>
  </si>
  <si>
    <t>BELLA VISTA VILLAGE A UT 1 LT 1072</t>
  </si>
  <si>
    <t>2065 PEACEFUL VALLEY DR</t>
  </si>
  <si>
    <t xml:space="preserve">TOWNSEND, JANETTE J &amp; SCOTT </t>
  </si>
  <si>
    <t>BELLA VISTA VILLAGE A UT 1 LT 1071</t>
  </si>
  <si>
    <t>2055 PEACEFUL VALLEY DR</t>
  </si>
  <si>
    <t xml:space="preserve">GRAY, JAMES D &amp; ANGELA  </t>
  </si>
  <si>
    <t xml:space="preserve">2055 PEACEFUL VALLEY DR </t>
  </si>
  <si>
    <t>BELLA VISTA VILLAGE A UT 1 LT 1070</t>
  </si>
  <si>
    <t>2045 PEACEFUL VALLEY DR</t>
  </si>
  <si>
    <t>SAPORSKY, ADAM et al</t>
  </si>
  <si>
    <t>WEBER ALENA</t>
  </si>
  <si>
    <t xml:space="preserve">2045 PEACEFUL VALLEY DR </t>
  </si>
  <si>
    <t>BELLA VISTA VILLAGE A UT 1 LT 1069</t>
  </si>
  <si>
    <t>2035 PEACEFUL VALLEY DR</t>
  </si>
  <si>
    <t xml:space="preserve">STEWART, JAMES E &amp; DEBORAH K </t>
  </si>
  <si>
    <t>BELLA VISTA VILLAGE A UT 1 LT 1068</t>
  </si>
  <si>
    <t>1960 PEACEFUL VALLEY DR</t>
  </si>
  <si>
    <t xml:space="preserve">WHYBREW, TIM &amp; HEIDI  </t>
  </si>
  <si>
    <t xml:space="preserve">ROBERT TRUST, FRED K JR  </t>
  </si>
  <si>
    <t>BELLA VISTA VILLAGE A UT 1 LT 1157</t>
  </si>
  <si>
    <t>1955 LONG HOLLOW DR</t>
  </si>
  <si>
    <t xml:space="preserve">KORACIN, VESNA </t>
  </si>
  <si>
    <t>VIEIRA, ASHLEY et al</t>
  </si>
  <si>
    <t>BELLA VISTA VILLAGE A UT 1 LT 1165</t>
  </si>
  <si>
    <t>2000 PEACEFUL VALLEY DR</t>
  </si>
  <si>
    <t xml:space="preserve">MURGOLO, VINCENT H  </t>
  </si>
  <si>
    <t xml:space="preserve">2000 PEACEFUL VALLEY DR </t>
  </si>
  <si>
    <t>BELLA VISTA VILLAGE A UT 1 LT 1104</t>
  </si>
  <si>
    <t>2010 PEACEFUL VALLEY DR</t>
  </si>
  <si>
    <t xml:space="preserve">KREIE, SCOTT D &amp; MELISSA A </t>
  </si>
  <si>
    <t>BELLA VISTA VILLAGE A UT 1 LT 1103</t>
  </si>
  <si>
    <t>2020 PEACEFUL VALLEY DR</t>
  </si>
  <si>
    <t xml:space="preserve">GARG, SHAURAV </t>
  </si>
  <si>
    <t xml:space="preserve">2020 PEACEFUL VALLEY DR </t>
  </si>
  <si>
    <t>BELLA VISTA VILLAGE A UT 1 LT 1102</t>
  </si>
  <si>
    <t>2030 PEACEFUL VALLEY DR</t>
  </si>
  <si>
    <t xml:space="preserve">JACOBS, PATRICIA M  </t>
  </si>
  <si>
    <t xml:space="preserve">7210 FOXWAY LN </t>
  </si>
  <si>
    <t xml:space="preserve">HUMBLE </t>
  </si>
  <si>
    <t>BELLA VISTA VILLAGE A UT 1 LT 1101</t>
  </si>
  <si>
    <t>2040 PEACEFUL VALLEY DR</t>
  </si>
  <si>
    <t xml:space="preserve">EBONIA, MICHELLE &amp; ROY </t>
  </si>
  <si>
    <t>BELLA VISTA VILLAGE A UT 1 LT 1100</t>
  </si>
  <si>
    <t>2050 PEACEFUL VALLEY DR</t>
  </si>
  <si>
    <t xml:space="preserve">DOUBEK FAMILY TRUST  </t>
  </si>
  <si>
    <t>BELLA VISTA VILLAGE A UT 1 LT 1099</t>
  </si>
  <si>
    <t xml:space="preserve">HUENE, DONALD S &amp; PATRICIA </t>
  </si>
  <si>
    <t>BELLA VISTA VILLAGE A UT 1 LT 1098</t>
  </si>
  <si>
    <t>2070 PEACEFUL VALLEY DR</t>
  </si>
  <si>
    <t xml:space="preserve">URIOSTE, JOSHUA R &amp; JASMINE </t>
  </si>
  <si>
    <t>BELLA VISTA VILLAGE A UT 1 LT 1097</t>
  </si>
  <si>
    <t>2080 PEACEFUL VALLEY DR</t>
  </si>
  <si>
    <t xml:space="preserve">FULLER, AMBER L  </t>
  </si>
  <si>
    <t xml:space="preserve">2080 PEACEFUL VALLEY DR </t>
  </si>
  <si>
    <t xml:space="preserve">D R HORTON INC SACRAMENTO  </t>
  </si>
  <si>
    <t>BELLA VISTA VILLAGE A UT 1 LT 1096</t>
  </si>
  <si>
    <t>9150 SUNROCK RD</t>
  </si>
  <si>
    <t xml:space="preserve">FROHLICH, DREW A </t>
  </si>
  <si>
    <t xml:space="preserve">ESTES, JENNIFER &amp; DARREN </t>
  </si>
  <si>
    <t>BELLA VISTA VILLAGE A UT 1 LT 1172</t>
  </si>
  <si>
    <t>2075 RED WILLOW DR</t>
  </si>
  <si>
    <t xml:space="preserve">KHAN, ABDUL K &amp; TABASSUM M  </t>
  </si>
  <si>
    <t xml:space="preserve">2075 RED WILLOW DR </t>
  </si>
  <si>
    <t>BELLA VISTA VILLAGE A UT 1 LT 1121</t>
  </si>
  <si>
    <t>2065 RED WILLOW DR</t>
  </si>
  <si>
    <t xml:space="preserve">2065 RED WILLOW DR </t>
  </si>
  <si>
    <t>BELLA VISTA VILLAGE A UT 1 LT 1122</t>
  </si>
  <si>
    <t>2045 RED WILLOW DR</t>
  </si>
  <si>
    <t>BELLA VISTA VILLAGE A UT 1 LT 1124</t>
  </si>
  <si>
    <t>2035 RED WILLOW DR</t>
  </si>
  <si>
    <t>CHEN, HSIAO L et al</t>
  </si>
  <si>
    <t>118 SADOWA ST</t>
  </si>
  <si>
    <t>BELLA VISTA VILLAGE A UT 1 LT 1125</t>
  </si>
  <si>
    <t>1985 BLACK STERLING DR</t>
  </si>
  <si>
    <t xml:space="preserve">RITZ, SHAUN &amp; KARLA </t>
  </si>
  <si>
    <t>BELLA VISTA VILLAGE A UT 1 LT 1185</t>
  </si>
  <si>
    <t>9375 SPOTTED HORSE RD</t>
  </si>
  <si>
    <t>BELLA VISTA VILLAGE A UT 1 LT 1193</t>
  </si>
  <si>
    <t>1980 BLACK STERLING DR</t>
  </si>
  <si>
    <t xml:space="preserve">SERRANO FAMILY 2010 TRUST  </t>
  </si>
  <si>
    <t>BELLA VISTA VILLAGE A UT 1 LT 1210</t>
  </si>
  <si>
    <t>2095 TAWLEED RD</t>
  </si>
  <si>
    <t>CRUM, DALE et al</t>
  </si>
  <si>
    <t>BELLA VISTA VILLAGE A UT 1 LT 1119</t>
  </si>
  <si>
    <t>2089 WATERHOUSE RD</t>
  </si>
  <si>
    <t xml:space="preserve">AGUIRRE-SANCHEZ, ROSA G </t>
  </si>
  <si>
    <t>BELLA VISTA RANCH VILLAGE B UT 1 LT 2003</t>
  </si>
  <si>
    <t>2081 WATERHOUSE RD</t>
  </si>
  <si>
    <t>KIRN, DAVID K  et al</t>
  </si>
  <si>
    <t xml:space="preserve">2081 WATERHOUSE RD </t>
  </si>
  <si>
    <t>BELLA VISTA RANCH VILLAGE B UT 1 LT 2004</t>
  </si>
  <si>
    <t>2073 WATERHOUSE RD</t>
  </si>
  <si>
    <t xml:space="preserve">GONZALES, JAMES </t>
  </si>
  <si>
    <t>BELLA VISTA RANCH VILLAGE B UT 1 LT 2005</t>
  </si>
  <si>
    <t>2049 WATERHOUSE RD</t>
  </si>
  <si>
    <t xml:space="preserve">KILLEN, NINA A </t>
  </si>
  <si>
    <t>9681 COMANCHE MOON DR</t>
  </si>
  <si>
    <t>BELLA VISTA RANCH VILLAGE B UT 1 LT 2008</t>
  </si>
  <si>
    <t>2041 WATERHOUSE RD</t>
  </si>
  <si>
    <t>ABATANGELO, JOHN et al</t>
  </si>
  <si>
    <t>BELLA VISTA RANCH VILLAGE B UT 1 LT 2009</t>
  </si>
  <si>
    <t>2033 WATERHOUSE RD</t>
  </si>
  <si>
    <t>LUGO, LOGAN et al</t>
  </si>
  <si>
    <t xml:space="preserve">2033 WATERHOUSE RD </t>
  </si>
  <si>
    <t>BELLA VISTA RANCH VILLAGE B UT 1 LT 2010</t>
  </si>
  <si>
    <t>2025 WATERHOUSE RD</t>
  </si>
  <si>
    <t xml:space="preserve">HIGA, TATSUNO </t>
  </si>
  <si>
    <t>BELLA VISTA RANCH VILLAGE B UT 1 LT 2011</t>
  </si>
  <si>
    <t>2017 WATERHOUSE RD</t>
  </si>
  <si>
    <t>GUERRERO, CARLOS J  et al</t>
  </si>
  <si>
    <t xml:space="preserve">2017 WATERHOUSE RD </t>
  </si>
  <si>
    <t>BELLA VISTA RANCH VILLAGE B UT 1 LT 2012</t>
  </si>
  <si>
    <t>2001 WATERHOUSE RD</t>
  </si>
  <si>
    <t xml:space="preserve">LEONARD, MARK W &amp; PATTY ANN </t>
  </si>
  <si>
    <t xml:space="preserve">2001 WATERHOUSE RD </t>
  </si>
  <si>
    <t>BELLA VISTA RANCH VILLAGE B UT 1 LT 2014</t>
  </si>
  <si>
    <t>1999 GLACIER MEADOW DR</t>
  </si>
  <si>
    <t>TARTE, BRIAN et al</t>
  </si>
  <si>
    <t>BELLA VISTA RANCH VILLAGE B UT 1 LT 2015</t>
  </si>
  <si>
    <t>1991 GLACIER MEADOW DR</t>
  </si>
  <si>
    <t>CHEN, JAYLEEN et al</t>
  </si>
  <si>
    <t xml:space="preserve">1991 GLACIER MEADOW DR </t>
  </si>
  <si>
    <t>BELLA VISTA RANCH VILLAGE B UT 1 LT 2016</t>
  </si>
  <si>
    <t>1983 GLACIER MEADOW DR</t>
  </si>
  <si>
    <t xml:space="preserve">BUTLER, NICK &amp; STEPHANIE </t>
  </si>
  <si>
    <t>BELLA VISTA RANCH VILLAGE B UT 1 LT 2017</t>
  </si>
  <si>
    <t>1975 GLACIER MEADOW DR</t>
  </si>
  <si>
    <t xml:space="preserve">WHITE, GARY J </t>
  </si>
  <si>
    <t>BELLA VISTA RANCH VILLAGE B UT 1 LT 2018</t>
  </si>
  <si>
    <t>1967 GLACIER MEADOW DR</t>
  </si>
  <si>
    <t>GILLESPIE, MATHEW et al</t>
  </si>
  <si>
    <t>BELLA VISTA RANCH VILLAGE B UT 1 LT 2019</t>
  </si>
  <si>
    <t>1952 GLACIER MEADOW DR</t>
  </si>
  <si>
    <t>WILES, KENNETH  et al</t>
  </si>
  <si>
    <t xml:space="preserve">ZHENG WENYAN </t>
  </si>
  <si>
    <t xml:space="preserve">1952 GLACIER MEADOW DR </t>
  </si>
  <si>
    <t>BELLA VISTA RANCH VILLAGE B UT 1 LT 2294</t>
  </si>
  <si>
    <t>1960 GLACIER MEADOW DR</t>
  </si>
  <si>
    <t>BELLA VISTA RANCH VILLAGE B UT 1 LT 2293</t>
  </si>
  <si>
    <t>1968 GLACIER MEADOW DR</t>
  </si>
  <si>
    <t xml:space="preserve">SHARMA, MANISH K </t>
  </si>
  <si>
    <t>BELLA VISTA RANCH VILLAGE B UT 1 LT 2292</t>
  </si>
  <si>
    <t>1976 GLACIER MEADOW DR</t>
  </si>
  <si>
    <t xml:space="preserve">CHAVEZ, JORGE L  </t>
  </si>
  <si>
    <t xml:space="preserve">1976 GLACIER MEADOW DR </t>
  </si>
  <si>
    <t>BELLA VISTA RANCH VILLAGE B UT 1 LT 2291</t>
  </si>
  <si>
    <t>1984 GLACIER MEADOW DR</t>
  </si>
  <si>
    <t>PATTERSON, SCOTT L et al</t>
  </si>
  <si>
    <t>BELLA VISTA RANCH VILLAGE B UT 1 LT 2290</t>
  </si>
  <si>
    <t>1992 GLACIER MEADOW DR</t>
  </si>
  <si>
    <t>BELLA VISTA RANCH VILLAGE B UT 1 LT 2289</t>
  </si>
  <si>
    <t>1998 GLACIER MEADOW DR</t>
  </si>
  <si>
    <t xml:space="preserve">SANTONI, LUIS JR &amp; CAROLYN </t>
  </si>
  <si>
    <t>BELLA VISTA RANCH VILLAGE B UT 1 LT 2288</t>
  </si>
  <si>
    <t>2035 BLACK SAND DR</t>
  </si>
  <si>
    <t xml:space="preserve">ROESNER, MATTHEWS &amp; ALISHA C  </t>
  </si>
  <si>
    <t xml:space="preserve">2035 BLACK SAND DR </t>
  </si>
  <si>
    <t xml:space="preserve">ALBRIGHT, RYAN L &amp; RENEE S </t>
  </si>
  <si>
    <t>BELLA VISTA RANCH VILLAGE B UT 1 LT 2281</t>
  </si>
  <si>
    <t>1959 GLACIER MEADOW DR</t>
  </si>
  <si>
    <t>BELLA VISTA RANCH VILLAGE B UT 1 LT 2020</t>
  </si>
  <si>
    <t>1081 SHADELANDS CT</t>
  </si>
  <si>
    <t>NORTHGATE 3J</t>
  </si>
  <si>
    <t xml:space="preserve">GALLO, ROSS F &amp; DAWN S  </t>
  </si>
  <si>
    <t xml:space="preserve">4995 MOUNTAINSHYRE RD </t>
  </si>
  <si>
    <t>200-032-13</t>
  </si>
  <si>
    <t>NORTHGATE 3J LT 14 BLK B</t>
  </si>
  <si>
    <t>6364 PARK PL</t>
  </si>
  <si>
    <t>039-031-72</t>
  </si>
  <si>
    <t>NORTHGATE 3L LT 18 BLK B</t>
  </si>
  <si>
    <t>6330 PARK PL</t>
  </si>
  <si>
    <t>THOMPSON, PAUL et al</t>
  </si>
  <si>
    <t>NORTHGATE 3L LT 11 BLK B</t>
  </si>
  <si>
    <t>1420 PLAINVIEW CT</t>
  </si>
  <si>
    <t xml:space="preserve">BOURGEOIS, JANE M </t>
  </si>
  <si>
    <t>NORTHGATE 14B LT 3 BLK A</t>
  </si>
  <si>
    <t>6889 ENCHANTED VALLEY DR</t>
  </si>
  <si>
    <t xml:space="preserve">FISH TRUST, WAYNE &amp; SUZANNE  </t>
  </si>
  <si>
    <t>1118 E WILSON AVE</t>
  </si>
  <si>
    <t>92867</t>
  </si>
  <si>
    <t xml:space="preserve">FISH, WAYNE &amp; SUZANNE </t>
  </si>
  <si>
    <t>039-431-39</t>
  </si>
  <si>
    <t>NORTHGATE 3C LT 14 BLK A</t>
  </si>
  <si>
    <t>1238 DAWSON DR</t>
  </si>
  <si>
    <t>VAN HOESEN, BRETT M  et al</t>
  </si>
  <si>
    <t xml:space="preserve">PERROTTE JEAN P </t>
  </si>
  <si>
    <t xml:space="preserve">TOMASELLO TRUST, ROSE L  </t>
  </si>
  <si>
    <t>039-432-07</t>
  </si>
  <si>
    <t>NORTHGATE 3C LT 29 BLK B</t>
  </si>
  <si>
    <t>1277 TATE DR</t>
  </si>
  <si>
    <t xml:space="preserve">WRIGHT, JULIANNE K </t>
  </si>
  <si>
    <t>039-263-06</t>
  </si>
  <si>
    <t>NORTHGATE 3A LT 123 BLK F</t>
  </si>
  <si>
    <t>6624 ENCHANTED VALLEY DR</t>
  </si>
  <si>
    <t xml:space="preserve">BORRELL-MORENO, CHRISTI C </t>
  </si>
  <si>
    <t>039-265-07</t>
  </si>
  <si>
    <t>NORTHGATE 3A LT 99 BLK D</t>
  </si>
  <si>
    <t>6674 CHESTERFIELD LN</t>
  </si>
  <si>
    <t>NORTHGATE 3G</t>
  </si>
  <si>
    <t xml:space="preserve">WEISGERBER, DANIEL C &amp; JUDY S </t>
  </si>
  <si>
    <t xml:space="preserve">STRAND, TORIL </t>
  </si>
  <si>
    <t>039-601-04</t>
  </si>
  <si>
    <t>NORTHGATE 3G LT 4 BLK A</t>
  </si>
  <si>
    <t>6540 ENCHANTED VALLEY DR</t>
  </si>
  <si>
    <t xml:space="preserve">BALESTRA, MASSIMO </t>
  </si>
  <si>
    <t>039-442-04</t>
  </si>
  <si>
    <t>NORTHGATE 3D LT 94 BLK B</t>
  </si>
  <si>
    <t>6324 PARK PL</t>
  </si>
  <si>
    <t>NORTHGATE 3H</t>
  </si>
  <si>
    <t xml:space="preserve">BIRTELL, JAY </t>
  </si>
  <si>
    <t>039-543-01</t>
  </si>
  <si>
    <t>NORTHGATE 3H LT 27 BLK B</t>
  </si>
  <si>
    <t>6339 BLUE LAKES CT</t>
  </si>
  <si>
    <t xml:space="preserve">SHANK, GARY J </t>
  </si>
  <si>
    <t>89523-2711</t>
  </si>
  <si>
    <t xml:space="preserve">KARTZ, KATHERINE E </t>
  </si>
  <si>
    <t>039-543-10</t>
  </si>
  <si>
    <t>NORTHGATE 3H LT 18 BLK B</t>
  </si>
  <si>
    <t>6315 CHESTERFIELD LN</t>
  </si>
  <si>
    <t xml:space="preserve">TANKERSLEY, MARGARET M </t>
  </si>
  <si>
    <t>039-543-19</t>
  </si>
  <si>
    <t>NORTHGATE 3H LT 9 BLK B</t>
  </si>
  <si>
    <t>6319 CHESTERFIELD LN</t>
  </si>
  <si>
    <t xml:space="preserve">HARRIS, LUKE D &amp; DANIELLE K </t>
  </si>
  <si>
    <t xml:space="preserve">HOLLAND, JUDAH R &amp; ERIN B </t>
  </si>
  <si>
    <t>039-543-20</t>
  </si>
  <si>
    <t>NORTHGATE 3H LT 8 BLK B</t>
  </si>
  <si>
    <t>1078 BLUE LAKES RD</t>
  </si>
  <si>
    <t xml:space="preserve">RONNAU GRANDCHILDREN TRUST  </t>
  </si>
  <si>
    <t>PO BOX 7781</t>
  </si>
  <si>
    <t xml:space="preserve">MUELLER, FRED J </t>
  </si>
  <si>
    <t>039-542-11</t>
  </si>
  <si>
    <t>NORTHGATE 3H LT 37 BLK D</t>
  </si>
  <si>
    <t>6303 PARK PL</t>
  </si>
  <si>
    <t xml:space="preserve">DRLIK FAMILY TRUST  </t>
  </si>
  <si>
    <t>11150 WHITEHORSE RD</t>
  </si>
  <si>
    <t>039-541-07</t>
  </si>
  <si>
    <t>NORTHGATE 3H LT 32 BLK C</t>
  </si>
  <si>
    <t>1045 AMBASSADOR DR</t>
  </si>
  <si>
    <t xml:space="preserve">BURK FAMILY TRUST  </t>
  </si>
  <si>
    <t>039-393-11</t>
  </si>
  <si>
    <t>NORTHGATE 2D LT 231 BLK G</t>
  </si>
  <si>
    <t>6280 CANYON PARK LN</t>
  </si>
  <si>
    <t xml:space="preserve">AMAYA , VICTOR G  </t>
  </si>
  <si>
    <t xml:space="preserve">6280 CANYON PARK LN </t>
  </si>
  <si>
    <t xml:space="preserve">JONES, JENNIFER A </t>
  </si>
  <si>
    <t>039-394-04</t>
  </si>
  <si>
    <t>NORTHGATE 2D LT 251 BLK I</t>
  </si>
  <si>
    <t>6224 CANYON PARK LN</t>
  </si>
  <si>
    <t xml:space="preserve">BELTRAN, LINDA  </t>
  </si>
  <si>
    <t xml:space="preserve">KLINE, LYNN M </t>
  </si>
  <si>
    <t>039-394-11</t>
  </si>
  <si>
    <t>NORTHGATE 2D LT 258 BLK I</t>
  </si>
  <si>
    <t>1017 EMBASSY CIR</t>
  </si>
  <si>
    <t xml:space="preserve">MIRANDA, CHRISTOPHER L &amp; JAMIE L  </t>
  </si>
  <si>
    <t xml:space="preserve">1017 EMBASSY CIR </t>
  </si>
  <si>
    <t>039-422-02</t>
  </si>
  <si>
    <t>NORTHGATE 2F LT 300 BLK L</t>
  </si>
  <si>
    <t>6042 WALNUT CREEK RD</t>
  </si>
  <si>
    <t xml:space="preserve">LANDRY, MARK P  </t>
  </si>
  <si>
    <t xml:space="preserve">KIEL FAMILY TRUST, GLORY  </t>
  </si>
  <si>
    <t>039-422-13</t>
  </si>
  <si>
    <t>NORTHGATE 2F LT 311 BLK L</t>
  </si>
  <si>
    <t>6063 WALNUT CREEK RD</t>
  </si>
  <si>
    <t xml:space="preserve">MARSHALL, RYAN </t>
  </si>
  <si>
    <t>039-424-08</t>
  </si>
  <si>
    <t>NORTHGATE 2F LT 340 BLK O</t>
  </si>
  <si>
    <t>1134 INDIAN COVE WAY</t>
  </si>
  <si>
    <t>BOSCOVICH, TERA et al</t>
  </si>
  <si>
    <t xml:space="preserve">OROZCO, ARTURO &amp; MARIA </t>
  </si>
  <si>
    <t>200-152-23</t>
  </si>
  <si>
    <t>NORTHGATE 2C LT 169 BLK D</t>
  </si>
  <si>
    <t>6087 WHITE WATER WAY</t>
  </si>
  <si>
    <t xml:space="preserve">NETUSCHIL, LISA </t>
  </si>
  <si>
    <t>200-153-12</t>
  </si>
  <si>
    <t>NORTHGATE 2C LT 198 BLK F</t>
  </si>
  <si>
    <t>6025 DIPLOMAT DR</t>
  </si>
  <si>
    <t xml:space="preserve">MERICA, CARLA </t>
  </si>
  <si>
    <t>PO BOX 364</t>
  </si>
  <si>
    <t>SIERRAVILLE</t>
  </si>
  <si>
    <t xml:space="preserve">GRAVIER, MIKE &amp; KIMY </t>
  </si>
  <si>
    <t>039-183-07</t>
  </si>
  <si>
    <t>NORTHGATE 2C LT 181 BLK E</t>
  </si>
  <si>
    <t>6052 BANKSIDE WAY</t>
  </si>
  <si>
    <t xml:space="preserve">GARRISON, CHRISTOPHER M </t>
  </si>
  <si>
    <t>039-072-02</t>
  </si>
  <si>
    <t>NORTHGATE 2A LT 58 BLK D</t>
  </si>
  <si>
    <t>6000 BANKSIDE WAY</t>
  </si>
  <si>
    <t xml:space="preserve">PARKER, BRIAN P &amp; TRACIE L </t>
  </si>
  <si>
    <t>200-163-08</t>
  </si>
  <si>
    <t>NORTHGATE 2A LT 64 BLK D</t>
  </si>
  <si>
    <t>6082 BANKSIDE WAY</t>
  </si>
  <si>
    <t xml:space="preserve">SEYMOUR, MATTHEW L  </t>
  </si>
  <si>
    <t xml:space="preserve">6082 BANKSIDE WAY </t>
  </si>
  <si>
    <t>039-072-12</t>
  </si>
  <si>
    <t>NORTHGATE 2B LT 81 BLK D</t>
  </si>
  <si>
    <t>1799 ALBRIGHT CT</t>
  </si>
  <si>
    <t xml:space="preserve">SMITH, CHRISTINE A &amp; RONALD B </t>
  </si>
  <si>
    <t>039-552-05</t>
  </si>
  <si>
    <t>NORTHGATE 4B LT 21 BLK B</t>
  </si>
  <si>
    <t>1694 SHADOW WOOD RD</t>
  </si>
  <si>
    <t xml:space="preserve">RAHN , KYLE S  </t>
  </si>
  <si>
    <t>1694 SHADOW WOOD</t>
  </si>
  <si>
    <t>039-481-09</t>
  </si>
  <si>
    <t>NORTHGATE 4A LT 9 BLK A</t>
  </si>
  <si>
    <t>1592 RIDGEGATE CIR</t>
  </si>
  <si>
    <t xml:space="preserve">COOKE, LISA  </t>
  </si>
  <si>
    <t xml:space="preserve">1592 RIDGEGATE CIR </t>
  </si>
  <si>
    <t>039-302-03</t>
  </si>
  <si>
    <t>NORTHGATE 1A LT 63 BLK C</t>
  </si>
  <si>
    <t>1646 ASHBURY LN</t>
  </si>
  <si>
    <t xml:space="preserve">HUSSEY, WILLIAM D &amp; SANDRA L </t>
  </si>
  <si>
    <t>BLDG 115 STE 321</t>
  </si>
  <si>
    <t xml:space="preserve">10580 N MCCARRAN BLVD </t>
  </si>
  <si>
    <t xml:space="preserve">T E C PROPERTY SOLUTIONS LLC </t>
  </si>
  <si>
    <t>039-302-17</t>
  </si>
  <si>
    <t>NORTHGATE 1A LT 49 BLK C</t>
  </si>
  <si>
    <t>6240 FIELDSTONE PL</t>
  </si>
  <si>
    <t>ANDERSON, TYLER T  et al</t>
  </si>
  <si>
    <t xml:space="preserve">6240 FIELDSTONE PL </t>
  </si>
  <si>
    <t>039-303-22</t>
  </si>
  <si>
    <t>NORTHGATE 1A LT 34 BLK B</t>
  </si>
  <si>
    <t>1625 HANOVER DR</t>
  </si>
  <si>
    <t>NORTHGATE 1C</t>
  </si>
  <si>
    <t xml:space="preserve">MAO, JIELI </t>
  </si>
  <si>
    <t>GROVE, THEODORE G et al</t>
  </si>
  <si>
    <t>039-322-13</t>
  </si>
  <si>
    <t>NORTHGATE 1C LT 140 BLK D</t>
  </si>
  <si>
    <t>1595 HAVENCREST DR</t>
  </si>
  <si>
    <t>NORTHGATE 1B</t>
  </si>
  <si>
    <t>PARI, GREGORY S et al</t>
  </si>
  <si>
    <t>5770 W BROOKDALE</t>
  </si>
  <si>
    <t xml:space="preserve">HAJEC, THOMAS E &amp; DEBORAH G </t>
  </si>
  <si>
    <t>039-312-01</t>
  </si>
  <si>
    <t>NORTHGATE 1B LT 88 BLK F</t>
  </si>
  <si>
    <t>1550 HAVENCREST DR</t>
  </si>
  <si>
    <t xml:space="preserve">WULF, TIMOTHY T &amp; LINDA K  </t>
  </si>
  <si>
    <t>4047 WATERHOLE CIR</t>
  </si>
  <si>
    <t>039-313-11</t>
  </si>
  <si>
    <t>NORTHGATE 1B LT 93 BLK G</t>
  </si>
  <si>
    <t>6346 VALLEY WOOD DR</t>
  </si>
  <si>
    <t xml:space="preserve">LEONARD, PAULETTE J &amp; RICHARD C </t>
  </si>
  <si>
    <t xml:space="preserve">BAILEY FAMILY TRUST, DANA M &amp; SUE  </t>
  </si>
  <si>
    <t>039-641-20</t>
  </si>
  <si>
    <t>NORTHGATE 7A LT 30 BLK A</t>
  </si>
  <si>
    <t>1913 WINDVIEW CT</t>
  </si>
  <si>
    <t xml:space="preserve">KUNKEL TRUST, KIMBERLY A  </t>
  </si>
  <si>
    <t xml:space="preserve">LEWIS, MARK P </t>
  </si>
  <si>
    <t>039-641-09</t>
  </si>
  <si>
    <t>NORTHGATE 7A LT 20 BLK A</t>
  </si>
  <si>
    <t>1830 LAKELAND HILLS DR</t>
  </si>
  <si>
    <t>NORTHGATE 7B</t>
  </si>
  <si>
    <t xml:space="preserve">MEAD TRUST, LEONORE L L  </t>
  </si>
  <si>
    <t>C/O HARDING &amp; CARBONE INC</t>
  </si>
  <si>
    <t>3903 BELLAIRE BLVD</t>
  </si>
  <si>
    <t xml:space="preserve">KOSTERS LIVING TRUST, GERRIT W JR  </t>
  </si>
  <si>
    <t>039-681-04</t>
  </si>
  <si>
    <t>NORTHGATE 7B LT 26 BLK C</t>
  </si>
  <si>
    <t>039-682-04</t>
  </si>
  <si>
    <t>1729 LAKELAND HILLS DR</t>
  </si>
  <si>
    <t xml:space="preserve">MILLER, ERIC H &amp; CHRISTINE P </t>
  </si>
  <si>
    <t xml:space="preserve">HOUSTON, LORI </t>
  </si>
  <si>
    <t>039-732-15</t>
  </si>
  <si>
    <t>NORTHGATE 7C LT 24 BLK B</t>
  </si>
  <si>
    <t>6139 VALLEY WOOD DR</t>
  </si>
  <si>
    <t>BILLER, MICHAEL et al</t>
  </si>
  <si>
    <t xml:space="preserve">KEELER, MARCIA J &amp; STUART A </t>
  </si>
  <si>
    <t>039-632-14</t>
  </si>
  <si>
    <t xml:space="preserve">NORTHGATE 7A LT 59 BLK C (R/S 2267) </t>
  </si>
  <si>
    <t>6417 ENCHANTED VALLEY DR</t>
  </si>
  <si>
    <t>BUSCH, NICOLE et al</t>
  </si>
  <si>
    <t>039-281-31</t>
  </si>
  <si>
    <t>NORTHGATE 3B LT 27 BLK A</t>
  </si>
  <si>
    <t>6463 ENCHANTED VALLEY DR</t>
  </si>
  <si>
    <t>TIRAN, LINDSAY J et al</t>
  </si>
  <si>
    <t>039-281-36</t>
  </si>
  <si>
    <t>NORTHGATE 3B LT 22 BLK A</t>
  </si>
  <si>
    <t>6440 ENCHANTED VALLEY DR</t>
  </si>
  <si>
    <t xml:space="preserve">ENCHANTED VALLEY TRUST 6440  </t>
  </si>
  <si>
    <t>039-282-07</t>
  </si>
  <si>
    <t>NORTHGATE 3B LT 84 BLK C</t>
  </si>
  <si>
    <t>1700 HANOVER DR</t>
  </si>
  <si>
    <t xml:space="preserve">TRUAX, BRADLEY H </t>
  </si>
  <si>
    <t>3203 CHELTENHAM ST</t>
  </si>
  <si>
    <t xml:space="preserve">SPILLERS, SUSAN G </t>
  </si>
  <si>
    <t>039-323-09</t>
  </si>
  <si>
    <t>NORTHGATE 1C LT 117 BLK B</t>
  </si>
  <si>
    <t>6688 VALLEY WOOD DR</t>
  </si>
  <si>
    <t>ARGUST, BRYN E  et al</t>
  </si>
  <si>
    <t xml:space="preserve">6688 VALLEY WOOD DR </t>
  </si>
  <si>
    <t>039-803-20</t>
  </si>
  <si>
    <t>NORTHGATE 7D FR LT 3 BLK B RS 2653</t>
  </si>
  <si>
    <t>1931 TUOLUMNE DR</t>
  </si>
  <si>
    <t xml:space="preserve">LAWLER, MELANIE T </t>
  </si>
  <si>
    <t xml:space="preserve">1931 TUOLUMNE DR </t>
  </si>
  <si>
    <t>039-460-13</t>
  </si>
  <si>
    <t>NORTHGATE VILLAGE 2 AMD LT 72 BLK B</t>
  </si>
  <si>
    <t>1923 E MINARET CIR</t>
  </si>
  <si>
    <t xml:space="preserve">EMORY, SUZANNE </t>
  </si>
  <si>
    <t xml:space="preserve">CECERE, KATHERINE S </t>
  </si>
  <si>
    <t>039-090-38</t>
  </si>
  <si>
    <t>NORTHGATE VILLAGE 1 LT 38 BLK D</t>
  </si>
  <si>
    <t>6061 KATIE CT</t>
  </si>
  <si>
    <t>NORTHGATE 6</t>
  </si>
  <si>
    <t xml:space="preserve">HENNEBERG, KLAUS U &amp; JANE K </t>
  </si>
  <si>
    <t xml:space="preserve">6061 KATIE CT </t>
  </si>
  <si>
    <t xml:space="preserve">BROWN, FANNIE M </t>
  </si>
  <si>
    <t>039-404-03</t>
  </si>
  <si>
    <t>NORTHGATE 6 LT 17 BLK A</t>
  </si>
  <si>
    <t>1031 AMBASSADOR DR</t>
  </si>
  <si>
    <t>039-393-14</t>
  </si>
  <si>
    <t>NORTHGATE 2E LT 227 BLK G</t>
  </si>
  <si>
    <t>6274 CHESTERFIELD LN</t>
  </si>
  <si>
    <t xml:space="preserve">PURSEL, JOSEPH R &amp; JENNIFER M  </t>
  </si>
  <si>
    <t xml:space="preserve">6274 CHESTERFIELD LN </t>
  </si>
  <si>
    <t>039-396-03</t>
  </si>
  <si>
    <t>NORTHGATE 2E LT 282 BLK K</t>
  </si>
  <si>
    <t>1109 CHESTERFIELD CT</t>
  </si>
  <si>
    <t>NORTHGATE 3I</t>
  </si>
  <si>
    <t xml:space="preserve">TORRUELLA, JOSEPH M </t>
  </si>
  <si>
    <t>1400 BUCKEYE CT</t>
  </si>
  <si>
    <t>039-543-31</t>
  </si>
  <si>
    <t>NORTHGATE 3I LT 17 BLK B</t>
  </si>
  <si>
    <t>1099 CHESTERFIELD CT</t>
  </si>
  <si>
    <t xml:space="preserve">FAKHROO, BIJAN </t>
  </si>
  <si>
    <t xml:space="preserve">AZARBIN, HOOSHANG </t>
  </si>
  <si>
    <t>039-543-32</t>
  </si>
  <si>
    <t>NORTHGATE 3I LT 16 BLK B</t>
  </si>
  <si>
    <t>6330 CHESTERFIELD LN</t>
  </si>
  <si>
    <t xml:space="preserve">TROCHE, JOSEPH P </t>
  </si>
  <si>
    <t>ESPINOZA, JUAN et al</t>
  </si>
  <si>
    <t>039-544-17</t>
  </si>
  <si>
    <t>NORTHGATE 3I LT 2 BLK A</t>
  </si>
  <si>
    <t>6300 WALNUT CREEK RD</t>
  </si>
  <si>
    <t xml:space="preserve">KECK, TYLER D &amp; JESSICA L </t>
  </si>
  <si>
    <t>039-541-06</t>
  </si>
  <si>
    <t>NORTHGATE 3E LT 20 BLK D</t>
  </si>
  <si>
    <t>6341 MOON RIDGE TER</t>
  </si>
  <si>
    <t xml:space="preserve">SCHUBERT, SARINA E </t>
  </si>
  <si>
    <t>039-283-27</t>
  </si>
  <si>
    <t>NORTHGATE 3E LT 12 BLK B</t>
  </si>
  <si>
    <t>6345 MOON RIDGE TER</t>
  </si>
  <si>
    <t xml:space="preserve">BATEEN, AMBER </t>
  </si>
  <si>
    <t>6345 MOOD RIDGE TERR</t>
  </si>
  <si>
    <t xml:space="preserve">RIFE, STEPHEN &amp; CONNIE </t>
  </si>
  <si>
    <t>039-283-28</t>
  </si>
  <si>
    <t>NORTHGATE 3E LT 11 BLK B</t>
  </si>
  <si>
    <t>6377 MOON RIDGE TER</t>
  </si>
  <si>
    <t xml:space="preserve">ANDERSON, MICHAEL W &amp; HOLLY M  </t>
  </si>
  <si>
    <t>6377 MOON RIDGE TERRACE</t>
  </si>
  <si>
    <t>039-283-33</t>
  </si>
  <si>
    <t>NORTHGATE 3E LT 6 BLK B</t>
  </si>
  <si>
    <t>1278 MOON RIDGE CIR</t>
  </si>
  <si>
    <t>NORTHGATE 3F</t>
  </si>
  <si>
    <t xml:space="preserve">FOSTER, TIMOTHY J </t>
  </si>
  <si>
    <t xml:space="preserve">STETKA, ALEXANDRA </t>
  </si>
  <si>
    <t>039-442-27</t>
  </si>
  <si>
    <t>NORTHGATE 3F LT 14 BLK A</t>
  </si>
  <si>
    <t>1268 ARISTICON DR</t>
  </si>
  <si>
    <t xml:space="preserve">JANOSCHEK, NICOLE H </t>
  </si>
  <si>
    <t>039-442-16</t>
  </si>
  <si>
    <t>NORTHGATE 3F LT 3 BLK A</t>
  </si>
  <si>
    <t>1480 MESCALERO AVE</t>
  </si>
  <si>
    <t xml:space="preserve">CHIMARUSTI, STEVEN  </t>
  </si>
  <si>
    <t xml:space="preserve">1480 MESCALERO AVE </t>
  </si>
  <si>
    <t>039-871-05</t>
  </si>
  <si>
    <t>NORTHGATE 14A LT 29 BLK C</t>
  </si>
  <si>
    <t>1480 CLOVIS CT</t>
  </si>
  <si>
    <t xml:space="preserve">RAMSEY, ALBERT L &amp; GAYLE M  </t>
  </si>
  <si>
    <t xml:space="preserve">1480 CLOVIS CT </t>
  </si>
  <si>
    <t xml:space="preserve">BROTHER, HELEN A </t>
  </si>
  <si>
    <t>039-872-07</t>
  </si>
  <si>
    <t>NORTHGATE 14A LT 20 BLK B</t>
  </si>
  <si>
    <t>1420 MESCALERO CT</t>
  </si>
  <si>
    <t xml:space="preserve">HARRIGAN, KURT A </t>
  </si>
  <si>
    <t>HANNAH, MELISSA A et al</t>
  </si>
  <si>
    <t>039-873-13</t>
  </si>
  <si>
    <t>NORTHGATE 14A LT 3 BLK A</t>
  </si>
  <si>
    <t>1572 CALUSA LN</t>
  </si>
  <si>
    <t>NORTHGATE 14C</t>
  </si>
  <si>
    <t xml:space="preserve">HAHN, JUSTIN L </t>
  </si>
  <si>
    <t xml:space="preserve">HAZLETT, LORNA G </t>
  </si>
  <si>
    <t>200-010-10</t>
  </si>
  <si>
    <t>NORTHGATE 14C LT 33 BLK B</t>
  </si>
  <si>
    <t>6921 CALUSA CT</t>
  </si>
  <si>
    <t xml:space="preserve">MOHLER, JENNA M </t>
  </si>
  <si>
    <t xml:space="preserve">GREEN, THOMAS E &amp; MARVIS </t>
  </si>
  <si>
    <t>NORTHGATE 14C LT 4 BLK A</t>
  </si>
  <si>
    <t>1512 CALUSA LN</t>
  </si>
  <si>
    <t xml:space="preserve">HAMILTON, ROBERT </t>
  </si>
  <si>
    <t>4790 CAUGHLIN PKWY # 400</t>
  </si>
  <si>
    <t xml:space="preserve">FLACK, RUTH </t>
  </si>
  <si>
    <t>NORTHGATE 14C LT 38 BLK C</t>
  </si>
  <si>
    <t>1100 FOREST KNOLL CT</t>
  </si>
  <si>
    <t xml:space="preserve">SMITH TRUST, CAROLYN A  </t>
  </si>
  <si>
    <t>CAROLYN A SMITH TRUSTEE</t>
  </si>
  <si>
    <t>2990 BRYAN ST</t>
  </si>
  <si>
    <t>ALBERT, TERENCE R et al</t>
  </si>
  <si>
    <t>NORTHGATE 3M LT 23</t>
  </si>
  <si>
    <t>6547 FALL RIVER CIR</t>
  </si>
  <si>
    <t xml:space="preserve">DUSENBURY, MATTHEW P </t>
  </si>
  <si>
    <t>NORTHGATE 3N LT 25 BLK B</t>
  </si>
  <si>
    <t>6575 FALL RIVER CIR</t>
  </si>
  <si>
    <t xml:space="preserve">CHOI, MEI YEE </t>
  </si>
  <si>
    <t>NORTHGATE 3N LT 30 BLK B</t>
  </si>
  <si>
    <t>6830 SONTERRA LN</t>
  </si>
  <si>
    <t xml:space="preserve">GANTT, GREGORY A &amp; JOANNA  </t>
  </si>
  <si>
    <t xml:space="preserve">PONCE INLET </t>
  </si>
  <si>
    <t>NORTHGATE 15B LT 32 BLK A</t>
  </si>
  <si>
    <t>1808 MILLPOND CT</t>
  </si>
  <si>
    <t xml:space="preserve">WHAN FAMILY TRUST  </t>
  </si>
  <si>
    <t>4605 MOUNTAINGATE DR</t>
  </si>
  <si>
    <t xml:space="preserve">WHAN, MICHAEL J &amp; DENISE S </t>
  </si>
  <si>
    <t>NORTHGATE 18A LT 1</t>
  </si>
  <si>
    <t>6750 DIAMOND GLEN DR</t>
  </si>
  <si>
    <t xml:space="preserve">FEEHAN, PATRICIA </t>
  </si>
  <si>
    <t>NORTHGATE 18A LT 34</t>
  </si>
  <si>
    <t>6790 DIAMOND GLEN DR</t>
  </si>
  <si>
    <t xml:space="preserve">MCCOY, CLINT D </t>
  </si>
  <si>
    <t xml:space="preserve">WITTE, MARK </t>
  </si>
  <si>
    <t>NORTHGATE 18A LT 31</t>
  </si>
  <si>
    <t>6765 DIAMOND GLEN DR</t>
  </si>
  <si>
    <t xml:space="preserve">EVANS, GARY L </t>
  </si>
  <si>
    <t xml:space="preserve">MCCUTCHEON, GERALD A &amp; SALLY J </t>
  </si>
  <si>
    <t>NORTHGATE 18A LT 19</t>
  </si>
  <si>
    <t>6100 MAE ANNE AVE</t>
  </si>
  <si>
    <t>PM 4283</t>
  </si>
  <si>
    <t>PO BOX 19671</t>
  </si>
  <si>
    <t xml:space="preserve">PACIFIC CAPITAL BANK NA </t>
  </si>
  <si>
    <t>200-590-02</t>
  </si>
  <si>
    <t>PM 4283 LT 7</t>
  </si>
  <si>
    <t>BBBR</t>
  </si>
  <si>
    <t>1455 GRANDPOINT WAY</t>
  </si>
  <si>
    <t>SUNCREST SUB UNIT NO 3B</t>
  </si>
  <si>
    <t xml:space="preserve">HARRIS, GARY L </t>
  </si>
  <si>
    <t>1455 GRAND POINT WAY</t>
  </si>
  <si>
    <t xml:space="preserve">COZBY TRUST, JOYCE MYREE  </t>
  </si>
  <si>
    <t>039-190-88</t>
  </si>
  <si>
    <t>SUNCREST 3B LT 333 BLK B</t>
  </si>
  <si>
    <t>1458 BACKER WAY</t>
  </si>
  <si>
    <t xml:space="preserve">HULL 1990 LIVING TRUST  </t>
  </si>
  <si>
    <t>PO BOX 916</t>
  </si>
  <si>
    <t xml:space="preserve">DIABLO </t>
  </si>
  <si>
    <t>94528</t>
  </si>
  <si>
    <t xml:space="preserve">BERGRUN FAMILY TRUST, NORMAN R &amp; CLAIRE M  </t>
  </si>
  <si>
    <t>SUNCREST 3A LT 315 BLK A</t>
  </si>
  <si>
    <t>1338 BACKER WAY</t>
  </si>
  <si>
    <t xml:space="preserve">NEUENSCHWANDER, DEREK E </t>
  </si>
  <si>
    <t xml:space="preserve">GRULLI, JASON &amp; MONICA </t>
  </si>
  <si>
    <t>202-041-03</t>
  </si>
  <si>
    <t>SUNCREST 3A LT 303 BLK A</t>
  </si>
  <si>
    <t>5860 SIMONS DR</t>
  </si>
  <si>
    <t>SUNCREST 2A</t>
  </si>
  <si>
    <t xml:space="preserve">HAEREITI, TE KANAWA &amp; JENNIFER </t>
  </si>
  <si>
    <t xml:space="preserve">STANTON, HANNA K </t>
  </si>
  <si>
    <t>039-252-04</t>
  </si>
  <si>
    <t>SUNCREST 2A LT 3 BLK A</t>
  </si>
  <si>
    <t>1540 GRANDPOINT WAY</t>
  </si>
  <si>
    <t>SUNCREST 1</t>
  </si>
  <si>
    <t>HUYNH, NGOC MINH et al</t>
  </si>
  <si>
    <t>1540 GRAND POINT WAY</t>
  </si>
  <si>
    <t>039-254-02</t>
  </si>
  <si>
    <t>SUNCREST 1 LT 14 BLK B</t>
  </si>
  <si>
    <t>1595 ROMA CT</t>
  </si>
  <si>
    <t xml:space="preserve">JOHNS 2002 LIVING TRUST, GARY L   </t>
  </si>
  <si>
    <t xml:space="preserve">ADIN </t>
  </si>
  <si>
    <t>JOHNS 2002 LIVING TRUST, GARY L  TTEE et al</t>
  </si>
  <si>
    <t>039-780-04</t>
  </si>
  <si>
    <t>SIERRA HIGHLANDS 12B LT 20 BLK A</t>
  </si>
  <si>
    <t>1509 PRIES CT</t>
  </si>
  <si>
    <t>JURICH, LAWRENCE et al</t>
  </si>
  <si>
    <t>2188 NATIONAL AVE</t>
  </si>
  <si>
    <t>202-111-43</t>
  </si>
  <si>
    <t>SIERRA HIGHLANDS 12B AMD LT 10 BLK A</t>
  </si>
  <si>
    <t>1588 PRIES CT</t>
  </si>
  <si>
    <t>18124 WEDGE PKWY 1073</t>
  </si>
  <si>
    <t xml:space="preserve">MCELVAIN, LEAH C </t>
  </si>
  <si>
    <t>SIERRA HIGHLANDS 12B AMD LT 18 BLK A</t>
  </si>
  <si>
    <t>5470 WEATHERBY CT</t>
  </si>
  <si>
    <t xml:space="preserve">TEEPLES, PAUL K </t>
  </si>
  <si>
    <t xml:space="preserve">SETH, PAUL &amp; LAURA </t>
  </si>
  <si>
    <t>SIERRA HIGHLANDS 10 LT 12 BLK A</t>
  </si>
  <si>
    <t>1500 RAINBOW RIDGE RD</t>
  </si>
  <si>
    <t xml:space="preserve">KNOWLES, STEPHEN P &amp; CYNTHIA M  </t>
  </si>
  <si>
    <t xml:space="preserve">RIGGIO, MASSIMILIANO </t>
  </si>
  <si>
    <t>SIERRA HIGHLANDS 10 LT 2 BLK A</t>
  </si>
  <si>
    <t>1075 CROWN VIEW DR</t>
  </si>
  <si>
    <t xml:space="preserve">GIANNANTONIO , JOSEPH J &amp; DIANE A  </t>
  </si>
  <si>
    <t xml:space="preserve">DIMARZIO, BRIAN T &amp; AMY N  </t>
  </si>
  <si>
    <t>GRAND SUMMIT LT 5</t>
  </si>
  <si>
    <t>1072 CROWN VIEW DR</t>
  </si>
  <si>
    <t xml:space="preserve">SHEPPARD, LELAND B </t>
  </si>
  <si>
    <t>GRAND SUMMIT LT 14</t>
  </si>
  <si>
    <t>10345 PROFESSIONAL CIR #100</t>
  </si>
  <si>
    <t xml:space="preserve">BGU ASSOCIATES LLC </t>
  </si>
  <si>
    <t>202-182-09</t>
  </si>
  <si>
    <t>1165 SILVER CREST CIR</t>
  </si>
  <si>
    <t xml:space="preserve">KIMBALL, ROSE M </t>
  </si>
  <si>
    <t>GRAND SUMMIT LT 50</t>
  </si>
  <si>
    <t>1175 SILVER CREST CIR</t>
  </si>
  <si>
    <t xml:space="preserve">ORTMAN, RICHARD W &amp; HOPE C </t>
  </si>
  <si>
    <t>P O BOX 9934</t>
  </si>
  <si>
    <t>GRAND SUMMIT LT 51</t>
  </si>
  <si>
    <t>1235 SILVER CREST CIR</t>
  </si>
  <si>
    <t xml:space="preserve">KELLER, DALE </t>
  </si>
  <si>
    <t xml:space="preserve">SCHACHTER, ROBERT S &amp; MELODEE A </t>
  </si>
  <si>
    <t>GRAND SUMMIT LT 57</t>
  </si>
  <si>
    <t>1275 SILVER CREST CIR</t>
  </si>
  <si>
    <t xml:space="preserve">STERN, JASON N </t>
  </si>
  <si>
    <t>GRAND SUMMIT LT 61</t>
  </si>
  <si>
    <t>1028 CROWN VIEW DR</t>
  </si>
  <si>
    <t xml:space="preserve">ABELLA, ADELINE D </t>
  </si>
  <si>
    <t>GRAND SUMMIT LT 25</t>
  </si>
  <si>
    <t>1036 CROWN VIEW DR</t>
  </si>
  <si>
    <t xml:space="preserve">LIRA, HEIDI M &amp; ERIC A </t>
  </si>
  <si>
    <t>GRAND SUMMIT LT 23</t>
  </si>
  <si>
    <t>1040 CROWN VIEW DR</t>
  </si>
  <si>
    <t xml:space="preserve">PETERSON, DANIELLE Y </t>
  </si>
  <si>
    <t>GRAND SUMMIT LT 22</t>
  </si>
  <si>
    <t>1044 CROWN VIEW DR</t>
  </si>
  <si>
    <t>SWAGMAN, KIRSTIN et al</t>
  </si>
  <si>
    <t>GRAND SUMMIT LT 21</t>
  </si>
  <si>
    <t>1048 CROWN VIEW DR</t>
  </si>
  <si>
    <t xml:space="preserve">DHALIWAL, RAJKUMAR S </t>
  </si>
  <si>
    <t>GRAND SUMMIT LT 20</t>
  </si>
  <si>
    <t>1052 CROWN VIEW DR</t>
  </si>
  <si>
    <t xml:space="preserve">KNIGHT, JACOB A </t>
  </si>
  <si>
    <t>GRAND SUMMIT LT 19</t>
  </si>
  <si>
    <t>1056 CROWN VIEW DR</t>
  </si>
  <si>
    <t xml:space="preserve">BALLIN, ELIZABETH A </t>
  </si>
  <si>
    <t>GRAND SUMMIT LT 18</t>
  </si>
  <si>
    <t>1060 CROWN VIEW DR</t>
  </si>
  <si>
    <t xml:space="preserve">CORNELL, MICHAEL </t>
  </si>
  <si>
    <t>GRAND SUMMIT LT 17</t>
  </si>
  <si>
    <t>1064 CROWN VIEW DR</t>
  </si>
  <si>
    <t xml:space="preserve">BECK , JOHN A &amp; CINDY R  </t>
  </si>
  <si>
    <t xml:space="preserve">1064 CROWN VIEW DR </t>
  </si>
  <si>
    <t xml:space="preserve">BECK , JOHN A  </t>
  </si>
  <si>
    <t>GRAND SUMMIT LT 16</t>
  </si>
  <si>
    <t>1068 CROWN VIEW DR</t>
  </si>
  <si>
    <t xml:space="preserve">PETERSON, GARY D &amp; KATHRYN M </t>
  </si>
  <si>
    <t>GRAND SUMMIT LT 15</t>
  </si>
  <si>
    <t>1025 CROWN VIEW DR</t>
  </si>
  <si>
    <t xml:space="preserve">CATE, RILEY C  </t>
  </si>
  <si>
    <t xml:space="preserve">1025 CROWN VIEW DR </t>
  </si>
  <si>
    <t>GRAND SUMMIT LT 37</t>
  </si>
  <si>
    <t>1023 CROWN VIEW DR</t>
  </si>
  <si>
    <t xml:space="preserve">CHESTER, JERRY S </t>
  </si>
  <si>
    <t>GRAND SUMMIT LT 38</t>
  </si>
  <si>
    <t>1021 CROWN VIEW DR</t>
  </si>
  <si>
    <t xml:space="preserve">MAY, BILLY J  </t>
  </si>
  <si>
    <t xml:space="preserve">1021 CROWN VIEW DR </t>
  </si>
  <si>
    <t>GRAND SUMMIT LT 39</t>
  </si>
  <si>
    <t>1017 CROWN VIEW DR</t>
  </si>
  <si>
    <t xml:space="preserve">PRICE , DAVID A </t>
  </si>
  <si>
    <t>1205 S MEADOWS PKWY APT K3077</t>
  </si>
  <si>
    <t>GRAND SUMMIT LT 40</t>
  </si>
  <si>
    <t>1115 SILVER CREST CIR</t>
  </si>
  <si>
    <t>LEWIS, KEVIN D et al</t>
  </si>
  <si>
    <t>GRAND SUMMIT LT 46</t>
  </si>
  <si>
    <t>1012 CROWN VIEW DR</t>
  </si>
  <si>
    <t xml:space="preserve">MILLER FAMILY TRUST, ROBERT H &amp; BARBARA B  </t>
  </si>
  <si>
    <t>ROBERT H &amp; BARBARA B MILLER TRUSTEE</t>
  </si>
  <si>
    <t>1797 HAVENCREST DR</t>
  </si>
  <si>
    <t>GRAND SUMMIT LT 66</t>
  </si>
  <si>
    <t>1250 SILVER CREST CIR</t>
  </si>
  <si>
    <t xml:space="preserve">GONZALES, JUSTIN L &amp; ANNA W  </t>
  </si>
  <si>
    <t xml:space="preserve">1250 SILVER CREST CIR </t>
  </si>
  <si>
    <t xml:space="preserve">GRAND SUMMIT LT 78 </t>
  </si>
  <si>
    <t>1425 GRAND SUMMIT DR</t>
  </si>
  <si>
    <t xml:space="preserve">HAUGHEY, MELISSA T </t>
  </si>
  <si>
    <t xml:space="preserve">DEAL, FLOYD J II </t>
  </si>
  <si>
    <t>GRAND VIEW LT 8</t>
  </si>
  <si>
    <t>1385 GRAND SUMMIT DR</t>
  </si>
  <si>
    <t xml:space="preserve">GARCIA, LISA D </t>
  </si>
  <si>
    <t xml:space="preserve">1385 GRAND SUMMIT DR </t>
  </si>
  <si>
    <t xml:space="preserve">R &amp; K HOMES GRAND VIEW LLC </t>
  </si>
  <si>
    <t>GRAND VIEW LT 12</t>
  </si>
  <si>
    <t>1345 GRAND SUMMIT DR</t>
  </si>
  <si>
    <t xml:space="preserve">MESSIER, LAURENCE A &amp; QIONG </t>
  </si>
  <si>
    <t xml:space="preserve">MESSIER, LAURENCE A </t>
  </si>
  <si>
    <t>GRAND VIEW LT 40</t>
  </si>
  <si>
    <t>1335 GRAND SUMMIT DR</t>
  </si>
  <si>
    <t xml:space="preserve">DELGADILLO, CONRADO </t>
  </si>
  <si>
    <t>GRAND VIEW LT 41</t>
  </si>
  <si>
    <t>1454 HOGADON WAY</t>
  </si>
  <si>
    <t xml:space="preserve">BRADLEY, REGINA M </t>
  </si>
  <si>
    <t>2355 MUELLER DR</t>
  </si>
  <si>
    <t>BRECKENRIDGE LT 61</t>
  </si>
  <si>
    <t>1460 HOGADON WAY</t>
  </si>
  <si>
    <t xml:space="preserve">HENRY FAMILY TRUST  </t>
  </si>
  <si>
    <t>13951 BADGER AVE</t>
  </si>
  <si>
    <t>SYLMAR</t>
  </si>
  <si>
    <t>91342</t>
  </si>
  <si>
    <t xml:space="preserve">HENRY, EVERETT O III </t>
  </si>
  <si>
    <t>BRECKENRIDGE LT 60</t>
  </si>
  <si>
    <t>1472 HOGADON WAY</t>
  </si>
  <si>
    <t xml:space="preserve">LOFFREDO, VINCENT A </t>
  </si>
  <si>
    <t>BRECKENRIDGE LT 58</t>
  </si>
  <si>
    <t>1478 HOGADON WAY</t>
  </si>
  <si>
    <t>LEUNG, EDWARD Y et al</t>
  </si>
  <si>
    <t>WONG SIU C</t>
  </si>
  <si>
    <t>2400 MONTEGO DR</t>
  </si>
  <si>
    <t>BRECKENRIDGE LT 57</t>
  </si>
  <si>
    <t>1484 HOGADON WAY</t>
  </si>
  <si>
    <t xml:space="preserve">LEEK FAMILY TRUST  </t>
  </si>
  <si>
    <t>1545 SUNRISE CIR</t>
  </si>
  <si>
    <t>BRECKENRIDGE LT 56</t>
  </si>
  <si>
    <t>1485 HOGADON WAY</t>
  </si>
  <si>
    <t>MCKAY, GREGORY L et al</t>
  </si>
  <si>
    <t>3050 ROXBURY DR</t>
  </si>
  <si>
    <t>BRECKENRIDGE LT 54</t>
  </si>
  <si>
    <t>1479 HOGADON WAY</t>
  </si>
  <si>
    <t>HAWKINS, WENDY SUE et al</t>
  </si>
  <si>
    <t>BRECKENRIDGE LT 53</t>
  </si>
  <si>
    <t>1473 HOGADON WAY</t>
  </si>
  <si>
    <t xml:space="preserve">MAHONEY, TIFFANY A  </t>
  </si>
  <si>
    <t xml:space="preserve">1473 HOGADON WAY </t>
  </si>
  <si>
    <t>BRECKENRIDGE LT 52</t>
  </si>
  <si>
    <t>1461 HOGADON WAY</t>
  </si>
  <si>
    <t>SALAH, ZAKIE M et al</t>
  </si>
  <si>
    <t>BOWLEN LOUISE A</t>
  </si>
  <si>
    <t>BRECKENRIDGE LT 50</t>
  </si>
  <si>
    <t>1455 HOGADON WAY</t>
  </si>
  <si>
    <t xml:space="preserve">SODBINOW, BADMA </t>
  </si>
  <si>
    <t>BRECKENRIDGE LT 49</t>
  </si>
  <si>
    <t>5340 TWIN CREEKS DR</t>
  </si>
  <si>
    <t>SILVERADO RANCH EST 3  PH 1</t>
  </si>
  <si>
    <t xml:space="preserve">MCMULLEN, BRAD &amp; KATIE </t>
  </si>
  <si>
    <t xml:space="preserve">BUCKNER, JAMES R SR &amp; BEVERLY J </t>
  </si>
  <si>
    <t>039-892-07</t>
  </si>
  <si>
    <t>SILVERADO RANCH EST 3 PH 1 LT 71 BLK C</t>
  </si>
  <si>
    <t>5485 E BROOKDALE DR</t>
  </si>
  <si>
    <t>SLIVERADO RANCH EST 3 PH1</t>
  </si>
  <si>
    <t>FUETSCH, MICHAEL  et al</t>
  </si>
  <si>
    <t>5485 E BROOKDALE</t>
  </si>
  <si>
    <t>039-903-08</t>
  </si>
  <si>
    <t>SILVERADO RANCH EST 3 PH 1 LT 18 BLK A</t>
  </si>
  <si>
    <t>5625 E BROOKDALE DR</t>
  </si>
  <si>
    <t xml:space="preserve">TURLEY, KRISTINE C </t>
  </si>
  <si>
    <t>5625 BROOKDALE DR</t>
  </si>
  <si>
    <t>039-922-07</t>
  </si>
  <si>
    <t>SILVERADO RANCH EST 3 PH 1 LT 31 BLK A</t>
  </si>
  <si>
    <t>3200 FAIRLANDS DR</t>
  </si>
  <si>
    <t xml:space="preserve">VOGELTANZ, DONALD </t>
  </si>
  <si>
    <t xml:space="preserve">3200 FAIRLANDS DR </t>
  </si>
  <si>
    <t>039-923-01</t>
  </si>
  <si>
    <t>SILVERADO RANCH ESTATES UNIT 3 PH 1 LOT 115 BLK D</t>
  </si>
  <si>
    <t>3270 FAIRLANDS DR</t>
  </si>
  <si>
    <t>SILVERADO RANCH 3 PH 1</t>
  </si>
  <si>
    <t xml:space="preserve">DREESZEN, BRIAN </t>
  </si>
  <si>
    <t>039-923-08</t>
  </si>
  <si>
    <t>SILVERADO RANCH EST 3 PH 1 LT 108 BLK D</t>
  </si>
  <si>
    <t>2934 SHADY CREEK CT</t>
  </si>
  <si>
    <t xml:space="preserve">BRADY, FRANK H &amp; PIETRA Z  </t>
  </si>
  <si>
    <t xml:space="preserve">ALTMAN, RUSSELL B </t>
  </si>
  <si>
    <t>039-923-20</t>
  </si>
  <si>
    <t>SILVERADO RANCH EST 3 PH 1 LT 96 BLK D</t>
  </si>
  <si>
    <t>5264 TAPPAN CT</t>
  </si>
  <si>
    <t xml:space="preserve">HARMENING, MICHAEL &amp; MARCIA </t>
  </si>
  <si>
    <t xml:space="preserve">SHAW, JAY &amp; JERALYN </t>
  </si>
  <si>
    <t>204-112-16</t>
  </si>
  <si>
    <t>SILVERADO RANCH EST 2  PH 1  LT 32  BLK B</t>
  </si>
  <si>
    <t>2880 BRITTANIA CT</t>
  </si>
  <si>
    <t>GUERRA, AUGUSTO C et al</t>
  </si>
  <si>
    <t>SILVERADO RANCH EST 1B LT 45 BLK B</t>
  </si>
  <si>
    <t>5441 BRITTANIA DR</t>
  </si>
  <si>
    <t>SILVERADO RANCH EST 1A</t>
  </si>
  <si>
    <t>GILLEN, SHANE  et al</t>
  </si>
  <si>
    <t xml:space="preserve">BOERSMA JULIE </t>
  </si>
  <si>
    <t xml:space="preserve">5441 BRITTANIA DR </t>
  </si>
  <si>
    <t>039-851-02</t>
  </si>
  <si>
    <t>SILVERADO RANCH EST 1A LT 5 BLK A</t>
  </si>
  <si>
    <t>5400 BRITTANIA DR</t>
  </si>
  <si>
    <t xml:space="preserve">FORSYTHE, CLAYTON </t>
  </si>
  <si>
    <t xml:space="preserve">5400 BRITTANIA DR </t>
  </si>
  <si>
    <t xml:space="preserve">BOULTON, DENNIS R </t>
  </si>
  <si>
    <t>204-142-28</t>
  </si>
  <si>
    <t>SILVERADO RANCH EST 1A LT 50 BLK B</t>
  </si>
  <si>
    <t>3030 FAIRLANDS DR</t>
  </si>
  <si>
    <t>SILVERADO RNCH EST 3 PH2</t>
  </si>
  <si>
    <t xml:space="preserve">ISIDRO, JASON A  </t>
  </si>
  <si>
    <t xml:space="preserve">3030 FAIRLANDS DR </t>
  </si>
  <si>
    <t>204-020-18</t>
  </si>
  <si>
    <t>SILVERADO RNCH EST 3 PH 2 LT 16 BLK A</t>
  </si>
  <si>
    <t>3211 PLEASANT HILLS DR</t>
  </si>
  <si>
    <t>SILVERADO RANCH EST 3 PH2</t>
  </si>
  <si>
    <t xml:space="preserve">TRAVELLA, CHARLES B &amp; ELIZABETH C </t>
  </si>
  <si>
    <t>11550 CAMINITO LA BAR # 109</t>
  </si>
  <si>
    <t>PAGLIARO, JAMES D et al</t>
  </si>
  <si>
    <t>204-153-01</t>
  </si>
  <si>
    <t>SILVERADO RANCH EST 3 PH 2 LT 23 BLK C</t>
  </si>
  <si>
    <t>5895 W BROOKDALE DR</t>
  </si>
  <si>
    <t xml:space="preserve">WOODS , ROBERT T &amp; HEATHER A  </t>
  </si>
  <si>
    <t xml:space="preserve">5895 W BROOKDALE DR </t>
  </si>
  <si>
    <t xml:space="preserve">FAANES, GREGG L &amp; MARGARET E </t>
  </si>
  <si>
    <t>SILVERADO RANCH EST 3 PH 2 LT 45 BLK D</t>
  </si>
  <si>
    <t>5471 MORNING STAR DR</t>
  </si>
  <si>
    <t xml:space="preserve">BAUMANN TRUST AGREEMENT, JOETTE D   </t>
  </si>
  <si>
    <t xml:space="preserve">5471 MORNING STAR DR </t>
  </si>
  <si>
    <t xml:space="preserve">BAUMANN, JOETTE D  </t>
  </si>
  <si>
    <t>MORNINGSTAR 1 LT 7 BLK A</t>
  </si>
  <si>
    <t>5544 TAPPAN DR</t>
  </si>
  <si>
    <t xml:space="preserve">STACK, DANIEL J </t>
  </si>
  <si>
    <t>P O BOX 33264</t>
  </si>
  <si>
    <t>SILVERADO RANCH EST 2 PH 2 LT 39</t>
  </si>
  <si>
    <t>5534 TAPPAN DR</t>
  </si>
  <si>
    <t xml:space="preserve">QI, WEIDONG </t>
  </si>
  <si>
    <t>SILVERADO RANCH EST 2 PH 2 LT 40</t>
  </si>
  <si>
    <t>5444 TAPPAN DR</t>
  </si>
  <si>
    <t xml:space="preserve">ZIMMER, KIRT A &amp; KATHERINE B </t>
  </si>
  <si>
    <t>SILVERADO RANCH EST 2 PH 2 LT 49</t>
  </si>
  <si>
    <t>2754 HEMPSTEAD CT</t>
  </si>
  <si>
    <t xml:space="preserve">YAMAMOTO, JOYCE </t>
  </si>
  <si>
    <t>HCR 79 BOX 1105</t>
  </si>
  <si>
    <t xml:space="preserve">FLYNN LIVING TRUST  </t>
  </si>
  <si>
    <t>SILVERADO RANCH EST 2 PH 2 LT 6</t>
  </si>
  <si>
    <t>2767 DANBURY CT</t>
  </si>
  <si>
    <t xml:space="preserve">GRAHAM, JOHN W JR &amp; JANET L </t>
  </si>
  <si>
    <t xml:space="preserve">WORNARDT, JONATHAN R  </t>
  </si>
  <si>
    <t>SILVERADO RANCH EST 2 PH 2 LT 25</t>
  </si>
  <si>
    <t>5745 W BROOKDALE DR</t>
  </si>
  <si>
    <t>SILVERADO RNCH EST 3 PH 3</t>
  </si>
  <si>
    <t xml:space="preserve">BAILEY, JESSICA E </t>
  </si>
  <si>
    <t xml:space="preserve">FIFIELD, SCOTT A &amp; JULIE A </t>
  </si>
  <si>
    <t>SILVERADO RANCH EST 3 PH 3 LT 40 BLK C</t>
  </si>
  <si>
    <t>5740 W BROOKDALE DR</t>
  </si>
  <si>
    <t xml:space="preserve">GORE, THOMAS A JR  CALLIE W </t>
  </si>
  <si>
    <t>SILVERADO RANCH EST 3 PH 3 LT 20 BLK B</t>
  </si>
  <si>
    <t>5940 ROXBURY CT</t>
  </si>
  <si>
    <t>BEAN, ANDREW M  et al</t>
  </si>
  <si>
    <t>JIMENEZ-BEAN ANGELICA</t>
  </si>
  <si>
    <t xml:space="preserve">RIVARA, LOUIS </t>
  </si>
  <si>
    <t>204-192-05</t>
  </si>
  <si>
    <t>SILVERADO RANCH EST 4A LT 318 BLK B</t>
  </si>
  <si>
    <t>5545 DAYBREAK DR</t>
  </si>
  <si>
    <t xml:space="preserve">RUDELBACH, JEDIDIA &amp; DAWN </t>
  </si>
  <si>
    <t xml:space="preserve">ROSENQVIST, KRISTIN </t>
  </si>
  <si>
    <t>MORNINGSTAR 2 LT 53 BLK A</t>
  </si>
  <si>
    <t>1920 CELESTIAL CT</t>
  </si>
  <si>
    <t>GAY, MICHAEL et al</t>
  </si>
  <si>
    <t>SWECKER, RICK et al</t>
  </si>
  <si>
    <t>MORNINGSTAR 2 LT 56 BLK A</t>
  </si>
  <si>
    <t>1940 CELESTIAL CT</t>
  </si>
  <si>
    <t xml:space="preserve">LIVELY, NANCY L </t>
  </si>
  <si>
    <t>1940 CELESTIAL DR</t>
  </si>
  <si>
    <t>MORNINGSTAR 2 LT 58 BLK A</t>
  </si>
  <si>
    <t>5550 DAYBREAK DR</t>
  </si>
  <si>
    <t>804 BROWN SQUIRREL LN</t>
  </si>
  <si>
    <t xml:space="preserve">CABRALES, JESUS &amp; JESSICA </t>
  </si>
  <si>
    <t>MORNINGSTAR 2 LT 69 BLK B</t>
  </si>
  <si>
    <t>5767 GOLDEN EAGLE DR</t>
  </si>
  <si>
    <t xml:space="preserve">TYSON , STEVEN C &amp; JEANNETTE L  </t>
  </si>
  <si>
    <t xml:space="preserve">5767 GOLDEN EAGLE DR </t>
  </si>
  <si>
    <t>SEDONA VILLAGE 1 LT 30 BLK A</t>
  </si>
  <si>
    <t>2183 GOLDEN EAGLE CT</t>
  </si>
  <si>
    <t>GIBBONS, MATTHEW et al</t>
  </si>
  <si>
    <t>MONTEVERDE CECILIA</t>
  </si>
  <si>
    <t xml:space="preserve">2183 GOLDEN EAGLE CT </t>
  </si>
  <si>
    <t xml:space="preserve">PAGELS, PHILLIP J </t>
  </si>
  <si>
    <t>SEDONA VILLAGE 1 LT 3 BLK A</t>
  </si>
  <si>
    <t>2165 GOLDEN EAGLE DR</t>
  </si>
  <si>
    <t xml:space="preserve">SCHWARZ, JAMES P &amp; ANNA A  </t>
  </si>
  <si>
    <t xml:space="preserve">2165 GOLDEN EAGLE CT </t>
  </si>
  <si>
    <t xml:space="preserve">ORPHAN, LYNN H </t>
  </si>
  <si>
    <t>SEDONA VILLAGE 1 LT 6 BLK A</t>
  </si>
  <si>
    <t>2860 ROYAL SAGE CT</t>
  </si>
  <si>
    <t>SILVERADO RANCH EST 5 PH1</t>
  </si>
  <si>
    <t xml:space="preserve">RUSK, JUSTIN T  </t>
  </si>
  <si>
    <t xml:space="preserve">HOOKER, DAVID W &amp; LEIGH C </t>
  </si>
  <si>
    <t>204-240-19</t>
  </si>
  <si>
    <t>SILVERADO RANCH EST 5 PH 1 LT 108</t>
  </si>
  <si>
    <t>5765 TAPPAN DR</t>
  </si>
  <si>
    <t>SILVERADO RANCH EST 4C</t>
  </si>
  <si>
    <t xml:space="preserve">KLEIN, PAUL L </t>
  </si>
  <si>
    <t xml:space="preserve">1455 GRAND SUMMIT DR </t>
  </si>
  <si>
    <t xml:space="preserve">FLAHERTY FAMILY TRUST  </t>
  </si>
  <si>
    <t>204-261-01</t>
  </si>
  <si>
    <t>SILVERADO RANCH EST 4C LT 1</t>
  </si>
  <si>
    <t>5745 TAPPAN DR</t>
  </si>
  <si>
    <t xml:space="preserve">SARGENT, HAROLD T </t>
  </si>
  <si>
    <t xml:space="preserve">LOKEN, LINDA L </t>
  </si>
  <si>
    <t>204-271-22</t>
  </si>
  <si>
    <t>SILVERADO RANCH EST 2 PH 3 LT 22</t>
  </si>
  <si>
    <t>2140 SOLDIER PASS CT</t>
  </si>
  <si>
    <t>MERCADO, GABRIEL R et al</t>
  </si>
  <si>
    <t>RAMOS ANTANIKA</t>
  </si>
  <si>
    <t xml:space="preserve">2140 SOLDIER PASS CT </t>
  </si>
  <si>
    <t>SEDONA VILLAGE 2 LT 47 BLK B</t>
  </si>
  <si>
    <t>2150 CANYON MESA CT</t>
  </si>
  <si>
    <t>MCLEAN, ELAINE M et al</t>
  </si>
  <si>
    <t>2150 CANYON MESA DR</t>
  </si>
  <si>
    <t xml:space="preserve">MILLER, DAVID L </t>
  </si>
  <si>
    <t>SEDONA VILLAGE 2 LT 66 BLK A</t>
  </si>
  <si>
    <t>2195 CANYON MESA CT</t>
  </si>
  <si>
    <t xml:space="preserve">ROSTAMI, PEDRAM  </t>
  </si>
  <si>
    <t xml:space="preserve">2195 CANYON MESA CT </t>
  </si>
  <si>
    <t xml:space="preserve">HARRIGAN, ELIZABETH B </t>
  </si>
  <si>
    <t>SEDONA VILLAGE 2 LT 71 BLK A</t>
  </si>
  <si>
    <t>5630 DAYBREAK DR</t>
  </si>
  <si>
    <t xml:space="preserve">ALAND, TROY E &amp; LISA A  </t>
  </si>
  <si>
    <t xml:space="preserve">5630 DAYBREAK DR </t>
  </si>
  <si>
    <t xml:space="preserve">VEGA, RAUL </t>
  </si>
  <si>
    <t>204-311-05</t>
  </si>
  <si>
    <t>MORNINGSTAR 3 LT 82 BLK B</t>
  </si>
  <si>
    <t>5600 DAYBREAK DR</t>
  </si>
  <si>
    <t>FRY, CARRIE L  et al</t>
  </si>
  <si>
    <t xml:space="preserve">14440 SUNDANCE DR </t>
  </si>
  <si>
    <t xml:space="preserve">BIGLER, MATTHEW D &amp; ALLISON </t>
  </si>
  <si>
    <t>204-311-08</t>
  </si>
  <si>
    <t>MORNINGSTAR 3 LT 79 BLK B</t>
  </si>
  <si>
    <t>2950 CROWN CANYON CT</t>
  </si>
  <si>
    <t xml:space="preserve">HYMER, JASON D </t>
  </si>
  <si>
    <t>204-330-06</t>
  </si>
  <si>
    <t>SILVERADO RANCH EST 5 PH 2 LT 206</t>
  </si>
  <si>
    <t>4025 KINGS ROW</t>
  </si>
  <si>
    <t xml:space="preserve">OTTE, GARY &amp; DEBRA </t>
  </si>
  <si>
    <t>204-342-01</t>
  </si>
  <si>
    <t>SILVERADO RANCH EST 5 PH 3 LT 301</t>
  </si>
  <si>
    <t>4047 KINGS ROW</t>
  </si>
  <si>
    <t>KLESKEN, MATTHEW et al</t>
  </si>
  <si>
    <t>204-342-14</t>
  </si>
  <si>
    <t>SILVERADO RANCH EST 5 PH 3 LT 314</t>
  </si>
  <si>
    <t>3000 ROXBURY DR</t>
  </si>
  <si>
    <t>NELSON, ROBERT B  et al</t>
  </si>
  <si>
    <t xml:space="preserve">LAFLEUR, CHERISH </t>
  </si>
  <si>
    <t>204-371-02</t>
  </si>
  <si>
    <t>SILVERADO RANCH EST 8 LT 65</t>
  </si>
  <si>
    <t>5930 PLATINUM RIDGE CT</t>
  </si>
  <si>
    <t xml:space="preserve">DYER, TODD W &amp; LAURA C </t>
  </si>
  <si>
    <t xml:space="preserve">BLOOM, DARON R &amp; LAURIE A  </t>
  </si>
  <si>
    <t>204-372-14</t>
  </si>
  <si>
    <t>SILVERADO RANCH EST 8 LT 3</t>
  </si>
  <si>
    <t>5920 PLATINUM RIDGE CT</t>
  </si>
  <si>
    <t xml:space="preserve">ROGERS, RAYMOND B &amp; MARTHA D  </t>
  </si>
  <si>
    <t xml:space="preserve">NATIONAL RESIDENTIAL ASSETS </t>
  </si>
  <si>
    <t>204-372-15</t>
  </si>
  <si>
    <t>SILVERADO RANCH EST 8 LT 2</t>
  </si>
  <si>
    <t>3150 ROXBURY DR</t>
  </si>
  <si>
    <t xml:space="preserve">DEMOSTHENES, EDWARD </t>
  </si>
  <si>
    <t>GOSS, MARY D et al</t>
  </si>
  <si>
    <t>204-381-08</t>
  </si>
  <si>
    <t>SILVERADO RANCH EST 8 LT 48</t>
  </si>
  <si>
    <t>3135 ROXBURY DR</t>
  </si>
  <si>
    <t>SILVERADO RANCH EST 8 ADJ</t>
  </si>
  <si>
    <t xml:space="preserve">NASH, MICHAEL J &amp; CAROLYN M </t>
  </si>
  <si>
    <t xml:space="preserve">THINGELSTAD, ROBBIE J &amp; DIANNA E </t>
  </si>
  <si>
    <t>204-382-15</t>
  </si>
  <si>
    <t>SILVERADO RANCH EST 8 LT 20</t>
  </si>
  <si>
    <t>3240 ROXBURY DR</t>
  </si>
  <si>
    <t>LU, MINGGEN et al</t>
  </si>
  <si>
    <t xml:space="preserve">CUTTER, HAROLD D </t>
  </si>
  <si>
    <t>204-390-26</t>
  </si>
  <si>
    <t>SILVERADO RANCH EST 8 LT 40 ADJ  RS 3723 LT 40A</t>
  </si>
  <si>
    <t>4076 KINGS ROW</t>
  </si>
  <si>
    <t>SILVARADO RANCH EST 5 PH 4</t>
  </si>
  <si>
    <t xml:space="preserve">AVERS, VANCE P </t>
  </si>
  <si>
    <t>204-413-11</t>
  </si>
  <si>
    <t>SILVARADO RANCH EST 5 PH 4 LT 429</t>
  </si>
  <si>
    <t>2449 BENTLEY DR</t>
  </si>
  <si>
    <t>MENARD, JEAN P et al</t>
  </si>
  <si>
    <t xml:space="preserve">DESANTIS, JOHN </t>
  </si>
  <si>
    <t>204-421-10</t>
  </si>
  <si>
    <t>OVERLOOK 1 LT 114</t>
  </si>
  <si>
    <t>6358 EVEREST DR</t>
  </si>
  <si>
    <t>204-434-03</t>
  </si>
  <si>
    <t>OVERLOOK 1B LT 137</t>
  </si>
  <si>
    <t>2455 MONTEGO DR</t>
  </si>
  <si>
    <t>MITCHELL  , AARON R   et al</t>
  </si>
  <si>
    <t xml:space="preserve">FRNOTIER FINANCIAL CR UNION </t>
  </si>
  <si>
    <t>204-451-03</t>
  </si>
  <si>
    <t>SILVERADO RANCH EST 6 &amp; 7 LT 27</t>
  </si>
  <si>
    <t>5460 MONTEGO CT</t>
  </si>
  <si>
    <t>HINES, AARON E  et al</t>
  </si>
  <si>
    <t xml:space="preserve">5460 MONTEGO CT </t>
  </si>
  <si>
    <t>204-451-06</t>
  </si>
  <si>
    <t>SILVERADO RNCH EST 6 &amp; 7 LT 24</t>
  </si>
  <si>
    <t xml:space="preserve">YANG, EDDIE M &amp; DIANE L </t>
  </si>
  <si>
    <t>1143 MOCHO ST</t>
  </si>
  <si>
    <t>LEUNG, YIU T et al</t>
  </si>
  <si>
    <t>204-452-01</t>
  </si>
  <si>
    <t>SILVERADO RANCH EST 6 &amp; 7 LT 11</t>
  </si>
  <si>
    <t>2570 RIO RICO CT</t>
  </si>
  <si>
    <t>SILVERADO RANCH EST 6 7</t>
  </si>
  <si>
    <t xml:space="preserve">LUONG, PETER &amp; MUI T </t>
  </si>
  <si>
    <t>204-460-08</t>
  </si>
  <si>
    <t>SILVERADO RANCH EST 6 &amp; 7 LT 40</t>
  </si>
  <si>
    <t>6355 ANTERO DR</t>
  </si>
  <si>
    <t>204-471-05</t>
  </si>
  <si>
    <t>OVERLOOK 2 LT 205</t>
  </si>
  <si>
    <t>6349 BENTLEY CT</t>
  </si>
  <si>
    <t xml:space="preserve">ANGIUS, ROBERT J &amp; JENNY L </t>
  </si>
  <si>
    <t xml:space="preserve">SB PROPERTIES LLC </t>
  </si>
  <si>
    <t>204-472-12</t>
  </si>
  <si>
    <t>OVERLOOK 2 LT 218</t>
  </si>
  <si>
    <t>6319 BENTLEY CT</t>
  </si>
  <si>
    <t>ARGALL, CHAD R et al</t>
  </si>
  <si>
    <t xml:space="preserve">ZUFELT, TANNER &amp; KIMBERLY </t>
  </si>
  <si>
    <t>204-472-15</t>
  </si>
  <si>
    <t>OVERLOOK UT 2 LT 221</t>
  </si>
  <si>
    <t>2672 RED BIRD DR</t>
  </si>
  <si>
    <t xml:space="preserve">NICELY, ADAM &amp; JESSICA </t>
  </si>
  <si>
    <t xml:space="preserve">NOEL, RICK  </t>
  </si>
  <si>
    <t>204-492-08</t>
  </si>
  <si>
    <t>SILVERADO RANCH EST 11 PH 1 LT 24</t>
  </si>
  <si>
    <t>2688 RED BIRD DR</t>
  </si>
  <si>
    <t>CLASSKE, BHUPINDERE et al</t>
  </si>
  <si>
    <t xml:space="preserve">2688 RED BIRD DR </t>
  </si>
  <si>
    <t xml:space="preserve">ARIAS, JOSE L &amp; AIDA </t>
  </si>
  <si>
    <t>204-492-10</t>
  </si>
  <si>
    <t>SILVERADO RANCH EST 11 PH 1 LT 26</t>
  </si>
  <si>
    <t>2510 SNOW PARTRIDGE DR</t>
  </si>
  <si>
    <t xml:space="preserve">APEL, PATRICK D &amp; MICHELLE A  </t>
  </si>
  <si>
    <t xml:space="preserve">2510 SNOW PARTRIDGE                     </t>
  </si>
  <si>
    <t xml:space="preserve">BANTA, JOHN R &amp; BRIDGET E </t>
  </si>
  <si>
    <t>204-502-16</t>
  </si>
  <si>
    <t>SILVERADO RANCH EST 11 PH 1 FR LT 5</t>
  </si>
  <si>
    <t>2425 CRESTONE DR</t>
  </si>
  <si>
    <t xml:space="preserve">TRACHT, ROBERT </t>
  </si>
  <si>
    <t>OVERLOOK UT 3 LT 330</t>
  </si>
  <si>
    <t>2405 CRESTONE DR</t>
  </si>
  <si>
    <t>LIU, YINHAI et al</t>
  </si>
  <si>
    <t>2880 SANDESTIN DR</t>
  </si>
  <si>
    <t>OVERLOOK 3 LT 326</t>
  </si>
  <si>
    <t>6441 LARK BUNTING CT</t>
  </si>
  <si>
    <t xml:space="preserve">BLANK, BARTHOLOMEW F </t>
  </si>
  <si>
    <t xml:space="preserve">CHO, JOHNG G </t>
  </si>
  <si>
    <t>SILVERADO RANCH EST 11 PH 2 LT 88</t>
  </si>
  <si>
    <t>5998 PROMONTORY DR</t>
  </si>
  <si>
    <t>TEESE, TYLER J et al</t>
  </si>
  <si>
    <t>HIGHLAND PLACE LT 21</t>
  </si>
  <si>
    <t>5990 PROMONTORY DR</t>
  </si>
  <si>
    <t xml:space="preserve">EIZENHOEFER, DAVID J &amp; ELVIRA N  </t>
  </si>
  <si>
    <t xml:space="preserve">4020 BITTER CREEK CT </t>
  </si>
  <si>
    <t>HIGHLAND PLACE LT 20</t>
  </si>
  <si>
    <t>5390 BELLAZZA CT</t>
  </si>
  <si>
    <t>5970 PROMONTORY DR</t>
  </si>
  <si>
    <t>HIGHLAND PLACE LT 18</t>
  </si>
  <si>
    <t>5960 PROMONTORY DR</t>
  </si>
  <si>
    <t>HIGHLAND PLACE LT 17</t>
  </si>
  <si>
    <t>5940 PROMONTORY DR</t>
  </si>
  <si>
    <t>HIGHLAND PLACE LT 15</t>
  </si>
  <si>
    <t>5920 PROMONTORY DR</t>
  </si>
  <si>
    <t>HIGHLAND PLACE LT 13</t>
  </si>
  <si>
    <t>5910 PROMONTORY DR</t>
  </si>
  <si>
    <t>HIGHLAND PLACE LT 12</t>
  </si>
  <si>
    <t>5904 PROMONTORY DR</t>
  </si>
  <si>
    <t>HIGHLAND PLACE LT 11</t>
  </si>
  <si>
    <t>5900 PROMONTORY DR</t>
  </si>
  <si>
    <t>HIGHLAND PLACE LT 10</t>
  </si>
  <si>
    <t xml:space="preserve"> ROBB DR</t>
  </si>
  <si>
    <t>HIGHLAND PLACE CA C</t>
  </si>
  <si>
    <t>5915 ALMANDINE DR</t>
  </si>
  <si>
    <t>HIGHLAND PLACE LT 9</t>
  </si>
  <si>
    <t>5925 ALMANDINE DR</t>
  </si>
  <si>
    <t>HIGHLAND PLACE LT 8</t>
  </si>
  <si>
    <t>5935 ALMANDINE DR</t>
  </si>
  <si>
    <t>HIGHLAND PLACE LT 7</t>
  </si>
  <si>
    <t>HIGHLAND PLACE CA A</t>
  </si>
  <si>
    <t>5945 ALMANDINE DR</t>
  </si>
  <si>
    <t xml:space="preserve">WEBER, REID  </t>
  </si>
  <si>
    <t xml:space="preserve">5945 ALMANDINE DR </t>
  </si>
  <si>
    <t>HIGHLAND PLACE LT 6</t>
  </si>
  <si>
    <t>5955 ALMANDINE DR</t>
  </si>
  <si>
    <t xml:space="preserve">DOMINGUEZ, EDIK R </t>
  </si>
  <si>
    <t>5995 ALMANDINE DR</t>
  </si>
  <si>
    <t>HIGHLAND PLACE LT 5</t>
  </si>
  <si>
    <t xml:space="preserve">WAITE, KAREN J </t>
  </si>
  <si>
    <t>HIGHLAND PLACE LT 1</t>
  </si>
  <si>
    <t>HIGHLAND PLACE CA B</t>
  </si>
  <si>
    <t>2166 SAPPHIRE RIDGE WAY</t>
  </si>
  <si>
    <t xml:space="preserve">GUNAWARDENA, TAMARIS S </t>
  </si>
  <si>
    <t xml:space="preserve">SMITH, VINA C </t>
  </si>
  <si>
    <t>SAPPHIRE RIDGE 1 LT 52</t>
  </si>
  <si>
    <t>2249 SAPPHIRE RIDGE WAY</t>
  </si>
  <si>
    <t xml:space="preserve">MILLER, RYAN M &amp; RACHEL S </t>
  </si>
  <si>
    <t>SOMICH, JONATHAN R et al</t>
  </si>
  <si>
    <t>SAPPHIRE RIDGE 1 LT 24</t>
  </si>
  <si>
    <t xml:space="preserve">GRIBBLE, DAVID J  </t>
  </si>
  <si>
    <t>SAPPHIRE RIDGE 1 LT 20</t>
  </si>
  <si>
    <t>6555 MAHOGANY RIDGE DR</t>
  </si>
  <si>
    <t xml:space="preserve">KAPIL, SHAM &amp; RITU  </t>
  </si>
  <si>
    <t xml:space="preserve">6555 MAHOGANY RIDGE DR </t>
  </si>
  <si>
    <t xml:space="preserve">RAPP, WARREN L &amp; KIMBERLY A </t>
  </si>
  <si>
    <t>GRANITE RIDGE 1 LT 16</t>
  </si>
  <si>
    <t>2333 SAPPHIRE RIDGE WAY</t>
  </si>
  <si>
    <t xml:space="preserve">WESNER, CRAIG &amp; DEBBI  </t>
  </si>
  <si>
    <t>14310 N WHISPERWOOD DR</t>
  </si>
  <si>
    <t>SAPPHIRE RIDGE 2 LT 66</t>
  </si>
  <si>
    <t>2396 SAPPHIRE RIDGE WAY</t>
  </si>
  <si>
    <t xml:space="preserve">NUCKOLLS, ROY E &amp; ROSIE </t>
  </si>
  <si>
    <t xml:space="preserve">POWELL, MARTIN J </t>
  </si>
  <si>
    <t>SAPPHIRE RIDGE 2 LT 82</t>
  </si>
  <si>
    <t>2895 ROYAL CROWN CT</t>
  </si>
  <si>
    <t xml:space="preserve">EWALD FAMILY LLC, SERIES V </t>
  </si>
  <si>
    <t>10580 N MCCARRAN BLVD # 115-348</t>
  </si>
  <si>
    <t xml:space="preserve">MORALES, VICTOR M &amp; FRANCESCA S </t>
  </si>
  <si>
    <t>ROYAL SAGE 5 LT 1</t>
  </si>
  <si>
    <t xml:space="preserve">WILSON LIVING TRUST  </t>
  </si>
  <si>
    <t xml:space="preserve">2800 ROYAL CROWN CT </t>
  </si>
  <si>
    <t>9465 ROBB CT</t>
  </si>
  <si>
    <t>KLEINEDLER, JACQUELYN et al</t>
  </si>
  <si>
    <t xml:space="preserve">SCHOENBERGER, STEVEN &amp; DENISE </t>
  </si>
  <si>
    <t>GRANITE RIDGE 2 LT 245</t>
  </si>
  <si>
    <t>2879 CEDAR RIDGE DR</t>
  </si>
  <si>
    <t xml:space="preserve">LOR, ROBERT N &amp; CHANDA B </t>
  </si>
  <si>
    <t>13509 COUNTRY TRAILS LN</t>
  </si>
  <si>
    <t>78732</t>
  </si>
  <si>
    <t xml:space="preserve">FUNG, ANDY C &amp; LANA S </t>
  </si>
  <si>
    <t>GRANITE RIDGE 2 LT 257</t>
  </si>
  <si>
    <t>2872 CEDAR RIDGE DR</t>
  </si>
  <si>
    <t xml:space="preserve">CHAMLEY, JAY C </t>
  </si>
  <si>
    <t xml:space="preserve">ANDERSON, THOMAS C &amp; LINDA </t>
  </si>
  <si>
    <t>GRANITE RIDGE 2 LT 269</t>
  </si>
  <si>
    <t>5873 SEPTEMBER CIR</t>
  </si>
  <si>
    <t xml:space="preserve">COBAIN, JEFFREY T &amp; REBECCA B </t>
  </si>
  <si>
    <t>5634 TAPPAN DR</t>
  </si>
  <si>
    <t>SAPPHIRE RIDGE 3 LT 111</t>
  </si>
  <si>
    <t>5895 BLUE CANYON DR</t>
  </si>
  <si>
    <t xml:space="preserve">DUNMORE, ROBERT J </t>
  </si>
  <si>
    <t>SAPPHIRE RIDGE 3 LT 129</t>
  </si>
  <si>
    <t>5850 SEPTEMBER CIR</t>
  </si>
  <si>
    <t>SAPPHIRE RIDGE 3 LT 125</t>
  </si>
  <si>
    <t>6440 PEAVINE HILLS AVE</t>
  </si>
  <si>
    <t xml:space="preserve">JE, CHUNG-HWAN </t>
  </si>
  <si>
    <t>GRANITE RIDGE 3 LT 302</t>
  </si>
  <si>
    <t>6410 PEAVINE HILLS AVE</t>
  </si>
  <si>
    <t>JIANG, CHONGJUN et al</t>
  </si>
  <si>
    <t>MA LIYAN</t>
  </si>
  <si>
    <t xml:space="preserve">ANDERSON, GREG &amp; CORTINA </t>
  </si>
  <si>
    <t>GRANITE RIDGE 3 LT 299</t>
  </si>
  <si>
    <t>2900 POEVILLE LN</t>
  </si>
  <si>
    <t xml:space="preserve">TRAN, KEIN M </t>
  </si>
  <si>
    <t>GRANITE RIDGE 3 LT 297</t>
  </si>
  <si>
    <t>2910 POEVILLE LN</t>
  </si>
  <si>
    <t xml:space="preserve">LEWIS FAMILY TRUST, MARK &amp; DEBBIE  </t>
  </si>
  <si>
    <t>GRANITE RIDGE 3 LT 296</t>
  </si>
  <si>
    <t>2725 SAGE BLUFF CT</t>
  </si>
  <si>
    <t>KUBICZEK, PIOTR et al</t>
  </si>
  <si>
    <t>LASKOWSKA-KUBICZEK BEATA</t>
  </si>
  <si>
    <t>OCHOA, MARICELA et al</t>
  </si>
  <si>
    <t>GRANITE RIDGE 3 LT 315</t>
  </si>
  <si>
    <t>5850 GEODE CT</t>
  </si>
  <si>
    <t xml:space="preserve">BRANDT, WILLIAM M &amp; ANTOINETTE M </t>
  </si>
  <si>
    <t xml:space="preserve">LIONEL, FRANK &amp; ISOLINA T </t>
  </si>
  <si>
    <t>SILVERADO RANCH EST 9 LT 28</t>
  </si>
  <si>
    <t>3290 QUARTZITE DR</t>
  </si>
  <si>
    <t xml:space="preserve">NEWMAN, PAUL D &amp; CONNIE G  </t>
  </si>
  <si>
    <t>RUIZ-LAGOS, JOSE B et al</t>
  </si>
  <si>
    <t>SILVERADO RANCH EST 9 LT 48</t>
  </si>
  <si>
    <t>3278 DIAMOND RIDGE DR</t>
  </si>
  <si>
    <t xml:space="preserve">KRIEG, CAROLINE M  </t>
  </si>
  <si>
    <t xml:space="preserve">3278 DIAMOND RIDGE DR                   </t>
  </si>
  <si>
    <t xml:space="preserve">KRIEG, BERNARD M &amp; CAROLINE M  </t>
  </si>
  <si>
    <t>SILVERADO RANCH EST 9 LT 13</t>
  </si>
  <si>
    <t>2215 GATEWOOD DR</t>
  </si>
  <si>
    <t>NORTHGATE 5B</t>
  </si>
  <si>
    <t xml:space="preserve">KING, STEPHEN D &amp; PAMELA J </t>
  </si>
  <si>
    <t>101 CRYSTAL DR</t>
  </si>
  <si>
    <t>97527</t>
  </si>
  <si>
    <t>208-022-01</t>
  </si>
  <si>
    <t>NORTHGATE 5B LT 13 BLK C</t>
  </si>
  <si>
    <t>6592 SPRINGWOOD DR</t>
  </si>
  <si>
    <t xml:space="preserve">HANSEN, CHRIS </t>
  </si>
  <si>
    <t xml:space="preserve">STARK FAMILY TRUST  </t>
  </si>
  <si>
    <t>208-025-09</t>
  </si>
  <si>
    <t>NORTHGATE 5B LT 25 BLK E</t>
  </si>
  <si>
    <t>TOEPFER-BOCHSLER KIMBERLY</t>
  </si>
  <si>
    <t xml:space="preserve">VACA, ROSALBA DE LA TORRE </t>
  </si>
  <si>
    <t>208-041-04</t>
  </si>
  <si>
    <t>NORTHGATE 8C LT 20 BLK B</t>
  </si>
  <si>
    <t>7109 HEATHERWOOD DR</t>
  </si>
  <si>
    <t>KOSHY, ANIL K  et al</t>
  </si>
  <si>
    <t>THOMAS TEENA</t>
  </si>
  <si>
    <t xml:space="preserve">JOHNSTON, RYAN E &amp; ANDREA A </t>
  </si>
  <si>
    <t>208-043-02</t>
  </si>
  <si>
    <t>NORTHGATE 8C LT 36 BLK D</t>
  </si>
  <si>
    <t>2585 SUNLINE DR</t>
  </si>
  <si>
    <t xml:space="preserve">VON SEGGERN, DAVID H </t>
  </si>
  <si>
    <t xml:space="preserve">MASON, CHRISTOPHER J &amp; ALISON  M </t>
  </si>
  <si>
    <t>208-044-09</t>
  </si>
  <si>
    <t>NORTHGATE 8C LT 9 BLK A</t>
  </si>
  <si>
    <t>KELLY, MARK et al</t>
  </si>
  <si>
    <t>2659 ANTONIO LN</t>
  </si>
  <si>
    <t xml:space="preserve">BUH, ANDREW T &amp; KELLY M </t>
  </si>
  <si>
    <t xml:space="preserve">2659 ANTONIO LN </t>
  </si>
  <si>
    <t xml:space="preserve">HARVEY, TRACY L &amp; CARLOS R  </t>
  </si>
  <si>
    <t>208-052-06</t>
  </si>
  <si>
    <t>NORTHGATE 8B LT 32 BLK D</t>
  </si>
  <si>
    <t>2510 BEAUMONT PKWY</t>
  </si>
  <si>
    <t xml:space="preserve">PATEL, SEJU &amp; NILESH J </t>
  </si>
  <si>
    <t xml:space="preserve">500 N CENTER ST </t>
  </si>
  <si>
    <t>BAE, ESTHER et al</t>
  </si>
  <si>
    <t>208-061-11</t>
  </si>
  <si>
    <t>NORTHGATE 8B LT 2 BLK A</t>
  </si>
  <si>
    <t>2255 HOGAN CT</t>
  </si>
  <si>
    <t xml:space="preserve">PERAZZO, KATHLEEN </t>
  </si>
  <si>
    <t>208-080-06</t>
  </si>
  <si>
    <t>NORTHGATE 8A LT 25 BLK C</t>
  </si>
  <si>
    <t>2178 CASTLE ROCK DR</t>
  </si>
  <si>
    <t xml:space="preserve">LOWDEN, CHARLES R &amp; JANE E </t>
  </si>
  <si>
    <t>208-093-02</t>
  </si>
  <si>
    <t>NORTHGATE 8A LT 5 BLK B</t>
  </si>
  <si>
    <t>2275 SPRINGDALE CT</t>
  </si>
  <si>
    <t xml:space="preserve">HERRING, KRISTI L </t>
  </si>
  <si>
    <t>NORTHGATE 5C LT 7 BLK A</t>
  </si>
  <si>
    <t>2435 GATEWOOD DR</t>
  </si>
  <si>
    <t xml:space="preserve">CHIDAMBARAM, DEV </t>
  </si>
  <si>
    <t xml:space="preserve">DAVIES, ROBERT H &amp; JEANNE </t>
  </si>
  <si>
    <t>039-151-93</t>
  </si>
  <si>
    <t>NORTHGATE 5D LT 38 BLK D</t>
  </si>
  <si>
    <t>2375 GATEWOOD DR</t>
  </si>
  <si>
    <t xml:space="preserve">BAINES, MARK D &amp; CYNTHIA K </t>
  </si>
  <si>
    <t xml:space="preserve">BRESSEM, JULIE </t>
  </si>
  <si>
    <t>208-113-12</t>
  </si>
  <si>
    <t>NORTHGATE 5D LT 44 BLK D</t>
  </si>
  <si>
    <t>6645 BROADRIDGE CT</t>
  </si>
  <si>
    <t xml:space="preserve">NEAHUSAN, SEAN A &amp; ANDREA </t>
  </si>
  <si>
    <t>LENIZ, JOHN L &amp; SARAH Y et al TTEE</t>
  </si>
  <si>
    <t>208-113-18</t>
  </si>
  <si>
    <t>NORTHGATE 5D LT 50 BLK D</t>
  </si>
  <si>
    <t>2360 ALMOND CREEK DR</t>
  </si>
  <si>
    <t xml:space="preserve">PINK , MARGARET G  </t>
  </si>
  <si>
    <t xml:space="preserve">10430 MOUNTAIR AVE </t>
  </si>
  <si>
    <t xml:space="preserve">TUJUNGA </t>
  </si>
  <si>
    <t>208-121-07</t>
  </si>
  <si>
    <t>NORTHGATE 5D LT 7 BLK A</t>
  </si>
  <si>
    <t>2305 GATEWOOD DR</t>
  </si>
  <si>
    <t xml:space="preserve">FRANK, JOEL C &amp; CONSTANCE M </t>
  </si>
  <si>
    <t xml:space="preserve">FEDERAL NAT`L MORTAGE ASSN </t>
  </si>
  <si>
    <t>208-121-13</t>
  </si>
  <si>
    <t>NORTHGATE 5D LT 13 BLK A</t>
  </si>
  <si>
    <t>1521 SATURNO HEIGHTS DR</t>
  </si>
  <si>
    <t>SUSCHENA, CHELSEA et al</t>
  </si>
  <si>
    <t xml:space="preserve">1521 SATURNO HEIGHTS DR </t>
  </si>
  <si>
    <t xml:space="preserve">GASH, RONALD R </t>
  </si>
  <si>
    <t>208-142-12</t>
  </si>
  <si>
    <t>NORTHGATE 16A LT 32 BLK B</t>
  </si>
  <si>
    <t>1471 SATURNO HEIGHTS DR</t>
  </si>
  <si>
    <t>GANNAM, GABRIEL B et al</t>
  </si>
  <si>
    <t>208-152-05</t>
  </si>
  <si>
    <t>NORTHGATE 16A LT 37 BLK B</t>
  </si>
  <si>
    <t>7148 WINDSTAR DR</t>
  </si>
  <si>
    <t xml:space="preserve">WHITE, THERESA </t>
  </si>
  <si>
    <t xml:space="preserve">SIRAJI, VENIA R </t>
  </si>
  <si>
    <t>208-162-07</t>
  </si>
  <si>
    <t>NORTHGATE 11A LT 24</t>
  </si>
  <si>
    <t>7221 WINDSTAR DR</t>
  </si>
  <si>
    <t>ZHU, JIANGNAN et al</t>
  </si>
  <si>
    <t>ZHANG HUA</t>
  </si>
  <si>
    <t xml:space="preserve">LICHTEN, DAVID L &amp; BETH A </t>
  </si>
  <si>
    <t>208-170-03</t>
  </si>
  <si>
    <t>NORTHGATE 11A LT 10</t>
  </si>
  <si>
    <t>7241 WINDSTAR DR</t>
  </si>
  <si>
    <t xml:space="preserve">NUMMELA, MARI M  </t>
  </si>
  <si>
    <t xml:space="preserve">7241 WINDSTAR DR </t>
  </si>
  <si>
    <t>208-170-05</t>
  </si>
  <si>
    <t>NORTHGATE 11A LT 8</t>
  </si>
  <si>
    <t>7240 WINDSTAR DR</t>
  </si>
  <si>
    <t xml:space="preserve">EHLEN, JASON &amp; MONICA </t>
  </si>
  <si>
    <t xml:space="preserve">HALL, KEVIN D &amp; MARYLEA </t>
  </si>
  <si>
    <t>208-170-12</t>
  </si>
  <si>
    <t>NORTHGATE 11A LT 1</t>
  </si>
  <si>
    <t>2087 THORNBURY CT</t>
  </si>
  <si>
    <t>JOHNS LIVING TRUST, GARY L et al</t>
  </si>
  <si>
    <t>NORTHGATE 5E LT 35 BLK A</t>
  </si>
  <si>
    <t>2210 EMERALD VIEW CT</t>
  </si>
  <si>
    <t xml:space="preserve">PAYSON, GEORGE E JR &amp; PATRICIA A  </t>
  </si>
  <si>
    <t xml:space="preserve">2210 EMERALD VIEW </t>
  </si>
  <si>
    <t xml:space="preserve">HULL, WESLEY D &amp; JULIE A </t>
  </si>
  <si>
    <t>208-260-02</t>
  </si>
  <si>
    <t>NORTHGATE 8D LT 35</t>
  </si>
  <si>
    <t>2285 EMERALD VIEW CT</t>
  </si>
  <si>
    <t xml:space="preserve">CANTRELL, JOEL M &amp; CONNIE S </t>
  </si>
  <si>
    <t xml:space="preserve">CHEN, YIXIANG </t>
  </si>
  <si>
    <t>208-260-10</t>
  </si>
  <si>
    <t>NORTHGATE 8D LT 27</t>
  </si>
  <si>
    <t>2140 HEATHERWOOD CT</t>
  </si>
  <si>
    <t>NORTHGATE 8D ADJ</t>
  </si>
  <si>
    <t>ARNOLD, SUSAN R et al</t>
  </si>
  <si>
    <t xml:space="preserve">HEATHERWOOD TRUST  </t>
  </si>
  <si>
    <t>208-272-12</t>
  </si>
  <si>
    <t>NORTHGATE 8D LT 42 ADJ  RS3836</t>
  </si>
  <si>
    <t>7120 BANBURY CT</t>
  </si>
  <si>
    <t xml:space="preserve">SIGNER, WILLIAM J JR &amp; DEBORAH M </t>
  </si>
  <si>
    <t xml:space="preserve">SIGNER, WILLIAM J JR </t>
  </si>
  <si>
    <t>208-311-13</t>
  </si>
  <si>
    <t>NORTHGATE 16C LT 113</t>
  </si>
  <si>
    <t>7100 CROSSWATER CT</t>
  </si>
  <si>
    <t>NORTHGATE 16C FR</t>
  </si>
  <si>
    <t xml:space="preserve">YEOMAN, JERRALENE H &amp; DONN W </t>
  </si>
  <si>
    <t>JONES, JASON et al</t>
  </si>
  <si>
    <t>208-311-33</t>
  </si>
  <si>
    <t>NORTHGATE 16C FR LT 94</t>
  </si>
  <si>
    <t>2680 AVENIDA DE LANDA</t>
  </si>
  <si>
    <t>NORTHGATE 17A</t>
  </si>
  <si>
    <t xml:space="preserve">REAL, VICTORIA L </t>
  </si>
  <si>
    <t xml:space="preserve">REAL LIVING TRUST, JOAN F  </t>
  </si>
  <si>
    <t>208-342-02</t>
  </si>
  <si>
    <t>NORTHGATE 17A LT 6</t>
  </si>
  <si>
    <t>2790 SANDESTIN DR</t>
  </si>
  <si>
    <t xml:space="preserve">FREEMAN, KEITH R &amp; MICHELE A </t>
  </si>
  <si>
    <t>208-361-08</t>
  </si>
  <si>
    <t>NORTHGATE 11B LT 39</t>
  </si>
  <si>
    <t>2711 SUNLINE DR</t>
  </si>
  <si>
    <t xml:space="preserve">NASH, GEORGE J &amp; FLORA J </t>
  </si>
  <si>
    <t>208-361-14</t>
  </si>
  <si>
    <t>NORTHGATE 11B LT 33</t>
  </si>
  <si>
    <t>2740 SUNLINE DR</t>
  </si>
  <si>
    <t xml:space="preserve">BERGMANN, JASON &amp; FRANCINE </t>
  </si>
  <si>
    <t xml:space="preserve">CARUCCI, RODERIC A &amp; SUZANNE M </t>
  </si>
  <si>
    <t>208-362-11</t>
  </si>
  <si>
    <t>NORTHGATE 11B LT 51</t>
  </si>
  <si>
    <t>2850 AVENIDA DE LANDA</t>
  </si>
  <si>
    <t xml:space="preserve">PUCCINELLI FAMILY TRUST  </t>
  </si>
  <si>
    <t>PO BOX 807</t>
  </si>
  <si>
    <t>208-373-02</t>
  </si>
  <si>
    <t>NORTHGATE 17B LT 32</t>
  </si>
  <si>
    <t>1400 SATURNO HEIGHTS DR</t>
  </si>
  <si>
    <t xml:space="preserve">NORTHGATE 16E </t>
  </si>
  <si>
    <t xml:space="preserve">FLOWERS, JAMES &amp; STEPHANIE </t>
  </si>
  <si>
    <t>208-130-12</t>
  </si>
  <si>
    <t>NORTHGATE 16E LT 93</t>
  </si>
  <si>
    <t>1401 SATURNO HEIGHTS DR</t>
  </si>
  <si>
    <t>NORTHJGATE 16E</t>
  </si>
  <si>
    <t>ZIMNEY, DEREK J  et al</t>
  </si>
  <si>
    <t xml:space="preserve">1401 SATURNO HEIGHTS DR </t>
  </si>
  <si>
    <t>NORTHGATE 16E LT 81</t>
  </si>
  <si>
    <t>7205 ISHI POINT CT</t>
  </si>
  <si>
    <t>NORTHGATE 16E</t>
  </si>
  <si>
    <t>CALLEGARI, SERGIO P  et al</t>
  </si>
  <si>
    <t xml:space="preserve">SANDERS, EDWARD R </t>
  </si>
  <si>
    <t>NORTHGATE 16E LT 214</t>
  </si>
  <si>
    <t>7245 ISHI POINT CT</t>
  </si>
  <si>
    <t xml:space="preserve">ROSS, ROBERT L &amp; EMELEZE J  </t>
  </si>
  <si>
    <t xml:space="preserve">7245 ISHI POINT CT </t>
  </si>
  <si>
    <t xml:space="preserve">HAGEN FAMILY TRUST  </t>
  </si>
  <si>
    <t>NORTHGATE 16E LT 212</t>
  </si>
  <si>
    <t>7285 ISHI POINT CT</t>
  </si>
  <si>
    <t xml:space="preserve">DEMARTINI, ROBERT F &amp; PHYLLIS A </t>
  </si>
  <si>
    <t>102 ALLEGHANY ST</t>
  </si>
  <si>
    <t>NORTHGATE 16E LT 210</t>
  </si>
  <si>
    <t>7130 ISHI POINT DR</t>
  </si>
  <si>
    <t xml:space="preserve">BLACKFORD, MARGARET E &amp; OWEN A </t>
  </si>
  <si>
    <t>NORTHGATE 16E LT 189</t>
  </si>
  <si>
    <t>2306 RED MAPLE CT</t>
  </si>
  <si>
    <t>CHIA, LI H et al</t>
  </si>
  <si>
    <t>NORTHGATE 21 LT 10</t>
  </si>
  <si>
    <t>7215 WINTERHILL CT</t>
  </si>
  <si>
    <t xml:space="preserve">BOWLES, JERRY A &amp; JOANN A </t>
  </si>
  <si>
    <t>2545 SAGITTARIUS DR</t>
  </si>
  <si>
    <t>NORTHGATE 16F LT 258</t>
  </si>
  <si>
    <t>7240 TIMBER RIDGE CT</t>
  </si>
  <si>
    <t xml:space="preserve">CASELTINE, DANIEL J  </t>
  </si>
  <si>
    <t xml:space="preserve">BOWLES, BRIAN D &amp; DIANA M </t>
  </si>
  <si>
    <t>NORTHGATE 16F LT 240</t>
  </si>
  <si>
    <t>1440 CROSSWATER DR</t>
  </si>
  <si>
    <t xml:space="preserve">BRIGMAN, STEVE H &amp; LISA A </t>
  </si>
  <si>
    <t>6395 VALLEY WOOD DR</t>
  </si>
  <si>
    <t>NORTHGATE 16F LT 233</t>
  </si>
  <si>
    <t>1445 SPRINGFIELD PARK DR</t>
  </si>
  <si>
    <t xml:space="preserve">DACIA, RAMON V &amp; JENNIFFER T  </t>
  </si>
  <si>
    <t xml:space="preserve">1445 SPRINGFIELD PARK DR </t>
  </si>
  <si>
    <t xml:space="preserve">ZUIEBACK, JEFFREY D &amp; TERI L </t>
  </si>
  <si>
    <t>NORTHGATE 16F LT 221</t>
  </si>
  <si>
    <t>1560 POLO PARK DR</t>
  </si>
  <si>
    <t xml:space="preserve">MANN, JACQUELINE L </t>
  </si>
  <si>
    <t>NORTHGATE 16G LT 303</t>
  </si>
  <si>
    <t>1560 AUSTIN CREEK DR</t>
  </si>
  <si>
    <t xml:space="preserve">AMES, LARS &amp; COLLEEN </t>
  </si>
  <si>
    <t xml:space="preserve">MCGAFF, MICHAEL T &amp; SHARON </t>
  </si>
  <si>
    <t>NORTHGATE 16G LT 318</t>
  </si>
  <si>
    <t>1525 SPRINGFIELD PARK DR</t>
  </si>
  <si>
    <t xml:space="preserve">MOULLET, GARY A  &amp; JOAN E  </t>
  </si>
  <si>
    <t xml:space="preserve">9091 MADELINE DR </t>
  </si>
  <si>
    <t xml:space="preserve">MOULLET, GARY A  </t>
  </si>
  <si>
    <t>NORTHGATE 16G LT 271</t>
  </si>
  <si>
    <t>7234 GLENMORE CT</t>
  </si>
  <si>
    <t xml:space="preserve">AGER, PHYLLIS J </t>
  </si>
  <si>
    <t xml:space="preserve">SUNTRUST BANK </t>
  </si>
  <si>
    <t>NORTHGATE 11C LT 82</t>
  </si>
  <si>
    <t>7273 SUGARBRUSH CT</t>
  </si>
  <si>
    <t xml:space="preserve">HOOKER, DAVID W &amp; LEIGH C  </t>
  </si>
  <si>
    <t xml:space="preserve">WADE, ADRIENE D </t>
  </si>
  <si>
    <t>NORTHGATE 11C LT 71</t>
  </si>
  <si>
    <t>7275 HERITAGE OAKS DR</t>
  </si>
  <si>
    <t xml:space="preserve">CISSELL, WAYNE E &amp; JANET F </t>
  </si>
  <si>
    <t>NORTHGATE 12E LT 215</t>
  </si>
  <si>
    <t>7295 HERITAGE OAKS DR</t>
  </si>
  <si>
    <t xml:space="preserve">FAGGI-PARRILLI REV LIV FAMILY , TRUST  </t>
  </si>
  <si>
    <t>1870 SUN SHADOW CT</t>
  </si>
  <si>
    <t>NORTHGATE 12E LT 217</t>
  </si>
  <si>
    <t>7290 HERITAGE OAKS DR</t>
  </si>
  <si>
    <t xml:space="preserve">VERMA, SURAJ P </t>
  </si>
  <si>
    <t>NORTHGATE 12E LT 200</t>
  </si>
  <si>
    <t>7280 HERITAGE OAKS DR</t>
  </si>
  <si>
    <t xml:space="preserve">OWENS, THOMAS C &amp; SHERON L  </t>
  </si>
  <si>
    <t xml:space="preserve">7280 HERITAGE OAKS DR </t>
  </si>
  <si>
    <t>NORTHGATE 12E LT 201</t>
  </si>
  <si>
    <t>7270 HERITAGE OAKS DR</t>
  </si>
  <si>
    <t xml:space="preserve">TALBOT, FRANCIS J &amp; ETHEL M </t>
  </si>
  <si>
    <t xml:space="preserve">7270 HERITAGE OAKS DR </t>
  </si>
  <si>
    <t>NORTHGATE 12E LT 202</t>
  </si>
  <si>
    <t>7260 HERITAGE OAKS DR</t>
  </si>
  <si>
    <t xml:space="preserve">TUNG, WEI CHEN </t>
  </si>
  <si>
    <t xml:space="preserve">7260 HERITAGE OAKS DR </t>
  </si>
  <si>
    <t>NORTHGATE 12E LT 203</t>
  </si>
  <si>
    <t>7240 HERITAGE OAKS DR</t>
  </si>
  <si>
    <t>SMITH, JAMES et al</t>
  </si>
  <si>
    <t>MORI TOMOMI</t>
  </si>
  <si>
    <t xml:space="preserve">7240 HERITAGE OAKS DR </t>
  </si>
  <si>
    <t>NORTHGATE 12E LT 205</t>
  </si>
  <si>
    <t>2984 MOOSE RIDGE DR</t>
  </si>
  <si>
    <t xml:space="preserve">SCHULTZ, PHILLIP K  </t>
  </si>
  <si>
    <t xml:space="preserve">2984 MOOSE RIDGE DR </t>
  </si>
  <si>
    <t>NORTHGATE 17F LT 235</t>
  </si>
  <si>
    <t>2983 FOX TRAIL DR</t>
  </si>
  <si>
    <t>LORENZO-ORTIZ, SERGIO et al</t>
  </si>
  <si>
    <t>NORTHGATE 17F LT 212</t>
  </si>
  <si>
    <t>2993 MOOSE RIDGE DR</t>
  </si>
  <si>
    <t xml:space="preserve">KOZAK, MATTHEW S &amp; JANIS L  </t>
  </si>
  <si>
    <t>2997 FOX TRAIL DR</t>
  </si>
  <si>
    <t>NORTHGATE 17F LT 232</t>
  </si>
  <si>
    <t>2948 FOX TRAIL DR</t>
  </si>
  <si>
    <t xml:space="preserve">MARTIN, ERIC D &amp; JILL J  </t>
  </si>
  <si>
    <t xml:space="preserve">SCHMID, KEVIN R </t>
  </si>
  <si>
    <t>NORTHGATE 17D LT 144</t>
  </si>
  <si>
    <t>2910 MOOSE RIDGE DR</t>
  </si>
  <si>
    <t>HEIDEN, TIMOTHY et al</t>
  </si>
  <si>
    <t>ALIPIO CALIXTRA</t>
  </si>
  <si>
    <t>NORTHGATE 17D LT 153</t>
  </si>
  <si>
    <t>2919 FOX TRAIL DR</t>
  </si>
  <si>
    <t xml:space="preserve">JACKSON, CHARLOTTE </t>
  </si>
  <si>
    <t>404 COUNTRY CLUB DR C</t>
  </si>
  <si>
    <t xml:space="preserve">SOTNIKOV, VLADIMIR I &amp; IRINA </t>
  </si>
  <si>
    <t>NORTHGATE 17D LT 167</t>
  </si>
  <si>
    <t>2660 GLEN EAGLES DR</t>
  </si>
  <si>
    <t xml:space="preserve">FORREST, ABIGAIL S  </t>
  </si>
  <si>
    <t>2660 GLEN EAGLES</t>
  </si>
  <si>
    <t>NORTHGATE 12A LT 46</t>
  </si>
  <si>
    <t>7181 HEATHERWOOD DR</t>
  </si>
  <si>
    <t xml:space="preserve">CHRISTENSEN, BRENT </t>
  </si>
  <si>
    <t>NORTHGATE 12A LT 2</t>
  </si>
  <si>
    <t>7197 HEATHERWOOD DR</t>
  </si>
  <si>
    <t xml:space="preserve">JOHNS, MARC W </t>
  </si>
  <si>
    <t>1326 N FLORES ST - # 14</t>
  </si>
  <si>
    <t>WEST HOLLYWOOD</t>
  </si>
  <si>
    <t>JOHNS 2002 LIVING TRUST, GARRY L et al</t>
  </si>
  <si>
    <t>NORTHGATE 12A LT 4</t>
  </si>
  <si>
    <t>7201 HEATHERWOOD DR</t>
  </si>
  <si>
    <t xml:space="preserve">JOHNS 2002 LIVING TRUST, G L   </t>
  </si>
  <si>
    <t xml:space="preserve">JOHNS, GARY L  </t>
  </si>
  <si>
    <t>NORTHGATE 12A LT 5</t>
  </si>
  <si>
    <t xml:space="preserve">BOUSMAN, RICHARD &amp; SARAH  </t>
  </si>
  <si>
    <t xml:space="preserve">2880 SANDESTIN DR </t>
  </si>
  <si>
    <t xml:space="preserve">PRUDENTIAL RELOCATION INC  </t>
  </si>
  <si>
    <t>NORTHGATE 11D LT 127</t>
  </si>
  <si>
    <t>2930 SANDESTIN DR</t>
  </si>
  <si>
    <t xml:space="preserve">SUTHERLAND, STEPHEN M &amp; JUDITH K  </t>
  </si>
  <si>
    <t xml:space="preserve">2930 SANDESTIN DR </t>
  </si>
  <si>
    <t>DODGE TRUST, N P JR TTEE et al</t>
  </si>
  <si>
    <t>NORTHGATE 11D LT 122</t>
  </si>
  <si>
    <t>3040 BLACKTHORN DR</t>
  </si>
  <si>
    <t>BACON, STEVEN N et al</t>
  </si>
  <si>
    <t xml:space="preserve">THOMAS, RICK </t>
  </si>
  <si>
    <t>NORTHGATE 11D LT 142</t>
  </si>
  <si>
    <t>2840 SUNLINE DR</t>
  </si>
  <si>
    <t xml:space="preserve">HESTER, THOMAS R &amp; AMBER E </t>
  </si>
  <si>
    <t>NORTHGATE 11D LT 111</t>
  </si>
  <si>
    <t xml:space="preserve">STEWART, DONALD M &amp; JUN JIE W  </t>
  </si>
  <si>
    <t xml:space="preserve">REYES, MARILOU </t>
  </si>
  <si>
    <t>NORTHGATE 11D LT 109</t>
  </si>
  <si>
    <t>7281 HEATHERWOOD DR</t>
  </si>
  <si>
    <t xml:space="preserve">NOVAKOVICH, RONALD M &amp; ANGELA M  </t>
  </si>
  <si>
    <t xml:space="preserve">7281 HEATHERWOOD DR </t>
  </si>
  <si>
    <t xml:space="preserve">MCCUE, KEVIN S &amp; SABRINA M  </t>
  </si>
  <si>
    <t>NORTHGATE 12B LT 71</t>
  </si>
  <si>
    <t>2572 WHITNEY OAKS LN</t>
  </si>
  <si>
    <t xml:space="preserve">CIRVES, TERRI R </t>
  </si>
  <si>
    <t xml:space="preserve">MESA, BLADIMIR M </t>
  </si>
  <si>
    <t>NORTHGATE 12B LT 64</t>
  </si>
  <si>
    <t>2573 WHITNEY OAKS LN</t>
  </si>
  <si>
    <t xml:space="preserve">STINCHFIELD, SHANNON </t>
  </si>
  <si>
    <t>2573 WHITNEY OAKS DR</t>
  </si>
  <si>
    <t xml:space="preserve">LOMBA, RAY S </t>
  </si>
  <si>
    <t>NORTHGATE 12B LT 57</t>
  </si>
  <si>
    <t>2565 WHITNEY OAKS LN</t>
  </si>
  <si>
    <t xml:space="preserve">FORSHEY, KASEY D </t>
  </si>
  <si>
    <t xml:space="preserve">TANDOGAN, FEYZI &amp; AYSE </t>
  </si>
  <si>
    <t>NORTHGATE 12B LT 56</t>
  </si>
  <si>
    <t>7260 HEATHERWOOD DR</t>
  </si>
  <si>
    <t xml:space="preserve">MCHUGH, WILLIAM &amp; JEANNETTE </t>
  </si>
  <si>
    <t xml:space="preserve">4073 ROYAL SAGE DR </t>
  </si>
  <si>
    <t xml:space="preserve">HIGHER POWER TRUST </t>
  </si>
  <si>
    <t>NORTHGATE 12B LT 94</t>
  </si>
  <si>
    <t>2920 MOOSE RIDGE DR</t>
  </si>
  <si>
    <t xml:space="preserve">DAVIS, WILLIAM S &amp; KELLY L </t>
  </si>
  <si>
    <t xml:space="preserve">WIGHT, WILLIAM S &amp; KELLY L </t>
  </si>
  <si>
    <t>NORTHGATE 17E LT 208</t>
  </si>
  <si>
    <t>2939 SIERRA GLEN CIR</t>
  </si>
  <si>
    <t xml:space="preserve">STOCKING, BRADLEY &amp; DEBORAH </t>
  </si>
  <si>
    <t>NORTHGATE 17E LT 180</t>
  </si>
  <si>
    <t>2930 SIERRA GLEN CIR</t>
  </si>
  <si>
    <t xml:space="preserve">BECKER, MICHAEL A &amp; CINDY A  </t>
  </si>
  <si>
    <t xml:space="preserve">2040 DAWN ST </t>
  </si>
  <si>
    <t xml:space="preserve">LOMITA </t>
  </si>
  <si>
    <t xml:space="preserve">FERGUSON, JON  S &amp; SUZAN L </t>
  </si>
  <si>
    <t>NORTHGATE 17E LT 175</t>
  </si>
  <si>
    <t>7080 STERLING POINT CT</t>
  </si>
  <si>
    <t xml:space="preserve">MENKUS LIVING TRUST, MARY K  </t>
  </si>
  <si>
    <t>6469 VIA DEL RANCHO</t>
  </si>
  <si>
    <t xml:space="preserve">FALANGA, LOUIS </t>
  </si>
  <si>
    <t>NORTHGATE 19 LT 23</t>
  </si>
  <si>
    <t>395 JACKSON SPRINGS DR</t>
  </si>
  <si>
    <t xml:space="preserve">GARCIA , VICTOR H  </t>
  </si>
  <si>
    <t>NORTHGATE 19 LT 25</t>
  </si>
  <si>
    <t>375 JACKSON SPRINGS DR</t>
  </si>
  <si>
    <t xml:space="preserve">WARNER, KATHRYN P </t>
  </si>
  <si>
    <t>375 JACKSON SPRINGS</t>
  </si>
  <si>
    <t>NORTHGATE 19 LT 27</t>
  </si>
  <si>
    <t xml:space="preserve">HOFFMAN LIVING TRUST  </t>
  </si>
  <si>
    <t>400 AVALON TERRACE CT</t>
  </si>
  <si>
    <t>JOHNSON, BARRY H  et al</t>
  </si>
  <si>
    <t>LABARRE VALLERY K</t>
  </si>
  <si>
    <t>NORTHGATE 19 LT 41</t>
  </si>
  <si>
    <t xml:space="preserve">GRAYDEN, DAVID &amp; ANALIA  </t>
  </si>
  <si>
    <t xml:space="preserve">FV REO I LLC </t>
  </si>
  <si>
    <t>NORTHGATE 19 LT 57</t>
  </si>
  <si>
    <t>305 RENAISSANCE CT</t>
  </si>
  <si>
    <t>RS 4547</t>
  </si>
  <si>
    <t xml:space="preserve">DETWILER, JOSHUA J &amp; KENDAHL L </t>
  </si>
  <si>
    <t>ROSENBLEDT, VALLORY A et al</t>
  </si>
  <si>
    <t>208-683-21</t>
  </si>
  <si>
    <t>RS 4547 LT A-69</t>
  </si>
  <si>
    <t>2205 GLEN EAGLES DR</t>
  </si>
  <si>
    <t xml:space="preserve">LUCIA, ERIC R </t>
  </si>
  <si>
    <t>NORTHGATE 12C LT 128</t>
  </si>
  <si>
    <t>2230 GLEN EAGLES DR</t>
  </si>
  <si>
    <t xml:space="preserve">BERGSCHNEIDER, JERRY </t>
  </si>
  <si>
    <t>NORTHGATE 12C LT 118</t>
  </si>
  <si>
    <t>2390 GLEN EAGLES DR</t>
  </si>
  <si>
    <t>ENTRUST ADMINISTRATION TRUST CUSTODIAN</t>
  </si>
  <si>
    <t>555 12TH ST # 1250</t>
  </si>
  <si>
    <t>NORTHGATE 12C LT 110</t>
  </si>
  <si>
    <t>7360 HUNTER GLEN DR</t>
  </si>
  <si>
    <t>HEREDIA, DANTE J et al</t>
  </si>
  <si>
    <t>NORTHGATE 12D LT 168</t>
  </si>
  <si>
    <t>7330 HUNTER GLEN DR</t>
  </si>
  <si>
    <t xml:space="preserve">MAGUIRE, MARY C </t>
  </si>
  <si>
    <t xml:space="preserve">7330 HUNTER GLEN DR </t>
  </si>
  <si>
    <t xml:space="preserve">THOMAS, TERRY J  </t>
  </si>
  <si>
    <t>NORTHGATE 12D LT 165</t>
  </si>
  <si>
    <t>8098 HIGHLAND FLUME CIR</t>
  </si>
  <si>
    <t xml:space="preserve">SOBRASKE, PATRICIA </t>
  </si>
  <si>
    <t xml:space="preserve">8098 HIGHLAND FLUME CIR </t>
  </si>
  <si>
    <t>TRUCKEE RIVER HIGHLANDS LT 211</t>
  </si>
  <si>
    <t xml:space="preserve">AUER, LINDA A </t>
  </si>
  <si>
    <t>6850 SHARLANDS AVE # A-1001</t>
  </si>
  <si>
    <t>GARCIA, PAOLA N et al</t>
  </si>
  <si>
    <t>SILVER CREEK ATTACHED HOMES LT 1001 BLK A</t>
  </si>
  <si>
    <t xml:space="preserve">CHAVEZ, FABIOLA </t>
  </si>
  <si>
    <t>6850 SHARLANDS AVE D-1013</t>
  </si>
  <si>
    <t xml:space="preserve">CRAIG TRUST, GEORGE &amp; MITZIE  </t>
  </si>
  <si>
    <t>SILVER CREEK ATTACHED HOMES LT 1013 BLK D</t>
  </si>
  <si>
    <t xml:space="preserve">HAMM, JENNIFER </t>
  </si>
  <si>
    <t>6850 SHARLANDS AVE 1026</t>
  </si>
  <si>
    <t>SILVER CREEK ATTACHED HOMES LT 1026 BLK F</t>
  </si>
  <si>
    <t>RAHMANIFAR, BORZUYEH et al</t>
  </si>
  <si>
    <t>6850 SHARLANDS AVE F1029</t>
  </si>
  <si>
    <t xml:space="preserve">QUINTON FAMILY TRUST  </t>
  </si>
  <si>
    <t>SILVER CREEK ATTACHED HOMES LT 1029 BLK F</t>
  </si>
  <si>
    <t>KLYS, JAMES  et al</t>
  </si>
  <si>
    <t xml:space="preserve">ROBERTSON DIANNE M </t>
  </si>
  <si>
    <t>1107 MISSION RD UNIT 306</t>
  </si>
  <si>
    <t xml:space="preserve">ENEVOLDSON TRUST  </t>
  </si>
  <si>
    <t>SILVER CREEK ATTACHED HOMES LT 1031 BLK F</t>
  </si>
  <si>
    <t xml:space="preserve">GASKINS FAMILY TRUST  </t>
  </si>
  <si>
    <t xml:space="preserve">9256 HORSHAM CT </t>
  </si>
  <si>
    <t>95829</t>
  </si>
  <si>
    <t xml:space="preserve">GASKINS, RALPH E &amp; CAROL A </t>
  </si>
  <si>
    <t>SILVER CREEK ATTACHED HOMES LT 1024 BLK E</t>
  </si>
  <si>
    <t xml:space="preserve">SHARLANDS TRUST #6850  </t>
  </si>
  <si>
    <t>SILVER CREEK ATTACHED HOMES LT 1182 BLK AD</t>
  </si>
  <si>
    <t xml:space="preserve">REYNOLDS, JASON A &amp; ERIKA E </t>
  </si>
  <si>
    <t>SILVER CREEK ATTACHED HOMES LT 2012 BLK C</t>
  </si>
  <si>
    <t xml:space="preserve">SERGOTT, JOHANNA </t>
  </si>
  <si>
    <t>6850 SHARLANDS AVE # F2030</t>
  </si>
  <si>
    <t xml:space="preserve">HAUGHEY, JUDI L  </t>
  </si>
  <si>
    <t>SILVER CREEK ATTACHED HOMES LT 2030 BLK F</t>
  </si>
  <si>
    <t xml:space="preserve">COOKE, GLEN &amp; BERTHA </t>
  </si>
  <si>
    <t>SILVER CREEK ATTACHED HOMES LT 2023 BLK E</t>
  </si>
  <si>
    <t xml:space="preserve">HOANG, KATHY </t>
  </si>
  <si>
    <t>SILVER CREEK ATTACHED HOMES LT 2184 BLK AD</t>
  </si>
  <si>
    <t xml:space="preserve">DAVIS, MICHAEL A &amp; KIMBERLY N </t>
  </si>
  <si>
    <t>10013 PINNACLE PASS DR</t>
  </si>
  <si>
    <t>SILVER CREEK ATTACHED HOMES LT 1164 BLK AB</t>
  </si>
  <si>
    <t xml:space="preserve">MOSHER, KANCHHI M </t>
  </si>
  <si>
    <t>6850 SHARLANDS AVE AC1179</t>
  </si>
  <si>
    <t>SILVER CREEK ATTACHED HOMES LT 1179 BLK AC</t>
  </si>
  <si>
    <t xml:space="preserve">HUNT, SAMMIE C </t>
  </si>
  <si>
    <t>6850 SHARLANDS AVE G-1036</t>
  </si>
  <si>
    <t>SILVER CREEK ATTACHED HOMES LT 1036 BLK G</t>
  </si>
  <si>
    <t>SILVER CREEK ATTACHED HOMES LT 1037 BLK G</t>
  </si>
  <si>
    <t xml:space="preserve">SPEGAL, DAVID &amp; MARIEL </t>
  </si>
  <si>
    <t>6850 SHARLANDS AVE #AB 2171</t>
  </si>
  <si>
    <t>SILVER CREEK ATTACHED HOMES LT 2171 BLK AB</t>
  </si>
  <si>
    <t xml:space="preserve">HARTMAN TRUST, JEFFREY  </t>
  </si>
  <si>
    <t>6850 SHARLANDS AVE # G2034</t>
  </si>
  <si>
    <t xml:space="preserve">HARTMAN, JEFFREY S </t>
  </si>
  <si>
    <t>212-077-17</t>
  </si>
  <si>
    <t>SILVER CREEK ATTACHED HOMES LT 2034 BLK G</t>
  </si>
  <si>
    <t xml:space="preserve">ZERMANI-WEBER, LIANA R </t>
  </si>
  <si>
    <t>ATTN: JANETT</t>
  </si>
  <si>
    <t>4185 CAUGHLIN PKWY</t>
  </si>
  <si>
    <t>SILVER CREEK ATTACHED HOMES LT 2157 BLK Z</t>
  </si>
  <si>
    <t>STROSNIDER, JEFFERSON M et al</t>
  </si>
  <si>
    <t>6850 SHARLANDS AVE AA2161</t>
  </si>
  <si>
    <t>SILVER CREEK ATTACHED HOMES LT 2161 BLK AA</t>
  </si>
  <si>
    <t xml:space="preserve">BRAUN, THOMAS W &amp; VIRGINIA P  </t>
  </si>
  <si>
    <t xml:space="preserve">1008 S WALNUT ST </t>
  </si>
  <si>
    <t>NEW BREMEN</t>
  </si>
  <si>
    <t>45869</t>
  </si>
  <si>
    <t>SILVER CREEK ATTACHED HOMES LT 1044 BLK H</t>
  </si>
  <si>
    <t xml:space="preserve">GEROW, ERIC J </t>
  </si>
  <si>
    <t>6850 SHARLANDS AVE # J1050</t>
  </si>
  <si>
    <t>SILVER CREEK ATTACHED HOMES LT 1050 BLK J</t>
  </si>
  <si>
    <t xml:space="preserve">ARMSTRONG, TRUDY A </t>
  </si>
  <si>
    <t>PO BOX 34595</t>
  </si>
  <si>
    <t>SILVER CREEK ATTACHED HOMES LT 1063 BLK K</t>
  </si>
  <si>
    <t>DACHA, CORY A et al</t>
  </si>
  <si>
    <t>6850 SHARLANDS AVE #H2048</t>
  </si>
  <si>
    <t xml:space="preserve">DUSHEK, JENNIFER </t>
  </si>
  <si>
    <t>SILVER CREEK ATTACHED HOMES LT 2048 BLK H</t>
  </si>
  <si>
    <t xml:space="preserve">PETERSON, DERICK </t>
  </si>
  <si>
    <t>6850 SHARLANDS AVE UT 2052</t>
  </si>
  <si>
    <t>212-079-11</t>
  </si>
  <si>
    <t>SILVER CREEK ATTACHED HOMES LT 2052 BLK J</t>
  </si>
  <si>
    <t xml:space="preserve">VERNON, CLAIRE E </t>
  </si>
  <si>
    <t>SILVER CREEK ATTACHED HOMES LT 2049 BLK J</t>
  </si>
  <si>
    <t xml:space="preserve">SPANIOL, DENNIS </t>
  </si>
  <si>
    <t>PO BOX 1346</t>
  </si>
  <si>
    <t>SILVER CREEK ATTACHED HOMES LT 2055 BLK J</t>
  </si>
  <si>
    <t xml:space="preserve">HENDEL, DOUGLAS R </t>
  </si>
  <si>
    <t>227 E LAKE SAMMAMISH SHORE LN NE</t>
  </si>
  <si>
    <t>SILVER CREEK ATTACHED HOMES LT 1138 BLK W</t>
  </si>
  <si>
    <t>SILVER CREEK ATTACHED HOMES LT 1117 BLK T</t>
  </si>
  <si>
    <t>SILVER CREEK ATTACHED HOMES LT 2137 BLK W</t>
  </si>
  <si>
    <t>NEWTON, HEATHER L  et al</t>
  </si>
  <si>
    <t xml:space="preserve">12956 DAVOS DR </t>
  </si>
  <si>
    <t xml:space="preserve">NEWTON, HEATHER L  </t>
  </si>
  <si>
    <t>SILVER CREEK ATTACHED HOMES LT 2115 BLK T</t>
  </si>
  <si>
    <t>SILVER CREEK ATTACHED HOMES LT 2116 BLK T</t>
  </si>
  <si>
    <t xml:space="preserve">HONEY, JOSEPH A &amp; ROBIN C </t>
  </si>
  <si>
    <t>SILVER CREEK ATTACHED HOMES LT 2000 BLK R</t>
  </si>
  <si>
    <t xml:space="preserve">GANTZ, GARY W &amp; MARINA E </t>
  </si>
  <si>
    <t>2100 BANBURY CIR</t>
  </si>
  <si>
    <t xml:space="preserve">PARDO, QUINN &amp; PATRICIA </t>
  </si>
  <si>
    <t>SILVER CREEK ATTACHED HOMES LT 2123 BLK U</t>
  </si>
  <si>
    <t xml:space="preserve">PASTREL TRUST, DARRELL K &amp; JANE R   </t>
  </si>
  <si>
    <t xml:space="preserve">9304 VILLA RIDGE DR </t>
  </si>
  <si>
    <t>89134</t>
  </si>
  <si>
    <t xml:space="preserve">PASTRELL, DARRELL K &amp; JANE R  </t>
  </si>
  <si>
    <t>SILVER CREEK ATTACHED HOMES LT 2120 BLK U</t>
  </si>
  <si>
    <t xml:space="preserve">SANGUINETTI, MARK E &amp; LORI L </t>
  </si>
  <si>
    <t>724 CHERRY ST</t>
  </si>
  <si>
    <t>SILVER CREEK ATTACHED HOMES LT 2086 BLK NN</t>
  </si>
  <si>
    <t xml:space="preserve">NUNEZ, ELDA  </t>
  </si>
  <si>
    <t>6850 SHARLANDS AVE # 2096</t>
  </si>
  <si>
    <t>SILVER CREEK ATTACHED HOMES LT 2096 BLK Q</t>
  </si>
  <si>
    <t>240 MAE ANNE AVE</t>
  </si>
  <si>
    <t xml:space="preserve">MARTINEZ, RAUL J &amp; PAULETTE C  </t>
  </si>
  <si>
    <t xml:space="preserve">MARTINEZ, RAUL J  </t>
  </si>
  <si>
    <t>039-111-04</t>
  </si>
  <si>
    <t>FR SW4 NW4 SEC 18 TWP 19 RGE 19</t>
  </si>
  <si>
    <t xml:space="preserve"> AMBASSADOR DR</t>
  </si>
  <si>
    <t>PM 3472</t>
  </si>
  <si>
    <t>039-112-18</t>
  </si>
  <si>
    <t>PM 3472 LT 2</t>
  </si>
  <si>
    <t>BBCQ</t>
  </si>
  <si>
    <t>760 CAUGHLIN GLEN</t>
  </si>
  <si>
    <t>CAUGHLIN GLEN 1</t>
  </si>
  <si>
    <t xml:space="preserve">DEBARDELABEN FAMILY TRUST, EUGENE A JR  </t>
  </si>
  <si>
    <t>4275 BITTEROOT RD</t>
  </si>
  <si>
    <t xml:space="preserve">DEBARDELABEN, EUGENE A &amp; RENATA L  </t>
  </si>
  <si>
    <t>009-251-15</t>
  </si>
  <si>
    <t>CAUGHLIN GLEN 1 LT 129 BLK C</t>
  </si>
  <si>
    <t>4430 MOUNTAINGATE DR</t>
  </si>
  <si>
    <t xml:space="preserve">SIMONS, MARK G &amp; LYNNE  K  </t>
  </si>
  <si>
    <t xml:space="preserve">4430 MOUNTAINGATE DR </t>
  </si>
  <si>
    <t>JUNIPER RIDGE 4 LT 416 BLK B</t>
  </si>
  <si>
    <t>4535 MOUNTAINGATE DR</t>
  </si>
  <si>
    <t xml:space="preserve">MORRISON, JAMES S  </t>
  </si>
  <si>
    <t xml:space="preserve">BOLOTIN, KATHLEEN A &amp; BRAD D </t>
  </si>
  <si>
    <t>JUNIPER RIDGE 4 LT 407 BLK A</t>
  </si>
  <si>
    <t>1080 GREENWICH WAY</t>
  </si>
  <si>
    <t xml:space="preserve">WALLER, JOANNE </t>
  </si>
  <si>
    <t xml:space="preserve">BOWMAN, DONALD L </t>
  </si>
  <si>
    <t>CAUGHLIN COTTAGES 1 LT 112 BLK B</t>
  </si>
  <si>
    <t>1780 CAUGHLIN CREEK RD</t>
  </si>
  <si>
    <t xml:space="preserve">JACKSON, BYRON C &amp; LESLIE L </t>
  </si>
  <si>
    <t>CAUGHLIN CREEK 4 LT 428</t>
  </si>
  <si>
    <t>1805 CAUGHLIN CREEK RD</t>
  </si>
  <si>
    <t xml:space="preserve">KD TRUST  </t>
  </si>
  <si>
    <t>5605 RIGGINS CT 269</t>
  </si>
  <si>
    <t xml:space="preserve">DLC INC </t>
  </si>
  <si>
    <t>CAUGHLIN CREEK 4 LT 421</t>
  </si>
  <si>
    <t>1164 WAVERLY DR</t>
  </si>
  <si>
    <t>CAUGHLIN COTTAGES 3</t>
  </si>
  <si>
    <t>DENNIS, PHILIP C  et al</t>
  </si>
  <si>
    <t xml:space="preserve">SIMON, CHRISTOPHER A </t>
  </si>
  <si>
    <t>214-090-08</t>
  </si>
  <si>
    <t>CAUGHLIN COTTAGES 3 LT 314 BLK C</t>
  </si>
  <si>
    <t>1014 WAVERLY DR</t>
  </si>
  <si>
    <t xml:space="preserve">FLOWERREE, JOHN H </t>
  </si>
  <si>
    <t xml:space="preserve">CASSINARI, LOUIS J </t>
  </si>
  <si>
    <t>CAUGHLIN COTTAGES 3 LT 302 BLK D</t>
  </si>
  <si>
    <t>1025 GREENWICH WAY</t>
  </si>
  <si>
    <t>CAUGHLIN COTTAGES 3 LT 301 BLK D</t>
  </si>
  <si>
    <t>1760 HUNTER CREEK RD</t>
  </si>
  <si>
    <t xml:space="preserve">GERACI, ANDREW A &amp; KRISTIN M </t>
  </si>
  <si>
    <t>CAUGHLIN CREEK 5 LT 524</t>
  </si>
  <si>
    <t>1795 HUNTER CREEK RD</t>
  </si>
  <si>
    <t xml:space="preserve">PETERSON, EDWARD S &amp; SHARON M </t>
  </si>
  <si>
    <t>1 KEAHOLE PL A1608</t>
  </si>
  <si>
    <t>DERMODY, MARTHA S  et al TTEE</t>
  </si>
  <si>
    <t>CAUGHLIN CREEK 5 LT 510</t>
  </si>
  <si>
    <t>1860 HUNTER CREEK RD</t>
  </si>
  <si>
    <t xml:space="preserve">RICKETTS, WESLEY H </t>
  </si>
  <si>
    <t>SIRI, MAXINE R TTEE et al</t>
  </si>
  <si>
    <t>CAUGHLIN CREEK 5 LT 534</t>
  </si>
  <si>
    <t>1697 ASPEN CREEK RD</t>
  </si>
  <si>
    <t>CHARLES W &amp; AMY B TAYLOR TRUSTEE</t>
  </si>
  <si>
    <t xml:space="preserve">TAYLOR, CHARLES W &amp; AMY B  </t>
  </si>
  <si>
    <t>CAUGHLIN CREEK 6 LT 607</t>
  </si>
  <si>
    <t>1580 CAUGHLIN CREEK RD</t>
  </si>
  <si>
    <t xml:space="preserve">ROBINSON, STEPHEN F &amp; JANET L </t>
  </si>
  <si>
    <t xml:space="preserve">5708 S 166 AVE C </t>
  </si>
  <si>
    <t>68135</t>
  </si>
  <si>
    <t>CAUGHLIN CREEK 6 LT 631</t>
  </si>
  <si>
    <t>3760 BRIDGE CREEK CT</t>
  </si>
  <si>
    <t>460 MILDRAE LN</t>
  </si>
  <si>
    <t xml:space="preserve">NUNEZ PROPERTY TRUST  </t>
  </si>
  <si>
    <t>CAUGHLIN CREEK 6 LT 624</t>
  </si>
  <si>
    <t>3755 BRIDGE CREEK CT</t>
  </si>
  <si>
    <t xml:space="preserve">MIRMESDAGH, RAQUEL A &amp; ALI  </t>
  </si>
  <si>
    <t xml:space="preserve">3755 BRIDGE CREEK CT </t>
  </si>
  <si>
    <t>CAUGHLIN CREEK 6 LT 622</t>
  </si>
  <si>
    <t>3775 BRIDGE CREEK CT</t>
  </si>
  <si>
    <t xml:space="preserve">MCKIMMEY, RODNEY L  </t>
  </si>
  <si>
    <t xml:space="preserve">1509 MARBELLA RIDGE CT </t>
  </si>
  <si>
    <t>LARKIN, THOMAS M &amp; DIANE B et al</t>
  </si>
  <si>
    <t>CAUGHLIN CREEK 6 LT  620</t>
  </si>
  <si>
    <t>2877 SAGITTARIUS DR</t>
  </si>
  <si>
    <t>FU, HENRY CHIEN et al</t>
  </si>
  <si>
    <t xml:space="preserve">CHANG CANDACE E </t>
  </si>
  <si>
    <t xml:space="preserve">PREGITZER, KURT S &amp; MARIA I </t>
  </si>
  <si>
    <t>PM 3486 LT 1</t>
  </si>
  <si>
    <t>3850 S FOLSOM DR</t>
  </si>
  <si>
    <t>PM 4000</t>
  </si>
  <si>
    <t xml:space="preserve">YOUNG, THOMAS C JR &amp; SHELBY H </t>
  </si>
  <si>
    <t xml:space="preserve">POTTENGER, STEVEN T </t>
  </si>
  <si>
    <t>216-040-09</t>
  </si>
  <si>
    <t>PM 4000 LT 1</t>
  </si>
  <si>
    <t>TRADITIONS AT CAUGHLIN 1</t>
  </si>
  <si>
    <t xml:space="preserve">FERRETTO, GENO M &amp; WENDY L </t>
  </si>
  <si>
    <t>TRADITIONS AT CAUGHLIN RANCH 1 LT 105 BLK A</t>
  </si>
  <si>
    <t>4819 ELKCREEK TRL</t>
  </si>
  <si>
    <t xml:space="preserve">BOYD , PHILLIS M </t>
  </si>
  <si>
    <t>TRADITIONS AT CAUGHLIN RANCH 1 LT 119 BLK C</t>
  </si>
  <si>
    <t>4807 ELKCREEK TRL</t>
  </si>
  <si>
    <t xml:space="preserve">CORRADO, MARC J &amp; SUE E </t>
  </si>
  <si>
    <t xml:space="preserve">PATTON, ROBERT F &amp; ANITA K </t>
  </si>
  <si>
    <t>218-023-09</t>
  </si>
  <si>
    <t>TRATITIONS AT CAUGHLING RANCH 1 ADJ LT 116 BLK C (</t>
  </si>
  <si>
    <t>4850 E CREEK RIDGE TRL</t>
  </si>
  <si>
    <t xml:space="preserve">WOODARD, BROCK </t>
  </si>
  <si>
    <t>CREEKRIDGE NORTH 1 LT 25 BLK B</t>
  </si>
  <si>
    <t xml:space="preserve">NICHOLS FAMILY TRUST, C &amp; L  </t>
  </si>
  <si>
    <t>4881 RAMCREEK TRL</t>
  </si>
  <si>
    <t xml:space="preserve">RYAN, KEVIN P </t>
  </si>
  <si>
    <t>TRADITIONS CAUGHLIN RANCH 2 LT 243 BLK B</t>
  </si>
  <si>
    <t>4320 DUNDEE RD</t>
  </si>
  <si>
    <t>CASTLE RIDGE 2</t>
  </si>
  <si>
    <t xml:space="preserve">STITES, RYAN D &amp; ANNELIESE E </t>
  </si>
  <si>
    <t xml:space="preserve">FAULSTICH FAMILY TRUST </t>
  </si>
  <si>
    <t>041-243-21</t>
  </si>
  <si>
    <t>CASTLE RIDGE 2 LT 206 BLK B</t>
  </si>
  <si>
    <t>4925 PINEBLUFF TRL</t>
  </si>
  <si>
    <t>TRADITIONS CAUGHLIN RANCH 3</t>
  </si>
  <si>
    <t xml:space="preserve">DOTSON, RYAN &amp; KAREN E  </t>
  </si>
  <si>
    <t xml:space="preserve">4925 PINE BLUFF TRAIL </t>
  </si>
  <si>
    <t xml:space="preserve">BURKS FAMILY TRUST, JACK S  </t>
  </si>
  <si>
    <t>TRADITIONS AT CAUGHLIN RANCH 3 LT 334 BLK D</t>
  </si>
  <si>
    <t>4854 BUCKHAVEN RD</t>
  </si>
  <si>
    <t xml:space="preserve">ARAMINI TRUST, JOHN L   </t>
  </si>
  <si>
    <t xml:space="preserve">ARAMINI, JOHN L  </t>
  </si>
  <si>
    <t>CASTLE RIDGE 3 LT 1031</t>
  </si>
  <si>
    <t>4920 MOUNTAINSHYRE RD</t>
  </si>
  <si>
    <t>PM 3544</t>
  </si>
  <si>
    <t xml:space="preserve">HENDERSON INVESTMENTS LP </t>
  </si>
  <si>
    <t>4410 SHARPS RD</t>
  </si>
  <si>
    <t xml:space="preserve">ZIEGLER RESIDUARY TRUST, DONALD G  </t>
  </si>
  <si>
    <t>218-151-01</t>
  </si>
  <si>
    <t>PM 3544 LT 1039</t>
  </si>
  <si>
    <t>4870 MOUNTAINSHYRE RD</t>
  </si>
  <si>
    <t xml:space="preserve">ANACKER, JOYCE C  </t>
  </si>
  <si>
    <t xml:space="preserve">SHAW, TODD C &amp; RACHELLE M </t>
  </si>
  <si>
    <t>CASTLE RIDGE 3 LT 1051</t>
  </si>
  <si>
    <t xml:space="preserve"> ROYER CT</t>
  </si>
  <si>
    <t>4890 ABERFELDY RD</t>
  </si>
  <si>
    <t xml:space="preserve">OTT LIVING TRUST  </t>
  </si>
  <si>
    <t>JENNIFER EDWARDS</t>
  </si>
  <si>
    <t xml:space="preserve">4890 ABERFELDY RD </t>
  </si>
  <si>
    <t xml:space="preserve">FRIEL, JOHN C &amp; LINDA D </t>
  </si>
  <si>
    <t>CASTLE RIDGE 5 LT 501</t>
  </si>
  <si>
    <t>5013 EAGLESHAM CT</t>
  </si>
  <si>
    <t xml:space="preserve">PATEL, SUSHIL A </t>
  </si>
  <si>
    <t>CASTLE RIDGE 7 LT 2</t>
  </si>
  <si>
    <t>5033 EAGLESHAM CT</t>
  </si>
  <si>
    <t xml:space="preserve">ETEZADI-AMOLI, MEHDI &amp; MAHNAZ </t>
  </si>
  <si>
    <t>CASTLE RIDGE 7 LT 4 (SPLIT FROM 218-120-28)</t>
  </si>
  <si>
    <t>45 SHARPS CIR</t>
  </si>
  <si>
    <t xml:space="preserve">DEANE FAMILY TRUST  </t>
  </si>
  <si>
    <t xml:space="preserve">DEANE, JOHN C &amp; ANDREA A </t>
  </si>
  <si>
    <t>041-430-09</t>
  </si>
  <si>
    <t>JUNIPER TRAILS 7A LT 729 BLK B</t>
  </si>
  <si>
    <t>4313 BITTEROOT RD</t>
  </si>
  <si>
    <t>QIONG, WANG et al</t>
  </si>
  <si>
    <t>HUGH SHAPIRO</t>
  </si>
  <si>
    <t>5581 BRITTANIA DR</t>
  </si>
  <si>
    <t xml:space="preserve">DAMRON, DENNIS &amp; ERIN L </t>
  </si>
  <si>
    <t>041-330-02</t>
  </si>
  <si>
    <t>JUNIPER TRAILS 5 LT 507 BLK A</t>
  </si>
  <si>
    <t>105 SAWBUCK RD</t>
  </si>
  <si>
    <t xml:space="preserve">ICE BEAR INC  </t>
  </si>
  <si>
    <t>2026 MADISON ST UNIT D</t>
  </si>
  <si>
    <t>EVERETT</t>
  </si>
  <si>
    <t>041-381-13</t>
  </si>
  <si>
    <t>JUNIPER TRAILS 6 LT 633 BLK B</t>
  </si>
  <si>
    <t>4324 ASPENWOOD CT</t>
  </si>
  <si>
    <t>JUNIPER TRAILS UNIT 5</t>
  </si>
  <si>
    <t>GRIMSLEY, GUY et al</t>
  </si>
  <si>
    <t>4388 DUNKELD RD</t>
  </si>
  <si>
    <t>LANE, NETTIE et al</t>
  </si>
  <si>
    <t>041-340-10</t>
  </si>
  <si>
    <t>JUNIPER TRAILS 5  LT 511 BLK B</t>
  </si>
  <si>
    <t>3420 CHEECHAKO DR</t>
  </si>
  <si>
    <t xml:space="preserve">MCNULTY LIVING TRUST  </t>
  </si>
  <si>
    <t>5000 EAGLESHAM CT</t>
  </si>
  <si>
    <t>041-583-09</t>
  </si>
  <si>
    <t>EVERGREEN 1 LT 109 BLK C</t>
  </si>
  <si>
    <t>3375 SIERRA CREST WAY</t>
  </si>
  <si>
    <t xml:space="preserve">SECOND CREEK LLC-II </t>
  </si>
  <si>
    <t>P O BOX 5519</t>
  </si>
  <si>
    <t xml:space="preserve">HIGH &amp; DRY HOLDINGS LLC </t>
  </si>
  <si>
    <t>EVERGREEN 2 LT 207 BLK A</t>
  </si>
  <si>
    <t>3521 CHEECHAKO CIR</t>
  </si>
  <si>
    <t xml:space="preserve">HILTON, WILLIAM R &amp; RONDA L </t>
  </si>
  <si>
    <t>EVERGREEN 2 LT 203 BLK A</t>
  </si>
  <si>
    <t>5060 FALLCOLORS CT</t>
  </si>
  <si>
    <t xml:space="preserve">HANSSEN FAMILY TRUST  </t>
  </si>
  <si>
    <t xml:space="preserve">5060 FALLCOLORS CT </t>
  </si>
  <si>
    <t>DROM, WAYNE D et al TTEE</t>
  </si>
  <si>
    <t>CREEKRIDGE SOUTH 1 LT 15 BLK C</t>
  </si>
  <si>
    <t>4815 TURNING LEAF WAY</t>
  </si>
  <si>
    <t>CREEKRIDGE SOUTH 2</t>
  </si>
  <si>
    <t xml:space="preserve">HARRISON, GENE &amp; SUSAN G </t>
  </si>
  <si>
    <t>YOUNG, JANETTE F et al</t>
  </si>
  <si>
    <t>220-140-03</t>
  </si>
  <si>
    <t>CREEKRIDGE SOUTH 2 LT 46</t>
  </si>
  <si>
    <t>4800 TURNING LEAF WAY</t>
  </si>
  <si>
    <t>WENG YINGHONG</t>
  </si>
  <si>
    <t xml:space="preserve">KOTT, PETER J </t>
  </si>
  <si>
    <t>CREEKRIDGE SOUTH 2 LT 49</t>
  </si>
  <si>
    <t>3340 BUCKCREEK CT</t>
  </si>
  <si>
    <t>EVERGREEN 4</t>
  </si>
  <si>
    <t xml:space="preserve">SANFORD FAMILY TRUST, ADAM &amp; ALLISON   </t>
  </si>
  <si>
    <t>HUTCHINSON-SANFORD, ADAM D et al</t>
  </si>
  <si>
    <t>220-160-06</t>
  </si>
  <si>
    <t>EVERGREEN 4 LT 417 BLK C</t>
  </si>
  <si>
    <t>4955 TURNING LEAF WAY</t>
  </si>
  <si>
    <t xml:space="preserve">FOSTER, MICHAEL F &amp; LEIGH A </t>
  </si>
  <si>
    <t xml:space="preserve">MURER FAMILY TRUST, NIELS P  </t>
  </si>
  <si>
    <t>CREEKRIDGE SOUTH 3 LT 30   FORMERLY 220-140-04</t>
  </si>
  <si>
    <t>4920 TURNING LEAF WAY</t>
  </si>
  <si>
    <t xml:space="preserve">GEORGE 2010 TRUST, E &amp; D  </t>
  </si>
  <si>
    <t>PO BOX 7336</t>
  </si>
  <si>
    <t>95267</t>
  </si>
  <si>
    <t xml:space="preserve">GEORGE, ERNEST &amp; DEBORAH </t>
  </si>
  <si>
    <t>CREEKRIDGE SOUTH  3 LT 21   FORMERLY 220-140-04</t>
  </si>
  <si>
    <t>1830 SHADOW CREEK CT</t>
  </si>
  <si>
    <t>EVANS CREEK EST 4 AMD</t>
  </si>
  <si>
    <t>HOOD , JAMES H  et al</t>
  </si>
  <si>
    <t xml:space="preserve">DRINGENBERG TRUST, R &amp; M  </t>
  </si>
  <si>
    <t>041-100-98</t>
  </si>
  <si>
    <t>EVANS CREEK EST 4 AMD LT 22 BLK D</t>
  </si>
  <si>
    <t>6696 EVANS CREEK DR</t>
  </si>
  <si>
    <t xml:space="preserve">HOWARD, WILBUR S  </t>
  </si>
  <si>
    <t xml:space="preserve">6696 EVANS CREEK DR </t>
  </si>
  <si>
    <t>222-041-01</t>
  </si>
  <si>
    <t>EVANS CREEK EST 4 AMD LT 38 BLK E</t>
  </si>
  <si>
    <t>2535 KINNEY LN</t>
  </si>
  <si>
    <t>COTTONWOOD ESTATES</t>
  </si>
  <si>
    <t xml:space="preserve">WATSON, JOAN </t>
  </si>
  <si>
    <t xml:space="preserve">GIBBONS, JAMES A &amp; T DAWN </t>
  </si>
  <si>
    <t>041-252-02</t>
  </si>
  <si>
    <t>COTTONWOOD ESTATES LT 5 BLK A</t>
  </si>
  <si>
    <t>2400 KINNEY LN</t>
  </si>
  <si>
    <t>PM 1710</t>
  </si>
  <si>
    <t xml:space="preserve">LILLANEY, SANJAY &amp; JILL </t>
  </si>
  <si>
    <t xml:space="preserve">2400 KINNEY LN </t>
  </si>
  <si>
    <t>041-253-09</t>
  </si>
  <si>
    <t>PM 1710 LT B</t>
  </si>
  <si>
    <t>1858 ROMBAUER CT</t>
  </si>
  <si>
    <t xml:space="preserve">REGIONS MORGAN KEEGAN TRUST  </t>
  </si>
  <si>
    <t>SHAWN G PEARSON</t>
  </si>
  <si>
    <t>PO BOX 2311</t>
  </si>
  <si>
    <t xml:space="preserve">HUMMEL, PETER K </t>
  </si>
  <si>
    <t>222-111-08</t>
  </si>
  <si>
    <t>RS 3590 LT 2</t>
  </si>
  <si>
    <t>2572 RAMPART TER</t>
  </si>
  <si>
    <t xml:space="preserve">YOUNG, JOHN M &amp; DEBRA J </t>
  </si>
  <si>
    <t>2572 RAMPART TERRACE</t>
  </si>
  <si>
    <t xml:space="preserve">POUNDSTONE, JOHN &amp; SHERRY  </t>
  </si>
  <si>
    <t>EVANS CREEK EST 7 LT 58 BLK B</t>
  </si>
  <si>
    <t>2516 RAMPART TER</t>
  </si>
  <si>
    <t xml:space="preserve">HART LIVING TRUST, JOHN &amp; CHRISTINE  </t>
  </si>
  <si>
    <t xml:space="preserve">HART TRUST, ROBERT A  </t>
  </si>
  <si>
    <t>EVANS CREEK EST 7 LT 51 BLK B</t>
  </si>
  <si>
    <t>2521 RANGE VIEW LN</t>
  </si>
  <si>
    <t xml:space="preserve">HANSEN , OMAR S &amp; JOAN L  </t>
  </si>
  <si>
    <t xml:space="preserve">2521 RANGE VIEW LN </t>
  </si>
  <si>
    <t>WALKER, MARK D et al</t>
  </si>
  <si>
    <t>EVANS CREEK EST 6 LT 4</t>
  </si>
  <si>
    <t>2541 RANGE VIEW LN</t>
  </si>
  <si>
    <t xml:space="preserve">HERNANDEZ, HERLINDA  </t>
  </si>
  <si>
    <t xml:space="preserve">MANN , NEIL B &amp; NORA K  </t>
  </si>
  <si>
    <t>EVANS CREEK EST 6 LT 6</t>
  </si>
  <si>
    <t>2486 RANGE VIEW CT</t>
  </si>
  <si>
    <t>BATES, KATHLEEN R  et al</t>
  </si>
  <si>
    <t>EVANS CREEK EST 6 LT 36</t>
  </si>
  <si>
    <t>4831 BROKEN ARROW CIR</t>
  </si>
  <si>
    <t>MANZANITA WEST 4</t>
  </si>
  <si>
    <t xml:space="preserve">WELLINGTON TRUST, JOHN &amp; MARGO  </t>
  </si>
  <si>
    <t xml:space="preserve">RYCKEBOSCH FAMILY TRUST  </t>
  </si>
  <si>
    <t>023-260-34</t>
  </si>
  <si>
    <t>MANZANITA WEST 4 LT 12 BLK B</t>
  </si>
  <si>
    <t>4830 BROKEN ARROW CIR</t>
  </si>
  <si>
    <t xml:space="preserve">OSBORNE, ALFRED H &amp; SANDRA C </t>
  </si>
  <si>
    <t>2695 SPINNAKER DR</t>
  </si>
  <si>
    <t>MANZANITA WEST 4 LT 16 BLK B</t>
  </si>
  <si>
    <t>2891 SAGE RIDGE DR</t>
  </si>
  <si>
    <t>MANZANITA WEST 7</t>
  </si>
  <si>
    <t>ROBERTS, JOANNA L  et al</t>
  </si>
  <si>
    <t xml:space="preserve">WARD, JAMES E &amp; MARISSA A </t>
  </si>
  <si>
    <t>023-260-38</t>
  </si>
  <si>
    <t>MANZANITA WEST 7 LT 5</t>
  </si>
  <si>
    <t>2890 SAGE RIDGE DR</t>
  </si>
  <si>
    <t xml:space="preserve">ANDERSON, JOHN D </t>
  </si>
  <si>
    <t xml:space="preserve">ALBRO, BRADLEY A &amp; KIMBERLY </t>
  </si>
  <si>
    <t>MANZANITA WEST 7 LT 18</t>
  </si>
  <si>
    <t>2688 SPEARPOINT DR</t>
  </si>
  <si>
    <t xml:space="preserve">ROSS, TROY W &amp; DIANA L  </t>
  </si>
  <si>
    <t xml:space="preserve">2688 SPEARPOINT DR </t>
  </si>
  <si>
    <t>KRAL, SCOTT M et al</t>
  </si>
  <si>
    <t>MANZANITA WEST 6 LT 31</t>
  </si>
  <si>
    <t>2624 SPEARPOINT DR</t>
  </si>
  <si>
    <t xml:space="preserve">DUSSAULT REVOCABLE TRUST, ROSALINDA  </t>
  </si>
  <si>
    <t xml:space="preserve">RUTLEDGE &amp; PARISH LIVING TRUST  </t>
  </si>
  <si>
    <t>MANZANITA WEST 6 LT 18</t>
  </si>
  <si>
    <t>2307 DIAMOND J PL</t>
  </si>
  <si>
    <t>PM 4818</t>
  </si>
  <si>
    <t xml:space="preserve">VON OCHSSEE, WALTHER B </t>
  </si>
  <si>
    <t>900 SO MEADOWS PKWY #4224</t>
  </si>
  <si>
    <t>230-060-11</t>
  </si>
  <si>
    <t>PM 4818 LT 1</t>
  </si>
  <si>
    <t>OCHG</t>
  </si>
  <si>
    <t>2309 DIAMOND J PL</t>
  </si>
  <si>
    <t>PM 4818 LT 2</t>
  </si>
  <si>
    <t>PM 4315</t>
  </si>
  <si>
    <t>ATTN GARY MAYO</t>
  </si>
  <si>
    <t>1140 N TOWN CENTER DR STE 250</t>
  </si>
  <si>
    <t xml:space="preserve">SOMERSETT DEVEL COMPANY LTD </t>
  </si>
  <si>
    <t>232-060-15</t>
  </si>
  <si>
    <t>PM 4315 LT A</t>
  </si>
  <si>
    <t>FAHZ</t>
  </si>
  <si>
    <t>PM 4315 LT C</t>
  </si>
  <si>
    <t>7843 MORGAN POINTE CIR</t>
  </si>
  <si>
    <t>JUHOLA, KEITH  et al</t>
  </si>
  <si>
    <t>MORGAN POINTE @ SOMERSETT LT 7</t>
  </si>
  <si>
    <t>7894 MORGAN POINTE CIR</t>
  </si>
  <si>
    <t xml:space="preserve">SLINKARD, CATHERINE G </t>
  </si>
  <si>
    <t>2913 COLLEGE AVE APT 109</t>
  </si>
  <si>
    <t>MORGAN POINTE @ SOMERSETT LT 40</t>
  </si>
  <si>
    <t>7882 MORGAN POINTE CIR</t>
  </si>
  <si>
    <t xml:space="preserve">SASS, CHARLES O &amp; KAREN </t>
  </si>
  <si>
    <t xml:space="preserve">STAVENA TRUST, JAMES H  </t>
  </si>
  <si>
    <t>MORGAN POINTE @ SOMERSETT LT 38</t>
  </si>
  <si>
    <t>7710 HARVEST HILL LN</t>
  </si>
  <si>
    <t xml:space="preserve">KOERNER, GREGORY J </t>
  </si>
  <si>
    <t xml:space="preserve">MCNAMARA, DANIEL M &amp; THERESA M </t>
  </si>
  <si>
    <t>AUTUMN RIDGE 1 @ SOMERSETT LT 70</t>
  </si>
  <si>
    <t>7661 AUTUMN RIDGE CIR</t>
  </si>
  <si>
    <t>MCDOULETT FAMILY TRUST, WILLIAM D &amp; ELIZABETH I et al</t>
  </si>
  <si>
    <t xml:space="preserve">BOCCHI, JOHN L II &amp; WHITNEY D </t>
  </si>
  <si>
    <t>AUTUMN RIDGE 1 @ SOMERSETT LT 62</t>
  </si>
  <si>
    <t>7791 AUTUMN RIDGE CIR</t>
  </si>
  <si>
    <t xml:space="preserve">GRANSTROM, WESLEY P &amp; LAURA R </t>
  </si>
  <si>
    <t xml:space="preserve">7791 AUTUMN RIDGE CIR </t>
  </si>
  <si>
    <t xml:space="preserve">BERENS, NICHOLAS M &amp; KIMBERLY N  </t>
  </si>
  <si>
    <t>AUTUMN RIDGE 1 @ SOMERSETT LT 49</t>
  </si>
  <si>
    <t>7720 AUTUMN RIDGE CIR</t>
  </si>
  <si>
    <t xml:space="preserve">DERRAH, WHITNEY </t>
  </si>
  <si>
    <t xml:space="preserve">DERRAH, HAROLD </t>
  </si>
  <si>
    <t>AUTUMN RIDGE 1 @ SOMERSETT LT 43</t>
  </si>
  <si>
    <t>7715 HARVEST HILL LN</t>
  </si>
  <si>
    <t xml:space="preserve">SLAVIN, JAMES &amp; THERESA A </t>
  </si>
  <si>
    <t xml:space="preserve">7715 HARVEST HILL LN </t>
  </si>
  <si>
    <t xml:space="preserve">BLACK, DEBORAH T &amp; KURT L  </t>
  </si>
  <si>
    <t>AUTUMN RIDGE 1 @ SOMERSETT LT 34</t>
  </si>
  <si>
    <t>8145 WILLOW RANCH TRL</t>
  </si>
  <si>
    <t xml:space="preserve">MAYO LIVING TRUST, THOMAS M   </t>
  </si>
  <si>
    <t xml:space="preserve">MAYO , THOMAS M  </t>
  </si>
  <si>
    <t>WILLOW RANCH PH 1 LT 70</t>
  </si>
  <si>
    <t>1790 WINTER MOON CT</t>
  </si>
  <si>
    <t xml:space="preserve">PAINE, MICHAEL H &amp; CAROL H  </t>
  </si>
  <si>
    <t xml:space="preserve">NELSON LIVING TRUST  </t>
  </si>
  <si>
    <t>WILLOW RANCH PH 1 LT 56</t>
  </si>
  <si>
    <t>PARRILLI, JOANNE C et al</t>
  </si>
  <si>
    <t>WILLOW RANCH PH 2 LT 80</t>
  </si>
  <si>
    <t>1875 SUN SHADOW CT</t>
  </si>
  <si>
    <t xml:space="preserve">MCADARA, JOSEPH &amp; PRISCILLA </t>
  </si>
  <si>
    <t xml:space="preserve">NIGHTINGALE, JENNIFER </t>
  </si>
  <si>
    <t>WILLOW RANCH PH 2 LT 84</t>
  </si>
  <si>
    <t xml:space="preserve">CLARK, BRIAN L &amp; SIERRA L </t>
  </si>
  <si>
    <t xml:space="preserve">ROENIGK, MARK W &amp; NANETTE S </t>
  </si>
  <si>
    <t>WILLOW RANCH PH 2 LT 16</t>
  </si>
  <si>
    <t>1650 WHISPER ROCK CT</t>
  </si>
  <si>
    <t xml:space="preserve">WELLS TRUST, CHERYL B   </t>
  </si>
  <si>
    <t>1650 WHISPER ROCK</t>
  </si>
  <si>
    <t xml:space="preserve">WELLS, CHERYL B  </t>
  </si>
  <si>
    <t>CITYSIDE @ SOMERSETT LT 20</t>
  </si>
  <si>
    <t>8130 SILVER STRIKE CT</t>
  </si>
  <si>
    <t xml:space="preserve">BARNA, MICHAEL J </t>
  </si>
  <si>
    <t xml:space="preserve">SANCHEZ, ESTRELITA B </t>
  </si>
  <si>
    <t>3B @ SOMERSETT LT 27</t>
  </si>
  <si>
    <t>8111 SILVER STRIKE CT</t>
  </si>
  <si>
    <t xml:space="preserve">HARRIS, CYNTHIA M </t>
  </si>
  <si>
    <t>3B @ SOMERSETT LT 22</t>
  </si>
  <si>
    <t>8195 SIERRA RIDGE CT</t>
  </si>
  <si>
    <t xml:space="preserve">CHAN TRUST, DAVID WAI  KIT  </t>
  </si>
  <si>
    <t xml:space="preserve">770 STILL BREEZE WAY </t>
  </si>
  <si>
    <t xml:space="preserve">CHAN, DAVID W  </t>
  </si>
  <si>
    <t>3B @ SOMERSETT LT 7</t>
  </si>
  <si>
    <t>2229 PLACER WOOD TRL</t>
  </si>
  <si>
    <t xml:space="preserve">ANDERSON FAMILY REV TRUST  </t>
  </si>
  <si>
    <t>2229 PLACERWOOD.TRAIL</t>
  </si>
  <si>
    <t xml:space="preserve">ANDERSON, RONALD M &amp; CARRIE L  </t>
  </si>
  <si>
    <t>3A @ SOMERSETT LT26</t>
  </si>
  <si>
    <t>2200 SADDLE TREE TRL</t>
  </si>
  <si>
    <t>SMITH , KENNETH D JR  et al</t>
  </si>
  <si>
    <t xml:space="preserve">WINZELER ALICE L </t>
  </si>
  <si>
    <t xml:space="preserve">MANGOBA, RODEL </t>
  </si>
  <si>
    <t>3A @ SOMERSETT LT 23</t>
  </si>
  <si>
    <t>2250 SADDLE TREE TRL</t>
  </si>
  <si>
    <t>STANDER, BERT L  et al</t>
  </si>
  <si>
    <t xml:space="preserve">BREEN MONICA E </t>
  </si>
  <si>
    <t xml:space="preserve">CARPENTER LIVING TRUST, NANCY &amp; FREDERICKE  </t>
  </si>
  <si>
    <t>3A @ SOMERSETT LT 18</t>
  </si>
  <si>
    <t>2150 CANDLE ROCK CT</t>
  </si>
  <si>
    <t>3F @ SOMERSETT</t>
  </si>
  <si>
    <t xml:space="preserve">PEEK, GREGORY F </t>
  </si>
  <si>
    <t xml:space="preserve">WHITE, STEPHEN L &amp; TRACY L </t>
  </si>
  <si>
    <t>232-020-22</t>
  </si>
  <si>
    <t>3F @ SOMERSETT LT 2</t>
  </si>
  <si>
    <t>8190 DEERBROOK CT</t>
  </si>
  <si>
    <t xml:space="preserve">JOHNSTON, ANDREA B &amp; RYAN E  </t>
  </si>
  <si>
    <t>NELSON, JOHN et al</t>
  </si>
  <si>
    <t>2A @ SOMERSETT LT 22</t>
  </si>
  <si>
    <t>8260 ANTLER POINTE CT</t>
  </si>
  <si>
    <t>TALLEY, PATRICIA R  et al</t>
  </si>
  <si>
    <t xml:space="preserve">HANSEN, BRYAN &amp; NAOITA </t>
  </si>
  <si>
    <t>2A @ SOMERSETT LT 7</t>
  </si>
  <si>
    <t xml:space="preserve">VOIGT FAMILY REVOCABLE TRUST  </t>
  </si>
  <si>
    <t xml:space="preserve">KONASUNSHINE TRUST  </t>
  </si>
  <si>
    <t>DAKOTA RIDGE @ SOMERSETT LT 6</t>
  </si>
  <si>
    <t>1795 DAKOTA RIDGE TRL</t>
  </si>
  <si>
    <t>EQUITY TRUST COMPANY DBA</t>
  </si>
  <si>
    <t>7901 FISH POND RD</t>
  </si>
  <si>
    <t xml:space="preserve">PILOT DEVELOPMENT LLC </t>
  </si>
  <si>
    <t>DAKOTA RIDGE @ SOMERSETT LT 12</t>
  </si>
  <si>
    <t xml:space="preserve">ROLAND, JASON L &amp; TIFFANY L  </t>
  </si>
  <si>
    <t>PATTERSON, GILBERT W et al</t>
  </si>
  <si>
    <t>DAKOTA RIDGE @ SOMERSETT LT 9</t>
  </si>
  <si>
    <t>1755 DAKOTA RIDGE TRL</t>
  </si>
  <si>
    <t xml:space="preserve">WILBER, ERIC M &amp; LAURA M  </t>
  </si>
  <si>
    <t>DAKOTA RIDGE @ SOMERSETT LT 8</t>
  </si>
  <si>
    <t>1845 DOVE MOUNTAIN CT</t>
  </si>
  <si>
    <t>DAKOTA RIDGE @ SOMERSETT LT 17</t>
  </si>
  <si>
    <t>7688 HARVEST MOON RD</t>
  </si>
  <si>
    <t xml:space="preserve">WISE, ROGER &amp; NICOLE D  </t>
  </si>
  <si>
    <t xml:space="preserve">7688 HARVEST MOON RD </t>
  </si>
  <si>
    <t>CANYON PINES 1 LT 2</t>
  </si>
  <si>
    <t>7680 HARVEST MOON RD</t>
  </si>
  <si>
    <t xml:space="preserve">KIRSCHMAN, WILLIAM J &amp; DELLENE L </t>
  </si>
  <si>
    <t>2248 HERITAGE DR</t>
  </si>
  <si>
    <t>WALLACE, NED K et al</t>
  </si>
  <si>
    <t>CANYON PINES 1 LT 3</t>
  </si>
  <si>
    <t xml:space="preserve"> LOGAN RIDGE CT</t>
  </si>
  <si>
    <t xml:space="preserve">BEVANS, HUGH E &amp; MARCI A  </t>
  </si>
  <si>
    <t xml:space="preserve">7 QUAIL COVE RD </t>
  </si>
  <si>
    <t xml:space="preserve">CHARLESTON </t>
  </si>
  <si>
    <t>WV</t>
  </si>
  <si>
    <t>25314</t>
  </si>
  <si>
    <t xml:space="preserve">MCKIBBIN FAMILY TRUST, DANA H &amp; MARIA R  </t>
  </si>
  <si>
    <t>CANYON PINES 1 LT 18</t>
  </si>
  <si>
    <t>2210 PEAVINE CREEK RD</t>
  </si>
  <si>
    <t xml:space="preserve">FERTITTA, NIKOLAS L </t>
  </si>
  <si>
    <t>PO BOX 10161</t>
  </si>
  <si>
    <t>CANYON PINES 1 LT 28</t>
  </si>
  <si>
    <t>2250 PEAVINE CREEK RD</t>
  </si>
  <si>
    <t xml:space="preserve">BEAUMONT, JOHN E JR </t>
  </si>
  <si>
    <t>NGUYEN, THIEN-GREG N et al</t>
  </si>
  <si>
    <t>CANYON PINES 1 LT 32</t>
  </si>
  <si>
    <t>7655 BASIN RUN CT</t>
  </si>
  <si>
    <t xml:space="preserve">SPEAR, ADAM O &amp; RACHELLE A </t>
  </si>
  <si>
    <t>CANYON PINES 1 LT 40</t>
  </si>
  <si>
    <t>7695 BASIN RUN CT</t>
  </si>
  <si>
    <t xml:space="preserve">CARSON, TAMSEN E </t>
  </si>
  <si>
    <t xml:space="preserve">MASSIMINI, PETE &amp; LANA </t>
  </si>
  <si>
    <t>CANYON PINES 1 LT 42</t>
  </si>
  <si>
    <t>7830 PEAVINE VIEW CT</t>
  </si>
  <si>
    <t xml:space="preserve">MOHTASHEMI, FATTANEH </t>
  </si>
  <si>
    <t>CANYON PINES 1 LT 81</t>
  </si>
  <si>
    <t>8440 CASTLEHAWK CT</t>
  </si>
  <si>
    <t>SCHWAEBLE, SUMER R et al</t>
  </si>
  <si>
    <t xml:space="preserve">BORSINI, BRANDON D &amp; SHANNON L </t>
  </si>
  <si>
    <t>AREA 2 PH 1 @ SOMERSETT LT 15</t>
  </si>
  <si>
    <t>8430 CASTLEHAWK CT</t>
  </si>
  <si>
    <t xml:space="preserve">MCNAMARA, MICHAEL J &amp; KIMBERLY A  </t>
  </si>
  <si>
    <t xml:space="preserve">8430 CASTLEHAWK CT </t>
  </si>
  <si>
    <t xml:space="preserve">COHN FAMILY TRUST  </t>
  </si>
  <si>
    <t>AREA 2 PH 1 @ SOMERSETT LT 16</t>
  </si>
  <si>
    <t>8435 FAIRWAY CHASE TRL</t>
  </si>
  <si>
    <t xml:space="preserve">SPEAR TRUST, STEVEN C &amp; ELIZABETH   </t>
  </si>
  <si>
    <t xml:space="preserve">SPEAR, STEVEN C &amp; ELIZABETH  </t>
  </si>
  <si>
    <t>AREA 2 PH 1 @ SOMERSETT LT 34</t>
  </si>
  <si>
    <t>8465 FAIRWAY CHASE TRL</t>
  </si>
  <si>
    <t xml:space="preserve">HOFFBUHR, TYLER J  &amp; SARAH T  </t>
  </si>
  <si>
    <t xml:space="preserve">NATIONAL RES NOMINEE SER INC </t>
  </si>
  <si>
    <t>AREA 2 PH 1 @ SOMERSETT LT 37</t>
  </si>
  <si>
    <t>8485 FAIRWAY CHASE TRL</t>
  </si>
  <si>
    <t>WIGHT, WILLIAM S &amp; KELLY L et al</t>
  </si>
  <si>
    <t xml:space="preserve">SMITH, GRANT J &amp; DIANE </t>
  </si>
  <si>
    <t>AREA 2 PH 1 @ SOMERSETT LT 39</t>
  </si>
  <si>
    <t>8490 FAIRWAY CHASE TRL</t>
  </si>
  <si>
    <t xml:space="preserve">SHAW, TODD &amp; RACHELLE </t>
  </si>
  <si>
    <t xml:space="preserve">BURY, PHILIP C &amp; CONNIE C </t>
  </si>
  <si>
    <t>AREA 2 PH 1 @ SOMERSETT LT 24</t>
  </si>
  <si>
    <t>1905 RUSSELL POINTE CT</t>
  </si>
  <si>
    <t xml:space="preserve">SYLVESTER, JOHN &amp; CAMILLE </t>
  </si>
  <si>
    <t>AREA 2 PH 1 @ SOMERSETT LT 48</t>
  </si>
  <si>
    <t>8635 TOM KITE TRL</t>
  </si>
  <si>
    <t xml:space="preserve">BRUNETTI, DOMINIC G &amp; NINA </t>
  </si>
  <si>
    <t xml:space="preserve">ELLISON FAMILY TRUST  </t>
  </si>
  <si>
    <t>AREA 2 PH 1 @ SOMERSETT LT 49</t>
  </si>
  <si>
    <t>8665 TOM KITE TRL</t>
  </si>
  <si>
    <t xml:space="preserve">MINNOW BENEFICIAL TRUST  </t>
  </si>
  <si>
    <t>C/O RODERIC CARUCCI</t>
  </si>
  <si>
    <t>702 PLUMAS ST</t>
  </si>
  <si>
    <t xml:space="preserve">MIMMOW BENEFICIAL TRUST  </t>
  </si>
  <si>
    <t>AREA 2 PH 1 @ SOMERSETT LT 52</t>
  </si>
  <si>
    <t>8715 TOM KITE TRL</t>
  </si>
  <si>
    <t xml:space="preserve">DRUITT, IAN W &amp; CAMILLE B </t>
  </si>
  <si>
    <t xml:space="preserve">JASMON, JOSEPH E &amp; AMY C </t>
  </si>
  <si>
    <t>AREA 2 PH 1 @ SOMERSETT LT 57</t>
  </si>
  <si>
    <t>1625 SAWTOOTH TRL</t>
  </si>
  <si>
    <t>FBO CRAIG W DENOCE PO BOX 34836</t>
  </si>
  <si>
    <t>1580 GRAND POINT WAY</t>
  </si>
  <si>
    <t>SOMERSETT TOWN CENTER RES 1 LT 185</t>
  </si>
  <si>
    <t>1629 SAWTOOTH TRL</t>
  </si>
  <si>
    <t>VIRREY, ERICA P  et al</t>
  </si>
  <si>
    <t>SOMERSETT TOWN CENTER RES 1 LT 184</t>
  </si>
  <si>
    <t>7652 STONE BLUFF WAY</t>
  </si>
  <si>
    <t xml:space="preserve">CAVERHILL, CARMELISA </t>
  </si>
  <si>
    <t xml:space="preserve">MITCHELL, MICHAEL &amp; KATHRYN  </t>
  </si>
  <si>
    <t>SOMERSETT TOWN CENTER RES 1 LT 128</t>
  </si>
  <si>
    <t>7640 STONE BLUFF WAY</t>
  </si>
  <si>
    <t xml:space="preserve">DIAZ, DENNIS &amp; CHRISTINE </t>
  </si>
  <si>
    <t>SOMERSETT TOWN CENTER RES 1 LT 125</t>
  </si>
  <si>
    <t>7616 STONE BLUFF WAY</t>
  </si>
  <si>
    <t xml:space="preserve">HYGATE, JAMES P &amp; DONNA L </t>
  </si>
  <si>
    <t>MONTAHENO INVESTMENTS LLC et al</t>
  </si>
  <si>
    <t>SOMERSETT TOWN CENTER RES 1 LT 119</t>
  </si>
  <si>
    <t>7612 STONE BLUFF WAY</t>
  </si>
  <si>
    <t xml:space="preserve">WILLIAMS, NATHANIEL J &amp; MEGAN S </t>
  </si>
  <si>
    <t>17230 NEWHOPE ST # 204</t>
  </si>
  <si>
    <t>FOUNTAIN VALLEY</t>
  </si>
  <si>
    <t>SOMERSETT TOWN CENTER RES 1 LT 118</t>
  </si>
  <si>
    <t>1606 SPRING HILL DR</t>
  </si>
  <si>
    <t xml:space="preserve">ROMERO, KATRINA </t>
  </si>
  <si>
    <t>SOMERSETT TOWN CENTER RES 1 LT 24</t>
  </si>
  <si>
    <t>1612 SPRING HILL DR</t>
  </si>
  <si>
    <t>SOMERSETT TOWN CENTER RES 1 LT 25</t>
  </si>
  <si>
    <t>1630 SPRING HILL DR</t>
  </si>
  <si>
    <t xml:space="preserve">LAKHWARA, ANIL K </t>
  </si>
  <si>
    <t>SOMERSETT TOWN CENTER RES 1 LT 68</t>
  </si>
  <si>
    <t>1618 LONE OAK TRL</t>
  </si>
  <si>
    <t>CHAUMP, ERIC M et al</t>
  </si>
  <si>
    <t xml:space="preserve">BOWERS LIVING TRUST </t>
  </si>
  <si>
    <t>SOMERSETT TOWN CENTER RES 1 LT 17</t>
  </si>
  <si>
    <t>1636 SAWTOOTH TRL</t>
  </si>
  <si>
    <t xml:space="preserve">SLOANE FAMILY TRUST  </t>
  </si>
  <si>
    <t>315 FREITAS CT</t>
  </si>
  <si>
    <t xml:space="preserve">RICH FAMILY TRUST  </t>
  </si>
  <si>
    <t>SOMERSETT TOWN CENTER RES 1 LT 205</t>
  </si>
  <si>
    <t>7621 STONE BLUFF WAY</t>
  </si>
  <si>
    <t xml:space="preserve">MOHUN, LINELL &amp; JOHN B III </t>
  </si>
  <si>
    <t>SOMERSETT TOWN CENTER RES 1 LT 214</t>
  </si>
  <si>
    <t>7617 STONE BLUFF WAY</t>
  </si>
  <si>
    <t>GANLEY-JONES, EUGENIA S et al</t>
  </si>
  <si>
    <t>JONES DONALD E</t>
  </si>
  <si>
    <t>14390 SUNDANCE DR</t>
  </si>
  <si>
    <t>SOMERSETT TOWN CENTER RES 1 LT 216</t>
  </si>
  <si>
    <t>2380 RIDGE FIELD TRL</t>
  </si>
  <si>
    <t xml:space="preserve">MARTIN, SCOTTY J &amp; KAREN S </t>
  </si>
  <si>
    <t xml:space="preserve">SHEA, DENNIS M &amp; CHERYL A </t>
  </si>
  <si>
    <t>3C @ SOMERSETT LT 19</t>
  </si>
  <si>
    <t>8652 18TH HOLE TRL</t>
  </si>
  <si>
    <t xml:space="preserve">CORATHERS FAMILY TRUST  </t>
  </si>
  <si>
    <t>PO BOX 577</t>
  </si>
  <si>
    <t>JUNE LAKE</t>
  </si>
  <si>
    <t>93529</t>
  </si>
  <si>
    <t>CORATHERS, JOHN K II et al</t>
  </si>
  <si>
    <t>2I @ SOMERSETT LT 12</t>
  </si>
  <si>
    <t>8648 18TH HOLE TRL</t>
  </si>
  <si>
    <t xml:space="preserve">GARDNER, TODD M </t>
  </si>
  <si>
    <t xml:space="preserve">COSTELLO GENERATIONS TRUST, R RICHARD  </t>
  </si>
  <si>
    <t>2I @ SOMERSETT LT 13</t>
  </si>
  <si>
    <t>8637 18TH HOLE TRL</t>
  </si>
  <si>
    <t xml:space="preserve">KREHLIK, JOE &amp; GLADYS </t>
  </si>
  <si>
    <t>2I @ SOMERSETT LT 42</t>
  </si>
  <si>
    <t>8712 LYNROCK CIR</t>
  </si>
  <si>
    <t xml:space="preserve">WATTS, VERNON A &amp; DOROTHY C </t>
  </si>
  <si>
    <t xml:space="preserve">COHEN, EDWARD G &amp; SUSAN R </t>
  </si>
  <si>
    <t>2I @ SOMERSETT LT 48</t>
  </si>
  <si>
    <t>8620 18TH HOLE TRL</t>
  </si>
  <si>
    <t>2I @ SOMERSETT LT 20</t>
  </si>
  <si>
    <t>8616 18TH HOLE TRL</t>
  </si>
  <si>
    <t xml:space="preserve">DAVIES, ROBERT H </t>
  </si>
  <si>
    <t>2I @ SOMERSETT LT 21</t>
  </si>
  <si>
    <t>8612 18TH HOLE TRL</t>
  </si>
  <si>
    <t xml:space="preserve">CONNEALY, MICHAEL K &amp; PAMELA Y </t>
  </si>
  <si>
    <t>2I @ SOMERSETT LT 22</t>
  </si>
  <si>
    <t>8590 18TH HOLE CT</t>
  </si>
  <si>
    <t xml:space="preserve">MILLER, WILLIAM A &amp; KIMBERLY  </t>
  </si>
  <si>
    <t xml:space="preserve">8590 18TH HOLE CT </t>
  </si>
  <si>
    <t>2I @ SOMERSETT LT 25</t>
  </si>
  <si>
    <t>8345 TWIN ROCK TRL</t>
  </si>
  <si>
    <t xml:space="preserve">D`ANTONI TRUST  </t>
  </si>
  <si>
    <t xml:space="preserve">8345 TWIN ROCK TRAIL </t>
  </si>
  <si>
    <t xml:space="preserve">D`ANTONI, PATRICK S &amp; GWENDOLYN B  </t>
  </si>
  <si>
    <t>AREA 3 PH 1 @ SOMERSETT LT 318</t>
  </si>
  <si>
    <t>8355 TWIN ROCK TRL</t>
  </si>
  <si>
    <t xml:space="preserve">8435 TWIN ROCK TRAIL </t>
  </si>
  <si>
    <t>AREA 3 PH 1 @ SOMERSETT LT 319</t>
  </si>
  <si>
    <t>2435 DRAKE WOOD CT</t>
  </si>
  <si>
    <t xml:space="preserve">HALL TRUST, ROGER E  </t>
  </si>
  <si>
    <t>AREA 3 PH 1 @ SOMERSETT LT 331</t>
  </si>
  <si>
    <t>2415 MOUNTAIN SPIRIT TRL</t>
  </si>
  <si>
    <t xml:space="preserve">WONG, TERRY &amp; SHARON S </t>
  </si>
  <si>
    <t>2455 MOUNTAIN SPIRIT TRL</t>
  </si>
  <si>
    <t>AREA 3 PH 1 @ SOMERSETT LT 349</t>
  </si>
  <si>
    <t>AREA 3 PH 1 @ SOMERSETT LT 348</t>
  </si>
  <si>
    <t>2565 PAINTED RIVER TRL</t>
  </si>
  <si>
    <t xml:space="preserve">ENTRIKEN FAMILY TRUST  </t>
  </si>
  <si>
    <t xml:space="preserve">ENTRIKEN, BIRCH N  </t>
  </si>
  <si>
    <t>AREA 3 PH 1 @ SOMERSETT LT 365</t>
  </si>
  <si>
    <t>2440 MOUNTAIN SPIRIT TRL</t>
  </si>
  <si>
    <t xml:space="preserve">KORN, WILLIAM G JR &amp; ELIZE L </t>
  </si>
  <si>
    <t>232-533-01</t>
  </si>
  <si>
    <t>AREA 3 PH 1 @ SOMERSETT LT 353</t>
  </si>
  <si>
    <t>2460 MOUNTAIN SPIRIT TRL</t>
  </si>
  <si>
    <t xml:space="preserve">244 CLAREMONT ST </t>
  </si>
  <si>
    <t>AREA 3 PH 1 @ SOMERSETT LT 354</t>
  </si>
  <si>
    <t>8150 FOX MEADOWS CT</t>
  </si>
  <si>
    <t xml:space="preserve">EVANS 2008 TRUST, DONALD J  </t>
  </si>
  <si>
    <t>EVANS DONALD J</t>
  </si>
  <si>
    <t xml:space="preserve">8150 FOX MEADOWS CT </t>
  </si>
  <si>
    <t xml:space="preserve">SPEAR, STUART &amp; DONNA A  </t>
  </si>
  <si>
    <t>3E @ SOMERSETT LT 378</t>
  </si>
  <si>
    <t>1660 SPRING HILL DR</t>
  </si>
  <si>
    <t xml:space="preserve">COLFORD-HEINDL, CAROL </t>
  </si>
  <si>
    <t>2645 BILLYS RD</t>
  </si>
  <si>
    <t>SOMERSETT TOWN CENTER RES 2 LT 73</t>
  </si>
  <si>
    <t>1678 SPRING HILL DR</t>
  </si>
  <si>
    <t xml:space="preserve">WOODLEY, BRENT E  </t>
  </si>
  <si>
    <t xml:space="preserve">1678 SPRINGHILL DR </t>
  </si>
  <si>
    <t>SOMERSETT TOWN CENTER RES 2 LT 76</t>
  </si>
  <si>
    <t>1690 SPRING HILL DR</t>
  </si>
  <si>
    <t>GIBBS, MICHAEL L et al</t>
  </si>
  <si>
    <t>PANTOJA , LETICIA  et al</t>
  </si>
  <si>
    <t>SOMERSETT TOWN CENTER RES 2 LT 78</t>
  </si>
  <si>
    <t>1654 LONE OAK TRL</t>
  </si>
  <si>
    <t xml:space="preserve">ZANDER, JULIE </t>
  </si>
  <si>
    <t>SOMERSETT TOWN CENTER RES 2 LT 11</t>
  </si>
  <si>
    <t>1671 LONE OAK TRL</t>
  </si>
  <si>
    <t xml:space="preserve">BRAND, LESLIE </t>
  </si>
  <si>
    <t>392 NEWCASTLE DR</t>
  </si>
  <si>
    <t>SOMERSETT TOWN CENTER RES 2 LT 113</t>
  </si>
  <si>
    <t>1689 CLOVER HILL TRL</t>
  </si>
  <si>
    <t xml:space="preserve">WEISS FAMILY TRUST, L M  </t>
  </si>
  <si>
    <t>LAURIE FREY TRUSTEE</t>
  </si>
  <si>
    <t>1260 WHISPER ROCK WAY</t>
  </si>
  <si>
    <t xml:space="preserve">FREY, LAURIE M  </t>
  </si>
  <si>
    <t>SOMERSETT TOWN CENTER RES 2 LT 92</t>
  </si>
  <si>
    <t>1641 CLOVER HILL TRL</t>
  </si>
  <si>
    <t xml:space="preserve">FERGUSON, HUGH M  </t>
  </si>
  <si>
    <t xml:space="preserve">3320 BOWMORE CT </t>
  </si>
  <si>
    <t>SOMERSETT TOWN CENTER RES 2 LT 98</t>
  </si>
  <si>
    <t>1652 SAWTOOTH TRL</t>
  </si>
  <si>
    <t xml:space="preserve">ROSENENBERG, ROBERT </t>
  </si>
  <si>
    <t>1652 SAWROOTH TR</t>
  </si>
  <si>
    <t>SOMERSETT TOWN CENTER RES 2 LT 201</t>
  </si>
  <si>
    <t>7731 SHALESTONE WAY</t>
  </si>
  <si>
    <t>SOMERSETT TOWN CENTER RES 2 LT 144</t>
  </si>
  <si>
    <t>1649 SAWTOOTH TRL</t>
  </si>
  <si>
    <t xml:space="preserve">TRACTENBERG REVOCABLE TRUST, MATTHEW S &amp; LINDSAY P  </t>
  </si>
  <si>
    <t>SOMERSETT TOWN CENTER RES 2 LT 189</t>
  </si>
  <si>
    <t>1875 GRAYSBURG DR</t>
  </si>
  <si>
    <t xml:space="preserve">OH, YOUNG KOO &amp; AMY YOUNG MI </t>
  </si>
  <si>
    <t xml:space="preserve">1875 GRAYSBURG DR </t>
  </si>
  <si>
    <t>2F @ SOMERSETT LT 57</t>
  </si>
  <si>
    <t>1870 GRAYSBURG DR</t>
  </si>
  <si>
    <t>SINGH, PARMJIT et al</t>
  </si>
  <si>
    <t>KAUR JASBIR</t>
  </si>
  <si>
    <t>HARDING, BENJAMIN et al</t>
  </si>
  <si>
    <t>2F @ SOMERSETT LT 54</t>
  </si>
  <si>
    <t xml:space="preserve">GORELICK, JEFF &amp; ALLISON </t>
  </si>
  <si>
    <t xml:space="preserve">KNOX, CHRIS </t>
  </si>
  <si>
    <t>2F @ SOMERSETT LT 32</t>
  </si>
  <si>
    <t>1807 LAUREL RIDGE DR</t>
  </si>
  <si>
    <t xml:space="preserve">MOHR, GERALD T </t>
  </si>
  <si>
    <t>PO BOX 3794</t>
  </si>
  <si>
    <t>RANCHO SANTA FE</t>
  </si>
  <si>
    <t>2F @ SOMERSETT LT 45</t>
  </si>
  <si>
    <t>1820 GRAYSBURG DR</t>
  </si>
  <si>
    <t xml:space="preserve">NOVELL, SAMUEL F &amp; SUSAN I  </t>
  </si>
  <si>
    <t xml:space="preserve">5323 GOODWIN AVE </t>
  </si>
  <si>
    <t xml:space="preserve">NATIONAL TRANSFER SERVICE LLC  </t>
  </si>
  <si>
    <t>2F @ SOMERSETT LT 49</t>
  </si>
  <si>
    <t>1835 GRAYSBURG DR</t>
  </si>
  <si>
    <t xml:space="preserve">JUDGE, NARINDER S  </t>
  </si>
  <si>
    <t>32416 NEW HARBOR WAY</t>
  </si>
  <si>
    <t>2F @ SOMERSETT LT 60</t>
  </si>
  <si>
    <t>1905 CHAMPION HILLS DR</t>
  </si>
  <si>
    <t xml:space="preserve">SCAGLIONE, DAVID A &amp; NANCY J  </t>
  </si>
  <si>
    <t xml:space="preserve">1905 CHAMPION HILLS DR </t>
  </si>
  <si>
    <t>2F @ SOMERSETT LT 10</t>
  </si>
  <si>
    <t>1795 BOULDER RIDGE TRL</t>
  </si>
  <si>
    <t>2C @ SOMERSETT</t>
  </si>
  <si>
    <t>232-380-11</t>
  </si>
  <si>
    <t>2C @ SOMERSETT LT 227</t>
  </si>
  <si>
    <t>1775 BOULDER RIDGE TRL</t>
  </si>
  <si>
    <t>2C @ SOMERSETT LT 228</t>
  </si>
  <si>
    <t>1765 BOULDER RIDGE TRL</t>
  </si>
  <si>
    <t>2C @ SOMERSETT LT 229</t>
  </si>
  <si>
    <t>1755 BOULDER RIDGE TRL</t>
  </si>
  <si>
    <t>2C @ SOMERSETT LT 230</t>
  </si>
  <si>
    <t>1745 BOULDER RIDGE TRL</t>
  </si>
  <si>
    <t>2C @ SOMERSETT LT 231</t>
  </si>
  <si>
    <t>1735 BOULDER RIDGE TRL</t>
  </si>
  <si>
    <t>2C @ SOMERSETT LT 232</t>
  </si>
  <si>
    <t>1725 BOULDER RIDGE TRL</t>
  </si>
  <si>
    <t>2C @ SOMERSETT LT 233</t>
  </si>
  <si>
    <t>1705 BOULDER RIDGE TRL</t>
  </si>
  <si>
    <t>RS 4715</t>
  </si>
  <si>
    <t>232-591-06</t>
  </si>
  <si>
    <t>2C @ SOMERSETT LT 234 RS 4715 LT 234B</t>
  </si>
  <si>
    <t>8385 SPLIT ROCK TRL</t>
  </si>
  <si>
    <t>2C @ SOMERSETT LT 235 RS 4715 LT 235B</t>
  </si>
  <si>
    <t>1680 BOULDER RIDGE CT</t>
  </si>
  <si>
    <t>2C @ SOMERSETT LT 208</t>
  </si>
  <si>
    <t>1675 CIRCLE STONE CT</t>
  </si>
  <si>
    <t>2C @ SOMERSETT LT 212</t>
  </si>
  <si>
    <t>1665 CIRCLE STONE CT</t>
  </si>
  <si>
    <t>2C @ SOMERSETT LT 213</t>
  </si>
  <si>
    <t>1740 SHARPE HILL CIR</t>
  </si>
  <si>
    <t>2C @ SOMERSETT LT 221</t>
  </si>
  <si>
    <t>1750 SHARPE HILL CIR</t>
  </si>
  <si>
    <t>2C @ SOMERSETT LT 222</t>
  </si>
  <si>
    <t>1760 SHARPE HILL CIR</t>
  </si>
  <si>
    <t>2C @ SOMERSETT LT 223</t>
  </si>
  <si>
    <t>1770 SHARPE HILL CIR</t>
  </si>
  <si>
    <t>2C @ SOMERSETT LT 224</t>
  </si>
  <si>
    <t>1780 SHARPE HILL CIR</t>
  </si>
  <si>
    <t>2C @ SOMERSETT LT 225</t>
  </si>
  <si>
    <t>1790 SHARPE HILL CIR</t>
  </si>
  <si>
    <t>2C @ SOMERSETT LT 226</t>
  </si>
  <si>
    <t>8370 SPLIT ROCK TRL</t>
  </si>
  <si>
    <t>2C @ SOMERSETT LT 201 RS 4715 LT 201B</t>
  </si>
  <si>
    <t>8320 SPLIT ROCK TRL</t>
  </si>
  <si>
    <t>2C @ SOMERSETT LT 203 RS 4715 LT 203B</t>
  </si>
  <si>
    <t>1695 BOULDER RIDGE CT</t>
  </si>
  <si>
    <t>RS 4780</t>
  </si>
  <si>
    <t>232-591-09</t>
  </si>
  <si>
    <t>2C @ SOMERSETT LT 204 FR LT 205 RS 4780 LT 204C</t>
  </si>
  <si>
    <t xml:space="preserve"> BOULDER RIDGE CT</t>
  </si>
  <si>
    <t>2C @ SOMERSETT FR LT 205 LT 206 RS 4780 LT 205B</t>
  </si>
  <si>
    <t>1670 BOULDER RIDGE CT</t>
  </si>
  <si>
    <t>2C @ SOMERSETT LT 207 RS 4780 LT 207B</t>
  </si>
  <si>
    <t>1785 SHARPE HILL CIR</t>
  </si>
  <si>
    <t>2C @ SOMERSETT LT 241</t>
  </si>
  <si>
    <t>8210 STANDING STONE CT</t>
  </si>
  <si>
    <t>2C @ SOMERSETT LT 245</t>
  </si>
  <si>
    <t>1725 SHARPE HILL CIR</t>
  </si>
  <si>
    <t>2C @ SOMERSETT LT 248</t>
  </si>
  <si>
    <t>1720 BOULDER RIDGE TRL</t>
  </si>
  <si>
    <t>2C @ SOMERSETT LT 237</t>
  </si>
  <si>
    <t>1740 BOULDER RIDGE TRL</t>
  </si>
  <si>
    <t>2C @ SOMERSETT LT 238</t>
  </si>
  <si>
    <t>1760 BOULDER RIDGE TRL</t>
  </si>
  <si>
    <t>2C @ SOMERSETT LT 239</t>
  </si>
  <si>
    <t>1795 SHARPE HILL CIR</t>
  </si>
  <si>
    <t>2C @ SOMERSETT LT 240 RS 4715 LT 240B</t>
  </si>
  <si>
    <t>8525 TIMARU TRL</t>
  </si>
  <si>
    <t>M E REIF LLC</t>
  </si>
  <si>
    <t>13400 N COLTRANE RD</t>
  </si>
  <si>
    <t>EDMOND</t>
  </si>
  <si>
    <t xml:space="preserve">REIF, MICHAEL E </t>
  </si>
  <si>
    <t>2E @ SOMERSETT AMD LT 4</t>
  </si>
  <si>
    <t>1740 LAUREL RIDGE CT</t>
  </si>
  <si>
    <t xml:space="preserve">MULLOY, MOLLY L </t>
  </si>
  <si>
    <t>2E @ SOMERSETT AMD LT 36</t>
  </si>
  <si>
    <t>1750 LAUREL RIDGE CT</t>
  </si>
  <si>
    <t xml:space="preserve">GILLILAND, LARRY J &amp; YOLANDA  </t>
  </si>
  <si>
    <t xml:space="preserve">1750 LAUREL RIDGE CT </t>
  </si>
  <si>
    <t xml:space="preserve">JPO INC </t>
  </si>
  <si>
    <t>2E @ SOMERSETT AMD LT 37</t>
  </si>
  <si>
    <t>1760 LAUREL RIDGE CT</t>
  </si>
  <si>
    <t xml:space="preserve">JANOS, RICHARD &amp; ANGEL </t>
  </si>
  <si>
    <t>1760 LAUREL RIDGE DR</t>
  </si>
  <si>
    <t>2E @ SOMERSETT AMD LT 38</t>
  </si>
  <si>
    <t>1780 LAUREL RIDGE DR</t>
  </si>
  <si>
    <t xml:space="preserve">MARTINI , KRISTEN L &amp; TODD A  </t>
  </si>
  <si>
    <t xml:space="preserve">1780 LAUREL RIDGE DR </t>
  </si>
  <si>
    <t>2E @ SOMERSETT AMD LT 40</t>
  </si>
  <si>
    <t>8549 TIMARU TRL</t>
  </si>
  <si>
    <t>BROWN, DAVID A  et al</t>
  </si>
  <si>
    <t>BOVE, SCOTT  et al</t>
  </si>
  <si>
    <t>2E @ SOMERSETT AMD LT 7</t>
  </si>
  <si>
    <t>7761 SHALESTONE WAY</t>
  </si>
  <si>
    <t xml:space="preserve">SEXTON, MARK J &amp; JENNA </t>
  </si>
  <si>
    <t xml:space="preserve">SEXTON, MARK J  </t>
  </si>
  <si>
    <t>SOMERSETT TOWN CENTER RES 3 LT 147</t>
  </si>
  <si>
    <t>7791 SHALESTONE WAY</t>
  </si>
  <si>
    <t xml:space="preserve">RENNER, RONALD &amp; JEAN </t>
  </si>
  <si>
    <t>431 EDGEWOOD DR</t>
  </si>
  <si>
    <t>RIO VISTA</t>
  </si>
  <si>
    <t>SOMERSETT TOWN CENTER RES 3 LT 150</t>
  </si>
  <si>
    <t>1685 PAINTED ROCK TRL</t>
  </si>
  <si>
    <t xml:space="preserve">ARNOLD, WALTER K </t>
  </si>
  <si>
    <t>SOMERSETT TOWN CENTER RES 3 LT 153</t>
  </si>
  <si>
    <t>1635 PAINTED ROCK TRL</t>
  </si>
  <si>
    <t xml:space="preserve">BROWN, CHARRON L </t>
  </si>
  <si>
    <t>163 PAINTED ROCK TR</t>
  </si>
  <si>
    <t>SOMERSETT TOWN CENTER RES 3 LT 157</t>
  </si>
  <si>
    <t>7788 SHALESTONE WAY</t>
  </si>
  <si>
    <t>SOMERSETT TOWN CENTER RES 3 LT 168</t>
  </si>
  <si>
    <t>7738 SHALESTONE WAY</t>
  </si>
  <si>
    <t xml:space="preserve">TOWN CENTER RESIDENTIAL LLC </t>
  </si>
  <si>
    <t>SOMERSETT TOWN CENTER RES 3 LT 175</t>
  </si>
  <si>
    <t>7664 STONE BLUFF WAY</t>
  </si>
  <si>
    <t xml:space="preserve">FROST, CHARLES B &amp; JADEN M  </t>
  </si>
  <si>
    <t xml:space="preserve">7664 STONE BLUFF WAY </t>
  </si>
  <si>
    <t>TAHOE BLUE MANAGEMENT GRP LLC</t>
  </si>
  <si>
    <t>SOMERSETT TOWN CENTER RES 3 LT 131</t>
  </si>
  <si>
    <t>7673 STONE BLUFF WAY</t>
  </si>
  <si>
    <t xml:space="preserve">ESTEE, MARK K  </t>
  </si>
  <si>
    <t>SOMERSETT TOWN CENTER RES 3 LT 178</t>
  </si>
  <si>
    <t>1689 SPICEWOOD CIR</t>
  </si>
  <si>
    <t xml:space="preserve">STEEL, JOHN G &amp; GINA </t>
  </si>
  <si>
    <t>575 SOUTH RENGSTORFF AVE #100</t>
  </si>
  <si>
    <t>SOMERSETT TOWN CENTER RES PH 4 LT 55</t>
  </si>
  <si>
    <t>1652 SPICEWOOD CIR</t>
  </si>
  <si>
    <t xml:space="preserve">FIORILLO, PAUL &amp; RHONDA </t>
  </si>
  <si>
    <t>3673 SPIRIT BLUFF CT</t>
  </si>
  <si>
    <t>RENO (NV) TCR SYNDICATED , HOLDINGS LLC LLC</t>
  </si>
  <si>
    <t>SOMERSETT TOWN CENTER RES PH 4 LT 45</t>
  </si>
  <si>
    <t>1656 SPICEWOOD CIR</t>
  </si>
  <si>
    <t>GOLLMER, CHRISTOPHER A et al</t>
  </si>
  <si>
    <t>PAFFRATH SUSAN E</t>
  </si>
  <si>
    <t>SOMERSETT TOWN CENTER RES PH 4 LT 46</t>
  </si>
  <si>
    <t>1664 SPICEWOOD CIR</t>
  </si>
  <si>
    <t>SOMERSETT TOWN CENTER RES PH 4 LT 48</t>
  </si>
  <si>
    <t>1672 SPICEWOOD CIR</t>
  </si>
  <si>
    <t xml:space="preserve">HATCHETT 2007 LIVING TRUST  </t>
  </si>
  <si>
    <t>364 SANDPIPER DR</t>
  </si>
  <si>
    <t>SOMERSETT TOWN CENTER RES PH 4 LT 50</t>
  </si>
  <si>
    <t>1676 SPICEWOOD CIR</t>
  </si>
  <si>
    <t xml:space="preserve">FRIEDMAN, TERRENCE &amp; MARCY  </t>
  </si>
  <si>
    <t xml:space="preserve">1831 LAUREL RIDGE DR </t>
  </si>
  <si>
    <t>SOMERSETT TOWN CENTER RES PH 4 LT 51</t>
  </si>
  <si>
    <t>1657 SPICEWOOD CIR</t>
  </si>
  <si>
    <t xml:space="preserve">BULGERON, RICHARD &amp; CATHERINE  </t>
  </si>
  <si>
    <t>1657 SPICE WOOD CIR</t>
  </si>
  <si>
    <t>SOMERSETT TOWN CENTER RES PH 4 LT 59</t>
  </si>
  <si>
    <t>1604 SPICEWOOD CIR</t>
  </si>
  <si>
    <t xml:space="preserve">HUH, VERONICA B &amp; YOUNG B </t>
  </si>
  <si>
    <t>1604 SPICE WOOD CIR</t>
  </si>
  <si>
    <t>SOMERSETT TOWN CENTER RES PH 4 LT 27</t>
  </si>
  <si>
    <t>7895 PEAVINE TRAIL CT</t>
  </si>
  <si>
    <t xml:space="preserve">LANDRY, TODD E &amp; EASPEREE </t>
  </si>
  <si>
    <t>ENSIGN, ERIC A et al</t>
  </si>
  <si>
    <t>CANYON PINES 2 LT 196</t>
  </si>
  <si>
    <t>7770 GREAT BASIN RD</t>
  </si>
  <si>
    <t xml:space="preserve">MOORES, PETER R &amp; MARY E </t>
  </si>
  <si>
    <t xml:space="preserve">VIRREY, ALVARO R &amp; MARTHA C </t>
  </si>
  <si>
    <t>CANYON PINES 2 LT 192</t>
  </si>
  <si>
    <t>7750 GREAT BASIN RD</t>
  </si>
  <si>
    <t xml:space="preserve">POTTER, JOHN &amp; ADRIENNE </t>
  </si>
  <si>
    <t xml:space="preserve">7750 GREAT BASIN RD </t>
  </si>
  <si>
    <t>CANYON PINES 2 LT 190</t>
  </si>
  <si>
    <t>2465 PEAVINE CREEK RD</t>
  </si>
  <si>
    <t xml:space="preserve">DERMID, GEROLD B JR </t>
  </si>
  <si>
    <t xml:space="preserve">DEMPSEY, MICHAEL J </t>
  </si>
  <si>
    <t>CANYON PINES 2 LT 182</t>
  </si>
  <si>
    <t>7705 PEAVINE SHADOW CT</t>
  </si>
  <si>
    <t xml:space="preserve">PUGH, ADAM M &amp; DOLORES L  </t>
  </si>
  <si>
    <t xml:space="preserve">DECKER, MICHELLE &amp; MICHAEL </t>
  </si>
  <si>
    <t>CANYON PINES 2 LT 181</t>
  </si>
  <si>
    <t>7715 PEAVINE SHADOW CT</t>
  </si>
  <si>
    <t>MCDONALD, WILLIAM A et al</t>
  </si>
  <si>
    <t>HOLLIDAY, ALECIA L et al</t>
  </si>
  <si>
    <t>CANYON PINES 2 LT 180</t>
  </si>
  <si>
    <t>7735 PEAVINE SHADOW CT</t>
  </si>
  <si>
    <t>LEFT COAST VENTURES LLC, PEAVINE SERIES</t>
  </si>
  <si>
    <t>CANYON PINES 2 LT 178</t>
  </si>
  <si>
    <t>2450 PEAVINE CREEK RD</t>
  </si>
  <si>
    <t xml:space="preserve">ESNER 2011 FAMILY TRUST, ROBERT C &amp; MARY A   </t>
  </si>
  <si>
    <t xml:space="preserve">2450 PEAVINE CREEK DR                 </t>
  </si>
  <si>
    <t xml:space="preserve">ESNER, MARY A &amp; ROBERT C </t>
  </si>
  <si>
    <t>CANYON PINES 2 LT 166</t>
  </si>
  <si>
    <t>2425 PEAVINE VALLEY RD</t>
  </si>
  <si>
    <t xml:space="preserve">VASENDEN, JON &amp; VICTORIA </t>
  </si>
  <si>
    <t>CANYON PINES 2 LT 116</t>
  </si>
  <si>
    <t>2500 PEAVINE CREEK RD</t>
  </si>
  <si>
    <t xml:space="preserve">WILSON, JOSHUA R </t>
  </si>
  <si>
    <t>2500 PEAVINE PEAK RD</t>
  </si>
  <si>
    <t xml:space="preserve">JELEN, MARK </t>
  </si>
  <si>
    <t>CANYON PINES 2 LT 162</t>
  </si>
  <si>
    <t>2580 PEAVINE CREEK RD</t>
  </si>
  <si>
    <t xml:space="preserve">LACHANCE, ROBERT A &amp; CYNTHIA  </t>
  </si>
  <si>
    <t>CANYON PINES 2 LT 154</t>
  </si>
  <si>
    <t>2590 PEAVINE CREEK RD</t>
  </si>
  <si>
    <t>RAILTON, VICTORIA L et al</t>
  </si>
  <si>
    <t>CANYON PINES 2 LT 153</t>
  </si>
  <si>
    <t>7705 BASIN RIVER CT</t>
  </si>
  <si>
    <t xml:space="preserve">DIETRICH, KURT </t>
  </si>
  <si>
    <t xml:space="preserve">7705 BASIN RIVER CT </t>
  </si>
  <si>
    <t>CANYON PINES 2 LT 152</t>
  </si>
  <si>
    <t>7740 BASIN RIVER CT</t>
  </si>
  <si>
    <t xml:space="preserve">VAN HOOK, LAWRENCE &amp; LAURA </t>
  </si>
  <si>
    <t>PO BOX 1301</t>
  </si>
  <si>
    <t>KINGS BEACH</t>
  </si>
  <si>
    <t>CANYON PINES 2 LT 146</t>
  </si>
  <si>
    <t>7730 BASIN RIVER CT</t>
  </si>
  <si>
    <t xml:space="preserve">STOLTZ, ADAM &amp; SARAH </t>
  </si>
  <si>
    <t>CANYON PINES 2 LT 145</t>
  </si>
  <si>
    <t>CANYON PINES 2 LT 144</t>
  </si>
  <si>
    <t>7710 BASIN RIVER CT</t>
  </si>
  <si>
    <t xml:space="preserve">STRAIF REV LIVING TRUST, HERMANN &amp; ELFRIEDA   </t>
  </si>
  <si>
    <t xml:space="preserve">7710 BASIN RIVER CT </t>
  </si>
  <si>
    <t>CANYON PINES 2 LT 143</t>
  </si>
  <si>
    <t>2505 PEAVINE VALLEY RD</t>
  </si>
  <si>
    <t xml:space="preserve">WARNER, LEIGH &amp; RICKY  </t>
  </si>
  <si>
    <t xml:space="preserve">2505 PEAVINE VALLEY RD </t>
  </si>
  <si>
    <t>CANYON PINES 2 LT 124</t>
  </si>
  <si>
    <t>2495 PEAVINE VALLEY RD</t>
  </si>
  <si>
    <t xml:space="preserve">FOX , ELIZABETH A </t>
  </si>
  <si>
    <t xml:space="preserve">307 NORRIS CANYON TERR </t>
  </si>
  <si>
    <t>CANYON PINES 2 LT 123</t>
  </si>
  <si>
    <t>2485 PEAVINE VALLEY RD</t>
  </si>
  <si>
    <t xml:space="preserve">BAILEY, SCOTT L &amp; NANETTE </t>
  </si>
  <si>
    <t>CANYON PINES 2 LT 122</t>
  </si>
  <si>
    <t>7890 PLUM TREE CT</t>
  </si>
  <si>
    <t>BOURGET, ANDRE et al</t>
  </si>
  <si>
    <t xml:space="preserve">7890 PLUM TREE CT </t>
  </si>
  <si>
    <t>CANYON PINES 3 LT 301</t>
  </si>
  <si>
    <t>7850 PLUM TREE CT</t>
  </si>
  <si>
    <t xml:space="preserve">BAUMGARDNER, ZACHARY &amp; REBECCA W </t>
  </si>
  <si>
    <t>BAUMGARDNER, ZACHARY &amp; REBECCA W et al</t>
  </si>
  <si>
    <t>CANYON PINES 3 LT 299</t>
  </si>
  <si>
    <t>7855 PLUM TREE CT</t>
  </si>
  <si>
    <t>RIVERA, JASON S et al</t>
  </si>
  <si>
    <t>JEANNE M WONTKOWSKI</t>
  </si>
  <si>
    <t>CANYON PINES 3 LT 298</t>
  </si>
  <si>
    <t>7895 PLUM TREE CT</t>
  </si>
  <si>
    <t xml:space="preserve">HOLDEN, HOWARD F &amp; SUSAN G  </t>
  </si>
  <si>
    <t xml:space="preserve">7895 PLUM TREE CT </t>
  </si>
  <si>
    <t>CANYON PINES 3 LT 296</t>
  </si>
  <si>
    <t>2575 PEAVINE VALLEY RD</t>
  </si>
  <si>
    <t xml:space="preserve">MAGNUS, THOMAS G &amp; MARY A </t>
  </si>
  <si>
    <t>CANYON PINES 3 LT 214</t>
  </si>
  <si>
    <t>2565 PEAVINE VALLEY RD</t>
  </si>
  <si>
    <t xml:space="preserve">SERRATT, JAMES D &amp; TERESA D </t>
  </si>
  <si>
    <t>CANYON PINES 3 LT 213</t>
  </si>
  <si>
    <t>RS #457245</t>
  </si>
  <si>
    <t xml:space="preserve">SOMERSETT LLC </t>
  </si>
  <si>
    <t>RS 1061 LT 26</t>
  </si>
  <si>
    <t>4A @ SOMERSETT LT C</t>
  </si>
  <si>
    <t>PM 5025</t>
  </si>
  <si>
    <t>234-011-45</t>
  </si>
  <si>
    <t>PM 5025 PAR A2</t>
  </si>
  <si>
    <t>1575 CRICKETWOOD CIR</t>
  </si>
  <si>
    <t>SIERRA CANYON @ SOMERSETT VG 2</t>
  </si>
  <si>
    <t xml:space="preserve">KEEVER, RONALD W </t>
  </si>
  <si>
    <t>1623 MOUNTAIN LN</t>
  </si>
  <si>
    <t>234-021-23</t>
  </si>
  <si>
    <t>SIERRA CANYON @ SOMERSETT VG 2 LT 68</t>
  </si>
  <si>
    <t>1710 TRAILCREEK WAY</t>
  </si>
  <si>
    <t xml:space="preserve">BURRIS, FREDRICK A &amp; TRACY L </t>
  </si>
  <si>
    <t>460 EASTLICK ST</t>
  </si>
  <si>
    <t>SIERRA CANYON @ SOMERSETT VG 3 LT 86</t>
  </si>
  <si>
    <t>1760 TRAILCREEK WAY</t>
  </si>
  <si>
    <t xml:space="preserve">CARLSON, HARRY K &amp; KATHERINE E </t>
  </si>
  <si>
    <t>SIERRA CANYON @ SOMERSETT VG 3 LT 81</t>
  </si>
  <si>
    <t>1899 EVERGREEN RIDGE WAY</t>
  </si>
  <si>
    <t xml:space="preserve">JOHNSON, WALT K &amp; JAYNE </t>
  </si>
  <si>
    <t>SIERRA CANYON @ SOMERSETT VG 3 LT 23</t>
  </si>
  <si>
    <t>1615 AUTUMN VALLEY CT</t>
  </si>
  <si>
    <t xml:space="preserve">SCIASCIA, FRANK &amp; MAY L </t>
  </si>
  <si>
    <t>10717 PARADISE POINT DR</t>
  </si>
  <si>
    <t xml:space="preserve">SUZUKI LIVING TRUST  </t>
  </si>
  <si>
    <t>SIERRA CANYON @ SOMERSETT VG 1 LT 18</t>
  </si>
  <si>
    <t>9285 PALMETTO CT</t>
  </si>
  <si>
    <t xml:space="preserve">SEASON FAMILY TRUST, HARRY T  </t>
  </si>
  <si>
    <t xml:space="preserve">SEASON, HARRY T </t>
  </si>
  <si>
    <t>SIERRA CANYON @ SOMERSETT VG 1 LT 41</t>
  </si>
  <si>
    <t>8935 CHIPSHOT TRL</t>
  </si>
  <si>
    <t xml:space="preserve">CASSINELLI, KERI  </t>
  </si>
  <si>
    <t xml:space="preserve">MATTHEWS, RYAN G &amp; STEPHANIE L </t>
  </si>
  <si>
    <t>234-121-05</t>
  </si>
  <si>
    <t>4F @ SOMERSETT FR LT 416</t>
  </si>
  <si>
    <t>8968 BEACON RIDGE TRL</t>
  </si>
  <si>
    <t xml:space="preserve">DAHLGREN, CHARLES &amp; SUSAN K </t>
  </si>
  <si>
    <t>425 ANDYS WAY</t>
  </si>
  <si>
    <t>89801-0901</t>
  </si>
  <si>
    <t xml:space="preserve">FRONTANI, DAVID A &amp; HOLLY J </t>
  </si>
  <si>
    <t>4F @ SOMERSETT LT 406</t>
  </si>
  <si>
    <t xml:space="preserve">BLUTH REVOCABLE TRUST  </t>
  </si>
  <si>
    <t>1730 HWY 50</t>
  </si>
  <si>
    <t>2230 MAPLE LEAF TRL</t>
  </si>
  <si>
    <t xml:space="preserve">PIERCE, ROBERT L &amp; PATRICIA E </t>
  </si>
  <si>
    <t xml:space="preserve">2230 MAPLE LEAF TRL </t>
  </si>
  <si>
    <t xml:space="preserve">CHASTAIN, KERRI L </t>
  </si>
  <si>
    <t>4A @ SOMERSETT LT 8</t>
  </si>
  <si>
    <t>2320 MAPLE LEAF TRL</t>
  </si>
  <si>
    <t>ATTAWAY, MICHELE et al</t>
  </si>
  <si>
    <t>4B-4E @ SOMERSETT LT 405</t>
  </si>
  <si>
    <t>2340 MAPLE LEAF TRL</t>
  </si>
  <si>
    <t xml:space="preserve">SHANDON PARK INVESTMENTS LLC </t>
  </si>
  <si>
    <t>4B-4E @ SOMERSETT LT 403</t>
  </si>
  <si>
    <t>2360 MAPLE LEAF TRL</t>
  </si>
  <si>
    <t xml:space="preserve">NEWELL, SANDRA &amp; JASON  </t>
  </si>
  <si>
    <t>4B-4E @ SOMERSETT LT 401</t>
  </si>
  <si>
    <t xml:space="preserve"> MAPLE LEAF TRL</t>
  </si>
  <si>
    <t>4A @ SOMERSETT LT 23</t>
  </si>
  <si>
    <t>4A @ SOMERSETT LT 24</t>
  </si>
  <si>
    <t>4A @ SOMERSETT LT 25</t>
  </si>
  <si>
    <t>4A @ SOMERSETT LT 17</t>
  </si>
  <si>
    <t xml:space="preserve">WULFORST, CHERI &amp; SCOTT </t>
  </si>
  <si>
    <t>4A @ SOMERSETT LT 18</t>
  </si>
  <si>
    <t>234-171-06</t>
  </si>
  <si>
    <t>4A @ SOMERSETT LT 20</t>
  </si>
  <si>
    <t xml:space="preserve">ROLAND, TIFFANY &amp; JASON  </t>
  </si>
  <si>
    <t>4A @ SOMERSETT LT 21</t>
  </si>
  <si>
    <t>2340 HICKORY HILL WAY</t>
  </si>
  <si>
    <t xml:space="preserve">TYLER, ARDATH G &amp; GEORGE R </t>
  </si>
  <si>
    <t xml:space="preserve">CONDEFF, WALTER A &amp; KATHLEEN M </t>
  </si>
  <si>
    <t>4A @ SOMERSETT LT 31</t>
  </si>
  <si>
    <t>2335 ROANOKE TRL</t>
  </si>
  <si>
    <t xml:space="preserve">SARA MARC LLC </t>
  </si>
  <si>
    <t>21 SLEEPY HOLLOW LN</t>
  </si>
  <si>
    <t>LADERA RANCH</t>
  </si>
  <si>
    <t xml:space="preserve">FAHAMI TRUST, TERRY  </t>
  </si>
  <si>
    <t>4A @ SOMERSETT LT 53</t>
  </si>
  <si>
    <t>2340 ROANOKE TRL</t>
  </si>
  <si>
    <t xml:space="preserve">SLATTERY , J MICHAEL &amp; SHARON E  </t>
  </si>
  <si>
    <t>CLARY, JOHN R et al</t>
  </si>
  <si>
    <t>4A @ SOMERSETT LT 42</t>
  </si>
  <si>
    <t>2290 EAGLE BEND CT</t>
  </si>
  <si>
    <t xml:space="preserve">ZUNDEL REVOCABLE TRUST, DAVID &amp; SHARYN   </t>
  </si>
  <si>
    <t xml:space="preserve">SCARDIGLI TRUST, RICHARD L  </t>
  </si>
  <si>
    <t>4B-4E @ SOMERSETT LT 412</t>
  </si>
  <si>
    <t>2335 EAGLE BEND TRL</t>
  </si>
  <si>
    <t xml:space="preserve">BOYD FAMILY TRUST  </t>
  </si>
  <si>
    <t>4B-4E @ SOMERSETT LT 475</t>
  </si>
  <si>
    <t>8650 BIRKDALE CT</t>
  </si>
  <si>
    <t xml:space="preserve">KERWIN, JOHN P &amp; KATHLEEN R </t>
  </si>
  <si>
    <t>1540 WHISPER ROCK WAY</t>
  </si>
  <si>
    <t>4B-4E @ SOMERSETT LT 452</t>
  </si>
  <si>
    <t>9178 MOUNT PLEASANT DR</t>
  </si>
  <si>
    <t xml:space="preserve">VANDERGRIFF CAUGHRON FAMILY , TRUST  </t>
  </si>
  <si>
    <t>C/O WAYNE L VANDERGRIFF TTEE</t>
  </si>
  <si>
    <t>11200 DONNER PASS RD # 134</t>
  </si>
  <si>
    <t>SIERRA CANYON @ SOMERSETT VLG 4 LT 24</t>
  </si>
  <si>
    <t>9136 MOUNT PLEASANT DR</t>
  </si>
  <si>
    <t xml:space="preserve">MARKOVICH, EDWARD J &amp; MARILYN E  </t>
  </si>
  <si>
    <t xml:space="preserve">TRIMBLE, RICHARD J &amp; KATHRYN A </t>
  </si>
  <si>
    <t>SIERRA CANYON @ SOMERSETT VLG 4 LT 31</t>
  </si>
  <si>
    <t>9101 MOUNT PLEASANT DR</t>
  </si>
  <si>
    <t xml:space="preserve">PEEK , GARY M &amp; JANETTE L  </t>
  </si>
  <si>
    <t xml:space="preserve">9101 MOUNT PLEASANT DR </t>
  </si>
  <si>
    <t>SIERRA CANYON @ SOMERSETT VLG 4 LT 38</t>
  </si>
  <si>
    <t>9149 QUILBERRY WAY</t>
  </si>
  <si>
    <t xml:space="preserve">SARAZEN LIVING TRUST, JOHN &amp; DONNA  </t>
  </si>
  <si>
    <t xml:space="preserve">SARAZEN, JOHN J IV &amp; DONNA M </t>
  </si>
  <si>
    <t>SIERRA CANYON @ SOMERSETT VL 5 LT 113</t>
  </si>
  <si>
    <t>9092 CABIN CREEK TRL</t>
  </si>
  <si>
    <t xml:space="preserve">MONACH, WARREN E &amp; JUDITH A </t>
  </si>
  <si>
    <t>PO BOX 42</t>
  </si>
  <si>
    <t xml:space="preserve">NEWBERRY, KENNETH W &amp; MALINDA </t>
  </si>
  <si>
    <t>SIERRA CANYON @ SOMERSETT VL 5 LT 147</t>
  </si>
  <si>
    <t>9079 CABIN CREEK TRL</t>
  </si>
  <si>
    <t xml:space="preserve">HYER, DUANE &amp; MARGARET </t>
  </si>
  <si>
    <t>ROGERS, RAYMOND B et al</t>
  </si>
  <si>
    <t>SIERRA CANYON @ SOMERSETT VL 5 LT 38</t>
  </si>
  <si>
    <t>9091 CABIN CREEK TRL</t>
  </si>
  <si>
    <t xml:space="preserve">PARSONS, DERRY &amp; NORMA  </t>
  </si>
  <si>
    <t xml:space="preserve">CORWIN FAMILY TRUST  </t>
  </si>
  <si>
    <t>SIERRA CANYON @ SOMERSETT VL 5 LT 41</t>
  </si>
  <si>
    <t>1530 ORCHARD PARK TRL</t>
  </si>
  <si>
    <t xml:space="preserve">MCNEILL, I C JR  </t>
  </si>
  <si>
    <t>SIERRA CANYON @ SOMERSETT VL 5 LT 12</t>
  </si>
  <si>
    <t>9020 CABIN CREEK TRL</t>
  </si>
  <si>
    <t xml:space="preserve">BOYES, CALVIN R &amp; EILEEN C </t>
  </si>
  <si>
    <t>6180 N DEER MEADOWS CT</t>
  </si>
  <si>
    <t xml:space="preserve">DIETEL FAMILY TRUST  </t>
  </si>
  <si>
    <t>SIERRA CANYON @ SOMERSETT VL 5 LT 129</t>
  </si>
  <si>
    <t>9012 CABIN CREEK TRL</t>
  </si>
  <si>
    <t xml:space="preserve">COBURN, BRUCE M &amp; JULIE A </t>
  </si>
  <si>
    <t xml:space="preserve">WELLS, JAMES M &amp; CHERYL B </t>
  </si>
  <si>
    <t>SIERRA CANYON @ SOMERSETT VL 5 LT 127</t>
  </si>
  <si>
    <t>9105 QUILBERRY WAY</t>
  </si>
  <si>
    <t xml:space="preserve">YATES REVOCABLE LIVING TRUST, LINDA S  </t>
  </si>
  <si>
    <t>P O BOX 939</t>
  </si>
  <si>
    <t xml:space="preserve">NEPOMUCENO, ILUSTRE N &amp; CLARITA B </t>
  </si>
  <si>
    <t>SIERRA CANYON @ SOMERSETT VL 5 LT 124</t>
  </si>
  <si>
    <t>1415 MERIDIAN RANCH DR</t>
  </si>
  <si>
    <t xml:space="preserve">DEAL, ROCKLUN A &amp; GAIL  A </t>
  </si>
  <si>
    <t xml:space="preserve">1415 MERIDIAN RANCH DR </t>
  </si>
  <si>
    <t xml:space="preserve">CLARK, ELIZABETH M </t>
  </si>
  <si>
    <t>SIERRA CANYON @ SOMERSETT VL 5 LT 64</t>
  </si>
  <si>
    <t>1470 MERIDIAN RANCH DR</t>
  </si>
  <si>
    <t xml:space="preserve">OGLESBY FAMILY TRUST, FRANK L SR &amp; SHERLA A  </t>
  </si>
  <si>
    <t xml:space="preserve">OGLESBY, FRANK L SR &amp; SHERLA A </t>
  </si>
  <si>
    <t>SIERRA CANYON @ SOMERSETT VL 5 LT 98</t>
  </si>
  <si>
    <t>1395 TARLETON WAY</t>
  </si>
  <si>
    <t xml:space="preserve">HACKER, DENNIS &amp; MARILYN </t>
  </si>
  <si>
    <t xml:space="preserve">NUCORP INC </t>
  </si>
  <si>
    <t>SIERRA CANYON @ SOMERSETT VG 6 LT 1</t>
  </si>
  <si>
    <t>1335 TARLETON WAY</t>
  </si>
  <si>
    <t xml:space="preserve">JONES, ROBERT &amp; IRENE </t>
  </si>
  <si>
    <t xml:space="preserve">BELLESORTE, JOSEPH F &amp; MARILYN  </t>
  </si>
  <si>
    <t>SIERRA CANYON @ SOMERSETT VG 6 LT 7</t>
  </si>
  <si>
    <t>1295 TARLETON WAY</t>
  </si>
  <si>
    <t xml:space="preserve">SORKEN, BARBARA A </t>
  </si>
  <si>
    <t xml:space="preserve">PATZ LIVING TRUST, PENELOPE  </t>
  </si>
  <si>
    <t>SIERRA CANYON @ SOMERSETT VG 6 LT 11</t>
  </si>
  <si>
    <t>1210 CLIFF PARK WAY</t>
  </si>
  <si>
    <t xml:space="preserve">REDMOND, WILLIAM J &amp; CAROLYN S </t>
  </si>
  <si>
    <t>SIERRA CANYON @ SOMERSETT VG 6 LT 18</t>
  </si>
  <si>
    <t>1310 CLIFF PARK CT</t>
  </si>
  <si>
    <t xml:space="preserve">JOHNSON, SCOTTY J &amp; LOIS J  </t>
  </si>
  <si>
    <t xml:space="preserve">1310 CLIFF PARK CT </t>
  </si>
  <si>
    <t xml:space="preserve">ALTMAN, KATHLEEN A  </t>
  </si>
  <si>
    <t>SIERRA CANYON @ SOMERSETT VG 6 LT 28</t>
  </si>
  <si>
    <t>1320 MERIDIAN RANCH DR</t>
  </si>
  <si>
    <t xml:space="preserve">WITKOWSKI, LOIS S </t>
  </si>
  <si>
    <t>1320 MERIDIAN RANCH RD</t>
  </si>
  <si>
    <t>SIERRA CANYON @ SOMERSETT VG 6 LT 62</t>
  </si>
  <si>
    <t>1370 MERIDIAN RANCH DR</t>
  </si>
  <si>
    <t xml:space="preserve">SORKEN, BARBARA  </t>
  </si>
  <si>
    <t>SIERRA CANYON @ SOMERSETT VG 6 LT 67</t>
  </si>
  <si>
    <t>1345 MERIDIAN RANCH DR</t>
  </si>
  <si>
    <t>1345 MERIDAN RANCH DR</t>
  </si>
  <si>
    <t xml:space="preserve">BURN, ROBERT A </t>
  </si>
  <si>
    <t>SIERRA CANYON @ SOMERSETT VG 6 LT 73</t>
  </si>
  <si>
    <t xml:space="preserve">FADROWSKY, A JOSEPH  &amp; JUDITH L </t>
  </si>
  <si>
    <t>1360 LAUKAHI ST</t>
  </si>
  <si>
    <t xml:space="preserve">WOODWARD LIVING TRUST  </t>
  </si>
  <si>
    <t>SIERRA CANYON @ SOMERSETT VG 6 LT 50</t>
  </si>
  <si>
    <t>1294 MERIDIAN RANCH DR</t>
  </si>
  <si>
    <t xml:space="preserve">MITCHELL REV LIVING TRUST, DAVID W &amp; CAROL L   </t>
  </si>
  <si>
    <t xml:space="preserve">MITCHELL, DAVID W &amp; CAROL L  </t>
  </si>
  <si>
    <t>SIERRA CANYON @ SOMERSETT VG 6 LT 59</t>
  </si>
  <si>
    <t>1195 CLIFF PARK WAY</t>
  </si>
  <si>
    <t xml:space="preserve">SUDBERRY, CHARLES E &amp; NORMA K </t>
  </si>
  <si>
    <t xml:space="preserve">ORTIZ, DANIEL P &amp; PATRICIA A </t>
  </si>
  <si>
    <t>SIERRA CANYON @ SOMERSETT VG 6 LT 91</t>
  </si>
  <si>
    <t>1360 LAUKAHI STREET</t>
  </si>
  <si>
    <t xml:space="preserve">KAUTZ, PETER E &amp; NANCY P  </t>
  </si>
  <si>
    <t>1185 MERIDIAN RANCH DR</t>
  </si>
  <si>
    <t xml:space="preserve">MCDONALD, ROBERT G &amp; JUDITH C </t>
  </si>
  <si>
    <t xml:space="preserve">10580 N MCCARRAN BLVD STE 115           </t>
  </si>
  <si>
    <t xml:space="preserve">BRIGHT, JAMES H  </t>
  </si>
  <si>
    <t>SIERRA CANYON @ SOMERSETT VG 7 LT 3</t>
  </si>
  <si>
    <t>1005 MERIDIAN RANCH DR</t>
  </si>
  <si>
    <t xml:space="preserve">HASEMANN AB LIVING TRUST, HERBERT G &amp; MARGRET  </t>
  </si>
  <si>
    <t xml:space="preserve">SCHMID, JACK H &amp; ANITA K </t>
  </si>
  <si>
    <t>SIERRA CANYON @ SOMERSETT VG 7 LT 19</t>
  </si>
  <si>
    <t>8880 SCOTT VALLEY CT</t>
  </si>
  <si>
    <t>HAGER, STEPHANIE C et al</t>
  </si>
  <si>
    <t>WINTERCREEK 1 LT 14</t>
  </si>
  <si>
    <t xml:space="preserve">MADDEN, RICHARD A &amp; SARAH A  </t>
  </si>
  <si>
    <t>SIERRA CANYON @ SOMERSETT VG 8 LT 47</t>
  </si>
  <si>
    <t>1305 WALKING STICK WAY</t>
  </si>
  <si>
    <t xml:space="preserve">BOWMAN TRUST, BARRY J  </t>
  </si>
  <si>
    <t xml:space="preserve">BOWMAN, BARRY J </t>
  </si>
  <si>
    <t>SIERRA CANYON @ SOMERSETT VG 8 LT 45</t>
  </si>
  <si>
    <t>1155 DEL WEBB PKWY WEST</t>
  </si>
  <si>
    <t xml:space="preserve">KORTE REV LIVING TRUST, CYRIL A &amp; BARBARA A   </t>
  </si>
  <si>
    <t>SIERRA CANYON @ SOMERSETT VG 9 LT 96</t>
  </si>
  <si>
    <t>1125 DEL WEBB PKWY WEST</t>
  </si>
  <si>
    <t>RS 5168</t>
  </si>
  <si>
    <t xml:space="preserve">RUIZ, ROBIN R &amp; DONNA J </t>
  </si>
  <si>
    <t>99 WYOMING ST</t>
  </si>
  <si>
    <t>234-471-04</t>
  </si>
  <si>
    <t>RS 5168 LT 93A REFER TO DOC 3775633 FOR COMPLETE L</t>
  </si>
  <si>
    <t>1065 DEL WEBB PKWY WEST</t>
  </si>
  <si>
    <t xml:space="preserve">HELPHAND, LAWRENCE &amp; VERGINIA </t>
  </si>
  <si>
    <t>1065 DEL WEBB PARKWAY W</t>
  </si>
  <si>
    <t>234-471-10</t>
  </si>
  <si>
    <t>RS 5168 LT 87A REFER TO DOC 3775632 FOR COMPLETE L</t>
  </si>
  <si>
    <t>1080 DEL WEBB PKWY WEST</t>
  </si>
  <si>
    <t xml:space="preserve">ROGINA, JULIUS M </t>
  </si>
  <si>
    <t>SIERRA CANYON @ SOMERSETT VG 9 LT 86</t>
  </si>
  <si>
    <t>1100 DEL WEBB PKWY WEST</t>
  </si>
  <si>
    <t xml:space="preserve">KURTZ, MARK S </t>
  </si>
  <si>
    <t>1100 DEL WEBB PKWY W</t>
  </si>
  <si>
    <t>SIERRA CANYON @ SOMERSETT VG 9 LT 85</t>
  </si>
  <si>
    <t>1120 DEL WEBB PKWY WEST</t>
  </si>
  <si>
    <t xml:space="preserve">STAREWICH, ALFRED F &amp; JUDY </t>
  </si>
  <si>
    <t>SIERRA CANYON @ SOMERSETT VG 9 LT 84</t>
  </si>
  <si>
    <t>1140 DEL WEBB PKWY WEST</t>
  </si>
  <si>
    <t xml:space="preserve">LANNING, STEPHANIE A  </t>
  </si>
  <si>
    <t>1140 DEL WEBB PKWY W</t>
  </si>
  <si>
    <t>SIERRA CANYON @ SOMERSETT VG 9 LT 82</t>
  </si>
  <si>
    <t>1170 DEL WEBB PKWY WEST</t>
  </si>
  <si>
    <t xml:space="preserve">SMITH , ALAN R &amp; JOANNE M  </t>
  </si>
  <si>
    <t>1170 DEL WEBB PKWY W</t>
  </si>
  <si>
    <t>SIERRA CANYON @ SOMERSETT VG 9 LT 79</t>
  </si>
  <si>
    <t>1180 DEL WEBB PKWY WEST</t>
  </si>
  <si>
    <t xml:space="preserve">EIBEN, ANDREW B &amp; CAROL A </t>
  </si>
  <si>
    <t>1180 DEL WEBB PRKWY</t>
  </si>
  <si>
    <t>SIERRA CANYON @ SOMERSETT VG 9 LT 78</t>
  </si>
  <si>
    <t>9390 COPPER MOUNTAIN CIR</t>
  </si>
  <si>
    <t xml:space="preserve">MORAN FAMILY TRUST  </t>
  </si>
  <si>
    <t>915 KATELLA ST</t>
  </si>
  <si>
    <t>SIERRA CANYON @ SOMERSETT VG 9 LT 77</t>
  </si>
  <si>
    <t>9380 COPPER MOUNTAIN CIR</t>
  </si>
  <si>
    <t xml:space="preserve">HAISCH, DONALD G &amp; JANET L  </t>
  </si>
  <si>
    <t xml:space="preserve">9380 COPPER MOUNTAIN CIR </t>
  </si>
  <si>
    <t>SIERRA CANYON @ SOMERSETT VG 9 LT 76</t>
  </si>
  <si>
    <t>9272 STAR PASS LOOP</t>
  </si>
  <si>
    <t xml:space="preserve">CROXON, NORMAN N JR &amp; JUDY A </t>
  </si>
  <si>
    <t>SIERRA CANYON @ SOMERSETT VG 9 LT 71</t>
  </si>
  <si>
    <t>9256 STAR PASS LOOP</t>
  </si>
  <si>
    <t xml:space="preserve">HATCH, EDWARD M &amp; EVELYN F </t>
  </si>
  <si>
    <t>SIERRA CANYON @ SOMERSETT VG 9 LT 69</t>
  </si>
  <si>
    <t>9248 STAR PASS LOOP</t>
  </si>
  <si>
    <t xml:space="preserve">GILBERT, BONNIE L &amp; MICHAEL J </t>
  </si>
  <si>
    <t>SIERRA CANYON @ SOMERSETT VG 9 LT 68</t>
  </si>
  <si>
    <t>9240 STAR PASS LOOP</t>
  </si>
  <si>
    <t xml:space="preserve">MAURER, PAUL D &amp; KAREN H </t>
  </si>
  <si>
    <t>SIERRA CANYON @ SOMERSETT VG 9 LT 67</t>
  </si>
  <si>
    <t>9225 STAR PASS LOOP</t>
  </si>
  <si>
    <t xml:space="preserve">RICHTER FAMILY TRUST  </t>
  </si>
  <si>
    <t>MARK H &amp; MARSHA D RICHTER TRUSTEE</t>
  </si>
  <si>
    <t xml:space="preserve">9225 STAR PASS LOOP                     </t>
  </si>
  <si>
    <t>SIERRA CANYON @ SOMERSETT VG 9 LT 61</t>
  </si>
  <si>
    <t>9241 STAR PASS LOOP</t>
  </si>
  <si>
    <t xml:space="preserve">WATTERS, JON C &amp; SUSAN R </t>
  </si>
  <si>
    <t>SIERRA CANYON @ SOMERSETT VG 9 LT 60</t>
  </si>
  <si>
    <t>9257 STAR PASS LOOP</t>
  </si>
  <si>
    <t xml:space="preserve">URBAN TRUST, LAURENCE &amp; MARILYN   </t>
  </si>
  <si>
    <t>SIERRA CANYON @ SOMERSETT VG 9 LT 59</t>
  </si>
  <si>
    <t>9273 STAR PASS LOOP</t>
  </si>
  <si>
    <t xml:space="preserve">LEIKWOLD, JERRY L &amp; KAY E  </t>
  </si>
  <si>
    <t>SIERRA CANYON @ SOMERSETT VG 9 LT 58</t>
  </si>
  <si>
    <t>9245 COPPER MOUNTAIN CIR</t>
  </si>
  <si>
    <t xml:space="preserve">BOWERS, ROBERT D &amp; SYLVIA </t>
  </si>
  <si>
    <t>SIERRA CANYON @ SOMERSETT VG 9 LT 53</t>
  </si>
  <si>
    <t>9335 COPPER MOUNTAIN CIR</t>
  </si>
  <si>
    <t>FERBER, PAUL S  et al</t>
  </si>
  <si>
    <t xml:space="preserve">RAPP DORRIE L </t>
  </si>
  <si>
    <t>9335  COPPER MOUNTAIN CIR</t>
  </si>
  <si>
    <t>SIERRA CANYON @ SOMERSETT VG 9 LT 45</t>
  </si>
  <si>
    <t>9345 COPPER MOUNTAIN CIR</t>
  </si>
  <si>
    <t xml:space="preserve">HOFFMAN, JILDA W &amp; ROBERT T </t>
  </si>
  <si>
    <t>SIERRA CANYON @ SOMERSETT VG 9 LT 44</t>
  </si>
  <si>
    <t>9385 COPPER MOUNTAIN CIR</t>
  </si>
  <si>
    <t xml:space="preserve">MIYAGISHIMA TRUST, YUJI  </t>
  </si>
  <si>
    <t xml:space="preserve">9385 COPPER MOUNTAIN CIR </t>
  </si>
  <si>
    <t>SIERRA CANYON @ SOMERSETT VG 9 LT 40</t>
  </si>
  <si>
    <t>9395 COPPER MOUNTAIN CIR</t>
  </si>
  <si>
    <t xml:space="preserve">BODINE TRUST, MICHAEL A &amp; VENESA M  </t>
  </si>
  <si>
    <t>SIERRA CANYON @ SOMERSETT VG 9 LT 39</t>
  </si>
  <si>
    <t>9397 COPPER MOUNTAIN CIR</t>
  </si>
  <si>
    <t xml:space="preserve">BOB`S WISHES REVOCABLE TRUST  </t>
  </si>
  <si>
    <t>SIERRA CANYON @ SOMERSETT VG 9 LT 38</t>
  </si>
  <si>
    <t>1240 DEL WEBB PKWY WEST</t>
  </si>
  <si>
    <t xml:space="preserve">GRATTEAU FAMILY TRUST  </t>
  </si>
  <si>
    <t>1240 DEL WEBB PKWY W</t>
  </si>
  <si>
    <t>SIERRA CANYON @ SOMERSETT VG 9 LT 34</t>
  </si>
  <si>
    <t>1250 DEL WEBB PKWY WEST</t>
  </si>
  <si>
    <t xml:space="preserve">FEIL FAMILY TRUST  </t>
  </si>
  <si>
    <t xml:space="preserve">1250 DEL WEBB PARKWAY W </t>
  </si>
  <si>
    <t xml:space="preserve">FEIL, GERALD W &amp; SALLY S  </t>
  </si>
  <si>
    <t>SIERRA CANYON @ SOMERSETT VG 9 LT 33</t>
  </si>
  <si>
    <t>1260 DEL WEBB PKWY WEST</t>
  </si>
  <si>
    <t xml:space="preserve">BEGA, STEPHEN L &amp; NANCY L  </t>
  </si>
  <si>
    <t>1260 DEL WEBB PKWY W</t>
  </si>
  <si>
    <t>SIERRA CANYON @ SOMERSETT VG 9 LT 32</t>
  </si>
  <si>
    <t>1270 DEL WEBB PKWY WEST</t>
  </si>
  <si>
    <t xml:space="preserve">PRICE, MURRAY D </t>
  </si>
  <si>
    <t>1270 DEL WEBB PKWY W</t>
  </si>
  <si>
    <t>SIERRA CANYON @ SOMERSETT VG 9 LT 31</t>
  </si>
  <si>
    <t>9390 WRENWOOD CT</t>
  </si>
  <si>
    <t>SIERRA CANYON @ SOMERSETT VG 9 LT 6</t>
  </si>
  <si>
    <t>9380 WRENWOOD CT</t>
  </si>
  <si>
    <t xml:space="preserve">BURKE, MARSHA L  </t>
  </si>
  <si>
    <t xml:space="preserve">9380 WRENWOOD CT </t>
  </si>
  <si>
    <t>SIERRA CANYON @ SOMERSETT VG 9 LT 7</t>
  </si>
  <si>
    <t>9370 WRENWOOD CT</t>
  </si>
  <si>
    <t xml:space="preserve">HEMMING, CARL R &amp; CHRISTINA M </t>
  </si>
  <si>
    <t>4376 DARTMOUTH DR APT C-15</t>
  </si>
  <si>
    <t>SIERRA CANYON @ SOMERSETT VG 9 LT 8</t>
  </si>
  <si>
    <t>9360 WRENWOOD CT</t>
  </si>
  <si>
    <t xml:space="preserve">OTTAVIANO, ALFRED F </t>
  </si>
  <si>
    <t xml:space="preserve">9360 WRENWOOD CT </t>
  </si>
  <si>
    <t>SIERRA CANYON @ SOMERSETT VG 9 LT 9</t>
  </si>
  <si>
    <t>9350 WRENWOOD CT</t>
  </si>
  <si>
    <t xml:space="preserve">GS TRUST  </t>
  </si>
  <si>
    <t>3148 RAINBOW RIDGE DR</t>
  </si>
  <si>
    <t>PRESCOTT</t>
  </si>
  <si>
    <t>SIERRA CANYON @ SOMERSETT VG 9 LT 10</t>
  </si>
  <si>
    <t>9340 WRENWOOD CT</t>
  </si>
  <si>
    <t xml:space="preserve">GAZZOLA, ROBERT L &amp; JEAN C </t>
  </si>
  <si>
    <t>SIERRA CANYON @ SOMERSETT VG 9 LT 11</t>
  </si>
  <si>
    <t>9330 WRENWOOD CT</t>
  </si>
  <si>
    <t xml:space="preserve">BRADT, ROBERT S &amp; MARITA P  </t>
  </si>
  <si>
    <t xml:space="preserve">9330 WRENWOOD CT </t>
  </si>
  <si>
    <t>SIERRA CANYON @ SOMERSETT VG 9 LT 12</t>
  </si>
  <si>
    <t>9301 WRENWOOD CT</t>
  </si>
  <si>
    <t xml:space="preserve">SOO LIVING TRUST, K KWANG &amp; MADELINE L  </t>
  </si>
  <si>
    <t>SIERRA CANYON @ SOMERSETT VG 9 LT 13</t>
  </si>
  <si>
    <t>9305 WRENWOOD CT</t>
  </si>
  <si>
    <t xml:space="preserve">KELLY, JUNE M &amp; WALTER L  </t>
  </si>
  <si>
    <t>1836 W ALLELUIA AVE</t>
  </si>
  <si>
    <t xml:space="preserve">HERMISTON </t>
  </si>
  <si>
    <t>97838</t>
  </si>
  <si>
    <t>SIERRA CANYON @ SOMERSETT VG 9 LT 14</t>
  </si>
  <si>
    <t>9335 WRENWOOD CT</t>
  </si>
  <si>
    <t xml:space="preserve">MASCARENAS-COLGAN REVOCABLE TR  </t>
  </si>
  <si>
    <t>1409 DEEPWELL DR</t>
  </si>
  <si>
    <t>95209-4361</t>
  </si>
  <si>
    <t>SIERRA CANYON @ SOMERSETT VG 9 LT 17</t>
  </si>
  <si>
    <t>9345 WRENWOOD CT</t>
  </si>
  <si>
    <t xml:space="preserve">MAINE, PHILIP A &amp; PATRICIA A </t>
  </si>
  <si>
    <t>SIERRA CANYON @ SOMERSETT VG 9 LT 18</t>
  </si>
  <si>
    <t>9355 WRENWOOD CT</t>
  </si>
  <si>
    <t xml:space="preserve">MCKINNEY 2007 REV LIVING TRUST, JOHN &amp; JANET  </t>
  </si>
  <si>
    <t xml:space="preserve">MCKINNEY , JOHN R II &amp; JANET R </t>
  </si>
  <si>
    <t>SIERRA CANYON @ SOMERSETT VG 9 LT 19</t>
  </si>
  <si>
    <t>2193 TARA RIDGE TRL</t>
  </si>
  <si>
    <t xml:space="preserve">THOMPSON, DONALD E &amp; LAVERNE A </t>
  </si>
  <si>
    <t>SOMERSETT VILLAGE 5B LT 2</t>
  </si>
  <si>
    <t>2225 HEAVENLY VIEW TRL</t>
  </si>
  <si>
    <t>59 DAMONTE RANCH PKWY B198</t>
  </si>
  <si>
    <t>SOMERSETT VILLAGE 5B LT 66</t>
  </si>
  <si>
    <t>2210 HEAVENLY VIEW TRL</t>
  </si>
  <si>
    <t xml:space="preserve">STERN, IRMA </t>
  </si>
  <si>
    <t>SOMERSETT VILLAGE 5B LT 142</t>
  </si>
  <si>
    <t>2240 HEAVENLY VIEW TRL</t>
  </si>
  <si>
    <t xml:space="preserve">MUNSON, PAMELA L </t>
  </si>
  <si>
    <t>SOMERSETT VILLAGE 5B LT 145</t>
  </si>
  <si>
    <t>2300 TARA RIDGE TRL</t>
  </si>
  <si>
    <t xml:space="preserve">PATTERSON, LANNETTE </t>
  </si>
  <si>
    <t xml:space="preserve">NOWAKOWSKI, JAMES R &amp; ALICE  </t>
  </si>
  <si>
    <t>SOMERSETT VILLAGE 5B LT 149</t>
  </si>
  <si>
    <t>2310 TARA RIDGE TRL</t>
  </si>
  <si>
    <t>STEVENS, ANGELA A et al</t>
  </si>
  <si>
    <t>SOMERSETT VILLAGE 5B LT 150</t>
  </si>
  <si>
    <t>2110 HEAVENLY VIEW TRL</t>
  </si>
  <si>
    <t xml:space="preserve">MARTINEZMOLES, BRIAN &amp; KARA </t>
  </si>
  <si>
    <t>SOMERSETT VILLAGE 5B LT 132</t>
  </si>
  <si>
    <t>2120 HEAVENLY VIEW TRL</t>
  </si>
  <si>
    <t xml:space="preserve">BRANDSTATTER, HELMO K &amp; CORINNE </t>
  </si>
  <si>
    <t>SOMERSETT VILLAGE 5B LT 133</t>
  </si>
  <si>
    <t>2130 HEAVENLY VIEW TRL</t>
  </si>
  <si>
    <t xml:space="preserve">CHAPMAN, BRIAN M &amp; SHERYL R </t>
  </si>
  <si>
    <t>550 MONTWOOD CIR</t>
  </si>
  <si>
    <t>SOMERSETT VILLAGE 5B LT 134</t>
  </si>
  <si>
    <t>2155 FALLING STAR LOOP</t>
  </si>
  <si>
    <t xml:space="preserve">RENNIE FAMILY TRUST  </t>
  </si>
  <si>
    <t>SOMERSETT VILLAGE 5B LT 33</t>
  </si>
  <si>
    <t>2153 TARA RIDGE TRL</t>
  </si>
  <si>
    <t xml:space="preserve">DOTTER, MICHELLE P &amp; JOHN T </t>
  </si>
  <si>
    <t xml:space="preserve">EVANS, FRANCOISE L </t>
  </si>
  <si>
    <t>SOMERSETT VILLAGE 5B LT 12</t>
  </si>
  <si>
    <t>8890 GOLFWOOD CT</t>
  </si>
  <si>
    <t xml:space="preserve">DUNLAP, CAL </t>
  </si>
  <si>
    <t>2H @ SOMERSETT LT 17</t>
  </si>
  <si>
    <t>2046 BACK NINE TRL</t>
  </si>
  <si>
    <t>WINTERCREEK UT 3</t>
  </si>
  <si>
    <t xml:space="preserve">MDG INVESTORS LLC </t>
  </si>
  <si>
    <t>234-401-06</t>
  </si>
  <si>
    <t>WINTERCREEK UT 3 LT 136</t>
  </si>
  <si>
    <t>2054 BACK NINE TRL</t>
  </si>
  <si>
    <t>WINTERCREEK UT 3 LT 135</t>
  </si>
  <si>
    <t>2056 BACK NINE TRL</t>
  </si>
  <si>
    <t>WINTERCREEK UT 3 LT 134</t>
  </si>
  <si>
    <t>8870 GOLFWOOD CT</t>
  </si>
  <si>
    <t>WINTERCREEK UT 3 LT 132</t>
  </si>
  <si>
    <t>8860 GOLFWOOD CT</t>
  </si>
  <si>
    <t>WINTERCREEK UT 3 LT 133</t>
  </si>
  <si>
    <t>2000 BACK NINE TRL</t>
  </si>
  <si>
    <t>WINTERCREEK UT 3 LT 142</t>
  </si>
  <si>
    <t>2006 BACK NINE TRL</t>
  </si>
  <si>
    <t>WINTERCREEK UT 3 LT 141</t>
  </si>
  <si>
    <t>2010 BACK NINE TRL</t>
  </si>
  <si>
    <t>WINTERCREEK UT 3 LT 140</t>
  </si>
  <si>
    <t>2020 BACK NINE TRL</t>
  </si>
  <si>
    <t>WINTERCREEK UT 3 LT 139</t>
  </si>
  <si>
    <t>2030 BACK NINE TRL</t>
  </si>
  <si>
    <t>WINTERCREEK UT 3 LT 138</t>
  </si>
  <si>
    <t>2040 BACK NINE TRL</t>
  </si>
  <si>
    <t>WINTERCREEK UT 3 LT 137</t>
  </si>
  <si>
    <t>250 RIVER FRONT DR</t>
  </si>
  <si>
    <t xml:space="preserve">REECY, JASON M &amp; KATHRYN L </t>
  </si>
  <si>
    <t xml:space="preserve">SASS FAMILY TRUST  </t>
  </si>
  <si>
    <t>RIVER PARK 3 LT 305</t>
  </si>
  <si>
    <t>8759 STONEFLY CT</t>
  </si>
  <si>
    <t xml:space="preserve">POYTNER, LARRY D  </t>
  </si>
  <si>
    <t xml:space="preserve">8759 STONEFLY CT </t>
  </si>
  <si>
    <t>MUTERT, MATTHEW R et al</t>
  </si>
  <si>
    <t>RIVER PARK 3 LT 311</t>
  </si>
  <si>
    <t>8712 SPINNER CT</t>
  </si>
  <si>
    <t xml:space="preserve">JUDD, DAVID P </t>
  </si>
  <si>
    <t xml:space="preserve">PETERS, CHARLENE A </t>
  </si>
  <si>
    <t>RIVER PARK 3B LT 336</t>
  </si>
  <si>
    <t>114 RIVER FRONT DR</t>
  </si>
  <si>
    <t xml:space="preserve">BERHITOE, JACOB H </t>
  </si>
  <si>
    <t xml:space="preserve">HACKER, DENNIS V </t>
  </si>
  <si>
    <t>RIVER PARK 4 LT 406</t>
  </si>
  <si>
    <t>134 RIVER FLOW DR</t>
  </si>
  <si>
    <t>RIVER PARK 4 LT 435</t>
  </si>
  <si>
    <t>8565 WHITE FIR ST</t>
  </si>
  <si>
    <t>RS 4395</t>
  </si>
  <si>
    <t>JM RENO ENTERPRISES LLC</t>
  </si>
  <si>
    <t xml:space="preserve">25920 EDEN LANDING RD </t>
  </si>
  <si>
    <t xml:space="preserve">MUNRO FAMILY TRUST, ALICK R &amp; SUSAN J  </t>
  </si>
  <si>
    <t>039-240-48</t>
  </si>
  <si>
    <t>RS 4395 LT 5</t>
  </si>
  <si>
    <t>AAAT</t>
  </si>
  <si>
    <t>4035 LAUREL PARK WAY</t>
  </si>
  <si>
    <t xml:space="preserve">MCPEEK, CHRISTOPHER D &amp; KATIE C </t>
  </si>
  <si>
    <t>WACKER, BRIAN J et al</t>
  </si>
  <si>
    <t>LAUREL PARK 1 LT 3</t>
  </si>
  <si>
    <t>4085 LAUREL PARK WAY</t>
  </si>
  <si>
    <t xml:space="preserve">SINGH, JITENDRA </t>
  </si>
  <si>
    <t xml:space="preserve">4085 LAUREL PARK WAY </t>
  </si>
  <si>
    <t>LAUREL PARK 1 LT 8</t>
  </si>
  <si>
    <t>3412 CYPRESS WAY</t>
  </si>
  <si>
    <t xml:space="preserve">RAMIREZ, CARLOS </t>
  </si>
  <si>
    <t>LAUREL PARK 1 LT 10</t>
  </si>
  <si>
    <t>4086 WEEPING WILLOW CT</t>
  </si>
  <si>
    <t xml:space="preserve">ARAZOSA, FRANCISCO J &amp; MARIA C </t>
  </si>
  <si>
    <t>530 HOLCOMB RANCH LN</t>
  </si>
  <si>
    <t>LAUREL PARK 2 LT 64</t>
  </si>
  <si>
    <t>4046 WEEPING WILLOW CT</t>
  </si>
  <si>
    <t xml:space="preserve">CAVENER, ALLAN </t>
  </si>
  <si>
    <t xml:space="preserve">WEEPING WILLOW TRUST #4046 </t>
  </si>
  <si>
    <t>LAUREL PARK 2 LT 60</t>
  </si>
  <si>
    <t>4035 BRISTLECONE CT</t>
  </si>
  <si>
    <t>ROJAS-BECERRIL, MAURICIO et al</t>
  </si>
  <si>
    <t>ROJAS MONICA</t>
  </si>
  <si>
    <t xml:space="preserve">KELLY, THERESA J </t>
  </si>
  <si>
    <t>LAUREL PARK 1 LT 25</t>
  </si>
  <si>
    <t>2170 ASCOT LN</t>
  </si>
  <si>
    <t>RS 4598</t>
  </si>
  <si>
    <t xml:space="preserve">MALONE, INDRA K &amp; JERRY L </t>
  </si>
  <si>
    <t>PO BOX 2584</t>
  </si>
  <si>
    <t>WEST WENDOVER</t>
  </si>
  <si>
    <t>89883</t>
  </si>
  <si>
    <t>RS 4598 LT 54B</t>
  </si>
  <si>
    <t>2160 ASCOT LN</t>
  </si>
  <si>
    <t xml:space="preserve">KAUR, RUPINDER </t>
  </si>
  <si>
    <t>RS 4598 LT 55B</t>
  </si>
  <si>
    <t>2130 STANHOPE LN</t>
  </si>
  <si>
    <t xml:space="preserve">RAUTA, LYNE </t>
  </si>
  <si>
    <t xml:space="preserve">2130 STANHOPE LN </t>
  </si>
  <si>
    <t>COTTAGES LT 71</t>
  </si>
  <si>
    <t>2100 STANHOPE LN</t>
  </si>
  <si>
    <t xml:space="preserve">BRYDEN, DONALD W </t>
  </si>
  <si>
    <t>PO BOX 971</t>
  </si>
  <si>
    <t>COTTAGES LT 74</t>
  </si>
  <si>
    <t>4535 KEYHAVEN DR</t>
  </si>
  <si>
    <t>DECASTRO, MILES D et al</t>
  </si>
  <si>
    <t>COTTAGES LT 38</t>
  </si>
  <si>
    <t>4525 KEYHAVEN DR</t>
  </si>
  <si>
    <t>OROZCO, ENEDINA  et al</t>
  </si>
  <si>
    <t xml:space="preserve">4525 KEYHAVEN DR </t>
  </si>
  <si>
    <t>COTTAGES LT 39</t>
  </si>
  <si>
    <t>2145 STANTON LN</t>
  </si>
  <si>
    <t xml:space="preserve">YOUNG, PETER M  </t>
  </si>
  <si>
    <t xml:space="preserve">WILFON, MARTA L </t>
  </si>
  <si>
    <t>COTTAGES LT 79</t>
  </si>
  <si>
    <t>2120 STANTON LN</t>
  </si>
  <si>
    <t xml:space="preserve">CASAS, JOSE M  </t>
  </si>
  <si>
    <t xml:space="preserve">DUCKETT, JOHN &amp; MOLLY </t>
  </si>
  <si>
    <t>COTTAGES LT 95</t>
  </si>
  <si>
    <t>2105 HELLABY LN</t>
  </si>
  <si>
    <t xml:space="preserve">JOHNSON, KAYLA M </t>
  </si>
  <si>
    <t xml:space="preserve">HUGHES, SANDRA L &amp; CEDRIC N </t>
  </si>
  <si>
    <t>COTTAGES LT 98</t>
  </si>
  <si>
    <t>2165 HELLABY LN</t>
  </si>
  <si>
    <t xml:space="preserve">KEATING, STEPHANIE E </t>
  </si>
  <si>
    <t xml:space="preserve">HYBARGER, CODY </t>
  </si>
  <si>
    <t>COTTAGES LT 104</t>
  </si>
  <si>
    <t>2150 HELLABY LN</t>
  </si>
  <si>
    <t xml:space="preserve">URIAS, MAURICIO O </t>
  </si>
  <si>
    <t xml:space="preserve">SILVERWING DEVELOPMENT </t>
  </si>
  <si>
    <t>COTTAGES LT 24</t>
  </si>
  <si>
    <t>2140 HELLABY LN</t>
  </si>
  <si>
    <t>RIOS, ELIZABETH L  et al</t>
  </si>
  <si>
    <t xml:space="preserve">2140 HELLABY LN </t>
  </si>
  <si>
    <t>COTTAGES LT 25</t>
  </si>
  <si>
    <t>4555 KEYHAVEN DR</t>
  </si>
  <si>
    <t xml:space="preserve">BLOOM, MATT &amp; LESLIE </t>
  </si>
  <si>
    <t>PO BOX 3640</t>
  </si>
  <si>
    <t>COTTAGES LT 36</t>
  </si>
  <si>
    <t>2185 HELLABY LN</t>
  </si>
  <si>
    <t xml:space="preserve">MCLAUGHLIN, ROBERT L &amp; TERRA R </t>
  </si>
  <si>
    <t>UCCELLI, ANNE E  et al</t>
  </si>
  <si>
    <t>COTTAGES LT 106</t>
  </si>
  <si>
    <t>2185 STANTON LN</t>
  </si>
  <si>
    <t xml:space="preserve">RUTKOVITZ, JANET C </t>
  </si>
  <si>
    <t xml:space="preserve">FODEN, TREVOR </t>
  </si>
  <si>
    <t>COTTAGES LT 83</t>
  </si>
  <si>
    <t>4325 TUSCANY CIR</t>
  </si>
  <si>
    <t>VILLAS AT SUMMIT RIDGE</t>
  </si>
  <si>
    <t xml:space="preserve">HEWSON, NICOLE A </t>
  </si>
  <si>
    <t xml:space="preserve">BONY, ROBERT F </t>
  </si>
  <si>
    <t>005-180-79</t>
  </si>
  <si>
    <t>VILLAS AT SUMMIT RIDGE LT 11</t>
  </si>
  <si>
    <t>1595 SKY MOUNTAIN DR</t>
  </si>
  <si>
    <t>PM 2753</t>
  </si>
  <si>
    <t>Fitness Ctr</t>
  </si>
  <si>
    <t xml:space="preserve">HAGERS LP </t>
  </si>
  <si>
    <t>546 RIDGE ST</t>
  </si>
  <si>
    <t xml:space="preserve">M &amp; E INVESTMENT CO </t>
  </si>
  <si>
    <t>005-180-68</t>
  </si>
  <si>
    <t>PM 2753 LT A</t>
  </si>
  <si>
    <t>AGCQ</t>
  </si>
  <si>
    <t>4770 SCENIC HILL CIR</t>
  </si>
  <si>
    <t xml:space="preserve">ARNOLD, DEAN </t>
  </si>
  <si>
    <t xml:space="preserve">KEIPPEL LIVING TRUST  </t>
  </si>
  <si>
    <t>SAGE POINT 1 LT 13 BLK A</t>
  </si>
  <si>
    <t>4700 SCENIC HILL CIR</t>
  </si>
  <si>
    <t>WANG, HUI FANG et al</t>
  </si>
  <si>
    <t xml:space="preserve">4700 SCENIC HILL </t>
  </si>
  <si>
    <t xml:space="preserve">WANG, HUI FANG </t>
  </si>
  <si>
    <t>SAGE POINT 1 LT 1 BLK A</t>
  </si>
  <si>
    <t>4755 SCENIC HILL CIR</t>
  </si>
  <si>
    <t xml:space="preserve">BARNES, KEVIN &amp; SALLY </t>
  </si>
  <si>
    <t>4755 SCENIC HILLS DR</t>
  </si>
  <si>
    <t xml:space="preserve">FOWLER, DOUGLAS D &amp; STEPHANIE J </t>
  </si>
  <si>
    <t>SAGE POINT 1 LT 38 BLK C</t>
  </si>
  <si>
    <t>4505 HIGHCREST DR</t>
  </si>
  <si>
    <t xml:space="preserve">BENEDICT, WILLIAM M  </t>
  </si>
  <si>
    <t xml:space="preserve">4505 HIGHCREST DR </t>
  </si>
  <si>
    <t>SAGE POINT 2 LT 53 BLK D</t>
  </si>
  <si>
    <t>4597 CANYON RIDGE LN</t>
  </si>
  <si>
    <t xml:space="preserve">MCCLEAN, PAMELA A  </t>
  </si>
  <si>
    <t>SAGE POINT 3 LT 88 BLK B</t>
  </si>
  <si>
    <t>4633 CANYON RIDGE LN</t>
  </si>
  <si>
    <t xml:space="preserve">SMITH, RICHARD L &amp; PAMELA A </t>
  </si>
  <si>
    <t xml:space="preserve">ANDERSON-ROSSI, REBECCA L </t>
  </si>
  <si>
    <t>SAGE POINT 3 LT 91 BLK B</t>
  </si>
  <si>
    <t>4529 WINDCREST DR</t>
  </si>
  <si>
    <t xml:space="preserve">BURKE, ROBERT W </t>
  </si>
  <si>
    <t xml:space="preserve">WINDCREST TRUST # 4529  </t>
  </si>
  <si>
    <t>SAGE POINT 2 LT 123 BLK C</t>
  </si>
  <si>
    <t>4569 WINDCREST DR</t>
  </si>
  <si>
    <t>1020 LAKEVIEW DR</t>
  </si>
  <si>
    <t>SAGE POINT 3 LT 112 BLK C</t>
  </si>
  <si>
    <t>005-273-10</t>
  </si>
  <si>
    <t>SAGE POINT 4 LT 78 BLK D</t>
  </si>
  <si>
    <t>1363 MISTYRIDGE LN</t>
  </si>
  <si>
    <t xml:space="preserve">BOEKENOOGEN, WILLIAM L </t>
  </si>
  <si>
    <t>1363 MISTY RIDGE LN</t>
  </si>
  <si>
    <t>005-281-01</t>
  </si>
  <si>
    <t>SAGE POINT 4 LT 38 BLK A</t>
  </si>
  <si>
    <t>4488 HIGHPLAINS DR</t>
  </si>
  <si>
    <t xml:space="preserve">DEBARD, BEAU D  </t>
  </si>
  <si>
    <t>005-282-02</t>
  </si>
  <si>
    <t>SAGE POINT 4 LT 71 BLK C</t>
  </si>
  <si>
    <t>4778 ARBOR RIDGE DR</t>
  </si>
  <si>
    <t xml:space="preserve">BISARD, CASEY J &amp; JILL M </t>
  </si>
  <si>
    <t>005-291-03</t>
  </si>
  <si>
    <t>RENO VISTA 1 LT 20 BLK A</t>
  </si>
  <si>
    <t>1544 RENO VIEW DR</t>
  </si>
  <si>
    <t>SILEWICZ, JENNIFER et al</t>
  </si>
  <si>
    <t xml:space="preserve">1544 RENO VIEW DR </t>
  </si>
  <si>
    <t>005-291-09</t>
  </si>
  <si>
    <t>RENO VISTA 1 LT 14 BLK A</t>
  </si>
  <si>
    <t>1556 RENO VIEW DR</t>
  </si>
  <si>
    <t xml:space="preserve">SNIDER, JONATHAN &amp; CORINNE </t>
  </si>
  <si>
    <t xml:space="preserve">PORTER, CANDISE </t>
  </si>
  <si>
    <t>005-291-12</t>
  </si>
  <si>
    <t>RENO VISTA 1 LT 11 BLK A</t>
  </si>
  <si>
    <t>1560 RENO VIEW DR</t>
  </si>
  <si>
    <t xml:space="preserve">MUSQUIZ, ELIZABETH A  </t>
  </si>
  <si>
    <t xml:space="preserve">REED, MIGUEL </t>
  </si>
  <si>
    <t>005-291-13</t>
  </si>
  <si>
    <t>RENO VISTA 1 LT 10 BLK A</t>
  </si>
  <si>
    <t>1588 RENO VIEW DR</t>
  </si>
  <si>
    <t xml:space="preserve">FERRIS, RYAN D  </t>
  </si>
  <si>
    <t xml:space="preserve">1588 RENO VIEW DR </t>
  </si>
  <si>
    <t xml:space="preserve">MUSTARD TRUST, MARY F  </t>
  </si>
  <si>
    <t>005-291-20</t>
  </si>
  <si>
    <t>RENO VISTA 1 LT 3 BLK A</t>
  </si>
  <si>
    <t xml:space="preserve"> S MC CARRAN BLVD</t>
  </si>
  <si>
    <t>MONTE VISTA VILLAGE</t>
  </si>
  <si>
    <t xml:space="preserve">DEX PROPERTIES LTD </t>
  </si>
  <si>
    <t xml:space="preserve">6601 VALLEY WOOD DR </t>
  </si>
  <si>
    <t xml:space="preserve">GINI , RYAN &amp; RENEE  </t>
  </si>
  <si>
    <t>005-310-08</t>
  </si>
  <si>
    <t>MONTE VISTA VILLAGE LT 18</t>
  </si>
  <si>
    <t>650 TWIN LAKES DR</t>
  </si>
  <si>
    <t xml:space="preserve">DEL`S RENTALS INC </t>
  </si>
  <si>
    <t xml:space="preserve">655 TWIN LAKES DR </t>
  </si>
  <si>
    <t xml:space="preserve">TRUCKEE RIVER PROPERTIES LTD </t>
  </si>
  <si>
    <t>FR SE4 NW4 SEC 16 TWP 19 RGE 19</t>
  </si>
  <si>
    <t>648 TWIN LAKES DR</t>
  </si>
  <si>
    <t>FR E2 NW4</t>
  </si>
  <si>
    <t xml:space="preserve">MCGUIRE, SHANE R </t>
  </si>
  <si>
    <t xml:space="preserve">ADVANCED DISTRIBUTNG &amp; MFG INC </t>
  </si>
  <si>
    <t>FR E2 NW4 SEC 16 TWP 19 RGE 19</t>
  </si>
  <si>
    <t>695 TWIN LAKES DR</t>
  </si>
  <si>
    <t xml:space="preserve">RAKESTRAW, HOWARD  </t>
  </si>
  <si>
    <t>4184 DEL CURTO DR</t>
  </si>
  <si>
    <t xml:space="preserve">WEISE, ROBERT L &amp; CATHY V </t>
  </si>
  <si>
    <t>89513-5009</t>
  </si>
  <si>
    <t xml:space="preserve">BINKER, ROBERT A </t>
  </si>
  <si>
    <t>FR NE4 SEC 16 TWP 19 RGE 19 (LT F R/S 703)</t>
  </si>
  <si>
    <t>2555 VENEZIA DR</t>
  </si>
  <si>
    <t>GONZALEZ, BRANDON G et al</t>
  </si>
  <si>
    <t xml:space="preserve">DACORON, MANUEL </t>
  </si>
  <si>
    <t>SAN MARINO @ D`ANDREA 1  LT 113</t>
  </si>
  <si>
    <t>2164 CAPRI LN</t>
  </si>
  <si>
    <t xml:space="preserve">SMITH, BARBARA J </t>
  </si>
  <si>
    <t>SAN MARINO @ D`ANDREA 1 LT 118</t>
  </si>
  <si>
    <t>2356 VENEZIA DR</t>
  </si>
  <si>
    <t xml:space="preserve">CHARLES, CHRISTOPHER &amp; KIMBERLEE </t>
  </si>
  <si>
    <t>SAN MARINO @ D`ANDREA 1 LT 139</t>
  </si>
  <si>
    <t>2161 CAPRI LN</t>
  </si>
  <si>
    <t>LEIGHTON-HANSEN, ROBERTA J et al</t>
  </si>
  <si>
    <t>2685 FIRENZE DR</t>
  </si>
  <si>
    <t xml:space="preserve">YOON, BYONG K &amp; MAE C </t>
  </si>
  <si>
    <t>SAN MARION @ D`ANDREA 1 LT 145</t>
  </si>
  <si>
    <t>2389 NAPOLI DR</t>
  </si>
  <si>
    <t xml:space="preserve">SAREEN , PAWAN K  </t>
  </si>
  <si>
    <t xml:space="preserve">2389 NAPOLI DR </t>
  </si>
  <si>
    <t>SIENA 1 LT 133 BLK A</t>
  </si>
  <si>
    <t>2346 ROMAN DR</t>
  </si>
  <si>
    <t>MAGEE MIRIAM E</t>
  </si>
  <si>
    <t xml:space="preserve">IRWIN, JOANNA </t>
  </si>
  <si>
    <t>SIENA 1 LT 177 BLK B</t>
  </si>
  <si>
    <t>2372 NAPOLI DR</t>
  </si>
  <si>
    <t>GROVE, MICHAEL A et al</t>
  </si>
  <si>
    <t xml:space="preserve">STOKKE TRUST, SUSAN T  </t>
  </si>
  <si>
    <t>SIENA 1 LT 139 BLK C</t>
  </si>
  <si>
    <t>2377 ROMAN DR</t>
  </si>
  <si>
    <t xml:space="preserve">HARVEY, KENDRA L  </t>
  </si>
  <si>
    <t xml:space="preserve">2377 ROMAN DR </t>
  </si>
  <si>
    <t xml:space="preserve">DAVIS, JEFFREY B &amp; JENNIFER L </t>
  </si>
  <si>
    <t>SIENA 1 LT 157 BLK C</t>
  </si>
  <si>
    <t>3253 MODENA DR</t>
  </si>
  <si>
    <t xml:space="preserve">SNYDER, NANCY J </t>
  </si>
  <si>
    <t xml:space="preserve">3253 MODENA DR                          </t>
  </si>
  <si>
    <t xml:space="preserve">CROBARGER, KEN </t>
  </si>
  <si>
    <t>FERRARA @ D`ANDREA LT 8</t>
  </si>
  <si>
    <t>3205 MODENA DR</t>
  </si>
  <si>
    <t xml:space="preserve">GIGNAC, GEORGE &amp; MILDRED </t>
  </si>
  <si>
    <t xml:space="preserve">NRES-NV1 </t>
  </si>
  <si>
    <t>FERRARA @ D`ANDREA LT 1</t>
  </si>
  <si>
    <t>2102 MERITAGE CT</t>
  </si>
  <si>
    <t xml:space="preserve">NASH LIVING TRUST, CAROLE J  </t>
  </si>
  <si>
    <t>HARRINGTON, SHELLEY  et al</t>
  </si>
  <si>
    <t>TOSCANA @ D`ANDREA 1 LT 74</t>
  </si>
  <si>
    <t>2169 MERITAGE DR</t>
  </si>
  <si>
    <t xml:space="preserve">DANIELS , REX G JR  </t>
  </si>
  <si>
    <t xml:space="preserve">2169 MERITAGE DR </t>
  </si>
  <si>
    <t xml:space="preserve">WRIGHT LIVING TRUST, FRANCES L  </t>
  </si>
  <si>
    <t>402-163-12</t>
  </si>
  <si>
    <t>TOSCANA @ D`ANDREA 1 LT 54</t>
  </si>
  <si>
    <t>2200 AVELLA DR</t>
  </si>
  <si>
    <t xml:space="preserve">CRAWFORD, MARK W &amp; KATHLEEN  </t>
  </si>
  <si>
    <t xml:space="preserve">5972 AXIS DR </t>
  </si>
  <si>
    <t xml:space="preserve">GRAY FAMILY TRUST, SHERWOOD J  </t>
  </si>
  <si>
    <t>TOSCANA @ D`ANDREA 1 LT 49</t>
  </si>
  <si>
    <t>2080 VENETO DR</t>
  </si>
  <si>
    <t xml:space="preserve">WAGSTAFF 2007 REV TRUST , SAMUEL L &amp; JOAN M  </t>
  </si>
  <si>
    <t>2871 SUNLINE DR</t>
  </si>
  <si>
    <t xml:space="preserve">FARRELL FAMILY TRUST  </t>
  </si>
  <si>
    <t>TOSCANA @ D`ANDREA 1 LT 31</t>
  </si>
  <si>
    <t>2039 MERITAGE DR</t>
  </si>
  <si>
    <t xml:space="preserve">AMENT LIVING TRUST, DONALD J   </t>
  </si>
  <si>
    <t>TOSCANA @ D`ANDREA 2A LT 89</t>
  </si>
  <si>
    <t>2049 MERITAGE DR</t>
  </si>
  <si>
    <t xml:space="preserve">SMITH, MARYANN </t>
  </si>
  <si>
    <t xml:space="preserve">DRIGGS, KIM </t>
  </si>
  <si>
    <t>TOSCANA @ D`ANDREA 2A LT 90</t>
  </si>
  <si>
    <t>1929 CORLEONE DR</t>
  </si>
  <si>
    <t xml:space="preserve">CRAIG LIVING TRUST  </t>
  </si>
  <si>
    <t xml:space="preserve">ZANONI TRUST  </t>
  </si>
  <si>
    <t>TOSCANA @ D`ANDREA 2B LT 25</t>
  </si>
  <si>
    <t>1619 VENETO DR</t>
  </si>
  <si>
    <t xml:space="preserve">ULRICH LIVING TRUST  </t>
  </si>
  <si>
    <t xml:space="preserve">ULRICH, BOB &amp; PEGGY </t>
  </si>
  <si>
    <t>402-211-08</t>
  </si>
  <si>
    <t>TOSCANA @ D`ANDREA 3A LT 38</t>
  </si>
  <si>
    <t>1480 CORLEONE DR</t>
  </si>
  <si>
    <t>TOSCANA @ D`ANDREA 3B</t>
  </si>
  <si>
    <t xml:space="preserve">LAKE, THOMAS F </t>
  </si>
  <si>
    <t>402-110-11</t>
  </si>
  <si>
    <t>TOSCANA @ D`ANDREA 3B LT 58</t>
  </si>
  <si>
    <t>2930 UMBRIA CT</t>
  </si>
  <si>
    <t xml:space="preserve">CRAZY DEER PROPERTIES LLC 5 </t>
  </si>
  <si>
    <t xml:space="preserve">4501 COBRA DR </t>
  </si>
  <si>
    <t>PERWEIN, ANDREW L et al</t>
  </si>
  <si>
    <t>CHIANTI 2 LT 251 BLK H</t>
  </si>
  <si>
    <t>2787 MILANO DR</t>
  </si>
  <si>
    <t xml:space="preserve">WOODS, ROBERT D &amp; STELANI P </t>
  </si>
  <si>
    <t xml:space="preserve">ULRICH, ROBERT G &amp; PEGGY L </t>
  </si>
  <si>
    <t>MILANO/NOVARA @ D`ANDREA LT 15</t>
  </si>
  <si>
    <t>2841 MILANO DR</t>
  </si>
  <si>
    <t xml:space="preserve">WELLESLEY, ROBERT &amp; AMANDA </t>
  </si>
  <si>
    <t xml:space="preserve">2841 MILANO DR </t>
  </si>
  <si>
    <t xml:space="preserve">BARRERA, ELIDA </t>
  </si>
  <si>
    <t>MILANO/NOVARA @ D`ANDREA LT 12</t>
  </si>
  <si>
    <t>2720 MILANO DR</t>
  </si>
  <si>
    <t xml:space="preserve">SAEED, BABAR &amp; MESBAH </t>
  </si>
  <si>
    <t xml:space="preserve">BARNES FAMILY TRUST  </t>
  </si>
  <si>
    <t>MILANO/NOVARA @ D`ANDREA LT 1</t>
  </si>
  <si>
    <t>2940 SAVONA DR</t>
  </si>
  <si>
    <t xml:space="preserve">BROWN, LYNN E &amp; KATHERINE L </t>
  </si>
  <si>
    <t>2930 SAVONA DR</t>
  </si>
  <si>
    <t xml:space="preserve">BAKER REVOCABLE TRUST, WALTER K  </t>
  </si>
  <si>
    <t>SAVONA VILLAGE @ D`ANDREA LT 46</t>
  </si>
  <si>
    <t>2030 TIVOLI LN</t>
  </si>
  <si>
    <t xml:space="preserve">GARCIA, JORGE R &amp; DELIA </t>
  </si>
  <si>
    <t xml:space="preserve">MENDOZA, ALEJANDRO &amp; ROSA E </t>
  </si>
  <si>
    <t xml:space="preserve">SIENA 2 LT 213 BLK A </t>
  </si>
  <si>
    <t>2587 NAPOLI DR</t>
  </si>
  <si>
    <t xml:space="preserve">DALLAM, PATRICIA M </t>
  </si>
  <si>
    <t>2229 SAWTOOTH CT</t>
  </si>
  <si>
    <t>SIENA 2 LT 222 BLK A</t>
  </si>
  <si>
    <t>2487 NAPOLI DR</t>
  </si>
  <si>
    <t xml:space="preserve">WILLIAMS, MICHAEL J  </t>
  </si>
  <si>
    <t xml:space="preserve">2487 NAPOLI DR </t>
  </si>
  <si>
    <t>SIENA 2 LT 234 BLK A</t>
  </si>
  <si>
    <t>2551 ROMAN DR</t>
  </si>
  <si>
    <t xml:space="preserve">TATUM, LUKE  </t>
  </si>
  <si>
    <t xml:space="preserve">2551 ROMAN DR </t>
  </si>
  <si>
    <t>SIENA 2 LT 263 BLK C</t>
  </si>
  <si>
    <t>2460 ANQUA DR</t>
  </si>
  <si>
    <t xml:space="preserve">GONZALES, FRANCIS P </t>
  </si>
  <si>
    <t>FIRENZE @ D`ANDREA 1 LT 45</t>
  </si>
  <si>
    <t>2473 ANQUA DR</t>
  </si>
  <si>
    <t xml:space="preserve">WALENTA, JASON &amp; ELIZABETH </t>
  </si>
  <si>
    <t>2473 ANQUA CT</t>
  </si>
  <si>
    <t xml:space="preserve">FUNK, THOMAS A &amp; YVONNE C </t>
  </si>
  <si>
    <t>FIRENZE @ D`ANDREA 1 LT 101</t>
  </si>
  <si>
    <t>2664 FIRENZE DR</t>
  </si>
  <si>
    <t xml:space="preserve">VAN HOOK, GLORIA P  </t>
  </si>
  <si>
    <t>BELL, BRADLEY B et al</t>
  </si>
  <si>
    <t>FIRENZE @ D`ANDREA 2 LT 115</t>
  </si>
  <si>
    <t>2565 FIRENZE DR</t>
  </si>
  <si>
    <t xml:space="preserve">OSAYANDE TRUST, KAMARIA </t>
  </si>
  <si>
    <t xml:space="preserve">2565 FIRENZE DR </t>
  </si>
  <si>
    <t>FIRENZE @ D`ANDREA 2 LT 169</t>
  </si>
  <si>
    <t>1501 PALERMO DR</t>
  </si>
  <si>
    <t>TOSCANA @ D`ANDREA 4A</t>
  </si>
  <si>
    <t xml:space="preserve">HAAGENSON, PHIL &amp; CAROL  </t>
  </si>
  <si>
    <t xml:space="preserve">REASONER ESTATE, BETTE </t>
  </si>
  <si>
    <t>402-110-15</t>
  </si>
  <si>
    <t>TOSCANA @ D`ANDREA 4A LT 4A-13</t>
  </si>
  <si>
    <t>1360 CORLEONE DR</t>
  </si>
  <si>
    <t xml:space="preserve">HOOPER, WILLIAM G &amp; PASTY J </t>
  </si>
  <si>
    <t>SCHROEDER, WILLIAM H et al</t>
  </si>
  <si>
    <t>TOSCANA @ D`ANDREA 4B LT 4B-67</t>
  </si>
  <si>
    <t>2265 CALABRIA DR</t>
  </si>
  <si>
    <t xml:space="preserve">EVENSON, KATHLEEN L </t>
  </si>
  <si>
    <t xml:space="preserve">SLATER REVOCABLE TRUST, BESSIE L  </t>
  </si>
  <si>
    <t>TOSCANA @ D`ANDREA 5 LT 5-120</t>
  </si>
  <si>
    <t>1520 ARONA DR</t>
  </si>
  <si>
    <t xml:space="preserve">WILSON, DAVID L &amp; CONSTANCE Y </t>
  </si>
  <si>
    <t>TOSCANA @ D`ANDREA 5 LT 5-77</t>
  </si>
  <si>
    <t>1459 ARONA DR</t>
  </si>
  <si>
    <t xml:space="preserve">RABON, DANIEL A &amp; JEANNIE T </t>
  </si>
  <si>
    <t>SNOW, DAVID E &amp; CAROLYN N et al</t>
  </si>
  <si>
    <t>TOSCANA @ D`ANDREA 5 LT 5-89</t>
  </si>
  <si>
    <t>2544 GARZONI DR</t>
  </si>
  <si>
    <t xml:space="preserve">HATTRUP, KENNETH P &amp; MARIE T </t>
  </si>
  <si>
    <t xml:space="preserve">QUARANTIELLO, MICHAEL W &amp; LINDA K </t>
  </si>
  <si>
    <t>FIRENZE @ D`ANDREA 4 LT 152</t>
  </si>
  <si>
    <t>2589 TUSCAN WAY</t>
  </si>
  <si>
    <t xml:space="preserve">WOODS, MARK E &amp; VIRGINIA L </t>
  </si>
  <si>
    <t xml:space="preserve">ARNETT, RANDY B &amp; SONHEE </t>
  </si>
  <si>
    <t>FIRENZE @ D`ANDREA 4 LT 204</t>
  </si>
  <si>
    <t>2456 FIRENZE DR</t>
  </si>
  <si>
    <t xml:space="preserve">UNGARI, DOUGLAS &amp; DENISE </t>
  </si>
  <si>
    <t>2466 S BASCOM AVE #1</t>
  </si>
  <si>
    <t>CAMPBELL</t>
  </si>
  <si>
    <t xml:space="preserve">HARDY, SARAH F </t>
  </si>
  <si>
    <t>FIRENZE @ D`ANDREA 4 LT 183</t>
  </si>
  <si>
    <t>2565 GARZONI DR</t>
  </si>
  <si>
    <t xml:space="preserve">LAMSKI, EUGENE R &amp; MARY L  </t>
  </si>
  <si>
    <t xml:space="preserve">HUMES, SHAWN C &amp; JENNIFER L </t>
  </si>
  <si>
    <t>FIRENZE @ D`ANDREA 4 LT 165</t>
  </si>
  <si>
    <t>1569 MEDOLLA DR</t>
  </si>
  <si>
    <t xml:space="preserve">EVANS , VERNON R &amp; FLOSSIE M  </t>
  </si>
  <si>
    <t xml:space="preserve">KINCADE, JOHN J </t>
  </si>
  <si>
    <t>TOSCANA @ D`ANDREA 6A LT 6A-146</t>
  </si>
  <si>
    <t>1440 MEDOLLA DR</t>
  </si>
  <si>
    <t xml:space="preserve">MANSON, JACK &amp; MARY </t>
  </si>
  <si>
    <t>1491 GOLDDUST DR</t>
  </si>
  <si>
    <t xml:space="preserve">MCCOMBS FAMILY TRUST  </t>
  </si>
  <si>
    <t>TOSCANA @ D`ANDREA 6A LT 6A-176</t>
  </si>
  <si>
    <t>1480 COSENZA DR</t>
  </si>
  <si>
    <t xml:space="preserve">GLASSCOCK, BILLY W &amp; LINDA J </t>
  </si>
  <si>
    <t xml:space="preserve">PURCELL TRUST, DIANNE M  </t>
  </si>
  <si>
    <t>TOSCANA @ D`ANDREA 7A LT 7A-216</t>
  </si>
  <si>
    <t>2365 CALABRIA DR</t>
  </si>
  <si>
    <t xml:space="preserve">BONNEL TRUST, ARTHUR J &amp; WANDA L   </t>
  </si>
  <si>
    <t>PO BOX 51270</t>
  </si>
  <si>
    <t xml:space="preserve">CASPER LIVING TRUST, RICHARD &amp; CAROLE  </t>
  </si>
  <si>
    <t>TOSCANA @ D`ANDREA 7B LT 7B-232</t>
  </si>
  <si>
    <t>670 WALL CANYON DR</t>
  </si>
  <si>
    <t>JUNIPER HEIGHTS 2C</t>
  </si>
  <si>
    <t xml:space="preserve">EBSTER FAMILY TRUST  </t>
  </si>
  <si>
    <t xml:space="preserve">EBSTER, MARY K </t>
  </si>
  <si>
    <t>JUNIPER HEIGHTS 2C LT 7 BLK A</t>
  </si>
  <si>
    <t>5169 COGGINS RD</t>
  </si>
  <si>
    <t xml:space="preserve">SHAW, RICHARD &amp; ERIN  </t>
  </si>
  <si>
    <t xml:space="preserve">5169 COGGINS DR </t>
  </si>
  <si>
    <t>NORTHERN LIGHTS 3 LT 16 BLK E</t>
  </si>
  <si>
    <t>1477 DENALI CT</t>
  </si>
  <si>
    <t>SANCHEZ, VIOLETA et al</t>
  </si>
  <si>
    <t>NORTHERN LIGHTS UT 3 LT 26 BLK E</t>
  </si>
  <si>
    <t>1277 LYNX ST</t>
  </si>
  <si>
    <t xml:space="preserve">HERZBERG, JOHNNY R &amp; CAROL J  </t>
  </si>
  <si>
    <t>839 WOODGLEN DR APT 3</t>
  </si>
  <si>
    <t>NORTHSIDE VILLAGE LT 13 BLK A</t>
  </si>
  <si>
    <t>1258 LEOPARD ST</t>
  </si>
  <si>
    <t xml:space="preserve">HUNKAPILLER, ANTHONY D &amp; KIM E  </t>
  </si>
  <si>
    <t xml:space="preserve">1258 LEOPARD ST </t>
  </si>
  <si>
    <t>NORTHSIDE VILLAGE LT 15 BLK A</t>
  </si>
  <si>
    <t>1318 LEOPARD ST</t>
  </si>
  <si>
    <t>SMITH, ZERZELL A et al</t>
  </si>
  <si>
    <t>BEHYMER PATIENCE</t>
  </si>
  <si>
    <t>11175 WHITE SAGE DR</t>
  </si>
  <si>
    <t>NORTHSIDE VILLAGE LT 21 BLK A</t>
  </si>
  <si>
    <t>1195 CHISHOLM TRL</t>
  </si>
  <si>
    <t xml:space="preserve">THOMPSON, PENNY </t>
  </si>
  <si>
    <t>3275 N RESERVE D128</t>
  </si>
  <si>
    <t>MISSOULA</t>
  </si>
  <si>
    <t>SAGEHEN HILL 2 PH 4 LT 25</t>
  </si>
  <si>
    <t>540 GOLDEN VISTA CT</t>
  </si>
  <si>
    <t>JOHNSON, JEREMIAH O  et al</t>
  </si>
  <si>
    <t xml:space="preserve">WYATT-JOHNSON LAURA M </t>
  </si>
  <si>
    <t xml:space="preserve">REDING, ERIC </t>
  </si>
  <si>
    <t>GOLDEN MEADOWS 1 LT 129</t>
  </si>
  <si>
    <t>153 COLLEGE HILL WAY</t>
  </si>
  <si>
    <t xml:space="preserve">YUBA CITY </t>
  </si>
  <si>
    <t xml:space="preserve">SINGH, MANI </t>
  </si>
  <si>
    <t>431 GOLDEN VISTA AVE</t>
  </si>
  <si>
    <t xml:space="preserve">BEAL, KEVIN  </t>
  </si>
  <si>
    <t>GOLDEN MEADOWS 1 LT 116</t>
  </si>
  <si>
    <t>985 GOLDEN WEST RD</t>
  </si>
  <si>
    <t xml:space="preserve">MCLELLAN, MARK J </t>
  </si>
  <si>
    <t>GOLDEN MEADOWS 2 LT 220</t>
  </si>
  <si>
    <t>910 GOLDEN WEST RD</t>
  </si>
  <si>
    <t xml:space="preserve">WILSON, TRAVIS &amp; GENEVIEVE </t>
  </si>
  <si>
    <t>GOLDEN MEADOWS 2 LT 224</t>
  </si>
  <si>
    <t>1399 ANCHORAGE DR</t>
  </si>
  <si>
    <t xml:space="preserve">RADCLIFF, JONIE M  </t>
  </si>
  <si>
    <t xml:space="preserve">1399 ANCHORAGE DR </t>
  </si>
  <si>
    <t>082-692-01</t>
  </si>
  <si>
    <t>NORTHERN LIGHTS 1 LT 1 BLK A</t>
  </si>
  <si>
    <t>5169 NANOOK CT</t>
  </si>
  <si>
    <t>082-791-03</t>
  </si>
  <si>
    <t>NORTHERN LIGHTS 2 LT 16 BLK C</t>
  </si>
  <si>
    <t>1278 ANCHORAGE DR</t>
  </si>
  <si>
    <t xml:space="preserve">PATTON, AMBER L </t>
  </si>
  <si>
    <t>082-811-12</t>
  </si>
  <si>
    <t>NORTHERN LIGHTS 4 LT 21 BLK A</t>
  </si>
  <si>
    <t>5165 NORTHERN LIGHTS DR</t>
  </si>
  <si>
    <t xml:space="preserve">LARA, MARIA P  </t>
  </si>
  <si>
    <t>P O BOX 11872</t>
  </si>
  <si>
    <t>NORTHERN LIGHTS 5 LT 36 BLK A</t>
  </si>
  <si>
    <t>7690 CREEK CANYON DR</t>
  </si>
  <si>
    <t xml:space="preserve">IUDICELLA, DANIEL G &amp; TRINITY A </t>
  </si>
  <si>
    <t xml:space="preserve">GOLDEN HIGHLANDS 3 LT 304 </t>
  </si>
  <si>
    <t>784 COUNTRY VIEW CT</t>
  </si>
  <si>
    <t xml:space="preserve">MONTROUIL, RUSSELL P &amp; LAILA J </t>
  </si>
  <si>
    <t xml:space="preserve">LEHTO, RANDY W &amp; CLOVIA L </t>
  </si>
  <si>
    <t>GOLDEN HIGHLANDS 4 LT 415</t>
  </si>
  <si>
    <t>793 COUNTRY VIEW CT</t>
  </si>
  <si>
    <t xml:space="preserve">HAGER, HANS P &amp; MAURY M </t>
  </si>
  <si>
    <t>390 SHIPPEE RD</t>
  </si>
  <si>
    <t>EAST GREENWICH</t>
  </si>
  <si>
    <t>GOLDEN HIGHLANDS 4 LT 410</t>
  </si>
  <si>
    <t>1527 ORCA WAY</t>
  </si>
  <si>
    <t xml:space="preserve">GRANADOS, MANUEL &amp; JESSICA  </t>
  </si>
  <si>
    <t xml:space="preserve">BROWN, RODNEY H &amp; CYNTHIA L </t>
  </si>
  <si>
    <t>NORTHERN LIGHTS 6 LT 19</t>
  </si>
  <si>
    <t>5109 NORTHERN LIGHTS DR</t>
  </si>
  <si>
    <t>ALLEN-ESQUERRA, CONNIE L et al</t>
  </si>
  <si>
    <t>NORTHERN LIGHTS 6 LT 3</t>
  </si>
  <si>
    <t>7810 OPAL STATION DR</t>
  </si>
  <si>
    <t xml:space="preserve">MEYER FAMILY 1986 TRUST  </t>
  </si>
  <si>
    <t>C/O BYRON E &amp; JOAN C MEYER TRUSTEES</t>
  </si>
  <si>
    <t xml:space="preserve">2400 PLUMB LN </t>
  </si>
  <si>
    <t>GENOVIA, AMY C et al</t>
  </si>
  <si>
    <t>NORTHSTAR RANCH 1 LT 56</t>
  </si>
  <si>
    <t>7920 OPAL STATION DR</t>
  </si>
  <si>
    <t xml:space="preserve">MOTT, SHAWNA L </t>
  </si>
  <si>
    <t xml:space="preserve">TURNBOW, KEITH H &amp; DENISE R </t>
  </si>
  <si>
    <t>NORTHSTAR RANCH 1 LT 48</t>
  </si>
  <si>
    <t>7950 OPAL STATION DR</t>
  </si>
  <si>
    <t xml:space="preserve">FUBO, WEI </t>
  </si>
  <si>
    <t xml:space="preserve">SHANG, ZHEN H </t>
  </si>
  <si>
    <t>NORTHSTAR RANCH 1 LT 45</t>
  </si>
  <si>
    <t>7990 OPAL STATION DR</t>
  </si>
  <si>
    <t xml:space="preserve">DVORAK, RICHARD J &amp; SANDRA G </t>
  </si>
  <si>
    <t>26009 S GLENROSE RD</t>
  </si>
  <si>
    <t>78260</t>
  </si>
  <si>
    <t>NORTHSTAR RANCH 1 LT 42</t>
  </si>
  <si>
    <t>8070 OPAL STATION DR</t>
  </si>
  <si>
    <t xml:space="preserve">STARK , CARLA D </t>
  </si>
  <si>
    <t xml:space="preserve">8070 OPAL STATION LN </t>
  </si>
  <si>
    <t>NORTHSTAR RANCH 1 LT 33</t>
  </si>
  <si>
    <t>8025 OPAL STATION DR</t>
  </si>
  <si>
    <t xml:space="preserve">KHERA, PREM &amp; NEELAM </t>
  </si>
  <si>
    <t xml:space="preserve">ONYEAGBAKO, PATRICK N &amp; RITA A </t>
  </si>
  <si>
    <t>NORTHSTAR RANCH 1 LT 22</t>
  </si>
  <si>
    <t>7965 OPAL STATION DR</t>
  </si>
  <si>
    <t>SIMONS, EMORY E III et al</t>
  </si>
  <si>
    <t xml:space="preserve">7965 OPAL STATION DR </t>
  </si>
  <si>
    <t>TOSUNTIKOOL, JEANIE et al</t>
  </si>
  <si>
    <t>NORTHSTAR RANCH 1 LT 16</t>
  </si>
  <si>
    <t>8090 OPAL STATION DR</t>
  </si>
  <si>
    <t>FERREIRA, ALBERTO A  et al</t>
  </si>
  <si>
    <t xml:space="preserve">GONZALEZ LAURA E </t>
  </si>
  <si>
    <t xml:space="preserve">TRUJILLO-OLIVA, ILDA </t>
  </si>
  <si>
    <t>NORTHSTAR RANCH 1 LT 31</t>
  </si>
  <si>
    <t>8285 OPAL STATION DR</t>
  </si>
  <si>
    <t xml:space="preserve">GUERRERO, DANILO L SR &amp; DIVINA R  </t>
  </si>
  <si>
    <t xml:space="preserve">9329 LONE DEER WAY </t>
  </si>
  <si>
    <t xml:space="preserve">GILROY </t>
  </si>
  <si>
    <t xml:space="preserve">ORIBELLO, EDNA G </t>
  </si>
  <si>
    <t>NORTHSTAR RANCH 1 LT 91</t>
  </si>
  <si>
    <t>8265 OPAL STATION DR</t>
  </si>
  <si>
    <t xml:space="preserve">CORTEZ, ALLEN J JR &amp; HOLLY E </t>
  </si>
  <si>
    <t>884 DETERING ST</t>
  </si>
  <si>
    <t xml:space="preserve">FRONK, STEPHANIE L &amp; MICHAEL S  </t>
  </si>
  <si>
    <t>NORTHSTAR RANCH 1 LT 89</t>
  </si>
  <si>
    <t>650 BECKWOURTH DR</t>
  </si>
  <si>
    <t>TAYLOR, DUSTEN B et al</t>
  </si>
  <si>
    <t xml:space="preserve">COSS, BRENT R &amp; CHRISTINA E </t>
  </si>
  <si>
    <t>GOLDEN HIGHLANDS PH 5 LT 542</t>
  </si>
  <si>
    <t>659 BECKWOURTH DR</t>
  </si>
  <si>
    <t xml:space="preserve">TINDELL, SHARILYN </t>
  </si>
  <si>
    <t>GOLDEN HIGHLANDS PH 5 LT 535</t>
  </si>
  <si>
    <t>7568 GOLD DR</t>
  </si>
  <si>
    <t xml:space="preserve">PENROD, NATHAN &amp; HEATHER </t>
  </si>
  <si>
    <t>GOLDEN HIGHLANDS PH 5 LT 526</t>
  </si>
  <si>
    <t>7580 GOLD DR</t>
  </si>
  <si>
    <t>WATKINS, CINDY et al</t>
  </si>
  <si>
    <t xml:space="preserve">7650 DIAMOND VISTA CT </t>
  </si>
  <si>
    <t>ARIAS-CERVANTES, EDGAR et al</t>
  </si>
  <si>
    <t>GOLDEN HIGHLANDS PH 5 LT 529</t>
  </si>
  <si>
    <t>5898 KEARNEY DR</t>
  </si>
  <si>
    <t xml:space="preserve">PARKER, MARK </t>
  </si>
  <si>
    <t xml:space="preserve">5898 KEARNEY DR </t>
  </si>
  <si>
    <t xml:space="preserve">LITTLEFAIR FAMILY TRUST  </t>
  </si>
  <si>
    <t>PANTHER VALLEY EST LT 4</t>
  </si>
  <si>
    <t>5990 OMAHA ST</t>
  </si>
  <si>
    <t xml:space="preserve">LIBBON, FRANK A &amp; ERICA E  </t>
  </si>
  <si>
    <t xml:space="preserve">NEWMAN, EARL R &amp; BONNIE M </t>
  </si>
  <si>
    <t>PANTHER VALLEY EST LT 1</t>
  </si>
  <si>
    <t>5975 OMAHA ST</t>
  </si>
  <si>
    <t xml:space="preserve">PANTHER VALLEY ESTATES LLC </t>
  </si>
  <si>
    <t>PANTHER VALLEY EST LT 31</t>
  </si>
  <si>
    <t>7513 GOLD CT</t>
  </si>
  <si>
    <t xml:space="preserve">JACKSON, DAVID A &amp; CHERYL A </t>
  </si>
  <si>
    <t>CURIEL CAMARENA, JORGE J   et al</t>
  </si>
  <si>
    <t>GOLDEN HIGHLANDS PH 6 LT 604</t>
  </si>
  <si>
    <t>7524 GOLD CT</t>
  </si>
  <si>
    <t xml:space="preserve">SCHRUPP, MARYANN </t>
  </si>
  <si>
    <t xml:space="preserve">BIGELOW, BRIAN J </t>
  </si>
  <si>
    <t>GOLDEN HIGHLANDS PH 6 LT 613</t>
  </si>
  <si>
    <t>8255 OPAL GLEN CT</t>
  </si>
  <si>
    <t>ROBISON, JENNIFER N et al</t>
  </si>
  <si>
    <t xml:space="preserve">8255 OPAL GLEN CT </t>
  </si>
  <si>
    <t xml:space="preserve">MILLER, ROBERT J  </t>
  </si>
  <si>
    <t>NORTHSTAR RANCH 2 LT 276</t>
  </si>
  <si>
    <t>8110 OPAL STATION DR</t>
  </si>
  <si>
    <t xml:space="preserve">THOMPSON, LA RAYNE </t>
  </si>
  <si>
    <t>NORTHSTAR RANCH 2 LT 292</t>
  </si>
  <si>
    <t>1630 JEWEL RIDGE CT</t>
  </si>
  <si>
    <t xml:space="preserve">BECK, MICHAEL T &amp; SHERI M  </t>
  </si>
  <si>
    <t xml:space="preserve">MC GUIRE, JAMES S </t>
  </si>
  <si>
    <t>502-020-14</t>
  </si>
  <si>
    <t>NORTHSTAR RANCH 2 LT 255</t>
  </si>
  <si>
    <t>8015 FIRE OPAL LN</t>
  </si>
  <si>
    <t>PEREZ, NUBIA A A et al</t>
  </si>
  <si>
    <t>NORTHSTAR RANCH 2 LT 231</t>
  </si>
  <si>
    <t>7965 FIRE OPAL LN</t>
  </si>
  <si>
    <t>GONZALEZ, CORBIN L  et al</t>
  </si>
  <si>
    <t xml:space="preserve">2644 SPEARPOINT DR </t>
  </si>
  <si>
    <t>NORTHSTAR RANCH 2 LT 234</t>
  </si>
  <si>
    <t>1670 OPAL STAR DR</t>
  </si>
  <si>
    <t xml:space="preserve">OPAL STAR INVESTMENTS LLC </t>
  </si>
  <si>
    <t>1670 OPAL STAR</t>
  </si>
  <si>
    <t xml:space="preserve">STEIN, GARY &amp; VICKY </t>
  </si>
  <si>
    <t>NORTHSTAR RANCH 2 LT 239</t>
  </si>
  <si>
    <t>7865 FIRE OPAL LN</t>
  </si>
  <si>
    <t xml:space="preserve">TARKANG, MARTIN B &amp; ELIZABETH N  </t>
  </si>
  <si>
    <t xml:space="preserve">7865 FIRE OPAL LN </t>
  </si>
  <si>
    <t>VEGA, SAUL E  et al</t>
  </si>
  <si>
    <t>NORTHSTAR RANCH 2 LT 243</t>
  </si>
  <si>
    <t>7845 FIRE OPAL LN</t>
  </si>
  <si>
    <t>TRUJILLO, JOSE A et al</t>
  </si>
  <si>
    <t xml:space="preserve">GINCHEREAU, TIMOTHY </t>
  </si>
  <si>
    <t>NORTHSTAR RANCH 2 LT 245</t>
  </si>
  <si>
    <t>7810 FIRE OPAL LN</t>
  </si>
  <si>
    <t xml:space="preserve">AZBELL, DONNA  </t>
  </si>
  <si>
    <t xml:space="preserve">7810 FIRE OPAL LN                       </t>
  </si>
  <si>
    <t>NORTHSTAR RANCH 2 LT 204</t>
  </si>
  <si>
    <t>7820 FIRE OPAL LN</t>
  </si>
  <si>
    <t xml:space="preserve">EDESDAHL , DAN J &amp; KAREN  </t>
  </si>
  <si>
    <t xml:space="preserve">BARTLETT, WILLIAM R </t>
  </si>
  <si>
    <t>NORTHSTAR RANCH 2 LT 205</t>
  </si>
  <si>
    <t>8255 OPAL RANCH WAY</t>
  </si>
  <si>
    <t xml:space="preserve">XIAO, JIN Q </t>
  </si>
  <si>
    <t>NORTHSTAR RANCH 3 LT 379</t>
  </si>
  <si>
    <t>8465 OPAL STATION DR</t>
  </si>
  <si>
    <t xml:space="preserve">HINEN, PAUL H &amp; PATRINA R  </t>
  </si>
  <si>
    <t xml:space="preserve">COTRONEO, KELLY E &amp; LYNNAE M  </t>
  </si>
  <si>
    <t>NORTHSTAR RANCH 3 LT 393</t>
  </si>
  <si>
    <t>8355 QUARTZ STAR CT</t>
  </si>
  <si>
    <t xml:space="preserve">LEVERTY, RYAN </t>
  </si>
  <si>
    <t>PO BOX 139</t>
  </si>
  <si>
    <t xml:space="preserve">HERMAN, ROBERT L </t>
  </si>
  <si>
    <t>NORTHSTAR RANCH 3 LT 398</t>
  </si>
  <si>
    <t>8165 FIRE OPAL LN</t>
  </si>
  <si>
    <t xml:space="preserve">LANDIS, ROBERT J &amp; DANIELLE  </t>
  </si>
  <si>
    <t xml:space="preserve">8165 FIRE OPAL LN </t>
  </si>
  <si>
    <t>NORTHSTAR RANCH 3 LT 337</t>
  </si>
  <si>
    <t>8080 FIRE OPAL LN</t>
  </si>
  <si>
    <t>BABACK, BONNIE et al</t>
  </si>
  <si>
    <t xml:space="preserve">8080 FIRE OPAL LN </t>
  </si>
  <si>
    <t>NORTHSTAR RANCH 3 LT 306</t>
  </si>
  <si>
    <t>1700 JEWEL STAR CT</t>
  </si>
  <si>
    <t xml:space="preserve">KUESTERMEYER, JACK </t>
  </si>
  <si>
    <t xml:space="preserve">FLAK, HAAKON L </t>
  </si>
  <si>
    <t>NORTHSTAR RANCH 3 LT 308</t>
  </si>
  <si>
    <t>1745 JEWEL STAR CT</t>
  </si>
  <si>
    <t xml:space="preserve">SIMARD, JACQUES L </t>
  </si>
  <si>
    <t>FABUNAN, BOBETTE B M et al</t>
  </si>
  <si>
    <t>NORTHSTAR RANCH 3 LT 315</t>
  </si>
  <si>
    <t>5065 HITCH RD</t>
  </si>
  <si>
    <t>BREACH, ERIC  et al</t>
  </si>
  <si>
    <t xml:space="preserve">5065 HITCH RD </t>
  </si>
  <si>
    <t>REESE, F MICHAEL  et al</t>
  </si>
  <si>
    <t>HILLCREST EAST LT 38</t>
  </si>
  <si>
    <t>5035 HITCH RD</t>
  </si>
  <si>
    <t xml:space="preserve">MANDEVILLE, ROBERT C  </t>
  </si>
  <si>
    <t xml:space="preserve">5035 HITCH RD </t>
  </si>
  <si>
    <t>GONZALES, JASON R  et al</t>
  </si>
  <si>
    <t>HILLCREST EAST LT 35</t>
  </si>
  <si>
    <t>5015 HITCH RD</t>
  </si>
  <si>
    <t xml:space="preserve">ALLEN, MEGAN R &amp; JACOB R </t>
  </si>
  <si>
    <t>SANCHEZ, JUAN A et al</t>
  </si>
  <si>
    <t>HILLCREST EAST LT 33</t>
  </si>
  <si>
    <t>1465 HAGAR RD</t>
  </si>
  <si>
    <t>BROOKS, GALIN S et al</t>
  </si>
  <si>
    <t>HILLCREST EAST LT 32</t>
  </si>
  <si>
    <t>5020 HITCH RD</t>
  </si>
  <si>
    <t xml:space="preserve">KINDER, MILTON JR  </t>
  </si>
  <si>
    <t xml:space="preserve">5020 HITCH RD </t>
  </si>
  <si>
    <t>RODRIGUEZ, MARTIN D et al</t>
  </si>
  <si>
    <t>HILLCREST EAST LT 43</t>
  </si>
  <si>
    <t>7894 OPAL BLUFF DR</t>
  </si>
  <si>
    <t xml:space="preserve">CAPPS, WESLEY S &amp; AMBER R </t>
  </si>
  <si>
    <t>LOPEZ, FERNANDO M et al</t>
  </si>
  <si>
    <t>NORTHSTAR RANCH PH 4 LT 441</t>
  </si>
  <si>
    <t>7730 OPAL BLUFF DR</t>
  </si>
  <si>
    <t>MANN, JAMES S et al</t>
  </si>
  <si>
    <t>KAVNER JODIE L</t>
  </si>
  <si>
    <t xml:space="preserve">MESINA, OLGA L </t>
  </si>
  <si>
    <t>NORTHSTAR RANCH PH 4 LT 424</t>
  </si>
  <si>
    <t>5 CHARJENE CT</t>
  </si>
  <si>
    <t xml:space="preserve">BEISER, CARMEN &amp; SCOTT A </t>
  </si>
  <si>
    <t xml:space="preserve">KELLEY, STEPHEN D  </t>
  </si>
  <si>
    <t>085-591-10</t>
  </si>
  <si>
    <t>ANDERSON LT 10 BLK A</t>
  </si>
  <si>
    <t>5605 PEARL DR</t>
  </si>
  <si>
    <t>SUN VALLEY (ADJ)</t>
  </si>
  <si>
    <t>LEW, ANNA et al</t>
  </si>
  <si>
    <t>1030 SHOSHONE DR</t>
  </si>
  <si>
    <t xml:space="preserve">HARTMAN, TONY O &amp; PATRICIA M </t>
  </si>
  <si>
    <t>085-301-61</t>
  </si>
  <si>
    <t>SUN VALLEY LT 13 BLK H (RS 3155)</t>
  </si>
  <si>
    <t>5610 LUPIN DR</t>
  </si>
  <si>
    <t>MEDINA, GILBERTO G et al</t>
  </si>
  <si>
    <t>5562 LUPIN DR</t>
  </si>
  <si>
    <t>085-301-03</t>
  </si>
  <si>
    <t>SUN VALLEY 5 FR LT 15 BLK H</t>
  </si>
  <si>
    <t xml:space="preserve"> SUN MESA DR</t>
  </si>
  <si>
    <t xml:space="preserve">NEVADA SALTWATER LLC </t>
  </si>
  <si>
    <t>4230 BONNIE JEAN WAY</t>
  </si>
  <si>
    <t>SUN MESA 2 LT D</t>
  </si>
  <si>
    <t>5515 SUMMER SUN LN</t>
  </si>
  <si>
    <t xml:space="preserve">PONCE, MIRIAM M </t>
  </si>
  <si>
    <t>SUN MESA 1 LT 7</t>
  </si>
  <si>
    <t>5505 SUMMER SUN LN</t>
  </si>
  <si>
    <t xml:space="preserve">SANCHEZ, MATEO G  </t>
  </si>
  <si>
    <t xml:space="preserve">5505 SUMMER SUN LN </t>
  </si>
  <si>
    <t>SUN MESA 1 LT 8</t>
  </si>
  <si>
    <t>5495 SUMMER SUN LN</t>
  </si>
  <si>
    <t xml:space="preserve">FLORSHEIM 2003 CHILDRENS TRUST  </t>
  </si>
  <si>
    <t xml:space="preserve">5495 SUMMER SUN LN </t>
  </si>
  <si>
    <t>FLORSHEIM, BENJAMIN D  LLC</t>
  </si>
  <si>
    <t>SUN MESA 1 LT 9</t>
  </si>
  <si>
    <t>5475 SUMMER SUN LN</t>
  </si>
  <si>
    <t>ATTN MICHAEL FLORSHEIM</t>
  </si>
  <si>
    <t>1701 W MARCH LN - STE D</t>
  </si>
  <si>
    <t xml:space="preserve">FLORSHEIM LAND COMPANY LLC </t>
  </si>
  <si>
    <t>SUN MESA 1 LT 11</t>
  </si>
  <si>
    <t>5465 SUMMER SUN LN</t>
  </si>
  <si>
    <t>SUN MESA 1 LT 12</t>
  </si>
  <si>
    <t>610 SUN MESA DR</t>
  </si>
  <si>
    <t xml:space="preserve">WILLIAMSON, GARY W &amp; MARILYN L </t>
  </si>
  <si>
    <t>SUN MESA 1 LT 35</t>
  </si>
  <si>
    <t>620 SUN MESA DR</t>
  </si>
  <si>
    <t xml:space="preserve">TURNBULL, JIM </t>
  </si>
  <si>
    <t>SUN MESA 1 LT 36</t>
  </si>
  <si>
    <t>630 SUN MESA DR</t>
  </si>
  <si>
    <t xml:space="preserve">GUDIEL, ISIDRO H  </t>
  </si>
  <si>
    <t xml:space="preserve">630 SUN MESA DR </t>
  </si>
  <si>
    <t>SUN MESA 1 LT 37</t>
  </si>
  <si>
    <t>640 SUN MESA DR</t>
  </si>
  <si>
    <t xml:space="preserve">SANDOVAL, MARIA  </t>
  </si>
  <si>
    <t>SUN MESA 1 LT 38</t>
  </si>
  <si>
    <t>645 SUN MESA DR</t>
  </si>
  <si>
    <t xml:space="preserve">DE LA ROSA, FRANCISCO C &amp; MARIA S  </t>
  </si>
  <si>
    <t xml:space="preserve">645 SUN MESA DR </t>
  </si>
  <si>
    <t>SUN MESA 1 LT 50</t>
  </si>
  <si>
    <t>635 SUN MESA DR</t>
  </si>
  <si>
    <t xml:space="preserve">MORGAN, GLENN D &amp; SUSAN </t>
  </si>
  <si>
    <t>SUN MESA 1 LT 49</t>
  </si>
  <si>
    <t>625 SUN MESA DR</t>
  </si>
  <si>
    <t xml:space="preserve">MENDOZA, RICARDO P &amp; LYNADORA A  </t>
  </si>
  <si>
    <t xml:space="preserve">625 SUN MESA DR </t>
  </si>
  <si>
    <t>SUN MESA 1 LT 48</t>
  </si>
  <si>
    <t>615 SUN MESA DR</t>
  </si>
  <si>
    <t xml:space="preserve">DAMON, E LYLE &amp; KAREN </t>
  </si>
  <si>
    <t xml:space="preserve">615 SUN MEASA DR </t>
  </si>
  <si>
    <t>SUN MESA 1 LT 47</t>
  </si>
  <si>
    <t>605 SUN MESA DR</t>
  </si>
  <si>
    <t>GOODMAN, KELLY S  LLC</t>
  </si>
  <si>
    <t xml:space="preserve">605 SUN MESA DR </t>
  </si>
  <si>
    <t>SUN MESA 1 LT 46</t>
  </si>
  <si>
    <t>595 SUN MESA DR</t>
  </si>
  <si>
    <t xml:space="preserve">AUJERO, CATHERINE H &amp; SHERWIN D </t>
  </si>
  <si>
    <t>SUN MESA 1 LT 45</t>
  </si>
  <si>
    <t>585 SUN MESA DR</t>
  </si>
  <si>
    <t>GRABLE, BAILEY et al</t>
  </si>
  <si>
    <t>SUN MESA 1 LT 44</t>
  </si>
  <si>
    <t>5410 SUMMER SUN CT</t>
  </si>
  <si>
    <t xml:space="preserve">WHEELER, JOHN &amp; LISA  </t>
  </si>
  <si>
    <t xml:space="preserve">2649 FRANKLIN RD </t>
  </si>
  <si>
    <t>SUN MESA 1 LT 23</t>
  </si>
  <si>
    <t>5430 SUMMER SUN CT</t>
  </si>
  <si>
    <t>DE CRUZ, ENRIQUETA L et al</t>
  </si>
  <si>
    <t xml:space="preserve">5430 SUMMER SUN CT </t>
  </si>
  <si>
    <t>SUN MESA 1 LT 25</t>
  </si>
  <si>
    <t>610 RISING RIDGE DR</t>
  </si>
  <si>
    <t xml:space="preserve">FINCH, JEFFERY D  </t>
  </si>
  <si>
    <t xml:space="preserve">610 RISING RIDGE DR </t>
  </si>
  <si>
    <t>SUN MESA 1 LT 28</t>
  </si>
  <si>
    <t>5702 AVALANCHE CT</t>
  </si>
  <si>
    <t>PRIESS RANCH 1</t>
  </si>
  <si>
    <t>083-901-05</t>
  </si>
  <si>
    <t>PRIESS RANCH 1 LT 3 BLK A</t>
  </si>
  <si>
    <t>5704 AVALANCHE CT</t>
  </si>
  <si>
    <t xml:space="preserve">CHAVEZ, HECTOR L </t>
  </si>
  <si>
    <t>083-901-06</t>
  </si>
  <si>
    <t>PRIESS RANCH PH 1 LT 2 BLK A</t>
  </si>
  <si>
    <t>5490 TRAPPER CT</t>
  </si>
  <si>
    <t xml:space="preserve">CASALE, DANIELLE S &amp; GARION  </t>
  </si>
  <si>
    <t xml:space="preserve">5490 TRAPPER CT </t>
  </si>
  <si>
    <t>STONE CANYON 2 LT 36</t>
  </si>
  <si>
    <t>5632 RANCH CT</t>
  </si>
  <si>
    <t xml:space="preserve">SMITH, ROBERT D &amp; SUSAN K </t>
  </si>
  <si>
    <t>STONE CANYON 3 LT 159 BLK B</t>
  </si>
  <si>
    <t>5629 RUSTIC CT</t>
  </si>
  <si>
    <t xml:space="preserve">WILKES, RHONDA A </t>
  </si>
  <si>
    <t>STONE CANYON 3 LT 155 BLK B</t>
  </si>
  <si>
    <t>5618 TASSEL DR</t>
  </si>
  <si>
    <t xml:space="preserve">MORROW, STEVEN &amp; MARY </t>
  </si>
  <si>
    <t>PO BOX 3193</t>
  </si>
  <si>
    <t>STONE CANYON 3 LT 145 BLK B</t>
  </si>
  <si>
    <t>5598 OSPREY CT</t>
  </si>
  <si>
    <t xml:space="preserve">BONILLA, NOHEMI </t>
  </si>
  <si>
    <t>HERNANDEZ-MORENO, BONIFACIO et al</t>
  </si>
  <si>
    <t>STONE CANYON 3 LT 130 BLK B</t>
  </si>
  <si>
    <t>5581 DIABLO CT</t>
  </si>
  <si>
    <t>STONE CANYON 3 LT 124 BLK B</t>
  </si>
  <si>
    <t>5586 DIABLO CT</t>
  </si>
  <si>
    <t>BAL, TAJINDER S et al</t>
  </si>
  <si>
    <t>STONE CANYON 3 LT 115 BLK B</t>
  </si>
  <si>
    <t>5548 THORN BERRY CT</t>
  </si>
  <si>
    <t xml:space="preserve">BADILLO-DELGADO, NAYESDI </t>
  </si>
  <si>
    <t>5548 THORNBERRY CT</t>
  </si>
  <si>
    <t xml:space="preserve">MARTINEZ, MARIA </t>
  </si>
  <si>
    <t>STONE CANYON 3 LT 65 BLK A</t>
  </si>
  <si>
    <t>5547 THORN BERRY CT</t>
  </si>
  <si>
    <t xml:space="preserve">STEGE LIVING TRUST, KEITH W  </t>
  </si>
  <si>
    <t>STONE CANYON 3 LT 66 BLK A</t>
  </si>
  <si>
    <t>5576 FIRE WEED CT</t>
  </si>
  <si>
    <t xml:space="preserve">BLOOM, RODNEY &amp; MARIA L </t>
  </si>
  <si>
    <t xml:space="preserve">MARTINEZ, FERNANDO M &amp; LUCILA </t>
  </si>
  <si>
    <t>STONE CANYON 3 LT 79 BLK A</t>
  </si>
  <si>
    <t>5562 CORNFLOWER CT</t>
  </si>
  <si>
    <t xml:space="preserve">PICKEREL, SHIRLEY A </t>
  </si>
  <si>
    <t>STONE CANYON 3 LT 99 BLK B</t>
  </si>
  <si>
    <t>5528 MULBERRY CT</t>
  </si>
  <si>
    <t xml:space="preserve">PETERSON, DWAYNE &amp; JUDITH </t>
  </si>
  <si>
    <t xml:space="preserve">MULBERRY TRUST #5528  </t>
  </si>
  <si>
    <t>STONE CANYON 3 LT 88 BLK B</t>
  </si>
  <si>
    <t>5648 CRANBERRY CT</t>
  </si>
  <si>
    <t xml:space="preserve">GOULDING, KENNETH J &amp; FLORENCE </t>
  </si>
  <si>
    <t>P O BOX 8173</t>
  </si>
  <si>
    <t xml:space="preserve">GREEN, KENNETH W &amp; DEBORAH D </t>
  </si>
  <si>
    <t>STONE CANYON 4 LT 183 BLK A</t>
  </si>
  <si>
    <t>5660 CRANBERRY CT</t>
  </si>
  <si>
    <t xml:space="preserve">KIRBY, TAMMY M </t>
  </si>
  <si>
    <t xml:space="preserve">QUEVEDO, JOSE M &amp; MONICA </t>
  </si>
  <si>
    <t>STONE CANYON 4 LT 189 BLK A</t>
  </si>
  <si>
    <t>5688 PEACH CT</t>
  </si>
  <si>
    <t xml:space="preserve">LORING, STEVEN &amp; PAULA </t>
  </si>
  <si>
    <t>91-1040 PUAMAEOLE ST S</t>
  </si>
  <si>
    <t xml:space="preserve">HI </t>
  </si>
  <si>
    <t>STONE CANYON 4 LT 217 BLK A</t>
  </si>
  <si>
    <t>5691 PEACH CT</t>
  </si>
  <si>
    <t xml:space="preserve">VILLALOBOS, LUIS A  </t>
  </si>
  <si>
    <t xml:space="preserve">5691 PEACH CT </t>
  </si>
  <si>
    <t>STONE CANYON 4 LT 225 BLK A</t>
  </si>
  <si>
    <t>5730 DEWBERRY CT</t>
  </si>
  <si>
    <t>ROBLES-TOSCANO, JOSE et al</t>
  </si>
  <si>
    <t>TORRES MARIA D A</t>
  </si>
  <si>
    <t>STONE CANYON 5 LT 255</t>
  </si>
  <si>
    <t>5843 MAGENTA CT</t>
  </si>
  <si>
    <t>STONE CANYON 6 LT 318 BLK A</t>
  </si>
  <si>
    <t>5848 MAGENTA CT</t>
  </si>
  <si>
    <t>STONE CANYON 6 LT 315 BLK A</t>
  </si>
  <si>
    <t>5856 MAGENTA CT</t>
  </si>
  <si>
    <t xml:space="preserve">SEARS, ASHER </t>
  </si>
  <si>
    <t>STONE CANYON 6 LT 311 BLK A</t>
  </si>
  <si>
    <t>5829 SEPIA CT</t>
  </si>
  <si>
    <t xml:space="preserve">VALDEZ, DAVID M  </t>
  </si>
  <si>
    <t>STONE CANYON 6 LT 286 BLK A</t>
  </si>
  <si>
    <t>5953 SUNROSE CT</t>
  </si>
  <si>
    <t>TOVAR, PHILLIP &amp; JENNIFER et al</t>
  </si>
  <si>
    <t xml:space="preserve">BENNETT, LOREN </t>
  </si>
  <si>
    <t>STONE CANYON 6 LT 615 BLK B</t>
  </si>
  <si>
    <t>5741 CINNAMON CT</t>
  </si>
  <si>
    <t xml:space="preserve">BAKER, JOHN E </t>
  </si>
  <si>
    <t>STONE CANYON 7 LT 340 BLK A</t>
  </si>
  <si>
    <t>5802 APRICOT CT</t>
  </si>
  <si>
    <t>STONE CANYON 7</t>
  </si>
  <si>
    <t xml:space="preserve">EATON, RONALD F &amp; PAMELA D </t>
  </si>
  <si>
    <t xml:space="preserve">DIGIOVANNA, JEROME K </t>
  </si>
  <si>
    <t>STONE CANYON 7 LT 356 BLK A</t>
  </si>
  <si>
    <t>5797 APRICOT CT</t>
  </si>
  <si>
    <t xml:space="preserve">MOORE, ARLYN L III </t>
  </si>
  <si>
    <t xml:space="preserve">ONOFRE, RICARDO F &amp; GUADALUPE M </t>
  </si>
  <si>
    <t>STONE CANYON 7 LT 357 BLK A</t>
  </si>
  <si>
    <t>5857 FOGGY CT</t>
  </si>
  <si>
    <t>MCCARTNEY, JOHN S et al</t>
  </si>
  <si>
    <t xml:space="preserve">ASSURAVEST FUND LLC </t>
  </si>
  <si>
    <t>STONE CANYON 8 LT 391 BLK A</t>
  </si>
  <si>
    <t>768 SUMMER DR</t>
  </si>
  <si>
    <t xml:space="preserve">SEE, JESSICA  </t>
  </si>
  <si>
    <t xml:space="preserve">SHAW, DEBRA L </t>
  </si>
  <si>
    <t>STONE CANYON 8 LT 377 BLK A</t>
  </si>
  <si>
    <t>783 SUMMER DR</t>
  </si>
  <si>
    <t>HERNANDEZ, JOVANA F et al</t>
  </si>
  <si>
    <t xml:space="preserve">NIJJAR, HARVINDER </t>
  </si>
  <si>
    <t>STONE CANYON 8 LT 440 BLK A</t>
  </si>
  <si>
    <t>787 SUMMER DR</t>
  </si>
  <si>
    <t xml:space="preserve">GLEBA, COLBY W </t>
  </si>
  <si>
    <t>STONE CANYON 8 LT 438 BLK A</t>
  </si>
  <si>
    <t>780 SUMMER DR</t>
  </si>
  <si>
    <t>STONE CANYON 8 LT 427 BLK A</t>
  </si>
  <si>
    <t>776 SUMMER DR</t>
  </si>
  <si>
    <t xml:space="preserve">FRAGOSO-SANCHEZ, EMILY </t>
  </si>
  <si>
    <t xml:space="preserve">WRIGHT, ROBERT W &amp; NANCY L </t>
  </si>
  <si>
    <t>STONE CANYON 8 LT 425 BLK A</t>
  </si>
  <si>
    <t>5909 POINSETTIA CT</t>
  </si>
  <si>
    <t xml:space="preserve">BLUETT, CRAIG A &amp; JOANNE L  </t>
  </si>
  <si>
    <t xml:space="preserve">5909 POINSETTIA CT </t>
  </si>
  <si>
    <t>STONE CANYON 10 LT 561</t>
  </si>
  <si>
    <t>5914 POINSETTIA CT</t>
  </si>
  <si>
    <t xml:space="preserve">HAMM, BERNARD L &amp; MARGARET K </t>
  </si>
  <si>
    <t>HERNANDEZ-BARAJAS, GAUDENCIO et al</t>
  </si>
  <si>
    <t>STONE CANYON 10 LT 553</t>
  </si>
  <si>
    <t>834 CLOUDY CT</t>
  </si>
  <si>
    <t xml:space="preserve">PETERSON, CHRISTINA L </t>
  </si>
  <si>
    <t>834 CLOUDY CDT</t>
  </si>
  <si>
    <t>HERNANDEZ-GRANADOS, JUAN et al</t>
  </si>
  <si>
    <t>STONE CANYON 10 LT 530 BLK A</t>
  </si>
  <si>
    <t>761 SNOWDROP CT</t>
  </si>
  <si>
    <t>RULE, MARY JANE et al</t>
  </si>
  <si>
    <t xml:space="preserve">RULE, MARY JANE </t>
  </si>
  <si>
    <t>STONE CANYON 9 LT 472 BLK A</t>
  </si>
  <si>
    <t>767 SNOWDROP CT</t>
  </si>
  <si>
    <t>STONE CANYON 9 LT 475 BLK A</t>
  </si>
  <si>
    <t xml:space="preserve">HSU, VINCENT </t>
  </si>
  <si>
    <t>815 TRADEWINDS CT</t>
  </si>
  <si>
    <t xml:space="preserve">HERNANDEZ, DOMINGO G </t>
  </si>
  <si>
    <t>STONE CANYON 9 LT 497 BLK A</t>
  </si>
  <si>
    <t>864 BLIZZARD CT</t>
  </si>
  <si>
    <t xml:space="preserve">GILLESPIE, ROBERT L &amp; SHAWNA R </t>
  </si>
  <si>
    <t>STONE CANYON 9 LT 511 BLK A</t>
  </si>
  <si>
    <t>5958 GARDENIA CT</t>
  </si>
  <si>
    <t xml:space="preserve">BALL, KILE R </t>
  </si>
  <si>
    <t xml:space="preserve">PROVENZANO, DANA R </t>
  </si>
  <si>
    <t>STONE CANYON 11 LT 601 BLK A</t>
  </si>
  <si>
    <t>5965 GARDENIA CT</t>
  </si>
  <si>
    <t>STONE CANYON 11 LT 609 BLK A</t>
  </si>
  <si>
    <t>5924 BEGONIA CT</t>
  </si>
  <si>
    <t xml:space="preserve">MUNOZ-RAMIREZ, JOSEFINA </t>
  </si>
  <si>
    <t xml:space="preserve">GARCIA, FRANCISCO </t>
  </si>
  <si>
    <t>STONE CANYON 11 LT 585 BLK A</t>
  </si>
  <si>
    <t>5932 BEGONIA CT</t>
  </si>
  <si>
    <t xml:space="preserve">WRIGHT, STEVEN L &amp; PATRICIA L  </t>
  </si>
  <si>
    <t xml:space="preserve">5932 BEGONIA CT </t>
  </si>
  <si>
    <t xml:space="preserve">LEWIS, DAVID A </t>
  </si>
  <si>
    <t>STONE CANYON 11 LT 589 BLK A</t>
  </si>
  <si>
    <t>285 PARKFIELD DR</t>
  </si>
  <si>
    <t>PM 3392</t>
  </si>
  <si>
    <t xml:space="preserve">MACDONALD, MALCOLM N </t>
  </si>
  <si>
    <t xml:space="preserve">HOYT, FLOYD </t>
  </si>
  <si>
    <t>506-021-31</t>
  </si>
  <si>
    <t>PM 3392 LT 1</t>
  </si>
  <si>
    <t>277 PARKFIELD DR</t>
  </si>
  <si>
    <t>MICK, VIRGINIA L et al</t>
  </si>
  <si>
    <t>PM 3392 LT 4</t>
  </si>
  <si>
    <t>5820 SUNDOWN DR</t>
  </si>
  <si>
    <t xml:space="preserve">KLAVER, KELLY L </t>
  </si>
  <si>
    <t xml:space="preserve">KLAYER, KELLY L </t>
  </si>
  <si>
    <t>085-350-06</t>
  </si>
  <si>
    <t>5850 SUNDOWN DR</t>
  </si>
  <si>
    <t xml:space="preserve">HALL, MICHAEL C &amp; YVONNE G  </t>
  </si>
  <si>
    <t xml:space="preserve">5850 SUNDDOWN DR </t>
  </si>
  <si>
    <t>085-350-09</t>
  </si>
  <si>
    <t>5835 SUNDOWN DR</t>
  </si>
  <si>
    <t>FR NE4 OF NW4</t>
  </si>
  <si>
    <t xml:space="preserve">DUFF, PHILLIP R  </t>
  </si>
  <si>
    <t>520 NATOMA ST APT 12</t>
  </si>
  <si>
    <t>085-350-12</t>
  </si>
  <si>
    <t>FR NE4 OF NW4 SEC 18 TWP 20 RGE 20</t>
  </si>
  <si>
    <t>5845 CONTI CIR</t>
  </si>
  <si>
    <t>PM 4667</t>
  </si>
  <si>
    <t xml:space="preserve">MAX PROFITS INC TRUSTEE  </t>
  </si>
  <si>
    <t>P O BOX 10767</t>
  </si>
  <si>
    <t>506-030-22</t>
  </si>
  <si>
    <t>PM 4667 LT 3</t>
  </si>
  <si>
    <t>5888 MIDDLE FORK DR</t>
  </si>
  <si>
    <t>ZAVALA, HONORIO et al</t>
  </si>
  <si>
    <t>085-402-29</t>
  </si>
  <si>
    <t>165 SERGEI ST</t>
  </si>
  <si>
    <t>S &amp; S EST</t>
  </si>
  <si>
    <t>085-404-04</t>
  </si>
  <si>
    <t>S &amp; S EST LT 6</t>
  </si>
  <si>
    <t>5851 APPLEGATE DR</t>
  </si>
  <si>
    <t>S &amp; S ESTATES</t>
  </si>
  <si>
    <t xml:space="preserve">MCKAY, KRISTY </t>
  </si>
  <si>
    <t>316 CALIFORNIA AVE # 148</t>
  </si>
  <si>
    <t xml:space="preserve">ZEMA FAMILY TRUST  </t>
  </si>
  <si>
    <t>085-383-02</t>
  </si>
  <si>
    <t>S &amp; S ESTATES LOT 16</t>
  </si>
  <si>
    <t>110 SERGEI ST</t>
  </si>
  <si>
    <t>DESERT VIEW</t>
  </si>
  <si>
    <t xml:space="preserve">ALCARAZ, JOSE M </t>
  </si>
  <si>
    <t>506-043-18</t>
  </si>
  <si>
    <t>DESERT VIEW LT 2 BLK A</t>
  </si>
  <si>
    <t>5886 LEON DR</t>
  </si>
  <si>
    <t>PM 1026</t>
  </si>
  <si>
    <t xml:space="preserve">EVERIDGE, ROGER D &amp; STEPHANIE  </t>
  </si>
  <si>
    <t xml:space="preserve">5886 LEON DR </t>
  </si>
  <si>
    <t>085-421-50</t>
  </si>
  <si>
    <t>PM 1026 LT 2</t>
  </si>
  <si>
    <t>480 9TH AVE</t>
  </si>
  <si>
    <t xml:space="preserve">GUERRA, ALMA  </t>
  </si>
  <si>
    <t>480 E 9TH AVE</t>
  </si>
  <si>
    <t>085-510-09</t>
  </si>
  <si>
    <t>SUN VALLEY 5 FR LT 1 BLK B</t>
  </si>
  <si>
    <t>5889 YUKON DR</t>
  </si>
  <si>
    <t>SUN VALLEY SUB NO 5 FR N2</t>
  </si>
  <si>
    <t>LUNA, GLORIA J  et al</t>
  </si>
  <si>
    <t>5889 YUDON DR</t>
  </si>
  <si>
    <t>HILL, GLORIA E et al</t>
  </si>
  <si>
    <t>085-510-13</t>
  </si>
  <si>
    <t>SUN VALLEY SUB NO 5 FR N2 LOT 1 BLK B</t>
  </si>
  <si>
    <t>456 9TH AVE</t>
  </si>
  <si>
    <t>RS 1585</t>
  </si>
  <si>
    <t>085-510-29</t>
  </si>
  <si>
    <t>RS 1585 LT 3</t>
  </si>
  <si>
    <t>310 STONE CORRAL CT</t>
  </si>
  <si>
    <t>STONE CORRAL COURT</t>
  </si>
  <si>
    <t>506-061-40</t>
  </si>
  <si>
    <t>STONE CORRAL COURT LT 11 BLK A</t>
  </si>
  <si>
    <t>318 STONE CORRAL CT</t>
  </si>
  <si>
    <t xml:space="preserve">318 STONE CORRAL COURT TRUST  </t>
  </si>
  <si>
    <t>C/O THOMAS A MONTESANO TRUSTEE</t>
  </si>
  <si>
    <t>STONE CORRAL COURT LT 9 BLK A</t>
  </si>
  <si>
    <t>5732 TANBERG DR</t>
  </si>
  <si>
    <t>MALONE DOUGLAS</t>
  </si>
  <si>
    <t>MARTINEZ, MAURICIO C JR  et al</t>
  </si>
  <si>
    <t xml:space="preserve">5732 TANBERG DR </t>
  </si>
  <si>
    <t xml:space="preserve">MARTINEZ, MAURICIO C JR  </t>
  </si>
  <si>
    <t>085-371-07</t>
  </si>
  <si>
    <t>MALONE DOUGLAS LT 4 BLK A</t>
  </si>
  <si>
    <t>325 BARREL SPRINGS RD</t>
  </si>
  <si>
    <t>JUNIPER TER MBL HM EST 6B</t>
  </si>
  <si>
    <t>PO BOX 3271</t>
  </si>
  <si>
    <t>083-413-05</t>
  </si>
  <si>
    <t>JUNIPER TERRACE MH EST 6-B LT 22</t>
  </si>
  <si>
    <t>6145 CHIMNEY RD</t>
  </si>
  <si>
    <t xml:space="preserve">FREEMAN, ROBERT V </t>
  </si>
  <si>
    <t>6145 CHIMNEY DR</t>
  </si>
  <si>
    <t xml:space="preserve">OLSON, MARGARET </t>
  </si>
  <si>
    <t>083-422-08</t>
  </si>
  <si>
    <t>JUNIPER TERRACE MH EST 6-B LT 82</t>
  </si>
  <si>
    <t>6185 CHIMNEY RD</t>
  </si>
  <si>
    <t>JUNIPER TER MH EST 6B</t>
  </si>
  <si>
    <t xml:space="preserve">SANDAU, RONALD R </t>
  </si>
  <si>
    <t>6185 CHIMNEY DR</t>
  </si>
  <si>
    <t>083-422-04</t>
  </si>
  <si>
    <t>JUNIPER TERRACE MH EST 6-B  LT 78</t>
  </si>
  <si>
    <t>6165 CHIMNEY RD</t>
  </si>
  <si>
    <t>SCHABERT, SHANNON BUYER</t>
  </si>
  <si>
    <t xml:space="preserve">HIGH VALLEY HOUSING TRUST  </t>
  </si>
  <si>
    <t>083-422-06</t>
  </si>
  <si>
    <t>JUNIPER TERRACE MH EST 6-B LT 80</t>
  </si>
  <si>
    <t>230 UNION MILLS RD</t>
  </si>
  <si>
    <t>HERRERA-HIDALGO, ALONSO et al</t>
  </si>
  <si>
    <t>HERRERA CRISTABEL C</t>
  </si>
  <si>
    <t xml:space="preserve">BOYNTON, DEBRA </t>
  </si>
  <si>
    <t>083-373-19</t>
  </si>
  <si>
    <t>JUNIPER TERRACE MH EST 6-A LT 15</t>
  </si>
  <si>
    <t>200 MIDDLE FORK PL</t>
  </si>
  <si>
    <t xml:space="preserve">GEE, RUTH F </t>
  </si>
  <si>
    <t>MC HENRY, THEODORE et al</t>
  </si>
  <si>
    <t>083-374-13</t>
  </si>
  <si>
    <t>FR E2  E2 SEC 7 TWP 20 RGE 20</t>
  </si>
  <si>
    <t>5986 AMARGOSA DR</t>
  </si>
  <si>
    <t>JUNIPER TER MBL HME EST 5</t>
  </si>
  <si>
    <t xml:space="preserve">MEINERT, DOROTHY </t>
  </si>
  <si>
    <t>083-341-07</t>
  </si>
  <si>
    <t>JUNIPER TERRACE MH EST 5 LT 72</t>
  </si>
  <si>
    <t>6002 AMARGOSA DR</t>
  </si>
  <si>
    <t>JUNIPER TERRACE MBL EST 5</t>
  </si>
  <si>
    <t xml:space="preserve">SHUMWAY, DAVID </t>
  </si>
  <si>
    <t>5309 TORBIE CIRCLE</t>
  </si>
  <si>
    <t>083-341-11</t>
  </si>
  <si>
    <t>JUNIPER TERRACE MH EST 5 LT 76</t>
  </si>
  <si>
    <t>6080 MIDDLE FORK DR</t>
  </si>
  <si>
    <t>JUNIPER TER MBLE HM EST 7</t>
  </si>
  <si>
    <t xml:space="preserve">IZAGUIRRE, RAQUEL M </t>
  </si>
  <si>
    <t>194 SMITHRIDGE PKWY</t>
  </si>
  <si>
    <t xml:space="preserve">NEMETH, STEPHEN M &amp; BELINDA </t>
  </si>
  <si>
    <t>083-360-10</t>
  </si>
  <si>
    <t>JUNIPER TERRACE MH EST 7 LT 5 BLK A</t>
  </si>
  <si>
    <t>215 DANFORTH DR</t>
  </si>
  <si>
    <t>083-353-03</t>
  </si>
  <si>
    <t>JUNIPER TERRACE MH EST 5 LT 19</t>
  </si>
  <si>
    <t>6031 MIDDLE FORK DR</t>
  </si>
  <si>
    <t xml:space="preserve">STUART, JAMES R &amp; ARLEEN R  </t>
  </si>
  <si>
    <t xml:space="preserve">6031 MIDDLE FORK DR </t>
  </si>
  <si>
    <t>083-334-10</t>
  </si>
  <si>
    <t>JUNIPER TERRACE MH EST 5 LT 16</t>
  </si>
  <si>
    <t>145 HERITAGE DR</t>
  </si>
  <si>
    <t xml:space="preserve">MACHUTTA, STEPHEN SR </t>
  </si>
  <si>
    <t>PO BOX 5567</t>
  </si>
  <si>
    <t xml:space="preserve">KEMP, LILLIAN N </t>
  </si>
  <si>
    <t>083-343-06</t>
  </si>
  <si>
    <t>JUNIPER TERRACE MH EST 5 LT 101</t>
  </si>
  <si>
    <t>5995 AMARGOSA DR</t>
  </si>
  <si>
    <t>JUNIPER TERRACE 5</t>
  </si>
  <si>
    <t xml:space="preserve">ESPINOZA, JUAN  </t>
  </si>
  <si>
    <t>083-342-04</t>
  </si>
  <si>
    <t>JUNIPER TERRACE MH EST 5  LT 88</t>
  </si>
  <si>
    <t>6075 MIDDLE FORK DR</t>
  </si>
  <si>
    <t xml:space="preserve">MURPHY, KEVIN  </t>
  </si>
  <si>
    <t>6075 MIDDLE FORK</t>
  </si>
  <si>
    <t>083-351-07</t>
  </si>
  <si>
    <t>JUNIPER TERRACE MH EST 5 LT 77</t>
  </si>
  <si>
    <t>200 BATHURST DR</t>
  </si>
  <si>
    <t xml:space="preserve">LAIRD, OWEN F </t>
  </si>
  <si>
    <t xml:space="preserve">POWELL, DONNA L </t>
  </si>
  <si>
    <t>083-351-02</t>
  </si>
  <si>
    <t>JUNIPER TERRACE MH EST 5 LT 82</t>
  </si>
  <si>
    <t>230 DANFORTH DR</t>
  </si>
  <si>
    <t>CHARLWOOD, DANIEL T et al</t>
  </si>
  <si>
    <t>KELLY JUDY</t>
  </si>
  <si>
    <t xml:space="preserve">DELGADO, ANGEL A </t>
  </si>
  <si>
    <t>083-352-02</t>
  </si>
  <si>
    <t>JUNIPER TERRACE MH EST 5 LT 25</t>
  </si>
  <si>
    <t>135 HERITAGE DR</t>
  </si>
  <si>
    <t xml:space="preserve">STOCKFORD, KENNY W &amp; CHRISTY M </t>
  </si>
  <si>
    <t>GODDARD , FRANCES M et al</t>
  </si>
  <si>
    <t>083-343-07</t>
  </si>
  <si>
    <t>JUNIPER TERRACE MH EST 5 LT 102</t>
  </si>
  <si>
    <t>6085 EASTGATE DR</t>
  </si>
  <si>
    <t>GONZALEZ, ANTONIO et al</t>
  </si>
  <si>
    <t xml:space="preserve">GONZALEZ, ANTONIO </t>
  </si>
  <si>
    <t>083-045-03</t>
  </si>
  <si>
    <t>JUNIPER TERRACE MH EST 2 LT 3</t>
  </si>
  <si>
    <t>6000 EASTGATE DR</t>
  </si>
  <si>
    <t>JUNIPER TERRACE 1</t>
  </si>
  <si>
    <t xml:space="preserve">EGGER, WILLIAM E </t>
  </si>
  <si>
    <t xml:space="preserve">PO BOX 2609 </t>
  </si>
  <si>
    <t>083-031-13</t>
  </si>
  <si>
    <t>JUNIPER TERRACE MH EST 1 LT 13</t>
  </si>
  <si>
    <t>6010 SUMMIT CIR</t>
  </si>
  <si>
    <t>JUNIPER TER MBL HM EST #1</t>
  </si>
  <si>
    <t xml:space="preserve">RENTERIA, ERIC M &amp; LORRAINE A </t>
  </si>
  <si>
    <t>6010 SUMMITT CIR</t>
  </si>
  <si>
    <t xml:space="preserve">COHEN LIVING TRUST, ALVIN E   </t>
  </si>
  <si>
    <t>083-031-14</t>
  </si>
  <si>
    <t>JUNIPER TERRACE MH EST 1 LT 14</t>
  </si>
  <si>
    <t>5916 PAHRUMP CIR</t>
  </si>
  <si>
    <t xml:space="preserve">HYATT, MARICELA  </t>
  </si>
  <si>
    <t xml:space="preserve">JOHNSON, BETTY L </t>
  </si>
  <si>
    <t>083-031-07</t>
  </si>
  <si>
    <t>JUNIPER TERRACE MH EST 1 LT 7</t>
  </si>
  <si>
    <t>5910 LEON DR</t>
  </si>
  <si>
    <t>JUNIPER TERRACE MH EST 1</t>
  </si>
  <si>
    <t xml:space="preserve">RAMIREZ, MARTIN  </t>
  </si>
  <si>
    <t>BARRAZA, JOEL et al</t>
  </si>
  <si>
    <t>083-034-02</t>
  </si>
  <si>
    <t>JUNIPER TERRACE MH EST 1 LT 47</t>
  </si>
  <si>
    <t>174 LOST CIR</t>
  </si>
  <si>
    <t>JUNIPER TERRACE MH EST 3</t>
  </si>
  <si>
    <t xml:space="preserve">GUTIERREZ-PORTUGUEZ, DIEGO A </t>
  </si>
  <si>
    <t xml:space="preserve">LEFLER, REUBEN &amp; CINDY M </t>
  </si>
  <si>
    <t>083-321-09</t>
  </si>
  <si>
    <t>JUNIPER TERRACE MH EST 3  LT 39</t>
  </si>
  <si>
    <t>6245 YAKIMA CT</t>
  </si>
  <si>
    <t xml:space="preserve">GARCIA-GARCIA, JULIANA D &amp; JORGE L </t>
  </si>
  <si>
    <t xml:space="preserve">RAMIREZ, ANDRES </t>
  </si>
  <si>
    <t>STONE CREEK 1 LT 74</t>
  </si>
  <si>
    <t>6280 YAKIMA CT</t>
  </si>
  <si>
    <t>STONE CREEK PH 1</t>
  </si>
  <si>
    <t xml:space="preserve">MORELOS, TRINIDAD A </t>
  </si>
  <si>
    <t xml:space="preserve">CAREY, MARK J </t>
  </si>
  <si>
    <t>STONE CREEK 1 LT 67</t>
  </si>
  <si>
    <t>6250 KLIKITAT CT</t>
  </si>
  <si>
    <t xml:space="preserve">WHITE, BRANON J </t>
  </si>
  <si>
    <t>6250 KLIKATAT CT</t>
  </si>
  <si>
    <t>STONE CREEK 1 LT 101</t>
  </si>
  <si>
    <t>6300 KLIKITAT CT</t>
  </si>
  <si>
    <t xml:space="preserve">SALDANA, ELIZABETH </t>
  </si>
  <si>
    <t xml:space="preserve">6300 KLIKATAT CT  </t>
  </si>
  <si>
    <t>STONE CREEK 1 LT 96</t>
  </si>
  <si>
    <t>6235 CHOCTAW CT</t>
  </si>
  <si>
    <t xml:space="preserve">BURTON, DOUGLAS W &amp; LELA K  </t>
  </si>
  <si>
    <t xml:space="preserve">6235 W CHOCTAW CT </t>
  </si>
  <si>
    <t xml:space="preserve">YANCY, YVETTE M </t>
  </si>
  <si>
    <t>STONE CREEK 2 LT 58 BLK A</t>
  </si>
  <si>
    <t>6225 CHOCTAW CT</t>
  </si>
  <si>
    <t>STONE CREEK PH II</t>
  </si>
  <si>
    <t>LAMAS, ANA R et al</t>
  </si>
  <si>
    <t>STONE CREEK 2 LT 57 BLK A</t>
  </si>
  <si>
    <t>6225 CHINOOK CT</t>
  </si>
  <si>
    <t xml:space="preserve">TIMMERMAN, KYLE </t>
  </si>
  <si>
    <t>STONE CREEK 2 LT 26 BLK A</t>
  </si>
  <si>
    <t>6240 CROW CT</t>
  </si>
  <si>
    <t>STONE CREEK 2 LT 6 BLK A</t>
  </si>
  <si>
    <t>6415 MARICOPA CT</t>
  </si>
  <si>
    <t xml:space="preserve">SATTERLEE, SARA </t>
  </si>
  <si>
    <t>STONE CREEK 3 LT 163 BLK A</t>
  </si>
  <si>
    <t>6395 MONO CT</t>
  </si>
  <si>
    <t>STONE CREEK PH 3</t>
  </si>
  <si>
    <t xml:space="preserve">DAVIS, LORRAINE L </t>
  </si>
  <si>
    <t>STONE CREEK 3 LT 150 BLK A</t>
  </si>
  <si>
    <t>6335 E CROW CT</t>
  </si>
  <si>
    <t xml:space="preserve">GONZALEZ, LISETTE </t>
  </si>
  <si>
    <t>WATSON, FRANK Y et al</t>
  </si>
  <si>
    <t>STONE CREEK 3 LT 128 BLK A</t>
  </si>
  <si>
    <t>6325 E CROW CT</t>
  </si>
  <si>
    <t xml:space="preserve">DOMINGUEZ, JORGE I &amp; VALERIE </t>
  </si>
  <si>
    <t xml:space="preserve">6325 E CROW CT </t>
  </si>
  <si>
    <t xml:space="preserve">TRACY, SCOTT D </t>
  </si>
  <si>
    <t>STONE CREEK 3 LT 129 BLK A</t>
  </si>
  <si>
    <t>6320 E CREE CT</t>
  </si>
  <si>
    <t>STONE CREEK PHASE IV</t>
  </si>
  <si>
    <t>STONE CREEK 4 LT 210 BLK A</t>
  </si>
  <si>
    <t>6345 E CREE CT</t>
  </si>
  <si>
    <t>JOHNSON, BRITTANY L et al</t>
  </si>
  <si>
    <t>STONE CREEK 4 LT 205 BLK A</t>
  </si>
  <si>
    <t>6305 E CHOCTAW CT</t>
  </si>
  <si>
    <t xml:space="preserve">GARCIA, JAVIER G  </t>
  </si>
  <si>
    <t>STONE CREEK  4 LT 189 BLK A</t>
  </si>
  <si>
    <t>6385 ZUNI CT</t>
  </si>
  <si>
    <t xml:space="preserve">DIERENGA LIVING TRUST  </t>
  </si>
  <si>
    <t>STONE CREEK 4 LT 174 BLK A</t>
  </si>
  <si>
    <t>6365 ZUNI CT</t>
  </si>
  <si>
    <t>STONE CREEK 4 LT 172 BLK A</t>
  </si>
  <si>
    <t>6410 ZUNI CT</t>
  </si>
  <si>
    <t>STONE CREEK 4 LT 164 BLK  A</t>
  </si>
  <si>
    <t>6305 POTOMAC CT</t>
  </si>
  <si>
    <t xml:space="preserve">LOPEZ, CHRISTOPHER A </t>
  </si>
  <si>
    <t xml:space="preserve">PECHNIK, KIMBERLEE A </t>
  </si>
  <si>
    <t>STONE CREEK 5 LT 247 BLK A</t>
  </si>
  <si>
    <t>6310 PIMA CT</t>
  </si>
  <si>
    <t xml:space="preserve">CARSTEN, THERESA S </t>
  </si>
  <si>
    <t xml:space="preserve">QUINONEZ, HELEODORO &amp; PILAR G </t>
  </si>
  <si>
    <t>STONE CREEK 5 LT 245 BLK A</t>
  </si>
  <si>
    <t>6320 PIMA CT</t>
  </si>
  <si>
    <t xml:space="preserve">KARELS, RAYMOND E </t>
  </si>
  <si>
    <t>STONE CREEK 5 LT 244 BLK A</t>
  </si>
  <si>
    <t>6315 PIMA CT</t>
  </si>
  <si>
    <t xml:space="preserve">PALOMINO, FRANCISCO J &amp; OLIVIA  </t>
  </si>
  <si>
    <t xml:space="preserve">6315 PIMA CT </t>
  </si>
  <si>
    <t xml:space="preserve">VELASCO, LAURA </t>
  </si>
  <si>
    <t>STONE CREEK 5 LT 234 BLK A</t>
  </si>
  <si>
    <t>6355 MOHEGAN CT</t>
  </si>
  <si>
    <t xml:space="preserve">RHODES, LARRY &amp; MARY </t>
  </si>
  <si>
    <t xml:space="preserve">6355 MOHEGAN CT </t>
  </si>
  <si>
    <t>STONE CREEK 5 LT 218  BLK A</t>
  </si>
  <si>
    <t>6335 KLAMATH CT</t>
  </si>
  <si>
    <t>BENT, CATHERINE A  et al</t>
  </si>
  <si>
    <t xml:space="preserve">6335 KLAMATH CT </t>
  </si>
  <si>
    <t>STONE CREEK 6 LT 280 BLK A</t>
  </si>
  <si>
    <t>6355 YUKON DR</t>
  </si>
  <si>
    <t xml:space="preserve">SKICKLIG, RICHARD L </t>
  </si>
  <si>
    <t>STONE CREEK 6 LT 272 BLK A</t>
  </si>
  <si>
    <t>6545 TEJON CT</t>
  </si>
  <si>
    <t xml:space="preserve">DE VACA-ASCENCIO, ROSA C </t>
  </si>
  <si>
    <t>STONE CREEK 7 LT 342 BLK A</t>
  </si>
  <si>
    <t>6570 OGALA CT</t>
  </si>
  <si>
    <t>6525 OGLALA CT</t>
  </si>
  <si>
    <t>STONE CREEK 7 LT 305 BLK A</t>
  </si>
  <si>
    <t>6406 ALEUT CT</t>
  </si>
  <si>
    <t>WEEKS, MICHELLE L  et al</t>
  </si>
  <si>
    <t xml:space="preserve">6406 ALEUT CT </t>
  </si>
  <si>
    <t>STONE CREEK 8 LT 360 BLK A</t>
  </si>
  <si>
    <t>6422 MIWOK CT</t>
  </si>
  <si>
    <t xml:space="preserve">RIZZO, STEVEN S  </t>
  </si>
  <si>
    <t>STONE CREEK 8 LT 391 BLK B</t>
  </si>
  <si>
    <t>6467 EDISTO CT</t>
  </si>
  <si>
    <t>RICH, CHRISTOPHER L et al</t>
  </si>
  <si>
    <t>LANDERS-CHILDS, ZELLA C et al</t>
  </si>
  <si>
    <t>STONE CREEK 9 LT 429 BLK B</t>
  </si>
  <si>
    <t>6408 SAMISH CT</t>
  </si>
  <si>
    <t xml:space="preserve">MCFARLANE, STEPHEN C &amp; PATTY J </t>
  </si>
  <si>
    <t>1421 FRAUN CT</t>
  </si>
  <si>
    <t xml:space="preserve">MEDRANO, GONZALO </t>
  </si>
  <si>
    <t>STONE CREEK 9 LT 441 BLK B</t>
  </si>
  <si>
    <t>6464 ESKIMO DR</t>
  </si>
  <si>
    <t>STONE CREEK 10 LT 482 BLK B</t>
  </si>
  <si>
    <t>6482 CADDO CT</t>
  </si>
  <si>
    <t xml:space="preserve">WARBURTON, JEFFREY P </t>
  </si>
  <si>
    <t>6400 CADDO ST</t>
  </si>
  <si>
    <t>STONE CREEK 10 LT 486 BLK B</t>
  </si>
  <si>
    <t>6486 CADDO CT</t>
  </si>
  <si>
    <t xml:space="preserve">PARSHLEY, CHRISTOPHER A </t>
  </si>
  <si>
    <t>STONE CREEK 10 LT 487 BLK B</t>
  </si>
  <si>
    <t>6466 CHUMASH CT</t>
  </si>
  <si>
    <t>STONE CREEK PH 10</t>
  </si>
  <si>
    <t xml:space="preserve">CALUYA, FLOREN U &amp; VICTORIA U </t>
  </si>
  <si>
    <t>STONE CREEK 10 LT 496  BLK B</t>
  </si>
  <si>
    <t>6425 COQUILLE CT</t>
  </si>
  <si>
    <t>SHARMA, ROHIT et al</t>
  </si>
  <si>
    <t xml:space="preserve">SEGURA, MACEDONIO </t>
  </si>
  <si>
    <t>STONE CREEK 10 LT 515 BLK B</t>
  </si>
  <si>
    <t>6410 MICMAC CT</t>
  </si>
  <si>
    <t xml:space="preserve">LASSONDE, JOEY A II &amp; AMY D </t>
  </si>
  <si>
    <t>STONE CREEK 10 LT 460 BLK A</t>
  </si>
  <si>
    <t>6485 ONEIDA CT</t>
  </si>
  <si>
    <t xml:space="preserve">FERNANDEZ-OROZCO, ROXANA C </t>
  </si>
  <si>
    <t xml:space="preserve">6485 ONEIDA CT </t>
  </si>
  <si>
    <t>STONE CREEK 10 LT 456 BLK A</t>
  </si>
  <si>
    <t>6483 ONEIDA CT</t>
  </si>
  <si>
    <t xml:space="preserve">MARTINEZ, MARIA L </t>
  </si>
  <si>
    <t xml:space="preserve">DODD, MICHAEL &amp; SONYA </t>
  </si>
  <si>
    <t>STONE CREEK 10 LT 455 BLK A</t>
  </si>
  <si>
    <t>6481 ONEIDA CT</t>
  </si>
  <si>
    <t xml:space="preserve">MANDUJANO, JOSE F &amp; MARIA L  </t>
  </si>
  <si>
    <t xml:space="preserve">6481 ONEIDA CT </t>
  </si>
  <si>
    <t>REIZENSTEIN, ROY E et al</t>
  </si>
  <si>
    <t>STONE CREEK 10 LT 454 BLK A</t>
  </si>
  <si>
    <t>7251 LEONARDO CT</t>
  </si>
  <si>
    <t xml:space="preserve">GARCIA, CARLOS BARAJAS </t>
  </si>
  <si>
    <t>7251 LEONARDO ST</t>
  </si>
  <si>
    <t>STONE CREST 1 LT 102</t>
  </si>
  <si>
    <t>7211 LEONARDO CT</t>
  </si>
  <si>
    <t>STONE CREST 1 LT 109</t>
  </si>
  <si>
    <t>725 DA VINCI CT</t>
  </si>
  <si>
    <t xml:space="preserve">HAWKINS, DAVID K &amp; SUSAN M </t>
  </si>
  <si>
    <t>4565 MAXINE DR</t>
  </si>
  <si>
    <t>STONE CREST 1 LT 1</t>
  </si>
  <si>
    <t>7291 RAPHAEL DR</t>
  </si>
  <si>
    <t xml:space="preserve">BARAJAS, ABRAHAM G  </t>
  </si>
  <si>
    <t xml:space="preserve">7291 RAPHAEL DR </t>
  </si>
  <si>
    <t>STONE CREST 1 LT 29</t>
  </si>
  <si>
    <t>7261 RAPHAEL DR</t>
  </si>
  <si>
    <t xml:space="preserve">ALBION, JUSTIN M &amp; SUSAN M  </t>
  </si>
  <si>
    <t xml:space="preserve">7261 RAPHAEL DR </t>
  </si>
  <si>
    <t xml:space="preserve">MYERS, CHEYENNE </t>
  </si>
  <si>
    <t>STONE CREST 1 LT 30</t>
  </si>
  <si>
    <t>7335 WARHOL DR</t>
  </si>
  <si>
    <t xml:space="preserve">CORTEZ, CLARIBEL M  </t>
  </si>
  <si>
    <t>STONE CREST 2 LT 47</t>
  </si>
  <si>
    <t>753 VAN GOGH CT</t>
  </si>
  <si>
    <t xml:space="preserve">VASQUEZ, JOHN J  </t>
  </si>
  <si>
    <t xml:space="preserve">JOHNSON, NAOMI C </t>
  </si>
  <si>
    <t>STONE CREST 2 LT 58</t>
  </si>
  <si>
    <t>751 VAN GOGH CT</t>
  </si>
  <si>
    <t>MARTINEZ-LEON, BERNABE et al</t>
  </si>
  <si>
    <t>STONE CREST 2 LT 59</t>
  </si>
  <si>
    <t>739 VAN GOGH CT</t>
  </si>
  <si>
    <t xml:space="preserve">SASSER LIVING TRUST, JEANNETTE S  </t>
  </si>
  <si>
    <t>PO BOX 2020</t>
  </si>
  <si>
    <t>BLAIRSDEN</t>
  </si>
  <si>
    <t>STONE CREST 2 LT 65</t>
  </si>
  <si>
    <t>7353 RUBENS CT</t>
  </si>
  <si>
    <t>STONE CREST 2 LT 79</t>
  </si>
  <si>
    <t>7347 RUBENS CT</t>
  </si>
  <si>
    <t xml:space="preserve">SWITZER, TIMOTHY M &amp; ANNE-MICHELLE </t>
  </si>
  <si>
    <t>EASTER, MARK D et al</t>
  </si>
  <si>
    <t>STONE CREST 2 LT 82</t>
  </si>
  <si>
    <t>7352 RUBENS CT</t>
  </si>
  <si>
    <t xml:space="preserve">NSP HOUSING AUTHORITY OF CITY, OF RENO </t>
  </si>
  <si>
    <t>STONE CREST 2 LT 92</t>
  </si>
  <si>
    <t>7356 RUBENS CT</t>
  </si>
  <si>
    <t>STONE CREST PH 2</t>
  </si>
  <si>
    <t>CLARK, GARY G &amp; DEBRA C et al</t>
  </si>
  <si>
    <t>STONE CREST PH 2 LT 94</t>
  </si>
  <si>
    <t>736 RENOIR DR</t>
  </si>
  <si>
    <t xml:space="preserve">MOSS, MICHAEL A &amp; NANCY E </t>
  </si>
  <si>
    <t>736 RENOIR CT</t>
  </si>
  <si>
    <t>STONE CREST 2 LT 99</t>
  </si>
  <si>
    <t>6969 CARMEN CT</t>
  </si>
  <si>
    <t xml:space="preserve">HERR, KEVIN M </t>
  </si>
  <si>
    <t>CRUZ, NORMA et al</t>
  </si>
  <si>
    <t>STONE CREST 3 LT 157</t>
  </si>
  <si>
    <t>6943 CHORALE CT</t>
  </si>
  <si>
    <t xml:space="preserve">HOUGH, YESENIA </t>
  </si>
  <si>
    <t xml:space="preserve">6943 CHORALE CT                         </t>
  </si>
  <si>
    <t xml:space="preserve">SUN VALLEY               </t>
  </si>
  <si>
    <t>STONE CREST 3 LT 142</t>
  </si>
  <si>
    <t>6939 CHORALE CT</t>
  </si>
  <si>
    <t xml:space="preserve">AGUILAR, FERMIN &amp; MICHETL </t>
  </si>
  <si>
    <t xml:space="preserve">BOOTH, RON F </t>
  </si>
  <si>
    <t>STONE CREST 3 LT 140</t>
  </si>
  <si>
    <t>6935 CHORALE CT</t>
  </si>
  <si>
    <t xml:space="preserve">JONES, KRISTINA D </t>
  </si>
  <si>
    <t xml:space="preserve">RIPPETH, ERIC T &amp; TANYA C </t>
  </si>
  <si>
    <t>STONE CREST 3 LT 138</t>
  </si>
  <si>
    <t>6933 CHORALE CT</t>
  </si>
  <si>
    <t xml:space="preserve">DULUDE, EVERT M &amp; DIANNE M </t>
  </si>
  <si>
    <t xml:space="preserve">WINFORD TRUST, ARTHUR N &amp; VERONICA J  </t>
  </si>
  <si>
    <t>STONE CREST 3 LT 137</t>
  </si>
  <si>
    <t>6942 CHORALE CT</t>
  </si>
  <si>
    <t>STONE CREST 3 LT 130</t>
  </si>
  <si>
    <t>6996 HAYDN CT</t>
  </si>
  <si>
    <t xml:space="preserve">RODRIGUEZ, PEDRO SR &amp; MARTHA </t>
  </si>
  <si>
    <t>STONE CREST 3 LT 175</t>
  </si>
  <si>
    <t>7069 BEETHOVEN CT</t>
  </si>
  <si>
    <t>STONE CREST 4 LT 228</t>
  </si>
  <si>
    <t>7055 BEETHOVEN CT</t>
  </si>
  <si>
    <t xml:space="preserve">GARCIA, MARIA H  </t>
  </si>
  <si>
    <t>STONE CREST 4 LT 221</t>
  </si>
  <si>
    <t>7074 BEETHOVEN CT</t>
  </si>
  <si>
    <t xml:space="preserve">WOOD, JEFFREY  </t>
  </si>
  <si>
    <t>STONE CREST 4 LT 210</t>
  </si>
  <si>
    <t>7015 MOZART CT</t>
  </si>
  <si>
    <t xml:space="preserve">BUTLER, DALE </t>
  </si>
  <si>
    <t>STONE CREST 4 LT 200</t>
  </si>
  <si>
    <t>7094 STRAUSS DR</t>
  </si>
  <si>
    <t xml:space="preserve">SIMPSON, JOHN M  </t>
  </si>
  <si>
    <t xml:space="preserve">7094 STRAUSS DR </t>
  </si>
  <si>
    <t xml:space="preserve">HENDERSON, MARIE </t>
  </si>
  <si>
    <t>STONE CREST 4 LT 260</t>
  </si>
  <si>
    <t>7095 STRAUSS DR</t>
  </si>
  <si>
    <t xml:space="preserve">STANLEY, STEPHEN L &amp; ROSA H </t>
  </si>
  <si>
    <t>REYES, JESUS B et al</t>
  </si>
  <si>
    <t>STONE CREST 4 LT 255</t>
  </si>
  <si>
    <t>7129 FANTASIA CT</t>
  </si>
  <si>
    <t xml:space="preserve">MONCADA, CARLOS A </t>
  </si>
  <si>
    <t>STONE CREST 5 LT 304</t>
  </si>
  <si>
    <t>7118 FANTASIA CT</t>
  </si>
  <si>
    <t xml:space="preserve">BARBIERI, JEREMY L &amp; MELISSA </t>
  </si>
  <si>
    <t>STONE CREST 5 LT 282</t>
  </si>
  <si>
    <t>706 STRAUSS CT</t>
  </si>
  <si>
    <t xml:space="preserve">BARAJAS, ALEJANDRO &amp; SARAH A </t>
  </si>
  <si>
    <t xml:space="preserve">DIAZ, MARIA R </t>
  </si>
  <si>
    <t>STONE CREST 5 LT 251</t>
  </si>
  <si>
    <t>714 STRAUSS CT</t>
  </si>
  <si>
    <t xml:space="preserve">LONG, SEAN </t>
  </si>
  <si>
    <t>508-441-04</t>
  </si>
  <si>
    <t>STONE CREST 5 LT 249</t>
  </si>
  <si>
    <t>715 STRAUSS CT</t>
  </si>
  <si>
    <t xml:space="preserve">CATLETT, EVAN R </t>
  </si>
  <si>
    <t>STONE CREST 5 LT 242</t>
  </si>
  <si>
    <t>705 STRAUSS CT</t>
  </si>
  <si>
    <t>STONE CREST 5 LT 238</t>
  </si>
  <si>
    <t>7400 MONET CT</t>
  </si>
  <si>
    <t xml:space="preserve">MCCORD, CAROLYN L </t>
  </si>
  <si>
    <t>PO BOX 1525</t>
  </si>
  <si>
    <t>ROGUE RIVER</t>
  </si>
  <si>
    <t>97537</t>
  </si>
  <si>
    <t>STONE CREST 7 LT 388</t>
  </si>
  <si>
    <t>7405 PICASSO DR</t>
  </si>
  <si>
    <t xml:space="preserve">DUKE, WILLIAM L </t>
  </si>
  <si>
    <t>7405 PICASSO</t>
  </si>
  <si>
    <t>STONE CREST 7 LT 364</t>
  </si>
  <si>
    <t>7378 MATISSE CT</t>
  </si>
  <si>
    <t xml:space="preserve">CASTELLANOS, SANTOS </t>
  </si>
  <si>
    <t>STONE CREST 7 LT 340</t>
  </si>
  <si>
    <t>7382 MATISSE CT</t>
  </si>
  <si>
    <t xml:space="preserve">DIAZ, LETICIA L D </t>
  </si>
  <si>
    <t>STONE CREST 7 LT 338</t>
  </si>
  <si>
    <t>7464 RODIN CT</t>
  </si>
  <si>
    <t>STONE CREST 8 LT 419</t>
  </si>
  <si>
    <t>7480 REMBRANDT DR</t>
  </si>
  <si>
    <t xml:space="preserve">RESENDIZ, HILARIO R  </t>
  </si>
  <si>
    <t xml:space="preserve">7480 REMBRANDT DR </t>
  </si>
  <si>
    <t>STONE CREST 8 LT 424</t>
  </si>
  <si>
    <t>7490 REMBRANDT DR</t>
  </si>
  <si>
    <t>RAMIREZ-CERVANTES, ROGELIO et al</t>
  </si>
  <si>
    <t xml:space="preserve">RAMIREZ LUZ MARIA M </t>
  </si>
  <si>
    <t xml:space="preserve">7490 REMBRANDT DR </t>
  </si>
  <si>
    <t xml:space="preserve">RAMIREZ-CERVANTES, ROGELIO </t>
  </si>
  <si>
    <t>STONE CREST 8 LT 429</t>
  </si>
  <si>
    <t>773 REMBRANDT CT</t>
  </si>
  <si>
    <t>SOTELO, MARGARITO J et al</t>
  </si>
  <si>
    <t>STONE CREST 8 LT 435</t>
  </si>
  <si>
    <t>7503 REMBRANDT DR</t>
  </si>
  <si>
    <t xml:space="preserve">MULLIN, ROBERT J &amp; MARTHA E </t>
  </si>
  <si>
    <t>JAMES, WILLIAM M et al</t>
  </si>
  <si>
    <t>STONE CREST 8 LT 443</t>
  </si>
  <si>
    <t>7485 REMBRANDT DR</t>
  </si>
  <si>
    <t xml:space="preserve">OROZCO, OCTAVIO &amp; ELISANDRA </t>
  </si>
  <si>
    <t xml:space="preserve">LAITINEN, MARY E </t>
  </si>
  <si>
    <t>STONE CREST 8 LT 452</t>
  </si>
  <si>
    <t>7535 CEZANNE CT</t>
  </si>
  <si>
    <t xml:space="preserve">GOULDING FAMILY TRUST  </t>
  </si>
  <si>
    <t>STONE CREST 8 LT 474</t>
  </si>
  <si>
    <t>7533 CEZANNE CT</t>
  </si>
  <si>
    <t>STONE CREST 8 LT 475</t>
  </si>
  <si>
    <t>7507 CEZANNE CT</t>
  </si>
  <si>
    <t xml:space="preserve">TORRES, GUSTAVO  </t>
  </si>
  <si>
    <t xml:space="preserve">7507 CEZANNE CT </t>
  </si>
  <si>
    <t>STONE CREST 8 LT 487</t>
  </si>
  <si>
    <t>7438 CELLINI DR</t>
  </si>
  <si>
    <t xml:space="preserve">WILLIAMS, CYNTHIA L  </t>
  </si>
  <si>
    <t>MARROQUIN, DOUGLAS et al</t>
  </si>
  <si>
    <t>STONE CREST 8 LT 399</t>
  </si>
  <si>
    <t>6905 BRAHMS DR</t>
  </si>
  <si>
    <t>STONE CREST 6</t>
  </si>
  <si>
    <t xml:space="preserve">WALTERS, KARRI L  </t>
  </si>
  <si>
    <t xml:space="preserve">BUSCAY, ABBEY </t>
  </si>
  <si>
    <t>508-020-46</t>
  </si>
  <si>
    <t>STONE CREST 6 LT 319</t>
  </si>
  <si>
    <t>6900 BRAHMS DR</t>
  </si>
  <si>
    <t>RIVAS, DEBRA D et al</t>
  </si>
  <si>
    <t>P O BOX 21424</t>
  </si>
  <si>
    <t>STONE CREST 6 LT 316</t>
  </si>
  <si>
    <t>6650 DORCHESTER DR</t>
  </si>
  <si>
    <t xml:space="preserve">DYE, SARAH M </t>
  </si>
  <si>
    <t xml:space="preserve">ESTRADA, MIGUEL &amp; JAQUELINE </t>
  </si>
  <si>
    <t>SPRING RIDGE 1 PH 1 AMD LT 4 BLK D</t>
  </si>
  <si>
    <t>6747 S DREXEL DR</t>
  </si>
  <si>
    <t xml:space="preserve">CHAVEZ, MARCELA </t>
  </si>
  <si>
    <t>SPRING RIDGE 1 PH 2 AMD LT 26 BLK C</t>
  </si>
  <si>
    <t>6744 S DREXEL DR</t>
  </si>
  <si>
    <t xml:space="preserve">FARRAR, ASHLEY </t>
  </si>
  <si>
    <t xml:space="preserve">6744 S DREXEL DR </t>
  </si>
  <si>
    <t>SPRING RIDGE 1 PH 2 AMD LT 16 BLK E</t>
  </si>
  <si>
    <t>6746 DORCHESTER DR</t>
  </si>
  <si>
    <t>SPRING RIDGE 1 PH2 AMD FR</t>
  </si>
  <si>
    <t>LEON, LETICIA M et al</t>
  </si>
  <si>
    <t xml:space="preserve">WHOLE LOAN TRUST 2010 LLC </t>
  </si>
  <si>
    <t>SPRING RIDGE 1 PH 2 AMD FR LTS 16 &amp; 17 BLK D RS 30</t>
  </si>
  <si>
    <t>6761 N DREXEL DR</t>
  </si>
  <si>
    <t xml:space="preserve">HERTEL, STEVEN R </t>
  </si>
  <si>
    <t xml:space="preserve">SHOEMAKER, WILLIAM R &amp; BEVERLY L </t>
  </si>
  <si>
    <t>SPRING RIDGE 1 PH 3 AMD LT 30 BLK C</t>
  </si>
  <si>
    <t>6820 DORCHESTER DR</t>
  </si>
  <si>
    <t>SPRING RIDGE 1 PHS 3 AMD</t>
  </si>
  <si>
    <t xml:space="preserve">FERNANDEZ-ROCHA, MARISELA </t>
  </si>
  <si>
    <t>CARBALLO-YANEZ, OSCAR A  et al</t>
  </si>
  <si>
    <t>510-033-16</t>
  </si>
  <si>
    <t>SPRING RIDGE 1 PH 3 AMD FR LT 26 &amp; 27 BLK D (RS 30</t>
  </si>
  <si>
    <t>6554 S LARGO DR</t>
  </si>
  <si>
    <t xml:space="preserve">KENNESON, MATTHEW T </t>
  </si>
  <si>
    <t>6554 SOUTH LARGO DR</t>
  </si>
  <si>
    <t>SIERRA VISTA 1 LT 13 BLK B</t>
  </si>
  <si>
    <t>6595 CHULA VISTA DR</t>
  </si>
  <si>
    <t xml:space="preserve">FARLEY, CHRIS </t>
  </si>
  <si>
    <t xml:space="preserve">DE LEON, MODESTO R </t>
  </si>
  <si>
    <t>SIERRA VISTA 1 LT 28 BLK C</t>
  </si>
  <si>
    <t>PM 4915</t>
  </si>
  <si>
    <t>ZOZAC LAND COMPANY LLC</t>
  </si>
  <si>
    <t>10625 DOUBLE R BLVD</t>
  </si>
  <si>
    <t xml:space="preserve">CAV INVESTMENTS LLC </t>
  </si>
  <si>
    <t>510-071-30</t>
  </si>
  <si>
    <t>PM 4915 LT 1</t>
  </si>
  <si>
    <t>DQBC</t>
  </si>
  <si>
    <t>5785 CAMINO VERDE DR</t>
  </si>
  <si>
    <t xml:space="preserve">DKC PROPERTIES LLC SERIES 1 </t>
  </si>
  <si>
    <t>LINDA SAVOIE</t>
  </si>
  <si>
    <t>185 HAWKEN RD</t>
  </si>
  <si>
    <t xml:space="preserve">JPRD DEVELOPMENT CO LLC </t>
  </si>
  <si>
    <t>SUNRISE AT KILEY RANCH AMD LT 68C BLK 14</t>
  </si>
  <si>
    <t xml:space="preserve">DKC PROPERTIES LLC SERIES 2 </t>
  </si>
  <si>
    <t>SUNRISE AT KILEY RANCH AMD LT 67C BLK 14</t>
  </si>
  <si>
    <t xml:space="preserve">DKC PROPERTIES LLC SERIES 3 </t>
  </si>
  <si>
    <t>SUNRISE AT KILEY RANCH AMD LT 66C BLK 14</t>
  </si>
  <si>
    <t>DKC PROPERTIES LLC SERIES 4  et al</t>
  </si>
  <si>
    <t>SUNRISE AT KILEY RANCH AMD LT 65C BLK 14</t>
  </si>
  <si>
    <t xml:space="preserve">KC TOWNHOUSES LLC SERIES IV </t>
  </si>
  <si>
    <t>MARILYN RAPPAPORT</t>
  </si>
  <si>
    <t>59 DAMONTE RANCH PKWY B-351</t>
  </si>
  <si>
    <t>SUNRISE AT KILEY RANCH AMD LT 64C BLK 14</t>
  </si>
  <si>
    <t xml:space="preserve">KC TOWNHOUSES LLC SERIES III </t>
  </si>
  <si>
    <t>SUNRISE AT KILEY RANCH AMD LT 63C BLK 14</t>
  </si>
  <si>
    <t>5750 VISTA PALOMAR WAY</t>
  </si>
  <si>
    <t xml:space="preserve">SHERIFF TRUST, MARZLA I  </t>
  </si>
  <si>
    <t>SUNRISE AT KILEY RANCH AMD LT 82C BLK 17</t>
  </si>
  <si>
    <t xml:space="preserve">MCCLUCKIE, AMANDA </t>
  </si>
  <si>
    <t>5765 VISTA SERENA WAY #104</t>
  </si>
  <si>
    <t xml:space="preserve">ANDERSON, KIRSTIN </t>
  </si>
  <si>
    <t>SUNRISE AT KILEY RANCH AMD LT 92D BLK 19</t>
  </si>
  <si>
    <t xml:space="preserve">MEZA-GOMEZ, CESAREO </t>
  </si>
  <si>
    <t>7385 LINDSEY LN</t>
  </si>
  <si>
    <t>SUNRISE AT KILEY RANCH AMD LT 89A BLK 19</t>
  </si>
  <si>
    <t>SUNRISE AT KILEY RANCH AMD LT 49C BLK 11</t>
  </si>
  <si>
    <t>SUNRISE AT KILEY RANCH AMD LT 2A BLK 1</t>
  </si>
  <si>
    <t xml:space="preserve">SMITH, BRIAN C &amp; DIANE A  </t>
  </si>
  <si>
    <t xml:space="preserve">26194 80TH AVE </t>
  </si>
  <si>
    <t xml:space="preserve">ST CLOUD </t>
  </si>
  <si>
    <t xml:space="preserve">LEBLANC, DANIEL RAE </t>
  </si>
  <si>
    <t>SUNRISE AT KILEY RANCH AMD LT 3C BLK 1</t>
  </si>
  <si>
    <t xml:space="preserve">WALTER, RICHARD D &amp; BOBBIE L </t>
  </si>
  <si>
    <t>3405 HARPER DRIVE</t>
  </si>
  <si>
    <t>NAHPART</t>
  </si>
  <si>
    <t>43830</t>
  </si>
  <si>
    <t>SUNRISE AT KILEY RANCH AMD LT 19C BLK 5</t>
  </si>
  <si>
    <t xml:space="preserve">REILLY, CHARLES </t>
  </si>
  <si>
    <t>5630 EL PASEO DR 103</t>
  </si>
  <si>
    <t>SUNRISE AT KILEY RANCH AMD LT 21C BLK 5</t>
  </si>
  <si>
    <t>5680 EL PASEO DR</t>
  </si>
  <si>
    <t xml:space="preserve">ABRAMS, LISA L </t>
  </si>
  <si>
    <t>5680 EL PASEO DR UT 104</t>
  </si>
  <si>
    <t xml:space="preserve">ESCOBAR, J DAVID </t>
  </si>
  <si>
    <t>SUNRISE AT KILEY RANCH AMD LT 34A BLK 7</t>
  </si>
  <si>
    <t>5655 EL PASEO DR</t>
  </si>
  <si>
    <t xml:space="preserve">ALLEN, ZACHARY D </t>
  </si>
  <si>
    <t>5655 EL PASO DR 103</t>
  </si>
  <si>
    <t>SUNRISE AT KILEY RANCH AMD LT 36C BLK 8</t>
  </si>
  <si>
    <t xml:space="preserve">MOHR, TIMOTHY &amp; PAMELA </t>
  </si>
  <si>
    <t xml:space="preserve">2114 COLONIAL DR </t>
  </si>
  <si>
    <t>SUNRISE AT KILEY RANCH AMD LT 43B BLK 9</t>
  </si>
  <si>
    <t>6514 JAMON DR</t>
  </si>
  <si>
    <t xml:space="preserve">WRENN FAMILY TRUST  </t>
  </si>
  <si>
    <t>1305 RUSSELL WAY</t>
  </si>
  <si>
    <t xml:space="preserve">THOMAS, CHRISTOPHER G &amp; REBECCA L </t>
  </si>
  <si>
    <t>SIERRA VISTA 2 LT 221</t>
  </si>
  <si>
    <t>6382 JAMON DR</t>
  </si>
  <si>
    <t xml:space="preserve">GONZALEZ, NANCY V </t>
  </si>
  <si>
    <t>SIERRA VISTA 3 LT 302</t>
  </si>
  <si>
    <t>5619 CRESCENT HILL WAY</t>
  </si>
  <si>
    <t xml:space="preserve">WHITE, EMILY A  </t>
  </si>
  <si>
    <t xml:space="preserve">HANLON, MICHAEL L </t>
  </si>
  <si>
    <t>FIRST TEE 2 LT 41</t>
  </si>
  <si>
    <t>5607 CRESCENT HILL WAY</t>
  </si>
  <si>
    <t xml:space="preserve">BIETH 2002 REVOCABLE TRUST, CHRISTINE P   </t>
  </si>
  <si>
    <t xml:space="preserve">BIETH, CHRISTINE P  </t>
  </si>
  <si>
    <t>FIRST TEE 2 LT 34</t>
  </si>
  <si>
    <t>5618 CHURCHILL GREEN DR</t>
  </si>
  <si>
    <t xml:space="preserve">FERNANDEZ, ANTONIO &amp; LYDIA </t>
  </si>
  <si>
    <t>5618 CHURCHILL GREEN</t>
  </si>
  <si>
    <t>FIRST TEE 2 LT 16</t>
  </si>
  <si>
    <t>5622 CHURCHILL GREEN DR</t>
  </si>
  <si>
    <t xml:space="preserve">GABLER, WENDY K  </t>
  </si>
  <si>
    <t xml:space="preserve">5266 CHURCHILL GREEN </t>
  </si>
  <si>
    <t>FIRST TEE 2 LT 15</t>
  </si>
  <si>
    <t>5630 CHURCHILL GREEN DR</t>
  </si>
  <si>
    <t xml:space="preserve">LUCHETTI FAMILY TRUST  </t>
  </si>
  <si>
    <t>GARY R &amp; PATRICIA A LUCHETTI TRUSTEE</t>
  </si>
  <si>
    <t>924 DOLCE DR</t>
  </si>
  <si>
    <t>FIRST TEE 2 LT 13</t>
  </si>
  <si>
    <t>600 PANAMA DR</t>
  </si>
  <si>
    <t xml:space="preserve">LANGDAHL, CATHERINE </t>
  </si>
  <si>
    <t xml:space="preserve">600 PANAMA DR                         </t>
  </si>
  <si>
    <t xml:space="preserve">LAMEBULL, JOHN R &amp; DENISE R </t>
  </si>
  <si>
    <t>KILEY WEST 4-B LT 126</t>
  </si>
  <si>
    <t>5849 CATHEDRAL PEAK DR</t>
  </si>
  <si>
    <t>KILEY WEST 4B</t>
  </si>
  <si>
    <t xml:space="preserve">LUNDY, JUSTIN S  </t>
  </si>
  <si>
    <t xml:space="preserve">5849 CATHEDRAL PEAK DR </t>
  </si>
  <si>
    <t>KILEY WEST 4B LT 165</t>
  </si>
  <si>
    <t>5805 SONORA PASS DR</t>
  </si>
  <si>
    <t xml:space="preserve">HILL, SCOTT </t>
  </si>
  <si>
    <t xml:space="preserve">5805 SONORA PASS DR </t>
  </si>
  <si>
    <t>KILEY WEST 4-B LT 146</t>
  </si>
  <si>
    <t>1034 TYRALL CT</t>
  </si>
  <si>
    <t xml:space="preserve">JACOT, ROBERT A &amp; BONNIE M  </t>
  </si>
  <si>
    <t xml:space="preserve">1034 TYRALL CT </t>
  </si>
  <si>
    <t>BECERRA, SERGIO O  et al</t>
  </si>
  <si>
    <t>FIRST TEE 4 @ KILEY RANCH LT 125</t>
  </si>
  <si>
    <t>1071 HARBOR TOWN CIR</t>
  </si>
  <si>
    <t>TIONGSON, CAMILLE L  et al</t>
  </si>
  <si>
    <t xml:space="preserve">NATALE, RANDALL </t>
  </si>
  <si>
    <t>FIRST TEE 4 @ KILEY RANCH LT 137</t>
  </si>
  <si>
    <t>1064 HARBOR TOWN CIR</t>
  </si>
  <si>
    <t xml:space="preserve">BISHOP, SCOTT  </t>
  </si>
  <si>
    <t>FIRST TEE 4 @ KILEY RANCH LT 145</t>
  </si>
  <si>
    <t>1060 HARBOR TOWN CIR</t>
  </si>
  <si>
    <t xml:space="preserve">GUEDEA, CARRIE ANN </t>
  </si>
  <si>
    <t>FONG, STEVEN et al</t>
  </si>
  <si>
    <t>FIRST TEE 4 @ KILEY RANCH LT 146</t>
  </si>
  <si>
    <t>570 BOULDER PEAK CT</t>
  </si>
  <si>
    <t xml:space="preserve">HEBENSTREIT, MARTHA J </t>
  </si>
  <si>
    <t>JIA, CHUN JASON et al</t>
  </si>
  <si>
    <t>KILEY WEST 4-A PH 2 LT 106</t>
  </si>
  <si>
    <t>5760 CATHEDRAL PEAK DR</t>
  </si>
  <si>
    <t xml:space="preserve">CALLON, MICHAEL C </t>
  </si>
  <si>
    <t>KILEY WEST 4A PH 2 LT 74</t>
  </si>
  <si>
    <t>5780 CATHEDRAL PEAK DR</t>
  </si>
  <si>
    <t xml:space="preserve">GOMES, MONIKA &amp; BLAISE  </t>
  </si>
  <si>
    <t xml:space="preserve">15500 CHERRYWOOD DR </t>
  </si>
  <si>
    <t>KILEY WEST 4-A PH 2 LT 72</t>
  </si>
  <si>
    <t>5798 SONORA PASS DR</t>
  </si>
  <si>
    <t xml:space="preserve">SPIESS, ELAINE </t>
  </si>
  <si>
    <t xml:space="preserve">LUNA, ANGELA S </t>
  </si>
  <si>
    <t>KILEY WEST 4-A PH 2 LT 58</t>
  </si>
  <si>
    <t>1141 TURNBERRY DR</t>
  </si>
  <si>
    <t xml:space="preserve">DIEFENTHALER FAMILY TRUST   </t>
  </si>
  <si>
    <t>3756 CALLE POSADAS</t>
  </si>
  <si>
    <t>NEWBERRY PARK</t>
  </si>
  <si>
    <t xml:space="preserve">DIEFENTHALER, DEAN </t>
  </si>
  <si>
    <t>FIRST TEE 7 @ KILEY RANCH LT 39</t>
  </si>
  <si>
    <t>1103 HARBOR TOWN CIR</t>
  </si>
  <si>
    <t>FLICKINGER, ZACHARY I  et al</t>
  </si>
  <si>
    <t>FIRST TEE 7 @ KILEY RANCH LT 141</t>
  </si>
  <si>
    <t>1123 HARBOR TOWN CIR</t>
  </si>
  <si>
    <t xml:space="preserve">STOCKTON, DALE L </t>
  </si>
  <si>
    <t>FIRST TEE 7 @ KILEY RANCH LT 142</t>
  </si>
  <si>
    <t>1114 TURNBERRY DR</t>
  </si>
  <si>
    <t xml:space="preserve">1114 TURNBERRY DR </t>
  </si>
  <si>
    <t xml:space="preserve">STUART, JENNIFER A </t>
  </si>
  <si>
    <t>FIRST TEE 7 @ KILEY RANCH LT 115</t>
  </si>
  <si>
    <t>1225 TURNBERRY DR</t>
  </si>
  <si>
    <t xml:space="preserve">SMITH, EZELL &amp; JANET R </t>
  </si>
  <si>
    <t xml:space="preserve">NELSON, JOEL T </t>
  </si>
  <si>
    <t>FIRST TEE 9 @ KILEY RANCH LT 60</t>
  </si>
  <si>
    <t>5705 CROOKED STICK WAY</t>
  </si>
  <si>
    <t xml:space="preserve">MCDONAGH, EDWARD  </t>
  </si>
  <si>
    <t xml:space="preserve">5705 CROOKED STICK WAY </t>
  </si>
  <si>
    <t xml:space="preserve">CARD, TREENA J </t>
  </si>
  <si>
    <t>FIRST TEE 5 LT 115</t>
  </si>
  <si>
    <t>5706 CROOKED STICK WAY</t>
  </si>
  <si>
    <t xml:space="preserve">SANFORD, ROBERT T </t>
  </si>
  <si>
    <t>11536 DEODAR WAY</t>
  </si>
  <si>
    <t xml:space="preserve">STARKEY, JULIET </t>
  </si>
  <si>
    <t>FIRST TEE 5 LT 142</t>
  </si>
  <si>
    <t>5756 CROOKED STICK WAY</t>
  </si>
  <si>
    <t xml:space="preserve">CARNEY, ALEXA </t>
  </si>
  <si>
    <t>MANALILI, HOLLY R et al</t>
  </si>
  <si>
    <t>FIRST TEE 5 LT 136</t>
  </si>
  <si>
    <t>5751 CROOKED STICK WAY</t>
  </si>
  <si>
    <t xml:space="preserve">HOOVER, SHARMIN E  </t>
  </si>
  <si>
    <t xml:space="preserve">MALONE, BRIAN E &amp; DANIELLE R </t>
  </si>
  <si>
    <t>FIRST TEE 5 LT 106</t>
  </si>
  <si>
    <t>5739 CROOKED STICK WAY</t>
  </si>
  <si>
    <t xml:space="preserve">CABRERA, ROGER J </t>
  </si>
  <si>
    <t>FIRST TEE 5 LT 108</t>
  </si>
  <si>
    <t>5746 PUMPKIN RIDGE DR</t>
  </si>
  <si>
    <t>PURPUS, PAIGE E et al</t>
  </si>
  <si>
    <t xml:space="preserve">PURPUS, PATRICIA </t>
  </si>
  <si>
    <t>FIRST TEE 8 LT 69</t>
  </si>
  <si>
    <t>5754 PUMPKIN RIDGE DR</t>
  </si>
  <si>
    <t xml:space="preserve">BEHLER, BRIAN J &amp; EDITH S </t>
  </si>
  <si>
    <t>2741 ALBAZANO DR</t>
  </si>
  <si>
    <t xml:space="preserve">KHAN, JEFFERY S &amp; FARIDA B </t>
  </si>
  <si>
    <t>FIRST TEE 8 LT 71</t>
  </si>
  <si>
    <t>5770 PUMPKIN RIDGE DR</t>
  </si>
  <si>
    <t xml:space="preserve">PIENKOSKI, PAUL </t>
  </si>
  <si>
    <t>FIRST TEE 8 LT 75</t>
  </si>
  <si>
    <t>5779 PUMPKIN RIDGE DR</t>
  </si>
  <si>
    <t>KROHMER, BELINDA J et al</t>
  </si>
  <si>
    <t>FIRST TEE 8 LT 84</t>
  </si>
  <si>
    <t>5763 PUMPKIN RIDGE DR</t>
  </si>
  <si>
    <t xml:space="preserve">VANCE, SANDRA L </t>
  </si>
  <si>
    <t>FIRST TEE 8 LT 88</t>
  </si>
  <si>
    <t>5813 CROOKED STICK WAY</t>
  </si>
  <si>
    <t xml:space="preserve">JAMES, JENNIFER L </t>
  </si>
  <si>
    <t>FIRST TEE 8 LT 91</t>
  </si>
  <si>
    <t>5805 CROOKED STICK WAY</t>
  </si>
  <si>
    <t xml:space="preserve">RATHER, STEPHANNIE L  </t>
  </si>
  <si>
    <t xml:space="preserve">HOLLEMAN, KENNETH </t>
  </si>
  <si>
    <t>FIRST TEE 8 LT 93</t>
  </si>
  <si>
    <t>5777 CROOKED STICK WAY</t>
  </si>
  <si>
    <t xml:space="preserve">RAMSEY, SCOTT W </t>
  </si>
  <si>
    <t xml:space="preserve">CARRIGAN TRUST  </t>
  </si>
  <si>
    <t>FIRST TEE 8 LT 100</t>
  </si>
  <si>
    <t>1119 FAIRWAY VISTA LN</t>
  </si>
  <si>
    <t>HAYNES, ROBERT A  JR et al</t>
  </si>
  <si>
    <t>DAVIDSON, KIRK L et al</t>
  </si>
  <si>
    <t>FIRST TEE 6 LT 64</t>
  </si>
  <si>
    <t>1143 FAIRWAY VISTA LN</t>
  </si>
  <si>
    <t xml:space="preserve">MCKEAGUE, KATHERINE </t>
  </si>
  <si>
    <t xml:space="preserve">AIME, TOMMI L </t>
  </si>
  <si>
    <t>FIRST TEE 6 LT 61</t>
  </si>
  <si>
    <t>1191 FAIRWAY VISTA LN</t>
  </si>
  <si>
    <t>BROWN, KATRINA  et al</t>
  </si>
  <si>
    <t xml:space="preserve">1191 FAIRWAY VISTA </t>
  </si>
  <si>
    <t>KILEY RANCH FIRST TEE 6 LT 55</t>
  </si>
  <si>
    <t>1199 FAIRWAY VISTA LN</t>
  </si>
  <si>
    <t xml:space="preserve">MITCHELL, LEE E &amp; MAE E </t>
  </si>
  <si>
    <t>5075 WINE CELLAR DR</t>
  </si>
  <si>
    <t xml:space="preserve">BAHIN-AEIN, ASHKAN &amp; AMY M </t>
  </si>
  <si>
    <t>FIRST TEE 6 LT 54</t>
  </si>
  <si>
    <t>1207 PAR THREE DR</t>
  </si>
  <si>
    <t xml:space="preserve">NIX, RODERICK M T </t>
  </si>
  <si>
    <t xml:space="preserve">JPMC SPECIALTY MORTGAGE LLC </t>
  </si>
  <si>
    <t>FIRST TEE 6 LT 53</t>
  </si>
  <si>
    <t>1223 PAR THREE DR</t>
  </si>
  <si>
    <t xml:space="preserve">DESERIO, ALEJANDRA </t>
  </si>
  <si>
    <t>FIRST TEE 6 LT 51</t>
  </si>
  <si>
    <t>1228 FAIRWAY VISTA LN</t>
  </si>
  <si>
    <t xml:space="preserve">CAREY, ANGELA S </t>
  </si>
  <si>
    <t>FIRST TEE 6 LT 17</t>
  </si>
  <si>
    <t>1196 FAIRWAY VISTA LN</t>
  </si>
  <si>
    <t xml:space="preserve">YOUNG, HEIDI </t>
  </si>
  <si>
    <t xml:space="preserve">MCCORD, ALAN M &amp; PATRICIA A </t>
  </si>
  <si>
    <t>FIRST TEE 6 LT 13</t>
  </si>
  <si>
    <t>1100 FAIRWAY VISTA LN</t>
  </si>
  <si>
    <t xml:space="preserve">TURNER, ANTHONY G </t>
  </si>
  <si>
    <t xml:space="preserve">SCIASCIA, JOHN L &amp; KATHLEEN M  </t>
  </si>
  <si>
    <t>FIRST TEE 6 LT 1</t>
  </si>
  <si>
    <t>1297 PAR THREE DR</t>
  </si>
  <si>
    <t xml:space="preserve">GILBERT, RICHARD </t>
  </si>
  <si>
    <t>FIRST TEE 6 LT 46</t>
  </si>
  <si>
    <t>1305 PAR THREE DR</t>
  </si>
  <si>
    <t>FIRST TEE 6 LT 45</t>
  </si>
  <si>
    <t>1357 PAR THREE DR</t>
  </si>
  <si>
    <t xml:space="preserve">GIORGI REVOCABLE TRUST, SANDRA L   </t>
  </si>
  <si>
    <t>1927 DAYTON ST</t>
  </si>
  <si>
    <t xml:space="preserve">GIORGI, SANDRA L  </t>
  </si>
  <si>
    <t>FIRST TEE 6 LT 38</t>
  </si>
  <si>
    <t>4711 WOOD THRUSH LN</t>
  </si>
  <si>
    <t>STATUTI, FRANCIS X et al</t>
  </si>
  <si>
    <t>RINALDI CATHERINE A</t>
  </si>
  <si>
    <t>672 PINEWOOD DR</t>
  </si>
  <si>
    <t>ANNAPOLIS</t>
  </si>
  <si>
    <t xml:space="preserve">THOMAS, QUINTON K &amp; DEBORAH A </t>
  </si>
  <si>
    <t>PRESERVE 1 LT 77</t>
  </si>
  <si>
    <t>421 S SAND CRANE CIR</t>
  </si>
  <si>
    <t>LOETSCHER, RYAN J et al</t>
  </si>
  <si>
    <t xml:space="preserve">NUNEZ, HILDA G </t>
  </si>
  <si>
    <t>PRESERVE 1 LT 34</t>
  </si>
  <si>
    <t>501 S SAND CRANE CIR</t>
  </si>
  <si>
    <t xml:space="preserve">ARBABI-GHAHROUDI TRUST  </t>
  </si>
  <si>
    <t>20 BATES RD</t>
  </si>
  <si>
    <t xml:space="preserve">ARBABI-GHAHROUDI, NADERALMOLOOK &amp;MANOUCHEHR </t>
  </si>
  <si>
    <t>PRESERVE 1 LT 26</t>
  </si>
  <si>
    <t>510 S SAND CRANE CIR</t>
  </si>
  <si>
    <t xml:space="preserve">ST JOHN, JOHN &amp; DONNA </t>
  </si>
  <si>
    <t xml:space="preserve">ALLEN, PATRICK J </t>
  </si>
  <si>
    <t>PRESERVE PH 1 LT 17</t>
  </si>
  <si>
    <t>450 S SAND CRANE CIR</t>
  </si>
  <si>
    <t xml:space="preserve">ROYLS, SUZANNE  </t>
  </si>
  <si>
    <t xml:space="preserve">DOMINGUEZ, SERGIO &amp; IRENE K </t>
  </si>
  <si>
    <t>PRESERVE 1 LT 24</t>
  </si>
  <si>
    <t>469 N SAND CRANE CIR</t>
  </si>
  <si>
    <t xml:space="preserve">DIAMOND, MICHAEL </t>
  </si>
  <si>
    <t>PRESERVE 1 LT 37</t>
  </si>
  <si>
    <t>489 N SAND CRANE CIR</t>
  </si>
  <si>
    <t>YABU, STEVEN K  et al</t>
  </si>
  <si>
    <t xml:space="preserve">LONG JING Y </t>
  </si>
  <si>
    <t>PRESERVE 1 LT 40</t>
  </si>
  <si>
    <t>589 N SAND CRANE CIR</t>
  </si>
  <si>
    <t xml:space="preserve">TYRRELL, TED &amp; CHERYL  </t>
  </si>
  <si>
    <t xml:space="preserve">589 N SAND CRANE CIR </t>
  </si>
  <si>
    <t xml:space="preserve">BOSCO, DEBBIE </t>
  </si>
  <si>
    <t>PRESERVE 1 LT 49</t>
  </si>
  <si>
    <t>590 S SAND CRANE CIR</t>
  </si>
  <si>
    <t xml:space="preserve">GARRETT, DANA L </t>
  </si>
  <si>
    <t>PRESERVE 1 LT 9</t>
  </si>
  <si>
    <t>5841 DESERT MIRAGE DR</t>
  </si>
  <si>
    <t xml:space="preserve">ZEDMAN LLC </t>
  </si>
  <si>
    <t>1285 BARING BLVD #138</t>
  </si>
  <si>
    <t xml:space="preserve">ZLOTKOWSKI, MARK </t>
  </si>
  <si>
    <t>FIRST TEE 10 PH 1 @ KILEY RANCH LT 47</t>
  </si>
  <si>
    <t>5831 DESERT MIRAGE DR</t>
  </si>
  <si>
    <t xml:space="preserve">HIRATA, TIPHANIE </t>
  </si>
  <si>
    <t>5831 DESERT MIRAGE</t>
  </si>
  <si>
    <t xml:space="preserve">EALY, GERALDINE L &amp; RONALD S  </t>
  </si>
  <si>
    <t>FIRST TEE 10 PH 1 @ KILEY RANCH LT 46</t>
  </si>
  <si>
    <t>1179 OASIS PARK DR</t>
  </si>
  <si>
    <t xml:space="preserve">HURST, ALISA </t>
  </si>
  <si>
    <t>FIRST TEE 10 PH 1 @ KILEY RANCH LT 80</t>
  </si>
  <si>
    <t>1184 OASIS PARK DR</t>
  </si>
  <si>
    <t xml:space="preserve">BARNES, LINDA M </t>
  </si>
  <si>
    <t xml:space="preserve">SALERNO, MICHAEL L &amp; DANA R I </t>
  </si>
  <si>
    <t>FIRST TEE 10 PH 1 @ KILEY RANCH LT 63</t>
  </si>
  <si>
    <t>1143 RANCHO MIRAGE DR</t>
  </si>
  <si>
    <t xml:space="preserve">MADDEN, JASON S &amp; TARA L </t>
  </si>
  <si>
    <t>1143 RANCH MIRAGE DR</t>
  </si>
  <si>
    <t xml:space="preserve">GIRON, ANIBAL </t>
  </si>
  <si>
    <t>FIRST TEE 10 PH 1 @ KILEY RANCH LT 56</t>
  </si>
  <si>
    <t>5832 MEADOW PARK DR</t>
  </si>
  <si>
    <t xml:space="preserve">SULEZICH, CHERYL </t>
  </si>
  <si>
    <t xml:space="preserve">LEE, PAUL T &amp; FAYE K </t>
  </si>
  <si>
    <t>FIRST TEE 10 PH 1 @ KILEY RANCH LT 20</t>
  </si>
  <si>
    <t>5769 DESERT MIRAGE DR</t>
  </si>
  <si>
    <t xml:space="preserve">CADWALLADER, KATHRYN &amp; JEREMY </t>
  </si>
  <si>
    <t>FIRST TEE 10 PH 2 @ KILEY RNCH LT 39</t>
  </si>
  <si>
    <t>5742 MEADOW PARK DR</t>
  </si>
  <si>
    <t xml:space="preserve">AMMERMAN, ERIC D  </t>
  </si>
  <si>
    <t xml:space="preserve">5742 MEADOW PARK DR </t>
  </si>
  <si>
    <t xml:space="preserve">MEADOW PARK TRUST #5742  </t>
  </si>
  <si>
    <t>FIRST TEE 10 PH 2 @ KILEY RNCH LT 29</t>
  </si>
  <si>
    <t>5780 DESERT MIRAGE CT</t>
  </si>
  <si>
    <t>GALLI, MEGAN P et al</t>
  </si>
  <si>
    <t xml:space="preserve">CLARK, ALAN B &amp; LAUREN E </t>
  </si>
  <si>
    <t>FIRST TEE 10 PH 2 @ KILEY RNCH LT 91</t>
  </si>
  <si>
    <t>5804 DESERT MIRAGE DR</t>
  </si>
  <si>
    <t xml:space="preserve">HAMRICK, LEE E &amp; DIANNA </t>
  </si>
  <si>
    <t>FIRST TEE 10 PH 2 @ KILEY RNCH LT 72</t>
  </si>
  <si>
    <t>5812 DESERT MIRAGE DR</t>
  </si>
  <si>
    <t>FIRST TEE 10 PH 2 @ KILEY RNCH LT 73</t>
  </si>
  <si>
    <t>5820 DESERT MIRAGE DR</t>
  </si>
  <si>
    <t xml:space="preserve">FAIRBANKS, KEMP C II &amp; JOANN F </t>
  </si>
  <si>
    <t>PO BOX 50519</t>
  </si>
  <si>
    <t>FIRST TEE 10 PH 2 @ KILEY RNCH LT 74</t>
  </si>
  <si>
    <t>SAS-3 LLC</t>
  </si>
  <si>
    <t>255 DRAFT DR</t>
  </si>
  <si>
    <t>DALTON</t>
  </si>
  <si>
    <t>501 LOS ALTOS PKWY</t>
  </si>
  <si>
    <t xml:space="preserve">SFP-C LIMITED PARTNERSHIP </t>
  </si>
  <si>
    <t>PO BOX 5350</t>
  </si>
  <si>
    <t>510-491-05</t>
  </si>
  <si>
    <t>RS 5194  PAR 2A, , (REFER TO DOC 3815353 FOR COMPL</t>
  </si>
  <si>
    <t>990 MARBLE HILLS CIR</t>
  </si>
  <si>
    <t xml:space="preserve">FLING, AMY </t>
  </si>
  <si>
    <t xml:space="preserve">BUSH, FRANCIS J </t>
  </si>
  <si>
    <t>FIRST TEE 3 AMD LT 44</t>
  </si>
  <si>
    <t>1033 PEACH BLOSSOM WAY</t>
  </si>
  <si>
    <t>MADDEN, JEFFREY M  et al</t>
  </si>
  <si>
    <t xml:space="preserve">1033 PEACH BLOSSOM WAY </t>
  </si>
  <si>
    <t>FIRST TEE 3 AMD LT 18</t>
  </si>
  <si>
    <t>4755 WOOD THRUSH LN</t>
  </si>
  <si>
    <t>QUILICI, JANET et al</t>
  </si>
  <si>
    <t>4101 TWO ROCK DR</t>
  </si>
  <si>
    <t>MAMAY, DEMOSTHENIS D  et al</t>
  </si>
  <si>
    <t>PRESERVE 2 LT 86</t>
  </si>
  <si>
    <t>4727 WOOD THRUSH LN</t>
  </si>
  <si>
    <t xml:space="preserve">HORN, JOHN W </t>
  </si>
  <si>
    <t>PRESERVE 2 LT 79</t>
  </si>
  <si>
    <t>4750 WOOD THRUSH LN</t>
  </si>
  <si>
    <t xml:space="preserve">LOPEZ, TONY F </t>
  </si>
  <si>
    <t>158 MAGNA CARTA LN</t>
  </si>
  <si>
    <t>PRESERVE 2 LT 66</t>
  </si>
  <si>
    <t>4901 BOUGAINVILLEA DR</t>
  </si>
  <si>
    <t xml:space="preserve">MANTZ FAMILY TRUST  </t>
  </si>
  <si>
    <t>C/O EMMA M YOUNG TRUSTEE</t>
  </si>
  <si>
    <t xml:space="preserve">YOUNG, EMMA </t>
  </si>
  <si>
    <t>GALLERIA STATION 1 LT 104</t>
  </si>
  <si>
    <t>4897 PESCADERO DR</t>
  </si>
  <si>
    <t xml:space="preserve">SIEGEL, GARY J &amp; EDNA D  </t>
  </si>
  <si>
    <t xml:space="preserve">1112 5TH ST </t>
  </si>
  <si>
    <t xml:space="preserve">VALLEJO </t>
  </si>
  <si>
    <t>HOWARD, CHRISTIE L  et al</t>
  </si>
  <si>
    <t>GALLERIA STATION 1 LT 1801</t>
  </si>
  <si>
    <t>540 COSTA AZUL DR</t>
  </si>
  <si>
    <t xml:space="preserve">VOSSLER ENTERPRISES INC  </t>
  </si>
  <si>
    <t xml:space="preserve">5555 JUNCTION PEAK DR </t>
  </si>
  <si>
    <t xml:space="preserve">ZIETTLOW, JAMES A &amp; SHARON L </t>
  </si>
  <si>
    <t>GALLERIA STATION 1 LT 1204</t>
  </si>
  <si>
    <t>4884 BOUGAINVILLEA DR</t>
  </si>
  <si>
    <t xml:space="preserve">HOGUE, PHILLIP A </t>
  </si>
  <si>
    <t>12211 NW 25TH CT</t>
  </si>
  <si>
    <t>98685</t>
  </si>
  <si>
    <t xml:space="preserve">HOGUE FAMILY TRUST, DAVID C &amp; BARBARA  </t>
  </si>
  <si>
    <t>GALLERIA STATION 1 LT 2202</t>
  </si>
  <si>
    <t>548 COSTA AZUL DR</t>
  </si>
  <si>
    <t xml:space="preserve">SAKAI, RONALD </t>
  </si>
  <si>
    <t>3867 FLORIAN ST</t>
  </si>
  <si>
    <t>GALLERIA STATION 1 LT 1203</t>
  </si>
  <si>
    <t>4876 BOUGAINVILLEA DR</t>
  </si>
  <si>
    <t xml:space="preserve">BRINGLE FAMILY TRUST, F DALE   </t>
  </si>
  <si>
    <t xml:space="preserve">4876 BOUGAINVILLEA DR </t>
  </si>
  <si>
    <t>WASHOE RESIDENTIAL INVESTMENT , FUND LLC SERIES B LLC</t>
  </si>
  <si>
    <t>GALLERIA STATION 1 LT 2104</t>
  </si>
  <si>
    <t>4818 BOUGAINVILLEA DR</t>
  </si>
  <si>
    <t xml:space="preserve">BRIDGE, MATTHEW W </t>
  </si>
  <si>
    <t>GALLERIA STATION 1 LT 2002</t>
  </si>
  <si>
    <t>4868 BOUGAINVILLEA DR</t>
  </si>
  <si>
    <t xml:space="preserve">HURST, LEIGH A </t>
  </si>
  <si>
    <t xml:space="preserve">UJIMA YOUTH SERVICES </t>
  </si>
  <si>
    <t>GALLERIA STATION 1 LT 2103</t>
  </si>
  <si>
    <t>1085 SILVER COYOTE DR</t>
  </si>
  <si>
    <t>RS 5165</t>
  </si>
  <si>
    <t xml:space="preserve">RITCS HOLDING LLC </t>
  </si>
  <si>
    <t>10531 ALOE SPRINGS</t>
  </si>
  <si>
    <t>89179</t>
  </si>
  <si>
    <t xml:space="preserve">FERNANDEZ, MICHAEL L &amp; MELISSA M  </t>
  </si>
  <si>
    <t>510-621-46</t>
  </si>
  <si>
    <t>RS 5165 LT 1A REFER TO DOCUMENT 3772019 FOR COMPLE</t>
  </si>
  <si>
    <t>DQAC</t>
  </si>
  <si>
    <t>5449 SILTSTONE WAY</t>
  </si>
  <si>
    <t xml:space="preserve">FERGUSON, WILLIAM &amp; VICKI  </t>
  </si>
  <si>
    <t xml:space="preserve">TROY </t>
  </si>
  <si>
    <t xml:space="preserve">CARLSON, JASON &amp; RAQUEL </t>
  </si>
  <si>
    <t>MIRAMONTE 1 LT 1019</t>
  </si>
  <si>
    <t>5421 SILTSTONE WAY</t>
  </si>
  <si>
    <t xml:space="preserve">RICHARDSON, GARY A &amp; JUDITH E </t>
  </si>
  <si>
    <t>15007 ISLEVIEW DR</t>
  </si>
  <si>
    <t>CHESTERFIELD</t>
  </si>
  <si>
    <t xml:space="preserve">JP MORGAN ALTERNATIVE LOAN TR  </t>
  </si>
  <si>
    <t>MIRAMONTE 1 LT 1015</t>
  </si>
  <si>
    <t>5413 SILTSTONE WAY</t>
  </si>
  <si>
    <t>STACAVICH, ROGER et al</t>
  </si>
  <si>
    <t xml:space="preserve">STOUT, HYO JA </t>
  </si>
  <si>
    <t>MIRAMONTE 1 LT 1014</t>
  </si>
  <si>
    <t>5474 SILTSTONE WAY</t>
  </si>
  <si>
    <t>CASSINELLI, RONALD P  et al</t>
  </si>
  <si>
    <t xml:space="preserve">5474 SILTSTONE WAY </t>
  </si>
  <si>
    <t>MIRAMONTE 1 LT 1026</t>
  </si>
  <si>
    <t>5338 SILTSTONE WAY</t>
  </si>
  <si>
    <t>BROCK, DARIEN T et al</t>
  </si>
  <si>
    <t>MIRAMONTE 1 LT 1047</t>
  </si>
  <si>
    <t>5386 SILTSTONE WAY</t>
  </si>
  <si>
    <t xml:space="preserve">BOHN, JEFFREY K &amp; KIRSTEN D </t>
  </si>
  <si>
    <t xml:space="preserve">5386 SILTSTONE WAY </t>
  </si>
  <si>
    <t xml:space="preserve">SINOCRUZ, MARIA T M &amp; JEFFREY S </t>
  </si>
  <si>
    <t>MIRAMONTE 1 LT 1039</t>
  </si>
  <si>
    <t>5120 IRONSTONE CIR</t>
  </si>
  <si>
    <t>MIRAMONTE 2A</t>
  </si>
  <si>
    <t xml:space="preserve">WILSON FAMILY PROTECTION TRUST  </t>
  </si>
  <si>
    <t xml:space="preserve">WILSON, DARIN E &amp; CAROLINE E </t>
  </si>
  <si>
    <t>512-050-03</t>
  </si>
  <si>
    <t>MIRAMONTE 2A LT 2004</t>
  </si>
  <si>
    <t>5126 IRONSTONE CIR</t>
  </si>
  <si>
    <t>MIRAMONTE PH 2A</t>
  </si>
  <si>
    <t xml:space="preserve">SENA, ANDY N &amp; ALMA O </t>
  </si>
  <si>
    <t xml:space="preserve">PEACH TRUST  </t>
  </si>
  <si>
    <t>MIRAMONTE PH 2A LT 2005</t>
  </si>
  <si>
    <t>5263 VISTA HEIGHTS DR</t>
  </si>
  <si>
    <t xml:space="preserve">APPLEGARTH, ALLEN K &amp; JUDITH L </t>
  </si>
  <si>
    <t xml:space="preserve">VISTA HEIGHTS TRUST # 5263  </t>
  </si>
  <si>
    <t>MIRAMONTE 3A LT 3008</t>
  </si>
  <si>
    <t>5302 SKYSTONE DR</t>
  </si>
  <si>
    <t xml:space="preserve">MARYBETH M LAMB , FOUNDATION INC </t>
  </si>
  <si>
    <t>2890 OUTLOOK DR</t>
  </si>
  <si>
    <t xml:space="preserve">LAMB FOUNDATION INC, MARYBETH M  </t>
  </si>
  <si>
    <t>MIRAMONTE 3A LT 3070</t>
  </si>
  <si>
    <t>5259 SKYSTONE DR</t>
  </si>
  <si>
    <t xml:space="preserve">HART, MATTHEW R &amp; BARBARA A </t>
  </si>
  <si>
    <t xml:space="preserve">TENNIER, MICHAEL J </t>
  </si>
  <si>
    <t>MIRAMONTE 3A LT 3051</t>
  </si>
  <si>
    <t>5292 VISTA HEIGHTS DR</t>
  </si>
  <si>
    <t xml:space="preserve">MCKEEGAN, APRIL S  </t>
  </si>
  <si>
    <t xml:space="preserve">5292 VISTA HEIGHTS DR </t>
  </si>
  <si>
    <t>MIRAMONTE 3A LT 3048</t>
  </si>
  <si>
    <t>5371 DESERTSTONE DR</t>
  </si>
  <si>
    <t xml:space="preserve">VARGA, RUSSELL E &amp; STACEY E </t>
  </si>
  <si>
    <t xml:space="preserve">ZACHARIAS, JARRETT J &amp; STEPHANIE </t>
  </si>
  <si>
    <t>MIRAMONTE 3A LT 3026</t>
  </si>
  <si>
    <t>5334 VISTA HEIGHTS DR</t>
  </si>
  <si>
    <t xml:space="preserve">MAURINS, LINDSAY </t>
  </si>
  <si>
    <t xml:space="preserve">CHAVEZ, JOSE M &amp; ELIZABETH </t>
  </si>
  <si>
    <t>MIRAMONTE 3A LT 3043</t>
  </si>
  <si>
    <t>5342 DESERTSTONE DR</t>
  </si>
  <si>
    <t xml:space="preserve">EIDSON, AMANDA </t>
  </si>
  <si>
    <t xml:space="preserve">5342 DESERTSTONE DR </t>
  </si>
  <si>
    <t xml:space="preserve">GUNDERSEN, JEFFREY A &amp; CARIE JO </t>
  </si>
  <si>
    <t>MIRAMONTE 3A LT 3033</t>
  </si>
  <si>
    <t>5356 DESERTSTONE DR</t>
  </si>
  <si>
    <t>KALTENBACH, JOHN D et al</t>
  </si>
  <si>
    <t xml:space="preserve">ACKERMAN, TRAVIS B &amp; CHELSEA L </t>
  </si>
  <si>
    <t>MIRAMONTE 3A LT 3030</t>
  </si>
  <si>
    <t>5091 DIORITE CT</t>
  </si>
  <si>
    <t xml:space="preserve">LOVE , ROBERT J JR </t>
  </si>
  <si>
    <t xml:space="preserve">LOVE 2000 REV LIVING TRUST  </t>
  </si>
  <si>
    <t>MIRAMONTE 2B LT 2059</t>
  </si>
  <si>
    <t>2767 DOME CT</t>
  </si>
  <si>
    <t xml:space="preserve">HECKELER, DAVID D </t>
  </si>
  <si>
    <t>MIRAMONTE 2B LT 2133</t>
  </si>
  <si>
    <t>4921 HIGH PASS DR</t>
  </si>
  <si>
    <t xml:space="preserve">RHEAD, MICAH C &amp; JENNIFFER M  </t>
  </si>
  <si>
    <t xml:space="preserve">4921 HIGH PASS DR </t>
  </si>
  <si>
    <t>TEGLAS, NICOLE S  et al</t>
  </si>
  <si>
    <t>MIRAMONTE 2B LT 2122</t>
  </si>
  <si>
    <t>4755 VISTA MOUNTAIN DR</t>
  </si>
  <si>
    <t>VISTA HEIGHTS SOUTH PH 3</t>
  </si>
  <si>
    <t>PENSCO TRUST CO , CUSTODIAN  CUSTODIAN</t>
  </si>
  <si>
    <t>514-010-16</t>
  </si>
  <si>
    <t>VISTA HEIGHTS SOUTH PH 3 LT 80 BLK B</t>
  </si>
  <si>
    <t>4704 VISTA MOUNTAIN CT</t>
  </si>
  <si>
    <t>VISTA HEIGHTS SOUTH 3</t>
  </si>
  <si>
    <t>PERKINS, GARY J et al</t>
  </si>
  <si>
    <t>BARTOLDO STACIE</t>
  </si>
  <si>
    <t xml:space="preserve">ENOCHSON, WAYNE H &amp; JULIE C </t>
  </si>
  <si>
    <t>VISTA HEIGHTS SOUTH 3 LT 91 BLK A</t>
  </si>
  <si>
    <t>1699 GOLDDUST DR</t>
  </si>
  <si>
    <t>PETERSEN, MARK B et al</t>
  </si>
  <si>
    <t xml:space="preserve">DEVRIES FAMILY TRUST  </t>
  </si>
  <si>
    <t>514-042-14</t>
  </si>
  <si>
    <t>SATELLITE HILLS 3A AMD LT 14 BLK B</t>
  </si>
  <si>
    <t>4697 CHIPWOOD DR</t>
  </si>
  <si>
    <t xml:space="preserve">JENSON, JOHN D &amp; NICHOLE B </t>
  </si>
  <si>
    <t>DAILEY, MORGAN P et al</t>
  </si>
  <si>
    <t>035-581-05</t>
  </si>
  <si>
    <t>SOUTHVIEW 2 LT 43 BLK C</t>
  </si>
  <si>
    <t>1618 DISC DR</t>
  </si>
  <si>
    <t xml:space="preserve">MINCEY, JEFFREY W </t>
  </si>
  <si>
    <t>3614 BIG BEND LN</t>
  </si>
  <si>
    <t xml:space="preserve">ERKENEFF, LAURA J &amp; BRAD T </t>
  </si>
  <si>
    <t>035-592-01</t>
  </si>
  <si>
    <t>SOUTHVIEW 2 LT 14 BLK B</t>
  </si>
  <si>
    <t>1501 DISC DR</t>
  </si>
  <si>
    <t>KIRKER, DIANE  et al</t>
  </si>
  <si>
    <t>PO BOX 20247</t>
  </si>
  <si>
    <t>035-595-02</t>
  </si>
  <si>
    <t>SOUTHVIEW 2 LT 52 BLK D</t>
  </si>
  <si>
    <t>1511 DISC DR</t>
  </si>
  <si>
    <t xml:space="preserve">RUSSELL, TODD &amp; JESSICA </t>
  </si>
  <si>
    <t>035-595-03</t>
  </si>
  <si>
    <t>SOUTHVIEW 2 LT 53 BLK D</t>
  </si>
  <si>
    <t>1570 SQUIRRELTAIL DR</t>
  </si>
  <si>
    <t xml:space="preserve">EMPEY, CHRISTOPHER A  </t>
  </si>
  <si>
    <t>035-595-15</t>
  </si>
  <si>
    <t>SOUTHVIEW 2 LT 65 BLK D</t>
  </si>
  <si>
    <t>1475 GOLDDUST DR</t>
  </si>
  <si>
    <t xml:space="preserve">SMITH, ROBERT D &amp; JENNIFER M  </t>
  </si>
  <si>
    <t xml:space="preserve">1475 GOLDDUST DR </t>
  </si>
  <si>
    <t>035-464-02</t>
  </si>
  <si>
    <t>SATELLITE HILLS 2B LT 17 BLK D</t>
  </si>
  <si>
    <t>1515 SATELLITE DR</t>
  </si>
  <si>
    <t>GALLAGHER, RYAN P et al</t>
  </si>
  <si>
    <t>MOSIER-GALLAGHER SARAH E</t>
  </si>
  <si>
    <t xml:space="preserve">JOHNSON SURVIVORS TRUST, ARDIS I  </t>
  </si>
  <si>
    <t>035-464-05</t>
  </si>
  <si>
    <t>SATELLITE HILLS SUB UNIT 2 B LOT 20 BLK D</t>
  </si>
  <si>
    <t>1435 GOLDDUST DR</t>
  </si>
  <si>
    <t>KEMPER, ROSS E III &amp; WENDY-JO et al</t>
  </si>
  <si>
    <t xml:space="preserve">NOEL LIVING TRUST, TAUMA  </t>
  </si>
  <si>
    <t>035-492-07</t>
  </si>
  <si>
    <t>SATELLITE HILLS 2C LT 50 BLK A</t>
  </si>
  <si>
    <t>1442 GOLDDUST DR</t>
  </si>
  <si>
    <t>RAWSON, MICHAEL E et al</t>
  </si>
  <si>
    <t>035-493-03</t>
  </si>
  <si>
    <t>SATELLITE HILLS 2 C LT 44</t>
  </si>
  <si>
    <t>1612 SATELLITE DR</t>
  </si>
  <si>
    <t xml:space="preserve">GARCIA-ARROYO, ZAYRA </t>
  </si>
  <si>
    <t>1612 SATELITE DR</t>
  </si>
  <si>
    <t xml:space="preserve">MCKAY, GIANNA &amp; DAVID </t>
  </si>
  <si>
    <t>035-494-04</t>
  </si>
  <si>
    <t>SATELLITE HILLS 2C LT 25 BLK B</t>
  </si>
  <si>
    <t>1652 SATELLITE DR</t>
  </si>
  <si>
    <t xml:space="preserve">KOSKI, LYNNELLE </t>
  </si>
  <si>
    <t>035-494-08</t>
  </si>
  <si>
    <t>SATELLITE HILLS 2C LT 29 BLK B</t>
  </si>
  <si>
    <t>1672 SATELLITE DR</t>
  </si>
  <si>
    <t>DAGGET, RYAN et al</t>
  </si>
  <si>
    <t>ESPARZA-GONZALEZ NEREIDA</t>
  </si>
  <si>
    <t xml:space="preserve">GIOVANNETTI, BARBARA J </t>
  </si>
  <si>
    <t>035-494-10</t>
  </si>
  <si>
    <t>SATELLITE HILLS 2C LT 31 BLK B</t>
  </si>
  <si>
    <t>1442 FRAUN CT</t>
  </si>
  <si>
    <t>SATELLITE HILS 2E LT 1 FR</t>
  </si>
  <si>
    <t xml:space="preserve">LEYVA, CHRISTOPHER J </t>
  </si>
  <si>
    <t>035-560-19</t>
  </si>
  <si>
    <t>SATELLITE HILLS 2E LT 1 &amp; FR LT  A BLK A R/S 2718</t>
  </si>
  <si>
    <t>DLGD</t>
  </si>
  <si>
    <t>1493 GIANNOTTI DR</t>
  </si>
  <si>
    <t>PM 2189</t>
  </si>
  <si>
    <t xml:space="preserve">EQUIPMENT HEADQUARTERS INC </t>
  </si>
  <si>
    <t>PO BOX 52470</t>
  </si>
  <si>
    <t>035-264-13</t>
  </si>
  <si>
    <t>PM 2189 LT C</t>
  </si>
  <si>
    <t>1905 HIGH DESERT DR</t>
  </si>
  <si>
    <t xml:space="preserve">FERGUSON, WILLIAM &amp; VICKY </t>
  </si>
  <si>
    <t xml:space="preserve">WOOLDRIDGE, CHRISTINE M  </t>
  </si>
  <si>
    <t>VISTA HEIGHTS SOUTH 4 LT 104 BLK C</t>
  </si>
  <si>
    <t>4550 DESERT HILLS DR</t>
  </si>
  <si>
    <t xml:space="preserve">COWELL, JOHN T &amp; REGINA A </t>
  </si>
  <si>
    <t xml:space="preserve">DESERT HILLS TRUST 4550  </t>
  </si>
  <si>
    <t>CANYON HILLS 1A LT 12 BLK A</t>
  </si>
  <si>
    <t>4565 VISTA MOUNTAIN DR</t>
  </si>
  <si>
    <t>VISTA HEIGHTS SOUTH 5</t>
  </si>
  <si>
    <t xml:space="preserve">WIKE, JERRY L </t>
  </si>
  <si>
    <t>514-010-23</t>
  </si>
  <si>
    <t>VISTA HEIGHTS SOUTH 5 LT 130 BLK A</t>
  </si>
  <si>
    <t>4605 GOODWIN RD</t>
  </si>
  <si>
    <t xml:space="preserve">FYE, KILE P </t>
  </si>
  <si>
    <t>VISTA HEIGHTS SOUTH 5 LT 152 BLK D</t>
  </si>
  <si>
    <t>4556 MOUNT BACHELOR DR</t>
  </si>
  <si>
    <t xml:space="preserve">NAWBUNTAT, SUGUNYA </t>
  </si>
  <si>
    <t xml:space="preserve">4556 MT BACHELOR DR </t>
  </si>
  <si>
    <t>PROMONTORY LT 36 BLK B</t>
  </si>
  <si>
    <t>4531 PYRAMID PEAK CIR</t>
  </si>
  <si>
    <t xml:space="preserve">CUNNINGHAM, RANDY </t>
  </si>
  <si>
    <t>PROMONTORY LT 55 BLK B</t>
  </si>
  <si>
    <t>4573 EAGLE MOUNTAIN DR</t>
  </si>
  <si>
    <t xml:space="preserve">KOLLER, RANDY S &amp; DONNA K </t>
  </si>
  <si>
    <t>4451 DESERT HILLS DR</t>
  </si>
  <si>
    <t xml:space="preserve">HENDERSON, ARTHUR L &amp; LISSETH G </t>
  </si>
  <si>
    <t>514-202-29</t>
  </si>
  <si>
    <t>PROMONTORY AMD LT 46 BLK B</t>
  </si>
  <si>
    <t>4502 MOUNT BACHELOR DR</t>
  </si>
  <si>
    <t>HARPER, LISA C  et al</t>
  </si>
  <si>
    <t xml:space="preserve">4502 MT BACHELOR DR </t>
  </si>
  <si>
    <t>PROMONTORY AMD LT 27 BLK B</t>
  </si>
  <si>
    <t>4456 KINGS PEAK CIR</t>
  </si>
  <si>
    <t xml:space="preserve">LARSON , RACHEL L  </t>
  </si>
  <si>
    <t xml:space="preserve">ANGELI, BECKY L </t>
  </si>
  <si>
    <t>PROMONTORY AMD LT 74 BLK C</t>
  </si>
  <si>
    <t>4466 GLACIER PEAK CIR</t>
  </si>
  <si>
    <t xml:space="preserve">WILCOX, DANA G &amp; DENISE G </t>
  </si>
  <si>
    <t xml:space="preserve">CHRISTENSEN, ALEKSANDRA S &amp; KEVIN P </t>
  </si>
  <si>
    <t>PROMONTORY AMD LT 85 BLK C</t>
  </si>
  <si>
    <t>4559 GOODWIN RD</t>
  </si>
  <si>
    <t>BURNEY, SAJID S  et al</t>
  </si>
  <si>
    <t>SAJID NAJMA</t>
  </si>
  <si>
    <t xml:space="preserve">VELASQUEZ, GENEROSO A &amp; MELANIA C </t>
  </si>
  <si>
    <t>CANYON HILLS 1B LT 181 BLK D</t>
  </si>
  <si>
    <t>4505 GOODWIN RD</t>
  </si>
  <si>
    <t xml:space="preserve">FORE, RICHARD A &amp; SHERRY L </t>
  </si>
  <si>
    <t xml:space="preserve">MCALLESTER, LOIS L </t>
  </si>
  <si>
    <t>CANYON HILLS 1B LT 194 BLK D</t>
  </si>
  <si>
    <t>4459 DESERT HILLS DR</t>
  </si>
  <si>
    <t xml:space="preserve">MCANULTY, RICHARD &amp; MARSHA </t>
  </si>
  <si>
    <t xml:space="preserve">MYERS, KATHERINE R  </t>
  </si>
  <si>
    <t>CANYON HILLS 1B LT 45 BLK B</t>
  </si>
  <si>
    <t>4628 GOODWIN RD</t>
  </si>
  <si>
    <t xml:space="preserve">ROSAS, GABRIEL S </t>
  </si>
  <si>
    <t>VISTA HEIGHTS SOUTH 6 LT 181 BLK B</t>
  </si>
  <si>
    <t>4692 GOODWIN RD</t>
  </si>
  <si>
    <t>VISTA HEIGHTS SOUTH 6 ADJ</t>
  </si>
  <si>
    <t xml:space="preserve">DELACRUZ, GIGI &amp; EMILY D  </t>
  </si>
  <si>
    <t xml:space="preserve">4692 GOODWIN RD </t>
  </si>
  <si>
    <t>514-010-39</t>
  </si>
  <si>
    <t>VISTA HEIGHTS SOUTH 6 ADJ LT 173 BLK B (RS 3207)</t>
  </si>
  <si>
    <t>4647 N CACTUS HILLS DR</t>
  </si>
  <si>
    <t xml:space="preserve">MILLER, BOBBIE M </t>
  </si>
  <si>
    <t>4647 N CACTUS HILL</t>
  </si>
  <si>
    <t>DESERT HIGHLANDS 5 LT 43</t>
  </si>
  <si>
    <t>4698 S CACTUS HILLS DR</t>
  </si>
  <si>
    <t xml:space="preserve">TYE, DENNIS F  </t>
  </si>
  <si>
    <t xml:space="preserve">4698 S CACTUS HILLS DR </t>
  </si>
  <si>
    <t xml:space="preserve">GILLIS, GERDA </t>
  </si>
  <si>
    <t>DESERT HIGHLANDS 5 LT 38</t>
  </si>
  <si>
    <t>4691 S CACTUS HILLS DR</t>
  </si>
  <si>
    <t xml:space="preserve">FLICKINGER, AARON P &amp; MOLLY L </t>
  </si>
  <si>
    <t xml:space="preserve">LYNCH, JOHN G &amp; CHARLENE M </t>
  </si>
  <si>
    <t>DESERT HIGHLANDS 5 LT 49</t>
  </si>
  <si>
    <t>4607 S DESERT BRUSH CT</t>
  </si>
  <si>
    <t xml:space="preserve">MUSICK, ANDREW C </t>
  </si>
  <si>
    <t>4607 DESERT BRUSH CT</t>
  </si>
  <si>
    <t>DESERT HIGHLANDS 3 LT 12</t>
  </si>
  <si>
    <t>4616 S DESERT BRUSH CT</t>
  </si>
  <si>
    <t xml:space="preserve">DUCHESNE, DEBORAH </t>
  </si>
  <si>
    <t>MORAN, MICEAL O et al</t>
  </si>
  <si>
    <t>DESERT HIGHLANDS 3 LT 14</t>
  </si>
  <si>
    <t>4233 VANGUARD DR</t>
  </si>
  <si>
    <t xml:space="preserve">HOWELLS, SCOTT J </t>
  </si>
  <si>
    <t xml:space="preserve">JENSEN FAMILY TRUST, JILL M  </t>
  </si>
  <si>
    <t>DESERT HIGHLANDS 4A LT 82</t>
  </si>
  <si>
    <t>4258 VANGUARD DR</t>
  </si>
  <si>
    <t xml:space="preserve">COLEMAN, RICHARD L  </t>
  </si>
  <si>
    <t xml:space="preserve">1344 DISC DR # 165                      </t>
  </si>
  <si>
    <t xml:space="preserve">GERHARD, NANCY M </t>
  </si>
  <si>
    <t>DESERT HIGHLANDS 4A LT 104</t>
  </si>
  <si>
    <t>3997 BURLINGTON DR</t>
  </si>
  <si>
    <t xml:space="preserve">SARIOLGHALAM, MARYAM  </t>
  </si>
  <si>
    <t xml:space="preserve">3997 BURLINGTON DR </t>
  </si>
  <si>
    <t>894369</t>
  </si>
  <si>
    <t>DESERT HIGHLANDS 4D LT 17</t>
  </si>
  <si>
    <t>3931 BURLINGTON DR</t>
  </si>
  <si>
    <t xml:space="preserve">MARTINEZ, MARIO E </t>
  </si>
  <si>
    <t xml:space="preserve">BERGIN, CELESTE P </t>
  </si>
  <si>
    <t>DESERT HIGHLANDS 4D LT 22</t>
  </si>
  <si>
    <t>2735 WATERVALE DR</t>
  </si>
  <si>
    <t xml:space="preserve">GUBBRUD, CAROLINE </t>
  </si>
  <si>
    <t>24109 AVENIDA CRESCENTA</t>
  </si>
  <si>
    <t>SANTA CLARITA</t>
  </si>
  <si>
    <t>DESERT HIGHLANDS 4D LT 28</t>
  </si>
  <si>
    <t>2730 ARISTEDES DR</t>
  </si>
  <si>
    <t>SIMON, KEITH D  et al</t>
  </si>
  <si>
    <t xml:space="preserve">2730 ARISTEDES DR </t>
  </si>
  <si>
    <t>DESERT HIGHLANDS 4D LT 254</t>
  </si>
  <si>
    <t>1768 BRAIDWOOD DR</t>
  </si>
  <si>
    <t xml:space="preserve">NEMETH/FRANKLIN FAMILY TRUST  </t>
  </si>
  <si>
    <t>2593 CHAPARRAL CT</t>
  </si>
  <si>
    <t>CANYON HILLS 1D LT 155</t>
  </si>
  <si>
    <t>4051 BURLINGTON DR</t>
  </si>
  <si>
    <t xml:space="preserve">NELSON FAMILY TRUST  </t>
  </si>
  <si>
    <t>6646 ASTON CIR</t>
  </si>
  <si>
    <t>DESERT HIGHLANDS 4C LT 14</t>
  </si>
  <si>
    <t>4050 CLOVERBROOK PL</t>
  </si>
  <si>
    <t xml:space="preserve">FACQUE, CHRIS  </t>
  </si>
  <si>
    <t xml:space="preserve">4050 CLOVERBROOK PL </t>
  </si>
  <si>
    <t>DESERT HIGHLANDS 4C LT 227</t>
  </si>
  <si>
    <t>4050 VENETIAN CT</t>
  </si>
  <si>
    <t xml:space="preserve">DOMINGUES LIVING TRUST  </t>
  </si>
  <si>
    <t>DESERT HIGHLANDS 4C LT 233</t>
  </si>
  <si>
    <t>4495 DESERT HIGHLANDS DR</t>
  </si>
  <si>
    <t>DESERT HIGHLANDS 1 PH 1</t>
  </si>
  <si>
    <t xml:space="preserve">DUTTON REV INTER-VIVOS TRUST, PAMELA G   </t>
  </si>
  <si>
    <t xml:space="preserve">DUTTON, PAMELA G  </t>
  </si>
  <si>
    <t>514-010-74</t>
  </si>
  <si>
    <t>DESERT HIGHLANDS 1 PH 1 LT 6</t>
  </si>
  <si>
    <t>4079 WHISPERING WIND PL</t>
  </si>
  <si>
    <t xml:space="preserve">DESERT HIGHLANDS 4E </t>
  </si>
  <si>
    <t xml:space="preserve">JEPPSON, STEVEN R  </t>
  </si>
  <si>
    <t xml:space="preserve">4079 WHISPERING WIND </t>
  </si>
  <si>
    <t>DESERT HIGHLANDS 4E LT 194</t>
  </si>
  <si>
    <t>3898 WHISPERING WIND DR</t>
  </si>
  <si>
    <t xml:space="preserve">NUTI, MELISSA &amp; PETER </t>
  </si>
  <si>
    <t>DESERT HIGHLANDS 4E LT 181</t>
  </si>
  <si>
    <t>4125 CULPEPPER DR</t>
  </si>
  <si>
    <t>BALTIERRA, BRANDEN J et al</t>
  </si>
  <si>
    <t xml:space="preserve">REED, DAVID &amp; PAMELA </t>
  </si>
  <si>
    <t>DESERT HIGHLANDS 4B LT 66</t>
  </si>
  <si>
    <t>4124 CULPEPPER DR</t>
  </si>
  <si>
    <t xml:space="preserve">CORRAL, JOSE </t>
  </si>
  <si>
    <t xml:space="preserve">LOVING, ANGELA L </t>
  </si>
  <si>
    <t>DESERT HIGHLANDS 4B LT 124</t>
  </si>
  <si>
    <t>3784 CULPEPPER DR</t>
  </si>
  <si>
    <t xml:space="preserve">BORRAYO, ANGELICA </t>
  </si>
  <si>
    <t>DESERT HIGHLANDS 4F LT 148</t>
  </si>
  <si>
    <t>2915 E NASHUA PL</t>
  </si>
  <si>
    <t xml:space="preserve">HACK, LINDA C  </t>
  </si>
  <si>
    <t>DESERT HIGHLANDS 4F LT 162</t>
  </si>
  <si>
    <t>2925 E NASHUA PL</t>
  </si>
  <si>
    <t xml:space="preserve">VAUGHN, BRITTNEY M </t>
  </si>
  <si>
    <t>TOMPKINS, JENNIFER J et al</t>
  </si>
  <si>
    <t>DESERT HIGHLANDS 4F LT 161</t>
  </si>
  <si>
    <t>2945 E NASHUA PL</t>
  </si>
  <si>
    <t xml:space="preserve">ACOSTA, MIGUEL A &amp; MICHELLE  </t>
  </si>
  <si>
    <t xml:space="preserve">2945 E NASHUA PL </t>
  </si>
  <si>
    <t xml:space="preserve">CHENEY, JOHN &amp; CHRISTY </t>
  </si>
  <si>
    <t>DESERT HIGHLANDS 4F LT 159</t>
  </si>
  <si>
    <t>4389 DANCING MOON WAY</t>
  </si>
  <si>
    <t xml:space="preserve">BALBINI, KIM N &amp; CHERYL J </t>
  </si>
  <si>
    <t>PIERCE, CLAUDIA et al</t>
  </si>
  <si>
    <t>DESERT HIGHLANDS 1 PH 2 LT 19</t>
  </si>
  <si>
    <t>1747 CLOUD PEAK DR</t>
  </si>
  <si>
    <t xml:space="preserve">CALLO, CARMEN &amp; BRENDA </t>
  </si>
  <si>
    <t xml:space="preserve">1747 CLOUD PEAK DR </t>
  </si>
  <si>
    <t xml:space="preserve">GARCIA, FERMIN F  </t>
  </si>
  <si>
    <t>SKY RIDGE 1 LT 24</t>
  </si>
  <si>
    <t>4747 SIRACH CT</t>
  </si>
  <si>
    <t xml:space="preserve">POSUKONIS, ROBERT J </t>
  </si>
  <si>
    <t xml:space="preserve">MCCAFFREY, SEAN P &amp; STEFANIE M </t>
  </si>
  <si>
    <t>SKY RIDGE 1 LT 14</t>
  </si>
  <si>
    <t>1738 DISC DR</t>
  </si>
  <si>
    <t xml:space="preserve">COX, CHARLES M &amp; MARJORIE O  </t>
  </si>
  <si>
    <t xml:space="preserve">KELLY, ROGER E &amp; JINO T </t>
  </si>
  <si>
    <t>SKY RIDGE 1 LT 6</t>
  </si>
  <si>
    <t>4181 TALLADEGA DR</t>
  </si>
  <si>
    <t xml:space="preserve">BEHRENS, ROBERT H </t>
  </si>
  <si>
    <t>27714  SUMNER AVE</t>
  </si>
  <si>
    <t>91350</t>
  </si>
  <si>
    <t>LIBERTY HILLS EST LT 10</t>
  </si>
  <si>
    <t>2151 TALLADEGA CT</t>
  </si>
  <si>
    <t xml:space="preserve">BOYD 2010 TRUST, PHILLIS M  </t>
  </si>
  <si>
    <t xml:space="preserve">BOYD, PHILLIS M </t>
  </si>
  <si>
    <t>LIBERTY HILLS EST LT 52</t>
  </si>
  <si>
    <t>2161 TALLADEGA CT</t>
  </si>
  <si>
    <t xml:space="preserve">MARTINEZ, GILBERT </t>
  </si>
  <si>
    <t>540 ENCINO DR</t>
  </si>
  <si>
    <t xml:space="preserve">DIAZ, ERNESTO </t>
  </si>
  <si>
    <t>LIBERTY HILLS EST LT 53</t>
  </si>
  <si>
    <t>1653 CLOUD PEAK DR</t>
  </si>
  <si>
    <t xml:space="preserve">PIEDRA , MICHAEL  </t>
  </si>
  <si>
    <t xml:space="preserve">1653 CLOUD PEAK DR </t>
  </si>
  <si>
    <t>SKY RIDGE 2 LT 206</t>
  </si>
  <si>
    <t>1515 CANTINIA DR</t>
  </si>
  <si>
    <t xml:space="preserve">RITTER, DOUGLAS D &amp; ANITA M  </t>
  </si>
  <si>
    <t xml:space="preserve">1515 CANTINIA DR </t>
  </si>
  <si>
    <t xml:space="preserve">COOK, CLYNNE M </t>
  </si>
  <si>
    <t>SKY RIDGE 2 LT 226</t>
  </si>
  <si>
    <t>1527 POPTART CT</t>
  </si>
  <si>
    <t xml:space="preserve">CURRIE, DAWN R </t>
  </si>
  <si>
    <t>SKY RIDGE 2 LT 278</t>
  </si>
  <si>
    <t>1537 POPTART CT</t>
  </si>
  <si>
    <t xml:space="preserve">ST JOHN, GEOFFREY E &amp; KAYLEEN M </t>
  </si>
  <si>
    <t>SKY RIDGE 2 LT 277</t>
  </si>
  <si>
    <t>1555 CANTINIA DR</t>
  </si>
  <si>
    <t xml:space="preserve">AKHTAR, FAHEEM </t>
  </si>
  <si>
    <t>SKY RIDGE 2 LT 273</t>
  </si>
  <si>
    <t>1565 CANTINIA DR</t>
  </si>
  <si>
    <t xml:space="preserve">GRIFFIN FAMILY TRUST  </t>
  </si>
  <si>
    <t>1344 DISC DR STE 352</t>
  </si>
  <si>
    <t>SKY RIDGE 2 LT 272</t>
  </si>
  <si>
    <t>1575 CANTINIA DR</t>
  </si>
  <si>
    <t xml:space="preserve">BLACK, CHRISTOPHER A &amp; JAIME K </t>
  </si>
  <si>
    <t>SKY RIDGE 2 LT 271</t>
  </si>
  <si>
    <t>5370 SANTA ANITA DR</t>
  </si>
  <si>
    <t xml:space="preserve">SIENKO, JOHN &amp; LINDA </t>
  </si>
  <si>
    <t>518-521-03</t>
  </si>
  <si>
    <t>TRIPLE CROWN 6 LT 603</t>
  </si>
  <si>
    <t>1470 LOMA VERDE DR</t>
  </si>
  <si>
    <t>SANDOVAL, MARIADEL C et al</t>
  </si>
  <si>
    <t xml:space="preserve">JOHNSON, MICHAEL P &amp; PAMELA S </t>
  </si>
  <si>
    <t>518-521-13</t>
  </si>
  <si>
    <t>TRIPLE CROWN 6 LT 613</t>
  </si>
  <si>
    <t>1440 LOMA VERDE DR</t>
  </si>
  <si>
    <t xml:space="preserve">GRUNE , LYNDSEY J  </t>
  </si>
  <si>
    <t xml:space="preserve">1440 LOMA VERDE DR </t>
  </si>
  <si>
    <t xml:space="preserve">PUGH, ALFRED W &amp; JUDY A </t>
  </si>
  <si>
    <t>518-521-16</t>
  </si>
  <si>
    <t>TRIPLE CROWN 6 LT 616</t>
  </si>
  <si>
    <t>1230 LOMA VERDE CT</t>
  </si>
  <si>
    <t>TRIPLE CROWN PH 6</t>
  </si>
  <si>
    <t xml:space="preserve">WILLIAMS, MICHELLE M &amp; JUSTIN A </t>
  </si>
  <si>
    <t xml:space="preserve">DEROSA, ANTHONY R </t>
  </si>
  <si>
    <t>518-532-08</t>
  </si>
  <si>
    <t>TRIPLE CROWN UT 6 LT 634</t>
  </si>
  <si>
    <t>1325 BODEGA CT</t>
  </si>
  <si>
    <t xml:space="preserve">HARTON TRUST, CHARLES T &amp; DONNA B  </t>
  </si>
  <si>
    <t xml:space="preserve">HARTON, CHARLES T &amp; DONNA B </t>
  </si>
  <si>
    <t>518-442-02</t>
  </si>
  <si>
    <t>TRIPLE CROWN 5 LT 538</t>
  </si>
  <si>
    <t>1262 BODEGA DR</t>
  </si>
  <si>
    <t xml:space="preserve">GARCIA, FERMIN &amp; MARIA D </t>
  </si>
  <si>
    <t xml:space="preserve">ANASTASSATOS, JERRY </t>
  </si>
  <si>
    <t>518-443-07</t>
  </si>
  <si>
    <t>TRIPLE CROWN 5 LT 518</t>
  </si>
  <si>
    <t>1250 BODEGA DR</t>
  </si>
  <si>
    <t xml:space="preserve">RWH LLC </t>
  </si>
  <si>
    <t>1275 WEBSTER WAY</t>
  </si>
  <si>
    <t>518-443-09</t>
  </si>
  <si>
    <t>TRIPLE CROWN 5 LT 516</t>
  </si>
  <si>
    <t>5260 SANTA ANITA DR</t>
  </si>
  <si>
    <t>RIVERA-SALAS, RIGOBERTO et al</t>
  </si>
  <si>
    <t>518-321-05</t>
  </si>
  <si>
    <t>TRIPLE CROWN 1 LT 34 BLK B</t>
  </si>
  <si>
    <t>1280 CIBOLA DR</t>
  </si>
  <si>
    <t xml:space="preserve">BURKE, HERBERT L &amp; RAYNELL </t>
  </si>
  <si>
    <t>3870 ISLE OF SKYE DR</t>
  </si>
  <si>
    <t>518-453-02</t>
  </si>
  <si>
    <t>TRIPLE CROWN 5 LT 507</t>
  </si>
  <si>
    <t>1217 BODEGA DR</t>
  </si>
  <si>
    <t>TRIPLE CROWN 4</t>
  </si>
  <si>
    <t xml:space="preserve">HONG, KATHERINE K &amp; HOANG N  </t>
  </si>
  <si>
    <t xml:space="preserve">1217 BODEGA DR                          </t>
  </si>
  <si>
    <t>518-411-05</t>
  </si>
  <si>
    <t>TRIPLE CROWN 4 LT 420</t>
  </si>
  <si>
    <t>1175 LA CRESTA CT</t>
  </si>
  <si>
    <t xml:space="preserve">WESLEY, STEPHANIE A </t>
  </si>
  <si>
    <t>1175 LACRESTA CT</t>
  </si>
  <si>
    <t>518-414-06</t>
  </si>
  <si>
    <t>TRIPLE CROWN 4 LT 413</t>
  </si>
  <si>
    <t>5099 RINCON CT</t>
  </si>
  <si>
    <t>TRIPLE CROWN 2</t>
  </si>
  <si>
    <t>JONES, KEVIN et al</t>
  </si>
  <si>
    <t>UMSCHEID CATHRINE</t>
  </si>
  <si>
    <t xml:space="preserve">BURROWS, TOM A  </t>
  </si>
  <si>
    <t>518-361-06</t>
  </si>
  <si>
    <t>TRIPLE CROWN 2 LT 206</t>
  </si>
  <si>
    <t>1335 RINCON DR</t>
  </si>
  <si>
    <t xml:space="preserve">PIERCE, MICHAEL W  </t>
  </si>
  <si>
    <t>316 CALIFORNIA AVE # 304</t>
  </si>
  <si>
    <t xml:space="preserve">MEYERS, KENNETH &amp; LAURIE </t>
  </si>
  <si>
    <t>518-363-11</t>
  </si>
  <si>
    <t>TRIPLE CROWN 2 LT 217</t>
  </si>
  <si>
    <t>1290 GLENDORA LN</t>
  </si>
  <si>
    <t xml:space="preserve">MARTINEZ, GONZALO G </t>
  </si>
  <si>
    <t>BOGARIN-JACOBO, GERARDO et al</t>
  </si>
  <si>
    <t>518-403-01</t>
  </si>
  <si>
    <t>TRIPLE CROWN 3 LT 325</t>
  </si>
  <si>
    <t>1230 GLENDORA LN</t>
  </si>
  <si>
    <t xml:space="preserve">GALLAGHER, JAMIESON </t>
  </si>
  <si>
    <t>518-403-06</t>
  </si>
  <si>
    <t>TRIPLE CROWN 3 LT 330</t>
  </si>
  <si>
    <t>5105 COLINA DR</t>
  </si>
  <si>
    <t xml:space="preserve">EGGERS, BRIAN </t>
  </si>
  <si>
    <t>518-404-05</t>
  </si>
  <si>
    <t>TRIPLE CROWN 3 LT 337</t>
  </si>
  <si>
    <t>5153 LORENZO LN</t>
  </si>
  <si>
    <t xml:space="preserve">SEVRENS, GLENN D &amp; MARGARET E  </t>
  </si>
  <si>
    <t xml:space="preserve">5153 LORENZO LN </t>
  </si>
  <si>
    <t>518-612-09</t>
  </si>
  <si>
    <t>TRIPLE CROWN 7A LT 728</t>
  </si>
  <si>
    <t>5148 CALDERA DR</t>
  </si>
  <si>
    <t xml:space="preserve">CASAREZ, OSCAR I  </t>
  </si>
  <si>
    <t xml:space="preserve">5148 CALDERA DR </t>
  </si>
  <si>
    <t>518-612-14</t>
  </si>
  <si>
    <t>TRIPLE CROWN 7A LT 716</t>
  </si>
  <si>
    <t>4938 COLORADO CT</t>
  </si>
  <si>
    <t xml:space="preserve">MASCARENA, JAVIER S  </t>
  </si>
  <si>
    <t xml:space="preserve">4938 COLORADO CT </t>
  </si>
  <si>
    <t>518-614-06</t>
  </si>
  <si>
    <t>TRIPLE CROWN 7A LT 710</t>
  </si>
  <si>
    <t>5341 DESERT PEACH DR</t>
  </si>
  <si>
    <t>KILEY RANCH PH 2 UT 7</t>
  </si>
  <si>
    <t>MENDOZA, ANTHONY S  et al</t>
  </si>
  <si>
    <t>HANE, DANIEL B et al</t>
  </si>
  <si>
    <t>518-651-17</t>
  </si>
  <si>
    <t>KILEY RANCH PH 2 UT 7 LT 12</t>
  </si>
  <si>
    <t>5329 DESERT PEACH DR</t>
  </si>
  <si>
    <t xml:space="preserve">VAUGHAN, WHITNEY M </t>
  </si>
  <si>
    <t xml:space="preserve">CHRISTENSEN, DIANE K  </t>
  </si>
  <si>
    <t>518-651-20</t>
  </si>
  <si>
    <t>KILEY RANCH PH 2 UT 7 LT 7</t>
  </si>
  <si>
    <t>5302 DESERT PEACH DR</t>
  </si>
  <si>
    <t xml:space="preserve">FRISKEL, JANICE P </t>
  </si>
  <si>
    <t>518-654-01</t>
  </si>
  <si>
    <t>KILEY RANCH PH 2 UT 7 LT 45</t>
  </si>
  <si>
    <t>1007 TABLE MOUNTAIN CT</t>
  </si>
  <si>
    <t xml:space="preserve">HUERTAS, PETER </t>
  </si>
  <si>
    <t xml:space="preserve">FISHER, JEANENE </t>
  </si>
  <si>
    <t>518-662-01</t>
  </si>
  <si>
    <t>KILEY RANCH 2 UT 1 LT 13</t>
  </si>
  <si>
    <t>1023 TABLE MOUNTAIN CT</t>
  </si>
  <si>
    <t xml:space="preserve">EVANGELISTA, ERNEST J &amp; BRENDA S </t>
  </si>
  <si>
    <t>4661 CHEATGRASS LN</t>
  </si>
  <si>
    <t xml:space="preserve">TABLE MOUNTAIN TRUST #1023  </t>
  </si>
  <si>
    <t>518-662-04</t>
  </si>
  <si>
    <t>KILEY RANCH 2 UT 1 LT 16</t>
  </si>
  <si>
    <t>5035 PRADERA ST</t>
  </si>
  <si>
    <t xml:space="preserve">SABO, ROBERT M </t>
  </si>
  <si>
    <t xml:space="preserve">BAILEY, KELLEY M </t>
  </si>
  <si>
    <t>518-543-02</t>
  </si>
  <si>
    <t>MESA MEADOWS 4 LT 142</t>
  </si>
  <si>
    <t>881 LA HONDA CT</t>
  </si>
  <si>
    <t xml:space="preserve">BENSON , DUANE M  </t>
  </si>
  <si>
    <t xml:space="preserve">881 LA HONDA CT </t>
  </si>
  <si>
    <t xml:space="preserve">BINGER TRUST, JEAN V  </t>
  </si>
  <si>
    <t>518-544-05</t>
  </si>
  <si>
    <t>MESA MEADOWS 4 LT 114</t>
  </si>
  <si>
    <t>796 AHWANEE DR</t>
  </si>
  <si>
    <t xml:space="preserve">GELDMACHER, GRACE </t>
  </si>
  <si>
    <t>518-672-12</t>
  </si>
  <si>
    <t>MESA MEADOWS 5 LT 174</t>
  </si>
  <si>
    <t>871 DEL SOL ST</t>
  </si>
  <si>
    <t>FORBES, RICHARD S et al</t>
  </si>
  <si>
    <t>518-674-03</t>
  </si>
  <si>
    <t>MESA MEADOWS 5 LT 153</t>
  </si>
  <si>
    <t>4945 PRADERA ST</t>
  </si>
  <si>
    <t>TAN, NATHALIE et al</t>
  </si>
  <si>
    <t>PO BOX 1034</t>
  </si>
  <si>
    <t xml:space="preserve">CORTES, JAVIER &amp; LESLIE </t>
  </si>
  <si>
    <t>518-351-03</t>
  </si>
  <si>
    <t>MESA MEADOWS 2 LT 48 BLK B</t>
  </si>
  <si>
    <t>1005 CARTAGO CT</t>
  </si>
  <si>
    <t xml:space="preserve">HANNEMAN, MARLIN R &amp; JULIE L </t>
  </si>
  <si>
    <t xml:space="preserve">YOUNG, JACOB S &amp; LINDA L </t>
  </si>
  <si>
    <t>518-352-03</t>
  </si>
  <si>
    <t>MESA MEADOWS 2 LT 34 BLK A</t>
  </si>
  <si>
    <t>1040 CARTAGO CT</t>
  </si>
  <si>
    <t xml:space="preserve">REBIDEAUX, DEBRA S </t>
  </si>
  <si>
    <t xml:space="preserve">RIVERS, SHANI L </t>
  </si>
  <si>
    <t>518-352-13</t>
  </si>
  <si>
    <t>MESA MEADOWS SUB UNIT NO 2 LOT 44 BLK A</t>
  </si>
  <si>
    <t>875 KAYENTA CT</t>
  </si>
  <si>
    <t>KILEY RANCH 2 UT 2</t>
  </si>
  <si>
    <t>BRENNAN, JAMES L et al</t>
  </si>
  <si>
    <t xml:space="preserve">HACILI, MUSTAFA &amp; MISSY </t>
  </si>
  <si>
    <t>516-020-07</t>
  </si>
  <si>
    <t>KILEY RANCH 2 UT 2 LT 81</t>
  </si>
  <si>
    <t>880 MONTERO DR</t>
  </si>
  <si>
    <t>KILEY RANCH PH 2 UT 2</t>
  </si>
  <si>
    <t>DENDARY, JUSTIN  et al</t>
  </si>
  <si>
    <t>ELLIS, DARREL T et al</t>
  </si>
  <si>
    <t>KILEY RANCH PH 2 UT 2 LT 62</t>
  </si>
  <si>
    <t>1025 SANTA CRUZ ST</t>
  </si>
  <si>
    <t xml:space="preserve">PORTER, LANEY G </t>
  </si>
  <si>
    <t xml:space="preserve">1025 SANTA CRUZ </t>
  </si>
  <si>
    <t xml:space="preserve">LUDWIG, MARK W &amp; LISA R </t>
  </si>
  <si>
    <t>MESA MEADOWS 6 LT 202</t>
  </si>
  <si>
    <t>4781 PRADERA ST</t>
  </si>
  <si>
    <t>LORD, ERIN J et al</t>
  </si>
  <si>
    <t xml:space="preserve">BARRETT, MARTIN T </t>
  </si>
  <si>
    <t>MESA MEADOWS 6 LT 200</t>
  </si>
  <si>
    <t>4748 PRADERA ST</t>
  </si>
  <si>
    <t xml:space="preserve">GILLESPIE , SUSANNE H  </t>
  </si>
  <si>
    <t>MESA MEADOWS 6 LT 185</t>
  </si>
  <si>
    <t>5425 DESERT PEACH DR</t>
  </si>
  <si>
    <t>RUBY, BRANDON J  et al</t>
  </si>
  <si>
    <t xml:space="preserve">4690 N CACTUS HILLS DR </t>
  </si>
  <si>
    <t>KILEY RANCH PH 2 UT 8 LT 80</t>
  </si>
  <si>
    <t>925 EPHEDRA LN</t>
  </si>
  <si>
    <t xml:space="preserve">REDING, MICHELLE M  </t>
  </si>
  <si>
    <t xml:space="preserve">925 EPHEDRA LN </t>
  </si>
  <si>
    <t>KILEY RANCH 2 UT 8 LT 71</t>
  </si>
  <si>
    <t>979 EPHEDRA LN</t>
  </si>
  <si>
    <t xml:space="preserve">WHEELER, DANIEL T  </t>
  </si>
  <si>
    <t>PO BOX 13767</t>
  </si>
  <si>
    <t xml:space="preserve">NELSON, HEATHER K </t>
  </si>
  <si>
    <t>KILEY RANCH PH 2 UT 8 LT 61</t>
  </si>
  <si>
    <t>985 EPHEDRA LN</t>
  </si>
  <si>
    <t xml:space="preserve">HALIFAX, WILLIAM </t>
  </si>
  <si>
    <t>FINNERTY, FRANK A et al</t>
  </si>
  <si>
    <t>KILEY RANCH PH 2 UT 8 LT 60</t>
  </si>
  <si>
    <t>5355 VILLAGE MEADOWS DR</t>
  </si>
  <si>
    <t xml:space="preserve">LOBERG, CHAD L &amp; TATIA R  </t>
  </si>
  <si>
    <t xml:space="preserve">148 CASCADE DR </t>
  </si>
  <si>
    <t xml:space="preserve">SPRING CREEK </t>
  </si>
  <si>
    <t>KILEY RANCH PH 2 UT 8 LT 94</t>
  </si>
  <si>
    <t>928 EPHEDRA LN</t>
  </si>
  <si>
    <t>ELKJER, SUZANNA  et al</t>
  </si>
  <si>
    <t xml:space="preserve">97 HANNON AVE </t>
  </si>
  <si>
    <t>CRESCENT MILLS</t>
  </si>
  <si>
    <t>95934</t>
  </si>
  <si>
    <t>KILEY RANCH PH 2 UT 8 LT 85</t>
  </si>
  <si>
    <t>922 EPHEDRA LN</t>
  </si>
  <si>
    <t xml:space="preserve">MARILUCH FAMILY TRUST, PETER &amp; FAYE   </t>
  </si>
  <si>
    <t>2535 RIO ALAYNE CT</t>
  </si>
  <si>
    <t>KILEY RANCH 2 UT 8 LT 84</t>
  </si>
  <si>
    <t>4715 MERITO CT</t>
  </si>
  <si>
    <t xml:space="preserve">COOK, CLYYNE M </t>
  </si>
  <si>
    <t xml:space="preserve">LARSON LIVING TRUST, MARGARET A  </t>
  </si>
  <si>
    <t>MESA MEADOWS LT 244</t>
  </si>
  <si>
    <t>4712 EL PORTAL CT</t>
  </si>
  <si>
    <t>DORVILLE, CHERYL et al</t>
  </si>
  <si>
    <t xml:space="preserve">LUCCA, PAUL R &amp; MARY M </t>
  </si>
  <si>
    <t>MESA MEADOWS LT 254</t>
  </si>
  <si>
    <t>5372 VILLAGE MEADOWS DR</t>
  </si>
  <si>
    <t xml:space="preserve">TUASON, JOEY S II </t>
  </si>
  <si>
    <t>KILEY RANCH 2B UT 9 LT 100</t>
  </si>
  <si>
    <t>5392 VILLAGE MEADOWS DR</t>
  </si>
  <si>
    <t xml:space="preserve">MURPHY, KAYLEENE </t>
  </si>
  <si>
    <t xml:space="preserve">WILLIAMS REVOCABLE TRUST, VERONA E  </t>
  </si>
  <si>
    <t>KILEY RANCH 2B UT 9 LT 103</t>
  </si>
  <si>
    <t>5486 VILLAGE MEADOWS DR</t>
  </si>
  <si>
    <t xml:space="preserve">SALGADO, JOSE  </t>
  </si>
  <si>
    <t xml:space="preserve">5486 VILLAGE MEADOWS DR </t>
  </si>
  <si>
    <t>AGUSTIN, JOSEFINA et al</t>
  </si>
  <si>
    <t>KILEY RANCH 2B UT 9 LT 112</t>
  </si>
  <si>
    <t>1021 VILLAGE KNOLL DR</t>
  </si>
  <si>
    <t>KILEY RANCH 2-C UT 4</t>
  </si>
  <si>
    <t>IBARRA, SYLVIA et al</t>
  </si>
  <si>
    <t>IBARRA JOSE</t>
  </si>
  <si>
    <t>516-020-37</t>
  </si>
  <si>
    <t>KILEY RANCH 2-C UT 4 LT 9</t>
  </si>
  <si>
    <t>1061 VILLAGE KNOLL DR</t>
  </si>
  <si>
    <t>KILEY RANCH PH 2-C UT 4</t>
  </si>
  <si>
    <t xml:space="preserve">PETERSON, JOSEPH P </t>
  </si>
  <si>
    <t>1061 VILAGE KNOLL DR</t>
  </si>
  <si>
    <t xml:space="preserve">RIOS, LUIS M &amp; LUZ M </t>
  </si>
  <si>
    <t>KILEY RANCH PH 2-C UT 4 LT 5</t>
  </si>
  <si>
    <t>1091 VILLAGE KNOLL DR</t>
  </si>
  <si>
    <t>KILEY RANCH 2C UT 4</t>
  </si>
  <si>
    <t xml:space="preserve">MITCHELL, JASON E  </t>
  </si>
  <si>
    <t xml:space="preserve">1091 VILLAGE KNOLL DR </t>
  </si>
  <si>
    <t xml:space="preserve">MITCHELL, LAWRENCE </t>
  </si>
  <si>
    <t>KILEY RANCH 2C UT 4 LT 2</t>
  </si>
  <si>
    <t>1645 IRATCABAL DR</t>
  </si>
  <si>
    <t xml:space="preserve">FRADE, KELLY C </t>
  </si>
  <si>
    <t>1645 IRATCABAL ST</t>
  </si>
  <si>
    <t xml:space="preserve">FISCHER, JOHN M &amp; SANDRA J  </t>
  </si>
  <si>
    <t>TANGLEWOOD GROVE LT 122</t>
  </si>
  <si>
    <t>4810 GRACE CT</t>
  </si>
  <si>
    <t xml:space="preserve">MELSON, THERESA G </t>
  </si>
  <si>
    <t xml:space="preserve">HARRISON, SHAWN E &amp; KIM </t>
  </si>
  <si>
    <t>TANGLEWOOD GROVE LT 154</t>
  </si>
  <si>
    <t>5590 BRIDGER PEAK DR</t>
  </si>
  <si>
    <t xml:space="preserve">ZIMMER, LINDA I  </t>
  </si>
  <si>
    <t xml:space="preserve">REYES, VICTOR &amp; HELEN  </t>
  </si>
  <si>
    <t>KILEY RANCH WEST PH 3A UT 2 LT 36</t>
  </si>
  <si>
    <t>1051 RAIN WATER CT</t>
  </si>
  <si>
    <t>TENNIES, FRANK et al</t>
  </si>
  <si>
    <t>1051 RAINWATER CT</t>
  </si>
  <si>
    <t xml:space="preserve">TENNIES, FRANK </t>
  </si>
  <si>
    <t>KILEY RANCH PH 2C UT 5 LT 45</t>
  </si>
  <si>
    <t>5595 ASH ROCK DR</t>
  </si>
  <si>
    <t>KILEY RANCH 2C UT 5</t>
  </si>
  <si>
    <t xml:space="preserve">BROOKS, GORDON S &amp; BETHEL  </t>
  </si>
  <si>
    <t xml:space="preserve">FLEINER, STEVEN P &amp; LAURIE A </t>
  </si>
  <si>
    <t>KILEY RANCH 2C UT 5 LT 51</t>
  </si>
  <si>
    <t>5404 JUNCTION PEAK DR</t>
  </si>
  <si>
    <t xml:space="preserve">MARSHALL , SEAN M  </t>
  </si>
  <si>
    <t xml:space="preserve">5404 JUNCTION PEAK DR </t>
  </si>
  <si>
    <t>KILEY RANCH WEST PH 3A UT 3 LT 62</t>
  </si>
  <si>
    <t>5508 JUNCTION PEAK DR</t>
  </si>
  <si>
    <t xml:space="preserve">MONTES, RELISSA A &amp; JESUS F SR </t>
  </si>
  <si>
    <t xml:space="preserve">ROBBINS, BRANDA L </t>
  </si>
  <si>
    <t>KILEY RANCH WEST PH 3A UT 3 LT 67</t>
  </si>
  <si>
    <t>5415 JUNCTION PEAK DR</t>
  </si>
  <si>
    <t xml:space="preserve">FISHWICK, JEFF &amp; TAMMY S  </t>
  </si>
  <si>
    <t xml:space="preserve">LARSEN, BUCK B &amp; PAMELA A </t>
  </si>
  <si>
    <t>KILEY RANCH WEST PH 3A UT 3 LT 82</t>
  </si>
  <si>
    <t>811 SEQUOIA PASS CT</t>
  </si>
  <si>
    <t xml:space="preserve">FITCH, GLORIA J </t>
  </si>
  <si>
    <t>1222 GORDON AVE</t>
  </si>
  <si>
    <t xml:space="preserve">MOORE, EUGENE &amp; DEANNA </t>
  </si>
  <si>
    <t>KILEY RANCH WEST PH 3A UT 3 LT 89</t>
  </si>
  <si>
    <t>5330 DENALI PEAK DR</t>
  </si>
  <si>
    <t xml:space="preserve">LEWIS , EDDIE J </t>
  </si>
  <si>
    <t xml:space="preserve">PARKER , IRIS </t>
  </si>
  <si>
    <t>KILEY RANCH WEST PH 3A UT 3 LT 92</t>
  </si>
  <si>
    <t>5370 EBBETTS PASS DR</t>
  </si>
  <si>
    <t>RODRIGUEZ, RODOLFO et al</t>
  </si>
  <si>
    <t>KILEY RANCH WEST PH 3A UT 3 LT 95</t>
  </si>
  <si>
    <t>5437 EBBETTS PASS DR</t>
  </si>
  <si>
    <t>PROPES, JAY T  et al</t>
  </si>
  <si>
    <t xml:space="preserve">5437 EBBETTS PASS DR </t>
  </si>
  <si>
    <t xml:space="preserve">MCKENNIE, THOMAS A </t>
  </si>
  <si>
    <t>KILEY RANCH WEST PH 3A UT 3 LT 73</t>
  </si>
  <si>
    <t>5323 DENALI PEAK DR</t>
  </si>
  <si>
    <t xml:space="preserve">TAMAYO, SERGIO </t>
  </si>
  <si>
    <t>KILEY RANCH WEST PH 3A UT 3 LT 106</t>
  </si>
  <si>
    <t>820 PINCHOT PASS CT</t>
  </si>
  <si>
    <t>AYALA, RICARDO M  et al</t>
  </si>
  <si>
    <t xml:space="preserve">MELENDREZ, ROSA </t>
  </si>
  <si>
    <t>KILEY RANCH WEST 3A UT 5 &amp; 7 LT 107</t>
  </si>
  <si>
    <t>811 PINCHOT PASS CT</t>
  </si>
  <si>
    <t xml:space="preserve">WARNER, TINA </t>
  </si>
  <si>
    <t>KILEY RANCH WEST 3A UT 5 &amp; 7 LT 111</t>
  </si>
  <si>
    <t>5240 VIDETTE MEADOWS DR</t>
  </si>
  <si>
    <t xml:space="preserve">WOLF, PATRICIA P  </t>
  </si>
  <si>
    <t>KILEY RANCH WEST 3A UT 5 &amp; 7 LT 126</t>
  </si>
  <si>
    <t>5287 VIDETTE MEADOWS DR</t>
  </si>
  <si>
    <t xml:space="preserve">SAUNDERS, SANDRA G </t>
  </si>
  <si>
    <t xml:space="preserve">VOSSLER, ROY P III &amp; MELISSA A </t>
  </si>
  <si>
    <t>KILEY RANCH WEST 3A UT 5 &amp; 7 LT 130</t>
  </si>
  <si>
    <t>5203 VIDETTE MEADOWS DR</t>
  </si>
  <si>
    <t xml:space="preserve">HUNT, JOHN E &amp; PATRICIA L  </t>
  </si>
  <si>
    <t>10008 MARMOT CIR</t>
  </si>
  <si>
    <t>99515</t>
  </si>
  <si>
    <t xml:space="preserve">CHAVEZ, EDIN A </t>
  </si>
  <si>
    <t>KILEY RANCH WEST 3A UT 5 &amp; 7 LT 137</t>
  </si>
  <si>
    <t>5155 VIDETTE MEADOWS DR</t>
  </si>
  <si>
    <t xml:space="preserve">RAMIL, PASTOR M &amp; LOLITA M </t>
  </si>
  <si>
    <t>KILEY RANCH WEST 3A UT 5 &amp; 7 LT 143</t>
  </si>
  <si>
    <t>5070 CHAPPELET DR</t>
  </si>
  <si>
    <t xml:space="preserve">ADWERS, PETER G &amp; PATRICIA A </t>
  </si>
  <si>
    <t xml:space="preserve">HONG, HOANG N &amp; KATHERINE K </t>
  </si>
  <si>
    <t>VINEYARDS VILLAGE 2 LT 10</t>
  </si>
  <si>
    <t>1318 LAMBRUSCA DR</t>
  </si>
  <si>
    <t xml:space="preserve">SCHMID, JAMES H &amp; RAMONA L </t>
  </si>
  <si>
    <t xml:space="preserve">HOBBS, SCOTT </t>
  </si>
  <si>
    <t>VINEYARDS VILLAGE 2 LT 14</t>
  </si>
  <si>
    <t>1290 LAMBRUSCA DR</t>
  </si>
  <si>
    <t xml:space="preserve">YOUELL, LORI </t>
  </si>
  <si>
    <t xml:space="preserve">COLFACK, MARK A &amp; MISTY D </t>
  </si>
  <si>
    <t>VINEYARDS VILLAGE 2 LT 16</t>
  </si>
  <si>
    <t>5029 RHINE WINE DR</t>
  </si>
  <si>
    <t xml:space="preserve">COLE, ROBERT E &amp; APRIL J NARIO </t>
  </si>
  <si>
    <t>VINEYARDS VILLAGE 2 LT 101</t>
  </si>
  <si>
    <t>5003 RHINE WINE DR</t>
  </si>
  <si>
    <t xml:space="preserve">JOHNSON , PATRICK D &amp; BEVERLY A  </t>
  </si>
  <si>
    <t xml:space="preserve">5003 RHINE WINE DR </t>
  </si>
  <si>
    <t>VINEYARDS VILLAGE 2 LT 98</t>
  </si>
  <si>
    <t>5000 RHINE WINE DR</t>
  </si>
  <si>
    <t xml:space="preserve">FLOYD, RYAN L &amp; JENNIFER M </t>
  </si>
  <si>
    <t>VINEYARDS VILLAGE 2 LT 90</t>
  </si>
  <si>
    <t>5070 HALLGARTEN DR</t>
  </si>
  <si>
    <t xml:space="preserve">ABEL, DAVID J &amp; LINDA J </t>
  </si>
  <si>
    <t xml:space="preserve">5070 HALLGARTEN DR </t>
  </si>
  <si>
    <t xml:space="preserve">ALLEN , JEFFERY L &amp; KARI B  </t>
  </si>
  <si>
    <t>VINEYARDS VILLAGE 2 LT 60</t>
  </si>
  <si>
    <t>5041 CHAPPELET DR</t>
  </si>
  <si>
    <t xml:space="preserve">LEWIS, CHESTER </t>
  </si>
  <si>
    <t>VINEYARDS VILLAGE 2 LT 54</t>
  </si>
  <si>
    <t>1360 ARSAC LN</t>
  </si>
  <si>
    <t xml:space="preserve">HICKS LIVING TRUST  </t>
  </si>
  <si>
    <t xml:space="preserve">1360 ARSAC LN </t>
  </si>
  <si>
    <t xml:space="preserve">LACHACZ, JAMIE C &amp; JAMIE L  </t>
  </si>
  <si>
    <t>VINEYARDS VILLAGE 3 LT 188</t>
  </si>
  <si>
    <t>4955 DUBONNET DR</t>
  </si>
  <si>
    <t>LOVING, ANGELA L et al</t>
  </si>
  <si>
    <t xml:space="preserve">ZELINSKI PAUL C </t>
  </si>
  <si>
    <t xml:space="preserve">4955 DUBONNET DR </t>
  </si>
  <si>
    <t>VINEYARDS VILLAGE 3 LT 116</t>
  </si>
  <si>
    <t>4919 DUBONNET DR</t>
  </si>
  <si>
    <t xml:space="preserve">HUSTING, NICHOLAS E &amp; BETTY J </t>
  </si>
  <si>
    <t>PO BOX 8794</t>
  </si>
  <si>
    <t>PUEBLO</t>
  </si>
  <si>
    <t>VINEYARDS VILLAGE 3 LT 120</t>
  </si>
  <si>
    <t>4902 CHEVALIER DR</t>
  </si>
  <si>
    <t xml:space="preserve">CRONIN , JEFFREY M &amp; LISA M  </t>
  </si>
  <si>
    <t xml:space="preserve">4902 CHEVALIER DR </t>
  </si>
  <si>
    <t>VINEYARDS VILLAGE 3 LT 123</t>
  </si>
  <si>
    <t>4911 DUBONNET DR</t>
  </si>
  <si>
    <t>RS 5242</t>
  </si>
  <si>
    <t xml:space="preserve">HICKEY, KENNETH J &amp; MARCIA J  </t>
  </si>
  <si>
    <t xml:space="preserve">4911 DUBONNET DR </t>
  </si>
  <si>
    <t>516-421-06</t>
  </si>
  <si>
    <t>RS 5242 LT 121A, , (REFER TO DOC 3890996 FOR COMPL</t>
  </si>
  <si>
    <t>4931 CHEVALIER DR</t>
  </si>
  <si>
    <t xml:space="preserve">STEVENS , JORDAN  </t>
  </si>
  <si>
    <t xml:space="preserve">4931 CHEVALIER DR </t>
  </si>
  <si>
    <t>VINEYARDS VILLAGE 3 LT 194</t>
  </si>
  <si>
    <t>4989 DUBONNET DR</t>
  </si>
  <si>
    <t xml:space="preserve">KINGERY, MICHAEL &amp; PATRICIA </t>
  </si>
  <si>
    <t>FLORES, JOSE R et al</t>
  </si>
  <si>
    <t>VINEYARDS VILLAGE 3 LT 168</t>
  </si>
  <si>
    <t>5015 CHAPPELET DR</t>
  </si>
  <si>
    <t>CRIDDLE, ROBERT K  et al</t>
  </si>
  <si>
    <t xml:space="preserve">BAISINGER-CRIDDLE CAROL C </t>
  </si>
  <si>
    <t xml:space="preserve">ALVAREZ, JESUS E &amp; YOLANDA </t>
  </si>
  <si>
    <t>VINEYARDS VILLAGE 2 LT 52</t>
  </si>
  <si>
    <t>5001 CHAPPELET DR</t>
  </si>
  <si>
    <t xml:space="preserve">LAWRENCE LIVING TRUST, DENNIS F &amp; JANICE M  </t>
  </si>
  <si>
    <t>PO BOX 2405</t>
  </si>
  <si>
    <t>AVILA BEACH</t>
  </si>
  <si>
    <t>93424</t>
  </si>
  <si>
    <t xml:space="preserve">LAWRENCE, DENNIS F &amp; JANICE M </t>
  </si>
  <si>
    <t>VINEYARDS VILLAGE 2 LT 51</t>
  </si>
  <si>
    <t>4965 HALLGARTEN DR</t>
  </si>
  <si>
    <t xml:space="preserve">SMITH , EVA M  </t>
  </si>
  <si>
    <t xml:space="preserve">SARGENT, DENNIS W </t>
  </si>
  <si>
    <t>VINEYARDS VILLAGE 2 LT 70</t>
  </si>
  <si>
    <t>4966 WINE CELLAR DR</t>
  </si>
  <si>
    <t xml:space="preserve">GOODMAN, CHARLES M &amp; JANET S </t>
  </si>
  <si>
    <t>VINEYARDS VILLAGE 2 LT 115</t>
  </si>
  <si>
    <t>4990 WINE CELLAR DR</t>
  </si>
  <si>
    <t xml:space="preserve">SWYGMAN, JEANINE N </t>
  </si>
  <si>
    <t>VINEYARDS VILLAGE 2 LT 113</t>
  </si>
  <si>
    <t>1145 EBLING DR</t>
  </si>
  <si>
    <t xml:space="preserve">HUBBARD, JOSEPH H &amp; MARYLYS A  </t>
  </si>
  <si>
    <t xml:space="preserve">1145 EBLING DR </t>
  </si>
  <si>
    <t>VINEYARDS VILLAGE 2 LT 37</t>
  </si>
  <si>
    <t>5008 CHAPPELET DR</t>
  </si>
  <si>
    <t xml:space="preserve">O`RELL LIVING TRUST, LINDA L  </t>
  </si>
  <si>
    <t xml:space="preserve">TELLEZ, WAYNE &amp; HEATHER </t>
  </si>
  <si>
    <t>VINEYARDS VILLAGE 2 LT 4</t>
  </si>
  <si>
    <t>4904 SANTENAY LN</t>
  </si>
  <si>
    <t xml:space="preserve">CLARK, JAMES R JR &amp; LINDA </t>
  </si>
  <si>
    <t>6976 EXPERIMENT CT</t>
  </si>
  <si>
    <t>VINEYARDS VILLAGE 1 LT 201</t>
  </si>
  <si>
    <t>4887 RAVELLO DR</t>
  </si>
  <si>
    <t xml:space="preserve">DEFLU, ILEANA &amp; LUCIAN  </t>
  </si>
  <si>
    <t xml:space="preserve">4887 RAVELLO DR </t>
  </si>
  <si>
    <t>VINEYARDS VILLAGE 1 LT 203</t>
  </si>
  <si>
    <t>1288 CAREMA CT</t>
  </si>
  <si>
    <t>1200 RIVERSIDE DR #1208</t>
  </si>
  <si>
    <t>VINEYARDS VILLAGE 1 LT 254</t>
  </si>
  <si>
    <t>4878 SANTENAY LN</t>
  </si>
  <si>
    <t xml:space="preserve">SECHLER, DUARD L &amp; MARY H </t>
  </si>
  <si>
    <t>VINEYARDS VILLAGE 1 LT 242</t>
  </si>
  <si>
    <t>4868 SPARKS BLVD</t>
  </si>
  <si>
    <t>PM 4824</t>
  </si>
  <si>
    <t xml:space="preserve">THOMAS, DIANE M </t>
  </si>
  <si>
    <t>4868 SPARKS BLVD STE 102</t>
  </si>
  <si>
    <t>516-470-07</t>
  </si>
  <si>
    <t>PM 4824 LT 6A</t>
  </si>
  <si>
    <t>DLGP</t>
  </si>
  <si>
    <t>4920 PAINTED STONE CT</t>
  </si>
  <si>
    <t>PINNACLES 1</t>
  </si>
  <si>
    <t xml:space="preserve">SORGE, JEFFERY J &amp; MICHELE </t>
  </si>
  <si>
    <t xml:space="preserve">PINNACLES DEVELOPMENT INC </t>
  </si>
  <si>
    <t>516-020-48</t>
  </si>
  <si>
    <t>PINNACLES 1 LT 4</t>
  </si>
  <si>
    <t>4930 PAINTED STONE CT</t>
  </si>
  <si>
    <t>PINNACLES 1 LT 3</t>
  </si>
  <si>
    <t>5476 SANTA BARBARA AVE</t>
  </si>
  <si>
    <t xml:space="preserve">HUBER, JOSEPH C </t>
  </si>
  <si>
    <t>083-641-01</t>
  </si>
  <si>
    <t>THE VISTAS 1A PH 2 LT 8 BLK C</t>
  </si>
  <si>
    <t>5576 SANTA ROSA CT</t>
  </si>
  <si>
    <t xml:space="preserve">POLLOCK, JAY W </t>
  </si>
  <si>
    <t>083-641-11</t>
  </si>
  <si>
    <t>VISTAS 1A PH 2 LT 18 BLK F</t>
  </si>
  <si>
    <t>5465 SANTA ROSA AVE</t>
  </si>
  <si>
    <t xml:space="preserve">HALLOCK, NINA &amp; BRANDON  </t>
  </si>
  <si>
    <t xml:space="preserve">PEATROWSKY, JUDY R </t>
  </si>
  <si>
    <t>083-525-02</t>
  </si>
  <si>
    <t>VISTAS 1A PH 2 LT 32 BLK A</t>
  </si>
  <si>
    <t>5436 SANTA ROSA AVE</t>
  </si>
  <si>
    <t>VISTAS UNIT 1A PHASE 2</t>
  </si>
  <si>
    <t xml:space="preserve">MALEWSKI, JEFFREY C &amp; MICHELLE P  </t>
  </si>
  <si>
    <t xml:space="preserve">5436 SANTA ROSA AVE </t>
  </si>
  <si>
    <t>083-522-08</t>
  </si>
  <si>
    <t>VISTAS UNIT 1A PHASE 2 LOT 40 BLK B</t>
  </si>
  <si>
    <t>5356 SANTA BARBARA AVE</t>
  </si>
  <si>
    <t xml:space="preserve">NEWSHAM, MOUI S &amp; RALPH R </t>
  </si>
  <si>
    <t xml:space="preserve">5356 SANTA BARBARA AVE </t>
  </si>
  <si>
    <t xml:space="preserve">PATRIE, PETER H &amp; JANIS Y </t>
  </si>
  <si>
    <t>083-521-04</t>
  </si>
  <si>
    <t>VISTAS 1A PH 1 LT 16 BLK A</t>
  </si>
  <si>
    <t>5386 SANTA BARBARA AVE</t>
  </si>
  <si>
    <t xml:space="preserve">GOODSPEED, KENNETH </t>
  </si>
  <si>
    <t xml:space="preserve">STROH, RONALD W &amp; PATRICIA L </t>
  </si>
  <si>
    <t>083-521-07</t>
  </si>
  <si>
    <t>VISTAS UNIT 1A PHASE 1 LOT 19 BLK A</t>
  </si>
  <si>
    <t xml:space="preserve">KRAJICEK, JOSEPH J </t>
  </si>
  <si>
    <t>5245 SANTA ROSA AVE</t>
  </si>
  <si>
    <t xml:space="preserve">ACEVES, JASON &amp; KERRYANN </t>
  </si>
  <si>
    <t xml:space="preserve">ACEVES, JASON  </t>
  </si>
  <si>
    <t>518-051-20</t>
  </si>
  <si>
    <t>VISTAS 1A PH 3 ADJ LT 5 BLK A (RS 2819)</t>
  </si>
  <si>
    <t>5336 SANTA ROSA AVE</t>
  </si>
  <si>
    <t xml:space="preserve">WETCH-O`BEAR, JOANNA M </t>
  </si>
  <si>
    <t>083-533-16</t>
  </si>
  <si>
    <t>VISTAS 1A PH 3 LT 29 BLK C</t>
  </si>
  <si>
    <t>5255 SANTA BARBARA AVE</t>
  </si>
  <si>
    <t>TISZA, JEFFREY K &amp; CAROL R et al</t>
  </si>
  <si>
    <t xml:space="preserve">5255 SANTA BARBARA AVE                  </t>
  </si>
  <si>
    <t xml:space="preserve">REYNOLDS, GRACE E </t>
  </si>
  <si>
    <t>083-532-06</t>
  </si>
  <si>
    <t>VISTAS UNIT 1A PHASE 1 LOT 44 BLK B</t>
  </si>
  <si>
    <t>5266 SANTA LUPE AVE</t>
  </si>
  <si>
    <t>VISTAS UT 1A PH 1</t>
  </si>
  <si>
    <t>BEVEL-PLETT, WENDY T et al</t>
  </si>
  <si>
    <t>PLETT RANDY W</t>
  </si>
  <si>
    <t>083-532-13</t>
  </si>
  <si>
    <t>VISTAS UT 1A PH 1 LT 25 BLK B</t>
  </si>
  <si>
    <t>5226 SANTA BARBARA AVE</t>
  </si>
  <si>
    <t xml:space="preserve">RIMACK, JEFF &amp; TAMMY L </t>
  </si>
  <si>
    <t>083-531-03</t>
  </si>
  <si>
    <t>VISTAS UNIT 1A PH 1 LT 3 BLK A</t>
  </si>
  <si>
    <t>1755 CANYON TERRACE DR</t>
  </si>
  <si>
    <t xml:space="preserve">BURT, MARIBETH </t>
  </si>
  <si>
    <t xml:space="preserve">1755 CANYON TERRACE DR </t>
  </si>
  <si>
    <t xml:space="preserve">MCNUTT LIVING TRUST  </t>
  </si>
  <si>
    <t>083-671-10</t>
  </si>
  <si>
    <t>SPRING VISTA LT 16 BLK B</t>
  </si>
  <si>
    <t>1795 CANYON TERRACE DR</t>
  </si>
  <si>
    <t xml:space="preserve">DEPAEPE, MARK W &amp; YVETTE R </t>
  </si>
  <si>
    <t>083-671-14</t>
  </si>
  <si>
    <t>SPRING VISTA LT 20 BLK B</t>
  </si>
  <si>
    <t>1650 SPRING VISTA CT</t>
  </si>
  <si>
    <t>PIETROWSKI, SUSANNE E et al</t>
  </si>
  <si>
    <t xml:space="preserve">OLSEN, THOMAS T &amp; SANDRA J </t>
  </si>
  <si>
    <t>083-672-13</t>
  </si>
  <si>
    <t>SPRING VISTA LT 54 BLK C</t>
  </si>
  <si>
    <t>1626 SPRING VIEW CT</t>
  </si>
  <si>
    <t xml:space="preserve">FRONTERA, MARIA A </t>
  </si>
  <si>
    <t xml:space="preserve">EURE, CHARLES S JR &amp; TINA D </t>
  </si>
  <si>
    <t>083-672-27</t>
  </si>
  <si>
    <t>SPRING VISTA LT 75 BLK C</t>
  </si>
  <si>
    <t>5215 CANYON VIEW DR</t>
  </si>
  <si>
    <t xml:space="preserve">BETH COMPANY LLC </t>
  </si>
  <si>
    <t>C/O CLYDE HARTZ</t>
  </si>
  <si>
    <t>4391 TALLADEGA DR</t>
  </si>
  <si>
    <t xml:space="preserve">MASON, JOHN H &amp; JUDITH D </t>
  </si>
  <si>
    <t>083-673-06</t>
  </si>
  <si>
    <t>SPRING VISTA LOT 46 BLK B</t>
  </si>
  <si>
    <t>5256 CANYON RUN DR</t>
  </si>
  <si>
    <t xml:space="preserve">AUTINO, WENDY L </t>
  </si>
  <si>
    <t>083-804-06</t>
  </si>
  <si>
    <t>CANYON VISTA NORTH LT 14 BLK A</t>
  </si>
  <si>
    <t>1886 CANYON RIDGE DR</t>
  </si>
  <si>
    <t xml:space="preserve">VANAKEN, WILLIAM J &amp; LYNDA A  </t>
  </si>
  <si>
    <t xml:space="preserve">HOUSE, VICTOR E &amp; INGER E </t>
  </si>
  <si>
    <t>083-804-13</t>
  </si>
  <si>
    <t>CANYON VISTA NORTH LT 7 BLK A .</t>
  </si>
  <si>
    <t>1975 CANYON RIDGE DR</t>
  </si>
  <si>
    <t>PIETSCH, MARK J et al</t>
  </si>
  <si>
    <t>RIVAS-PIETSCH ELIZABETH</t>
  </si>
  <si>
    <t>2383 AUGUSTA PL</t>
  </si>
  <si>
    <t>HOLTEN, DAVID C et al TTEE</t>
  </si>
  <si>
    <t>083-792-02</t>
  </si>
  <si>
    <t>CANYON VISTA NORTH LT 47 BLK A</t>
  </si>
  <si>
    <t>2145 STONE VIEW DR</t>
  </si>
  <si>
    <t>VISTA HEIGHTS NORTH PH 2A</t>
  </si>
  <si>
    <t xml:space="preserve">MANABAT, RONALDO P </t>
  </si>
  <si>
    <t>518-130-04</t>
  </si>
  <si>
    <t>VISTA HEIGHTS NORTH  2A LT 1 BLK A</t>
  </si>
  <si>
    <t>2145 CANYON VISTA DR</t>
  </si>
  <si>
    <t>VISTA HEIGHTS SOUTH 1</t>
  </si>
  <si>
    <t xml:space="preserve">MACCABE, MICHAEL P </t>
  </si>
  <si>
    <t>083-821-04</t>
  </si>
  <si>
    <t>VISTA HEIGHTS SOUTH 1 LT 16 BLK A</t>
  </si>
  <si>
    <t>4895 CANYON RUN DR</t>
  </si>
  <si>
    <t xml:space="preserve">PRIDHAM, SARAH L  </t>
  </si>
  <si>
    <t xml:space="preserve">STOKEM, MICHAEL &amp; CRISTAL </t>
  </si>
  <si>
    <t>083-822-01</t>
  </si>
  <si>
    <t>VISTA HEIGHTS SOUTH 1 LT 27 BLK B</t>
  </si>
  <si>
    <t>5098 CANYON RUN DR</t>
  </si>
  <si>
    <t xml:space="preserve">WRIGHT, DAVID A &amp; DEBORAH C </t>
  </si>
  <si>
    <t xml:space="preserve">WOODS, MARK E </t>
  </si>
  <si>
    <t>083-621-15</t>
  </si>
  <si>
    <t>CANYON VISTA SOUTH LT 8 BLK A</t>
  </si>
  <si>
    <t>5111 CANYON RUN DR</t>
  </si>
  <si>
    <t xml:space="preserve">BACHMAN, BRADLEY R &amp; JENNIFER S </t>
  </si>
  <si>
    <t xml:space="preserve">TORREZ, MICHAEL D </t>
  </si>
  <si>
    <t>083-622-03</t>
  </si>
  <si>
    <t>CANYON VISTA SOUTH LT 76 BLK C</t>
  </si>
  <si>
    <t>5015 CANYON RUN DR</t>
  </si>
  <si>
    <t xml:space="preserve">YOELIN, SHANNON </t>
  </si>
  <si>
    <t xml:space="preserve">KNIPE TRUST  </t>
  </si>
  <si>
    <t>083-622-08</t>
  </si>
  <si>
    <t>CANYON VISTA SOUTH LT 71 BLK C</t>
  </si>
  <si>
    <t>5248 PALO ALTO CIR</t>
  </si>
  <si>
    <t>083-623-12</t>
  </si>
  <si>
    <t>CANYON VISTA SOUTH LT 28 BLK B</t>
  </si>
  <si>
    <t>5168 CANYON RUN DR</t>
  </si>
  <si>
    <t xml:space="preserve">WILSON, SCOTT D </t>
  </si>
  <si>
    <t xml:space="preserve">DUFRESNE LIVING TRUST, LOUISE MARIE  </t>
  </si>
  <si>
    <t>083-631-03</t>
  </si>
  <si>
    <t>CANYON VISTA SOUTH  LT 3 BLK A</t>
  </si>
  <si>
    <t>2195 CANYON POINT CT</t>
  </si>
  <si>
    <t>POWERS, PHILIP C et al</t>
  </si>
  <si>
    <t xml:space="preserve">PHAIR JANET S </t>
  </si>
  <si>
    <t xml:space="preserve">15 SAGE CREEK CT </t>
  </si>
  <si>
    <t>083-632-12</t>
  </si>
  <si>
    <t>CANYON VISTA SOUTH  LOT 83 BLK C</t>
  </si>
  <si>
    <t>5211 PALO ALTO CIR</t>
  </si>
  <si>
    <t>083-632-23</t>
  </si>
  <si>
    <t>CANYON VISTA SOUTH LT 49 BLK C</t>
  </si>
  <si>
    <t>5216 PALO ALTO CIR</t>
  </si>
  <si>
    <t xml:space="preserve">ANDRUS SWITCH LLC </t>
  </si>
  <si>
    <t xml:space="preserve">R HARMONY INVESTMENTS LLC </t>
  </si>
  <si>
    <t>083-633-07</t>
  </si>
  <si>
    <t>CANYON VISTA SOUTH LT 41 BLK B</t>
  </si>
  <si>
    <t>5184 ORINDA DR</t>
  </si>
  <si>
    <t>VISTAS 1B UNIT NO 2</t>
  </si>
  <si>
    <t xml:space="preserve">CLIZER, ERICA L  </t>
  </si>
  <si>
    <t>083-582-10</t>
  </si>
  <si>
    <t>VISTAS 1B UNIT NO 2 LOT 26 BLK B</t>
  </si>
  <si>
    <t>5169 ORINDA CT</t>
  </si>
  <si>
    <t xml:space="preserve">VAN CAMP, MICHAEL A &amp; DEBBIE </t>
  </si>
  <si>
    <t xml:space="preserve">ORINDA TRUST #5169  </t>
  </si>
  <si>
    <t>083-583-08</t>
  </si>
  <si>
    <t>VISTAS 1B UT 2 LT 7 BLK A</t>
  </si>
  <si>
    <t>5167 ORINDA CT</t>
  </si>
  <si>
    <t xml:space="preserve">LERG, ROSEMARY &amp; GARTH C </t>
  </si>
  <si>
    <t xml:space="preserve">MARTINEZ FAMILY TRUST, LEONARD G &amp; ROSIE  </t>
  </si>
  <si>
    <t>083-583-09</t>
  </si>
  <si>
    <t>VISTAS 1B UT 2 LT 6 BLK A</t>
  </si>
  <si>
    <t>1770 SOUTHVIEW DR</t>
  </si>
  <si>
    <t xml:space="preserve">OTTERNESS, CINDY </t>
  </si>
  <si>
    <t xml:space="preserve">FREISMIDL LIVING TRUST  </t>
  </si>
  <si>
    <t>083-711-02</t>
  </si>
  <si>
    <t>SOUTHVIEW LOT 56 BLK D</t>
  </si>
  <si>
    <t>4896 TREETOP RD</t>
  </si>
  <si>
    <t xml:space="preserve">ROSS, RICHARD D &amp; JACQUELINE R  </t>
  </si>
  <si>
    <t>21600 OXNARD ST STE 1800</t>
  </si>
  <si>
    <t>91367</t>
  </si>
  <si>
    <t>083-712-08</t>
  </si>
  <si>
    <t>SOUTHVIEW  LT 45  BLK C</t>
  </si>
  <si>
    <t>1620 CRESTSIDE CT</t>
  </si>
  <si>
    <t xml:space="preserve">RICHARDSON, CHRISTOPHER G  </t>
  </si>
  <si>
    <t xml:space="preserve">1620 CRESTSIDE CT </t>
  </si>
  <si>
    <t xml:space="preserve">KLINE, MATTHEW C &amp; PATRICIA J </t>
  </si>
  <si>
    <t>083-702-15</t>
  </si>
  <si>
    <t>SOUTHVIEW   LT 94  BLK E</t>
  </si>
  <si>
    <t>1655 BLACK OAK RD</t>
  </si>
  <si>
    <t xml:space="preserve">PIPITONE, SARAH M &amp; PAUL M  </t>
  </si>
  <si>
    <t xml:space="preserve">INGRAHAM, TAMMY M &amp; JOSEPH W P </t>
  </si>
  <si>
    <t>083-705-06</t>
  </si>
  <si>
    <t>SOUTHVIEW  LT 34  BLK C</t>
  </si>
  <si>
    <t>4901 SANTA BARBARA AVE</t>
  </si>
  <si>
    <t xml:space="preserve">GETTIG, BRANDON M </t>
  </si>
  <si>
    <t>083-694-01</t>
  </si>
  <si>
    <t>SOUTHVIEW LT 1 BLK A</t>
  </si>
  <si>
    <t>4885 SANTA BARBARA AVE</t>
  </si>
  <si>
    <t xml:space="preserve">ALLEN, ALYSSA R </t>
  </si>
  <si>
    <t>083-694-03</t>
  </si>
  <si>
    <t>SOUTHVIEW  LOT 3  BLK A</t>
  </si>
  <si>
    <t>4966 PALO ALTO CIR</t>
  </si>
  <si>
    <t xml:space="preserve">PRUETT, MONTE R &amp; MARY C  </t>
  </si>
  <si>
    <t xml:space="preserve">LEUCK, VIRGINIA </t>
  </si>
  <si>
    <t>083-552-04</t>
  </si>
  <si>
    <t>VISTAS 1B UT 1 LT 39 BLK C</t>
  </si>
  <si>
    <t>5016 PALO ALTO CIR</t>
  </si>
  <si>
    <t xml:space="preserve">WRIGHT, PETER &amp; KELLIE </t>
  </si>
  <si>
    <t xml:space="preserve">KATAUSKY FAMILY TRUST  </t>
  </si>
  <si>
    <t>083-552-09</t>
  </si>
  <si>
    <t>VISTAS 1B UT 1 LT 44 BLK C</t>
  </si>
  <si>
    <t>5129 PALO ALTO CT</t>
  </si>
  <si>
    <t xml:space="preserve">RATHMANN, JOSEPH P </t>
  </si>
  <si>
    <t xml:space="preserve">GONZALEZ, JAVIER &amp; LIDIA </t>
  </si>
  <si>
    <t>083-542-03</t>
  </si>
  <si>
    <t>VISTAS 1B UT 1 LT 3 BLK A</t>
  </si>
  <si>
    <t>2285 VISTA TERRACE LN</t>
  </si>
  <si>
    <t>VISTA HEIGHTS NORTH PH 2B LT 9 BLK A</t>
  </si>
  <si>
    <t>2090 CANYON VISTA CT</t>
  </si>
  <si>
    <t xml:space="preserve">SHEFFIELD, JAYSON  </t>
  </si>
  <si>
    <t>284 E I ST</t>
  </si>
  <si>
    <t>VISTA HEIGHTS SOUTH 2 LT 68 BLK E</t>
  </si>
  <si>
    <t>5358 MESA VERDE DR</t>
  </si>
  <si>
    <t>VISTA RIDGE 1</t>
  </si>
  <si>
    <t xml:space="preserve">LAMB FOUNDATION, MARYBETH M  </t>
  </si>
  <si>
    <t>518-130-12</t>
  </si>
  <si>
    <t>VISTA RIDGE 1 LT 4 BLK B</t>
  </si>
  <si>
    <t>5325 MESA VERDE DR</t>
  </si>
  <si>
    <t xml:space="preserve">SOUSA, GLADINO &amp; ANNA  </t>
  </si>
  <si>
    <t xml:space="preserve">5325 MESA VERDE DR </t>
  </si>
  <si>
    <t xml:space="preserve">BEVEL FAMILY TRUST  </t>
  </si>
  <si>
    <t>VISTA RIDGE 1 LT 46 BLK D</t>
  </si>
  <si>
    <t>5182 MESA VERDE DR</t>
  </si>
  <si>
    <t xml:space="preserve">HERMAN, JEREMY L &amp; LINDSAY D  </t>
  </si>
  <si>
    <t xml:space="preserve">CHILDRE, ANDREW H &amp; ALANA A </t>
  </si>
  <si>
    <t>VISTA RIDGE 1 LT 16 BLK C</t>
  </si>
  <si>
    <t>5195 MESA VERDE CT</t>
  </si>
  <si>
    <t xml:space="preserve">HANNAH, KEN A &amp; ASHLEY K </t>
  </si>
  <si>
    <t xml:space="preserve">PHILLIPS, STEVEN H &amp; THERESA C  </t>
  </si>
  <si>
    <t>VISTA RIDGE 1 LT 38 BLK D</t>
  </si>
  <si>
    <t>5147 MILAGRO CT</t>
  </si>
  <si>
    <t xml:space="preserve">COLCOCK, RICHARD B &amp; ANETTE M </t>
  </si>
  <si>
    <t>5147 MILAGO CT</t>
  </si>
  <si>
    <t>VISTA RIDGE 1 LT 29 BLK D</t>
  </si>
  <si>
    <t>5105 MESA VERDE DR</t>
  </si>
  <si>
    <t xml:space="preserve">SUMMERS, MICHAEL T  </t>
  </si>
  <si>
    <t xml:space="preserve">5105 MESA VERDE DR </t>
  </si>
  <si>
    <t>VISTA RIDGE 1 LT 23 BLK D</t>
  </si>
  <si>
    <t>5402 VISTA TERRACE LN</t>
  </si>
  <si>
    <t xml:space="preserve">WARREN, EUCKE W &amp; LAURA A  </t>
  </si>
  <si>
    <t xml:space="preserve">5402 VISTA TERRACE LN </t>
  </si>
  <si>
    <t>VISTA RIDGE 2B LT 1 BLK A</t>
  </si>
  <si>
    <t>5395 VISTA TERRACE LN</t>
  </si>
  <si>
    <t>SIH, BETTY  et al</t>
  </si>
  <si>
    <t xml:space="preserve">5395 VISTA TERRACE LN </t>
  </si>
  <si>
    <t xml:space="preserve">SIH, BETTY  </t>
  </si>
  <si>
    <t>VISTA RIDGE 2B LT 21 BLK B</t>
  </si>
  <si>
    <t>5475 VISTA TERRACE LN</t>
  </si>
  <si>
    <t xml:space="preserve">PHILLIPS, DON I &amp; DOROTHEA K  </t>
  </si>
  <si>
    <t xml:space="preserve">12606 FLOWER BEND </t>
  </si>
  <si>
    <t>78253</t>
  </si>
  <si>
    <t>POITRA, VERN L et al</t>
  </si>
  <si>
    <t>VISTA RIDGE 2B LT 13 BLK B</t>
  </si>
  <si>
    <t>2270 MADRID DR</t>
  </si>
  <si>
    <t xml:space="preserve">GIL, JAVIER &amp; KRISTEN A </t>
  </si>
  <si>
    <t xml:space="preserve">LESHER, HANK L JR </t>
  </si>
  <si>
    <t>VISTA RIDGE 4 LT 200 BLK A</t>
  </si>
  <si>
    <t>2195 MADRID DR</t>
  </si>
  <si>
    <t xml:space="preserve">WIGHT, DORIS L </t>
  </si>
  <si>
    <t>2130 MODENA CT</t>
  </si>
  <si>
    <t xml:space="preserve">TERRY, DENNIS &amp; WENDY </t>
  </si>
  <si>
    <t>VISTA RIDGE 4 LT 251 BLK B</t>
  </si>
  <si>
    <t>2205 MADRID DR</t>
  </si>
  <si>
    <t xml:space="preserve">CAPPS, KAREN L  </t>
  </si>
  <si>
    <t xml:space="preserve">FORGAC, ERNEST JR &amp; DEBRA </t>
  </si>
  <si>
    <t>VISTA RIDGE 4 LT 252 BLK B</t>
  </si>
  <si>
    <t>5465 SPANISH MOSS DR</t>
  </si>
  <si>
    <t xml:space="preserve">FRANSHAM, DOUG </t>
  </si>
  <si>
    <t>6400 SHARLANDS AVE APT K2065</t>
  </si>
  <si>
    <t xml:space="preserve">RUSSO, MICHAEL A &amp; SHIRLEY A </t>
  </si>
  <si>
    <t>VISTA RIDGE UT 2A LT 111</t>
  </si>
  <si>
    <t>5457 SPANISH MOSS DR</t>
  </si>
  <si>
    <t xml:space="preserve">HADLOCK, LORETTA C  </t>
  </si>
  <si>
    <t xml:space="preserve">5457 SPANISH MOSS DR </t>
  </si>
  <si>
    <t xml:space="preserve">KNOWLDEN, LINDA A </t>
  </si>
  <si>
    <t>VISTA RIDGE 2A LT 113</t>
  </si>
  <si>
    <t>5441 SPANISH MOSS DR</t>
  </si>
  <si>
    <t>CLC LLC  LLC</t>
  </si>
  <si>
    <t>VISTA RIDGE 2A LT 117</t>
  </si>
  <si>
    <t>5558 SPANDRELL CIR</t>
  </si>
  <si>
    <t xml:space="preserve">SMITH, GEORGE &amp; CAROLYN </t>
  </si>
  <si>
    <t xml:space="preserve">BROWN, CHARLES W </t>
  </si>
  <si>
    <t>VISTA RIDGE 3 LT 135</t>
  </si>
  <si>
    <t>5682 SPANDRELL CIR</t>
  </si>
  <si>
    <t>FRISHOF, LYNNDA G  et al</t>
  </si>
  <si>
    <t xml:space="preserve">5682 SPANDRELL CIR </t>
  </si>
  <si>
    <t>VISTA RIDGE 3 LT 157</t>
  </si>
  <si>
    <t>2373 MADRID DR</t>
  </si>
  <si>
    <t xml:space="preserve">BOLLMAN, MICHAEL R </t>
  </si>
  <si>
    <t xml:space="preserve">BRAZIL, ROBERT A  </t>
  </si>
  <si>
    <t>VISTA RIDGE 3 LT 188</t>
  </si>
  <si>
    <t>5464 SPANDRELL LN</t>
  </si>
  <si>
    <t xml:space="preserve">DOUGLAS, SEAN T &amp; TRACY L  </t>
  </si>
  <si>
    <t>VISTA RIDGE 2C LT 64</t>
  </si>
  <si>
    <t>5474 SPANDRELL LN</t>
  </si>
  <si>
    <t xml:space="preserve">ANSPACH, LORI A </t>
  </si>
  <si>
    <t>VISTA RIDGE 2C LT 66</t>
  </si>
  <si>
    <t>5460 SPANISH MOSS DR</t>
  </si>
  <si>
    <t xml:space="preserve">DAILY, KELSEY A &amp; JONATHAN M </t>
  </si>
  <si>
    <t xml:space="preserve">PERCIA, JOHN P &amp; MICHELLE A </t>
  </si>
  <si>
    <t>VISTA RIDGE 2C LT 89</t>
  </si>
  <si>
    <t>2302 ABACUS CT</t>
  </si>
  <si>
    <t xml:space="preserve">COX, JEANNE M  </t>
  </si>
  <si>
    <t xml:space="preserve">WILLIAMS, TRACY A &amp; AMBER E </t>
  </si>
  <si>
    <t>VISTA RIDGE 2C LT 105</t>
  </si>
  <si>
    <t>5648 VISTA TERRACE LN</t>
  </si>
  <si>
    <t xml:space="preserve">NAMBA, ERIC C &amp; MARCHELYN  </t>
  </si>
  <si>
    <t xml:space="preserve">GEER, ROY D </t>
  </si>
  <si>
    <t>VISTA RIDGE 6 LT 14</t>
  </si>
  <si>
    <t>1535 ISTRICE RD</t>
  </si>
  <si>
    <t>MILLER, WILLIAM M  et al</t>
  </si>
  <si>
    <t>SILVIO EST LT 55</t>
  </si>
  <si>
    <t>4821 DEEDEE WAY</t>
  </si>
  <si>
    <t xml:space="preserve">TEIXEIRA, DAVID B </t>
  </si>
  <si>
    <t xml:space="preserve">GUERRERO, LETTIE </t>
  </si>
  <si>
    <t>SILVIO EST LT 17</t>
  </si>
  <si>
    <t xml:space="preserve"> WINGFIELD HILLS RD</t>
  </si>
  <si>
    <t>PM 3934</t>
  </si>
  <si>
    <t>LEO INTERNATIONAL FOUNDATION  et al</t>
  </si>
  <si>
    <t>5685 TYRONE RD STE 101</t>
  </si>
  <si>
    <t>520-020-57</t>
  </si>
  <si>
    <t>PM 3934 LT 3-1  ADJ RS 4264 FR LT 5</t>
  </si>
  <si>
    <t>3054 TEN MILE DR</t>
  </si>
  <si>
    <t xml:space="preserve">FUJII, LARRY K &amp; KATHERINE L </t>
  </si>
  <si>
    <t>522-801-15</t>
  </si>
  <si>
    <t>WINGFIELD SPRINGS 19A PH 1 LT 1934</t>
  </si>
  <si>
    <t>3145 TEN MILE DR</t>
  </si>
  <si>
    <t xml:space="preserve">JOHNSTON, JERRY D &amp; LINDA K </t>
  </si>
  <si>
    <t>522-802-13</t>
  </si>
  <si>
    <t>WINGFIELD SPRINGS 19A PH 1 LT 1913</t>
  </si>
  <si>
    <t>3181 TEN MILE DR</t>
  </si>
  <si>
    <t xml:space="preserve">O`SHEA, TIMOTHY J &amp; FRANCES R </t>
  </si>
  <si>
    <t>522-802-17</t>
  </si>
  <si>
    <t>WINGFIELD SPRINGS 19A PH 1 LT 1917</t>
  </si>
  <si>
    <t>3197 TEN MILE DR</t>
  </si>
  <si>
    <t xml:space="preserve">URFER, MARK </t>
  </si>
  <si>
    <t>5245 VISTA BLVD STE F3-315</t>
  </si>
  <si>
    <t xml:space="preserve">KOCH, CRAIG R &amp; MARITZA E </t>
  </si>
  <si>
    <t>522-802-19</t>
  </si>
  <si>
    <t>WINGFIELD SPRINGS 19A PH 1 LT 1919</t>
  </si>
  <si>
    <t xml:space="preserve">KOCH, TODD&amp; LISA M </t>
  </si>
  <si>
    <t xml:space="preserve">NARDINI, CHRISTOPHER M </t>
  </si>
  <si>
    <t>522-660-01</t>
  </si>
  <si>
    <t>WINGFIELD SPRINGS 24A LT 316</t>
  </si>
  <si>
    <t xml:space="preserve">HARTMAN FAMILY TRUST  </t>
  </si>
  <si>
    <t>6056 AXIS DR</t>
  </si>
  <si>
    <t xml:space="preserve">HARTMAN, WILLIAM J &amp; JACQUELYN  </t>
  </si>
  <si>
    <t>522-670-04</t>
  </si>
  <si>
    <t>WINGFIELD SPRINGS 24A LT 223</t>
  </si>
  <si>
    <t xml:space="preserve">CREW , VERONICA </t>
  </si>
  <si>
    <t xml:space="preserve">6180 INGLESTON DR APT 324               </t>
  </si>
  <si>
    <t>522-680-03</t>
  </si>
  <si>
    <t>WINGFIELD SPRINGS 24A LT 324</t>
  </si>
  <si>
    <t xml:space="preserve">ANDERSON, PAMALA J  </t>
  </si>
  <si>
    <t>6180 INGLESTON DR # 321</t>
  </si>
  <si>
    <t xml:space="preserve">INGLESTON TRUST #6180  </t>
  </si>
  <si>
    <t>522-680-06</t>
  </si>
  <si>
    <t>WINGFIELD SPRINGS 24A LT 321</t>
  </si>
  <si>
    <t>6267 BLACK CINDER CT</t>
  </si>
  <si>
    <t xml:space="preserve">POMERLEAU, KASEY L </t>
  </si>
  <si>
    <t>522-701-05</t>
  </si>
  <si>
    <t>WINGFIELD SPRINGS 24B LT 2436</t>
  </si>
  <si>
    <t>6211 BLACK CINDER CT</t>
  </si>
  <si>
    <t xml:space="preserve">CORDOVA, DOUGLAS F </t>
  </si>
  <si>
    <t xml:space="preserve">BRADSHAW, SEAN B </t>
  </si>
  <si>
    <t>522-701-16</t>
  </si>
  <si>
    <t>WINGFIELD SPRINGS 24B LT 2447</t>
  </si>
  <si>
    <t>6222 BLACK CINDER CT</t>
  </si>
  <si>
    <t xml:space="preserve">BELL, SONNA </t>
  </si>
  <si>
    <t xml:space="preserve">BOESEN, KYLE L </t>
  </si>
  <si>
    <t>522-702-03</t>
  </si>
  <si>
    <t>WINGFIELD SPRINGS 24B LT 2418</t>
  </si>
  <si>
    <t>6228 BLACK CINDER CT</t>
  </si>
  <si>
    <t xml:space="preserve">GOSE, JOLEEN </t>
  </si>
  <si>
    <t>522-702-04</t>
  </si>
  <si>
    <t>WINGFIELD SPRINGS 24B LT 2419</t>
  </si>
  <si>
    <t>6242 BLACK CINDER CT</t>
  </si>
  <si>
    <t xml:space="preserve">COLVIN, DANIEL L </t>
  </si>
  <si>
    <t>522-702-07</t>
  </si>
  <si>
    <t>WINGFIELD SPRINGS 24B LT 2422</t>
  </si>
  <si>
    <t>2684 LAWRY DR</t>
  </si>
  <si>
    <t>TERELAK, MICHELLE M &amp; STEVEN A TTEE et al</t>
  </si>
  <si>
    <t>522-714-02</t>
  </si>
  <si>
    <t>WINGFIELD SPRINGS 24B LT 2410</t>
  </si>
  <si>
    <t>5865 SINGLE FOOT CT</t>
  </si>
  <si>
    <t xml:space="preserve">DANKOFF, TIM &amp; LINDA </t>
  </si>
  <si>
    <t>43040 EMERSON WAY</t>
  </si>
  <si>
    <t>NOVI</t>
  </si>
  <si>
    <t>48377</t>
  </si>
  <si>
    <t xml:space="preserve">KARSOK, BRIAN V &amp; TAMMY L </t>
  </si>
  <si>
    <t>WINGFIELD SPRINGS 22 LT 2218</t>
  </si>
  <si>
    <t>5825 SINGLE FOOT CT</t>
  </si>
  <si>
    <t xml:space="preserve">HOANG, PHUOC V </t>
  </si>
  <si>
    <t>5825 SINGLEFOOT COURT</t>
  </si>
  <si>
    <t>WINGFIELD SPRINGS 22 LT 2214</t>
  </si>
  <si>
    <t>5840 SINGLE FOOT CT</t>
  </si>
  <si>
    <t xml:space="preserve">KEARBY, G STAN &amp; CAROLYNN </t>
  </si>
  <si>
    <t xml:space="preserve">ZAPP, MATTHEW A III &amp; LISA K </t>
  </si>
  <si>
    <t>WINGFIELD SPRINGS 22 LT 2211</t>
  </si>
  <si>
    <t>3035 WINGFIELD HILLS RD</t>
  </si>
  <si>
    <t xml:space="preserve">NGO, ELIZABETH </t>
  </si>
  <si>
    <t>8150 OPAL STATION DR</t>
  </si>
  <si>
    <t xml:space="preserve">WONG, ASHLEY T N </t>
  </si>
  <si>
    <t>WINGFIELD SPRINGS 22 LT 2206</t>
  </si>
  <si>
    <t>2808 FALCON RIDGE DR</t>
  </si>
  <si>
    <t xml:space="preserve">FORBES, LEON A &amp; PHYLLIS G </t>
  </si>
  <si>
    <t xml:space="preserve">2808 FALCON RIDGE DR                    </t>
  </si>
  <si>
    <t>RYAN-BLANEY, BONNIE C  et al</t>
  </si>
  <si>
    <t>520-141-13</t>
  </si>
  <si>
    <t xml:space="preserve">WINGFIELD SPRINGS 21A PH 1 LT 2176 ADJ RS 4205 LT </t>
  </si>
  <si>
    <t>5691 FALCON RIDGE CT</t>
  </si>
  <si>
    <t xml:space="preserve">GARDNER, MATTHEW &amp; KIRSTEN </t>
  </si>
  <si>
    <t>WINGFIELD SPRINGS 21A PH 1 LT 2158</t>
  </si>
  <si>
    <t xml:space="preserve">SAKAMOTO, H R &amp; CAROLYN </t>
  </si>
  <si>
    <t>2830 ALBAZANO DR</t>
  </si>
  <si>
    <t>WINGFIELD SPRINGS 21A PH 1 LT 2104</t>
  </si>
  <si>
    <t>2790 ALBAZANO DR</t>
  </si>
  <si>
    <t xml:space="preserve">ROSA MC NAMARA LIVING TRUST  </t>
  </si>
  <si>
    <t>1329 MOANALUALANI WAY APT D</t>
  </si>
  <si>
    <t>96819</t>
  </si>
  <si>
    <t>CARR, ROSS C et al</t>
  </si>
  <si>
    <t>WINGFIELD SPRINGS 21A PH 1 LT 2107</t>
  </si>
  <si>
    <t>WINGFIELD SPRINGS 21A PH 1 LT 2117</t>
  </si>
  <si>
    <t>2841 GROSMONT DR</t>
  </si>
  <si>
    <t xml:space="preserve">KING, DAVID B &amp; MOIRA D  </t>
  </si>
  <si>
    <t xml:space="preserve">NAGY, ERIC F &amp; BECKY R </t>
  </si>
  <si>
    <t>WINGFIELD SPRINGS 21A PH 1 LT 2182</t>
  </si>
  <si>
    <t>3019 BANESTONE RD</t>
  </si>
  <si>
    <t xml:space="preserve">HOBBS, GARY </t>
  </si>
  <si>
    <t xml:space="preserve">O`KUINGHTTONS, CHRISTIAN &amp; LORI </t>
  </si>
  <si>
    <t>WINGFIELD SPRINGS 19B PH 1 LT 1904</t>
  </si>
  <si>
    <t>3129 BANESTONE RD</t>
  </si>
  <si>
    <t xml:space="preserve">STEWART, TERRY L &amp; JUDI A </t>
  </si>
  <si>
    <t>5591 MADRID CT</t>
  </si>
  <si>
    <t>WINGFIELD SPRINGS 19B PH 1 LT 1916</t>
  </si>
  <si>
    <t>3141 BANESTONE RD</t>
  </si>
  <si>
    <t>SMITH, NORMAN A et al</t>
  </si>
  <si>
    <t>CRAWFORD-SMITH CLAUDIA</t>
  </si>
  <si>
    <t>WINGFIELD SPRINGS 19B PH 1 LT 1917</t>
  </si>
  <si>
    <t>3178 BANESTONE RD</t>
  </si>
  <si>
    <t xml:space="preserve">WELBAUM, BHAKTA A &amp; KIMBERLEE A </t>
  </si>
  <si>
    <t xml:space="preserve">SARGENT, WILLIAM E &amp; JENNIFER B </t>
  </si>
  <si>
    <t>WINGFIELD SPRINGS 19B PH 1 LT 1937</t>
  </si>
  <si>
    <t>BARNES, LOUISE M et al</t>
  </si>
  <si>
    <t>6120 INGLESTON DR 615</t>
  </si>
  <si>
    <t>520-211-08</t>
  </si>
  <si>
    <t>WINGFIELD SPRINGS 24C LT 615 BLK 6</t>
  </si>
  <si>
    <t xml:space="preserve">STROZZA, NICHOLAS &amp; MARY ANN </t>
  </si>
  <si>
    <t>6120 INGLESTON DR APT 624</t>
  </si>
  <si>
    <t>WINGFIELD SPRINGS 24C LT 624 BLK 6</t>
  </si>
  <si>
    <t xml:space="preserve">GRAY, WILLIAM JR </t>
  </si>
  <si>
    <t>6100 INGLESTON DR #712</t>
  </si>
  <si>
    <t xml:space="preserve">KAISER, KEN &amp; DONNA </t>
  </si>
  <si>
    <t>520-211-17</t>
  </si>
  <si>
    <t xml:space="preserve">WINGFIELD SPRINGS 24C LT 712 BLK 7 </t>
  </si>
  <si>
    <t>6190 BLACK GYPSUM CT</t>
  </si>
  <si>
    <t>WINGFIELD SPRINGS 24D</t>
  </si>
  <si>
    <t xml:space="preserve">LANGUM, DAN &amp; SAUNDRA </t>
  </si>
  <si>
    <t xml:space="preserve">6190 BLACK GYPSUM CT </t>
  </si>
  <si>
    <t xml:space="preserve">GAY, BILL &amp; DANA </t>
  </si>
  <si>
    <t>520-020-24</t>
  </si>
  <si>
    <t>WINGFIELD SPRINGS 24D LT 24101</t>
  </si>
  <si>
    <t>3394 TEN MILE DR</t>
  </si>
  <si>
    <t xml:space="preserve">SINDICICH , ROBERT L JR  </t>
  </si>
  <si>
    <t xml:space="preserve">3394 TEN MILE DR </t>
  </si>
  <si>
    <t>WINGFIELD SPRINGS 19-A PH 2 LT 1956</t>
  </si>
  <si>
    <t>3286 TEN MILE DR</t>
  </si>
  <si>
    <t xml:space="preserve">KLEINHAMMER REVOCABLE TRUST, RANDALL G &amp; SANDRA L  </t>
  </si>
  <si>
    <t>160 ANCHOR ST</t>
  </si>
  <si>
    <t>MORRO BAY</t>
  </si>
  <si>
    <t>93442</t>
  </si>
  <si>
    <t xml:space="preserve">TOPPER LIVING TRUST, EDWARD &amp; MARIA C  </t>
  </si>
  <si>
    <t>WINGFIELD SPRINGS 19-A PH 2 LT 1947</t>
  </si>
  <si>
    <t>6282 TEN MILE CT</t>
  </si>
  <si>
    <t>RS 4567</t>
  </si>
  <si>
    <t xml:space="preserve">ADAMS, JULIAN T &amp; SHARLENE F </t>
  </si>
  <si>
    <t>CMR 442 BOX 214</t>
  </si>
  <si>
    <t>APO</t>
  </si>
  <si>
    <t xml:space="preserve">CROSBY, MARK C &amp; JOAN E </t>
  </si>
  <si>
    <t>RS 4567 LT 1</t>
  </si>
  <si>
    <t>6059 QUINTESSA DR</t>
  </si>
  <si>
    <t xml:space="preserve">HAUX, JEFFREY T  </t>
  </si>
  <si>
    <t>8996 MIRAMAR RD  STE 310</t>
  </si>
  <si>
    <t xml:space="preserve">SAN DIEGO  </t>
  </si>
  <si>
    <t>BELLA VISTA AT WINGFIELD SPRINGS LT 145</t>
  </si>
  <si>
    <t>6029 QUINTESSA DR</t>
  </si>
  <si>
    <t xml:space="preserve">MEDEIROS, WILLIAM H </t>
  </si>
  <si>
    <t xml:space="preserve">ELCANO, KELLY L </t>
  </si>
  <si>
    <t xml:space="preserve">BELLA VISTA AT WINGFIELD SPRINGS LT 143 </t>
  </si>
  <si>
    <t>6019 QUINTESSA DR</t>
  </si>
  <si>
    <t xml:space="preserve">MUNOZ, ELAINA R </t>
  </si>
  <si>
    <t>6019 QUNITESSA DR</t>
  </si>
  <si>
    <t>BELLA VISTA AT WINGFIELD SPRINGS LT 142</t>
  </si>
  <si>
    <t>5982 CIELO CIR</t>
  </si>
  <si>
    <t xml:space="preserve">AGUSTIN, FLORENCIO C JR &amp; WENDY S </t>
  </si>
  <si>
    <t xml:space="preserve">5982 CIELO CIR </t>
  </si>
  <si>
    <t xml:space="preserve">BRIANT, PAMELA A </t>
  </si>
  <si>
    <t>BELLA VISTA AT WINGFIELD SPRINGS LT 122</t>
  </si>
  <si>
    <t>6070 CIELO CIR</t>
  </si>
  <si>
    <t>C/O EDWARD BOWMAN</t>
  </si>
  <si>
    <t>3632 DEVON WAY</t>
  </si>
  <si>
    <t xml:space="preserve">DEAK, GLENN M </t>
  </si>
  <si>
    <t>BELLA VISTA AT WINGFIELD SPRINGS LT 106</t>
  </si>
  <si>
    <t>6018 QUINTESSA DR</t>
  </si>
  <si>
    <t>THOMAS, TERRY et al</t>
  </si>
  <si>
    <t>SCHUBERT CANDICE L</t>
  </si>
  <si>
    <t xml:space="preserve">THORNGREN, DOUGLAS J &amp; SANDRA J </t>
  </si>
  <si>
    <t>BELLA VISTA AT WINGFIELD SPRINGS LT 156</t>
  </si>
  <si>
    <t xml:space="preserve">ROBINSON , BARBARA A  </t>
  </si>
  <si>
    <t>6070 INGLESTON DR # 1115</t>
  </si>
  <si>
    <t>WINGFIELD SPRINGS 24C PH 2 LT 1115</t>
  </si>
  <si>
    <t xml:space="preserve">SMITH, VICKI D  </t>
  </si>
  <si>
    <t>6070 INGLESTON DR # 1114</t>
  </si>
  <si>
    <t>WINGFIELD SPRINGS 24C PH 2 LT 1114</t>
  </si>
  <si>
    <t xml:space="preserve">KENDALL, MARTHA </t>
  </si>
  <si>
    <t>6090 INGLESTON DR UNIT 916</t>
  </si>
  <si>
    <t xml:space="preserve">STARR, RUSSELL W </t>
  </si>
  <si>
    <t>WINGFIELD SPRINGS 24C PH 2 LT 916</t>
  </si>
  <si>
    <t xml:space="preserve">FAHRINGER TRUST  </t>
  </si>
  <si>
    <t>WINGFIELD SPRINGS 24C PH 2 LT 913</t>
  </si>
  <si>
    <t xml:space="preserve">MARGELOWSKY, JOHN C &amp; ROBIN R  </t>
  </si>
  <si>
    <t xml:space="preserve">24115 BLACK BART COURT </t>
  </si>
  <si>
    <t xml:space="preserve">CORNING </t>
  </si>
  <si>
    <t xml:space="preserve">SULLIVAN, D KATHLEEN </t>
  </si>
  <si>
    <t>WINGFIELD SPRINGS 24C PH 2 LT 1223</t>
  </si>
  <si>
    <t xml:space="preserve">ATTN  JEANNE PAVAO  </t>
  </si>
  <si>
    <t>4021 PORT CHICAGO HWY</t>
  </si>
  <si>
    <t>WILSON, JENNY et al</t>
  </si>
  <si>
    <t xml:space="preserve">MONTOYA, ROLAND &amp; LOLITA </t>
  </si>
  <si>
    <t>1402 WHEELER PEAK CIR</t>
  </si>
  <si>
    <t>WINGFIELD SPRINGS 24C PH 2 LT 1125</t>
  </si>
  <si>
    <t xml:space="preserve">OSMOND, ALISON J </t>
  </si>
  <si>
    <t>6070 INGLESTON DR UNIT 1124</t>
  </si>
  <si>
    <t>WINGFIELD SPRINGS 24C PH 2 LT 1124</t>
  </si>
  <si>
    <t>2881 OXLEY DR</t>
  </si>
  <si>
    <t xml:space="preserve">WOO, GUM O </t>
  </si>
  <si>
    <t>WINGFIELD SPRINGS 20 PH 1 LT 126</t>
  </si>
  <si>
    <t>2893 OXLEY DR</t>
  </si>
  <si>
    <t xml:space="preserve">KARLSEN REVOCABLE LIVING TRUST  </t>
  </si>
  <si>
    <t xml:space="preserve">2893 OXLEY DR </t>
  </si>
  <si>
    <t xml:space="preserve">KARLSEN, ASBJORN &amp; HELEN V  </t>
  </si>
  <si>
    <t>WINGFIELD SPRINGS 20 PH 1 LT 127</t>
  </si>
  <si>
    <t>2848 ORION DR</t>
  </si>
  <si>
    <t>DEROSA, ANTHONY R et al</t>
  </si>
  <si>
    <t xml:space="preserve">LONGERO FAMILY TRUST  </t>
  </si>
  <si>
    <t>WINGFIELD SPRINGS 20 PH 1 LT 139</t>
  </si>
  <si>
    <t>6190 AXIS DR</t>
  </si>
  <si>
    <t xml:space="preserve">SENA, SHANNON &amp; BERNADETT B  </t>
  </si>
  <si>
    <t xml:space="preserve">SCADDEN FAMILY TRUST, CRAIG &amp; MARSHA  </t>
  </si>
  <si>
    <t>WINGFIELD SPRINGS 20 PH 1 LT 150</t>
  </si>
  <si>
    <t>2859 ASTRONOMER WAY</t>
  </si>
  <si>
    <t xml:space="preserve">MOSHER, DAVID A &amp; REBECCA L </t>
  </si>
  <si>
    <t xml:space="preserve">ISENBERG, JOHNATHON R &amp; MICHELLE A </t>
  </si>
  <si>
    <t>WINGFIELD SPRINGS 21B LT 2</t>
  </si>
  <si>
    <t>2958 ASTRONOMER WAY</t>
  </si>
  <si>
    <t xml:space="preserve">MORROW LIVING TRUST  </t>
  </si>
  <si>
    <t xml:space="preserve">2958 ASTRONOMER WAY                  </t>
  </si>
  <si>
    <t xml:space="preserve">SPARKS          </t>
  </si>
  <si>
    <t xml:space="preserve">BISELLI, MICHAEL J &amp; KAREN J </t>
  </si>
  <si>
    <t>WINGFIELD SPRINGS 21B LT 27</t>
  </si>
  <si>
    <t>3283 BANESTONE RD</t>
  </si>
  <si>
    <t xml:space="preserve">ANDERSON , MICHAEL T  </t>
  </si>
  <si>
    <t xml:space="preserve">3283 BANESTONE RD </t>
  </si>
  <si>
    <t>WINGFIELD SPRINGS 19B PH 2 LT 1951</t>
  </si>
  <si>
    <t>3299 BANESTONE RD</t>
  </si>
  <si>
    <t xml:space="preserve">DAVIS, LEIGH A  </t>
  </si>
  <si>
    <t xml:space="preserve">HUNTSMAN, NATHAN &amp; KIMBERLY L </t>
  </si>
  <si>
    <t>WINGFIELD SPRINGS 19B PH 2 LT 1952</t>
  </si>
  <si>
    <t>6191 BOYLE CT</t>
  </si>
  <si>
    <t xml:space="preserve">DAVIS, JOHN L III &amp; MINDA C </t>
  </si>
  <si>
    <t>WINGFIELD SPRINGS 19B PH 2 LT 1953</t>
  </si>
  <si>
    <t>3430 TEN MILE DR</t>
  </si>
  <si>
    <t xml:space="preserve">ERNST, KEVIN &amp; MARY </t>
  </si>
  <si>
    <t xml:space="preserve">RANDALL, SEAN E &amp; SANDRA L </t>
  </si>
  <si>
    <t>WINGFIELD SPRINGS 19B PH 2 LT 1979</t>
  </si>
  <si>
    <t>2446 BURTIN DR</t>
  </si>
  <si>
    <t>WINGFIELD SPRINGS 26A  LT 142</t>
  </si>
  <si>
    <t xml:space="preserve">6470 LEGEND VISTA </t>
  </si>
  <si>
    <t xml:space="preserve">SAMULES, TAYLOR M </t>
  </si>
  <si>
    <t>2356 DODGE DR</t>
  </si>
  <si>
    <t>DEVINE, PATRICK J  et al</t>
  </si>
  <si>
    <t>SHEAHAN, SEAN et al</t>
  </si>
  <si>
    <t>WINGFIELD SPRINGS 26A UT 2 LT 211</t>
  </si>
  <si>
    <t>2404 LAWRY DR</t>
  </si>
  <si>
    <t>SCHLESENER, ERIC et al</t>
  </si>
  <si>
    <t>KARR JENNIFER</t>
  </si>
  <si>
    <t>1139 CONCANNON BLVD # 22</t>
  </si>
  <si>
    <t xml:space="preserve">GRAHAM, DAVID P </t>
  </si>
  <si>
    <t>WINGFIELD SPRINGS 26A UT 2 LT 247</t>
  </si>
  <si>
    <t>2397 DODGE DR</t>
  </si>
  <si>
    <t xml:space="preserve">MAGER, SHAN J  </t>
  </si>
  <si>
    <t xml:space="preserve">CHERBA, ANDREW M  </t>
  </si>
  <si>
    <t>WINGFIELD SPRINGS 26A UT 2 LT 251</t>
  </si>
  <si>
    <t>5848 INGLESTON DR</t>
  </si>
  <si>
    <t xml:space="preserve">KLONICKE, RONALD D JR &amp; KATHLEEN </t>
  </si>
  <si>
    <t xml:space="preserve">SAMBRANO, JOAQUIN </t>
  </si>
  <si>
    <t>WINGFIELD SPRINGS 26A UT 2 LT 233</t>
  </si>
  <si>
    <t>2393 LAWRY DR</t>
  </si>
  <si>
    <t xml:space="preserve">YOUNG, LISA L </t>
  </si>
  <si>
    <t>WINGFIELD SPRINGS 26A UT 2 LT 240</t>
  </si>
  <si>
    <t>5825 INGLESTON DR</t>
  </si>
  <si>
    <t xml:space="preserve">EVENSEN, ERIC V &amp; ROBIN  </t>
  </si>
  <si>
    <t xml:space="preserve">EVENSEN, ERIC V </t>
  </si>
  <si>
    <t>WINGFIELD SPRINGS 26A UT 2 LT 226</t>
  </si>
  <si>
    <t>6091 SOLSTICE DR</t>
  </si>
  <si>
    <t xml:space="preserve">SPANGLER, BRET C &amp; BETH A  </t>
  </si>
  <si>
    <t xml:space="preserve">10091 SOLSTICE DR </t>
  </si>
  <si>
    <t xml:space="preserve">COLEMAN FAMILY TRUST  </t>
  </si>
  <si>
    <t>WINGFIELD SPRINGS 20 PH 2 LT 205</t>
  </si>
  <si>
    <t>2813 ORION DR</t>
  </si>
  <si>
    <t xml:space="preserve">AHRENS REVOCABLE TRUST, DONALD J &amp; DENISE M   </t>
  </si>
  <si>
    <t xml:space="preserve">2813 ORION DR </t>
  </si>
  <si>
    <t xml:space="preserve">AHRENS, DONALD J &amp; DENISE M  </t>
  </si>
  <si>
    <t>WINGFIELD SPRINGS 20 PH 2 LT 219</t>
  </si>
  <si>
    <t>5889 SOLSTICE DR</t>
  </si>
  <si>
    <t xml:space="preserve">MAYES, JAMES D &amp; SHARON R  </t>
  </si>
  <si>
    <t xml:space="preserve">COWEN, JASON &amp; KIMBERLY </t>
  </si>
  <si>
    <t xml:space="preserve">WINGFIELD SPRINGS 20 PH 3 LT 303 </t>
  </si>
  <si>
    <t>6020 SOLSTICE DR</t>
  </si>
  <si>
    <t xml:space="preserve">MAESTRETTI, JONI </t>
  </si>
  <si>
    <t>POHLL, ADAM M et al</t>
  </si>
  <si>
    <t>WINGFIELD SPRINGS 20 PH 3 LT 312</t>
  </si>
  <si>
    <t>6015 AXIS DR</t>
  </si>
  <si>
    <t xml:space="preserve">JACKSON, RAMEL D &amp; LYNETTE A  </t>
  </si>
  <si>
    <t xml:space="preserve">JACKSON, RAMEL D </t>
  </si>
  <si>
    <t>WINGFIELD SPRINGS 20 PH 3 LT 323</t>
  </si>
  <si>
    <t>2480 SINGING HILLS DR</t>
  </si>
  <si>
    <t xml:space="preserve">SULLIVAN, DAVID E &amp; NANCY J </t>
  </si>
  <si>
    <t>WINGFIELD SPRINGS 27 PH 1 LT 27105</t>
  </si>
  <si>
    <t>2420 SINGING HILLS DR</t>
  </si>
  <si>
    <t xml:space="preserve">LEE, MARK J &amp; JULIE A </t>
  </si>
  <si>
    <t>PO BOX 3858</t>
  </si>
  <si>
    <t xml:space="preserve">ZIEGLER, JOHNNY W JR &amp; CAROLE A </t>
  </si>
  <si>
    <t>WINGFIELD SPRINGS 27 PH 1 LT 27108</t>
  </si>
  <si>
    <t>2317 OLD WAVERLY DR</t>
  </si>
  <si>
    <t xml:space="preserve">CALLAHAN TRUST, WESLEY &amp; JANICE  </t>
  </si>
  <si>
    <t>517 HARTNELL ST</t>
  </si>
  <si>
    <t>MONTEREY</t>
  </si>
  <si>
    <t>WINGFIELD SPRINGS 27 PH 2 LT 27208</t>
  </si>
  <si>
    <t>2293 OLD WAVERLY DR</t>
  </si>
  <si>
    <t>WINGFIELD SPRINGS 27 PH 2 LT 27204</t>
  </si>
  <si>
    <t>2305 OLD WAVERLY DR</t>
  </si>
  <si>
    <t>RODARTE, JESUS et al</t>
  </si>
  <si>
    <t>WINGFIELD SPRINGS 27 PH 2 LT 27206</t>
  </si>
  <si>
    <t>6672 DIAMOND WING CT</t>
  </si>
  <si>
    <t>WINGFIELD SPRINGS 3</t>
  </si>
  <si>
    <t xml:space="preserve">KOONCE FAMILY TRUST, CHARLES C &amp; MARGIE J  </t>
  </si>
  <si>
    <t xml:space="preserve">NEIL, JAMES R  &amp; DEBRA M </t>
  </si>
  <si>
    <t>522-010-06</t>
  </si>
  <si>
    <t>WINGFIELD SPRINGS 3 LT 307</t>
  </si>
  <si>
    <t>6781 WOODROSE CT</t>
  </si>
  <si>
    <t>RUSSOW, MICHAEL et al</t>
  </si>
  <si>
    <t xml:space="preserve">BARKER, BRAD R </t>
  </si>
  <si>
    <t>WINGFIELD SPRINGS 4A LT 411 BLK B</t>
  </si>
  <si>
    <t>6301 S GINGER QUILL CT</t>
  </si>
  <si>
    <t>MILLER, BRETT et al</t>
  </si>
  <si>
    <t>MUNOZ MARY K</t>
  </si>
  <si>
    <t xml:space="preserve">DUFUR, TRACY D </t>
  </si>
  <si>
    <t>WINGFIELD SPRINGS 5  LT 554  BLK B</t>
  </si>
  <si>
    <t>6302 S GINGER QUILL CT</t>
  </si>
  <si>
    <t xml:space="preserve">BORLAND, LINDA S  </t>
  </si>
  <si>
    <t xml:space="preserve">6302 GINGER QUILL CT </t>
  </si>
  <si>
    <t>WINGFIELD SPRINGS 5 LT 553 BLK B</t>
  </si>
  <si>
    <t>6312 S GINGER QUILL CT</t>
  </si>
  <si>
    <t xml:space="preserve">KELLY LIVING TRUST, TRACY S  </t>
  </si>
  <si>
    <t xml:space="preserve">KELLY, TRACY S </t>
  </si>
  <si>
    <t>WINGFIELD SPRINGS 5 LT 552 BLK B</t>
  </si>
  <si>
    <t>6365 N GINGER QUILL CT</t>
  </si>
  <si>
    <t>ATTN LARRY GUNDERSON</t>
  </si>
  <si>
    <t>1850 MT DIABLO BLVD - STE 440</t>
  </si>
  <si>
    <t xml:space="preserve">SILVER STATE TRUST  </t>
  </si>
  <si>
    <t>WINGFIELD SPRINGS 5  LT 502  BLK A</t>
  </si>
  <si>
    <t>6355 N GINGER QUILL CT</t>
  </si>
  <si>
    <t>WINGFIELD SPRINGS 5 LT 501 BLK A</t>
  </si>
  <si>
    <t>6367 REY DEL SIERRA DR</t>
  </si>
  <si>
    <t xml:space="preserve">SHEN, YAFEN </t>
  </si>
  <si>
    <t>2606 231ST PL SE</t>
  </si>
  <si>
    <t>WINGFIELD SPRINGS 5 LT 515 BLK A</t>
  </si>
  <si>
    <t>3094 DIAMOND DUST CT</t>
  </si>
  <si>
    <t xml:space="preserve">TRUJILLO, FRANK E &amp; JANENE  </t>
  </si>
  <si>
    <t xml:space="preserve">MOORHOUSE, EUGENE C &amp; JENNIFER L  </t>
  </si>
  <si>
    <t>WINGFIELD SPRINGS 4B LT 423 BLK A</t>
  </si>
  <si>
    <t>6315 FIREBEE CT</t>
  </si>
  <si>
    <t xml:space="preserve">SAPOUSEK, OLIVER F &amp; CAROL E </t>
  </si>
  <si>
    <t>WINGFIELD SPRINGS 6 LT 640 BLK C</t>
  </si>
  <si>
    <t>3333 POCO REY CT</t>
  </si>
  <si>
    <t>FESTINESE, GIUSEPPE et al</t>
  </si>
  <si>
    <t xml:space="preserve">FESTINESE, GIUSEPPE </t>
  </si>
  <si>
    <t>WINGFIELD SPRINGS 6 LT 619 BLK C</t>
  </si>
  <si>
    <t>6527 REY DEL SIERRA CT</t>
  </si>
  <si>
    <t xml:space="preserve">KOSKI, GORDON H </t>
  </si>
  <si>
    <t>WINGFIELD SPRINGS 7 LT 708 BLK A</t>
  </si>
  <si>
    <t>6530 GOLDEN DAWN CT</t>
  </si>
  <si>
    <t>WINGFIELD SPRINGS 8A ADJ</t>
  </si>
  <si>
    <t xml:space="preserve">KIMMEL, ROBERT J </t>
  </si>
  <si>
    <t xml:space="preserve">MILLER, MICHAEL D &amp; MARY M </t>
  </si>
  <si>
    <t>522-110-10</t>
  </si>
  <si>
    <t>WINGFIELD SPRINGS 8A ADJ LT 814 BLK A  RS 3223</t>
  </si>
  <si>
    <t>7346 S FLORENTINE DR</t>
  </si>
  <si>
    <t xml:space="preserve">WATSON, THERESE A  </t>
  </si>
  <si>
    <t xml:space="preserve">7436 S FLORENTINE DR </t>
  </si>
  <si>
    <t>WINGFIELD SPRINGS 10A LT 1041 BLK C</t>
  </si>
  <si>
    <t>3085 GRAND ISLAND CT</t>
  </si>
  <si>
    <t xml:space="preserve">SCOLLARD, NICOLE L  </t>
  </si>
  <si>
    <t xml:space="preserve">3085 GRAND ISLAND CT </t>
  </si>
  <si>
    <t>WINGFIELD SPRINGS 10A LT 1010 BLK A</t>
  </si>
  <si>
    <t>7275 GRAND ISLAND DR</t>
  </si>
  <si>
    <t xml:space="preserve">ROBERTS, MANDY M </t>
  </si>
  <si>
    <t xml:space="preserve">NG, SYLVIA </t>
  </si>
  <si>
    <t>WINGFIELD SPRINGS 10A LT 1008 BLK A</t>
  </si>
  <si>
    <t>7294 GRAND ISLAND DR</t>
  </si>
  <si>
    <t>HEAVEN SENT PROPERTIES LLC  LLC</t>
  </si>
  <si>
    <t>50 W LIBERTY ST - STE 600</t>
  </si>
  <si>
    <t xml:space="preserve">BRISSON, THOMAS A &amp; LESLI H </t>
  </si>
  <si>
    <t>WINGFIELD SPRINGS 10A LT 1028 BLK B</t>
  </si>
  <si>
    <t>7311 S FLORENTINE DR</t>
  </si>
  <si>
    <t xml:space="preserve">PEMBERTON, RICHARD B &amp; CONSTANCE L  </t>
  </si>
  <si>
    <t xml:space="preserve">7311 S FLORENTINE DR </t>
  </si>
  <si>
    <t>WINGFIELD SPRINGS 10A LT 1034 BLK B</t>
  </si>
  <si>
    <t>7349 SILVER KING DR</t>
  </si>
  <si>
    <t xml:space="preserve">NICKS TRUST, REBECCA J  </t>
  </si>
  <si>
    <t>2851 FRIAR ROCK CT</t>
  </si>
  <si>
    <t>WINGFIELD SPRINGS 11 LT 1117 BLK A</t>
  </si>
  <si>
    <t>3109 WILD IRIS CT</t>
  </si>
  <si>
    <t xml:space="preserve">STRACNER-HERDT, DENISE M </t>
  </si>
  <si>
    <t xml:space="preserve">RYE, KEN &amp; MYRA S </t>
  </si>
  <si>
    <t>WINGFIELD SPRINGS 11 LT 1161 BLK B</t>
  </si>
  <si>
    <t>KENNY, JOHN et al</t>
  </si>
  <si>
    <t>BONETT ADRIANA</t>
  </si>
  <si>
    <t xml:space="preserve">TOLLEY, KENNETH R &amp; SUZANNE </t>
  </si>
  <si>
    <t>WINGFIELD SPRINGS 9A LT 17 BLK B</t>
  </si>
  <si>
    <t>3160 SIERRA DUST CT</t>
  </si>
  <si>
    <t xml:space="preserve">MOLLOY, LYNDA L &amp; WILLIAM F </t>
  </si>
  <si>
    <t xml:space="preserve">HAMBAROFF, TEDDI A </t>
  </si>
  <si>
    <t>WINGFIELD SPRINGS 8B LT 831 BLK B</t>
  </si>
  <si>
    <t>3150 COBRITA CT</t>
  </si>
  <si>
    <t xml:space="preserve">KOCH, ALLEN &amp; ANN </t>
  </si>
  <si>
    <t xml:space="preserve">VINCENT, ROBIN L </t>
  </si>
  <si>
    <t>WINGFIELD SPRINGS 8B LT 843 BLK B</t>
  </si>
  <si>
    <t>6452 COPPER ANN DR</t>
  </si>
  <si>
    <t xml:space="preserve">KATSILOMETES, JOHN D &amp; PEGGY L </t>
  </si>
  <si>
    <t>20573 MORAR CIR</t>
  </si>
  <si>
    <t>STRONGSVILLE</t>
  </si>
  <si>
    <t>WINGFIELD SPRINGS 8B LT 856 BLK A</t>
  </si>
  <si>
    <t>2735 SILVERTON WAY</t>
  </si>
  <si>
    <t xml:space="preserve">SAKAMOTO, HERMAN R &amp; CAROLYN A </t>
  </si>
  <si>
    <t xml:space="preserve">2735 SILVERTON WAY                      </t>
  </si>
  <si>
    <t>WINGFIELD SPRINGS 17A LT 1734 BLK B</t>
  </si>
  <si>
    <t>2725 SILVERTON WAY</t>
  </si>
  <si>
    <t>620 ROCK ROSE LN</t>
  </si>
  <si>
    <t xml:space="preserve">SMITH, ROBERT L &amp; LINDA K </t>
  </si>
  <si>
    <t>WINGFIELD SPRINGS 17A LT 1731 BLK B</t>
  </si>
  <si>
    <t>6380 TORONTO CT</t>
  </si>
  <si>
    <t xml:space="preserve">HOFFMAN, LARRY S &amp; RUTH A  </t>
  </si>
  <si>
    <t xml:space="preserve">6380 TORONTO CT </t>
  </si>
  <si>
    <t>WINGFIELD SPRINGS 17A LT 1753 BLK B</t>
  </si>
  <si>
    <t>7318 LITTLE EASY ST</t>
  </si>
  <si>
    <t xml:space="preserve">DEMEULENAERE, DARREN &amp; HOLLY L  </t>
  </si>
  <si>
    <t xml:space="preserve">7318 LITTLE EASY ST </t>
  </si>
  <si>
    <t>WINGFIELD SPRINGS 13A LT 1335</t>
  </si>
  <si>
    <t>7324 LITTLE EASY ST</t>
  </si>
  <si>
    <t xml:space="preserve">MASON TRUST, C  </t>
  </si>
  <si>
    <t xml:space="preserve">LOWERY, JOSEPH V &amp; LISA W </t>
  </si>
  <si>
    <t>WINGFIELD SPRINGS 13A LT 1336</t>
  </si>
  <si>
    <t>7350 LA COSTA ST</t>
  </si>
  <si>
    <t xml:space="preserve">HOLLAND, MIKE </t>
  </si>
  <si>
    <t xml:space="preserve">STACY FAMILY TRUST, MARY K  </t>
  </si>
  <si>
    <t>WINGFIELD SPRINGS 13A LT 1326</t>
  </si>
  <si>
    <t>7560 S FLORENTINE DR</t>
  </si>
  <si>
    <t xml:space="preserve">DEPAOLI, BRIANNA R </t>
  </si>
  <si>
    <t xml:space="preserve">WITHERBY, STEPHEN L &amp; ROSEMARIE A </t>
  </si>
  <si>
    <t>WINGFIELD SPRINGS 10B LT 1089</t>
  </si>
  <si>
    <t>7590 S FLORENTINE DR</t>
  </si>
  <si>
    <t xml:space="preserve">PALMER, RICKY G </t>
  </si>
  <si>
    <t xml:space="preserve">DRICE, MAE BELL </t>
  </si>
  <si>
    <t>WINGFIELD SPRINGS 10B LT 1086</t>
  </si>
  <si>
    <t>7515 S FLORENTINE DR</t>
  </si>
  <si>
    <t>BREWSTER, DANIEL  et al</t>
  </si>
  <si>
    <t xml:space="preserve">7515 S FLORENTINE DR </t>
  </si>
  <si>
    <t xml:space="preserve">FLORENTINE TRUST # 7515  </t>
  </si>
  <si>
    <t>WINGFIELD SPRINGS 10B  LT 1085</t>
  </si>
  <si>
    <t>7430 AMBUSH CIR</t>
  </si>
  <si>
    <t>SMILEY, MARYKATE E  et al</t>
  </si>
  <si>
    <t xml:space="preserve">7430 AMBUSH CIR </t>
  </si>
  <si>
    <t>WINGFIELD SPRINGS 10B LT 1080</t>
  </si>
  <si>
    <t>7410 ISLAND QUEEN DR</t>
  </si>
  <si>
    <t xml:space="preserve">HANRATTY, THOMAS J &amp; SUE ANN </t>
  </si>
  <si>
    <t xml:space="preserve">DEPRYCKER FAMILY TRUST, CHARLES L &amp; ALICE J  </t>
  </si>
  <si>
    <t>WINGFIELD SPRINGS 14 LT 1451 BLK B</t>
  </si>
  <si>
    <t>2851 WICKER CT</t>
  </si>
  <si>
    <t xml:space="preserve">CORBRIDGE, ORIS L &amp; ALICE A </t>
  </si>
  <si>
    <t>WINGFIELD SPRINGS 16 LT 1621 BLK A</t>
  </si>
  <si>
    <t>6945 ISLAND QUEEN CT</t>
  </si>
  <si>
    <t xml:space="preserve">LEARNER, JOEL R &amp; SHARON </t>
  </si>
  <si>
    <t>3945 ISLAND QUEEN CT</t>
  </si>
  <si>
    <t xml:space="preserve">BARSALOU, PAUL D &amp; SUSAN M </t>
  </si>
  <si>
    <t>WINGFIELD SPRINGS 16   LT 1620  BLK A</t>
  </si>
  <si>
    <t>6950 ISLAND QUEEN CT</t>
  </si>
  <si>
    <t xml:space="preserve">BRADY LIVING TRUST, RICHARD P  </t>
  </si>
  <si>
    <t xml:space="preserve">BRADY, RICHARD P </t>
  </si>
  <si>
    <t>WINGFIELD SPRINGS 16 LT 1608 BLK A</t>
  </si>
  <si>
    <t>7050 ANNABELLE DR</t>
  </si>
  <si>
    <t xml:space="preserve">WATERS, SCOTT </t>
  </si>
  <si>
    <t xml:space="preserve">7050 ANNABELLE DR </t>
  </si>
  <si>
    <t>WINGFIELD SPRINGS 15A LT 1528 BLK C</t>
  </si>
  <si>
    <t>7002 POCO BUENO CIR</t>
  </si>
  <si>
    <t xml:space="preserve">KOZEL, PETER &amp; DEBRA </t>
  </si>
  <si>
    <t xml:space="preserve">ASHBY, DANA L </t>
  </si>
  <si>
    <t>WINGFIELD SPRINGS 15A LT 1501 BLK A</t>
  </si>
  <si>
    <t>7027 ANNABELLE DR</t>
  </si>
  <si>
    <t xml:space="preserve">JOHNSON, KEVIN  </t>
  </si>
  <si>
    <t>6717 ROLLING MEADOWS</t>
  </si>
  <si>
    <t xml:space="preserve">LA FRANBOISE, CAROL ANN </t>
  </si>
  <si>
    <t>WINGFIELD SPRINGS 15A LT 1544 BLK D</t>
  </si>
  <si>
    <t>6963 POCO BUENO CIR</t>
  </si>
  <si>
    <t>DURIO, MATTHEW et al</t>
  </si>
  <si>
    <t>DURIO-NAVES ALICIA J</t>
  </si>
  <si>
    <t xml:space="preserve">WYATT, CHARLES R &amp; CHARLOTTE A </t>
  </si>
  <si>
    <t>WINGFIELD SPRINGS 15A LT 1551 BLK D</t>
  </si>
  <si>
    <t>6955 POCO BUENO CIR</t>
  </si>
  <si>
    <t xml:space="preserve">ELLIKER FAMILY REV LIVING TRST, LYNN  </t>
  </si>
  <si>
    <t>3347 POCO DOVE CT</t>
  </si>
  <si>
    <t xml:space="preserve">W K &amp; J LLC </t>
  </si>
  <si>
    <t>WINGFIELD SPRINGS 15A LT 1549 BLK D</t>
  </si>
  <si>
    <t>7420 LA COSTA ST</t>
  </si>
  <si>
    <t xml:space="preserve">PAPA, LISA M </t>
  </si>
  <si>
    <t xml:space="preserve">BEBOUT, MARC A &amp; MELISSA G </t>
  </si>
  <si>
    <t>WINGFIELD SPRINGS 13C LT 1346</t>
  </si>
  <si>
    <t>7431 ASH PEAK DR</t>
  </si>
  <si>
    <t xml:space="preserve">MYERS, RICHARD S </t>
  </si>
  <si>
    <t xml:space="preserve">SMITH, LINDA S </t>
  </si>
  <si>
    <t>WINGFIELD SPRINGS 13C LT 1363</t>
  </si>
  <si>
    <t>WINGFIELD SPRINGS 13C LT 1371</t>
  </si>
  <si>
    <t>7475 LA COSTA ST</t>
  </si>
  <si>
    <t xml:space="preserve">MCMULLEN, JOSH L &amp; STEPHANIE K  </t>
  </si>
  <si>
    <t xml:space="preserve">THOMPSON, WILLIAM G &amp; RACHELLE C </t>
  </si>
  <si>
    <t>WINGFIELD SPRINGS 13C LT 1382</t>
  </si>
  <si>
    <t>7014 POCO BUENO CIR</t>
  </si>
  <si>
    <t xml:space="preserve">HOLLAND, PATRICK D &amp; CARLA J  </t>
  </si>
  <si>
    <t xml:space="preserve">LUKENBILL FAMILY TRUST  </t>
  </si>
  <si>
    <t>WINGFIELD SPRINGS 15B LT 1556 BLK A</t>
  </si>
  <si>
    <t>7022 POCO BUENO CIR</t>
  </si>
  <si>
    <t xml:space="preserve">FOLEY, JOHN &amp; KRISTI  </t>
  </si>
  <si>
    <t xml:space="preserve">SPAGNOLA, ROBERT &amp; LYNDA </t>
  </si>
  <si>
    <t>WINGFIELD SPRINGS 15B LT 1558 BLK A</t>
  </si>
  <si>
    <t>2730 ARROWSMITH DR</t>
  </si>
  <si>
    <t xml:space="preserve">GASTINEL, NIKI </t>
  </si>
  <si>
    <t>1 MORRO VISTA LN</t>
  </si>
  <si>
    <t>PORTOLA VALLEY</t>
  </si>
  <si>
    <t xml:space="preserve">ELLIS, JOEL &amp; SONDRA L  </t>
  </si>
  <si>
    <t>WINGFIELD SPRINGS 13B PH LT 1307</t>
  </si>
  <si>
    <t>2696 ARROWSMITH DR</t>
  </si>
  <si>
    <t>WINGFIELD SPRINGS 13B PH 1</t>
  </si>
  <si>
    <t xml:space="preserve">DEVINE, DANIEL D &amp; RACHAEL A </t>
  </si>
  <si>
    <t>STULTZ, REED et al</t>
  </si>
  <si>
    <t>WINGFIELD SPRINGS 13B PH 1 LT 1310</t>
  </si>
  <si>
    <t>2688 ARROWSMITH DR</t>
  </si>
  <si>
    <t xml:space="preserve">KEYES, MICHAEL &amp; JEAN  </t>
  </si>
  <si>
    <t>3155 SIERRA DUST CT</t>
  </si>
  <si>
    <t xml:space="preserve">CUNNINGHAM, HOWARD W &amp; VICKY L </t>
  </si>
  <si>
    <t>WINGFIELD SPRINGS 13B PH 1 LT 1311</t>
  </si>
  <si>
    <t>7465 LORNA LN</t>
  </si>
  <si>
    <t xml:space="preserve">ANDREWS, LEE A &amp; GLORIA </t>
  </si>
  <si>
    <t>WINGFIELD SPRINGS 13B PH 1 LT 1319</t>
  </si>
  <si>
    <t>7415 LORNA LN</t>
  </si>
  <si>
    <t xml:space="preserve">DURON, RUBEN </t>
  </si>
  <si>
    <t xml:space="preserve">503 ABBAY WAY                    </t>
  </si>
  <si>
    <t>WINGFIELD SPRINGS 13B PH 1 LT 1324</t>
  </si>
  <si>
    <t>2663 CHAUCER ST</t>
  </si>
  <si>
    <t xml:space="preserve">GLUKHENKIY, VITALIY &amp; AMBER </t>
  </si>
  <si>
    <t xml:space="preserve">ELLIOTT, CALVIN R &amp; TRACEY L </t>
  </si>
  <si>
    <t>WINGFIELD SPRINGS 13B PH 1 LT 1327</t>
  </si>
  <si>
    <t>7476 LORNA LN</t>
  </si>
  <si>
    <t xml:space="preserve">SAGE, PHILIP J </t>
  </si>
  <si>
    <t>WINGFIELD SPRINGS 13B PH 1 LT 1339</t>
  </si>
  <si>
    <t>7484 LORNA LN</t>
  </si>
  <si>
    <t>WINGFIELD SPRINGS 13B PH 1 LT 1340</t>
  </si>
  <si>
    <t>2610 WASHOE BELLE ST</t>
  </si>
  <si>
    <t xml:space="preserve">LEWIS, JANICE </t>
  </si>
  <si>
    <t>WINGFIELD SPRINGS 13B PH 2  LT 1374 BLK B</t>
  </si>
  <si>
    <t>6755 TALMEDGE CIR</t>
  </si>
  <si>
    <t xml:space="preserve">ERNST, JOSEPH M &amp; SO H </t>
  </si>
  <si>
    <t>WINGFIELD SPRINGS 9B LT 44</t>
  </si>
  <si>
    <t>6912 CINNAMON DR</t>
  </si>
  <si>
    <t xml:space="preserve">GOLGART, KURT E &amp; DEBORAH M  </t>
  </si>
  <si>
    <t xml:space="preserve">6912 CINNAMON DR </t>
  </si>
  <si>
    <t xml:space="preserve">BUMB, JEFFREY </t>
  </si>
  <si>
    <t>WINGFIELD SPRINGS 9B LT 20</t>
  </si>
  <si>
    <t>6932 CINNAMON DR</t>
  </si>
  <si>
    <t>LARSEN, KELSEY et al</t>
  </si>
  <si>
    <t>WINGFIELD SPRINGS 9B LT 22</t>
  </si>
  <si>
    <t>6501 LONNIE CT</t>
  </si>
  <si>
    <t xml:space="preserve">CLARK, STEPHEN K &amp; JACQUELINE M </t>
  </si>
  <si>
    <t xml:space="preserve">HORTON, DEANNA &amp; MARK </t>
  </si>
  <si>
    <t>WINGFIELD SPRINGS 17C LT 17103</t>
  </si>
  <si>
    <t>6466 FERNDAY CT</t>
  </si>
  <si>
    <t>WINGFIELD SPRINGS 17B</t>
  </si>
  <si>
    <t>SHOEMAKER, JULIE et al</t>
  </si>
  <si>
    <t>BROWNING, ANN et al</t>
  </si>
  <si>
    <t>522-010-76</t>
  </si>
  <si>
    <t>WINGFIELD SPRINGS 17B LT 1761 BLK A ADJ  RS 4118 L</t>
  </si>
  <si>
    <t>2652 PRIDE DR</t>
  </si>
  <si>
    <t>WINGFIELD SPRINGS 13D</t>
  </si>
  <si>
    <t xml:space="preserve">DUROSINMI, LATEEF F &amp; RAMYA R </t>
  </si>
  <si>
    <t xml:space="preserve">2652 PRIDE DR                           </t>
  </si>
  <si>
    <t xml:space="preserve">BROWNE FAMILY TRUST, HARRY G  </t>
  </si>
  <si>
    <t>522-010-73</t>
  </si>
  <si>
    <t>WINGFIELD SPRINGS 13D PH 1 LT 118</t>
  </si>
  <si>
    <t>7231 LITTLE EASY ST</t>
  </si>
  <si>
    <t xml:space="preserve">GALICIA, KATHLEEN </t>
  </si>
  <si>
    <t xml:space="preserve">GARRETT, JANIS A </t>
  </si>
  <si>
    <t>WINGFIELD SPRINGS 13D PH 2 LT 204</t>
  </si>
  <si>
    <t>7221 LITTLE EASY ST</t>
  </si>
  <si>
    <t xml:space="preserve">PAUL, SAUGATO </t>
  </si>
  <si>
    <t xml:space="preserve">7221 LITTLE EASY ST </t>
  </si>
  <si>
    <t>WINGFIELD SPRINGS 13D PH 2 LT 205</t>
  </si>
  <si>
    <t>3330 SANSOL CT</t>
  </si>
  <si>
    <t>CHAVEZ, SAMUEL E III et al</t>
  </si>
  <si>
    <t>REUTER, CALVIN E et al</t>
  </si>
  <si>
    <t>CIMARRON 6 PH 2 LT 672</t>
  </si>
  <si>
    <t>7990 CADIZ AVE</t>
  </si>
  <si>
    <t xml:space="preserve">TAMPIO, KYLE J  </t>
  </si>
  <si>
    <t xml:space="preserve">GARTEN-HARVILLE, CONNIE M </t>
  </si>
  <si>
    <t>522-201-07</t>
  </si>
  <si>
    <t>CIMARRON 1 LT 1 BLK A</t>
  </si>
  <si>
    <t>3121 RAMA CT</t>
  </si>
  <si>
    <t xml:space="preserve">OGG, SHAYLA M </t>
  </si>
  <si>
    <t xml:space="preserve">WELCH, JENNIFER L </t>
  </si>
  <si>
    <t>522-211-06</t>
  </si>
  <si>
    <t>CIMARRON 1 LT 17 BLK A</t>
  </si>
  <si>
    <t>7875 CADIZ AVE</t>
  </si>
  <si>
    <t>NOTT, DANE G  et al</t>
  </si>
  <si>
    <t xml:space="preserve">SMITH-NOTT MARIANNE K </t>
  </si>
  <si>
    <t>522-212-09</t>
  </si>
  <si>
    <t>CIMARRON 1 LT 68 BLK B</t>
  </si>
  <si>
    <t>3244 BRISA CT</t>
  </si>
  <si>
    <t>LINCOLN TRUST CO CUSTODIAN</t>
  </si>
  <si>
    <t>C/O FOUNTAIN REALTY</t>
  </si>
  <si>
    <t xml:space="preserve">HARRELL, BILLY E </t>
  </si>
  <si>
    <t>522-331-17</t>
  </si>
  <si>
    <t>CIMARRON 2 LT 211 BLK A</t>
  </si>
  <si>
    <t>3285 VENADO CT</t>
  </si>
  <si>
    <t xml:space="preserve">FULKERSON, TIMOTHY M  </t>
  </si>
  <si>
    <t xml:space="preserve">3285 VENADO CT </t>
  </si>
  <si>
    <t xml:space="preserve">WILSON, WES T </t>
  </si>
  <si>
    <t>522-332-08</t>
  </si>
  <si>
    <t>CIMARRON 2 LT 291 BLK B</t>
  </si>
  <si>
    <t>522-371-06</t>
  </si>
  <si>
    <t>CIMARRON 3 LT 337 BLK A</t>
  </si>
  <si>
    <t>7815 MORRO AVE</t>
  </si>
  <si>
    <t xml:space="preserve">WOODWORTH, BRUCE M </t>
  </si>
  <si>
    <t>522-382-12</t>
  </si>
  <si>
    <t>CIMARRON 3 LT 365 BLK B</t>
  </si>
  <si>
    <t>8050 SAUNTO CT</t>
  </si>
  <si>
    <t>CIMARRON 10</t>
  </si>
  <si>
    <t xml:space="preserve">BRAUN, LARRY B </t>
  </si>
  <si>
    <t>522-461-01</t>
  </si>
  <si>
    <t>CIMARRON 10 LT 1015 BLK A</t>
  </si>
  <si>
    <t>7810 TIBURON CT</t>
  </si>
  <si>
    <t xml:space="preserve">KURTYKA, JOHN E &amp; DEBORAH A </t>
  </si>
  <si>
    <t xml:space="preserve">TAVENER, HENRY C &amp; PEGGY L </t>
  </si>
  <si>
    <t>522-561-01</t>
  </si>
  <si>
    <t>CIMARRON 4 LT 425 BLK A</t>
  </si>
  <si>
    <t>7815 TIBURON CT</t>
  </si>
  <si>
    <t>AGUAYO, JUAN et al</t>
  </si>
  <si>
    <t>AGUAYO-FLORES ZORAYDA</t>
  </si>
  <si>
    <t>522-561-10</t>
  </si>
  <si>
    <t>CIMARRON 4 LT 416 BLK A</t>
  </si>
  <si>
    <t>7887 JACINTO AVE</t>
  </si>
  <si>
    <t xml:space="preserve">GRAY, JAMES &amp; BONNIE </t>
  </si>
  <si>
    <t>522-571-04</t>
  </si>
  <si>
    <t>CIMARRON 4 LT 444 BLK B</t>
  </si>
  <si>
    <t>7875 JACINTO AVE</t>
  </si>
  <si>
    <t xml:space="preserve">SANCHEZ, DOROTHY M </t>
  </si>
  <si>
    <t>522-571-07</t>
  </si>
  <si>
    <t>CIMARRON 4 LT 441 BLK B</t>
  </si>
  <si>
    <t>3231 PERLA CT</t>
  </si>
  <si>
    <t xml:space="preserve">ARMSTRONG, CHRISTOPHER S &amp; DIANA R </t>
  </si>
  <si>
    <t>522-572-10</t>
  </si>
  <si>
    <t>CIMARRON 4 LT 406 BLK A</t>
  </si>
  <si>
    <t>3240 PERLA CT</t>
  </si>
  <si>
    <t xml:space="preserve">WITTERS, CORY R &amp; KRISTEN L </t>
  </si>
  <si>
    <t>522-572-12</t>
  </si>
  <si>
    <t>CIMARRON 4 LT 404 BLK A</t>
  </si>
  <si>
    <t>7725 LOBO CT</t>
  </si>
  <si>
    <t>CANALE , JILLIAN et al</t>
  </si>
  <si>
    <t>522-591-07</t>
  </si>
  <si>
    <t>CIMARRON 5 LT 518 BLK A</t>
  </si>
  <si>
    <t>7740 GATO CT</t>
  </si>
  <si>
    <t xml:space="preserve">ALVAREZ, MARK &amp; SAMANTHA  </t>
  </si>
  <si>
    <t xml:space="preserve">7740 GATO CT </t>
  </si>
  <si>
    <t xml:space="preserve">GATO TRUST #7740  </t>
  </si>
  <si>
    <t>522-591-11</t>
  </si>
  <si>
    <t>CIMARRON 5 LT 514 BLK A</t>
  </si>
  <si>
    <t>522-610-07</t>
  </si>
  <si>
    <t>7978 DEL FUEGO DR</t>
  </si>
  <si>
    <t>BRISLANE, JOSEPH M  et al</t>
  </si>
  <si>
    <t xml:space="preserve">WALTERS ROBIN A </t>
  </si>
  <si>
    <t xml:space="preserve">PINA FAMILY 2009 TRUST  </t>
  </si>
  <si>
    <t>522-622-08</t>
  </si>
  <si>
    <t>CIMARRON 13 LT 1302</t>
  </si>
  <si>
    <t>7727 CERRITOS CIR</t>
  </si>
  <si>
    <t>POLLEY, EUGENE J  et al</t>
  </si>
  <si>
    <t xml:space="preserve">STRUM DIANE C </t>
  </si>
  <si>
    <t xml:space="preserve">7727 CERRITOS CIR </t>
  </si>
  <si>
    <t xml:space="preserve">MALROUX, SYLVAIN  </t>
  </si>
  <si>
    <t>522-772-11</t>
  </si>
  <si>
    <t>CIMARRON 7 LT 754 BLK B</t>
  </si>
  <si>
    <t>7766 CORNETA CT</t>
  </si>
  <si>
    <t xml:space="preserve">HUNTER, DEBORAH A </t>
  </si>
  <si>
    <t>522-781-08</t>
  </si>
  <si>
    <t>CIMARRON 7 LT 773 BLK B</t>
  </si>
  <si>
    <t>7818 ALCANDRE CT</t>
  </si>
  <si>
    <t xml:space="preserve">BERRYMAN, NORMAN K &amp; ELLEN N </t>
  </si>
  <si>
    <t>75 CARNEROS DR</t>
  </si>
  <si>
    <t xml:space="preserve">LIVINGSTON, JASON </t>
  </si>
  <si>
    <t>522-782-23</t>
  </si>
  <si>
    <t>CIMARRON 7 LT 713 BLK A</t>
  </si>
  <si>
    <t>7842 ALCANDRE CT</t>
  </si>
  <si>
    <t xml:space="preserve">TOMLIAN, JACOB </t>
  </si>
  <si>
    <t>522-782-26</t>
  </si>
  <si>
    <t>CIMARRON 7 LT 710 BLK A</t>
  </si>
  <si>
    <t>2603 AZUL CT</t>
  </si>
  <si>
    <t>CIMARRON 12 PH 1</t>
  </si>
  <si>
    <t xml:space="preserve">GUNDERSON, MARTIN C &amp; BARBARA S  </t>
  </si>
  <si>
    <t xml:space="preserve">STARR, RONALD R &amp; BARBARA R </t>
  </si>
  <si>
    <t>522-842-07</t>
  </si>
  <si>
    <t>CIMARRON 12 PH 1 LT 1224</t>
  </si>
  <si>
    <t>7581 AVILA DR</t>
  </si>
  <si>
    <t xml:space="preserve">SCHWART, STEVEN P </t>
  </si>
  <si>
    <t xml:space="preserve">SCHWART, ELMER &amp; CAROLINE </t>
  </si>
  <si>
    <t>522-861-11</t>
  </si>
  <si>
    <t>CIMARRON 6 PH 1 LT 646</t>
  </si>
  <si>
    <t>7654 AVILA DR</t>
  </si>
  <si>
    <t xml:space="preserve">RODARTE, STEVEN M &amp; VIRGINIA L </t>
  </si>
  <si>
    <t>522-862-11</t>
  </si>
  <si>
    <t>CIMARRON 6 PH 1 LT 658</t>
  </si>
  <si>
    <t>7635 BADELONA CT</t>
  </si>
  <si>
    <t xml:space="preserve">MICKELSON, KYLE A  </t>
  </si>
  <si>
    <t xml:space="preserve">7635 BADELONA CT </t>
  </si>
  <si>
    <t xml:space="preserve">TURLEY, MATTHEW &amp; MARIANN </t>
  </si>
  <si>
    <t>522-863-13</t>
  </si>
  <si>
    <t>CIMARRON 6 PH 1 LT 629</t>
  </si>
  <si>
    <t>3385 TOLEDO CT</t>
  </si>
  <si>
    <t xml:space="preserve">HEUER, ADAM S  </t>
  </si>
  <si>
    <t xml:space="preserve">KUERZI, MINETTE </t>
  </si>
  <si>
    <t>522-870-05</t>
  </si>
  <si>
    <t>CIMARRON 6 PH 1 LT 616</t>
  </si>
  <si>
    <t>3374 TOLEDO CT</t>
  </si>
  <si>
    <t>COLLINS, RICHARD L &amp; DAVYANN et al</t>
  </si>
  <si>
    <t>COLLINS, RICHARD L et al</t>
  </si>
  <si>
    <t>522-870-10</t>
  </si>
  <si>
    <t>CIMARRON 6 PH 1 LT 611</t>
  </si>
  <si>
    <t>3366 TOLEDO CT</t>
  </si>
  <si>
    <t xml:space="preserve">MICKEL, ROBERT &amp; DIANE </t>
  </si>
  <si>
    <t xml:space="preserve">SMITH FAMILY TRUST, SUE A  </t>
  </si>
  <si>
    <t>522-870-11</t>
  </si>
  <si>
    <t>CIMARRON 6 PH 1 LT 610</t>
  </si>
  <si>
    <t>7956 TRES ARROYOS DR</t>
  </si>
  <si>
    <t>CIMARRON 9 PH 1</t>
  </si>
  <si>
    <t xml:space="preserve">EDGETT FAMILY TRUST  </t>
  </si>
  <si>
    <t xml:space="preserve">MICHITSCH, AMY E </t>
  </si>
  <si>
    <t>522-240-30</t>
  </si>
  <si>
    <t>CIMARRON 9 PH 1 LT 915</t>
  </si>
  <si>
    <t>7995 TRES ARROYOS DR</t>
  </si>
  <si>
    <t>DEMICK TRUST, MARLENE R  et al</t>
  </si>
  <si>
    <t>DEMICK, MARLENE R  et al</t>
  </si>
  <si>
    <t>CIMARRON 9 PH 1 LT 901</t>
  </si>
  <si>
    <t>7987 TRES ARROYOS DR</t>
  </si>
  <si>
    <t xml:space="preserve">RIDDELL, W DANIEL &amp; CYNTHIA A </t>
  </si>
  <si>
    <t>SMITH, BRAD R et al TTEE</t>
  </si>
  <si>
    <t>CIMARRON 9 PH 1 LT 902</t>
  </si>
  <si>
    <t>2584 VIEJO CT</t>
  </si>
  <si>
    <t xml:space="preserve">NESS, JERRY A &amp; AKEMI D </t>
  </si>
  <si>
    <t>120 DONATELLA CT</t>
  </si>
  <si>
    <t>ELDORADO HILLS</t>
  </si>
  <si>
    <t>CIMARRON 12 PH 2 LT 1235</t>
  </si>
  <si>
    <t>2595 VIEJO CT</t>
  </si>
  <si>
    <t xml:space="preserve">LAWLOR, WENDY &amp; DARREN W  </t>
  </si>
  <si>
    <t xml:space="preserve">2595 VIEJO CT </t>
  </si>
  <si>
    <t>CIMARRON 12 PH 2 LT 1233</t>
  </si>
  <si>
    <t>7815 ALMERIA CT</t>
  </si>
  <si>
    <t>CIMARRON 12 PH 2 LT 1252</t>
  </si>
  <si>
    <t>7805 ALMERIA CT</t>
  </si>
  <si>
    <t xml:space="preserve">KAHL, MARK J SR </t>
  </si>
  <si>
    <t>CIMARRON 12 PH 2 LT 1251</t>
  </si>
  <si>
    <t>7915 TRES ARROYOS DR</t>
  </si>
  <si>
    <t xml:space="preserve">MASON TRUST, C   </t>
  </si>
  <si>
    <t>CIMARRON 9 PH 2 LT 962</t>
  </si>
  <si>
    <t>3471 ASTURIUS CT</t>
  </si>
  <si>
    <t xml:space="preserve">MARTIN, JESSE C </t>
  </si>
  <si>
    <t xml:space="preserve">PRICE, JOHN A &amp; CHERYL A </t>
  </si>
  <si>
    <t>CIMARRON 9 PH 2 LT 942</t>
  </si>
  <si>
    <t>3175 ZARAGOZA DR</t>
  </si>
  <si>
    <t>PEGGY J BELLISSIMO TRUSTEE</t>
  </si>
  <si>
    <t>CIMARRON 8 LT 860</t>
  </si>
  <si>
    <t>3205 ZARAGOZA DR</t>
  </si>
  <si>
    <t xml:space="preserve">CLARK, STEPHEN G &amp; MARIBETH E </t>
  </si>
  <si>
    <t>1319 BUENA VISTA</t>
  </si>
  <si>
    <t xml:space="preserve">PAYTON, NANCY E </t>
  </si>
  <si>
    <t>CIMARRON 8 LT 857</t>
  </si>
  <si>
    <t>7861 CANTABRIA DR</t>
  </si>
  <si>
    <t xml:space="preserve">RADDATZ, STEVEN G &amp; SHARON M  </t>
  </si>
  <si>
    <t xml:space="preserve">7861 CANTABRIA DR </t>
  </si>
  <si>
    <t xml:space="preserve">JOHNSON, DAVID A &amp; COLLEEN L </t>
  </si>
  <si>
    <t>CIMARRON 8 LT 841</t>
  </si>
  <si>
    <t>7450 MINKLER CT</t>
  </si>
  <si>
    <t>CENTENO, JOHN M et al</t>
  </si>
  <si>
    <t xml:space="preserve">CHRYSANTHOU, JUANITA L </t>
  </si>
  <si>
    <t>SPANISH VIEW EST LT 4</t>
  </si>
  <si>
    <t>3700 COMET LINEAR DR</t>
  </si>
  <si>
    <t xml:space="preserve">SPEEG, THOMAS A &amp; JEANNE M </t>
  </si>
  <si>
    <t xml:space="preserve">DANIEL, MICHAEL S </t>
  </si>
  <si>
    <t>FOOTHILLS AT WINGFIELD VLG 4 LT 4-38</t>
  </si>
  <si>
    <t>3691 GANYMEDE CT</t>
  </si>
  <si>
    <t xml:space="preserve">RAMIRO, KRISTIAN C  </t>
  </si>
  <si>
    <t xml:space="preserve">BECERRA-RAMIREZ, JUAN &amp; JUANA </t>
  </si>
  <si>
    <t>FOOTHILLS AT WINGFIELD VLG 4 LT 4-21</t>
  </si>
  <si>
    <t xml:space="preserve">LONGERO, SUSAN L &amp; DALE A </t>
  </si>
  <si>
    <t xml:space="preserve">COX, DENNIS A &amp; CHUNG K </t>
  </si>
  <si>
    <t>FOOTHILLS AT WINGFIELD VLG 4 LT 4-18</t>
  </si>
  <si>
    <t>6490 VIRGO DR</t>
  </si>
  <si>
    <t xml:space="preserve">KOSTEINIK, KENNETH W &amp; SELINA A  </t>
  </si>
  <si>
    <t xml:space="preserve">737 LOS ANGELES AVE </t>
  </si>
  <si>
    <t>FOOTHILLS AT WINGFIELD VLG 4 LT 4-65</t>
  </si>
  <si>
    <t>3742 KEPLER DR</t>
  </si>
  <si>
    <t xml:space="preserve">ANDRESS, JENNIFER </t>
  </si>
  <si>
    <t>CONTRERAS, CELESTE et al</t>
  </si>
  <si>
    <t>FOOTHILLS AT WINGFIELD VLG 4 LT 4-58</t>
  </si>
  <si>
    <t>6979 KRUG CT</t>
  </si>
  <si>
    <t xml:space="preserve">JOHNSON, LIZETTE V  </t>
  </si>
  <si>
    <t xml:space="preserve">TIERNEY, WINSTON S &amp; THERESA Z </t>
  </si>
  <si>
    <t>FOOTHILLS AT WINGFIELD VILLAGE 15A LT 15-65</t>
  </si>
  <si>
    <t>6959 KRUG CT</t>
  </si>
  <si>
    <t xml:space="preserve">ZELNIK, DOMINIC J </t>
  </si>
  <si>
    <t>FOOTHILLS AT WINGFIELD VLG 15A LT 15-63</t>
  </si>
  <si>
    <t>6979 RIOJA CT</t>
  </si>
  <si>
    <t>CODMAN, KENNETH L et al</t>
  </si>
  <si>
    <t>BUENDIA MARIA V</t>
  </si>
  <si>
    <t xml:space="preserve">CRAWFORD, SCOTT &amp; STEPHANIE </t>
  </si>
  <si>
    <t>FOOTHILLS AT WINGFIELD VLG 15A LT 15-53</t>
  </si>
  <si>
    <t>6970 VERITE CT</t>
  </si>
  <si>
    <t>LINK, JENNIFER R et al</t>
  </si>
  <si>
    <t xml:space="preserve">AURORA LOAN SERVICES  </t>
  </si>
  <si>
    <t>FOOTHILLS AT WINGFIELD VLG 15A LT 15-25</t>
  </si>
  <si>
    <t>7020 VERITE DR</t>
  </si>
  <si>
    <t xml:space="preserve">CULURIS TRUST, ALLEN C  </t>
  </si>
  <si>
    <t xml:space="preserve">CULURIS, ALLEN C </t>
  </si>
  <si>
    <t>FOOTHILLS AT WINGFIELD VLG 15A LT 15-20</t>
  </si>
  <si>
    <t>3717 CAYMUS DR</t>
  </si>
  <si>
    <t xml:space="preserve">FALKNER, MITSUE </t>
  </si>
  <si>
    <t xml:space="preserve">YAJNIK, KASHYAP V &amp; PRAKRITI </t>
  </si>
  <si>
    <t>FOOTHILLS AT WINGFIELD VLG 15A LT 15-34</t>
  </si>
  <si>
    <t>3838 ALLEGRINI DR</t>
  </si>
  <si>
    <t xml:space="preserve">MACY, BRENDA L </t>
  </si>
  <si>
    <t>FOOTHILLS AT WINGFIELD VLG 15A LT 15-1</t>
  </si>
  <si>
    <t>3808 ALLEGRINI DR</t>
  </si>
  <si>
    <t>MAJCHRZAK, PIOTR P et al</t>
  </si>
  <si>
    <t xml:space="preserve">SANCHEZ, CRYSTAL C </t>
  </si>
  <si>
    <t>FOOTHILLS AT WINGFIELD VLG 15A LT 15-4</t>
  </si>
  <si>
    <t>7131 VERITE DR</t>
  </si>
  <si>
    <t xml:space="preserve">HOON, ALEXANDER D &amp; ANNE R </t>
  </si>
  <si>
    <t xml:space="preserve">SMALL, MATTHEW &amp; DAYNA </t>
  </si>
  <si>
    <t>FOOTHILLS AT WINGFIELD VLG 15A LT 15-90</t>
  </si>
  <si>
    <t>3686 CAYMUS DR</t>
  </si>
  <si>
    <t xml:space="preserve">PHILLIPS, RICHARD &amp; LYNNE F </t>
  </si>
  <si>
    <t>FOOTHILLS AT WINGFIELD VLG 15A LT 15-75</t>
  </si>
  <si>
    <t>6711 MAGICAL DR</t>
  </si>
  <si>
    <t xml:space="preserve">KRAFFT, DANIEL B &amp; STACY A </t>
  </si>
  <si>
    <t>FOOTHILLS AT WINGFIELD VLG 6 LT 6-108</t>
  </si>
  <si>
    <t>4240 MYSTERY CT</t>
  </si>
  <si>
    <t xml:space="preserve">WELLER, FREDERIK </t>
  </si>
  <si>
    <t>FOOTHILLS AT WINGFIELD VLG 6 LT 6-38</t>
  </si>
  <si>
    <t>4140 MYSTERY DR</t>
  </si>
  <si>
    <t xml:space="preserve">ANAYA, STEVEN &amp; CARISSA </t>
  </si>
  <si>
    <t xml:space="preserve">4140 MYSTERY DR </t>
  </si>
  <si>
    <t>FOOTHILLS AT WINGFIELD VLG 6 LT 6-28</t>
  </si>
  <si>
    <t>4120 MYSTERY DR</t>
  </si>
  <si>
    <t xml:space="preserve">HUES, WAYNE &amp; CHRISTINE </t>
  </si>
  <si>
    <t>GONZALEZ, MARK et al</t>
  </si>
  <si>
    <t>FOOTHILLS AT WINGFIELD VLG 6 LT 6-26</t>
  </si>
  <si>
    <t>4070 MYSTERY DR</t>
  </si>
  <si>
    <t xml:space="preserve">ZLOTKOWSKI, MARK E  </t>
  </si>
  <si>
    <t>1285 BARING BLVD 138</t>
  </si>
  <si>
    <t xml:space="preserve">NICHOLS, JAMES P &amp; SARAH E </t>
  </si>
  <si>
    <t>FOOTHILLS AT WINGFIELD VLG 6 LT 6-19</t>
  </si>
  <si>
    <t>6842 QUANTUM CT</t>
  </si>
  <si>
    <t xml:space="preserve">BLACKBURN, SEAN E &amp; SELENA D </t>
  </si>
  <si>
    <t>PROKOP, DERICK M et al</t>
  </si>
  <si>
    <t>FOOTHILLS AT WINGFIELD VLG 6 LT 6-12</t>
  </si>
  <si>
    <t>6857 QUANTUM CT</t>
  </si>
  <si>
    <t>FOOTHILLS AT WINGFIELD VLG 6 LT 6-8</t>
  </si>
  <si>
    <t>4051 HUBBLE DR</t>
  </si>
  <si>
    <t xml:space="preserve">CHONG, JASON  </t>
  </si>
  <si>
    <t xml:space="preserve">4051 HUBBLE DR </t>
  </si>
  <si>
    <t xml:space="preserve">CHONG, MAY </t>
  </si>
  <si>
    <t>FOOTHILLS AT WINGFIELD VLG 6 LT 6-77</t>
  </si>
  <si>
    <t>4121 HUBBLE CT</t>
  </si>
  <si>
    <t xml:space="preserve">MARTINEZ, EDUARDO &amp; KENDRA A  A  </t>
  </si>
  <si>
    <t xml:space="preserve">4121 HUBBLE CT </t>
  </si>
  <si>
    <t>FOOTHILLS AT WINGFIELD VLG 6 LT 6-83</t>
  </si>
  <si>
    <t>4131 HUBBLE CT</t>
  </si>
  <si>
    <t xml:space="preserve">BEYERSDORF, ERIC &amp; AMY </t>
  </si>
  <si>
    <t>4131 HUBBLE DR</t>
  </si>
  <si>
    <t xml:space="preserve">PREDOLIAK, OLEG </t>
  </si>
  <si>
    <t>FOOTHILLS AT WINGFIELD VLG 6 LT 6-84</t>
  </si>
  <si>
    <t>4141 HUBBLE CT</t>
  </si>
  <si>
    <t xml:space="preserve">MCALPINE, KATHY M  </t>
  </si>
  <si>
    <t>FOOTHILLS AT WINGFIELD VLG 6 LT 6-85</t>
  </si>
  <si>
    <t>4091 MYSTERY DR</t>
  </si>
  <si>
    <t xml:space="preserve">KURTZ, KEN &amp; MONICA </t>
  </si>
  <si>
    <t>FOOTHILLS AT WINGFIELD VLG 6 LT 6-90</t>
  </si>
  <si>
    <t>7230 CLEARSKY RD</t>
  </si>
  <si>
    <t xml:space="preserve">TANAGER INVESTMENTS LLC </t>
  </si>
  <si>
    <t>1232 EAST 25TH ST</t>
  </si>
  <si>
    <t xml:space="preserve">BRIGHT DEVELOPMENT </t>
  </si>
  <si>
    <t>FOOTHILL MEADOWS LT 53</t>
  </si>
  <si>
    <t>7270 CLEARSKY RD</t>
  </si>
  <si>
    <t>FOOTHILL MEADOWS LT 49</t>
  </si>
  <si>
    <t>7280 CLEARSKY RD</t>
  </si>
  <si>
    <t>FOOTHILL MEADOWS LT 48</t>
  </si>
  <si>
    <t>3828 EARLY DAWN DR</t>
  </si>
  <si>
    <t xml:space="preserve">STROH, PATRICIA L </t>
  </si>
  <si>
    <t>FOOTHILL MEADOWS LT 45</t>
  </si>
  <si>
    <t>3764 EARLY DAWN DR</t>
  </si>
  <si>
    <t>MCDANIEL, JONATHAN W et al</t>
  </si>
  <si>
    <t xml:space="preserve">3764 EARLY DAWN DR </t>
  </si>
  <si>
    <t xml:space="preserve">CALLAHAN , TIM </t>
  </si>
  <si>
    <t>FOOTHILL MEADOWS LT 41</t>
  </si>
  <si>
    <t>3732 EARLY DAWN DR</t>
  </si>
  <si>
    <t>FOOTHILL MEADOWS LT 39</t>
  </si>
  <si>
    <t>3716 EARLY DAWN DR</t>
  </si>
  <si>
    <t>FOOTHILL MEADOWS LT 38</t>
  </si>
  <si>
    <t>3700 EARLY DAWN DR</t>
  </si>
  <si>
    <t>FOOTHILL MEADOWS LT 37</t>
  </si>
  <si>
    <t>3686 EARLY DAWN DR</t>
  </si>
  <si>
    <t>FOOTHILL MEADOWS LT 36</t>
  </si>
  <si>
    <t>3672 EARLY DAWN DR</t>
  </si>
  <si>
    <t>FOOTHILL MEADOWS LT 35</t>
  </si>
  <si>
    <t>3658 EARLY DAWN DR</t>
  </si>
  <si>
    <t>FOOTHILL MEADOWS LT 34</t>
  </si>
  <si>
    <t>3644 EARLY DAWN DR</t>
  </si>
  <si>
    <t>FOOTHILL MEADOWS LT 33</t>
  </si>
  <si>
    <t>3630 EARLY DAWN DR</t>
  </si>
  <si>
    <t>FOOTHILL MEADOWS LT 32</t>
  </si>
  <si>
    <t>7295 EARLY DAWN CT</t>
  </si>
  <si>
    <t>FOOTHILL MEADOWS LT 31</t>
  </si>
  <si>
    <t>7281 EARLY DAWN CT</t>
  </si>
  <si>
    <t>FOOTHILL MEADOWS LT 30</t>
  </si>
  <si>
    <t>7267 EARLY DAWN CT</t>
  </si>
  <si>
    <t>FOOTHILL MEADOWS LT 29</t>
  </si>
  <si>
    <t>FOOTHILL MEADOWS LT 28</t>
  </si>
  <si>
    <t>7239 EARLY DAWN CT</t>
  </si>
  <si>
    <t>FOOTHILL MEADOWS LT 27</t>
  </si>
  <si>
    <t>7225 EARLY DAWN CT</t>
  </si>
  <si>
    <t>FOOTHILL MEADOWS LT 26</t>
  </si>
  <si>
    <t>7202 EARLY DAWN CT</t>
  </si>
  <si>
    <t>FOOTHILL MEADOWS LT 25</t>
  </si>
  <si>
    <t>7230 EARLY DAWN CT</t>
  </si>
  <si>
    <t>FOOTHILL MEADOWS LT 24</t>
  </si>
  <si>
    <t>7244 EARLY DAWN CT</t>
  </si>
  <si>
    <t>FOOTHILL MEADOWS LT 23</t>
  </si>
  <si>
    <t>7258 EARLY DAWN CT</t>
  </si>
  <si>
    <t>FOOTHILL MEADOWS LT 22</t>
  </si>
  <si>
    <t>7272 EARLY DAWN CT</t>
  </si>
  <si>
    <t>FOOTHILL MEADOWS LT 21</t>
  </si>
  <si>
    <t>7273 HILLSTONE RD</t>
  </si>
  <si>
    <t>FOOTHILL MEADOWS LT 20</t>
  </si>
  <si>
    <t>7259 HILLSTONE RD</t>
  </si>
  <si>
    <t>FOOTHILL MEADOWS LT 19</t>
  </si>
  <si>
    <t>7245 HILLSTONE RD</t>
  </si>
  <si>
    <t>FOOTHILL MEADOWS LT 18</t>
  </si>
  <si>
    <t>7231 HILLSTONE RD</t>
  </si>
  <si>
    <t>FOOTHILL MEADOWS LT 17</t>
  </si>
  <si>
    <t>7217 HILLSTONE RD</t>
  </si>
  <si>
    <t>FOOTHILL MEADOWS LT 16</t>
  </si>
  <si>
    <t>3685 SERENGHETTI DR</t>
  </si>
  <si>
    <t>FOOTHILL MEADOWS LT 15</t>
  </si>
  <si>
    <t>3697 SERENGHETTI DR</t>
  </si>
  <si>
    <t>FOOTHILL MEADOWS LT 14</t>
  </si>
  <si>
    <t>3709 SERENGHETTI DR</t>
  </si>
  <si>
    <t>FOOTHILL MEADOWS LT 13</t>
  </si>
  <si>
    <t>3721 SERENGHETTI DR</t>
  </si>
  <si>
    <t>FOOTHILL MEADOWS LT 12</t>
  </si>
  <si>
    <t>3733 SERENGHETTI DR</t>
  </si>
  <si>
    <t>FOOTHILL MEADOWS LT 11</t>
  </si>
  <si>
    <t>3745 SERENGHETTI DR</t>
  </si>
  <si>
    <t>FOOTHILL MEADOWS LT 10</t>
  </si>
  <si>
    <t>3759 SERENGHETTI DR</t>
  </si>
  <si>
    <t>FOOTHILL MEADOWS LT 9</t>
  </si>
  <si>
    <t>3775 SERENGHETTI DR</t>
  </si>
  <si>
    <t>FOOTHILL MEADOWS LT 8</t>
  </si>
  <si>
    <t>3789 SERENGHETTI DR</t>
  </si>
  <si>
    <t>FOOTHILL MEADOWS LT 7</t>
  </si>
  <si>
    <t>3805 SERENGHETTI DR</t>
  </si>
  <si>
    <t>FOOTHILL MEADOWS LT 6</t>
  </si>
  <si>
    <t>3819 SERENGHETTI DR</t>
  </si>
  <si>
    <t>FOOTHILL MEADOWS LT 5</t>
  </si>
  <si>
    <t>3833 SERENGHETTI DR</t>
  </si>
  <si>
    <t>FOOTHILL MEADOWS LT 4</t>
  </si>
  <si>
    <t>3847 SERENGHETTI DR</t>
  </si>
  <si>
    <t>FOOTHILL MEADOWS LT 3</t>
  </si>
  <si>
    <t>3861 SERENGHETTI DR</t>
  </si>
  <si>
    <t>FOOTHILL MEADOWS LT 2</t>
  </si>
  <si>
    <t>3875 SERENGHETTI DR</t>
  </si>
  <si>
    <t>FOOTHILL MEADOWS LT 1</t>
  </si>
  <si>
    <t>7230 SERENGHETTI CT</t>
  </si>
  <si>
    <t>FOOTHILL MEADOWS LT 54</t>
  </si>
  <si>
    <t>7240 SERENGHETTI CT</t>
  </si>
  <si>
    <t>FOOTHILL MEADOWS LT 55</t>
  </si>
  <si>
    <t>7250 SERENGHETTI CT</t>
  </si>
  <si>
    <t>FOOTHILL MEADOWS LT 56</t>
  </si>
  <si>
    <t>7260 SERENGHETTI CT</t>
  </si>
  <si>
    <t>FOOTHILL MEADOWS LT 57</t>
  </si>
  <si>
    <t>7251 SERENGHETTI CT</t>
  </si>
  <si>
    <t>FOOTHILL MEADOWS LT 58</t>
  </si>
  <si>
    <t>7241 SERENGHETTI CT</t>
  </si>
  <si>
    <t>FOOTHILL MEADOWS LT 59</t>
  </si>
  <si>
    <t>7231 SERENGHETTI CT</t>
  </si>
  <si>
    <t>FOOTHILL MEADOWS LT 60</t>
  </si>
  <si>
    <t>7230 TREELINE CT</t>
  </si>
  <si>
    <t>FOOTHILL MEADOWS LT 61</t>
  </si>
  <si>
    <t>7240 TREELINE CT</t>
  </si>
  <si>
    <t>FOOTHILL MEADOWS LT 62</t>
  </si>
  <si>
    <t>7250 TREELINE CT</t>
  </si>
  <si>
    <t>FOOTHILL MEADOWS LT 63</t>
  </si>
  <si>
    <t>7260 TREELINE CT</t>
  </si>
  <si>
    <t>FOOTHILL MEADOWS LT 64</t>
  </si>
  <si>
    <t>7251 TREELINE CT</t>
  </si>
  <si>
    <t>FOOTHILL MEADOWS LT 65</t>
  </si>
  <si>
    <t>7241 TREELINE CT</t>
  </si>
  <si>
    <t>FOOTHILL MEADOWS LT 66</t>
  </si>
  <si>
    <t>7231 TREELINE CT</t>
  </si>
  <si>
    <t>FOOTHILL MEADOWS LT 67</t>
  </si>
  <si>
    <t>3718 SERENGHETTI DR</t>
  </si>
  <si>
    <t>FOOTHILL MEADOWS LT 68</t>
  </si>
  <si>
    <t>3706 SERENGHETTI DR</t>
  </si>
  <si>
    <t>FOOTHILL MEADOWS LT 69</t>
  </si>
  <si>
    <t>7242 HILLSTONE RD</t>
  </si>
  <si>
    <t>FOOTHILL MEADOWS LT 70</t>
  </si>
  <si>
    <t>7256 HILLSTONE RD</t>
  </si>
  <si>
    <t>FOOTHILL MEADOWS LT 71</t>
  </si>
  <si>
    <t>3701 EARLY DAWN DR</t>
  </si>
  <si>
    <t>FOOTHILL MEADOWS LT 72</t>
  </si>
  <si>
    <t>3717 EARLY DAWN DR</t>
  </si>
  <si>
    <t>FOOTHILL MEADOWS LT 73</t>
  </si>
  <si>
    <t>3733 EARLY DAWN DR</t>
  </si>
  <si>
    <t>FOOTHILL MEADOWS LT 74</t>
  </si>
  <si>
    <t>6699 SPORTOLETTI DR</t>
  </si>
  <si>
    <t>MONPAS, MICHAEL P  et al</t>
  </si>
  <si>
    <t xml:space="preserve">ANDERSON, JAMES R &amp; KELLY K </t>
  </si>
  <si>
    <t>FOOTHILLS AT WINGFIELD VLG 13A LT 13-73</t>
  </si>
  <si>
    <t>6724 PANTHER CREEK DR</t>
  </si>
  <si>
    <t xml:space="preserve">BLAS, CARMELITA C &amp; RAYMOND V </t>
  </si>
  <si>
    <t>3124 STERLING RIDGE DR</t>
  </si>
  <si>
    <t>FOOTHILLS AT WINGFIELD VLG 13A LT 13-14</t>
  </si>
  <si>
    <t>3994 DOMINUS DR</t>
  </si>
  <si>
    <t>XU, ZAICHAO et al</t>
  </si>
  <si>
    <t>10651  APPLE MILL DR</t>
  </si>
  <si>
    <t>FOOTHILLS AT WINGFIELD VLG 13A LT 13-8</t>
  </si>
  <si>
    <t>3988 DOMINUS DR</t>
  </si>
  <si>
    <t xml:space="preserve">BEHLER, BRIAN J &amp; EDITH S  </t>
  </si>
  <si>
    <t>2741 ALBAZANO</t>
  </si>
  <si>
    <t xml:space="preserve">WALKER, SUSAN L </t>
  </si>
  <si>
    <t>FOOTHILLS AT WINGFIELD VLG 13A LT 13-7</t>
  </si>
  <si>
    <t>3982 DOMINUS DR</t>
  </si>
  <si>
    <t xml:space="preserve">BRANNON , SIOBHAN  </t>
  </si>
  <si>
    <t>TAMPIO, TIMOTHY J &amp; JANICE et al</t>
  </si>
  <si>
    <t>FOOTHILLS AT WINGFIELD VLG 13A LT 13-6</t>
  </si>
  <si>
    <t>6643 SPORTOLETTI DR</t>
  </si>
  <si>
    <t>ESTRADA, GABRIEL M et al</t>
  </si>
  <si>
    <t xml:space="preserve">ESTRADA, ALEX </t>
  </si>
  <si>
    <t>FOOTHILLS AT WINGFIELD VLG 13A LT 13-64</t>
  </si>
  <si>
    <t>6639 SPORTOLETTI DR</t>
  </si>
  <si>
    <t xml:space="preserve">VELEZ, FRANKLIN D &amp; JUDITH </t>
  </si>
  <si>
    <t xml:space="preserve">6639 SPORTOLETTI DR </t>
  </si>
  <si>
    <t xml:space="preserve">ROBINSON, JUDSON &amp; SPRING  </t>
  </si>
  <si>
    <t>FOOTHILLS AT WINGFIELD VLG 13A LT 13-63</t>
  </si>
  <si>
    <t>3909 ANTINORI DR</t>
  </si>
  <si>
    <t xml:space="preserve">SCANLAN, JIMMY &amp; LATONIA  </t>
  </si>
  <si>
    <t xml:space="preserve">3909 ANTINORI DR </t>
  </si>
  <si>
    <t xml:space="preserve">BISSETT, DENISE </t>
  </si>
  <si>
    <t>FOOTHILLS AT WINGFIELD VLG 13A LT 13-58</t>
  </si>
  <si>
    <t>3922 ANTINORI DR</t>
  </si>
  <si>
    <t xml:space="preserve">BROWNWELL, COLLEEN A </t>
  </si>
  <si>
    <t>2230 EMPIRE RD</t>
  </si>
  <si>
    <t xml:space="preserve">MATTICE, BENNETT L &amp; KAMARIA L </t>
  </si>
  <si>
    <t>FOOTHILLS AT WINGFIELD VLG 13A LT 13-94</t>
  </si>
  <si>
    <t>6625 S LATOUR</t>
  </si>
  <si>
    <t>GARCIA, CARITA R et al</t>
  </si>
  <si>
    <t>1160 SELMI DR # 402</t>
  </si>
  <si>
    <t>FOOTHILLS AT WINGFIELD VLG 13A LT 13-116</t>
  </si>
  <si>
    <t>6656 N LATOUR</t>
  </si>
  <si>
    <t xml:space="preserve">VAZQUEZ-DEPEREZ, MARTHA </t>
  </si>
  <si>
    <t xml:space="preserve">6656 N LATOUR </t>
  </si>
  <si>
    <t>FOOTHILLS AT WINGFIELD VLG 13A LT 13-112</t>
  </si>
  <si>
    <t>6602 PANTHER CREEK DR</t>
  </si>
  <si>
    <t xml:space="preserve">GROH, JEFFREY R &amp; KATIE B </t>
  </si>
  <si>
    <t xml:space="preserve">LUCAS, DONALD B JR </t>
  </si>
  <si>
    <t>FOOTHILLS AT WINGFIELD VLG 13A LT 13-126</t>
  </si>
  <si>
    <t>4024 ANTINORI DR</t>
  </si>
  <si>
    <t xml:space="preserve">WHITE, SHANNON </t>
  </si>
  <si>
    <t>FOOTHILLS AT WINGFIELD VLG 13A LT 13-120</t>
  </si>
  <si>
    <t>3952 ANTINORI DR</t>
  </si>
  <si>
    <t xml:space="preserve">NEWMAN, ERIC H  </t>
  </si>
  <si>
    <t xml:space="preserve">BARBOSA, BERTHA </t>
  </si>
  <si>
    <t>FOOTHILLS AT WINGFIELD VLG 13A LT 13-89</t>
  </si>
  <si>
    <t>4005 ANTINORI DR</t>
  </si>
  <si>
    <t>DOLL, VALERIE R et al</t>
  </si>
  <si>
    <t xml:space="preserve">MCHENRY, DONALD M </t>
  </si>
  <si>
    <t>FOOTHILLS AT WINGFIELD VLG 13A LT 13-39</t>
  </si>
  <si>
    <t>4021 ANTINORI DR</t>
  </si>
  <si>
    <t xml:space="preserve">ROSAS, VIVIAN R </t>
  </si>
  <si>
    <t>MULLEN, JOHN L JR et al</t>
  </si>
  <si>
    <t>FOOTHILLS AT WINGFIELD VLG 13A LT 13-35</t>
  </si>
  <si>
    <t>4029 ANTINORI DR</t>
  </si>
  <si>
    <t>MOORE, DONALD J et al</t>
  </si>
  <si>
    <t xml:space="preserve">4029 ANTINORI DR </t>
  </si>
  <si>
    <t>FOOTHILLS AT WINGFIELD VLG 13A LT 13-33</t>
  </si>
  <si>
    <t>4039 ANTINORI DR</t>
  </si>
  <si>
    <t xml:space="preserve">REYNOLDS, JONATHAN C </t>
  </si>
  <si>
    <t>FOOTHILLS AT WINGFIELD VLG 13A LT 13-31</t>
  </si>
  <si>
    <t>6636 PANTHER CREEK DR</t>
  </si>
  <si>
    <t>GUTIERREZ, PEDRO et al</t>
  </si>
  <si>
    <t xml:space="preserve">SMITH, NATHAN B &amp; MELISSA F </t>
  </si>
  <si>
    <t>FOOTHILLS AT WINGFIELD VLG 13A LT 13-28</t>
  </si>
  <si>
    <t>3809 ARTADI DR</t>
  </si>
  <si>
    <t>FOOTHILLS AT WINGFIELD VLG 13B LT 13-150</t>
  </si>
  <si>
    <t>3833 ARTADI DR</t>
  </si>
  <si>
    <t xml:space="preserve">TIN, SAN SAN  </t>
  </si>
  <si>
    <t xml:space="preserve">3833 ARTADI DR </t>
  </si>
  <si>
    <t xml:space="preserve">LIESKE-TIN FAMILY TRUST  </t>
  </si>
  <si>
    <t>FOOTHILLS AT WINGFIELD VLG 13B LT 13-155</t>
  </si>
  <si>
    <t>3843 ARTADI DR</t>
  </si>
  <si>
    <t xml:space="preserve">MCNALLY, DAVID  </t>
  </si>
  <si>
    <t>FOOTHILLS AT WINGFIELD VLG 13B LT 13-157</t>
  </si>
  <si>
    <t>6658 ALTESINO DR</t>
  </si>
  <si>
    <t xml:space="preserve">SIME, WILLIAM B </t>
  </si>
  <si>
    <t>275 NEIGHBORHOOD WAY UNIT 230</t>
  </si>
  <si>
    <t>FOOTHILLS AT WINGFIELD VLG 13B LT 13-167</t>
  </si>
  <si>
    <t>6674 ALTESINO DR</t>
  </si>
  <si>
    <t xml:space="preserve">SADDI, EMILY </t>
  </si>
  <si>
    <t>FOOTHILLS AT WINGFIELD VLG 13B LT 13-169</t>
  </si>
  <si>
    <t>3832 ARTADI DR</t>
  </si>
  <si>
    <t xml:space="preserve">XAYNOUVONG, VONGSONE </t>
  </si>
  <si>
    <t>FOOTHILLS AT WINGFIELD VLG 13B LT 13-192</t>
  </si>
  <si>
    <t>3857 DOMINUS DR</t>
  </si>
  <si>
    <t xml:space="preserve">SEELY, PAUL D &amp; ALLYSON B </t>
  </si>
  <si>
    <t xml:space="preserve">BELTEJAR , CINDY </t>
  </si>
  <si>
    <t>FOOTHILLS AT WINGFIELD VLG 13B LT 13-186</t>
  </si>
  <si>
    <t>6731 S GAJA</t>
  </si>
  <si>
    <t xml:space="preserve">HUGHES, MATHIAS M </t>
  </si>
  <si>
    <t>6731 S GAJA LOOP</t>
  </si>
  <si>
    <t>FOOTHILLS AT WINGFIELD VLG 13B LT 13-210</t>
  </si>
  <si>
    <t xml:space="preserve">KIMBALL, KRISTEL E </t>
  </si>
  <si>
    <t>6687 ALTESINO DR</t>
  </si>
  <si>
    <t>MILLER, DONALD A &amp; BRENDA F  et al</t>
  </si>
  <si>
    <t xml:space="preserve">6687 ALTESINO DR </t>
  </si>
  <si>
    <t>FOOTHILLS AT WINGFIELD VLG 13B LT 13-202</t>
  </si>
  <si>
    <t>6675 ALTESINO DR</t>
  </si>
  <si>
    <t xml:space="preserve">HOLTZ, MEGAN E  </t>
  </si>
  <si>
    <t>6675 ALTESINO</t>
  </si>
  <si>
    <t>FOOTHILLS AT WINGFIELD VLG 13B LT 13-200</t>
  </si>
  <si>
    <t>6700 ALTESINO DR</t>
  </si>
  <si>
    <t xml:space="preserve">DELA CRUZ, ROBYN A  </t>
  </si>
  <si>
    <t xml:space="preserve">6700 ALTESSINO DR </t>
  </si>
  <si>
    <t>FOOTHILLS AT WINGFIELD VLG 13B LT 13-170</t>
  </si>
  <si>
    <t>6708 ALTESINO DR</t>
  </si>
  <si>
    <t xml:space="preserve">TORRES, JUANA G </t>
  </si>
  <si>
    <t>FOOTHILLS AT WINGFIELD VLG 13B LT 13-172</t>
  </si>
  <si>
    <t>6712 ALTESINO DR</t>
  </si>
  <si>
    <t xml:space="preserve">LAWSON, E DEAN &amp; KAYE M </t>
  </si>
  <si>
    <t>PO BOX 1461</t>
  </si>
  <si>
    <t>99672</t>
  </si>
  <si>
    <t xml:space="preserve">DELEON, JODIE S &amp; CHIQUITA M </t>
  </si>
  <si>
    <t>FOOTHILLS AT WINGFIELD VLG 13B LT 13-173</t>
  </si>
  <si>
    <t>3922 DOMINUS DR</t>
  </si>
  <si>
    <t xml:space="preserve">CASTRO, MARTHA A &amp; FLORENTINO I </t>
  </si>
  <si>
    <t>FOOTHILLS AT WINGFIELD VLG 13B LT 13-130</t>
  </si>
  <si>
    <t>3864 DOMINUS DR</t>
  </si>
  <si>
    <t xml:space="preserve">GOMES, ANDREW T III </t>
  </si>
  <si>
    <t xml:space="preserve">3864 DOMINUS DR </t>
  </si>
  <si>
    <t xml:space="preserve">LINGAD, RAYMOND </t>
  </si>
  <si>
    <t>FOOTHILLS AT WINGFIELD VLG 13B LT 13-140</t>
  </si>
  <si>
    <t>3824 DOMINUS DR</t>
  </si>
  <si>
    <t>IGLESIAS-MOLINA, CAMILLE J  et al</t>
  </si>
  <si>
    <t>MOLINA ALVARO I</t>
  </si>
  <si>
    <t xml:space="preserve">IAVARONE, JENNIFER </t>
  </si>
  <si>
    <t>FOOTHILLS AT WINGFIELD VLG 13B LT 13-148</t>
  </si>
  <si>
    <t>3756 ALLEGRINI DR</t>
  </si>
  <si>
    <t xml:space="preserve">BAILEY, MONICA </t>
  </si>
  <si>
    <t xml:space="preserve">RIGGS, JOSHUA A &amp; LESLIE B </t>
  </si>
  <si>
    <t>FOOTHILLS AT WINGFIELD VLG 15B LT 15-165</t>
  </si>
  <si>
    <t>3687 BANFI CT</t>
  </si>
  <si>
    <t xml:space="preserve">MILLER, WILLIAM W  </t>
  </si>
  <si>
    <t xml:space="preserve">3687 BANFI CT </t>
  </si>
  <si>
    <t>FOOTHILLS AT WINGFIELD VLG 15B LT 15-117</t>
  </si>
  <si>
    <t>3707 ALLEGRINI DR</t>
  </si>
  <si>
    <t xml:space="preserve">KEPPNER, BRANDON W &amp; SHALICE K </t>
  </si>
  <si>
    <t xml:space="preserve">VON ESCHEN, KURT &amp; MARY </t>
  </si>
  <si>
    <t>FOOTHILLS AT WINGFIELD VLG 15B LT 15-97</t>
  </si>
  <si>
    <t>3747 ALLEGRINI DR</t>
  </si>
  <si>
    <t xml:space="preserve">MILLER, JAMES L &amp; VICTORIA M  </t>
  </si>
  <si>
    <t xml:space="preserve">3747 ALLEGRINI DR </t>
  </si>
  <si>
    <t>FOOTHILLS AT WINGFIELD VLG 15B LT 15-93</t>
  </si>
  <si>
    <t>6969 JERMANN CT</t>
  </si>
  <si>
    <t xml:space="preserve">HANSEN, CHRISTOPHER </t>
  </si>
  <si>
    <t xml:space="preserve">6969 JERMANN CT </t>
  </si>
  <si>
    <t xml:space="preserve">SHERMAN, WILLIAM R &amp; SHERYL L </t>
  </si>
  <si>
    <t>FOOTHILLS AT WINGFIELD VLG 15B LT 15-130</t>
  </si>
  <si>
    <t>3656 CAYMUS DR</t>
  </si>
  <si>
    <t xml:space="preserve">COLLAZO, DAVID F &amp; TANYA S  </t>
  </si>
  <si>
    <t xml:space="preserve">3656 CAYMUS DR </t>
  </si>
  <si>
    <t xml:space="preserve">KERFELD, DAVID J </t>
  </si>
  <si>
    <t>FOOTHILLS AT WINGFIELD VLG 15B LT 15-122</t>
  </si>
  <si>
    <t>6900 APUS DR</t>
  </si>
  <si>
    <t xml:space="preserve">SIDLEY, KEVIN M &amp; HONG Y W </t>
  </si>
  <si>
    <t xml:space="preserve">DAWSON, CODY S </t>
  </si>
  <si>
    <t>FOOTHILLS AT WINGFIELD VLG 14A LT 14-65</t>
  </si>
  <si>
    <t>3766 LEPUS DR</t>
  </si>
  <si>
    <t xml:space="preserve">RICE, JESSICA L </t>
  </si>
  <si>
    <t xml:space="preserve">KUIPER, DAMIAN G &amp; STEPHANIE M </t>
  </si>
  <si>
    <t>FOOTHILLS AT WINGFIELD VLG 14A LT 14-72</t>
  </si>
  <si>
    <t>3686 LEPUS DR</t>
  </si>
  <si>
    <t xml:space="preserve">GARNER, STEVEN D </t>
  </si>
  <si>
    <t xml:space="preserve">HARRIS, JERALD M </t>
  </si>
  <si>
    <t>FOOTHILLS AT WINGFIELD VLG 14A LT 14-80</t>
  </si>
  <si>
    <t>3727 LEPUS DR</t>
  </si>
  <si>
    <t>JAYME, HA PAULINE et al</t>
  </si>
  <si>
    <t>FOOTHILLS AT WINGFIELD VLG 14A LT 14-9</t>
  </si>
  <si>
    <t>4101 BOREALIS DR</t>
  </si>
  <si>
    <t xml:space="preserve">RIES, ARTHUR K &amp; JUDY  </t>
  </si>
  <si>
    <t xml:space="preserve">4101 BOREALIS DR </t>
  </si>
  <si>
    <t xml:space="preserve">CONTRERAS, MAYOLO &amp; LETICIA </t>
  </si>
  <si>
    <t>FOOTHILLS AT WINGFIELD VLG 8A LT 8-52</t>
  </si>
  <si>
    <t>FOOTHILLS AT WINGFIELD VLG 8A LT 8-50</t>
  </si>
  <si>
    <t>7176 TRUTH DR</t>
  </si>
  <si>
    <t xml:space="preserve">BAGLIETTO, JASON E </t>
  </si>
  <si>
    <t>FOOTHILLS AT WINGFIELD VLG 8A LT 8-39</t>
  </si>
  <si>
    <t>7234 BOREALIS CT</t>
  </si>
  <si>
    <t xml:space="preserve">REDDIG, JOSHUA S &amp; STEPHANIE E  </t>
  </si>
  <si>
    <t xml:space="preserve">7234 BOREALIS CT </t>
  </si>
  <si>
    <t xml:space="preserve">LENZORA, TED M &amp; CASEY C </t>
  </si>
  <si>
    <t>FOOTHILLS AT WINGFIELD VLG 8A LT 8-34</t>
  </si>
  <si>
    <t>7140 DRACO CT</t>
  </si>
  <si>
    <t xml:space="preserve">FERRARI, NANCY </t>
  </si>
  <si>
    <t xml:space="preserve">7140 DRACO CT </t>
  </si>
  <si>
    <t>FOOTHILLS AT WINGFIELD VLG 8A LT 8-21</t>
  </si>
  <si>
    <t>7150 DRACO CT</t>
  </si>
  <si>
    <t xml:space="preserve">CHEN, ESTELLA H </t>
  </si>
  <si>
    <t xml:space="preserve">CLARK, JERRY W JR </t>
  </si>
  <si>
    <t>FOOTHILLS AT WINGFIELD VLG 8A LT 8-20</t>
  </si>
  <si>
    <t>7157 DRACO CT</t>
  </si>
  <si>
    <t xml:space="preserve">MCDOWELL, JASON T &amp; CANDACE R  </t>
  </si>
  <si>
    <t xml:space="preserve">7157 DRACO CT </t>
  </si>
  <si>
    <t xml:space="preserve">PEREZ, ROSA &amp; LUIS </t>
  </si>
  <si>
    <t>FOOTHILLS AT WINGFIELD VLG 8A LT 8-12</t>
  </si>
  <si>
    <t>7149 DRACO CT</t>
  </si>
  <si>
    <t xml:space="preserve">MATHEWS, TRUMAN J &amp; EMILY K </t>
  </si>
  <si>
    <t xml:space="preserve">ECHEVARRIA, CLINTON D &amp; REBECCA J </t>
  </si>
  <si>
    <t>FOOTHILLS AT WINGFIELD VLG 8A LT 8-11</t>
  </si>
  <si>
    <t>4333 GLOBE CT</t>
  </si>
  <si>
    <t>FIDDLE STIX LLC LLC</t>
  </si>
  <si>
    <t>FOOTHILLS AT WINGFIELD VLG 7A LT 7-7</t>
  </si>
  <si>
    <t>6679 FABRIC DR</t>
  </si>
  <si>
    <t xml:space="preserve">HARPER, ROBERT J &amp; JAIME A  </t>
  </si>
  <si>
    <t xml:space="preserve">SIDERUS, ANDREW M &amp; JANELE M </t>
  </si>
  <si>
    <t>FOOTHILLS AT WINGFIELD VLG 7A LT 7-38</t>
  </si>
  <si>
    <t>6530 BLACK HILLS CT</t>
  </si>
  <si>
    <t xml:space="preserve">FITE FAMILY TRUST  </t>
  </si>
  <si>
    <t xml:space="preserve">FITE, DANIEL B &amp; LORENE M </t>
  </si>
  <si>
    <t>FOOTHILLS AT WINGFIELD VLG 5 LT 5-13</t>
  </si>
  <si>
    <t>6540 BLACK HILLS CT</t>
  </si>
  <si>
    <t xml:space="preserve">SHIELDS, RAY D  </t>
  </si>
  <si>
    <t>FOOTHILLS AT WINGFIELD VLG 5 LT 5-12</t>
  </si>
  <si>
    <t>6576 BLACK HILLS CT</t>
  </si>
  <si>
    <t xml:space="preserve">SERAPIGLIA, PIETRO &amp; OLIVIA E </t>
  </si>
  <si>
    <t>FOOTHILLS AT WINGFIELD VLG 5 LT 5-9</t>
  </si>
  <si>
    <t>6588 BLACK HILLS CT</t>
  </si>
  <si>
    <t xml:space="preserve">BITNER, BRIAN K &amp; RODA F </t>
  </si>
  <si>
    <t>FOOTHILLS AT WINGFIELD VLG 5 LT 5-8</t>
  </si>
  <si>
    <t>6519 BLACK HILLS CT</t>
  </si>
  <si>
    <t xml:space="preserve">ZAHNISER, GARY </t>
  </si>
  <si>
    <t>FOOTHILLS AT WINGFIELD VLG 5 LT 5-2</t>
  </si>
  <si>
    <t>6505 BLACK HILLS CT</t>
  </si>
  <si>
    <t>RS 4707</t>
  </si>
  <si>
    <t xml:space="preserve">SEIDLER, WILLIAM H &amp; CAROLYN W </t>
  </si>
  <si>
    <t>526-352-22</t>
  </si>
  <si>
    <t>RS 4707 LT 5-1A</t>
  </si>
  <si>
    <t>6589 BLACK HILLS CT</t>
  </si>
  <si>
    <t>RS 4736</t>
  </si>
  <si>
    <t xml:space="preserve">GELB, JERALD &amp; PHYLLIS L  </t>
  </si>
  <si>
    <t>FOOTHILLS AT WINGFIELD VLG 5 LT 5-6A RS 4736 LT 5-</t>
  </si>
  <si>
    <t>4111 BLACK HILLS DR</t>
  </si>
  <si>
    <t xml:space="preserve">CRANDALL, STEVEN L &amp; DARCIE H </t>
  </si>
  <si>
    <t xml:space="preserve">FRED, TERRANCE A &amp; RITA R </t>
  </si>
  <si>
    <t>FOOTHILLS AT WINGFIELD VLG 5 LT 5-82</t>
  </si>
  <si>
    <t>4151 BLACK HILLS DR</t>
  </si>
  <si>
    <t xml:space="preserve">MEHFOOZ, TOQEER </t>
  </si>
  <si>
    <t>FOOTHILLS AT WINGFIELD VLG 5 LT 5-78</t>
  </si>
  <si>
    <t>4209 BLACK HILLS DR</t>
  </si>
  <si>
    <t>LAMON, ADRIEN X et al</t>
  </si>
  <si>
    <t>FOOTHILLS @ WINGFIELD VLG 5 LT 5-72</t>
  </si>
  <si>
    <t>6532 VOYAGE DR</t>
  </si>
  <si>
    <t xml:space="preserve">STENHOUSE FAMILY 1989 TRUST  </t>
  </si>
  <si>
    <t xml:space="preserve">STENHOUSE, RAYMOND </t>
  </si>
  <si>
    <t>FOOTHILLS AT WINGFIELD VLG 5 LT 5-90</t>
  </si>
  <si>
    <t>6538 VOYAGE DR</t>
  </si>
  <si>
    <t xml:space="preserve">ORTIZ, R TYLER &amp; NAOMI L </t>
  </si>
  <si>
    <t>FOOTHILLS AT WINGFIELD VLG 5 LT 5-91</t>
  </si>
  <si>
    <t>6544 VOYAGE DR</t>
  </si>
  <si>
    <t xml:space="preserve">RODGERS, ROY &amp; JEANETTE  </t>
  </si>
  <si>
    <t>FOOTHILLS AT WINGFIELD VLG 5 LT 5-92</t>
  </si>
  <si>
    <t>6550 VOYAGE DR</t>
  </si>
  <si>
    <t xml:space="preserve">SIQUEIRA, DANILO </t>
  </si>
  <si>
    <t>FOOTHILLS AT WINGFIELD VLG 5 LT 5-93</t>
  </si>
  <si>
    <t>6455 MARISSA ANNE CT</t>
  </si>
  <si>
    <t xml:space="preserve">GLANDER, IAN L </t>
  </si>
  <si>
    <t xml:space="preserve">PEREZ, ROBERT &amp; DEBRA </t>
  </si>
  <si>
    <t>FOOTHILLS AT WINGFIELD VLG 5 LT 5-118</t>
  </si>
  <si>
    <t>4312 JACOB PATRICK CT</t>
  </si>
  <si>
    <t xml:space="preserve">DICKSON , WILLIAM A &amp; KIM M  </t>
  </si>
  <si>
    <t>FOOTHILLS AT WINGFIELD VLG 5 LT 5-131</t>
  </si>
  <si>
    <t>7211 WINDSWEPT LOOP</t>
  </si>
  <si>
    <t xml:space="preserve">CAMINO, JOAN B </t>
  </si>
  <si>
    <t>FOOTHILLS AT WINGFIELD VLG 9 LT 9-3</t>
  </si>
  <si>
    <t>7205 WINDSWEPT LOOP</t>
  </si>
  <si>
    <t>KELLY, SUSAN L et al</t>
  </si>
  <si>
    <t>10 REFUGIO BEACH RD</t>
  </si>
  <si>
    <t>GOLETA</t>
  </si>
  <si>
    <t>FOOTHILLS AT WINGFIELD VLG 9 LT 9-2</t>
  </si>
  <si>
    <t>7201 WINDSWEPT LOOP</t>
  </si>
  <si>
    <t xml:space="preserve">OCKUNZZI, JOAN </t>
  </si>
  <si>
    <t>FOOTHILLS AT WINGFIELD VLG 9 LT 9-1</t>
  </si>
  <si>
    <t>7445 WINDSWEPT LOOP</t>
  </si>
  <si>
    <t>DELGADO, SHERRI ANN et al</t>
  </si>
  <si>
    <t>FOOTHILLS AT WINGFIELD VLG 9 LT 9-50</t>
  </si>
  <si>
    <t>7441 WINDSWEPT LOOP</t>
  </si>
  <si>
    <t xml:space="preserve">HAMLIN, CHRIS &amp; REBECCA </t>
  </si>
  <si>
    <t>FOOTHILLS AT WINGFIELD VLG 9 LT 9-49</t>
  </si>
  <si>
    <t>7435 WINDSWEPT LOOP</t>
  </si>
  <si>
    <t xml:space="preserve">JEFFERSON, TERENCE </t>
  </si>
  <si>
    <t>FOOTHILLS AT WINGFIELD VLG 9 LT 9-48</t>
  </si>
  <si>
    <t>7431 WINDSWEPT LOOP</t>
  </si>
  <si>
    <t>FOOTHILLS AT WINGFIELD VLG 9 LT 9-47</t>
  </si>
  <si>
    <t>7425 WINDSWEPT LOOP</t>
  </si>
  <si>
    <t xml:space="preserve">SUMNER, RICHARD &amp; YVONNE </t>
  </si>
  <si>
    <t>FOOTHILLS AT WINGFIELD VLG 9 LT 9-46</t>
  </si>
  <si>
    <t>7421 WINDSWEPT LOOP</t>
  </si>
  <si>
    <t xml:space="preserve">BARRERA, RAQUEL  </t>
  </si>
  <si>
    <t>FOOTHILLS AT WINGFIELD VLG 9 LT 9-45</t>
  </si>
  <si>
    <t>7415 WINDSWEPT LOOP</t>
  </si>
  <si>
    <t xml:space="preserve">STEPTOE, LEVI JR </t>
  </si>
  <si>
    <t>FOOTHILLS AT WINGFIELD VLG 9 LT 9-44</t>
  </si>
  <si>
    <t>7411 WINDSWEPT LOOP</t>
  </si>
  <si>
    <t xml:space="preserve">REEVES, ROY D &amp; PENNY A  </t>
  </si>
  <si>
    <t>FOOTHILLS AT WINGFIELD VLG 9 LT 9-43</t>
  </si>
  <si>
    <t>7405 WINDSWEPT LOOP</t>
  </si>
  <si>
    <t xml:space="preserve">HOYT, JASON &amp; SHELLY </t>
  </si>
  <si>
    <t>7405 WINDSWEPT LOOP ST</t>
  </si>
  <si>
    <t>FOOTHILLS AT WINGFIELD VLG 9 LT 9-42</t>
  </si>
  <si>
    <t>7401 WINDSWEPT LOOP</t>
  </si>
  <si>
    <t xml:space="preserve">LEACH , KENNETH R  </t>
  </si>
  <si>
    <t xml:space="preserve">7401 WINDSWEPT LOOP ST </t>
  </si>
  <si>
    <t>FOOTHILLS AT WINGFIELD VLG 9 LT 9-41</t>
  </si>
  <si>
    <t>7395 WINDSWEPT LOOP</t>
  </si>
  <si>
    <t xml:space="preserve">GUTIERREZ, J CARMEN &amp; MARIA R </t>
  </si>
  <si>
    <t>FOOTHILLS AT WINGFIELD VLG 9 LT 9-40</t>
  </si>
  <si>
    <t>3990 REDWOOD BURL LN</t>
  </si>
  <si>
    <t xml:space="preserve">BERRY, KRYSTLE M </t>
  </si>
  <si>
    <t>FOOTHILLS AT WINGFIELD VLG 9 LT 9-105</t>
  </si>
  <si>
    <t>7406 WINDSWEPT LOOP</t>
  </si>
  <si>
    <t xml:space="preserve">SHIPLEY, BERTHA H  </t>
  </si>
  <si>
    <t>FOOTHILLS AT WINGFIELD VLG 9 LT 9-93</t>
  </si>
  <si>
    <t>7412 WINDSWEPT LOOP</t>
  </si>
  <si>
    <t xml:space="preserve">COSSIO, PHILLIP A </t>
  </si>
  <si>
    <t>FOOTHILLS AT WINGFIELD VLG 9 LT 9-92</t>
  </si>
  <si>
    <t>7422 WINDSWEPT LOOP</t>
  </si>
  <si>
    <t xml:space="preserve">LESSIG, PAULS &amp; ARLETTE K </t>
  </si>
  <si>
    <t>FOOTHILLS AT WINGFIELD VLG 9 LT 9-90</t>
  </si>
  <si>
    <t>7215 FOX WOOD LN</t>
  </si>
  <si>
    <t>EIZMAN, ALAN M et al</t>
  </si>
  <si>
    <t>HERNANDEZ, OSCAR F et al</t>
  </si>
  <si>
    <t>FOOTHILLS AT WINGFIELD VLG 9 LT 9-81</t>
  </si>
  <si>
    <t>7199 FOX WOOD LN</t>
  </si>
  <si>
    <t xml:space="preserve">WILDING, RYAN J &amp; RACHEL B </t>
  </si>
  <si>
    <t>FOOTHILLS AT WINGFIELD VLG 9 LT 9-83</t>
  </si>
  <si>
    <t>7191 FOX WOOD LN</t>
  </si>
  <si>
    <t xml:space="preserve">CHONG GRANTOR TRUST, MAY  </t>
  </si>
  <si>
    <t>4115 BOREALIS DR</t>
  </si>
  <si>
    <t>FOOTHILLS AT WINGFIELD VLG 9 LT 9-84</t>
  </si>
  <si>
    <t>7183 FOX WOOD LN</t>
  </si>
  <si>
    <t>FOOTHILLS AT WINGFIELD VLG 9 LT 9-85</t>
  </si>
  <si>
    <t>7167 FOX WOOD LN</t>
  </si>
  <si>
    <t>GREEN, MATTHEW et al</t>
  </si>
  <si>
    <t>FOOTHILLS AT WINGFIELD VLG 9 LT 9-87</t>
  </si>
  <si>
    <t>7159 FOX WOOD LN</t>
  </si>
  <si>
    <t xml:space="preserve">SAVAGE, KATHERINE F </t>
  </si>
  <si>
    <t>FOOTHILLS AT WINGFIELD VLG 9 LT 9-88</t>
  </si>
  <si>
    <t>7151 FOX WOOD LN</t>
  </si>
  <si>
    <t xml:space="preserve">ROLLINS, PAUL A &amp; JAMIE M  </t>
  </si>
  <si>
    <t xml:space="preserve">7151 FOX WOOD LN </t>
  </si>
  <si>
    <t>FOOTHILLS AT WINGFIELD VLG 9 LT 9-89</t>
  </si>
  <si>
    <t>PMB 346</t>
  </si>
  <si>
    <t>748 S MEADOWS PKWY STE A9</t>
  </si>
  <si>
    <t>GREAT BASIN LAND INVEST LLC LLC</t>
  </si>
  <si>
    <t>6923 VOYAGE DR</t>
  </si>
  <si>
    <t xml:space="preserve">WILSON , JAMES E JR &amp; PEARL  </t>
  </si>
  <si>
    <t xml:space="preserve">6923 VOYAGE DR </t>
  </si>
  <si>
    <t>FOOTHILLS AT WINGFIELD VLG 7C LT 7-121</t>
  </si>
  <si>
    <t>4139 MATTER DR</t>
  </si>
  <si>
    <t xml:space="preserve">ELWOOD, BRANDON M </t>
  </si>
  <si>
    <t xml:space="preserve">CISNEROS, FERNANDO A &amp; NANCY M </t>
  </si>
  <si>
    <t>FOOTHILLS @ WINGFIELD VLG 8B LT 8-142</t>
  </si>
  <si>
    <t>4175 MATTER DR</t>
  </si>
  <si>
    <t xml:space="preserve">WOOD, GREGORY &amp; JANICE L </t>
  </si>
  <si>
    <t xml:space="preserve">WOOD, GREGORY </t>
  </si>
  <si>
    <t>FOOTHILLS @ WINGFIELD VLG 8B LT 8-138</t>
  </si>
  <si>
    <t>6949 PARTICLES CT</t>
  </si>
  <si>
    <t>FOOTHILLS @ WINGFIELD VLG 8B LT 8-99</t>
  </si>
  <si>
    <t>6977 EXPERIMENT CT</t>
  </si>
  <si>
    <t xml:space="preserve">COTTER, MICHAEL D </t>
  </si>
  <si>
    <t xml:space="preserve">SCHUHMACHER, MICHAEL &amp; KASIA </t>
  </si>
  <si>
    <t>FOOTHILLS @ WINGFIELD VLG 8B LT 8-87</t>
  </si>
  <si>
    <t>4108 AUSTRINA DR</t>
  </si>
  <si>
    <t xml:space="preserve">SENKO, ALEX R &amp; ASHLIE </t>
  </si>
  <si>
    <t xml:space="preserve">FOOTHILLS VILLAGE OWNER LLC </t>
  </si>
  <si>
    <t>FOOTHILLS @ WINGFIELD VLG 8B LT 8-77</t>
  </si>
  <si>
    <t>7026 PILOT DR</t>
  </si>
  <si>
    <t>BRADESON, MICHAEL E et al</t>
  </si>
  <si>
    <t>HARROLD APRIL C</t>
  </si>
  <si>
    <t>FOOTHILLS AT WINGFIELD VLG 10  LT 10-51</t>
  </si>
  <si>
    <t>7036 PILOT DR</t>
  </si>
  <si>
    <t>BRUCE E &amp; MARGARET F HERALD TRUSTEE</t>
  </si>
  <si>
    <t xml:space="preserve">7036 PILOT DR </t>
  </si>
  <si>
    <t xml:space="preserve">MORRISON HOMES OF NEVADA LLC </t>
  </si>
  <si>
    <t>FOOTHILLS AT WINGFIELD VLG 10  LT 10-52</t>
  </si>
  <si>
    <t>7056 PILOT DR</t>
  </si>
  <si>
    <t xml:space="preserve">PAGNI, NICHOLAS A &amp; CARLYE M  </t>
  </si>
  <si>
    <t xml:space="preserve">7056 PILOT DR </t>
  </si>
  <si>
    <t>FOOTHILLS AT WINGFIELD VLG 10  LT 10-54</t>
  </si>
  <si>
    <t>7066 PILOT DR</t>
  </si>
  <si>
    <t xml:space="preserve">ELLIS, SANDRA &amp; KYLE </t>
  </si>
  <si>
    <t>FOOTHILLS AT WINGFIELD VLG 10  LT 10-55</t>
  </si>
  <si>
    <t>7161 PILOT DR</t>
  </si>
  <si>
    <t xml:space="preserve">ANDERSON REVOCABLE TRUST, KENNETH S &amp; GLORIA E  </t>
  </si>
  <si>
    <t>FOOTHILLS AT WINGFIELD VLG 10  LT 10-44</t>
  </si>
  <si>
    <t>7121 PILOT DR</t>
  </si>
  <si>
    <t xml:space="preserve">BONNEE, RICHARD M &amp; YVONNE L  </t>
  </si>
  <si>
    <t>FOOTHILLS AT WINGFIELD VLG 10  LT 10-46</t>
  </si>
  <si>
    <t>7101 PILOT DR</t>
  </si>
  <si>
    <t>BURLESON, RALPH O et al</t>
  </si>
  <si>
    <t xml:space="preserve">BURLESON, RALPH O </t>
  </si>
  <si>
    <t>FOOTHILLS AT WINGFIELD VLG 10  LT 10-47</t>
  </si>
  <si>
    <t>7091 PILOT DR</t>
  </si>
  <si>
    <t xml:space="preserve">LEE, STEPHEN W &amp; GRACE Y </t>
  </si>
  <si>
    <t>FOOTHILLS AT WINGFIELD VLG 10  LT 10-48</t>
  </si>
  <si>
    <t>7077 PILOT DR</t>
  </si>
  <si>
    <t xml:space="preserve">STARK , JUDD J &amp; TERESA M  </t>
  </si>
  <si>
    <t>PO BOX 785</t>
  </si>
  <si>
    <t xml:space="preserve">FELTON </t>
  </si>
  <si>
    <t>FOOTHILLS AT WINGFIELD VLG 10  LT 10-49</t>
  </si>
  <si>
    <t>7076 PILOT DR</t>
  </si>
  <si>
    <t xml:space="preserve">THOMPSON, GEORGE G &amp; ROBIN L  </t>
  </si>
  <si>
    <t xml:space="preserve">7076 PILOT DR </t>
  </si>
  <si>
    <t>FOOTHILLS AT WINGFIELD VLG 10  LT 10-56</t>
  </si>
  <si>
    <t>7124 THREE BARS CT</t>
  </si>
  <si>
    <t xml:space="preserve">PETERSON , DOROTHY  J  </t>
  </si>
  <si>
    <t xml:space="preserve">7124 THREE BARS CT </t>
  </si>
  <si>
    <t>FOOTHILLS AT WINGFIELD VLG 10  LT 10-58</t>
  </si>
  <si>
    <t>7132 THREE BARS CT</t>
  </si>
  <si>
    <t xml:space="preserve">LEAK, KENNETH E &amp; LINDA J </t>
  </si>
  <si>
    <t>FOOTHILLS AT WINGFIELD VLG 10  LT 10-59</t>
  </si>
  <si>
    <t>7123 VOYAGE DR</t>
  </si>
  <si>
    <t xml:space="preserve">SASS LIVING TRUST  </t>
  </si>
  <si>
    <t>FOOTHILLS AT WINGFIELD VLG 10  LT 10-72</t>
  </si>
  <si>
    <t>4386 DESCENT DR</t>
  </si>
  <si>
    <t xml:space="preserve">TUTOR FAMILY 1995 TRUST  </t>
  </si>
  <si>
    <t xml:space="preserve">4386 DESCENT DR </t>
  </si>
  <si>
    <t>FOOTHILLS AT WINGFIELD VLG 10  LT 10-28</t>
  </si>
  <si>
    <t>7202 PILOT CT</t>
  </si>
  <si>
    <t xml:space="preserve">HAGENBUCH, KARL L </t>
  </si>
  <si>
    <t>FOOTHILLS AT WINGFIELD VLG 10  LT 10-30</t>
  </si>
  <si>
    <t xml:space="preserve">7065 SACRED CIR </t>
  </si>
  <si>
    <t xml:space="preserve">EDLUND, JAMES H </t>
  </si>
  <si>
    <t>7065 SACRED CIR</t>
  </si>
  <si>
    <t>FOOTHILLS AT WINGFIELD VLG 12 LT 16</t>
  </si>
  <si>
    <t xml:space="preserve">7061 SACRED CIR </t>
  </si>
  <si>
    <t xml:space="preserve">CRUZ, LUIS A &amp; DANNA L </t>
  </si>
  <si>
    <t>7061 SACRED CIR</t>
  </si>
  <si>
    <t>FOOTHILLS AT WINGFIELD VLG 12 LT 18</t>
  </si>
  <si>
    <t xml:space="preserve">7053 SACRED CIR </t>
  </si>
  <si>
    <t xml:space="preserve">THRONGKUMPOL-GARCIA, TATCHAMARIN </t>
  </si>
  <si>
    <t>7053 SACRED CIR</t>
  </si>
  <si>
    <t xml:space="preserve">GARCIA, CARLOS M </t>
  </si>
  <si>
    <t>FOOTHILLS AT WINGFIELD VLG 12 LT 22</t>
  </si>
  <si>
    <t xml:space="preserve">7051 SACRED CIR </t>
  </si>
  <si>
    <t xml:space="preserve">DAGGETT, THOMAS R &amp; DENISE E  </t>
  </si>
  <si>
    <t>2288 TREVOR WAY</t>
  </si>
  <si>
    <t>FOOTHILLS AT WINGFIELD VLG 12 LT 23</t>
  </si>
  <si>
    <t xml:space="preserve">7057 SACRED CIR </t>
  </si>
  <si>
    <t>RS 4831</t>
  </si>
  <si>
    <t xml:space="preserve">MCALISTER, DELORES &amp; JERRY </t>
  </si>
  <si>
    <t>3550 ST ANDREWS DR</t>
  </si>
  <si>
    <t>FOOTHILLS AT WINGFIELD VLG 12 LT 20A RS 4831</t>
  </si>
  <si>
    <t xml:space="preserve">7055 SACRED CIR </t>
  </si>
  <si>
    <t xml:space="preserve">MAZARIEGO, RAUL O &amp; BLANCA </t>
  </si>
  <si>
    <t>7055 SACRED CIR</t>
  </si>
  <si>
    <t>FOOTHILLS AT WINGFIELD VLG 12 LT 21A RS 4831</t>
  </si>
  <si>
    <t xml:space="preserve">7036 SACRED CIR </t>
  </si>
  <si>
    <t xml:space="preserve">ALVARADO, JUAN A &amp; JOANNE T </t>
  </si>
  <si>
    <t>7036 SACRED CIR</t>
  </si>
  <si>
    <t>FOOTHILLS AT WINGFIELD VLG 12 LT 122</t>
  </si>
  <si>
    <t xml:space="preserve">7038 SACRED CIR </t>
  </si>
  <si>
    <t>BROWN, MICHEAL C  et al</t>
  </si>
  <si>
    <t>FOOTHILLS AT WINGFIELD VLG 12 LT 121</t>
  </si>
  <si>
    <t xml:space="preserve">7062 SACRED CIR </t>
  </si>
  <si>
    <t xml:space="preserve">OSTOJ, RYAN &amp; GINA </t>
  </si>
  <si>
    <t>7062 SACRED</t>
  </si>
  <si>
    <t>FOOTHILLS AT WINGFIELD VLG 12 LT 120</t>
  </si>
  <si>
    <t xml:space="preserve">7068 SACRED CIR </t>
  </si>
  <si>
    <t xml:space="preserve">WENZ, JEFFREY W &amp; AMY L </t>
  </si>
  <si>
    <t>7068 SACRED CIR</t>
  </si>
  <si>
    <t>FOOTHILLS AT WINGFIELD VLG 12 LT 117</t>
  </si>
  <si>
    <t xml:space="preserve">7070 SACRED CIR </t>
  </si>
  <si>
    <t xml:space="preserve">KRIEGER, MICHAEL &amp; BARBARA A  </t>
  </si>
  <si>
    <t xml:space="preserve">659 GEORGE ST </t>
  </si>
  <si>
    <t xml:space="preserve">MONTARA </t>
  </si>
  <si>
    <t>FOOTHILLS AT WINGFIELD VLG 12 LT 116</t>
  </si>
  <si>
    <t xml:space="preserve">7030 SACRED CIR </t>
  </si>
  <si>
    <t xml:space="preserve">CHRYSIKOS, LAMBROS L  </t>
  </si>
  <si>
    <t>FOOTHILLS AT WINGFIELD VLG 12 LT 125A RS 4831</t>
  </si>
  <si>
    <t xml:space="preserve">7032 SACRED CIR </t>
  </si>
  <si>
    <t xml:space="preserve">WATTS, DEREK R &amp; JESSICA </t>
  </si>
  <si>
    <t>7032 SACRED CIR</t>
  </si>
  <si>
    <t>FOOTHILLS AT WINGFIELD VLG 12 LT 124A RS 4831</t>
  </si>
  <si>
    <t xml:space="preserve">7064 SACRED CIR </t>
  </si>
  <si>
    <t xml:space="preserve">GABEL, CHRISTOPHER &amp; TAMARA </t>
  </si>
  <si>
    <t>7064 SACRED CIR</t>
  </si>
  <si>
    <t>FOOTHILLS AT WINGFIELD VLG 12 LT 119A RS 4831</t>
  </si>
  <si>
    <t xml:space="preserve">7066 SACRED CIR </t>
  </si>
  <si>
    <t xml:space="preserve">VILLACORTA, CLARA R </t>
  </si>
  <si>
    <t>7066 SACRED CIR</t>
  </si>
  <si>
    <t>FOOTHILLS AT WINGFIELD VLG 12 LT 118A RS 4831</t>
  </si>
  <si>
    <t xml:space="preserve">6908 SACRED CIR </t>
  </si>
  <si>
    <t>RUIZ, KARINA E et al</t>
  </si>
  <si>
    <t>6908 SACRED CIR</t>
  </si>
  <si>
    <t>FOOTHILLS AT WINGFIELD VLG 12 LT 99</t>
  </si>
  <si>
    <t xml:space="preserve">6984 SACRED CIR </t>
  </si>
  <si>
    <t xml:space="preserve">GREEN, DARRELL </t>
  </si>
  <si>
    <t>6984 SACRED CIR</t>
  </si>
  <si>
    <t>FOOTHILLS AT WINGFIELD VLG 12 LT 140</t>
  </si>
  <si>
    <t xml:space="preserve">6979 SACRED CIR </t>
  </si>
  <si>
    <t xml:space="preserve">LEONE , JOSEPH J  </t>
  </si>
  <si>
    <t>FOOTHILLS AT WINGFIELD VLG 12 LT 57</t>
  </si>
  <si>
    <t xml:space="preserve">7013 SACRED CIR </t>
  </si>
  <si>
    <t xml:space="preserve">GRIMM, GARY M &amp; GINGER M </t>
  </si>
  <si>
    <t>8873 S W 200 CIRCLE</t>
  </si>
  <si>
    <t>DUNNELLON</t>
  </si>
  <si>
    <t>34431</t>
  </si>
  <si>
    <t>FOOTHILLS AT WINGFIELD VLG 12 LT 40</t>
  </si>
  <si>
    <t xml:space="preserve">7007 SACRED CIR </t>
  </si>
  <si>
    <t xml:space="preserve">BARBOZA, CONSUELO C </t>
  </si>
  <si>
    <t>7007 SACRED CIR</t>
  </si>
  <si>
    <t>FOOTHILLS AT WINGFIELD VLG 12 LT 43</t>
  </si>
  <si>
    <t xml:space="preserve">7005 SACRED CIR </t>
  </si>
  <si>
    <t xml:space="preserve">SALVACION, EMMANUEL V  </t>
  </si>
  <si>
    <t>FOOTHILLS AT WINGFIELD VLG 12 LT 44</t>
  </si>
  <si>
    <t xml:space="preserve">7003 SACRED CIR </t>
  </si>
  <si>
    <t xml:space="preserve">PURDUM, GERALD L II </t>
  </si>
  <si>
    <t>7003 SACRED CIR</t>
  </si>
  <si>
    <t>FOOTHILLS AT WINGFIELD VLG 12 LT 45</t>
  </si>
  <si>
    <t xml:space="preserve">7011 SACRED CIR </t>
  </si>
  <si>
    <t xml:space="preserve">BYROM, ANNA M  </t>
  </si>
  <si>
    <t>FOOTHILLS AT WINGFIELD VLG 12 LT 41A RS 4831</t>
  </si>
  <si>
    <t xml:space="preserve">7009 SACRED CIR </t>
  </si>
  <si>
    <t xml:space="preserve">DISISTO, JACK T </t>
  </si>
  <si>
    <t>7009 SACRED CIR</t>
  </si>
  <si>
    <t>FOOTHILLS AT WINGFIELD VLG 12 LT 42A RS 4831</t>
  </si>
  <si>
    <t xml:space="preserve">7041 SACRED CIR </t>
  </si>
  <si>
    <t xml:space="preserve">MORROW, JINA M </t>
  </si>
  <si>
    <t>7041 SACRED CIR</t>
  </si>
  <si>
    <t>FOOTHILLS AT WINGFIELD VLG 12 LT 26</t>
  </si>
  <si>
    <t xml:space="preserve">7039 SACRED CIR </t>
  </si>
  <si>
    <t xml:space="preserve">MARTONYI, ELOD A &amp; IRMA J </t>
  </si>
  <si>
    <t>7039 SACRED CIR</t>
  </si>
  <si>
    <t>FOOTHILLS AT WINGFIELD VLG 12 LT 27</t>
  </si>
  <si>
    <t xml:space="preserve">7033 SACRED CIR </t>
  </si>
  <si>
    <t xml:space="preserve">ELDER, SCOTT &amp; PHOUNG </t>
  </si>
  <si>
    <t>7033 SACRED CIR</t>
  </si>
  <si>
    <t>FOOTHILLS AT WINGFIELD VLG 12 LT 30</t>
  </si>
  <si>
    <t xml:space="preserve">7031 SACRED CIR </t>
  </si>
  <si>
    <t>SHEN, HUI et al</t>
  </si>
  <si>
    <t>7031 SACRED CIR</t>
  </si>
  <si>
    <t>FOOTHILLS AT WINGFIELD VLG 12 LT 31</t>
  </si>
  <si>
    <t xml:space="preserve">7029 SACRED CIR </t>
  </si>
  <si>
    <t xml:space="preserve">NEWMAN, JEFFREY A  </t>
  </si>
  <si>
    <t>7029 SACRED CIR</t>
  </si>
  <si>
    <t>FOOTHILLS AT WINGFIELD VLG 12 LT 32</t>
  </si>
  <si>
    <t xml:space="preserve">7027 SACRED CIR </t>
  </si>
  <si>
    <t>KING, KEVIN C &amp; STEFANIE A  et al</t>
  </si>
  <si>
    <t>FOOTHILLS AT WINGFIELD VLG 12 LT 33</t>
  </si>
  <si>
    <t>1275 VISTA ALTA CT</t>
  </si>
  <si>
    <t xml:space="preserve">7023 SACRED CIR </t>
  </si>
  <si>
    <t>12345 OCEAN VIEW DR</t>
  </si>
  <si>
    <t>FOOTHILLS AT WINGFIELD VLG 12 LT 35</t>
  </si>
  <si>
    <t xml:space="preserve">7021 SACRED CIR </t>
  </si>
  <si>
    <t xml:space="preserve">BUTTAR, BALRAJ S &amp; KIRANJIT K  </t>
  </si>
  <si>
    <t xml:space="preserve">2682 SUTTER BUTTE COURT </t>
  </si>
  <si>
    <t>FOOTHILLS AT WINGFIELD VLG 12 LT 36</t>
  </si>
  <si>
    <t xml:space="preserve">7019 SACRED CIR </t>
  </si>
  <si>
    <t xml:space="preserve">OLSZEWSKI, JOHN </t>
  </si>
  <si>
    <t>7019 SACRED CIR</t>
  </si>
  <si>
    <t>FOOTHILLS AT WINGFIELD VLG 12 LT 37</t>
  </si>
  <si>
    <t xml:space="preserve">7017 SACRED CIR </t>
  </si>
  <si>
    <t xml:space="preserve">RYALL, JOHN &amp; JEAN  </t>
  </si>
  <si>
    <t>FOOTHILLS AT WINGFIELD VLG 12 LT 38</t>
  </si>
  <si>
    <t xml:space="preserve">7015 SACRED CIR </t>
  </si>
  <si>
    <t xml:space="preserve">ROSE 1995 TRUST, BARBARA D  </t>
  </si>
  <si>
    <t>501 VIA GORRION</t>
  </si>
  <si>
    <t>PLS VRDS EAST</t>
  </si>
  <si>
    <t>FOOTHILLS AT WINGFIELD VLG 12 LT 39</t>
  </si>
  <si>
    <t xml:space="preserve">7045 SACRED CIR </t>
  </si>
  <si>
    <t xml:space="preserve">BISAYA, GISCARD C &amp; MARIBEL </t>
  </si>
  <si>
    <t>7045 SACRED CIR</t>
  </si>
  <si>
    <t>FOOTHILLS AT WINGFIELD VLG 12 LT 24A RS 4831</t>
  </si>
  <si>
    <t xml:space="preserve">7043 SACRED CIR </t>
  </si>
  <si>
    <t xml:space="preserve">ALEXANDER, ANDRELYN </t>
  </si>
  <si>
    <t>7043 SARED CIR</t>
  </si>
  <si>
    <t>FOOTHILLS AT WINGFIELD VLG 12 LT 25A RS 4831</t>
  </si>
  <si>
    <t xml:space="preserve">7035 SACRED CIR </t>
  </si>
  <si>
    <t xml:space="preserve">SUITER LIVING TRUST  </t>
  </si>
  <si>
    <t xml:space="preserve">2380 LINCOLN MEADOWS DR </t>
  </si>
  <si>
    <t>FOOTHILLS AT WINGFIELD VLG 12 LT 29A RS 4831</t>
  </si>
  <si>
    <t xml:space="preserve">7037 SACRED CIR </t>
  </si>
  <si>
    <t>RS 4861</t>
  </si>
  <si>
    <t>LEON, GUILLERMO S  et al</t>
  </si>
  <si>
    <t xml:space="preserve">DURAN AIDELIS </t>
  </si>
  <si>
    <t>7037 SACRED CIR</t>
  </si>
  <si>
    <t>FOOTHILLS AT WINGFIELD VLG 12 LT 28A RS 4861 LT 28</t>
  </si>
  <si>
    <t xml:space="preserve">TREVINO, JOE &amp; LOIS M </t>
  </si>
  <si>
    <t xml:space="preserve">RICE, JACK C &amp; DANALEE G </t>
  </si>
  <si>
    <t>UPPER HIGHLANDS @ CIMARRON EAST 1 LT 129</t>
  </si>
  <si>
    <t>3601 DESERT FOX DR</t>
  </si>
  <si>
    <t xml:space="preserve">GROMER, GARY C &amp; ANN MARIE </t>
  </si>
  <si>
    <t xml:space="preserve">LUCAS LIVING TRUST  </t>
  </si>
  <si>
    <t>UPPER HIGHLANDS @ CIMARRON EAST 1 LT 114</t>
  </si>
  <si>
    <t>4603 COBRA DR</t>
  </si>
  <si>
    <t xml:space="preserve">EDWARDS, DAVID V &amp; JUDI L </t>
  </si>
  <si>
    <t xml:space="preserve">LIEBERMAN, JOSH &amp; SHELLY  </t>
  </si>
  <si>
    <t>UPPER HIGHLANDS @ CIMARRON EAST 2 LT 2-56</t>
  </si>
  <si>
    <t>4594 COBRA DR</t>
  </si>
  <si>
    <t xml:space="preserve">OLIVA, MARC J &amp; JUDITH L </t>
  </si>
  <si>
    <t>UPPER HIGHLANDS @ CIMARRON EAST 2 LT 2-10</t>
  </si>
  <si>
    <t>7920 ORANGE PLAINS DR</t>
  </si>
  <si>
    <t xml:space="preserve">BENTLEY , ROBERT S &amp; NOREEN M </t>
  </si>
  <si>
    <t xml:space="preserve">FOLEY, JOHN P &amp; KRISTI M </t>
  </si>
  <si>
    <t>UPPER HIGHLANDS @ CIMARRON EAST 2 LT 2-46</t>
  </si>
  <si>
    <t>6565 GERANIUM WAY</t>
  </si>
  <si>
    <t xml:space="preserve">JOHNSON , MICHELE </t>
  </si>
  <si>
    <t xml:space="preserve">6565 GERANIUM WAY </t>
  </si>
  <si>
    <t>HOFFMAN , TERRY B &amp; BARBARA G  et al TTEE</t>
  </si>
  <si>
    <t>PIONEER MEADOWS VILLAGE 1 UT 1 LT I-13</t>
  </si>
  <si>
    <t>6555 GERANIUM WAY</t>
  </si>
  <si>
    <t xml:space="preserve">SMITH, JOSHUA W &amp; MOLLY K </t>
  </si>
  <si>
    <t>PIONEER MEADOWS VILLAGE 1 UT 1 LT I-14</t>
  </si>
  <si>
    <t>6545 GERANIUM WAY</t>
  </si>
  <si>
    <t xml:space="preserve">MARIANO, RAFAEL O &amp; ERIN M </t>
  </si>
  <si>
    <t>PIONEER MEADOWS VILLAGE 1 UT 1 LT I-15</t>
  </si>
  <si>
    <t>6574 GERANIUM WAY</t>
  </si>
  <si>
    <t>HA, TUYEN Q et al</t>
  </si>
  <si>
    <t>HUA ANH N</t>
  </si>
  <si>
    <t xml:space="preserve">6574 GERANIUM WAY </t>
  </si>
  <si>
    <t xml:space="preserve">PAPILLON, KENNETH R &amp; KIERSTIN  </t>
  </si>
  <si>
    <t>PIONEER MEADOWS VILLAGE 1 UT 1 LT I-46</t>
  </si>
  <si>
    <t>6584 GERANIUM WAY</t>
  </si>
  <si>
    <t xml:space="preserve">HOUGHTON, WENDY </t>
  </si>
  <si>
    <t xml:space="preserve">MARTINEZ, JORGE G &amp; MARTHA M </t>
  </si>
  <si>
    <t>PIONEER MEADOWS VILLAGE 1 UT 1 LT I-47</t>
  </si>
  <si>
    <t>6659 ABBOTSWOOD DR</t>
  </si>
  <si>
    <t>LORENZO, JOVINO L et al</t>
  </si>
  <si>
    <t>OHARA-LORENZO FUMIKO A</t>
  </si>
  <si>
    <t xml:space="preserve">ABBOTSWOOD TRUST #6659  </t>
  </si>
  <si>
    <t>PIONEER MEADOWS VILLAGE 1 UT 1 LT I-56</t>
  </si>
  <si>
    <t>6634 ACCOLADE CT</t>
  </si>
  <si>
    <t xml:space="preserve">BRIGHT, PAUL W &amp; CHRISTY L  </t>
  </si>
  <si>
    <t>PIONEER MEADOWS VILLAGE 1 UT 1 LT I-63</t>
  </si>
  <si>
    <t>6642 ACCOLADE CT</t>
  </si>
  <si>
    <t xml:space="preserve">WARNER, MICHAEL &amp; GABRIELA  </t>
  </si>
  <si>
    <t xml:space="preserve">6642 ACCOLADE CT </t>
  </si>
  <si>
    <t>PIONEER MEADOWS VILLAGE 1 UT 1 LT I-65</t>
  </si>
  <si>
    <t>6680 ABBOTSWOOD DR</t>
  </si>
  <si>
    <t xml:space="preserve">GARCIA-ALVAREZ, ALFREDO &amp; KRISTEN A </t>
  </si>
  <si>
    <t>PIONEER MEADOWS VILLAGE 1 UT 1 LT I-68</t>
  </si>
  <si>
    <t>6515 GERANIUM WAY</t>
  </si>
  <si>
    <t xml:space="preserve">MENESINI, JUSTIN </t>
  </si>
  <si>
    <t>PIONEER MEADOWS VILLAGE 1 UT 1 LT I-17</t>
  </si>
  <si>
    <t>6495 GERANIUM WAY</t>
  </si>
  <si>
    <t xml:space="preserve">BRUNNER, CAROLE  </t>
  </si>
  <si>
    <t>PIONEER MEADOWS VILLAGE 1 UT 1 LT I-19</t>
  </si>
  <si>
    <t>6485 GERANIUM WAY</t>
  </si>
  <si>
    <t xml:space="preserve">SCHUCKMAN, BRIAN R &amp; JILL M </t>
  </si>
  <si>
    <t xml:space="preserve">ALBRO, DOUGLAS R &amp; KAREN A </t>
  </si>
  <si>
    <t>PIONEER MEADOWS VILLAGE 1 UT 1 LT I-20</t>
  </si>
  <si>
    <t>2478 EMBLEM ST</t>
  </si>
  <si>
    <t xml:space="preserve">KELLY, SHANNON G </t>
  </si>
  <si>
    <t>PIONEER MEADOWS VILLAGE 1 UT 1 LT I-38</t>
  </si>
  <si>
    <t>1091 STILL BROOK CT</t>
  </si>
  <si>
    <t xml:space="preserve">VEGA, RUBEN &amp; DIANA J </t>
  </si>
  <si>
    <t>TIERRA DEL SOL 1 LT 114</t>
  </si>
  <si>
    <t>1131 STILL BROOK CT</t>
  </si>
  <si>
    <t xml:space="preserve">HAYDEN, JANET L </t>
  </si>
  <si>
    <t xml:space="preserve">NOEL, SUSAN A </t>
  </si>
  <si>
    <t>TIERRA DEL SOL 1 LT 118</t>
  </si>
  <si>
    <t>1061 SERENA SPRINGS CT</t>
  </si>
  <si>
    <t xml:space="preserve">VIDOVCICH, CODY D </t>
  </si>
  <si>
    <t xml:space="preserve">MEDIA, KATHERINE </t>
  </si>
  <si>
    <t>TIERRA DEL SOL 1 LT 126</t>
  </si>
  <si>
    <t>1151 SERENA SPRINGS DR</t>
  </si>
  <si>
    <t xml:space="preserve">LEACH , REXANA E  </t>
  </si>
  <si>
    <t xml:space="preserve">1151 SERENA SPRINGS DR </t>
  </si>
  <si>
    <t>COPELAND, TYLER E et al</t>
  </si>
  <si>
    <t>TIERRA DEL SOL 1 LT 135</t>
  </si>
  <si>
    <t>1241 HALCYON CT</t>
  </si>
  <si>
    <t xml:space="preserve">KING, JAMES R </t>
  </si>
  <si>
    <t xml:space="preserve">IBERA, FERNANDO A &amp; NEUMY D </t>
  </si>
  <si>
    <t>TIERRA DEL SOL 1 LT 145</t>
  </si>
  <si>
    <t>1188 SERENA SPRINGS DR</t>
  </si>
  <si>
    <t xml:space="preserve">ANSOTEGUI, LOUIS M </t>
  </si>
  <si>
    <t>TIERRA DEL SOL 1 LT 154</t>
  </si>
  <si>
    <t>1168 SERENA SPRINGS DR</t>
  </si>
  <si>
    <t xml:space="preserve">PAGAN, STEVE J  </t>
  </si>
  <si>
    <t>TIERRA DEL SOL 1 LT 156</t>
  </si>
  <si>
    <t>1158 SERENA SPRINGS DR</t>
  </si>
  <si>
    <t>NOEL, JENNIFER L et al</t>
  </si>
  <si>
    <t>TIERRA DEL SOL 1 LT 157</t>
  </si>
  <si>
    <t>1148 SERENA SPRINGS DR</t>
  </si>
  <si>
    <t xml:space="preserve">SULLIVAN, CAROLYN P </t>
  </si>
  <si>
    <t>TIERRA DEL SOL 1 LT 158</t>
  </si>
  <si>
    <t>1186 HUSHFIELD CT</t>
  </si>
  <si>
    <t xml:space="preserve">QUINONEZ, DIANA  </t>
  </si>
  <si>
    <t xml:space="preserve">KLOEHN, JASON R &amp; AMANDA R </t>
  </si>
  <si>
    <t>TIERRA DEL SOL 1 LT 168</t>
  </si>
  <si>
    <t>6730 MARBREE DR</t>
  </si>
  <si>
    <t xml:space="preserve">WILSON, BETH K &amp; MICHAEL A </t>
  </si>
  <si>
    <t>PIONEER MEADOWS VILLAGE 2 UT 1 LT II-21</t>
  </si>
  <si>
    <t>6761 LILAC DAWN CT</t>
  </si>
  <si>
    <t xml:space="preserve">KRUEGER, RICHARD &amp; VALERIE </t>
  </si>
  <si>
    <t xml:space="preserve">BELLOWS, GLENN &amp; DIANE </t>
  </si>
  <si>
    <t>PIONEER MEADOWS VILLAGE 2 UT 1 LT II-17</t>
  </si>
  <si>
    <t>2500 IVORY ANN DR</t>
  </si>
  <si>
    <t xml:space="preserve">STRONG, RICHARD W &amp; JULISSA S </t>
  </si>
  <si>
    <t>PEREZ, ARIANA et al</t>
  </si>
  <si>
    <t>PIONEER MEADOWS VILLAGE 2 UT 1 LT II-13</t>
  </si>
  <si>
    <t>6747 BAMBEY DR</t>
  </si>
  <si>
    <t xml:space="preserve">YOUNG, ROBERT D &amp; BROOK A </t>
  </si>
  <si>
    <t>PIONEER MEADOWS VILLAGE 2 UT 1 LT II-52</t>
  </si>
  <si>
    <t>2401 HIBERNICA LN</t>
  </si>
  <si>
    <t>PIONEER MEADOWS VILLAGE 2 UT 1 LT II-49</t>
  </si>
  <si>
    <t>6694 MARBREE DR</t>
  </si>
  <si>
    <t xml:space="preserve">LIBRETTI, FRANK N &amp; HEATHER L </t>
  </si>
  <si>
    <t>PIONEER MEADOWS VILLAGE 2 UT 1 LT II-24</t>
  </si>
  <si>
    <t>6706 MARBREE DR</t>
  </si>
  <si>
    <t xml:space="preserve">LIPTRAP, ROBERT J &amp; JOLEE D  </t>
  </si>
  <si>
    <t xml:space="preserve">6706 MARBREE DR </t>
  </si>
  <si>
    <t>PIONEER MEADOWS VILLAGE 2 UT 1 LT II-23</t>
  </si>
  <si>
    <t>6718 MARBREE DR</t>
  </si>
  <si>
    <t xml:space="preserve">MAURER, JEFFREY I </t>
  </si>
  <si>
    <t>PIONEER MEADOWS VILLAGE 2 UT 1 LT II-22</t>
  </si>
  <si>
    <t>2379 CAPRIOLATE DR</t>
  </si>
  <si>
    <t xml:space="preserve">TISON, JOHN T &amp; DEE DEE A </t>
  </si>
  <si>
    <t xml:space="preserve">BARNES, BRODY &amp; JENNIFER </t>
  </si>
  <si>
    <t>PIONEER MEADOWS VILLAGE 1 UT 2 LT I-110</t>
  </si>
  <si>
    <t>2478 DARBY ROSE LN</t>
  </si>
  <si>
    <t xml:space="preserve">NICHOLS FAMILY 1993 LIVING TST  </t>
  </si>
  <si>
    <t xml:space="preserve">2478 DARBY ROSE LN </t>
  </si>
  <si>
    <t>PIONEER MEADOWS VILLAGE 1 UT 2 LT I-102</t>
  </si>
  <si>
    <t>2398 DARBY ROSE LN</t>
  </si>
  <si>
    <t xml:space="preserve">NOYCE, TIMOTHY </t>
  </si>
  <si>
    <t>4177 DEGRAY DR</t>
  </si>
  <si>
    <t>SOUTH JORDAN</t>
  </si>
  <si>
    <t>PIONEER MEADOWS VILLAGE 1 UT 2 LT I-94</t>
  </si>
  <si>
    <t>6574 FIREBURST DR</t>
  </si>
  <si>
    <t xml:space="preserve">GOODMAN FAMILY TRUST  </t>
  </si>
  <si>
    <t>772 ANTIQUITY DR</t>
  </si>
  <si>
    <t xml:space="preserve">GOODMAN, STEVEN A &amp; NANCY R </t>
  </si>
  <si>
    <t>PIONEER MEADOWS VILLAGE 1 UT 2 LT I-81</t>
  </si>
  <si>
    <t>2458 CAPRIOLATE DR</t>
  </si>
  <si>
    <t xml:space="preserve">SANCHEZ, RAYMOND J </t>
  </si>
  <si>
    <t>PIONEER MEADOWS VILLAGE 1 UT 2 LT I-75</t>
  </si>
  <si>
    <t>6740 BAMBEY DR</t>
  </si>
  <si>
    <t xml:space="preserve">HARRIS, JASON M &amp; KATHRYN H </t>
  </si>
  <si>
    <t>6740 BOMBEY DR</t>
  </si>
  <si>
    <t>PIONEER MEADOWS VILLAGE 2 UT 2 LT II-113</t>
  </si>
  <si>
    <t>6749 KISKADEE DR</t>
  </si>
  <si>
    <t xml:space="preserve">PRENTICE, CHRISTOPHER &amp; CHRISTINE </t>
  </si>
  <si>
    <t>PIONEER MEADOWS VILLAGE 2 UT 2 LT 2 -98</t>
  </si>
  <si>
    <t>6736 KISKADEE DR</t>
  </si>
  <si>
    <t xml:space="preserve">BARLOW, MARK A &amp; SHERI C </t>
  </si>
  <si>
    <t>LIFTER, ADAM J  et al</t>
  </si>
  <si>
    <t>PIONEER MEADOWS VILLAGE 2 UT 2 LT II-91</t>
  </si>
  <si>
    <t>2489 IVORY ANN DR</t>
  </si>
  <si>
    <t xml:space="preserve">DUSKIN, CHRISTOPHER L &amp; LAURA K </t>
  </si>
  <si>
    <t>GUTHREAU, VINSON W  et al</t>
  </si>
  <si>
    <t>PIONEER MEADOWS VILLAGE 2 UT 2 LT II-88</t>
  </si>
  <si>
    <t>6723 LILAC DAWN DR</t>
  </si>
  <si>
    <t>PIONEER MEADOWS VILLAGE 2 UT 2 LT II-83</t>
  </si>
  <si>
    <t>6715 LILAC DAWN DR</t>
  </si>
  <si>
    <t>PIONEER MEADOWS VILLAGE 2 UT 2 LT II-82</t>
  </si>
  <si>
    <t>6705 LILAC DAWN DR</t>
  </si>
  <si>
    <t>PIONEER MEADOWS VILLAGE 2 UT 2 LT II-81</t>
  </si>
  <si>
    <t>6695 LILAC DAWN DR</t>
  </si>
  <si>
    <t>PIONEER MEADOWS VILLAGE 2 UT 2 LT II-80</t>
  </si>
  <si>
    <t>6694 LILAC DAWN DR</t>
  </si>
  <si>
    <t>PIONEER MEADOWS VILLAGE 2 UT 2 LT II-74</t>
  </si>
  <si>
    <t>6710 LILAC DAWN DR</t>
  </si>
  <si>
    <t>PIONEER MEADOWS VILLAGE 2 UT 2 LT II-73</t>
  </si>
  <si>
    <t>7310 AQUENE CT</t>
  </si>
  <si>
    <t xml:space="preserve">MOLL, CHRISTIANN H </t>
  </si>
  <si>
    <t xml:space="preserve">KRONER, JASON B </t>
  </si>
  <si>
    <t>TIERRA DEL SOL 2 LT 229</t>
  </si>
  <si>
    <t>7410 LIVI CT</t>
  </si>
  <si>
    <t>JACKSON, HEATHER M  et al</t>
  </si>
  <si>
    <t xml:space="preserve">6581 VOYAGE DR </t>
  </si>
  <si>
    <t>TIERRA DEL SOL 2 LT 239</t>
  </si>
  <si>
    <t>1290 LULLABROOKE CT</t>
  </si>
  <si>
    <t xml:space="preserve">HATZIMANOLIS, JERRY &amp; SONIA </t>
  </si>
  <si>
    <t>TIERRA DEL SOL 2 LT 202</t>
  </si>
  <si>
    <t>1270 LULLABROOKE CT</t>
  </si>
  <si>
    <t xml:space="preserve">ZAMORA, NASIDDIA G </t>
  </si>
  <si>
    <t>TIERRA DEL SOL 2 LT 204</t>
  </si>
  <si>
    <t>1260 LULLABROOKE CT</t>
  </si>
  <si>
    <t xml:space="preserve">ROBINSON, SONIA A </t>
  </si>
  <si>
    <t>BIBRIEZCA, HERMILO et al</t>
  </si>
  <si>
    <t>TIERRA DEL SOL 2 LT 205</t>
  </si>
  <si>
    <t>1242 SERENA SPRINGS DR</t>
  </si>
  <si>
    <t>TIERRA DEL SOL 2 LT 221</t>
  </si>
  <si>
    <t>1220 SERENA SPRINGS DR</t>
  </si>
  <si>
    <t xml:space="preserve">MOONEY, BRANDY </t>
  </si>
  <si>
    <t xml:space="preserve">1220 SERENA SPRINGS DR </t>
  </si>
  <si>
    <t>TIERRA DEL SOL 2 LT 223</t>
  </si>
  <si>
    <t>2450 WESTFALL RD</t>
  </si>
  <si>
    <t xml:space="preserve">NICKS, KENNETH C </t>
  </si>
  <si>
    <t>PIONEER MEADOWS VILLAGE 3 UT 1 LT 8</t>
  </si>
  <si>
    <t>2445 DEMARIS ST</t>
  </si>
  <si>
    <t xml:space="preserve">STEELE, DANIEL &amp; ELIZABETH </t>
  </si>
  <si>
    <t>PIONEER MEADOWS VILLAGE 3 UT 1 LT 80</t>
  </si>
  <si>
    <t>6950 BANNISTER RD</t>
  </si>
  <si>
    <t xml:space="preserve">SMITH, DAVID B </t>
  </si>
  <si>
    <t xml:space="preserve">GEYER, RACHEL &amp; HARRY </t>
  </si>
  <si>
    <t>PIONEER MEADOWS VILLAGE 3 UT 1 LT 83</t>
  </si>
  <si>
    <t>6989 BANNISTER RD</t>
  </si>
  <si>
    <t xml:space="preserve">SCHACHER, LORRAINE </t>
  </si>
  <si>
    <t>6989 BANNISTER WAY</t>
  </si>
  <si>
    <t>PIONEER MEADOWS VILLAGE 3 UT 1 LT 135</t>
  </si>
  <si>
    <t>6979 BANNISTER RD</t>
  </si>
  <si>
    <t xml:space="preserve">GUINASSO, RICHARD J &amp; PATRICIA A </t>
  </si>
  <si>
    <t>3652 SHAWNEE LN</t>
  </si>
  <si>
    <t>PIONEER MEADOWS VILLAGE 3 UT 1 LT 136</t>
  </si>
  <si>
    <t>2520 WESTFALL RD</t>
  </si>
  <si>
    <t xml:space="preserve">WOODS, BRUCE E &amp; JERI L  </t>
  </si>
  <si>
    <t>PO BOX 1308</t>
  </si>
  <si>
    <t>PIONEER MEADOWS VILLAGE 3 UT 1 LT 15</t>
  </si>
  <si>
    <t>2503 WESTFALL RD</t>
  </si>
  <si>
    <t xml:space="preserve">SABA, WILLIAM S &amp; DONNA L </t>
  </si>
  <si>
    <t xml:space="preserve">2503 WESTFALL RD </t>
  </si>
  <si>
    <t xml:space="preserve">FOWLER, CHRISTIANA S  </t>
  </si>
  <si>
    <t>PIONEER MEADOWS VILLAGE 3 UT 1 LT 27</t>
  </si>
  <si>
    <t>2413 BRIDGETOWN LOOP</t>
  </si>
  <si>
    <t xml:space="preserve">HALLERT, CHAD B &amp; NISHA M </t>
  </si>
  <si>
    <t>2413 BRIDGETOWN CIR</t>
  </si>
  <si>
    <t>PAOLILLO, ALEXANDER et al</t>
  </si>
  <si>
    <t>PIONEER MEADOWS VILLAGE 4A UT 1 LT 4</t>
  </si>
  <si>
    <t>2425 BRIDGETOWN LOOP</t>
  </si>
  <si>
    <t xml:space="preserve">DELONG, STEVEN L &amp; JOANN  </t>
  </si>
  <si>
    <t xml:space="preserve">COOPER, CLIFFORD E &amp; DAWN M </t>
  </si>
  <si>
    <t>PIONEER MEADOWS VILLAGE 4A  UT 1 LT 7</t>
  </si>
  <si>
    <t>2453 BRIDGETOWN LOOP</t>
  </si>
  <si>
    <t xml:space="preserve">VILLALOBOS, GUSTAVO &amp; ROMELIA </t>
  </si>
  <si>
    <t xml:space="preserve">HOBBS, CHRISTOPHER T &amp; MINDY A </t>
  </si>
  <si>
    <t>PIONEER MEADOWS VILLAGE 4A  UT 1 LT 14</t>
  </si>
  <si>
    <t>7104 HIGH HILL ST</t>
  </si>
  <si>
    <t xml:space="preserve">FEASTER, JOSEPH V </t>
  </si>
  <si>
    <t xml:space="preserve">MARKESON FAMILY TRUST  </t>
  </si>
  <si>
    <t>PIONEER MEADOWS VILLAGE 4A  UT 1 LT 53</t>
  </si>
  <si>
    <t>6789 PEPPERGRASS DR</t>
  </si>
  <si>
    <t xml:space="preserve">ALEXANDER 2004 TRUST, JENICE K  </t>
  </si>
  <si>
    <t>HENRY B SPRENGER II TRUSTEE</t>
  </si>
  <si>
    <t>PIONEER MEADOWS VLG 9 PH 1 LT 12</t>
  </si>
  <si>
    <t>6793 PEPPERGRASS DR</t>
  </si>
  <si>
    <t xml:space="preserve">SPRENGER 2005 TRUST, HENRY B II  </t>
  </si>
  <si>
    <t>255 W MOANA LN</t>
  </si>
  <si>
    <t>PIONEER MEADOWS VLG 9 PH 11 LT 11</t>
  </si>
  <si>
    <t>6797 PEPPERGRASS DR</t>
  </si>
  <si>
    <t>PIONEER MEADOWS VLG 9 PH 1 LT 10</t>
  </si>
  <si>
    <t>6809 PEPPERGRASS DR</t>
  </si>
  <si>
    <t>PIONEER MEADOWS VLG 9 PH 1 LT 7</t>
  </si>
  <si>
    <t>6825 PEPPERGRASS DR</t>
  </si>
  <si>
    <t>9454 WILSHIRE BLVD STE 206</t>
  </si>
  <si>
    <t>BEVERLY HILLS</t>
  </si>
  <si>
    <t xml:space="preserve">BRANCH BANKING &amp; TRUST COMPANY </t>
  </si>
  <si>
    <t>PIONEER MEADOWS VLG 9 PH 1 LT 3</t>
  </si>
  <si>
    <t>6385 PEPPERGRASS DR</t>
  </si>
  <si>
    <t xml:space="preserve">MOORE, MERRY L </t>
  </si>
  <si>
    <t>PIONEER MEADOWS VLG 9 PH 1 LT 64</t>
  </si>
  <si>
    <t>6421 PEPPERGRASS DR</t>
  </si>
  <si>
    <t xml:space="preserve">6421 RESIDENTIAL REV LIV TRST   </t>
  </si>
  <si>
    <t>JASON M STANCIL TRUSTEE</t>
  </si>
  <si>
    <t>13835 CHAMY DR</t>
  </si>
  <si>
    <t xml:space="preserve">STANCIL, JASON M </t>
  </si>
  <si>
    <t>PIONEER MEADOWS VLG 9 PH 1 LT 55</t>
  </si>
  <si>
    <t>6440 PEPPERGRASS DR</t>
  </si>
  <si>
    <t xml:space="preserve">GRANDE, JIM A &amp; DANITZA </t>
  </si>
  <si>
    <t xml:space="preserve">6440 PEPPERGRASS DR </t>
  </si>
  <si>
    <t xml:space="preserve">DENNEY, PATRICK B </t>
  </si>
  <si>
    <t>PIONEER MEADOWS VLG 9 PH 1 LT 27</t>
  </si>
  <si>
    <t>6484 PEPPERGRASS DR</t>
  </si>
  <si>
    <t xml:space="preserve">DAVIS, LAURA </t>
  </si>
  <si>
    <t xml:space="preserve">YOUNG, JESSE </t>
  </si>
  <si>
    <t>PIONEER MEADOWS VLG 9 PH 1 LT 37</t>
  </si>
  <si>
    <t>6460 PEPPERGRASS DR</t>
  </si>
  <si>
    <t xml:space="preserve">ROBINSON, MELISSA </t>
  </si>
  <si>
    <t>PIONEER MEADOWS VLG 9 PH 1 LT 33</t>
  </si>
  <si>
    <t>6452 PEPPERGRASS DR</t>
  </si>
  <si>
    <t xml:space="preserve">FOSS, ANITA C </t>
  </si>
  <si>
    <t>PIONEER MEADOWS VLG 9 PH 1 LT 31</t>
  </si>
  <si>
    <t>6493 PEPPERGRASS DR</t>
  </si>
  <si>
    <t xml:space="preserve">ESPINO-LOPEZ, JENNIFER M  </t>
  </si>
  <si>
    <t xml:space="preserve">6493 PEPPERGRASS DR </t>
  </si>
  <si>
    <t>PIONEER MEADOWS VLG 9 PH 2 LT 204</t>
  </si>
  <si>
    <t>6509 PEPPERGRASS DR</t>
  </si>
  <si>
    <t xml:space="preserve">BAUER REVOCABLE LIVING TRUST, KENT &amp; LINDA </t>
  </si>
  <si>
    <t>6509 PEPERGRASS DR 200</t>
  </si>
  <si>
    <t>PIONEER MEADOWS VLG 9 PH 2 LT 200</t>
  </si>
  <si>
    <t>6513 PEPPERGRASS DR</t>
  </si>
  <si>
    <t xml:space="preserve">WAYBRIGHT, ROBERT D  </t>
  </si>
  <si>
    <t xml:space="preserve">6513 PEPPERGRASS DR </t>
  </si>
  <si>
    <t>PIONEER MEADOWS VLG 9 PH 2 LT 199</t>
  </si>
  <si>
    <t>6525 PEPPERGRASS DR</t>
  </si>
  <si>
    <t xml:space="preserve">O`GRADY TRUST, PATRICK E  </t>
  </si>
  <si>
    <t>PIONEER MEADOWS VLG 9 PH 2 LT 196</t>
  </si>
  <si>
    <t>6529 PEPPERGRASS DR</t>
  </si>
  <si>
    <t xml:space="preserve">LOBE, VICTOR LOBE </t>
  </si>
  <si>
    <t>PIONEER MEADOWS VLG 9 PH 2 LT 195</t>
  </si>
  <si>
    <t>6533 PEPPERGRASS DR</t>
  </si>
  <si>
    <t>1325 HOWE AVE STE 200B</t>
  </si>
  <si>
    <t>PIONEER MEADOWS VLG 9 PH 2 LT 194</t>
  </si>
  <si>
    <t>6537 PEPPERGRASS DR</t>
  </si>
  <si>
    <t xml:space="preserve">HARLAN, MICHAEL </t>
  </si>
  <si>
    <t>PIONEER MEADOWS VLG 9 PH 2 LT 193</t>
  </si>
  <si>
    <t>6553 PEPPERGRASS DR</t>
  </si>
  <si>
    <t>PIONEER MEADOWS VLG 9 PH 2 LT 189</t>
  </si>
  <si>
    <t>6557 PEPPERGRASS DR</t>
  </si>
  <si>
    <t>PIONEER MEADOWS VLG 9 PH 2 LT 188</t>
  </si>
  <si>
    <t>6492 PEPPERGRASS DR</t>
  </si>
  <si>
    <t>PIONEER MEADOWS VLG 9 PH 2 LT 208</t>
  </si>
  <si>
    <t>6488 PEPPERGRASS DR</t>
  </si>
  <si>
    <t xml:space="preserve">GARRITY, FRANK C &amp; DIANA L  </t>
  </si>
  <si>
    <t xml:space="preserve">6488 PEPPERGRASS DR </t>
  </si>
  <si>
    <t>PIONEER MEADOWS VLG 9 PH 2 LT 207</t>
  </si>
  <si>
    <t>479 BEAU CT</t>
  </si>
  <si>
    <t xml:space="preserve">VANCE, LANCE &amp; DESIREE </t>
  </si>
  <si>
    <t>MILES, GORDON S  et al</t>
  </si>
  <si>
    <t>SPANISH SPRINGS VILLAGE 7 LT 6 BLK O</t>
  </si>
  <si>
    <t>448 BEAU CT</t>
  </si>
  <si>
    <t xml:space="preserve">CHRISMAN, HOLLIE L </t>
  </si>
  <si>
    <t xml:space="preserve">BEAU TRUST # 448  </t>
  </si>
  <si>
    <t>SPANISH SPRINGS VILLAGE 7  LT 11 BLK O</t>
  </si>
  <si>
    <t>450 CARLENE CT</t>
  </si>
  <si>
    <t xml:space="preserve">COHEN, JOSHUA &amp; BREANNE </t>
  </si>
  <si>
    <t xml:space="preserve">450 CARLENE CT             </t>
  </si>
  <si>
    <t xml:space="preserve">GRAYDON, JONATHON S &amp; NERISSA L </t>
  </si>
  <si>
    <t>SPANISH SPRINGS VILLAGE 7 LT 35 BLK O</t>
  </si>
  <si>
    <t>490 VERONICA CT</t>
  </si>
  <si>
    <t>PM 3504</t>
  </si>
  <si>
    <t xml:space="preserve">SALCIDO, FRED &amp; HELGA  </t>
  </si>
  <si>
    <t xml:space="preserve">490 VERONICA CT </t>
  </si>
  <si>
    <t>530-074-29</t>
  </si>
  <si>
    <t>PM 3504 LT 46-A2</t>
  </si>
  <si>
    <t>411 TARYN DR</t>
  </si>
  <si>
    <t xml:space="preserve">ROBERTS, CURTIS &amp; PATRICIA </t>
  </si>
  <si>
    <t xml:space="preserve">260 E GAULT WAY </t>
  </si>
  <si>
    <t xml:space="preserve">HARRIS, MICHAEL R &amp; LESLEY </t>
  </si>
  <si>
    <t>SPANISH SPRINGS VILLAGE 7   LT 94  BLK O</t>
  </si>
  <si>
    <t>373 SHELBY CT</t>
  </si>
  <si>
    <t xml:space="preserve">RAWLINGS, TRACEY </t>
  </si>
  <si>
    <t>530-091-08</t>
  </si>
  <si>
    <t>SPANISH SPRINGS VILLAGE 7 LT 98B BLK O (PM 2995 LT</t>
  </si>
  <si>
    <t>280 RAE CT</t>
  </si>
  <si>
    <t xml:space="preserve">LUGO, ROBERT &amp; VIRGINIA H </t>
  </si>
  <si>
    <t xml:space="preserve">ASHLOCK, TILFORD G &amp; EVELYN A </t>
  </si>
  <si>
    <t>SPANISH SPRINGS VILLAGE 7 LT 10 BLK P</t>
  </si>
  <si>
    <t>220 RAE CT</t>
  </si>
  <si>
    <t xml:space="preserve">BYRAM REV INTER-VIVOS TRUST, BRUCE C &amp; EVA   </t>
  </si>
  <si>
    <t>4314 CITRUS LN</t>
  </si>
  <si>
    <t xml:space="preserve">BYRAM, BRUCE C </t>
  </si>
  <si>
    <t>530-102-16</t>
  </si>
  <si>
    <t>PM 2961 LT 16A</t>
  </si>
  <si>
    <t>6421 DAVID JAMES BLVD</t>
  </si>
  <si>
    <t xml:space="preserve">MORTIMORE, CHRIS &amp; CHRISTINA  </t>
  </si>
  <si>
    <t xml:space="preserve">CHAVIS, JAMES </t>
  </si>
  <si>
    <t>PM 2968 LT 44E</t>
  </si>
  <si>
    <t>178 BRUNKE CT</t>
  </si>
  <si>
    <t>PM 2964</t>
  </si>
  <si>
    <t xml:space="preserve">DAVIS , MATTHEW G &amp; CHERYL A </t>
  </si>
  <si>
    <t xml:space="preserve">178 BRUNKE CT                           </t>
  </si>
  <si>
    <t xml:space="preserve">BORACCHIA, MICHAEL &amp; JENNIFER </t>
  </si>
  <si>
    <t>530-121-22</t>
  </si>
  <si>
    <t>PM 2964 LT 33C</t>
  </si>
  <si>
    <t>62 BADGER CREEK CT</t>
  </si>
  <si>
    <t xml:space="preserve">GUTIERREZ, FRANCISCO D </t>
  </si>
  <si>
    <t xml:space="preserve">GOMEZ, GUSTAVO </t>
  </si>
  <si>
    <t>NORTH SPRINGS EST 2 LT 18 BLK A</t>
  </si>
  <si>
    <t>58 BADGER CREEK CT</t>
  </si>
  <si>
    <t xml:space="preserve">MITCHELL, CAMILLE E </t>
  </si>
  <si>
    <t xml:space="preserve">CORSO, DEBORAH A </t>
  </si>
  <si>
    <t>NORTH SPRINGS EST 2 LT 17 BLK A</t>
  </si>
  <si>
    <t>122 CATRINA CT</t>
  </si>
  <si>
    <t xml:space="preserve">HAGEN, CRAIG J </t>
  </si>
  <si>
    <t xml:space="preserve">YOUNG, QUENTIN M &amp; RHIANN </t>
  </si>
  <si>
    <t>SPANISH SPRINGS VLG N 1 LT 33 BLK A</t>
  </si>
  <si>
    <t>135 CATRINA CT</t>
  </si>
  <si>
    <t xml:space="preserve">WRENN, KEVIN A </t>
  </si>
  <si>
    <t xml:space="preserve">THOMAS, DAVID L &amp; CHERYL A </t>
  </si>
  <si>
    <t>SPANISH SPRINGS VLG N 1 LT 25 BLK A</t>
  </si>
  <si>
    <t>100 JOSEFINA CT</t>
  </si>
  <si>
    <t xml:space="preserve">HAGERTY, THERESA M </t>
  </si>
  <si>
    <t>SPANISH SPRINGS VLG N 1 LT 18 BLK A</t>
  </si>
  <si>
    <t>960 MERCEDES DR</t>
  </si>
  <si>
    <t xml:space="preserve">ANDREWS, GARY M &amp; SUMMER S </t>
  </si>
  <si>
    <t xml:space="preserve">ROOF CRAFTERS INC , DEFINED BENEFIT PLAN </t>
  </si>
  <si>
    <t>SPANISH SPRINGS VLG N 1 LT 80 BLK A</t>
  </si>
  <si>
    <t>1045 MERCEDES DR</t>
  </si>
  <si>
    <t xml:space="preserve">JARAMILLO, RONALD E &amp; HEIDI E  </t>
  </si>
  <si>
    <t xml:space="preserve">NEVIN, JASON W </t>
  </si>
  <si>
    <t>SPANISH SPRINGS VLG N 1 LT 8 BLK C</t>
  </si>
  <si>
    <t>836 ALENA WAY</t>
  </si>
  <si>
    <t xml:space="preserve">ANDERSON, RICHARD &amp; SUSAN L </t>
  </si>
  <si>
    <t>830 BOOTSTRAP LN</t>
  </si>
  <si>
    <t>MOORE, PHILLIP A et al</t>
  </si>
  <si>
    <t>SPANISH SPRINGS VLG N 1 LT 6 BLK D</t>
  </si>
  <si>
    <t>26 PELICAN CT</t>
  </si>
  <si>
    <t xml:space="preserve">CHARLES, DARREN D &amp; AMY M </t>
  </si>
  <si>
    <t xml:space="preserve">PELICAN TRUST # 26  </t>
  </si>
  <si>
    <t>EAGLE CANYON 1 LT 17 BLK E</t>
  </si>
  <si>
    <t>971 ROOK WAY</t>
  </si>
  <si>
    <t xml:space="preserve">MARTIN, JOEL T JR </t>
  </si>
  <si>
    <t>EAGLE CANYON 1 LT 9 BLK B</t>
  </si>
  <si>
    <t>6467 DAVID JAMES BLVD</t>
  </si>
  <si>
    <t xml:space="preserve">VATHAYANON, HEIDI S </t>
  </si>
  <si>
    <t>NORTH SPRINGS EST 3 LT 200</t>
  </si>
  <si>
    <t>185 TANKERSLEY DR</t>
  </si>
  <si>
    <t xml:space="preserve">SKAGGS, SARAH S </t>
  </si>
  <si>
    <t>NORTH SPRINGS EST 3 LT 133</t>
  </si>
  <si>
    <t>1074 SPOONBILL DR</t>
  </si>
  <si>
    <t xml:space="preserve">WILSON , ERIN E  </t>
  </si>
  <si>
    <t xml:space="preserve">1074 SPOONBILL DR </t>
  </si>
  <si>
    <t>EAGLE CANYON 2 LT 1 BLK J</t>
  </si>
  <si>
    <t>1000 TURTLEDOVE DR</t>
  </si>
  <si>
    <t xml:space="preserve">FRASER, STEVEN C  </t>
  </si>
  <si>
    <t xml:space="preserve">PECKENHAM, ERIKA </t>
  </si>
  <si>
    <t>EAGLE CANYON 2 LT 7 BLK K</t>
  </si>
  <si>
    <t>1480 NIGHTINGALE WAY</t>
  </si>
  <si>
    <t xml:space="preserve">CULBERSON , FRANK &amp; ALICE  </t>
  </si>
  <si>
    <t xml:space="preserve">VALLIERES, DANNIELL Y </t>
  </si>
  <si>
    <t>EAGLE CANYON 2 LT 33 BLK E</t>
  </si>
  <si>
    <t>37 KAWEAH CT</t>
  </si>
  <si>
    <t xml:space="preserve">LATTIE, JAMES G </t>
  </si>
  <si>
    <t>WILD HAWK RIDGE PH 1 LT 228</t>
  </si>
  <si>
    <t>933 EMU CT</t>
  </si>
  <si>
    <t xml:space="preserve">VESIK, JON M &amp; JULIE D  </t>
  </si>
  <si>
    <t xml:space="preserve">CLAYTON LIVING TRUST  </t>
  </si>
  <si>
    <t>EAGLE CANYON 3 LT 19 BLK L</t>
  </si>
  <si>
    <t>963 RED FALCON WAY</t>
  </si>
  <si>
    <t xml:space="preserve">ERICKSON, DANIEL &amp; TOBY J </t>
  </si>
  <si>
    <t>EAGLE CANYON 3 LT 7 BLK O</t>
  </si>
  <si>
    <t>939 RED FALCON WAY</t>
  </si>
  <si>
    <t xml:space="preserve">KUNIN, CHRISTOPHER L &amp; LAUREN M </t>
  </si>
  <si>
    <t xml:space="preserve">WINNINGHAM-SHEPHERD, CAROL M </t>
  </si>
  <si>
    <t>EAGLE CANYON 3 LT 1 BLK O</t>
  </si>
  <si>
    <t>1046 RINGNECK WAY</t>
  </si>
  <si>
    <t xml:space="preserve">COUK, WILLIAM A &amp; REBECCA A </t>
  </si>
  <si>
    <t xml:space="preserve">KILEY, JAMES D </t>
  </si>
  <si>
    <t>EAGLE CANYON 3 LT 15 BLK Q</t>
  </si>
  <si>
    <t>93 RINGNECK CT</t>
  </si>
  <si>
    <t xml:space="preserve">BREHM, MERRI K </t>
  </si>
  <si>
    <t xml:space="preserve">VALDEZ, RODRIGO M </t>
  </si>
  <si>
    <t>EAGLE CANYON 3 LT 10 BLK R</t>
  </si>
  <si>
    <t>1069 GADWALL WAY</t>
  </si>
  <si>
    <t xml:space="preserve">HIGGINS, JAMES C &amp; AMY N  </t>
  </si>
  <si>
    <t>1069 GADWALL</t>
  </si>
  <si>
    <t>EAGLE CANYON 3 LT 80 BLK N</t>
  </si>
  <si>
    <t>1108 GADWALL WAY</t>
  </si>
  <si>
    <t xml:space="preserve">PRUDHOM, GREG L </t>
  </si>
  <si>
    <t xml:space="preserve">JOHNSON, JASON &amp; DEANNE </t>
  </si>
  <si>
    <t>EAGLE CANYON 3 LT 27 BLK R</t>
  </si>
  <si>
    <t>1048 GREENWING DR</t>
  </si>
  <si>
    <t>MORGAN, MARY K &amp; KENNETH W et al</t>
  </si>
  <si>
    <t>EAGLE CANYON 3 LT 42 BLK R</t>
  </si>
  <si>
    <t>1419 NIGHTINGALE WAY</t>
  </si>
  <si>
    <t xml:space="preserve">WAKEMAN, DAVID J  </t>
  </si>
  <si>
    <t xml:space="preserve">BORDEN, RICHARD A &amp; ALISA J </t>
  </si>
  <si>
    <t>EAGLE CANYON 3 LT 6 BLK G</t>
  </si>
  <si>
    <t>1141 LONGSPUR WAY</t>
  </si>
  <si>
    <t xml:space="preserve">TERRANO, MARK </t>
  </si>
  <si>
    <t xml:space="preserve">DUTCHER, JOHN M &amp; LAURA A </t>
  </si>
  <si>
    <t>EAGLE CANYON 3 LT 22 BLK F</t>
  </si>
  <si>
    <t>1139 LONGSPUR WAY</t>
  </si>
  <si>
    <t xml:space="preserve">DEVER, ANGELA K </t>
  </si>
  <si>
    <t xml:space="preserve">ZYLSTRA, LEONARD F &amp; KIMBERLY A </t>
  </si>
  <si>
    <t>EAGLE CANYON 3 LT 21 BLK F</t>
  </si>
  <si>
    <t>1114 STARLING CT</t>
  </si>
  <si>
    <t xml:space="preserve">CAMPBELL, WILLIAM </t>
  </si>
  <si>
    <t>4237 S 950 E</t>
  </si>
  <si>
    <t>SOUTH OGDEN</t>
  </si>
  <si>
    <t>EAGLE CANYON 3 LT 1 BLK X</t>
  </si>
  <si>
    <t>1120 GOSLING CT</t>
  </si>
  <si>
    <t>MONTES, RAMIRO et al</t>
  </si>
  <si>
    <t>1120 GOSLING ST</t>
  </si>
  <si>
    <t xml:space="preserve">MONTES, RAMIRO </t>
  </si>
  <si>
    <t>530-394-02</t>
  </si>
  <si>
    <t>EAGLE CANYON 3 LT 20 BLK B</t>
  </si>
  <si>
    <t>63 ROOK CT</t>
  </si>
  <si>
    <t xml:space="preserve">RUFFINO, MARIANNA &amp; MARIANO </t>
  </si>
  <si>
    <t xml:space="preserve">HAW TRUST, VICKY I  </t>
  </si>
  <si>
    <t>EAGLE CANYON 3 LT 17 BLK G</t>
  </si>
  <si>
    <t>982 YELLOWHAMMER CT</t>
  </si>
  <si>
    <t>HANKS, DERRICK J et al</t>
  </si>
  <si>
    <t xml:space="preserve">BALDWIN, JAMES R &amp; SUSAN A </t>
  </si>
  <si>
    <t>EAGLE CANYON 3 LT 11 BLK N</t>
  </si>
  <si>
    <t>1107 SPOONBILL CT</t>
  </si>
  <si>
    <t xml:space="preserve">HARRIS, CHARLES M  </t>
  </si>
  <si>
    <t>EAGLE CANYON 3 LT 48 BLK N</t>
  </si>
  <si>
    <t>1095 SPOONBILL CT</t>
  </si>
  <si>
    <t>STAMBAUGH, ELIZABETH M et al</t>
  </si>
  <si>
    <t xml:space="preserve">HAW TRUST, VICKY  </t>
  </si>
  <si>
    <t>EAGLE CANYON 3 LT 51 BLK N</t>
  </si>
  <si>
    <t>2995 ERIN DR</t>
  </si>
  <si>
    <t xml:space="preserve">BAILEY, BRENT &amp; KATHERINE </t>
  </si>
  <si>
    <t xml:space="preserve">CS VANDELAY RECEIVABLES HLDGS </t>
  </si>
  <si>
    <t>WILD HAWK RIDGE 2 LT 302</t>
  </si>
  <si>
    <t>3275 ERIN DR</t>
  </si>
  <si>
    <t xml:space="preserve">MAPES, MICHAEL S &amp; LINDA  </t>
  </si>
  <si>
    <t xml:space="preserve">BROWN, JAMES A &amp; NICHOL </t>
  </si>
  <si>
    <t>WILD HAWK RIDGE 2 LT 324</t>
  </si>
  <si>
    <t>3350 ERIN DR</t>
  </si>
  <si>
    <t xml:space="preserve">WALLMUTH, JAMES R </t>
  </si>
  <si>
    <t>WALLMUTH, JAMES R et al</t>
  </si>
  <si>
    <t>WILD HAWK RIDGE 2 LT 312</t>
  </si>
  <si>
    <t>455 EAGLE VIEW CT</t>
  </si>
  <si>
    <t>KAAMASEE, JOSH et al</t>
  </si>
  <si>
    <t xml:space="preserve">PANELLI, NATALIE S </t>
  </si>
  <si>
    <t>WILD HAWK RIDGE 2 LT 338</t>
  </si>
  <si>
    <t>535 HAWK BAY CT</t>
  </si>
  <si>
    <t>GODFREY, BENJAMIN D et al</t>
  </si>
  <si>
    <t>WILD HAWK RIDGE 2 LT 355</t>
  </si>
  <si>
    <t>1085 LONGSPUR WAY</t>
  </si>
  <si>
    <t xml:space="preserve">MILLSAP, DENNIS H &amp; ALICE L </t>
  </si>
  <si>
    <t>EAGLE CANYON 4 LT 10 BLK W</t>
  </si>
  <si>
    <t>1072 GREENWING DR</t>
  </si>
  <si>
    <t xml:space="preserve">WEAVER, HARRY F &amp; MARY J </t>
  </si>
  <si>
    <t>EAGLE CANYON 4 LT 49 BLK R</t>
  </si>
  <si>
    <t>95 ISIDOR CT</t>
  </si>
  <si>
    <t>PM 3688</t>
  </si>
  <si>
    <t>BRISTLECONE LAND MGMT LLC  LLC</t>
  </si>
  <si>
    <t xml:space="preserve">1118 GOSLING CT </t>
  </si>
  <si>
    <t xml:space="preserve">DEGIOVANNI PROPERTIES LLC </t>
  </si>
  <si>
    <t>530-460-05</t>
  </si>
  <si>
    <t>PM 3688 LT 1</t>
  </si>
  <si>
    <t>HAAU</t>
  </si>
  <si>
    <t>229 MILKE CT</t>
  </si>
  <si>
    <t>OBRITSCH, GEORGE T  et al</t>
  </si>
  <si>
    <t xml:space="preserve">KOELZER, DEREK T </t>
  </si>
  <si>
    <t>CIMARRON WEST 1 LT 112</t>
  </si>
  <si>
    <t>218 MILKE WAY</t>
  </si>
  <si>
    <t xml:space="preserve">POSTON, MICHAELENE A &amp; CARL W  </t>
  </si>
  <si>
    <t>7750 W 4TH ST # 208</t>
  </si>
  <si>
    <t xml:space="preserve">LOUDERBACK PROPERTIES LLC </t>
  </si>
  <si>
    <t>CIMARRON WEST 1 LT 106</t>
  </si>
  <si>
    <t>30 HORSE SPRINGS DR</t>
  </si>
  <si>
    <t xml:space="preserve">FARRELL, MATTHEW C </t>
  </si>
  <si>
    <t>CIMARRON WEST 1 LT 122</t>
  </si>
  <si>
    <t>256 TANKERSLEY DR</t>
  </si>
  <si>
    <t xml:space="preserve">CIMARRON WEST 2 </t>
  </si>
  <si>
    <t xml:space="preserve">EASTLAND, MONICA &amp; JAMES </t>
  </si>
  <si>
    <t xml:space="preserve">PENNINGTON, HEATHER A </t>
  </si>
  <si>
    <t>CIMARRON WEST 2 LT 217</t>
  </si>
  <si>
    <t>30 SILVER SPRINGS CT</t>
  </si>
  <si>
    <t xml:space="preserve">RUDIC, SUSAN </t>
  </si>
  <si>
    <t>CIMARRON WEST 2 LT 204</t>
  </si>
  <si>
    <t>2151 ALBATROSS WAY</t>
  </si>
  <si>
    <t xml:space="preserve">GORSETT, MICHAEL O &amp; TERRI M  </t>
  </si>
  <si>
    <t>EAGLE CANYON 2 UT 1 LT 12 BLK D</t>
  </si>
  <si>
    <t>1083 GOLDEN PLOVER CT</t>
  </si>
  <si>
    <t xml:space="preserve">SNYDER, JOSEPH P &amp; SHERYL A  </t>
  </si>
  <si>
    <t>EAGLE CANYON 2 UT 1 LT 8 BLK D</t>
  </si>
  <si>
    <t>1087 GOLDEN PLOVER CT</t>
  </si>
  <si>
    <t xml:space="preserve">SMITH, NYLEEN </t>
  </si>
  <si>
    <t xml:space="preserve">1087 GOLDEN PLOVER CT </t>
  </si>
  <si>
    <t>EAGLE CANYON 2 UT 1 LT 7 BLK D</t>
  </si>
  <si>
    <t>2121 ALBATROSS WAY</t>
  </si>
  <si>
    <t>ELLIS, BRUCE M &amp; WANDA G et al</t>
  </si>
  <si>
    <t xml:space="preserve">ELLIS, BRUCE M &amp; WANDA G </t>
  </si>
  <si>
    <t>EAGLE CANYON 2 UT 1 LT 1 BLK D</t>
  </si>
  <si>
    <t>1476 WAGTAIL DR</t>
  </si>
  <si>
    <t xml:space="preserve">LESTELLE, DAN L &amp; LINDA  </t>
  </si>
  <si>
    <t xml:space="preserve">8936 RIDERWOOD DR </t>
  </si>
  <si>
    <t>EAGLE CANYON 2 UT 1 LT 4 BLK A</t>
  </si>
  <si>
    <t>2132 INCA DOVE CT</t>
  </si>
  <si>
    <t>DOMINGUEZ-ATKINS, KRISTIN A  et al</t>
  </si>
  <si>
    <t xml:space="preserve">DOMINGUEZ-RAMIREZ ADRIAN G </t>
  </si>
  <si>
    <t xml:space="preserve">2132 INCA DOVE CT </t>
  </si>
  <si>
    <t xml:space="preserve">NELSON, ROBERT W </t>
  </si>
  <si>
    <t>EAGLE CANYON 2 UT 1 LT 7 BLK C</t>
  </si>
  <si>
    <t>1429 KINGLET DR</t>
  </si>
  <si>
    <t xml:space="preserve">FORBES, GEORGE JR </t>
  </si>
  <si>
    <t xml:space="preserve">GIBSON, JOHN C  </t>
  </si>
  <si>
    <t>EAGLE CANYON 2 UT 1 LT 5 BLK F</t>
  </si>
  <si>
    <t>23 MILLER SPRINGS CT</t>
  </si>
  <si>
    <t xml:space="preserve">ZIELINSKI, STANLEY &amp; VERONICA A  </t>
  </si>
  <si>
    <t xml:space="preserve">23 MILLER SPRINGS CT </t>
  </si>
  <si>
    <t xml:space="preserve">WHITNEY, PAMELA K </t>
  </si>
  <si>
    <t>CIMARRON WEST 3 LT 361</t>
  </si>
  <si>
    <t>6450 ADOBE SPRINGS DR</t>
  </si>
  <si>
    <t xml:space="preserve">STEPHENS, DONALD J  </t>
  </si>
  <si>
    <t xml:space="preserve">6450 ADOBE SPRINGS DR </t>
  </si>
  <si>
    <t xml:space="preserve">THOMPSON, MIKE E &amp; SHERRY A </t>
  </si>
  <si>
    <t>CIMARRON WEST 3 LT 333</t>
  </si>
  <si>
    <t>288 BARTMESS BLVD</t>
  </si>
  <si>
    <t>KREILEY, AARON C et al</t>
  </si>
  <si>
    <t>CIMARRON WEST 3 LT 332</t>
  </si>
  <si>
    <t>260 BARTMESS BLVD</t>
  </si>
  <si>
    <t xml:space="preserve">WILKINSON, ROBERT C </t>
  </si>
  <si>
    <t xml:space="preserve">260 BARTMESS BLVD                       </t>
  </si>
  <si>
    <t>CIMARRON WEST 3 LT 327</t>
  </si>
  <si>
    <t>360 INDIAN SPRINGS CT</t>
  </si>
  <si>
    <t xml:space="preserve">DUPREE, KENNETH R II &amp; LEAH  </t>
  </si>
  <si>
    <t>WILD HAWK RIDGE 4 LT 505</t>
  </si>
  <si>
    <t>7440 ASH SPRINGS DR</t>
  </si>
  <si>
    <t xml:space="preserve">HAWKINS FAMILY TRUST  </t>
  </si>
  <si>
    <t xml:space="preserve">ERNST, SO &amp; JOE </t>
  </si>
  <si>
    <t>WILD HAWK RIDGE 4 LT 526</t>
  </si>
  <si>
    <t>2180 REDHEAD DR</t>
  </si>
  <si>
    <t xml:space="preserve">MANZINI, WILLIAM A III &amp; JENNIFER  </t>
  </si>
  <si>
    <t xml:space="preserve">COX, FRED B &amp; CLARE C </t>
  </si>
  <si>
    <t>EAGLE CANYON 2 UT 2 LT 54  BLK E</t>
  </si>
  <si>
    <t>2185 IVORY GULL CT</t>
  </si>
  <si>
    <t xml:space="preserve">CRANDALL, MARY F </t>
  </si>
  <si>
    <t xml:space="preserve">BLANKS, WILL J &amp; LYNDY P  </t>
  </si>
  <si>
    <t>EAGLE CANYON 2 UT 2 LT 57 BLK E</t>
  </si>
  <si>
    <t>1412 KINGLET DR</t>
  </si>
  <si>
    <t xml:space="preserve">MORGAN, DANIEL J &amp; ELIZABETH A </t>
  </si>
  <si>
    <t xml:space="preserve">BROWN, RICHARD D &amp; CAROL R  </t>
  </si>
  <si>
    <t>EAGLE CANYON 2 UT 2 LT 23  BLK C</t>
  </si>
  <si>
    <t>EAGLE CANYON 2 UT 2 LT 31  BLK D</t>
  </si>
  <si>
    <t>1431 ROSY FINCH DR</t>
  </si>
  <si>
    <t xml:space="preserve">HOWARD, SHANNON M </t>
  </si>
  <si>
    <t xml:space="preserve">OGILVIE, RANDALL S &amp; AMY E </t>
  </si>
  <si>
    <t>EAGLE CANYON 2 UT 2 LT 50  BLK E</t>
  </si>
  <si>
    <t>1410 ROSY FINCH DR</t>
  </si>
  <si>
    <t xml:space="preserve">WARREN, MICHAEL V </t>
  </si>
  <si>
    <t xml:space="preserve">LYONS, NICK J &amp; ELIZABETH </t>
  </si>
  <si>
    <t>EAGLE CANYON 2 UT 2 LT 18  BLK B</t>
  </si>
  <si>
    <t>1029 STICKLEBRACT DR</t>
  </si>
  <si>
    <t xml:space="preserve">YOUNG , DAVID L &amp; DEBRA L  </t>
  </si>
  <si>
    <t xml:space="preserve">SCALIA, RISE A </t>
  </si>
  <si>
    <t>EAGLE CANYON 2 UT 3 LT 38</t>
  </si>
  <si>
    <t>1071 FUGGLES DR</t>
  </si>
  <si>
    <t>RS 4255</t>
  </si>
  <si>
    <t xml:space="preserve">STEVENS, JASON J &amp; SONYA L </t>
  </si>
  <si>
    <t xml:space="preserve">MILLS, DAVID D &amp; PAMELA G </t>
  </si>
  <si>
    <t>530-620-04</t>
  </si>
  <si>
    <t>RS 4255 LT 45A</t>
  </si>
  <si>
    <t>1258 BRAMLING CROSS DR</t>
  </si>
  <si>
    <t xml:space="preserve">BRAVO, RICARDO </t>
  </si>
  <si>
    <t>EAGLE CANYON II UT 3 LT 2</t>
  </si>
  <si>
    <t>2276 ROCKIN ROBIN DR</t>
  </si>
  <si>
    <t xml:space="preserve">MEDULLA, GUISEPPE &amp; ANTONIETTE </t>
  </si>
  <si>
    <t xml:space="preserve">RENTNER, JOEL M &amp; LINDA N  </t>
  </si>
  <si>
    <t>EAGLE CANYON 3 UT 1A LT 36</t>
  </si>
  <si>
    <t>2275 SOAR DR</t>
  </si>
  <si>
    <t>PATTERSON , JOHN C et al</t>
  </si>
  <si>
    <t>EAGLE CANYON 3 UT 1B LT 94</t>
  </si>
  <si>
    <t>2263 SOAR DR</t>
  </si>
  <si>
    <t>EAGLE CANYON 3 UT 1B LT 97</t>
  </si>
  <si>
    <t>2275 PENGUIN DR</t>
  </si>
  <si>
    <t xml:space="preserve">CLENDENIN, GARY &amp; CINDY </t>
  </si>
  <si>
    <t xml:space="preserve">BOTELHO, CORRINA S </t>
  </si>
  <si>
    <t>EAGLE CANYON 3 UT 1B LT 73</t>
  </si>
  <si>
    <t>2271 PENGUIN DR</t>
  </si>
  <si>
    <t xml:space="preserve">ERDODY, ROSS D &amp; DEBORAH R </t>
  </si>
  <si>
    <t xml:space="preserve">KONAKIS, DENISE M </t>
  </si>
  <si>
    <t>EAGLE CANYON 3 UT 1B LT 74</t>
  </si>
  <si>
    <t>2267 PENGUIN DR</t>
  </si>
  <si>
    <t xml:space="preserve">DICKMAN, ELLENOR T </t>
  </si>
  <si>
    <t xml:space="preserve">RUSSUM, PETER M &amp; PATRICA A </t>
  </si>
  <si>
    <t>EAGLE CANYON 3 UT 1B LT 75</t>
  </si>
  <si>
    <t>2279 ALBATROSS WAY</t>
  </si>
  <si>
    <t xml:space="preserve">2279 ALBATROSS WAY </t>
  </si>
  <si>
    <t xml:space="preserve">LYNCH , RON &amp; JUDY </t>
  </si>
  <si>
    <t>EAGLE CANYON 3 UT 2 LT 115</t>
  </si>
  <si>
    <t>1422 TALON DR</t>
  </si>
  <si>
    <t xml:space="preserve">BROWNING, JEB W &amp; KRISTEN M </t>
  </si>
  <si>
    <t xml:space="preserve">LAVASSE, MARVIN C </t>
  </si>
  <si>
    <t>EAGLE CANYON 3 UT 1B LT 54</t>
  </si>
  <si>
    <t>3350 GROVE SPRINGS DR</t>
  </si>
  <si>
    <t>MATOVINA, JESSE J et al</t>
  </si>
  <si>
    <t xml:space="preserve">MOORE, DENNIS L &amp; TONYA M </t>
  </si>
  <si>
    <t xml:space="preserve">WILD HAWK RIDGE 5 LT 623 </t>
  </si>
  <si>
    <t>7370 ASH SPRINGS DR</t>
  </si>
  <si>
    <t xml:space="preserve">ANDERSON, JON </t>
  </si>
  <si>
    <t xml:space="preserve">WILD HAWK RIDGE 5 LT 636 </t>
  </si>
  <si>
    <t>385 ASH SPRINGS CT</t>
  </si>
  <si>
    <t xml:space="preserve">BOWERS, KEITH L &amp; JEAMA K </t>
  </si>
  <si>
    <t xml:space="preserve">JUNKMAN, JAMES A &amp; PAMELA J </t>
  </si>
  <si>
    <t xml:space="preserve">WILD HAWK RIDGE 5 LT 644 </t>
  </si>
  <si>
    <t>2311 ALBATROSS WAY</t>
  </si>
  <si>
    <t xml:space="preserve">HAYES, JACKIE &amp; DEBORAH </t>
  </si>
  <si>
    <t xml:space="preserve">LEE, OLGA </t>
  </si>
  <si>
    <t>EAGLE CANYON 3 UT 2 LT 106</t>
  </si>
  <si>
    <t>2314 ALBATROSS WAY</t>
  </si>
  <si>
    <t>JACK W &amp; SHERRILL L BERRY TRUSTEE</t>
  </si>
  <si>
    <t xml:space="preserve">HUTCHINGS, WESTON L  &amp; LAUREN </t>
  </si>
  <si>
    <t>EAGLE CANYON 3 UT 2 LT 144</t>
  </si>
  <si>
    <t>2315 SOAR DR</t>
  </si>
  <si>
    <t xml:space="preserve">PERRY 2005 TRUST, DAVID R &amp; KATHY   </t>
  </si>
  <si>
    <t xml:space="preserve">2315 SOAR DR </t>
  </si>
  <si>
    <t>EAGLE CANYON 3 UT 2 LT 148</t>
  </si>
  <si>
    <t>2299 SOAR DR</t>
  </si>
  <si>
    <t xml:space="preserve">ARBOGAST, WILLIAM C &amp; GAIL L  </t>
  </si>
  <si>
    <t xml:space="preserve">HANSON, DODIE M </t>
  </si>
  <si>
    <t>EAGLE CANYON 3 UT 2 LT 152</t>
  </si>
  <si>
    <t>2299 RUDDY WAY</t>
  </si>
  <si>
    <t xml:space="preserve">SHINMEI, JAMES J </t>
  </si>
  <si>
    <t xml:space="preserve">STAR AEROSPACE 401(k) PLAN </t>
  </si>
  <si>
    <t>EAGLE CANYON 3 UT 2 LT 172</t>
  </si>
  <si>
    <t>1170 DORTMUNDER DR</t>
  </si>
  <si>
    <t xml:space="preserve">RINALDI, JEFFREY B &amp; ARIANA M </t>
  </si>
  <si>
    <t>EAGLE CANYON 2 UT 4 LT 86</t>
  </si>
  <si>
    <t>1302 LUBLIN DR</t>
  </si>
  <si>
    <t>EAGLE CANYON 2 UT 4 LT 71</t>
  </si>
  <si>
    <t>2355 RUDDY WAY</t>
  </si>
  <si>
    <t xml:space="preserve">VASQUEZ, RICK JR </t>
  </si>
  <si>
    <t xml:space="preserve">PARSONS, MICHAEL A &amp; ALISON M </t>
  </si>
  <si>
    <t>EAGLE CANYON 3 UT 3 LT 270</t>
  </si>
  <si>
    <t>2375 CONTRAIL ST</t>
  </si>
  <si>
    <t xml:space="preserve">ZIELINSKI, JENNIE &amp; MARC </t>
  </si>
  <si>
    <t>EAGLE CANYON 3 UT 4A LT 334</t>
  </si>
  <si>
    <t>2385 MAMMATUS DR</t>
  </si>
  <si>
    <t xml:space="preserve">ASHLEY, ERICA L  </t>
  </si>
  <si>
    <t xml:space="preserve">CROOKS, GERALD M &amp; DANA M </t>
  </si>
  <si>
    <t>EAGLE CANYON 3 UT 4A LT 292</t>
  </si>
  <si>
    <t>1600 BILLOW DR</t>
  </si>
  <si>
    <t xml:space="preserve">ROBSON, BRADLEY L &amp; SYLVIA V </t>
  </si>
  <si>
    <t>EAGLE CANYON 3 UT4A  LT 307</t>
  </si>
  <si>
    <t>2355 PILEUS RD</t>
  </si>
  <si>
    <t xml:space="preserve">SPEARS, DONALD JR &amp; MARIE </t>
  </si>
  <si>
    <t>EAGLE CANYON 3 UT 4B LT 344</t>
  </si>
  <si>
    <t>1675 TALKING SPARROW DR</t>
  </si>
  <si>
    <t xml:space="preserve">GALLOP, KENNETH G &amp; TIFFANY A  </t>
  </si>
  <si>
    <t xml:space="preserve">HANSEN, MICHAEL S &amp; JENIFER H </t>
  </si>
  <si>
    <t>EAGLE CANYON 3 UT 4B LT 336</t>
  </si>
  <si>
    <t>1730 BILLOW DR</t>
  </si>
  <si>
    <t xml:space="preserve">BACCHETTI LIVING TRUST, ELLA J  </t>
  </si>
  <si>
    <t xml:space="preserve">BACCHETTI, ELLA J </t>
  </si>
  <si>
    <t>EAGLE CANYON 3 UT 4B LT 363</t>
  </si>
  <si>
    <t>2430 PILEUS RD</t>
  </si>
  <si>
    <t>SCHWEMER, MEGAN K et al</t>
  </si>
  <si>
    <t>BRILL AARON M</t>
  </si>
  <si>
    <t xml:space="preserve">DOSH, BRIAN R &amp; JAIME L </t>
  </si>
  <si>
    <t>EAGLE CANYON 3 UT 4B LT 391</t>
  </si>
  <si>
    <t>1345 LAMBIC DR</t>
  </si>
  <si>
    <t xml:space="preserve">GARDNER, GREGORY S </t>
  </si>
  <si>
    <t>EAGLE CANYON 2 UT 5 LT 158</t>
  </si>
  <si>
    <t>1330 LAMBIC DR</t>
  </si>
  <si>
    <t xml:space="preserve">MILLIGAN, RONALD &amp; CLAUDIA </t>
  </si>
  <si>
    <t>EAGLE CANYON 2 UT 5 LT 171</t>
  </si>
  <si>
    <t>1316 LAMBIC DR</t>
  </si>
  <si>
    <t xml:space="preserve">FLYNN, JERRY </t>
  </si>
  <si>
    <t xml:space="preserve">1316 LAMBIC DR </t>
  </si>
  <si>
    <t>EAGLE CANYON 2 UT 5 LT 170</t>
  </si>
  <si>
    <t>2325 MAMMATUS DR</t>
  </si>
  <si>
    <t xml:space="preserve">STEWART, MATTHEW L &amp; STEPHANIE N </t>
  </si>
  <si>
    <t xml:space="preserve">MAMMATUS TRUST 2325  </t>
  </si>
  <si>
    <t>EAGLE CANYON 3 UT 5 LT 488</t>
  </si>
  <si>
    <t>2295 MAMMATUS DR</t>
  </si>
  <si>
    <t xml:space="preserve">SCHWALB, RYAN A </t>
  </si>
  <si>
    <t>HARRIS, RICHARD A &amp; JUDY A et al</t>
  </si>
  <si>
    <t>EAGLE CANYON 3 UT 5 LT 485</t>
  </si>
  <si>
    <t>2195 LENTICULAR DR</t>
  </si>
  <si>
    <t xml:space="preserve">FORNERO, JOSEPH &amp; JUDITH D </t>
  </si>
  <si>
    <t>PO BOX 98</t>
  </si>
  <si>
    <t xml:space="preserve">MCCLOUD </t>
  </si>
  <si>
    <t>EAGLE CANYON 3 UT 5 LT 460</t>
  </si>
  <si>
    <t>2145 LENTICULAR DR</t>
  </si>
  <si>
    <t xml:space="preserve">SMITH, DENNIS B &amp; PATRICIA M </t>
  </si>
  <si>
    <t xml:space="preserve">ARRIBILLAGA, RICHARD &amp; CARLA </t>
  </si>
  <si>
    <t>EAGLE CANYON 3 UT 5 LT 455</t>
  </si>
  <si>
    <t>2190 MAMMATUS DR</t>
  </si>
  <si>
    <t xml:space="preserve">DICKINSON, KRYSTAL M </t>
  </si>
  <si>
    <t>EAGLE CANYON 3 UT 5 LT 418</t>
  </si>
  <si>
    <t>2205 MAMMATUS DR</t>
  </si>
  <si>
    <t xml:space="preserve">COFFEY, JAMES E &amp; DIANE K </t>
  </si>
  <si>
    <t xml:space="preserve">HARTZE, SCOTT A &amp; STACIE L </t>
  </si>
  <si>
    <t>EAGLE CANYON 3 UT 5 LT 496</t>
  </si>
  <si>
    <t>2065 LENTICULAR DR</t>
  </si>
  <si>
    <t xml:space="preserve">LOPEZ, DANA M  </t>
  </si>
  <si>
    <t xml:space="preserve">2065 LENTICULAR DR </t>
  </si>
  <si>
    <t>EAGLE CANYON 3 UT 5 LT 447</t>
  </si>
  <si>
    <t>2015 LENTICULAR DR</t>
  </si>
  <si>
    <t xml:space="preserve">JEAKINS, KRISTOFER W &amp; ANNA E </t>
  </si>
  <si>
    <t xml:space="preserve">CRUZ, VINCENT &amp; KELLY </t>
  </si>
  <si>
    <t>EAGLE CANYON 3 UT 5 LT 442</t>
  </si>
  <si>
    <t>2050 LENTICULAR DR</t>
  </si>
  <si>
    <t xml:space="preserve">WHITE, STANLEY T </t>
  </si>
  <si>
    <t xml:space="preserve">COUNTRYWIDE HOME LOANS INC </t>
  </si>
  <si>
    <t>EAGLE CANYON 3 UT 5 LT 434</t>
  </si>
  <si>
    <t>1635 CUMULUS CT</t>
  </si>
  <si>
    <t xml:space="preserve">SEEKINS, ANGELA D </t>
  </si>
  <si>
    <t xml:space="preserve">RIDER, GARY D &amp; AMANDA A </t>
  </si>
  <si>
    <t>EAGLE CANYON 3 UT 5 LT 429</t>
  </si>
  <si>
    <t>1366 DORTMUNDER DR</t>
  </si>
  <si>
    <t xml:space="preserve">CAMPBELL, TERRY &amp; DEBORAH L  </t>
  </si>
  <si>
    <t xml:space="preserve">EASTMAN, BRUCE &amp; JOANN </t>
  </si>
  <si>
    <t>EAGLE CANYON 2 UT 6 LT 205</t>
  </si>
  <si>
    <t>1175 SAXON DR</t>
  </si>
  <si>
    <t xml:space="preserve">METTLER, MILES M &amp; CHRISTINE A  </t>
  </si>
  <si>
    <t xml:space="preserve">1175 SAXON DR </t>
  </si>
  <si>
    <t xml:space="preserve">GONZALEZ, DANNY S &amp; CRISTAL E  </t>
  </si>
  <si>
    <t>EAGLE CANYON 2 UT 6 LT 204</t>
  </si>
  <si>
    <t>1650 KINGLET DR</t>
  </si>
  <si>
    <t xml:space="preserve">ANDERSON, JOHN P &amp; DONNA K </t>
  </si>
  <si>
    <t xml:space="preserve">CERVANTEZ, ESEQUIEL JR &amp; MARLISE O </t>
  </si>
  <si>
    <t>EAGLE CANYON 2 UT 6 LT 196</t>
  </si>
  <si>
    <t>1622 KINGLET DR</t>
  </si>
  <si>
    <t xml:space="preserve">WILSON , MARK E &amp; CHRISTIE L  </t>
  </si>
  <si>
    <t xml:space="preserve">SOUZA, WILLIAM &amp; EVANGELINE </t>
  </si>
  <si>
    <t>EAGLE CANYON 2 UT 6 LT 194</t>
  </si>
  <si>
    <t>1975 LENTICULAR DR</t>
  </si>
  <si>
    <t xml:space="preserve">RIPA, MARK &amp; DEBBIE </t>
  </si>
  <si>
    <t>FORD, WILLIAM F et al</t>
  </si>
  <si>
    <t>EAGLE CANYON 2 UT 6 LT 184</t>
  </si>
  <si>
    <t>1297 SAXON DR</t>
  </si>
  <si>
    <t xml:space="preserve">BELL GENERATION TRUST, TERRY L  </t>
  </si>
  <si>
    <t>204 BEARGRASS CIR</t>
  </si>
  <si>
    <t>WHITEFISH</t>
  </si>
  <si>
    <t>59937</t>
  </si>
  <si>
    <t xml:space="preserve">FIDDLESTICKS LLC </t>
  </si>
  <si>
    <t>EAGLE CANYON 2 UT 6 LT 244</t>
  </si>
  <si>
    <t>1307 FUGGLES DR</t>
  </si>
  <si>
    <t>SANCHEZ-GARCIA, JORGE et al</t>
  </si>
  <si>
    <t>MENDEZ DE GARCIA LILIANA</t>
  </si>
  <si>
    <t>EAGLE CANYON 2 UT 7 LT 285</t>
  </si>
  <si>
    <t>1336 FUGGLES DR</t>
  </si>
  <si>
    <t xml:space="preserve">FORMICO, WILLIAM C &amp; TONETTE D  </t>
  </si>
  <si>
    <t xml:space="preserve">1336 FUGGLES DR </t>
  </si>
  <si>
    <t xml:space="preserve">FERRERA, RENATO A &amp; GLORIA A  </t>
  </si>
  <si>
    <t>EAGLE CANYON 2 UT 7 LT 276</t>
  </si>
  <si>
    <t>1333 STICKLEBRACT DR</t>
  </si>
  <si>
    <t xml:space="preserve">SHEELEY, STEVEN E &amp; KAREN  </t>
  </si>
  <si>
    <t xml:space="preserve">CORBIT, RICHARD C &amp; DARLENE K </t>
  </si>
  <si>
    <t>EAGLE CANYON 2 UT 7 LT 266</t>
  </si>
  <si>
    <t>1838 KINGLET DR</t>
  </si>
  <si>
    <t xml:space="preserve">NICKEL, MARK D </t>
  </si>
  <si>
    <t xml:space="preserve">GOINS, NATHAN A &amp; JENNIFER L </t>
  </si>
  <si>
    <t>EAGLE CANYON 2 UT 7 LT 269</t>
  </si>
  <si>
    <t xml:space="preserve">FRESH &amp; EASY PROPERTY CO LLC </t>
  </si>
  <si>
    <t>2120 PARK PLACE STE 200</t>
  </si>
  <si>
    <t>EL SEGUNDO</t>
  </si>
  <si>
    <t xml:space="preserve">EAGLE LANDING CENTER LLC </t>
  </si>
  <si>
    <t>PM 5019 PAR 4</t>
  </si>
  <si>
    <t>1274 BELLATRIX  WAY</t>
  </si>
  <si>
    <t xml:space="preserve">ORR, DANIEL L &amp; JOYCE M  </t>
  </si>
  <si>
    <t>1274 BELLATRIX WAY</t>
  </si>
  <si>
    <t>EAGLE CANYON 4 UT 1 LT 49</t>
  </si>
  <si>
    <t>2363 GARNET STAR WAY</t>
  </si>
  <si>
    <t>COOPER, RAYMOND C &amp; MARY F et al</t>
  </si>
  <si>
    <t xml:space="preserve">COOPER, RAYMOND C &amp; MARY F </t>
  </si>
  <si>
    <t>EAGLE CANYON 4 UT 1 LT 15</t>
  </si>
  <si>
    <t>2347 GARNET STAR WAY</t>
  </si>
  <si>
    <t xml:space="preserve">PEREZ, DOUGLAS </t>
  </si>
  <si>
    <t xml:space="preserve">GARNET STAR TRUST 2347  </t>
  </si>
  <si>
    <t>EAGLE CANYON 4 UT 1 LT 11</t>
  </si>
  <si>
    <t>2339 GARNET STAR WAY</t>
  </si>
  <si>
    <t>FMD INVESTMENTS LLC  LLC</t>
  </si>
  <si>
    <t>PO BOX 2006</t>
  </si>
  <si>
    <t xml:space="preserve">WHITESIDE, JIMMY L  </t>
  </si>
  <si>
    <t>EAGLE CANYON 4 UT 1 LT 9</t>
  </si>
  <si>
    <t>1258 BELLATRIX  WAY</t>
  </si>
  <si>
    <t xml:space="preserve">HERNANDEZ, JUAN C &amp; PAIGE A  </t>
  </si>
  <si>
    <t>1258 BELLATRIX WAY</t>
  </si>
  <si>
    <t xml:space="preserve">ALANO, MARK &amp; COLLET </t>
  </si>
  <si>
    <t>EAGLE CANYON 4 UT 1 LT 53</t>
  </si>
  <si>
    <t>1254 BELLATRIX  WAY</t>
  </si>
  <si>
    <t xml:space="preserve">BERNIAK, ANDREW </t>
  </si>
  <si>
    <t>1254 BELLATRIX WAY</t>
  </si>
  <si>
    <t>EAGLE CANYON 4 UT 1 LT 54</t>
  </si>
  <si>
    <t>2315 ADARA CT</t>
  </si>
  <si>
    <t xml:space="preserve">AHLES, JASON &amp; CHRISTINE  </t>
  </si>
  <si>
    <t xml:space="preserve">STOWE, AUSTIN </t>
  </si>
  <si>
    <t>EAGLE CANYON 4 UT 1 LT 113</t>
  </si>
  <si>
    <t>2307 ADARA CT</t>
  </si>
  <si>
    <t xml:space="preserve">TURPEN, DOUGLAS D &amp; LAURA </t>
  </si>
  <si>
    <t>EAGLE CANYON 4 UT 1 LT 115</t>
  </si>
  <si>
    <t>2314 ADARA CT</t>
  </si>
  <si>
    <t xml:space="preserve">FULCHER, FLOYD </t>
  </si>
  <si>
    <t xml:space="preserve">JANES, VENUS M </t>
  </si>
  <si>
    <t>EAGLE CANYON 4 UT 1 LT 118</t>
  </si>
  <si>
    <t>2315 SITULA CT</t>
  </si>
  <si>
    <t xml:space="preserve">GLASSCO, ALICIA A &amp; BRAD D  </t>
  </si>
  <si>
    <t xml:space="preserve">ARRUDA LIVING TRUST  </t>
  </si>
  <si>
    <t>EAGLE CANYON 4 UT 1 LT 99</t>
  </si>
  <si>
    <t>2306 SITULA CT</t>
  </si>
  <si>
    <t xml:space="preserve">BURLAMAQUE, MARIA T </t>
  </si>
  <si>
    <t xml:space="preserve">DUNN, JOSEPH G &amp; KELLY A </t>
  </si>
  <si>
    <t>EAGLE CANYON 4 UT 1 LT 101</t>
  </si>
  <si>
    <t>1279 HAISTAR TRL</t>
  </si>
  <si>
    <t xml:space="preserve">ROBERTS, DONNY L </t>
  </si>
  <si>
    <t>EAGLE CANYON 4 UT 1 LT 81</t>
  </si>
  <si>
    <t>1274 CHARA LN</t>
  </si>
  <si>
    <t xml:space="preserve">PATNAUDE LIVING TRUST, ROBERT E &amp; JINTANA  </t>
  </si>
  <si>
    <t>2355 LOIS CT</t>
  </si>
  <si>
    <t>EAGLE CANYON 4 UT 1 LT 71</t>
  </si>
  <si>
    <t>10910 DROMEDARY RD</t>
  </si>
  <si>
    <t xml:space="preserve">STAVE REVOCABLE LIVING TRUST  </t>
  </si>
  <si>
    <t>PYRAMID RANCH EST 2 LT 11</t>
  </si>
  <si>
    <t>10895 DROMEDARY RD</t>
  </si>
  <si>
    <t xml:space="preserve">GALVIN, KIM M  </t>
  </si>
  <si>
    <t xml:space="preserve">10895 DROMEDARY RD </t>
  </si>
  <si>
    <t xml:space="preserve">TRI-FIN LLC </t>
  </si>
  <si>
    <t>PYRAMID RANCH EST 2 LT 8</t>
  </si>
  <si>
    <t>425 ROSETTA STONE DR</t>
  </si>
  <si>
    <t xml:space="preserve">ALLEN, DAN G </t>
  </si>
  <si>
    <t>PYRAMID RANCH EST 2 LT 3</t>
  </si>
  <si>
    <t>435 ROSETTA STONE DR</t>
  </si>
  <si>
    <t xml:space="preserve">MALONE, HARLAN </t>
  </si>
  <si>
    <t>PYRAMID RANCH EST 2 LT 2</t>
  </si>
  <si>
    <t>445 ROSETTA STONE DR</t>
  </si>
  <si>
    <t xml:space="preserve">READER, ROBERT J &amp; SHARON E </t>
  </si>
  <si>
    <t>PYRAMID RANCH EST 2 LT 1</t>
  </si>
  <si>
    <t xml:space="preserve">BAILEY, KATHLEEN </t>
  </si>
  <si>
    <t>EAGLE CANYON 4 UT 2 LT 123</t>
  </si>
  <si>
    <t>15 ARCHER CT</t>
  </si>
  <si>
    <t xml:space="preserve">KOCH, SHANE </t>
  </si>
  <si>
    <t>BRIDLE PATH HOMES UNIT 5 LOT 25 BLK B</t>
  </si>
  <si>
    <t>354 OMNI DR</t>
  </si>
  <si>
    <t xml:space="preserve">LINDSAY, DANIEL R &amp; SANDRA R </t>
  </si>
  <si>
    <t xml:space="preserve">LEVY, LAWRENCE &amp; PATRICIA M </t>
  </si>
  <si>
    <t>BRIDLE PATH HM 5 LT 33 BLK D</t>
  </si>
  <si>
    <t>120 E SKY RANCH BLVD</t>
  </si>
  <si>
    <t>SKY RANCH 1-A</t>
  </si>
  <si>
    <t xml:space="preserve">HARDY, JANET </t>
  </si>
  <si>
    <t>076-623-11</t>
  </si>
  <si>
    <t>SKY RANCH 1-A LT 11 BLK 8</t>
  </si>
  <si>
    <t>25 SUKI CIR</t>
  </si>
  <si>
    <t xml:space="preserve">GRAVES, ROSCOE C  </t>
  </si>
  <si>
    <t>076-631-07</t>
  </si>
  <si>
    <t>SKY RANCH 1A LT 7 BLK 9</t>
  </si>
  <si>
    <t>60 HERCULES DR</t>
  </si>
  <si>
    <t xml:space="preserve">WOOD, DANIEL R  </t>
  </si>
  <si>
    <t>60 HERCULES</t>
  </si>
  <si>
    <t xml:space="preserve">MARPLE, JUDY G </t>
  </si>
  <si>
    <t>076-636-06</t>
  </si>
  <si>
    <t>SKY RANCH UNIT NO 1-B  LOT 6 BLK 4</t>
  </si>
  <si>
    <t>80 HERCULES DR</t>
  </si>
  <si>
    <t xml:space="preserve">THOMPSON, RIC L &amp; DONNA M </t>
  </si>
  <si>
    <t>PO BOX 4288</t>
  </si>
  <si>
    <t xml:space="preserve">EDWARDS, EARL G &amp; KAYLEEN ANN </t>
  </si>
  <si>
    <t>076-636-08</t>
  </si>
  <si>
    <t>SKY RANCH UNIT NO 1-B  LOT 8 BLK 4</t>
  </si>
  <si>
    <t>155 VIRGIL DR</t>
  </si>
  <si>
    <t>VAN VALEN, JOHN E  et al</t>
  </si>
  <si>
    <t>076-644-09</t>
  </si>
  <si>
    <t>SKY RANCH 1-A LT 9 BLK 6</t>
  </si>
  <si>
    <t>9085 SPANISH TRAIL DR</t>
  </si>
  <si>
    <t xml:space="preserve">BUENTING, RICHARD </t>
  </si>
  <si>
    <t>4145 LONE TREE LN</t>
  </si>
  <si>
    <t xml:space="preserve">STOKES, JOSEPH </t>
  </si>
  <si>
    <t>076-731-11</t>
  </si>
  <si>
    <t>SURPRISE VALLEY RANCHOS 1B LT 31 BLK B</t>
  </si>
  <si>
    <t>8935 JEDEDIAH SMITH DR</t>
  </si>
  <si>
    <t xml:space="preserve">LUCCHESI, AMADEO L &amp; JENNIFER A </t>
  </si>
  <si>
    <t>076-732-05</t>
  </si>
  <si>
    <t>SURPRISE VALLEY RANCHOS PH 1A  LT 13 BLK B</t>
  </si>
  <si>
    <t>8985 SPANISH TRAIL DR</t>
  </si>
  <si>
    <t>SURPRISE VLEY RANCHOS 1B</t>
  </si>
  <si>
    <t xml:space="preserve">FORTUNE FAMILY TRUST  </t>
  </si>
  <si>
    <t xml:space="preserve">FORTUNE, JAMES F III &amp; KRISTINA  </t>
  </si>
  <si>
    <t>076-733-03</t>
  </si>
  <si>
    <t>SURPRISE VALLEY RANCHOS PH 1B LT 41 BLK C</t>
  </si>
  <si>
    <t>9380 BENEDICT DR</t>
  </si>
  <si>
    <t xml:space="preserve">PHILLIPS, JOHN R &amp; ANGELA S  </t>
  </si>
  <si>
    <t xml:space="preserve">PHILLIPS, ANGELA S </t>
  </si>
  <si>
    <t>076-771-10</t>
  </si>
  <si>
    <t>SURPRISE VALLEY RANCHOS 3A LT 90 BLK C</t>
  </si>
  <si>
    <t>9475 BENEDICT DR</t>
  </si>
  <si>
    <t xml:space="preserve">BRUBAKER, ARTHUR S JR  </t>
  </si>
  <si>
    <t xml:space="preserve">CUDIA, MICHAEL A &amp; KATHY L </t>
  </si>
  <si>
    <t>076-812-03</t>
  </si>
  <si>
    <t>SURPRISE VALLEY RANCHOS 3B LT 107 BLK E</t>
  </si>
  <si>
    <t>9500 BENEDICT DR</t>
  </si>
  <si>
    <t>SURPRISE VALLEY RNCHO 3B</t>
  </si>
  <si>
    <t xml:space="preserve">PEEK, MELISSA A </t>
  </si>
  <si>
    <t>076-813-06</t>
  </si>
  <si>
    <t>SURPRISE VALLEY RANCHO 3B LT 126 BLK C</t>
  </si>
  <si>
    <t>9510 BENEDICT DR</t>
  </si>
  <si>
    <t xml:space="preserve">ROOT, SHERRIE </t>
  </si>
  <si>
    <t>4201 DESERT FOX DR</t>
  </si>
  <si>
    <t xml:space="preserve">RHOADES, DOUGLAS C &amp; DIANNE C </t>
  </si>
  <si>
    <t>076-813-07</t>
  </si>
  <si>
    <t>SURPRISE VALLEY RANCHOS 3B LT 125 BLK C</t>
  </si>
  <si>
    <t>9410 OGDEN TRAIL DR</t>
  </si>
  <si>
    <t>SURPRISE VLEY RANCHOS 2B</t>
  </si>
  <si>
    <t xml:space="preserve">AMERINE, ANTHONY A &amp; CORNELIA R  </t>
  </si>
  <si>
    <t xml:space="preserve">WILLIS, ELEANORE Q </t>
  </si>
  <si>
    <t>076-814-01</t>
  </si>
  <si>
    <t>SURPRISE VALLEY RANCHOS PHASE 2B LT 136 BLK B</t>
  </si>
  <si>
    <t>9435 OGDEN TRAIL DR</t>
  </si>
  <si>
    <t xml:space="preserve">HARNED, ERIC &amp; MARISSA  </t>
  </si>
  <si>
    <t xml:space="preserve">LEWIS, CHRISTIE J </t>
  </si>
  <si>
    <t>076-813-17</t>
  </si>
  <si>
    <t>SURPRISE VALLEY RANCHOS PHASE 2B LOT 135 BLK C</t>
  </si>
  <si>
    <t>9090 CORDOBA BLVD</t>
  </si>
  <si>
    <t>SKY RANCH NORTH 2A</t>
  </si>
  <si>
    <t xml:space="preserve">VAULET, BARBARA </t>
  </si>
  <si>
    <t xml:space="preserve">COURTING FAMILY TRUST  </t>
  </si>
  <si>
    <t>076-741-03</t>
  </si>
  <si>
    <t>SKY RANCH NORTH 2A LT 3 BLK B</t>
  </si>
  <si>
    <t>370 OMNI DR</t>
  </si>
  <si>
    <t xml:space="preserve">MORRILL, FRANK W &amp; SHERIE L </t>
  </si>
  <si>
    <t>076-712-07</t>
  </si>
  <si>
    <t>BRIDLE PATH HM 3 LT 26 BLK D</t>
  </si>
  <si>
    <t>376 OMNI DR</t>
  </si>
  <si>
    <t xml:space="preserve">CHOLICO, GEORGE L </t>
  </si>
  <si>
    <t>076-712-10</t>
  </si>
  <si>
    <t>BRIDLE PATH HM 3 LT 23 BLK D</t>
  </si>
  <si>
    <t>30 SAINT GEORGE CT</t>
  </si>
  <si>
    <t xml:space="preserve">REIFERS, ELIZABETH E </t>
  </si>
  <si>
    <t xml:space="preserve">WRIGHT, RICHARD G </t>
  </si>
  <si>
    <t>076-752-14</t>
  </si>
  <si>
    <t>BRIDLE PATH HOMES 2 LT 18 BLK A</t>
  </si>
  <si>
    <t>165 BRIDLE PATH TER</t>
  </si>
  <si>
    <t>BRIDLE PATH HM 2</t>
  </si>
  <si>
    <t xml:space="preserve">BROOKS, JOHN L  </t>
  </si>
  <si>
    <t>3983 S MCCARRAN BLVD # 421</t>
  </si>
  <si>
    <t>BLACKWELL, KAITLYN D et al</t>
  </si>
  <si>
    <t>076-751-08</t>
  </si>
  <si>
    <t>BRIDLE PATH HM 2 LT 15 BLK D</t>
  </si>
  <si>
    <t>076-751-12</t>
  </si>
  <si>
    <t>235 BRIDLE PATH TER</t>
  </si>
  <si>
    <t xml:space="preserve">FERNANDEZ, EMILY M  </t>
  </si>
  <si>
    <t xml:space="preserve">TAYLOR, DARROLL J &amp; SANDRA I </t>
  </si>
  <si>
    <t>076-761-02</t>
  </si>
  <si>
    <t>BRIDLE PATH HM 3 LT 2 BLK E</t>
  </si>
  <si>
    <t>295 BRIDLE PATH TER</t>
  </si>
  <si>
    <t xml:space="preserve">MOODY, DEBRA &amp; DEAN S  </t>
  </si>
  <si>
    <t>295 BRIDLE PATH TERR</t>
  </si>
  <si>
    <t xml:space="preserve">DENNING, TIMOTHY M &amp; KATHLEEN J </t>
  </si>
  <si>
    <t>076-761-08</t>
  </si>
  <si>
    <t>BRIDLE PATH HM 3 LT 8 BLK E</t>
  </si>
  <si>
    <t>10 HARRISON PL</t>
  </si>
  <si>
    <t xml:space="preserve">WILSON TRUST, VICTOR L   </t>
  </si>
  <si>
    <t>076-833-10</t>
  </si>
  <si>
    <t>BRIDLE PATH HM 4 LT 27 BLK F</t>
  </si>
  <si>
    <t>35 MOONBEAM CT</t>
  </si>
  <si>
    <t xml:space="preserve">PLYS, TERRY K &amp; DAPHINE M </t>
  </si>
  <si>
    <t>076-842-06</t>
  </si>
  <si>
    <t>BRIDLE PATH HM 4 LT 52 BLK F</t>
  </si>
  <si>
    <t>160 STAGS LEAP CIR</t>
  </si>
  <si>
    <t>SURPRISE VALLEY RANCH 2 PH 1</t>
  </si>
  <si>
    <t xml:space="preserve">HAMILTON, WILLIAM L &amp; PAMELA B </t>
  </si>
  <si>
    <t>SURPRISE VALLEY RANCHOS 2 PH 1 LT 28 BLK E</t>
  </si>
  <si>
    <t>55 GERALDINE CT</t>
  </si>
  <si>
    <t>BRIDLE PATH HOMES 6</t>
  </si>
  <si>
    <t xml:space="preserve">MCLEMORE, RONALD W &amp; ANNA M  </t>
  </si>
  <si>
    <t xml:space="preserve">ROSS FAMILY TRUST, GARTH &amp; DEON G  </t>
  </si>
  <si>
    <t>BRIDLE PATH HM 6 LT 86 BLK F</t>
  </si>
  <si>
    <t>20 MARTELL PL</t>
  </si>
  <si>
    <t xml:space="preserve">GUNTHER, HAROLD C &amp; FELICIA D </t>
  </si>
  <si>
    <t xml:space="preserve">20 MARTELL PL                           </t>
  </si>
  <si>
    <t xml:space="preserve">BRUCE, CHRISTOPHER &amp; HEIDI </t>
  </si>
  <si>
    <t>BRIDLE PATH HM 6 LT 80 BLK F</t>
  </si>
  <si>
    <t>85 STAGS LEAP CIR</t>
  </si>
  <si>
    <t xml:space="preserve">DOBROWOLSKI, ALAN K &amp; KIM  </t>
  </si>
  <si>
    <t xml:space="preserve">ROSS, SCOTT G </t>
  </si>
  <si>
    <t>534-290-09</t>
  </si>
  <si>
    <t>SURPRISE VALLEY RANCHOS 2 PH 2 LT 46 BLK A</t>
  </si>
  <si>
    <t>315 STAGS LEAP CIR</t>
  </si>
  <si>
    <t>SURPRISE VALLEY RNCH 2 PH 2</t>
  </si>
  <si>
    <t xml:space="preserve">MURPHY LIVING TRUST, RICHARD W &amp; VIRGINIA E  </t>
  </si>
  <si>
    <t>255 STAGS LEAP CIR</t>
  </si>
  <si>
    <t>SURPRISE VALLEY RANCHOS 2 PH 2 LT 75 BLK B</t>
  </si>
  <si>
    <t>30 CATERPILLAR CT</t>
  </si>
  <si>
    <t xml:space="preserve">DEASON, WILLIAM R </t>
  </si>
  <si>
    <t>6458 AGRA ST</t>
  </si>
  <si>
    <t>POLLOCK PINES</t>
  </si>
  <si>
    <t>95726</t>
  </si>
  <si>
    <t xml:space="preserve">ROBINSON, THOMAS W &amp; TIFFINY A </t>
  </si>
  <si>
    <t>SKY RANCH NORTH 2D LT 61 BLK D</t>
  </si>
  <si>
    <t>45 DESERT DUDE CT</t>
  </si>
  <si>
    <t xml:space="preserve">POULIOT , KENNETH J &amp; SUSAN A </t>
  </si>
  <si>
    <t>SKY RANCH NORTH 2D LT 52 BLK D</t>
  </si>
  <si>
    <t>75 CHACON CT</t>
  </si>
  <si>
    <t>MARTES, THOMAS M &amp; JAN et al</t>
  </si>
  <si>
    <t xml:space="preserve">11820 OCEAN VIEW DR </t>
  </si>
  <si>
    <t>SKY RANCH NORTH 2D LT 45 BLK D</t>
  </si>
  <si>
    <t>57 MARILYN MAE DR</t>
  </si>
  <si>
    <t xml:space="preserve">FALCONER, JOHN L &amp; ZDENKA </t>
  </si>
  <si>
    <t xml:space="preserve">FALCONER, JOHN L </t>
  </si>
  <si>
    <t>SKY RANCH NORTH 2E LT 19 BLK E</t>
  </si>
  <si>
    <t>440 HAY BALE DR</t>
  </si>
  <si>
    <t xml:space="preserve">FIORE, JAMES J &amp; SUSAN </t>
  </si>
  <si>
    <t>3256 TIMER LN</t>
  </si>
  <si>
    <t>VERONA</t>
  </si>
  <si>
    <t>53593</t>
  </si>
  <si>
    <t>SKY RANCH NORTH 2G LT 52</t>
  </si>
  <si>
    <t>355 SUNSET SPRINGS LN</t>
  </si>
  <si>
    <t xml:space="preserve">TRIPPET, LARIMORE O II &amp; MARY C </t>
  </si>
  <si>
    <t xml:space="preserve">MADDOX, MICHAEL &amp; NICOLE </t>
  </si>
  <si>
    <t>SKY RANCH NORTH 2G LT 69</t>
  </si>
  <si>
    <t xml:space="preserve"> HORIZON VIEW AVE</t>
  </si>
  <si>
    <t>DONOVAN RANCH 1</t>
  </si>
  <si>
    <t>TRINITY MILLS-MIDWAY PTNRS LTD et al</t>
  </si>
  <si>
    <t>RYDER HOMES</t>
  </si>
  <si>
    <t>1425 TREAT BLVD</t>
  </si>
  <si>
    <t>534-450-07</t>
  </si>
  <si>
    <t>DONOVAN RANCH 1 FR LT A</t>
  </si>
  <si>
    <t>415 SUNSET SPRINGS LN</t>
  </si>
  <si>
    <t xml:space="preserve">MEDEIROS, WANDA R &amp; STEPHEN </t>
  </si>
  <si>
    <t>SKY RANCH NORTH 2H LT 30</t>
  </si>
  <si>
    <t>9560 CORDOBA BLVD</t>
  </si>
  <si>
    <t xml:space="preserve">MILLER TRUST, GLENN W &amp; VERNA D  </t>
  </si>
  <si>
    <t xml:space="preserve">MILLER, GLENN W &amp; VERNA D </t>
  </si>
  <si>
    <t>SKY RANCH NORTH 2H LT 20</t>
  </si>
  <si>
    <t>500 HAY BALE DR</t>
  </si>
  <si>
    <t xml:space="preserve">WILLIAMS, NEIL O &amp; CONNIE </t>
  </si>
  <si>
    <t xml:space="preserve">DERICCO, KATHY S &amp; ALAN L </t>
  </si>
  <si>
    <t>SKY RANCH NORTH 2H LT 46</t>
  </si>
  <si>
    <t>495 HAY BALE DR</t>
  </si>
  <si>
    <t xml:space="preserve">MINER, ANNETTE M </t>
  </si>
  <si>
    <t>495 HAYBALE DR</t>
  </si>
  <si>
    <t xml:space="preserve">MARSHALL, ROBERT T </t>
  </si>
  <si>
    <t>SKY RANCH NORTH 2H LT 40</t>
  </si>
  <si>
    <t>509 MARY`S LN</t>
  </si>
  <si>
    <t>MULBERRY</t>
  </si>
  <si>
    <t>72947</t>
  </si>
  <si>
    <t>540 HAY BALE DR</t>
  </si>
  <si>
    <t xml:space="preserve">AERICK, CALVEN S &amp; SHEILA R M </t>
  </si>
  <si>
    <t xml:space="preserve">540 HAY BALE DR </t>
  </si>
  <si>
    <t>SKY RANCH NORTH 2J LT 106</t>
  </si>
  <si>
    <t>565 HAY BALE CT</t>
  </si>
  <si>
    <t>GROGGER, ANDREW et al</t>
  </si>
  <si>
    <t>BEVERLY LYNNE</t>
  </si>
  <si>
    <t>565 HAYBALE CT</t>
  </si>
  <si>
    <t>SKY RANCH NORTH 2J LT 118</t>
  </si>
  <si>
    <t>9575 CORDOBA BLVD</t>
  </si>
  <si>
    <t>SKY RANCH NORTH UT 2-I</t>
  </si>
  <si>
    <t xml:space="preserve">RICKEY L WHYTUS &amp; ESTELLA S , TAYLOR FAMILY TRUST  </t>
  </si>
  <si>
    <t>WHYTUS, RICKEY  et al</t>
  </si>
  <si>
    <t>534-420-05</t>
  </si>
  <si>
    <t>SKY RANCH NORTH 2-I LT 101</t>
  </si>
  <si>
    <t>160 MYSTIC MOUNTAIN DR</t>
  </si>
  <si>
    <t xml:space="preserve">MILLER 2002 TRUST  </t>
  </si>
  <si>
    <t>160 MYSTIC MTN DR</t>
  </si>
  <si>
    <t xml:space="preserve">LESCHINSKY, GEORGE &amp; LISA M </t>
  </si>
  <si>
    <t>PEBBLE CREEK 1 LT 120</t>
  </si>
  <si>
    <t>11820 ANTHEM DR</t>
  </si>
  <si>
    <t xml:space="preserve">RIVERA, MICKEY &amp; ROSEMARY </t>
  </si>
  <si>
    <t xml:space="preserve">DIETER, JOHN J &amp; JERI A </t>
  </si>
  <si>
    <t>PEBBLE CREEK 1 LT 101</t>
  </si>
  <si>
    <t>225 MYSTIC MOUNTAIN DR</t>
  </si>
  <si>
    <t xml:space="preserve">GEDECKE REVOCABLE TRUST, CARL C &amp; ERIKA E  </t>
  </si>
  <si>
    <t xml:space="preserve">ANDERSON, CRAIG M &amp; CATHRYN N </t>
  </si>
  <si>
    <t>PEBBLE CREEK 1 LT 137</t>
  </si>
  <si>
    <t>305 MYSTIC MOUNTAIN DR</t>
  </si>
  <si>
    <t xml:space="preserve">LINTZ, MICHAEL A &amp; KIMBERLY L  </t>
  </si>
  <si>
    <t xml:space="preserve">RIPA, MARK E &amp; DEBBIE A </t>
  </si>
  <si>
    <t>PEBBLE CREEK 2 LT 245</t>
  </si>
  <si>
    <t>11805 OCEAN VIEW DR</t>
  </si>
  <si>
    <t xml:space="preserve">HALLENBECK, JACOBE C </t>
  </si>
  <si>
    <t>PEBBLE CREEK 2 LT 234</t>
  </si>
  <si>
    <t>11760 CANYON DAWN DR</t>
  </si>
  <si>
    <t xml:space="preserve">COLFACK, MARK A &amp; MISTY D  </t>
  </si>
  <si>
    <t xml:space="preserve">11760 CANYON DAWN DR </t>
  </si>
  <si>
    <t xml:space="preserve">MATTINGLY FAMILY TRUST  </t>
  </si>
  <si>
    <t>PEBBLE CREEK 2 LT 228</t>
  </si>
  <si>
    <t>11920 CANYON DAWN DR</t>
  </si>
  <si>
    <t xml:space="preserve">RAMSAY, JAMES C &amp; ALISA </t>
  </si>
  <si>
    <t xml:space="preserve">HOBBESIEFKEN, DAVID R </t>
  </si>
  <si>
    <t>PEBBLE CREEK 3 LT 334</t>
  </si>
  <si>
    <t>12045 ANTHEM DR</t>
  </si>
  <si>
    <t xml:space="preserve">DARCY, NANCY &amp; JOHN  </t>
  </si>
  <si>
    <t xml:space="preserve">PITTARD, BATEY D &amp; LORRAINE M </t>
  </si>
  <si>
    <t>PEBBLE CREEK 4 LT 405</t>
  </si>
  <si>
    <t>40 WEBFOOT CT</t>
  </si>
  <si>
    <t>DAINTY, WILLIAM et al</t>
  </si>
  <si>
    <t xml:space="preserve">HEMMINGSEN, NIELS &amp; MARY JANE P </t>
  </si>
  <si>
    <t>PEBBLE CREEK 4 LT 445</t>
  </si>
  <si>
    <t>12400 OCEAN VIEW DR</t>
  </si>
  <si>
    <t xml:space="preserve">ADAMS, CARLA A  </t>
  </si>
  <si>
    <t xml:space="preserve">12400 OCEAN VIEW DR </t>
  </si>
  <si>
    <t>PEBBLE CREEK 4 LT 431</t>
  </si>
  <si>
    <t>12145 HIDDEN HILLS DR</t>
  </si>
  <si>
    <t xml:space="preserve">NAUMANN, TERREL K &amp; LAURA  </t>
  </si>
  <si>
    <t xml:space="preserve">PEBBLE CREEK LLC </t>
  </si>
  <si>
    <t>PEBBLE CREEK 5 LT 515</t>
  </si>
  <si>
    <t>55 W CALLE DE LA PLATA</t>
  </si>
  <si>
    <t>RS 5039</t>
  </si>
  <si>
    <t xml:space="preserve">TERRIBLE HERBST INC </t>
  </si>
  <si>
    <t>ATTN TIMOTHY P HERBST</t>
  </si>
  <si>
    <t>5195 LAS VEGAS BLVD SOUTH</t>
  </si>
  <si>
    <t>LAS VAGAS</t>
  </si>
  <si>
    <t xml:space="preserve">SPARKS CC LLC </t>
  </si>
  <si>
    <t>538-131-08</t>
  </si>
  <si>
    <t>RS 5039  LT 3A</t>
  </si>
  <si>
    <t>265 INGENUITY AVE</t>
  </si>
  <si>
    <t>PM 5017</t>
  </si>
  <si>
    <t>SILVERADO LAND MANAGEMENT LLC</t>
  </si>
  <si>
    <t xml:space="preserve">SPANISH SPRINGS ASSOCIATES </t>
  </si>
  <si>
    <t>530-280-74</t>
  </si>
  <si>
    <t>PM 5017 PAR 2</t>
  </si>
  <si>
    <t>11405 LITTLE RIVER CT</t>
  </si>
  <si>
    <t xml:space="preserve">HUMPHREY, CHRISTIAN K &amp; JENNIFER L </t>
  </si>
  <si>
    <t>SKY VISTA VILLAGE 9A LT 107 BLK A</t>
  </si>
  <si>
    <t>11505 CLAIM STAKE DR</t>
  </si>
  <si>
    <t xml:space="preserve">CALISE, MARK &amp; CHRISTINE </t>
  </si>
  <si>
    <t xml:space="preserve">KOECH, BENJAMIN C &amp; LINDA C </t>
  </si>
  <si>
    <t>SKY VISTA VILLAGE 9A LT 102 BLK A</t>
  </si>
  <si>
    <t>11540 CLAIM STAKE DR</t>
  </si>
  <si>
    <t xml:space="preserve">VAQUERA, DIEGO </t>
  </si>
  <si>
    <t>SKY VISTA VILLAGE 9A LT 133 BLK C</t>
  </si>
  <si>
    <t>11605 CLAIM STAKE DR</t>
  </si>
  <si>
    <t xml:space="preserve">ASHWORTH, ANABEL </t>
  </si>
  <si>
    <t>SKY VISTA VILLAGE 9A LT 145 BLK D</t>
  </si>
  <si>
    <t>12360 CAMEL ROCK DR</t>
  </si>
  <si>
    <t>DEWEESE, KRISTIN D et al</t>
  </si>
  <si>
    <t>SKY VISTA VILLAGE 9B LT 347 BLK A</t>
  </si>
  <si>
    <t>10020 GROSSE POINT CT</t>
  </si>
  <si>
    <t>SKY VISTA VILLAGE 9B LT 221 BLK B</t>
  </si>
  <si>
    <t>10065 GROSSE POINT CT</t>
  </si>
  <si>
    <t xml:space="preserve">SMITH, ADAM M </t>
  </si>
  <si>
    <t xml:space="preserve">UHLMAN, JASON A &amp; EMILY S </t>
  </si>
  <si>
    <t>SKY VISTA VILLAGE 9B LT 218 BLK B</t>
  </si>
  <si>
    <t>11955 CAMEL ROCK DR</t>
  </si>
  <si>
    <t xml:space="preserve">LEYVA, IVONNE </t>
  </si>
  <si>
    <t xml:space="preserve">11955 CAMEL ROCK DR </t>
  </si>
  <si>
    <t xml:space="preserve">MALDONADO, MARIO </t>
  </si>
  <si>
    <t>SKY VISTA VILLAGE 9B LT 326 BLK B</t>
  </si>
  <si>
    <t>11975 CAMEL ROCK DR</t>
  </si>
  <si>
    <t xml:space="preserve">MACIAS-RODRIGUEZ, MIGEL A </t>
  </si>
  <si>
    <t xml:space="preserve">HILL, GREGG S </t>
  </si>
  <si>
    <t>SKY VISTA VILLAGE 9B LT 325 BLK B</t>
  </si>
  <si>
    <t>11760 CLAIM STAKE DR</t>
  </si>
  <si>
    <t>RODRIGUEZ-RAMOS, RODOLFO et al</t>
  </si>
  <si>
    <t>SKY VISTA VILLAGE 9B LT 234 BLK B</t>
  </si>
  <si>
    <t>11925 CLAIM STAKE DR</t>
  </si>
  <si>
    <t xml:space="preserve">ANGLE, ANDREW A  </t>
  </si>
  <si>
    <t xml:space="preserve">11925 CLAIM STAKE DR </t>
  </si>
  <si>
    <t>SKY VISTA VILLAGE 9B LT 307 BLK C</t>
  </si>
  <si>
    <t>9930 CRYSTALLINE CT</t>
  </si>
  <si>
    <t>SKY VISTA VILLAGE 2A LT 45</t>
  </si>
  <si>
    <t>9790 CRYSTALLINE DR</t>
  </si>
  <si>
    <t xml:space="preserve">SNAVELY, DALE A &amp; JUDY Q </t>
  </si>
  <si>
    <t>SKY VISTA VILLAGE 2A LT 58</t>
  </si>
  <si>
    <t>9810 CRYSTALLINE DR</t>
  </si>
  <si>
    <t xml:space="preserve">CROOKS, FRED B &amp; DONNA M </t>
  </si>
  <si>
    <t>SKY VISTA VILLAGE 2A LT 56</t>
  </si>
  <si>
    <t>9866 SUNCREST DR</t>
  </si>
  <si>
    <t xml:space="preserve">FENSLER, DONALD D  </t>
  </si>
  <si>
    <t xml:space="preserve">ZIMMERMAN, HEIDI  </t>
  </si>
  <si>
    <t>SKY VISTA VILLAGE 2A LT 84</t>
  </si>
  <si>
    <t>9731 CRYSTALLINE DR</t>
  </si>
  <si>
    <t xml:space="preserve">DICKSON, MICHAEL L </t>
  </si>
  <si>
    <t xml:space="preserve">WELLS FARGO FINANCIAL NEV 2  </t>
  </si>
  <si>
    <t>SKY VISTA VILLAGE 2B LT 19</t>
  </si>
  <si>
    <t>9811 SUNCREST DR</t>
  </si>
  <si>
    <t xml:space="preserve">LANCASTER, JEFFERSON A &amp; SUZANNE E  </t>
  </si>
  <si>
    <t xml:space="preserve">BORGES, WILLIAM III &amp; ROSALIND D </t>
  </si>
  <si>
    <t>SKY VISTA VILLAGE 2B LT 65</t>
  </si>
  <si>
    <t>9720 CRYSTALLINE DR</t>
  </si>
  <si>
    <t xml:space="preserve">ROBERTSON, GEORGE D </t>
  </si>
  <si>
    <t>SKY VISTA VILLAGE 2B LT 63</t>
  </si>
  <si>
    <t>9750 CRYSTALLINE DR</t>
  </si>
  <si>
    <t>MAHMOOD, SAJID  et al</t>
  </si>
  <si>
    <t xml:space="preserve">9750 CRYSTALLINE DR </t>
  </si>
  <si>
    <t>SKY VISTA VILLAGE 2B LT 61</t>
  </si>
  <si>
    <t>9795 SILVER DESERT CT</t>
  </si>
  <si>
    <t xml:space="preserve">SIMONIS, RUTH E &amp; SHELDON C </t>
  </si>
  <si>
    <t>SKY VISTA VILLAGE 8A LT 12</t>
  </si>
  <si>
    <t>9705 SILVER DESERT WAY</t>
  </si>
  <si>
    <t xml:space="preserve">SMOTHERS, DALEEN  </t>
  </si>
  <si>
    <t xml:space="preserve">MARTIN, CONNIE B </t>
  </si>
  <si>
    <t>SKY VISTA VILLAGE 8A LT 1</t>
  </si>
  <si>
    <t>9745 STONE VISTA CT</t>
  </si>
  <si>
    <t xml:space="preserve">HENNING, BRANDON J </t>
  </si>
  <si>
    <t xml:space="preserve">JUGAN, CHIN S </t>
  </si>
  <si>
    <t>SKY VISTA VILLAGE 8A LT 39</t>
  </si>
  <si>
    <t>11875 DESERT BLOOM DR</t>
  </si>
  <si>
    <t>SKY VISTA VILLAGE 8A LT 35</t>
  </si>
  <si>
    <t>11885 DESERT BLOOM DR</t>
  </si>
  <si>
    <t xml:space="preserve">WINNICKI, JOSEPH M JR </t>
  </si>
  <si>
    <t xml:space="preserve">DASH, NIKHIL C &amp; ANJANA R </t>
  </si>
  <si>
    <t>SKY VISTA VILLAGE 8A LT 34</t>
  </si>
  <si>
    <t>11760 DESERT GRASS CT</t>
  </si>
  <si>
    <t xml:space="preserve">OSTERMAN, JERRY D &amp; BARBARA A </t>
  </si>
  <si>
    <t>SKY VISTA VILLAGE 8A LT 21</t>
  </si>
  <si>
    <t>10025 SHOOTING STAR CT</t>
  </si>
  <si>
    <t>HAMILTON, KELLY B  et al</t>
  </si>
  <si>
    <t>820 SAN PEDRO AVE</t>
  </si>
  <si>
    <t>SKY VISTA VILLAGE 10A PH 1 LT 29</t>
  </si>
  <si>
    <t>10070 SHOOTING STAR CT</t>
  </si>
  <si>
    <t xml:space="preserve">ANDREN, IVAN N </t>
  </si>
  <si>
    <t>10070 SHOOTING STAR</t>
  </si>
  <si>
    <t>SKY VISTA VILLAGE 10A PH 1 LT 26</t>
  </si>
  <si>
    <t>9685 BRIGHTRIDGE DR</t>
  </si>
  <si>
    <t xml:space="preserve">JESCH, KATHLEEN </t>
  </si>
  <si>
    <t xml:space="preserve">BRIGHTRIDGE PROPERTY TRUST  </t>
  </si>
  <si>
    <t>SKY VISTA VILLAGE 10A PH 1 LT 21</t>
  </si>
  <si>
    <t>10050 SAGELAND WAY</t>
  </si>
  <si>
    <t xml:space="preserve">ONDERDONK, MARGARET C </t>
  </si>
  <si>
    <t xml:space="preserve">HUCKABEY, PHILLIP C &amp; SHAWNA </t>
  </si>
  <si>
    <t>SKY VISTA VILLAGE 10A PH 1 LT 15</t>
  </si>
  <si>
    <t>9690 BRIGHTRIDGE DR</t>
  </si>
  <si>
    <t xml:space="preserve">BROWN , HERBERT R  </t>
  </si>
  <si>
    <t>SKY VISTA VILLAGE 10A PH 1 LT 123</t>
  </si>
  <si>
    <t>9720 BRIGHTRIDGE DR</t>
  </si>
  <si>
    <t xml:space="preserve">BADILLA, FRANCISCO J &amp; LORENA E </t>
  </si>
  <si>
    <t>9720 BRIGHT RIDGE RD</t>
  </si>
  <si>
    <t>SKY VISTA VILLAGE 10A PH 1 LT 120</t>
  </si>
  <si>
    <t>9795 BRIGHTRIDGE DR</t>
  </si>
  <si>
    <t xml:space="preserve">ZARACO, IRENE </t>
  </si>
  <si>
    <t xml:space="preserve">9795 BRIGHTRIDGE DR </t>
  </si>
  <si>
    <t>ZARACO, IRENE R  et al</t>
  </si>
  <si>
    <t>SKY VISTA VILLAGE 10A PH 1 LT 74</t>
  </si>
  <si>
    <t>9825 TIBERIAS CT</t>
  </si>
  <si>
    <t xml:space="preserve">D RAY &amp; SIBYL HALL CHARITABLE, FOUNDATION </t>
  </si>
  <si>
    <t>SKY VISTA VILLAGE 10A PH 1 LT 69</t>
  </si>
  <si>
    <t>9845 TIBERIAS CT</t>
  </si>
  <si>
    <t xml:space="preserve">CANSINO, MANUEL  </t>
  </si>
  <si>
    <t xml:space="preserve">9845 TIBERIAS CT </t>
  </si>
  <si>
    <t xml:space="preserve">MASTERS, ELROY &amp; JOELLE V </t>
  </si>
  <si>
    <t>SKY VISTA VILLAGE 10A LT 67</t>
  </si>
  <si>
    <t>9560 BRIGHTRIDGE DR</t>
  </si>
  <si>
    <t xml:space="preserve">MILLER, JAY D </t>
  </si>
  <si>
    <t>SKY VISTA VILLAGE 10B PH 1 LT 5</t>
  </si>
  <si>
    <t>9670 STONEY CREEK WAY</t>
  </si>
  <si>
    <t xml:space="preserve">RIOS GONZALES, MARIA A </t>
  </si>
  <si>
    <t xml:space="preserve">GUICE, BRENT A &amp; NATASHIA </t>
  </si>
  <si>
    <t>SKY VISTA VILLAGE 10B PH 1 LT 37</t>
  </si>
  <si>
    <t>9575 STONEY CREEK WAY</t>
  </si>
  <si>
    <t>MCCOY, JOSEPH K et al</t>
  </si>
  <si>
    <t>SKY VISTA VILLAGE 10B PH 1 LT 65</t>
  </si>
  <si>
    <t>9545 STONEY CREEK WAY</t>
  </si>
  <si>
    <t xml:space="preserve">VALDEZ, GUADALUPE G </t>
  </si>
  <si>
    <t>SKY VISTA VILLAGE 10B PH 1 LT 62</t>
  </si>
  <si>
    <t>9970 VINTAGE DR</t>
  </si>
  <si>
    <t>LOPEZ, EDGAR E  et al</t>
  </si>
  <si>
    <t xml:space="preserve">9970 VINTAGE DR </t>
  </si>
  <si>
    <t xml:space="preserve">D`AMBROSIO, JOHN D &amp; BONNIE K </t>
  </si>
  <si>
    <t>SKY VISTA VILLAGE 10B PH 1 LT 59</t>
  </si>
  <si>
    <t>9590 STONEY CREEK WAY</t>
  </si>
  <si>
    <t>SKY VISTA VILLAGE 10B PH 1</t>
  </si>
  <si>
    <t>SKY VISTA VILLAGE 10B PH 1 LT 45</t>
  </si>
  <si>
    <t>9465 PINE TREE CT</t>
  </si>
  <si>
    <t xml:space="preserve">MINOR LIVING TRUST, BIRT  </t>
  </si>
  <si>
    <t xml:space="preserve">MINOR, BIRT R </t>
  </si>
  <si>
    <t>SKY VISTA VILLAGE 10B PH 1 LT 24</t>
  </si>
  <si>
    <t>9425 PINE TREE CT</t>
  </si>
  <si>
    <t xml:space="preserve">DEROUCHEY, JOEL  </t>
  </si>
  <si>
    <t>SKY VISTA VILLAGE 10B PH 1 LT 20</t>
  </si>
  <si>
    <t>9635 DRY SPRINGS CT</t>
  </si>
  <si>
    <t xml:space="preserve">PRATT, PHILLIP A &amp; CAROLYN E  </t>
  </si>
  <si>
    <t>2395 LINCOLN MEADOWS DR</t>
  </si>
  <si>
    <t xml:space="preserve">CASE, HEATHER </t>
  </si>
  <si>
    <t>SKY VISTA VILLAGE 8B LT 21</t>
  </si>
  <si>
    <t>9660 SILVER DESERT WAY</t>
  </si>
  <si>
    <t xml:space="preserve">HOEFLER, ELIZABETH J </t>
  </si>
  <si>
    <t>SKY VISTA VILLAGE 8B LT 14</t>
  </si>
  <si>
    <t>9690 ANTELOPE CREEK DR</t>
  </si>
  <si>
    <t>ANELLO, ELIZABETH R  et al</t>
  </si>
  <si>
    <t xml:space="preserve">HUMPHREYS SR FAMILY TRUST  </t>
  </si>
  <si>
    <t>SKY VISTA VILLAGE 3 LT 49</t>
  </si>
  <si>
    <t>9630 MARBLE CREEK CT</t>
  </si>
  <si>
    <t xml:space="preserve">CHAVES, FEDERICO J </t>
  </si>
  <si>
    <t xml:space="preserve">GLENN, STACY L </t>
  </si>
  <si>
    <t>SKY VISTA VILLAGE 3 LT 11</t>
  </si>
  <si>
    <t>9605 MARBLE CREEK CT</t>
  </si>
  <si>
    <t xml:space="preserve">REYNOLDS, SHELIA K &amp; ERIC R </t>
  </si>
  <si>
    <t>SKY VISTA VILLAGE 3 LT 15</t>
  </si>
  <si>
    <t>11530 LONE DESERT DR</t>
  </si>
  <si>
    <t xml:space="preserve">CAPURRO, MARGARET </t>
  </si>
  <si>
    <t xml:space="preserve">11530 LONE DESERT DR </t>
  </si>
  <si>
    <t>SKY VISTA VILLAGE 8C LT 26</t>
  </si>
  <si>
    <t>11805 DESERT BLOOM DR</t>
  </si>
  <si>
    <t>SKY VISTA VILLAGE 8C LT 57</t>
  </si>
  <si>
    <t>11735 LONE DESERT DR</t>
  </si>
  <si>
    <t xml:space="preserve">SMITH, BURTON W &amp; KATIE M  </t>
  </si>
  <si>
    <t xml:space="preserve">ADAMS, JERRY D &amp; LORRIE M </t>
  </si>
  <si>
    <t>SKY VISTA VILLAGE 8C LT 74</t>
  </si>
  <si>
    <t>9483 AUTUMN LEAF WAY</t>
  </si>
  <si>
    <t>BROWN, CHRISTOPHER et al</t>
  </si>
  <si>
    <t xml:space="preserve">9483 AUTUMN LEAF WAY </t>
  </si>
  <si>
    <t>SKY VISTA VILLAGE 6A LT 169</t>
  </si>
  <si>
    <t>9479 LADONIA CT</t>
  </si>
  <si>
    <t>SKY VISTA VILLAGE 6A LT 170</t>
  </si>
  <si>
    <t>9460 LADONIA CT</t>
  </si>
  <si>
    <t xml:space="preserve">QUINTERO, DULCE G  </t>
  </si>
  <si>
    <t xml:space="preserve">9460 LADONIA </t>
  </si>
  <si>
    <t xml:space="preserve">TIPTON, MARRIANNE &amp; TERRY G </t>
  </si>
  <si>
    <t>SKY VISTA VILLAGE 6A LT 172</t>
  </si>
  <si>
    <t>9414 CANYON MEADOWS DR</t>
  </si>
  <si>
    <t>VILLEGAS, JOSE L C et al</t>
  </si>
  <si>
    <t>DUQUE MARIA S</t>
  </si>
  <si>
    <t>SKY VISTA VILLAGE 6A LT 107</t>
  </si>
  <si>
    <t>9472 CANYON MEADOWS DR</t>
  </si>
  <si>
    <t>BROWN, JOSHUA W  et al</t>
  </si>
  <si>
    <t xml:space="preserve">2520 GLEN EAGLE DR </t>
  </si>
  <si>
    <t xml:space="preserve">HOWELL, JENNIFER J &amp; KELVIN L </t>
  </si>
  <si>
    <t>SKY VISTA VILLAGE 6A LT 116</t>
  </si>
  <si>
    <t>12003 KERNITE DR</t>
  </si>
  <si>
    <t>SKY VISTA VLG 10A PH2</t>
  </si>
  <si>
    <t>550-301-01</t>
  </si>
  <si>
    <t>SKY VISTA VILLAGE 10A PH 2 FR LT 16</t>
  </si>
  <si>
    <t>9990 BRIGHTRIDGE DR</t>
  </si>
  <si>
    <t xml:space="preserve">SOLANO-PLAZA, FRANCISCO </t>
  </si>
  <si>
    <t xml:space="preserve">LOPEZ, SALVADOR P </t>
  </si>
  <si>
    <t>550-302-20</t>
  </si>
  <si>
    <t>SKY VISTA VILLAGE 10A PH 2  LT 17</t>
  </si>
  <si>
    <t>9985 BRIGHTRIDGE DR</t>
  </si>
  <si>
    <t xml:space="preserve">SYKES, TONNETT L </t>
  </si>
  <si>
    <t>SKY VISTA VILLAGE 10A PH 2 LT 56</t>
  </si>
  <si>
    <t>9875 CEDAR RIVER CT</t>
  </si>
  <si>
    <t xml:space="preserve">CARRANZA, NORA H </t>
  </si>
  <si>
    <t xml:space="preserve">SMITHSON, RICHARD L &amp; CHERYL L </t>
  </si>
  <si>
    <t>SKY VISTA VILLAGE 10A PH 2 LT 52</t>
  </si>
  <si>
    <t>9840 CEDAR RIVER CT</t>
  </si>
  <si>
    <t>DE MOLINA, VIRGINIA C et al</t>
  </si>
  <si>
    <t>RAMIREZ MARIA E</t>
  </si>
  <si>
    <t xml:space="preserve">PETZ, DANIELLE D </t>
  </si>
  <si>
    <t>SKY VISTA VILLAGE 10A PH 2 LT 48</t>
  </si>
  <si>
    <t>9880 CEDAR RIVER CT</t>
  </si>
  <si>
    <t>GUILLEN, NOE A C et al</t>
  </si>
  <si>
    <t xml:space="preserve">CONTRERAS GRISELDA J C </t>
  </si>
  <si>
    <t xml:space="preserve">9880 CEDAR RIVER CT </t>
  </si>
  <si>
    <t>SKY VISTA VILLAGE 10A PH 2 LT 44</t>
  </si>
  <si>
    <t>9435 STONEY CREEK WAY</t>
  </si>
  <si>
    <t xml:space="preserve">HUBER, TODD A </t>
  </si>
  <si>
    <t>SKY VISTA VILLAGE 10B PH 2 LT 6</t>
  </si>
  <si>
    <t>9385 STONEY CREEK WAY</t>
  </si>
  <si>
    <t>LOPEZ, BRENDA G V et al</t>
  </si>
  <si>
    <t>SKY VISTA VILLAGE 10B PH 2 LT 11</t>
  </si>
  <si>
    <t>9365 STONEY CREEK WAY</t>
  </si>
  <si>
    <t xml:space="preserve">SOMERS, KRISTIN R  </t>
  </si>
  <si>
    <t xml:space="preserve">CORONADO, MANUEL A &amp; LILIA G </t>
  </si>
  <si>
    <t>SKY VISTA VILLAGE 10B PH 2 LT 13</t>
  </si>
  <si>
    <t>9237 BLACKBERRY CT</t>
  </si>
  <si>
    <t xml:space="preserve">BONDOC, FRITZIE R  </t>
  </si>
  <si>
    <t xml:space="preserve">MALER, JONELL L </t>
  </si>
  <si>
    <t>SKY VISTA VILLAGE 10B PH 2 LT 38</t>
  </si>
  <si>
    <t>9205 BRIGHTRIDGE DR</t>
  </si>
  <si>
    <t xml:space="preserve">ARGUEL, DEMETRIO M &amp; GLORIA A </t>
  </si>
  <si>
    <t>SKY VISTA VILLAGE 10B PH 2 LT 43</t>
  </si>
  <si>
    <t>9420 STONEY CREEK WAY</t>
  </si>
  <si>
    <t xml:space="preserve">PIERCE, SCOTT R </t>
  </si>
  <si>
    <t xml:space="preserve">BAFFREY, JAMES E </t>
  </si>
  <si>
    <t>SKY VISTA VILLAGE 10B PH 2 LT 53</t>
  </si>
  <si>
    <t>9470 STONEY CREEK WAY</t>
  </si>
  <si>
    <t>HUIZAR, LUIS A et al</t>
  </si>
  <si>
    <t>9740 STONEY CREEK WAY</t>
  </si>
  <si>
    <t>SKY VISTA VILLAE 10B PH 2 LT 58</t>
  </si>
  <si>
    <t>9970 SANDHAVEN CT</t>
  </si>
  <si>
    <t>SKY VISTA VILLAGE 10B PH3 LT 20</t>
  </si>
  <si>
    <t>9562 CANYON MEADOWS DR</t>
  </si>
  <si>
    <t>SKY VISTA VILLAGE 6B LT 262</t>
  </si>
  <si>
    <t>9570 CANYON MEADOWS DR</t>
  </si>
  <si>
    <t>AREVALOS-ALEJANDRO, CIRIACO et al</t>
  </si>
  <si>
    <t>AREVALOS VERONICA</t>
  </si>
  <si>
    <t>555 SULLIVAN LN #30</t>
  </si>
  <si>
    <t>SKY VISTA VILLAGE 6B LT 260</t>
  </si>
  <si>
    <t>9626 CANYON MEADOWS DR</t>
  </si>
  <si>
    <t>OBERG, MARTIN T &amp; TESSIE B  et al</t>
  </si>
  <si>
    <t>SKY VISTA VILLAGE 6B LT 248</t>
  </si>
  <si>
    <t>9630 CANYON MEADOWS DR</t>
  </si>
  <si>
    <t>FARNHAM, JOHN R  et al</t>
  </si>
  <si>
    <t xml:space="preserve">MCGUIRE BETTY L </t>
  </si>
  <si>
    <t xml:space="preserve">9630 CANYON MEADOWS DR </t>
  </si>
  <si>
    <t xml:space="preserve">SNIDER, GARY L </t>
  </si>
  <si>
    <t>SKY VISTA VILLAGE 6B LT 247</t>
  </si>
  <si>
    <t>9633 CANYON MEADOWS DR</t>
  </si>
  <si>
    <t xml:space="preserve">CHAPLIN, MATT B </t>
  </si>
  <si>
    <t>SKY VISTA VILLAGE 6B LT 240</t>
  </si>
  <si>
    <t>10021 GALILEE DR</t>
  </si>
  <si>
    <t xml:space="preserve">LIZAOLA, MANUEL M </t>
  </si>
  <si>
    <t xml:space="preserve">MCPHAIL, WENDY S </t>
  </si>
  <si>
    <t>SKY VISTA VILLAGE 6B LT 233</t>
  </si>
  <si>
    <t>10061 GALILEE DR</t>
  </si>
  <si>
    <t xml:space="preserve">BARLOW, MELISSA A &amp; DAVID J </t>
  </si>
  <si>
    <t>EVERGREEN FAMILY INVESTMENTS LLC</t>
  </si>
  <si>
    <t>SKY VISTA VILLAGE 6B LT 231</t>
  </si>
  <si>
    <t>9575 AUTUMN LEAF WAY</t>
  </si>
  <si>
    <t xml:space="preserve">GROHS, MELISSA D </t>
  </si>
  <si>
    <t>C/O CASSANDRA LITTLE</t>
  </si>
  <si>
    <t>7145 BEACON DR</t>
  </si>
  <si>
    <t>SKY VISTA VILLAGE 6B LT 215</t>
  </si>
  <si>
    <t>9555 AUTUMN LEAF WAY</t>
  </si>
  <si>
    <t xml:space="preserve">PARRAL, TINA </t>
  </si>
  <si>
    <t>MEJIA, JORGE G et al</t>
  </si>
  <si>
    <t>SKY VISTA VILLAGE 6B LT 210</t>
  </si>
  <si>
    <t>9550 LONG RIVER DR</t>
  </si>
  <si>
    <t xml:space="preserve">BERRY, KENNETH M JR </t>
  </si>
  <si>
    <t>SKY VISTA VILLAGE 7A LT 11</t>
  </si>
  <si>
    <t>9566 LONG RIVER DR</t>
  </si>
  <si>
    <t xml:space="preserve">FERTAL, DENNIS G &amp; JAIME L </t>
  </si>
  <si>
    <t>SKY VISTA VILLAGE 7A LT 7</t>
  </si>
  <si>
    <t>9497 NAVAJO CREST DR</t>
  </si>
  <si>
    <t xml:space="preserve">SISIA, CHANELLE A </t>
  </si>
  <si>
    <t>SNOW, KEVIN O et al</t>
  </si>
  <si>
    <t>SKY VISTA VILLAGE 7A LT 54</t>
  </si>
  <si>
    <t>SKY VISTA VILLAGE 12 LT 40</t>
  </si>
  <si>
    <t>9544 BLACK BEAR DR</t>
  </si>
  <si>
    <t xml:space="preserve">WASSERMAN, RON H  &amp; LILIAN E </t>
  </si>
  <si>
    <t>PO BOX 60915</t>
  </si>
  <si>
    <t>SKY VISTA VILLAGE 12 LT 12</t>
  </si>
  <si>
    <t>9537 BLACK BEAR DR</t>
  </si>
  <si>
    <t xml:space="preserve">COMBS, KACIE L  </t>
  </si>
  <si>
    <t xml:space="preserve">9537 BLACK BEAR DR </t>
  </si>
  <si>
    <t>SKY VISTA VILLAGE 12 LT 47</t>
  </si>
  <si>
    <t>9100 RISING SUN DR</t>
  </si>
  <si>
    <t xml:space="preserve">PEREZ-PRECIADO, MARIO A </t>
  </si>
  <si>
    <t>SKY VISTA VILLAGE 11A LT 11</t>
  </si>
  <si>
    <t>9190 RISING SUN DR</t>
  </si>
  <si>
    <t xml:space="preserve">LEAVITT, JEREMIAH &amp; ERIN </t>
  </si>
  <si>
    <t xml:space="preserve">KAMATH, CANANORE M &amp; SABITHA D </t>
  </si>
  <si>
    <t>SKY VISTA VILLAGE 11A LT 3</t>
  </si>
  <si>
    <t>9288 GULF STREAM LN</t>
  </si>
  <si>
    <t xml:space="preserve">KOCH, JOSEPH B &amp; DEE M </t>
  </si>
  <si>
    <t>SKY VISTA VILLAGE 11A LT 2</t>
  </si>
  <si>
    <t>9298 GULF STREAM LN</t>
  </si>
  <si>
    <t xml:space="preserve">AAQUIST, ERIK C  </t>
  </si>
  <si>
    <t xml:space="preserve">9298 GULF STREAM LN </t>
  </si>
  <si>
    <t>SKY VISTA VILLAGE 11A LT 1</t>
  </si>
  <si>
    <t>9945 RISING SUN CT</t>
  </si>
  <si>
    <t xml:space="preserve">ZURLINE, SEAN R &amp; MEGAN M </t>
  </si>
  <si>
    <t>SKY VISTA VILLAGE 11A LT 27</t>
  </si>
  <si>
    <t>9940 RISING SUN CT</t>
  </si>
  <si>
    <t xml:space="preserve">CORKRUM, THOMAS &amp; WENDY C  </t>
  </si>
  <si>
    <t xml:space="preserve">9940 RISING SUN CT </t>
  </si>
  <si>
    <t xml:space="preserve">SALISBURY, ANDREW M &amp; LISA J </t>
  </si>
  <si>
    <t>SKY VISTA VILLAGE 11A LT 17</t>
  </si>
  <si>
    <t>9750 ROCK RIVER DR</t>
  </si>
  <si>
    <t xml:space="preserve">DAVIS, BRIAN D  </t>
  </si>
  <si>
    <t xml:space="preserve">9750 ROCK RIVER DR </t>
  </si>
  <si>
    <t>SKY VISTA VILLAGE 1A LT 8</t>
  </si>
  <si>
    <t>9790 ROCK RIVER DR</t>
  </si>
  <si>
    <t xml:space="preserve">ALCANTARA, MAYRA </t>
  </si>
  <si>
    <t>SKY VISTA VILLAGE 1A LT 12</t>
  </si>
  <si>
    <t>9691 CANYON MEADOWS DR</t>
  </si>
  <si>
    <t xml:space="preserve">FRITZ, BRETT &amp; KRYSTLE </t>
  </si>
  <si>
    <t xml:space="preserve">RICE, BARBARA G </t>
  </si>
  <si>
    <t>SKY VISTA VILLAGE 6C LT 44</t>
  </si>
  <si>
    <t>9667 CANYON MEADOWS DR</t>
  </si>
  <si>
    <t xml:space="preserve">CAMARGO, PEDRO &amp; JOSEPHINE </t>
  </si>
  <si>
    <t xml:space="preserve">NAYLOR, STEPHEN E &amp; LAURA F </t>
  </si>
  <si>
    <t>SKY VISTA VILLAGE 6C LT 51</t>
  </si>
  <si>
    <t>9998 GRAND FALLS DR</t>
  </si>
  <si>
    <t xml:space="preserve">REESE, BRIAN &amp; ESTHER </t>
  </si>
  <si>
    <t>SKY VISTA VILLAGE 1B LT 54</t>
  </si>
  <si>
    <t>9996 GRAND FALLS DR</t>
  </si>
  <si>
    <t xml:space="preserve">ANDREN, DARREL E </t>
  </si>
  <si>
    <t xml:space="preserve">TIRONA, NOEL A &amp; MARIA N  </t>
  </si>
  <si>
    <t>SKY VISTA VILLAGE 1B LT 55</t>
  </si>
  <si>
    <t>9944 GRAND FALLS DR</t>
  </si>
  <si>
    <t xml:space="preserve">JUSUF, ARMAND C &amp; ALISON J </t>
  </si>
  <si>
    <t>SKY VISTA VILLAGE 1B LT 62</t>
  </si>
  <si>
    <t>9472 NAVAJO RIDGE DR</t>
  </si>
  <si>
    <t>SKY VISTA VILLAGAE 7B</t>
  </si>
  <si>
    <t xml:space="preserve">KNIGHT, TRACY </t>
  </si>
  <si>
    <t>PO BOX 190</t>
  </si>
  <si>
    <t>LINENBERGER, BILLIE E  et al</t>
  </si>
  <si>
    <t>SKY VISTA VILLAGE 7B LT 36</t>
  </si>
  <si>
    <t>9483 MUSTANG TRAIL DR</t>
  </si>
  <si>
    <t xml:space="preserve">CATE, HEATHER N </t>
  </si>
  <si>
    <t xml:space="preserve">PRESSLEY, DAWN M </t>
  </si>
  <si>
    <t>SKY VISTA VILLAGE 7B LT 63</t>
  </si>
  <si>
    <t>9427 MUSTANG TRAIL DR</t>
  </si>
  <si>
    <t xml:space="preserve">KING, STEPHANIE E &amp; NICHOLAS S </t>
  </si>
  <si>
    <t xml:space="preserve">DUMLAO, ROBERT H &amp; LETICIA K </t>
  </si>
  <si>
    <t>SKY VISTA VILLAGE 7B LT 70</t>
  </si>
  <si>
    <t>9473 NAVAJO RIDGE DR</t>
  </si>
  <si>
    <t xml:space="preserve">HARRIS, TANICE L </t>
  </si>
  <si>
    <t>9473 NAVAJO RIDGE</t>
  </si>
  <si>
    <t>SKY VISTA VILLAGE 7B LT 41</t>
  </si>
  <si>
    <t>9472 MUSTANG TRAIL DR</t>
  </si>
  <si>
    <t>JOHNSON, DONALD D  et al</t>
  </si>
  <si>
    <t>ZHANG QING</t>
  </si>
  <si>
    <t xml:space="preserve">3190 SUSILEEN DR </t>
  </si>
  <si>
    <t xml:space="preserve">DEGEYTER, STONEY G &amp; DIONNE E </t>
  </si>
  <si>
    <t>SKY VISTA VILLAGE 7B LT 60</t>
  </si>
  <si>
    <t>9580 ANGEL FALLS DR</t>
  </si>
  <si>
    <t xml:space="preserve">VERDUGO, PIERCE A </t>
  </si>
  <si>
    <t xml:space="preserve">CAMACHO-ESPINOZA, JUAN C &amp; EVELYN C  </t>
  </si>
  <si>
    <t>SKY VISTA VILLAGE 4 LT 35</t>
  </si>
  <si>
    <t>9596 ANGEL FALLS DR</t>
  </si>
  <si>
    <t xml:space="preserve">BECKMAN, KEITH A &amp; MIRIAM A  </t>
  </si>
  <si>
    <t xml:space="preserve">9596 ANGEL FALLS </t>
  </si>
  <si>
    <t xml:space="preserve">GROVES, DIANE M </t>
  </si>
  <si>
    <t>SKY VISTA VILLAGE 4 LT 34</t>
  </si>
  <si>
    <t>9579 ANGEL FALLS DR</t>
  </si>
  <si>
    <t xml:space="preserve">GARCIA, MANUEL A </t>
  </si>
  <si>
    <t>1900 SARATOGA ST</t>
  </si>
  <si>
    <t>SKY VISTA VILLAGE 4 LT 8</t>
  </si>
  <si>
    <t>9573 ANGEL FALLS DR</t>
  </si>
  <si>
    <t>RIVERA, FELIPE N et al</t>
  </si>
  <si>
    <t>9573 ANGLE FALLS DR</t>
  </si>
  <si>
    <t>SKY VISTA VILLAGE 4 LT 9</t>
  </si>
  <si>
    <t>11545 DEER RIVER CT</t>
  </si>
  <si>
    <t xml:space="preserve">SAE-WONG, ALBERT &amp; CHELSEA </t>
  </si>
  <si>
    <t xml:space="preserve">EVANS FAMILY TRUST  </t>
  </si>
  <si>
    <t>SKY VISTA VILLAGE 4 LT 51</t>
  </si>
  <si>
    <t>9508 ANGEL FALLS DR</t>
  </si>
  <si>
    <t xml:space="preserve">GARCIA, ROGELIO R </t>
  </si>
  <si>
    <t>SKY VISTA VILLAGE 4 LT 46</t>
  </si>
  <si>
    <t>9530 ANGEL FALLS DR</t>
  </si>
  <si>
    <t>SKY VISTA VILLAGE 4 LT 43</t>
  </si>
  <si>
    <t>9501 ANGEL FALLS DR</t>
  </si>
  <si>
    <t xml:space="preserve">GREGORY, ANDREW P  </t>
  </si>
  <si>
    <t xml:space="preserve">9501 ANGEL FALLS DR </t>
  </si>
  <si>
    <t>HILL, SUSAN M TTEE et al</t>
  </si>
  <si>
    <t>SKY VISTA VILLAGE 4 LT 23</t>
  </si>
  <si>
    <t>9945 MOONWALK CT</t>
  </si>
  <si>
    <t xml:space="preserve">ILARI, KATHERINE M </t>
  </si>
  <si>
    <t>SKY VISTA VILLAGE 11B LT 51</t>
  </si>
  <si>
    <t>9985 MOONWALK CT</t>
  </si>
  <si>
    <t xml:space="preserve">HALL, CASEY B </t>
  </si>
  <si>
    <t xml:space="preserve">VOYCE, JON E &amp; DEBORAH A </t>
  </si>
  <si>
    <t>SKY VISTA VILLAGE 11B LT 55</t>
  </si>
  <si>
    <t>9935 MOONDUST CT</t>
  </si>
  <si>
    <t xml:space="preserve">OBRIEN, CHRISTINE L </t>
  </si>
  <si>
    <t xml:space="preserve">MCKENDREE, HEIDI M &amp; DAREN O </t>
  </si>
  <si>
    <t>SKY VISTA VILLAGE 11B LT 68</t>
  </si>
  <si>
    <t>9985 MOONDUST CT</t>
  </si>
  <si>
    <t xml:space="preserve">BOATRIGHT, JERROD T </t>
  </si>
  <si>
    <t>SKY VISTA VILLAGE 11B LT 74</t>
  </si>
  <si>
    <t>9165 RISING MOON DR</t>
  </si>
  <si>
    <t>SKY VISTA VILLAGE 11D LT 99</t>
  </si>
  <si>
    <t>9210 MOONSET CT</t>
  </si>
  <si>
    <t>CHAVEZ-AYALA, JUAN C  et al</t>
  </si>
  <si>
    <t xml:space="preserve">9210 MOONSET CT </t>
  </si>
  <si>
    <t xml:space="preserve">ZAVALA, MERLY </t>
  </si>
  <si>
    <t>SKY VISTA VILLAGE 11D LT 106</t>
  </si>
  <si>
    <t>9255 MOONSET CT</t>
  </si>
  <si>
    <t xml:space="preserve">ALLEN, JESSICA M </t>
  </si>
  <si>
    <t>SKY VISTA VILLAGE 11D LT 110</t>
  </si>
  <si>
    <t>9220 RISING MOON DR</t>
  </si>
  <si>
    <t xml:space="preserve">FLAHERTY, JANICE C </t>
  </si>
  <si>
    <t>SKY VISTA VILLAGE 11D LT 131</t>
  </si>
  <si>
    <t>8980 RISING MOON DR</t>
  </si>
  <si>
    <t xml:space="preserve">MILLAR, WILLIAM C IV &amp; JENNIFER M </t>
  </si>
  <si>
    <t xml:space="preserve">8980 RISING MOON DR </t>
  </si>
  <si>
    <t>SKY VISTA VILLAGE 11C LT 168</t>
  </si>
  <si>
    <t>11010 SKYLIGHT CT</t>
  </si>
  <si>
    <t xml:space="preserve">SANDOVAL, DANNY J </t>
  </si>
  <si>
    <t>SKY VISTA VILLAGE 11C LT 149</t>
  </si>
  <si>
    <t>8955 RISING MOON DR</t>
  </si>
  <si>
    <t xml:space="preserve">STOLTZ, MELISSA A </t>
  </si>
  <si>
    <t>SKY VISTA VILLAGE 11C LT 144</t>
  </si>
  <si>
    <t>9180 BROWN EAGLE CT</t>
  </si>
  <si>
    <t xml:space="preserve">BAUMANN, DEOBRAH K  </t>
  </si>
  <si>
    <t xml:space="preserve">9180 BROWN EAGLE CT </t>
  </si>
  <si>
    <t xml:space="preserve">WALDEN, JOSH J &amp; JILL M </t>
  </si>
  <si>
    <t>VILLAS AT SKY VISTA PH 1 LT 58</t>
  </si>
  <si>
    <t>9160 BROWN EAGLE CT</t>
  </si>
  <si>
    <t xml:space="preserve">SIENG, CHHARY C </t>
  </si>
  <si>
    <t>VILLAS AT SKY VISTA PH 1 LT 56</t>
  </si>
  <si>
    <t>9110 BROWN EAGLE CT</t>
  </si>
  <si>
    <t xml:space="preserve">DRAPER, ELEANOR R </t>
  </si>
  <si>
    <t>GONZALEZ-VELAZQUEZ, JOSE P et al</t>
  </si>
  <si>
    <t>VILLAS AT SKY VISTA PH 1 LT 53</t>
  </si>
  <si>
    <t>9235 LONE WOLF CIR</t>
  </si>
  <si>
    <t xml:space="preserve">DAUSE, AMBER L </t>
  </si>
  <si>
    <t xml:space="preserve">CECHOVA-HODGSON, LUCIE </t>
  </si>
  <si>
    <t>VILLAS AT SKY VISTA 1 LT 72</t>
  </si>
  <si>
    <t>9225 LONE WOLF CIR</t>
  </si>
  <si>
    <t>SINGH, JASWANT et al</t>
  </si>
  <si>
    <t xml:space="preserve">DALBIR, KAUR </t>
  </si>
  <si>
    <t>VILLAS AT SKY VISTA PH 1 LT 67</t>
  </si>
  <si>
    <t>9219 LONE WOLF CIR</t>
  </si>
  <si>
    <t xml:space="preserve">SINGH, MANJIT </t>
  </si>
  <si>
    <t>VILLAS AT SKY VISTA 1 LT 64</t>
  </si>
  <si>
    <t>9217 LONE WOLF CIR</t>
  </si>
  <si>
    <t xml:space="preserve">REILLY, MICHAEL &amp; JUDI  </t>
  </si>
  <si>
    <t xml:space="preserve">11305 VELLUTINI RD </t>
  </si>
  <si>
    <t>FORESTVILLE</t>
  </si>
  <si>
    <t>95436</t>
  </si>
  <si>
    <t>VILLAS AT SKY VISTA PH 1 LT 63</t>
  </si>
  <si>
    <t>9212 RUNNING DOG CIR</t>
  </si>
  <si>
    <t xml:space="preserve">ERNSTER, JESSICA </t>
  </si>
  <si>
    <t>RENDLEMAN, ELIOT F et al</t>
  </si>
  <si>
    <t>VILLAS AT SKY VISTA 2 LT 113</t>
  </si>
  <si>
    <t>9237 RUNNING DOG CIR</t>
  </si>
  <si>
    <t>LANG, AARON D et al</t>
  </si>
  <si>
    <t>11625 OVERLAND RD</t>
  </si>
  <si>
    <t>VILLAS AT SKY VISTA 2 LT 99</t>
  </si>
  <si>
    <t>9612 BLACK BEAR DR</t>
  </si>
  <si>
    <t xml:space="preserve">TONE, MICHAEL P  </t>
  </si>
  <si>
    <t>4000 ODILE CTC</t>
  </si>
  <si>
    <t>VILLAS AT SKY VISTA 2 LT 106</t>
  </si>
  <si>
    <t>9300 TOMAHAWK WAY</t>
  </si>
  <si>
    <t xml:space="preserve">SMITH, GORDON G &amp; LUANNE  </t>
  </si>
  <si>
    <t xml:space="preserve">REED, LARRY H &amp; RENEE M </t>
  </si>
  <si>
    <t>088-140-40</t>
  </si>
  <si>
    <t>FR SW4 NE4 SEC 11 TWP 20 RGE 19</t>
  </si>
  <si>
    <t>9265 TOMAHAWK WAY</t>
  </si>
  <si>
    <t xml:space="preserve">SWANSON, JOHN C &amp; ANNA P </t>
  </si>
  <si>
    <t>PO BOX 60598</t>
  </si>
  <si>
    <t>088-140-44</t>
  </si>
  <si>
    <t>NE1/4 OF SW1/4 OF SW1/4 OF NE1/4 SEC 11 TWP 20N RG</t>
  </si>
  <si>
    <t>3445 RUNNING BEAR DR</t>
  </si>
  <si>
    <t xml:space="preserve">ST JACQUES, SHAWN R </t>
  </si>
  <si>
    <t xml:space="preserve">3445 RUNNING BEAR LN                    </t>
  </si>
  <si>
    <t>552-040-23</t>
  </si>
  <si>
    <t>FR NW4 NE4 SEC 11 TWP 20 RGE 19</t>
  </si>
  <si>
    <t>9180 WIGWAM WAY</t>
  </si>
  <si>
    <t xml:space="preserve">SALAZAR, JEROMIE R &amp; CRYSTAL A  </t>
  </si>
  <si>
    <t xml:space="preserve">KING, BRENTON C &amp; SHEILA S </t>
  </si>
  <si>
    <t>088-153-06</t>
  </si>
  <si>
    <t>FR NE4 SE4 SEC 11 TWP 20 RGE 19</t>
  </si>
  <si>
    <t>9100 SPEARHEAD WAY</t>
  </si>
  <si>
    <t xml:space="preserve">PHEASANT, JEFFREY J &amp; SHARI A </t>
  </si>
  <si>
    <t>3300 BRAVE LN</t>
  </si>
  <si>
    <t>088-172-01</t>
  </si>
  <si>
    <t>GOLDEN VALLEY RANCHOS 1 LT 29</t>
  </si>
  <si>
    <t>3220 BRAVE LN</t>
  </si>
  <si>
    <t xml:space="preserve">ALVAREZ, SCOTT R &amp; COLETTE J </t>
  </si>
  <si>
    <t xml:space="preserve">MORRICE, STANLEY </t>
  </si>
  <si>
    <t>088-174-09</t>
  </si>
  <si>
    <t>GOLDEN VALLEY RANCHOS 1 LT 55</t>
  </si>
  <si>
    <t>3290 SUN CLOUD CIR</t>
  </si>
  <si>
    <t>GOLDEN VALLEY RANCHOS 2</t>
  </si>
  <si>
    <t xml:space="preserve">CRUZ-DEGARCIA, ROSA M </t>
  </si>
  <si>
    <t>088-181-10</t>
  </si>
  <si>
    <t>GOLDEN VALLEY RANCHOS 2 LT 18</t>
  </si>
  <si>
    <t>3215 E GOLDEN VALLEY RD</t>
  </si>
  <si>
    <t>MITCHELL, RODNEY  et al</t>
  </si>
  <si>
    <t xml:space="preserve">3215 E GOLDEN VALLEY RD </t>
  </si>
  <si>
    <t xml:space="preserve">TRIMBLE FAMILY TRUST, URSULA S  </t>
  </si>
  <si>
    <t>088-181-23</t>
  </si>
  <si>
    <t>GOLDEN VALLEY RANCHOS 2 FR LT 27 &amp; 26</t>
  </si>
  <si>
    <t>3600 SUN CLOUD CIR</t>
  </si>
  <si>
    <t xml:space="preserve">RUSSELL, BRANDON J &amp; SARAH A </t>
  </si>
  <si>
    <t>088-182-19</t>
  </si>
  <si>
    <t>FR SW4 SE4 SEC 11 TWP 20 RGE 19</t>
  </si>
  <si>
    <t>3700 SUN CLOUD CIR</t>
  </si>
  <si>
    <t xml:space="preserve">BRONNEKE, JAMES R </t>
  </si>
  <si>
    <t xml:space="preserve">SUNCLOUD PROPERTY TRUST  </t>
  </si>
  <si>
    <t>088-182-18</t>
  </si>
  <si>
    <t>7125 MARLIN DR</t>
  </si>
  <si>
    <t xml:space="preserve">VARAIN, RANDY P </t>
  </si>
  <si>
    <t>PO BOX 21</t>
  </si>
  <si>
    <t>SCHURZ</t>
  </si>
  <si>
    <t>89427</t>
  </si>
  <si>
    <t xml:space="preserve">MERKLEY, VINCENT F </t>
  </si>
  <si>
    <t>088-123-05</t>
  </si>
  <si>
    <t>STEADFIELD EST 1 LT 45</t>
  </si>
  <si>
    <t>745 COLT DR</t>
  </si>
  <si>
    <t xml:space="preserve">LEWIS, VIRGIL &amp; MARY  </t>
  </si>
  <si>
    <t xml:space="preserve">745 COLT DR </t>
  </si>
  <si>
    <t>088-122-04</t>
  </si>
  <si>
    <t>STEADFIELD EST 1 LT 20</t>
  </si>
  <si>
    <t>620 COLT DR</t>
  </si>
  <si>
    <t xml:space="preserve">LAKE &amp; HARRIS REV LIVING TRUST, RAY &amp; SANDRA  </t>
  </si>
  <si>
    <t>PO BOX 60951</t>
  </si>
  <si>
    <t xml:space="preserve">HARRIS, SANDRA J </t>
  </si>
  <si>
    <t>088-125-04</t>
  </si>
  <si>
    <t>STEADFIELD EST 1 LT 25</t>
  </si>
  <si>
    <t>7495 ESTATES RD</t>
  </si>
  <si>
    <t xml:space="preserve">JONES, POLLY A </t>
  </si>
  <si>
    <t>7495 ESTATES DR</t>
  </si>
  <si>
    <t xml:space="preserve">TIERNAN, FRANCIS M &amp; JOANNE M </t>
  </si>
  <si>
    <t>088-115-08</t>
  </si>
  <si>
    <t>MEDALLION EST 1 LT 10</t>
  </si>
  <si>
    <t>2650 VALLEY VIEW DR</t>
  </si>
  <si>
    <t xml:space="preserve">BUSSMAN, DOUGLAS D  </t>
  </si>
  <si>
    <t xml:space="preserve">2650 VALLEY VIEW DR </t>
  </si>
  <si>
    <t>088-094-05</t>
  </si>
  <si>
    <t>MEDALLION EST 2 LT 69</t>
  </si>
  <si>
    <t>2720 VALLEY VIEW DR</t>
  </si>
  <si>
    <t xml:space="preserve">FR SW4 NE4 </t>
  </si>
  <si>
    <t xml:space="preserve">WELLMAN, JESSE D &amp; MARTHA </t>
  </si>
  <si>
    <t>088-094-09</t>
  </si>
  <si>
    <t>FR SW4 NE4 SEC 10 TWP 20 RGE 19</t>
  </si>
  <si>
    <t>2645 MARGARET DR</t>
  </si>
  <si>
    <t xml:space="preserve">VIVIAN, RAYMOND R &amp; JACKIE S </t>
  </si>
  <si>
    <t xml:space="preserve">GROW, LANE J </t>
  </si>
  <si>
    <t>088-095-09</t>
  </si>
  <si>
    <t>MEDALLION EST 2 LT 82</t>
  </si>
  <si>
    <t xml:space="preserve">BONANNO, TRAVIS </t>
  </si>
  <si>
    <t>10165 SHENANDOAH DR</t>
  </si>
  <si>
    <t xml:space="preserve">BONANNO, TRAVIS &amp; KARI </t>
  </si>
  <si>
    <t>088-040-04</t>
  </si>
  <si>
    <t>7650 MILLERS PL</t>
  </si>
  <si>
    <t>H M H RANCHO EST 1</t>
  </si>
  <si>
    <t xml:space="preserve">SPRAU, RICHARD W &amp; JOAN C </t>
  </si>
  <si>
    <t>7650 MILLER PL</t>
  </si>
  <si>
    <t>088-081-15</t>
  </si>
  <si>
    <t>H M H RANCHO EST 1 LT 45</t>
  </si>
  <si>
    <t>7680 JAYS PL</t>
  </si>
  <si>
    <t xml:space="preserve">LOGAN, HERBERT A </t>
  </si>
  <si>
    <t>3431 BLYTHE DR</t>
  </si>
  <si>
    <t>088-081-18</t>
  </si>
  <si>
    <t>H M H RANCHO EST 1 LT 42</t>
  </si>
  <si>
    <t>7655 TAMRA DR</t>
  </si>
  <si>
    <t xml:space="preserve">SCHALLER, DANIEL L  </t>
  </si>
  <si>
    <t xml:space="preserve">MAUTERSTOCK, ROBERT H </t>
  </si>
  <si>
    <t>088-082-20</t>
  </si>
  <si>
    <t>H M H RANCHO EST 1 LT 8</t>
  </si>
  <si>
    <t>7595 TAMRA DR</t>
  </si>
  <si>
    <t xml:space="preserve">MULLIGAN, YAVONNE B </t>
  </si>
  <si>
    <t>088-083-01</t>
  </si>
  <si>
    <t>NORTH POINT LT 4</t>
  </si>
  <si>
    <t>8885 LIMNOL ST</t>
  </si>
  <si>
    <t xml:space="preserve">STRAW, MICHAEL R </t>
  </si>
  <si>
    <t xml:space="preserve">FRANKFURT, JOAN E </t>
  </si>
  <si>
    <t>088-051-08</t>
  </si>
  <si>
    <t>H TWO O AMD LT 4 BLK E</t>
  </si>
  <si>
    <t>8880 RESERVOIR ST</t>
  </si>
  <si>
    <t xml:space="preserve">COSTELLO, GEORGE R  </t>
  </si>
  <si>
    <t xml:space="preserve">8880 RESERVOIR ST </t>
  </si>
  <si>
    <t xml:space="preserve">BINGHAM, BENJAMIN A </t>
  </si>
  <si>
    <t>088-054-12</t>
  </si>
  <si>
    <t>H TWO O LT 5 BLK H</t>
  </si>
  <si>
    <t>8990 LIMNOL ST</t>
  </si>
  <si>
    <t xml:space="preserve">MOORE, CHRISTINE A </t>
  </si>
  <si>
    <t>088-057-07</t>
  </si>
  <si>
    <t>H TWO O LT 10 BLK I</t>
  </si>
  <si>
    <t>8644 AQUIFER WAY</t>
  </si>
  <si>
    <t>H TWO O N2</t>
  </si>
  <si>
    <t xml:space="preserve">SCHMALENBERGER, JESSE </t>
  </si>
  <si>
    <t>088-063-12</t>
  </si>
  <si>
    <t>H TWO O N2 LT 14 BLK D</t>
  </si>
  <si>
    <t>8710 PALOMA WAY</t>
  </si>
  <si>
    <t>PALOMA</t>
  </si>
  <si>
    <t xml:space="preserve">CHRISTIANSEN, SCOTT </t>
  </si>
  <si>
    <t xml:space="preserve">SIMPSON, JOHN T &amp; AUTUMN R </t>
  </si>
  <si>
    <t>088-071-13</t>
  </si>
  <si>
    <t>PALOMA LT 13</t>
  </si>
  <si>
    <t>8805 PALOMA WAY</t>
  </si>
  <si>
    <t xml:space="preserve">PALOMA </t>
  </si>
  <si>
    <t xml:space="preserve">9084 CABIN CREEK TRAIL </t>
  </si>
  <si>
    <t>088-071-39</t>
  </si>
  <si>
    <t>PALOMA LT 29 &amp; FR LT 28</t>
  </si>
  <si>
    <t>7128 DISCOVERY LN</t>
  </si>
  <si>
    <t>RILEY, ANTHONY W  et al</t>
  </si>
  <si>
    <t xml:space="preserve">7128 DISCOVERY LN </t>
  </si>
  <si>
    <t>WILD STALLION EST 1 LT 96</t>
  </si>
  <si>
    <t>7144 DISCOVERY LN</t>
  </si>
  <si>
    <t xml:space="preserve">REYNOLDS, ANOTHAI O  </t>
  </si>
  <si>
    <t xml:space="preserve">CHAVEZ-DEMARTINEZ, GLORIA </t>
  </si>
  <si>
    <t>WILD STALLION EST 1 LT 92</t>
  </si>
  <si>
    <t>7147 DISCOVERY LN</t>
  </si>
  <si>
    <t xml:space="preserve">MORIARTY, JOHN J &amp; ELIZABETH A  </t>
  </si>
  <si>
    <t xml:space="preserve">LINKER, JAMEY &amp; SHANNON  </t>
  </si>
  <si>
    <t>WILD STALLION EST 1 LT 60</t>
  </si>
  <si>
    <t>7143 DISCOVERY LN</t>
  </si>
  <si>
    <t>JEROME, AARON &amp; CONNIE  et al</t>
  </si>
  <si>
    <t xml:space="preserve">7143 DISCOVERY LN </t>
  </si>
  <si>
    <t>WILD STALLION EST 1 LT 59</t>
  </si>
  <si>
    <t>7119 DISCOVERY LN</t>
  </si>
  <si>
    <t xml:space="preserve">ROID, JOSE I </t>
  </si>
  <si>
    <t>WILD STALLION EST 1 LT 53</t>
  </si>
  <si>
    <t>7164 MUSTENGO DR</t>
  </si>
  <si>
    <t xml:space="preserve">BECK, KRISTIN D </t>
  </si>
  <si>
    <t>WILD STALLION EST 1 LT 38</t>
  </si>
  <si>
    <t>370 MUSTENGO CT</t>
  </si>
  <si>
    <t xml:space="preserve">IGBEKOYI, CLEMENT F  </t>
  </si>
  <si>
    <t xml:space="preserve">7125 MUSTENGO CT </t>
  </si>
  <si>
    <t>WILD STALLION EST 1 LT 34</t>
  </si>
  <si>
    <t>7130 MUSTENGO CT</t>
  </si>
  <si>
    <t xml:space="preserve">ANGUIANO, FRANCISCO N &amp; ROSA C </t>
  </si>
  <si>
    <t>WILD STALLION EST 1 LT 28</t>
  </si>
  <si>
    <t>325 MUSTENGO CT</t>
  </si>
  <si>
    <t>RAMIRO, BRYAN J C &amp; NERISA F et al</t>
  </si>
  <si>
    <t>7170 MUSTENGO CT</t>
  </si>
  <si>
    <t>WILD STALLION EST 1 LT 24</t>
  </si>
  <si>
    <t>315 MUSTENGO CT</t>
  </si>
  <si>
    <t xml:space="preserve">HARGER, CHARLES D &amp; SARA  </t>
  </si>
  <si>
    <t xml:space="preserve">7180 MUSTENGO CT </t>
  </si>
  <si>
    <t>WILD STALLION EST 1 LT 23</t>
  </si>
  <si>
    <t>7177 MUSTENGO DR</t>
  </si>
  <si>
    <t xml:space="preserve">DUTRA, SHAUN A &amp; LESLEY D  </t>
  </si>
  <si>
    <t xml:space="preserve">7177 MUSTENGO DR </t>
  </si>
  <si>
    <t>WILD STALLION EST 1 LT 21</t>
  </si>
  <si>
    <t>7173 MUSTENGO DR</t>
  </si>
  <si>
    <t xml:space="preserve">DOYAL, WILLIAM F </t>
  </si>
  <si>
    <t>WILD STALLION EST 1 LT 20</t>
  </si>
  <si>
    <t>7157 MUSTENGO DR</t>
  </si>
  <si>
    <t xml:space="preserve">CHAVEZ, SHEILA  </t>
  </si>
  <si>
    <t xml:space="preserve">7157 MUSTENGO DR </t>
  </si>
  <si>
    <t>WILD STALLION EST 1 LT 16</t>
  </si>
  <si>
    <t>7141 MUSTENGO DR</t>
  </si>
  <si>
    <t>UGALI, ROMEO G JR  et al</t>
  </si>
  <si>
    <t xml:space="preserve">7141 MUSTENGO DR </t>
  </si>
  <si>
    <t>WILD STALLION EST 1 LT 12</t>
  </si>
  <si>
    <t>7137 MUSTENGO DR</t>
  </si>
  <si>
    <t xml:space="preserve">MILLER, DAPHNE L &amp; GERALD D </t>
  </si>
  <si>
    <t>WILD STALLION EST 1 LT 11</t>
  </si>
  <si>
    <t>7152 DISCOVERY LN</t>
  </si>
  <si>
    <t xml:space="preserve">ROBINSON, LATANYA </t>
  </si>
  <si>
    <t xml:space="preserve">QUINTOS, JOSE L </t>
  </si>
  <si>
    <t>WILD STALLION EST 1 LT 90</t>
  </si>
  <si>
    <t>7180 DISCOVERY LN</t>
  </si>
  <si>
    <t>ANDRULLI, DAVID E et al</t>
  </si>
  <si>
    <t xml:space="preserve">7180 DISCOVERY LN </t>
  </si>
  <si>
    <t xml:space="preserve">ANDRULLI, DAVID E </t>
  </si>
  <si>
    <t>WILD STALLION EST 1 LT 83</t>
  </si>
  <si>
    <t>7120 SOUVERAIN LN</t>
  </si>
  <si>
    <t xml:space="preserve">BASA, NELSON &amp; CAROLINE T </t>
  </si>
  <si>
    <t xml:space="preserve">CABERNET HIGHLANDS LLC </t>
  </si>
  <si>
    <t>WILD STALLION EST 2 LT 151</t>
  </si>
  <si>
    <t>7145 SOUVERAIN LN</t>
  </si>
  <si>
    <t xml:space="preserve">HYDE, BUCK E &amp; TASHA L  </t>
  </si>
  <si>
    <t xml:space="preserve">7145 SOUVERAIN </t>
  </si>
  <si>
    <t>WILD STALLION EST 2 LT 148</t>
  </si>
  <si>
    <t>440 SARMENT CT</t>
  </si>
  <si>
    <t xml:space="preserve">CULLEN, NEWELL R &amp; TABITHA </t>
  </si>
  <si>
    <t xml:space="preserve">MILES, STEVEN &amp; JERI </t>
  </si>
  <si>
    <t>WILD STALLION EST 2 LT 141</t>
  </si>
  <si>
    <t>7180 RUTHERFORD DR</t>
  </si>
  <si>
    <t xml:space="preserve">LEDBETTER, GAYLA D &amp; LARRY L </t>
  </si>
  <si>
    <t>8255 OPAL STATION DR</t>
  </si>
  <si>
    <t xml:space="preserve">COMIS, BRIAN J &amp; REGAN J  </t>
  </si>
  <si>
    <t>WILD STALLION EST 2 LT 134</t>
  </si>
  <si>
    <t>7187 RUTHERFORD DR</t>
  </si>
  <si>
    <t>NGO, CUONG et al</t>
  </si>
  <si>
    <t xml:space="preserve">MOWERY, DAVID F &amp; BRENDA </t>
  </si>
  <si>
    <t>WILD STALLION EST 2 LT 115</t>
  </si>
  <si>
    <t>7179 RUTHERFORD DR</t>
  </si>
  <si>
    <t>WILD STALLION EST PH 2</t>
  </si>
  <si>
    <t xml:space="preserve">BUTLER, BILLY &amp; CHRISTINE  </t>
  </si>
  <si>
    <t xml:space="preserve">LEWIS, MICHAEL A &amp; PATRICIA Y </t>
  </si>
  <si>
    <t>WILD STALLION EST PH 2 LT 114</t>
  </si>
  <si>
    <t>7150 GAZIN CT</t>
  </si>
  <si>
    <t>MAZZAFERRI, MICHAEL L &amp; DENISE D et al</t>
  </si>
  <si>
    <t>WILD STALLION EST 2 LT 110</t>
  </si>
  <si>
    <t xml:space="preserve">VOILES, JON D </t>
  </si>
  <si>
    <t>7207 RUTHERFORD DR</t>
  </si>
  <si>
    <t xml:space="preserve">GALLAGHER FAMILY TRUST  </t>
  </si>
  <si>
    <t>PO BOX 281366</t>
  </si>
  <si>
    <t xml:space="preserve">ASBURY, CAROL S </t>
  </si>
  <si>
    <t>WILD STALLION EST 2 LT 117</t>
  </si>
  <si>
    <t>7195 RUTHERFORD DR</t>
  </si>
  <si>
    <t xml:space="preserve">GAINEY, MICHAEL L &amp; NATALIYA A  </t>
  </si>
  <si>
    <t xml:space="preserve">7195 RUTHERFORD DR </t>
  </si>
  <si>
    <t>WILD STALLION EST 2 LT116</t>
  </si>
  <si>
    <t>6510 LOTUS ST</t>
  </si>
  <si>
    <t>090-194-09</t>
  </si>
  <si>
    <t>SILVER LAKE 1A LT 23 BLK D</t>
  </si>
  <si>
    <t>6501 FLOWER ST</t>
  </si>
  <si>
    <t>SILVER LAKE IA LT 45 &amp; FR</t>
  </si>
  <si>
    <t xml:space="preserve">PAK, NHAN V </t>
  </si>
  <si>
    <t>7361 ASHPEAK</t>
  </si>
  <si>
    <t xml:space="preserve">MILLSLAGLE, ERIK E </t>
  </si>
  <si>
    <t>090-194-27</t>
  </si>
  <si>
    <t>SILVER LAKE 1A LT 45 &amp; FR 46 BLK D</t>
  </si>
  <si>
    <t>6401 FLOWER ST</t>
  </si>
  <si>
    <t xml:space="preserve">BRUNZLICK, ROLLIE P </t>
  </si>
  <si>
    <t>640 ROCK ISLAND DRIVE</t>
  </si>
  <si>
    <t>090-197-01</t>
  </si>
  <si>
    <t>SILVER LAKE 1A LT 35 BLK E</t>
  </si>
  <si>
    <t>6545 FERN ST</t>
  </si>
  <si>
    <t xml:space="preserve">MANCIA , KENY L I  </t>
  </si>
  <si>
    <t xml:space="preserve">6545 FERN ST </t>
  </si>
  <si>
    <t>090-201-02</t>
  </si>
  <si>
    <t>SILVER LAKE 1B LT 122 BLK C</t>
  </si>
  <si>
    <t>6624 PEPPERMINT DR</t>
  </si>
  <si>
    <t>090-204-17</t>
  </si>
  <si>
    <t>SILVER LAKE 1B LT 62 BLK J</t>
  </si>
  <si>
    <t>6595 PEPPERMINT DR</t>
  </si>
  <si>
    <t>6595 PEPERMINT DRIVE</t>
  </si>
  <si>
    <t>090-206-06</t>
  </si>
  <si>
    <t>SILVER LAKE 1B LT 95 BLK G</t>
  </si>
  <si>
    <t>6645 PEPPERMINT DR</t>
  </si>
  <si>
    <t xml:space="preserve">SANCHEZ, LINDA M </t>
  </si>
  <si>
    <t>090-206-11</t>
  </si>
  <si>
    <t>SILVER LAKE 1B LT 90 BLK G</t>
  </si>
  <si>
    <t>6680 FLOWER ST</t>
  </si>
  <si>
    <t xml:space="preserve">BARTOLO, ANASTACIO </t>
  </si>
  <si>
    <t xml:space="preserve">6680 FLOWER ST </t>
  </si>
  <si>
    <t>090-206-19</t>
  </si>
  <si>
    <t>SILVER LAKE 1B LT 114 BLK G</t>
  </si>
  <si>
    <t>6670 FLOWER ST</t>
  </si>
  <si>
    <t xml:space="preserve">WALLACE, KENNETH &amp; MARIA  </t>
  </si>
  <si>
    <t xml:space="preserve">9504 BLACK BEAR DR           </t>
  </si>
  <si>
    <t xml:space="preserve">CORPUS, BENITO E JR </t>
  </si>
  <si>
    <t>090-206-20</t>
  </si>
  <si>
    <t>SILVER LAKE 1B LT 113 BLK G</t>
  </si>
  <si>
    <t>6550 FERN ST</t>
  </si>
  <si>
    <t xml:space="preserve">KAY, GLEN &amp; JOANN </t>
  </si>
  <si>
    <t>090-207-10</t>
  </si>
  <si>
    <t>SILVER LAKE 1B LT 139 BLK D</t>
  </si>
  <si>
    <t>6530 FERN ST</t>
  </si>
  <si>
    <t xml:space="preserve">RAMOS, SANDRA M </t>
  </si>
  <si>
    <t>090-207-12</t>
  </si>
  <si>
    <t>SILVER LAKE 1B LT 137 BLK D</t>
  </si>
  <si>
    <t>6765 HONEYSUCKLE CT</t>
  </si>
  <si>
    <t xml:space="preserve">RIVERA-MENDOZA, MARIA E </t>
  </si>
  <si>
    <t xml:space="preserve">DABNER, DAVID J &amp; DEBORAH M </t>
  </si>
  <si>
    <t>090-182-34</t>
  </si>
  <si>
    <t>SILVER LAKE 1C LT 183 BLK I</t>
  </si>
  <si>
    <t>6768 HONEYSUCKLE CT</t>
  </si>
  <si>
    <t xml:space="preserve">BUTLER, SHAUNA R  </t>
  </si>
  <si>
    <t>090-182-39</t>
  </si>
  <si>
    <t>SILVER LAKE 1C LT 188 BLK I</t>
  </si>
  <si>
    <t>6805 PEPPERMINT DR</t>
  </si>
  <si>
    <t xml:space="preserve">ADAMS , RICKY J  </t>
  </si>
  <si>
    <t>PO BOX 60697</t>
  </si>
  <si>
    <t xml:space="preserve">SHULTS, JEFFREY </t>
  </si>
  <si>
    <t>090-183-06</t>
  </si>
  <si>
    <t>SILVER LAKE 1C LT 206 BLK H</t>
  </si>
  <si>
    <t>6788 HONEYSUCKLE DR</t>
  </si>
  <si>
    <t xml:space="preserve">PALMIERI , ANTHONY &amp; ANGELIQUE </t>
  </si>
  <si>
    <t xml:space="preserve">6788 HONEYSUCKLE DR </t>
  </si>
  <si>
    <t>090-183-17</t>
  </si>
  <si>
    <t>SILVER LAKE 1C LT 217 BLK H</t>
  </si>
  <si>
    <t>6787 FLOWER ST</t>
  </si>
  <si>
    <t xml:space="preserve">CHI, CARLOS &amp; YANMEI </t>
  </si>
  <si>
    <t>090-183-25</t>
  </si>
  <si>
    <t>SILVER LAKE 1C LT 233 BLK H</t>
  </si>
  <si>
    <t>6781 FLOWER ST</t>
  </si>
  <si>
    <t xml:space="preserve">GODSEY, DEIRDRE R  </t>
  </si>
  <si>
    <t xml:space="preserve">PO BOX 1195 </t>
  </si>
  <si>
    <t>090-183-28</t>
  </si>
  <si>
    <t>SILVER LAKE 1C LT 236 BLK H</t>
  </si>
  <si>
    <t>6675 LOTUS ST</t>
  </si>
  <si>
    <t xml:space="preserve">DILLON, ROBERT E JR  </t>
  </si>
  <si>
    <t xml:space="preserve">PARSLEY, CARI </t>
  </si>
  <si>
    <t>090-173-10</t>
  </si>
  <si>
    <t>SILVER LAKE 1C LT 158 BLK B</t>
  </si>
  <si>
    <t>6796 HONEYSUCKLE DR</t>
  </si>
  <si>
    <t xml:space="preserve">RUIZ, JUSTIN G </t>
  </si>
  <si>
    <t>8145 WHITE FALLS DR</t>
  </si>
  <si>
    <t>090-171-01</t>
  </si>
  <si>
    <t>SILVER LAKE 1C LT 221 BLK H</t>
  </si>
  <si>
    <t>6880 FLOWER ST</t>
  </si>
  <si>
    <t>TATEO, RACHAEL E  et al</t>
  </si>
  <si>
    <t xml:space="preserve">PAGE, GARY &amp; DEBORAH </t>
  </si>
  <si>
    <t>090-174-09</t>
  </si>
  <si>
    <t>SILVER LAKE 2 LT 353 BLK L</t>
  </si>
  <si>
    <t>6835 FORSYTHIA WAY</t>
  </si>
  <si>
    <t xml:space="preserve">WINGATE, JERRIE </t>
  </si>
  <si>
    <t>090-174-20</t>
  </si>
  <si>
    <t>SILVER LAKE 2 LT 328 BLK L</t>
  </si>
  <si>
    <t>7080 PEPPERMINT DR</t>
  </si>
  <si>
    <t xml:space="preserve">FLETCHER, LUKE W &amp; ADRIENNE L </t>
  </si>
  <si>
    <t>9310 BULL ROAD</t>
  </si>
  <si>
    <t xml:space="preserve">STAMM, PETER R </t>
  </si>
  <si>
    <t>090-162-33</t>
  </si>
  <si>
    <t>SILVER LAKE 2 LT 431 BLK I</t>
  </si>
  <si>
    <t>7050 PEPPERMINT DR</t>
  </si>
  <si>
    <t xml:space="preserve">WILSON, JEREMY P </t>
  </si>
  <si>
    <t xml:space="preserve">COLLINS, DANIEL E &amp; ARLENE M </t>
  </si>
  <si>
    <t>090-182-01</t>
  </si>
  <si>
    <t>SILVER LAKE 2 LT 434 BLK I</t>
  </si>
  <si>
    <t>7030 PEPPERMINT DR</t>
  </si>
  <si>
    <t xml:space="preserve">OJEDA, JOSE A I </t>
  </si>
  <si>
    <t>7030 PEPPERMINT DR - # 117</t>
  </si>
  <si>
    <t>090-182-03</t>
  </si>
  <si>
    <t>SILVER LAKE 2 LT 436 BLK I</t>
  </si>
  <si>
    <t>6990 PEPPERMINT DR</t>
  </si>
  <si>
    <t xml:space="preserve">ALCARAZ, ILIANA E </t>
  </si>
  <si>
    <t>090-182-07</t>
  </si>
  <si>
    <t>SILVER LAKE 2 LT 440 BLK I</t>
  </si>
  <si>
    <t>6769 PEPPERMINT CT</t>
  </si>
  <si>
    <t xml:space="preserve">ROGERS, VERNON C &amp; JANICE E </t>
  </si>
  <si>
    <t>090-182-10</t>
  </si>
  <si>
    <t>SILVER LAKE 2 LT 443 BLK I</t>
  </si>
  <si>
    <t>12720 FIELDCREEK LN</t>
  </si>
  <si>
    <t>6935 PEPPERMINT DR</t>
  </si>
  <si>
    <t xml:space="preserve">ALEJO, CARLOS O &amp; MARIA R </t>
  </si>
  <si>
    <t>MCLAIN, GARY  et al</t>
  </si>
  <si>
    <t>090-181-20</t>
  </si>
  <si>
    <t>SILVER LAKE 2 LT 276 BLK M</t>
  </si>
  <si>
    <t>6860 FORSYTHIA WAY</t>
  </si>
  <si>
    <t xml:space="preserve">SILVER LAKE 2 </t>
  </si>
  <si>
    <t xml:space="preserve">PEKICH, ANTHONY J JR &amp; BARBARA L </t>
  </si>
  <si>
    <t xml:space="preserve">LLOYD, DAVID W &amp; JULIE M </t>
  </si>
  <si>
    <t>090-181-30</t>
  </si>
  <si>
    <t>SILVER LAKE 2 FR LT 321 BLK M</t>
  </si>
  <si>
    <t>6895 LOTUS ST</t>
  </si>
  <si>
    <t xml:space="preserve">SHAW, ERIN  </t>
  </si>
  <si>
    <t>PO BOX 1815</t>
  </si>
  <si>
    <t>IZQUIERDO, SAMUEL O  et al</t>
  </si>
  <si>
    <t>090-161-05</t>
  </si>
  <si>
    <t>SILVER LAKE 2 LT 386 BLK B</t>
  </si>
  <si>
    <t>7165 PEPPERMINT DR</t>
  </si>
  <si>
    <t xml:space="preserve">FUGATE, ROBERT L &amp; ROBERTA M </t>
  </si>
  <si>
    <t xml:space="preserve">MCWILLIAMS, PENNY L </t>
  </si>
  <si>
    <t>090-164-32</t>
  </si>
  <si>
    <t>SILVER LAKE 2 LT 299 BLK M</t>
  </si>
  <si>
    <t>6950 FORSYTHIA WAY</t>
  </si>
  <si>
    <t xml:space="preserve">VARGAS, MELISSA </t>
  </si>
  <si>
    <t>090-164-06</t>
  </si>
  <si>
    <t>SILVER LAKE 2 LT 307 BLK M</t>
  </si>
  <si>
    <t>7433 SPEY DR</t>
  </si>
  <si>
    <t xml:space="preserve">FOXWELL, MARK B &amp; CONSTANCE F  </t>
  </si>
  <si>
    <t xml:space="preserve">7433 SPEY DR </t>
  </si>
  <si>
    <t xml:space="preserve">BAC HOME LOAN SERVICING  </t>
  </si>
  <si>
    <t>SILVER SHORES 32 LT 229</t>
  </si>
  <si>
    <t>7488 SPEY DR</t>
  </si>
  <si>
    <t>AVALOS, ROSAURA &amp; JAVIER et al</t>
  </si>
  <si>
    <t xml:space="preserve">7488 SPEY DR </t>
  </si>
  <si>
    <t>SILVER SHORES 32 LT 238</t>
  </si>
  <si>
    <t>7416 SPEY DR</t>
  </si>
  <si>
    <t xml:space="preserve">ROLSTON, TAMARA E W </t>
  </si>
  <si>
    <t>SILVER SHORES 32 LT 246</t>
  </si>
  <si>
    <t>7441 GANNON DR</t>
  </si>
  <si>
    <t>PONCE, CINDY et al</t>
  </si>
  <si>
    <t>6802 HONEYSUCKLE DR</t>
  </si>
  <si>
    <t>SILVER SHORES 32 LT 252</t>
  </si>
  <si>
    <t>7456 GANNON DR</t>
  </si>
  <si>
    <t>LOCKE, DAVID B et al</t>
  </si>
  <si>
    <t>SILVER SHORES 32 LT 263</t>
  </si>
  <si>
    <t>7424 GANNON DR</t>
  </si>
  <si>
    <t>SILVER SHORES 32 LT 267</t>
  </si>
  <si>
    <t>7457 DEVERON DR</t>
  </si>
  <si>
    <t>GOMEZ-FELIPE, YAZMIN et al</t>
  </si>
  <si>
    <t>SILVER SHORES 32 LT 274</t>
  </si>
  <si>
    <t>7465 DEVERON DR</t>
  </si>
  <si>
    <t xml:space="preserve">WADSWORTH, DAVID T </t>
  </si>
  <si>
    <t xml:space="preserve">NOVAK, KATHLEEN A </t>
  </si>
  <si>
    <t>SILVER SHORES 32 LT 275</t>
  </si>
  <si>
    <t>7408 DEVERON DR</t>
  </si>
  <si>
    <t xml:space="preserve">LICHTY, DAVID E </t>
  </si>
  <si>
    <t xml:space="preserve">WERNER, TERESA F </t>
  </si>
  <si>
    <t>SILVER SHORES 32 LT 211</t>
  </si>
  <si>
    <t>8370 HALLADALE DR</t>
  </si>
  <si>
    <t xml:space="preserve">MARSH, CATHY L </t>
  </si>
  <si>
    <t xml:space="preserve">SCHAUWECKER, JEFF &amp; NICOLE </t>
  </si>
  <si>
    <t>SILVER SHORES 32 LT 219</t>
  </si>
  <si>
    <t>7490 FINDHORN DR</t>
  </si>
  <si>
    <t>SILVER SHORES 33</t>
  </si>
  <si>
    <t>554-121-07</t>
  </si>
  <si>
    <t>SILVER SHORES 33 LT 301 BLK A</t>
  </si>
  <si>
    <t>7482 FINDHORN DR</t>
  </si>
  <si>
    <t xml:space="preserve">CRISOSTOMO, JONATHAN C  </t>
  </si>
  <si>
    <t>SILVER SHORES 33 LT 302  BLK A</t>
  </si>
  <si>
    <t>7420 FINDHORN DR</t>
  </si>
  <si>
    <t xml:space="preserve">YARBROUGH, CALVIN G JR &amp; CHERYL </t>
  </si>
  <si>
    <t>30 NIVES CT</t>
  </si>
  <si>
    <t>SILVER SHORES 33 LT 311 BLK A</t>
  </si>
  <si>
    <t>8430 HALLADALE DR</t>
  </si>
  <si>
    <t xml:space="preserve">CUNNINGHAM, DAVE L </t>
  </si>
  <si>
    <t xml:space="preserve">OKPUKPARA, DAVIDSON &amp; UZOMA </t>
  </si>
  <si>
    <t>SILVER SHORES 33 LT 313 BLK B</t>
  </si>
  <si>
    <t>7417 FINDHORN DR</t>
  </si>
  <si>
    <t xml:space="preserve">GIULIANI, NICHOLAS </t>
  </si>
  <si>
    <t xml:space="preserve">7417 FINDHORN DR </t>
  </si>
  <si>
    <t xml:space="preserve">BARRETT, AMY E </t>
  </si>
  <si>
    <t>SILVER SHORES 33 LT 318 BLK B</t>
  </si>
  <si>
    <t>7423 FINDHORN DR</t>
  </si>
  <si>
    <t xml:space="preserve">PATRON, CAROLYN P </t>
  </si>
  <si>
    <t>SILVER SHORES 33 LT 319 BLK B</t>
  </si>
  <si>
    <t>7447 FINDHORN DR</t>
  </si>
  <si>
    <t xml:space="preserve">GUILLEN, HUGO C &amp; MARIA E  </t>
  </si>
  <si>
    <t>CABRERA, LUIS F et al</t>
  </si>
  <si>
    <t>SILVER SHORES 33 LT 323 BLK B</t>
  </si>
  <si>
    <t>7459 FINDHORN DR</t>
  </si>
  <si>
    <t xml:space="preserve">MCALEAVEY, BRANDON J &amp; LEIA P </t>
  </si>
  <si>
    <t>SILVER SHORES 33 LT 325 BLK B</t>
  </si>
  <si>
    <t xml:space="preserve">7496 HEBRIDES CT </t>
  </si>
  <si>
    <t>AGUILAR-HERNANDEZ, BENJAMIN et al</t>
  </si>
  <si>
    <t>7496 HEBRIDES CT</t>
  </si>
  <si>
    <t xml:space="preserve">GARCIA, JOHN A </t>
  </si>
  <si>
    <t>SILVER SHORES 33 LT 331 BLK B</t>
  </si>
  <si>
    <t xml:space="preserve">7490 HEBRIDES CT </t>
  </si>
  <si>
    <t>2655 FRIESIAN CT</t>
  </si>
  <si>
    <t>SILVER SHORES 33 LT 332 BLK B</t>
  </si>
  <si>
    <t xml:space="preserve">7461 HEBRIDES CT </t>
  </si>
  <si>
    <t xml:space="preserve">HERNANDEZ, EDITH A </t>
  </si>
  <si>
    <t>7461 HERBIDES CT</t>
  </si>
  <si>
    <t>SILVER SHORES 33 LT 353 BLK B</t>
  </si>
  <si>
    <t>7472 CREEKLAND DR</t>
  </si>
  <si>
    <t xml:space="preserve">DAMICO, JEANNETTE F  </t>
  </si>
  <si>
    <t xml:space="preserve">7472 CREEKLAND DR </t>
  </si>
  <si>
    <t>SILVER SHORES 34 LT 404 BLK A</t>
  </si>
  <si>
    <t>7449 TALLGRASS DR</t>
  </si>
  <si>
    <t>HERRERA, FRANCISCO L et al</t>
  </si>
  <si>
    <t>SILVER SHORES 34 LT 428 BLK C</t>
  </si>
  <si>
    <t>7420 HINTON DR</t>
  </si>
  <si>
    <t>RAMIREZ, MARIA et al</t>
  </si>
  <si>
    <t>MIDTGARD, WILLIAM R et al</t>
  </si>
  <si>
    <t>SILVER SHORES 35 LT 508</t>
  </si>
  <si>
    <t>7495 HINTON DR</t>
  </si>
  <si>
    <t>SILVER SHORES 35 LT 554</t>
  </si>
  <si>
    <t>8710 WINDING CREEK DR</t>
  </si>
  <si>
    <t xml:space="preserve">SHARP, TERRY &amp; VERA  </t>
  </si>
  <si>
    <t>PO BOX 2275</t>
  </si>
  <si>
    <t xml:space="preserve">CHUI, BILLY L </t>
  </si>
  <si>
    <t>SILVER SHORES 35 LT 511</t>
  </si>
  <si>
    <t>7445 NORTHCREEK DR</t>
  </si>
  <si>
    <t xml:space="preserve">NAVARRO, MIGUEL &amp; IRENE G  </t>
  </si>
  <si>
    <t xml:space="preserve">INIGUEZ, CARLOS Z </t>
  </si>
  <si>
    <t>SILVER SHORES 35 LT 521</t>
  </si>
  <si>
    <t>7455 NORTHCREEK DR</t>
  </si>
  <si>
    <t>1690 PINECREST CT</t>
  </si>
  <si>
    <t>SALDANA-MUNOZ, PABLO  et al</t>
  </si>
  <si>
    <t>SILVER SHORES 35 LT 522</t>
  </si>
  <si>
    <t>7450 RIVERSTONE CT</t>
  </si>
  <si>
    <t xml:space="preserve">WILSON, JOHN J </t>
  </si>
  <si>
    <t>SILVER SHORES 35 LT 528</t>
  </si>
  <si>
    <t>7415 RIVERSTONE CT</t>
  </si>
  <si>
    <t xml:space="preserve">CHRISTENSEN, ALICIA F </t>
  </si>
  <si>
    <t xml:space="preserve">STRECZYN, MICHAEL &amp; MARION P </t>
  </si>
  <si>
    <t>SILVER SHORES 35 LT 532</t>
  </si>
  <si>
    <t>7455 RIVERSTONE CT</t>
  </si>
  <si>
    <t xml:space="preserve">DAVIDSON, RENEE L </t>
  </si>
  <si>
    <t>REYNOLDS, MARYANN et al</t>
  </si>
  <si>
    <t>SILVER SHORES 35 LT 535</t>
  </si>
  <si>
    <t>8730 SUNSET BREEZE DR</t>
  </si>
  <si>
    <t xml:space="preserve">WILLRADER, LOURDES F </t>
  </si>
  <si>
    <t>SILVER TERRACE AMD LT 123</t>
  </si>
  <si>
    <t>8851 RED BARON BLVD</t>
  </si>
  <si>
    <t xml:space="preserve">ECK , SCOTT M </t>
  </si>
  <si>
    <t>SILVER TERRACE AMD LT 12</t>
  </si>
  <si>
    <t>8835 RED BARON BLVD</t>
  </si>
  <si>
    <t xml:space="preserve">DIARTE, TERESA K &amp; JOSEPH M  </t>
  </si>
  <si>
    <t>WIKANDER, KEVIN M et al</t>
  </si>
  <si>
    <t>SILVER TERRACE AMD LT 8</t>
  </si>
  <si>
    <t>8807 RED BARON BLVD</t>
  </si>
  <si>
    <t xml:space="preserve">LEMUS, JOSE M </t>
  </si>
  <si>
    <t>SILVER TERRACE AMD LT 1</t>
  </si>
  <si>
    <t>8832 RED BARON BLVD</t>
  </si>
  <si>
    <t xml:space="preserve">STALLMAN, KELLYENE I &amp; DAVID R </t>
  </si>
  <si>
    <t>14975 SIDNEY RD SW</t>
  </si>
  <si>
    <t>PORT ORCHARD</t>
  </si>
  <si>
    <t>98367</t>
  </si>
  <si>
    <t xml:space="preserve">NOWLING, DEBRA </t>
  </si>
  <si>
    <t>SILVER TERRACE AMD LT 156</t>
  </si>
  <si>
    <t>8836 RED BARON BLVD</t>
  </si>
  <si>
    <t xml:space="preserve">BROOKS, EMILY S  </t>
  </si>
  <si>
    <t>SILVER TERRACE AMD LT 155</t>
  </si>
  <si>
    <t>8695 BAGPIPE CIR</t>
  </si>
  <si>
    <t xml:space="preserve">LONG, BARBARA </t>
  </si>
  <si>
    <t xml:space="preserve">KASIMIROFF, LARISSA  </t>
  </si>
  <si>
    <t>SILVER TERRACE AMD LT 163</t>
  </si>
  <si>
    <t>8675 BAGPIPE CIR</t>
  </si>
  <si>
    <t xml:space="preserve">CHAFFIN FAMILY TRUST  </t>
  </si>
  <si>
    <t>SILVER TERRACE AMD LT 165</t>
  </si>
  <si>
    <t>8665 BAGPIPE CIR</t>
  </si>
  <si>
    <t xml:space="preserve">MEADE, MELODY </t>
  </si>
  <si>
    <t>PAZ, GUADALUPE J et al</t>
  </si>
  <si>
    <t>SILVER TERRACE AMD LT 166</t>
  </si>
  <si>
    <t>8782 SUNSET BREEZE DR</t>
  </si>
  <si>
    <t xml:space="preserve">VEGA, RUBEN JR </t>
  </si>
  <si>
    <t>SILVER TERRACE AMD LT 110</t>
  </si>
  <si>
    <t>8936 RED BARON BLVD</t>
  </si>
  <si>
    <t xml:space="preserve">LEWIS, KRISTOFOR M </t>
  </si>
  <si>
    <t>SILVER TERRACE AMD LT 100</t>
  </si>
  <si>
    <t>8650 SUNRISE MIST CT</t>
  </si>
  <si>
    <t xml:space="preserve">DE COPADO, MARIA C M  </t>
  </si>
  <si>
    <t xml:space="preserve">8650 SUNRISE MIST CT </t>
  </si>
  <si>
    <t>SILVER TERRACE AMD LT 93</t>
  </si>
  <si>
    <t>8939 RED BARON BLVD</t>
  </si>
  <si>
    <t xml:space="preserve">ALVAREZ, ROCIO </t>
  </si>
  <si>
    <t xml:space="preserve">HARLOW, ANGELA M &amp; ADAM E </t>
  </si>
  <si>
    <t>SILVER TERRACE AMD LT 42</t>
  </si>
  <si>
    <t>8810 SUNSET BREEZE DR</t>
  </si>
  <si>
    <t xml:space="preserve">GALL, KARIA M </t>
  </si>
  <si>
    <t>8810 SUNSET BREEZE</t>
  </si>
  <si>
    <t>SILVER TERRACE AMD LT 32</t>
  </si>
  <si>
    <t>8817 SUNSET BREEZE DR</t>
  </si>
  <si>
    <t>STEWART, LIAM T et al</t>
  </si>
  <si>
    <t xml:space="preserve">PASHALES, JENNIFER S </t>
  </si>
  <si>
    <t>SILVER TERRACE AMD LT 25</t>
  </si>
  <si>
    <t>8956 RED BARON BLVD</t>
  </si>
  <si>
    <t xml:space="preserve">GARRISON, MATTHEW J </t>
  </si>
  <si>
    <t xml:space="preserve">MCMULLAN, PETER L </t>
  </si>
  <si>
    <t>SILVER TERRACE AMD LT 88</t>
  </si>
  <si>
    <t>8986 RED BARON BLVD</t>
  </si>
  <si>
    <t xml:space="preserve">STEADMAN, MINDY L  </t>
  </si>
  <si>
    <t>SILVER TERRACE AMD LT 62</t>
  </si>
  <si>
    <t>7307 SILVER DAWN DR</t>
  </si>
  <si>
    <t xml:space="preserve">SOAP, CODI M </t>
  </si>
  <si>
    <t>SILVER TERRACE 2 PH 1 LT 37</t>
  </si>
  <si>
    <t>7348 SILVER DAWN DR</t>
  </si>
  <si>
    <t xml:space="preserve">DEWALL, AARON C </t>
  </si>
  <si>
    <t xml:space="preserve">REYES, MANUEL S JR &amp; THELMA S </t>
  </si>
  <si>
    <t>SILVER TERRACE 2 PH 1 LT 8</t>
  </si>
  <si>
    <t>7318 SILVER DAWN DR</t>
  </si>
  <si>
    <t xml:space="preserve">SLATER, DAVID R </t>
  </si>
  <si>
    <t>P BOX 184234</t>
  </si>
  <si>
    <t xml:space="preserve">MARTINEZ, ALIX A </t>
  </si>
  <si>
    <t>SILVER TERRACE 2 PH 1 LT 3</t>
  </si>
  <si>
    <t>8877 SUNSET BREEZE DR</t>
  </si>
  <si>
    <t xml:space="preserve">TAN, JIA </t>
  </si>
  <si>
    <t xml:space="preserve">PENNYMAC LOAN SERVICES LLC </t>
  </si>
  <si>
    <t>SILVER TERRACE 2 PH 1 LT 45</t>
  </si>
  <si>
    <t>8850 SUNSET BREEZE DR</t>
  </si>
  <si>
    <t xml:space="preserve">AGGARWAL, GOPAL K &amp; AMITA  </t>
  </si>
  <si>
    <t>13998 ALTA VISTA AVE</t>
  </si>
  <si>
    <t xml:space="preserve">CASTODIO, REGINALD L JR </t>
  </si>
  <si>
    <t>SILVER TERRACE 2 PH 1 LT 61</t>
  </si>
  <si>
    <t>8866 SUNSET BREEZE DR</t>
  </si>
  <si>
    <t>NELSON, JOEL P et al</t>
  </si>
  <si>
    <t>SILVER TERRACE 2 PH 1 LT 57</t>
  </si>
  <si>
    <t>8874 SUNSET BREEZE DR</t>
  </si>
  <si>
    <t xml:space="preserve">MORALES, MARTHA </t>
  </si>
  <si>
    <t xml:space="preserve">VIERRA, PACITA O </t>
  </si>
  <si>
    <t>SILVER TERRACE 2 PH 1 LT 55</t>
  </si>
  <si>
    <t>8898 SUNSET BREEZE DR</t>
  </si>
  <si>
    <t>KHAN, ROSHEEN G  et al</t>
  </si>
  <si>
    <t xml:space="preserve">8898 SUNSET BREEZE DR </t>
  </si>
  <si>
    <t>SILVER TERRACE 2 PH 1 LT 49</t>
  </si>
  <si>
    <t xml:space="preserve">8290 SILVERKIST DR </t>
  </si>
  <si>
    <t xml:space="preserve">BRENT, GARY M </t>
  </si>
  <si>
    <t>8950 SILVERKIST DR</t>
  </si>
  <si>
    <t>VIZCARRA-CABADA, HUGO  et al</t>
  </si>
  <si>
    <t xml:space="preserve">RODRIGUEZ MAYRA A </t>
  </si>
  <si>
    <t xml:space="preserve">8950 SILVERKIST DR </t>
  </si>
  <si>
    <t>SILVER TERRACE 2 PH 2 LT 145</t>
  </si>
  <si>
    <t>9265 RED BARON BLVD</t>
  </si>
  <si>
    <t xml:space="preserve">SANDERS, JACOB A </t>
  </si>
  <si>
    <t>9265  RED BARON BLVD</t>
  </si>
  <si>
    <t>SILVER TERRACE 2 PH 2 LT 195</t>
  </si>
  <si>
    <t>9195 RED BARON BLVD</t>
  </si>
  <si>
    <t xml:space="preserve">PRACHUNBARN, RONNARONG T &amp; NUNTHAKA </t>
  </si>
  <si>
    <t xml:space="preserve">SHARP, DANA </t>
  </si>
  <si>
    <t>SILVER TERRACE 2 PH 2 LT 188</t>
  </si>
  <si>
    <t>9230 RED BARON BLVD</t>
  </si>
  <si>
    <t xml:space="preserve">LARSEN, MATT F &amp; JONI B  </t>
  </si>
  <si>
    <t xml:space="preserve">503 LINDEN RD </t>
  </si>
  <si>
    <t xml:space="preserve">IDAHO FALLS </t>
  </si>
  <si>
    <t>SILVER TERRACE 2 PH 2 LT 84</t>
  </si>
  <si>
    <t>8865 SILVERKIST DR</t>
  </si>
  <si>
    <t xml:space="preserve">GOUNTCHEV , IIKO T </t>
  </si>
  <si>
    <t>C/O WASHOUE COUNTY PUBLIC ADMINISTRATOR</t>
  </si>
  <si>
    <t>PO BOX 7360</t>
  </si>
  <si>
    <t xml:space="preserve">8865 SILVERKIST TRUST  </t>
  </si>
  <si>
    <t>SILVER TERRACE 2 PH 2 LT 126</t>
  </si>
  <si>
    <t>7555 SILVERKIST CT</t>
  </si>
  <si>
    <t xml:space="preserve">BENNETT, MICHAEL A &amp; SARAH I </t>
  </si>
  <si>
    <t xml:space="preserve">PATRON, CROMWELL M  </t>
  </si>
  <si>
    <t>SILVER TERRACE 2 PH 2 LT 123</t>
  </si>
  <si>
    <t>7590 SILVERKIST CT</t>
  </si>
  <si>
    <t>BROOKDALE AFFORDABLE HSNG TRST</t>
  </si>
  <si>
    <t>SILVER TERRACE 2 PH 2 LT 120</t>
  </si>
  <si>
    <t>8853 SILVERKIST DR</t>
  </si>
  <si>
    <t xml:space="preserve">MARTYNUIK, JESSE P &amp; TERESA R </t>
  </si>
  <si>
    <t>SILVER TERRACE 2 PH 2 LT 119</t>
  </si>
  <si>
    <t>8845 SILVERKIST DR</t>
  </si>
  <si>
    <t xml:space="preserve">YOUNG, DEBRA </t>
  </si>
  <si>
    <t xml:space="preserve">ELDRIDGE, TORREY &amp; TAWNA </t>
  </si>
  <si>
    <t>SILVER TERRACE 2 PH 2 LT 117</t>
  </si>
  <si>
    <t>7445 RED BARON CT</t>
  </si>
  <si>
    <t xml:space="preserve">HAZELTON, JOHN R  </t>
  </si>
  <si>
    <t>7445 RED BARON BLVD</t>
  </si>
  <si>
    <t>SILVER TERRACE 2 PH 2 LT 184</t>
  </si>
  <si>
    <t>9145 RED BARON BLVD</t>
  </si>
  <si>
    <t>ENTWISLE, JIM &amp; VIVIAN D et al</t>
  </si>
  <si>
    <t>7620 SHELBORNE DR</t>
  </si>
  <si>
    <t xml:space="preserve">ENTWISLE, ANGELA </t>
  </si>
  <si>
    <t>SILVER TERRACE 2 PH 2 LT 178</t>
  </si>
  <si>
    <t>8824 SILVERKIST DR</t>
  </si>
  <si>
    <t xml:space="preserve">STEVENSON, WILLIAM H  </t>
  </si>
  <si>
    <t xml:space="preserve">HARRIS, CHRISTINE &amp; DON L II </t>
  </si>
  <si>
    <t>SILVER TERRACE 2 PH 2 LT 166</t>
  </si>
  <si>
    <t>3953 BOUNDARY PEAK CT</t>
  </si>
  <si>
    <t xml:space="preserve">DYE, MARK P &amp; PATRICIA  </t>
  </si>
  <si>
    <t>PEAVINE VIEW EST 4 LT 70 BLK A</t>
  </si>
  <si>
    <t>3950 BOUNDARY PEAK CT</t>
  </si>
  <si>
    <t xml:space="preserve">IRVIN , BID B JR &amp; BARBARA A </t>
  </si>
  <si>
    <t>PEAVINE VIEW EST 4 LT 75 BLK A</t>
  </si>
  <si>
    <t>3945 BOUNDARY PEAK CT</t>
  </si>
  <si>
    <t xml:space="preserve">TOROK, JAMES A  </t>
  </si>
  <si>
    <t>8175 S VIRGINIA ST STE 850 PMB 403</t>
  </si>
  <si>
    <t>PEAVINE VIEW EST 4 LT 66 BLK A</t>
  </si>
  <si>
    <t>3949 BOUNDARY PEAK CT</t>
  </si>
  <si>
    <t xml:space="preserve">MCCAFFREY, MARLA L &amp; THOMAS T  </t>
  </si>
  <si>
    <t xml:space="preserve">MUNCY, LARK O </t>
  </si>
  <si>
    <t>PEAVINE VIEW EST 4 LT 68 BLK A</t>
  </si>
  <si>
    <t>20934 WHITE ROCK DR</t>
  </si>
  <si>
    <t xml:space="preserve">CAMERON , CHRISTINE L  </t>
  </si>
  <si>
    <t xml:space="preserve">20934 WHITE ROCK DR </t>
  </si>
  <si>
    <t>PEAVINE VIEW EST 4 LT 83 BLK B</t>
  </si>
  <si>
    <t>20932 WHITE ROCK DR</t>
  </si>
  <si>
    <t xml:space="preserve">MARTIN , DONOVAN T  </t>
  </si>
  <si>
    <t xml:space="preserve">20932 WHITE ROCK DR </t>
  </si>
  <si>
    <t>PEAVINE VIEW EST 4 LT 84 BLK B</t>
  </si>
  <si>
    <t>20940 WHITE ROCK DR</t>
  </si>
  <si>
    <t xml:space="preserve">HOTCHKISS, DOUGLAS S  </t>
  </si>
  <si>
    <t xml:space="preserve">TILDSLEY, ROGER H &amp; GERALDINE J </t>
  </si>
  <si>
    <t>PEAVINE VIEW EST 5 LT 133</t>
  </si>
  <si>
    <t>3999 KETTLE ROCK CT</t>
  </si>
  <si>
    <t>PEAVINE VIEW ESTATES 5</t>
  </si>
  <si>
    <t xml:space="preserve">LINDSEY 2010 FAMILY TRUST  </t>
  </si>
  <si>
    <t xml:space="preserve">21 TRIPLETT LN </t>
  </si>
  <si>
    <t xml:space="preserve">LINDSEY, DAVID E &amp; LINDA G  </t>
  </si>
  <si>
    <t>PEAVINE VIEW EST 5 LT 113</t>
  </si>
  <si>
    <t>3994 KETTLE ROCK CT</t>
  </si>
  <si>
    <t xml:space="preserve">RELVAS, JAYSEN W &amp; MELISSA D </t>
  </si>
  <si>
    <t>PEAVINE VIEW EST 5 LT 121</t>
  </si>
  <si>
    <t>21140 MOUNT LEWIS CT</t>
  </si>
  <si>
    <t xml:space="preserve">JENSEN, WILLIAM M  </t>
  </si>
  <si>
    <t>PO BOX 60021</t>
  </si>
  <si>
    <t>PEAVINE VIEW EST 6 LT 146 BLK B</t>
  </si>
  <si>
    <t>21121 MOUNT EVANS CT</t>
  </si>
  <si>
    <t xml:space="preserve">MORGAN , TYE A  </t>
  </si>
  <si>
    <t xml:space="preserve">DOMINGUEZ, RHEANNA L &amp; MIGUEL </t>
  </si>
  <si>
    <t>PEAVINE VIEW EST 6 LT 157 BLK B</t>
  </si>
  <si>
    <t>20957 WHITE ROCK DR</t>
  </si>
  <si>
    <t xml:space="preserve">ARCHAMBAULT, BENJAMIN W  </t>
  </si>
  <si>
    <t xml:space="preserve">20957 WHITE ROCK </t>
  </si>
  <si>
    <t>PEAVINE VIEW EST 7 LT 174 BLK A</t>
  </si>
  <si>
    <t>20946 WHITE ROCK DR</t>
  </si>
  <si>
    <t xml:space="preserve">MESZDZEN, WILLIAM A &amp; NOREEN A  </t>
  </si>
  <si>
    <t xml:space="preserve">MENTESNOT, GENET A </t>
  </si>
  <si>
    <t>PEAVINE VIEW EST 7 LT 204 BLK D</t>
  </si>
  <si>
    <t>20976 WHITE ROCK DR</t>
  </si>
  <si>
    <t xml:space="preserve">JAMES, PHANICHA &amp; DARIK </t>
  </si>
  <si>
    <t xml:space="preserve">20976 WHITE ROCK DR </t>
  </si>
  <si>
    <t xml:space="preserve">GAMBOA A, JEANA L </t>
  </si>
  <si>
    <t>PEAVINE VIEW EST 7 LT 191 BLK C</t>
  </si>
  <si>
    <t>20970 WHITE ROCK DR</t>
  </si>
  <si>
    <t>SKIDMORE, ALBERT W et al</t>
  </si>
  <si>
    <t xml:space="preserve">SKIDMORE, ALBERT W </t>
  </si>
  <si>
    <t>PEAVINE VIEW EST 7 LT 194 BLK C</t>
  </si>
  <si>
    <t>4014 WHITE ROCK CT</t>
  </si>
  <si>
    <t xml:space="preserve">NETOFF REVOCABLE LIVING TRUST, DENNIS &amp; NANCY  </t>
  </si>
  <si>
    <t>C/O DENNIS I &amp; NANCY J NETOFF TTEE</t>
  </si>
  <si>
    <t>3705 SUMMER LN</t>
  </si>
  <si>
    <t>HUNTSVILLE</t>
  </si>
  <si>
    <t>77340</t>
  </si>
  <si>
    <t xml:space="preserve">NETOFF, DENNIS &amp; NANCY  </t>
  </si>
  <si>
    <t>PEAVINE VIEW EST 7 LT 181 BLK B</t>
  </si>
  <si>
    <t>4022 WHITE ROCK CT</t>
  </si>
  <si>
    <t xml:space="preserve">CASSEL, GLENN JR &amp; BONNIE </t>
  </si>
  <si>
    <t>455 MANCHESTER WAY</t>
  </si>
  <si>
    <t>PEAVINE VIEW EST 7 LT 184 BLK B</t>
  </si>
  <si>
    <t>18254 SILVERLEAF CT</t>
  </si>
  <si>
    <t xml:space="preserve">PRIOR, RICHARD L JR </t>
  </si>
  <si>
    <t xml:space="preserve">WOODLAND VILLAGE 5 LT 409 </t>
  </si>
  <si>
    <t>18214 ALMONDLEAF CT</t>
  </si>
  <si>
    <t xml:space="preserve">AVEY, LYLE L </t>
  </si>
  <si>
    <t>4136 FOOTHILL DR</t>
  </si>
  <si>
    <t xml:space="preserve">MARIN-OPENLANDER, ADRIENNE M </t>
  </si>
  <si>
    <t xml:space="preserve">WOODLAND VILLAGE 5 LT 460 </t>
  </si>
  <si>
    <t>15 BRUSHLAND CT</t>
  </si>
  <si>
    <t xml:space="preserve">BADEA, RICHARD &amp; PATRICIA A </t>
  </si>
  <si>
    <t>BADEA, RICHARD &amp; PATRICIA A et al</t>
  </si>
  <si>
    <t xml:space="preserve">WOODLAND VILLAGE 6 LT 480 </t>
  </si>
  <si>
    <t>17851 BRUSHLAND DR</t>
  </si>
  <si>
    <t xml:space="preserve">DAVIS, ERIN </t>
  </si>
  <si>
    <t xml:space="preserve">WOODLAND VILLAGE 6 LT 489 </t>
  </si>
  <si>
    <t>17881 BRUSHLAND DR</t>
  </si>
  <si>
    <t xml:space="preserve">BOYLE , ROBERT L JR  </t>
  </si>
  <si>
    <t xml:space="preserve">17881 BRUSHLAND DR </t>
  </si>
  <si>
    <t xml:space="preserve">WOODLAND VILLAGE 6 LT 486 </t>
  </si>
  <si>
    <t>18070 HAZELNUT DR</t>
  </si>
  <si>
    <t xml:space="preserve">CONTINO, TODD L </t>
  </si>
  <si>
    <t xml:space="preserve">VARRELMAN, MARTIN </t>
  </si>
  <si>
    <t xml:space="preserve">WOODLAND VILLAGE 6 LT 501 </t>
  </si>
  <si>
    <t>18290 ALDERWOOD CT</t>
  </si>
  <si>
    <t xml:space="preserve">ILTEN, DAVID M &amp; CASSIE D </t>
  </si>
  <si>
    <t xml:space="preserve">18290 ALDERWOOD CT                      </t>
  </si>
  <si>
    <t xml:space="preserve">GIDRON, JEFFREY E </t>
  </si>
  <si>
    <t xml:space="preserve">WOODLAND VILLAGE 6 LT 525 </t>
  </si>
  <si>
    <t>18270 ALDERWOOD CT</t>
  </si>
  <si>
    <t xml:space="preserve">VERNON, JOHN M &amp; AUBRIE </t>
  </si>
  <si>
    <t xml:space="preserve">TAAFFE, MARTIN C &amp; TRUC T </t>
  </si>
  <si>
    <t xml:space="preserve">WOODLAND VILLAGE 6 LT 523 </t>
  </si>
  <si>
    <t>18240 ALDERWOOD CT</t>
  </si>
  <si>
    <t xml:space="preserve">SPONSLER, BRIAN T  </t>
  </si>
  <si>
    <t xml:space="preserve">WOODLAND VILLAGE 6 LT 520 </t>
  </si>
  <si>
    <t>18230 ALDERWOOD CT</t>
  </si>
  <si>
    <t>HAYCRAFT, JAMES F et al</t>
  </si>
  <si>
    <t xml:space="preserve">COLD SPRINGS </t>
  </si>
  <si>
    <t xml:space="preserve">WOODLAND VILLAGE 6 LT 519 </t>
  </si>
  <si>
    <t>18461 DATEWOOD CT</t>
  </si>
  <si>
    <t xml:space="preserve">DUBRON, ANDREW H </t>
  </si>
  <si>
    <t xml:space="preserve">WOLFINGER, KAREN R </t>
  </si>
  <si>
    <t xml:space="preserve">WOODLAND VILLAGE 6 LT 551 </t>
  </si>
  <si>
    <t>17654 MAYFIELD CT</t>
  </si>
  <si>
    <t xml:space="preserve">RANSON, THOMAS J &amp; MONICA E </t>
  </si>
  <si>
    <t>TURNER, BONNIE L et al</t>
  </si>
  <si>
    <t>WOODLAND VILLAGE 7 LT 583</t>
  </si>
  <si>
    <t>17604 THOMASVILLE CT</t>
  </si>
  <si>
    <t xml:space="preserve">HYATT, ANTON G &amp; SCARLET R </t>
  </si>
  <si>
    <t xml:space="preserve">PAYNE, TOM A </t>
  </si>
  <si>
    <t>WOODLAND VILLAGE 7 LT 601</t>
  </si>
  <si>
    <t>17655 ALEXANDRIA CT</t>
  </si>
  <si>
    <t xml:space="preserve">MEESE, FRANK </t>
  </si>
  <si>
    <t>WOODLAND VILLAGE 7 LT 606</t>
  </si>
  <si>
    <t>17694 ALEXANDRIA CT</t>
  </si>
  <si>
    <t xml:space="preserve">TSAI, FRANK </t>
  </si>
  <si>
    <t xml:space="preserve">CUNNINGHAM, KENNY C </t>
  </si>
  <si>
    <t>WOODLAND VILLAGE 7 LT 611</t>
  </si>
  <si>
    <t>17624 ALEXANDRIA CT</t>
  </si>
  <si>
    <t xml:space="preserve">DEUTSCH, JARRED M &amp; LYNSEY M </t>
  </si>
  <si>
    <t xml:space="preserve">CACANINDIN, JOANNE </t>
  </si>
  <si>
    <t>WOODLAND VILLAGE 7 LT 618</t>
  </si>
  <si>
    <t>18169 ALEXANDRIA DR</t>
  </si>
  <si>
    <t>WOODLAND VILLAGE 7 LT 569</t>
  </si>
  <si>
    <t>17625 MAYFIELD CT</t>
  </si>
  <si>
    <t xml:space="preserve">RAWLS, AMIE M </t>
  </si>
  <si>
    <t>WOODLAND VILLAGE 7 LT 579</t>
  </si>
  <si>
    <t>18671 JUTEWOOD CT</t>
  </si>
  <si>
    <t xml:space="preserve">GRAVES, MICHAEL &amp; MANDEE L </t>
  </si>
  <si>
    <t>556-211-21</t>
  </si>
  <si>
    <t>WOODLAND VILLAGE 9 LT 750</t>
  </si>
  <si>
    <t>18670 JUTEWOOD CT</t>
  </si>
  <si>
    <t xml:space="preserve">BRANDT, BRIAN D </t>
  </si>
  <si>
    <t xml:space="preserve">DENNIS, THOMAS R </t>
  </si>
  <si>
    <t>556-211-22</t>
  </si>
  <si>
    <t>WOODLAND VILLAGE 9 LT 760</t>
  </si>
  <si>
    <t>4016 LITTLE VALLEY DR</t>
  </si>
  <si>
    <t>FENNEL, SHAWN M et al</t>
  </si>
  <si>
    <t>TAKTAYKINA MARINA</t>
  </si>
  <si>
    <t>1955 BARING BLVD</t>
  </si>
  <si>
    <t>PEAVINE VIEW EST 8 LT 209  BLK A</t>
  </si>
  <si>
    <t>20980 WHITE ROCK DR</t>
  </si>
  <si>
    <t>KRETSCHMER, STEVEN J  et al</t>
  </si>
  <si>
    <t xml:space="preserve">20980 WHITE ROCK DR </t>
  </si>
  <si>
    <t>PEAVINE VIEW EST 8 LT 238  BLK E</t>
  </si>
  <si>
    <t>20981 LITTLE VALLEY CT</t>
  </si>
  <si>
    <t xml:space="preserve">MIHALI, STEPHEN S &amp; ASHLEY D </t>
  </si>
  <si>
    <t xml:space="preserve">6734 DOOLITTLE AVE STE F                </t>
  </si>
  <si>
    <t xml:space="preserve">RIVERSIDE                </t>
  </si>
  <si>
    <t xml:space="preserve">BURNETT TRUST  </t>
  </si>
  <si>
    <t>PEAVINE VIEW EST 8  LT 217  BLK B</t>
  </si>
  <si>
    <t>17740 FAIRFAX CT</t>
  </si>
  <si>
    <t xml:space="preserve">JOHNSON, WILLIAM J &amp; KAREN Y </t>
  </si>
  <si>
    <t>17650 YEARLING CT</t>
  </si>
  <si>
    <t xml:space="preserve">MOURITSEN, MICHAEL G &amp; DANIELLE M </t>
  </si>
  <si>
    <t>WOODLAND VILLAGE 8 LT 634</t>
  </si>
  <si>
    <t>17740 DAVENPORT LN</t>
  </si>
  <si>
    <t xml:space="preserve">TRIMBLE, MARSHA J </t>
  </si>
  <si>
    <t>WOODLAND VILLAGE 8 LT 656</t>
  </si>
  <si>
    <t>17780 BOXELDER CT</t>
  </si>
  <si>
    <t xml:space="preserve">OBI , GEORGE F &amp; JO ANNE </t>
  </si>
  <si>
    <t xml:space="preserve">5410 DAYBREAK DR </t>
  </si>
  <si>
    <t>WOODLAND VILLAGE 8 LT 679</t>
  </si>
  <si>
    <t>17700 BOXELDER CT</t>
  </si>
  <si>
    <t xml:space="preserve">CLAYPOOL, MARK W &amp; SUZETTE M  </t>
  </si>
  <si>
    <t xml:space="preserve">17700 BOXELDER CT </t>
  </si>
  <si>
    <t>WOODLAND VILLAGE 8 LT 687</t>
  </si>
  <si>
    <t>17800 OAKVIEW CT</t>
  </si>
  <si>
    <t xml:space="preserve">POPPINGA, GARY D &amp; CHARLENE C  </t>
  </si>
  <si>
    <t xml:space="preserve">GLASS, RICHARD S </t>
  </si>
  <si>
    <t>WOODLAND VILLAGE 8 LT 703</t>
  </si>
  <si>
    <t>17760 OAKVIEW CT</t>
  </si>
  <si>
    <t xml:space="preserve">RAMIREZ, CARLOS &amp; ANDREA </t>
  </si>
  <si>
    <t>WOODLAND VILLAGE 8 LT 707</t>
  </si>
  <si>
    <t>17670 PAPA BEAR CT</t>
  </si>
  <si>
    <t xml:space="preserve">GRAY, AMBER D </t>
  </si>
  <si>
    <t>17670 PAP BEAR CT</t>
  </si>
  <si>
    <t>WOODLAND VILLAGE 10 LT 825</t>
  </si>
  <si>
    <t>17980 MAMA BEAR CT</t>
  </si>
  <si>
    <t xml:space="preserve">BEAN, TIMOTHY L </t>
  </si>
  <si>
    <t xml:space="preserve">GONZALEZ-RIVERA, HECTOR A </t>
  </si>
  <si>
    <t>WOODLAND VILLAGE 10 LT 787</t>
  </si>
  <si>
    <t>17931 MAMA BEAR CT</t>
  </si>
  <si>
    <t xml:space="preserve">KOTSIOS, CHRISTOPHER S </t>
  </si>
  <si>
    <t>WOODLAND VILLAGE 10 LT 778</t>
  </si>
  <si>
    <t>18190 BABY BEAR CT</t>
  </si>
  <si>
    <t xml:space="preserve">ROZA, MICHELLE R </t>
  </si>
  <si>
    <t>18190 BAY BEAR CT</t>
  </si>
  <si>
    <t xml:space="preserve">BEKOWSKY, JOAN M </t>
  </si>
  <si>
    <t>WOODLAND VILLAGE 10 LT 762</t>
  </si>
  <si>
    <t>17661 PAPA BEAR CT</t>
  </si>
  <si>
    <t xml:space="preserve">KELLER, WARREN &amp; PEGGY </t>
  </si>
  <si>
    <t>3759 FAUST AVE</t>
  </si>
  <si>
    <t>WOODLAND VILLAGE 10 LT 804</t>
  </si>
  <si>
    <t>17910 MAMA BEAR CT</t>
  </si>
  <si>
    <t xml:space="preserve">VEGETO, BRETT &amp; KATRINA </t>
  </si>
  <si>
    <t xml:space="preserve">CHRISTENSEN, TERRY D </t>
  </si>
  <si>
    <t>WOODLAND VILLAGE 10 LT 794</t>
  </si>
  <si>
    <t>4012 RYEGATE DR</t>
  </si>
  <si>
    <t xml:space="preserve">JARVIS, ELBERT R  </t>
  </si>
  <si>
    <t xml:space="preserve">MCGREW, MARJORIE A </t>
  </si>
  <si>
    <t>PEAVINE VIEW EST 9 LT 255 BLK G</t>
  </si>
  <si>
    <t>20996 GUNNISON CT</t>
  </si>
  <si>
    <t xml:space="preserve">BOTTOMS, HELEN I &amp; ULES </t>
  </si>
  <si>
    <t>LORD, JOSHUA et al</t>
  </si>
  <si>
    <t>PEAVINE VIEW EST 9 LT 266 BLK F</t>
  </si>
  <si>
    <t>21006 NINE MILE CT</t>
  </si>
  <si>
    <t>BELLETTI-SICKINGER, ANNA M et al</t>
  </si>
  <si>
    <t>SICKINGER STEVEN</t>
  </si>
  <si>
    <t xml:space="preserve">NINE MILE TRUST # 21006  </t>
  </si>
  <si>
    <t>PEAVINE VIEW EST 9 LT 281 BLK F</t>
  </si>
  <si>
    <t>21002 NINE MILE CT</t>
  </si>
  <si>
    <t xml:space="preserve">PARKS, DANIEL W JR &amp; DEE A </t>
  </si>
  <si>
    <t>PEAVINE VIEW EST 9 LT 283 BLK F</t>
  </si>
  <si>
    <t>4016 RYEGATE DR</t>
  </si>
  <si>
    <t xml:space="preserve">CASSEL FAMILY TRUST  </t>
  </si>
  <si>
    <t>1056 RAMONA AVE</t>
  </si>
  <si>
    <t>LOS OSOS</t>
  </si>
  <si>
    <t>PEAVINE VIEW EST 9 LT 257 BLK G</t>
  </si>
  <si>
    <t>18126 CEDAR VIEW DR</t>
  </si>
  <si>
    <t xml:space="preserve">RICHARDS, KIRSTEN M </t>
  </si>
  <si>
    <t>WOODLAND VILLAGE 12 LT 1051</t>
  </si>
  <si>
    <t>17905 DAVENPORT CT</t>
  </si>
  <si>
    <t xml:space="preserve">TACHICK, SETH D </t>
  </si>
  <si>
    <t>WOODLAND VILLAGE 12 LT 1043</t>
  </si>
  <si>
    <t>17920 DAVENPORT CT</t>
  </si>
  <si>
    <t xml:space="preserve">WALSH, MICHAEL F &amp; SHIRLEY E </t>
  </si>
  <si>
    <t xml:space="preserve">GAROFALO, MICHAEL A &amp; SYLVIA D </t>
  </si>
  <si>
    <t>WOODLAND VILLAGE 12 LT 1045</t>
  </si>
  <si>
    <t>18180 SPRUCE LAKE CT</t>
  </si>
  <si>
    <t xml:space="preserve">PEARSON, CHARLES &amp; DONDI </t>
  </si>
  <si>
    <t xml:space="preserve">18180 SPRUCE LAKE CT </t>
  </si>
  <si>
    <t xml:space="preserve">SWAIN, DAMIAN R &amp; MICHELLE A </t>
  </si>
  <si>
    <t>WOODLAND VILLAGE 12 LT 947</t>
  </si>
  <si>
    <t>17710 PINTURA CT</t>
  </si>
  <si>
    <t xml:space="preserve">MEHLHAFF, DAROLD D &amp; KATHLEEN S </t>
  </si>
  <si>
    <t xml:space="preserve">EDDINGS, DWIGHT T </t>
  </si>
  <si>
    <t>WOODLAND VILLAGE 12 LT 953</t>
  </si>
  <si>
    <t>17755 SWEET GUM DR</t>
  </si>
  <si>
    <t xml:space="preserve">RAMIREZ, FELICIA D </t>
  </si>
  <si>
    <t>WOODLAND VILLAGE 12 LT 960</t>
  </si>
  <si>
    <t>17785 SWEET GUM DR</t>
  </si>
  <si>
    <t xml:space="preserve">LANGIS, DENISE A </t>
  </si>
  <si>
    <t>WOODLAND VILLAGE 12 LT 963</t>
  </si>
  <si>
    <t>18215 MORNING BREEZE DR</t>
  </si>
  <si>
    <t xml:space="preserve">AUSTIN, MICHAEL G </t>
  </si>
  <si>
    <t>MEHLHAFF, JENNIFER L et al</t>
  </si>
  <si>
    <t>WOODLAND VILLAGE 12 LT 965</t>
  </si>
  <si>
    <t>17885 SPRING CANYON CT</t>
  </si>
  <si>
    <t xml:space="preserve">ROES, MONICA M </t>
  </si>
  <si>
    <t>WOODLAND VILLAGE 12 LT 990</t>
  </si>
  <si>
    <t>17905 SWEET GUM CT</t>
  </si>
  <si>
    <t xml:space="preserve">BRANT, AARON R </t>
  </si>
  <si>
    <t xml:space="preserve">DOUGLAS, BILLY J &amp; SHELLEY R </t>
  </si>
  <si>
    <t>WOODLAND VILLAGE 12 LT 1001</t>
  </si>
  <si>
    <t>17920 SWEET GUM CT</t>
  </si>
  <si>
    <t xml:space="preserve">WOODFORD, JAMES E &amp; TERESA L </t>
  </si>
  <si>
    <t xml:space="preserve">KOMISSAROV, SERGEY </t>
  </si>
  <si>
    <t>WOODLAND VILLAGE 12 LT 1005</t>
  </si>
  <si>
    <t>17880 SWEET GUM CT</t>
  </si>
  <si>
    <t xml:space="preserve">FRETHY , DONALD L &amp; SHERMA </t>
  </si>
  <si>
    <t>6378 MEADOW CREST CIR</t>
  </si>
  <si>
    <t>WOODLAND VILLAGE 12 LT 1009</t>
  </si>
  <si>
    <t>17900 TIMBER GROVE CT</t>
  </si>
  <si>
    <t xml:space="preserve">HARTLEY, JOSEPH D </t>
  </si>
  <si>
    <t>732 W 6TH ST</t>
  </si>
  <si>
    <t>PORT ANGELES</t>
  </si>
  <si>
    <t>98363</t>
  </si>
  <si>
    <t xml:space="preserve">DARNEY, NONA C &amp; HOWARD B </t>
  </si>
  <si>
    <t>WOODLAND VILLAGE 12 LT 985</t>
  </si>
  <si>
    <t>17880 TIMBER GROVE CT</t>
  </si>
  <si>
    <t xml:space="preserve">SANDOVAL-CARPIO, OTTO R </t>
  </si>
  <si>
    <t xml:space="preserve">BARRIENTOS, JORGE L </t>
  </si>
  <si>
    <t>WOODLAND VILLAGE 12 LT 987</t>
  </si>
  <si>
    <t>18264 OAKBROOK LN</t>
  </si>
  <si>
    <t xml:space="preserve">WALKER, ROBERT M JR </t>
  </si>
  <si>
    <t>WOODLAND VILLAGE 13 LT 1178</t>
  </si>
  <si>
    <t>18270 OAKBROOK LN</t>
  </si>
  <si>
    <t xml:space="preserve">ANGELL, JANET Z </t>
  </si>
  <si>
    <t xml:space="preserve">SUBLET, NATHAN E </t>
  </si>
  <si>
    <t>WOODLAND VILLAGE 13 LT 1179</t>
  </si>
  <si>
    <t>17740 WOOD LEAF CT</t>
  </si>
  <si>
    <t xml:space="preserve">VOOS, CHARLES J &amp; SANDRA L  </t>
  </si>
  <si>
    <t xml:space="preserve">17740 WOOD LEAF CT </t>
  </si>
  <si>
    <t>WOODLAND VILLAGE 13 LT 1083</t>
  </si>
  <si>
    <t>17720 WOOD LEAF CT</t>
  </si>
  <si>
    <t>COLEMAN, SUMMER L et al</t>
  </si>
  <si>
    <t>17720 WOODLEAF CT</t>
  </si>
  <si>
    <t xml:space="preserve">VANCE, GENEVIE N </t>
  </si>
  <si>
    <t>WOODLAND VILLAGE 13 LT 1081</t>
  </si>
  <si>
    <t>17735 LIVE OAK CT</t>
  </si>
  <si>
    <t xml:space="preserve">KEENAN, DAVID W &amp; ELISSA M </t>
  </si>
  <si>
    <t>WOODLAND VILLAGE 13 LT 1118</t>
  </si>
  <si>
    <t>17665 YEARLING CT</t>
  </si>
  <si>
    <t xml:space="preserve">GONTERMAN, ROBERT L &amp; MICHELLE R  </t>
  </si>
  <si>
    <t xml:space="preserve">17665 YEARLING CT </t>
  </si>
  <si>
    <t xml:space="preserve">HON, STEVEN A </t>
  </si>
  <si>
    <t>WOODLAND VILLAGE 13 LT 1135</t>
  </si>
  <si>
    <t>17610 LITTLE PEAK CT</t>
  </si>
  <si>
    <t xml:space="preserve">DENISON, JILLIAN D </t>
  </si>
  <si>
    <t>WOODLAND VILLAGE 13 LT 1144</t>
  </si>
  <si>
    <t>17630 LITTLE PEAK CT</t>
  </si>
  <si>
    <t xml:space="preserve">FINLEY, MARGARET A  </t>
  </si>
  <si>
    <t xml:space="preserve">17630 LITTLE PEAK CT </t>
  </si>
  <si>
    <t>WOODLAND VILLAGE 13 LT 1142</t>
  </si>
  <si>
    <t>17660 LITTLE PEAK CT</t>
  </si>
  <si>
    <t xml:space="preserve">JOHNSON, RYAN P </t>
  </si>
  <si>
    <t>WOODLAND VILLAGE 13 LT 1139</t>
  </si>
  <si>
    <t>17665 LITTLE PEAK CT</t>
  </si>
  <si>
    <t xml:space="preserve">ELLISON, ROBERT S &amp; GAYLE P </t>
  </si>
  <si>
    <t xml:space="preserve">HUNT, CHARLES W &amp; KRISTA A </t>
  </si>
  <si>
    <t>WOODLAND VILLAGE 13 LT 1151</t>
  </si>
  <si>
    <t>17625 OAK BROOK CT</t>
  </si>
  <si>
    <t xml:space="preserve">SOSINE, KENNETH J &amp; SHERYL L </t>
  </si>
  <si>
    <t xml:space="preserve">ALCANTAR, MATTHEW </t>
  </si>
  <si>
    <t>WOODLAND VILLAGE 13 LT 1165</t>
  </si>
  <si>
    <t>17645 OAK BROOK CT</t>
  </si>
  <si>
    <t xml:space="preserve">LENHART, JENNIFER J  </t>
  </si>
  <si>
    <t xml:space="preserve">17645 OAK BROOK CT </t>
  </si>
  <si>
    <t xml:space="preserve">HALL, DENISE L &amp; BRETT M  </t>
  </si>
  <si>
    <t>WOODLAND VILLAGE 13 LT 1163</t>
  </si>
  <si>
    <t>17511 CRYSTAL CANYON BLVD</t>
  </si>
  <si>
    <t xml:space="preserve">SRIVER, DOUGLAS J  </t>
  </si>
  <si>
    <t>WOODLAND VILLAGE 11 LT 836</t>
  </si>
  <si>
    <t>17365 AQUAMARINE DR</t>
  </si>
  <si>
    <t xml:space="preserve">ANDERSON, TERESA A  </t>
  </si>
  <si>
    <t xml:space="preserve">9633 YORKSHIRE DR </t>
  </si>
  <si>
    <t xml:space="preserve">S JORDAN </t>
  </si>
  <si>
    <t xml:space="preserve">GRAVES, SHAWN R </t>
  </si>
  <si>
    <t>WOODLAND VILLAGE 11 LT 932</t>
  </si>
  <si>
    <t>17220 POSY LAKE CT</t>
  </si>
  <si>
    <t xml:space="preserve">JACQUES, MARGARET M &amp; WILLIAM J </t>
  </si>
  <si>
    <t>17220 POSEY LAKE CT</t>
  </si>
  <si>
    <t xml:space="preserve">POSY LAKE TRUST # 17220  </t>
  </si>
  <si>
    <t>WOODLAND VILLAGE 11 LT 874</t>
  </si>
  <si>
    <t>17210 POSY LAKE CT</t>
  </si>
  <si>
    <t xml:space="preserve">KUYKENDALL, VICKI D &amp; THOMAS A  </t>
  </si>
  <si>
    <t xml:space="preserve">TURNER, PATRICK R </t>
  </si>
  <si>
    <t>WOODLAND VILLAGE 11 LT 873</t>
  </si>
  <si>
    <t>17160 POSY LAKE CT</t>
  </si>
  <si>
    <t xml:space="preserve">GRIGGS, ROBERT A </t>
  </si>
  <si>
    <t>WOODLAND VILLAGE 11 LT 868</t>
  </si>
  <si>
    <t>17181 POSY LAKE CT</t>
  </si>
  <si>
    <t xml:space="preserve">LOVRICH, PAUL A </t>
  </si>
  <si>
    <t xml:space="preserve">17181 POSY LAKE CT </t>
  </si>
  <si>
    <t xml:space="preserve">LOVRICH, LILY  </t>
  </si>
  <si>
    <t>WOODLAND VILLAGE 11 LT 865</t>
  </si>
  <si>
    <t>17400 CRYSTAL CANYON BLVD</t>
  </si>
  <si>
    <t xml:space="preserve">ADGETT, JAMES L &amp; LYNN M </t>
  </si>
  <si>
    <t xml:space="preserve">HARO, MICHAEL S &amp; LYNNE Y </t>
  </si>
  <si>
    <t>WOODLAND VILLAGE 11 LT 852</t>
  </si>
  <si>
    <t>18345 VINEYARD CT</t>
  </si>
  <si>
    <t xml:space="preserve">GRAY, MARY </t>
  </si>
  <si>
    <t xml:space="preserve">BARBER, DENNIS J &amp; SHERI L </t>
  </si>
  <si>
    <t>WOODLAND VILLAGE 14 LT 1223</t>
  </si>
  <si>
    <t>18321 VINEYARD CT</t>
  </si>
  <si>
    <t xml:space="preserve">TOOMBS, KEVIN  </t>
  </si>
  <si>
    <t xml:space="preserve">18321 VINEYARD CT </t>
  </si>
  <si>
    <t>WOODLAND VILLAGE 14 LT 1227</t>
  </si>
  <si>
    <t>18322 VINEYARD CT</t>
  </si>
  <si>
    <t xml:space="preserve">RICHMOND, BARBARA </t>
  </si>
  <si>
    <t>WOODLAND VILLAGE 14 LT 1228</t>
  </si>
  <si>
    <t>18340 VINEYARD CT</t>
  </si>
  <si>
    <t xml:space="preserve">COX, DANIEL  </t>
  </si>
  <si>
    <t xml:space="preserve">18340 VINEYARD CT </t>
  </si>
  <si>
    <t>WOODLAND VILLAGE 14 LT 1230</t>
  </si>
  <si>
    <t>18358 VINEYARD CT</t>
  </si>
  <si>
    <t xml:space="preserve">MARTIN , RANDY  </t>
  </si>
  <si>
    <t xml:space="preserve">SODERQUIST , PAUL W &amp; JUDY L </t>
  </si>
  <si>
    <t>WOODLAND VILLAGE 14 LT 1232</t>
  </si>
  <si>
    <t>18290 DUSTIN CT</t>
  </si>
  <si>
    <t>GARCIA-LEON, JOSE L et al</t>
  </si>
  <si>
    <t>AREVALO VERONICA</t>
  </si>
  <si>
    <t>WOODLAND VILLAGE 14 LT 1265</t>
  </si>
  <si>
    <t>18318 DUSTIN CT</t>
  </si>
  <si>
    <t xml:space="preserve">PETTY, TRAVIS </t>
  </si>
  <si>
    <t xml:space="preserve">18318 DUSTIN CT </t>
  </si>
  <si>
    <t>WOODLAND VILLAGE 14 LT 1268</t>
  </si>
  <si>
    <t>18274 CODY CT</t>
  </si>
  <si>
    <t>ROCKWELL, DAVID &amp; TERRY et al</t>
  </si>
  <si>
    <t>WOODLAND VILLAGE 14 LT 1287</t>
  </si>
  <si>
    <t>17700 SMOKETREE CT</t>
  </si>
  <si>
    <t xml:space="preserve">DAVIS, HELEN J  </t>
  </si>
  <si>
    <t xml:space="preserve">17700 SMOKETREE CT </t>
  </si>
  <si>
    <t xml:space="preserve">JAMESON, JOHN </t>
  </si>
  <si>
    <t>WOODLAND VILLAGE 15 LT 1373</t>
  </si>
  <si>
    <t>17650 LAKE POWELL DR</t>
  </si>
  <si>
    <t xml:space="preserve">KNIGHT, DANIEL G JR &amp; KECIA M  </t>
  </si>
  <si>
    <t xml:space="preserve">17650 LAKE POWELL DR </t>
  </si>
  <si>
    <t>WOODLAND VILLAGE 15 LT 1348</t>
  </si>
  <si>
    <t>17620 LAKE POWELL DR</t>
  </si>
  <si>
    <t xml:space="preserve">BARTLEY, JOHN M &amp; JUDY D </t>
  </si>
  <si>
    <t>WOODLAND VILLAGE 15 LT 1351</t>
  </si>
  <si>
    <t>18329 GOOSE LAKE CT</t>
  </si>
  <si>
    <t xml:space="preserve">HUERTA, JOSIE M  </t>
  </si>
  <si>
    <t xml:space="preserve">18329 GOOSE LAKE CT </t>
  </si>
  <si>
    <t xml:space="preserve">INDA, ROARKE G &amp; KATIE M  </t>
  </si>
  <si>
    <t>WOODLAND VILLAGE 15 LT 1338</t>
  </si>
  <si>
    <t>17611 LAKE POWELL DR</t>
  </si>
  <si>
    <t xml:space="preserve">MCMINIMY, ZANE &amp; VALERIE S  </t>
  </si>
  <si>
    <t xml:space="preserve">17611 LAKE POWELL DR </t>
  </si>
  <si>
    <t>WOODLAND VILLAGE 15 LT 1340</t>
  </si>
  <si>
    <t>18430 TEDDY BEAR CT</t>
  </si>
  <si>
    <t xml:space="preserve">MOORE, DEREK W &amp; REBECCA </t>
  </si>
  <si>
    <t>WOODLAND VILLAGE PH 16 LOT 1458</t>
  </si>
  <si>
    <t>18324 PANDA BEAR CT</t>
  </si>
  <si>
    <t xml:space="preserve">ROMERO, WALDO &amp; VIRGINIA </t>
  </si>
  <si>
    <t>WOODLAND VILLAGE PH 16 1415</t>
  </si>
  <si>
    <t>18366 PANDA BEAR CT</t>
  </si>
  <si>
    <t xml:space="preserve">CLUTE, DERICK M </t>
  </si>
  <si>
    <t>WOODLAND VILLAGE PH 16 1409</t>
  </si>
  <si>
    <t>18359 PANDA BEAR CT</t>
  </si>
  <si>
    <t xml:space="preserve">EDWARDS, DANIEL P &amp; TERRI L </t>
  </si>
  <si>
    <t>WOODLAND VILLAGE PH 16 1403</t>
  </si>
  <si>
    <t>18323 PANDA BEAR CT</t>
  </si>
  <si>
    <t>ADKINS, ELVERNA D et al</t>
  </si>
  <si>
    <t>WOODLAND VILLAGE PH 16 1397</t>
  </si>
  <si>
    <t>18273 GRIZZLY BEAR CT</t>
  </si>
  <si>
    <t xml:space="preserve">LACY, TRAVIS R &amp; DENISE L </t>
  </si>
  <si>
    <t>WOODLAND VILLAGE PH 16 LOT 1421</t>
  </si>
  <si>
    <t>18286 GRIZZLY BEAR CT</t>
  </si>
  <si>
    <t xml:space="preserve">ZOBITZ, JOHN F &amp; ROBIN B S </t>
  </si>
  <si>
    <t>WOODLAND VILLAGE PH 16 LOT 1455</t>
  </si>
  <si>
    <t>18201 GRIZZLY BEAR CT</t>
  </si>
  <si>
    <t xml:space="preserve">GREENWELL, JOSHUA A &amp; DANIELLE M </t>
  </si>
  <si>
    <t>WOODLAND VILLAGE PH 16 1432</t>
  </si>
  <si>
    <t>7765 KEY LARGO DR</t>
  </si>
  <si>
    <t xml:space="preserve">MENDOZA, MARIA E </t>
  </si>
  <si>
    <t xml:space="preserve">SANDOVAL, OLBER &amp; AMANDA G </t>
  </si>
  <si>
    <t>SILVER SHORES 26 LT 2628</t>
  </si>
  <si>
    <t>7645 E KEY LARGO CT</t>
  </si>
  <si>
    <t>MANCIA, MARIA V et al</t>
  </si>
  <si>
    <t xml:space="preserve">7645 KEY LARGO CT </t>
  </si>
  <si>
    <t>SILVER SHORES 26 LT 2604</t>
  </si>
  <si>
    <t>7750 KEY LARGO DR</t>
  </si>
  <si>
    <t xml:space="preserve">NORTH VALLEY HOUSING ASSISTNCE  </t>
  </si>
  <si>
    <t>SILVER SHORES 26 LT 2612</t>
  </si>
  <si>
    <t>8055 W KEY LARGO CT</t>
  </si>
  <si>
    <t xml:space="preserve">RAMIRO, FRANCIS S JR </t>
  </si>
  <si>
    <t>TURTLE CREEK 2 LT 254</t>
  </si>
  <si>
    <t>8025 MAUI CT</t>
  </si>
  <si>
    <t xml:space="preserve">AINSWORTH, SANDRA L </t>
  </si>
  <si>
    <t>FOLDEN, STEPHANIE C et al</t>
  </si>
  <si>
    <t>TURTLE CREEK 2 LT 248</t>
  </si>
  <si>
    <t>8000 MAUI CT</t>
  </si>
  <si>
    <t>OCHOA, LUIS A  et al</t>
  </si>
  <si>
    <t xml:space="preserve">8000 MAUI CT </t>
  </si>
  <si>
    <t>TURTLE CREEK 2 LT 243</t>
  </si>
  <si>
    <t>7920 MARINER COVE DR</t>
  </si>
  <si>
    <t xml:space="preserve">RUIZ, GUADALUPE D </t>
  </si>
  <si>
    <t>TURTLE CREEK 2 LT 236</t>
  </si>
  <si>
    <t>7890 MARINER COVE DR</t>
  </si>
  <si>
    <t xml:space="preserve">JOHNSON , DARCI  </t>
  </si>
  <si>
    <t xml:space="preserve">HALE-BYRON, SCOTT J </t>
  </si>
  <si>
    <t>TURTLE CREEK 2 LT 233</t>
  </si>
  <si>
    <t>7920 KEY LARGO DR</t>
  </si>
  <si>
    <t xml:space="preserve">ORDUNA, MARIA </t>
  </si>
  <si>
    <t>TURTLE CREEK 2 LT 282</t>
  </si>
  <si>
    <t>7910 KEY LARGO DR</t>
  </si>
  <si>
    <t>ALARCON, ARMANDO et al</t>
  </si>
  <si>
    <t xml:space="preserve">BOJORQUEZ LESBIA R </t>
  </si>
  <si>
    <t xml:space="preserve">7910 KEY LARGO DR </t>
  </si>
  <si>
    <t>TURTLE CREEK 2 LT 281</t>
  </si>
  <si>
    <t>7880 KEY LARGO DR</t>
  </si>
  <si>
    <t>ENDICOTT, JAMES L et al</t>
  </si>
  <si>
    <t xml:space="preserve">DOMINGUEZ, RYAN &amp; ASTA </t>
  </si>
  <si>
    <t>TURTLE CREEK 2 LT 278</t>
  </si>
  <si>
    <t>7855 KEY LARGO DR</t>
  </si>
  <si>
    <t xml:space="preserve">RAYBURN, JANENE W  </t>
  </si>
  <si>
    <t xml:space="preserve">7855 KEY LARGO DR </t>
  </si>
  <si>
    <t>CANNON, KYLE R et al</t>
  </si>
  <si>
    <t>TURTLE CREEK 2 LT 272</t>
  </si>
  <si>
    <t>7840 MARINER COVE DR</t>
  </si>
  <si>
    <t>JAMISON, JOSHUA A et al</t>
  </si>
  <si>
    <t xml:space="preserve">GRIENER, MICHAEL C </t>
  </si>
  <si>
    <t>TURTLE CREEK 2 LT 228</t>
  </si>
  <si>
    <t>18211 LAKE HILLS CT</t>
  </si>
  <si>
    <t>LAKE HILLS 1</t>
  </si>
  <si>
    <t xml:space="preserve">CARAVELLA, LISA A </t>
  </si>
  <si>
    <t xml:space="preserve">BATZLOFF, LOREN </t>
  </si>
  <si>
    <t>566-010-04</t>
  </si>
  <si>
    <t>LAKE HILLS 1 LT 4</t>
  </si>
  <si>
    <t>18151 GLEN LAKES CT</t>
  </si>
  <si>
    <t>PAEZ, ROBERT et al</t>
  </si>
  <si>
    <t>LAWSON ANNALISA</t>
  </si>
  <si>
    <t>LAKE HILLS 2 LT 18</t>
  </si>
  <si>
    <t>18473 SPICER LAKE CT</t>
  </si>
  <si>
    <t>STEMPECK, ADAM C et al</t>
  </si>
  <si>
    <t>18743 SPICER LAKE CT</t>
  </si>
  <si>
    <t>LAKE HILLS 3 LT 46</t>
  </si>
  <si>
    <t>18512 SPICER LAKE CT</t>
  </si>
  <si>
    <t xml:space="preserve">ADAMS, JASON &amp; TRACY  </t>
  </si>
  <si>
    <t xml:space="preserve">18512 SPICER LAKE CT </t>
  </si>
  <si>
    <t>LAKE HILLS 3 LT 63</t>
  </si>
  <si>
    <t>17665 BOULDER SPRINGS CT</t>
  </si>
  <si>
    <t xml:space="preserve">BISHOP , JAY M  </t>
  </si>
  <si>
    <t xml:space="preserve">17665 BOULDER SPRINGS CT </t>
  </si>
  <si>
    <t>CANYON HILLS 1 LT 10</t>
  </si>
  <si>
    <t>17655 BOULDER SPRINGS CT</t>
  </si>
  <si>
    <t xml:space="preserve">YORK, THERESA L </t>
  </si>
  <si>
    <t xml:space="preserve">GADDIS, DANIEL J &amp; HEATHER L </t>
  </si>
  <si>
    <t>CANYON HILLS 1 LT 11</t>
  </si>
  <si>
    <t>17635 BOULDER SPRINGS CT</t>
  </si>
  <si>
    <t xml:space="preserve">CUADRA TRUST, MARTY  </t>
  </si>
  <si>
    <t xml:space="preserve">CAUDRA TRUST, MARTY  </t>
  </si>
  <si>
    <t>CANYON HILLS 1 LT 13</t>
  </si>
  <si>
    <t>17755 THUNDER RIVER DR</t>
  </si>
  <si>
    <t xml:space="preserve">LUU, AMELIA J &amp; LIN X </t>
  </si>
  <si>
    <t>CANYON HILLS 2 LT 244</t>
  </si>
  <si>
    <t>17795 THUNDER RIVER DR</t>
  </si>
  <si>
    <t xml:space="preserve">STIEB, DAVID A </t>
  </si>
  <si>
    <t>3375 CORY DR</t>
  </si>
  <si>
    <t>PIERCE, JENNIFER T et al</t>
  </si>
  <si>
    <t>CANYON HILLS 2 LT 240</t>
  </si>
  <si>
    <t>17920 BLAKE CT</t>
  </si>
  <si>
    <t xml:space="preserve">BURTON, KRISTINA &amp; STEPHEN </t>
  </si>
  <si>
    <t xml:space="preserve">RESIDENTIAL CREDIT SOLUTIONS </t>
  </si>
  <si>
    <t>CANYON HILLS 2 LT 220</t>
  </si>
  <si>
    <t>17930 BLAKE CT</t>
  </si>
  <si>
    <t xml:space="preserve">DUVALL, KIM Q &amp; DELORES A </t>
  </si>
  <si>
    <t>TRAPPE, WILLIAM et al</t>
  </si>
  <si>
    <t>CANYON HILLS 2 LT 221</t>
  </si>
  <si>
    <t>17945 BLAKE CT</t>
  </si>
  <si>
    <t xml:space="preserve">JOHNSON, CARL  </t>
  </si>
  <si>
    <t xml:space="preserve">17945 BLAKE CT </t>
  </si>
  <si>
    <t>CANYON HILLS 2 LT 229</t>
  </si>
  <si>
    <t>17865 CEDAR MOUNTAIN DR</t>
  </si>
  <si>
    <t xml:space="preserve">GLASS, EDDIE R &amp; JUDITH E </t>
  </si>
  <si>
    <t xml:space="preserve">CALDWELL, MICHAEL &amp; DEBORAH S </t>
  </si>
  <si>
    <t>CANYON HILLS 3 LT 364</t>
  </si>
  <si>
    <t>17865 THUNDER RIDGE CT</t>
  </si>
  <si>
    <t xml:space="preserve">VILLA, ROBERT E SR &amp; BONNIE L </t>
  </si>
  <si>
    <t xml:space="preserve">HOGENSON, LLOYD B JR &amp; JUDITH R </t>
  </si>
  <si>
    <t>CANYON HILLS 3 LT 383</t>
  </si>
  <si>
    <t>17920 CEDAR MOUNTAIN CT</t>
  </si>
  <si>
    <t>CANYON HILLS 4</t>
  </si>
  <si>
    <t xml:space="preserve">BURNS, WILLIAM D </t>
  </si>
  <si>
    <t>566-121-03</t>
  </si>
  <si>
    <t>CANYON HILLS 4 LT 507</t>
  </si>
  <si>
    <t>17970 CEDAR MOUNTAIN CT</t>
  </si>
  <si>
    <t xml:space="preserve">BONILLA, WILLIAM P &amp; NANCY A  </t>
  </si>
  <si>
    <t xml:space="preserve">17970 CEDAR MOUNTAIN CT </t>
  </si>
  <si>
    <t xml:space="preserve">MOODY, RANDY L </t>
  </si>
  <si>
    <t>CANYON HILLS 4 LT 512</t>
  </si>
  <si>
    <t>9199 ANDRASTE WAY</t>
  </si>
  <si>
    <t xml:space="preserve">WATNES, CHAD C </t>
  </si>
  <si>
    <t>STONEFIELD 3 LT 77</t>
  </si>
  <si>
    <t>9195 ANDRASTE WAY</t>
  </si>
  <si>
    <t>RANGLE , KENNETH L  et al</t>
  </si>
  <si>
    <t xml:space="preserve">BICKFORD JENNIFER S </t>
  </si>
  <si>
    <t>STONEFIELD 3 LT 78</t>
  </si>
  <si>
    <t>9191 ANDRASTE WAY</t>
  </si>
  <si>
    <t>STONEFIELD 3 LT 79</t>
  </si>
  <si>
    <t>9185 ANDRASTE WAY</t>
  </si>
  <si>
    <t>LEIGHTON, AMBER N et al</t>
  </si>
  <si>
    <t>STONEFIELD 3 LT 80</t>
  </si>
  <si>
    <t>9175 ANDRASTE WAY</t>
  </si>
  <si>
    <t xml:space="preserve">LEPINE, LINDA </t>
  </si>
  <si>
    <t>STONEFIELD 3 LT 81</t>
  </si>
  <si>
    <t>9165 ANDRASTE WAY</t>
  </si>
  <si>
    <t xml:space="preserve">KLEIN, LESLIE </t>
  </si>
  <si>
    <t>STONEFIELD 3 LT 82</t>
  </si>
  <si>
    <t>9155 ANDRASTE WAY</t>
  </si>
  <si>
    <t xml:space="preserve">NOELL, PAUL E &amp; KATRINA M </t>
  </si>
  <si>
    <t xml:space="preserve">NOELL, PAUL E </t>
  </si>
  <si>
    <t>STONEFIELD 3 LT 83</t>
  </si>
  <si>
    <t>9135 RAYTHEON CT</t>
  </si>
  <si>
    <t xml:space="preserve">JOHNSON, PAUL D &amp; SHELI L </t>
  </si>
  <si>
    <t>STONEFIELD 3 LT 99</t>
  </si>
  <si>
    <t>9145 ANDRASTE WAY</t>
  </si>
  <si>
    <t>BRYANT, JEREMY G  et al</t>
  </si>
  <si>
    <t xml:space="preserve">9145 ANDRASTE WAY </t>
  </si>
  <si>
    <t>STONEFIELD PH3 LT 110</t>
  </si>
  <si>
    <t>9135 ANDRASTE WAY</t>
  </si>
  <si>
    <t xml:space="preserve">POWELL, THOMAS &amp; HELEN </t>
  </si>
  <si>
    <t>STONEFIELD 3 LT 111</t>
  </si>
  <si>
    <t>9125 ANDRASTE WAY</t>
  </si>
  <si>
    <t xml:space="preserve">BROWN, VICTORIA I  </t>
  </si>
  <si>
    <t>STONEFIELD 3 LT 112</t>
  </si>
  <si>
    <t>9105 ANDRASTE WAY</t>
  </si>
  <si>
    <t xml:space="preserve">GRIFFIN, ROSEMARY &amp; HULEN R </t>
  </si>
  <si>
    <t xml:space="preserve">9105 ANDRASTE WAY                       </t>
  </si>
  <si>
    <t>STONEFIELD 3 LT 114</t>
  </si>
  <si>
    <t>9101 ANDRASTE WAY</t>
  </si>
  <si>
    <t xml:space="preserve">PATRONI, JOSE F </t>
  </si>
  <si>
    <t>STONEFIELD 3 LT 115</t>
  </si>
  <si>
    <t>8966 GRISOM WAY</t>
  </si>
  <si>
    <t xml:space="preserve">BOWMAN, MATTHEW R &amp; CHRISTA K </t>
  </si>
  <si>
    <t xml:space="preserve">BLOFSKY, ALLAN M &amp; JENNIFER </t>
  </si>
  <si>
    <t>STONEFIELD 3 LT 122</t>
  </si>
  <si>
    <t>8918 GRISOM WAY</t>
  </si>
  <si>
    <t>MONK, JACQUELINE R et al</t>
  </si>
  <si>
    <t>STONEFIELD 3 LT 130</t>
  </si>
  <si>
    <t>8943 GRISOM WAY</t>
  </si>
  <si>
    <t xml:space="preserve">GHAFFARY, DOMINIQUE </t>
  </si>
  <si>
    <t>CHRISTOPHERSON , FRED A III et al</t>
  </si>
  <si>
    <t>STONEFIELD 3 LT 141</t>
  </si>
  <si>
    <t>8979 GRISOM WAY</t>
  </si>
  <si>
    <t>WEINZETL, STEPHEN D et al</t>
  </si>
  <si>
    <t>HEBERT-WEINZETL TAMMY S</t>
  </si>
  <si>
    <t xml:space="preserve">PAUL, DOROTHY A </t>
  </si>
  <si>
    <t>STONEFIELD 3 LT 147</t>
  </si>
  <si>
    <t>9010 YEAGER ST</t>
  </si>
  <si>
    <t>MITCHELL, TIMOTHY J  et al</t>
  </si>
  <si>
    <t xml:space="preserve">9010 YEAGER ST </t>
  </si>
  <si>
    <t xml:space="preserve">WOODS, JACOB L &amp; CAITLIN R </t>
  </si>
  <si>
    <t>STONEFIELD 3 LT 150</t>
  </si>
  <si>
    <t>9005 CONVAIR WAY</t>
  </si>
  <si>
    <t xml:space="preserve">MULLER, THOMAS J &amp; SHILOH M </t>
  </si>
  <si>
    <t>STONEFIELD 3 LT 40</t>
  </si>
  <si>
    <t>9015 CONVAIR WAY</t>
  </si>
  <si>
    <t xml:space="preserve">MILLS-BISHOP, GILLAN J C &amp; CAMILLE </t>
  </si>
  <si>
    <t>STONEFIELD 3 LT 41</t>
  </si>
  <si>
    <t>9025 CONVAIR WAY</t>
  </si>
  <si>
    <t xml:space="preserve">ALEXANDER, DAVID &amp; FARRAH L </t>
  </si>
  <si>
    <t>STONEFIELD 3 LT 42</t>
  </si>
  <si>
    <t>9035 CONVAIR WAY</t>
  </si>
  <si>
    <t xml:space="preserve">FITCHA, TREVOR L </t>
  </si>
  <si>
    <t>STONEFIELD 3 LT 43</t>
  </si>
  <si>
    <t>9045 CONVAIR WAY</t>
  </si>
  <si>
    <t xml:space="preserve">VARGAS, OSCAR A &amp; IMELDA H  </t>
  </si>
  <si>
    <t xml:space="preserve">9045 CONVAIR WAY </t>
  </si>
  <si>
    <t>STONEFIELD 3 LT 44</t>
  </si>
  <si>
    <t>9055 CONVAIR WAY</t>
  </si>
  <si>
    <t>POINDEXTER, SCOTT D et al</t>
  </si>
  <si>
    <t>ZMIRAK-POINDEXTER KAREN</t>
  </si>
  <si>
    <t>STONEFIELD 3 LT 45</t>
  </si>
  <si>
    <t>9065 CONVAIR WAY</t>
  </si>
  <si>
    <t xml:space="preserve">DONKOR, JERRY </t>
  </si>
  <si>
    <t>STONEFIELD 3 LT 46</t>
  </si>
  <si>
    <t>9075 CONVAIR WAY</t>
  </si>
  <si>
    <t xml:space="preserve">HEISS, WILLIAM J &amp; MANDIE L  </t>
  </si>
  <si>
    <t xml:space="preserve">HEISS, WILLIAM J </t>
  </si>
  <si>
    <t>STONEFIELD 3 LT 47</t>
  </si>
  <si>
    <t>9085 CONVAIR WAY</t>
  </si>
  <si>
    <t xml:space="preserve">YOUNG, DIANNA D &amp; ROBERT D </t>
  </si>
  <si>
    <t>STONEFIELD 3 LT 48</t>
  </si>
  <si>
    <t>9090 CONVAIR WAY</t>
  </si>
  <si>
    <t xml:space="preserve">INCROCCI FAMILY TRUST  </t>
  </si>
  <si>
    <t xml:space="preserve">9090 CONVAIR WAY </t>
  </si>
  <si>
    <t>STONEFIELD 3 LT 49</t>
  </si>
  <si>
    <t>9070 CONVAIR WAY</t>
  </si>
  <si>
    <t>STONEFIELD 3 LT 50</t>
  </si>
  <si>
    <t>9060 CONVAIR WAY</t>
  </si>
  <si>
    <t xml:space="preserve">DINH, HA THU </t>
  </si>
  <si>
    <t xml:space="preserve">9060 CONVAIR WAY </t>
  </si>
  <si>
    <t>STONEFIELD 3 LT 51</t>
  </si>
  <si>
    <t>9040 CONVAIR WAY</t>
  </si>
  <si>
    <t xml:space="preserve">CARPIO, MARBIN E </t>
  </si>
  <si>
    <t>CARPIO, MARBIN E et al</t>
  </si>
  <si>
    <t>STONEFIELD 3 LT 53</t>
  </si>
  <si>
    <t>9130 ANDRASTE WAY</t>
  </si>
  <si>
    <t>FRANCO, CARLOS et al</t>
  </si>
  <si>
    <t>STONEFIELD 3 LT 70</t>
  </si>
  <si>
    <t>9140 ANDRASTE WAY</t>
  </si>
  <si>
    <t xml:space="preserve">MAXWELL, JOSH J &amp; BRANDY M </t>
  </si>
  <si>
    <t>STONEFIELD 3 LT 71</t>
  </si>
  <si>
    <t>9150 ANDRASTE WAY</t>
  </si>
  <si>
    <t xml:space="preserve">BAUGHMAN, THOMAS J </t>
  </si>
  <si>
    <t>STONEFIELD 3 LT 72</t>
  </si>
  <si>
    <t>9160 ANDRASTE WAY</t>
  </si>
  <si>
    <t xml:space="preserve">ADDOMS FAMILY 1985 REV TRUST, JACK &amp; BARBARA  </t>
  </si>
  <si>
    <t>STONEFIELD 3 LT 73</t>
  </si>
  <si>
    <t>9170 ANDRASTE WAY</t>
  </si>
  <si>
    <t xml:space="preserve">NEIDERT, RUSSELL E &amp; TINA </t>
  </si>
  <si>
    <t>STONEFIELD 3 LT 74</t>
  </si>
  <si>
    <t>9180 ANDRASTE WAY</t>
  </si>
  <si>
    <t xml:space="preserve">PANKO, JEFFREY A &amp; NATALIE E </t>
  </si>
  <si>
    <t>STONEFIELD 3 LT 75</t>
  </si>
  <si>
    <t>9190 ANDRASTE WAY</t>
  </si>
  <si>
    <t xml:space="preserve">EDWARDS, DAVID W &amp; BARBARA A </t>
  </si>
  <si>
    <t>STONEFIELD 3 LT 76</t>
  </si>
  <si>
    <t>9108 GILVARRY ST</t>
  </si>
  <si>
    <t xml:space="preserve">MCMILLIAN, KELLI J  </t>
  </si>
  <si>
    <t xml:space="preserve">STENGER, MICHAEL </t>
  </si>
  <si>
    <t>STONEFIELD 3 LT 16</t>
  </si>
  <si>
    <t>9124 GILVARRY ST</t>
  </si>
  <si>
    <t>SALAZAR, MICHELLE F et al</t>
  </si>
  <si>
    <t>189 ALEXANDER AVE</t>
  </si>
  <si>
    <t>VEGA LEMUS, LUIS R et al</t>
  </si>
  <si>
    <t>STONEFIELD 3 LT 18</t>
  </si>
  <si>
    <t>8945 CONVAIR WAY</t>
  </si>
  <si>
    <t xml:space="preserve">DE STEFANO STAPLES, GINA </t>
  </si>
  <si>
    <t>P O BOX 10544</t>
  </si>
  <si>
    <t>STONEFIELD 3 LT 34</t>
  </si>
  <si>
    <t>8955 CONVAIR WAY</t>
  </si>
  <si>
    <t xml:space="preserve">ROSEN TRUST, ALLEN J   </t>
  </si>
  <si>
    <t xml:space="preserve">ROSEN, ALLEN J  </t>
  </si>
  <si>
    <t>STONEFIELD 3 LT 35</t>
  </si>
  <si>
    <t>8965 CONVAIR WAY</t>
  </si>
  <si>
    <t xml:space="preserve">GONZALES, PETER III </t>
  </si>
  <si>
    <t>STONEFIELD 3 LT 36</t>
  </si>
  <si>
    <t>8975 CONVAIR WAY</t>
  </si>
  <si>
    <t xml:space="preserve">BULLOCK, GARY M  </t>
  </si>
  <si>
    <t xml:space="preserve">8975 CONVAIR WAY </t>
  </si>
  <si>
    <t>STONEFIELD 3 LT 37</t>
  </si>
  <si>
    <t>8985 CONVAIR WAY</t>
  </si>
  <si>
    <t xml:space="preserve">BLEDSAW, BRYAN &amp; HANNA </t>
  </si>
  <si>
    <t>STONEFIELD 3 LT 38</t>
  </si>
  <si>
    <t>8995 CONVAIR WAY</t>
  </si>
  <si>
    <t xml:space="preserve">NELSON, JENNIFER L </t>
  </si>
  <si>
    <t>STONEFIELD 3 LT 39</t>
  </si>
  <si>
    <t>8886 MAHON DR</t>
  </si>
  <si>
    <t xml:space="preserve">STOTTS, KRISTINA L </t>
  </si>
  <si>
    <t xml:space="preserve">MERKOURIS, MIKKI </t>
  </si>
  <si>
    <t>STONEFIELD 3 LT 2</t>
  </si>
  <si>
    <t>9016 GILVARRY ST</t>
  </si>
  <si>
    <t xml:space="preserve">CARRAL, MICHELLE V  </t>
  </si>
  <si>
    <t xml:space="preserve">9016 GILVARRY ST </t>
  </si>
  <si>
    <t>STONEFIELD 3 LT 5</t>
  </si>
  <si>
    <t>9040 GILVARRY ST</t>
  </si>
  <si>
    <t xml:space="preserve">BURAYAG, NENITA T </t>
  </si>
  <si>
    <t>STONEFIELD 3 LT 8</t>
  </si>
  <si>
    <t>9064 GILVARRY ST</t>
  </si>
  <si>
    <t xml:space="preserve">MCDONALD, MARY </t>
  </si>
  <si>
    <t xml:space="preserve">AMADOR, PAUL &amp; JULIE </t>
  </si>
  <si>
    <t>STONEFIELD 3 LT 11</t>
  </si>
  <si>
    <t>879 SAUVIGNON DR</t>
  </si>
  <si>
    <t xml:space="preserve">VAN HOOSE, CORY A &amp; STEPHANIE D  </t>
  </si>
  <si>
    <t xml:space="preserve">879 SAUVIGNON DR </t>
  </si>
  <si>
    <t xml:space="preserve">BENEFICIAL MORTGAGE CO OF NV </t>
  </si>
  <si>
    <t>PEAVINE HEIGHTS 3 LT 159 BLK B</t>
  </si>
  <si>
    <t>944 SAUVIGNON CT</t>
  </si>
  <si>
    <t xml:space="preserve">ADAMS, APRIL S  </t>
  </si>
  <si>
    <t xml:space="preserve">944 SAUVIGNON CT </t>
  </si>
  <si>
    <t>PEAVINE HEIGHTS 3 LT 127 BLK A</t>
  </si>
  <si>
    <t>896 SAUVIGNON DR</t>
  </si>
  <si>
    <t xml:space="preserve">ROBISON, STEPHANIE &amp; MICHAEL </t>
  </si>
  <si>
    <t>PEAVINE HEIGHTS 3 LT 119 BLK A</t>
  </si>
  <si>
    <t>7942 ZINFANDEL DR</t>
  </si>
  <si>
    <t xml:space="preserve">ANDERSON, MICHAEL C &amp; AMAYA B </t>
  </si>
  <si>
    <t>PEAVINE HEIGHTS 1 LT 4 BLK A</t>
  </si>
  <si>
    <t>7867 ZINFANDEL CT</t>
  </si>
  <si>
    <t>RUSSELL, DONNA F  et al</t>
  </si>
  <si>
    <t xml:space="preserve">RUSSELL, DONNA F  </t>
  </si>
  <si>
    <t>PEAVINE HEIGHTS 1 LT 22 BLK D</t>
  </si>
  <si>
    <t>681 W GOLDEN VALLEY RD</t>
  </si>
  <si>
    <t xml:space="preserve">KIMSEY, JENNIFER M  </t>
  </si>
  <si>
    <t xml:space="preserve">GALVAN, MANUEL &amp; LUNINGNING </t>
  </si>
  <si>
    <t>PEAVINE HEIGHTS 2 LT 40 BLK C</t>
  </si>
  <si>
    <t>700 W GOLDEN VALLEY RD</t>
  </si>
  <si>
    <t xml:space="preserve">MINER, BRUCE L &amp; ESTRELLA P </t>
  </si>
  <si>
    <t>700 W GOLDEN VALLEY DR</t>
  </si>
  <si>
    <t>PEAVINE HEIGHTS 2 LT 69 BLK B</t>
  </si>
  <si>
    <t>812 SAUVIGNON DR</t>
  </si>
  <si>
    <t xml:space="preserve">WANG, HUAYUAN </t>
  </si>
  <si>
    <t>PEAVINE HEIGHTS 2 LT 82 BLK B</t>
  </si>
  <si>
    <t>806 SAUVIGNON DR</t>
  </si>
  <si>
    <t xml:space="preserve">DUCKETT, THOMAS J &amp; JENNIFER T </t>
  </si>
  <si>
    <t>PEAVINE HEIGHTS 2 LT 81 BLK B</t>
  </si>
  <si>
    <t>760 W GOLDEN VALLEY RD</t>
  </si>
  <si>
    <t>PIERRE, MORGAN E et al</t>
  </si>
  <si>
    <t>760 GOLDEN VALLEY RD</t>
  </si>
  <si>
    <t>PEAVINE HEIGHTS 2 LT 76 BLK B</t>
  </si>
  <si>
    <t>7141 CREST HILL DR</t>
  </si>
  <si>
    <t>SANTOS, ANGELLY et al</t>
  </si>
  <si>
    <t xml:space="preserve">ALEJO, NELSON R &amp; HEIDI F </t>
  </si>
  <si>
    <t>HILLCREST LT 8</t>
  </si>
  <si>
    <t>7125 CREST HILL DR</t>
  </si>
  <si>
    <t xml:space="preserve">BERRYMAN, SEAN M  </t>
  </si>
  <si>
    <t xml:space="preserve">7125 CREST HILL DR </t>
  </si>
  <si>
    <t xml:space="preserve">KLENAKIS, CHRISTOPHER A &amp; ANDREA L </t>
  </si>
  <si>
    <t>HILLCREST LT 4</t>
  </si>
  <si>
    <t>7121 CREST HILL DR</t>
  </si>
  <si>
    <t xml:space="preserve">LUAN, TRUNG CHI </t>
  </si>
  <si>
    <t>TAYLOR, STEPHEN et al</t>
  </si>
  <si>
    <t>HILLCREST LT 3</t>
  </si>
  <si>
    <t>7128 CREST HILL DR</t>
  </si>
  <si>
    <t xml:space="preserve">JACOBSON, MICHAEL  </t>
  </si>
  <si>
    <t xml:space="preserve">MARISCAL, MICHAEL A </t>
  </si>
  <si>
    <t>HILLCREST LT 84</t>
  </si>
  <si>
    <t>7152 CREST HILL DR</t>
  </si>
  <si>
    <t xml:space="preserve">TRENERY, RICHARD L &amp; NANCY L  </t>
  </si>
  <si>
    <t>5250 VILLA VERDE DR APT F1</t>
  </si>
  <si>
    <t>HILLCREST LT 78</t>
  </si>
  <si>
    <t>7165 BEACON DR</t>
  </si>
  <si>
    <t xml:space="preserve">HAHN , VINCE  </t>
  </si>
  <si>
    <t xml:space="preserve">7165 BEACON DR </t>
  </si>
  <si>
    <t>HILLCREST LT 60</t>
  </si>
  <si>
    <t>7149 BEACON DR</t>
  </si>
  <si>
    <t xml:space="preserve">HOFFMAN, MICHAEL </t>
  </si>
  <si>
    <t>HILLCREST LT 56</t>
  </si>
  <si>
    <t>7142 BEACON DR</t>
  </si>
  <si>
    <t xml:space="preserve">LAUER, ROBERT W </t>
  </si>
  <si>
    <t>HILLCREST LT 32</t>
  </si>
  <si>
    <t>7150 BEACON DR</t>
  </si>
  <si>
    <t>NGUYEN, TUOI V et al</t>
  </si>
  <si>
    <t>GIVENS, MICHAEL J et al</t>
  </si>
  <si>
    <t>HILLCREST LT 30</t>
  </si>
  <si>
    <t>7164 CREST HILL DR</t>
  </si>
  <si>
    <t xml:space="preserve">VERMILLION, LLOYD J &amp; BRITT M </t>
  </si>
  <si>
    <t xml:space="preserve">GRIFFIN, JACKIE R </t>
  </si>
  <si>
    <t>HILLCREST LT 75</t>
  </si>
  <si>
    <t>7197 BEACON DR</t>
  </si>
  <si>
    <t xml:space="preserve">HERNANDEZ, MARINO &amp; DOMITILA </t>
  </si>
  <si>
    <t xml:space="preserve">CACERES, LUIS A &amp; ROSARIO G </t>
  </si>
  <si>
    <t>HILLCREST LT 68</t>
  </si>
  <si>
    <t>7185 BEACON DR</t>
  </si>
  <si>
    <t xml:space="preserve">LEON, MANUEL L &amp; VERONICA  </t>
  </si>
  <si>
    <t>9500 NUTMEG PL # 18</t>
  </si>
  <si>
    <t xml:space="preserve">BEACON TRUST # 7185 </t>
  </si>
  <si>
    <t>HILLCREST LT 65</t>
  </si>
  <si>
    <t>7182 BEACON DR</t>
  </si>
  <si>
    <t xml:space="preserve">CHUONG, JEFFREY &amp; CRYSTAL L </t>
  </si>
  <si>
    <t>5253 SIMONS</t>
  </si>
  <si>
    <t>HILLCREST LT 22</t>
  </si>
  <si>
    <t>082-121-05</t>
  </si>
  <si>
    <t>082-121-09</t>
  </si>
  <si>
    <t>082-126-21</t>
  </si>
  <si>
    <t>6041</t>
  </si>
  <si>
    <t>5000</t>
  </si>
  <si>
    <t>4020</t>
  </si>
  <si>
    <t>2020</t>
  </si>
  <si>
    <t xml:space="preserve">Zoning (codes should be verified with the zoning authority) </t>
  </si>
  <si>
    <t xml:space="preserve">All parcel data in this report is for use by the Washoe County Assessor for assessment purposes only. The summary data in this report may not be a complete representation of the parcel or of the improvements thereon. Building information, including unit counts and number of permitted units, should be verified with the appropriate building and planning agencies. Zoning information should be verified with the appropriate planning agency. All parcels are reappraised each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</si>
</sst>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0"/>
      <name val="Arial"/>
    </font>
    <font>
      <b/>
      <sz val="10"/>
      <color indexed="8"/>
      <name val="Arial"/>
      <family val="2"/>
    </font>
    <font>
      <b/>
      <sz val="10"/>
      <name val="Arial"/>
      <family val="2"/>
    </font>
    <font>
      <u/>
      <sz val="10"/>
      <color indexed="12"/>
      <name val="Arial"/>
      <family val="2"/>
    </font>
    <font>
      <b/>
      <sz val="14.5"/>
      <color indexed="10"/>
      <name val="Times New Roman"/>
      <family val="1"/>
    </font>
    <font>
      <b/>
      <u/>
      <sz val="10"/>
      <color indexed="12"/>
      <name val="Arial"/>
      <family val="2"/>
    </font>
    <font>
      <b/>
      <u/>
      <sz val="10"/>
      <color rgb="FF0000FF"/>
      <name val="Arial"/>
      <family val="2"/>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21">
    <xf numFmtId="0" fontId="0" fillId="0" borderId="0" xfId="0"/>
    <xf numFmtId="14" fontId="0" fillId="0" borderId="0" xfId="0" applyNumberFormat="1"/>
    <xf numFmtId="3" fontId="0" fillId="0" borderId="0" xfId="0" applyNumberFormat="1"/>
    <xf numFmtId="164" fontId="0" fillId="0" borderId="0" xfId="0" applyNumberFormat="1"/>
    <xf numFmtId="0" fontId="1" fillId="0" borderId="0" xfId="0" applyFont="1" applyAlignment="1">
      <alignment vertical="top" wrapText="1"/>
    </xf>
    <xf numFmtId="0" fontId="2" fillId="0" borderId="0" xfId="0" applyFont="1" applyAlignment="1">
      <alignment vertical="top" wrapText="1"/>
    </xf>
    <xf numFmtId="3" fontId="2" fillId="0" borderId="0" xfId="0" applyNumberFormat="1" applyFont="1" applyAlignment="1">
      <alignment vertical="top" wrapText="1"/>
    </xf>
    <xf numFmtId="164" fontId="2" fillId="0" borderId="0" xfId="0" applyNumberFormat="1" applyFont="1" applyAlignment="1">
      <alignment vertical="top" wrapText="1"/>
    </xf>
    <xf numFmtId="0" fontId="0" fillId="0" borderId="0" xfId="0" applyAlignment="1">
      <alignment vertical="top" wrapText="1"/>
    </xf>
    <xf numFmtId="0" fontId="4" fillId="0" borderId="0" xfId="0" applyFont="1"/>
    <xf numFmtId="0" fontId="5" fillId="0" borderId="0" xfId="0" applyFont="1"/>
    <xf numFmtId="49" fontId="0" fillId="0" borderId="0" xfId="0" applyNumberFormat="1"/>
    <xf numFmtId="49" fontId="2" fillId="0" borderId="0" xfId="0" applyNumberFormat="1" applyFont="1" applyAlignment="1">
      <alignment vertical="top" wrapText="1"/>
    </xf>
    <xf numFmtId="49" fontId="0" fillId="0" borderId="0" xfId="0" quotePrefix="1" applyNumberFormat="1"/>
    <xf numFmtId="0" fontId="0" fillId="0" borderId="0" xfId="0" quotePrefix="1"/>
    <xf numFmtId="0" fontId="0" fillId="0" borderId="0" xfId="0" applyAlignment="1">
      <alignment horizontal="left"/>
    </xf>
    <xf numFmtId="0" fontId="2" fillId="0" borderId="0" xfId="0" applyFont="1" applyAlignment="1">
      <alignment horizontal="left" vertical="top" wrapText="1"/>
    </xf>
    <xf numFmtId="0" fontId="3" fillId="0" borderId="0" xfId="1" applyAlignment="1" applyProtection="1"/>
    <xf numFmtId="0" fontId="5" fillId="0" borderId="0" xfId="1" applyFont="1" applyAlignment="1" applyProtection="1"/>
    <xf numFmtId="0" fontId="6" fillId="0" borderId="0" xfId="0" applyFont="1"/>
    <xf numFmtId="0" fontId="7" fillId="0" borderId="0" xfId="0" applyFont="1"/>
  </cellXfs>
  <cellStyles count="2">
    <cellStyle name="Hyperlink" xfId="1" builtinId="8"/>
    <cellStyle name="Normal" xfId="0" builtinId="0"/>
  </cellStyles>
  <dxfs count="11">
    <dxf>
      <alignment horizontal="left" vertical="bottom" textRotation="0" wrapText="0" indent="0" justifyLastLine="0" shrinkToFit="0" readingOrder="0"/>
    </dxf>
    <dxf>
      <numFmt numFmtId="30" formatCode="@"/>
    </dxf>
    <dxf>
      <numFmt numFmtId="164" formatCode="#,##0.000"/>
    </dxf>
    <dxf>
      <numFmt numFmtId="3" formatCode="#,##0"/>
    </dxf>
    <dxf>
      <numFmt numFmtId="3" formatCode="#,##0"/>
    </dxf>
    <dxf>
      <numFmt numFmtId="3" formatCode="#,##0"/>
    </dxf>
    <dxf>
      <alignment horizontal="general" vertical="bottom" textRotation="0" wrapText="0" indent="0" justifyLastLine="0" shrinkToFit="0" readingOrder="0"/>
      <protection locked="1" hidden="0"/>
    </dxf>
    <dxf>
      <numFmt numFmtId="3" formatCode="#,##0"/>
    </dxf>
    <dxf>
      <numFmt numFmtId="19" formatCode="m/d/yyyy"/>
    </dxf>
    <dxf>
      <font>
        <b/>
        <i val="0"/>
        <strike val="0"/>
        <condense val="0"/>
        <extend val="0"/>
        <outline val="0"/>
        <shadow val="0"/>
        <u/>
        <vertAlign val="baseline"/>
        <sz val="10"/>
        <color indexed="12"/>
        <name val="Arial"/>
        <family val="2"/>
        <scheme val="none"/>
      </font>
    </dxf>
    <dxf>
      <font>
        <b/>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175809-32B6-4A08-BE3F-ED7CC261EB9E}" name="SalesData" displayName="SalesData" ref="A2:AN8499" totalsRowShown="0" headerRowDxfId="10">
  <autoFilter ref="A2:AN8499" xr:uid="{D3175809-32B6-4A08-BE3F-ED7CC261EB9E}"/>
  <tableColumns count="40">
    <tableColumn id="1" xr3:uid="{B75B54C2-1B99-4633-ABA6-8853E130F113}" name="APN" dataDxfId="9"/>
    <tableColumn id="2" xr3:uid="{737BBB35-F119-4E87-9885-D08A2F5BB71C}" name="Add Rec"/>
    <tableColumn id="3" xr3:uid="{708D70E7-5CC7-40AE-A5C5-50BD1A68CD14}" name="Situs"/>
    <tableColumn id="4" xr3:uid="{F3DA3376-2D02-421F-9938-CACF5F5D1BC0}" name="Sales Date" dataDxfId="8"/>
    <tableColumn id="5" xr3:uid="{F14F1A55-BED2-44B9-A02B-AEF29F8BFEBF}" name="Sale Price" dataDxfId="7"/>
    <tableColumn id="6" xr3:uid="{2B5F5CD1-78D0-4F65-BC88-97F16CD844F3}" name="Sale Verf"/>
    <tableColumn id="7" xr3:uid="{B0BE21B4-68AD-472B-92F4-07EBCA120DE9}" name="RecDoc" dataDxfId="6" dataCellStyle="Hyperlink"/>
    <tableColumn id="8" xr3:uid="{5C8D16E7-47EF-4BC5-9252-69059A14A7DA}" name="Subdivision"/>
    <tableColumn id="9" xr3:uid="{7E46F812-3267-4E95-BF1E-EDDA3B5CFCE9}" name="Year Blt"/>
    <tableColumn id="10" xr3:uid="{BAE391B7-D91D-411A-8023-605C74A471B6}" name="Avg Yr Blt"/>
    <tableColumn id="11" xr3:uid="{DD6E4F23-110A-4E22-BD89-1E3FD2491A09}" name="BldgType"/>
    <tableColumn id="12" xr3:uid="{C8C5EC39-48BC-4720-8E68-069EE49EC593}" name="Stories"/>
    <tableColumn id="13" xr3:uid="{9C7A14DE-234C-496C-BFE6-35719AB6D64B}" name="Bldg SF" dataDxfId="5"/>
    <tableColumn id="14" xr3:uid="{0C615976-6467-41D5-A026-6E85F1979B12}" name="Grade"/>
    <tableColumn id="15" xr3:uid="{2E3C65F3-7542-41D8-8FBD-868DA4985A0A}" name="Beds"/>
    <tableColumn id="16" xr3:uid="{9348F076-E2BB-4653-9695-803B6AADF9EB}" name="Full Baths"/>
    <tableColumn id="17" xr3:uid="{675D968C-2E4B-406E-A6E9-A6BBC002EB72}" name="Half Baths"/>
    <tableColumn id="18" xr3:uid="{2D50B7DE-0E7A-4D06-A1FD-07137EF7281E}" name="Heat Type"/>
    <tableColumn id="19" xr3:uid="{404D1B6B-E4D9-40E1-BF8F-5D858D86E5F9}" name="Exterior Walls"/>
    <tableColumn id="20" xr3:uid="{6F84A3DE-78BD-4625-AD71-A27B8D6D9EBF}" name="Roof Type"/>
    <tableColumn id="21" xr3:uid="{00DEAA40-9965-45DB-A6D7-CE1AEDF7F829}" name="Gar Type"/>
    <tableColumn id="22" xr3:uid="{01AFE4E5-EAA6-4314-BDA0-665026E4A6D5}" name="Gar Area" dataDxfId="4"/>
    <tableColumn id="23" xr3:uid="{202938B2-CA81-408B-8B89-323C0AAF5E75}" name="Bsmt Type"/>
    <tableColumn id="24" xr3:uid="{E38FEDBC-9ADF-48F0-A4BB-5D04B1285B5A}" name="Bsmt Area" dataDxfId="3"/>
    <tableColumn id="25" xr3:uid="{1E415F08-18B2-4CDE-8E53-5B4399DAFA15}" name="LUC at Sale"/>
    <tableColumn id="26" xr3:uid="{A6D8EBDC-E34E-4149-9CA1-BB3772C648B3}" name="Zoning (codes should be verified with the zoning authority) "/>
    <tableColumn id="27" xr3:uid="{08A659A0-DF04-4297-A067-35F10D5B20F8}" name="Acres" dataDxfId="2"/>
    <tableColumn id="28" xr3:uid="{1B75CEDF-01AD-4C8A-B61D-2CBDC5FEFA28}" name="Owner1"/>
    <tableColumn id="29" xr3:uid="{BC5789A6-ABC1-479C-845E-989E7BE0016D}" name="Addl Owner"/>
    <tableColumn id="30" xr3:uid="{80A92117-2AD3-4B58-BB21-FD3325347911}" name="Mailing1"/>
    <tableColumn id="31" xr3:uid="{588D92CB-48D7-4417-9FFA-42C6E53E0818}" name="Mailing2"/>
    <tableColumn id="32" xr3:uid="{094F3ADC-4B1D-44DB-AB59-021F11701483}" name="City"/>
    <tableColumn id="33" xr3:uid="{F89786FF-59D0-4C28-AA99-5FBC2E286693}" name="State"/>
    <tableColumn id="34" xr3:uid="{D08CA434-7AA8-46D7-A5A7-C161993B8E2E}" name="Zip"/>
    <tableColumn id="35" xr3:uid="{6B540B96-BD69-4B2E-838E-802EFC21B09E}" name="PriorOwner"/>
    <tableColumn id="36" xr3:uid="{474543CB-DB30-491F-94CA-DEC4BF7ADA25}" name="PriorPID"/>
    <tableColumn id="37" xr3:uid="{F03BE38B-AB99-4994-A633-89CA7CF0C6FE}" name="LegalDesc"/>
    <tableColumn id="38" xr3:uid="{C2CD87E2-389A-4D88-BE7E-DA8F14122158}" name="TaxDist" dataDxfId="1"/>
    <tableColumn id="39" xr3:uid="{D21CEAE8-32D8-4D5C-9789-1162ED9F5B12}" name="Total Units"/>
    <tableColumn id="40" xr3:uid="{5CA57C71-869D-4BE9-9D0B-095934FF359D}" name="Neighborhood"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N32937"/>
  <sheetViews>
    <sheetView tabSelected="1" workbookViewId="0">
      <pane xSplit="5" ySplit="2" topLeftCell="F3" activePane="bottomRight" state="frozen"/>
      <selection pane="topRight" activeCell="E1" sqref="E1"/>
      <selection pane="bottomLeft" activeCell="A3" sqref="A3"/>
      <selection pane="bottomRight"/>
    </sheetView>
  </sheetViews>
  <sheetFormatPr defaultColWidth="9.453125" defaultRowHeight="13" x14ac:dyDescent="0.3"/>
  <cols>
    <col min="1" max="1" width="11.81640625" style="10" customWidth="1"/>
    <col min="2" max="2" width="10" customWidth="1"/>
    <col min="3" max="3" width="32" customWidth="1"/>
    <col min="4" max="4" width="11.90625" customWidth="1"/>
    <col min="5" max="5" width="11.36328125" style="2" customWidth="1"/>
    <col min="6" max="6" width="10.54296875" customWidth="1"/>
    <col min="7" max="7" width="10.1796875" style="11" bestFit="1" customWidth="1"/>
    <col min="8" max="8" width="36.453125" customWidth="1"/>
    <col min="9" max="9" width="9.6328125" customWidth="1"/>
    <col min="10" max="10" width="11.453125" customWidth="1"/>
    <col min="11" max="11" width="15.453125" bestFit="1" customWidth="1"/>
    <col min="12" max="12" width="8.90625" customWidth="1"/>
    <col min="13" max="13" width="9.54296875" style="2" customWidth="1"/>
    <col min="14" max="14" width="15.7265625" bestFit="1" customWidth="1"/>
    <col min="15" max="15" width="7.7265625" bestFit="1" customWidth="1"/>
    <col min="16" max="16" width="11.453125" customWidth="1"/>
    <col min="17" max="17" width="11.7265625" customWidth="1"/>
    <col min="18" max="19" width="16.1796875" bestFit="1" customWidth="1"/>
    <col min="20" max="20" width="15.7265625" bestFit="1" customWidth="1"/>
    <col min="21" max="21" width="11.54296875" bestFit="1" customWidth="1"/>
    <col min="22" max="22" width="10.453125" style="2" customWidth="1"/>
    <col min="23" max="23" width="12.7265625" bestFit="1" customWidth="1"/>
    <col min="24" max="24" width="11.7265625" style="2" customWidth="1"/>
    <col min="25" max="25" width="12.81640625" customWidth="1"/>
    <col min="26" max="26" width="46.7265625" customWidth="1"/>
    <col min="27" max="27" width="8.26953125" style="3" bestFit="1" customWidth="1"/>
    <col min="28" max="28" width="46" customWidth="1"/>
    <col min="29" max="29" width="12.81640625" customWidth="1"/>
    <col min="30" max="30" width="45.81640625" customWidth="1"/>
    <col min="31" max="31" width="40.26953125" bestFit="1" customWidth="1"/>
    <col min="32" max="32" width="24.7265625" customWidth="1"/>
    <col min="33" max="33" width="8" bestFit="1" customWidth="1"/>
    <col min="34" max="34" width="11.54296875" customWidth="1"/>
    <col min="35" max="35" width="44.1796875" customWidth="1"/>
    <col min="36" max="36" width="10.81640625" customWidth="1"/>
    <col min="37" max="37" width="58.81640625" bestFit="1" customWidth="1"/>
    <col min="38" max="38" width="9.36328125" style="11" customWidth="1"/>
    <col min="39" max="39" width="12.1796875" customWidth="1"/>
    <col min="40" max="40" width="15" style="15" customWidth="1"/>
  </cols>
  <sheetData>
    <row r="1" spans="1:40" ht="18" x14ac:dyDescent="0.35">
      <c r="A1" s="9" t="s">
        <v>38887</v>
      </c>
      <c r="B1" s="9"/>
    </row>
    <row r="2" spans="1:40" s="8" customFormat="1" ht="26" x14ac:dyDescent="0.25">
      <c r="A2" s="4" t="s">
        <v>3741</v>
      </c>
      <c r="B2" s="4" t="s">
        <v>3740</v>
      </c>
      <c r="C2" s="5" t="s">
        <v>3742</v>
      </c>
      <c r="D2" s="5" t="s">
        <v>4650</v>
      </c>
      <c r="E2" s="6" t="s">
        <v>4651</v>
      </c>
      <c r="F2" s="5" t="s">
        <v>4652</v>
      </c>
      <c r="G2" s="12" t="s">
        <v>3735</v>
      </c>
      <c r="H2" s="5" t="s">
        <v>4645</v>
      </c>
      <c r="I2" s="5" t="s">
        <v>4635</v>
      </c>
      <c r="J2" s="5" t="s">
        <v>3733</v>
      </c>
      <c r="K2" s="5" t="s">
        <v>4646</v>
      </c>
      <c r="L2" s="5" t="s">
        <v>4647</v>
      </c>
      <c r="M2" s="6" t="s">
        <v>4653</v>
      </c>
      <c r="N2" s="5" t="s">
        <v>4648</v>
      </c>
      <c r="O2" s="5" t="s">
        <v>4649</v>
      </c>
      <c r="P2" s="5" t="s">
        <v>4654</v>
      </c>
      <c r="Q2" s="5" t="s">
        <v>4634</v>
      </c>
      <c r="R2" s="5" t="s">
        <v>4636</v>
      </c>
      <c r="S2" s="5" t="s">
        <v>3744</v>
      </c>
      <c r="T2" s="5" t="s">
        <v>2950</v>
      </c>
      <c r="U2" s="5" t="s">
        <v>3731</v>
      </c>
      <c r="V2" s="6" t="s">
        <v>2951</v>
      </c>
      <c r="W2" s="5" t="s">
        <v>3730</v>
      </c>
      <c r="X2" s="6" t="s">
        <v>3732</v>
      </c>
      <c r="Y2" s="5" t="s">
        <v>3736</v>
      </c>
      <c r="Z2" s="5" t="s">
        <v>38886</v>
      </c>
      <c r="AA2" s="7" t="s">
        <v>3738</v>
      </c>
      <c r="AB2" s="5" t="s">
        <v>3743</v>
      </c>
      <c r="AC2" s="5" t="s">
        <v>4633</v>
      </c>
      <c r="AD2" s="5" t="s">
        <v>4637</v>
      </c>
      <c r="AE2" s="5" t="s">
        <v>4638</v>
      </c>
      <c r="AF2" s="5" t="s">
        <v>4639</v>
      </c>
      <c r="AG2" s="5" t="s">
        <v>4640</v>
      </c>
      <c r="AH2" s="5" t="s">
        <v>4641</v>
      </c>
      <c r="AI2" s="5" t="s">
        <v>4642</v>
      </c>
      <c r="AJ2" s="5" t="s">
        <v>4643</v>
      </c>
      <c r="AK2" s="5" t="s">
        <v>4644</v>
      </c>
      <c r="AL2" s="12" t="s">
        <v>3739</v>
      </c>
      <c r="AM2" s="5" t="s">
        <v>3734</v>
      </c>
      <c r="AN2" s="16" t="s">
        <v>3737</v>
      </c>
    </row>
    <row r="3" spans="1:40" x14ac:dyDescent="0.3">
      <c r="A3" s="19" t="str">
        <f>HYPERLINK("http://www.washoecounty.gov/assessor/cama/?parid=001-041-15&amp;CardNumber=1","001-041-15")</f>
        <v>001-041-15</v>
      </c>
      <c r="B3" t="s">
        <v>4655</v>
      </c>
      <c r="C3" t="s">
        <v>5742</v>
      </c>
      <c r="D3" s="1">
        <v>40388</v>
      </c>
      <c r="E3" s="2">
        <v>170000</v>
      </c>
      <c r="F3" t="s">
        <v>4567</v>
      </c>
      <c r="G3" s="17" t="str">
        <f>HYPERLINK("https://www.washoecounty.gov/assessor/cama/?command=sales&amp;parid=00104115","3906609")</f>
        <v>3906609</v>
      </c>
      <c r="H3" t="s">
        <v>5743</v>
      </c>
      <c r="I3">
        <v>1986</v>
      </c>
      <c r="J3">
        <v>1986</v>
      </c>
      <c r="K3" t="s">
        <v>4554</v>
      </c>
      <c r="L3" t="s">
        <v>4555</v>
      </c>
      <c r="M3" s="2">
        <v>1272</v>
      </c>
      <c r="N3" t="s">
        <v>4556</v>
      </c>
      <c r="O3">
        <v>3</v>
      </c>
      <c r="P3">
        <v>2</v>
      </c>
      <c r="Q3">
        <v>0</v>
      </c>
      <c r="R3" t="s">
        <v>5281</v>
      </c>
      <c r="S3" t="s">
        <v>4135</v>
      </c>
      <c r="T3" t="s">
        <v>4559</v>
      </c>
      <c r="U3" t="s">
        <v>4560</v>
      </c>
      <c r="V3" s="2">
        <v>528</v>
      </c>
      <c r="W3" t="s">
        <v>4655</v>
      </c>
      <c r="X3" s="2">
        <v>0</v>
      </c>
      <c r="Y3">
        <v>20</v>
      </c>
      <c r="Z3" t="s">
        <v>4561</v>
      </c>
      <c r="AA3" s="3">
        <v>0.160009175539017</v>
      </c>
      <c r="AB3" t="s">
        <v>5744</v>
      </c>
      <c r="AC3" t="s">
        <v>4562</v>
      </c>
      <c r="AD3" t="s">
        <v>5745</v>
      </c>
      <c r="AE3" t="s">
        <v>4655</v>
      </c>
      <c r="AF3" t="s">
        <v>4563</v>
      </c>
      <c r="AG3" t="s">
        <v>4564</v>
      </c>
      <c r="AH3" t="s">
        <v>2841</v>
      </c>
      <c r="AI3" t="s">
        <v>5746</v>
      </c>
      <c r="AJ3" t="s">
        <v>4655</v>
      </c>
      <c r="AK3" t="s">
        <v>5747</v>
      </c>
      <c r="AL3" s="13" t="s">
        <v>2255</v>
      </c>
      <c r="AM3">
        <v>1</v>
      </c>
      <c r="AN3" s="15" t="s">
        <v>4566</v>
      </c>
    </row>
    <row r="4" spans="1:40" x14ac:dyDescent="0.3">
      <c r="A4" s="10" t="str">
        <f>HYPERLINK("http://www.washoecounty.gov/assessor/cama/?parid=001-041-20&amp;CardNumber=1","001-041-20")</f>
        <v>001-041-20</v>
      </c>
      <c r="B4" t="s">
        <v>4655</v>
      </c>
      <c r="C4" t="s">
        <v>5748</v>
      </c>
      <c r="D4" s="1">
        <v>40190</v>
      </c>
      <c r="E4" s="2">
        <v>30000</v>
      </c>
      <c r="F4" t="s">
        <v>4553</v>
      </c>
      <c r="G4" s="17" t="str">
        <f>HYPERLINK("https://www.washoecounty.gov/assessor/cama/?command=sales&amp;parid=00104120","3838544")</f>
        <v>3838544</v>
      </c>
      <c r="H4" t="s">
        <v>5749</v>
      </c>
      <c r="I4">
        <v>0</v>
      </c>
      <c r="J4">
        <v>0</v>
      </c>
      <c r="K4" t="s">
        <v>4655</v>
      </c>
      <c r="L4" t="s">
        <v>4655</v>
      </c>
      <c r="M4" s="2">
        <v>0</v>
      </c>
      <c r="N4" t="s">
        <v>4655</v>
      </c>
      <c r="O4">
        <v>0</v>
      </c>
      <c r="P4">
        <v>0</v>
      </c>
      <c r="Q4">
        <v>0</v>
      </c>
      <c r="R4" t="s">
        <v>4655</v>
      </c>
      <c r="S4" t="s">
        <v>4655</v>
      </c>
      <c r="T4" t="s">
        <v>4655</v>
      </c>
      <c r="U4" t="s">
        <v>4655</v>
      </c>
      <c r="V4" s="2">
        <v>0</v>
      </c>
      <c r="W4" t="s">
        <v>4655</v>
      </c>
      <c r="X4" s="2">
        <v>0</v>
      </c>
      <c r="Y4">
        <v>12</v>
      </c>
      <c r="Z4" t="s">
        <v>385</v>
      </c>
      <c r="AA4" s="3">
        <v>0.33599632978439331</v>
      </c>
      <c r="AB4" t="s">
        <v>1903</v>
      </c>
      <c r="AC4" t="s">
        <v>4562</v>
      </c>
      <c r="AD4" t="s">
        <v>5750</v>
      </c>
      <c r="AE4" t="s">
        <v>4655</v>
      </c>
      <c r="AF4" t="s">
        <v>5201</v>
      </c>
      <c r="AG4" t="s">
        <v>4564</v>
      </c>
      <c r="AH4" t="s">
        <v>1605</v>
      </c>
      <c r="AI4" t="s">
        <v>5751</v>
      </c>
      <c r="AJ4" t="s">
        <v>4655</v>
      </c>
      <c r="AK4" t="s">
        <v>5752</v>
      </c>
      <c r="AL4" s="13" t="s">
        <v>2255</v>
      </c>
      <c r="AM4" s="14">
        <v>0</v>
      </c>
      <c r="AN4" s="15" t="s">
        <v>2349</v>
      </c>
    </row>
    <row r="5" spans="1:40" x14ac:dyDescent="0.3">
      <c r="A5" s="18" t="str">
        <f>HYPERLINK("http://www.washoecounty.gov/assessor/cama/?parid=001-041-65&amp;CardNumber=1","001-041-65")</f>
        <v>001-041-65</v>
      </c>
      <c r="B5" t="s">
        <v>4655</v>
      </c>
      <c r="C5" t="s">
        <v>5753</v>
      </c>
      <c r="D5" s="1">
        <v>40368</v>
      </c>
      <c r="E5" s="2">
        <v>210000</v>
      </c>
      <c r="F5" t="s">
        <v>4567</v>
      </c>
      <c r="G5" s="17" t="str">
        <f>HYPERLINK("https://www.washoecounty.gov/assessor/cama/?command=sales&amp;parid=00104165","3899934")</f>
        <v>3899934</v>
      </c>
      <c r="H5" t="s">
        <v>4446</v>
      </c>
      <c r="I5">
        <v>2007</v>
      </c>
      <c r="J5">
        <v>2007</v>
      </c>
      <c r="K5" t="s">
        <v>4554</v>
      </c>
      <c r="L5" t="s">
        <v>3974</v>
      </c>
      <c r="M5" s="2">
        <v>2040</v>
      </c>
      <c r="N5" t="s">
        <v>5280</v>
      </c>
      <c r="O5">
        <v>4</v>
      </c>
      <c r="P5">
        <v>2</v>
      </c>
      <c r="Q5">
        <v>1</v>
      </c>
      <c r="R5" t="s">
        <v>5281</v>
      </c>
      <c r="S5" t="s">
        <v>4898</v>
      </c>
      <c r="T5" t="s">
        <v>4559</v>
      </c>
      <c r="U5" t="s">
        <v>5631</v>
      </c>
      <c r="V5" s="2">
        <v>380</v>
      </c>
      <c r="W5" t="s">
        <v>4655</v>
      </c>
      <c r="X5" s="2">
        <v>0</v>
      </c>
      <c r="Y5">
        <v>20</v>
      </c>
      <c r="Z5" t="s">
        <v>4561</v>
      </c>
      <c r="AA5" s="3">
        <v>0.15188245475292206</v>
      </c>
      <c r="AB5" t="s">
        <v>5754</v>
      </c>
      <c r="AC5" t="s">
        <v>4575</v>
      </c>
      <c r="AD5" t="s">
        <v>5755</v>
      </c>
      <c r="AE5" t="s">
        <v>4655</v>
      </c>
      <c r="AF5" t="s">
        <v>4563</v>
      </c>
      <c r="AG5" t="s">
        <v>4564</v>
      </c>
      <c r="AH5" t="s">
        <v>1147</v>
      </c>
      <c r="AI5" t="s">
        <v>5756</v>
      </c>
      <c r="AJ5" t="s">
        <v>4447</v>
      </c>
      <c r="AK5" t="s">
        <v>5757</v>
      </c>
      <c r="AL5" s="13" t="s">
        <v>2255</v>
      </c>
      <c r="AM5" s="14">
        <v>1</v>
      </c>
      <c r="AN5" s="15" t="s">
        <v>2349</v>
      </c>
    </row>
    <row r="6" spans="1:40" x14ac:dyDescent="0.3">
      <c r="A6" s="10" t="str">
        <f>HYPERLINK("http://www.washoecounty.gov/assessor/cama/?parid=001-041-70&amp;CardNumber=1","001-041-70")</f>
        <v>001-041-70</v>
      </c>
      <c r="B6" s="10" t="s">
        <v>4655</v>
      </c>
      <c r="C6" t="s">
        <v>5758</v>
      </c>
      <c r="D6" s="1">
        <v>40380</v>
      </c>
      <c r="E6" s="2">
        <v>177500</v>
      </c>
      <c r="F6" t="s">
        <v>4567</v>
      </c>
      <c r="G6" s="17" t="str">
        <f>HYPERLINK("https://www.washoecounty.gov/assessor/cama/?command=sales&amp;parid=00104170","3903350")</f>
        <v>3903350</v>
      </c>
      <c r="H6" t="s">
        <v>4446</v>
      </c>
      <c r="I6">
        <v>2007</v>
      </c>
      <c r="J6">
        <v>2007</v>
      </c>
      <c r="K6" t="s">
        <v>4554</v>
      </c>
      <c r="L6" t="s">
        <v>3974</v>
      </c>
      <c r="M6" s="2">
        <v>1727</v>
      </c>
      <c r="N6" t="s">
        <v>5280</v>
      </c>
      <c r="O6">
        <v>3</v>
      </c>
      <c r="P6">
        <v>2</v>
      </c>
      <c r="Q6">
        <v>1</v>
      </c>
      <c r="R6" t="s">
        <v>5281</v>
      </c>
      <c r="S6" t="s">
        <v>4898</v>
      </c>
      <c r="T6" t="s">
        <v>4559</v>
      </c>
      <c r="U6" t="s">
        <v>5631</v>
      </c>
      <c r="V6" s="2">
        <v>361</v>
      </c>
      <c r="W6" t="s">
        <v>4655</v>
      </c>
      <c r="X6" s="2">
        <v>0</v>
      </c>
      <c r="Y6">
        <v>20</v>
      </c>
      <c r="Z6" t="s">
        <v>4561</v>
      </c>
      <c r="AA6" s="3">
        <v>0.15197429060935999</v>
      </c>
      <c r="AB6" t="s">
        <v>5759</v>
      </c>
      <c r="AC6" t="s">
        <v>4562</v>
      </c>
      <c r="AD6" t="s">
        <v>5758</v>
      </c>
      <c r="AE6" t="s">
        <v>4655</v>
      </c>
      <c r="AF6" t="s">
        <v>3114</v>
      </c>
      <c r="AG6" t="s">
        <v>4564</v>
      </c>
      <c r="AH6">
        <v>89503</v>
      </c>
      <c r="AI6" t="s">
        <v>5760</v>
      </c>
      <c r="AJ6" t="s">
        <v>4447</v>
      </c>
      <c r="AK6" t="s">
        <v>5761</v>
      </c>
      <c r="AL6" s="13" t="s">
        <v>2255</v>
      </c>
      <c r="AM6" s="14">
        <v>1</v>
      </c>
      <c r="AN6" s="15" t="s">
        <v>2349</v>
      </c>
    </row>
    <row r="7" spans="1:40" x14ac:dyDescent="0.3">
      <c r="A7" s="10" t="str">
        <f>HYPERLINK("http://www.washoecounty.gov/assessor/cama/?parid=001-052-31&amp;CardNumber=1","001-052-31")</f>
        <v>001-052-31</v>
      </c>
      <c r="B7" t="s">
        <v>4655</v>
      </c>
      <c r="C7" t="s">
        <v>5762</v>
      </c>
      <c r="D7" s="1">
        <v>40407</v>
      </c>
      <c r="E7" s="2">
        <v>197000</v>
      </c>
      <c r="F7" t="s">
        <v>4567</v>
      </c>
      <c r="G7" s="17" t="str">
        <f>HYPERLINK("https://www.washoecounty.gov/assessor/cama/?command=sales&amp;parid=00105231","3912631")</f>
        <v>3912631</v>
      </c>
      <c r="H7" t="s">
        <v>584</v>
      </c>
      <c r="I7">
        <v>1988</v>
      </c>
      <c r="J7">
        <v>1988</v>
      </c>
      <c r="K7" t="s">
        <v>4554</v>
      </c>
      <c r="L7" t="s">
        <v>2170</v>
      </c>
      <c r="M7" s="2">
        <v>1863</v>
      </c>
      <c r="N7" t="s">
        <v>4048</v>
      </c>
      <c r="O7">
        <v>3</v>
      </c>
      <c r="P7">
        <v>3</v>
      </c>
      <c r="Q7">
        <v>0</v>
      </c>
      <c r="R7" t="s">
        <v>4557</v>
      </c>
      <c r="S7" t="s">
        <v>4558</v>
      </c>
      <c r="T7" t="s">
        <v>4559</v>
      </c>
      <c r="U7" t="s">
        <v>5631</v>
      </c>
      <c r="V7" s="2">
        <v>576</v>
      </c>
      <c r="W7" t="s">
        <v>4655</v>
      </c>
      <c r="X7" s="2">
        <v>0</v>
      </c>
      <c r="Y7">
        <v>20</v>
      </c>
      <c r="Z7" t="s">
        <v>4561</v>
      </c>
      <c r="AA7" s="3">
        <v>0.11600092053413399</v>
      </c>
      <c r="AB7" t="s">
        <v>5763</v>
      </c>
      <c r="AC7" t="s">
        <v>4575</v>
      </c>
      <c r="AD7" t="s">
        <v>5764</v>
      </c>
      <c r="AE7" t="s">
        <v>5765</v>
      </c>
      <c r="AF7" t="s">
        <v>5151</v>
      </c>
      <c r="AG7" t="s">
        <v>4564</v>
      </c>
      <c r="AH7">
        <v>89703</v>
      </c>
      <c r="AI7" t="s">
        <v>5766</v>
      </c>
      <c r="AJ7" t="s">
        <v>4655</v>
      </c>
      <c r="AK7" t="s">
        <v>5767</v>
      </c>
      <c r="AL7" s="13" t="s">
        <v>2255</v>
      </c>
      <c r="AM7" s="14">
        <v>1</v>
      </c>
      <c r="AN7" s="15" t="s">
        <v>4566</v>
      </c>
    </row>
    <row r="8" spans="1:40" x14ac:dyDescent="0.3">
      <c r="A8" s="10" t="str">
        <f>HYPERLINK("http://www.washoecounty.gov/assessor/cama/?parid=001-052-65&amp;CardNumber=1","001-052-65")</f>
        <v>001-052-65</v>
      </c>
      <c r="B8" t="s">
        <v>4655</v>
      </c>
      <c r="C8" t="s">
        <v>5768</v>
      </c>
      <c r="D8" s="1">
        <v>40284</v>
      </c>
      <c r="E8" s="2">
        <v>195000</v>
      </c>
      <c r="F8" t="s">
        <v>4567</v>
      </c>
      <c r="G8" s="17" t="str">
        <f>HYPERLINK("https://www.washoecounty.gov/assessor/cama/?command=sales&amp;parid=00105265","3871851")</f>
        <v>3871851</v>
      </c>
      <c r="H8" t="s">
        <v>5769</v>
      </c>
      <c r="I8">
        <v>2006</v>
      </c>
      <c r="J8">
        <v>2006</v>
      </c>
      <c r="K8" t="s">
        <v>4554</v>
      </c>
      <c r="L8" t="s">
        <v>3974</v>
      </c>
      <c r="M8" s="2">
        <v>2040</v>
      </c>
      <c r="N8" t="s">
        <v>4048</v>
      </c>
      <c r="O8">
        <v>3</v>
      </c>
      <c r="P8">
        <v>2</v>
      </c>
      <c r="Q8">
        <v>0</v>
      </c>
      <c r="R8" t="s">
        <v>4557</v>
      </c>
      <c r="S8" t="s">
        <v>4898</v>
      </c>
      <c r="T8" t="s">
        <v>4559</v>
      </c>
      <c r="U8" t="s">
        <v>5631</v>
      </c>
      <c r="V8" s="2">
        <v>380</v>
      </c>
      <c r="W8" t="s">
        <v>4655</v>
      </c>
      <c r="X8" s="2">
        <v>0</v>
      </c>
      <c r="Y8">
        <v>20</v>
      </c>
      <c r="Z8" t="s">
        <v>4561</v>
      </c>
      <c r="AA8" s="3">
        <v>0.214485764503479</v>
      </c>
      <c r="AB8" t="s">
        <v>5770</v>
      </c>
      <c r="AC8" t="s">
        <v>4562</v>
      </c>
      <c r="AD8" t="s">
        <v>5771</v>
      </c>
      <c r="AE8" t="s">
        <v>4655</v>
      </c>
      <c r="AF8" t="s">
        <v>4563</v>
      </c>
      <c r="AG8" t="s">
        <v>4564</v>
      </c>
      <c r="AH8" t="s">
        <v>1147</v>
      </c>
      <c r="AI8" t="s">
        <v>5772</v>
      </c>
      <c r="AJ8" t="s">
        <v>5773</v>
      </c>
      <c r="AK8" t="s">
        <v>5774</v>
      </c>
      <c r="AL8" s="13" t="s">
        <v>2255</v>
      </c>
      <c r="AM8">
        <v>1</v>
      </c>
      <c r="AN8" s="15" t="s">
        <v>2349</v>
      </c>
    </row>
    <row r="9" spans="1:40" x14ac:dyDescent="0.3">
      <c r="A9" s="10" t="str">
        <f>HYPERLINK("http://www.washoecounty.gov/assessor/cama/?parid=001-052-73&amp;CardNumber=1","001-052-73")</f>
        <v>001-052-73</v>
      </c>
      <c r="B9" t="s">
        <v>4655</v>
      </c>
      <c r="C9" t="s">
        <v>5775</v>
      </c>
      <c r="D9" s="1">
        <v>40539</v>
      </c>
      <c r="E9" s="2">
        <v>165000</v>
      </c>
      <c r="F9" t="s">
        <v>4553</v>
      </c>
      <c r="G9" s="17" t="str">
        <f>HYPERLINK("https://www.washoecounty.gov/assessor/cama/?command=sales&amp;parid=00105273","3957279")</f>
        <v>3957279</v>
      </c>
      <c r="H9" t="s">
        <v>43</v>
      </c>
      <c r="I9">
        <v>2006</v>
      </c>
      <c r="J9">
        <v>2006</v>
      </c>
      <c r="K9" t="s">
        <v>4554</v>
      </c>
      <c r="L9" t="s">
        <v>3974</v>
      </c>
      <c r="M9" s="2">
        <v>2130</v>
      </c>
      <c r="N9" t="s">
        <v>4048</v>
      </c>
      <c r="O9">
        <v>4</v>
      </c>
      <c r="P9">
        <v>2</v>
      </c>
      <c r="Q9">
        <v>0</v>
      </c>
      <c r="R9" t="s">
        <v>4557</v>
      </c>
      <c r="S9" t="s">
        <v>4898</v>
      </c>
      <c r="T9" t="s">
        <v>4559</v>
      </c>
      <c r="U9" t="s">
        <v>5631</v>
      </c>
      <c r="V9" s="2">
        <v>380</v>
      </c>
      <c r="W9" t="s">
        <v>4655</v>
      </c>
      <c r="X9" s="2">
        <v>0</v>
      </c>
      <c r="Y9">
        <v>20</v>
      </c>
      <c r="Z9" t="s">
        <v>4561</v>
      </c>
      <c r="AA9" s="3">
        <v>0.17054636776447299</v>
      </c>
      <c r="AB9" t="s">
        <v>5776</v>
      </c>
      <c r="AC9" t="s">
        <v>4575</v>
      </c>
      <c r="AD9" t="s">
        <v>1213</v>
      </c>
      <c r="AE9" t="s">
        <v>4655</v>
      </c>
      <c r="AF9" t="s">
        <v>4563</v>
      </c>
      <c r="AG9" t="s">
        <v>4564</v>
      </c>
      <c r="AH9" t="s">
        <v>1147</v>
      </c>
      <c r="AI9" t="s">
        <v>4903</v>
      </c>
      <c r="AJ9" t="s">
        <v>41</v>
      </c>
      <c r="AK9" t="s">
        <v>5777</v>
      </c>
      <c r="AL9" s="13" t="s">
        <v>2255</v>
      </c>
      <c r="AM9">
        <v>1</v>
      </c>
      <c r="AN9" s="15" t="s">
        <v>2349</v>
      </c>
    </row>
    <row r="10" spans="1:40" x14ac:dyDescent="0.3">
      <c r="A10" s="10" t="str">
        <f>HYPERLINK("http://www.washoecounty.gov/assessor/cama/?parid=001-071-07&amp;CardNumber=1","001-071-07")</f>
        <v>001-071-07</v>
      </c>
      <c r="B10" t="s">
        <v>4655</v>
      </c>
      <c r="C10" t="s">
        <v>5778</v>
      </c>
      <c r="D10" s="1">
        <v>40262</v>
      </c>
      <c r="E10" s="2">
        <v>82000</v>
      </c>
      <c r="F10" t="s">
        <v>4553</v>
      </c>
      <c r="G10" s="17" t="str">
        <f>HYPERLINK("https://www.washoecounty.gov/assessor/cama/?command=sales&amp;parid=00107107","3863968")</f>
        <v>3863968</v>
      </c>
      <c r="H10" t="s">
        <v>5230</v>
      </c>
      <c r="I10">
        <v>1977</v>
      </c>
      <c r="J10">
        <v>1978</v>
      </c>
      <c r="K10" t="s">
        <v>4897</v>
      </c>
      <c r="L10" t="s">
        <v>3974</v>
      </c>
      <c r="M10" s="2">
        <v>1552</v>
      </c>
      <c r="N10" t="s">
        <v>4048</v>
      </c>
      <c r="O10">
        <v>3</v>
      </c>
      <c r="P10">
        <v>2</v>
      </c>
      <c r="Q10">
        <v>1</v>
      </c>
      <c r="R10" t="s">
        <v>5281</v>
      </c>
      <c r="S10" t="s">
        <v>4558</v>
      </c>
      <c r="T10" t="s">
        <v>4559</v>
      </c>
      <c r="U10" t="s">
        <v>5631</v>
      </c>
      <c r="V10" s="2">
        <v>440</v>
      </c>
      <c r="W10" t="s">
        <v>4655</v>
      </c>
      <c r="X10" s="2">
        <v>0</v>
      </c>
      <c r="Y10">
        <v>21</v>
      </c>
      <c r="Z10" t="s">
        <v>4144</v>
      </c>
      <c r="AA10" s="3">
        <v>3.9210285991430303E-2</v>
      </c>
      <c r="AB10" t="s">
        <v>5779</v>
      </c>
      <c r="AC10" t="s">
        <v>4562</v>
      </c>
      <c r="AD10" t="s">
        <v>5780</v>
      </c>
      <c r="AE10" t="s">
        <v>4655</v>
      </c>
      <c r="AF10" t="s">
        <v>1189</v>
      </c>
      <c r="AG10" t="s">
        <v>4564</v>
      </c>
      <c r="AH10">
        <v>89129</v>
      </c>
      <c r="AI10" t="s">
        <v>4655</v>
      </c>
      <c r="AJ10" t="s">
        <v>4655</v>
      </c>
      <c r="AK10" t="s">
        <v>5781</v>
      </c>
      <c r="AL10" s="13" t="s">
        <v>2255</v>
      </c>
      <c r="AM10">
        <v>1</v>
      </c>
      <c r="AN10" s="15" t="s">
        <v>5231</v>
      </c>
    </row>
    <row r="11" spans="1:40" x14ac:dyDescent="0.3">
      <c r="A11" s="10" t="str">
        <f>HYPERLINK("http://www.washoecounty.gov/assessor/cama/?parid=001-073-10&amp;CardNumber=1","001-073-10")</f>
        <v>001-073-10</v>
      </c>
      <c r="B11" t="s">
        <v>4655</v>
      </c>
      <c r="C11" t="s">
        <v>1235</v>
      </c>
      <c r="D11" s="1">
        <v>40469</v>
      </c>
      <c r="E11" s="2">
        <v>52500</v>
      </c>
      <c r="F11" t="s">
        <v>4553</v>
      </c>
      <c r="G11" s="17" t="str">
        <f>HYPERLINK("https://www.washoecounty.gov/assessor/cama/?command=sales&amp;parid=00107310","3934024")</f>
        <v>3934024</v>
      </c>
      <c r="H11" t="s">
        <v>5230</v>
      </c>
      <c r="I11">
        <v>1978</v>
      </c>
      <c r="J11">
        <v>1978</v>
      </c>
      <c r="K11" t="s">
        <v>3144</v>
      </c>
      <c r="L11" t="s">
        <v>3974</v>
      </c>
      <c r="M11" s="2">
        <v>1236</v>
      </c>
      <c r="N11" t="s">
        <v>4048</v>
      </c>
      <c r="O11">
        <v>3</v>
      </c>
      <c r="P11">
        <v>2</v>
      </c>
      <c r="Q11">
        <v>1</v>
      </c>
      <c r="R11" t="s">
        <v>4557</v>
      </c>
      <c r="S11" t="s">
        <v>4558</v>
      </c>
      <c r="T11" t="s">
        <v>4559</v>
      </c>
      <c r="U11" t="s">
        <v>4560</v>
      </c>
      <c r="V11" s="2">
        <v>440</v>
      </c>
      <c r="W11" t="s">
        <v>4655</v>
      </c>
      <c r="X11" s="2">
        <v>0</v>
      </c>
      <c r="Y11">
        <v>21</v>
      </c>
      <c r="Z11" t="s">
        <v>4144</v>
      </c>
      <c r="AA11" s="3">
        <v>4.1460055857896798E-2</v>
      </c>
      <c r="AB11" t="s">
        <v>406</v>
      </c>
      <c r="AC11" t="s">
        <v>4575</v>
      </c>
      <c r="AD11" t="s">
        <v>407</v>
      </c>
      <c r="AE11" t="s">
        <v>4655</v>
      </c>
      <c r="AF11" t="s">
        <v>4563</v>
      </c>
      <c r="AG11" t="s">
        <v>4564</v>
      </c>
      <c r="AH11" t="s">
        <v>2541</v>
      </c>
      <c r="AI11" t="s">
        <v>5098</v>
      </c>
      <c r="AJ11" t="s">
        <v>4655</v>
      </c>
      <c r="AK11" t="s">
        <v>1472</v>
      </c>
      <c r="AL11" s="13" t="s">
        <v>2255</v>
      </c>
      <c r="AM11" s="14">
        <v>1</v>
      </c>
      <c r="AN11" s="15" t="s">
        <v>5231</v>
      </c>
    </row>
    <row r="12" spans="1:40" x14ac:dyDescent="0.3">
      <c r="A12" s="10" t="str">
        <f>HYPERLINK("http://www.washoecounty.gov/assessor/cama/?parid=001-083-15&amp;CardNumber=1","001-083-15")</f>
        <v>001-083-15</v>
      </c>
      <c r="B12" t="s">
        <v>4655</v>
      </c>
      <c r="C12" t="s">
        <v>5782</v>
      </c>
      <c r="D12" s="1">
        <v>40260</v>
      </c>
      <c r="E12" s="2">
        <v>75100</v>
      </c>
      <c r="F12" t="s">
        <v>4553</v>
      </c>
      <c r="G12" s="17" t="str">
        <f>HYPERLINK("https://www.washoecounty.gov/assessor/cama/?command=sales&amp;parid=00108315","3862911")</f>
        <v>3862911</v>
      </c>
      <c r="H12" t="s">
        <v>453</v>
      </c>
      <c r="I12">
        <v>1972</v>
      </c>
      <c r="J12">
        <v>1972</v>
      </c>
      <c r="K12" t="s">
        <v>3144</v>
      </c>
      <c r="L12" t="s">
        <v>3974</v>
      </c>
      <c r="M12" s="2">
        <v>1120</v>
      </c>
      <c r="N12" t="s">
        <v>4048</v>
      </c>
      <c r="O12">
        <v>2</v>
      </c>
      <c r="P12">
        <v>1</v>
      </c>
      <c r="Q12">
        <v>1</v>
      </c>
      <c r="R12" t="s">
        <v>5281</v>
      </c>
      <c r="S12" t="s">
        <v>4558</v>
      </c>
      <c r="T12" t="s">
        <v>4559</v>
      </c>
      <c r="U12" t="s">
        <v>4560</v>
      </c>
      <c r="V12" s="2">
        <v>483</v>
      </c>
      <c r="W12" t="s">
        <v>4655</v>
      </c>
      <c r="X12" s="2">
        <v>0</v>
      </c>
      <c r="Y12">
        <v>21</v>
      </c>
      <c r="Z12" t="s">
        <v>4144</v>
      </c>
      <c r="AA12" s="3">
        <v>3.7281911820173298E-2</v>
      </c>
      <c r="AB12" t="s">
        <v>5783</v>
      </c>
      <c r="AC12" t="s">
        <v>4575</v>
      </c>
      <c r="AD12" t="s">
        <v>5784</v>
      </c>
      <c r="AE12" t="s">
        <v>4655</v>
      </c>
      <c r="AF12" t="s">
        <v>5785</v>
      </c>
      <c r="AG12" t="s">
        <v>4584</v>
      </c>
      <c r="AH12">
        <v>93510</v>
      </c>
      <c r="AI12" t="s">
        <v>1602</v>
      </c>
      <c r="AJ12" t="s">
        <v>4655</v>
      </c>
      <c r="AK12" t="s">
        <v>5786</v>
      </c>
      <c r="AL12" s="13" t="s">
        <v>2255</v>
      </c>
      <c r="AM12">
        <v>1</v>
      </c>
      <c r="AN12" s="15" t="s">
        <v>5231</v>
      </c>
    </row>
    <row r="13" spans="1:40" x14ac:dyDescent="0.3">
      <c r="A13" s="10" t="str">
        <f>HYPERLINK("http://www.washoecounty.gov/assessor/cama/?parid=001-091-01&amp;CardNumber=1","001-091-01")</f>
        <v>001-091-01</v>
      </c>
      <c r="B13" t="s">
        <v>4655</v>
      </c>
      <c r="C13" t="s">
        <v>5787</v>
      </c>
      <c r="D13" s="1">
        <v>40414</v>
      </c>
      <c r="E13" s="2">
        <v>120000</v>
      </c>
      <c r="F13" t="s">
        <v>4567</v>
      </c>
      <c r="G13" s="17" t="str">
        <f>HYPERLINK("https://www.washoecounty.gov/assessor/cama/?command=sales&amp;parid=00109101","3915160")</f>
        <v>3915160</v>
      </c>
      <c r="H13" t="s">
        <v>4200</v>
      </c>
      <c r="I13">
        <v>1966</v>
      </c>
      <c r="J13">
        <v>1966</v>
      </c>
      <c r="K13" t="s">
        <v>4554</v>
      </c>
      <c r="L13" t="s">
        <v>4555</v>
      </c>
      <c r="M13" s="2">
        <v>1354</v>
      </c>
      <c r="N13" t="s">
        <v>4556</v>
      </c>
      <c r="O13">
        <v>3</v>
      </c>
      <c r="P13">
        <v>2</v>
      </c>
      <c r="Q13">
        <v>0</v>
      </c>
      <c r="R13" t="s">
        <v>4557</v>
      </c>
      <c r="S13" t="s">
        <v>4558</v>
      </c>
      <c r="T13" t="s">
        <v>4559</v>
      </c>
      <c r="U13" t="s">
        <v>4560</v>
      </c>
      <c r="V13" s="2">
        <v>420</v>
      </c>
      <c r="W13" t="s">
        <v>4655</v>
      </c>
      <c r="X13" s="2">
        <v>0</v>
      </c>
      <c r="Y13">
        <v>20</v>
      </c>
      <c r="Z13" t="s">
        <v>4561</v>
      </c>
      <c r="AA13" s="3">
        <v>0.20438475906848899</v>
      </c>
      <c r="AB13" t="s">
        <v>5788</v>
      </c>
      <c r="AC13" t="s">
        <v>4562</v>
      </c>
      <c r="AD13" t="s">
        <v>5789</v>
      </c>
      <c r="AE13" t="s">
        <v>4655</v>
      </c>
      <c r="AF13" t="s">
        <v>4563</v>
      </c>
      <c r="AG13" t="s">
        <v>4564</v>
      </c>
      <c r="AH13">
        <v>89504</v>
      </c>
      <c r="AI13" t="s">
        <v>5790</v>
      </c>
      <c r="AJ13" t="s">
        <v>4655</v>
      </c>
      <c r="AK13" t="s">
        <v>5791</v>
      </c>
      <c r="AL13" s="13" t="s">
        <v>2255</v>
      </c>
      <c r="AM13">
        <v>1</v>
      </c>
      <c r="AN13" s="15" t="s">
        <v>4566</v>
      </c>
    </row>
    <row r="14" spans="1:40" x14ac:dyDescent="0.3">
      <c r="A14" s="10" t="str">
        <f>HYPERLINK("http://www.washoecounty.gov/assessor/cama/?parid=001-092-06&amp;CardNumber=1","001-092-06")</f>
        <v>001-092-06</v>
      </c>
      <c r="B14" t="s">
        <v>4655</v>
      </c>
      <c r="C14" t="s">
        <v>5792</v>
      </c>
      <c r="D14" s="1">
        <v>40301</v>
      </c>
      <c r="E14" s="2">
        <v>68000</v>
      </c>
      <c r="F14" t="s">
        <v>4567</v>
      </c>
      <c r="G14" s="17" t="str">
        <f>HYPERLINK("https://www.washoecounty.gov/assessor/cama/?command=sales&amp;parid=00109206","3877529")</f>
        <v>3877529</v>
      </c>
      <c r="H14" t="s">
        <v>4200</v>
      </c>
      <c r="I14">
        <v>1966</v>
      </c>
      <c r="J14">
        <v>1966</v>
      </c>
      <c r="K14" t="s">
        <v>4554</v>
      </c>
      <c r="L14" t="s">
        <v>4555</v>
      </c>
      <c r="M14" s="2">
        <v>988</v>
      </c>
      <c r="N14" t="s">
        <v>4556</v>
      </c>
      <c r="O14">
        <v>3</v>
      </c>
      <c r="P14">
        <v>2</v>
      </c>
      <c r="Q14">
        <v>0</v>
      </c>
      <c r="R14" t="s">
        <v>4557</v>
      </c>
      <c r="S14" t="s">
        <v>4574</v>
      </c>
      <c r="T14" t="s">
        <v>4559</v>
      </c>
      <c r="U14" t="s">
        <v>4560</v>
      </c>
      <c r="V14" s="2">
        <v>504</v>
      </c>
      <c r="W14" t="s">
        <v>4655</v>
      </c>
      <c r="X14" s="2">
        <v>0</v>
      </c>
      <c r="Y14">
        <v>20</v>
      </c>
      <c r="Z14" t="s">
        <v>4561</v>
      </c>
      <c r="AA14" s="3">
        <v>0.15066574513912201</v>
      </c>
      <c r="AB14" t="s">
        <v>5793</v>
      </c>
      <c r="AC14" t="s">
        <v>4562</v>
      </c>
      <c r="AD14" t="s">
        <v>5794</v>
      </c>
      <c r="AE14" t="s">
        <v>4655</v>
      </c>
      <c r="AF14" t="s">
        <v>4563</v>
      </c>
      <c r="AG14" t="s">
        <v>4564</v>
      </c>
      <c r="AH14" t="s">
        <v>2841</v>
      </c>
      <c r="AI14" t="s">
        <v>5795</v>
      </c>
      <c r="AJ14" t="s">
        <v>4655</v>
      </c>
      <c r="AK14" t="s">
        <v>5796</v>
      </c>
      <c r="AL14" s="13" t="s">
        <v>2255</v>
      </c>
      <c r="AM14">
        <v>1</v>
      </c>
      <c r="AN14" s="15" t="s">
        <v>4566</v>
      </c>
    </row>
    <row r="15" spans="1:40" x14ac:dyDescent="0.3">
      <c r="A15" s="10" t="str">
        <f>HYPERLINK("http://www.washoecounty.gov/assessor/cama/?parid=001-103-09&amp;CardNumber=1","001-103-09")</f>
        <v>001-103-09</v>
      </c>
      <c r="B15" t="s">
        <v>4655</v>
      </c>
      <c r="C15" t="s">
        <v>5797</v>
      </c>
      <c r="D15" s="1">
        <v>40296</v>
      </c>
      <c r="E15" s="2">
        <v>124200</v>
      </c>
      <c r="F15" t="s">
        <v>4567</v>
      </c>
      <c r="G15" s="17" t="str">
        <f>HYPERLINK("https://www.washoecounty.gov/assessor/cama/?command=sales&amp;parid=00110309","3875443")</f>
        <v>3875443</v>
      </c>
      <c r="H15" t="s">
        <v>2350</v>
      </c>
      <c r="I15">
        <v>1983</v>
      </c>
      <c r="J15">
        <v>1983</v>
      </c>
      <c r="K15" t="s">
        <v>4554</v>
      </c>
      <c r="L15" t="s">
        <v>4555</v>
      </c>
      <c r="M15" s="2">
        <v>1168</v>
      </c>
      <c r="N15" t="s">
        <v>4556</v>
      </c>
      <c r="O15">
        <v>3</v>
      </c>
      <c r="P15">
        <v>2</v>
      </c>
      <c r="Q15">
        <v>0</v>
      </c>
      <c r="R15" t="s">
        <v>4557</v>
      </c>
      <c r="S15" t="s">
        <v>4558</v>
      </c>
      <c r="T15" t="s">
        <v>4559</v>
      </c>
      <c r="U15" t="s">
        <v>4560</v>
      </c>
      <c r="V15" s="2">
        <v>480</v>
      </c>
      <c r="W15" t="s">
        <v>4655</v>
      </c>
      <c r="X15" s="2">
        <v>0</v>
      </c>
      <c r="Y15">
        <v>20</v>
      </c>
      <c r="Z15" t="s">
        <v>4561</v>
      </c>
      <c r="AA15" s="3">
        <v>0.116781450808048</v>
      </c>
      <c r="AB15" t="s">
        <v>5798</v>
      </c>
      <c r="AC15" t="s">
        <v>4562</v>
      </c>
      <c r="AD15" t="s">
        <v>5797</v>
      </c>
      <c r="AE15" t="s">
        <v>4655</v>
      </c>
      <c r="AF15" t="s">
        <v>4563</v>
      </c>
      <c r="AG15" t="s">
        <v>4564</v>
      </c>
      <c r="AH15">
        <v>89503</v>
      </c>
      <c r="AI15" t="s">
        <v>5799</v>
      </c>
      <c r="AJ15" t="s">
        <v>4655</v>
      </c>
      <c r="AK15" t="s">
        <v>5800</v>
      </c>
      <c r="AL15" s="13" t="s">
        <v>2255</v>
      </c>
      <c r="AM15">
        <v>1</v>
      </c>
      <c r="AN15" s="15" t="s">
        <v>4566</v>
      </c>
    </row>
    <row r="16" spans="1:40" x14ac:dyDescent="0.3">
      <c r="A16" s="10" t="str">
        <f>HYPERLINK("http://www.washoecounty.gov/assessor/cama/?parid=001-103-13&amp;CardNumber=1","001-103-13")</f>
        <v>001-103-13</v>
      </c>
      <c r="B16" t="s">
        <v>4655</v>
      </c>
      <c r="C16" t="s">
        <v>5801</v>
      </c>
      <c r="D16" s="1">
        <v>40424</v>
      </c>
      <c r="E16" s="2">
        <v>118000</v>
      </c>
      <c r="F16" t="s">
        <v>4567</v>
      </c>
      <c r="G16" s="17" t="str">
        <f>HYPERLINK("https://www.washoecounty.gov/assessor/cama/?command=sales&amp;parid=00110313","3918965")</f>
        <v>3918965</v>
      </c>
      <c r="H16" t="s">
        <v>2350</v>
      </c>
      <c r="I16">
        <v>1983</v>
      </c>
      <c r="J16">
        <v>1983</v>
      </c>
      <c r="K16" t="s">
        <v>4554</v>
      </c>
      <c r="L16" t="s">
        <v>4555</v>
      </c>
      <c r="M16" s="2">
        <v>1168</v>
      </c>
      <c r="N16" t="s">
        <v>4556</v>
      </c>
      <c r="O16">
        <v>3</v>
      </c>
      <c r="P16">
        <v>2</v>
      </c>
      <c r="Q16">
        <v>0</v>
      </c>
      <c r="R16" t="s">
        <v>4557</v>
      </c>
      <c r="S16" t="s">
        <v>4558</v>
      </c>
      <c r="T16" t="s">
        <v>4559</v>
      </c>
      <c r="U16" t="s">
        <v>4560</v>
      </c>
      <c r="V16" s="2">
        <v>480</v>
      </c>
      <c r="W16" t="s">
        <v>4655</v>
      </c>
      <c r="X16" s="2">
        <v>0</v>
      </c>
      <c r="Y16">
        <v>20</v>
      </c>
      <c r="Z16" t="s">
        <v>4561</v>
      </c>
      <c r="AA16" s="3">
        <v>0.11827364563942</v>
      </c>
      <c r="AB16" t="s">
        <v>5802</v>
      </c>
      <c r="AC16" t="s">
        <v>4562</v>
      </c>
      <c r="AD16" t="s">
        <v>5801</v>
      </c>
      <c r="AE16" t="s">
        <v>4655</v>
      </c>
      <c r="AF16" t="s">
        <v>4563</v>
      </c>
      <c r="AG16" t="s">
        <v>4564</v>
      </c>
      <c r="AH16">
        <v>89503</v>
      </c>
      <c r="AI16" t="s">
        <v>5803</v>
      </c>
      <c r="AJ16" t="s">
        <v>4655</v>
      </c>
      <c r="AK16" t="s">
        <v>5804</v>
      </c>
      <c r="AL16" s="13" t="s">
        <v>2255</v>
      </c>
      <c r="AM16">
        <v>1</v>
      </c>
      <c r="AN16" s="15" t="s">
        <v>4566</v>
      </c>
    </row>
    <row r="17" spans="1:40" x14ac:dyDescent="0.3">
      <c r="A17" s="10" t="str">
        <f>HYPERLINK("http://www.washoecounty.gov/assessor/cama/?parid=001-104-05&amp;CardNumber=1","001-104-05")</f>
        <v>001-104-05</v>
      </c>
      <c r="B17" t="s">
        <v>4655</v>
      </c>
      <c r="C17" t="s">
        <v>5805</v>
      </c>
      <c r="D17" s="1">
        <v>40213</v>
      </c>
      <c r="E17" s="2">
        <v>182000</v>
      </c>
      <c r="F17" t="s">
        <v>4553</v>
      </c>
      <c r="G17" s="17" t="str">
        <f>HYPERLINK("https://www.washoecounty.gov/assessor/cama/?command=sales&amp;parid=00110405","3845897")</f>
        <v>3845897</v>
      </c>
      <c r="H17" t="s">
        <v>2350</v>
      </c>
      <c r="I17">
        <v>1983</v>
      </c>
      <c r="J17">
        <v>1983</v>
      </c>
      <c r="K17" t="s">
        <v>4554</v>
      </c>
      <c r="L17" t="s">
        <v>4555</v>
      </c>
      <c r="M17" s="2">
        <v>1192</v>
      </c>
      <c r="N17" t="s">
        <v>4556</v>
      </c>
      <c r="O17">
        <v>3</v>
      </c>
      <c r="P17">
        <v>2</v>
      </c>
      <c r="Q17">
        <v>0</v>
      </c>
      <c r="R17" t="s">
        <v>4557</v>
      </c>
      <c r="S17" t="s">
        <v>4558</v>
      </c>
      <c r="T17" t="s">
        <v>4559</v>
      </c>
      <c r="U17" t="s">
        <v>4560</v>
      </c>
      <c r="V17" s="2">
        <v>480</v>
      </c>
      <c r="W17" t="s">
        <v>3149</v>
      </c>
      <c r="X17" s="2">
        <v>1168</v>
      </c>
      <c r="Y17">
        <v>20</v>
      </c>
      <c r="Z17" t="s">
        <v>4561</v>
      </c>
      <c r="AA17" s="3">
        <v>0.14180441200733199</v>
      </c>
      <c r="AB17" t="s">
        <v>5806</v>
      </c>
      <c r="AC17" t="s">
        <v>4575</v>
      </c>
      <c r="AD17" t="s">
        <v>5807</v>
      </c>
      <c r="AE17" t="s">
        <v>5808</v>
      </c>
      <c r="AF17" t="s">
        <v>4563</v>
      </c>
      <c r="AG17" t="s">
        <v>4564</v>
      </c>
      <c r="AH17">
        <v>89503</v>
      </c>
      <c r="AI17" t="s">
        <v>2351</v>
      </c>
      <c r="AJ17" t="s">
        <v>4655</v>
      </c>
      <c r="AK17" t="s">
        <v>5809</v>
      </c>
      <c r="AL17" s="13" t="s">
        <v>2255</v>
      </c>
      <c r="AM17" s="14">
        <v>1</v>
      </c>
      <c r="AN17" s="15" t="s">
        <v>4566</v>
      </c>
    </row>
    <row r="18" spans="1:40" x14ac:dyDescent="0.3">
      <c r="A18" s="10" t="str">
        <f>HYPERLINK("http://www.washoecounty.gov/assessor/cama/?parid=001-112-05&amp;CardNumber=1","001-112-05")</f>
        <v>001-112-05</v>
      </c>
      <c r="B18" t="s">
        <v>4655</v>
      </c>
      <c r="C18" t="s">
        <v>5810</v>
      </c>
      <c r="D18" s="1">
        <v>40353</v>
      </c>
      <c r="E18" s="2">
        <v>163000</v>
      </c>
      <c r="F18" t="s">
        <v>4567</v>
      </c>
      <c r="G18" s="17" t="str">
        <f>HYPERLINK("https://www.washoecounty.gov/assessor/cama/?command=sales&amp;parid=00111205","3894873")</f>
        <v>3894873</v>
      </c>
      <c r="H18" t="s">
        <v>2274</v>
      </c>
      <c r="I18">
        <v>1973</v>
      </c>
      <c r="J18">
        <v>1973</v>
      </c>
      <c r="K18" t="s">
        <v>4554</v>
      </c>
      <c r="L18" t="s">
        <v>4555</v>
      </c>
      <c r="M18" s="2">
        <v>1240</v>
      </c>
      <c r="N18" t="s">
        <v>4556</v>
      </c>
      <c r="O18">
        <v>3</v>
      </c>
      <c r="P18">
        <v>2</v>
      </c>
      <c r="Q18">
        <v>0</v>
      </c>
      <c r="R18" t="s">
        <v>4557</v>
      </c>
      <c r="S18" t="s">
        <v>4135</v>
      </c>
      <c r="T18" t="s">
        <v>4559</v>
      </c>
      <c r="U18" t="s">
        <v>4560</v>
      </c>
      <c r="V18" s="2">
        <v>528</v>
      </c>
      <c r="W18" t="s">
        <v>4655</v>
      </c>
      <c r="X18" s="2">
        <v>0</v>
      </c>
      <c r="Y18">
        <v>20</v>
      </c>
      <c r="Z18" t="s">
        <v>4561</v>
      </c>
      <c r="AA18" s="3">
        <v>0.148002758622169</v>
      </c>
      <c r="AB18" t="s">
        <v>5811</v>
      </c>
      <c r="AC18" t="s">
        <v>4562</v>
      </c>
      <c r="AD18" t="s">
        <v>5810</v>
      </c>
      <c r="AE18" t="s">
        <v>4655</v>
      </c>
      <c r="AF18" t="s">
        <v>4563</v>
      </c>
      <c r="AG18" t="s">
        <v>4564</v>
      </c>
      <c r="AH18">
        <v>89503</v>
      </c>
      <c r="AI18" t="s">
        <v>3567</v>
      </c>
      <c r="AJ18" t="s">
        <v>4655</v>
      </c>
      <c r="AK18" t="s">
        <v>5812</v>
      </c>
      <c r="AL18" s="13" t="s">
        <v>2255</v>
      </c>
      <c r="AM18">
        <v>1</v>
      </c>
      <c r="AN18" s="15" t="s">
        <v>4566</v>
      </c>
    </row>
    <row r="19" spans="1:40" x14ac:dyDescent="0.3">
      <c r="A19" s="10" t="str">
        <f>HYPERLINK("http://www.washoecounty.gov/assessor/cama/?parid=001-112-05&amp;CardNumber=1","001-112-05")</f>
        <v>001-112-05</v>
      </c>
      <c r="B19" t="s">
        <v>4655</v>
      </c>
      <c r="C19" t="s">
        <v>5810</v>
      </c>
      <c r="D19" s="1">
        <v>40247</v>
      </c>
      <c r="E19" s="2">
        <v>100967</v>
      </c>
      <c r="F19" t="s">
        <v>4553</v>
      </c>
      <c r="G19" s="17" t="str">
        <f>HYPERLINK("https://www.washoecounty.gov/assessor/cama/?command=sales&amp;parid=00111205","3857910")</f>
        <v>3857910</v>
      </c>
      <c r="H19" t="s">
        <v>2274</v>
      </c>
      <c r="I19">
        <v>1973</v>
      </c>
      <c r="J19">
        <v>1973</v>
      </c>
      <c r="K19" t="s">
        <v>4554</v>
      </c>
      <c r="L19" t="s">
        <v>4555</v>
      </c>
      <c r="M19" s="2">
        <v>1240</v>
      </c>
      <c r="N19" t="s">
        <v>4556</v>
      </c>
      <c r="O19">
        <v>3</v>
      </c>
      <c r="P19">
        <v>2</v>
      </c>
      <c r="Q19">
        <v>0</v>
      </c>
      <c r="R19" t="s">
        <v>4557</v>
      </c>
      <c r="S19" t="s">
        <v>4135</v>
      </c>
      <c r="T19" t="s">
        <v>4559</v>
      </c>
      <c r="U19" t="s">
        <v>4560</v>
      </c>
      <c r="V19" s="2">
        <v>528</v>
      </c>
      <c r="W19" t="s">
        <v>4655</v>
      </c>
      <c r="X19" s="2">
        <v>0</v>
      </c>
      <c r="Y19">
        <v>20</v>
      </c>
      <c r="Z19" t="s">
        <v>4561</v>
      </c>
      <c r="AA19" s="3">
        <v>0.148002758622169</v>
      </c>
      <c r="AB19" t="s">
        <v>5811</v>
      </c>
      <c r="AC19" t="s">
        <v>4562</v>
      </c>
      <c r="AD19" t="s">
        <v>5810</v>
      </c>
      <c r="AE19" t="s">
        <v>4655</v>
      </c>
      <c r="AF19" t="s">
        <v>4563</v>
      </c>
      <c r="AG19" t="s">
        <v>4564</v>
      </c>
      <c r="AH19">
        <v>89503</v>
      </c>
      <c r="AI19" t="s">
        <v>3567</v>
      </c>
      <c r="AJ19" t="s">
        <v>4655</v>
      </c>
      <c r="AK19" t="s">
        <v>5812</v>
      </c>
      <c r="AL19" s="13" t="s">
        <v>2255</v>
      </c>
      <c r="AM19" s="14">
        <v>1</v>
      </c>
      <c r="AN19" s="15" t="s">
        <v>4566</v>
      </c>
    </row>
    <row r="20" spans="1:40" x14ac:dyDescent="0.3">
      <c r="A20" s="10" t="str">
        <f>HYPERLINK("http://www.washoecounty.gov/assessor/cama/?parid=001-113-07&amp;CardNumber=1","001-113-07")</f>
        <v>001-113-07</v>
      </c>
      <c r="B20" t="s">
        <v>4655</v>
      </c>
      <c r="C20" t="s">
        <v>2695</v>
      </c>
      <c r="D20" s="1">
        <v>40337</v>
      </c>
      <c r="E20" s="2">
        <v>183000</v>
      </c>
      <c r="F20" t="s">
        <v>4553</v>
      </c>
      <c r="G20" s="17" t="str">
        <f>HYPERLINK("https://www.washoecounty.gov/assessor/cama/?command=sales&amp;parid=00111307","3889241")</f>
        <v>3889241</v>
      </c>
      <c r="H20" t="s">
        <v>2696</v>
      </c>
      <c r="I20">
        <v>2004</v>
      </c>
      <c r="J20">
        <v>2004</v>
      </c>
      <c r="K20" t="s">
        <v>4554</v>
      </c>
      <c r="L20" t="s">
        <v>4555</v>
      </c>
      <c r="M20" s="2">
        <v>1854</v>
      </c>
      <c r="N20" t="s">
        <v>5280</v>
      </c>
      <c r="O20">
        <v>3</v>
      </c>
      <c r="P20">
        <v>2</v>
      </c>
      <c r="Q20">
        <v>0</v>
      </c>
      <c r="R20" t="s">
        <v>4557</v>
      </c>
      <c r="S20" t="s">
        <v>4558</v>
      </c>
      <c r="T20" t="s">
        <v>4559</v>
      </c>
      <c r="U20" t="s">
        <v>4560</v>
      </c>
      <c r="V20" s="2">
        <v>506</v>
      </c>
      <c r="W20" t="s">
        <v>4655</v>
      </c>
      <c r="X20" s="2">
        <v>0</v>
      </c>
      <c r="Y20">
        <v>20</v>
      </c>
      <c r="Z20" t="s">
        <v>4561</v>
      </c>
      <c r="AA20" s="3">
        <v>0.19554637372493744</v>
      </c>
      <c r="AB20" t="s">
        <v>5813</v>
      </c>
      <c r="AC20" t="s">
        <v>4562</v>
      </c>
      <c r="AD20" t="s">
        <v>2695</v>
      </c>
      <c r="AE20" t="s">
        <v>4655</v>
      </c>
      <c r="AF20" t="s">
        <v>4563</v>
      </c>
      <c r="AG20" t="s">
        <v>4564</v>
      </c>
      <c r="AH20">
        <v>89503</v>
      </c>
      <c r="AI20" t="s">
        <v>4903</v>
      </c>
      <c r="AJ20" t="s">
        <v>2697</v>
      </c>
      <c r="AK20" t="s">
        <v>5814</v>
      </c>
      <c r="AL20" s="13" t="s">
        <v>2255</v>
      </c>
      <c r="AM20" s="14">
        <v>1</v>
      </c>
      <c r="AN20" s="15" t="s">
        <v>2349</v>
      </c>
    </row>
    <row r="21" spans="1:40" x14ac:dyDescent="0.3">
      <c r="A21" s="10" t="str">
        <f>HYPERLINK("http://www.washoecounty.gov/assessor/cama/?parid=001-121-10&amp;CardNumber=1","001-121-10")</f>
        <v>001-121-10</v>
      </c>
      <c r="B21" t="s">
        <v>4655</v>
      </c>
      <c r="C21" t="s">
        <v>5815</v>
      </c>
      <c r="D21" s="1">
        <v>40338</v>
      </c>
      <c r="E21" s="2">
        <v>199900</v>
      </c>
      <c r="F21" t="s">
        <v>4567</v>
      </c>
      <c r="G21" s="17" t="str">
        <f>HYPERLINK("https://www.washoecounty.gov/assessor/cama/?command=sales&amp;parid=00112110","3889968")</f>
        <v>3889968</v>
      </c>
      <c r="H21" t="s">
        <v>2352</v>
      </c>
      <c r="I21">
        <v>1992</v>
      </c>
      <c r="J21">
        <v>1992</v>
      </c>
      <c r="K21" t="s">
        <v>4554</v>
      </c>
      <c r="L21" t="s">
        <v>3974</v>
      </c>
      <c r="M21" s="2">
        <v>1837</v>
      </c>
      <c r="N21" t="s">
        <v>4048</v>
      </c>
      <c r="O21">
        <v>4</v>
      </c>
      <c r="P21">
        <v>2</v>
      </c>
      <c r="Q21">
        <v>1</v>
      </c>
      <c r="R21" t="s">
        <v>4557</v>
      </c>
      <c r="S21" t="s">
        <v>4558</v>
      </c>
      <c r="T21" t="s">
        <v>4559</v>
      </c>
      <c r="U21" t="s">
        <v>4560</v>
      </c>
      <c r="V21" s="2">
        <v>600</v>
      </c>
      <c r="W21" t="s">
        <v>4655</v>
      </c>
      <c r="X21" s="2">
        <v>0</v>
      </c>
      <c r="Y21">
        <v>20</v>
      </c>
      <c r="Z21" t="s">
        <v>4561</v>
      </c>
      <c r="AA21" s="3">
        <v>0.275528013706207</v>
      </c>
      <c r="AB21" t="s">
        <v>5816</v>
      </c>
      <c r="AC21" t="s">
        <v>4562</v>
      </c>
      <c r="AD21" t="s">
        <v>5815</v>
      </c>
      <c r="AE21" t="s">
        <v>4655</v>
      </c>
      <c r="AF21" t="s">
        <v>4563</v>
      </c>
      <c r="AG21" t="s">
        <v>4564</v>
      </c>
      <c r="AH21">
        <v>89503</v>
      </c>
      <c r="AI21" t="s">
        <v>5817</v>
      </c>
      <c r="AJ21" t="s">
        <v>4655</v>
      </c>
      <c r="AK21" t="s">
        <v>5818</v>
      </c>
      <c r="AL21" s="13" t="s">
        <v>2255</v>
      </c>
      <c r="AM21" s="14">
        <v>1</v>
      </c>
      <c r="AN21" s="15" t="s">
        <v>2353</v>
      </c>
    </row>
    <row r="22" spans="1:40" x14ac:dyDescent="0.3">
      <c r="A22" s="10" t="str">
        <f>HYPERLINK("http://www.washoecounty.gov/assessor/cama/?parid=001-123-02&amp;CardNumber=1","001-123-02")</f>
        <v>001-123-02</v>
      </c>
      <c r="B22" t="s">
        <v>4655</v>
      </c>
      <c r="C22" t="s">
        <v>5819</v>
      </c>
      <c r="D22" s="1">
        <v>40207</v>
      </c>
      <c r="E22" s="2">
        <v>210000</v>
      </c>
      <c r="F22" t="s">
        <v>4553</v>
      </c>
      <c r="G22" s="17" t="str">
        <f>HYPERLINK("https://www.washoecounty.gov/assessor/cama/?command=sales&amp;parid=00112302","3844463")</f>
        <v>3844463</v>
      </c>
      <c r="H22" t="s">
        <v>2352</v>
      </c>
      <c r="I22">
        <v>1992</v>
      </c>
      <c r="J22">
        <v>1992</v>
      </c>
      <c r="K22" t="s">
        <v>4554</v>
      </c>
      <c r="L22" t="s">
        <v>3974</v>
      </c>
      <c r="M22" s="2">
        <v>2496</v>
      </c>
      <c r="N22" t="s">
        <v>4048</v>
      </c>
      <c r="O22">
        <v>5</v>
      </c>
      <c r="P22">
        <v>3</v>
      </c>
      <c r="Q22">
        <v>0</v>
      </c>
      <c r="R22" t="s">
        <v>4557</v>
      </c>
      <c r="S22" t="s">
        <v>4558</v>
      </c>
      <c r="T22" t="s">
        <v>4559</v>
      </c>
      <c r="U22" t="s">
        <v>5631</v>
      </c>
      <c r="V22" s="2">
        <v>440</v>
      </c>
      <c r="W22" t="s">
        <v>4655</v>
      </c>
      <c r="X22" s="2">
        <v>0</v>
      </c>
      <c r="Y22">
        <v>20</v>
      </c>
      <c r="Z22" t="s">
        <v>4561</v>
      </c>
      <c r="AA22" s="3">
        <v>0.179063364863396</v>
      </c>
      <c r="AB22" t="s">
        <v>5820</v>
      </c>
      <c r="AC22" t="s">
        <v>4562</v>
      </c>
      <c r="AD22" t="s">
        <v>5821</v>
      </c>
      <c r="AE22" t="s">
        <v>4655</v>
      </c>
      <c r="AF22" t="s">
        <v>4563</v>
      </c>
      <c r="AG22" t="s">
        <v>4564</v>
      </c>
      <c r="AH22">
        <v>89503</v>
      </c>
      <c r="AI22" t="s">
        <v>4045</v>
      </c>
      <c r="AJ22" t="s">
        <v>4655</v>
      </c>
      <c r="AK22" t="s">
        <v>5822</v>
      </c>
      <c r="AL22" s="13" t="s">
        <v>2255</v>
      </c>
      <c r="AM22" s="14">
        <v>1</v>
      </c>
      <c r="AN22" s="15" t="s">
        <v>2353</v>
      </c>
    </row>
    <row r="23" spans="1:40" x14ac:dyDescent="0.3">
      <c r="A23" s="10" t="str">
        <f>HYPERLINK("http://www.washoecounty.gov/assessor/cama/?parid=001-123-05&amp;CardNumber=1","001-123-05")</f>
        <v>001-123-05</v>
      </c>
      <c r="B23" t="s">
        <v>4655</v>
      </c>
      <c r="C23" t="s">
        <v>5823</v>
      </c>
      <c r="D23" s="1">
        <v>40246</v>
      </c>
      <c r="E23" s="2">
        <v>210000</v>
      </c>
      <c r="F23" t="s">
        <v>4567</v>
      </c>
      <c r="G23" s="17" t="str">
        <f>HYPERLINK("https://www.washoecounty.gov/assessor/cama/?command=sales&amp;parid=00112305","3857679")</f>
        <v>3857679</v>
      </c>
      <c r="H23" t="s">
        <v>2352</v>
      </c>
      <c r="I23">
        <v>1992</v>
      </c>
      <c r="J23">
        <v>1992</v>
      </c>
      <c r="K23" t="s">
        <v>4554</v>
      </c>
      <c r="L23" t="s">
        <v>3974</v>
      </c>
      <c r="M23" s="2">
        <v>2496</v>
      </c>
      <c r="N23" t="s">
        <v>4048</v>
      </c>
      <c r="O23">
        <v>5</v>
      </c>
      <c r="P23">
        <v>3</v>
      </c>
      <c r="Q23">
        <v>0</v>
      </c>
      <c r="R23" t="s">
        <v>4557</v>
      </c>
      <c r="S23" t="s">
        <v>4558</v>
      </c>
      <c r="T23" t="s">
        <v>4559</v>
      </c>
      <c r="U23" t="s">
        <v>5631</v>
      </c>
      <c r="V23" s="2">
        <v>440</v>
      </c>
      <c r="W23" t="s">
        <v>4655</v>
      </c>
      <c r="X23" s="2">
        <v>0</v>
      </c>
      <c r="Y23">
        <v>20</v>
      </c>
      <c r="Z23" t="s">
        <v>4561</v>
      </c>
      <c r="AA23" s="3">
        <v>0.21437098085880299</v>
      </c>
      <c r="AB23" t="s">
        <v>5824</v>
      </c>
      <c r="AC23" t="s">
        <v>4562</v>
      </c>
      <c r="AD23" t="s">
        <v>5825</v>
      </c>
      <c r="AE23" t="s">
        <v>4655</v>
      </c>
      <c r="AF23" t="s">
        <v>646</v>
      </c>
      <c r="AG23" t="s">
        <v>5277</v>
      </c>
      <c r="AH23" t="s">
        <v>647</v>
      </c>
      <c r="AI23" t="s">
        <v>5826</v>
      </c>
      <c r="AJ23" t="s">
        <v>4655</v>
      </c>
      <c r="AK23" t="s">
        <v>5827</v>
      </c>
      <c r="AL23" s="13" t="s">
        <v>2255</v>
      </c>
      <c r="AM23">
        <v>1</v>
      </c>
      <c r="AN23" s="15" t="s">
        <v>2353</v>
      </c>
    </row>
    <row r="24" spans="1:40" x14ac:dyDescent="0.3">
      <c r="A24" s="10" t="str">
        <f>HYPERLINK("http://www.washoecounty.gov/assessor/cama/?parid=001-123-34&amp;CardNumber=1","001-123-34")</f>
        <v>001-123-34</v>
      </c>
      <c r="B24" t="s">
        <v>4655</v>
      </c>
      <c r="C24" t="s">
        <v>5828</v>
      </c>
      <c r="D24" s="1">
        <v>40280</v>
      </c>
      <c r="E24" s="2">
        <v>205000</v>
      </c>
      <c r="F24" t="s">
        <v>4567</v>
      </c>
      <c r="G24" s="17" t="str">
        <f>HYPERLINK("https://www.washoecounty.gov/assessor/cama/?command=sales&amp;parid=00112334","3869902")</f>
        <v>3869902</v>
      </c>
      <c r="H24" t="s">
        <v>2327</v>
      </c>
      <c r="I24">
        <v>1993</v>
      </c>
      <c r="J24">
        <v>1993</v>
      </c>
      <c r="K24" t="s">
        <v>4554</v>
      </c>
      <c r="L24" t="s">
        <v>3974</v>
      </c>
      <c r="M24" s="2">
        <v>1837</v>
      </c>
      <c r="N24" t="s">
        <v>4048</v>
      </c>
      <c r="O24">
        <v>4</v>
      </c>
      <c r="P24">
        <v>2</v>
      </c>
      <c r="Q24">
        <v>1</v>
      </c>
      <c r="R24" t="s">
        <v>4557</v>
      </c>
      <c r="S24" t="s">
        <v>4558</v>
      </c>
      <c r="T24" t="s">
        <v>4559</v>
      </c>
      <c r="U24" t="s">
        <v>4560</v>
      </c>
      <c r="V24" s="2">
        <v>400</v>
      </c>
      <c r="W24" t="s">
        <v>4655</v>
      </c>
      <c r="X24" s="2">
        <v>0</v>
      </c>
      <c r="Y24">
        <v>20</v>
      </c>
      <c r="Z24" t="s">
        <v>4561</v>
      </c>
      <c r="AA24" s="3">
        <v>0.17908631265163399</v>
      </c>
      <c r="AB24" t="s">
        <v>5829</v>
      </c>
      <c r="AC24" t="s">
        <v>4562</v>
      </c>
      <c r="AD24" t="s">
        <v>5828</v>
      </c>
      <c r="AE24" t="s">
        <v>4655</v>
      </c>
      <c r="AF24" t="s">
        <v>4563</v>
      </c>
      <c r="AG24" t="s">
        <v>4564</v>
      </c>
      <c r="AH24">
        <v>89503</v>
      </c>
      <c r="AI24" t="s">
        <v>5830</v>
      </c>
      <c r="AJ24" t="s">
        <v>2328</v>
      </c>
      <c r="AK24" t="s">
        <v>5831</v>
      </c>
      <c r="AL24" s="13" t="s">
        <v>2255</v>
      </c>
      <c r="AM24" s="14">
        <v>1</v>
      </c>
      <c r="AN24" s="15" t="s">
        <v>2353</v>
      </c>
    </row>
    <row r="25" spans="1:40" x14ac:dyDescent="0.3">
      <c r="A25" s="10" t="str">
        <f>HYPERLINK("http://www.washoecounty.gov/assessor/cama/?parid=001-132-20&amp;CardNumber=1","001-132-20")</f>
        <v>001-132-20</v>
      </c>
      <c r="B25" t="s">
        <v>4655</v>
      </c>
      <c r="C25" t="s">
        <v>5832</v>
      </c>
      <c r="D25" s="1">
        <v>40359</v>
      </c>
      <c r="E25" s="2">
        <v>120000</v>
      </c>
      <c r="F25" t="s">
        <v>4567</v>
      </c>
      <c r="G25" s="17" t="str">
        <f>HYPERLINK("https://www.washoecounty.gov/assessor/cama/?command=sales&amp;parid=00113220","3897332")</f>
        <v>3897332</v>
      </c>
      <c r="H25" t="s">
        <v>4200</v>
      </c>
      <c r="I25">
        <v>1965</v>
      </c>
      <c r="J25">
        <v>1965</v>
      </c>
      <c r="K25" t="s">
        <v>4554</v>
      </c>
      <c r="L25" t="s">
        <v>4555</v>
      </c>
      <c r="M25" s="2">
        <v>1296</v>
      </c>
      <c r="N25" t="s">
        <v>4556</v>
      </c>
      <c r="O25">
        <v>4</v>
      </c>
      <c r="P25">
        <v>2</v>
      </c>
      <c r="Q25">
        <v>0</v>
      </c>
      <c r="R25" t="s">
        <v>5281</v>
      </c>
      <c r="S25" t="s">
        <v>4558</v>
      </c>
      <c r="T25" t="s">
        <v>4559</v>
      </c>
      <c r="U25" t="s">
        <v>4560</v>
      </c>
      <c r="V25" s="2">
        <v>483</v>
      </c>
      <c r="W25" t="s">
        <v>4655</v>
      </c>
      <c r="X25" s="2">
        <v>0</v>
      </c>
      <c r="Y25">
        <v>20</v>
      </c>
      <c r="Z25" t="s">
        <v>4561</v>
      </c>
      <c r="AA25" s="3">
        <v>0.14352616667747498</v>
      </c>
      <c r="AB25" t="s">
        <v>5833</v>
      </c>
      <c r="AC25" t="s">
        <v>4575</v>
      </c>
      <c r="AD25" t="s">
        <v>5832</v>
      </c>
      <c r="AE25" t="s">
        <v>4655</v>
      </c>
      <c r="AF25" t="s">
        <v>4563</v>
      </c>
      <c r="AG25" t="s">
        <v>4564</v>
      </c>
      <c r="AH25">
        <v>89503</v>
      </c>
      <c r="AI25" t="s">
        <v>5834</v>
      </c>
      <c r="AJ25" t="s">
        <v>4655</v>
      </c>
      <c r="AK25" t="s">
        <v>5835</v>
      </c>
      <c r="AL25" s="13" t="s">
        <v>2255</v>
      </c>
      <c r="AM25" s="14">
        <v>1</v>
      </c>
      <c r="AN25" s="15" t="s">
        <v>4566</v>
      </c>
    </row>
    <row r="26" spans="1:40" x14ac:dyDescent="0.3">
      <c r="A26" s="10" t="str">
        <f>HYPERLINK("http://www.washoecounty.gov/assessor/cama/?parid=001-143-02&amp;CardNumber=1","001-143-02")</f>
        <v>001-143-02</v>
      </c>
      <c r="B26" t="s">
        <v>4655</v>
      </c>
      <c r="C26" t="s">
        <v>5836</v>
      </c>
      <c r="D26" s="1">
        <v>40484</v>
      </c>
      <c r="E26" s="2">
        <v>129900</v>
      </c>
      <c r="F26" t="s">
        <v>4553</v>
      </c>
      <c r="G26" s="17" t="str">
        <f>HYPERLINK("https://www.washoecounty.gov/assessor/cama/?command=sales&amp;parid=00114302","3938974")</f>
        <v>3938974</v>
      </c>
      <c r="H26" t="s">
        <v>2354</v>
      </c>
      <c r="I26">
        <v>1972</v>
      </c>
      <c r="J26">
        <v>1972</v>
      </c>
      <c r="K26" t="s">
        <v>4554</v>
      </c>
      <c r="L26" t="s">
        <v>3974</v>
      </c>
      <c r="M26" s="2">
        <v>1612</v>
      </c>
      <c r="N26" t="s">
        <v>4556</v>
      </c>
      <c r="O26">
        <v>3</v>
      </c>
      <c r="P26">
        <v>2</v>
      </c>
      <c r="Q26">
        <v>0</v>
      </c>
      <c r="R26" t="s">
        <v>5281</v>
      </c>
      <c r="S26" t="s">
        <v>4558</v>
      </c>
      <c r="T26" t="s">
        <v>4559</v>
      </c>
      <c r="U26" t="s">
        <v>5631</v>
      </c>
      <c r="V26" s="2">
        <v>484</v>
      </c>
      <c r="W26" t="s">
        <v>4655</v>
      </c>
      <c r="X26" s="2">
        <v>0</v>
      </c>
      <c r="Y26">
        <v>20</v>
      </c>
      <c r="Z26" t="s">
        <v>4561</v>
      </c>
      <c r="AA26" s="3">
        <v>0.16939853131771099</v>
      </c>
      <c r="AB26" t="s">
        <v>5837</v>
      </c>
      <c r="AC26" t="s">
        <v>4562</v>
      </c>
      <c r="AD26" t="s">
        <v>5838</v>
      </c>
      <c r="AE26" t="s">
        <v>4655</v>
      </c>
      <c r="AF26" t="s">
        <v>4563</v>
      </c>
      <c r="AG26" t="s">
        <v>4564</v>
      </c>
      <c r="AH26">
        <v>89503</v>
      </c>
      <c r="AI26" t="s">
        <v>4655</v>
      </c>
      <c r="AJ26" t="s">
        <v>4655</v>
      </c>
      <c r="AK26" t="s">
        <v>5839</v>
      </c>
      <c r="AL26" s="13" t="s">
        <v>2255</v>
      </c>
      <c r="AM26">
        <v>1</v>
      </c>
      <c r="AN26" s="15" t="s">
        <v>4566</v>
      </c>
    </row>
    <row r="27" spans="1:40" x14ac:dyDescent="0.3">
      <c r="A27" s="10" t="str">
        <f>HYPERLINK("http://www.washoecounty.gov/assessor/cama/?parid=001-143-04&amp;CardNumber=1","001-143-04")</f>
        <v>001-143-04</v>
      </c>
      <c r="B27" t="s">
        <v>4655</v>
      </c>
      <c r="C27" t="s">
        <v>5840</v>
      </c>
      <c r="D27" s="1">
        <v>40191</v>
      </c>
      <c r="E27" s="2">
        <v>150000</v>
      </c>
      <c r="F27" t="s">
        <v>4553</v>
      </c>
      <c r="G27" s="17" t="str">
        <f>HYPERLINK("https://www.washoecounty.gov/assessor/cama/?command=sales&amp;parid=00114304","3838715")</f>
        <v>3838715</v>
      </c>
      <c r="H27" t="s">
        <v>2354</v>
      </c>
      <c r="I27">
        <v>1972</v>
      </c>
      <c r="J27">
        <v>1972</v>
      </c>
      <c r="K27" t="s">
        <v>4554</v>
      </c>
      <c r="L27" t="s">
        <v>3974</v>
      </c>
      <c r="M27" s="2">
        <v>1612</v>
      </c>
      <c r="N27" t="s">
        <v>4556</v>
      </c>
      <c r="O27">
        <v>3</v>
      </c>
      <c r="P27">
        <v>2</v>
      </c>
      <c r="Q27">
        <v>0</v>
      </c>
      <c r="R27" t="s">
        <v>4557</v>
      </c>
      <c r="S27" t="s">
        <v>4558</v>
      </c>
      <c r="T27" t="s">
        <v>4559</v>
      </c>
      <c r="U27" t="s">
        <v>5631</v>
      </c>
      <c r="V27" s="2">
        <v>484</v>
      </c>
      <c r="W27" t="s">
        <v>4655</v>
      </c>
      <c r="X27" s="2">
        <v>0</v>
      </c>
      <c r="Y27">
        <v>20</v>
      </c>
      <c r="Z27" t="s">
        <v>4561</v>
      </c>
      <c r="AA27" s="3">
        <v>0.15426997840404499</v>
      </c>
      <c r="AB27" t="s">
        <v>5841</v>
      </c>
      <c r="AC27" t="s">
        <v>4562</v>
      </c>
      <c r="AD27" t="s">
        <v>5842</v>
      </c>
      <c r="AE27" t="s">
        <v>4655</v>
      </c>
      <c r="AF27" t="s">
        <v>4563</v>
      </c>
      <c r="AG27" t="s">
        <v>4564</v>
      </c>
      <c r="AH27">
        <v>89503</v>
      </c>
      <c r="AI27" t="s">
        <v>4903</v>
      </c>
      <c r="AJ27" t="s">
        <v>4655</v>
      </c>
      <c r="AK27" t="s">
        <v>5843</v>
      </c>
      <c r="AL27" s="13" t="s">
        <v>2255</v>
      </c>
      <c r="AM27" s="14">
        <v>1</v>
      </c>
      <c r="AN27" s="15" t="s">
        <v>4566</v>
      </c>
    </row>
    <row r="28" spans="1:40" x14ac:dyDescent="0.3">
      <c r="A28" s="10" t="str">
        <f>HYPERLINK("http://www.washoecounty.gov/assessor/cama/?parid=001-151-04&amp;CardNumber=1","001-151-04")</f>
        <v>001-151-04</v>
      </c>
      <c r="B28" t="s">
        <v>4655</v>
      </c>
      <c r="C28" t="s">
        <v>5844</v>
      </c>
      <c r="D28" s="1">
        <v>40252</v>
      </c>
      <c r="E28" s="2">
        <v>161000</v>
      </c>
      <c r="F28" t="s">
        <v>4567</v>
      </c>
      <c r="G28" s="17" t="str">
        <f>HYPERLINK("https://www.washoecounty.gov/assessor/cama/?command=sales&amp;parid=00115104","3859840")</f>
        <v>3859840</v>
      </c>
      <c r="H28" t="s">
        <v>2354</v>
      </c>
      <c r="I28">
        <v>1972</v>
      </c>
      <c r="J28">
        <v>1972</v>
      </c>
      <c r="K28" t="s">
        <v>4554</v>
      </c>
      <c r="L28" t="s">
        <v>3974</v>
      </c>
      <c r="M28" s="2">
        <v>1976</v>
      </c>
      <c r="N28" t="s">
        <v>4556</v>
      </c>
      <c r="O28">
        <v>4</v>
      </c>
      <c r="P28">
        <v>2</v>
      </c>
      <c r="Q28">
        <v>0</v>
      </c>
      <c r="R28" t="s">
        <v>4557</v>
      </c>
      <c r="S28" t="s">
        <v>3148</v>
      </c>
      <c r="T28" t="s">
        <v>4559</v>
      </c>
      <c r="U28" t="s">
        <v>5631</v>
      </c>
      <c r="V28" s="2">
        <v>520</v>
      </c>
      <c r="W28" t="s">
        <v>4655</v>
      </c>
      <c r="X28" s="2">
        <v>0</v>
      </c>
      <c r="Y28">
        <v>20</v>
      </c>
      <c r="Z28" t="s">
        <v>4561</v>
      </c>
      <c r="AA28" s="3">
        <v>0.13999082148075101</v>
      </c>
      <c r="AB28" t="s">
        <v>5845</v>
      </c>
      <c r="AC28" t="s">
        <v>4562</v>
      </c>
      <c r="AD28" t="s">
        <v>5844</v>
      </c>
      <c r="AE28" t="s">
        <v>4655</v>
      </c>
      <c r="AF28" t="s">
        <v>4563</v>
      </c>
      <c r="AG28" t="s">
        <v>4564</v>
      </c>
      <c r="AH28">
        <v>89503</v>
      </c>
      <c r="AI28" t="s">
        <v>5846</v>
      </c>
      <c r="AJ28" t="s">
        <v>4655</v>
      </c>
      <c r="AK28" t="s">
        <v>5847</v>
      </c>
      <c r="AL28" s="13" t="s">
        <v>2255</v>
      </c>
      <c r="AM28" s="14">
        <v>1</v>
      </c>
      <c r="AN28" s="15" t="s">
        <v>4566</v>
      </c>
    </row>
    <row r="29" spans="1:40" x14ac:dyDescent="0.3">
      <c r="A29" s="10" t="str">
        <f>HYPERLINK("http://www.washoecounty.gov/assessor/cama/?parid=001-151-05&amp;CardNumber=1","001-151-05")</f>
        <v>001-151-05</v>
      </c>
      <c r="B29" t="s">
        <v>4655</v>
      </c>
      <c r="C29" t="s">
        <v>5848</v>
      </c>
      <c r="D29" s="1">
        <v>40414</v>
      </c>
      <c r="E29" s="2">
        <v>128000</v>
      </c>
      <c r="F29" t="s">
        <v>4553</v>
      </c>
      <c r="G29" s="17" t="str">
        <f>HYPERLINK("https://www.washoecounty.gov/assessor/cama/?command=sales&amp;parid=00115105","3915080")</f>
        <v>3915080</v>
      </c>
      <c r="H29" t="s">
        <v>5849</v>
      </c>
      <c r="I29">
        <v>1972</v>
      </c>
      <c r="J29">
        <v>1972</v>
      </c>
      <c r="K29" t="s">
        <v>4554</v>
      </c>
      <c r="L29" t="s">
        <v>2170</v>
      </c>
      <c r="M29" s="2">
        <v>1668</v>
      </c>
      <c r="N29" t="s">
        <v>4556</v>
      </c>
      <c r="O29">
        <v>3</v>
      </c>
      <c r="P29">
        <v>2</v>
      </c>
      <c r="Q29">
        <v>1</v>
      </c>
      <c r="R29" t="s">
        <v>4557</v>
      </c>
      <c r="S29" t="s">
        <v>4558</v>
      </c>
      <c r="T29" t="s">
        <v>4559</v>
      </c>
      <c r="U29" t="s">
        <v>5631</v>
      </c>
      <c r="V29" s="2">
        <v>572</v>
      </c>
      <c r="W29" t="s">
        <v>4655</v>
      </c>
      <c r="X29" s="2">
        <v>0</v>
      </c>
      <c r="Y29">
        <v>20</v>
      </c>
      <c r="Z29" t="s">
        <v>4561</v>
      </c>
      <c r="AA29" s="3">
        <v>0.14400826394558</v>
      </c>
      <c r="AB29" t="s">
        <v>5850</v>
      </c>
      <c r="AC29" t="s">
        <v>4562</v>
      </c>
      <c r="AD29" t="s">
        <v>5848</v>
      </c>
      <c r="AE29" t="s">
        <v>4655</v>
      </c>
      <c r="AF29" t="s">
        <v>4563</v>
      </c>
      <c r="AG29" t="s">
        <v>4564</v>
      </c>
      <c r="AH29">
        <v>89503</v>
      </c>
      <c r="AI29" t="s">
        <v>4565</v>
      </c>
      <c r="AJ29" t="s">
        <v>4655</v>
      </c>
      <c r="AK29" t="s">
        <v>5851</v>
      </c>
      <c r="AL29" s="13" t="s">
        <v>2255</v>
      </c>
      <c r="AM29">
        <v>1</v>
      </c>
      <c r="AN29" s="15" t="s">
        <v>4566</v>
      </c>
    </row>
    <row r="30" spans="1:40" x14ac:dyDescent="0.3">
      <c r="A30" s="10" t="str">
        <f>HYPERLINK("http://www.washoecounty.gov/assessor/cama/?parid=001-161-14&amp;CardNumber=1","001-161-14")</f>
        <v>001-161-14</v>
      </c>
      <c r="B30" t="s">
        <v>4655</v>
      </c>
      <c r="C30" t="s">
        <v>5852</v>
      </c>
      <c r="D30" s="1">
        <v>40434</v>
      </c>
      <c r="E30" s="2">
        <v>216000</v>
      </c>
      <c r="F30" t="s">
        <v>4567</v>
      </c>
      <c r="G30" s="17" t="str">
        <f>HYPERLINK("https://www.washoecounty.gov/assessor/cama/?command=sales&amp;parid=00116114","3921549")</f>
        <v>3921549</v>
      </c>
      <c r="H30" t="s">
        <v>2327</v>
      </c>
      <c r="I30">
        <v>1994</v>
      </c>
      <c r="J30">
        <v>1994</v>
      </c>
      <c r="K30" t="s">
        <v>4554</v>
      </c>
      <c r="L30" t="s">
        <v>3974</v>
      </c>
      <c r="M30" s="2">
        <v>2178</v>
      </c>
      <c r="N30" t="s">
        <v>4048</v>
      </c>
      <c r="O30">
        <v>3</v>
      </c>
      <c r="P30">
        <v>2</v>
      </c>
      <c r="Q30">
        <v>1</v>
      </c>
      <c r="R30" t="s">
        <v>5281</v>
      </c>
      <c r="S30" t="s">
        <v>4558</v>
      </c>
      <c r="T30" t="s">
        <v>4559</v>
      </c>
      <c r="U30" t="s">
        <v>5631</v>
      </c>
      <c r="V30" s="2">
        <v>418</v>
      </c>
      <c r="W30" t="s">
        <v>4655</v>
      </c>
      <c r="X30" s="2">
        <v>0</v>
      </c>
      <c r="Y30">
        <v>20</v>
      </c>
      <c r="Z30" t="s">
        <v>4561</v>
      </c>
      <c r="AA30" s="3">
        <v>0.23583562672138214</v>
      </c>
      <c r="AB30" t="s">
        <v>5853</v>
      </c>
      <c r="AC30" t="s">
        <v>4575</v>
      </c>
      <c r="AD30" t="s">
        <v>5854</v>
      </c>
      <c r="AE30" t="s">
        <v>4655</v>
      </c>
      <c r="AF30" t="s">
        <v>4563</v>
      </c>
      <c r="AG30" t="s">
        <v>4564</v>
      </c>
      <c r="AH30">
        <v>89503</v>
      </c>
      <c r="AI30" t="s">
        <v>5855</v>
      </c>
      <c r="AJ30" t="s">
        <v>2328</v>
      </c>
      <c r="AK30" t="s">
        <v>5856</v>
      </c>
      <c r="AL30" s="13" t="s">
        <v>2255</v>
      </c>
      <c r="AM30">
        <v>1</v>
      </c>
      <c r="AN30" s="15" t="s">
        <v>2353</v>
      </c>
    </row>
    <row r="31" spans="1:40" x14ac:dyDescent="0.3">
      <c r="A31" s="10" t="str">
        <f>HYPERLINK("http://www.washoecounty.gov/assessor/cama/?parid=001-161-14&amp;CardNumber=1","001-161-14")</f>
        <v>001-161-14</v>
      </c>
      <c r="B31" t="s">
        <v>4655</v>
      </c>
      <c r="C31" t="s">
        <v>5852</v>
      </c>
      <c r="D31" s="1">
        <v>40322</v>
      </c>
      <c r="E31" s="2">
        <v>90000</v>
      </c>
      <c r="F31" t="s">
        <v>4553</v>
      </c>
      <c r="G31" s="17" t="str">
        <f>HYPERLINK("https://www.washoecounty.gov/assessor/cama/?command=sales&amp;parid=00116114","3884420")</f>
        <v>3884420</v>
      </c>
      <c r="H31" t="s">
        <v>2327</v>
      </c>
      <c r="I31">
        <v>1994</v>
      </c>
      <c r="J31">
        <v>1994</v>
      </c>
      <c r="K31" t="s">
        <v>4554</v>
      </c>
      <c r="L31" t="s">
        <v>3974</v>
      </c>
      <c r="M31" s="2">
        <v>2178</v>
      </c>
      <c r="N31" t="s">
        <v>4048</v>
      </c>
      <c r="O31">
        <v>3</v>
      </c>
      <c r="P31">
        <v>2</v>
      </c>
      <c r="Q31">
        <v>1</v>
      </c>
      <c r="R31" t="s">
        <v>5281</v>
      </c>
      <c r="S31" t="s">
        <v>4558</v>
      </c>
      <c r="T31" t="s">
        <v>4559</v>
      </c>
      <c r="U31" t="s">
        <v>5631</v>
      </c>
      <c r="V31" s="2">
        <v>418</v>
      </c>
      <c r="W31" t="s">
        <v>4655</v>
      </c>
      <c r="X31" s="2">
        <v>0</v>
      </c>
      <c r="Y31">
        <v>20</v>
      </c>
      <c r="Z31" t="s">
        <v>4561</v>
      </c>
      <c r="AA31" s="3">
        <v>0.23583562672138214</v>
      </c>
      <c r="AB31" t="s">
        <v>5853</v>
      </c>
      <c r="AC31" t="s">
        <v>4575</v>
      </c>
      <c r="AD31" t="s">
        <v>5854</v>
      </c>
      <c r="AE31" t="s">
        <v>4655</v>
      </c>
      <c r="AF31" t="s">
        <v>4563</v>
      </c>
      <c r="AG31" t="s">
        <v>4564</v>
      </c>
      <c r="AH31">
        <v>89503</v>
      </c>
      <c r="AI31" t="s">
        <v>5855</v>
      </c>
      <c r="AJ31" t="s">
        <v>2328</v>
      </c>
      <c r="AK31" t="s">
        <v>5856</v>
      </c>
      <c r="AL31" s="13" t="s">
        <v>2255</v>
      </c>
      <c r="AM31">
        <v>1</v>
      </c>
      <c r="AN31" s="15" t="s">
        <v>2353</v>
      </c>
    </row>
    <row r="32" spans="1:40" x14ac:dyDescent="0.3">
      <c r="A32" s="10" t="str">
        <f>HYPERLINK("http://www.washoecounty.gov/assessor/cama/?parid=001-161-21&amp;CardNumber=1","001-161-21")</f>
        <v>001-161-21</v>
      </c>
      <c r="B32" t="s">
        <v>4655</v>
      </c>
      <c r="C32" t="s">
        <v>5857</v>
      </c>
      <c r="D32" s="1">
        <v>40477</v>
      </c>
      <c r="E32" s="2">
        <v>185500</v>
      </c>
      <c r="F32" t="s">
        <v>4567</v>
      </c>
      <c r="G32" s="17" t="str">
        <f>HYPERLINK("https://www.washoecounty.gov/assessor/cama/?command=sales&amp;parid=00116121","3936705")</f>
        <v>3936705</v>
      </c>
      <c r="H32" t="s">
        <v>2327</v>
      </c>
      <c r="I32">
        <v>1994</v>
      </c>
      <c r="J32">
        <v>1994</v>
      </c>
      <c r="K32" t="s">
        <v>4554</v>
      </c>
      <c r="L32" t="s">
        <v>3974</v>
      </c>
      <c r="M32" s="2">
        <v>1842</v>
      </c>
      <c r="N32" t="s">
        <v>4048</v>
      </c>
      <c r="O32">
        <v>4</v>
      </c>
      <c r="P32">
        <v>2</v>
      </c>
      <c r="Q32">
        <v>1</v>
      </c>
      <c r="R32" t="s">
        <v>4557</v>
      </c>
      <c r="S32" t="s">
        <v>4558</v>
      </c>
      <c r="T32" t="s">
        <v>4559</v>
      </c>
      <c r="U32" t="s">
        <v>4560</v>
      </c>
      <c r="V32" s="2">
        <v>600</v>
      </c>
      <c r="W32" t="s">
        <v>4655</v>
      </c>
      <c r="X32" s="2">
        <v>0</v>
      </c>
      <c r="Y32">
        <v>20</v>
      </c>
      <c r="Z32" t="s">
        <v>4561</v>
      </c>
      <c r="AA32" s="3">
        <v>0.44097796082496599</v>
      </c>
      <c r="AB32" t="s">
        <v>5858</v>
      </c>
      <c r="AC32" t="s">
        <v>4562</v>
      </c>
      <c r="AD32" t="s">
        <v>5859</v>
      </c>
      <c r="AE32" t="s">
        <v>4655</v>
      </c>
      <c r="AF32" t="s">
        <v>4563</v>
      </c>
      <c r="AG32" t="s">
        <v>4564</v>
      </c>
      <c r="AH32">
        <v>89509</v>
      </c>
      <c r="AI32" t="s">
        <v>5860</v>
      </c>
      <c r="AJ32" t="s">
        <v>2328</v>
      </c>
      <c r="AK32" t="s">
        <v>5861</v>
      </c>
      <c r="AL32" s="13" t="s">
        <v>2255</v>
      </c>
      <c r="AM32" s="14">
        <v>1</v>
      </c>
      <c r="AN32" s="15" t="s">
        <v>2353</v>
      </c>
    </row>
    <row r="33" spans="1:40" x14ac:dyDescent="0.3">
      <c r="A33" s="10" t="str">
        <f>HYPERLINK("http://www.washoecounty.gov/assessor/cama/?parid=001-161-24&amp;CardNumber=1","001-161-24")</f>
        <v>001-161-24</v>
      </c>
      <c r="B33" t="s">
        <v>4655</v>
      </c>
      <c r="C33" t="s">
        <v>5862</v>
      </c>
      <c r="D33" s="1">
        <v>40211</v>
      </c>
      <c r="E33" s="2">
        <v>220000</v>
      </c>
      <c r="F33" t="s">
        <v>4567</v>
      </c>
      <c r="G33" s="17" t="str">
        <f>HYPERLINK("https://www.washoecounty.gov/assessor/cama/?command=sales&amp;parid=00116124","3845482")</f>
        <v>3845482</v>
      </c>
      <c r="H33" t="s">
        <v>2327</v>
      </c>
      <c r="I33">
        <v>1994</v>
      </c>
      <c r="J33">
        <v>1994</v>
      </c>
      <c r="K33" t="s">
        <v>4554</v>
      </c>
      <c r="L33" t="s">
        <v>3974</v>
      </c>
      <c r="M33" s="2">
        <v>2178</v>
      </c>
      <c r="N33" t="s">
        <v>4048</v>
      </c>
      <c r="O33">
        <v>3</v>
      </c>
      <c r="P33">
        <v>2</v>
      </c>
      <c r="Q33">
        <v>1</v>
      </c>
      <c r="R33" t="s">
        <v>5281</v>
      </c>
      <c r="S33" t="s">
        <v>4558</v>
      </c>
      <c r="T33" t="s">
        <v>4559</v>
      </c>
      <c r="U33" t="s">
        <v>5631</v>
      </c>
      <c r="V33" s="2">
        <v>418</v>
      </c>
      <c r="W33" t="s">
        <v>4655</v>
      </c>
      <c r="X33" s="2">
        <v>0</v>
      </c>
      <c r="Y33">
        <v>20</v>
      </c>
      <c r="Z33" t="s">
        <v>4561</v>
      </c>
      <c r="AA33" s="3">
        <v>0.20762166380882299</v>
      </c>
      <c r="AB33" t="s">
        <v>5863</v>
      </c>
      <c r="AC33" t="s">
        <v>4562</v>
      </c>
      <c r="AD33" t="s">
        <v>5862</v>
      </c>
      <c r="AE33" t="s">
        <v>4655</v>
      </c>
      <c r="AF33" t="s">
        <v>4563</v>
      </c>
      <c r="AG33" t="s">
        <v>4564</v>
      </c>
      <c r="AH33">
        <v>89503</v>
      </c>
      <c r="AI33" t="s">
        <v>5864</v>
      </c>
      <c r="AJ33" t="s">
        <v>2328</v>
      </c>
      <c r="AK33" t="s">
        <v>5865</v>
      </c>
      <c r="AL33" s="13" t="s">
        <v>2255</v>
      </c>
      <c r="AM33">
        <v>1</v>
      </c>
      <c r="AN33" s="15" t="s">
        <v>2353</v>
      </c>
    </row>
    <row r="34" spans="1:40" x14ac:dyDescent="0.3">
      <c r="A34" s="10" t="str">
        <f>HYPERLINK("http://www.washoecounty.gov/assessor/cama/?parid=001-200-02&amp;CardNumber=1","001-200-02")</f>
        <v>001-200-02</v>
      </c>
      <c r="B34" t="s">
        <v>4655</v>
      </c>
      <c r="C34" t="s">
        <v>5866</v>
      </c>
      <c r="D34" s="1">
        <v>40417</v>
      </c>
      <c r="E34" s="2">
        <v>130000</v>
      </c>
      <c r="F34" t="s">
        <v>4567</v>
      </c>
      <c r="G34" s="17" t="str">
        <f>HYPERLINK("https://www.washoecounty.gov/assessor/cama/?command=sales&amp;parid=00120002","3916486")</f>
        <v>3916486</v>
      </c>
      <c r="H34" t="s">
        <v>3790</v>
      </c>
      <c r="I34">
        <v>1960</v>
      </c>
      <c r="J34">
        <v>1964</v>
      </c>
      <c r="K34" t="s">
        <v>4554</v>
      </c>
      <c r="L34" t="s">
        <v>4555</v>
      </c>
      <c r="M34" s="2">
        <v>1508</v>
      </c>
      <c r="N34" t="s">
        <v>4556</v>
      </c>
      <c r="O34">
        <v>3</v>
      </c>
      <c r="P34">
        <v>1</v>
      </c>
      <c r="Q34">
        <v>0</v>
      </c>
      <c r="R34" t="s">
        <v>5281</v>
      </c>
      <c r="S34" t="s">
        <v>3148</v>
      </c>
      <c r="T34" t="s">
        <v>4559</v>
      </c>
      <c r="U34" t="s">
        <v>4655</v>
      </c>
      <c r="V34" s="2">
        <v>0</v>
      </c>
      <c r="W34" t="s">
        <v>4655</v>
      </c>
      <c r="X34" s="2">
        <v>0</v>
      </c>
      <c r="Y34">
        <v>20</v>
      </c>
      <c r="Z34" t="s">
        <v>1077</v>
      </c>
      <c r="AA34" s="3">
        <v>0.4152892529964447</v>
      </c>
      <c r="AB34" t="s">
        <v>5867</v>
      </c>
      <c r="AC34" t="s">
        <v>4562</v>
      </c>
      <c r="AD34" t="s">
        <v>5868</v>
      </c>
      <c r="AE34" t="s">
        <v>4655</v>
      </c>
      <c r="AF34" t="s">
        <v>3660</v>
      </c>
      <c r="AG34" t="s">
        <v>4584</v>
      </c>
      <c r="AH34" t="s">
        <v>3307</v>
      </c>
      <c r="AI34" t="s">
        <v>5869</v>
      </c>
      <c r="AJ34" t="s">
        <v>4655</v>
      </c>
      <c r="AK34" t="s">
        <v>5870</v>
      </c>
      <c r="AL34" s="13" t="s">
        <v>2255</v>
      </c>
      <c r="AM34">
        <v>1</v>
      </c>
      <c r="AN34" s="15" t="s">
        <v>4566</v>
      </c>
    </row>
    <row r="35" spans="1:40" x14ac:dyDescent="0.3">
      <c r="A35" s="10" t="str">
        <f>HYPERLINK("http://www.washoecounty.gov/assessor/cama/?parid=001-233-07&amp;CardNumber=1","001-233-07")</f>
        <v>001-233-07</v>
      </c>
      <c r="B35" t="s">
        <v>4655</v>
      </c>
      <c r="C35" t="s">
        <v>5871</v>
      </c>
      <c r="D35" s="1">
        <v>40437</v>
      </c>
      <c r="E35" s="2">
        <v>138900</v>
      </c>
      <c r="F35" t="s">
        <v>4567</v>
      </c>
      <c r="G35" s="17" t="str">
        <f>HYPERLINK("https://www.washoecounty.gov/assessor/cama/?command=sales&amp;parid=00123307","3923166")</f>
        <v>3923166</v>
      </c>
      <c r="H35" t="s">
        <v>3663</v>
      </c>
      <c r="I35">
        <v>1964</v>
      </c>
      <c r="J35">
        <v>1964</v>
      </c>
      <c r="K35" t="s">
        <v>4554</v>
      </c>
      <c r="L35" t="s">
        <v>2170</v>
      </c>
      <c r="M35" s="2">
        <v>1669</v>
      </c>
      <c r="N35" t="s">
        <v>4556</v>
      </c>
      <c r="O35">
        <v>3</v>
      </c>
      <c r="P35">
        <v>3</v>
      </c>
      <c r="Q35">
        <v>0</v>
      </c>
      <c r="R35" t="s">
        <v>4557</v>
      </c>
      <c r="S35" t="s">
        <v>4574</v>
      </c>
      <c r="T35" t="s">
        <v>4559</v>
      </c>
      <c r="U35" t="s">
        <v>4560</v>
      </c>
      <c r="V35" s="2">
        <v>277</v>
      </c>
      <c r="W35" t="s">
        <v>4655</v>
      </c>
      <c r="X35" s="2">
        <v>0</v>
      </c>
      <c r="Y35">
        <v>20</v>
      </c>
      <c r="Z35" t="s">
        <v>4561</v>
      </c>
      <c r="AA35" s="3">
        <v>0.15300734341144601</v>
      </c>
      <c r="AB35" t="s">
        <v>5872</v>
      </c>
      <c r="AC35" t="s">
        <v>4575</v>
      </c>
      <c r="AD35" t="s">
        <v>5873</v>
      </c>
      <c r="AE35" t="s">
        <v>4655</v>
      </c>
      <c r="AF35" t="s">
        <v>4563</v>
      </c>
      <c r="AG35" t="s">
        <v>4564</v>
      </c>
      <c r="AH35">
        <v>89503</v>
      </c>
      <c r="AI35" t="s">
        <v>5874</v>
      </c>
      <c r="AJ35" t="s">
        <v>4655</v>
      </c>
      <c r="AK35" t="s">
        <v>5875</v>
      </c>
      <c r="AL35" s="13" t="s">
        <v>2255</v>
      </c>
      <c r="AM35">
        <v>1</v>
      </c>
      <c r="AN35" s="15" t="s">
        <v>4566</v>
      </c>
    </row>
    <row r="36" spans="1:40" x14ac:dyDescent="0.3">
      <c r="A36" s="10" t="str">
        <f>HYPERLINK("http://www.washoecounty.gov/assessor/cama/?parid=001-233-10&amp;CardNumber=1","001-233-10")</f>
        <v>001-233-10</v>
      </c>
      <c r="B36" t="s">
        <v>4655</v>
      </c>
      <c r="C36" t="s">
        <v>5876</v>
      </c>
      <c r="D36" s="1">
        <v>40372</v>
      </c>
      <c r="E36" s="2">
        <v>167000</v>
      </c>
      <c r="F36" t="s">
        <v>4567</v>
      </c>
      <c r="G36" s="17" t="str">
        <f>HYPERLINK("https://www.washoecounty.gov/assessor/cama/?command=sales&amp;parid=00123310","3900753")</f>
        <v>3900753</v>
      </c>
      <c r="H36" t="s">
        <v>3663</v>
      </c>
      <c r="I36">
        <v>1964</v>
      </c>
      <c r="J36">
        <v>1974</v>
      </c>
      <c r="K36" t="s">
        <v>4554</v>
      </c>
      <c r="L36" t="s">
        <v>3974</v>
      </c>
      <c r="M36" s="2">
        <v>2076</v>
      </c>
      <c r="N36" t="s">
        <v>4556</v>
      </c>
      <c r="O36">
        <v>6</v>
      </c>
      <c r="P36">
        <v>3</v>
      </c>
      <c r="Q36">
        <v>0</v>
      </c>
      <c r="R36" t="s">
        <v>4557</v>
      </c>
      <c r="S36" t="s">
        <v>4135</v>
      </c>
      <c r="T36" t="s">
        <v>4559</v>
      </c>
      <c r="U36" t="s">
        <v>5631</v>
      </c>
      <c r="V36" s="2">
        <v>252</v>
      </c>
      <c r="W36" t="s">
        <v>4655</v>
      </c>
      <c r="X36" s="2">
        <v>0</v>
      </c>
      <c r="Y36">
        <v>20</v>
      </c>
      <c r="Z36" t="s">
        <v>4561</v>
      </c>
      <c r="AA36" s="3">
        <v>0.13700643181800801</v>
      </c>
      <c r="AB36" t="s">
        <v>5877</v>
      </c>
      <c r="AC36" t="s">
        <v>4562</v>
      </c>
      <c r="AD36" t="s">
        <v>5878</v>
      </c>
      <c r="AE36" t="s">
        <v>4655</v>
      </c>
      <c r="AF36" t="s">
        <v>1189</v>
      </c>
      <c r="AG36" t="s">
        <v>4564</v>
      </c>
      <c r="AH36" t="s">
        <v>1621</v>
      </c>
      <c r="AI36" t="s">
        <v>5879</v>
      </c>
      <c r="AJ36" t="s">
        <v>4655</v>
      </c>
      <c r="AK36" t="s">
        <v>5880</v>
      </c>
      <c r="AL36" s="13" t="s">
        <v>2255</v>
      </c>
      <c r="AM36">
        <v>1</v>
      </c>
      <c r="AN36" s="15" t="s">
        <v>4566</v>
      </c>
    </row>
    <row r="37" spans="1:40" x14ac:dyDescent="0.3">
      <c r="A37" s="10" t="str">
        <f>HYPERLINK("http://www.washoecounty.gov/assessor/cama/?parid=001-233-15&amp;CardNumber=1","001-233-15")</f>
        <v>001-233-15</v>
      </c>
      <c r="B37" t="s">
        <v>4655</v>
      </c>
      <c r="C37" t="s">
        <v>5881</v>
      </c>
      <c r="D37" s="1">
        <v>40368</v>
      </c>
      <c r="E37" s="2">
        <v>88000</v>
      </c>
      <c r="F37" t="s">
        <v>4567</v>
      </c>
      <c r="G37" s="17" t="str">
        <f>HYPERLINK("https://www.washoecounty.gov/assessor/cama/?command=sales&amp;parid=00123315","3899766")</f>
        <v>3899766</v>
      </c>
      <c r="H37" t="s">
        <v>3663</v>
      </c>
      <c r="I37">
        <v>1964</v>
      </c>
      <c r="J37">
        <v>1964</v>
      </c>
      <c r="K37" t="s">
        <v>4554</v>
      </c>
      <c r="L37" t="s">
        <v>4555</v>
      </c>
      <c r="M37" s="2">
        <v>988</v>
      </c>
      <c r="N37" t="s">
        <v>4556</v>
      </c>
      <c r="O37">
        <v>3</v>
      </c>
      <c r="P37">
        <v>2</v>
      </c>
      <c r="Q37">
        <v>0</v>
      </c>
      <c r="R37" t="s">
        <v>4557</v>
      </c>
      <c r="S37" t="s">
        <v>4558</v>
      </c>
      <c r="T37" t="s">
        <v>4559</v>
      </c>
      <c r="U37" t="s">
        <v>4560</v>
      </c>
      <c r="V37" s="2">
        <v>504</v>
      </c>
      <c r="W37" t="s">
        <v>4655</v>
      </c>
      <c r="X37" s="2">
        <v>0</v>
      </c>
      <c r="Y37">
        <v>20</v>
      </c>
      <c r="Z37" t="s">
        <v>4561</v>
      </c>
      <c r="AA37" s="3">
        <v>0.13700643181800801</v>
      </c>
      <c r="AB37" t="s">
        <v>5882</v>
      </c>
      <c r="AC37" t="s">
        <v>4575</v>
      </c>
      <c r="AD37" t="s">
        <v>5883</v>
      </c>
      <c r="AE37" t="s">
        <v>5884</v>
      </c>
      <c r="AF37" t="s">
        <v>3664</v>
      </c>
      <c r="AG37" t="s">
        <v>4209</v>
      </c>
      <c r="AH37">
        <v>80401</v>
      </c>
      <c r="AI37" t="s">
        <v>5885</v>
      </c>
      <c r="AJ37" t="s">
        <v>4655</v>
      </c>
      <c r="AK37" t="s">
        <v>5886</v>
      </c>
      <c r="AL37" s="13" t="s">
        <v>2255</v>
      </c>
      <c r="AM37">
        <v>1</v>
      </c>
      <c r="AN37" s="15" t="s">
        <v>4566</v>
      </c>
    </row>
    <row r="38" spans="1:40" x14ac:dyDescent="0.3">
      <c r="A38" s="10" t="str">
        <f>HYPERLINK("http://www.washoecounty.gov/assessor/cama/?parid=001-234-01&amp;CardNumber=1","001-234-01")</f>
        <v>001-234-01</v>
      </c>
      <c r="B38" t="s">
        <v>4655</v>
      </c>
      <c r="C38" t="s">
        <v>5887</v>
      </c>
      <c r="D38" s="1">
        <v>40456</v>
      </c>
      <c r="E38" s="2">
        <v>110000</v>
      </c>
      <c r="F38" t="s">
        <v>4553</v>
      </c>
      <c r="G38" s="17" t="str">
        <f>HYPERLINK("https://www.washoecounty.gov/assessor/cama/?command=sales&amp;parid=00123401","3929887")</f>
        <v>3929887</v>
      </c>
      <c r="H38" t="s">
        <v>3663</v>
      </c>
      <c r="I38">
        <v>1964</v>
      </c>
      <c r="J38">
        <v>1964</v>
      </c>
      <c r="K38" t="s">
        <v>4554</v>
      </c>
      <c r="L38" t="s">
        <v>4555</v>
      </c>
      <c r="M38" s="2">
        <v>988</v>
      </c>
      <c r="N38" t="s">
        <v>4556</v>
      </c>
      <c r="O38">
        <v>3</v>
      </c>
      <c r="P38">
        <v>2</v>
      </c>
      <c r="Q38">
        <v>0</v>
      </c>
      <c r="R38" t="s">
        <v>4557</v>
      </c>
      <c r="S38" t="s">
        <v>4558</v>
      </c>
      <c r="T38" t="s">
        <v>4559</v>
      </c>
      <c r="U38" t="s">
        <v>4560</v>
      </c>
      <c r="V38" s="2">
        <v>504</v>
      </c>
      <c r="W38" t="s">
        <v>4655</v>
      </c>
      <c r="X38" s="2">
        <v>0</v>
      </c>
      <c r="Y38">
        <v>20</v>
      </c>
      <c r="Z38" t="s">
        <v>4561</v>
      </c>
      <c r="AA38" s="3">
        <v>0.13799357414245605</v>
      </c>
      <c r="AB38" t="s">
        <v>5888</v>
      </c>
      <c r="AC38" t="s">
        <v>4562</v>
      </c>
      <c r="AD38" t="s">
        <v>5887</v>
      </c>
      <c r="AE38" t="s">
        <v>4655</v>
      </c>
      <c r="AF38" t="s">
        <v>4563</v>
      </c>
      <c r="AG38" t="s">
        <v>4564</v>
      </c>
      <c r="AH38">
        <v>89503</v>
      </c>
      <c r="AI38" t="s">
        <v>4565</v>
      </c>
      <c r="AJ38" t="s">
        <v>4655</v>
      </c>
      <c r="AK38" t="s">
        <v>5889</v>
      </c>
      <c r="AL38" s="13" t="s">
        <v>2255</v>
      </c>
      <c r="AM38" s="14">
        <v>1</v>
      </c>
      <c r="AN38" s="15" t="s">
        <v>4566</v>
      </c>
    </row>
    <row r="39" spans="1:40" x14ac:dyDescent="0.3">
      <c r="A39" s="10" t="str">
        <f>HYPERLINK("http://www.washoecounty.gov/assessor/cama/?parid=001-234-07&amp;CardNumber=1","001-234-07")</f>
        <v>001-234-07</v>
      </c>
      <c r="B39" t="s">
        <v>4655</v>
      </c>
      <c r="C39" t="s">
        <v>5890</v>
      </c>
      <c r="D39" s="1">
        <v>40492</v>
      </c>
      <c r="E39" s="2">
        <v>129900</v>
      </c>
      <c r="F39" t="s">
        <v>4567</v>
      </c>
      <c r="G39" s="17" t="str">
        <f>HYPERLINK("https://www.washoecounty.gov/assessor/cama/?command=sales&amp;parid=00123407","3941829")</f>
        <v>3941829</v>
      </c>
      <c r="H39" t="s">
        <v>3663</v>
      </c>
      <c r="I39">
        <v>1964</v>
      </c>
      <c r="J39">
        <v>1964</v>
      </c>
      <c r="K39" t="s">
        <v>4554</v>
      </c>
      <c r="L39" t="s">
        <v>2170</v>
      </c>
      <c r="M39" s="2">
        <v>1669</v>
      </c>
      <c r="N39" t="s">
        <v>4556</v>
      </c>
      <c r="O39">
        <v>3</v>
      </c>
      <c r="P39">
        <v>2</v>
      </c>
      <c r="Q39">
        <v>1</v>
      </c>
      <c r="R39" t="s">
        <v>4557</v>
      </c>
      <c r="S39" t="s">
        <v>4574</v>
      </c>
      <c r="T39" t="s">
        <v>4559</v>
      </c>
      <c r="U39" t="s">
        <v>4560</v>
      </c>
      <c r="V39" s="2">
        <v>277</v>
      </c>
      <c r="W39" t="s">
        <v>4655</v>
      </c>
      <c r="X39" s="2">
        <v>0</v>
      </c>
      <c r="Y39">
        <v>20</v>
      </c>
      <c r="Z39" t="s">
        <v>4561</v>
      </c>
      <c r="AA39" s="3">
        <v>0.13700643181800801</v>
      </c>
      <c r="AB39" t="s">
        <v>5891</v>
      </c>
      <c r="AC39" t="s">
        <v>4562</v>
      </c>
      <c r="AD39" t="s">
        <v>5890</v>
      </c>
      <c r="AE39" t="s">
        <v>4655</v>
      </c>
      <c r="AF39" t="s">
        <v>4563</v>
      </c>
      <c r="AG39" t="s">
        <v>4564</v>
      </c>
      <c r="AH39">
        <v>89503</v>
      </c>
      <c r="AI39" t="s">
        <v>4655</v>
      </c>
      <c r="AJ39" t="s">
        <v>4655</v>
      </c>
      <c r="AK39" t="s">
        <v>5892</v>
      </c>
      <c r="AL39" s="13" t="s">
        <v>2255</v>
      </c>
      <c r="AM39" s="14">
        <v>1</v>
      </c>
      <c r="AN39" s="15" t="s">
        <v>4566</v>
      </c>
    </row>
    <row r="40" spans="1:40" x14ac:dyDescent="0.3">
      <c r="A40" s="10" t="str">
        <f>HYPERLINK("http://www.washoecounty.gov/assessor/cama/?parid=001-241-14&amp;CardNumber=1","001-241-14")</f>
        <v>001-241-14</v>
      </c>
      <c r="B40" t="s">
        <v>4655</v>
      </c>
      <c r="C40" t="s">
        <v>5893</v>
      </c>
      <c r="D40" s="1">
        <v>40421</v>
      </c>
      <c r="E40" s="2">
        <v>100000</v>
      </c>
      <c r="F40" t="s">
        <v>4567</v>
      </c>
      <c r="G40" s="17" t="str">
        <f>HYPERLINK("https://www.washoecounty.gov/assessor/cama/?command=sales&amp;parid=00124114","3917694")</f>
        <v>3917694</v>
      </c>
      <c r="H40" t="s">
        <v>2525</v>
      </c>
      <c r="I40">
        <v>1965</v>
      </c>
      <c r="J40">
        <v>1965</v>
      </c>
      <c r="K40" t="s">
        <v>4554</v>
      </c>
      <c r="L40" t="s">
        <v>4555</v>
      </c>
      <c r="M40" s="2">
        <v>988</v>
      </c>
      <c r="N40" t="s">
        <v>4556</v>
      </c>
      <c r="O40">
        <v>3</v>
      </c>
      <c r="P40">
        <v>1</v>
      </c>
      <c r="Q40">
        <v>0</v>
      </c>
      <c r="R40" t="s">
        <v>4557</v>
      </c>
      <c r="S40" t="s">
        <v>4574</v>
      </c>
      <c r="T40" t="s">
        <v>4559</v>
      </c>
      <c r="U40" t="s">
        <v>4560</v>
      </c>
      <c r="V40" s="2">
        <v>440</v>
      </c>
      <c r="W40" t="s">
        <v>4655</v>
      </c>
      <c r="X40" s="2">
        <v>0</v>
      </c>
      <c r="Y40">
        <v>20</v>
      </c>
      <c r="Z40" t="s">
        <v>4561</v>
      </c>
      <c r="AA40" s="3">
        <v>0.16799816489219666</v>
      </c>
      <c r="AB40" t="s">
        <v>5894</v>
      </c>
      <c r="AC40" t="s">
        <v>4575</v>
      </c>
      <c r="AD40" t="s">
        <v>5893</v>
      </c>
      <c r="AE40" t="s">
        <v>4655</v>
      </c>
      <c r="AF40" t="s">
        <v>4563</v>
      </c>
      <c r="AG40" t="s">
        <v>4564</v>
      </c>
      <c r="AH40">
        <v>89503</v>
      </c>
      <c r="AI40" t="s">
        <v>4655</v>
      </c>
      <c r="AJ40" t="s">
        <v>4655</v>
      </c>
      <c r="AK40" t="s">
        <v>5895</v>
      </c>
      <c r="AL40" s="13" t="s">
        <v>2255</v>
      </c>
      <c r="AM40">
        <v>1</v>
      </c>
      <c r="AN40" s="15" t="s">
        <v>4566</v>
      </c>
    </row>
    <row r="41" spans="1:40" x14ac:dyDescent="0.3">
      <c r="A41" s="10" t="str">
        <f>HYPERLINK("http://www.washoecounty.gov/assessor/cama/?parid=001-245-07&amp;CardNumber=1","001-245-07")</f>
        <v>001-245-07</v>
      </c>
      <c r="B41" t="s">
        <v>4655</v>
      </c>
      <c r="C41" t="s">
        <v>5896</v>
      </c>
      <c r="D41" s="1">
        <v>40359</v>
      </c>
      <c r="E41" s="2">
        <v>130000</v>
      </c>
      <c r="F41" t="s">
        <v>4567</v>
      </c>
      <c r="G41" s="17" t="str">
        <f>HYPERLINK("https://www.washoecounty.gov/assessor/cama/?command=sales&amp;parid=00124507","3897035")</f>
        <v>3897035</v>
      </c>
      <c r="H41" t="s">
        <v>2525</v>
      </c>
      <c r="I41">
        <v>1969</v>
      </c>
      <c r="J41">
        <v>1969</v>
      </c>
      <c r="K41" t="s">
        <v>4554</v>
      </c>
      <c r="L41" t="s">
        <v>2170</v>
      </c>
      <c r="M41" s="2">
        <v>1669</v>
      </c>
      <c r="N41" t="s">
        <v>4556</v>
      </c>
      <c r="O41">
        <v>3</v>
      </c>
      <c r="P41">
        <v>3</v>
      </c>
      <c r="Q41">
        <v>0</v>
      </c>
      <c r="R41" t="s">
        <v>4557</v>
      </c>
      <c r="S41" t="s">
        <v>4574</v>
      </c>
      <c r="T41" t="s">
        <v>4143</v>
      </c>
      <c r="U41" t="s">
        <v>4560</v>
      </c>
      <c r="V41" s="2">
        <v>277</v>
      </c>
      <c r="W41" t="s">
        <v>4655</v>
      </c>
      <c r="X41" s="2">
        <v>0</v>
      </c>
      <c r="Y41">
        <v>20</v>
      </c>
      <c r="Z41" t="s">
        <v>4561</v>
      </c>
      <c r="AA41" s="3">
        <v>0.16799816489219666</v>
      </c>
      <c r="AB41" t="s">
        <v>5897</v>
      </c>
      <c r="AC41" t="s">
        <v>4562</v>
      </c>
      <c r="AD41" t="s">
        <v>5896</v>
      </c>
      <c r="AE41" t="s">
        <v>4655</v>
      </c>
      <c r="AF41" t="s">
        <v>4563</v>
      </c>
      <c r="AG41" t="s">
        <v>4564</v>
      </c>
      <c r="AH41">
        <v>89503</v>
      </c>
      <c r="AI41" t="s">
        <v>4655</v>
      </c>
      <c r="AJ41" t="s">
        <v>4655</v>
      </c>
      <c r="AK41" t="s">
        <v>5898</v>
      </c>
      <c r="AL41" s="13" t="s">
        <v>2255</v>
      </c>
      <c r="AM41" s="14">
        <v>1</v>
      </c>
      <c r="AN41" s="15" t="s">
        <v>4566</v>
      </c>
    </row>
    <row r="42" spans="1:40" x14ac:dyDescent="0.3">
      <c r="A42" s="10" t="str">
        <f>HYPERLINK("http://www.washoecounty.gov/assessor/cama/?parid=001-250-02&amp;CardNumber=1","001-250-02")</f>
        <v>001-250-02</v>
      </c>
      <c r="B42" t="s">
        <v>4655</v>
      </c>
      <c r="C42" t="s">
        <v>5899</v>
      </c>
      <c r="D42" s="1">
        <v>40298</v>
      </c>
      <c r="E42" s="2">
        <v>129500</v>
      </c>
      <c r="F42" t="s">
        <v>4567</v>
      </c>
      <c r="G42" s="17" t="str">
        <f>HYPERLINK("https://www.washoecounty.gov/assessor/cama/?command=sales&amp;parid=00125002","3877116")</f>
        <v>3877116</v>
      </c>
      <c r="H42" t="s">
        <v>5900</v>
      </c>
      <c r="I42">
        <v>1982</v>
      </c>
      <c r="J42">
        <v>1982</v>
      </c>
      <c r="K42" t="s">
        <v>4554</v>
      </c>
      <c r="L42" t="s">
        <v>4555</v>
      </c>
      <c r="M42" s="2">
        <v>1236</v>
      </c>
      <c r="N42" t="s">
        <v>4556</v>
      </c>
      <c r="O42">
        <v>3</v>
      </c>
      <c r="P42">
        <v>2</v>
      </c>
      <c r="Q42">
        <v>0</v>
      </c>
      <c r="R42" t="s">
        <v>4557</v>
      </c>
      <c r="S42" t="s">
        <v>4558</v>
      </c>
      <c r="T42" t="s">
        <v>4559</v>
      </c>
      <c r="U42" t="s">
        <v>4560</v>
      </c>
      <c r="V42" s="2">
        <v>380</v>
      </c>
      <c r="W42" t="s">
        <v>4655</v>
      </c>
      <c r="X42" s="2">
        <v>0</v>
      </c>
      <c r="Y42">
        <v>20</v>
      </c>
      <c r="Z42" t="s">
        <v>4144</v>
      </c>
      <c r="AA42" s="3">
        <v>0.13999082148075101</v>
      </c>
      <c r="AB42" t="s">
        <v>5901</v>
      </c>
      <c r="AC42" t="s">
        <v>4562</v>
      </c>
      <c r="AD42" t="s">
        <v>5899</v>
      </c>
      <c r="AE42" t="s">
        <v>4655</v>
      </c>
      <c r="AF42" t="s">
        <v>4563</v>
      </c>
      <c r="AG42" t="s">
        <v>4564</v>
      </c>
      <c r="AH42">
        <v>89503</v>
      </c>
      <c r="AI42" t="s">
        <v>5902</v>
      </c>
      <c r="AJ42" t="s">
        <v>4655</v>
      </c>
      <c r="AK42" t="s">
        <v>5903</v>
      </c>
      <c r="AL42" s="13" t="s">
        <v>2255</v>
      </c>
      <c r="AM42" s="14">
        <v>1</v>
      </c>
      <c r="AN42" s="15" t="s">
        <v>4566</v>
      </c>
    </row>
    <row r="43" spans="1:40" x14ac:dyDescent="0.3">
      <c r="A43" s="10" t="str">
        <f>HYPERLINK("http://www.washoecounty.gov/assessor/cama/?parid=001-272-40&amp;CardNumber=1","001-272-40")</f>
        <v>001-272-40</v>
      </c>
      <c r="B43" t="s">
        <v>4655</v>
      </c>
      <c r="C43" t="s">
        <v>5904</v>
      </c>
      <c r="D43" s="1">
        <v>40260</v>
      </c>
      <c r="E43" s="2">
        <v>1540000</v>
      </c>
      <c r="F43" t="s">
        <v>4201</v>
      </c>
      <c r="G43" s="17" t="str">
        <f>HYPERLINK("https://www.washoecounty.gov/assessor/cama/?command=sales&amp;parid=00127240","3862709")</f>
        <v>3862709</v>
      </c>
      <c r="H43" t="s">
        <v>5905</v>
      </c>
      <c r="I43">
        <v>1996</v>
      </c>
      <c r="J43">
        <v>1996</v>
      </c>
      <c r="K43" t="s">
        <v>4855</v>
      </c>
      <c r="L43" t="s">
        <v>1366</v>
      </c>
      <c r="M43" s="2">
        <v>6500</v>
      </c>
      <c r="N43" t="s">
        <v>1431</v>
      </c>
      <c r="O43">
        <v>0</v>
      </c>
      <c r="P43">
        <v>0</v>
      </c>
      <c r="Q43">
        <v>0</v>
      </c>
      <c r="R43" t="s">
        <v>1395</v>
      </c>
      <c r="S43" t="s">
        <v>4856</v>
      </c>
      <c r="T43" t="s">
        <v>4655</v>
      </c>
      <c r="U43" t="s">
        <v>4655</v>
      </c>
      <c r="V43" s="2">
        <v>0</v>
      </c>
      <c r="W43" t="s">
        <v>4655</v>
      </c>
      <c r="X43" s="2">
        <v>0</v>
      </c>
      <c r="Y43">
        <v>40</v>
      </c>
      <c r="Z43" t="s">
        <v>1370</v>
      </c>
      <c r="AA43" s="3">
        <v>0.93000459671020497</v>
      </c>
      <c r="AB43" t="s">
        <v>5906</v>
      </c>
      <c r="AC43" t="s">
        <v>4562</v>
      </c>
      <c r="AD43" t="s">
        <v>5907</v>
      </c>
      <c r="AE43" t="s">
        <v>4655</v>
      </c>
      <c r="AF43" t="s">
        <v>1812</v>
      </c>
      <c r="AG43" t="s">
        <v>4584</v>
      </c>
      <c r="AH43" t="s">
        <v>5908</v>
      </c>
      <c r="AI43" t="s">
        <v>5909</v>
      </c>
      <c r="AJ43" t="s">
        <v>5910</v>
      </c>
      <c r="AK43" t="s">
        <v>5911</v>
      </c>
      <c r="AL43" s="13" t="s">
        <v>2255</v>
      </c>
      <c r="AM43" s="14">
        <v>1</v>
      </c>
      <c r="AN43" s="15" t="s">
        <v>5232</v>
      </c>
    </row>
    <row r="44" spans="1:40" x14ac:dyDescent="0.3">
      <c r="A44" s="10" t="str">
        <f>HYPERLINK("http://www.washoecounty.gov/assessor/cama/?parid=001-281-04&amp;CardNumber=1","001-281-04")</f>
        <v>001-281-04</v>
      </c>
      <c r="B44" t="s">
        <v>4655</v>
      </c>
      <c r="C44" t="s">
        <v>5912</v>
      </c>
      <c r="D44" s="1">
        <v>40298</v>
      </c>
      <c r="E44" s="2">
        <v>184000</v>
      </c>
      <c r="F44" t="s">
        <v>4553</v>
      </c>
      <c r="G44" s="17" t="str">
        <f>HYPERLINK("https://www.washoecounty.gov/assessor/cama/?command=sales&amp;parid=00128104","3876793")</f>
        <v>3876793</v>
      </c>
      <c r="H44" t="s">
        <v>5913</v>
      </c>
      <c r="I44">
        <v>1971</v>
      </c>
      <c r="J44">
        <v>1971</v>
      </c>
      <c r="K44" t="s">
        <v>4554</v>
      </c>
      <c r="L44" t="s">
        <v>3974</v>
      </c>
      <c r="M44" s="2">
        <v>2249</v>
      </c>
      <c r="N44" t="s">
        <v>4556</v>
      </c>
      <c r="O44">
        <v>3</v>
      </c>
      <c r="P44">
        <v>2</v>
      </c>
      <c r="Q44">
        <v>0</v>
      </c>
      <c r="R44" t="s">
        <v>4557</v>
      </c>
      <c r="S44" t="s">
        <v>4574</v>
      </c>
      <c r="T44" t="s">
        <v>4559</v>
      </c>
      <c r="U44" t="s">
        <v>5631</v>
      </c>
      <c r="V44" s="2">
        <v>529</v>
      </c>
      <c r="W44" t="s">
        <v>4655</v>
      </c>
      <c r="X44" s="2">
        <v>0</v>
      </c>
      <c r="Y44">
        <v>20</v>
      </c>
      <c r="Z44" t="s">
        <v>4561</v>
      </c>
      <c r="AA44" s="3">
        <v>0.29100093245506298</v>
      </c>
      <c r="AB44" t="s">
        <v>5914</v>
      </c>
      <c r="AC44" t="s">
        <v>4562</v>
      </c>
      <c r="AD44" t="s">
        <v>5912</v>
      </c>
      <c r="AE44" t="s">
        <v>4655</v>
      </c>
      <c r="AF44" t="s">
        <v>4563</v>
      </c>
      <c r="AG44" t="s">
        <v>4564</v>
      </c>
      <c r="AH44">
        <v>89503</v>
      </c>
      <c r="AI44" t="s">
        <v>359</v>
      </c>
      <c r="AJ44" t="s">
        <v>4655</v>
      </c>
      <c r="AK44" t="s">
        <v>5915</v>
      </c>
      <c r="AL44" s="13" t="s">
        <v>2255</v>
      </c>
      <c r="AM44" s="14">
        <v>1</v>
      </c>
      <c r="AN44" s="15" t="s">
        <v>4566</v>
      </c>
    </row>
    <row r="45" spans="1:40" x14ac:dyDescent="0.3">
      <c r="A45" s="10" t="str">
        <f>HYPERLINK("http://www.washoecounty.gov/assessor/cama/?parid=001-291-18&amp;CardNumber=1","001-291-18")</f>
        <v>001-291-18</v>
      </c>
      <c r="B45" t="s">
        <v>4655</v>
      </c>
      <c r="C45" t="s">
        <v>5916</v>
      </c>
      <c r="D45" s="1">
        <v>40388</v>
      </c>
      <c r="E45" s="2">
        <v>155000</v>
      </c>
      <c r="F45" t="s">
        <v>4567</v>
      </c>
      <c r="G45" s="17" t="str">
        <f>HYPERLINK("https://www.washoecounty.gov/assessor/cama/?command=sales&amp;parid=00129118","3906578")</f>
        <v>3906578</v>
      </c>
      <c r="H45" t="s">
        <v>5917</v>
      </c>
      <c r="I45">
        <v>1996</v>
      </c>
      <c r="J45">
        <v>2000</v>
      </c>
      <c r="K45" t="s">
        <v>4554</v>
      </c>
      <c r="L45" t="s">
        <v>4555</v>
      </c>
      <c r="M45" s="2">
        <v>1666</v>
      </c>
      <c r="N45" t="s">
        <v>4556</v>
      </c>
      <c r="O45">
        <v>4</v>
      </c>
      <c r="P45">
        <v>2</v>
      </c>
      <c r="Q45">
        <v>1</v>
      </c>
      <c r="R45" t="s">
        <v>4557</v>
      </c>
      <c r="S45" t="s">
        <v>4135</v>
      </c>
      <c r="T45" t="s">
        <v>4559</v>
      </c>
      <c r="U45" t="s">
        <v>4560</v>
      </c>
      <c r="V45" s="2">
        <v>312</v>
      </c>
      <c r="W45" t="s">
        <v>4655</v>
      </c>
      <c r="X45" s="2">
        <v>0</v>
      </c>
      <c r="Y45">
        <v>20</v>
      </c>
      <c r="Z45" t="s">
        <v>4561</v>
      </c>
      <c r="AA45" s="3">
        <v>0.15500459074974099</v>
      </c>
      <c r="AB45" t="s">
        <v>5918</v>
      </c>
      <c r="AC45" t="s">
        <v>4562</v>
      </c>
      <c r="AD45" t="s">
        <v>5919</v>
      </c>
      <c r="AE45" t="s">
        <v>4655</v>
      </c>
      <c r="AF45" t="s">
        <v>4563</v>
      </c>
      <c r="AG45" t="s">
        <v>4564</v>
      </c>
      <c r="AH45">
        <v>89502</v>
      </c>
      <c r="AI45" t="s">
        <v>3380</v>
      </c>
      <c r="AJ45" t="s">
        <v>4655</v>
      </c>
      <c r="AK45" t="s">
        <v>5920</v>
      </c>
      <c r="AL45" s="13" t="s">
        <v>2255</v>
      </c>
      <c r="AM45">
        <v>1</v>
      </c>
      <c r="AN45" s="15" t="s">
        <v>4566</v>
      </c>
    </row>
    <row r="46" spans="1:40" x14ac:dyDescent="0.3">
      <c r="A46" s="10" t="str">
        <f>HYPERLINK("http://www.washoecounty.gov/assessor/cama/?parid=001-292-03&amp;CardNumber=1","001-292-03")</f>
        <v>001-292-03</v>
      </c>
      <c r="B46" t="s">
        <v>4655</v>
      </c>
      <c r="C46" t="s">
        <v>5921</v>
      </c>
      <c r="D46" s="1">
        <v>40483</v>
      </c>
      <c r="E46" s="2">
        <v>101300</v>
      </c>
      <c r="F46" t="s">
        <v>4567</v>
      </c>
      <c r="G46" s="17" t="str">
        <f>HYPERLINK("https://www.washoecounty.gov/assessor/cama/?command=sales&amp;parid=00129203","3938546")</f>
        <v>3938546</v>
      </c>
      <c r="H46" t="s">
        <v>5913</v>
      </c>
      <c r="I46">
        <v>1971</v>
      </c>
      <c r="J46">
        <v>1971</v>
      </c>
      <c r="K46" t="s">
        <v>4554</v>
      </c>
      <c r="L46" t="s">
        <v>4555</v>
      </c>
      <c r="M46" s="2">
        <v>1333</v>
      </c>
      <c r="N46" t="s">
        <v>4556</v>
      </c>
      <c r="O46">
        <v>3</v>
      </c>
      <c r="P46">
        <v>2</v>
      </c>
      <c r="Q46">
        <v>0</v>
      </c>
      <c r="R46" t="s">
        <v>4557</v>
      </c>
      <c r="S46" t="s">
        <v>4574</v>
      </c>
      <c r="T46" t="s">
        <v>4559</v>
      </c>
      <c r="U46" t="s">
        <v>4560</v>
      </c>
      <c r="V46" s="2">
        <v>441</v>
      </c>
      <c r="W46" t="s">
        <v>4655</v>
      </c>
      <c r="X46" s="2">
        <v>0</v>
      </c>
      <c r="Y46">
        <v>20</v>
      </c>
      <c r="Z46" t="s">
        <v>4561</v>
      </c>
      <c r="AA46" s="3">
        <v>0.17800734937191001</v>
      </c>
      <c r="AB46" t="s">
        <v>5922</v>
      </c>
      <c r="AC46" t="s">
        <v>4562</v>
      </c>
      <c r="AD46" t="s">
        <v>5921</v>
      </c>
      <c r="AE46" t="s">
        <v>4655</v>
      </c>
      <c r="AF46" t="s">
        <v>4563</v>
      </c>
      <c r="AG46" t="s">
        <v>4564</v>
      </c>
      <c r="AH46">
        <v>89503</v>
      </c>
      <c r="AI46" t="s">
        <v>5923</v>
      </c>
      <c r="AJ46" t="s">
        <v>4655</v>
      </c>
      <c r="AK46" t="s">
        <v>5924</v>
      </c>
      <c r="AL46" s="13" t="s">
        <v>2255</v>
      </c>
      <c r="AM46" s="14">
        <v>1</v>
      </c>
      <c r="AN46" s="15" t="s">
        <v>4566</v>
      </c>
    </row>
    <row r="47" spans="1:40" x14ac:dyDescent="0.3">
      <c r="A47" s="10" t="str">
        <f>HYPERLINK("http://www.washoecounty.gov/assessor/cama/?parid=001-302-02&amp;CardNumber=1","001-302-02")</f>
        <v>001-302-02</v>
      </c>
      <c r="B47" t="s">
        <v>4655</v>
      </c>
      <c r="C47" t="s">
        <v>5925</v>
      </c>
      <c r="D47" s="1">
        <v>40304</v>
      </c>
      <c r="E47" s="2">
        <v>120000</v>
      </c>
      <c r="F47" t="s">
        <v>4553</v>
      </c>
      <c r="G47" s="17" t="str">
        <f>HYPERLINK("https://www.washoecounty.gov/assessor/cama/?command=sales&amp;parid=00130202","3878660")</f>
        <v>3878660</v>
      </c>
      <c r="H47" t="s">
        <v>454</v>
      </c>
      <c r="I47">
        <v>1964</v>
      </c>
      <c r="J47">
        <v>1964</v>
      </c>
      <c r="K47" t="s">
        <v>4554</v>
      </c>
      <c r="L47" t="s">
        <v>2170</v>
      </c>
      <c r="M47" s="2">
        <v>1669</v>
      </c>
      <c r="N47" t="s">
        <v>4556</v>
      </c>
      <c r="O47">
        <v>3</v>
      </c>
      <c r="P47">
        <v>3</v>
      </c>
      <c r="Q47">
        <v>0</v>
      </c>
      <c r="R47" t="s">
        <v>4557</v>
      </c>
      <c r="S47" t="s">
        <v>4135</v>
      </c>
      <c r="T47" t="s">
        <v>4559</v>
      </c>
      <c r="U47" t="s">
        <v>4655</v>
      </c>
      <c r="V47" s="2">
        <v>0</v>
      </c>
      <c r="W47" t="s">
        <v>4655</v>
      </c>
      <c r="X47" s="2">
        <v>0</v>
      </c>
      <c r="Y47">
        <v>20</v>
      </c>
      <c r="Z47" t="s">
        <v>4561</v>
      </c>
      <c r="AA47" s="3">
        <v>0.19400826096534701</v>
      </c>
      <c r="AB47" t="s">
        <v>5926</v>
      </c>
      <c r="AC47" t="s">
        <v>4575</v>
      </c>
      <c r="AD47" t="s">
        <v>5927</v>
      </c>
      <c r="AE47" t="s">
        <v>4655</v>
      </c>
      <c r="AF47" t="s">
        <v>5928</v>
      </c>
      <c r="AG47" t="s">
        <v>4584</v>
      </c>
      <c r="AH47" t="s">
        <v>3926</v>
      </c>
      <c r="AI47" t="s">
        <v>5929</v>
      </c>
      <c r="AJ47" t="s">
        <v>4655</v>
      </c>
      <c r="AK47" t="s">
        <v>5930</v>
      </c>
      <c r="AL47" s="13" t="s">
        <v>2255</v>
      </c>
      <c r="AM47">
        <v>1</v>
      </c>
      <c r="AN47" s="15" t="s">
        <v>4566</v>
      </c>
    </row>
    <row r="48" spans="1:40" x14ac:dyDescent="0.3">
      <c r="A48" s="10" t="str">
        <f>HYPERLINK("http://www.washoecounty.gov/assessor/cama/?parid=001-305-04&amp;CardNumber=1","001-305-04")</f>
        <v>001-305-04</v>
      </c>
      <c r="B48" t="s">
        <v>4655</v>
      </c>
      <c r="C48" t="s">
        <v>5931</v>
      </c>
      <c r="D48" s="1">
        <v>40354</v>
      </c>
      <c r="E48" s="2">
        <v>110000</v>
      </c>
      <c r="F48" t="s">
        <v>4567</v>
      </c>
      <c r="G48" s="17" t="str">
        <f>HYPERLINK("https://www.washoecounty.gov/assessor/cama/?command=sales&amp;parid=00130504","3895544")</f>
        <v>3895544</v>
      </c>
      <c r="H48" t="s">
        <v>454</v>
      </c>
      <c r="I48">
        <v>1964</v>
      </c>
      <c r="J48">
        <v>1964</v>
      </c>
      <c r="K48" t="s">
        <v>4554</v>
      </c>
      <c r="L48" t="s">
        <v>4555</v>
      </c>
      <c r="M48" s="2">
        <v>1176</v>
      </c>
      <c r="N48" t="s">
        <v>4556</v>
      </c>
      <c r="O48">
        <v>3</v>
      </c>
      <c r="P48">
        <v>2</v>
      </c>
      <c r="Q48">
        <v>0</v>
      </c>
      <c r="R48" t="s">
        <v>4557</v>
      </c>
      <c r="S48" t="s">
        <v>3148</v>
      </c>
      <c r="T48" t="s">
        <v>4559</v>
      </c>
      <c r="U48" t="s">
        <v>4560</v>
      </c>
      <c r="V48" s="2">
        <v>441</v>
      </c>
      <c r="W48" t="s">
        <v>4655</v>
      </c>
      <c r="X48" s="2">
        <v>0</v>
      </c>
      <c r="Y48">
        <v>20</v>
      </c>
      <c r="Z48" t="s">
        <v>4561</v>
      </c>
      <c r="AA48" s="3">
        <v>0.16799816489219666</v>
      </c>
      <c r="AB48" t="s">
        <v>5932</v>
      </c>
      <c r="AC48" t="s">
        <v>4562</v>
      </c>
      <c r="AD48" t="s">
        <v>5933</v>
      </c>
      <c r="AE48" t="s">
        <v>4655</v>
      </c>
      <c r="AF48" t="s">
        <v>4563</v>
      </c>
      <c r="AG48" t="s">
        <v>4564</v>
      </c>
      <c r="AH48">
        <v>89511</v>
      </c>
      <c r="AI48" t="s">
        <v>5934</v>
      </c>
      <c r="AJ48" t="s">
        <v>4655</v>
      </c>
      <c r="AK48" t="s">
        <v>5935</v>
      </c>
      <c r="AL48" s="13" t="s">
        <v>2255</v>
      </c>
      <c r="AM48">
        <v>1</v>
      </c>
      <c r="AN48" s="15" t="s">
        <v>4566</v>
      </c>
    </row>
    <row r="49" spans="1:40" x14ac:dyDescent="0.3">
      <c r="A49" s="10" t="str">
        <f>HYPERLINK("http://www.washoecounty.gov/assessor/cama/?parid=001-307-06&amp;CardNumber=1","001-307-06")</f>
        <v>001-307-06</v>
      </c>
      <c r="B49" t="s">
        <v>4655</v>
      </c>
      <c r="C49" t="s">
        <v>5936</v>
      </c>
      <c r="D49" s="1">
        <v>40268</v>
      </c>
      <c r="E49" s="2">
        <v>140000</v>
      </c>
      <c r="F49" t="s">
        <v>4553</v>
      </c>
      <c r="G49" s="17" t="str">
        <f>HYPERLINK("https://www.washoecounty.gov/assessor/cama/?command=sales&amp;parid=00130706","3866496")</f>
        <v>3866496</v>
      </c>
      <c r="H49" t="s">
        <v>454</v>
      </c>
      <c r="I49">
        <v>1964</v>
      </c>
      <c r="J49">
        <v>1964</v>
      </c>
      <c r="K49" t="s">
        <v>4554</v>
      </c>
      <c r="L49" t="s">
        <v>2170</v>
      </c>
      <c r="M49" s="2">
        <v>1669</v>
      </c>
      <c r="N49" t="s">
        <v>4556</v>
      </c>
      <c r="O49">
        <v>4</v>
      </c>
      <c r="P49">
        <v>3</v>
      </c>
      <c r="Q49">
        <v>0</v>
      </c>
      <c r="R49" t="s">
        <v>4557</v>
      </c>
      <c r="S49" t="s">
        <v>4558</v>
      </c>
      <c r="T49" t="s">
        <v>4559</v>
      </c>
      <c r="U49" t="s">
        <v>4560</v>
      </c>
      <c r="V49" s="2">
        <v>277</v>
      </c>
      <c r="W49" t="s">
        <v>4655</v>
      </c>
      <c r="X49" s="2">
        <v>0</v>
      </c>
      <c r="Y49">
        <v>20</v>
      </c>
      <c r="Z49" t="s">
        <v>4561</v>
      </c>
      <c r="AA49" s="3">
        <v>0.17100550234317799</v>
      </c>
      <c r="AB49" t="s">
        <v>5937</v>
      </c>
      <c r="AC49" t="s">
        <v>4562</v>
      </c>
      <c r="AD49" t="s">
        <v>5938</v>
      </c>
      <c r="AE49" t="s">
        <v>4655</v>
      </c>
      <c r="AF49" t="s">
        <v>4563</v>
      </c>
      <c r="AG49" t="s">
        <v>4564</v>
      </c>
      <c r="AH49" t="s">
        <v>5197</v>
      </c>
      <c r="AI49" t="s">
        <v>4903</v>
      </c>
      <c r="AJ49" t="s">
        <v>4655</v>
      </c>
      <c r="AK49" t="s">
        <v>5939</v>
      </c>
      <c r="AL49" s="13" t="s">
        <v>2255</v>
      </c>
      <c r="AM49" s="14">
        <v>1</v>
      </c>
      <c r="AN49" s="15" t="s">
        <v>4566</v>
      </c>
    </row>
    <row r="50" spans="1:40" x14ac:dyDescent="0.3">
      <c r="A50" s="10" t="str">
        <f>HYPERLINK("http://www.washoecounty.gov/assessor/cama/?parid=001-309-14&amp;CardNumber=1","001-309-14")</f>
        <v>001-309-14</v>
      </c>
      <c r="B50" t="s">
        <v>4655</v>
      </c>
      <c r="C50" t="s">
        <v>5940</v>
      </c>
      <c r="D50" s="1">
        <v>40462</v>
      </c>
      <c r="E50" s="2">
        <v>145700</v>
      </c>
      <c r="F50" t="s">
        <v>4567</v>
      </c>
      <c r="G50" s="17" t="str">
        <f>HYPERLINK("https://www.washoecounty.gov/assessor/cama/?command=sales&amp;parid=00130914","3931424")</f>
        <v>3931424</v>
      </c>
      <c r="H50" t="s">
        <v>454</v>
      </c>
      <c r="I50">
        <v>1964</v>
      </c>
      <c r="J50">
        <v>1964</v>
      </c>
      <c r="K50" t="s">
        <v>4554</v>
      </c>
      <c r="L50" t="s">
        <v>4555</v>
      </c>
      <c r="M50" s="2">
        <v>1344</v>
      </c>
      <c r="N50" t="s">
        <v>4556</v>
      </c>
      <c r="O50">
        <v>3</v>
      </c>
      <c r="P50">
        <v>2</v>
      </c>
      <c r="Q50">
        <v>0</v>
      </c>
      <c r="R50" t="s">
        <v>4557</v>
      </c>
      <c r="S50" t="s">
        <v>4135</v>
      </c>
      <c r="T50" t="s">
        <v>4559</v>
      </c>
      <c r="U50" t="s">
        <v>4560</v>
      </c>
      <c r="V50" s="2">
        <v>273</v>
      </c>
      <c r="W50" t="s">
        <v>4655</v>
      </c>
      <c r="X50" s="2">
        <v>0</v>
      </c>
      <c r="Y50">
        <v>20</v>
      </c>
      <c r="Z50" t="s">
        <v>4561</v>
      </c>
      <c r="AA50" s="3">
        <v>0.13700643181800801</v>
      </c>
      <c r="AB50" t="s">
        <v>5941</v>
      </c>
      <c r="AC50" t="s">
        <v>4562</v>
      </c>
      <c r="AD50" t="s">
        <v>5940</v>
      </c>
      <c r="AE50" t="s">
        <v>4655</v>
      </c>
      <c r="AF50" t="s">
        <v>3114</v>
      </c>
      <c r="AG50" t="s">
        <v>4564</v>
      </c>
      <c r="AH50">
        <v>89503</v>
      </c>
      <c r="AI50" t="s">
        <v>5942</v>
      </c>
      <c r="AJ50" t="s">
        <v>4655</v>
      </c>
      <c r="AK50" t="s">
        <v>5943</v>
      </c>
      <c r="AL50" s="13" t="s">
        <v>2255</v>
      </c>
      <c r="AM50">
        <v>1</v>
      </c>
      <c r="AN50" s="15" t="s">
        <v>4566</v>
      </c>
    </row>
    <row r="51" spans="1:40" x14ac:dyDescent="0.3">
      <c r="A51" s="10" t="str">
        <f>HYPERLINK("http://www.washoecounty.gov/assessor/cama/?parid=001-309-21&amp;CardNumber=1","001-309-21")</f>
        <v>001-309-21</v>
      </c>
      <c r="B51" t="s">
        <v>4655</v>
      </c>
      <c r="C51" t="s">
        <v>5944</v>
      </c>
      <c r="D51" s="1">
        <v>40501</v>
      </c>
      <c r="E51" s="2">
        <v>135000</v>
      </c>
      <c r="F51" t="s">
        <v>4567</v>
      </c>
      <c r="G51" s="17" t="str">
        <f>HYPERLINK("https://www.washoecounty.gov/assessor/cama/?command=sales&amp;parid=00130921","3945196")</f>
        <v>3945196</v>
      </c>
      <c r="H51" t="s">
        <v>454</v>
      </c>
      <c r="I51">
        <v>1964</v>
      </c>
      <c r="J51">
        <v>1964</v>
      </c>
      <c r="K51" t="s">
        <v>4554</v>
      </c>
      <c r="L51" t="s">
        <v>4555</v>
      </c>
      <c r="M51" s="2">
        <v>1296</v>
      </c>
      <c r="N51" t="s">
        <v>4556</v>
      </c>
      <c r="O51">
        <v>4</v>
      </c>
      <c r="P51">
        <v>2</v>
      </c>
      <c r="Q51">
        <v>0</v>
      </c>
      <c r="R51" t="s">
        <v>5281</v>
      </c>
      <c r="S51" t="s">
        <v>4135</v>
      </c>
      <c r="T51" t="s">
        <v>4559</v>
      </c>
      <c r="U51" t="s">
        <v>4560</v>
      </c>
      <c r="V51" s="2">
        <v>483</v>
      </c>
      <c r="W51" t="s">
        <v>4655</v>
      </c>
      <c r="X51" s="2">
        <v>0</v>
      </c>
      <c r="Y51">
        <v>20</v>
      </c>
      <c r="Z51" t="s">
        <v>4561</v>
      </c>
      <c r="AA51" s="3">
        <v>0.13700643181800801</v>
      </c>
      <c r="AB51" t="s">
        <v>5945</v>
      </c>
      <c r="AC51" t="s">
        <v>4562</v>
      </c>
      <c r="AD51" t="s">
        <v>5946</v>
      </c>
      <c r="AE51" t="s">
        <v>4655</v>
      </c>
      <c r="AF51" t="s">
        <v>4563</v>
      </c>
      <c r="AG51" t="s">
        <v>4564</v>
      </c>
      <c r="AH51">
        <v>89503</v>
      </c>
      <c r="AI51" t="s">
        <v>5947</v>
      </c>
      <c r="AJ51" t="s">
        <v>4655</v>
      </c>
      <c r="AK51" t="s">
        <v>5948</v>
      </c>
      <c r="AL51" s="13" t="s">
        <v>2255</v>
      </c>
      <c r="AM51">
        <v>1</v>
      </c>
      <c r="AN51" s="15" t="s">
        <v>4566</v>
      </c>
    </row>
    <row r="52" spans="1:40" x14ac:dyDescent="0.3">
      <c r="A52" s="10" t="str">
        <f>HYPERLINK("http://www.washoecounty.gov/assessor/cama/?parid=001-311-01&amp;CardNumber=1","001-311-01")</f>
        <v>001-311-01</v>
      </c>
      <c r="B52" t="s">
        <v>4655</v>
      </c>
      <c r="C52" t="s">
        <v>5949</v>
      </c>
      <c r="D52" s="1">
        <v>40283</v>
      </c>
      <c r="E52" s="2">
        <v>175000</v>
      </c>
      <c r="F52" t="s">
        <v>4567</v>
      </c>
      <c r="G52" s="17" t="str">
        <f>HYPERLINK("https://www.washoecounty.gov/assessor/cama/?command=sales&amp;parid=00131101","3871492")</f>
        <v>3871492</v>
      </c>
      <c r="H52" t="s">
        <v>1737</v>
      </c>
      <c r="I52">
        <v>1964</v>
      </c>
      <c r="J52">
        <v>1964</v>
      </c>
      <c r="K52" t="s">
        <v>4554</v>
      </c>
      <c r="L52" t="s">
        <v>4555</v>
      </c>
      <c r="M52" s="2">
        <v>1695</v>
      </c>
      <c r="N52" t="s">
        <v>4556</v>
      </c>
      <c r="O52">
        <v>5</v>
      </c>
      <c r="P52">
        <v>3</v>
      </c>
      <c r="Q52">
        <v>0</v>
      </c>
      <c r="R52" t="s">
        <v>4557</v>
      </c>
      <c r="S52" t="s">
        <v>4574</v>
      </c>
      <c r="T52" t="s">
        <v>4559</v>
      </c>
      <c r="U52" t="s">
        <v>4560</v>
      </c>
      <c r="V52" s="2">
        <v>200</v>
      </c>
      <c r="W52" t="s">
        <v>4655</v>
      </c>
      <c r="X52" s="2">
        <v>0</v>
      </c>
      <c r="Y52">
        <v>20</v>
      </c>
      <c r="Z52" t="s">
        <v>4561</v>
      </c>
      <c r="AA52" s="3">
        <v>0.21600091457366899</v>
      </c>
      <c r="AB52" t="s">
        <v>5950</v>
      </c>
      <c r="AC52" t="s">
        <v>4562</v>
      </c>
      <c r="AD52" t="s">
        <v>5949</v>
      </c>
      <c r="AE52" t="s">
        <v>4655</v>
      </c>
      <c r="AF52" t="s">
        <v>4563</v>
      </c>
      <c r="AG52" t="s">
        <v>4564</v>
      </c>
      <c r="AH52">
        <v>89503</v>
      </c>
      <c r="AI52" t="s">
        <v>5951</v>
      </c>
      <c r="AJ52" t="s">
        <v>4655</v>
      </c>
      <c r="AK52" t="s">
        <v>5952</v>
      </c>
      <c r="AL52" s="13" t="s">
        <v>2255</v>
      </c>
      <c r="AM52">
        <v>1</v>
      </c>
      <c r="AN52" s="15" t="s">
        <v>4566</v>
      </c>
    </row>
    <row r="53" spans="1:40" x14ac:dyDescent="0.3">
      <c r="A53" s="10" t="str">
        <f>HYPERLINK("http://www.washoecounty.gov/assessor/cama/?parid=001-311-06&amp;CardNumber=1","001-311-06")</f>
        <v>001-311-06</v>
      </c>
      <c r="B53" t="s">
        <v>4655</v>
      </c>
      <c r="C53" t="s">
        <v>5953</v>
      </c>
      <c r="D53" s="1">
        <v>40521</v>
      </c>
      <c r="E53" s="2">
        <v>51450</v>
      </c>
      <c r="F53" t="s">
        <v>4553</v>
      </c>
      <c r="G53" s="17" t="str">
        <f>HYPERLINK("https://www.washoecounty.gov/assessor/cama/?command=sales&amp;parid=00131106","3951449")</f>
        <v>3951449</v>
      </c>
      <c r="H53" t="s">
        <v>1737</v>
      </c>
      <c r="I53">
        <v>1964</v>
      </c>
      <c r="J53">
        <v>1964</v>
      </c>
      <c r="K53" t="s">
        <v>4554</v>
      </c>
      <c r="L53" t="s">
        <v>4555</v>
      </c>
      <c r="M53" s="2">
        <v>988</v>
      </c>
      <c r="N53" t="s">
        <v>4556</v>
      </c>
      <c r="O53">
        <v>3</v>
      </c>
      <c r="P53">
        <v>2</v>
      </c>
      <c r="Q53">
        <v>0</v>
      </c>
      <c r="R53" t="s">
        <v>4557</v>
      </c>
      <c r="S53" t="s">
        <v>4574</v>
      </c>
      <c r="T53" t="s">
        <v>4559</v>
      </c>
      <c r="U53" t="s">
        <v>4560</v>
      </c>
      <c r="V53" s="2">
        <v>286</v>
      </c>
      <c r="W53" t="s">
        <v>4655</v>
      </c>
      <c r="X53" s="2">
        <v>0</v>
      </c>
      <c r="Y53">
        <v>20</v>
      </c>
      <c r="Z53" t="s">
        <v>4561</v>
      </c>
      <c r="AA53" s="3">
        <v>0.21099632978439301</v>
      </c>
      <c r="AB53" t="s">
        <v>5954</v>
      </c>
      <c r="AC53" t="s">
        <v>4562</v>
      </c>
      <c r="AD53" t="s">
        <v>5955</v>
      </c>
      <c r="AE53" t="s">
        <v>4655</v>
      </c>
      <c r="AF53" t="s">
        <v>4563</v>
      </c>
      <c r="AG53" t="s">
        <v>4564</v>
      </c>
      <c r="AH53">
        <v>89509</v>
      </c>
      <c r="AI53" t="s">
        <v>4903</v>
      </c>
      <c r="AJ53" t="s">
        <v>4655</v>
      </c>
      <c r="AK53" t="s">
        <v>5956</v>
      </c>
      <c r="AL53" s="13" t="s">
        <v>2255</v>
      </c>
      <c r="AM53" s="14">
        <v>1</v>
      </c>
      <c r="AN53" s="15" t="s">
        <v>4566</v>
      </c>
    </row>
    <row r="54" spans="1:40" x14ac:dyDescent="0.3">
      <c r="A54" s="10" t="str">
        <f>HYPERLINK("http://www.washoecounty.gov/assessor/cama/?parid=001-312-01&amp;CardNumber=1","001-312-01")</f>
        <v>001-312-01</v>
      </c>
      <c r="B54" t="s">
        <v>4655</v>
      </c>
      <c r="C54" t="s">
        <v>5957</v>
      </c>
      <c r="D54" s="1">
        <v>40289</v>
      </c>
      <c r="E54" s="2">
        <v>105000</v>
      </c>
      <c r="F54" t="s">
        <v>4553</v>
      </c>
      <c r="G54" s="17" t="str">
        <f>HYPERLINK("https://www.washoecounty.gov/assessor/cama/?command=sales&amp;parid=00131201","3873387")</f>
        <v>3873387</v>
      </c>
      <c r="H54" t="s">
        <v>1737</v>
      </c>
      <c r="I54">
        <v>1964</v>
      </c>
      <c r="J54">
        <v>1964</v>
      </c>
      <c r="K54" t="s">
        <v>4554</v>
      </c>
      <c r="L54" t="s">
        <v>4555</v>
      </c>
      <c r="M54" s="2">
        <v>988</v>
      </c>
      <c r="N54" t="s">
        <v>4556</v>
      </c>
      <c r="O54">
        <v>3</v>
      </c>
      <c r="P54">
        <v>1</v>
      </c>
      <c r="Q54">
        <v>0</v>
      </c>
      <c r="R54" t="s">
        <v>4557</v>
      </c>
      <c r="S54" t="s">
        <v>4135</v>
      </c>
      <c r="T54" t="s">
        <v>4559</v>
      </c>
      <c r="U54" t="s">
        <v>4655</v>
      </c>
      <c r="V54" s="2">
        <v>0</v>
      </c>
      <c r="W54" t="s">
        <v>4655</v>
      </c>
      <c r="X54" s="2">
        <v>0</v>
      </c>
      <c r="Y54">
        <v>20</v>
      </c>
      <c r="Z54" t="s">
        <v>4561</v>
      </c>
      <c r="AA54" s="3">
        <v>0.13999082148075101</v>
      </c>
      <c r="AB54" t="s">
        <v>5958</v>
      </c>
      <c r="AC54" t="s">
        <v>4562</v>
      </c>
      <c r="AD54" t="s">
        <v>5959</v>
      </c>
      <c r="AE54" t="s">
        <v>4655</v>
      </c>
      <c r="AF54" t="s">
        <v>4563</v>
      </c>
      <c r="AG54" t="s">
        <v>4564</v>
      </c>
      <c r="AH54">
        <v>89503</v>
      </c>
      <c r="AI54" t="s">
        <v>4045</v>
      </c>
      <c r="AJ54" t="s">
        <v>4655</v>
      </c>
      <c r="AK54" t="s">
        <v>5960</v>
      </c>
      <c r="AL54" s="13" t="s">
        <v>2255</v>
      </c>
      <c r="AM54">
        <v>1</v>
      </c>
      <c r="AN54" s="15" t="s">
        <v>4566</v>
      </c>
    </row>
    <row r="55" spans="1:40" x14ac:dyDescent="0.3">
      <c r="A55" s="10" t="str">
        <f>HYPERLINK("http://www.washoecounty.gov/assessor/cama/?parid=001-314-04&amp;CardNumber=1","001-314-04")</f>
        <v>001-314-04</v>
      </c>
      <c r="B55" t="s">
        <v>4655</v>
      </c>
      <c r="C55" t="s">
        <v>2463</v>
      </c>
      <c r="D55" s="1">
        <v>40347</v>
      </c>
      <c r="E55" s="2">
        <v>86000</v>
      </c>
      <c r="F55" t="s">
        <v>4567</v>
      </c>
      <c r="G55" s="17" t="str">
        <f>HYPERLINK("https://www.washoecounty.gov/assessor/cama/?command=sales&amp;parid=00131404","3893462")</f>
        <v>3893462</v>
      </c>
      <c r="H55" t="s">
        <v>1737</v>
      </c>
      <c r="I55">
        <v>1964</v>
      </c>
      <c r="J55">
        <v>1964</v>
      </c>
      <c r="K55" t="s">
        <v>4554</v>
      </c>
      <c r="L55" t="s">
        <v>4555</v>
      </c>
      <c r="M55" s="2">
        <v>1344</v>
      </c>
      <c r="N55" t="s">
        <v>4556</v>
      </c>
      <c r="O55">
        <v>3</v>
      </c>
      <c r="P55">
        <v>2</v>
      </c>
      <c r="Q55">
        <v>0</v>
      </c>
      <c r="R55" t="s">
        <v>4557</v>
      </c>
      <c r="S55" t="s">
        <v>4574</v>
      </c>
      <c r="T55" t="s">
        <v>4559</v>
      </c>
      <c r="U55" t="s">
        <v>4560</v>
      </c>
      <c r="V55" s="2">
        <v>273</v>
      </c>
      <c r="W55" t="s">
        <v>4655</v>
      </c>
      <c r="X55" s="2">
        <v>0</v>
      </c>
      <c r="Y55">
        <v>20</v>
      </c>
      <c r="Z55" t="s">
        <v>4561</v>
      </c>
      <c r="AA55" s="3">
        <v>0.15599173307418801</v>
      </c>
      <c r="AB55" t="s">
        <v>4848</v>
      </c>
      <c r="AC55" t="s">
        <v>4562</v>
      </c>
      <c r="AD55" t="s">
        <v>1112</v>
      </c>
      <c r="AE55" t="s">
        <v>1113</v>
      </c>
      <c r="AF55" t="s">
        <v>1114</v>
      </c>
      <c r="AG55" t="s">
        <v>2567</v>
      </c>
      <c r="AH55">
        <v>73108</v>
      </c>
      <c r="AI55" t="s">
        <v>5961</v>
      </c>
      <c r="AJ55" t="s">
        <v>4655</v>
      </c>
      <c r="AK55" t="s">
        <v>2464</v>
      </c>
      <c r="AL55" s="13" t="s">
        <v>2255</v>
      </c>
      <c r="AM55" s="14">
        <v>1</v>
      </c>
      <c r="AN55" s="15" t="s">
        <v>4566</v>
      </c>
    </row>
    <row r="56" spans="1:40" x14ac:dyDescent="0.3">
      <c r="A56" s="10" t="str">
        <f>HYPERLINK("http://www.washoecounty.gov/assessor/cama/?parid=001-314-14&amp;CardNumber=1","001-314-14")</f>
        <v>001-314-14</v>
      </c>
      <c r="B56" t="s">
        <v>4655</v>
      </c>
      <c r="C56" t="s">
        <v>5962</v>
      </c>
      <c r="D56" s="1">
        <v>40449</v>
      </c>
      <c r="E56" s="2">
        <v>145000</v>
      </c>
      <c r="F56" t="s">
        <v>4553</v>
      </c>
      <c r="G56" s="17" t="str">
        <f>HYPERLINK("https://www.washoecounty.gov/assessor/cama/?command=sales&amp;parid=00131414","3927074")</f>
        <v>3927074</v>
      </c>
      <c r="H56" t="s">
        <v>1737</v>
      </c>
      <c r="I56">
        <v>1964</v>
      </c>
      <c r="J56">
        <v>1964</v>
      </c>
      <c r="K56" t="s">
        <v>4554</v>
      </c>
      <c r="L56" t="s">
        <v>4555</v>
      </c>
      <c r="M56" s="2">
        <v>1296</v>
      </c>
      <c r="N56" t="s">
        <v>4556</v>
      </c>
      <c r="O56">
        <v>3</v>
      </c>
      <c r="P56">
        <v>2</v>
      </c>
      <c r="Q56">
        <v>0</v>
      </c>
      <c r="R56" t="s">
        <v>4557</v>
      </c>
      <c r="S56" t="s">
        <v>4135</v>
      </c>
      <c r="T56" t="s">
        <v>4559</v>
      </c>
      <c r="U56" t="s">
        <v>4560</v>
      </c>
      <c r="V56" s="2">
        <v>483</v>
      </c>
      <c r="W56" t="s">
        <v>4655</v>
      </c>
      <c r="X56" s="2">
        <v>0</v>
      </c>
      <c r="Y56">
        <v>20</v>
      </c>
      <c r="Z56" t="s">
        <v>4561</v>
      </c>
      <c r="AA56" s="3">
        <v>0.13700643181800801</v>
      </c>
      <c r="AB56" t="s">
        <v>5963</v>
      </c>
      <c r="AC56" t="s">
        <v>4562</v>
      </c>
      <c r="AD56" t="s">
        <v>5964</v>
      </c>
      <c r="AE56" t="s">
        <v>4655</v>
      </c>
      <c r="AF56" t="s">
        <v>4563</v>
      </c>
      <c r="AG56" t="s">
        <v>4564</v>
      </c>
      <c r="AH56">
        <v>89503</v>
      </c>
      <c r="AI56" t="s">
        <v>5965</v>
      </c>
      <c r="AJ56" t="s">
        <v>4655</v>
      </c>
      <c r="AK56" t="s">
        <v>5966</v>
      </c>
      <c r="AL56" s="13" t="s">
        <v>2255</v>
      </c>
      <c r="AM56" s="14">
        <v>1</v>
      </c>
      <c r="AN56" s="15" t="s">
        <v>4566</v>
      </c>
    </row>
    <row r="57" spans="1:40" x14ac:dyDescent="0.3">
      <c r="A57" s="10" t="str">
        <f>HYPERLINK("http://www.washoecounty.gov/assessor/cama/?parid=001-314-17&amp;CardNumber=1","001-314-17")</f>
        <v>001-314-17</v>
      </c>
      <c r="B57" t="s">
        <v>4655</v>
      </c>
      <c r="C57" t="s">
        <v>5967</v>
      </c>
      <c r="D57" s="1">
        <v>40214</v>
      </c>
      <c r="E57" s="2">
        <v>96000</v>
      </c>
      <c r="F57" t="s">
        <v>4567</v>
      </c>
      <c r="G57" s="17" t="str">
        <f>HYPERLINK("https://www.washoecounty.gov/assessor/cama/?command=sales&amp;parid=00131417","3846628")</f>
        <v>3846628</v>
      </c>
      <c r="H57" t="s">
        <v>1737</v>
      </c>
      <c r="I57">
        <v>1964</v>
      </c>
      <c r="J57">
        <v>1964</v>
      </c>
      <c r="K57" t="s">
        <v>4554</v>
      </c>
      <c r="L57" t="s">
        <v>4555</v>
      </c>
      <c r="M57" s="2">
        <v>1176</v>
      </c>
      <c r="N57" t="s">
        <v>4556</v>
      </c>
      <c r="O57">
        <v>3</v>
      </c>
      <c r="P57">
        <v>2</v>
      </c>
      <c r="Q57">
        <v>0</v>
      </c>
      <c r="R57" t="s">
        <v>4557</v>
      </c>
      <c r="S57" t="s">
        <v>4135</v>
      </c>
      <c r="T57" t="s">
        <v>4559</v>
      </c>
      <c r="U57" t="s">
        <v>4560</v>
      </c>
      <c r="V57" s="2">
        <v>441</v>
      </c>
      <c r="W57" t="s">
        <v>4655</v>
      </c>
      <c r="X57" s="2">
        <v>0</v>
      </c>
      <c r="Y57">
        <v>20</v>
      </c>
      <c r="Z57" t="s">
        <v>4561</v>
      </c>
      <c r="AA57" s="3">
        <v>0.14499540627002699</v>
      </c>
      <c r="AB57" t="s">
        <v>5968</v>
      </c>
      <c r="AC57" t="s">
        <v>4575</v>
      </c>
      <c r="AD57" t="s">
        <v>5969</v>
      </c>
      <c r="AE57" t="s">
        <v>4655</v>
      </c>
      <c r="AF57" t="s">
        <v>4563</v>
      </c>
      <c r="AG57" t="s">
        <v>4564</v>
      </c>
      <c r="AH57">
        <v>89511</v>
      </c>
      <c r="AI57" t="s">
        <v>5970</v>
      </c>
      <c r="AJ57" t="s">
        <v>4655</v>
      </c>
      <c r="AK57" t="s">
        <v>5971</v>
      </c>
      <c r="AL57" s="13" t="s">
        <v>2255</v>
      </c>
      <c r="AM57" s="14">
        <v>1</v>
      </c>
      <c r="AN57" s="15" t="s">
        <v>4566</v>
      </c>
    </row>
    <row r="58" spans="1:40" x14ac:dyDescent="0.3">
      <c r="A58" s="10" t="str">
        <f>HYPERLINK("http://www.washoecounty.gov/assessor/cama/?parid=001-320-33&amp;CardNumber=1","001-320-33")</f>
        <v>001-320-33</v>
      </c>
      <c r="B58" t="s">
        <v>4655</v>
      </c>
      <c r="C58" t="s">
        <v>5972</v>
      </c>
      <c r="D58" s="1">
        <v>40312</v>
      </c>
      <c r="E58" s="2">
        <v>133000</v>
      </c>
      <c r="F58" t="s">
        <v>4567</v>
      </c>
      <c r="G58" s="17" t="str">
        <f>HYPERLINK("https://www.washoecounty.gov/assessor/cama/?command=sales&amp;parid=00132033","3881410")</f>
        <v>3881410</v>
      </c>
      <c r="H58" t="s">
        <v>393</v>
      </c>
      <c r="I58">
        <v>1973</v>
      </c>
      <c r="J58">
        <v>1973</v>
      </c>
      <c r="K58" t="s">
        <v>4897</v>
      </c>
      <c r="L58" t="s">
        <v>4555</v>
      </c>
      <c r="M58" s="2">
        <v>1175</v>
      </c>
      <c r="N58" t="s">
        <v>4048</v>
      </c>
      <c r="O58">
        <v>3</v>
      </c>
      <c r="P58">
        <v>2</v>
      </c>
      <c r="Q58">
        <v>0</v>
      </c>
      <c r="R58" t="s">
        <v>4557</v>
      </c>
      <c r="S58" t="s">
        <v>4558</v>
      </c>
      <c r="T58" t="s">
        <v>2704</v>
      </c>
      <c r="U58" t="s">
        <v>4560</v>
      </c>
      <c r="V58" s="2">
        <v>400</v>
      </c>
      <c r="W58" t="s">
        <v>4655</v>
      </c>
      <c r="X58" s="2">
        <v>0</v>
      </c>
      <c r="Y58">
        <v>21</v>
      </c>
      <c r="Z58" t="s">
        <v>4561</v>
      </c>
      <c r="AA58" s="3">
        <v>4.8599634319543797E-2</v>
      </c>
      <c r="AB58" t="s">
        <v>5973</v>
      </c>
      <c r="AC58" t="s">
        <v>4575</v>
      </c>
      <c r="AD58" t="s">
        <v>5974</v>
      </c>
      <c r="AE58" t="s">
        <v>5975</v>
      </c>
      <c r="AF58" t="s">
        <v>5976</v>
      </c>
      <c r="AG58" t="s">
        <v>2782</v>
      </c>
      <c r="AH58">
        <v>43119</v>
      </c>
      <c r="AI58" t="s">
        <v>1799</v>
      </c>
      <c r="AJ58" t="s">
        <v>4655</v>
      </c>
      <c r="AK58" t="s">
        <v>5977</v>
      </c>
      <c r="AL58" s="13" t="s">
        <v>2255</v>
      </c>
      <c r="AM58" s="14">
        <v>1</v>
      </c>
      <c r="AN58" s="15" t="s">
        <v>2355</v>
      </c>
    </row>
    <row r="59" spans="1:40" x14ac:dyDescent="0.3">
      <c r="A59" s="10" t="str">
        <f>HYPERLINK("http://www.washoecounty.gov/assessor/cama/?parid=001-330-30&amp;CardNumber=1","001-330-30")</f>
        <v>001-330-30</v>
      </c>
      <c r="B59" t="s">
        <v>4655</v>
      </c>
      <c r="C59" t="s">
        <v>5978</v>
      </c>
      <c r="D59" s="1">
        <v>40367</v>
      </c>
      <c r="E59" s="2">
        <v>87000</v>
      </c>
      <c r="F59" t="s">
        <v>4553</v>
      </c>
      <c r="G59" s="17" t="str">
        <f>HYPERLINK("https://www.washoecounty.gov/assessor/cama/?command=sales&amp;parid=00133030","3899598")</f>
        <v>3899598</v>
      </c>
      <c r="H59" t="s">
        <v>1236</v>
      </c>
      <c r="I59">
        <v>1977</v>
      </c>
      <c r="J59">
        <v>1977</v>
      </c>
      <c r="K59" t="s">
        <v>4897</v>
      </c>
      <c r="L59" t="s">
        <v>4555</v>
      </c>
      <c r="M59" s="2">
        <v>1194</v>
      </c>
      <c r="N59" t="s">
        <v>4048</v>
      </c>
      <c r="O59">
        <v>3</v>
      </c>
      <c r="P59">
        <v>2</v>
      </c>
      <c r="Q59">
        <v>0</v>
      </c>
      <c r="R59" t="s">
        <v>4557</v>
      </c>
      <c r="S59" t="s">
        <v>4558</v>
      </c>
      <c r="T59" t="s">
        <v>2704</v>
      </c>
      <c r="U59" t="s">
        <v>4560</v>
      </c>
      <c r="V59" s="2">
        <v>400</v>
      </c>
      <c r="W59" t="s">
        <v>4655</v>
      </c>
      <c r="X59" s="2">
        <v>0</v>
      </c>
      <c r="Y59">
        <v>21</v>
      </c>
      <c r="Z59" t="s">
        <v>4561</v>
      </c>
      <c r="AA59" s="3">
        <v>1.00000004749745E-3</v>
      </c>
      <c r="AB59" t="s">
        <v>5979</v>
      </c>
      <c r="AC59" t="s">
        <v>4562</v>
      </c>
      <c r="AD59" t="s">
        <v>5978</v>
      </c>
      <c r="AE59" t="s">
        <v>4655</v>
      </c>
      <c r="AF59" t="s">
        <v>4563</v>
      </c>
      <c r="AG59" t="s">
        <v>4564</v>
      </c>
      <c r="AH59">
        <v>89503</v>
      </c>
      <c r="AI59" t="s">
        <v>1602</v>
      </c>
      <c r="AJ59" t="s">
        <v>4655</v>
      </c>
      <c r="AK59" t="s">
        <v>5980</v>
      </c>
      <c r="AL59" s="13" t="s">
        <v>2255</v>
      </c>
      <c r="AM59">
        <v>1</v>
      </c>
      <c r="AN59" s="15" t="s">
        <v>2355</v>
      </c>
    </row>
    <row r="60" spans="1:40" x14ac:dyDescent="0.3">
      <c r="A60" s="10" t="str">
        <f>HYPERLINK("http://www.washoecounty.gov/assessor/cama/?parid=001-330-43&amp;CardNumber=1","001-330-43")</f>
        <v>001-330-43</v>
      </c>
      <c r="B60" t="s">
        <v>4655</v>
      </c>
      <c r="C60" t="s">
        <v>5981</v>
      </c>
      <c r="D60" s="1">
        <v>40431</v>
      </c>
      <c r="E60" s="2">
        <v>72000</v>
      </c>
      <c r="F60" t="s">
        <v>4553</v>
      </c>
      <c r="G60" s="17" t="str">
        <f>HYPERLINK("https://www.washoecounty.gov/assessor/cama/?command=sales&amp;parid=00133043","3920899")</f>
        <v>3920899</v>
      </c>
      <c r="H60" t="s">
        <v>1236</v>
      </c>
      <c r="I60">
        <v>1977</v>
      </c>
      <c r="J60">
        <v>1977</v>
      </c>
      <c r="K60" t="s">
        <v>4897</v>
      </c>
      <c r="L60" t="s">
        <v>4555</v>
      </c>
      <c r="M60" s="2">
        <v>1069</v>
      </c>
      <c r="N60" t="s">
        <v>4048</v>
      </c>
      <c r="O60">
        <v>2</v>
      </c>
      <c r="P60">
        <v>2</v>
      </c>
      <c r="Q60">
        <v>0</v>
      </c>
      <c r="R60" t="s">
        <v>4557</v>
      </c>
      <c r="S60" t="s">
        <v>4558</v>
      </c>
      <c r="T60" t="s">
        <v>2704</v>
      </c>
      <c r="U60" t="s">
        <v>4560</v>
      </c>
      <c r="V60" s="2">
        <v>393</v>
      </c>
      <c r="W60" t="s">
        <v>4655</v>
      </c>
      <c r="X60" s="2">
        <v>0</v>
      </c>
      <c r="Y60">
        <v>21</v>
      </c>
      <c r="Z60" t="s">
        <v>4561</v>
      </c>
      <c r="AA60" s="3">
        <v>1.00000004749745E-3</v>
      </c>
      <c r="AB60" t="s">
        <v>5982</v>
      </c>
      <c r="AC60" t="s">
        <v>4562</v>
      </c>
      <c r="AD60" t="s">
        <v>5981</v>
      </c>
      <c r="AE60" t="s">
        <v>4655</v>
      </c>
      <c r="AF60" t="s">
        <v>4563</v>
      </c>
      <c r="AG60" t="s">
        <v>4564</v>
      </c>
      <c r="AH60">
        <v>89503</v>
      </c>
      <c r="AI60" t="s">
        <v>2351</v>
      </c>
      <c r="AJ60" t="s">
        <v>4655</v>
      </c>
      <c r="AK60" t="s">
        <v>5983</v>
      </c>
      <c r="AL60" s="13" t="s">
        <v>2255</v>
      </c>
      <c r="AM60">
        <v>1</v>
      </c>
      <c r="AN60" s="15" t="s">
        <v>2355</v>
      </c>
    </row>
    <row r="61" spans="1:40" x14ac:dyDescent="0.3">
      <c r="A61" s="10" t="str">
        <f>HYPERLINK("http://www.washoecounty.gov/assessor/cama/?parid=001-340-03&amp;CardNumber=1","001-340-03")</f>
        <v>001-340-03</v>
      </c>
      <c r="B61" t="s">
        <v>4655</v>
      </c>
      <c r="C61" t="s">
        <v>5984</v>
      </c>
      <c r="D61" s="1">
        <v>40366</v>
      </c>
      <c r="E61" s="2">
        <v>94000</v>
      </c>
      <c r="F61" t="s">
        <v>4553</v>
      </c>
      <c r="G61" s="17" t="str">
        <f>HYPERLINK("https://www.washoecounty.gov/assessor/cama/?command=sales&amp;parid=00134003","3898965")</f>
        <v>3898965</v>
      </c>
      <c r="H61" t="s">
        <v>2329</v>
      </c>
      <c r="I61">
        <v>1977</v>
      </c>
      <c r="J61">
        <v>1977</v>
      </c>
      <c r="K61" t="s">
        <v>4897</v>
      </c>
      <c r="L61" t="s">
        <v>4555</v>
      </c>
      <c r="M61" s="2">
        <v>1194</v>
      </c>
      <c r="N61" t="s">
        <v>4048</v>
      </c>
      <c r="O61">
        <v>2</v>
      </c>
      <c r="P61">
        <v>2</v>
      </c>
      <c r="Q61">
        <v>0</v>
      </c>
      <c r="R61" t="s">
        <v>5281</v>
      </c>
      <c r="S61" t="s">
        <v>4558</v>
      </c>
      <c r="T61" t="s">
        <v>4559</v>
      </c>
      <c r="U61" t="s">
        <v>4560</v>
      </c>
      <c r="V61" s="2">
        <v>400</v>
      </c>
      <c r="W61" t="s">
        <v>4655</v>
      </c>
      <c r="X61" s="2">
        <v>0</v>
      </c>
      <c r="Y61">
        <v>21</v>
      </c>
      <c r="Z61" t="s">
        <v>4561</v>
      </c>
      <c r="AA61" s="3">
        <v>1.00000004749745E-3</v>
      </c>
      <c r="AB61" t="s">
        <v>5985</v>
      </c>
      <c r="AC61" t="s">
        <v>4562</v>
      </c>
      <c r="AD61" t="s">
        <v>5986</v>
      </c>
      <c r="AE61" t="s">
        <v>4655</v>
      </c>
      <c r="AF61" t="s">
        <v>4563</v>
      </c>
      <c r="AG61" t="s">
        <v>4564</v>
      </c>
      <c r="AH61">
        <v>89503</v>
      </c>
      <c r="AI61" t="s">
        <v>4903</v>
      </c>
      <c r="AJ61" t="s">
        <v>4655</v>
      </c>
      <c r="AK61" t="s">
        <v>5987</v>
      </c>
      <c r="AL61" s="13" t="s">
        <v>2255</v>
      </c>
      <c r="AM61" s="14">
        <v>1</v>
      </c>
      <c r="AN61" s="15" t="s">
        <v>2355</v>
      </c>
    </row>
    <row r="62" spans="1:40" x14ac:dyDescent="0.3">
      <c r="A62" s="10" t="str">
        <f>HYPERLINK("http://www.washoecounty.gov/assessor/cama/?parid=001-340-15&amp;CardNumber=1","001-340-15")</f>
        <v>001-340-15</v>
      </c>
      <c r="B62" t="s">
        <v>4655</v>
      </c>
      <c r="C62" t="s">
        <v>5988</v>
      </c>
      <c r="D62" s="1">
        <v>40219</v>
      </c>
      <c r="E62" s="2">
        <v>119900</v>
      </c>
      <c r="F62" t="s">
        <v>4567</v>
      </c>
      <c r="G62" s="17" t="str">
        <f>HYPERLINK("https://www.washoecounty.gov/assessor/cama/?command=sales&amp;parid=00134015","3847663")</f>
        <v>3847663</v>
      </c>
      <c r="H62" t="s">
        <v>2329</v>
      </c>
      <c r="I62">
        <v>1977</v>
      </c>
      <c r="J62">
        <v>1977</v>
      </c>
      <c r="K62" t="s">
        <v>4897</v>
      </c>
      <c r="L62" t="s">
        <v>3974</v>
      </c>
      <c r="M62" s="2">
        <v>1314</v>
      </c>
      <c r="N62" t="s">
        <v>4048</v>
      </c>
      <c r="O62">
        <v>3</v>
      </c>
      <c r="P62">
        <v>2</v>
      </c>
      <c r="Q62">
        <v>0</v>
      </c>
      <c r="R62" t="s">
        <v>5281</v>
      </c>
      <c r="S62" t="s">
        <v>4558</v>
      </c>
      <c r="T62" t="s">
        <v>4559</v>
      </c>
      <c r="U62" t="s">
        <v>4560</v>
      </c>
      <c r="V62" s="2">
        <v>420</v>
      </c>
      <c r="W62" t="s">
        <v>4655</v>
      </c>
      <c r="X62" s="2">
        <v>0</v>
      </c>
      <c r="Y62">
        <v>21</v>
      </c>
      <c r="Z62" t="s">
        <v>4561</v>
      </c>
      <c r="AA62" s="3">
        <v>1.00000004749745E-3</v>
      </c>
      <c r="AB62" t="s">
        <v>5989</v>
      </c>
      <c r="AC62" t="s">
        <v>4562</v>
      </c>
      <c r="AD62" t="s">
        <v>5990</v>
      </c>
      <c r="AE62" t="s">
        <v>4655</v>
      </c>
      <c r="AF62" t="s">
        <v>4563</v>
      </c>
      <c r="AG62" t="s">
        <v>4564</v>
      </c>
      <c r="AH62" t="s">
        <v>2330</v>
      </c>
      <c r="AI62" t="s">
        <v>5991</v>
      </c>
      <c r="AJ62" t="s">
        <v>4655</v>
      </c>
      <c r="AK62" t="s">
        <v>5992</v>
      </c>
      <c r="AL62" s="13" t="s">
        <v>2255</v>
      </c>
      <c r="AM62">
        <v>1</v>
      </c>
      <c r="AN62" s="15" t="s">
        <v>2355</v>
      </c>
    </row>
    <row r="63" spans="1:40" x14ac:dyDescent="0.3">
      <c r="A63" s="10" t="str">
        <f>HYPERLINK("http://www.washoecounty.gov/assessor/cama/?parid=001-340-56&amp;CardNumber=1","001-340-56")</f>
        <v>001-340-56</v>
      </c>
      <c r="B63" t="s">
        <v>4655</v>
      </c>
      <c r="C63" t="s">
        <v>5993</v>
      </c>
      <c r="D63" s="1">
        <v>40325</v>
      </c>
      <c r="E63" s="2">
        <v>93575</v>
      </c>
      <c r="F63" t="s">
        <v>4553</v>
      </c>
      <c r="G63" s="17" t="str">
        <f>HYPERLINK("https://www.washoecounty.gov/assessor/cama/?command=sales&amp;parid=00134056","3885794")</f>
        <v>3885794</v>
      </c>
      <c r="H63" t="s">
        <v>2329</v>
      </c>
      <c r="I63">
        <v>1977</v>
      </c>
      <c r="J63">
        <v>1977</v>
      </c>
      <c r="K63" t="s">
        <v>4897</v>
      </c>
      <c r="L63" t="s">
        <v>3974</v>
      </c>
      <c r="M63" s="2">
        <v>1314</v>
      </c>
      <c r="N63" t="s">
        <v>4048</v>
      </c>
      <c r="O63">
        <v>3</v>
      </c>
      <c r="P63">
        <v>2</v>
      </c>
      <c r="Q63">
        <v>0</v>
      </c>
      <c r="R63" t="s">
        <v>5281</v>
      </c>
      <c r="S63" t="s">
        <v>4558</v>
      </c>
      <c r="T63" t="s">
        <v>4559</v>
      </c>
      <c r="U63" t="s">
        <v>4560</v>
      </c>
      <c r="V63" s="2">
        <v>420</v>
      </c>
      <c r="W63" t="s">
        <v>4655</v>
      </c>
      <c r="X63" s="2">
        <v>0</v>
      </c>
      <c r="Y63">
        <v>21</v>
      </c>
      <c r="Z63" t="s">
        <v>4561</v>
      </c>
      <c r="AA63" s="3">
        <v>1.00000004749745E-3</v>
      </c>
      <c r="AB63" t="s">
        <v>5994</v>
      </c>
      <c r="AC63" t="s">
        <v>4562</v>
      </c>
      <c r="AD63" t="s">
        <v>5995</v>
      </c>
      <c r="AE63" t="s">
        <v>4655</v>
      </c>
      <c r="AF63" t="s">
        <v>4563</v>
      </c>
      <c r="AG63" t="s">
        <v>4564</v>
      </c>
      <c r="AH63">
        <v>89509</v>
      </c>
      <c r="AI63" t="s">
        <v>4903</v>
      </c>
      <c r="AJ63" t="s">
        <v>4655</v>
      </c>
      <c r="AK63" t="s">
        <v>5996</v>
      </c>
      <c r="AL63" s="13" t="s">
        <v>2255</v>
      </c>
      <c r="AM63" s="14">
        <v>1</v>
      </c>
      <c r="AN63" s="15" t="s">
        <v>2355</v>
      </c>
    </row>
    <row r="64" spans="1:40" x14ac:dyDescent="0.3">
      <c r="A64" s="10" t="str">
        <f>HYPERLINK("http://www.washoecounty.gov/assessor/cama/?parid=001-340-60&amp;CardNumber=1","001-340-60")</f>
        <v>001-340-60</v>
      </c>
      <c r="B64" t="s">
        <v>4655</v>
      </c>
      <c r="C64" t="s">
        <v>5997</v>
      </c>
      <c r="D64" s="1">
        <v>40366</v>
      </c>
      <c r="E64" s="2">
        <v>97500</v>
      </c>
      <c r="F64" t="s">
        <v>4553</v>
      </c>
      <c r="G64" s="17" t="str">
        <f>HYPERLINK("https://www.washoecounty.gov/assessor/cama/?command=sales&amp;parid=00134060","3898970")</f>
        <v>3898970</v>
      </c>
      <c r="H64" t="s">
        <v>2329</v>
      </c>
      <c r="I64">
        <v>1977</v>
      </c>
      <c r="J64">
        <v>1977</v>
      </c>
      <c r="K64" t="s">
        <v>4897</v>
      </c>
      <c r="L64" t="s">
        <v>3974</v>
      </c>
      <c r="M64" s="2">
        <v>1314</v>
      </c>
      <c r="N64" t="s">
        <v>4048</v>
      </c>
      <c r="O64">
        <v>3</v>
      </c>
      <c r="P64">
        <v>2</v>
      </c>
      <c r="Q64">
        <v>0</v>
      </c>
      <c r="R64" t="s">
        <v>4557</v>
      </c>
      <c r="S64" t="s">
        <v>4558</v>
      </c>
      <c r="T64" t="s">
        <v>4559</v>
      </c>
      <c r="U64" t="s">
        <v>4560</v>
      </c>
      <c r="V64" s="2">
        <v>420</v>
      </c>
      <c r="W64" t="s">
        <v>4655</v>
      </c>
      <c r="X64" s="2">
        <v>0</v>
      </c>
      <c r="Y64">
        <v>21</v>
      </c>
      <c r="Z64" t="s">
        <v>4561</v>
      </c>
      <c r="AA64" s="3">
        <v>1.00000004749745E-3</v>
      </c>
      <c r="AB64" t="s">
        <v>5998</v>
      </c>
      <c r="AC64" t="s">
        <v>4575</v>
      </c>
      <c r="AD64" t="s">
        <v>5999</v>
      </c>
      <c r="AE64" t="s">
        <v>4655</v>
      </c>
      <c r="AF64" t="s">
        <v>4563</v>
      </c>
      <c r="AG64" t="s">
        <v>4564</v>
      </c>
      <c r="AH64">
        <v>89503</v>
      </c>
      <c r="AI64" t="s">
        <v>4903</v>
      </c>
      <c r="AJ64" t="s">
        <v>4655</v>
      </c>
      <c r="AK64" t="s">
        <v>6000</v>
      </c>
      <c r="AL64" s="13" t="s">
        <v>2255</v>
      </c>
      <c r="AM64">
        <v>1</v>
      </c>
      <c r="AN64" s="15" t="s">
        <v>2355</v>
      </c>
    </row>
    <row r="65" spans="1:40" x14ac:dyDescent="0.3">
      <c r="A65" s="10" t="str">
        <f>HYPERLINK("http://www.washoecounty.gov/assessor/cama/?parid=001-340-72&amp;CardNumber=1","001-340-72")</f>
        <v>001-340-72</v>
      </c>
      <c r="B65" t="s">
        <v>4655</v>
      </c>
      <c r="C65" t="s">
        <v>6001</v>
      </c>
      <c r="D65" s="1">
        <v>40221</v>
      </c>
      <c r="E65" s="2">
        <v>98000</v>
      </c>
      <c r="F65" t="s">
        <v>4567</v>
      </c>
      <c r="G65" s="17" t="str">
        <f>HYPERLINK("https://www.washoecounty.gov/assessor/cama/?command=sales&amp;parid=00134072","3849132")</f>
        <v>3849132</v>
      </c>
      <c r="H65" t="s">
        <v>2329</v>
      </c>
      <c r="I65">
        <v>1977</v>
      </c>
      <c r="J65">
        <v>1977</v>
      </c>
      <c r="K65" t="s">
        <v>4897</v>
      </c>
      <c r="L65" t="s">
        <v>3974</v>
      </c>
      <c r="M65" s="2">
        <v>1314</v>
      </c>
      <c r="N65" t="s">
        <v>4048</v>
      </c>
      <c r="O65">
        <v>3</v>
      </c>
      <c r="P65">
        <v>2</v>
      </c>
      <c r="Q65">
        <v>0</v>
      </c>
      <c r="R65" t="s">
        <v>4557</v>
      </c>
      <c r="S65" t="s">
        <v>4558</v>
      </c>
      <c r="T65" t="s">
        <v>4559</v>
      </c>
      <c r="U65" t="s">
        <v>4560</v>
      </c>
      <c r="V65" s="2">
        <v>420</v>
      </c>
      <c r="W65" t="s">
        <v>4655</v>
      </c>
      <c r="X65" s="2">
        <v>0</v>
      </c>
      <c r="Y65">
        <v>21</v>
      </c>
      <c r="Z65" t="s">
        <v>4561</v>
      </c>
      <c r="AA65" s="3">
        <v>1.00000004749745E-3</v>
      </c>
      <c r="AB65" t="s">
        <v>6002</v>
      </c>
      <c r="AC65" t="s">
        <v>4562</v>
      </c>
      <c r="AD65" t="s">
        <v>6001</v>
      </c>
      <c r="AE65" t="s">
        <v>4655</v>
      </c>
      <c r="AF65" t="s">
        <v>4563</v>
      </c>
      <c r="AG65" t="s">
        <v>4564</v>
      </c>
      <c r="AH65">
        <v>89503</v>
      </c>
      <c r="AI65" t="s">
        <v>4655</v>
      </c>
      <c r="AJ65" t="s">
        <v>4655</v>
      </c>
      <c r="AK65" t="s">
        <v>6003</v>
      </c>
      <c r="AL65" s="13" t="s">
        <v>2255</v>
      </c>
      <c r="AM65" s="14">
        <v>1</v>
      </c>
      <c r="AN65" s="15" t="s">
        <v>2355</v>
      </c>
    </row>
    <row r="66" spans="1:40" x14ac:dyDescent="0.3">
      <c r="A66" s="10" t="str">
        <f>HYPERLINK("http://www.washoecounty.gov/assessor/cama/?parid=001-340-75&amp;CardNumber=1","001-340-75")</f>
        <v>001-340-75</v>
      </c>
      <c r="B66" t="s">
        <v>4655</v>
      </c>
      <c r="C66" t="s">
        <v>6004</v>
      </c>
      <c r="D66" s="1">
        <v>40449</v>
      </c>
      <c r="E66" s="2">
        <v>87000</v>
      </c>
      <c r="F66" t="s">
        <v>4553</v>
      </c>
      <c r="G66" s="17" t="str">
        <f>HYPERLINK("https://www.washoecounty.gov/assessor/cama/?command=sales&amp;parid=00134075","3926923")</f>
        <v>3926923</v>
      </c>
      <c r="H66" t="s">
        <v>2329</v>
      </c>
      <c r="I66">
        <v>1977</v>
      </c>
      <c r="J66">
        <v>1977</v>
      </c>
      <c r="K66" t="s">
        <v>4897</v>
      </c>
      <c r="L66" t="s">
        <v>4555</v>
      </c>
      <c r="M66" s="2">
        <v>1194</v>
      </c>
      <c r="N66" t="s">
        <v>4048</v>
      </c>
      <c r="O66">
        <v>3</v>
      </c>
      <c r="P66">
        <v>2</v>
      </c>
      <c r="Q66">
        <v>0</v>
      </c>
      <c r="R66" t="s">
        <v>5281</v>
      </c>
      <c r="S66" t="s">
        <v>4558</v>
      </c>
      <c r="T66" t="s">
        <v>4559</v>
      </c>
      <c r="U66" t="s">
        <v>4560</v>
      </c>
      <c r="V66" s="2">
        <v>400</v>
      </c>
      <c r="W66" t="s">
        <v>4655</v>
      </c>
      <c r="X66" s="2">
        <v>0</v>
      </c>
      <c r="Y66">
        <v>21</v>
      </c>
      <c r="Z66" t="s">
        <v>4561</v>
      </c>
      <c r="AA66" s="3">
        <v>1.00000004749745E-3</v>
      </c>
      <c r="AB66" t="s">
        <v>6005</v>
      </c>
      <c r="AC66" t="s">
        <v>4562</v>
      </c>
      <c r="AD66" t="s">
        <v>6006</v>
      </c>
      <c r="AE66" t="s">
        <v>4655</v>
      </c>
      <c r="AF66" t="s">
        <v>4563</v>
      </c>
      <c r="AG66" t="s">
        <v>4564</v>
      </c>
      <c r="AH66">
        <v>89503</v>
      </c>
      <c r="AI66" t="s">
        <v>4565</v>
      </c>
      <c r="AJ66" t="s">
        <v>4655</v>
      </c>
      <c r="AK66" t="s">
        <v>6007</v>
      </c>
      <c r="AL66" s="13" t="s">
        <v>2255</v>
      </c>
      <c r="AM66" s="14">
        <v>1</v>
      </c>
      <c r="AN66" s="15" t="s">
        <v>2355</v>
      </c>
    </row>
    <row r="67" spans="1:40" x14ac:dyDescent="0.3">
      <c r="A67" s="10" t="str">
        <f>HYPERLINK("http://www.washoecounty.gov/assessor/cama/?parid=001-340-77&amp;CardNumber=1","001-340-77")</f>
        <v>001-340-77</v>
      </c>
      <c r="B67" t="s">
        <v>4655</v>
      </c>
      <c r="C67" t="s">
        <v>6008</v>
      </c>
      <c r="D67" s="1">
        <v>40442</v>
      </c>
      <c r="E67" s="2">
        <v>100000</v>
      </c>
      <c r="F67" t="s">
        <v>4567</v>
      </c>
      <c r="G67" s="17" t="str">
        <f>HYPERLINK("https://www.washoecounty.gov/assessor/cama/?command=sales&amp;parid=00134077","3924635")</f>
        <v>3924635</v>
      </c>
      <c r="H67" t="s">
        <v>2329</v>
      </c>
      <c r="I67">
        <v>1977</v>
      </c>
      <c r="J67">
        <v>1977</v>
      </c>
      <c r="K67" t="s">
        <v>4897</v>
      </c>
      <c r="L67" t="s">
        <v>3974</v>
      </c>
      <c r="M67" s="2">
        <v>1314</v>
      </c>
      <c r="N67" t="s">
        <v>4048</v>
      </c>
      <c r="O67">
        <v>3</v>
      </c>
      <c r="P67">
        <v>2</v>
      </c>
      <c r="Q67">
        <v>0</v>
      </c>
      <c r="R67" t="s">
        <v>4557</v>
      </c>
      <c r="S67" t="s">
        <v>4558</v>
      </c>
      <c r="T67" t="s">
        <v>4559</v>
      </c>
      <c r="U67" t="s">
        <v>4560</v>
      </c>
      <c r="V67" s="2">
        <v>420</v>
      </c>
      <c r="W67" t="s">
        <v>4655</v>
      </c>
      <c r="X67" s="2">
        <v>0</v>
      </c>
      <c r="Y67">
        <v>21</v>
      </c>
      <c r="Z67" t="s">
        <v>4561</v>
      </c>
      <c r="AA67" s="3">
        <v>1.00000004749745E-3</v>
      </c>
      <c r="AB67" t="s">
        <v>6009</v>
      </c>
      <c r="AC67" t="s">
        <v>4562</v>
      </c>
      <c r="AD67" t="s">
        <v>6008</v>
      </c>
      <c r="AE67" t="s">
        <v>4655</v>
      </c>
      <c r="AF67" t="s">
        <v>4563</v>
      </c>
      <c r="AG67" t="s">
        <v>4564</v>
      </c>
      <c r="AH67">
        <v>89503</v>
      </c>
      <c r="AI67" t="s">
        <v>6010</v>
      </c>
      <c r="AJ67" t="s">
        <v>4655</v>
      </c>
      <c r="AK67" t="s">
        <v>6011</v>
      </c>
      <c r="AL67" s="13" t="s">
        <v>2255</v>
      </c>
      <c r="AM67" s="14">
        <v>1</v>
      </c>
      <c r="AN67" s="15" t="s">
        <v>2355</v>
      </c>
    </row>
    <row r="68" spans="1:40" x14ac:dyDescent="0.3">
      <c r="A68" s="10" t="str">
        <f>HYPERLINK("http://www.washoecounty.gov/assessor/cama/?parid=001-351-07&amp;CardNumber=1","001-351-07")</f>
        <v>001-351-07</v>
      </c>
      <c r="B68" t="s">
        <v>4655</v>
      </c>
      <c r="C68" t="s">
        <v>6012</v>
      </c>
      <c r="D68" s="1">
        <v>40506</v>
      </c>
      <c r="E68" s="2">
        <v>108000</v>
      </c>
      <c r="F68" t="s">
        <v>4567</v>
      </c>
      <c r="G68" s="17" t="str">
        <f>HYPERLINK("https://www.washoecounty.gov/assessor/cama/?command=sales&amp;parid=00135107","3946871")</f>
        <v>3946871</v>
      </c>
      <c r="H68" t="s">
        <v>2329</v>
      </c>
      <c r="I68">
        <v>1977</v>
      </c>
      <c r="J68">
        <v>1977</v>
      </c>
      <c r="K68" t="s">
        <v>4554</v>
      </c>
      <c r="L68" t="s">
        <v>4555</v>
      </c>
      <c r="M68" s="2">
        <v>1298</v>
      </c>
      <c r="N68" t="s">
        <v>4556</v>
      </c>
      <c r="O68">
        <v>3</v>
      </c>
      <c r="P68">
        <v>2</v>
      </c>
      <c r="Q68">
        <v>0</v>
      </c>
      <c r="R68" t="s">
        <v>4557</v>
      </c>
      <c r="S68" t="s">
        <v>4558</v>
      </c>
      <c r="T68" t="s">
        <v>4559</v>
      </c>
      <c r="U68" t="s">
        <v>4560</v>
      </c>
      <c r="V68" s="2">
        <v>441</v>
      </c>
      <c r="W68" t="s">
        <v>4655</v>
      </c>
      <c r="X68" s="2">
        <v>0</v>
      </c>
      <c r="Y68">
        <v>20</v>
      </c>
      <c r="Z68" t="s">
        <v>4561</v>
      </c>
      <c r="AA68" s="3">
        <v>0.14201101660728499</v>
      </c>
      <c r="AB68" t="s">
        <v>4698</v>
      </c>
      <c r="AC68" t="s">
        <v>4562</v>
      </c>
      <c r="AD68" t="s">
        <v>6012</v>
      </c>
      <c r="AE68" t="s">
        <v>4655</v>
      </c>
      <c r="AF68" t="s">
        <v>4563</v>
      </c>
      <c r="AG68" t="s">
        <v>4564</v>
      </c>
      <c r="AH68">
        <v>89503</v>
      </c>
      <c r="AI68" t="s">
        <v>6013</v>
      </c>
      <c r="AJ68" t="s">
        <v>4655</v>
      </c>
      <c r="AK68" t="s">
        <v>6014</v>
      </c>
      <c r="AL68" s="13" t="s">
        <v>2255</v>
      </c>
      <c r="AM68" s="14">
        <v>1</v>
      </c>
      <c r="AN68" s="15" t="s">
        <v>4566</v>
      </c>
    </row>
    <row r="69" spans="1:40" x14ac:dyDescent="0.3">
      <c r="A69" s="10" t="str">
        <f>HYPERLINK("http://www.washoecounty.gov/assessor/cama/?parid=001-352-03&amp;CardNumber=1","001-352-03")</f>
        <v>001-352-03</v>
      </c>
      <c r="B69" t="s">
        <v>4655</v>
      </c>
      <c r="C69" t="s">
        <v>6015</v>
      </c>
      <c r="D69" s="1">
        <v>40274</v>
      </c>
      <c r="E69" s="2">
        <v>133325</v>
      </c>
      <c r="F69" t="s">
        <v>4567</v>
      </c>
      <c r="G69" s="17" t="str">
        <f>HYPERLINK("https://www.washoecounty.gov/assessor/cama/?command=sales&amp;parid=00135203","3868110")</f>
        <v>3868110</v>
      </c>
      <c r="H69" t="s">
        <v>1737</v>
      </c>
      <c r="I69">
        <v>1964</v>
      </c>
      <c r="J69">
        <v>1964</v>
      </c>
      <c r="K69" t="s">
        <v>4554</v>
      </c>
      <c r="L69" t="s">
        <v>4555</v>
      </c>
      <c r="M69" s="2">
        <v>1296</v>
      </c>
      <c r="N69" t="s">
        <v>4556</v>
      </c>
      <c r="O69">
        <v>4</v>
      </c>
      <c r="P69">
        <v>2</v>
      </c>
      <c r="Q69">
        <v>0</v>
      </c>
      <c r="R69" t="s">
        <v>4557</v>
      </c>
      <c r="S69" t="s">
        <v>4135</v>
      </c>
      <c r="T69" t="s">
        <v>4143</v>
      </c>
      <c r="U69" t="s">
        <v>4560</v>
      </c>
      <c r="V69" s="2">
        <v>483</v>
      </c>
      <c r="W69" t="s">
        <v>4655</v>
      </c>
      <c r="X69" s="2">
        <v>0</v>
      </c>
      <c r="Y69">
        <v>20</v>
      </c>
      <c r="Z69" t="s">
        <v>4561</v>
      </c>
      <c r="AA69" s="3">
        <v>0.16499081254005399</v>
      </c>
      <c r="AB69" t="s">
        <v>6016</v>
      </c>
      <c r="AC69" t="s">
        <v>4575</v>
      </c>
      <c r="AD69" t="s">
        <v>6015</v>
      </c>
      <c r="AE69" t="s">
        <v>4655</v>
      </c>
      <c r="AF69" t="s">
        <v>4563</v>
      </c>
      <c r="AG69" t="s">
        <v>4564</v>
      </c>
      <c r="AH69">
        <v>89503</v>
      </c>
      <c r="AI69" t="s">
        <v>6017</v>
      </c>
      <c r="AJ69" t="s">
        <v>4655</v>
      </c>
      <c r="AK69" t="s">
        <v>6018</v>
      </c>
      <c r="AL69" s="13" t="s">
        <v>2255</v>
      </c>
      <c r="AM69">
        <v>1</v>
      </c>
      <c r="AN69" s="15" t="s">
        <v>4566</v>
      </c>
    </row>
    <row r="70" spans="1:40" x14ac:dyDescent="0.3">
      <c r="A70" s="10" t="str">
        <f>HYPERLINK("http://www.washoecounty.gov/assessor/cama/?parid=001-352-09&amp;CardNumber=1","001-352-09")</f>
        <v>001-352-09</v>
      </c>
      <c r="B70" t="s">
        <v>4655</v>
      </c>
      <c r="C70" t="s">
        <v>6019</v>
      </c>
      <c r="D70" s="1">
        <v>40305</v>
      </c>
      <c r="E70" s="2">
        <v>149680</v>
      </c>
      <c r="F70" t="s">
        <v>4567</v>
      </c>
      <c r="G70" s="17" t="str">
        <f>HYPERLINK("https://www.washoecounty.gov/assessor/cama/?command=sales&amp;parid=00135209","3879288")</f>
        <v>3879288</v>
      </c>
      <c r="H70" t="s">
        <v>1737</v>
      </c>
      <c r="I70">
        <v>1964</v>
      </c>
      <c r="J70">
        <v>1964</v>
      </c>
      <c r="K70" t="s">
        <v>4554</v>
      </c>
      <c r="L70" t="s">
        <v>4555</v>
      </c>
      <c r="M70" s="2">
        <v>1176</v>
      </c>
      <c r="N70" t="s">
        <v>4556</v>
      </c>
      <c r="O70">
        <v>3</v>
      </c>
      <c r="P70">
        <v>2</v>
      </c>
      <c r="Q70">
        <v>0</v>
      </c>
      <c r="R70" t="s">
        <v>4557</v>
      </c>
      <c r="S70" t="s">
        <v>4558</v>
      </c>
      <c r="T70" t="s">
        <v>4559</v>
      </c>
      <c r="U70" t="s">
        <v>4560</v>
      </c>
      <c r="V70" s="2">
        <v>441</v>
      </c>
      <c r="W70" t="s">
        <v>4655</v>
      </c>
      <c r="X70" s="2">
        <v>0</v>
      </c>
      <c r="Y70">
        <v>20</v>
      </c>
      <c r="Z70" t="s">
        <v>4561</v>
      </c>
      <c r="AA70" s="3">
        <v>0.16499081254005399</v>
      </c>
      <c r="AB70" t="s">
        <v>6020</v>
      </c>
      <c r="AC70" t="s">
        <v>4562</v>
      </c>
      <c r="AD70" t="s">
        <v>6019</v>
      </c>
      <c r="AE70" t="s">
        <v>4655</v>
      </c>
      <c r="AF70" t="s">
        <v>4563</v>
      </c>
      <c r="AG70" t="s">
        <v>4564</v>
      </c>
      <c r="AH70">
        <v>89503</v>
      </c>
      <c r="AI70" t="s">
        <v>6021</v>
      </c>
      <c r="AJ70" t="s">
        <v>4655</v>
      </c>
      <c r="AK70" t="s">
        <v>6022</v>
      </c>
      <c r="AL70" s="13" t="s">
        <v>2255</v>
      </c>
      <c r="AM70" s="14">
        <v>1</v>
      </c>
      <c r="AN70" s="15" t="s">
        <v>4566</v>
      </c>
    </row>
    <row r="71" spans="1:40" x14ac:dyDescent="0.3">
      <c r="A71" s="10" t="str">
        <f>HYPERLINK("http://www.washoecounty.gov/assessor/cama/?parid=001-352-10&amp;CardNumber=1","001-352-10")</f>
        <v>001-352-10</v>
      </c>
      <c r="B71" t="s">
        <v>4655</v>
      </c>
      <c r="C71" t="s">
        <v>6023</v>
      </c>
      <c r="D71" s="1">
        <v>40333</v>
      </c>
      <c r="E71" s="2">
        <v>187500</v>
      </c>
      <c r="F71" t="s">
        <v>4567</v>
      </c>
      <c r="G71" s="17" t="str">
        <f>HYPERLINK("https://www.washoecounty.gov/assessor/cama/?command=sales&amp;parid=00135210","3888657")</f>
        <v>3888657</v>
      </c>
      <c r="H71" t="s">
        <v>1737</v>
      </c>
      <c r="I71">
        <v>1964</v>
      </c>
      <c r="J71">
        <v>1967</v>
      </c>
      <c r="K71" t="s">
        <v>4554</v>
      </c>
      <c r="L71" t="s">
        <v>4555</v>
      </c>
      <c r="M71" s="2">
        <v>1854</v>
      </c>
      <c r="N71" t="s">
        <v>4556</v>
      </c>
      <c r="O71">
        <v>4</v>
      </c>
      <c r="P71">
        <v>3</v>
      </c>
      <c r="Q71">
        <v>0</v>
      </c>
      <c r="R71" t="s">
        <v>4557</v>
      </c>
      <c r="S71" t="s">
        <v>4135</v>
      </c>
      <c r="T71" t="s">
        <v>4559</v>
      </c>
      <c r="U71" t="s">
        <v>4655</v>
      </c>
      <c r="V71" s="2">
        <v>0</v>
      </c>
      <c r="W71" t="s">
        <v>4655</v>
      </c>
      <c r="X71" s="2">
        <v>0</v>
      </c>
      <c r="Y71">
        <v>20</v>
      </c>
      <c r="Z71" t="s">
        <v>4561</v>
      </c>
      <c r="AA71" s="3">
        <v>0.16499081254005399</v>
      </c>
      <c r="AB71" t="s">
        <v>6024</v>
      </c>
      <c r="AC71" t="s">
        <v>4575</v>
      </c>
      <c r="AD71" t="s">
        <v>6025</v>
      </c>
      <c r="AE71" t="s">
        <v>4655</v>
      </c>
      <c r="AF71" t="s">
        <v>4563</v>
      </c>
      <c r="AG71" t="s">
        <v>4564</v>
      </c>
      <c r="AH71">
        <v>89503</v>
      </c>
      <c r="AI71" t="s">
        <v>4655</v>
      </c>
      <c r="AJ71" t="s">
        <v>4655</v>
      </c>
      <c r="AK71" t="s">
        <v>6026</v>
      </c>
      <c r="AL71" s="13" t="s">
        <v>2255</v>
      </c>
      <c r="AM71">
        <v>1</v>
      </c>
      <c r="AN71" s="15" t="s">
        <v>4566</v>
      </c>
    </row>
    <row r="72" spans="1:40" x14ac:dyDescent="0.3">
      <c r="A72" s="10" t="str">
        <f>HYPERLINK("http://www.washoecounty.gov/assessor/cama/?parid=001-361-11&amp;CardNumber=1","001-361-11")</f>
        <v>001-361-11</v>
      </c>
      <c r="B72" t="s">
        <v>4655</v>
      </c>
      <c r="C72" t="s">
        <v>6027</v>
      </c>
      <c r="D72" s="1">
        <v>40262</v>
      </c>
      <c r="E72" s="2">
        <v>150000</v>
      </c>
      <c r="F72" t="s">
        <v>4567</v>
      </c>
      <c r="G72" s="17" t="str">
        <f>HYPERLINK("https://www.washoecounty.gov/assessor/cama/?command=sales&amp;parid=00136111","3864018")</f>
        <v>3864018</v>
      </c>
      <c r="H72" t="s">
        <v>1737</v>
      </c>
      <c r="I72">
        <v>1964</v>
      </c>
      <c r="J72">
        <v>1964</v>
      </c>
      <c r="K72" t="s">
        <v>4554</v>
      </c>
      <c r="L72" t="s">
        <v>4555</v>
      </c>
      <c r="M72" s="2">
        <v>1176</v>
      </c>
      <c r="N72" t="s">
        <v>4556</v>
      </c>
      <c r="O72">
        <v>3</v>
      </c>
      <c r="P72">
        <v>2</v>
      </c>
      <c r="Q72">
        <v>0</v>
      </c>
      <c r="R72" t="s">
        <v>4557</v>
      </c>
      <c r="S72" t="s">
        <v>4558</v>
      </c>
      <c r="T72" t="s">
        <v>4559</v>
      </c>
      <c r="U72" t="s">
        <v>4655</v>
      </c>
      <c r="V72" s="2">
        <v>0</v>
      </c>
      <c r="W72" t="s">
        <v>4655</v>
      </c>
      <c r="X72" s="2">
        <v>0</v>
      </c>
      <c r="Y72">
        <v>20</v>
      </c>
      <c r="Z72" t="s">
        <v>4561</v>
      </c>
      <c r="AA72" s="3">
        <v>0.214990824460983</v>
      </c>
      <c r="AB72" t="s">
        <v>6028</v>
      </c>
      <c r="AC72" t="s">
        <v>4562</v>
      </c>
      <c r="AD72" t="s">
        <v>6027</v>
      </c>
      <c r="AE72" t="s">
        <v>4655</v>
      </c>
      <c r="AF72" t="s">
        <v>4563</v>
      </c>
      <c r="AG72" t="s">
        <v>4564</v>
      </c>
      <c r="AH72">
        <v>89503</v>
      </c>
      <c r="AI72" t="s">
        <v>4655</v>
      </c>
      <c r="AJ72" t="s">
        <v>4655</v>
      </c>
      <c r="AK72" t="s">
        <v>6029</v>
      </c>
      <c r="AL72" s="13" t="s">
        <v>2255</v>
      </c>
      <c r="AM72">
        <v>1</v>
      </c>
      <c r="AN72" s="15" t="s">
        <v>4566</v>
      </c>
    </row>
    <row r="73" spans="1:40" x14ac:dyDescent="0.3">
      <c r="A73" s="10" t="str">
        <f>HYPERLINK("http://www.washoecounty.gov/assessor/cama/?parid=001-372-02&amp;CardNumber=1","001-372-02")</f>
        <v>001-372-02</v>
      </c>
      <c r="B73" t="s">
        <v>4655</v>
      </c>
      <c r="C73" t="s">
        <v>6030</v>
      </c>
      <c r="D73" s="1">
        <v>40416</v>
      </c>
      <c r="E73" s="2">
        <v>120000</v>
      </c>
      <c r="F73" t="s">
        <v>4553</v>
      </c>
      <c r="G73" s="17" t="str">
        <f>HYPERLINK("https://www.washoecounty.gov/assessor/cama/?command=sales&amp;parid=00137202","3915654")</f>
        <v>3915654</v>
      </c>
      <c r="H73" t="s">
        <v>3199</v>
      </c>
      <c r="I73">
        <v>1969</v>
      </c>
      <c r="J73">
        <v>1973</v>
      </c>
      <c r="K73" t="s">
        <v>4554</v>
      </c>
      <c r="L73" t="s">
        <v>4555</v>
      </c>
      <c r="M73" s="2">
        <v>1514</v>
      </c>
      <c r="N73" t="s">
        <v>4556</v>
      </c>
      <c r="O73">
        <v>4</v>
      </c>
      <c r="P73">
        <v>2</v>
      </c>
      <c r="Q73">
        <v>0</v>
      </c>
      <c r="R73" t="s">
        <v>4557</v>
      </c>
      <c r="S73" t="s">
        <v>4574</v>
      </c>
      <c r="T73" t="s">
        <v>4559</v>
      </c>
      <c r="U73" t="s">
        <v>4560</v>
      </c>
      <c r="V73" s="2">
        <v>420</v>
      </c>
      <c r="W73" t="s">
        <v>4655</v>
      </c>
      <c r="X73" s="2">
        <v>0</v>
      </c>
      <c r="Y73">
        <v>20</v>
      </c>
      <c r="Z73" t="s">
        <v>4561</v>
      </c>
      <c r="AA73" s="3">
        <v>0.13700643181800801</v>
      </c>
      <c r="AB73" t="s">
        <v>6031</v>
      </c>
      <c r="AC73" t="s">
        <v>4562</v>
      </c>
      <c r="AD73" t="s">
        <v>6030</v>
      </c>
      <c r="AE73" t="s">
        <v>4655</v>
      </c>
      <c r="AF73" t="s">
        <v>4563</v>
      </c>
      <c r="AG73" t="s">
        <v>4564</v>
      </c>
      <c r="AH73">
        <v>89503</v>
      </c>
      <c r="AI73" t="s">
        <v>2351</v>
      </c>
      <c r="AJ73" t="s">
        <v>4655</v>
      </c>
      <c r="AK73" t="s">
        <v>6032</v>
      </c>
      <c r="AL73" s="13" t="s">
        <v>2255</v>
      </c>
      <c r="AM73" s="14">
        <v>1</v>
      </c>
      <c r="AN73" s="15" t="s">
        <v>4566</v>
      </c>
    </row>
    <row r="74" spans="1:40" x14ac:dyDescent="0.3">
      <c r="A74" s="10" t="str">
        <f>HYPERLINK("http://www.washoecounty.gov/assessor/cama/?parid=001-374-12&amp;CardNumber=1","001-374-12")</f>
        <v>001-374-12</v>
      </c>
      <c r="B74" t="s">
        <v>4655</v>
      </c>
      <c r="C74" t="s">
        <v>6033</v>
      </c>
      <c r="D74" s="1">
        <v>40444</v>
      </c>
      <c r="E74" s="2">
        <v>153000</v>
      </c>
      <c r="F74" t="s">
        <v>4567</v>
      </c>
      <c r="G74" s="17" t="str">
        <f>HYPERLINK("https://www.washoecounty.gov/assessor/cama/?command=sales&amp;parid=00137412","3925648")</f>
        <v>3925648</v>
      </c>
      <c r="H74" t="s">
        <v>3199</v>
      </c>
      <c r="I74">
        <v>1969</v>
      </c>
      <c r="J74">
        <v>1969</v>
      </c>
      <c r="K74" t="s">
        <v>4554</v>
      </c>
      <c r="L74" t="s">
        <v>4555</v>
      </c>
      <c r="M74" s="2">
        <v>1354</v>
      </c>
      <c r="N74" t="s">
        <v>4556</v>
      </c>
      <c r="O74">
        <v>3</v>
      </c>
      <c r="P74">
        <v>2</v>
      </c>
      <c r="Q74">
        <v>0</v>
      </c>
      <c r="R74" t="s">
        <v>4557</v>
      </c>
      <c r="S74" t="s">
        <v>4574</v>
      </c>
      <c r="T74" t="s">
        <v>4559</v>
      </c>
      <c r="U74" t="s">
        <v>4560</v>
      </c>
      <c r="V74" s="2">
        <v>420</v>
      </c>
      <c r="W74" t="s">
        <v>4655</v>
      </c>
      <c r="X74" s="2">
        <v>0</v>
      </c>
      <c r="Y74">
        <v>20</v>
      </c>
      <c r="Z74" t="s">
        <v>4561</v>
      </c>
      <c r="AA74" s="3">
        <v>0.21701101958751701</v>
      </c>
      <c r="AB74" t="s">
        <v>6034</v>
      </c>
      <c r="AC74" t="s">
        <v>4575</v>
      </c>
      <c r="AD74" t="s">
        <v>6033</v>
      </c>
      <c r="AE74" t="s">
        <v>4655</v>
      </c>
      <c r="AF74" t="s">
        <v>4563</v>
      </c>
      <c r="AG74" t="s">
        <v>4564</v>
      </c>
      <c r="AH74">
        <v>89502</v>
      </c>
      <c r="AI74" t="s">
        <v>6035</v>
      </c>
      <c r="AJ74" t="s">
        <v>4655</v>
      </c>
      <c r="AK74" t="s">
        <v>6036</v>
      </c>
      <c r="AL74" s="13" t="s">
        <v>2255</v>
      </c>
      <c r="AM74">
        <v>1</v>
      </c>
      <c r="AN74" s="15" t="s">
        <v>4566</v>
      </c>
    </row>
    <row r="75" spans="1:40" x14ac:dyDescent="0.3">
      <c r="A75" s="10" t="str">
        <f>HYPERLINK("http://www.washoecounty.gov/assessor/cama/?parid=001-382-01&amp;CardNumber=1","001-382-01")</f>
        <v>001-382-01</v>
      </c>
      <c r="B75" t="s">
        <v>4655</v>
      </c>
      <c r="C75" t="s">
        <v>6037</v>
      </c>
      <c r="D75" s="1">
        <v>40200</v>
      </c>
      <c r="E75" s="2">
        <v>140000</v>
      </c>
      <c r="F75" t="s">
        <v>4567</v>
      </c>
      <c r="G75" s="17" t="str">
        <f>HYPERLINK("https://www.washoecounty.gov/assessor/cama/?command=sales&amp;parid=00138201","3842076")</f>
        <v>3842076</v>
      </c>
      <c r="H75" t="s">
        <v>3199</v>
      </c>
      <c r="I75">
        <v>1969</v>
      </c>
      <c r="J75">
        <v>1971</v>
      </c>
      <c r="K75" t="s">
        <v>4554</v>
      </c>
      <c r="L75" t="s">
        <v>4555</v>
      </c>
      <c r="M75" s="2">
        <v>1687</v>
      </c>
      <c r="N75" t="s">
        <v>4556</v>
      </c>
      <c r="O75">
        <v>3</v>
      </c>
      <c r="P75">
        <v>2</v>
      </c>
      <c r="Q75">
        <v>0</v>
      </c>
      <c r="R75" t="s">
        <v>4557</v>
      </c>
      <c r="S75" t="s">
        <v>4574</v>
      </c>
      <c r="T75" t="s">
        <v>4559</v>
      </c>
      <c r="U75" t="s">
        <v>4560</v>
      </c>
      <c r="V75" s="2">
        <v>462</v>
      </c>
      <c r="W75" t="s">
        <v>4655</v>
      </c>
      <c r="X75" s="2">
        <v>0</v>
      </c>
      <c r="Y75">
        <v>20</v>
      </c>
      <c r="Z75" t="s">
        <v>4561</v>
      </c>
      <c r="AA75" s="3">
        <v>0.16799816489219666</v>
      </c>
      <c r="AB75" t="s">
        <v>6038</v>
      </c>
      <c r="AC75" t="s">
        <v>4562</v>
      </c>
      <c r="AD75" t="s">
        <v>6037</v>
      </c>
      <c r="AE75" t="s">
        <v>4655</v>
      </c>
      <c r="AF75" t="s">
        <v>4563</v>
      </c>
      <c r="AG75" t="s">
        <v>4564</v>
      </c>
      <c r="AH75">
        <v>89503</v>
      </c>
      <c r="AI75" t="s">
        <v>6039</v>
      </c>
      <c r="AJ75" t="s">
        <v>4655</v>
      </c>
      <c r="AK75" t="s">
        <v>6040</v>
      </c>
      <c r="AL75" s="13" t="s">
        <v>2255</v>
      </c>
      <c r="AM75">
        <v>1</v>
      </c>
      <c r="AN75" s="15" t="s">
        <v>4566</v>
      </c>
    </row>
    <row r="76" spans="1:40" x14ac:dyDescent="0.3">
      <c r="A76" s="10" t="str">
        <f>HYPERLINK("http://www.washoecounty.gov/assessor/cama/?parid=001-384-06&amp;CardNumber=1","001-384-06")</f>
        <v>001-384-06</v>
      </c>
      <c r="B76" t="s">
        <v>4655</v>
      </c>
      <c r="C76" t="s">
        <v>4260</v>
      </c>
      <c r="D76" s="1">
        <v>40436</v>
      </c>
      <c r="E76" s="2">
        <v>85000</v>
      </c>
      <c r="F76" t="s">
        <v>4553</v>
      </c>
      <c r="G76" s="17" t="str">
        <f>HYPERLINK("https://www.washoecounty.gov/assessor/cama/?command=sales&amp;parid=00138406","3922604")</f>
        <v>3922604</v>
      </c>
      <c r="H76" t="s">
        <v>3199</v>
      </c>
      <c r="I76">
        <v>1969</v>
      </c>
      <c r="J76">
        <v>1969</v>
      </c>
      <c r="K76" t="s">
        <v>4554</v>
      </c>
      <c r="L76" t="s">
        <v>4555</v>
      </c>
      <c r="M76" s="2">
        <v>1400</v>
      </c>
      <c r="N76" t="s">
        <v>4556</v>
      </c>
      <c r="O76">
        <v>3</v>
      </c>
      <c r="P76">
        <v>2</v>
      </c>
      <c r="Q76">
        <v>0</v>
      </c>
      <c r="R76" t="s">
        <v>4557</v>
      </c>
      <c r="S76" t="s">
        <v>4558</v>
      </c>
      <c r="T76" t="s">
        <v>4559</v>
      </c>
      <c r="U76" t="s">
        <v>4560</v>
      </c>
      <c r="V76" s="2">
        <v>506</v>
      </c>
      <c r="W76" t="s">
        <v>4655</v>
      </c>
      <c r="X76" s="2">
        <v>0</v>
      </c>
      <c r="Y76">
        <v>20</v>
      </c>
      <c r="Z76" t="s">
        <v>4561</v>
      </c>
      <c r="AA76" s="3">
        <v>0.13700643181800801</v>
      </c>
      <c r="AB76" t="s">
        <v>4031</v>
      </c>
      <c r="AC76" t="s">
        <v>4562</v>
      </c>
      <c r="AD76" t="s">
        <v>4032</v>
      </c>
      <c r="AE76" t="s">
        <v>4655</v>
      </c>
      <c r="AF76" t="s">
        <v>5201</v>
      </c>
      <c r="AG76" t="s">
        <v>4564</v>
      </c>
      <c r="AH76" t="s">
        <v>1605</v>
      </c>
      <c r="AI76" t="s">
        <v>4565</v>
      </c>
      <c r="AJ76" t="s">
        <v>4655</v>
      </c>
      <c r="AK76" t="s">
        <v>4261</v>
      </c>
      <c r="AL76" s="13" t="s">
        <v>2255</v>
      </c>
      <c r="AM76" s="14">
        <v>1</v>
      </c>
      <c r="AN76" s="15" t="s">
        <v>4566</v>
      </c>
    </row>
    <row r="77" spans="1:40" x14ac:dyDescent="0.3">
      <c r="A77" s="10" t="str">
        <f>HYPERLINK("http://www.washoecounty.gov/assessor/cama/?parid=001-385-04&amp;CardNumber=1","001-385-04")</f>
        <v>001-385-04</v>
      </c>
      <c r="B77" t="s">
        <v>4655</v>
      </c>
      <c r="C77" t="s">
        <v>6041</v>
      </c>
      <c r="D77" s="1">
        <v>40371</v>
      </c>
      <c r="E77" s="2">
        <v>107000</v>
      </c>
      <c r="F77" t="s">
        <v>4553</v>
      </c>
      <c r="G77" s="17" t="str">
        <f>HYPERLINK("https://www.washoecounty.gov/assessor/cama/?command=sales&amp;parid=00138504","3900481")</f>
        <v>3900481</v>
      </c>
      <c r="H77" t="s">
        <v>1622</v>
      </c>
      <c r="I77">
        <v>1970</v>
      </c>
      <c r="J77">
        <v>1970</v>
      </c>
      <c r="K77" t="s">
        <v>4554</v>
      </c>
      <c r="L77" t="s">
        <v>4555</v>
      </c>
      <c r="M77" s="2">
        <v>1368</v>
      </c>
      <c r="N77" t="s">
        <v>4556</v>
      </c>
      <c r="O77">
        <v>3</v>
      </c>
      <c r="P77">
        <v>2</v>
      </c>
      <c r="Q77">
        <v>0</v>
      </c>
      <c r="R77" t="s">
        <v>4557</v>
      </c>
      <c r="S77" t="s">
        <v>4135</v>
      </c>
      <c r="T77" t="s">
        <v>4559</v>
      </c>
      <c r="U77" t="s">
        <v>4560</v>
      </c>
      <c r="V77" s="2">
        <v>378</v>
      </c>
      <c r="W77" t="s">
        <v>4655</v>
      </c>
      <c r="X77" s="2">
        <v>0</v>
      </c>
      <c r="Y77">
        <v>20</v>
      </c>
      <c r="Z77" t="s">
        <v>4561</v>
      </c>
      <c r="AA77" s="3">
        <v>0.13700643181800801</v>
      </c>
      <c r="AB77" t="s">
        <v>6042</v>
      </c>
      <c r="AC77" t="s">
        <v>4575</v>
      </c>
      <c r="AD77" t="s">
        <v>6043</v>
      </c>
      <c r="AE77" t="s">
        <v>4655</v>
      </c>
      <c r="AF77" t="s">
        <v>4563</v>
      </c>
      <c r="AG77" t="s">
        <v>4564</v>
      </c>
      <c r="AH77">
        <v>89503</v>
      </c>
      <c r="AI77" t="s">
        <v>4903</v>
      </c>
      <c r="AJ77" t="s">
        <v>4655</v>
      </c>
      <c r="AK77" t="s">
        <v>6044</v>
      </c>
      <c r="AL77" s="13" t="s">
        <v>2255</v>
      </c>
      <c r="AM77" s="14">
        <v>1</v>
      </c>
      <c r="AN77" s="15" t="s">
        <v>4566</v>
      </c>
    </row>
    <row r="78" spans="1:40" x14ac:dyDescent="0.3">
      <c r="A78" s="10" t="str">
        <f>HYPERLINK("http://www.washoecounty.gov/assessor/cama/?parid=001-391-02&amp;CardNumber=1","001-391-02")</f>
        <v>001-391-02</v>
      </c>
      <c r="B78" t="s">
        <v>4655</v>
      </c>
      <c r="C78" t="s">
        <v>6045</v>
      </c>
      <c r="D78" s="1">
        <v>40448</v>
      </c>
      <c r="E78" s="2">
        <v>146900</v>
      </c>
      <c r="F78" t="s">
        <v>4553</v>
      </c>
      <c r="G78" s="17" t="str">
        <f>HYPERLINK("https://www.washoecounty.gov/assessor/cama/?command=sales&amp;parid=00139102","3926526")</f>
        <v>3926526</v>
      </c>
      <c r="H78" t="s">
        <v>1871</v>
      </c>
      <c r="I78">
        <v>1976</v>
      </c>
      <c r="J78">
        <v>1976</v>
      </c>
      <c r="K78" t="s">
        <v>4554</v>
      </c>
      <c r="L78" t="s">
        <v>2170</v>
      </c>
      <c r="M78" s="2">
        <v>1440</v>
      </c>
      <c r="N78" t="s">
        <v>4556</v>
      </c>
      <c r="O78">
        <v>3</v>
      </c>
      <c r="P78">
        <v>2</v>
      </c>
      <c r="Q78">
        <v>0</v>
      </c>
      <c r="R78" t="s">
        <v>5281</v>
      </c>
      <c r="S78" t="s">
        <v>4558</v>
      </c>
      <c r="T78" t="s">
        <v>4559</v>
      </c>
      <c r="U78" t="s">
        <v>4560</v>
      </c>
      <c r="V78" s="2">
        <v>528</v>
      </c>
      <c r="W78" t="s">
        <v>4655</v>
      </c>
      <c r="X78" s="2">
        <v>0</v>
      </c>
      <c r="Y78">
        <v>20</v>
      </c>
      <c r="Z78" t="s">
        <v>4561</v>
      </c>
      <c r="AA78" s="3">
        <v>0.15500459074974099</v>
      </c>
      <c r="AB78" t="s">
        <v>6046</v>
      </c>
      <c r="AC78" t="s">
        <v>4562</v>
      </c>
      <c r="AD78" t="s">
        <v>6047</v>
      </c>
      <c r="AE78" t="s">
        <v>4655</v>
      </c>
      <c r="AF78" t="s">
        <v>4563</v>
      </c>
      <c r="AG78" t="s">
        <v>4564</v>
      </c>
      <c r="AH78">
        <v>89509</v>
      </c>
      <c r="AI78" t="s">
        <v>4903</v>
      </c>
      <c r="AJ78" t="s">
        <v>4655</v>
      </c>
      <c r="AK78" t="s">
        <v>6048</v>
      </c>
      <c r="AL78" s="13" t="s">
        <v>2255</v>
      </c>
      <c r="AM78" s="14">
        <v>1</v>
      </c>
      <c r="AN78" s="15" t="s">
        <v>4566</v>
      </c>
    </row>
    <row r="79" spans="1:40" x14ac:dyDescent="0.3">
      <c r="A79" s="10" t="str">
        <f>HYPERLINK("http://www.washoecounty.gov/assessor/cama/?parid=001-402-17&amp;CardNumber=1","001-402-17")</f>
        <v>001-402-17</v>
      </c>
      <c r="B79" t="s">
        <v>4655</v>
      </c>
      <c r="C79" t="s">
        <v>6049</v>
      </c>
      <c r="D79" s="1">
        <v>40261</v>
      </c>
      <c r="E79" s="2">
        <v>165000</v>
      </c>
      <c r="F79" t="s">
        <v>4567</v>
      </c>
      <c r="G79" s="17" t="str">
        <f>HYPERLINK("https://www.washoecounty.gov/assessor/cama/?command=sales&amp;parid=00140217","3863546")</f>
        <v>3863546</v>
      </c>
      <c r="H79" t="s">
        <v>1871</v>
      </c>
      <c r="I79">
        <v>1976</v>
      </c>
      <c r="J79">
        <v>1976</v>
      </c>
      <c r="K79" t="s">
        <v>4554</v>
      </c>
      <c r="L79" t="s">
        <v>2170</v>
      </c>
      <c r="M79" s="2">
        <v>1440</v>
      </c>
      <c r="N79" t="s">
        <v>4556</v>
      </c>
      <c r="O79">
        <v>3</v>
      </c>
      <c r="P79">
        <v>2</v>
      </c>
      <c r="Q79">
        <v>0</v>
      </c>
      <c r="R79" t="s">
        <v>4557</v>
      </c>
      <c r="S79" t="s">
        <v>4558</v>
      </c>
      <c r="T79" t="s">
        <v>4559</v>
      </c>
      <c r="U79" t="s">
        <v>4560</v>
      </c>
      <c r="V79" s="2">
        <v>528</v>
      </c>
      <c r="W79" t="s">
        <v>4655</v>
      </c>
      <c r="X79" s="2">
        <v>0</v>
      </c>
      <c r="Y79">
        <v>20</v>
      </c>
      <c r="Z79" t="s">
        <v>4561</v>
      </c>
      <c r="AA79" s="3">
        <v>0.14201101660728499</v>
      </c>
      <c r="AB79" t="s">
        <v>6050</v>
      </c>
      <c r="AC79" t="s">
        <v>4562</v>
      </c>
      <c r="AD79" t="s">
        <v>6049</v>
      </c>
      <c r="AE79" t="s">
        <v>4655</v>
      </c>
      <c r="AF79" t="s">
        <v>4563</v>
      </c>
      <c r="AG79" t="s">
        <v>4564</v>
      </c>
      <c r="AH79">
        <v>89509</v>
      </c>
      <c r="AI79" t="s">
        <v>6051</v>
      </c>
      <c r="AJ79" t="s">
        <v>4655</v>
      </c>
      <c r="AK79" t="s">
        <v>6052</v>
      </c>
      <c r="AL79" s="13" t="s">
        <v>2255</v>
      </c>
      <c r="AM79" s="14">
        <v>1</v>
      </c>
      <c r="AN79" s="15" t="s">
        <v>4566</v>
      </c>
    </row>
    <row r="80" spans="1:40" x14ac:dyDescent="0.3">
      <c r="A80" s="10" t="str">
        <f>HYPERLINK("http://www.washoecounty.gov/assessor/cama/?parid=001-421-01&amp;CardNumber=1","001-421-01")</f>
        <v>001-421-01</v>
      </c>
      <c r="B80" t="s">
        <v>4655</v>
      </c>
      <c r="C80" t="s">
        <v>6053</v>
      </c>
      <c r="D80" s="1">
        <v>40333</v>
      </c>
      <c r="E80" s="2">
        <v>132000</v>
      </c>
      <c r="F80" t="s">
        <v>4567</v>
      </c>
      <c r="G80" s="17" t="str">
        <f>HYPERLINK("https://www.washoecounty.gov/assessor/cama/?command=sales&amp;parid=00142101","3888487")</f>
        <v>3888487</v>
      </c>
      <c r="H80" t="s">
        <v>2671</v>
      </c>
      <c r="I80">
        <v>1983</v>
      </c>
      <c r="J80">
        <v>1983</v>
      </c>
      <c r="K80" t="s">
        <v>4554</v>
      </c>
      <c r="L80" t="s">
        <v>3974</v>
      </c>
      <c r="M80" s="2">
        <v>1580</v>
      </c>
      <c r="N80" t="s">
        <v>4556</v>
      </c>
      <c r="O80">
        <v>3</v>
      </c>
      <c r="P80">
        <v>2</v>
      </c>
      <c r="Q80">
        <v>1</v>
      </c>
      <c r="R80" t="s">
        <v>4557</v>
      </c>
      <c r="S80" t="s">
        <v>4558</v>
      </c>
      <c r="T80" t="s">
        <v>4559</v>
      </c>
      <c r="U80" t="s">
        <v>4560</v>
      </c>
      <c r="V80" s="2">
        <v>420</v>
      </c>
      <c r="W80" t="s">
        <v>4655</v>
      </c>
      <c r="X80" s="2">
        <v>0</v>
      </c>
      <c r="Y80">
        <v>20</v>
      </c>
      <c r="Z80" t="s">
        <v>4144</v>
      </c>
      <c r="AA80" s="3">
        <v>0.11299357563257199</v>
      </c>
      <c r="AB80" t="s">
        <v>6054</v>
      </c>
      <c r="AC80" t="s">
        <v>4575</v>
      </c>
      <c r="AD80" t="s">
        <v>6055</v>
      </c>
      <c r="AE80" t="s">
        <v>4655</v>
      </c>
      <c r="AF80" t="s">
        <v>4563</v>
      </c>
      <c r="AG80" t="s">
        <v>4564</v>
      </c>
      <c r="AH80">
        <v>89503</v>
      </c>
      <c r="AI80" t="s">
        <v>6056</v>
      </c>
      <c r="AJ80" t="s">
        <v>4655</v>
      </c>
      <c r="AK80" t="s">
        <v>6057</v>
      </c>
      <c r="AL80" s="13" t="s">
        <v>2255</v>
      </c>
      <c r="AM80" s="14">
        <v>1</v>
      </c>
      <c r="AN80" s="15" t="s">
        <v>4566</v>
      </c>
    </row>
    <row r="81" spans="1:40" x14ac:dyDescent="0.3">
      <c r="A81" s="10" t="str">
        <f>HYPERLINK("http://www.washoecounty.gov/assessor/cama/?parid=001-421-02&amp;CardNumber=1","001-421-02")</f>
        <v>001-421-02</v>
      </c>
      <c r="B81" t="s">
        <v>4655</v>
      </c>
      <c r="C81" t="s">
        <v>6058</v>
      </c>
      <c r="D81" s="1">
        <v>40239</v>
      </c>
      <c r="E81" s="2">
        <v>153000</v>
      </c>
      <c r="F81" t="s">
        <v>4553</v>
      </c>
      <c r="G81" s="17" t="str">
        <f>HYPERLINK("https://www.washoecounty.gov/assessor/cama/?command=sales&amp;parid=00142102","3854669")</f>
        <v>3854669</v>
      </c>
      <c r="H81" t="s">
        <v>2671</v>
      </c>
      <c r="I81">
        <v>1983</v>
      </c>
      <c r="J81">
        <v>1983</v>
      </c>
      <c r="K81" t="s">
        <v>4554</v>
      </c>
      <c r="L81" t="s">
        <v>3974</v>
      </c>
      <c r="M81" s="2">
        <v>1580</v>
      </c>
      <c r="N81" t="s">
        <v>4556</v>
      </c>
      <c r="O81">
        <v>3</v>
      </c>
      <c r="P81">
        <v>2</v>
      </c>
      <c r="Q81">
        <v>1</v>
      </c>
      <c r="R81" t="s">
        <v>4557</v>
      </c>
      <c r="S81" t="s">
        <v>4558</v>
      </c>
      <c r="T81" t="s">
        <v>4559</v>
      </c>
      <c r="U81" t="s">
        <v>4560</v>
      </c>
      <c r="V81" s="2">
        <v>420</v>
      </c>
      <c r="W81" t="s">
        <v>4655</v>
      </c>
      <c r="X81" s="2">
        <v>0</v>
      </c>
      <c r="Y81">
        <v>20</v>
      </c>
      <c r="Z81" t="s">
        <v>4144</v>
      </c>
      <c r="AA81" s="3">
        <v>0.19499540328979501</v>
      </c>
      <c r="AB81" t="s">
        <v>6059</v>
      </c>
      <c r="AC81" t="s">
        <v>4562</v>
      </c>
      <c r="AD81" t="s">
        <v>6058</v>
      </c>
      <c r="AE81" t="s">
        <v>4655</v>
      </c>
      <c r="AF81" t="s">
        <v>4563</v>
      </c>
      <c r="AG81" t="s">
        <v>4564</v>
      </c>
      <c r="AH81">
        <v>89503</v>
      </c>
      <c r="AI81" t="s">
        <v>4565</v>
      </c>
      <c r="AJ81" t="s">
        <v>4655</v>
      </c>
      <c r="AK81" t="s">
        <v>6060</v>
      </c>
      <c r="AL81" s="13" t="s">
        <v>2255</v>
      </c>
      <c r="AM81" s="14">
        <v>1</v>
      </c>
      <c r="AN81" s="15" t="s">
        <v>4566</v>
      </c>
    </row>
    <row r="82" spans="1:40" x14ac:dyDescent="0.3">
      <c r="A82" s="10" t="str">
        <f>HYPERLINK("http://www.washoecounty.gov/assessor/cama/?parid=001-421-05&amp;CardNumber=1","001-421-05")</f>
        <v>001-421-05</v>
      </c>
      <c r="B82" t="s">
        <v>4655</v>
      </c>
      <c r="C82" t="s">
        <v>6061</v>
      </c>
      <c r="D82" s="1">
        <v>40228</v>
      </c>
      <c r="E82" s="2">
        <v>160000</v>
      </c>
      <c r="F82" t="s">
        <v>4553</v>
      </c>
      <c r="G82" s="17" t="str">
        <f>HYPERLINK("https://www.washoecounty.gov/assessor/cama/?command=sales&amp;parid=00142105","3851054")</f>
        <v>3851054</v>
      </c>
      <c r="H82" t="s">
        <v>2671</v>
      </c>
      <c r="I82">
        <v>1984</v>
      </c>
      <c r="J82">
        <v>1984</v>
      </c>
      <c r="K82" t="s">
        <v>4554</v>
      </c>
      <c r="L82" t="s">
        <v>3974</v>
      </c>
      <c r="M82" s="2">
        <v>1652</v>
      </c>
      <c r="N82" t="s">
        <v>4556</v>
      </c>
      <c r="O82">
        <v>3</v>
      </c>
      <c r="P82">
        <v>3</v>
      </c>
      <c r="Q82">
        <v>0</v>
      </c>
      <c r="R82" t="s">
        <v>4557</v>
      </c>
      <c r="S82" t="s">
        <v>4558</v>
      </c>
      <c r="T82" t="s">
        <v>4559</v>
      </c>
      <c r="U82" t="s">
        <v>5631</v>
      </c>
      <c r="V82" s="2">
        <v>656</v>
      </c>
      <c r="W82" t="s">
        <v>4655</v>
      </c>
      <c r="X82" s="2">
        <v>0</v>
      </c>
      <c r="Y82">
        <v>20</v>
      </c>
      <c r="Z82" t="s">
        <v>4144</v>
      </c>
      <c r="AA82" s="3">
        <v>0.10000000149011599</v>
      </c>
      <c r="AB82" t="s">
        <v>6062</v>
      </c>
      <c r="AC82" t="s">
        <v>4562</v>
      </c>
      <c r="AD82" t="s">
        <v>6061</v>
      </c>
      <c r="AE82" t="s">
        <v>4655</v>
      </c>
      <c r="AF82" t="s">
        <v>4563</v>
      </c>
      <c r="AG82" t="s">
        <v>4564</v>
      </c>
      <c r="AH82">
        <v>89503</v>
      </c>
      <c r="AI82" t="s">
        <v>4565</v>
      </c>
      <c r="AJ82" t="s">
        <v>4655</v>
      </c>
      <c r="AK82" t="s">
        <v>6063</v>
      </c>
      <c r="AL82" s="13" t="s">
        <v>2255</v>
      </c>
      <c r="AM82" s="14">
        <v>1</v>
      </c>
      <c r="AN82" s="15" t="s">
        <v>4566</v>
      </c>
    </row>
    <row r="83" spans="1:40" x14ac:dyDescent="0.3">
      <c r="A83" s="10" t="str">
        <f>HYPERLINK("http://www.washoecounty.gov/assessor/cama/?parid=001-421-06&amp;CardNumber=1","001-421-06")</f>
        <v>001-421-06</v>
      </c>
      <c r="B83" t="s">
        <v>4655</v>
      </c>
      <c r="C83" t="s">
        <v>6064</v>
      </c>
      <c r="D83" s="1">
        <v>40323</v>
      </c>
      <c r="E83" s="2">
        <v>145000</v>
      </c>
      <c r="F83" t="s">
        <v>4567</v>
      </c>
      <c r="G83" s="17" t="str">
        <f>HYPERLINK("https://www.washoecounty.gov/assessor/cama/?command=sales&amp;parid=00142106","3885110")</f>
        <v>3885110</v>
      </c>
      <c r="H83" t="s">
        <v>2671</v>
      </c>
      <c r="I83">
        <v>1984</v>
      </c>
      <c r="J83">
        <v>1984</v>
      </c>
      <c r="K83" t="s">
        <v>4554</v>
      </c>
      <c r="L83" t="s">
        <v>3974</v>
      </c>
      <c r="M83" s="2">
        <v>1653</v>
      </c>
      <c r="N83" t="s">
        <v>4556</v>
      </c>
      <c r="O83">
        <v>4</v>
      </c>
      <c r="P83">
        <v>3</v>
      </c>
      <c r="Q83">
        <v>0</v>
      </c>
      <c r="R83" t="s">
        <v>4557</v>
      </c>
      <c r="S83" t="s">
        <v>4558</v>
      </c>
      <c r="T83" t="s">
        <v>4559</v>
      </c>
      <c r="U83" t="s">
        <v>5631</v>
      </c>
      <c r="V83" s="2">
        <v>268</v>
      </c>
      <c r="W83" t="s">
        <v>4655</v>
      </c>
      <c r="X83" s="2">
        <v>0</v>
      </c>
      <c r="Y83">
        <v>20</v>
      </c>
      <c r="Z83" t="s">
        <v>4144</v>
      </c>
      <c r="AA83" s="3">
        <v>8.5996329784393297E-2</v>
      </c>
      <c r="AB83" t="s">
        <v>6065</v>
      </c>
      <c r="AC83" t="s">
        <v>4575</v>
      </c>
      <c r="AD83" t="s">
        <v>6066</v>
      </c>
      <c r="AE83" t="s">
        <v>6067</v>
      </c>
      <c r="AF83" t="s">
        <v>4563</v>
      </c>
      <c r="AG83" t="s">
        <v>4564</v>
      </c>
      <c r="AH83">
        <v>89503</v>
      </c>
      <c r="AI83" t="s">
        <v>2052</v>
      </c>
      <c r="AJ83" t="s">
        <v>4655</v>
      </c>
      <c r="AK83" t="s">
        <v>6068</v>
      </c>
      <c r="AL83" s="13" t="s">
        <v>2255</v>
      </c>
      <c r="AM83" s="14">
        <v>1</v>
      </c>
      <c r="AN83" s="15" t="s">
        <v>4566</v>
      </c>
    </row>
    <row r="84" spans="1:40" x14ac:dyDescent="0.3">
      <c r="A84" s="10" t="str">
        <f>HYPERLINK("http://www.washoecounty.gov/assessor/cama/?parid=001-421-14&amp;CardNumber=1","001-421-14")</f>
        <v>001-421-14</v>
      </c>
      <c r="B84" t="s">
        <v>4655</v>
      </c>
      <c r="C84" t="s">
        <v>6069</v>
      </c>
      <c r="D84" s="1">
        <v>40240</v>
      </c>
      <c r="E84" s="2">
        <v>120000</v>
      </c>
      <c r="F84" t="s">
        <v>4553</v>
      </c>
      <c r="G84" s="17" t="str">
        <f>HYPERLINK("https://www.washoecounty.gov/assessor/cama/?command=sales&amp;parid=00142114","3855176")</f>
        <v>3855176</v>
      </c>
      <c r="H84" t="s">
        <v>2671</v>
      </c>
      <c r="I84">
        <v>1984</v>
      </c>
      <c r="J84">
        <v>1984</v>
      </c>
      <c r="K84" t="s">
        <v>4554</v>
      </c>
      <c r="L84" t="s">
        <v>3974</v>
      </c>
      <c r="M84" s="2">
        <v>1652</v>
      </c>
      <c r="N84" t="s">
        <v>4556</v>
      </c>
      <c r="O84">
        <v>3</v>
      </c>
      <c r="P84">
        <v>3</v>
      </c>
      <c r="Q84">
        <v>0</v>
      </c>
      <c r="R84" t="s">
        <v>5281</v>
      </c>
      <c r="S84" t="s">
        <v>4558</v>
      </c>
      <c r="T84" t="s">
        <v>4559</v>
      </c>
      <c r="U84" t="s">
        <v>5631</v>
      </c>
      <c r="V84" s="2">
        <v>656</v>
      </c>
      <c r="W84" t="s">
        <v>4655</v>
      </c>
      <c r="X84" s="2">
        <v>0</v>
      </c>
      <c r="Y84">
        <v>20</v>
      </c>
      <c r="Z84" t="s">
        <v>4144</v>
      </c>
      <c r="AA84" s="3">
        <v>8.2988977432251004E-2</v>
      </c>
      <c r="AB84" t="s">
        <v>6070</v>
      </c>
      <c r="AC84" t="s">
        <v>4562</v>
      </c>
      <c r="AD84" t="s">
        <v>6071</v>
      </c>
      <c r="AE84" t="s">
        <v>4655</v>
      </c>
      <c r="AF84" t="s">
        <v>4563</v>
      </c>
      <c r="AG84" t="s">
        <v>4564</v>
      </c>
      <c r="AH84" t="s">
        <v>5197</v>
      </c>
      <c r="AI84" t="s">
        <v>687</v>
      </c>
      <c r="AJ84" t="s">
        <v>4655</v>
      </c>
      <c r="AK84" t="s">
        <v>6072</v>
      </c>
      <c r="AL84" s="13" t="s">
        <v>2255</v>
      </c>
      <c r="AM84">
        <v>1</v>
      </c>
      <c r="AN84" s="15" t="s">
        <v>4566</v>
      </c>
    </row>
    <row r="85" spans="1:40" x14ac:dyDescent="0.3">
      <c r="A85" s="10" t="str">
        <f>HYPERLINK("http://www.washoecounty.gov/assessor/cama/?parid=001-421-35&amp;CardNumber=1","001-421-35")</f>
        <v>001-421-35</v>
      </c>
      <c r="B85" t="s">
        <v>4655</v>
      </c>
      <c r="C85" t="s">
        <v>6073</v>
      </c>
      <c r="D85" s="1">
        <v>40326</v>
      </c>
      <c r="E85" s="2">
        <v>158000</v>
      </c>
      <c r="F85" t="s">
        <v>4567</v>
      </c>
      <c r="G85" s="17" t="str">
        <f>HYPERLINK("https://www.washoecounty.gov/assessor/cama/?command=sales&amp;parid=00142135","3886481")</f>
        <v>3886481</v>
      </c>
      <c r="H85" t="s">
        <v>2671</v>
      </c>
      <c r="I85">
        <v>1983</v>
      </c>
      <c r="J85">
        <v>1983</v>
      </c>
      <c r="K85" t="s">
        <v>4554</v>
      </c>
      <c r="L85" t="s">
        <v>3974</v>
      </c>
      <c r="M85" s="2">
        <v>1580</v>
      </c>
      <c r="N85" t="s">
        <v>4556</v>
      </c>
      <c r="O85">
        <v>3</v>
      </c>
      <c r="P85">
        <v>2</v>
      </c>
      <c r="Q85">
        <v>1</v>
      </c>
      <c r="R85" t="s">
        <v>4557</v>
      </c>
      <c r="S85" t="s">
        <v>4558</v>
      </c>
      <c r="T85" t="s">
        <v>4559</v>
      </c>
      <c r="U85" t="s">
        <v>4560</v>
      </c>
      <c r="V85" s="2">
        <v>420</v>
      </c>
      <c r="W85" t="s">
        <v>4655</v>
      </c>
      <c r="X85" s="2">
        <v>0</v>
      </c>
      <c r="Y85">
        <v>20</v>
      </c>
      <c r="Z85" t="s">
        <v>4144</v>
      </c>
      <c r="AA85" s="3">
        <v>0.10500459372997301</v>
      </c>
      <c r="AB85" t="s">
        <v>6074</v>
      </c>
      <c r="AC85" t="s">
        <v>4562</v>
      </c>
      <c r="AD85" t="s">
        <v>6073</v>
      </c>
      <c r="AE85" t="s">
        <v>4655</v>
      </c>
      <c r="AF85" t="s">
        <v>4563</v>
      </c>
      <c r="AG85" t="s">
        <v>4564</v>
      </c>
      <c r="AH85">
        <v>89503</v>
      </c>
      <c r="AI85" t="s">
        <v>6075</v>
      </c>
      <c r="AJ85" t="s">
        <v>4655</v>
      </c>
      <c r="AK85" t="s">
        <v>6076</v>
      </c>
      <c r="AL85" s="13" t="s">
        <v>2255</v>
      </c>
      <c r="AM85">
        <v>1</v>
      </c>
      <c r="AN85" s="15" t="s">
        <v>4566</v>
      </c>
    </row>
    <row r="86" spans="1:40" x14ac:dyDescent="0.3">
      <c r="A86" s="10" t="str">
        <f>HYPERLINK("http://www.washoecounty.gov/assessor/cama/?parid=001-422-09&amp;CardNumber=1","001-422-09")</f>
        <v>001-422-09</v>
      </c>
      <c r="B86" t="s">
        <v>4655</v>
      </c>
      <c r="C86" t="s">
        <v>6077</v>
      </c>
      <c r="D86" s="1">
        <v>40357</v>
      </c>
      <c r="E86" s="2">
        <v>127000</v>
      </c>
      <c r="F86" t="s">
        <v>4567</v>
      </c>
      <c r="G86" s="17" t="str">
        <f>HYPERLINK("https://www.washoecounty.gov/assessor/cama/?command=sales&amp;parid=00142209","3896068")</f>
        <v>3896068</v>
      </c>
      <c r="H86" t="s">
        <v>2161</v>
      </c>
      <c r="I86">
        <v>1984</v>
      </c>
      <c r="J86">
        <v>1984</v>
      </c>
      <c r="K86" t="s">
        <v>4554</v>
      </c>
      <c r="L86" t="s">
        <v>3974</v>
      </c>
      <c r="M86" s="2">
        <v>1580</v>
      </c>
      <c r="N86" t="s">
        <v>4556</v>
      </c>
      <c r="O86">
        <v>3</v>
      </c>
      <c r="P86">
        <v>2</v>
      </c>
      <c r="Q86">
        <v>1</v>
      </c>
      <c r="R86" t="s">
        <v>4557</v>
      </c>
      <c r="S86" t="s">
        <v>4558</v>
      </c>
      <c r="T86" t="s">
        <v>4559</v>
      </c>
      <c r="U86" t="s">
        <v>4560</v>
      </c>
      <c r="V86" s="2">
        <v>420</v>
      </c>
      <c r="W86" t="s">
        <v>4655</v>
      </c>
      <c r="X86" s="2">
        <v>0</v>
      </c>
      <c r="Y86">
        <v>20</v>
      </c>
      <c r="Z86" t="s">
        <v>4144</v>
      </c>
      <c r="AA86" s="3">
        <v>0.375</v>
      </c>
      <c r="AB86" t="s">
        <v>6078</v>
      </c>
      <c r="AC86" t="s">
        <v>4562</v>
      </c>
      <c r="AD86" t="s">
        <v>6077</v>
      </c>
      <c r="AE86" t="s">
        <v>4655</v>
      </c>
      <c r="AF86" t="s">
        <v>4563</v>
      </c>
      <c r="AG86" t="s">
        <v>4564</v>
      </c>
      <c r="AH86">
        <v>89503</v>
      </c>
      <c r="AI86" t="s">
        <v>6079</v>
      </c>
      <c r="AJ86" t="s">
        <v>4655</v>
      </c>
      <c r="AK86" t="s">
        <v>6080</v>
      </c>
      <c r="AL86" s="13" t="s">
        <v>2255</v>
      </c>
      <c r="AM86">
        <v>1</v>
      </c>
      <c r="AN86" s="15" t="s">
        <v>4566</v>
      </c>
    </row>
    <row r="87" spans="1:40" x14ac:dyDescent="0.3">
      <c r="A87" s="10" t="str">
        <f>HYPERLINK("http://www.washoecounty.gov/assessor/cama/?parid=001-432-08&amp;CardNumber=1","001-432-08")</f>
        <v>001-432-08</v>
      </c>
      <c r="B87" t="s">
        <v>4655</v>
      </c>
      <c r="C87" t="s">
        <v>6081</v>
      </c>
      <c r="D87" s="1">
        <v>40499</v>
      </c>
      <c r="E87" s="2">
        <v>115000</v>
      </c>
      <c r="F87" t="s">
        <v>4567</v>
      </c>
      <c r="G87" s="17" t="str">
        <f>HYPERLINK("https://www.washoecounty.gov/assessor/cama/?command=sales&amp;parid=00143208","3943977")</f>
        <v>3943977</v>
      </c>
      <c r="H87" t="s">
        <v>2671</v>
      </c>
      <c r="I87">
        <v>1982</v>
      </c>
      <c r="J87">
        <v>1982</v>
      </c>
      <c r="K87" t="s">
        <v>4554</v>
      </c>
      <c r="L87" t="s">
        <v>3974</v>
      </c>
      <c r="M87" s="2">
        <v>1652</v>
      </c>
      <c r="N87" t="s">
        <v>4556</v>
      </c>
      <c r="O87">
        <v>3</v>
      </c>
      <c r="P87">
        <v>3</v>
      </c>
      <c r="Q87">
        <v>0</v>
      </c>
      <c r="R87" t="s">
        <v>4557</v>
      </c>
      <c r="S87" t="s">
        <v>4558</v>
      </c>
      <c r="T87" t="s">
        <v>4559</v>
      </c>
      <c r="U87" t="s">
        <v>5631</v>
      </c>
      <c r="V87" s="2">
        <v>656</v>
      </c>
      <c r="W87" t="s">
        <v>4655</v>
      </c>
      <c r="X87" s="2">
        <v>0</v>
      </c>
      <c r="Y87">
        <v>20</v>
      </c>
      <c r="Z87" t="s">
        <v>4144</v>
      </c>
      <c r="AA87" s="3">
        <v>0.23599632084369701</v>
      </c>
      <c r="AB87" t="s">
        <v>6082</v>
      </c>
      <c r="AC87" t="s">
        <v>4562</v>
      </c>
      <c r="AD87" t="s">
        <v>6081</v>
      </c>
      <c r="AE87" t="s">
        <v>4655</v>
      </c>
      <c r="AF87" t="s">
        <v>4563</v>
      </c>
      <c r="AG87" t="s">
        <v>4564</v>
      </c>
      <c r="AH87">
        <v>89503</v>
      </c>
      <c r="AI87" t="s">
        <v>6083</v>
      </c>
      <c r="AJ87" t="s">
        <v>4655</v>
      </c>
      <c r="AK87" t="s">
        <v>6084</v>
      </c>
      <c r="AL87" s="13" t="s">
        <v>2255</v>
      </c>
      <c r="AM87">
        <v>1</v>
      </c>
      <c r="AN87" s="15" t="s">
        <v>4566</v>
      </c>
    </row>
    <row r="88" spans="1:40" x14ac:dyDescent="0.3">
      <c r="A88" s="10" t="str">
        <f>HYPERLINK("http://www.washoecounty.gov/assessor/cama/?parid=001-441-02&amp;CardNumber=1","001-441-02")</f>
        <v>001-441-02</v>
      </c>
      <c r="B88" t="s">
        <v>4655</v>
      </c>
      <c r="C88" t="s">
        <v>5253</v>
      </c>
      <c r="D88" s="1">
        <v>40520</v>
      </c>
      <c r="E88" s="2">
        <v>32500</v>
      </c>
      <c r="F88" t="s">
        <v>4553</v>
      </c>
      <c r="G88" s="17" t="str">
        <f>HYPERLINK("https://www.washoecounty.gov/assessor/cama/?command=sales&amp;parid=00144102","3950959")</f>
        <v>3950959</v>
      </c>
      <c r="H88" t="s">
        <v>6085</v>
      </c>
      <c r="I88">
        <v>1986</v>
      </c>
      <c r="J88">
        <v>1986</v>
      </c>
      <c r="K88" t="s">
        <v>3144</v>
      </c>
      <c r="L88" t="s">
        <v>3974</v>
      </c>
      <c r="M88" s="2">
        <v>919</v>
      </c>
      <c r="N88" t="s">
        <v>4556</v>
      </c>
      <c r="O88">
        <v>2</v>
      </c>
      <c r="P88">
        <v>1</v>
      </c>
      <c r="Q88">
        <v>1</v>
      </c>
      <c r="R88" t="s">
        <v>5281</v>
      </c>
      <c r="S88" t="s">
        <v>4558</v>
      </c>
      <c r="T88" t="s">
        <v>4559</v>
      </c>
      <c r="U88" t="s">
        <v>4655</v>
      </c>
      <c r="V88" s="2">
        <v>0</v>
      </c>
      <c r="W88" t="s">
        <v>4655</v>
      </c>
      <c r="X88" s="2">
        <v>0</v>
      </c>
      <c r="Y88">
        <v>21</v>
      </c>
      <c r="Z88" t="s">
        <v>382</v>
      </c>
      <c r="AA88" s="3">
        <v>1.00000004749745E-3</v>
      </c>
      <c r="AB88" t="s">
        <v>6086</v>
      </c>
      <c r="AC88" t="s">
        <v>4562</v>
      </c>
      <c r="AD88" t="s">
        <v>6087</v>
      </c>
      <c r="AE88" t="s">
        <v>4655</v>
      </c>
      <c r="AF88" t="s">
        <v>3660</v>
      </c>
      <c r="AG88" t="s">
        <v>4584</v>
      </c>
      <c r="AH88" t="s">
        <v>3661</v>
      </c>
      <c r="AI88" t="s">
        <v>4565</v>
      </c>
      <c r="AJ88" t="s">
        <v>4655</v>
      </c>
      <c r="AK88" t="s">
        <v>6088</v>
      </c>
      <c r="AL88" s="13" t="s">
        <v>2255</v>
      </c>
      <c r="AM88" s="14">
        <v>1</v>
      </c>
      <c r="AN88" s="15" t="s">
        <v>5254</v>
      </c>
    </row>
    <row r="89" spans="1:40" x14ac:dyDescent="0.3">
      <c r="A89" s="10" t="str">
        <f>HYPERLINK("http://www.washoecounty.gov/assessor/cama/?parid=001-452-04&amp;CardNumber=1","001-452-04")</f>
        <v>001-452-04</v>
      </c>
      <c r="B89" t="s">
        <v>4655</v>
      </c>
      <c r="C89" t="s">
        <v>6089</v>
      </c>
      <c r="D89" s="1">
        <v>40497</v>
      </c>
      <c r="E89" s="2">
        <v>85000</v>
      </c>
      <c r="F89" t="s">
        <v>4567</v>
      </c>
      <c r="G89" s="17" t="str">
        <f>HYPERLINK("https://www.washoecounty.gov/assessor/cama/?command=sales&amp;parid=00145204","3943145")</f>
        <v>3943145</v>
      </c>
      <c r="H89" t="s">
        <v>3200</v>
      </c>
      <c r="I89">
        <v>1988</v>
      </c>
      <c r="J89">
        <v>1988</v>
      </c>
      <c r="K89" t="s">
        <v>4897</v>
      </c>
      <c r="L89" t="s">
        <v>4555</v>
      </c>
      <c r="M89" s="2">
        <v>568</v>
      </c>
      <c r="N89" t="s">
        <v>4556</v>
      </c>
      <c r="O89">
        <v>2</v>
      </c>
      <c r="P89">
        <v>1</v>
      </c>
      <c r="Q89">
        <v>1</v>
      </c>
      <c r="R89" t="s">
        <v>5281</v>
      </c>
      <c r="S89" t="s">
        <v>4558</v>
      </c>
      <c r="T89" t="s">
        <v>4559</v>
      </c>
      <c r="U89" t="s">
        <v>4560</v>
      </c>
      <c r="V89" s="2">
        <v>288</v>
      </c>
      <c r="W89" t="s">
        <v>3201</v>
      </c>
      <c r="X89" s="2">
        <v>552</v>
      </c>
      <c r="Y89">
        <v>21</v>
      </c>
      <c r="Z89" t="s">
        <v>4561</v>
      </c>
      <c r="AA89" s="3">
        <v>1.00000004749745E-3</v>
      </c>
      <c r="AB89" t="s">
        <v>6090</v>
      </c>
      <c r="AC89" t="s">
        <v>4575</v>
      </c>
      <c r="AD89" t="s">
        <v>6089</v>
      </c>
      <c r="AE89" t="s">
        <v>4655</v>
      </c>
      <c r="AF89" t="s">
        <v>4563</v>
      </c>
      <c r="AG89" t="s">
        <v>4564</v>
      </c>
      <c r="AH89">
        <v>89503</v>
      </c>
      <c r="AI89" t="s">
        <v>6091</v>
      </c>
      <c r="AJ89" t="s">
        <v>4655</v>
      </c>
      <c r="AK89" t="s">
        <v>6092</v>
      </c>
      <c r="AL89" s="13" t="s">
        <v>2255</v>
      </c>
      <c r="AM89" s="14">
        <v>1</v>
      </c>
      <c r="AN89" s="15" t="s">
        <v>3202</v>
      </c>
    </row>
    <row r="90" spans="1:40" x14ac:dyDescent="0.3">
      <c r="A90" s="10" t="str">
        <f>HYPERLINK("http://www.washoecounty.gov/assessor/cama/?parid=001-452-05&amp;CardNumber=1","001-452-05")</f>
        <v>001-452-05</v>
      </c>
      <c r="B90" t="s">
        <v>4655</v>
      </c>
      <c r="C90" t="s">
        <v>6093</v>
      </c>
      <c r="D90" s="1">
        <v>40280</v>
      </c>
      <c r="E90" s="2">
        <v>77000</v>
      </c>
      <c r="F90" t="s">
        <v>4567</v>
      </c>
      <c r="G90" s="17" t="str">
        <f>HYPERLINK("https://www.washoecounty.gov/assessor/cama/?command=sales&amp;parid=00145205","3870103")</f>
        <v>3870103</v>
      </c>
      <c r="H90" t="s">
        <v>3200</v>
      </c>
      <c r="I90">
        <v>1988</v>
      </c>
      <c r="J90">
        <v>1988</v>
      </c>
      <c r="K90" t="s">
        <v>3144</v>
      </c>
      <c r="L90" t="s">
        <v>4555</v>
      </c>
      <c r="M90" s="2">
        <v>568</v>
      </c>
      <c r="N90" t="s">
        <v>4556</v>
      </c>
      <c r="O90">
        <v>2</v>
      </c>
      <c r="P90">
        <v>1</v>
      </c>
      <c r="Q90">
        <v>1</v>
      </c>
      <c r="R90" t="s">
        <v>4557</v>
      </c>
      <c r="S90" t="s">
        <v>4558</v>
      </c>
      <c r="T90" t="s">
        <v>4559</v>
      </c>
      <c r="U90" t="s">
        <v>4560</v>
      </c>
      <c r="V90" s="2">
        <v>288</v>
      </c>
      <c r="W90" t="s">
        <v>3201</v>
      </c>
      <c r="X90" s="2">
        <v>552</v>
      </c>
      <c r="Y90">
        <v>21</v>
      </c>
      <c r="Z90" t="s">
        <v>4561</v>
      </c>
      <c r="AA90" s="3">
        <v>1.00000004749745E-3</v>
      </c>
      <c r="AB90" t="s">
        <v>6094</v>
      </c>
      <c r="AC90" t="s">
        <v>4562</v>
      </c>
      <c r="AD90" t="s">
        <v>6093</v>
      </c>
      <c r="AE90" t="s">
        <v>4655</v>
      </c>
      <c r="AF90" t="s">
        <v>4563</v>
      </c>
      <c r="AG90" t="s">
        <v>4564</v>
      </c>
      <c r="AH90">
        <v>89503</v>
      </c>
      <c r="AI90" t="s">
        <v>6095</v>
      </c>
      <c r="AJ90" t="s">
        <v>4655</v>
      </c>
      <c r="AK90" t="s">
        <v>6096</v>
      </c>
      <c r="AL90" s="13" t="s">
        <v>2255</v>
      </c>
      <c r="AM90" s="14">
        <v>1</v>
      </c>
      <c r="AN90" s="15" t="s">
        <v>3202</v>
      </c>
    </row>
    <row r="91" spans="1:40" x14ac:dyDescent="0.3">
      <c r="A91" s="10" t="str">
        <f>HYPERLINK("http://www.washoecounty.gov/assessor/cama/?parid=001-452-06&amp;CardNumber=1","001-452-06")</f>
        <v>001-452-06</v>
      </c>
      <c r="B91" t="s">
        <v>4655</v>
      </c>
      <c r="C91" t="s">
        <v>6097</v>
      </c>
      <c r="D91" s="1">
        <v>40221</v>
      </c>
      <c r="E91" s="2">
        <v>95000</v>
      </c>
      <c r="F91" t="s">
        <v>4567</v>
      </c>
      <c r="G91" s="17" t="str">
        <f>HYPERLINK("https://www.washoecounty.gov/assessor/cama/?command=sales&amp;parid=00145206","3848994")</f>
        <v>3848994</v>
      </c>
      <c r="H91" t="s">
        <v>3200</v>
      </c>
      <c r="I91">
        <v>1988</v>
      </c>
      <c r="J91">
        <v>1988</v>
      </c>
      <c r="K91" t="s">
        <v>3144</v>
      </c>
      <c r="L91" t="s">
        <v>4555</v>
      </c>
      <c r="M91" s="2">
        <v>568</v>
      </c>
      <c r="N91" t="s">
        <v>4556</v>
      </c>
      <c r="O91">
        <v>2</v>
      </c>
      <c r="P91">
        <v>1</v>
      </c>
      <c r="Q91">
        <v>1</v>
      </c>
      <c r="R91" t="s">
        <v>4557</v>
      </c>
      <c r="S91" t="s">
        <v>4558</v>
      </c>
      <c r="T91" t="s">
        <v>4559</v>
      </c>
      <c r="U91" t="s">
        <v>4560</v>
      </c>
      <c r="V91" s="2">
        <v>288</v>
      </c>
      <c r="W91" t="s">
        <v>3201</v>
      </c>
      <c r="X91" s="2">
        <v>552</v>
      </c>
      <c r="Y91">
        <v>21</v>
      </c>
      <c r="Z91" t="s">
        <v>4561</v>
      </c>
      <c r="AA91" s="3">
        <v>1.00000004749745E-3</v>
      </c>
      <c r="AB91" t="s">
        <v>6098</v>
      </c>
      <c r="AC91" t="s">
        <v>4562</v>
      </c>
      <c r="AD91" t="s">
        <v>6097</v>
      </c>
      <c r="AE91" t="s">
        <v>4655</v>
      </c>
      <c r="AF91" t="s">
        <v>4563</v>
      </c>
      <c r="AG91" t="s">
        <v>4564</v>
      </c>
      <c r="AH91">
        <v>89503</v>
      </c>
      <c r="AI91" t="s">
        <v>6099</v>
      </c>
      <c r="AJ91" t="s">
        <v>4655</v>
      </c>
      <c r="AK91" t="s">
        <v>6100</v>
      </c>
      <c r="AL91" s="13" t="s">
        <v>2255</v>
      </c>
      <c r="AM91" s="14">
        <v>1</v>
      </c>
      <c r="AN91" s="15" t="s">
        <v>3202</v>
      </c>
    </row>
    <row r="92" spans="1:40" x14ac:dyDescent="0.3">
      <c r="A92" s="10" t="str">
        <f>HYPERLINK("http://www.washoecounty.gov/assessor/cama/?parid=001-463-06&amp;CardNumber=1","001-463-06")</f>
        <v>001-463-06</v>
      </c>
      <c r="B92" t="s">
        <v>4655</v>
      </c>
      <c r="C92" t="s">
        <v>6101</v>
      </c>
      <c r="D92" s="1">
        <v>40354</v>
      </c>
      <c r="E92" s="2">
        <v>275000</v>
      </c>
      <c r="F92" t="s">
        <v>4567</v>
      </c>
      <c r="G92" s="17" t="str">
        <f>HYPERLINK("https://www.washoecounty.gov/assessor/cama/?command=sales&amp;parid=00146306","3895522")</f>
        <v>3895522</v>
      </c>
      <c r="H92" t="s">
        <v>2162</v>
      </c>
      <c r="I92">
        <v>1996</v>
      </c>
      <c r="J92">
        <v>1996</v>
      </c>
      <c r="K92" t="s">
        <v>4554</v>
      </c>
      <c r="L92" t="s">
        <v>3974</v>
      </c>
      <c r="M92" s="2">
        <v>2431</v>
      </c>
      <c r="N92" t="s">
        <v>5280</v>
      </c>
      <c r="O92">
        <v>4</v>
      </c>
      <c r="P92">
        <v>3</v>
      </c>
      <c r="Q92">
        <v>0</v>
      </c>
      <c r="R92" t="s">
        <v>5281</v>
      </c>
      <c r="S92" t="s">
        <v>4558</v>
      </c>
      <c r="T92" t="s">
        <v>4559</v>
      </c>
      <c r="U92" t="s">
        <v>5631</v>
      </c>
      <c r="V92" s="2">
        <v>593</v>
      </c>
      <c r="W92" t="s">
        <v>4655</v>
      </c>
      <c r="X92" s="2">
        <v>0</v>
      </c>
      <c r="Y92">
        <v>20</v>
      </c>
      <c r="Z92" t="s">
        <v>4561</v>
      </c>
      <c r="AA92" s="3">
        <v>0.36999541521072399</v>
      </c>
      <c r="AB92" t="s">
        <v>6102</v>
      </c>
      <c r="AC92" t="s">
        <v>4575</v>
      </c>
      <c r="AD92" t="s">
        <v>6103</v>
      </c>
      <c r="AE92" t="s">
        <v>6101</v>
      </c>
      <c r="AF92" t="s">
        <v>4563</v>
      </c>
      <c r="AG92" t="s">
        <v>4564</v>
      </c>
      <c r="AH92">
        <v>89503</v>
      </c>
      <c r="AI92" t="s">
        <v>6104</v>
      </c>
      <c r="AJ92" t="s">
        <v>773</v>
      </c>
      <c r="AK92" t="s">
        <v>6105</v>
      </c>
      <c r="AL92" s="13" t="s">
        <v>2255</v>
      </c>
      <c r="AM92" s="14">
        <v>1</v>
      </c>
      <c r="AN92" s="15" t="s">
        <v>2353</v>
      </c>
    </row>
    <row r="93" spans="1:40" x14ac:dyDescent="0.3">
      <c r="A93" s="10" t="str">
        <f>HYPERLINK("http://www.washoecounty.gov/assessor/cama/?parid=001-463-08&amp;CardNumber=1","001-463-08")</f>
        <v>001-463-08</v>
      </c>
      <c r="B93" t="s">
        <v>4655</v>
      </c>
      <c r="C93" t="s">
        <v>6106</v>
      </c>
      <c r="D93" s="1">
        <v>40477</v>
      </c>
      <c r="E93" s="2">
        <v>244000</v>
      </c>
      <c r="F93" t="s">
        <v>4567</v>
      </c>
      <c r="G93" s="17" t="str">
        <f>HYPERLINK("https://www.washoecounty.gov/assessor/cama/?command=sales&amp;parid=00146308","3936652")</f>
        <v>3936652</v>
      </c>
      <c r="H93" t="s">
        <v>2162</v>
      </c>
      <c r="I93">
        <v>1995</v>
      </c>
      <c r="J93">
        <v>1995</v>
      </c>
      <c r="K93" t="s">
        <v>4554</v>
      </c>
      <c r="L93" t="s">
        <v>3974</v>
      </c>
      <c r="M93" s="2">
        <v>2431</v>
      </c>
      <c r="N93" t="s">
        <v>5280</v>
      </c>
      <c r="O93">
        <v>4</v>
      </c>
      <c r="P93">
        <v>3</v>
      </c>
      <c r="Q93">
        <v>0</v>
      </c>
      <c r="R93" t="s">
        <v>4557</v>
      </c>
      <c r="S93" t="s">
        <v>4558</v>
      </c>
      <c r="T93" t="s">
        <v>4559</v>
      </c>
      <c r="U93" t="s">
        <v>5631</v>
      </c>
      <c r="V93" s="2">
        <v>593</v>
      </c>
      <c r="W93" t="s">
        <v>4655</v>
      </c>
      <c r="X93" s="2">
        <v>0</v>
      </c>
      <c r="Y93">
        <v>20</v>
      </c>
      <c r="Z93" t="s">
        <v>4561</v>
      </c>
      <c r="AA93" s="3">
        <v>0.24699264764785767</v>
      </c>
      <c r="AB93" t="s">
        <v>6107</v>
      </c>
      <c r="AC93" t="s">
        <v>4562</v>
      </c>
      <c r="AD93" t="s">
        <v>6108</v>
      </c>
      <c r="AE93" t="s">
        <v>4655</v>
      </c>
      <c r="AF93" t="s">
        <v>6109</v>
      </c>
      <c r="AG93" t="s">
        <v>4584</v>
      </c>
      <c r="AH93">
        <v>94089</v>
      </c>
      <c r="AI93" t="s">
        <v>6110</v>
      </c>
      <c r="AJ93" t="s">
        <v>773</v>
      </c>
      <c r="AK93" t="s">
        <v>6111</v>
      </c>
      <c r="AL93" s="13" t="s">
        <v>2255</v>
      </c>
      <c r="AM93">
        <v>1</v>
      </c>
      <c r="AN93" s="15" t="s">
        <v>2353</v>
      </c>
    </row>
    <row r="94" spans="1:40" x14ac:dyDescent="0.3">
      <c r="A94" s="10" t="str">
        <f>HYPERLINK("http://www.washoecounty.gov/assessor/cama/?parid=001-492-02&amp;CardNumber=1","001-492-02")</f>
        <v>001-492-02</v>
      </c>
      <c r="B94" t="s">
        <v>4655</v>
      </c>
      <c r="C94" t="s">
        <v>6112</v>
      </c>
      <c r="D94" s="1">
        <v>40442</v>
      </c>
      <c r="E94" s="2">
        <v>210000</v>
      </c>
      <c r="F94" t="s">
        <v>4567</v>
      </c>
      <c r="G94" s="17" t="str">
        <f>HYPERLINK("https://www.washoecounty.gov/assessor/cama/?command=sales&amp;parid=00149202","3924670")</f>
        <v>3924670</v>
      </c>
      <c r="H94" t="s">
        <v>6113</v>
      </c>
      <c r="I94">
        <v>1996</v>
      </c>
      <c r="J94">
        <v>1996</v>
      </c>
      <c r="K94" t="s">
        <v>4554</v>
      </c>
      <c r="L94" t="s">
        <v>3974</v>
      </c>
      <c r="M94" s="2">
        <v>2813</v>
      </c>
      <c r="N94" t="s">
        <v>5280</v>
      </c>
      <c r="O94">
        <v>4</v>
      </c>
      <c r="P94">
        <v>2</v>
      </c>
      <c r="Q94">
        <v>1</v>
      </c>
      <c r="R94" t="s">
        <v>4557</v>
      </c>
      <c r="S94" t="s">
        <v>4558</v>
      </c>
      <c r="T94" t="s">
        <v>4559</v>
      </c>
      <c r="U94" t="s">
        <v>4560</v>
      </c>
      <c r="V94" s="2">
        <v>600</v>
      </c>
      <c r="W94" t="s">
        <v>4655</v>
      </c>
      <c r="X94" s="2">
        <v>0</v>
      </c>
      <c r="Y94">
        <v>20</v>
      </c>
      <c r="Z94" t="s">
        <v>4561</v>
      </c>
      <c r="AA94" s="3">
        <v>0.17398989200591999</v>
      </c>
      <c r="AB94" t="s">
        <v>6114</v>
      </c>
      <c r="AC94" t="s">
        <v>4575</v>
      </c>
      <c r="AD94" t="s">
        <v>6115</v>
      </c>
      <c r="AE94" t="s">
        <v>4655</v>
      </c>
      <c r="AF94" t="s">
        <v>4563</v>
      </c>
      <c r="AG94" t="s">
        <v>4564</v>
      </c>
      <c r="AH94">
        <v>89503</v>
      </c>
      <c r="AI94" t="s">
        <v>4655</v>
      </c>
      <c r="AJ94" t="s">
        <v>6116</v>
      </c>
      <c r="AK94" t="s">
        <v>6117</v>
      </c>
      <c r="AL94" s="13" t="s">
        <v>2255</v>
      </c>
      <c r="AM94">
        <v>1</v>
      </c>
      <c r="AN94" s="15" t="s">
        <v>2353</v>
      </c>
    </row>
    <row r="95" spans="1:40" x14ac:dyDescent="0.3">
      <c r="A95" s="10" t="str">
        <f>HYPERLINK("http://www.washoecounty.gov/assessor/cama/?parid=001-494-03&amp;CardNumber=1","001-494-03")</f>
        <v>001-494-03</v>
      </c>
      <c r="B95" t="s">
        <v>4655</v>
      </c>
      <c r="C95" t="s">
        <v>6118</v>
      </c>
      <c r="D95" s="1">
        <v>40323</v>
      </c>
      <c r="E95" s="2">
        <v>210000</v>
      </c>
      <c r="F95" t="s">
        <v>4567</v>
      </c>
      <c r="G95" s="17" t="str">
        <f>HYPERLINK("https://www.washoecounty.gov/assessor/cama/?command=sales&amp;parid=00149403","3884696")</f>
        <v>3884696</v>
      </c>
      <c r="H95" t="s">
        <v>6113</v>
      </c>
      <c r="I95">
        <v>1996</v>
      </c>
      <c r="J95">
        <v>1996</v>
      </c>
      <c r="K95" t="s">
        <v>4554</v>
      </c>
      <c r="L95" t="s">
        <v>4555</v>
      </c>
      <c r="M95" s="2">
        <v>1984</v>
      </c>
      <c r="N95" t="s">
        <v>5280</v>
      </c>
      <c r="O95">
        <v>3</v>
      </c>
      <c r="P95">
        <v>2</v>
      </c>
      <c r="Q95">
        <v>0</v>
      </c>
      <c r="R95" t="s">
        <v>5281</v>
      </c>
      <c r="S95" t="s">
        <v>4558</v>
      </c>
      <c r="T95" t="s">
        <v>4559</v>
      </c>
      <c r="U95" t="s">
        <v>4560</v>
      </c>
      <c r="V95" s="2">
        <v>420</v>
      </c>
      <c r="W95" t="s">
        <v>4655</v>
      </c>
      <c r="X95" s="2">
        <v>0</v>
      </c>
      <c r="Y95">
        <v>20</v>
      </c>
      <c r="Z95" t="s">
        <v>4561</v>
      </c>
      <c r="AA95" s="3">
        <v>0.205004587769508</v>
      </c>
      <c r="AB95" t="s">
        <v>6119</v>
      </c>
      <c r="AC95" t="s">
        <v>4562</v>
      </c>
      <c r="AD95" t="s">
        <v>6120</v>
      </c>
      <c r="AE95" t="s">
        <v>4655</v>
      </c>
      <c r="AF95" t="s">
        <v>6121</v>
      </c>
      <c r="AG95" t="s">
        <v>4584</v>
      </c>
      <c r="AH95" t="s">
        <v>6122</v>
      </c>
      <c r="AI95" t="s">
        <v>6123</v>
      </c>
      <c r="AJ95" t="s">
        <v>6116</v>
      </c>
      <c r="AK95" t="s">
        <v>6124</v>
      </c>
      <c r="AL95" s="13" t="s">
        <v>2255</v>
      </c>
      <c r="AM95">
        <v>1</v>
      </c>
      <c r="AN95" s="15" t="s">
        <v>2353</v>
      </c>
    </row>
    <row r="96" spans="1:40" x14ac:dyDescent="0.3">
      <c r="A96" s="10" t="str">
        <f>HYPERLINK("http://www.washoecounty.gov/assessor/cama/?parid=001-501-08&amp;CardNumber=1","001-501-08")</f>
        <v>001-501-08</v>
      </c>
      <c r="B96" t="s">
        <v>4655</v>
      </c>
      <c r="C96" t="s">
        <v>168</v>
      </c>
      <c r="D96" s="1">
        <v>40235</v>
      </c>
      <c r="E96" s="2">
        <v>257000</v>
      </c>
      <c r="F96" t="s">
        <v>4567</v>
      </c>
      <c r="G96" s="17" t="str">
        <f>HYPERLINK("https://www.washoecounty.gov/assessor/cama/?command=sales&amp;parid=00150108","3853162")</f>
        <v>3853162</v>
      </c>
      <c r="H96" t="s">
        <v>169</v>
      </c>
      <c r="I96">
        <v>1996</v>
      </c>
      <c r="J96">
        <v>1996</v>
      </c>
      <c r="K96" t="s">
        <v>4554</v>
      </c>
      <c r="L96" t="s">
        <v>3974</v>
      </c>
      <c r="M96" s="2">
        <v>3095</v>
      </c>
      <c r="N96" t="s">
        <v>5280</v>
      </c>
      <c r="O96">
        <v>5</v>
      </c>
      <c r="P96">
        <v>3</v>
      </c>
      <c r="Q96">
        <v>0</v>
      </c>
      <c r="R96" t="s">
        <v>5281</v>
      </c>
      <c r="S96" t="s">
        <v>4558</v>
      </c>
      <c r="T96" t="s">
        <v>4559</v>
      </c>
      <c r="U96" t="s">
        <v>5631</v>
      </c>
      <c r="V96" s="2">
        <v>596</v>
      </c>
      <c r="W96" t="s">
        <v>4655</v>
      </c>
      <c r="X96" s="2">
        <v>0</v>
      </c>
      <c r="Y96">
        <v>20</v>
      </c>
      <c r="Z96" t="s">
        <v>4561</v>
      </c>
      <c r="AA96" s="3">
        <v>0.29499539732933044</v>
      </c>
      <c r="AB96" t="s">
        <v>6125</v>
      </c>
      <c r="AC96" t="s">
        <v>4562</v>
      </c>
      <c r="AD96" t="s">
        <v>168</v>
      </c>
      <c r="AE96" t="s">
        <v>4655</v>
      </c>
      <c r="AF96" t="s">
        <v>4563</v>
      </c>
      <c r="AG96" t="s">
        <v>4564</v>
      </c>
      <c r="AH96">
        <v>89503</v>
      </c>
      <c r="AI96" t="s">
        <v>6126</v>
      </c>
      <c r="AJ96" t="s">
        <v>4982</v>
      </c>
      <c r="AK96" t="s">
        <v>4983</v>
      </c>
      <c r="AL96" s="13" t="s">
        <v>2255</v>
      </c>
      <c r="AM96" s="14">
        <v>1</v>
      </c>
      <c r="AN96" s="15" t="s">
        <v>2353</v>
      </c>
    </row>
    <row r="97" spans="1:40" x14ac:dyDescent="0.3">
      <c r="A97" s="10" t="str">
        <f>HYPERLINK("http://www.washoecounty.gov/assessor/cama/?parid=001-502-06&amp;CardNumber=1","001-502-06")</f>
        <v>001-502-06</v>
      </c>
      <c r="B97" t="s">
        <v>4655</v>
      </c>
      <c r="C97" t="s">
        <v>6127</v>
      </c>
      <c r="D97" s="1">
        <v>40455</v>
      </c>
      <c r="E97" s="2">
        <v>264500</v>
      </c>
      <c r="F97" t="s">
        <v>4567</v>
      </c>
      <c r="G97" s="17" t="str">
        <f>HYPERLINK("https://www.washoecounty.gov/assessor/cama/?command=sales&amp;parid=00150206","3929331")</f>
        <v>3929331</v>
      </c>
      <c r="H97" t="s">
        <v>169</v>
      </c>
      <c r="I97">
        <v>1996</v>
      </c>
      <c r="J97">
        <v>1996</v>
      </c>
      <c r="K97" t="s">
        <v>4554</v>
      </c>
      <c r="L97" t="s">
        <v>3974</v>
      </c>
      <c r="M97" s="2">
        <v>2813</v>
      </c>
      <c r="N97" t="s">
        <v>5280</v>
      </c>
      <c r="O97">
        <v>4</v>
      </c>
      <c r="P97">
        <v>2</v>
      </c>
      <c r="Q97">
        <v>1</v>
      </c>
      <c r="R97" t="s">
        <v>5281</v>
      </c>
      <c r="S97" t="s">
        <v>4558</v>
      </c>
      <c r="T97" t="s">
        <v>4559</v>
      </c>
      <c r="U97" t="s">
        <v>4560</v>
      </c>
      <c r="V97" s="2">
        <v>600</v>
      </c>
      <c r="W97" t="s">
        <v>4655</v>
      </c>
      <c r="X97" s="2">
        <v>0</v>
      </c>
      <c r="Y97">
        <v>20</v>
      </c>
      <c r="Z97" t="s">
        <v>4561</v>
      </c>
      <c r="AA97" s="3">
        <v>0.141000911593437</v>
      </c>
      <c r="AB97" t="s">
        <v>6128</v>
      </c>
      <c r="AC97" t="s">
        <v>4562</v>
      </c>
      <c r="AD97" t="s">
        <v>6129</v>
      </c>
      <c r="AE97" t="s">
        <v>4655</v>
      </c>
      <c r="AF97" t="s">
        <v>4563</v>
      </c>
      <c r="AG97" t="s">
        <v>4564</v>
      </c>
      <c r="AH97">
        <v>89503</v>
      </c>
      <c r="AI97" t="s">
        <v>3154</v>
      </c>
      <c r="AJ97" t="s">
        <v>4982</v>
      </c>
      <c r="AK97" t="s">
        <v>6130</v>
      </c>
      <c r="AL97" s="13" t="s">
        <v>2255</v>
      </c>
      <c r="AM97">
        <v>1</v>
      </c>
      <c r="AN97" s="15" t="s">
        <v>2353</v>
      </c>
    </row>
    <row r="98" spans="1:40" x14ac:dyDescent="0.3">
      <c r="A98" s="10" t="str">
        <f>HYPERLINK("http://www.washoecounty.gov/assessor/cama/?parid=001-502-06&amp;CardNumber=1","001-502-06")</f>
        <v>001-502-06</v>
      </c>
      <c r="B98" t="s">
        <v>4655</v>
      </c>
      <c r="C98" t="s">
        <v>6127</v>
      </c>
      <c r="D98" s="1">
        <v>40260</v>
      </c>
      <c r="E98" s="2">
        <v>212000</v>
      </c>
      <c r="F98" t="s">
        <v>4553</v>
      </c>
      <c r="G98" s="17" t="str">
        <f>HYPERLINK("https://www.washoecounty.gov/assessor/cama/?command=sales&amp;parid=00150206","3862983")</f>
        <v>3862983</v>
      </c>
      <c r="H98" t="s">
        <v>169</v>
      </c>
      <c r="I98">
        <v>1996</v>
      </c>
      <c r="J98">
        <v>1996</v>
      </c>
      <c r="K98" t="s">
        <v>4554</v>
      </c>
      <c r="L98" t="s">
        <v>3974</v>
      </c>
      <c r="M98" s="2">
        <v>2813</v>
      </c>
      <c r="N98" t="s">
        <v>5280</v>
      </c>
      <c r="O98">
        <v>4</v>
      </c>
      <c r="P98">
        <v>2</v>
      </c>
      <c r="Q98">
        <v>1</v>
      </c>
      <c r="R98" t="s">
        <v>5281</v>
      </c>
      <c r="S98" t="s">
        <v>4558</v>
      </c>
      <c r="T98" t="s">
        <v>4559</v>
      </c>
      <c r="U98" t="s">
        <v>4560</v>
      </c>
      <c r="V98" s="2">
        <v>600</v>
      </c>
      <c r="W98" t="s">
        <v>4655</v>
      </c>
      <c r="X98" s="2">
        <v>0</v>
      </c>
      <c r="Y98">
        <v>20</v>
      </c>
      <c r="Z98" t="s">
        <v>4561</v>
      </c>
      <c r="AA98" s="3">
        <v>0.141000911593437</v>
      </c>
      <c r="AB98" t="s">
        <v>6128</v>
      </c>
      <c r="AC98" t="s">
        <v>4562</v>
      </c>
      <c r="AD98" t="s">
        <v>6129</v>
      </c>
      <c r="AE98" t="s">
        <v>4655</v>
      </c>
      <c r="AF98" t="s">
        <v>4563</v>
      </c>
      <c r="AG98" t="s">
        <v>4564</v>
      </c>
      <c r="AH98">
        <v>89503</v>
      </c>
      <c r="AI98" t="s">
        <v>3154</v>
      </c>
      <c r="AJ98" t="s">
        <v>4982</v>
      </c>
      <c r="AK98" t="s">
        <v>6130</v>
      </c>
      <c r="AL98" s="13" t="s">
        <v>2255</v>
      </c>
      <c r="AM98" s="14">
        <v>1</v>
      </c>
      <c r="AN98" s="15" t="s">
        <v>2353</v>
      </c>
    </row>
    <row r="99" spans="1:40" x14ac:dyDescent="0.3">
      <c r="A99" s="10" t="str">
        <f>HYPERLINK("http://www.washoecounty.gov/assessor/cama/?parid=001-502-08&amp;CardNumber=1","001-502-08")</f>
        <v>001-502-08</v>
      </c>
      <c r="B99" t="s">
        <v>4655</v>
      </c>
      <c r="C99" t="s">
        <v>6131</v>
      </c>
      <c r="D99" s="1">
        <v>40353</v>
      </c>
      <c r="E99" s="2">
        <v>210000</v>
      </c>
      <c r="F99" t="s">
        <v>4567</v>
      </c>
      <c r="G99" s="17" t="str">
        <f>HYPERLINK("https://www.washoecounty.gov/assessor/cama/?command=sales&amp;parid=00150208","3895008")</f>
        <v>3895008</v>
      </c>
      <c r="H99" t="s">
        <v>169</v>
      </c>
      <c r="I99">
        <v>1996</v>
      </c>
      <c r="J99">
        <v>1996</v>
      </c>
      <c r="K99" t="s">
        <v>4554</v>
      </c>
      <c r="L99" t="s">
        <v>4555</v>
      </c>
      <c r="M99" s="2">
        <v>1984</v>
      </c>
      <c r="N99" t="s">
        <v>5280</v>
      </c>
      <c r="O99">
        <v>3</v>
      </c>
      <c r="P99">
        <v>2</v>
      </c>
      <c r="Q99">
        <v>0</v>
      </c>
      <c r="R99" t="s">
        <v>5281</v>
      </c>
      <c r="S99" t="s">
        <v>4558</v>
      </c>
      <c r="T99" t="s">
        <v>4559</v>
      </c>
      <c r="U99" t="s">
        <v>4560</v>
      </c>
      <c r="V99" s="2">
        <v>420</v>
      </c>
      <c r="W99" t="s">
        <v>4655</v>
      </c>
      <c r="X99" s="2">
        <v>0</v>
      </c>
      <c r="Y99">
        <v>20</v>
      </c>
      <c r="Z99" t="s">
        <v>4561</v>
      </c>
      <c r="AA99" s="3">
        <v>0.16099633276462599</v>
      </c>
      <c r="AB99" t="s">
        <v>6132</v>
      </c>
      <c r="AC99" t="s">
        <v>4562</v>
      </c>
      <c r="AD99" t="s">
        <v>6131</v>
      </c>
      <c r="AE99" t="s">
        <v>4655</v>
      </c>
      <c r="AF99" t="s">
        <v>4563</v>
      </c>
      <c r="AG99" t="s">
        <v>4564</v>
      </c>
      <c r="AH99">
        <v>89503</v>
      </c>
      <c r="AI99" t="s">
        <v>6133</v>
      </c>
      <c r="AJ99" t="s">
        <v>4982</v>
      </c>
      <c r="AK99" t="s">
        <v>6134</v>
      </c>
      <c r="AL99" s="13" t="s">
        <v>2255</v>
      </c>
      <c r="AM99">
        <v>1</v>
      </c>
      <c r="AN99" s="15" t="s">
        <v>2353</v>
      </c>
    </row>
    <row r="100" spans="1:40" x14ac:dyDescent="0.3">
      <c r="A100" s="10" t="str">
        <f>HYPERLINK("http://www.washoecounty.gov/assessor/cama/?parid=001-502-10&amp;CardNumber=1","001-502-10")</f>
        <v>001-502-10</v>
      </c>
      <c r="B100" t="s">
        <v>4655</v>
      </c>
      <c r="C100" t="s">
        <v>6135</v>
      </c>
      <c r="D100" s="1">
        <v>40465</v>
      </c>
      <c r="E100" s="2">
        <v>229000</v>
      </c>
      <c r="F100" t="s">
        <v>4553</v>
      </c>
      <c r="G100" s="17" t="str">
        <f>HYPERLINK("https://www.washoecounty.gov/assessor/cama/?command=sales&amp;parid=00150210","3933144")</f>
        <v>3933144</v>
      </c>
      <c r="H100" t="s">
        <v>169</v>
      </c>
      <c r="I100">
        <v>1996</v>
      </c>
      <c r="J100">
        <v>1996</v>
      </c>
      <c r="K100" t="s">
        <v>4554</v>
      </c>
      <c r="L100" t="s">
        <v>3974</v>
      </c>
      <c r="M100" s="2">
        <v>2813</v>
      </c>
      <c r="N100" t="s">
        <v>5280</v>
      </c>
      <c r="O100">
        <v>4</v>
      </c>
      <c r="P100">
        <v>2</v>
      </c>
      <c r="Q100">
        <v>1</v>
      </c>
      <c r="R100" t="s">
        <v>4557</v>
      </c>
      <c r="S100" t="s">
        <v>4558</v>
      </c>
      <c r="T100" t="s">
        <v>4559</v>
      </c>
      <c r="U100" t="s">
        <v>4560</v>
      </c>
      <c r="V100" s="2">
        <v>600</v>
      </c>
      <c r="W100" t="s">
        <v>4655</v>
      </c>
      <c r="X100" s="2">
        <v>0</v>
      </c>
      <c r="Y100">
        <v>20</v>
      </c>
      <c r="Z100" t="s">
        <v>4561</v>
      </c>
      <c r="AA100" s="3">
        <v>0.13900367915630299</v>
      </c>
      <c r="AB100" t="s">
        <v>6136</v>
      </c>
      <c r="AC100" t="s">
        <v>4562</v>
      </c>
      <c r="AD100" t="s">
        <v>6137</v>
      </c>
      <c r="AE100" t="s">
        <v>4655</v>
      </c>
      <c r="AF100" t="s">
        <v>4563</v>
      </c>
      <c r="AG100" t="s">
        <v>4564</v>
      </c>
      <c r="AH100">
        <v>89503</v>
      </c>
      <c r="AI100" t="s">
        <v>1285</v>
      </c>
      <c r="AJ100" t="s">
        <v>4982</v>
      </c>
      <c r="AK100" t="s">
        <v>6138</v>
      </c>
      <c r="AL100" s="13" t="s">
        <v>2255</v>
      </c>
      <c r="AM100" s="14">
        <v>1</v>
      </c>
      <c r="AN100" s="15" t="s">
        <v>2353</v>
      </c>
    </row>
    <row r="101" spans="1:40" x14ac:dyDescent="0.3">
      <c r="A101" s="10" t="str">
        <f>HYPERLINK("http://www.washoecounty.gov/assessor/cama/?parid=001-521-04&amp;CardNumber=1","001-521-04")</f>
        <v>001-521-04</v>
      </c>
      <c r="B101" t="s">
        <v>4655</v>
      </c>
      <c r="C101" t="s">
        <v>6139</v>
      </c>
      <c r="D101" s="1">
        <v>40466</v>
      </c>
      <c r="E101" s="2">
        <v>240000</v>
      </c>
      <c r="F101" t="s">
        <v>4567</v>
      </c>
      <c r="G101" s="17" t="str">
        <f>HYPERLINK("https://www.washoecounty.gov/assessor/cama/?command=sales&amp;parid=00152104","3933447")</f>
        <v>3933447</v>
      </c>
      <c r="H101" t="s">
        <v>3515</v>
      </c>
      <c r="I101">
        <v>1997</v>
      </c>
      <c r="J101">
        <v>1997</v>
      </c>
      <c r="K101" t="s">
        <v>4554</v>
      </c>
      <c r="L101" t="s">
        <v>3974</v>
      </c>
      <c r="M101" s="2">
        <v>2813</v>
      </c>
      <c r="N101" t="s">
        <v>5280</v>
      </c>
      <c r="O101">
        <v>4</v>
      </c>
      <c r="P101">
        <v>2</v>
      </c>
      <c r="Q101">
        <v>1</v>
      </c>
      <c r="R101" t="s">
        <v>4557</v>
      </c>
      <c r="S101" t="s">
        <v>4558</v>
      </c>
      <c r="T101" t="s">
        <v>4559</v>
      </c>
      <c r="U101" t="s">
        <v>4560</v>
      </c>
      <c r="V101" s="2">
        <v>600</v>
      </c>
      <c r="W101" t="s">
        <v>4655</v>
      </c>
      <c r="X101" s="2">
        <v>0</v>
      </c>
      <c r="Y101">
        <v>20</v>
      </c>
      <c r="Z101" t="s">
        <v>4561</v>
      </c>
      <c r="AA101" s="3">
        <v>0.160009175539017</v>
      </c>
      <c r="AB101" t="s">
        <v>6140</v>
      </c>
      <c r="AC101" t="s">
        <v>4575</v>
      </c>
      <c r="AD101" t="s">
        <v>6141</v>
      </c>
      <c r="AE101" t="s">
        <v>4655</v>
      </c>
      <c r="AF101" t="s">
        <v>4563</v>
      </c>
      <c r="AG101" t="s">
        <v>4564</v>
      </c>
      <c r="AH101">
        <v>89503</v>
      </c>
      <c r="AI101" t="s">
        <v>6142</v>
      </c>
      <c r="AJ101" t="s">
        <v>3516</v>
      </c>
      <c r="AK101" t="s">
        <v>6143</v>
      </c>
      <c r="AL101" s="13" t="s">
        <v>2255</v>
      </c>
      <c r="AM101" s="14">
        <v>1</v>
      </c>
      <c r="AN101" s="15" t="s">
        <v>2353</v>
      </c>
    </row>
    <row r="102" spans="1:40" x14ac:dyDescent="0.3">
      <c r="A102" s="10" t="str">
        <f>HYPERLINK("http://www.washoecounty.gov/assessor/cama/?parid=001-531-13&amp;CardNumber=1","001-531-13")</f>
        <v>001-531-13</v>
      </c>
      <c r="B102" t="s">
        <v>4655</v>
      </c>
      <c r="C102" t="s">
        <v>6144</v>
      </c>
      <c r="D102" s="1">
        <v>40408</v>
      </c>
      <c r="E102" s="2">
        <v>179900</v>
      </c>
      <c r="F102" t="s">
        <v>4553</v>
      </c>
      <c r="G102" s="17" t="str">
        <f>HYPERLINK("https://www.washoecounty.gov/assessor/cama/?command=sales&amp;parid=00153113","3913214")</f>
        <v>3913214</v>
      </c>
      <c r="H102" t="s">
        <v>1125</v>
      </c>
      <c r="I102">
        <v>1998</v>
      </c>
      <c r="J102">
        <v>1998</v>
      </c>
      <c r="K102" t="s">
        <v>4554</v>
      </c>
      <c r="L102" t="s">
        <v>4555</v>
      </c>
      <c r="M102" s="2">
        <v>1984</v>
      </c>
      <c r="N102" t="s">
        <v>5280</v>
      </c>
      <c r="O102">
        <v>3</v>
      </c>
      <c r="P102">
        <v>2</v>
      </c>
      <c r="Q102">
        <v>0</v>
      </c>
      <c r="R102" t="s">
        <v>4557</v>
      </c>
      <c r="S102" t="s">
        <v>4558</v>
      </c>
      <c r="T102" t="s">
        <v>4559</v>
      </c>
      <c r="U102" t="s">
        <v>4560</v>
      </c>
      <c r="V102" s="2">
        <v>420</v>
      </c>
      <c r="W102" t="s">
        <v>4655</v>
      </c>
      <c r="X102" s="2">
        <v>0</v>
      </c>
      <c r="Y102">
        <v>20</v>
      </c>
      <c r="Z102" t="s">
        <v>4561</v>
      </c>
      <c r="AA102" s="3">
        <v>0.221005514264107</v>
      </c>
      <c r="AB102" t="s">
        <v>6145</v>
      </c>
      <c r="AC102" t="s">
        <v>4562</v>
      </c>
      <c r="AD102" t="s">
        <v>6146</v>
      </c>
      <c r="AE102" t="s">
        <v>4655</v>
      </c>
      <c r="AF102" t="s">
        <v>4563</v>
      </c>
      <c r="AG102" t="s">
        <v>4564</v>
      </c>
      <c r="AH102" t="s">
        <v>2841</v>
      </c>
      <c r="AI102" t="s">
        <v>4145</v>
      </c>
      <c r="AJ102" t="s">
        <v>1126</v>
      </c>
      <c r="AK102" t="s">
        <v>6147</v>
      </c>
      <c r="AL102" s="13" t="s">
        <v>2255</v>
      </c>
      <c r="AM102">
        <v>1</v>
      </c>
      <c r="AN102" s="15" t="s">
        <v>2353</v>
      </c>
    </row>
    <row r="103" spans="1:40" x14ac:dyDescent="0.3">
      <c r="A103" s="10" t="str">
        <f>HYPERLINK("http://www.washoecounty.gov/assessor/cama/?parid=001-561-06&amp;CardNumber=1","001-561-06")</f>
        <v>001-561-06</v>
      </c>
      <c r="B103" t="s">
        <v>4655</v>
      </c>
      <c r="C103" t="s">
        <v>6148</v>
      </c>
      <c r="D103" s="1">
        <v>40359</v>
      </c>
      <c r="E103" s="2">
        <v>268000</v>
      </c>
      <c r="F103" t="s">
        <v>4567</v>
      </c>
      <c r="G103" s="17" t="str">
        <f>HYPERLINK("https://www.washoecounty.gov/assessor/cama/?command=sales&amp;parid=00156106","3896913")</f>
        <v>3896913</v>
      </c>
      <c r="H103" t="s">
        <v>1515</v>
      </c>
      <c r="I103">
        <v>2000</v>
      </c>
      <c r="J103">
        <v>2000</v>
      </c>
      <c r="K103" t="s">
        <v>4554</v>
      </c>
      <c r="L103" t="s">
        <v>3974</v>
      </c>
      <c r="M103" s="2">
        <v>3095</v>
      </c>
      <c r="N103" t="s">
        <v>5280</v>
      </c>
      <c r="O103">
        <v>5</v>
      </c>
      <c r="P103">
        <v>3</v>
      </c>
      <c r="Q103">
        <v>0</v>
      </c>
      <c r="R103" t="s">
        <v>5281</v>
      </c>
      <c r="S103" t="s">
        <v>4558</v>
      </c>
      <c r="T103" t="s">
        <v>4559</v>
      </c>
      <c r="U103" t="s">
        <v>5631</v>
      </c>
      <c r="V103" s="2">
        <v>596</v>
      </c>
      <c r="W103" t="s">
        <v>4655</v>
      </c>
      <c r="X103" s="2">
        <v>0</v>
      </c>
      <c r="Y103">
        <v>20</v>
      </c>
      <c r="Z103" t="s">
        <v>4561</v>
      </c>
      <c r="AA103" s="3">
        <v>0.40300735831260698</v>
      </c>
      <c r="AB103" t="s">
        <v>6149</v>
      </c>
      <c r="AC103" t="s">
        <v>4562</v>
      </c>
      <c r="AD103" t="s">
        <v>6148</v>
      </c>
      <c r="AE103" t="s">
        <v>4655</v>
      </c>
      <c r="AF103" t="s">
        <v>4563</v>
      </c>
      <c r="AG103" t="s">
        <v>4564</v>
      </c>
      <c r="AH103">
        <v>89503</v>
      </c>
      <c r="AI103" t="s">
        <v>6150</v>
      </c>
      <c r="AJ103" t="s">
        <v>1517</v>
      </c>
      <c r="AK103" t="s">
        <v>6151</v>
      </c>
      <c r="AL103" s="13" t="s">
        <v>2255</v>
      </c>
      <c r="AM103" s="14">
        <v>1</v>
      </c>
      <c r="AN103" s="15" t="s">
        <v>2353</v>
      </c>
    </row>
    <row r="104" spans="1:40" x14ac:dyDescent="0.3">
      <c r="A104" s="10" t="str">
        <f>HYPERLINK("http://www.washoecounty.gov/assessor/cama/?parid=002-051-14&amp;CardNumber=1","002-051-14")</f>
        <v>002-051-14</v>
      </c>
      <c r="B104" t="s">
        <v>4655</v>
      </c>
      <c r="C104" t="s">
        <v>6152</v>
      </c>
      <c r="D104" s="1">
        <v>40465</v>
      </c>
      <c r="E104" s="2">
        <v>165000</v>
      </c>
      <c r="F104" t="s">
        <v>4553</v>
      </c>
      <c r="G104" s="17" t="str">
        <f>HYPERLINK("https://www.washoecounty.gov/assessor/cama/?command=sales&amp;parid=00205114","3932942")</f>
        <v>3932942</v>
      </c>
      <c r="H104" t="s">
        <v>2672</v>
      </c>
      <c r="I104">
        <v>1991</v>
      </c>
      <c r="J104">
        <v>1991</v>
      </c>
      <c r="K104" t="s">
        <v>4554</v>
      </c>
      <c r="L104" t="s">
        <v>4555</v>
      </c>
      <c r="M104" s="2">
        <v>1668</v>
      </c>
      <c r="N104" t="s">
        <v>4048</v>
      </c>
      <c r="O104">
        <v>3</v>
      </c>
      <c r="P104">
        <v>2</v>
      </c>
      <c r="Q104">
        <v>0</v>
      </c>
      <c r="R104" t="s">
        <v>4557</v>
      </c>
      <c r="S104" t="s">
        <v>4558</v>
      </c>
      <c r="T104" t="s">
        <v>4143</v>
      </c>
      <c r="U104" t="s">
        <v>4560</v>
      </c>
      <c r="V104" s="2">
        <v>440</v>
      </c>
      <c r="W104" t="s">
        <v>4655</v>
      </c>
      <c r="X104" s="2">
        <v>0</v>
      </c>
      <c r="Y104">
        <v>20</v>
      </c>
      <c r="Z104" t="s">
        <v>4561</v>
      </c>
      <c r="AA104" s="3">
        <v>0.17100550234317799</v>
      </c>
      <c r="AB104" t="s">
        <v>6153</v>
      </c>
      <c r="AC104" t="s">
        <v>4575</v>
      </c>
      <c r="AD104" t="s">
        <v>6154</v>
      </c>
      <c r="AE104" t="s">
        <v>6155</v>
      </c>
      <c r="AF104" t="s">
        <v>4563</v>
      </c>
      <c r="AG104" t="s">
        <v>4564</v>
      </c>
      <c r="AH104">
        <v>89503</v>
      </c>
      <c r="AI104" t="s">
        <v>4565</v>
      </c>
      <c r="AJ104" t="s">
        <v>4655</v>
      </c>
      <c r="AK104" t="s">
        <v>6156</v>
      </c>
      <c r="AL104" s="13" t="s">
        <v>2257</v>
      </c>
      <c r="AM104">
        <v>1</v>
      </c>
      <c r="AN104" s="15" t="s">
        <v>361</v>
      </c>
    </row>
    <row r="105" spans="1:40" x14ac:dyDescent="0.3">
      <c r="A105" s="10" t="str">
        <f>HYPERLINK("http://www.washoecounty.gov/assessor/cama/?parid=002-051-19&amp;CardNumber=1","002-051-19")</f>
        <v>002-051-19</v>
      </c>
      <c r="B105" t="s">
        <v>4655</v>
      </c>
      <c r="C105" t="s">
        <v>6157</v>
      </c>
      <c r="D105" s="1">
        <v>40409</v>
      </c>
      <c r="E105" s="2">
        <v>280000</v>
      </c>
      <c r="F105" t="s">
        <v>4567</v>
      </c>
      <c r="G105" s="17" t="str">
        <f>HYPERLINK("https://www.washoecounty.gov/assessor/cama/?command=sales&amp;parid=00205119","3913660")</f>
        <v>3913660</v>
      </c>
      <c r="H105" t="s">
        <v>2672</v>
      </c>
      <c r="I105">
        <v>1998</v>
      </c>
      <c r="J105">
        <v>1998</v>
      </c>
      <c r="K105" t="s">
        <v>4554</v>
      </c>
      <c r="L105" t="s">
        <v>4555</v>
      </c>
      <c r="M105" s="2">
        <v>2136</v>
      </c>
      <c r="N105" t="s">
        <v>3147</v>
      </c>
      <c r="O105">
        <v>4</v>
      </c>
      <c r="P105">
        <v>3</v>
      </c>
      <c r="Q105">
        <v>0</v>
      </c>
      <c r="R105" t="s">
        <v>5281</v>
      </c>
      <c r="S105" t="s">
        <v>4558</v>
      </c>
      <c r="T105" t="s">
        <v>2704</v>
      </c>
      <c r="U105" t="s">
        <v>4560</v>
      </c>
      <c r="V105" s="2">
        <v>484</v>
      </c>
      <c r="W105" t="s">
        <v>4655</v>
      </c>
      <c r="X105" s="2">
        <v>0</v>
      </c>
      <c r="Y105">
        <v>20</v>
      </c>
      <c r="Z105" t="s">
        <v>4561</v>
      </c>
      <c r="AA105" s="3">
        <v>0.22979797422885895</v>
      </c>
      <c r="AB105" t="s">
        <v>6158</v>
      </c>
      <c r="AC105" t="s">
        <v>4575</v>
      </c>
      <c r="AD105" t="s">
        <v>6159</v>
      </c>
      <c r="AE105" t="s">
        <v>4655</v>
      </c>
      <c r="AF105" t="s">
        <v>4563</v>
      </c>
      <c r="AG105" t="s">
        <v>4564</v>
      </c>
      <c r="AH105" t="s">
        <v>2330</v>
      </c>
      <c r="AI105" t="s">
        <v>6160</v>
      </c>
      <c r="AJ105" t="s">
        <v>4655</v>
      </c>
      <c r="AK105" t="s">
        <v>6161</v>
      </c>
      <c r="AL105" s="13" t="s">
        <v>2257</v>
      </c>
      <c r="AM105">
        <v>1</v>
      </c>
      <c r="AN105" s="15" t="s">
        <v>361</v>
      </c>
    </row>
    <row r="106" spans="1:40" x14ac:dyDescent="0.3">
      <c r="A106" s="10" t="str">
        <f>HYPERLINK("http://www.washoecounty.gov/assessor/cama/?parid=002-051-24&amp;CardNumber=1","002-051-24")</f>
        <v>002-051-24</v>
      </c>
      <c r="B106" t="s">
        <v>4655</v>
      </c>
      <c r="C106" t="s">
        <v>6162</v>
      </c>
      <c r="D106" s="1">
        <v>40255</v>
      </c>
      <c r="E106" s="2">
        <v>315000</v>
      </c>
      <c r="F106" t="s">
        <v>4553</v>
      </c>
      <c r="G106" s="17" t="str">
        <f>HYPERLINK("https://www.washoecounty.gov/assessor/cama/?command=sales&amp;parid=00205124","3860927")</f>
        <v>3860927</v>
      </c>
      <c r="H106" t="s">
        <v>2672</v>
      </c>
      <c r="I106">
        <v>2007</v>
      </c>
      <c r="J106">
        <v>2007</v>
      </c>
      <c r="K106" t="s">
        <v>4554</v>
      </c>
      <c r="L106" t="s">
        <v>3886</v>
      </c>
      <c r="M106" s="2">
        <v>2721</v>
      </c>
      <c r="N106" t="s">
        <v>3147</v>
      </c>
      <c r="O106">
        <v>3</v>
      </c>
      <c r="P106">
        <v>3</v>
      </c>
      <c r="Q106">
        <v>0</v>
      </c>
      <c r="R106" t="s">
        <v>5281</v>
      </c>
      <c r="S106" t="s">
        <v>4135</v>
      </c>
      <c r="T106" t="s">
        <v>4559</v>
      </c>
      <c r="U106" t="s">
        <v>5631</v>
      </c>
      <c r="V106" s="2">
        <v>795</v>
      </c>
      <c r="W106" t="s">
        <v>4655</v>
      </c>
      <c r="X106" s="2">
        <v>0</v>
      </c>
      <c r="Y106">
        <v>20</v>
      </c>
      <c r="Z106" t="s">
        <v>4561</v>
      </c>
      <c r="AA106" s="3">
        <v>0.15199723839759827</v>
      </c>
      <c r="AB106" t="s">
        <v>6163</v>
      </c>
      <c r="AC106" t="s">
        <v>4575</v>
      </c>
      <c r="AD106" t="s">
        <v>6162</v>
      </c>
      <c r="AE106" t="s">
        <v>4655</v>
      </c>
      <c r="AF106" t="s">
        <v>4563</v>
      </c>
      <c r="AG106" t="s">
        <v>4564</v>
      </c>
      <c r="AH106">
        <v>89503</v>
      </c>
      <c r="AI106" t="s">
        <v>359</v>
      </c>
      <c r="AJ106" t="s">
        <v>4655</v>
      </c>
      <c r="AK106" t="s">
        <v>6164</v>
      </c>
      <c r="AL106" s="13" t="s">
        <v>2257</v>
      </c>
      <c r="AM106">
        <v>1</v>
      </c>
      <c r="AN106" s="15" t="s">
        <v>361</v>
      </c>
    </row>
    <row r="107" spans="1:40" x14ac:dyDescent="0.3">
      <c r="A107" s="10" t="str">
        <f>HYPERLINK("http://www.washoecounty.gov/assessor/cama/?parid=002-051-24&amp;CardNumber=1","002-051-24")</f>
        <v>002-051-24</v>
      </c>
      <c r="B107" t="s">
        <v>4655</v>
      </c>
      <c r="C107" t="s">
        <v>6162</v>
      </c>
      <c r="D107" s="1">
        <v>40239</v>
      </c>
      <c r="E107" s="2">
        <v>315000</v>
      </c>
      <c r="F107" t="s">
        <v>4553</v>
      </c>
      <c r="G107" s="17" t="str">
        <f>HYPERLINK("https://www.washoecounty.gov/assessor/cama/?command=sales&amp;parid=00205124","3854303")</f>
        <v>3854303</v>
      </c>
      <c r="H107" t="s">
        <v>2672</v>
      </c>
      <c r="I107">
        <v>2007</v>
      </c>
      <c r="J107">
        <v>2007</v>
      </c>
      <c r="K107" t="s">
        <v>4554</v>
      </c>
      <c r="L107" t="s">
        <v>3886</v>
      </c>
      <c r="M107" s="2">
        <v>2721</v>
      </c>
      <c r="N107" t="s">
        <v>3147</v>
      </c>
      <c r="O107">
        <v>3</v>
      </c>
      <c r="P107">
        <v>3</v>
      </c>
      <c r="Q107">
        <v>0</v>
      </c>
      <c r="R107" t="s">
        <v>5281</v>
      </c>
      <c r="S107" t="s">
        <v>4135</v>
      </c>
      <c r="T107" t="s">
        <v>4559</v>
      </c>
      <c r="U107" t="s">
        <v>5631</v>
      </c>
      <c r="V107" s="2">
        <v>795</v>
      </c>
      <c r="W107" t="s">
        <v>4655</v>
      </c>
      <c r="X107" s="2">
        <v>0</v>
      </c>
      <c r="Y107">
        <v>20</v>
      </c>
      <c r="Z107" t="s">
        <v>4561</v>
      </c>
      <c r="AA107" s="3">
        <v>0.15199723839759827</v>
      </c>
      <c r="AB107" t="s">
        <v>6163</v>
      </c>
      <c r="AC107" t="s">
        <v>4575</v>
      </c>
      <c r="AD107" t="s">
        <v>6162</v>
      </c>
      <c r="AE107" t="s">
        <v>4655</v>
      </c>
      <c r="AF107" t="s">
        <v>4563</v>
      </c>
      <c r="AG107" t="s">
        <v>4564</v>
      </c>
      <c r="AH107">
        <v>89503</v>
      </c>
      <c r="AI107" t="s">
        <v>359</v>
      </c>
      <c r="AJ107" t="s">
        <v>4655</v>
      </c>
      <c r="AK107" t="s">
        <v>6164</v>
      </c>
      <c r="AL107" s="13" t="s">
        <v>2257</v>
      </c>
      <c r="AM107">
        <v>1</v>
      </c>
      <c r="AN107" s="15" t="s">
        <v>361</v>
      </c>
    </row>
    <row r="108" spans="1:40" x14ac:dyDescent="0.3">
      <c r="A108" s="10" t="str">
        <f>HYPERLINK("http://www.washoecounty.gov/assessor/cama/?parid=002-071-05&amp;CardNumber=1","002-071-05")</f>
        <v>002-071-05</v>
      </c>
      <c r="B108" t="s">
        <v>4655</v>
      </c>
      <c r="C108" t="s">
        <v>6165</v>
      </c>
      <c r="D108" s="1">
        <v>40193</v>
      </c>
      <c r="E108" s="2">
        <v>160000</v>
      </c>
      <c r="F108" t="s">
        <v>4553</v>
      </c>
      <c r="G108" s="17" t="str">
        <f>HYPERLINK("https://www.washoecounty.gov/assessor/cama/?command=sales&amp;parid=00207105","3840004")</f>
        <v>3840004</v>
      </c>
      <c r="H108" t="s">
        <v>3251</v>
      </c>
      <c r="I108">
        <v>1986</v>
      </c>
      <c r="J108">
        <v>1986</v>
      </c>
      <c r="K108" t="s">
        <v>4554</v>
      </c>
      <c r="L108" t="s">
        <v>3886</v>
      </c>
      <c r="M108" s="2">
        <v>1343</v>
      </c>
      <c r="N108" t="s">
        <v>4048</v>
      </c>
      <c r="O108">
        <v>3</v>
      </c>
      <c r="P108">
        <v>2</v>
      </c>
      <c r="Q108">
        <v>1</v>
      </c>
      <c r="R108" t="s">
        <v>4557</v>
      </c>
      <c r="S108" t="s">
        <v>4558</v>
      </c>
      <c r="T108" t="s">
        <v>4559</v>
      </c>
      <c r="U108" t="s">
        <v>4560</v>
      </c>
      <c r="V108" s="2">
        <v>505</v>
      </c>
      <c r="W108" t="s">
        <v>4655</v>
      </c>
      <c r="X108" s="2">
        <v>0</v>
      </c>
      <c r="Y108">
        <v>20</v>
      </c>
      <c r="Z108" t="s">
        <v>4561</v>
      </c>
      <c r="AA108" s="3">
        <v>0.394999980926514</v>
      </c>
      <c r="AB108" t="s">
        <v>6166</v>
      </c>
      <c r="AC108" t="s">
        <v>4562</v>
      </c>
      <c r="AD108" t="s">
        <v>6165</v>
      </c>
      <c r="AE108" t="s">
        <v>4655</v>
      </c>
      <c r="AF108" t="s">
        <v>4563</v>
      </c>
      <c r="AG108" t="s">
        <v>4564</v>
      </c>
      <c r="AH108">
        <v>89503</v>
      </c>
      <c r="AI108" t="s">
        <v>4903</v>
      </c>
      <c r="AJ108" t="s">
        <v>4655</v>
      </c>
      <c r="AK108" t="s">
        <v>6167</v>
      </c>
      <c r="AL108" s="13" t="s">
        <v>2255</v>
      </c>
      <c r="AM108" s="14">
        <v>1</v>
      </c>
      <c r="AN108" s="15" t="s">
        <v>2349</v>
      </c>
    </row>
    <row r="109" spans="1:40" x14ac:dyDescent="0.3">
      <c r="A109" s="10" t="str">
        <f>HYPERLINK("http://www.washoecounty.gov/assessor/cama/?parid=002-072-08&amp;CardNumber=1","002-072-08")</f>
        <v>002-072-08</v>
      </c>
      <c r="B109" t="s">
        <v>4655</v>
      </c>
      <c r="C109" t="s">
        <v>6168</v>
      </c>
      <c r="D109" s="1">
        <v>40290</v>
      </c>
      <c r="E109" s="2">
        <v>160000</v>
      </c>
      <c r="F109" t="s">
        <v>4553</v>
      </c>
      <c r="G109" s="17" t="str">
        <f>HYPERLINK("https://www.washoecounty.gov/assessor/cama/?command=sales&amp;parid=00207208","3873499")</f>
        <v>3873499</v>
      </c>
      <c r="H109" t="s">
        <v>3251</v>
      </c>
      <c r="I109">
        <v>1986</v>
      </c>
      <c r="J109">
        <v>1986</v>
      </c>
      <c r="K109" t="s">
        <v>4554</v>
      </c>
      <c r="L109" t="s">
        <v>4555</v>
      </c>
      <c r="M109" s="2">
        <v>1492</v>
      </c>
      <c r="N109" t="s">
        <v>4048</v>
      </c>
      <c r="O109">
        <v>3</v>
      </c>
      <c r="P109">
        <v>2</v>
      </c>
      <c r="Q109">
        <v>0</v>
      </c>
      <c r="R109" t="s">
        <v>4557</v>
      </c>
      <c r="S109" t="s">
        <v>4558</v>
      </c>
      <c r="T109" t="s">
        <v>4559</v>
      </c>
      <c r="U109" t="s">
        <v>4560</v>
      </c>
      <c r="V109" s="2">
        <v>472</v>
      </c>
      <c r="W109" t="s">
        <v>4655</v>
      </c>
      <c r="X109" s="2">
        <v>0</v>
      </c>
      <c r="Y109">
        <v>20</v>
      </c>
      <c r="Z109" t="s">
        <v>4561</v>
      </c>
      <c r="AA109" s="3">
        <v>0.156565651297569</v>
      </c>
      <c r="AB109" t="s">
        <v>6169</v>
      </c>
      <c r="AC109" t="s">
        <v>4562</v>
      </c>
      <c r="AD109" t="s">
        <v>6168</v>
      </c>
      <c r="AE109" t="s">
        <v>4655</v>
      </c>
      <c r="AF109" t="s">
        <v>4563</v>
      </c>
      <c r="AG109" t="s">
        <v>4564</v>
      </c>
      <c r="AH109">
        <v>89503</v>
      </c>
      <c r="AI109" t="s">
        <v>4045</v>
      </c>
      <c r="AJ109" t="s">
        <v>4655</v>
      </c>
      <c r="AK109" t="s">
        <v>6170</v>
      </c>
      <c r="AL109" s="13" t="s">
        <v>2255</v>
      </c>
      <c r="AM109">
        <v>1</v>
      </c>
      <c r="AN109" s="15" t="s">
        <v>2349</v>
      </c>
    </row>
    <row r="110" spans="1:40" x14ac:dyDescent="0.3">
      <c r="A110" s="10" t="str">
        <f>HYPERLINK("http://www.washoecounty.gov/assessor/cama/?parid=002-092-08&amp;CardNumber=1","002-092-08")</f>
        <v>002-092-08</v>
      </c>
      <c r="B110" t="s">
        <v>4655</v>
      </c>
      <c r="C110" t="s">
        <v>6171</v>
      </c>
      <c r="D110" s="1">
        <v>40522</v>
      </c>
      <c r="E110" s="2">
        <v>111000</v>
      </c>
      <c r="F110" t="s">
        <v>4567</v>
      </c>
      <c r="G110" s="17" t="str">
        <f>HYPERLINK("https://www.washoecounty.gov/assessor/cama/?command=sales&amp;parid=00209208","3951934")</f>
        <v>3951934</v>
      </c>
      <c r="H110" t="s">
        <v>1669</v>
      </c>
      <c r="I110">
        <v>1986</v>
      </c>
      <c r="J110">
        <v>1986</v>
      </c>
      <c r="K110" t="s">
        <v>4554</v>
      </c>
      <c r="L110" t="s">
        <v>3974</v>
      </c>
      <c r="M110" s="2">
        <v>1740</v>
      </c>
      <c r="N110" t="s">
        <v>4048</v>
      </c>
      <c r="O110">
        <v>3</v>
      </c>
      <c r="P110">
        <v>2</v>
      </c>
      <c r="Q110">
        <v>1</v>
      </c>
      <c r="R110" t="s">
        <v>4557</v>
      </c>
      <c r="S110" t="s">
        <v>4558</v>
      </c>
      <c r="T110" t="s">
        <v>4559</v>
      </c>
      <c r="U110" t="s">
        <v>4560</v>
      </c>
      <c r="V110" s="2">
        <v>511</v>
      </c>
      <c r="W110" t="s">
        <v>4655</v>
      </c>
      <c r="X110" s="2">
        <v>0</v>
      </c>
      <c r="Y110">
        <v>20</v>
      </c>
      <c r="Z110" t="s">
        <v>4561</v>
      </c>
      <c r="AA110" s="3">
        <v>0.142653807997704</v>
      </c>
      <c r="AB110" t="s">
        <v>6172</v>
      </c>
      <c r="AC110" t="s">
        <v>4562</v>
      </c>
      <c r="AD110" t="s">
        <v>42</v>
      </c>
      <c r="AE110" t="s">
        <v>4655</v>
      </c>
      <c r="AF110" t="s">
        <v>4563</v>
      </c>
      <c r="AG110" t="s">
        <v>4564</v>
      </c>
      <c r="AH110" t="s">
        <v>1147</v>
      </c>
      <c r="AI110" t="s">
        <v>6173</v>
      </c>
      <c r="AJ110" t="s">
        <v>4655</v>
      </c>
      <c r="AK110" t="s">
        <v>6174</v>
      </c>
      <c r="AL110" s="13" t="s">
        <v>2255</v>
      </c>
      <c r="AM110">
        <v>1</v>
      </c>
      <c r="AN110" s="15" t="s">
        <v>2349</v>
      </c>
    </row>
    <row r="111" spans="1:40" x14ac:dyDescent="0.3">
      <c r="A111" s="10" t="str">
        <f>HYPERLINK("http://www.washoecounty.gov/assessor/cama/?parid=002-103-16&amp;CardNumber=1","002-103-16")</f>
        <v>002-103-16</v>
      </c>
      <c r="B111" t="s">
        <v>4655</v>
      </c>
      <c r="C111" t="s">
        <v>6175</v>
      </c>
      <c r="D111" s="1">
        <v>40235</v>
      </c>
      <c r="E111" s="2">
        <v>275000</v>
      </c>
      <c r="F111" t="s">
        <v>4567</v>
      </c>
      <c r="G111" s="17" t="str">
        <f>HYPERLINK("https://www.washoecounty.gov/assessor/cama/?command=sales&amp;parid=00210316","3853502")</f>
        <v>3853502</v>
      </c>
      <c r="H111" t="s">
        <v>2673</v>
      </c>
      <c r="I111">
        <v>1995</v>
      </c>
      <c r="J111">
        <v>1995</v>
      </c>
      <c r="K111" t="s">
        <v>4554</v>
      </c>
      <c r="L111" t="s">
        <v>4555</v>
      </c>
      <c r="M111" s="2">
        <v>2054</v>
      </c>
      <c r="N111" t="s">
        <v>5280</v>
      </c>
      <c r="O111">
        <v>4</v>
      </c>
      <c r="P111">
        <v>2</v>
      </c>
      <c r="Q111">
        <v>0</v>
      </c>
      <c r="R111" t="s">
        <v>4557</v>
      </c>
      <c r="S111" t="s">
        <v>4558</v>
      </c>
      <c r="T111" t="s">
        <v>4559</v>
      </c>
      <c r="U111" t="s">
        <v>4560</v>
      </c>
      <c r="V111" s="2">
        <v>630</v>
      </c>
      <c r="W111" t="s">
        <v>4655</v>
      </c>
      <c r="X111" s="2">
        <v>0</v>
      </c>
      <c r="Y111">
        <v>20</v>
      </c>
      <c r="Z111" t="s">
        <v>4561</v>
      </c>
      <c r="AA111" s="3">
        <v>0.17800734937191001</v>
      </c>
      <c r="AB111" t="s">
        <v>6176</v>
      </c>
      <c r="AC111" t="s">
        <v>4575</v>
      </c>
      <c r="AD111" t="s">
        <v>6177</v>
      </c>
      <c r="AE111" t="s">
        <v>6175</v>
      </c>
      <c r="AF111" t="s">
        <v>4563</v>
      </c>
      <c r="AG111" t="s">
        <v>4564</v>
      </c>
      <c r="AH111">
        <v>89503</v>
      </c>
      <c r="AI111" t="s">
        <v>6178</v>
      </c>
      <c r="AJ111" t="s">
        <v>3514</v>
      </c>
      <c r="AK111" t="s">
        <v>6179</v>
      </c>
      <c r="AL111" s="13" t="s">
        <v>2255</v>
      </c>
      <c r="AM111">
        <v>1</v>
      </c>
      <c r="AN111" s="15" t="s">
        <v>361</v>
      </c>
    </row>
    <row r="112" spans="1:40" x14ac:dyDescent="0.3">
      <c r="A112" s="10" t="str">
        <f>HYPERLINK("http://www.washoecounty.gov/assessor/cama/?parid=002-132-08&amp;CardNumber=1","002-132-08")</f>
        <v>002-132-08</v>
      </c>
      <c r="B112" t="s">
        <v>4655</v>
      </c>
      <c r="C112" t="s">
        <v>6180</v>
      </c>
      <c r="D112" s="1">
        <v>40501</v>
      </c>
      <c r="E112" s="2">
        <v>158000</v>
      </c>
      <c r="F112" t="s">
        <v>4567</v>
      </c>
      <c r="G112" s="17" t="str">
        <f>HYPERLINK("https://www.washoecounty.gov/assessor/cama/?command=sales&amp;parid=00213208","3945184")</f>
        <v>3945184</v>
      </c>
      <c r="H112" t="s">
        <v>394</v>
      </c>
      <c r="I112">
        <v>1956</v>
      </c>
      <c r="J112">
        <v>1956</v>
      </c>
      <c r="K112" t="s">
        <v>4554</v>
      </c>
      <c r="L112" t="s">
        <v>4555</v>
      </c>
      <c r="M112" s="2">
        <v>1210</v>
      </c>
      <c r="N112" t="s">
        <v>4556</v>
      </c>
      <c r="O112">
        <v>3</v>
      </c>
      <c r="P112">
        <v>2</v>
      </c>
      <c r="Q112">
        <v>0</v>
      </c>
      <c r="R112" t="s">
        <v>4557</v>
      </c>
      <c r="S112" t="s">
        <v>4558</v>
      </c>
      <c r="T112" t="s">
        <v>4559</v>
      </c>
      <c r="U112" t="s">
        <v>4655</v>
      </c>
      <c r="V112" s="2">
        <v>0</v>
      </c>
      <c r="W112" t="s">
        <v>4655</v>
      </c>
      <c r="X112" s="2">
        <v>0</v>
      </c>
      <c r="Y112">
        <v>20</v>
      </c>
      <c r="Z112" t="s">
        <v>4561</v>
      </c>
      <c r="AA112" s="3">
        <v>0.15399448573589325</v>
      </c>
      <c r="AB112" t="s">
        <v>6181</v>
      </c>
      <c r="AC112" t="s">
        <v>4562</v>
      </c>
      <c r="AD112" t="s">
        <v>6180</v>
      </c>
      <c r="AE112" t="s">
        <v>4655</v>
      </c>
      <c r="AF112" t="s">
        <v>4563</v>
      </c>
      <c r="AG112" t="s">
        <v>4564</v>
      </c>
      <c r="AH112">
        <v>89503</v>
      </c>
      <c r="AI112" t="s">
        <v>6182</v>
      </c>
      <c r="AJ112" t="s">
        <v>4655</v>
      </c>
      <c r="AK112" t="s">
        <v>6183</v>
      </c>
      <c r="AL112" s="13" t="s">
        <v>2255</v>
      </c>
      <c r="AM112">
        <v>1</v>
      </c>
      <c r="AN112" s="15" t="s">
        <v>4566</v>
      </c>
    </row>
    <row r="113" spans="1:40" x14ac:dyDescent="0.3">
      <c r="A113" s="10" t="str">
        <f>HYPERLINK("http://www.washoecounty.gov/assessor/cama/?parid=002-132-14&amp;CardNumber=1","002-132-14")</f>
        <v>002-132-14</v>
      </c>
      <c r="B113" t="s">
        <v>4655</v>
      </c>
      <c r="C113" t="s">
        <v>6184</v>
      </c>
      <c r="D113" s="1">
        <v>40452</v>
      </c>
      <c r="E113" s="2">
        <v>149900</v>
      </c>
      <c r="F113" t="s">
        <v>4567</v>
      </c>
      <c r="G113" s="17" t="str">
        <f>HYPERLINK("https://www.washoecounty.gov/assessor/cama/?command=sales&amp;parid=00213214","3928772")</f>
        <v>3928772</v>
      </c>
      <c r="H113" t="s">
        <v>5181</v>
      </c>
      <c r="I113">
        <v>1962</v>
      </c>
      <c r="J113">
        <v>1962</v>
      </c>
      <c r="K113" t="s">
        <v>4554</v>
      </c>
      <c r="L113" t="s">
        <v>4555</v>
      </c>
      <c r="M113" s="2">
        <v>1324</v>
      </c>
      <c r="N113" t="s">
        <v>4556</v>
      </c>
      <c r="O113">
        <v>3</v>
      </c>
      <c r="P113">
        <v>2</v>
      </c>
      <c r="Q113">
        <v>0</v>
      </c>
      <c r="R113" t="s">
        <v>4557</v>
      </c>
      <c r="S113" t="s">
        <v>4574</v>
      </c>
      <c r="T113" t="s">
        <v>4559</v>
      </c>
      <c r="U113" t="s">
        <v>4560</v>
      </c>
      <c r="V113" s="2">
        <v>504</v>
      </c>
      <c r="W113" t="s">
        <v>4655</v>
      </c>
      <c r="X113" s="2">
        <v>0</v>
      </c>
      <c r="Y113">
        <v>20</v>
      </c>
      <c r="Z113" t="s">
        <v>4561</v>
      </c>
      <c r="AA113" s="3">
        <v>0.176010102033615</v>
      </c>
      <c r="AB113" t="s">
        <v>6185</v>
      </c>
      <c r="AC113" t="s">
        <v>4562</v>
      </c>
      <c r="AD113" t="s">
        <v>6184</v>
      </c>
      <c r="AE113" t="s">
        <v>4655</v>
      </c>
      <c r="AF113" t="s">
        <v>4563</v>
      </c>
      <c r="AG113" t="s">
        <v>4564</v>
      </c>
      <c r="AH113">
        <v>89503</v>
      </c>
      <c r="AI113" t="s">
        <v>6186</v>
      </c>
      <c r="AJ113" t="s">
        <v>4655</v>
      </c>
      <c r="AK113" t="s">
        <v>6187</v>
      </c>
      <c r="AL113" s="13" t="s">
        <v>2255</v>
      </c>
      <c r="AM113">
        <v>1</v>
      </c>
      <c r="AN113" s="15" t="s">
        <v>4566</v>
      </c>
    </row>
    <row r="114" spans="1:40" x14ac:dyDescent="0.3">
      <c r="A114" s="10" t="str">
        <f>HYPERLINK("http://www.washoecounty.gov/assessor/cama/?parid=002-134-01&amp;CardNumber=1","002-134-01")</f>
        <v>002-134-01</v>
      </c>
      <c r="B114" t="s">
        <v>4655</v>
      </c>
      <c r="C114" t="s">
        <v>6188</v>
      </c>
      <c r="D114" s="1">
        <v>40403</v>
      </c>
      <c r="E114" s="2">
        <v>152000</v>
      </c>
      <c r="F114" t="s">
        <v>4567</v>
      </c>
      <c r="G114" s="17" t="str">
        <f>HYPERLINK("https://www.washoecounty.gov/assessor/cama/?command=sales&amp;parid=00213401","3911892")</f>
        <v>3911892</v>
      </c>
      <c r="H114" t="s">
        <v>6189</v>
      </c>
      <c r="I114">
        <v>1960</v>
      </c>
      <c r="J114">
        <v>1960</v>
      </c>
      <c r="K114" t="s">
        <v>4554</v>
      </c>
      <c r="L114" t="s">
        <v>4555</v>
      </c>
      <c r="M114" s="2">
        <v>1215</v>
      </c>
      <c r="N114" t="s">
        <v>4556</v>
      </c>
      <c r="O114">
        <v>3</v>
      </c>
      <c r="P114">
        <v>1</v>
      </c>
      <c r="Q114">
        <v>1</v>
      </c>
      <c r="R114" t="s">
        <v>4557</v>
      </c>
      <c r="S114" t="s">
        <v>4135</v>
      </c>
      <c r="T114" t="s">
        <v>4559</v>
      </c>
      <c r="U114" t="s">
        <v>4655</v>
      </c>
      <c r="V114" s="2">
        <v>0</v>
      </c>
      <c r="W114" t="s">
        <v>4655</v>
      </c>
      <c r="X114" s="2">
        <v>0</v>
      </c>
      <c r="Y114">
        <v>20</v>
      </c>
      <c r="Z114" t="s">
        <v>4561</v>
      </c>
      <c r="AA114" s="3">
        <v>0.148002758622169</v>
      </c>
      <c r="AB114" t="s">
        <v>6190</v>
      </c>
      <c r="AC114" t="s">
        <v>4562</v>
      </c>
      <c r="AD114" t="s">
        <v>6191</v>
      </c>
      <c r="AE114" t="s">
        <v>4655</v>
      </c>
      <c r="AF114" t="s">
        <v>6192</v>
      </c>
      <c r="AG114" t="s">
        <v>1188</v>
      </c>
      <c r="AH114">
        <v>99701</v>
      </c>
      <c r="AI114" t="s">
        <v>6193</v>
      </c>
      <c r="AJ114" t="s">
        <v>4655</v>
      </c>
      <c r="AK114" t="s">
        <v>6194</v>
      </c>
      <c r="AL114" s="13" t="s">
        <v>2255</v>
      </c>
      <c r="AM114">
        <v>1</v>
      </c>
      <c r="AN114" s="15" t="s">
        <v>4566</v>
      </c>
    </row>
    <row r="115" spans="1:40" x14ac:dyDescent="0.3">
      <c r="A115" s="10" t="str">
        <f>HYPERLINK("http://www.washoecounty.gov/assessor/cama/?parid=002-141-05&amp;CardNumber=1","002-141-05")</f>
        <v>002-141-05</v>
      </c>
      <c r="B115" t="s">
        <v>4655</v>
      </c>
      <c r="C115" t="s">
        <v>6195</v>
      </c>
      <c r="D115" s="1">
        <v>40331</v>
      </c>
      <c r="E115" s="2">
        <v>115000</v>
      </c>
      <c r="F115" t="s">
        <v>4553</v>
      </c>
      <c r="G115" s="17" t="str">
        <f>HYPERLINK("https://www.washoecounty.gov/assessor/cama/?command=sales&amp;parid=00214105","3882493")</f>
        <v>3882493</v>
      </c>
      <c r="H115" t="s">
        <v>394</v>
      </c>
      <c r="I115">
        <v>1956</v>
      </c>
      <c r="J115">
        <v>1956</v>
      </c>
      <c r="K115" t="s">
        <v>4554</v>
      </c>
      <c r="L115" t="s">
        <v>4555</v>
      </c>
      <c r="M115" s="2">
        <v>1210</v>
      </c>
      <c r="N115" t="s">
        <v>4556</v>
      </c>
      <c r="O115">
        <v>3</v>
      </c>
      <c r="P115">
        <v>2</v>
      </c>
      <c r="Q115">
        <v>0</v>
      </c>
      <c r="R115" t="s">
        <v>4557</v>
      </c>
      <c r="S115" t="s">
        <v>4574</v>
      </c>
      <c r="T115" t="s">
        <v>4559</v>
      </c>
      <c r="U115" t="s">
        <v>4560</v>
      </c>
      <c r="V115" s="2">
        <v>462</v>
      </c>
      <c r="W115" t="s">
        <v>4655</v>
      </c>
      <c r="X115" s="2">
        <v>0</v>
      </c>
      <c r="Y115">
        <v>20</v>
      </c>
      <c r="Z115" t="s">
        <v>4561</v>
      </c>
      <c r="AA115" s="3">
        <v>0.16875573992729187</v>
      </c>
      <c r="AB115" t="s">
        <v>6196</v>
      </c>
      <c r="AC115" t="s">
        <v>4562</v>
      </c>
      <c r="AD115" t="s">
        <v>6197</v>
      </c>
      <c r="AE115" t="s">
        <v>4655</v>
      </c>
      <c r="AF115" t="s">
        <v>4563</v>
      </c>
      <c r="AG115" t="s">
        <v>4564</v>
      </c>
      <c r="AH115">
        <v>89507</v>
      </c>
      <c r="AI115" t="s">
        <v>6198</v>
      </c>
      <c r="AJ115" t="s">
        <v>4655</v>
      </c>
      <c r="AK115" t="s">
        <v>6199</v>
      </c>
      <c r="AL115" s="13" t="s">
        <v>2255</v>
      </c>
      <c r="AM115">
        <v>1</v>
      </c>
      <c r="AN115" s="15" t="s">
        <v>4566</v>
      </c>
    </row>
    <row r="116" spans="1:40" x14ac:dyDescent="0.3">
      <c r="A116" s="10" t="str">
        <f>HYPERLINK("http://www.washoecounty.gov/assessor/cama/?parid=002-141-13&amp;CardNumber=1","002-141-13")</f>
        <v>002-141-13</v>
      </c>
      <c r="B116" t="s">
        <v>4655</v>
      </c>
      <c r="C116" t="s">
        <v>6200</v>
      </c>
      <c r="D116" s="1">
        <v>40316</v>
      </c>
      <c r="E116" s="2">
        <v>135000</v>
      </c>
      <c r="F116" t="s">
        <v>4567</v>
      </c>
      <c r="G116" s="17" t="str">
        <f>HYPERLINK("https://www.washoecounty.gov/assessor/cama/?command=sales&amp;parid=00214113","3882699")</f>
        <v>3882699</v>
      </c>
      <c r="H116" t="s">
        <v>394</v>
      </c>
      <c r="I116">
        <v>1956</v>
      </c>
      <c r="J116">
        <v>1956</v>
      </c>
      <c r="K116" t="s">
        <v>4554</v>
      </c>
      <c r="L116" t="s">
        <v>4555</v>
      </c>
      <c r="M116" s="2">
        <v>1210</v>
      </c>
      <c r="N116" t="s">
        <v>4556</v>
      </c>
      <c r="O116">
        <v>3</v>
      </c>
      <c r="P116">
        <v>2</v>
      </c>
      <c r="Q116">
        <v>0</v>
      </c>
      <c r="R116" t="s">
        <v>4557</v>
      </c>
      <c r="S116" t="s">
        <v>4574</v>
      </c>
      <c r="T116" t="s">
        <v>4559</v>
      </c>
      <c r="U116" t="s">
        <v>4560</v>
      </c>
      <c r="V116" s="2">
        <v>437</v>
      </c>
      <c r="W116" t="s">
        <v>4655</v>
      </c>
      <c r="X116" s="2">
        <v>0</v>
      </c>
      <c r="Y116">
        <v>20</v>
      </c>
      <c r="Z116" t="s">
        <v>4561</v>
      </c>
      <c r="AA116" s="3">
        <v>0.18218548595905301</v>
      </c>
      <c r="AB116" t="s">
        <v>6201</v>
      </c>
      <c r="AC116" t="s">
        <v>4562</v>
      </c>
      <c r="AD116" t="s">
        <v>6200</v>
      </c>
      <c r="AE116" t="s">
        <v>4655</v>
      </c>
      <c r="AF116" t="s">
        <v>4563</v>
      </c>
      <c r="AG116" t="s">
        <v>4564</v>
      </c>
      <c r="AH116">
        <v>89503</v>
      </c>
      <c r="AI116" t="s">
        <v>6202</v>
      </c>
      <c r="AJ116" t="s">
        <v>4655</v>
      </c>
      <c r="AK116" t="s">
        <v>6203</v>
      </c>
      <c r="AL116" s="13" t="s">
        <v>2255</v>
      </c>
      <c r="AM116" s="14">
        <v>1</v>
      </c>
      <c r="AN116" s="15" t="s">
        <v>4566</v>
      </c>
    </row>
    <row r="117" spans="1:40" x14ac:dyDescent="0.3">
      <c r="A117" s="10" t="str">
        <f>HYPERLINK("http://www.washoecounty.gov/assessor/cama/?parid=002-144-14&amp;CardNumber=1","002-144-14")</f>
        <v>002-144-14</v>
      </c>
      <c r="B117" t="s">
        <v>4655</v>
      </c>
      <c r="C117" t="s">
        <v>6204</v>
      </c>
      <c r="D117" s="1">
        <v>40368</v>
      </c>
      <c r="E117" s="2">
        <v>235000</v>
      </c>
      <c r="F117" t="s">
        <v>4567</v>
      </c>
      <c r="G117" s="17" t="str">
        <f>HYPERLINK("https://www.washoecounty.gov/assessor/cama/?command=sales&amp;parid=00214414","3899967")</f>
        <v>3899967</v>
      </c>
      <c r="H117" t="s">
        <v>394</v>
      </c>
      <c r="I117">
        <v>1956</v>
      </c>
      <c r="J117">
        <v>1967</v>
      </c>
      <c r="K117" t="s">
        <v>4554</v>
      </c>
      <c r="L117" t="s">
        <v>4555</v>
      </c>
      <c r="M117" s="2">
        <v>1570</v>
      </c>
      <c r="N117" t="s">
        <v>4556</v>
      </c>
      <c r="O117">
        <v>3</v>
      </c>
      <c r="P117">
        <v>2</v>
      </c>
      <c r="Q117">
        <v>0</v>
      </c>
      <c r="R117" t="s">
        <v>4557</v>
      </c>
      <c r="S117" t="s">
        <v>4898</v>
      </c>
      <c r="T117" t="s">
        <v>4559</v>
      </c>
      <c r="U117" t="s">
        <v>4655</v>
      </c>
      <c r="V117" s="2">
        <v>0</v>
      </c>
      <c r="W117" t="s">
        <v>4655</v>
      </c>
      <c r="X117" s="2">
        <v>0</v>
      </c>
      <c r="Y117">
        <v>20</v>
      </c>
      <c r="Z117" t="s">
        <v>4561</v>
      </c>
      <c r="AA117" s="3">
        <v>0.15872359275817871</v>
      </c>
      <c r="AB117" t="s">
        <v>6205</v>
      </c>
      <c r="AC117" t="s">
        <v>4575</v>
      </c>
      <c r="AD117" t="s">
        <v>6206</v>
      </c>
      <c r="AE117" t="s">
        <v>4655</v>
      </c>
      <c r="AF117" t="s">
        <v>4563</v>
      </c>
      <c r="AG117" t="s">
        <v>4564</v>
      </c>
      <c r="AH117">
        <v>89503</v>
      </c>
      <c r="AI117" t="s">
        <v>6207</v>
      </c>
      <c r="AJ117" t="s">
        <v>4655</v>
      </c>
      <c r="AK117" t="s">
        <v>6208</v>
      </c>
      <c r="AL117" s="13" t="s">
        <v>2255</v>
      </c>
      <c r="AM117" s="14">
        <v>1</v>
      </c>
      <c r="AN117" s="15" t="s">
        <v>4566</v>
      </c>
    </row>
    <row r="118" spans="1:40" x14ac:dyDescent="0.3">
      <c r="A118" s="10" t="str">
        <f>HYPERLINK("http://www.washoecounty.gov/assessor/cama/?parid=002-144-18&amp;CardNumber=1","002-144-18")</f>
        <v>002-144-18</v>
      </c>
      <c r="B118" t="s">
        <v>4655</v>
      </c>
      <c r="C118" t="s">
        <v>6209</v>
      </c>
      <c r="D118" s="1">
        <v>40487</v>
      </c>
      <c r="E118" s="2">
        <v>145000</v>
      </c>
      <c r="F118" t="s">
        <v>4553</v>
      </c>
      <c r="G118" s="17" t="str">
        <f>HYPERLINK("https://www.washoecounty.gov/assessor/cama/?command=sales&amp;parid=00214418","3940320")</f>
        <v>3940320</v>
      </c>
      <c r="H118" t="s">
        <v>126</v>
      </c>
      <c r="I118">
        <v>1956</v>
      </c>
      <c r="J118">
        <v>1956</v>
      </c>
      <c r="K118" t="s">
        <v>4554</v>
      </c>
      <c r="L118" t="s">
        <v>4555</v>
      </c>
      <c r="M118" s="2">
        <v>1210</v>
      </c>
      <c r="N118" t="s">
        <v>4556</v>
      </c>
      <c r="O118">
        <v>3</v>
      </c>
      <c r="P118">
        <v>2</v>
      </c>
      <c r="Q118">
        <v>0</v>
      </c>
      <c r="R118" t="s">
        <v>4557</v>
      </c>
      <c r="S118" t="s">
        <v>4135</v>
      </c>
      <c r="T118" t="s">
        <v>4559</v>
      </c>
      <c r="U118" t="s">
        <v>4560</v>
      </c>
      <c r="V118" s="2">
        <v>462</v>
      </c>
      <c r="W118" t="s">
        <v>4655</v>
      </c>
      <c r="X118" s="2">
        <v>0</v>
      </c>
      <c r="Y118">
        <v>20</v>
      </c>
      <c r="Z118" t="s">
        <v>4561</v>
      </c>
      <c r="AA118" s="3">
        <v>0.137741044163704</v>
      </c>
      <c r="AB118" t="s">
        <v>6210</v>
      </c>
      <c r="AC118" t="s">
        <v>4562</v>
      </c>
      <c r="AD118" t="s">
        <v>6211</v>
      </c>
      <c r="AE118" t="s">
        <v>4655</v>
      </c>
      <c r="AF118" t="s">
        <v>3876</v>
      </c>
      <c r="AG118" t="s">
        <v>4564</v>
      </c>
      <c r="AH118" t="s">
        <v>3877</v>
      </c>
      <c r="AI118" t="s">
        <v>949</v>
      </c>
      <c r="AJ118" t="s">
        <v>4655</v>
      </c>
      <c r="AK118" t="s">
        <v>6212</v>
      </c>
      <c r="AL118" s="13" t="s">
        <v>2255</v>
      </c>
      <c r="AM118" s="14">
        <v>1</v>
      </c>
      <c r="AN118" s="15" t="s">
        <v>4566</v>
      </c>
    </row>
    <row r="119" spans="1:40" x14ac:dyDescent="0.3">
      <c r="A119" s="10" t="str">
        <f>HYPERLINK("http://www.washoecounty.gov/assessor/cama/?parid=002-151-03&amp;CardNumber=1","002-151-03")</f>
        <v>002-151-03</v>
      </c>
      <c r="B119" t="s">
        <v>4655</v>
      </c>
      <c r="C119" t="s">
        <v>6213</v>
      </c>
      <c r="D119" s="1">
        <v>40423</v>
      </c>
      <c r="E119" s="2">
        <v>145000</v>
      </c>
      <c r="F119" t="s">
        <v>4567</v>
      </c>
      <c r="G119" s="17" t="str">
        <f>HYPERLINK("https://www.washoecounty.gov/assessor/cama/?command=sales&amp;parid=00215103","3918201")</f>
        <v>3918201</v>
      </c>
      <c r="H119" t="s">
        <v>2739</v>
      </c>
      <c r="I119">
        <v>1947</v>
      </c>
      <c r="J119">
        <v>1947</v>
      </c>
      <c r="K119" t="s">
        <v>4554</v>
      </c>
      <c r="L119" t="s">
        <v>4555</v>
      </c>
      <c r="M119" s="2">
        <v>1179</v>
      </c>
      <c r="N119" t="s">
        <v>5280</v>
      </c>
      <c r="O119">
        <v>3</v>
      </c>
      <c r="P119">
        <v>2</v>
      </c>
      <c r="Q119">
        <v>0</v>
      </c>
      <c r="R119" t="s">
        <v>4557</v>
      </c>
      <c r="S119" t="s">
        <v>4682</v>
      </c>
      <c r="T119" t="s">
        <v>4143</v>
      </c>
      <c r="U119" t="s">
        <v>4655</v>
      </c>
      <c r="V119" s="2">
        <v>0</v>
      </c>
      <c r="W119" t="s">
        <v>4571</v>
      </c>
      <c r="X119" s="2">
        <v>1167</v>
      </c>
      <c r="Y119">
        <v>20</v>
      </c>
      <c r="Z119" t="s">
        <v>4144</v>
      </c>
      <c r="AA119" s="3">
        <v>0.14921946823596954</v>
      </c>
      <c r="AB119" t="s">
        <v>6214</v>
      </c>
      <c r="AC119" t="s">
        <v>4562</v>
      </c>
      <c r="AD119" t="s">
        <v>6213</v>
      </c>
      <c r="AE119" t="s">
        <v>4655</v>
      </c>
      <c r="AF119" t="s">
        <v>4563</v>
      </c>
      <c r="AG119" t="s">
        <v>4564</v>
      </c>
      <c r="AH119">
        <v>89503</v>
      </c>
      <c r="AI119" t="s">
        <v>6215</v>
      </c>
      <c r="AJ119" t="s">
        <v>6216</v>
      </c>
      <c r="AK119" t="s">
        <v>6217</v>
      </c>
      <c r="AL119" s="13" t="s">
        <v>2255</v>
      </c>
      <c r="AM119" s="14">
        <v>1</v>
      </c>
      <c r="AN119" s="15" t="s">
        <v>2273</v>
      </c>
    </row>
    <row r="120" spans="1:40" x14ac:dyDescent="0.3">
      <c r="A120" s="10" t="str">
        <f>HYPERLINK("http://www.washoecounty.gov/assessor/cama/?parid=002-181-01&amp;CardNumber=1","002-181-01")</f>
        <v>002-181-01</v>
      </c>
      <c r="B120" t="s">
        <v>4655</v>
      </c>
      <c r="C120" t="s">
        <v>6218</v>
      </c>
      <c r="D120" s="1">
        <v>40357</v>
      </c>
      <c r="E120" s="2">
        <v>229500</v>
      </c>
      <c r="F120" t="s">
        <v>4567</v>
      </c>
      <c r="G120" s="17" t="str">
        <f>HYPERLINK("https://www.washoecounty.gov/assessor/cama/?command=sales&amp;parid=00218101","3895930")</f>
        <v>3895930</v>
      </c>
      <c r="H120" t="s">
        <v>126</v>
      </c>
      <c r="I120">
        <v>1956</v>
      </c>
      <c r="J120">
        <v>1965</v>
      </c>
      <c r="K120" t="s">
        <v>4554</v>
      </c>
      <c r="L120" t="s">
        <v>4555</v>
      </c>
      <c r="M120" s="2">
        <v>1470</v>
      </c>
      <c r="N120" t="s">
        <v>4556</v>
      </c>
      <c r="O120">
        <v>3</v>
      </c>
      <c r="P120">
        <v>3</v>
      </c>
      <c r="Q120">
        <v>0</v>
      </c>
      <c r="R120" t="s">
        <v>4557</v>
      </c>
      <c r="S120" t="s">
        <v>4558</v>
      </c>
      <c r="T120" t="s">
        <v>4559</v>
      </c>
      <c r="U120" t="s">
        <v>4560</v>
      </c>
      <c r="V120" s="2">
        <v>400</v>
      </c>
      <c r="W120" t="s">
        <v>4655</v>
      </c>
      <c r="X120" s="2">
        <v>0</v>
      </c>
      <c r="Y120">
        <v>20</v>
      </c>
      <c r="Z120" t="s">
        <v>4561</v>
      </c>
      <c r="AA120" s="3">
        <v>0.25094121694564803</v>
      </c>
      <c r="AB120" t="s">
        <v>6219</v>
      </c>
      <c r="AC120" t="s">
        <v>4562</v>
      </c>
      <c r="AD120" t="s">
        <v>6220</v>
      </c>
      <c r="AE120" t="s">
        <v>4655</v>
      </c>
      <c r="AF120" t="s">
        <v>4563</v>
      </c>
      <c r="AG120" t="s">
        <v>4564</v>
      </c>
      <c r="AH120" t="s">
        <v>2841</v>
      </c>
      <c r="AI120" t="s">
        <v>6221</v>
      </c>
      <c r="AJ120" t="s">
        <v>4655</v>
      </c>
      <c r="AK120" t="s">
        <v>6222</v>
      </c>
      <c r="AL120" s="13" t="s">
        <v>2255</v>
      </c>
      <c r="AM120" s="14">
        <v>1</v>
      </c>
      <c r="AN120" s="15" t="s">
        <v>4566</v>
      </c>
    </row>
    <row r="121" spans="1:40" x14ac:dyDescent="0.3">
      <c r="A121" s="10" t="str">
        <f>HYPERLINK("http://www.washoecounty.gov/assessor/cama/?parid=002-182-07&amp;CardNumber=1","002-182-07")</f>
        <v>002-182-07</v>
      </c>
      <c r="B121" t="s">
        <v>4655</v>
      </c>
      <c r="C121" t="s">
        <v>6223</v>
      </c>
      <c r="D121" s="1">
        <v>40344</v>
      </c>
      <c r="E121" s="2">
        <v>166000</v>
      </c>
      <c r="F121" t="s">
        <v>4553</v>
      </c>
      <c r="G121" s="17" t="str">
        <f>HYPERLINK("https://www.washoecounty.gov/assessor/cama/?command=sales&amp;parid=00218207","3892018")</f>
        <v>3892018</v>
      </c>
      <c r="H121" t="s">
        <v>126</v>
      </c>
      <c r="I121">
        <v>1956</v>
      </c>
      <c r="J121">
        <v>1956</v>
      </c>
      <c r="K121" t="s">
        <v>4554</v>
      </c>
      <c r="L121" t="s">
        <v>4555</v>
      </c>
      <c r="M121" s="2">
        <v>1210</v>
      </c>
      <c r="N121" t="s">
        <v>4556</v>
      </c>
      <c r="O121">
        <v>3</v>
      </c>
      <c r="P121">
        <v>2</v>
      </c>
      <c r="Q121">
        <v>0</v>
      </c>
      <c r="R121" t="s">
        <v>5281</v>
      </c>
      <c r="S121" t="s">
        <v>4574</v>
      </c>
      <c r="T121" t="s">
        <v>4559</v>
      </c>
      <c r="U121" t="s">
        <v>4560</v>
      </c>
      <c r="V121" s="2">
        <v>440</v>
      </c>
      <c r="W121" t="s">
        <v>4655</v>
      </c>
      <c r="X121" s="2">
        <v>0</v>
      </c>
      <c r="Y121">
        <v>20</v>
      </c>
      <c r="Z121" t="s">
        <v>4561</v>
      </c>
      <c r="AA121" s="3">
        <v>0.14807163178920699</v>
      </c>
      <c r="AB121" t="s">
        <v>6224</v>
      </c>
      <c r="AC121" t="s">
        <v>4575</v>
      </c>
      <c r="AD121" t="s">
        <v>6225</v>
      </c>
      <c r="AE121" t="s">
        <v>4655</v>
      </c>
      <c r="AF121" t="s">
        <v>4563</v>
      </c>
      <c r="AG121" t="s">
        <v>4564</v>
      </c>
      <c r="AH121">
        <v>89503</v>
      </c>
      <c r="AI121" t="s">
        <v>6226</v>
      </c>
      <c r="AJ121" t="s">
        <v>4655</v>
      </c>
      <c r="AK121" t="s">
        <v>6227</v>
      </c>
      <c r="AL121" s="13" t="s">
        <v>2255</v>
      </c>
      <c r="AM121">
        <v>1</v>
      </c>
      <c r="AN121" s="15" t="s">
        <v>4566</v>
      </c>
    </row>
    <row r="122" spans="1:40" x14ac:dyDescent="0.3">
      <c r="A122" s="10" t="str">
        <f>HYPERLINK("http://www.washoecounty.gov/assessor/cama/?parid=002-192-24&amp;CardNumber=1","002-192-24")</f>
        <v>002-192-24</v>
      </c>
      <c r="B122" t="s">
        <v>4655</v>
      </c>
      <c r="C122" t="s">
        <v>6228</v>
      </c>
      <c r="D122" s="1">
        <v>40206</v>
      </c>
      <c r="E122" s="2">
        <v>115000</v>
      </c>
      <c r="F122" t="s">
        <v>4567</v>
      </c>
      <c r="G122" s="17" t="str">
        <f>HYPERLINK("https://www.washoecounty.gov/assessor/cama/?command=sales&amp;parid=00219224","3843794")</f>
        <v>3843794</v>
      </c>
      <c r="H122" t="s">
        <v>3203</v>
      </c>
      <c r="I122">
        <v>1953</v>
      </c>
      <c r="J122">
        <v>1953</v>
      </c>
      <c r="K122" t="s">
        <v>4554</v>
      </c>
      <c r="L122" t="s">
        <v>4555</v>
      </c>
      <c r="M122" s="2">
        <v>1042</v>
      </c>
      <c r="N122" t="s">
        <v>4556</v>
      </c>
      <c r="O122">
        <v>3</v>
      </c>
      <c r="P122">
        <v>1</v>
      </c>
      <c r="Q122">
        <v>0</v>
      </c>
      <c r="R122" t="s">
        <v>4557</v>
      </c>
      <c r="S122" t="s">
        <v>4570</v>
      </c>
      <c r="T122" t="s">
        <v>4559</v>
      </c>
      <c r="U122" t="s">
        <v>4655</v>
      </c>
      <c r="V122" s="2">
        <v>0</v>
      </c>
      <c r="W122" t="s">
        <v>4655</v>
      </c>
      <c r="X122" s="2">
        <v>0</v>
      </c>
      <c r="Y122">
        <v>20</v>
      </c>
      <c r="Z122" t="s">
        <v>4561</v>
      </c>
      <c r="AA122" s="3">
        <v>0.14462809264659901</v>
      </c>
      <c r="AB122" t="s">
        <v>6229</v>
      </c>
      <c r="AC122" t="s">
        <v>4562</v>
      </c>
      <c r="AD122" t="s">
        <v>6230</v>
      </c>
      <c r="AE122" t="s">
        <v>4655</v>
      </c>
      <c r="AF122" t="s">
        <v>4563</v>
      </c>
      <c r="AG122" t="s">
        <v>4564</v>
      </c>
      <c r="AH122">
        <v>89503</v>
      </c>
      <c r="AI122" t="s">
        <v>6231</v>
      </c>
      <c r="AJ122" t="s">
        <v>4655</v>
      </c>
      <c r="AK122" t="s">
        <v>6232</v>
      </c>
      <c r="AL122" s="13" t="s">
        <v>2255</v>
      </c>
      <c r="AM122">
        <v>1</v>
      </c>
      <c r="AN122" s="15" t="s">
        <v>4566</v>
      </c>
    </row>
    <row r="123" spans="1:40" x14ac:dyDescent="0.3">
      <c r="A123" s="10" t="str">
        <f>HYPERLINK("http://www.washoecounty.gov/assessor/cama/?parid=002-193-07&amp;CardNumber=1","002-193-07")</f>
        <v>002-193-07</v>
      </c>
      <c r="B123" t="s">
        <v>4655</v>
      </c>
      <c r="C123" t="s">
        <v>6233</v>
      </c>
      <c r="D123" s="1">
        <v>40451</v>
      </c>
      <c r="E123" s="2">
        <v>119900</v>
      </c>
      <c r="F123" t="s">
        <v>4567</v>
      </c>
      <c r="G123" s="17" t="str">
        <f>HYPERLINK("https://www.washoecounty.gov/assessor/cama/?command=sales&amp;parid=00219307","3928328")</f>
        <v>3928328</v>
      </c>
      <c r="H123" t="s">
        <v>3203</v>
      </c>
      <c r="I123">
        <v>1953</v>
      </c>
      <c r="J123">
        <v>1953</v>
      </c>
      <c r="K123" t="s">
        <v>4554</v>
      </c>
      <c r="L123" t="s">
        <v>4555</v>
      </c>
      <c r="M123" s="2">
        <v>877</v>
      </c>
      <c r="N123" t="s">
        <v>4556</v>
      </c>
      <c r="O123">
        <v>2</v>
      </c>
      <c r="P123">
        <v>1</v>
      </c>
      <c r="Q123">
        <v>0</v>
      </c>
      <c r="R123" t="s">
        <v>4134</v>
      </c>
      <c r="S123" t="s">
        <v>4135</v>
      </c>
      <c r="T123" t="s">
        <v>4559</v>
      </c>
      <c r="U123" t="s">
        <v>4560</v>
      </c>
      <c r="V123" s="2">
        <v>276</v>
      </c>
      <c r="W123" t="s">
        <v>4655</v>
      </c>
      <c r="X123" s="2">
        <v>0</v>
      </c>
      <c r="Y123">
        <v>20</v>
      </c>
      <c r="Z123" t="s">
        <v>4561</v>
      </c>
      <c r="AA123" s="3">
        <v>0.141253441572189</v>
      </c>
      <c r="AB123" t="s">
        <v>6234</v>
      </c>
      <c r="AC123" t="s">
        <v>4575</v>
      </c>
      <c r="AD123" t="s">
        <v>6235</v>
      </c>
      <c r="AE123" t="s">
        <v>4655</v>
      </c>
      <c r="AF123" t="s">
        <v>4563</v>
      </c>
      <c r="AG123" t="s">
        <v>4564</v>
      </c>
      <c r="AH123">
        <v>89503</v>
      </c>
      <c r="AI123" t="s">
        <v>793</v>
      </c>
      <c r="AJ123" t="s">
        <v>4655</v>
      </c>
      <c r="AK123" t="s">
        <v>6236</v>
      </c>
      <c r="AL123" s="13" t="s">
        <v>2255</v>
      </c>
      <c r="AM123">
        <v>1</v>
      </c>
      <c r="AN123" s="15" t="s">
        <v>4566</v>
      </c>
    </row>
    <row r="124" spans="1:40" x14ac:dyDescent="0.3">
      <c r="A124" s="10" t="str">
        <f>HYPERLINK("http://www.washoecounty.gov/assessor/cama/?parid=002-193-07&amp;CardNumber=1","002-193-07")</f>
        <v>002-193-07</v>
      </c>
      <c r="B124" t="s">
        <v>4655</v>
      </c>
      <c r="C124" t="s">
        <v>6233</v>
      </c>
      <c r="D124" s="1">
        <v>40401</v>
      </c>
      <c r="E124" s="2">
        <v>90000</v>
      </c>
      <c r="F124" t="s">
        <v>4553</v>
      </c>
      <c r="G124" s="17" t="str">
        <f>HYPERLINK("https://www.washoecounty.gov/assessor/cama/?command=sales&amp;parid=00219307","3910612")</f>
        <v>3910612</v>
      </c>
      <c r="H124" t="s">
        <v>3203</v>
      </c>
      <c r="I124">
        <v>1953</v>
      </c>
      <c r="J124">
        <v>1953</v>
      </c>
      <c r="K124" t="s">
        <v>4554</v>
      </c>
      <c r="L124" t="s">
        <v>4555</v>
      </c>
      <c r="M124" s="2">
        <v>877</v>
      </c>
      <c r="N124" t="s">
        <v>4556</v>
      </c>
      <c r="O124">
        <v>2</v>
      </c>
      <c r="P124">
        <v>1</v>
      </c>
      <c r="Q124">
        <v>0</v>
      </c>
      <c r="R124" t="s">
        <v>4134</v>
      </c>
      <c r="S124" t="s">
        <v>4135</v>
      </c>
      <c r="T124" t="s">
        <v>4559</v>
      </c>
      <c r="U124" t="s">
        <v>4560</v>
      </c>
      <c r="V124" s="2">
        <v>276</v>
      </c>
      <c r="W124" t="s">
        <v>4655</v>
      </c>
      <c r="X124" s="2">
        <v>0</v>
      </c>
      <c r="Y124">
        <v>20</v>
      </c>
      <c r="Z124" t="s">
        <v>4561</v>
      </c>
      <c r="AA124" s="3">
        <v>0.141253441572189</v>
      </c>
      <c r="AB124" t="s">
        <v>6234</v>
      </c>
      <c r="AC124" t="s">
        <v>4575</v>
      </c>
      <c r="AD124" t="s">
        <v>6235</v>
      </c>
      <c r="AE124" t="s">
        <v>4655</v>
      </c>
      <c r="AF124" t="s">
        <v>4563</v>
      </c>
      <c r="AG124" t="s">
        <v>4564</v>
      </c>
      <c r="AH124">
        <v>89503</v>
      </c>
      <c r="AI124" t="s">
        <v>793</v>
      </c>
      <c r="AJ124" t="s">
        <v>4655</v>
      </c>
      <c r="AK124" t="s">
        <v>6236</v>
      </c>
      <c r="AL124" s="13" t="s">
        <v>2255</v>
      </c>
      <c r="AM124">
        <v>1</v>
      </c>
      <c r="AN124" s="15" t="s">
        <v>4566</v>
      </c>
    </row>
    <row r="125" spans="1:40" x14ac:dyDescent="0.3">
      <c r="A125" s="10" t="str">
        <f>HYPERLINK("http://www.washoecounty.gov/assessor/cama/?parid=002-193-14&amp;CardNumber=1","002-193-14")</f>
        <v>002-193-14</v>
      </c>
      <c r="B125" t="s">
        <v>4655</v>
      </c>
      <c r="C125" t="s">
        <v>6237</v>
      </c>
      <c r="D125" s="1">
        <v>40331</v>
      </c>
      <c r="E125" s="2">
        <v>97970</v>
      </c>
      <c r="F125" t="s">
        <v>4553</v>
      </c>
      <c r="G125" s="17" t="str">
        <f>HYPERLINK("https://www.washoecounty.gov/assessor/cama/?command=sales&amp;parid=00219314","3887484")</f>
        <v>3887484</v>
      </c>
      <c r="H125" t="s">
        <v>3203</v>
      </c>
      <c r="I125">
        <v>1953</v>
      </c>
      <c r="J125">
        <v>1963</v>
      </c>
      <c r="K125" t="s">
        <v>4554</v>
      </c>
      <c r="L125" t="s">
        <v>2170</v>
      </c>
      <c r="M125" s="2">
        <v>1796</v>
      </c>
      <c r="N125" t="s">
        <v>4556</v>
      </c>
      <c r="O125">
        <v>4</v>
      </c>
      <c r="P125">
        <v>2</v>
      </c>
      <c r="Q125">
        <v>0</v>
      </c>
      <c r="R125" t="s">
        <v>4557</v>
      </c>
      <c r="S125" t="s">
        <v>4135</v>
      </c>
      <c r="T125" t="s">
        <v>4559</v>
      </c>
      <c r="U125" t="s">
        <v>4560</v>
      </c>
      <c r="V125" s="2">
        <v>264</v>
      </c>
      <c r="W125" t="s">
        <v>4655</v>
      </c>
      <c r="X125" s="2">
        <v>0</v>
      </c>
      <c r="Y125">
        <v>20</v>
      </c>
      <c r="Z125" t="s">
        <v>4561</v>
      </c>
      <c r="AA125" s="3">
        <v>0.16657483577728271</v>
      </c>
      <c r="AB125" t="s">
        <v>6238</v>
      </c>
      <c r="AC125" t="s">
        <v>4562</v>
      </c>
      <c r="AD125" t="s">
        <v>6239</v>
      </c>
      <c r="AE125" t="s">
        <v>4655</v>
      </c>
      <c r="AF125" t="s">
        <v>4563</v>
      </c>
      <c r="AG125" t="s">
        <v>4564</v>
      </c>
      <c r="AH125">
        <v>89510</v>
      </c>
      <c r="AI125" t="s">
        <v>4565</v>
      </c>
      <c r="AJ125" t="s">
        <v>4655</v>
      </c>
      <c r="AK125" t="s">
        <v>6240</v>
      </c>
      <c r="AL125" s="13" t="s">
        <v>2255</v>
      </c>
      <c r="AM125">
        <v>1</v>
      </c>
      <c r="AN125" s="15" t="s">
        <v>4566</v>
      </c>
    </row>
    <row r="126" spans="1:40" x14ac:dyDescent="0.3">
      <c r="A126" s="10" t="str">
        <f>HYPERLINK("http://www.washoecounty.gov/assessor/cama/?parid=002-195-04&amp;CardNumber=1","002-195-04")</f>
        <v>002-195-04</v>
      </c>
      <c r="B126" t="s">
        <v>4655</v>
      </c>
      <c r="C126" t="s">
        <v>6241</v>
      </c>
      <c r="D126" s="1">
        <v>40389</v>
      </c>
      <c r="E126" s="2">
        <v>210000</v>
      </c>
      <c r="F126" t="s">
        <v>4567</v>
      </c>
      <c r="G126" s="17" t="str">
        <f>HYPERLINK("https://www.washoecounty.gov/assessor/cama/?command=sales&amp;parid=00219504","3907055")</f>
        <v>3907055</v>
      </c>
      <c r="H126" t="s">
        <v>6242</v>
      </c>
      <c r="I126">
        <v>1993</v>
      </c>
      <c r="J126">
        <v>1993</v>
      </c>
      <c r="K126" t="s">
        <v>4554</v>
      </c>
      <c r="L126" t="s">
        <v>4555</v>
      </c>
      <c r="M126" s="2">
        <v>1672</v>
      </c>
      <c r="N126" t="s">
        <v>4048</v>
      </c>
      <c r="O126">
        <v>3</v>
      </c>
      <c r="P126">
        <v>2</v>
      </c>
      <c r="Q126">
        <v>0</v>
      </c>
      <c r="R126" t="s">
        <v>5281</v>
      </c>
      <c r="S126" t="s">
        <v>4558</v>
      </c>
      <c r="T126" t="s">
        <v>4559</v>
      </c>
      <c r="U126" t="s">
        <v>4560</v>
      </c>
      <c r="V126" s="2">
        <v>440</v>
      </c>
      <c r="W126" t="s">
        <v>4655</v>
      </c>
      <c r="X126" s="2">
        <v>0</v>
      </c>
      <c r="Y126">
        <v>20</v>
      </c>
      <c r="Z126" t="s">
        <v>4561</v>
      </c>
      <c r="AA126" s="3">
        <v>0.20436179637908899</v>
      </c>
      <c r="AB126" t="s">
        <v>6243</v>
      </c>
      <c r="AC126" t="s">
        <v>4562</v>
      </c>
      <c r="AD126" t="s">
        <v>6241</v>
      </c>
      <c r="AE126" t="s">
        <v>4655</v>
      </c>
      <c r="AF126" t="s">
        <v>4563</v>
      </c>
      <c r="AG126" t="s">
        <v>4564</v>
      </c>
      <c r="AH126">
        <v>89503</v>
      </c>
      <c r="AI126" t="s">
        <v>6244</v>
      </c>
      <c r="AJ126" t="s">
        <v>6245</v>
      </c>
      <c r="AK126" t="s">
        <v>6246</v>
      </c>
      <c r="AL126" s="13" t="s">
        <v>2255</v>
      </c>
      <c r="AM126">
        <v>1</v>
      </c>
      <c r="AN126" s="15" t="s">
        <v>2349</v>
      </c>
    </row>
    <row r="127" spans="1:40" x14ac:dyDescent="0.3">
      <c r="A127" s="10" t="str">
        <f>HYPERLINK("http://www.washoecounty.gov/assessor/cama/?parid=002-195-07&amp;CardNumber=1","002-195-07")</f>
        <v>002-195-07</v>
      </c>
      <c r="B127" t="s">
        <v>4655</v>
      </c>
      <c r="C127" t="s">
        <v>6247</v>
      </c>
      <c r="D127" s="1">
        <v>40420</v>
      </c>
      <c r="E127" s="2">
        <v>149000</v>
      </c>
      <c r="F127" t="s">
        <v>4567</v>
      </c>
      <c r="G127" s="17" t="str">
        <f>HYPERLINK("https://www.washoecounty.gov/assessor/cama/?command=sales&amp;parid=00219507","3916817")</f>
        <v>3916817</v>
      </c>
      <c r="H127" t="s">
        <v>6248</v>
      </c>
      <c r="I127">
        <v>1994</v>
      </c>
      <c r="J127">
        <v>1994</v>
      </c>
      <c r="K127" t="s">
        <v>4554</v>
      </c>
      <c r="L127" t="s">
        <v>3886</v>
      </c>
      <c r="M127" s="2">
        <v>1859</v>
      </c>
      <c r="N127" t="s">
        <v>4048</v>
      </c>
      <c r="O127">
        <v>3</v>
      </c>
      <c r="P127">
        <v>2</v>
      </c>
      <c r="Q127">
        <v>0</v>
      </c>
      <c r="R127" t="s">
        <v>4557</v>
      </c>
      <c r="S127" t="s">
        <v>4558</v>
      </c>
      <c r="T127" t="s">
        <v>4559</v>
      </c>
      <c r="U127" t="s">
        <v>4560</v>
      </c>
      <c r="V127" s="2">
        <v>440</v>
      </c>
      <c r="W127" t="s">
        <v>4655</v>
      </c>
      <c r="X127" s="2">
        <v>0</v>
      </c>
      <c r="Y127">
        <v>20</v>
      </c>
      <c r="Z127" t="s">
        <v>4561</v>
      </c>
      <c r="AA127" s="3">
        <v>0.237695127725601</v>
      </c>
      <c r="AB127" t="s">
        <v>6249</v>
      </c>
      <c r="AC127" t="s">
        <v>4562</v>
      </c>
      <c r="AD127" t="s">
        <v>6250</v>
      </c>
      <c r="AE127" t="s">
        <v>4655</v>
      </c>
      <c r="AF127" t="s">
        <v>4563</v>
      </c>
      <c r="AG127" t="s">
        <v>4564</v>
      </c>
      <c r="AH127">
        <v>89503</v>
      </c>
      <c r="AI127" t="s">
        <v>4655</v>
      </c>
      <c r="AJ127" t="s">
        <v>6251</v>
      </c>
      <c r="AK127" t="s">
        <v>6252</v>
      </c>
      <c r="AL127" s="13" t="s">
        <v>2255</v>
      </c>
      <c r="AM127" s="14">
        <v>1</v>
      </c>
      <c r="AN127" s="15" t="s">
        <v>2349</v>
      </c>
    </row>
    <row r="128" spans="1:40" x14ac:dyDescent="0.3">
      <c r="A128" s="10" t="str">
        <f>HYPERLINK("http://www.washoecounty.gov/assessor/cama/?parid=002-211-10&amp;CardNumber=1","002-211-10")</f>
        <v>002-211-10</v>
      </c>
      <c r="B128" t="s">
        <v>4655</v>
      </c>
      <c r="C128" t="s">
        <v>6253</v>
      </c>
      <c r="D128" s="1">
        <v>40322</v>
      </c>
      <c r="E128" s="2">
        <v>138813</v>
      </c>
      <c r="F128" t="s">
        <v>4567</v>
      </c>
      <c r="G128" s="17" t="str">
        <f>HYPERLINK("https://www.washoecounty.gov/assessor/cama/?command=sales&amp;parid=00221110","3884295")</f>
        <v>3884295</v>
      </c>
      <c r="H128" t="s">
        <v>6254</v>
      </c>
      <c r="I128">
        <v>1989</v>
      </c>
      <c r="J128">
        <v>1989</v>
      </c>
      <c r="K128" t="s">
        <v>4554</v>
      </c>
      <c r="L128" t="s">
        <v>3974</v>
      </c>
      <c r="M128" s="2">
        <v>1528</v>
      </c>
      <c r="N128" t="s">
        <v>4048</v>
      </c>
      <c r="O128">
        <v>3</v>
      </c>
      <c r="P128">
        <v>2</v>
      </c>
      <c r="Q128">
        <v>1</v>
      </c>
      <c r="R128" t="s">
        <v>4557</v>
      </c>
      <c r="S128" t="s">
        <v>4558</v>
      </c>
      <c r="T128" t="s">
        <v>4559</v>
      </c>
      <c r="U128" t="s">
        <v>5631</v>
      </c>
      <c r="V128" s="2">
        <v>504</v>
      </c>
      <c r="W128" t="s">
        <v>4655</v>
      </c>
      <c r="X128" s="2">
        <v>0</v>
      </c>
      <c r="Y128">
        <v>20</v>
      </c>
      <c r="Z128" t="s">
        <v>4561</v>
      </c>
      <c r="AA128" s="3">
        <v>0.146992653608322</v>
      </c>
      <c r="AB128" t="s">
        <v>6255</v>
      </c>
      <c r="AC128" t="s">
        <v>4562</v>
      </c>
      <c r="AD128" t="s">
        <v>6256</v>
      </c>
      <c r="AE128" t="s">
        <v>4655</v>
      </c>
      <c r="AF128" t="s">
        <v>5201</v>
      </c>
      <c r="AG128" t="s">
        <v>4564</v>
      </c>
      <c r="AH128" t="s">
        <v>5202</v>
      </c>
      <c r="AI128" t="s">
        <v>6257</v>
      </c>
      <c r="AJ128" t="s">
        <v>4655</v>
      </c>
      <c r="AK128" t="s">
        <v>6258</v>
      </c>
      <c r="AL128" s="13" t="s">
        <v>2255</v>
      </c>
      <c r="AM128">
        <v>1</v>
      </c>
      <c r="AN128" s="15" t="s">
        <v>2349</v>
      </c>
    </row>
    <row r="129" spans="1:40" x14ac:dyDescent="0.3">
      <c r="A129" s="10" t="str">
        <f>HYPERLINK("http://www.washoecounty.gov/assessor/cama/?parid=002-212-03&amp;CardNumber=1","002-212-03")</f>
        <v>002-212-03</v>
      </c>
      <c r="B129" t="s">
        <v>4655</v>
      </c>
      <c r="C129" t="s">
        <v>6259</v>
      </c>
      <c r="D129" s="1">
        <v>40514</v>
      </c>
      <c r="E129" s="2">
        <v>135000</v>
      </c>
      <c r="F129" t="s">
        <v>4553</v>
      </c>
      <c r="G129" s="17" t="str">
        <f>HYPERLINK("https://www.washoecounty.gov/assessor/cama/?command=sales&amp;parid=00221203","3948883")</f>
        <v>3948883</v>
      </c>
      <c r="H129" t="s">
        <v>1230</v>
      </c>
      <c r="I129">
        <v>1980</v>
      </c>
      <c r="J129">
        <v>1980</v>
      </c>
      <c r="K129" t="s">
        <v>4554</v>
      </c>
      <c r="L129" t="s">
        <v>3974</v>
      </c>
      <c r="M129" s="2">
        <v>2064</v>
      </c>
      <c r="N129" t="s">
        <v>4048</v>
      </c>
      <c r="O129">
        <v>3</v>
      </c>
      <c r="P129">
        <v>2</v>
      </c>
      <c r="Q129">
        <v>0</v>
      </c>
      <c r="R129" t="s">
        <v>4557</v>
      </c>
      <c r="S129" t="s">
        <v>4558</v>
      </c>
      <c r="T129" t="s">
        <v>3888</v>
      </c>
      <c r="U129" t="s">
        <v>5631</v>
      </c>
      <c r="V129" s="2">
        <v>672</v>
      </c>
      <c r="W129" t="s">
        <v>4655</v>
      </c>
      <c r="X129" s="2">
        <v>0</v>
      </c>
      <c r="Y129">
        <v>20</v>
      </c>
      <c r="Z129" t="s">
        <v>4561</v>
      </c>
      <c r="AA129" s="3">
        <v>0.25</v>
      </c>
      <c r="AB129" t="s">
        <v>6260</v>
      </c>
      <c r="AC129" t="s">
        <v>4562</v>
      </c>
      <c r="AD129" t="s">
        <v>6259</v>
      </c>
      <c r="AE129" t="s">
        <v>4655</v>
      </c>
      <c r="AF129" t="s">
        <v>4563</v>
      </c>
      <c r="AG129" t="s">
        <v>4564</v>
      </c>
      <c r="AH129">
        <v>89503</v>
      </c>
      <c r="AI129" t="s">
        <v>4903</v>
      </c>
      <c r="AJ129" t="s">
        <v>4655</v>
      </c>
      <c r="AK129" t="s">
        <v>6261</v>
      </c>
      <c r="AL129" s="13" t="s">
        <v>2255</v>
      </c>
      <c r="AM129" s="14">
        <v>1</v>
      </c>
      <c r="AN129" s="15" t="s">
        <v>4566</v>
      </c>
    </row>
    <row r="130" spans="1:40" x14ac:dyDescent="0.3">
      <c r="A130" s="10" t="str">
        <f>HYPERLINK("http://www.washoecounty.gov/assessor/cama/?parid=002-231-25&amp;CardNumber=1","002-231-25")</f>
        <v>002-231-25</v>
      </c>
      <c r="B130" t="s">
        <v>4655</v>
      </c>
      <c r="C130" t="s">
        <v>6262</v>
      </c>
      <c r="D130" s="1">
        <v>40184</v>
      </c>
      <c r="E130" s="2">
        <v>137500</v>
      </c>
      <c r="F130" t="s">
        <v>4553</v>
      </c>
      <c r="G130" s="17" t="str">
        <f>HYPERLINK("https://www.washoecounty.gov/assessor/cama/?command=sales&amp;parid=00223125","3836995")</f>
        <v>3836995</v>
      </c>
      <c r="H130" t="s">
        <v>6263</v>
      </c>
      <c r="I130">
        <v>1982</v>
      </c>
      <c r="J130">
        <v>1982</v>
      </c>
      <c r="K130" t="s">
        <v>4554</v>
      </c>
      <c r="L130" t="s">
        <v>4555</v>
      </c>
      <c r="M130" s="2">
        <v>1320</v>
      </c>
      <c r="N130" t="s">
        <v>4556</v>
      </c>
      <c r="O130">
        <v>4</v>
      </c>
      <c r="P130">
        <v>2</v>
      </c>
      <c r="Q130">
        <v>0</v>
      </c>
      <c r="R130" t="s">
        <v>4557</v>
      </c>
      <c r="S130" t="s">
        <v>4558</v>
      </c>
      <c r="T130" t="s">
        <v>4559</v>
      </c>
      <c r="U130" t="s">
        <v>4560</v>
      </c>
      <c r="V130" s="2">
        <v>480</v>
      </c>
      <c r="W130" t="s">
        <v>4655</v>
      </c>
      <c r="X130" s="2">
        <v>0</v>
      </c>
      <c r="Y130">
        <v>20</v>
      </c>
      <c r="Z130" t="s">
        <v>4561</v>
      </c>
      <c r="AA130" s="3">
        <v>0.141000911593437</v>
      </c>
      <c r="AB130" t="s">
        <v>6264</v>
      </c>
      <c r="AC130" t="s">
        <v>4562</v>
      </c>
      <c r="AD130" t="s">
        <v>6265</v>
      </c>
      <c r="AE130" t="s">
        <v>4655</v>
      </c>
      <c r="AF130" t="s">
        <v>4563</v>
      </c>
      <c r="AG130" t="s">
        <v>4564</v>
      </c>
      <c r="AH130">
        <v>89503</v>
      </c>
      <c r="AI130" t="s">
        <v>4565</v>
      </c>
      <c r="AJ130" t="s">
        <v>4655</v>
      </c>
      <c r="AK130" t="s">
        <v>6266</v>
      </c>
      <c r="AL130" s="13" t="s">
        <v>2255</v>
      </c>
      <c r="AM130">
        <v>1</v>
      </c>
      <c r="AN130" s="15" t="s">
        <v>4566</v>
      </c>
    </row>
    <row r="131" spans="1:40" x14ac:dyDescent="0.3">
      <c r="A131" s="10" t="str">
        <f>HYPERLINK("http://www.washoecounty.gov/assessor/cama/?parid=002-234-04&amp;CardNumber=1","002-234-04")</f>
        <v>002-234-04</v>
      </c>
      <c r="B131" t="s">
        <v>4655</v>
      </c>
      <c r="C131" t="s">
        <v>6267</v>
      </c>
      <c r="D131" s="1">
        <v>40281</v>
      </c>
      <c r="E131" s="2">
        <v>190000</v>
      </c>
      <c r="F131" t="s">
        <v>4553</v>
      </c>
      <c r="G131" s="17" t="str">
        <f>HYPERLINK("https://www.washoecounty.gov/assessor/cama/?command=sales&amp;parid=00223404","3870423")</f>
        <v>3870423</v>
      </c>
      <c r="H131" t="s">
        <v>4064</v>
      </c>
      <c r="I131">
        <v>1965</v>
      </c>
      <c r="J131">
        <v>1965</v>
      </c>
      <c r="K131" t="s">
        <v>4554</v>
      </c>
      <c r="L131" t="s">
        <v>4555</v>
      </c>
      <c r="M131" s="2">
        <v>1228</v>
      </c>
      <c r="N131" t="s">
        <v>4048</v>
      </c>
      <c r="O131">
        <v>3</v>
      </c>
      <c r="P131">
        <v>2</v>
      </c>
      <c r="Q131">
        <v>0</v>
      </c>
      <c r="R131" t="s">
        <v>4557</v>
      </c>
      <c r="S131" t="s">
        <v>4558</v>
      </c>
      <c r="T131" t="s">
        <v>4559</v>
      </c>
      <c r="U131" t="s">
        <v>4560</v>
      </c>
      <c r="V131" s="2">
        <v>506</v>
      </c>
      <c r="W131" t="s">
        <v>4571</v>
      </c>
      <c r="X131" s="2">
        <v>644</v>
      </c>
      <c r="Y131">
        <v>20</v>
      </c>
      <c r="Z131" t="s">
        <v>4561</v>
      </c>
      <c r="AA131" s="3">
        <v>0.34499540925025901</v>
      </c>
      <c r="AB131" t="s">
        <v>6268</v>
      </c>
      <c r="AC131" t="s">
        <v>4575</v>
      </c>
      <c r="AD131" t="s">
        <v>6269</v>
      </c>
      <c r="AE131" t="s">
        <v>6267</v>
      </c>
      <c r="AF131" t="s">
        <v>4563</v>
      </c>
      <c r="AG131" t="s">
        <v>4564</v>
      </c>
      <c r="AH131">
        <v>89503</v>
      </c>
      <c r="AI131" t="s">
        <v>359</v>
      </c>
      <c r="AJ131" t="s">
        <v>4655</v>
      </c>
      <c r="AK131" t="s">
        <v>6270</v>
      </c>
      <c r="AL131" s="13" t="s">
        <v>2255</v>
      </c>
      <c r="AM131">
        <v>1</v>
      </c>
      <c r="AN131" s="15" t="s">
        <v>4566</v>
      </c>
    </row>
    <row r="132" spans="1:40" x14ac:dyDescent="0.3">
      <c r="A132" s="10" t="str">
        <f>HYPERLINK("http://www.washoecounty.gov/assessor/cama/?parid=002-262-09&amp;CardNumber=1","002-262-09")</f>
        <v>002-262-09</v>
      </c>
      <c r="B132" t="s">
        <v>4655</v>
      </c>
      <c r="C132" t="s">
        <v>6271</v>
      </c>
      <c r="D132" s="1">
        <v>40478</v>
      </c>
      <c r="E132" s="2">
        <v>115000</v>
      </c>
      <c r="F132" t="s">
        <v>4567</v>
      </c>
      <c r="G132" s="17" t="str">
        <f>HYPERLINK("https://www.washoecounty.gov/assessor/cama/?command=sales&amp;parid=00226209","3936983")</f>
        <v>3936983</v>
      </c>
      <c r="H132" t="s">
        <v>87</v>
      </c>
      <c r="I132">
        <v>1950</v>
      </c>
      <c r="J132">
        <v>1950</v>
      </c>
      <c r="K132" t="s">
        <v>4554</v>
      </c>
      <c r="L132" t="s">
        <v>4555</v>
      </c>
      <c r="M132" s="2">
        <v>850</v>
      </c>
      <c r="N132" t="s">
        <v>4556</v>
      </c>
      <c r="O132">
        <v>2</v>
      </c>
      <c r="P132">
        <v>1</v>
      </c>
      <c r="Q132">
        <v>0</v>
      </c>
      <c r="R132" t="s">
        <v>4134</v>
      </c>
      <c r="S132" t="s">
        <v>4135</v>
      </c>
      <c r="T132" t="s">
        <v>4559</v>
      </c>
      <c r="U132" t="s">
        <v>4560</v>
      </c>
      <c r="V132" s="2">
        <v>325</v>
      </c>
      <c r="W132" t="s">
        <v>4655</v>
      </c>
      <c r="X132" s="2">
        <v>0</v>
      </c>
      <c r="Y132">
        <v>20</v>
      </c>
      <c r="Z132" t="s">
        <v>4561</v>
      </c>
      <c r="AA132" s="3">
        <v>0.185032144188881</v>
      </c>
      <c r="AB132" t="s">
        <v>6272</v>
      </c>
      <c r="AC132" t="s">
        <v>4562</v>
      </c>
      <c r="AD132" t="s">
        <v>6271</v>
      </c>
      <c r="AE132" t="s">
        <v>4655</v>
      </c>
      <c r="AF132" t="s">
        <v>4563</v>
      </c>
      <c r="AG132" t="s">
        <v>4564</v>
      </c>
      <c r="AH132">
        <v>89503</v>
      </c>
      <c r="AI132" t="s">
        <v>6273</v>
      </c>
      <c r="AJ132" t="s">
        <v>6274</v>
      </c>
      <c r="AK132" t="s">
        <v>6275</v>
      </c>
      <c r="AL132" s="13" t="s">
        <v>2255</v>
      </c>
      <c r="AM132" s="14">
        <v>1</v>
      </c>
      <c r="AN132" s="15" t="s">
        <v>4566</v>
      </c>
    </row>
    <row r="133" spans="1:40" x14ac:dyDescent="0.3">
      <c r="A133" s="10" t="str">
        <f>HYPERLINK("http://www.washoecounty.gov/assessor/cama/?parid=002-273-17&amp;CardNumber=1","002-273-17")</f>
        <v>002-273-17</v>
      </c>
      <c r="B133" t="s">
        <v>4655</v>
      </c>
      <c r="C133" t="s">
        <v>6276</v>
      </c>
      <c r="D133" s="1">
        <v>40359</v>
      </c>
      <c r="E133" s="2">
        <v>140700</v>
      </c>
      <c r="F133" t="s">
        <v>4567</v>
      </c>
      <c r="G133" s="17" t="str">
        <f>HYPERLINK("https://www.washoecounty.gov/assessor/cama/?command=sales&amp;parid=00227317","3897180")</f>
        <v>3897180</v>
      </c>
      <c r="H133" t="s">
        <v>87</v>
      </c>
      <c r="I133">
        <v>1950</v>
      </c>
      <c r="J133">
        <v>1954</v>
      </c>
      <c r="K133" t="s">
        <v>4554</v>
      </c>
      <c r="L133" t="s">
        <v>4555</v>
      </c>
      <c r="M133" s="2">
        <v>1287</v>
      </c>
      <c r="N133" t="s">
        <v>4556</v>
      </c>
      <c r="O133">
        <v>2</v>
      </c>
      <c r="P133">
        <v>2</v>
      </c>
      <c r="Q133">
        <v>0</v>
      </c>
      <c r="R133" t="s">
        <v>5281</v>
      </c>
      <c r="S133" t="s">
        <v>4135</v>
      </c>
      <c r="T133" t="s">
        <v>4559</v>
      </c>
      <c r="U133" t="s">
        <v>4560</v>
      </c>
      <c r="V133" s="2">
        <v>325</v>
      </c>
      <c r="W133" t="s">
        <v>4655</v>
      </c>
      <c r="X133" s="2">
        <v>0</v>
      </c>
      <c r="Y133">
        <v>20</v>
      </c>
      <c r="Z133" t="s">
        <v>4561</v>
      </c>
      <c r="AA133" s="3">
        <v>0.185032144188881</v>
      </c>
      <c r="AB133" t="s">
        <v>6277</v>
      </c>
      <c r="AC133" t="s">
        <v>4562</v>
      </c>
      <c r="AD133" t="s">
        <v>6276</v>
      </c>
      <c r="AE133" t="s">
        <v>4655</v>
      </c>
      <c r="AF133" t="s">
        <v>4563</v>
      </c>
      <c r="AG133" t="s">
        <v>4564</v>
      </c>
      <c r="AH133">
        <v>89503</v>
      </c>
      <c r="AI133" t="s">
        <v>6278</v>
      </c>
      <c r="AJ133" t="s">
        <v>4655</v>
      </c>
      <c r="AK133" t="s">
        <v>6279</v>
      </c>
      <c r="AL133" s="13" t="s">
        <v>2255</v>
      </c>
      <c r="AM133">
        <v>1</v>
      </c>
      <c r="AN133" s="15" t="s">
        <v>4566</v>
      </c>
    </row>
    <row r="134" spans="1:40" x14ac:dyDescent="0.3">
      <c r="A134" s="10" t="str">
        <f>HYPERLINK("http://www.washoecounty.gov/assessor/cama/?parid=002-281-07&amp;CardNumber=1","002-281-07")</f>
        <v>002-281-07</v>
      </c>
      <c r="B134" t="s">
        <v>4655</v>
      </c>
      <c r="C134" t="s">
        <v>6280</v>
      </c>
      <c r="D134" s="1">
        <v>40343</v>
      </c>
      <c r="E134" s="2">
        <v>120000</v>
      </c>
      <c r="F134" t="s">
        <v>4567</v>
      </c>
      <c r="G134" s="17" t="str">
        <f>HYPERLINK("https://www.washoecounty.gov/assessor/cama/?command=sales&amp;parid=00228107","3891915")</f>
        <v>3891915</v>
      </c>
      <c r="H134" t="s">
        <v>87</v>
      </c>
      <c r="I134">
        <v>1949</v>
      </c>
      <c r="J134">
        <v>1949</v>
      </c>
      <c r="K134" t="s">
        <v>4554</v>
      </c>
      <c r="L134" t="s">
        <v>4555</v>
      </c>
      <c r="M134" s="2">
        <v>900</v>
      </c>
      <c r="N134" t="s">
        <v>4556</v>
      </c>
      <c r="O134">
        <v>3</v>
      </c>
      <c r="P134">
        <v>1</v>
      </c>
      <c r="Q134">
        <v>0</v>
      </c>
      <c r="R134" t="s">
        <v>4134</v>
      </c>
      <c r="S134" t="s">
        <v>4570</v>
      </c>
      <c r="T134" t="s">
        <v>4559</v>
      </c>
      <c r="U134" t="s">
        <v>4560</v>
      </c>
      <c r="V134" s="2">
        <v>335</v>
      </c>
      <c r="W134" t="s">
        <v>4655</v>
      </c>
      <c r="X134" s="2">
        <v>0</v>
      </c>
      <c r="Y134">
        <v>20</v>
      </c>
      <c r="Z134" t="s">
        <v>4561</v>
      </c>
      <c r="AA134" s="3">
        <v>0.15899908542633101</v>
      </c>
      <c r="AB134" t="s">
        <v>6281</v>
      </c>
      <c r="AC134" t="s">
        <v>4575</v>
      </c>
      <c r="AD134" t="s">
        <v>6282</v>
      </c>
      <c r="AE134" t="s">
        <v>6280</v>
      </c>
      <c r="AF134" t="s">
        <v>4563</v>
      </c>
      <c r="AG134" t="s">
        <v>4564</v>
      </c>
      <c r="AH134">
        <v>89503</v>
      </c>
      <c r="AI134" t="s">
        <v>6283</v>
      </c>
      <c r="AJ134" t="s">
        <v>4655</v>
      </c>
      <c r="AK134" t="s">
        <v>6284</v>
      </c>
      <c r="AL134" s="13" t="s">
        <v>2255</v>
      </c>
      <c r="AM134">
        <v>1</v>
      </c>
      <c r="AN134" s="15" t="s">
        <v>4566</v>
      </c>
    </row>
    <row r="135" spans="1:40" x14ac:dyDescent="0.3">
      <c r="A135" s="10" t="str">
        <f>HYPERLINK("http://www.washoecounty.gov/assessor/cama/?parid=002-281-30&amp;CardNumber=1","002-281-30")</f>
        <v>002-281-30</v>
      </c>
      <c r="B135" t="s">
        <v>4655</v>
      </c>
      <c r="C135" t="s">
        <v>6285</v>
      </c>
      <c r="D135" s="1">
        <v>40396</v>
      </c>
      <c r="E135" s="2">
        <v>109000</v>
      </c>
      <c r="F135" t="s">
        <v>4567</v>
      </c>
      <c r="G135" s="17" t="str">
        <f>HYPERLINK("https://www.washoecounty.gov/assessor/cama/?command=sales&amp;parid=00228130","3909546")</f>
        <v>3909546</v>
      </c>
      <c r="H135" t="s">
        <v>87</v>
      </c>
      <c r="I135">
        <v>1949</v>
      </c>
      <c r="J135">
        <v>1949</v>
      </c>
      <c r="K135" t="s">
        <v>4554</v>
      </c>
      <c r="L135" t="s">
        <v>4555</v>
      </c>
      <c r="M135" s="2">
        <v>800</v>
      </c>
      <c r="N135" t="s">
        <v>4556</v>
      </c>
      <c r="O135">
        <v>2</v>
      </c>
      <c r="P135">
        <v>1</v>
      </c>
      <c r="Q135">
        <v>0</v>
      </c>
      <c r="R135" t="s">
        <v>4557</v>
      </c>
      <c r="S135" t="s">
        <v>4135</v>
      </c>
      <c r="T135" t="s">
        <v>4559</v>
      </c>
      <c r="U135" t="s">
        <v>4655</v>
      </c>
      <c r="V135" s="2">
        <v>0</v>
      </c>
      <c r="W135" t="s">
        <v>4655</v>
      </c>
      <c r="X135" s="2">
        <v>0</v>
      </c>
      <c r="Y135">
        <v>20</v>
      </c>
      <c r="Z135" t="s">
        <v>4561</v>
      </c>
      <c r="AA135" s="3">
        <v>0.16299356520175901</v>
      </c>
      <c r="AB135" t="s">
        <v>6286</v>
      </c>
      <c r="AC135" t="s">
        <v>4562</v>
      </c>
      <c r="AD135" t="s">
        <v>6287</v>
      </c>
      <c r="AE135" t="s">
        <v>4655</v>
      </c>
      <c r="AF135" t="s">
        <v>4563</v>
      </c>
      <c r="AG135" t="s">
        <v>4564</v>
      </c>
      <c r="AH135">
        <v>89503</v>
      </c>
      <c r="AI135" t="s">
        <v>4655</v>
      </c>
      <c r="AJ135" t="s">
        <v>4655</v>
      </c>
      <c r="AK135" t="s">
        <v>6288</v>
      </c>
      <c r="AL135" s="13" t="s">
        <v>2255</v>
      </c>
      <c r="AM135">
        <v>1</v>
      </c>
      <c r="AN135" s="15" t="s">
        <v>4566</v>
      </c>
    </row>
    <row r="136" spans="1:40" x14ac:dyDescent="0.3">
      <c r="A136" s="10" t="str">
        <f>HYPERLINK("http://www.washoecounty.gov/assessor/cama/?parid=002-282-03&amp;CardNumber=1","002-282-03")</f>
        <v>002-282-03</v>
      </c>
      <c r="B136" t="s">
        <v>4655</v>
      </c>
      <c r="C136" t="s">
        <v>5574</v>
      </c>
      <c r="D136" s="1">
        <v>40443</v>
      </c>
      <c r="E136" s="2">
        <v>70000</v>
      </c>
      <c r="F136" t="s">
        <v>4567</v>
      </c>
      <c r="G136" s="17" t="str">
        <f>HYPERLINK("https://www.washoecounty.gov/assessor/cama/?command=sales&amp;parid=00228203","3924974")</f>
        <v>3924974</v>
      </c>
      <c r="H136" t="s">
        <v>87</v>
      </c>
      <c r="I136">
        <v>1950</v>
      </c>
      <c r="J136">
        <v>1950</v>
      </c>
      <c r="K136" t="s">
        <v>4554</v>
      </c>
      <c r="L136" t="s">
        <v>4555</v>
      </c>
      <c r="M136" s="2">
        <v>900</v>
      </c>
      <c r="N136" t="s">
        <v>4556</v>
      </c>
      <c r="O136">
        <v>3</v>
      </c>
      <c r="P136">
        <v>1</v>
      </c>
      <c r="Q136">
        <v>0</v>
      </c>
      <c r="R136" t="s">
        <v>4134</v>
      </c>
      <c r="S136" t="s">
        <v>4135</v>
      </c>
      <c r="T136" t="s">
        <v>4559</v>
      </c>
      <c r="U136" t="s">
        <v>4560</v>
      </c>
      <c r="V136" s="2">
        <v>300</v>
      </c>
      <c r="W136" t="s">
        <v>4655</v>
      </c>
      <c r="X136" s="2">
        <v>0</v>
      </c>
      <c r="Y136">
        <v>20</v>
      </c>
      <c r="Z136" t="s">
        <v>4561</v>
      </c>
      <c r="AA136" s="3">
        <v>0.18399907648563399</v>
      </c>
      <c r="AB136" t="s">
        <v>5658</v>
      </c>
      <c r="AC136" t="s">
        <v>4562</v>
      </c>
      <c r="AD136" t="s">
        <v>6289</v>
      </c>
      <c r="AE136" t="s">
        <v>4655</v>
      </c>
      <c r="AF136" t="s">
        <v>1189</v>
      </c>
      <c r="AG136" t="s">
        <v>4564</v>
      </c>
      <c r="AH136">
        <v>89117</v>
      </c>
      <c r="AI136" t="s">
        <v>5575</v>
      </c>
      <c r="AJ136" t="s">
        <v>4655</v>
      </c>
      <c r="AK136" t="s">
        <v>5576</v>
      </c>
      <c r="AL136" s="13" t="s">
        <v>2255</v>
      </c>
      <c r="AM136">
        <v>1</v>
      </c>
      <c r="AN136" s="15" t="s">
        <v>4566</v>
      </c>
    </row>
    <row r="137" spans="1:40" x14ac:dyDescent="0.3">
      <c r="A137" s="10" t="str">
        <f>HYPERLINK("http://www.washoecounty.gov/assessor/cama/?parid=002-282-20&amp;CardNumber=1","002-282-20")</f>
        <v>002-282-20</v>
      </c>
      <c r="B137" t="s">
        <v>4655</v>
      </c>
      <c r="C137" t="s">
        <v>6290</v>
      </c>
      <c r="D137" s="1">
        <v>40498</v>
      </c>
      <c r="E137" s="2">
        <v>150000</v>
      </c>
      <c r="F137" t="s">
        <v>4553</v>
      </c>
      <c r="G137" s="17" t="str">
        <f>HYPERLINK("https://www.washoecounty.gov/assessor/cama/?command=sales&amp;parid=00228220","3943613")</f>
        <v>3943613</v>
      </c>
      <c r="H137" t="s">
        <v>87</v>
      </c>
      <c r="I137">
        <v>1949</v>
      </c>
      <c r="J137">
        <v>1963</v>
      </c>
      <c r="K137" t="s">
        <v>4554</v>
      </c>
      <c r="L137" t="s">
        <v>4555</v>
      </c>
      <c r="M137" s="2">
        <v>1331</v>
      </c>
      <c r="N137" t="s">
        <v>4556</v>
      </c>
      <c r="O137">
        <v>4</v>
      </c>
      <c r="P137">
        <v>2</v>
      </c>
      <c r="Q137">
        <v>0</v>
      </c>
      <c r="R137" t="s">
        <v>4134</v>
      </c>
      <c r="S137" t="s">
        <v>4135</v>
      </c>
      <c r="T137" t="s">
        <v>4559</v>
      </c>
      <c r="U137" t="s">
        <v>4560</v>
      </c>
      <c r="V137" s="2">
        <v>300</v>
      </c>
      <c r="W137" t="s">
        <v>4655</v>
      </c>
      <c r="X137" s="2">
        <v>0</v>
      </c>
      <c r="Y137">
        <v>20</v>
      </c>
      <c r="Z137" t="s">
        <v>4561</v>
      </c>
      <c r="AA137" s="3">
        <v>0.15599173307418801</v>
      </c>
      <c r="AB137" t="s">
        <v>6291</v>
      </c>
      <c r="AC137" t="s">
        <v>4562</v>
      </c>
      <c r="AD137" t="s">
        <v>6292</v>
      </c>
      <c r="AE137" t="s">
        <v>4655</v>
      </c>
      <c r="AF137" t="s">
        <v>4563</v>
      </c>
      <c r="AG137" t="s">
        <v>4564</v>
      </c>
      <c r="AH137">
        <v>89503</v>
      </c>
      <c r="AI137" t="s">
        <v>6293</v>
      </c>
      <c r="AJ137" t="s">
        <v>4655</v>
      </c>
      <c r="AK137" t="s">
        <v>6294</v>
      </c>
      <c r="AL137" s="13" t="s">
        <v>2255</v>
      </c>
      <c r="AM137">
        <v>1</v>
      </c>
      <c r="AN137" s="15" t="s">
        <v>4566</v>
      </c>
    </row>
    <row r="138" spans="1:40" x14ac:dyDescent="0.3">
      <c r="A138" s="10" t="str">
        <f>HYPERLINK("http://www.washoecounty.gov/assessor/cama/?parid=002-292-41&amp;CardNumber=1","002-292-41")</f>
        <v>002-292-41</v>
      </c>
      <c r="B138" t="s">
        <v>4655</v>
      </c>
      <c r="C138" t="s">
        <v>6295</v>
      </c>
      <c r="D138" s="1">
        <v>40226</v>
      </c>
      <c r="E138" s="2">
        <v>143000</v>
      </c>
      <c r="F138" t="s">
        <v>4553</v>
      </c>
      <c r="G138" s="17" t="str">
        <f>HYPERLINK("https://www.washoecounty.gov/assessor/cama/?command=sales&amp;parid=00229241","3850333")</f>
        <v>3850333</v>
      </c>
      <c r="H138" t="s">
        <v>3113</v>
      </c>
      <c r="I138">
        <v>1964</v>
      </c>
      <c r="J138">
        <v>1966</v>
      </c>
      <c r="K138" t="s">
        <v>4554</v>
      </c>
      <c r="L138" t="s">
        <v>4555</v>
      </c>
      <c r="M138" s="2">
        <v>1737</v>
      </c>
      <c r="N138" t="s">
        <v>4556</v>
      </c>
      <c r="O138">
        <v>3</v>
      </c>
      <c r="P138">
        <v>2</v>
      </c>
      <c r="Q138">
        <v>0</v>
      </c>
      <c r="R138" t="s">
        <v>4557</v>
      </c>
      <c r="S138" t="s">
        <v>4135</v>
      </c>
      <c r="T138" t="s">
        <v>4559</v>
      </c>
      <c r="U138" t="s">
        <v>4560</v>
      </c>
      <c r="V138" s="2">
        <v>399</v>
      </c>
      <c r="W138" t="s">
        <v>4655</v>
      </c>
      <c r="X138" s="2">
        <v>0</v>
      </c>
      <c r="Y138">
        <v>20</v>
      </c>
      <c r="Z138" t="s">
        <v>4561</v>
      </c>
      <c r="AA138" s="3">
        <v>0.269008278846741</v>
      </c>
      <c r="AB138" t="s">
        <v>6296</v>
      </c>
      <c r="AC138" t="s">
        <v>4562</v>
      </c>
      <c r="AD138" t="s">
        <v>6295</v>
      </c>
      <c r="AE138" t="s">
        <v>4655</v>
      </c>
      <c r="AF138" t="s">
        <v>3114</v>
      </c>
      <c r="AG138" t="s">
        <v>4564</v>
      </c>
      <c r="AH138">
        <v>89503</v>
      </c>
      <c r="AI138" t="s">
        <v>4655</v>
      </c>
      <c r="AJ138" t="s">
        <v>4655</v>
      </c>
      <c r="AK138" t="s">
        <v>3115</v>
      </c>
      <c r="AL138" s="13" t="s">
        <v>2257</v>
      </c>
      <c r="AM138">
        <v>1</v>
      </c>
      <c r="AN138" s="15" t="s">
        <v>4566</v>
      </c>
    </row>
    <row r="139" spans="1:40" x14ac:dyDescent="0.3">
      <c r="A139" s="10" t="str">
        <f>HYPERLINK("http://www.washoecounty.gov/assessor/cama/?parid=002-312-17&amp;CardNumber=1","002-312-17")</f>
        <v>002-312-17</v>
      </c>
      <c r="B139" t="s">
        <v>4655</v>
      </c>
      <c r="C139" t="s">
        <v>6297</v>
      </c>
      <c r="D139" s="1">
        <v>40380</v>
      </c>
      <c r="E139" s="2">
        <v>233000</v>
      </c>
      <c r="F139" t="s">
        <v>4567</v>
      </c>
      <c r="G139" s="17" t="str">
        <f>HYPERLINK("https://www.washoecounty.gov/assessor/cama/?command=sales&amp;parid=00231217","3903621")</f>
        <v>3903621</v>
      </c>
      <c r="H139" t="s">
        <v>6298</v>
      </c>
      <c r="I139">
        <v>1963</v>
      </c>
      <c r="J139">
        <v>1963</v>
      </c>
      <c r="K139" t="s">
        <v>4554</v>
      </c>
      <c r="L139" t="s">
        <v>4555</v>
      </c>
      <c r="M139" s="2">
        <v>1288</v>
      </c>
      <c r="N139" t="s">
        <v>4048</v>
      </c>
      <c r="O139">
        <v>5</v>
      </c>
      <c r="P139">
        <v>3</v>
      </c>
      <c r="Q139">
        <v>0</v>
      </c>
      <c r="R139" t="s">
        <v>4557</v>
      </c>
      <c r="S139" t="s">
        <v>3148</v>
      </c>
      <c r="T139" t="s">
        <v>4559</v>
      </c>
      <c r="U139" t="s">
        <v>4560</v>
      </c>
      <c r="V139" s="2">
        <v>441</v>
      </c>
      <c r="W139" t="s">
        <v>3149</v>
      </c>
      <c r="X139" s="2">
        <v>1288</v>
      </c>
      <c r="Y139">
        <v>20</v>
      </c>
      <c r="Z139" t="s">
        <v>4561</v>
      </c>
      <c r="AA139" s="3">
        <v>0.18200182914733901</v>
      </c>
      <c r="AB139" t="s">
        <v>6299</v>
      </c>
      <c r="AC139" t="s">
        <v>4575</v>
      </c>
      <c r="AD139" t="s">
        <v>6297</v>
      </c>
      <c r="AE139" t="s">
        <v>4655</v>
      </c>
      <c r="AF139" t="s">
        <v>4563</v>
      </c>
      <c r="AG139" t="s">
        <v>4564</v>
      </c>
      <c r="AH139" t="s">
        <v>1147</v>
      </c>
      <c r="AI139" t="s">
        <v>6300</v>
      </c>
      <c r="AJ139" t="s">
        <v>4655</v>
      </c>
      <c r="AK139" t="s">
        <v>6301</v>
      </c>
      <c r="AL139" s="13" t="s">
        <v>2255</v>
      </c>
      <c r="AM139">
        <v>1</v>
      </c>
      <c r="AN139" s="15" t="s">
        <v>2273</v>
      </c>
    </row>
    <row r="140" spans="1:40" x14ac:dyDescent="0.3">
      <c r="A140" s="10" t="str">
        <f>HYPERLINK("http://www.washoecounty.gov/assessor/cama/?parid=002-334-06&amp;CardNumber=1","002-334-06")</f>
        <v>002-334-06</v>
      </c>
      <c r="B140" t="s">
        <v>4655</v>
      </c>
      <c r="C140" t="s">
        <v>6302</v>
      </c>
      <c r="D140" s="1">
        <v>40206</v>
      </c>
      <c r="E140" s="2">
        <v>150000</v>
      </c>
      <c r="F140" t="s">
        <v>4567</v>
      </c>
      <c r="G140" s="17" t="str">
        <f>HYPERLINK("https://www.washoecounty.gov/assessor/cama/?command=sales&amp;parid=00233406","3843599")</f>
        <v>3843599</v>
      </c>
      <c r="H140" t="s">
        <v>3116</v>
      </c>
      <c r="I140">
        <v>1960</v>
      </c>
      <c r="J140">
        <v>1960</v>
      </c>
      <c r="K140" t="s">
        <v>4554</v>
      </c>
      <c r="L140" t="s">
        <v>4555</v>
      </c>
      <c r="M140" s="2">
        <v>1530</v>
      </c>
      <c r="N140" t="s">
        <v>5280</v>
      </c>
      <c r="O140">
        <v>3</v>
      </c>
      <c r="P140">
        <v>2</v>
      </c>
      <c r="Q140">
        <v>0</v>
      </c>
      <c r="R140" t="s">
        <v>5281</v>
      </c>
      <c r="S140" t="s">
        <v>3148</v>
      </c>
      <c r="T140" t="s">
        <v>4559</v>
      </c>
      <c r="U140" t="s">
        <v>4560</v>
      </c>
      <c r="V140" s="2">
        <v>528</v>
      </c>
      <c r="W140" t="s">
        <v>4655</v>
      </c>
      <c r="X140" s="2">
        <v>0</v>
      </c>
      <c r="Y140">
        <v>20</v>
      </c>
      <c r="Z140" t="s">
        <v>4561</v>
      </c>
      <c r="AA140" s="3">
        <v>0.233999088406563</v>
      </c>
      <c r="AB140" t="s">
        <v>6303</v>
      </c>
      <c r="AC140" t="s">
        <v>4575</v>
      </c>
      <c r="AD140" t="s">
        <v>6304</v>
      </c>
      <c r="AE140" t="s">
        <v>4655</v>
      </c>
      <c r="AF140" t="s">
        <v>3117</v>
      </c>
      <c r="AG140" t="s">
        <v>4584</v>
      </c>
      <c r="AH140">
        <v>95125</v>
      </c>
      <c r="AI140" t="s">
        <v>6305</v>
      </c>
      <c r="AJ140" t="s">
        <v>4655</v>
      </c>
      <c r="AK140" t="s">
        <v>6306</v>
      </c>
      <c r="AL140" s="13" t="s">
        <v>2255</v>
      </c>
      <c r="AM140">
        <v>1</v>
      </c>
      <c r="AN140" s="15" t="s">
        <v>3118</v>
      </c>
    </row>
    <row r="141" spans="1:40" x14ac:dyDescent="0.3">
      <c r="A141" s="10" t="str">
        <f>HYPERLINK("http://www.washoecounty.gov/assessor/cama/?parid=002-335-02&amp;CardNumber=1","002-335-02")</f>
        <v>002-335-02</v>
      </c>
      <c r="B141" t="s">
        <v>4655</v>
      </c>
      <c r="C141" t="s">
        <v>6307</v>
      </c>
      <c r="D141" s="1">
        <v>40459</v>
      </c>
      <c r="E141" s="2">
        <v>157000</v>
      </c>
      <c r="F141" t="s">
        <v>4567</v>
      </c>
      <c r="G141" s="17" t="str">
        <f>HYPERLINK("https://www.washoecounty.gov/assessor/cama/?command=sales&amp;parid=00233502","3931332")</f>
        <v>3931332</v>
      </c>
      <c r="H141" t="s">
        <v>3116</v>
      </c>
      <c r="I141">
        <v>1973</v>
      </c>
      <c r="J141">
        <v>1973</v>
      </c>
      <c r="K141" t="s">
        <v>4554</v>
      </c>
      <c r="L141" t="s">
        <v>3886</v>
      </c>
      <c r="M141" s="2">
        <v>1708</v>
      </c>
      <c r="N141" t="s">
        <v>3147</v>
      </c>
      <c r="O141">
        <v>4</v>
      </c>
      <c r="P141">
        <v>2</v>
      </c>
      <c r="Q141">
        <v>1</v>
      </c>
      <c r="R141" t="s">
        <v>5281</v>
      </c>
      <c r="S141" t="s">
        <v>3148</v>
      </c>
      <c r="T141" t="s">
        <v>2704</v>
      </c>
      <c r="U141" t="s">
        <v>4560</v>
      </c>
      <c r="V141" s="2">
        <v>483</v>
      </c>
      <c r="W141" t="s">
        <v>3149</v>
      </c>
      <c r="X141" s="2">
        <v>480</v>
      </c>
      <c r="Y141">
        <v>20</v>
      </c>
      <c r="Z141" t="s">
        <v>4561</v>
      </c>
      <c r="AA141" s="3">
        <v>0.19299817085266099</v>
      </c>
      <c r="AB141" t="s">
        <v>6308</v>
      </c>
      <c r="AC141" t="s">
        <v>4562</v>
      </c>
      <c r="AD141" t="s">
        <v>6307</v>
      </c>
      <c r="AE141" t="s">
        <v>4655</v>
      </c>
      <c r="AF141" t="s">
        <v>4563</v>
      </c>
      <c r="AG141" t="s">
        <v>4564</v>
      </c>
      <c r="AH141">
        <v>89503</v>
      </c>
      <c r="AI141" t="s">
        <v>6309</v>
      </c>
      <c r="AJ141" t="s">
        <v>4655</v>
      </c>
      <c r="AK141" t="s">
        <v>6310</v>
      </c>
      <c r="AL141" s="13" t="s">
        <v>2255</v>
      </c>
      <c r="AM141" s="14">
        <v>1</v>
      </c>
      <c r="AN141" s="15" t="s">
        <v>3118</v>
      </c>
    </row>
    <row r="142" spans="1:40" x14ac:dyDescent="0.3">
      <c r="A142" s="10" t="str">
        <f>HYPERLINK("http://www.washoecounty.gov/assessor/cama/?parid=002-336-02&amp;CardNumber=1","002-336-02")</f>
        <v>002-336-02</v>
      </c>
      <c r="B142" t="s">
        <v>4655</v>
      </c>
      <c r="C142" t="s">
        <v>6311</v>
      </c>
      <c r="D142" s="1">
        <v>40296</v>
      </c>
      <c r="E142" s="2">
        <v>167500</v>
      </c>
      <c r="F142" t="s">
        <v>4567</v>
      </c>
      <c r="G142" s="17" t="str">
        <f>HYPERLINK("https://www.washoecounty.gov/assessor/cama/?command=sales&amp;parid=00233602","3875694")</f>
        <v>3875694</v>
      </c>
      <c r="H142" t="s">
        <v>6312</v>
      </c>
      <c r="I142">
        <v>1961</v>
      </c>
      <c r="J142">
        <v>1961</v>
      </c>
      <c r="K142" t="s">
        <v>4554</v>
      </c>
      <c r="L142" t="s">
        <v>4555</v>
      </c>
      <c r="M142" s="2">
        <v>1256</v>
      </c>
      <c r="N142" t="s">
        <v>5280</v>
      </c>
      <c r="O142">
        <v>3</v>
      </c>
      <c r="P142">
        <v>2</v>
      </c>
      <c r="Q142">
        <v>0</v>
      </c>
      <c r="R142" t="s">
        <v>4557</v>
      </c>
      <c r="S142" t="s">
        <v>3148</v>
      </c>
      <c r="T142" t="s">
        <v>4143</v>
      </c>
      <c r="U142" t="s">
        <v>4560</v>
      </c>
      <c r="V142" s="2">
        <v>528</v>
      </c>
      <c r="W142" t="s">
        <v>4655</v>
      </c>
      <c r="X142" s="2">
        <v>0</v>
      </c>
      <c r="Y142">
        <v>20</v>
      </c>
      <c r="Z142" t="s">
        <v>4561</v>
      </c>
      <c r="AA142" s="3">
        <v>0.21000918745994601</v>
      </c>
      <c r="AB142" t="s">
        <v>6313</v>
      </c>
      <c r="AC142" t="s">
        <v>4562</v>
      </c>
      <c r="AD142" t="s">
        <v>6311</v>
      </c>
      <c r="AE142" t="s">
        <v>4655</v>
      </c>
      <c r="AF142" t="s">
        <v>4563</v>
      </c>
      <c r="AG142" t="s">
        <v>4564</v>
      </c>
      <c r="AH142">
        <v>89503</v>
      </c>
      <c r="AI142" t="s">
        <v>6314</v>
      </c>
      <c r="AJ142" t="s">
        <v>4655</v>
      </c>
      <c r="AK142" t="s">
        <v>6315</v>
      </c>
      <c r="AL142" s="13" t="s">
        <v>2255</v>
      </c>
      <c r="AM142">
        <v>1</v>
      </c>
      <c r="AN142" s="15" t="s">
        <v>3118</v>
      </c>
    </row>
    <row r="143" spans="1:40" x14ac:dyDescent="0.3">
      <c r="A143" s="10" t="str">
        <f>HYPERLINK("http://www.washoecounty.gov/assessor/cama/?parid=002-341-10&amp;CardNumber=1","002-341-10")</f>
        <v>002-341-10</v>
      </c>
      <c r="B143" t="s">
        <v>4655</v>
      </c>
      <c r="C143" t="s">
        <v>6316</v>
      </c>
      <c r="D143" s="1">
        <v>40485</v>
      </c>
      <c r="E143" s="2">
        <v>224500</v>
      </c>
      <c r="F143" t="s">
        <v>4567</v>
      </c>
      <c r="G143" s="17" t="str">
        <f>HYPERLINK("https://www.washoecounty.gov/assessor/cama/?command=sales&amp;parid=00234110","3939472")</f>
        <v>3939472</v>
      </c>
      <c r="H143" t="s">
        <v>5640</v>
      </c>
      <c r="I143">
        <v>1955</v>
      </c>
      <c r="J143">
        <v>1955</v>
      </c>
      <c r="K143" t="s">
        <v>4554</v>
      </c>
      <c r="L143" t="s">
        <v>4555</v>
      </c>
      <c r="M143" s="2">
        <v>1353</v>
      </c>
      <c r="N143" t="s">
        <v>5280</v>
      </c>
      <c r="O143">
        <v>3</v>
      </c>
      <c r="P143">
        <v>1</v>
      </c>
      <c r="Q143">
        <v>1</v>
      </c>
      <c r="R143" t="s">
        <v>4557</v>
      </c>
      <c r="S143" t="s">
        <v>4682</v>
      </c>
      <c r="T143" t="s">
        <v>4559</v>
      </c>
      <c r="U143" t="s">
        <v>4560</v>
      </c>
      <c r="V143" s="2">
        <v>418</v>
      </c>
      <c r="W143" t="s">
        <v>4655</v>
      </c>
      <c r="X143" s="2">
        <v>0</v>
      </c>
      <c r="Y143">
        <v>20</v>
      </c>
      <c r="Z143" t="s">
        <v>4561</v>
      </c>
      <c r="AA143" s="3">
        <v>0.23799356818199158</v>
      </c>
      <c r="AB143" t="s">
        <v>6317</v>
      </c>
      <c r="AC143" t="s">
        <v>4562</v>
      </c>
      <c r="AD143" t="s">
        <v>6316</v>
      </c>
      <c r="AE143" t="s">
        <v>4655</v>
      </c>
      <c r="AF143" t="s">
        <v>4563</v>
      </c>
      <c r="AG143" t="s">
        <v>4564</v>
      </c>
      <c r="AH143">
        <v>89503</v>
      </c>
      <c r="AI143" t="s">
        <v>6318</v>
      </c>
      <c r="AJ143" t="s">
        <v>4655</v>
      </c>
      <c r="AK143" t="s">
        <v>6319</v>
      </c>
      <c r="AL143" s="13" t="s">
        <v>2255</v>
      </c>
      <c r="AM143">
        <v>1</v>
      </c>
      <c r="AN143" s="15" t="s">
        <v>3118</v>
      </c>
    </row>
    <row r="144" spans="1:40" x14ac:dyDescent="0.3">
      <c r="A144" s="10" t="str">
        <f>HYPERLINK("http://www.washoecounty.gov/assessor/cama/?parid=002-341-14&amp;CardNumber=1","002-341-14")</f>
        <v>002-341-14</v>
      </c>
      <c r="B144" t="s">
        <v>4655</v>
      </c>
      <c r="C144" t="s">
        <v>6320</v>
      </c>
      <c r="D144" s="1">
        <v>40494</v>
      </c>
      <c r="E144" s="2">
        <v>225000</v>
      </c>
      <c r="F144" t="s">
        <v>4567</v>
      </c>
      <c r="G144" s="17" t="str">
        <f>HYPERLINK("https://www.washoecounty.gov/assessor/cama/?command=sales&amp;parid=00234114","3942589")</f>
        <v>3942589</v>
      </c>
      <c r="H144" t="s">
        <v>6321</v>
      </c>
      <c r="I144">
        <v>1957</v>
      </c>
      <c r="J144">
        <v>1957</v>
      </c>
      <c r="K144" t="s">
        <v>4554</v>
      </c>
      <c r="L144" t="s">
        <v>4555</v>
      </c>
      <c r="M144" s="2">
        <v>1426</v>
      </c>
      <c r="N144" t="s">
        <v>5280</v>
      </c>
      <c r="O144">
        <v>2</v>
      </c>
      <c r="P144">
        <v>1</v>
      </c>
      <c r="Q144">
        <v>1</v>
      </c>
      <c r="R144" t="s">
        <v>4557</v>
      </c>
      <c r="S144" t="s">
        <v>4682</v>
      </c>
      <c r="T144" t="s">
        <v>4143</v>
      </c>
      <c r="U144" t="s">
        <v>4560</v>
      </c>
      <c r="V144" s="2">
        <v>546</v>
      </c>
      <c r="W144" t="s">
        <v>4655</v>
      </c>
      <c r="X144" s="2">
        <v>0</v>
      </c>
      <c r="Y144">
        <v>20</v>
      </c>
      <c r="Z144" t="s">
        <v>4561</v>
      </c>
      <c r="AA144" s="3">
        <v>0.221005514264107</v>
      </c>
      <c r="AB144" t="s">
        <v>6322</v>
      </c>
      <c r="AC144" t="s">
        <v>4562</v>
      </c>
      <c r="AD144" t="s">
        <v>6323</v>
      </c>
      <c r="AE144" t="s">
        <v>4655</v>
      </c>
      <c r="AF144" t="s">
        <v>4563</v>
      </c>
      <c r="AG144" t="s">
        <v>4564</v>
      </c>
      <c r="AH144">
        <v>89503</v>
      </c>
      <c r="AI144" t="s">
        <v>6324</v>
      </c>
      <c r="AJ144" t="s">
        <v>4655</v>
      </c>
      <c r="AK144" t="s">
        <v>6325</v>
      </c>
      <c r="AL144" s="13" t="s">
        <v>2255</v>
      </c>
      <c r="AM144">
        <v>1</v>
      </c>
      <c r="AN144" s="15" t="s">
        <v>3118</v>
      </c>
    </row>
    <row r="145" spans="1:40" x14ac:dyDescent="0.3">
      <c r="A145" s="10" t="str">
        <f>HYPERLINK("http://www.washoecounty.gov/assessor/cama/?parid=002-343-27&amp;CardNumber=1","002-343-27")</f>
        <v>002-343-27</v>
      </c>
      <c r="B145" t="s">
        <v>4655</v>
      </c>
      <c r="C145" t="s">
        <v>6326</v>
      </c>
      <c r="D145" s="1">
        <v>40326</v>
      </c>
      <c r="E145" s="2">
        <v>190000</v>
      </c>
      <c r="F145" t="s">
        <v>4567</v>
      </c>
      <c r="G145" s="17" t="str">
        <f>HYPERLINK("https://www.washoecounty.gov/assessor/cama/?command=sales&amp;parid=00234327","3886279")</f>
        <v>3886279</v>
      </c>
      <c r="H145" t="s">
        <v>6327</v>
      </c>
      <c r="I145">
        <v>1954</v>
      </c>
      <c r="J145">
        <v>1954</v>
      </c>
      <c r="K145" t="s">
        <v>4554</v>
      </c>
      <c r="L145" t="s">
        <v>4555</v>
      </c>
      <c r="M145" s="2">
        <v>1273</v>
      </c>
      <c r="N145" t="s">
        <v>5280</v>
      </c>
      <c r="O145">
        <v>3</v>
      </c>
      <c r="P145">
        <v>2</v>
      </c>
      <c r="Q145">
        <v>0</v>
      </c>
      <c r="R145" t="s">
        <v>4557</v>
      </c>
      <c r="S145" t="s">
        <v>4682</v>
      </c>
      <c r="T145" t="s">
        <v>4559</v>
      </c>
      <c r="U145" t="s">
        <v>4560</v>
      </c>
      <c r="V145" s="2">
        <v>504</v>
      </c>
      <c r="W145" t="s">
        <v>4655</v>
      </c>
      <c r="X145" s="2">
        <v>0</v>
      </c>
      <c r="Y145">
        <v>20</v>
      </c>
      <c r="Z145" t="s">
        <v>4561</v>
      </c>
      <c r="AA145" s="3">
        <v>0.17199265956878662</v>
      </c>
      <c r="AB145" t="s">
        <v>6328</v>
      </c>
      <c r="AC145" t="s">
        <v>4562</v>
      </c>
      <c r="AD145" t="s">
        <v>6329</v>
      </c>
      <c r="AE145" t="s">
        <v>4655</v>
      </c>
      <c r="AF145" t="s">
        <v>1812</v>
      </c>
      <c r="AG145" t="s">
        <v>4584</v>
      </c>
      <c r="AH145" t="s">
        <v>6330</v>
      </c>
      <c r="AI145" t="s">
        <v>4655</v>
      </c>
      <c r="AJ145" t="s">
        <v>4655</v>
      </c>
      <c r="AK145" t="s">
        <v>6331</v>
      </c>
      <c r="AL145" s="13" t="s">
        <v>2255</v>
      </c>
      <c r="AM145" s="14">
        <v>1</v>
      </c>
      <c r="AN145" s="15" t="s">
        <v>3118</v>
      </c>
    </row>
    <row r="146" spans="1:40" x14ac:dyDescent="0.3">
      <c r="A146" s="10" t="str">
        <f>HYPERLINK("http://www.washoecounty.gov/assessor/cama/?parid=002-352-04&amp;CardNumber=1","002-352-04")</f>
        <v>002-352-04</v>
      </c>
      <c r="B146" t="s">
        <v>4655</v>
      </c>
      <c r="C146" t="s">
        <v>6332</v>
      </c>
      <c r="D146" s="1">
        <v>40491</v>
      </c>
      <c r="E146" s="2">
        <v>99401</v>
      </c>
      <c r="F146" t="s">
        <v>4567</v>
      </c>
      <c r="G146" s="17" t="str">
        <f>HYPERLINK("https://www.washoecounty.gov/assessor/cama/?command=sales&amp;parid=00235204","3941352")</f>
        <v>3941352</v>
      </c>
      <c r="H146" t="s">
        <v>6327</v>
      </c>
      <c r="I146">
        <v>1966</v>
      </c>
      <c r="J146">
        <v>1966</v>
      </c>
      <c r="K146" t="s">
        <v>4554</v>
      </c>
      <c r="L146" t="s">
        <v>4555</v>
      </c>
      <c r="M146" s="2">
        <v>1426</v>
      </c>
      <c r="N146" t="s">
        <v>5280</v>
      </c>
      <c r="O146">
        <v>3</v>
      </c>
      <c r="P146">
        <v>2</v>
      </c>
      <c r="Q146">
        <v>0</v>
      </c>
      <c r="R146" t="s">
        <v>5281</v>
      </c>
      <c r="S146" t="s">
        <v>4682</v>
      </c>
      <c r="T146" t="s">
        <v>4559</v>
      </c>
      <c r="U146" t="s">
        <v>4560</v>
      </c>
      <c r="V146" s="2">
        <v>483</v>
      </c>
      <c r="W146" t="s">
        <v>4655</v>
      </c>
      <c r="X146" s="2">
        <v>0</v>
      </c>
      <c r="Y146">
        <v>20</v>
      </c>
      <c r="Z146" t="s">
        <v>4561</v>
      </c>
      <c r="AA146" s="3">
        <v>0.16299356520175901</v>
      </c>
      <c r="AB146" t="s">
        <v>6333</v>
      </c>
      <c r="AC146" t="s">
        <v>4562</v>
      </c>
      <c r="AD146" t="s">
        <v>6332</v>
      </c>
      <c r="AE146" t="s">
        <v>4655</v>
      </c>
      <c r="AF146" t="s">
        <v>4563</v>
      </c>
      <c r="AG146" t="s">
        <v>4564</v>
      </c>
      <c r="AH146">
        <v>89503</v>
      </c>
      <c r="AI146" t="s">
        <v>6334</v>
      </c>
      <c r="AJ146" t="s">
        <v>4655</v>
      </c>
      <c r="AK146" t="s">
        <v>6335</v>
      </c>
      <c r="AL146" s="13" t="s">
        <v>2255</v>
      </c>
      <c r="AM146">
        <v>1</v>
      </c>
      <c r="AN146" s="15" t="s">
        <v>3118</v>
      </c>
    </row>
    <row r="147" spans="1:40" x14ac:dyDescent="0.3">
      <c r="A147" s="10" t="str">
        <f>HYPERLINK("http://www.washoecounty.gov/assessor/cama/?parid=002-361-29&amp;CardNumber=1","002-361-29")</f>
        <v>002-361-29</v>
      </c>
      <c r="B147" t="s">
        <v>4655</v>
      </c>
      <c r="C147" t="s">
        <v>6336</v>
      </c>
      <c r="D147" s="1">
        <v>40395</v>
      </c>
      <c r="E147" s="2">
        <v>192000</v>
      </c>
      <c r="F147" t="s">
        <v>4567</v>
      </c>
      <c r="G147" s="17" t="str">
        <f>HYPERLINK("https://www.washoecounty.gov/assessor/cama/?command=sales&amp;parid=00236129","3909205")</f>
        <v>3909205</v>
      </c>
      <c r="H147" t="s">
        <v>4984</v>
      </c>
      <c r="I147">
        <v>1950</v>
      </c>
      <c r="J147">
        <v>1959</v>
      </c>
      <c r="K147" t="s">
        <v>4554</v>
      </c>
      <c r="L147" t="s">
        <v>4555</v>
      </c>
      <c r="M147" s="2">
        <v>1225</v>
      </c>
      <c r="N147" t="s">
        <v>4048</v>
      </c>
      <c r="O147">
        <v>2</v>
      </c>
      <c r="P147">
        <v>2</v>
      </c>
      <c r="Q147">
        <v>0</v>
      </c>
      <c r="R147" t="s">
        <v>4557</v>
      </c>
      <c r="S147" t="s">
        <v>4135</v>
      </c>
      <c r="T147" t="s">
        <v>4559</v>
      </c>
      <c r="U147" t="s">
        <v>4655</v>
      </c>
      <c r="V147" s="2">
        <v>0</v>
      </c>
      <c r="W147" t="s">
        <v>4655</v>
      </c>
      <c r="X147" s="2">
        <v>0</v>
      </c>
      <c r="Y147">
        <v>20</v>
      </c>
      <c r="Z147" t="s">
        <v>4561</v>
      </c>
      <c r="AA147" s="3">
        <v>0.108999080955982</v>
      </c>
      <c r="AB147" t="s">
        <v>6337</v>
      </c>
      <c r="AC147" t="s">
        <v>4562</v>
      </c>
      <c r="AD147" t="s">
        <v>6336</v>
      </c>
      <c r="AE147" t="s">
        <v>4655</v>
      </c>
      <c r="AF147" t="s">
        <v>4563</v>
      </c>
      <c r="AG147" t="s">
        <v>4564</v>
      </c>
      <c r="AH147">
        <v>89503</v>
      </c>
      <c r="AI147" t="s">
        <v>4655</v>
      </c>
      <c r="AJ147" t="s">
        <v>4655</v>
      </c>
      <c r="AK147" t="s">
        <v>6338</v>
      </c>
      <c r="AL147" s="13" t="s">
        <v>2255</v>
      </c>
      <c r="AM147" s="14">
        <v>1</v>
      </c>
      <c r="AN147" s="15" t="s">
        <v>2273</v>
      </c>
    </row>
    <row r="148" spans="1:40" x14ac:dyDescent="0.3">
      <c r="A148" s="10" t="str">
        <f>HYPERLINK("http://www.washoecounty.gov/assessor/cama/?parid=002-361-34&amp;CardNumber=1","002-361-34")</f>
        <v>002-361-34</v>
      </c>
      <c r="B148" t="s">
        <v>4655</v>
      </c>
      <c r="C148" t="s">
        <v>6339</v>
      </c>
      <c r="D148" s="1">
        <v>40287</v>
      </c>
      <c r="E148" s="2">
        <v>69226</v>
      </c>
      <c r="F148" t="s">
        <v>4567</v>
      </c>
      <c r="G148" s="17" t="str">
        <f>HYPERLINK("https://www.washoecounty.gov/assessor/cama/?command=sales&amp;parid=00236134","3872374")</f>
        <v>3872374</v>
      </c>
      <c r="H148" t="s">
        <v>4984</v>
      </c>
      <c r="I148">
        <v>1946</v>
      </c>
      <c r="J148">
        <v>1946</v>
      </c>
      <c r="K148" t="s">
        <v>4554</v>
      </c>
      <c r="L148" t="s">
        <v>1942</v>
      </c>
      <c r="M148" s="2">
        <v>712</v>
      </c>
      <c r="N148" t="s">
        <v>4556</v>
      </c>
      <c r="O148">
        <v>2</v>
      </c>
      <c r="P148">
        <v>1</v>
      </c>
      <c r="Q148">
        <v>0</v>
      </c>
      <c r="R148" t="s">
        <v>4134</v>
      </c>
      <c r="S148" t="s">
        <v>4570</v>
      </c>
      <c r="T148" t="s">
        <v>4559</v>
      </c>
      <c r="U148" t="s">
        <v>4655</v>
      </c>
      <c r="V148" s="2">
        <v>0</v>
      </c>
      <c r="W148" t="s">
        <v>4655</v>
      </c>
      <c r="X148" s="2">
        <v>0</v>
      </c>
      <c r="Y148">
        <v>20</v>
      </c>
      <c r="Z148" t="s">
        <v>4561</v>
      </c>
      <c r="AA148" s="3">
        <v>0.15022957324981701</v>
      </c>
      <c r="AB148" t="s">
        <v>6340</v>
      </c>
      <c r="AC148" t="s">
        <v>4562</v>
      </c>
      <c r="AD148" t="s">
        <v>6339</v>
      </c>
      <c r="AE148" t="s">
        <v>4655</v>
      </c>
      <c r="AF148" t="s">
        <v>4563</v>
      </c>
      <c r="AG148" t="s">
        <v>4564</v>
      </c>
      <c r="AH148">
        <v>89503</v>
      </c>
      <c r="AI148" t="s">
        <v>6341</v>
      </c>
      <c r="AJ148" t="s">
        <v>6342</v>
      </c>
      <c r="AK148" t="s">
        <v>6343</v>
      </c>
      <c r="AL148" s="13" t="s">
        <v>2255</v>
      </c>
      <c r="AM148">
        <v>1</v>
      </c>
      <c r="AN148" s="15" t="s">
        <v>2273</v>
      </c>
    </row>
    <row r="149" spans="1:40" x14ac:dyDescent="0.3">
      <c r="A149" s="10" t="str">
        <f>HYPERLINK("http://www.washoecounty.gov/assessor/cama/?parid=002-364-10&amp;CardNumber=1","002-364-10")</f>
        <v>002-364-10</v>
      </c>
      <c r="B149" t="s">
        <v>4655</v>
      </c>
      <c r="C149" t="s">
        <v>6344</v>
      </c>
      <c r="D149" s="1">
        <v>40421</v>
      </c>
      <c r="E149" s="2">
        <v>185000</v>
      </c>
      <c r="F149" t="s">
        <v>4567</v>
      </c>
      <c r="G149" s="17" t="str">
        <f>HYPERLINK("https://www.washoecounty.gov/assessor/cama/?command=sales&amp;parid=00236410","3917356")</f>
        <v>3917356</v>
      </c>
      <c r="H149" t="s">
        <v>4984</v>
      </c>
      <c r="I149">
        <v>1944</v>
      </c>
      <c r="J149">
        <v>1944</v>
      </c>
      <c r="K149" t="s">
        <v>4554</v>
      </c>
      <c r="L149" t="s">
        <v>4555</v>
      </c>
      <c r="M149" s="2">
        <v>1304</v>
      </c>
      <c r="N149" t="s">
        <v>4556</v>
      </c>
      <c r="O149">
        <v>3</v>
      </c>
      <c r="P149">
        <v>2</v>
      </c>
      <c r="Q149">
        <v>0</v>
      </c>
      <c r="R149" t="s">
        <v>4557</v>
      </c>
      <c r="S149" t="s">
        <v>4135</v>
      </c>
      <c r="T149" t="s">
        <v>4559</v>
      </c>
      <c r="U149" t="s">
        <v>4655</v>
      </c>
      <c r="V149" s="2">
        <v>0</v>
      </c>
      <c r="W149" t="s">
        <v>3149</v>
      </c>
      <c r="X149" s="2">
        <v>364</v>
      </c>
      <c r="Y149">
        <v>20</v>
      </c>
      <c r="Z149" t="s">
        <v>4561</v>
      </c>
      <c r="AA149" s="3">
        <v>0.16499081254005399</v>
      </c>
      <c r="AB149" t="s">
        <v>6345</v>
      </c>
      <c r="AC149" t="s">
        <v>4562</v>
      </c>
      <c r="AD149" t="s">
        <v>6344</v>
      </c>
      <c r="AE149" t="s">
        <v>4655</v>
      </c>
      <c r="AF149" t="s">
        <v>4563</v>
      </c>
      <c r="AG149" t="s">
        <v>4564</v>
      </c>
      <c r="AH149">
        <v>89503</v>
      </c>
      <c r="AI149" t="s">
        <v>6346</v>
      </c>
      <c r="AJ149" t="s">
        <v>4655</v>
      </c>
      <c r="AK149" t="s">
        <v>6347</v>
      </c>
      <c r="AL149" s="13" t="s">
        <v>2255</v>
      </c>
      <c r="AM149" s="14">
        <v>1</v>
      </c>
      <c r="AN149" s="15" t="s">
        <v>2273</v>
      </c>
    </row>
    <row r="150" spans="1:40" x14ac:dyDescent="0.3">
      <c r="A150" s="10" t="str">
        <f>HYPERLINK("http://www.washoecounty.gov/assessor/cama/?parid=002-364-12&amp;CardNumber=1","002-364-12")</f>
        <v>002-364-12</v>
      </c>
      <c r="B150" t="s">
        <v>4655</v>
      </c>
      <c r="C150" t="s">
        <v>6348</v>
      </c>
      <c r="D150" s="1">
        <v>40235</v>
      </c>
      <c r="E150" s="2">
        <v>174000</v>
      </c>
      <c r="F150" t="s">
        <v>4567</v>
      </c>
      <c r="G150" s="17" t="str">
        <f>HYPERLINK("https://www.washoecounty.gov/assessor/cama/?command=sales&amp;parid=00236412","3853042")</f>
        <v>3853042</v>
      </c>
      <c r="H150" t="s">
        <v>4984</v>
      </c>
      <c r="I150">
        <v>1947</v>
      </c>
      <c r="J150">
        <v>1947</v>
      </c>
      <c r="K150" t="s">
        <v>4554</v>
      </c>
      <c r="L150" t="s">
        <v>4555</v>
      </c>
      <c r="M150" s="2">
        <v>956</v>
      </c>
      <c r="N150" t="s">
        <v>4556</v>
      </c>
      <c r="O150">
        <v>2</v>
      </c>
      <c r="P150">
        <v>1</v>
      </c>
      <c r="Q150">
        <v>0</v>
      </c>
      <c r="R150" t="s">
        <v>4557</v>
      </c>
      <c r="S150" t="s">
        <v>4135</v>
      </c>
      <c r="T150" t="s">
        <v>4559</v>
      </c>
      <c r="U150" t="s">
        <v>4655</v>
      </c>
      <c r="V150" s="2">
        <v>0</v>
      </c>
      <c r="W150" t="s">
        <v>3149</v>
      </c>
      <c r="X150" s="2">
        <v>320</v>
      </c>
      <c r="Y150">
        <v>20</v>
      </c>
      <c r="Z150" t="s">
        <v>4561</v>
      </c>
      <c r="AA150" s="3">
        <v>0.16499081254005399</v>
      </c>
      <c r="AB150" t="s">
        <v>6349</v>
      </c>
      <c r="AC150" t="s">
        <v>4575</v>
      </c>
      <c r="AD150" t="s">
        <v>6350</v>
      </c>
      <c r="AE150" t="s">
        <v>6351</v>
      </c>
      <c r="AF150" t="s">
        <v>4563</v>
      </c>
      <c r="AG150" t="s">
        <v>4564</v>
      </c>
      <c r="AH150" t="s">
        <v>2330</v>
      </c>
      <c r="AI150" t="s">
        <v>6352</v>
      </c>
      <c r="AJ150" t="s">
        <v>4655</v>
      </c>
      <c r="AK150" t="s">
        <v>6353</v>
      </c>
      <c r="AL150" s="13" t="s">
        <v>2255</v>
      </c>
      <c r="AM150">
        <v>1</v>
      </c>
      <c r="AN150" s="15" t="s">
        <v>2273</v>
      </c>
    </row>
    <row r="151" spans="1:40" x14ac:dyDescent="0.3">
      <c r="A151" s="10" t="str">
        <f>HYPERLINK("http://www.washoecounty.gov/assessor/cama/?parid=002-365-06&amp;CardNumber=1","002-365-06")</f>
        <v>002-365-06</v>
      </c>
      <c r="B151" t="s">
        <v>4655</v>
      </c>
      <c r="C151" t="s">
        <v>6354</v>
      </c>
      <c r="D151" s="1">
        <v>40245</v>
      </c>
      <c r="E151" s="2">
        <v>150000</v>
      </c>
      <c r="F151" t="s">
        <v>4567</v>
      </c>
      <c r="G151" s="17" t="str">
        <f>HYPERLINK("https://www.washoecounty.gov/assessor/cama/?command=sales&amp;parid=00236506","3857045")</f>
        <v>3857045</v>
      </c>
      <c r="H151" t="s">
        <v>4984</v>
      </c>
      <c r="I151">
        <v>1946</v>
      </c>
      <c r="J151">
        <v>1946</v>
      </c>
      <c r="K151" t="s">
        <v>4554</v>
      </c>
      <c r="L151" t="s">
        <v>4555</v>
      </c>
      <c r="M151" s="2">
        <v>1312</v>
      </c>
      <c r="N151" t="s">
        <v>4556</v>
      </c>
      <c r="O151">
        <v>3</v>
      </c>
      <c r="P151">
        <v>2</v>
      </c>
      <c r="Q151">
        <v>0</v>
      </c>
      <c r="R151" t="s">
        <v>4557</v>
      </c>
      <c r="S151" t="s">
        <v>4135</v>
      </c>
      <c r="T151" t="s">
        <v>4559</v>
      </c>
      <c r="U151" t="s">
        <v>4655</v>
      </c>
      <c r="V151" s="2">
        <v>0</v>
      </c>
      <c r="W151" t="s">
        <v>4655</v>
      </c>
      <c r="X151" s="2">
        <v>0</v>
      </c>
      <c r="Y151">
        <v>20</v>
      </c>
      <c r="Z151" t="s">
        <v>4561</v>
      </c>
      <c r="AA151" s="3">
        <v>0.141000911593437</v>
      </c>
      <c r="AB151" t="s">
        <v>6355</v>
      </c>
      <c r="AC151" t="s">
        <v>4562</v>
      </c>
      <c r="AD151" t="s">
        <v>6354</v>
      </c>
      <c r="AE151" t="s">
        <v>4655</v>
      </c>
      <c r="AF151" t="s">
        <v>4563</v>
      </c>
      <c r="AG151" t="s">
        <v>4564</v>
      </c>
      <c r="AH151">
        <v>89503</v>
      </c>
      <c r="AI151" t="s">
        <v>6356</v>
      </c>
      <c r="AJ151" t="s">
        <v>4655</v>
      </c>
      <c r="AK151" t="s">
        <v>6357</v>
      </c>
      <c r="AL151" s="13" t="s">
        <v>2255</v>
      </c>
      <c r="AM151" s="14">
        <v>1</v>
      </c>
      <c r="AN151" s="15" t="s">
        <v>2273</v>
      </c>
    </row>
    <row r="152" spans="1:40" x14ac:dyDescent="0.3">
      <c r="A152" s="10" t="str">
        <f>HYPERLINK("http://www.washoecounty.gov/assessor/cama/?parid=002-371-30&amp;CardNumber=1","002-371-30")</f>
        <v>002-371-30</v>
      </c>
      <c r="B152" t="s">
        <v>4655</v>
      </c>
      <c r="C152" t="s">
        <v>6358</v>
      </c>
      <c r="D152" s="1">
        <v>40522</v>
      </c>
      <c r="E152" s="2">
        <v>125000</v>
      </c>
      <c r="F152" t="s">
        <v>4567</v>
      </c>
      <c r="G152" s="17" t="str">
        <f>HYPERLINK("https://www.washoecounty.gov/assessor/cama/?command=sales&amp;parid=00237130","3951933")</f>
        <v>3951933</v>
      </c>
      <c r="H152" t="s">
        <v>6359</v>
      </c>
      <c r="I152">
        <v>1950</v>
      </c>
      <c r="J152">
        <v>1950</v>
      </c>
      <c r="K152" t="s">
        <v>4554</v>
      </c>
      <c r="L152" t="s">
        <v>4555</v>
      </c>
      <c r="M152" s="2">
        <v>868</v>
      </c>
      <c r="N152" t="s">
        <v>4556</v>
      </c>
      <c r="O152">
        <v>2</v>
      </c>
      <c r="P152">
        <v>1</v>
      </c>
      <c r="Q152">
        <v>0</v>
      </c>
      <c r="R152" t="s">
        <v>5281</v>
      </c>
      <c r="S152" t="s">
        <v>4574</v>
      </c>
      <c r="T152" t="s">
        <v>4143</v>
      </c>
      <c r="U152" t="s">
        <v>4560</v>
      </c>
      <c r="V152" s="2">
        <v>325</v>
      </c>
      <c r="W152" t="s">
        <v>4655</v>
      </c>
      <c r="X152" s="2">
        <v>0</v>
      </c>
      <c r="Y152">
        <v>20</v>
      </c>
      <c r="Z152" t="s">
        <v>4561</v>
      </c>
      <c r="AA152" s="3">
        <v>0.35220384597778298</v>
      </c>
      <c r="AB152" t="s">
        <v>6360</v>
      </c>
      <c r="AC152" t="s">
        <v>4562</v>
      </c>
      <c r="AD152" t="s">
        <v>6361</v>
      </c>
      <c r="AE152" t="s">
        <v>4655</v>
      </c>
      <c r="AF152" t="s">
        <v>4563</v>
      </c>
      <c r="AG152" t="s">
        <v>4564</v>
      </c>
      <c r="AH152">
        <v>89503</v>
      </c>
      <c r="AI152" t="s">
        <v>6362</v>
      </c>
      <c r="AJ152" t="s">
        <v>4655</v>
      </c>
      <c r="AK152" t="s">
        <v>6363</v>
      </c>
      <c r="AL152" s="13" t="s">
        <v>2255</v>
      </c>
      <c r="AM152" s="14">
        <v>1</v>
      </c>
      <c r="AN152" s="15" t="s">
        <v>2273</v>
      </c>
    </row>
    <row r="153" spans="1:40" x14ac:dyDescent="0.3">
      <c r="A153" s="10" t="str">
        <f>HYPERLINK("http://www.washoecounty.gov/assessor/cama/?parid=002-382-08&amp;CardNumber=1","002-382-08")</f>
        <v>002-382-08</v>
      </c>
      <c r="B153" t="s">
        <v>4655</v>
      </c>
      <c r="C153" t="s">
        <v>6364</v>
      </c>
      <c r="D153" s="1">
        <v>40298</v>
      </c>
      <c r="E153" s="2">
        <v>149900</v>
      </c>
      <c r="F153" t="s">
        <v>4553</v>
      </c>
      <c r="G153" s="17" t="str">
        <f>HYPERLINK("https://www.washoecounty.gov/assessor/cama/?command=sales&amp;parid=00238208","3876902")</f>
        <v>3876902</v>
      </c>
      <c r="H153" t="s">
        <v>4917</v>
      </c>
      <c r="I153">
        <v>1963</v>
      </c>
      <c r="J153">
        <v>1963</v>
      </c>
      <c r="K153" t="s">
        <v>4554</v>
      </c>
      <c r="L153" t="s">
        <v>4555</v>
      </c>
      <c r="M153" s="2">
        <v>1374</v>
      </c>
      <c r="N153" t="s">
        <v>4048</v>
      </c>
      <c r="O153">
        <v>4</v>
      </c>
      <c r="P153">
        <v>2</v>
      </c>
      <c r="Q153">
        <v>0</v>
      </c>
      <c r="R153" t="s">
        <v>4557</v>
      </c>
      <c r="S153" t="s">
        <v>3148</v>
      </c>
      <c r="T153" t="s">
        <v>4559</v>
      </c>
      <c r="U153" t="s">
        <v>4560</v>
      </c>
      <c r="V153" s="2">
        <v>530</v>
      </c>
      <c r="W153" t="s">
        <v>4655</v>
      </c>
      <c r="X153" s="2">
        <v>0</v>
      </c>
      <c r="Y153">
        <v>20</v>
      </c>
      <c r="Z153" t="s">
        <v>4561</v>
      </c>
      <c r="AA153" s="3">
        <v>0.13700643181800801</v>
      </c>
      <c r="AB153" t="s">
        <v>6365</v>
      </c>
      <c r="AC153" t="s">
        <v>4562</v>
      </c>
      <c r="AD153" t="s">
        <v>6364</v>
      </c>
      <c r="AE153" t="s">
        <v>4655</v>
      </c>
      <c r="AF153" t="s">
        <v>4563</v>
      </c>
      <c r="AG153" t="s">
        <v>4564</v>
      </c>
      <c r="AH153">
        <v>89503</v>
      </c>
      <c r="AI153" t="s">
        <v>4565</v>
      </c>
      <c r="AJ153" t="s">
        <v>4655</v>
      </c>
      <c r="AK153" t="s">
        <v>6366</v>
      </c>
      <c r="AL153" s="13" t="s">
        <v>2255</v>
      </c>
      <c r="AM153">
        <v>1</v>
      </c>
      <c r="AN153" s="15" t="s">
        <v>4566</v>
      </c>
    </row>
    <row r="154" spans="1:40" x14ac:dyDescent="0.3">
      <c r="A154" s="10" t="str">
        <f>HYPERLINK("http://www.washoecounty.gov/assessor/cama/?parid=002-401-02&amp;CardNumber=1","002-401-02")</f>
        <v>002-401-02</v>
      </c>
      <c r="B154" t="s">
        <v>4655</v>
      </c>
      <c r="C154" t="s">
        <v>6367</v>
      </c>
      <c r="D154" s="1">
        <v>40450</v>
      </c>
      <c r="E154" s="2">
        <v>140000</v>
      </c>
      <c r="F154" t="s">
        <v>4567</v>
      </c>
      <c r="G154" s="17" t="str">
        <f>HYPERLINK("https://www.washoecounty.gov/assessor/cama/?command=sales&amp;parid=00240102","3927624")</f>
        <v>3927624</v>
      </c>
      <c r="H154" t="s">
        <v>1943</v>
      </c>
      <c r="I154">
        <v>1963</v>
      </c>
      <c r="J154">
        <v>1963</v>
      </c>
      <c r="K154" t="s">
        <v>4554</v>
      </c>
      <c r="L154" t="s">
        <v>4555</v>
      </c>
      <c r="M154" s="2">
        <v>1232</v>
      </c>
      <c r="N154" t="s">
        <v>4048</v>
      </c>
      <c r="O154">
        <v>2</v>
      </c>
      <c r="P154">
        <v>2</v>
      </c>
      <c r="Q154">
        <v>0</v>
      </c>
      <c r="R154" t="s">
        <v>4557</v>
      </c>
      <c r="S154" t="s">
        <v>4135</v>
      </c>
      <c r="T154" t="s">
        <v>4559</v>
      </c>
      <c r="U154" t="s">
        <v>4560</v>
      </c>
      <c r="V154" s="2">
        <v>437</v>
      </c>
      <c r="W154" t="s">
        <v>4655</v>
      </c>
      <c r="X154" s="2">
        <v>0</v>
      </c>
      <c r="Y154">
        <v>20</v>
      </c>
      <c r="Z154" t="s">
        <v>4561</v>
      </c>
      <c r="AA154" s="3">
        <v>0.16099633276462599</v>
      </c>
      <c r="AB154" t="s">
        <v>6368</v>
      </c>
      <c r="AC154" t="s">
        <v>4562</v>
      </c>
      <c r="AD154" t="s">
        <v>6367</v>
      </c>
      <c r="AE154" t="s">
        <v>4655</v>
      </c>
      <c r="AF154" t="s">
        <v>4563</v>
      </c>
      <c r="AG154" t="s">
        <v>4564</v>
      </c>
      <c r="AH154">
        <v>89503</v>
      </c>
      <c r="AI154" t="s">
        <v>6369</v>
      </c>
      <c r="AJ154" t="s">
        <v>4655</v>
      </c>
      <c r="AK154" t="s">
        <v>6370</v>
      </c>
      <c r="AL154" s="13" t="s">
        <v>2255</v>
      </c>
      <c r="AM154" s="14">
        <v>1</v>
      </c>
      <c r="AN154" s="15" t="s">
        <v>4566</v>
      </c>
    </row>
    <row r="155" spans="1:40" x14ac:dyDescent="0.3">
      <c r="A155" s="10" t="str">
        <f>HYPERLINK("http://www.washoecounty.gov/assessor/cama/?parid=002-401-25&amp;CardNumber=1","002-401-25")</f>
        <v>002-401-25</v>
      </c>
      <c r="B155" t="s">
        <v>4655</v>
      </c>
      <c r="C155" t="s">
        <v>6371</v>
      </c>
      <c r="D155" s="1">
        <v>40200</v>
      </c>
      <c r="E155" s="2">
        <v>120000</v>
      </c>
      <c r="F155" t="s">
        <v>4553</v>
      </c>
      <c r="G155" s="17" t="str">
        <f>HYPERLINK("https://www.washoecounty.gov/assessor/cama/?command=sales&amp;parid=00240125","3842145")</f>
        <v>3842145</v>
      </c>
      <c r="H155" t="s">
        <v>1943</v>
      </c>
      <c r="I155">
        <v>1963</v>
      </c>
      <c r="J155">
        <v>1963</v>
      </c>
      <c r="K155" t="s">
        <v>4554</v>
      </c>
      <c r="L155" t="s">
        <v>4555</v>
      </c>
      <c r="M155" s="2">
        <v>1100</v>
      </c>
      <c r="N155" t="s">
        <v>4048</v>
      </c>
      <c r="O155">
        <v>3</v>
      </c>
      <c r="P155">
        <v>2</v>
      </c>
      <c r="Q155">
        <v>0</v>
      </c>
      <c r="R155" t="s">
        <v>4557</v>
      </c>
      <c r="S155" t="s">
        <v>3148</v>
      </c>
      <c r="T155" t="s">
        <v>4559</v>
      </c>
      <c r="U155" t="s">
        <v>4560</v>
      </c>
      <c r="V155" s="2">
        <v>528</v>
      </c>
      <c r="W155" t="s">
        <v>4655</v>
      </c>
      <c r="X155" s="2">
        <v>0</v>
      </c>
      <c r="Y155">
        <v>20</v>
      </c>
      <c r="Z155" t="s">
        <v>4561</v>
      </c>
      <c r="AA155" s="3">
        <v>0.15199723839759827</v>
      </c>
      <c r="AB155" t="s">
        <v>6372</v>
      </c>
      <c r="AC155" t="s">
        <v>4562</v>
      </c>
      <c r="AD155" t="s">
        <v>6371</v>
      </c>
      <c r="AE155" t="s">
        <v>4655</v>
      </c>
      <c r="AF155" t="s">
        <v>4563</v>
      </c>
      <c r="AG155" t="s">
        <v>4564</v>
      </c>
      <c r="AH155">
        <v>89503</v>
      </c>
      <c r="AI155" t="s">
        <v>6373</v>
      </c>
      <c r="AJ155" t="s">
        <v>4655</v>
      </c>
      <c r="AK155" t="s">
        <v>6374</v>
      </c>
      <c r="AL155" s="13" t="s">
        <v>2255</v>
      </c>
      <c r="AM155" s="14">
        <v>1</v>
      </c>
      <c r="AN155" s="15" t="s">
        <v>4566</v>
      </c>
    </row>
    <row r="156" spans="1:40" x14ac:dyDescent="0.3">
      <c r="A156" s="10" t="str">
        <f>HYPERLINK("http://www.washoecounty.gov/assessor/cama/?parid=002-402-14&amp;CardNumber=1","002-402-14")</f>
        <v>002-402-14</v>
      </c>
      <c r="B156" t="s">
        <v>4655</v>
      </c>
      <c r="C156" t="s">
        <v>6375</v>
      </c>
      <c r="D156" s="1">
        <v>40343</v>
      </c>
      <c r="E156" s="2">
        <v>122900</v>
      </c>
      <c r="F156" t="s">
        <v>4567</v>
      </c>
      <c r="G156" s="17" t="str">
        <f>HYPERLINK("https://www.washoecounty.gov/assessor/cama/?command=sales&amp;parid=00240214","3891309")</f>
        <v>3891309</v>
      </c>
      <c r="H156" t="s">
        <v>1658</v>
      </c>
      <c r="I156">
        <v>1962</v>
      </c>
      <c r="J156">
        <v>1962</v>
      </c>
      <c r="K156" t="s">
        <v>4554</v>
      </c>
      <c r="L156" t="s">
        <v>4555</v>
      </c>
      <c r="M156" s="2">
        <v>1156</v>
      </c>
      <c r="N156" t="s">
        <v>4048</v>
      </c>
      <c r="O156">
        <v>3</v>
      </c>
      <c r="P156">
        <v>2</v>
      </c>
      <c r="Q156">
        <v>0</v>
      </c>
      <c r="R156" t="s">
        <v>4557</v>
      </c>
      <c r="S156" t="s">
        <v>3148</v>
      </c>
      <c r="T156" t="s">
        <v>4559</v>
      </c>
      <c r="U156" t="s">
        <v>4560</v>
      </c>
      <c r="V156" s="2">
        <v>529</v>
      </c>
      <c r="W156" t="s">
        <v>4655</v>
      </c>
      <c r="X156" s="2">
        <v>0</v>
      </c>
      <c r="Y156">
        <v>20</v>
      </c>
      <c r="Z156" t="s">
        <v>4561</v>
      </c>
      <c r="AA156" s="3">
        <v>0.15798898041248299</v>
      </c>
      <c r="AB156" t="s">
        <v>6376</v>
      </c>
      <c r="AC156" t="s">
        <v>4562</v>
      </c>
      <c r="AD156" t="s">
        <v>6377</v>
      </c>
      <c r="AE156" t="s">
        <v>4655</v>
      </c>
      <c r="AF156" t="s">
        <v>4563</v>
      </c>
      <c r="AG156" t="s">
        <v>4564</v>
      </c>
      <c r="AH156">
        <v>89503</v>
      </c>
      <c r="AI156" t="s">
        <v>6378</v>
      </c>
      <c r="AJ156" t="s">
        <v>4655</v>
      </c>
      <c r="AK156" t="s">
        <v>6379</v>
      </c>
      <c r="AL156" s="13" t="s">
        <v>2255</v>
      </c>
      <c r="AM156">
        <v>1</v>
      </c>
      <c r="AN156" s="15" t="s">
        <v>4566</v>
      </c>
    </row>
    <row r="157" spans="1:40" x14ac:dyDescent="0.3">
      <c r="A157" s="10" t="str">
        <f>HYPERLINK("http://www.washoecounty.gov/assessor/cama/?parid=002-411-26&amp;CardNumber=1","002-411-26")</f>
        <v>002-411-26</v>
      </c>
      <c r="B157" t="s">
        <v>4655</v>
      </c>
      <c r="C157" t="s">
        <v>6380</v>
      </c>
      <c r="D157" s="1">
        <v>40242</v>
      </c>
      <c r="E157" s="2">
        <v>110000</v>
      </c>
      <c r="F157" t="s">
        <v>4553</v>
      </c>
      <c r="G157" s="17" t="str">
        <f>HYPERLINK("https://www.washoecounty.gov/assessor/cama/?command=sales&amp;parid=00241126","3856596")</f>
        <v>3856596</v>
      </c>
      <c r="H157" t="s">
        <v>6381</v>
      </c>
      <c r="I157">
        <v>1964</v>
      </c>
      <c r="J157">
        <v>1964</v>
      </c>
      <c r="K157" t="s">
        <v>4554</v>
      </c>
      <c r="L157" t="s">
        <v>4555</v>
      </c>
      <c r="M157" s="2">
        <v>1305</v>
      </c>
      <c r="N157" t="s">
        <v>4048</v>
      </c>
      <c r="O157">
        <v>3</v>
      </c>
      <c r="P157">
        <v>2</v>
      </c>
      <c r="Q157">
        <v>0</v>
      </c>
      <c r="R157" t="s">
        <v>4557</v>
      </c>
      <c r="S157" t="s">
        <v>4574</v>
      </c>
      <c r="T157" t="s">
        <v>5017</v>
      </c>
      <c r="U157" t="s">
        <v>4560</v>
      </c>
      <c r="V157" s="2">
        <v>462</v>
      </c>
      <c r="W157" t="s">
        <v>4655</v>
      </c>
      <c r="X157" s="2">
        <v>0</v>
      </c>
      <c r="Y157">
        <v>20</v>
      </c>
      <c r="Z157" t="s">
        <v>4561</v>
      </c>
      <c r="AA157" s="3">
        <v>0.13999082148075101</v>
      </c>
      <c r="AB157" t="s">
        <v>6382</v>
      </c>
      <c r="AC157" t="s">
        <v>4562</v>
      </c>
      <c r="AD157" t="s">
        <v>6383</v>
      </c>
      <c r="AE157" t="s">
        <v>4655</v>
      </c>
      <c r="AF157" t="s">
        <v>4563</v>
      </c>
      <c r="AG157" t="s">
        <v>4564</v>
      </c>
      <c r="AH157">
        <v>89511</v>
      </c>
      <c r="AI157" t="s">
        <v>4655</v>
      </c>
      <c r="AJ157" t="s">
        <v>4655</v>
      </c>
      <c r="AK157" t="s">
        <v>6384</v>
      </c>
      <c r="AL157" s="13" t="s">
        <v>2255</v>
      </c>
      <c r="AM157">
        <v>1</v>
      </c>
      <c r="AN157" s="15" t="s">
        <v>4566</v>
      </c>
    </row>
    <row r="158" spans="1:40" x14ac:dyDescent="0.3">
      <c r="A158" s="10" t="str">
        <f>HYPERLINK("http://www.washoecounty.gov/assessor/cama/?parid=002-412-55&amp;CardNumber=1","002-412-55")</f>
        <v>002-412-55</v>
      </c>
      <c r="B158" t="s">
        <v>4655</v>
      </c>
      <c r="C158" t="s">
        <v>6385</v>
      </c>
      <c r="D158" s="1">
        <v>40344</v>
      </c>
      <c r="E158" s="2">
        <v>149000</v>
      </c>
      <c r="F158" t="s">
        <v>4567</v>
      </c>
      <c r="G158" s="17" t="str">
        <f>HYPERLINK("https://www.washoecounty.gov/assessor/cama/?command=sales&amp;parid=00241255","3892185")</f>
        <v>3892185</v>
      </c>
      <c r="H158" t="s">
        <v>6386</v>
      </c>
      <c r="I158">
        <v>1970</v>
      </c>
      <c r="J158">
        <v>1970</v>
      </c>
      <c r="K158" t="s">
        <v>4554</v>
      </c>
      <c r="L158" t="s">
        <v>3974</v>
      </c>
      <c r="M158" s="2">
        <v>1992</v>
      </c>
      <c r="N158" t="s">
        <v>4048</v>
      </c>
      <c r="O158">
        <v>4</v>
      </c>
      <c r="P158">
        <v>2</v>
      </c>
      <c r="Q158">
        <v>1</v>
      </c>
      <c r="R158" t="s">
        <v>4557</v>
      </c>
      <c r="S158" t="s">
        <v>4574</v>
      </c>
      <c r="T158" t="s">
        <v>4559</v>
      </c>
      <c r="U158" t="s">
        <v>5631</v>
      </c>
      <c r="V158" s="2">
        <v>560</v>
      </c>
      <c r="W158" t="s">
        <v>4655</v>
      </c>
      <c r="X158" s="2">
        <v>0</v>
      </c>
      <c r="Y158">
        <v>20</v>
      </c>
      <c r="Z158" t="s">
        <v>4561</v>
      </c>
      <c r="AA158" s="3">
        <v>0.26000916957855202</v>
      </c>
      <c r="AB158" t="s">
        <v>6387</v>
      </c>
      <c r="AC158" t="s">
        <v>4562</v>
      </c>
      <c r="AD158" t="s">
        <v>6385</v>
      </c>
      <c r="AE158" t="s">
        <v>4655</v>
      </c>
      <c r="AF158" t="s">
        <v>4563</v>
      </c>
      <c r="AG158" t="s">
        <v>4564</v>
      </c>
      <c r="AH158">
        <v>89503</v>
      </c>
      <c r="AI158" t="s">
        <v>4655</v>
      </c>
      <c r="AJ158" t="s">
        <v>4655</v>
      </c>
      <c r="AK158" t="s">
        <v>6388</v>
      </c>
      <c r="AL158" s="13" t="s">
        <v>2255</v>
      </c>
      <c r="AM158">
        <v>1</v>
      </c>
      <c r="AN158" s="15" t="s">
        <v>4566</v>
      </c>
    </row>
    <row r="159" spans="1:40" x14ac:dyDescent="0.3">
      <c r="A159" s="10" t="str">
        <f>HYPERLINK("http://www.washoecounty.gov/assessor/cama/?parid=002-413-09&amp;CardNumber=1","002-413-09")</f>
        <v>002-413-09</v>
      </c>
      <c r="B159" t="s">
        <v>4655</v>
      </c>
      <c r="C159" t="s">
        <v>6389</v>
      </c>
      <c r="D159" s="1">
        <v>40410</v>
      </c>
      <c r="E159" s="2">
        <v>260000</v>
      </c>
      <c r="F159" t="s">
        <v>4567</v>
      </c>
      <c r="G159" s="17" t="str">
        <f>HYPERLINK("https://www.washoecounty.gov/assessor/cama/?command=sales&amp;parid=00241309","3914336")</f>
        <v>3914336</v>
      </c>
      <c r="H159" t="s">
        <v>2343</v>
      </c>
      <c r="I159">
        <v>1964</v>
      </c>
      <c r="J159">
        <v>1964</v>
      </c>
      <c r="K159" t="s">
        <v>4554</v>
      </c>
      <c r="L159" t="s">
        <v>4555</v>
      </c>
      <c r="M159" s="2">
        <v>1448</v>
      </c>
      <c r="N159" t="s">
        <v>4048</v>
      </c>
      <c r="O159">
        <v>3</v>
      </c>
      <c r="P159">
        <v>2</v>
      </c>
      <c r="Q159">
        <v>0</v>
      </c>
      <c r="R159" t="s">
        <v>4557</v>
      </c>
      <c r="S159" t="s">
        <v>4135</v>
      </c>
      <c r="T159" t="s">
        <v>4143</v>
      </c>
      <c r="U159" t="s">
        <v>4560</v>
      </c>
      <c r="V159" s="2">
        <v>506</v>
      </c>
      <c r="W159" t="s">
        <v>4655</v>
      </c>
      <c r="X159" s="2">
        <v>0</v>
      </c>
      <c r="Y159">
        <v>20</v>
      </c>
      <c r="Z159" t="s">
        <v>4561</v>
      </c>
      <c r="AA159" s="3">
        <v>0.28000459074974099</v>
      </c>
      <c r="AB159" t="s">
        <v>6390</v>
      </c>
      <c r="AC159" t="s">
        <v>4562</v>
      </c>
      <c r="AD159" t="s">
        <v>6389</v>
      </c>
      <c r="AE159" t="s">
        <v>4655</v>
      </c>
      <c r="AF159" t="s">
        <v>4563</v>
      </c>
      <c r="AG159" t="s">
        <v>4564</v>
      </c>
      <c r="AH159">
        <v>89503</v>
      </c>
      <c r="AI159" t="s">
        <v>6391</v>
      </c>
      <c r="AJ159" t="s">
        <v>4655</v>
      </c>
      <c r="AK159" t="s">
        <v>6392</v>
      </c>
      <c r="AL159" s="13" t="s">
        <v>2255</v>
      </c>
      <c r="AM159">
        <v>1</v>
      </c>
      <c r="AN159" s="15" t="s">
        <v>4566</v>
      </c>
    </row>
    <row r="160" spans="1:40" x14ac:dyDescent="0.3">
      <c r="A160" s="10" t="str">
        <f>HYPERLINK("http://www.washoecounty.gov/assessor/cama/?parid=002-431-12&amp;CardNumber=1","002-431-12")</f>
        <v>002-431-12</v>
      </c>
      <c r="B160" t="s">
        <v>4655</v>
      </c>
      <c r="C160" t="s">
        <v>6393</v>
      </c>
      <c r="D160" s="1">
        <v>40465</v>
      </c>
      <c r="E160" s="2">
        <v>190000</v>
      </c>
      <c r="F160" t="s">
        <v>4567</v>
      </c>
      <c r="G160" s="17" t="str">
        <f>HYPERLINK("https://www.washoecounty.gov/assessor/cama/?command=sales&amp;parid=00243112","3932949")</f>
        <v>3932949</v>
      </c>
      <c r="H160" t="s">
        <v>435</v>
      </c>
      <c r="I160">
        <v>1964</v>
      </c>
      <c r="J160">
        <v>1964</v>
      </c>
      <c r="K160" t="s">
        <v>1391</v>
      </c>
      <c r="L160" t="s">
        <v>4555</v>
      </c>
      <c r="M160" s="2">
        <v>1594</v>
      </c>
      <c r="N160" t="s">
        <v>4048</v>
      </c>
      <c r="O160">
        <v>4</v>
      </c>
      <c r="P160">
        <v>2</v>
      </c>
      <c r="Q160">
        <v>0</v>
      </c>
      <c r="R160" t="s">
        <v>4557</v>
      </c>
      <c r="S160" t="s">
        <v>4574</v>
      </c>
      <c r="T160" t="s">
        <v>4559</v>
      </c>
      <c r="U160" t="s">
        <v>4560</v>
      </c>
      <c r="V160" s="2">
        <v>462</v>
      </c>
      <c r="W160" t="s">
        <v>4655</v>
      </c>
      <c r="X160" s="2">
        <v>0</v>
      </c>
      <c r="Y160">
        <v>20</v>
      </c>
      <c r="Z160" t="s">
        <v>4561</v>
      </c>
      <c r="AA160" s="3">
        <v>0.160697892308235</v>
      </c>
      <c r="AB160" t="s">
        <v>6394</v>
      </c>
      <c r="AC160" t="s">
        <v>4562</v>
      </c>
      <c r="AD160" t="s">
        <v>6395</v>
      </c>
      <c r="AE160" t="s">
        <v>4655</v>
      </c>
      <c r="AF160" t="s">
        <v>4563</v>
      </c>
      <c r="AG160" t="s">
        <v>4564</v>
      </c>
      <c r="AH160">
        <v>89503</v>
      </c>
      <c r="AI160" t="s">
        <v>6396</v>
      </c>
      <c r="AJ160" t="s">
        <v>4655</v>
      </c>
      <c r="AK160" t="s">
        <v>6397</v>
      </c>
      <c r="AL160" s="13" t="s">
        <v>2255</v>
      </c>
      <c r="AM160">
        <v>1</v>
      </c>
      <c r="AN160" s="15" t="s">
        <v>4566</v>
      </c>
    </row>
    <row r="161" spans="1:40" x14ac:dyDescent="0.3">
      <c r="A161" s="10" t="str">
        <f>HYPERLINK("http://www.washoecounty.gov/assessor/cama/?parid=002-444-01&amp;CardNumber=1","002-444-01")</f>
        <v>002-444-01</v>
      </c>
      <c r="B161" t="s">
        <v>4655</v>
      </c>
      <c r="C161" t="s">
        <v>6398</v>
      </c>
      <c r="D161" s="1">
        <v>40501</v>
      </c>
      <c r="E161" s="2">
        <v>142000</v>
      </c>
      <c r="F161" t="s">
        <v>4553</v>
      </c>
      <c r="G161" s="17" t="str">
        <f>HYPERLINK("https://www.washoecounty.gov/assessor/cama/?command=sales&amp;parid=00244401","3945124")</f>
        <v>3945124</v>
      </c>
      <c r="H161" t="s">
        <v>4954</v>
      </c>
      <c r="I161">
        <v>1969</v>
      </c>
      <c r="J161">
        <v>1969</v>
      </c>
      <c r="K161" t="s">
        <v>4554</v>
      </c>
      <c r="L161" t="s">
        <v>4555</v>
      </c>
      <c r="M161" s="2">
        <v>1532</v>
      </c>
      <c r="N161" t="s">
        <v>4048</v>
      </c>
      <c r="O161">
        <v>4</v>
      </c>
      <c r="P161">
        <v>2</v>
      </c>
      <c r="Q161">
        <v>0</v>
      </c>
      <c r="R161" t="s">
        <v>4557</v>
      </c>
      <c r="S161" t="s">
        <v>4574</v>
      </c>
      <c r="T161" t="s">
        <v>4559</v>
      </c>
      <c r="U161" t="s">
        <v>4560</v>
      </c>
      <c r="V161" s="2">
        <v>448</v>
      </c>
      <c r="W161" t="s">
        <v>4655</v>
      </c>
      <c r="X161" s="2">
        <v>0</v>
      </c>
      <c r="Y161">
        <v>20</v>
      </c>
      <c r="Z161" t="s">
        <v>4561</v>
      </c>
      <c r="AA161" s="3">
        <v>0.17398989200591999</v>
      </c>
      <c r="AB161" t="s">
        <v>6399</v>
      </c>
      <c r="AC161" t="s">
        <v>4562</v>
      </c>
      <c r="AD161" t="s">
        <v>6400</v>
      </c>
      <c r="AE161" t="s">
        <v>4655</v>
      </c>
      <c r="AF161" t="s">
        <v>4563</v>
      </c>
      <c r="AG161" t="s">
        <v>4564</v>
      </c>
      <c r="AH161">
        <v>89503</v>
      </c>
      <c r="AI161" t="s">
        <v>4655</v>
      </c>
      <c r="AJ161" t="s">
        <v>4655</v>
      </c>
      <c r="AK161" t="s">
        <v>6401</v>
      </c>
      <c r="AL161" s="13" t="s">
        <v>2255</v>
      </c>
      <c r="AM161" s="14">
        <v>1</v>
      </c>
      <c r="AN161" s="15" t="s">
        <v>4566</v>
      </c>
    </row>
    <row r="162" spans="1:40" x14ac:dyDescent="0.3">
      <c r="A162" s="10" t="str">
        <f>HYPERLINK("http://www.washoecounty.gov/assessor/cama/?parid=002-452-01&amp;CardNumber=1","002-452-01")</f>
        <v>002-452-01</v>
      </c>
      <c r="B162" t="s">
        <v>4655</v>
      </c>
      <c r="C162" t="s">
        <v>6402</v>
      </c>
      <c r="D162" s="1">
        <v>40291</v>
      </c>
      <c r="E162" s="2">
        <v>185000</v>
      </c>
      <c r="F162" t="s">
        <v>4553</v>
      </c>
      <c r="G162" s="17" t="str">
        <f>HYPERLINK("https://www.washoecounty.gov/assessor/cama/?command=sales&amp;parid=00245201","3874091")</f>
        <v>3874091</v>
      </c>
      <c r="H162" t="s">
        <v>4954</v>
      </c>
      <c r="I162">
        <v>1968</v>
      </c>
      <c r="J162">
        <v>1968</v>
      </c>
      <c r="K162" t="s">
        <v>4554</v>
      </c>
      <c r="L162" t="s">
        <v>3886</v>
      </c>
      <c r="M162" s="2">
        <v>2166</v>
      </c>
      <c r="N162" t="s">
        <v>4048</v>
      </c>
      <c r="O162">
        <v>5</v>
      </c>
      <c r="P162">
        <v>3</v>
      </c>
      <c r="Q162">
        <v>0</v>
      </c>
      <c r="R162" t="s">
        <v>4557</v>
      </c>
      <c r="S162" t="s">
        <v>3148</v>
      </c>
      <c r="T162" t="s">
        <v>4559</v>
      </c>
      <c r="U162" t="s">
        <v>4560</v>
      </c>
      <c r="V162" s="2">
        <v>484</v>
      </c>
      <c r="W162" t="s">
        <v>4655</v>
      </c>
      <c r="X162" s="2">
        <v>0</v>
      </c>
      <c r="Y162">
        <v>20</v>
      </c>
      <c r="Z162" t="s">
        <v>4561</v>
      </c>
      <c r="AA162" s="3">
        <v>0.18399907648563399</v>
      </c>
      <c r="AB162" t="s">
        <v>6403</v>
      </c>
      <c r="AC162" t="s">
        <v>4575</v>
      </c>
      <c r="AD162" t="s">
        <v>6404</v>
      </c>
      <c r="AE162" t="s">
        <v>6405</v>
      </c>
      <c r="AF162" t="s">
        <v>4563</v>
      </c>
      <c r="AG162" t="s">
        <v>4564</v>
      </c>
      <c r="AH162">
        <v>89503</v>
      </c>
      <c r="AI162" t="s">
        <v>1602</v>
      </c>
      <c r="AJ162" t="s">
        <v>4655</v>
      </c>
      <c r="AK162" t="s">
        <v>6406</v>
      </c>
      <c r="AL162" s="13" t="s">
        <v>2255</v>
      </c>
      <c r="AM162" s="14">
        <v>1</v>
      </c>
      <c r="AN162" s="15" t="s">
        <v>4566</v>
      </c>
    </row>
    <row r="163" spans="1:40" x14ac:dyDescent="0.3">
      <c r="A163" s="10" t="str">
        <f>HYPERLINK("http://www.washoecounty.gov/assessor/cama/?parid=002-452-06&amp;CardNumber=1","002-452-06")</f>
        <v>002-452-06</v>
      </c>
      <c r="B163" t="s">
        <v>4655</v>
      </c>
      <c r="C163" t="s">
        <v>6407</v>
      </c>
      <c r="D163" s="1">
        <v>40324</v>
      </c>
      <c r="E163" s="2">
        <v>183125</v>
      </c>
      <c r="F163" t="s">
        <v>4567</v>
      </c>
      <c r="G163" s="17" t="str">
        <f>HYPERLINK("https://www.washoecounty.gov/assessor/cama/?command=sales&amp;parid=00245206","3885287")</f>
        <v>3885287</v>
      </c>
      <c r="H163" t="s">
        <v>4954</v>
      </c>
      <c r="I163">
        <v>1970</v>
      </c>
      <c r="J163">
        <v>1973</v>
      </c>
      <c r="K163" t="s">
        <v>4554</v>
      </c>
      <c r="L163" t="s">
        <v>3886</v>
      </c>
      <c r="M163" s="2">
        <v>2267</v>
      </c>
      <c r="N163" t="s">
        <v>4048</v>
      </c>
      <c r="O163">
        <v>5</v>
      </c>
      <c r="P163">
        <v>3</v>
      </c>
      <c r="Q163">
        <v>0</v>
      </c>
      <c r="R163" t="s">
        <v>4557</v>
      </c>
      <c r="S163" t="s">
        <v>4570</v>
      </c>
      <c r="T163" t="s">
        <v>4559</v>
      </c>
      <c r="U163" t="s">
        <v>4560</v>
      </c>
      <c r="V163" s="2">
        <v>448</v>
      </c>
      <c r="W163" t="s">
        <v>4655</v>
      </c>
      <c r="X163" s="2">
        <v>0</v>
      </c>
      <c r="Y163">
        <v>20</v>
      </c>
      <c r="Z163" t="s">
        <v>4561</v>
      </c>
      <c r="AA163" s="3">
        <v>0.13799357414245605</v>
      </c>
      <c r="AB163" t="s">
        <v>6408</v>
      </c>
      <c r="AC163" t="s">
        <v>4575</v>
      </c>
      <c r="AD163" t="s">
        <v>6409</v>
      </c>
      <c r="AE163" t="s">
        <v>4655</v>
      </c>
      <c r="AF163" t="s">
        <v>3533</v>
      </c>
      <c r="AG163" t="s">
        <v>4564</v>
      </c>
      <c r="AH163">
        <v>89052</v>
      </c>
      <c r="AI163" t="s">
        <v>6410</v>
      </c>
      <c r="AJ163" t="s">
        <v>4655</v>
      </c>
      <c r="AK163" t="s">
        <v>6411</v>
      </c>
      <c r="AL163" s="13" t="s">
        <v>2255</v>
      </c>
      <c r="AM163">
        <v>1</v>
      </c>
      <c r="AN163" s="15" t="s">
        <v>4566</v>
      </c>
    </row>
    <row r="164" spans="1:40" x14ac:dyDescent="0.3">
      <c r="A164" s="10" t="str">
        <f>HYPERLINK("http://www.washoecounty.gov/assessor/cama/?parid=002-452-14&amp;CardNumber=1","002-452-14")</f>
        <v>002-452-14</v>
      </c>
      <c r="B164" t="s">
        <v>4655</v>
      </c>
      <c r="C164" t="s">
        <v>6412</v>
      </c>
      <c r="D164" s="1">
        <v>40458</v>
      </c>
      <c r="E164" s="2">
        <v>142900</v>
      </c>
      <c r="F164" t="s">
        <v>4567</v>
      </c>
      <c r="G164" s="17" t="str">
        <f>HYPERLINK("https://www.washoecounty.gov/assessor/cama/?command=sales&amp;parid=00245214","3930859")</f>
        <v>3930859</v>
      </c>
      <c r="H164" t="s">
        <v>4954</v>
      </c>
      <c r="I164">
        <v>1970</v>
      </c>
      <c r="J164">
        <v>1970</v>
      </c>
      <c r="K164" t="s">
        <v>4554</v>
      </c>
      <c r="L164" t="s">
        <v>4555</v>
      </c>
      <c r="M164" s="2">
        <v>1476</v>
      </c>
      <c r="N164" t="s">
        <v>4048</v>
      </c>
      <c r="O164">
        <v>3</v>
      </c>
      <c r="P164">
        <v>2</v>
      </c>
      <c r="Q164">
        <v>0</v>
      </c>
      <c r="R164" t="s">
        <v>4557</v>
      </c>
      <c r="S164" t="s">
        <v>4574</v>
      </c>
      <c r="T164" t="s">
        <v>4559</v>
      </c>
      <c r="U164" t="s">
        <v>4560</v>
      </c>
      <c r="V164" s="2">
        <v>440</v>
      </c>
      <c r="W164" t="s">
        <v>4655</v>
      </c>
      <c r="X164" s="2">
        <v>0</v>
      </c>
      <c r="Y164">
        <v>20</v>
      </c>
      <c r="Z164" t="s">
        <v>4561</v>
      </c>
      <c r="AA164" s="3">
        <v>0.13799357414245605</v>
      </c>
      <c r="AB164" t="s">
        <v>6413</v>
      </c>
      <c r="AC164" t="s">
        <v>4575</v>
      </c>
      <c r="AD164" t="s">
        <v>6412</v>
      </c>
      <c r="AE164" t="s">
        <v>4655</v>
      </c>
      <c r="AF164" t="s">
        <v>4563</v>
      </c>
      <c r="AG164" t="s">
        <v>4564</v>
      </c>
      <c r="AH164">
        <v>89503</v>
      </c>
      <c r="AI164" t="s">
        <v>6414</v>
      </c>
      <c r="AJ164" t="s">
        <v>4655</v>
      </c>
      <c r="AK164" t="s">
        <v>6415</v>
      </c>
      <c r="AL164" s="13" t="s">
        <v>2255</v>
      </c>
      <c r="AM164">
        <v>1</v>
      </c>
      <c r="AN164" s="15" t="s">
        <v>4566</v>
      </c>
    </row>
    <row r="165" spans="1:40" x14ac:dyDescent="0.3">
      <c r="A165" s="10" t="str">
        <f>HYPERLINK("http://www.washoecounty.gov/assessor/cama/?parid=002-453-08&amp;CardNumber=1","002-453-08")</f>
        <v>002-453-08</v>
      </c>
      <c r="B165" t="s">
        <v>4655</v>
      </c>
      <c r="C165" t="s">
        <v>6416</v>
      </c>
      <c r="D165" s="1">
        <v>40428</v>
      </c>
      <c r="E165" s="2">
        <v>145000</v>
      </c>
      <c r="F165" t="s">
        <v>4553</v>
      </c>
      <c r="G165" s="17" t="str">
        <f>HYPERLINK("https://www.washoecounty.gov/assessor/cama/?command=sales&amp;parid=00245308","3919427")</f>
        <v>3919427</v>
      </c>
      <c r="H165" t="s">
        <v>4954</v>
      </c>
      <c r="I165">
        <v>1971</v>
      </c>
      <c r="J165">
        <v>1971</v>
      </c>
      <c r="K165" t="s">
        <v>4554</v>
      </c>
      <c r="L165" t="s">
        <v>4555</v>
      </c>
      <c r="M165" s="2">
        <v>1560</v>
      </c>
      <c r="N165" t="s">
        <v>4048</v>
      </c>
      <c r="O165">
        <v>4</v>
      </c>
      <c r="P165">
        <v>2</v>
      </c>
      <c r="Q165">
        <v>0</v>
      </c>
      <c r="R165" t="s">
        <v>4557</v>
      </c>
      <c r="S165" t="s">
        <v>4574</v>
      </c>
      <c r="T165" t="s">
        <v>4559</v>
      </c>
      <c r="U165" t="s">
        <v>4560</v>
      </c>
      <c r="V165" s="2">
        <v>480</v>
      </c>
      <c r="W165" t="s">
        <v>4655</v>
      </c>
      <c r="X165" s="2">
        <v>0</v>
      </c>
      <c r="Y165">
        <v>20</v>
      </c>
      <c r="Z165" t="s">
        <v>4561</v>
      </c>
      <c r="AA165" s="3">
        <v>0.13799357414245605</v>
      </c>
      <c r="AB165" t="s">
        <v>6417</v>
      </c>
      <c r="AC165" t="s">
        <v>4575</v>
      </c>
      <c r="AD165" t="s">
        <v>6416</v>
      </c>
      <c r="AE165" t="s">
        <v>4655</v>
      </c>
      <c r="AF165" t="s">
        <v>4563</v>
      </c>
      <c r="AG165" t="s">
        <v>4564</v>
      </c>
      <c r="AH165">
        <v>89503</v>
      </c>
      <c r="AI165" t="s">
        <v>4848</v>
      </c>
      <c r="AJ165" t="s">
        <v>4655</v>
      </c>
      <c r="AK165" t="s">
        <v>6418</v>
      </c>
      <c r="AL165" s="13" t="s">
        <v>2255</v>
      </c>
      <c r="AM165" s="14">
        <v>1</v>
      </c>
      <c r="AN165" s="15" t="s">
        <v>4566</v>
      </c>
    </row>
    <row r="166" spans="1:40" x14ac:dyDescent="0.3">
      <c r="A166" s="10" t="str">
        <f>HYPERLINK("http://www.washoecounty.gov/assessor/cama/?parid=002-461-09&amp;CardNumber=1","002-461-09")</f>
        <v>002-461-09</v>
      </c>
      <c r="B166" t="s">
        <v>4655</v>
      </c>
      <c r="C166" t="s">
        <v>4427</v>
      </c>
      <c r="D166" s="1">
        <v>40479</v>
      </c>
      <c r="E166" s="2">
        <v>64000</v>
      </c>
      <c r="F166" t="s">
        <v>4553</v>
      </c>
      <c r="G166" s="17" t="str">
        <f>HYPERLINK("https://www.washoecounty.gov/assessor/cama/?command=sales&amp;parid=00246109","3937520")</f>
        <v>3937520</v>
      </c>
      <c r="H166" t="s">
        <v>1374</v>
      </c>
      <c r="I166">
        <v>1974</v>
      </c>
      <c r="J166">
        <v>1974</v>
      </c>
      <c r="K166" t="s">
        <v>4554</v>
      </c>
      <c r="L166" t="s">
        <v>4555</v>
      </c>
      <c r="M166" s="2">
        <v>1314</v>
      </c>
      <c r="N166" t="s">
        <v>4556</v>
      </c>
      <c r="O166">
        <v>2</v>
      </c>
      <c r="P166">
        <v>1</v>
      </c>
      <c r="Q166">
        <v>1</v>
      </c>
      <c r="R166" t="s">
        <v>4557</v>
      </c>
      <c r="S166" t="s">
        <v>4558</v>
      </c>
      <c r="T166" t="s">
        <v>4559</v>
      </c>
      <c r="U166" t="s">
        <v>4560</v>
      </c>
      <c r="V166" s="2">
        <v>484</v>
      </c>
      <c r="W166" t="s">
        <v>4655</v>
      </c>
      <c r="X166" s="2">
        <v>0</v>
      </c>
      <c r="Y166">
        <v>20</v>
      </c>
      <c r="Z166" t="s">
        <v>4561</v>
      </c>
      <c r="AA166" s="3">
        <v>0.160009175539017</v>
      </c>
      <c r="AB166" t="s">
        <v>4428</v>
      </c>
      <c r="AC166" t="s">
        <v>4562</v>
      </c>
      <c r="AD166" t="s">
        <v>4427</v>
      </c>
      <c r="AE166" t="s">
        <v>4655</v>
      </c>
      <c r="AF166" t="s">
        <v>4563</v>
      </c>
      <c r="AG166" t="s">
        <v>4564</v>
      </c>
      <c r="AH166">
        <v>89503</v>
      </c>
      <c r="AI166" t="s">
        <v>4848</v>
      </c>
      <c r="AJ166" t="s">
        <v>4655</v>
      </c>
      <c r="AK166" t="s">
        <v>6419</v>
      </c>
      <c r="AL166" s="13" t="s">
        <v>2257</v>
      </c>
      <c r="AM166" s="14">
        <v>1</v>
      </c>
      <c r="AN166" s="15" t="s">
        <v>2273</v>
      </c>
    </row>
    <row r="167" spans="1:40" x14ac:dyDescent="0.3">
      <c r="A167" s="10" t="str">
        <f>HYPERLINK("http://www.washoecounty.gov/assessor/cama/?parid=002-481-12&amp;CardNumber=1","002-481-12")</f>
        <v>002-481-12</v>
      </c>
      <c r="B167" t="s">
        <v>4655</v>
      </c>
      <c r="C167" t="s">
        <v>6420</v>
      </c>
      <c r="D167" s="1">
        <v>40295</v>
      </c>
      <c r="E167" s="2">
        <v>155000</v>
      </c>
      <c r="F167" t="s">
        <v>4553</v>
      </c>
      <c r="G167" s="17" t="str">
        <f>HYPERLINK("https://www.washoecounty.gov/assessor/cama/?command=sales&amp;parid=00248112","3875051")</f>
        <v>3875051</v>
      </c>
      <c r="H167" t="s">
        <v>1677</v>
      </c>
      <c r="I167">
        <v>1977</v>
      </c>
      <c r="J167">
        <v>1977</v>
      </c>
      <c r="K167" t="s">
        <v>4554</v>
      </c>
      <c r="L167" t="s">
        <v>3886</v>
      </c>
      <c r="M167" s="2">
        <v>2056</v>
      </c>
      <c r="N167" t="s">
        <v>4048</v>
      </c>
      <c r="O167">
        <v>4</v>
      </c>
      <c r="P167">
        <v>3</v>
      </c>
      <c r="Q167">
        <v>0</v>
      </c>
      <c r="R167" t="s">
        <v>4557</v>
      </c>
      <c r="S167" t="s">
        <v>4558</v>
      </c>
      <c r="T167" t="s">
        <v>4559</v>
      </c>
      <c r="U167" t="s">
        <v>4560</v>
      </c>
      <c r="V167" s="2">
        <v>420</v>
      </c>
      <c r="W167" t="s">
        <v>4655</v>
      </c>
      <c r="X167" s="2">
        <v>0</v>
      </c>
      <c r="Y167">
        <v>20</v>
      </c>
      <c r="Z167" t="s">
        <v>4561</v>
      </c>
      <c r="AA167" s="3">
        <v>0.21999540925025901</v>
      </c>
      <c r="AB167" t="s">
        <v>6421</v>
      </c>
      <c r="AC167" t="s">
        <v>4575</v>
      </c>
      <c r="AD167" t="s">
        <v>6422</v>
      </c>
      <c r="AE167" t="s">
        <v>4655</v>
      </c>
      <c r="AF167" t="s">
        <v>4563</v>
      </c>
      <c r="AG167" t="s">
        <v>4564</v>
      </c>
      <c r="AH167">
        <v>89503</v>
      </c>
      <c r="AI167" t="s">
        <v>4565</v>
      </c>
      <c r="AJ167" t="s">
        <v>4655</v>
      </c>
      <c r="AK167" t="s">
        <v>6423</v>
      </c>
      <c r="AL167" s="13" t="s">
        <v>2255</v>
      </c>
      <c r="AM167" s="14">
        <v>1</v>
      </c>
      <c r="AN167" s="15" t="s">
        <v>4566</v>
      </c>
    </row>
    <row r="168" spans="1:40" x14ac:dyDescent="0.3">
      <c r="A168" s="10" t="str">
        <f>HYPERLINK("http://www.washoecounty.gov/assessor/cama/?parid=002-484-20&amp;CardNumber=1","002-484-20")</f>
        <v>002-484-20</v>
      </c>
      <c r="B168" t="s">
        <v>4655</v>
      </c>
      <c r="C168" t="s">
        <v>6424</v>
      </c>
      <c r="D168" s="1">
        <v>40529</v>
      </c>
      <c r="E168" s="2">
        <v>135000</v>
      </c>
      <c r="F168" t="s">
        <v>4567</v>
      </c>
      <c r="G168" s="17" t="str">
        <f>HYPERLINK("https://www.washoecounty.gov/assessor/cama/?command=sales&amp;parid=00248420","3954793")</f>
        <v>3954793</v>
      </c>
      <c r="H168" t="s">
        <v>1677</v>
      </c>
      <c r="I168">
        <v>1977</v>
      </c>
      <c r="J168">
        <v>1977</v>
      </c>
      <c r="K168" t="s">
        <v>4554</v>
      </c>
      <c r="L168" t="s">
        <v>3974</v>
      </c>
      <c r="M168" s="2">
        <v>1968</v>
      </c>
      <c r="N168" t="s">
        <v>4048</v>
      </c>
      <c r="O168">
        <v>3</v>
      </c>
      <c r="P168">
        <v>2</v>
      </c>
      <c r="Q168">
        <v>1</v>
      </c>
      <c r="R168" t="s">
        <v>4557</v>
      </c>
      <c r="S168" t="s">
        <v>4558</v>
      </c>
      <c r="T168" t="s">
        <v>4559</v>
      </c>
      <c r="U168" t="s">
        <v>5631</v>
      </c>
      <c r="V168" s="2">
        <v>624</v>
      </c>
      <c r="W168" t="s">
        <v>4655</v>
      </c>
      <c r="X168" s="2">
        <v>0</v>
      </c>
      <c r="Y168">
        <v>20</v>
      </c>
      <c r="Z168" t="s">
        <v>4561</v>
      </c>
      <c r="AA168" s="3">
        <v>0.25199723243713379</v>
      </c>
      <c r="AB168" t="s">
        <v>6425</v>
      </c>
      <c r="AC168" t="s">
        <v>4562</v>
      </c>
      <c r="AD168" t="s">
        <v>6424</v>
      </c>
      <c r="AE168" t="s">
        <v>4655</v>
      </c>
      <c r="AF168" t="s">
        <v>4563</v>
      </c>
      <c r="AG168" t="s">
        <v>4564</v>
      </c>
      <c r="AH168">
        <v>89503</v>
      </c>
      <c r="AI168" t="s">
        <v>6426</v>
      </c>
      <c r="AJ168" t="s">
        <v>4655</v>
      </c>
      <c r="AK168" t="s">
        <v>6427</v>
      </c>
      <c r="AL168" s="13" t="s">
        <v>2255</v>
      </c>
      <c r="AM168">
        <v>1</v>
      </c>
      <c r="AN168" s="15" t="s">
        <v>4566</v>
      </c>
    </row>
    <row r="169" spans="1:40" x14ac:dyDescent="0.3">
      <c r="A169" s="10" t="str">
        <f>HYPERLINK("http://www.washoecounty.gov/assessor/cama/?parid=002-484-23&amp;CardNumber=1","002-484-23")</f>
        <v>002-484-23</v>
      </c>
      <c r="B169" t="s">
        <v>4655</v>
      </c>
      <c r="C169" t="s">
        <v>6428</v>
      </c>
      <c r="D169" s="1">
        <v>40521</v>
      </c>
      <c r="E169" s="2">
        <v>180000</v>
      </c>
      <c r="F169" t="s">
        <v>4567</v>
      </c>
      <c r="G169" s="17" t="str">
        <f>HYPERLINK("https://www.washoecounty.gov/assessor/cama/?command=sales&amp;parid=00248423","3951799")</f>
        <v>3951799</v>
      </c>
      <c r="H169" t="s">
        <v>1677</v>
      </c>
      <c r="I169">
        <v>1976</v>
      </c>
      <c r="J169">
        <v>1976</v>
      </c>
      <c r="K169" t="s">
        <v>4554</v>
      </c>
      <c r="L169" t="s">
        <v>3886</v>
      </c>
      <c r="M169" s="2">
        <v>2056</v>
      </c>
      <c r="N169" t="s">
        <v>4048</v>
      </c>
      <c r="O169">
        <v>4</v>
      </c>
      <c r="P169">
        <v>3</v>
      </c>
      <c r="Q169">
        <v>0</v>
      </c>
      <c r="R169" t="s">
        <v>4557</v>
      </c>
      <c r="S169" t="s">
        <v>4558</v>
      </c>
      <c r="T169" t="s">
        <v>4559</v>
      </c>
      <c r="U169" t="s">
        <v>4560</v>
      </c>
      <c r="V169" s="2">
        <v>420</v>
      </c>
      <c r="W169" t="s">
        <v>4655</v>
      </c>
      <c r="X169" s="2">
        <v>0</v>
      </c>
      <c r="Y169">
        <v>20</v>
      </c>
      <c r="Z169" t="s">
        <v>4561</v>
      </c>
      <c r="AA169" s="3">
        <v>0.18700642883777599</v>
      </c>
      <c r="AB169" t="s">
        <v>6429</v>
      </c>
      <c r="AC169" t="s">
        <v>4575</v>
      </c>
      <c r="AD169" t="s">
        <v>6430</v>
      </c>
      <c r="AE169" t="s">
        <v>4655</v>
      </c>
      <c r="AF169" t="s">
        <v>4563</v>
      </c>
      <c r="AG169" t="s">
        <v>4564</v>
      </c>
      <c r="AH169">
        <v>89503</v>
      </c>
      <c r="AI169" t="s">
        <v>6431</v>
      </c>
      <c r="AJ169" t="s">
        <v>4655</v>
      </c>
      <c r="AK169" t="s">
        <v>6432</v>
      </c>
      <c r="AL169" s="13" t="s">
        <v>2255</v>
      </c>
      <c r="AM169">
        <v>1</v>
      </c>
      <c r="AN169" s="15" t="s">
        <v>4566</v>
      </c>
    </row>
    <row r="170" spans="1:40" x14ac:dyDescent="0.3">
      <c r="A170" s="10" t="str">
        <f>HYPERLINK("http://www.washoecounty.gov/assessor/cama/?parid=002-491-05&amp;CardNumber=1","002-491-05")</f>
        <v>002-491-05</v>
      </c>
      <c r="B170" t="s">
        <v>4655</v>
      </c>
      <c r="C170" t="s">
        <v>6433</v>
      </c>
      <c r="D170" s="1">
        <v>40431</v>
      </c>
      <c r="E170" s="2">
        <v>180000</v>
      </c>
      <c r="F170" t="s">
        <v>4553</v>
      </c>
      <c r="G170" s="17" t="str">
        <f>HYPERLINK("https://www.washoecounty.gov/assessor/cama/?command=sales&amp;parid=00249105","3921147")</f>
        <v>3921147</v>
      </c>
      <c r="H170" t="s">
        <v>1677</v>
      </c>
      <c r="I170">
        <v>1977</v>
      </c>
      <c r="J170">
        <v>1977</v>
      </c>
      <c r="K170" t="s">
        <v>4554</v>
      </c>
      <c r="L170" t="s">
        <v>3886</v>
      </c>
      <c r="M170" s="2">
        <v>2056</v>
      </c>
      <c r="N170" t="s">
        <v>4048</v>
      </c>
      <c r="O170">
        <v>3</v>
      </c>
      <c r="P170">
        <v>2</v>
      </c>
      <c r="Q170">
        <v>0</v>
      </c>
      <c r="R170" t="s">
        <v>4557</v>
      </c>
      <c r="S170" t="s">
        <v>4558</v>
      </c>
      <c r="T170" t="s">
        <v>4559</v>
      </c>
      <c r="U170" t="s">
        <v>4560</v>
      </c>
      <c r="V170" s="2">
        <v>420</v>
      </c>
      <c r="W170" t="s">
        <v>4655</v>
      </c>
      <c r="X170" s="2">
        <v>0</v>
      </c>
      <c r="Y170">
        <v>20</v>
      </c>
      <c r="Z170" t="s">
        <v>4561</v>
      </c>
      <c r="AA170" s="3">
        <v>0.207988977432251</v>
      </c>
      <c r="AB170" t="s">
        <v>6434</v>
      </c>
      <c r="AC170" t="s">
        <v>4562</v>
      </c>
      <c r="AD170" t="s">
        <v>6433</v>
      </c>
      <c r="AE170" t="s">
        <v>4655</v>
      </c>
      <c r="AF170" t="s">
        <v>4563</v>
      </c>
      <c r="AG170" t="s">
        <v>4564</v>
      </c>
      <c r="AH170">
        <v>89503</v>
      </c>
      <c r="AI170" t="s">
        <v>6435</v>
      </c>
      <c r="AJ170" t="s">
        <v>4655</v>
      </c>
      <c r="AK170" t="s">
        <v>6436</v>
      </c>
      <c r="AL170" s="13" t="s">
        <v>2255</v>
      </c>
      <c r="AM170" s="14">
        <v>1</v>
      </c>
      <c r="AN170" s="15" t="s">
        <v>4566</v>
      </c>
    </row>
    <row r="171" spans="1:40" x14ac:dyDescent="0.3">
      <c r="A171" s="10" t="str">
        <f>HYPERLINK("http://www.washoecounty.gov/assessor/cama/?parid=002-493-06&amp;CardNumber=1","002-493-06")</f>
        <v>002-493-06</v>
      </c>
      <c r="B171" t="s">
        <v>4655</v>
      </c>
      <c r="C171" t="s">
        <v>6437</v>
      </c>
      <c r="D171" s="1">
        <v>40266</v>
      </c>
      <c r="E171" s="2">
        <v>135000</v>
      </c>
      <c r="F171" t="s">
        <v>4553</v>
      </c>
      <c r="G171" s="17" t="str">
        <f>HYPERLINK("https://www.washoecounty.gov/assessor/cama/?command=sales&amp;parid=00249306","3865077")</f>
        <v>3865077</v>
      </c>
      <c r="H171" t="s">
        <v>1677</v>
      </c>
      <c r="I171">
        <v>1975</v>
      </c>
      <c r="J171">
        <v>1978</v>
      </c>
      <c r="K171" t="s">
        <v>4554</v>
      </c>
      <c r="L171" t="s">
        <v>3974</v>
      </c>
      <c r="M171" s="2">
        <v>2119</v>
      </c>
      <c r="N171" t="s">
        <v>4048</v>
      </c>
      <c r="O171">
        <v>4</v>
      </c>
      <c r="P171">
        <v>2</v>
      </c>
      <c r="Q171">
        <v>1</v>
      </c>
      <c r="R171" t="s">
        <v>5281</v>
      </c>
      <c r="S171" t="s">
        <v>4558</v>
      </c>
      <c r="T171" t="s">
        <v>4559</v>
      </c>
      <c r="U171" t="s">
        <v>4655</v>
      </c>
      <c r="V171" s="2">
        <v>0</v>
      </c>
      <c r="W171" t="s">
        <v>4655</v>
      </c>
      <c r="X171" s="2">
        <v>0</v>
      </c>
      <c r="Y171">
        <v>20</v>
      </c>
      <c r="Z171" t="s">
        <v>4561</v>
      </c>
      <c r="AA171" s="3">
        <v>0.16099633276462599</v>
      </c>
      <c r="AB171" t="s">
        <v>6438</v>
      </c>
      <c r="AC171" t="s">
        <v>4575</v>
      </c>
      <c r="AD171" t="s">
        <v>6437</v>
      </c>
      <c r="AE171" t="s">
        <v>4655</v>
      </c>
      <c r="AF171" t="s">
        <v>4563</v>
      </c>
      <c r="AG171" t="s">
        <v>4564</v>
      </c>
      <c r="AH171">
        <v>89503</v>
      </c>
      <c r="AI171" t="s">
        <v>4655</v>
      </c>
      <c r="AJ171" t="s">
        <v>4655</v>
      </c>
      <c r="AK171" t="s">
        <v>6439</v>
      </c>
      <c r="AL171" s="13" t="s">
        <v>2255</v>
      </c>
      <c r="AM171">
        <v>1</v>
      </c>
      <c r="AN171" s="15" t="s">
        <v>4566</v>
      </c>
    </row>
    <row r="172" spans="1:40" x14ac:dyDescent="0.3">
      <c r="A172" s="10" t="str">
        <f>HYPERLINK("http://www.washoecounty.gov/assessor/cama/?parid=002-494-04&amp;CardNumber=1","002-494-04")</f>
        <v>002-494-04</v>
      </c>
      <c r="B172" t="s">
        <v>4655</v>
      </c>
      <c r="C172" t="s">
        <v>6440</v>
      </c>
      <c r="D172" s="1">
        <v>40352</v>
      </c>
      <c r="E172" s="2">
        <v>115000</v>
      </c>
      <c r="F172" t="s">
        <v>4567</v>
      </c>
      <c r="G172" s="17" t="str">
        <f>HYPERLINK("https://www.washoecounty.gov/assessor/cama/?command=sales&amp;parid=00249404","3894599")</f>
        <v>3894599</v>
      </c>
      <c r="H172" t="s">
        <v>1677</v>
      </c>
      <c r="I172">
        <v>1977</v>
      </c>
      <c r="J172">
        <v>1977</v>
      </c>
      <c r="K172" t="s">
        <v>4554</v>
      </c>
      <c r="L172" t="s">
        <v>4555</v>
      </c>
      <c r="M172" s="2">
        <v>1186</v>
      </c>
      <c r="N172" t="s">
        <v>4048</v>
      </c>
      <c r="O172">
        <v>3</v>
      </c>
      <c r="P172">
        <v>1</v>
      </c>
      <c r="Q172">
        <v>1</v>
      </c>
      <c r="R172" t="s">
        <v>4557</v>
      </c>
      <c r="S172" t="s">
        <v>4558</v>
      </c>
      <c r="T172" t="s">
        <v>4559</v>
      </c>
      <c r="U172" t="s">
        <v>4560</v>
      </c>
      <c r="V172" s="2">
        <v>378</v>
      </c>
      <c r="W172" t="s">
        <v>4655</v>
      </c>
      <c r="X172" s="2">
        <v>0</v>
      </c>
      <c r="Y172">
        <v>20</v>
      </c>
      <c r="Z172" t="s">
        <v>4561</v>
      </c>
      <c r="AA172" s="3">
        <v>0.14600551128387501</v>
      </c>
      <c r="AB172" t="s">
        <v>6441</v>
      </c>
      <c r="AC172" t="s">
        <v>4562</v>
      </c>
      <c r="AD172" t="s">
        <v>6440</v>
      </c>
      <c r="AE172" t="s">
        <v>4655</v>
      </c>
      <c r="AF172" t="s">
        <v>4563</v>
      </c>
      <c r="AG172" t="s">
        <v>4564</v>
      </c>
      <c r="AH172">
        <v>89503</v>
      </c>
      <c r="AI172" t="s">
        <v>6442</v>
      </c>
      <c r="AJ172" t="s">
        <v>4655</v>
      </c>
      <c r="AK172" t="s">
        <v>6443</v>
      </c>
      <c r="AL172" s="13" t="s">
        <v>2255</v>
      </c>
      <c r="AM172" s="14">
        <v>1</v>
      </c>
      <c r="AN172" s="15" t="s">
        <v>4566</v>
      </c>
    </row>
    <row r="173" spans="1:40" x14ac:dyDescent="0.3">
      <c r="A173" s="10" t="str">
        <f>HYPERLINK("http://www.washoecounty.gov/assessor/cama/?parid=002-497-10&amp;CardNumber=1","002-497-10")</f>
        <v>002-497-10</v>
      </c>
      <c r="B173" t="s">
        <v>4655</v>
      </c>
      <c r="C173" t="s">
        <v>6444</v>
      </c>
      <c r="D173" s="1">
        <v>40371</v>
      </c>
      <c r="E173" s="2">
        <v>140000</v>
      </c>
      <c r="F173" t="s">
        <v>4567</v>
      </c>
      <c r="G173" s="17" t="str">
        <f>HYPERLINK("https://www.washoecounty.gov/assessor/cama/?command=sales&amp;parid=00249710","3900362")</f>
        <v>3900362</v>
      </c>
      <c r="H173" t="s">
        <v>1677</v>
      </c>
      <c r="I173">
        <v>1974</v>
      </c>
      <c r="J173">
        <v>1974</v>
      </c>
      <c r="K173" t="s">
        <v>4554</v>
      </c>
      <c r="L173" t="s">
        <v>4555</v>
      </c>
      <c r="M173" s="2">
        <v>1456</v>
      </c>
      <c r="N173" t="s">
        <v>4048</v>
      </c>
      <c r="O173">
        <v>3</v>
      </c>
      <c r="P173">
        <v>2</v>
      </c>
      <c r="Q173">
        <v>0</v>
      </c>
      <c r="R173" t="s">
        <v>4557</v>
      </c>
      <c r="S173" t="s">
        <v>4558</v>
      </c>
      <c r="T173" t="s">
        <v>4559</v>
      </c>
      <c r="U173" t="s">
        <v>4560</v>
      </c>
      <c r="V173" s="2">
        <v>440</v>
      </c>
      <c r="W173" t="s">
        <v>4655</v>
      </c>
      <c r="X173" s="2">
        <v>0</v>
      </c>
      <c r="Y173">
        <v>20</v>
      </c>
      <c r="Z173" t="s">
        <v>4561</v>
      </c>
      <c r="AA173" s="3">
        <v>0.14201101660728499</v>
      </c>
      <c r="AB173" t="s">
        <v>6445</v>
      </c>
      <c r="AC173" t="s">
        <v>4562</v>
      </c>
      <c r="AD173" t="s">
        <v>6444</v>
      </c>
      <c r="AE173" t="s">
        <v>4655</v>
      </c>
      <c r="AF173" t="s">
        <v>4563</v>
      </c>
      <c r="AG173" t="s">
        <v>4564</v>
      </c>
      <c r="AH173">
        <v>89503</v>
      </c>
      <c r="AI173" t="s">
        <v>6446</v>
      </c>
      <c r="AJ173" t="s">
        <v>4655</v>
      </c>
      <c r="AK173" t="s">
        <v>6447</v>
      </c>
      <c r="AL173" s="13" t="s">
        <v>2255</v>
      </c>
      <c r="AM173">
        <v>1</v>
      </c>
      <c r="AN173" s="15" t="s">
        <v>4566</v>
      </c>
    </row>
    <row r="174" spans="1:40" x14ac:dyDescent="0.3">
      <c r="A174" s="10" t="str">
        <f>HYPERLINK("http://www.washoecounty.gov/assessor/cama/?parid=002-498-03&amp;CardNumber=1","002-498-03")</f>
        <v>002-498-03</v>
      </c>
      <c r="B174" t="s">
        <v>4655</v>
      </c>
      <c r="C174" t="s">
        <v>6448</v>
      </c>
      <c r="D174" s="1">
        <v>40325</v>
      </c>
      <c r="E174" s="2">
        <v>144000</v>
      </c>
      <c r="F174" t="s">
        <v>4553</v>
      </c>
      <c r="G174" s="17" t="str">
        <f>HYPERLINK("https://www.washoecounty.gov/assessor/cama/?command=sales&amp;parid=00249803","3885973")</f>
        <v>3885973</v>
      </c>
      <c r="H174" t="s">
        <v>1677</v>
      </c>
      <c r="I174">
        <v>1977</v>
      </c>
      <c r="J174">
        <v>1977</v>
      </c>
      <c r="K174" t="s">
        <v>4554</v>
      </c>
      <c r="L174" t="s">
        <v>4555</v>
      </c>
      <c r="M174" s="2">
        <v>1528</v>
      </c>
      <c r="N174" t="s">
        <v>4048</v>
      </c>
      <c r="O174">
        <v>4</v>
      </c>
      <c r="P174">
        <v>2</v>
      </c>
      <c r="Q174">
        <v>0</v>
      </c>
      <c r="R174" t="s">
        <v>4557</v>
      </c>
      <c r="S174" t="s">
        <v>4558</v>
      </c>
      <c r="T174" t="s">
        <v>4559</v>
      </c>
      <c r="U174" t="s">
        <v>4560</v>
      </c>
      <c r="V174" s="2">
        <v>500</v>
      </c>
      <c r="W174" t="s">
        <v>4655</v>
      </c>
      <c r="X174" s="2">
        <v>0</v>
      </c>
      <c r="Y174">
        <v>20</v>
      </c>
      <c r="Z174" t="s">
        <v>4561</v>
      </c>
      <c r="AA174" s="3">
        <v>0.14898990094661699</v>
      </c>
      <c r="AB174" t="s">
        <v>6449</v>
      </c>
      <c r="AC174" t="s">
        <v>4562</v>
      </c>
      <c r="AD174" t="s">
        <v>6448</v>
      </c>
      <c r="AE174" t="s">
        <v>4655</v>
      </c>
      <c r="AF174" t="s">
        <v>4563</v>
      </c>
      <c r="AG174" t="s">
        <v>4564</v>
      </c>
      <c r="AH174">
        <v>89503</v>
      </c>
      <c r="AI174" t="s">
        <v>4045</v>
      </c>
      <c r="AJ174" t="s">
        <v>4655</v>
      </c>
      <c r="AK174" t="s">
        <v>6450</v>
      </c>
      <c r="AL174" s="13" t="s">
        <v>2255</v>
      </c>
      <c r="AM174" s="14">
        <v>1</v>
      </c>
      <c r="AN174" s="15" t="s">
        <v>4566</v>
      </c>
    </row>
    <row r="175" spans="1:40" x14ac:dyDescent="0.3">
      <c r="A175" s="10" t="str">
        <f>HYPERLINK("http://www.washoecounty.gov/assessor/cama/?parid=002-498-23&amp;CardNumber=1","002-498-23")</f>
        <v>002-498-23</v>
      </c>
      <c r="B175" t="s">
        <v>4655</v>
      </c>
      <c r="C175" t="s">
        <v>5420</v>
      </c>
      <c r="D175" s="1">
        <v>40540</v>
      </c>
      <c r="E175" s="2">
        <v>98000</v>
      </c>
      <c r="F175" t="s">
        <v>4553</v>
      </c>
      <c r="G175" s="17" t="str">
        <f>HYPERLINK("https://www.washoecounty.gov/assessor/cama/?command=sales&amp;parid=00249823","3957872")</f>
        <v>3957872</v>
      </c>
      <c r="H175" t="s">
        <v>1677</v>
      </c>
      <c r="I175">
        <v>1976</v>
      </c>
      <c r="J175">
        <v>1976</v>
      </c>
      <c r="K175" t="s">
        <v>4554</v>
      </c>
      <c r="L175" t="s">
        <v>3974</v>
      </c>
      <c r="M175" s="2">
        <v>1630</v>
      </c>
      <c r="N175" t="s">
        <v>4048</v>
      </c>
      <c r="O175">
        <v>4</v>
      </c>
      <c r="P175">
        <v>2</v>
      </c>
      <c r="Q175">
        <v>0</v>
      </c>
      <c r="R175" t="s">
        <v>5281</v>
      </c>
      <c r="S175" t="s">
        <v>4558</v>
      </c>
      <c r="T175" t="s">
        <v>4559</v>
      </c>
      <c r="U175" t="s">
        <v>4560</v>
      </c>
      <c r="V175" s="2">
        <v>462</v>
      </c>
      <c r="W175" t="s">
        <v>4655</v>
      </c>
      <c r="X175" s="2">
        <v>0</v>
      </c>
      <c r="Y175">
        <v>20</v>
      </c>
      <c r="Z175" t="s">
        <v>4561</v>
      </c>
      <c r="AA175" s="3">
        <v>0.14898990094661699</v>
      </c>
      <c r="AB175" t="s">
        <v>255</v>
      </c>
      <c r="AC175" t="s">
        <v>4575</v>
      </c>
      <c r="AD175" t="s">
        <v>5420</v>
      </c>
      <c r="AE175" t="s">
        <v>4655</v>
      </c>
      <c r="AF175" t="s">
        <v>4563</v>
      </c>
      <c r="AG175" t="s">
        <v>4564</v>
      </c>
      <c r="AH175">
        <v>89503</v>
      </c>
      <c r="AI175" t="s">
        <v>255</v>
      </c>
      <c r="AJ175" t="s">
        <v>4655</v>
      </c>
      <c r="AK175" t="s">
        <v>5421</v>
      </c>
      <c r="AL175" s="13" t="s">
        <v>2255</v>
      </c>
      <c r="AM175">
        <v>1</v>
      </c>
      <c r="AN175" s="15" t="s">
        <v>4566</v>
      </c>
    </row>
    <row r="176" spans="1:40" x14ac:dyDescent="0.3">
      <c r="A176" s="10" t="str">
        <f>HYPERLINK("http://www.washoecounty.gov/assessor/cama/?parid=002-505-01&amp;CardNumber=1","002-505-01")</f>
        <v>002-505-01</v>
      </c>
      <c r="B176" t="s">
        <v>4655</v>
      </c>
      <c r="C176" t="s">
        <v>6451</v>
      </c>
      <c r="D176" s="1">
        <v>40198</v>
      </c>
      <c r="E176" s="2">
        <v>176000</v>
      </c>
      <c r="F176" t="s">
        <v>4567</v>
      </c>
      <c r="G176" s="17" t="str">
        <f>HYPERLINK("https://www.washoecounty.gov/assessor/cama/?command=sales&amp;parid=00250501","3841309")</f>
        <v>3841309</v>
      </c>
      <c r="H176" t="s">
        <v>1677</v>
      </c>
      <c r="I176">
        <v>1976</v>
      </c>
      <c r="J176">
        <v>1980</v>
      </c>
      <c r="K176" t="s">
        <v>4554</v>
      </c>
      <c r="L176" t="s">
        <v>4555</v>
      </c>
      <c r="M176" s="2">
        <v>1852</v>
      </c>
      <c r="N176" t="s">
        <v>4048</v>
      </c>
      <c r="O176">
        <v>3</v>
      </c>
      <c r="P176">
        <v>2</v>
      </c>
      <c r="Q176">
        <v>0</v>
      </c>
      <c r="R176" t="s">
        <v>5281</v>
      </c>
      <c r="S176" t="s">
        <v>4558</v>
      </c>
      <c r="T176" t="s">
        <v>4559</v>
      </c>
      <c r="U176" t="s">
        <v>4560</v>
      </c>
      <c r="V176" s="2">
        <v>420</v>
      </c>
      <c r="W176" t="s">
        <v>4655</v>
      </c>
      <c r="X176" s="2">
        <v>0</v>
      </c>
      <c r="Y176">
        <v>20</v>
      </c>
      <c r="Z176" t="s">
        <v>4561</v>
      </c>
      <c r="AA176" s="3">
        <v>0.18099173903465299</v>
      </c>
      <c r="AB176" t="s">
        <v>6452</v>
      </c>
      <c r="AC176" t="s">
        <v>4575</v>
      </c>
      <c r="AD176" t="s">
        <v>6451</v>
      </c>
      <c r="AE176" t="s">
        <v>4655</v>
      </c>
      <c r="AF176" t="s">
        <v>4563</v>
      </c>
      <c r="AG176" t="s">
        <v>4564</v>
      </c>
      <c r="AH176">
        <v>89503</v>
      </c>
      <c r="AI176" t="s">
        <v>6453</v>
      </c>
      <c r="AJ176" t="s">
        <v>4655</v>
      </c>
      <c r="AK176" t="s">
        <v>6454</v>
      </c>
      <c r="AL176" s="13" t="s">
        <v>2255</v>
      </c>
      <c r="AM176" s="14">
        <v>1</v>
      </c>
      <c r="AN176" s="15" t="s">
        <v>4566</v>
      </c>
    </row>
    <row r="177" spans="1:40" x14ac:dyDescent="0.3">
      <c r="A177" s="10" t="str">
        <f>HYPERLINK("http://www.washoecounty.gov/assessor/cama/?parid=002-512-04&amp;CardNumber=1","002-512-04")</f>
        <v>002-512-04</v>
      </c>
      <c r="B177" t="s">
        <v>4655</v>
      </c>
      <c r="C177" t="s">
        <v>6455</v>
      </c>
      <c r="D177" s="1">
        <v>40324</v>
      </c>
      <c r="E177" s="2">
        <v>173000</v>
      </c>
      <c r="F177" t="s">
        <v>4567</v>
      </c>
      <c r="G177" s="17" t="str">
        <f>HYPERLINK("https://www.washoecounty.gov/assessor/cama/?command=sales&amp;parid=00251204","3885643")</f>
        <v>3885643</v>
      </c>
      <c r="H177" t="s">
        <v>3340</v>
      </c>
      <c r="I177">
        <v>1978</v>
      </c>
      <c r="J177">
        <v>1978</v>
      </c>
      <c r="K177" t="s">
        <v>4554</v>
      </c>
      <c r="L177" t="s">
        <v>4555</v>
      </c>
      <c r="M177" s="2">
        <v>1610</v>
      </c>
      <c r="N177" t="s">
        <v>4048</v>
      </c>
      <c r="O177">
        <v>3</v>
      </c>
      <c r="P177">
        <v>2</v>
      </c>
      <c r="Q177">
        <v>0</v>
      </c>
      <c r="R177" t="s">
        <v>4557</v>
      </c>
      <c r="S177" t="s">
        <v>4558</v>
      </c>
      <c r="T177" t="s">
        <v>4559</v>
      </c>
      <c r="U177" t="s">
        <v>4560</v>
      </c>
      <c r="V177" s="2">
        <v>456</v>
      </c>
      <c r="W177" t="s">
        <v>4655</v>
      </c>
      <c r="X177" s="2">
        <v>0</v>
      </c>
      <c r="Y177">
        <v>20</v>
      </c>
      <c r="Z177" t="s">
        <v>4561</v>
      </c>
      <c r="AA177" s="3">
        <v>0.36499083042144798</v>
      </c>
      <c r="AB177" t="s">
        <v>6456</v>
      </c>
      <c r="AC177" t="s">
        <v>4562</v>
      </c>
      <c r="AD177" t="s">
        <v>6455</v>
      </c>
      <c r="AE177" t="s">
        <v>4655</v>
      </c>
      <c r="AF177" t="s">
        <v>4563</v>
      </c>
      <c r="AG177" t="s">
        <v>4564</v>
      </c>
      <c r="AH177">
        <v>89503</v>
      </c>
      <c r="AI177" t="s">
        <v>6457</v>
      </c>
      <c r="AJ177" t="s">
        <v>4655</v>
      </c>
      <c r="AK177" t="s">
        <v>6458</v>
      </c>
      <c r="AL177" s="13" t="s">
        <v>2255</v>
      </c>
      <c r="AM177" s="14">
        <v>1</v>
      </c>
      <c r="AN177" s="15" t="s">
        <v>4566</v>
      </c>
    </row>
    <row r="178" spans="1:40" x14ac:dyDescent="0.3">
      <c r="A178" s="10" t="str">
        <f>HYPERLINK("http://www.washoecounty.gov/assessor/cama/?parid=002-512-09&amp;CardNumber=1","002-512-09")</f>
        <v>002-512-09</v>
      </c>
      <c r="B178" t="s">
        <v>4655</v>
      </c>
      <c r="C178" t="s">
        <v>6459</v>
      </c>
      <c r="D178" s="1">
        <v>40389</v>
      </c>
      <c r="E178" s="2">
        <v>224000</v>
      </c>
      <c r="F178" t="s">
        <v>4567</v>
      </c>
      <c r="G178" s="17" t="str">
        <f>HYPERLINK("https://www.washoecounty.gov/assessor/cama/?command=sales&amp;parid=00251209","3907466")</f>
        <v>3907466</v>
      </c>
      <c r="H178" t="s">
        <v>1677</v>
      </c>
      <c r="I178">
        <v>1977</v>
      </c>
      <c r="J178">
        <v>1977</v>
      </c>
      <c r="K178" t="s">
        <v>4554</v>
      </c>
      <c r="L178" t="s">
        <v>4555</v>
      </c>
      <c r="M178" s="2">
        <v>1440</v>
      </c>
      <c r="N178" t="s">
        <v>4048</v>
      </c>
      <c r="O178">
        <v>3</v>
      </c>
      <c r="P178">
        <v>2</v>
      </c>
      <c r="Q178">
        <v>0</v>
      </c>
      <c r="R178" t="s">
        <v>5281</v>
      </c>
      <c r="S178" t="s">
        <v>4558</v>
      </c>
      <c r="T178" t="s">
        <v>4559</v>
      </c>
      <c r="U178" t="s">
        <v>4560</v>
      </c>
      <c r="V178" s="2">
        <v>456</v>
      </c>
      <c r="W178" t="s">
        <v>4655</v>
      </c>
      <c r="X178" s="2">
        <v>0</v>
      </c>
      <c r="Y178">
        <v>20</v>
      </c>
      <c r="Z178" t="s">
        <v>4561</v>
      </c>
      <c r="AA178" s="3">
        <v>0.15500459074974099</v>
      </c>
      <c r="AB178" t="s">
        <v>6460</v>
      </c>
      <c r="AC178" t="s">
        <v>4562</v>
      </c>
      <c r="AD178" t="s">
        <v>6459</v>
      </c>
      <c r="AE178" t="s">
        <v>4655</v>
      </c>
      <c r="AF178" t="s">
        <v>4563</v>
      </c>
      <c r="AG178" t="s">
        <v>4564</v>
      </c>
      <c r="AH178" t="s">
        <v>1147</v>
      </c>
      <c r="AI178" t="s">
        <v>6461</v>
      </c>
      <c r="AJ178" t="s">
        <v>4655</v>
      </c>
      <c r="AK178" t="s">
        <v>6462</v>
      </c>
      <c r="AL178" s="13" t="s">
        <v>2255</v>
      </c>
      <c r="AM178">
        <v>1</v>
      </c>
      <c r="AN178" s="15" t="s">
        <v>4566</v>
      </c>
    </row>
    <row r="179" spans="1:40" x14ac:dyDescent="0.3">
      <c r="A179" s="10" t="str">
        <f>HYPERLINK("http://www.washoecounty.gov/assessor/cama/?parid=002-512-18&amp;CardNumber=1","002-512-18")</f>
        <v>002-512-18</v>
      </c>
      <c r="B179" t="s">
        <v>4655</v>
      </c>
      <c r="C179" t="s">
        <v>6463</v>
      </c>
      <c r="D179" s="1">
        <v>40281</v>
      </c>
      <c r="E179" s="2">
        <v>159000</v>
      </c>
      <c r="F179" t="s">
        <v>4567</v>
      </c>
      <c r="G179" s="17" t="str">
        <f>HYPERLINK("https://www.washoecounty.gov/assessor/cama/?command=sales&amp;parid=00251218","3870598")</f>
        <v>3870598</v>
      </c>
      <c r="H179" t="s">
        <v>1677</v>
      </c>
      <c r="I179">
        <v>1977</v>
      </c>
      <c r="J179">
        <v>1977</v>
      </c>
      <c r="K179" t="s">
        <v>4554</v>
      </c>
      <c r="L179" t="s">
        <v>4555</v>
      </c>
      <c r="M179" s="2">
        <v>1378</v>
      </c>
      <c r="N179" t="s">
        <v>4048</v>
      </c>
      <c r="O179">
        <v>3</v>
      </c>
      <c r="P179">
        <v>2</v>
      </c>
      <c r="Q179">
        <v>0</v>
      </c>
      <c r="R179" t="s">
        <v>4557</v>
      </c>
      <c r="S179" t="s">
        <v>4558</v>
      </c>
      <c r="T179" t="s">
        <v>4559</v>
      </c>
      <c r="U179" t="s">
        <v>4560</v>
      </c>
      <c r="V179" s="2">
        <v>456</v>
      </c>
      <c r="W179" t="s">
        <v>4655</v>
      </c>
      <c r="X179" s="2">
        <v>0</v>
      </c>
      <c r="Y179">
        <v>20</v>
      </c>
      <c r="Z179" t="s">
        <v>4561</v>
      </c>
      <c r="AA179" s="3">
        <v>0.14499540627002699</v>
      </c>
      <c r="AB179" t="s">
        <v>6464</v>
      </c>
      <c r="AC179" t="s">
        <v>4562</v>
      </c>
      <c r="AD179" t="s">
        <v>6465</v>
      </c>
      <c r="AE179" t="s">
        <v>4655</v>
      </c>
      <c r="AF179" t="s">
        <v>6466</v>
      </c>
      <c r="AG179" t="s">
        <v>4564</v>
      </c>
      <c r="AH179">
        <v>89004</v>
      </c>
      <c r="AI179" t="s">
        <v>6467</v>
      </c>
      <c r="AJ179" t="s">
        <v>4655</v>
      </c>
      <c r="AK179" t="s">
        <v>6468</v>
      </c>
      <c r="AL179" s="13" t="s">
        <v>2255</v>
      </c>
      <c r="AM179" s="14">
        <v>1</v>
      </c>
      <c r="AN179" s="15" t="s">
        <v>4566</v>
      </c>
    </row>
    <row r="180" spans="1:40" x14ac:dyDescent="0.3">
      <c r="A180" s="10" t="str">
        <f>HYPERLINK("http://www.washoecounty.gov/assessor/cama/?parid=002-521-15&amp;CardNumber=1","002-521-15")</f>
        <v>002-521-15</v>
      </c>
      <c r="B180" t="s">
        <v>4655</v>
      </c>
      <c r="C180" t="s">
        <v>6469</v>
      </c>
      <c r="D180" s="1">
        <v>40210</v>
      </c>
      <c r="E180" s="2">
        <v>292500</v>
      </c>
      <c r="F180" t="s">
        <v>4553</v>
      </c>
      <c r="G180" s="17" t="str">
        <f>HYPERLINK("https://www.washoecounty.gov/assessor/cama/?command=sales&amp;parid=00252115","3844676")</f>
        <v>3844676</v>
      </c>
      <c r="H180" t="s">
        <v>1208</v>
      </c>
      <c r="I180">
        <v>1995</v>
      </c>
      <c r="J180">
        <v>1995</v>
      </c>
      <c r="K180" t="s">
        <v>4554</v>
      </c>
      <c r="L180" t="s">
        <v>4555</v>
      </c>
      <c r="M180" s="2">
        <v>2309</v>
      </c>
      <c r="N180" t="s">
        <v>5280</v>
      </c>
      <c r="O180">
        <v>4</v>
      </c>
      <c r="P180">
        <v>2</v>
      </c>
      <c r="Q180">
        <v>1</v>
      </c>
      <c r="R180" t="s">
        <v>5281</v>
      </c>
      <c r="S180" t="s">
        <v>4558</v>
      </c>
      <c r="T180" t="s">
        <v>4559</v>
      </c>
      <c r="U180" t="s">
        <v>4560</v>
      </c>
      <c r="V180" s="2">
        <v>612</v>
      </c>
      <c r="W180" t="s">
        <v>4655</v>
      </c>
      <c r="X180" s="2">
        <v>0</v>
      </c>
      <c r="Y180">
        <v>20</v>
      </c>
      <c r="Z180" t="s">
        <v>4561</v>
      </c>
      <c r="AA180" s="3">
        <v>0.23799356818199158</v>
      </c>
      <c r="AB180" t="s">
        <v>6470</v>
      </c>
      <c r="AC180" t="s">
        <v>4562</v>
      </c>
      <c r="AD180" t="s">
        <v>6471</v>
      </c>
      <c r="AE180" t="s">
        <v>4655</v>
      </c>
      <c r="AF180" t="s">
        <v>4563</v>
      </c>
      <c r="AG180" t="s">
        <v>4564</v>
      </c>
      <c r="AH180">
        <v>89503</v>
      </c>
      <c r="AI180" t="s">
        <v>359</v>
      </c>
      <c r="AJ180" t="s">
        <v>360</v>
      </c>
      <c r="AK180" t="s">
        <v>6472</v>
      </c>
      <c r="AL180" s="13" t="s">
        <v>2257</v>
      </c>
      <c r="AM180">
        <v>1</v>
      </c>
      <c r="AN180" s="15" t="s">
        <v>361</v>
      </c>
    </row>
    <row r="181" spans="1:40" x14ac:dyDescent="0.3">
      <c r="A181" s="10" t="str">
        <f>HYPERLINK("http://www.washoecounty.gov/assessor/cama/?parid=002-542-18&amp;CardNumber=1","002-542-18")</f>
        <v>002-542-18</v>
      </c>
      <c r="B181" t="s">
        <v>4655</v>
      </c>
      <c r="C181" t="s">
        <v>6473</v>
      </c>
      <c r="D181" s="1">
        <v>40389</v>
      </c>
      <c r="E181" s="2">
        <v>230000</v>
      </c>
      <c r="F181" t="s">
        <v>4567</v>
      </c>
      <c r="G181" s="17" t="str">
        <f>HYPERLINK("https://www.washoecounty.gov/assessor/cama/?command=sales&amp;parid=00254218","3907061")</f>
        <v>3907061</v>
      </c>
      <c r="H181" t="s">
        <v>1518</v>
      </c>
      <c r="I181">
        <v>2001</v>
      </c>
      <c r="J181">
        <v>2001</v>
      </c>
      <c r="K181" t="s">
        <v>4554</v>
      </c>
      <c r="L181" t="s">
        <v>4555</v>
      </c>
      <c r="M181" s="2">
        <v>1740</v>
      </c>
      <c r="N181" t="s">
        <v>5280</v>
      </c>
      <c r="O181">
        <v>3</v>
      </c>
      <c r="P181">
        <v>2</v>
      </c>
      <c r="Q181">
        <v>0</v>
      </c>
      <c r="R181" t="s">
        <v>5281</v>
      </c>
      <c r="S181" t="s">
        <v>4558</v>
      </c>
      <c r="T181" t="s">
        <v>4559</v>
      </c>
      <c r="U181" t="s">
        <v>4560</v>
      </c>
      <c r="V181" s="2">
        <v>474</v>
      </c>
      <c r="W181" t="s">
        <v>4655</v>
      </c>
      <c r="X181" s="2">
        <v>0</v>
      </c>
      <c r="Y181">
        <v>20</v>
      </c>
      <c r="Z181" t="s">
        <v>4561</v>
      </c>
      <c r="AA181" s="3">
        <v>0.19100092351436601</v>
      </c>
      <c r="AB181" t="s">
        <v>6474</v>
      </c>
      <c r="AC181" t="s">
        <v>4575</v>
      </c>
      <c r="AD181" t="s">
        <v>6475</v>
      </c>
      <c r="AE181" t="s">
        <v>4655</v>
      </c>
      <c r="AF181" t="s">
        <v>4563</v>
      </c>
      <c r="AG181" t="s">
        <v>4564</v>
      </c>
      <c r="AH181" t="s">
        <v>2330</v>
      </c>
      <c r="AI181" t="s">
        <v>6476</v>
      </c>
      <c r="AJ181" t="s">
        <v>1519</v>
      </c>
      <c r="AK181" t="s">
        <v>6477</v>
      </c>
      <c r="AL181" s="13" t="s">
        <v>2255</v>
      </c>
      <c r="AM181">
        <v>1</v>
      </c>
      <c r="AN181" s="15" t="s">
        <v>361</v>
      </c>
    </row>
    <row r="182" spans="1:40" x14ac:dyDescent="0.3">
      <c r="A182" s="10" t="str">
        <f>HYPERLINK("http://www.washoecounty.gov/assessor/cama/?parid=002-543-11&amp;CardNumber=1","002-543-11")</f>
        <v>002-543-11</v>
      </c>
      <c r="B182" t="s">
        <v>4655</v>
      </c>
      <c r="C182" t="s">
        <v>6478</v>
      </c>
      <c r="D182" s="1">
        <v>40354</v>
      </c>
      <c r="E182" s="2">
        <v>202500</v>
      </c>
      <c r="F182" t="s">
        <v>4553</v>
      </c>
      <c r="G182" s="17" t="str">
        <f>HYPERLINK("https://www.washoecounty.gov/assessor/cama/?command=sales&amp;parid=00254311","3895440")</f>
        <v>3895440</v>
      </c>
      <c r="H182" t="s">
        <v>1518</v>
      </c>
      <c r="I182">
        <v>2001</v>
      </c>
      <c r="J182">
        <v>2001</v>
      </c>
      <c r="K182" t="s">
        <v>4554</v>
      </c>
      <c r="L182" t="s">
        <v>4555</v>
      </c>
      <c r="M182" s="2">
        <v>1543</v>
      </c>
      <c r="N182" t="s">
        <v>5280</v>
      </c>
      <c r="O182">
        <v>3</v>
      </c>
      <c r="P182">
        <v>2</v>
      </c>
      <c r="Q182">
        <v>0</v>
      </c>
      <c r="R182" t="s">
        <v>5281</v>
      </c>
      <c r="S182" t="s">
        <v>4558</v>
      </c>
      <c r="T182" t="s">
        <v>4559</v>
      </c>
      <c r="U182" t="s">
        <v>4560</v>
      </c>
      <c r="V182" s="2">
        <v>552</v>
      </c>
      <c r="W182" t="s">
        <v>4655</v>
      </c>
      <c r="X182" s="2">
        <v>0</v>
      </c>
      <c r="Y182">
        <v>20</v>
      </c>
      <c r="Z182" t="s">
        <v>4561</v>
      </c>
      <c r="AA182" s="3">
        <v>0.15599173307418801</v>
      </c>
      <c r="AB182" t="s">
        <v>6479</v>
      </c>
      <c r="AC182" t="s">
        <v>4562</v>
      </c>
      <c r="AD182" t="s">
        <v>6478</v>
      </c>
      <c r="AE182" t="s">
        <v>4655</v>
      </c>
      <c r="AF182" t="s">
        <v>4563</v>
      </c>
      <c r="AG182" t="s">
        <v>4564</v>
      </c>
      <c r="AH182">
        <v>89503</v>
      </c>
      <c r="AI182" t="s">
        <v>949</v>
      </c>
      <c r="AJ182" t="s">
        <v>1519</v>
      </c>
      <c r="AK182" t="s">
        <v>6480</v>
      </c>
      <c r="AL182" s="13" t="s">
        <v>2255</v>
      </c>
      <c r="AM182">
        <v>1</v>
      </c>
      <c r="AN182" s="15" t="s">
        <v>361</v>
      </c>
    </row>
    <row r="183" spans="1:40" x14ac:dyDescent="0.3">
      <c r="A183" s="10" t="str">
        <f>HYPERLINK("http://www.washoecounty.gov/assessor/cama/?parid=002-543-16&amp;CardNumber=1","002-543-16")</f>
        <v>002-543-16</v>
      </c>
      <c r="B183" t="s">
        <v>4655</v>
      </c>
      <c r="C183" t="s">
        <v>6481</v>
      </c>
      <c r="D183" s="1">
        <v>40416</v>
      </c>
      <c r="E183" s="2">
        <v>219900</v>
      </c>
      <c r="F183" t="s">
        <v>4553</v>
      </c>
      <c r="G183" s="17" t="str">
        <f>HYPERLINK("https://www.washoecounty.gov/assessor/cama/?command=sales&amp;parid=00254316","3915838")</f>
        <v>3915838</v>
      </c>
      <c r="H183" t="s">
        <v>1518</v>
      </c>
      <c r="I183">
        <v>2001</v>
      </c>
      <c r="J183">
        <v>2001</v>
      </c>
      <c r="K183" t="s">
        <v>4554</v>
      </c>
      <c r="L183" t="s">
        <v>4555</v>
      </c>
      <c r="M183" s="2">
        <v>1740</v>
      </c>
      <c r="N183" t="s">
        <v>5280</v>
      </c>
      <c r="O183">
        <v>3</v>
      </c>
      <c r="P183">
        <v>2</v>
      </c>
      <c r="Q183">
        <v>0</v>
      </c>
      <c r="R183" t="s">
        <v>5281</v>
      </c>
      <c r="S183" t="s">
        <v>4558</v>
      </c>
      <c r="T183" t="s">
        <v>4559</v>
      </c>
      <c r="U183" t="s">
        <v>4560</v>
      </c>
      <c r="V183" s="2">
        <v>474</v>
      </c>
      <c r="W183" t="s">
        <v>4655</v>
      </c>
      <c r="X183" s="2">
        <v>0</v>
      </c>
      <c r="Y183">
        <v>20</v>
      </c>
      <c r="Z183" t="s">
        <v>4561</v>
      </c>
      <c r="AA183" s="3">
        <v>0.14600551128387501</v>
      </c>
      <c r="AB183" t="s">
        <v>6482</v>
      </c>
      <c r="AC183" t="s">
        <v>4575</v>
      </c>
      <c r="AD183" t="s">
        <v>6483</v>
      </c>
      <c r="AE183" t="s">
        <v>6484</v>
      </c>
      <c r="AF183" t="s">
        <v>930</v>
      </c>
      <c r="AG183" t="s">
        <v>1188</v>
      </c>
      <c r="AH183">
        <v>99508</v>
      </c>
      <c r="AI183" t="s">
        <v>2351</v>
      </c>
      <c r="AJ183" t="s">
        <v>1519</v>
      </c>
      <c r="AK183" t="s">
        <v>6485</v>
      </c>
      <c r="AL183" s="13" t="s">
        <v>2255</v>
      </c>
      <c r="AM183" s="14">
        <v>1</v>
      </c>
      <c r="AN183" s="15" t="s">
        <v>361</v>
      </c>
    </row>
    <row r="184" spans="1:40" x14ac:dyDescent="0.3">
      <c r="A184" s="10" t="str">
        <f>HYPERLINK("http://www.washoecounty.gov/assessor/cama/?parid=002-551-11&amp;CardNumber=1","002-551-11")</f>
        <v>002-551-11</v>
      </c>
      <c r="B184" t="s">
        <v>4655</v>
      </c>
      <c r="C184" t="s">
        <v>6486</v>
      </c>
      <c r="D184" s="1">
        <v>40254</v>
      </c>
      <c r="E184" s="2">
        <v>189900</v>
      </c>
      <c r="F184" t="s">
        <v>4567</v>
      </c>
      <c r="G184" s="17" t="str">
        <f>HYPERLINK("https://www.washoecounty.gov/assessor/cama/?command=sales&amp;parid=00255111","3860577")</f>
        <v>3860577</v>
      </c>
      <c r="H184" t="s">
        <v>6487</v>
      </c>
      <c r="I184">
        <v>2004</v>
      </c>
      <c r="J184">
        <v>2004</v>
      </c>
      <c r="K184" t="s">
        <v>4554</v>
      </c>
      <c r="L184" t="s">
        <v>4555</v>
      </c>
      <c r="M184" s="2">
        <v>1553</v>
      </c>
      <c r="N184" t="s">
        <v>5280</v>
      </c>
      <c r="O184">
        <v>3</v>
      </c>
      <c r="P184">
        <v>2</v>
      </c>
      <c r="Q184">
        <v>0</v>
      </c>
      <c r="R184" t="s">
        <v>5281</v>
      </c>
      <c r="S184" t="s">
        <v>4898</v>
      </c>
      <c r="T184" t="s">
        <v>4559</v>
      </c>
      <c r="U184" t="s">
        <v>4560</v>
      </c>
      <c r="V184" s="2">
        <v>552</v>
      </c>
      <c r="W184" t="s">
        <v>4655</v>
      </c>
      <c r="X184" s="2">
        <v>0</v>
      </c>
      <c r="Y184">
        <v>20</v>
      </c>
      <c r="Z184" t="s">
        <v>4561</v>
      </c>
      <c r="AA184" s="3">
        <v>0.137741044163704</v>
      </c>
      <c r="AB184" t="s">
        <v>6488</v>
      </c>
      <c r="AC184" t="s">
        <v>4562</v>
      </c>
      <c r="AD184" t="s">
        <v>6486</v>
      </c>
      <c r="AE184" t="s">
        <v>4655</v>
      </c>
      <c r="AF184" t="s">
        <v>4563</v>
      </c>
      <c r="AG184" t="s">
        <v>4564</v>
      </c>
      <c r="AH184">
        <v>89503</v>
      </c>
      <c r="AI184" t="s">
        <v>6489</v>
      </c>
      <c r="AJ184" t="s">
        <v>6490</v>
      </c>
      <c r="AK184" t="s">
        <v>6491</v>
      </c>
      <c r="AL184" s="13" t="s">
        <v>2255</v>
      </c>
      <c r="AM184">
        <v>1</v>
      </c>
      <c r="AN184" s="15" t="s">
        <v>361</v>
      </c>
    </row>
    <row r="185" spans="1:40" x14ac:dyDescent="0.3">
      <c r="A185" s="10" t="str">
        <f>HYPERLINK("http://www.washoecounty.gov/assessor/cama/?parid=002-552-05&amp;CardNumber=1","002-552-05")</f>
        <v>002-552-05</v>
      </c>
      <c r="B185" t="s">
        <v>4655</v>
      </c>
      <c r="C185" t="s">
        <v>6492</v>
      </c>
      <c r="D185" s="1">
        <v>40449</v>
      </c>
      <c r="E185" s="2">
        <v>241000</v>
      </c>
      <c r="F185" t="s">
        <v>4567</v>
      </c>
      <c r="G185" s="17" t="str">
        <f>HYPERLINK("https://www.washoecounty.gov/assessor/cama/?command=sales&amp;parid=00255205","3926892")</f>
        <v>3926892</v>
      </c>
      <c r="H185" t="s">
        <v>6487</v>
      </c>
      <c r="I185">
        <v>2003</v>
      </c>
      <c r="J185">
        <v>2003</v>
      </c>
      <c r="K185" t="s">
        <v>4554</v>
      </c>
      <c r="L185" t="s">
        <v>4555</v>
      </c>
      <c r="M185" s="2">
        <v>1740</v>
      </c>
      <c r="N185" t="s">
        <v>5280</v>
      </c>
      <c r="O185">
        <v>3</v>
      </c>
      <c r="P185">
        <v>2</v>
      </c>
      <c r="Q185">
        <v>0</v>
      </c>
      <c r="R185" t="s">
        <v>5281</v>
      </c>
      <c r="S185" t="s">
        <v>4898</v>
      </c>
      <c r="T185" t="s">
        <v>4559</v>
      </c>
      <c r="U185" t="s">
        <v>4560</v>
      </c>
      <c r="V185" s="2">
        <v>474</v>
      </c>
      <c r="W185" t="s">
        <v>4655</v>
      </c>
      <c r="X185" s="2">
        <v>0</v>
      </c>
      <c r="Y185">
        <v>20</v>
      </c>
      <c r="Z185" t="s">
        <v>4561</v>
      </c>
      <c r="AA185" s="3">
        <v>0.190656572580338</v>
      </c>
      <c r="AB185" t="s">
        <v>6493</v>
      </c>
      <c r="AC185" t="s">
        <v>4562</v>
      </c>
      <c r="AD185" t="s">
        <v>6494</v>
      </c>
      <c r="AE185" t="s">
        <v>4655</v>
      </c>
      <c r="AF185" t="s">
        <v>4563</v>
      </c>
      <c r="AG185" t="s">
        <v>4564</v>
      </c>
      <c r="AH185">
        <v>89509</v>
      </c>
      <c r="AI185" t="s">
        <v>6495</v>
      </c>
      <c r="AJ185" t="s">
        <v>6490</v>
      </c>
      <c r="AK185" t="s">
        <v>6496</v>
      </c>
      <c r="AL185" s="13" t="s">
        <v>2255</v>
      </c>
      <c r="AM185">
        <v>1</v>
      </c>
      <c r="AN185" s="15" t="s">
        <v>361</v>
      </c>
    </row>
    <row r="186" spans="1:40" x14ac:dyDescent="0.3">
      <c r="A186" s="10" t="str">
        <f>HYPERLINK("http://www.washoecounty.gov/assessor/cama/?parid=003-041-03&amp;CardNumber=1","003-041-03")</f>
        <v>003-041-03</v>
      </c>
      <c r="B186" t="s">
        <v>4655</v>
      </c>
      <c r="C186" t="s">
        <v>6497</v>
      </c>
      <c r="D186" s="1">
        <v>40309</v>
      </c>
      <c r="E186" s="2">
        <v>33000</v>
      </c>
      <c r="F186" t="s">
        <v>4567</v>
      </c>
      <c r="G186" s="17" t="str">
        <f>HYPERLINK("https://www.washoecounty.gov/assessor/cama/?command=sales&amp;parid=00304103","3880310")</f>
        <v>3880310</v>
      </c>
      <c r="H186" t="s">
        <v>363</v>
      </c>
      <c r="I186">
        <v>1979</v>
      </c>
      <c r="J186">
        <v>1979</v>
      </c>
      <c r="K186" t="s">
        <v>3144</v>
      </c>
      <c r="L186" t="s">
        <v>4555</v>
      </c>
      <c r="M186" s="2">
        <v>924</v>
      </c>
      <c r="N186" t="s">
        <v>4556</v>
      </c>
      <c r="O186">
        <v>2</v>
      </c>
      <c r="P186">
        <v>2</v>
      </c>
      <c r="Q186">
        <v>0</v>
      </c>
      <c r="R186" t="s">
        <v>5281</v>
      </c>
      <c r="S186" t="s">
        <v>364</v>
      </c>
      <c r="T186" t="s">
        <v>4899</v>
      </c>
      <c r="U186" t="s">
        <v>4655</v>
      </c>
      <c r="V186" s="2">
        <v>0</v>
      </c>
      <c r="W186" t="s">
        <v>4655</v>
      </c>
      <c r="X186" s="2">
        <v>0</v>
      </c>
      <c r="Y186">
        <v>21</v>
      </c>
      <c r="Z186" t="s">
        <v>365</v>
      </c>
      <c r="AA186" s="3">
        <v>1.00000004749745E-3</v>
      </c>
      <c r="AB186" t="s">
        <v>6498</v>
      </c>
      <c r="AC186" t="s">
        <v>4562</v>
      </c>
      <c r="AD186" t="s">
        <v>6497</v>
      </c>
      <c r="AE186" t="s">
        <v>4655</v>
      </c>
      <c r="AF186" t="s">
        <v>4563</v>
      </c>
      <c r="AG186" t="s">
        <v>4564</v>
      </c>
      <c r="AH186">
        <v>89503</v>
      </c>
      <c r="AI186" t="s">
        <v>6499</v>
      </c>
      <c r="AJ186" t="s">
        <v>4655</v>
      </c>
      <c r="AK186" t="s">
        <v>6500</v>
      </c>
      <c r="AL186" s="13" t="s">
        <v>2255</v>
      </c>
      <c r="AM186">
        <v>1</v>
      </c>
      <c r="AN186" s="15" t="s">
        <v>368</v>
      </c>
    </row>
    <row r="187" spans="1:40" x14ac:dyDescent="0.3">
      <c r="A187" s="10" t="str">
        <f>HYPERLINK("http://www.washoecounty.gov/assessor/cama/?parid=003-041-04&amp;CardNumber=1","003-041-04")</f>
        <v>003-041-04</v>
      </c>
      <c r="B187" t="s">
        <v>4655</v>
      </c>
      <c r="C187" t="s">
        <v>6501</v>
      </c>
      <c r="D187" s="1">
        <v>40289</v>
      </c>
      <c r="E187" s="2">
        <v>48000</v>
      </c>
      <c r="F187" t="s">
        <v>4567</v>
      </c>
      <c r="G187" s="17" t="str">
        <f>HYPERLINK("https://www.washoecounty.gov/assessor/cama/?command=sales&amp;parid=00304104","3873276")</f>
        <v>3873276</v>
      </c>
      <c r="H187" t="s">
        <v>363</v>
      </c>
      <c r="I187">
        <v>1979</v>
      </c>
      <c r="J187">
        <v>1979</v>
      </c>
      <c r="K187" t="s">
        <v>3144</v>
      </c>
      <c r="L187" t="s">
        <v>4555</v>
      </c>
      <c r="M187" s="2">
        <v>924</v>
      </c>
      <c r="N187" t="s">
        <v>4556</v>
      </c>
      <c r="O187">
        <v>2</v>
      </c>
      <c r="P187">
        <v>2</v>
      </c>
      <c r="Q187">
        <v>0</v>
      </c>
      <c r="R187" t="s">
        <v>5281</v>
      </c>
      <c r="S187" t="s">
        <v>364</v>
      </c>
      <c r="T187" t="s">
        <v>4899</v>
      </c>
      <c r="U187" t="s">
        <v>4655</v>
      </c>
      <c r="V187" s="2">
        <v>0</v>
      </c>
      <c r="W187" t="s">
        <v>4655</v>
      </c>
      <c r="X187" s="2">
        <v>0</v>
      </c>
      <c r="Y187">
        <v>21</v>
      </c>
      <c r="Z187" t="s">
        <v>365</v>
      </c>
      <c r="AA187" s="3">
        <v>1.00000004749745E-3</v>
      </c>
      <c r="AB187" t="s">
        <v>5096</v>
      </c>
      <c r="AC187" t="s">
        <v>4562</v>
      </c>
      <c r="AD187" t="s">
        <v>5741</v>
      </c>
      <c r="AE187" t="s">
        <v>4655</v>
      </c>
      <c r="AF187" t="s">
        <v>4809</v>
      </c>
      <c r="AG187" t="s">
        <v>4564</v>
      </c>
      <c r="AH187" t="s">
        <v>1605</v>
      </c>
      <c r="AI187" t="s">
        <v>6502</v>
      </c>
      <c r="AJ187" t="s">
        <v>4655</v>
      </c>
      <c r="AK187" t="s">
        <v>6503</v>
      </c>
      <c r="AL187" s="13" t="s">
        <v>2255</v>
      </c>
      <c r="AM187">
        <v>1</v>
      </c>
      <c r="AN187" s="15" t="s">
        <v>368</v>
      </c>
    </row>
    <row r="188" spans="1:40" x14ac:dyDescent="0.3">
      <c r="A188" s="10" t="str">
        <f>HYPERLINK("http://www.washoecounty.gov/assessor/cama/?parid=003-041-09&amp;CardNumber=1","003-041-09")</f>
        <v>003-041-09</v>
      </c>
      <c r="B188" t="s">
        <v>4655</v>
      </c>
      <c r="C188" t="s">
        <v>6504</v>
      </c>
      <c r="D188" s="1">
        <v>40340</v>
      </c>
      <c r="E188" s="2">
        <v>36000</v>
      </c>
      <c r="F188" t="s">
        <v>4553</v>
      </c>
      <c r="G188" s="17" t="str">
        <f>HYPERLINK("https://www.washoecounty.gov/assessor/cama/?command=sales&amp;parid=00304109","3890086")</f>
        <v>3890086</v>
      </c>
      <c r="H188" t="s">
        <v>363</v>
      </c>
      <c r="I188">
        <v>1979</v>
      </c>
      <c r="J188">
        <v>1979</v>
      </c>
      <c r="K188" t="s">
        <v>3144</v>
      </c>
      <c r="L188" t="s">
        <v>4555</v>
      </c>
      <c r="M188" s="2">
        <v>924</v>
      </c>
      <c r="N188" t="s">
        <v>4556</v>
      </c>
      <c r="O188">
        <v>2</v>
      </c>
      <c r="P188">
        <v>2</v>
      </c>
      <c r="Q188">
        <v>0</v>
      </c>
      <c r="R188" t="s">
        <v>5281</v>
      </c>
      <c r="S188" t="s">
        <v>364</v>
      </c>
      <c r="T188" t="s">
        <v>4899</v>
      </c>
      <c r="U188" t="s">
        <v>4655</v>
      </c>
      <c r="V188" s="2">
        <v>0</v>
      </c>
      <c r="W188" t="s">
        <v>4655</v>
      </c>
      <c r="X188" s="2">
        <v>0</v>
      </c>
      <c r="Y188">
        <v>21</v>
      </c>
      <c r="Z188" t="s">
        <v>365</v>
      </c>
      <c r="AA188" s="3">
        <v>1.00000004749745E-3</v>
      </c>
      <c r="AB188" t="s">
        <v>6505</v>
      </c>
      <c r="AC188" t="s">
        <v>4562</v>
      </c>
      <c r="AD188" t="s">
        <v>4930</v>
      </c>
      <c r="AE188" t="s">
        <v>4655</v>
      </c>
      <c r="AF188" t="s">
        <v>4563</v>
      </c>
      <c r="AG188" t="s">
        <v>4564</v>
      </c>
      <c r="AH188">
        <v>89503</v>
      </c>
      <c r="AI188" t="s">
        <v>687</v>
      </c>
      <c r="AJ188" t="s">
        <v>4655</v>
      </c>
      <c r="AK188" t="s">
        <v>6506</v>
      </c>
      <c r="AL188" s="13" t="s">
        <v>2255</v>
      </c>
      <c r="AM188">
        <v>1</v>
      </c>
      <c r="AN188" s="15" t="s">
        <v>368</v>
      </c>
    </row>
    <row r="189" spans="1:40" x14ac:dyDescent="0.3">
      <c r="A189" s="10" t="str">
        <f>HYPERLINK("http://www.washoecounty.gov/assessor/cama/?parid=003-041-17&amp;CardNumber=1","003-041-17")</f>
        <v>003-041-17</v>
      </c>
      <c r="B189" t="s">
        <v>4655</v>
      </c>
      <c r="C189" t="s">
        <v>6507</v>
      </c>
      <c r="D189" s="1">
        <v>40256</v>
      </c>
      <c r="E189" s="2">
        <v>34500</v>
      </c>
      <c r="F189" t="s">
        <v>4553</v>
      </c>
      <c r="G189" s="17" t="str">
        <f>HYPERLINK("https://www.washoecounty.gov/assessor/cama/?command=sales&amp;parid=00304117","3861876")</f>
        <v>3861876</v>
      </c>
      <c r="H189" t="s">
        <v>363</v>
      </c>
      <c r="I189">
        <v>1979</v>
      </c>
      <c r="J189">
        <v>1979</v>
      </c>
      <c r="K189" t="s">
        <v>4897</v>
      </c>
      <c r="L189" t="s">
        <v>4555</v>
      </c>
      <c r="M189" s="2">
        <v>924</v>
      </c>
      <c r="N189" t="s">
        <v>4556</v>
      </c>
      <c r="O189">
        <v>2</v>
      </c>
      <c r="P189">
        <v>2</v>
      </c>
      <c r="Q189">
        <v>0</v>
      </c>
      <c r="R189" t="s">
        <v>5281</v>
      </c>
      <c r="S189" t="s">
        <v>364</v>
      </c>
      <c r="T189" t="s">
        <v>4899</v>
      </c>
      <c r="U189" t="s">
        <v>4655</v>
      </c>
      <c r="V189" s="2">
        <v>0</v>
      </c>
      <c r="W189" t="s">
        <v>4655</v>
      </c>
      <c r="X189" s="2">
        <v>0</v>
      </c>
      <c r="Y189">
        <v>21</v>
      </c>
      <c r="Z189" t="s">
        <v>365</v>
      </c>
      <c r="AA189" s="3">
        <v>1.00000004749745E-3</v>
      </c>
      <c r="AB189" t="s">
        <v>6508</v>
      </c>
      <c r="AC189" t="s">
        <v>4562</v>
      </c>
      <c r="AD189" t="s">
        <v>6509</v>
      </c>
      <c r="AE189" t="s">
        <v>4655</v>
      </c>
      <c r="AF189" t="s">
        <v>4563</v>
      </c>
      <c r="AG189" t="s">
        <v>4564</v>
      </c>
      <c r="AH189">
        <v>89503</v>
      </c>
      <c r="AI189" t="s">
        <v>6510</v>
      </c>
      <c r="AJ189" t="s">
        <v>4655</v>
      </c>
      <c r="AK189" t="s">
        <v>6511</v>
      </c>
      <c r="AL189" s="13" t="s">
        <v>2255</v>
      </c>
      <c r="AM189" s="14">
        <v>1</v>
      </c>
      <c r="AN189" s="15" t="s">
        <v>368</v>
      </c>
    </row>
    <row r="190" spans="1:40" x14ac:dyDescent="0.3">
      <c r="A190" s="10" t="str">
        <f>HYPERLINK("http://www.washoecounty.gov/assessor/cama/?parid=003-042-08&amp;CardNumber=1","003-042-08")</f>
        <v>003-042-08</v>
      </c>
      <c r="B190" t="s">
        <v>4655</v>
      </c>
      <c r="C190" t="s">
        <v>6512</v>
      </c>
      <c r="D190" s="1">
        <v>40414</v>
      </c>
      <c r="E190" s="2">
        <v>32500</v>
      </c>
      <c r="F190" t="s">
        <v>4553</v>
      </c>
      <c r="G190" s="17" t="str">
        <f>HYPERLINK("https://www.washoecounty.gov/assessor/cama/?command=sales&amp;parid=00304208","3915253")</f>
        <v>3915253</v>
      </c>
      <c r="H190" t="s">
        <v>363</v>
      </c>
      <c r="I190">
        <v>1979</v>
      </c>
      <c r="J190">
        <v>1979</v>
      </c>
      <c r="K190" t="s">
        <v>3144</v>
      </c>
      <c r="L190" t="s">
        <v>4555</v>
      </c>
      <c r="M190" s="2">
        <v>882</v>
      </c>
      <c r="N190" t="s">
        <v>4556</v>
      </c>
      <c r="O190">
        <v>2</v>
      </c>
      <c r="P190">
        <v>1</v>
      </c>
      <c r="Q190">
        <v>0</v>
      </c>
      <c r="R190" t="s">
        <v>5281</v>
      </c>
      <c r="S190" t="s">
        <v>364</v>
      </c>
      <c r="T190" t="s">
        <v>4899</v>
      </c>
      <c r="U190" t="s">
        <v>4655</v>
      </c>
      <c r="V190" s="2">
        <v>0</v>
      </c>
      <c r="W190" t="s">
        <v>4655</v>
      </c>
      <c r="X190" s="2">
        <v>0</v>
      </c>
      <c r="Y190">
        <v>21</v>
      </c>
      <c r="Z190" t="s">
        <v>365</v>
      </c>
      <c r="AA190" s="3">
        <v>1.00000004749745E-3</v>
      </c>
      <c r="AB190" t="s">
        <v>6513</v>
      </c>
      <c r="AC190" t="s">
        <v>4562</v>
      </c>
      <c r="AD190" t="s">
        <v>6514</v>
      </c>
      <c r="AE190" t="s">
        <v>4655</v>
      </c>
      <c r="AF190" t="s">
        <v>4563</v>
      </c>
      <c r="AG190" t="s">
        <v>4564</v>
      </c>
      <c r="AH190">
        <v>89506</v>
      </c>
      <c r="AI190" t="s">
        <v>2351</v>
      </c>
      <c r="AJ190" t="s">
        <v>4655</v>
      </c>
      <c r="AK190" t="s">
        <v>6515</v>
      </c>
      <c r="AL190" s="13" t="s">
        <v>2255</v>
      </c>
      <c r="AM190">
        <v>1</v>
      </c>
      <c r="AN190" s="15" t="s">
        <v>368</v>
      </c>
    </row>
    <row r="191" spans="1:40" x14ac:dyDescent="0.3">
      <c r="A191" s="10" t="str">
        <f>HYPERLINK("http://www.washoecounty.gov/assessor/cama/?parid=003-042-12&amp;CardNumber=1","003-042-12")</f>
        <v>003-042-12</v>
      </c>
      <c r="B191" t="s">
        <v>4655</v>
      </c>
      <c r="C191" t="s">
        <v>6516</v>
      </c>
      <c r="D191" s="1">
        <v>40344</v>
      </c>
      <c r="E191" s="2">
        <v>31000</v>
      </c>
      <c r="F191" t="s">
        <v>4553</v>
      </c>
      <c r="G191" s="17" t="str">
        <f>HYPERLINK("https://www.washoecounty.gov/assessor/cama/?command=sales&amp;parid=00304212","3891992")</f>
        <v>3891992</v>
      </c>
      <c r="H191" t="s">
        <v>363</v>
      </c>
      <c r="I191">
        <v>1979</v>
      </c>
      <c r="J191">
        <v>1979</v>
      </c>
      <c r="K191" t="s">
        <v>4897</v>
      </c>
      <c r="L191" t="s">
        <v>4555</v>
      </c>
      <c r="M191" s="2">
        <v>882</v>
      </c>
      <c r="N191" t="s">
        <v>4556</v>
      </c>
      <c r="O191">
        <v>2</v>
      </c>
      <c r="P191">
        <v>1</v>
      </c>
      <c r="Q191">
        <v>0</v>
      </c>
      <c r="R191" t="s">
        <v>5281</v>
      </c>
      <c r="S191" t="s">
        <v>364</v>
      </c>
      <c r="T191" t="s">
        <v>4899</v>
      </c>
      <c r="U191" t="s">
        <v>4655</v>
      </c>
      <c r="V191" s="2">
        <v>0</v>
      </c>
      <c r="W191" t="s">
        <v>4655</v>
      </c>
      <c r="X191" s="2">
        <v>0</v>
      </c>
      <c r="Y191">
        <v>21</v>
      </c>
      <c r="Z191" t="s">
        <v>365</v>
      </c>
      <c r="AA191" s="3">
        <v>1.00000004749745E-3</v>
      </c>
      <c r="AB191" t="s">
        <v>2653</v>
      </c>
      <c r="AC191" t="s">
        <v>4562</v>
      </c>
      <c r="AD191" t="s">
        <v>2654</v>
      </c>
      <c r="AE191" t="s">
        <v>4655</v>
      </c>
      <c r="AF191" t="s">
        <v>2655</v>
      </c>
      <c r="AG191" t="s">
        <v>1539</v>
      </c>
      <c r="AH191" t="s">
        <v>2656</v>
      </c>
      <c r="AI191" t="s">
        <v>4565</v>
      </c>
      <c r="AJ191" t="s">
        <v>4655</v>
      </c>
      <c r="AK191" t="s">
        <v>6517</v>
      </c>
      <c r="AL191" s="13" t="s">
        <v>2255</v>
      </c>
      <c r="AM191" s="14">
        <v>1</v>
      </c>
      <c r="AN191" s="15" t="s">
        <v>368</v>
      </c>
    </row>
    <row r="192" spans="1:40" x14ac:dyDescent="0.3">
      <c r="A192" s="10" t="str">
        <f>HYPERLINK("http://www.washoecounty.gov/assessor/cama/?parid=003-043-13&amp;CardNumber=1","003-043-13")</f>
        <v>003-043-13</v>
      </c>
      <c r="B192" t="s">
        <v>4655</v>
      </c>
      <c r="C192" t="s">
        <v>6518</v>
      </c>
      <c r="D192" s="1">
        <v>40262</v>
      </c>
      <c r="E192" s="2">
        <v>28000</v>
      </c>
      <c r="F192" t="s">
        <v>4553</v>
      </c>
      <c r="G192" s="17" t="str">
        <f>HYPERLINK("https://www.washoecounty.gov/assessor/cama/?command=sales&amp;parid=00304313","3863959")</f>
        <v>3863959</v>
      </c>
      <c r="H192" t="s">
        <v>363</v>
      </c>
      <c r="I192">
        <v>1979</v>
      </c>
      <c r="J192">
        <v>1979</v>
      </c>
      <c r="K192" t="s">
        <v>4897</v>
      </c>
      <c r="L192" t="s">
        <v>4555</v>
      </c>
      <c r="M192" s="2">
        <v>840</v>
      </c>
      <c r="N192" t="s">
        <v>4556</v>
      </c>
      <c r="O192">
        <v>1</v>
      </c>
      <c r="P192">
        <v>1</v>
      </c>
      <c r="Q192">
        <v>0</v>
      </c>
      <c r="R192" t="s">
        <v>5281</v>
      </c>
      <c r="S192" t="s">
        <v>364</v>
      </c>
      <c r="T192" t="s">
        <v>4899</v>
      </c>
      <c r="U192" t="s">
        <v>4655</v>
      </c>
      <c r="V192" s="2">
        <v>0</v>
      </c>
      <c r="W192" t="s">
        <v>4655</v>
      </c>
      <c r="X192" s="2">
        <v>0</v>
      </c>
      <c r="Y192">
        <v>21</v>
      </c>
      <c r="Z192" t="s">
        <v>365</v>
      </c>
      <c r="AA192" s="3">
        <v>1.00000004749745E-3</v>
      </c>
      <c r="AB192" t="s">
        <v>6519</v>
      </c>
      <c r="AC192" t="s">
        <v>4562</v>
      </c>
      <c r="AD192" t="s">
        <v>6520</v>
      </c>
      <c r="AE192" t="s">
        <v>4655</v>
      </c>
      <c r="AF192" t="s">
        <v>686</v>
      </c>
      <c r="AG192" t="s">
        <v>4584</v>
      </c>
      <c r="AH192">
        <v>94109</v>
      </c>
      <c r="AI192" t="s">
        <v>4655</v>
      </c>
      <c r="AJ192" t="s">
        <v>4655</v>
      </c>
      <c r="AK192" t="s">
        <v>6521</v>
      </c>
      <c r="AL192" s="13" t="s">
        <v>2255</v>
      </c>
      <c r="AM192">
        <v>1</v>
      </c>
      <c r="AN192" s="15" t="s">
        <v>368</v>
      </c>
    </row>
    <row r="193" spans="1:40" x14ac:dyDescent="0.3">
      <c r="A193" s="10" t="str">
        <f>HYPERLINK("http://www.washoecounty.gov/assessor/cama/?parid=003-043-15&amp;CardNumber=1","003-043-15")</f>
        <v>003-043-15</v>
      </c>
      <c r="B193" t="s">
        <v>4655</v>
      </c>
      <c r="C193" t="s">
        <v>6522</v>
      </c>
      <c r="D193" s="1">
        <v>40424</v>
      </c>
      <c r="E193" s="2">
        <v>29000</v>
      </c>
      <c r="F193" t="s">
        <v>4567</v>
      </c>
      <c r="G193" s="17" t="str">
        <f>HYPERLINK("https://www.washoecounty.gov/assessor/cama/?command=sales&amp;parid=00304315","3918712")</f>
        <v>3918712</v>
      </c>
      <c r="H193" t="s">
        <v>363</v>
      </c>
      <c r="I193">
        <v>1979</v>
      </c>
      <c r="J193">
        <v>1979</v>
      </c>
      <c r="K193" t="s">
        <v>3144</v>
      </c>
      <c r="L193" t="s">
        <v>4555</v>
      </c>
      <c r="M193" s="2">
        <v>840</v>
      </c>
      <c r="N193" t="s">
        <v>4556</v>
      </c>
      <c r="O193">
        <v>1</v>
      </c>
      <c r="P193">
        <v>1</v>
      </c>
      <c r="Q193">
        <v>0</v>
      </c>
      <c r="R193" t="s">
        <v>5281</v>
      </c>
      <c r="S193" t="s">
        <v>364</v>
      </c>
      <c r="T193" t="s">
        <v>4899</v>
      </c>
      <c r="U193" t="s">
        <v>4655</v>
      </c>
      <c r="V193" s="2">
        <v>0</v>
      </c>
      <c r="W193" t="s">
        <v>4655</v>
      </c>
      <c r="X193" s="2">
        <v>0</v>
      </c>
      <c r="Y193">
        <v>21</v>
      </c>
      <c r="Z193" t="s">
        <v>365</v>
      </c>
      <c r="AA193" s="3">
        <v>1.00000004749745E-3</v>
      </c>
      <c r="AB193" t="s">
        <v>4781</v>
      </c>
      <c r="AC193" t="s">
        <v>4562</v>
      </c>
      <c r="AD193" t="s">
        <v>2654</v>
      </c>
      <c r="AE193" t="s">
        <v>4655</v>
      </c>
      <c r="AF193" t="s">
        <v>4782</v>
      </c>
      <c r="AG193" t="s">
        <v>1539</v>
      </c>
      <c r="AH193" t="s">
        <v>2656</v>
      </c>
      <c r="AI193" t="s">
        <v>6523</v>
      </c>
      <c r="AJ193" t="s">
        <v>4655</v>
      </c>
      <c r="AK193" t="s">
        <v>6524</v>
      </c>
      <c r="AL193" s="13" t="s">
        <v>2255</v>
      </c>
      <c r="AM193">
        <v>1</v>
      </c>
      <c r="AN193" s="15" t="s">
        <v>368</v>
      </c>
    </row>
    <row r="194" spans="1:40" x14ac:dyDescent="0.3">
      <c r="A194" s="10" t="str">
        <f>HYPERLINK("http://www.washoecounty.gov/assessor/cama/?parid=003-044-02&amp;CardNumber=1","003-044-02")</f>
        <v>003-044-02</v>
      </c>
      <c r="B194" t="s">
        <v>4655</v>
      </c>
      <c r="C194" t="s">
        <v>362</v>
      </c>
      <c r="D194" s="1">
        <v>40197</v>
      </c>
      <c r="E194" s="2">
        <v>26000</v>
      </c>
      <c r="F194" t="s">
        <v>4553</v>
      </c>
      <c r="G194" s="17" t="str">
        <f>HYPERLINK("https://www.washoecounty.gov/assessor/cama/?command=sales&amp;parid=00304402","3840516")</f>
        <v>3840516</v>
      </c>
      <c r="H194" t="s">
        <v>363</v>
      </c>
      <c r="I194">
        <v>1979</v>
      </c>
      <c r="J194">
        <v>1979</v>
      </c>
      <c r="K194" t="s">
        <v>3144</v>
      </c>
      <c r="L194" t="s">
        <v>4555</v>
      </c>
      <c r="M194" s="2">
        <v>798</v>
      </c>
      <c r="N194" t="s">
        <v>4556</v>
      </c>
      <c r="O194">
        <v>1</v>
      </c>
      <c r="P194">
        <v>1</v>
      </c>
      <c r="Q194">
        <v>0</v>
      </c>
      <c r="R194" t="s">
        <v>5281</v>
      </c>
      <c r="S194" t="s">
        <v>364</v>
      </c>
      <c r="T194" t="s">
        <v>4899</v>
      </c>
      <c r="U194" t="s">
        <v>4655</v>
      </c>
      <c r="V194" s="2">
        <v>0</v>
      </c>
      <c r="W194" t="s">
        <v>4655</v>
      </c>
      <c r="X194" s="2">
        <v>0</v>
      </c>
      <c r="Y194">
        <v>21</v>
      </c>
      <c r="Z194" t="s">
        <v>365</v>
      </c>
      <c r="AA194" s="3">
        <v>1.00000004749745E-3</v>
      </c>
      <c r="AB194" t="s">
        <v>366</v>
      </c>
      <c r="AC194" t="s">
        <v>4562</v>
      </c>
      <c r="AD194" t="s">
        <v>362</v>
      </c>
      <c r="AE194" t="s">
        <v>4655</v>
      </c>
      <c r="AF194" t="s">
        <v>4563</v>
      </c>
      <c r="AG194" t="s">
        <v>4564</v>
      </c>
      <c r="AH194">
        <v>89503</v>
      </c>
      <c r="AI194" t="s">
        <v>4903</v>
      </c>
      <c r="AJ194" t="s">
        <v>4655</v>
      </c>
      <c r="AK194" t="s">
        <v>367</v>
      </c>
      <c r="AL194" s="13" t="s">
        <v>2255</v>
      </c>
      <c r="AM194" s="14">
        <v>1</v>
      </c>
      <c r="AN194" s="15" t="s">
        <v>368</v>
      </c>
    </row>
    <row r="195" spans="1:40" x14ac:dyDescent="0.3">
      <c r="A195" s="10" t="str">
        <f>HYPERLINK("http://www.washoecounty.gov/assessor/cama/?parid=003-044-06&amp;CardNumber=1","003-044-06")</f>
        <v>003-044-06</v>
      </c>
      <c r="B195" t="s">
        <v>4655</v>
      </c>
      <c r="C195" t="s">
        <v>4930</v>
      </c>
      <c r="D195" s="1">
        <v>40297</v>
      </c>
      <c r="E195" s="2">
        <v>31000</v>
      </c>
      <c r="F195" t="s">
        <v>4567</v>
      </c>
      <c r="G195" s="17" t="str">
        <f>HYPERLINK("https://www.washoecounty.gov/assessor/cama/?command=sales&amp;parid=00304406","3876138")</f>
        <v>3876138</v>
      </c>
      <c r="H195" t="s">
        <v>363</v>
      </c>
      <c r="I195">
        <v>1979</v>
      </c>
      <c r="J195">
        <v>1979</v>
      </c>
      <c r="K195" t="s">
        <v>4897</v>
      </c>
      <c r="L195" t="s">
        <v>4555</v>
      </c>
      <c r="M195" s="2">
        <v>798</v>
      </c>
      <c r="N195" t="s">
        <v>4556</v>
      </c>
      <c r="O195">
        <v>1</v>
      </c>
      <c r="P195">
        <v>1</v>
      </c>
      <c r="Q195">
        <v>0</v>
      </c>
      <c r="R195" t="s">
        <v>5281</v>
      </c>
      <c r="S195" t="s">
        <v>364</v>
      </c>
      <c r="T195" t="s">
        <v>4899</v>
      </c>
      <c r="U195" t="s">
        <v>4655</v>
      </c>
      <c r="V195" s="2">
        <v>0</v>
      </c>
      <c r="W195" t="s">
        <v>4655</v>
      </c>
      <c r="X195" s="2">
        <v>0</v>
      </c>
      <c r="Y195">
        <v>21</v>
      </c>
      <c r="Z195" t="s">
        <v>365</v>
      </c>
      <c r="AA195" s="3">
        <v>1.00000004749745E-3</v>
      </c>
      <c r="AB195" t="s">
        <v>6505</v>
      </c>
      <c r="AC195" t="s">
        <v>4562</v>
      </c>
      <c r="AD195" t="s">
        <v>4930</v>
      </c>
      <c r="AE195" t="s">
        <v>4655</v>
      </c>
      <c r="AF195" t="s">
        <v>4563</v>
      </c>
      <c r="AG195" t="s">
        <v>4564</v>
      </c>
      <c r="AH195">
        <v>89503</v>
      </c>
      <c r="AI195" t="s">
        <v>6525</v>
      </c>
      <c r="AJ195" t="s">
        <v>4655</v>
      </c>
      <c r="AK195" t="s">
        <v>6526</v>
      </c>
      <c r="AL195" s="13" t="s">
        <v>2255</v>
      </c>
      <c r="AM195" s="14">
        <v>1</v>
      </c>
      <c r="AN195" s="15" t="s">
        <v>368</v>
      </c>
    </row>
    <row r="196" spans="1:40" x14ac:dyDescent="0.3">
      <c r="A196" s="10" t="str">
        <f>HYPERLINK("http://www.washoecounty.gov/assessor/cama/?parid=003-044-13&amp;CardNumber=1","003-044-13")</f>
        <v>003-044-13</v>
      </c>
      <c r="B196" t="s">
        <v>4655</v>
      </c>
      <c r="C196" t="s">
        <v>6527</v>
      </c>
      <c r="D196" s="1">
        <v>40197</v>
      </c>
      <c r="E196" s="2">
        <v>26920</v>
      </c>
      <c r="F196" t="s">
        <v>4567</v>
      </c>
      <c r="G196" s="17" t="str">
        <f>HYPERLINK("https://www.washoecounty.gov/assessor/cama/?command=sales&amp;parid=00304413","3840439")</f>
        <v>3840439</v>
      </c>
      <c r="H196" t="s">
        <v>6528</v>
      </c>
      <c r="I196">
        <v>1979</v>
      </c>
      <c r="J196">
        <v>1979</v>
      </c>
      <c r="K196" t="s">
        <v>4897</v>
      </c>
      <c r="L196" t="s">
        <v>4555</v>
      </c>
      <c r="M196" s="2">
        <v>798</v>
      </c>
      <c r="N196" t="s">
        <v>4556</v>
      </c>
      <c r="O196">
        <v>1</v>
      </c>
      <c r="P196">
        <v>1</v>
      </c>
      <c r="Q196">
        <v>0</v>
      </c>
      <c r="R196" t="s">
        <v>5281</v>
      </c>
      <c r="S196" t="s">
        <v>364</v>
      </c>
      <c r="T196" t="s">
        <v>4899</v>
      </c>
      <c r="U196" t="s">
        <v>4655</v>
      </c>
      <c r="V196" s="2">
        <v>0</v>
      </c>
      <c r="W196" t="s">
        <v>4655</v>
      </c>
      <c r="X196" s="2">
        <v>0</v>
      </c>
      <c r="Y196">
        <v>21</v>
      </c>
      <c r="Z196" t="s">
        <v>365</v>
      </c>
      <c r="AA196" s="3">
        <v>1.00000004749745E-3</v>
      </c>
      <c r="AB196" t="s">
        <v>6529</v>
      </c>
      <c r="AC196" t="s">
        <v>4562</v>
      </c>
      <c r="AD196" t="s">
        <v>1949</v>
      </c>
      <c r="AE196" t="s">
        <v>4655</v>
      </c>
      <c r="AF196" t="s">
        <v>6530</v>
      </c>
      <c r="AG196" t="s">
        <v>4584</v>
      </c>
      <c r="AH196" t="s">
        <v>6531</v>
      </c>
      <c r="AI196" t="s">
        <v>6532</v>
      </c>
      <c r="AJ196" t="s">
        <v>4655</v>
      </c>
      <c r="AK196" t="s">
        <v>6533</v>
      </c>
      <c r="AL196" s="13" t="s">
        <v>2255</v>
      </c>
      <c r="AM196">
        <v>1</v>
      </c>
      <c r="AN196" s="15" t="s">
        <v>368</v>
      </c>
    </row>
    <row r="197" spans="1:40" x14ac:dyDescent="0.3">
      <c r="A197" s="10" t="str">
        <f>HYPERLINK("http://www.washoecounty.gov/assessor/cama/?parid=003-082-14&amp;CardNumber=1","003-082-14")</f>
        <v>003-082-14</v>
      </c>
      <c r="B197" t="s">
        <v>4655</v>
      </c>
      <c r="C197" t="s">
        <v>6534</v>
      </c>
      <c r="D197" s="1">
        <v>40479</v>
      </c>
      <c r="E197" s="2">
        <v>54000</v>
      </c>
      <c r="F197" t="s">
        <v>4567</v>
      </c>
      <c r="G197" s="17" t="str">
        <f>HYPERLINK("https://www.washoecounty.gov/assessor/cama/?command=sales&amp;parid=00308214","3937734")</f>
        <v>3937734</v>
      </c>
      <c r="H197" t="s">
        <v>353</v>
      </c>
      <c r="I197">
        <v>1975</v>
      </c>
      <c r="J197">
        <v>1975</v>
      </c>
      <c r="K197" t="s">
        <v>1243</v>
      </c>
      <c r="L197" t="s">
        <v>4655</v>
      </c>
      <c r="M197" s="2">
        <v>0</v>
      </c>
      <c r="N197" t="s">
        <v>4655</v>
      </c>
      <c r="O197">
        <v>0</v>
      </c>
      <c r="P197">
        <v>0</v>
      </c>
      <c r="Q197">
        <v>0</v>
      </c>
      <c r="R197" t="s">
        <v>4655</v>
      </c>
      <c r="S197" t="s">
        <v>4655</v>
      </c>
      <c r="T197" t="s">
        <v>4655</v>
      </c>
      <c r="U197" t="s">
        <v>4655</v>
      </c>
      <c r="V197" s="2">
        <v>0</v>
      </c>
      <c r="W197" t="s">
        <v>4655</v>
      </c>
      <c r="X197" s="2">
        <v>0</v>
      </c>
      <c r="Y197">
        <v>23</v>
      </c>
      <c r="Z197" t="s">
        <v>5282</v>
      </c>
      <c r="AA197" s="3">
        <v>0.31999999284744263</v>
      </c>
      <c r="AB197" t="s">
        <v>6535</v>
      </c>
      <c r="AC197" t="s">
        <v>4562</v>
      </c>
      <c r="AD197" t="s">
        <v>6536</v>
      </c>
      <c r="AE197" t="s">
        <v>4655</v>
      </c>
      <c r="AF197" t="s">
        <v>4563</v>
      </c>
      <c r="AG197" t="s">
        <v>4564</v>
      </c>
      <c r="AH197">
        <v>89506</v>
      </c>
      <c r="AI197" t="s">
        <v>6537</v>
      </c>
      <c r="AJ197" t="s">
        <v>4655</v>
      </c>
      <c r="AK197" t="s">
        <v>6538</v>
      </c>
      <c r="AL197" s="13" t="s">
        <v>2255</v>
      </c>
      <c r="AM197" s="14">
        <v>1</v>
      </c>
      <c r="AN197" s="15" t="s">
        <v>6539</v>
      </c>
    </row>
    <row r="198" spans="1:40" x14ac:dyDescent="0.3">
      <c r="A198" s="10" t="str">
        <f>HYPERLINK("http://www.washoecounty.gov/assessor/cama/?parid=003-232-07&amp;CardNumber=1","003-232-07")</f>
        <v>003-232-07</v>
      </c>
      <c r="B198" t="s">
        <v>4655</v>
      </c>
      <c r="C198" t="s">
        <v>6540</v>
      </c>
      <c r="D198" s="1">
        <v>40270</v>
      </c>
      <c r="E198" s="2">
        <v>200000</v>
      </c>
      <c r="F198" t="s">
        <v>4567</v>
      </c>
      <c r="G198" s="17" t="str">
        <f>HYPERLINK("https://www.washoecounty.gov/assessor/cama/?command=sales&amp;parid=00323207","3867280")</f>
        <v>3867280</v>
      </c>
      <c r="H198" t="s">
        <v>843</v>
      </c>
      <c r="I198">
        <v>1964</v>
      </c>
      <c r="J198">
        <v>1964</v>
      </c>
      <c r="K198" t="s">
        <v>4554</v>
      </c>
      <c r="L198" t="s">
        <v>3974</v>
      </c>
      <c r="M198" s="2">
        <v>1832</v>
      </c>
      <c r="N198" t="s">
        <v>5280</v>
      </c>
      <c r="O198">
        <v>3</v>
      </c>
      <c r="P198">
        <v>2</v>
      </c>
      <c r="Q198">
        <v>1</v>
      </c>
      <c r="R198" t="s">
        <v>1186</v>
      </c>
      <c r="S198" t="s">
        <v>4135</v>
      </c>
      <c r="T198" t="s">
        <v>4559</v>
      </c>
      <c r="U198" t="s">
        <v>4560</v>
      </c>
      <c r="V198" s="2">
        <v>548</v>
      </c>
      <c r="W198" t="s">
        <v>4655</v>
      </c>
      <c r="X198" s="2">
        <v>0</v>
      </c>
      <c r="Y198">
        <v>20</v>
      </c>
      <c r="Z198" t="s">
        <v>4561</v>
      </c>
      <c r="AA198" s="3">
        <v>0.160720840096474</v>
      </c>
      <c r="AB198" t="s">
        <v>6541</v>
      </c>
      <c r="AC198" t="s">
        <v>4562</v>
      </c>
      <c r="AD198" t="s">
        <v>6540</v>
      </c>
      <c r="AE198" t="s">
        <v>4655</v>
      </c>
      <c r="AF198" t="s">
        <v>4563</v>
      </c>
      <c r="AG198" t="s">
        <v>4564</v>
      </c>
      <c r="AH198">
        <v>89503</v>
      </c>
      <c r="AI198" t="s">
        <v>6542</v>
      </c>
      <c r="AJ198" t="s">
        <v>4655</v>
      </c>
      <c r="AK198" t="s">
        <v>6543</v>
      </c>
      <c r="AL198" s="13" t="s">
        <v>2255</v>
      </c>
      <c r="AM198">
        <v>1</v>
      </c>
      <c r="AN198" s="15" t="s">
        <v>2175</v>
      </c>
    </row>
    <row r="199" spans="1:40" x14ac:dyDescent="0.3">
      <c r="A199" s="10" t="str">
        <f>HYPERLINK("http://www.washoecounty.gov/assessor/cama/?parid=003-233-12&amp;CardNumber=1","003-233-12")</f>
        <v>003-233-12</v>
      </c>
      <c r="B199" t="s">
        <v>4655</v>
      </c>
      <c r="C199" t="s">
        <v>6544</v>
      </c>
      <c r="D199" s="1">
        <v>40451</v>
      </c>
      <c r="E199" s="2">
        <v>179900</v>
      </c>
      <c r="F199" t="s">
        <v>4553</v>
      </c>
      <c r="G199" s="17" t="str">
        <f>HYPERLINK("https://www.washoecounty.gov/assessor/cama/?command=sales&amp;parid=00323312","3928473")</f>
        <v>3928473</v>
      </c>
      <c r="H199" t="s">
        <v>843</v>
      </c>
      <c r="I199">
        <v>1964</v>
      </c>
      <c r="J199">
        <v>1964</v>
      </c>
      <c r="K199" t="s">
        <v>4554</v>
      </c>
      <c r="L199" t="s">
        <v>4555</v>
      </c>
      <c r="M199" s="2">
        <v>1914</v>
      </c>
      <c r="N199" t="s">
        <v>5280</v>
      </c>
      <c r="O199">
        <v>4</v>
      </c>
      <c r="P199">
        <v>2</v>
      </c>
      <c r="Q199">
        <v>0</v>
      </c>
      <c r="R199" t="s">
        <v>5281</v>
      </c>
      <c r="S199" t="s">
        <v>4558</v>
      </c>
      <c r="T199" t="s">
        <v>4559</v>
      </c>
      <c r="U199" t="s">
        <v>4560</v>
      </c>
      <c r="V199" s="2">
        <v>496</v>
      </c>
      <c r="W199" t="s">
        <v>4655</v>
      </c>
      <c r="X199" s="2">
        <v>0</v>
      </c>
      <c r="Y199">
        <v>20</v>
      </c>
      <c r="Z199" t="s">
        <v>4561</v>
      </c>
      <c r="AA199" s="3">
        <v>0.17215335369110099</v>
      </c>
      <c r="AB199" t="s">
        <v>6545</v>
      </c>
      <c r="AC199" t="s">
        <v>4575</v>
      </c>
      <c r="AD199" t="s">
        <v>6546</v>
      </c>
      <c r="AE199" t="s">
        <v>4655</v>
      </c>
      <c r="AF199" t="s">
        <v>4563</v>
      </c>
      <c r="AG199" t="s">
        <v>4564</v>
      </c>
      <c r="AH199">
        <v>89503</v>
      </c>
      <c r="AI199" t="s">
        <v>4903</v>
      </c>
      <c r="AJ199" t="s">
        <v>4655</v>
      </c>
      <c r="AK199" t="s">
        <v>6547</v>
      </c>
      <c r="AL199" s="13" t="s">
        <v>2255</v>
      </c>
      <c r="AM199">
        <v>1</v>
      </c>
      <c r="AN199" s="15" t="s">
        <v>2175</v>
      </c>
    </row>
    <row r="200" spans="1:40" x14ac:dyDescent="0.3">
      <c r="A200" s="10" t="str">
        <f>HYPERLINK("http://www.washoecounty.gov/assessor/cama/?parid=003-234-21&amp;CardNumber=1","003-234-21")</f>
        <v>003-234-21</v>
      </c>
      <c r="B200" t="s">
        <v>4655</v>
      </c>
      <c r="C200" t="s">
        <v>6548</v>
      </c>
      <c r="D200" s="1">
        <v>40518</v>
      </c>
      <c r="E200" s="2">
        <v>150000</v>
      </c>
      <c r="F200" t="s">
        <v>4567</v>
      </c>
      <c r="G200" s="17" t="str">
        <f>HYPERLINK("https://www.washoecounty.gov/assessor/cama/?command=sales&amp;parid=00323421","3949849")</f>
        <v>3949849</v>
      </c>
      <c r="H200" t="s">
        <v>843</v>
      </c>
      <c r="I200">
        <v>1964</v>
      </c>
      <c r="J200">
        <v>1964</v>
      </c>
      <c r="K200" t="s">
        <v>3043</v>
      </c>
      <c r="L200" t="s">
        <v>3974</v>
      </c>
      <c r="M200" s="2">
        <v>4608</v>
      </c>
      <c r="N200" t="s">
        <v>4556</v>
      </c>
      <c r="O200">
        <v>8</v>
      </c>
      <c r="P200">
        <v>4</v>
      </c>
      <c r="Q200">
        <v>0</v>
      </c>
      <c r="R200" t="s">
        <v>4557</v>
      </c>
      <c r="S200" t="s">
        <v>4135</v>
      </c>
      <c r="T200" t="s">
        <v>4899</v>
      </c>
      <c r="U200" t="s">
        <v>5631</v>
      </c>
      <c r="V200" s="2">
        <v>1280</v>
      </c>
      <c r="W200" t="s">
        <v>4655</v>
      </c>
      <c r="X200" s="2">
        <v>0</v>
      </c>
      <c r="Y200">
        <v>32</v>
      </c>
      <c r="Z200" t="s">
        <v>2705</v>
      </c>
      <c r="AA200" s="3">
        <v>0.23140496015548701</v>
      </c>
      <c r="AB200" t="s">
        <v>6549</v>
      </c>
      <c r="AC200" t="s">
        <v>4562</v>
      </c>
      <c r="AD200" t="s">
        <v>6550</v>
      </c>
      <c r="AE200" t="s">
        <v>4655</v>
      </c>
      <c r="AF200" t="s">
        <v>5201</v>
      </c>
      <c r="AG200" t="s">
        <v>4564</v>
      </c>
      <c r="AH200" t="s">
        <v>3609</v>
      </c>
      <c r="AI200" t="s">
        <v>6551</v>
      </c>
      <c r="AJ200" t="s">
        <v>4655</v>
      </c>
      <c r="AK200" t="s">
        <v>6552</v>
      </c>
      <c r="AL200" s="13" t="s">
        <v>2255</v>
      </c>
      <c r="AM200">
        <v>4</v>
      </c>
      <c r="AN200" s="15" t="s">
        <v>512</v>
      </c>
    </row>
    <row r="201" spans="1:40" x14ac:dyDescent="0.3">
      <c r="A201" s="10" t="str">
        <f>HYPERLINK("http://www.washoecounty.gov/assessor/cama/?parid=003-236-04&amp;CardNumber=1","003-236-04")</f>
        <v>003-236-04</v>
      </c>
      <c r="B201" t="s">
        <v>4655</v>
      </c>
      <c r="C201" t="s">
        <v>6553</v>
      </c>
      <c r="D201" s="1">
        <v>40395</v>
      </c>
      <c r="E201" s="2">
        <v>495000</v>
      </c>
      <c r="F201" t="s">
        <v>4567</v>
      </c>
      <c r="G201" s="17" t="str">
        <f>HYPERLINK("https://www.washoecounty.gov/assessor/cama/?command=sales&amp;parid=00323604","3909157")</f>
        <v>3909157</v>
      </c>
      <c r="H201" t="s">
        <v>843</v>
      </c>
      <c r="I201">
        <v>1979</v>
      </c>
      <c r="J201">
        <v>1979</v>
      </c>
      <c r="K201" t="s">
        <v>3043</v>
      </c>
      <c r="L201" t="s">
        <v>3974</v>
      </c>
      <c r="M201" s="2">
        <v>5408</v>
      </c>
      <c r="N201" t="s">
        <v>4048</v>
      </c>
      <c r="O201">
        <v>8</v>
      </c>
      <c r="P201">
        <v>8</v>
      </c>
      <c r="Q201">
        <v>0</v>
      </c>
      <c r="R201" t="s">
        <v>4557</v>
      </c>
      <c r="S201" t="s">
        <v>4898</v>
      </c>
      <c r="T201" t="s">
        <v>4899</v>
      </c>
      <c r="U201" t="s">
        <v>4655</v>
      </c>
      <c r="V201" s="2">
        <v>0</v>
      </c>
      <c r="W201" t="s">
        <v>4655</v>
      </c>
      <c r="X201" s="2">
        <v>0</v>
      </c>
      <c r="Y201">
        <v>33</v>
      </c>
      <c r="Z201" t="s">
        <v>2705</v>
      </c>
      <c r="AA201" s="3">
        <v>0.23801653087139099</v>
      </c>
      <c r="AB201" t="s">
        <v>6554</v>
      </c>
      <c r="AC201" t="s">
        <v>4575</v>
      </c>
      <c r="AD201" t="s">
        <v>6555</v>
      </c>
      <c r="AE201" t="s">
        <v>4655</v>
      </c>
      <c r="AF201" t="s">
        <v>4563</v>
      </c>
      <c r="AG201" t="s">
        <v>4564</v>
      </c>
      <c r="AH201" t="s">
        <v>1147</v>
      </c>
      <c r="AI201" t="s">
        <v>6556</v>
      </c>
      <c r="AJ201" t="s">
        <v>4655</v>
      </c>
      <c r="AK201" t="s">
        <v>6557</v>
      </c>
      <c r="AL201" s="13" t="s">
        <v>2255</v>
      </c>
      <c r="AM201" s="14">
        <v>8</v>
      </c>
      <c r="AN201" s="15" t="s">
        <v>512</v>
      </c>
    </row>
    <row r="202" spans="1:40" x14ac:dyDescent="0.3">
      <c r="A202" s="10" t="str">
        <f>HYPERLINK("http://www.washoecounty.gov/assessor/cama/?parid=003-280-01&amp;CardNumber=1","003-280-01")</f>
        <v>003-280-01</v>
      </c>
      <c r="B202" t="s">
        <v>4655</v>
      </c>
      <c r="C202" t="s">
        <v>6558</v>
      </c>
      <c r="D202" s="1">
        <v>40235</v>
      </c>
      <c r="E202" s="2">
        <v>86000</v>
      </c>
      <c r="F202" t="s">
        <v>4567</v>
      </c>
      <c r="G202" s="17" t="str">
        <f>HYPERLINK("https://www.washoecounty.gov/assessor/cama/?command=sales&amp;parid=00328001","3853041")</f>
        <v>3853041</v>
      </c>
      <c r="H202" t="s">
        <v>6559</v>
      </c>
      <c r="I202">
        <v>1984</v>
      </c>
      <c r="J202">
        <v>1984</v>
      </c>
      <c r="K202" t="s">
        <v>4897</v>
      </c>
      <c r="L202" t="s">
        <v>3974</v>
      </c>
      <c r="M202" s="2">
        <v>1210</v>
      </c>
      <c r="N202" t="s">
        <v>4048</v>
      </c>
      <c r="O202">
        <v>2</v>
      </c>
      <c r="P202">
        <v>2</v>
      </c>
      <c r="Q202">
        <v>1</v>
      </c>
      <c r="R202" t="s">
        <v>5281</v>
      </c>
      <c r="S202" t="s">
        <v>3148</v>
      </c>
      <c r="T202" t="s">
        <v>4143</v>
      </c>
      <c r="U202" t="s">
        <v>5631</v>
      </c>
      <c r="V202" s="2">
        <v>376</v>
      </c>
      <c r="W202" t="s">
        <v>4655</v>
      </c>
      <c r="X202" s="2">
        <v>0</v>
      </c>
      <c r="Y202">
        <v>21</v>
      </c>
      <c r="Z202" t="s">
        <v>2705</v>
      </c>
      <c r="AA202" s="3">
        <v>1.0009182617068299E-2</v>
      </c>
      <c r="AB202" t="s">
        <v>6560</v>
      </c>
      <c r="AC202" t="s">
        <v>4562</v>
      </c>
      <c r="AD202" t="s">
        <v>6561</v>
      </c>
      <c r="AE202" t="s">
        <v>4655</v>
      </c>
      <c r="AF202" t="s">
        <v>1189</v>
      </c>
      <c r="AG202" t="s">
        <v>4564</v>
      </c>
      <c r="AH202">
        <v>89107</v>
      </c>
      <c r="AI202" t="s">
        <v>6562</v>
      </c>
      <c r="AJ202" t="s">
        <v>4655</v>
      </c>
      <c r="AK202" t="s">
        <v>6563</v>
      </c>
      <c r="AL202" s="13" t="s">
        <v>2255</v>
      </c>
      <c r="AM202">
        <v>1</v>
      </c>
      <c r="AN202" s="15" t="s">
        <v>6564</v>
      </c>
    </row>
    <row r="203" spans="1:40" x14ac:dyDescent="0.3">
      <c r="A203" s="10" t="str">
        <f>HYPERLINK("http://www.washoecounty.gov/assessor/cama/?parid=003-340-50&amp;CardNumber=1","003-340-50")</f>
        <v>003-340-50</v>
      </c>
      <c r="B203" t="s">
        <v>4655</v>
      </c>
      <c r="C203" t="s">
        <v>6565</v>
      </c>
      <c r="D203" s="1">
        <v>40490</v>
      </c>
      <c r="E203" s="2">
        <v>251000</v>
      </c>
      <c r="F203" t="s">
        <v>4567</v>
      </c>
      <c r="G203" s="17" t="str">
        <f>HYPERLINK("https://www.washoecounty.gov/assessor/cama/?command=sales&amp;parid=00334050","3940923")</f>
        <v>3940923</v>
      </c>
      <c r="H203" t="s">
        <v>6566</v>
      </c>
      <c r="I203">
        <v>1990</v>
      </c>
      <c r="J203">
        <v>1990</v>
      </c>
      <c r="K203" t="s">
        <v>4554</v>
      </c>
      <c r="L203" t="s">
        <v>3974</v>
      </c>
      <c r="M203" s="2">
        <v>3456</v>
      </c>
      <c r="N203" t="s">
        <v>3887</v>
      </c>
      <c r="O203">
        <v>4</v>
      </c>
      <c r="P203">
        <v>3</v>
      </c>
      <c r="Q203">
        <v>0</v>
      </c>
      <c r="R203" t="s">
        <v>4557</v>
      </c>
      <c r="S203" t="s">
        <v>4135</v>
      </c>
      <c r="T203" t="s">
        <v>4559</v>
      </c>
      <c r="U203" t="s">
        <v>4560</v>
      </c>
      <c r="V203" s="2">
        <v>728</v>
      </c>
      <c r="W203" t="s">
        <v>4655</v>
      </c>
      <c r="X203" s="2">
        <v>0</v>
      </c>
      <c r="Y203">
        <v>20</v>
      </c>
      <c r="Z203" t="s">
        <v>5282</v>
      </c>
      <c r="AA203" s="3">
        <v>1.9300045967102</v>
      </c>
      <c r="AB203" t="s">
        <v>6567</v>
      </c>
      <c r="AC203" t="s">
        <v>4575</v>
      </c>
      <c r="AD203" t="s">
        <v>6568</v>
      </c>
      <c r="AE203" t="s">
        <v>4655</v>
      </c>
      <c r="AF203" t="s">
        <v>4563</v>
      </c>
      <c r="AG203" t="s">
        <v>4564</v>
      </c>
      <c r="AH203">
        <v>89512</v>
      </c>
      <c r="AI203" t="s">
        <v>6569</v>
      </c>
      <c r="AJ203" t="s">
        <v>4655</v>
      </c>
      <c r="AK203" t="s">
        <v>6570</v>
      </c>
      <c r="AL203" s="13" t="s">
        <v>2255</v>
      </c>
      <c r="AM203" s="14">
        <v>1</v>
      </c>
      <c r="AN203" s="15" t="s">
        <v>6571</v>
      </c>
    </row>
    <row r="204" spans="1:40" x14ac:dyDescent="0.3">
      <c r="A204" s="10" t="str">
        <f>HYPERLINK("http://www.washoecounty.gov/assessor/cama/?parid=003-390-08&amp;CardNumber=1","003-390-08")</f>
        <v>003-390-08</v>
      </c>
      <c r="B204" t="s">
        <v>4655</v>
      </c>
      <c r="C204" t="s">
        <v>6572</v>
      </c>
      <c r="D204" s="1">
        <v>40325</v>
      </c>
      <c r="E204" s="2">
        <v>209000</v>
      </c>
      <c r="F204" t="s">
        <v>4567</v>
      </c>
      <c r="G204" s="17" t="str">
        <f>HYPERLINK("https://www.washoecounty.gov/assessor/cama/?command=sales&amp;parid=00339008","3886030")</f>
        <v>3886030</v>
      </c>
      <c r="H204" t="s">
        <v>2520</v>
      </c>
      <c r="I204">
        <v>1994</v>
      </c>
      <c r="J204">
        <v>1994</v>
      </c>
      <c r="K204" t="s">
        <v>4554</v>
      </c>
      <c r="L204" t="s">
        <v>4555</v>
      </c>
      <c r="M204" s="2">
        <v>1923</v>
      </c>
      <c r="N204" t="s">
        <v>5280</v>
      </c>
      <c r="O204">
        <v>3</v>
      </c>
      <c r="P204">
        <v>2</v>
      </c>
      <c r="Q204">
        <v>0</v>
      </c>
      <c r="R204" t="s">
        <v>4557</v>
      </c>
      <c r="S204" t="s">
        <v>4558</v>
      </c>
      <c r="T204" t="s">
        <v>4559</v>
      </c>
      <c r="U204" t="s">
        <v>4560</v>
      </c>
      <c r="V204" s="2">
        <v>761</v>
      </c>
      <c r="W204" t="s">
        <v>4655</v>
      </c>
      <c r="X204" s="2">
        <v>0</v>
      </c>
      <c r="Y204">
        <v>20</v>
      </c>
      <c r="Z204" t="s">
        <v>5282</v>
      </c>
      <c r="AA204" s="3">
        <v>0.34898990392684898</v>
      </c>
      <c r="AB204" t="s">
        <v>6573</v>
      </c>
      <c r="AC204" t="s">
        <v>4562</v>
      </c>
      <c r="AD204" t="s">
        <v>6572</v>
      </c>
      <c r="AE204" t="s">
        <v>4655</v>
      </c>
      <c r="AF204" t="s">
        <v>4563</v>
      </c>
      <c r="AG204" t="s">
        <v>4564</v>
      </c>
      <c r="AH204">
        <v>89512</v>
      </c>
      <c r="AI204" t="s">
        <v>6574</v>
      </c>
      <c r="AJ204" t="s">
        <v>4655</v>
      </c>
      <c r="AK204" t="s">
        <v>6575</v>
      </c>
      <c r="AL204" s="13" t="s">
        <v>2255</v>
      </c>
      <c r="AM204" s="14">
        <v>1</v>
      </c>
      <c r="AN204" s="15" t="s">
        <v>1953</v>
      </c>
    </row>
    <row r="205" spans="1:40" x14ac:dyDescent="0.3">
      <c r="A205" s="10" t="str">
        <f>HYPERLINK("http://www.washoecounty.gov/assessor/cama/?parid=003-451-02&amp;CardNumber=1","003-451-02")</f>
        <v>003-451-02</v>
      </c>
      <c r="B205" t="s">
        <v>4655</v>
      </c>
      <c r="C205" t="s">
        <v>6576</v>
      </c>
      <c r="D205" s="1">
        <v>40284</v>
      </c>
      <c r="E205" s="2">
        <v>255000</v>
      </c>
      <c r="F205" t="s">
        <v>4567</v>
      </c>
      <c r="G205" s="17" t="str">
        <f>HYPERLINK("https://www.washoecounty.gov/assessor/cama/?command=sales&amp;parid=00345102","3871840")</f>
        <v>3871840</v>
      </c>
      <c r="H205" t="s">
        <v>673</v>
      </c>
      <c r="I205">
        <v>1984</v>
      </c>
      <c r="J205">
        <v>1984</v>
      </c>
      <c r="K205" t="s">
        <v>4554</v>
      </c>
      <c r="L205" t="s">
        <v>4555</v>
      </c>
      <c r="M205" s="2">
        <v>2283</v>
      </c>
      <c r="N205" t="s">
        <v>5280</v>
      </c>
      <c r="O205">
        <v>3</v>
      </c>
      <c r="P205">
        <v>2</v>
      </c>
      <c r="Q205">
        <v>1</v>
      </c>
      <c r="R205" t="s">
        <v>4557</v>
      </c>
      <c r="S205" t="s">
        <v>3148</v>
      </c>
      <c r="T205" t="s">
        <v>4143</v>
      </c>
      <c r="U205" t="s">
        <v>4560</v>
      </c>
      <c r="V205" s="2">
        <v>462</v>
      </c>
      <c r="W205" t="s">
        <v>4655</v>
      </c>
      <c r="X205" s="2">
        <v>0</v>
      </c>
      <c r="Y205">
        <v>20</v>
      </c>
      <c r="Z205" t="s">
        <v>5282</v>
      </c>
      <c r="AA205" s="3">
        <v>0.339990824460983</v>
      </c>
      <c r="AB205" t="s">
        <v>6577</v>
      </c>
      <c r="AC205" t="s">
        <v>4562</v>
      </c>
      <c r="AD205" t="s">
        <v>6578</v>
      </c>
      <c r="AE205" t="s">
        <v>4655</v>
      </c>
      <c r="AF205" t="s">
        <v>4563</v>
      </c>
      <c r="AG205" t="s">
        <v>4564</v>
      </c>
      <c r="AH205" t="s">
        <v>6579</v>
      </c>
      <c r="AI205" t="s">
        <v>6580</v>
      </c>
      <c r="AJ205" t="s">
        <v>4655</v>
      </c>
      <c r="AK205" t="s">
        <v>6581</v>
      </c>
      <c r="AL205" s="13" t="s">
        <v>2255</v>
      </c>
      <c r="AM205" s="14">
        <v>1</v>
      </c>
      <c r="AN205" s="15" t="s">
        <v>1953</v>
      </c>
    </row>
    <row r="206" spans="1:40" x14ac:dyDescent="0.3">
      <c r="A206" s="10" t="str">
        <f>HYPERLINK("http://www.washoecounty.gov/assessor/cama/?parid=003-462-37&amp;CardNumber=1","003-462-37")</f>
        <v>003-462-37</v>
      </c>
      <c r="B206" t="s">
        <v>4655</v>
      </c>
      <c r="C206" t="s">
        <v>6582</v>
      </c>
      <c r="D206" s="1">
        <v>40268</v>
      </c>
      <c r="E206" s="2">
        <v>284900</v>
      </c>
      <c r="F206" t="s">
        <v>4567</v>
      </c>
      <c r="G206" s="17" t="str">
        <f>HYPERLINK("https://www.washoecounty.gov/assessor/cama/?command=sales&amp;parid=00346237","3866586")</f>
        <v>3866586</v>
      </c>
      <c r="H206" t="s">
        <v>1950</v>
      </c>
      <c r="I206">
        <v>2007</v>
      </c>
      <c r="J206">
        <v>2008</v>
      </c>
      <c r="K206" t="s">
        <v>4554</v>
      </c>
      <c r="L206" t="s">
        <v>3974</v>
      </c>
      <c r="M206" s="2">
        <v>2960</v>
      </c>
      <c r="N206" t="s">
        <v>5280</v>
      </c>
      <c r="O206">
        <v>4</v>
      </c>
      <c r="P206">
        <v>3</v>
      </c>
      <c r="Q206">
        <v>1</v>
      </c>
      <c r="R206" t="s">
        <v>4557</v>
      </c>
      <c r="S206" t="s">
        <v>4898</v>
      </c>
      <c r="T206" t="s">
        <v>4559</v>
      </c>
      <c r="U206" t="s">
        <v>5631</v>
      </c>
      <c r="V206" s="2">
        <v>660</v>
      </c>
      <c r="W206" t="s">
        <v>4655</v>
      </c>
      <c r="X206" s="2">
        <v>0</v>
      </c>
      <c r="Y206">
        <v>20</v>
      </c>
      <c r="Z206" t="s">
        <v>1491</v>
      </c>
      <c r="AA206" s="3">
        <v>0.30399447679519698</v>
      </c>
      <c r="AB206" t="s">
        <v>6583</v>
      </c>
      <c r="AC206" t="s">
        <v>4562</v>
      </c>
      <c r="AD206" t="s">
        <v>6584</v>
      </c>
      <c r="AE206" t="s">
        <v>4655</v>
      </c>
      <c r="AF206" t="s">
        <v>4563</v>
      </c>
      <c r="AG206" t="s">
        <v>4564</v>
      </c>
      <c r="AH206">
        <v>89512</v>
      </c>
      <c r="AI206" t="s">
        <v>6585</v>
      </c>
      <c r="AJ206" t="s">
        <v>4655</v>
      </c>
      <c r="AK206" t="s">
        <v>6586</v>
      </c>
      <c r="AL206" s="13" t="s">
        <v>2255</v>
      </c>
      <c r="AM206" s="14">
        <v>1</v>
      </c>
      <c r="AN206" s="15" t="s">
        <v>1953</v>
      </c>
    </row>
    <row r="207" spans="1:40" x14ac:dyDescent="0.3">
      <c r="A207" s="10" t="str">
        <f>HYPERLINK("http://www.washoecounty.gov/assessor/cama/?parid=003-462-37&amp;CardNumber=1","003-462-37")</f>
        <v>003-462-37</v>
      </c>
      <c r="B207" t="s">
        <v>4655</v>
      </c>
      <c r="C207" t="s">
        <v>6582</v>
      </c>
      <c r="D207" s="1">
        <v>40193</v>
      </c>
      <c r="E207" s="2">
        <v>235250</v>
      </c>
      <c r="F207" t="s">
        <v>4553</v>
      </c>
      <c r="G207" s="17" t="str">
        <f>HYPERLINK("https://www.washoecounty.gov/assessor/cama/?command=sales&amp;parid=00346237","3840150")</f>
        <v>3840150</v>
      </c>
      <c r="H207" t="s">
        <v>1950</v>
      </c>
      <c r="I207">
        <v>2007</v>
      </c>
      <c r="J207">
        <v>2008</v>
      </c>
      <c r="K207" t="s">
        <v>4554</v>
      </c>
      <c r="L207" t="s">
        <v>3974</v>
      </c>
      <c r="M207" s="2">
        <v>2960</v>
      </c>
      <c r="N207" t="s">
        <v>5280</v>
      </c>
      <c r="O207">
        <v>4</v>
      </c>
      <c r="P207">
        <v>3</v>
      </c>
      <c r="Q207">
        <v>1</v>
      </c>
      <c r="R207" t="s">
        <v>4557</v>
      </c>
      <c r="S207" t="s">
        <v>4898</v>
      </c>
      <c r="T207" t="s">
        <v>4559</v>
      </c>
      <c r="U207" t="s">
        <v>5631</v>
      </c>
      <c r="V207" s="2">
        <v>660</v>
      </c>
      <c r="W207" t="s">
        <v>4655</v>
      </c>
      <c r="X207" s="2">
        <v>0</v>
      </c>
      <c r="Y207">
        <v>20</v>
      </c>
      <c r="Z207" t="s">
        <v>1491</v>
      </c>
      <c r="AA207" s="3">
        <v>0.30399447679519698</v>
      </c>
      <c r="AB207" t="s">
        <v>6583</v>
      </c>
      <c r="AC207" t="s">
        <v>4562</v>
      </c>
      <c r="AD207" t="s">
        <v>6584</v>
      </c>
      <c r="AE207" t="s">
        <v>4655</v>
      </c>
      <c r="AF207" t="s">
        <v>4563</v>
      </c>
      <c r="AG207" t="s">
        <v>4564</v>
      </c>
      <c r="AH207">
        <v>89512</v>
      </c>
      <c r="AI207" t="s">
        <v>6585</v>
      </c>
      <c r="AJ207" t="s">
        <v>4655</v>
      </c>
      <c r="AK207" t="s">
        <v>6586</v>
      </c>
      <c r="AL207" s="13" t="s">
        <v>2255</v>
      </c>
      <c r="AM207" s="14">
        <v>1</v>
      </c>
      <c r="AN207" s="15" t="s">
        <v>1953</v>
      </c>
    </row>
    <row r="208" spans="1:40" x14ac:dyDescent="0.3">
      <c r="A208" s="10" t="str">
        <f>HYPERLINK("http://www.washoecounty.gov/assessor/cama/?parid=003-501-03&amp;CardNumber=1","003-501-03")</f>
        <v>003-501-03</v>
      </c>
      <c r="B208" t="s">
        <v>4655</v>
      </c>
      <c r="C208" t="s">
        <v>6587</v>
      </c>
      <c r="D208" s="1">
        <v>40240</v>
      </c>
      <c r="E208" s="2">
        <v>270000</v>
      </c>
      <c r="F208" t="s">
        <v>4567</v>
      </c>
      <c r="G208" s="17" t="str">
        <f>HYPERLINK("https://www.washoecounty.gov/assessor/cama/?command=sales&amp;parid=00350103","3855245")</f>
        <v>3855245</v>
      </c>
      <c r="H208" t="s">
        <v>6588</v>
      </c>
      <c r="I208">
        <v>1988</v>
      </c>
      <c r="J208">
        <v>1988</v>
      </c>
      <c r="K208" t="s">
        <v>4554</v>
      </c>
      <c r="L208" t="s">
        <v>4555</v>
      </c>
      <c r="M208" s="2">
        <v>2187</v>
      </c>
      <c r="N208" t="s">
        <v>3147</v>
      </c>
      <c r="O208">
        <v>3</v>
      </c>
      <c r="P208">
        <v>2</v>
      </c>
      <c r="Q208">
        <v>0</v>
      </c>
      <c r="R208" t="s">
        <v>5281</v>
      </c>
      <c r="S208" t="s">
        <v>4135</v>
      </c>
      <c r="T208" t="s">
        <v>4143</v>
      </c>
      <c r="U208" t="s">
        <v>4560</v>
      </c>
      <c r="V208" s="2">
        <v>430</v>
      </c>
      <c r="W208" t="s">
        <v>4655</v>
      </c>
      <c r="X208" s="2">
        <v>0</v>
      </c>
      <c r="Y208">
        <v>20</v>
      </c>
      <c r="Z208" t="s">
        <v>1491</v>
      </c>
      <c r="AA208" s="3">
        <v>0.36000919342040999</v>
      </c>
      <c r="AB208" t="s">
        <v>6589</v>
      </c>
      <c r="AC208" t="s">
        <v>4562</v>
      </c>
      <c r="AD208" t="s">
        <v>6587</v>
      </c>
      <c r="AE208" t="s">
        <v>4655</v>
      </c>
      <c r="AF208" t="s">
        <v>4563</v>
      </c>
      <c r="AG208" t="s">
        <v>4564</v>
      </c>
      <c r="AH208">
        <v>89512</v>
      </c>
      <c r="AI208" t="s">
        <v>6590</v>
      </c>
      <c r="AJ208" t="s">
        <v>4655</v>
      </c>
      <c r="AK208" t="s">
        <v>6591</v>
      </c>
      <c r="AL208" s="13" t="s">
        <v>2255</v>
      </c>
      <c r="AM208">
        <v>1</v>
      </c>
      <c r="AN208" s="15" t="s">
        <v>1953</v>
      </c>
    </row>
    <row r="209" spans="1:40" x14ac:dyDescent="0.3">
      <c r="A209" s="10" t="str">
        <f>HYPERLINK("http://www.washoecounty.gov/assessor/cama/?parid=003-503-04&amp;CardNumber=1","003-503-04")</f>
        <v>003-503-04</v>
      </c>
      <c r="B209" t="s">
        <v>4655</v>
      </c>
      <c r="C209" t="s">
        <v>6592</v>
      </c>
      <c r="D209" s="1">
        <v>40200</v>
      </c>
      <c r="E209" s="2">
        <v>138543</v>
      </c>
      <c r="F209" t="s">
        <v>4567</v>
      </c>
      <c r="G209" s="17" t="str">
        <f>HYPERLINK("https://www.washoecounty.gov/assessor/cama/?command=sales&amp;parid=00350304","3841986")</f>
        <v>3841986</v>
      </c>
      <c r="H209" t="s">
        <v>1954</v>
      </c>
      <c r="I209">
        <v>1987</v>
      </c>
      <c r="J209">
        <v>1987</v>
      </c>
      <c r="K209" t="s">
        <v>4554</v>
      </c>
      <c r="L209" t="s">
        <v>3974</v>
      </c>
      <c r="M209" s="2">
        <v>1609</v>
      </c>
      <c r="N209" t="s">
        <v>4048</v>
      </c>
      <c r="O209">
        <v>3</v>
      </c>
      <c r="P209">
        <v>3</v>
      </c>
      <c r="Q209">
        <v>1</v>
      </c>
      <c r="R209" t="s">
        <v>4557</v>
      </c>
      <c r="S209" t="s">
        <v>4558</v>
      </c>
      <c r="T209" t="s">
        <v>4559</v>
      </c>
      <c r="U209" t="s">
        <v>4655</v>
      </c>
      <c r="V209" s="2">
        <v>0</v>
      </c>
      <c r="W209" t="s">
        <v>4655</v>
      </c>
      <c r="X209" s="2">
        <v>0</v>
      </c>
      <c r="Y209">
        <v>20</v>
      </c>
      <c r="Z209" t="s">
        <v>385</v>
      </c>
      <c r="AA209" s="3">
        <v>0.189003676176071</v>
      </c>
      <c r="AB209" t="s">
        <v>6593</v>
      </c>
      <c r="AC209" t="s">
        <v>4575</v>
      </c>
      <c r="AD209" t="s">
        <v>6594</v>
      </c>
      <c r="AE209" t="s">
        <v>4655</v>
      </c>
      <c r="AF209" t="s">
        <v>6595</v>
      </c>
      <c r="AG209" t="s">
        <v>4584</v>
      </c>
      <c r="AH209">
        <v>90723</v>
      </c>
      <c r="AI209" t="s">
        <v>6596</v>
      </c>
      <c r="AJ209" t="s">
        <v>4655</v>
      </c>
      <c r="AK209" t="s">
        <v>6597</v>
      </c>
      <c r="AL209" s="13" t="s">
        <v>2255</v>
      </c>
      <c r="AM209">
        <v>1</v>
      </c>
      <c r="AN209" s="15" t="s">
        <v>1265</v>
      </c>
    </row>
    <row r="210" spans="1:40" x14ac:dyDescent="0.3">
      <c r="A210" s="10" t="str">
        <f>HYPERLINK("http://www.washoecounty.gov/assessor/cama/?parid=003-541-20&amp;CardNumber=1","003-541-20")</f>
        <v>003-541-20</v>
      </c>
      <c r="B210" t="s">
        <v>4655</v>
      </c>
      <c r="C210" t="s">
        <v>6598</v>
      </c>
      <c r="D210" s="1">
        <v>40259</v>
      </c>
      <c r="E210" s="2">
        <v>260000</v>
      </c>
      <c r="F210" t="s">
        <v>4553</v>
      </c>
      <c r="G210" s="17" t="str">
        <f>HYPERLINK("https://www.washoecounty.gov/assessor/cama/?command=sales&amp;parid=00354120","3862438")</f>
        <v>3862438</v>
      </c>
      <c r="H210" t="s">
        <v>6599</v>
      </c>
      <c r="I210">
        <v>1990</v>
      </c>
      <c r="J210">
        <v>1990</v>
      </c>
      <c r="K210" t="s">
        <v>4554</v>
      </c>
      <c r="L210" t="s">
        <v>4555</v>
      </c>
      <c r="M210" s="2">
        <v>1851</v>
      </c>
      <c r="N210" t="s">
        <v>5280</v>
      </c>
      <c r="O210">
        <v>3</v>
      </c>
      <c r="P210">
        <v>3</v>
      </c>
      <c r="Q210">
        <v>0</v>
      </c>
      <c r="R210" t="s">
        <v>4557</v>
      </c>
      <c r="S210" t="s">
        <v>4558</v>
      </c>
      <c r="T210" t="s">
        <v>2704</v>
      </c>
      <c r="U210" t="s">
        <v>4560</v>
      </c>
      <c r="V210" s="2">
        <v>503</v>
      </c>
      <c r="W210" t="s">
        <v>3201</v>
      </c>
      <c r="X210" s="2">
        <v>1126</v>
      </c>
      <c r="Y210">
        <v>20</v>
      </c>
      <c r="Z210" t="s">
        <v>1491</v>
      </c>
      <c r="AA210" s="3">
        <v>0.46000918745994601</v>
      </c>
      <c r="AB210" t="s">
        <v>6600</v>
      </c>
      <c r="AC210" t="s">
        <v>4562</v>
      </c>
      <c r="AD210" t="s">
        <v>6598</v>
      </c>
      <c r="AE210" t="s">
        <v>4655</v>
      </c>
      <c r="AF210" t="s">
        <v>4563</v>
      </c>
      <c r="AG210" t="s">
        <v>4564</v>
      </c>
      <c r="AH210">
        <v>89512</v>
      </c>
      <c r="AI210" t="s">
        <v>4145</v>
      </c>
      <c r="AJ210" t="s">
        <v>4655</v>
      </c>
      <c r="AK210" t="s">
        <v>6601</v>
      </c>
      <c r="AL210" s="13" t="s">
        <v>2255</v>
      </c>
      <c r="AM210">
        <v>1</v>
      </c>
      <c r="AN210" s="15" t="s">
        <v>1953</v>
      </c>
    </row>
    <row r="211" spans="1:40" x14ac:dyDescent="0.3">
      <c r="A211" s="10" t="str">
        <f>HYPERLINK("http://www.washoecounty.gov/assessor/cama/?parid=003-542-11&amp;CardNumber=1","003-542-11")</f>
        <v>003-542-11</v>
      </c>
      <c r="B211" t="s">
        <v>4655</v>
      </c>
      <c r="C211" t="s">
        <v>6602</v>
      </c>
      <c r="D211" s="1">
        <v>40203</v>
      </c>
      <c r="E211" s="2">
        <v>256000</v>
      </c>
      <c r="F211" t="s">
        <v>4567</v>
      </c>
      <c r="G211" s="17" t="str">
        <f>HYPERLINK("https://www.washoecounty.gov/assessor/cama/?command=sales&amp;parid=00354211","3842516")</f>
        <v>3842516</v>
      </c>
      <c r="H211" t="s">
        <v>6599</v>
      </c>
      <c r="I211">
        <v>1990</v>
      </c>
      <c r="J211">
        <v>1990</v>
      </c>
      <c r="K211" t="s">
        <v>4554</v>
      </c>
      <c r="L211" t="s">
        <v>4555</v>
      </c>
      <c r="M211" s="2">
        <v>1689</v>
      </c>
      <c r="N211" t="s">
        <v>5280</v>
      </c>
      <c r="O211">
        <v>3</v>
      </c>
      <c r="P211">
        <v>2</v>
      </c>
      <c r="Q211">
        <v>0</v>
      </c>
      <c r="R211" t="s">
        <v>4557</v>
      </c>
      <c r="S211" t="s">
        <v>4558</v>
      </c>
      <c r="T211" t="s">
        <v>3713</v>
      </c>
      <c r="U211" t="s">
        <v>4560</v>
      </c>
      <c r="V211" s="2">
        <v>740</v>
      </c>
      <c r="W211" t="s">
        <v>4655</v>
      </c>
      <c r="X211" s="2">
        <v>0</v>
      </c>
      <c r="Y211">
        <v>20</v>
      </c>
      <c r="Z211" t="s">
        <v>5282</v>
      </c>
      <c r="AA211" s="3">
        <v>0.28900367021560702</v>
      </c>
      <c r="AB211" t="s">
        <v>6603</v>
      </c>
      <c r="AC211" t="s">
        <v>4575</v>
      </c>
      <c r="AD211" t="s">
        <v>6604</v>
      </c>
      <c r="AE211" t="s">
        <v>4655</v>
      </c>
      <c r="AF211" t="s">
        <v>4563</v>
      </c>
      <c r="AG211" t="s">
        <v>4564</v>
      </c>
      <c r="AH211">
        <v>89512</v>
      </c>
      <c r="AI211" t="s">
        <v>6605</v>
      </c>
      <c r="AJ211" t="s">
        <v>4655</v>
      </c>
      <c r="AK211" t="s">
        <v>6606</v>
      </c>
      <c r="AL211" s="13" t="s">
        <v>2255</v>
      </c>
      <c r="AM211">
        <v>1</v>
      </c>
      <c r="AN211" s="15" t="s">
        <v>1953</v>
      </c>
    </row>
    <row r="212" spans="1:40" x14ac:dyDescent="0.3">
      <c r="A212" s="10" t="str">
        <f>HYPERLINK("http://www.washoecounty.gov/assessor/cama/?parid=003-551-10&amp;CardNumber=1","003-551-10")</f>
        <v>003-551-10</v>
      </c>
      <c r="B212" t="s">
        <v>4655</v>
      </c>
      <c r="C212" t="s">
        <v>6607</v>
      </c>
      <c r="D212" s="1">
        <v>40347</v>
      </c>
      <c r="E212" s="2">
        <v>156807</v>
      </c>
      <c r="F212" t="s">
        <v>4567</v>
      </c>
      <c r="G212" s="17" t="str">
        <f>HYPERLINK("https://www.washoecounty.gov/assessor/cama/?command=sales&amp;parid=00355110","3893312")</f>
        <v>3893312</v>
      </c>
      <c r="H212" t="s">
        <v>2174</v>
      </c>
      <c r="I212">
        <v>1993</v>
      </c>
      <c r="J212">
        <v>1993</v>
      </c>
      <c r="K212" t="s">
        <v>4554</v>
      </c>
      <c r="L212" t="s">
        <v>3974</v>
      </c>
      <c r="M212" s="2">
        <v>1940</v>
      </c>
      <c r="N212" t="s">
        <v>5280</v>
      </c>
      <c r="O212">
        <v>3</v>
      </c>
      <c r="P212">
        <v>2</v>
      </c>
      <c r="Q212">
        <v>1</v>
      </c>
      <c r="R212" t="s">
        <v>4557</v>
      </c>
      <c r="S212" t="s">
        <v>4558</v>
      </c>
      <c r="T212" t="s">
        <v>4559</v>
      </c>
      <c r="U212" t="s">
        <v>5631</v>
      </c>
      <c r="V212" s="2">
        <v>410</v>
      </c>
      <c r="W212" t="s">
        <v>4655</v>
      </c>
      <c r="X212" s="2">
        <v>0</v>
      </c>
      <c r="Y212">
        <v>20</v>
      </c>
      <c r="Z212" t="s">
        <v>4561</v>
      </c>
      <c r="AA212" s="3">
        <v>0.17899449169635773</v>
      </c>
      <c r="AB212" t="s">
        <v>6608</v>
      </c>
      <c r="AC212" t="s">
        <v>4562</v>
      </c>
      <c r="AD212" t="s">
        <v>6609</v>
      </c>
      <c r="AE212" t="s">
        <v>4655</v>
      </c>
      <c r="AF212" t="s">
        <v>6610</v>
      </c>
      <c r="AG212" t="s">
        <v>2486</v>
      </c>
      <c r="AH212">
        <v>92071</v>
      </c>
      <c r="AI212" t="s">
        <v>6611</v>
      </c>
      <c r="AJ212" t="s">
        <v>4655</v>
      </c>
      <c r="AK212" t="s">
        <v>6612</v>
      </c>
      <c r="AL212" s="13" t="s">
        <v>2255</v>
      </c>
      <c r="AM212" s="14">
        <v>1</v>
      </c>
      <c r="AN212" s="15" t="s">
        <v>2175</v>
      </c>
    </row>
    <row r="213" spans="1:40" x14ac:dyDescent="0.3">
      <c r="A213" s="10" t="str">
        <f>HYPERLINK("http://www.washoecounty.gov/assessor/cama/?parid=003-552-07&amp;CardNumber=1","003-552-07")</f>
        <v>003-552-07</v>
      </c>
      <c r="B213" t="s">
        <v>4655</v>
      </c>
      <c r="C213" t="s">
        <v>6613</v>
      </c>
      <c r="D213" s="1">
        <v>40233</v>
      </c>
      <c r="E213" s="2">
        <v>225000</v>
      </c>
      <c r="F213" t="s">
        <v>4567</v>
      </c>
      <c r="G213" s="17" t="str">
        <f>HYPERLINK("https://www.washoecounty.gov/assessor/cama/?command=sales&amp;parid=00355207","3852485")</f>
        <v>3852485</v>
      </c>
      <c r="H213" t="s">
        <v>2174</v>
      </c>
      <c r="I213">
        <v>1991</v>
      </c>
      <c r="J213">
        <v>1991</v>
      </c>
      <c r="K213" t="s">
        <v>4554</v>
      </c>
      <c r="L213" t="s">
        <v>3974</v>
      </c>
      <c r="M213" s="2">
        <v>1184</v>
      </c>
      <c r="N213" t="s">
        <v>4048</v>
      </c>
      <c r="O213">
        <v>3</v>
      </c>
      <c r="P213">
        <v>2</v>
      </c>
      <c r="Q213">
        <v>1</v>
      </c>
      <c r="R213" t="s">
        <v>5281</v>
      </c>
      <c r="S213" t="s">
        <v>4558</v>
      </c>
      <c r="T213" t="s">
        <v>4559</v>
      </c>
      <c r="U213" t="s">
        <v>4560</v>
      </c>
      <c r="V213" s="2">
        <v>420</v>
      </c>
      <c r="W213" t="s">
        <v>3201</v>
      </c>
      <c r="X213" s="2">
        <v>1152</v>
      </c>
      <c r="Y213">
        <v>20</v>
      </c>
      <c r="Z213" t="s">
        <v>4561</v>
      </c>
      <c r="AA213" s="3">
        <v>0.60599172115325906</v>
      </c>
      <c r="AB213" t="s">
        <v>6614</v>
      </c>
      <c r="AC213" t="s">
        <v>4562</v>
      </c>
      <c r="AD213" t="s">
        <v>6613</v>
      </c>
      <c r="AE213" t="s">
        <v>4655</v>
      </c>
      <c r="AF213" t="s">
        <v>4563</v>
      </c>
      <c r="AG213" t="s">
        <v>4564</v>
      </c>
      <c r="AH213">
        <v>89503</v>
      </c>
      <c r="AI213" t="s">
        <v>6615</v>
      </c>
      <c r="AJ213" t="s">
        <v>4655</v>
      </c>
      <c r="AK213" t="s">
        <v>6616</v>
      </c>
      <c r="AL213" s="13" t="s">
        <v>2255</v>
      </c>
      <c r="AM213">
        <v>1</v>
      </c>
      <c r="AN213" s="15" t="s">
        <v>2175</v>
      </c>
    </row>
    <row r="214" spans="1:40" x14ac:dyDescent="0.3">
      <c r="A214" s="10" t="str">
        <f>HYPERLINK("http://www.washoecounty.gov/assessor/cama/?parid=003-552-13&amp;CardNumber=1","003-552-13")</f>
        <v>003-552-13</v>
      </c>
      <c r="B214" t="s">
        <v>4655</v>
      </c>
      <c r="C214" t="s">
        <v>6617</v>
      </c>
      <c r="D214" s="1">
        <v>40284</v>
      </c>
      <c r="E214" s="2">
        <v>203000</v>
      </c>
      <c r="F214" t="s">
        <v>4567</v>
      </c>
      <c r="G214" s="17" t="str">
        <f>HYPERLINK("https://www.washoecounty.gov/assessor/cama/?command=sales&amp;parid=00355213","3871913")</f>
        <v>3871913</v>
      </c>
      <c r="H214" t="s">
        <v>2174</v>
      </c>
      <c r="I214">
        <v>1991</v>
      </c>
      <c r="J214">
        <v>1991</v>
      </c>
      <c r="K214" t="s">
        <v>4554</v>
      </c>
      <c r="L214" t="s">
        <v>3974</v>
      </c>
      <c r="M214" s="2">
        <v>1938</v>
      </c>
      <c r="N214" t="s">
        <v>4048</v>
      </c>
      <c r="O214">
        <v>3</v>
      </c>
      <c r="P214">
        <v>2</v>
      </c>
      <c r="Q214">
        <v>1</v>
      </c>
      <c r="R214" t="s">
        <v>4557</v>
      </c>
      <c r="S214" t="s">
        <v>4558</v>
      </c>
      <c r="T214" t="s">
        <v>4559</v>
      </c>
      <c r="U214" t="s">
        <v>4560</v>
      </c>
      <c r="V214" s="2">
        <v>480</v>
      </c>
      <c r="W214" t="s">
        <v>4655</v>
      </c>
      <c r="X214" s="2">
        <v>0</v>
      </c>
      <c r="Y214">
        <v>20</v>
      </c>
      <c r="Z214" t="s">
        <v>4561</v>
      </c>
      <c r="AA214" s="3">
        <v>0.30599173903465299</v>
      </c>
      <c r="AB214" t="s">
        <v>6618</v>
      </c>
      <c r="AC214" t="s">
        <v>4562</v>
      </c>
      <c r="AD214" t="s">
        <v>6617</v>
      </c>
      <c r="AE214" t="s">
        <v>4655</v>
      </c>
      <c r="AF214" t="s">
        <v>4563</v>
      </c>
      <c r="AG214" t="s">
        <v>4564</v>
      </c>
      <c r="AH214">
        <v>89503</v>
      </c>
      <c r="AI214" t="s">
        <v>6619</v>
      </c>
      <c r="AJ214" t="s">
        <v>4655</v>
      </c>
      <c r="AK214" t="s">
        <v>6620</v>
      </c>
      <c r="AL214" s="13" t="s">
        <v>2255</v>
      </c>
      <c r="AM214" s="14">
        <v>1</v>
      </c>
      <c r="AN214" s="15" t="s">
        <v>2175</v>
      </c>
    </row>
    <row r="215" spans="1:40" x14ac:dyDescent="0.3">
      <c r="A215" s="10" t="str">
        <f>HYPERLINK("http://www.washoecounty.gov/assessor/cama/?parid=003-552-20&amp;CardNumber=1","003-552-20")</f>
        <v>003-552-20</v>
      </c>
      <c r="B215" t="s">
        <v>4655</v>
      </c>
      <c r="C215" t="s">
        <v>6621</v>
      </c>
      <c r="D215" s="1">
        <v>40487</v>
      </c>
      <c r="E215" s="2">
        <v>170000</v>
      </c>
      <c r="F215" t="s">
        <v>4567</v>
      </c>
      <c r="G215" s="17" t="str">
        <f>HYPERLINK("https://www.washoecounty.gov/assessor/cama/?command=sales&amp;parid=00355220","3940593")</f>
        <v>3940593</v>
      </c>
      <c r="H215" t="s">
        <v>2174</v>
      </c>
      <c r="I215">
        <v>1990</v>
      </c>
      <c r="J215">
        <v>1990</v>
      </c>
      <c r="K215" t="s">
        <v>4554</v>
      </c>
      <c r="L215" t="s">
        <v>3974</v>
      </c>
      <c r="M215" s="2">
        <v>1712</v>
      </c>
      <c r="N215" t="s">
        <v>4048</v>
      </c>
      <c r="O215">
        <v>3</v>
      </c>
      <c r="P215">
        <v>2</v>
      </c>
      <c r="Q215">
        <v>1</v>
      </c>
      <c r="R215" t="s">
        <v>5281</v>
      </c>
      <c r="S215" t="s">
        <v>4558</v>
      </c>
      <c r="T215" t="s">
        <v>4559</v>
      </c>
      <c r="U215" t="s">
        <v>4560</v>
      </c>
      <c r="V215" s="2">
        <v>410</v>
      </c>
      <c r="W215" t="s">
        <v>4655</v>
      </c>
      <c r="X215" s="2">
        <v>0</v>
      </c>
      <c r="Y215">
        <v>20</v>
      </c>
      <c r="Z215" t="s">
        <v>4561</v>
      </c>
      <c r="AA215" s="3">
        <v>0.25</v>
      </c>
      <c r="AB215" t="s">
        <v>6622</v>
      </c>
      <c r="AC215" t="s">
        <v>4575</v>
      </c>
      <c r="AD215" t="s">
        <v>6621</v>
      </c>
      <c r="AE215" t="s">
        <v>4655</v>
      </c>
      <c r="AF215" t="s">
        <v>4563</v>
      </c>
      <c r="AG215" t="s">
        <v>4564</v>
      </c>
      <c r="AH215">
        <v>89509</v>
      </c>
      <c r="AI215" t="s">
        <v>6623</v>
      </c>
      <c r="AJ215" t="s">
        <v>4655</v>
      </c>
      <c r="AK215" t="s">
        <v>6624</v>
      </c>
      <c r="AL215" s="13" t="s">
        <v>2255</v>
      </c>
      <c r="AM215" s="14">
        <v>1</v>
      </c>
      <c r="AN215" s="15" t="s">
        <v>2175</v>
      </c>
    </row>
    <row r="216" spans="1:40" x14ac:dyDescent="0.3">
      <c r="A216" s="10" t="str">
        <f>HYPERLINK("http://www.washoecounty.gov/assessor/cama/?parid=003-552-23&amp;CardNumber=1","003-552-23")</f>
        <v>003-552-23</v>
      </c>
      <c r="B216" t="s">
        <v>4655</v>
      </c>
      <c r="C216" t="s">
        <v>6625</v>
      </c>
      <c r="D216" s="1">
        <v>40388</v>
      </c>
      <c r="E216" s="2">
        <v>171000</v>
      </c>
      <c r="F216" t="s">
        <v>4553</v>
      </c>
      <c r="G216" s="17" t="str">
        <f>HYPERLINK("https://www.washoecounty.gov/assessor/cama/?command=sales&amp;parid=00355223","3906731")</f>
        <v>3906731</v>
      </c>
      <c r="H216" t="s">
        <v>2174</v>
      </c>
      <c r="I216">
        <v>1991</v>
      </c>
      <c r="J216">
        <v>1991</v>
      </c>
      <c r="K216" t="s">
        <v>4554</v>
      </c>
      <c r="L216" t="s">
        <v>2170</v>
      </c>
      <c r="M216" s="2">
        <v>1890</v>
      </c>
      <c r="N216" t="s">
        <v>4048</v>
      </c>
      <c r="O216">
        <v>3</v>
      </c>
      <c r="P216">
        <v>2</v>
      </c>
      <c r="Q216">
        <v>1</v>
      </c>
      <c r="R216" t="s">
        <v>5281</v>
      </c>
      <c r="S216" t="s">
        <v>4558</v>
      </c>
      <c r="T216" t="s">
        <v>4559</v>
      </c>
      <c r="U216" t="s">
        <v>5631</v>
      </c>
      <c r="V216" s="2">
        <v>440</v>
      </c>
      <c r="W216" t="s">
        <v>4655</v>
      </c>
      <c r="X216" s="2">
        <v>0</v>
      </c>
      <c r="Y216">
        <v>20</v>
      </c>
      <c r="Z216" t="s">
        <v>4561</v>
      </c>
      <c r="AA216" s="3">
        <v>0.22601009905338301</v>
      </c>
      <c r="AB216" t="s">
        <v>6626</v>
      </c>
      <c r="AC216" t="s">
        <v>4562</v>
      </c>
      <c r="AD216" t="s">
        <v>6627</v>
      </c>
      <c r="AE216" t="s">
        <v>4655</v>
      </c>
      <c r="AF216" t="s">
        <v>4563</v>
      </c>
      <c r="AG216" t="s">
        <v>4564</v>
      </c>
      <c r="AH216">
        <v>89503</v>
      </c>
      <c r="AI216" t="s">
        <v>4565</v>
      </c>
      <c r="AJ216" t="s">
        <v>4655</v>
      </c>
      <c r="AK216" t="s">
        <v>6628</v>
      </c>
      <c r="AL216" s="13" t="s">
        <v>2255</v>
      </c>
      <c r="AM216">
        <v>1</v>
      </c>
      <c r="AN216" s="15" t="s">
        <v>2175</v>
      </c>
    </row>
    <row r="217" spans="1:40" x14ac:dyDescent="0.3">
      <c r="A217" s="10" t="str">
        <f>HYPERLINK("http://www.washoecounty.gov/assessor/cama/?parid=003-561-21&amp;CardNumber=1","003-561-21")</f>
        <v>003-561-21</v>
      </c>
      <c r="B217" t="s">
        <v>4655</v>
      </c>
      <c r="C217" t="s">
        <v>6629</v>
      </c>
      <c r="D217" s="1">
        <v>40519</v>
      </c>
      <c r="E217" s="2">
        <v>173500</v>
      </c>
      <c r="F217" t="s">
        <v>4567</v>
      </c>
      <c r="G217" s="17" t="str">
        <f>HYPERLINK("https://www.washoecounty.gov/assessor/cama/?command=sales&amp;parid=00356121","3950394")</f>
        <v>3950394</v>
      </c>
      <c r="H217" t="s">
        <v>2174</v>
      </c>
      <c r="I217">
        <v>1992</v>
      </c>
      <c r="J217">
        <v>1992</v>
      </c>
      <c r="K217" t="s">
        <v>4554</v>
      </c>
      <c r="L217" t="s">
        <v>4555</v>
      </c>
      <c r="M217" s="2">
        <v>972</v>
      </c>
      <c r="N217" t="s">
        <v>4048</v>
      </c>
      <c r="O217">
        <v>2</v>
      </c>
      <c r="P217">
        <v>2</v>
      </c>
      <c r="Q217">
        <v>0</v>
      </c>
      <c r="R217" t="s">
        <v>5281</v>
      </c>
      <c r="S217" t="s">
        <v>4558</v>
      </c>
      <c r="T217" t="s">
        <v>4559</v>
      </c>
      <c r="U217" t="s">
        <v>4560</v>
      </c>
      <c r="V217" s="2">
        <v>460</v>
      </c>
      <c r="W217" t="s">
        <v>3201</v>
      </c>
      <c r="X217" s="2">
        <v>972</v>
      </c>
      <c r="Y217">
        <v>20</v>
      </c>
      <c r="Z217" t="s">
        <v>4561</v>
      </c>
      <c r="AA217" s="3">
        <v>0.173002749681473</v>
      </c>
      <c r="AB217" t="s">
        <v>6630</v>
      </c>
      <c r="AC217" t="s">
        <v>4562</v>
      </c>
      <c r="AD217" t="s">
        <v>6629</v>
      </c>
      <c r="AE217" t="s">
        <v>4655</v>
      </c>
      <c r="AF217" t="s">
        <v>4563</v>
      </c>
      <c r="AG217" t="s">
        <v>4564</v>
      </c>
      <c r="AH217">
        <v>89503</v>
      </c>
      <c r="AI217" t="s">
        <v>6631</v>
      </c>
      <c r="AJ217" t="s">
        <v>4655</v>
      </c>
      <c r="AK217" t="s">
        <v>6632</v>
      </c>
      <c r="AL217" s="13" t="s">
        <v>2255</v>
      </c>
      <c r="AM217" s="14">
        <v>1</v>
      </c>
      <c r="AN217" s="15" t="s">
        <v>2175</v>
      </c>
    </row>
    <row r="218" spans="1:40" x14ac:dyDescent="0.3">
      <c r="A218" s="10" t="str">
        <f>HYPERLINK("http://www.washoecounty.gov/assessor/cama/?parid=003-561-23&amp;CardNumber=1","003-561-23")</f>
        <v>003-561-23</v>
      </c>
      <c r="B218" t="s">
        <v>4655</v>
      </c>
      <c r="C218" t="s">
        <v>6633</v>
      </c>
      <c r="D218" s="1">
        <v>40471</v>
      </c>
      <c r="E218" s="2">
        <v>177500</v>
      </c>
      <c r="F218" t="s">
        <v>4553</v>
      </c>
      <c r="G218" s="17" t="str">
        <f>HYPERLINK("https://www.washoecounty.gov/assessor/cama/?command=sales&amp;parid=00356123","3933233")</f>
        <v>3933233</v>
      </c>
      <c r="H218" t="s">
        <v>2174</v>
      </c>
      <c r="I218">
        <v>1992</v>
      </c>
      <c r="J218">
        <v>1992</v>
      </c>
      <c r="K218" t="s">
        <v>4554</v>
      </c>
      <c r="L218" t="s">
        <v>4555</v>
      </c>
      <c r="M218" s="2">
        <v>1070</v>
      </c>
      <c r="N218" t="s">
        <v>4048</v>
      </c>
      <c r="O218">
        <v>3</v>
      </c>
      <c r="P218">
        <v>2</v>
      </c>
      <c r="Q218">
        <v>1</v>
      </c>
      <c r="R218" t="s">
        <v>4557</v>
      </c>
      <c r="S218" t="s">
        <v>4558</v>
      </c>
      <c r="T218" t="s">
        <v>4559</v>
      </c>
      <c r="U218" t="s">
        <v>4560</v>
      </c>
      <c r="V218" s="2">
        <v>440</v>
      </c>
      <c r="W218" t="s">
        <v>3201</v>
      </c>
      <c r="X218" s="2">
        <v>1070</v>
      </c>
      <c r="Y218">
        <v>20</v>
      </c>
      <c r="Z218" t="s">
        <v>4561</v>
      </c>
      <c r="AA218" s="3">
        <v>0.148002758622169</v>
      </c>
      <c r="AB218" t="s">
        <v>6634</v>
      </c>
      <c r="AC218" t="s">
        <v>4562</v>
      </c>
      <c r="AD218" t="s">
        <v>6635</v>
      </c>
      <c r="AE218" t="s">
        <v>4655</v>
      </c>
      <c r="AF218" t="s">
        <v>4563</v>
      </c>
      <c r="AG218" t="s">
        <v>4564</v>
      </c>
      <c r="AH218">
        <v>89503</v>
      </c>
      <c r="AI218" t="s">
        <v>4524</v>
      </c>
      <c r="AJ218" t="s">
        <v>4655</v>
      </c>
      <c r="AK218" t="s">
        <v>6636</v>
      </c>
      <c r="AL218" s="13" t="s">
        <v>2255</v>
      </c>
      <c r="AM218" s="14">
        <v>1</v>
      </c>
      <c r="AN218" s="15" t="s">
        <v>2175</v>
      </c>
    </row>
    <row r="219" spans="1:40" x14ac:dyDescent="0.3">
      <c r="A219" s="10" t="str">
        <f>HYPERLINK("http://www.washoecounty.gov/assessor/cama/?parid=003-572-07&amp;CardNumber=1","003-572-07")</f>
        <v>003-572-07</v>
      </c>
      <c r="B219" t="s">
        <v>4655</v>
      </c>
      <c r="C219" t="s">
        <v>6637</v>
      </c>
      <c r="D219" s="1">
        <v>40448</v>
      </c>
      <c r="E219" s="2">
        <v>185000</v>
      </c>
      <c r="F219" t="s">
        <v>4567</v>
      </c>
      <c r="G219" s="17" t="str">
        <f>HYPERLINK("https://www.washoecounty.gov/assessor/cama/?command=sales&amp;parid=00357207","3926599")</f>
        <v>3926599</v>
      </c>
      <c r="H219" t="s">
        <v>5182</v>
      </c>
      <c r="I219">
        <v>1993</v>
      </c>
      <c r="J219">
        <v>1993</v>
      </c>
      <c r="K219" t="s">
        <v>4554</v>
      </c>
      <c r="L219" t="s">
        <v>4555</v>
      </c>
      <c r="M219" s="2">
        <v>1489</v>
      </c>
      <c r="N219" t="s">
        <v>5280</v>
      </c>
      <c r="O219">
        <v>3</v>
      </c>
      <c r="P219">
        <v>2</v>
      </c>
      <c r="Q219">
        <v>0</v>
      </c>
      <c r="R219" t="s">
        <v>5281</v>
      </c>
      <c r="S219" t="s">
        <v>4558</v>
      </c>
      <c r="T219" t="s">
        <v>4559</v>
      </c>
      <c r="U219" t="s">
        <v>4560</v>
      </c>
      <c r="V219" s="2">
        <v>720</v>
      </c>
      <c r="W219" t="s">
        <v>4655</v>
      </c>
      <c r="X219" s="2">
        <v>0</v>
      </c>
      <c r="Y219">
        <v>20</v>
      </c>
      <c r="Z219" t="s">
        <v>1491</v>
      </c>
      <c r="AA219" s="3">
        <v>0.26299357414245605</v>
      </c>
      <c r="AB219" t="s">
        <v>6638</v>
      </c>
      <c r="AC219" t="s">
        <v>4562</v>
      </c>
      <c r="AD219" t="s">
        <v>6637</v>
      </c>
      <c r="AE219" t="s">
        <v>4655</v>
      </c>
      <c r="AF219" t="s">
        <v>4563</v>
      </c>
      <c r="AG219" t="s">
        <v>4564</v>
      </c>
      <c r="AH219">
        <v>89512</v>
      </c>
      <c r="AI219" t="s">
        <v>4655</v>
      </c>
      <c r="AJ219" t="s">
        <v>4655</v>
      </c>
      <c r="AK219" t="s">
        <v>6639</v>
      </c>
      <c r="AL219" s="13" t="s">
        <v>2255</v>
      </c>
      <c r="AM219" s="14">
        <v>1</v>
      </c>
      <c r="AN219" s="15" t="s">
        <v>1953</v>
      </c>
    </row>
    <row r="220" spans="1:40" x14ac:dyDescent="0.3">
      <c r="A220" s="10" t="str">
        <f>HYPERLINK("http://www.washoecounty.gov/assessor/cama/?parid=003-631-01&amp;CardNumber=1","003-631-01")</f>
        <v>003-631-01</v>
      </c>
      <c r="B220" t="s">
        <v>4655</v>
      </c>
      <c r="C220" t="s">
        <v>6640</v>
      </c>
      <c r="D220" s="1">
        <v>40504</v>
      </c>
      <c r="E220" s="2">
        <v>235000</v>
      </c>
      <c r="F220" t="s">
        <v>4567</v>
      </c>
      <c r="G220" s="17" t="str">
        <f>HYPERLINK("https://www.washoecounty.gov/assessor/cama/?command=sales&amp;parid=00363101","3945380")</f>
        <v>3945380</v>
      </c>
      <c r="H220" t="s">
        <v>2521</v>
      </c>
      <c r="I220">
        <v>2000</v>
      </c>
      <c r="J220">
        <v>2000</v>
      </c>
      <c r="K220" t="s">
        <v>4554</v>
      </c>
      <c r="L220" t="s">
        <v>4555</v>
      </c>
      <c r="M220" s="2">
        <v>1907</v>
      </c>
      <c r="N220" t="s">
        <v>5280</v>
      </c>
      <c r="O220">
        <v>4</v>
      </c>
      <c r="P220">
        <v>2</v>
      </c>
      <c r="Q220">
        <v>0</v>
      </c>
      <c r="R220" t="s">
        <v>4557</v>
      </c>
      <c r="S220" t="s">
        <v>4898</v>
      </c>
      <c r="T220" t="s">
        <v>2704</v>
      </c>
      <c r="U220" t="s">
        <v>4560</v>
      </c>
      <c r="V220" s="2">
        <v>650</v>
      </c>
      <c r="W220" t="s">
        <v>4655</v>
      </c>
      <c r="X220" s="2">
        <v>0</v>
      </c>
      <c r="Y220">
        <v>20</v>
      </c>
      <c r="Z220" t="s">
        <v>1491</v>
      </c>
      <c r="AA220" s="3">
        <v>0.355991721153259</v>
      </c>
      <c r="AB220" t="s">
        <v>6641</v>
      </c>
      <c r="AC220" t="s">
        <v>4575</v>
      </c>
      <c r="AD220" t="s">
        <v>6642</v>
      </c>
      <c r="AE220" t="s">
        <v>4655</v>
      </c>
      <c r="AF220" t="s">
        <v>4809</v>
      </c>
      <c r="AG220" t="s">
        <v>4564</v>
      </c>
      <c r="AH220" t="s">
        <v>3609</v>
      </c>
      <c r="AI220" t="s">
        <v>6643</v>
      </c>
      <c r="AJ220" t="s">
        <v>2956</v>
      </c>
      <c r="AK220" t="s">
        <v>6644</v>
      </c>
      <c r="AL220" s="13" t="s">
        <v>2255</v>
      </c>
      <c r="AM220">
        <v>1</v>
      </c>
      <c r="AN220" s="15" t="s">
        <v>1953</v>
      </c>
    </row>
    <row r="221" spans="1:40" x14ac:dyDescent="0.3">
      <c r="A221" s="10" t="str">
        <f>HYPERLINK("http://www.washoecounty.gov/assessor/cama/?parid=003-631-12&amp;CardNumber=1","003-631-12")</f>
        <v>003-631-12</v>
      </c>
      <c r="B221" t="s">
        <v>4655</v>
      </c>
      <c r="C221" t="s">
        <v>6645</v>
      </c>
      <c r="D221" s="1">
        <v>40325</v>
      </c>
      <c r="E221" s="2">
        <v>250000</v>
      </c>
      <c r="F221" t="s">
        <v>4567</v>
      </c>
      <c r="G221" s="17" t="str">
        <f>HYPERLINK("https://www.washoecounty.gov/assessor/cama/?command=sales&amp;parid=00363112","3885960")</f>
        <v>3885960</v>
      </c>
      <c r="H221" t="s">
        <v>2521</v>
      </c>
      <c r="I221">
        <v>1999</v>
      </c>
      <c r="J221">
        <v>1999</v>
      </c>
      <c r="K221" t="s">
        <v>4554</v>
      </c>
      <c r="L221" t="s">
        <v>4555</v>
      </c>
      <c r="M221" s="2">
        <v>2170</v>
      </c>
      <c r="N221" t="s">
        <v>5280</v>
      </c>
      <c r="O221">
        <v>3</v>
      </c>
      <c r="P221">
        <v>2</v>
      </c>
      <c r="Q221">
        <v>0</v>
      </c>
      <c r="R221" t="s">
        <v>4557</v>
      </c>
      <c r="S221" t="s">
        <v>4898</v>
      </c>
      <c r="T221" t="s">
        <v>2704</v>
      </c>
      <c r="U221" t="s">
        <v>4560</v>
      </c>
      <c r="V221" s="2">
        <v>656</v>
      </c>
      <c r="W221" t="s">
        <v>4655</v>
      </c>
      <c r="X221" s="2">
        <v>0</v>
      </c>
      <c r="Y221">
        <v>20</v>
      </c>
      <c r="Z221" t="s">
        <v>1491</v>
      </c>
      <c r="AA221" s="3">
        <v>0.54299813508987405</v>
      </c>
      <c r="AB221" t="s">
        <v>6646</v>
      </c>
      <c r="AC221" t="s">
        <v>4562</v>
      </c>
      <c r="AD221" t="s">
        <v>6647</v>
      </c>
      <c r="AE221" t="s">
        <v>4655</v>
      </c>
      <c r="AF221" t="s">
        <v>4563</v>
      </c>
      <c r="AG221" t="s">
        <v>4564</v>
      </c>
      <c r="AH221">
        <v>89512</v>
      </c>
      <c r="AI221" t="s">
        <v>6648</v>
      </c>
      <c r="AJ221" t="s">
        <v>2956</v>
      </c>
      <c r="AK221" t="s">
        <v>6649</v>
      </c>
      <c r="AL221" s="13" t="s">
        <v>2255</v>
      </c>
      <c r="AM221">
        <v>1</v>
      </c>
      <c r="AN221" s="15" t="s">
        <v>1953</v>
      </c>
    </row>
    <row r="222" spans="1:40" x14ac:dyDescent="0.3">
      <c r="A222" s="10" t="str">
        <f>HYPERLINK("http://www.washoecounty.gov/assessor/cama/?parid=003-641-02&amp;CardNumber=1","003-641-02")</f>
        <v>003-641-02</v>
      </c>
      <c r="B222" t="s">
        <v>4655</v>
      </c>
      <c r="C222" t="s">
        <v>6650</v>
      </c>
      <c r="D222" s="1">
        <v>40459</v>
      </c>
      <c r="E222" s="2">
        <v>230000</v>
      </c>
      <c r="F222" t="s">
        <v>4567</v>
      </c>
      <c r="G222" s="17" t="str">
        <f>HYPERLINK("https://www.washoecounty.gov/assessor/cama/?command=sales&amp;parid=00364102","3931094")</f>
        <v>3931094</v>
      </c>
      <c r="H222" t="s">
        <v>2521</v>
      </c>
      <c r="I222">
        <v>2000</v>
      </c>
      <c r="J222">
        <v>2000</v>
      </c>
      <c r="K222" t="s">
        <v>4554</v>
      </c>
      <c r="L222" t="s">
        <v>4555</v>
      </c>
      <c r="M222" s="2">
        <v>1907</v>
      </c>
      <c r="N222" t="s">
        <v>5280</v>
      </c>
      <c r="O222">
        <v>4</v>
      </c>
      <c r="P222">
        <v>2</v>
      </c>
      <c r="Q222">
        <v>0</v>
      </c>
      <c r="R222" t="s">
        <v>4557</v>
      </c>
      <c r="S222" t="s">
        <v>4898</v>
      </c>
      <c r="T222" t="s">
        <v>2704</v>
      </c>
      <c r="U222" t="s">
        <v>4560</v>
      </c>
      <c r="V222" s="2">
        <v>650</v>
      </c>
      <c r="W222" t="s">
        <v>4655</v>
      </c>
      <c r="X222" s="2">
        <v>0</v>
      </c>
      <c r="Y222">
        <v>20</v>
      </c>
      <c r="Z222" t="s">
        <v>1491</v>
      </c>
      <c r="AA222" s="3">
        <v>0.23599632084369701</v>
      </c>
      <c r="AB222" t="s">
        <v>6651</v>
      </c>
      <c r="AC222" t="s">
        <v>4562</v>
      </c>
      <c r="AD222" t="s">
        <v>6650</v>
      </c>
      <c r="AE222" t="s">
        <v>4655</v>
      </c>
      <c r="AF222" t="s">
        <v>4563</v>
      </c>
      <c r="AG222" t="s">
        <v>4564</v>
      </c>
      <c r="AH222">
        <v>89512</v>
      </c>
      <c r="AI222" t="s">
        <v>6652</v>
      </c>
      <c r="AJ222" t="s">
        <v>2956</v>
      </c>
      <c r="AK222" t="s">
        <v>6653</v>
      </c>
      <c r="AL222" s="13" t="s">
        <v>2255</v>
      </c>
      <c r="AM222" s="14">
        <v>1</v>
      </c>
      <c r="AN222" s="15" t="s">
        <v>1953</v>
      </c>
    </row>
    <row r="223" spans="1:40" x14ac:dyDescent="0.3">
      <c r="A223" s="10" t="str">
        <f>HYPERLINK("http://www.washoecounty.gov/assessor/cama/?parid=003-651-13&amp;CardNumber=1","003-651-13")</f>
        <v>003-651-13</v>
      </c>
      <c r="B223" t="s">
        <v>4655</v>
      </c>
      <c r="C223" t="s">
        <v>6654</v>
      </c>
      <c r="D223" s="1">
        <v>40277</v>
      </c>
      <c r="E223" s="2">
        <v>66000</v>
      </c>
      <c r="F223" t="s">
        <v>4553</v>
      </c>
      <c r="G223" s="17" t="str">
        <f>HYPERLINK("https://www.washoecounty.gov/assessor/cama/?command=sales&amp;parid=00365113","3869345")</f>
        <v>3869345</v>
      </c>
      <c r="H223" t="s">
        <v>1647</v>
      </c>
      <c r="I223">
        <v>2003</v>
      </c>
      <c r="J223">
        <v>2003</v>
      </c>
      <c r="K223" t="s">
        <v>4847</v>
      </c>
      <c r="L223" t="s">
        <v>4555</v>
      </c>
      <c r="M223" s="2">
        <v>1566</v>
      </c>
      <c r="N223" t="s">
        <v>5280</v>
      </c>
      <c r="O223">
        <v>3</v>
      </c>
      <c r="P223">
        <v>2</v>
      </c>
      <c r="Q223">
        <v>0</v>
      </c>
      <c r="R223" t="s">
        <v>4557</v>
      </c>
      <c r="S223" t="s">
        <v>4558</v>
      </c>
      <c r="T223" t="s">
        <v>4559</v>
      </c>
      <c r="U223" t="s">
        <v>4655</v>
      </c>
      <c r="V223" s="2">
        <v>0</v>
      </c>
      <c r="W223" t="s">
        <v>4655</v>
      </c>
      <c r="X223" s="2">
        <v>0</v>
      </c>
      <c r="Y223">
        <v>22</v>
      </c>
      <c r="Z223" t="s">
        <v>4051</v>
      </c>
      <c r="AA223" s="3">
        <v>0.140000000596046</v>
      </c>
      <c r="AB223" t="s">
        <v>6655</v>
      </c>
      <c r="AC223" t="s">
        <v>4562</v>
      </c>
      <c r="AD223" t="s">
        <v>1339</v>
      </c>
      <c r="AE223" t="s">
        <v>4655</v>
      </c>
      <c r="AF223" t="s">
        <v>4563</v>
      </c>
      <c r="AG223" t="s">
        <v>4564</v>
      </c>
      <c r="AH223" t="s">
        <v>2330</v>
      </c>
      <c r="AI223" t="s">
        <v>2399</v>
      </c>
      <c r="AJ223" t="s">
        <v>1648</v>
      </c>
      <c r="AK223" t="s">
        <v>6656</v>
      </c>
      <c r="AL223" s="13" t="s">
        <v>2255</v>
      </c>
      <c r="AM223" s="14">
        <v>1</v>
      </c>
      <c r="AN223" s="15" t="s">
        <v>2433</v>
      </c>
    </row>
    <row r="224" spans="1:40" x14ac:dyDescent="0.3">
      <c r="A224" s="10" t="str">
        <f>HYPERLINK("http://www.washoecounty.gov/assessor/cama/?parid=003-652-05&amp;CardNumber=1","003-652-05")</f>
        <v>003-652-05</v>
      </c>
      <c r="B224" t="s">
        <v>4655</v>
      </c>
      <c r="C224" t="s">
        <v>6657</v>
      </c>
      <c r="D224" s="1">
        <v>40359</v>
      </c>
      <c r="E224" s="2">
        <v>58350</v>
      </c>
      <c r="F224" t="s">
        <v>4553</v>
      </c>
      <c r="G224" s="17" t="str">
        <f>HYPERLINK("https://www.washoecounty.gov/assessor/cama/?command=sales&amp;parid=00365205","3897139")</f>
        <v>3897139</v>
      </c>
      <c r="H224" t="s">
        <v>1647</v>
      </c>
      <c r="I224">
        <v>2003</v>
      </c>
      <c r="J224">
        <v>2003</v>
      </c>
      <c r="K224" t="s">
        <v>4847</v>
      </c>
      <c r="L224" t="s">
        <v>4555</v>
      </c>
      <c r="M224" s="2">
        <v>1080</v>
      </c>
      <c r="N224" t="s">
        <v>5280</v>
      </c>
      <c r="O224">
        <v>3</v>
      </c>
      <c r="P224">
        <v>2</v>
      </c>
      <c r="Q224">
        <v>0</v>
      </c>
      <c r="R224" t="s">
        <v>4557</v>
      </c>
      <c r="S224" t="s">
        <v>4558</v>
      </c>
      <c r="T224" t="s">
        <v>4559</v>
      </c>
      <c r="U224" t="s">
        <v>4655</v>
      </c>
      <c r="V224" s="2">
        <v>0</v>
      </c>
      <c r="W224" t="s">
        <v>4655</v>
      </c>
      <c r="X224" s="2">
        <v>0</v>
      </c>
      <c r="Y224">
        <v>22</v>
      </c>
      <c r="Z224" t="s">
        <v>4051</v>
      </c>
      <c r="AA224" s="3">
        <v>0.10000000149011599</v>
      </c>
      <c r="AB224" t="s">
        <v>6658</v>
      </c>
      <c r="AC224" t="s">
        <v>4562</v>
      </c>
      <c r="AD224" t="s">
        <v>6657</v>
      </c>
      <c r="AE224" t="s">
        <v>4655</v>
      </c>
      <c r="AF224" t="s">
        <v>4563</v>
      </c>
      <c r="AG224" t="s">
        <v>4564</v>
      </c>
      <c r="AH224">
        <v>89506</v>
      </c>
      <c r="AI224" t="s">
        <v>4848</v>
      </c>
      <c r="AJ224" t="s">
        <v>1648</v>
      </c>
      <c r="AK224" t="s">
        <v>6659</v>
      </c>
      <c r="AL224" s="13" t="s">
        <v>2255</v>
      </c>
      <c r="AM224">
        <v>1</v>
      </c>
      <c r="AN224" s="15" t="s">
        <v>2433</v>
      </c>
    </row>
    <row r="225" spans="1:40" x14ac:dyDescent="0.3">
      <c r="A225" s="10" t="str">
        <f>HYPERLINK("http://www.washoecounty.gov/assessor/cama/?parid=003-652-15&amp;CardNumber=1","003-652-15")</f>
        <v>003-652-15</v>
      </c>
      <c r="B225" t="s">
        <v>4655</v>
      </c>
      <c r="C225" t="s">
        <v>6660</v>
      </c>
      <c r="D225" s="1">
        <v>40337</v>
      </c>
      <c r="E225" s="2">
        <v>76501</v>
      </c>
      <c r="F225" t="s">
        <v>4553</v>
      </c>
      <c r="G225" s="17" t="str">
        <f>HYPERLINK("https://www.washoecounty.gov/assessor/cama/?command=sales&amp;parid=00365215","3887414")</f>
        <v>3887414</v>
      </c>
      <c r="H225" t="s">
        <v>1647</v>
      </c>
      <c r="I225">
        <v>2002</v>
      </c>
      <c r="J225">
        <v>2002</v>
      </c>
      <c r="K225" t="s">
        <v>4847</v>
      </c>
      <c r="L225" t="s">
        <v>4555</v>
      </c>
      <c r="M225" s="2">
        <v>1404</v>
      </c>
      <c r="N225" t="s">
        <v>5280</v>
      </c>
      <c r="O225">
        <v>3</v>
      </c>
      <c r="P225">
        <v>2</v>
      </c>
      <c r="Q225">
        <v>0</v>
      </c>
      <c r="R225" t="s">
        <v>4557</v>
      </c>
      <c r="S225" t="s">
        <v>4558</v>
      </c>
      <c r="T225" t="s">
        <v>4559</v>
      </c>
      <c r="U225" t="s">
        <v>4655</v>
      </c>
      <c r="V225" s="2">
        <v>0</v>
      </c>
      <c r="W225" t="s">
        <v>4655</v>
      </c>
      <c r="X225" s="2">
        <v>0</v>
      </c>
      <c r="Y225">
        <v>22</v>
      </c>
      <c r="Z225" t="s">
        <v>4051</v>
      </c>
      <c r="AA225" s="3">
        <v>0.109999999403954</v>
      </c>
      <c r="AB225" t="s">
        <v>6661</v>
      </c>
      <c r="AC225" t="s">
        <v>4562</v>
      </c>
      <c r="AD225" t="s">
        <v>6662</v>
      </c>
      <c r="AE225" t="s">
        <v>4655</v>
      </c>
      <c r="AF225" t="s">
        <v>4563</v>
      </c>
      <c r="AG225" t="s">
        <v>4564</v>
      </c>
      <c r="AH225">
        <v>89506</v>
      </c>
      <c r="AI225" t="s">
        <v>4848</v>
      </c>
      <c r="AJ225" t="s">
        <v>1648</v>
      </c>
      <c r="AK225" t="s">
        <v>6663</v>
      </c>
      <c r="AL225" s="13" t="s">
        <v>2255</v>
      </c>
      <c r="AM225">
        <v>1</v>
      </c>
      <c r="AN225" s="15" t="s">
        <v>2433</v>
      </c>
    </row>
    <row r="226" spans="1:40" x14ac:dyDescent="0.3">
      <c r="A226" s="10" t="str">
        <f>HYPERLINK("http://www.washoecounty.gov/assessor/cama/?parid=003-654-01&amp;CardNumber=1","003-654-01")</f>
        <v>003-654-01</v>
      </c>
      <c r="B226" t="s">
        <v>4655</v>
      </c>
      <c r="C226" t="s">
        <v>6664</v>
      </c>
      <c r="D226" s="1">
        <v>40315</v>
      </c>
      <c r="E226" s="2">
        <v>70350</v>
      </c>
      <c r="F226" t="s">
        <v>4553</v>
      </c>
      <c r="G226" s="17" t="str">
        <f>HYPERLINK("https://www.washoecounty.gov/assessor/cama/?command=sales&amp;parid=00365401","3881911")</f>
        <v>3881911</v>
      </c>
      <c r="H226" t="s">
        <v>1647</v>
      </c>
      <c r="I226">
        <v>2002</v>
      </c>
      <c r="J226">
        <v>2002</v>
      </c>
      <c r="K226" t="s">
        <v>4847</v>
      </c>
      <c r="L226" t="s">
        <v>4555</v>
      </c>
      <c r="M226" s="2">
        <v>1404</v>
      </c>
      <c r="N226" t="s">
        <v>5280</v>
      </c>
      <c r="O226">
        <v>3</v>
      </c>
      <c r="P226">
        <v>2</v>
      </c>
      <c r="Q226">
        <v>0</v>
      </c>
      <c r="R226" t="s">
        <v>4557</v>
      </c>
      <c r="S226" t="s">
        <v>4558</v>
      </c>
      <c r="T226" t="s">
        <v>4559</v>
      </c>
      <c r="U226" t="s">
        <v>4655</v>
      </c>
      <c r="V226" s="2">
        <v>0</v>
      </c>
      <c r="W226" t="s">
        <v>4655</v>
      </c>
      <c r="X226" s="2">
        <v>0</v>
      </c>
      <c r="Y226">
        <v>22</v>
      </c>
      <c r="Z226" t="s">
        <v>4051</v>
      </c>
      <c r="AA226" s="3">
        <v>0.129999995231628</v>
      </c>
      <c r="AB226" t="s">
        <v>6665</v>
      </c>
      <c r="AC226" t="s">
        <v>4575</v>
      </c>
      <c r="AD226" t="s">
        <v>6664</v>
      </c>
      <c r="AE226" t="s">
        <v>4655</v>
      </c>
      <c r="AF226" t="s">
        <v>4563</v>
      </c>
      <c r="AG226" t="s">
        <v>4564</v>
      </c>
      <c r="AH226">
        <v>89506</v>
      </c>
      <c r="AI226" t="s">
        <v>4903</v>
      </c>
      <c r="AJ226" t="s">
        <v>1648</v>
      </c>
      <c r="AK226" t="s">
        <v>6666</v>
      </c>
      <c r="AL226" s="13" t="s">
        <v>2255</v>
      </c>
      <c r="AM226">
        <v>1</v>
      </c>
      <c r="AN226" s="15" t="s">
        <v>2433</v>
      </c>
    </row>
    <row r="227" spans="1:40" x14ac:dyDescent="0.3">
      <c r="A227" s="10" t="str">
        <f>HYPERLINK("http://www.washoecounty.gov/assessor/cama/?parid=003-655-03&amp;CardNumber=1","003-655-03")</f>
        <v>003-655-03</v>
      </c>
      <c r="B227" t="s">
        <v>4655</v>
      </c>
      <c r="C227" t="s">
        <v>6667</v>
      </c>
      <c r="D227" s="1">
        <v>40298</v>
      </c>
      <c r="E227" s="2">
        <v>66000</v>
      </c>
      <c r="F227" t="s">
        <v>4567</v>
      </c>
      <c r="G227" s="17" t="str">
        <f>HYPERLINK("https://www.washoecounty.gov/assessor/cama/?command=sales&amp;parid=00365503","3876724")</f>
        <v>3876724</v>
      </c>
      <c r="H227" t="s">
        <v>1647</v>
      </c>
      <c r="I227">
        <v>2002</v>
      </c>
      <c r="J227">
        <v>2002</v>
      </c>
      <c r="K227" t="s">
        <v>4847</v>
      </c>
      <c r="L227" t="s">
        <v>4555</v>
      </c>
      <c r="M227" s="2">
        <v>972</v>
      </c>
      <c r="N227" t="s">
        <v>5280</v>
      </c>
      <c r="O227">
        <v>2</v>
      </c>
      <c r="P227">
        <v>1</v>
      </c>
      <c r="Q227">
        <v>0</v>
      </c>
      <c r="R227" t="s">
        <v>4557</v>
      </c>
      <c r="S227" t="s">
        <v>4558</v>
      </c>
      <c r="T227" t="s">
        <v>4559</v>
      </c>
      <c r="U227" t="s">
        <v>4655</v>
      </c>
      <c r="V227" s="2">
        <v>0</v>
      </c>
      <c r="W227" t="s">
        <v>4655</v>
      </c>
      <c r="X227" s="2">
        <v>0</v>
      </c>
      <c r="Y227">
        <v>22</v>
      </c>
      <c r="Z227" t="s">
        <v>4051</v>
      </c>
      <c r="AA227" s="3">
        <v>0.140000000596046</v>
      </c>
      <c r="AB227" t="s">
        <v>6668</v>
      </c>
      <c r="AC227" t="s">
        <v>4562</v>
      </c>
      <c r="AD227" t="s">
        <v>6667</v>
      </c>
      <c r="AE227" t="s">
        <v>4655</v>
      </c>
      <c r="AF227" t="s">
        <v>4563</v>
      </c>
      <c r="AG227" t="s">
        <v>4564</v>
      </c>
      <c r="AH227">
        <v>89506</v>
      </c>
      <c r="AI227" t="s">
        <v>6669</v>
      </c>
      <c r="AJ227" t="s">
        <v>1648</v>
      </c>
      <c r="AK227" t="s">
        <v>6670</v>
      </c>
      <c r="AL227" s="13" t="s">
        <v>2255</v>
      </c>
      <c r="AM227">
        <v>1</v>
      </c>
      <c r="AN227" s="15" t="s">
        <v>2433</v>
      </c>
    </row>
    <row r="228" spans="1:40" x14ac:dyDescent="0.3">
      <c r="A228" s="10" t="str">
        <f>HYPERLINK("http://www.washoecounty.gov/assessor/cama/?parid=003-661-14&amp;CardNumber=1","003-661-14")</f>
        <v>003-661-14</v>
      </c>
      <c r="B228" t="s">
        <v>4655</v>
      </c>
      <c r="C228" t="s">
        <v>6671</v>
      </c>
      <c r="D228" s="1">
        <v>40361</v>
      </c>
      <c r="E228" s="2">
        <v>68000</v>
      </c>
      <c r="F228" t="s">
        <v>4567</v>
      </c>
      <c r="G228" s="17" t="str">
        <f>HYPERLINK("https://www.washoecounty.gov/assessor/cama/?command=sales&amp;parid=00366114","3898090")</f>
        <v>3898090</v>
      </c>
      <c r="H228" t="s">
        <v>1647</v>
      </c>
      <c r="I228">
        <v>2003</v>
      </c>
      <c r="J228">
        <v>2003</v>
      </c>
      <c r="K228" t="s">
        <v>4847</v>
      </c>
      <c r="L228" t="s">
        <v>4555</v>
      </c>
      <c r="M228" s="2">
        <v>1566</v>
      </c>
      <c r="N228" t="s">
        <v>5280</v>
      </c>
      <c r="O228">
        <v>3</v>
      </c>
      <c r="P228">
        <v>2</v>
      </c>
      <c r="Q228">
        <v>0</v>
      </c>
      <c r="R228" t="s">
        <v>5281</v>
      </c>
      <c r="S228" t="s">
        <v>4558</v>
      </c>
      <c r="T228" t="s">
        <v>4559</v>
      </c>
      <c r="U228" t="s">
        <v>4655</v>
      </c>
      <c r="V228" s="2">
        <v>0</v>
      </c>
      <c r="W228" t="s">
        <v>4655</v>
      </c>
      <c r="X228" s="2">
        <v>0</v>
      </c>
      <c r="Y228">
        <v>22</v>
      </c>
      <c r="Z228" t="s">
        <v>4051</v>
      </c>
      <c r="AA228" s="3">
        <v>0.129999995231628</v>
      </c>
      <c r="AB228" t="s">
        <v>6672</v>
      </c>
      <c r="AC228" t="s">
        <v>4562</v>
      </c>
      <c r="AD228" t="s">
        <v>6671</v>
      </c>
      <c r="AE228" t="s">
        <v>4655</v>
      </c>
      <c r="AF228" t="s">
        <v>4563</v>
      </c>
      <c r="AG228" t="s">
        <v>4564</v>
      </c>
      <c r="AH228">
        <v>89506</v>
      </c>
      <c r="AI228" t="s">
        <v>6673</v>
      </c>
      <c r="AJ228" t="s">
        <v>1648</v>
      </c>
      <c r="AK228" t="s">
        <v>6674</v>
      </c>
      <c r="AL228" s="13" t="s">
        <v>2255</v>
      </c>
      <c r="AM228" s="14">
        <v>1</v>
      </c>
      <c r="AN228" s="15" t="s">
        <v>2433</v>
      </c>
    </row>
    <row r="229" spans="1:40" x14ac:dyDescent="0.3">
      <c r="A229" s="10" t="str">
        <f>HYPERLINK("http://www.washoecounty.gov/assessor/cama/?parid=003-661-15&amp;CardNumber=1","003-661-15")</f>
        <v>003-661-15</v>
      </c>
      <c r="B229" t="s">
        <v>4655</v>
      </c>
      <c r="C229" t="s">
        <v>6675</v>
      </c>
      <c r="D229" s="1">
        <v>40401</v>
      </c>
      <c r="E229" s="2">
        <v>73000</v>
      </c>
      <c r="F229" t="s">
        <v>4567</v>
      </c>
      <c r="G229" s="17" t="str">
        <f>HYPERLINK("https://www.washoecounty.gov/assessor/cama/?command=sales&amp;parid=00366115","3910934")</f>
        <v>3910934</v>
      </c>
      <c r="H229" t="s">
        <v>1647</v>
      </c>
      <c r="I229">
        <v>2003</v>
      </c>
      <c r="J229">
        <v>2003</v>
      </c>
      <c r="K229" t="s">
        <v>4847</v>
      </c>
      <c r="L229" t="s">
        <v>4555</v>
      </c>
      <c r="M229" s="2">
        <v>1080</v>
      </c>
      <c r="N229" t="s">
        <v>5280</v>
      </c>
      <c r="O229">
        <v>3</v>
      </c>
      <c r="P229">
        <v>2</v>
      </c>
      <c r="Q229">
        <v>0</v>
      </c>
      <c r="R229" t="s">
        <v>4557</v>
      </c>
      <c r="S229" t="s">
        <v>4558</v>
      </c>
      <c r="T229" t="s">
        <v>4559</v>
      </c>
      <c r="U229" t="s">
        <v>4655</v>
      </c>
      <c r="V229" s="2">
        <v>0</v>
      </c>
      <c r="W229" t="s">
        <v>4655</v>
      </c>
      <c r="X229" s="2">
        <v>0</v>
      </c>
      <c r="Y229">
        <v>22</v>
      </c>
      <c r="Z229" t="s">
        <v>4051</v>
      </c>
      <c r="AA229" s="3">
        <v>0.10000000149011599</v>
      </c>
      <c r="AB229" t="s">
        <v>6676</v>
      </c>
      <c r="AC229" t="s">
        <v>4575</v>
      </c>
      <c r="AD229" t="s">
        <v>6677</v>
      </c>
      <c r="AE229" t="s">
        <v>4655</v>
      </c>
      <c r="AF229" t="s">
        <v>4563</v>
      </c>
      <c r="AG229" t="s">
        <v>4564</v>
      </c>
      <c r="AH229">
        <v>89508</v>
      </c>
      <c r="AI229" t="s">
        <v>6678</v>
      </c>
      <c r="AJ229" t="s">
        <v>1648</v>
      </c>
      <c r="AK229" t="s">
        <v>6679</v>
      </c>
      <c r="AL229" s="13" t="s">
        <v>2255</v>
      </c>
      <c r="AM229">
        <v>1</v>
      </c>
      <c r="AN229" s="15" t="s">
        <v>2433</v>
      </c>
    </row>
    <row r="230" spans="1:40" x14ac:dyDescent="0.3">
      <c r="A230" s="10" t="str">
        <f>HYPERLINK("http://www.washoecounty.gov/assessor/cama/?parid=003-661-23&amp;CardNumber=1","003-661-23")</f>
        <v>003-661-23</v>
      </c>
      <c r="B230" t="s">
        <v>4655</v>
      </c>
      <c r="C230" t="s">
        <v>6680</v>
      </c>
      <c r="D230" s="1">
        <v>40459</v>
      </c>
      <c r="E230" s="2">
        <v>67000</v>
      </c>
      <c r="F230" t="s">
        <v>4553</v>
      </c>
      <c r="G230" s="17" t="str">
        <f>HYPERLINK("https://www.washoecounty.gov/assessor/cama/?command=sales&amp;parid=00366123","3931191")</f>
        <v>3931191</v>
      </c>
      <c r="H230" t="s">
        <v>1647</v>
      </c>
      <c r="I230">
        <v>2002</v>
      </c>
      <c r="J230">
        <v>2002</v>
      </c>
      <c r="K230" t="s">
        <v>4847</v>
      </c>
      <c r="L230" t="s">
        <v>4555</v>
      </c>
      <c r="M230" s="2">
        <v>1215</v>
      </c>
      <c r="N230" t="s">
        <v>5280</v>
      </c>
      <c r="O230">
        <v>3</v>
      </c>
      <c r="P230">
        <v>2</v>
      </c>
      <c r="Q230">
        <v>0</v>
      </c>
      <c r="R230" t="s">
        <v>4557</v>
      </c>
      <c r="S230" t="s">
        <v>4558</v>
      </c>
      <c r="T230" t="s">
        <v>4559</v>
      </c>
      <c r="U230" t="s">
        <v>4655</v>
      </c>
      <c r="V230" s="2">
        <v>0</v>
      </c>
      <c r="W230" t="s">
        <v>4655</v>
      </c>
      <c r="X230" s="2">
        <v>0</v>
      </c>
      <c r="Y230">
        <v>22</v>
      </c>
      <c r="Z230" t="s">
        <v>4051</v>
      </c>
      <c r="AA230" s="3">
        <v>0.109999999403954</v>
      </c>
      <c r="AB230" t="s">
        <v>6681</v>
      </c>
      <c r="AC230" t="s">
        <v>4562</v>
      </c>
      <c r="AD230" t="s">
        <v>6680</v>
      </c>
      <c r="AE230" t="s">
        <v>4655</v>
      </c>
      <c r="AF230" t="s">
        <v>4563</v>
      </c>
      <c r="AG230" t="s">
        <v>4564</v>
      </c>
      <c r="AH230">
        <v>89506</v>
      </c>
      <c r="AI230" t="s">
        <v>4848</v>
      </c>
      <c r="AJ230" t="s">
        <v>1648</v>
      </c>
      <c r="AK230" t="s">
        <v>6682</v>
      </c>
      <c r="AL230" s="13" t="s">
        <v>2255</v>
      </c>
      <c r="AM230">
        <v>1</v>
      </c>
      <c r="AN230" s="15" t="s">
        <v>2433</v>
      </c>
    </row>
    <row r="231" spans="1:40" x14ac:dyDescent="0.3">
      <c r="A231" s="10" t="str">
        <f>HYPERLINK("http://www.washoecounty.gov/assessor/cama/?parid=003-661-26&amp;CardNumber=1","003-661-26")</f>
        <v>003-661-26</v>
      </c>
      <c r="B231" t="s">
        <v>4655</v>
      </c>
      <c r="C231" t="s">
        <v>6683</v>
      </c>
      <c r="D231" s="1">
        <v>40358</v>
      </c>
      <c r="E231" s="2">
        <v>80000</v>
      </c>
      <c r="F231" t="s">
        <v>4567</v>
      </c>
      <c r="G231" s="17" t="str">
        <f>HYPERLINK("https://www.washoecounty.gov/assessor/cama/?command=sales&amp;parid=00366126","3896729")</f>
        <v>3896729</v>
      </c>
      <c r="H231" t="s">
        <v>1647</v>
      </c>
      <c r="I231">
        <v>2002</v>
      </c>
      <c r="J231">
        <v>2002</v>
      </c>
      <c r="K231" t="s">
        <v>4847</v>
      </c>
      <c r="L231" t="s">
        <v>4555</v>
      </c>
      <c r="M231" s="2">
        <v>1475</v>
      </c>
      <c r="N231" t="s">
        <v>5280</v>
      </c>
      <c r="O231">
        <v>3</v>
      </c>
      <c r="P231">
        <v>2</v>
      </c>
      <c r="Q231">
        <v>0</v>
      </c>
      <c r="R231" t="s">
        <v>5281</v>
      </c>
      <c r="S231" t="s">
        <v>4558</v>
      </c>
      <c r="T231" t="s">
        <v>4559</v>
      </c>
      <c r="U231" t="s">
        <v>4655</v>
      </c>
      <c r="V231" s="2">
        <v>0</v>
      </c>
      <c r="W231" t="s">
        <v>4655</v>
      </c>
      <c r="X231" s="2">
        <v>0</v>
      </c>
      <c r="Y231">
        <v>22</v>
      </c>
      <c r="Z231" t="s">
        <v>4051</v>
      </c>
      <c r="AA231" s="3">
        <v>0.15999999642372131</v>
      </c>
      <c r="AB231" t="s">
        <v>6684</v>
      </c>
      <c r="AC231" t="s">
        <v>4562</v>
      </c>
      <c r="AD231" t="s">
        <v>6685</v>
      </c>
      <c r="AE231" t="s">
        <v>4655</v>
      </c>
      <c r="AF231" t="s">
        <v>4563</v>
      </c>
      <c r="AG231" t="s">
        <v>4564</v>
      </c>
      <c r="AH231">
        <v>89506</v>
      </c>
      <c r="AI231" t="s">
        <v>6686</v>
      </c>
      <c r="AJ231" t="s">
        <v>1648</v>
      </c>
      <c r="AK231" t="s">
        <v>6687</v>
      </c>
      <c r="AL231" s="13" t="s">
        <v>2255</v>
      </c>
      <c r="AM231">
        <v>1</v>
      </c>
      <c r="AN231" s="15" t="s">
        <v>2433</v>
      </c>
    </row>
    <row r="232" spans="1:40" x14ac:dyDescent="0.3">
      <c r="A232" s="10" t="str">
        <f>HYPERLINK("http://www.washoecounty.gov/assessor/cama/?parid=003-662-08&amp;CardNumber=1","003-662-08")</f>
        <v>003-662-08</v>
      </c>
      <c r="B232" t="s">
        <v>4655</v>
      </c>
      <c r="C232" t="s">
        <v>6688</v>
      </c>
      <c r="D232" s="1">
        <v>40248</v>
      </c>
      <c r="E232" s="2">
        <v>80000</v>
      </c>
      <c r="F232" t="s">
        <v>4553</v>
      </c>
      <c r="G232" s="17" t="str">
        <f>HYPERLINK("https://www.washoecounty.gov/assessor/cama/?command=sales&amp;parid=00366208","3858701")</f>
        <v>3858701</v>
      </c>
      <c r="H232" t="s">
        <v>1647</v>
      </c>
      <c r="I232">
        <v>2003</v>
      </c>
      <c r="J232">
        <v>2003</v>
      </c>
      <c r="K232" t="s">
        <v>4847</v>
      </c>
      <c r="L232" t="s">
        <v>4555</v>
      </c>
      <c r="M232" s="2">
        <v>1477</v>
      </c>
      <c r="N232" t="s">
        <v>5280</v>
      </c>
      <c r="O232">
        <v>3</v>
      </c>
      <c r="P232">
        <v>2</v>
      </c>
      <c r="Q232">
        <v>0</v>
      </c>
      <c r="R232" t="s">
        <v>4557</v>
      </c>
      <c r="S232" t="s">
        <v>4558</v>
      </c>
      <c r="T232" t="s">
        <v>4559</v>
      </c>
      <c r="U232" t="s">
        <v>4655</v>
      </c>
      <c r="V232" s="2">
        <v>0</v>
      </c>
      <c r="W232" t="s">
        <v>4655</v>
      </c>
      <c r="X232" s="2">
        <v>0</v>
      </c>
      <c r="Y232">
        <v>22</v>
      </c>
      <c r="Z232" t="s">
        <v>4051</v>
      </c>
      <c r="AA232" s="3">
        <v>0.109999999403954</v>
      </c>
      <c r="AB232" t="s">
        <v>6689</v>
      </c>
      <c r="AC232" t="s">
        <v>4562</v>
      </c>
      <c r="AD232" t="s">
        <v>6688</v>
      </c>
      <c r="AE232" t="s">
        <v>4655</v>
      </c>
      <c r="AF232" t="s">
        <v>4563</v>
      </c>
      <c r="AG232" t="s">
        <v>4564</v>
      </c>
      <c r="AH232">
        <v>89506</v>
      </c>
      <c r="AI232" t="s">
        <v>4655</v>
      </c>
      <c r="AJ232" t="s">
        <v>1648</v>
      </c>
      <c r="AK232" t="s">
        <v>6690</v>
      </c>
      <c r="AL232" s="13" t="s">
        <v>2255</v>
      </c>
      <c r="AM232">
        <v>1</v>
      </c>
      <c r="AN232" s="15" t="s">
        <v>2433</v>
      </c>
    </row>
    <row r="233" spans="1:40" x14ac:dyDescent="0.3">
      <c r="A233" s="10" t="str">
        <f>HYPERLINK("http://www.washoecounty.gov/assessor/cama/?parid=003-681-03&amp;CardNumber=1","003-681-03")</f>
        <v>003-681-03</v>
      </c>
      <c r="B233" t="s">
        <v>4655</v>
      </c>
      <c r="C233" t="s">
        <v>2466</v>
      </c>
      <c r="D233" s="1">
        <v>40331</v>
      </c>
      <c r="E233" s="2">
        <v>183392</v>
      </c>
      <c r="F233" t="s">
        <v>4553</v>
      </c>
      <c r="G233" s="17" t="str">
        <f>HYPERLINK("https://www.washoecounty.gov/assessor/cama/?command=sales&amp;parid=00368103","3887489")</f>
        <v>3887489</v>
      </c>
      <c r="H233" t="s">
        <v>1266</v>
      </c>
      <c r="I233">
        <v>2005</v>
      </c>
      <c r="J233">
        <v>2005</v>
      </c>
      <c r="K233" t="s">
        <v>4554</v>
      </c>
      <c r="L233" t="s">
        <v>3974</v>
      </c>
      <c r="M233" s="2">
        <v>2305</v>
      </c>
      <c r="N233" t="s">
        <v>5280</v>
      </c>
      <c r="O233">
        <v>4</v>
      </c>
      <c r="P233">
        <v>3</v>
      </c>
      <c r="Q233">
        <v>0</v>
      </c>
      <c r="R233" t="s">
        <v>5281</v>
      </c>
      <c r="S233" t="s">
        <v>4898</v>
      </c>
      <c r="T233" t="s">
        <v>4559</v>
      </c>
      <c r="U233" t="s">
        <v>4560</v>
      </c>
      <c r="V233" s="2">
        <v>651</v>
      </c>
      <c r="W233" t="s">
        <v>4655</v>
      </c>
      <c r="X233" s="2">
        <v>0</v>
      </c>
      <c r="Y233">
        <v>20</v>
      </c>
      <c r="Z233" t="s">
        <v>5282</v>
      </c>
      <c r="AA233" s="3">
        <v>0.23298898339271545</v>
      </c>
      <c r="AB233" t="s">
        <v>372</v>
      </c>
      <c r="AC233" t="s">
        <v>4562</v>
      </c>
      <c r="AD233" t="s">
        <v>2212</v>
      </c>
      <c r="AE233" t="s">
        <v>4655</v>
      </c>
      <c r="AF233" t="s">
        <v>4563</v>
      </c>
      <c r="AG233" t="s">
        <v>4564</v>
      </c>
      <c r="AH233">
        <v>89512</v>
      </c>
      <c r="AI233" t="s">
        <v>2615</v>
      </c>
      <c r="AJ233" t="s">
        <v>16</v>
      </c>
      <c r="AK233" t="s">
        <v>4293</v>
      </c>
      <c r="AL233" s="13" t="s">
        <v>2255</v>
      </c>
      <c r="AM233">
        <v>1</v>
      </c>
      <c r="AN233" s="15" t="s">
        <v>1953</v>
      </c>
    </row>
    <row r="234" spans="1:40" x14ac:dyDescent="0.3">
      <c r="A234" s="10" t="str">
        <f>HYPERLINK("http://www.washoecounty.gov/assessor/cama/?parid=003-681-03&amp;CardNumber=1","003-681-03")</f>
        <v>003-681-03</v>
      </c>
      <c r="B234" t="s">
        <v>4655</v>
      </c>
      <c r="C234" t="s">
        <v>2466</v>
      </c>
      <c r="D234" s="1">
        <v>40360</v>
      </c>
      <c r="E234" s="2">
        <v>214000</v>
      </c>
      <c r="F234" t="s">
        <v>4567</v>
      </c>
      <c r="G234" s="17" t="str">
        <f>HYPERLINK("https://www.washoecounty.gov/assessor/cama/?command=sales&amp;parid=00368103","3897717")</f>
        <v>3897717</v>
      </c>
      <c r="H234" t="s">
        <v>1266</v>
      </c>
      <c r="I234">
        <v>2005</v>
      </c>
      <c r="J234">
        <v>2005</v>
      </c>
      <c r="K234" t="s">
        <v>4554</v>
      </c>
      <c r="L234" t="s">
        <v>3974</v>
      </c>
      <c r="M234" s="2">
        <v>2305</v>
      </c>
      <c r="N234" t="s">
        <v>5280</v>
      </c>
      <c r="O234">
        <v>4</v>
      </c>
      <c r="P234">
        <v>3</v>
      </c>
      <c r="Q234">
        <v>0</v>
      </c>
      <c r="R234" t="s">
        <v>5281</v>
      </c>
      <c r="S234" t="s">
        <v>4898</v>
      </c>
      <c r="T234" t="s">
        <v>4559</v>
      </c>
      <c r="U234" t="s">
        <v>4560</v>
      </c>
      <c r="V234" s="2">
        <v>651</v>
      </c>
      <c r="W234" t="s">
        <v>4655</v>
      </c>
      <c r="X234" s="2">
        <v>0</v>
      </c>
      <c r="Y234">
        <v>20</v>
      </c>
      <c r="Z234" t="s">
        <v>5282</v>
      </c>
      <c r="AA234" s="3">
        <v>0.23298898339271545</v>
      </c>
      <c r="AB234" t="s">
        <v>372</v>
      </c>
      <c r="AC234" t="s">
        <v>4562</v>
      </c>
      <c r="AD234" t="s">
        <v>2212</v>
      </c>
      <c r="AE234" t="s">
        <v>4655</v>
      </c>
      <c r="AF234" t="s">
        <v>4563</v>
      </c>
      <c r="AG234" t="s">
        <v>4564</v>
      </c>
      <c r="AH234">
        <v>89512</v>
      </c>
      <c r="AI234" t="s">
        <v>2615</v>
      </c>
      <c r="AJ234" t="s">
        <v>16</v>
      </c>
      <c r="AK234" t="s">
        <v>4293</v>
      </c>
      <c r="AL234" s="13" t="s">
        <v>2255</v>
      </c>
      <c r="AM234">
        <v>1</v>
      </c>
      <c r="AN234" s="15" t="s">
        <v>1953</v>
      </c>
    </row>
    <row r="235" spans="1:40" x14ac:dyDescent="0.3">
      <c r="A235" s="10" t="str">
        <f>HYPERLINK("http://www.washoecounty.gov/assessor/cama/?parid=003-681-08&amp;CardNumber=1","003-681-08")</f>
        <v>003-681-08</v>
      </c>
      <c r="B235" t="s">
        <v>4655</v>
      </c>
      <c r="C235" t="s">
        <v>6691</v>
      </c>
      <c r="D235" s="1">
        <v>40193</v>
      </c>
      <c r="E235" s="2">
        <v>245000</v>
      </c>
      <c r="F235" t="s">
        <v>4553</v>
      </c>
      <c r="G235" s="17" t="str">
        <f>HYPERLINK("https://www.washoecounty.gov/assessor/cama/?command=sales&amp;parid=00368108","3840189")</f>
        <v>3840189</v>
      </c>
      <c r="H235" t="s">
        <v>1266</v>
      </c>
      <c r="I235">
        <v>2005</v>
      </c>
      <c r="J235">
        <v>2005</v>
      </c>
      <c r="K235" t="s">
        <v>4554</v>
      </c>
      <c r="L235" t="s">
        <v>3974</v>
      </c>
      <c r="M235" s="2">
        <v>1949</v>
      </c>
      <c r="N235" t="s">
        <v>5280</v>
      </c>
      <c r="O235">
        <v>3</v>
      </c>
      <c r="P235">
        <v>2</v>
      </c>
      <c r="Q235">
        <v>1</v>
      </c>
      <c r="R235" t="s">
        <v>5281</v>
      </c>
      <c r="S235" t="s">
        <v>4898</v>
      </c>
      <c r="T235" t="s">
        <v>4559</v>
      </c>
      <c r="U235" t="s">
        <v>4560</v>
      </c>
      <c r="V235" s="2">
        <v>644</v>
      </c>
      <c r="W235" t="s">
        <v>4655</v>
      </c>
      <c r="X235" s="2">
        <v>0</v>
      </c>
      <c r="Y235">
        <v>20</v>
      </c>
      <c r="Z235" t="s">
        <v>5282</v>
      </c>
      <c r="AA235" s="3">
        <v>0.26000916957855202</v>
      </c>
      <c r="AB235" t="s">
        <v>6692</v>
      </c>
      <c r="AC235" t="s">
        <v>4562</v>
      </c>
      <c r="AD235" t="s">
        <v>6693</v>
      </c>
      <c r="AE235" t="s">
        <v>4655</v>
      </c>
      <c r="AF235" t="s">
        <v>4563</v>
      </c>
      <c r="AG235" t="s">
        <v>4564</v>
      </c>
      <c r="AH235">
        <v>89512</v>
      </c>
      <c r="AI235" t="s">
        <v>1267</v>
      </c>
      <c r="AJ235" t="s">
        <v>16</v>
      </c>
      <c r="AK235" t="s">
        <v>6694</v>
      </c>
      <c r="AL235" s="13" t="s">
        <v>2255</v>
      </c>
      <c r="AM235">
        <v>1</v>
      </c>
      <c r="AN235" s="15" t="s">
        <v>1953</v>
      </c>
    </row>
    <row r="236" spans="1:40" x14ac:dyDescent="0.3">
      <c r="A236" s="10" t="str">
        <f>HYPERLINK("http://www.washoecounty.gov/assessor/cama/?parid=003-681-09&amp;CardNumber=1","003-681-09")</f>
        <v>003-681-09</v>
      </c>
      <c r="B236" t="s">
        <v>4655</v>
      </c>
      <c r="C236" t="s">
        <v>6695</v>
      </c>
      <c r="D236" s="1">
        <v>40310</v>
      </c>
      <c r="E236" s="2">
        <v>250000</v>
      </c>
      <c r="F236" t="s">
        <v>4553</v>
      </c>
      <c r="G236" s="17" t="str">
        <f>HYPERLINK("https://www.washoecounty.gov/assessor/cama/?command=sales&amp;parid=00368109","3880931")</f>
        <v>3880931</v>
      </c>
      <c r="H236" t="s">
        <v>1266</v>
      </c>
      <c r="I236">
        <v>2005</v>
      </c>
      <c r="J236">
        <v>2005</v>
      </c>
      <c r="K236" t="s">
        <v>4554</v>
      </c>
      <c r="L236" t="s">
        <v>3974</v>
      </c>
      <c r="M236" s="2">
        <v>2305</v>
      </c>
      <c r="N236" t="s">
        <v>5280</v>
      </c>
      <c r="O236">
        <v>4</v>
      </c>
      <c r="P236">
        <v>3</v>
      </c>
      <c r="Q236">
        <v>0</v>
      </c>
      <c r="R236" t="s">
        <v>5281</v>
      </c>
      <c r="S236" t="s">
        <v>4898</v>
      </c>
      <c r="T236" t="s">
        <v>4559</v>
      </c>
      <c r="U236" t="s">
        <v>4560</v>
      </c>
      <c r="V236" s="2">
        <v>651</v>
      </c>
      <c r="W236" t="s">
        <v>4655</v>
      </c>
      <c r="X236" s="2">
        <v>0</v>
      </c>
      <c r="Y236">
        <v>20</v>
      </c>
      <c r="Z236" t="s">
        <v>5282</v>
      </c>
      <c r="AA236" s="3">
        <v>0.30000001192092901</v>
      </c>
      <c r="AB236" t="s">
        <v>6696</v>
      </c>
      <c r="AC236" t="s">
        <v>4575</v>
      </c>
      <c r="AD236" t="s">
        <v>6697</v>
      </c>
      <c r="AE236" t="s">
        <v>6698</v>
      </c>
      <c r="AF236" t="s">
        <v>4563</v>
      </c>
      <c r="AG236" t="s">
        <v>4564</v>
      </c>
      <c r="AH236">
        <v>89512</v>
      </c>
      <c r="AI236" t="s">
        <v>4585</v>
      </c>
      <c r="AJ236" t="s">
        <v>16</v>
      </c>
      <c r="AK236" t="s">
        <v>6699</v>
      </c>
      <c r="AL236" s="13" t="s">
        <v>2255</v>
      </c>
      <c r="AM236">
        <v>1</v>
      </c>
      <c r="AN236" s="15" t="s">
        <v>1953</v>
      </c>
    </row>
    <row r="237" spans="1:40" x14ac:dyDescent="0.3">
      <c r="A237" s="10" t="str">
        <f>HYPERLINK("http://www.washoecounty.gov/assessor/cama/?parid=003-682-05&amp;CardNumber=1","003-682-05")</f>
        <v>003-682-05</v>
      </c>
      <c r="B237" t="s">
        <v>4655</v>
      </c>
      <c r="C237" t="s">
        <v>6700</v>
      </c>
      <c r="D237" s="1">
        <v>40346</v>
      </c>
      <c r="E237" s="2">
        <v>240000</v>
      </c>
      <c r="F237" t="s">
        <v>4553</v>
      </c>
      <c r="G237" s="17" t="str">
        <f>HYPERLINK("https://www.washoecounty.gov/assessor/cama/?command=sales&amp;parid=00368205","3892982")</f>
        <v>3892982</v>
      </c>
      <c r="H237" t="s">
        <v>1266</v>
      </c>
      <c r="I237">
        <v>2005</v>
      </c>
      <c r="J237">
        <v>2005</v>
      </c>
      <c r="K237" t="s">
        <v>4554</v>
      </c>
      <c r="L237" t="s">
        <v>3974</v>
      </c>
      <c r="M237" s="2">
        <v>2305</v>
      </c>
      <c r="N237" t="s">
        <v>5280</v>
      </c>
      <c r="O237">
        <v>4</v>
      </c>
      <c r="P237">
        <v>3</v>
      </c>
      <c r="Q237">
        <v>0</v>
      </c>
      <c r="R237" t="s">
        <v>5281</v>
      </c>
      <c r="S237" t="s">
        <v>4898</v>
      </c>
      <c r="T237" t="s">
        <v>4559</v>
      </c>
      <c r="U237" t="s">
        <v>4560</v>
      </c>
      <c r="V237" s="2">
        <v>651</v>
      </c>
      <c r="W237" t="s">
        <v>4655</v>
      </c>
      <c r="X237" s="2">
        <v>0</v>
      </c>
      <c r="Y237">
        <v>20</v>
      </c>
      <c r="Z237" t="s">
        <v>5282</v>
      </c>
      <c r="AA237" s="3">
        <v>0.21900826692581199</v>
      </c>
      <c r="AB237" t="s">
        <v>6701</v>
      </c>
      <c r="AC237" t="s">
        <v>4575</v>
      </c>
      <c r="AD237" t="s">
        <v>6702</v>
      </c>
      <c r="AE237" t="s">
        <v>4655</v>
      </c>
      <c r="AF237" t="s">
        <v>4563</v>
      </c>
      <c r="AG237" t="s">
        <v>4564</v>
      </c>
      <c r="AH237">
        <v>89512</v>
      </c>
      <c r="AI237" t="s">
        <v>2351</v>
      </c>
      <c r="AJ237" t="s">
        <v>16</v>
      </c>
      <c r="AK237" t="s">
        <v>6703</v>
      </c>
      <c r="AL237" s="13" t="s">
        <v>2255</v>
      </c>
      <c r="AM237" s="14">
        <v>1</v>
      </c>
      <c r="AN237" s="15" t="s">
        <v>1953</v>
      </c>
    </row>
    <row r="238" spans="1:40" x14ac:dyDescent="0.3">
      <c r="A238" s="10" t="str">
        <f>HYPERLINK("http://www.washoecounty.gov/assessor/cama/?parid=003-683-01&amp;CardNumber=1","003-683-01")</f>
        <v>003-683-01</v>
      </c>
      <c r="B238" t="s">
        <v>4655</v>
      </c>
      <c r="C238" t="s">
        <v>6704</v>
      </c>
      <c r="D238" s="1">
        <v>40423</v>
      </c>
      <c r="E238" s="2">
        <v>185000</v>
      </c>
      <c r="F238" t="s">
        <v>4553</v>
      </c>
      <c r="G238" s="17" t="str">
        <f>HYPERLINK("https://www.washoecounty.gov/assessor/cama/?command=sales&amp;parid=00368301","3918452")</f>
        <v>3918452</v>
      </c>
      <c r="H238" t="s">
        <v>1266</v>
      </c>
      <c r="I238">
        <v>2005</v>
      </c>
      <c r="J238">
        <v>2005</v>
      </c>
      <c r="K238" t="s">
        <v>4554</v>
      </c>
      <c r="L238" t="s">
        <v>4555</v>
      </c>
      <c r="M238" s="2">
        <v>1616</v>
      </c>
      <c r="N238" t="s">
        <v>5280</v>
      </c>
      <c r="O238">
        <v>3</v>
      </c>
      <c r="P238">
        <v>2</v>
      </c>
      <c r="Q238">
        <v>0</v>
      </c>
      <c r="R238" t="s">
        <v>5281</v>
      </c>
      <c r="S238" t="s">
        <v>4898</v>
      </c>
      <c r="T238" t="s">
        <v>4559</v>
      </c>
      <c r="U238" t="s">
        <v>4560</v>
      </c>
      <c r="V238" s="2">
        <v>677</v>
      </c>
      <c r="W238" t="s">
        <v>4655</v>
      </c>
      <c r="X238" s="2">
        <v>0</v>
      </c>
      <c r="Y238">
        <v>20</v>
      </c>
      <c r="Z238" t="s">
        <v>5282</v>
      </c>
      <c r="AA238" s="3">
        <v>0.244008257985115</v>
      </c>
      <c r="AB238" t="s">
        <v>6705</v>
      </c>
      <c r="AC238" t="s">
        <v>4562</v>
      </c>
      <c r="AD238" t="s">
        <v>6704</v>
      </c>
      <c r="AE238" t="s">
        <v>4655</v>
      </c>
      <c r="AF238" t="s">
        <v>4563</v>
      </c>
      <c r="AG238" t="s">
        <v>4564</v>
      </c>
      <c r="AH238">
        <v>89512</v>
      </c>
      <c r="AI238" t="s">
        <v>2009</v>
      </c>
      <c r="AJ238" t="s">
        <v>16</v>
      </c>
      <c r="AK238" t="s">
        <v>6706</v>
      </c>
      <c r="AL238" s="13" t="s">
        <v>2255</v>
      </c>
      <c r="AM238">
        <v>1</v>
      </c>
      <c r="AN238" s="15" t="s">
        <v>1953</v>
      </c>
    </row>
    <row r="239" spans="1:40" x14ac:dyDescent="0.3">
      <c r="A239" s="10" t="str">
        <f>HYPERLINK("http://www.washoecounty.gov/assessor/cama/?parid=003-692-07&amp;CardNumber=1","003-692-07")</f>
        <v>003-692-07</v>
      </c>
      <c r="B239" t="s">
        <v>4655</v>
      </c>
      <c r="C239" t="s">
        <v>6707</v>
      </c>
      <c r="D239" s="1">
        <v>40225</v>
      </c>
      <c r="E239" s="2">
        <v>195000</v>
      </c>
      <c r="F239" t="s">
        <v>4553</v>
      </c>
      <c r="G239" s="17" t="str">
        <f>HYPERLINK("https://www.washoecounty.gov/assessor/cama/?command=sales&amp;parid=00369207","3849665")</f>
        <v>3849665</v>
      </c>
      <c r="H239" t="s">
        <v>1266</v>
      </c>
      <c r="I239">
        <v>2005</v>
      </c>
      <c r="J239">
        <v>2005</v>
      </c>
      <c r="K239" t="s">
        <v>4554</v>
      </c>
      <c r="L239" t="s">
        <v>4555</v>
      </c>
      <c r="M239" s="2">
        <v>1616</v>
      </c>
      <c r="N239" t="s">
        <v>5280</v>
      </c>
      <c r="O239">
        <v>3</v>
      </c>
      <c r="P239">
        <v>2</v>
      </c>
      <c r="Q239">
        <v>0</v>
      </c>
      <c r="R239" t="s">
        <v>5281</v>
      </c>
      <c r="S239" t="s">
        <v>4898</v>
      </c>
      <c r="T239" t="s">
        <v>4559</v>
      </c>
      <c r="U239" t="s">
        <v>4560</v>
      </c>
      <c r="V239" s="2">
        <v>677</v>
      </c>
      <c r="W239" t="s">
        <v>4655</v>
      </c>
      <c r="X239" s="2">
        <v>0</v>
      </c>
      <c r="Y239">
        <v>20</v>
      </c>
      <c r="Z239" t="s">
        <v>5282</v>
      </c>
      <c r="AA239" s="3">
        <v>0.20300734043121299</v>
      </c>
      <c r="AB239" t="s">
        <v>6708</v>
      </c>
      <c r="AC239" t="s">
        <v>4562</v>
      </c>
      <c r="AD239" t="s">
        <v>6707</v>
      </c>
      <c r="AE239" t="s">
        <v>4655</v>
      </c>
      <c r="AF239" t="s">
        <v>4563</v>
      </c>
      <c r="AG239" t="s">
        <v>4564</v>
      </c>
      <c r="AH239">
        <v>89512</v>
      </c>
      <c r="AI239" t="s">
        <v>3916</v>
      </c>
      <c r="AJ239" t="s">
        <v>16</v>
      </c>
      <c r="AK239" t="s">
        <v>6709</v>
      </c>
      <c r="AL239" s="13" t="s">
        <v>2255</v>
      </c>
      <c r="AM239">
        <v>1</v>
      </c>
      <c r="AN239" s="15" t="s">
        <v>1953</v>
      </c>
    </row>
    <row r="240" spans="1:40" x14ac:dyDescent="0.3">
      <c r="A240" s="10" t="str">
        <f>HYPERLINK("http://www.washoecounty.gov/assessor/cama/?parid=003-692-08&amp;CardNumber=1","003-692-08")</f>
        <v>003-692-08</v>
      </c>
      <c r="B240" t="s">
        <v>4655</v>
      </c>
      <c r="C240" t="s">
        <v>6710</v>
      </c>
      <c r="D240" s="1">
        <v>40479</v>
      </c>
      <c r="E240" s="2">
        <v>232900</v>
      </c>
      <c r="F240" t="s">
        <v>4553</v>
      </c>
      <c r="G240" s="17" t="str">
        <f>HYPERLINK("https://www.washoecounty.gov/assessor/cama/?command=sales&amp;parid=00369208","3937705")</f>
        <v>3937705</v>
      </c>
      <c r="H240" t="s">
        <v>1266</v>
      </c>
      <c r="I240">
        <v>2005</v>
      </c>
      <c r="J240">
        <v>2005</v>
      </c>
      <c r="K240" t="s">
        <v>4554</v>
      </c>
      <c r="L240" t="s">
        <v>3974</v>
      </c>
      <c r="M240" s="2">
        <v>2305</v>
      </c>
      <c r="N240" t="s">
        <v>5280</v>
      </c>
      <c r="O240">
        <v>4</v>
      </c>
      <c r="P240">
        <v>3</v>
      </c>
      <c r="Q240">
        <v>0</v>
      </c>
      <c r="R240" t="s">
        <v>5281</v>
      </c>
      <c r="S240" t="s">
        <v>4898</v>
      </c>
      <c r="T240" t="s">
        <v>4559</v>
      </c>
      <c r="U240" t="s">
        <v>4560</v>
      </c>
      <c r="V240" s="2">
        <v>651</v>
      </c>
      <c r="W240" t="s">
        <v>4655</v>
      </c>
      <c r="X240" s="2">
        <v>0</v>
      </c>
      <c r="Y240">
        <v>20</v>
      </c>
      <c r="Z240" t="s">
        <v>5282</v>
      </c>
      <c r="AA240" s="3">
        <v>0.233999088406563</v>
      </c>
      <c r="AB240" t="s">
        <v>6711</v>
      </c>
      <c r="AC240" t="s">
        <v>4562</v>
      </c>
      <c r="AD240" t="s">
        <v>6712</v>
      </c>
      <c r="AE240" t="s">
        <v>4655</v>
      </c>
      <c r="AF240" t="s">
        <v>4563</v>
      </c>
      <c r="AG240" t="s">
        <v>4564</v>
      </c>
      <c r="AH240">
        <v>89512</v>
      </c>
      <c r="AI240" t="s">
        <v>4655</v>
      </c>
      <c r="AJ240" t="s">
        <v>16</v>
      </c>
      <c r="AK240" t="s">
        <v>6713</v>
      </c>
      <c r="AL240" s="13" t="s">
        <v>2255</v>
      </c>
      <c r="AM240" s="14">
        <v>1</v>
      </c>
      <c r="AN240" s="15" t="s">
        <v>1953</v>
      </c>
    </row>
    <row r="241" spans="1:40" x14ac:dyDescent="0.3">
      <c r="A241" s="10" t="str">
        <f>HYPERLINK("http://www.washoecounty.gov/assessor/cama/?parid=003-710-03&amp;CardNumber=1","003-710-03")</f>
        <v>003-710-03</v>
      </c>
      <c r="B241" t="s">
        <v>4655</v>
      </c>
      <c r="C241" t="s">
        <v>6714</v>
      </c>
      <c r="D241" s="1">
        <v>40520</v>
      </c>
      <c r="E241" s="2">
        <v>100000</v>
      </c>
      <c r="F241" t="s">
        <v>4567</v>
      </c>
      <c r="G241" s="17" t="str">
        <f>HYPERLINK("https://www.washoecounty.gov/assessor/cama/?command=sales&amp;parid=00371003","3951096")</f>
        <v>3951096</v>
      </c>
      <c r="H241" t="s">
        <v>5353</v>
      </c>
      <c r="I241">
        <v>2003</v>
      </c>
      <c r="J241">
        <v>2003</v>
      </c>
      <c r="K241" t="s">
        <v>3144</v>
      </c>
      <c r="L241" t="s">
        <v>3974</v>
      </c>
      <c r="M241" s="2">
        <v>1302</v>
      </c>
      <c r="N241" t="s">
        <v>5280</v>
      </c>
      <c r="O241">
        <v>2</v>
      </c>
      <c r="P241">
        <v>2</v>
      </c>
      <c r="Q241">
        <v>1</v>
      </c>
      <c r="R241" t="s">
        <v>5281</v>
      </c>
      <c r="S241" t="s">
        <v>4558</v>
      </c>
      <c r="T241" t="s">
        <v>4559</v>
      </c>
      <c r="U241" t="s">
        <v>4655</v>
      </c>
      <c r="V241" s="2">
        <v>0</v>
      </c>
      <c r="W241" t="s">
        <v>4571</v>
      </c>
      <c r="X241" s="2">
        <v>622</v>
      </c>
      <c r="Y241">
        <v>21</v>
      </c>
      <c r="Z241" t="s">
        <v>4144</v>
      </c>
      <c r="AA241" s="3">
        <v>2.31404956430197E-2</v>
      </c>
      <c r="AB241" t="s">
        <v>6715</v>
      </c>
      <c r="AC241" t="s">
        <v>4562</v>
      </c>
      <c r="AD241" t="s">
        <v>6714</v>
      </c>
      <c r="AE241" t="s">
        <v>4655</v>
      </c>
      <c r="AF241" t="s">
        <v>4563</v>
      </c>
      <c r="AG241" t="s">
        <v>4564</v>
      </c>
      <c r="AH241">
        <v>89503</v>
      </c>
      <c r="AI241" t="s">
        <v>6716</v>
      </c>
      <c r="AJ241" t="s">
        <v>5384</v>
      </c>
      <c r="AK241" t="s">
        <v>6717</v>
      </c>
      <c r="AL241" s="13" t="s">
        <v>2255</v>
      </c>
      <c r="AM241">
        <v>1</v>
      </c>
      <c r="AN241" s="15" t="s">
        <v>5352</v>
      </c>
    </row>
    <row r="242" spans="1:40" x14ac:dyDescent="0.3">
      <c r="A242" s="10" t="str">
        <f>HYPERLINK("http://www.washoecounty.gov/assessor/cama/?parid=003-710-16&amp;CardNumber=1","003-710-16")</f>
        <v>003-710-16</v>
      </c>
      <c r="B242" t="s">
        <v>4655</v>
      </c>
      <c r="C242" t="s">
        <v>6718</v>
      </c>
      <c r="D242" s="1">
        <v>40449</v>
      </c>
      <c r="E242" s="2">
        <v>104000</v>
      </c>
      <c r="F242" t="s">
        <v>4567</v>
      </c>
      <c r="G242" s="17" t="str">
        <f>HYPERLINK("https://www.washoecounty.gov/assessor/cama/?command=sales&amp;parid=00371016","3927023")</f>
        <v>3927023</v>
      </c>
      <c r="H242" t="s">
        <v>5383</v>
      </c>
      <c r="I242">
        <v>2005</v>
      </c>
      <c r="J242">
        <v>2005</v>
      </c>
      <c r="K242" t="s">
        <v>4897</v>
      </c>
      <c r="L242" t="s">
        <v>3974</v>
      </c>
      <c r="M242" s="2">
        <v>1450</v>
      </c>
      <c r="N242" t="s">
        <v>5280</v>
      </c>
      <c r="O242">
        <v>3</v>
      </c>
      <c r="P242">
        <v>2</v>
      </c>
      <c r="Q242">
        <v>1</v>
      </c>
      <c r="R242" t="s">
        <v>5281</v>
      </c>
      <c r="S242" t="s">
        <v>4558</v>
      </c>
      <c r="T242" t="s">
        <v>4559</v>
      </c>
      <c r="U242" t="s">
        <v>4655</v>
      </c>
      <c r="V242" s="2">
        <v>0</v>
      </c>
      <c r="W242" t="s">
        <v>4571</v>
      </c>
      <c r="X242" s="2">
        <v>692</v>
      </c>
      <c r="Y242">
        <v>21</v>
      </c>
      <c r="Z242" t="s">
        <v>4144</v>
      </c>
      <c r="AA242" s="3">
        <v>2.5068869814276699E-2</v>
      </c>
      <c r="AB242" t="s">
        <v>6719</v>
      </c>
      <c r="AC242" t="s">
        <v>4562</v>
      </c>
      <c r="AD242" t="s">
        <v>1743</v>
      </c>
      <c r="AE242" t="s">
        <v>4655</v>
      </c>
      <c r="AF242" t="s">
        <v>4563</v>
      </c>
      <c r="AG242" t="s">
        <v>4564</v>
      </c>
      <c r="AH242">
        <v>89511</v>
      </c>
      <c r="AI242" t="s">
        <v>6720</v>
      </c>
      <c r="AJ242" t="s">
        <v>5384</v>
      </c>
      <c r="AK242" t="s">
        <v>6721</v>
      </c>
      <c r="AL242" s="13" t="s">
        <v>2255</v>
      </c>
      <c r="AM242" s="14">
        <v>1</v>
      </c>
      <c r="AN242" s="15" t="s">
        <v>5352</v>
      </c>
    </row>
    <row r="243" spans="1:40" x14ac:dyDescent="0.3">
      <c r="A243" s="10" t="str">
        <f>HYPERLINK("http://www.washoecounty.gov/assessor/cama/?parid=003-710-21&amp;CardNumber=1","003-710-21")</f>
        <v>003-710-21</v>
      </c>
      <c r="B243" t="s">
        <v>4655</v>
      </c>
      <c r="C243" t="s">
        <v>6722</v>
      </c>
      <c r="D243" s="1">
        <v>40277</v>
      </c>
      <c r="E243" s="2">
        <v>135000</v>
      </c>
      <c r="F243" t="s">
        <v>4567</v>
      </c>
      <c r="G243" s="17" t="str">
        <f>HYPERLINK("https://www.washoecounty.gov/assessor/cama/?command=sales&amp;parid=00371021","3869502")</f>
        <v>3869502</v>
      </c>
      <c r="H243" t="s">
        <v>5383</v>
      </c>
      <c r="I243">
        <v>2005</v>
      </c>
      <c r="J243">
        <v>2005</v>
      </c>
      <c r="K243" t="s">
        <v>4897</v>
      </c>
      <c r="L243" t="s">
        <v>3974</v>
      </c>
      <c r="M243" s="2">
        <v>1450</v>
      </c>
      <c r="N243" t="s">
        <v>5280</v>
      </c>
      <c r="O243">
        <v>3</v>
      </c>
      <c r="P243">
        <v>2</v>
      </c>
      <c r="Q243">
        <v>1</v>
      </c>
      <c r="R243" t="s">
        <v>5281</v>
      </c>
      <c r="S243" t="s">
        <v>4558</v>
      </c>
      <c r="T243" t="s">
        <v>4559</v>
      </c>
      <c r="U243" t="s">
        <v>4655</v>
      </c>
      <c r="V243" s="2">
        <v>0</v>
      </c>
      <c r="W243" t="s">
        <v>4571</v>
      </c>
      <c r="X243" s="2">
        <v>692</v>
      </c>
      <c r="Y243">
        <v>21</v>
      </c>
      <c r="Z243" t="s">
        <v>4144</v>
      </c>
      <c r="AA243" s="3">
        <v>2.5068869814276699E-2</v>
      </c>
      <c r="AB243" t="s">
        <v>6723</v>
      </c>
      <c r="AC243" t="s">
        <v>4562</v>
      </c>
      <c r="AD243" t="s">
        <v>6722</v>
      </c>
      <c r="AE243" t="s">
        <v>4655</v>
      </c>
      <c r="AF243" t="s">
        <v>4563</v>
      </c>
      <c r="AG243" t="s">
        <v>4564</v>
      </c>
      <c r="AH243">
        <v>89503</v>
      </c>
      <c r="AI243" t="s">
        <v>6724</v>
      </c>
      <c r="AJ243" t="s">
        <v>5384</v>
      </c>
      <c r="AK243" t="s">
        <v>6725</v>
      </c>
      <c r="AL243" s="13" t="s">
        <v>2255</v>
      </c>
      <c r="AM243">
        <v>1</v>
      </c>
      <c r="AN243" s="15" t="s">
        <v>5352</v>
      </c>
    </row>
    <row r="244" spans="1:40" x14ac:dyDescent="0.3">
      <c r="A244" s="10" t="str">
        <f>HYPERLINK("http://www.washoecounty.gov/assessor/cama/?parid=003-710-30&amp;CardNumber=1","003-710-30")</f>
        <v>003-710-30</v>
      </c>
      <c r="B244" t="s">
        <v>4655</v>
      </c>
      <c r="C244" t="s">
        <v>6726</v>
      </c>
      <c r="D244" s="1">
        <v>40205</v>
      </c>
      <c r="E244" s="2">
        <v>109000</v>
      </c>
      <c r="F244" t="s">
        <v>4553</v>
      </c>
      <c r="G244" s="17" t="str">
        <f>HYPERLINK("https://www.washoecounty.gov/assessor/cama/?command=sales&amp;parid=00371030","3843270")</f>
        <v>3843270</v>
      </c>
      <c r="H244" t="s">
        <v>5383</v>
      </c>
      <c r="I244">
        <v>2005</v>
      </c>
      <c r="J244">
        <v>2005</v>
      </c>
      <c r="K244" t="s">
        <v>3144</v>
      </c>
      <c r="L244" t="s">
        <v>3974</v>
      </c>
      <c r="M244" s="2">
        <v>1302</v>
      </c>
      <c r="N244" t="s">
        <v>5280</v>
      </c>
      <c r="O244">
        <v>3</v>
      </c>
      <c r="P244">
        <v>2</v>
      </c>
      <c r="Q244">
        <v>1</v>
      </c>
      <c r="R244" t="s">
        <v>5281</v>
      </c>
      <c r="S244" t="s">
        <v>4558</v>
      </c>
      <c r="T244" t="s">
        <v>4559</v>
      </c>
      <c r="U244" t="s">
        <v>4655</v>
      </c>
      <c r="V244" s="2">
        <v>0</v>
      </c>
      <c r="W244" t="s">
        <v>4571</v>
      </c>
      <c r="X244" s="2">
        <v>622</v>
      </c>
      <c r="Y244">
        <v>21</v>
      </c>
      <c r="Z244" t="s">
        <v>4144</v>
      </c>
      <c r="AA244" s="3">
        <v>2.5803489610552802E-2</v>
      </c>
      <c r="AB244" t="s">
        <v>6727</v>
      </c>
      <c r="AC244" t="s">
        <v>4562</v>
      </c>
      <c r="AD244" t="s">
        <v>6726</v>
      </c>
      <c r="AE244" t="s">
        <v>4655</v>
      </c>
      <c r="AF244" t="s">
        <v>4563</v>
      </c>
      <c r="AG244" t="s">
        <v>4564</v>
      </c>
      <c r="AH244">
        <v>89503</v>
      </c>
      <c r="AI244" t="s">
        <v>4045</v>
      </c>
      <c r="AJ244" t="s">
        <v>5384</v>
      </c>
      <c r="AK244" t="s">
        <v>6728</v>
      </c>
      <c r="AL244" s="13" t="s">
        <v>2255</v>
      </c>
      <c r="AM244" s="14">
        <v>1</v>
      </c>
      <c r="AN244" s="15" t="s">
        <v>5352</v>
      </c>
    </row>
    <row r="245" spans="1:40" x14ac:dyDescent="0.3">
      <c r="A245" s="10" t="str">
        <f>HYPERLINK("http://www.washoecounty.gov/assessor/cama/?parid=003-710-41&amp;CardNumber=1","003-710-41")</f>
        <v>003-710-41</v>
      </c>
      <c r="B245" t="s">
        <v>4655</v>
      </c>
      <c r="C245" t="s">
        <v>6729</v>
      </c>
      <c r="D245" s="1">
        <v>40347</v>
      </c>
      <c r="E245" s="2">
        <v>109900</v>
      </c>
      <c r="F245" t="s">
        <v>4567</v>
      </c>
      <c r="G245" s="17" t="str">
        <f>HYPERLINK("https://www.washoecounty.gov/assessor/cama/?command=sales&amp;parid=00371041","3893450")</f>
        <v>3893450</v>
      </c>
      <c r="H245" t="s">
        <v>5383</v>
      </c>
      <c r="I245">
        <v>2003</v>
      </c>
      <c r="J245">
        <v>2003</v>
      </c>
      <c r="K245" t="s">
        <v>4897</v>
      </c>
      <c r="L245" t="s">
        <v>3974</v>
      </c>
      <c r="M245" s="2">
        <v>1302</v>
      </c>
      <c r="N245" t="s">
        <v>5280</v>
      </c>
      <c r="O245">
        <v>2</v>
      </c>
      <c r="P245">
        <v>2</v>
      </c>
      <c r="Q245">
        <v>1</v>
      </c>
      <c r="R245" t="s">
        <v>5281</v>
      </c>
      <c r="S245" t="s">
        <v>4558</v>
      </c>
      <c r="T245" t="s">
        <v>4559</v>
      </c>
      <c r="U245" t="s">
        <v>4655</v>
      </c>
      <c r="V245" s="2">
        <v>0</v>
      </c>
      <c r="W245" t="s">
        <v>4571</v>
      </c>
      <c r="X245" s="2">
        <v>622</v>
      </c>
      <c r="Y245">
        <v>21</v>
      </c>
      <c r="Z245" t="s">
        <v>4144</v>
      </c>
      <c r="AA245" s="3">
        <v>2.3438934236764901E-2</v>
      </c>
      <c r="AB245" t="s">
        <v>6730</v>
      </c>
      <c r="AC245" t="s">
        <v>4562</v>
      </c>
      <c r="AD245" t="s">
        <v>6729</v>
      </c>
      <c r="AE245" t="s">
        <v>4655</v>
      </c>
      <c r="AF245" t="s">
        <v>4563</v>
      </c>
      <c r="AG245" t="s">
        <v>4564</v>
      </c>
      <c r="AH245">
        <v>89503</v>
      </c>
      <c r="AI245" t="s">
        <v>6731</v>
      </c>
      <c r="AJ245" t="s">
        <v>5384</v>
      </c>
      <c r="AK245" t="s">
        <v>6732</v>
      </c>
      <c r="AL245" s="13" t="s">
        <v>2255</v>
      </c>
      <c r="AM245" s="14">
        <v>1</v>
      </c>
      <c r="AN245" s="15" t="s">
        <v>5352</v>
      </c>
    </row>
    <row r="246" spans="1:40" x14ac:dyDescent="0.3">
      <c r="A246" s="10" t="str">
        <f>HYPERLINK("http://www.washoecounty.gov/assessor/cama/?parid=003-710-66&amp;CardNumber=1","003-710-66")</f>
        <v>003-710-66</v>
      </c>
      <c r="B246" t="s">
        <v>4655</v>
      </c>
      <c r="C246" t="s">
        <v>6733</v>
      </c>
      <c r="D246" s="1">
        <v>40255</v>
      </c>
      <c r="E246" s="2">
        <v>130000</v>
      </c>
      <c r="F246" t="s">
        <v>4553</v>
      </c>
      <c r="G246" s="17" t="str">
        <f>HYPERLINK("https://www.washoecounty.gov/assessor/cama/?command=sales&amp;parid=00371066","3860982")</f>
        <v>3860982</v>
      </c>
      <c r="H246" t="s">
        <v>5383</v>
      </c>
      <c r="I246">
        <v>2003</v>
      </c>
      <c r="J246">
        <v>2003</v>
      </c>
      <c r="K246" t="s">
        <v>4897</v>
      </c>
      <c r="L246" t="s">
        <v>3974</v>
      </c>
      <c r="M246" s="2">
        <v>1450</v>
      </c>
      <c r="N246" t="s">
        <v>5280</v>
      </c>
      <c r="O246">
        <v>3</v>
      </c>
      <c r="P246">
        <v>2</v>
      </c>
      <c r="Q246">
        <v>1</v>
      </c>
      <c r="R246" t="s">
        <v>5281</v>
      </c>
      <c r="S246" t="s">
        <v>4558</v>
      </c>
      <c r="T246" t="s">
        <v>4559</v>
      </c>
      <c r="U246" t="s">
        <v>4655</v>
      </c>
      <c r="V246" s="2">
        <v>0</v>
      </c>
      <c r="W246" t="s">
        <v>4571</v>
      </c>
      <c r="X246" s="2">
        <v>692</v>
      </c>
      <c r="Y246">
        <v>21</v>
      </c>
      <c r="Z246" t="s">
        <v>4144</v>
      </c>
      <c r="AA246" s="3">
        <v>2.89256200194359E-2</v>
      </c>
      <c r="AB246" t="s">
        <v>6734</v>
      </c>
      <c r="AC246" t="s">
        <v>4575</v>
      </c>
      <c r="AD246" t="s">
        <v>6735</v>
      </c>
      <c r="AE246" t="s">
        <v>6736</v>
      </c>
      <c r="AF246" t="s">
        <v>3117</v>
      </c>
      <c r="AG246" t="s">
        <v>4584</v>
      </c>
      <c r="AH246" t="s">
        <v>6737</v>
      </c>
      <c r="AI246" t="s">
        <v>1267</v>
      </c>
      <c r="AJ246" t="s">
        <v>5384</v>
      </c>
      <c r="AK246" t="s">
        <v>6738</v>
      </c>
      <c r="AL246" s="13" t="s">
        <v>2255</v>
      </c>
      <c r="AM246">
        <v>1</v>
      </c>
      <c r="AN246" s="15" t="s">
        <v>5352</v>
      </c>
    </row>
    <row r="247" spans="1:40" x14ac:dyDescent="0.3">
      <c r="A247" s="10" t="str">
        <f>HYPERLINK("http://www.washoecounty.gov/assessor/cama/?parid=003-710-76&amp;CardNumber=1","003-710-76")</f>
        <v>003-710-76</v>
      </c>
      <c r="B247" t="s">
        <v>4655</v>
      </c>
      <c r="C247" t="s">
        <v>6739</v>
      </c>
      <c r="D247" s="1">
        <v>40352</v>
      </c>
      <c r="E247" s="2">
        <v>138500</v>
      </c>
      <c r="F247" t="s">
        <v>4567</v>
      </c>
      <c r="G247" s="17" t="str">
        <f>HYPERLINK("https://www.washoecounty.gov/assessor/cama/?command=sales&amp;parid=00371076","3894637")</f>
        <v>3894637</v>
      </c>
      <c r="H247" t="s">
        <v>5353</v>
      </c>
      <c r="I247">
        <v>2003</v>
      </c>
      <c r="J247">
        <v>2003</v>
      </c>
      <c r="K247" t="s">
        <v>4897</v>
      </c>
      <c r="L247" t="s">
        <v>3974</v>
      </c>
      <c r="M247" s="2">
        <v>1576</v>
      </c>
      <c r="N247" t="s">
        <v>5280</v>
      </c>
      <c r="O247">
        <v>2</v>
      </c>
      <c r="P247">
        <v>2</v>
      </c>
      <c r="Q247">
        <v>1</v>
      </c>
      <c r="R247" t="s">
        <v>5281</v>
      </c>
      <c r="S247" t="s">
        <v>4558</v>
      </c>
      <c r="T247" t="s">
        <v>4559</v>
      </c>
      <c r="U247" t="s">
        <v>4655</v>
      </c>
      <c r="V247" s="2">
        <v>0</v>
      </c>
      <c r="W247" t="s">
        <v>4571</v>
      </c>
      <c r="X247" s="2">
        <v>692</v>
      </c>
      <c r="Y247">
        <v>21</v>
      </c>
      <c r="Z247" t="s">
        <v>4144</v>
      </c>
      <c r="AA247" s="3">
        <v>3.1496785581111901E-2</v>
      </c>
      <c r="AB247" t="s">
        <v>6740</v>
      </c>
      <c r="AC247" t="s">
        <v>4575</v>
      </c>
      <c r="AD247" t="s">
        <v>6739</v>
      </c>
      <c r="AE247" t="s">
        <v>4655</v>
      </c>
      <c r="AF247" t="s">
        <v>4563</v>
      </c>
      <c r="AG247" t="s">
        <v>4564</v>
      </c>
      <c r="AH247">
        <v>89503</v>
      </c>
      <c r="AI247" t="s">
        <v>6741</v>
      </c>
      <c r="AJ247" t="s">
        <v>5384</v>
      </c>
      <c r="AK247" t="s">
        <v>6742</v>
      </c>
      <c r="AL247" s="13" t="s">
        <v>2255</v>
      </c>
      <c r="AM247">
        <v>1</v>
      </c>
      <c r="AN247" s="15" t="s">
        <v>5352</v>
      </c>
    </row>
    <row r="248" spans="1:40" x14ac:dyDescent="0.3">
      <c r="A248" s="10" t="str">
        <f>HYPERLINK("http://www.washoecounty.gov/assessor/cama/?parid=003-720-16&amp;CardNumber=1","003-720-16")</f>
        <v>003-720-16</v>
      </c>
      <c r="B248" t="s">
        <v>4655</v>
      </c>
      <c r="C248" t="s">
        <v>6743</v>
      </c>
      <c r="D248" s="1">
        <v>40189</v>
      </c>
      <c r="E248" s="2">
        <v>110415</v>
      </c>
      <c r="F248" t="s">
        <v>4567</v>
      </c>
      <c r="G248" s="17" t="str">
        <f>HYPERLINK("https://www.washoecounty.gov/assessor/cama/?command=sales&amp;parid=00372016","3838018")</f>
        <v>3838018</v>
      </c>
      <c r="H248" t="s">
        <v>5353</v>
      </c>
      <c r="I248">
        <v>2005</v>
      </c>
      <c r="J248">
        <v>2005</v>
      </c>
      <c r="K248" t="s">
        <v>3144</v>
      </c>
      <c r="L248" t="s">
        <v>3974</v>
      </c>
      <c r="M248" s="2">
        <v>1450</v>
      </c>
      <c r="N248" t="s">
        <v>5280</v>
      </c>
      <c r="O248">
        <v>3</v>
      </c>
      <c r="P248">
        <v>2</v>
      </c>
      <c r="Q248">
        <v>1</v>
      </c>
      <c r="R248" t="s">
        <v>5281</v>
      </c>
      <c r="S248" t="s">
        <v>4558</v>
      </c>
      <c r="T248" t="s">
        <v>4559</v>
      </c>
      <c r="U248" t="s">
        <v>4655</v>
      </c>
      <c r="V248" s="2">
        <v>0</v>
      </c>
      <c r="W248" t="s">
        <v>4571</v>
      </c>
      <c r="X248" s="2">
        <v>692</v>
      </c>
      <c r="Y248">
        <v>21</v>
      </c>
      <c r="Z248" t="s">
        <v>4144</v>
      </c>
      <c r="AA248" s="3">
        <v>2.49770432710648E-2</v>
      </c>
      <c r="AB248" t="s">
        <v>6744</v>
      </c>
      <c r="AC248" t="s">
        <v>4562</v>
      </c>
      <c r="AD248" t="s">
        <v>6743</v>
      </c>
      <c r="AE248" t="s">
        <v>4655</v>
      </c>
      <c r="AF248" t="s">
        <v>4563</v>
      </c>
      <c r="AG248" t="s">
        <v>4564</v>
      </c>
      <c r="AH248" t="s">
        <v>1147</v>
      </c>
      <c r="AI248" t="s">
        <v>6745</v>
      </c>
      <c r="AJ248" t="s">
        <v>5384</v>
      </c>
      <c r="AK248" t="s">
        <v>6746</v>
      </c>
      <c r="AL248" s="13" t="s">
        <v>2255</v>
      </c>
      <c r="AM248">
        <v>1</v>
      </c>
      <c r="AN248" s="15" t="s">
        <v>5352</v>
      </c>
    </row>
    <row r="249" spans="1:40" x14ac:dyDescent="0.3">
      <c r="A249" s="10" t="str">
        <f>HYPERLINK("http://www.washoecounty.gov/assessor/cama/?parid=003-720-16&amp;CardNumber=1","003-720-16")</f>
        <v>003-720-16</v>
      </c>
      <c r="B249" t="s">
        <v>4655</v>
      </c>
      <c r="C249" t="s">
        <v>6743</v>
      </c>
      <c r="D249" s="1">
        <v>40228</v>
      </c>
      <c r="E249" s="2">
        <v>142500</v>
      </c>
      <c r="F249" t="s">
        <v>4567</v>
      </c>
      <c r="G249" s="17" t="str">
        <f>HYPERLINK("https://www.washoecounty.gov/assessor/cama/?command=sales&amp;parid=00372016","3851132")</f>
        <v>3851132</v>
      </c>
      <c r="H249" t="s">
        <v>5353</v>
      </c>
      <c r="I249">
        <v>2005</v>
      </c>
      <c r="J249">
        <v>2005</v>
      </c>
      <c r="K249" t="s">
        <v>3144</v>
      </c>
      <c r="L249" t="s">
        <v>3974</v>
      </c>
      <c r="M249" s="2">
        <v>1450</v>
      </c>
      <c r="N249" t="s">
        <v>5280</v>
      </c>
      <c r="O249">
        <v>3</v>
      </c>
      <c r="P249">
        <v>2</v>
      </c>
      <c r="Q249">
        <v>1</v>
      </c>
      <c r="R249" t="s">
        <v>5281</v>
      </c>
      <c r="S249" t="s">
        <v>4558</v>
      </c>
      <c r="T249" t="s">
        <v>4559</v>
      </c>
      <c r="U249" t="s">
        <v>4655</v>
      </c>
      <c r="V249" s="2">
        <v>0</v>
      </c>
      <c r="W249" t="s">
        <v>4571</v>
      </c>
      <c r="X249" s="2">
        <v>692</v>
      </c>
      <c r="Y249">
        <v>21</v>
      </c>
      <c r="Z249" t="s">
        <v>4144</v>
      </c>
      <c r="AA249" s="3">
        <v>2.49770432710648E-2</v>
      </c>
      <c r="AB249" t="s">
        <v>6744</v>
      </c>
      <c r="AC249" t="s">
        <v>4562</v>
      </c>
      <c r="AD249" t="s">
        <v>6743</v>
      </c>
      <c r="AE249" t="s">
        <v>4655</v>
      </c>
      <c r="AF249" t="s">
        <v>4563</v>
      </c>
      <c r="AG249" t="s">
        <v>4564</v>
      </c>
      <c r="AH249" t="s">
        <v>1147</v>
      </c>
      <c r="AI249" t="s">
        <v>6745</v>
      </c>
      <c r="AJ249" t="s">
        <v>5384</v>
      </c>
      <c r="AK249" t="s">
        <v>6746</v>
      </c>
      <c r="AL249" s="13" t="s">
        <v>2255</v>
      </c>
      <c r="AM249">
        <v>1</v>
      </c>
      <c r="AN249" s="15" t="s">
        <v>5352</v>
      </c>
    </row>
    <row r="250" spans="1:40" x14ac:dyDescent="0.3">
      <c r="A250" s="10" t="str">
        <f>HYPERLINK("http://www.washoecounty.gov/assessor/cama/?parid=003-720-29&amp;CardNumber=1","003-720-29")</f>
        <v>003-720-29</v>
      </c>
      <c r="B250" t="s">
        <v>4655</v>
      </c>
      <c r="C250" t="s">
        <v>6747</v>
      </c>
      <c r="D250" s="1">
        <v>40410</v>
      </c>
      <c r="E250" s="2">
        <v>119900</v>
      </c>
      <c r="F250" t="s">
        <v>4553</v>
      </c>
      <c r="G250" s="17" t="str">
        <f>HYPERLINK("https://www.washoecounty.gov/assessor/cama/?command=sales&amp;parid=00372029","3914074")</f>
        <v>3914074</v>
      </c>
      <c r="H250" t="s">
        <v>5383</v>
      </c>
      <c r="I250">
        <v>2004</v>
      </c>
      <c r="J250">
        <v>2004</v>
      </c>
      <c r="K250" t="s">
        <v>3144</v>
      </c>
      <c r="L250" t="s">
        <v>3974</v>
      </c>
      <c r="M250" s="2">
        <v>1450</v>
      </c>
      <c r="N250" t="s">
        <v>5280</v>
      </c>
      <c r="O250">
        <v>3</v>
      </c>
      <c r="P250">
        <v>2</v>
      </c>
      <c r="Q250">
        <v>1</v>
      </c>
      <c r="R250" t="s">
        <v>5281</v>
      </c>
      <c r="S250" t="s">
        <v>4558</v>
      </c>
      <c r="T250" t="s">
        <v>4559</v>
      </c>
      <c r="U250" t="s">
        <v>4655</v>
      </c>
      <c r="V250" s="2">
        <v>0</v>
      </c>
      <c r="W250" t="s">
        <v>4571</v>
      </c>
      <c r="X250" s="2">
        <v>692</v>
      </c>
      <c r="Y250">
        <v>21</v>
      </c>
      <c r="Z250" t="s">
        <v>4144</v>
      </c>
      <c r="AA250" s="3">
        <v>2.6285583153367001E-2</v>
      </c>
      <c r="AB250" t="s">
        <v>5480</v>
      </c>
      <c r="AC250" t="s">
        <v>4562</v>
      </c>
      <c r="AD250" t="s">
        <v>5481</v>
      </c>
      <c r="AE250" t="s">
        <v>4655</v>
      </c>
      <c r="AF250" t="s">
        <v>5206</v>
      </c>
      <c r="AG250" t="s">
        <v>4564</v>
      </c>
      <c r="AH250" t="s">
        <v>5275</v>
      </c>
      <c r="AI250" t="s">
        <v>4903</v>
      </c>
      <c r="AJ250" t="s">
        <v>5384</v>
      </c>
      <c r="AK250" t="s">
        <v>6748</v>
      </c>
      <c r="AL250" s="13" t="s">
        <v>2255</v>
      </c>
      <c r="AM250">
        <v>1</v>
      </c>
      <c r="AN250" s="15" t="s">
        <v>5352</v>
      </c>
    </row>
    <row r="251" spans="1:40" x14ac:dyDescent="0.3">
      <c r="A251" s="10" t="str">
        <f>HYPERLINK("http://www.washoecounty.gov/assessor/cama/?parid=003-740-01&amp;CardNumber=1","003-740-01")</f>
        <v>003-740-01</v>
      </c>
      <c r="B251" t="s">
        <v>4655</v>
      </c>
      <c r="C251" t="s">
        <v>6749</v>
      </c>
      <c r="D251" s="1">
        <v>40267</v>
      </c>
      <c r="E251" s="2">
        <v>119000</v>
      </c>
      <c r="F251" t="s">
        <v>4567</v>
      </c>
      <c r="G251" s="17" t="str">
        <f>HYPERLINK("https://www.washoecounty.gov/assessor/cama/?command=sales&amp;parid=00374001","3865932")</f>
        <v>3865932</v>
      </c>
      <c r="H251" t="s">
        <v>4519</v>
      </c>
      <c r="I251">
        <v>2005</v>
      </c>
      <c r="J251">
        <v>2005</v>
      </c>
      <c r="K251" t="s">
        <v>4897</v>
      </c>
      <c r="L251" t="s">
        <v>3974</v>
      </c>
      <c r="M251" s="2">
        <v>1460</v>
      </c>
      <c r="N251" t="s">
        <v>5280</v>
      </c>
      <c r="O251">
        <v>3</v>
      </c>
      <c r="P251">
        <v>2</v>
      </c>
      <c r="Q251">
        <v>1</v>
      </c>
      <c r="R251" t="s">
        <v>5281</v>
      </c>
      <c r="S251" t="s">
        <v>4558</v>
      </c>
      <c r="T251" t="s">
        <v>4559</v>
      </c>
      <c r="U251" t="s">
        <v>4655</v>
      </c>
      <c r="V251" s="2">
        <v>0</v>
      </c>
      <c r="W251" t="s">
        <v>4571</v>
      </c>
      <c r="X251" s="2">
        <v>692</v>
      </c>
      <c r="Y251">
        <v>21</v>
      </c>
      <c r="Z251" t="s">
        <v>4144</v>
      </c>
      <c r="AA251" s="3">
        <v>2.9568411409854899E-2</v>
      </c>
      <c r="AB251" t="s">
        <v>6750</v>
      </c>
      <c r="AC251" t="s">
        <v>4575</v>
      </c>
      <c r="AD251" t="s">
        <v>6749</v>
      </c>
      <c r="AE251" t="s">
        <v>4655</v>
      </c>
      <c r="AF251" t="s">
        <v>4563</v>
      </c>
      <c r="AG251" t="s">
        <v>4564</v>
      </c>
      <c r="AH251">
        <v>89503</v>
      </c>
      <c r="AI251" t="s">
        <v>6751</v>
      </c>
      <c r="AJ251" t="s">
        <v>4520</v>
      </c>
      <c r="AK251" t="s">
        <v>6752</v>
      </c>
      <c r="AL251" s="13" t="s">
        <v>2255</v>
      </c>
      <c r="AM251">
        <v>1</v>
      </c>
      <c r="AN251" s="15" t="s">
        <v>5352</v>
      </c>
    </row>
    <row r="252" spans="1:40" x14ac:dyDescent="0.3">
      <c r="A252" s="10" t="str">
        <f>HYPERLINK("http://www.washoecounty.gov/assessor/cama/?parid=003-740-15&amp;CardNumber=1","003-740-15")</f>
        <v>003-740-15</v>
      </c>
      <c r="B252" t="s">
        <v>4655</v>
      </c>
      <c r="C252" t="s">
        <v>6753</v>
      </c>
      <c r="D252" s="1">
        <v>40470</v>
      </c>
      <c r="E252" s="2">
        <v>109000</v>
      </c>
      <c r="F252" t="s">
        <v>4553</v>
      </c>
      <c r="G252" s="17" t="str">
        <f>HYPERLINK("https://www.washoecounty.gov/assessor/cama/?command=sales&amp;parid=00374015","3934316")</f>
        <v>3934316</v>
      </c>
      <c r="H252" t="s">
        <v>4519</v>
      </c>
      <c r="I252">
        <v>2005</v>
      </c>
      <c r="J252">
        <v>2005</v>
      </c>
      <c r="K252" t="s">
        <v>3144</v>
      </c>
      <c r="L252" t="s">
        <v>3974</v>
      </c>
      <c r="M252" s="2">
        <v>1310</v>
      </c>
      <c r="N252" t="s">
        <v>5280</v>
      </c>
      <c r="O252">
        <v>3</v>
      </c>
      <c r="P252">
        <v>2</v>
      </c>
      <c r="Q252">
        <v>1</v>
      </c>
      <c r="R252" t="s">
        <v>5281</v>
      </c>
      <c r="S252" t="s">
        <v>4558</v>
      </c>
      <c r="T252" t="s">
        <v>4559</v>
      </c>
      <c r="U252" t="s">
        <v>4655</v>
      </c>
      <c r="V252" s="2">
        <v>0</v>
      </c>
      <c r="W252" t="s">
        <v>4571</v>
      </c>
      <c r="X252" s="2">
        <v>622</v>
      </c>
      <c r="Y252">
        <v>21</v>
      </c>
      <c r="Z252" t="s">
        <v>4144</v>
      </c>
      <c r="AA252" s="3">
        <v>2.70202029496431E-2</v>
      </c>
      <c r="AB252" t="s">
        <v>6754</v>
      </c>
      <c r="AC252" t="s">
        <v>4575</v>
      </c>
      <c r="AD252" t="s">
        <v>6755</v>
      </c>
      <c r="AE252" t="s">
        <v>4655</v>
      </c>
      <c r="AF252" t="s">
        <v>3876</v>
      </c>
      <c r="AG252" t="s">
        <v>1766</v>
      </c>
      <c r="AH252" t="s">
        <v>3877</v>
      </c>
      <c r="AI252" t="s">
        <v>4903</v>
      </c>
      <c r="AJ252" t="s">
        <v>4520</v>
      </c>
      <c r="AK252" t="s">
        <v>6756</v>
      </c>
      <c r="AL252" s="13" t="s">
        <v>2255</v>
      </c>
      <c r="AM252">
        <v>1</v>
      </c>
      <c r="AN252" s="15" t="s">
        <v>5352</v>
      </c>
    </row>
    <row r="253" spans="1:40" x14ac:dyDescent="0.3">
      <c r="A253" s="10" t="str">
        <f>HYPERLINK("http://www.washoecounty.gov/assessor/cama/?parid=003-740-21&amp;CardNumber=1","003-740-21")</f>
        <v>003-740-21</v>
      </c>
      <c r="B253" t="s">
        <v>4655</v>
      </c>
      <c r="C253" t="s">
        <v>6757</v>
      </c>
      <c r="D253" s="1">
        <v>40451</v>
      </c>
      <c r="E253" s="2">
        <v>104500</v>
      </c>
      <c r="F253" t="s">
        <v>4567</v>
      </c>
      <c r="G253" s="17" t="str">
        <f>HYPERLINK("https://www.washoecounty.gov/assessor/cama/?command=sales&amp;parid=00374021","3928397")</f>
        <v>3928397</v>
      </c>
      <c r="H253" t="s">
        <v>4519</v>
      </c>
      <c r="I253">
        <v>2005</v>
      </c>
      <c r="J253">
        <v>2005</v>
      </c>
      <c r="K253" t="s">
        <v>3144</v>
      </c>
      <c r="L253" t="s">
        <v>3974</v>
      </c>
      <c r="M253" s="2">
        <v>1310</v>
      </c>
      <c r="N253" t="s">
        <v>5280</v>
      </c>
      <c r="O253">
        <v>2</v>
      </c>
      <c r="P253">
        <v>2</v>
      </c>
      <c r="Q253">
        <v>1</v>
      </c>
      <c r="R253" t="s">
        <v>5281</v>
      </c>
      <c r="S253" t="s">
        <v>4558</v>
      </c>
      <c r="T253" t="s">
        <v>4559</v>
      </c>
      <c r="U253" t="s">
        <v>4655</v>
      </c>
      <c r="V253" s="2">
        <v>0</v>
      </c>
      <c r="W253" t="s">
        <v>4571</v>
      </c>
      <c r="X253" s="2">
        <v>622</v>
      </c>
      <c r="Y253">
        <v>21</v>
      </c>
      <c r="Z253" t="s">
        <v>4144</v>
      </c>
      <c r="AA253" s="3">
        <v>2.66299359500408E-2</v>
      </c>
      <c r="AB253" t="s">
        <v>6758</v>
      </c>
      <c r="AC253" t="s">
        <v>4562</v>
      </c>
      <c r="AD253" t="s">
        <v>6757</v>
      </c>
      <c r="AE253" t="s">
        <v>4655</v>
      </c>
      <c r="AF253" t="s">
        <v>4563</v>
      </c>
      <c r="AG253" t="s">
        <v>4564</v>
      </c>
      <c r="AH253">
        <v>89503</v>
      </c>
      <c r="AI253" t="s">
        <v>6759</v>
      </c>
      <c r="AJ253" t="s">
        <v>4520</v>
      </c>
      <c r="AK253" t="s">
        <v>6760</v>
      </c>
      <c r="AL253" s="13" t="s">
        <v>2255</v>
      </c>
      <c r="AM253">
        <v>1</v>
      </c>
      <c r="AN253" s="15" t="s">
        <v>5352</v>
      </c>
    </row>
    <row r="254" spans="1:40" x14ac:dyDescent="0.3">
      <c r="A254" s="10" t="str">
        <f>HYPERLINK("http://www.washoecounty.gov/assessor/cama/?parid=003-740-23&amp;CardNumber=1","003-740-23")</f>
        <v>003-740-23</v>
      </c>
      <c r="B254" t="s">
        <v>4655</v>
      </c>
      <c r="C254" t="s">
        <v>6761</v>
      </c>
      <c r="D254" s="1">
        <v>40260</v>
      </c>
      <c r="E254" s="2">
        <v>95000</v>
      </c>
      <c r="F254" t="s">
        <v>4567</v>
      </c>
      <c r="G254" s="17" t="str">
        <f>HYPERLINK("https://www.washoecounty.gov/assessor/cama/?command=sales&amp;parid=00374023","3862904")</f>
        <v>3862904</v>
      </c>
      <c r="H254" t="s">
        <v>4519</v>
      </c>
      <c r="I254">
        <v>2005</v>
      </c>
      <c r="J254">
        <v>2005</v>
      </c>
      <c r="K254" t="s">
        <v>3144</v>
      </c>
      <c r="L254" t="s">
        <v>3974</v>
      </c>
      <c r="M254" s="2">
        <v>1160</v>
      </c>
      <c r="N254" t="s">
        <v>5280</v>
      </c>
      <c r="O254">
        <v>2</v>
      </c>
      <c r="P254">
        <v>2</v>
      </c>
      <c r="Q254">
        <v>1</v>
      </c>
      <c r="R254" t="s">
        <v>5281</v>
      </c>
      <c r="S254" t="s">
        <v>4558</v>
      </c>
      <c r="T254" t="s">
        <v>4559</v>
      </c>
      <c r="U254" t="s">
        <v>4655</v>
      </c>
      <c r="V254" s="2">
        <v>0</v>
      </c>
      <c r="W254" t="s">
        <v>4571</v>
      </c>
      <c r="X254" s="2">
        <v>552</v>
      </c>
      <c r="Y254">
        <v>21</v>
      </c>
      <c r="Z254" t="s">
        <v>4144</v>
      </c>
      <c r="AA254" s="3">
        <v>2.3691460490226701E-2</v>
      </c>
      <c r="AB254" t="s">
        <v>6762</v>
      </c>
      <c r="AC254" t="s">
        <v>4562</v>
      </c>
      <c r="AD254" t="s">
        <v>6763</v>
      </c>
      <c r="AE254" t="s">
        <v>4655</v>
      </c>
      <c r="AF254" t="s">
        <v>4563</v>
      </c>
      <c r="AG254" t="s">
        <v>4564</v>
      </c>
      <c r="AH254">
        <v>89503</v>
      </c>
      <c r="AI254" t="s">
        <v>6764</v>
      </c>
      <c r="AJ254" t="s">
        <v>4520</v>
      </c>
      <c r="AK254" t="s">
        <v>6765</v>
      </c>
      <c r="AL254" s="13" t="s">
        <v>2255</v>
      </c>
      <c r="AM254" s="14">
        <v>1</v>
      </c>
      <c r="AN254" s="15" t="s">
        <v>5352</v>
      </c>
    </row>
    <row r="255" spans="1:40" x14ac:dyDescent="0.3">
      <c r="A255" s="10" t="str">
        <f>HYPERLINK("http://www.washoecounty.gov/assessor/cama/?parid=003-740-29&amp;CardNumber=1","003-740-29")</f>
        <v>003-740-29</v>
      </c>
      <c r="B255" t="s">
        <v>4655</v>
      </c>
      <c r="C255" t="s">
        <v>6766</v>
      </c>
      <c r="D255" s="1">
        <v>40254</v>
      </c>
      <c r="E255" s="2">
        <v>88000</v>
      </c>
      <c r="F255" t="s">
        <v>4567</v>
      </c>
      <c r="G255" s="17" t="str">
        <f>HYPERLINK("https://www.washoecounty.gov/assessor/cama/?command=sales&amp;parid=00374029","3860863")</f>
        <v>3860863</v>
      </c>
      <c r="H255" t="s">
        <v>4519</v>
      </c>
      <c r="I255">
        <v>2005</v>
      </c>
      <c r="J255">
        <v>2005</v>
      </c>
      <c r="K255" t="s">
        <v>3144</v>
      </c>
      <c r="L255" t="s">
        <v>3974</v>
      </c>
      <c r="M255" s="2">
        <v>1160</v>
      </c>
      <c r="N255" t="s">
        <v>5280</v>
      </c>
      <c r="O255">
        <v>2</v>
      </c>
      <c r="P255">
        <v>2</v>
      </c>
      <c r="Q255">
        <v>1</v>
      </c>
      <c r="R255" t="s">
        <v>5281</v>
      </c>
      <c r="S255" t="s">
        <v>4558</v>
      </c>
      <c r="T255" t="s">
        <v>4559</v>
      </c>
      <c r="U255" t="s">
        <v>4655</v>
      </c>
      <c r="V255" s="2">
        <v>0</v>
      </c>
      <c r="W255" t="s">
        <v>4571</v>
      </c>
      <c r="X255" s="2">
        <v>552</v>
      </c>
      <c r="Y255">
        <v>21</v>
      </c>
      <c r="Z255" t="s">
        <v>4144</v>
      </c>
      <c r="AA255" s="3">
        <v>2.9912764206528698E-2</v>
      </c>
      <c r="AB255" t="s">
        <v>6767</v>
      </c>
      <c r="AC255" t="s">
        <v>4575</v>
      </c>
      <c r="AD255" t="s">
        <v>6768</v>
      </c>
      <c r="AE255" t="s">
        <v>4655</v>
      </c>
      <c r="AF255" t="s">
        <v>5201</v>
      </c>
      <c r="AG255" t="s">
        <v>4564</v>
      </c>
      <c r="AH255" t="s">
        <v>3898</v>
      </c>
      <c r="AI255" t="s">
        <v>6769</v>
      </c>
      <c r="AJ255" t="s">
        <v>4520</v>
      </c>
      <c r="AK255" t="s">
        <v>6770</v>
      </c>
      <c r="AL255" s="13" t="s">
        <v>2255</v>
      </c>
      <c r="AM255">
        <v>1</v>
      </c>
      <c r="AN255" s="15" t="s">
        <v>5352</v>
      </c>
    </row>
    <row r="256" spans="1:40" x14ac:dyDescent="0.3">
      <c r="A256" s="10" t="str">
        <f>HYPERLINK("http://www.washoecounty.gov/assessor/cama/?parid=003-740-32&amp;CardNumber=1","003-740-32")</f>
        <v>003-740-32</v>
      </c>
      <c r="B256" t="s">
        <v>4655</v>
      </c>
      <c r="C256" t="s">
        <v>141</v>
      </c>
      <c r="D256" s="1">
        <v>40487</v>
      </c>
      <c r="E256" s="2">
        <v>96000</v>
      </c>
      <c r="F256" t="s">
        <v>4567</v>
      </c>
      <c r="G256" s="17" t="str">
        <f>HYPERLINK("https://www.washoecounty.gov/assessor/cama/?command=sales&amp;parid=00374032","3940584")</f>
        <v>3940584</v>
      </c>
      <c r="H256" t="s">
        <v>4519</v>
      </c>
      <c r="I256">
        <v>2005</v>
      </c>
      <c r="J256">
        <v>2005</v>
      </c>
      <c r="K256" t="s">
        <v>3144</v>
      </c>
      <c r="L256" t="s">
        <v>3974</v>
      </c>
      <c r="M256" s="2">
        <v>1160</v>
      </c>
      <c r="N256" t="s">
        <v>5280</v>
      </c>
      <c r="O256">
        <v>2</v>
      </c>
      <c r="P256">
        <v>2</v>
      </c>
      <c r="Q256">
        <v>1</v>
      </c>
      <c r="R256" t="s">
        <v>5281</v>
      </c>
      <c r="S256" t="s">
        <v>4558</v>
      </c>
      <c r="T256" t="s">
        <v>4559</v>
      </c>
      <c r="U256" t="s">
        <v>4655</v>
      </c>
      <c r="V256" s="2">
        <v>0</v>
      </c>
      <c r="W256" t="s">
        <v>4571</v>
      </c>
      <c r="X256" s="2">
        <v>552</v>
      </c>
      <c r="Y256">
        <v>21</v>
      </c>
      <c r="Z256" t="s">
        <v>4144</v>
      </c>
      <c r="AA256" s="3">
        <v>2.3691460490226701E-2</v>
      </c>
      <c r="AB256" t="s">
        <v>47</v>
      </c>
      <c r="AC256" t="s">
        <v>4562</v>
      </c>
      <c r="AD256" t="s">
        <v>141</v>
      </c>
      <c r="AE256" t="s">
        <v>4655</v>
      </c>
      <c r="AF256" t="s">
        <v>4563</v>
      </c>
      <c r="AG256" t="s">
        <v>4564</v>
      </c>
      <c r="AH256">
        <v>89503</v>
      </c>
      <c r="AI256" t="s">
        <v>142</v>
      </c>
      <c r="AJ256" t="s">
        <v>4520</v>
      </c>
      <c r="AK256" t="s">
        <v>143</v>
      </c>
      <c r="AL256" s="13" t="s">
        <v>2255</v>
      </c>
      <c r="AM256">
        <v>1</v>
      </c>
      <c r="AN256" s="15" t="s">
        <v>5352</v>
      </c>
    </row>
    <row r="257" spans="1:40" x14ac:dyDescent="0.3">
      <c r="A257" s="10" t="str">
        <f>HYPERLINK("http://www.washoecounty.gov/assessor/cama/?parid=003-740-33&amp;CardNumber=1","003-740-33")</f>
        <v>003-740-33</v>
      </c>
      <c r="B257" t="s">
        <v>4655</v>
      </c>
      <c r="C257" t="s">
        <v>6771</v>
      </c>
      <c r="D257" s="1">
        <v>40487</v>
      </c>
      <c r="E257" s="2">
        <v>96900</v>
      </c>
      <c r="F257" t="s">
        <v>4567</v>
      </c>
      <c r="G257" s="17" t="str">
        <f>HYPERLINK("https://www.washoecounty.gov/assessor/cama/?command=sales&amp;parid=00374033","3940591")</f>
        <v>3940591</v>
      </c>
      <c r="H257" t="s">
        <v>4519</v>
      </c>
      <c r="I257">
        <v>2005</v>
      </c>
      <c r="J257">
        <v>2005</v>
      </c>
      <c r="K257" t="s">
        <v>3144</v>
      </c>
      <c r="L257" t="s">
        <v>3974</v>
      </c>
      <c r="M257" s="2">
        <v>1160</v>
      </c>
      <c r="N257" t="s">
        <v>5280</v>
      </c>
      <c r="O257">
        <v>2</v>
      </c>
      <c r="P257">
        <v>2</v>
      </c>
      <c r="Q257">
        <v>1</v>
      </c>
      <c r="R257" t="s">
        <v>5281</v>
      </c>
      <c r="S257" t="s">
        <v>4558</v>
      </c>
      <c r="T257" t="s">
        <v>4559</v>
      </c>
      <c r="U257" t="s">
        <v>4655</v>
      </c>
      <c r="V257" s="2">
        <v>0</v>
      </c>
      <c r="W257" t="s">
        <v>4571</v>
      </c>
      <c r="X257" s="2">
        <v>552</v>
      </c>
      <c r="Y257">
        <v>21</v>
      </c>
      <c r="Z257" t="s">
        <v>4144</v>
      </c>
      <c r="AA257" s="3">
        <v>2.3691460490226701E-2</v>
      </c>
      <c r="AB257" t="s">
        <v>6772</v>
      </c>
      <c r="AC257" t="s">
        <v>4562</v>
      </c>
      <c r="AD257" t="s">
        <v>6773</v>
      </c>
      <c r="AE257" t="s">
        <v>4655</v>
      </c>
      <c r="AF257" t="s">
        <v>3114</v>
      </c>
      <c r="AG257" t="s">
        <v>4564</v>
      </c>
      <c r="AH257">
        <v>89503</v>
      </c>
      <c r="AI257" t="s">
        <v>142</v>
      </c>
      <c r="AJ257" t="s">
        <v>4520</v>
      </c>
      <c r="AK257" t="s">
        <v>6774</v>
      </c>
      <c r="AL257" s="13" t="s">
        <v>2255</v>
      </c>
      <c r="AM257" s="14">
        <v>1</v>
      </c>
      <c r="AN257" s="15" t="s">
        <v>5352</v>
      </c>
    </row>
    <row r="258" spans="1:40" x14ac:dyDescent="0.3">
      <c r="A258" s="10" t="str">
        <f>HYPERLINK("http://www.washoecounty.gov/assessor/cama/?parid=003-740-38&amp;CardNumber=1","003-740-38")</f>
        <v>003-740-38</v>
      </c>
      <c r="B258" t="s">
        <v>4655</v>
      </c>
      <c r="C258" t="s">
        <v>6775</v>
      </c>
      <c r="D258" s="1">
        <v>40205</v>
      </c>
      <c r="E258" s="2">
        <v>145000</v>
      </c>
      <c r="F258" t="s">
        <v>4553</v>
      </c>
      <c r="G258" s="17" t="str">
        <f>HYPERLINK("https://www.washoecounty.gov/assessor/cama/?command=sales&amp;parid=00374038","3843324")</f>
        <v>3843324</v>
      </c>
      <c r="H258" t="s">
        <v>4519</v>
      </c>
      <c r="I258">
        <v>2005</v>
      </c>
      <c r="J258">
        <v>2005</v>
      </c>
      <c r="K258" t="s">
        <v>4897</v>
      </c>
      <c r="L258" t="s">
        <v>3974</v>
      </c>
      <c r="M258" s="2">
        <v>1576</v>
      </c>
      <c r="N258" t="s">
        <v>5280</v>
      </c>
      <c r="O258">
        <v>3</v>
      </c>
      <c r="P258">
        <v>2</v>
      </c>
      <c r="Q258">
        <v>1</v>
      </c>
      <c r="R258" t="s">
        <v>5281</v>
      </c>
      <c r="S258" t="s">
        <v>4558</v>
      </c>
      <c r="T258" t="s">
        <v>4559</v>
      </c>
      <c r="U258" t="s">
        <v>4655</v>
      </c>
      <c r="V258" s="2">
        <v>0</v>
      </c>
      <c r="W258" t="s">
        <v>4571</v>
      </c>
      <c r="X258" s="2">
        <v>692</v>
      </c>
      <c r="Y258">
        <v>21</v>
      </c>
      <c r="Z258" t="s">
        <v>4144</v>
      </c>
      <c r="AA258" s="3">
        <v>3.2093662768602399E-2</v>
      </c>
      <c r="AB258" t="s">
        <v>6776</v>
      </c>
      <c r="AC258" t="s">
        <v>4562</v>
      </c>
      <c r="AD258" t="s">
        <v>6775</v>
      </c>
      <c r="AE258" t="s">
        <v>4655</v>
      </c>
      <c r="AF258" t="s">
        <v>4563</v>
      </c>
      <c r="AG258" t="s">
        <v>4564</v>
      </c>
      <c r="AH258">
        <v>89503</v>
      </c>
      <c r="AI258" t="s">
        <v>4565</v>
      </c>
      <c r="AJ258" t="s">
        <v>4520</v>
      </c>
      <c r="AK258" t="s">
        <v>6777</v>
      </c>
      <c r="AL258" s="13" t="s">
        <v>2255</v>
      </c>
      <c r="AM258">
        <v>1</v>
      </c>
      <c r="AN258" s="15" t="s">
        <v>5352</v>
      </c>
    </row>
    <row r="259" spans="1:40" x14ac:dyDescent="0.3">
      <c r="A259" s="10" t="str">
        <f>HYPERLINK("http://www.washoecounty.gov/assessor/cama/?parid=003-740-44&amp;CardNumber=1","003-740-44")</f>
        <v>003-740-44</v>
      </c>
      <c r="B259" t="s">
        <v>4655</v>
      </c>
      <c r="C259" t="s">
        <v>6778</v>
      </c>
      <c r="D259" s="1">
        <v>40515</v>
      </c>
      <c r="E259" s="2">
        <v>93500</v>
      </c>
      <c r="F259" t="s">
        <v>4553</v>
      </c>
      <c r="G259" s="17" t="str">
        <f>HYPERLINK("https://www.washoecounty.gov/assessor/cama/?command=sales&amp;parid=00374044","3949172")</f>
        <v>3949172</v>
      </c>
      <c r="H259" t="s">
        <v>4519</v>
      </c>
      <c r="I259">
        <v>2005</v>
      </c>
      <c r="J259">
        <v>2005</v>
      </c>
      <c r="K259" t="s">
        <v>4897</v>
      </c>
      <c r="L259" t="s">
        <v>3974</v>
      </c>
      <c r="M259" s="2">
        <v>1596</v>
      </c>
      <c r="N259" t="s">
        <v>5280</v>
      </c>
      <c r="O259">
        <v>3</v>
      </c>
      <c r="P259">
        <v>2</v>
      </c>
      <c r="Q259">
        <v>1</v>
      </c>
      <c r="R259" t="s">
        <v>5281</v>
      </c>
      <c r="S259" t="s">
        <v>4558</v>
      </c>
      <c r="T259" t="s">
        <v>4559</v>
      </c>
      <c r="U259" t="s">
        <v>4655</v>
      </c>
      <c r="V259" s="2">
        <v>0</v>
      </c>
      <c r="W259" t="s">
        <v>4571</v>
      </c>
      <c r="X259" s="2">
        <v>692</v>
      </c>
      <c r="Y259">
        <v>21</v>
      </c>
      <c r="Z259" t="s">
        <v>4144</v>
      </c>
      <c r="AA259" s="3">
        <v>3.1749311834573697E-2</v>
      </c>
      <c r="AB259" t="s">
        <v>6779</v>
      </c>
      <c r="AC259" t="s">
        <v>4575</v>
      </c>
      <c r="AD259" t="s">
        <v>6780</v>
      </c>
      <c r="AE259" t="s">
        <v>4655</v>
      </c>
      <c r="AF259" t="s">
        <v>6781</v>
      </c>
      <c r="AG259" t="s">
        <v>4888</v>
      </c>
      <c r="AH259" t="s">
        <v>6782</v>
      </c>
      <c r="AI259" t="s">
        <v>6783</v>
      </c>
      <c r="AJ259" t="s">
        <v>4520</v>
      </c>
      <c r="AK259" t="s">
        <v>6784</v>
      </c>
      <c r="AL259" s="13" t="s">
        <v>2255</v>
      </c>
      <c r="AM259" s="14">
        <v>1</v>
      </c>
      <c r="AN259" s="15" t="s">
        <v>5352</v>
      </c>
    </row>
    <row r="260" spans="1:40" x14ac:dyDescent="0.3">
      <c r="A260" s="10" t="str">
        <f>HYPERLINK("http://www.washoecounty.gov/assessor/cama/?parid=003-740-46&amp;CardNumber=1","003-740-46")</f>
        <v>003-740-46</v>
      </c>
      <c r="B260" t="s">
        <v>4655</v>
      </c>
      <c r="C260" t="s">
        <v>6785</v>
      </c>
      <c r="D260" s="1">
        <v>40401</v>
      </c>
      <c r="E260" s="2">
        <v>90000</v>
      </c>
      <c r="F260" t="s">
        <v>4567</v>
      </c>
      <c r="G260" s="17" t="str">
        <f>HYPERLINK("https://www.washoecounty.gov/assessor/cama/?command=sales&amp;parid=00374046","3910620")</f>
        <v>3910620</v>
      </c>
      <c r="H260" t="s">
        <v>6786</v>
      </c>
      <c r="I260">
        <v>2005</v>
      </c>
      <c r="J260">
        <v>2005</v>
      </c>
      <c r="K260" t="s">
        <v>3144</v>
      </c>
      <c r="L260" t="s">
        <v>3974</v>
      </c>
      <c r="M260" s="2">
        <v>1160</v>
      </c>
      <c r="N260" t="s">
        <v>5280</v>
      </c>
      <c r="O260">
        <v>2</v>
      </c>
      <c r="P260">
        <v>2</v>
      </c>
      <c r="Q260">
        <v>1</v>
      </c>
      <c r="R260" t="s">
        <v>5281</v>
      </c>
      <c r="S260" t="s">
        <v>4558</v>
      </c>
      <c r="T260" t="s">
        <v>4559</v>
      </c>
      <c r="U260" t="s">
        <v>4655</v>
      </c>
      <c r="V260" s="2">
        <v>0</v>
      </c>
      <c r="W260" t="s">
        <v>4571</v>
      </c>
      <c r="X260" s="2">
        <v>552</v>
      </c>
      <c r="Y260">
        <v>21</v>
      </c>
      <c r="Z260" t="s">
        <v>4144</v>
      </c>
      <c r="AA260" s="3">
        <v>2.34618913382292E-2</v>
      </c>
      <c r="AB260" t="s">
        <v>6787</v>
      </c>
      <c r="AC260" t="s">
        <v>4575</v>
      </c>
      <c r="AD260" t="s">
        <v>2886</v>
      </c>
      <c r="AE260" t="s">
        <v>4655</v>
      </c>
      <c r="AF260" t="s">
        <v>3660</v>
      </c>
      <c r="AG260" t="s">
        <v>4584</v>
      </c>
      <c r="AH260" t="s">
        <v>1340</v>
      </c>
      <c r="AI260" t="s">
        <v>2887</v>
      </c>
      <c r="AJ260" t="s">
        <v>4520</v>
      </c>
      <c r="AK260" t="s">
        <v>6788</v>
      </c>
      <c r="AL260" s="13" t="s">
        <v>2255</v>
      </c>
      <c r="AM260" s="14">
        <v>1</v>
      </c>
      <c r="AN260" s="15" t="s">
        <v>5352</v>
      </c>
    </row>
    <row r="261" spans="1:40" x14ac:dyDescent="0.3">
      <c r="A261" s="10" t="str">
        <f>HYPERLINK("http://www.washoecounty.gov/assessor/cama/?parid=003-740-48&amp;CardNumber=1","003-740-48")</f>
        <v>003-740-48</v>
      </c>
      <c r="B261" t="s">
        <v>4655</v>
      </c>
      <c r="C261" t="s">
        <v>6789</v>
      </c>
      <c r="D261" s="1">
        <v>40287</v>
      </c>
      <c r="E261" s="2">
        <v>97500</v>
      </c>
      <c r="F261" t="s">
        <v>4553</v>
      </c>
      <c r="G261" s="17" t="str">
        <f>HYPERLINK("https://www.washoecounty.gov/assessor/cama/?command=sales&amp;parid=00374048","3872205")</f>
        <v>3872205</v>
      </c>
      <c r="H261" t="s">
        <v>6786</v>
      </c>
      <c r="I261">
        <v>2005</v>
      </c>
      <c r="J261">
        <v>2005</v>
      </c>
      <c r="K261" t="s">
        <v>3144</v>
      </c>
      <c r="L261" t="s">
        <v>3974</v>
      </c>
      <c r="M261" s="2">
        <v>1310</v>
      </c>
      <c r="N261" t="s">
        <v>5280</v>
      </c>
      <c r="O261">
        <v>3</v>
      </c>
      <c r="P261">
        <v>2</v>
      </c>
      <c r="Q261">
        <v>1</v>
      </c>
      <c r="R261" t="s">
        <v>5281</v>
      </c>
      <c r="S261" t="s">
        <v>4558</v>
      </c>
      <c r="T261" t="s">
        <v>4559</v>
      </c>
      <c r="U261" t="s">
        <v>4655</v>
      </c>
      <c r="V261" s="2">
        <v>0</v>
      </c>
      <c r="W261" t="s">
        <v>4571</v>
      </c>
      <c r="X261" s="2">
        <v>622</v>
      </c>
      <c r="Y261">
        <v>21</v>
      </c>
      <c r="Z261" t="s">
        <v>4144</v>
      </c>
      <c r="AA261" s="3">
        <v>2.6515152305364598E-2</v>
      </c>
      <c r="AB261" t="s">
        <v>6790</v>
      </c>
      <c r="AC261" t="s">
        <v>4562</v>
      </c>
      <c r="AD261" t="s">
        <v>6789</v>
      </c>
      <c r="AE261" t="s">
        <v>4655</v>
      </c>
      <c r="AF261" t="s">
        <v>4563</v>
      </c>
      <c r="AG261" t="s">
        <v>4564</v>
      </c>
      <c r="AH261">
        <v>89503</v>
      </c>
      <c r="AI261" t="s">
        <v>4503</v>
      </c>
      <c r="AJ261" t="s">
        <v>4520</v>
      </c>
      <c r="AK261" t="s">
        <v>6791</v>
      </c>
      <c r="AL261" s="13" t="s">
        <v>2255</v>
      </c>
      <c r="AM261" s="14">
        <v>1</v>
      </c>
      <c r="AN261" s="15" t="s">
        <v>5352</v>
      </c>
    </row>
    <row r="262" spans="1:40" x14ac:dyDescent="0.3">
      <c r="A262" s="10" t="str">
        <f>HYPERLINK("http://www.washoecounty.gov/assessor/cama/?parid=003-750-05&amp;CardNumber=1","003-750-05")</f>
        <v>003-750-05</v>
      </c>
      <c r="B262" t="s">
        <v>4655</v>
      </c>
      <c r="C262" t="s">
        <v>6792</v>
      </c>
      <c r="D262" s="1">
        <v>40434</v>
      </c>
      <c r="E262" s="2">
        <v>95000</v>
      </c>
      <c r="F262" t="s">
        <v>4567</v>
      </c>
      <c r="G262" s="17" t="str">
        <f>HYPERLINK("https://www.washoecounty.gov/assessor/cama/?command=sales&amp;parid=00375005","3921354")</f>
        <v>3921354</v>
      </c>
      <c r="H262" t="s">
        <v>4519</v>
      </c>
      <c r="I262">
        <v>2005</v>
      </c>
      <c r="J262">
        <v>2005</v>
      </c>
      <c r="K262" t="s">
        <v>3144</v>
      </c>
      <c r="L262" t="s">
        <v>3974</v>
      </c>
      <c r="M262" s="2">
        <v>1160</v>
      </c>
      <c r="N262" t="s">
        <v>5280</v>
      </c>
      <c r="O262">
        <v>2</v>
      </c>
      <c r="P262">
        <v>2</v>
      </c>
      <c r="Q262">
        <v>1</v>
      </c>
      <c r="R262" t="s">
        <v>5281</v>
      </c>
      <c r="S262" t="s">
        <v>4558</v>
      </c>
      <c r="T262" t="s">
        <v>4559</v>
      </c>
      <c r="U262" t="s">
        <v>4655</v>
      </c>
      <c r="V262" s="2">
        <v>0</v>
      </c>
      <c r="W262" t="s">
        <v>4571</v>
      </c>
      <c r="X262" s="2">
        <v>552</v>
      </c>
      <c r="Y262">
        <v>21</v>
      </c>
      <c r="Z262" t="s">
        <v>4144</v>
      </c>
      <c r="AA262" s="3">
        <v>2.3691460490226701E-2</v>
      </c>
      <c r="AB262" t="s">
        <v>5722</v>
      </c>
      <c r="AC262" t="s">
        <v>4562</v>
      </c>
      <c r="AD262" t="s">
        <v>1743</v>
      </c>
      <c r="AE262" t="s">
        <v>4655</v>
      </c>
      <c r="AF262" t="s">
        <v>4563</v>
      </c>
      <c r="AG262" t="s">
        <v>4564</v>
      </c>
      <c r="AH262">
        <v>89511</v>
      </c>
      <c r="AI262" t="s">
        <v>6793</v>
      </c>
      <c r="AJ262" t="s">
        <v>4520</v>
      </c>
      <c r="AK262" t="s">
        <v>6794</v>
      </c>
      <c r="AL262" s="13" t="s">
        <v>2255</v>
      </c>
      <c r="AM262" s="14">
        <v>1</v>
      </c>
      <c r="AN262" s="15" t="s">
        <v>5352</v>
      </c>
    </row>
    <row r="263" spans="1:40" x14ac:dyDescent="0.3">
      <c r="A263" s="10" t="str">
        <f>HYPERLINK("http://www.washoecounty.gov/assessor/cama/?parid=003-750-10&amp;CardNumber=1","003-750-10")</f>
        <v>003-750-10</v>
      </c>
      <c r="B263" t="s">
        <v>4655</v>
      </c>
      <c r="C263" t="s">
        <v>6795</v>
      </c>
      <c r="D263" s="1">
        <v>40477</v>
      </c>
      <c r="E263" s="2">
        <v>95000</v>
      </c>
      <c r="F263" t="s">
        <v>4567</v>
      </c>
      <c r="G263" s="17" t="str">
        <f>HYPERLINK("https://www.washoecounty.gov/assessor/cama/?command=sales&amp;parid=00375010","3936660")</f>
        <v>3936660</v>
      </c>
      <c r="H263" t="s">
        <v>4519</v>
      </c>
      <c r="I263">
        <v>2005</v>
      </c>
      <c r="J263">
        <v>2005</v>
      </c>
      <c r="K263" t="s">
        <v>3144</v>
      </c>
      <c r="L263" t="s">
        <v>3974</v>
      </c>
      <c r="M263" s="2">
        <v>1310</v>
      </c>
      <c r="N263" t="s">
        <v>5280</v>
      </c>
      <c r="O263">
        <v>2</v>
      </c>
      <c r="P263">
        <v>2</v>
      </c>
      <c r="Q263">
        <v>1</v>
      </c>
      <c r="R263" t="s">
        <v>5281</v>
      </c>
      <c r="S263" t="s">
        <v>4558</v>
      </c>
      <c r="T263" t="s">
        <v>4559</v>
      </c>
      <c r="U263" t="s">
        <v>4655</v>
      </c>
      <c r="V263" s="2">
        <v>0</v>
      </c>
      <c r="W263" t="s">
        <v>4571</v>
      </c>
      <c r="X263" s="2">
        <v>622</v>
      </c>
      <c r="Y263">
        <v>21</v>
      </c>
      <c r="Z263" t="s">
        <v>4144</v>
      </c>
      <c r="AA263" s="3">
        <v>2.66299359500408E-2</v>
      </c>
      <c r="AB263" t="s">
        <v>3169</v>
      </c>
      <c r="AC263" t="s">
        <v>4562</v>
      </c>
      <c r="AD263" t="s">
        <v>1743</v>
      </c>
      <c r="AE263" t="s">
        <v>4655</v>
      </c>
      <c r="AF263" t="s">
        <v>4563</v>
      </c>
      <c r="AG263" t="s">
        <v>4564</v>
      </c>
      <c r="AH263">
        <v>89511</v>
      </c>
      <c r="AI263" t="s">
        <v>6796</v>
      </c>
      <c r="AJ263" t="s">
        <v>4520</v>
      </c>
      <c r="AK263" t="s">
        <v>6797</v>
      </c>
      <c r="AL263" s="13" t="s">
        <v>2255</v>
      </c>
      <c r="AM263">
        <v>1</v>
      </c>
      <c r="AN263" s="15" t="s">
        <v>5352</v>
      </c>
    </row>
    <row r="264" spans="1:40" x14ac:dyDescent="0.3">
      <c r="A264" s="10" t="str">
        <f>HYPERLINK("http://www.washoecounty.gov/assessor/cama/?parid=003-750-11&amp;CardNumber=1","003-750-11")</f>
        <v>003-750-11</v>
      </c>
      <c r="B264" t="s">
        <v>4655</v>
      </c>
      <c r="C264" t="s">
        <v>6798</v>
      </c>
      <c r="D264" s="1">
        <v>40416</v>
      </c>
      <c r="E264" s="2">
        <v>104000</v>
      </c>
      <c r="F264" t="s">
        <v>4567</v>
      </c>
      <c r="G264" s="17" t="str">
        <f>HYPERLINK("https://www.washoecounty.gov/assessor/cama/?command=sales&amp;parid=00375011","3916086")</f>
        <v>3916086</v>
      </c>
      <c r="H264" t="s">
        <v>4519</v>
      </c>
      <c r="I264">
        <v>2005</v>
      </c>
      <c r="J264">
        <v>2005</v>
      </c>
      <c r="K264" t="s">
        <v>3144</v>
      </c>
      <c r="L264" t="s">
        <v>3974</v>
      </c>
      <c r="M264" s="2">
        <v>1310</v>
      </c>
      <c r="N264" t="s">
        <v>5280</v>
      </c>
      <c r="O264">
        <v>2</v>
      </c>
      <c r="P264">
        <v>2</v>
      </c>
      <c r="Q264">
        <v>1</v>
      </c>
      <c r="R264" t="s">
        <v>5281</v>
      </c>
      <c r="S264" t="s">
        <v>4558</v>
      </c>
      <c r="T264" t="s">
        <v>4559</v>
      </c>
      <c r="U264" t="s">
        <v>4655</v>
      </c>
      <c r="V264" s="2">
        <v>0</v>
      </c>
      <c r="W264" t="s">
        <v>4571</v>
      </c>
      <c r="X264" s="2">
        <v>622</v>
      </c>
      <c r="Y264">
        <v>21</v>
      </c>
      <c r="Z264" t="s">
        <v>4144</v>
      </c>
      <c r="AA264" s="3">
        <v>2.66299359500408E-2</v>
      </c>
      <c r="AB264" t="s">
        <v>3169</v>
      </c>
      <c r="AC264" t="s">
        <v>4562</v>
      </c>
      <c r="AD264" t="s">
        <v>1743</v>
      </c>
      <c r="AE264" t="s">
        <v>4655</v>
      </c>
      <c r="AF264" t="s">
        <v>4563</v>
      </c>
      <c r="AG264" t="s">
        <v>4564</v>
      </c>
      <c r="AH264">
        <v>89511</v>
      </c>
      <c r="AI264" t="s">
        <v>6796</v>
      </c>
      <c r="AJ264" t="s">
        <v>4520</v>
      </c>
      <c r="AK264" t="s">
        <v>6799</v>
      </c>
      <c r="AL264" s="13" t="s">
        <v>2255</v>
      </c>
      <c r="AM264">
        <v>1</v>
      </c>
      <c r="AN264" s="15" t="s">
        <v>5352</v>
      </c>
    </row>
    <row r="265" spans="1:40" x14ac:dyDescent="0.3">
      <c r="A265" s="10" t="str">
        <f>HYPERLINK("http://www.washoecounty.gov/assessor/cama/?parid=003-750-12&amp;CardNumber=1","003-750-12")</f>
        <v>003-750-12</v>
      </c>
      <c r="B265" t="s">
        <v>4655</v>
      </c>
      <c r="C265" t="s">
        <v>6800</v>
      </c>
      <c r="D265" s="1">
        <v>40522</v>
      </c>
      <c r="E265" s="2">
        <v>98900</v>
      </c>
      <c r="F265" t="s">
        <v>4553</v>
      </c>
      <c r="G265" s="17" t="str">
        <f>HYPERLINK("https://www.washoecounty.gov/assessor/cama/?command=sales&amp;parid=00375012","3951973")</f>
        <v>3951973</v>
      </c>
      <c r="H265" t="s">
        <v>4519</v>
      </c>
      <c r="I265">
        <v>2005</v>
      </c>
      <c r="J265">
        <v>2005</v>
      </c>
      <c r="K265" t="s">
        <v>4897</v>
      </c>
      <c r="L265" t="s">
        <v>3974</v>
      </c>
      <c r="M265" s="2">
        <v>1310</v>
      </c>
      <c r="N265" t="s">
        <v>5280</v>
      </c>
      <c r="O265">
        <v>2</v>
      </c>
      <c r="P265">
        <v>2</v>
      </c>
      <c r="Q265">
        <v>1</v>
      </c>
      <c r="R265" t="s">
        <v>5281</v>
      </c>
      <c r="S265" t="s">
        <v>4558</v>
      </c>
      <c r="T265" t="s">
        <v>4559</v>
      </c>
      <c r="U265" t="s">
        <v>4655</v>
      </c>
      <c r="V265" s="2">
        <v>0</v>
      </c>
      <c r="W265" t="s">
        <v>4571</v>
      </c>
      <c r="X265" s="2">
        <v>622</v>
      </c>
      <c r="Y265">
        <v>21</v>
      </c>
      <c r="Z265" t="s">
        <v>4144</v>
      </c>
      <c r="AA265" s="3">
        <v>2.7617080137133598E-2</v>
      </c>
      <c r="AB265" t="s">
        <v>6801</v>
      </c>
      <c r="AC265" t="s">
        <v>4562</v>
      </c>
      <c r="AD265" t="s">
        <v>6800</v>
      </c>
      <c r="AE265" t="s">
        <v>4655</v>
      </c>
      <c r="AF265" t="s">
        <v>3114</v>
      </c>
      <c r="AG265" t="s">
        <v>4564</v>
      </c>
      <c r="AH265">
        <v>89503</v>
      </c>
      <c r="AI265" t="s">
        <v>2351</v>
      </c>
      <c r="AJ265" t="s">
        <v>4520</v>
      </c>
      <c r="AK265" t="s">
        <v>6802</v>
      </c>
      <c r="AL265" s="13" t="s">
        <v>2255</v>
      </c>
      <c r="AM265" s="14">
        <v>1</v>
      </c>
      <c r="AN265" s="15" t="s">
        <v>5352</v>
      </c>
    </row>
    <row r="266" spans="1:40" x14ac:dyDescent="0.3">
      <c r="A266" s="10" t="str">
        <f>HYPERLINK("http://www.washoecounty.gov/assessor/cama/?parid=003-750-27&amp;CardNumber=1","003-750-27")</f>
        <v>003-750-27</v>
      </c>
      <c r="B266" t="s">
        <v>4655</v>
      </c>
      <c r="C266" t="s">
        <v>6803</v>
      </c>
      <c r="D266" s="1">
        <v>40473</v>
      </c>
      <c r="E266" s="2">
        <v>100000</v>
      </c>
      <c r="F266" t="s">
        <v>4567</v>
      </c>
      <c r="G266" s="17" t="str">
        <f>HYPERLINK("https://www.washoecounty.gov/assessor/cama/?command=sales&amp;parid=00375027","3935485")</f>
        <v>3935485</v>
      </c>
      <c r="H266" t="s">
        <v>4519</v>
      </c>
      <c r="I266">
        <v>2005</v>
      </c>
      <c r="J266">
        <v>2005</v>
      </c>
      <c r="K266" t="s">
        <v>3144</v>
      </c>
      <c r="L266" t="s">
        <v>3974</v>
      </c>
      <c r="M266" s="2">
        <v>1310</v>
      </c>
      <c r="N266" t="s">
        <v>5280</v>
      </c>
      <c r="O266">
        <v>2</v>
      </c>
      <c r="P266">
        <v>2</v>
      </c>
      <c r="Q266">
        <v>1</v>
      </c>
      <c r="R266" t="s">
        <v>5281</v>
      </c>
      <c r="S266" t="s">
        <v>4558</v>
      </c>
      <c r="T266" t="s">
        <v>4559</v>
      </c>
      <c r="U266" t="s">
        <v>4655</v>
      </c>
      <c r="V266" s="2">
        <v>0</v>
      </c>
      <c r="W266" t="s">
        <v>4571</v>
      </c>
      <c r="X266" s="2">
        <v>622</v>
      </c>
      <c r="Y266">
        <v>21</v>
      </c>
      <c r="Z266" t="s">
        <v>4144</v>
      </c>
      <c r="AA266" s="3">
        <v>2.84435264766216E-2</v>
      </c>
      <c r="AB266" t="s">
        <v>2887</v>
      </c>
      <c r="AC266" t="s">
        <v>4562</v>
      </c>
      <c r="AD266" t="s">
        <v>2886</v>
      </c>
      <c r="AE266" t="s">
        <v>4655</v>
      </c>
      <c r="AF266" t="s">
        <v>3660</v>
      </c>
      <c r="AG266" t="s">
        <v>4584</v>
      </c>
      <c r="AH266" t="s">
        <v>1340</v>
      </c>
      <c r="AI266" t="s">
        <v>6804</v>
      </c>
      <c r="AJ266" t="s">
        <v>4520</v>
      </c>
      <c r="AK266" t="s">
        <v>6805</v>
      </c>
      <c r="AL266" s="13" t="s">
        <v>2255</v>
      </c>
      <c r="AM266">
        <v>1</v>
      </c>
      <c r="AN266" s="15" t="s">
        <v>5352</v>
      </c>
    </row>
    <row r="267" spans="1:40" x14ac:dyDescent="0.3">
      <c r="A267" s="10" t="str">
        <f>HYPERLINK("http://www.washoecounty.gov/assessor/cama/?parid=003-750-29&amp;CardNumber=1","003-750-29")</f>
        <v>003-750-29</v>
      </c>
      <c r="B267" t="s">
        <v>4655</v>
      </c>
      <c r="C267" t="s">
        <v>6806</v>
      </c>
      <c r="D267" s="1">
        <v>40466</v>
      </c>
      <c r="E267" s="2">
        <v>95000</v>
      </c>
      <c r="F267" t="s">
        <v>4567</v>
      </c>
      <c r="G267" s="17" t="str">
        <f>HYPERLINK("https://www.washoecounty.gov/assessor/cama/?command=sales&amp;parid=00375029","3933627")</f>
        <v>3933627</v>
      </c>
      <c r="H267" t="s">
        <v>4519</v>
      </c>
      <c r="I267">
        <v>2005</v>
      </c>
      <c r="J267">
        <v>2005</v>
      </c>
      <c r="K267" t="s">
        <v>3144</v>
      </c>
      <c r="L267" t="s">
        <v>3974</v>
      </c>
      <c r="M267" s="2">
        <v>1310</v>
      </c>
      <c r="N267" t="s">
        <v>5280</v>
      </c>
      <c r="O267">
        <v>2</v>
      </c>
      <c r="P267">
        <v>2</v>
      </c>
      <c r="Q267">
        <v>1</v>
      </c>
      <c r="R267" t="s">
        <v>5281</v>
      </c>
      <c r="S267" t="s">
        <v>4558</v>
      </c>
      <c r="T267" t="s">
        <v>4559</v>
      </c>
      <c r="U267" t="s">
        <v>4655</v>
      </c>
      <c r="V267" s="2">
        <v>0</v>
      </c>
      <c r="W267" t="s">
        <v>4571</v>
      </c>
      <c r="X267" s="2">
        <v>622</v>
      </c>
      <c r="Y267">
        <v>21</v>
      </c>
      <c r="Z267" t="s">
        <v>4144</v>
      </c>
      <c r="AA267" s="3">
        <v>2.5803489610552802E-2</v>
      </c>
      <c r="AB267" t="s">
        <v>6807</v>
      </c>
      <c r="AC267" t="s">
        <v>4575</v>
      </c>
      <c r="AD267" t="s">
        <v>6806</v>
      </c>
      <c r="AE267" t="s">
        <v>4655</v>
      </c>
      <c r="AF267" t="s">
        <v>4563</v>
      </c>
      <c r="AG267" t="s">
        <v>4564</v>
      </c>
      <c r="AH267">
        <v>89503</v>
      </c>
      <c r="AI267" t="s">
        <v>6808</v>
      </c>
      <c r="AJ267" t="s">
        <v>4520</v>
      </c>
      <c r="AK267" t="s">
        <v>6809</v>
      </c>
      <c r="AL267" s="13" t="s">
        <v>2255</v>
      </c>
      <c r="AM267">
        <v>1</v>
      </c>
      <c r="AN267" s="15" t="s">
        <v>5352</v>
      </c>
    </row>
    <row r="268" spans="1:40" x14ac:dyDescent="0.3">
      <c r="A268" s="10" t="str">
        <f>HYPERLINK("http://www.washoecounty.gov/assessor/cama/?parid=003-771-04&amp;CardNumber=1","003-771-04")</f>
        <v>003-771-04</v>
      </c>
      <c r="B268" t="s">
        <v>4655</v>
      </c>
      <c r="C268" t="s">
        <v>2176</v>
      </c>
      <c r="D268" s="1">
        <v>40542</v>
      </c>
      <c r="E268" s="2">
        <v>79900</v>
      </c>
      <c r="F268" t="s">
        <v>4553</v>
      </c>
      <c r="G268" s="17" t="str">
        <f>HYPERLINK("https://www.washoecounty.gov/assessor/cama/?command=sales&amp;parid=00377104","3958928")</f>
        <v>3958928</v>
      </c>
      <c r="H268" t="s">
        <v>1381</v>
      </c>
      <c r="I268">
        <v>2004</v>
      </c>
      <c r="J268">
        <v>2004</v>
      </c>
      <c r="K268" t="s">
        <v>4897</v>
      </c>
      <c r="L268" t="s">
        <v>4555</v>
      </c>
      <c r="M268" s="2">
        <v>1386</v>
      </c>
      <c r="N268" t="s">
        <v>5280</v>
      </c>
      <c r="O268">
        <v>4</v>
      </c>
      <c r="P268">
        <v>4</v>
      </c>
      <c r="Q268">
        <v>0</v>
      </c>
      <c r="R268" t="s">
        <v>5281</v>
      </c>
      <c r="S268" t="s">
        <v>4135</v>
      </c>
      <c r="T268" t="s">
        <v>4559</v>
      </c>
      <c r="U268" t="s">
        <v>4655</v>
      </c>
      <c r="V268" s="2">
        <v>0</v>
      </c>
      <c r="W268" t="s">
        <v>4655</v>
      </c>
      <c r="X268" s="2">
        <v>0</v>
      </c>
      <c r="Y268">
        <v>21</v>
      </c>
      <c r="Z268" t="s">
        <v>1370</v>
      </c>
      <c r="AA268" s="3">
        <v>3.10606062412262E-2</v>
      </c>
      <c r="AB268" t="s">
        <v>6810</v>
      </c>
      <c r="AC268" t="s">
        <v>4575</v>
      </c>
      <c r="AD268" t="s">
        <v>6811</v>
      </c>
      <c r="AE268" t="s">
        <v>6812</v>
      </c>
      <c r="AF268" t="s">
        <v>4563</v>
      </c>
      <c r="AG268" t="s">
        <v>4564</v>
      </c>
      <c r="AH268">
        <v>89512</v>
      </c>
      <c r="AI268" t="s">
        <v>2351</v>
      </c>
      <c r="AJ268" t="s">
        <v>788</v>
      </c>
      <c r="AK268" t="s">
        <v>6813</v>
      </c>
      <c r="AL268" s="13" t="s">
        <v>2255</v>
      </c>
      <c r="AM268">
        <v>1</v>
      </c>
      <c r="AN268" s="15" t="s">
        <v>789</v>
      </c>
    </row>
    <row r="269" spans="1:40" x14ac:dyDescent="0.3">
      <c r="A269" s="10" t="str">
        <f>HYPERLINK("http://www.washoecounty.gov/assessor/cama/?parid=003-771-09&amp;CardNumber=1","003-771-09")</f>
        <v>003-771-09</v>
      </c>
      <c r="B269" t="s">
        <v>4655</v>
      </c>
      <c r="C269" t="s">
        <v>2176</v>
      </c>
      <c r="D269" s="1">
        <v>40500</v>
      </c>
      <c r="E269" s="2">
        <v>79900</v>
      </c>
      <c r="F269" t="s">
        <v>4553</v>
      </c>
      <c r="G269" s="17" t="str">
        <f>HYPERLINK("https://www.washoecounty.gov/assessor/cama/?command=sales&amp;parid=00377109","3944332")</f>
        <v>3944332</v>
      </c>
      <c r="H269" t="s">
        <v>1381</v>
      </c>
      <c r="I269">
        <v>2004</v>
      </c>
      <c r="J269">
        <v>2004</v>
      </c>
      <c r="K269" t="s">
        <v>4897</v>
      </c>
      <c r="L269" t="s">
        <v>4555</v>
      </c>
      <c r="M269" s="2">
        <v>1386</v>
      </c>
      <c r="N269" t="s">
        <v>5280</v>
      </c>
      <c r="O269">
        <v>4</v>
      </c>
      <c r="P269">
        <v>4</v>
      </c>
      <c r="Q269">
        <v>0</v>
      </c>
      <c r="R269" t="s">
        <v>5281</v>
      </c>
      <c r="S269" t="s">
        <v>4135</v>
      </c>
      <c r="T269" t="s">
        <v>4559</v>
      </c>
      <c r="U269" t="s">
        <v>4655</v>
      </c>
      <c r="V269" s="2">
        <v>0</v>
      </c>
      <c r="W269" t="s">
        <v>4655</v>
      </c>
      <c r="X269" s="2">
        <v>0</v>
      </c>
      <c r="Y269">
        <v>21</v>
      </c>
      <c r="Z269" t="s">
        <v>1370</v>
      </c>
      <c r="AA269" s="3">
        <v>3.10606062412262E-2</v>
      </c>
      <c r="AB269" t="s">
        <v>6814</v>
      </c>
      <c r="AC269" t="s">
        <v>4575</v>
      </c>
      <c r="AD269" t="s">
        <v>6815</v>
      </c>
      <c r="AE269" t="s">
        <v>4655</v>
      </c>
      <c r="AF269" t="s">
        <v>574</v>
      </c>
      <c r="AG269" t="s">
        <v>4584</v>
      </c>
      <c r="AH269">
        <v>95051</v>
      </c>
      <c r="AI269" t="s">
        <v>1602</v>
      </c>
      <c r="AJ269" t="s">
        <v>788</v>
      </c>
      <c r="AK269" t="s">
        <v>6816</v>
      </c>
      <c r="AL269" s="13" t="s">
        <v>2255</v>
      </c>
      <c r="AM269" s="14">
        <v>1</v>
      </c>
      <c r="AN269" s="15" t="s">
        <v>789</v>
      </c>
    </row>
    <row r="270" spans="1:40" x14ac:dyDescent="0.3">
      <c r="A270" s="10" t="str">
        <f>HYPERLINK("http://www.washoecounty.gov/assessor/cama/?parid=003-772-10&amp;CardNumber=1","003-772-10")</f>
        <v>003-772-10</v>
      </c>
      <c r="B270" t="s">
        <v>4655</v>
      </c>
      <c r="C270" t="s">
        <v>2176</v>
      </c>
      <c r="D270" s="1">
        <v>40228</v>
      </c>
      <c r="E270" s="2">
        <v>90000</v>
      </c>
      <c r="F270" t="s">
        <v>4553</v>
      </c>
      <c r="G270" s="17" t="str">
        <f>HYPERLINK("https://www.washoecounty.gov/assessor/cama/?command=sales&amp;parid=00377210","3851038")</f>
        <v>3851038</v>
      </c>
      <c r="H270" t="s">
        <v>1381</v>
      </c>
      <c r="I270">
        <v>2004</v>
      </c>
      <c r="J270">
        <v>2004</v>
      </c>
      <c r="K270" t="s">
        <v>4897</v>
      </c>
      <c r="L270" t="s">
        <v>4555</v>
      </c>
      <c r="M270" s="2">
        <v>1386</v>
      </c>
      <c r="N270" t="s">
        <v>5280</v>
      </c>
      <c r="O270">
        <v>4</v>
      </c>
      <c r="P270">
        <v>4</v>
      </c>
      <c r="Q270">
        <v>0</v>
      </c>
      <c r="R270" t="s">
        <v>5281</v>
      </c>
      <c r="S270" t="s">
        <v>4135</v>
      </c>
      <c r="T270" t="s">
        <v>4559</v>
      </c>
      <c r="U270" t="s">
        <v>4655</v>
      </c>
      <c r="V270" s="2">
        <v>0</v>
      </c>
      <c r="W270" t="s">
        <v>4655</v>
      </c>
      <c r="X270" s="2">
        <v>0</v>
      </c>
      <c r="Y270">
        <v>21</v>
      </c>
      <c r="Z270" t="s">
        <v>1370</v>
      </c>
      <c r="AA270" s="3">
        <v>3.10606062412262E-2</v>
      </c>
      <c r="AB270" t="s">
        <v>6817</v>
      </c>
      <c r="AC270" t="s">
        <v>4562</v>
      </c>
      <c r="AD270" t="s">
        <v>6818</v>
      </c>
      <c r="AE270" t="s">
        <v>4655</v>
      </c>
      <c r="AF270" t="s">
        <v>1382</v>
      </c>
      <c r="AG270" t="s">
        <v>4584</v>
      </c>
      <c r="AH270">
        <v>94611</v>
      </c>
      <c r="AI270" t="s">
        <v>2351</v>
      </c>
      <c r="AJ270" t="s">
        <v>788</v>
      </c>
      <c r="AK270" t="s">
        <v>6819</v>
      </c>
      <c r="AL270" s="13" t="s">
        <v>2255</v>
      </c>
      <c r="AM270">
        <v>1</v>
      </c>
      <c r="AN270" s="15" t="s">
        <v>789</v>
      </c>
    </row>
    <row r="271" spans="1:40" x14ac:dyDescent="0.3">
      <c r="A271" s="10" t="str">
        <f>HYPERLINK("http://www.washoecounty.gov/assessor/cama/?parid=003-773-10&amp;CardNumber=1","003-773-10")</f>
        <v>003-773-10</v>
      </c>
      <c r="B271" t="s">
        <v>4655</v>
      </c>
      <c r="C271" t="s">
        <v>2176</v>
      </c>
      <c r="D271" s="1">
        <v>40287</v>
      </c>
      <c r="E271" s="2">
        <v>85000</v>
      </c>
      <c r="F271" t="s">
        <v>4567</v>
      </c>
      <c r="G271" s="17" t="str">
        <f>HYPERLINK("https://www.washoecounty.gov/assessor/cama/?command=sales&amp;parid=00377310","3872145")</f>
        <v>3872145</v>
      </c>
      <c r="H271" t="s">
        <v>1381</v>
      </c>
      <c r="I271">
        <v>2004</v>
      </c>
      <c r="J271">
        <v>2004</v>
      </c>
      <c r="K271" t="s">
        <v>4897</v>
      </c>
      <c r="L271" t="s">
        <v>4555</v>
      </c>
      <c r="M271" s="2">
        <v>1386</v>
      </c>
      <c r="N271" t="s">
        <v>5280</v>
      </c>
      <c r="O271">
        <v>4</v>
      </c>
      <c r="P271">
        <v>4</v>
      </c>
      <c r="Q271">
        <v>0</v>
      </c>
      <c r="R271" t="s">
        <v>5281</v>
      </c>
      <c r="S271" t="s">
        <v>4135</v>
      </c>
      <c r="T271" t="s">
        <v>4559</v>
      </c>
      <c r="U271" t="s">
        <v>4655</v>
      </c>
      <c r="V271" s="2">
        <v>0</v>
      </c>
      <c r="W271" t="s">
        <v>4655</v>
      </c>
      <c r="X271" s="2">
        <v>0</v>
      </c>
      <c r="Y271">
        <v>21</v>
      </c>
      <c r="Z271" t="s">
        <v>1370</v>
      </c>
      <c r="AA271" s="3">
        <v>3.10606062412262E-2</v>
      </c>
      <c r="AB271" t="s">
        <v>6820</v>
      </c>
      <c r="AC271" t="s">
        <v>4562</v>
      </c>
      <c r="AD271" t="s">
        <v>6821</v>
      </c>
      <c r="AE271" t="s">
        <v>4655</v>
      </c>
      <c r="AF271" t="s">
        <v>4563</v>
      </c>
      <c r="AG271" t="s">
        <v>4564</v>
      </c>
      <c r="AH271">
        <v>89509</v>
      </c>
      <c r="AI271" t="s">
        <v>6822</v>
      </c>
      <c r="AJ271" t="s">
        <v>788</v>
      </c>
      <c r="AK271" t="s">
        <v>6823</v>
      </c>
      <c r="AL271" s="13" t="s">
        <v>2255</v>
      </c>
      <c r="AM271" s="14">
        <v>1</v>
      </c>
      <c r="AN271" s="15" t="s">
        <v>789</v>
      </c>
    </row>
    <row r="272" spans="1:40" x14ac:dyDescent="0.3">
      <c r="A272" s="10" t="str">
        <f>HYPERLINK("http://www.washoecounty.gov/assessor/cama/?parid=003-774-01&amp;CardNumber=1","003-774-01")</f>
        <v>003-774-01</v>
      </c>
      <c r="B272" t="s">
        <v>4655</v>
      </c>
      <c r="C272" t="s">
        <v>2176</v>
      </c>
      <c r="D272" s="1">
        <v>40410</v>
      </c>
      <c r="E272" s="2">
        <v>83000</v>
      </c>
      <c r="F272" t="s">
        <v>4553</v>
      </c>
      <c r="G272" s="17" t="str">
        <f>HYPERLINK("https://www.washoecounty.gov/assessor/cama/?command=sales&amp;parid=00377401","3914316")</f>
        <v>3914316</v>
      </c>
      <c r="H272" t="s">
        <v>1381</v>
      </c>
      <c r="I272">
        <v>2004</v>
      </c>
      <c r="J272">
        <v>2004</v>
      </c>
      <c r="K272" t="s">
        <v>4897</v>
      </c>
      <c r="L272" t="s">
        <v>4555</v>
      </c>
      <c r="M272" s="2">
        <v>1386</v>
      </c>
      <c r="N272" t="s">
        <v>5280</v>
      </c>
      <c r="O272">
        <v>4</v>
      </c>
      <c r="P272">
        <v>4</v>
      </c>
      <c r="Q272">
        <v>0</v>
      </c>
      <c r="R272" t="s">
        <v>5281</v>
      </c>
      <c r="S272" t="s">
        <v>4135</v>
      </c>
      <c r="T272" t="s">
        <v>4559</v>
      </c>
      <c r="U272" t="s">
        <v>4655</v>
      </c>
      <c r="V272" s="2">
        <v>0</v>
      </c>
      <c r="W272" t="s">
        <v>4655</v>
      </c>
      <c r="X272" s="2">
        <v>0</v>
      </c>
      <c r="Y272">
        <v>21</v>
      </c>
      <c r="Z272" t="s">
        <v>1370</v>
      </c>
      <c r="AA272" s="3">
        <v>3.10606062412262E-2</v>
      </c>
      <c r="AB272" t="s">
        <v>6824</v>
      </c>
      <c r="AC272" t="s">
        <v>4562</v>
      </c>
      <c r="AD272" t="s">
        <v>6825</v>
      </c>
      <c r="AE272" t="s">
        <v>4655</v>
      </c>
      <c r="AF272" t="s">
        <v>5201</v>
      </c>
      <c r="AG272" t="s">
        <v>4564</v>
      </c>
      <c r="AH272" t="s">
        <v>3898</v>
      </c>
      <c r="AI272" t="s">
        <v>4903</v>
      </c>
      <c r="AJ272" t="s">
        <v>788</v>
      </c>
      <c r="AK272" t="s">
        <v>6826</v>
      </c>
      <c r="AL272" s="13" t="s">
        <v>2255</v>
      </c>
      <c r="AM272">
        <v>1</v>
      </c>
      <c r="AN272" s="15" t="s">
        <v>789</v>
      </c>
    </row>
    <row r="273" spans="1:40" x14ac:dyDescent="0.3">
      <c r="A273" s="10" t="str">
        <f>HYPERLINK("http://www.washoecounty.gov/assessor/cama/?parid=003-775-02&amp;CardNumber=1","003-775-02")</f>
        <v>003-775-02</v>
      </c>
      <c r="B273" t="s">
        <v>4655</v>
      </c>
      <c r="C273" t="s">
        <v>2176</v>
      </c>
      <c r="D273" s="1">
        <v>40539</v>
      </c>
      <c r="E273" s="2">
        <v>69300</v>
      </c>
      <c r="F273" t="s">
        <v>4553</v>
      </c>
      <c r="G273" s="17" t="str">
        <f>HYPERLINK("https://www.washoecounty.gov/assessor/cama/?command=sales&amp;parid=00377502","3957251")</f>
        <v>3957251</v>
      </c>
      <c r="H273" t="s">
        <v>1381</v>
      </c>
      <c r="I273">
        <v>2004</v>
      </c>
      <c r="J273">
        <v>2004</v>
      </c>
      <c r="K273" t="s">
        <v>4897</v>
      </c>
      <c r="L273" t="s">
        <v>4555</v>
      </c>
      <c r="M273" s="2">
        <v>951</v>
      </c>
      <c r="N273" t="s">
        <v>5280</v>
      </c>
      <c r="O273">
        <v>2</v>
      </c>
      <c r="P273">
        <v>2</v>
      </c>
      <c r="Q273">
        <v>0</v>
      </c>
      <c r="R273" t="s">
        <v>5281</v>
      </c>
      <c r="S273" t="s">
        <v>4135</v>
      </c>
      <c r="T273" t="s">
        <v>4559</v>
      </c>
      <c r="U273" t="s">
        <v>4655</v>
      </c>
      <c r="V273" s="2">
        <v>0</v>
      </c>
      <c r="W273" t="s">
        <v>4655</v>
      </c>
      <c r="X273" s="2">
        <v>0</v>
      </c>
      <c r="Y273">
        <v>21</v>
      </c>
      <c r="Z273" t="s">
        <v>1370</v>
      </c>
      <c r="AA273" s="3">
        <v>2.1189164370298399E-2</v>
      </c>
      <c r="AB273" t="s">
        <v>6827</v>
      </c>
      <c r="AC273" t="s">
        <v>4562</v>
      </c>
      <c r="AD273" t="s">
        <v>6828</v>
      </c>
      <c r="AE273" t="s">
        <v>4655</v>
      </c>
      <c r="AF273" t="s">
        <v>4563</v>
      </c>
      <c r="AG273" t="s">
        <v>4564</v>
      </c>
      <c r="AH273">
        <v>89503</v>
      </c>
      <c r="AI273" t="s">
        <v>4903</v>
      </c>
      <c r="AJ273" t="s">
        <v>788</v>
      </c>
      <c r="AK273" t="s">
        <v>6829</v>
      </c>
      <c r="AL273" s="13" t="s">
        <v>2255</v>
      </c>
      <c r="AM273" s="14">
        <v>1</v>
      </c>
      <c r="AN273" s="15" t="s">
        <v>789</v>
      </c>
    </row>
    <row r="274" spans="1:40" x14ac:dyDescent="0.3">
      <c r="A274" s="10" t="str">
        <f>HYPERLINK("http://www.washoecounty.gov/assessor/cama/?parid=003-778-02&amp;CardNumber=1","003-778-02")</f>
        <v>003-778-02</v>
      </c>
      <c r="B274" t="s">
        <v>4655</v>
      </c>
      <c r="C274" t="s">
        <v>2176</v>
      </c>
      <c r="D274" s="1">
        <v>40501</v>
      </c>
      <c r="E274" s="2">
        <v>65000</v>
      </c>
      <c r="F274" t="s">
        <v>4553</v>
      </c>
      <c r="G274" s="17" t="str">
        <f>HYPERLINK("https://www.washoecounty.gov/assessor/cama/?command=sales&amp;parid=00377802","3945227")</f>
        <v>3945227</v>
      </c>
      <c r="H274" t="s">
        <v>1381</v>
      </c>
      <c r="I274">
        <v>2004</v>
      </c>
      <c r="J274">
        <v>2004</v>
      </c>
      <c r="K274" t="s">
        <v>4897</v>
      </c>
      <c r="L274" t="s">
        <v>4555</v>
      </c>
      <c r="M274" s="2">
        <v>951</v>
      </c>
      <c r="N274" t="s">
        <v>5280</v>
      </c>
      <c r="O274">
        <v>2</v>
      </c>
      <c r="P274">
        <v>2</v>
      </c>
      <c r="Q274">
        <v>0</v>
      </c>
      <c r="R274" t="s">
        <v>5281</v>
      </c>
      <c r="S274" t="s">
        <v>4135</v>
      </c>
      <c r="T274" t="s">
        <v>4559</v>
      </c>
      <c r="U274" t="s">
        <v>4655</v>
      </c>
      <c r="V274" s="2">
        <v>0</v>
      </c>
      <c r="W274" t="s">
        <v>4655</v>
      </c>
      <c r="X274" s="2">
        <v>0</v>
      </c>
      <c r="Y274">
        <v>21</v>
      </c>
      <c r="Z274" t="s">
        <v>1370</v>
      </c>
      <c r="AA274" s="3">
        <v>2.1189164370298399E-2</v>
      </c>
      <c r="AB274" t="s">
        <v>6830</v>
      </c>
      <c r="AC274" t="s">
        <v>4562</v>
      </c>
      <c r="AD274" t="s">
        <v>6831</v>
      </c>
      <c r="AE274" t="s">
        <v>4655</v>
      </c>
      <c r="AF274" t="s">
        <v>4563</v>
      </c>
      <c r="AG274" t="s">
        <v>4564</v>
      </c>
      <c r="AH274">
        <v>89509</v>
      </c>
      <c r="AI274" t="s">
        <v>4903</v>
      </c>
      <c r="AJ274" t="s">
        <v>788</v>
      </c>
      <c r="AK274" t="s">
        <v>6832</v>
      </c>
      <c r="AL274" s="13" t="s">
        <v>2255</v>
      </c>
      <c r="AM274" s="14">
        <v>1</v>
      </c>
      <c r="AN274" s="15" t="s">
        <v>789</v>
      </c>
    </row>
    <row r="275" spans="1:40" x14ac:dyDescent="0.3">
      <c r="A275" s="10" t="str">
        <f>HYPERLINK("http://www.washoecounty.gov/assessor/cama/?parid=003-781-21&amp;CardNumber=1","003-781-21")</f>
        <v>003-781-21</v>
      </c>
      <c r="B275" t="s">
        <v>4655</v>
      </c>
      <c r="C275" t="s">
        <v>6833</v>
      </c>
      <c r="D275" s="1">
        <v>40542</v>
      </c>
      <c r="E275" s="2">
        <v>300000</v>
      </c>
      <c r="F275" t="s">
        <v>4567</v>
      </c>
      <c r="G275" s="17" t="str">
        <f>HYPERLINK("https://www.washoecounty.gov/assessor/cama/?command=sales&amp;parid=00378121","3959082")</f>
        <v>3959082</v>
      </c>
      <c r="H275" t="s">
        <v>4521</v>
      </c>
      <c r="I275">
        <v>2006</v>
      </c>
      <c r="J275">
        <v>2006</v>
      </c>
      <c r="K275" t="s">
        <v>4554</v>
      </c>
      <c r="L275" t="s">
        <v>3974</v>
      </c>
      <c r="M275" s="2">
        <v>3160</v>
      </c>
      <c r="N275" t="s">
        <v>3147</v>
      </c>
      <c r="O275">
        <v>5</v>
      </c>
      <c r="P275">
        <v>3</v>
      </c>
      <c r="Q275">
        <v>0</v>
      </c>
      <c r="R275" t="s">
        <v>5281</v>
      </c>
      <c r="S275" t="s">
        <v>4898</v>
      </c>
      <c r="T275" t="s">
        <v>2704</v>
      </c>
      <c r="U275" t="s">
        <v>4560</v>
      </c>
      <c r="V275" s="2">
        <v>630</v>
      </c>
      <c r="W275" t="s">
        <v>4655</v>
      </c>
      <c r="X275" s="2">
        <v>0</v>
      </c>
      <c r="Y275">
        <v>20</v>
      </c>
      <c r="Z275" t="s">
        <v>1491</v>
      </c>
      <c r="AA275" s="3">
        <v>0.22943067550659199</v>
      </c>
      <c r="AB275" t="s">
        <v>6834</v>
      </c>
      <c r="AC275" t="s">
        <v>4575</v>
      </c>
      <c r="AD275" t="s">
        <v>6835</v>
      </c>
      <c r="AE275" t="s">
        <v>4655</v>
      </c>
      <c r="AF275" t="s">
        <v>4563</v>
      </c>
      <c r="AG275" t="s">
        <v>4564</v>
      </c>
      <c r="AH275">
        <v>89512</v>
      </c>
      <c r="AI275" t="s">
        <v>6836</v>
      </c>
      <c r="AJ275" t="s">
        <v>5387</v>
      </c>
      <c r="AK275" t="s">
        <v>6837</v>
      </c>
      <c r="AL275" s="13" t="s">
        <v>2255</v>
      </c>
      <c r="AM275">
        <v>1</v>
      </c>
      <c r="AN275" s="15" t="s">
        <v>5388</v>
      </c>
    </row>
    <row r="276" spans="1:40" x14ac:dyDescent="0.3">
      <c r="A276" s="10" t="str">
        <f>HYPERLINK("http://www.washoecounty.gov/assessor/cama/?parid=003-783-13&amp;CardNumber=1","003-783-13")</f>
        <v>003-783-13</v>
      </c>
      <c r="B276" t="s">
        <v>4655</v>
      </c>
      <c r="C276" t="s">
        <v>6838</v>
      </c>
      <c r="D276" s="1">
        <v>40193</v>
      </c>
      <c r="E276" s="2">
        <v>330000</v>
      </c>
      <c r="F276" t="s">
        <v>4567</v>
      </c>
      <c r="G276" s="17" t="str">
        <f>HYPERLINK("https://www.washoecounty.gov/assessor/cama/?command=sales&amp;parid=00378313","3840132")</f>
        <v>3840132</v>
      </c>
      <c r="H276" t="s">
        <v>4521</v>
      </c>
      <c r="I276">
        <v>2006</v>
      </c>
      <c r="J276">
        <v>2006</v>
      </c>
      <c r="K276" t="s">
        <v>4554</v>
      </c>
      <c r="L276" t="s">
        <v>3974</v>
      </c>
      <c r="M276" s="2">
        <v>3160</v>
      </c>
      <c r="N276" t="s">
        <v>3147</v>
      </c>
      <c r="O276">
        <v>5</v>
      </c>
      <c r="P276">
        <v>3</v>
      </c>
      <c r="Q276">
        <v>0</v>
      </c>
      <c r="R276" t="s">
        <v>5281</v>
      </c>
      <c r="S276" t="s">
        <v>4898</v>
      </c>
      <c r="T276" t="s">
        <v>2704</v>
      </c>
      <c r="U276" t="s">
        <v>4560</v>
      </c>
      <c r="V276" s="2">
        <v>630</v>
      </c>
      <c r="W276" t="s">
        <v>4655</v>
      </c>
      <c r="X276" s="2">
        <v>0</v>
      </c>
      <c r="Y276">
        <v>20</v>
      </c>
      <c r="Z276" t="s">
        <v>1491</v>
      </c>
      <c r="AA276" s="3">
        <v>0.215197429060936</v>
      </c>
      <c r="AB276" t="s">
        <v>6839</v>
      </c>
      <c r="AC276" t="s">
        <v>4575</v>
      </c>
      <c r="AD276" t="s">
        <v>6840</v>
      </c>
      <c r="AE276" t="s">
        <v>6841</v>
      </c>
      <c r="AF276" t="s">
        <v>4563</v>
      </c>
      <c r="AG276" t="s">
        <v>4564</v>
      </c>
      <c r="AH276">
        <v>89512</v>
      </c>
      <c r="AI276" t="s">
        <v>6842</v>
      </c>
      <c r="AJ276" t="s">
        <v>5387</v>
      </c>
      <c r="AK276" t="s">
        <v>6843</v>
      </c>
      <c r="AL276" s="13" t="s">
        <v>2255</v>
      </c>
      <c r="AM276">
        <v>1</v>
      </c>
      <c r="AN276" s="15" t="s">
        <v>5388</v>
      </c>
    </row>
    <row r="277" spans="1:40" x14ac:dyDescent="0.3">
      <c r="A277" s="10" t="str">
        <f>HYPERLINK("http://www.washoecounty.gov/assessor/cama/?parid=003-801-05&amp;CardNumber=1","003-801-05")</f>
        <v>003-801-05</v>
      </c>
      <c r="B277" t="s">
        <v>4655</v>
      </c>
      <c r="C277" t="s">
        <v>6844</v>
      </c>
      <c r="D277" s="1">
        <v>40465</v>
      </c>
      <c r="E277" s="2">
        <v>111000</v>
      </c>
      <c r="F277" t="s">
        <v>4567</v>
      </c>
      <c r="G277" s="17" t="str">
        <f>HYPERLINK("https://www.washoecounty.gov/assessor/cama/?command=sales&amp;parid=00380105","3932887")</f>
        <v>3932887</v>
      </c>
      <c r="H277" t="s">
        <v>4997</v>
      </c>
      <c r="I277">
        <v>2006</v>
      </c>
      <c r="J277">
        <v>2006</v>
      </c>
      <c r="K277" t="s">
        <v>3144</v>
      </c>
      <c r="L277" t="s">
        <v>3974</v>
      </c>
      <c r="M277" s="2">
        <v>1112</v>
      </c>
      <c r="N277" t="s">
        <v>5280</v>
      </c>
      <c r="O277">
        <v>2</v>
      </c>
      <c r="P277">
        <v>2</v>
      </c>
      <c r="Q277">
        <v>1</v>
      </c>
      <c r="R277" t="s">
        <v>5281</v>
      </c>
      <c r="S277" t="s">
        <v>4558</v>
      </c>
      <c r="T277" t="s">
        <v>4559</v>
      </c>
      <c r="U277" t="s">
        <v>5631</v>
      </c>
      <c r="V277" s="2">
        <v>344</v>
      </c>
      <c r="W277" t="s">
        <v>3201</v>
      </c>
      <c r="X277" s="2">
        <v>384</v>
      </c>
      <c r="Y277">
        <v>21</v>
      </c>
      <c r="Z277" t="s">
        <v>4144</v>
      </c>
      <c r="AA277" s="3">
        <v>2.4288337677717198E-2</v>
      </c>
      <c r="AB277" t="s">
        <v>6845</v>
      </c>
      <c r="AC277" t="s">
        <v>4562</v>
      </c>
      <c r="AD277" t="s">
        <v>6846</v>
      </c>
      <c r="AE277" t="s">
        <v>4655</v>
      </c>
      <c r="AF277" t="s">
        <v>4563</v>
      </c>
      <c r="AG277" t="s">
        <v>4564</v>
      </c>
      <c r="AH277">
        <v>89503</v>
      </c>
      <c r="AI277" t="s">
        <v>6847</v>
      </c>
      <c r="AJ277" t="s">
        <v>1061</v>
      </c>
      <c r="AK277" t="s">
        <v>6848</v>
      </c>
      <c r="AL277" s="13" t="s">
        <v>2255</v>
      </c>
      <c r="AM277" s="14">
        <v>1</v>
      </c>
      <c r="AN277" s="15" t="s">
        <v>5352</v>
      </c>
    </row>
    <row r="278" spans="1:40" x14ac:dyDescent="0.3">
      <c r="A278" s="10" t="str">
        <f>HYPERLINK("http://www.washoecounty.gov/assessor/cama/?parid=003-801-10&amp;CardNumber=1","003-801-10")</f>
        <v>003-801-10</v>
      </c>
      <c r="B278" t="s">
        <v>4655</v>
      </c>
      <c r="C278" t="s">
        <v>6849</v>
      </c>
      <c r="D278" s="1">
        <v>40387</v>
      </c>
      <c r="E278" s="2">
        <v>125000</v>
      </c>
      <c r="F278" t="s">
        <v>4567</v>
      </c>
      <c r="G278" s="17" t="str">
        <f>HYPERLINK("https://www.washoecounty.gov/assessor/cama/?command=sales&amp;parid=00380110","3906185")</f>
        <v>3906185</v>
      </c>
      <c r="H278" t="s">
        <v>4997</v>
      </c>
      <c r="I278">
        <v>2006</v>
      </c>
      <c r="J278">
        <v>2006</v>
      </c>
      <c r="K278" t="s">
        <v>3144</v>
      </c>
      <c r="L278" t="s">
        <v>3974</v>
      </c>
      <c r="M278" s="2">
        <v>1252</v>
      </c>
      <c r="N278" t="s">
        <v>5280</v>
      </c>
      <c r="O278">
        <v>2</v>
      </c>
      <c r="P278">
        <v>2</v>
      </c>
      <c r="Q278">
        <v>1</v>
      </c>
      <c r="R278" t="s">
        <v>5281</v>
      </c>
      <c r="S278" t="s">
        <v>4558</v>
      </c>
      <c r="T278" t="s">
        <v>4559</v>
      </c>
      <c r="U278" t="s">
        <v>5631</v>
      </c>
      <c r="V278" s="2">
        <v>388</v>
      </c>
      <c r="W278" t="s">
        <v>3201</v>
      </c>
      <c r="X278" s="2">
        <v>432</v>
      </c>
      <c r="Y278">
        <v>21</v>
      </c>
      <c r="Z278" t="s">
        <v>4144</v>
      </c>
      <c r="AA278" s="3">
        <v>2.7249770238995601E-2</v>
      </c>
      <c r="AB278" t="s">
        <v>6850</v>
      </c>
      <c r="AC278" t="s">
        <v>4575</v>
      </c>
      <c r="AD278" t="s">
        <v>6851</v>
      </c>
      <c r="AE278" t="s">
        <v>4655</v>
      </c>
      <c r="AF278" t="s">
        <v>4563</v>
      </c>
      <c r="AG278" t="s">
        <v>4564</v>
      </c>
      <c r="AH278">
        <v>89503</v>
      </c>
      <c r="AI278" t="s">
        <v>6852</v>
      </c>
      <c r="AJ278" t="s">
        <v>1061</v>
      </c>
      <c r="AK278" t="s">
        <v>6853</v>
      </c>
      <c r="AL278" s="13" t="s">
        <v>2255</v>
      </c>
      <c r="AM278">
        <v>1</v>
      </c>
      <c r="AN278" s="15" t="s">
        <v>5352</v>
      </c>
    </row>
    <row r="279" spans="1:40" x14ac:dyDescent="0.3">
      <c r="A279" s="10" t="str">
        <f>HYPERLINK("http://www.washoecounty.gov/assessor/cama/?parid=003-801-12&amp;CardNumber=1","003-801-12")</f>
        <v>003-801-12</v>
      </c>
      <c r="B279" t="s">
        <v>4655</v>
      </c>
      <c r="C279" t="s">
        <v>6854</v>
      </c>
      <c r="D279" s="1">
        <v>40359</v>
      </c>
      <c r="E279" s="2">
        <v>125000</v>
      </c>
      <c r="F279" t="s">
        <v>4567</v>
      </c>
      <c r="G279" s="17" t="str">
        <f>HYPERLINK("https://www.washoecounty.gov/assessor/cama/?command=sales&amp;parid=00380112","3897324")</f>
        <v>3897324</v>
      </c>
      <c r="H279" t="s">
        <v>4997</v>
      </c>
      <c r="I279">
        <v>2006</v>
      </c>
      <c r="J279">
        <v>2006</v>
      </c>
      <c r="K279" t="s">
        <v>4897</v>
      </c>
      <c r="L279" t="s">
        <v>3974</v>
      </c>
      <c r="M279" s="2">
        <v>1392</v>
      </c>
      <c r="N279" t="s">
        <v>5280</v>
      </c>
      <c r="O279">
        <v>2</v>
      </c>
      <c r="P279">
        <v>2</v>
      </c>
      <c r="Q279">
        <v>1</v>
      </c>
      <c r="R279" t="s">
        <v>5281</v>
      </c>
      <c r="S279" t="s">
        <v>4558</v>
      </c>
      <c r="T279" t="s">
        <v>4559</v>
      </c>
      <c r="U279" t="s">
        <v>5631</v>
      </c>
      <c r="V279" s="2">
        <v>432</v>
      </c>
      <c r="W279" t="s">
        <v>3201</v>
      </c>
      <c r="X279" s="2">
        <v>480</v>
      </c>
      <c r="Y279">
        <v>21</v>
      </c>
      <c r="Z279" t="s">
        <v>4144</v>
      </c>
      <c r="AA279" s="3">
        <v>3.0394857749342901E-2</v>
      </c>
      <c r="AB279" t="s">
        <v>6855</v>
      </c>
      <c r="AC279" t="s">
        <v>4562</v>
      </c>
      <c r="AD279" t="s">
        <v>6854</v>
      </c>
      <c r="AE279" t="s">
        <v>4655</v>
      </c>
      <c r="AF279" t="s">
        <v>4563</v>
      </c>
      <c r="AG279" t="s">
        <v>4564</v>
      </c>
      <c r="AH279">
        <v>89503</v>
      </c>
      <c r="AI279" t="s">
        <v>6856</v>
      </c>
      <c r="AJ279" t="s">
        <v>1061</v>
      </c>
      <c r="AK279" t="s">
        <v>6857</v>
      </c>
      <c r="AL279" s="13" t="s">
        <v>2255</v>
      </c>
      <c r="AM279" s="14">
        <v>1</v>
      </c>
      <c r="AN279" s="15" t="s">
        <v>5352</v>
      </c>
    </row>
    <row r="280" spans="1:40" x14ac:dyDescent="0.3">
      <c r="A280" s="10" t="str">
        <f>HYPERLINK("http://www.washoecounty.gov/assessor/cama/?parid=003-801-21&amp;CardNumber=1","003-801-21")</f>
        <v>003-801-21</v>
      </c>
      <c r="B280" t="s">
        <v>4655</v>
      </c>
      <c r="C280" t="s">
        <v>6858</v>
      </c>
      <c r="D280" s="1">
        <v>40442</v>
      </c>
      <c r="E280" s="2">
        <v>109500</v>
      </c>
      <c r="F280" t="s">
        <v>4567</v>
      </c>
      <c r="G280" s="17" t="str">
        <f>HYPERLINK("https://www.washoecounty.gov/assessor/cama/?command=sales&amp;parid=00380121","3924656")</f>
        <v>3924656</v>
      </c>
      <c r="H280" t="s">
        <v>4997</v>
      </c>
      <c r="I280">
        <v>2006</v>
      </c>
      <c r="J280">
        <v>2006</v>
      </c>
      <c r="K280" t="s">
        <v>3144</v>
      </c>
      <c r="L280" t="s">
        <v>3974</v>
      </c>
      <c r="M280" s="2">
        <v>1302</v>
      </c>
      <c r="N280" t="s">
        <v>5280</v>
      </c>
      <c r="O280">
        <v>2</v>
      </c>
      <c r="P280">
        <v>2</v>
      </c>
      <c r="Q280">
        <v>1</v>
      </c>
      <c r="R280" t="s">
        <v>5281</v>
      </c>
      <c r="S280" t="s">
        <v>4558</v>
      </c>
      <c r="T280" t="s">
        <v>4559</v>
      </c>
      <c r="U280" t="s">
        <v>4655</v>
      </c>
      <c r="V280" s="2">
        <v>0</v>
      </c>
      <c r="W280" t="s">
        <v>4571</v>
      </c>
      <c r="X280" s="2">
        <v>622</v>
      </c>
      <c r="Y280">
        <v>21</v>
      </c>
      <c r="Z280" t="s">
        <v>4144</v>
      </c>
      <c r="AA280" s="3">
        <v>2.5803489610552802E-2</v>
      </c>
      <c r="AB280" t="s">
        <v>6859</v>
      </c>
      <c r="AC280" t="s">
        <v>4562</v>
      </c>
      <c r="AD280" t="s">
        <v>6860</v>
      </c>
      <c r="AE280" t="s">
        <v>4655</v>
      </c>
      <c r="AF280" t="s">
        <v>4563</v>
      </c>
      <c r="AG280" t="s">
        <v>4564</v>
      </c>
      <c r="AH280">
        <v>89503</v>
      </c>
      <c r="AI280" t="s">
        <v>6861</v>
      </c>
      <c r="AJ280" t="s">
        <v>1061</v>
      </c>
      <c r="AK280" t="s">
        <v>6862</v>
      </c>
      <c r="AL280" s="13" t="s">
        <v>2255</v>
      </c>
      <c r="AM280">
        <v>1</v>
      </c>
      <c r="AN280" s="15" t="s">
        <v>5352</v>
      </c>
    </row>
    <row r="281" spans="1:40" x14ac:dyDescent="0.3">
      <c r="A281" s="10" t="str">
        <f>HYPERLINK("http://www.washoecounty.gov/assessor/cama/?parid=003-801-22&amp;CardNumber=1","003-801-22")</f>
        <v>003-801-22</v>
      </c>
      <c r="B281" t="s">
        <v>4655</v>
      </c>
      <c r="C281" t="s">
        <v>6863</v>
      </c>
      <c r="D281" s="1">
        <v>40421</v>
      </c>
      <c r="E281" s="2">
        <v>116000</v>
      </c>
      <c r="F281" t="s">
        <v>4567</v>
      </c>
      <c r="G281" s="17" t="str">
        <f>HYPERLINK("https://www.washoecounty.gov/assessor/cama/?command=sales&amp;parid=00380122","3917389")</f>
        <v>3917389</v>
      </c>
      <c r="H281" t="s">
        <v>4997</v>
      </c>
      <c r="I281">
        <v>2006</v>
      </c>
      <c r="J281">
        <v>2006</v>
      </c>
      <c r="K281" t="s">
        <v>3144</v>
      </c>
      <c r="L281" t="s">
        <v>3974</v>
      </c>
      <c r="M281" s="2">
        <v>1302</v>
      </c>
      <c r="N281" t="s">
        <v>5280</v>
      </c>
      <c r="O281">
        <v>2</v>
      </c>
      <c r="P281">
        <v>2</v>
      </c>
      <c r="Q281">
        <v>1</v>
      </c>
      <c r="R281" t="s">
        <v>5281</v>
      </c>
      <c r="S281" t="s">
        <v>4558</v>
      </c>
      <c r="T281" t="s">
        <v>4559</v>
      </c>
      <c r="U281" t="s">
        <v>4655</v>
      </c>
      <c r="V281" s="2">
        <v>0</v>
      </c>
      <c r="W281" t="s">
        <v>4571</v>
      </c>
      <c r="X281" s="2">
        <v>622</v>
      </c>
      <c r="Y281">
        <v>21</v>
      </c>
      <c r="Z281" t="s">
        <v>4144</v>
      </c>
      <c r="AA281" s="3">
        <v>2.5803489610552802E-2</v>
      </c>
      <c r="AB281" t="s">
        <v>6864</v>
      </c>
      <c r="AC281" t="s">
        <v>4562</v>
      </c>
      <c r="AD281" t="s">
        <v>6863</v>
      </c>
      <c r="AE281" t="s">
        <v>4655</v>
      </c>
      <c r="AF281" t="s">
        <v>4563</v>
      </c>
      <c r="AG281" t="s">
        <v>4564</v>
      </c>
      <c r="AH281">
        <v>89503</v>
      </c>
      <c r="AI281" t="s">
        <v>6865</v>
      </c>
      <c r="AJ281" t="s">
        <v>1061</v>
      </c>
      <c r="AK281" t="s">
        <v>6866</v>
      </c>
      <c r="AL281" s="13" t="s">
        <v>2255</v>
      </c>
      <c r="AM281" s="14">
        <v>1</v>
      </c>
      <c r="AN281" s="15" t="s">
        <v>5352</v>
      </c>
    </row>
    <row r="282" spans="1:40" x14ac:dyDescent="0.3">
      <c r="A282" s="10" t="str">
        <f>HYPERLINK("http://www.washoecounty.gov/assessor/cama/?parid=003-801-38&amp;CardNumber=1","003-801-38")</f>
        <v>003-801-38</v>
      </c>
      <c r="B282" t="s">
        <v>4655</v>
      </c>
      <c r="C282" t="s">
        <v>6867</v>
      </c>
      <c r="D282" s="1">
        <v>40504</v>
      </c>
      <c r="E282" s="2">
        <v>123000</v>
      </c>
      <c r="F282" t="s">
        <v>4567</v>
      </c>
      <c r="G282" s="17" t="str">
        <f>HYPERLINK("https://www.washoecounty.gov/assessor/cama/?command=sales&amp;parid=00380138","3945701")</f>
        <v>3945701</v>
      </c>
      <c r="H282" t="s">
        <v>513</v>
      </c>
      <c r="I282">
        <v>2006</v>
      </c>
      <c r="J282">
        <v>2006</v>
      </c>
      <c r="K282" t="s">
        <v>4897</v>
      </c>
      <c r="L282" t="s">
        <v>3974</v>
      </c>
      <c r="M282" s="2">
        <v>1392</v>
      </c>
      <c r="N282" t="s">
        <v>5280</v>
      </c>
      <c r="O282">
        <v>3</v>
      </c>
      <c r="P282">
        <v>2</v>
      </c>
      <c r="Q282">
        <v>1</v>
      </c>
      <c r="R282" t="s">
        <v>5281</v>
      </c>
      <c r="S282" t="s">
        <v>4558</v>
      </c>
      <c r="T282" t="s">
        <v>4559</v>
      </c>
      <c r="U282" t="s">
        <v>5631</v>
      </c>
      <c r="V282" s="2">
        <v>432</v>
      </c>
      <c r="W282" t="s">
        <v>3201</v>
      </c>
      <c r="X282" s="2">
        <v>480</v>
      </c>
      <c r="Y282">
        <v>21</v>
      </c>
      <c r="Z282" t="s">
        <v>4144</v>
      </c>
      <c r="AA282" s="3">
        <v>3.5422407090663903E-2</v>
      </c>
      <c r="AB282" t="s">
        <v>6868</v>
      </c>
      <c r="AC282" t="s">
        <v>4562</v>
      </c>
      <c r="AD282" t="s">
        <v>6867</v>
      </c>
      <c r="AE282" t="s">
        <v>4655</v>
      </c>
      <c r="AF282" t="s">
        <v>4563</v>
      </c>
      <c r="AG282" t="s">
        <v>4564</v>
      </c>
      <c r="AH282">
        <v>89503</v>
      </c>
      <c r="AI282" t="s">
        <v>6856</v>
      </c>
      <c r="AJ282" t="s">
        <v>4571</v>
      </c>
      <c r="AK282" t="s">
        <v>6869</v>
      </c>
      <c r="AL282" s="13" t="s">
        <v>2255</v>
      </c>
      <c r="AM282" s="14">
        <v>1</v>
      </c>
      <c r="AN282" s="15" t="s">
        <v>5352</v>
      </c>
    </row>
    <row r="283" spans="1:40" x14ac:dyDescent="0.3">
      <c r="A283" s="10" t="str">
        <f>HYPERLINK("http://www.washoecounty.gov/assessor/cama/?parid=003-801-39&amp;CardNumber=1","003-801-39")</f>
        <v>003-801-39</v>
      </c>
      <c r="B283" t="s">
        <v>4655</v>
      </c>
      <c r="C283" t="s">
        <v>6870</v>
      </c>
      <c r="D283" s="1">
        <v>40529</v>
      </c>
      <c r="E283" s="2">
        <v>95000</v>
      </c>
      <c r="F283" t="s">
        <v>4553</v>
      </c>
      <c r="G283" s="17" t="str">
        <f>HYPERLINK("https://www.washoecounty.gov/assessor/cama/?command=sales&amp;parid=00380139","3955146")</f>
        <v>3955146</v>
      </c>
      <c r="H283" t="s">
        <v>513</v>
      </c>
      <c r="I283">
        <v>2006</v>
      </c>
      <c r="J283">
        <v>2006</v>
      </c>
      <c r="K283" t="s">
        <v>3144</v>
      </c>
      <c r="L283" t="s">
        <v>3974</v>
      </c>
      <c r="M283" s="2">
        <v>1112</v>
      </c>
      <c r="N283" t="s">
        <v>5280</v>
      </c>
      <c r="O283">
        <v>2</v>
      </c>
      <c r="P283">
        <v>2</v>
      </c>
      <c r="Q283">
        <v>1</v>
      </c>
      <c r="R283" t="s">
        <v>5281</v>
      </c>
      <c r="S283" t="s">
        <v>4558</v>
      </c>
      <c r="T283" t="s">
        <v>4559</v>
      </c>
      <c r="U283" t="s">
        <v>5631</v>
      </c>
      <c r="V283" s="2">
        <v>344</v>
      </c>
      <c r="W283" t="s">
        <v>3201</v>
      </c>
      <c r="X283" s="2">
        <v>384</v>
      </c>
      <c r="Y283">
        <v>21</v>
      </c>
      <c r="Z283" t="s">
        <v>4144</v>
      </c>
      <c r="AA283" s="3">
        <v>2.5711661204695702E-2</v>
      </c>
      <c r="AB283" t="s">
        <v>6871</v>
      </c>
      <c r="AC283" t="s">
        <v>4562</v>
      </c>
      <c r="AD283" t="s">
        <v>6870</v>
      </c>
      <c r="AE283" t="s">
        <v>4655</v>
      </c>
      <c r="AF283" t="s">
        <v>4563</v>
      </c>
      <c r="AG283" t="s">
        <v>4564</v>
      </c>
      <c r="AH283">
        <v>89503</v>
      </c>
      <c r="AI283" t="s">
        <v>4045</v>
      </c>
      <c r="AJ283" t="s">
        <v>4571</v>
      </c>
      <c r="AK283" t="s">
        <v>6872</v>
      </c>
      <c r="AL283" s="13" t="s">
        <v>2255</v>
      </c>
      <c r="AM283">
        <v>1</v>
      </c>
      <c r="AN283" s="15" t="s">
        <v>5352</v>
      </c>
    </row>
    <row r="284" spans="1:40" x14ac:dyDescent="0.3">
      <c r="A284" s="10" t="str">
        <f>HYPERLINK("http://www.washoecounty.gov/assessor/cama/?parid=003-801-40&amp;CardNumber=1","003-801-40")</f>
        <v>003-801-40</v>
      </c>
      <c r="B284" t="s">
        <v>4655</v>
      </c>
      <c r="C284" s="20" t="s">
        <v>283</v>
      </c>
      <c r="D284" s="1">
        <v>40504</v>
      </c>
      <c r="E284" s="2">
        <v>110900</v>
      </c>
      <c r="F284" t="s">
        <v>4567</v>
      </c>
      <c r="G284" s="20" t="s">
        <v>282</v>
      </c>
      <c r="H284" t="s">
        <v>513</v>
      </c>
      <c r="I284">
        <v>2006</v>
      </c>
      <c r="J284">
        <v>2006</v>
      </c>
      <c r="K284" t="s">
        <v>3144</v>
      </c>
      <c r="L284" t="s">
        <v>3974</v>
      </c>
      <c r="M284" s="2">
        <v>1252</v>
      </c>
      <c r="N284" t="s">
        <v>5280</v>
      </c>
      <c r="O284">
        <v>2</v>
      </c>
      <c r="P284">
        <v>2</v>
      </c>
      <c r="Q284">
        <v>1</v>
      </c>
      <c r="R284" t="s">
        <v>5281</v>
      </c>
      <c r="S284" t="s">
        <v>4558</v>
      </c>
      <c r="T284" t="s">
        <v>4559</v>
      </c>
      <c r="U284" t="s">
        <v>5631</v>
      </c>
      <c r="V284" s="2">
        <v>388</v>
      </c>
      <c r="W284" t="s">
        <v>3201</v>
      </c>
      <c r="X284" s="2">
        <v>432</v>
      </c>
      <c r="Y284">
        <v>21</v>
      </c>
      <c r="Z284" t="s">
        <v>4144</v>
      </c>
      <c r="AA284" s="3">
        <v>2.8741965070366901E-2</v>
      </c>
      <c r="AB284" s="20" t="s">
        <v>8865</v>
      </c>
      <c r="AD284" t="s">
        <v>283</v>
      </c>
      <c r="AE284" t="s">
        <v>283</v>
      </c>
      <c r="AF284" t="s">
        <v>283</v>
      </c>
      <c r="AG284" t="s">
        <v>4564</v>
      </c>
      <c r="AH284" t="s">
        <v>3101</v>
      </c>
      <c r="AI284" t="s">
        <v>8865</v>
      </c>
      <c r="AJ284" t="s">
        <v>4571</v>
      </c>
      <c r="AK284" t="s">
        <v>6873</v>
      </c>
      <c r="AL284" s="13" t="s">
        <v>2255</v>
      </c>
      <c r="AM284">
        <v>1</v>
      </c>
      <c r="AN284" s="15" t="s">
        <v>5352</v>
      </c>
    </row>
    <row r="285" spans="1:40" x14ac:dyDescent="0.3">
      <c r="A285" s="10" t="str">
        <f>HYPERLINK("http://www.washoecounty.gov/assessor/cama/?parid=003-801-43&amp;CardNumber=1","003-801-43")</f>
        <v>003-801-43</v>
      </c>
      <c r="B285" t="s">
        <v>4655</v>
      </c>
      <c r="C285" t="s">
        <v>6874</v>
      </c>
      <c r="D285" s="1">
        <v>40396</v>
      </c>
      <c r="E285" s="2">
        <v>119000</v>
      </c>
      <c r="F285" t="s">
        <v>4553</v>
      </c>
      <c r="G285" s="17" t="str">
        <f>HYPERLINK("https://www.washoecounty.gov/assessor/cama/?command=sales&amp;parid=00380143","3909540")</f>
        <v>3909540</v>
      </c>
      <c r="H285" t="s">
        <v>513</v>
      </c>
      <c r="I285">
        <v>2006</v>
      </c>
      <c r="J285">
        <v>2006</v>
      </c>
      <c r="K285" t="s">
        <v>4897</v>
      </c>
      <c r="L285" t="s">
        <v>3974</v>
      </c>
      <c r="M285" s="2">
        <v>1392</v>
      </c>
      <c r="N285" t="s">
        <v>5280</v>
      </c>
      <c r="O285">
        <v>2</v>
      </c>
      <c r="P285">
        <v>2</v>
      </c>
      <c r="Q285">
        <v>1</v>
      </c>
      <c r="R285" t="s">
        <v>5281</v>
      </c>
      <c r="S285" t="s">
        <v>4558</v>
      </c>
      <c r="T285" t="s">
        <v>4559</v>
      </c>
      <c r="U285" t="s">
        <v>5631</v>
      </c>
      <c r="V285" s="2">
        <v>432</v>
      </c>
      <c r="W285" t="s">
        <v>3201</v>
      </c>
      <c r="X285" s="2">
        <v>480</v>
      </c>
      <c r="Y285">
        <v>21</v>
      </c>
      <c r="Z285" t="s">
        <v>4144</v>
      </c>
      <c r="AA285" s="3">
        <v>3.72359976172447E-2</v>
      </c>
      <c r="AB285" t="s">
        <v>6875</v>
      </c>
      <c r="AC285" t="s">
        <v>4575</v>
      </c>
      <c r="AD285" t="s">
        <v>6876</v>
      </c>
      <c r="AE285" t="s">
        <v>4655</v>
      </c>
      <c r="AF285" t="s">
        <v>4563</v>
      </c>
      <c r="AG285" t="s">
        <v>4564</v>
      </c>
      <c r="AH285">
        <v>89503</v>
      </c>
      <c r="AI285" t="s">
        <v>514</v>
      </c>
      <c r="AJ285" t="s">
        <v>4571</v>
      </c>
      <c r="AK285" t="s">
        <v>6877</v>
      </c>
      <c r="AL285" s="13" t="s">
        <v>2255</v>
      </c>
      <c r="AM285">
        <v>1</v>
      </c>
      <c r="AN285" s="15" t="s">
        <v>5352</v>
      </c>
    </row>
    <row r="286" spans="1:40" x14ac:dyDescent="0.3">
      <c r="A286" s="10" t="str">
        <f>HYPERLINK("http://www.washoecounty.gov/assessor/cama/?parid=003-802-06&amp;CardNumber=1","003-802-06")</f>
        <v>003-802-06</v>
      </c>
      <c r="B286" t="s">
        <v>4655</v>
      </c>
      <c r="C286" t="s">
        <v>6878</v>
      </c>
      <c r="D286" s="1">
        <v>40358</v>
      </c>
      <c r="E286" s="2">
        <v>124000</v>
      </c>
      <c r="F286" t="s">
        <v>4567</v>
      </c>
      <c r="G286" s="17" t="str">
        <f>HYPERLINK("https://www.washoecounty.gov/assessor/cama/?command=sales&amp;parid=00380206","3896173")</f>
        <v>3896173</v>
      </c>
      <c r="H286" t="s">
        <v>4997</v>
      </c>
      <c r="I286">
        <v>2007</v>
      </c>
      <c r="J286">
        <v>2007</v>
      </c>
      <c r="K286" t="s">
        <v>4897</v>
      </c>
      <c r="L286" t="s">
        <v>3974</v>
      </c>
      <c r="M286" s="2">
        <v>1450</v>
      </c>
      <c r="N286" t="s">
        <v>5280</v>
      </c>
      <c r="O286">
        <v>2</v>
      </c>
      <c r="P286">
        <v>2</v>
      </c>
      <c r="Q286">
        <v>1</v>
      </c>
      <c r="R286" t="s">
        <v>5281</v>
      </c>
      <c r="S286" t="s">
        <v>4558</v>
      </c>
      <c r="T286" t="s">
        <v>4559</v>
      </c>
      <c r="U286" t="s">
        <v>4655</v>
      </c>
      <c r="V286" s="2">
        <v>0</v>
      </c>
      <c r="W286" t="s">
        <v>4571</v>
      </c>
      <c r="X286" s="2">
        <v>692</v>
      </c>
      <c r="Y286">
        <v>21</v>
      </c>
      <c r="Z286" t="s">
        <v>4144</v>
      </c>
      <c r="AA286" s="3">
        <v>2.92240586131811E-2</v>
      </c>
      <c r="AB286" t="s">
        <v>6879</v>
      </c>
      <c r="AC286" t="s">
        <v>4575</v>
      </c>
      <c r="AD286" t="s">
        <v>6880</v>
      </c>
      <c r="AE286" t="s">
        <v>4655</v>
      </c>
      <c r="AF286" t="s">
        <v>2229</v>
      </c>
      <c r="AG286" t="s">
        <v>4564</v>
      </c>
      <c r="AH286">
        <v>89403</v>
      </c>
      <c r="AI286" t="s">
        <v>6856</v>
      </c>
      <c r="AJ286" t="s">
        <v>4998</v>
      </c>
      <c r="AK286" t="s">
        <v>6881</v>
      </c>
      <c r="AL286" s="13" t="s">
        <v>2255</v>
      </c>
      <c r="AM286" s="14">
        <v>1</v>
      </c>
      <c r="AN286" s="15" t="s">
        <v>5352</v>
      </c>
    </row>
    <row r="287" spans="1:40" x14ac:dyDescent="0.3">
      <c r="A287" s="10" t="str">
        <f>HYPERLINK("http://www.washoecounty.gov/assessor/cama/?parid=003-802-07&amp;CardNumber=1","003-802-07")</f>
        <v>003-802-07</v>
      </c>
      <c r="B287" t="s">
        <v>4655</v>
      </c>
      <c r="C287" t="s">
        <v>6882</v>
      </c>
      <c r="D287" s="1">
        <v>40501</v>
      </c>
      <c r="E287" s="2">
        <v>104000</v>
      </c>
      <c r="F287" t="s">
        <v>4567</v>
      </c>
      <c r="G287" s="17" t="str">
        <f>HYPERLINK("https://www.washoecounty.gov/assessor/cama/?command=sales&amp;parid=00380207","3944907")</f>
        <v>3944907</v>
      </c>
      <c r="H287" t="s">
        <v>4997</v>
      </c>
      <c r="I287">
        <v>2007</v>
      </c>
      <c r="J287">
        <v>2007</v>
      </c>
      <c r="K287" t="s">
        <v>4897</v>
      </c>
      <c r="L287" t="s">
        <v>3974</v>
      </c>
      <c r="M287" s="2">
        <v>1302</v>
      </c>
      <c r="N287" t="s">
        <v>5280</v>
      </c>
      <c r="O287">
        <v>2</v>
      </c>
      <c r="P287">
        <v>2</v>
      </c>
      <c r="Q287">
        <v>1</v>
      </c>
      <c r="R287" t="s">
        <v>5281</v>
      </c>
      <c r="S287" t="s">
        <v>4558</v>
      </c>
      <c r="T287" t="s">
        <v>4559</v>
      </c>
      <c r="U287" t="s">
        <v>4655</v>
      </c>
      <c r="V287" s="2">
        <v>0</v>
      </c>
      <c r="W287" t="s">
        <v>4571</v>
      </c>
      <c r="X287" s="2">
        <v>622</v>
      </c>
      <c r="Y287">
        <v>21</v>
      </c>
      <c r="Z287" t="s">
        <v>4144</v>
      </c>
      <c r="AA287" s="3">
        <v>2.6170799508690799E-2</v>
      </c>
      <c r="AB287" t="s">
        <v>6719</v>
      </c>
      <c r="AC287" t="s">
        <v>4562</v>
      </c>
      <c r="AD287" t="s">
        <v>1743</v>
      </c>
      <c r="AE287" t="s">
        <v>4655</v>
      </c>
      <c r="AF287" t="s">
        <v>4563</v>
      </c>
      <c r="AG287" t="s">
        <v>4564</v>
      </c>
      <c r="AH287">
        <v>89511</v>
      </c>
      <c r="AI287" t="s">
        <v>6847</v>
      </c>
      <c r="AJ287" t="s">
        <v>4998</v>
      </c>
      <c r="AK287" t="s">
        <v>6883</v>
      </c>
      <c r="AL287" s="13" t="s">
        <v>2255</v>
      </c>
      <c r="AM287">
        <v>1</v>
      </c>
      <c r="AN287" s="15" t="s">
        <v>5352</v>
      </c>
    </row>
    <row r="288" spans="1:40" x14ac:dyDescent="0.3">
      <c r="A288" s="10" t="str">
        <f>HYPERLINK("http://www.washoecounty.gov/assessor/cama/?parid=003-802-12&amp;CardNumber=1","003-802-12")</f>
        <v>003-802-12</v>
      </c>
      <c r="B288" t="s">
        <v>4655</v>
      </c>
      <c r="C288" t="s">
        <v>6884</v>
      </c>
      <c r="D288" s="1">
        <v>40291</v>
      </c>
      <c r="E288" s="2">
        <v>120000</v>
      </c>
      <c r="F288" t="s">
        <v>4567</v>
      </c>
      <c r="G288" s="17" t="str">
        <f>HYPERLINK("https://www.washoecounty.gov/assessor/cama/?command=sales&amp;parid=00380212","3874156")</f>
        <v>3874156</v>
      </c>
      <c r="H288" t="s">
        <v>4997</v>
      </c>
      <c r="I288">
        <v>2007</v>
      </c>
      <c r="J288">
        <v>2007</v>
      </c>
      <c r="K288" t="s">
        <v>4897</v>
      </c>
      <c r="L288" t="s">
        <v>3974</v>
      </c>
      <c r="M288" s="2">
        <v>1302</v>
      </c>
      <c r="N288" t="s">
        <v>5280</v>
      </c>
      <c r="O288">
        <v>2</v>
      </c>
      <c r="P288">
        <v>2</v>
      </c>
      <c r="Q288">
        <v>1</v>
      </c>
      <c r="R288" t="s">
        <v>5281</v>
      </c>
      <c r="S288" t="s">
        <v>4558</v>
      </c>
      <c r="T288" t="s">
        <v>4559</v>
      </c>
      <c r="U288" t="s">
        <v>4655</v>
      </c>
      <c r="V288" s="2">
        <v>0</v>
      </c>
      <c r="W288" t="s">
        <v>4571</v>
      </c>
      <c r="X288" s="2">
        <v>622</v>
      </c>
      <c r="Y288">
        <v>21</v>
      </c>
      <c r="Z288" t="s">
        <v>4144</v>
      </c>
      <c r="AA288" s="3">
        <v>2.64003667980433E-2</v>
      </c>
      <c r="AB288" t="s">
        <v>6885</v>
      </c>
      <c r="AC288" t="s">
        <v>4562</v>
      </c>
      <c r="AD288" t="s">
        <v>6884</v>
      </c>
      <c r="AE288" t="s">
        <v>4655</v>
      </c>
      <c r="AF288" t="s">
        <v>4563</v>
      </c>
      <c r="AG288" t="s">
        <v>4564</v>
      </c>
      <c r="AH288">
        <v>89503</v>
      </c>
      <c r="AI288" t="s">
        <v>6856</v>
      </c>
      <c r="AJ288" t="s">
        <v>4998</v>
      </c>
      <c r="AK288" t="s">
        <v>6886</v>
      </c>
      <c r="AL288" s="13" t="s">
        <v>2255</v>
      </c>
      <c r="AM288" s="14">
        <v>1</v>
      </c>
      <c r="AN288" s="15" t="s">
        <v>5352</v>
      </c>
    </row>
    <row r="289" spans="1:40" x14ac:dyDescent="0.3">
      <c r="A289" s="10" t="str">
        <f>HYPERLINK("http://www.washoecounty.gov/assessor/cama/?parid=003-802-18&amp;CardNumber=1","003-802-18")</f>
        <v>003-802-18</v>
      </c>
      <c r="B289" t="s">
        <v>4655</v>
      </c>
      <c r="C289" t="s">
        <v>6887</v>
      </c>
      <c r="D289" s="1">
        <v>40541</v>
      </c>
      <c r="E289" s="2">
        <v>114900</v>
      </c>
      <c r="F289" t="s">
        <v>4567</v>
      </c>
      <c r="G289" s="17" t="str">
        <f>HYPERLINK("https://www.washoecounty.gov/assessor/cama/?command=sales&amp;parid=00380218","3958695")</f>
        <v>3958695</v>
      </c>
      <c r="H289" t="s">
        <v>4997</v>
      </c>
      <c r="I289">
        <v>2007</v>
      </c>
      <c r="J289">
        <v>2007</v>
      </c>
      <c r="K289" t="s">
        <v>4897</v>
      </c>
      <c r="L289" t="s">
        <v>3974</v>
      </c>
      <c r="M289" s="2">
        <v>1519</v>
      </c>
      <c r="N289" t="s">
        <v>5280</v>
      </c>
      <c r="O289">
        <v>3</v>
      </c>
      <c r="P289">
        <v>2</v>
      </c>
      <c r="Q289">
        <v>1</v>
      </c>
      <c r="R289" t="s">
        <v>5281</v>
      </c>
      <c r="S289" t="s">
        <v>4558</v>
      </c>
      <c r="T289" t="s">
        <v>4559</v>
      </c>
      <c r="U289" t="s">
        <v>5631</v>
      </c>
      <c r="V289" s="2">
        <v>260</v>
      </c>
      <c r="W289" t="s">
        <v>4655</v>
      </c>
      <c r="X289" s="2">
        <v>0</v>
      </c>
      <c r="Y289">
        <v>21</v>
      </c>
      <c r="Z289" t="s">
        <v>4144</v>
      </c>
      <c r="AA289" s="3">
        <v>3.0394857749342901E-2</v>
      </c>
      <c r="AB289" t="s">
        <v>6888</v>
      </c>
      <c r="AC289" t="s">
        <v>4562</v>
      </c>
      <c r="AD289" t="s">
        <v>6887</v>
      </c>
      <c r="AE289" t="s">
        <v>4655</v>
      </c>
      <c r="AF289" t="s">
        <v>4563</v>
      </c>
      <c r="AG289" t="s">
        <v>4564</v>
      </c>
      <c r="AH289">
        <v>89503</v>
      </c>
      <c r="AI289" t="s">
        <v>6847</v>
      </c>
      <c r="AJ289" t="s">
        <v>4998</v>
      </c>
      <c r="AK289" t="s">
        <v>6889</v>
      </c>
      <c r="AL289" s="13" t="s">
        <v>2255</v>
      </c>
      <c r="AM289">
        <v>1</v>
      </c>
      <c r="AN289" s="15" t="s">
        <v>5352</v>
      </c>
    </row>
    <row r="290" spans="1:40" x14ac:dyDescent="0.3">
      <c r="A290" s="10" t="str">
        <f>HYPERLINK("http://www.washoecounty.gov/assessor/cama/?parid=003-802-28&amp;CardNumber=1","003-802-28")</f>
        <v>003-802-28</v>
      </c>
      <c r="B290" t="s">
        <v>4655</v>
      </c>
      <c r="C290" t="s">
        <v>6890</v>
      </c>
      <c r="D290" s="1">
        <v>40368</v>
      </c>
      <c r="E290" s="2">
        <v>137500</v>
      </c>
      <c r="F290" t="s">
        <v>4567</v>
      </c>
      <c r="G290" s="17" t="str">
        <f>HYPERLINK("https://www.washoecounty.gov/assessor/cama/?command=sales&amp;parid=00380228","3899799")</f>
        <v>3899799</v>
      </c>
      <c r="H290" t="s">
        <v>4997</v>
      </c>
      <c r="I290">
        <v>2007</v>
      </c>
      <c r="J290">
        <v>2007</v>
      </c>
      <c r="K290" t="s">
        <v>4897</v>
      </c>
      <c r="L290" t="s">
        <v>3974</v>
      </c>
      <c r="M290" s="2">
        <v>1519</v>
      </c>
      <c r="N290" t="s">
        <v>5280</v>
      </c>
      <c r="O290">
        <v>3</v>
      </c>
      <c r="P290">
        <v>2</v>
      </c>
      <c r="Q290">
        <v>1</v>
      </c>
      <c r="R290" t="s">
        <v>5281</v>
      </c>
      <c r="S290" t="s">
        <v>4558</v>
      </c>
      <c r="T290" t="s">
        <v>4559</v>
      </c>
      <c r="U290" t="s">
        <v>5631</v>
      </c>
      <c r="V290" s="2">
        <v>260</v>
      </c>
      <c r="W290" t="s">
        <v>4655</v>
      </c>
      <c r="X290" s="2">
        <v>0</v>
      </c>
      <c r="Y290">
        <v>21</v>
      </c>
      <c r="Z290" t="s">
        <v>4144</v>
      </c>
      <c r="AA290" s="3">
        <v>3.3654730767011601E-2</v>
      </c>
      <c r="AB290" t="s">
        <v>6891</v>
      </c>
      <c r="AC290" t="s">
        <v>4562</v>
      </c>
      <c r="AD290" t="s">
        <v>6892</v>
      </c>
      <c r="AE290" t="s">
        <v>4655</v>
      </c>
      <c r="AF290" t="s">
        <v>4563</v>
      </c>
      <c r="AG290" t="s">
        <v>4564</v>
      </c>
      <c r="AH290">
        <v>89503</v>
      </c>
      <c r="AI290" t="s">
        <v>6891</v>
      </c>
      <c r="AJ290" t="s">
        <v>4998</v>
      </c>
      <c r="AK290" t="s">
        <v>6893</v>
      </c>
      <c r="AL290" s="13" t="s">
        <v>2255</v>
      </c>
      <c r="AM290">
        <v>1</v>
      </c>
      <c r="AN290" s="15" t="s">
        <v>5352</v>
      </c>
    </row>
    <row r="291" spans="1:40" x14ac:dyDescent="0.3">
      <c r="A291" s="10" t="str">
        <f>HYPERLINK("http://www.washoecounty.gov/assessor/cama/?parid=003-802-31&amp;CardNumber=1","003-802-31")</f>
        <v>003-802-31</v>
      </c>
      <c r="B291" t="s">
        <v>4655</v>
      </c>
      <c r="C291" t="s">
        <v>6894</v>
      </c>
      <c r="D291" s="1">
        <v>40409</v>
      </c>
      <c r="E291" s="2">
        <v>128750</v>
      </c>
      <c r="F291" t="s">
        <v>4567</v>
      </c>
      <c r="G291" s="17" t="str">
        <f>HYPERLINK("https://www.washoecounty.gov/assessor/cama/?command=sales&amp;parid=00380231","3913700")</f>
        <v>3913700</v>
      </c>
      <c r="H291" t="s">
        <v>4997</v>
      </c>
      <c r="I291">
        <v>2007</v>
      </c>
      <c r="J291">
        <v>2007</v>
      </c>
      <c r="K291" t="s">
        <v>3144</v>
      </c>
      <c r="L291" t="s">
        <v>3974</v>
      </c>
      <c r="M291" s="2">
        <v>1422</v>
      </c>
      <c r="N291" t="s">
        <v>5280</v>
      </c>
      <c r="O291">
        <v>2</v>
      </c>
      <c r="P291">
        <v>2</v>
      </c>
      <c r="Q291">
        <v>1</v>
      </c>
      <c r="R291" t="s">
        <v>5281</v>
      </c>
      <c r="S291" t="s">
        <v>4558</v>
      </c>
      <c r="T291" t="s">
        <v>4559</v>
      </c>
      <c r="U291" t="s">
        <v>5631</v>
      </c>
      <c r="V291" s="2">
        <v>210</v>
      </c>
      <c r="W291" t="s">
        <v>4655</v>
      </c>
      <c r="X291" s="2">
        <v>0</v>
      </c>
      <c r="Y291">
        <v>21</v>
      </c>
      <c r="Z291" t="s">
        <v>4144</v>
      </c>
      <c r="AA291" s="3">
        <v>2.7272727340459799E-2</v>
      </c>
      <c r="AB291" t="s">
        <v>6895</v>
      </c>
      <c r="AC291" t="s">
        <v>4575</v>
      </c>
      <c r="AD291" t="s">
        <v>6896</v>
      </c>
      <c r="AE291" t="s">
        <v>4655</v>
      </c>
      <c r="AF291" t="s">
        <v>4563</v>
      </c>
      <c r="AG291" t="s">
        <v>4564</v>
      </c>
      <c r="AH291">
        <v>89503</v>
      </c>
      <c r="AI291" t="s">
        <v>6895</v>
      </c>
      <c r="AJ291" t="s">
        <v>4998</v>
      </c>
      <c r="AK291" t="s">
        <v>6897</v>
      </c>
      <c r="AL291" s="13" t="s">
        <v>2255</v>
      </c>
      <c r="AM291">
        <v>1</v>
      </c>
      <c r="AN291" s="15" t="s">
        <v>5352</v>
      </c>
    </row>
    <row r="292" spans="1:40" x14ac:dyDescent="0.3">
      <c r="A292" s="10" t="str">
        <f>HYPERLINK("http://www.washoecounty.gov/assessor/cama/?parid=003-802-32&amp;CardNumber=1","003-802-32")</f>
        <v>003-802-32</v>
      </c>
      <c r="B292" t="s">
        <v>4655</v>
      </c>
      <c r="C292" t="s">
        <v>6898</v>
      </c>
      <c r="D292" s="1">
        <v>40435</v>
      </c>
      <c r="E292" s="2">
        <v>125000</v>
      </c>
      <c r="F292" t="s">
        <v>4567</v>
      </c>
      <c r="G292" s="17" t="str">
        <f>HYPERLINK("https://www.washoecounty.gov/assessor/cama/?command=sales&amp;parid=00380232","3922321")</f>
        <v>3922321</v>
      </c>
      <c r="H292" t="s">
        <v>4997</v>
      </c>
      <c r="I292">
        <v>2007</v>
      </c>
      <c r="J292">
        <v>2007</v>
      </c>
      <c r="K292" t="s">
        <v>3144</v>
      </c>
      <c r="L292" t="s">
        <v>3974</v>
      </c>
      <c r="M292" s="2">
        <v>1422</v>
      </c>
      <c r="N292" t="s">
        <v>5280</v>
      </c>
      <c r="O292">
        <v>2</v>
      </c>
      <c r="P292">
        <v>2</v>
      </c>
      <c r="Q292">
        <v>1</v>
      </c>
      <c r="R292" t="s">
        <v>5281</v>
      </c>
      <c r="S292" t="s">
        <v>4558</v>
      </c>
      <c r="T292" t="s">
        <v>4559</v>
      </c>
      <c r="U292" t="s">
        <v>5631</v>
      </c>
      <c r="V292" s="2">
        <v>210</v>
      </c>
      <c r="W292" t="s">
        <v>4655</v>
      </c>
      <c r="X292" s="2">
        <v>0</v>
      </c>
      <c r="Y292">
        <v>21</v>
      </c>
      <c r="Z292" t="s">
        <v>4144</v>
      </c>
      <c r="AA292" s="3">
        <v>2.7249770238995601E-2</v>
      </c>
      <c r="AB292" t="s">
        <v>6899</v>
      </c>
      <c r="AC292" t="s">
        <v>4562</v>
      </c>
      <c r="AD292" t="s">
        <v>6900</v>
      </c>
      <c r="AE292" t="s">
        <v>4655</v>
      </c>
      <c r="AF292" t="s">
        <v>5581</v>
      </c>
      <c r="AG292" t="s">
        <v>4584</v>
      </c>
      <c r="AH292" t="s">
        <v>3382</v>
      </c>
      <c r="AI292" t="s">
        <v>6899</v>
      </c>
      <c r="AJ292" t="s">
        <v>4998</v>
      </c>
      <c r="AK292" t="s">
        <v>6901</v>
      </c>
      <c r="AL292" s="13" t="s">
        <v>2255</v>
      </c>
      <c r="AM292">
        <v>1</v>
      </c>
      <c r="AN292" s="15" t="s">
        <v>5352</v>
      </c>
    </row>
    <row r="293" spans="1:40" x14ac:dyDescent="0.3">
      <c r="A293" s="10" t="str">
        <f>HYPERLINK("http://www.washoecounty.gov/assessor/cama/?parid=003-802-35&amp;CardNumber=1","003-802-35")</f>
        <v>003-802-35</v>
      </c>
      <c r="B293" t="s">
        <v>4655</v>
      </c>
      <c r="C293" t="s">
        <v>6902</v>
      </c>
      <c r="D293" s="1">
        <v>40441</v>
      </c>
      <c r="E293" s="2">
        <v>130000</v>
      </c>
      <c r="F293" t="s">
        <v>4567</v>
      </c>
      <c r="G293" s="17" t="str">
        <f>HYPERLINK("https://www.washoecounty.gov/assessor/cama/?command=sales&amp;parid=00380235","3923974")</f>
        <v>3923974</v>
      </c>
      <c r="H293" t="s">
        <v>4997</v>
      </c>
      <c r="I293">
        <v>2007</v>
      </c>
      <c r="J293">
        <v>2007</v>
      </c>
      <c r="K293" t="s">
        <v>4897</v>
      </c>
      <c r="L293" t="s">
        <v>3974</v>
      </c>
      <c r="M293" s="2">
        <v>1596</v>
      </c>
      <c r="N293" t="s">
        <v>5280</v>
      </c>
      <c r="O293">
        <v>3</v>
      </c>
      <c r="P293">
        <v>2</v>
      </c>
      <c r="Q293">
        <v>1</v>
      </c>
      <c r="R293" t="s">
        <v>5281</v>
      </c>
      <c r="S293" t="s">
        <v>4558</v>
      </c>
      <c r="T293" t="s">
        <v>4559</v>
      </c>
      <c r="U293" t="s">
        <v>4655</v>
      </c>
      <c r="V293" s="2">
        <v>0</v>
      </c>
      <c r="W293" t="s">
        <v>4571</v>
      </c>
      <c r="X293" s="2">
        <v>692</v>
      </c>
      <c r="Y293">
        <v>21</v>
      </c>
      <c r="Z293" t="s">
        <v>4144</v>
      </c>
      <c r="AA293" s="3">
        <v>3.1565655022859601E-2</v>
      </c>
      <c r="AB293" t="s">
        <v>6903</v>
      </c>
      <c r="AC293" t="s">
        <v>4562</v>
      </c>
      <c r="AD293" t="s">
        <v>6904</v>
      </c>
      <c r="AE293" t="s">
        <v>4655</v>
      </c>
      <c r="AF293" t="s">
        <v>4563</v>
      </c>
      <c r="AG293" t="s">
        <v>4564</v>
      </c>
      <c r="AH293">
        <v>89503</v>
      </c>
      <c r="AI293" t="s">
        <v>6856</v>
      </c>
      <c r="AJ293" t="s">
        <v>4998</v>
      </c>
      <c r="AK293" t="s">
        <v>6905</v>
      </c>
      <c r="AL293" s="13" t="s">
        <v>2255</v>
      </c>
      <c r="AM293">
        <v>1</v>
      </c>
      <c r="AN293" s="15" t="s">
        <v>5352</v>
      </c>
    </row>
    <row r="294" spans="1:40" x14ac:dyDescent="0.3">
      <c r="A294" s="10" t="str">
        <f>HYPERLINK("http://www.washoecounty.gov/assessor/cama/?parid=003-802-61&amp;CardNumber=1","003-802-61")</f>
        <v>003-802-61</v>
      </c>
      <c r="B294" t="s">
        <v>4655</v>
      </c>
      <c r="C294" t="s">
        <v>6906</v>
      </c>
      <c r="D294" s="1">
        <v>40350</v>
      </c>
      <c r="E294" s="2">
        <v>128750</v>
      </c>
      <c r="F294" t="s">
        <v>4567</v>
      </c>
      <c r="G294" s="17" t="str">
        <f>HYPERLINK("https://www.washoecounty.gov/assessor/cama/?command=sales&amp;parid=00380261","3893636")</f>
        <v>3893636</v>
      </c>
      <c r="H294" t="s">
        <v>3225</v>
      </c>
      <c r="I294">
        <v>2007</v>
      </c>
      <c r="J294">
        <v>2007</v>
      </c>
      <c r="K294" t="s">
        <v>3144</v>
      </c>
      <c r="L294" t="s">
        <v>3974</v>
      </c>
      <c r="M294" s="2">
        <v>1342</v>
      </c>
      <c r="N294" t="s">
        <v>5280</v>
      </c>
      <c r="O294">
        <v>2</v>
      </c>
      <c r="P294">
        <v>2</v>
      </c>
      <c r="Q294">
        <v>1</v>
      </c>
      <c r="R294" t="s">
        <v>5281</v>
      </c>
      <c r="S294" t="s">
        <v>4558</v>
      </c>
      <c r="T294" t="s">
        <v>4559</v>
      </c>
      <c r="U294" t="s">
        <v>5631</v>
      </c>
      <c r="V294" s="2">
        <v>200</v>
      </c>
      <c r="W294" t="s">
        <v>4655</v>
      </c>
      <c r="X294" s="2">
        <v>0</v>
      </c>
      <c r="Y294">
        <v>21</v>
      </c>
      <c r="Z294" t="s">
        <v>4144</v>
      </c>
      <c r="AA294" s="3">
        <v>2.63085402548313E-2</v>
      </c>
      <c r="AB294" t="s">
        <v>6907</v>
      </c>
      <c r="AC294" t="s">
        <v>4562</v>
      </c>
      <c r="AD294" t="s">
        <v>6906</v>
      </c>
      <c r="AE294" t="s">
        <v>4655</v>
      </c>
      <c r="AF294" t="s">
        <v>4563</v>
      </c>
      <c r="AG294" t="s">
        <v>4564</v>
      </c>
      <c r="AH294">
        <v>89503</v>
      </c>
      <c r="AI294" t="s">
        <v>6907</v>
      </c>
      <c r="AJ294" t="s">
        <v>6908</v>
      </c>
      <c r="AK294" t="s">
        <v>6909</v>
      </c>
      <c r="AL294" s="13" t="s">
        <v>2255</v>
      </c>
      <c r="AM294" s="14">
        <v>1</v>
      </c>
      <c r="AN294" s="15" t="s">
        <v>5352</v>
      </c>
    </row>
    <row r="295" spans="1:40" x14ac:dyDescent="0.3">
      <c r="A295" s="10" t="str">
        <f>HYPERLINK("http://www.washoecounty.gov/assessor/cama/?parid=003-802-62&amp;CardNumber=1","003-802-62")</f>
        <v>003-802-62</v>
      </c>
      <c r="B295" t="s">
        <v>4655</v>
      </c>
      <c r="C295" t="s">
        <v>6910</v>
      </c>
      <c r="D295" s="1">
        <v>40326</v>
      </c>
      <c r="E295" s="2">
        <v>128750</v>
      </c>
      <c r="F295" t="s">
        <v>4567</v>
      </c>
      <c r="G295" s="17" t="str">
        <f>HYPERLINK("https://www.washoecounty.gov/assessor/cama/?command=sales&amp;parid=00380262","3886567")</f>
        <v>3886567</v>
      </c>
      <c r="H295" t="s">
        <v>6911</v>
      </c>
      <c r="I295">
        <v>2007</v>
      </c>
      <c r="J295">
        <v>2007</v>
      </c>
      <c r="K295" t="s">
        <v>3144</v>
      </c>
      <c r="L295" t="s">
        <v>3974</v>
      </c>
      <c r="M295" s="2">
        <v>1342</v>
      </c>
      <c r="N295" t="s">
        <v>5280</v>
      </c>
      <c r="O295">
        <v>2</v>
      </c>
      <c r="P295">
        <v>2</v>
      </c>
      <c r="Q295">
        <v>1</v>
      </c>
      <c r="R295" t="s">
        <v>5281</v>
      </c>
      <c r="S295" t="s">
        <v>4558</v>
      </c>
      <c r="T295" t="s">
        <v>4559</v>
      </c>
      <c r="U295" t="s">
        <v>5631</v>
      </c>
      <c r="V295" s="2">
        <v>200</v>
      </c>
      <c r="W295" t="s">
        <v>4655</v>
      </c>
      <c r="X295" s="2">
        <v>0</v>
      </c>
      <c r="Y295">
        <v>21</v>
      </c>
      <c r="Z295" t="s">
        <v>4144</v>
      </c>
      <c r="AA295" s="3">
        <v>2.7157943695783601E-2</v>
      </c>
      <c r="AB295" t="s">
        <v>6912</v>
      </c>
      <c r="AC295" t="s">
        <v>4562</v>
      </c>
      <c r="AD295" t="s">
        <v>6910</v>
      </c>
      <c r="AE295" t="s">
        <v>4655</v>
      </c>
      <c r="AF295" t="s">
        <v>4563</v>
      </c>
      <c r="AG295" t="s">
        <v>4564</v>
      </c>
      <c r="AH295">
        <v>89503</v>
      </c>
      <c r="AI295" t="s">
        <v>3224</v>
      </c>
      <c r="AJ295" t="s">
        <v>6913</v>
      </c>
      <c r="AK295" t="s">
        <v>6914</v>
      </c>
      <c r="AL295" s="13" t="s">
        <v>2255</v>
      </c>
      <c r="AM295" s="14">
        <v>1</v>
      </c>
      <c r="AN295" s="15" t="s">
        <v>5352</v>
      </c>
    </row>
    <row r="296" spans="1:40" x14ac:dyDescent="0.3">
      <c r="A296" s="10" t="str">
        <f>HYPERLINK("http://www.washoecounty.gov/assessor/cama/?parid=003-802-63&amp;CardNumber=1","003-802-63")</f>
        <v>003-802-63</v>
      </c>
      <c r="B296" t="s">
        <v>4655</v>
      </c>
      <c r="C296" t="s">
        <v>6915</v>
      </c>
      <c r="D296" s="1">
        <v>40326</v>
      </c>
      <c r="E296" s="2">
        <v>135000</v>
      </c>
      <c r="F296" t="s">
        <v>4567</v>
      </c>
      <c r="G296" s="17" t="str">
        <f>HYPERLINK("https://www.washoecounty.gov/assessor/cama/?command=sales&amp;parid=00380263","3886400")</f>
        <v>3886400</v>
      </c>
      <c r="H296" t="s">
        <v>3225</v>
      </c>
      <c r="I296">
        <v>2007</v>
      </c>
      <c r="J296">
        <v>2007</v>
      </c>
      <c r="K296" t="s">
        <v>4897</v>
      </c>
      <c r="L296" t="s">
        <v>3974</v>
      </c>
      <c r="M296" s="2">
        <v>1422</v>
      </c>
      <c r="N296" t="s">
        <v>5280</v>
      </c>
      <c r="O296">
        <v>2</v>
      </c>
      <c r="P296">
        <v>2</v>
      </c>
      <c r="Q296">
        <v>1</v>
      </c>
      <c r="R296" t="s">
        <v>5281</v>
      </c>
      <c r="S296" t="s">
        <v>4558</v>
      </c>
      <c r="T296" t="s">
        <v>4559</v>
      </c>
      <c r="U296" t="s">
        <v>5631</v>
      </c>
      <c r="V296" s="2">
        <v>210</v>
      </c>
      <c r="W296" t="s">
        <v>4655</v>
      </c>
      <c r="X296" s="2">
        <v>0</v>
      </c>
      <c r="Y296">
        <v>21</v>
      </c>
      <c r="Z296" t="s">
        <v>4144</v>
      </c>
      <c r="AA296" s="3">
        <v>2.7938475832343102E-2</v>
      </c>
      <c r="AB296" t="s">
        <v>6916</v>
      </c>
      <c r="AC296" t="s">
        <v>4575</v>
      </c>
      <c r="AD296" t="s">
        <v>6917</v>
      </c>
      <c r="AE296" t="s">
        <v>4655</v>
      </c>
      <c r="AF296" t="s">
        <v>4563</v>
      </c>
      <c r="AG296" t="s">
        <v>4564</v>
      </c>
      <c r="AH296">
        <v>89511</v>
      </c>
      <c r="AI296" t="s">
        <v>3224</v>
      </c>
      <c r="AJ296" t="s">
        <v>6918</v>
      </c>
      <c r="AK296" t="s">
        <v>6919</v>
      </c>
      <c r="AL296" s="13" t="s">
        <v>2255</v>
      </c>
      <c r="AM296">
        <v>1</v>
      </c>
      <c r="AN296" s="15" t="s">
        <v>5352</v>
      </c>
    </row>
    <row r="297" spans="1:40" x14ac:dyDescent="0.3">
      <c r="A297" s="10" t="str">
        <f>HYPERLINK("http://www.washoecounty.gov/assessor/cama/?parid=003-802-64&amp;CardNumber=1","003-802-64")</f>
        <v>003-802-64</v>
      </c>
      <c r="B297" t="s">
        <v>4655</v>
      </c>
      <c r="C297" t="s">
        <v>6920</v>
      </c>
      <c r="D297" s="1">
        <v>40406</v>
      </c>
      <c r="E297" s="2">
        <v>128870</v>
      </c>
      <c r="F297" t="s">
        <v>4567</v>
      </c>
      <c r="G297" s="17" t="str">
        <f>HYPERLINK("https://www.washoecounty.gov/assessor/cama/?command=sales&amp;parid=00380264","3912381")</f>
        <v>3912381</v>
      </c>
      <c r="H297" t="s">
        <v>3225</v>
      </c>
      <c r="I297">
        <v>2007</v>
      </c>
      <c r="J297">
        <v>2007</v>
      </c>
      <c r="K297" t="s">
        <v>3144</v>
      </c>
      <c r="L297" t="s">
        <v>3974</v>
      </c>
      <c r="M297" s="2">
        <v>1422</v>
      </c>
      <c r="N297" t="s">
        <v>5280</v>
      </c>
      <c r="O297">
        <v>2</v>
      </c>
      <c r="P297">
        <v>2</v>
      </c>
      <c r="Q297">
        <v>1</v>
      </c>
      <c r="R297" t="s">
        <v>5281</v>
      </c>
      <c r="S297" t="s">
        <v>4558</v>
      </c>
      <c r="T297" t="s">
        <v>4559</v>
      </c>
      <c r="U297" t="s">
        <v>5631</v>
      </c>
      <c r="V297" s="2">
        <v>210</v>
      </c>
      <c r="W297" t="s">
        <v>4655</v>
      </c>
      <c r="X297" s="2">
        <v>0</v>
      </c>
      <c r="Y297">
        <v>21</v>
      </c>
      <c r="Z297" t="s">
        <v>4144</v>
      </c>
      <c r="AA297" s="3">
        <v>2.7364553883671799E-2</v>
      </c>
      <c r="AB297" t="s">
        <v>6921</v>
      </c>
      <c r="AC297" t="s">
        <v>4562</v>
      </c>
      <c r="AD297" t="s">
        <v>6922</v>
      </c>
      <c r="AE297" t="s">
        <v>4655</v>
      </c>
      <c r="AF297" t="s">
        <v>4563</v>
      </c>
      <c r="AG297" t="s">
        <v>4564</v>
      </c>
      <c r="AH297">
        <v>89511</v>
      </c>
      <c r="AI297" t="s">
        <v>6921</v>
      </c>
      <c r="AJ297" t="s">
        <v>6923</v>
      </c>
      <c r="AK297" t="s">
        <v>6924</v>
      </c>
      <c r="AL297" s="13" t="s">
        <v>2255</v>
      </c>
      <c r="AM297">
        <v>1</v>
      </c>
      <c r="AN297" s="15" t="s">
        <v>5352</v>
      </c>
    </row>
    <row r="298" spans="1:40" x14ac:dyDescent="0.3">
      <c r="A298" s="10" t="str">
        <f>HYPERLINK("http://www.washoecounty.gov/assessor/cama/?parid=003-802-65&amp;CardNumber=1","003-802-65")</f>
        <v>003-802-65</v>
      </c>
      <c r="B298" t="s">
        <v>4655</v>
      </c>
      <c r="C298" t="s">
        <v>6925</v>
      </c>
      <c r="D298" s="1">
        <v>40540</v>
      </c>
      <c r="E298" s="2">
        <v>109000</v>
      </c>
      <c r="F298" t="s">
        <v>4567</v>
      </c>
      <c r="G298" s="17" t="str">
        <f>HYPERLINK("https://www.washoecounty.gov/assessor/cama/?command=sales&amp;parid=00380265","3958271")</f>
        <v>3958271</v>
      </c>
      <c r="H298" t="s">
        <v>3225</v>
      </c>
      <c r="I298">
        <v>2007</v>
      </c>
      <c r="J298">
        <v>2007</v>
      </c>
      <c r="K298" t="s">
        <v>3144</v>
      </c>
      <c r="L298" t="s">
        <v>3974</v>
      </c>
      <c r="M298" s="2">
        <v>1422</v>
      </c>
      <c r="N298" t="s">
        <v>5280</v>
      </c>
      <c r="O298">
        <v>2</v>
      </c>
      <c r="P298">
        <v>2</v>
      </c>
      <c r="Q298">
        <v>1</v>
      </c>
      <c r="R298" t="s">
        <v>5281</v>
      </c>
      <c r="S298" t="s">
        <v>4558</v>
      </c>
      <c r="T298" t="s">
        <v>4559</v>
      </c>
      <c r="U298" t="s">
        <v>5631</v>
      </c>
      <c r="V298" s="2">
        <v>210</v>
      </c>
      <c r="W298" t="s">
        <v>4655</v>
      </c>
      <c r="X298" s="2">
        <v>0</v>
      </c>
      <c r="Y298">
        <v>21</v>
      </c>
      <c r="Z298" t="s">
        <v>4144</v>
      </c>
      <c r="AA298" s="3">
        <v>2.7249770238995601E-2</v>
      </c>
      <c r="AB298" t="s">
        <v>6926</v>
      </c>
      <c r="AC298" t="s">
        <v>4575</v>
      </c>
      <c r="AD298" t="s">
        <v>6927</v>
      </c>
      <c r="AE298" t="s">
        <v>4655</v>
      </c>
      <c r="AF298" t="s">
        <v>4563</v>
      </c>
      <c r="AG298" t="s">
        <v>4564</v>
      </c>
      <c r="AH298">
        <v>89503</v>
      </c>
      <c r="AI298" t="s">
        <v>4655</v>
      </c>
      <c r="AJ298" t="s">
        <v>6928</v>
      </c>
      <c r="AK298" t="s">
        <v>6929</v>
      </c>
      <c r="AL298" s="13" t="s">
        <v>2255</v>
      </c>
      <c r="AM298" s="14">
        <v>1</v>
      </c>
      <c r="AN298" s="15" t="s">
        <v>5352</v>
      </c>
    </row>
    <row r="299" spans="1:40" x14ac:dyDescent="0.3">
      <c r="A299" s="10" t="str">
        <f>HYPERLINK("http://www.washoecounty.gov/assessor/cama/?parid=003-802-66&amp;CardNumber=1","003-802-66")</f>
        <v>003-802-66</v>
      </c>
      <c r="B299" t="s">
        <v>4655</v>
      </c>
      <c r="C299" t="s">
        <v>6930</v>
      </c>
      <c r="D299" s="1">
        <v>40379</v>
      </c>
      <c r="E299" s="2">
        <v>133000</v>
      </c>
      <c r="F299" t="s">
        <v>4567</v>
      </c>
      <c r="G299" s="17" t="str">
        <f>HYPERLINK("https://www.washoecounty.gov/assessor/cama/?command=sales&amp;parid=00380266","3902973")</f>
        <v>3902973</v>
      </c>
      <c r="H299" t="s">
        <v>3225</v>
      </c>
      <c r="I299">
        <v>2007</v>
      </c>
      <c r="J299">
        <v>2007</v>
      </c>
      <c r="K299" t="s">
        <v>4897</v>
      </c>
      <c r="L299" t="s">
        <v>3974</v>
      </c>
      <c r="M299" s="2">
        <v>1422</v>
      </c>
      <c r="N299" t="s">
        <v>5280</v>
      </c>
      <c r="O299">
        <v>2</v>
      </c>
      <c r="P299">
        <v>2</v>
      </c>
      <c r="Q299">
        <v>1</v>
      </c>
      <c r="R299" t="s">
        <v>5281</v>
      </c>
      <c r="S299" t="s">
        <v>4558</v>
      </c>
      <c r="T299" t="s">
        <v>4559</v>
      </c>
      <c r="U299" t="s">
        <v>5631</v>
      </c>
      <c r="V299" s="2">
        <v>210</v>
      </c>
      <c r="W299" t="s">
        <v>4655</v>
      </c>
      <c r="X299" s="2">
        <v>0</v>
      </c>
      <c r="Y299">
        <v>21</v>
      </c>
      <c r="Z299" t="s">
        <v>4144</v>
      </c>
      <c r="AA299" s="3">
        <v>2.7364553883671799E-2</v>
      </c>
      <c r="AB299" t="s">
        <v>5057</v>
      </c>
      <c r="AC299" t="s">
        <v>4575</v>
      </c>
      <c r="AD299" t="s">
        <v>193</v>
      </c>
      <c r="AE299" t="s">
        <v>4655</v>
      </c>
      <c r="AF299" t="s">
        <v>4563</v>
      </c>
      <c r="AG299" t="s">
        <v>4564</v>
      </c>
      <c r="AH299">
        <v>89509</v>
      </c>
      <c r="AI299" t="s">
        <v>5057</v>
      </c>
      <c r="AJ299" t="s">
        <v>6931</v>
      </c>
      <c r="AK299" t="s">
        <v>6932</v>
      </c>
      <c r="AL299" s="13" t="s">
        <v>2255</v>
      </c>
      <c r="AM299">
        <v>1</v>
      </c>
      <c r="AN299" s="15" t="s">
        <v>5352</v>
      </c>
    </row>
    <row r="300" spans="1:40" x14ac:dyDescent="0.3">
      <c r="A300" s="10" t="str">
        <f>HYPERLINK("http://www.washoecounty.gov/assessor/cama/?parid=003-803-46&amp;CardNumber=1","003-803-46")</f>
        <v>003-803-46</v>
      </c>
      <c r="B300" t="s">
        <v>4655</v>
      </c>
      <c r="C300" t="s">
        <v>6933</v>
      </c>
      <c r="D300" s="1">
        <v>40339</v>
      </c>
      <c r="E300" s="2">
        <v>135000</v>
      </c>
      <c r="F300" t="s">
        <v>4567</v>
      </c>
      <c r="G300" s="17" t="str">
        <f>HYPERLINK("https://www.washoecounty.gov/assessor/cama/?command=sales&amp;parid=00380346","3890163")</f>
        <v>3890163</v>
      </c>
      <c r="H300" t="s">
        <v>4997</v>
      </c>
      <c r="I300">
        <v>2007</v>
      </c>
      <c r="J300">
        <v>2007</v>
      </c>
      <c r="K300" t="s">
        <v>4897</v>
      </c>
      <c r="L300" t="s">
        <v>3974</v>
      </c>
      <c r="M300" s="2">
        <v>1576</v>
      </c>
      <c r="N300" t="s">
        <v>5280</v>
      </c>
      <c r="O300">
        <v>3</v>
      </c>
      <c r="P300">
        <v>2</v>
      </c>
      <c r="Q300">
        <v>1</v>
      </c>
      <c r="R300" t="s">
        <v>5281</v>
      </c>
      <c r="S300" t="s">
        <v>4558</v>
      </c>
      <c r="T300" t="s">
        <v>4559</v>
      </c>
      <c r="U300" t="s">
        <v>4655</v>
      </c>
      <c r="V300" s="2">
        <v>0</v>
      </c>
      <c r="W300" t="s">
        <v>4571</v>
      </c>
      <c r="X300" s="2">
        <v>692</v>
      </c>
      <c r="Y300">
        <v>21</v>
      </c>
      <c r="Z300" t="s">
        <v>4144</v>
      </c>
      <c r="AA300" s="3">
        <v>3.8108356297016102E-2</v>
      </c>
      <c r="AB300" t="s">
        <v>6934</v>
      </c>
      <c r="AC300" t="s">
        <v>4562</v>
      </c>
      <c r="AD300" t="s">
        <v>6935</v>
      </c>
      <c r="AE300" t="s">
        <v>4655</v>
      </c>
      <c r="AF300" t="s">
        <v>6936</v>
      </c>
      <c r="AG300" t="s">
        <v>4584</v>
      </c>
      <c r="AH300" t="s">
        <v>6937</v>
      </c>
      <c r="AI300" t="s">
        <v>6938</v>
      </c>
      <c r="AJ300" t="s">
        <v>4998</v>
      </c>
      <c r="AK300" t="s">
        <v>6939</v>
      </c>
      <c r="AL300" s="13" t="s">
        <v>2255</v>
      </c>
      <c r="AM300">
        <v>1</v>
      </c>
      <c r="AN300" s="15" t="s">
        <v>5352</v>
      </c>
    </row>
    <row r="301" spans="1:40" x14ac:dyDescent="0.3">
      <c r="A301" s="10" t="str">
        <f>HYPERLINK("http://www.washoecounty.gov/assessor/cama/?parid=003-821-07&amp;CardNumber=1","003-821-07")</f>
        <v>003-821-07</v>
      </c>
      <c r="B301" t="s">
        <v>4655</v>
      </c>
      <c r="C301" t="s">
        <v>6940</v>
      </c>
      <c r="D301" s="1">
        <v>40421</v>
      </c>
      <c r="E301" s="2">
        <v>205000</v>
      </c>
      <c r="F301" t="s">
        <v>4567</v>
      </c>
      <c r="G301" s="17" t="str">
        <f>HYPERLINK("https://www.washoecounty.gov/assessor/cama/?command=sales&amp;parid=00382107","3917671")</f>
        <v>3917671</v>
      </c>
      <c r="H301" t="s">
        <v>2796</v>
      </c>
      <c r="I301">
        <v>2006</v>
      </c>
      <c r="J301">
        <v>2006</v>
      </c>
      <c r="K301" t="s">
        <v>4554</v>
      </c>
      <c r="L301" t="s">
        <v>4555</v>
      </c>
      <c r="M301" s="2">
        <v>2418</v>
      </c>
      <c r="N301" t="s">
        <v>3147</v>
      </c>
      <c r="O301">
        <v>3</v>
      </c>
      <c r="P301">
        <v>3</v>
      </c>
      <c r="Q301">
        <v>0</v>
      </c>
      <c r="R301" t="s">
        <v>5281</v>
      </c>
      <c r="S301" t="s">
        <v>4898</v>
      </c>
      <c r="T301" t="s">
        <v>2704</v>
      </c>
      <c r="U301" t="s">
        <v>4560</v>
      </c>
      <c r="V301" s="2">
        <v>658</v>
      </c>
      <c r="W301" t="s">
        <v>4655</v>
      </c>
      <c r="X301" s="2">
        <v>0</v>
      </c>
      <c r="Y301">
        <v>20</v>
      </c>
      <c r="Z301" t="s">
        <v>1491</v>
      </c>
      <c r="AA301" s="3">
        <v>0.21320018172264099</v>
      </c>
      <c r="AB301" t="s">
        <v>6941</v>
      </c>
      <c r="AC301" t="s">
        <v>4562</v>
      </c>
      <c r="AD301" t="s">
        <v>6942</v>
      </c>
      <c r="AE301" t="s">
        <v>4655</v>
      </c>
      <c r="AF301" t="s">
        <v>6943</v>
      </c>
      <c r="AG301" t="s">
        <v>4584</v>
      </c>
      <c r="AH301" t="s">
        <v>6944</v>
      </c>
      <c r="AI301" t="s">
        <v>6945</v>
      </c>
      <c r="AJ301" t="s">
        <v>2797</v>
      </c>
      <c r="AK301" t="s">
        <v>6946</v>
      </c>
      <c r="AL301" s="13" t="s">
        <v>2255</v>
      </c>
      <c r="AM301">
        <v>1</v>
      </c>
      <c r="AN301" s="15" t="s">
        <v>5388</v>
      </c>
    </row>
    <row r="302" spans="1:40" x14ac:dyDescent="0.3">
      <c r="A302" s="10" t="str">
        <f>HYPERLINK("http://www.washoecounty.gov/assessor/cama/?parid=003-831-01&amp;CardNumber=1","003-831-01")</f>
        <v>003-831-01</v>
      </c>
      <c r="B302" t="s">
        <v>4655</v>
      </c>
      <c r="C302" t="s">
        <v>6947</v>
      </c>
      <c r="D302" s="1">
        <v>40311</v>
      </c>
      <c r="E302" s="2">
        <v>126000</v>
      </c>
      <c r="F302" t="s">
        <v>4553</v>
      </c>
      <c r="G302" s="17" t="str">
        <f>HYPERLINK("https://www.washoecounty.gov/assessor/cama/?command=sales&amp;parid=00383101","3881030")</f>
        <v>3881030</v>
      </c>
      <c r="H302" t="s">
        <v>3031</v>
      </c>
      <c r="I302">
        <v>2006</v>
      </c>
      <c r="J302">
        <v>2006</v>
      </c>
      <c r="K302" t="s">
        <v>4554</v>
      </c>
      <c r="L302" t="s">
        <v>3974</v>
      </c>
      <c r="M302" s="2">
        <v>1593</v>
      </c>
      <c r="N302" t="s">
        <v>4048</v>
      </c>
      <c r="O302">
        <v>3</v>
      </c>
      <c r="P302">
        <v>2</v>
      </c>
      <c r="Q302">
        <v>1</v>
      </c>
      <c r="R302" t="s">
        <v>5281</v>
      </c>
      <c r="S302" t="s">
        <v>4898</v>
      </c>
      <c r="T302" t="s">
        <v>4559</v>
      </c>
      <c r="U302" t="s">
        <v>5631</v>
      </c>
      <c r="V302" s="2">
        <v>440</v>
      </c>
      <c r="W302" t="s">
        <v>4655</v>
      </c>
      <c r="X302" s="2">
        <v>0</v>
      </c>
      <c r="Y302">
        <v>20</v>
      </c>
      <c r="Z302" t="s">
        <v>1491</v>
      </c>
      <c r="AA302" s="3">
        <v>0.18000000715255701</v>
      </c>
      <c r="AB302" t="s">
        <v>6948</v>
      </c>
      <c r="AC302" t="s">
        <v>4575</v>
      </c>
      <c r="AD302" t="s">
        <v>6947</v>
      </c>
      <c r="AE302" t="s">
        <v>4655</v>
      </c>
      <c r="AF302" t="s">
        <v>4563</v>
      </c>
      <c r="AG302" t="s">
        <v>4564</v>
      </c>
      <c r="AH302">
        <v>89506</v>
      </c>
      <c r="AI302" t="s">
        <v>4585</v>
      </c>
      <c r="AJ302" t="s">
        <v>5731</v>
      </c>
      <c r="AK302" t="s">
        <v>6949</v>
      </c>
      <c r="AL302" s="13" t="s">
        <v>2255</v>
      </c>
      <c r="AM302" s="14">
        <v>1</v>
      </c>
      <c r="AN302" s="15" t="s">
        <v>566</v>
      </c>
    </row>
    <row r="303" spans="1:40" x14ac:dyDescent="0.3">
      <c r="A303" s="10" t="str">
        <f>HYPERLINK("http://www.washoecounty.gov/assessor/cama/?parid=003-831-06&amp;CardNumber=1","003-831-06")</f>
        <v>003-831-06</v>
      </c>
      <c r="B303" t="s">
        <v>4655</v>
      </c>
      <c r="C303" t="s">
        <v>6950</v>
      </c>
      <c r="D303" s="1">
        <v>40333</v>
      </c>
      <c r="E303" s="2">
        <v>123600</v>
      </c>
      <c r="F303" t="s">
        <v>4567</v>
      </c>
      <c r="G303" s="17" t="str">
        <f>HYPERLINK("https://www.washoecounty.gov/assessor/cama/?command=sales&amp;parid=00383106","3888561")</f>
        <v>3888561</v>
      </c>
      <c r="H303" t="s">
        <v>3031</v>
      </c>
      <c r="I303">
        <v>2006</v>
      </c>
      <c r="J303">
        <v>2006</v>
      </c>
      <c r="K303" t="s">
        <v>4554</v>
      </c>
      <c r="L303" t="s">
        <v>4555</v>
      </c>
      <c r="M303" s="2">
        <v>1380</v>
      </c>
      <c r="N303" t="s">
        <v>4048</v>
      </c>
      <c r="O303">
        <v>3</v>
      </c>
      <c r="P303">
        <v>2</v>
      </c>
      <c r="Q303">
        <v>0</v>
      </c>
      <c r="R303" t="s">
        <v>4557</v>
      </c>
      <c r="S303" t="s">
        <v>4898</v>
      </c>
      <c r="T303" t="s">
        <v>4559</v>
      </c>
      <c r="U303" t="s">
        <v>4560</v>
      </c>
      <c r="V303" s="2">
        <v>528</v>
      </c>
      <c r="W303" t="s">
        <v>4655</v>
      </c>
      <c r="X303" s="2">
        <v>0</v>
      </c>
      <c r="Y303">
        <v>20</v>
      </c>
      <c r="Z303" t="s">
        <v>1491</v>
      </c>
      <c r="AA303" s="3">
        <v>0.20000000298023199</v>
      </c>
      <c r="AB303" t="s">
        <v>6951</v>
      </c>
      <c r="AC303" t="s">
        <v>4562</v>
      </c>
      <c r="AD303" t="s">
        <v>6950</v>
      </c>
      <c r="AE303" t="s">
        <v>4655</v>
      </c>
      <c r="AF303" t="s">
        <v>4563</v>
      </c>
      <c r="AG303" t="s">
        <v>4564</v>
      </c>
      <c r="AH303">
        <v>89506</v>
      </c>
      <c r="AI303" t="s">
        <v>6952</v>
      </c>
      <c r="AJ303" t="s">
        <v>5731</v>
      </c>
      <c r="AK303" t="s">
        <v>6953</v>
      </c>
      <c r="AL303" s="13" t="s">
        <v>2255</v>
      </c>
      <c r="AM303">
        <v>1</v>
      </c>
      <c r="AN303" s="15" t="s">
        <v>566</v>
      </c>
    </row>
    <row r="304" spans="1:40" x14ac:dyDescent="0.3">
      <c r="A304" s="10" t="str">
        <f>HYPERLINK("http://www.washoecounty.gov/assessor/cama/?parid=003-841-25&amp;CardNumber=1","003-841-25")</f>
        <v>003-841-25</v>
      </c>
      <c r="B304" t="s">
        <v>4655</v>
      </c>
      <c r="C304" t="s">
        <v>6954</v>
      </c>
      <c r="D304" s="1">
        <v>40374</v>
      </c>
      <c r="E304" s="2">
        <v>295000</v>
      </c>
      <c r="F304" t="s">
        <v>4567</v>
      </c>
      <c r="G304" s="17" t="str">
        <f>HYPERLINK("https://www.washoecounty.gov/assessor/cama/?command=sales&amp;parid=00384125","3901881")</f>
        <v>3901881</v>
      </c>
      <c r="H304" t="s">
        <v>3086</v>
      </c>
      <c r="I304">
        <v>2006</v>
      </c>
      <c r="J304">
        <v>2006</v>
      </c>
      <c r="K304" t="s">
        <v>4554</v>
      </c>
      <c r="L304" t="s">
        <v>3974</v>
      </c>
      <c r="M304" s="2">
        <v>3160</v>
      </c>
      <c r="N304" t="s">
        <v>3147</v>
      </c>
      <c r="O304">
        <v>5</v>
      </c>
      <c r="P304">
        <v>3</v>
      </c>
      <c r="Q304">
        <v>0</v>
      </c>
      <c r="R304" t="s">
        <v>5281</v>
      </c>
      <c r="S304" t="s">
        <v>4898</v>
      </c>
      <c r="T304" t="s">
        <v>2704</v>
      </c>
      <c r="U304" t="s">
        <v>4560</v>
      </c>
      <c r="V304" s="2">
        <v>630</v>
      </c>
      <c r="W304" t="s">
        <v>4655</v>
      </c>
      <c r="X304" s="2">
        <v>0</v>
      </c>
      <c r="Y304">
        <v>20</v>
      </c>
      <c r="Z304" t="s">
        <v>5282</v>
      </c>
      <c r="AA304" s="3">
        <v>0.26228192448616028</v>
      </c>
      <c r="AB304" t="s">
        <v>6955</v>
      </c>
      <c r="AC304" t="s">
        <v>4562</v>
      </c>
      <c r="AD304" t="s">
        <v>6954</v>
      </c>
      <c r="AE304" t="s">
        <v>4655</v>
      </c>
      <c r="AF304" t="s">
        <v>4563</v>
      </c>
      <c r="AG304" t="s">
        <v>4564</v>
      </c>
      <c r="AH304">
        <v>89512</v>
      </c>
      <c r="AI304" t="s">
        <v>6956</v>
      </c>
      <c r="AJ304" t="s">
        <v>3087</v>
      </c>
      <c r="AK304" t="s">
        <v>6957</v>
      </c>
      <c r="AL304" s="13" t="s">
        <v>2255</v>
      </c>
      <c r="AM304" s="14">
        <v>1</v>
      </c>
      <c r="AN304" s="15" t="s">
        <v>5388</v>
      </c>
    </row>
    <row r="305" spans="1:40" x14ac:dyDescent="0.3">
      <c r="A305" s="10" t="str">
        <f>HYPERLINK("http://www.washoecounty.gov/assessor/cama/?parid=003-843-09&amp;CardNumber=1","003-843-09")</f>
        <v>003-843-09</v>
      </c>
      <c r="B305" t="s">
        <v>4655</v>
      </c>
      <c r="C305" t="s">
        <v>6958</v>
      </c>
      <c r="D305" s="1">
        <v>40235</v>
      </c>
      <c r="E305" s="2">
        <v>297000</v>
      </c>
      <c r="F305" t="s">
        <v>4567</v>
      </c>
      <c r="G305" s="17" t="str">
        <f>HYPERLINK("https://www.washoecounty.gov/assessor/cama/?command=sales&amp;parid=00384309","3853204")</f>
        <v>3853204</v>
      </c>
      <c r="H305" t="s">
        <v>3086</v>
      </c>
      <c r="I305">
        <v>2007</v>
      </c>
      <c r="J305">
        <v>2007</v>
      </c>
      <c r="K305" t="s">
        <v>4554</v>
      </c>
      <c r="L305" t="s">
        <v>3974</v>
      </c>
      <c r="M305" s="2">
        <v>3160</v>
      </c>
      <c r="N305" t="s">
        <v>3147</v>
      </c>
      <c r="O305">
        <v>4</v>
      </c>
      <c r="P305">
        <v>3</v>
      </c>
      <c r="Q305">
        <v>0</v>
      </c>
      <c r="R305" t="s">
        <v>5281</v>
      </c>
      <c r="S305" t="s">
        <v>4898</v>
      </c>
      <c r="T305" t="s">
        <v>2704</v>
      </c>
      <c r="U305" t="s">
        <v>4560</v>
      </c>
      <c r="V305" s="2">
        <v>630</v>
      </c>
      <c r="W305" t="s">
        <v>4655</v>
      </c>
      <c r="X305" s="2">
        <v>0</v>
      </c>
      <c r="Y305">
        <v>20</v>
      </c>
      <c r="Z305" t="s">
        <v>5282</v>
      </c>
      <c r="AA305" s="3">
        <v>0.226813584566116</v>
      </c>
      <c r="AB305" t="s">
        <v>6959</v>
      </c>
      <c r="AC305" t="s">
        <v>4575</v>
      </c>
      <c r="AD305" t="s">
        <v>6960</v>
      </c>
      <c r="AE305" t="s">
        <v>6958</v>
      </c>
      <c r="AF305" t="s">
        <v>4563</v>
      </c>
      <c r="AG305" t="s">
        <v>4564</v>
      </c>
      <c r="AH305">
        <v>89512</v>
      </c>
      <c r="AI305" t="s">
        <v>6961</v>
      </c>
      <c r="AJ305" t="s">
        <v>3087</v>
      </c>
      <c r="AK305" t="s">
        <v>6962</v>
      </c>
      <c r="AL305" s="13" t="s">
        <v>2255</v>
      </c>
      <c r="AM305">
        <v>1</v>
      </c>
      <c r="AN305" s="15" t="s">
        <v>5388</v>
      </c>
    </row>
    <row r="306" spans="1:40" x14ac:dyDescent="0.3">
      <c r="A306" s="10" t="str">
        <f>HYPERLINK("http://www.washoecounty.gov/assessor/cama/?parid=003-854-03&amp;CardNumber=1","003-854-03")</f>
        <v>003-854-03</v>
      </c>
      <c r="B306" t="s">
        <v>4655</v>
      </c>
      <c r="C306" t="s">
        <v>6963</v>
      </c>
      <c r="D306" s="1">
        <v>40268</v>
      </c>
      <c r="E306" s="2">
        <v>45900</v>
      </c>
      <c r="F306" t="s">
        <v>4553</v>
      </c>
      <c r="G306" s="17" t="str">
        <f>HYPERLINK("https://www.washoecounty.gov/assessor/cama/?command=sales&amp;parid=00385403","3866206")</f>
        <v>3866206</v>
      </c>
      <c r="H306" t="s">
        <v>2475</v>
      </c>
      <c r="I306">
        <v>1974</v>
      </c>
      <c r="J306">
        <v>1974</v>
      </c>
      <c r="K306" t="s">
        <v>3144</v>
      </c>
      <c r="L306" t="s">
        <v>4555</v>
      </c>
      <c r="M306" s="2">
        <v>920</v>
      </c>
      <c r="N306" t="s">
        <v>4556</v>
      </c>
      <c r="O306">
        <v>2</v>
      </c>
      <c r="P306">
        <v>1</v>
      </c>
      <c r="Q306">
        <v>0</v>
      </c>
      <c r="R306" t="s">
        <v>5281</v>
      </c>
      <c r="S306" t="s">
        <v>4558</v>
      </c>
      <c r="T306" t="s">
        <v>4899</v>
      </c>
      <c r="U306" t="s">
        <v>4655</v>
      </c>
      <c r="V306" s="2">
        <v>0</v>
      </c>
      <c r="W306" t="s">
        <v>4655</v>
      </c>
      <c r="X306" s="2">
        <v>0</v>
      </c>
      <c r="Y306">
        <v>25</v>
      </c>
      <c r="Z306" t="s">
        <v>2705</v>
      </c>
      <c r="AA306" s="3">
        <v>2.1074380725622201E-2</v>
      </c>
      <c r="AB306" t="s">
        <v>6964</v>
      </c>
      <c r="AC306" t="s">
        <v>4562</v>
      </c>
      <c r="AD306" t="s">
        <v>6965</v>
      </c>
      <c r="AE306" t="s">
        <v>4655</v>
      </c>
      <c r="AF306" t="s">
        <v>4563</v>
      </c>
      <c r="AG306" t="s">
        <v>4564</v>
      </c>
      <c r="AH306" t="s">
        <v>1147</v>
      </c>
      <c r="AI306" t="s">
        <v>4903</v>
      </c>
      <c r="AJ306" t="s">
        <v>5735</v>
      </c>
      <c r="AK306" t="s">
        <v>6966</v>
      </c>
      <c r="AL306" s="13" t="s">
        <v>2255</v>
      </c>
      <c r="AM306" s="14">
        <v>1</v>
      </c>
      <c r="AN306" s="15" t="s">
        <v>2476</v>
      </c>
    </row>
    <row r="307" spans="1:40" x14ac:dyDescent="0.3">
      <c r="A307" s="10" t="str">
        <f>HYPERLINK("http://www.washoecounty.gov/assessor/cama/?parid=003-861-11&amp;CardNumber=1","003-861-11")</f>
        <v>003-861-11</v>
      </c>
      <c r="B307" t="s">
        <v>4655</v>
      </c>
      <c r="C307" t="s">
        <v>6967</v>
      </c>
      <c r="D307" s="1">
        <v>40519</v>
      </c>
      <c r="E307" s="2">
        <v>50000</v>
      </c>
      <c r="F307" t="s">
        <v>4567</v>
      </c>
      <c r="G307" s="17" t="str">
        <f>HYPERLINK("https://www.washoecounty.gov/assessor/cama/?command=sales&amp;parid=00386111","3950010")</f>
        <v>3950010</v>
      </c>
      <c r="H307" t="s">
        <v>2475</v>
      </c>
      <c r="I307">
        <v>1974</v>
      </c>
      <c r="J307">
        <v>1974</v>
      </c>
      <c r="K307" t="s">
        <v>4897</v>
      </c>
      <c r="L307" t="s">
        <v>3974</v>
      </c>
      <c r="M307" s="2">
        <v>1022</v>
      </c>
      <c r="N307" t="s">
        <v>4556</v>
      </c>
      <c r="O307">
        <v>2</v>
      </c>
      <c r="P307">
        <v>1</v>
      </c>
      <c r="Q307">
        <v>1</v>
      </c>
      <c r="R307" t="s">
        <v>5281</v>
      </c>
      <c r="S307" t="s">
        <v>4558</v>
      </c>
      <c r="T307" t="s">
        <v>4899</v>
      </c>
      <c r="U307" t="s">
        <v>4655</v>
      </c>
      <c r="V307" s="2">
        <v>0</v>
      </c>
      <c r="W307" t="s">
        <v>4655</v>
      </c>
      <c r="X307" s="2">
        <v>0</v>
      </c>
      <c r="Y307">
        <v>25</v>
      </c>
      <c r="Z307" t="s">
        <v>2705</v>
      </c>
      <c r="AA307" s="3">
        <v>2.3645546287298199E-2</v>
      </c>
      <c r="AB307" t="s">
        <v>6968</v>
      </c>
      <c r="AC307" t="s">
        <v>4575</v>
      </c>
      <c r="AD307" t="s">
        <v>6969</v>
      </c>
      <c r="AE307" t="s">
        <v>4655</v>
      </c>
      <c r="AF307" t="s">
        <v>2873</v>
      </c>
      <c r="AG307" t="s">
        <v>4564</v>
      </c>
      <c r="AH307">
        <v>89074</v>
      </c>
      <c r="AI307" t="s">
        <v>6970</v>
      </c>
      <c r="AJ307" t="s">
        <v>5735</v>
      </c>
      <c r="AK307" t="s">
        <v>6971</v>
      </c>
      <c r="AL307" s="13" t="s">
        <v>2255</v>
      </c>
      <c r="AM307">
        <v>1</v>
      </c>
      <c r="AN307" s="15" t="s">
        <v>2476</v>
      </c>
    </row>
    <row r="308" spans="1:40" x14ac:dyDescent="0.3">
      <c r="A308" s="10" t="str">
        <f>HYPERLINK("http://www.washoecounty.gov/assessor/cama/?parid=003-862-04&amp;CardNumber=1","003-862-04")</f>
        <v>003-862-04</v>
      </c>
      <c r="B308" t="s">
        <v>4655</v>
      </c>
      <c r="C308" t="s">
        <v>6972</v>
      </c>
      <c r="D308" s="1">
        <v>40340</v>
      </c>
      <c r="E308" s="2">
        <v>53500</v>
      </c>
      <c r="F308" t="s">
        <v>4553</v>
      </c>
      <c r="G308" s="17" t="str">
        <f>HYPERLINK("https://www.washoecounty.gov/assessor/cama/?command=sales&amp;parid=00386204","3891060")</f>
        <v>3891060</v>
      </c>
      <c r="H308" t="s">
        <v>2475</v>
      </c>
      <c r="I308">
        <v>1974</v>
      </c>
      <c r="J308">
        <v>1974</v>
      </c>
      <c r="K308" t="s">
        <v>4897</v>
      </c>
      <c r="L308" t="s">
        <v>4555</v>
      </c>
      <c r="M308" s="2">
        <v>920</v>
      </c>
      <c r="N308" t="s">
        <v>4556</v>
      </c>
      <c r="O308">
        <v>2</v>
      </c>
      <c r="P308">
        <v>1</v>
      </c>
      <c r="Q308">
        <v>0</v>
      </c>
      <c r="R308" t="s">
        <v>5281</v>
      </c>
      <c r="S308" t="s">
        <v>4558</v>
      </c>
      <c r="T308" t="s">
        <v>4899</v>
      </c>
      <c r="U308" t="s">
        <v>4655</v>
      </c>
      <c r="V308" s="2">
        <v>0</v>
      </c>
      <c r="W308" t="s">
        <v>4655</v>
      </c>
      <c r="X308" s="2">
        <v>0</v>
      </c>
      <c r="Y308">
        <v>25</v>
      </c>
      <c r="Z308" t="s">
        <v>2705</v>
      </c>
      <c r="AA308" s="3">
        <v>2.1074380725622201E-2</v>
      </c>
      <c r="AB308" t="s">
        <v>6973</v>
      </c>
      <c r="AC308" t="s">
        <v>4562</v>
      </c>
      <c r="AD308" t="s">
        <v>6974</v>
      </c>
      <c r="AE308" t="s">
        <v>4655</v>
      </c>
      <c r="AF308" t="s">
        <v>3114</v>
      </c>
      <c r="AG308" t="s">
        <v>4564</v>
      </c>
      <c r="AH308">
        <v>89503</v>
      </c>
      <c r="AI308" t="s">
        <v>4903</v>
      </c>
      <c r="AJ308" t="s">
        <v>5735</v>
      </c>
      <c r="AK308" t="s">
        <v>6975</v>
      </c>
      <c r="AL308" s="13" t="s">
        <v>2255</v>
      </c>
      <c r="AM308">
        <v>1</v>
      </c>
      <c r="AN308" s="15" t="s">
        <v>2476</v>
      </c>
    </row>
    <row r="309" spans="1:40" x14ac:dyDescent="0.3">
      <c r="A309" s="10" t="str">
        <f>HYPERLINK("http://www.washoecounty.gov/assessor/cama/?parid=003-881-02&amp;CardNumber=1","003-881-02")</f>
        <v>003-881-02</v>
      </c>
      <c r="B309" t="s">
        <v>4655</v>
      </c>
      <c r="C309" t="s">
        <v>6976</v>
      </c>
      <c r="D309" s="1">
        <v>40291</v>
      </c>
      <c r="E309" s="2">
        <v>215000</v>
      </c>
      <c r="F309" t="s">
        <v>4567</v>
      </c>
      <c r="G309" s="17" t="str">
        <f>HYPERLINK("https://www.washoecounty.gov/assessor/cama/?command=sales&amp;parid=00388102","3874085")</f>
        <v>3874085</v>
      </c>
      <c r="H309" t="s">
        <v>5389</v>
      </c>
      <c r="I309">
        <v>2008</v>
      </c>
      <c r="J309">
        <v>2008</v>
      </c>
      <c r="K309" t="s">
        <v>4554</v>
      </c>
      <c r="L309" t="s">
        <v>3974</v>
      </c>
      <c r="M309" s="2">
        <v>2251</v>
      </c>
      <c r="N309" t="s">
        <v>5280</v>
      </c>
      <c r="O309">
        <v>3</v>
      </c>
      <c r="P309">
        <v>2</v>
      </c>
      <c r="Q309">
        <v>1</v>
      </c>
      <c r="R309" t="s">
        <v>5281</v>
      </c>
      <c r="S309" t="s">
        <v>4898</v>
      </c>
      <c r="T309" t="s">
        <v>2704</v>
      </c>
      <c r="U309" t="s">
        <v>4655</v>
      </c>
      <c r="V309" s="2">
        <v>0</v>
      </c>
      <c r="W309" t="s">
        <v>4655</v>
      </c>
      <c r="X309" s="2">
        <v>0</v>
      </c>
      <c r="Y309">
        <v>20</v>
      </c>
      <c r="Z309" t="s">
        <v>4351</v>
      </c>
      <c r="AA309" s="3">
        <v>0.128236919641495</v>
      </c>
      <c r="AB309" t="s">
        <v>67</v>
      </c>
      <c r="AC309" t="s">
        <v>4575</v>
      </c>
      <c r="AD309" t="s">
        <v>752</v>
      </c>
      <c r="AE309" t="s">
        <v>4655</v>
      </c>
      <c r="AF309" t="s">
        <v>2751</v>
      </c>
      <c r="AG309" t="s">
        <v>4584</v>
      </c>
      <c r="AH309">
        <v>90066</v>
      </c>
      <c r="AI309" t="s">
        <v>6977</v>
      </c>
      <c r="AJ309" t="s">
        <v>5391</v>
      </c>
      <c r="AK309" t="s">
        <v>6978</v>
      </c>
      <c r="AL309" s="13" t="s">
        <v>2255</v>
      </c>
      <c r="AM309">
        <v>1</v>
      </c>
      <c r="AN309" s="15" t="s">
        <v>5392</v>
      </c>
    </row>
    <row r="310" spans="1:40" x14ac:dyDescent="0.3">
      <c r="A310" s="10" t="str">
        <f>HYPERLINK("http://www.washoecounty.gov/assessor/cama/?parid=003-881-15&amp;CardNumber=1","003-881-15")</f>
        <v>003-881-15</v>
      </c>
      <c r="B310" t="s">
        <v>4655</v>
      </c>
      <c r="C310" t="s">
        <v>6979</v>
      </c>
      <c r="D310" s="1">
        <v>40197</v>
      </c>
      <c r="E310" s="2">
        <v>194250</v>
      </c>
      <c r="F310" t="s">
        <v>4553</v>
      </c>
      <c r="G310" s="17" t="str">
        <f>HYPERLINK("https://www.washoecounty.gov/assessor/cama/?command=sales&amp;parid=00388115","3840355")</f>
        <v>3840355</v>
      </c>
      <c r="H310" t="s">
        <v>5389</v>
      </c>
      <c r="I310">
        <v>2008</v>
      </c>
      <c r="J310">
        <v>2008</v>
      </c>
      <c r="K310" t="s">
        <v>4554</v>
      </c>
      <c r="L310" t="s">
        <v>3974</v>
      </c>
      <c r="M310" s="2">
        <v>2251</v>
      </c>
      <c r="N310" t="s">
        <v>5280</v>
      </c>
      <c r="O310">
        <v>3</v>
      </c>
      <c r="P310">
        <v>2</v>
      </c>
      <c r="Q310">
        <v>1</v>
      </c>
      <c r="R310" t="s">
        <v>5281</v>
      </c>
      <c r="S310" t="s">
        <v>4898</v>
      </c>
      <c r="T310" t="s">
        <v>2704</v>
      </c>
      <c r="U310" t="s">
        <v>5631</v>
      </c>
      <c r="V310" s="2">
        <v>414</v>
      </c>
      <c r="W310" t="s">
        <v>4655</v>
      </c>
      <c r="X310" s="2">
        <v>0</v>
      </c>
      <c r="Y310">
        <v>20</v>
      </c>
      <c r="Z310" t="s">
        <v>4351</v>
      </c>
      <c r="AA310" s="3">
        <v>0.100459136068821</v>
      </c>
      <c r="AB310" t="s">
        <v>6980</v>
      </c>
      <c r="AC310" t="s">
        <v>4562</v>
      </c>
      <c r="AD310" t="s">
        <v>6979</v>
      </c>
      <c r="AE310" t="s">
        <v>4655</v>
      </c>
      <c r="AF310" t="s">
        <v>4563</v>
      </c>
      <c r="AG310" t="s">
        <v>4564</v>
      </c>
      <c r="AH310">
        <v>89512</v>
      </c>
      <c r="AI310" t="s">
        <v>5390</v>
      </c>
      <c r="AJ310" t="s">
        <v>5391</v>
      </c>
      <c r="AK310" t="s">
        <v>6981</v>
      </c>
      <c r="AL310" s="13" t="s">
        <v>2255</v>
      </c>
      <c r="AM310">
        <v>1</v>
      </c>
      <c r="AN310" s="15" t="s">
        <v>5392</v>
      </c>
    </row>
    <row r="311" spans="1:40" x14ac:dyDescent="0.3">
      <c r="A311" s="10" t="str">
        <f>HYPERLINK("http://www.washoecounty.gov/assessor/cama/?parid=003-881-15&amp;CardNumber=1","003-881-15")</f>
        <v>003-881-15</v>
      </c>
      <c r="B311" t="s">
        <v>4655</v>
      </c>
      <c r="C311" t="s">
        <v>6979</v>
      </c>
      <c r="D311" s="1">
        <v>40354</v>
      </c>
      <c r="E311" s="2">
        <v>226000</v>
      </c>
      <c r="F311" t="s">
        <v>4567</v>
      </c>
      <c r="G311" s="17" t="str">
        <f>HYPERLINK("https://www.washoecounty.gov/assessor/cama/?command=sales&amp;parid=00388115","3895274")</f>
        <v>3895274</v>
      </c>
      <c r="H311" t="s">
        <v>5389</v>
      </c>
      <c r="I311">
        <v>2008</v>
      </c>
      <c r="J311">
        <v>2008</v>
      </c>
      <c r="K311" t="s">
        <v>4554</v>
      </c>
      <c r="L311" t="s">
        <v>3974</v>
      </c>
      <c r="M311" s="2">
        <v>2251</v>
      </c>
      <c r="N311" t="s">
        <v>5280</v>
      </c>
      <c r="O311">
        <v>3</v>
      </c>
      <c r="P311">
        <v>2</v>
      </c>
      <c r="Q311">
        <v>1</v>
      </c>
      <c r="R311" t="s">
        <v>5281</v>
      </c>
      <c r="S311" t="s">
        <v>4898</v>
      </c>
      <c r="T311" t="s">
        <v>2704</v>
      </c>
      <c r="U311" t="s">
        <v>5631</v>
      </c>
      <c r="V311" s="2">
        <v>414</v>
      </c>
      <c r="W311" t="s">
        <v>4655</v>
      </c>
      <c r="X311" s="2">
        <v>0</v>
      </c>
      <c r="Y311">
        <v>20</v>
      </c>
      <c r="Z311" t="s">
        <v>4351</v>
      </c>
      <c r="AA311" s="3">
        <v>0.100459136068821</v>
      </c>
      <c r="AB311" t="s">
        <v>6980</v>
      </c>
      <c r="AC311" t="s">
        <v>4562</v>
      </c>
      <c r="AD311" t="s">
        <v>6979</v>
      </c>
      <c r="AE311" t="s">
        <v>4655</v>
      </c>
      <c r="AF311" t="s">
        <v>4563</v>
      </c>
      <c r="AG311" t="s">
        <v>4564</v>
      </c>
      <c r="AH311">
        <v>89512</v>
      </c>
      <c r="AI311" t="s">
        <v>5390</v>
      </c>
      <c r="AJ311" t="s">
        <v>5391</v>
      </c>
      <c r="AK311" t="s">
        <v>6981</v>
      </c>
      <c r="AL311" s="13" t="s">
        <v>2255</v>
      </c>
      <c r="AM311">
        <v>1</v>
      </c>
      <c r="AN311" s="15" t="s">
        <v>5392</v>
      </c>
    </row>
    <row r="312" spans="1:40" x14ac:dyDescent="0.3">
      <c r="A312" s="10" t="str">
        <f>HYPERLINK("http://www.washoecounty.gov/assessor/cama/?parid=003-882-09&amp;CardNumber=1","003-882-09")</f>
        <v>003-882-09</v>
      </c>
      <c r="B312" t="s">
        <v>4655</v>
      </c>
      <c r="C312" t="s">
        <v>6982</v>
      </c>
      <c r="D312" s="1">
        <v>40253</v>
      </c>
      <c r="E312" s="2">
        <v>197130</v>
      </c>
      <c r="F312" t="s">
        <v>4553</v>
      </c>
      <c r="G312" s="17" t="str">
        <f>HYPERLINK("https://www.washoecounty.gov/assessor/cama/?command=sales&amp;parid=00388209","3860317")</f>
        <v>3860317</v>
      </c>
      <c r="H312" t="s">
        <v>5389</v>
      </c>
      <c r="I312">
        <v>2008</v>
      </c>
      <c r="J312">
        <v>2008</v>
      </c>
      <c r="K312" t="s">
        <v>4554</v>
      </c>
      <c r="L312" t="s">
        <v>3974</v>
      </c>
      <c r="M312" s="2">
        <v>2251</v>
      </c>
      <c r="N312" t="s">
        <v>5280</v>
      </c>
      <c r="O312">
        <v>3</v>
      </c>
      <c r="P312">
        <v>2</v>
      </c>
      <c r="Q312">
        <v>1</v>
      </c>
      <c r="R312" t="s">
        <v>5281</v>
      </c>
      <c r="S312" t="s">
        <v>4898</v>
      </c>
      <c r="T312" t="s">
        <v>2704</v>
      </c>
      <c r="U312" t="s">
        <v>5631</v>
      </c>
      <c r="V312" s="2">
        <v>414</v>
      </c>
      <c r="W312" t="s">
        <v>4655</v>
      </c>
      <c r="X312" s="2">
        <v>0</v>
      </c>
      <c r="Y312">
        <v>20</v>
      </c>
      <c r="Z312" t="s">
        <v>4351</v>
      </c>
      <c r="AA312" s="3">
        <v>9.8438933491706807E-2</v>
      </c>
      <c r="AB312" t="s">
        <v>6983</v>
      </c>
      <c r="AC312" t="s">
        <v>4562</v>
      </c>
      <c r="AD312" t="s">
        <v>6982</v>
      </c>
      <c r="AE312" t="s">
        <v>4655</v>
      </c>
      <c r="AF312" t="s">
        <v>4563</v>
      </c>
      <c r="AG312" t="s">
        <v>4564</v>
      </c>
      <c r="AH312">
        <v>89512</v>
      </c>
      <c r="AI312" t="s">
        <v>4655</v>
      </c>
      <c r="AJ312" t="s">
        <v>5391</v>
      </c>
      <c r="AK312" t="s">
        <v>6984</v>
      </c>
      <c r="AL312" s="13" t="s">
        <v>2255</v>
      </c>
      <c r="AM312">
        <v>1</v>
      </c>
      <c r="AN312" s="15" t="s">
        <v>5392</v>
      </c>
    </row>
    <row r="313" spans="1:40" x14ac:dyDescent="0.3">
      <c r="A313" s="10" t="str">
        <f>HYPERLINK("http://www.washoecounty.gov/assessor/cama/?parid=003-883-04&amp;CardNumber=1","003-883-04")</f>
        <v>003-883-04</v>
      </c>
      <c r="B313" t="s">
        <v>4655</v>
      </c>
      <c r="C313" t="s">
        <v>6985</v>
      </c>
      <c r="D313" s="1">
        <v>40269</v>
      </c>
      <c r="E313" s="2">
        <v>249900</v>
      </c>
      <c r="F313" t="s">
        <v>4553</v>
      </c>
      <c r="G313" s="17" t="str">
        <f>HYPERLINK("https://www.washoecounty.gov/assessor/cama/?command=sales&amp;parid=00388304","3866854")</f>
        <v>3866854</v>
      </c>
      <c r="H313" t="s">
        <v>5389</v>
      </c>
      <c r="I313">
        <v>2008</v>
      </c>
      <c r="J313">
        <v>2008</v>
      </c>
      <c r="K313" t="s">
        <v>4554</v>
      </c>
      <c r="L313" t="s">
        <v>3974</v>
      </c>
      <c r="M313" s="2">
        <v>3026</v>
      </c>
      <c r="N313" t="s">
        <v>5280</v>
      </c>
      <c r="O313">
        <v>4</v>
      </c>
      <c r="P313">
        <v>2</v>
      </c>
      <c r="Q313">
        <v>1</v>
      </c>
      <c r="R313" t="s">
        <v>5281</v>
      </c>
      <c r="S313" t="s">
        <v>4898</v>
      </c>
      <c r="T313" t="s">
        <v>2704</v>
      </c>
      <c r="U313" t="s">
        <v>5631</v>
      </c>
      <c r="V313" s="2">
        <v>423</v>
      </c>
      <c r="W313" t="s">
        <v>4655</v>
      </c>
      <c r="X313" s="2">
        <v>0</v>
      </c>
      <c r="Y313">
        <v>20</v>
      </c>
      <c r="Z313" t="s">
        <v>4351</v>
      </c>
      <c r="AA313" s="3">
        <v>9.9426075816154494E-2</v>
      </c>
      <c r="AB313" t="s">
        <v>6986</v>
      </c>
      <c r="AC313" t="s">
        <v>4562</v>
      </c>
      <c r="AD313" t="s">
        <v>6987</v>
      </c>
      <c r="AE313" t="s">
        <v>4655</v>
      </c>
      <c r="AF313" t="s">
        <v>4563</v>
      </c>
      <c r="AG313" t="s">
        <v>4564</v>
      </c>
      <c r="AH313">
        <v>89512</v>
      </c>
      <c r="AI313" t="s">
        <v>1952</v>
      </c>
      <c r="AJ313" t="s">
        <v>5391</v>
      </c>
      <c r="AK313" t="s">
        <v>6988</v>
      </c>
      <c r="AL313" s="13" t="s">
        <v>2255</v>
      </c>
      <c r="AM313">
        <v>1</v>
      </c>
      <c r="AN313" s="15" t="s">
        <v>5392</v>
      </c>
    </row>
    <row r="314" spans="1:40" x14ac:dyDescent="0.3">
      <c r="A314" s="10" t="str">
        <f>HYPERLINK("http://www.washoecounty.gov/assessor/cama/?parid=004-051-16&amp;CardNumber=1","004-051-16")</f>
        <v>004-051-16</v>
      </c>
      <c r="B314" t="s">
        <v>4655</v>
      </c>
      <c r="C314" t="s">
        <v>6989</v>
      </c>
      <c r="D314" s="1">
        <v>40219</v>
      </c>
      <c r="E314" s="2">
        <v>64000</v>
      </c>
      <c r="F314" t="s">
        <v>4567</v>
      </c>
      <c r="G314" s="17" t="str">
        <f>HYPERLINK("https://www.washoecounty.gov/assessor/cama/?command=sales&amp;parid=00405116","3847816")</f>
        <v>3847816</v>
      </c>
      <c r="H314" t="s">
        <v>5393</v>
      </c>
      <c r="I314">
        <v>1986</v>
      </c>
      <c r="J314">
        <v>1986</v>
      </c>
      <c r="K314" t="s">
        <v>3144</v>
      </c>
      <c r="L314" t="s">
        <v>4555</v>
      </c>
      <c r="M314" s="2">
        <v>891</v>
      </c>
      <c r="N314" t="s">
        <v>4556</v>
      </c>
      <c r="O314">
        <v>2</v>
      </c>
      <c r="P314">
        <v>2</v>
      </c>
      <c r="Q314">
        <v>0</v>
      </c>
      <c r="R314" t="s">
        <v>5281</v>
      </c>
      <c r="S314" t="s">
        <v>4558</v>
      </c>
      <c r="T314" t="s">
        <v>4559</v>
      </c>
      <c r="U314" t="s">
        <v>4655</v>
      </c>
      <c r="V314" s="2">
        <v>0</v>
      </c>
      <c r="W314" t="s">
        <v>4655</v>
      </c>
      <c r="X314" s="2">
        <v>0</v>
      </c>
      <c r="Y314">
        <v>21</v>
      </c>
      <c r="Z314" t="s">
        <v>2705</v>
      </c>
      <c r="AA314" s="3">
        <v>1.00000004749745E-3</v>
      </c>
      <c r="AB314" t="s">
        <v>6990</v>
      </c>
      <c r="AC314" t="s">
        <v>4562</v>
      </c>
      <c r="AD314" t="s">
        <v>6991</v>
      </c>
      <c r="AE314" t="s">
        <v>4655</v>
      </c>
      <c r="AF314" t="s">
        <v>2229</v>
      </c>
      <c r="AG314" t="s">
        <v>4564</v>
      </c>
      <c r="AH314">
        <v>89403</v>
      </c>
      <c r="AI314" t="s">
        <v>6992</v>
      </c>
      <c r="AJ314" t="s">
        <v>4655</v>
      </c>
      <c r="AK314" t="s">
        <v>6993</v>
      </c>
      <c r="AL314" s="13" t="s">
        <v>2255</v>
      </c>
      <c r="AM314" s="14">
        <v>1</v>
      </c>
      <c r="AN314" s="15" t="s">
        <v>5360</v>
      </c>
    </row>
    <row r="315" spans="1:40" x14ac:dyDescent="0.3">
      <c r="A315" s="10" t="str">
        <f>HYPERLINK("http://www.washoecounty.gov/assessor/cama/?parid=004-052-05&amp;CardNumber=1","004-052-05")</f>
        <v>004-052-05</v>
      </c>
      <c r="B315" t="s">
        <v>4655</v>
      </c>
      <c r="C315" t="s">
        <v>6994</v>
      </c>
      <c r="D315" s="1">
        <v>40497</v>
      </c>
      <c r="E315" s="2">
        <v>45000</v>
      </c>
      <c r="F315" t="s">
        <v>4567</v>
      </c>
      <c r="G315" s="17" t="str">
        <f>HYPERLINK("https://www.washoecounty.gov/assessor/cama/?command=sales&amp;parid=00405205","3942954")</f>
        <v>3942954</v>
      </c>
      <c r="H315" t="s">
        <v>5393</v>
      </c>
      <c r="I315">
        <v>1986</v>
      </c>
      <c r="J315">
        <v>1986</v>
      </c>
      <c r="K315" t="s">
        <v>3144</v>
      </c>
      <c r="L315" t="s">
        <v>4555</v>
      </c>
      <c r="M315" s="2">
        <v>891</v>
      </c>
      <c r="N315" t="s">
        <v>4556</v>
      </c>
      <c r="O315">
        <v>2</v>
      </c>
      <c r="P315">
        <v>2</v>
      </c>
      <c r="Q315">
        <v>0</v>
      </c>
      <c r="R315" t="s">
        <v>5281</v>
      </c>
      <c r="S315" t="s">
        <v>4558</v>
      </c>
      <c r="T315" t="s">
        <v>4559</v>
      </c>
      <c r="U315" t="s">
        <v>4655</v>
      </c>
      <c r="V315" s="2">
        <v>0</v>
      </c>
      <c r="W315" t="s">
        <v>4655</v>
      </c>
      <c r="X315" s="2">
        <v>0</v>
      </c>
      <c r="Y315">
        <v>21</v>
      </c>
      <c r="Z315" t="s">
        <v>2705</v>
      </c>
      <c r="AA315" s="3">
        <v>1.00000004749745E-3</v>
      </c>
      <c r="AB315" t="s">
        <v>6995</v>
      </c>
      <c r="AC315" t="s">
        <v>4575</v>
      </c>
      <c r="AD315" t="s">
        <v>6996</v>
      </c>
      <c r="AE315" t="s">
        <v>4655</v>
      </c>
      <c r="AF315" t="s">
        <v>3533</v>
      </c>
      <c r="AG315" t="s">
        <v>4564</v>
      </c>
      <c r="AH315">
        <v>89015</v>
      </c>
      <c r="AI315" t="s">
        <v>6995</v>
      </c>
      <c r="AJ315" t="s">
        <v>4655</v>
      </c>
      <c r="AK315" t="s">
        <v>6997</v>
      </c>
      <c r="AL315" s="13" t="s">
        <v>2255</v>
      </c>
      <c r="AM315" s="14">
        <v>1</v>
      </c>
      <c r="AN315" s="15" t="s">
        <v>5360</v>
      </c>
    </row>
    <row r="316" spans="1:40" x14ac:dyDescent="0.3">
      <c r="A316" s="10" t="str">
        <f>HYPERLINK("http://www.washoecounty.gov/assessor/cama/?parid=004-052-14&amp;CardNumber=1","004-052-14")</f>
        <v>004-052-14</v>
      </c>
      <c r="B316" t="s">
        <v>4655</v>
      </c>
      <c r="C316" t="s">
        <v>6998</v>
      </c>
      <c r="D316" s="1">
        <v>40303</v>
      </c>
      <c r="E316" s="2">
        <v>54000</v>
      </c>
      <c r="F316" t="s">
        <v>4567</v>
      </c>
      <c r="G316" s="17" t="str">
        <f>HYPERLINK("https://www.washoecounty.gov/assessor/cama/?command=sales&amp;parid=00405214","3878294")</f>
        <v>3878294</v>
      </c>
      <c r="H316" t="s">
        <v>5393</v>
      </c>
      <c r="I316">
        <v>1986</v>
      </c>
      <c r="J316">
        <v>1986</v>
      </c>
      <c r="K316" t="s">
        <v>3144</v>
      </c>
      <c r="L316" t="s">
        <v>4555</v>
      </c>
      <c r="M316" s="2">
        <v>891</v>
      </c>
      <c r="N316" t="s">
        <v>4556</v>
      </c>
      <c r="O316">
        <v>2</v>
      </c>
      <c r="P316">
        <v>2</v>
      </c>
      <c r="Q316">
        <v>0</v>
      </c>
      <c r="R316" t="s">
        <v>5281</v>
      </c>
      <c r="S316" t="s">
        <v>4558</v>
      </c>
      <c r="T316" t="s">
        <v>4559</v>
      </c>
      <c r="U316" t="s">
        <v>4655</v>
      </c>
      <c r="V316" s="2">
        <v>0</v>
      </c>
      <c r="W316" t="s">
        <v>4655</v>
      </c>
      <c r="X316" s="2">
        <v>0</v>
      </c>
      <c r="Y316">
        <v>21</v>
      </c>
      <c r="Z316" t="s">
        <v>2705</v>
      </c>
      <c r="AA316" s="3">
        <v>1.00000004749745E-3</v>
      </c>
      <c r="AB316" t="s">
        <v>6999</v>
      </c>
      <c r="AC316" t="s">
        <v>4562</v>
      </c>
      <c r="AD316" t="s">
        <v>7000</v>
      </c>
      <c r="AE316" t="s">
        <v>4655</v>
      </c>
      <c r="AF316" t="s">
        <v>3533</v>
      </c>
      <c r="AG316" t="s">
        <v>4564</v>
      </c>
      <c r="AH316">
        <v>89014</v>
      </c>
      <c r="AI316" t="s">
        <v>5359</v>
      </c>
      <c r="AJ316" t="s">
        <v>4655</v>
      </c>
      <c r="AK316" t="s">
        <v>7001</v>
      </c>
      <c r="AL316" s="13" t="s">
        <v>2255</v>
      </c>
      <c r="AM316" s="14">
        <v>1</v>
      </c>
      <c r="AN316" s="15" t="s">
        <v>5360</v>
      </c>
    </row>
    <row r="317" spans="1:40" x14ac:dyDescent="0.3">
      <c r="A317" s="10" t="str">
        <f>HYPERLINK("http://www.washoecounty.gov/assessor/cama/?parid=004-052-14&amp;CardNumber=1","004-052-14")</f>
        <v>004-052-14</v>
      </c>
      <c r="B317" t="s">
        <v>4655</v>
      </c>
      <c r="C317" t="s">
        <v>6998</v>
      </c>
      <c r="D317" s="1">
        <v>40214</v>
      </c>
      <c r="E317" s="2">
        <v>29000</v>
      </c>
      <c r="F317" t="s">
        <v>4553</v>
      </c>
      <c r="G317" s="17" t="str">
        <f>HYPERLINK("https://www.washoecounty.gov/assessor/cama/?command=sales&amp;parid=00405214","3846584")</f>
        <v>3846584</v>
      </c>
      <c r="H317" t="s">
        <v>5393</v>
      </c>
      <c r="I317">
        <v>1986</v>
      </c>
      <c r="J317">
        <v>1986</v>
      </c>
      <c r="K317" t="s">
        <v>3144</v>
      </c>
      <c r="L317" t="s">
        <v>4555</v>
      </c>
      <c r="M317" s="2">
        <v>891</v>
      </c>
      <c r="N317" t="s">
        <v>4556</v>
      </c>
      <c r="O317">
        <v>2</v>
      </c>
      <c r="P317">
        <v>2</v>
      </c>
      <c r="Q317">
        <v>0</v>
      </c>
      <c r="R317" t="s">
        <v>5281</v>
      </c>
      <c r="S317" t="s">
        <v>4558</v>
      </c>
      <c r="T317" t="s">
        <v>4559</v>
      </c>
      <c r="U317" t="s">
        <v>4655</v>
      </c>
      <c r="V317" s="2">
        <v>0</v>
      </c>
      <c r="W317" t="s">
        <v>4655</v>
      </c>
      <c r="X317" s="2">
        <v>0</v>
      </c>
      <c r="Y317">
        <v>21</v>
      </c>
      <c r="Z317" t="s">
        <v>2705</v>
      </c>
      <c r="AA317" s="3">
        <v>1.00000004749745E-3</v>
      </c>
      <c r="AB317" t="s">
        <v>6999</v>
      </c>
      <c r="AC317" t="s">
        <v>4562</v>
      </c>
      <c r="AD317" t="s">
        <v>7000</v>
      </c>
      <c r="AE317" t="s">
        <v>4655</v>
      </c>
      <c r="AF317" t="s">
        <v>3533</v>
      </c>
      <c r="AG317" t="s">
        <v>4564</v>
      </c>
      <c r="AH317">
        <v>89014</v>
      </c>
      <c r="AI317" t="s">
        <v>5359</v>
      </c>
      <c r="AJ317" t="s">
        <v>4655</v>
      </c>
      <c r="AK317" t="s">
        <v>7001</v>
      </c>
      <c r="AL317" s="13" t="s">
        <v>2255</v>
      </c>
      <c r="AM317">
        <v>1</v>
      </c>
      <c r="AN317" s="15" t="s">
        <v>5360</v>
      </c>
    </row>
    <row r="318" spans="1:40" x14ac:dyDescent="0.3">
      <c r="A318" s="10" t="str">
        <f>HYPERLINK("http://www.washoecounty.gov/assessor/cama/?parid=004-053-03&amp;CardNumber=1","004-053-03")</f>
        <v>004-053-03</v>
      </c>
      <c r="B318" t="s">
        <v>4655</v>
      </c>
      <c r="C318" t="s">
        <v>7002</v>
      </c>
      <c r="D318" s="1">
        <v>40276</v>
      </c>
      <c r="E318" s="2">
        <v>50000</v>
      </c>
      <c r="F318" t="s">
        <v>4553</v>
      </c>
      <c r="G318" s="17" t="str">
        <f>HYPERLINK("https://www.washoecounty.gov/assessor/cama/?command=sales&amp;parid=00405303","3868843")</f>
        <v>3868843</v>
      </c>
      <c r="H318" t="s">
        <v>5393</v>
      </c>
      <c r="I318">
        <v>1986</v>
      </c>
      <c r="J318">
        <v>1986</v>
      </c>
      <c r="K318" t="s">
        <v>3144</v>
      </c>
      <c r="L318" t="s">
        <v>4555</v>
      </c>
      <c r="M318" s="2">
        <v>891</v>
      </c>
      <c r="N318" t="s">
        <v>4556</v>
      </c>
      <c r="O318">
        <v>2</v>
      </c>
      <c r="P318">
        <v>2</v>
      </c>
      <c r="Q318">
        <v>0</v>
      </c>
      <c r="R318" t="s">
        <v>5281</v>
      </c>
      <c r="S318" t="s">
        <v>4558</v>
      </c>
      <c r="T318" t="s">
        <v>4559</v>
      </c>
      <c r="U318" t="s">
        <v>4655</v>
      </c>
      <c r="V318" s="2">
        <v>0</v>
      </c>
      <c r="W318" t="s">
        <v>4655</v>
      </c>
      <c r="X318" s="2">
        <v>0</v>
      </c>
      <c r="Y318">
        <v>21</v>
      </c>
      <c r="Z318" t="s">
        <v>2705</v>
      </c>
      <c r="AA318" s="3">
        <v>1.00000004749745E-3</v>
      </c>
      <c r="AB318" t="s">
        <v>7003</v>
      </c>
      <c r="AC318" t="s">
        <v>4562</v>
      </c>
      <c r="AD318" t="s">
        <v>7004</v>
      </c>
      <c r="AE318" t="s">
        <v>4655</v>
      </c>
      <c r="AF318" t="s">
        <v>3306</v>
      </c>
      <c r="AG318" t="s">
        <v>4584</v>
      </c>
      <c r="AH318" t="s">
        <v>1340</v>
      </c>
      <c r="AI318" t="s">
        <v>4145</v>
      </c>
      <c r="AJ318" t="s">
        <v>4655</v>
      </c>
      <c r="AK318" t="s">
        <v>7005</v>
      </c>
      <c r="AL318" s="13" t="s">
        <v>2255</v>
      </c>
      <c r="AM318">
        <v>1</v>
      </c>
      <c r="AN318" s="15" t="s">
        <v>5360</v>
      </c>
    </row>
    <row r="319" spans="1:40" x14ac:dyDescent="0.3">
      <c r="A319" s="10" t="str">
        <f>HYPERLINK("http://www.washoecounty.gov/assessor/cama/?parid=004-053-05&amp;CardNumber=1","004-053-05")</f>
        <v>004-053-05</v>
      </c>
      <c r="B319" t="s">
        <v>4655</v>
      </c>
      <c r="C319" t="s">
        <v>7006</v>
      </c>
      <c r="D319" s="1">
        <v>40219</v>
      </c>
      <c r="E319" s="2">
        <v>40000</v>
      </c>
      <c r="F319" t="s">
        <v>4553</v>
      </c>
      <c r="G319" s="17" t="str">
        <f>HYPERLINK("https://www.washoecounty.gov/assessor/cama/?command=sales&amp;parid=00405305","3847629")</f>
        <v>3847629</v>
      </c>
      <c r="H319" t="s">
        <v>5393</v>
      </c>
      <c r="I319">
        <v>1986</v>
      </c>
      <c r="J319">
        <v>1986</v>
      </c>
      <c r="K319" t="s">
        <v>3144</v>
      </c>
      <c r="L319" t="s">
        <v>4555</v>
      </c>
      <c r="M319" s="2">
        <v>891</v>
      </c>
      <c r="N319" t="s">
        <v>4556</v>
      </c>
      <c r="O319">
        <v>2</v>
      </c>
      <c r="P319">
        <v>2</v>
      </c>
      <c r="Q319">
        <v>0</v>
      </c>
      <c r="R319" t="s">
        <v>5281</v>
      </c>
      <c r="S319" t="s">
        <v>4558</v>
      </c>
      <c r="T319" t="s">
        <v>4559</v>
      </c>
      <c r="U319" t="s">
        <v>4655</v>
      </c>
      <c r="V319" s="2">
        <v>0</v>
      </c>
      <c r="W319" t="s">
        <v>4655</v>
      </c>
      <c r="X319" s="2">
        <v>0</v>
      </c>
      <c r="Y319">
        <v>21</v>
      </c>
      <c r="Z319" t="s">
        <v>2705</v>
      </c>
      <c r="AA319" s="3">
        <v>1.00000004749745E-3</v>
      </c>
      <c r="AB319" t="s">
        <v>7007</v>
      </c>
      <c r="AC319" t="s">
        <v>4562</v>
      </c>
      <c r="AD319" t="s">
        <v>7008</v>
      </c>
      <c r="AE319" t="s">
        <v>4655</v>
      </c>
      <c r="AF319" t="s">
        <v>4656</v>
      </c>
      <c r="AG319" t="s">
        <v>4657</v>
      </c>
      <c r="AH319">
        <v>65802</v>
      </c>
      <c r="AI319" t="s">
        <v>4565</v>
      </c>
      <c r="AJ319" t="s">
        <v>4655</v>
      </c>
      <c r="AK319" t="s">
        <v>7009</v>
      </c>
      <c r="AL319" s="13" t="s">
        <v>2255</v>
      </c>
      <c r="AM319" s="14">
        <v>1</v>
      </c>
      <c r="AN319" s="15" t="s">
        <v>5360</v>
      </c>
    </row>
    <row r="320" spans="1:40" x14ac:dyDescent="0.3">
      <c r="A320" s="10" t="str">
        <f>HYPERLINK("http://www.washoecounty.gov/assessor/cama/?parid=004-053-13&amp;CardNumber=1","004-053-13")</f>
        <v>004-053-13</v>
      </c>
      <c r="B320" t="s">
        <v>4655</v>
      </c>
      <c r="C320" t="s">
        <v>7010</v>
      </c>
      <c r="D320" s="1">
        <v>40205</v>
      </c>
      <c r="E320" s="2">
        <v>37000</v>
      </c>
      <c r="F320" t="s">
        <v>4553</v>
      </c>
      <c r="G320" s="17" t="str">
        <f>HYPERLINK("https://www.washoecounty.gov/assessor/cama/?command=sales&amp;parid=00405313","3843133")</f>
        <v>3843133</v>
      </c>
      <c r="H320" t="s">
        <v>5393</v>
      </c>
      <c r="I320">
        <v>1983</v>
      </c>
      <c r="J320">
        <v>1983</v>
      </c>
      <c r="K320" t="s">
        <v>4897</v>
      </c>
      <c r="L320" t="s">
        <v>4555</v>
      </c>
      <c r="M320" s="2">
        <v>891</v>
      </c>
      <c r="N320" t="s">
        <v>4556</v>
      </c>
      <c r="O320">
        <v>2</v>
      </c>
      <c r="P320">
        <v>1</v>
      </c>
      <c r="Q320">
        <v>0</v>
      </c>
      <c r="R320" t="s">
        <v>5281</v>
      </c>
      <c r="S320" t="s">
        <v>4558</v>
      </c>
      <c r="T320" t="s">
        <v>4559</v>
      </c>
      <c r="U320" t="s">
        <v>4655</v>
      </c>
      <c r="V320" s="2">
        <v>0</v>
      </c>
      <c r="W320" t="s">
        <v>4655</v>
      </c>
      <c r="X320" s="2">
        <v>0</v>
      </c>
      <c r="Y320">
        <v>21</v>
      </c>
      <c r="Z320" t="s">
        <v>2705</v>
      </c>
      <c r="AA320" s="3">
        <v>1.00000004749745E-3</v>
      </c>
      <c r="AB320" t="s">
        <v>7011</v>
      </c>
      <c r="AC320" t="s">
        <v>4562</v>
      </c>
      <c r="AD320" t="s">
        <v>7012</v>
      </c>
      <c r="AE320" t="s">
        <v>4655</v>
      </c>
      <c r="AF320" t="s">
        <v>4563</v>
      </c>
      <c r="AG320" t="s">
        <v>4564</v>
      </c>
      <c r="AH320">
        <v>89503</v>
      </c>
      <c r="AI320" t="s">
        <v>4145</v>
      </c>
      <c r="AJ320" t="s">
        <v>4655</v>
      </c>
      <c r="AK320" t="s">
        <v>7013</v>
      </c>
      <c r="AL320" s="13" t="s">
        <v>2255</v>
      </c>
      <c r="AM320">
        <v>1</v>
      </c>
      <c r="AN320" s="15" t="s">
        <v>5360</v>
      </c>
    </row>
    <row r="321" spans="1:40" x14ac:dyDescent="0.3">
      <c r="A321" s="10" t="str">
        <f>HYPERLINK("http://www.washoecounty.gov/assessor/cama/?parid=004-054-08&amp;CardNumber=1","004-054-08")</f>
        <v>004-054-08</v>
      </c>
      <c r="B321" t="s">
        <v>4655</v>
      </c>
      <c r="C321" t="s">
        <v>7014</v>
      </c>
      <c r="D321" s="1">
        <v>40388</v>
      </c>
      <c r="E321" s="2">
        <v>27500</v>
      </c>
      <c r="F321" t="s">
        <v>4553</v>
      </c>
      <c r="G321" s="17" t="str">
        <f>HYPERLINK("https://www.washoecounty.gov/assessor/cama/?command=sales&amp;parid=00405408","3906488")</f>
        <v>3906488</v>
      </c>
      <c r="H321" t="s">
        <v>5393</v>
      </c>
      <c r="I321">
        <v>1986</v>
      </c>
      <c r="J321">
        <v>1986</v>
      </c>
      <c r="K321" t="s">
        <v>3144</v>
      </c>
      <c r="L321" t="s">
        <v>4555</v>
      </c>
      <c r="M321" s="2">
        <v>540</v>
      </c>
      <c r="N321" t="s">
        <v>4556</v>
      </c>
      <c r="O321">
        <v>1</v>
      </c>
      <c r="P321">
        <v>1</v>
      </c>
      <c r="Q321">
        <v>0</v>
      </c>
      <c r="R321" t="s">
        <v>5281</v>
      </c>
      <c r="S321" t="s">
        <v>4558</v>
      </c>
      <c r="T321" t="s">
        <v>4559</v>
      </c>
      <c r="U321" t="s">
        <v>4655</v>
      </c>
      <c r="V321" s="2">
        <v>0</v>
      </c>
      <c r="W321" t="s">
        <v>4655</v>
      </c>
      <c r="X321" s="2">
        <v>0</v>
      </c>
      <c r="Y321">
        <v>21</v>
      </c>
      <c r="Z321" t="s">
        <v>2705</v>
      </c>
      <c r="AA321" s="3">
        <v>1.00000004749745E-3</v>
      </c>
      <c r="AB321" t="s">
        <v>7015</v>
      </c>
      <c r="AC321" t="s">
        <v>4562</v>
      </c>
      <c r="AD321" t="s">
        <v>7016</v>
      </c>
      <c r="AE321" t="s">
        <v>4655</v>
      </c>
      <c r="AF321" t="s">
        <v>4563</v>
      </c>
      <c r="AG321" t="s">
        <v>4564</v>
      </c>
      <c r="AH321">
        <v>89502</v>
      </c>
      <c r="AI321" t="s">
        <v>4848</v>
      </c>
      <c r="AJ321" t="s">
        <v>4655</v>
      </c>
      <c r="AK321" t="s">
        <v>7017</v>
      </c>
      <c r="AL321" s="13" t="s">
        <v>2255</v>
      </c>
      <c r="AM321" s="14">
        <v>1</v>
      </c>
      <c r="AN321" s="15" t="s">
        <v>5360</v>
      </c>
    </row>
    <row r="322" spans="1:40" x14ac:dyDescent="0.3">
      <c r="A322" s="10" t="str">
        <f>HYPERLINK("http://www.washoecounty.gov/assessor/cama/?parid=004-054-12&amp;CardNumber=1","004-054-12")</f>
        <v>004-054-12</v>
      </c>
      <c r="B322" t="s">
        <v>4655</v>
      </c>
      <c r="C322" t="s">
        <v>7018</v>
      </c>
      <c r="D322" s="1">
        <v>40319</v>
      </c>
      <c r="E322" s="2">
        <v>48000</v>
      </c>
      <c r="F322" t="s">
        <v>4567</v>
      </c>
      <c r="G322" s="17" t="str">
        <f>HYPERLINK("https://www.washoecounty.gov/assessor/cama/?command=sales&amp;parid=00405412","3883901")</f>
        <v>3883901</v>
      </c>
      <c r="H322" t="s">
        <v>5393</v>
      </c>
      <c r="I322">
        <v>1986</v>
      </c>
      <c r="J322">
        <v>1986</v>
      </c>
      <c r="K322" t="s">
        <v>4897</v>
      </c>
      <c r="L322" t="s">
        <v>4555</v>
      </c>
      <c r="M322" s="2">
        <v>891</v>
      </c>
      <c r="N322" t="s">
        <v>4556</v>
      </c>
      <c r="O322">
        <v>2</v>
      </c>
      <c r="P322">
        <v>2</v>
      </c>
      <c r="Q322">
        <v>0</v>
      </c>
      <c r="R322" t="s">
        <v>5281</v>
      </c>
      <c r="S322" t="s">
        <v>4558</v>
      </c>
      <c r="T322" t="s">
        <v>4559</v>
      </c>
      <c r="U322" t="s">
        <v>4655</v>
      </c>
      <c r="V322" s="2">
        <v>0</v>
      </c>
      <c r="W322" t="s">
        <v>4655</v>
      </c>
      <c r="X322" s="2">
        <v>0</v>
      </c>
      <c r="Y322">
        <v>21</v>
      </c>
      <c r="Z322" t="s">
        <v>2705</v>
      </c>
      <c r="AA322" s="3">
        <v>1.00000004749745E-3</v>
      </c>
      <c r="AB322" t="s">
        <v>7019</v>
      </c>
      <c r="AC322" t="s">
        <v>4562</v>
      </c>
      <c r="AD322" t="s">
        <v>7018</v>
      </c>
      <c r="AE322" t="s">
        <v>4655</v>
      </c>
      <c r="AF322" t="s">
        <v>4563</v>
      </c>
      <c r="AG322" t="s">
        <v>4564</v>
      </c>
      <c r="AH322">
        <v>89512</v>
      </c>
      <c r="AI322" t="s">
        <v>7020</v>
      </c>
      <c r="AJ322" t="s">
        <v>4655</v>
      </c>
      <c r="AK322" t="s">
        <v>7021</v>
      </c>
      <c r="AL322" s="13" t="s">
        <v>2255</v>
      </c>
      <c r="AM322">
        <v>1</v>
      </c>
      <c r="AN322" s="15" t="s">
        <v>5360</v>
      </c>
    </row>
    <row r="323" spans="1:40" x14ac:dyDescent="0.3">
      <c r="A323" s="10" t="str">
        <f>HYPERLINK("http://www.washoecounty.gov/assessor/cama/?parid=004-054-18&amp;CardNumber=1","004-054-18")</f>
        <v>004-054-18</v>
      </c>
      <c r="B323" t="s">
        <v>4655</v>
      </c>
      <c r="C323" t="s">
        <v>7022</v>
      </c>
      <c r="D323" s="1">
        <v>40254</v>
      </c>
      <c r="E323" s="2">
        <v>36000</v>
      </c>
      <c r="F323" t="s">
        <v>4567</v>
      </c>
      <c r="G323" s="17" t="str">
        <f>HYPERLINK("https://www.washoecounty.gov/assessor/cama/?command=sales&amp;parid=00405418","3860801")</f>
        <v>3860801</v>
      </c>
      <c r="H323" t="s">
        <v>5393</v>
      </c>
      <c r="I323">
        <v>1983</v>
      </c>
      <c r="J323">
        <v>1983</v>
      </c>
      <c r="K323" t="s">
        <v>4897</v>
      </c>
      <c r="L323" t="s">
        <v>4555</v>
      </c>
      <c r="M323" s="2">
        <v>550</v>
      </c>
      <c r="N323" t="s">
        <v>4556</v>
      </c>
      <c r="O323">
        <v>1</v>
      </c>
      <c r="P323">
        <v>1</v>
      </c>
      <c r="Q323">
        <v>0</v>
      </c>
      <c r="R323" t="s">
        <v>5281</v>
      </c>
      <c r="S323" t="s">
        <v>4558</v>
      </c>
      <c r="T323" t="s">
        <v>4559</v>
      </c>
      <c r="U323" t="s">
        <v>4655</v>
      </c>
      <c r="V323" s="2">
        <v>0</v>
      </c>
      <c r="W323" t="s">
        <v>4655</v>
      </c>
      <c r="X323" s="2">
        <v>0</v>
      </c>
      <c r="Y323">
        <v>21</v>
      </c>
      <c r="Z323" t="s">
        <v>2705</v>
      </c>
      <c r="AA323" s="3">
        <v>1.00000004749745E-3</v>
      </c>
      <c r="AB323" t="s">
        <v>7023</v>
      </c>
      <c r="AC323" t="s">
        <v>4562</v>
      </c>
      <c r="AD323" t="s">
        <v>7024</v>
      </c>
      <c r="AE323" t="s">
        <v>4655</v>
      </c>
      <c r="AF323" t="s">
        <v>4801</v>
      </c>
      <c r="AG323" t="s">
        <v>2109</v>
      </c>
      <c r="AH323">
        <v>96707</v>
      </c>
      <c r="AI323" t="s">
        <v>7025</v>
      </c>
      <c r="AJ323" t="s">
        <v>4655</v>
      </c>
      <c r="AK323" t="s">
        <v>7026</v>
      </c>
      <c r="AL323" s="13" t="s">
        <v>2255</v>
      </c>
      <c r="AM323">
        <v>1</v>
      </c>
      <c r="AN323" s="15" t="s">
        <v>5360</v>
      </c>
    </row>
    <row r="324" spans="1:40" x14ac:dyDescent="0.3">
      <c r="A324" s="10" t="str">
        <f>HYPERLINK("http://www.washoecounty.gov/assessor/cama/?parid=004-054-21&amp;CardNumber=1","004-054-21")</f>
        <v>004-054-21</v>
      </c>
      <c r="B324" t="s">
        <v>4655</v>
      </c>
      <c r="C324" t="s">
        <v>7027</v>
      </c>
      <c r="D324" s="1">
        <v>40438</v>
      </c>
      <c r="E324" s="2">
        <v>45900</v>
      </c>
      <c r="F324" t="s">
        <v>4553</v>
      </c>
      <c r="G324" s="17" t="str">
        <f>HYPERLINK("https://www.washoecounty.gov/assessor/cama/?command=sales&amp;parid=00405421","3923655")</f>
        <v>3923655</v>
      </c>
      <c r="H324" t="s">
        <v>5393</v>
      </c>
      <c r="I324">
        <v>1983</v>
      </c>
      <c r="J324">
        <v>1983</v>
      </c>
      <c r="K324" t="s">
        <v>3144</v>
      </c>
      <c r="L324" t="s">
        <v>4555</v>
      </c>
      <c r="M324" s="2">
        <v>891</v>
      </c>
      <c r="N324" t="s">
        <v>4556</v>
      </c>
      <c r="O324">
        <v>2</v>
      </c>
      <c r="P324">
        <v>1</v>
      </c>
      <c r="Q324">
        <v>0</v>
      </c>
      <c r="R324" t="s">
        <v>5281</v>
      </c>
      <c r="S324" t="s">
        <v>4558</v>
      </c>
      <c r="T324" t="s">
        <v>4559</v>
      </c>
      <c r="U324" t="s">
        <v>4655</v>
      </c>
      <c r="V324" s="2">
        <v>0</v>
      </c>
      <c r="W324" t="s">
        <v>4655</v>
      </c>
      <c r="X324" s="2">
        <v>0</v>
      </c>
      <c r="Y324">
        <v>21</v>
      </c>
      <c r="Z324" t="s">
        <v>2705</v>
      </c>
      <c r="AA324" s="3">
        <v>1.00000004749745E-3</v>
      </c>
      <c r="AB324" t="s">
        <v>7028</v>
      </c>
      <c r="AC324" t="s">
        <v>4562</v>
      </c>
      <c r="AD324" t="s">
        <v>7029</v>
      </c>
      <c r="AE324" t="s">
        <v>4655</v>
      </c>
      <c r="AF324" t="s">
        <v>4563</v>
      </c>
      <c r="AG324" t="s">
        <v>4564</v>
      </c>
      <c r="AH324">
        <v>89511</v>
      </c>
      <c r="AI324" t="s">
        <v>4655</v>
      </c>
      <c r="AJ324" t="s">
        <v>4655</v>
      </c>
      <c r="AK324" t="s">
        <v>7030</v>
      </c>
      <c r="AL324" s="13" t="s">
        <v>2255</v>
      </c>
      <c r="AM324">
        <v>1</v>
      </c>
      <c r="AN324" s="15" t="s">
        <v>5360</v>
      </c>
    </row>
    <row r="325" spans="1:40" x14ac:dyDescent="0.3">
      <c r="A325" s="10" t="str">
        <f>HYPERLINK("http://www.washoecounty.gov/assessor/cama/?parid=004-091-24&amp;CardNumber=1","004-091-24")</f>
        <v>004-091-24</v>
      </c>
      <c r="B325" t="s">
        <v>4655</v>
      </c>
      <c r="C325" t="s">
        <v>7031</v>
      </c>
      <c r="D325" s="1">
        <v>40448</v>
      </c>
      <c r="E325" s="2">
        <v>68000</v>
      </c>
      <c r="F325" t="s">
        <v>4567</v>
      </c>
      <c r="G325" s="17" t="str">
        <f>HYPERLINK("https://www.washoecounty.gov/assessor/cama/?command=sales&amp;parid=00409124","3926448")</f>
        <v>3926448</v>
      </c>
      <c r="H325" t="s">
        <v>7032</v>
      </c>
      <c r="I325">
        <v>1971</v>
      </c>
      <c r="J325">
        <v>1971</v>
      </c>
      <c r="K325" t="s">
        <v>4554</v>
      </c>
      <c r="L325" t="s">
        <v>3974</v>
      </c>
      <c r="M325" s="2">
        <v>1248</v>
      </c>
      <c r="N325" t="s">
        <v>4133</v>
      </c>
      <c r="O325">
        <v>4</v>
      </c>
      <c r="P325">
        <v>2</v>
      </c>
      <c r="Q325">
        <v>0</v>
      </c>
      <c r="R325" t="s">
        <v>4557</v>
      </c>
      <c r="S325" t="s">
        <v>4898</v>
      </c>
      <c r="T325" t="s">
        <v>4559</v>
      </c>
      <c r="U325" t="s">
        <v>4560</v>
      </c>
      <c r="V325" s="2">
        <v>288</v>
      </c>
      <c r="W325" t="s">
        <v>4655</v>
      </c>
      <c r="X325" s="2">
        <v>0</v>
      </c>
      <c r="Y325">
        <v>20</v>
      </c>
      <c r="Z325" t="s">
        <v>2705</v>
      </c>
      <c r="AA325" s="3">
        <v>0.13000458478927601</v>
      </c>
      <c r="AB325" t="s">
        <v>7033</v>
      </c>
      <c r="AC325" t="s">
        <v>4562</v>
      </c>
      <c r="AD325" t="s">
        <v>7031</v>
      </c>
      <c r="AE325" t="s">
        <v>4655</v>
      </c>
      <c r="AF325" t="s">
        <v>4563</v>
      </c>
      <c r="AG325" t="s">
        <v>4564</v>
      </c>
      <c r="AH325">
        <v>89502</v>
      </c>
      <c r="AI325" t="s">
        <v>7034</v>
      </c>
      <c r="AJ325" t="s">
        <v>4655</v>
      </c>
      <c r="AK325" t="s">
        <v>7035</v>
      </c>
      <c r="AL325" s="13" t="s">
        <v>2255</v>
      </c>
      <c r="AM325">
        <v>1</v>
      </c>
      <c r="AN325" s="15" t="s">
        <v>4136</v>
      </c>
    </row>
    <row r="326" spans="1:40" x14ac:dyDescent="0.3">
      <c r="A326" s="10" t="str">
        <f>HYPERLINK("http://www.washoecounty.gov/assessor/cama/?parid=004-092-20&amp;CardNumber=1","004-092-20")</f>
        <v>004-092-20</v>
      </c>
      <c r="B326" t="s">
        <v>4655</v>
      </c>
      <c r="C326" t="s">
        <v>7036</v>
      </c>
      <c r="D326" s="1">
        <v>40260</v>
      </c>
      <c r="E326" s="2">
        <v>46000</v>
      </c>
      <c r="F326" t="s">
        <v>4553</v>
      </c>
      <c r="G326" s="17" t="str">
        <f>HYPERLINK("https://www.washoecounty.gov/assessor/cama/?command=sales&amp;parid=00409220","3862803")</f>
        <v>3862803</v>
      </c>
      <c r="H326" t="s">
        <v>7032</v>
      </c>
      <c r="I326">
        <v>1971</v>
      </c>
      <c r="J326">
        <v>1971</v>
      </c>
      <c r="K326" t="s">
        <v>4554</v>
      </c>
      <c r="L326" t="s">
        <v>3974</v>
      </c>
      <c r="M326" s="2">
        <v>1248</v>
      </c>
      <c r="N326" t="s">
        <v>4133</v>
      </c>
      <c r="O326">
        <v>4</v>
      </c>
      <c r="P326">
        <v>2</v>
      </c>
      <c r="Q326">
        <v>0</v>
      </c>
      <c r="R326" t="s">
        <v>4557</v>
      </c>
      <c r="S326" t="s">
        <v>4898</v>
      </c>
      <c r="T326" t="s">
        <v>4559</v>
      </c>
      <c r="U326" t="s">
        <v>4655</v>
      </c>
      <c r="V326" s="2">
        <v>0</v>
      </c>
      <c r="W326" t="s">
        <v>4655</v>
      </c>
      <c r="X326" s="2">
        <v>0</v>
      </c>
      <c r="Y326">
        <v>20</v>
      </c>
      <c r="Z326" t="s">
        <v>2705</v>
      </c>
      <c r="AA326" s="3">
        <v>0.14201101660728499</v>
      </c>
      <c r="AB326" t="s">
        <v>7037</v>
      </c>
      <c r="AC326" t="s">
        <v>4575</v>
      </c>
      <c r="AD326" t="s">
        <v>7038</v>
      </c>
      <c r="AE326" t="s">
        <v>7036</v>
      </c>
      <c r="AF326" t="s">
        <v>4563</v>
      </c>
      <c r="AG326" t="s">
        <v>4564</v>
      </c>
      <c r="AH326">
        <v>89512</v>
      </c>
      <c r="AI326" t="s">
        <v>4045</v>
      </c>
      <c r="AJ326" t="s">
        <v>4655</v>
      </c>
      <c r="AK326" t="s">
        <v>7039</v>
      </c>
      <c r="AL326" s="13" t="s">
        <v>2255</v>
      </c>
      <c r="AM326">
        <v>1</v>
      </c>
      <c r="AN326" s="15" t="s">
        <v>4136</v>
      </c>
    </row>
    <row r="327" spans="1:40" x14ac:dyDescent="0.3">
      <c r="A327" s="10" t="str">
        <f>HYPERLINK("http://www.washoecounty.gov/assessor/cama/?parid=004-093-08&amp;CardNumber=1","004-093-08")</f>
        <v>004-093-08</v>
      </c>
      <c r="B327" t="s">
        <v>4655</v>
      </c>
      <c r="C327" t="s">
        <v>7040</v>
      </c>
      <c r="D327" s="1">
        <v>40308</v>
      </c>
      <c r="E327" s="2">
        <v>72500</v>
      </c>
      <c r="F327" t="s">
        <v>4553</v>
      </c>
      <c r="G327" s="17" t="str">
        <f>HYPERLINK("https://www.washoecounty.gov/assessor/cama/?command=sales&amp;parid=00409308","3879880")</f>
        <v>3879880</v>
      </c>
      <c r="H327" t="s">
        <v>7032</v>
      </c>
      <c r="I327">
        <v>1963</v>
      </c>
      <c r="J327">
        <v>1963</v>
      </c>
      <c r="K327" t="s">
        <v>3043</v>
      </c>
      <c r="L327" t="s">
        <v>3974</v>
      </c>
      <c r="M327" s="2">
        <v>3432</v>
      </c>
      <c r="N327" t="s">
        <v>4556</v>
      </c>
      <c r="O327">
        <v>8</v>
      </c>
      <c r="P327">
        <v>4</v>
      </c>
      <c r="Q327">
        <v>0</v>
      </c>
      <c r="R327" t="s">
        <v>4557</v>
      </c>
      <c r="S327" t="s">
        <v>364</v>
      </c>
      <c r="T327" t="s">
        <v>4899</v>
      </c>
      <c r="U327" t="s">
        <v>4655</v>
      </c>
      <c r="V327" s="2">
        <v>0</v>
      </c>
      <c r="W327" t="s">
        <v>4655</v>
      </c>
      <c r="X327" s="2">
        <v>0</v>
      </c>
      <c r="Y327">
        <v>32</v>
      </c>
      <c r="Z327" t="s">
        <v>2705</v>
      </c>
      <c r="AA327" s="3">
        <v>0.16799816489219666</v>
      </c>
      <c r="AB327" t="s">
        <v>7041</v>
      </c>
      <c r="AC327" t="s">
        <v>4562</v>
      </c>
      <c r="AD327" t="s">
        <v>7042</v>
      </c>
      <c r="AE327" t="s">
        <v>7043</v>
      </c>
      <c r="AF327" t="s">
        <v>2408</v>
      </c>
      <c r="AG327" t="s">
        <v>4584</v>
      </c>
      <c r="AH327">
        <v>94010</v>
      </c>
      <c r="AI327" t="s">
        <v>7044</v>
      </c>
      <c r="AJ327" t="s">
        <v>4655</v>
      </c>
      <c r="AK327" t="s">
        <v>7045</v>
      </c>
      <c r="AL327" s="13" t="s">
        <v>2255</v>
      </c>
      <c r="AM327">
        <v>4</v>
      </c>
      <c r="AN327" s="15" t="s">
        <v>4684</v>
      </c>
    </row>
    <row r="328" spans="1:40" x14ac:dyDescent="0.3">
      <c r="A328" s="10" t="str">
        <f>HYPERLINK("http://www.washoecounty.gov/assessor/cama/?parid=004-093-09&amp;CardNumber=1","004-093-09")</f>
        <v>004-093-09</v>
      </c>
      <c r="B328" t="s">
        <v>4655</v>
      </c>
      <c r="C328" t="s">
        <v>7046</v>
      </c>
      <c r="D328" s="1">
        <v>40359</v>
      </c>
      <c r="E328" s="2">
        <v>90000</v>
      </c>
      <c r="F328" t="s">
        <v>4553</v>
      </c>
      <c r="G328" s="17" t="str">
        <f>HYPERLINK("https://www.washoecounty.gov/assessor/cama/?command=sales&amp;parid=00409309","3897106")</f>
        <v>3897106</v>
      </c>
      <c r="H328" t="s">
        <v>7032</v>
      </c>
      <c r="I328">
        <v>1963</v>
      </c>
      <c r="J328">
        <v>1963</v>
      </c>
      <c r="K328" t="s">
        <v>3043</v>
      </c>
      <c r="L328" t="s">
        <v>3974</v>
      </c>
      <c r="M328" s="2">
        <v>3432</v>
      </c>
      <c r="N328" t="s">
        <v>4556</v>
      </c>
      <c r="O328">
        <v>8</v>
      </c>
      <c r="P328">
        <v>4</v>
      </c>
      <c r="Q328">
        <v>0</v>
      </c>
      <c r="R328" t="s">
        <v>4557</v>
      </c>
      <c r="S328" t="s">
        <v>364</v>
      </c>
      <c r="T328" t="s">
        <v>4899</v>
      </c>
      <c r="U328" t="s">
        <v>4655</v>
      </c>
      <c r="V328" s="2">
        <v>0</v>
      </c>
      <c r="W328" t="s">
        <v>4655</v>
      </c>
      <c r="X328" s="2">
        <v>0</v>
      </c>
      <c r="Y328">
        <v>32</v>
      </c>
      <c r="Z328" t="s">
        <v>2705</v>
      </c>
      <c r="AA328" s="3">
        <v>0.16799816489219666</v>
      </c>
      <c r="AB328" t="s">
        <v>196</v>
      </c>
      <c r="AC328" t="s">
        <v>4562</v>
      </c>
      <c r="AD328" t="s">
        <v>7047</v>
      </c>
      <c r="AE328" t="s">
        <v>4655</v>
      </c>
      <c r="AF328" t="s">
        <v>4563</v>
      </c>
      <c r="AG328" t="s">
        <v>4564</v>
      </c>
      <c r="AH328">
        <v>89009</v>
      </c>
      <c r="AI328" t="s">
        <v>4565</v>
      </c>
      <c r="AJ328" t="s">
        <v>4655</v>
      </c>
      <c r="AK328" t="s">
        <v>7048</v>
      </c>
      <c r="AL328" s="13" t="s">
        <v>2255</v>
      </c>
      <c r="AM328">
        <v>4</v>
      </c>
      <c r="AN328" s="15" t="s">
        <v>4684</v>
      </c>
    </row>
    <row r="329" spans="1:40" x14ac:dyDescent="0.3">
      <c r="A329" s="10" t="str">
        <f>HYPERLINK("http://www.washoecounty.gov/assessor/cama/?parid=004-093-17&amp;CardNumber=1","004-093-17")</f>
        <v>004-093-17</v>
      </c>
      <c r="B329" t="s">
        <v>5502</v>
      </c>
      <c r="C329" t="s">
        <v>7049</v>
      </c>
      <c r="D329" s="1">
        <v>40317</v>
      </c>
      <c r="E329" s="2">
        <v>420000</v>
      </c>
      <c r="F329" t="s">
        <v>4567</v>
      </c>
      <c r="G329" s="17" t="str">
        <f>HYPERLINK("https://www.washoecounty.gov/assessor/cama/?command=sales&amp;parid=00409317","3883027")</f>
        <v>3883027</v>
      </c>
      <c r="H329" t="s">
        <v>1374</v>
      </c>
      <c r="I329">
        <v>1964</v>
      </c>
      <c r="J329">
        <v>1964</v>
      </c>
      <c r="K329" t="s">
        <v>3043</v>
      </c>
      <c r="L329" t="s">
        <v>3974</v>
      </c>
      <c r="M329" s="2">
        <v>2592</v>
      </c>
      <c r="N329" t="s">
        <v>4556</v>
      </c>
      <c r="O329">
        <v>6</v>
      </c>
      <c r="P329">
        <v>3</v>
      </c>
      <c r="Q329">
        <v>0</v>
      </c>
      <c r="R329" t="s">
        <v>4557</v>
      </c>
      <c r="S329" t="s">
        <v>364</v>
      </c>
      <c r="T329" t="s">
        <v>4899</v>
      </c>
      <c r="U329" t="s">
        <v>4655</v>
      </c>
      <c r="V329" s="2">
        <v>0</v>
      </c>
      <c r="W329" t="s">
        <v>4655</v>
      </c>
      <c r="X329" s="2">
        <v>0</v>
      </c>
      <c r="Y329">
        <v>33</v>
      </c>
      <c r="Z329" t="s">
        <v>2705</v>
      </c>
      <c r="AA329" s="3">
        <v>0.16730946302413899</v>
      </c>
      <c r="AB329" t="s">
        <v>7050</v>
      </c>
      <c r="AC329" t="s">
        <v>4562</v>
      </c>
      <c r="AD329" t="s">
        <v>7051</v>
      </c>
      <c r="AE329" t="s">
        <v>4655</v>
      </c>
      <c r="AF329" t="s">
        <v>1407</v>
      </c>
      <c r="AG329" t="s">
        <v>4564</v>
      </c>
      <c r="AH329">
        <v>89706</v>
      </c>
      <c r="AI329" t="s">
        <v>7052</v>
      </c>
      <c r="AJ329" t="s">
        <v>4655</v>
      </c>
      <c r="AK329" t="s">
        <v>2565</v>
      </c>
      <c r="AL329" s="13" t="s">
        <v>2255</v>
      </c>
      <c r="AM329">
        <v>6</v>
      </c>
      <c r="AN329" s="15" t="s">
        <v>4684</v>
      </c>
    </row>
    <row r="330" spans="1:40" x14ac:dyDescent="0.3">
      <c r="A330" s="10" t="str">
        <f>HYPERLINK("http://www.washoecounty.gov/assessor/cama/?parid=004-152-11&amp;CardNumber=1","004-152-11")</f>
        <v>004-152-11</v>
      </c>
      <c r="B330" t="s">
        <v>4655</v>
      </c>
      <c r="C330" t="s">
        <v>7053</v>
      </c>
      <c r="D330" s="1">
        <v>40254</v>
      </c>
      <c r="E330" s="2">
        <v>166950</v>
      </c>
      <c r="F330" t="s">
        <v>4553</v>
      </c>
      <c r="G330" s="17" t="str">
        <f>HYPERLINK("https://www.washoecounty.gov/assessor/cama/?command=sales&amp;parid=00415211","3860847")</f>
        <v>3860847</v>
      </c>
      <c r="H330" t="s">
        <v>7054</v>
      </c>
      <c r="I330">
        <v>1998</v>
      </c>
      <c r="J330">
        <v>1998</v>
      </c>
      <c r="K330" t="s">
        <v>3043</v>
      </c>
      <c r="L330" t="s">
        <v>3974</v>
      </c>
      <c r="M330" s="2">
        <v>2944</v>
      </c>
      <c r="N330" t="s">
        <v>4048</v>
      </c>
      <c r="O330">
        <v>8</v>
      </c>
      <c r="P330">
        <v>4</v>
      </c>
      <c r="Q330">
        <v>0</v>
      </c>
      <c r="R330" t="s">
        <v>4557</v>
      </c>
      <c r="S330" t="s">
        <v>3148</v>
      </c>
      <c r="T330" t="s">
        <v>4559</v>
      </c>
      <c r="U330" t="s">
        <v>4655</v>
      </c>
      <c r="V330" s="2">
        <v>0</v>
      </c>
      <c r="W330" t="s">
        <v>4655</v>
      </c>
      <c r="X330" s="2">
        <v>0</v>
      </c>
      <c r="Y330">
        <v>32</v>
      </c>
      <c r="Z330" t="s">
        <v>2705</v>
      </c>
      <c r="AA330" s="3">
        <v>0.141000911593437</v>
      </c>
      <c r="AB330" t="s">
        <v>7055</v>
      </c>
      <c r="AC330" t="s">
        <v>4562</v>
      </c>
      <c r="AD330" t="s">
        <v>7053</v>
      </c>
      <c r="AE330" t="s">
        <v>4655</v>
      </c>
      <c r="AF330" t="s">
        <v>4563</v>
      </c>
      <c r="AG330" t="s">
        <v>4564</v>
      </c>
      <c r="AH330">
        <v>89512</v>
      </c>
      <c r="AI330" t="s">
        <v>4655</v>
      </c>
      <c r="AJ330" t="s">
        <v>4655</v>
      </c>
      <c r="AK330" t="s">
        <v>7056</v>
      </c>
      <c r="AL330" s="13" t="s">
        <v>2255</v>
      </c>
      <c r="AM330" s="14">
        <v>4</v>
      </c>
      <c r="AN330" s="15" t="s">
        <v>4684</v>
      </c>
    </row>
    <row r="331" spans="1:40" x14ac:dyDescent="0.3">
      <c r="A331" s="10" t="str">
        <f>HYPERLINK("http://www.washoecounty.gov/assessor/cama/?parid=004-152-12&amp;CardNumber=1","004-152-12")</f>
        <v>004-152-12</v>
      </c>
      <c r="B331" t="s">
        <v>4655</v>
      </c>
      <c r="C331" t="s">
        <v>7057</v>
      </c>
      <c r="D331" s="1">
        <v>40359</v>
      </c>
      <c r="E331" s="2">
        <v>155000</v>
      </c>
      <c r="F331" t="s">
        <v>4553</v>
      </c>
      <c r="G331" s="17" t="str">
        <f>HYPERLINK("https://www.washoecounty.gov/assessor/cama/?command=sales&amp;parid=00415212","3897318")</f>
        <v>3897318</v>
      </c>
      <c r="H331" t="s">
        <v>7054</v>
      </c>
      <c r="I331">
        <v>1998</v>
      </c>
      <c r="J331">
        <v>1998</v>
      </c>
      <c r="K331" t="s">
        <v>3043</v>
      </c>
      <c r="L331" t="s">
        <v>3974</v>
      </c>
      <c r="M331" s="2">
        <v>2944</v>
      </c>
      <c r="N331" t="s">
        <v>4048</v>
      </c>
      <c r="O331">
        <v>8</v>
      </c>
      <c r="P331">
        <v>4</v>
      </c>
      <c r="Q331">
        <v>0</v>
      </c>
      <c r="R331" t="s">
        <v>4557</v>
      </c>
      <c r="S331" t="s">
        <v>4135</v>
      </c>
      <c r="T331" t="s">
        <v>4559</v>
      </c>
      <c r="U331" t="s">
        <v>4655</v>
      </c>
      <c r="V331" s="2">
        <v>0</v>
      </c>
      <c r="W331" t="s">
        <v>4655</v>
      </c>
      <c r="X331" s="2">
        <v>0</v>
      </c>
      <c r="Y331">
        <v>32</v>
      </c>
      <c r="Z331" t="s">
        <v>2705</v>
      </c>
      <c r="AA331" s="3">
        <v>0.13599632680416099</v>
      </c>
      <c r="AB331" t="s">
        <v>3561</v>
      </c>
      <c r="AC331" t="s">
        <v>4562</v>
      </c>
      <c r="AD331" t="s">
        <v>4590</v>
      </c>
      <c r="AE331" t="s">
        <v>4655</v>
      </c>
      <c r="AF331" t="s">
        <v>4563</v>
      </c>
      <c r="AG331" t="s">
        <v>4564</v>
      </c>
      <c r="AH331">
        <v>89503</v>
      </c>
      <c r="AI331" t="s">
        <v>2351</v>
      </c>
      <c r="AJ331" t="s">
        <v>4655</v>
      </c>
      <c r="AK331" t="s">
        <v>7058</v>
      </c>
      <c r="AL331" s="13" t="s">
        <v>2255</v>
      </c>
      <c r="AM331">
        <v>4</v>
      </c>
      <c r="AN331" s="15" t="s">
        <v>4684</v>
      </c>
    </row>
    <row r="332" spans="1:40" x14ac:dyDescent="0.3">
      <c r="A332" s="10" t="str">
        <f>HYPERLINK("http://www.washoecounty.gov/assessor/cama/?parid=004-191-05&amp;CardNumber=1","004-191-05")</f>
        <v>004-191-05</v>
      </c>
      <c r="B332" t="s">
        <v>4655</v>
      </c>
      <c r="C332" t="s">
        <v>7059</v>
      </c>
      <c r="D332" s="1">
        <v>40514</v>
      </c>
      <c r="E332" s="2">
        <v>72500</v>
      </c>
      <c r="F332" t="s">
        <v>4567</v>
      </c>
      <c r="G332" s="17" t="str">
        <f>HYPERLINK("https://www.washoecounty.gov/assessor/cama/?command=sales&amp;parid=00419105","3948908")</f>
        <v>3948908</v>
      </c>
      <c r="H332" t="s">
        <v>1738</v>
      </c>
      <c r="I332">
        <v>1948</v>
      </c>
      <c r="J332">
        <v>1948</v>
      </c>
      <c r="K332" t="s">
        <v>4554</v>
      </c>
      <c r="L332" t="s">
        <v>4555</v>
      </c>
      <c r="M332" s="2">
        <v>701</v>
      </c>
      <c r="N332" t="s">
        <v>4133</v>
      </c>
      <c r="O332">
        <v>2</v>
      </c>
      <c r="P332">
        <v>1</v>
      </c>
      <c r="Q332">
        <v>0</v>
      </c>
      <c r="R332" t="s">
        <v>4134</v>
      </c>
      <c r="S332" t="s">
        <v>4682</v>
      </c>
      <c r="T332" t="s">
        <v>4559</v>
      </c>
      <c r="U332" t="s">
        <v>4560</v>
      </c>
      <c r="V332" s="2">
        <v>264</v>
      </c>
      <c r="W332" t="s">
        <v>4655</v>
      </c>
      <c r="X332" s="2">
        <v>0</v>
      </c>
      <c r="Y332">
        <v>20</v>
      </c>
      <c r="Z332" t="s">
        <v>4686</v>
      </c>
      <c r="AA332" s="3">
        <v>0.14600551128387501</v>
      </c>
      <c r="AB332" t="s">
        <v>616</v>
      </c>
      <c r="AC332" t="s">
        <v>4575</v>
      </c>
      <c r="AD332" t="s">
        <v>5121</v>
      </c>
      <c r="AE332" t="s">
        <v>4655</v>
      </c>
      <c r="AF332" t="s">
        <v>4563</v>
      </c>
      <c r="AG332" t="s">
        <v>4564</v>
      </c>
      <c r="AH332">
        <v>89510</v>
      </c>
      <c r="AI332" t="s">
        <v>7060</v>
      </c>
      <c r="AJ332" t="s">
        <v>4655</v>
      </c>
      <c r="AK332" t="s">
        <v>7061</v>
      </c>
      <c r="AL332" s="13" t="s">
        <v>2257</v>
      </c>
      <c r="AM332">
        <v>1</v>
      </c>
      <c r="AN332" s="15" t="s">
        <v>3577</v>
      </c>
    </row>
    <row r="333" spans="1:40" x14ac:dyDescent="0.3">
      <c r="A333" s="10" t="str">
        <f>HYPERLINK("http://www.washoecounty.gov/assessor/cama/?parid=004-191-17&amp;CardNumber=1","004-191-17")</f>
        <v>004-191-17</v>
      </c>
      <c r="B333" t="s">
        <v>4655</v>
      </c>
      <c r="C333" t="s">
        <v>1051</v>
      </c>
      <c r="D333" s="1">
        <v>40497</v>
      </c>
      <c r="E333" s="2">
        <v>72261</v>
      </c>
      <c r="F333" t="s">
        <v>4567</v>
      </c>
      <c r="G333" s="17" t="str">
        <f>HYPERLINK("https://www.washoecounty.gov/assessor/cama/?command=sales&amp;parid=00419117","3943072")</f>
        <v>3943072</v>
      </c>
      <c r="H333" t="s">
        <v>1738</v>
      </c>
      <c r="I333">
        <v>1948</v>
      </c>
      <c r="J333">
        <v>1948</v>
      </c>
      <c r="K333" t="s">
        <v>4554</v>
      </c>
      <c r="L333" t="s">
        <v>4555</v>
      </c>
      <c r="M333" s="2">
        <v>1181</v>
      </c>
      <c r="N333" t="s">
        <v>4133</v>
      </c>
      <c r="O333">
        <v>3</v>
      </c>
      <c r="P333">
        <v>2</v>
      </c>
      <c r="Q333">
        <v>0</v>
      </c>
      <c r="R333" t="s">
        <v>4557</v>
      </c>
      <c r="S333" t="s">
        <v>3148</v>
      </c>
      <c r="T333" t="s">
        <v>4559</v>
      </c>
      <c r="U333" t="s">
        <v>4655</v>
      </c>
      <c r="V333" s="2">
        <v>0</v>
      </c>
      <c r="W333" t="s">
        <v>4655</v>
      </c>
      <c r="X333" s="2">
        <v>0</v>
      </c>
      <c r="Y333">
        <v>20</v>
      </c>
      <c r="Z333" t="s">
        <v>4686</v>
      </c>
      <c r="AA333" s="3">
        <v>0.20399449765682201</v>
      </c>
      <c r="AB333" t="s">
        <v>1052</v>
      </c>
      <c r="AC333" t="s">
        <v>4562</v>
      </c>
      <c r="AD333" t="s">
        <v>663</v>
      </c>
      <c r="AE333" t="s">
        <v>4655</v>
      </c>
      <c r="AF333" t="s">
        <v>2609</v>
      </c>
      <c r="AG333" t="s">
        <v>4584</v>
      </c>
      <c r="AH333">
        <v>95015</v>
      </c>
      <c r="AI333" t="s">
        <v>7062</v>
      </c>
      <c r="AJ333" t="s">
        <v>4655</v>
      </c>
      <c r="AK333" t="s">
        <v>1053</v>
      </c>
      <c r="AL333" s="13" t="s">
        <v>2257</v>
      </c>
      <c r="AM333">
        <v>1</v>
      </c>
      <c r="AN333" s="15" t="s">
        <v>3577</v>
      </c>
    </row>
    <row r="334" spans="1:40" x14ac:dyDescent="0.3">
      <c r="A334" s="10" t="str">
        <f>HYPERLINK("http://www.washoecounty.gov/assessor/cama/?parid=004-192-05&amp;CardNumber=1","004-192-05")</f>
        <v>004-192-05</v>
      </c>
      <c r="B334" t="s">
        <v>4655</v>
      </c>
      <c r="C334" t="s">
        <v>7063</v>
      </c>
      <c r="D334" s="1">
        <v>40521</v>
      </c>
      <c r="E334" s="2">
        <v>42000</v>
      </c>
      <c r="F334" t="s">
        <v>4553</v>
      </c>
      <c r="G334" s="17" t="str">
        <f>HYPERLINK("https://www.washoecounty.gov/assessor/cama/?command=sales&amp;parid=00419205","3951730")</f>
        <v>3951730</v>
      </c>
      <c r="H334" t="s">
        <v>1738</v>
      </c>
      <c r="I334">
        <v>1948</v>
      </c>
      <c r="J334">
        <v>1948</v>
      </c>
      <c r="K334" t="s">
        <v>4554</v>
      </c>
      <c r="L334" t="s">
        <v>4555</v>
      </c>
      <c r="M334" s="2">
        <v>701</v>
      </c>
      <c r="N334" t="s">
        <v>4133</v>
      </c>
      <c r="O334">
        <v>2</v>
      </c>
      <c r="P334">
        <v>1</v>
      </c>
      <c r="Q334">
        <v>0</v>
      </c>
      <c r="R334" t="s">
        <v>4134</v>
      </c>
      <c r="S334" t="s">
        <v>4574</v>
      </c>
      <c r="T334" t="s">
        <v>4559</v>
      </c>
      <c r="U334" t="s">
        <v>4655</v>
      </c>
      <c r="V334" s="2">
        <v>0</v>
      </c>
      <c r="W334" t="s">
        <v>4655</v>
      </c>
      <c r="X334" s="2">
        <v>0</v>
      </c>
      <c r="Y334">
        <v>20</v>
      </c>
      <c r="Z334" t="s">
        <v>4686</v>
      </c>
      <c r="AA334" s="3">
        <v>0.15500459074974099</v>
      </c>
      <c r="AB334" t="s">
        <v>7064</v>
      </c>
      <c r="AC334" t="s">
        <v>4562</v>
      </c>
      <c r="AD334" t="s">
        <v>5121</v>
      </c>
      <c r="AE334" t="s">
        <v>4655</v>
      </c>
      <c r="AF334" t="s">
        <v>4563</v>
      </c>
      <c r="AG334" t="s">
        <v>4564</v>
      </c>
      <c r="AH334">
        <v>89510</v>
      </c>
      <c r="AI334" t="s">
        <v>4655</v>
      </c>
      <c r="AJ334" t="s">
        <v>4655</v>
      </c>
      <c r="AK334" t="s">
        <v>7065</v>
      </c>
      <c r="AL334" s="13" t="s">
        <v>2257</v>
      </c>
      <c r="AM334">
        <v>1</v>
      </c>
      <c r="AN334" s="15" t="s">
        <v>3577</v>
      </c>
    </row>
    <row r="335" spans="1:40" x14ac:dyDescent="0.3">
      <c r="A335" s="10" t="str">
        <f>HYPERLINK("http://www.washoecounty.gov/assessor/cama/?parid=004-193-04&amp;CardNumber=1","004-193-04")</f>
        <v>004-193-04</v>
      </c>
      <c r="B335" t="s">
        <v>4655</v>
      </c>
      <c r="C335" t="s">
        <v>7066</v>
      </c>
      <c r="D335" s="1">
        <v>40457</v>
      </c>
      <c r="E335" s="2">
        <v>96000</v>
      </c>
      <c r="F335" t="s">
        <v>4553</v>
      </c>
      <c r="G335" s="17" t="str">
        <f>HYPERLINK("https://www.washoecounty.gov/assessor/cama/?command=sales&amp;parid=00419304","3930179")</f>
        <v>3930179</v>
      </c>
      <c r="H335" t="s">
        <v>1738</v>
      </c>
      <c r="I335">
        <v>1948</v>
      </c>
      <c r="J335">
        <v>1948</v>
      </c>
      <c r="K335" t="s">
        <v>4554</v>
      </c>
      <c r="L335" t="s">
        <v>4555</v>
      </c>
      <c r="M335" s="2">
        <v>701</v>
      </c>
      <c r="N335" t="s">
        <v>4133</v>
      </c>
      <c r="O335">
        <v>2</v>
      </c>
      <c r="P335">
        <v>1</v>
      </c>
      <c r="Q335">
        <v>0</v>
      </c>
      <c r="R335" t="s">
        <v>4134</v>
      </c>
      <c r="S335" t="s">
        <v>4135</v>
      </c>
      <c r="T335" t="s">
        <v>4559</v>
      </c>
      <c r="U335" t="s">
        <v>4655</v>
      </c>
      <c r="V335" s="2">
        <v>0</v>
      </c>
      <c r="W335" t="s">
        <v>4655</v>
      </c>
      <c r="X335" s="2">
        <v>0</v>
      </c>
      <c r="Y335">
        <v>20</v>
      </c>
      <c r="Z335" t="s">
        <v>4686</v>
      </c>
      <c r="AA335" s="3">
        <v>0.21999540925025901</v>
      </c>
      <c r="AB335" t="s">
        <v>7067</v>
      </c>
      <c r="AC335" t="s">
        <v>4562</v>
      </c>
      <c r="AD335" t="s">
        <v>7066</v>
      </c>
      <c r="AE335" t="s">
        <v>4655</v>
      </c>
      <c r="AF335" t="s">
        <v>4563</v>
      </c>
      <c r="AG335" t="s">
        <v>4564</v>
      </c>
      <c r="AH335">
        <v>89512</v>
      </c>
      <c r="AI335" t="s">
        <v>5359</v>
      </c>
      <c r="AJ335" t="s">
        <v>4655</v>
      </c>
      <c r="AK335" t="s">
        <v>7068</v>
      </c>
      <c r="AL335" s="13" t="s">
        <v>2257</v>
      </c>
      <c r="AM335" s="14">
        <v>1</v>
      </c>
      <c r="AN335" s="15" t="s">
        <v>3577</v>
      </c>
    </row>
    <row r="336" spans="1:40" x14ac:dyDescent="0.3">
      <c r="A336" s="10" t="str">
        <f>HYPERLINK("http://www.washoecounty.gov/assessor/cama/?parid=004-193-05&amp;CardNumber=1","004-193-05")</f>
        <v>004-193-05</v>
      </c>
      <c r="B336" t="s">
        <v>4655</v>
      </c>
      <c r="C336" t="s">
        <v>7069</v>
      </c>
      <c r="D336" s="1">
        <v>40326</v>
      </c>
      <c r="E336" s="2">
        <v>57000</v>
      </c>
      <c r="F336" t="s">
        <v>4553</v>
      </c>
      <c r="G336" s="17" t="str">
        <f>HYPERLINK("https://www.washoecounty.gov/assessor/cama/?command=sales&amp;parid=00419305","3886302")</f>
        <v>3886302</v>
      </c>
      <c r="H336" t="s">
        <v>1738</v>
      </c>
      <c r="I336">
        <v>1948</v>
      </c>
      <c r="J336">
        <v>1948</v>
      </c>
      <c r="K336" t="s">
        <v>4554</v>
      </c>
      <c r="L336" t="s">
        <v>4555</v>
      </c>
      <c r="M336" s="2">
        <v>701</v>
      </c>
      <c r="N336" t="s">
        <v>4133</v>
      </c>
      <c r="O336">
        <v>2</v>
      </c>
      <c r="P336">
        <v>1</v>
      </c>
      <c r="Q336">
        <v>0</v>
      </c>
      <c r="R336" t="s">
        <v>4134</v>
      </c>
      <c r="S336" t="s">
        <v>4135</v>
      </c>
      <c r="T336" t="s">
        <v>4559</v>
      </c>
      <c r="U336" t="s">
        <v>4655</v>
      </c>
      <c r="V336" s="2">
        <v>0</v>
      </c>
      <c r="W336" t="s">
        <v>4655</v>
      </c>
      <c r="X336" s="2">
        <v>0</v>
      </c>
      <c r="Y336">
        <v>20</v>
      </c>
      <c r="Z336" t="s">
        <v>4686</v>
      </c>
      <c r="AA336" s="3">
        <v>0.19400826096534701</v>
      </c>
      <c r="AB336" t="s">
        <v>7070</v>
      </c>
      <c r="AC336" t="s">
        <v>4562</v>
      </c>
      <c r="AD336" t="s">
        <v>7071</v>
      </c>
      <c r="AE336" t="s">
        <v>7072</v>
      </c>
      <c r="AF336" t="s">
        <v>4563</v>
      </c>
      <c r="AG336" t="s">
        <v>4564</v>
      </c>
      <c r="AH336">
        <v>89501</v>
      </c>
      <c r="AI336" t="s">
        <v>7073</v>
      </c>
      <c r="AJ336" t="s">
        <v>4655</v>
      </c>
      <c r="AK336" t="s">
        <v>7074</v>
      </c>
      <c r="AL336" s="13" t="s">
        <v>2257</v>
      </c>
      <c r="AM336" s="14">
        <v>1</v>
      </c>
      <c r="AN336" s="15" t="s">
        <v>3577</v>
      </c>
    </row>
    <row r="337" spans="1:40" x14ac:dyDescent="0.3">
      <c r="A337" s="10" t="str">
        <f>HYPERLINK("http://www.washoecounty.gov/assessor/cama/?parid=004-193-10&amp;CardNumber=1","004-193-10")</f>
        <v>004-193-10</v>
      </c>
      <c r="B337" t="s">
        <v>4655</v>
      </c>
      <c r="C337" t="s">
        <v>7075</v>
      </c>
      <c r="D337" s="1">
        <v>40228</v>
      </c>
      <c r="E337" s="2">
        <v>60000</v>
      </c>
      <c r="F337" t="s">
        <v>4553</v>
      </c>
      <c r="G337" s="17" t="str">
        <f>HYPERLINK("https://www.washoecounty.gov/assessor/cama/?command=sales&amp;parid=00419310","3850972")</f>
        <v>3850972</v>
      </c>
      <c r="H337" t="s">
        <v>1738</v>
      </c>
      <c r="I337">
        <v>1948</v>
      </c>
      <c r="J337">
        <v>1948</v>
      </c>
      <c r="K337" t="s">
        <v>4554</v>
      </c>
      <c r="L337" t="s">
        <v>4555</v>
      </c>
      <c r="M337" s="2">
        <v>725</v>
      </c>
      <c r="N337" t="s">
        <v>4133</v>
      </c>
      <c r="O337">
        <v>2</v>
      </c>
      <c r="P337">
        <v>1</v>
      </c>
      <c r="Q337">
        <v>1</v>
      </c>
      <c r="R337" t="s">
        <v>4557</v>
      </c>
      <c r="S337" t="s">
        <v>4135</v>
      </c>
      <c r="T337" t="s">
        <v>4559</v>
      </c>
      <c r="U337" t="s">
        <v>4655</v>
      </c>
      <c r="V337" s="2">
        <v>0</v>
      </c>
      <c r="W337" t="s">
        <v>3149</v>
      </c>
      <c r="X337" s="2">
        <v>322</v>
      </c>
      <c r="Y337">
        <v>20</v>
      </c>
      <c r="Z337" t="s">
        <v>4686</v>
      </c>
      <c r="AA337" s="3">
        <v>0.20101010799408001</v>
      </c>
      <c r="AB337" t="s">
        <v>7076</v>
      </c>
      <c r="AC337" t="s">
        <v>4562</v>
      </c>
      <c r="AD337" t="s">
        <v>7075</v>
      </c>
      <c r="AE337" t="s">
        <v>4655</v>
      </c>
      <c r="AF337" t="s">
        <v>4563</v>
      </c>
      <c r="AG337" t="s">
        <v>4564</v>
      </c>
      <c r="AH337">
        <v>89512</v>
      </c>
      <c r="AI337" t="s">
        <v>4903</v>
      </c>
      <c r="AJ337" t="s">
        <v>4655</v>
      </c>
      <c r="AK337" t="s">
        <v>7077</v>
      </c>
      <c r="AL337" s="13" t="s">
        <v>2257</v>
      </c>
      <c r="AM337">
        <v>1</v>
      </c>
      <c r="AN337" s="15" t="s">
        <v>3577</v>
      </c>
    </row>
    <row r="338" spans="1:40" x14ac:dyDescent="0.3">
      <c r="A338" s="10" t="str">
        <f>HYPERLINK("http://www.washoecounty.gov/assessor/cama/?parid=004-193-13&amp;CardNumber=1","004-193-13")</f>
        <v>004-193-13</v>
      </c>
      <c r="B338" t="s">
        <v>4655</v>
      </c>
      <c r="C338" t="s">
        <v>7078</v>
      </c>
      <c r="D338" s="1">
        <v>40245</v>
      </c>
      <c r="E338" s="2">
        <v>64000</v>
      </c>
      <c r="F338" t="s">
        <v>4567</v>
      </c>
      <c r="G338" s="17" t="str">
        <f>HYPERLINK("https://www.washoecounty.gov/assessor/cama/?command=sales&amp;parid=00419313","3857122")</f>
        <v>3857122</v>
      </c>
      <c r="H338" t="s">
        <v>1738</v>
      </c>
      <c r="I338">
        <v>1948</v>
      </c>
      <c r="J338">
        <v>1948</v>
      </c>
      <c r="K338" t="s">
        <v>4554</v>
      </c>
      <c r="L338" t="s">
        <v>4555</v>
      </c>
      <c r="M338" s="2">
        <v>696</v>
      </c>
      <c r="N338" t="s">
        <v>4133</v>
      </c>
      <c r="O338">
        <v>3</v>
      </c>
      <c r="P338">
        <v>1</v>
      </c>
      <c r="Q338">
        <v>0</v>
      </c>
      <c r="R338" t="s">
        <v>4134</v>
      </c>
      <c r="S338" t="s">
        <v>4558</v>
      </c>
      <c r="T338" t="s">
        <v>4559</v>
      </c>
      <c r="U338" t="s">
        <v>4655</v>
      </c>
      <c r="V338" s="2">
        <v>0</v>
      </c>
      <c r="W338" t="s">
        <v>4655</v>
      </c>
      <c r="X338" s="2">
        <v>0</v>
      </c>
      <c r="Y338">
        <v>20</v>
      </c>
      <c r="Z338" t="s">
        <v>4686</v>
      </c>
      <c r="AA338" s="3">
        <v>0.20399449765682201</v>
      </c>
      <c r="AB338" t="s">
        <v>7079</v>
      </c>
      <c r="AC338" t="s">
        <v>4562</v>
      </c>
      <c r="AD338" t="s">
        <v>7078</v>
      </c>
      <c r="AE338" t="s">
        <v>4655</v>
      </c>
      <c r="AF338" t="s">
        <v>4563</v>
      </c>
      <c r="AG338" t="s">
        <v>4564</v>
      </c>
      <c r="AH338">
        <v>89512</v>
      </c>
      <c r="AI338" t="s">
        <v>7080</v>
      </c>
      <c r="AJ338" t="s">
        <v>4655</v>
      </c>
      <c r="AK338" t="s">
        <v>7081</v>
      </c>
      <c r="AL338" s="13" t="s">
        <v>2257</v>
      </c>
      <c r="AM338" s="14">
        <v>1</v>
      </c>
      <c r="AN338" s="15" t="s">
        <v>3577</v>
      </c>
    </row>
    <row r="339" spans="1:40" x14ac:dyDescent="0.3">
      <c r="A339" s="10" t="str">
        <f>HYPERLINK("http://www.washoecounty.gov/assessor/cama/?parid=004-194-33&amp;CardNumber=1","004-194-33")</f>
        <v>004-194-33</v>
      </c>
      <c r="B339" t="s">
        <v>4655</v>
      </c>
      <c r="C339" t="s">
        <v>7082</v>
      </c>
      <c r="D339" s="1">
        <v>40421</v>
      </c>
      <c r="E339" s="2">
        <v>64900</v>
      </c>
      <c r="F339" t="s">
        <v>4553</v>
      </c>
      <c r="G339" s="17" t="str">
        <f>HYPERLINK("https://www.washoecounty.gov/assessor/cama/?command=sales&amp;parid=00419433","3917167")</f>
        <v>3917167</v>
      </c>
      <c r="H339" t="s">
        <v>1738</v>
      </c>
      <c r="I339">
        <v>1948</v>
      </c>
      <c r="J339">
        <v>1948</v>
      </c>
      <c r="K339" t="s">
        <v>4554</v>
      </c>
      <c r="L339" t="s">
        <v>4555</v>
      </c>
      <c r="M339" s="2">
        <v>751</v>
      </c>
      <c r="N339" t="s">
        <v>4133</v>
      </c>
      <c r="O339">
        <v>2</v>
      </c>
      <c r="P339">
        <v>1</v>
      </c>
      <c r="Q339">
        <v>0</v>
      </c>
      <c r="R339" t="s">
        <v>4557</v>
      </c>
      <c r="S339" t="s">
        <v>4135</v>
      </c>
      <c r="T339" t="s">
        <v>4559</v>
      </c>
      <c r="U339" t="s">
        <v>4560</v>
      </c>
      <c r="V339" s="2">
        <v>264</v>
      </c>
      <c r="W339" t="s">
        <v>4655</v>
      </c>
      <c r="X339" s="2">
        <v>0</v>
      </c>
      <c r="Y339">
        <v>20</v>
      </c>
      <c r="Z339" t="s">
        <v>4686</v>
      </c>
      <c r="AA339" s="3">
        <v>0.14201101660728499</v>
      </c>
      <c r="AB339" t="s">
        <v>7083</v>
      </c>
      <c r="AC339" t="s">
        <v>4562</v>
      </c>
      <c r="AD339" t="s">
        <v>7084</v>
      </c>
      <c r="AE339" t="s">
        <v>4655</v>
      </c>
      <c r="AF339" t="s">
        <v>4563</v>
      </c>
      <c r="AG339" t="s">
        <v>4564</v>
      </c>
      <c r="AH339">
        <v>89503</v>
      </c>
      <c r="AI339" t="s">
        <v>4903</v>
      </c>
      <c r="AJ339" t="s">
        <v>4655</v>
      </c>
      <c r="AK339" t="s">
        <v>7085</v>
      </c>
      <c r="AL339" s="13" t="s">
        <v>2257</v>
      </c>
      <c r="AM339">
        <v>1</v>
      </c>
      <c r="AN339" s="15" t="s">
        <v>3577</v>
      </c>
    </row>
    <row r="340" spans="1:40" x14ac:dyDescent="0.3">
      <c r="A340" s="10" t="str">
        <f>HYPERLINK("http://www.washoecounty.gov/assessor/cama/?parid=004-231-01&amp;CardNumber=1","004-231-01")</f>
        <v>004-231-01</v>
      </c>
      <c r="B340" t="s">
        <v>4655</v>
      </c>
      <c r="C340" t="s">
        <v>7086</v>
      </c>
      <c r="D340" s="1">
        <v>40297</v>
      </c>
      <c r="E340" s="2">
        <v>93000</v>
      </c>
      <c r="F340" t="s">
        <v>4567</v>
      </c>
      <c r="G340" s="17" t="str">
        <f>HYPERLINK("https://www.washoecounty.gov/assessor/cama/?command=sales&amp;parid=00423101","3876173")</f>
        <v>3876173</v>
      </c>
      <c r="H340" t="s">
        <v>4671</v>
      </c>
      <c r="I340">
        <v>1953</v>
      </c>
      <c r="J340">
        <v>1953</v>
      </c>
      <c r="K340" t="s">
        <v>4554</v>
      </c>
      <c r="L340" t="s">
        <v>4555</v>
      </c>
      <c r="M340" s="2">
        <v>973</v>
      </c>
      <c r="N340" t="s">
        <v>4672</v>
      </c>
      <c r="O340">
        <v>4</v>
      </c>
      <c r="P340">
        <v>1</v>
      </c>
      <c r="Q340">
        <v>0</v>
      </c>
      <c r="R340" t="s">
        <v>4134</v>
      </c>
      <c r="S340" t="s">
        <v>4574</v>
      </c>
      <c r="T340" t="s">
        <v>4899</v>
      </c>
      <c r="U340" t="s">
        <v>4655</v>
      </c>
      <c r="V340" s="2">
        <v>0</v>
      </c>
      <c r="W340" t="s">
        <v>4655</v>
      </c>
      <c r="X340" s="2">
        <v>0</v>
      </c>
      <c r="Y340">
        <v>20</v>
      </c>
      <c r="Z340" t="s">
        <v>4561</v>
      </c>
      <c r="AA340" s="3">
        <v>0.14201101660728499</v>
      </c>
      <c r="AB340" t="s">
        <v>7087</v>
      </c>
      <c r="AC340" t="s">
        <v>4575</v>
      </c>
      <c r="AD340" t="s">
        <v>7088</v>
      </c>
      <c r="AE340" t="s">
        <v>4655</v>
      </c>
      <c r="AF340" t="s">
        <v>4563</v>
      </c>
      <c r="AG340" t="s">
        <v>4564</v>
      </c>
      <c r="AH340">
        <v>89512</v>
      </c>
      <c r="AI340" t="s">
        <v>7089</v>
      </c>
      <c r="AJ340" t="s">
        <v>4655</v>
      </c>
      <c r="AK340" t="s">
        <v>7090</v>
      </c>
      <c r="AL340" s="13" t="s">
        <v>2255</v>
      </c>
      <c r="AM340">
        <v>1</v>
      </c>
      <c r="AN340" s="15" t="s">
        <v>4136</v>
      </c>
    </row>
    <row r="341" spans="1:40" x14ac:dyDescent="0.3">
      <c r="A341" s="10" t="str">
        <f>HYPERLINK("http://www.washoecounty.gov/assessor/cama/?parid=004-234-01&amp;CardNumber=1","004-234-01")</f>
        <v>004-234-01</v>
      </c>
      <c r="B341" t="s">
        <v>4655</v>
      </c>
      <c r="C341" t="s">
        <v>7091</v>
      </c>
      <c r="D341" s="1">
        <v>40280</v>
      </c>
      <c r="E341" s="2">
        <v>71500</v>
      </c>
      <c r="F341" t="s">
        <v>4553</v>
      </c>
      <c r="G341" s="17" t="str">
        <f>HYPERLINK("https://www.washoecounty.gov/assessor/cama/?command=sales&amp;parid=00423401","3869762")</f>
        <v>3869762</v>
      </c>
      <c r="H341" t="s">
        <v>4671</v>
      </c>
      <c r="I341">
        <v>1961</v>
      </c>
      <c r="J341">
        <v>1961</v>
      </c>
      <c r="K341" t="s">
        <v>4554</v>
      </c>
      <c r="L341" t="s">
        <v>4555</v>
      </c>
      <c r="M341" s="2">
        <v>1064</v>
      </c>
      <c r="N341" t="s">
        <v>4133</v>
      </c>
      <c r="O341">
        <v>3</v>
      </c>
      <c r="P341">
        <v>2</v>
      </c>
      <c r="Q341">
        <v>0</v>
      </c>
      <c r="R341" t="s">
        <v>4557</v>
      </c>
      <c r="S341" t="s">
        <v>4574</v>
      </c>
      <c r="T341" t="s">
        <v>1101</v>
      </c>
      <c r="U341" t="s">
        <v>4655</v>
      </c>
      <c r="V341" s="2">
        <v>0</v>
      </c>
      <c r="W341" t="s">
        <v>4655</v>
      </c>
      <c r="X341" s="2">
        <v>0</v>
      </c>
      <c r="Y341">
        <v>20</v>
      </c>
      <c r="Z341" t="s">
        <v>4561</v>
      </c>
      <c r="AA341" s="3">
        <v>0.169995412230492</v>
      </c>
      <c r="AB341" t="s">
        <v>4673</v>
      </c>
      <c r="AC341" t="s">
        <v>4562</v>
      </c>
      <c r="AD341" t="s">
        <v>3093</v>
      </c>
      <c r="AE341" t="s">
        <v>4655</v>
      </c>
      <c r="AF341" t="s">
        <v>4563</v>
      </c>
      <c r="AG341" t="s">
        <v>4564</v>
      </c>
      <c r="AH341">
        <v>89512</v>
      </c>
      <c r="AI341" t="s">
        <v>4045</v>
      </c>
      <c r="AJ341" t="s">
        <v>4655</v>
      </c>
      <c r="AK341" t="s">
        <v>7092</v>
      </c>
      <c r="AL341" s="13" t="s">
        <v>2255</v>
      </c>
      <c r="AM341">
        <v>1</v>
      </c>
      <c r="AN341" s="15" t="s">
        <v>4136</v>
      </c>
    </row>
    <row r="342" spans="1:40" x14ac:dyDescent="0.3">
      <c r="A342" s="10" t="str">
        <f>HYPERLINK("http://www.washoecounty.gov/assessor/cama/?parid=004-242-04&amp;CardNumber=1","004-242-04")</f>
        <v>004-242-04</v>
      </c>
      <c r="B342" t="s">
        <v>4655</v>
      </c>
      <c r="C342" t="s">
        <v>7093</v>
      </c>
      <c r="D342" s="1">
        <v>40511</v>
      </c>
      <c r="E342" s="2">
        <v>40000</v>
      </c>
      <c r="F342" t="s">
        <v>4567</v>
      </c>
      <c r="G342" s="17" t="str">
        <f>HYPERLINK("https://www.washoecounty.gov/assessor/cama/?command=sales&amp;parid=00424204","3947247")</f>
        <v>3947247</v>
      </c>
      <c r="H342" t="s">
        <v>4671</v>
      </c>
      <c r="I342">
        <v>1955</v>
      </c>
      <c r="J342">
        <v>1963</v>
      </c>
      <c r="K342" t="s">
        <v>4554</v>
      </c>
      <c r="L342" t="s">
        <v>4555</v>
      </c>
      <c r="M342" s="2">
        <v>2070</v>
      </c>
      <c r="N342" t="s">
        <v>4133</v>
      </c>
      <c r="O342">
        <v>3</v>
      </c>
      <c r="P342">
        <v>3</v>
      </c>
      <c r="Q342">
        <v>0</v>
      </c>
      <c r="R342" t="s">
        <v>4557</v>
      </c>
      <c r="S342" t="s">
        <v>4574</v>
      </c>
      <c r="T342" t="s">
        <v>4559</v>
      </c>
      <c r="U342" t="s">
        <v>4655</v>
      </c>
      <c r="V342" s="2">
        <v>0</v>
      </c>
      <c r="W342" t="s">
        <v>4655</v>
      </c>
      <c r="X342" s="2">
        <v>0</v>
      </c>
      <c r="Y342">
        <v>20</v>
      </c>
      <c r="Z342" t="s">
        <v>4561</v>
      </c>
      <c r="AA342" s="3">
        <v>0.25199723243713379</v>
      </c>
      <c r="AB342" t="s">
        <v>7094</v>
      </c>
      <c r="AC342" t="s">
        <v>4562</v>
      </c>
      <c r="AD342" t="s">
        <v>7095</v>
      </c>
      <c r="AE342" t="s">
        <v>4655</v>
      </c>
      <c r="AF342" t="s">
        <v>4563</v>
      </c>
      <c r="AG342" t="s">
        <v>4564</v>
      </c>
      <c r="AH342">
        <v>89503</v>
      </c>
      <c r="AI342" t="s">
        <v>7096</v>
      </c>
      <c r="AJ342" t="s">
        <v>4655</v>
      </c>
      <c r="AK342" t="s">
        <v>7097</v>
      </c>
      <c r="AL342" s="13" t="s">
        <v>2255</v>
      </c>
      <c r="AM342">
        <v>1</v>
      </c>
      <c r="AN342" s="15" t="s">
        <v>4136</v>
      </c>
    </row>
    <row r="343" spans="1:40" x14ac:dyDescent="0.3">
      <c r="A343" s="10" t="str">
        <f>HYPERLINK("http://www.washoecounty.gov/assessor/cama/?parid=004-242-12&amp;CardNumber=1","004-242-12")</f>
        <v>004-242-12</v>
      </c>
      <c r="B343" t="s">
        <v>4655</v>
      </c>
      <c r="C343" t="s">
        <v>7098</v>
      </c>
      <c r="D343" s="1">
        <v>40499</v>
      </c>
      <c r="E343" s="2">
        <v>58000</v>
      </c>
      <c r="F343" t="s">
        <v>4553</v>
      </c>
      <c r="G343" s="17" t="str">
        <f>HYPERLINK("https://www.washoecounty.gov/assessor/cama/?command=sales&amp;parid=00424212","3943781")</f>
        <v>3943781</v>
      </c>
      <c r="H343" t="s">
        <v>4671</v>
      </c>
      <c r="I343">
        <v>1956</v>
      </c>
      <c r="J343">
        <v>1956</v>
      </c>
      <c r="K343" t="s">
        <v>4554</v>
      </c>
      <c r="L343" t="s">
        <v>4555</v>
      </c>
      <c r="M343" s="2">
        <v>1042</v>
      </c>
      <c r="N343" t="s">
        <v>4133</v>
      </c>
      <c r="O343">
        <v>3</v>
      </c>
      <c r="P343">
        <v>2</v>
      </c>
      <c r="Q343">
        <v>0</v>
      </c>
      <c r="R343" t="s">
        <v>4557</v>
      </c>
      <c r="S343" t="s">
        <v>4558</v>
      </c>
      <c r="T343" t="s">
        <v>4559</v>
      </c>
      <c r="U343" t="s">
        <v>4655</v>
      </c>
      <c r="V343" s="2">
        <v>0</v>
      </c>
      <c r="W343" t="s">
        <v>4655</v>
      </c>
      <c r="X343" s="2">
        <v>0</v>
      </c>
      <c r="Y343">
        <v>20</v>
      </c>
      <c r="Z343" t="s">
        <v>4561</v>
      </c>
      <c r="AA343" s="3">
        <v>0.18799357116222401</v>
      </c>
      <c r="AB343" t="s">
        <v>7099</v>
      </c>
      <c r="AC343" t="s">
        <v>4575</v>
      </c>
      <c r="AD343" t="s">
        <v>7100</v>
      </c>
      <c r="AE343" t="s">
        <v>4655</v>
      </c>
      <c r="AF343" t="s">
        <v>4563</v>
      </c>
      <c r="AG343" t="s">
        <v>4564</v>
      </c>
      <c r="AH343">
        <v>89512</v>
      </c>
      <c r="AI343" t="s">
        <v>4045</v>
      </c>
      <c r="AJ343" t="s">
        <v>4655</v>
      </c>
      <c r="AK343" t="s">
        <v>7101</v>
      </c>
      <c r="AL343" s="13" t="s">
        <v>2255</v>
      </c>
      <c r="AM343" s="14">
        <v>1</v>
      </c>
      <c r="AN343" s="15" t="s">
        <v>4136</v>
      </c>
    </row>
    <row r="344" spans="1:40" x14ac:dyDescent="0.3">
      <c r="A344" s="10" t="str">
        <f>HYPERLINK("http://www.washoecounty.gov/assessor/cama/?parid=004-242-21&amp;CardNumber=1","004-242-21")</f>
        <v>004-242-21</v>
      </c>
      <c r="B344" t="s">
        <v>4655</v>
      </c>
      <c r="C344" t="s">
        <v>7102</v>
      </c>
      <c r="D344" s="1">
        <v>40225</v>
      </c>
      <c r="E344" s="2">
        <v>98500</v>
      </c>
      <c r="F344" t="s">
        <v>4567</v>
      </c>
      <c r="G344" s="17" t="str">
        <f>HYPERLINK("https://www.washoecounty.gov/assessor/cama/?command=sales&amp;parid=00424221","3849590")</f>
        <v>3849590</v>
      </c>
      <c r="H344" t="s">
        <v>4671</v>
      </c>
      <c r="I344">
        <v>1955</v>
      </c>
      <c r="J344">
        <v>1955</v>
      </c>
      <c r="K344" t="s">
        <v>4554</v>
      </c>
      <c r="L344" t="s">
        <v>4555</v>
      </c>
      <c r="M344" s="2">
        <v>680</v>
      </c>
      <c r="N344" t="s">
        <v>4672</v>
      </c>
      <c r="O344">
        <v>2</v>
      </c>
      <c r="P344">
        <v>1</v>
      </c>
      <c r="Q344">
        <v>0</v>
      </c>
      <c r="R344" t="s">
        <v>4557</v>
      </c>
      <c r="S344" t="s">
        <v>4570</v>
      </c>
      <c r="T344" t="s">
        <v>4559</v>
      </c>
      <c r="U344" t="s">
        <v>4655</v>
      </c>
      <c r="V344" s="2">
        <v>0</v>
      </c>
      <c r="W344" t="s">
        <v>4655</v>
      </c>
      <c r="X344" s="2">
        <v>0</v>
      </c>
      <c r="Y344">
        <v>20</v>
      </c>
      <c r="Z344" t="s">
        <v>4561</v>
      </c>
      <c r="AA344" s="3">
        <v>0.17899449169635773</v>
      </c>
      <c r="AB344" t="s">
        <v>4673</v>
      </c>
      <c r="AC344" t="s">
        <v>4562</v>
      </c>
      <c r="AD344" t="s">
        <v>3093</v>
      </c>
      <c r="AE344" t="s">
        <v>4655</v>
      </c>
      <c r="AF344" t="s">
        <v>4563</v>
      </c>
      <c r="AG344" t="s">
        <v>4564</v>
      </c>
      <c r="AH344">
        <v>89512</v>
      </c>
      <c r="AI344" t="s">
        <v>7103</v>
      </c>
      <c r="AJ344" t="s">
        <v>4655</v>
      </c>
      <c r="AK344" t="s">
        <v>7104</v>
      </c>
      <c r="AL344" s="13" t="s">
        <v>2255</v>
      </c>
      <c r="AM344">
        <v>1</v>
      </c>
      <c r="AN344" s="15" t="s">
        <v>4136</v>
      </c>
    </row>
    <row r="345" spans="1:40" x14ac:dyDescent="0.3">
      <c r="A345" s="10" t="str">
        <f>HYPERLINK("http://www.washoecounty.gov/assessor/cama/?parid=004-242-28&amp;CardNumber=1","004-242-28")</f>
        <v>004-242-28</v>
      </c>
      <c r="B345" t="s">
        <v>4655</v>
      </c>
      <c r="C345" t="s">
        <v>7105</v>
      </c>
      <c r="D345" s="1">
        <v>40252</v>
      </c>
      <c r="E345" s="2">
        <v>103400</v>
      </c>
      <c r="F345" t="s">
        <v>4567</v>
      </c>
      <c r="G345" s="17" t="str">
        <f>HYPERLINK("https://www.washoecounty.gov/assessor/cama/?command=sales&amp;parid=00424228","3859736")</f>
        <v>3859736</v>
      </c>
      <c r="H345" t="s">
        <v>4671</v>
      </c>
      <c r="I345">
        <v>1954</v>
      </c>
      <c r="J345">
        <v>1954</v>
      </c>
      <c r="K345" t="s">
        <v>4554</v>
      </c>
      <c r="L345" t="s">
        <v>4555</v>
      </c>
      <c r="M345" s="2">
        <v>984</v>
      </c>
      <c r="N345" t="s">
        <v>4672</v>
      </c>
      <c r="O345">
        <v>3</v>
      </c>
      <c r="P345">
        <v>1</v>
      </c>
      <c r="Q345">
        <v>0</v>
      </c>
      <c r="R345" t="s">
        <v>4134</v>
      </c>
      <c r="S345" t="s">
        <v>4574</v>
      </c>
      <c r="T345" t="s">
        <v>4899</v>
      </c>
      <c r="U345" t="s">
        <v>4655</v>
      </c>
      <c r="V345" s="2">
        <v>0</v>
      </c>
      <c r="W345" t="s">
        <v>4655</v>
      </c>
      <c r="X345" s="2">
        <v>0</v>
      </c>
      <c r="Y345">
        <v>20</v>
      </c>
      <c r="Z345" t="s">
        <v>4561</v>
      </c>
      <c r="AA345" s="3">
        <v>0.173002749681473</v>
      </c>
      <c r="AB345" t="s">
        <v>7106</v>
      </c>
      <c r="AC345" t="s">
        <v>4562</v>
      </c>
      <c r="AD345" t="s">
        <v>7105</v>
      </c>
      <c r="AE345" t="s">
        <v>4655</v>
      </c>
      <c r="AF345" t="s">
        <v>4563</v>
      </c>
      <c r="AG345" t="s">
        <v>4564</v>
      </c>
      <c r="AH345">
        <v>89512</v>
      </c>
      <c r="AI345" t="s">
        <v>7107</v>
      </c>
      <c r="AJ345" t="s">
        <v>4655</v>
      </c>
      <c r="AK345" t="s">
        <v>7108</v>
      </c>
      <c r="AL345" s="13" t="s">
        <v>2255</v>
      </c>
      <c r="AM345" s="14">
        <v>1</v>
      </c>
      <c r="AN345" s="15" t="s">
        <v>4136</v>
      </c>
    </row>
    <row r="346" spans="1:40" x14ac:dyDescent="0.3">
      <c r="A346" s="10" t="str">
        <f>HYPERLINK("http://www.washoecounty.gov/assessor/cama/?parid=004-243-04&amp;CardNumber=1","004-243-04")</f>
        <v>004-243-04</v>
      </c>
      <c r="B346" t="s">
        <v>4655</v>
      </c>
      <c r="C346" t="s">
        <v>7109</v>
      </c>
      <c r="D346" s="1">
        <v>40345</v>
      </c>
      <c r="E346" s="2">
        <v>82000</v>
      </c>
      <c r="F346" t="s">
        <v>4567</v>
      </c>
      <c r="G346" s="17" t="str">
        <f>HYPERLINK("https://www.washoecounty.gov/assessor/cama/?command=sales&amp;parid=00424304","3892415")</f>
        <v>3892415</v>
      </c>
      <c r="H346" t="s">
        <v>4671</v>
      </c>
      <c r="I346">
        <v>1954</v>
      </c>
      <c r="J346">
        <v>1954</v>
      </c>
      <c r="K346" t="s">
        <v>4554</v>
      </c>
      <c r="L346" t="s">
        <v>4555</v>
      </c>
      <c r="M346" s="2">
        <v>973</v>
      </c>
      <c r="N346" t="s">
        <v>4133</v>
      </c>
      <c r="O346">
        <v>4</v>
      </c>
      <c r="P346">
        <v>1</v>
      </c>
      <c r="Q346">
        <v>0</v>
      </c>
      <c r="R346" t="s">
        <v>4134</v>
      </c>
      <c r="S346" t="s">
        <v>4135</v>
      </c>
      <c r="T346" t="s">
        <v>4559</v>
      </c>
      <c r="U346" t="s">
        <v>4655</v>
      </c>
      <c r="V346" s="2">
        <v>0</v>
      </c>
      <c r="W346" t="s">
        <v>4655</v>
      </c>
      <c r="X346" s="2">
        <v>0</v>
      </c>
      <c r="Y346">
        <v>20</v>
      </c>
      <c r="Z346" t="s">
        <v>4561</v>
      </c>
      <c r="AA346" s="3">
        <v>0.16400367021560699</v>
      </c>
      <c r="AB346" t="s">
        <v>7110</v>
      </c>
      <c r="AC346" t="s">
        <v>4562</v>
      </c>
      <c r="AD346" t="s">
        <v>7111</v>
      </c>
      <c r="AE346" t="s">
        <v>4655</v>
      </c>
      <c r="AF346" t="s">
        <v>4563</v>
      </c>
      <c r="AG346" t="s">
        <v>4564</v>
      </c>
      <c r="AH346">
        <v>89512</v>
      </c>
      <c r="AI346" t="s">
        <v>7112</v>
      </c>
      <c r="AJ346" t="s">
        <v>4655</v>
      </c>
      <c r="AK346" t="s">
        <v>7113</v>
      </c>
      <c r="AL346" s="13" t="s">
        <v>2255</v>
      </c>
      <c r="AM346">
        <v>1</v>
      </c>
      <c r="AN346" s="15" t="s">
        <v>4136</v>
      </c>
    </row>
    <row r="347" spans="1:40" x14ac:dyDescent="0.3">
      <c r="A347" s="10" t="str">
        <f>HYPERLINK("http://www.washoecounty.gov/assessor/cama/?parid=004-243-22&amp;CardNumber=1","004-243-22")</f>
        <v>004-243-22</v>
      </c>
      <c r="B347" t="s">
        <v>4655</v>
      </c>
      <c r="C347" t="s">
        <v>7114</v>
      </c>
      <c r="D347" s="1">
        <v>40382</v>
      </c>
      <c r="E347" s="2">
        <v>85000</v>
      </c>
      <c r="F347" t="s">
        <v>4553</v>
      </c>
      <c r="G347" s="17" t="str">
        <f>HYPERLINK("https://www.washoecounty.gov/assessor/cama/?command=sales&amp;parid=00424322","3904201")</f>
        <v>3904201</v>
      </c>
      <c r="H347" t="s">
        <v>4671</v>
      </c>
      <c r="I347">
        <v>1964</v>
      </c>
      <c r="J347">
        <v>1964</v>
      </c>
      <c r="K347" t="s">
        <v>4554</v>
      </c>
      <c r="L347" t="s">
        <v>4555</v>
      </c>
      <c r="M347" s="2">
        <v>1120</v>
      </c>
      <c r="N347" t="s">
        <v>4556</v>
      </c>
      <c r="O347">
        <v>3</v>
      </c>
      <c r="P347">
        <v>1</v>
      </c>
      <c r="Q347">
        <v>1</v>
      </c>
      <c r="R347" t="s">
        <v>4557</v>
      </c>
      <c r="S347" t="s">
        <v>4558</v>
      </c>
      <c r="T347" t="s">
        <v>4143</v>
      </c>
      <c r="U347" t="s">
        <v>4655</v>
      </c>
      <c r="V347" s="2">
        <v>0</v>
      </c>
      <c r="W347" t="s">
        <v>4655</v>
      </c>
      <c r="X347" s="2">
        <v>0</v>
      </c>
      <c r="Y347">
        <v>31</v>
      </c>
      <c r="Z347" t="s">
        <v>4561</v>
      </c>
      <c r="AA347" s="3">
        <v>0.169995412230492</v>
      </c>
      <c r="AB347" t="s">
        <v>4673</v>
      </c>
      <c r="AC347" t="s">
        <v>4562</v>
      </c>
      <c r="AD347" t="s">
        <v>3093</v>
      </c>
      <c r="AE347" t="s">
        <v>4655</v>
      </c>
      <c r="AF347" t="s">
        <v>4563</v>
      </c>
      <c r="AG347" t="s">
        <v>4564</v>
      </c>
      <c r="AH347">
        <v>89512</v>
      </c>
      <c r="AI347" t="s">
        <v>1602</v>
      </c>
      <c r="AJ347" t="s">
        <v>4655</v>
      </c>
      <c r="AK347" t="s">
        <v>7115</v>
      </c>
      <c r="AL347" s="13" t="s">
        <v>2255</v>
      </c>
      <c r="AM347">
        <v>1</v>
      </c>
      <c r="AN347" s="15" t="s">
        <v>4136</v>
      </c>
    </row>
    <row r="348" spans="1:40" x14ac:dyDescent="0.3">
      <c r="A348" s="10" t="str">
        <f>HYPERLINK("http://www.washoecounty.gov/assessor/cama/?parid=004-252-03&amp;CardNumber=1","004-252-03")</f>
        <v>004-252-03</v>
      </c>
      <c r="B348" t="s">
        <v>4655</v>
      </c>
      <c r="C348" t="s">
        <v>7116</v>
      </c>
      <c r="D348" s="1">
        <v>40520</v>
      </c>
      <c r="E348" s="2">
        <v>46500</v>
      </c>
      <c r="F348" t="s">
        <v>4553</v>
      </c>
      <c r="G348" s="17" t="str">
        <f>HYPERLINK("https://www.washoecounty.gov/assessor/cama/?command=sales&amp;parid=00425203","3951092")</f>
        <v>3951092</v>
      </c>
      <c r="H348" t="s">
        <v>4671</v>
      </c>
      <c r="I348">
        <v>1955</v>
      </c>
      <c r="J348">
        <v>1955</v>
      </c>
      <c r="K348" t="s">
        <v>4554</v>
      </c>
      <c r="L348" t="s">
        <v>4555</v>
      </c>
      <c r="M348" s="2">
        <v>973</v>
      </c>
      <c r="N348" t="s">
        <v>4133</v>
      </c>
      <c r="O348">
        <v>3</v>
      </c>
      <c r="P348">
        <v>1</v>
      </c>
      <c r="Q348">
        <v>0</v>
      </c>
      <c r="R348" t="s">
        <v>4134</v>
      </c>
      <c r="S348" t="s">
        <v>4574</v>
      </c>
      <c r="T348" t="s">
        <v>4559</v>
      </c>
      <c r="U348" t="s">
        <v>4655</v>
      </c>
      <c r="V348" s="2">
        <v>0</v>
      </c>
      <c r="W348" t="s">
        <v>4655</v>
      </c>
      <c r="X348" s="2">
        <v>0</v>
      </c>
      <c r="Y348">
        <v>20</v>
      </c>
      <c r="Z348" t="s">
        <v>4561</v>
      </c>
      <c r="AA348" s="3">
        <v>0.169995412230492</v>
      </c>
      <c r="AB348" t="s">
        <v>7117</v>
      </c>
      <c r="AC348" t="s">
        <v>4575</v>
      </c>
      <c r="AD348" t="s">
        <v>7116</v>
      </c>
      <c r="AE348" t="s">
        <v>4655</v>
      </c>
      <c r="AF348" t="s">
        <v>4563</v>
      </c>
      <c r="AG348" t="s">
        <v>4564</v>
      </c>
      <c r="AH348">
        <v>89512</v>
      </c>
      <c r="AI348" t="s">
        <v>4655</v>
      </c>
      <c r="AJ348" t="s">
        <v>4655</v>
      </c>
      <c r="AK348" t="s">
        <v>7118</v>
      </c>
      <c r="AL348" s="13" t="s">
        <v>2255</v>
      </c>
      <c r="AM348" s="14">
        <v>1</v>
      </c>
      <c r="AN348" s="15" t="s">
        <v>4136</v>
      </c>
    </row>
    <row r="349" spans="1:40" x14ac:dyDescent="0.3">
      <c r="A349" s="10" t="str">
        <f>HYPERLINK("http://www.washoecounty.gov/assessor/cama/?parid=004-252-12&amp;CardNumber=1","004-252-12")</f>
        <v>004-252-12</v>
      </c>
      <c r="B349" t="s">
        <v>4655</v>
      </c>
      <c r="C349" t="s">
        <v>753</v>
      </c>
      <c r="D349" s="1">
        <v>40372</v>
      </c>
      <c r="E349" s="2">
        <v>54000</v>
      </c>
      <c r="F349" t="s">
        <v>4553</v>
      </c>
      <c r="G349" s="17" t="str">
        <f>HYPERLINK("https://www.washoecounty.gov/assessor/cama/?command=sales&amp;parid=00425212","3900748")</f>
        <v>3900748</v>
      </c>
      <c r="H349" t="s">
        <v>4671</v>
      </c>
      <c r="I349">
        <v>1949</v>
      </c>
      <c r="J349">
        <v>1949</v>
      </c>
      <c r="K349" t="s">
        <v>4554</v>
      </c>
      <c r="L349" t="s">
        <v>4555</v>
      </c>
      <c r="M349" s="2">
        <v>648</v>
      </c>
      <c r="N349" t="s">
        <v>4133</v>
      </c>
      <c r="O349">
        <v>2</v>
      </c>
      <c r="P349">
        <v>1</v>
      </c>
      <c r="Q349">
        <v>0</v>
      </c>
      <c r="R349" t="s">
        <v>1800</v>
      </c>
      <c r="S349" t="s">
        <v>364</v>
      </c>
      <c r="T349" t="s">
        <v>4559</v>
      </c>
      <c r="U349" t="s">
        <v>4655</v>
      </c>
      <c r="V349" s="2">
        <v>0</v>
      </c>
      <c r="W349" t="s">
        <v>4655</v>
      </c>
      <c r="X349" s="2">
        <v>0</v>
      </c>
      <c r="Y349">
        <v>20</v>
      </c>
      <c r="Z349" t="s">
        <v>4561</v>
      </c>
      <c r="AA349" s="3">
        <v>0.169995412230492</v>
      </c>
      <c r="AB349" t="s">
        <v>7119</v>
      </c>
      <c r="AC349" t="s">
        <v>4562</v>
      </c>
      <c r="AD349" t="s">
        <v>7120</v>
      </c>
      <c r="AE349" t="s">
        <v>4655</v>
      </c>
      <c r="AF349" t="s">
        <v>4563</v>
      </c>
      <c r="AG349" t="s">
        <v>4564</v>
      </c>
      <c r="AH349">
        <v>89512</v>
      </c>
      <c r="AI349" t="s">
        <v>2351</v>
      </c>
      <c r="AJ349" t="s">
        <v>4655</v>
      </c>
      <c r="AK349" t="s">
        <v>7121</v>
      </c>
      <c r="AL349" s="13" t="s">
        <v>2255</v>
      </c>
      <c r="AM349" s="14">
        <v>1</v>
      </c>
      <c r="AN349" s="15" t="s">
        <v>4136</v>
      </c>
    </row>
    <row r="350" spans="1:40" x14ac:dyDescent="0.3">
      <c r="A350" s="10" t="str">
        <f>HYPERLINK("http://www.washoecounty.gov/assessor/cama/?parid=004-253-02&amp;CardNumber=1","004-253-02")</f>
        <v>004-253-02</v>
      </c>
      <c r="B350" t="s">
        <v>4655</v>
      </c>
      <c r="C350" t="s">
        <v>7122</v>
      </c>
      <c r="D350" s="1">
        <v>40368</v>
      </c>
      <c r="E350" s="2">
        <v>70000</v>
      </c>
      <c r="F350" t="s">
        <v>4567</v>
      </c>
      <c r="G350" s="17" t="str">
        <f>HYPERLINK("https://www.washoecounty.gov/assessor/cama/?command=sales&amp;parid=00425302","3899835")</f>
        <v>3899835</v>
      </c>
      <c r="H350" t="s">
        <v>4671</v>
      </c>
      <c r="I350">
        <v>1955</v>
      </c>
      <c r="J350">
        <v>1955</v>
      </c>
      <c r="K350" t="s">
        <v>4554</v>
      </c>
      <c r="L350" t="s">
        <v>4555</v>
      </c>
      <c r="M350" s="2">
        <v>973</v>
      </c>
      <c r="N350" t="s">
        <v>4672</v>
      </c>
      <c r="O350">
        <v>3</v>
      </c>
      <c r="P350">
        <v>1</v>
      </c>
      <c r="Q350">
        <v>0</v>
      </c>
      <c r="R350" t="s">
        <v>4134</v>
      </c>
      <c r="S350" t="s">
        <v>4574</v>
      </c>
      <c r="T350" t="s">
        <v>4899</v>
      </c>
      <c r="U350" t="s">
        <v>4655</v>
      </c>
      <c r="V350" s="2">
        <v>0</v>
      </c>
      <c r="W350" t="s">
        <v>4655</v>
      </c>
      <c r="X350" s="2">
        <v>0</v>
      </c>
      <c r="Y350">
        <v>20</v>
      </c>
      <c r="Z350" t="s">
        <v>4561</v>
      </c>
      <c r="AA350" s="3">
        <v>0.18298898637294769</v>
      </c>
      <c r="AB350" t="s">
        <v>7123</v>
      </c>
      <c r="AC350" t="s">
        <v>4575</v>
      </c>
      <c r="AD350" t="s">
        <v>7124</v>
      </c>
      <c r="AE350" t="s">
        <v>7125</v>
      </c>
      <c r="AF350" t="s">
        <v>4563</v>
      </c>
      <c r="AG350" t="s">
        <v>4564</v>
      </c>
      <c r="AH350">
        <v>89512</v>
      </c>
      <c r="AI350" t="s">
        <v>7126</v>
      </c>
      <c r="AJ350" t="s">
        <v>4655</v>
      </c>
      <c r="AK350" t="s">
        <v>7127</v>
      </c>
      <c r="AL350" s="13" t="s">
        <v>2255</v>
      </c>
      <c r="AM350" s="14">
        <v>1</v>
      </c>
      <c r="AN350" s="15" t="s">
        <v>4136</v>
      </c>
    </row>
    <row r="351" spans="1:40" x14ac:dyDescent="0.3">
      <c r="A351" s="10" t="str">
        <f>HYPERLINK("http://www.washoecounty.gov/assessor/cama/?parid=004-253-17&amp;CardNumber=1","004-253-17")</f>
        <v>004-253-17</v>
      </c>
      <c r="B351" t="s">
        <v>4655</v>
      </c>
      <c r="C351" t="s">
        <v>7128</v>
      </c>
      <c r="D351" s="1">
        <v>40241</v>
      </c>
      <c r="E351" s="2">
        <v>68000</v>
      </c>
      <c r="F351" t="s">
        <v>4553</v>
      </c>
      <c r="G351" s="17" t="str">
        <f>HYPERLINK("https://www.washoecounty.gov/assessor/cama/?command=sales&amp;parid=00425317","3855970")</f>
        <v>3855970</v>
      </c>
      <c r="H351" t="s">
        <v>4671</v>
      </c>
      <c r="I351">
        <v>1955</v>
      </c>
      <c r="J351">
        <v>1955</v>
      </c>
      <c r="K351" t="s">
        <v>4554</v>
      </c>
      <c r="L351" t="s">
        <v>4555</v>
      </c>
      <c r="M351" s="2">
        <v>1237</v>
      </c>
      <c r="N351" t="s">
        <v>4133</v>
      </c>
      <c r="O351">
        <v>3</v>
      </c>
      <c r="P351">
        <v>1</v>
      </c>
      <c r="Q351">
        <v>0</v>
      </c>
      <c r="R351" t="s">
        <v>4134</v>
      </c>
      <c r="S351" t="s">
        <v>4574</v>
      </c>
      <c r="T351" t="s">
        <v>4899</v>
      </c>
      <c r="U351" t="s">
        <v>4655</v>
      </c>
      <c r="V351" s="2">
        <v>0</v>
      </c>
      <c r="W351" t="s">
        <v>4655</v>
      </c>
      <c r="X351" s="2">
        <v>0</v>
      </c>
      <c r="Y351">
        <v>20</v>
      </c>
      <c r="Z351" t="s">
        <v>4561</v>
      </c>
      <c r="AA351" s="3">
        <v>0.16200642287731201</v>
      </c>
      <c r="AB351" t="s">
        <v>7129</v>
      </c>
      <c r="AC351" t="s">
        <v>4562</v>
      </c>
      <c r="AD351" t="s">
        <v>7130</v>
      </c>
      <c r="AE351" t="s">
        <v>4655</v>
      </c>
      <c r="AF351" t="s">
        <v>4563</v>
      </c>
      <c r="AG351" t="s">
        <v>4564</v>
      </c>
      <c r="AH351">
        <v>89512</v>
      </c>
      <c r="AI351" t="s">
        <v>4903</v>
      </c>
      <c r="AJ351" t="s">
        <v>4655</v>
      </c>
      <c r="AK351" t="s">
        <v>7131</v>
      </c>
      <c r="AL351" s="13" t="s">
        <v>2255</v>
      </c>
      <c r="AM351">
        <v>1</v>
      </c>
      <c r="AN351" s="15" t="s">
        <v>4136</v>
      </c>
    </row>
    <row r="352" spans="1:40" x14ac:dyDescent="0.3">
      <c r="A352" s="10" t="str">
        <f>HYPERLINK("http://www.washoecounty.gov/assessor/cama/?parid=004-255-19&amp;CardNumber=1","004-255-19")</f>
        <v>004-255-19</v>
      </c>
      <c r="B352" t="s">
        <v>4655</v>
      </c>
      <c r="C352" t="s">
        <v>7132</v>
      </c>
      <c r="D352" s="1">
        <v>40449</v>
      </c>
      <c r="E352" s="2">
        <v>85000</v>
      </c>
      <c r="F352" t="s">
        <v>4567</v>
      </c>
      <c r="G352" s="17" t="str">
        <f>HYPERLINK("https://www.washoecounty.gov/assessor/cama/?command=sales&amp;parid=00425519","3926960")</f>
        <v>3926960</v>
      </c>
      <c r="H352" t="s">
        <v>7133</v>
      </c>
      <c r="I352">
        <v>1994</v>
      </c>
      <c r="J352">
        <v>1994</v>
      </c>
      <c r="K352" t="s">
        <v>4554</v>
      </c>
      <c r="L352" t="s">
        <v>4555</v>
      </c>
      <c r="M352" s="2">
        <v>1244</v>
      </c>
      <c r="N352" t="s">
        <v>4556</v>
      </c>
      <c r="O352">
        <v>3</v>
      </c>
      <c r="P352">
        <v>2</v>
      </c>
      <c r="Q352">
        <v>0</v>
      </c>
      <c r="R352" t="s">
        <v>4557</v>
      </c>
      <c r="S352" t="s">
        <v>4558</v>
      </c>
      <c r="T352" t="s">
        <v>4559</v>
      </c>
      <c r="U352" t="s">
        <v>4560</v>
      </c>
      <c r="V352" s="2">
        <v>463</v>
      </c>
      <c r="W352" t="s">
        <v>4655</v>
      </c>
      <c r="X352" s="2">
        <v>0</v>
      </c>
      <c r="Y352">
        <v>20</v>
      </c>
      <c r="Z352" t="s">
        <v>4561</v>
      </c>
      <c r="AA352" s="3">
        <v>0.157001838088036</v>
      </c>
      <c r="AB352" t="s">
        <v>7134</v>
      </c>
      <c r="AC352" t="s">
        <v>4562</v>
      </c>
      <c r="AD352" t="s">
        <v>7135</v>
      </c>
      <c r="AE352" t="s">
        <v>4655</v>
      </c>
      <c r="AF352" t="s">
        <v>4563</v>
      </c>
      <c r="AG352" t="s">
        <v>4564</v>
      </c>
      <c r="AH352">
        <v>89512</v>
      </c>
      <c r="AI352" t="s">
        <v>7136</v>
      </c>
      <c r="AJ352" t="s">
        <v>7137</v>
      </c>
      <c r="AK352" t="s">
        <v>7138</v>
      </c>
      <c r="AL352" s="13" t="s">
        <v>2255</v>
      </c>
      <c r="AM352">
        <v>1</v>
      </c>
      <c r="AN352" s="15" t="s">
        <v>4136</v>
      </c>
    </row>
    <row r="353" spans="1:40" x14ac:dyDescent="0.3">
      <c r="A353" s="10" t="str">
        <f>HYPERLINK("http://www.washoecounty.gov/assessor/cama/?parid=004-257-04&amp;CardNumber=1","004-257-04")</f>
        <v>004-257-04</v>
      </c>
      <c r="B353" t="s">
        <v>4655</v>
      </c>
      <c r="C353" t="s">
        <v>7139</v>
      </c>
      <c r="D353" s="1">
        <v>40378</v>
      </c>
      <c r="E353" s="2">
        <v>90000</v>
      </c>
      <c r="F353" t="s">
        <v>4567</v>
      </c>
      <c r="G353" s="17" t="str">
        <f>HYPERLINK("https://www.washoecounty.gov/assessor/cama/?command=sales&amp;parid=00425704","3902648")</f>
        <v>3902648</v>
      </c>
      <c r="H353" t="s">
        <v>4671</v>
      </c>
      <c r="I353">
        <v>1963</v>
      </c>
      <c r="J353">
        <v>1963</v>
      </c>
      <c r="K353" t="s">
        <v>4554</v>
      </c>
      <c r="L353" t="s">
        <v>4555</v>
      </c>
      <c r="M353" s="2">
        <v>1296</v>
      </c>
      <c r="N353" t="s">
        <v>4133</v>
      </c>
      <c r="O353">
        <v>3</v>
      </c>
      <c r="P353">
        <v>2</v>
      </c>
      <c r="Q353">
        <v>0</v>
      </c>
      <c r="R353" t="s">
        <v>4557</v>
      </c>
      <c r="S353" t="s">
        <v>4574</v>
      </c>
      <c r="T353" t="s">
        <v>4559</v>
      </c>
      <c r="U353" t="s">
        <v>4655</v>
      </c>
      <c r="V353" s="2">
        <v>0</v>
      </c>
      <c r="W353" t="s">
        <v>4655</v>
      </c>
      <c r="X353" s="2">
        <v>0</v>
      </c>
      <c r="Y353">
        <v>20</v>
      </c>
      <c r="Z353" t="s">
        <v>4561</v>
      </c>
      <c r="AA353" s="3">
        <v>0.20300734043121299</v>
      </c>
      <c r="AB353" t="s">
        <v>4673</v>
      </c>
      <c r="AC353" t="s">
        <v>4562</v>
      </c>
      <c r="AD353" t="s">
        <v>3093</v>
      </c>
      <c r="AE353" t="s">
        <v>4655</v>
      </c>
      <c r="AF353" t="s">
        <v>4563</v>
      </c>
      <c r="AG353" t="s">
        <v>4564</v>
      </c>
      <c r="AH353">
        <v>89512</v>
      </c>
      <c r="AI353" t="s">
        <v>7140</v>
      </c>
      <c r="AJ353" t="s">
        <v>4655</v>
      </c>
      <c r="AK353" t="s">
        <v>7141</v>
      </c>
      <c r="AL353" s="13" t="s">
        <v>2255</v>
      </c>
      <c r="AM353">
        <v>1</v>
      </c>
      <c r="AN353" s="15" t="s">
        <v>4136</v>
      </c>
    </row>
    <row r="354" spans="1:40" x14ac:dyDescent="0.3">
      <c r="A354" s="10" t="str">
        <f>HYPERLINK("http://www.washoecounty.gov/assessor/cama/?parid=004-281-01&amp;CardNumber=1","004-281-01")</f>
        <v>004-281-01</v>
      </c>
      <c r="B354" t="s">
        <v>4655</v>
      </c>
      <c r="C354" t="s">
        <v>3088</v>
      </c>
      <c r="D354" s="1">
        <v>40235</v>
      </c>
      <c r="E354" s="2">
        <v>20000</v>
      </c>
      <c r="F354" t="s">
        <v>4567</v>
      </c>
      <c r="G354" s="17" t="str">
        <f>HYPERLINK("https://www.washoecounty.gov/assessor/cama/?command=sales&amp;parid=00428101","3853444")</f>
        <v>3853444</v>
      </c>
      <c r="H354" t="s">
        <v>4675</v>
      </c>
      <c r="I354">
        <v>1983</v>
      </c>
      <c r="J354">
        <v>1983</v>
      </c>
      <c r="K354" t="s">
        <v>4897</v>
      </c>
      <c r="L354" t="s">
        <v>4555</v>
      </c>
      <c r="M354" s="2">
        <v>919</v>
      </c>
      <c r="N354" t="s">
        <v>4556</v>
      </c>
      <c r="O354">
        <v>2</v>
      </c>
      <c r="P354">
        <v>2</v>
      </c>
      <c r="Q354">
        <v>0</v>
      </c>
      <c r="R354" t="s">
        <v>4676</v>
      </c>
      <c r="S354" t="s">
        <v>4558</v>
      </c>
      <c r="T354" t="s">
        <v>4559</v>
      </c>
      <c r="U354" t="s">
        <v>4655</v>
      </c>
      <c r="V354" s="2">
        <v>0</v>
      </c>
      <c r="W354" t="s">
        <v>4655</v>
      </c>
      <c r="X354" s="2">
        <v>0</v>
      </c>
      <c r="Y354">
        <v>21</v>
      </c>
      <c r="Z354" t="s">
        <v>2705</v>
      </c>
      <c r="AA354" s="3">
        <v>1.00000004749745E-3</v>
      </c>
      <c r="AB354" t="s">
        <v>7142</v>
      </c>
      <c r="AC354" t="s">
        <v>4562</v>
      </c>
      <c r="AD354" t="s">
        <v>7143</v>
      </c>
      <c r="AE354" t="s">
        <v>4655</v>
      </c>
      <c r="AF354" t="s">
        <v>4563</v>
      </c>
      <c r="AG354" t="s">
        <v>4564</v>
      </c>
      <c r="AH354">
        <v>89512</v>
      </c>
      <c r="AI354" t="s">
        <v>7144</v>
      </c>
      <c r="AJ354" t="s">
        <v>4655</v>
      </c>
      <c r="AK354" t="s">
        <v>7145</v>
      </c>
      <c r="AL354" s="13" t="s">
        <v>2257</v>
      </c>
      <c r="AM354" s="14">
        <v>1</v>
      </c>
      <c r="AN354" s="15" t="s">
        <v>4677</v>
      </c>
    </row>
    <row r="355" spans="1:40" x14ac:dyDescent="0.3">
      <c r="A355" s="10" t="str">
        <f>HYPERLINK("http://www.washoecounty.gov/assessor/cama/?parid=004-282-08&amp;CardNumber=1","004-282-08")</f>
        <v>004-282-08</v>
      </c>
      <c r="B355" t="s">
        <v>4655</v>
      </c>
      <c r="C355" t="s">
        <v>4674</v>
      </c>
      <c r="D355" s="1">
        <v>40347</v>
      </c>
      <c r="E355" s="2">
        <v>20000</v>
      </c>
      <c r="F355" t="s">
        <v>4567</v>
      </c>
      <c r="G355" s="17" t="str">
        <f>HYPERLINK("https://www.washoecounty.gov/assessor/cama/?command=sales&amp;parid=00428208","3893170")</f>
        <v>3893170</v>
      </c>
      <c r="H355" t="s">
        <v>4675</v>
      </c>
      <c r="I355">
        <v>1983</v>
      </c>
      <c r="J355">
        <v>1983</v>
      </c>
      <c r="K355" t="s">
        <v>3144</v>
      </c>
      <c r="L355" t="s">
        <v>4555</v>
      </c>
      <c r="M355" s="2">
        <v>919</v>
      </c>
      <c r="N355" t="s">
        <v>4556</v>
      </c>
      <c r="O355">
        <v>2</v>
      </c>
      <c r="P355">
        <v>2</v>
      </c>
      <c r="Q355">
        <v>0</v>
      </c>
      <c r="R355" t="s">
        <v>4676</v>
      </c>
      <c r="S355" t="s">
        <v>4558</v>
      </c>
      <c r="T355" t="s">
        <v>4559</v>
      </c>
      <c r="U355" t="s">
        <v>4655</v>
      </c>
      <c r="V355" s="2">
        <v>0</v>
      </c>
      <c r="W355" t="s">
        <v>4655</v>
      </c>
      <c r="X355" s="2">
        <v>0</v>
      </c>
      <c r="Y355">
        <v>21</v>
      </c>
      <c r="Z355" t="s">
        <v>2705</v>
      </c>
      <c r="AA355" s="3">
        <v>1.00000004749745E-3</v>
      </c>
      <c r="AB355" t="s">
        <v>7146</v>
      </c>
      <c r="AC355" t="s">
        <v>4562</v>
      </c>
      <c r="AD355" t="s">
        <v>7147</v>
      </c>
      <c r="AE355" t="s">
        <v>4655</v>
      </c>
      <c r="AF355" t="s">
        <v>4563</v>
      </c>
      <c r="AG355" t="s">
        <v>4564</v>
      </c>
      <c r="AH355">
        <v>89512</v>
      </c>
      <c r="AI355" t="s">
        <v>7148</v>
      </c>
      <c r="AJ355" t="s">
        <v>4655</v>
      </c>
      <c r="AK355" t="s">
        <v>7149</v>
      </c>
      <c r="AL355" s="13" t="s">
        <v>2257</v>
      </c>
      <c r="AM355">
        <v>1</v>
      </c>
      <c r="AN355" s="15" t="s">
        <v>4677</v>
      </c>
    </row>
    <row r="356" spans="1:40" x14ac:dyDescent="0.3">
      <c r="A356" s="10" t="str">
        <f>HYPERLINK("http://www.washoecounty.gov/assessor/cama/?parid=004-282-08&amp;CardNumber=1","004-282-08")</f>
        <v>004-282-08</v>
      </c>
      <c r="B356" t="s">
        <v>4655</v>
      </c>
      <c r="C356" t="s">
        <v>4674</v>
      </c>
      <c r="D356" s="1">
        <v>40283</v>
      </c>
      <c r="E356" s="2">
        <v>6033</v>
      </c>
      <c r="F356" t="s">
        <v>4553</v>
      </c>
      <c r="G356" s="17" t="str">
        <f>HYPERLINK("https://www.washoecounty.gov/assessor/cama/?command=sales&amp;parid=00428208","3871185")</f>
        <v>3871185</v>
      </c>
      <c r="H356" t="s">
        <v>4675</v>
      </c>
      <c r="I356">
        <v>1983</v>
      </c>
      <c r="J356">
        <v>1983</v>
      </c>
      <c r="K356" t="s">
        <v>3144</v>
      </c>
      <c r="L356" t="s">
        <v>4555</v>
      </c>
      <c r="M356" s="2">
        <v>919</v>
      </c>
      <c r="N356" t="s">
        <v>4556</v>
      </c>
      <c r="O356">
        <v>2</v>
      </c>
      <c r="P356">
        <v>2</v>
      </c>
      <c r="Q356">
        <v>0</v>
      </c>
      <c r="R356" t="s">
        <v>4676</v>
      </c>
      <c r="S356" t="s">
        <v>4558</v>
      </c>
      <c r="T356" t="s">
        <v>4559</v>
      </c>
      <c r="U356" t="s">
        <v>4655</v>
      </c>
      <c r="V356" s="2">
        <v>0</v>
      </c>
      <c r="W356" t="s">
        <v>4655</v>
      </c>
      <c r="X356" s="2">
        <v>0</v>
      </c>
      <c r="Y356">
        <v>21</v>
      </c>
      <c r="Z356" t="s">
        <v>2705</v>
      </c>
      <c r="AA356" s="3">
        <v>1.00000004749745E-3</v>
      </c>
      <c r="AB356" t="s">
        <v>7146</v>
      </c>
      <c r="AC356" t="s">
        <v>4562</v>
      </c>
      <c r="AD356" t="s">
        <v>7147</v>
      </c>
      <c r="AE356" t="s">
        <v>4655</v>
      </c>
      <c r="AF356" t="s">
        <v>4563</v>
      </c>
      <c r="AG356" t="s">
        <v>4564</v>
      </c>
      <c r="AH356">
        <v>89512</v>
      </c>
      <c r="AI356" t="s">
        <v>7148</v>
      </c>
      <c r="AJ356" t="s">
        <v>4655</v>
      </c>
      <c r="AK356" t="s">
        <v>7149</v>
      </c>
      <c r="AL356" s="13" t="s">
        <v>2257</v>
      </c>
      <c r="AM356" s="14">
        <v>1</v>
      </c>
      <c r="AN356" s="15" t="s">
        <v>4677</v>
      </c>
    </row>
    <row r="357" spans="1:40" x14ac:dyDescent="0.3">
      <c r="A357" s="10" t="str">
        <f>HYPERLINK("http://www.washoecounty.gov/assessor/cama/?parid=004-282-16&amp;CardNumber=1","004-282-16")</f>
        <v>004-282-16</v>
      </c>
      <c r="B357" t="s">
        <v>4655</v>
      </c>
      <c r="C357" t="s">
        <v>7150</v>
      </c>
      <c r="D357" s="1">
        <v>40451</v>
      </c>
      <c r="E357" s="2">
        <v>20000</v>
      </c>
      <c r="F357" t="s">
        <v>4553</v>
      </c>
      <c r="G357" s="17" t="str">
        <f>HYPERLINK("https://www.washoecounty.gov/assessor/cama/?command=sales&amp;parid=00428216","3928460")</f>
        <v>3928460</v>
      </c>
      <c r="H357" t="s">
        <v>4675</v>
      </c>
      <c r="I357">
        <v>1983</v>
      </c>
      <c r="J357">
        <v>1983</v>
      </c>
      <c r="K357" t="s">
        <v>4897</v>
      </c>
      <c r="L357" t="s">
        <v>4555</v>
      </c>
      <c r="M357" s="2">
        <v>919</v>
      </c>
      <c r="N357" t="s">
        <v>4556</v>
      </c>
      <c r="O357">
        <v>2</v>
      </c>
      <c r="P357">
        <v>2</v>
      </c>
      <c r="Q357">
        <v>0</v>
      </c>
      <c r="R357" t="s">
        <v>4676</v>
      </c>
      <c r="S357" t="s">
        <v>4558</v>
      </c>
      <c r="T357" t="s">
        <v>4559</v>
      </c>
      <c r="U357" t="s">
        <v>4655</v>
      </c>
      <c r="V357" s="2">
        <v>0</v>
      </c>
      <c r="W357" t="s">
        <v>4655</v>
      </c>
      <c r="X357" s="2">
        <v>0</v>
      </c>
      <c r="Y357">
        <v>21</v>
      </c>
      <c r="Z357" t="s">
        <v>2705</v>
      </c>
      <c r="AA357" s="3">
        <v>1.00000004749745E-3</v>
      </c>
      <c r="AB357" t="s">
        <v>7151</v>
      </c>
      <c r="AC357" t="s">
        <v>4562</v>
      </c>
      <c r="AD357" t="s">
        <v>7152</v>
      </c>
      <c r="AE357" t="s">
        <v>4655</v>
      </c>
      <c r="AF357" t="s">
        <v>4752</v>
      </c>
      <c r="AG357" t="s">
        <v>4564</v>
      </c>
      <c r="AH357">
        <v>89511</v>
      </c>
      <c r="AI357" t="s">
        <v>1787</v>
      </c>
      <c r="AJ357" t="s">
        <v>4655</v>
      </c>
      <c r="AK357" t="s">
        <v>7153</v>
      </c>
      <c r="AL357" s="13" t="s">
        <v>2257</v>
      </c>
      <c r="AM357">
        <v>1</v>
      </c>
      <c r="AN357" s="15" t="s">
        <v>4677</v>
      </c>
    </row>
    <row r="358" spans="1:40" x14ac:dyDescent="0.3">
      <c r="A358" s="10" t="str">
        <f>HYPERLINK("http://www.washoecounty.gov/assessor/cama/?parid=004-282-18&amp;CardNumber=1","004-282-18")</f>
        <v>004-282-18</v>
      </c>
      <c r="B358" t="s">
        <v>4655</v>
      </c>
      <c r="C358" t="s">
        <v>7150</v>
      </c>
      <c r="D358" s="1">
        <v>40324</v>
      </c>
      <c r="E358" s="2">
        <v>22800</v>
      </c>
      <c r="F358" t="s">
        <v>4553</v>
      </c>
      <c r="G358" s="17" t="str">
        <f>HYPERLINK("https://www.washoecounty.gov/assessor/cama/?command=sales&amp;parid=00428218","3885275")</f>
        <v>3885275</v>
      </c>
      <c r="H358" t="s">
        <v>4675</v>
      </c>
      <c r="I358">
        <v>1983</v>
      </c>
      <c r="J358">
        <v>1983</v>
      </c>
      <c r="K358" t="s">
        <v>4897</v>
      </c>
      <c r="L358" t="s">
        <v>4555</v>
      </c>
      <c r="M358" s="2">
        <v>1165</v>
      </c>
      <c r="N358" t="s">
        <v>4556</v>
      </c>
      <c r="O358">
        <v>3</v>
      </c>
      <c r="P358">
        <v>2</v>
      </c>
      <c r="Q358">
        <v>0</v>
      </c>
      <c r="R358" t="s">
        <v>4676</v>
      </c>
      <c r="S358" t="s">
        <v>4558</v>
      </c>
      <c r="T358" t="s">
        <v>4559</v>
      </c>
      <c r="U358" t="s">
        <v>4655</v>
      </c>
      <c r="V358" s="2">
        <v>0</v>
      </c>
      <c r="W358" t="s">
        <v>4655</v>
      </c>
      <c r="X358" s="2">
        <v>0</v>
      </c>
      <c r="Y358">
        <v>21</v>
      </c>
      <c r="Z358" t="s">
        <v>2705</v>
      </c>
      <c r="AA358" s="3">
        <v>1.00000004749745E-3</v>
      </c>
      <c r="AB358" t="s">
        <v>7154</v>
      </c>
      <c r="AC358" t="s">
        <v>4562</v>
      </c>
      <c r="AD358" t="s">
        <v>4678</v>
      </c>
      <c r="AE358" t="s">
        <v>4655</v>
      </c>
      <c r="AF358" t="s">
        <v>3114</v>
      </c>
      <c r="AG358" t="s">
        <v>4564</v>
      </c>
      <c r="AH358" t="s">
        <v>1147</v>
      </c>
      <c r="AI358" t="s">
        <v>4585</v>
      </c>
      <c r="AJ358" t="s">
        <v>4655</v>
      </c>
      <c r="AK358" t="s">
        <v>7155</v>
      </c>
      <c r="AL358" s="13" t="s">
        <v>2257</v>
      </c>
      <c r="AM358">
        <v>1</v>
      </c>
      <c r="AN358" s="15" t="s">
        <v>4677</v>
      </c>
    </row>
    <row r="359" spans="1:40" x14ac:dyDescent="0.3">
      <c r="A359" s="10" t="str">
        <f>HYPERLINK("http://www.washoecounty.gov/assessor/cama/?parid=004-284-02&amp;CardNumber=1","004-284-02")</f>
        <v>004-284-02</v>
      </c>
      <c r="B359" t="s">
        <v>4655</v>
      </c>
      <c r="C359" t="s">
        <v>3389</v>
      </c>
      <c r="D359" s="1">
        <v>40325</v>
      </c>
      <c r="E359" s="2">
        <v>22000</v>
      </c>
      <c r="F359" t="s">
        <v>4553</v>
      </c>
      <c r="G359" s="17" t="str">
        <f>HYPERLINK("https://www.washoecounty.gov/assessor/cama/?command=sales&amp;parid=00428402","3886226")</f>
        <v>3886226</v>
      </c>
      <c r="H359" t="s">
        <v>4675</v>
      </c>
      <c r="I359">
        <v>1983</v>
      </c>
      <c r="J359">
        <v>1983</v>
      </c>
      <c r="K359" t="s">
        <v>3144</v>
      </c>
      <c r="L359" t="s">
        <v>4555</v>
      </c>
      <c r="M359" s="2">
        <v>919</v>
      </c>
      <c r="N359" t="s">
        <v>4556</v>
      </c>
      <c r="O359">
        <v>2</v>
      </c>
      <c r="P359">
        <v>2</v>
      </c>
      <c r="Q359">
        <v>0</v>
      </c>
      <c r="R359" t="s">
        <v>4676</v>
      </c>
      <c r="S359" t="s">
        <v>4558</v>
      </c>
      <c r="T359" t="s">
        <v>4559</v>
      </c>
      <c r="U359" t="s">
        <v>4655</v>
      </c>
      <c r="V359" s="2">
        <v>0</v>
      </c>
      <c r="W359" t="s">
        <v>4655</v>
      </c>
      <c r="X359" s="2">
        <v>0</v>
      </c>
      <c r="Y359">
        <v>21</v>
      </c>
      <c r="Z359" t="s">
        <v>2705</v>
      </c>
      <c r="AA359" s="3">
        <v>1.00000004749745E-3</v>
      </c>
      <c r="AB359" t="s">
        <v>7156</v>
      </c>
      <c r="AC359" t="s">
        <v>4575</v>
      </c>
      <c r="AD359" t="s">
        <v>7157</v>
      </c>
      <c r="AE359" t="s">
        <v>7158</v>
      </c>
      <c r="AF359" t="s">
        <v>574</v>
      </c>
      <c r="AG359" t="s">
        <v>4584</v>
      </c>
      <c r="AH359">
        <v>95050</v>
      </c>
      <c r="AI359" t="s">
        <v>4903</v>
      </c>
      <c r="AJ359" t="s">
        <v>4655</v>
      </c>
      <c r="AK359" t="s">
        <v>3390</v>
      </c>
      <c r="AL359" s="13" t="s">
        <v>2257</v>
      </c>
      <c r="AM359">
        <v>1</v>
      </c>
      <c r="AN359" s="15" t="s">
        <v>4677</v>
      </c>
    </row>
    <row r="360" spans="1:40" x14ac:dyDescent="0.3">
      <c r="A360" s="10" t="str">
        <f>HYPERLINK("http://www.washoecounty.gov/assessor/cama/?parid=004-284-07&amp;CardNumber=1","004-284-07")</f>
        <v>004-284-07</v>
      </c>
      <c r="B360" t="s">
        <v>4655</v>
      </c>
      <c r="C360" t="s">
        <v>4674</v>
      </c>
      <c r="D360" s="1">
        <v>40204</v>
      </c>
      <c r="E360" s="2">
        <v>22199</v>
      </c>
      <c r="F360" t="s">
        <v>4553</v>
      </c>
      <c r="G360" s="17" t="str">
        <f>HYPERLINK("https://www.washoecounty.gov/assessor/cama/?command=sales&amp;parid=00428407","3842843")</f>
        <v>3842843</v>
      </c>
      <c r="H360" t="s">
        <v>4675</v>
      </c>
      <c r="I360">
        <v>1983</v>
      </c>
      <c r="J360">
        <v>1983</v>
      </c>
      <c r="K360" t="s">
        <v>4897</v>
      </c>
      <c r="L360" t="s">
        <v>4555</v>
      </c>
      <c r="M360" s="2">
        <v>1165</v>
      </c>
      <c r="N360" t="s">
        <v>4556</v>
      </c>
      <c r="O360">
        <v>3</v>
      </c>
      <c r="P360">
        <v>2</v>
      </c>
      <c r="Q360">
        <v>0</v>
      </c>
      <c r="R360" t="s">
        <v>4676</v>
      </c>
      <c r="S360" t="s">
        <v>4558</v>
      </c>
      <c r="T360" t="s">
        <v>4559</v>
      </c>
      <c r="U360" t="s">
        <v>4655</v>
      </c>
      <c r="V360" s="2">
        <v>0</v>
      </c>
      <c r="W360" t="s">
        <v>4655</v>
      </c>
      <c r="X360" s="2">
        <v>0</v>
      </c>
      <c r="Y360">
        <v>21</v>
      </c>
      <c r="Z360" t="s">
        <v>2705</v>
      </c>
      <c r="AA360" s="3">
        <v>1.00000004749745E-3</v>
      </c>
      <c r="AB360" t="s">
        <v>5394</v>
      </c>
      <c r="AC360" t="s">
        <v>4575</v>
      </c>
      <c r="AD360" t="s">
        <v>7159</v>
      </c>
      <c r="AE360" t="s">
        <v>7160</v>
      </c>
      <c r="AF360" t="s">
        <v>4563</v>
      </c>
      <c r="AG360" t="s">
        <v>4564</v>
      </c>
      <c r="AH360">
        <v>89503</v>
      </c>
      <c r="AI360" t="s">
        <v>4503</v>
      </c>
      <c r="AJ360" t="s">
        <v>4655</v>
      </c>
      <c r="AK360" t="s">
        <v>7161</v>
      </c>
      <c r="AL360" s="13" t="s">
        <v>2257</v>
      </c>
      <c r="AM360" s="14">
        <v>1</v>
      </c>
      <c r="AN360" s="15" t="s">
        <v>4677</v>
      </c>
    </row>
    <row r="361" spans="1:40" x14ac:dyDescent="0.3">
      <c r="A361" s="10" t="str">
        <f>HYPERLINK("http://www.washoecounty.gov/assessor/cama/?parid=004-285-12&amp;CardNumber=1","004-285-12")</f>
        <v>004-285-12</v>
      </c>
      <c r="B361" t="s">
        <v>4655</v>
      </c>
      <c r="C361" t="s">
        <v>7162</v>
      </c>
      <c r="D361" s="1">
        <v>40186</v>
      </c>
      <c r="E361" s="2">
        <v>21000</v>
      </c>
      <c r="F361" t="s">
        <v>4553</v>
      </c>
      <c r="G361" s="17" t="str">
        <f>HYPERLINK("https://www.washoecounty.gov/assessor/cama/?command=sales&amp;parid=00428512","3837473")</f>
        <v>3837473</v>
      </c>
      <c r="H361" t="s">
        <v>4675</v>
      </c>
      <c r="I361">
        <v>1983</v>
      </c>
      <c r="J361">
        <v>1983</v>
      </c>
      <c r="K361" t="s">
        <v>4897</v>
      </c>
      <c r="L361" t="s">
        <v>4555</v>
      </c>
      <c r="M361" s="2">
        <v>1165</v>
      </c>
      <c r="N361" t="s">
        <v>4556</v>
      </c>
      <c r="O361">
        <v>3</v>
      </c>
      <c r="P361">
        <v>2</v>
      </c>
      <c r="Q361">
        <v>0</v>
      </c>
      <c r="R361" t="s">
        <v>4676</v>
      </c>
      <c r="S361" t="s">
        <v>4558</v>
      </c>
      <c r="T361" t="s">
        <v>4559</v>
      </c>
      <c r="U361" t="s">
        <v>4655</v>
      </c>
      <c r="V361" s="2">
        <v>0</v>
      </c>
      <c r="W361" t="s">
        <v>4655</v>
      </c>
      <c r="X361" s="2">
        <v>0</v>
      </c>
      <c r="Y361">
        <v>21</v>
      </c>
      <c r="Z361" t="s">
        <v>2705</v>
      </c>
      <c r="AA361" s="3">
        <v>1.00000004749745E-3</v>
      </c>
      <c r="AB361" t="s">
        <v>7154</v>
      </c>
      <c r="AC361" t="s">
        <v>4562</v>
      </c>
      <c r="AD361" t="s">
        <v>4678</v>
      </c>
      <c r="AE361" t="s">
        <v>4655</v>
      </c>
      <c r="AF361" t="s">
        <v>3114</v>
      </c>
      <c r="AG361" t="s">
        <v>4564</v>
      </c>
      <c r="AH361" t="s">
        <v>1147</v>
      </c>
      <c r="AI361" t="s">
        <v>4903</v>
      </c>
      <c r="AJ361" t="s">
        <v>4655</v>
      </c>
      <c r="AK361" t="s">
        <v>7163</v>
      </c>
      <c r="AL361" s="13" t="s">
        <v>2257</v>
      </c>
      <c r="AM361" s="14">
        <v>1</v>
      </c>
      <c r="AN361" s="15" t="s">
        <v>4677</v>
      </c>
    </row>
    <row r="362" spans="1:40" x14ac:dyDescent="0.3">
      <c r="A362" s="10" t="str">
        <f>HYPERLINK("http://www.washoecounty.gov/assessor/cama/?parid=004-286-03&amp;CardNumber=1","004-286-03")</f>
        <v>004-286-03</v>
      </c>
      <c r="B362" t="s">
        <v>4655</v>
      </c>
      <c r="C362" t="s">
        <v>974</v>
      </c>
      <c r="D362" s="1">
        <v>40326</v>
      </c>
      <c r="E362" s="2">
        <v>21500</v>
      </c>
      <c r="F362" t="s">
        <v>4553</v>
      </c>
      <c r="G362" s="17" t="str">
        <f>HYPERLINK("https://www.washoecounty.gov/assessor/cama/?command=sales&amp;parid=00428603","3886307")</f>
        <v>3886307</v>
      </c>
      <c r="H362" t="s">
        <v>4675</v>
      </c>
      <c r="I362">
        <v>1983</v>
      </c>
      <c r="J362">
        <v>1983</v>
      </c>
      <c r="K362" t="s">
        <v>4897</v>
      </c>
      <c r="L362" t="s">
        <v>4555</v>
      </c>
      <c r="M362" s="2">
        <v>919</v>
      </c>
      <c r="N362" t="s">
        <v>4556</v>
      </c>
      <c r="O362">
        <v>2</v>
      </c>
      <c r="P362">
        <v>2</v>
      </c>
      <c r="Q362">
        <v>0</v>
      </c>
      <c r="R362" t="s">
        <v>4676</v>
      </c>
      <c r="S362" t="s">
        <v>4558</v>
      </c>
      <c r="T362" t="s">
        <v>4559</v>
      </c>
      <c r="U362" t="s">
        <v>4655</v>
      </c>
      <c r="V362" s="2">
        <v>0</v>
      </c>
      <c r="W362" t="s">
        <v>4655</v>
      </c>
      <c r="X362" s="2">
        <v>0</v>
      </c>
      <c r="Y362">
        <v>21</v>
      </c>
      <c r="Z362" t="s">
        <v>2705</v>
      </c>
      <c r="AA362" s="3">
        <v>1.00000004749745E-3</v>
      </c>
      <c r="AB362" t="s">
        <v>7156</v>
      </c>
      <c r="AC362" t="s">
        <v>4575</v>
      </c>
      <c r="AD362" t="s">
        <v>7157</v>
      </c>
      <c r="AE362" t="s">
        <v>7164</v>
      </c>
      <c r="AF362" t="s">
        <v>4623</v>
      </c>
      <c r="AG362" t="s">
        <v>4584</v>
      </c>
      <c r="AH362">
        <v>94085</v>
      </c>
      <c r="AI362" t="s">
        <v>4903</v>
      </c>
      <c r="AJ362" t="s">
        <v>4655</v>
      </c>
      <c r="AK362" t="s">
        <v>975</v>
      </c>
      <c r="AL362" s="13" t="s">
        <v>2257</v>
      </c>
      <c r="AM362">
        <v>1</v>
      </c>
      <c r="AN362" s="15" t="s">
        <v>4677</v>
      </c>
    </row>
    <row r="363" spans="1:40" x14ac:dyDescent="0.3">
      <c r="A363" s="10" t="str">
        <f>HYPERLINK("http://www.washoecounty.gov/assessor/cama/?parid=004-286-12&amp;CardNumber=1","004-286-12")</f>
        <v>004-286-12</v>
      </c>
      <c r="B363" t="s">
        <v>4655</v>
      </c>
      <c r="C363" t="s">
        <v>7162</v>
      </c>
      <c r="D363" s="1">
        <v>40207</v>
      </c>
      <c r="E363" s="2">
        <v>22140</v>
      </c>
      <c r="F363" t="s">
        <v>4553</v>
      </c>
      <c r="G363" s="17" t="str">
        <f>HYPERLINK("https://www.washoecounty.gov/assessor/cama/?command=sales&amp;parid=00428612","3844176")</f>
        <v>3844176</v>
      </c>
      <c r="H363" t="s">
        <v>4675</v>
      </c>
      <c r="I363">
        <v>1983</v>
      </c>
      <c r="J363">
        <v>1983</v>
      </c>
      <c r="K363" t="s">
        <v>4897</v>
      </c>
      <c r="L363" t="s">
        <v>4555</v>
      </c>
      <c r="M363" s="2">
        <v>1165</v>
      </c>
      <c r="N363" t="s">
        <v>4556</v>
      </c>
      <c r="O363">
        <v>3</v>
      </c>
      <c r="P363">
        <v>2</v>
      </c>
      <c r="Q363">
        <v>0</v>
      </c>
      <c r="R363" t="s">
        <v>4676</v>
      </c>
      <c r="S363" t="s">
        <v>4558</v>
      </c>
      <c r="T363" t="s">
        <v>4559</v>
      </c>
      <c r="U363" t="s">
        <v>4655</v>
      </c>
      <c r="V363" s="2">
        <v>0</v>
      </c>
      <c r="W363" t="s">
        <v>4655</v>
      </c>
      <c r="X363" s="2">
        <v>0</v>
      </c>
      <c r="Y363">
        <v>21</v>
      </c>
      <c r="Z363" t="s">
        <v>2705</v>
      </c>
      <c r="AA363" s="3">
        <v>1.00000004749745E-3</v>
      </c>
      <c r="AB363" t="s">
        <v>7165</v>
      </c>
      <c r="AC363" t="s">
        <v>4562</v>
      </c>
      <c r="AD363" t="s">
        <v>7166</v>
      </c>
      <c r="AE363" t="s">
        <v>4655</v>
      </c>
      <c r="AF363" t="s">
        <v>4563</v>
      </c>
      <c r="AG363" t="s">
        <v>4564</v>
      </c>
      <c r="AH363">
        <v>89512</v>
      </c>
      <c r="AI363" t="s">
        <v>4903</v>
      </c>
      <c r="AJ363" t="s">
        <v>4655</v>
      </c>
      <c r="AK363" t="s">
        <v>7167</v>
      </c>
      <c r="AL363" s="13" t="s">
        <v>2257</v>
      </c>
      <c r="AM363">
        <v>1</v>
      </c>
      <c r="AN363" s="15" t="s">
        <v>4677</v>
      </c>
    </row>
    <row r="364" spans="1:40" x14ac:dyDescent="0.3">
      <c r="A364" s="10" t="str">
        <f>HYPERLINK("http://www.washoecounty.gov/assessor/cama/?parid=004-288-07&amp;CardNumber=1","004-288-07")</f>
        <v>004-288-07</v>
      </c>
      <c r="B364" t="s">
        <v>4655</v>
      </c>
      <c r="C364" t="s">
        <v>2853</v>
      </c>
      <c r="D364" s="1">
        <v>40442</v>
      </c>
      <c r="E364" s="2">
        <v>14000</v>
      </c>
      <c r="F364" t="s">
        <v>4553</v>
      </c>
      <c r="G364" s="17" t="str">
        <f>HYPERLINK("https://www.washoecounty.gov/assessor/cama/?command=sales&amp;parid=00428807","3924566")</f>
        <v>3924566</v>
      </c>
      <c r="H364" t="s">
        <v>4675</v>
      </c>
      <c r="I364">
        <v>1984</v>
      </c>
      <c r="J364">
        <v>1984</v>
      </c>
      <c r="K364" t="s">
        <v>4897</v>
      </c>
      <c r="L364" t="s">
        <v>4555</v>
      </c>
      <c r="M364" s="2">
        <v>919</v>
      </c>
      <c r="N364" t="s">
        <v>4556</v>
      </c>
      <c r="O364">
        <v>2</v>
      </c>
      <c r="P364">
        <v>2</v>
      </c>
      <c r="Q364">
        <v>0</v>
      </c>
      <c r="R364" t="s">
        <v>4676</v>
      </c>
      <c r="S364" t="s">
        <v>4558</v>
      </c>
      <c r="T364" t="s">
        <v>4559</v>
      </c>
      <c r="U364" t="s">
        <v>5631</v>
      </c>
      <c r="V364" s="2">
        <v>200</v>
      </c>
      <c r="W364" t="s">
        <v>4655</v>
      </c>
      <c r="X364" s="2">
        <v>0</v>
      </c>
      <c r="Y364">
        <v>21</v>
      </c>
      <c r="Z364" t="s">
        <v>2705</v>
      </c>
      <c r="AA364" s="3">
        <v>1.00000004749745E-3</v>
      </c>
      <c r="AB364" t="s">
        <v>7168</v>
      </c>
      <c r="AC364" t="s">
        <v>4562</v>
      </c>
      <c r="AD364" t="s">
        <v>7169</v>
      </c>
      <c r="AE364" t="s">
        <v>4655</v>
      </c>
      <c r="AF364" t="s">
        <v>5025</v>
      </c>
      <c r="AG364" t="s">
        <v>4564</v>
      </c>
      <c r="AH364">
        <v>89406</v>
      </c>
      <c r="AI364" t="s">
        <v>4903</v>
      </c>
      <c r="AJ364" t="s">
        <v>4655</v>
      </c>
      <c r="AK364" t="s">
        <v>7170</v>
      </c>
      <c r="AL364" s="13" t="s">
        <v>2257</v>
      </c>
      <c r="AM364" s="14">
        <v>1</v>
      </c>
      <c r="AN364" s="15" t="s">
        <v>4677</v>
      </c>
    </row>
    <row r="365" spans="1:40" x14ac:dyDescent="0.3">
      <c r="A365" s="10" t="str">
        <f>HYPERLINK("http://www.washoecounty.gov/assessor/cama/?parid=004-288-09&amp;CardNumber=1","004-288-09")</f>
        <v>004-288-09</v>
      </c>
      <c r="B365" t="s">
        <v>4655</v>
      </c>
      <c r="C365" t="s">
        <v>2853</v>
      </c>
      <c r="D365" s="1">
        <v>40246</v>
      </c>
      <c r="E365" s="2">
        <v>18900</v>
      </c>
      <c r="F365" t="s">
        <v>4553</v>
      </c>
      <c r="G365" s="17" t="str">
        <f>HYPERLINK("https://www.washoecounty.gov/assessor/cama/?command=sales&amp;parid=00428809","3857549")</f>
        <v>3857549</v>
      </c>
      <c r="H365" t="s">
        <v>4675</v>
      </c>
      <c r="I365">
        <v>1984</v>
      </c>
      <c r="J365">
        <v>1984</v>
      </c>
      <c r="K365" t="s">
        <v>4897</v>
      </c>
      <c r="L365" t="s">
        <v>4555</v>
      </c>
      <c r="M365" s="2">
        <v>919</v>
      </c>
      <c r="N365" t="s">
        <v>4556</v>
      </c>
      <c r="O365">
        <v>2</v>
      </c>
      <c r="P365">
        <v>2</v>
      </c>
      <c r="Q365">
        <v>0</v>
      </c>
      <c r="R365" t="s">
        <v>4676</v>
      </c>
      <c r="S365" t="s">
        <v>4558</v>
      </c>
      <c r="T365" t="s">
        <v>4559</v>
      </c>
      <c r="U365" t="s">
        <v>5631</v>
      </c>
      <c r="V365" s="2">
        <v>200</v>
      </c>
      <c r="W365" t="s">
        <v>4655</v>
      </c>
      <c r="X365" s="2">
        <v>0</v>
      </c>
      <c r="Y365">
        <v>21</v>
      </c>
      <c r="Z365" t="s">
        <v>2705</v>
      </c>
      <c r="AA365" s="3">
        <v>1.00000004749745E-3</v>
      </c>
      <c r="AB365" t="s">
        <v>2854</v>
      </c>
      <c r="AC365" t="s">
        <v>4575</v>
      </c>
      <c r="AD365" t="s">
        <v>7171</v>
      </c>
      <c r="AE365" t="s">
        <v>4655</v>
      </c>
      <c r="AF365" t="s">
        <v>2855</v>
      </c>
      <c r="AG365" t="s">
        <v>4564</v>
      </c>
      <c r="AH365" t="s">
        <v>4290</v>
      </c>
      <c r="AI365" t="s">
        <v>4903</v>
      </c>
      <c r="AJ365" t="s">
        <v>4655</v>
      </c>
      <c r="AK365" t="s">
        <v>7172</v>
      </c>
      <c r="AL365" s="13" t="s">
        <v>2257</v>
      </c>
      <c r="AM365">
        <v>1</v>
      </c>
      <c r="AN365" s="15" t="s">
        <v>4677</v>
      </c>
    </row>
    <row r="366" spans="1:40" x14ac:dyDescent="0.3">
      <c r="A366" s="10" t="str">
        <f>HYPERLINK("http://www.washoecounty.gov/assessor/cama/?parid=004-288-16&amp;CardNumber=1","004-288-16")</f>
        <v>004-288-16</v>
      </c>
      <c r="B366" t="s">
        <v>4655</v>
      </c>
      <c r="C366" t="s">
        <v>7173</v>
      </c>
      <c r="D366" s="1">
        <v>40437</v>
      </c>
      <c r="E366" s="2">
        <v>20000</v>
      </c>
      <c r="F366" t="s">
        <v>4553</v>
      </c>
      <c r="G366" s="17" t="str">
        <f>HYPERLINK("https://www.washoecounty.gov/assessor/cama/?command=sales&amp;parid=00428816","3923036")</f>
        <v>3923036</v>
      </c>
      <c r="H366" t="s">
        <v>4675</v>
      </c>
      <c r="I366">
        <v>1984</v>
      </c>
      <c r="J366">
        <v>1984</v>
      </c>
      <c r="K366" t="s">
        <v>4897</v>
      </c>
      <c r="L366" t="s">
        <v>4555</v>
      </c>
      <c r="M366" s="2">
        <v>919</v>
      </c>
      <c r="N366" t="s">
        <v>4556</v>
      </c>
      <c r="O366">
        <v>2</v>
      </c>
      <c r="P366">
        <v>2</v>
      </c>
      <c r="Q366">
        <v>0</v>
      </c>
      <c r="R366" t="s">
        <v>4676</v>
      </c>
      <c r="S366" t="s">
        <v>4558</v>
      </c>
      <c r="T366" t="s">
        <v>4559</v>
      </c>
      <c r="U366" t="s">
        <v>4655</v>
      </c>
      <c r="V366" s="2">
        <v>0</v>
      </c>
      <c r="W366" t="s">
        <v>4655</v>
      </c>
      <c r="X366" s="2">
        <v>0</v>
      </c>
      <c r="Y366">
        <v>21</v>
      </c>
      <c r="Z366" t="s">
        <v>2705</v>
      </c>
      <c r="AA366" s="3">
        <v>1.00000004749745E-3</v>
      </c>
      <c r="AB366" t="s">
        <v>7174</v>
      </c>
      <c r="AC366" t="s">
        <v>4562</v>
      </c>
      <c r="AD366" t="s">
        <v>7175</v>
      </c>
      <c r="AE366" t="s">
        <v>4655</v>
      </c>
      <c r="AF366" t="s">
        <v>4563</v>
      </c>
      <c r="AG366" t="s">
        <v>4564</v>
      </c>
      <c r="AH366">
        <v>89512</v>
      </c>
      <c r="AI366" t="s">
        <v>4655</v>
      </c>
      <c r="AJ366" t="s">
        <v>4655</v>
      </c>
      <c r="AK366" t="s">
        <v>7176</v>
      </c>
      <c r="AL366" s="13" t="s">
        <v>2257</v>
      </c>
      <c r="AM366" s="14">
        <v>1</v>
      </c>
      <c r="AN366" s="15" t="s">
        <v>4677</v>
      </c>
    </row>
    <row r="367" spans="1:40" x14ac:dyDescent="0.3">
      <c r="A367" s="10" t="str">
        <f>HYPERLINK("http://www.washoecounty.gov/assessor/cama/?parid=004-292-20&amp;CardNumber=1","004-292-20")</f>
        <v>004-292-20</v>
      </c>
      <c r="B367" t="s">
        <v>5502</v>
      </c>
      <c r="C367" t="s">
        <v>7177</v>
      </c>
      <c r="D367" s="1">
        <v>40515</v>
      </c>
      <c r="E367" s="2">
        <v>605000</v>
      </c>
      <c r="F367" t="s">
        <v>3528</v>
      </c>
      <c r="G367" s="17" t="str">
        <f>HYPERLINK("https://www.washoecounty.gov/assessor/cama/?command=sales&amp;parid=00429220","3949146")</f>
        <v>3949146</v>
      </c>
      <c r="H367" t="s">
        <v>7178</v>
      </c>
      <c r="I367">
        <v>1979</v>
      </c>
      <c r="J367">
        <v>1979</v>
      </c>
      <c r="K367" t="s">
        <v>3043</v>
      </c>
      <c r="L367" t="s">
        <v>3974</v>
      </c>
      <c r="M367" s="2">
        <v>4836</v>
      </c>
      <c r="N367" t="s">
        <v>4556</v>
      </c>
      <c r="O367">
        <v>8</v>
      </c>
      <c r="P367">
        <v>8</v>
      </c>
      <c r="Q367">
        <v>0</v>
      </c>
      <c r="R367" t="s">
        <v>4676</v>
      </c>
      <c r="S367" t="s">
        <v>4558</v>
      </c>
      <c r="T367" t="s">
        <v>4899</v>
      </c>
      <c r="U367" t="s">
        <v>4655</v>
      </c>
      <c r="V367" s="2">
        <v>0</v>
      </c>
      <c r="W367" t="s">
        <v>4655</v>
      </c>
      <c r="X367" s="2">
        <v>0</v>
      </c>
      <c r="Y367">
        <v>34</v>
      </c>
      <c r="Z367" t="s">
        <v>2705</v>
      </c>
      <c r="AA367" s="3">
        <v>0.82100552320480302</v>
      </c>
      <c r="AB367" t="s">
        <v>7179</v>
      </c>
      <c r="AC367" t="s">
        <v>4562</v>
      </c>
      <c r="AD367" t="s">
        <v>7180</v>
      </c>
      <c r="AE367" t="s">
        <v>7181</v>
      </c>
      <c r="AF367" t="s">
        <v>3114</v>
      </c>
      <c r="AG367" t="s">
        <v>4564</v>
      </c>
      <c r="AH367" t="s">
        <v>2330</v>
      </c>
      <c r="AI367" t="s">
        <v>7182</v>
      </c>
      <c r="AJ367" t="s">
        <v>4655</v>
      </c>
      <c r="AK367" t="s">
        <v>7183</v>
      </c>
      <c r="AL367" s="13" t="s">
        <v>2255</v>
      </c>
      <c r="AM367">
        <v>32</v>
      </c>
      <c r="AN367" s="15" t="s">
        <v>4910</v>
      </c>
    </row>
    <row r="368" spans="1:40" x14ac:dyDescent="0.3">
      <c r="A368" s="10" t="str">
        <f>HYPERLINK("http://www.washoecounty.gov/assessor/cama/?parid=004-321-16&amp;CardNumber=1","004-321-16")</f>
        <v>004-321-16</v>
      </c>
      <c r="B368" t="s">
        <v>4655</v>
      </c>
      <c r="C368" t="s">
        <v>7184</v>
      </c>
      <c r="D368" s="1">
        <v>40340</v>
      </c>
      <c r="E368" s="2">
        <v>40000</v>
      </c>
      <c r="F368" t="s">
        <v>4567</v>
      </c>
      <c r="G368" s="17" t="str">
        <f>HYPERLINK("https://www.washoecounty.gov/assessor/cama/?command=sales&amp;parid=00432116","3890749")</f>
        <v>3890749</v>
      </c>
      <c r="H368" t="s">
        <v>4681</v>
      </c>
      <c r="I368">
        <v>0</v>
      </c>
      <c r="J368">
        <v>0</v>
      </c>
      <c r="K368" t="s">
        <v>4655</v>
      </c>
      <c r="L368" t="s">
        <v>4655</v>
      </c>
      <c r="M368" s="2">
        <v>0</v>
      </c>
      <c r="N368" t="s">
        <v>4655</v>
      </c>
      <c r="O368">
        <v>0</v>
      </c>
      <c r="P368">
        <v>0</v>
      </c>
      <c r="Q368">
        <v>0</v>
      </c>
      <c r="R368" t="s">
        <v>4655</v>
      </c>
      <c r="S368" t="s">
        <v>4655</v>
      </c>
      <c r="T368" t="s">
        <v>4655</v>
      </c>
      <c r="U368" t="s">
        <v>4655</v>
      </c>
      <c r="V368" s="2">
        <v>0</v>
      </c>
      <c r="W368" t="s">
        <v>4655</v>
      </c>
      <c r="X368" s="2">
        <v>0</v>
      </c>
      <c r="Y368">
        <v>18</v>
      </c>
      <c r="Z368" t="s">
        <v>5282</v>
      </c>
      <c r="AA368" s="3">
        <v>0.48305785655975297</v>
      </c>
      <c r="AB368" t="s">
        <v>7185</v>
      </c>
      <c r="AC368" t="s">
        <v>4562</v>
      </c>
      <c r="AD368" t="s">
        <v>7186</v>
      </c>
      <c r="AE368" t="s">
        <v>4655</v>
      </c>
      <c r="AF368" t="s">
        <v>4563</v>
      </c>
      <c r="AG368" t="s">
        <v>4564</v>
      </c>
      <c r="AH368">
        <v>89512</v>
      </c>
      <c r="AI368" t="s">
        <v>4655</v>
      </c>
      <c r="AJ368" t="s">
        <v>7187</v>
      </c>
      <c r="AK368" t="s">
        <v>7188</v>
      </c>
      <c r="AL368" s="13" t="s">
        <v>2255</v>
      </c>
      <c r="AM368" s="14">
        <v>0</v>
      </c>
      <c r="AN368" s="15" t="s">
        <v>2065</v>
      </c>
    </row>
    <row r="369" spans="1:40" x14ac:dyDescent="0.3">
      <c r="A369" s="10" t="str">
        <f>HYPERLINK("http://www.washoecounty.gov/assessor/cama/?parid=004-322-01&amp;CardNumber=1","004-322-01")</f>
        <v>004-322-01</v>
      </c>
      <c r="B369" t="s">
        <v>4655</v>
      </c>
      <c r="C369" t="s">
        <v>7189</v>
      </c>
      <c r="D369" s="1">
        <v>40319</v>
      </c>
      <c r="E369" s="2">
        <v>86000</v>
      </c>
      <c r="F369" t="s">
        <v>4567</v>
      </c>
      <c r="G369" s="17" t="str">
        <f>HYPERLINK("https://www.washoecounty.gov/assessor/cama/?command=sales&amp;parid=00432201","3883821")</f>
        <v>3883821</v>
      </c>
      <c r="H369" t="s">
        <v>4681</v>
      </c>
      <c r="I369">
        <v>1940</v>
      </c>
      <c r="J369">
        <v>1940</v>
      </c>
      <c r="K369" t="s">
        <v>4554</v>
      </c>
      <c r="L369" t="s">
        <v>4555</v>
      </c>
      <c r="M369" s="2">
        <v>1398</v>
      </c>
      <c r="N369" t="s">
        <v>4133</v>
      </c>
      <c r="O369">
        <v>4</v>
      </c>
      <c r="P369">
        <v>2</v>
      </c>
      <c r="Q369">
        <v>0</v>
      </c>
      <c r="R369" t="s">
        <v>4557</v>
      </c>
      <c r="S369" t="s">
        <v>4135</v>
      </c>
      <c r="T369" t="s">
        <v>4559</v>
      </c>
      <c r="U369" t="s">
        <v>4655</v>
      </c>
      <c r="V369" s="2">
        <v>0</v>
      </c>
      <c r="W369" t="s">
        <v>3149</v>
      </c>
      <c r="X369" s="2">
        <v>378</v>
      </c>
      <c r="Y369">
        <v>20</v>
      </c>
      <c r="Z369" t="s">
        <v>5282</v>
      </c>
      <c r="AA369" s="3">
        <v>0.46999540925025901</v>
      </c>
      <c r="AB369" t="s">
        <v>7190</v>
      </c>
      <c r="AC369" t="s">
        <v>4562</v>
      </c>
      <c r="AD369" t="s">
        <v>7191</v>
      </c>
      <c r="AE369" t="s">
        <v>4655</v>
      </c>
      <c r="AF369" t="s">
        <v>4563</v>
      </c>
      <c r="AG369" t="s">
        <v>4564</v>
      </c>
      <c r="AH369">
        <v>89512</v>
      </c>
      <c r="AI369" t="s">
        <v>7192</v>
      </c>
      <c r="AJ369" t="s">
        <v>4655</v>
      </c>
      <c r="AK369" t="s">
        <v>7193</v>
      </c>
      <c r="AL369" s="13" t="s">
        <v>2257</v>
      </c>
      <c r="AM369">
        <v>1</v>
      </c>
      <c r="AN369" s="15" t="s">
        <v>2065</v>
      </c>
    </row>
    <row r="370" spans="1:40" x14ac:dyDescent="0.3">
      <c r="A370" s="10" t="str">
        <f>HYPERLINK("http://www.washoecounty.gov/assessor/cama/?parid=004-322-03&amp;CardNumber=1","004-322-03")</f>
        <v>004-322-03</v>
      </c>
      <c r="B370" t="s">
        <v>4655</v>
      </c>
      <c r="C370" t="s">
        <v>7194</v>
      </c>
      <c r="D370" s="1">
        <v>40518</v>
      </c>
      <c r="E370" s="2">
        <v>45200</v>
      </c>
      <c r="F370" t="s">
        <v>4553</v>
      </c>
      <c r="G370" s="17" t="str">
        <f>HYPERLINK("https://www.washoecounty.gov/assessor/cama/?command=sales&amp;parid=00432203","3949741")</f>
        <v>3949741</v>
      </c>
      <c r="H370" t="s">
        <v>4681</v>
      </c>
      <c r="I370">
        <v>1948</v>
      </c>
      <c r="J370">
        <v>1948</v>
      </c>
      <c r="K370" t="s">
        <v>4554</v>
      </c>
      <c r="L370" t="s">
        <v>2170</v>
      </c>
      <c r="M370" s="2">
        <v>2292</v>
      </c>
      <c r="N370" t="s">
        <v>4556</v>
      </c>
      <c r="O370">
        <v>4</v>
      </c>
      <c r="P370">
        <v>2</v>
      </c>
      <c r="Q370">
        <v>0</v>
      </c>
      <c r="R370" t="s">
        <v>4557</v>
      </c>
      <c r="S370" t="s">
        <v>4898</v>
      </c>
      <c r="T370" t="s">
        <v>4559</v>
      </c>
      <c r="U370" t="s">
        <v>5631</v>
      </c>
      <c r="V370" s="2">
        <v>480</v>
      </c>
      <c r="W370" t="s">
        <v>4655</v>
      </c>
      <c r="X370" s="2">
        <v>0</v>
      </c>
      <c r="Y370">
        <v>20</v>
      </c>
      <c r="Z370" t="s">
        <v>5282</v>
      </c>
      <c r="AA370" s="3">
        <v>0.38999080657959001</v>
      </c>
      <c r="AB370" t="s">
        <v>7195</v>
      </c>
      <c r="AC370" t="s">
        <v>4562</v>
      </c>
      <c r="AD370" t="s">
        <v>7196</v>
      </c>
      <c r="AE370" t="s">
        <v>4655</v>
      </c>
      <c r="AF370" t="s">
        <v>7197</v>
      </c>
      <c r="AG370" t="s">
        <v>1539</v>
      </c>
      <c r="AH370" t="s">
        <v>7198</v>
      </c>
      <c r="AI370" t="s">
        <v>4565</v>
      </c>
      <c r="AJ370" t="s">
        <v>4655</v>
      </c>
      <c r="AK370" t="s">
        <v>7199</v>
      </c>
      <c r="AL370" s="13" t="s">
        <v>2255</v>
      </c>
      <c r="AM370">
        <v>1</v>
      </c>
      <c r="AN370" s="15" t="s">
        <v>2065</v>
      </c>
    </row>
    <row r="371" spans="1:40" x14ac:dyDescent="0.3">
      <c r="A371" s="10" t="str">
        <f>HYPERLINK("http://www.washoecounty.gov/assessor/cama/?parid=004-323-02&amp;CardNumber=1","004-323-02")</f>
        <v>004-323-02</v>
      </c>
      <c r="B371" t="s">
        <v>4655</v>
      </c>
      <c r="C371" t="s">
        <v>7200</v>
      </c>
      <c r="D371" s="1">
        <v>40388</v>
      </c>
      <c r="E371" s="2">
        <v>105000</v>
      </c>
      <c r="F371" t="s">
        <v>4567</v>
      </c>
      <c r="G371" s="17" t="str">
        <f>HYPERLINK("https://www.washoecounty.gov/assessor/cama/?command=sales&amp;parid=00432302","3906712")</f>
        <v>3906712</v>
      </c>
      <c r="H371" t="s">
        <v>4681</v>
      </c>
      <c r="I371">
        <v>1959</v>
      </c>
      <c r="J371">
        <v>1959</v>
      </c>
      <c r="K371" t="s">
        <v>1391</v>
      </c>
      <c r="L371" t="s">
        <v>2170</v>
      </c>
      <c r="M371" s="2">
        <v>1624</v>
      </c>
      <c r="N371" t="s">
        <v>4556</v>
      </c>
      <c r="O371">
        <v>4</v>
      </c>
      <c r="P371">
        <v>2</v>
      </c>
      <c r="Q371">
        <v>1</v>
      </c>
      <c r="R371" t="s">
        <v>4557</v>
      </c>
      <c r="S371" t="s">
        <v>4574</v>
      </c>
      <c r="T371" t="s">
        <v>4559</v>
      </c>
      <c r="U371" t="s">
        <v>5631</v>
      </c>
      <c r="V371" s="2">
        <v>504</v>
      </c>
      <c r="W371" t="s">
        <v>4655</v>
      </c>
      <c r="X371" s="2">
        <v>0</v>
      </c>
      <c r="Y371">
        <v>30</v>
      </c>
      <c r="Z371" t="s">
        <v>5282</v>
      </c>
      <c r="AA371" s="3">
        <v>0.76000916957855202</v>
      </c>
      <c r="AB371" t="s">
        <v>7201</v>
      </c>
      <c r="AC371" t="s">
        <v>4562</v>
      </c>
      <c r="AD371" t="s">
        <v>7202</v>
      </c>
      <c r="AE371" t="s">
        <v>4655</v>
      </c>
      <c r="AF371" t="s">
        <v>4563</v>
      </c>
      <c r="AG371" t="s">
        <v>4564</v>
      </c>
      <c r="AH371">
        <v>89512</v>
      </c>
      <c r="AI371" t="s">
        <v>7203</v>
      </c>
      <c r="AJ371" t="s">
        <v>4655</v>
      </c>
      <c r="AK371" t="s">
        <v>7204</v>
      </c>
      <c r="AL371" s="13" t="s">
        <v>2257</v>
      </c>
      <c r="AM371">
        <v>2</v>
      </c>
      <c r="AN371" s="15" t="s">
        <v>4684</v>
      </c>
    </row>
    <row r="372" spans="1:40" x14ac:dyDescent="0.3">
      <c r="A372" s="10" t="str">
        <f>HYPERLINK("http://www.washoecounty.gov/assessor/cama/?parid=004-331-03&amp;CardNumber=1","004-331-03")</f>
        <v>004-331-03</v>
      </c>
      <c r="B372" t="s">
        <v>4655</v>
      </c>
      <c r="C372" t="s">
        <v>7205</v>
      </c>
      <c r="D372" s="1">
        <v>40357</v>
      </c>
      <c r="E372" s="2">
        <v>59000</v>
      </c>
      <c r="F372" t="s">
        <v>4567</v>
      </c>
      <c r="G372" s="17" t="str">
        <f>HYPERLINK("https://www.washoecounty.gov/assessor/cama/?command=sales&amp;parid=00433103","3895696")</f>
        <v>3895696</v>
      </c>
      <c r="H372" t="s">
        <v>4681</v>
      </c>
      <c r="I372">
        <v>1956</v>
      </c>
      <c r="J372">
        <v>1956</v>
      </c>
      <c r="K372" t="s">
        <v>4554</v>
      </c>
      <c r="L372" t="s">
        <v>4555</v>
      </c>
      <c r="M372" s="2">
        <v>775</v>
      </c>
      <c r="N372" t="s">
        <v>4133</v>
      </c>
      <c r="O372">
        <v>1</v>
      </c>
      <c r="P372">
        <v>1</v>
      </c>
      <c r="Q372">
        <v>0</v>
      </c>
      <c r="R372" t="s">
        <v>4557</v>
      </c>
      <c r="S372" t="s">
        <v>4574</v>
      </c>
      <c r="T372" t="s">
        <v>4559</v>
      </c>
      <c r="U372" t="s">
        <v>4560</v>
      </c>
      <c r="V372" s="2">
        <v>440</v>
      </c>
      <c r="W372" t="s">
        <v>4655</v>
      </c>
      <c r="X372" s="2">
        <v>0</v>
      </c>
      <c r="Y372">
        <v>20</v>
      </c>
      <c r="Z372" t="s">
        <v>5282</v>
      </c>
      <c r="AA372" s="3">
        <v>0.34499540925025901</v>
      </c>
      <c r="AB372" t="s">
        <v>7206</v>
      </c>
      <c r="AC372" t="s">
        <v>4562</v>
      </c>
      <c r="AD372" t="s">
        <v>7207</v>
      </c>
      <c r="AE372" t="s">
        <v>4655</v>
      </c>
      <c r="AF372" t="s">
        <v>4563</v>
      </c>
      <c r="AG372" t="s">
        <v>4564</v>
      </c>
      <c r="AH372">
        <v>89512</v>
      </c>
      <c r="AI372" t="s">
        <v>7208</v>
      </c>
      <c r="AJ372" t="s">
        <v>4655</v>
      </c>
      <c r="AK372" t="s">
        <v>7209</v>
      </c>
      <c r="AL372" s="13" t="s">
        <v>2257</v>
      </c>
      <c r="AM372" s="14">
        <v>1</v>
      </c>
      <c r="AN372" s="15" t="s">
        <v>2065</v>
      </c>
    </row>
    <row r="373" spans="1:40" x14ac:dyDescent="0.3">
      <c r="A373" s="10" t="str">
        <f>HYPERLINK("http://www.washoecounty.gov/assessor/cama/?parid=004-334-02&amp;CardNumber=1","004-334-02")</f>
        <v>004-334-02</v>
      </c>
      <c r="B373" t="s">
        <v>4655</v>
      </c>
      <c r="C373" t="s">
        <v>4680</v>
      </c>
      <c r="D373" s="1">
        <v>40214</v>
      </c>
      <c r="E373" s="2">
        <v>80000</v>
      </c>
      <c r="F373" t="s">
        <v>4553</v>
      </c>
      <c r="G373" s="17" t="str">
        <f>HYPERLINK("https://www.washoecounty.gov/assessor/cama/?command=sales&amp;parid=00433402","3846532")</f>
        <v>3846532</v>
      </c>
      <c r="H373" t="s">
        <v>4681</v>
      </c>
      <c r="I373">
        <v>1954</v>
      </c>
      <c r="J373">
        <v>1961</v>
      </c>
      <c r="K373" t="s">
        <v>4554</v>
      </c>
      <c r="L373" t="s">
        <v>4555</v>
      </c>
      <c r="M373" s="2">
        <v>1584</v>
      </c>
      <c r="N373" t="s">
        <v>4556</v>
      </c>
      <c r="O373">
        <v>3</v>
      </c>
      <c r="P373">
        <v>2</v>
      </c>
      <c r="Q373">
        <v>0</v>
      </c>
      <c r="R373" t="s">
        <v>4557</v>
      </c>
      <c r="S373" t="s">
        <v>4682</v>
      </c>
      <c r="T373" t="s">
        <v>4559</v>
      </c>
      <c r="U373" t="s">
        <v>4655</v>
      </c>
      <c r="V373" s="2">
        <v>0</v>
      </c>
      <c r="W373" t="s">
        <v>3149</v>
      </c>
      <c r="X373" s="2">
        <v>448</v>
      </c>
      <c r="Y373">
        <v>31</v>
      </c>
      <c r="Z373" t="s">
        <v>5282</v>
      </c>
      <c r="AA373" s="3">
        <v>0.38000458478927601</v>
      </c>
      <c r="AB373" t="s">
        <v>5690</v>
      </c>
      <c r="AC373" t="s">
        <v>4562</v>
      </c>
      <c r="AD373" t="s">
        <v>5691</v>
      </c>
      <c r="AE373" t="s">
        <v>4655</v>
      </c>
      <c r="AF373" t="s">
        <v>4563</v>
      </c>
      <c r="AG373" t="s">
        <v>4564</v>
      </c>
      <c r="AH373">
        <v>89512</v>
      </c>
      <c r="AI373" t="s">
        <v>4655</v>
      </c>
      <c r="AJ373" t="s">
        <v>4655</v>
      </c>
      <c r="AK373" t="s">
        <v>4683</v>
      </c>
      <c r="AL373" s="13" t="s">
        <v>2257</v>
      </c>
      <c r="AM373">
        <v>2</v>
      </c>
      <c r="AN373" s="15" t="s">
        <v>4684</v>
      </c>
    </row>
    <row r="374" spans="1:40" x14ac:dyDescent="0.3">
      <c r="A374" s="10" t="str">
        <f>HYPERLINK("http://www.washoecounty.gov/assessor/cama/?parid=004-352-15&amp;CardNumber=1","004-352-15")</f>
        <v>004-352-15</v>
      </c>
      <c r="B374" t="s">
        <v>4655</v>
      </c>
      <c r="C374" t="s">
        <v>7210</v>
      </c>
      <c r="D374" s="1">
        <v>40464</v>
      </c>
      <c r="E374" s="2">
        <v>80000</v>
      </c>
      <c r="F374" t="s">
        <v>4553</v>
      </c>
      <c r="G374" s="17" t="str">
        <f>HYPERLINK("https://www.washoecounty.gov/assessor/cama/?command=sales&amp;parid=00435215","3932311")</f>
        <v>3932311</v>
      </c>
      <c r="H374" t="s">
        <v>7211</v>
      </c>
      <c r="I374">
        <v>1966</v>
      </c>
      <c r="J374">
        <v>1966</v>
      </c>
      <c r="K374" t="s">
        <v>4907</v>
      </c>
      <c r="L374" t="s">
        <v>4555</v>
      </c>
      <c r="M374" s="2">
        <v>1568</v>
      </c>
      <c r="N374" t="s">
        <v>4556</v>
      </c>
      <c r="O374">
        <v>4</v>
      </c>
      <c r="P374">
        <v>2</v>
      </c>
      <c r="Q374">
        <v>0</v>
      </c>
      <c r="R374" t="s">
        <v>4557</v>
      </c>
      <c r="S374" t="s">
        <v>3148</v>
      </c>
      <c r="T374" t="s">
        <v>4559</v>
      </c>
      <c r="U374" t="s">
        <v>4560</v>
      </c>
      <c r="V374" s="2">
        <v>462</v>
      </c>
      <c r="W374" t="s">
        <v>4655</v>
      </c>
      <c r="X374" s="2">
        <v>0</v>
      </c>
      <c r="Y374">
        <v>30</v>
      </c>
      <c r="Z374" t="s">
        <v>4686</v>
      </c>
      <c r="AA374" s="3">
        <v>0.14499540627002699</v>
      </c>
      <c r="AB374" t="s">
        <v>7212</v>
      </c>
      <c r="AC374" t="s">
        <v>4575</v>
      </c>
      <c r="AD374" t="s">
        <v>7213</v>
      </c>
      <c r="AE374" t="s">
        <v>4655</v>
      </c>
      <c r="AF374" t="s">
        <v>4752</v>
      </c>
      <c r="AG374" t="s">
        <v>4564</v>
      </c>
      <c r="AH374">
        <v>89509</v>
      </c>
      <c r="AI374" t="s">
        <v>7214</v>
      </c>
      <c r="AJ374" t="s">
        <v>4655</v>
      </c>
      <c r="AK374" t="s">
        <v>7215</v>
      </c>
      <c r="AL374" s="13" t="s">
        <v>2255</v>
      </c>
      <c r="AM374">
        <v>2</v>
      </c>
      <c r="AN374" s="15" t="s">
        <v>4684</v>
      </c>
    </row>
    <row r="375" spans="1:40" x14ac:dyDescent="0.3">
      <c r="A375" s="10" t="str">
        <f>HYPERLINK("http://www.washoecounty.gov/assessor/cama/?parid=004-370-03&amp;CardNumber=1","004-370-03")</f>
        <v>004-370-03</v>
      </c>
      <c r="B375" t="s">
        <v>4655</v>
      </c>
      <c r="C375" t="s">
        <v>7216</v>
      </c>
      <c r="D375" s="1">
        <v>40410</v>
      </c>
      <c r="E375" s="2">
        <v>15000</v>
      </c>
      <c r="F375" t="s">
        <v>4553</v>
      </c>
      <c r="G375" s="17" t="str">
        <f>HYPERLINK("https://www.washoecounty.gov/assessor/cama/?command=sales&amp;parid=00437003","3914317")</f>
        <v>3914317</v>
      </c>
      <c r="H375" t="s">
        <v>4797</v>
      </c>
      <c r="I375">
        <v>1971</v>
      </c>
      <c r="J375">
        <v>1971</v>
      </c>
      <c r="K375" t="s">
        <v>3144</v>
      </c>
      <c r="L375" t="s">
        <v>3974</v>
      </c>
      <c r="M375" s="2">
        <v>1166</v>
      </c>
      <c r="N375" t="s">
        <v>4556</v>
      </c>
      <c r="O375">
        <v>2</v>
      </c>
      <c r="P375">
        <v>1</v>
      </c>
      <c r="Q375">
        <v>1</v>
      </c>
      <c r="R375" t="s">
        <v>4557</v>
      </c>
      <c r="S375" t="s">
        <v>4135</v>
      </c>
      <c r="T375" t="s">
        <v>4559</v>
      </c>
      <c r="U375" t="s">
        <v>4655</v>
      </c>
      <c r="V375" s="2">
        <v>0</v>
      </c>
      <c r="W375" t="s">
        <v>4655</v>
      </c>
      <c r="X375" s="2">
        <v>0</v>
      </c>
      <c r="Y375">
        <v>21</v>
      </c>
      <c r="Z375" t="s">
        <v>2705</v>
      </c>
      <c r="AA375" s="3">
        <v>1.00000004749745E-3</v>
      </c>
      <c r="AB375" t="s">
        <v>7217</v>
      </c>
      <c r="AC375" t="s">
        <v>4575</v>
      </c>
      <c r="AD375" t="s">
        <v>7218</v>
      </c>
      <c r="AE375" t="s">
        <v>4655</v>
      </c>
      <c r="AF375" t="s">
        <v>1812</v>
      </c>
      <c r="AG375" t="s">
        <v>4584</v>
      </c>
      <c r="AH375" t="s">
        <v>7219</v>
      </c>
      <c r="AI375" t="s">
        <v>4655</v>
      </c>
      <c r="AJ375" t="s">
        <v>4655</v>
      </c>
      <c r="AK375" t="s">
        <v>7220</v>
      </c>
      <c r="AL375" s="13" t="s">
        <v>2257</v>
      </c>
      <c r="AM375" s="14">
        <v>1</v>
      </c>
      <c r="AN375" s="15" t="s">
        <v>4799</v>
      </c>
    </row>
    <row r="376" spans="1:40" x14ac:dyDescent="0.3">
      <c r="A376" s="10" t="str">
        <f>HYPERLINK("http://www.washoecounty.gov/assessor/cama/?parid=004-370-11&amp;CardNumber=1","004-370-11")</f>
        <v>004-370-11</v>
      </c>
      <c r="B376" t="s">
        <v>4655</v>
      </c>
      <c r="C376" t="s">
        <v>7221</v>
      </c>
      <c r="D376" s="1">
        <v>40319</v>
      </c>
      <c r="E376" s="2">
        <v>39900</v>
      </c>
      <c r="F376" t="s">
        <v>4567</v>
      </c>
      <c r="G376" s="17" t="str">
        <f>HYPERLINK("https://www.washoecounty.gov/assessor/cama/?command=sales&amp;parid=00437011","3883784")</f>
        <v>3883784</v>
      </c>
      <c r="H376" t="s">
        <v>4797</v>
      </c>
      <c r="I376">
        <v>1971</v>
      </c>
      <c r="J376">
        <v>1971</v>
      </c>
      <c r="K376" t="s">
        <v>3144</v>
      </c>
      <c r="L376" t="s">
        <v>3974</v>
      </c>
      <c r="M376" s="2">
        <v>1128</v>
      </c>
      <c r="N376" t="s">
        <v>4556</v>
      </c>
      <c r="O376">
        <v>2</v>
      </c>
      <c r="P376">
        <v>1</v>
      </c>
      <c r="Q376">
        <v>1</v>
      </c>
      <c r="R376" t="s">
        <v>4557</v>
      </c>
      <c r="S376" t="s">
        <v>4135</v>
      </c>
      <c r="T376" t="s">
        <v>4559</v>
      </c>
      <c r="U376" t="s">
        <v>4655</v>
      </c>
      <c r="V376" s="2">
        <v>0</v>
      </c>
      <c r="W376" t="s">
        <v>4655</v>
      </c>
      <c r="X376" s="2">
        <v>0</v>
      </c>
      <c r="Y376">
        <v>21</v>
      </c>
      <c r="Z376" t="s">
        <v>2705</v>
      </c>
      <c r="AA376" s="3">
        <v>1.00000004749745E-3</v>
      </c>
      <c r="AB376" t="s">
        <v>7222</v>
      </c>
      <c r="AC376" t="s">
        <v>4575</v>
      </c>
      <c r="AD376" t="s">
        <v>7223</v>
      </c>
      <c r="AE376" t="s">
        <v>4655</v>
      </c>
      <c r="AF376" t="s">
        <v>1189</v>
      </c>
      <c r="AG376" t="s">
        <v>4564</v>
      </c>
      <c r="AH376" t="s">
        <v>746</v>
      </c>
      <c r="AI376" t="s">
        <v>7224</v>
      </c>
      <c r="AJ376" t="s">
        <v>4655</v>
      </c>
      <c r="AK376" t="s">
        <v>7225</v>
      </c>
      <c r="AL376" s="13" t="s">
        <v>2257</v>
      </c>
      <c r="AM376" s="14">
        <v>1</v>
      </c>
      <c r="AN376" s="15" t="s">
        <v>4799</v>
      </c>
    </row>
    <row r="377" spans="1:40" x14ac:dyDescent="0.3">
      <c r="A377" s="10" t="str">
        <f>HYPERLINK("http://www.washoecounty.gov/assessor/cama/?parid=004-370-25&amp;CardNumber=1","004-370-25")</f>
        <v>004-370-25</v>
      </c>
      <c r="B377" t="s">
        <v>4655</v>
      </c>
      <c r="C377" t="s">
        <v>7226</v>
      </c>
      <c r="D377" s="1">
        <v>40389</v>
      </c>
      <c r="E377" s="2">
        <v>18000</v>
      </c>
      <c r="F377" t="s">
        <v>4553</v>
      </c>
      <c r="G377" s="17" t="str">
        <f>HYPERLINK("https://www.washoecounty.gov/assessor/cama/?command=sales&amp;parid=00437025","3906888")</f>
        <v>3906888</v>
      </c>
      <c r="H377" t="s">
        <v>4797</v>
      </c>
      <c r="I377">
        <v>1971</v>
      </c>
      <c r="J377">
        <v>1971</v>
      </c>
      <c r="K377" t="s">
        <v>3144</v>
      </c>
      <c r="L377" t="s">
        <v>3974</v>
      </c>
      <c r="M377" s="2">
        <v>1166</v>
      </c>
      <c r="N377" t="s">
        <v>4556</v>
      </c>
      <c r="O377">
        <v>2</v>
      </c>
      <c r="P377">
        <v>1</v>
      </c>
      <c r="Q377">
        <v>1</v>
      </c>
      <c r="R377" t="s">
        <v>4557</v>
      </c>
      <c r="S377" t="s">
        <v>4135</v>
      </c>
      <c r="T377" t="s">
        <v>4559</v>
      </c>
      <c r="U377" t="s">
        <v>4655</v>
      </c>
      <c r="V377" s="2">
        <v>0</v>
      </c>
      <c r="W377" t="s">
        <v>4655</v>
      </c>
      <c r="X377" s="2">
        <v>0</v>
      </c>
      <c r="Y377">
        <v>21</v>
      </c>
      <c r="Z377" t="s">
        <v>2705</v>
      </c>
      <c r="AA377" s="3">
        <v>1.00000004749745E-3</v>
      </c>
      <c r="AB377" t="s">
        <v>7227</v>
      </c>
      <c r="AC377" t="s">
        <v>4562</v>
      </c>
      <c r="AD377" t="s">
        <v>7228</v>
      </c>
      <c r="AE377" t="s">
        <v>4655</v>
      </c>
      <c r="AF377" t="s">
        <v>3114</v>
      </c>
      <c r="AG377" t="s">
        <v>4564</v>
      </c>
      <c r="AH377" t="s">
        <v>5197</v>
      </c>
      <c r="AI377" t="s">
        <v>4655</v>
      </c>
      <c r="AJ377" t="s">
        <v>4655</v>
      </c>
      <c r="AK377" t="s">
        <v>7229</v>
      </c>
      <c r="AL377" s="13" t="s">
        <v>2257</v>
      </c>
      <c r="AM377">
        <v>1</v>
      </c>
      <c r="AN377" s="15" t="s">
        <v>4799</v>
      </c>
    </row>
    <row r="378" spans="1:40" x14ac:dyDescent="0.3">
      <c r="A378" s="10" t="str">
        <f>HYPERLINK("http://www.washoecounty.gov/assessor/cama/?parid=004-370-36&amp;CardNumber=1","004-370-36")</f>
        <v>004-370-36</v>
      </c>
      <c r="B378" t="s">
        <v>4655</v>
      </c>
      <c r="C378" t="s">
        <v>7230</v>
      </c>
      <c r="D378" s="1">
        <v>40311</v>
      </c>
      <c r="E378" s="2">
        <v>51000</v>
      </c>
      <c r="F378" t="s">
        <v>4567</v>
      </c>
      <c r="G378" s="17" t="str">
        <f>HYPERLINK("https://www.washoecounty.gov/assessor/cama/?command=sales&amp;parid=00437036","3881269")</f>
        <v>3881269</v>
      </c>
      <c r="H378" t="s">
        <v>4797</v>
      </c>
      <c r="I378">
        <v>1971</v>
      </c>
      <c r="J378">
        <v>1971</v>
      </c>
      <c r="K378" t="s">
        <v>3144</v>
      </c>
      <c r="L378" t="s">
        <v>3974</v>
      </c>
      <c r="M378" s="2">
        <v>1166</v>
      </c>
      <c r="N378" t="s">
        <v>4556</v>
      </c>
      <c r="O378">
        <v>2</v>
      </c>
      <c r="P378">
        <v>1</v>
      </c>
      <c r="Q378">
        <v>1</v>
      </c>
      <c r="R378" t="s">
        <v>4557</v>
      </c>
      <c r="S378" t="s">
        <v>4135</v>
      </c>
      <c r="T378" t="s">
        <v>4559</v>
      </c>
      <c r="U378" t="s">
        <v>4655</v>
      </c>
      <c r="V378" s="2">
        <v>0</v>
      </c>
      <c r="W378" t="s">
        <v>4655</v>
      </c>
      <c r="X378" s="2">
        <v>0</v>
      </c>
      <c r="Y378">
        <v>21</v>
      </c>
      <c r="Z378" t="s">
        <v>2705</v>
      </c>
      <c r="AA378" s="3">
        <v>1.00000004749745E-3</v>
      </c>
      <c r="AB378" t="s">
        <v>7231</v>
      </c>
      <c r="AC378" t="s">
        <v>4562</v>
      </c>
      <c r="AD378" t="s">
        <v>7230</v>
      </c>
      <c r="AE378" t="s">
        <v>4655</v>
      </c>
      <c r="AF378" t="s">
        <v>4563</v>
      </c>
      <c r="AG378" t="s">
        <v>4564</v>
      </c>
      <c r="AH378">
        <v>89512</v>
      </c>
      <c r="AI378" t="s">
        <v>4655</v>
      </c>
      <c r="AJ378" t="s">
        <v>4655</v>
      </c>
      <c r="AK378" t="s">
        <v>7232</v>
      </c>
      <c r="AL378" s="13" t="s">
        <v>2257</v>
      </c>
      <c r="AM378" s="14">
        <v>1</v>
      </c>
      <c r="AN378" s="15" t="s">
        <v>4799</v>
      </c>
    </row>
    <row r="379" spans="1:40" x14ac:dyDescent="0.3">
      <c r="A379" s="10" t="str">
        <f>HYPERLINK("http://www.washoecounty.gov/assessor/cama/?parid=004-370-36&amp;CardNumber=1","004-370-36")</f>
        <v>004-370-36</v>
      </c>
      <c r="B379" t="s">
        <v>4655</v>
      </c>
      <c r="C379" t="s">
        <v>7230</v>
      </c>
      <c r="D379" s="1">
        <v>40295</v>
      </c>
      <c r="E379" s="2">
        <v>45000</v>
      </c>
      <c r="F379" t="s">
        <v>4553</v>
      </c>
      <c r="G379" s="17" t="str">
        <f>HYPERLINK("https://www.washoecounty.gov/assessor/cama/?command=sales&amp;parid=00437036","3875136")</f>
        <v>3875136</v>
      </c>
      <c r="H379" t="s">
        <v>4797</v>
      </c>
      <c r="I379">
        <v>1971</v>
      </c>
      <c r="J379">
        <v>1971</v>
      </c>
      <c r="K379" t="s">
        <v>3144</v>
      </c>
      <c r="L379" t="s">
        <v>3974</v>
      </c>
      <c r="M379" s="2">
        <v>1166</v>
      </c>
      <c r="N379" t="s">
        <v>4556</v>
      </c>
      <c r="O379">
        <v>2</v>
      </c>
      <c r="P379">
        <v>1</v>
      </c>
      <c r="Q379">
        <v>1</v>
      </c>
      <c r="R379" t="s">
        <v>4557</v>
      </c>
      <c r="S379" t="s">
        <v>4135</v>
      </c>
      <c r="T379" t="s">
        <v>4559</v>
      </c>
      <c r="U379" t="s">
        <v>4655</v>
      </c>
      <c r="V379" s="2">
        <v>0</v>
      </c>
      <c r="W379" t="s">
        <v>4655</v>
      </c>
      <c r="X379" s="2">
        <v>0</v>
      </c>
      <c r="Y379">
        <v>21</v>
      </c>
      <c r="Z379" t="s">
        <v>2705</v>
      </c>
      <c r="AA379" s="3">
        <v>1.00000004749745E-3</v>
      </c>
      <c r="AB379" t="s">
        <v>7231</v>
      </c>
      <c r="AC379" t="s">
        <v>4562</v>
      </c>
      <c r="AD379" t="s">
        <v>7230</v>
      </c>
      <c r="AE379" t="s">
        <v>4655</v>
      </c>
      <c r="AF379" t="s">
        <v>4563</v>
      </c>
      <c r="AG379" t="s">
        <v>4564</v>
      </c>
      <c r="AH379">
        <v>89512</v>
      </c>
      <c r="AI379" t="s">
        <v>4655</v>
      </c>
      <c r="AJ379" t="s">
        <v>4655</v>
      </c>
      <c r="AK379" t="s">
        <v>7232</v>
      </c>
      <c r="AL379" s="13" t="s">
        <v>2257</v>
      </c>
      <c r="AM379" s="14">
        <v>1</v>
      </c>
      <c r="AN379" s="15" t="s">
        <v>4799</v>
      </c>
    </row>
    <row r="380" spans="1:40" x14ac:dyDescent="0.3">
      <c r="A380" s="10" t="str">
        <f>HYPERLINK("http://www.washoecounty.gov/assessor/cama/?parid=004-370-38&amp;CardNumber=1","004-370-38")</f>
        <v>004-370-38</v>
      </c>
      <c r="B380" t="s">
        <v>4655</v>
      </c>
      <c r="C380" t="s">
        <v>7233</v>
      </c>
      <c r="D380" s="1">
        <v>40511</v>
      </c>
      <c r="E380" s="2">
        <v>19100</v>
      </c>
      <c r="F380" t="s">
        <v>4553</v>
      </c>
      <c r="G380" s="17" t="str">
        <f>HYPERLINK("https://www.washoecounty.gov/assessor/cama/?command=sales&amp;parid=00437038","3946963")</f>
        <v>3946963</v>
      </c>
      <c r="H380" t="s">
        <v>4797</v>
      </c>
      <c r="I380">
        <v>1971</v>
      </c>
      <c r="J380">
        <v>1971</v>
      </c>
      <c r="K380" t="s">
        <v>3144</v>
      </c>
      <c r="L380" t="s">
        <v>3974</v>
      </c>
      <c r="M380" s="2">
        <v>1128</v>
      </c>
      <c r="N380" t="s">
        <v>4556</v>
      </c>
      <c r="O380">
        <v>2</v>
      </c>
      <c r="P380">
        <v>1</v>
      </c>
      <c r="Q380">
        <v>1</v>
      </c>
      <c r="R380" t="s">
        <v>4557</v>
      </c>
      <c r="S380" t="s">
        <v>4135</v>
      </c>
      <c r="T380" t="s">
        <v>4559</v>
      </c>
      <c r="U380" t="s">
        <v>4655</v>
      </c>
      <c r="V380" s="2">
        <v>0</v>
      </c>
      <c r="W380" t="s">
        <v>4655</v>
      </c>
      <c r="X380" s="2">
        <v>0</v>
      </c>
      <c r="Y380">
        <v>21</v>
      </c>
      <c r="Z380" t="s">
        <v>2705</v>
      </c>
      <c r="AA380" s="3">
        <v>1.00000004749745E-3</v>
      </c>
      <c r="AB380" t="s">
        <v>7234</v>
      </c>
      <c r="AC380" t="s">
        <v>4562</v>
      </c>
      <c r="AD380" t="s">
        <v>7233</v>
      </c>
      <c r="AE380" t="s">
        <v>4655</v>
      </c>
      <c r="AF380" t="s">
        <v>4563</v>
      </c>
      <c r="AG380" t="s">
        <v>4564</v>
      </c>
      <c r="AH380">
        <v>89512</v>
      </c>
      <c r="AI380" t="s">
        <v>4585</v>
      </c>
      <c r="AJ380" t="s">
        <v>4655</v>
      </c>
      <c r="AK380" t="s">
        <v>7235</v>
      </c>
      <c r="AL380" s="13" t="s">
        <v>2257</v>
      </c>
      <c r="AM380">
        <v>1</v>
      </c>
      <c r="AN380" s="15" t="s">
        <v>4799</v>
      </c>
    </row>
    <row r="381" spans="1:40" x14ac:dyDescent="0.3">
      <c r="A381" s="10" t="str">
        <f>HYPERLINK("http://www.washoecounty.gov/assessor/cama/?parid=004-370-43&amp;CardNumber=1","004-370-43")</f>
        <v>004-370-43</v>
      </c>
      <c r="B381" t="s">
        <v>4655</v>
      </c>
      <c r="C381" t="s">
        <v>7236</v>
      </c>
      <c r="D381" s="1">
        <v>40309</v>
      </c>
      <c r="E381" s="2">
        <v>27000</v>
      </c>
      <c r="F381" t="s">
        <v>4553</v>
      </c>
      <c r="G381" s="17" t="str">
        <f>HYPERLINK("https://www.washoecounty.gov/assessor/cama/?command=sales&amp;parid=00437043","3880354")</f>
        <v>3880354</v>
      </c>
      <c r="H381" t="s">
        <v>4797</v>
      </c>
      <c r="I381">
        <v>1971</v>
      </c>
      <c r="J381">
        <v>1971</v>
      </c>
      <c r="K381" t="s">
        <v>4897</v>
      </c>
      <c r="L381" t="s">
        <v>3974</v>
      </c>
      <c r="M381" s="2">
        <v>1158</v>
      </c>
      <c r="N381" t="s">
        <v>4556</v>
      </c>
      <c r="O381">
        <v>3</v>
      </c>
      <c r="P381">
        <v>1</v>
      </c>
      <c r="Q381">
        <v>1</v>
      </c>
      <c r="R381" t="s">
        <v>4557</v>
      </c>
      <c r="S381" t="s">
        <v>4135</v>
      </c>
      <c r="T381" t="s">
        <v>4559</v>
      </c>
      <c r="U381" t="s">
        <v>4655</v>
      </c>
      <c r="V381" s="2">
        <v>0</v>
      </c>
      <c r="W381" t="s">
        <v>4655</v>
      </c>
      <c r="X381" s="2">
        <v>0</v>
      </c>
      <c r="Y381">
        <v>21</v>
      </c>
      <c r="Z381" t="s">
        <v>2705</v>
      </c>
      <c r="AA381" s="3">
        <v>1.00000004749745E-3</v>
      </c>
      <c r="AB381" t="s">
        <v>7237</v>
      </c>
      <c r="AC381" t="s">
        <v>4562</v>
      </c>
      <c r="AD381" t="s">
        <v>2285</v>
      </c>
      <c r="AE381" t="s">
        <v>4655</v>
      </c>
      <c r="AF381" t="s">
        <v>4563</v>
      </c>
      <c r="AG381" t="s">
        <v>4564</v>
      </c>
      <c r="AH381" t="s">
        <v>3949</v>
      </c>
      <c r="AI381" t="s">
        <v>2399</v>
      </c>
      <c r="AJ381" t="s">
        <v>4655</v>
      </c>
      <c r="AK381" t="s">
        <v>7238</v>
      </c>
      <c r="AL381" s="13" t="s">
        <v>2257</v>
      </c>
      <c r="AM381" s="14">
        <v>1</v>
      </c>
      <c r="AN381" s="15" t="s">
        <v>4799</v>
      </c>
    </row>
    <row r="382" spans="1:40" x14ac:dyDescent="0.3">
      <c r="A382" s="10" t="str">
        <f>HYPERLINK("http://www.washoecounty.gov/assessor/cama/?parid=004-370-55&amp;CardNumber=1","004-370-55")</f>
        <v>004-370-55</v>
      </c>
      <c r="B382" t="s">
        <v>4655</v>
      </c>
      <c r="C382" t="s">
        <v>7239</v>
      </c>
      <c r="D382" s="1">
        <v>40497</v>
      </c>
      <c r="E382" s="2">
        <v>30000</v>
      </c>
      <c r="F382" t="s">
        <v>4567</v>
      </c>
      <c r="G382" s="17" t="str">
        <f>HYPERLINK("https://www.washoecounty.gov/assessor/cama/?command=sales&amp;parid=00437055","3942913")</f>
        <v>3942913</v>
      </c>
      <c r="H382" t="s">
        <v>4797</v>
      </c>
      <c r="I382">
        <v>1971</v>
      </c>
      <c r="J382">
        <v>1971</v>
      </c>
      <c r="K382" t="s">
        <v>3144</v>
      </c>
      <c r="L382" t="s">
        <v>3974</v>
      </c>
      <c r="M382" s="2">
        <v>1326</v>
      </c>
      <c r="N382" t="s">
        <v>4556</v>
      </c>
      <c r="O382">
        <v>4</v>
      </c>
      <c r="P382">
        <v>2</v>
      </c>
      <c r="Q382">
        <v>1</v>
      </c>
      <c r="R382" t="s">
        <v>4557</v>
      </c>
      <c r="S382" t="s">
        <v>4135</v>
      </c>
      <c r="T382" t="s">
        <v>4559</v>
      </c>
      <c r="U382" t="s">
        <v>4655</v>
      </c>
      <c r="V382" s="2">
        <v>0</v>
      </c>
      <c r="W382" t="s">
        <v>4655</v>
      </c>
      <c r="X382" s="2">
        <v>0</v>
      </c>
      <c r="Y382">
        <v>21</v>
      </c>
      <c r="Z382" t="s">
        <v>2705</v>
      </c>
      <c r="AA382" s="3">
        <v>1.00000004749745E-3</v>
      </c>
      <c r="AB382" t="s">
        <v>7240</v>
      </c>
      <c r="AC382" t="s">
        <v>4562</v>
      </c>
      <c r="AD382" t="s">
        <v>7241</v>
      </c>
      <c r="AE382" t="s">
        <v>4655</v>
      </c>
      <c r="AF382" t="s">
        <v>3680</v>
      </c>
      <c r="AG382" t="s">
        <v>4584</v>
      </c>
      <c r="AH382">
        <v>95032</v>
      </c>
      <c r="AI382" t="s">
        <v>7242</v>
      </c>
      <c r="AJ382" t="s">
        <v>4655</v>
      </c>
      <c r="AK382" t="s">
        <v>7243</v>
      </c>
      <c r="AL382" s="13" t="s">
        <v>2257</v>
      </c>
      <c r="AM382">
        <v>1</v>
      </c>
      <c r="AN382" s="15" t="s">
        <v>4799</v>
      </c>
    </row>
    <row r="383" spans="1:40" x14ac:dyDescent="0.3">
      <c r="A383" s="10" t="str">
        <f>HYPERLINK("http://www.washoecounty.gov/assessor/cama/?parid=004-370-59&amp;CardNumber=1","004-370-59")</f>
        <v>004-370-59</v>
      </c>
      <c r="B383" t="s">
        <v>4655</v>
      </c>
      <c r="C383" t="s">
        <v>7244</v>
      </c>
      <c r="D383" s="1">
        <v>40259</v>
      </c>
      <c r="E383" s="2">
        <v>25000</v>
      </c>
      <c r="F383" t="s">
        <v>4553</v>
      </c>
      <c r="G383" s="17" t="str">
        <f>HYPERLINK("https://www.washoecounty.gov/assessor/cama/?command=sales&amp;parid=00437059","3862267")</f>
        <v>3862267</v>
      </c>
      <c r="H383" t="s">
        <v>4797</v>
      </c>
      <c r="I383">
        <v>1971</v>
      </c>
      <c r="J383">
        <v>1971</v>
      </c>
      <c r="K383" t="s">
        <v>4897</v>
      </c>
      <c r="L383" t="s">
        <v>4555</v>
      </c>
      <c r="M383" s="2">
        <v>1020</v>
      </c>
      <c r="N383" t="s">
        <v>4556</v>
      </c>
      <c r="O383">
        <v>3</v>
      </c>
      <c r="P383">
        <v>1</v>
      </c>
      <c r="Q383">
        <v>0</v>
      </c>
      <c r="R383" t="s">
        <v>4557</v>
      </c>
      <c r="S383" t="s">
        <v>4135</v>
      </c>
      <c r="T383" t="s">
        <v>4559</v>
      </c>
      <c r="U383" t="s">
        <v>4655</v>
      </c>
      <c r="V383" s="2">
        <v>0</v>
      </c>
      <c r="W383" t="s">
        <v>4655</v>
      </c>
      <c r="X383" s="2">
        <v>0</v>
      </c>
      <c r="Y383">
        <v>21</v>
      </c>
      <c r="Z383" t="s">
        <v>2705</v>
      </c>
      <c r="AA383" s="3">
        <v>1.00000004749745E-3</v>
      </c>
      <c r="AB383" t="s">
        <v>7245</v>
      </c>
      <c r="AC383" t="s">
        <v>4562</v>
      </c>
      <c r="AD383" t="s">
        <v>7246</v>
      </c>
      <c r="AE383" t="s">
        <v>4655</v>
      </c>
      <c r="AF383" t="s">
        <v>4798</v>
      </c>
      <c r="AG383" t="s">
        <v>1539</v>
      </c>
      <c r="AH383">
        <v>98102</v>
      </c>
      <c r="AI383" t="s">
        <v>378</v>
      </c>
      <c r="AJ383" t="s">
        <v>4655</v>
      </c>
      <c r="AK383" t="s">
        <v>7247</v>
      </c>
      <c r="AL383" s="13" t="s">
        <v>2257</v>
      </c>
      <c r="AM383">
        <v>1</v>
      </c>
      <c r="AN383" s="15" t="s">
        <v>4799</v>
      </c>
    </row>
    <row r="384" spans="1:40" x14ac:dyDescent="0.3">
      <c r="A384" s="10" t="str">
        <f>HYPERLINK("http://www.washoecounty.gov/assessor/cama/?parid=004-381-03&amp;CardNumber=1","004-381-03")</f>
        <v>004-381-03</v>
      </c>
      <c r="B384" t="s">
        <v>4655</v>
      </c>
      <c r="C384" t="s">
        <v>223</v>
      </c>
      <c r="D384" s="1">
        <v>40234</v>
      </c>
      <c r="E384" s="2">
        <v>16000</v>
      </c>
      <c r="F384" t="s">
        <v>4567</v>
      </c>
      <c r="G384" s="17" t="str">
        <f>HYPERLINK("https://www.washoecounty.gov/assessor/cama/?command=sales&amp;parid=00438103","3852740")</f>
        <v>3852740</v>
      </c>
      <c r="H384" t="s">
        <v>224</v>
      </c>
      <c r="I384">
        <v>1982</v>
      </c>
      <c r="J384">
        <v>1982</v>
      </c>
      <c r="K384" t="s">
        <v>4897</v>
      </c>
      <c r="L384" t="s">
        <v>4555</v>
      </c>
      <c r="M384" s="2">
        <v>668</v>
      </c>
      <c r="N384" t="s">
        <v>4556</v>
      </c>
      <c r="O384">
        <v>1</v>
      </c>
      <c r="P384">
        <v>1</v>
      </c>
      <c r="Q384">
        <v>0</v>
      </c>
      <c r="R384" t="s">
        <v>5281</v>
      </c>
      <c r="S384" t="s">
        <v>4558</v>
      </c>
      <c r="T384" t="s">
        <v>4899</v>
      </c>
      <c r="U384" t="s">
        <v>4655</v>
      </c>
      <c r="V384" s="2">
        <v>0</v>
      </c>
      <c r="W384" t="s">
        <v>4655</v>
      </c>
      <c r="X384" s="2">
        <v>0</v>
      </c>
      <c r="Y384">
        <v>21</v>
      </c>
      <c r="Z384" t="s">
        <v>2705</v>
      </c>
      <c r="AA384" s="3">
        <v>1.00000004749745E-3</v>
      </c>
      <c r="AB384" t="s">
        <v>7248</v>
      </c>
      <c r="AC384" t="s">
        <v>4562</v>
      </c>
      <c r="AD384" t="s">
        <v>7249</v>
      </c>
      <c r="AE384" t="s">
        <v>4655</v>
      </c>
      <c r="AF384" t="s">
        <v>225</v>
      </c>
      <c r="AG384" t="s">
        <v>4584</v>
      </c>
      <c r="AH384" t="s">
        <v>7250</v>
      </c>
      <c r="AI384" t="s">
        <v>7251</v>
      </c>
      <c r="AJ384" t="s">
        <v>4655</v>
      </c>
      <c r="AK384" t="s">
        <v>7252</v>
      </c>
      <c r="AL384" s="13" t="s">
        <v>2255</v>
      </c>
      <c r="AM384" s="14">
        <v>1</v>
      </c>
      <c r="AN384" s="15" t="s">
        <v>510</v>
      </c>
    </row>
    <row r="385" spans="1:40" x14ac:dyDescent="0.3">
      <c r="A385" s="10" t="str">
        <f>HYPERLINK("http://www.washoecounty.gov/assessor/cama/?parid=004-383-02&amp;CardNumber=1","004-383-02")</f>
        <v>004-383-02</v>
      </c>
      <c r="B385" t="s">
        <v>4655</v>
      </c>
      <c r="C385" t="s">
        <v>223</v>
      </c>
      <c r="D385" s="1">
        <v>40436</v>
      </c>
      <c r="E385" s="2">
        <v>16000</v>
      </c>
      <c r="F385" t="s">
        <v>4567</v>
      </c>
      <c r="G385" s="17" t="str">
        <f>HYPERLINK("https://www.washoecounty.gov/assessor/cama/?command=sales&amp;parid=00438302","3922561")</f>
        <v>3922561</v>
      </c>
      <c r="H385" t="s">
        <v>224</v>
      </c>
      <c r="I385">
        <v>1982</v>
      </c>
      <c r="J385">
        <v>1982</v>
      </c>
      <c r="K385" t="s">
        <v>4897</v>
      </c>
      <c r="L385" t="s">
        <v>4555</v>
      </c>
      <c r="M385" s="2">
        <v>668</v>
      </c>
      <c r="N385" t="s">
        <v>4556</v>
      </c>
      <c r="O385">
        <v>1</v>
      </c>
      <c r="P385">
        <v>1</v>
      </c>
      <c r="Q385">
        <v>0</v>
      </c>
      <c r="R385" t="s">
        <v>5281</v>
      </c>
      <c r="S385" t="s">
        <v>4558</v>
      </c>
      <c r="T385" t="s">
        <v>4899</v>
      </c>
      <c r="U385" t="s">
        <v>4655</v>
      </c>
      <c r="V385" s="2">
        <v>0</v>
      </c>
      <c r="W385" t="s">
        <v>4655</v>
      </c>
      <c r="X385" s="2">
        <v>0</v>
      </c>
      <c r="Y385">
        <v>21</v>
      </c>
      <c r="Z385" t="s">
        <v>2705</v>
      </c>
      <c r="AA385" s="3">
        <v>1.00000004749745E-3</v>
      </c>
      <c r="AB385" t="s">
        <v>7253</v>
      </c>
      <c r="AC385" t="s">
        <v>4562</v>
      </c>
      <c r="AD385" t="s">
        <v>7254</v>
      </c>
      <c r="AE385" t="s">
        <v>4655</v>
      </c>
      <c r="AF385" t="s">
        <v>4563</v>
      </c>
      <c r="AG385" t="s">
        <v>4564</v>
      </c>
      <c r="AH385">
        <v>89512</v>
      </c>
      <c r="AI385" t="s">
        <v>7255</v>
      </c>
      <c r="AJ385" t="s">
        <v>4655</v>
      </c>
      <c r="AK385" t="s">
        <v>7256</v>
      </c>
      <c r="AL385" s="13" t="s">
        <v>2255</v>
      </c>
      <c r="AM385" s="14">
        <v>1</v>
      </c>
      <c r="AN385" s="15" t="s">
        <v>510</v>
      </c>
    </row>
    <row r="386" spans="1:40" x14ac:dyDescent="0.3">
      <c r="A386" s="10" t="str">
        <f>HYPERLINK("http://www.washoecounty.gov/assessor/cama/?parid=004-391-19&amp;CardNumber=1","004-391-19")</f>
        <v>004-391-19</v>
      </c>
      <c r="B386" t="s">
        <v>4655</v>
      </c>
      <c r="C386" t="s">
        <v>7257</v>
      </c>
      <c r="D386" s="1">
        <v>40459</v>
      </c>
      <c r="E386" s="2">
        <v>39900</v>
      </c>
      <c r="F386" t="s">
        <v>4553</v>
      </c>
      <c r="G386" s="17" t="str">
        <f>HYPERLINK("https://www.washoecounty.gov/assessor/cama/?command=sales&amp;parid=00439119","3930982")</f>
        <v>3930982</v>
      </c>
      <c r="H386" t="s">
        <v>4685</v>
      </c>
      <c r="I386">
        <v>1984</v>
      </c>
      <c r="J386">
        <v>1984</v>
      </c>
      <c r="K386" t="s">
        <v>4847</v>
      </c>
      <c r="L386" t="s">
        <v>4555</v>
      </c>
      <c r="M386" s="2">
        <v>1176</v>
      </c>
      <c r="N386" t="s">
        <v>4048</v>
      </c>
      <c r="O386">
        <v>2</v>
      </c>
      <c r="P386">
        <v>2</v>
      </c>
      <c r="Q386">
        <v>0</v>
      </c>
      <c r="R386" t="s">
        <v>5281</v>
      </c>
      <c r="S386" t="s">
        <v>4558</v>
      </c>
      <c r="T386" t="s">
        <v>4559</v>
      </c>
      <c r="U386" t="s">
        <v>4655</v>
      </c>
      <c r="V386" s="2">
        <v>0</v>
      </c>
      <c r="W386" t="s">
        <v>4655</v>
      </c>
      <c r="X386" s="2">
        <v>0</v>
      </c>
      <c r="Y386">
        <v>22</v>
      </c>
      <c r="Z386" t="s">
        <v>4686</v>
      </c>
      <c r="AA386" s="3">
        <v>8.5996329784393297E-2</v>
      </c>
      <c r="AB386" t="s">
        <v>7258</v>
      </c>
      <c r="AC386" t="s">
        <v>4562</v>
      </c>
      <c r="AD386" t="s">
        <v>7257</v>
      </c>
      <c r="AE386" t="s">
        <v>4655</v>
      </c>
      <c r="AF386" t="s">
        <v>4563</v>
      </c>
      <c r="AG386" t="s">
        <v>4564</v>
      </c>
      <c r="AH386">
        <v>89512</v>
      </c>
      <c r="AI386" t="s">
        <v>4903</v>
      </c>
      <c r="AJ386" t="s">
        <v>4655</v>
      </c>
      <c r="AK386" t="s">
        <v>7259</v>
      </c>
      <c r="AL386" s="13" t="s">
        <v>2255</v>
      </c>
      <c r="AM386">
        <v>1</v>
      </c>
      <c r="AN386" s="15" t="s">
        <v>4614</v>
      </c>
    </row>
    <row r="387" spans="1:40" x14ac:dyDescent="0.3">
      <c r="A387" s="10" t="str">
        <f>HYPERLINK("http://www.washoecounty.gov/assessor/cama/?parid=004-391-20&amp;CardNumber=1","004-391-20")</f>
        <v>004-391-20</v>
      </c>
      <c r="B387" t="s">
        <v>4655</v>
      </c>
      <c r="C387" t="s">
        <v>7260</v>
      </c>
      <c r="D387" s="1">
        <v>40417</v>
      </c>
      <c r="E387" s="2">
        <v>48000</v>
      </c>
      <c r="F387" t="s">
        <v>4567</v>
      </c>
      <c r="G387" s="17" t="str">
        <f>HYPERLINK("https://www.washoecounty.gov/assessor/cama/?command=sales&amp;parid=00439120","3916584")</f>
        <v>3916584</v>
      </c>
      <c r="H387" t="s">
        <v>4685</v>
      </c>
      <c r="I387">
        <v>1984</v>
      </c>
      <c r="J387">
        <v>1984</v>
      </c>
      <c r="K387" t="s">
        <v>4847</v>
      </c>
      <c r="L387" t="s">
        <v>4555</v>
      </c>
      <c r="M387" s="2">
        <v>1152</v>
      </c>
      <c r="N387" t="s">
        <v>4048</v>
      </c>
      <c r="O387">
        <v>3</v>
      </c>
      <c r="P387">
        <v>2</v>
      </c>
      <c r="Q387">
        <v>0</v>
      </c>
      <c r="R387" t="s">
        <v>5281</v>
      </c>
      <c r="S387" t="s">
        <v>4558</v>
      </c>
      <c r="T387" t="s">
        <v>4559</v>
      </c>
      <c r="U387" t="s">
        <v>4655</v>
      </c>
      <c r="V387" s="2">
        <v>0</v>
      </c>
      <c r="W387" t="s">
        <v>4655</v>
      </c>
      <c r="X387" s="2">
        <v>0</v>
      </c>
      <c r="Y387">
        <v>22</v>
      </c>
      <c r="Z387" t="s">
        <v>4686</v>
      </c>
      <c r="AA387" s="3">
        <v>8.5009180009365096E-2</v>
      </c>
      <c r="AB387" t="s">
        <v>7261</v>
      </c>
      <c r="AC387" t="s">
        <v>4575</v>
      </c>
      <c r="AD387" t="s">
        <v>7262</v>
      </c>
      <c r="AE387" t="s">
        <v>7260</v>
      </c>
      <c r="AF387" t="s">
        <v>4563</v>
      </c>
      <c r="AG387" t="s">
        <v>4564</v>
      </c>
      <c r="AH387">
        <v>89512</v>
      </c>
      <c r="AI387" t="s">
        <v>7263</v>
      </c>
      <c r="AJ387" t="s">
        <v>4655</v>
      </c>
      <c r="AK387" t="s">
        <v>7264</v>
      </c>
      <c r="AL387" s="13" t="s">
        <v>2255</v>
      </c>
      <c r="AM387">
        <v>1</v>
      </c>
      <c r="AN387" s="15" t="s">
        <v>4614</v>
      </c>
    </row>
    <row r="388" spans="1:40" x14ac:dyDescent="0.3">
      <c r="A388" s="10" t="str">
        <f>HYPERLINK("http://www.washoecounty.gov/assessor/cama/?parid=004-391-24&amp;CardNumber=1","004-391-24")</f>
        <v>004-391-24</v>
      </c>
      <c r="B388" t="s">
        <v>4655</v>
      </c>
      <c r="C388" t="s">
        <v>7265</v>
      </c>
      <c r="D388" s="1">
        <v>40378</v>
      </c>
      <c r="E388" s="2">
        <v>59000</v>
      </c>
      <c r="F388" t="s">
        <v>4567</v>
      </c>
      <c r="G388" s="17" t="str">
        <f>HYPERLINK("https://www.washoecounty.gov/assessor/cama/?command=sales&amp;parid=00439124","3902635")</f>
        <v>3902635</v>
      </c>
      <c r="H388" t="s">
        <v>4685</v>
      </c>
      <c r="I388">
        <v>1985</v>
      </c>
      <c r="J388">
        <v>1985</v>
      </c>
      <c r="K388" t="s">
        <v>4847</v>
      </c>
      <c r="L388" t="s">
        <v>4555</v>
      </c>
      <c r="M388" s="2">
        <v>1176</v>
      </c>
      <c r="N388" t="s">
        <v>4048</v>
      </c>
      <c r="O388">
        <v>3</v>
      </c>
      <c r="P388">
        <v>2</v>
      </c>
      <c r="Q388">
        <v>0</v>
      </c>
      <c r="R388" t="s">
        <v>4557</v>
      </c>
      <c r="S388" t="s">
        <v>4558</v>
      </c>
      <c r="T388" t="s">
        <v>4559</v>
      </c>
      <c r="U388" t="s">
        <v>4560</v>
      </c>
      <c r="V388" s="2">
        <v>264</v>
      </c>
      <c r="W388" t="s">
        <v>4655</v>
      </c>
      <c r="X388" s="2">
        <v>0</v>
      </c>
      <c r="Y388">
        <v>22</v>
      </c>
      <c r="Z388" t="s">
        <v>4686</v>
      </c>
      <c r="AA388" s="3">
        <v>8.9003674685955006E-2</v>
      </c>
      <c r="AB388" t="s">
        <v>7266</v>
      </c>
      <c r="AC388" t="s">
        <v>4575</v>
      </c>
      <c r="AD388" t="s">
        <v>7267</v>
      </c>
      <c r="AE388" t="s">
        <v>7268</v>
      </c>
      <c r="AF388" t="s">
        <v>2561</v>
      </c>
      <c r="AG388" t="s">
        <v>4584</v>
      </c>
      <c r="AH388" t="s">
        <v>3926</v>
      </c>
      <c r="AI388" t="s">
        <v>7269</v>
      </c>
      <c r="AJ388" t="s">
        <v>4655</v>
      </c>
      <c r="AK388" t="s">
        <v>7270</v>
      </c>
      <c r="AL388" s="13" t="s">
        <v>2255</v>
      </c>
      <c r="AM388" s="14">
        <v>1</v>
      </c>
      <c r="AN388" s="15" t="s">
        <v>4614</v>
      </c>
    </row>
    <row r="389" spans="1:40" x14ac:dyDescent="0.3">
      <c r="A389" s="10" t="str">
        <f>HYPERLINK("http://www.washoecounty.gov/assessor/cama/?parid=004-391-30&amp;CardNumber=1","004-391-30")</f>
        <v>004-391-30</v>
      </c>
      <c r="B389" t="s">
        <v>4655</v>
      </c>
      <c r="C389" t="s">
        <v>7271</v>
      </c>
      <c r="D389" s="1">
        <v>40466</v>
      </c>
      <c r="E389" s="2">
        <v>35500</v>
      </c>
      <c r="F389" t="s">
        <v>4567</v>
      </c>
      <c r="G389" s="17" t="str">
        <f>HYPERLINK("https://www.washoecounty.gov/assessor/cama/?command=sales&amp;parid=00439130","3933765")</f>
        <v>3933765</v>
      </c>
      <c r="H389" t="s">
        <v>4685</v>
      </c>
      <c r="I389">
        <v>1988</v>
      </c>
      <c r="J389">
        <v>1988</v>
      </c>
      <c r="K389" t="s">
        <v>4847</v>
      </c>
      <c r="L389" t="s">
        <v>4555</v>
      </c>
      <c r="M389" s="2">
        <v>1232</v>
      </c>
      <c r="N389" t="s">
        <v>4048</v>
      </c>
      <c r="O389">
        <v>3</v>
      </c>
      <c r="P389">
        <v>2</v>
      </c>
      <c r="Q389">
        <v>0</v>
      </c>
      <c r="R389" t="s">
        <v>4557</v>
      </c>
      <c r="S389" t="s">
        <v>4558</v>
      </c>
      <c r="T389" t="s">
        <v>4559</v>
      </c>
      <c r="U389" t="s">
        <v>4655</v>
      </c>
      <c r="V389" s="2">
        <v>0</v>
      </c>
      <c r="W389" t="s">
        <v>4655</v>
      </c>
      <c r="X389" s="2">
        <v>0</v>
      </c>
      <c r="Y389">
        <v>22</v>
      </c>
      <c r="Z389" t="s">
        <v>4686</v>
      </c>
      <c r="AA389" s="3">
        <v>9.2011019587516799E-2</v>
      </c>
      <c r="AB389" t="s">
        <v>1626</v>
      </c>
      <c r="AC389" t="s">
        <v>4562</v>
      </c>
      <c r="AD389" t="s">
        <v>1232</v>
      </c>
      <c r="AE389" t="s">
        <v>4655</v>
      </c>
      <c r="AF389" t="s">
        <v>1600</v>
      </c>
      <c r="AG389" t="s">
        <v>4564</v>
      </c>
      <c r="AH389" t="s">
        <v>1601</v>
      </c>
      <c r="AI389" t="s">
        <v>7272</v>
      </c>
      <c r="AJ389" t="s">
        <v>4655</v>
      </c>
      <c r="AK389" t="s">
        <v>7273</v>
      </c>
      <c r="AL389" s="13" t="s">
        <v>2255</v>
      </c>
      <c r="AM389">
        <v>1</v>
      </c>
      <c r="AN389" s="15" t="s">
        <v>4614</v>
      </c>
    </row>
    <row r="390" spans="1:40" x14ac:dyDescent="0.3">
      <c r="A390" s="10" t="str">
        <f>HYPERLINK("http://www.washoecounty.gov/assessor/cama/?parid=004-391-30&amp;CardNumber=1","004-391-30")</f>
        <v>004-391-30</v>
      </c>
      <c r="B390" t="s">
        <v>4655</v>
      </c>
      <c r="C390" t="s">
        <v>7271</v>
      </c>
      <c r="D390" s="1">
        <v>40347</v>
      </c>
      <c r="E390" s="2">
        <v>39150</v>
      </c>
      <c r="F390" t="s">
        <v>4553</v>
      </c>
      <c r="G390" s="17" t="str">
        <f>HYPERLINK("https://www.washoecounty.gov/assessor/cama/?command=sales&amp;parid=00439130","3893253")</f>
        <v>3893253</v>
      </c>
      <c r="H390" t="s">
        <v>4685</v>
      </c>
      <c r="I390">
        <v>1988</v>
      </c>
      <c r="J390">
        <v>1988</v>
      </c>
      <c r="K390" t="s">
        <v>4847</v>
      </c>
      <c r="L390" t="s">
        <v>4555</v>
      </c>
      <c r="M390" s="2">
        <v>1232</v>
      </c>
      <c r="N390" t="s">
        <v>4048</v>
      </c>
      <c r="O390">
        <v>3</v>
      </c>
      <c r="P390">
        <v>2</v>
      </c>
      <c r="Q390">
        <v>0</v>
      </c>
      <c r="R390" t="s">
        <v>4557</v>
      </c>
      <c r="S390" t="s">
        <v>4558</v>
      </c>
      <c r="T390" t="s">
        <v>4559</v>
      </c>
      <c r="U390" t="s">
        <v>4655</v>
      </c>
      <c r="V390" s="2">
        <v>0</v>
      </c>
      <c r="W390" t="s">
        <v>4655</v>
      </c>
      <c r="X390" s="2">
        <v>0</v>
      </c>
      <c r="Y390">
        <v>22</v>
      </c>
      <c r="Z390" t="s">
        <v>4686</v>
      </c>
      <c r="AA390" s="3">
        <v>9.2011019587516799E-2</v>
      </c>
      <c r="AB390" t="s">
        <v>1626</v>
      </c>
      <c r="AC390" t="s">
        <v>4562</v>
      </c>
      <c r="AD390" t="s">
        <v>1232</v>
      </c>
      <c r="AE390" t="s">
        <v>4655</v>
      </c>
      <c r="AF390" t="s">
        <v>1600</v>
      </c>
      <c r="AG390" t="s">
        <v>4564</v>
      </c>
      <c r="AH390" t="s">
        <v>1601</v>
      </c>
      <c r="AI390" t="s">
        <v>7272</v>
      </c>
      <c r="AJ390" t="s">
        <v>4655</v>
      </c>
      <c r="AK390" t="s">
        <v>7273</v>
      </c>
      <c r="AL390" s="13" t="s">
        <v>2255</v>
      </c>
      <c r="AM390" s="14">
        <v>1</v>
      </c>
      <c r="AN390" s="15" t="s">
        <v>4614</v>
      </c>
    </row>
    <row r="391" spans="1:40" x14ac:dyDescent="0.3">
      <c r="A391" s="10" t="str">
        <f>HYPERLINK("http://www.washoecounty.gov/assessor/cama/?parid=004-391-37&amp;CardNumber=1","004-391-37")</f>
        <v>004-391-37</v>
      </c>
      <c r="B391" t="s">
        <v>4655</v>
      </c>
      <c r="C391" t="s">
        <v>7274</v>
      </c>
      <c r="D391" s="1">
        <v>40276</v>
      </c>
      <c r="E391" s="2">
        <v>44900</v>
      </c>
      <c r="F391" t="s">
        <v>4553</v>
      </c>
      <c r="G391" s="17" t="str">
        <f>HYPERLINK("https://www.washoecounty.gov/assessor/cama/?command=sales&amp;parid=00439137","3868987")</f>
        <v>3868987</v>
      </c>
      <c r="H391" t="s">
        <v>4685</v>
      </c>
      <c r="I391">
        <v>1984</v>
      </c>
      <c r="J391">
        <v>1984</v>
      </c>
      <c r="K391" t="s">
        <v>4847</v>
      </c>
      <c r="L391" t="s">
        <v>4555</v>
      </c>
      <c r="M391" s="2">
        <v>1152</v>
      </c>
      <c r="N391" t="s">
        <v>4048</v>
      </c>
      <c r="O391">
        <v>2</v>
      </c>
      <c r="P391">
        <v>2</v>
      </c>
      <c r="Q391">
        <v>0</v>
      </c>
      <c r="R391" t="s">
        <v>4557</v>
      </c>
      <c r="S391" t="s">
        <v>4558</v>
      </c>
      <c r="T391" t="s">
        <v>4559</v>
      </c>
      <c r="U391" t="s">
        <v>4655</v>
      </c>
      <c r="V391" s="2">
        <v>0</v>
      </c>
      <c r="W391" t="s">
        <v>4655</v>
      </c>
      <c r="X391" s="2">
        <v>0</v>
      </c>
      <c r="Y391">
        <v>22</v>
      </c>
      <c r="Z391" t="s">
        <v>4686</v>
      </c>
      <c r="AA391" s="3">
        <v>0.117011018097401</v>
      </c>
      <c r="AB391" t="s">
        <v>7275</v>
      </c>
      <c r="AC391" t="s">
        <v>4575</v>
      </c>
      <c r="AD391" t="s">
        <v>7276</v>
      </c>
      <c r="AE391" t="s">
        <v>7277</v>
      </c>
      <c r="AF391" t="s">
        <v>7278</v>
      </c>
      <c r="AG391" t="s">
        <v>4584</v>
      </c>
      <c r="AH391" t="s">
        <v>3998</v>
      </c>
      <c r="AI391" t="s">
        <v>2351</v>
      </c>
      <c r="AJ391" t="s">
        <v>4655</v>
      </c>
      <c r="AK391" t="s">
        <v>7279</v>
      </c>
      <c r="AL391" s="13" t="s">
        <v>2255</v>
      </c>
      <c r="AM391" s="14">
        <v>1</v>
      </c>
      <c r="AN391" s="15" t="s">
        <v>4614</v>
      </c>
    </row>
    <row r="392" spans="1:40" x14ac:dyDescent="0.3">
      <c r="A392" s="10" t="str">
        <f>HYPERLINK("http://www.washoecounty.gov/assessor/cama/?parid=004-391-42&amp;CardNumber=1","004-391-42")</f>
        <v>004-391-42</v>
      </c>
      <c r="B392" t="s">
        <v>4655</v>
      </c>
      <c r="C392" t="s">
        <v>7280</v>
      </c>
      <c r="D392" s="1">
        <v>40437</v>
      </c>
      <c r="E392" s="2">
        <v>47000</v>
      </c>
      <c r="F392" t="s">
        <v>4553</v>
      </c>
      <c r="G392" s="17" t="str">
        <f>HYPERLINK("https://www.washoecounty.gov/assessor/cama/?command=sales&amp;parid=00439142","3922956")</f>
        <v>3922956</v>
      </c>
      <c r="H392" t="s">
        <v>4685</v>
      </c>
      <c r="I392">
        <v>1984</v>
      </c>
      <c r="J392">
        <v>1984</v>
      </c>
      <c r="K392" t="s">
        <v>4847</v>
      </c>
      <c r="L392" t="s">
        <v>4555</v>
      </c>
      <c r="M392" s="2">
        <v>1446</v>
      </c>
      <c r="N392" t="s">
        <v>4048</v>
      </c>
      <c r="O392">
        <v>3</v>
      </c>
      <c r="P392">
        <v>2</v>
      </c>
      <c r="Q392">
        <v>0</v>
      </c>
      <c r="R392" t="s">
        <v>4557</v>
      </c>
      <c r="S392" t="s">
        <v>4558</v>
      </c>
      <c r="T392" t="s">
        <v>4559</v>
      </c>
      <c r="U392" t="s">
        <v>4655</v>
      </c>
      <c r="V392" s="2">
        <v>0</v>
      </c>
      <c r="W392" t="s">
        <v>4655</v>
      </c>
      <c r="X392" s="2">
        <v>0</v>
      </c>
      <c r="Y392">
        <v>22</v>
      </c>
      <c r="Z392" t="s">
        <v>4686</v>
      </c>
      <c r="AA392" s="3">
        <v>0.151010096073151</v>
      </c>
      <c r="AB392" t="s">
        <v>7281</v>
      </c>
      <c r="AC392" t="s">
        <v>4562</v>
      </c>
      <c r="AD392" t="s">
        <v>7282</v>
      </c>
      <c r="AE392" t="s">
        <v>4655</v>
      </c>
      <c r="AF392" t="s">
        <v>4563</v>
      </c>
      <c r="AG392" t="s">
        <v>4564</v>
      </c>
      <c r="AH392">
        <v>89512</v>
      </c>
      <c r="AI392" t="s">
        <v>4848</v>
      </c>
      <c r="AJ392" t="s">
        <v>4655</v>
      </c>
      <c r="AK392" t="s">
        <v>7283</v>
      </c>
      <c r="AL392" s="13" t="s">
        <v>2255</v>
      </c>
      <c r="AM392">
        <v>1</v>
      </c>
      <c r="AN392" s="15" t="s">
        <v>4614</v>
      </c>
    </row>
    <row r="393" spans="1:40" x14ac:dyDescent="0.3">
      <c r="A393" s="10" t="str">
        <f>HYPERLINK("http://www.washoecounty.gov/assessor/cama/?parid=004-391-44&amp;CardNumber=1","004-391-44")</f>
        <v>004-391-44</v>
      </c>
      <c r="B393" t="s">
        <v>4655</v>
      </c>
      <c r="C393" t="s">
        <v>7284</v>
      </c>
      <c r="D393" s="1">
        <v>40361</v>
      </c>
      <c r="E393" s="2">
        <v>65000</v>
      </c>
      <c r="F393" t="s">
        <v>4553</v>
      </c>
      <c r="G393" s="17" t="str">
        <f>HYPERLINK("https://www.washoecounty.gov/assessor/cama/?command=sales&amp;parid=00439144","3898145")</f>
        <v>3898145</v>
      </c>
      <c r="H393" t="s">
        <v>4685</v>
      </c>
      <c r="I393">
        <v>1984</v>
      </c>
      <c r="J393">
        <v>1984</v>
      </c>
      <c r="K393" t="s">
        <v>4847</v>
      </c>
      <c r="L393" t="s">
        <v>4555</v>
      </c>
      <c r="M393" s="2">
        <v>1860</v>
      </c>
      <c r="N393" t="s">
        <v>4048</v>
      </c>
      <c r="O393">
        <v>3</v>
      </c>
      <c r="P393">
        <v>2</v>
      </c>
      <c r="Q393">
        <v>0</v>
      </c>
      <c r="R393" t="s">
        <v>4557</v>
      </c>
      <c r="S393" t="s">
        <v>4558</v>
      </c>
      <c r="T393" t="s">
        <v>4559</v>
      </c>
      <c r="U393" t="s">
        <v>4560</v>
      </c>
      <c r="V393" s="2">
        <v>240</v>
      </c>
      <c r="W393" t="s">
        <v>4655</v>
      </c>
      <c r="X393" s="2">
        <v>0</v>
      </c>
      <c r="Y393">
        <v>22</v>
      </c>
      <c r="Z393" t="s">
        <v>4686</v>
      </c>
      <c r="AA393" s="3">
        <v>0.12601010501384699</v>
      </c>
      <c r="AB393" t="s">
        <v>7285</v>
      </c>
      <c r="AC393" t="s">
        <v>4562</v>
      </c>
      <c r="AD393" t="s">
        <v>7286</v>
      </c>
      <c r="AE393" t="s">
        <v>4655</v>
      </c>
      <c r="AF393" t="s">
        <v>2751</v>
      </c>
      <c r="AG393" t="s">
        <v>4584</v>
      </c>
      <c r="AH393">
        <v>90007</v>
      </c>
      <c r="AI393" t="s">
        <v>4655</v>
      </c>
      <c r="AJ393" t="s">
        <v>4655</v>
      </c>
      <c r="AK393" t="s">
        <v>7287</v>
      </c>
      <c r="AL393" s="13" t="s">
        <v>2255</v>
      </c>
      <c r="AM393" s="14">
        <v>1</v>
      </c>
      <c r="AN393" s="15" t="s">
        <v>4614</v>
      </c>
    </row>
    <row r="394" spans="1:40" x14ac:dyDescent="0.3">
      <c r="A394" s="10" t="str">
        <f>HYPERLINK("http://www.washoecounty.gov/assessor/cama/?parid=004-392-20&amp;CardNumber=1","004-392-20")</f>
        <v>004-392-20</v>
      </c>
      <c r="B394" t="s">
        <v>4655</v>
      </c>
      <c r="C394" t="s">
        <v>7288</v>
      </c>
      <c r="D394" s="1">
        <v>40343</v>
      </c>
      <c r="E394" s="2">
        <v>40000</v>
      </c>
      <c r="F394" t="s">
        <v>4553</v>
      </c>
      <c r="G394" s="17" t="str">
        <f>HYPERLINK("https://www.washoecounty.gov/assessor/cama/?command=sales&amp;parid=00439220","3891321")</f>
        <v>3891321</v>
      </c>
      <c r="H394" t="s">
        <v>4685</v>
      </c>
      <c r="I394">
        <v>1985</v>
      </c>
      <c r="J394">
        <v>1985</v>
      </c>
      <c r="K394" t="s">
        <v>4847</v>
      </c>
      <c r="L394" t="s">
        <v>4555</v>
      </c>
      <c r="M394" s="2">
        <v>1152</v>
      </c>
      <c r="N394" t="s">
        <v>4048</v>
      </c>
      <c r="O394">
        <v>2</v>
      </c>
      <c r="P394">
        <v>2</v>
      </c>
      <c r="Q394">
        <v>0</v>
      </c>
      <c r="R394" t="s">
        <v>4557</v>
      </c>
      <c r="S394" t="s">
        <v>4898</v>
      </c>
      <c r="T394" t="s">
        <v>4559</v>
      </c>
      <c r="U394" t="s">
        <v>4655</v>
      </c>
      <c r="V394" s="2">
        <v>0</v>
      </c>
      <c r="W394" t="s">
        <v>4655</v>
      </c>
      <c r="X394" s="2">
        <v>0</v>
      </c>
      <c r="Y394">
        <v>22</v>
      </c>
      <c r="Z394" t="s">
        <v>4686</v>
      </c>
      <c r="AA394" s="3">
        <v>0.11000918596983</v>
      </c>
      <c r="AB394" t="s">
        <v>7289</v>
      </c>
      <c r="AC394" t="s">
        <v>4562</v>
      </c>
      <c r="AD394" t="s">
        <v>7290</v>
      </c>
      <c r="AE394" t="s">
        <v>4655</v>
      </c>
      <c r="AF394" t="s">
        <v>4563</v>
      </c>
      <c r="AG394" t="s">
        <v>4564</v>
      </c>
      <c r="AH394">
        <v>89512</v>
      </c>
      <c r="AI394" t="s">
        <v>7291</v>
      </c>
      <c r="AJ394" t="s">
        <v>4655</v>
      </c>
      <c r="AK394" t="s">
        <v>7292</v>
      </c>
      <c r="AL394" s="13" t="s">
        <v>2255</v>
      </c>
      <c r="AM394" s="14">
        <v>1</v>
      </c>
      <c r="AN394" s="15" t="s">
        <v>4614</v>
      </c>
    </row>
    <row r="395" spans="1:40" x14ac:dyDescent="0.3">
      <c r="A395" s="10" t="str">
        <f>HYPERLINK("http://www.washoecounty.gov/assessor/cama/?parid=004-392-23&amp;CardNumber=1","004-392-23")</f>
        <v>004-392-23</v>
      </c>
      <c r="B395" t="s">
        <v>4655</v>
      </c>
      <c r="C395" t="s">
        <v>7293</v>
      </c>
      <c r="D395" s="1">
        <v>40504</v>
      </c>
      <c r="E395" s="2">
        <v>38900</v>
      </c>
      <c r="F395" t="s">
        <v>4553</v>
      </c>
      <c r="G395" s="17" t="str">
        <f>HYPERLINK("https://www.washoecounty.gov/assessor/cama/?command=sales&amp;parid=00439223","3945386")</f>
        <v>3945386</v>
      </c>
      <c r="H395" t="s">
        <v>4685</v>
      </c>
      <c r="I395">
        <v>1985</v>
      </c>
      <c r="J395">
        <v>1985</v>
      </c>
      <c r="K395" t="s">
        <v>4847</v>
      </c>
      <c r="L395" t="s">
        <v>4555</v>
      </c>
      <c r="M395" s="2">
        <v>1152</v>
      </c>
      <c r="N395" t="s">
        <v>4048</v>
      </c>
      <c r="O395">
        <v>3</v>
      </c>
      <c r="P395">
        <v>2</v>
      </c>
      <c r="Q395">
        <v>0</v>
      </c>
      <c r="R395" t="s">
        <v>4557</v>
      </c>
      <c r="S395" t="s">
        <v>4135</v>
      </c>
      <c r="T395" t="s">
        <v>4559</v>
      </c>
      <c r="U395" t="s">
        <v>4655</v>
      </c>
      <c r="V395" s="2">
        <v>0</v>
      </c>
      <c r="W395" t="s">
        <v>4655</v>
      </c>
      <c r="X395" s="2">
        <v>0</v>
      </c>
      <c r="Y395">
        <v>22</v>
      </c>
      <c r="Z395" t="s">
        <v>4686</v>
      </c>
      <c r="AA395" s="3">
        <v>8.0991737544536604E-2</v>
      </c>
      <c r="AB395" t="s">
        <v>1228</v>
      </c>
      <c r="AC395" t="s">
        <v>4562</v>
      </c>
      <c r="AD395" t="s">
        <v>1229</v>
      </c>
      <c r="AE395" t="s">
        <v>4655</v>
      </c>
      <c r="AF395" t="s">
        <v>4563</v>
      </c>
      <c r="AG395" t="s">
        <v>4564</v>
      </c>
      <c r="AH395">
        <v>89509</v>
      </c>
      <c r="AI395" t="s">
        <v>4655</v>
      </c>
      <c r="AJ395" t="s">
        <v>4655</v>
      </c>
      <c r="AK395" t="s">
        <v>7294</v>
      </c>
      <c r="AL395" s="13" t="s">
        <v>2255</v>
      </c>
      <c r="AM395">
        <v>1</v>
      </c>
      <c r="AN395" s="15" t="s">
        <v>4614</v>
      </c>
    </row>
    <row r="396" spans="1:40" x14ac:dyDescent="0.3">
      <c r="A396" s="10" t="str">
        <f>HYPERLINK("http://www.washoecounty.gov/assessor/cama/?parid=004-392-24&amp;CardNumber=1","004-392-24")</f>
        <v>004-392-24</v>
      </c>
      <c r="B396" t="s">
        <v>4655</v>
      </c>
      <c r="C396" t="s">
        <v>7295</v>
      </c>
      <c r="D396" s="1">
        <v>40491</v>
      </c>
      <c r="E396" s="2">
        <v>46000</v>
      </c>
      <c r="F396" t="s">
        <v>4567</v>
      </c>
      <c r="G396" s="17" t="str">
        <f>HYPERLINK("https://www.washoecounty.gov/assessor/cama/?command=sales&amp;parid=00439224","3941299")</f>
        <v>3941299</v>
      </c>
      <c r="H396" t="s">
        <v>4685</v>
      </c>
      <c r="I396">
        <v>1984</v>
      </c>
      <c r="J396">
        <v>1984</v>
      </c>
      <c r="K396" t="s">
        <v>4847</v>
      </c>
      <c r="L396" t="s">
        <v>4555</v>
      </c>
      <c r="M396" s="2">
        <v>1176</v>
      </c>
      <c r="N396" t="s">
        <v>4048</v>
      </c>
      <c r="O396">
        <v>2</v>
      </c>
      <c r="P396">
        <v>2</v>
      </c>
      <c r="Q396">
        <v>0</v>
      </c>
      <c r="R396" t="s">
        <v>4557</v>
      </c>
      <c r="S396" t="s">
        <v>4558</v>
      </c>
      <c r="T396" t="s">
        <v>4559</v>
      </c>
      <c r="U396" t="s">
        <v>4655</v>
      </c>
      <c r="V396" s="2">
        <v>0</v>
      </c>
      <c r="W396" t="s">
        <v>4655</v>
      </c>
      <c r="X396" s="2">
        <v>0</v>
      </c>
      <c r="Y396">
        <v>22</v>
      </c>
      <c r="Z396" t="s">
        <v>4686</v>
      </c>
      <c r="AA396" s="3">
        <v>0.110996328294277</v>
      </c>
      <c r="AB396" t="s">
        <v>7296</v>
      </c>
      <c r="AC396" t="s">
        <v>4575</v>
      </c>
      <c r="AD396" t="s">
        <v>7297</v>
      </c>
      <c r="AE396" t="s">
        <v>4655</v>
      </c>
      <c r="AF396" t="s">
        <v>1600</v>
      </c>
      <c r="AG396" t="s">
        <v>4564</v>
      </c>
      <c r="AH396" t="s">
        <v>1601</v>
      </c>
      <c r="AI396" t="s">
        <v>7298</v>
      </c>
      <c r="AJ396" t="s">
        <v>4655</v>
      </c>
      <c r="AK396" t="s">
        <v>7299</v>
      </c>
      <c r="AL396" s="13" t="s">
        <v>2255</v>
      </c>
      <c r="AM396" s="14">
        <v>1</v>
      </c>
      <c r="AN396" s="15" t="s">
        <v>4614</v>
      </c>
    </row>
    <row r="397" spans="1:40" x14ac:dyDescent="0.3">
      <c r="A397" s="10" t="str">
        <f>HYPERLINK("http://www.washoecounty.gov/assessor/cama/?parid=004-392-38&amp;CardNumber=1","004-392-38")</f>
        <v>004-392-38</v>
      </c>
      <c r="B397" t="s">
        <v>4655</v>
      </c>
      <c r="C397" t="s">
        <v>7300</v>
      </c>
      <c r="D397" s="1">
        <v>40464</v>
      </c>
      <c r="E397" s="2">
        <v>45000</v>
      </c>
      <c r="F397" t="s">
        <v>4567</v>
      </c>
      <c r="G397" s="17" t="str">
        <f>HYPERLINK("https://www.washoecounty.gov/assessor/cama/?command=sales&amp;parid=00439238","3932210")</f>
        <v>3932210</v>
      </c>
      <c r="H397" t="s">
        <v>4685</v>
      </c>
      <c r="I397">
        <v>1984</v>
      </c>
      <c r="J397">
        <v>1984</v>
      </c>
      <c r="K397" t="s">
        <v>4847</v>
      </c>
      <c r="L397" t="s">
        <v>4555</v>
      </c>
      <c r="M397" s="2">
        <v>1032</v>
      </c>
      <c r="N397" t="s">
        <v>4048</v>
      </c>
      <c r="O397">
        <v>2</v>
      </c>
      <c r="P397">
        <v>2</v>
      </c>
      <c r="Q397">
        <v>0</v>
      </c>
      <c r="R397" t="s">
        <v>4557</v>
      </c>
      <c r="S397" t="s">
        <v>4898</v>
      </c>
      <c r="T397" t="s">
        <v>4559</v>
      </c>
      <c r="U397" t="s">
        <v>4655</v>
      </c>
      <c r="V397" s="2">
        <v>0</v>
      </c>
      <c r="W397" t="s">
        <v>4655</v>
      </c>
      <c r="X397" s="2">
        <v>0</v>
      </c>
      <c r="Y397">
        <v>22</v>
      </c>
      <c r="Z397" t="s">
        <v>4686</v>
      </c>
      <c r="AA397" s="3">
        <v>9.2011019587516799E-2</v>
      </c>
      <c r="AB397" t="s">
        <v>7301</v>
      </c>
      <c r="AC397" t="s">
        <v>4562</v>
      </c>
      <c r="AD397" t="s">
        <v>7302</v>
      </c>
      <c r="AE397" t="s">
        <v>4655</v>
      </c>
      <c r="AF397" t="s">
        <v>4563</v>
      </c>
      <c r="AG397" t="s">
        <v>4564</v>
      </c>
      <c r="AH397">
        <v>89512</v>
      </c>
      <c r="AI397" t="s">
        <v>7303</v>
      </c>
      <c r="AJ397" t="s">
        <v>4655</v>
      </c>
      <c r="AK397" t="s">
        <v>7304</v>
      </c>
      <c r="AL397" s="13" t="s">
        <v>2255</v>
      </c>
      <c r="AM397" s="14">
        <v>1</v>
      </c>
      <c r="AN397" s="15" t="s">
        <v>4614</v>
      </c>
    </row>
    <row r="398" spans="1:40" x14ac:dyDescent="0.3">
      <c r="A398" s="10" t="str">
        <f>HYPERLINK("http://www.washoecounty.gov/assessor/cama/?parid=004-392-46&amp;CardNumber=1","004-392-46")</f>
        <v>004-392-46</v>
      </c>
      <c r="B398" t="s">
        <v>4655</v>
      </c>
      <c r="C398" t="s">
        <v>2495</v>
      </c>
      <c r="D398" s="1">
        <v>40354</v>
      </c>
      <c r="E398" s="2">
        <v>49000</v>
      </c>
      <c r="F398" t="s">
        <v>4553</v>
      </c>
      <c r="G398" s="17" t="str">
        <f>HYPERLINK("https://www.washoecounty.gov/assessor/cama/?command=sales&amp;parid=00439246","3895511")</f>
        <v>3895511</v>
      </c>
      <c r="H398" t="s">
        <v>4685</v>
      </c>
      <c r="I398">
        <v>1984</v>
      </c>
      <c r="J398">
        <v>1984</v>
      </c>
      <c r="K398" t="s">
        <v>4847</v>
      </c>
      <c r="L398" t="s">
        <v>4555</v>
      </c>
      <c r="M398" s="2">
        <v>1235</v>
      </c>
      <c r="N398" t="s">
        <v>4048</v>
      </c>
      <c r="O398">
        <v>2</v>
      </c>
      <c r="P398">
        <v>2</v>
      </c>
      <c r="Q398">
        <v>0</v>
      </c>
      <c r="R398" t="s">
        <v>4557</v>
      </c>
      <c r="S398" t="s">
        <v>4558</v>
      </c>
      <c r="T398" t="s">
        <v>4559</v>
      </c>
      <c r="U398" t="s">
        <v>4655</v>
      </c>
      <c r="V398" s="2">
        <v>0</v>
      </c>
      <c r="W398" t="s">
        <v>4655</v>
      </c>
      <c r="X398" s="2">
        <v>0</v>
      </c>
      <c r="Y398">
        <v>22</v>
      </c>
      <c r="Z398" t="s">
        <v>4686</v>
      </c>
      <c r="AA398" s="3">
        <v>0.10000000149011599</v>
      </c>
      <c r="AB398" t="s">
        <v>2496</v>
      </c>
      <c r="AC398" t="s">
        <v>4562</v>
      </c>
      <c r="AD398" t="s">
        <v>2495</v>
      </c>
      <c r="AE398" t="s">
        <v>4655</v>
      </c>
      <c r="AF398" t="s">
        <v>4563</v>
      </c>
      <c r="AG398" t="s">
        <v>4564</v>
      </c>
      <c r="AH398">
        <v>89512</v>
      </c>
      <c r="AI398" t="s">
        <v>4565</v>
      </c>
      <c r="AJ398" t="s">
        <v>4655</v>
      </c>
      <c r="AK398" t="s">
        <v>757</v>
      </c>
      <c r="AL398" s="13" t="s">
        <v>2255</v>
      </c>
      <c r="AM398" s="14">
        <v>1</v>
      </c>
      <c r="AN398" s="15" t="s">
        <v>4614</v>
      </c>
    </row>
    <row r="399" spans="1:40" x14ac:dyDescent="0.3">
      <c r="A399" s="10" t="str">
        <f>HYPERLINK("http://www.washoecounty.gov/assessor/cama/?parid=004-392-50&amp;CardNumber=1","004-392-50")</f>
        <v>004-392-50</v>
      </c>
      <c r="B399" t="s">
        <v>4655</v>
      </c>
      <c r="C399" t="s">
        <v>7305</v>
      </c>
      <c r="D399" s="1">
        <v>40207</v>
      </c>
      <c r="E399" s="2">
        <v>1</v>
      </c>
      <c r="F399" t="s">
        <v>4553</v>
      </c>
      <c r="G399" s="17" t="str">
        <f>HYPERLINK("https://www.washoecounty.gov/assessor/cama/?command=sales&amp;parid=00439250","3844520")</f>
        <v>3844520</v>
      </c>
      <c r="H399" t="s">
        <v>4685</v>
      </c>
      <c r="I399">
        <v>1999</v>
      </c>
      <c r="J399">
        <v>1999</v>
      </c>
      <c r="K399" t="s">
        <v>4847</v>
      </c>
      <c r="L399" t="s">
        <v>4555</v>
      </c>
      <c r="M399" s="2">
        <v>1248</v>
      </c>
      <c r="N399" t="s">
        <v>4048</v>
      </c>
      <c r="O399">
        <v>3</v>
      </c>
      <c r="P399">
        <v>2</v>
      </c>
      <c r="Q399">
        <v>0</v>
      </c>
      <c r="R399" t="s">
        <v>4557</v>
      </c>
      <c r="S399" t="s">
        <v>4558</v>
      </c>
      <c r="T399" t="s">
        <v>4559</v>
      </c>
      <c r="U399" t="s">
        <v>4655</v>
      </c>
      <c r="V399" s="2">
        <v>0</v>
      </c>
      <c r="W399" t="s">
        <v>4655</v>
      </c>
      <c r="X399" s="2">
        <v>0</v>
      </c>
      <c r="Y399">
        <v>22</v>
      </c>
      <c r="Z399" t="s">
        <v>4686</v>
      </c>
      <c r="AA399" s="3">
        <v>8.5996329784393297E-2</v>
      </c>
      <c r="AB399" t="s">
        <v>4673</v>
      </c>
      <c r="AC399" t="s">
        <v>4562</v>
      </c>
      <c r="AD399" t="s">
        <v>3093</v>
      </c>
      <c r="AE399" t="s">
        <v>4655</v>
      </c>
      <c r="AF399" t="s">
        <v>4563</v>
      </c>
      <c r="AG399" t="s">
        <v>4564</v>
      </c>
      <c r="AH399">
        <v>89512</v>
      </c>
      <c r="AI399" t="s">
        <v>4848</v>
      </c>
      <c r="AJ399" t="s">
        <v>4655</v>
      </c>
      <c r="AK399" t="s">
        <v>7306</v>
      </c>
      <c r="AL399" s="13" t="s">
        <v>2255</v>
      </c>
      <c r="AM399">
        <v>1</v>
      </c>
      <c r="AN399" s="15" t="s">
        <v>4614</v>
      </c>
    </row>
    <row r="400" spans="1:40" x14ac:dyDescent="0.3">
      <c r="A400" s="10" t="str">
        <f>HYPERLINK("http://www.washoecounty.gov/assessor/cama/?parid=004-392-66&amp;CardNumber=1","004-392-66")</f>
        <v>004-392-66</v>
      </c>
      <c r="B400" t="s">
        <v>4655</v>
      </c>
      <c r="C400" t="s">
        <v>287</v>
      </c>
      <c r="D400" s="1">
        <v>40465</v>
      </c>
      <c r="E400" s="2">
        <v>45000</v>
      </c>
      <c r="F400" t="s">
        <v>4553</v>
      </c>
      <c r="G400" s="17" t="str">
        <f>HYPERLINK("https://www.washoecounty.gov/assessor/cama/?command=sales&amp;parid=00439266","3932904")</f>
        <v>3932904</v>
      </c>
      <c r="H400" t="s">
        <v>4685</v>
      </c>
      <c r="I400">
        <v>1995</v>
      </c>
      <c r="J400">
        <v>1995</v>
      </c>
      <c r="K400" t="s">
        <v>4847</v>
      </c>
      <c r="L400" t="s">
        <v>4555</v>
      </c>
      <c r="M400" s="2">
        <v>1056</v>
      </c>
      <c r="N400" t="s">
        <v>4048</v>
      </c>
      <c r="O400">
        <v>3</v>
      </c>
      <c r="P400">
        <v>2</v>
      </c>
      <c r="Q400">
        <v>0</v>
      </c>
      <c r="R400" t="s">
        <v>4557</v>
      </c>
      <c r="S400" t="s">
        <v>4558</v>
      </c>
      <c r="T400" t="s">
        <v>4559</v>
      </c>
      <c r="U400" t="s">
        <v>4560</v>
      </c>
      <c r="V400" s="2">
        <v>400</v>
      </c>
      <c r="W400" t="s">
        <v>4655</v>
      </c>
      <c r="X400" s="2">
        <v>0</v>
      </c>
      <c r="Y400">
        <v>22</v>
      </c>
      <c r="Z400" t="s">
        <v>4686</v>
      </c>
      <c r="AA400" s="3">
        <v>9.4008266925811795E-2</v>
      </c>
      <c r="AB400" t="s">
        <v>5652</v>
      </c>
      <c r="AC400" t="s">
        <v>4562</v>
      </c>
      <c r="AD400" t="s">
        <v>287</v>
      </c>
      <c r="AE400" t="s">
        <v>4655</v>
      </c>
      <c r="AF400" t="s">
        <v>4563</v>
      </c>
      <c r="AG400" t="s">
        <v>4564</v>
      </c>
      <c r="AH400">
        <v>89512</v>
      </c>
      <c r="AI400" t="s">
        <v>4848</v>
      </c>
      <c r="AJ400" t="s">
        <v>4655</v>
      </c>
      <c r="AK400" t="s">
        <v>288</v>
      </c>
      <c r="AL400" s="13" t="s">
        <v>2255</v>
      </c>
      <c r="AM400" s="14">
        <v>1</v>
      </c>
      <c r="AN400" s="15" t="s">
        <v>4614</v>
      </c>
    </row>
    <row r="401" spans="1:40" x14ac:dyDescent="0.3">
      <c r="A401" s="10" t="str">
        <f>HYPERLINK("http://www.washoecounty.gov/assessor/cama/?parid=004-392-67&amp;CardNumber=1","004-392-67")</f>
        <v>004-392-67</v>
      </c>
      <c r="B401" t="s">
        <v>4655</v>
      </c>
      <c r="C401" t="s">
        <v>7307</v>
      </c>
      <c r="D401" s="1">
        <v>40417</v>
      </c>
      <c r="E401" s="2">
        <v>69000</v>
      </c>
      <c r="F401" t="s">
        <v>4567</v>
      </c>
      <c r="G401" s="17" t="str">
        <f>HYPERLINK("https://www.washoecounty.gov/assessor/cama/?command=sales&amp;parid=00439267","3916580")</f>
        <v>3916580</v>
      </c>
      <c r="H401" t="s">
        <v>4685</v>
      </c>
      <c r="I401">
        <v>1994</v>
      </c>
      <c r="J401">
        <v>1994</v>
      </c>
      <c r="K401" t="s">
        <v>4847</v>
      </c>
      <c r="L401" t="s">
        <v>4555</v>
      </c>
      <c r="M401" s="2">
        <v>1248</v>
      </c>
      <c r="N401" t="s">
        <v>4048</v>
      </c>
      <c r="O401">
        <v>3</v>
      </c>
      <c r="P401">
        <v>2</v>
      </c>
      <c r="Q401">
        <v>0</v>
      </c>
      <c r="R401" t="s">
        <v>4557</v>
      </c>
      <c r="S401" t="s">
        <v>4558</v>
      </c>
      <c r="T401" t="s">
        <v>4559</v>
      </c>
      <c r="U401" t="s">
        <v>4560</v>
      </c>
      <c r="V401" s="2">
        <v>400</v>
      </c>
      <c r="W401" t="s">
        <v>4655</v>
      </c>
      <c r="X401" s="2">
        <v>0</v>
      </c>
      <c r="Y401">
        <v>22</v>
      </c>
      <c r="Z401" t="s">
        <v>4686</v>
      </c>
      <c r="AA401" s="3">
        <v>8.39990824460983E-2</v>
      </c>
      <c r="AB401" t="s">
        <v>7308</v>
      </c>
      <c r="AC401" t="s">
        <v>4575</v>
      </c>
      <c r="AD401" t="s">
        <v>7309</v>
      </c>
      <c r="AE401" t="s">
        <v>7310</v>
      </c>
      <c r="AF401" t="s">
        <v>4563</v>
      </c>
      <c r="AG401" t="s">
        <v>4564</v>
      </c>
      <c r="AH401">
        <v>89502</v>
      </c>
      <c r="AI401" t="s">
        <v>7311</v>
      </c>
      <c r="AJ401" t="s">
        <v>4655</v>
      </c>
      <c r="AK401" t="s">
        <v>7312</v>
      </c>
      <c r="AL401" s="13" t="s">
        <v>2255</v>
      </c>
      <c r="AM401">
        <v>1</v>
      </c>
      <c r="AN401" s="15" t="s">
        <v>4614</v>
      </c>
    </row>
    <row r="402" spans="1:40" x14ac:dyDescent="0.3">
      <c r="A402" s="10" t="str">
        <f>HYPERLINK("http://www.washoecounty.gov/assessor/cama/?parid=004-393-18&amp;CardNumber=1","004-393-18")</f>
        <v>004-393-18</v>
      </c>
      <c r="B402" t="s">
        <v>4655</v>
      </c>
      <c r="C402" t="s">
        <v>7313</v>
      </c>
      <c r="D402" s="1">
        <v>40417</v>
      </c>
      <c r="E402" s="2">
        <v>51000</v>
      </c>
      <c r="F402" t="s">
        <v>4553</v>
      </c>
      <c r="G402" s="17" t="str">
        <f>HYPERLINK("https://www.washoecounty.gov/assessor/cama/?command=sales&amp;parid=00439318","3916302")</f>
        <v>3916302</v>
      </c>
      <c r="H402" t="s">
        <v>4685</v>
      </c>
      <c r="I402">
        <v>1994</v>
      </c>
      <c r="J402">
        <v>1994</v>
      </c>
      <c r="K402" t="s">
        <v>4847</v>
      </c>
      <c r="L402" t="s">
        <v>4555</v>
      </c>
      <c r="M402" s="2">
        <v>1116</v>
      </c>
      <c r="N402" t="s">
        <v>4048</v>
      </c>
      <c r="O402">
        <v>3</v>
      </c>
      <c r="P402">
        <v>2</v>
      </c>
      <c r="Q402">
        <v>0</v>
      </c>
      <c r="R402" t="s">
        <v>4557</v>
      </c>
      <c r="S402" t="s">
        <v>4558</v>
      </c>
      <c r="T402" t="s">
        <v>4559</v>
      </c>
      <c r="U402" t="s">
        <v>4655</v>
      </c>
      <c r="V402" s="2">
        <v>0</v>
      </c>
      <c r="W402" t="s">
        <v>4655</v>
      </c>
      <c r="X402" s="2">
        <v>0</v>
      </c>
      <c r="Y402">
        <v>22</v>
      </c>
      <c r="Z402" t="s">
        <v>4686</v>
      </c>
      <c r="AA402" s="3">
        <v>9.6005506813526195E-2</v>
      </c>
      <c r="AB402" t="s">
        <v>7314</v>
      </c>
      <c r="AC402" t="s">
        <v>4562</v>
      </c>
      <c r="AD402" t="s">
        <v>7313</v>
      </c>
      <c r="AE402" t="s">
        <v>4655</v>
      </c>
      <c r="AF402" t="s">
        <v>4563</v>
      </c>
      <c r="AG402" t="s">
        <v>4564</v>
      </c>
      <c r="AH402">
        <v>89512</v>
      </c>
      <c r="AI402" t="s">
        <v>2351</v>
      </c>
      <c r="AJ402" t="s">
        <v>4655</v>
      </c>
      <c r="AK402" t="s">
        <v>7315</v>
      </c>
      <c r="AL402" s="13" t="s">
        <v>2255</v>
      </c>
      <c r="AM402">
        <v>1</v>
      </c>
      <c r="AN402" s="15" t="s">
        <v>4614</v>
      </c>
    </row>
    <row r="403" spans="1:40" x14ac:dyDescent="0.3">
      <c r="A403" s="10" t="str">
        <f>HYPERLINK("http://www.washoecounty.gov/assessor/cama/?parid=004-393-26&amp;CardNumber=1","004-393-26")</f>
        <v>004-393-26</v>
      </c>
      <c r="B403" t="s">
        <v>4655</v>
      </c>
      <c r="C403" t="s">
        <v>7316</v>
      </c>
      <c r="D403" s="1">
        <v>40532</v>
      </c>
      <c r="E403" s="2">
        <v>50000</v>
      </c>
      <c r="F403" t="s">
        <v>4553</v>
      </c>
      <c r="G403" s="17" t="str">
        <f>HYPERLINK("https://www.washoecounty.gov/assessor/cama/?command=sales&amp;parid=00439326","3955483")</f>
        <v>3955483</v>
      </c>
      <c r="H403" t="s">
        <v>4685</v>
      </c>
      <c r="I403">
        <v>1995</v>
      </c>
      <c r="J403">
        <v>1995</v>
      </c>
      <c r="K403" t="s">
        <v>4847</v>
      </c>
      <c r="L403" t="s">
        <v>4555</v>
      </c>
      <c r="M403" s="2">
        <v>1056</v>
      </c>
      <c r="N403" t="s">
        <v>4048</v>
      </c>
      <c r="O403">
        <v>3</v>
      </c>
      <c r="P403">
        <v>2</v>
      </c>
      <c r="Q403">
        <v>0</v>
      </c>
      <c r="R403" t="s">
        <v>4557</v>
      </c>
      <c r="S403" t="s">
        <v>4558</v>
      </c>
      <c r="T403" t="s">
        <v>4559</v>
      </c>
      <c r="U403" t="s">
        <v>4560</v>
      </c>
      <c r="V403" s="2">
        <v>400</v>
      </c>
      <c r="W403" t="s">
        <v>4655</v>
      </c>
      <c r="X403" s="2">
        <v>0</v>
      </c>
      <c r="Y403">
        <v>22</v>
      </c>
      <c r="Z403" t="s">
        <v>4686</v>
      </c>
      <c r="AA403" s="3">
        <v>0.12601010501384699</v>
      </c>
      <c r="AB403" t="s">
        <v>7317</v>
      </c>
      <c r="AC403" t="s">
        <v>4562</v>
      </c>
      <c r="AD403" t="s">
        <v>7318</v>
      </c>
      <c r="AE403" t="s">
        <v>4655</v>
      </c>
      <c r="AF403" t="s">
        <v>4563</v>
      </c>
      <c r="AG403" t="s">
        <v>4564</v>
      </c>
      <c r="AH403">
        <v>89512</v>
      </c>
      <c r="AI403" t="s">
        <v>4655</v>
      </c>
      <c r="AJ403" t="s">
        <v>4655</v>
      </c>
      <c r="AK403" t="s">
        <v>7319</v>
      </c>
      <c r="AL403" s="13" t="s">
        <v>2255</v>
      </c>
      <c r="AM403">
        <v>1</v>
      </c>
      <c r="AN403" s="15" t="s">
        <v>4614</v>
      </c>
    </row>
    <row r="404" spans="1:40" x14ac:dyDescent="0.3">
      <c r="A404" s="10" t="str">
        <f>HYPERLINK("http://www.washoecounty.gov/assessor/cama/?parid=004-393-34&amp;CardNumber=1","004-393-34")</f>
        <v>004-393-34</v>
      </c>
      <c r="B404" t="s">
        <v>4655</v>
      </c>
      <c r="C404" t="s">
        <v>7320</v>
      </c>
      <c r="D404" s="1">
        <v>40361</v>
      </c>
      <c r="E404" s="2">
        <v>51000</v>
      </c>
      <c r="F404" t="s">
        <v>4553</v>
      </c>
      <c r="G404" s="17" t="str">
        <f>HYPERLINK("https://www.washoecounty.gov/assessor/cama/?command=sales&amp;parid=00439334","3897983")</f>
        <v>3897983</v>
      </c>
      <c r="H404" t="s">
        <v>4685</v>
      </c>
      <c r="I404">
        <v>1994</v>
      </c>
      <c r="J404">
        <v>1994</v>
      </c>
      <c r="K404" t="s">
        <v>4847</v>
      </c>
      <c r="L404" t="s">
        <v>4555</v>
      </c>
      <c r="M404" s="2">
        <v>1344</v>
      </c>
      <c r="N404" t="s">
        <v>4048</v>
      </c>
      <c r="O404">
        <v>3</v>
      </c>
      <c r="P404">
        <v>2</v>
      </c>
      <c r="Q404">
        <v>0</v>
      </c>
      <c r="R404" t="s">
        <v>4557</v>
      </c>
      <c r="S404" t="s">
        <v>4558</v>
      </c>
      <c r="T404" t="s">
        <v>4559</v>
      </c>
      <c r="U404" t="s">
        <v>4560</v>
      </c>
      <c r="V404" s="2">
        <v>388</v>
      </c>
      <c r="W404" t="s">
        <v>4655</v>
      </c>
      <c r="X404" s="2">
        <v>0</v>
      </c>
      <c r="Y404">
        <v>22</v>
      </c>
      <c r="Z404" t="s">
        <v>4686</v>
      </c>
      <c r="AA404" s="3">
        <v>8.5996329784393297E-2</v>
      </c>
      <c r="AB404" t="s">
        <v>7321</v>
      </c>
      <c r="AC404" t="s">
        <v>4562</v>
      </c>
      <c r="AD404" t="s">
        <v>7320</v>
      </c>
      <c r="AE404" t="s">
        <v>4655</v>
      </c>
      <c r="AF404" t="s">
        <v>4563</v>
      </c>
      <c r="AG404" t="s">
        <v>4564</v>
      </c>
      <c r="AH404">
        <v>89512</v>
      </c>
      <c r="AI404" t="s">
        <v>2351</v>
      </c>
      <c r="AJ404" t="s">
        <v>4655</v>
      </c>
      <c r="AK404" t="s">
        <v>7322</v>
      </c>
      <c r="AL404" s="13" t="s">
        <v>2255</v>
      </c>
      <c r="AM404">
        <v>1</v>
      </c>
      <c r="AN404" s="15" t="s">
        <v>4614</v>
      </c>
    </row>
    <row r="405" spans="1:40" x14ac:dyDescent="0.3">
      <c r="A405" s="10" t="str">
        <f>HYPERLINK("http://www.washoecounty.gov/assessor/cama/?parid=004-393-37&amp;CardNumber=1","004-393-37")</f>
        <v>004-393-37</v>
      </c>
      <c r="B405" t="s">
        <v>4655</v>
      </c>
      <c r="C405" t="s">
        <v>7323</v>
      </c>
      <c r="D405" s="1">
        <v>40280</v>
      </c>
      <c r="E405" s="2">
        <v>58000</v>
      </c>
      <c r="F405" t="s">
        <v>4553</v>
      </c>
      <c r="G405" s="17" t="str">
        <f>HYPERLINK("https://www.washoecounty.gov/assessor/cama/?command=sales&amp;parid=00439337","3870026")</f>
        <v>3870026</v>
      </c>
      <c r="H405" t="s">
        <v>4685</v>
      </c>
      <c r="I405">
        <v>1995</v>
      </c>
      <c r="J405">
        <v>1995</v>
      </c>
      <c r="K405" t="s">
        <v>4847</v>
      </c>
      <c r="L405" t="s">
        <v>4555</v>
      </c>
      <c r="M405" s="2">
        <v>1100</v>
      </c>
      <c r="N405" t="s">
        <v>4048</v>
      </c>
      <c r="O405">
        <v>3</v>
      </c>
      <c r="P405">
        <v>2</v>
      </c>
      <c r="Q405">
        <v>0</v>
      </c>
      <c r="R405" t="s">
        <v>4557</v>
      </c>
      <c r="S405" t="s">
        <v>4558</v>
      </c>
      <c r="T405" t="s">
        <v>4559</v>
      </c>
      <c r="U405" t="s">
        <v>4655</v>
      </c>
      <c r="V405" s="2">
        <v>0</v>
      </c>
      <c r="W405" t="s">
        <v>4655</v>
      </c>
      <c r="X405" s="2">
        <v>0</v>
      </c>
      <c r="Y405">
        <v>22</v>
      </c>
      <c r="Z405" t="s">
        <v>4686</v>
      </c>
      <c r="AA405" s="3">
        <v>0.107001833617687</v>
      </c>
      <c r="AB405" t="s">
        <v>7324</v>
      </c>
      <c r="AC405" t="s">
        <v>4562</v>
      </c>
      <c r="AD405" t="s">
        <v>7323</v>
      </c>
      <c r="AE405" t="s">
        <v>4655</v>
      </c>
      <c r="AF405" t="s">
        <v>4563</v>
      </c>
      <c r="AG405" t="s">
        <v>4564</v>
      </c>
      <c r="AH405">
        <v>89512</v>
      </c>
      <c r="AI405" t="s">
        <v>4565</v>
      </c>
      <c r="AJ405" t="s">
        <v>4655</v>
      </c>
      <c r="AK405" t="s">
        <v>7325</v>
      </c>
      <c r="AL405" s="13" t="s">
        <v>2255</v>
      </c>
      <c r="AM405">
        <v>1</v>
      </c>
      <c r="AN405" s="15" t="s">
        <v>4614</v>
      </c>
    </row>
    <row r="406" spans="1:40" x14ac:dyDescent="0.3">
      <c r="A406" s="10" t="str">
        <f>HYPERLINK("http://www.washoecounty.gov/assessor/cama/?parid=004-393-38&amp;CardNumber=1","004-393-38")</f>
        <v>004-393-38</v>
      </c>
      <c r="B406" t="s">
        <v>4655</v>
      </c>
      <c r="C406" t="s">
        <v>7326</v>
      </c>
      <c r="D406" s="1">
        <v>40267</v>
      </c>
      <c r="E406" s="2">
        <v>69000</v>
      </c>
      <c r="F406" t="s">
        <v>4567</v>
      </c>
      <c r="G406" s="17" t="str">
        <f>HYPERLINK("https://www.washoecounty.gov/assessor/cama/?command=sales&amp;parid=00439338","3865651")</f>
        <v>3865651</v>
      </c>
      <c r="H406" t="s">
        <v>4685</v>
      </c>
      <c r="I406">
        <v>1995</v>
      </c>
      <c r="J406">
        <v>1995</v>
      </c>
      <c r="K406" t="s">
        <v>4847</v>
      </c>
      <c r="L406" t="s">
        <v>4555</v>
      </c>
      <c r="M406" s="2">
        <v>1040</v>
      </c>
      <c r="N406" t="s">
        <v>4048</v>
      </c>
      <c r="O406">
        <v>2</v>
      </c>
      <c r="P406">
        <v>2</v>
      </c>
      <c r="Q406">
        <v>0</v>
      </c>
      <c r="R406" t="s">
        <v>4557</v>
      </c>
      <c r="S406" t="s">
        <v>4558</v>
      </c>
      <c r="T406" t="s">
        <v>4559</v>
      </c>
      <c r="U406" t="s">
        <v>4560</v>
      </c>
      <c r="V406" s="2">
        <v>400</v>
      </c>
      <c r="W406" t="s">
        <v>4655</v>
      </c>
      <c r="X406" s="2">
        <v>0</v>
      </c>
      <c r="Y406">
        <v>22</v>
      </c>
      <c r="Z406" t="s">
        <v>4686</v>
      </c>
      <c r="AA406" s="3">
        <v>9.6992656588554396E-2</v>
      </c>
      <c r="AB406" t="s">
        <v>7327</v>
      </c>
      <c r="AC406" t="s">
        <v>4562</v>
      </c>
      <c r="AD406" t="s">
        <v>7326</v>
      </c>
      <c r="AE406" t="s">
        <v>4655</v>
      </c>
      <c r="AF406" t="s">
        <v>4563</v>
      </c>
      <c r="AG406" t="s">
        <v>4564</v>
      </c>
      <c r="AH406">
        <v>89512</v>
      </c>
      <c r="AI406" t="s">
        <v>7328</v>
      </c>
      <c r="AJ406" t="s">
        <v>4655</v>
      </c>
      <c r="AK406" t="s">
        <v>7329</v>
      </c>
      <c r="AL406" s="13" t="s">
        <v>2255</v>
      </c>
      <c r="AM406">
        <v>1</v>
      </c>
      <c r="AN406" s="15" t="s">
        <v>4614</v>
      </c>
    </row>
    <row r="407" spans="1:40" x14ac:dyDescent="0.3">
      <c r="A407" s="10" t="str">
        <f>HYPERLINK("http://www.washoecounty.gov/assessor/cama/?parid=004-393-62&amp;CardNumber=1","004-393-62")</f>
        <v>004-393-62</v>
      </c>
      <c r="B407" t="s">
        <v>4655</v>
      </c>
      <c r="C407" t="s">
        <v>7330</v>
      </c>
      <c r="D407" s="1">
        <v>40207</v>
      </c>
      <c r="E407" s="2">
        <v>66000</v>
      </c>
      <c r="F407" t="s">
        <v>4567</v>
      </c>
      <c r="G407" s="17" t="str">
        <f>HYPERLINK("https://www.washoecounty.gov/assessor/cama/?command=sales&amp;parid=00439362","3844151")</f>
        <v>3844151</v>
      </c>
      <c r="H407" t="s">
        <v>4685</v>
      </c>
      <c r="I407">
        <v>1997</v>
      </c>
      <c r="J407">
        <v>1997</v>
      </c>
      <c r="K407" t="s">
        <v>4847</v>
      </c>
      <c r="L407" t="s">
        <v>4555</v>
      </c>
      <c r="M407" s="2">
        <v>1226</v>
      </c>
      <c r="N407" t="s">
        <v>4048</v>
      </c>
      <c r="O407">
        <v>2</v>
      </c>
      <c r="P407">
        <v>2</v>
      </c>
      <c r="Q407">
        <v>0</v>
      </c>
      <c r="R407" t="s">
        <v>4557</v>
      </c>
      <c r="S407" t="s">
        <v>4558</v>
      </c>
      <c r="T407" t="s">
        <v>4559</v>
      </c>
      <c r="U407" t="s">
        <v>4655</v>
      </c>
      <c r="V407" s="2">
        <v>0</v>
      </c>
      <c r="W407" t="s">
        <v>4655</v>
      </c>
      <c r="X407" s="2">
        <v>0</v>
      </c>
      <c r="Y407">
        <v>22</v>
      </c>
      <c r="Z407" t="s">
        <v>4686</v>
      </c>
      <c r="AA407" s="3">
        <v>0.11000918596983</v>
      </c>
      <c r="AB407" t="s">
        <v>7331</v>
      </c>
      <c r="AC407" t="s">
        <v>4562</v>
      </c>
      <c r="AD407" t="s">
        <v>7330</v>
      </c>
      <c r="AE407" t="s">
        <v>4655</v>
      </c>
      <c r="AF407" t="s">
        <v>4563</v>
      </c>
      <c r="AG407" t="s">
        <v>4564</v>
      </c>
      <c r="AH407">
        <v>89512</v>
      </c>
      <c r="AI407" t="s">
        <v>7332</v>
      </c>
      <c r="AJ407" t="s">
        <v>4655</v>
      </c>
      <c r="AK407" t="s">
        <v>7333</v>
      </c>
      <c r="AL407" s="13" t="s">
        <v>2255</v>
      </c>
      <c r="AM407" s="14">
        <v>1</v>
      </c>
      <c r="AN407" s="15" t="s">
        <v>4614</v>
      </c>
    </row>
    <row r="408" spans="1:40" x14ac:dyDescent="0.3">
      <c r="A408" s="10" t="str">
        <f>HYPERLINK("http://www.washoecounty.gov/assessor/cama/?parid=004-393-68&amp;CardNumber=1","004-393-68")</f>
        <v>004-393-68</v>
      </c>
      <c r="B408" t="s">
        <v>4655</v>
      </c>
      <c r="C408" t="s">
        <v>7334</v>
      </c>
      <c r="D408" s="1">
        <v>40394</v>
      </c>
      <c r="E408" s="2">
        <v>49900</v>
      </c>
      <c r="F408" t="s">
        <v>4553</v>
      </c>
      <c r="G408" s="17" t="str">
        <f>HYPERLINK("https://www.washoecounty.gov/assessor/cama/?command=sales&amp;parid=00439368","3909335")</f>
        <v>3909335</v>
      </c>
      <c r="H408" t="s">
        <v>4685</v>
      </c>
      <c r="I408">
        <v>1996</v>
      </c>
      <c r="J408">
        <v>1996</v>
      </c>
      <c r="K408" t="s">
        <v>4847</v>
      </c>
      <c r="L408" t="s">
        <v>4555</v>
      </c>
      <c r="M408" s="2">
        <v>1224</v>
      </c>
      <c r="N408" t="s">
        <v>4048</v>
      </c>
      <c r="O408">
        <v>3</v>
      </c>
      <c r="P408">
        <v>2</v>
      </c>
      <c r="Q408">
        <v>0</v>
      </c>
      <c r="R408" t="s">
        <v>4557</v>
      </c>
      <c r="S408" t="s">
        <v>4558</v>
      </c>
      <c r="T408" t="s">
        <v>4559</v>
      </c>
      <c r="U408" t="s">
        <v>4655</v>
      </c>
      <c r="V408" s="2">
        <v>0</v>
      </c>
      <c r="W408" t="s">
        <v>4655</v>
      </c>
      <c r="X408" s="2">
        <v>0</v>
      </c>
      <c r="Y408">
        <v>22</v>
      </c>
      <c r="Z408" t="s">
        <v>4686</v>
      </c>
      <c r="AA408" s="3">
        <v>0.14898990094661699</v>
      </c>
      <c r="AB408" t="s">
        <v>7335</v>
      </c>
      <c r="AC408" t="s">
        <v>4562</v>
      </c>
      <c r="AD408" t="s">
        <v>7336</v>
      </c>
      <c r="AE408" t="s">
        <v>4655</v>
      </c>
      <c r="AF408" t="s">
        <v>4563</v>
      </c>
      <c r="AG408" t="s">
        <v>4564</v>
      </c>
      <c r="AH408">
        <v>89512</v>
      </c>
      <c r="AI408" t="s">
        <v>2351</v>
      </c>
      <c r="AJ408" t="s">
        <v>4655</v>
      </c>
      <c r="AK408" t="s">
        <v>7337</v>
      </c>
      <c r="AL408" s="13" t="s">
        <v>2255</v>
      </c>
      <c r="AM408">
        <v>1</v>
      </c>
      <c r="AN408" s="15" t="s">
        <v>4614</v>
      </c>
    </row>
    <row r="409" spans="1:40" x14ac:dyDescent="0.3">
      <c r="A409" s="10" t="str">
        <f>HYPERLINK("http://www.washoecounty.gov/assessor/cama/?parid=004-393-70&amp;CardNumber=1","004-393-70")</f>
        <v>004-393-70</v>
      </c>
      <c r="B409" t="s">
        <v>4655</v>
      </c>
      <c r="C409" t="s">
        <v>1688</v>
      </c>
      <c r="D409" s="1">
        <v>40255</v>
      </c>
      <c r="E409" s="2">
        <v>56000</v>
      </c>
      <c r="F409" t="s">
        <v>4567</v>
      </c>
      <c r="G409" s="17" t="str">
        <f>HYPERLINK("https://www.washoecounty.gov/assessor/cama/?command=sales&amp;parid=00439370","3861020")</f>
        <v>3861020</v>
      </c>
      <c r="H409" t="s">
        <v>4685</v>
      </c>
      <c r="I409">
        <v>1987</v>
      </c>
      <c r="J409">
        <v>1987</v>
      </c>
      <c r="K409" t="s">
        <v>4847</v>
      </c>
      <c r="L409" t="s">
        <v>4555</v>
      </c>
      <c r="M409" s="2">
        <v>1344</v>
      </c>
      <c r="N409" t="s">
        <v>4048</v>
      </c>
      <c r="O409">
        <v>3</v>
      </c>
      <c r="P409">
        <v>2</v>
      </c>
      <c r="Q409">
        <v>0</v>
      </c>
      <c r="R409" t="s">
        <v>4557</v>
      </c>
      <c r="S409" t="s">
        <v>4558</v>
      </c>
      <c r="T409" t="s">
        <v>4559</v>
      </c>
      <c r="U409" t="s">
        <v>4655</v>
      </c>
      <c r="V409" s="2">
        <v>0</v>
      </c>
      <c r="W409" t="s">
        <v>4655</v>
      </c>
      <c r="X409" s="2">
        <v>0</v>
      </c>
      <c r="Y409">
        <v>22</v>
      </c>
      <c r="Z409" t="s">
        <v>4686</v>
      </c>
      <c r="AA409" s="3">
        <v>9.2011019587516799E-2</v>
      </c>
      <c r="AB409" t="s">
        <v>5013</v>
      </c>
      <c r="AC409" t="s">
        <v>4575</v>
      </c>
      <c r="AD409" t="s">
        <v>1688</v>
      </c>
      <c r="AE409" t="s">
        <v>4655</v>
      </c>
      <c r="AF409" t="s">
        <v>4563</v>
      </c>
      <c r="AG409" t="s">
        <v>4564</v>
      </c>
      <c r="AH409">
        <v>89512</v>
      </c>
      <c r="AI409" t="s">
        <v>7338</v>
      </c>
      <c r="AJ409" t="s">
        <v>4655</v>
      </c>
      <c r="AK409" t="s">
        <v>1296</v>
      </c>
      <c r="AL409" s="13" t="s">
        <v>2255</v>
      </c>
      <c r="AM409" s="14">
        <v>1</v>
      </c>
      <c r="AN409" s="15" t="s">
        <v>4614</v>
      </c>
    </row>
    <row r="410" spans="1:40" x14ac:dyDescent="0.3">
      <c r="A410" s="10" t="str">
        <f>HYPERLINK("http://www.washoecounty.gov/assessor/cama/?parid=004-393-75&amp;CardNumber=1","004-393-75")</f>
        <v>004-393-75</v>
      </c>
      <c r="B410" t="s">
        <v>4655</v>
      </c>
      <c r="C410" t="s">
        <v>7339</v>
      </c>
      <c r="D410" s="1">
        <v>40478</v>
      </c>
      <c r="E410" s="2">
        <v>40500</v>
      </c>
      <c r="F410" t="s">
        <v>4553</v>
      </c>
      <c r="G410" s="17" t="str">
        <f>HYPERLINK("https://www.washoecounty.gov/assessor/cama/?command=sales&amp;parid=00439375","3936836")</f>
        <v>3936836</v>
      </c>
      <c r="H410" t="s">
        <v>4685</v>
      </c>
      <c r="I410">
        <v>1983</v>
      </c>
      <c r="J410">
        <v>1983</v>
      </c>
      <c r="K410" t="s">
        <v>4847</v>
      </c>
      <c r="L410" t="s">
        <v>4555</v>
      </c>
      <c r="M410" s="2">
        <v>1368</v>
      </c>
      <c r="N410" t="s">
        <v>4048</v>
      </c>
      <c r="O410">
        <v>2</v>
      </c>
      <c r="P410">
        <v>2</v>
      </c>
      <c r="Q410">
        <v>0</v>
      </c>
      <c r="R410" t="s">
        <v>4557</v>
      </c>
      <c r="S410" t="s">
        <v>4558</v>
      </c>
      <c r="T410" t="s">
        <v>4559</v>
      </c>
      <c r="U410" t="s">
        <v>4655</v>
      </c>
      <c r="V410" s="2">
        <v>0</v>
      </c>
      <c r="W410" t="s">
        <v>4655</v>
      </c>
      <c r="X410" s="2">
        <v>0</v>
      </c>
      <c r="Y410">
        <v>22</v>
      </c>
      <c r="Z410" t="s">
        <v>4686</v>
      </c>
      <c r="AA410" s="3">
        <v>0.10500459372997301</v>
      </c>
      <c r="AB410" t="s">
        <v>7340</v>
      </c>
      <c r="AC410" t="s">
        <v>4562</v>
      </c>
      <c r="AD410" t="s">
        <v>7339</v>
      </c>
      <c r="AE410" t="s">
        <v>4655</v>
      </c>
      <c r="AF410" t="s">
        <v>4563</v>
      </c>
      <c r="AG410" t="s">
        <v>4564</v>
      </c>
      <c r="AH410">
        <v>89512</v>
      </c>
      <c r="AI410" t="s">
        <v>2351</v>
      </c>
      <c r="AJ410" t="s">
        <v>4655</v>
      </c>
      <c r="AK410" t="s">
        <v>7341</v>
      </c>
      <c r="AL410" s="13" t="s">
        <v>2255</v>
      </c>
      <c r="AM410">
        <v>1</v>
      </c>
      <c r="AN410" s="15" t="s">
        <v>4614</v>
      </c>
    </row>
    <row r="411" spans="1:40" x14ac:dyDescent="0.3">
      <c r="A411" s="10" t="str">
        <f>HYPERLINK("http://www.washoecounty.gov/assessor/cama/?parid=005-021-23&amp;CardNumber=1","005-021-23")</f>
        <v>005-021-23</v>
      </c>
      <c r="B411" t="s">
        <v>4655</v>
      </c>
      <c r="C411" t="s">
        <v>7342</v>
      </c>
      <c r="D411" s="1">
        <v>40499</v>
      </c>
      <c r="E411" s="2">
        <v>138500</v>
      </c>
      <c r="F411" t="s">
        <v>4567</v>
      </c>
      <c r="G411" s="17" t="str">
        <f>HYPERLINK("https://www.washoecounty.gov/assessor/cama/?command=sales&amp;parid=00502123","3943835")</f>
        <v>3943835</v>
      </c>
      <c r="H411" t="s">
        <v>3287</v>
      </c>
      <c r="I411">
        <v>1963</v>
      </c>
      <c r="J411">
        <v>1963</v>
      </c>
      <c r="K411" t="s">
        <v>4554</v>
      </c>
      <c r="L411" t="s">
        <v>4555</v>
      </c>
      <c r="M411" s="2">
        <v>1176</v>
      </c>
      <c r="N411" t="s">
        <v>4556</v>
      </c>
      <c r="O411">
        <v>3</v>
      </c>
      <c r="P411">
        <v>2</v>
      </c>
      <c r="Q411">
        <v>0</v>
      </c>
      <c r="R411" t="s">
        <v>4557</v>
      </c>
      <c r="S411" t="s">
        <v>4558</v>
      </c>
      <c r="T411" t="s">
        <v>4559</v>
      </c>
      <c r="U411" t="s">
        <v>4560</v>
      </c>
      <c r="V411" s="2">
        <v>441</v>
      </c>
      <c r="W411" t="s">
        <v>4655</v>
      </c>
      <c r="X411" s="2">
        <v>0</v>
      </c>
      <c r="Y411">
        <v>20</v>
      </c>
      <c r="Z411" t="s">
        <v>4561</v>
      </c>
      <c r="AA411" s="3">
        <v>0.18000459671020499</v>
      </c>
      <c r="AB411" t="s">
        <v>7343</v>
      </c>
      <c r="AC411" t="s">
        <v>4562</v>
      </c>
      <c r="AD411" t="s">
        <v>7344</v>
      </c>
      <c r="AE411" t="s">
        <v>4655</v>
      </c>
      <c r="AF411" t="s">
        <v>4563</v>
      </c>
      <c r="AG411" t="s">
        <v>4564</v>
      </c>
      <c r="AH411">
        <v>89503</v>
      </c>
      <c r="AI411" t="s">
        <v>7345</v>
      </c>
      <c r="AJ411" t="s">
        <v>4655</v>
      </c>
      <c r="AK411" t="s">
        <v>7346</v>
      </c>
      <c r="AL411" s="13" t="s">
        <v>2255</v>
      </c>
      <c r="AM411">
        <v>1</v>
      </c>
      <c r="AN411" s="15" t="s">
        <v>4566</v>
      </c>
    </row>
    <row r="412" spans="1:40" x14ac:dyDescent="0.3">
      <c r="A412" s="10" t="str">
        <f>HYPERLINK("http://www.washoecounty.gov/assessor/cama/?parid=005-024-05&amp;CardNumber=1","005-024-05")</f>
        <v>005-024-05</v>
      </c>
      <c r="B412" t="s">
        <v>4655</v>
      </c>
      <c r="C412" t="s">
        <v>7347</v>
      </c>
      <c r="D412" s="1">
        <v>40323</v>
      </c>
      <c r="E412" s="2">
        <v>138000</v>
      </c>
      <c r="F412" t="s">
        <v>4567</v>
      </c>
      <c r="G412" s="17" t="str">
        <f>HYPERLINK("https://www.washoecounty.gov/assessor/cama/?command=sales&amp;parid=00502405","3884742")</f>
        <v>3884742</v>
      </c>
      <c r="H412" t="s">
        <v>3287</v>
      </c>
      <c r="I412">
        <v>1963</v>
      </c>
      <c r="J412">
        <v>1963</v>
      </c>
      <c r="K412" t="s">
        <v>4554</v>
      </c>
      <c r="L412" t="s">
        <v>4555</v>
      </c>
      <c r="M412" s="2">
        <v>1344</v>
      </c>
      <c r="N412" t="s">
        <v>4556</v>
      </c>
      <c r="O412">
        <v>3</v>
      </c>
      <c r="P412">
        <v>2</v>
      </c>
      <c r="Q412">
        <v>0</v>
      </c>
      <c r="R412" t="s">
        <v>4557</v>
      </c>
      <c r="S412" t="s">
        <v>4558</v>
      </c>
      <c r="T412" t="s">
        <v>4559</v>
      </c>
      <c r="U412" t="s">
        <v>4655</v>
      </c>
      <c r="V412" s="2">
        <v>0</v>
      </c>
      <c r="W412" t="s">
        <v>4655</v>
      </c>
      <c r="X412" s="2">
        <v>0</v>
      </c>
      <c r="Y412">
        <v>20</v>
      </c>
      <c r="Z412" t="s">
        <v>4561</v>
      </c>
      <c r="AA412" s="3">
        <v>0.13999082148075101</v>
      </c>
      <c r="AB412" t="s">
        <v>7348</v>
      </c>
      <c r="AC412" t="s">
        <v>4575</v>
      </c>
      <c r="AD412" t="s">
        <v>7347</v>
      </c>
      <c r="AE412" t="s">
        <v>4655</v>
      </c>
      <c r="AF412" t="s">
        <v>4563</v>
      </c>
      <c r="AG412" t="s">
        <v>4564</v>
      </c>
      <c r="AH412">
        <v>89503</v>
      </c>
      <c r="AI412" t="s">
        <v>7349</v>
      </c>
      <c r="AJ412" t="s">
        <v>4655</v>
      </c>
      <c r="AK412" t="s">
        <v>7350</v>
      </c>
      <c r="AL412" s="13" t="s">
        <v>2255</v>
      </c>
      <c r="AM412" s="14">
        <v>1</v>
      </c>
      <c r="AN412" s="15" t="s">
        <v>4566</v>
      </c>
    </row>
    <row r="413" spans="1:40" x14ac:dyDescent="0.3">
      <c r="A413" s="10" t="str">
        <f>HYPERLINK("http://www.washoecounty.gov/assessor/cama/?parid=005-031-05&amp;CardNumber=1","005-031-05")</f>
        <v>005-031-05</v>
      </c>
      <c r="B413" t="s">
        <v>4655</v>
      </c>
      <c r="C413" t="s">
        <v>7351</v>
      </c>
      <c r="D413" s="1">
        <v>40360</v>
      </c>
      <c r="E413" s="2">
        <v>122000</v>
      </c>
      <c r="F413" t="s">
        <v>4553</v>
      </c>
      <c r="G413" s="17" t="str">
        <f>HYPERLINK("https://www.washoecounty.gov/assessor/cama/?command=sales&amp;parid=00503105","3897835")</f>
        <v>3897835</v>
      </c>
      <c r="H413" t="s">
        <v>5355</v>
      </c>
      <c r="I413">
        <v>1962</v>
      </c>
      <c r="J413">
        <v>1962</v>
      </c>
      <c r="K413" t="s">
        <v>4554</v>
      </c>
      <c r="L413" t="s">
        <v>4555</v>
      </c>
      <c r="M413" s="2">
        <v>988</v>
      </c>
      <c r="N413" t="s">
        <v>4556</v>
      </c>
      <c r="O413">
        <v>3</v>
      </c>
      <c r="P413">
        <v>2</v>
      </c>
      <c r="Q413">
        <v>0</v>
      </c>
      <c r="R413" t="s">
        <v>4557</v>
      </c>
      <c r="S413" t="s">
        <v>4558</v>
      </c>
      <c r="T413" t="s">
        <v>4559</v>
      </c>
      <c r="U413" t="s">
        <v>4560</v>
      </c>
      <c r="V413" s="2">
        <v>286</v>
      </c>
      <c r="W413" t="s">
        <v>4655</v>
      </c>
      <c r="X413" s="2">
        <v>0</v>
      </c>
      <c r="Y413">
        <v>20</v>
      </c>
      <c r="Z413" t="s">
        <v>4561</v>
      </c>
      <c r="AA413" s="3">
        <v>0.13999082148075101</v>
      </c>
      <c r="AB413" t="s">
        <v>7352</v>
      </c>
      <c r="AC413" t="s">
        <v>4562</v>
      </c>
      <c r="AD413" t="s">
        <v>7353</v>
      </c>
      <c r="AE413" t="s">
        <v>4655</v>
      </c>
      <c r="AF413" t="s">
        <v>3114</v>
      </c>
      <c r="AG413" t="s">
        <v>4564</v>
      </c>
      <c r="AH413">
        <v>89503</v>
      </c>
      <c r="AI413" t="s">
        <v>4903</v>
      </c>
      <c r="AJ413" t="s">
        <v>4655</v>
      </c>
      <c r="AK413" t="s">
        <v>7354</v>
      </c>
      <c r="AL413" s="13" t="s">
        <v>2255</v>
      </c>
      <c r="AM413">
        <v>1</v>
      </c>
      <c r="AN413" s="15" t="s">
        <v>4566</v>
      </c>
    </row>
    <row r="414" spans="1:40" x14ac:dyDescent="0.3">
      <c r="A414" s="10" t="str">
        <f>HYPERLINK("http://www.washoecounty.gov/assessor/cama/?parid=005-032-10&amp;CardNumber=1","005-032-10")</f>
        <v>005-032-10</v>
      </c>
      <c r="B414" t="s">
        <v>4655</v>
      </c>
      <c r="C414" t="s">
        <v>7355</v>
      </c>
      <c r="D414" s="1">
        <v>40359</v>
      </c>
      <c r="E414" s="2">
        <v>135000</v>
      </c>
      <c r="F414" t="s">
        <v>4567</v>
      </c>
      <c r="G414" s="17" t="str">
        <f>HYPERLINK("https://www.washoecounty.gov/assessor/cama/?command=sales&amp;parid=00503210","3897375")</f>
        <v>3897375</v>
      </c>
      <c r="H414" t="s">
        <v>5355</v>
      </c>
      <c r="I414">
        <v>1962</v>
      </c>
      <c r="J414">
        <v>1962</v>
      </c>
      <c r="K414" t="s">
        <v>4554</v>
      </c>
      <c r="L414" t="s">
        <v>4555</v>
      </c>
      <c r="M414" s="2">
        <v>1344</v>
      </c>
      <c r="N414" t="s">
        <v>4556</v>
      </c>
      <c r="O414">
        <v>3</v>
      </c>
      <c r="P414">
        <v>2</v>
      </c>
      <c r="Q414">
        <v>0</v>
      </c>
      <c r="R414" t="s">
        <v>4557</v>
      </c>
      <c r="S414" t="s">
        <v>4558</v>
      </c>
      <c r="T414" t="s">
        <v>4559</v>
      </c>
      <c r="U414" t="s">
        <v>4560</v>
      </c>
      <c r="V414" s="2">
        <v>273</v>
      </c>
      <c r="W414" t="s">
        <v>4655</v>
      </c>
      <c r="X414" s="2">
        <v>0</v>
      </c>
      <c r="Y414">
        <v>20</v>
      </c>
      <c r="Z414" t="s">
        <v>4561</v>
      </c>
      <c r="AA414" s="3">
        <v>0.13999082148075101</v>
      </c>
      <c r="AB414" t="s">
        <v>7356</v>
      </c>
      <c r="AC414" t="s">
        <v>4562</v>
      </c>
      <c r="AD414" t="s">
        <v>7355</v>
      </c>
      <c r="AE414" t="s">
        <v>4655</v>
      </c>
      <c r="AF414" t="s">
        <v>4563</v>
      </c>
      <c r="AG414" t="s">
        <v>4564</v>
      </c>
      <c r="AH414">
        <v>89503</v>
      </c>
      <c r="AI414" t="s">
        <v>7357</v>
      </c>
      <c r="AJ414" t="s">
        <v>4655</v>
      </c>
      <c r="AK414" t="s">
        <v>7358</v>
      </c>
      <c r="AL414" s="13" t="s">
        <v>2255</v>
      </c>
      <c r="AM414" s="14">
        <v>1</v>
      </c>
      <c r="AN414" s="15" t="s">
        <v>4566</v>
      </c>
    </row>
    <row r="415" spans="1:40" x14ac:dyDescent="0.3">
      <c r="A415" s="10" t="str">
        <f>HYPERLINK("http://www.washoecounty.gov/assessor/cama/?parid=005-033-05&amp;CardNumber=1","005-033-05")</f>
        <v>005-033-05</v>
      </c>
      <c r="B415" t="s">
        <v>4655</v>
      </c>
      <c r="C415" t="s">
        <v>7359</v>
      </c>
      <c r="D415" s="1">
        <v>40449</v>
      </c>
      <c r="E415" s="2">
        <v>137000</v>
      </c>
      <c r="F415" t="s">
        <v>4553</v>
      </c>
      <c r="G415" s="17" t="str">
        <f>HYPERLINK("https://www.washoecounty.gov/assessor/cama/?command=sales&amp;parid=00503305","3926968")</f>
        <v>3926968</v>
      </c>
      <c r="H415" t="s">
        <v>5355</v>
      </c>
      <c r="I415">
        <v>1962</v>
      </c>
      <c r="J415">
        <v>1962</v>
      </c>
      <c r="K415" t="s">
        <v>4554</v>
      </c>
      <c r="L415" t="s">
        <v>4555</v>
      </c>
      <c r="M415" s="2">
        <v>1176</v>
      </c>
      <c r="N415" t="s">
        <v>4556</v>
      </c>
      <c r="O415">
        <v>3</v>
      </c>
      <c r="P415">
        <v>2</v>
      </c>
      <c r="Q415">
        <v>0</v>
      </c>
      <c r="R415" t="s">
        <v>4557</v>
      </c>
      <c r="S415" t="s">
        <v>4558</v>
      </c>
      <c r="T415" t="s">
        <v>4559</v>
      </c>
      <c r="U415" t="s">
        <v>4560</v>
      </c>
      <c r="V415" s="2">
        <v>441</v>
      </c>
      <c r="W415" t="s">
        <v>4655</v>
      </c>
      <c r="X415" s="2">
        <v>0</v>
      </c>
      <c r="Y415">
        <v>20</v>
      </c>
      <c r="Z415" t="s">
        <v>4561</v>
      </c>
      <c r="AA415" s="3">
        <v>0.13999082148075101</v>
      </c>
      <c r="AB415" t="s">
        <v>7360</v>
      </c>
      <c r="AC415" t="s">
        <v>4562</v>
      </c>
      <c r="AD415" t="s">
        <v>7361</v>
      </c>
      <c r="AE415" t="s">
        <v>4655</v>
      </c>
      <c r="AF415" t="s">
        <v>4563</v>
      </c>
      <c r="AG415" t="s">
        <v>4564</v>
      </c>
      <c r="AH415">
        <v>89503</v>
      </c>
      <c r="AI415" t="s">
        <v>4903</v>
      </c>
      <c r="AJ415" t="s">
        <v>4655</v>
      </c>
      <c r="AK415" t="s">
        <v>7362</v>
      </c>
      <c r="AL415" s="13" t="s">
        <v>2255</v>
      </c>
      <c r="AM415" s="14">
        <v>1</v>
      </c>
      <c r="AN415" s="15" t="s">
        <v>4566</v>
      </c>
    </row>
    <row r="416" spans="1:40" x14ac:dyDescent="0.3">
      <c r="A416" s="10" t="str">
        <f>HYPERLINK("http://www.washoecounty.gov/assessor/cama/?parid=005-033-16&amp;CardNumber=1","005-033-16")</f>
        <v>005-033-16</v>
      </c>
      <c r="B416" t="s">
        <v>4655</v>
      </c>
      <c r="C416" t="s">
        <v>7363</v>
      </c>
      <c r="D416" s="1">
        <v>40479</v>
      </c>
      <c r="E416" s="2">
        <v>112500</v>
      </c>
      <c r="F416" t="s">
        <v>4567</v>
      </c>
      <c r="G416" s="17" t="str">
        <f>HYPERLINK("https://www.washoecounty.gov/assessor/cama/?command=sales&amp;parid=00503316","3937910")</f>
        <v>3937910</v>
      </c>
      <c r="H416" t="s">
        <v>5355</v>
      </c>
      <c r="I416">
        <v>1962</v>
      </c>
      <c r="J416">
        <v>1962</v>
      </c>
      <c r="K416" t="s">
        <v>4554</v>
      </c>
      <c r="L416" t="s">
        <v>4555</v>
      </c>
      <c r="M416" s="2">
        <v>1176</v>
      </c>
      <c r="N416" t="s">
        <v>4556</v>
      </c>
      <c r="O416">
        <v>3</v>
      </c>
      <c r="P416">
        <v>2</v>
      </c>
      <c r="Q416">
        <v>0</v>
      </c>
      <c r="R416" t="s">
        <v>4557</v>
      </c>
      <c r="S416" t="s">
        <v>4558</v>
      </c>
      <c r="T416" t="s">
        <v>4559</v>
      </c>
      <c r="U416" t="s">
        <v>4655</v>
      </c>
      <c r="V416" s="2">
        <v>0</v>
      </c>
      <c r="W416" t="s">
        <v>4655</v>
      </c>
      <c r="X416" s="2">
        <v>0</v>
      </c>
      <c r="Y416">
        <v>20</v>
      </c>
      <c r="Z416" t="s">
        <v>4561</v>
      </c>
      <c r="AA416" s="3">
        <v>0.169995412230492</v>
      </c>
      <c r="AB416" t="s">
        <v>7364</v>
      </c>
      <c r="AC416" t="s">
        <v>4562</v>
      </c>
      <c r="AD416" t="s">
        <v>7363</v>
      </c>
      <c r="AE416" t="s">
        <v>4655</v>
      </c>
      <c r="AF416" t="s">
        <v>4563</v>
      </c>
      <c r="AG416" t="s">
        <v>4564</v>
      </c>
      <c r="AH416">
        <v>89503</v>
      </c>
      <c r="AI416" t="s">
        <v>1297</v>
      </c>
      <c r="AJ416" t="s">
        <v>4655</v>
      </c>
      <c r="AK416" t="s">
        <v>7365</v>
      </c>
      <c r="AL416" s="13" t="s">
        <v>2255</v>
      </c>
      <c r="AM416" s="14">
        <v>1</v>
      </c>
      <c r="AN416" s="15" t="s">
        <v>4566</v>
      </c>
    </row>
    <row r="417" spans="1:40" x14ac:dyDescent="0.3">
      <c r="A417" s="10" t="str">
        <f>HYPERLINK("http://www.washoecounty.gov/assessor/cama/?parid=005-033-16&amp;CardNumber=1","005-033-16")</f>
        <v>005-033-16</v>
      </c>
      <c r="B417" t="s">
        <v>4655</v>
      </c>
      <c r="C417" t="s">
        <v>7363</v>
      </c>
      <c r="D417" s="1">
        <v>40256</v>
      </c>
      <c r="E417" s="2">
        <v>93000</v>
      </c>
      <c r="F417" t="s">
        <v>4553</v>
      </c>
      <c r="G417" s="17" t="str">
        <f>HYPERLINK("https://www.washoecounty.gov/assessor/cama/?command=sales&amp;parid=00503316","3861439")</f>
        <v>3861439</v>
      </c>
      <c r="H417" t="s">
        <v>5355</v>
      </c>
      <c r="I417">
        <v>1962</v>
      </c>
      <c r="J417">
        <v>1962</v>
      </c>
      <c r="K417" t="s">
        <v>4554</v>
      </c>
      <c r="L417" t="s">
        <v>4555</v>
      </c>
      <c r="M417" s="2">
        <v>1176</v>
      </c>
      <c r="N417" t="s">
        <v>4556</v>
      </c>
      <c r="O417">
        <v>3</v>
      </c>
      <c r="P417">
        <v>2</v>
      </c>
      <c r="Q417">
        <v>0</v>
      </c>
      <c r="R417" t="s">
        <v>4557</v>
      </c>
      <c r="S417" t="s">
        <v>4558</v>
      </c>
      <c r="T417" t="s">
        <v>4559</v>
      </c>
      <c r="U417" t="s">
        <v>4655</v>
      </c>
      <c r="V417" s="2">
        <v>0</v>
      </c>
      <c r="W417" t="s">
        <v>4655</v>
      </c>
      <c r="X417" s="2">
        <v>0</v>
      </c>
      <c r="Y417">
        <v>20</v>
      </c>
      <c r="Z417" t="s">
        <v>4561</v>
      </c>
      <c r="AA417" s="3">
        <v>0.169995412230492</v>
      </c>
      <c r="AB417" t="s">
        <v>7364</v>
      </c>
      <c r="AC417" t="s">
        <v>4562</v>
      </c>
      <c r="AD417" t="s">
        <v>7363</v>
      </c>
      <c r="AE417" t="s">
        <v>4655</v>
      </c>
      <c r="AF417" t="s">
        <v>4563</v>
      </c>
      <c r="AG417" t="s">
        <v>4564</v>
      </c>
      <c r="AH417">
        <v>89503</v>
      </c>
      <c r="AI417" t="s">
        <v>1297</v>
      </c>
      <c r="AJ417" t="s">
        <v>4655</v>
      </c>
      <c r="AK417" t="s">
        <v>7365</v>
      </c>
      <c r="AL417" s="13" t="s">
        <v>2255</v>
      </c>
      <c r="AM417" s="14">
        <v>1</v>
      </c>
      <c r="AN417" s="15" t="s">
        <v>4566</v>
      </c>
    </row>
    <row r="418" spans="1:40" x14ac:dyDescent="0.3">
      <c r="A418" s="10" t="str">
        <f>HYPERLINK("http://www.washoecounty.gov/assessor/cama/?parid=005-034-03&amp;CardNumber=1","005-034-03")</f>
        <v>005-034-03</v>
      </c>
      <c r="B418" t="s">
        <v>4655</v>
      </c>
      <c r="C418" t="s">
        <v>7366</v>
      </c>
      <c r="D418" s="1">
        <v>40395</v>
      </c>
      <c r="E418" s="2">
        <v>99000</v>
      </c>
      <c r="F418" t="s">
        <v>4553</v>
      </c>
      <c r="G418" s="17" t="str">
        <f>HYPERLINK("https://www.washoecounty.gov/assessor/cama/?command=sales&amp;parid=00503403","3909210")</f>
        <v>3909210</v>
      </c>
      <c r="H418" t="s">
        <v>5355</v>
      </c>
      <c r="I418">
        <v>1962</v>
      </c>
      <c r="J418">
        <v>1962</v>
      </c>
      <c r="K418" t="s">
        <v>4554</v>
      </c>
      <c r="L418" t="s">
        <v>4555</v>
      </c>
      <c r="M418" s="2">
        <v>988</v>
      </c>
      <c r="N418" t="s">
        <v>4556</v>
      </c>
      <c r="O418">
        <v>4</v>
      </c>
      <c r="P418">
        <v>2</v>
      </c>
      <c r="Q418">
        <v>0</v>
      </c>
      <c r="R418" t="s">
        <v>4557</v>
      </c>
      <c r="S418" t="s">
        <v>4574</v>
      </c>
      <c r="T418" t="s">
        <v>4559</v>
      </c>
      <c r="U418" t="s">
        <v>4655</v>
      </c>
      <c r="V418" s="2">
        <v>0</v>
      </c>
      <c r="W418" t="s">
        <v>4655</v>
      </c>
      <c r="X418" s="2">
        <v>0</v>
      </c>
      <c r="Y418">
        <v>20</v>
      </c>
      <c r="Z418" t="s">
        <v>4561</v>
      </c>
      <c r="AA418" s="3">
        <v>0.15000000596046401</v>
      </c>
      <c r="AB418" t="s">
        <v>7367</v>
      </c>
      <c r="AC418" t="s">
        <v>4575</v>
      </c>
      <c r="AD418" t="s">
        <v>7368</v>
      </c>
      <c r="AE418" t="s">
        <v>4655</v>
      </c>
      <c r="AF418" t="s">
        <v>3890</v>
      </c>
      <c r="AG418" t="s">
        <v>4564</v>
      </c>
      <c r="AH418" t="s">
        <v>3891</v>
      </c>
      <c r="AI418" t="s">
        <v>4903</v>
      </c>
      <c r="AJ418" t="s">
        <v>4655</v>
      </c>
      <c r="AK418" t="s">
        <v>7369</v>
      </c>
      <c r="AL418" s="13" t="s">
        <v>2255</v>
      </c>
      <c r="AM418">
        <v>1</v>
      </c>
      <c r="AN418" s="15" t="s">
        <v>4566</v>
      </c>
    </row>
    <row r="419" spans="1:40" x14ac:dyDescent="0.3">
      <c r="A419" s="10" t="str">
        <f>HYPERLINK("http://www.washoecounty.gov/assessor/cama/?parid=005-035-02&amp;CardNumber=1","005-035-02")</f>
        <v>005-035-02</v>
      </c>
      <c r="B419" t="s">
        <v>4655</v>
      </c>
      <c r="C419" t="s">
        <v>7370</v>
      </c>
      <c r="D419" s="1">
        <v>40240</v>
      </c>
      <c r="E419" s="2">
        <v>140000</v>
      </c>
      <c r="F419" t="s">
        <v>4567</v>
      </c>
      <c r="G419" s="17" t="str">
        <f>HYPERLINK("https://www.washoecounty.gov/assessor/cama/?command=sales&amp;parid=00503502","3855350")</f>
        <v>3855350</v>
      </c>
      <c r="H419" t="s">
        <v>5355</v>
      </c>
      <c r="I419">
        <v>1962</v>
      </c>
      <c r="J419">
        <v>1968</v>
      </c>
      <c r="K419" t="s">
        <v>4554</v>
      </c>
      <c r="L419" t="s">
        <v>4555</v>
      </c>
      <c r="M419" s="2">
        <v>1228</v>
      </c>
      <c r="N419" t="s">
        <v>4556</v>
      </c>
      <c r="O419">
        <v>3</v>
      </c>
      <c r="P419">
        <v>2</v>
      </c>
      <c r="Q419">
        <v>0</v>
      </c>
      <c r="R419" t="s">
        <v>4557</v>
      </c>
      <c r="S419" t="s">
        <v>4135</v>
      </c>
      <c r="T419" t="s">
        <v>4559</v>
      </c>
      <c r="U419" t="s">
        <v>4560</v>
      </c>
      <c r="V419" s="2">
        <v>286</v>
      </c>
      <c r="W419" t="s">
        <v>4655</v>
      </c>
      <c r="X419" s="2">
        <v>0</v>
      </c>
      <c r="Y419">
        <v>20</v>
      </c>
      <c r="Z419" t="s">
        <v>4561</v>
      </c>
      <c r="AA419" s="3">
        <v>0.13999082148075101</v>
      </c>
      <c r="AB419" t="s">
        <v>7371</v>
      </c>
      <c r="AC419" t="s">
        <v>4562</v>
      </c>
      <c r="AD419" t="s">
        <v>7370</v>
      </c>
      <c r="AE419" t="s">
        <v>4655</v>
      </c>
      <c r="AF419" t="s">
        <v>4563</v>
      </c>
      <c r="AG419" t="s">
        <v>4564</v>
      </c>
      <c r="AH419">
        <v>89503</v>
      </c>
      <c r="AI419" t="s">
        <v>7372</v>
      </c>
      <c r="AJ419" t="s">
        <v>4655</v>
      </c>
      <c r="AK419" t="s">
        <v>7373</v>
      </c>
      <c r="AL419" s="13" t="s">
        <v>2255</v>
      </c>
      <c r="AM419" s="14">
        <v>1</v>
      </c>
      <c r="AN419" s="15" t="s">
        <v>4566</v>
      </c>
    </row>
    <row r="420" spans="1:40" x14ac:dyDescent="0.3">
      <c r="A420" s="10" t="str">
        <f>HYPERLINK("http://www.washoecounty.gov/assessor/cama/?parid=005-035-02&amp;CardNumber=1","005-035-02")</f>
        <v>005-035-02</v>
      </c>
      <c r="B420" t="s">
        <v>4655</v>
      </c>
      <c r="C420" t="s">
        <v>7370</v>
      </c>
      <c r="D420" s="1">
        <v>40240</v>
      </c>
      <c r="E420" s="2">
        <v>140000</v>
      </c>
      <c r="F420" t="s">
        <v>4567</v>
      </c>
      <c r="G420" s="17" t="str">
        <f>HYPERLINK("https://www.washoecounty.gov/assessor/cama/?command=sales&amp;parid=00503502","3855351")</f>
        <v>3855351</v>
      </c>
      <c r="H420" t="s">
        <v>5355</v>
      </c>
      <c r="I420">
        <v>1962</v>
      </c>
      <c r="J420">
        <v>1968</v>
      </c>
      <c r="K420" t="s">
        <v>4554</v>
      </c>
      <c r="L420" t="s">
        <v>4555</v>
      </c>
      <c r="M420" s="2">
        <v>1228</v>
      </c>
      <c r="N420" t="s">
        <v>4556</v>
      </c>
      <c r="O420">
        <v>3</v>
      </c>
      <c r="P420">
        <v>2</v>
      </c>
      <c r="Q420">
        <v>0</v>
      </c>
      <c r="R420" t="s">
        <v>4557</v>
      </c>
      <c r="S420" t="s">
        <v>4135</v>
      </c>
      <c r="T420" t="s">
        <v>4559</v>
      </c>
      <c r="U420" t="s">
        <v>4560</v>
      </c>
      <c r="V420" s="2">
        <v>286</v>
      </c>
      <c r="W420" t="s">
        <v>4655</v>
      </c>
      <c r="X420" s="2">
        <v>0</v>
      </c>
      <c r="Y420">
        <v>20</v>
      </c>
      <c r="Z420" t="s">
        <v>4561</v>
      </c>
      <c r="AA420" s="3">
        <v>0.13999082148075101</v>
      </c>
      <c r="AB420" t="s">
        <v>7371</v>
      </c>
      <c r="AC420" t="s">
        <v>4562</v>
      </c>
      <c r="AD420" t="s">
        <v>7370</v>
      </c>
      <c r="AE420" t="s">
        <v>4655</v>
      </c>
      <c r="AF420" t="s">
        <v>4563</v>
      </c>
      <c r="AG420" t="s">
        <v>4564</v>
      </c>
      <c r="AH420">
        <v>89503</v>
      </c>
      <c r="AI420" t="s">
        <v>7372</v>
      </c>
      <c r="AJ420" t="s">
        <v>4655</v>
      </c>
      <c r="AK420" t="s">
        <v>7373</v>
      </c>
      <c r="AL420" s="13" t="s">
        <v>2255</v>
      </c>
      <c r="AM420">
        <v>1</v>
      </c>
      <c r="AN420" s="15" t="s">
        <v>4566</v>
      </c>
    </row>
    <row r="421" spans="1:40" x14ac:dyDescent="0.3">
      <c r="A421" s="10" t="str">
        <f>HYPERLINK("http://www.washoecounty.gov/assessor/cama/?parid=005-035-05&amp;CardNumber=1","005-035-05")</f>
        <v>005-035-05</v>
      </c>
      <c r="B421" t="s">
        <v>4655</v>
      </c>
      <c r="C421" t="s">
        <v>7374</v>
      </c>
      <c r="D421" s="1">
        <v>40308</v>
      </c>
      <c r="E421" s="2">
        <v>130000</v>
      </c>
      <c r="F421" t="s">
        <v>4567</v>
      </c>
      <c r="G421" s="17" t="str">
        <f>HYPERLINK("https://www.washoecounty.gov/assessor/cama/?command=sales&amp;parid=00503505","3879593")</f>
        <v>3879593</v>
      </c>
      <c r="H421" t="s">
        <v>5355</v>
      </c>
      <c r="I421">
        <v>1962</v>
      </c>
      <c r="J421">
        <v>1962</v>
      </c>
      <c r="K421" t="s">
        <v>4554</v>
      </c>
      <c r="L421" t="s">
        <v>4555</v>
      </c>
      <c r="M421" s="2">
        <v>1344</v>
      </c>
      <c r="N421" t="s">
        <v>4556</v>
      </c>
      <c r="O421">
        <v>3</v>
      </c>
      <c r="P421">
        <v>2</v>
      </c>
      <c r="Q421">
        <v>0</v>
      </c>
      <c r="R421" t="s">
        <v>4557</v>
      </c>
      <c r="S421" t="s">
        <v>4898</v>
      </c>
      <c r="T421" t="s">
        <v>4559</v>
      </c>
      <c r="U421" t="s">
        <v>4560</v>
      </c>
      <c r="V421" s="2">
        <v>273</v>
      </c>
      <c r="W421" t="s">
        <v>4655</v>
      </c>
      <c r="X421" s="2">
        <v>0</v>
      </c>
      <c r="Y421">
        <v>20</v>
      </c>
      <c r="Z421" t="s">
        <v>4561</v>
      </c>
      <c r="AA421" s="3">
        <v>0.13999082148075101</v>
      </c>
      <c r="AB421" t="s">
        <v>7375</v>
      </c>
      <c r="AC421" t="s">
        <v>4562</v>
      </c>
      <c r="AD421" t="s">
        <v>7374</v>
      </c>
      <c r="AE421" t="s">
        <v>4655</v>
      </c>
      <c r="AF421" t="s">
        <v>4563</v>
      </c>
      <c r="AG421" t="s">
        <v>4564</v>
      </c>
      <c r="AH421">
        <v>89503</v>
      </c>
      <c r="AI421" t="s">
        <v>7376</v>
      </c>
      <c r="AJ421" t="s">
        <v>4655</v>
      </c>
      <c r="AK421" t="s">
        <v>7377</v>
      </c>
      <c r="AL421" s="13" t="s">
        <v>2255</v>
      </c>
      <c r="AM421">
        <v>1</v>
      </c>
      <c r="AN421" s="15" t="s">
        <v>4566</v>
      </c>
    </row>
    <row r="422" spans="1:40" x14ac:dyDescent="0.3">
      <c r="A422" s="10" t="str">
        <f>HYPERLINK("http://www.washoecounty.gov/assessor/cama/?parid=005-061-16&amp;CardNumber=1","005-061-16")</f>
        <v>005-061-16</v>
      </c>
      <c r="B422" t="s">
        <v>4655</v>
      </c>
      <c r="C422" t="s">
        <v>7378</v>
      </c>
      <c r="D422" s="1">
        <v>40358</v>
      </c>
      <c r="E422" s="2">
        <v>175000</v>
      </c>
      <c r="F422" t="s">
        <v>4567</v>
      </c>
      <c r="G422" s="17" t="str">
        <f>HYPERLINK("https://www.washoecounty.gov/assessor/cama/?command=sales&amp;parid=00506116","3896342")</f>
        <v>3896342</v>
      </c>
      <c r="H422" t="s">
        <v>5355</v>
      </c>
      <c r="I422">
        <v>1962</v>
      </c>
      <c r="J422">
        <v>1967</v>
      </c>
      <c r="K422" t="s">
        <v>4554</v>
      </c>
      <c r="L422" t="s">
        <v>2170</v>
      </c>
      <c r="M422" s="2">
        <v>1617</v>
      </c>
      <c r="N422" t="s">
        <v>4556</v>
      </c>
      <c r="O422">
        <v>3</v>
      </c>
      <c r="P422">
        <v>2</v>
      </c>
      <c r="Q422">
        <v>0</v>
      </c>
      <c r="R422" t="s">
        <v>4557</v>
      </c>
      <c r="S422" t="s">
        <v>4135</v>
      </c>
      <c r="T422" t="s">
        <v>4559</v>
      </c>
      <c r="U422" t="s">
        <v>5631</v>
      </c>
      <c r="V422" s="2">
        <v>441</v>
      </c>
      <c r="W422" t="s">
        <v>4655</v>
      </c>
      <c r="X422" s="2">
        <v>0</v>
      </c>
      <c r="Y422">
        <v>20</v>
      </c>
      <c r="Z422" t="s">
        <v>4561</v>
      </c>
      <c r="AA422" s="3">
        <v>0.13999082148075101</v>
      </c>
      <c r="AB422" t="s">
        <v>7379</v>
      </c>
      <c r="AC422" t="s">
        <v>4562</v>
      </c>
      <c r="AD422" t="s">
        <v>7380</v>
      </c>
      <c r="AE422" t="s">
        <v>4655</v>
      </c>
      <c r="AF422" t="s">
        <v>7381</v>
      </c>
      <c r="AG422" t="s">
        <v>4584</v>
      </c>
      <c r="AH422" t="s">
        <v>7382</v>
      </c>
      <c r="AI422" t="s">
        <v>7383</v>
      </c>
      <c r="AJ422" t="s">
        <v>4655</v>
      </c>
      <c r="AK422" t="s">
        <v>7384</v>
      </c>
      <c r="AL422" s="13" t="s">
        <v>2255</v>
      </c>
      <c r="AM422" s="14">
        <v>1</v>
      </c>
      <c r="AN422" s="15" t="s">
        <v>4566</v>
      </c>
    </row>
    <row r="423" spans="1:40" x14ac:dyDescent="0.3">
      <c r="A423" s="10" t="str">
        <f>HYPERLINK("http://www.washoecounty.gov/assessor/cama/?parid=005-061-23&amp;CardNumber=1","005-061-23")</f>
        <v>005-061-23</v>
      </c>
      <c r="B423" t="s">
        <v>4655</v>
      </c>
      <c r="C423" t="s">
        <v>7385</v>
      </c>
      <c r="D423" s="1">
        <v>40296</v>
      </c>
      <c r="E423" s="2">
        <v>120000</v>
      </c>
      <c r="F423" t="s">
        <v>4567</v>
      </c>
      <c r="G423" s="17" t="str">
        <f>HYPERLINK("https://www.washoecounty.gov/assessor/cama/?command=sales&amp;parid=00506123","3875869")</f>
        <v>3875869</v>
      </c>
      <c r="H423" t="s">
        <v>5355</v>
      </c>
      <c r="I423">
        <v>1962</v>
      </c>
      <c r="J423">
        <v>1962</v>
      </c>
      <c r="K423" t="s">
        <v>4554</v>
      </c>
      <c r="L423" t="s">
        <v>4555</v>
      </c>
      <c r="M423" s="2">
        <v>1176</v>
      </c>
      <c r="N423" t="s">
        <v>4556</v>
      </c>
      <c r="O423">
        <v>3</v>
      </c>
      <c r="P423">
        <v>2</v>
      </c>
      <c r="Q423">
        <v>0</v>
      </c>
      <c r="R423" t="s">
        <v>4557</v>
      </c>
      <c r="S423" t="s">
        <v>4574</v>
      </c>
      <c r="T423" t="s">
        <v>4559</v>
      </c>
      <c r="U423" t="s">
        <v>4560</v>
      </c>
      <c r="V423" s="2">
        <v>441</v>
      </c>
      <c r="W423" t="s">
        <v>4655</v>
      </c>
      <c r="X423" s="2">
        <v>0</v>
      </c>
      <c r="Y423">
        <v>20</v>
      </c>
      <c r="Z423" t="s">
        <v>4561</v>
      </c>
      <c r="AA423" s="3">
        <v>0.13999082148075101</v>
      </c>
      <c r="AB423" t="s">
        <v>7386</v>
      </c>
      <c r="AC423" t="s">
        <v>4562</v>
      </c>
      <c r="AD423" t="s">
        <v>7385</v>
      </c>
      <c r="AE423" t="s">
        <v>4655</v>
      </c>
      <c r="AF423" t="s">
        <v>4563</v>
      </c>
      <c r="AG423" t="s">
        <v>4564</v>
      </c>
      <c r="AH423">
        <v>89503</v>
      </c>
      <c r="AI423" t="s">
        <v>7387</v>
      </c>
      <c r="AJ423" t="s">
        <v>4655</v>
      </c>
      <c r="AK423" t="s">
        <v>7388</v>
      </c>
      <c r="AL423" s="13" t="s">
        <v>2255</v>
      </c>
      <c r="AM423" s="14">
        <v>1</v>
      </c>
      <c r="AN423" s="15" t="s">
        <v>4566</v>
      </c>
    </row>
    <row r="424" spans="1:40" x14ac:dyDescent="0.3">
      <c r="A424" s="10" t="str">
        <f>HYPERLINK("http://www.washoecounty.gov/assessor/cama/?parid=005-062-01&amp;CardNumber=1","005-062-01")</f>
        <v>005-062-01</v>
      </c>
      <c r="B424" t="s">
        <v>4655</v>
      </c>
      <c r="C424" t="s">
        <v>7389</v>
      </c>
      <c r="D424" s="1">
        <v>40406</v>
      </c>
      <c r="E424" s="2">
        <v>115000</v>
      </c>
      <c r="F424" t="s">
        <v>4567</v>
      </c>
      <c r="G424" s="17" t="str">
        <f>HYPERLINK("https://www.washoecounty.gov/assessor/cama/?command=sales&amp;parid=00506201","3912051")</f>
        <v>3912051</v>
      </c>
      <c r="H424" t="s">
        <v>5355</v>
      </c>
      <c r="I424">
        <v>1962</v>
      </c>
      <c r="J424">
        <v>1962</v>
      </c>
      <c r="K424" t="s">
        <v>4554</v>
      </c>
      <c r="L424" t="s">
        <v>4555</v>
      </c>
      <c r="M424" s="2">
        <v>988</v>
      </c>
      <c r="N424" t="s">
        <v>4556</v>
      </c>
      <c r="O424">
        <v>3</v>
      </c>
      <c r="P424">
        <v>2</v>
      </c>
      <c r="Q424">
        <v>0</v>
      </c>
      <c r="R424" t="s">
        <v>4557</v>
      </c>
      <c r="S424" t="s">
        <v>4574</v>
      </c>
      <c r="T424" t="s">
        <v>4559</v>
      </c>
      <c r="U424" t="s">
        <v>4560</v>
      </c>
      <c r="V424" s="2">
        <v>286</v>
      </c>
      <c r="W424" t="s">
        <v>4655</v>
      </c>
      <c r="X424" s="2">
        <v>0</v>
      </c>
      <c r="Y424">
        <v>20</v>
      </c>
      <c r="Z424" t="s">
        <v>4561</v>
      </c>
      <c r="AA424" s="3">
        <v>0.21000918745994601</v>
      </c>
      <c r="AB424" t="s">
        <v>7390</v>
      </c>
      <c r="AC424" t="s">
        <v>4562</v>
      </c>
      <c r="AD424" t="s">
        <v>7389</v>
      </c>
      <c r="AE424" t="s">
        <v>4655</v>
      </c>
      <c r="AF424" t="s">
        <v>4563</v>
      </c>
      <c r="AG424" t="s">
        <v>4564</v>
      </c>
      <c r="AH424">
        <v>89503</v>
      </c>
      <c r="AI424" t="s">
        <v>7391</v>
      </c>
      <c r="AJ424" t="s">
        <v>4655</v>
      </c>
      <c r="AK424" t="s">
        <v>7392</v>
      </c>
      <c r="AL424" s="13" t="s">
        <v>2255</v>
      </c>
      <c r="AM424">
        <v>1</v>
      </c>
      <c r="AN424" s="15" t="s">
        <v>4566</v>
      </c>
    </row>
    <row r="425" spans="1:40" x14ac:dyDescent="0.3">
      <c r="A425" s="10" t="str">
        <f>HYPERLINK("http://www.washoecounty.gov/assessor/cama/?parid=005-063-06&amp;CardNumber=1","005-063-06")</f>
        <v>005-063-06</v>
      </c>
      <c r="B425" t="s">
        <v>4655</v>
      </c>
      <c r="C425" t="s">
        <v>7393</v>
      </c>
      <c r="D425" s="1">
        <v>40337</v>
      </c>
      <c r="E425" s="2">
        <v>135000</v>
      </c>
      <c r="F425" t="s">
        <v>4567</v>
      </c>
      <c r="G425" s="17" t="str">
        <f>HYPERLINK("https://www.washoecounty.gov/assessor/cama/?command=sales&amp;parid=00506306","3889372")</f>
        <v>3889372</v>
      </c>
      <c r="H425" t="s">
        <v>4688</v>
      </c>
      <c r="I425">
        <v>1963</v>
      </c>
      <c r="J425">
        <v>1963</v>
      </c>
      <c r="K425" t="s">
        <v>4554</v>
      </c>
      <c r="L425" t="s">
        <v>2170</v>
      </c>
      <c r="M425" s="2">
        <v>1669</v>
      </c>
      <c r="N425" t="s">
        <v>4556</v>
      </c>
      <c r="O425">
        <v>4</v>
      </c>
      <c r="P425">
        <v>2</v>
      </c>
      <c r="Q425">
        <v>0</v>
      </c>
      <c r="R425" t="s">
        <v>4557</v>
      </c>
      <c r="S425" t="s">
        <v>4574</v>
      </c>
      <c r="T425" t="s">
        <v>4559</v>
      </c>
      <c r="U425" t="s">
        <v>4560</v>
      </c>
      <c r="V425" s="2">
        <v>277</v>
      </c>
      <c r="W425" t="s">
        <v>4655</v>
      </c>
      <c r="X425" s="2">
        <v>0</v>
      </c>
      <c r="Y425">
        <v>20</v>
      </c>
      <c r="Z425" t="s">
        <v>4561</v>
      </c>
      <c r="AA425" s="3">
        <v>0.13999082148075101</v>
      </c>
      <c r="AB425" t="s">
        <v>7394</v>
      </c>
      <c r="AC425" t="s">
        <v>4562</v>
      </c>
      <c r="AD425" t="s">
        <v>7393</v>
      </c>
      <c r="AE425" t="s">
        <v>4655</v>
      </c>
      <c r="AF425" t="s">
        <v>3114</v>
      </c>
      <c r="AG425" t="s">
        <v>4564</v>
      </c>
      <c r="AH425">
        <v>89503</v>
      </c>
      <c r="AI425" t="s">
        <v>7395</v>
      </c>
      <c r="AJ425" t="s">
        <v>4655</v>
      </c>
      <c r="AK425" t="s">
        <v>7396</v>
      </c>
      <c r="AL425" s="13" t="s">
        <v>2255</v>
      </c>
      <c r="AM425" s="14">
        <v>1</v>
      </c>
      <c r="AN425" s="15" t="s">
        <v>4566</v>
      </c>
    </row>
    <row r="426" spans="1:40" x14ac:dyDescent="0.3">
      <c r="A426" s="10" t="str">
        <f>HYPERLINK("http://www.washoecounty.gov/assessor/cama/?parid=005-063-09&amp;CardNumber=1","005-063-09")</f>
        <v>005-063-09</v>
      </c>
      <c r="B426" t="s">
        <v>4655</v>
      </c>
      <c r="C426" t="s">
        <v>7397</v>
      </c>
      <c r="D426" s="1">
        <v>40511</v>
      </c>
      <c r="E426" s="2">
        <v>75000</v>
      </c>
      <c r="F426" t="s">
        <v>4553</v>
      </c>
      <c r="G426" s="17" t="str">
        <f>HYPERLINK("https://www.washoecounty.gov/assessor/cama/?command=sales&amp;parid=00506309","3947202")</f>
        <v>3947202</v>
      </c>
      <c r="H426" t="s">
        <v>4688</v>
      </c>
      <c r="I426">
        <v>1963</v>
      </c>
      <c r="J426">
        <v>1963</v>
      </c>
      <c r="K426" t="s">
        <v>4554</v>
      </c>
      <c r="L426" t="s">
        <v>4555</v>
      </c>
      <c r="M426" s="2">
        <v>988</v>
      </c>
      <c r="N426" t="s">
        <v>4556</v>
      </c>
      <c r="O426">
        <v>3</v>
      </c>
      <c r="P426">
        <v>2</v>
      </c>
      <c r="Q426">
        <v>0</v>
      </c>
      <c r="R426" t="s">
        <v>4557</v>
      </c>
      <c r="S426" t="s">
        <v>4574</v>
      </c>
      <c r="T426" t="s">
        <v>4559</v>
      </c>
      <c r="U426" t="s">
        <v>4655</v>
      </c>
      <c r="V426" s="2">
        <v>0</v>
      </c>
      <c r="W426" t="s">
        <v>4655</v>
      </c>
      <c r="X426" s="2">
        <v>0</v>
      </c>
      <c r="Y426">
        <v>20</v>
      </c>
      <c r="Z426" t="s">
        <v>4561</v>
      </c>
      <c r="AA426" s="3">
        <v>0.13999082148075101</v>
      </c>
      <c r="AB426" t="s">
        <v>5491</v>
      </c>
      <c r="AC426" t="s">
        <v>4575</v>
      </c>
      <c r="AD426" t="s">
        <v>7398</v>
      </c>
      <c r="AE426" t="s">
        <v>4655</v>
      </c>
      <c r="AF426" t="s">
        <v>4563</v>
      </c>
      <c r="AG426" t="s">
        <v>4564</v>
      </c>
      <c r="AH426">
        <v>89509</v>
      </c>
      <c r="AI426" t="s">
        <v>2351</v>
      </c>
      <c r="AJ426" t="s">
        <v>4655</v>
      </c>
      <c r="AK426" t="s">
        <v>7399</v>
      </c>
      <c r="AL426" s="13" t="s">
        <v>2255</v>
      </c>
      <c r="AM426">
        <v>1</v>
      </c>
      <c r="AN426" s="15" t="s">
        <v>4566</v>
      </c>
    </row>
    <row r="427" spans="1:40" x14ac:dyDescent="0.3">
      <c r="A427" s="10" t="str">
        <f>HYPERLINK("http://www.washoecounty.gov/assessor/cama/?parid=005-072-08&amp;CardNumber=1","005-072-08")</f>
        <v>005-072-08</v>
      </c>
      <c r="B427" t="s">
        <v>4655</v>
      </c>
      <c r="C427" t="s">
        <v>7400</v>
      </c>
      <c r="D427" s="1">
        <v>40359</v>
      </c>
      <c r="E427" s="2">
        <v>120000</v>
      </c>
      <c r="F427" t="s">
        <v>4567</v>
      </c>
      <c r="G427" s="17" t="str">
        <f>HYPERLINK("https://www.washoecounty.gov/assessor/cama/?command=sales&amp;parid=00507208","3897276")</f>
        <v>3897276</v>
      </c>
      <c r="H427" t="s">
        <v>5530</v>
      </c>
      <c r="I427">
        <v>1962</v>
      </c>
      <c r="J427">
        <v>1965</v>
      </c>
      <c r="K427" t="s">
        <v>4554</v>
      </c>
      <c r="L427" t="s">
        <v>4555</v>
      </c>
      <c r="M427" s="2">
        <v>988</v>
      </c>
      <c r="N427" t="s">
        <v>4556</v>
      </c>
      <c r="O427">
        <v>3</v>
      </c>
      <c r="P427">
        <v>1</v>
      </c>
      <c r="Q427">
        <v>0</v>
      </c>
      <c r="R427" t="s">
        <v>4557</v>
      </c>
      <c r="S427" t="s">
        <v>4558</v>
      </c>
      <c r="T427" t="s">
        <v>4559</v>
      </c>
      <c r="U427" t="s">
        <v>4655</v>
      </c>
      <c r="V427" s="2">
        <v>0</v>
      </c>
      <c r="W427" t="s">
        <v>4655</v>
      </c>
      <c r="X427" s="2">
        <v>0</v>
      </c>
      <c r="Y427">
        <v>20</v>
      </c>
      <c r="Z427" t="s">
        <v>4561</v>
      </c>
      <c r="AA427" s="3">
        <v>0.169995412230492</v>
      </c>
      <c r="AB427" t="s">
        <v>1062</v>
      </c>
      <c r="AC427" t="s">
        <v>4562</v>
      </c>
      <c r="AD427" t="s">
        <v>1063</v>
      </c>
      <c r="AE427" t="s">
        <v>4655</v>
      </c>
      <c r="AF427" t="s">
        <v>4563</v>
      </c>
      <c r="AG427" t="s">
        <v>4564</v>
      </c>
      <c r="AH427" t="s">
        <v>1147</v>
      </c>
      <c r="AI427" t="s">
        <v>7401</v>
      </c>
      <c r="AJ427" t="s">
        <v>4655</v>
      </c>
      <c r="AK427" t="s">
        <v>7402</v>
      </c>
      <c r="AL427" s="13" t="s">
        <v>2255</v>
      </c>
      <c r="AM427">
        <v>1</v>
      </c>
      <c r="AN427" s="15" t="s">
        <v>4566</v>
      </c>
    </row>
    <row r="428" spans="1:40" x14ac:dyDescent="0.3">
      <c r="A428" s="10" t="str">
        <f>HYPERLINK("http://www.washoecounty.gov/assessor/cama/?parid=005-072-12&amp;CardNumber=1","005-072-12")</f>
        <v>005-072-12</v>
      </c>
      <c r="B428" t="s">
        <v>4655</v>
      </c>
      <c r="C428" t="s">
        <v>7403</v>
      </c>
      <c r="D428" s="1">
        <v>40309</v>
      </c>
      <c r="E428" s="2">
        <v>136000</v>
      </c>
      <c r="F428" t="s">
        <v>4567</v>
      </c>
      <c r="G428" s="17" t="str">
        <f>HYPERLINK("https://www.washoecounty.gov/assessor/cama/?command=sales&amp;parid=00507212","3880431")</f>
        <v>3880431</v>
      </c>
      <c r="H428" t="s">
        <v>5530</v>
      </c>
      <c r="I428">
        <v>1962</v>
      </c>
      <c r="J428">
        <v>1966</v>
      </c>
      <c r="K428" t="s">
        <v>4554</v>
      </c>
      <c r="L428" t="s">
        <v>4555</v>
      </c>
      <c r="M428" s="2">
        <v>1288</v>
      </c>
      <c r="N428" t="s">
        <v>4556</v>
      </c>
      <c r="O428">
        <v>3</v>
      </c>
      <c r="P428">
        <v>2</v>
      </c>
      <c r="Q428">
        <v>0</v>
      </c>
      <c r="R428" t="s">
        <v>5281</v>
      </c>
      <c r="S428" t="s">
        <v>4135</v>
      </c>
      <c r="T428" t="s">
        <v>4559</v>
      </c>
      <c r="U428" t="s">
        <v>4560</v>
      </c>
      <c r="V428" s="2">
        <v>286</v>
      </c>
      <c r="W428" t="s">
        <v>4655</v>
      </c>
      <c r="X428" s="2">
        <v>0</v>
      </c>
      <c r="Y428">
        <v>20</v>
      </c>
      <c r="Z428" t="s">
        <v>4561</v>
      </c>
      <c r="AA428" s="3">
        <v>0.169995412230492</v>
      </c>
      <c r="AB428" t="s">
        <v>7404</v>
      </c>
      <c r="AC428" t="s">
        <v>4562</v>
      </c>
      <c r="AD428" t="s">
        <v>7405</v>
      </c>
      <c r="AE428" t="s">
        <v>4655</v>
      </c>
      <c r="AF428" t="s">
        <v>4563</v>
      </c>
      <c r="AG428" t="s">
        <v>4564</v>
      </c>
      <c r="AH428" t="s">
        <v>1147</v>
      </c>
      <c r="AI428" t="s">
        <v>7406</v>
      </c>
      <c r="AJ428" t="s">
        <v>4655</v>
      </c>
      <c r="AK428" t="s">
        <v>7407</v>
      </c>
      <c r="AL428" s="13" t="s">
        <v>2255</v>
      </c>
      <c r="AM428" s="14">
        <v>1</v>
      </c>
      <c r="AN428" s="15" t="s">
        <v>4566</v>
      </c>
    </row>
    <row r="429" spans="1:40" x14ac:dyDescent="0.3">
      <c r="A429" s="10" t="str">
        <f>HYPERLINK("http://www.washoecounty.gov/assessor/cama/?parid=005-072-12&amp;CardNumber=1","005-072-12")</f>
        <v>005-072-12</v>
      </c>
      <c r="B429" t="s">
        <v>4655</v>
      </c>
      <c r="C429" t="s">
        <v>7403</v>
      </c>
      <c r="D429" s="1">
        <v>40200</v>
      </c>
      <c r="E429" s="2">
        <v>100000</v>
      </c>
      <c r="F429" t="s">
        <v>4567</v>
      </c>
      <c r="G429" s="17" t="str">
        <f>HYPERLINK("https://www.washoecounty.gov/assessor/cama/?command=sales&amp;parid=00507212","3842064")</f>
        <v>3842064</v>
      </c>
      <c r="H429" t="s">
        <v>5530</v>
      </c>
      <c r="I429">
        <v>1962</v>
      </c>
      <c r="J429">
        <v>1966</v>
      </c>
      <c r="K429" t="s">
        <v>4554</v>
      </c>
      <c r="L429" t="s">
        <v>4555</v>
      </c>
      <c r="M429" s="2">
        <v>1288</v>
      </c>
      <c r="N429" t="s">
        <v>4556</v>
      </c>
      <c r="O429">
        <v>3</v>
      </c>
      <c r="P429">
        <v>2</v>
      </c>
      <c r="Q429">
        <v>0</v>
      </c>
      <c r="R429" t="s">
        <v>5281</v>
      </c>
      <c r="S429" t="s">
        <v>4135</v>
      </c>
      <c r="T429" t="s">
        <v>4559</v>
      </c>
      <c r="U429" t="s">
        <v>4560</v>
      </c>
      <c r="V429" s="2">
        <v>286</v>
      </c>
      <c r="W429" t="s">
        <v>4655</v>
      </c>
      <c r="X429" s="2">
        <v>0</v>
      </c>
      <c r="Y429">
        <v>20</v>
      </c>
      <c r="Z429" t="s">
        <v>4561</v>
      </c>
      <c r="AA429" s="3">
        <v>0.169995412230492</v>
      </c>
      <c r="AB429" t="s">
        <v>7404</v>
      </c>
      <c r="AC429" t="s">
        <v>4562</v>
      </c>
      <c r="AD429" t="s">
        <v>7405</v>
      </c>
      <c r="AE429" t="s">
        <v>4655</v>
      </c>
      <c r="AF429" t="s">
        <v>4563</v>
      </c>
      <c r="AG429" t="s">
        <v>4564</v>
      </c>
      <c r="AH429" t="s">
        <v>1147</v>
      </c>
      <c r="AI429" t="s">
        <v>7406</v>
      </c>
      <c r="AJ429" t="s">
        <v>4655</v>
      </c>
      <c r="AK429" t="s">
        <v>7407</v>
      </c>
      <c r="AL429" s="13" t="s">
        <v>2255</v>
      </c>
      <c r="AM429">
        <v>1</v>
      </c>
      <c r="AN429" s="15" t="s">
        <v>4566</v>
      </c>
    </row>
    <row r="430" spans="1:40" x14ac:dyDescent="0.3">
      <c r="A430" s="10" t="str">
        <f>HYPERLINK("http://www.washoecounty.gov/assessor/cama/?parid=005-072-16&amp;CardNumber=1","005-072-16")</f>
        <v>005-072-16</v>
      </c>
      <c r="B430" t="s">
        <v>4655</v>
      </c>
      <c r="C430" t="s">
        <v>7408</v>
      </c>
      <c r="D430" s="1">
        <v>40226</v>
      </c>
      <c r="E430" s="2">
        <v>110000</v>
      </c>
      <c r="F430" t="s">
        <v>4567</v>
      </c>
      <c r="G430" s="17" t="str">
        <f>HYPERLINK("https://www.washoecounty.gov/assessor/cama/?command=sales&amp;parid=00507216","3850304")</f>
        <v>3850304</v>
      </c>
      <c r="H430" t="s">
        <v>5530</v>
      </c>
      <c r="I430">
        <v>1962</v>
      </c>
      <c r="J430">
        <v>1962</v>
      </c>
      <c r="K430" t="s">
        <v>4554</v>
      </c>
      <c r="L430" t="s">
        <v>4555</v>
      </c>
      <c r="M430" s="2">
        <v>988</v>
      </c>
      <c r="N430" t="s">
        <v>4556</v>
      </c>
      <c r="O430">
        <v>3</v>
      </c>
      <c r="P430">
        <v>1</v>
      </c>
      <c r="Q430">
        <v>0</v>
      </c>
      <c r="R430" t="s">
        <v>4557</v>
      </c>
      <c r="S430" t="s">
        <v>4135</v>
      </c>
      <c r="T430" t="s">
        <v>4559</v>
      </c>
      <c r="U430" t="s">
        <v>4655</v>
      </c>
      <c r="V430" s="2">
        <v>0</v>
      </c>
      <c r="W430" t="s">
        <v>4655</v>
      </c>
      <c r="X430" s="2">
        <v>0</v>
      </c>
      <c r="Y430">
        <v>20</v>
      </c>
      <c r="Z430" t="s">
        <v>4561</v>
      </c>
      <c r="AA430" s="3">
        <v>0.13000458478927601</v>
      </c>
      <c r="AB430" t="s">
        <v>7409</v>
      </c>
      <c r="AC430" t="s">
        <v>4562</v>
      </c>
      <c r="AD430" t="s">
        <v>7408</v>
      </c>
      <c r="AE430" t="s">
        <v>4655</v>
      </c>
      <c r="AF430" t="s">
        <v>4563</v>
      </c>
      <c r="AG430" t="s">
        <v>4564</v>
      </c>
      <c r="AH430">
        <v>89503</v>
      </c>
      <c r="AI430" t="s">
        <v>7410</v>
      </c>
      <c r="AJ430" t="s">
        <v>4655</v>
      </c>
      <c r="AK430" t="s">
        <v>7411</v>
      </c>
      <c r="AL430" s="13" t="s">
        <v>2255</v>
      </c>
      <c r="AM430">
        <v>1</v>
      </c>
      <c r="AN430" s="15" t="s">
        <v>4566</v>
      </c>
    </row>
    <row r="431" spans="1:40" x14ac:dyDescent="0.3">
      <c r="A431" s="10" t="str">
        <f>HYPERLINK("http://www.washoecounty.gov/assessor/cama/?parid=005-073-04&amp;CardNumber=1","005-073-04")</f>
        <v>005-073-04</v>
      </c>
      <c r="B431" t="s">
        <v>4655</v>
      </c>
      <c r="C431" t="s">
        <v>7412</v>
      </c>
      <c r="D431" s="1">
        <v>40326</v>
      </c>
      <c r="E431" s="2">
        <v>156000</v>
      </c>
      <c r="F431" t="s">
        <v>4553</v>
      </c>
      <c r="G431" s="17" t="str">
        <f>HYPERLINK("https://www.washoecounty.gov/assessor/cama/?command=sales&amp;parid=00507304","3886301")</f>
        <v>3886301</v>
      </c>
      <c r="H431" t="s">
        <v>5530</v>
      </c>
      <c r="I431">
        <v>1962</v>
      </c>
      <c r="J431">
        <v>1972</v>
      </c>
      <c r="K431" t="s">
        <v>4554</v>
      </c>
      <c r="L431" t="s">
        <v>4555</v>
      </c>
      <c r="M431" s="2">
        <v>1787</v>
      </c>
      <c r="N431" t="s">
        <v>4556</v>
      </c>
      <c r="O431">
        <v>3</v>
      </c>
      <c r="P431">
        <v>2</v>
      </c>
      <c r="Q431">
        <v>0</v>
      </c>
      <c r="R431" t="s">
        <v>5281</v>
      </c>
      <c r="S431" t="s">
        <v>3148</v>
      </c>
      <c r="T431" t="s">
        <v>4559</v>
      </c>
      <c r="U431" t="s">
        <v>4655</v>
      </c>
      <c r="V431" s="2">
        <v>0</v>
      </c>
      <c r="W431" t="s">
        <v>4655</v>
      </c>
      <c r="X431" s="2">
        <v>0</v>
      </c>
      <c r="Y431">
        <v>20</v>
      </c>
      <c r="Z431" t="s">
        <v>4561</v>
      </c>
      <c r="AA431" s="3">
        <v>0.13999082148075101</v>
      </c>
      <c r="AB431" t="s">
        <v>7413</v>
      </c>
      <c r="AC431" t="s">
        <v>4575</v>
      </c>
      <c r="AD431" t="s">
        <v>7414</v>
      </c>
      <c r="AE431" t="s">
        <v>4655</v>
      </c>
      <c r="AF431" t="s">
        <v>7415</v>
      </c>
      <c r="AG431" t="s">
        <v>1434</v>
      </c>
      <c r="AH431" t="s">
        <v>7416</v>
      </c>
      <c r="AI431" t="s">
        <v>4045</v>
      </c>
      <c r="AJ431" t="s">
        <v>4655</v>
      </c>
      <c r="AK431" t="s">
        <v>7417</v>
      </c>
      <c r="AL431" s="13" t="s">
        <v>2255</v>
      </c>
      <c r="AM431" s="14">
        <v>1</v>
      </c>
      <c r="AN431" s="15" t="s">
        <v>4566</v>
      </c>
    </row>
    <row r="432" spans="1:40" x14ac:dyDescent="0.3">
      <c r="A432" s="10" t="str">
        <f>HYPERLINK("http://www.washoecounty.gov/assessor/cama/?parid=005-076-04&amp;CardNumber=1","005-076-04")</f>
        <v>005-076-04</v>
      </c>
      <c r="B432" t="s">
        <v>4655</v>
      </c>
      <c r="C432" t="s">
        <v>7418</v>
      </c>
      <c r="D432" s="1">
        <v>40291</v>
      </c>
      <c r="E432" s="2">
        <v>147000</v>
      </c>
      <c r="F432" t="s">
        <v>4567</v>
      </c>
      <c r="G432" s="17" t="str">
        <f>HYPERLINK("https://www.washoecounty.gov/assessor/cama/?command=sales&amp;parid=00507604","3874224")</f>
        <v>3874224</v>
      </c>
      <c r="H432" t="s">
        <v>5530</v>
      </c>
      <c r="I432">
        <v>1962</v>
      </c>
      <c r="J432">
        <v>1962</v>
      </c>
      <c r="K432" t="s">
        <v>4554</v>
      </c>
      <c r="L432" t="s">
        <v>4555</v>
      </c>
      <c r="M432" s="2">
        <v>988</v>
      </c>
      <c r="N432" t="s">
        <v>4556</v>
      </c>
      <c r="O432">
        <v>3</v>
      </c>
      <c r="P432">
        <v>2</v>
      </c>
      <c r="Q432">
        <v>0</v>
      </c>
      <c r="R432" t="s">
        <v>4557</v>
      </c>
      <c r="S432" t="s">
        <v>4135</v>
      </c>
      <c r="T432" t="s">
        <v>4559</v>
      </c>
      <c r="U432" t="s">
        <v>4560</v>
      </c>
      <c r="V432" s="2">
        <v>286</v>
      </c>
      <c r="W432" t="s">
        <v>4655</v>
      </c>
      <c r="X432" s="2">
        <v>0</v>
      </c>
      <c r="Y432">
        <v>20</v>
      </c>
      <c r="Z432" t="s">
        <v>4561</v>
      </c>
      <c r="AA432" s="3">
        <v>0.13999082148075101</v>
      </c>
      <c r="AB432" t="s">
        <v>7419</v>
      </c>
      <c r="AC432" t="s">
        <v>4562</v>
      </c>
      <c r="AD432" t="s">
        <v>7420</v>
      </c>
      <c r="AE432" t="s">
        <v>4655</v>
      </c>
      <c r="AF432" t="s">
        <v>4563</v>
      </c>
      <c r="AG432" t="s">
        <v>4564</v>
      </c>
      <c r="AH432">
        <v>89503</v>
      </c>
      <c r="AI432" t="s">
        <v>7421</v>
      </c>
      <c r="AJ432" t="s">
        <v>4655</v>
      </c>
      <c r="AK432" t="s">
        <v>7422</v>
      </c>
      <c r="AL432" s="13" t="s">
        <v>2255</v>
      </c>
      <c r="AM432" s="14">
        <v>1</v>
      </c>
      <c r="AN432" s="15" t="s">
        <v>4566</v>
      </c>
    </row>
    <row r="433" spans="1:40" x14ac:dyDescent="0.3">
      <c r="A433" s="10" t="str">
        <f>HYPERLINK("http://www.washoecounty.gov/assessor/cama/?parid=005-076-12&amp;CardNumber=1","005-076-12")</f>
        <v>005-076-12</v>
      </c>
      <c r="B433" t="s">
        <v>4655</v>
      </c>
      <c r="C433" t="s">
        <v>7423</v>
      </c>
      <c r="D433" s="1">
        <v>40486</v>
      </c>
      <c r="E433" s="2">
        <v>85000</v>
      </c>
      <c r="F433" t="s">
        <v>4553</v>
      </c>
      <c r="G433" s="17" t="str">
        <f>HYPERLINK("https://www.washoecounty.gov/assessor/cama/?command=sales&amp;parid=00507612","3939733")</f>
        <v>3939733</v>
      </c>
      <c r="H433" t="s">
        <v>5530</v>
      </c>
      <c r="I433">
        <v>1962</v>
      </c>
      <c r="J433">
        <v>1962</v>
      </c>
      <c r="K433" t="s">
        <v>4554</v>
      </c>
      <c r="L433" t="s">
        <v>4555</v>
      </c>
      <c r="M433" s="2">
        <v>1344</v>
      </c>
      <c r="N433" t="s">
        <v>4556</v>
      </c>
      <c r="O433">
        <v>3</v>
      </c>
      <c r="P433">
        <v>2</v>
      </c>
      <c r="Q433">
        <v>0</v>
      </c>
      <c r="R433" t="s">
        <v>4557</v>
      </c>
      <c r="S433" t="s">
        <v>4574</v>
      </c>
      <c r="T433" t="s">
        <v>4559</v>
      </c>
      <c r="U433" t="s">
        <v>4655</v>
      </c>
      <c r="V433" s="2">
        <v>0</v>
      </c>
      <c r="W433" t="s">
        <v>4655</v>
      </c>
      <c r="X433" s="2">
        <v>0</v>
      </c>
      <c r="Y433">
        <v>20</v>
      </c>
      <c r="Z433" t="s">
        <v>4561</v>
      </c>
      <c r="AA433" s="3">
        <v>0.13999082148075101</v>
      </c>
      <c r="AB433" t="s">
        <v>7424</v>
      </c>
      <c r="AC433" t="s">
        <v>4575</v>
      </c>
      <c r="AD433" t="s">
        <v>7425</v>
      </c>
      <c r="AE433" t="s">
        <v>4655</v>
      </c>
      <c r="AF433" t="s">
        <v>4563</v>
      </c>
      <c r="AG433" t="s">
        <v>4564</v>
      </c>
      <c r="AH433" t="s">
        <v>1147</v>
      </c>
      <c r="AI433" t="s">
        <v>4045</v>
      </c>
      <c r="AJ433" t="s">
        <v>4655</v>
      </c>
      <c r="AK433" t="s">
        <v>7426</v>
      </c>
      <c r="AL433" s="13" t="s">
        <v>2255</v>
      </c>
      <c r="AM433" s="14">
        <v>1</v>
      </c>
      <c r="AN433" s="15" t="s">
        <v>4566</v>
      </c>
    </row>
    <row r="434" spans="1:40" x14ac:dyDescent="0.3">
      <c r="A434" s="10" t="str">
        <f>HYPERLINK("http://www.washoecounty.gov/assessor/cama/?parid=005-076-19&amp;CardNumber=1","005-076-19")</f>
        <v>005-076-19</v>
      </c>
      <c r="B434" t="s">
        <v>4655</v>
      </c>
      <c r="C434" t="s">
        <v>7427</v>
      </c>
      <c r="D434" s="1">
        <v>40511</v>
      </c>
      <c r="E434" s="2">
        <v>127000</v>
      </c>
      <c r="F434" t="s">
        <v>4553</v>
      </c>
      <c r="G434" s="17" t="str">
        <f>HYPERLINK("https://www.washoecounty.gov/assessor/cama/?command=sales&amp;parid=00507619","3946970")</f>
        <v>3946970</v>
      </c>
      <c r="H434" t="s">
        <v>5530</v>
      </c>
      <c r="I434">
        <v>1962</v>
      </c>
      <c r="J434">
        <v>1962</v>
      </c>
      <c r="K434" t="s">
        <v>4554</v>
      </c>
      <c r="L434" t="s">
        <v>4555</v>
      </c>
      <c r="M434" s="2">
        <v>1176</v>
      </c>
      <c r="N434" t="s">
        <v>4556</v>
      </c>
      <c r="O434">
        <v>3</v>
      </c>
      <c r="P434">
        <v>2</v>
      </c>
      <c r="Q434">
        <v>0</v>
      </c>
      <c r="R434" t="s">
        <v>4557</v>
      </c>
      <c r="S434" t="s">
        <v>4574</v>
      </c>
      <c r="T434" t="s">
        <v>4559</v>
      </c>
      <c r="U434" t="s">
        <v>4560</v>
      </c>
      <c r="V434" s="2">
        <v>441</v>
      </c>
      <c r="W434" t="s">
        <v>4655</v>
      </c>
      <c r="X434" s="2">
        <v>0</v>
      </c>
      <c r="Y434">
        <v>20</v>
      </c>
      <c r="Z434" t="s">
        <v>4561</v>
      </c>
      <c r="AA434" s="3">
        <v>0.18999081850051899</v>
      </c>
      <c r="AB434" t="s">
        <v>7428</v>
      </c>
      <c r="AC434" t="s">
        <v>4562</v>
      </c>
      <c r="AD434" t="s">
        <v>7429</v>
      </c>
      <c r="AE434" t="s">
        <v>7430</v>
      </c>
      <c r="AF434" t="s">
        <v>7431</v>
      </c>
      <c r="AG434" t="s">
        <v>2016</v>
      </c>
      <c r="AH434">
        <v>49128</v>
      </c>
      <c r="AI434" t="s">
        <v>4903</v>
      </c>
      <c r="AJ434" t="s">
        <v>4655</v>
      </c>
      <c r="AK434" t="s">
        <v>7432</v>
      </c>
      <c r="AL434" s="13" t="s">
        <v>2255</v>
      </c>
      <c r="AM434">
        <v>1</v>
      </c>
      <c r="AN434" s="15" t="s">
        <v>4566</v>
      </c>
    </row>
    <row r="435" spans="1:40" x14ac:dyDescent="0.3">
      <c r="A435" s="10" t="str">
        <f>HYPERLINK("http://www.washoecounty.gov/assessor/cama/?parid=005-082-26&amp;CardNumber=1","005-082-26")</f>
        <v>005-082-26</v>
      </c>
      <c r="B435" t="s">
        <v>4655</v>
      </c>
      <c r="C435" t="s">
        <v>803</v>
      </c>
      <c r="D435" s="1">
        <v>40479</v>
      </c>
      <c r="E435" s="2">
        <v>97125</v>
      </c>
      <c r="F435" t="s">
        <v>4553</v>
      </c>
      <c r="G435" s="17" t="str">
        <f>HYPERLINK("https://www.washoecounty.gov/assessor/cama/?command=sales&amp;parid=00508226","3937751")</f>
        <v>3937751</v>
      </c>
      <c r="H435" t="s">
        <v>5167</v>
      </c>
      <c r="I435">
        <v>1963</v>
      </c>
      <c r="J435">
        <v>1963</v>
      </c>
      <c r="K435" t="s">
        <v>4554</v>
      </c>
      <c r="L435" t="s">
        <v>4555</v>
      </c>
      <c r="M435" s="2">
        <v>2162</v>
      </c>
      <c r="N435" t="s">
        <v>4048</v>
      </c>
      <c r="O435">
        <v>4</v>
      </c>
      <c r="P435">
        <v>2</v>
      </c>
      <c r="Q435">
        <v>0</v>
      </c>
      <c r="R435" t="s">
        <v>4557</v>
      </c>
      <c r="S435" t="s">
        <v>4135</v>
      </c>
      <c r="T435" t="s">
        <v>4559</v>
      </c>
      <c r="U435" t="s">
        <v>4560</v>
      </c>
      <c r="V435" s="2">
        <v>480</v>
      </c>
      <c r="W435" t="s">
        <v>4655</v>
      </c>
      <c r="X435" s="2">
        <v>0</v>
      </c>
      <c r="Y435">
        <v>20</v>
      </c>
      <c r="Z435" t="s">
        <v>4561</v>
      </c>
      <c r="AA435" s="3">
        <v>0.18000459671020499</v>
      </c>
      <c r="AB435" t="s">
        <v>252</v>
      </c>
      <c r="AC435" t="s">
        <v>4562</v>
      </c>
      <c r="AD435" t="s">
        <v>803</v>
      </c>
      <c r="AE435" t="s">
        <v>4655</v>
      </c>
      <c r="AF435" t="s">
        <v>4563</v>
      </c>
      <c r="AG435" t="s">
        <v>4564</v>
      </c>
      <c r="AH435">
        <v>89503</v>
      </c>
      <c r="AI435" t="s">
        <v>253</v>
      </c>
      <c r="AJ435" t="s">
        <v>4655</v>
      </c>
      <c r="AK435" t="s">
        <v>804</v>
      </c>
      <c r="AL435" s="13" t="s">
        <v>2255</v>
      </c>
      <c r="AM435" s="14">
        <v>1</v>
      </c>
      <c r="AN435" s="15" t="s">
        <v>4566</v>
      </c>
    </row>
    <row r="436" spans="1:40" x14ac:dyDescent="0.3">
      <c r="A436" s="10" t="str">
        <f>HYPERLINK("http://www.washoecounty.gov/assessor/cama/?parid=005-084-08&amp;CardNumber=1","005-084-08")</f>
        <v>005-084-08</v>
      </c>
      <c r="B436" t="s">
        <v>4655</v>
      </c>
      <c r="C436" t="s">
        <v>7433</v>
      </c>
      <c r="D436" s="1">
        <v>40368</v>
      </c>
      <c r="E436" s="2">
        <v>181900</v>
      </c>
      <c r="F436" t="s">
        <v>4567</v>
      </c>
      <c r="G436" s="17" t="str">
        <f>HYPERLINK("https://www.washoecounty.gov/assessor/cama/?command=sales&amp;parid=00508408","3900007")</f>
        <v>3900007</v>
      </c>
      <c r="H436" t="s">
        <v>5167</v>
      </c>
      <c r="I436">
        <v>1962</v>
      </c>
      <c r="J436">
        <v>1962</v>
      </c>
      <c r="K436" t="s">
        <v>4554</v>
      </c>
      <c r="L436" t="s">
        <v>4555</v>
      </c>
      <c r="M436" s="2">
        <v>1604</v>
      </c>
      <c r="N436" t="s">
        <v>4048</v>
      </c>
      <c r="O436">
        <v>4</v>
      </c>
      <c r="P436">
        <v>2</v>
      </c>
      <c r="Q436">
        <v>0</v>
      </c>
      <c r="R436" t="s">
        <v>4557</v>
      </c>
      <c r="S436" t="s">
        <v>4135</v>
      </c>
      <c r="T436" t="s">
        <v>4559</v>
      </c>
      <c r="U436" t="s">
        <v>4560</v>
      </c>
      <c r="V436" s="2">
        <v>480</v>
      </c>
      <c r="W436" t="s">
        <v>4655</v>
      </c>
      <c r="X436" s="2">
        <v>0</v>
      </c>
      <c r="Y436">
        <v>20</v>
      </c>
      <c r="Z436" t="s">
        <v>4561</v>
      </c>
      <c r="AA436" s="3">
        <v>0.18000459671020499</v>
      </c>
      <c r="AB436" t="s">
        <v>7434</v>
      </c>
      <c r="AC436" t="s">
        <v>4562</v>
      </c>
      <c r="AD436" t="s">
        <v>7435</v>
      </c>
      <c r="AE436" t="s">
        <v>4655</v>
      </c>
      <c r="AF436" t="s">
        <v>4563</v>
      </c>
      <c r="AG436" t="s">
        <v>4564</v>
      </c>
      <c r="AH436">
        <v>89503</v>
      </c>
      <c r="AI436" t="s">
        <v>7436</v>
      </c>
      <c r="AJ436" t="s">
        <v>4655</v>
      </c>
      <c r="AK436" t="s">
        <v>7437</v>
      </c>
      <c r="AL436" s="13" t="s">
        <v>2255</v>
      </c>
      <c r="AM436" s="14">
        <v>1</v>
      </c>
      <c r="AN436" s="15" t="s">
        <v>4566</v>
      </c>
    </row>
    <row r="437" spans="1:40" x14ac:dyDescent="0.3">
      <c r="A437" s="10" t="str">
        <f>HYPERLINK("http://www.washoecounty.gov/assessor/cama/?parid=005-091-02&amp;CardNumber=1","005-091-02")</f>
        <v>005-091-02</v>
      </c>
      <c r="B437" t="s">
        <v>4655</v>
      </c>
      <c r="C437" t="s">
        <v>7438</v>
      </c>
      <c r="D437" s="1">
        <v>40290</v>
      </c>
      <c r="E437" s="2">
        <v>127000</v>
      </c>
      <c r="F437" t="s">
        <v>4567</v>
      </c>
      <c r="G437" s="17" t="str">
        <f>HYPERLINK("https://www.washoecounty.gov/assessor/cama/?command=sales&amp;parid=00509102","3873764")</f>
        <v>3873764</v>
      </c>
      <c r="H437" t="s">
        <v>3280</v>
      </c>
      <c r="I437">
        <v>1971</v>
      </c>
      <c r="J437">
        <v>1971</v>
      </c>
      <c r="K437" t="s">
        <v>4554</v>
      </c>
      <c r="L437" t="s">
        <v>4555</v>
      </c>
      <c r="M437" s="2">
        <v>1293</v>
      </c>
      <c r="N437" t="s">
        <v>4556</v>
      </c>
      <c r="O437">
        <v>3</v>
      </c>
      <c r="P437">
        <v>2</v>
      </c>
      <c r="Q437">
        <v>0</v>
      </c>
      <c r="R437" t="s">
        <v>4557</v>
      </c>
      <c r="S437" t="s">
        <v>4574</v>
      </c>
      <c r="T437" t="s">
        <v>4559</v>
      </c>
      <c r="U437" t="s">
        <v>4560</v>
      </c>
      <c r="V437" s="2">
        <v>456</v>
      </c>
      <c r="W437" t="s">
        <v>4655</v>
      </c>
      <c r="X437" s="2">
        <v>0</v>
      </c>
      <c r="Y437">
        <v>20</v>
      </c>
      <c r="Z437" t="s">
        <v>4561</v>
      </c>
      <c r="AA437" s="3">
        <v>0.13999082148075101</v>
      </c>
      <c r="AB437" t="s">
        <v>7439</v>
      </c>
      <c r="AC437" t="s">
        <v>4562</v>
      </c>
      <c r="AD437" t="s">
        <v>7438</v>
      </c>
      <c r="AE437" t="s">
        <v>4655</v>
      </c>
      <c r="AF437" t="s">
        <v>4563</v>
      </c>
      <c r="AG437" t="s">
        <v>4564</v>
      </c>
      <c r="AH437">
        <v>89503</v>
      </c>
      <c r="AI437" t="s">
        <v>3281</v>
      </c>
      <c r="AJ437" t="s">
        <v>4655</v>
      </c>
      <c r="AK437" t="s">
        <v>7440</v>
      </c>
      <c r="AL437" s="13" t="s">
        <v>2255</v>
      </c>
      <c r="AM437" s="14">
        <v>1</v>
      </c>
      <c r="AN437" s="15" t="s">
        <v>4566</v>
      </c>
    </row>
    <row r="438" spans="1:40" x14ac:dyDescent="0.3">
      <c r="A438" s="10" t="str">
        <f>HYPERLINK("http://www.washoecounty.gov/assessor/cama/?parid=005-102-09&amp;CardNumber=1","005-102-09")</f>
        <v>005-102-09</v>
      </c>
      <c r="B438" t="s">
        <v>4655</v>
      </c>
      <c r="C438" t="s">
        <v>7441</v>
      </c>
      <c r="D438" s="1">
        <v>40389</v>
      </c>
      <c r="E438" s="2">
        <v>150000</v>
      </c>
      <c r="F438" t="s">
        <v>4567</v>
      </c>
      <c r="G438" s="17" t="str">
        <f>HYPERLINK("https://www.washoecounty.gov/assessor/cama/?command=sales&amp;parid=00510209","3907483")</f>
        <v>3907483</v>
      </c>
      <c r="H438" t="s">
        <v>4688</v>
      </c>
      <c r="I438">
        <v>1963</v>
      </c>
      <c r="J438">
        <v>1963</v>
      </c>
      <c r="K438" t="s">
        <v>4554</v>
      </c>
      <c r="L438" t="s">
        <v>4555</v>
      </c>
      <c r="M438" s="2">
        <v>1176</v>
      </c>
      <c r="N438" t="s">
        <v>4556</v>
      </c>
      <c r="O438">
        <v>3</v>
      </c>
      <c r="P438">
        <v>2</v>
      </c>
      <c r="Q438">
        <v>0</v>
      </c>
      <c r="R438" t="s">
        <v>4557</v>
      </c>
      <c r="S438" t="s">
        <v>4574</v>
      </c>
      <c r="T438" t="s">
        <v>4559</v>
      </c>
      <c r="U438" t="s">
        <v>4655</v>
      </c>
      <c r="V438" s="2">
        <v>0</v>
      </c>
      <c r="W438" t="s">
        <v>4655</v>
      </c>
      <c r="X438" s="2">
        <v>0</v>
      </c>
      <c r="Y438">
        <v>20</v>
      </c>
      <c r="Z438" t="s">
        <v>4561</v>
      </c>
      <c r="AA438" s="3">
        <v>0.169995412230492</v>
      </c>
      <c r="AB438" t="s">
        <v>7442</v>
      </c>
      <c r="AC438" t="s">
        <v>4562</v>
      </c>
      <c r="AD438" t="s">
        <v>7441</v>
      </c>
      <c r="AE438" t="s">
        <v>1587</v>
      </c>
      <c r="AF438" t="s">
        <v>4563</v>
      </c>
      <c r="AG438" t="s">
        <v>4564</v>
      </c>
      <c r="AH438">
        <v>89511</v>
      </c>
      <c r="AI438" t="s">
        <v>7443</v>
      </c>
      <c r="AJ438" t="s">
        <v>4655</v>
      </c>
      <c r="AK438" t="s">
        <v>7444</v>
      </c>
      <c r="AL438" s="13" t="s">
        <v>2255</v>
      </c>
      <c r="AM438" s="14">
        <v>1</v>
      </c>
      <c r="AN438" s="15" t="s">
        <v>4566</v>
      </c>
    </row>
    <row r="439" spans="1:40" x14ac:dyDescent="0.3">
      <c r="A439" s="10" t="str">
        <f>HYPERLINK("http://www.washoecounty.gov/assessor/cama/?parid=005-102-18&amp;CardNumber=1","005-102-18")</f>
        <v>005-102-18</v>
      </c>
      <c r="B439" t="s">
        <v>4655</v>
      </c>
      <c r="C439" t="s">
        <v>7445</v>
      </c>
      <c r="D439" s="1">
        <v>40345</v>
      </c>
      <c r="E439" s="2">
        <v>120000</v>
      </c>
      <c r="F439" t="s">
        <v>4567</v>
      </c>
      <c r="G439" s="17" t="str">
        <f>HYPERLINK("https://www.washoecounty.gov/assessor/cama/?command=sales&amp;parid=00510218","3892334")</f>
        <v>3892334</v>
      </c>
      <c r="H439" t="s">
        <v>4688</v>
      </c>
      <c r="I439">
        <v>1963</v>
      </c>
      <c r="J439">
        <v>1963</v>
      </c>
      <c r="K439" t="s">
        <v>4554</v>
      </c>
      <c r="L439" t="s">
        <v>2170</v>
      </c>
      <c r="M439" s="2">
        <v>1669</v>
      </c>
      <c r="N439" t="s">
        <v>4556</v>
      </c>
      <c r="O439">
        <v>3</v>
      </c>
      <c r="P439">
        <v>3</v>
      </c>
      <c r="Q439">
        <v>0</v>
      </c>
      <c r="R439" t="s">
        <v>5281</v>
      </c>
      <c r="S439" t="s">
        <v>4558</v>
      </c>
      <c r="T439" t="s">
        <v>4559</v>
      </c>
      <c r="U439" t="s">
        <v>4655</v>
      </c>
      <c r="V439" s="2">
        <v>0</v>
      </c>
      <c r="W439" t="s">
        <v>4655</v>
      </c>
      <c r="X439" s="2">
        <v>0</v>
      </c>
      <c r="Y439">
        <v>20</v>
      </c>
      <c r="Z439" t="s">
        <v>4561</v>
      </c>
      <c r="AA439" s="3">
        <v>0.160009175539017</v>
      </c>
      <c r="AB439" t="s">
        <v>7446</v>
      </c>
      <c r="AC439" t="s">
        <v>4562</v>
      </c>
      <c r="AD439" t="s">
        <v>7447</v>
      </c>
      <c r="AE439" t="s">
        <v>4655</v>
      </c>
      <c r="AF439" t="s">
        <v>4563</v>
      </c>
      <c r="AG439" t="s">
        <v>4564</v>
      </c>
      <c r="AH439" t="s">
        <v>1147</v>
      </c>
      <c r="AI439" t="s">
        <v>7448</v>
      </c>
      <c r="AJ439" t="s">
        <v>4655</v>
      </c>
      <c r="AK439" t="s">
        <v>7449</v>
      </c>
      <c r="AL439" s="13" t="s">
        <v>2255</v>
      </c>
      <c r="AM439" s="14">
        <v>1</v>
      </c>
      <c r="AN439" s="15" t="s">
        <v>4566</v>
      </c>
    </row>
    <row r="440" spans="1:40" x14ac:dyDescent="0.3">
      <c r="A440" s="10" t="str">
        <f>HYPERLINK("http://www.washoecounty.gov/assessor/cama/?parid=005-102-20&amp;CardNumber=1","005-102-20")</f>
        <v>005-102-20</v>
      </c>
      <c r="B440" t="s">
        <v>4655</v>
      </c>
      <c r="C440" t="s">
        <v>7450</v>
      </c>
      <c r="D440" s="1">
        <v>40533</v>
      </c>
      <c r="E440" s="2">
        <v>160000</v>
      </c>
      <c r="F440" t="s">
        <v>4567</v>
      </c>
      <c r="G440" s="17" t="str">
        <f>HYPERLINK("https://www.washoecounty.gov/assessor/cama/?command=sales&amp;parid=00510220","3955969")</f>
        <v>3955969</v>
      </c>
      <c r="H440" t="s">
        <v>4688</v>
      </c>
      <c r="I440">
        <v>1963</v>
      </c>
      <c r="J440">
        <v>1963</v>
      </c>
      <c r="K440" t="s">
        <v>4554</v>
      </c>
      <c r="L440" t="s">
        <v>4555</v>
      </c>
      <c r="M440" s="2">
        <v>1176</v>
      </c>
      <c r="N440" t="s">
        <v>4556</v>
      </c>
      <c r="O440">
        <v>3</v>
      </c>
      <c r="P440">
        <v>2</v>
      </c>
      <c r="Q440">
        <v>0</v>
      </c>
      <c r="R440" t="s">
        <v>4557</v>
      </c>
      <c r="S440" t="s">
        <v>4574</v>
      </c>
      <c r="T440" t="s">
        <v>4559</v>
      </c>
      <c r="U440" t="s">
        <v>4560</v>
      </c>
      <c r="V440" s="2">
        <v>480</v>
      </c>
      <c r="W440" t="s">
        <v>4655</v>
      </c>
      <c r="X440" s="2">
        <v>0</v>
      </c>
      <c r="Y440">
        <v>20</v>
      </c>
      <c r="Z440" t="s">
        <v>4561</v>
      </c>
      <c r="AA440" s="3">
        <v>0.18000459671020499</v>
      </c>
      <c r="AB440" t="s">
        <v>7451</v>
      </c>
      <c r="AC440" t="s">
        <v>4562</v>
      </c>
      <c r="AD440" t="s">
        <v>7452</v>
      </c>
      <c r="AE440" t="s">
        <v>4655</v>
      </c>
      <c r="AF440" t="s">
        <v>4752</v>
      </c>
      <c r="AG440" t="s">
        <v>4564</v>
      </c>
      <c r="AH440">
        <v>89503</v>
      </c>
      <c r="AI440" t="s">
        <v>7453</v>
      </c>
      <c r="AJ440" t="s">
        <v>4655</v>
      </c>
      <c r="AK440" t="s">
        <v>7454</v>
      </c>
      <c r="AL440" s="13" t="s">
        <v>2255</v>
      </c>
      <c r="AM440" s="14">
        <v>1</v>
      </c>
      <c r="AN440" s="15" t="s">
        <v>4566</v>
      </c>
    </row>
    <row r="441" spans="1:40" x14ac:dyDescent="0.3">
      <c r="A441" s="10" t="str">
        <f>HYPERLINK("http://www.washoecounty.gov/assessor/cama/?parid=005-111-12&amp;CardNumber=1","005-111-12")</f>
        <v>005-111-12</v>
      </c>
      <c r="B441" t="s">
        <v>4655</v>
      </c>
      <c r="C441" t="s">
        <v>7455</v>
      </c>
      <c r="D441" s="1">
        <v>40472</v>
      </c>
      <c r="E441" s="2">
        <v>130000</v>
      </c>
      <c r="F441" t="s">
        <v>4567</v>
      </c>
      <c r="G441" s="17" t="str">
        <f>HYPERLINK("https://www.washoecounty.gov/assessor/cama/?command=sales&amp;parid=00511112","3935137")</f>
        <v>3935137</v>
      </c>
      <c r="H441" t="s">
        <v>813</v>
      </c>
      <c r="I441">
        <v>1963</v>
      </c>
      <c r="J441">
        <v>1963</v>
      </c>
      <c r="K441" t="s">
        <v>4554</v>
      </c>
      <c r="L441" t="s">
        <v>4555</v>
      </c>
      <c r="M441" s="2">
        <v>1176</v>
      </c>
      <c r="N441" t="s">
        <v>4556</v>
      </c>
      <c r="O441">
        <v>3</v>
      </c>
      <c r="P441">
        <v>2</v>
      </c>
      <c r="Q441">
        <v>0</v>
      </c>
      <c r="R441" t="s">
        <v>4557</v>
      </c>
      <c r="S441" t="s">
        <v>4558</v>
      </c>
      <c r="T441" t="s">
        <v>4559</v>
      </c>
      <c r="U441" t="s">
        <v>4560</v>
      </c>
      <c r="V441" s="2">
        <v>441</v>
      </c>
      <c r="W441" t="s">
        <v>4655</v>
      </c>
      <c r="X441" s="2">
        <v>0</v>
      </c>
      <c r="Y441">
        <v>20</v>
      </c>
      <c r="Z441" t="s">
        <v>4561</v>
      </c>
      <c r="AA441" s="3">
        <v>0.13999082148075101</v>
      </c>
      <c r="AB441" t="s">
        <v>7456</v>
      </c>
      <c r="AC441" t="s">
        <v>4562</v>
      </c>
      <c r="AD441" t="s">
        <v>7455</v>
      </c>
      <c r="AE441" t="s">
        <v>4655</v>
      </c>
      <c r="AF441" t="s">
        <v>4563</v>
      </c>
      <c r="AG441" t="s">
        <v>4564</v>
      </c>
      <c r="AH441">
        <v>89503</v>
      </c>
      <c r="AI441" t="s">
        <v>7457</v>
      </c>
      <c r="AJ441" t="s">
        <v>4655</v>
      </c>
      <c r="AK441" t="s">
        <v>7458</v>
      </c>
      <c r="AL441" s="13" t="s">
        <v>2255</v>
      </c>
      <c r="AM441" s="14">
        <v>1</v>
      </c>
      <c r="AN441" s="15" t="s">
        <v>4566</v>
      </c>
    </row>
    <row r="442" spans="1:40" x14ac:dyDescent="0.3">
      <c r="A442" s="10" t="str">
        <f>HYPERLINK("http://www.washoecounty.gov/assessor/cama/?parid=005-112-05&amp;CardNumber=1","005-112-05")</f>
        <v>005-112-05</v>
      </c>
      <c r="B442" t="s">
        <v>4655</v>
      </c>
      <c r="C442" t="s">
        <v>7459</v>
      </c>
      <c r="D442" s="1">
        <v>40340</v>
      </c>
      <c r="E442" s="2">
        <v>130000</v>
      </c>
      <c r="F442" t="s">
        <v>4553</v>
      </c>
      <c r="G442" s="17" t="str">
        <f>HYPERLINK("https://www.washoecounty.gov/assessor/cama/?command=sales&amp;parid=00511205","3890945")</f>
        <v>3890945</v>
      </c>
      <c r="H442" t="s">
        <v>813</v>
      </c>
      <c r="I442">
        <v>1963</v>
      </c>
      <c r="J442">
        <v>1963</v>
      </c>
      <c r="K442" t="s">
        <v>4554</v>
      </c>
      <c r="L442" t="s">
        <v>4555</v>
      </c>
      <c r="M442" s="2">
        <v>1176</v>
      </c>
      <c r="N442" t="s">
        <v>4556</v>
      </c>
      <c r="O442">
        <v>3</v>
      </c>
      <c r="P442">
        <v>2</v>
      </c>
      <c r="Q442">
        <v>0</v>
      </c>
      <c r="R442" t="s">
        <v>4557</v>
      </c>
      <c r="S442" t="s">
        <v>4135</v>
      </c>
      <c r="T442" t="s">
        <v>4559</v>
      </c>
      <c r="U442" t="s">
        <v>4560</v>
      </c>
      <c r="V442" s="2">
        <v>441</v>
      </c>
      <c r="W442" t="s">
        <v>4655</v>
      </c>
      <c r="X442" s="2">
        <v>0</v>
      </c>
      <c r="Y442">
        <v>20</v>
      </c>
      <c r="Z442" t="s">
        <v>4561</v>
      </c>
      <c r="AA442" s="3">
        <v>0.13999082148075101</v>
      </c>
      <c r="AB442" t="s">
        <v>7460</v>
      </c>
      <c r="AC442" t="s">
        <v>4575</v>
      </c>
      <c r="AD442" t="s">
        <v>7459</v>
      </c>
      <c r="AE442" t="s">
        <v>4655</v>
      </c>
      <c r="AF442" t="s">
        <v>4563</v>
      </c>
      <c r="AG442" t="s">
        <v>4564</v>
      </c>
      <c r="AH442">
        <v>89503</v>
      </c>
      <c r="AI442" t="s">
        <v>4903</v>
      </c>
      <c r="AJ442" t="s">
        <v>4655</v>
      </c>
      <c r="AK442" t="s">
        <v>7461</v>
      </c>
      <c r="AL442" s="13" t="s">
        <v>2255</v>
      </c>
      <c r="AM442" s="14">
        <v>1</v>
      </c>
      <c r="AN442" s="15" t="s">
        <v>4566</v>
      </c>
    </row>
    <row r="443" spans="1:40" x14ac:dyDescent="0.3">
      <c r="A443" s="10" t="str">
        <f>HYPERLINK("http://www.washoecounty.gov/assessor/cama/?parid=005-116-08&amp;CardNumber=1","005-116-08")</f>
        <v>005-116-08</v>
      </c>
      <c r="B443" t="s">
        <v>4655</v>
      </c>
      <c r="C443" t="s">
        <v>7462</v>
      </c>
      <c r="D443" s="1">
        <v>40270</v>
      </c>
      <c r="E443" s="2">
        <v>129900</v>
      </c>
      <c r="F443" t="s">
        <v>4553</v>
      </c>
      <c r="G443" s="17" t="str">
        <f>HYPERLINK("https://www.washoecounty.gov/assessor/cama/?command=sales&amp;parid=00511608","3867253")</f>
        <v>3867253</v>
      </c>
      <c r="H443" t="s">
        <v>813</v>
      </c>
      <c r="I443">
        <v>1963</v>
      </c>
      <c r="J443">
        <v>1963</v>
      </c>
      <c r="K443" t="s">
        <v>4554</v>
      </c>
      <c r="L443" t="s">
        <v>4555</v>
      </c>
      <c r="M443" s="2">
        <v>1344</v>
      </c>
      <c r="N443" t="s">
        <v>4556</v>
      </c>
      <c r="O443">
        <v>3</v>
      </c>
      <c r="P443">
        <v>2</v>
      </c>
      <c r="Q443">
        <v>0</v>
      </c>
      <c r="R443" t="s">
        <v>4557</v>
      </c>
      <c r="S443" t="s">
        <v>4898</v>
      </c>
      <c r="T443" t="s">
        <v>4559</v>
      </c>
      <c r="U443" t="s">
        <v>4560</v>
      </c>
      <c r="V443" s="2">
        <v>779</v>
      </c>
      <c r="W443" t="s">
        <v>4655</v>
      </c>
      <c r="X443" s="2">
        <v>0</v>
      </c>
      <c r="Y443">
        <v>20</v>
      </c>
      <c r="Z443" t="s">
        <v>4561</v>
      </c>
      <c r="AA443" s="3">
        <v>0.160009175539017</v>
      </c>
      <c r="AB443" t="s">
        <v>7463</v>
      </c>
      <c r="AC443" t="s">
        <v>4575</v>
      </c>
      <c r="AD443" t="s">
        <v>7462</v>
      </c>
      <c r="AE443" t="s">
        <v>4655</v>
      </c>
      <c r="AF443" t="s">
        <v>4563</v>
      </c>
      <c r="AG443" t="s">
        <v>4564</v>
      </c>
      <c r="AH443">
        <v>89503</v>
      </c>
      <c r="AI443" t="s">
        <v>7463</v>
      </c>
      <c r="AJ443" t="s">
        <v>4655</v>
      </c>
      <c r="AK443" t="s">
        <v>7464</v>
      </c>
      <c r="AL443" s="13" t="s">
        <v>2255</v>
      </c>
      <c r="AM443">
        <v>1</v>
      </c>
      <c r="AN443" s="15" t="s">
        <v>4566</v>
      </c>
    </row>
    <row r="444" spans="1:40" x14ac:dyDescent="0.3">
      <c r="A444" s="10" t="str">
        <f>HYPERLINK("http://www.washoecounty.gov/assessor/cama/?parid=005-121-01&amp;CardNumber=1","005-121-01")</f>
        <v>005-121-01</v>
      </c>
      <c r="B444" t="s">
        <v>4655</v>
      </c>
      <c r="C444" t="s">
        <v>7465</v>
      </c>
      <c r="D444" s="1">
        <v>40304</v>
      </c>
      <c r="E444" s="2">
        <v>146000</v>
      </c>
      <c r="F444" t="s">
        <v>4567</v>
      </c>
      <c r="G444" s="17" t="str">
        <f>HYPERLINK("https://www.washoecounty.gov/assessor/cama/?command=sales&amp;parid=00512101","3878968")</f>
        <v>3878968</v>
      </c>
      <c r="H444" t="s">
        <v>7466</v>
      </c>
      <c r="I444">
        <v>1968</v>
      </c>
      <c r="J444">
        <v>1968</v>
      </c>
      <c r="K444" t="s">
        <v>4554</v>
      </c>
      <c r="L444" t="s">
        <v>4555</v>
      </c>
      <c r="M444" s="2">
        <v>1328</v>
      </c>
      <c r="N444" t="s">
        <v>4556</v>
      </c>
      <c r="O444">
        <v>3</v>
      </c>
      <c r="P444">
        <v>2</v>
      </c>
      <c r="Q444">
        <v>0</v>
      </c>
      <c r="R444" t="s">
        <v>5281</v>
      </c>
      <c r="S444" t="s">
        <v>4574</v>
      </c>
      <c r="T444" t="s">
        <v>4559</v>
      </c>
      <c r="U444" t="s">
        <v>4560</v>
      </c>
      <c r="V444" s="2">
        <v>420</v>
      </c>
      <c r="W444" t="s">
        <v>4655</v>
      </c>
      <c r="X444" s="2">
        <v>0</v>
      </c>
      <c r="Y444">
        <v>20</v>
      </c>
      <c r="Z444" t="s">
        <v>4561</v>
      </c>
      <c r="AA444" s="3">
        <v>0.18000459671020499</v>
      </c>
      <c r="AB444" t="s">
        <v>7467</v>
      </c>
      <c r="AC444" t="s">
        <v>4562</v>
      </c>
      <c r="AD444" t="s">
        <v>7468</v>
      </c>
      <c r="AE444" t="s">
        <v>4655</v>
      </c>
      <c r="AF444" t="s">
        <v>4563</v>
      </c>
      <c r="AG444" t="s">
        <v>4564</v>
      </c>
      <c r="AH444">
        <v>89503</v>
      </c>
      <c r="AI444" t="s">
        <v>7469</v>
      </c>
      <c r="AJ444" t="s">
        <v>4655</v>
      </c>
      <c r="AK444" t="s">
        <v>7470</v>
      </c>
      <c r="AL444" s="13" t="s">
        <v>2255</v>
      </c>
      <c r="AM444" s="14">
        <v>1</v>
      </c>
      <c r="AN444" s="15" t="s">
        <v>4566</v>
      </c>
    </row>
    <row r="445" spans="1:40" x14ac:dyDescent="0.3">
      <c r="A445" s="10" t="str">
        <f>HYPERLINK("http://www.washoecounty.gov/assessor/cama/?parid=005-121-02&amp;CardNumber=1","005-121-02")</f>
        <v>005-121-02</v>
      </c>
      <c r="B445" t="s">
        <v>4655</v>
      </c>
      <c r="C445" t="s">
        <v>7471</v>
      </c>
      <c r="D445" s="1">
        <v>40463</v>
      </c>
      <c r="E445" s="2">
        <v>200000</v>
      </c>
      <c r="F445" t="s">
        <v>4567</v>
      </c>
      <c r="G445" s="17" t="str">
        <f>HYPERLINK("https://www.washoecounty.gov/assessor/cama/?command=sales&amp;parid=00512102","3932036")</f>
        <v>3932036</v>
      </c>
      <c r="H445" t="s">
        <v>7466</v>
      </c>
      <c r="I445">
        <v>1965</v>
      </c>
      <c r="J445">
        <v>1965</v>
      </c>
      <c r="K445" t="s">
        <v>4554</v>
      </c>
      <c r="L445" t="s">
        <v>3886</v>
      </c>
      <c r="M445" s="2">
        <v>2095</v>
      </c>
      <c r="N445" t="s">
        <v>4556</v>
      </c>
      <c r="O445">
        <v>3</v>
      </c>
      <c r="P445">
        <v>3</v>
      </c>
      <c r="Q445">
        <v>0</v>
      </c>
      <c r="R445" t="s">
        <v>4557</v>
      </c>
      <c r="S445" t="s">
        <v>4574</v>
      </c>
      <c r="T445" t="s">
        <v>4559</v>
      </c>
      <c r="U445" t="s">
        <v>4560</v>
      </c>
      <c r="V445" s="2">
        <v>419</v>
      </c>
      <c r="W445" t="s">
        <v>4655</v>
      </c>
      <c r="X445" s="2">
        <v>0</v>
      </c>
      <c r="Y445">
        <v>20</v>
      </c>
      <c r="Z445" t="s">
        <v>4561</v>
      </c>
      <c r="AA445" s="3">
        <v>0.15000000596046401</v>
      </c>
      <c r="AB445" t="s">
        <v>7472</v>
      </c>
      <c r="AC445" t="s">
        <v>4562</v>
      </c>
      <c r="AD445" t="s">
        <v>7471</v>
      </c>
      <c r="AE445" t="s">
        <v>4655</v>
      </c>
      <c r="AF445" t="s">
        <v>4563</v>
      </c>
      <c r="AG445" t="s">
        <v>4564</v>
      </c>
      <c r="AH445">
        <v>89503</v>
      </c>
      <c r="AI445" t="s">
        <v>7473</v>
      </c>
      <c r="AJ445" t="s">
        <v>4655</v>
      </c>
      <c r="AK445" t="s">
        <v>7474</v>
      </c>
      <c r="AL445" s="13" t="s">
        <v>2255</v>
      </c>
      <c r="AM445">
        <v>1</v>
      </c>
      <c r="AN445" s="15" t="s">
        <v>4566</v>
      </c>
    </row>
    <row r="446" spans="1:40" x14ac:dyDescent="0.3">
      <c r="A446" s="10" t="str">
        <f>HYPERLINK("http://www.washoecounty.gov/assessor/cama/?parid=005-133-06&amp;CardNumber=1","005-133-06")</f>
        <v>005-133-06</v>
      </c>
      <c r="B446" t="s">
        <v>4655</v>
      </c>
      <c r="C446" t="s">
        <v>7475</v>
      </c>
      <c r="D446" s="1">
        <v>40360</v>
      </c>
      <c r="E446" s="2">
        <v>188200</v>
      </c>
      <c r="F446" t="s">
        <v>4567</v>
      </c>
      <c r="G446" s="17" t="str">
        <f>HYPERLINK("https://www.washoecounty.gov/assessor/cama/?command=sales&amp;parid=00513306","3897863")</f>
        <v>3897863</v>
      </c>
      <c r="H446" t="s">
        <v>2638</v>
      </c>
      <c r="I446">
        <v>1970</v>
      </c>
      <c r="J446">
        <v>1970</v>
      </c>
      <c r="K446" t="s">
        <v>4554</v>
      </c>
      <c r="L446" t="s">
        <v>4555</v>
      </c>
      <c r="M446" s="2">
        <v>1595</v>
      </c>
      <c r="N446" t="s">
        <v>4048</v>
      </c>
      <c r="O446">
        <v>3</v>
      </c>
      <c r="P446">
        <v>2</v>
      </c>
      <c r="Q446">
        <v>0</v>
      </c>
      <c r="R446" t="s">
        <v>4557</v>
      </c>
      <c r="S446" t="s">
        <v>4135</v>
      </c>
      <c r="T446" t="s">
        <v>4559</v>
      </c>
      <c r="U446" t="s">
        <v>4560</v>
      </c>
      <c r="V446" s="2">
        <v>399</v>
      </c>
      <c r="W446" t="s">
        <v>4655</v>
      </c>
      <c r="X446" s="2">
        <v>0</v>
      </c>
      <c r="Y446">
        <v>20</v>
      </c>
      <c r="Z446" t="s">
        <v>4561</v>
      </c>
      <c r="AA446" s="3">
        <v>0.160009175539017</v>
      </c>
      <c r="AB446" t="s">
        <v>7476</v>
      </c>
      <c r="AC446" t="s">
        <v>4562</v>
      </c>
      <c r="AD446" t="s">
        <v>7475</v>
      </c>
      <c r="AE446" t="s">
        <v>4655</v>
      </c>
      <c r="AF446" t="s">
        <v>4563</v>
      </c>
      <c r="AG446" t="s">
        <v>4564</v>
      </c>
      <c r="AH446">
        <v>89503</v>
      </c>
      <c r="AI446" t="s">
        <v>7477</v>
      </c>
      <c r="AJ446" t="s">
        <v>4655</v>
      </c>
      <c r="AK446" t="s">
        <v>7478</v>
      </c>
      <c r="AL446" s="13" t="s">
        <v>2255</v>
      </c>
      <c r="AM446">
        <v>1</v>
      </c>
      <c r="AN446" s="15" t="s">
        <v>4566</v>
      </c>
    </row>
    <row r="447" spans="1:40" x14ac:dyDescent="0.3">
      <c r="A447" s="10" t="str">
        <f>HYPERLINK("http://www.washoecounty.gov/assessor/cama/?parid=005-143-01&amp;CardNumber=1","005-143-01")</f>
        <v>005-143-01</v>
      </c>
      <c r="B447" t="s">
        <v>4655</v>
      </c>
      <c r="C447" t="s">
        <v>7479</v>
      </c>
      <c r="D447" s="1">
        <v>40242</v>
      </c>
      <c r="E447" s="2">
        <v>200000</v>
      </c>
      <c r="F447" t="s">
        <v>4567</v>
      </c>
      <c r="G447" s="17" t="str">
        <f>HYPERLINK("https://www.washoecounty.gov/assessor/cama/?command=sales&amp;parid=00514301","3856478")</f>
        <v>3856478</v>
      </c>
      <c r="H447" t="s">
        <v>5356</v>
      </c>
      <c r="I447">
        <v>1972</v>
      </c>
      <c r="J447">
        <v>1972</v>
      </c>
      <c r="K447" t="s">
        <v>4554</v>
      </c>
      <c r="L447" t="s">
        <v>2170</v>
      </c>
      <c r="M447" s="2">
        <v>1878</v>
      </c>
      <c r="N447" t="s">
        <v>4048</v>
      </c>
      <c r="O447">
        <v>3</v>
      </c>
      <c r="P447">
        <v>2</v>
      </c>
      <c r="Q447">
        <v>1</v>
      </c>
      <c r="R447" t="s">
        <v>5281</v>
      </c>
      <c r="S447" t="s">
        <v>4135</v>
      </c>
      <c r="T447" t="s">
        <v>4559</v>
      </c>
      <c r="U447" t="s">
        <v>5631</v>
      </c>
      <c r="V447" s="2">
        <v>504</v>
      </c>
      <c r="W447" t="s">
        <v>4655</v>
      </c>
      <c r="X447" s="2">
        <v>0</v>
      </c>
      <c r="Y447">
        <v>20</v>
      </c>
      <c r="Z447" t="s">
        <v>4561</v>
      </c>
      <c r="AA447" s="3">
        <v>0.18000459671020499</v>
      </c>
      <c r="AB447" t="s">
        <v>7480</v>
      </c>
      <c r="AC447" t="s">
        <v>4562</v>
      </c>
      <c r="AD447" t="s">
        <v>7479</v>
      </c>
      <c r="AE447" t="s">
        <v>4655</v>
      </c>
      <c r="AF447" t="s">
        <v>4563</v>
      </c>
      <c r="AG447" t="s">
        <v>4564</v>
      </c>
      <c r="AH447">
        <v>89503</v>
      </c>
      <c r="AI447" t="s">
        <v>7481</v>
      </c>
      <c r="AJ447" t="s">
        <v>4655</v>
      </c>
      <c r="AK447" t="s">
        <v>7482</v>
      </c>
      <c r="AL447" s="13" t="s">
        <v>2255</v>
      </c>
      <c r="AM447">
        <v>1</v>
      </c>
      <c r="AN447" s="15" t="s">
        <v>4566</v>
      </c>
    </row>
    <row r="448" spans="1:40" x14ac:dyDescent="0.3">
      <c r="A448" s="10" t="str">
        <f>HYPERLINK("http://www.washoecounty.gov/assessor/cama/?parid=005-145-08&amp;CardNumber=1","005-145-08")</f>
        <v>005-145-08</v>
      </c>
      <c r="B448" t="s">
        <v>4655</v>
      </c>
      <c r="C448" t="s">
        <v>7483</v>
      </c>
      <c r="D448" s="1">
        <v>40326</v>
      </c>
      <c r="E448" s="2">
        <v>95000</v>
      </c>
      <c r="F448" t="s">
        <v>4553</v>
      </c>
      <c r="G448" s="17" t="str">
        <f>HYPERLINK("https://www.washoecounty.gov/assessor/cama/?command=sales&amp;parid=00514508","3886401")</f>
        <v>3886401</v>
      </c>
      <c r="H448" t="s">
        <v>7484</v>
      </c>
      <c r="I448">
        <v>1973</v>
      </c>
      <c r="J448">
        <v>1973</v>
      </c>
      <c r="K448" t="s">
        <v>4554</v>
      </c>
      <c r="L448" t="s">
        <v>2170</v>
      </c>
      <c r="M448" s="2">
        <v>1764</v>
      </c>
      <c r="N448" t="s">
        <v>4048</v>
      </c>
      <c r="O448">
        <v>3</v>
      </c>
      <c r="P448">
        <v>2</v>
      </c>
      <c r="Q448">
        <v>1</v>
      </c>
      <c r="R448" t="s">
        <v>4557</v>
      </c>
      <c r="S448" t="s">
        <v>3148</v>
      </c>
      <c r="T448" t="s">
        <v>4559</v>
      </c>
      <c r="U448" t="s">
        <v>5631</v>
      </c>
      <c r="V448" s="2">
        <v>572</v>
      </c>
      <c r="W448" t="s">
        <v>4655</v>
      </c>
      <c r="X448" s="2">
        <v>0</v>
      </c>
      <c r="Y448">
        <v>20</v>
      </c>
      <c r="Z448" t="s">
        <v>4561</v>
      </c>
      <c r="AA448" s="3">
        <v>0.169995412230492</v>
      </c>
      <c r="AB448" t="s">
        <v>7485</v>
      </c>
      <c r="AC448" t="s">
        <v>4562</v>
      </c>
      <c r="AD448" t="s">
        <v>7486</v>
      </c>
      <c r="AE448" t="s">
        <v>4655</v>
      </c>
      <c r="AF448" t="s">
        <v>1407</v>
      </c>
      <c r="AG448" t="s">
        <v>4564</v>
      </c>
      <c r="AH448">
        <v>89701</v>
      </c>
      <c r="AI448" t="s">
        <v>4503</v>
      </c>
      <c r="AJ448" t="s">
        <v>4655</v>
      </c>
      <c r="AK448" t="s">
        <v>7487</v>
      </c>
      <c r="AL448" s="13" t="s">
        <v>2255</v>
      </c>
      <c r="AM448">
        <v>1</v>
      </c>
      <c r="AN448" s="15" t="s">
        <v>4566</v>
      </c>
    </row>
    <row r="449" spans="1:40" x14ac:dyDescent="0.3">
      <c r="A449" s="10" t="str">
        <f>HYPERLINK("http://www.washoecounty.gov/assessor/cama/?parid=005-145-15&amp;CardNumber=1","005-145-15")</f>
        <v>005-145-15</v>
      </c>
      <c r="B449" t="s">
        <v>4655</v>
      </c>
      <c r="C449" t="s">
        <v>7488</v>
      </c>
      <c r="D449" s="1">
        <v>40387</v>
      </c>
      <c r="E449" s="2">
        <v>135000</v>
      </c>
      <c r="F449" t="s">
        <v>4553</v>
      </c>
      <c r="G449" s="17" t="str">
        <f>HYPERLINK("https://www.washoecounty.gov/assessor/cama/?command=sales&amp;parid=00514515","3906186")</f>
        <v>3906186</v>
      </c>
      <c r="H449" t="s">
        <v>7484</v>
      </c>
      <c r="I449">
        <v>1973</v>
      </c>
      <c r="J449">
        <v>1973</v>
      </c>
      <c r="K449" t="s">
        <v>4554</v>
      </c>
      <c r="L449" t="s">
        <v>3974</v>
      </c>
      <c r="M449" s="2">
        <v>1640</v>
      </c>
      <c r="N449" t="s">
        <v>4048</v>
      </c>
      <c r="O449">
        <v>3</v>
      </c>
      <c r="P449">
        <v>3</v>
      </c>
      <c r="Q449">
        <v>0</v>
      </c>
      <c r="R449" t="s">
        <v>5281</v>
      </c>
      <c r="S449" t="s">
        <v>3148</v>
      </c>
      <c r="T449" t="s">
        <v>4559</v>
      </c>
      <c r="U449" t="s">
        <v>5631</v>
      </c>
      <c r="V449" s="2">
        <v>550</v>
      </c>
      <c r="W449" t="s">
        <v>4655</v>
      </c>
      <c r="X449" s="2">
        <v>0</v>
      </c>
      <c r="Y449">
        <v>20</v>
      </c>
      <c r="Z449" t="s">
        <v>4561</v>
      </c>
      <c r="AA449" s="3">
        <v>0.21000918745994601</v>
      </c>
      <c r="AB449" t="s">
        <v>7489</v>
      </c>
      <c r="AC449" t="s">
        <v>4575</v>
      </c>
      <c r="AD449" t="s">
        <v>7490</v>
      </c>
      <c r="AE449" t="s">
        <v>4655</v>
      </c>
      <c r="AF449" t="s">
        <v>4563</v>
      </c>
      <c r="AG449" t="s">
        <v>4564</v>
      </c>
      <c r="AH449">
        <v>89503</v>
      </c>
      <c r="AI449" t="s">
        <v>4903</v>
      </c>
      <c r="AJ449" t="s">
        <v>4655</v>
      </c>
      <c r="AK449" t="s">
        <v>7491</v>
      </c>
      <c r="AL449" s="13" t="s">
        <v>2255</v>
      </c>
      <c r="AM449">
        <v>1</v>
      </c>
      <c r="AN449" s="15" t="s">
        <v>4566</v>
      </c>
    </row>
    <row r="450" spans="1:40" x14ac:dyDescent="0.3">
      <c r="A450" s="10" t="str">
        <f>HYPERLINK("http://www.washoecounty.gov/assessor/cama/?parid=005-151-01&amp;CardNumber=1","005-151-01")</f>
        <v>005-151-01</v>
      </c>
      <c r="B450" t="s">
        <v>4655</v>
      </c>
      <c r="C450" t="s">
        <v>7492</v>
      </c>
      <c r="D450" s="1">
        <v>40221</v>
      </c>
      <c r="E450" s="2">
        <v>148000</v>
      </c>
      <c r="F450" t="s">
        <v>4553</v>
      </c>
      <c r="G450" s="17" t="str">
        <f>HYPERLINK("https://www.washoecounty.gov/assessor/cama/?command=sales&amp;parid=00515101","3849166")</f>
        <v>3849166</v>
      </c>
      <c r="H450" t="s">
        <v>4688</v>
      </c>
      <c r="I450">
        <v>1963</v>
      </c>
      <c r="J450">
        <v>1968</v>
      </c>
      <c r="K450" t="s">
        <v>4554</v>
      </c>
      <c r="L450" t="s">
        <v>4555</v>
      </c>
      <c r="M450" s="2">
        <v>1651</v>
      </c>
      <c r="N450" t="s">
        <v>4556</v>
      </c>
      <c r="O450">
        <v>3</v>
      </c>
      <c r="P450">
        <v>2</v>
      </c>
      <c r="Q450">
        <v>0</v>
      </c>
      <c r="R450" t="s">
        <v>4557</v>
      </c>
      <c r="S450" t="s">
        <v>4574</v>
      </c>
      <c r="T450" t="s">
        <v>4559</v>
      </c>
      <c r="U450" t="s">
        <v>4560</v>
      </c>
      <c r="V450" s="2">
        <v>286</v>
      </c>
      <c r="W450" t="s">
        <v>4655</v>
      </c>
      <c r="X450" s="2">
        <v>0</v>
      </c>
      <c r="Y450">
        <v>20</v>
      </c>
      <c r="Z450" t="s">
        <v>4561</v>
      </c>
      <c r="AA450" s="3">
        <v>0.13999082148075101</v>
      </c>
      <c r="AB450" t="s">
        <v>7493</v>
      </c>
      <c r="AC450" t="s">
        <v>4562</v>
      </c>
      <c r="AD450" t="s">
        <v>7492</v>
      </c>
      <c r="AE450" t="s">
        <v>4655</v>
      </c>
      <c r="AF450" t="s">
        <v>4563</v>
      </c>
      <c r="AG450" t="s">
        <v>4564</v>
      </c>
      <c r="AH450">
        <v>89503</v>
      </c>
      <c r="AI450" t="s">
        <v>4903</v>
      </c>
      <c r="AJ450" t="s">
        <v>4655</v>
      </c>
      <c r="AK450" t="s">
        <v>7494</v>
      </c>
      <c r="AL450" s="13" t="s">
        <v>2255</v>
      </c>
      <c r="AM450">
        <v>1</v>
      </c>
      <c r="AN450" s="15" t="s">
        <v>4566</v>
      </c>
    </row>
    <row r="451" spans="1:40" x14ac:dyDescent="0.3">
      <c r="A451" s="10" t="str">
        <f>HYPERLINK("http://www.washoecounty.gov/assessor/cama/?parid=005-152-08&amp;CardNumber=1","005-152-08")</f>
        <v>005-152-08</v>
      </c>
      <c r="B451" t="s">
        <v>4655</v>
      </c>
      <c r="C451" t="s">
        <v>7495</v>
      </c>
      <c r="D451" s="1">
        <v>40206</v>
      </c>
      <c r="E451" s="2">
        <v>95000</v>
      </c>
      <c r="F451" t="s">
        <v>4567</v>
      </c>
      <c r="G451" s="17" t="str">
        <f>HYPERLINK("https://www.washoecounty.gov/assessor/cama/?command=sales&amp;parid=00515208","3843721")</f>
        <v>3843721</v>
      </c>
      <c r="H451" t="s">
        <v>4688</v>
      </c>
      <c r="I451">
        <v>1963</v>
      </c>
      <c r="J451">
        <v>1963</v>
      </c>
      <c r="K451" t="s">
        <v>4554</v>
      </c>
      <c r="L451" t="s">
        <v>4555</v>
      </c>
      <c r="M451" s="2">
        <v>1176</v>
      </c>
      <c r="N451" t="s">
        <v>4556</v>
      </c>
      <c r="O451">
        <v>3</v>
      </c>
      <c r="P451">
        <v>2</v>
      </c>
      <c r="Q451">
        <v>0</v>
      </c>
      <c r="R451" t="s">
        <v>4557</v>
      </c>
      <c r="S451" t="s">
        <v>4574</v>
      </c>
      <c r="T451" t="s">
        <v>4559</v>
      </c>
      <c r="U451" t="s">
        <v>4560</v>
      </c>
      <c r="V451" s="2">
        <v>441</v>
      </c>
      <c r="W451" t="s">
        <v>4655</v>
      </c>
      <c r="X451" s="2">
        <v>0</v>
      </c>
      <c r="Y451">
        <v>20</v>
      </c>
      <c r="Z451" t="s">
        <v>4561</v>
      </c>
      <c r="AA451" s="3">
        <v>0.13999082148075101</v>
      </c>
      <c r="AB451" t="s">
        <v>7496</v>
      </c>
      <c r="AC451" t="s">
        <v>4575</v>
      </c>
      <c r="AD451" t="s">
        <v>7497</v>
      </c>
      <c r="AE451" t="s">
        <v>4655</v>
      </c>
      <c r="AF451" t="s">
        <v>4563</v>
      </c>
      <c r="AG451" t="s">
        <v>4564</v>
      </c>
      <c r="AH451" t="s">
        <v>2330</v>
      </c>
      <c r="AI451" t="s">
        <v>7498</v>
      </c>
      <c r="AJ451" t="s">
        <v>4655</v>
      </c>
      <c r="AK451" t="s">
        <v>7499</v>
      </c>
      <c r="AL451" s="13" t="s">
        <v>2255</v>
      </c>
      <c r="AM451">
        <v>1</v>
      </c>
      <c r="AN451" s="15" t="s">
        <v>4566</v>
      </c>
    </row>
    <row r="452" spans="1:40" x14ac:dyDescent="0.3">
      <c r="A452" s="10" t="str">
        <f>HYPERLINK("http://www.washoecounty.gov/assessor/cama/?parid=005-152-20&amp;CardNumber=1","005-152-20")</f>
        <v>005-152-20</v>
      </c>
      <c r="B452" t="s">
        <v>4655</v>
      </c>
      <c r="C452" t="s">
        <v>7500</v>
      </c>
      <c r="D452" s="1">
        <v>40393</v>
      </c>
      <c r="E452" s="2">
        <v>125700</v>
      </c>
      <c r="F452" t="s">
        <v>4567</v>
      </c>
      <c r="G452" s="17" t="str">
        <f>HYPERLINK("https://www.washoecounty.gov/assessor/cama/?command=sales&amp;parid=00515220","3908161")</f>
        <v>3908161</v>
      </c>
      <c r="H452" t="s">
        <v>4688</v>
      </c>
      <c r="I452">
        <v>1963</v>
      </c>
      <c r="J452">
        <v>1963</v>
      </c>
      <c r="K452" t="s">
        <v>4554</v>
      </c>
      <c r="L452" t="s">
        <v>4555</v>
      </c>
      <c r="M452" s="2">
        <v>1176</v>
      </c>
      <c r="N452" t="s">
        <v>4556</v>
      </c>
      <c r="O452">
        <v>3</v>
      </c>
      <c r="P452">
        <v>2</v>
      </c>
      <c r="Q452">
        <v>0</v>
      </c>
      <c r="R452" t="s">
        <v>4557</v>
      </c>
      <c r="S452" t="s">
        <v>4574</v>
      </c>
      <c r="T452" t="s">
        <v>4559</v>
      </c>
      <c r="U452" t="s">
        <v>4560</v>
      </c>
      <c r="V452" s="2">
        <v>441</v>
      </c>
      <c r="W452" t="s">
        <v>4655</v>
      </c>
      <c r="X452" s="2">
        <v>0</v>
      </c>
      <c r="Y452">
        <v>20</v>
      </c>
      <c r="Z452" t="s">
        <v>4561</v>
      </c>
      <c r="AA452" s="3">
        <v>0.13999082148075101</v>
      </c>
      <c r="AB452" t="s">
        <v>7501</v>
      </c>
      <c r="AC452" t="s">
        <v>4562</v>
      </c>
      <c r="AD452" t="s">
        <v>7500</v>
      </c>
      <c r="AE452" t="s">
        <v>4655</v>
      </c>
      <c r="AF452" t="s">
        <v>4563</v>
      </c>
      <c r="AG452" t="s">
        <v>4564</v>
      </c>
      <c r="AH452">
        <v>89503</v>
      </c>
      <c r="AI452" t="s">
        <v>7502</v>
      </c>
      <c r="AJ452" t="s">
        <v>4655</v>
      </c>
      <c r="AK452" t="s">
        <v>7503</v>
      </c>
      <c r="AL452" s="13" t="s">
        <v>2255</v>
      </c>
      <c r="AM452" s="14">
        <v>1</v>
      </c>
      <c r="AN452" s="15" t="s">
        <v>4566</v>
      </c>
    </row>
    <row r="453" spans="1:40" x14ac:dyDescent="0.3">
      <c r="A453" s="10" t="str">
        <f>HYPERLINK("http://www.washoecounty.gov/assessor/cama/?parid=005-152-24&amp;CardNumber=1","005-152-24")</f>
        <v>005-152-24</v>
      </c>
      <c r="B453" t="s">
        <v>4655</v>
      </c>
      <c r="C453" t="s">
        <v>7504</v>
      </c>
      <c r="D453" s="1">
        <v>40301</v>
      </c>
      <c r="E453" s="2">
        <v>65500</v>
      </c>
      <c r="F453" t="s">
        <v>4567</v>
      </c>
      <c r="G453" s="17" t="str">
        <f>HYPERLINK("https://www.washoecounty.gov/assessor/cama/?command=sales&amp;parid=00515224","3877526")</f>
        <v>3877526</v>
      </c>
      <c r="H453" t="s">
        <v>4688</v>
      </c>
      <c r="I453">
        <v>1963</v>
      </c>
      <c r="J453">
        <v>1963</v>
      </c>
      <c r="K453" t="s">
        <v>4554</v>
      </c>
      <c r="L453" t="s">
        <v>4555</v>
      </c>
      <c r="M453" s="2">
        <v>1087</v>
      </c>
      <c r="N453" t="s">
        <v>4556</v>
      </c>
      <c r="O453">
        <v>3</v>
      </c>
      <c r="P453">
        <v>2</v>
      </c>
      <c r="Q453">
        <v>0</v>
      </c>
      <c r="R453" t="s">
        <v>4557</v>
      </c>
      <c r="S453" t="s">
        <v>4574</v>
      </c>
      <c r="T453" t="s">
        <v>4559</v>
      </c>
      <c r="U453" t="s">
        <v>4560</v>
      </c>
      <c r="V453" s="2">
        <v>286</v>
      </c>
      <c r="W453" t="s">
        <v>4655</v>
      </c>
      <c r="X453" s="2">
        <v>0</v>
      </c>
      <c r="Y453">
        <v>20</v>
      </c>
      <c r="Z453" t="s">
        <v>4561</v>
      </c>
      <c r="AA453" s="3">
        <v>0.13000458478927601</v>
      </c>
      <c r="AB453" t="s">
        <v>5793</v>
      </c>
      <c r="AC453" t="s">
        <v>4562</v>
      </c>
      <c r="AD453" t="s">
        <v>5794</v>
      </c>
      <c r="AE453" t="s">
        <v>4655</v>
      </c>
      <c r="AF453" t="s">
        <v>4563</v>
      </c>
      <c r="AG453" t="s">
        <v>4564</v>
      </c>
      <c r="AH453" t="s">
        <v>2841</v>
      </c>
      <c r="AI453" t="s">
        <v>5795</v>
      </c>
      <c r="AJ453" t="s">
        <v>4655</v>
      </c>
      <c r="AK453" t="s">
        <v>7505</v>
      </c>
      <c r="AL453" s="13" t="s">
        <v>2255</v>
      </c>
      <c r="AM453" s="14">
        <v>1</v>
      </c>
      <c r="AN453" s="15" t="s">
        <v>4566</v>
      </c>
    </row>
    <row r="454" spans="1:40" x14ac:dyDescent="0.3">
      <c r="A454" s="10" t="str">
        <f>HYPERLINK("http://www.washoecounty.gov/assessor/cama/?parid=005-153-21&amp;CardNumber=1","005-153-21")</f>
        <v>005-153-21</v>
      </c>
      <c r="B454" t="s">
        <v>4655</v>
      </c>
      <c r="C454" t="s">
        <v>7506</v>
      </c>
      <c r="D454" s="1">
        <v>40298</v>
      </c>
      <c r="E454" s="2">
        <v>125000</v>
      </c>
      <c r="F454" t="s">
        <v>4567</v>
      </c>
      <c r="G454" s="17" t="str">
        <f>HYPERLINK("https://www.washoecounty.gov/assessor/cama/?command=sales&amp;parid=00515321","3877088")</f>
        <v>3877088</v>
      </c>
      <c r="H454" t="s">
        <v>4688</v>
      </c>
      <c r="I454">
        <v>1963</v>
      </c>
      <c r="J454">
        <v>1963</v>
      </c>
      <c r="K454" t="s">
        <v>4554</v>
      </c>
      <c r="L454" t="s">
        <v>2170</v>
      </c>
      <c r="M454" s="2">
        <v>1621</v>
      </c>
      <c r="N454" t="s">
        <v>4556</v>
      </c>
      <c r="O454">
        <v>3</v>
      </c>
      <c r="P454">
        <v>2</v>
      </c>
      <c r="Q454">
        <v>0</v>
      </c>
      <c r="R454" t="s">
        <v>4557</v>
      </c>
      <c r="S454" t="s">
        <v>4574</v>
      </c>
      <c r="T454" t="s">
        <v>4559</v>
      </c>
      <c r="U454" t="s">
        <v>4560</v>
      </c>
      <c r="V454" s="2">
        <v>277</v>
      </c>
      <c r="W454" t="s">
        <v>4655</v>
      </c>
      <c r="X454" s="2">
        <v>0</v>
      </c>
      <c r="Y454">
        <v>20</v>
      </c>
      <c r="Z454" t="s">
        <v>4561</v>
      </c>
      <c r="AA454" s="3">
        <v>0.13999082148075101</v>
      </c>
      <c r="AB454" t="s">
        <v>7507</v>
      </c>
      <c r="AC454" t="s">
        <v>4575</v>
      </c>
      <c r="AD454" t="s">
        <v>7506</v>
      </c>
      <c r="AE454" t="s">
        <v>4655</v>
      </c>
      <c r="AF454" t="s">
        <v>4563</v>
      </c>
      <c r="AG454" t="s">
        <v>4564</v>
      </c>
      <c r="AH454">
        <v>89503</v>
      </c>
      <c r="AI454" t="s">
        <v>7508</v>
      </c>
      <c r="AJ454" t="s">
        <v>4655</v>
      </c>
      <c r="AK454" t="s">
        <v>7509</v>
      </c>
      <c r="AL454" s="13" t="s">
        <v>2255</v>
      </c>
      <c r="AM454">
        <v>1</v>
      </c>
      <c r="AN454" s="15" t="s">
        <v>4566</v>
      </c>
    </row>
    <row r="455" spans="1:40" x14ac:dyDescent="0.3">
      <c r="A455" s="10" t="str">
        <f>HYPERLINK("http://www.washoecounty.gov/assessor/cama/?parid=005-153-24&amp;CardNumber=1","005-153-24")</f>
        <v>005-153-24</v>
      </c>
      <c r="B455" t="s">
        <v>4655</v>
      </c>
      <c r="C455" t="s">
        <v>7510</v>
      </c>
      <c r="D455" s="1">
        <v>40359</v>
      </c>
      <c r="E455" s="2">
        <v>139900</v>
      </c>
      <c r="F455" t="s">
        <v>4553</v>
      </c>
      <c r="G455" s="17" t="str">
        <f>HYPERLINK("https://www.washoecounty.gov/assessor/cama/?command=sales&amp;parid=00515324","3897259")</f>
        <v>3897259</v>
      </c>
      <c r="H455" t="s">
        <v>7511</v>
      </c>
      <c r="I455">
        <v>1963</v>
      </c>
      <c r="J455">
        <v>1963</v>
      </c>
      <c r="K455" t="s">
        <v>4554</v>
      </c>
      <c r="L455" t="s">
        <v>4555</v>
      </c>
      <c r="M455" s="2">
        <v>1176</v>
      </c>
      <c r="N455" t="s">
        <v>4556</v>
      </c>
      <c r="O455">
        <v>3</v>
      </c>
      <c r="P455">
        <v>2</v>
      </c>
      <c r="Q455">
        <v>0</v>
      </c>
      <c r="R455" t="s">
        <v>4557</v>
      </c>
      <c r="S455" t="s">
        <v>4898</v>
      </c>
      <c r="T455" t="s">
        <v>4559</v>
      </c>
      <c r="U455" t="s">
        <v>4655</v>
      </c>
      <c r="V455" s="2">
        <v>0</v>
      </c>
      <c r="W455" t="s">
        <v>4655</v>
      </c>
      <c r="X455" s="2">
        <v>0</v>
      </c>
      <c r="Y455">
        <v>20</v>
      </c>
      <c r="Z455" t="s">
        <v>4561</v>
      </c>
      <c r="AA455" s="3">
        <v>0.21999540925025901</v>
      </c>
      <c r="AB455" t="s">
        <v>7512</v>
      </c>
      <c r="AC455" t="s">
        <v>4562</v>
      </c>
      <c r="AD455" t="s">
        <v>7510</v>
      </c>
      <c r="AE455" t="s">
        <v>4655</v>
      </c>
      <c r="AF455" t="s">
        <v>4563</v>
      </c>
      <c r="AG455" t="s">
        <v>4564</v>
      </c>
      <c r="AH455">
        <v>89503</v>
      </c>
      <c r="AI455" t="s">
        <v>4903</v>
      </c>
      <c r="AJ455" t="s">
        <v>4655</v>
      </c>
      <c r="AK455" t="s">
        <v>7513</v>
      </c>
      <c r="AL455" s="13" t="s">
        <v>2255</v>
      </c>
      <c r="AM455">
        <v>1</v>
      </c>
      <c r="AN455" s="15" t="s">
        <v>4566</v>
      </c>
    </row>
    <row r="456" spans="1:40" x14ac:dyDescent="0.3">
      <c r="A456" s="10" t="str">
        <f>HYPERLINK("http://www.washoecounty.gov/assessor/cama/?parid=005-153-31&amp;CardNumber=1","005-153-31")</f>
        <v>005-153-31</v>
      </c>
      <c r="B456" t="s">
        <v>4655</v>
      </c>
      <c r="C456" t="s">
        <v>7514</v>
      </c>
      <c r="D456" s="1">
        <v>40472</v>
      </c>
      <c r="E456" s="2">
        <v>130000</v>
      </c>
      <c r="F456" t="s">
        <v>4567</v>
      </c>
      <c r="G456" s="17" t="str">
        <f>HYPERLINK("https://www.washoecounty.gov/assessor/cama/?command=sales&amp;parid=00515331","3935290")</f>
        <v>3935290</v>
      </c>
      <c r="H456" t="s">
        <v>4688</v>
      </c>
      <c r="I456">
        <v>1963</v>
      </c>
      <c r="J456">
        <v>1963</v>
      </c>
      <c r="K456" t="s">
        <v>4554</v>
      </c>
      <c r="L456" t="s">
        <v>4555</v>
      </c>
      <c r="M456" s="2">
        <v>1176</v>
      </c>
      <c r="N456" t="s">
        <v>4556</v>
      </c>
      <c r="O456">
        <v>3</v>
      </c>
      <c r="P456">
        <v>2</v>
      </c>
      <c r="Q456">
        <v>0</v>
      </c>
      <c r="R456" t="s">
        <v>4557</v>
      </c>
      <c r="S456" t="s">
        <v>4135</v>
      </c>
      <c r="T456" t="s">
        <v>4559</v>
      </c>
      <c r="U456" t="s">
        <v>4655</v>
      </c>
      <c r="V456" s="2">
        <v>0</v>
      </c>
      <c r="W456" t="s">
        <v>4655</v>
      </c>
      <c r="X456" s="2">
        <v>0</v>
      </c>
      <c r="Y456">
        <v>20</v>
      </c>
      <c r="Z456" t="s">
        <v>4051</v>
      </c>
      <c r="AA456" s="3">
        <v>0.362006425857544</v>
      </c>
      <c r="AB456" t="s">
        <v>7515</v>
      </c>
      <c r="AC456" t="s">
        <v>4562</v>
      </c>
      <c r="AD456" t="s">
        <v>7516</v>
      </c>
      <c r="AE456" t="s">
        <v>4655</v>
      </c>
      <c r="AF456" t="s">
        <v>4563</v>
      </c>
      <c r="AG456" t="s">
        <v>4564</v>
      </c>
      <c r="AH456">
        <v>89503</v>
      </c>
      <c r="AI456" t="s">
        <v>7517</v>
      </c>
      <c r="AJ456" t="s">
        <v>4655</v>
      </c>
      <c r="AK456" t="s">
        <v>7518</v>
      </c>
      <c r="AL456" s="13" t="s">
        <v>2255</v>
      </c>
      <c r="AM456">
        <v>1</v>
      </c>
      <c r="AN456" s="15" t="s">
        <v>4566</v>
      </c>
    </row>
    <row r="457" spans="1:40" x14ac:dyDescent="0.3">
      <c r="A457" s="10" t="str">
        <f>HYPERLINK("http://www.washoecounty.gov/assessor/cama/?parid=005-340-14&amp;CardNumber=1","005-340-14")</f>
        <v>005-340-14</v>
      </c>
      <c r="B457" t="s">
        <v>4655</v>
      </c>
      <c r="C457" t="s">
        <v>7519</v>
      </c>
      <c r="D457" s="1">
        <v>40280</v>
      </c>
      <c r="E457" s="2">
        <v>4525000</v>
      </c>
      <c r="F457" t="s">
        <v>4187</v>
      </c>
      <c r="G457" s="17" t="str">
        <f>HYPERLINK("https://www.washoecounty.gov/assessor/cama/?command=sales&amp;parid=00534014","3869788")</f>
        <v>3869788</v>
      </c>
      <c r="H457" t="s">
        <v>7520</v>
      </c>
      <c r="I457">
        <v>2008</v>
      </c>
      <c r="J457">
        <v>2008</v>
      </c>
      <c r="K457" t="s">
        <v>7521</v>
      </c>
      <c r="L457" t="s">
        <v>1366</v>
      </c>
      <c r="M457" s="2">
        <v>17875</v>
      </c>
      <c r="N457" t="s">
        <v>1431</v>
      </c>
      <c r="O457">
        <v>0</v>
      </c>
      <c r="P457">
        <v>0</v>
      </c>
      <c r="Q457">
        <v>0</v>
      </c>
      <c r="R457" t="s">
        <v>1395</v>
      </c>
      <c r="S457" t="s">
        <v>1396</v>
      </c>
      <c r="T457" t="s">
        <v>4655</v>
      </c>
      <c r="U457" t="s">
        <v>4655</v>
      </c>
      <c r="V457" s="2">
        <v>0</v>
      </c>
      <c r="W457" t="s">
        <v>4655</v>
      </c>
      <c r="X457" s="2">
        <v>0</v>
      </c>
      <c r="Y457">
        <v>40</v>
      </c>
      <c r="Z457" t="s">
        <v>1370</v>
      </c>
      <c r="AA457" s="3">
        <v>2.0820000171661301</v>
      </c>
      <c r="AB457" t="s">
        <v>7522</v>
      </c>
      <c r="AC457" t="s">
        <v>4562</v>
      </c>
      <c r="AD457" t="s">
        <v>7523</v>
      </c>
      <c r="AE457" t="s">
        <v>4655</v>
      </c>
      <c r="AF457" t="s">
        <v>7524</v>
      </c>
      <c r="AG457" t="s">
        <v>4584</v>
      </c>
      <c r="AH457" t="s">
        <v>7525</v>
      </c>
      <c r="AI457" t="s">
        <v>7526</v>
      </c>
      <c r="AJ457" t="s">
        <v>7527</v>
      </c>
      <c r="AK457" t="s">
        <v>7528</v>
      </c>
      <c r="AL457" s="13" t="s">
        <v>2255</v>
      </c>
      <c r="AM457" s="14">
        <v>0</v>
      </c>
      <c r="AN457" s="15" t="s">
        <v>5232</v>
      </c>
    </row>
    <row r="458" spans="1:40" x14ac:dyDescent="0.3">
      <c r="A458" s="10" t="str">
        <f>HYPERLINK("http://www.washoecounty.gov/assessor/cama/?parid=006-011-14&amp;CardNumber=1","006-011-14")</f>
        <v>006-011-14</v>
      </c>
      <c r="B458" t="s">
        <v>4655</v>
      </c>
      <c r="C458" t="s">
        <v>7529</v>
      </c>
      <c r="D458" s="1">
        <v>40451</v>
      </c>
      <c r="E458" s="2">
        <v>119100</v>
      </c>
      <c r="F458" t="s">
        <v>4567</v>
      </c>
      <c r="G458" s="17" t="str">
        <f>HYPERLINK("https://www.washoecounty.gov/assessor/cama/?command=sales&amp;parid=00601114","3928449")</f>
        <v>3928449</v>
      </c>
      <c r="H458" t="s">
        <v>4568</v>
      </c>
      <c r="I458">
        <v>1958</v>
      </c>
      <c r="J458">
        <v>1958</v>
      </c>
      <c r="K458" t="s">
        <v>4554</v>
      </c>
      <c r="L458" t="s">
        <v>4555</v>
      </c>
      <c r="M458" s="2">
        <v>1117</v>
      </c>
      <c r="N458" t="s">
        <v>4556</v>
      </c>
      <c r="O458">
        <v>3</v>
      </c>
      <c r="P458">
        <v>1</v>
      </c>
      <c r="Q458">
        <v>1</v>
      </c>
      <c r="R458" t="s">
        <v>4557</v>
      </c>
      <c r="S458" t="s">
        <v>4574</v>
      </c>
      <c r="T458" t="s">
        <v>4559</v>
      </c>
      <c r="U458" t="s">
        <v>4560</v>
      </c>
      <c r="V458" s="2">
        <v>48</v>
      </c>
      <c r="W458" t="s">
        <v>4655</v>
      </c>
      <c r="X458" s="2">
        <v>0</v>
      </c>
      <c r="Y458">
        <v>20</v>
      </c>
      <c r="Z458" t="s">
        <v>4561</v>
      </c>
      <c r="AA458" s="3">
        <v>0.21999540925025901</v>
      </c>
      <c r="AB458" t="s">
        <v>7530</v>
      </c>
      <c r="AC458" t="s">
        <v>4562</v>
      </c>
      <c r="AD458" t="s">
        <v>7529</v>
      </c>
      <c r="AE458" t="s">
        <v>4655</v>
      </c>
      <c r="AF458" t="s">
        <v>4563</v>
      </c>
      <c r="AG458" t="s">
        <v>4564</v>
      </c>
      <c r="AH458">
        <v>89503</v>
      </c>
      <c r="AI458" t="s">
        <v>4534</v>
      </c>
      <c r="AJ458" t="s">
        <v>4655</v>
      </c>
      <c r="AK458" t="s">
        <v>7531</v>
      </c>
      <c r="AL458" s="13" t="s">
        <v>2255</v>
      </c>
      <c r="AM458">
        <v>1</v>
      </c>
      <c r="AN458" s="15" t="s">
        <v>4566</v>
      </c>
    </row>
    <row r="459" spans="1:40" x14ac:dyDescent="0.3">
      <c r="A459" s="10" t="str">
        <f>HYPERLINK("http://www.washoecounty.gov/assessor/cama/?parid=006-011-14&amp;CardNumber=1","006-011-14")</f>
        <v>006-011-14</v>
      </c>
      <c r="B459" t="s">
        <v>4655</v>
      </c>
      <c r="C459" t="s">
        <v>7529</v>
      </c>
      <c r="D459" s="1">
        <v>40368</v>
      </c>
      <c r="E459" s="2">
        <v>80000</v>
      </c>
      <c r="F459" t="s">
        <v>4553</v>
      </c>
      <c r="G459" s="17" t="str">
        <f>HYPERLINK("https://www.washoecounty.gov/assessor/cama/?command=sales&amp;parid=00601114","3899809")</f>
        <v>3899809</v>
      </c>
      <c r="H459" t="s">
        <v>4568</v>
      </c>
      <c r="I459">
        <v>1958</v>
      </c>
      <c r="J459">
        <v>1958</v>
      </c>
      <c r="K459" t="s">
        <v>4554</v>
      </c>
      <c r="L459" t="s">
        <v>4555</v>
      </c>
      <c r="M459" s="2">
        <v>1117</v>
      </c>
      <c r="N459" t="s">
        <v>4556</v>
      </c>
      <c r="O459">
        <v>3</v>
      </c>
      <c r="P459">
        <v>1</v>
      </c>
      <c r="Q459">
        <v>1</v>
      </c>
      <c r="R459" t="s">
        <v>4557</v>
      </c>
      <c r="S459" t="s">
        <v>4574</v>
      </c>
      <c r="T459" t="s">
        <v>4559</v>
      </c>
      <c r="U459" t="s">
        <v>4560</v>
      </c>
      <c r="V459" s="2">
        <v>48</v>
      </c>
      <c r="W459" t="s">
        <v>4655</v>
      </c>
      <c r="X459" s="2">
        <v>0</v>
      </c>
      <c r="Y459">
        <v>20</v>
      </c>
      <c r="Z459" t="s">
        <v>4561</v>
      </c>
      <c r="AA459" s="3">
        <v>0.21999540925025901</v>
      </c>
      <c r="AB459" t="s">
        <v>7530</v>
      </c>
      <c r="AC459" t="s">
        <v>4562</v>
      </c>
      <c r="AD459" t="s">
        <v>7529</v>
      </c>
      <c r="AE459" t="s">
        <v>4655</v>
      </c>
      <c r="AF459" t="s">
        <v>4563</v>
      </c>
      <c r="AG459" t="s">
        <v>4564</v>
      </c>
      <c r="AH459">
        <v>89503</v>
      </c>
      <c r="AI459" t="s">
        <v>4534</v>
      </c>
      <c r="AJ459" t="s">
        <v>4655</v>
      </c>
      <c r="AK459" t="s">
        <v>7531</v>
      </c>
      <c r="AL459" s="13" t="s">
        <v>2255</v>
      </c>
      <c r="AM459">
        <v>1</v>
      </c>
      <c r="AN459" s="15" t="s">
        <v>4566</v>
      </c>
    </row>
    <row r="460" spans="1:40" x14ac:dyDescent="0.3">
      <c r="A460" s="10" t="str">
        <f>HYPERLINK("http://www.washoecounty.gov/assessor/cama/?parid=006-021-10&amp;CardNumber=1","006-021-10")</f>
        <v>006-021-10</v>
      </c>
      <c r="B460" t="s">
        <v>4655</v>
      </c>
      <c r="C460" t="s">
        <v>7532</v>
      </c>
      <c r="D460" s="1">
        <v>40515</v>
      </c>
      <c r="E460" s="2">
        <v>119000</v>
      </c>
      <c r="F460" t="s">
        <v>4567</v>
      </c>
      <c r="G460" s="17" t="str">
        <f>HYPERLINK("https://www.washoecounty.gov/assessor/cama/?command=sales&amp;parid=00602110","3948978")</f>
        <v>3948978</v>
      </c>
      <c r="H460" t="s">
        <v>2465</v>
      </c>
      <c r="I460">
        <v>1953</v>
      </c>
      <c r="J460">
        <v>1953</v>
      </c>
      <c r="K460" t="s">
        <v>4554</v>
      </c>
      <c r="L460" t="s">
        <v>4555</v>
      </c>
      <c r="M460" s="2">
        <v>950</v>
      </c>
      <c r="N460" t="s">
        <v>4556</v>
      </c>
      <c r="O460">
        <v>4</v>
      </c>
      <c r="P460">
        <v>2</v>
      </c>
      <c r="Q460">
        <v>0</v>
      </c>
      <c r="R460" t="s">
        <v>4134</v>
      </c>
      <c r="S460" t="s">
        <v>4570</v>
      </c>
      <c r="T460" t="s">
        <v>4559</v>
      </c>
      <c r="U460" t="s">
        <v>4560</v>
      </c>
      <c r="V460" s="2">
        <v>462</v>
      </c>
      <c r="W460" t="s">
        <v>3149</v>
      </c>
      <c r="X460" s="2">
        <v>950</v>
      </c>
      <c r="Y460">
        <v>20</v>
      </c>
      <c r="Z460" t="s">
        <v>4561</v>
      </c>
      <c r="AA460" s="3">
        <v>0.25</v>
      </c>
      <c r="AB460" t="s">
        <v>7533</v>
      </c>
      <c r="AC460" t="s">
        <v>4575</v>
      </c>
      <c r="AD460" t="s">
        <v>7534</v>
      </c>
      <c r="AE460" t="s">
        <v>4655</v>
      </c>
      <c r="AF460" t="s">
        <v>4563</v>
      </c>
      <c r="AG460" t="s">
        <v>4564</v>
      </c>
      <c r="AH460">
        <v>89503</v>
      </c>
      <c r="AI460" t="s">
        <v>1742</v>
      </c>
      <c r="AJ460" t="s">
        <v>4655</v>
      </c>
      <c r="AK460" t="s">
        <v>7535</v>
      </c>
      <c r="AL460" s="13" t="s">
        <v>2255</v>
      </c>
      <c r="AM460">
        <v>1</v>
      </c>
      <c r="AN460" s="15" t="s">
        <v>4566</v>
      </c>
    </row>
    <row r="461" spans="1:40" x14ac:dyDescent="0.3">
      <c r="A461" s="10" t="str">
        <f>HYPERLINK("http://www.washoecounty.gov/assessor/cama/?parid=006-021-14&amp;CardNumber=1","006-021-14")</f>
        <v>006-021-14</v>
      </c>
      <c r="B461" t="s">
        <v>4655</v>
      </c>
      <c r="C461" t="s">
        <v>7536</v>
      </c>
      <c r="D461" s="1">
        <v>40284</v>
      </c>
      <c r="E461" s="2">
        <v>150000</v>
      </c>
      <c r="F461" t="s">
        <v>4567</v>
      </c>
      <c r="G461" s="17" t="str">
        <f>HYPERLINK("https://www.washoecounty.gov/assessor/cama/?command=sales&amp;parid=00602114","3871883")</f>
        <v>3871883</v>
      </c>
      <c r="H461" t="s">
        <v>1298</v>
      </c>
      <c r="I461">
        <v>1953</v>
      </c>
      <c r="J461">
        <v>1953</v>
      </c>
      <c r="K461" t="s">
        <v>4554</v>
      </c>
      <c r="L461" t="s">
        <v>4555</v>
      </c>
      <c r="M461" s="2">
        <v>875</v>
      </c>
      <c r="N461" t="s">
        <v>4556</v>
      </c>
      <c r="O461">
        <v>3</v>
      </c>
      <c r="P461">
        <v>2</v>
      </c>
      <c r="Q461">
        <v>0</v>
      </c>
      <c r="R461" t="s">
        <v>4134</v>
      </c>
      <c r="S461" t="s">
        <v>4135</v>
      </c>
      <c r="T461" t="s">
        <v>4559</v>
      </c>
      <c r="U461" t="s">
        <v>4560</v>
      </c>
      <c r="V461" s="2">
        <v>350</v>
      </c>
      <c r="W461" t="s">
        <v>3149</v>
      </c>
      <c r="X461" s="2">
        <v>875</v>
      </c>
      <c r="Y461">
        <v>20</v>
      </c>
      <c r="Z461" t="s">
        <v>4561</v>
      </c>
      <c r="AA461" s="3">
        <v>0.317011028528214</v>
      </c>
      <c r="AB461" t="s">
        <v>7537</v>
      </c>
      <c r="AC461" t="s">
        <v>4562</v>
      </c>
      <c r="AD461" t="s">
        <v>254</v>
      </c>
      <c r="AE461" t="s">
        <v>4655</v>
      </c>
      <c r="AF461" t="s">
        <v>4563</v>
      </c>
      <c r="AG461" t="s">
        <v>4564</v>
      </c>
      <c r="AH461">
        <v>89503</v>
      </c>
      <c r="AI461" t="s">
        <v>7538</v>
      </c>
      <c r="AJ461" t="s">
        <v>4655</v>
      </c>
      <c r="AK461" t="s">
        <v>7539</v>
      </c>
      <c r="AL461" s="13" t="s">
        <v>2255</v>
      </c>
      <c r="AM461">
        <v>1</v>
      </c>
      <c r="AN461" s="15" t="s">
        <v>4566</v>
      </c>
    </row>
    <row r="462" spans="1:40" x14ac:dyDescent="0.3">
      <c r="A462" s="10" t="str">
        <f>HYPERLINK("http://www.washoecounty.gov/assessor/cama/?parid=006-021-20&amp;CardNumber=1","006-021-20")</f>
        <v>006-021-20</v>
      </c>
      <c r="B462" t="s">
        <v>4655</v>
      </c>
      <c r="C462" t="s">
        <v>7540</v>
      </c>
      <c r="D462" s="1">
        <v>40255</v>
      </c>
      <c r="E462" s="2">
        <v>189900</v>
      </c>
      <c r="F462" t="s">
        <v>4567</v>
      </c>
      <c r="G462" s="17" t="str">
        <f>HYPERLINK("https://www.washoecounty.gov/assessor/cama/?command=sales&amp;parid=00602120","3861084")</f>
        <v>3861084</v>
      </c>
      <c r="H462" t="s">
        <v>1298</v>
      </c>
      <c r="I462">
        <v>1954</v>
      </c>
      <c r="J462">
        <v>1954</v>
      </c>
      <c r="K462" t="s">
        <v>4554</v>
      </c>
      <c r="L462" t="s">
        <v>4555</v>
      </c>
      <c r="M462" s="2">
        <v>1008</v>
      </c>
      <c r="N462" t="s">
        <v>4556</v>
      </c>
      <c r="O462">
        <v>3</v>
      </c>
      <c r="P462">
        <v>2</v>
      </c>
      <c r="Q462">
        <v>0</v>
      </c>
      <c r="R462" t="s">
        <v>4557</v>
      </c>
      <c r="S462" t="s">
        <v>4574</v>
      </c>
      <c r="T462" t="s">
        <v>4559</v>
      </c>
      <c r="U462" t="s">
        <v>4560</v>
      </c>
      <c r="V462" s="2">
        <v>252</v>
      </c>
      <c r="W462" t="s">
        <v>3149</v>
      </c>
      <c r="X462" s="2">
        <v>1008</v>
      </c>
      <c r="Y462">
        <v>20</v>
      </c>
      <c r="Z462" t="s">
        <v>4561</v>
      </c>
      <c r="AA462" s="3">
        <v>0.25700184702873202</v>
      </c>
      <c r="AB462" t="s">
        <v>7541</v>
      </c>
      <c r="AC462" t="s">
        <v>4562</v>
      </c>
      <c r="AD462" t="s">
        <v>7540</v>
      </c>
      <c r="AE462" t="s">
        <v>4655</v>
      </c>
      <c r="AF462" t="s">
        <v>4563</v>
      </c>
      <c r="AG462" t="s">
        <v>4564</v>
      </c>
      <c r="AH462">
        <v>89502</v>
      </c>
      <c r="AI462" t="s">
        <v>4655</v>
      </c>
      <c r="AJ462" t="s">
        <v>4655</v>
      </c>
      <c r="AK462" t="s">
        <v>7542</v>
      </c>
      <c r="AL462" s="13" t="s">
        <v>2255</v>
      </c>
      <c r="AM462" s="14">
        <v>1</v>
      </c>
      <c r="AN462" s="15" t="s">
        <v>4566</v>
      </c>
    </row>
    <row r="463" spans="1:40" x14ac:dyDescent="0.3">
      <c r="A463" s="10" t="str">
        <f>HYPERLINK("http://www.washoecounty.gov/assessor/cama/?parid=006-021-29&amp;CardNumber=1","006-021-29")</f>
        <v>006-021-29</v>
      </c>
      <c r="B463" t="s">
        <v>4655</v>
      </c>
      <c r="C463" t="s">
        <v>7543</v>
      </c>
      <c r="D463" s="1">
        <v>40239</v>
      </c>
      <c r="E463" s="2">
        <v>75000</v>
      </c>
      <c r="F463" t="s">
        <v>4567</v>
      </c>
      <c r="G463" s="17" t="str">
        <f>HYPERLINK("https://www.washoecounty.gov/assessor/cama/?command=sales&amp;parid=00602129","3854369")</f>
        <v>3854369</v>
      </c>
      <c r="H463" t="s">
        <v>3089</v>
      </c>
      <c r="I463">
        <v>1955</v>
      </c>
      <c r="J463">
        <v>1964</v>
      </c>
      <c r="K463" t="s">
        <v>4554</v>
      </c>
      <c r="L463" t="s">
        <v>4555</v>
      </c>
      <c r="M463" s="2">
        <v>1597</v>
      </c>
      <c r="N463" t="s">
        <v>4556</v>
      </c>
      <c r="O463">
        <v>3</v>
      </c>
      <c r="P463">
        <v>1</v>
      </c>
      <c r="Q463">
        <v>1</v>
      </c>
      <c r="R463" t="s">
        <v>4557</v>
      </c>
      <c r="S463" t="s">
        <v>4558</v>
      </c>
      <c r="T463" t="s">
        <v>4559</v>
      </c>
      <c r="U463" t="s">
        <v>4560</v>
      </c>
      <c r="V463" s="2">
        <v>300</v>
      </c>
      <c r="W463" t="s">
        <v>4655</v>
      </c>
      <c r="X463" s="2">
        <v>0</v>
      </c>
      <c r="Y463">
        <v>20</v>
      </c>
      <c r="Z463" t="s">
        <v>4561</v>
      </c>
      <c r="AA463" s="3">
        <v>0.23000459372997301</v>
      </c>
      <c r="AB463" t="s">
        <v>7544</v>
      </c>
      <c r="AC463" t="s">
        <v>4562</v>
      </c>
      <c r="AD463" t="s">
        <v>7545</v>
      </c>
      <c r="AE463" t="s">
        <v>4655</v>
      </c>
      <c r="AF463" t="s">
        <v>4563</v>
      </c>
      <c r="AG463" t="s">
        <v>4564</v>
      </c>
      <c r="AH463">
        <v>89509</v>
      </c>
      <c r="AI463" t="s">
        <v>7546</v>
      </c>
      <c r="AJ463" t="s">
        <v>7547</v>
      </c>
      <c r="AK463" t="s">
        <v>7548</v>
      </c>
      <c r="AL463" s="13" t="s">
        <v>2255</v>
      </c>
      <c r="AM463">
        <v>1</v>
      </c>
      <c r="AN463" s="15" t="s">
        <v>4566</v>
      </c>
    </row>
    <row r="464" spans="1:40" x14ac:dyDescent="0.3">
      <c r="A464" s="10" t="str">
        <f>HYPERLINK("http://www.washoecounty.gov/assessor/cama/?parid=006-031-06&amp;CardNumber=1","006-031-06")</f>
        <v>006-031-06</v>
      </c>
      <c r="B464" t="s">
        <v>4655</v>
      </c>
      <c r="C464" t="s">
        <v>7549</v>
      </c>
      <c r="D464" s="1">
        <v>40455</v>
      </c>
      <c r="E464" s="2">
        <v>167000</v>
      </c>
      <c r="F464" t="s">
        <v>4567</v>
      </c>
      <c r="G464" s="17" t="str">
        <f>HYPERLINK("https://www.washoecounty.gov/assessor/cama/?command=sales&amp;parid=00603106","3929393")</f>
        <v>3929393</v>
      </c>
      <c r="H464" t="s">
        <v>2364</v>
      </c>
      <c r="I464">
        <v>1957</v>
      </c>
      <c r="J464">
        <v>1957</v>
      </c>
      <c r="K464" t="s">
        <v>4554</v>
      </c>
      <c r="L464" t="s">
        <v>4569</v>
      </c>
      <c r="M464" s="2">
        <v>1196</v>
      </c>
      <c r="N464" t="s">
        <v>4556</v>
      </c>
      <c r="O464">
        <v>4</v>
      </c>
      <c r="P464">
        <v>3</v>
      </c>
      <c r="Q464">
        <v>0</v>
      </c>
      <c r="R464" t="s">
        <v>5281</v>
      </c>
      <c r="S464" t="s">
        <v>4574</v>
      </c>
      <c r="T464" t="s">
        <v>4559</v>
      </c>
      <c r="U464" t="s">
        <v>4655</v>
      </c>
      <c r="V464" s="2">
        <v>0</v>
      </c>
      <c r="W464" t="s">
        <v>4571</v>
      </c>
      <c r="X464" s="2">
        <v>1196</v>
      </c>
      <c r="Y464">
        <v>20</v>
      </c>
      <c r="Z464" t="s">
        <v>4561</v>
      </c>
      <c r="AA464" s="3">
        <v>0.15500459074974099</v>
      </c>
      <c r="AB464" t="s">
        <v>7550</v>
      </c>
      <c r="AC464" t="s">
        <v>4575</v>
      </c>
      <c r="AD464" t="s">
        <v>7549</v>
      </c>
      <c r="AE464" t="s">
        <v>4655</v>
      </c>
      <c r="AF464" t="s">
        <v>4563</v>
      </c>
      <c r="AG464" t="s">
        <v>4564</v>
      </c>
      <c r="AH464">
        <v>89503</v>
      </c>
      <c r="AI464" t="s">
        <v>4655</v>
      </c>
      <c r="AJ464" t="s">
        <v>4655</v>
      </c>
      <c r="AK464" t="s">
        <v>7551</v>
      </c>
      <c r="AL464" s="13" t="s">
        <v>2255</v>
      </c>
      <c r="AM464" s="14">
        <v>1</v>
      </c>
      <c r="AN464" s="15" t="s">
        <v>4566</v>
      </c>
    </row>
    <row r="465" spans="1:40" x14ac:dyDescent="0.3">
      <c r="A465" s="10" t="str">
        <f>HYPERLINK("http://www.washoecounty.gov/assessor/cama/?parid=006-031-29&amp;CardNumber=1","006-031-29")</f>
        <v>006-031-29</v>
      </c>
      <c r="B465" t="s">
        <v>4655</v>
      </c>
      <c r="C465" t="s">
        <v>7552</v>
      </c>
      <c r="D465" s="1">
        <v>40487</v>
      </c>
      <c r="E465" s="2">
        <v>42000</v>
      </c>
      <c r="F465" t="s">
        <v>4553</v>
      </c>
      <c r="G465" s="17" t="str">
        <f>HYPERLINK("https://www.washoecounty.gov/assessor/cama/?command=sales&amp;parid=00603129","3940375")</f>
        <v>3940375</v>
      </c>
      <c r="H465" t="s">
        <v>4568</v>
      </c>
      <c r="I465">
        <v>1958</v>
      </c>
      <c r="J465">
        <v>1992</v>
      </c>
      <c r="K465" t="s">
        <v>4554</v>
      </c>
      <c r="L465" t="s">
        <v>4555</v>
      </c>
      <c r="M465" s="2">
        <v>2450</v>
      </c>
      <c r="N465" t="s">
        <v>4556</v>
      </c>
      <c r="O465">
        <v>4</v>
      </c>
      <c r="P465">
        <v>2</v>
      </c>
      <c r="Q465">
        <v>1</v>
      </c>
      <c r="R465" t="s">
        <v>4557</v>
      </c>
      <c r="S465" t="s">
        <v>4135</v>
      </c>
      <c r="T465" t="s">
        <v>4559</v>
      </c>
      <c r="U465" t="s">
        <v>4560</v>
      </c>
      <c r="V465" s="2">
        <v>840</v>
      </c>
      <c r="W465" t="s">
        <v>4571</v>
      </c>
      <c r="X465" s="2">
        <v>2450</v>
      </c>
      <c r="Y465">
        <v>20</v>
      </c>
      <c r="Z465" t="s">
        <v>4561</v>
      </c>
      <c r="AA465" s="3">
        <v>0.17199265956878662</v>
      </c>
      <c r="AB465" t="s">
        <v>7553</v>
      </c>
      <c r="AC465" t="s">
        <v>4562</v>
      </c>
      <c r="AD465" t="s">
        <v>7554</v>
      </c>
      <c r="AE465" t="s">
        <v>4655</v>
      </c>
      <c r="AF465" t="s">
        <v>4563</v>
      </c>
      <c r="AG465" t="s">
        <v>4564</v>
      </c>
      <c r="AH465">
        <v>89503</v>
      </c>
      <c r="AI465" t="s">
        <v>7555</v>
      </c>
      <c r="AJ465" t="s">
        <v>4655</v>
      </c>
      <c r="AK465" t="s">
        <v>7556</v>
      </c>
      <c r="AL465" s="13" t="s">
        <v>2255</v>
      </c>
      <c r="AM465" s="14">
        <v>1</v>
      </c>
      <c r="AN465" s="15" t="s">
        <v>4566</v>
      </c>
    </row>
    <row r="466" spans="1:40" x14ac:dyDescent="0.3">
      <c r="A466" s="10" t="str">
        <f>HYPERLINK("http://www.washoecounty.gov/assessor/cama/?parid=006-031-37&amp;CardNumber=1","006-031-37")</f>
        <v>006-031-37</v>
      </c>
      <c r="B466" t="s">
        <v>4655</v>
      </c>
      <c r="C466" t="s">
        <v>7557</v>
      </c>
      <c r="D466" s="1">
        <v>40534</v>
      </c>
      <c r="E466" s="2">
        <v>171000</v>
      </c>
      <c r="F466" t="s">
        <v>4553</v>
      </c>
      <c r="G466" s="17" t="str">
        <f>HYPERLINK("https://www.washoecounty.gov/assessor/cama/?command=sales&amp;parid=00603137","3956153")</f>
        <v>3956153</v>
      </c>
      <c r="H466" t="s">
        <v>4568</v>
      </c>
      <c r="I466">
        <v>1958</v>
      </c>
      <c r="J466">
        <v>1958</v>
      </c>
      <c r="K466" t="s">
        <v>4554</v>
      </c>
      <c r="L466" t="s">
        <v>4555</v>
      </c>
      <c r="M466" s="2">
        <v>1225</v>
      </c>
      <c r="N466" t="s">
        <v>4556</v>
      </c>
      <c r="O466">
        <v>4</v>
      </c>
      <c r="P466">
        <v>3</v>
      </c>
      <c r="Q466">
        <v>0</v>
      </c>
      <c r="R466" t="s">
        <v>4557</v>
      </c>
      <c r="S466" t="s">
        <v>4574</v>
      </c>
      <c r="T466" t="s">
        <v>4559</v>
      </c>
      <c r="U466" t="s">
        <v>4560</v>
      </c>
      <c r="V466" s="2">
        <v>420</v>
      </c>
      <c r="W466" t="s">
        <v>3149</v>
      </c>
      <c r="X466" s="2">
        <v>1225</v>
      </c>
      <c r="Y466">
        <v>20</v>
      </c>
      <c r="Z466" t="s">
        <v>4561</v>
      </c>
      <c r="AA466" s="3">
        <v>0.17199265956878662</v>
      </c>
      <c r="AB466" t="s">
        <v>7558</v>
      </c>
      <c r="AC466" t="s">
        <v>4562</v>
      </c>
      <c r="AD466" t="s">
        <v>7559</v>
      </c>
      <c r="AE466" t="s">
        <v>4655</v>
      </c>
      <c r="AF466" t="s">
        <v>4563</v>
      </c>
      <c r="AG466" t="s">
        <v>4564</v>
      </c>
      <c r="AH466">
        <v>89503</v>
      </c>
      <c r="AI466" t="s">
        <v>4825</v>
      </c>
      <c r="AJ466" t="s">
        <v>4655</v>
      </c>
      <c r="AK466" t="s">
        <v>7560</v>
      </c>
      <c r="AL466" s="13" t="s">
        <v>2255</v>
      </c>
      <c r="AM466">
        <v>1</v>
      </c>
      <c r="AN466" s="15" t="s">
        <v>4566</v>
      </c>
    </row>
    <row r="467" spans="1:40" x14ac:dyDescent="0.3">
      <c r="A467" s="10" t="str">
        <f>HYPERLINK("http://www.washoecounty.gov/assessor/cama/?parid=006-032-03&amp;CardNumber=1","006-032-03")</f>
        <v>006-032-03</v>
      </c>
      <c r="B467" t="s">
        <v>4655</v>
      </c>
      <c r="C467" t="s">
        <v>7561</v>
      </c>
      <c r="D467" s="1">
        <v>40182</v>
      </c>
      <c r="E467" s="2">
        <v>215000</v>
      </c>
      <c r="F467" t="s">
        <v>4567</v>
      </c>
      <c r="G467" s="17" t="str">
        <f>HYPERLINK("https://www.washoecounty.gov/assessor/cama/?command=sales&amp;parid=00603203","3836214")</f>
        <v>3836214</v>
      </c>
      <c r="H467" t="s">
        <v>4568</v>
      </c>
      <c r="I467">
        <v>1958</v>
      </c>
      <c r="J467">
        <v>1962</v>
      </c>
      <c r="K467" t="s">
        <v>4554</v>
      </c>
      <c r="L467" t="s">
        <v>4569</v>
      </c>
      <c r="M467" s="2">
        <v>1784</v>
      </c>
      <c r="N467" t="s">
        <v>4556</v>
      </c>
      <c r="O467">
        <v>5</v>
      </c>
      <c r="P467">
        <v>3</v>
      </c>
      <c r="Q467">
        <v>0</v>
      </c>
      <c r="R467" t="s">
        <v>4557</v>
      </c>
      <c r="S467" t="s">
        <v>4570</v>
      </c>
      <c r="T467" t="s">
        <v>4559</v>
      </c>
      <c r="U467" t="s">
        <v>4655</v>
      </c>
      <c r="V467" s="2">
        <v>0</v>
      </c>
      <c r="W467" t="s">
        <v>4571</v>
      </c>
      <c r="X467" s="2">
        <v>1196</v>
      </c>
      <c r="Y467">
        <v>20</v>
      </c>
      <c r="Z467" t="s">
        <v>4561</v>
      </c>
      <c r="AA467" s="3">
        <v>0.19100092351436601</v>
      </c>
      <c r="AB467" t="s">
        <v>7562</v>
      </c>
      <c r="AC467" t="s">
        <v>4562</v>
      </c>
      <c r="AD467" t="s">
        <v>7561</v>
      </c>
      <c r="AE467" t="s">
        <v>4655</v>
      </c>
      <c r="AF467" t="s">
        <v>4563</v>
      </c>
      <c r="AG467" t="s">
        <v>4564</v>
      </c>
      <c r="AH467">
        <v>89503</v>
      </c>
      <c r="AI467" t="s">
        <v>7563</v>
      </c>
      <c r="AJ467" t="s">
        <v>4655</v>
      </c>
      <c r="AK467" t="s">
        <v>7564</v>
      </c>
      <c r="AL467" s="13" t="s">
        <v>2255</v>
      </c>
      <c r="AM467">
        <v>1</v>
      </c>
      <c r="AN467" s="15" t="s">
        <v>4566</v>
      </c>
    </row>
    <row r="468" spans="1:40" x14ac:dyDescent="0.3">
      <c r="A468" s="10" t="str">
        <f>HYPERLINK("http://www.washoecounty.gov/assessor/cama/?parid=006-041-12&amp;CardNumber=1","006-041-12")</f>
        <v>006-041-12</v>
      </c>
      <c r="B468" t="s">
        <v>4655</v>
      </c>
      <c r="C468" t="s">
        <v>7565</v>
      </c>
      <c r="D468" s="1">
        <v>40542</v>
      </c>
      <c r="E468" s="2">
        <v>100000</v>
      </c>
      <c r="F468" t="s">
        <v>4567</v>
      </c>
      <c r="G468" s="17" t="str">
        <f>HYPERLINK("https://www.washoecounty.gov/assessor/cama/?command=sales&amp;parid=00604112","3959224")</f>
        <v>3959224</v>
      </c>
      <c r="H468" t="s">
        <v>1482</v>
      </c>
      <c r="I468">
        <v>1955</v>
      </c>
      <c r="J468">
        <v>1961</v>
      </c>
      <c r="K468" t="s">
        <v>4554</v>
      </c>
      <c r="L468" t="s">
        <v>3974</v>
      </c>
      <c r="M468" s="2">
        <v>1350</v>
      </c>
      <c r="N468" t="s">
        <v>4556</v>
      </c>
      <c r="O468">
        <v>3</v>
      </c>
      <c r="P468">
        <v>2</v>
      </c>
      <c r="Q468">
        <v>0</v>
      </c>
      <c r="R468" t="s">
        <v>4557</v>
      </c>
      <c r="S468" t="s">
        <v>4574</v>
      </c>
      <c r="T468" t="s">
        <v>4559</v>
      </c>
      <c r="U468" t="s">
        <v>5631</v>
      </c>
      <c r="V468" s="2">
        <v>324</v>
      </c>
      <c r="W468" t="s">
        <v>4655</v>
      </c>
      <c r="X468" s="2">
        <v>0</v>
      </c>
      <c r="Y468">
        <v>20</v>
      </c>
      <c r="Z468" t="s">
        <v>4561</v>
      </c>
      <c r="AA468" s="3">
        <v>0.13799357414245605</v>
      </c>
      <c r="AB468" t="s">
        <v>7566</v>
      </c>
      <c r="AC468" t="s">
        <v>4562</v>
      </c>
      <c r="AD468" t="s">
        <v>7567</v>
      </c>
      <c r="AE468" t="s">
        <v>4655</v>
      </c>
      <c r="AF468" t="s">
        <v>5257</v>
      </c>
      <c r="AG468" t="s">
        <v>4564</v>
      </c>
      <c r="AH468" t="s">
        <v>680</v>
      </c>
      <c r="AI468" t="s">
        <v>7568</v>
      </c>
      <c r="AJ468" t="s">
        <v>4655</v>
      </c>
      <c r="AK468" t="s">
        <v>7569</v>
      </c>
      <c r="AL468" s="13" t="s">
        <v>2255</v>
      </c>
      <c r="AM468">
        <v>1</v>
      </c>
      <c r="AN468" s="15" t="s">
        <v>4566</v>
      </c>
    </row>
    <row r="469" spans="1:40" x14ac:dyDescent="0.3">
      <c r="A469" s="10" t="str">
        <f>HYPERLINK("http://www.washoecounty.gov/assessor/cama/?parid=006-042-01&amp;CardNumber=1","006-042-01")</f>
        <v>006-042-01</v>
      </c>
      <c r="B469" t="s">
        <v>4655</v>
      </c>
      <c r="C469" t="s">
        <v>7570</v>
      </c>
      <c r="D469" s="1">
        <v>40541</v>
      </c>
      <c r="E469" s="2">
        <v>115000</v>
      </c>
      <c r="F469" t="s">
        <v>4553</v>
      </c>
      <c r="G469" s="17" t="str">
        <f>HYPERLINK("https://www.washoecounty.gov/assessor/cama/?command=sales&amp;parid=00604201","3958486")</f>
        <v>3958486</v>
      </c>
      <c r="H469" t="s">
        <v>3089</v>
      </c>
      <c r="I469">
        <v>1955</v>
      </c>
      <c r="J469">
        <v>1955</v>
      </c>
      <c r="K469" t="s">
        <v>4554</v>
      </c>
      <c r="L469" t="s">
        <v>4555</v>
      </c>
      <c r="M469" s="2">
        <v>1324</v>
      </c>
      <c r="N469" t="s">
        <v>4556</v>
      </c>
      <c r="O469">
        <v>3</v>
      </c>
      <c r="P469">
        <v>2</v>
      </c>
      <c r="Q469">
        <v>0</v>
      </c>
      <c r="R469" t="s">
        <v>4557</v>
      </c>
      <c r="S469" t="s">
        <v>4574</v>
      </c>
      <c r="T469" t="s">
        <v>4559</v>
      </c>
      <c r="U469" t="s">
        <v>4560</v>
      </c>
      <c r="V469" s="2">
        <v>460</v>
      </c>
      <c r="W469" t="s">
        <v>4655</v>
      </c>
      <c r="X469" s="2">
        <v>0</v>
      </c>
      <c r="Y469">
        <v>20</v>
      </c>
      <c r="Z469" t="s">
        <v>4561</v>
      </c>
      <c r="AA469" s="3">
        <v>0.21701101958751701</v>
      </c>
      <c r="AB469" t="s">
        <v>5845</v>
      </c>
      <c r="AC469" t="s">
        <v>4562</v>
      </c>
      <c r="AD469" t="s">
        <v>5844</v>
      </c>
      <c r="AE469" t="s">
        <v>4655</v>
      </c>
      <c r="AF469" t="s">
        <v>4563</v>
      </c>
      <c r="AG469" t="s">
        <v>4564</v>
      </c>
      <c r="AH469">
        <v>89503</v>
      </c>
      <c r="AI469" t="s">
        <v>4903</v>
      </c>
      <c r="AJ469" t="s">
        <v>4655</v>
      </c>
      <c r="AK469" t="s">
        <v>7571</v>
      </c>
      <c r="AL469" s="13" t="s">
        <v>2255</v>
      </c>
      <c r="AM469">
        <v>1</v>
      </c>
      <c r="AN469" s="15" t="s">
        <v>4566</v>
      </c>
    </row>
    <row r="470" spans="1:40" x14ac:dyDescent="0.3">
      <c r="A470" s="10" t="str">
        <f>HYPERLINK("http://www.washoecounty.gov/assessor/cama/?parid=006-062-01&amp;CardNumber=1","006-062-01")</f>
        <v>006-062-01</v>
      </c>
      <c r="B470" t="s">
        <v>4655</v>
      </c>
      <c r="C470" t="s">
        <v>7572</v>
      </c>
      <c r="D470" s="1">
        <v>40403</v>
      </c>
      <c r="E470" s="2">
        <v>140000</v>
      </c>
      <c r="F470" t="s">
        <v>4553</v>
      </c>
      <c r="G470" s="17" t="str">
        <f>HYPERLINK("https://www.washoecounty.gov/assessor/cama/?command=sales&amp;parid=00606201","3911553")</f>
        <v>3911553</v>
      </c>
      <c r="H470" t="s">
        <v>2465</v>
      </c>
      <c r="I470">
        <v>1952</v>
      </c>
      <c r="J470">
        <v>1952</v>
      </c>
      <c r="K470" t="s">
        <v>4554</v>
      </c>
      <c r="L470" t="s">
        <v>4555</v>
      </c>
      <c r="M470" s="2">
        <v>1254</v>
      </c>
      <c r="N470" t="s">
        <v>4556</v>
      </c>
      <c r="O470">
        <v>2</v>
      </c>
      <c r="P470">
        <v>2</v>
      </c>
      <c r="Q470">
        <v>0</v>
      </c>
      <c r="R470" t="s">
        <v>4557</v>
      </c>
      <c r="S470" t="s">
        <v>4135</v>
      </c>
      <c r="T470" t="s">
        <v>4559</v>
      </c>
      <c r="U470" t="s">
        <v>4560</v>
      </c>
      <c r="V470" s="2">
        <v>442</v>
      </c>
      <c r="W470" t="s">
        <v>4655</v>
      </c>
      <c r="X470" s="2">
        <v>0</v>
      </c>
      <c r="Y470">
        <v>20</v>
      </c>
      <c r="Z470" t="s">
        <v>4561</v>
      </c>
      <c r="AA470" s="3">
        <v>0.18999081850051899</v>
      </c>
      <c r="AB470" t="s">
        <v>7573</v>
      </c>
      <c r="AC470" t="s">
        <v>4575</v>
      </c>
      <c r="AD470" t="s">
        <v>7574</v>
      </c>
      <c r="AE470" t="s">
        <v>4655</v>
      </c>
      <c r="AF470" t="s">
        <v>4563</v>
      </c>
      <c r="AG470" t="s">
        <v>4564</v>
      </c>
      <c r="AH470" t="s">
        <v>5197</v>
      </c>
      <c r="AI470" t="s">
        <v>7575</v>
      </c>
      <c r="AJ470" t="s">
        <v>4655</v>
      </c>
      <c r="AK470" t="s">
        <v>7576</v>
      </c>
      <c r="AL470" s="13" t="s">
        <v>2255</v>
      </c>
      <c r="AM470" s="14">
        <v>1</v>
      </c>
      <c r="AN470" s="15" t="s">
        <v>4566</v>
      </c>
    </row>
    <row r="471" spans="1:40" x14ac:dyDescent="0.3">
      <c r="A471" s="10" t="str">
        <f>HYPERLINK("http://www.washoecounty.gov/assessor/cama/?parid=006-074-16&amp;CardNumber=1","006-074-16")</f>
        <v>006-074-16</v>
      </c>
      <c r="B471" t="s">
        <v>4655</v>
      </c>
      <c r="C471" t="s">
        <v>7577</v>
      </c>
      <c r="D471" s="1">
        <v>40525</v>
      </c>
      <c r="E471" s="2">
        <v>130000</v>
      </c>
      <c r="F471" t="s">
        <v>4553</v>
      </c>
      <c r="G471" s="17" t="str">
        <f>HYPERLINK("https://www.washoecounty.gov/assessor/cama/?command=sales&amp;parid=00607416","3952748")</f>
        <v>3952748</v>
      </c>
      <c r="H471" t="s">
        <v>1115</v>
      </c>
      <c r="I471">
        <v>1947</v>
      </c>
      <c r="J471">
        <v>1952</v>
      </c>
      <c r="K471" t="s">
        <v>4554</v>
      </c>
      <c r="L471" t="s">
        <v>4555</v>
      </c>
      <c r="M471" s="2">
        <v>980</v>
      </c>
      <c r="N471" t="s">
        <v>4556</v>
      </c>
      <c r="O471">
        <v>2</v>
      </c>
      <c r="P471">
        <v>2</v>
      </c>
      <c r="Q471">
        <v>0</v>
      </c>
      <c r="R471" t="s">
        <v>4134</v>
      </c>
      <c r="S471" t="s">
        <v>4570</v>
      </c>
      <c r="T471" t="s">
        <v>4559</v>
      </c>
      <c r="U471" t="s">
        <v>4560</v>
      </c>
      <c r="V471" s="2">
        <v>240</v>
      </c>
      <c r="W471" t="s">
        <v>4655</v>
      </c>
      <c r="X471" s="2">
        <v>0</v>
      </c>
      <c r="Y471">
        <v>20</v>
      </c>
      <c r="Z471" t="s">
        <v>4561</v>
      </c>
      <c r="AA471" s="3">
        <v>0.23000459372997301</v>
      </c>
      <c r="AB471" t="s">
        <v>7578</v>
      </c>
      <c r="AC471" t="s">
        <v>4562</v>
      </c>
      <c r="AD471" t="s">
        <v>7577</v>
      </c>
      <c r="AE471" t="s">
        <v>4655</v>
      </c>
      <c r="AF471" t="s">
        <v>4563</v>
      </c>
      <c r="AG471" t="s">
        <v>4564</v>
      </c>
      <c r="AH471">
        <v>89503</v>
      </c>
      <c r="AI471" t="s">
        <v>4565</v>
      </c>
      <c r="AJ471" t="s">
        <v>4655</v>
      </c>
      <c r="AK471" t="s">
        <v>7579</v>
      </c>
      <c r="AL471" s="13" t="s">
        <v>2257</v>
      </c>
      <c r="AM471" s="14">
        <v>1</v>
      </c>
      <c r="AN471" s="15" t="s">
        <v>4566</v>
      </c>
    </row>
    <row r="472" spans="1:40" x14ac:dyDescent="0.3">
      <c r="A472" s="10" t="str">
        <f>HYPERLINK("http://www.washoecounty.gov/assessor/cama/?parid=006-074-28&amp;CardNumber=1","006-074-28")</f>
        <v>006-074-28</v>
      </c>
      <c r="B472" t="s">
        <v>4655</v>
      </c>
      <c r="C472" t="s">
        <v>7580</v>
      </c>
      <c r="D472" s="1">
        <v>40344</v>
      </c>
      <c r="E472" s="2">
        <v>133000</v>
      </c>
      <c r="F472" t="s">
        <v>4567</v>
      </c>
      <c r="G472" s="17" t="str">
        <f>HYPERLINK("https://www.washoecounty.gov/assessor/cama/?command=sales&amp;parid=00607428","3891777")</f>
        <v>3891777</v>
      </c>
      <c r="H472" t="s">
        <v>4761</v>
      </c>
      <c r="I472">
        <v>1947</v>
      </c>
      <c r="J472">
        <v>1947</v>
      </c>
      <c r="K472" t="s">
        <v>4554</v>
      </c>
      <c r="L472" t="s">
        <v>4555</v>
      </c>
      <c r="M472" s="2">
        <v>888</v>
      </c>
      <c r="N472" t="s">
        <v>4556</v>
      </c>
      <c r="O472">
        <v>2</v>
      </c>
      <c r="P472">
        <v>1</v>
      </c>
      <c r="Q472">
        <v>0</v>
      </c>
      <c r="R472" t="s">
        <v>4134</v>
      </c>
      <c r="S472" t="s">
        <v>4570</v>
      </c>
      <c r="T472" t="s">
        <v>4559</v>
      </c>
      <c r="U472" t="s">
        <v>4560</v>
      </c>
      <c r="V472" s="2">
        <v>220</v>
      </c>
      <c r="W472" t="s">
        <v>4655</v>
      </c>
      <c r="X472" s="2">
        <v>0</v>
      </c>
      <c r="Y472">
        <v>20</v>
      </c>
      <c r="Z472" t="s">
        <v>4561</v>
      </c>
      <c r="AA472" s="3">
        <v>0.15000000596046401</v>
      </c>
      <c r="AB472" t="s">
        <v>7581</v>
      </c>
      <c r="AC472" t="s">
        <v>4562</v>
      </c>
      <c r="AD472" t="s">
        <v>7582</v>
      </c>
      <c r="AE472" t="s">
        <v>4655</v>
      </c>
      <c r="AF472" t="s">
        <v>4563</v>
      </c>
      <c r="AG472" t="s">
        <v>4564</v>
      </c>
      <c r="AH472">
        <v>89503</v>
      </c>
      <c r="AI472" t="s">
        <v>7583</v>
      </c>
      <c r="AJ472" t="s">
        <v>4655</v>
      </c>
      <c r="AK472" t="s">
        <v>7584</v>
      </c>
      <c r="AL472" s="13" t="s">
        <v>2257</v>
      </c>
      <c r="AM472">
        <v>1</v>
      </c>
      <c r="AN472" s="15" t="s">
        <v>4566</v>
      </c>
    </row>
    <row r="473" spans="1:40" x14ac:dyDescent="0.3">
      <c r="A473" s="10" t="str">
        <f>HYPERLINK("http://www.washoecounty.gov/assessor/cama/?parid=006-092-15&amp;CardNumber=1","006-092-15")</f>
        <v>006-092-15</v>
      </c>
      <c r="B473" t="s">
        <v>4655</v>
      </c>
      <c r="C473" t="s">
        <v>7585</v>
      </c>
      <c r="D473" s="1">
        <v>40357</v>
      </c>
      <c r="E473" s="2">
        <v>125000</v>
      </c>
      <c r="F473" t="s">
        <v>4567</v>
      </c>
      <c r="G473" s="17" t="str">
        <f>HYPERLINK("https://www.washoecounty.gov/assessor/cama/?command=sales&amp;parid=00609215","3896115")</f>
        <v>3896115</v>
      </c>
      <c r="H473" t="s">
        <v>7586</v>
      </c>
      <c r="I473">
        <v>1960</v>
      </c>
      <c r="J473">
        <v>1962</v>
      </c>
      <c r="K473" t="s">
        <v>4554</v>
      </c>
      <c r="L473" t="s">
        <v>4555</v>
      </c>
      <c r="M473" s="2">
        <v>1413</v>
      </c>
      <c r="N473" t="s">
        <v>4556</v>
      </c>
      <c r="O473">
        <v>3</v>
      </c>
      <c r="P473">
        <v>1</v>
      </c>
      <c r="Q473">
        <v>1</v>
      </c>
      <c r="R473" t="s">
        <v>4557</v>
      </c>
      <c r="S473" t="s">
        <v>3148</v>
      </c>
      <c r="T473" t="s">
        <v>4559</v>
      </c>
      <c r="U473" t="s">
        <v>4655</v>
      </c>
      <c r="V473" s="2">
        <v>0</v>
      </c>
      <c r="W473" t="s">
        <v>3201</v>
      </c>
      <c r="X473" s="2">
        <v>483</v>
      </c>
      <c r="Y473">
        <v>20</v>
      </c>
      <c r="Z473" t="s">
        <v>4561</v>
      </c>
      <c r="AA473" s="3">
        <v>0.15500459074974099</v>
      </c>
      <c r="AB473" t="s">
        <v>7587</v>
      </c>
      <c r="AC473" t="s">
        <v>4562</v>
      </c>
      <c r="AD473" t="s">
        <v>7588</v>
      </c>
      <c r="AE473" t="s">
        <v>4655</v>
      </c>
      <c r="AF473" t="s">
        <v>7589</v>
      </c>
      <c r="AG473" t="s">
        <v>1008</v>
      </c>
      <c r="AH473">
        <v>9468</v>
      </c>
      <c r="AI473" t="s">
        <v>7590</v>
      </c>
      <c r="AJ473" t="s">
        <v>4655</v>
      </c>
      <c r="AK473" t="s">
        <v>7591</v>
      </c>
      <c r="AL473" s="13" t="s">
        <v>2255</v>
      </c>
      <c r="AM473" s="14">
        <v>1</v>
      </c>
      <c r="AN473" s="15" t="s">
        <v>4566</v>
      </c>
    </row>
    <row r="474" spans="1:40" x14ac:dyDescent="0.3">
      <c r="A474" s="10" t="str">
        <f>HYPERLINK("http://www.washoecounty.gov/assessor/cama/?parid=006-092-24&amp;CardNumber=1","006-092-24")</f>
        <v>006-092-24</v>
      </c>
      <c r="B474" t="s">
        <v>4655</v>
      </c>
      <c r="C474" t="s">
        <v>7592</v>
      </c>
      <c r="D474" s="1">
        <v>40360</v>
      </c>
      <c r="E474" s="2">
        <v>93000</v>
      </c>
      <c r="F474" t="s">
        <v>4567</v>
      </c>
      <c r="G474" s="17" t="str">
        <f>HYPERLINK("https://www.washoecounty.gov/assessor/cama/?command=sales&amp;parid=00609224","3897804")</f>
        <v>3897804</v>
      </c>
      <c r="H474" t="s">
        <v>7593</v>
      </c>
      <c r="I474">
        <v>1960</v>
      </c>
      <c r="J474">
        <v>1960</v>
      </c>
      <c r="K474" t="s">
        <v>4554</v>
      </c>
      <c r="L474" t="s">
        <v>4555</v>
      </c>
      <c r="M474" s="2">
        <v>1134</v>
      </c>
      <c r="N474" t="s">
        <v>4556</v>
      </c>
      <c r="O474">
        <v>3</v>
      </c>
      <c r="P474">
        <v>1</v>
      </c>
      <c r="Q474">
        <v>1</v>
      </c>
      <c r="R474" t="s">
        <v>4557</v>
      </c>
      <c r="S474" t="s">
        <v>3148</v>
      </c>
      <c r="T474" t="s">
        <v>4559</v>
      </c>
      <c r="U474" t="s">
        <v>4560</v>
      </c>
      <c r="V474" s="2">
        <v>440</v>
      </c>
      <c r="W474" t="s">
        <v>4655</v>
      </c>
      <c r="X474" s="2">
        <v>0</v>
      </c>
      <c r="Y474">
        <v>20</v>
      </c>
      <c r="Z474" t="s">
        <v>4561</v>
      </c>
      <c r="AA474" s="3">
        <v>0.17499999701976801</v>
      </c>
      <c r="AB474" t="s">
        <v>7594</v>
      </c>
      <c r="AC474" t="s">
        <v>4562</v>
      </c>
      <c r="AD474" t="s">
        <v>7595</v>
      </c>
      <c r="AE474" t="s">
        <v>4655</v>
      </c>
      <c r="AF474" t="s">
        <v>5151</v>
      </c>
      <c r="AG474" t="s">
        <v>4564</v>
      </c>
      <c r="AH474">
        <v>89701</v>
      </c>
      <c r="AI474" t="s">
        <v>7596</v>
      </c>
      <c r="AJ474" t="s">
        <v>4655</v>
      </c>
      <c r="AK474" t="s">
        <v>7597</v>
      </c>
      <c r="AL474" s="13" t="s">
        <v>2255</v>
      </c>
      <c r="AM474">
        <v>1</v>
      </c>
      <c r="AN474" s="15" t="s">
        <v>4566</v>
      </c>
    </row>
    <row r="475" spans="1:40" x14ac:dyDescent="0.3">
      <c r="A475" s="10" t="str">
        <f>HYPERLINK("http://www.washoecounty.gov/assessor/cama/?parid=006-093-05&amp;CardNumber=1","006-093-05")</f>
        <v>006-093-05</v>
      </c>
      <c r="B475" t="s">
        <v>4655</v>
      </c>
      <c r="C475" t="s">
        <v>7598</v>
      </c>
      <c r="D475" s="1">
        <v>40283</v>
      </c>
      <c r="E475" s="2">
        <v>147000</v>
      </c>
      <c r="F475" t="s">
        <v>4567</v>
      </c>
      <c r="G475" s="17" t="str">
        <f>HYPERLINK("https://www.washoecounty.gov/assessor/cama/?command=sales&amp;parid=00609305","3871501")</f>
        <v>3871501</v>
      </c>
      <c r="H475" t="s">
        <v>2498</v>
      </c>
      <c r="I475">
        <v>1960</v>
      </c>
      <c r="J475">
        <v>1967</v>
      </c>
      <c r="K475" t="s">
        <v>4554</v>
      </c>
      <c r="L475" t="s">
        <v>4555</v>
      </c>
      <c r="M475" s="2">
        <v>1628</v>
      </c>
      <c r="N475" t="s">
        <v>4556</v>
      </c>
      <c r="O475">
        <v>3</v>
      </c>
      <c r="P475">
        <v>1</v>
      </c>
      <c r="Q475">
        <v>1</v>
      </c>
      <c r="R475" t="s">
        <v>5281</v>
      </c>
      <c r="S475" t="s">
        <v>3148</v>
      </c>
      <c r="T475" t="s">
        <v>4559</v>
      </c>
      <c r="U475" t="s">
        <v>4560</v>
      </c>
      <c r="V475" s="2">
        <v>440</v>
      </c>
      <c r="W475" t="s">
        <v>4655</v>
      </c>
      <c r="X475" s="2">
        <v>0</v>
      </c>
      <c r="Y475">
        <v>20</v>
      </c>
      <c r="Z475" t="s">
        <v>4561</v>
      </c>
      <c r="AA475" s="3">
        <v>0.14898990094661699</v>
      </c>
      <c r="AB475" t="s">
        <v>7599</v>
      </c>
      <c r="AC475" t="s">
        <v>4562</v>
      </c>
      <c r="AD475" t="s">
        <v>7600</v>
      </c>
      <c r="AE475" t="s">
        <v>4655</v>
      </c>
      <c r="AF475" t="s">
        <v>4563</v>
      </c>
      <c r="AG475" t="s">
        <v>4564</v>
      </c>
      <c r="AH475">
        <v>89503</v>
      </c>
      <c r="AI475" t="s">
        <v>7601</v>
      </c>
      <c r="AJ475" t="s">
        <v>4655</v>
      </c>
      <c r="AK475" t="s">
        <v>7602</v>
      </c>
      <c r="AL475" s="13" t="s">
        <v>2255</v>
      </c>
      <c r="AM475" s="14">
        <v>1</v>
      </c>
      <c r="AN475" s="15" t="s">
        <v>4566</v>
      </c>
    </row>
    <row r="476" spans="1:40" x14ac:dyDescent="0.3">
      <c r="A476" s="10" t="str">
        <f>HYPERLINK("http://www.washoecounty.gov/assessor/cama/?parid=006-093-08&amp;CardNumber=1","006-093-08")</f>
        <v>006-093-08</v>
      </c>
      <c r="B476" t="s">
        <v>4655</v>
      </c>
      <c r="C476" t="s">
        <v>7603</v>
      </c>
      <c r="D476" s="1">
        <v>40389</v>
      </c>
      <c r="E476" s="2">
        <v>120820</v>
      </c>
      <c r="F476" t="s">
        <v>4567</v>
      </c>
      <c r="G476" s="17" t="str">
        <f>HYPERLINK("https://www.washoecounty.gov/assessor/cama/?command=sales&amp;parid=00609308","3907454")</f>
        <v>3907454</v>
      </c>
      <c r="H476" t="s">
        <v>7604</v>
      </c>
      <c r="I476">
        <v>1960</v>
      </c>
      <c r="J476">
        <v>1960</v>
      </c>
      <c r="K476" t="s">
        <v>4554</v>
      </c>
      <c r="L476" t="s">
        <v>4555</v>
      </c>
      <c r="M476" s="2">
        <v>1134</v>
      </c>
      <c r="N476" t="s">
        <v>4556</v>
      </c>
      <c r="O476">
        <v>3</v>
      </c>
      <c r="P476">
        <v>1</v>
      </c>
      <c r="Q476">
        <v>1</v>
      </c>
      <c r="R476" t="s">
        <v>5281</v>
      </c>
      <c r="S476" t="s">
        <v>3148</v>
      </c>
      <c r="T476" t="s">
        <v>4559</v>
      </c>
      <c r="U476" t="s">
        <v>4560</v>
      </c>
      <c r="V476" s="2">
        <v>440</v>
      </c>
      <c r="W476" t="s">
        <v>4655</v>
      </c>
      <c r="X476" s="2">
        <v>0</v>
      </c>
      <c r="Y476">
        <v>20</v>
      </c>
      <c r="Z476" t="s">
        <v>4561</v>
      </c>
      <c r="AA476" s="3">
        <v>0.14898990094661699</v>
      </c>
      <c r="AB476" t="s">
        <v>7605</v>
      </c>
      <c r="AC476" t="s">
        <v>4562</v>
      </c>
      <c r="AD476" t="s">
        <v>7603</v>
      </c>
      <c r="AE476" t="s">
        <v>4655</v>
      </c>
      <c r="AF476" t="s">
        <v>4563</v>
      </c>
      <c r="AG476" t="s">
        <v>4564</v>
      </c>
      <c r="AH476">
        <v>89503</v>
      </c>
      <c r="AI476" t="s">
        <v>7606</v>
      </c>
      <c r="AJ476" t="s">
        <v>4655</v>
      </c>
      <c r="AK476" t="s">
        <v>7607</v>
      </c>
      <c r="AL476" s="13" t="s">
        <v>2255</v>
      </c>
      <c r="AM476">
        <v>1</v>
      </c>
      <c r="AN476" s="15" t="s">
        <v>4566</v>
      </c>
    </row>
    <row r="477" spans="1:40" x14ac:dyDescent="0.3">
      <c r="A477" s="10" t="str">
        <f>HYPERLINK("http://www.washoecounty.gov/assessor/cama/?parid=006-093-21&amp;CardNumber=1","006-093-21")</f>
        <v>006-093-21</v>
      </c>
      <c r="B477" t="s">
        <v>4655</v>
      </c>
      <c r="C477" t="s">
        <v>7608</v>
      </c>
      <c r="D477" s="1">
        <v>40522</v>
      </c>
      <c r="E477" s="2">
        <v>114000</v>
      </c>
      <c r="F477" t="s">
        <v>4567</v>
      </c>
      <c r="G477" s="17" t="str">
        <f>HYPERLINK("https://www.washoecounty.gov/assessor/cama/?command=sales&amp;parid=00609321","3952046")</f>
        <v>3952046</v>
      </c>
      <c r="H477" t="s">
        <v>5250</v>
      </c>
      <c r="I477">
        <v>1961</v>
      </c>
      <c r="J477">
        <v>1961</v>
      </c>
      <c r="K477" t="s">
        <v>4554</v>
      </c>
      <c r="L477" t="s">
        <v>4555</v>
      </c>
      <c r="M477" s="2">
        <v>1240</v>
      </c>
      <c r="N477" t="s">
        <v>4556</v>
      </c>
      <c r="O477">
        <v>3</v>
      </c>
      <c r="P477">
        <v>2</v>
      </c>
      <c r="Q477">
        <v>0</v>
      </c>
      <c r="R477" t="s">
        <v>4557</v>
      </c>
      <c r="S477" t="s">
        <v>4135</v>
      </c>
      <c r="T477" t="s">
        <v>4559</v>
      </c>
      <c r="U477" t="s">
        <v>4560</v>
      </c>
      <c r="V477" s="2">
        <v>440</v>
      </c>
      <c r="W477" t="s">
        <v>4655</v>
      </c>
      <c r="X477" s="2">
        <v>0</v>
      </c>
      <c r="Y477">
        <v>20</v>
      </c>
      <c r="Z477" t="s">
        <v>4561</v>
      </c>
      <c r="AA477" s="3">
        <v>0.13900367915630299</v>
      </c>
      <c r="AB477" t="s">
        <v>7609</v>
      </c>
      <c r="AC477" t="s">
        <v>4575</v>
      </c>
      <c r="AD477" t="s">
        <v>7608</v>
      </c>
      <c r="AE477" t="s">
        <v>4655</v>
      </c>
      <c r="AF477" t="s">
        <v>4563</v>
      </c>
      <c r="AG477" t="s">
        <v>4564</v>
      </c>
      <c r="AH477" t="s">
        <v>1147</v>
      </c>
      <c r="AI477" t="s">
        <v>7610</v>
      </c>
      <c r="AJ477" t="s">
        <v>4655</v>
      </c>
      <c r="AK477" t="s">
        <v>7611</v>
      </c>
      <c r="AL477" s="13" t="s">
        <v>2255</v>
      </c>
      <c r="AM477" s="14">
        <v>1</v>
      </c>
      <c r="AN477" s="15" t="s">
        <v>4566</v>
      </c>
    </row>
    <row r="478" spans="1:40" x14ac:dyDescent="0.3">
      <c r="A478" s="10" t="str">
        <f>HYPERLINK("http://www.washoecounty.gov/assessor/cama/?parid=006-093-28&amp;CardNumber=1","006-093-28")</f>
        <v>006-093-28</v>
      </c>
      <c r="B478" t="s">
        <v>4655</v>
      </c>
      <c r="C478" t="s">
        <v>7612</v>
      </c>
      <c r="D478" s="1">
        <v>40301</v>
      </c>
      <c r="E478" s="2">
        <v>130000</v>
      </c>
      <c r="F478" t="s">
        <v>4567</v>
      </c>
      <c r="G478" s="17" t="str">
        <f>HYPERLINK("https://www.washoecounty.gov/assessor/cama/?command=sales&amp;parid=00609328","3877440")</f>
        <v>3877440</v>
      </c>
      <c r="H478" t="s">
        <v>7613</v>
      </c>
      <c r="I478">
        <v>1960</v>
      </c>
      <c r="J478">
        <v>1960</v>
      </c>
      <c r="K478" t="s">
        <v>4554</v>
      </c>
      <c r="L478" t="s">
        <v>4555</v>
      </c>
      <c r="M478" s="2">
        <v>1264</v>
      </c>
      <c r="N478" t="s">
        <v>4556</v>
      </c>
      <c r="O478">
        <v>3</v>
      </c>
      <c r="P478">
        <v>2</v>
      </c>
      <c r="Q478">
        <v>0</v>
      </c>
      <c r="R478" t="s">
        <v>4557</v>
      </c>
      <c r="S478" t="s">
        <v>4135</v>
      </c>
      <c r="T478" t="s">
        <v>4559</v>
      </c>
      <c r="U478" t="s">
        <v>4560</v>
      </c>
      <c r="V478" s="2">
        <v>440</v>
      </c>
      <c r="W478" t="s">
        <v>4655</v>
      </c>
      <c r="X478" s="2">
        <v>0</v>
      </c>
      <c r="Y478">
        <v>20</v>
      </c>
      <c r="Z478" t="s">
        <v>4561</v>
      </c>
      <c r="AA478" s="3">
        <v>0.20399449765682201</v>
      </c>
      <c r="AB478" t="s">
        <v>7614</v>
      </c>
      <c r="AC478" t="s">
        <v>4562</v>
      </c>
      <c r="AD478" t="s">
        <v>7612</v>
      </c>
      <c r="AE478" t="s">
        <v>4655</v>
      </c>
      <c r="AF478" t="s">
        <v>4563</v>
      </c>
      <c r="AG478" t="s">
        <v>4564</v>
      </c>
      <c r="AH478">
        <v>89503</v>
      </c>
      <c r="AI478" t="s">
        <v>7615</v>
      </c>
      <c r="AJ478" t="s">
        <v>4655</v>
      </c>
      <c r="AK478" t="s">
        <v>7616</v>
      </c>
      <c r="AL478" s="13" t="s">
        <v>2255</v>
      </c>
      <c r="AM478">
        <v>1</v>
      </c>
      <c r="AN478" s="15" t="s">
        <v>4566</v>
      </c>
    </row>
    <row r="479" spans="1:40" x14ac:dyDescent="0.3">
      <c r="A479" s="10" t="str">
        <f>HYPERLINK("http://www.washoecounty.gov/assessor/cama/?parid=006-102-13&amp;CardNumber=1","006-102-13")</f>
        <v>006-102-13</v>
      </c>
      <c r="B479" t="s">
        <v>4655</v>
      </c>
      <c r="C479" t="s">
        <v>7617</v>
      </c>
      <c r="D479" s="1">
        <v>40358</v>
      </c>
      <c r="E479" s="2">
        <v>125500</v>
      </c>
      <c r="F479" t="s">
        <v>4553</v>
      </c>
      <c r="G479" s="17" t="str">
        <f>HYPERLINK("https://www.washoecounty.gov/assessor/cama/?command=sales&amp;parid=00610213","3896325")</f>
        <v>3896325</v>
      </c>
      <c r="H479" t="s">
        <v>7618</v>
      </c>
      <c r="I479">
        <v>1963</v>
      </c>
      <c r="J479">
        <v>1963</v>
      </c>
      <c r="K479" t="s">
        <v>4554</v>
      </c>
      <c r="L479" t="s">
        <v>4569</v>
      </c>
      <c r="M479" s="2">
        <v>1380</v>
      </c>
      <c r="N479" t="s">
        <v>4556</v>
      </c>
      <c r="O479">
        <v>3</v>
      </c>
      <c r="P479">
        <v>3</v>
      </c>
      <c r="Q479">
        <v>0</v>
      </c>
      <c r="R479" t="s">
        <v>4557</v>
      </c>
      <c r="S479" t="s">
        <v>4558</v>
      </c>
      <c r="T479" t="s">
        <v>4559</v>
      </c>
      <c r="U479" t="s">
        <v>4655</v>
      </c>
      <c r="V479" s="2">
        <v>0</v>
      </c>
      <c r="W479" t="s">
        <v>4571</v>
      </c>
      <c r="X479" s="2">
        <v>1288</v>
      </c>
      <c r="Y479">
        <v>20</v>
      </c>
      <c r="Z479" t="s">
        <v>4561</v>
      </c>
      <c r="AA479" s="3">
        <v>0.14600551128387501</v>
      </c>
      <c r="AB479" t="s">
        <v>7619</v>
      </c>
      <c r="AC479" t="s">
        <v>4562</v>
      </c>
      <c r="AD479" t="s">
        <v>7620</v>
      </c>
      <c r="AE479" t="s">
        <v>4655</v>
      </c>
      <c r="AF479" t="s">
        <v>4563</v>
      </c>
      <c r="AG479" t="s">
        <v>4564</v>
      </c>
      <c r="AH479">
        <v>89512</v>
      </c>
      <c r="AI479" t="s">
        <v>7621</v>
      </c>
      <c r="AJ479" t="s">
        <v>4655</v>
      </c>
      <c r="AK479" t="s">
        <v>7622</v>
      </c>
      <c r="AL479" s="13" t="s">
        <v>2255</v>
      </c>
      <c r="AM479">
        <v>1</v>
      </c>
      <c r="AN479" s="15" t="s">
        <v>4566</v>
      </c>
    </row>
    <row r="480" spans="1:40" x14ac:dyDescent="0.3">
      <c r="A480" s="10" t="str">
        <f>HYPERLINK("http://www.washoecounty.gov/assessor/cama/?parid=006-103-01&amp;CardNumber=1","006-103-01")</f>
        <v>006-103-01</v>
      </c>
      <c r="B480" t="s">
        <v>4655</v>
      </c>
      <c r="C480" t="s">
        <v>7623</v>
      </c>
      <c r="D480" s="1">
        <v>40357</v>
      </c>
      <c r="E480" s="2">
        <v>119000</v>
      </c>
      <c r="F480" t="s">
        <v>4567</v>
      </c>
      <c r="G480" s="17" t="str">
        <f>HYPERLINK("https://www.washoecounty.gov/assessor/cama/?command=sales&amp;parid=00610301","3896087")</f>
        <v>3896087</v>
      </c>
      <c r="H480" t="s">
        <v>784</v>
      </c>
      <c r="I480">
        <v>1959</v>
      </c>
      <c r="J480">
        <v>1959</v>
      </c>
      <c r="K480" t="s">
        <v>4554</v>
      </c>
      <c r="L480" t="s">
        <v>4555</v>
      </c>
      <c r="M480" s="2">
        <v>1134</v>
      </c>
      <c r="N480" t="s">
        <v>4556</v>
      </c>
      <c r="O480">
        <v>3</v>
      </c>
      <c r="P480">
        <v>1</v>
      </c>
      <c r="Q480">
        <v>1</v>
      </c>
      <c r="R480" t="s">
        <v>5281</v>
      </c>
      <c r="S480" t="s">
        <v>4558</v>
      </c>
      <c r="T480" t="s">
        <v>4559</v>
      </c>
      <c r="U480" t="s">
        <v>4560</v>
      </c>
      <c r="V480" s="2">
        <v>440</v>
      </c>
      <c r="W480" t="s">
        <v>4655</v>
      </c>
      <c r="X480" s="2">
        <v>0</v>
      </c>
      <c r="Y480">
        <v>20</v>
      </c>
      <c r="Z480" t="s">
        <v>4561</v>
      </c>
      <c r="AA480" s="3">
        <v>0.18799357116222401</v>
      </c>
      <c r="AB480" t="s">
        <v>7624</v>
      </c>
      <c r="AC480" t="s">
        <v>4562</v>
      </c>
      <c r="AD480" t="s">
        <v>7623</v>
      </c>
      <c r="AE480" t="s">
        <v>4655</v>
      </c>
      <c r="AF480" t="s">
        <v>4563</v>
      </c>
      <c r="AG480" t="s">
        <v>4564</v>
      </c>
      <c r="AH480">
        <v>89503</v>
      </c>
      <c r="AI480" t="s">
        <v>7625</v>
      </c>
      <c r="AJ480" t="s">
        <v>4655</v>
      </c>
      <c r="AK480" t="s">
        <v>7626</v>
      </c>
      <c r="AL480" s="13" t="s">
        <v>2255</v>
      </c>
      <c r="AM480">
        <v>1</v>
      </c>
      <c r="AN480" s="15" t="s">
        <v>4566</v>
      </c>
    </row>
    <row r="481" spans="1:40" x14ac:dyDescent="0.3">
      <c r="A481" s="10" t="str">
        <f>HYPERLINK("http://www.washoecounty.gov/assessor/cama/?parid=006-121-10&amp;CardNumber=1","006-121-10")</f>
        <v>006-121-10</v>
      </c>
      <c r="B481" t="s">
        <v>4655</v>
      </c>
      <c r="C481" t="s">
        <v>7627</v>
      </c>
      <c r="D481" s="1">
        <v>40395</v>
      </c>
      <c r="E481" s="2">
        <v>150000</v>
      </c>
      <c r="F481" t="s">
        <v>4553</v>
      </c>
      <c r="G481" s="17" t="str">
        <f>HYPERLINK("https://www.washoecounty.gov/assessor/cama/?command=sales&amp;parid=00612110","3909055")</f>
        <v>3909055</v>
      </c>
      <c r="H481" t="s">
        <v>918</v>
      </c>
      <c r="I481">
        <v>1947</v>
      </c>
      <c r="J481">
        <v>1947</v>
      </c>
      <c r="K481" t="s">
        <v>4554</v>
      </c>
      <c r="L481" t="s">
        <v>3886</v>
      </c>
      <c r="M481" s="2">
        <v>1193</v>
      </c>
      <c r="N481" t="s">
        <v>4556</v>
      </c>
      <c r="O481">
        <v>3</v>
      </c>
      <c r="P481">
        <v>1</v>
      </c>
      <c r="Q481">
        <v>0</v>
      </c>
      <c r="R481" t="s">
        <v>4557</v>
      </c>
      <c r="S481" t="s">
        <v>4570</v>
      </c>
      <c r="T481" t="s">
        <v>4559</v>
      </c>
      <c r="U481" t="s">
        <v>4560</v>
      </c>
      <c r="V481" s="2">
        <v>190</v>
      </c>
      <c r="W481" t="s">
        <v>4655</v>
      </c>
      <c r="X481" s="2">
        <v>0</v>
      </c>
      <c r="Y481">
        <v>20</v>
      </c>
      <c r="Z481" t="s">
        <v>4561</v>
      </c>
      <c r="AA481" s="3">
        <v>0.14898990094661699</v>
      </c>
      <c r="AB481" t="s">
        <v>7628</v>
      </c>
      <c r="AC481" t="s">
        <v>4562</v>
      </c>
      <c r="AD481" t="s">
        <v>7627</v>
      </c>
      <c r="AE481" t="s">
        <v>4655</v>
      </c>
      <c r="AF481" t="s">
        <v>4563</v>
      </c>
      <c r="AG481" t="s">
        <v>4564</v>
      </c>
      <c r="AH481">
        <v>89506</v>
      </c>
      <c r="AI481" t="s">
        <v>4848</v>
      </c>
      <c r="AJ481" t="s">
        <v>4655</v>
      </c>
      <c r="AK481" t="s">
        <v>7629</v>
      </c>
      <c r="AL481" s="13" t="s">
        <v>2257</v>
      </c>
      <c r="AM481" s="14">
        <v>1</v>
      </c>
      <c r="AN481" s="15" t="s">
        <v>2273</v>
      </c>
    </row>
    <row r="482" spans="1:40" x14ac:dyDescent="0.3">
      <c r="A482" s="10" t="str">
        <f>HYPERLINK("http://www.washoecounty.gov/assessor/cama/?parid=006-121-17&amp;CardNumber=1","006-121-17")</f>
        <v>006-121-17</v>
      </c>
      <c r="B482" t="s">
        <v>4655</v>
      </c>
      <c r="C482" t="s">
        <v>7630</v>
      </c>
      <c r="D482" s="1">
        <v>40220</v>
      </c>
      <c r="E482" s="2">
        <v>185000</v>
      </c>
      <c r="F482" t="s">
        <v>4567</v>
      </c>
      <c r="G482" s="17" t="str">
        <f>HYPERLINK("https://www.washoecounty.gov/assessor/cama/?command=sales&amp;parid=00612117","3848128")</f>
        <v>3848128</v>
      </c>
      <c r="H482" t="s">
        <v>7631</v>
      </c>
      <c r="I482">
        <v>1942</v>
      </c>
      <c r="J482">
        <v>1942</v>
      </c>
      <c r="K482" t="s">
        <v>4907</v>
      </c>
      <c r="L482" t="s">
        <v>4555</v>
      </c>
      <c r="M482" s="2">
        <v>1440</v>
      </c>
      <c r="N482" t="s">
        <v>4556</v>
      </c>
      <c r="O482">
        <v>3</v>
      </c>
      <c r="P482">
        <v>3</v>
      </c>
      <c r="Q482">
        <v>0</v>
      </c>
      <c r="R482" t="s">
        <v>4134</v>
      </c>
      <c r="S482" t="s">
        <v>4570</v>
      </c>
      <c r="T482" t="s">
        <v>4559</v>
      </c>
      <c r="U482" t="s">
        <v>4655</v>
      </c>
      <c r="V482" s="2">
        <v>0</v>
      </c>
      <c r="W482" t="s">
        <v>4655</v>
      </c>
      <c r="X482" s="2">
        <v>0</v>
      </c>
      <c r="Y482">
        <v>32</v>
      </c>
      <c r="Z482" t="s">
        <v>4144</v>
      </c>
      <c r="AA482" s="3">
        <v>0.226584017276764</v>
      </c>
      <c r="AB482" t="s">
        <v>7632</v>
      </c>
      <c r="AC482" t="s">
        <v>4575</v>
      </c>
      <c r="AD482" t="s">
        <v>7633</v>
      </c>
      <c r="AE482" t="s">
        <v>4655</v>
      </c>
      <c r="AF482" t="s">
        <v>7634</v>
      </c>
      <c r="AG482" t="s">
        <v>4584</v>
      </c>
      <c r="AH482" t="s">
        <v>7635</v>
      </c>
      <c r="AI482" t="s">
        <v>7636</v>
      </c>
      <c r="AJ482" t="s">
        <v>4655</v>
      </c>
      <c r="AK482" t="s">
        <v>7637</v>
      </c>
      <c r="AL482" s="13" t="s">
        <v>2255</v>
      </c>
      <c r="AM482" s="14">
        <v>3</v>
      </c>
      <c r="AN482" s="15" t="s">
        <v>4211</v>
      </c>
    </row>
    <row r="483" spans="1:40" x14ac:dyDescent="0.3">
      <c r="A483" s="10" t="str">
        <f>HYPERLINK("http://www.washoecounty.gov/assessor/cama/?parid=006-122-02&amp;CardNumber=1","006-122-02")</f>
        <v>006-122-02</v>
      </c>
      <c r="B483" t="s">
        <v>4655</v>
      </c>
      <c r="C483" t="s">
        <v>7638</v>
      </c>
      <c r="D483" s="1">
        <v>40450</v>
      </c>
      <c r="E483" s="2">
        <v>155000</v>
      </c>
      <c r="F483" t="s">
        <v>4567</v>
      </c>
      <c r="G483" s="17" t="str">
        <f>HYPERLINK("https://www.washoecounty.gov/assessor/cama/?command=sales&amp;parid=00612202","3927224")</f>
        <v>3927224</v>
      </c>
      <c r="H483" t="s">
        <v>3820</v>
      </c>
      <c r="I483">
        <v>1943</v>
      </c>
      <c r="J483">
        <v>1943</v>
      </c>
      <c r="K483" t="s">
        <v>4554</v>
      </c>
      <c r="L483" t="s">
        <v>3886</v>
      </c>
      <c r="M483" s="2">
        <v>1377</v>
      </c>
      <c r="N483" t="s">
        <v>4556</v>
      </c>
      <c r="O483">
        <v>3</v>
      </c>
      <c r="P483">
        <v>1</v>
      </c>
      <c r="Q483">
        <v>1</v>
      </c>
      <c r="R483" t="s">
        <v>4557</v>
      </c>
      <c r="S483" t="s">
        <v>4135</v>
      </c>
      <c r="T483" t="s">
        <v>4559</v>
      </c>
      <c r="U483" t="s">
        <v>4655</v>
      </c>
      <c r="V483" s="2">
        <v>0</v>
      </c>
      <c r="W483" t="s">
        <v>4655</v>
      </c>
      <c r="X483" s="2">
        <v>0</v>
      </c>
      <c r="Y483">
        <v>20</v>
      </c>
      <c r="Z483" t="s">
        <v>4561</v>
      </c>
      <c r="AA483" s="3">
        <v>0.14898990094661699</v>
      </c>
      <c r="AB483" t="s">
        <v>7639</v>
      </c>
      <c r="AC483" t="s">
        <v>4562</v>
      </c>
      <c r="AD483" t="s">
        <v>7640</v>
      </c>
      <c r="AE483" t="s">
        <v>4655</v>
      </c>
      <c r="AF483" t="s">
        <v>4563</v>
      </c>
      <c r="AG483" t="s">
        <v>4564</v>
      </c>
      <c r="AH483">
        <v>89503</v>
      </c>
      <c r="AI483" t="s">
        <v>7641</v>
      </c>
      <c r="AJ483" t="s">
        <v>4655</v>
      </c>
      <c r="AK483" t="s">
        <v>7642</v>
      </c>
      <c r="AL483" s="13" t="s">
        <v>2257</v>
      </c>
      <c r="AM483" s="14">
        <v>1</v>
      </c>
      <c r="AN483" s="15" t="s">
        <v>2273</v>
      </c>
    </row>
    <row r="484" spans="1:40" x14ac:dyDescent="0.3">
      <c r="A484" s="10" t="str">
        <f>HYPERLINK("http://www.washoecounty.gov/assessor/cama/?parid=006-122-11&amp;CardNumber=1","006-122-11")</f>
        <v>006-122-11</v>
      </c>
      <c r="B484" t="s">
        <v>5502</v>
      </c>
      <c r="C484" t="s">
        <v>7643</v>
      </c>
      <c r="D484" s="1">
        <v>40403</v>
      </c>
      <c r="E484" s="2">
        <v>298300</v>
      </c>
      <c r="F484" t="s">
        <v>4567</v>
      </c>
      <c r="G484" s="17" t="str">
        <f>HYPERLINK("https://www.washoecounty.gov/assessor/cama/?command=sales&amp;parid=00612211","3911771")</f>
        <v>3911771</v>
      </c>
      <c r="H484" t="s">
        <v>7644</v>
      </c>
      <c r="I484">
        <v>1960</v>
      </c>
      <c r="J484">
        <v>1960</v>
      </c>
      <c r="K484" t="s">
        <v>4907</v>
      </c>
      <c r="L484" t="s">
        <v>4555</v>
      </c>
      <c r="M484" s="2">
        <v>1600</v>
      </c>
      <c r="N484" t="s">
        <v>4556</v>
      </c>
      <c r="O484">
        <v>4</v>
      </c>
      <c r="P484">
        <v>2</v>
      </c>
      <c r="Q484">
        <v>0</v>
      </c>
      <c r="R484" t="s">
        <v>1429</v>
      </c>
      <c r="S484" t="s">
        <v>4558</v>
      </c>
      <c r="T484" t="s">
        <v>4559</v>
      </c>
      <c r="U484" t="s">
        <v>4560</v>
      </c>
      <c r="V484" s="2">
        <v>450</v>
      </c>
      <c r="W484" t="s">
        <v>4655</v>
      </c>
      <c r="X484" s="2">
        <v>0</v>
      </c>
      <c r="Y484">
        <v>32</v>
      </c>
      <c r="Z484" t="s">
        <v>4144</v>
      </c>
      <c r="AA484" s="3">
        <v>0.24600550532341001</v>
      </c>
      <c r="AB484" t="s">
        <v>7645</v>
      </c>
      <c r="AC484" t="s">
        <v>4562</v>
      </c>
      <c r="AD484" t="s">
        <v>1912</v>
      </c>
      <c r="AE484" t="s">
        <v>4655</v>
      </c>
      <c r="AF484" t="s">
        <v>4563</v>
      </c>
      <c r="AG484" t="s">
        <v>4564</v>
      </c>
      <c r="AH484">
        <v>89511</v>
      </c>
      <c r="AI484" t="s">
        <v>7646</v>
      </c>
      <c r="AJ484" t="s">
        <v>4655</v>
      </c>
      <c r="AK484" t="s">
        <v>7647</v>
      </c>
      <c r="AL484" s="13" t="s">
        <v>2255</v>
      </c>
      <c r="AM484">
        <v>4</v>
      </c>
      <c r="AN484" s="15" t="s">
        <v>4211</v>
      </c>
    </row>
    <row r="485" spans="1:40" x14ac:dyDescent="0.3">
      <c r="A485" s="10" t="str">
        <f>HYPERLINK("http://www.washoecounty.gov/assessor/cama/?parid=006-131-18&amp;CardNumber=1","006-131-18")</f>
        <v>006-131-18</v>
      </c>
      <c r="B485" t="s">
        <v>4655</v>
      </c>
      <c r="C485" t="s">
        <v>7648</v>
      </c>
      <c r="D485" s="1">
        <v>40270</v>
      </c>
      <c r="E485" s="2">
        <v>120500</v>
      </c>
      <c r="F485" t="s">
        <v>4553</v>
      </c>
      <c r="G485" s="17" t="str">
        <f>HYPERLINK("https://www.washoecounty.gov/assessor/cama/?command=sales&amp;parid=00613118","3867166")</f>
        <v>3867166</v>
      </c>
      <c r="H485" t="s">
        <v>7649</v>
      </c>
      <c r="I485">
        <v>1942</v>
      </c>
      <c r="J485">
        <v>1942</v>
      </c>
      <c r="K485" t="s">
        <v>4554</v>
      </c>
      <c r="L485" t="s">
        <v>4555</v>
      </c>
      <c r="M485" s="2">
        <v>1030</v>
      </c>
      <c r="N485" t="s">
        <v>4048</v>
      </c>
      <c r="O485">
        <v>3</v>
      </c>
      <c r="P485">
        <v>1</v>
      </c>
      <c r="Q485">
        <v>0</v>
      </c>
      <c r="R485" t="s">
        <v>5281</v>
      </c>
      <c r="S485" t="s">
        <v>4135</v>
      </c>
      <c r="T485" t="s">
        <v>4559</v>
      </c>
      <c r="U485" t="s">
        <v>4655</v>
      </c>
      <c r="V485" s="2">
        <v>0</v>
      </c>
      <c r="W485" t="s">
        <v>3149</v>
      </c>
      <c r="X485" s="2">
        <v>1014</v>
      </c>
      <c r="Y485">
        <v>20</v>
      </c>
      <c r="Z485" t="s">
        <v>4561</v>
      </c>
      <c r="AA485" s="3">
        <v>0.169995412230492</v>
      </c>
      <c r="AB485" t="s">
        <v>7650</v>
      </c>
      <c r="AC485" t="s">
        <v>4562</v>
      </c>
      <c r="AD485" t="s">
        <v>7648</v>
      </c>
      <c r="AE485" t="s">
        <v>4655</v>
      </c>
      <c r="AF485" t="s">
        <v>4563</v>
      </c>
      <c r="AG485" t="s">
        <v>4564</v>
      </c>
      <c r="AH485">
        <v>89503</v>
      </c>
      <c r="AI485" t="s">
        <v>4565</v>
      </c>
      <c r="AJ485" t="s">
        <v>4655</v>
      </c>
      <c r="AK485" t="s">
        <v>7651</v>
      </c>
      <c r="AL485" s="13" t="s">
        <v>2257</v>
      </c>
      <c r="AM485" s="14">
        <v>1</v>
      </c>
      <c r="AN485" s="15" t="s">
        <v>2273</v>
      </c>
    </row>
    <row r="486" spans="1:40" x14ac:dyDescent="0.3">
      <c r="A486" s="10" t="str">
        <f>HYPERLINK("http://www.washoecounty.gov/assessor/cama/?parid=006-131-19&amp;CardNumber=1","006-131-19")</f>
        <v>006-131-19</v>
      </c>
      <c r="B486" t="s">
        <v>4655</v>
      </c>
      <c r="C486" t="s">
        <v>7652</v>
      </c>
      <c r="D486" s="1">
        <v>40450</v>
      </c>
      <c r="E486" s="2">
        <v>122728</v>
      </c>
      <c r="F486" t="s">
        <v>4567</v>
      </c>
      <c r="G486" s="17" t="str">
        <f>HYPERLINK("https://www.washoecounty.gov/assessor/cama/?command=sales&amp;parid=00613119","3927464")</f>
        <v>3927464</v>
      </c>
      <c r="H486" t="s">
        <v>7653</v>
      </c>
      <c r="I486">
        <v>1966</v>
      </c>
      <c r="J486">
        <v>1966</v>
      </c>
      <c r="K486" t="s">
        <v>3043</v>
      </c>
      <c r="L486" t="s">
        <v>3974</v>
      </c>
      <c r="M486" s="2">
        <v>1776</v>
      </c>
      <c r="N486" t="s">
        <v>4048</v>
      </c>
      <c r="O486">
        <v>9</v>
      </c>
      <c r="P486">
        <v>3</v>
      </c>
      <c r="Q486">
        <v>0</v>
      </c>
      <c r="R486" t="s">
        <v>4557</v>
      </c>
      <c r="S486" t="s">
        <v>4135</v>
      </c>
      <c r="T486" t="s">
        <v>4143</v>
      </c>
      <c r="U486" t="s">
        <v>4560</v>
      </c>
      <c r="V486" s="2">
        <v>400</v>
      </c>
      <c r="W486" t="s">
        <v>3149</v>
      </c>
      <c r="X486" s="2">
        <v>1200</v>
      </c>
      <c r="Y486">
        <v>32</v>
      </c>
      <c r="Z486" t="s">
        <v>2705</v>
      </c>
      <c r="AA486" s="3">
        <v>0.15000000596046401</v>
      </c>
      <c r="AB486" t="s">
        <v>7654</v>
      </c>
      <c r="AC486" t="s">
        <v>4562</v>
      </c>
      <c r="AD486" t="s">
        <v>7655</v>
      </c>
      <c r="AE486" t="s">
        <v>4655</v>
      </c>
      <c r="AF486" t="s">
        <v>1407</v>
      </c>
      <c r="AG486" t="s">
        <v>4564</v>
      </c>
      <c r="AH486">
        <v>89703</v>
      </c>
      <c r="AI486" t="s">
        <v>7656</v>
      </c>
      <c r="AJ486" t="s">
        <v>4655</v>
      </c>
      <c r="AK486" t="s">
        <v>7657</v>
      </c>
      <c r="AL486" s="13" t="s">
        <v>2255</v>
      </c>
      <c r="AM486" s="14">
        <v>3</v>
      </c>
      <c r="AN486" s="15" t="s">
        <v>4211</v>
      </c>
    </row>
    <row r="487" spans="1:40" x14ac:dyDescent="0.3">
      <c r="A487" s="10" t="str">
        <f>HYPERLINK("http://www.washoecounty.gov/assessor/cama/?parid=006-140-15&amp;CardNumber=1","006-140-15")</f>
        <v>006-140-15</v>
      </c>
      <c r="B487" t="s">
        <v>4655</v>
      </c>
      <c r="C487" t="s">
        <v>7658</v>
      </c>
      <c r="D487" s="1">
        <v>40438</v>
      </c>
      <c r="E487" s="2">
        <v>32000</v>
      </c>
      <c r="F487" t="s">
        <v>4553</v>
      </c>
      <c r="G487" s="17" t="str">
        <f>HYPERLINK("https://www.washoecounty.gov/assessor/cama/?command=sales&amp;parid=00614015","3923690")</f>
        <v>3923690</v>
      </c>
      <c r="H487" t="s">
        <v>7659</v>
      </c>
      <c r="I487">
        <v>1973</v>
      </c>
      <c r="J487">
        <v>1973</v>
      </c>
      <c r="K487" t="s">
        <v>3144</v>
      </c>
      <c r="L487" t="s">
        <v>3974</v>
      </c>
      <c r="M487" s="2">
        <v>1062</v>
      </c>
      <c r="N487" t="s">
        <v>4048</v>
      </c>
      <c r="O487">
        <v>2</v>
      </c>
      <c r="P487">
        <v>2</v>
      </c>
      <c r="Q487">
        <v>0</v>
      </c>
      <c r="R487" t="s">
        <v>5281</v>
      </c>
      <c r="S487" t="s">
        <v>4898</v>
      </c>
      <c r="T487" t="s">
        <v>4899</v>
      </c>
      <c r="U487" t="s">
        <v>4655</v>
      </c>
      <c r="V487" s="2">
        <v>0</v>
      </c>
      <c r="W487" t="s">
        <v>4655</v>
      </c>
      <c r="X487" s="2">
        <v>0</v>
      </c>
      <c r="Y487">
        <v>21</v>
      </c>
      <c r="Z487" t="s">
        <v>2705</v>
      </c>
      <c r="AA487" s="3">
        <v>1.00000004749745E-3</v>
      </c>
      <c r="AB487" t="s">
        <v>7660</v>
      </c>
      <c r="AC487" t="s">
        <v>4562</v>
      </c>
      <c r="AD487" t="s">
        <v>7661</v>
      </c>
      <c r="AE487" t="s">
        <v>4655</v>
      </c>
      <c r="AF487" t="s">
        <v>4563</v>
      </c>
      <c r="AG487" t="s">
        <v>4564</v>
      </c>
      <c r="AH487" t="s">
        <v>5197</v>
      </c>
      <c r="AI487" t="s">
        <v>2351</v>
      </c>
      <c r="AJ487" t="s">
        <v>4655</v>
      </c>
      <c r="AK487" t="s">
        <v>7662</v>
      </c>
      <c r="AL487" s="13" t="s">
        <v>2255</v>
      </c>
      <c r="AM487" s="14">
        <v>1</v>
      </c>
      <c r="AN487" s="15" t="s">
        <v>7663</v>
      </c>
    </row>
    <row r="488" spans="1:40" x14ac:dyDescent="0.3">
      <c r="A488" s="10" t="str">
        <f>HYPERLINK("http://www.washoecounty.gov/assessor/cama/?parid=006-161-10&amp;CardNumber=1","006-161-10")</f>
        <v>006-161-10</v>
      </c>
      <c r="B488" t="s">
        <v>4655</v>
      </c>
      <c r="C488" t="s">
        <v>7664</v>
      </c>
      <c r="D488" s="1">
        <v>40451</v>
      </c>
      <c r="E488" s="2">
        <v>170000</v>
      </c>
      <c r="F488" t="s">
        <v>4567</v>
      </c>
      <c r="G488" s="17" t="str">
        <f>HYPERLINK("https://www.washoecounty.gov/assessor/cama/?command=sales&amp;parid=00616110","3928491")</f>
        <v>3928491</v>
      </c>
      <c r="H488" t="s">
        <v>4715</v>
      </c>
      <c r="I488">
        <v>1963</v>
      </c>
      <c r="J488">
        <v>1963</v>
      </c>
      <c r="K488" t="s">
        <v>3043</v>
      </c>
      <c r="L488" t="s">
        <v>3974</v>
      </c>
      <c r="M488" s="2">
        <v>3136</v>
      </c>
      <c r="N488" t="s">
        <v>4048</v>
      </c>
      <c r="O488">
        <v>8</v>
      </c>
      <c r="P488">
        <v>4</v>
      </c>
      <c r="Q488">
        <v>0</v>
      </c>
      <c r="R488" t="s">
        <v>4134</v>
      </c>
      <c r="S488" t="s">
        <v>4135</v>
      </c>
      <c r="T488" t="s">
        <v>4899</v>
      </c>
      <c r="U488" t="s">
        <v>4655</v>
      </c>
      <c r="V488" s="2">
        <v>0</v>
      </c>
      <c r="W488" t="s">
        <v>4655</v>
      </c>
      <c r="X488" s="2">
        <v>0</v>
      </c>
      <c r="Y488">
        <v>32</v>
      </c>
      <c r="Z488" t="s">
        <v>2705</v>
      </c>
      <c r="AA488" s="3">
        <v>0.18399907648563399</v>
      </c>
      <c r="AB488" t="s">
        <v>7665</v>
      </c>
      <c r="AC488" t="s">
        <v>4562</v>
      </c>
      <c r="AD488" t="s">
        <v>7666</v>
      </c>
      <c r="AE488" t="s">
        <v>7667</v>
      </c>
      <c r="AF488" t="s">
        <v>4563</v>
      </c>
      <c r="AG488" t="s">
        <v>4564</v>
      </c>
      <c r="AH488">
        <v>89503</v>
      </c>
      <c r="AI488" t="s">
        <v>7668</v>
      </c>
      <c r="AJ488" t="s">
        <v>4655</v>
      </c>
      <c r="AK488" t="s">
        <v>7669</v>
      </c>
      <c r="AL488" s="13" t="s">
        <v>2255</v>
      </c>
      <c r="AM488" s="14">
        <v>4</v>
      </c>
      <c r="AN488" s="15" t="s">
        <v>747</v>
      </c>
    </row>
    <row r="489" spans="1:40" x14ac:dyDescent="0.3">
      <c r="A489" s="10" t="str">
        <f>HYPERLINK("http://www.washoecounty.gov/assessor/cama/?parid=006-261-12&amp;CardNumber=1","006-261-12")</f>
        <v>006-261-12</v>
      </c>
      <c r="B489" t="s">
        <v>4655</v>
      </c>
      <c r="C489" t="s">
        <v>7670</v>
      </c>
      <c r="D489" s="1">
        <v>40436</v>
      </c>
      <c r="E489" s="2">
        <v>105000</v>
      </c>
      <c r="F489" t="s">
        <v>4553</v>
      </c>
      <c r="G489" s="17" t="str">
        <f>HYPERLINK("https://www.washoecounty.gov/assessor/cama/?command=sales&amp;parid=00626112","3922562")</f>
        <v>3922562</v>
      </c>
      <c r="H489" t="s">
        <v>919</v>
      </c>
      <c r="I489">
        <v>1976</v>
      </c>
      <c r="J489">
        <v>1976</v>
      </c>
      <c r="K489" t="s">
        <v>4554</v>
      </c>
      <c r="L489" t="s">
        <v>4555</v>
      </c>
      <c r="M489" s="2">
        <v>1244</v>
      </c>
      <c r="N489" t="s">
        <v>4556</v>
      </c>
      <c r="O489">
        <v>3</v>
      </c>
      <c r="P489">
        <v>1</v>
      </c>
      <c r="Q489">
        <v>0</v>
      </c>
      <c r="R489" t="s">
        <v>4557</v>
      </c>
      <c r="S489" t="s">
        <v>4558</v>
      </c>
      <c r="T489" t="s">
        <v>4559</v>
      </c>
      <c r="U489" t="s">
        <v>4560</v>
      </c>
      <c r="V489" s="2">
        <v>420</v>
      </c>
      <c r="W489" t="s">
        <v>4655</v>
      </c>
      <c r="X489" s="2">
        <v>0</v>
      </c>
      <c r="Y489">
        <v>20</v>
      </c>
      <c r="Z489" t="s">
        <v>4561</v>
      </c>
      <c r="AA489" s="3">
        <v>0.18000459671020499</v>
      </c>
      <c r="AB489" t="s">
        <v>7671</v>
      </c>
      <c r="AC489" t="s">
        <v>4575</v>
      </c>
      <c r="AD489" t="s">
        <v>7672</v>
      </c>
      <c r="AE489" t="s">
        <v>4655</v>
      </c>
      <c r="AF489" t="s">
        <v>3890</v>
      </c>
      <c r="AG489" t="s">
        <v>4564</v>
      </c>
      <c r="AH489" t="s">
        <v>3891</v>
      </c>
      <c r="AI489" t="s">
        <v>2351</v>
      </c>
      <c r="AJ489" t="s">
        <v>4655</v>
      </c>
      <c r="AK489" t="s">
        <v>7673</v>
      </c>
      <c r="AL489" s="13" t="s">
        <v>2255</v>
      </c>
      <c r="AM489" s="14">
        <v>1</v>
      </c>
      <c r="AN489" s="15" t="s">
        <v>4566</v>
      </c>
    </row>
    <row r="490" spans="1:40" x14ac:dyDescent="0.3">
      <c r="A490" s="10" t="str">
        <f>HYPERLINK("http://www.washoecounty.gov/assessor/cama/?parid=006-262-16&amp;CardNumber=1","006-262-16")</f>
        <v>006-262-16</v>
      </c>
      <c r="B490" t="s">
        <v>4655</v>
      </c>
      <c r="C490" t="s">
        <v>7674</v>
      </c>
      <c r="D490" s="1">
        <v>40395</v>
      </c>
      <c r="E490" s="2">
        <v>125000</v>
      </c>
      <c r="F490" t="s">
        <v>4567</v>
      </c>
      <c r="G490" s="17" t="str">
        <f>HYPERLINK("https://www.washoecounty.gov/assessor/cama/?command=sales&amp;parid=00626216","3909282")</f>
        <v>3909282</v>
      </c>
      <c r="H490" t="s">
        <v>919</v>
      </c>
      <c r="I490">
        <v>1977</v>
      </c>
      <c r="J490">
        <v>1977</v>
      </c>
      <c r="K490" t="s">
        <v>4554</v>
      </c>
      <c r="L490" t="s">
        <v>4555</v>
      </c>
      <c r="M490" s="2">
        <v>1707</v>
      </c>
      <c r="N490" t="s">
        <v>4556</v>
      </c>
      <c r="O490">
        <v>3</v>
      </c>
      <c r="P490">
        <v>2</v>
      </c>
      <c r="Q490">
        <v>0</v>
      </c>
      <c r="R490" t="s">
        <v>4557</v>
      </c>
      <c r="S490" t="s">
        <v>4558</v>
      </c>
      <c r="T490" t="s">
        <v>4559</v>
      </c>
      <c r="U490" t="s">
        <v>4560</v>
      </c>
      <c r="V490" s="2">
        <v>483</v>
      </c>
      <c r="W490" t="s">
        <v>4655</v>
      </c>
      <c r="X490" s="2">
        <v>0</v>
      </c>
      <c r="Y490">
        <v>20</v>
      </c>
      <c r="Z490" t="s">
        <v>4561</v>
      </c>
      <c r="AA490" s="3">
        <v>0.13999082148075101</v>
      </c>
      <c r="AB490" t="s">
        <v>7675</v>
      </c>
      <c r="AC490" t="s">
        <v>4575</v>
      </c>
      <c r="AD490" t="s">
        <v>7674</v>
      </c>
      <c r="AE490" t="s">
        <v>4655</v>
      </c>
      <c r="AF490" t="s">
        <v>4563</v>
      </c>
      <c r="AG490" t="s">
        <v>4564</v>
      </c>
      <c r="AH490">
        <v>89503</v>
      </c>
      <c r="AI490" t="s">
        <v>7676</v>
      </c>
      <c r="AJ490" t="s">
        <v>4655</v>
      </c>
      <c r="AK490" t="s">
        <v>7677</v>
      </c>
      <c r="AL490" s="13" t="s">
        <v>2255</v>
      </c>
      <c r="AM490">
        <v>1</v>
      </c>
      <c r="AN490" s="15" t="s">
        <v>4566</v>
      </c>
    </row>
    <row r="491" spans="1:40" x14ac:dyDescent="0.3">
      <c r="A491" s="10" t="str">
        <f>HYPERLINK("http://www.washoecounty.gov/assessor/cama/?parid=006-271-13&amp;CardNumber=1","006-271-13")</f>
        <v>006-271-13</v>
      </c>
      <c r="B491" t="s">
        <v>4655</v>
      </c>
      <c r="C491" t="s">
        <v>7678</v>
      </c>
      <c r="D491" s="1">
        <v>40345</v>
      </c>
      <c r="E491" s="2">
        <v>170000</v>
      </c>
      <c r="F491" t="s">
        <v>4567</v>
      </c>
      <c r="G491" s="17" t="str">
        <f>HYPERLINK("https://www.washoecounty.gov/assessor/cama/?command=sales&amp;parid=00627113","3892301")</f>
        <v>3892301</v>
      </c>
      <c r="H491" t="s">
        <v>3520</v>
      </c>
      <c r="I491">
        <v>1977</v>
      </c>
      <c r="J491">
        <v>1979</v>
      </c>
      <c r="K491" t="s">
        <v>4554</v>
      </c>
      <c r="L491" t="s">
        <v>4555</v>
      </c>
      <c r="M491" s="2">
        <v>1766</v>
      </c>
      <c r="N491" t="s">
        <v>4556</v>
      </c>
      <c r="O491">
        <v>3</v>
      </c>
      <c r="P491">
        <v>2</v>
      </c>
      <c r="Q491">
        <v>0</v>
      </c>
      <c r="R491" t="s">
        <v>5281</v>
      </c>
      <c r="S491" t="s">
        <v>4558</v>
      </c>
      <c r="T491" t="s">
        <v>4559</v>
      </c>
      <c r="U491" t="s">
        <v>4560</v>
      </c>
      <c r="V491" s="2">
        <v>483</v>
      </c>
      <c r="W491" t="s">
        <v>4655</v>
      </c>
      <c r="X491" s="2">
        <v>0</v>
      </c>
      <c r="Y491">
        <v>20</v>
      </c>
      <c r="Z491" t="s">
        <v>4561</v>
      </c>
      <c r="AA491" s="3">
        <v>0.21000918745994601</v>
      </c>
      <c r="AB491" t="s">
        <v>7679</v>
      </c>
      <c r="AC491" t="s">
        <v>4562</v>
      </c>
      <c r="AD491" t="s">
        <v>7678</v>
      </c>
      <c r="AE491" t="s">
        <v>4655</v>
      </c>
      <c r="AF491" t="s">
        <v>4563</v>
      </c>
      <c r="AG491" t="s">
        <v>4564</v>
      </c>
      <c r="AH491">
        <v>89503</v>
      </c>
      <c r="AI491" t="s">
        <v>7680</v>
      </c>
      <c r="AJ491" t="s">
        <v>4655</v>
      </c>
      <c r="AK491" t="s">
        <v>7681</v>
      </c>
      <c r="AL491" s="13" t="s">
        <v>2255</v>
      </c>
      <c r="AM491" s="14">
        <v>1</v>
      </c>
      <c r="AN491" s="15" t="s">
        <v>4566</v>
      </c>
    </row>
    <row r="492" spans="1:40" x14ac:dyDescent="0.3">
      <c r="A492" s="10" t="str">
        <f>HYPERLINK("http://www.washoecounty.gov/assessor/cama/?parid=006-271-23&amp;CardNumber=1","006-271-23")</f>
        <v>006-271-23</v>
      </c>
      <c r="B492" t="s">
        <v>4655</v>
      </c>
      <c r="C492" t="s">
        <v>7682</v>
      </c>
      <c r="D492" s="1">
        <v>40449</v>
      </c>
      <c r="E492" s="2">
        <v>140500</v>
      </c>
      <c r="F492" t="s">
        <v>4553</v>
      </c>
      <c r="G492" s="17" t="str">
        <f>HYPERLINK("https://www.washoecounty.gov/assessor/cama/?command=sales&amp;parid=00627123","3927001")</f>
        <v>3927001</v>
      </c>
      <c r="H492" t="s">
        <v>919</v>
      </c>
      <c r="I492">
        <v>1974</v>
      </c>
      <c r="J492">
        <v>1974</v>
      </c>
      <c r="K492" t="s">
        <v>4554</v>
      </c>
      <c r="L492" t="s">
        <v>4555</v>
      </c>
      <c r="M492" s="2">
        <v>1952</v>
      </c>
      <c r="N492" t="s">
        <v>5280</v>
      </c>
      <c r="O492">
        <v>4</v>
      </c>
      <c r="P492">
        <v>2</v>
      </c>
      <c r="Q492">
        <v>0</v>
      </c>
      <c r="R492" t="s">
        <v>5281</v>
      </c>
      <c r="S492" t="s">
        <v>4135</v>
      </c>
      <c r="T492" t="s">
        <v>4559</v>
      </c>
      <c r="U492" t="s">
        <v>4560</v>
      </c>
      <c r="V492" s="2">
        <v>528</v>
      </c>
      <c r="W492" t="s">
        <v>4655</v>
      </c>
      <c r="X492" s="2">
        <v>0</v>
      </c>
      <c r="Y492">
        <v>20</v>
      </c>
      <c r="Z492" t="s">
        <v>4561</v>
      </c>
      <c r="AA492" s="3">
        <v>0.160009175539017</v>
      </c>
      <c r="AB492" t="s">
        <v>7683</v>
      </c>
      <c r="AC492" t="s">
        <v>4575</v>
      </c>
      <c r="AD492" t="s">
        <v>7684</v>
      </c>
      <c r="AE492" t="s">
        <v>7685</v>
      </c>
      <c r="AF492" t="s">
        <v>5201</v>
      </c>
      <c r="AG492" t="s">
        <v>4564</v>
      </c>
      <c r="AH492" t="s">
        <v>1605</v>
      </c>
      <c r="AI492" t="s">
        <v>601</v>
      </c>
      <c r="AJ492" t="s">
        <v>4655</v>
      </c>
      <c r="AK492" t="s">
        <v>7686</v>
      </c>
      <c r="AL492" s="13" t="s">
        <v>2255</v>
      </c>
      <c r="AM492">
        <v>1</v>
      </c>
      <c r="AN492" s="15" t="s">
        <v>4566</v>
      </c>
    </row>
    <row r="493" spans="1:40" x14ac:dyDescent="0.3">
      <c r="A493" s="10" t="str">
        <f>HYPERLINK("http://www.washoecounty.gov/assessor/cama/?parid=006-290-23&amp;CardNumber=1","006-290-23")</f>
        <v>006-290-23</v>
      </c>
      <c r="B493" t="s">
        <v>4655</v>
      </c>
      <c r="C493" t="s">
        <v>7687</v>
      </c>
      <c r="D493" s="1">
        <v>40458</v>
      </c>
      <c r="E493" s="2">
        <v>275000</v>
      </c>
      <c r="F493" t="s">
        <v>3259</v>
      </c>
      <c r="G493" s="17" t="str">
        <f>HYPERLINK("https://www.washoecounty.gov/assessor/cama/?command=sales&amp;parid=00629023","3930865")</f>
        <v>3930865</v>
      </c>
      <c r="H493" t="s">
        <v>4827</v>
      </c>
      <c r="I493">
        <v>1939</v>
      </c>
      <c r="J493">
        <v>1939</v>
      </c>
      <c r="K493" t="s">
        <v>1391</v>
      </c>
      <c r="L493" t="s">
        <v>4555</v>
      </c>
      <c r="M493" s="2">
        <v>567</v>
      </c>
      <c r="N493" t="s">
        <v>4133</v>
      </c>
      <c r="O493">
        <v>2</v>
      </c>
      <c r="P493">
        <v>1</v>
      </c>
      <c r="Q493">
        <v>0</v>
      </c>
      <c r="R493" t="s">
        <v>1800</v>
      </c>
      <c r="S493" t="s">
        <v>3148</v>
      </c>
      <c r="T493" t="s">
        <v>4559</v>
      </c>
      <c r="U493" t="s">
        <v>4655</v>
      </c>
      <c r="V493" s="2">
        <v>0</v>
      </c>
      <c r="W493" t="s">
        <v>4655</v>
      </c>
      <c r="X493" s="2">
        <v>0</v>
      </c>
      <c r="Y493">
        <v>40</v>
      </c>
      <c r="Z493" t="s">
        <v>3288</v>
      </c>
      <c r="AA493" s="3">
        <v>0.3213498592376709</v>
      </c>
      <c r="AB493" t="s">
        <v>7688</v>
      </c>
      <c r="AC493" t="s">
        <v>4562</v>
      </c>
      <c r="AD493" t="s">
        <v>7689</v>
      </c>
      <c r="AE493" t="s">
        <v>7690</v>
      </c>
      <c r="AF493" t="s">
        <v>4563</v>
      </c>
      <c r="AG493" t="s">
        <v>4564</v>
      </c>
      <c r="AH493">
        <v>89503</v>
      </c>
      <c r="AI493" t="s">
        <v>7691</v>
      </c>
      <c r="AJ493" t="s">
        <v>4655</v>
      </c>
      <c r="AK493" t="s">
        <v>7692</v>
      </c>
      <c r="AL493" s="13" t="s">
        <v>2257</v>
      </c>
      <c r="AM493">
        <v>1</v>
      </c>
      <c r="AN493" s="15" t="s">
        <v>7693</v>
      </c>
    </row>
    <row r="494" spans="1:40" x14ac:dyDescent="0.3">
      <c r="A494" s="10" t="str">
        <f>HYPERLINK("http://www.washoecounty.gov/assessor/cama/?parid=006-300-04&amp;CardNumber=1","006-300-04")</f>
        <v>006-300-04</v>
      </c>
      <c r="B494" t="s">
        <v>4655</v>
      </c>
      <c r="C494" t="s">
        <v>920</v>
      </c>
      <c r="D494" s="1">
        <v>40415</v>
      </c>
      <c r="E494" s="2">
        <v>50000</v>
      </c>
      <c r="F494" t="s">
        <v>4553</v>
      </c>
      <c r="G494" s="17" t="str">
        <f>HYPERLINK("https://www.washoecounty.gov/assessor/cama/?command=sales&amp;parid=00630004","3915314")</f>
        <v>3915314</v>
      </c>
      <c r="H494" t="s">
        <v>921</v>
      </c>
      <c r="I494">
        <v>1974</v>
      </c>
      <c r="J494">
        <v>1974</v>
      </c>
      <c r="K494" t="s">
        <v>3144</v>
      </c>
      <c r="L494" t="s">
        <v>4555</v>
      </c>
      <c r="M494" s="2">
        <v>1195</v>
      </c>
      <c r="N494" t="s">
        <v>4556</v>
      </c>
      <c r="O494">
        <v>2</v>
      </c>
      <c r="P494">
        <v>2</v>
      </c>
      <c r="Q494">
        <v>0</v>
      </c>
      <c r="R494" t="s">
        <v>5281</v>
      </c>
      <c r="S494" t="s">
        <v>3148</v>
      </c>
      <c r="T494" t="s">
        <v>4559</v>
      </c>
      <c r="U494" t="s">
        <v>4655</v>
      </c>
      <c r="V494" s="2">
        <v>0</v>
      </c>
      <c r="W494" t="s">
        <v>4655</v>
      </c>
      <c r="X494" s="2">
        <v>0</v>
      </c>
      <c r="Y494">
        <v>21</v>
      </c>
      <c r="Z494" t="s">
        <v>4144</v>
      </c>
      <c r="AA494" s="3">
        <v>1.00000004749745E-3</v>
      </c>
      <c r="AB494" t="s">
        <v>7694</v>
      </c>
      <c r="AC494" t="s">
        <v>4575</v>
      </c>
      <c r="AD494" t="s">
        <v>7695</v>
      </c>
      <c r="AE494" t="s">
        <v>4655</v>
      </c>
      <c r="AF494" t="s">
        <v>4563</v>
      </c>
      <c r="AG494" t="s">
        <v>4564</v>
      </c>
      <c r="AH494">
        <v>89503</v>
      </c>
      <c r="AI494" t="s">
        <v>7696</v>
      </c>
      <c r="AJ494" t="s">
        <v>4655</v>
      </c>
      <c r="AK494" t="s">
        <v>7697</v>
      </c>
      <c r="AL494" s="13" t="s">
        <v>2257</v>
      </c>
      <c r="AM494" s="14">
        <v>1</v>
      </c>
      <c r="AN494" s="15" t="s">
        <v>922</v>
      </c>
    </row>
    <row r="495" spans="1:40" x14ac:dyDescent="0.3">
      <c r="A495" s="10" t="str">
        <f>HYPERLINK("http://www.washoecounty.gov/assessor/cama/?parid=006-300-59&amp;CardNumber=1","006-300-59")</f>
        <v>006-300-59</v>
      </c>
      <c r="B495" t="s">
        <v>4655</v>
      </c>
      <c r="C495" t="s">
        <v>920</v>
      </c>
      <c r="D495" s="1">
        <v>40512</v>
      </c>
      <c r="E495" s="2">
        <v>80000</v>
      </c>
      <c r="F495" t="s">
        <v>4553</v>
      </c>
      <c r="G495" s="17" t="str">
        <f>HYPERLINK("https://www.washoecounty.gov/assessor/cama/?command=sales&amp;parid=00630059","3947447")</f>
        <v>3947447</v>
      </c>
      <c r="H495" t="s">
        <v>921</v>
      </c>
      <c r="I495">
        <v>1974</v>
      </c>
      <c r="J495">
        <v>1974</v>
      </c>
      <c r="K495" t="s">
        <v>4897</v>
      </c>
      <c r="L495" t="s">
        <v>4555</v>
      </c>
      <c r="M495" s="2">
        <v>1195</v>
      </c>
      <c r="N495" t="s">
        <v>4556</v>
      </c>
      <c r="O495">
        <v>2</v>
      </c>
      <c r="P495">
        <v>2</v>
      </c>
      <c r="Q495">
        <v>0</v>
      </c>
      <c r="R495" t="s">
        <v>5281</v>
      </c>
      <c r="S495" t="s">
        <v>3148</v>
      </c>
      <c r="T495" t="s">
        <v>4559</v>
      </c>
      <c r="U495" t="s">
        <v>4655</v>
      </c>
      <c r="V495" s="2">
        <v>0</v>
      </c>
      <c r="W495" t="s">
        <v>4655</v>
      </c>
      <c r="X495" s="2">
        <v>0</v>
      </c>
      <c r="Y495">
        <v>21</v>
      </c>
      <c r="Z495" t="s">
        <v>4144</v>
      </c>
      <c r="AA495" s="3">
        <v>1.00000004749745E-3</v>
      </c>
      <c r="AB495" t="s">
        <v>5445</v>
      </c>
      <c r="AC495" t="s">
        <v>4562</v>
      </c>
      <c r="AD495" t="s">
        <v>863</v>
      </c>
      <c r="AE495" t="s">
        <v>4655</v>
      </c>
      <c r="AF495" t="s">
        <v>4563</v>
      </c>
      <c r="AG495" t="s">
        <v>4564</v>
      </c>
      <c r="AH495">
        <v>89503</v>
      </c>
      <c r="AI495" t="s">
        <v>4903</v>
      </c>
      <c r="AJ495" t="s">
        <v>4655</v>
      </c>
      <c r="AK495" t="s">
        <v>7698</v>
      </c>
      <c r="AL495" s="13" t="s">
        <v>2257</v>
      </c>
      <c r="AM495" s="14">
        <v>1</v>
      </c>
      <c r="AN495" s="15" t="s">
        <v>922</v>
      </c>
    </row>
    <row r="496" spans="1:40" x14ac:dyDescent="0.3">
      <c r="A496" s="10" t="str">
        <f>HYPERLINK("http://www.washoecounty.gov/assessor/cama/?parid=006-300-61&amp;CardNumber=1","006-300-61")</f>
        <v>006-300-61</v>
      </c>
      <c r="B496" t="s">
        <v>4655</v>
      </c>
      <c r="C496" t="s">
        <v>920</v>
      </c>
      <c r="D496" s="1">
        <v>40395</v>
      </c>
      <c r="E496" s="2">
        <v>62500</v>
      </c>
      <c r="F496" t="s">
        <v>4553</v>
      </c>
      <c r="G496" s="17" t="str">
        <f>HYPERLINK("https://www.washoecounty.gov/assessor/cama/?command=sales&amp;parid=00630061","3909024")</f>
        <v>3909024</v>
      </c>
      <c r="H496" t="s">
        <v>921</v>
      </c>
      <c r="I496">
        <v>1974</v>
      </c>
      <c r="J496">
        <v>1974</v>
      </c>
      <c r="K496" t="s">
        <v>4897</v>
      </c>
      <c r="L496" t="s">
        <v>4555</v>
      </c>
      <c r="M496" s="2">
        <v>1195</v>
      </c>
      <c r="N496" t="s">
        <v>4556</v>
      </c>
      <c r="O496">
        <v>2</v>
      </c>
      <c r="P496">
        <v>2</v>
      </c>
      <c r="Q496">
        <v>0</v>
      </c>
      <c r="R496" t="s">
        <v>5281</v>
      </c>
      <c r="S496" t="s">
        <v>3148</v>
      </c>
      <c r="T496" t="s">
        <v>4559</v>
      </c>
      <c r="U496" t="s">
        <v>4655</v>
      </c>
      <c r="V496" s="2">
        <v>0</v>
      </c>
      <c r="W496" t="s">
        <v>4655</v>
      </c>
      <c r="X496" s="2">
        <v>0</v>
      </c>
      <c r="Y496">
        <v>21</v>
      </c>
      <c r="Z496" t="s">
        <v>4144</v>
      </c>
      <c r="AA496" s="3">
        <v>1.00000004749745E-3</v>
      </c>
      <c r="AB496" t="s">
        <v>7699</v>
      </c>
      <c r="AC496" t="s">
        <v>4562</v>
      </c>
      <c r="AD496" t="s">
        <v>7700</v>
      </c>
      <c r="AE496" t="s">
        <v>4655</v>
      </c>
      <c r="AF496" t="s">
        <v>4563</v>
      </c>
      <c r="AG496" t="s">
        <v>4564</v>
      </c>
      <c r="AH496">
        <v>89503</v>
      </c>
      <c r="AI496" t="s">
        <v>949</v>
      </c>
      <c r="AJ496" t="s">
        <v>4655</v>
      </c>
      <c r="AK496" t="s">
        <v>7701</v>
      </c>
      <c r="AL496" s="13" t="s">
        <v>2257</v>
      </c>
      <c r="AM496">
        <v>1</v>
      </c>
      <c r="AN496" s="15" t="s">
        <v>922</v>
      </c>
    </row>
    <row r="497" spans="1:40" x14ac:dyDescent="0.3">
      <c r="A497" s="10" t="str">
        <f>HYPERLINK("http://www.washoecounty.gov/assessor/cama/?parid=006-320-12&amp;CardNumber=1","006-320-12")</f>
        <v>006-320-12</v>
      </c>
      <c r="B497" t="s">
        <v>4655</v>
      </c>
      <c r="C497" t="s">
        <v>7702</v>
      </c>
      <c r="D497" s="1">
        <v>40186</v>
      </c>
      <c r="E497" s="2">
        <v>250000</v>
      </c>
      <c r="F497" t="s">
        <v>4553</v>
      </c>
      <c r="G497" s="17" t="str">
        <f>HYPERLINK("https://www.washoecounty.gov/assessor/cama/?command=sales&amp;parid=00632012","3837742")</f>
        <v>3837742</v>
      </c>
      <c r="H497" t="s">
        <v>4212</v>
      </c>
      <c r="I497">
        <v>2004</v>
      </c>
      <c r="J497">
        <v>2004</v>
      </c>
      <c r="K497" t="s">
        <v>4897</v>
      </c>
      <c r="L497" t="s">
        <v>3974</v>
      </c>
      <c r="M497" s="2">
        <v>2341</v>
      </c>
      <c r="N497" t="s">
        <v>5280</v>
      </c>
      <c r="O497">
        <v>2</v>
      </c>
      <c r="P497">
        <v>2</v>
      </c>
      <c r="Q497">
        <v>1</v>
      </c>
      <c r="R497" t="s">
        <v>5281</v>
      </c>
      <c r="S497" t="s">
        <v>4558</v>
      </c>
      <c r="T497" t="s">
        <v>4899</v>
      </c>
      <c r="U497" t="s">
        <v>5631</v>
      </c>
      <c r="V497" s="2">
        <v>598</v>
      </c>
      <c r="W497" t="s">
        <v>4655</v>
      </c>
      <c r="X497" s="2">
        <v>0</v>
      </c>
      <c r="Y497">
        <v>21</v>
      </c>
      <c r="Z497" t="s">
        <v>4144</v>
      </c>
      <c r="AA497" s="3">
        <v>2.10100002586842E-2</v>
      </c>
      <c r="AB497" t="s">
        <v>7703</v>
      </c>
      <c r="AC497" t="s">
        <v>4562</v>
      </c>
      <c r="AD497" t="s">
        <v>7704</v>
      </c>
      <c r="AE497" t="s">
        <v>4655</v>
      </c>
      <c r="AF497" t="s">
        <v>191</v>
      </c>
      <c r="AG497" t="s">
        <v>4584</v>
      </c>
      <c r="AH497" t="s">
        <v>4572</v>
      </c>
      <c r="AI497" t="s">
        <v>7705</v>
      </c>
      <c r="AJ497" t="s">
        <v>7706</v>
      </c>
      <c r="AK497" t="s">
        <v>7707</v>
      </c>
      <c r="AL497" s="13" t="s">
        <v>2257</v>
      </c>
      <c r="AM497">
        <v>1</v>
      </c>
      <c r="AN497" s="15" t="s">
        <v>4573</v>
      </c>
    </row>
    <row r="498" spans="1:40" x14ac:dyDescent="0.3">
      <c r="A498" s="10" t="str">
        <f>HYPERLINK("http://www.washoecounty.gov/assessor/cama/?parid=006-352-01&amp;CardNumber=1","006-352-01")</f>
        <v>006-352-01</v>
      </c>
      <c r="B498" t="s">
        <v>4655</v>
      </c>
      <c r="C498" t="s">
        <v>7708</v>
      </c>
      <c r="D498" s="1">
        <v>40393</v>
      </c>
      <c r="E498" s="2">
        <v>135000</v>
      </c>
      <c r="F498" t="s">
        <v>4567</v>
      </c>
      <c r="G498" s="17" t="str">
        <f>HYPERLINK("https://www.washoecounty.gov/assessor/cama/?command=sales&amp;parid=00635201","3908344")</f>
        <v>3908344</v>
      </c>
      <c r="H498" t="s">
        <v>2637</v>
      </c>
      <c r="I498">
        <v>2009</v>
      </c>
      <c r="J498">
        <v>2009</v>
      </c>
      <c r="K498" t="s">
        <v>4897</v>
      </c>
      <c r="L498" t="s">
        <v>3044</v>
      </c>
      <c r="M498" s="2">
        <v>1590</v>
      </c>
      <c r="N498" t="s">
        <v>5280</v>
      </c>
      <c r="O498">
        <v>3</v>
      </c>
      <c r="P498">
        <v>2</v>
      </c>
      <c r="Q498">
        <v>1</v>
      </c>
      <c r="R498" t="s">
        <v>5281</v>
      </c>
      <c r="S498" t="s">
        <v>4558</v>
      </c>
      <c r="T498" t="s">
        <v>4559</v>
      </c>
      <c r="U498" t="s">
        <v>5631</v>
      </c>
      <c r="V498" s="2">
        <v>586</v>
      </c>
      <c r="W498" t="s">
        <v>4655</v>
      </c>
      <c r="X498" s="2">
        <v>0</v>
      </c>
      <c r="Y498">
        <v>21</v>
      </c>
      <c r="Z498" t="s">
        <v>382</v>
      </c>
      <c r="AA498" s="3">
        <v>3.5032138228416401E-2</v>
      </c>
      <c r="AB498" t="s">
        <v>7709</v>
      </c>
      <c r="AC498" t="s">
        <v>4575</v>
      </c>
      <c r="AD498" t="s">
        <v>7710</v>
      </c>
      <c r="AE498" t="s">
        <v>4655</v>
      </c>
      <c r="AF498" t="s">
        <v>2873</v>
      </c>
      <c r="AG498" t="s">
        <v>5529</v>
      </c>
      <c r="AH498">
        <v>89074</v>
      </c>
      <c r="AI498" t="s">
        <v>7711</v>
      </c>
      <c r="AJ498" t="s">
        <v>3485</v>
      </c>
      <c r="AK498" t="s">
        <v>7712</v>
      </c>
      <c r="AL498" s="13" t="s">
        <v>2257</v>
      </c>
      <c r="AM498">
        <v>1</v>
      </c>
      <c r="AN498" s="15" t="s">
        <v>3448</v>
      </c>
    </row>
    <row r="499" spans="1:40" x14ac:dyDescent="0.3">
      <c r="A499" s="10" t="str">
        <f>HYPERLINK("http://www.washoecounty.gov/assessor/cama/?parid=006-352-03&amp;CardNumber=1","006-352-03")</f>
        <v>006-352-03</v>
      </c>
      <c r="B499" t="s">
        <v>4655</v>
      </c>
      <c r="C499" t="s">
        <v>7713</v>
      </c>
      <c r="D499" s="1">
        <v>40521</v>
      </c>
      <c r="E499" s="2">
        <v>117000</v>
      </c>
      <c r="F499" t="s">
        <v>4567</v>
      </c>
      <c r="G499" s="17" t="str">
        <f>HYPERLINK("https://www.washoecounty.gov/assessor/cama/?command=sales&amp;parid=00635203","3951803")</f>
        <v>3951803</v>
      </c>
      <c r="H499" t="s">
        <v>2637</v>
      </c>
      <c r="I499">
        <v>2009</v>
      </c>
      <c r="J499">
        <v>2009</v>
      </c>
      <c r="K499" t="s">
        <v>3144</v>
      </c>
      <c r="L499" t="s">
        <v>3044</v>
      </c>
      <c r="M499" s="2">
        <v>1480</v>
      </c>
      <c r="N499" t="s">
        <v>5280</v>
      </c>
      <c r="O499">
        <v>2</v>
      </c>
      <c r="P499">
        <v>2</v>
      </c>
      <c r="Q499">
        <v>1</v>
      </c>
      <c r="R499" t="s">
        <v>5281</v>
      </c>
      <c r="S499" t="s">
        <v>4558</v>
      </c>
      <c r="T499" t="s">
        <v>4559</v>
      </c>
      <c r="U499" t="s">
        <v>5631</v>
      </c>
      <c r="V499" s="2">
        <v>630</v>
      </c>
      <c r="W499" t="s">
        <v>4655</v>
      </c>
      <c r="X499" s="2">
        <v>0</v>
      </c>
      <c r="Y499">
        <v>21</v>
      </c>
      <c r="Z499" t="s">
        <v>382</v>
      </c>
      <c r="AA499" s="3">
        <v>2.7685949578881298E-2</v>
      </c>
      <c r="AB499" t="s">
        <v>7714</v>
      </c>
      <c r="AC499" t="s">
        <v>4575</v>
      </c>
      <c r="AD499" t="s">
        <v>7715</v>
      </c>
      <c r="AE499" t="s">
        <v>4655</v>
      </c>
      <c r="AF499" t="s">
        <v>4563</v>
      </c>
      <c r="AG499" t="s">
        <v>4564</v>
      </c>
      <c r="AH499">
        <v>89503</v>
      </c>
      <c r="AI499" t="s">
        <v>5120</v>
      </c>
      <c r="AJ499" t="s">
        <v>3485</v>
      </c>
      <c r="AK499" t="s">
        <v>7716</v>
      </c>
      <c r="AL499" s="13" t="s">
        <v>2257</v>
      </c>
      <c r="AM499">
        <v>1</v>
      </c>
      <c r="AN499" s="15" t="s">
        <v>3448</v>
      </c>
    </row>
    <row r="500" spans="1:40" x14ac:dyDescent="0.3">
      <c r="A500" s="10" t="str">
        <f>HYPERLINK("http://www.washoecounty.gov/assessor/cama/?parid=006-352-08&amp;CardNumber=1","006-352-08")</f>
        <v>006-352-08</v>
      </c>
      <c r="B500" t="s">
        <v>4655</v>
      </c>
      <c r="C500" t="s">
        <v>7717</v>
      </c>
      <c r="D500" s="1">
        <v>40337</v>
      </c>
      <c r="E500" s="2">
        <v>145000</v>
      </c>
      <c r="F500" t="s">
        <v>4567</v>
      </c>
      <c r="G500" s="17" t="str">
        <f>HYPERLINK("https://www.washoecounty.gov/assessor/cama/?command=sales&amp;parid=00635208","3889149")</f>
        <v>3889149</v>
      </c>
      <c r="H500" t="s">
        <v>2637</v>
      </c>
      <c r="I500">
        <v>2009</v>
      </c>
      <c r="J500">
        <v>2009</v>
      </c>
      <c r="K500" t="s">
        <v>4897</v>
      </c>
      <c r="L500" t="s">
        <v>3044</v>
      </c>
      <c r="M500" s="2">
        <v>1710</v>
      </c>
      <c r="N500" t="s">
        <v>5280</v>
      </c>
      <c r="O500">
        <v>3</v>
      </c>
      <c r="P500">
        <v>2</v>
      </c>
      <c r="Q500">
        <v>1</v>
      </c>
      <c r="R500" t="s">
        <v>5281</v>
      </c>
      <c r="S500" t="s">
        <v>4558</v>
      </c>
      <c r="T500" t="s">
        <v>4559</v>
      </c>
      <c r="U500" t="s">
        <v>5631</v>
      </c>
      <c r="V500" s="2">
        <v>586</v>
      </c>
      <c r="W500" t="s">
        <v>4655</v>
      </c>
      <c r="X500" s="2">
        <v>0</v>
      </c>
      <c r="Y500">
        <v>21</v>
      </c>
      <c r="Z500" t="s">
        <v>382</v>
      </c>
      <c r="AA500" s="3">
        <v>3.4412305802106899E-2</v>
      </c>
      <c r="AB500" t="s">
        <v>7718</v>
      </c>
      <c r="AC500" t="s">
        <v>4575</v>
      </c>
      <c r="AD500" t="s">
        <v>7719</v>
      </c>
      <c r="AE500" t="s">
        <v>4655</v>
      </c>
      <c r="AF500" t="s">
        <v>4563</v>
      </c>
      <c r="AG500" t="s">
        <v>4564</v>
      </c>
      <c r="AH500">
        <v>89503</v>
      </c>
      <c r="AI500" t="s">
        <v>7718</v>
      </c>
      <c r="AJ500" t="s">
        <v>3485</v>
      </c>
      <c r="AK500" t="s">
        <v>7720</v>
      </c>
      <c r="AL500" s="13" t="s">
        <v>2257</v>
      </c>
      <c r="AM500">
        <v>1</v>
      </c>
      <c r="AN500" s="15" t="s">
        <v>3448</v>
      </c>
    </row>
    <row r="501" spans="1:40" x14ac:dyDescent="0.3">
      <c r="A501" s="10" t="str">
        <f>HYPERLINK("http://www.washoecounty.gov/assessor/cama/?parid=007-011-12&amp;CardNumber=1","007-011-12")</f>
        <v>007-011-12</v>
      </c>
      <c r="B501" t="s">
        <v>4655</v>
      </c>
      <c r="C501" t="s">
        <v>7721</v>
      </c>
      <c r="D501" s="1">
        <v>40298</v>
      </c>
      <c r="E501" s="2">
        <v>940000</v>
      </c>
      <c r="F501" t="s">
        <v>3259</v>
      </c>
      <c r="G501" s="17" t="str">
        <f>HYPERLINK("https://www.washoecounty.gov/assessor/cama/?command=sales&amp;parid=00701112","3876692")</f>
        <v>3876692</v>
      </c>
      <c r="H501" t="s">
        <v>4931</v>
      </c>
      <c r="I501">
        <v>1973</v>
      </c>
      <c r="J501">
        <v>1979</v>
      </c>
      <c r="K501" t="s">
        <v>428</v>
      </c>
      <c r="L501" t="s">
        <v>1366</v>
      </c>
      <c r="M501" s="2">
        <v>2981</v>
      </c>
      <c r="N501" t="s">
        <v>1367</v>
      </c>
      <c r="O501">
        <v>0</v>
      </c>
      <c r="P501">
        <v>0</v>
      </c>
      <c r="Q501">
        <v>0</v>
      </c>
      <c r="R501" t="s">
        <v>3039</v>
      </c>
      <c r="S501" t="s">
        <v>4932</v>
      </c>
      <c r="T501" t="s">
        <v>4655</v>
      </c>
      <c r="U501" t="s">
        <v>4655</v>
      </c>
      <c r="V501" s="2">
        <v>0</v>
      </c>
      <c r="W501" t="s">
        <v>4655</v>
      </c>
      <c r="X501" s="2">
        <v>0</v>
      </c>
      <c r="Y501">
        <v>40</v>
      </c>
      <c r="Z501" t="s">
        <v>2705</v>
      </c>
      <c r="AA501" s="3">
        <v>0.35847106575965898</v>
      </c>
      <c r="AB501" t="s">
        <v>4933</v>
      </c>
      <c r="AC501" t="s">
        <v>4575</v>
      </c>
      <c r="AD501" t="s">
        <v>7722</v>
      </c>
      <c r="AE501" t="s">
        <v>4655</v>
      </c>
      <c r="AF501" t="s">
        <v>1189</v>
      </c>
      <c r="AG501" t="s">
        <v>4564</v>
      </c>
      <c r="AH501">
        <v>89103</v>
      </c>
      <c r="AI501" t="s">
        <v>7621</v>
      </c>
      <c r="AJ501" t="s">
        <v>7723</v>
      </c>
      <c r="AK501" t="s">
        <v>7724</v>
      </c>
      <c r="AL501" s="13" t="s">
        <v>2255</v>
      </c>
      <c r="AM501">
        <v>1</v>
      </c>
      <c r="AN501" s="15" t="s">
        <v>7725</v>
      </c>
    </row>
    <row r="502" spans="1:40" x14ac:dyDescent="0.3">
      <c r="A502" s="10" t="str">
        <f>HYPERLINK("http://www.washoecounty.gov/assessor/cama/?parid=007-031-16&amp;CardNumber=1","007-031-16")</f>
        <v>007-031-16</v>
      </c>
      <c r="B502" t="s">
        <v>4655</v>
      </c>
      <c r="C502" t="s">
        <v>7726</v>
      </c>
      <c r="D502" s="1">
        <v>40490</v>
      </c>
      <c r="E502" s="2">
        <v>100000</v>
      </c>
      <c r="F502" t="s">
        <v>4567</v>
      </c>
      <c r="G502" s="17" t="str">
        <f>HYPERLINK("https://www.washoecounty.gov/assessor/cama/?command=sales&amp;parid=00703116","3940688")</f>
        <v>3940688</v>
      </c>
      <c r="H502" t="s">
        <v>5639</v>
      </c>
      <c r="I502">
        <v>1948</v>
      </c>
      <c r="J502">
        <v>1948</v>
      </c>
      <c r="K502" t="s">
        <v>4554</v>
      </c>
      <c r="L502" t="s">
        <v>4555</v>
      </c>
      <c r="M502" s="2">
        <v>828</v>
      </c>
      <c r="N502" t="s">
        <v>4556</v>
      </c>
      <c r="O502">
        <v>2</v>
      </c>
      <c r="P502">
        <v>1</v>
      </c>
      <c r="Q502">
        <v>0</v>
      </c>
      <c r="R502" t="s">
        <v>1800</v>
      </c>
      <c r="S502" t="s">
        <v>4135</v>
      </c>
      <c r="T502" t="s">
        <v>4559</v>
      </c>
      <c r="U502" t="s">
        <v>4560</v>
      </c>
      <c r="V502" s="2">
        <v>220</v>
      </c>
      <c r="W502" t="s">
        <v>4655</v>
      </c>
      <c r="X502" s="2">
        <v>0</v>
      </c>
      <c r="Y502">
        <v>20</v>
      </c>
      <c r="Z502" t="s">
        <v>4561</v>
      </c>
      <c r="AA502" s="3">
        <v>0.16200642287731201</v>
      </c>
      <c r="AB502" t="s">
        <v>7727</v>
      </c>
      <c r="AC502" t="s">
        <v>4562</v>
      </c>
      <c r="AD502" t="s">
        <v>7728</v>
      </c>
      <c r="AE502" t="s">
        <v>4655</v>
      </c>
      <c r="AF502" t="s">
        <v>4563</v>
      </c>
      <c r="AG502" t="s">
        <v>4564</v>
      </c>
      <c r="AH502">
        <v>89506</v>
      </c>
      <c r="AI502" t="s">
        <v>7729</v>
      </c>
      <c r="AJ502" t="s">
        <v>4655</v>
      </c>
      <c r="AK502" t="s">
        <v>7730</v>
      </c>
      <c r="AL502" s="13" t="s">
        <v>2257</v>
      </c>
      <c r="AM502">
        <v>1</v>
      </c>
      <c r="AN502" s="15" t="s">
        <v>3577</v>
      </c>
    </row>
    <row r="503" spans="1:40" x14ac:dyDescent="0.3">
      <c r="A503" s="10" t="str">
        <f>HYPERLINK("http://www.washoecounty.gov/assessor/cama/?parid=007-052-07&amp;CardNumber=1","007-052-07")</f>
        <v>007-052-07</v>
      </c>
      <c r="B503" t="s">
        <v>4655</v>
      </c>
      <c r="C503" t="s">
        <v>4368</v>
      </c>
      <c r="D503" s="1">
        <v>40445</v>
      </c>
      <c r="E503" s="2">
        <v>50000</v>
      </c>
      <c r="F503" t="s">
        <v>4553</v>
      </c>
      <c r="G503" s="17" t="str">
        <f>HYPERLINK("https://www.washoecounty.gov/assessor/cama/?command=sales&amp;parid=00705207","3926023")</f>
        <v>3926023</v>
      </c>
      <c r="H503" t="s">
        <v>1778</v>
      </c>
      <c r="I503">
        <v>1959</v>
      </c>
      <c r="J503">
        <v>1966</v>
      </c>
      <c r="K503" t="s">
        <v>4554</v>
      </c>
      <c r="L503" t="s">
        <v>4555</v>
      </c>
      <c r="M503" s="2">
        <v>1749</v>
      </c>
      <c r="N503" t="s">
        <v>4133</v>
      </c>
      <c r="O503">
        <v>4</v>
      </c>
      <c r="P503">
        <v>2</v>
      </c>
      <c r="Q503">
        <v>0</v>
      </c>
      <c r="R503" t="s">
        <v>4134</v>
      </c>
      <c r="S503" t="s">
        <v>3148</v>
      </c>
      <c r="T503" t="s">
        <v>4559</v>
      </c>
      <c r="U503" t="s">
        <v>4655</v>
      </c>
      <c r="V503" s="2">
        <v>0</v>
      </c>
      <c r="W503" t="s">
        <v>4655</v>
      </c>
      <c r="X503" s="2">
        <v>0</v>
      </c>
      <c r="Y503">
        <v>20</v>
      </c>
      <c r="Z503" t="s">
        <v>4561</v>
      </c>
      <c r="AA503" s="3">
        <v>0.141000911593437</v>
      </c>
      <c r="AB503" t="s">
        <v>5688</v>
      </c>
      <c r="AC503" t="s">
        <v>4562</v>
      </c>
      <c r="AD503" t="s">
        <v>5689</v>
      </c>
      <c r="AE503" t="s">
        <v>4655</v>
      </c>
      <c r="AF503" t="s">
        <v>5206</v>
      </c>
      <c r="AG503" t="s">
        <v>4564</v>
      </c>
      <c r="AH503" t="s">
        <v>5207</v>
      </c>
      <c r="AI503" t="s">
        <v>4369</v>
      </c>
      <c r="AJ503" t="s">
        <v>4655</v>
      </c>
      <c r="AK503" t="s">
        <v>4370</v>
      </c>
      <c r="AL503" s="13" t="s">
        <v>2257</v>
      </c>
      <c r="AM503">
        <v>1</v>
      </c>
      <c r="AN503" s="15" t="s">
        <v>3577</v>
      </c>
    </row>
    <row r="504" spans="1:40" x14ac:dyDescent="0.3">
      <c r="A504" s="10" t="str">
        <f>HYPERLINK("http://www.washoecounty.gov/assessor/cama/?parid=007-052-18&amp;CardNumber=1","007-052-18")</f>
        <v>007-052-18</v>
      </c>
      <c r="B504" t="s">
        <v>4655</v>
      </c>
      <c r="C504" t="s">
        <v>7731</v>
      </c>
      <c r="D504" s="1">
        <v>40248</v>
      </c>
      <c r="E504" s="2">
        <v>51500</v>
      </c>
      <c r="F504" t="s">
        <v>4553</v>
      </c>
      <c r="G504" s="17" t="str">
        <f>HYPERLINK("https://www.washoecounty.gov/assessor/cama/?command=sales&amp;parid=00705218","3858625")</f>
        <v>3858625</v>
      </c>
      <c r="H504" t="s">
        <v>1778</v>
      </c>
      <c r="I504">
        <v>1959</v>
      </c>
      <c r="J504">
        <v>1959</v>
      </c>
      <c r="K504" t="s">
        <v>4554</v>
      </c>
      <c r="L504" t="s">
        <v>4555</v>
      </c>
      <c r="M504" s="2">
        <v>1209</v>
      </c>
      <c r="N504" t="s">
        <v>4133</v>
      </c>
      <c r="O504">
        <v>3</v>
      </c>
      <c r="P504">
        <v>2</v>
      </c>
      <c r="Q504">
        <v>0</v>
      </c>
      <c r="R504" t="s">
        <v>4134</v>
      </c>
      <c r="S504" t="s">
        <v>4135</v>
      </c>
      <c r="T504" t="s">
        <v>4559</v>
      </c>
      <c r="U504" t="s">
        <v>4560</v>
      </c>
      <c r="V504" s="2">
        <v>273</v>
      </c>
      <c r="W504" t="s">
        <v>4655</v>
      </c>
      <c r="X504" s="2">
        <v>0</v>
      </c>
      <c r="Y504">
        <v>20</v>
      </c>
      <c r="Z504" t="s">
        <v>4561</v>
      </c>
      <c r="AA504" s="3">
        <v>0.12899449467658999</v>
      </c>
      <c r="AB504" t="s">
        <v>7732</v>
      </c>
      <c r="AC504" t="s">
        <v>4562</v>
      </c>
      <c r="AD504" t="s">
        <v>7733</v>
      </c>
      <c r="AE504" t="s">
        <v>4655</v>
      </c>
      <c r="AF504" t="s">
        <v>5300</v>
      </c>
      <c r="AG504" t="s">
        <v>4584</v>
      </c>
      <c r="AH504" t="s">
        <v>5069</v>
      </c>
      <c r="AI504" t="s">
        <v>4045</v>
      </c>
      <c r="AJ504" t="s">
        <v>4655</v>
      </c>
      <c r="AK504" t="s">
        <v>7734</v>
      </c>
      <c r="AL504" s="13" t="s">
        <v>2257</v>
      </c>
      <c r="AM504">
        <v>1</v>
      </c>
      <c r="AN504" s="15" t="s">
        <v>3577</v>
      </c>
    </row>
    <row r="505" spans="1:40" x14ac:dyDescent="0.3">
      <c r="A505" s="10" t="str">
        <f>HYPERLINK("http://www.washoecounty.gov/assessor/cama/?parid=007-071-07&amp;CardNumber=1","007-071-07")</f>
        <v>007-071-07</v>
      </c>
      <c r="B505" t="s">
        <v>4655</v>
      </c>
      <c r="C505" t="s">
        <v>7735</v>
      </c>
      <c r="D505" s="1">
        <v>40505</v>
      </c>
      <c r="E505" s="2">
        <v>145000</v>
      </c>
      <c r="F505" t="s">
        <v>4567</v>
      </c>
      <c r="G505" s="17" t="str">
        <f>HYPERLINK("https://www.washoecounty.gov/assessor/cama/?command=sales&amp;parid=00707107","3945877")</f>
        <v>3945877</v>
      </c>
      <c r="H505" t="s">
        <v>7736</v>
      </c>
      <c r="I505">
        <v>1961</v>
      </c>
      <c r="J505">
        <v>1961</v>
      </c>
      <c r="K505" t="s">
        <v>4554</v>
      </c>
      <c r="L505" t="s">
        <v>4555</v>
      </c>
      <c r="M505" s="2">
        <v>1500</v>
      </c>
      <c r="N505" t="s">
        <v>5280</v>
      </c>
      <c r="O505">
        <v>3</v>
      </c>
      <c r="P505">
        <v>2</v>
      </c>
      <c r="Q505">
        <v>0</v>
      </c>
      <c r="R505" t="s">
        <v>4557</v>
      </c>
      <c r="S505" t="s">
        <v>4682</v>
      </c>
      <c r="T505" t="s">
        <v>4559</v>
      </c>
      <c r="U505" t="s">
        <v>4560</v>
      </c>
      <c r="V505" s="2">
        <v>462</v>
      </c>
      <c r="W505" t="s">
        <v>4655</v>
      </c>
      <c r="X505" s="2">
        <v>0</v>
      </c>
      <c r="Y505">
        <v>20</v>
      </c>
      <c r="Z505" t="s">
        <v>4686</v>
      </c>
      <c r="AA505" s="3">
        <v>0.155142337083817</v>
      </c>
      <c r="AB505" t="s">
        <v>7737</v>
      </c>
      <c r="AC505" t="s">
        <v>4562</v>
      </c>
      <c r="AD505" t="s">
        <v>7738</v>
      </c>
      <c r="AE505" t="s">
        <v>7739</v>
      </c>
      <c r="AF505" t="s">
        <v>4563</v>
      </c>
      <c r="AG505" t="s">
        <v>4564</v>
      </c>
      <c r="AH505" t="s">
        <v>7740</v>
      </c>
      <c r="AI505" t="s">
        <v>7741</v>
      </c>
      <c r="AJ505" t="s">
        <v>4655</v>
      </c>
      <c r="AK505" t="s">
        <v>7742</v>
      </c>
      <c r="AL505" s="13" t="s">
        <v>2255</v>
      </c>
      <c r="AM505">
        <v>1</v>
      </c>
      <c r="AN505" s="15" t="s">
        <v>2273</v>
      </c>
    </row>
    <row r="506" spans="1:40" x14ac:dyDescent="0.3">
      <c r="A506" s="10" t="str">
        <f>HYPERLINK("http://www.washoecounty.gov/assessor/cama/?parid=007-073-14&amp;CardNumber=1","007-073-14")</f>
        <v>007-073-14</v>
      </c>
      <c r="B506" t="s">
        <v>5502</v>
      </c>
      <c r="C506" t="s">
        <v>7743</v>
      </c>
      <c r="D506" s="1">
        <v>40431</v>
      </c>
      <c r="E506" s="2">
        <v>1550000</v>
      </c>
      <c r="F506" t="s">
        <v>4567</v>
      </c>
      <c r="G506" s="17" t="str">
        <f>HYPERLINK("https://www.washoecounty.gov/assessor/cama/?command=sales&amp;parid=00707314","3921135")</f>
        <v>3921135</v>
      </c>
      <c r="H506" t="s">
        <v>7736</v>
      </c>
      <c r="I506">
        <v>1948</v>
      </c>
      <c r="J506">
        <v>1965</v>
      </c>
      <c r="K506" t="s">
        <v>4554</v>
      </c>
      <c r="L506" t="s">
        <v>2170</v>
      </c>
      <c r="M506" s="2">
        <v>1690</v>
      </c>
      <c r="N506" t="s">
        <v>4556</v>
      </c>
      <c r="O506">
        <v>3</v>
      </c>
      <c r="P506">
        <v>2</v>
      </c>
      <c r="Q506">
        <v>0</v>
      </c>
      <c r="R506" t="s">
        <v>5281</v>
      </c>
      <c r="S506" t="s">
        <v>4574</v>
      </c>
      <c r="T506" t="s">
        <v>4559</v>
      </c>
      <c r="U506" t="s">
        <v>4655</v>
      </c>
      <c r="V506" s="2">
        <v>0</v>
      </c>
      <c r="W506" t="s">
        <v>4655</v>
      </c>
      <c r="X506" s="2">
        <v>0</v>
      </c>
      <c r="Y506">
        <v>34</v>
      </c>
      <c r="Z506" t="s">
        <v>4686</v>
      </c>
      <c r="AA506" s="3">
        <v>2.4210000038146902</v>
      </c>
      <c r="AB506" t="s">
        <v>7744</v>
      </c>
      <c r="AC506" t="s">
        <v>4562</v>
      </c>
      <c r="AD506" t="s">
        <v>7745</v>
      </c>
      <c r="AE506" t="s">
        <v>4655</v>
      </c>
      <c r="AF506" t="s">
        <v>4563</v>
      </c>
      <c r="AG506" t="s">
        <v>4564</v>
      </c>
      <c r="AH506">
        <v>89512</v>
      </c>
      <c r="AI506" t="s">
        <v>7746</v>
      </c>
      <c r="AJ506" t="s">
        <v>7747</v>
      </c>
      <c r="AK506" t="s">
        <v>7748</v>
      </c>
      <c r="AL506" s="13" t="s">
        <v>2257</v>
      </c>
      <c r="AM506" s="14">
        <v>115</v>
      </c>
      <c r="AN506" s="15" t="s">
        <v>1234</v>
      </c>
    </row>
    <row r="507" spans="1:40" x14ac:dyDescent="0.3">
      <c r="A507" s="10" t="str">
        <f>HYPERLINK("http://www.washoecounty.gov/assessor/cama/?parid=007-091-05&amp;CardNumber=1","007-091-05")</f>
        <v>007-091-05</v>
      </c>
      <c r="B507" t="s">
        <v>4655</v>
      </c>
      <c r="C507" t="s">
        <v>7749</v>
      </c>
      <c r="D507" s="1">
        <v>40464</v>
      </c>
      <c r="E507" s="2">
        <v>140000</v>
      </c>
      <c r="F507" t="s">
        <v>4567</v>
      </c>
      <c r="G507" s="17" t="str">
        <f>HYPERLINK("https://www.washoecounty.gov/assessor/cama/?command=sales&amp;parid=00709105","3932560")</f>
        <v>3932560</v>
      </c>
      <c r="H507" t="s">
        <v>3585</v>
      </c>
      <c r="I507">
        <v>1940</v>
      </c>
      <c r="J507">
        <v>1940</v>
      </c>
      <c r="K507" t="s">
        <v>4554</v>
      </c>
      <c r="L507" t="s">
        <v>4555</v>
      </c>
      <c r="M507" s="2">
        <v>1136</v>
      </c>
      <c r="N507" t="s">
        <v>4048</v>
      </c>
      <c r="O507">
        <v>3</v>
      </c>
      <c r="P507">
        <v>2</v>
      </c>
      <c r="Q507">
        <v>0</v>
      </c>
      <c r="R507" t="s">
        <v>4557</v>
      </c>
      <c r="S507" t="s">
        <v>4135</v>
      </c>
      <c r="T507" t="s">
        <v>4559</v>
      </c>
      <c r="U507" t="s">
        <v>4560</v>
      </c>
      <c r="V507" s="2">
        <v>304</v>
      </c>
      <c r="W507" t="s">
        <v>3149</v>
      </c>
      <c r="X507" s="2">
        <v>230</v>
      </c>
      <c r="Y507">
        <v>20</v>
      </c>
      <c r="Z507" t="s">
        <v>4561</v>
      </c>
      <c r="AA507" s="3">
        <v>0.137741044163704</v>
      </c>
      <c r="AB507" t="s">
        <v>7750</v>
      </c>
      <c r="AC507" t="s">
        <v>4575</v>
      </c>
      <c r="AD507" t="s">
        <v>7751</v>
      </c>
      <c r="AE507" t="s">
        <v>4655</v>
      </c>
      <c r="AF507" t="s">
        <v>4563</v>
      </c>
      <c r="AG507" t="s">
        <v>4564</v>
      </c>
      <c r="AH507">
        <v>89503</v>
      </c>
      <c r="AI507" t="s">
        <v>7752</v>
      </c>
      <c r="AJ507" t="s">
        <v>4655</v>
      </c>
      <c r="AK507" t="s">
        <v>7753</v>
      </c>
      <c r="AL507" s="13" t="s">
        <v>2255</v>
      </c>
      <c r="AM507">
        <v>1</v>
      </c>
      <c r="AN507" s="15" t="s">
        <v>2273</v>
      </c>
    </row>
    <row r="508" spans="1:40" x14ac:dyDescent="0.3">
      <c r="A508" s="10" t="str">
        <f>HYPERLINK("http://www.washoecounty.gov/assessor/cama/?parid=007-111-11&amp;CardNumber=1","007-111-11")</f>
        <v>007-111-11</v>
      </c>
      <c r="B508" t="s">
        <v>4655</v>
      </c>
      <c r="C508" t="s">
        <v>7754</v>
      </c>
      <c r="D508" s="1">
        <v>40464</v>
      </c>
      <c r="E508" s="2">
        <v>91000</v>
      </c>
      <c r="F508" t="s">
        <v>4553</v>
      </c>
      <c r="G508" s="17" t="str">
        <f>HYPERLINK("https://www.washoecounty.gov/assessor/cama/?command=sales&amp;parid=00711111","3932179")</f>
        <v>3932179</v>
      </c>
      <c r="H508" t="s">
        <v>3585</v>
      </c>
      <c r="I508">
        <v>1956</v>
      </c>
      <c r="J508">
        <v>1956</v>
      </c>
      <c r="K508" t="s">
        <v>4554</v>
      </c>
      <c r="L508" t="s">
        <v>4555</v>
      </c>
      <c r="M508" s="2">
        <v>1050</v>
      </c>
      <c r="N508" t="s">
        <v>4556</v>
      </c>
      <c r="O508">
        <v>2</v>
      </c>
      <c r="P508">
        <v>1</v>
      </c>
      <c r="Q508">
        <v>0</v>
      </c>
      <c r="R508" t="s">
        <v>4557</v>
      </c>
      <c r="S508" t="s">
        <v>4570</v>
      </c>
      <c r="T508" t="s">
        <v>4559</v>
      </c>
      <c r="U508" t="s">
        <v>4560</v>
      </c>
      <c r="V508" s="2">
        <v>300</v>
      </c>
      <c r="W508" t="s">
        <v>4655</v>
      </c>
      <c r="X508" s="2">
        <v>0</v>
      </c>
      <c r="Y508">
        <v>20</v>
      </c>
      <c r="Z508" t="s">
        <v>4144</v>
      </c>
      <c r="AA508" s="3">
        <v>0.137741044163704</v>
      </c>
      <c r="AB508" t="s">
        <v>7755</v>
      </c>
      <c r="AC508" t="s">
        <v>4562</v>
      </c>
      <c r="AD508" t="s">
        <v>7756</v>
      </c>
      <c r="AE508" t="s">
        <v>4655</v>
      </c>
      <c r="AF508" t="s">
        <v>4809</v>
      </c>
      <c r="AG508" t="s">
        <v>4564</v>
      </c>
      <c r="AH508" t="s">
        <v>1350</v>
      </c>
      <c r="AI508" t="s">
        <v>4045</v>
      </c>
      <c r="AJ508" t="s">
        <v>4655</v>
      </c>
      <c r="AK508" t="s">
        <v>7757</v>
      </c>
      <c r="AL508" s="13" t="s">
        <v>2255</v>
      </c>
      <c r="AM508">
        <v>1</v>
      </c>
      <c r="AN508" s="15" t="s">
        <v>2273</v>
      </c>
    </row>
    <row r="509" spans="1:40" x14ac:dyDescent="0.3">
      <c r="A509" s="10" t="str">
        <f>HYPERLINK("http://www.washoecounty.gov/assessor/cama/?parid=007-113-03&amp;CardNumber=1","007-113-03")</f>
        <v>007-113-03</v>
      </c>
      <c r="B509" t="s">
        <v>5502</v>
      </c>
      <c r="C509" t="s">
        <v>7758</v>
      </c>
      <c r="D509" s="1">
        <v>40354</v>
      </c>
      <c r="E509" s="2">
        <v>240000</v>
      </c>
      <c r="F509" t="s">
        <v>4567</v>
      </c>
      <c r="G509" s="17" t="str">
        <f>HYPERLINK("https://www.washoecounty.gov/assessor/cama/?command=sales&amp;parid=00711303","3895424")</f>
        <v>3895424</v>
      </c>
      <c r="H509" t="s">
        <v>3585</v>
      </c>
      <c r="I509">
        <v>1947</v>
      </c>
      <c r="J509">
        <v>1947</v>
      </c>
      <c r="K509" t="s">
        <v>4554</v>
      </c>
      <c r="L509" t="s">
        <v>4555</v>
      </c>
      <c r="M509" s="2">
        <v>703</v>
      </c>
      <c r="N509" t="s">
        <v>4556</v>
      </c>
      <c r="O509">
        <v>2</v>
      </c>
      <c r="P509">
        <v>1</v>
      </c>
      <c r="Q509">
        <v>1</v>
      </c>
      <c r="R509" t="s">
        <v>4557</v>
      </c>
      <c r="S509" t="s">
        <v>4682</v>
      </c>
      <c r="T509" t="s">
        <v>4559</v>
      </c>
      <c r="U509" t="s">
        <v>4655</v>
      </c>
      <c r="V509" s="2">
        <v>0</v>
      </c>
      <c r="W509" t="s">
        <v>4571</v>
      </c>
      <c r="X509" s="2">
        <v>644</v>
      </c>
      <c r="Y509">
        <v>31</v>
      </c>
      <c r="Z509" t="s">
        <v>4144</v>
      </c>
      <c r="AA509" s="3">
        <v>0.151400372385979</v>
      </c>
      <c r="AB509" t="s">
        <v>7759</v>
      </c>
      <c r="AC509" t="s">
        <v>4562</v>
      </c>
      <c r="AD509" t="s">
        <v>7760</v>
      </c>
      <c r="AE509" t="s">
        <v>4655</v>
      </c>
      <c r="AF509" t="s">
        <v>5151</v>
      </c>
      <c r="AG509" t="s">
        <v>4564</v>
      </c>
      <c r="AH509">
        <v>89703</v>
      </c>
      <c r="AI509" t="s">
        <v>7761</v>
      </c>
      <c r="AJ509" t="s">
        <v>4655</v>
      </c>
      <c r="AK509" t="s">
        <v>7762</v>
      </c>
      <c r="AL509" s="13" t="s">
        <v>2255</v>
      </c>
      <c r="AM509" s="14">
        <v>2</v>
      </c>
      <c r="AN509" s="15" t="s">
        <v>4211</v>
      </c>
    </row>
    <row r="510" spans="1:40" x14ac:dyDescent="0.3">
      <c r="A510" s="10" t="str">
        <f>HYPERLINK("http://www.washoecounty.gov/assessor/cama/?parid=007-114-03&amp;CardNumber=1","007-114-03")</f>
        <v>007-114-03</v>
      </c>
      <c r="B510" t="s">
        <v>4655</v>
      </c>
      <c r="C510" t="s">
        <v>7763</v>
      </c>
      <c r="D510" s="1">
        <v>40436</v>
      </c>
      <c r="E510" s="2">
        <v>56000</v>
      </c>
      <c r="F510" t="s">
        <v>4553</v>
      </c>
      <c r="G510" s="17" t="str">
        <f>HYPERLINK("https://www.washoecounty.gov/assessor/cama/?command=sales&amp;parid=00711403","3922586")</f>
        <v>3922586</v>
      </c>
      <c r="H510" t="s">
        <v>3585</v>
      </c>
      <c r="I510">
        <v>1932</v>
      </c>
      <c r="J510">
        <v>1932</v>
      </c>
      <c r="K510" t="s">
        <v>4554</v>
      </c>
      <c r="L510" t="s">
        <v>4555</v>
      </c>
      <c r="M510" s="2">
        <v>980</v>
      </c>
      <c r="N510" t="s">
        <v>4556</v>
      </c>
      <c r="O510">
        <v>2</v>
      </c>
      <c r="P510">
        <v>1</v>
      </c>
      <c r="Q510">
        <v>0</v>
      </c>
      <c r="R510" t="s">
        <v>4557</v>
      </c>
      <c r="S510" t="s">
        <v>4135</v>
      </c>
      <c r="T510" t="s">
        <v>4559</v>
      </c>
      <c r="U510" t="s">
        <v>4655</v>
      </c>
      <c r="V510" s="2">
        <v>0</v>
      </c>
      <c r="W510" t="s">
        <v>4571</v>
      </c>
      <c r="X510" s="2">
        <v>564</v>
      </c>
      <c r="Y510">
        <v>20</v>
      </c>
      <c r="Z510" t="s">
        <v>2705</v>
      </c>
      <c r="AA510" s="3">
        <v>0.13071624934673301</v>
      </c>
      <c r="AB510" t="s">
        <v>7764</v>
      </c>
      <c r="AC510" t="s">
        <v>4562</v>
      </c>
      <c r="AD510" t="s">
        <v>7763</v>
      </c>
      <c r="AE510" t="s">
        <v>4655</v>
      </c>
      <c r="AF510" t="s">
        <v>4563</v>
      </c>
      <c r="AG510" t="s">
        <v>4564</v>
      </c>
      <c r="AH510">
        <v>89503</v>
      </c>
      <c r="AI510" t="s">
        <v>7765</v>
      </c>
      <c r="AJ510" t="s">
        <v>4655</v>
      </c>
      <c r="AK510" t="s">
        <v>7766</v>
      </c>
      <c r="AL510" s="13" t="s">
        <v>2255</v>
      </c>
      <c r="AM510" s="14">
        <v>1</v>
      </c>
      <c r="AN510" s="15" t="s">
        <v>2273</v>
      </c>
    </row>
    <row r="511" spans="1:40" x14ac:dyDescent="0.3">
      <c r="A511" s="10" t="str">
        <f>HYPERLINK("http://www.washoecounty.gov/assessor/cama/?parid=007-114-10&amp;CardNumber=1","007-114-10")</f>
        <v>007-114-10</v>
      </c>
      <c r="B511" t="s">
        <v>4655</v>
      </c>
      <c r="C511" t="s">
        <v>7767</v>
      </c>
      <c r="D511" s="1">
        <v>40529</v>
      </c>
      <c r="E511" s="2">
        <v>190000</v>
      </c>
      <c r="F511" t="s">
        <v>4567</v>
      </c>
      <c r="G511" s="17" t="str">
        <f>HYPERLINK("https://www.washoecounty.gov/assessor/cama/?command=sales&amp;parid=00711410","3954851")</f>
        <v>3954851</v>
      </c>
      <c r="H511" t="s">
        <v>3585</v>
      </c>
      <c r="I511">
        <v>1941</v>
      </c>
      <c r="J511">
        <v>1941</v>
      </c>
      <c r="K511" t="s">
        <v>4907</v>
      </c>
      <c r="L511" t="s">
        <v>4555</v>
      </c>
      <c r="M511" s="2">
        <v>940</v>
      </c>
      <c r="N511" t="s">
        <v>4556</v>
      </c>
      <c r="O511">
        <v>6</v>
      </c>
      <c r="P511">
        <v>2</v>
      </c>
      <c r="Q511">
        <v>0</v>
      </c>
      <c r="R511" t="s">
        <v>4557</v>
      </c>
      <c r="S511" t="s">
        <v>4135</v>
      </c>
      <c r="T511" t="s">
        <v>4559</v>
      </c>
      <c r="U511" t="s">
        <v>4655</v>
      </c>
      <c r="V511" s="2">
        <v>0</v>
      </c>
      <c r="W511" t="s">
        <v>3201</v>
      </c>
      <c r="X511" s="2">
        <v>496</v>
      </c>
      <c r="Y511">
        <v>30</v>
      </c>
      <c r="Z511" t="s">
        <v>4144</v>
      </c>
      <c r="AA511" s="3">
        <v>0.13595041632652299</v>
      </c>
      <c r="AB511" t="s">
        <v>7768</v>
      </c>
      <c r="AC511" t="s">
        <v>4562</v>
      </c>
      <c r="AD511" t="s">
        <v>7769</v>
      </c>
      <c r="AE511" t="s">
        <v>4655</v>
      </c>
      <c r="AF511" t="s">
        <v>4563</v>
      </c>
      <c r="AG511" t="s">
        <v>4564</v>
      </c>
      <c r="AH511">
        <v>89502</v>
      </c>
      <c r="AI511" t="s">
        <v>7770</v>
      </c>
      <c r="AJ511" t="s">
        <v>4655</v>
      </c>
      <c r="AK511" t="s">
        <v>7771</v>
      </c>
      <c r="AL511" s="13" t="s">
        <v>2255</v>
      </c>
      <c r="AM511">
        <v>2</v>
      </c>
      <c r="AN511" s="15" t="s">
        <v>4211</v>
      </c>
    </row>
    <row r="512" spans="1:40" x14ac:dyDescent="0.3">
      <c r="A512" s="10" t="str">
        <f>HYPERLINK("http://www.washoecounty.gov/assessor/cama/?parid=007-114-13&amp;CardNumber=1","007-114-13")</f>
        <v>007-114-13</v>
      </c>
      <c r="B512" t="s">
        <v>4655</v>
      </c>
      <c r="C512" t="s">
        <v>7772</v>
      </c>
      <c r="D512" s="1">
        <v>40277</v>
      </c>
      <c r="E512" s="2">
        <v>175000</v>
      </c>
      <c r="F512" t="s">
        <v>4567</v>
      </c>
      <c r="G512" s="17" t="str">
        <f>HYPERLINK("https://www.washoecounty.gov/assessor/cama/?command=sales&amp;parid=00711413","3869473")</f>
        <v>3869473</v>
      </c>
      <c r="H512" t="s">
        <v>3585</v>
      </c>
      <c r="I512">
        <v>1947</v>
      </c>
      <c r="J512">
        <v>1950</v>
      </c>
      <c r="K512" t="s">
        <v>4554</v>
      </c>
      <c r="L512" t="s">
        <v>4555</v>
      </c>
      <c r="M512" s="2">
        <v>1024</v>
      </c>
      <c r="N512" t="s">
        <v>4556</v>
      </c>
      <c r="O512">
        <v>3</v>
      </c>
      <c r="P512">
        <v>1</v>
      </c>
      <c r="Q512">
        <v>0</v>
      </c>
      <c r="R512" t="s">
        <v>5281</v>
      </c>
      <c r="S512" t="s">
        <v>4135</v>
      </c>
      <c r="T512" t="s">
        <v>4559</v>
      </c>
      <c r="U512" t="s">
        <v>4655</v>
      </c>
      <c r="V512" s="2">
        <v>0</v>
      </c>
      <c r="W512" t="s">
        <v>4571</v>
      </c>
      <c r="X512" s="2">
        <v>942</v>
      </c>
      <c r="Y512">
        <v>20</v>
      </c>
      <c r="Z512" t="s">
        <v>4144</v>
      </c>
      <c r="AA512" s="3">
        <v>0.13298897445201899</v>
      </c>
      <c r="AB512" t="s">
        <v>7773</v>
      </c>
      <c r="AC512" t="s">
        <v>4575</v>
      </c>
      <c r="AD512" t="s">
        <v>7774</v>
      </c>
      <c r="AE512" t="s">
        <v>4655</v>
      </c>
      <c r="AF512" t="s">
        <v>1407</v>
      </c>
      <c r="AG512" t="s">
        <v>4564</v>
      </c>
      <c r="AH512">
        <v>89703</v>
      </c>
      <c r="AI512" t="s">
        <v>7775</v>
      </c>
      <c r="AJ512" t="s">
        <v>4655</v>
      </c>
      <c r="AK512" t="s">
        <v>7776</v>
      </c>
      <c r="AL512" s="13" t="s">
        <v>2255</v>
      </c>
      <c r="AM512" s="14">
        <v>1</v>
      </c>
      <c r="AN512" s="15" t="s">
        <v>2273</v>
      </c>
    </row>
    <row r="513" spans="1:40" x14ac:dyDescent="0.3">
      <c r="A513" s="10" t="str">
        <f>HYPERLINK("http://www.washoecounty.gov/assessor/cama/?parid=007-119-13&amp;CardNumber=1","007-119-13")</f>
        <v>007-119-13</v>
      </c>
      <c r="B513" t="s">
        <v>4655</v>
      </c>
      <c r="C513" t="s">
        <v>7777</v>
      </c>
      <c r="D513" s="1">
        <v>40421</v>
      </c>
      <c r="E513" s="2">
        <v>240000</v>
      </c>
      <c r="F513" t="s">
        <v>4567</v>
      </c>
      <c r="G513" s="17" t="str">
        <f>HYPERLINK("https://www.washoecounty.gov/assessor/cama/?command=sales&amp;parid=00711913","3917579")</f>
        <v>3917579</v>
      </c>
      <c r="H513" t="s">
        <v>3585</v>
      </c>
      <c r="I513">
        <v>1955</v>
      </c>
      <c r="J513">
        <v>1955</v>
      </c>
      <c r="K513" t="s">
        <v>3043</v>
      </c>
      <c r="L513" t="s">
        <v>4555</v>
      </c>
      <c r="M513" s="2">
        <v>1924</v>
      </c>
      <c r="N513" t="s">
        <v>4556</v>
      </c>
      <c r="O513">
        <v>4</v>
      </c>
      <c r="P513">
        <v>4</v>
      </c>
      <c r="Q513">
        <v>0</v>
      </c>
      <c r="R513" t="s">
        <v>1800</v>
      </c>
      <c r="S513" t="s">
        <v>3148</v>
      </c>
      <c r="T513" t="s">
        <v>4559</v>
      </c>
      <c r="U513" t="s">
        <v>4655</v>
      </c>
      <c r="V513" s="2">
        <v>0</v>
      </c>
      <c r="W513" t="s">
        <v>4655</v>
      </c>
      <c r="X513" s="2">
        <v>0</v>
      </c>
      <c r="Y513">
        <v>32</v>
      </c>
      <c r="Z513" t="s">
        <v>2705</v>
      </c>
      <c r="AA513" s="3">
        <v>0.15599173307418801</v>
      </c>
      <c r="AB513" t="s">
        <v>4834</v>
      </c>
      <c r="AC513" t="s">
        <v>4562</v>
      </c>
      <c r="AD513" t="s">
        <v>5623</v>
      </c>
      <c r="AE513" t="s">
        <v>4655</v>
      </c>
      <c r="AF513" t="s">
        <v>4563</v>
      </c>
      <c r="AG513" t="s">
        <v>4564</v>
      </c>
      <c r="AH513">
        <v>89502</v>
      </c>
      <c r="AI513" t="s">
        <v>7778</v>
      </c>
      <c r="AJ513" t="s">
        <v>7779</v>
      </c>
      <c r="AK513" t="s">
        <v>7780</v>
      </c>
      <c r="AL513" s="13" t="s">
        <v>2255</v>
      </c>
      <c r="AM513" s="14">
        <v>4</v>
      </c>
      <c r="AN513" s="15" t="s">
        <v>4211</v>
      </c>
    </row>
    <row r="514" spans="1:40" x14ac:dyDescent="0.3">
      <c r="A514" s="10" t="str">
        <f>HYPERLINK("http://www.washoecounty.gov/assessor/cama/?parid=007-124-01&amp;CardNumber=1","007-124-01")</f>
        <v>007-124-01</v>
      </c>
      <c r="B514" t="s">
        <v>4655</v>
      </c>
      <c r="C514" t="s">
        <v>7781</v>
      </c>
      <c r="D514" s="1">
        <v>40526</v>
      </c>
      <c r="E514" s="2">
        <v>240000</v>
      </c>
      <c r="F514" t="s">
        <v>4567</v>
      </c>
      <c r="G514" s="17" t="str">
        <f>HYPERLINK("https://www.washoecounty.gov/assessor/cama/?command=sales&amp;parid=00712401","3953356")</f>
        <v>3953356</v>
      </c>
      <c r="H514" t="s">
        <v>7782</v>
      </c>
      <c r="I514">
        <v>1996</v>
      </c>
      <c r="J514">
        <v>1996</v>
      </c>
      <c r="K514" t="s">
        <v>3043</v>
      </c>
      <c r="L514" t="s">
        <v>3974</v>
      </c>
      <c r="M514" s="2">
        <v>1496</v>
      </c>
      <c r="N514" t="s">
        <v>4556</v>
      </c>
      <c r="O514">
        <v>4</v>
      </c>
      <c r="P514">
        <v>4</v>
      </c>
      <c r="Q514">
        <v>0</v>
      </c>
      <c r="R514" t="s">
        <v>4134</v>
      </c>
      <c r="S514" t="s">
        <v>3148</v>
      </c>
      <c r="T514" t="s">
        <v>4559</v>
      </c>
      <c r="U514" t="s">
        <v>4655</v>
      </c>
      <c r="V514" s="2">
        <v>0</v>
      </c>
      <c r="W514" t="s">
        <v>4655</v>
      </c>
      <c r="X514" s="2">
        <v>0</v>
      </c>
      <c r="Y514">
        <v>32</v>
      </c>
      <c r="Z514" t="s">
        <v>2705</v>
      </c>
      <c r="AA514" s="3">
        <v>0.110422402620316</v>
      </c>
      <c r="AB514" t="s">
        <v>7783</v>
      </c>
      <c r="AC514" t="s">
        <v>4575</v>
      </c>
      <c r="AD514" t="s">
        <v>5251</v>
      </c>
      <c r="AE514" t="s">
        <v>4655</v>
      </c>
      <c r="AF514" t="s">
        <v>4563</v>
      </c>
      <c r="AG514" t="s">
        <v>4564</v>
      </c>
      <c r="AH514">
        <v>89509</v>
      </c>
      <c r="AI514" t="s">
        <v>5252</v>
      </c>
      <c r="AJ514" t="s">
        <v>4655</v>
      </c>
      <c r="AK514" t="s">
        <v>7784</v>
      </c>
      <c r="AL514" s="13" t="s">
        <v>2255</v>
      </c>
      <c r="AM514">
        <v>4</v>
      </c>
      <c r="AN514" s="15" t="s">
        <v>4211</v>
      </c>
    </row>
    <row r="515" spans="1:40" x14ac:dyDescent="0.3">
      <c r="A515" s="10" t="str">
        <f>HYPERLINK("http://www.washoecounty.gov/assessor/cama/?parid=007-142-02&amp;CardNumber=1","007-142-02")</f>
        <v>007-142-02</v>
      </c>
      <c r="B515" t="s">
        <v>4655</v>
      </c>
      <c r="C515" t="s">
        <v>7785</v>
      </c>
      <c r="D515" s="1">
        <v>40456</v>
      </c>
      <c r="E515" s="2">
        <v>132500</v>
      </c>
      <c r="F515" t="s">
        <v>4567</v>
      </c>
      <c r="G515" s="17" t="str">
        <f>HYPERLINK("https://www.washoecounty.gov/assessor/cama/?command=sales&amp;parid=00714202","3929672")</f>
        <v>3929672</v>
      </c>
      <c r="H515" t="s">
        <v>3823</v>
      </c>
      <c r="I515">
        <v>1940</v>
      </c>
      <c r="J515">
        <v>1940</v>
      </c>
      <c r="K515" t="s">
        <v>4554</v>
      </c>
      <c r="L515" t="s">
        <v>4555</v>
      </c>
      <c r="M515" s="2">
        <v>794</v>
      </c>
      <c r="N515" t="s">
        <v>4556</v>
      </c>
      <c r="O515">
        <v>2</v>
      </c>
      <c r="P515">
        <v>1</v>
      </c>
      <c r="Q515">
        <v>0</v>
      </c>
      <c r="R515" t="s">
        <v>1800</v>
      </c>
      <c r="S515" t="s">
        <v>4135</v>
      </c>
      <c r="T515" t="s">
        <v>4559</v>
      </c>
      <c r="U515" t="s">
        <v>4560</v>
      </c>
      <c r="V515" s="2">
        <v>231</v>
      </c>
      <c r="W515" t="s">
        <v>3149</v>
      </c>
      <c r="X515" s="2">
        <v>286</v>
      </c>
      <c r="Y515">
        <v>20</v>
      </c>
      <c r="Z515" t="s">
        <v>4144</v>
      </c>
      <c r="AA515" s="3">
        <v>8.0348946154117598E-2</v>
      </c>
      <c r="AB515" t="s">
        <v>7786</v>
      </c>
      <c r="AC515" t="s">
        <v>4575</v>
      </c>
      <c r="AD515" t="s">
        <v>7787</v>
      </c>
      <c r="AE515" t="s">
        <v>4655</v>
      </c>
      <c r="AF515" t="s">
        <v>3890</v>
      </c>
      <c r="AG515" t="s">
        <v>4564</v>
      </c>
      <c r="AH515" t="s">
        <v>3891</v>
      </c>
      <c r="AI515" t="s">
        <v>7788</v>
      </c>
      <c r="AJ515" t="s">
        <v>4655</v>
      </c>
      <c r="AK515" t="s">
        <v>7789</v>
      </c>
      <c r="AL515" s="13" t="s">
        <v>2255</v>
      </c>
      <c r="AM515">
        <v>1</v>
      </c>
      <c r="AN515" s="15" t="s">
        <v>2273</v>
      </c>
    </row>
    <row r="516" spans="1:40" x14ac:dyDescent="0.3">
      <c r="A516" s="10" t="str">
        <f>HYPERLINK("http://www.washoecounty.gov/assessor/cama/?parid=007-142-18&amp;CardNumber=1","007-142-18")</f>
        <v>007-142-18</v>
      </c>
      <c r="B516" t="s">
        <v>4655</v>
      </c>
      <c r="C516" t="s">
        <v>7790</v>
      </c>
      <c r="D516" s="1">
        <v>40400</v>
      </c>
      <c r="E516" s="2">
        <v>267500</v>
      </c>
      <c r="F516" t="s">
        <v>4567</v>
      </c>
      <c r="G516" s="17" t="str">
        <f>HYPERLINK("https://www.washoecounty.gov/assessor/cama/?command=sales&amp;parid=00714218","3910398")</f>
        <v>3910398</v>
      </c>
      <c r="H516" t="s">
        <v>3823</v>
      </c>
      <c r="I516">
        <v>1946</v>
      </c>
      <c r="J516">
        <v>1946</v>
      </c>
      <c r="K516" t="s">
        <v>3043</v>
      </c>
      <c r="L516" t="s">
        <v>3974</v>
      </c>
      <c r="M516" s="2">
        <v>2184</v>
      </c>
      <c r="N516" t="s">
        <v>4048</v>
      </c>
      <c r="O516">
        <v>5</v>
      </c>
      <c r="P516">
        <v>5</v>
      </c>
      <c r="Q516">
        <v>0</v>
      </c>
      <c r="R516" t="s">
        <v>4557</v>
      </c>
      <c r="S516" t="s">
        <v>4682</v>
      </c>
      <c r="T516" t="s">
        <v>4559</v>
      </c>
      <c r="U516" t="s">
        <v>5631</v>
      </c>
      <c r="V516" s="2">
        <v>624</v>
      </c>
      <c r="W516" t="s">
        <v>3149</v>
      </c>
      <c r="X516" s="2">
        <v>6560</v>
      </c>
      <c r="Y516">
        <v>32</v>
      </c>
      <c r="Z516" t="s">
        <v>4144</v>
      </c>
      <c r="AA516" s="3">
        <v>0.160697892308235</v>
      </c>
      <c r="AB516" t="s">
        <v>7791</v>
      </c>
      <c r="AC516" t="s">
        <v>4562</v>
      </c>
      <c r="AD516" t="s">
        <v>7792</v>
      </c>
      <c r="AE516" t="s">
        <v>4655</v>
      </c>
      <c r="AF516" t="s">
        <v>5151</v>
      </c>
      <c r="AG516" t="s">
        <v>4564</v>
      </c>
      <c r="AH516">
        <v>89703</v>
      </c>
      <c r="AI516" t="s">
        <v>5220</v>
      </c>
      <c r="AJ516" t="s">
        <v>4655</v>
      </c>
      <c r="AK516" t="s">
        <v>7793</v>
      </c>
      <c r="AL516" s="13" t="s">
        <v>2255</v>
      </c>
      <c r="AM516">
        <v>3</v>
      </c>
      <c r="AN516" s="15" t="s">
        <v>4211</v>
      </c>
    </row>
    <row r="517" spans="1:40" x14ac:dyDescent="0.3">
      <c r="A517" s="10" t="str">
        <f>HYPERLINK("http://www.washoecounty.gov/assessor/cama/?parid=007-151-07&amp;CardNumber=1","007-151-07")</f>
        <v>007-151-07</v>
      </c>
      <c r="B517" t="s">
        <v>4655</v>
      </c>
      <c r="C517" t="s">
        <v>7794</v>
      </c>
      <c r="D517" s="1">
        <v>40221</v>
      </c>
      <c r="E517" s="2">
        <v>200000</v>
      </c>
      <c r="F517" t="s">
        <v>4567</v>
      </c>
      <c r="G517" s="17" t="str">
        <f>HYPERLINK("https://www.washoecounty.gov/assessor/cama/?command=sales&amp;parid=00715107","3848868")</f>
        <v>3848868</v>
      </c>
      <c r="H517" t="s">
        <v>7795</v>
      </c>
      <c r="I517">
        <v>1950</v>
      </c>
      <c r="J517">
        <v>1950</v>
      </c>
      <c r="K517" t="s">
        <v>4907</v>
      </c>
      <c r="L517" t="s">
        <v>3974</v>
      </c>
      <c r="M517" s="2">
        <v>1788</v>
      </c>
      <c r="N517" t="s">
        <v>4556</v>
      </c>
      <c r="O517">
        <v>4</v>
      </c>
      <c r="P517">
        <v>2</v>
      </c>
      <c r="Q517">
        <v>0</v>
      </c>
      <c r="R517" t="s">
        <v>4557</v>
      </c>
      <c r="S517" t="s">
        <v>4570</v>
      </c>
      <c r="T517" t="s">
        <v>4559</v>
      </c>
      <c r="U517" t="s">
        <v>5631</v>
      </c>
      <c r="V517" s="2">
        <v>484</v>
      </c>
      <c r="W517" t="s">
        <v>4655</v>
      </c>
      <c r="X517" s="2">
        <v>0</v>
      </c>
      <c r="Y517">
        <v>30</v>
      </c>
      <c r="Z517" t="s">
        <v>2705</v>
      </c>
      <c r="AA517" s="3">
        <v>0.15199723839759827</v>
      </c>
      <c r="AB517" t="s">
        <v>3774</v>
      </c>
      <c r="AC517" t="s">
        <v>4562</v>
      </c>
      <c r="AD517" t="s">
        <v>5046</v>
      </c>
      <c r="AE517" t="s">
        <v>4655</v>
      </c>
      <c r="AF517" t="s">
        <v>5206</v>
      </c>
      <c r="AG517" t="s">
        <v>4564</v>
      </c>
      <c r="AH517" t="s">
        <v>5207</v>
      </c>
      <c r="AI517" t="s">
        <v>7796</v>
      </c>
      <c r="AJ517" t="s">
        <v>4655</v>
      </c>
      <c r="AK517" t="s">
        <v>7797</v>
      </c>
      <c r="AL517" s="13" t="s">
        <v>2255</v>
      </c>
      <c r="AM517" s="14">
        <v>2</v>
      </c>
      <c r="AN517" s="15" t="s">
        <v>4211</v>
      </c>
    </row>
    <row r="518" spans="1:40" x14ac:dyDescent="0.3">
      <c r="A518" s="10" t="str">
        <f>HYPERLINK("http://www.washoecounty.gov/assessor/cama/?parid=007-151-12&amp;CardNumber=1","007-151-12")</f>
        <v>007-151-12</v>
      </c>
      <c r="B518" t="s">
        <v>4655</v>
      </c>
      <c r="C518" t="s">
        <v>7798</v>
      </c>
      <c r="D518" s="1">
        <v>40239</v>
      </c>
      <c r="E518" s="2">
        <v>172000</v>
      </c>
      <c r="F518" t="s">
        <v>4567</v>
      </c>
      <c r="G518" s="17" t="str">
        <f>HYPERLINK("https://www.washoecounty.gov/assessor/cama/?command=sales&amp;parid=00715112","3854366")</f>
        <v>3854366</v>
      </c>
      <c r="H518" t="s">
        <v>7795</v>
      </c>
      <c r="I518">
        <v>1959</v>
      </c>
      <c r="J518">
        <v>1959</v>
      </c>
      <c r="K518" t="s">
        <v>4907</v>
      </c>
      <c r="L518" t="s">
        <v>4555</v>
      </c>
      <c r="M518" s="2">
        <v>1235</v>
      </c>
      <c r="N518" t="s">
        <v>4556</v>
      </c>
      <c r="O518">
        <v>4</v>
      </c>
      <c r="P518">
        <v>2</v>
      </c>
      <c r="Q518">
        <v>0</v>
      </c>
      <c r="R518" t="s">
        <v>4557</v>
      </c>
      <c r="S518" t="s">
        <v>4135</v>
      </c>
      <c r="T518" t="s">
        <v>4559</v>
      </c>
      <c r="U518" t="s">
        <v>4655</v>
      </c>
      <c r="V518" s="2">
        <v>0</v>
      </c>
      <c r="W518" t="s">
        <v>4655</v>
      </c>
      <c r="X518" s="2">
        <v>0</v>
      </c>
      <c r="Y518">
        <v>30</v>
      </c>
      <c r="Z518" t="s">
        <v>2705</v>
      </c>
      <c r="AA518" s="3">
        <v>0.19862258434295654</v>
      </c>
      <c r="AB518" t="s">
        <v>3774</v>
      </c>
      <c r="AC518" t="s">
        <v>4562</v>
      </c>
      <c r="AD518" t="s">
        <v>5046</v>
      </c>
      <c r="AE518" t="s">
        <v>4655</v>
      </c>
      <c r="AF518" t="s">
        <v>5206</v>
      </c>
      <c r="AG518" t="s">
        <v>4564</v>
      </c>
      <c r="AH518" t="s">
        <v>5207</v>
      </c>
      <c r="AI518" t="s">
        <v>7799</v>
      </c>
      <c r="AJ518" t="s">
        <v>4655</v>
      </c>
      <c r="AK518" t="s">
        <v>7800</v>
      </c>
      <c r="AL518" s="13" t="s">
        <v>2255</v>
      </c>
      <c r="AM518">
        <v>2</v>
      </c>
      <c r="AN518" s="15" t="s">
        <v>4211</v>
      </c>
    </row>
    <row r="519" spans="1:40" x14ac:dyDescent="0.3">
      <c r="A519" s="10" t="str">
        <f>HYPERLINK("http://www.washoecounty.gov/assessor/cama/?parid=007-151-18&amp;CardNumber=1","007-151-18")</f>
        <v>007-151-18</v>
      </c>
      <c r="B519" t="s">
        <v>4655</v>
      </c>
      <c r="C519" t="s">
        <v>7801</v>
      </c>
      <c r="D519" s="1">
        <v>40515</v>
      </c>
      <c r="E519" s="2">
        <v>156000</v>
      </c>
      <c r="F519" t="s">
        <v>4567</v>
      </c>
      <c r="G519" s="17" t="str">
        <f>HYPERLINK("https://www.washoecounty.gov/assessor/cama/?command=sales&amp;parid=00715118","3949263")</f>
        <v>3949263</v>
      </c>
      <c r="H519" t="s">
        <v>7795</v>
      </c>
      <c r="I519">
        <v>1956</v>
      </c>
      <c r="J519">
        <v>1956</v>
      </c>
      <c r="K519" t="s">
        <v>4907</v>
      </c>
      <c r="L519" t="s">
        <v>4555</v>
      </c>
      <c r="M519" s="2">
        <v>1459</v>
      </c>
      <c r="N519" t="s">
        <v>4556</v>
      </c>
      <c r="O519">
        <v>6</v>
      </c>
      <c r="P519">
        <v>2</v>
      </c>
      <c r="Q519">
        <v>0</v>
      </c>
      <c r="R519" t="s">
        <v>4134</v>
      </c>
      <c r="S519" t="s">
        <v>4574</v>
      </c>
      <c r="T519" t="s">
        <v>4559</v>
      </c>
      <c r="U519" t="s">
        <v>4560</v>
      </c>
      <c r="V519" s="2">
        <v>325</v>
      </c>
      <c r="W519" t="s">
        <v>4655</v>
      </c>
      <c r="X519" s="2">
        <v>0</v>
      </c>
      <c r="Y519">
        <v>30</v>
      </c>
      <c r="Z519" t="s">
        <v>2705</v>
      </c>
      <c r="AA519" s="3">
        <v>0.158608809113503</v>
      </c>
      <c r="AB519" t="s">
        <v>7802</v>
      </c>
      <c r="AC519" t="s">
        <v>4562</v>
      </c>
      <c r="AD519" t="s">
        <v>7801</v>
      </c>
      <c r="AE519" t="s">
        <v>4655</v>
      </c>
      <c r="AF519" t="s">
        <v>4563</v>
      </c>
      <c r="AG519" t="s">
        <v>4564</v>
      </c>
      <c r="AH519">
        <v>89503</v>
      </c>
      <c r="AI519" t="s">
        <v>4911</v>
      </c>
      <c r="AJ519" t="s">
        <v>4655</v>
      </c>
      <c r="AK519" t="s">
        <v>7803</v>
      </c>
      <c r="AL519" s="13" t="s">
        <v>2255</v>
      </c>
      <c r="AM519">
        <v>2</v>
      </c>
      <c r="AN519" s="15" t="s">
        <v>4211</v>
      </c>
    </row>
    <row r="520" spans="1:40" x14ac:dyDescent="0.3">
      <c r="A520" s="10" t="str">
        <f>HYPERLINK("http://www.washoecounty.gov/assessor/cama/?parid=007-152-15&amp;CardNumber=1","007-152-15")</f>
        <v>007-152-15</v>
      </c>
      <c r="B520" t="s">
        <v>4655</v>
      </c>
      <c r="C520" t="s">
        <v>7804</v>
      </c>
      <c r="D520" s="1">
        <v>40500</v>
      </c>
      <c r="E520" s="2">
        <v>199000</v>
      </c>
      <c r="F520" t="s">
        <v>4567</v>
      </c>
      <c r="G520" s="17" t="str">
        <f>HYPERLINK("https://www.washoecounty.gov/assessor/cama/?command=sales&amp;parid=00715215","3944671")</f>
        <v>3944671</v>
      </c>
      <c r="H520" t="s">
        <v>7805</v>
      </c>
      <c r="I520">
        <v>1948</v>
      </c>
      <c r="J520">
        <v>1948</v>
      </c>
      <c r="K520" t="s">
        <v>3043</v>
      </c>
      <c r="L520" t="s">
        <v>4555</v>
      </c>
      <c r="M520" s="2">
        <v>1114</v>
      </c>
      <c r="N520" t="s">
        <v>4556</v>
      </c>
      <c r="O520">
        <v>6</v>
      </c>
      <c r="P520">
        <v>4</v>
      </c>
      <c r="Q520">
        <v>0</v>
      </c>
      <c r="R520" t="s">
        <v>4557</v>
      </c>
      <c r="S520" t="s">
        <v>4135</v>
      </c>
      <c r="T520" t="s">
        <v>4559</v>
      </c>
      <c r="U520" t="s">
        <v>4655</v>
      </c>
      <c r="V520" s="2">
        <v>0</v>
      </c>
      <c r="W520" t="s">
        <v>3149</v>
      </c>
      <c r="X520" s="2">
        <v>982</v>
      </c>
      <c r="Y520">
        <v>32</v>
      </c>
      <c r="Z520" t="s">
        <v>2705</v>
      </c>
      <c r="AA520" s="3">
        <v>8.8429749011993394E-2</v>
      </c>
      <c r="AB520" t="s">
        <v>7806</v>
      </c>
      <c r="AC520" t="s">
        <v>4562</v>
      </c>
      <c r="AD520" t="s">
        <v>7807</v>
      </c>
      <c r="AE520" t="s">
        <v>4655</v>
      </c>
      <c r="AF520" t="s">
        <v>4563</v>
      </c>
      <c r="AG520" t="s">
        <v>4564</v>
      </c>
      <c r="AH520">
        <v>89507</v>
      </c>
      <c r="AI520" t="s">
        <v>7808</v>
      </c>
      <c r="AJ520" t="s">
        <v>4655</v>
      </c>
      <c r="AK520" t="s">
        <v>7809</v>
      </c>
      <c r="AL520" s="13" t="s">
        <v>2255</v>
      </c>
      <c r="AM520">
        <v>4</v>
      </c>
      <c r="AN520" s="15" t="s">
        <v>4211</v>
      </c>
    </row>
    <row r="521" spans="1:40" x14ac:dyDescent="0.3">
      <c r="A521" s="10" t="str">
        <f>HYPERLINK("http://www.washoecounty.gov/assessor/cama/?parid=007-171-29&amp;CardNumber=1","007-171-29")</f>
        <v>007-171-29</v>
      </c>
      <c r="B521" t="s">
        <v>4655</v>
      </c>
      <c r="C521" t="s">
        <v>7810</v>
      </c>
      <c r="D521" s="1">
        <v>40304</v>
      </c>
      <c r="E521" s="2">
        <v>142197</v>
      </c>
      <c r="F521" t="s">
        <v>4553</v>
      </c>
      <c r="G521" s="17" t="str">
        <f>HYPERLINK("https://www.washoecounty.gov/assessor/cama/?command=sales&amp;parid=00717129","3878751")</f>
        <v>3878751</v>
      </c>
      <c r="H521" t="s">
        <v>7811</v>
      </c>
      <c r="I521">
        <v>1941</v>
      </c>
      <c r="J521">
        <v>1941</v>
      </c>
      <c r="K521" t="s">
        <v>4554</v>
      </c>
      <c r="L521" t="s">
        <v>4555</v>
      </c>
      <c r="M521" s="2">
        <v>984</v>
      </c>
      <c r="N521" t="s">
        <v>4556</v>
      </c>
      <c r="O521">
        <v>2</v>
      </c>
      <c r="P521">
        <v>2</v>
      </c>
      <c r="Q521">
        <v>0</v>
      </c>
      <c r="R521" t="s">
        <v>4557</v>
      </c>
      <c r="S521" t="s">
        <v>4574</v>
      </c>
      <c r="T521" t="s">
        <v>4559</v>
      </c>
      <c r="U521" t="s">
        <v>4655</v>
      </c>
      <c r="V521" s="2">
        <v>0</v>
      </c>
      <c r="W521" t="s">
        <v>3149</v>
      </c>
      <c r="X521" s="2">
        <v>984</v>
      </c>
      <c r="Y521">
        <v>20</v>
      </c>
      <c r="Z521" t="s">
        <v>2705</v>
      </c>
      <c r="AA521" s="3">
        <v>0.137741044163704</v>
      </c>
      <c r="AB521" t="s">
        <v>7812</v>
      </c>
      <c r="AC521" t="s">
        <v>4562</v>
      </c>
      <c r="AD521" t="s">
        <v>7813</v>
      </c>
      <c r="AE521" t="s">
        <v>4655</v>
      </c>
      <c r="AF521" t="s">
        <v>4563</v>
      </c>
      <c r="AG521" t="s">
        <v>4564</v>
      </c>
      <c r="AH521">
        <v>89503</v>
      </c>
      <c r="AI521" t="s">
        <v>949</v>
      </c>
      <c r="AJ521" t="s">
        <v>4655</v>
      </c>
      <c r="AK521" t="s">
        <v>7814</v>
      </c>
      <c r="AL521" s="13" t="s">
        <v>2255</v>
      </c>
      <c r="AM521">
        <v>1</v>
      </c>
      <c r="AN521" s="15" t="s">
        <v>2273</v>
      </c>
    </row>
    <row r="522" spans="1:40" x14ac:dyDescent="0.3">
      <c r="A522" s="10" t="str">
        <f>HYPERLINK("http://www.washoecounty.gov/assessor/cama/?parid=007-182-10&amp;CardNumber=1","007-182-10")</f>
        <v>007-182-10</v>
      </c>
      <c r="B522" t="s">
        <v>4655</v>
      </c>
      <c r="C522" t="s">
        <v>7815</v>
      </c>
      <c r="D522" s="1">
        <v>40319</v>
      </c>
      <c r="E522" s="2">
        <v>132000</v>
      </c>
      <c r="F522" t="s">
        <v>3259</v>
      </c>
      <c r="G522" s="17" t="str">
        <f>HYPERLINK("https://www.washoecounty.gov/assessor/cama/?command=sales&amp;parid=00718210","3884026")</f>
        <v>3884026</v>
      </c>
      <c r="H522" t="s">
        <v>7816</v>
      </c>
      <c r="I522">
        <v>1920</v>
      </c>
      <c r="J522">
        <v>1930</v>
      </c>
      <c r="K522" t="s">
        <v>1391</v>
      </c>
      <c r="L522" t="s">
        <v>3886</v>
      </c>
      <c r="M522" s="2">
        <v>1363</v>
      </c>
      <c r="N522" t="s">
        <v>5280</v>
      </c>
      <c r="O522">
        <v>0</v>
      </c>
      <c r="P522">
        <v>1</v>
      </c>
      <c r="Q522">
        <v>0</v>
      </c>
      <c r="R522" t="s">
        <v>4557</v>
      </c>
      <c r="S522" t="s">
        <v>4135</v>
      </c>
      <c r="T522" t="s">
        <v>4559</v>
      </c>
      <c r="U522" t="s">
        <v>4655</v>
      </c>
      <c r="V522" s="2">
        <v>0</v>
      </c>
      <c r="W522" t="s">
        <v>3149</v>
      </c>
      <c r="X522" s="2">
        <v>797</v>
      </c>
      <c r="Y522">
        <v>41</v>
      </c>
      <c r="Z522" t="s">
        <v>3288</v>
      </c>
      <c r="AA522" s="3">
        <v>0.12424242496490499</v>
      </c>
      <c r="AB522" t="s">
        <v>7817</v>
      </c>
      <c r="AC522" t="s">
        <v>4562</v>
      </c>
      <c r="AD522" t="s">
        <v>7818</v>
      </c>
      <c r="AE522" t="s">
        <v>4655</v>
      </c>
      <c r="AF522" t="s">
        <v>4809</v>
      </c>
      <c r="AG522" t="s">
        <v>4564</v>
      </c>
      <c r="AH522" t="s">
        <v>5202</v>
      </c>
      <c r="AI522" t="s">
        <v>4655</v>
      </c>
      <c r="AJ522" t="s">
        <v>4655</v>
      </c>
      <c r="AK522" t="s">
        <v>7819</v>
      </c>
      <c r="AL522" s="13" t="s">
        <v>2256</v>
      </c>
      <c r="AM522" s="14">
        <v>1</v>
      </c>
      <c r="AN522" s="15" t="s">
        <v>7725</v>
      </c>
    </row>
    <row r="523" spans="1:40" x14ac:dyDescent="0.3">
      <c r="A523" s="10" t="str">
        <f>HYPERLINK("http://www.washoecounty.gov/assessor/cama/?parid=007-191-02&amp;CardNumber=1","007-191-02")</f>
        <v>007-191-02</v>
      </c>
      <c r="B523" t="s">
        <v>4655</v>
      </c>
      <c r="C523" t="s">
        <v>7820</v>
      </c>
      <c r="D523" s="1">
        <v>40423</v>
      </c>
      <c r="E523" s="2">
        <v>100000</v>
      </c>
      <c r="F523" t="s">
        <v>4567</v>
      </c>
      <c r="G523" s="17" t="str">
        <f>HYPERLINK("https://www.washoecounty.gov/assessor/cama/?command=sales&amp;parid=00719102","3918298")</f>
        <v>3918298</v>
      </c>
      <c r="H523" t="s">
        <v>7821</v>
      </c>
      <c r="I523">
        <v>1932</v>
      </c>
      <c r="J523">
        <v>1932</v>
      </c>
      <c r="K523" t="s">
        <v>4554</v>
      </c>
      <c r="L523" t="s">
        <v>4555</v>
      </c>
      <c r="M523" s="2">
        <v>810</v>
      </c>
      <c r="N523" t="s">
        <v>4556</v>
      </c>
      <c r="O523">
        <v>2</v>
      </c>
      <c r="P523">
        <v>1</v>
      </c>
      <c r="Q523">
        <v>0</v>
      </c>
      <c r="R523" t="s">
        <v>1800</v>
      </c>
      <c r="S523" t="s">
        <v>4135</v>
      </c>
      <c r="T523" t="s">
        <v>4559</v>
      </c>
      <c r="U523" t="s">
        <v>4655</v>
      </c>
      <c r="V523" s="2">
        <v>0</v>
      </c>
      <c r="W523" t="s">
        <v>3149</v>
      </c>
      <c r="X523" s="2">
        <v>252</v>
      </c>
      <c r="Y523">
        <v>20</v>
      </c>
      <c r="Z523" t="s">
        <v>2705</v>
      </c>
      <c r="AA523" s="3">
        <v>0.15663452446460699</v>
      </c>
      <c r="AB523" t="s">
        <v>7822</v>
      </c>
      <c r="AC523" t="s">
        <v>4575</v>
      </c>
      <c r="AD523" t="s">
        <v>7823</v>
      </c>
      <c r="AE523" t="s">
        <v>4655</v>
      </c>
      <c r="AF523" t="s">
        <v>4563</v>
      </c>
      <c r="AG523" t="s">
        <v>4564</v>
      </c>
      <c r="AH523">
        <v>89512</v>
      </c>
      <c r="AI523" t="s">
        <v>7824</v>
      </c>
      <c r="AJ523" t="s">
        <v>4655</v>
      </c>
      <c r="AK523" t="s">
        <v>7825</v>
      </c>
      <c r="AL523" s="13" t="s">
        <v>2255</v>
      </c>
      <c r="AM523" s="14">
        <v>1</v>
      </c>
      <c r="AN523" s="15" t="s">
        <v>2273</v>
      </c>
    </row>
    <row r="524" spans="1:40" x14ac:dyDescent="0.3">
      <c r="A524" s="10" t="str">
        <f>HYPERLINK("http://www.washoecounty.gov/assessor/cama/?parid=007-201-01&amp;CardNumber=1","007-201-01")</f>
        <v>007-201-01</v>
      </c>
      <c r="B524" t="s">
        <v>4655</v>
      </c>
      <c r="C524" t="s">
        <v>7826</v>
      </c>
      <c r="D524" s="1">
        <v>40421</v>
      </c>
      <c r="E524" s="2">
        <v>115000</v>
      </c>
      <c r="F524" t="s">
        <v>4553</v>
      </c>
      <c r="G524" s="17" t="str">
        <f>HYPERLINK("https://www.washoecounty.gov/assessor/cama/?command=sales&amp;parid=00720101","3917241")</f>
        <v>3917241</v>
      </c>
      <c r="H524" t="s">
        <v>1441</v>
      </c>
      <c r="I524">
        <v>1920</v>
      </c>
      <c r="J524">
        <v>1932</v>
      </c>
      <c r="K524" t="s">
        <v>4554</v>
      </c>
      <c r="L524" t="s">
        <v>4555</v>
      </c>
      <c r="M524" s="2">
        <v>1247</v>
      </c>
      <c r="N524" t="s">
        <v>4556</v>
      </c>
      <c r="O524">
        <v>2</v>
      </c>
      <c r="P524">
        <v>1</v>
      </c>
      <c r="Q524">
        <v>0</v>
      </c>
      <c r="R524" t="s">
        <v>4557</v>
      </c>
      <c r="S524" t="s">
        <v>4135</v>
      </c>
      <c r="T524" t="s">
        <v>4559</v>
      </c>
      <c r="U524" t="s">
        <v>4655</v>
      </c>
      <c r="V524" s="2">
        <v>0</v>
      </c>
      <c r="W524" t="s">
        <v>4655</v>
      </c>
      <c r="X524" s="2">
        <v>0</v>
      </c>
      <c r="Y524">
        <v>20</v>
      </c>
      <c r="Z524" t="s">
        <v>2705</v>
      </c>
      <c r="AA524" s="3">
        <v>0.103305786848068</v>
      </c>
      <c r="AB524" t="s">
        <v>1442</v>
      </c>
      <c r="AC524" t="s">
        <v>4562</v>
      </c>
      <c r="AD524" t="s">
        <v>1443</v>
      </c>
      <c r="AE524" t="s">
        <v>4655</v>
      </c>
      <c r="AF524" t="s">
        <v>4563</v>
      </c>
      <c r="AG524" t="s">
        <v>4564</v>
      </c>
      <c r="AH524">
        <v>89503</v>
      </c>
      <c r="AI524" t="s">
        <v>5209</v>
      </c>
      <c r="AJ524" t="s">
        <v>4655</v>
      </c>
      <c r="AK524" t="s">
        <v>7827</v>
      </c>
      <c r="AL524" s="13" t="s">
        <v>2255</v>
      </c>
      <c r="AM524" s="14">
        <v>1</v>
      </c>
      <c r="AN524" s="15" t="s">
        <v>2273</v>
      </c>
    </row>
    <row r="525" spans="1:40" x14ac:dyDescent="0.3">
      <c r="A525" s="10" t="str">
        <f>HYPERLINK("http://www.washoecounty.gov/assessor/cama/?parid=007-223-07&amp;CardNumber=1","007-223-07")</f>
        <v>007-223-07</v>
      </c>
      <c r="B525" t="s">
        <v>4655</v>
      </c>
      <c r="C525" t="s">
        <v>7828</v>
      </c>
      <c r="D525" s="1">
        <v>40298</v>
      </c>
      <c r="E525" s="2">
        <v>160000</v>
      </c>
      <c r="F525" t="s">
        <v>4567</v>
      </c>
      <c r="G525" s="17" t="str">
        <f>HYPERLINK("https://www.washoecounty.gov/assessor/cama/?command=sales&amp;parid=00722307","3876626")</f>
        <v>3876626</v>
      </c>
      <c r="H525" t="s">
        <v>4532</v>
      </c>
      <c r="I525">
        <v>1923</v>
      </c>
      <c r="J525">
        <v>1923</v>
      </c>
      <c r="K525" t="s">
        <v>4907</v>
      </c>
      <c r="L525" t="s">
        <v>4555</v>
      </c>
      <c r="M525" s="2">
        <v>1350</v>
      </c>
      <c r="N525" t="s">
        <v>4048</v>
      </c>
      <c r="O525">
        <v>2</v>
      </c>
      <c r="P525">
        <v>2</v>
      </c>
      <c r="Q525">
        <v>0</v>
      </c>
      <c r="R525" t="s">
        <v>4557</v>
      </c>
      <c r="S525" t="s">
        <v>3046</v>
      </c>
      <c r="T525" t="s">
        <v>4559</v>
      </c>
      <c r="U525" t="s">
        <v>4655</v>
      </c>
      <c r="V525" s="2">
        <v>0</v>
      </c>
      <c r="W525" t="s">
        <v>3149</v>
      </c>
      <c r="X525" s="2">
        <v>1350</v>
      </c>
      <c r="Y525">
        <v>30</v>
      </c>
      <c r="Z525" t="s">
        <v>3047</v>
      </c>
      <c r="AA525" s="3">
        <v>0.10579660534858699</v>
      </c>
      <c r="AB525" t="s">
        <v>7829</v>
      </c>
      <c r="AC525" t="s">
        <v>4575</v>
      </c>
      <c r="AD525" t="s">
        <v>7830</v>
      </c>
      <c r="AE525" t="s">
        <v>4655</v>
      </c>
      <c r="AF525" t="s">
        <v>3876</v>
      </c>
      <c r="AG525" t="s">
        <v>4564</v>
      </c>
      <c r="AH525" t="s">
        <v>3877</v>
      </c>
      <c r="AI525" t="s">
        <v>4655</v>
      </c>
      <c r="AJ525" t="s">
        <v>4655</v>
      </c>
      <c r="AK525" t="s">
        <v>7831</v>
      </c>
      <c r="AL525" s="13" t="s">
        <v>2256</v>
      </c>
      <c r="AM525" s="14">
        <v>2</v>
      </c>
      <c r="AN525" s="15" t="s">
        <v>7832</v>
      </c>
    </row>
    <row r="526" spans="1:40" x14ac:dyDescent="0.3">
      <c r="A526" s="10" t="str">
        <f>HYPERLINK("http://www.washoecounty.gov/assessor/cama/?parid=007-223-07&amp;CardNumber=1","007-223-07")</f>
        <v>007-223-07</v>
      </c>
      <c r="B526" t="s">
        <v>4655</v>
      </c>
      <c r="C526" t="s">
        <v>7828</v>
      </c>
      <c r="D526" s="1">
        <v>40298</v>
      </c>
      <c r="E526" s="2">
        <v>160000</v>
      </c>
      <c r="F526" t="s">
        <v>4567</v>
      </c>
      <c r="G526" s="17" t="str">
        <f>HYPERLINK("https://www.washoecounty.gov/assessor/cama/?command=sales&amp;parid=00722307","3876627")</f>
        <v>3876627</v>
      </c>
      <c r="H526" t="s">
        <v>4532</v>
      </c>
      <c r="I526">
        <v>1923</v>
      </c>
      <c r="J526">
        <v>1923</v>
      </c>
      <c r="K526" t="s">
        <v>4907</v>
      </c>
      <c r="L526" t="s">
        <v>4555</v>
      </c>
      <c r="M526" s="2">
        <v>1350</v>
      </c>
      <c r="N526" t="s">
        <v>4048</v>
      </c>
      <c r="O526">
        <v>2</v>
      </c>
      <c r="P526">
        <v>2</v>
      </c>
      <c r="Q526">
        <v>0</v>
      </c>
      <c r="R526" t="s">
        <v>4557</v>
      </c>
      <c r="S526" t="s">
        <v>3046</v>
      </c>
      <c r="T526" t="s">
        <v>4559</v>
      </c>
      <c r="U526" t="s">
        <v>4655</v>
      </c>
      <c r="V526" s="2">
        <v>0</v>
      </c>
      <c r="W526" t="s">
        <v>3149</v>
      </c>
      <c r="X526" s="2">
        <v>1350</v>
      </c>
      <c r="Y526">
        <v>30</v>
      </c>
      <c r="Z526" t="s">
        <v>3047</v>
      </c>
      <c r="AA526" s="3">
        <v>0.10579660534858699</v>
      </c>
      <c r="AB526" t="s">
        <v>7829</v>
      </c>
      <c r="AC526" t="s">
        <v>4575</v>
      </c>
      <c r="AD526" t="s">
        <v>7830</v>
      </c>
      <c r="AE526" t="s">
        <v>4655</v>
      </c>
      <c r="AF526" t="s">
        <v>3876</v>
      </c>
      <c r="AG526" t="s">
        <v>4564</v>
      </c>
      <c r="AH526" t="s">
        <v>3877</v>
      </c>
      <c r="AI526" t="s">
        <v>4655</v>
      </c>
      <c r="AJ526" t="s">
        <v>4655</v>
      </c>
      <c r="AK526" t="s">
        <v>7831</v>
      </c>
      <c r="AL526" s="13" t="s">
        <v>2256</v>
      </c>
      <c r="AM526" s="14">
        <v>2</v>
      </c>
      <c r="AN526" s="15" t="s">
        <v>7832</v>
      </c>
    </row>
    <row r="527" spans="1:40" x14ac:dyDescent="0.3">
      <c r="A527" s="10" t="str">
        <f>HYPERLINK("http://www.washoecounty.gov/assessor/cama/?parid=007-223-07&amp;CardNumber=1","007-223-07")</f>
        <v>007-223-07</v>
      </c>
      <c r="B527" t="s">
        <v>4655</v>
      </c>
      <c r="C527" t="s">
        <v>7828</v>
      </c>
      <c r="D527" s="1">
        <v>40298</v>
      </c>
      <c r="E527" s="2">
        <v>160000</v>
      </c>
      <c r="F527" t="s">
        <v>4567</v>
      </c>
      <c r="G527" s="17" t="str">
        <f>HYPERLINK("https://www.washoecounty.gov/assessor/cama/?command=sales&amp;parid=00722307","3876628")</f>
        <v>3876628</v>
      </c>
      <c r="H527" t="s">
        <v>4532</v>
      </c>
      <c r="I527">
        <v>1923</v>
      </c>
      <c r="J527">
        <v>1923</v>
      </c>
      <c r="K527" t="s">
        <v>4907</v>
      </c>
      <c r="L527" t="s">
        <v>4555</v>
      </c>
      <c r="M527" s="2">
        <v>1350</v>
      </c>
      <c r="N527" t="s">
        <v>4048</v>
      </c>
      <c r="O527">
        <v>2</v>
      </c>
      <c r="P527">
        <v>2</v>
      </c>
      <c r="Q527">
        <v>0</v>
      </c>
      <c r="R527" t="s">
        <v>4557</v>
      </c>
      <c r="S527" t="s">
        <v>3046</v>
      </c>
      <c r="T527" t="s">
        <v>4559</v>
      </c>
      <c r="U527" t="s">
        <v>4655</v>
      </c>
      <c r="V527" s="2">
        <v>0</v>
      </c>
      <c r="W527" t="s">
        <v>3149</v>
      </c>
      <c r="X527" s="2">
        <v>1350</v>
      </c>
      <c r="Y527">
        <v>30</v>
      </c>
      <c r="Z527" t="s">
        <v>3047</v>
      </c>
      <c r="AA527" s="3">
        <v>0.10579660534858699</v>
      </c>
      <c r="AB527" t="s">
        <v>7829</v>
      </c>
      <c r="AC527" t="s">
        <v>4575</v>
      </c>
      <c r="AD527" t="s">
        <v>7830</v>
      </c>
      <c r="AE527" t="s">
        <v>4655</v>
      </c>
      <c r="AF527" t="s">
        <v>3876</v>
      </c>
      <c r="AG527" t="s">
        <v>4564</v>
      </c>
      <c r="AH527" t="s">
        <v>3877</v>
      </c>
      <c r="AI527" t="s">
        <v>4655</v>
      </c>
      <c r="AJ527" t="s">
        <v>4655</v>
      </c>
      <c r="AK527" t="s">
        <v>7831</v>
      </c>
      <c r="AL527" s="13" t="s">
        <v>2256</v>
      </c>
      <c r="AM527" s="14">
        <v>2</v>
      </c>
      <c r="AN527" s="15" t="s">
        <v>7832</v>
      </c>
    </row>
    <row r="528" spans="1:40" x14ac:dyDescent="0.3">
      <c r="A528" s="10" t="str">
        <f>HYPERLINK("http://www.washoecounty.gov/assessor/cama/?parid=007-223-07&amp;CardNumber=1","007-223-07")</f>
        <v>007-223-07</v>
      </c>
      <c r="B528" t="s">
        <v>4655</v>
      </c>
      <c r="C528" t="s">
        <v>7828</v>
      </c>
      <c r="D528" s="1">
        <v>40298</v>
      </c>
      <c r="E528" s="2">
        <v>160000</v>
      </c>
      <c r="F528" t="s">
        <v>4567</v>
      </c>
      <c r="G528" s="17" t="str">
        <f>HYPERLINK("https://www.washoecounty.gov/assessor/cama/?command=sales&amp;parid=00722307","3876629")</f>
        <v>3876629</v>
      </c>
      <c r="H528" t="s">
        <v>4532</v>
      </c>
      <c r="I528">
        <v>1923</v>
      </c>
      <c r="J528">
        <v>1923</v>
      </c>
      <c r="K528" t="s">
        <v>4907</v>
      </c>
      <c r="L528" t="s">
        <v>4555</v>
      </c>
      <c r="M528" s="2">
        <v>1350</v>
      </c>
      <c r="N528" t="s">
        <v>4048</v>
      </c>
      <c r="O528">
        <v>2</v>
      </c>
      <c r="P528">
        <v>2</v>
      </c>
      <c r="Q528">
        <v>0</v>
      </c>
      <c r="R528" t="s">
        <v>4557</v>
      </c>
      <c r="S528" t="s">
        <v>3046</v>
      </c>
      <c r="T528" t="s">
        <v>4559</v>
      </c>
      <c r="U528" t="s">
        <v>4655</v>
      </c>
      <c r="V528" s="2">
        <v>0</v>
      </c>
      <c r="W528" t="s">
        <v>3149</v>
      </c>
      <c r="X528" s="2">
        <v>1350</v>
      </c>
      <c r="Y528">
        <v>30</v>
      </c>
      <c r="Z528" t="s">
        <v>3047</v>
      </c>
      <c r="AA528" s="3">
        <v>0.10579660534858699</v>
      </c>
      <c r="AB528" t="s">
        <v>7829</v>
      </c>
      <c r="AC528" t="s">
        <v>4575</v>
      </c>
      <c r="AD528" t="s">
        <v>7830</v>
      </c>
      <c r="AE528" t="s">
        <v>4655</v>
      </c>
      <c r="AF528" t="s">
        <v>3876</v>
      </c>
      <c r="AG528" t="s">
        <v>4564</v>
      </c>
      <c r="AH528" t="s">
        <v>3877</v>
      </c>
      <c r="AI528" t="s">
        <v>4655</v>
      </c>
      <c r="AJ528" t="s">
        <v>4655</v>
      </c>
      <c r="AK528" t="s">
        <v>7831</v>
      </c>
      <c r="AL528" s="13" t="s">
        <v>2256</v>
      </c>
      <c r="AM528">
        <v>2</v>
      </c>
      <c r="AN528" s="15" t="s">
        <v>7832</v>
      </c>
    </row>
    <row r="529" spans="1:40" x14ac:dyDescent="0.3">
      <c r="A529" s="10" t="str">
        <f>HYPERLINK("http://www.washoecounty.gov/assessor/cama/?parid=007-231-13&amp;CardNumber=1","007-231-13")</f>
        <v>007-231-13</v>
      </c>
      <c r="B529" t="s">
        <v>4655</v>
      </c>
      <c r="C529" t="s">
        <v>7833</v>
      </c>
      <c r="D529" s="1">
        <v>40388</v>
      </c>
      <c r="E529" s="2">
        <v>101500</v>
      </c>
      <c r="F529" t="s">
        <v>4567</v>
      </c>
      <c r="G529" s="17" t="str">
        <f>HYPERLINK("https://www.washoecounty.gov/assessor/cama/?command=sales&amp;parid=00723113","3906671")</f>
        <v>3906671</v>
      </c>
      <c r="H529" t="s">
        <v>7834</v>
      </c>
      <c r="I529">
        <v>1924</v>
      </c>
      <c r="J529">
        <v>1924</v>
      </c>
      <c r="K529" t="s">
        <v>4554</v>
      </c>
      <c r="L529" t="s">
        <v>4555</v>
      </c>
      <c r="M529" s="2">
        <v>1037</v>
      </c>
      <c r="N529" t="s">
        <v>4556</v>
      </c>
      <c r="O529">
        <v>2</v>
      </c>
      <c r="P529">
        <v>1</v>
      </c>
      <c r="Q529">
        <v>0</v>
      </c>
      <c r="R529" t="s">
        <v>4557</v>
      </c>
      <c r="S529" t="s">
        <v>3148</v>
      </c>
      <c r="T529" t="s">
        <v>4559</v>
      </c>
      <c r="U529" t="s">
        <v>4655</v>
      </c>
      <c r="V529" s="2">
        <v>0</v>
      </c>
      <c r="W529" t="s">
        <v>3149</v>
      </c>
      <c r="X529" s="2">
        <v>546</v>
      </c>
      <c r="Y529">
        <v>20</v>
      </c>
      <c r="Z529" t="s">
        <v>3047</v>
      </c>
      <c r="AA529" s="3">
        <v>8.0257117748260498E-2</v>
      </c>
      <c r="AB529" t="s">
        <v>7835</v>
      </c>
      <c r="AC529" t="s">
        <v>4562</v>
      </c>
      <c r="AD529" t="s">
        <v>7836</v>
      </c>
      <c r="AE529" t="s">
        <v>4655</v>
      </c>
      <c r="AF529" t="s">
        <v>1189</v>
      </c>
      <c r="AG529" t="s">
        <v>4564</v>
      </c>
      <c r="AH529" t="s">
        <v>7837</v>
      </c>
      <c r="AI529" t="s">
        <v>7838</v>
      </c>
      <c r="AJ529" t="s">
        <v>7839</v>
      </c>
      <c r="AK529" t="s">
        <v>7840</v>
      </c>
      <c r="AL529" s="13" t="s">
        <v>2256</v>
      </c>
      <c r="AM529">
        <v>1</v>
      </c>
      <c r="AN529" s="15" t="s">
        <v>7841</v>
      </c>
    </row>
    <row r="530" spans="1:40" x14ac:dyDescent="0.3">
      <c r="A530" s="10" t="str">
        <f>HYPERLINK("http://www.washoecounty.gov/assessor/cama/?parid=007-231-14&amp;CardNumber=1","007-231-14")</f>
        <v>007-231-14</v>
      </c>
      <c r="B530" t="s">
        <v>4655</v>
      </c>
      <c r="C530" t="s">
        <v>7842</v>
      </c>
      <c r="D530" s="1">
        <v>40479</v>
      </c>
      <c r="E530" s="2">
        <v>165000</v>
      </c>
      <c r="F530" t="s">
        <v>4567</v>
      </c>
      <c r="G530" s="17" t="str">
        <f>HYPERLINK("https://www.washoecounty.gov/assessor/cama/?command=sales&amp;parid=00723114","3937755")</f>
        <v>3937755</v>
      </c>
      <c r="H530" t="s">
        <v>7834</v>
      </c>
      <c r="I530">
        <v>2008</v>
      </c>
      <c r="J530">
        <v>2008</v>
      </c>
      <c r="K530" t="s">
        <v>4907</v>
      </c>
      <c r="L530" t="s">
        <v>3974</v>
      </c>
      <c r="M530" s="2">
        <v>1914</v>
      </c>
      <c r="N530" t="s">
        <v>5280</v>
      </c>
      <c r="O530">
        <v>4</v>
      </c>
      <c r="P530">
        <v>2</v>
      </c>
      <c r="Q530">
        <v>2</v>
      </c>
      <c r="R530" t="s">
        <v>5281</v>
      </c>
      <c r="S530" t="s">
        <v>4898</v>
      </c>
      <c r="T530" t="s">
        <v>4559</v>
      </c>
      <c r="U530" t="s">
        <v>5631</v>
      </c>
      <c r="V530" s="2">
        <v>440</v>
      </c>
      <c r="W530" t="s">
        <v>4655</v>
      </c>
      <c r="X530" s="2">
        <v>0</v>
      </c>
      <c r="Y530">
        <v>30</v>
      </c>
      <c r="Z530" t="s">
        <v>3047</v>
      </c>
      <c r="AA530" s="3">
        <v>8.0257117748260498E-2</v>
      </c>
      <c r="AB530" t="s">
        <v>7843</v>
      </c>
      <c r="AC530" t="s">
        <v>4562</v>
      </c>
      <c r="AD530" t="s">
        <v>7844</v>
      </c>
      <c r="AE530" t="s">
        <v>4655</v>
      </c>
      <c r="AF530" t="s">
        <v>4563</v>
      </c>
      <c r="AG530" t="s">
        <v>4564</v>
      </c>
      <c r="AH530" t="s">
        <v>5197</v>
      </c>
      <c r="AI530" t="s">
        <v>7838</v>
      </c>
      <c r="AJ530" t="s">
        <v>7839</v>
      </c>
      <c r="AK530" t="s">
        <v>7845</v>
      </c>
      <c r="AL530" s="13" t="s">
        <v>2256</v>
      </c>
      <c r="AM530">
        <v>2</v>
      </c>
      <c r="AN530" s="15" t="s">
        <v>7841</v>
      </c>
    </row>
    <row r="531" spans="1:40" x14ac:dyDescent="0.3">
      <c r="A531" s="10" t="str">
        <f>HYPERLINK("http://www.washoecounty.gov/assessor/cama/?parid=007-232-09&amp;CardNumber=1","007-232-09")</f>
        <v>007-232-09</v>
      </c>
      <c r="B531" t="s">
        <v>4655</v>
      </c>
      <c r="C531" t="s">
        <v>7846</v>
      </c>
      <c r="D531" s="1">
        <v>40337</v>
      </c>
      <c r="E531" s="2">
        <v>95000</v>
      </c>
      <c r="F531" t="s">
        <v>4567</v>
      </c>
      <c r="G531" s="17" t="str">
        <f>HYPERLINK("https://www.washoecounty.gov/assessor/cama/?command=sales&amp;parid=00723209","3889113")</f>
        <v>3889113</v>
      </c>
      <c r="H531" t="s">
        <v>3449</v>
      </c>
      <c r="I531">
        <v>1932</v>
      </c>
      <c r="J531">
        <v>1932</v>
      </c>
      <c r="K531" t="s">
        <v>4554</v>
      </c>
      <c r="L531" t="s">
        <v>4555</v>
      </c>
      <c r="M531" s="2">
        <v>888</v>
      </c>
      <c r="N531" t="s">
        <v>4556</v>
      </c>
      <c r="O531">
        <v>2</v>
      </c>
      <c r="P531">
        <v>1</v>
      </c>
      <c r="Q531">
        <v>0</v>
      </c>
      <c r="R531" t="s">
        <v>4557</v>
      </c>
      <c r="S531" t="s">
        <v>4135</v>
      </c>
      <c r="T531" t="s">
        <v>4559</v>
      </c>
      <c r="U531" t="s">
        <v>4655</v>
      </c>
      <c r="V531" s="2">
        <v>0</v>
      </c>
      <c r="W531" t="s">
        <v>3149</v>
      </c>
      <c r="X531" s="2">
        <v>432</v>
      </c>
      <c r="Y531">
        <v>20</v>
      </c>
      <c r="Z531" t="s">
        <v>3047</v>
      </c>
      <c r="AA531" s="3">
        <v>0.160697892308235</v>
      </c>
      <c r="AB531" t="s">
        <v>7847</v>
      </c>
      <c r="AC531" t="s">
        <v>4562</v>
      </c>
      <c r="AD531" t="s">
        <v>7848</v>
      </c>
      <c r="AE531" t="s">
        <v>4655</v>
      </c>
      <c r="AF531" t="s">
        <v>2229</v>
      </c>
      <c r="AG531" t="s">
        <v>4564</v>
      </c>
      <c r="AH531">
        <v>89403</v>
      </c>
      <c r="AI531" t="s">
        <v>7849</v>
      </c>
      <c r="AJ531" t="s">
        <v>4655</v>
      </c>
      <c r="AK531" t="s">
        <v>7850</v>
      </c>
      <c r="AL531" s="13" t="s">
        <v>2256</v>
      </c>
      <c r="AM531">
        <v>1</v>
      </c>
      <c r="AN531" s="15" t="s">
        <v>1619</v>
      </c>
    </row>
    <row r="532" spans="1:40" x14ac:dyDescent="0.3">
      <c r="A532" s="10" t="str">
        <f>HYPERLINK("http://www.washoecounty.gov/assessor/cama/?parid=007-362-18&amp;CardNumber=1","007-362-18")</f>
        <v>007-362-18</v>
      </c>
      <c r="B532" t="s">
        <v>4655</v>
      </c>
      <c r="C532" t="s">
        <v>7851</v>
      </c>
      <c r="D532" s="1">
        <v>40324</v>
      </c>
      <c r="E532" s="2">
        <v>35000</v>
      </c>
      <c r="F532" t="s">
        <v>4567</v>
      </c>
      <c r="G532" s="17" t="str">
        <f>HYPERLINK("https://www.washoecounty.gov/assessor/cama/?command=sales&amp;parid=00736218","3885611")</f>
        <v>3885611</v>
      </c>
      <c r="H532" t="s">
        <v>7852</v>
      </c>
      <c r="I532">
        <v>1924</v>
      </c>
      <c r="J532">
        <v>1924</v>
      </c>
      <c r="K532" t="s">
        <v>4554</v>
      </c>
      <c r="L532" t="s">
        <v>4555</v>
      </c>
      <c r="M532" s="2">
        <v>744</v>
      </c>
      <c r="N532" t="s">
        <v>4672</v>
      </c>
      <c r="O532">
        <v>2</v>
      </c>
      <c r="P532">
        <v>1</v>
      </c>
      <c r="Q532">
        <v>0</v>
      </c>
      <c r="R532" t="s">
        <v>4557</v>
      </c>
      <c r="S532" t="s">
        <v>4135</v>
      </c>
      <c r="T532" t="s">
        <v>4559</v>
      </c>
      <c r="U532" t="s">
        <v>4560</v>
      </c>
      <c r="V532" s="2">
        <v>180</v>
      </c>
      <c r="W532" t="s">
        <v>4655</v>
      </c>
      <c r="X532" s="2">
        <v>0</v>
      </c>
      <c r="Y532">
        <v>20</v>
      </c>
      <c r="Z532" t="s">
        <v>3047</v>
      </c>
      <c r="AA532" s="3">
        <v>5.1652893424034098E-2</v>
      </c>
      <c r="AB532" t="s">
        <v>7853</v>
      </c>
      <c r="AC532" t="s">
        <v>4562</v>
      </c>
      <c r="AD532" t="s">
        <v>7854</v>
      </c>
      <c r="AE532" t="s">
        <v>4655</v>
      </c>
      <c r="AF532" t="s">
        <v>4563</v>
      </c>
      <c r="AG532" t="s">
        <v>4564</v>
      </c>
      <c r="AH532">
        <v>89501</v>
      </c>
      <c r="AI532" t="s">
        <v>7855</v>
      </c>
      <c r="AJ532" t="s">
        <v>4655</v>
      </c>
      <c r="AK532" t="s">
        <v>7856</v>
      </c>
      <c r="AL532" s="13" t="s">
        <v>2256</v>
      </c>
      <c r="AM532" s="14">
        <v>1</v>
      </c>
      <c r="AN532" s="15" t="s">
        <v>7841</v>
      </c>
    </row>
    <row r="533" spans="1:40" x14ac:dyDescent="0.3">
      <c r="A533" s="10" t="str">
        <f>HYPERLINK("http://www.washoecounty.gov/assessor/cama/?parid=007-371-02&amp;CardNumber=1","007-371-02")</f>
        <v>007-371-02</v>
      </c>
      <c r="B533" t="s">
        <v>4655</v>
      </c>
      <c r="C533" t="s">
        <v>7857</v>
      </c>
      <c r="D533" s="1">
        <v>40301</v>
      </c>
      <c r="E533" s="2">
        <v>205000</v>
      </c>
      <c r="F533" t="s">
        <v>4567</v>
      </c>
      <c r="G533" s="17" t="str">
        <f>HYPERLINK("https://www.washoecounty.gov/assessor/cama/?command=sales&amp;parid=00737102","3877264")</f>
        <v>3877264</v>
      </c>
      <c r="H533" t="s">
        <v>3585</v>
      </c>
      <c r="I533">
        <v>1934</v>
      </c>
      <c r="J533">
        <v>1934</v>
      </c>
      <c r="K533" t="s">
        <v>4554</v>
      </c>
      <c r="L533" t="s">
        <v>4555</v>
      </c>
      <c r="M533" s="2">
        <v>949</v>
      </c>
      <c r="N533" t="s">
        <v>4556</v>
      </c>
      <c r="O533">
        <v>2</v>
      </c>
      <c r="P533">
        <v>1</v>
      </c>
      <c r="Q533">
        <v>0</v>
      </c>
      <c r="R533" t="s">
        <v>4134</v>
      </c>
      <c r="S533" t="s">
        <v>4682</v>
      </c>
      <c r="T533" t="s">
        <v>4559</v>
      </c>
      <c r="U533" t="s">
        <v>4655</v>
      </c>
      <c r="V533" s="2">
        <v>0</v>
      </c>
      <c r="W533" t="s">
        <v>3149</v>
      </c>
      <c r="X533" s="2">
        <v>364</v>
      </c>
      <c r="Y533">
        <v>20</v>
      </c>
      <c r="Z533" t="s">
        <v>4561</v>
      </c>
      <c r="AA533" s="3">
        <v>0.137741044163704</v>
      </c>
      <c r="AB533" t="s">
        <v>7858</v>
      </c>
      <c r="AC533" t="s">
        <v>4562</v>
      </c>
      <c r="AD533" t="s">
        <v>7857</v>
      </c>
      <c r="AE533" t="s">
        <v>4655</v>
      </c>
      <c r="AF533" t="s">
        <v>4563</v>
      </c>
      <c r="AG533" t="s">
        <v>4564</v>
      </c>
      <c r="AH533">
        <v>89503</v>
      </c>
      <c r="AI533" t="s">
        <v>4655</v>
      </c>
      <c r="AJ533" t="s">
        <v>4655</v>
      </c>
      <c r="AK533" t="s">
        <v>7859</v>
      </c>
      <c r="AL533" s="13" t="s">
        <v>2255</v>
      </c>
      <c r="AM533" s="14">
        <v>1</v>
      </c>
      <c r="AN533" s="15" t="s">
        <v>2273</v>
      </c>
    </row>
    <row r="534" spans="1:40" x14ac:dyDescent="0.3">
      <c r="A534" s="10" t="str">
        <f>HYPERLINK("http://www.washoecounty.gov/assessor/cama/?parid=007-371-10&amp;CardNumber=1","007-371-10")</f>
        <v>007-371-10</v>
      </c>
      <c r="B534" t="s">
        <v>4655</v>
      </c>
      <c r="C534" t="s">
        <v>7860</v>
      </c>
      <c r="D534" s="1">
        <v>40518</v>
      </c>
      <c r="E534" s="2">
        <v>96000</v>
      </c>
      <c r="F534" t="s">
        <v>4567</v>
      </c>
      <c r="G534" s="17" t="str">
        <f>HYPERLINK("https://www.washoecounty.gov/assessor/cama/?command=sales&amp;parid=00737110","3949535")</f>
        <v>3949535</v>
      </c>
      <c r="H534" t="s">
        <v>3585</v>
      </c>
      <c r="I534">
        <v>1936</v>
      </c>
      <c r="J534">
        <v>1936</v>
      </c>
      <c r="K534" t="s">
        <v>4554</v>
      </c>
      <c r="L534" t="s">
        <v>4555</v>
      </c>
      <c r="M534" s="2">
        <v>787</v>
      </c>
      <c r="N534" t="s">
        <v>4133</v>
      </c>
      <c r="O534">
        <v>1</v>
      </c>
      <c r="P534">
        <v>1</v>
      </c>
      <c r="Q534">
        <v>0</v>
      </c>
      <c r="R534" t="s">
        <v>4134</v>
      </c>
      <c r="S534" t="s">
        <v>4135</v>
      </c>
      <c r="T534" t="s">
        <v>4559</v>
      </c>
      <c r="U534" t="s">
        <v>4655</v>
      </c>
      <c r="V534" s="2">
        <v>0</v>
      </c>
      <c r="W534" t="s">
        <v>3149</v>
      </c>
      <c r="X534" s="2">
        <v>452</v>
      </c>
      <c r="Y534">
        <v>20</v>
      </c>
      <c r="Z534" t="s">
        <v>4561</v>
      </c>
      <c r="AA534" s="3">
        <v>0.137741044163704</v>
      </c>
      <c r="AB534" t="s">
        <v>7861</v>
      </c>
      <c r="AC534" t="s">
        <v>4562</v>
      </c>
      <c r="AD534" t="s">
        <v>7860</v>
      </c>
      <c r="AE534" t="s">
        <v>4655</v>
      </c>
      <c r="AF534" t="s">
        <v>4563</v>
      </c>
      <c r="AG534" t="s">
        <v>4564</v>
      </c>
      <c r="AH534">
        <v>89503</v>
      </c>
      <c r="AI534" t="s">
        <v>7862</v>
      </c>
      <c r="AJ534" t="s">
        <v>4655</v>
      </c>
      <c r="AK534" t="s">
        <v>7863</v>
      </c>
      <c r="AL534" s="13" t="s">
        <v>2255</v>
      </c>
      <c r="AM534">
        <v>1</v>
      </c>
      <c r="AN534" s="15" t="s">
        <v>2273</v>
      </c>
    </row>
    <row r="535" spans="1:40" x14ac:dyDescent="0.3">
      <c r="A535" s="10" t="str">
        <f>HYPERLINK("http://www.washoecounty.gov/assessor/cama/?parid=007-373-09&amp;CardNumber=1","007-373-09")</f>
        <v>007-373-09</v>
      </c>
      <c r="B535" t="s">
        <v>4655</v>
      </c>
      <c r="C535" t="s">
        <v>7864</v>
      </c>
      <c r="D535" s="1">
        <v>40399</v>
      </c>
      <c r="E535" s="2">
        <v>141500</v>
      </c>
      <c r="F535" t="s">
        <v>4567</v>
      </c>
      <c r="G535" s="17" t="str">
        <f>HYPERLINK("https://www.washoecounty.gov/assessor/cama/?command=sales&amp;parid=00737309","3909880")</f>
        <v>3909880</v>
      </c>
      <c r="H535" t="s">
        <v>7865</v>
      </c>
      <c r="I535">
        <v>1924</v>
      </c>
      <c r="J535">
        <v>1924</v>
      </c>
      <c r="K535" t="s">
        <v>4554</v>
      </c>
      <c r="L535" t="s">
        <v>4555</v>
      </c>
      <c r="M535" s="2">
        <v>874</v>
      </c>
      <c r="N535" t="s">
        <v>4556</v>
      </c>
      <c r="O535">
        <v>2</v>
      </c>
      <c r="P535">
        <v>1</v>
      </c>
      <c r="Q535">
        <v>0</v>
      </c>
      <c r="R535" t="s">
        <v>4557</v>
      </c>
      <c r="S535" t="s">
        <v>3046</v>
      </c>
      <c r="T535" t="s">
        <v>4559</v>
      </c>
      <c r="U535" t="s">
        <v>4655</v>
      </c>
      <c r="V535" s="2">
        <v>0</v>
      </c>
      <c r="W535" t="s">
        <v>3149</v>
      </c>
      <c r="X535" s="2">
        <v>874</v>
      </c>
      <c r="Y535">
        <v>20</v>
      </c>
      <c r="Z535" t="s">
        <v>4144</v>
      </c>
      <c r="AA535" s="3">
        <v>0.137741044163704</v>
      </c>
      <c r="AB535" t="s">
        <v>7866</v>
      </c>
      <c r="AC535" t="s">
        <v>4575</v>
      </c>
      <c r="AD535" t="s">
        <v>7867</v>
      </c>
      <c r="AE535" t="s">
        <v>4655</v>
      </c>
      <c r="AF535" t="s">
        <v>3876</v>
      </c>
      <c r="AG535" t="s">
        <v>4564</v>
      </c>
      <c r="AH535">
        <v>89410</v>
      </c>
      <c r="AI535" t="s">
        <v>7868</v>
      </c>
      <c r="AJ535" t="s">
        <v>4655</v>
      </c>
      <c r="AK535" t="s">
        <v>7869</v>
      </c>
      <c r="AL535" s="13" t="s">
        <v>2255</v>
      </c>
      <c r="AM535">
        <v>1</v>
      </c>
      <c r="AN535" s="15" t="s">
        <v>2273</v>
      </c>
    </row>
    <row r="536" spans="1:40" x14ac:dyDescent="0.3">
      <c r="A536" s="10" t="str">
        <f>HYPERLINK("http://www.washoecounty.gov/assessor/cama/?parid=007-373-12&amp;CardNumber=1","007-373-12")</f>
        <v>007-373-12</v>
      </c>
      <c r="B536" t="s">
        <v>4655</v>
      </c>
      <c r="C536" t="s">
        <v>7870</v>
      </c>
      <c r="D536" s="1">
        <v>40310</v>
      </c>
      <c r="E536" s="2">
        <v>197500</v>
      </c>
      <c r="F536" t="s">
        <v>4567</v>
      </c>
      <c r="G536" s="17" t="str">
        <f>HYPERLINK("https://www.washoecounty.gov/assessor/cama/?command=sales&amp;parid=00737312","3880586")</f>
        <v>3880586</v>
      </c>
      <c r="H536" t="s">
        <v>3585</v>
      </c>
      <c r="I536">
        <v>1939</v>
      </c>
      <c r="J536">
        <v>1939</v>
      </c>
      <c r="K536" t="s">
        <v>4554</v>
      </c>
      <c r="L536" t="s">
        <v>4555</v>
      </c>
      <c r="M536" s="2">
        <v>1223</v>
      </c>
      <c r="N536" t="s">
        <v>4556</v>
      </c>
      <c r="O536">
        <v>3</v>
      </c>
      <c r="P536">
        <v>1</v>
      </c>
      <c r="Q536">
        <v>0</v>
      </c>
      <c r="R536" t="s">
        <v>4557</v>
      </c>
      <c r="S536" t="s">
        <v>4135</v>
      </c>
      <c r="T536" t="s">
        <v>4559</v>
      </c>
      <c r="U536" t="s">
        <v>4655</v>
      </c>
      <c r="V536" s="2">
        <v>0</v>
      </c>
      <c r="W536" t="s">
        <v>4655</v>
      </c>
      <c r="X536" s="2">
        <v>0</v>
      </c>
      <c r="Y536">
        <v>20</v>
      </c>
      <c r="Z536" t="s">
        <v>4561</v>
      </c>
      <c r="AA536" s="3">
        <v>0.137741044163704</v>
      </c>
      <c r="AB536" t="s">
        <v>7871</v>
      </c>
      <c r="AC536" t="s">
        <v>4562</v>
      </c>
      <c r="AD536" t="s">
        <v>7870</v>
      </c>
      <c r="AE536" t="s">
        <v>4655</v>
      </c>
      <c r="AF536" t="s">
        <v>4563</v>
      </c>
      <c r="AG536" t="s">
        <v>4564</v>
      </c>
      <c r="AH536">
        <v>89503</v>
      </c>
      <c r="AI536" t="s">
        <v>7872</v>
      </c>
      <c r="AJ536" t="s">
        <v>4655</v>
      </c>
      <c r="AK536" t="s">
        <v>7873</v>
      </c>
      <c r="AL536" s="13" t="s">
        <v>2255</v>
      </c>
      <c r="AM536" s="14">
        <v>1</v>
      </c>
      <c r="AN536" s="15" t="s">
        <v>2273</v>
      </c>
    </row>
    <row r="537" spans="1:40" x14ac:dyDescent="0.3">
      <c r="A537" s="10" t="str">
        <f>HYPERLINK("http://www.washoecounty.gov/assessor/cama/?parid=007-443-21&amp;CardNumber=1","007-443-21")</f>
        <v>007-443-21</v>
      </c>
      <c r="B537" t="s">
        <v>4655</v>
      </c>
      <c r="C537" t="s">
        <v>3289</v>
      </c>
      <c r="D537" s="1">
        <v>40319</v>
      </c>
      <c r="E537" s="2">
        <v>40000</v>
      </c>
      <c r="F537" t="s">
        <v>4567</v>
      </c>
      <c r="G537" s="17" t="str">
        <f>HYPERLINK("https://www.washoecounty.gov/assessor/cama/?command=sales&amp;parid=00744321","3883984")</f>
        <v>3883984</v>
      </c>
      <c r="H537" t="s">
        <v>3290</v>
      </c>
      <c r="I537">
        <v>1973</v>
      </c>
      <c r="J537">
        <v>1976</v>
      </c>
      <c r="K537" t="s">
        <v>3144</v>
      </c>
      <c r="L537" t="s">
        <v>4555</v>
      </c>
      <c r="M537" s="2">
        <v>548</v>
      </c>
      <c r="N537" t="s">
        <v>4556</v>
      </c>
      <c r="O537">
        <v>0</v>
      </c>
      <c r="P537">
        <v>1</v>
      </c>
      <c r="Q537">
        <v>0</v>
      </c>
      <c r="R537" t="s">
        <v>5281</v>
      </c>
      <c r="S537" t="s">
        <v>364</v>
      </c>
      <c r="T537" t="s">
        <v>4899</v>
      </c>
      <c r="U537" t="s">
        <v>4655</v>
      </c>
      <c r="V537" s="2">
        <v>0</v>
      </c>
      <c r="W537" t="s">
        <v>4655</v>
      </c>
      <c r="X537" s="2">
        <v>0</v>
      </c>
      <c r="Y537">
        <v>25</v>
      </c>
      <c r="Z537" t="s">
        <v>3047</v>
      </c>
      <c r="AA537" s="3">
        <v>1.0009182617068299E-2</v>
      </c>
      <c r="AB537" t="s">
        <v>3291</v>
      </c>
      <c r="AC537" t="s">
        <v>4562</v>
      </c>
      <c r="AD537" t="s">
        <v>3292</v>
      </c>
      <c r="AE537" t="s">
        <v>4655</v>
      </c>
      <c r="AF537" t="s">
        <v>3293</v>
      </c>
      <c r="AG537" t="s">
        <v>4584</v>
      </c>
      <c r="AH537" t="s">
        <v>3294</v>
      </c>
      <c r="AI537" t="s">
        <v>7874</v>
      </c>
      <c r="AJ537" t="s">
        <v>3295</v>
      </c>
      <c r="AK537" t="s">
        <v>7875</v>
      </c>
      <c r="AL537" s="13" t="s">
        <v>3422</v>
      </c>
      <c r="AM537">
        <v>1</v>
      </c>
      <c r="AN537" s="15" t="s">
        <v>3296</v>
      </c>
    </row>
    <row r="538" spans="1:40" x14ac:dyDescent="0.3">
      <c r="A538" s="10" t="str">
        <f>HYPERLINK("http://www.washoecounty.gov/assessor/cama/?parid=007-462-07&amp;CardNumber=1","007-462-07")</f>
        <v>007-462-07</v>
      </c>
      <c r="B538" t="s">
        <v>4655</v>
      </c>
      <c r="C538" t="s">
        <v>5136</v>
      </c>
      <c r="D538" s="1">
        <v>40347</v>
      </c>
      <c r="E538" s="2">
        <v>28750</v>
      </c>
      <c r="F538" t="s">
        <v>4553</v>
      </c>
      <c r="G538" s="17" t="str">
        <f>HYPERLINK("https://www.washoecounty.gov/assessor/cama/?command=sales&amp;parid=00746207","3893325")</f>
        <v>3893325</v>
      </c>
      <c r="H538" t="s">
        <v>5137</v>
      </c>
      <c r="I538">
        <v>1974</v>
      </c>
      <c r="J538">
        <v>1986</v>
      </c>
      <c r="K538" t="s">
        <v>1824</v>
      </c>
      <c r="L538" t="s">
        <v>420</v>
      </c>
      <c r="M538" s="2">
        <v>382</v>
      </c>
      <c r="N538" t="s">
        <v>1431</v>
      </c>
      <c r="O538">
        <v>0</v>
      </c>
      <c r="P538">
        <v>0</v>
      </c>
      <c r="Q538">
        <v>0</v>
      </c>
      <c r="R538" t="s">
        <v>4581</v>
      </c>
      <c r="S538" t="s">
        <v>5138</v>
      </c>
      <c r="T538" t="s">
        <v>4655</v>
      </c>
      <c r="U538" t="s">
        <v>4655</v>
      </c>
      <c r="V538" s="2">
        <v>0</v>
      </c>
      <c r="W538" t="s">
        <v>3041</v>
      </c>
      <c r="X538" s="2">
        <v>34726</v>
      </c>
      <c r="Y538">
        <v>21</v>
      </c>
      <c r="Z538" t="s">
        <v>3047</v>
      </c>
      <c r="AA538" s="3">
        <v>1.00000004749745E-3</v>
      </c>
      <c r="AB538" t="s">
        <v>7876</v>
      </c>
      <c r="AC538" t="s">
        <v>4562</v>
      </c>
      <c r="AD538" t="s">
        <v>7877</v>
      </c>
      <c r="AE538" t="s">
        <v>4655</v>
      </c>
      <c r="AF538" t="s">
        <v>4563</v>
      </c>
      <c r="AG538" t="s">
        <v>4564</v>
      </c>
      <c r="AH538">
        <v>89503</v>
      </c>
      <c r="AI538" t="s">
        <v>6198</v>
      </c>
      <c r="AJ538" t="s">
        <v>7878</v>
      </c>
      <c r="AK538" t="s">
        <v>7879</v>
      </c>
      <c r="AL538" s="13" t="s">
        <v>2766</v>
      </c>
      <c r="AM538">
        <v>1</v>
      </c>
      <c r="AN538" s="15" t="s">
        <v>5139</v>
      </c>
    </row>
    <row r="539" spans="1:40" x14ac:dyDescent="0.3">
      <c r="A539" s="10" t="str">
        <f>HYPERLINK("http://www.washoecounty.gov/assessor/cama/?parid=007-462-14&amp;CardNumber=1","007-462-14")</f>
        <v>007-462-14</v>
      </c>
      <c r="B539" t="s">
        <v>4655</v>
      </c>
      <c r="C539" t="s">
        <v>5136</v>
      </c>
      <c r="D539" s="1">
        <v>40466</v>
      </c>
      <c r="E539" s="2">
        <v>25000</v>
      </c>
      <c r="F539" t="s">
        <v>4553</v>
      </c>
      <c r="G539" s="17" t="str">
        <f>HYPERLINK("https://www.washoecounty.gov/assessor/cama/?command=sales&amp;parid=00746214","3933723")</f>
        <v>3933723</v>
      </c>
      <c r="H539" t="s">
        <v>5137</v>
      </c>
      <c r="I539">
        <v>1974</v>
      </c>
      <c r="J539">
        <v>1986</v>
      </c>
      <c r="K539" t="s">
        <v>1824</v>
      </c>
      <c r="L539" t="s">
        <v>420</v>
      </c>
      <c r="M539" s="2">
        <v>367</v>
      </c>
      <c r="N539" t="s">
        <v>1431</v>
      </c>
      <c r="O539">
        <v>0</v>
      </c>
      <c r="P539">
        <v>0</v>
      </c>
      <c r="Q539">
        <v>0</v>
      </c>
      <c r="R539" t="s">
        <v>4581</v>
      </c>
      <c r="S539" t="s">
        <v>5138</v>
      </c>
      <c r="T539" t="s">
        <v>4655</v>
      </c>
      <c r="U539" t="s">
        <v>4655</v>
      </c>
      <c r="V539" s="2">
        <v>0</v>
      </c>
      <c r="W539" t="s">
        <v>3041</v>
      </c>
      <c r="X539" s="2">
        <v>34726</v>
      </c>
      <c r="Y539">
        <v>21</v>
      </c>
      <c r="Z539" t="s">
        <v>3047</v>
      </c>
      <c r="AA539" s="3">
        <v>1.00000004749745E-3</v>
      </c>
      <c r="AB539" t="s">
        <v>7880</v>
      </c>
      <c r="AC539" t="s">
        <v>4562</v>
      </c>
      <c r="AD539" t="s">
        <v>7881</v>
      </c>
      <c r="AE539" t="s">
        <v>4655</v>
      </c>
      <c r="AF539" t="s">
        <v>4563</v>
      </c>
      <c r="AG539" t="s">
        <v>4564</v>
      </c>
      <c r="AH539" t="s">
        <v>1147</v>
      </c>
      <c r="AI539" t="s">
        <v>1624</v>
      </c>
      <c r="AJ539" t="s">
        <v>9</v>
      </c>
      <c r="AK539" t="s">
        <v>7882</v>
      </c>
      <c r="AL539" s="13" t="s">
        <v>2766</v>
      </c>
      <c r="AM539">
        <v>1</v>
      </c>
      <c r="AN539" s="15" t="s">
        <v>5139</v>
      </c>
    </row>
    <row r="540" spans="1:40" x14ac:dyDescent="0.3">
      <c r="A540" s="10" t="str">
        <f>HYPERLINK("http://www.washoecounty.gov/assessor/cama/?parid=008-011-09&amp;CardNumber=1","008-011-09")</f>
        <v>008-011-09</v>
      </c>
      <c r="B540" t="s">
        <v>4655</v>
      </c>
      <c r="C540" t="s">
        <v>7883</v>
      </c>
      <c r="D540" s="1">
        <v>40501</v>
      </c>
      <c r="E540" s="2">
        <v>55000</v>
      </c>
      <c r="F540" t="s">
        <v>4567</v>
      </c>
      <c r="G540" s="17" t="str">
        <f>HYPERLINK("https://www.washoecounty.gov/assessor/cama/?command=sales&amp;parid=00801109","3944993")</f>
        <v>3944993</v>
      </c>
      <c r="H540" t="s">
        <v>3255</v>
      </c>
      <c r="I540">
        <v>1952</v>
      </c>
      <c r="J540">
        <v>1952</v>
      </c>
      <c r="K540" t="s">
        <v>4554</v>
      </c>
      <c r="L540" t="s">
        <v>4555</v>
      </c>
      <c r="M540" s="2">
        <v>1020</v>
      </c>
      <c r="N540" t="s">
        <v>4672</v>
      </c>
      <c r="O540">
        <v>2</v>
      </c>
      <c r="P540">
        <v>1</v>
      </c>
      <c r="Q540">
        <v>0</v>
      </c>
      <c r="R540" t="s">
        <v>4134</v>
      </c>
      <c r="S540" t="s">
        <v>4558</v>
      </c>
      <c r="T540" t="s">
        <v>4899</v>
      </c>
      <c r="U540" t="s">
        <v>4560</v>
      </c>
      <c r="V540" s="2">
        <v>276</v>
      </c>
      <c r="W540" t="s">
        <v>4655</v>
      </c>
      <c r="X540" s="2">
        <v>0</v>
      </c>
      <c r="Y540">
        <v>20</v>
      </c>
      <c r="Z540" t="s">
        <v>4686</v>
      </c>
      <c r="AA540" s="3">
        <v>0.13900367915630299</v>
      </c>
      <c r="AB540" t="s">
        <v>7884</v>
      </c>
      <c r="AC540" t="s">
        <v>4575</v>
      </c>
      <c r="AD540" t="s">
        <v>7883</v>
      </c>
      <c r="AE540" t="s">
        <v>4655</v>
      </c>
      <c r="AF540" t="s">
        <v>4563</v>
      </c>
      <c r="AG540" t="s">
        <v>4564</v>
      </c>
      <c r="AH540">
        <v>89512</v>
      </c>
      <c r="AI540" t="s">
        <v>7885</v>
      </c>
      <c r="AJ540" t="s">
        <v>4655</v>
      </c>
      <c r="AK540" t="s">
        <v>7886</v>
      </c>
      <c r="AL540" s="13" t="s">
        <v>2255</v>
      </c>
      <c r="AM540" s="14">
        <v>1</v>
      </c>
      <c r="AN540" s="15" t="s">
        <v>3577</v>
      </c>
    </row>
    <row r="541" spans="1:40" x14ac:dyDescent="0.3">
      <c r="A541" s="10" t="str">
        <f>HYPERLINK("http://www.washoecounty.gov/assessor/cama/?parid=008-011-09&amp;CardNumber=1","008-011-09")</f>
        <v>008-011-09</v>
      </c>
      <c r="B541" t="s">
        <v>4655</v>
      </c>
      <c r="C541" t="s">
        <v>7883</v>
      </c>
      <c r="D541" s="1">
        <v>40487</v>
      </c>
      <c r="E541" s="2">
        <v>42000</v>
      </c>
      <c r="F541" t="s">
        <v>4567</v>
      </c>
      <c r="G541" s="17" t="str">
        <f>HYPERLINK("https://www.washoecounty.gov/assessor/cama/?command=sales&amp;parid=00801109","3940498")</f>
        <v>3940498</v>
      </c>
      <c r="H541" t="s">
        <v>3255</v>
      </c>
      <c r="I541">
        <v>1952</v>
      </c>
      <c r="J541">
        <v>1952</v>
      </c>
      <c r="K541" t="s">
        <v>4554</v>
      </c>
      <c r="L541" t="s">
        <v>4555</v>
      </c>
      <c r="M541" s="2">
        <v>1020</v>
      </c>
      <c r="N541" t="s">
        <v>4672</v>
      </c>
      <c r="O541">
        <v>2</v>
      </c>
      <c r="P541">
        <v>1</v>
      </c>
      <c r="Q541">
        <v>0</v>
      </c>
      <c r="R541" t="s">
        <v>4134</v>
      </c>
      <c r="S541" t="s">
        <v>4558</v>
      </c>
      <c r="T541" t="s">
        <v>4899</v>
      </c>
      <c r="U541" t="s">
        <v>4560</v>
      </c>
      <c r="V541" s="2">
        <v>276</v>
      </c>
      <c r="W541" t="s">
        <v>4655</v>
      </c>
      <c r="X541" s="2">
        <v>0</v>
      </c>
      <c r="Y541">
        <v>20</v>
      </c>
      <c r="Z541" t="s">
        <v>4686</v>
      </c>
      <c r="AA541" s="3">
        <v>0.13900367915630299</v>
      </c>
      <c r="AB541" t="s">
        <v>7884</v>
      </c>
      <c r="AC541" t="s">
        <v>4575</v>
      </c>
      <c r="AD541" t="s">
        <v>7883</v>
      </c>
      <c r="AE541" t="s">
        <v>4655</v>
      </c>
      <c r="AF541" t="s">
        <v>4563</v>
      </c>
      <c r="AG541" t="s">
        <v>4564</v>
      </c>
      <c r="AH541">
        <v>89512</v>
      </c>
      <c r="AI541" t="s">
        <v>7885</v>
      </c>
      <c r="AJ541" t="s">
        <v>4655</v>
      </c>
      <c r="AK541" t="s">
        <v>7886</v>
      </c>
      <c r="AL541" s="13" t="s">
        <v>2255</v>
      </c>
      <c r="AM541">
        <v>1</v>
      </c>
      <c r="AN541" s="15" t="s">
        <v>3577</v>
      </c>
    </row>
    <row r="542" spans="1:40" x14ac:dyDescent="0.3">
      <c r="A542" s="10" t="str">
        <f>HYPERLINK("http://www.washoecounty.gov/assessor/cama/?parid=008-012-06&amp;CardNumber=1","008-012-06")</f>
        <v>008-012-06</v>
      </c>
      <c r="B542" t="s">
        <v>4655</v>
      </c>
      <c r="C542" t="s">
        <v>7887</v>
      </c>
      <c r="D542" s="1">
        <v>40332</v>
      </c>
      <c r="E542" s="2">
        <v>58000</v>
      </c>
      <c r="F542" t="s">
        <v>4553</v>
      </c>
      <c r="G542" s="17" t="str">
        <f>HYPERLINK("https://www.washoecounty.gov/assessor/cama/?command=sales&amp;parid=00801206","3888021")</f>
        <v>3888021</v>
      </c>
      <c r="H542" t="s">
        <v>3255</v>
      </c>
      <c r="I542">
        <v>1952</v>
      </c>
      <c r="J542">
        <v>1952</v>
      </c>
      <c r="K542" t="s">
        <v>4554</v>
      </c>
      <c r="L542" t="s">
        <v>4555</v>
      </c>
      <c r="M542" s="2">
        <v>853</v>
      </c>
      <c r="N542" t="s">
        <v>4133</v>
      </c>
      <c r="O542">
        <v>3</v>
      </c>
      <c r="P542">
        <v>1</v>
      </c>
      <c r="Q542">
        <v>0</v>
      </c>
      <c r="R542" t="s">
        <v>4134</v>
      </c>
      <c r="S542" t="s">
        <v>4135</v>
      </c>
      <c r="T542" t="s">
        <v>4559</v>
      </c>
      <c r="U542" t="s">
        <v>4655</v>
      </c>
      <c r="V542" s="2">
        <v>0</v>
      </c>
      <c r="W542" t="s">
        <v>4655</v>
      </c>
      <c r="X542" s="2">
        <v>0</v>
      </c>
      <c r="Y542">
        <v>20</v>
      </c>
      <c r="Z542" t="s">
        <v>4561</v>
      </c>
      <c r="AA542" s="3">
        <v>0.13900367915630299</v>
      </c>
      <c r="AB542" t="s">
        <v>7888</v>
      </c>
      <c r="AC542" t="s">
        <v>4562</v>
      </c>
      <c r="AD542" t="s">
        <v>7887</v>
      </c>
      <c r="AE542" t="s">
        <v>4655</v>
      </c>
      <c r="AF542" t="s">
        <v>4563</v>
      </c>
      <c r="AG542" t="s">
        <v>4564</v>
      </c>
      <c r="AH542">
        <v>89512</v>
      </c>
      <c r="AI542" t="s">
        <v>2177</v>
      </c>
      <c r="AJ542" t="s">
        <v>4655</v>
      </c>
      <c r="AK542" t="s">
        <v>7889</v>
      </c>
      <c r="AL542" s="13" t="s">
        <v>2255</v>
      </c>
      <c r="AM542" s="14">
        <v>1</v>
      </c>
      <c r="AN542" s="15" t="s">
        <v>3577</v>
      </c>
    </row>
    <row r="543" spans="1:40" x14ac:dyDescent="0.3">
      <c r="A543" s="10" t="str">
        <f>HYPERLINK("http://www.washoecounty.gov/assessor/cama/?parid=008-012-10&amp;CardNumber=1","008-012-10")</f>
        <v>008-012-10</v>
      </c>
      <c r="B543" t="s">
        <v>4655</v>
      </c>
      <c r="C543" t="s">
        <v>7890</v>
      </c>
      <c r="D543" s="1">
        <v>40477</v>
      </c>
      <c r="E543" s="2">
        <v>67000</v>
      </c>
      <c r="F543" t="s">
        <v>4553</v>
      </c>
      <c r="G543" s="17" t="str">
        <f>HYPERLINK("https://www.washoecounty.gov/assessor/cama/?command=sales&amp;parid=00801210","3936501")</f>
        <v>3936501</v>
      </c>
      <c r="H543" t="s">
        <v>3255</v>
      </c>
      <c r="I543">
        <v>1952</v>
      </c>
      <c r="J543">
        <v>1952</v>
      </c>
      <c r="K543" t="s">
        <v>4554</v>
      </c>
      <c r="L543" t="s">
        <v>4555</v>
      </c>
      <c r="M543" s="2">
        <v>1072</v>
      </c>
      <c r="N543" t="s">
        <v>4133</v>
      </c>
      <c r="O543">
        <v>3</v>
      </c>
      <c r="P543">
        <v>1</v>
      </c>
      <c r="Q543">
        <v>0</v>
      </c>
      <c r="R543" t="s">
        <v>4134</v>
      </c>
      <c r="S543" t="s">
        <v>4135</v>
      </c>
      <c r="T543" t="s">
        <v>4559</v>
      </c>
      <c r="U543" t="s">
        <v>4655</v>
      </c>
      <c r="V543" s="2">
        <v>0</v>
      </c>
      <c r="W543" t="s">
        <v>4655</v>
      </c>
      <c r="X543" s="2">
        <v>0</v>
      </c>
      <c r="Y543">
        <v>20</v>
      </c>
      <c r="Z543" t="s">
        <v>4561</v>
      </c>
      <c r="AA543" s="3">
        <v>0.13900367915630299</v>
      </c>
      <c r="AB543" t="s">
        <v>7891</v>
      </c>
      <c r="AC543" t="s">
        <v>4562</v>
      </c>
      <c r="AD543" t="s">
        <v>7892</v>
      </c>
      <c r="AE543" t="s">
        <v>4655</v>
      </c>
      <c r="AF543" t="s">
        <v>4563</v>
      </c>
      <c r="AG543" t="s">
        <v>4564</v>
      </c>
      <c r="AH543">
        <v>89512</v>
      </c>
      <c r="AI543" t="s">
        <v>4903</v>
      </c>
      <c r="AJ543" t="s">
        <v>4655</v>
      </c>
      <c r="AK543" t="s">
        <v>7893</v>
      </c>
      <c r="AL543" s="13" t="s">
        <v>2255</v>
      </c>
      <c r="AM543" s="14">
        <v>1</v>
      </c>
      <c r="AN543" s="15" t="s">
        <v>3577</v>
      </c>
    </row>
    <row r="544" spans="1:40" x14ac:dyDescent="0.3">
      <c r="A544" s="10" t="str">
        <f>HYPERLINK("http://www.washoecounty.gov/assessor/cama/?parid=008-012-16&amp;CardNumber=1","008-012-16")</f>
        <v>008-012-16</v>
      </c>
      <c r="B544" t="s">
        <v>4655</v>
      </c>
      <c r="C544" t="s">
        <v>1414</v>
      </c>
      <c r="D544" s="1">
        <v>40476</v>
      </c>
      <c r="E544" s="2">
        <v>59900</v>
      </c>
      <c r="F544" t="s">
        <v>4553</v>
      </c>
      <c r="G544" s="17" t="str">
        <f>HYPERLINK("https://www.washoecounty.gov/assessor/cama/?command=sales&amp;parid=00801216","3936055")</f>
        <v>3936055</v>
      </c>
      <c r="H544" t="s">
        <v>3255</v>
      </c>
      <c r="I544">
        <v>1952</v>
      </c>
      <c r="J544">
        <v>1952</v>
      </c>
      <c r="K544" t="s">
        <v>3043</v>
      </c>
      <c r="L544" t="s">
        <v>3974</v>
      </c>
      <c r="M544" s="2">
        <v>2858</v>
      </c>
      <c r="N544" t="s">
        <v>4556</v>
      </c>
      <c r="O544">
        <v>8</v>
      </c>
      <c r="P544">
        <v>4</v>
      </c>
      <c r="Q544">
        <v>0</v>
      </c>
      <c r="R544" t="s">
        <v>4134</v>
      </c>
      <c r="S544" t="s">
        <v>4135</v>
      </c>
      <c r="T544" t="s">
        <v>4899</v>
      </c>
      <c r="U544" t="s">
        <v>4655</v>
      </c>
      <c r="V544" s="2">
        <v>0</v>
      </c>
      <c r="W544" t="s">
        <v>4655</v>
      </c>
      <c r="X544" s="2">
        <v>0</v>
      </c>
      <c r="Y544">
        <v>32</v>
      </c>
      <c r="Z544" t="s">
        <v>4144</v>
      </c>
      <c r="AA544" s="3">
        <v>0.19400826096534701</v>
      </c>
      <c r="AB544" t="s">
        <v>1799</v>
      </c>
      <c r="AC544" t="s">
        <v>4562</v>
      </c>
      <c r="AD544" t="s">
        <v>7894</v>
      </c>
      <c r="AE544" t="s">
        <v>4655</v>
      </c>
      <c r="AF544" t="s">
        <v>4563</v>
      </c>
      <c r="AG544" t="s">
        <v>4564</v>
      </c>
      <c r="AH544">
        <v>89509</v>
      </c>
      <c r="AI544" t="s">
        <v>4655</v>
      </c>
      <c r="AJ544" t="s">
        <v>4655</v>
      </c>
      <c r="AK544" t="s">
        <v>1415</v>
      </c>
      <c r="AL544" s="13" t="s">
        <v>2255</v>
      </c>
      <c r="AM544">
        <v>4</v>
      </c>
      <c r="AN544" s="15" t="s">
        <v>4684</v>
      </c>
    </row>
    <row r="545" spans="1:40" x14ac:dyDescent="0.3">
      <c r="A545" s="10" t="str">
        <f>HYPERLINK("http://www.washoecounty.gov/assessor/cama/?parid=008-012-17&amp;CardNumber=1","008-012-17")</f>
        <v>008-012-17</v>
      </c>
      <c r="B545" t="s">
        <v>4655</v>
      </c>
      <c r="C545" t="s">
        <v>7895</v>
      </c>
      <c r="D545" s="1">
        <v>40442</v>
      </c>
      <c r="E545" s="2">
        <v>71000</v>
      </c>
      <c r="F545" t="s">
        <v>4553</v>
      </c>
      <c r="G545" s="17" t="str">
        <f>HYPERLINK("https://www.washoecounty.gov/assessor/cama/?command=sales&amp;parid=00801217","3924373")</f>
        <v>3924373</v>
      </c>
      <c r="H545" t="s">
        <v>3255</v>
      </c>
      <c r="I545">
        <v>1952</v>
      </c>
      <c r="J545">
        <v>1952</v>
      </c>
      <c r="K545" t="s">
        <v>3043</v>
      </c>
      <c r="L545" t="s">
        <v>3974</v>
      </c>
      <c r="M545" s="2">
        <v>2858</v>
      </c>
      <c r="N545" t="s">
        <v>4556</v>
      </c>
      <c r="O545">
        <v>8</v>
      </c>
      <c r="P545">
        <v>4</v>
      </c>
      <c r="Q545">
        <v>0</v>
      </c>
      <c r="R545" t="s">
        <v>4134</v>
      </c>
      <c r="S545" t="s">
        <v>4135</v>
      </c>
      <c r="T545" t="s">
        <v>4899</v>
      </c>
      <c r="U545" t="s">
        <v>4655</v>
      </c>
      <c r="V545" s="2">
        <v>0</v>
      </c>
      <c r="W545" t="s">
        <v>4655</v>
      </c>
      <c r="X545" s="2">
        <v>0</v>
      </c>
      <c r="Y545">
        <v>32</v>
      </c>
      <c r="Z545" t="s">
        <v>2705</v>
      </c>
      <c r="AA545" s="3">
        <v>0.13900367915630299</v>
      </c>
      <c r="AB545" t="s">
        <v>5359</v>
      </c>
      <c r="AC545" t="s">
        <v>4562</v>
      </c>
      <c r="AD545" t="s">
        <v>5059</v>
      </c>
      <c r="AE545" t="s">
        <v>4655</v>
      </c>
      <c r="AF545" t="s">
        <v>4752</v>
      </c>
      <c r="AG545" t="s">
        <v>4564</v>
      </c>
      <c r="AH545" t="s">
        <v>1147</v>
      </c>
      <c r="AI545" t="s">
        <v>687</v>
      </c>
      <c r="AJ545" t="s">
        <v>4655</v>
      </c>
      <c r="AK545" t="s">
        <v>7896</v>
      </c>
      <c r="AL545" s="13" t="s">
        <v>2255</v>
      </c>
      <c r="AM545" s="14">
        <v>4</v>
      </c>
      <c r="AN545" s="15" t="s">
        <v>4684</v>
      </c>
    </row>
    <row r="546" spans="1:40" x14ac:dyDescent="0.3">
      <c r="A546" s="10" t="str">
        <f>HYPERLINK("http://www.washoecounty.gov/assessor/cama/?parid=008-012-22&amp;CardNumber=1","008-012-22")</f>
        <v>008-012-22</v>
      </c>
      <c r="B546" t="s">
        <v>4655</v>
      </c>
      <c r="C546" t="s">
        <v>7897</v>
      </c>
      <c r="D546" s="1">
        <v>40407</v>
      </c>
      <c r="E546" s="2">
        <v>86000</v>
      </c>
      <c r="F546" t="s">
        <v>4567</v>
      </c>
      <c r="G546" s="17" t="str">
        <f>HYPERLINK("https://www.washoecounty.gov/assessor/cama/?command=sales&amp;parid=00801222","3913065")</f>
        <v>3913065</v>
      </c>
      <c r="H546" t="s">
        <v>3255</v>
      </c>
      <c r="I546">
        <v>1952</v>
      </c>
      <c r="J546">
        <v>1952</v>
      </c>
      <c r="K546" t="s">
        <v>3043</v>
      </c>
      <c r="L546" t="s">
        <v>3974</v>
      </c>
      <c r="M546" s="2">
        <v>2858</v>
      </c>
      <c r="N546" t="s">
        <v>4556</v>
      </c>
      <c r="O546">
        <v>8</v>
      </c>
      <c r="P546">
        <v>4</v>
      </c>
      <c r="Q546">
        <v>0</v>
      </c>
      <c r="R546" t="s">
        <v>4134</v>
      </c>
      <c r="S546" t="s">
        <v>4135</v>
      </c>
      <c r="T546" t="s">
        <v>4899</v>
      </c>
      <c r="U546" t="s">
        <v>4655</v>
      </c>
      <c r="V546" s="2">
        <v>0</v>
      </c>
      <c r="W546" t="s">
        <v>4655</v>
      </c>
      <c r="X546" s="2">
        <v>0</v>
      </c>
      <c r="Y546">
        <v>32</v>
      </c>
      <c r="Z546" t="s">
        <v>2705</v>
      </c>
      <c r="AA546" s="3">
        <v>0.16200642287731201</v>
      </c>
      <c r="AB546" t="s">
        <v>7898</v>
      </c>
      <c r="AC546" t="s">
        <v>4562</v>
      </c>
      <c r="AD546" t="s">
        <v>7899</v>
      </c>
      <c r="AE546" t="s">
        <v>4655</v>
      </c>
      <c r="AF546" t="s">
        <v>4752</v>
      </c>
      <c r="AG546" t="s">
        <v>4564</v>
      </c>
      <c r="AH546">
        <v>89512</v>
      </c>
      <c r="AI546" t="s">
        <v>7900</v>
      </c>
      <c r="AJ546" t="s">
        <v>4655</v>
      </c>
      <c r="AK546" t="s">
        <v>7901</v>
      </c>
      <c r="AL546" s="13" t="s">
        <v>2255</v>
      </c>
      <c r="AM546">
        <v>4</v>
      </c>
      <c r="AN546" s="15" t="s">
        <v>4684</v>
      </c>
    </row>
    <row r="547" spans="1:40" x14ac:dyDescent="0.3">
      <c r="A547" s="10" t="str">
        <f>HYPERLINK("http://www.washoecounty.gov/assessor/cama/?parid=008-012-23&amp;CardNumber=1","008-012-23")</f>
        <v>008-012-23</v>
      </c>
      <c r="B547" t="s">
        <v>4655</v>
      </c>
      <c r="C547" t="s">
        <v>7902</v>
      </c>
      <c r="D547" s="1">
        <v>40407</v>
      </c>
      <c r="E547" s="2">
        <v>81500</v>
      </c>
      <c r="F547" t="s">
        <v>4567</v>
      </c>
      <c r="G547" s="17" t="str">
        <f>HYPERLINK("https://www.washoecounty.gov/assessor/cama/?command=sales&amp;parid=00801223","3913064")</f>
        <v>3913064</v>
      </c>
      <c r="H547" t="s">
        <v>3255</v>
      </c>
      <c r="I547">
        <v>1952</v>
      </c>
      <c r="J547">
        <v>1952</v>
      </c>
      <c r="K547" t="s">
        <v>3043</v>
      </c>
      <c r="L547" t="s">
        <v>3974</v>
      </c>
      <c r="M547" s="2">
        <v>2858</v>
      </c>
      <c r="N547" t="s">
        <v>4556</v>
      </c>
      <c r="O547">
        <v>8</v>
      </c>
      <c r="P547">
        <v>4</v>
      </c>
      <c r="Q547">
        <v>0</v>
      </c>
      <c r="R547" t="s">
        <v>4134</v>
      </c>
      <c r="S547" t="s">
        <v>3148</v>
      </c>
      <c r="T547" t="s">
        <v>4899</v>
      </c>
      <c r="U547" t="s">
        <v>4655</v>
      </c>
      <c r="V547" s="2">
        <v>0</v>
      </c>
      <c r="W547" t="s">
        <v>4655</v>
      </c>
      <c r="X547" s="2">
        <v>0</v>
      </c>
      <c r="Y547">
        <v>32</v>
      </c>
      <c r="Z547" t="s">
        <v>2705</v>
      </c>
      <c r="AA547" s="3">
        <v>0.13298897445201899</v>
      </c>
      <c r="AB547" t="s">
        <v>7898</v>
      </c>
      <c r="AC547" t="s">
        <v>4562</v>
      </c>
      <c r="AD547" t="s">
        <v>7899</v>
      </c>
      <c r="AE547" t="s">
        <v>4655</v>
      </c>
      <c r="AF547" t="s">
        <v>4752</v>
      </c>
      <c r="AG547" t="s">
        <v>4564</v>
      </c>
      <c r="AH547">
        <v>89512</v>
      </c>
      <c r="AI547" t="s">
        <v>1413</v>
      </c>
      <c r="AJ547" t="s">
        <v>4655</v>
      </c>
      <c r="AK547" t="s">
        <v>7903</v>
      </c>
      <c r="AL547" s="13" t="s">
        <v>2255</v>
      </c>
      <c r="AM547">
        <v>4</v>
      </c>
      <c r="AN547" s="15" t="s">
        <v>4684</v>
      </c>
    </row>
    <row r="548" spans="1:40" x14ac:dyDescent="0.3">
      <c r="A548" s="10" t="str">
        <f>HYPERLINK("http://www.washoecounty.gov/assessor/cama/?parid=008-013-09&amp;CardNumber=1","008-013-09")</f>
        <v>008-013-09</v>
      </c>
      <c r="B548" t="s">
        <v>4655</v>
      </c>
      <c r="C548" t="s">
        <v>7904</v>
      </c>
      <c r="D548" s="1">
        <v>40374</v>
      </c>
      <c r="E548" s="2">
        <v>72000</v>
      </c>
      <c r="F548" t="s">
        <v>4553</v>
      </c>
      <c r="G548" s="17" t="str">
        <f>HYPERLINK("https://www.washoecounty.gov/assessor/cama/?command=sales&amp;parid=00801309","3901677")</f>
        <v>3901677</v>
      </c>
      <c r="H548" t="s">
        <v>7905</v>
      </c>
      <c r="I548">
        <v>1952</v>
      </c>
      <c r="J548">
        <v>1952</v>
      </c>
      <c r="K548" t="s">
        <v>3043</v>
      </c>
      <c r="L548" t="s">
        <v>3974</v>
      </c>
      <c r="M548" s="2">
        <v>2966</v>
      </c>
      <c r="N548" t="s">
        <v>4556</v>
      </c>
      <c r="O548">
        <v>8</v>
      </c>
      <c r="P548">
        <v>4</v>
      </c>
      <c r="Q548">
        <v>0</v>
      </c>
      <c r="R548" t="s">
        <v>4134</v>
      </c>
      <c r="S548" t="s">
        <v>4574</v>
      </c>
      <c r="T548" t="s">
        <v>4899</v>
      </c>
      <c r="U548" t="s">
        <v>4655</v>
      </c>
      <c r="V548" s="2">
        <v>0</v>
      </c>
      <c r="W548" t="s">
        <v>4655</v>
      </c>
      <c r="X548" s="2">
        <v>0</v>
      </c>
      <c r="Y548">
        <v>32</v>
      </c>
      <c r="Z548" t="s">
        <v>2705</v>
      </c>
      <c r="AA548" s="3">
        <v>0.13599632680416099</v>
      </c>
      <c r="AB548" t="s">
        <v>5221</v>
      </c>
      <c r="AC548" t="s">
        <v>4575</v>
      </c>
      <c r="AD548" t="s">
        <v>7906</v>
      </c>
      <c r="AE548" t="s">
        <v>754</v>
      </c>
      <c r="AF548" t="s">
        <v>4563</v>
      </c>
      <c r="AG548" t="s">
        <v>4564</v>
      </c>
      <c r="AH548">
        <v>89511</v>
      </c>
      <c r="AI548" t="s">
        <v>687</v>
      </c>
      <c r="AJ548" t="s">
        <v>4655</v>
      </c>
      <c r="AK548" t="s">
        <v>7907</v>
      </c>
      <c r="AL548" s="13" t="s">
        <v>2255</v>
      </c>
      <c r="AM548" s="14">
        <v>4</v>
      </c>
      <c r="AN548" s="15" t="s">
        <v>4684</v>
      </c>
    </row>
    <row r="549" spans="1:40" x14ac:dyDescent="0.3">
      <c r="A549" s="10" t="str">
        <f>HYPERLINK("http://www.washoecounty.gov/assessor/cama/?parid=008-014-15&amp;CardNumber=1","008-014-15")</f>
        <v>008-014-15</v>
      </c>
      <c r="B549" t="s">
        <v>4655</v>
      </c>
      <c r="C549" t="s">
        <v>7908</v>
      </c>
      <c r="D549" s="1">
        <v>40539</v>
      </c>
      <c r="E549" s="2">
        <v>67000</v>
      </c>
      <c r="F549" t="s">
        <v>4567</v>
      </c>
      <c r="G549" s="17" t="str">
        <f>HYPERLINK("https://www.washoecounty.gov/assessor/cama/?command=sales&amp;parid=00801415","3957677")</f>
        <v>3957677</v>
      </c>
      <c r="H549" t="s">
        <v>3255</v>
      </c>
      <c r="I549">
        <v>1952</v>
      </c>
      <c r="J549">
        <v>1952</v>
      </c>
      <c r="K549" t="s">
        <v>4554</v>
      </c>
      <c r="L549" t="s">
        <v>4555</v>
      </c>
      <c r="M549" s="2">
        <v>853</v>
      </c>
      <c r="N549" t="s">
        <v>4672</v>
      </c>
      <c r="O549">
        <v>3</v>
      </c>
      <c r="P549">
        <v>1</v>
      </c>
      <c r="Q549">
        <v>0</v>
      </c>
      <c r="R549" t="s">
        <v>4134</v>
      </c>
      <c r="S549" t="s">
        <v>4135</v>
      </c>
      <c r="T549" t="s">
        <v>4899</v>
      </c>
      <c r="U549" t="s">
        <v>4655</v>
      </c>
      <c r="V549" s="2">
        <v>0</v>
      </c>
      <c r="W549" t="s">
        <v>4655</v>
      </c>
      <c r="X549" s="2">
        <v>0</v>
      </c>
      <c r="Y549">
        <v>20</v>
      </c>
      <c r="Z549" t="s">
        <v>4686</v>
      </c>
      <c r="AA549" s="3">
        <v>0.16200642287731201</v>
      </c>
      <c r="AB549" t="s">
        <v>7909</v>
      </c>
      <c r="AC549" t="s">
        <v>4575</v>
      </c>
      <c r="AD549" t="s">
        <v>802</v>
      </c>
      <c r="AE549" t="s">
        <v>4655</v>
      </c>
      <c r="AF549" t="s">
        <v>4563</v>
      </c>
      <c r="AG549" t="s">
        <v>4564</v>
      </c>
      <c r="AH549">
        <v>89511</v>
      </c>
      <c r="AI549" t="s">
        <v>7910</v>
      </c>
      <c r="AJ549" t="s">
        <v>4655</v>
      </c>
      <c r="AK549" t="s">
        <v>7911</v>
      </c>
      <c r="AL549" s="13" t="s">
        <v>2255</v>
      </c>
      <c r="AM549">
        <v>1</v>
      </c>
      <c r="AN549" s="15" t="s">
        <v>3577</v>
      </c>
    </row>
    <row r="550" spans="1:40" x14ac:dyDescent="0.3">
      <c r="A550" s="10" t="str">
        <f>HYPERLINK("http://www.washoecounty.gov/assessor/cama/?parid=008-015-09&amp;CardNumber=1","008-015-09")</f>
        <v>008-015-09</v>
      </c>
      <c r="B550" t="s">
        <v>4655</v>
      </c>
      <c r="C550" t="s">
        <v>7912</v>
      </c>
      <c r="D550" s="1">
        <v>40450</v>
      </c>
      <c r="E550" s="2">
        <v>45000</v>
      </c>
      <c r="F550" t="s">
        <v>4553</v>
      </c>
      <c r="G550" s="17" t="str">
        <f>HYPERLINK("https://www.washoecounty.gov/assessor/cama/?command=sales&amp;parid=00801509","3927653")</f>
        <v>3927653</v>
      </c>
      <c r="H550" t="s">
        <v>3255</v>
      </c>
      <c r="I550">
        <v>1952</v>
      </c>
      <c r="J550">
        <v>1952</v>
      </c>
      <c r="K550" t="s">
        <v>4554</v>
      </c>
      <c r="L550" t="s">
        <v>4555</v>
      </c>
      <c r="M550" s="2">
        <v>853</v>
      </c>
      <c r="N550" t="s">
        <v>4133</v>
      </c>
      <c r="O550">
        <v>2</v>
      </c>
      <c r="P550">
        <v>1</v>
      </c>
      <c r="Q550">
        <v>0</v>
      </c>
      <c r="R550" t="s">
        <v>4134</v>
      </c>
      <c r="S550" t="s">
        <v>4574</v>
      </c>
      <c r="T550" t="s">
        <v>4559</v>
      </c>
      <c r="U550" t="s">
        <v>4560</v>
      </c>
      <c r="V550" s="2">
        <v>275</v>
      </c>
      <c r="W550" t="s">
        <v>4655</v>
      </c>
      <c r="X550" s="2">
        <v>0</v>
      </c>
      <c r="Y550">
        <v>20</v>
      </c>
      <c r="Z550" t="s">
        <v>4561</v>
      </c>
      <c r="AA550" s="3">
        <v>0.13900367915630299</v>
      </c>
      <c r="AB550" t="s">
        <v>2365</v>
      </c>
      <c r="AC550" t="s">
        <v>4562</v>
      </c>
      <c r="AD550" t="s">
        <v>2366</v>
      </c>
      <c r="AE550" t="s">
        <v>4655</v>
      </c>
      <c r="AF550" t="s">
        <v>3114</v>
      </c>
      <c r="AG550" t="s">
        <v>4564</v>
      </c>
      <c r="AH550">
        <v>89501</v>
      </c>
      <c r="AI550" t="s">
        <v>1149</v>
      </c>
      <c r="AJ550" t="s">
        <v>4655</v>
      </c>
      <c r="AK550" t="s">
        <v>7913</v>
      </c>
      <c r="AL550" s="13" t="s">
        <v>2255</v>
      </c>
      <c r="AM550">
        <v>1</v>
      </c>
      <c r="AN550" s="15" t="s">
        <v>3577</v>
      </c>
    </row>
    <row r="551" spans="1:40" x14ac:dyDescent="0.3">
      <c r="A551" s="10" t="str">
        <f>HYPERLINK("http://www.washoecounty.gov/assessor/cama/?parid=008-016-04&amp;CardNumber=1","008-016-04")</f>
        <v>008-016-04</v>
      </c>
      <c r="B551" t="s">
        <v>4655</v>
      </c>
      <c r="C551" t="s">
        <v>7914</v>
      </c>
      <c r="D551" s="1">
        <v>40358</v>
      </c>
      <c r="E551" s="2">
        <v>35000</v>
      </c>
      <c r="F551" t="s">
        <v>4553</v>
      </c>
      <c r="G551" s="17" t="str">
        <f>HYPERLINK("https://www.washoecounty.gov/assessor/cama/?command=sales&amp;parid=00801604","3896401")</f>
        <v>3896401</v>
      </c>
      <c r="H551" t="s">
        <v>3255</v>
      </c>
      <c r="I551">
        <v>1952</v>
      </c>
      <c r="J551">
        <v>1952</v>
      </c>
      <c r="K551" t="s">
        <v>4554</v>
      </c>
      <c r="L551" t="s">
        <v>4555</v>
      </c>
      <c r="M551" s="2">
        <v>1072</v>
      </c>
      <c r="N551" t="s">
        <v>4556</v>
      </c>
      <c r="O551">
        <v>3</v>
      </c>
      <c r="P551">
        <v>1</v>
      </c>
      <c r="Q551">
        <v>0</v>
      </c>
      <c r="R551" t="s">
        <v>4134</v>
      </c>
      <c r="S551" t="s">
        <v>4558</v>
      </c>
      <c r="T551" t="s">
        <v>4899</v>
      </c>
      <c r="U551" t="s">
        <v>4560</v>
      </c>
      <c r="V551" s="2">
        <v>252</v>
      </c>
      <c r="W551" t="s">
        <v>4655</v>
      </c>
      <c r="X551" s="2">
        <v>0</v>
      </c>
      <c r="Y551">
        <v>20</v>
      </c>
      <c r="Z551" t="s">
        <v>4686</v>
      </c>
      <c r="AA551" s="3">
        <v>0.141000911593437</v>
      </c>
      <c r="AB551" t="s">
        <v>7915</v>
      </c>
      <c r="AC551" t="s">
        <v>4562</v>
      </c>
      <c r="AD551" t="s">
        <v>7914</v>
      </c>
      <c r="AE551" t="s">
        <v>4655</v>
      </c>
      <c r="AF551" t="s">
        <v>4563</v>
      </c>
      <c r="AG551" t="s">
        <v>4564</v>
      </c>
      <c r="AH551">
        <v>89512</v>
      </c>
      <c r="AI551" t="s">
        <v>2351</v>
      </c>
      <c r="AJ551" t="s">
        <v>4655</v>
      </c>
      <c r="AK551" t="s">
        <v>7916</v>
      </c>
      <c r="AL551" s="13" t="s">
        <v>2255</v>
      </c>
      <c r="AM551" s="14">
        <v>1</v>
      </c>
      <c r="AN551" s="15" t="s">
        <v>3577</v>
      </c>
    </row>
    <row r="552" spans="1:40" x14ac:dyDescent="0.3">
      <c r="A552" s="10" t="str">
        <f>HYPERLINK("http://www.washoecounty.gov/assessor/cama/?parid=008-016-12&amp;CardNumber=1","008-016-12")</f>
        <v>008-016-12</v>
      </c>
      <c r="B552" t="s">
        <v>4655</v>
      </c>
      <c r="C552" t="s">
        <v>7917</v>
      </c>
      <c r="D552" s="1">
        <v>40535</v>
      </c>
      <c r="E552" s="2">
        <v>78000</v>
      </c>
      <c r="F552" t="s">
        <v>4567</v>
      </c>
      <c r="G552" s="17" t="str">
        <f>HYPERLINK("https://www.washoecounty.gov/assessor/cama/?command=sales&amp;parid=00801612","3956730")</f>
        <v>3956730</v>
      </c>
      <c r="H552" t="s">
        <v>3255</v>
      </c>
      <c r="I552">
        <v>1952</v>
      </c>
      <c r="J552">
        <v>1952</v>
      </c>
      <c r="K552" t="s">
        <v>4554</v>
      </c>
      <c r="L552" t="s">
        <v>4555</v>
      </c>
      <c r="M552" s="2">
        <v>1072</v>
      </c>
      <c r="N552" t="s">
        <v>4672</v>
      </c>
      <c r="O552">
        <v>3</v>
      </c>
      <c r="P552">
        <v>1</v>
      </c>
      <c r="Q552">
        <v>0</v>
      </c>
      <c r="R552" t="s">
        <v>4134</v>
      </c>
      <c r="S552" t="s">
        <v>4558</v>
      </c>
      <c r="T552" t="s">
        <v>4899</v>
      </c>
      <c r="U552" t="s">
        <v>4655</v>
      </c>
      <c r="V552" s="2">
        <v>0</v>
      </c>
      <c r="W552" t="s">
        <v>4655</v>
      </c>
      <c r="X552" s="2">
        <v>0</v>
      </c>
      <c r="Y552">
        <v>20</v>
      </c>
      <c r="Z552" t="s">
        <v>4686</v>
      </c>
      <c r="AA552" s="3">
        <v>0.14898990094661699</v>
      </c>
      <c r="AB552" t="s">
        <v>7918</v>
      </c>
      <c r="AC552" t="s">
        <v>4562</v>
      </c>
      <c r="AD552" t="s">
        <v>7919</v>
      </c>
      <c r="AE552" t="s">
        <v>4655</v>
      </c>
      <c r="AF552" t="s">
        <v>7920</v>
      </c>
      <c r="AG552" t="s">
        <v>4584</v>
      </c>
      <c r="AH552" t="s">
        <v>7921</v>
      </c>
      <c r="AI552" t="s">
        <v>5359</v>
      </c>
      <c r="AJ552" t="s">
        <v>4655</v>
      </c>
      <c r="AK552" t="s">
        <v>7922</v>
      </c>
      <c r="AL552" s="13" t="s">
        <v>2255</v>
      </c>
      <c r="AM552">
        <v>1</v>
      </c>
      <c r="AN552" s="15" t="s">
        <v>3577</v>
      </c>
    </row>
    <row r="553" spans="1:40" x14ac:dyDescent="0.3">
      <c r="A553" s="10" t="str">
        <f>HYPERLINK("http://www.washoecounty.gov/assessor/cama/?parid=008-016-12&amp;CardNumber=1","008-016-12")</f>
        <v>008-016-12</v>
      </c>
      <c r="B553" t="s">
        <v>4655</v>
      </c>
      <c r="C553" t="s">
        <v>7917</v>
      </c>
      <c r="D553" s="1">
        <v>40491</v>
      </c>
      <c r="E553" s="2">
        <v>37100</v>
      </c>
      <c r="F553" t="s">
        <v>4567</v>
      </c>
      <c r="G553" s="17" t="str">
        <f>HYPERLINK("https://www.washoecounty.gov/assessor/cama/?command=sales&amp;parid=00801612","3941154")</f>
        <v>3941154</v>
      </c>
      <c r="H553" t="s">
        <v>3255</v>
      </c>
      <c r="I553">
        <v>1952</v>
      </c>
      <c r="J553">
        <v>1952</v>
      </c>
      <c r="K553" t="s">
        <v>4554</v>
      </c>
      <c r="L553" t="s">
        <v>4555</v>
      </c>
      <c r="M553" s="2">
        <v>1072</v>
      </c>
      <c r="N553" t="s">
        <v>4672</v>
      </c>
      <c r="O553">
        <v>3</v>
      </c>
      <c r="P553">
        <v>1</v>
      </c>
      <c r="Q553">
        <v>0</v>
      </c>
      <c r="R553" t="s">
        <v>4134</v>
      </c>
      <c r="S553" t="s">
        <v>4558</v>
      </c>
      <c r="T553" t="s">
        <v>4899</v>
      </c>
      <c r="U553" t="s">
        <v>4655</v>
      </c>
      <c r="V553" s="2">
        <v>0</v>
      </c>
      <c r="W553" t="s">
        <v>4655</v>
      </c>
      <c r="X553" s="2">
        <v>0</v>
      </c>
      <c r="Y553">
        <v>20</v>
      </c>
      <c r="Z553" t="s">
        <v>4686</v>
      </c>
      <c r="AA553" s="3">
        <v>0.14898990094661699</v>
      </c>
      <c r="AB553" t="s">
        <v>7918</v>
      </c>
      <c r="AC553" t="s">
        <v>4562</v>
      </c>
      <c r="AD553" t="s">
        <v>7919</v>
      </c>
      <c r="AE553" t="s">
        <v>4655</v>
      </c>
      <c r="AF553" t="s">
        <v>7920</v>
      </c>
      <c r="AG553" t="s">
        <v>4584</v>
      </c>
      <c r="AH553" t="s">
        <v>7921</v>
      </c>
      <c r="AI553" t="s">
        <v>5359</v>
      </c>
      <c r="AJ553" t="s">
        <v>4655</v>
      </c>
      <c r="AK553" t="s">
        <v>7922</v>
      </c>
      <c r="AL553" s="13" t="s">
        <v>2255</v>
      </c>
      <c r="AM553" s="14">
        <v>1</v>
      </c>
      <c r="AN553" s="15" t="s">
        <v>3577</v>
      </c>
    </row>
    <row r="554" spans="1:40" x14ac:dyDescent="0.3">
      <c r="A554" s="10" t="str">
        <f>HYPERLINK("http://www.washoecounty.gov/assessor/cama/?parid=008-016-15&amp;CardNumber=1","008-016-15")</f>
        <v>008-016-15</v>
      </c>
      <c r="B554" t="s">
        <v>4655</v>
      </c>
      <c r="C554" t="s">
        <v>7923</v>
      </c>
      <c r="D554" s="1">
        <v>40295</v>
      </c>
      <c r="E554" s="2">
        <v>77000</v>
      </c>
      <c r="F554" t="s">
        <v>4553</v>
      </c>
      <c r="G554" s="17" t="str">
        <f>HYPERLINK("https://www.washoecounty.gov/assessor/cama/?command=sales&amp;parid=00801615","3875384")</f>
        <v>3875384</v>
      </c>
      <c r="H554" t="s">
        <v>3255</v>
      </c>
      <c r="I554">
        <v>1952</v>
      </c>
      <c r="J554">
        <v>1952</v>
      </c>
      <c r="K554" t="s">
        <v>4554</v>
      </c>
      <c r="L554" t="s">
        <v>4555</v>
      </c>
      <c r="M554" s="2">
        <v>1072</v>
      </c>
      <c r="N554" t="s">
        <v>4672</v>
      </c>
      <c r="O554">
        <v>3</v>
      </c>
      <c r="P554">
        <v>1</v>
      </c>
      <c r="Q554">
        <v>0</v>
      </c>
      <c r="R554" t="s">
        <v>4134</v>
      </c>
      <c r="S554" t="s">
        <v>4574</v>
      </c>
      <c r="T554" t="s">
        <v>4899</v>
      </c>
      <c r="U554" t="s">
        <v>4560</v>
      </c>
      <c r="V554" s="2">
        <v>252</v>
      </c>
      <c r="W554" t="s">
        <v>4655</v>
      </c>
      <c r="X554" s="2">
        <v>0</v>
      </c>
      <c r="Y554">
        <v>20</v>
      </c>
      <c r="Z554" t="s">
        <v>4686</v>
      </c>
      <c r="AA554" s="3">
        <v>0.18099173903465299</v>
      </c>
      <c r="AB554" t="s">
        <v>7924</v>
      </c>
      <c r="AC554" t="s">
        <v>4575</v>
      </c>
      <c r="AD554" t="s">
        <v>7925</v>
      </c>
      <c r="AE554" t="s">
        <v>7926</v>
      </c>
      <c r="AF554" t="s">
        <v>5201</v>
      </c>
      <c r="AG554" t="s">
        <v>4564</v>
      </c>
      <c r="AH554" t="s">
        <v>1605</v>
      </c>
      <c r="AI554" t="s">
        <v>7927</v>
      </c>
      <c r="AJ554" t="s">
        <v>4655</v>
      </c>
      <c r="AK554" t="s">
        <v>7928</v>
      </c>
      <c r="AL554" s="13" t="s">
        <v>2255</v>
      </c>
      <c r="AM554">
        <v>1</v>
      </c>
      <c r="AN554" s="15" t="s">
        <v>3577</v>
      </c>
    </row>
    <row r="555" spans="1:40" x14ac:dyDescent="0.3">
      <c r="A555" s="10" t="str">
        <f>HYPERLINK("http://www.washoecounty.gov/assessor/cama/?parid=008-016-16&amp;CardNumber=1","008-016-16")</f>
        <v>008-016-16</v>
      </c>
      <c r="B555" t="s">
        <v>4655</v>
      </c>
      <c r="C555" t="s">
        <v>7929</v>
      </c>
      <c r="D555" s="1">
        <v>40359</v>
      </c>
      <c r="E555" s="2">
        <v>85000</v>
      </c>
      <c r="F555" t="s">
        <v>4567</v>
      </c>
      <c r="G555" s="17" t="str">
        <f>HYPERLINK("https://www.washoecounty.gov/assessor/cama/?command=sales&amp;parid=00801616","3897500")</f>
        <v>3897500</v>
      </c>
      <c r="H555" t="s">
        <v>3255</v>
      </c>
      <c r="I555">
        <v>1952</v>
      </c>
      <c r="J555">
        <v>1952</v>
      </c>
      <c r="K555" t="s">
        <v>4554</v>
      </c>
      <c r="L555" t="s">
        <v>4555</v>
      </c>
      <c r="M555" s="2">
        <v>1072</v>
      </c>
      <c r="N555" t="s">
        <v>4672</v>
      </c>
      <c r="O555">
        <v>3</v>
      </c>
      <c r="P555">
        <v>1</v>
      </c>
      <c r="Q555">
        <v>0</v>
      </c>
      <c r="R555" t="s">
        <v>4134</v>
      </c>
      <c r="S555" t="s">
        <v>4574</v>
      </c>
      <c r="T555" t="s">
        <v>4899</v>
      </c>
      <c r="U555" t="s">
        <v>4560</v>
      </c>
      <c r="V555" s="2">
        <v>252</v>
      </c>
      <c r="W555" t="s">
        <v>4655</v>
      </c>
      <c r="X555" s="2">
        <v>0</v>
      </c>
      <c r="Y555">
        <v>20</v>
      </c>
      <c r="Z555" t="s">
        <v>4686</v>
      </c>
      <c r="AA555" s="3">
        <v>0.15500459074974099</v>
      </c>
      <c r="AB555" t="s">
        <v>7930</v>
      </c>
      <c r="AC555" t="s">
        <v>4562</v>
      </c>
      <c r="AD555" t="s">
        <v>7929</v>
      </c>
      <c r="AE555" t="s">
        <v>4655</v>
      </c>
      <c r="AF555" t="s">
        <v>4563</v>
      </c>
      <c r="AG555" t="s">
        <v>4564</v>
      </c>
      <c r="AH555">
        <v>89512</v>
      </c>
      <c r="AI555" t="s">
        <v>7931</v>
      </c>
      <c r="AJ555" t="s">
        <v>4655</v>
      </c>
      <c r="AK555" t="s">
        <v>7932</v>
      </c>
      <c r="AL555" s="13" t="s">
        <v>2255</v>
      </c>
      <c r="AM555" s="14">
        <v>1</v>
      </c>
      <c r="AN555" s="15" t="s">
        <v>3577</v>
      </c>
    </row>
    <row r="556" spans="1:40" x14ac:dyDescent="0.3">
      <c r="A556" s="10" t="str">
        <f>HYPERLINK("http://www.washoecounty.gov/assessor/cama/?parid=008-016-16&amp;CardNumber=1","008-016-16")</f>
        <v>008-016-16</v>
      </c>
      <c r="B556" t="s">
        <v>4655</v>
      </c>
      <c r="C556" t="s">
        <v>7929</v>
      </c>
      <c r="D556" s="1">
        <v>40290</v>
      </c>
      <c r="E556" s="2">
        <v>37107</v>
      </c>
      <c r="F556" t="s">
        <v>4567</v>
      </c>
      <c r="G556" s="17" t="str">
        <f>HYPERLINK("https://www.washoecounty.gov/assessor/cama/?command=sales&amp;parid=00801616","3873704")</f>
        <v>3873704</v>
      </c>
      <c r="H556" t="s">
        <v>3255</v>
      </c>
      <c r="I556">
        <v>1952</v>
      </c>
      <c r="J556">
        <v>1952</v>
      </c>
      <c r="K556" t="s">
        <v>4554</v>
      </c>
      <c r="L556" t="s">
        <v>4555</v>
      </c>
      <c r="M556" s="2">
        <v>1072</v>
      </c>
      <c r="N556" t="s">
        <v>4672</v>
      </c>
      <c r="O556">
        <v>3</v>
      </c>
      <c r="P556">
        <v>1</v>
      </c>
      <c r="Q556">
        <v>0</v>
      </c>
      <c r="R556" t="s">
        <v>4134</v>
      </c>
      <c r="S556" t="s">
        <v>4574</v>
      </c>
      <c r="T556" t="s">
        <v>4899</v>
      </c>
      <c r="U556" t="s">
        <v>4560</v>
      </c>
      <c r="V556" s="2">
        <v>252</v>
      </c>
      <c r="W556" t="s">
        <v>4655</v>
      </c>
      <c r="X556" s="2">
        <v>0</v>
      </c>
      <c r="Y556">
        <v>20</v>
      </c>
      <c r="Z556" t="s">
        <v>4686</v>
      </c>
      <c r="AA556" s="3">
        <v>0.15500459074974099</v>
      </c>
      <c r="AB556" t="s">
        <v>7930</v>
      </c>
      <c r="AC556" t="s">
        <v>4562</v>
      </c>
      <c r="AD556" t="s">
        <v>7929</v>
      </c>
      <c r="AE556" t="s">
        <v>4655</v>
      </c>
      <c r="AF556" t="s">
        <v>4563</v>
      </c>
      <c r="AG556" t="s">
        <v>4564</v>
      </c>
      <c r="AH556">
        <v>89512</v>
      </c>
      <c r="AI556" t="s">
        <v>7931</v>
      </c>
      <c r="AJ556" t="s">
        <v>4655</v>
      </c>
      <c r="AK556" t="s">
        <v>7932</v>
      </c>
      <c r="AL556" s="13" t="s">
        <v>2255</v>
      </c>
      <c r="AM556" s="14">
        <v>1</v>
      </c>
      <c r="AN556" s="15" t="s">
        <v>3577</v>
      </c>
    </row>
    <row r="557" spans="1:40" x14ac:dyDescent="0.3">
      <c r="A557" s="10" t="str">
        <f>HYPERLINK("http://www.washoecounty.gov/assessor/cama/?parid=008-041-07&amp;CardNumber=1","008-041-07")</f>
        <v>008-041-07</v>
      </c>
      <c r="B557" t="s">
        <v>4655</v>
      </c>
      <c r="C557" t="s">
        <v>7933</v>
      </c>
      <c r="D557" s="1">
        <v>40346</v>
      </c>
      <c r="E557" s="2">
        <v>85000</v>
      </c>
      <c r="F557" t="s">
        <v>4553</v>
      </c>
      <c r="G557" s="17" t="str">
        <f>HYPERLINK("https://www.washoecounty.gov/assessor/cama/?command=sales&amp;parid=00804107","3892864")</f>
        <v>3892864</v>
      </c>
      <c r="H557" t="s">
        <v>4132</v>
      </c>
      <c r="I557">
        <v>1957</v>
      </c>
      <c r="J557">
        <v>1957</v>
      </c>
      <c r="K557" t="s">
        <v>4554</v>
      </c>
      <c r="L557" t="s">
        <v>4555</v>
      </c>
      <c r="M557" s="2">
        <v>1000</v>
      </c>
      <c r="N557" t="s">
        <v>4133</v>
      </c>
      <c r="O557">
        <v>4</v>
      </c>
      <c r="P557">
        <v>2</v>
      </c>
      <c r="Q557">
        <v>0</v>
      </c>
      <c r="R557" t="s">
        <v>4557</v>
      </c>
      <c r="S557" t="s">
        <v>4682</v>
      </c>
      <c r="T557" t="s">
        <v>4559</v>
      </c>
      <c r="U557" t="s">
        <v>4655</v>
      </c>
      <c r="V557" s="2">
        <v>0</v>
      </c>
      <c r="W557" t="s">
        <v>4655</v>
      </c>
      <c r="X557" s="2">
        <v>0</v>
      </c>
      <c r="Y557">
        <v>20</v>
      </c>
      <c r="Z557" t="s">
        <v>4561</v>
      </c>
      <c r="AA557" s="3">
        <v>0.16499081254005399</v>
      </c>
      <c r="AB557" t="s">
        <v>7934</v>
      </c>
      <c r="AC557" t="s">
        <v>4562</v>
      </c>
      <c r="AD557" t="s">
        <v>7933</v>
      </c>
      <c r="AE557" t="s">
        <v>4655</v>
      </c>
      <c r="AF557" t="s">
        <v>4563</v>
      </c>
      <c r="AG557" t="s">
        <v>4564</v>
      </c>
      <c r="AH557">
        <v>89512</v>
      </c>
      <c r="AI557" t="s">
        <v>949</v>
      </c>
      <c r="AJ557" t="s">
        <v>4655</v>
      </c>
      <c r="AK557" t="s">
        <v>7935</v>
      </c>
      <c r="AL557" s="13" t="s">
        <v>2255</v>
      </c>
      <c r="AM557" s="14">
        <v>1</v>
      </c>
      <c r="AN557" s="15" t="s">
        <v>4136</v>
      </c>
    </row>
    <row r="558" spans="1:40" x14ac:dyDescent="0.3">
      <c r="A558" s="10" t="str">
        <f>HYPERLINK("http://www.washoecounty.gov/assessor/cama/?parid=008-041-15&amp;CardNumber=1","008-041-15")</f>
        <v>008-041-15</v>
      </c>
      <c r="B558" t="s">
        <v>4655</v>
      </c>
      <c r="C558" t="s">
        <v>7936</v>
      </c>
      <c r="D558" s="1">
        <v>40351</v>
      </c>
      <c r="E558" s="2">
        <v>72000</v>
      </c>
      <c r="F558" t="s">
        <v>4553</v>
      </c>
      <c r="G558" s="17" t="str">
        <f>HYPERLINK("https://www.washoecounty.gov/assessor/cama/?command=sales&amp;parid=00804115","3893955")</f>
        <v>3893955</v>
      </c>
      <c r="H558" t="s">
        <v>4132</v>
      </c>
      <c r="I558">
        <v>1955</v>
      </c>
      <c r="J558">
        <v>1955</v>
      </c>
      <c r="K558" t="s">
        <v>4554</v>
      </c>
      <c r="L558" t="s">
        <v>4555</v>
      </c>
      <c r="M558" s="2">
        <v>925</v>
      </c>
      <c r="N558" t="s">
        <v>4133</v>
      </c>
      <c r="O558">
        <v>3</v>
      </c>
      <c r="P558">
        <v>1</v>
      </c>
      <c r="Q558">
        <v>0</v>
      </c>
      <c r="R558" t="s">
        <v>4134</v>
      </c>
      <c r="S558" t="s">
        <v>4135</v>
      </c>
      <c r="T558" t="s">
        <v>4559</v>
      </c>
      <c r="U558" t="s">
        <v>4560</v>
      </c>
      <c r="V558" s="2">
        <v>380</v>
      </c>
      <c r="W558" t="s">
        <v>4655</v>
      </c>
      <c r="X558" s="2">
        <v>0</v>
      </c>
      <c r="Y558">
        <v>20</v>
      </c>
      <c r="Z558" t="s">
        <v>4561</v>
      </c>
      <c r="AA558" s="3">
        <v>0.16499081254005399</v>
      </c>
      <c r="AB558" t="s">
        <v>7937</v>
      </c>
      <c r="AC558" t="s">
        <v>4562</v>
      </c>
      <c r="AD558" t="s">
        <v>7938</v>
      </c>
      <c r="AE558" t="s">
        <v>4655</v>
      </c>
      <c r="AF558" t="s">
        <v>4563</v>
      </c>
      <c r="AG558" t="s">
        <v>4564</v>
      </c>
      <c r="AH558">
        <v>89502</v>
      </c>
      <c r="AI558" t="s">
        <v>4903</v>
      </c>
      <c r="AJ558" t="s">
        <v>4655</v>
      </c>
      <c r="AK558" t="s">
        <v>7939</v>
      </c>
      <c r="AL558" s="13" t="s">
        <v>2255</v>
      </c>
      <c r="AM558" s="14">
        <v>1</v>
      </c>
      <c r="AN558" s="15" t="s">
        <v>4136</v>
      </c>
    </row>
    <row r="559" spans="1:40" x14ac:dyDescent="0.3">
      <c r="A559" s="10" t="str">
        <f>HYPERLINK("http://www.washoecounty.gov/assessor/cama/?parid=008-043-23&amp;CardNumber=1","008-043-23")</f>
        <v>008-043-23</v>
      </c>
      <c r="B559" t="s">
        <v>4655</v>
      </c>
      <c r="C559" t="s">
        <v>7940</v>
      </c>
      <c r="D559" s="1">
        <v>40185</v>
      </c>
      <c r="E559" s="2">
        <v>63000</v>
      </c>
      <c r="F559" t="s">
        <v>4553</v>
      </c>
      <c r="G559" s="17" t="str">
        <f>HYPERLINK("https://www.washoecounty.gov/assessor/cama/?command=sales&amp;parid=00804323","3837287")</f>
        <v>3837287</v>
      </c>
      <c r="H559" t="s">
        <v>4132</v>
      </c>
      <c r="I559">
        <v>1955</v>
      </c>
      <c r="J559">
        <v>1955</v>
      </c>
      <c r="K559" t="s">
        <v>4554</v>
      </c>
      <c r="L559" t="s">
        <v>4555</v>
      </c>
      <c r="M559" s="2">
        <v>1133</v>
      </c>
      <c r="N559" t="s">
        <v>4133</v>
      </c>
      <c r="O559">
        <v>3</v>
      </c>
      <c r="P559">
        <v>1</v>
      </c>
      <c r="Q559">
        <v>0</v>
      </c>
      <c r="R559" t="s">
        <v>4134</v>
      </c>
      <c r="S559" t="s">
        <v>4135</v>
      </c>
      <c r="T559" t="s">
        <v>4559</v>
      </c>
      <c r="U559" t="s">
        <v>4560</v>
      </c>
      <c r="V559" s="2">
        <v>380</v>
      </c>
      <c r="W559" t="s">
        <v>4655</v>
      </c>
      <c r="X559" s="2">
        <v>0</v>
      </c>
      <c r="Y559">
        <v>20</v>
      </c>
      <c r="Z559" t="s">
        <v>4561</v>
      </c>
      <c r="AA559" s="3">
        <v>0.15199723839759827</v>
      </c>
      <c r="AB559" t="s">
        <v>7941</v>
      </c>
      <c r="AC559" t="s">
        <v>4562</v>
      </c>
      <c r="AD559" t="s">
        <v>7940</v>
      </c>
      <c r="AE559" t="s">
        <v>4655</v>
      </c>
      <c r="AF559" t="s">
        <v>4563</v>
      </c>
      <c r="AG559" t="s">
        <v>4564</v>
      </c>
      <c r="AH559">
        <v>89502</v>
      </c>
      <c r="AI559" t="s">
        <v>4565</v>
      </c>
      <c r="AJ559" t="s">
        <v>4655</v>
      </c>
      <c r="AK559" t="s">
        <v>7942</v>
      </c>
      <c r="AL559" s="13" t="s">
        <v>2255</v>
      </c>
      <c r="AM559">
        <v>1</v>
      </c>
      <c r="AN559" s="15" t="s">
        <v>4136</v>
      </c>
    </row>
    <row r="560" spans="1:40" x14ac:dyDescent="0.3">
      <c r="A560" s="10" t="str">
        <f>HYPERLINK("http://www.washoecounty.gov/assessor/cama/?parid=008-043-32&amp;CardNumber=1","008-043-32")</f>
        <v>008-043-32</v>
      </c>
      <c r="B560" t="s">
        <v>4655</v>
      </c>
      <c r="C560" t="s">
        <v>7943</v>
      </c>
      <c r="D560" s="1">
        <v>40182</v>
      </c>
      <c r="E560" s="2">
        <v>70000</v>
      </c>
      <c r="F560" t="s">
        <v>4553</v>
      </c>
      <c r="G560" s="17" t="str">
        <f>HYPERLINK("https://www.washoecounty.gov/assessor/cama/?command=sales&amp;parid=00804332","3835934")</f>
        <v>3835934</v>
      </c>
      <c r="H560" t="s">
        <v>4132</v>
      </c>
      <c r="I560">
        <v>1955</v>
      </c>
      <c r="J560">
        <v>1955</v>
      </c>
      <c r="K560" t="s">
        <v>4554</v>
      </c>
      <c r="L560" t="s">
        <v>4555</v>
      </c>
      <c r="M560" s="2">
        <v>925</v>
      </c>
      <c r="N560" t="s">
        <v>4133</v>
      </c>
      <c r="O560">
        <v>3</v>
      </c>
      <c r="P560">
        <v>1</v>
      </c>
      <c r="Q560">
        <v>0</v>
      </c>
      <c r="R560" t="s">
        <v>4134</v>
      </c>
      <c r="S560" t="s">
        <v>4574</v>
      </c>
      <c r="T560" t="s">
        <v>4559</v>
      </c>
      <c r="U560" t="s">
        <v>4560</v>
      </c>
      <c r="V560" s="2">
        <v>380</v>
      </c>
      <c r="W560" t="s">
        <v>4655</v>
      </c>
      <c r="X560" s="2">
        <v>0</v>
      </c>
      <c r="Y560">
        <v>20</v>
      </c>
      <c r="Z560" t="s">
        <v>4561</v>
      </c>
      <c r="AA560" s="3">
        <v>0.17800734937191001</v>
      </c>
      <c r="AB560" t="s">
        <v>7944</v>
      </c>
      <c r="AC560" t="s">
        <v>4575</v>
      </c>
      <c r="AD560" t="s">
        <v>7945</v>
      </c>
      <c r="AE560" t="s">
        <v>7943</v>
      </c>
      <c r="AF560" t="s">
        <v>4563</v>
      </c>
      <c r="AG560" t="s">
        <v>4564</v>
      </c>
      <c r="AH560">
        <v>89512</v>
      </c>
      <c r="AI560" t="s">
        <v>7946</v>
      </c>
      <c r="AJ560" t="s">
        <v>4655</v>
      </c>
      <c r="AK560" t="s">
        <v>7947</v>
      </c>
      <c r="AL560" s="13" t="s">
        <v>2255</v>
      </c>
      <c r="AM560">
        <v>1</v>
      </c>
      <c r="AN560" s="15" t="s">
        <v>4136</v>
      </c>
    </row>
    <row r="561" spans="1:40" x14ac:dyDescent="0.3">
      <c r="A561" s="10" t="str">
        <f>HYPERLINK("http://www.washoecounty.gov/assessor/cama/?parid=008-052-05&amp;CardNumber=1","008-052-05")</f>
        <v>008-052-05</v>
      </c>
      <c r="B561" t="s">
        <v>4655</v>
      </c>
      <c r="C561" t="s">
        <v>7948</v>
      </c>
      <c r="D561" s="1">
        <v>40268</v>
      </c>
      <c r="E561" s="2">
        <v>90000</v>
      </c>
      <c r="F561" t="s">
        <v>4553</v>
      </c>
      <c r="G561" s="17" t="str">
        <f>HYPERLINK("https://www.washoecounty.gov/assessor/cama/?command=sales&amp;parid=00805205","3866286")</f>
        <v>3866286</v>
      </c>
      <c r="H561" t="s">
        <v>3775</v>
      </c>
      <c r="I561">
        <v>1960</v>
      </c>
      <c r="J561">
        <v>1960</v>
      </c>
      <c r="K561" t="s">
        <v>4554</v>
      </c>
      <c r="L561" t="s">
        <v>4555</v>
      </c>
      <c r="M561" s="2">
        <v>1218</v>
      </c>
      <c r="N561" t="s">
        <v>4133</v>
      </c>
      <c r="O561">
        <v>4</v>
      </c>
      <c r="P561">
        <v>2</v>
      </c>
      <c r="Q561">
        <v>0</v>
      </c>
      <c r="R561" t="s">
        <v>4134</v>
      </c>
      <c r="S561" t="s">
        <v>4135</v>
      </c>
      <c r="T561" t="s">
        <v>4559</v>
      </c>
      <c r="U561" t="s">
        <v>4655</v>
      </c>
      <c r="V561" s="2">
        <v>0</v>
      </c>
      <c r="W561" t="s">
        <v>4655</v>
      </c>
      <c r="X561" s="2">
        <v>0</v>
      </c>
      <c r="Y561">
        <v>20</v>
      </c>
      <c r="Z561" t="s">
        <v>4561</v>
      </c>
      <c r="AA561" s="3">
        <v>0.15199723839759827</v>
      </c>
      <c r="AB561" t="s">
        <v>7949</v>
      </c>
      <c r="AC561" t="s">
        <v>4562</v>
      </c>
      <c r="AD561" t="s">
        <v>7950</v>
      </c>
      <c r="AE561" t="s">
        <v>4655</v>
      </c>
      <c r="AF561" t="s">
        <v>686</v>
      </c>
      <c r="AG561" t="s">
        <v>4584</v>
      </c>
      <c r="AH561" t="s">
        <v>2477</v>
      </c>
      <c r="AI561" t="s">
        <v>4655</v>
      </c>
      <c r="AJ561" t="s">
        <v>4655</v>
      </c>
      <c r="AK561" t="s">
        <v>7951</v>
      </c>
      <c r="AL561" s="13" t="s">
        <v>2255</v>
      </c>
      <c r="AM561" s="14">
        <v>1</v>
      </c>
      <c r="AN561" s="15" t="s">
        <v>4136</v>
      </c>
    </row>
    <row r="562" spans="1:40" x14ac:dyDescent="0.3">
      <c r="A562" s="10" t="str">
        <f>HYPERLINK("http://www.washoecounty.gov/assessor/cama/?parid=008-052-06&amp;CardNumber=1","008-052-06")</f>
        <v>008-052-06</v>
      </c>
      <c r="B562" t="s">
        <v>4655</v>
      </c>
      <c r="C562" t="s">
        <v>7952</v>
      </c>
      <c r="D562" s="1">
        <v>40353</v>
      </c>
      <c r="E562" s="2">
        <v>65000</v>
      </c>
      <c r="F562" t="s">
        <v>4567</v>
      </c>
      <c r="G562" s="17" t="str">
        <f>HYPERLINK("https://www.washoecounty.gov/assessor/cama/?command=sales&amp;parid=00805206","3895148")</f>
        <v>3895148</v>
      </c>
      <c r="H562" t="s">
        <v>1679</v>
      </c>
      <c r="I562">
        <v>1960</v>
      </c>
      <c r="J562">
        <v>1960</v>
      </c>
      <c r="K562" t="s">
        <v>4554</v>
      </c>
      <c r="L562" t="s">
        <v>4555</v>
      </c>
      <c r="M562" s="2">
        <v>1218</v>
      </c>
      <c r="N562" t="s">
        <v>4133</v>
      </c>
      <c r="O562">
        <v>4</v>
      </c>
      <c r="P562">
        <v>2</v>
      </c>
      <c r="Q562">
        <v>0</v>
      </c>
      <c r="R562" t="s">
        <v>4134</v>
      </c>
      <c r="S562" t="s">
        <v>4574</v>
      </c>
      <c r="T562" t="s">
        <v>4559</v>
      </c>
      <c r="U562" t="s">
        <v>4655</v>
      </c>
      <c r="V562" s="2">
        <v>0</v>
      </c>
      <c r="W562" t="s">
        <v>4655</v>
      </c>
      <c r="X562" s="2">
        <v>0</v>
      </c>
      <c r="Y562">
        <v>20</v>
      </c>
      <c r="Z562" t="s">
        <v>4561</v>
      </c>
      <c r="AA562" s="3">
        <v>0.15199723839759827</v>
      </c>
      <c r="AB562" t="s">
        <v>7953</v>
      </c>
      <c r="AC562" t="s">
        <v>4562</v>
      </c>
      <c r="AD562" t="s">
        <v>7952</v>
      </c>
      <c r="AE562" t="s">
        <v>4655</v>
      </c>
      <c r="AF562" t="s">
        <v>4563</v>
      </c>
      <c r="AG562" t="s">
        <v>4564</v>
      </c>
      <c r="AH562">
        <v>89512</v>
      </c>
      <c r="AI562" t="s">
        <v>7954</v>
      </c>
      <c r="AJ562" t="s">
        <v>4655</v>
      </c>
      <c r="AK562" t="s">
        <v>7955</v>
      </c>
      <c r="AL562" s="13" t="s">
        <v>2255</v>
      </c>
      <c r="AM562" s="14">
        <v>1</v>
      </c>
      <c r="AN562" s="15" t="s">
        <v>4136</v>
      </c>
    </row>
    <row r="563" spans="1:40" x14ac:dyDescent="0.3">
      <c r="A563" s="10" t="str">
        <f>HYPERLINK("http://www.washoecounty.gov/assessor/cama/?parid=008-053-01&amp;CardNumber=1","008-053-01")</f>
        <v>008-053-01</v>
      </c>
      <c r="B563" t="s">
        <v>4655</v>
      </c>
      <c r="C563" t="s">
        <v>7956</v>
      </c>
      <c r="D563" s="1">
        <v>40459</v>
      </c>
      <c r="E563" s="2">
        <v>57240</v>
      </c>
      <c r="F563" t="s">
        <v>4553</v>
      </c>
      <c r="G563" s="17" t="str">
        <f>HYPERLINK("https://www.washoecounty.gov/assessor/cama/?command=sales&amp;parid=00805301","3931248")</f>
        <v>3931248</v>
      </c>
      <c r="H563" t="s">
        <v>3775</v>
      </c>
      <c r="I563">
        <v>1958</v>
      </c>
      <c r="J563">
        <v>1958</v>
      </c>
      <c r="K563" t="s">
        <v>4554</v>
      </c>
      <c r="L563" t="s">
        <v>4555</v>
      </c>
      <c r="M563" s="2">
        <v>1000</v>
      </c>
      <c r="N563" t="s">
        <v>4133</v>
      </c>
      <c r="O563">
        <v>3</v>
      </c>
      <c r="P563">
        <v>1</v>
      </c>
      <c r="Q563">
        <v>0</v>
      </c>
      <c r="R563" t="s">
        <v>4557</v>
      </c>
      <c r="S563" t="s">
        <v>4898</v>
      </c>
      <c r="T563" t="s">
        <v>4559</v>
      </c>
      <c r="U563" t="s">
        <v>4655</v>
      </c>
      <c r="V563" s="2">
        <v>0</v>
      </c>
      <c r="W563" t="s">
        <v>4655</v>
      </c>
      <c r="X563" s="2">
        <v>0</v>
      </c>
      <c r="Y563">
        <v>20</v>
      </c>
      <c r="Z563" t="s">
        <v>4561</v>
      </c>
      <c r="AA563" s="3">
        <v>0.16200642287731201</v>
      </c>
      <c r="AB563" t="s">
        <v>7957</v>
      </c>
      <c r="AC563" t="s">
        <v>4562</v>
      </c>
      <c r="AD563" t="s">
        <v>7956</v>
      </c>
      <c r="AE563" t="s">
        <v>4655</v>
      </c>
      <c r="AF563" t="s">
        <v>4563</v>
      </c>
      <c r="AG563" t="s">
        <v>4564</v>
      </c>
      <c r="AH563">
        <v>89512</v>
      </c>
      <c r="AI563" t="s">
        <v>4565</v>
      </c>
      <c r="AJ563" t="s">
        <v>4655</v>
      </c>
      <c r="AK563" t="s">
        <v>7958</v>
      </c>
      <c r="AL563" s="13" t="s">
        <v>2255</v>
      </c>
      <c r="AM563">
        <v>1</v>
      </c>
      <c r="AN563" s="15" t="s">
        <v>4136</v>
      </c>
    </row>
    <row r="564" spans="1:40" x14ac:dyDescent="0.3">
      <c r="A564" s="10" t="str">
        <f>HYPERLINK("http://www.washoecounty.gov/assessor/cama/?parid=008-053-12&amp;CardNumber=1","008-053-12")</f>
        <v>008-053-12</v>
      </c>
      <c r="B564" t="s">
        <v>4655</v>
      </c>
      <c r="C564" t="s">
        <v>7959</v>
      </c>
      <c r="D564" s="1">
        <v>40254</v>
      </c>
      <c r="E564" s="2">
        <v>88000</v>
      </c>
      <c r="F564" t="s">
        <v>4567</v>
      </c>
      <c r="G564" s="17" t="str">
        <f>HYPERLINK("https://www.washoecounty.gov/assessor/cama/?command=sales&amp;parid=00805312","3860710")</f>
        <v>3860710</v>
      </c>
      <c r="H564" t="s">
        <v>1679</v>
      </c>
      <c r="I564">
        <v>1960</v>
      </c>
      <c r="J564">
        <v>1960</v>
      </c>
      <c r="K564" t="s">
        <v>4554</v>
      </c>
      <c r="L564" t="s">
        <v>4555</v>
      </c>
      <c r="M564" s="2">
        <v>973</v>
      </c>
      <c r="N564" t="s">
        <v>4672</v>
      </c>
      <c r="O564">
        <v>3</v>
      </c>
      <c r="P564">
        <v>1</v>
      </c>
      <c r="Q564">
        <v>0</v>
      </c>
      <c r="R564" t="s">
        <v>4134</v>
      </c>
      <c r="S564" t="s">
        <v>4135</v>
      </c>
      <c r="T564" t="s">
        <v>4899</v>
      </c>
      <c r="U564" t="s">
        <v>4655</v>
      </c>
      <c r="V564" s="2">
        <v>0</v>
      </c>
      <c r="W564" t="s">
        <v>4655</v>
      </c>
      <c r="X564" s="2">
        <v>0</v>
      </c>
      <c r="Y564">
        <v>20</v>
      </c>
      <c r="Z564" t="s">
        <v>4561</v>
      </c>
      <c r="AA564" s="3">
        <v>0.15199723839759827</v>
      </c>
      <c r="AB564" t="s">
        <v>7960</v>
      </c>
      <c r="AC564" t="s">
        <v>4562</v>
      </c>
      <c r="AD564" t="s">
        <v>7959</v>
      </c>
      <c r="AE564" t="s">
        <v>4655</v>
      </c>
      <c r="AF564" t="s">
        <v>4563</v>
      </c>
      <c r="AG564" t="s">
        <v>4564</v>
      </c>
      <c r="AH564">
        <v>89512</v>
      </c>
      <c r="AI564" t="s">
        <v>7961</v>
      </c>
      <c r="AJ564" t="s">
        <v>4655</v>
      </c>
      <c r="AK564" t="s">
        <v>7962</v>
      </c>
      <c r="AL564" s="13" t="s">
        <v>2257</v>
      </c>
      <c r="AM564" s="14">
        <v>1</v>
      </c>
      <c r="AN564" s="15" t="s">
        <v>4136</v>
      </c>
    </row>
    <row r="565" spans="1:40" x14ac:dyDescent="0.3">
      <c r="A565" s="10" t="str">
        <f>HYPERLINK("http://www.washoecounty.gov/assessor/cama/?parid=008-053-30&amp;CardNumber=1","008-053-30")</f>
        <v>008-053-30</v>
      </c>
      <c r="B565" t="s">
        <v>4655</v>
      </c>
      <c r="C565" t="s">
        <v>7963</v>
      </c>
      <c r="D565" s="1">
        <v>40525</v>
      </c>
      <c r="E565" s="2">
        <v>60000</v>
      </c>
      <c r="F565" t="s">
        <v>4553</v>
      </c>
      <c r="G565" s="17" t="str">
        <f>HYPERLINK("https://www.washoecounty.gov/assessor/cama/?command=sales&amp;parid=00805330","3952469")</f>
        <v>3952469</v>
      </c>
      <c r="H565" t="s">
        <v>3775</v>
      </c>
      <c r="I565">
        <v>1960</v>
      </c>
      <c r="J565">
        <v>1960</v>
      </c>
      <c r="K565" t="s">
        <v>4554</v>
      </c>
      <c r="L565" t="s">
        <v>4555</v>
      </c>
      <c r="M565" s="2">
        <v>973</v>
      </c>
      <c r="N565" t="s">
        <v>4133</v>
      </c>
      <c r="O565">
        <v>3</v>
      </c>
      <c r="P565">
        <v>1</v>
      </c>
      <c r="Q565">
        <v>0</v>
      </c>
      <c r="R565" t="s">
        <v>4134</v>
      </c>
      <c r="S565" t="s">
        <v>4558</v>
      </c>
      <c r="T565" t="s">
        <v>4559</v>
      </c>
      <c r="U565" t="s">
        <v>4560</v>
      </c>
      <c r="V565" s="2">
        <v>308</v>
      </c>
      <c r="W565" t="s">
        <v>4655</v>
      </c>
      <c r="X565" s="2">
        <v>0</v>
      </c>
      <c r="Y565">
        <v>20</v>
      </c>
      <c r="Z565" t="s">
        <v>4561</v>
      </c>
      <c r="AA565" s="3">
        <v>0.16400367021560699</v>
      </c>
      <c r="AB565" t="s">
        <v>7964</v>
      </c>
      <c r="AC565" t="s">
        <v>4575</v>
      </c>
      <c r="AD565" t="s">
        <v>3298</v>
      </c>
      <c r="AE565" t="s">
        <v>4655</v>
      </c>
      <c r="AF565" t="s">
        <v>4563</v>
      </c>
      <c r="AG565" t="s">
        <v>4564</v>
      </c>
      <c r="AH565">
        <v>89512</v>
      </c>
      <c r="AI565" t="s">
        <v>4045</v>
      </c>
      <c r="AJ565" t="s">
        <v>4655</v>
      </c>
      <c r="AK565" t="s">
        <v>7965</v>
      </c>
      <c r="AL565" s="13" t="s">
        <v>2255</v>
      </c>
      <c r="AM565">
        <v>1</v>
      </c>
      <c r="AN565" s="15" t="s">
        <v>4136</v>
      </c>
    </row>
    <row r="566" spans="1:40" x14ac:dyDescent="0.3">
      <c r="A566" s="10" t="str">
        <f>HYPERLINK("http://www.washoecounty.gov/assessor/cama/?parid=008-053-31&amp;CardNumber=1","008-053-31")</f>
        <v>008-053-31</v>
      </c>
      <c r="B566" t="s">
        <v>4655</v>
      </c>
      <c r="C566" t="s">
        <v>7966</v>
      </c>
      <c r="D566" s="1">
        <v>40203</v>
      </c>
      <c r="E566" s="2">
        <v>53000</v>
      </c>
      <c r="F566" t="s">
        <v>4553</v>
      </c>
      <c r="G566" s="17" t="str">
        <f>HYPERLINK("https://www.washoecounty.gov/assessor/cama/?command=sales&amp;parid=00805331","3842352")</f>
        <v>3842352</v>
      </c>
      <c r="H566" t="s">
        <v>3775</v>
      </c>
      <c r="I566">
        <v>1960</v>
      </c>
      <c r="J566">
        <v>1960</v>
      </c>
      <c r="K566" t="s">
        <v>4554</v>
      </c>
      <c r="L566" t="s">
        <v>4555</v>
      </c>
      <c r="M566" s="2">
        <v>973</v>
      </c>
      <c r="N566" t="s">
        <v>4672</v>
      </c>
      <c r="O566">
        <v>3</v>
      </c>
      <c r="P566">
        <v>1</v>
      </c>
      <c r="Q566">
        <v>0</v>
      </c>
      <c r="R566" t="s">
        <v>4134</v>
      </c>
      <c r="S566" t="s">
        <v>4574</v>
      </c>
      <c r="T566" t="s">
        <v>4899</v>
      </c>
      <c r="U566" t="s">
        <v>4655</v>
      </c>
      <c r="V566" s="2">
        <v>0</v>
      </c>
      <c r="W566" t="s">
        <v>4655</v>
      </c>
      <c r="X566" s="2">
        <v>0</v>
      </c>
      <c r="Y566">
        <v>20</v>
      </c>
      <c r="Z566" t="s">
        <v>4561</v>
      </c>
      <c r="AA566" s="3">
        <v>0.16400367021560699</v>
      </c>
      <c r="AB566" t="s">
        <v>7967</v>
      </c>
      <c r="AC566" t="s">
        <v>4575</v>
      </c>
      <c r="AD566" t="s">
        <v>7966</v>
      </c>
      <c r="AE566" t="s">
        <v>4655</v>
      </c>
      <c r="AF566" t="s">
        <v>4563</v>
      </c>
      <c r="AG566" t="s">
        <v>4564</v>
      </c>
      <c r="AH566">
        <v>89512</v>
      </c>
      <c r="AI566" t="s">
        <v>7968</v>
      </c>
      <c r="AJ566" t="s">
        <v>4655</v>
      </c>
      <c r="AK566" t="s">
        <v>7969</v>
      </c>
      <c r="AL566" s="13" t="s">
        <v>2255</v>
      </c>
      <c r="AM566">
        <v>1</v>
      </c>
      <c r="AN566" s="15" t="s">
        <v>4136</v>
      </c>
    </row>
    <row r="567" spans="1:40" x14ac:dyDescent="0.3">
      <c r="A567" s="10" t="str">
        <f>HYPERLINK("http://www.washoecounty.gov/assessor/cama/?parid=008-054-09&amp;CardNumber=1","008-054-09")</f>
        <v>008-054-09</v>
      </c>
      <c r="B567" t="s">
        <v>4655</v>
      </c>
      <c r="C567" t="s">
        <v>7970</v>
      </c>
      <c r="D567" s="1">
        <v>40417</v>
      </c>
      <c r="E567" s="2">
        <v>35000</v>
      </c>
      <c r="F567" t="s">
        <v>4553</v>
      </c>
      <c r="G567" s="17" t="str">
        <f>HYPERLINK("https://www.washoecounty.gov/assessor/cama/?command=sales&amp;parid=00805409","3916361")</f>
        <v>3916361</v>
      </c>
      <c r="H567" t="s">
        <v>3776</v>
      </c>
      <c r="I567">
        <v>1960</v>
      </c>
      <c r="J567">
        <v>1960</v>
      </c>
      <c r="K567" t="s">
        <v>4554</v>
      </c>
      <c r="L567" t="s">
        <v>4555</v>
      </c>
      <c r="M567" s="2">
        <v>992</v>
      </c>
      <c r="N567" t="s">
        <v>4672</v>
      </c>
      <c r="O567">
        <v>3</v>
      </c>
      <c r="P567">
        <v>1</v>
      </c>
      <c r="Q567">
        <v>0</v>
      </c>
      <c r="R567" t="s">
        <v>4557</v>
      </c>
      <c r="S567" t="s">
        <v>4574</v>
      </c>
      <c r="T567" t="s">
        <v>4899</v>
      </c>
      <c r="U567" t="s">
        <v>4560</v>
      </c>
      <c r="V567" s="2">
        <v>308</v>
      </c>
      <c r="W567" t="s">
        <v>4655</v>
      </c>
      <c r="X567" s="2">
        <v>0</v>
      </c>
      <c r="Y567">
        <v>20</v>
      </c>
      <c r="Z567" t="s">
        <v>4561</v>
      </c>
      <c r="AA567" s="3">
        <v>0.13999082148075101</v>
      </c>
      <c r="AB567" t="s">
        <v>2707</v>
      </c>
      <c r="AC567" t="s">
        <v>4562</v>
      </c>
      <c r="AD567" t="s">
        <v>7971</v>
      </c>
      <c r="AE567" t="s">
        <v>4655</v>
      </c>
      <c r="AF567" t="s">
        <v>4563</v>
      </c>
      <c r="AG567" t="s">
        <v>4564</v>
      </c>
      <c r="AH567">
        <v>89512</v>
      </c>
      <c r="AI567" t="s">
        <v>4655</v>
      </c>
      <c r="AJ567" t="s">
        <v>4655</v>
      </c>
      <c r="AK567" t="s">
        <v>7972</v>
      </c>
      <c r="AL567" s="13" t="s">
        <v>2257</v>
      </c>
      <c r="AM567">
        <v>1</v>
      </c>
      <c r="AN567" s="15" t="s">
        <v>4136</v>
      </c>
    </row>
    <row r="568" spans="1:40" x14ac:dyDescent="0.3">
      <c r="A568" s="10" t="str">
        <f>HYPERLINK("http://www.washoecounty.gov/assessor/cama/?parid=008-061-09&amp;CardNumber=1","008-061-09")</f>
        <v>008-061-09</v>
      </c>
      <c r="B568" t="s">
        <v>4655</v>
      </c>
      <c r="C568" t="s">
        <v>7973</v>
      </c>
      <c r="D568" s="1">
        <v>40214</v>
      </c>
      <c r="E568" s="2">
        <v>60602</v>
      </c>
      <c r="F568" t="s">
        <v>4567</v>
      </c>
      <c r="G568" s="17" t="str">
        <f>HYPERLINK("https://www.washoecounty.gov/assessor/cama/?command=sales&amp;parid=00806109","3846437")</f>
        <v>3846437</v>
      </c>
      <c r="H568" t="s">
        <v>3776</v>
      </c>
      <c r="I568">
        <v>1962</v>
      </c>
      <c r="J568">
        <v>1965</v>
      </c>
      <c r="K568" t="s">
        <v>4554</v>
      </c>
      <c r="L568" t="s">
        <v>4555</v>
      </c>
      <c r="M568" s="2">
        <v>1132</v>
      </c>
      <c r="N568" t="s">
        <v>4133</v>
      </c>
      <c r="O568">
        <v>3</v>
      </c>
      <c r="P568">
        <v>1</v>
      </c>
      <c r="Q568">
        <v>0</v>
      </c>
      <c r="R568" t="s">
        <v>4557</v>
      </c>
      <c r="S568" t="s">
        <v>4558</v>
      </c>
      <c r="T568" t="s">
        <v>4559</v>
      </c>
      <c r="U568" t="s">
        <v>4655</v>
      </c>
      <c r="V568" s="2">
        <v>0</v>
      </c>
      <c r="W568" t="s">
        <v>4655</v>
      </c>
      <c r="X568" s="2">
        <v>0</v>
      </c>
      <c r="Y568">
        <v>20</v>
      </c>
      <c r="Z568" t="s">
        <v>4561</v>
      </c>
      <c r="AA568" s="3">
        <v>0.13799357414245605</v>
      </c>
      <c r="AB568" t="s">
        <v>7974</v>
      </c>
      <c r="AC568" t="s">
        <v>4562</v>
      </c>
      <c r="AD568" t="s">
        <v>7973</v>
      </c>
      <c r="AE568" t="s">
        <v>4655</v>
      </c>
      <c r="AF568" t="s">
        <v>4563</v>
      </c>
      <c r="AG568" t="s">
        <v>4564</v>
      </c>
      <c r="AH568">
        <v>89512</v>
      </c>
      <c r="AI568" t="s">
        <v>7975</v>
      </c>
      <c r="AJ568" t="s">
        <v>4655</v>
      </c>
      <c r="AK568" t="s">
        <v>7976</v>
      </c>
      <c r="AL568" s="13" t="s">
        <v>2255</v>
      </c>
      <c r="AM568" s="14">
        <v>1</v>
      </c>
      <c r="AN568" s="15" t="s">
        <v>4136</v>
      </c>
    </row>
    <row r="569" spans="1:40" x14ac:dyDescent="0.3">
      <c r="A569" s="10" t="str">
        <f>HYPERLINK("http://www.washoecounty.gov/assessor/cama/?parid=008-063-04&amp;CardNumber=1","008-063-04")</f>
        <v>008-063-04</v>
      </c>
      <c r="B569" t="s">
        <v>4655</v>
      </c>
      <c r="C569" t="s">
        <v>7977</v>
      </c>
      <c r="D569" s="1">
        <v>40207</v>
      </c>
      <c r="E569" s="2">
        <v>94000</v>
      </c>
      <c r="F569" t="s">
        <v>4553</v>
      </c>
      <c r="G569" s="17" t="str">
        <f>HYPERLINK("https://www.washoecounty.gov/assessor/cama/?command=sales&amp;parid=00806304","3844387")</f>
        <v>3844387</v>
      </c>
      <c r="H569" t="s">
        <v>3776</v>
      </c>
      <c r="I569">
        <v>1962</v>
      </c>
      <c r="J569">
        <v>1962</v>
      </c>
      <c r="K569" t="s">
        <v>4554</v>
      </c>
      <c r="L569" t="s">
        <v>4555</v>
      </c>
      <c r="M569" s="2">
        <v>1306</v>
      </c>
      <c r="N569" t="s">
        <v>4672</v>
      </c>
      <c r="O569">
        <v>4</v>
      </c>
      <c r="P569">
        <v>2</v>
      </c>
      <c r="Q569">
        <v>0</v>
      </c>
      <c r="R569" t="s">
        <v>4557</v>
      </c>
      <c r="S569" t="s">
        <v>4574</v>
      </c>
      <c r="T569" t="s">
        <v>4899</v>
      </c>
      <c r="U569" t="s">
        <v>4655</v>
      </c>
      <c r="V569" s="2">
        <v>0</v>
      </c>
      <c r="W569" t="s">
        <v>4655</v>
      </c>
      <c r="X569" s="2">
        <v>0</v>
      </c>
      <c r="Y569">
        <v>20</v>
      </c>
      <c r="Z569" t="s">
        <v>4561</v>
      </c>
      <c r="AA569" s="3">
        <v>0.15199723839759827</v>
      </c>
      <c r="AB569" t="s">
        <v>7978</v>
      </c>
      <c r="AC569" t="s">
        <v>4562</v>
      </c>
      <c r="AD569" t="s">
        <v>7979</v>
      </c>
      <c r="AE569" t="s">
        <v>4655</v>
      </c>
      <c r="AF569" t="s">
        <v>4563</v>
      </c>
      <c r="AG569" t="s">
        <v>4564</v>
      </c>
      <c r="AH569">
        <v>89512</v>
      </c>
      <c r="AI569" t="s">
        <v>4655</v>
      </c>
      <c r="AJ569" t="s">
        <v>4655</v>
      </c>
      <c r="AK569" t="s">
        <v>7980</v>
      </c>
      <c r="AL569" s="13" t="s">
        <v>2257</v>
      </c>
      <c r="AM569">
        <v>1</v>
      </c>
      <c r="AN569" s="15" t="s">
        <v>4136</v>
      </c>
    </row>
    <row r="570" spans="1:40" x14ac:dyDescent="0.3">
      <c r="A570" s="10" t="str">
        <f>HYPERLINK("http://www.washoecounty.gov/assessor/cama/?parid=008-063-06&amp;CardNumber=1","008-063-06")</f>
        <v>008-063-06</v>
      </c>
      <c r="B570" t="s">
        <v>4655</v>
      </c>
      <c r="C570" t="s">
        <v>7981</v>
      </c>
      <c r="D570" s="1">
        <v>40352</v>
      </c>
      <c r="E570" s="2">
        <v>110000</v>
      </c>
      <c r="F570" t="s">
        <v>4553</v>
      </c>
      <c r="G570" s="17" t="str">
        <f>HYPERLINK("https://www.washoecounty.gov/assessor/cama/?command=sales&amp;parid=00806306","3894766")</f>
        <v>3894766</v>
      </c>
      <c r="H570" t="s">
        <v>3776</v>
      </c>
      <c r="I570">
        <v>1962</v>
      </c>
      <c r="J570">
        <v>1962</v>
      </c>
      <c r="K570" t="s">
        <v>4554</v>
      </c>
      <c r="L570" t="s">
        <v>4555</v>
      </c>
      <c r="M570" s="2">
        <v>1306</v>
      </c>
      <c r="N570" t="s">
        <v>4133</v>
      </c>
      <c r="O570">
        <v>4</v>
      </c>
      <c r="P570">
        <v>2</v>
      </c>
      <c r="Q570">
        <v>0</v>
      </c>
      <c r="R570" t="s">
        <v>4557</v>
      </c>
      <c r="S570" t="s">
        <v>4574</v>
      </c>
      <c r="T570" t="s">
        <v>4559</v>
      </c>
      <c r="U570" t="s">
        <v>4560</v>
      </c>
      <c r="V570" s="2">
        <v>294</v>
      </c>
      <c r="W570" t="s">
        <v>4655</v>
      </c>
      <c r="X570" s="2">
        <v>0</v>
      </c>
      <c r="Y570">
        <v>20</v>
      </c>
      <c r="Z570" t="s">
        <v>4561</v>
      </c>
      <c r="AA570" s="3">
        <v>0.18799357116222401</v>
      </c>
      <c r="AB570" t="s">
        <v>7982</v>
      </c>
      <c r="AC570" t="s">
        <v>4562</v>
      </c>
      <c r="AD570" t="s">
        <v>7981</v>
      </c>
      <c r="AE570" t="s">
        <v>4655</v>
      </c>
      <c r="AF570" t="s">
        <v>4563</v>
      </c>
      <c r="AG570" t="s">
        <v>4564</v>
      </c>
      <c r="AH570">
        <v>89512</v>
      </c>
      <c r="AI570" t="s">
        <v>4903</v>
      </c>
      <c r="AJ570" t="s">
        <v>4655</v>
      </c>
      <c r="AK570" t="s">
        <v>7983</v>
      </c>
      <c r="AL570" s="13" t="s">
        <v>2257</v>
      </c>
      <c r="AM570">
        <v>1</v>
      </c>
      <c r="AN570" s="15" t="s">
        <v>4136</v>
      </c>
    </row>
    <row r="571" spans="1:40" x14ac:dyDescent="0.3">
      <c r="A571" s="10" t="str">
        <f>HYPERLINK("http://www.washoecounty.gov/assessor/cama/?parid=008-064-12&amp;CardNumber=1","008-064-12")</f>
        <v>008-064-12</v>
      </c>
      <c r="B571" t="s">
        <v>4655</v>
      </c>
      <c r="C571" t="s">
        <v>7984</v>
      </c>
      <c r="D571" s="1">
        <v>40192</v>
      </c>
      <c r="E571" s="2">
        <v>80500</v>
      </c>
      <c r="F571" t="s">
        <v>4553</v>
      </c>
      <c r="G571" s="17" t="str">
        <f>HYPERLINK("https://www.washoecounty.gov/assessor/cama/?command=sales&amp;parid=00806412","3839113")</f>
        <v>3839113</v>
      </c>
      <c r="H571" t="s">
        <v>7985</v>
      </c>
      <c r="I571">
        <v>1961</v>
      </c>
      <c r="J571">
        <v>1961</v>
      </c>
      <c r="K571" t="s">
        <v>4554</v>
      </c>
      <c r="L571" t="s">
        <v>4555</v>
      </c>
      <c r="M571" s="2">
        <v>1218</v>
      </c>
      <c r="N571" t="s">
        <v>4672</v>
      </c>
      <c r="O571">
        <v>4</v>
      </c>
      <c r="P571">
        <v>2</v>
      </c>
      <c r="Q571">
        <v>0</v>
      </c>
      <c r="R571" t="s">
        <v>4557</v>
      </c>
      <c r="S571" t="s">
        <v>1927</v>
      </c>
      <c r="T571" t="s">
        <v>4899</v>
      </c>
      <c r="U571" t="s">
        <v>4655</v>
      </c>
      <c r="V571" s="2">
        <v>0</v>
      </c>
      <c r="W571" t="s">
        <v>4655</v>
      </c>
      <c r="X571" s="2">
        <v>0</v>
      </c>
      <c r="Y571">
        <v>20</v>
      </c>
      <c r="Z571" t="s">
        <v>4561</v>
      </c>
      <c r="AA571" s="3">
        <v>0.13799357414245605</v>
      </c>
      <c r="AB571" t="s">
        <v>7986</v>
      </c>
      <c r="AC571" t="s">
        <v>4562</v>
      </c>
      <c r="AD571" t="s">
        <v>7987</v>
      </c>
      <c r="AE571" t="s">
        <v>4655</v>
      </c>
      <c r="AF571" t="s">
        <v>1928</v>
      </c>
      <c r="AG571" t="s">
        <v>4584</v>
      </c>
      <c r="AH571" t="s">
        <v>7988</v>
      </c>
      <c r="AI571" t="s">
        <v>4045</v>
      </c>
      <c r="AJ571" t="s">
        <v>4655</v>
      </c>
      <c r="AK571" t="s">
        <v>7989</v>
      </c>
      <c r="AL571" s="13" t="s">
        <v>2255</v>
      </c>
      <c r="AM571" s="14">
        <v>1</v>
      </c>
      <c r="AN571" s="15" t="s">
        <v>4136</v>
      </c>
    </row>
    <row r="572" spans="1:40" x14ac:dyDescent="0.3">
      <c r="A572" s="10" t="str">
        <f>HYPERLINK("http://www.washoecounty.gov/assessor/cama/?parid=008-086-03&amp;CardNumber=1","008-086-03")</f>
        <v>008-086-03</v>
      </c>
      <c r="B572" t="s">
        <v>4655</v>
      </c>
      <c r="C572" t="s">
        <v>7990</v>
      </c>
      <c r="D572" s="1">
        <v>40472</v>
      </c>
      <c r="E572" s="2">
        <v>70150</v>
      </c>
      <c r="F572" t="s">
        <v>4553</v>
      </c>
      <c r="G572" s="17" t="str">
        <f>HYPERLINK("https://www.washoecounty.gov/assessor/cama/?command=sales&amp;parid=00808603","3935267")</f>
        <v>3935267</v>
      </c>
      <c r="H572" t="s">
        <v>7991</v>
      </c>
      <c r="I572">
        <v>1963</v>
      </c>
      <c r="J572">
        <v>1963</v>
      </c>
      <c r="K572" t="s">
        <v>4907</v>
      </c>
      <c r="L572" t="s">
        <v>4555</v>
      </c>
      <c r="M572" s="2">
        <v>1632</v>
      </c>
      <c r="N572" t="s">
        <v>4556</v>
      </c>
      <c r="O572">
        <v>4</v>
      </c>
      <c r="P572">
        <v>2</v>
      </c>
      <c r="Q572">
        <v>0</v>
      </c>
      <c r="R572" t="s">
        <v>4557</v>
      </c>
      <c r="S572" t="s">
        <v>4682</v>
      </c>
      <c r="T572" t="s">
        <v>4143</v>
      </c>
      <c r="U572" t="s">
        <v>4560</v>
      </c>
      <c r="V572" s="2">
        <v>528</v>
      </c>
      <c r="W572" t="s">
        <v>4655</v>
      </c>
      <c r="X572" s="2">
        <v>0</v>
      </c>
      <c r="Y572">
        <v>30</v>
      </c>
      <c r="Z572" t="s">
        <v>4144</v>
      </c>
      <c r="AA572" s="3">
        <v>0.141000911593437</v>
      </c>
      <c r="AB572" t="s">
        <v>1625</v>
      </c>
      <c r="AC572" t="s">
        <v>4575</v>
      </c>
      <c r="AD572" t="s">
        <v>251</v>
      </c>
      <c r="AE572" t="s">
        <v>4655</v>
      </c>
      <c r="AF572" t="s">
        <v>4563</v>
      </c>
      <c r="AG572" t="s">
        <v>4564</v>
      </c>
      <c r="AH572">
        <v>89501</v>
      </c>
      <c r="AI572" t="s">
        <v>4145</v>
      </c>
      <c r="AJ572" t="s">
        <v>4655</v>
      </c>
      <c r="AK572" t="s">
        <v>7992</v>
      </c>
      <c r="AL572" s="13" t="s">
        <v>2255</v>
      </c>
      <c r="AM572" s="14">
        <v>2</v>
      </c>
      <c r="AN572" s="15" t="s">
        <v>4684</v>
      </c>
    </row>
    <row r="573" spans="1:40" x14ac:dyDescent="0.3">
      <c r="A573" s="10" t="str">
        <f>HYPERLINK("http://www.washoecounty.gov/assessor/cama/?parid=008-091-09&amp;CardNumber=1","008-091-09")</f>
        <v>008-091-09</v>
      </c>
      <c r="B573" t="s">
        <v>4655</v>
      </c>
      <c r="C573" t="s">
        <v>7993</v>
      </c>
      <c r="D573" s="1">
        <v>40312</v>
      </c>
      <c r="E573" s="2">
        <v>48000</v>
      </c>
      <c r="F573" t="s">
        <v>4553</v>
      </c>
      <c r="G573" s="17" t="str">
        <f>HYPERLINK("https://www.washoecounty.gov/assessor/cama/?command=sales&amp;parid=00809109","3881744")</f>
        <v>3881744</v>
      </c>
      <c r="H573" t="s">
        <v>3297</v>
      </c>
      <c r="I573">
        <v>1960</v>
      </c>
      <c r="J573">
        <v>1960</v>
      </c>
      <c r="K573" t="s">
        <v>4554</v>
      </c>
      <c r="L573" t="s">
        <v>4555</v>
      </c>
      <c r="M573" s="2">
        <v>973</v>
      </c>
      <c r="N573" t="s">
        <v>4672</v>
      </c>
      <c r="O573">
        <v>3</v>
      </c>
      <c r="P573">
        <v>1</v>
      </c>
      <c r="Q573">
        <v>0</v>
      </c>
      <c r="R573" t="s">
        <v>4134</v>
      </c>
      <c r="S573" t="s">
        <v>4574</v>
      </c>
      <c r="T573" t="s">
        <v>4899</v>
      </c>
      <c r="U573" t="s">
        <v>4655</v>
      </c>
      <c r="V573" s="2">
        <v>0</v>
      </c>
      <c r="W573" t="s">
        <v>4655</v>
      </c>
      <c r="X573" s="2">
        <v>0</v>
      </c>
      <c r="Y573">
        <v>20</v>
      </c>
      <c r="Z573" t="s">
        <v>4561</v>
      </c>
      <c r="AA573" s="3">
        <v>0.13799357414245605</v>
      </c>
      <c r="AB573" t="s">
        <v>7994</v>
      </c>
      <c r="AC573" t="s">
        <v>4575</v>
      </c>
      <c r="AD573" t="s">
        <v>3298</v>
      </c>
      <c r="AE573" t="s">
        <v>4655</v>
      </c>
      <c r="AF573" t="s">
        <v>4563</v>
      </c>
      <c r="AG573" t="s">
        <v>4564</v>
      </c>
      <c r="AH573">
        <v>89512</v>
      </c>
      <c r="AI573" t="s">
        <v>2009</v>
      </c>
      <c r="AJ573" t="s">
        <v>4655</v>
      </c>
      <c r="AK573" t="s">
        <v>7995</v>
      </c>
      <c r="AL573" s="13" t="s">
        <v>2255</v>
      </c>
      <c r="AM573">
        <v>1</v>
      </c>
      <c r="AN573" s="15" t="s">
        <v>4136</v>
      </c>
    </row>
    <row r="574" spans="1:40" x14ac:dyDescent="0.3">
      <c r="A574" s="10" t="str">
        <f>HYPERLINK("http://www.washoecounty.gov/assessor/cama/?parid=008-091-32&amp;CardNumber=1","008-091-32")</f>
        <v>008-091-32</v>
      </c>
      <c r="B574" t="s">
        <v>4655</v>
      </c>
      <c r="C574" t="s">
        <v>7996</v>
      </c>
      <c r="D574" s="1">
        <v>40535</v>
      </c>
      <c r="E574" s="2">
        <v>60000</v>
      </c>
      <c r="F574" t="s">
        <v>4567</v>
      </c>
      <c r="G574" s="17" t="str">
        <f>HYPERLINK("https://www.washoecounty.gov/assessor/cama/?command=sales&amp;parid=00809132","3956727")</f>
        <v>3956727</v>
      </c>
      <c r="H574" t="s">
        <v>3297</v>
      </c>
      <c r="I574">
        <v>1960</v>
      </c>
      <c r="J574">
        <v>1960</v>
      </c>
      <c r="K574" t="s">
        <v>4554</v>
      </c>
      <c r="L574" t="s">
        <v>4555</v>
      </c>
      <c r="M574" s="2">
        <v>973</v>
      </c>
      <c r="N574" t="s">
        <v>4672</v>
      </c>
      <c r="O574">
        <v>3</v>
      </c>
      <c r="P574">
        <v>1</v>
      </c>
      <c r="Q574">
        <v>0</v>
      </c>
      <c r="R574" t="s">
        <v>4134</v>
      </c>
      <c r="S574" t="s">
        <v>4574</v>
      </c>
      <c r="T574" t="s">
        <v>4899</v>
      </c>
      <c r="U574" t="s">
        <v>4560</v>
      </c>
      <c r="V574" s="2">
        <v>308</v>
      </c>
      <c r="W574" t="s">
        <v>4655</v>
      </c>
      <c r="X574" s="2">
        <v>0</v>
      </c>
      <c r="Y574">
        <v>20</v>
      </c>
      <c r="Z574" t="s">
        <v>4561</v>
      </c>
      <c r="AA574" s="3">
        <v>0.13799357414245605</v>
      </c>
      <c r="AB574" t="s">
        <v>7997</v>
      </c>
      <c r="AC574" t="s">
        <v>4562</v>
      </c>
      <c r="AD574" t="s">
        <v>7996</v>
      </c>
      <c r="AE574" t="s">
        <v>4655</v>
      </c>
      <c r="AF574" t="s">
        <v>4563</v>
      </c>
      <c r="AG574" t="s">
        <v>4564</v>
      </c>
      <c r="AH574">
        <v>89512</v>
      </c>
      <c r="AI574" t="s">
        <v>7998</v>
      </c>
      <c r="AJ574" t="s">
        <v>4655</v>
      </c>
      <c r="AK574" t="s">
        <v>7999</v>
      </c>
      <c r="AL574" s="13" t="s">
        <v>2255</v>
      </c>
      <c r="AM574" s="14">
        <v>1</v>
      </c>
      <c r="AN574" s="15" t="s">
        <v>4136</v>
      </c>
    </row>
    <row r="575" spans="1:40" x14ac:dyDescent="0.3">
      <c r="A575" s="10" t="str">
        <f>HYPERLINK("http://www.washoecounty.gov/assessor/cama/?parid=008-091-33&amp;CardNumber=1","008-091-33")</f>
        <v>008-091-33</v>
      </c>
      <c r="B575" t="s">
        <v>4655</v>
      </c>
      <c r="C575" t="s">
        <v>8000</v>
      </c>
      <c r="D575" s="1">
        <v>40409</v>
      </c>
      <c r="E575" s="2">
        <v>34383</v>
      </c>
      <c r="F575" t="s">
        <v>4567</v>
      </c>
      <c r="G575" s="17" t="str">
        <f>HYPERLINK("https://www.washoecounty.gov/assessor/cama/?command=sales&amp;parid=00809133","3913709")</f>
        <v>3913709</v>
      </c>
      <c r="H575" t="s">
        <v>3297</v>
      </c>
      <c r="I575">
        <v>1960</v>
      </c>
      <c r="J575">
        <v>1960</v>
      </c>
      <c r="K575" t="s">
        <v>4554</v>
      </c>
      <c r="L575" t="s">
        <v>4555</v>
      </c>
      <c r="M575" s="2">
        <v>973</v>
      </c>
      <c r="N575" t="s">
        <v>4672</v>
      </c>
      <c r="O575">
        <v>3</v>
      </c>
      <c r="P575">
        <v>1</v>
      </c>
      <c r="Q575">
        <v>0</v>
      </c>
      <c r="R575" t="s">
        <v>4134</v>
      </c>
      <c r="S575" t="s">
        <v>4574</v>
      </c>
      <c r="T575" t="s">
        <v>4899</v>
      </c>
      <c r="U575" t="s">
        <v>4560</v>
      </c>
      <c r="V575" s="2">
        <v>308</v>
      </c>
      <c r="W575" t="s">
        <v>4655</v>
      </c>
      <c r="X575" s="2">
        <v>0</v>
      </c>
      <c r="Y575">
        <v>20</v>
      </c>
      <c r="Z575" t="s">
        <v>4561</v>
      </c>
      <c r="AA575" s="3">
        <v>0.13799357414245605</v>
      </c>
      <c r="AB575" t="s">
        <v>8001</v>
      </c>
      <c r="AC575" t="s">
        <v>4562</v>
      </c>
      <c r="AD575" t="s">
        <v>4938</v>
      </c>
      <c r="AE575" t="s">
        <v>4655</v>
      </c>
      <c r="AF575" t="s">
        <v>4563</v>
      </c>
      <c r="AG575" t="s">
        <v>4564</v>
      </c>
      <c r="AH575">
        <v>89509</v>
      </c>
      <c r="AI575" t="s">
        <v>8002</v>
      </c>
      <c r="AJ575" t="s">
        <v>4655</v>
      </c>
      <c r="AK575" t="s">
        <v>8003</v>
      </c>
      <c r="AL575" s="13" t="s">
        <v>2255</v>
      </c>
      <c r="AM575" s="14">
        <v>1</v>
      </c>
      <c r="AN575" s="15" t="s">
        <v>4136</v>
      </c>
    </row>
    <row r="576" spans="1:40" x14ac:dyDescent="0.3">
      <c r="A576" s="10" t="str">
        <f>HYPERLINK("http://www.washoecounty.gov/assessor/cama/?parid=008-091-37&amp;CardNumber=1","008-091-37")</f>
        <v>008-091-37</v>
      </c>
      <c r="B576" t="s">
        <v>4655</v>
      </c>
      <c r="C576" t="s">
        <v>8004</v>
      </c>
      <c r="D576" s="1">
        <v>40532</v>
      </c>
      <c r="E576" s="2">
        <v>59000</v>
      </c>
      <c r="F576" t="s">
        <v>4567</v>
      </c>
      <c r="G576" s="17" t="str">
        <f>HYPERLINK("https://www.washoecounty.gov/assessor/cama/?command=sales&amp;parid=00809137","3955587")</f>
        <v>3955587</v>
      </c>
      <c r="H576" t="s">
        <v>3297</v>
      </c>
      <c r="I576">
        <v>1960</v>
      </c>
      <c r="J576">
        <v>1960</v>
      </c>
      <c r="K576" t="s">
        <v>4554</v>
      </c>
      <c r="L576" t="s">
        <v>4555</v>
      </c>
      <c r="M576" s="2">
        <v>973</v>
      </c>
      <c r="N576" t="s">
        <v>4133</v>
      </c>
      <c r="O576">
        <v>3</v>
      </c>
      <c r="P576">
        <v>1</v>
      </c>
      <c r="Q576">
        <v>0</v>
      </c>
      <c r="R576" t="s">
        <v>4134</v>
      </c>
      <c r="S576" t="s">
        <v>4574</v>
      </c>
      <c r="T576" t="s">
        <v>4559</v>
      </c>
      <c r="U576" t="s">
        <v>4655</v>
      </c>
      <c r="V576" s="2">
        <v>0</v>
      </c>
      <c r="W576" t="s">
        <v>4655</v>
      </c>
      <c r="X576" s="2">
        <v>0</v>
      </c>
      <c r="Y576">
        <v>20</v>
      </c>
      <c r="Z576" t="s">
        <v>4561</v>
      </c>
      <c r="AA576" s="3">
        <v>0.135009184479713</v>
      </c>
      <c r="AB576" t="s">
        <v>8005</v>
      </c>
      <c r="AC576" t="s">
        <v>4562</v>
      </c>
      <c r="AD576" t="s">
        <v>8006</v>
      </c>
      <c r="AE576" t="s">
        <v>4655</v>
      </c>
      <c r="AF576" t="s">
        <v>4563</v>
      </c>
      <c r="AG576" t="s">
        <v>4564</v>
      </c>
      <c r="AH576">
        <v>89512</v>
      </c>
      <c r="AI576" t="s">
        <v>3282</v>
      </c>
      <c r="AJ576" t="s">
        <v>4655</v>
      </c>
      <c r="AK576" t="s">
        <v>8007</v>
      </c>
      <c r="AL576" s="13" t="s">
        <v>2255</v>
      </c>
      <c r="AM576">
        <v>1</v>
      </c>
      <c r="AN576" s="15" t="s">
        <v>4136</v>
      </c>
    </row>
    <row r="577" spans="1:40" x14ac:dyDescent="0.3">
      <c r="A577" s="10" t="str">
        <f>HYPERLINK("http://www.washoecounty.gov/assessor/cama/?parid=008-091-37&amp;CardNumber=1","008-091-37")</f>
        <v>008-091-37</v>
      </c>
      <c r="B577" t="s">
        <v>4655</v>
      </c>
      <c r="C577" t="s">
        <v>8004</v>
      </c>
      <c r="D577" s="1">
        <v>40479</v>
      </c>
      <c r="E577" s="2">
        <v>36000</v>
      </c>
      <c r="F577" t="s">
        <v>4553</v>
      </c>
      <c r="G577" s="17" t="str">
        <f>HYPERLINK("https://www.washoecounty.gov/assessor/cama/?command=sales&amp;parid=00809137","3937471")</f>
        <v>3937471</v>
      </c>
      <c r="H577" t="s">
        <v>3297</v>
      </c>
      <c r="I577">
        <v>1960</v>
      </c>
      <c r="J577">
        <v>1960</v>
      </c>
      <c r="K577" t="s">
        <v>4554</v>
      </c>
      <c r="L577" t="s">
        <v>4555</v>
      </c>
      <c r="M577" s="2">
        <v>973</v>
      </c>
      <c r="N577" t="s">
        <v>4133</v>
      </c>
      <c r="O577">
        <v>3</v>
      </c>
      <c r="P577">
        <v>1</v>
      </c>
      <c r="Q577">
        <v>0</v>
      </c>
      <c r="R577" t="s">
        <v>4134</v>
      </c>
      <c r="S577" t="s">
        <v>4574</v>
      </c>
      <c r="T577" t="s">
        <v>4559</v>
      </c>
      <c r="U577" t="s">
        <v>4655</v>
      </c>
      <c r="V577" s="2">
        <v>0</v>
      </c>
      <c r="W577" t="s">
        <v>4655</v>
      </c>
      <c r="X577" s="2">
        <v>0</v>
      </c>
      <c r="Y577">
        <v>20</v>
      </c>
      <c r="Z577" t="s">
        <v>4561</v>
      </c>
      <c r="AA577" s="3">
        <v>0.135009184479713</v>
      </c>
      <c r="AB577" t="s">
        <v>8005</v>
      </c>
      <c r="AC577" t="s">
        <v>4562</v>
      </c>
      <c r="AD577" t="s">
        <v>8006</v>
      </c>
      <c r="AE577" t="s">
        <v>4655</v>
      </c>
      <c r="AF577" t="s">
        <v>4563</v>
      </c>
      <c r="AG577" t="s">
        <v>4564</v>
      </c>
      <c r="AH577">
        <v>89512</v>
      </c>
      <c r="AI577" t="s">
        <v>3282</v>
      </c>
      <c r="AJ577" t="s">
        <v>4655</v>
      </c>
      <c r="AK577" t="s">
        <v>8007</v>
      </c>
      <c r="AL577" s="13" t="s">
        <v>2255</v>
      </c>
      <c r="AM577">
        <v>1</v>
      </c>
      <c r="AN577" s="15" t="s">
        <v>4136</v>
      </c>
    </row>
    <row r="578" spans="1:40" x14ac:dyDescent="0.3">
      <c r="A578" s="10" t="str">
        <f>HYPERLINK("http://www.washoecounty.gov/assessor/cama/?parid=008-092-04&amp;CardNumber=1","008-092-04")</f>
        <v>008-092-04</v>
      </c>
      <c r="B578" t="s">
        <v>4655</v>
      </c>
      <c r="C578" t="s">
        <v>8008</v>
      </c>
      <c r="D578" s="1">
        <v>40304</v>
      </c>
      <c r="E578" s="2">
        <v>73500</v>
      </c>
      <c r="F578" t="s">
        <v>4567</v>
      </c>
      <c r="G578" s="17" t="str">
        <f>HYPERLINK("https://www.washoecounty.gov/assessor/cama/?command=sales&amp;parid=00809204","3878733")</f>
        <v>3878733</v>
      </c>
      <c r="H578" t="s">
        <v>1736</v>
      </c>
      <c r="I578">
        <v>1961</v>
      </c>
      <c r="J578">
        <v>1961</v>
      </c>
      <c r="K578" t="s">
        <v>4554</v>
      </c>
      <c r="L578" t="s">
        <v>4555</v>
      </c>
      <c r="M578" s="2">
        <v>973</v>
      </c>
      <c r="N578" t="s">
        <v>4672</v>
      </c>
      <c r="O578">
        <v>3</v>
      </c>
      <c r="P578">
        <v>1</v>
      </c>
      <c r="Q578">
        <v>0</v>
      </c>
      <c r="R578" t="s">
        <v>4134</v>
      </c>
      <c r="S578" t="s">
        <v>4574</v>
      </c>
      <c r="T578" t="s">
        <v>4899</v>
      </c>
      <c r="U578" t="s">
        <v>4560</v>
      </c>
      <c r="V578" s="2">
        <v>308</v>
      </c>
      <c r="W578" t="s">
        <v>4655</v>
      </c>
      <c r="X578" s="2">
        <v>0</v>
      </c>
      <c r="Y578">
        <v>20</v>
      </c>
      <c r="Z578" t="s">
        <v>4561</v>
      </c>
      <c r="AA578" s="3">
        <v>0.20399449765682201</v>
      </c>
      <c r="AB578" t="s">
        <v>8009</v>
      </c>
      <c r="AC578" t="s">
        <v>4562</v>
      </c>
      <c r="AD578" t="s">
        <v>8010</v>
      </c>
      <c r="AE578" t="s">
        <v>4655</v>
      </c>
      <c r="AF578" t="s">
        <v>4563</v>
      </c>
      <c r="AG578" t="s">
        <v>4564</v>
      </c>
      <c r="AH578">
        <v>89512</v>
      </c>
      <c r="AI578" t="s">
        <v>4655</v>
      </c>
      <c r="AJ578" t="s">
        <v>4655</v>
      </c>
      <c r="AK578" t="s">
        <v>8011</v>
      </c>
      <c r="AL578" s="13" t="s">
        <v>2255</v>
      </c>
      <c r="AM578">
        <v>1</v>
      </c>
      <c r="AN578" s="15" t="s">
        <v>4136</v>
      </c>
    </row>
    <row r="579" spans="1:40" x14ac:dyDescent="0.3">
      <c r="A579" s="10" t="str">
        <f>HYPERLINK("http://www.washoecounty.gov/assessor/cama/?parid=008-092-46&amp;CardNumber=1","008-092-46")</f>
        <v>008-092-46</v>
      </c>
      <c r="B579" t="s">
        <v>4655</v>
      </c>
      <c r="C579" t="s">
        <v>8012</v>
      </c>
      <c r="D579" s="1">
        <v>40359</v>
      </c>
      <c r="E579" s="2">
        <v>90000</v>
      </c>
      <c r="F579" t="s">
        <v>4567</v>
      </c>
      <c r="G579" s="17" t="str">
        <f>HYPERLINK("https://www.washoecounty.gov/assessor/cama/?command=sales&amp;parid=00809246","3896879")</f>
        <v>3896879</v>
      </c>
      <c r="H579" t="s">
        <v>1736</v>
      </c>
      <c r="I579">
        <v>1961</v>
      </c>
      <c r="J579">
        <v>1961</v>
      </c>
      <c r="K579" t="s">
        <v>4554</v>
      </c>
      <c r="L579" t="s">
        <v>4555</v>
      </c>
      <c r="M579" s="2">
        <v>1218</v>
      </c>
      <c r="N579" t="s">
        <v>4672</v>
      </c>
      <c r="O579">
        <v>3</v>
      </c>
      <c r="P579">
        <v>2</v>
      </c>
      <c r="Q579">
        <v>0</v>
      </c>
      <c r="R579" t="s">
        <v>4557</v>
      </c>
      <c r="S579" t="s">
        <v>4135</v>
      </c>
      <c r="T579" t="s">
        <v>4899</v>
      </c>
      <c r="U579" t="s">
        <v>4560</v>
      </c>
      <c r="V579" s="2">
        <v>273</v>
      </c>
      <c r="W579" t="s">
        <v>4655</v>
      </c>
      <c r="X579" s="2">
        <v>0</v>
      </c>
      <c r="Y579">
        <v>20</v>
      </c>
      <c r="Z579" t="s">
        <v>4561</v>
      </c>
      <c r="AA579" s="3">
        <v>0.16499081254005399</v>
      </c>
      <c r="AB579" t="s">
        <v>8013</v>
      </c>
      <c r="AC579" t="s">
        <v>4562</v>
      </c>
      <c r="AD579" t="s">
        <v>8012</v>
      </c>
      <c r="AE579" t="s">
        <v>4655</v>
      </c>
      <c r="AF579" t="s">
        <v>4563</v>
      </c>
      <c r="AG579" t="s">
        <v>4564</v>
      </c>
      <c r="AH579">
        <v>89512</v>
      </c>
      <c r="AI579" t="s">
        <v>4655</v>
      </c>
      <c r="AJ579" t="s">
        <v>4655</v>
      </c>
      <c r="AK579" t="s">
        <v>8014</v>
      </c>
      <c r="AL579" s="13" t="s">
        <v>2257</v>
      </c>
      <c r="AM579">
        <v>1</v>
      </c>
      <c r="AN579" s="15" t="s">
        <v>4136</v>
      </c>
    </row>
    <row r="580" spans="1:40" x14ac:dyDescent="0.3">
      <c r="A580" s="10" t="str">
        <f>HYPERLINK("http://www.washoecounty.gov/assessor/cama/?parid=008-123-03&amp;CardNumber=1","008-123-03")</f>
        <v>008-123-03</v>
      </c>
      <c r="B580" t="s">
        <v>4655</v>
      </c>
      <c r="C580" t="s">
        <v>8015</v>
      </c>
      <c r="D580" s="1">
        <v>40456</v>
      </c>
      <c r="E580" s="2">
        <v>72000</v>
      </c>
      <c r="F580" t="s">
        <v>4567</v>
      </c>
      <c r="G580" s="17" t="str">
        <f>HYPERLINK("https://www.washoecounty.gov/assessor/cama/?command=sales&amp;parid=00812303","3929587")</f>
        <v>3929587</v>
      </c>
      <c r="H580" t="s">
        <v>5211</v>
      </c>
      <c r="I580">
        <v>1960</v>
      </c>
      <c r="J580">
        <v>1960</v>
      </c>
      <c r="K580" t="s">
        <v>4907</v>
      </c>
      <c r="L580" t="s">
        <v>4555</v>
      </c>
      <c r="M580" s="2">
        <v>1440</v>
      </c>
      <c r="N580" t="s">
        <v>4556</v>
      </c>
      <c r="O580">
        <v>4</v>
      </c>
      <c r="P580">
        <v>2</v>
      </c>
      <c r="Q580">
        <v>0</v>
      </c>
      <c r="R580" t="s">
        <v>4557</v>
      </c>
      <c r="S580" t="s">
        <v>4682</v>
      </c>
      <c r="T580" t="s">
        <v>4559</v>
      </c>
      <c r="U580" t="s">
        <v>4560</v>
      </c>
      <c r="V580" s="2">
        <v>480</v>
      </c>
      <c r="W580" t="s">
        <v>4655</v>
      </c>
      <c r="X580" s="2">
        <v>0</v>
      </c>
      <c r="Y580">
        <v>30</v>
      </c>
      <c r="Z580" t="s">
        <v>4144</v>
      </c>
      <c r="AA580" s="3">
        <v>0.15798898041248299</v>
      </c>
      <c r="AB580" t="s">
        <v>8016</v>
      </c>
      <c r="AC580" t="s">
        <v>4562</v>
      </c>
      <c r="AD580" t="s">
        <v>5302</v>
      </c>
      <c r="AE580" t="s">
        <v>4655</v>
      </c>
      <c r="AF580" t="s">
        <v>4563</v>
      </c>
      <c r="AG580" t="s">
        <v>4564</v>
      </c>
      <c r="AH580">
        <v>89501</v>
      </c>
      <c r="AI580" t="s">
        <v>8017</v>
      </c>
      <c r="AJ580" t="s">
        <v>4655</v>
      </c>
      <c r="AK580" t="s">
        <v>8018</v>
      </c>
      <c r="AL580" s="13" t="s">
        <v>2257</v>
      </c>
      <c r="AM580">
        <v>2</v>
      </c>
      <c r="AN580" s="15" t="s">
        <v>4684</v>
      </c>
    </row>
    <row r="581" spans="1:40" x14ac:dyDescent="0.3">
      <c r="A581" s="10" t="str">
        <f>HYPERLINK("http://www.washoecounty.gov/assessor/cama/?parid=008-123-03&amp;CardNumber=1","008-123-03")</f>
        <v>008-123-03</v>
      </c>
      <c r="B581" t="s">
        <v>4655</v>
      </c>
      <c r="C581" t="s">
        <v>8015</v>
      </c>
      <c r="D581" s="1">
        <v>40388</v>
      </c>
      <c r="E581" s="2">
        <v>72500</v>
      </c>
      <c r="F581" t="s">
        <v>4567</v>
      </c>
      <c r="G581" s="17" t="str">
        <f>HYPERLINK("https://www.washoecounty.gov/assessor/cama/?command=sales&amp;parid=00812303","3906770")</f>
        <v>3906770</v>
      </c>
      <c r="H581" t="s">
        <v>5211</v>
      </c>
      <c r="I581">
        <v>1960</v>
      </c>
      <c r="J581">
        <v>1960</v>
      </c>
      <c r="K581" t="s">
        <v>4907</v>
      </c>
      <c r="L581" t="s">
        <v>4555</v>
      </c>
      <c r="M581" s="2">
        <v>1440</v>
      </c>
      <c r="N581" t="s">
        <v>4556</v>
      </c>
      <c r="O581">
        <v>4</v>
      </c>
      <c r="P581">
        <v>2</v>
      </c>
      <c r="Q581">
        <v>0</v>
      </c>
      <c r="R581" t="s">
        <v>4557</v>
      </c>
      <c r="S581" t="s">
        <v>4682</v>
      </c>
      <c r="T581" t="s">
        <v>4559</v>
      </c>
      <c r="U581" t="s">
        <v>4560</v>
      </c>
      <c r="V581" s="2">
        <v>480</v>
      </c>
      <c r="W581" t="s">
        <v>4655</v>
      </c>
      <c r="X581" s="2">
        <v>0</v>
      </c>
      <c r="Y581">
        <v>30</v>
      </c>
      <c r="Z581" t="s">
        <v>4144</v>
      </c>
      <c r="AA581" s="3">
        <v>0.15798898041248299</v>
      </c>
      <c r="AB581" t="s">
        <v>8016</v>
      </c>
      <c r="AC581" t="s">
        <v>4562</v>
      </c>
      <c r="AD581" t="s">
        <v>5302</v>
      </c>
      <c r="AE581" t="s">
        <v>4655</v>
      </c>
      <c r="AF581" t="s">
        <v>4563</v>
      </c>
      <c r="AG581" t="s">
        <v>4564</v>
      </c>
      <c r="AH581">
        <v>89501</v>
      </c>
      <c r="AI581" t="s">
        <v>8017</v>
      </c>
      <c r="AJ581" t="s">
        <v>4655</v>
      </c>
      <c r="AK581" t="s">
        <v>8018</v>
      </c>
      <c r="AL581" s="13" t="s">
        <v>2257</v>
      </c>
      <c r="AM581">
        <v>2</v>
      </c>
      <c r="AN581" s="15" t="s">
        <v>4684</v>
      </c>
    </row>
    <row r="582" spans="1:40" x14ac:dyDescent="0.3">
      <c r="A582" s="10" t="str">
        <f>HYPERLINK("http://www.washoecounty.gov/assessor/cama/?parid=008-123-13&amp;CardNumber=1","008-123-13")</f>
        <v>008-123-13</v>
      </c>
      <c r="B582" t="s">
        <v>4655</v>
      </c>
      <c r="C582" t="s">
        <v>8019</v>
      </c>
      <c r="D582" s="1">
        <v>40260</v>
      </c>
      <c r="E582" s="2">
        <v>95000</v>
      </c>
      <c r="F582" t="s">
        <v>4567</v>
      </c>
      <c r="G582" s="17" t="str">
        <f>HYPERLINK("https://www.washoecounty.gov/assessor/cama/?command=sales&amp;parid=00812313","3862825")</f>
        <v>3862825</v>
      </c>
      <c r="H582" t="s">
        <v>5211</v>
      </c>
      <c r="I582">
        <v>1960</v>
      </c>
      <c r="J582">
        <v>1960</v>
      </c>
      <c r="K582" t="s">
        <v>4554</v>
      </c>
      <c r="L582" t="s">
        <v>4555</v>
      </c>
      <c r="M582" s="2">
        <v>1242</v>
      </c>
      <c r="N582" t="s">
        <v>4133</v>
      </c>
      <c r="O582">
        <v>3</v>
      </c>
      <c r="P582">
        <v>1</v>
      </c>
      <c r="Q582">
        <v>0</v>
      </c>
      <c r="R582" t="s">
        <v>4557</v>
      </c>
      <c r="S582" t="s">
        <v>4135</v>
      </c>
      <c r="T582" t="s">
        <v>4559</v>
      </c>
      <c r="U582" t="s">
        <v>4560</v>
      </c>
      <c r="V582" s="2">
        <v>322</v>
      </c>
      <c r="W582" t="s">
        <v>4655</v>
      </c>
      <c r="X582" s="2">
        <v>0</v>
      </c>
      <c r="Y582">
        <v>20</v>
      </c>
      <c r="Z582" t="s">
        <v>4144</v>
      </c>
      <c r="AA582" s="3">
        <v>0.15798898041248299</v>
      </c>
      <c r="AB582" t="s">
        <v>8020</v>
      </c>
      <c r="AC582" t="s">
        <v>4562</v>
      </c>
      <c r="AD582" t="s">
        <v>8019</v>
      </c>
      <c r="AE582" t="s">
        <v>4655</v>
      </c>
      <c r="AF582" t="s">
        <v>4563</v>
      </c>
      <c r="AG582" t="s">
        <v>4564</v>
      </c>
      <c r="AH582">
        <v>89512</v>
      </c>
      <c r="AI582" t="s">
        <v>8021</v>
      </c>
      <c r="AJ582" t="s">
        <v>4655</v>
      </c>
      <c r="AK582" t="s">
        <v>8022</v>
      </c>
      <c r="AL582" s="13" t="s">
        <v>2255</v>
      </c>
      <c r="AM582">
        <v>1</v>
      </c>
      <c r="AN582" s="15" t="s">
        <v>4136</v>
      </c>
    </row>
    <row r="583" spans="1:40" x14ac:dyDescent="0.3">
      <c r="A583" s="10" t="str">
        <f>HYPERLINK("http://www.washoecounty.gov/assessor/cama/?parid=008-125-05&amp;CardNumber=1","008-125-05")</f>
        <v>008-125-05</v>
      </c>
      <c r="B583" t="s">
        <v>4655</v>
      </c>
      <c r="C583" t="s">
        <v>8023</v>
      </c>
      <c r="D583" s="1">
        <v>40420</v>
      </c>
      <c r="E583" s="2">
        <v>60000</v>
      </c>
      <c r="F583" t="s">
        <v>4553</v>
      </c>
      <c r="G583" s="17" t="str">
        <f>HYPERLINK("https://www.washoecounty.gov/assessor/cama/?command=sales&amp;parid=00812505","3916936")</f>
        <v>3916936</v>
      </c>
      <c r="H583" t="s">
        <v>5211</v>
      </c>
      <c r="I583">
        <v>1960</v>
      </c>
      <c r="J583">
        <v>1960</v>
      </c>
      <c r="K583" t="s">
        <v>4907</v>
      </c>
      <c r="L583" t="s">
        <v>4555</v>
      </c>
      <c r="M583" s="2">
        <v>1000</v>
      </c>
      <c r="N583" t="s">
        <v>4556</v>
      </c>
      <c r="O583">
        <v>4</v>
      </c>
      <c r="P583">
        <v>2</v>
      </c>
      <c r="Q583">
        <v>0</v>
      </c>
      <c r="R583" t="s">
        <v>4134</v>
      </c>
      <c r="S583" t="s">
        <v>364</v>
      </c>
      <c r="T583" t="s">
        <v>4559</v>
      </c>
      <c r="U583" t="s">
        <v>4655</v>
      </c>
      <c r="V583" s="2">
        <v>0</v>
      </c>
      <c r="W583" t="s">
        <v>4655</v>
      </c>
      <c r="X583" s="2">
        <v>0</v>
      </c>
      <c r="Y583">
        <v>30</v>
      </c>
      <c r="Z583" t="s">
        <v>4144</v>
      </c>
      <c r="AA583" s="3">
        <v>0.17199265956878662</v>
      </c>
      <c r="AB583" t="s">
        <v>8024</v>
      </c>
      <c r="AC583" t="s">
        <v>4562</v>
      </c>
      <c r="AD583" t="s">
        <v>8025</v>
      </c>
      <c r="AE583" t="s">
        <v>4655</v>
      </c>
      <c r="AF583" t="s">
        <v>2298</v>
      </c>
      <c r="AG583" t="s">
        <v>4584</v>
      </c>
      <c r="AH583">
        <v>95062</v>
      </c>
      <c r="AI583" t="s">
        <v>4655</v>
      </c>
      <c r="AJ583" t="s">
        <v>4655</v>
      </c>
      <c r="AK583" t="s">
        <v>8026</v>
      </c>
      <c r="AL583" s="13" t="s">
        <v>2257</v>
      </c>
      <c r="AM583">
        <v>2</v>
      </c>
      <c r="AN583" s="15" t="s">
        <v>4684</v>
      </c>
    </row>
    <row r="584" spans="1:40" x14ac:dyDescent="0.3">
      <c r="A584" s="10" t="str">
        <f>HYPERLINK("http://www.washoecounty.gov/assessor/cama/?parid=008-125-09&amp;CardNumber=1","008-125-09")</f>
        <v>008-125-09</v>
      </c>
      <c r="B584" t="s">
        <v>4655</v>
      </c>
      <c r="C584" t="s">
        <v>8027</v>
      </c>
      <c r="D584" s="1">
        <v>40345</v>
      </c>
      <c r="E584" s="2">
        <v>65000</v>
      </c>
      <c r="F584" t="s">
        <v>4567</v>
      </c>
      <c r="G584" s="17" t="str">
        <f>HYPERLINK("https://www.washoecounty.gov/assessor/cama/?command=sales&amp;parid=00812509","3892453")</f>
        <v>3892453</v>
      </c>
      <c r="H584" t="s">
        <v>5211</v>
      </c>
      <c r="I584">
        <v>1958</v>
      </c>
      <c r="J584">
        <v>1958</v>
      </c>
      <c r="K584" t="s">
        <v>4554</v>
      </c>
      <c r="L584" t="s">
        <v>4555</v>
      </c>
      <c r="M584" s="2">
        <v>1050</v>
      </c>
      <c r="N584" t="s">
        <v>4133</v>
      </c>
      <c r="O584">
        <v>3</v>
      </c>
      <c r="P584">
        <v>1</v>
      </c>
      <c r="Q584">
        <v>0</v>
      </c>
      <c r="R584" t="s">
        <v>4557</v>
      </c>
      <c r="S584" t="s">
        <v>4135</v>
      </c>
      <c r="T584" t="s">
        <v>4559</v>
      </c>
      <c r="U584" t="s">
        <v>4560</v>
      </c>
      <c r="V584" s="2">
        <v>286</v>
      </c>
      <c r="W584" t="s">
        <v>4655</v>
      </c>
      <c r="X584" s="2">
        <v>0</v>
      </c>
      <c r="Y584">
        <v>20</v>
      </c>
      <c r="Z584" t="s">
        <v>4144</v>
      </c>
      <c r="AA584" s="3">
        <v>0.15798898041248299</v>
      </c>
      <c r="AB584" t="s">
        <v>8028</v>
      </c>
      <c r="AC584" t="s">
        <v>4562</v>
      </c>
      <c r="AD584" t="s">
        <v>8029</v>
      </c>
      <c r="AE584" t="s">
        <v>4655</v>
      </c>
      <c r="AF584" t="s">
        <v>4563</v>
      </c>
      <c r="AG584" t="s">
        <v>4564</v>
      </c>
      <c r="AH584">
        <v>89512</v>
      </c>
      <c r="AI584" t="s">
        <v>8030</v>
      </c>
      <c r="AJ584" t="s">
        <v>4655</v>
      </c>
      <c r="AK584" t="s">
        <v>8031</v>
      </c>
      <c r="AL584" s="13" t="s">
        <v>2257</v>
      </c>
      <c r="AM584" s="14">
        <v>1</v>
      </c>
      <c r="AN584" s="15" t="s">
        <v>4136</v>
      </c>
    </row>
    <row r="585" spans="1:40" x14ac:dyDescent="0.3">
      <c r="A585" s="10" t="str">
        <f>HYPERLINK("http://www.washoecounty.gov/assessor/cama/?parid=008-141-07&amp;CardNumber=1","008-141-07")</f>
        <v>008-141-07</v>
      </c>
      <c r="B585" t="s">
        <v>4655</v>
      </c>
      <c r="C585" t="s">
        <v>8032</v>
      </c>
      <c r="D585" s="1">
        <v>40409</v>
      </c>
      <c r="E585" s="2">
        <v>35213</v>
      </c>
      <c r="F585" t="s">
        <v>4567</v>
      </c>
      <c r="G585" s="17" t="str">
        <f>HYPERLINK("https://www.washoecounty.gov/assessor/cama/?command=sales&amp;parid=00814107","3913708")</f>
        <v>3913708</v>
      </c>
      <c r="H585" t="s">
        <v>511</v>
      </c>
      <c r="I585">
        <v>1960</v>
      </c>
      <c r="J585">
        <v>1960</v>
      </c>
      <c r="K585" t="s">
        <v>4554</v>
      </c>
      <c r="L585" t="s">
        <v>4555</v>
      </c>
      <c r="M585" s="2">
        <v>888</v>
      </c>
      <c r="N585" t="s">
        <v>4133</v>
      </c>
      <c r="O585">
        <v>3</v>
      </c>
      <c r="P585">
        <v>1</v>
      </c>
      <c r="Q585">
        <v>0</v>
      </c>
      <c r="R585" t="s">
        <v>4134</v>
      </c>
      <c r="S585" t="s">
        <v>4135</v>
      </c>
      <c r="T585" t="s">
        <v>4559</v>
      </c>
      <c r="U585" t="s">
        <v>4560</v>
      </c>
      <c r="V585" s="2">
        <v>312</v>
      </c>
      <c r="W585" t="s">
        <v>4655</v>
      </c>
      <c r="X585" s="2">
        <v>0</v>
      </c>
      <c r="Y585">
        <v>20</v>
      </c>
      <c r="Z585" t="s">
        <v>4561</v>
      </c>
      <c r="AA585" s="3">
        <v>0.13999082148075101</v>
      </c>
      <c r="AB585" t="s">
        <v>8001</v>
      </c>
      <c r="AC585" t="s">
        <v>4562</v>
      </c>
      <c r="AD585" t="s">
        <v>4938</v>
      </c>
      <c r="AE585" t="s">
        <v>4655</v>
      </c>
      <c r="AF585" t="s">
        <v>4563</v>
      </c>
      <c r="AG585" t="s">
        <v>4564</v>
      </c>
      <c r="AH585">
        <v>89509</v>
      </c>
      <c r="AI585" t="s">
        <v>8002</v>
      </c>
      <c r="AJ585" t="s">
        <v>4655</v>
      </c>
      <c r="AK585" t="s">
        <v>8033</v>
      </c>
      <c r="AL585" s="13" t="s">
        <v>2255</v>
      </c>
      <c r="AM585" s="14">
        <v>1</v>
      </c>
      <c r="AN585" s="15" t="s">
        <v>4136</v>
      </c>
    </row>
    <row r="586" spans="1:40" x14ac:dyDescent="0.3">
      <c r="A586" s="10" t="str">
        <f>HYPERLINK("http://www.washoecounty.gov/assessor/cama/?parid=008-141-08&amp;CardNumber=1","008-141-08")</f>
        <v>008-141-08</v>
      </c>
      <c r="B586" t="s">
        <v>4655</v>
      </c>
      <c r="C586" t="s">
        <v>8034</v>
      </c>
      <c r="D586" s="1">
        <v>40235</v>
      </c>
      <c r="E586" s="2">
        <v>72000</v>
      </c>
      <c r="F586" t="s">
        <v>4553</v>
      </c>
      <c r="G586" s="17" t="str">
        <f>HYPERLINK("https://www.washoecounty.gov/assessor/cama/?command=sales&amp;parid=00814108","3853176")</f>
        <v>3853176</v>
      </c>
      <c r="H586" t="s">
        <v>511</v>
      </c>
      <c r="I586">
        <v>1960</v>
      </c>
      <c r="J586">
        <v>1960</v>
      </c>
      <c r="K586" t="s">
        <v>4554</v>
      </c>
      <c r="L586" t="s">
        <v>4555</v>
      </c>
      <c r="M586" s="2">
        <v>888</v>
      </c>
      <c r="N586" t="s">
        <v>4133</v>
      </c>
      <c r="O586">
        <v>3</v>
      </c>
      <c r="P586">
        <v>1</v>
      </c>
      <c r="Q586">
        <v>0</v>
      </c>
      <c r="R586" t="s">
        <v>4134</v>
      </c>
      <c r="S586" t="s">
        <v>4135</v>
      </c>
      <c r="T586" t="s">
        <v>4559</v>
      </c>
      <c r="U586" t="s">
        <v>4560</v>
      </c>
      <c r="V586" s="2">
        <v>312</v>
      </c>
      <c r="W586" t="s">
        <v>4655</v>
      </c>
      <c r="X586" s="2">
        <v>0</v>
      </c>
      <c r="Y586">
        <v>20</v>
      </c>
      <c r="Z586" t="s">
        <v>4561</v>
      </c>
      <c r="AA586" s="3">
        <v>0.13999082148075101</v>
      </c>
      <c r="AB586" t="s">
        <v>8035</v>
      </c>
      <c r="AC586" t="s">
        <v>4575</v>
      </c>
      <c r="AD586" t="s">
        <v>8036</v>
      </c>
      <c r="AE586" t="s">
        <v>4655</v>
      </c>
      <c r="AF586" t="s">
        <v>5201</v>
      </c>
      <c r="AG586" t="s">
        <v>4564</v>
      </c>
      <c r="AH586" t="s">
        <v>1605</v>
      </c>
      <c r="AI586" t="s">
        <v>4045</v>
      </c>
      <c r="AJ586" t="s">
        <v>4655</v>
      </c>
      <c r="AK586" t="s">
        <v>8037</v>
      </c>
      <c r="AL586" s="13" t="s">
        <v>2255</v>
      </c>
      <c r="AM586" s="14">
        <v>1</v>
      </c>
      <c r="AN586" s="15" t="s">
        <v>4136</v>
      </c>
    </row>
    <row r="587" spans="1:40" x14ac:dyDescent="0.3">
      <c r="A587" s="10" t="str">
        <f>HYPERLINK("http://www.washoecounty.gov/assessor/cama/?parid=008-141-12&amp;CardNumber=1","008-141-12")</f>
        <v>008-141-12</v>
      </c>
      <c r="B587" t="s">
        <v>4655</v>
      </c>
      <c r="C587" t="s">
        <v>2295</v>
      </c>
      <c r="D587" s="1">
        <v>40409</v>
      </c>
      <c r="E587" s="2">
        <v>52000</v>
      </c>
      <c r="F587" t="s">
        <v>4567</v>
      </c>
      <c r="G587" s="17" t="str">
        <f>HYPERLINK("https://www.washoecounty.gov/assessor/cama/?command=sales&amp;parid=00814112","3913702")</f>
        <v>3913702</v>
      </c>
      <c r="H587" t="s">
        <v>511</v>
      </c>
      <c r="I587">
        <v>1960</v>
      </c>
      <c r="J587">
        <v>1960</v>
      </c>
      <c r="K587" t="s">
        <v>4554</v>
      </c>
      <c r="L587" t="s">
        <v>4555</v>
      </c>
      <c r="M587" s="2">
        <v>888</v>
      </c>
      <c r="N587" t="s">
        <v>4133</v>
      </c>
      <c r="O587">
        <v>3</v>
      </c>
      <c r="P587">
        <v>1</v>
      </c>
      <c r="Q587">
        <v>0</v>
      </c>
      <c r="R587" t="s">
        <v>4134</v>
      </c>
      <c r="S587" t="s">
        <v>4135</v>
      </c>
      <c r="T587" t="s">
        <v>4559</v>
      </c>
      <c r="U587" t="s">
        <v>4655</v>
      </c>
      <c r="V587" s="2">
        <v>0</v>
      </c>
      <c r="W587" t="s">
        <v>4655</v>
      </c>
      <c r="X587" s="2">
        <v>0</v>
      </c>
      <c r="Y587">
        <v>20</v>
      </c>
      <c r="Z587" t="s">
        <v>4561</v>
      </c>
      <c r="AA587" s="3">
        <v>0.13999082148075101</v>
      </c>
      <c r="AB587" t="s">
        <v>2296</v>
      </c>
      <c r="AC587" t="s">
        <v>4562</v>
      </c>
      <c r="AD587" t="s">
        <v>8038</v>
      </c>
      <c r="AE587" t="s">
        <v>4655</v>
      </c>
      <c r="AF587" t="s">
        <v>3596</v>
      </c>
      <c r="AG587" t="s">
        <v>4584</v>
      </c>
      <c r="AH587" t="s">
        <v>8039</v>
      </c>
      <c r="AI587" t="s">
        <v>8040</v>
      </c>
      <c r="AJ587" t="s">
        <v>4655</v>
      </c>
      <c r="AK587" t="s">
        <v>2297</v>
      </c>
      <c r="AL587" s="13" t="s">
        <v>2255</v>
      </c>
      <c r="AM587">
        <v>1</v>
      </c>
      <c r="AN587" s="15" t="s">
        <v>4136</v>
      </c>
    </row>
    <row r="588" spans="1:40" x14ac:dyDescent="0.3">
      <c r="A588" s="10" t="str">
        <f>HYPERLINK("http://www.washoecounty.gov/assessor/cama/?parid=008-143-23&amp;CardNumber=1","008-143-23")</f>
        <v>008-143-23</v>
      </c>
      <c r="B588" t="s">
        <v>4655</v>
      </c>
      <c r="C588" t="s">
        <v>8041</v>
      </c>
      <c r="D588" s="1">
        <v>40207</v>
      </c>
      <c r="E588" s="2">
        <v>67700</v>
      </c>
      <c r="F588" t="s">
        <v>4567</v>
      </c>
      <c r="G588" s="17" t="str">
        <f>HYPERLINK("https://www.washoecounty.gov/assessor/cama/?command=sales&amp;parid=00814323","3844220")</f>
        <v>3844220</v>
      </c>
      <c r="H588" t="s">
        <v>8042</v>
      </c>
      <c r="I588">
        <v>1960</v>
      </c>
      <c r="J588">
        <v>1960</v>
      </c>
      <c r="K588" t="s">
        <v>4554</v>
      </c>
      <c r="L588" t="s">
        <v>4555</v>
      </c>
      <c r="M588" s="2">
        <v>888</v>
      </c>
      <c r="N588" t="s">
        <v>4133</v>
      </c>
      <c r="O588">
        <v>3</v>
      </c>
      <c r="P588">
        <v>1</v>
      </c>
      <c r="Q588">
        <v>0</v>
      </c>
      <c r="R588" t="s">
        <v>4134</v>
      </c>
      <c r="S588" t="s">
        <v>3148</v>
      </c>
      <c r="T588" t="s">
        <v>4559</v>
      </c>
      <c r="U588" t="s">
        <v>4560</v>
      </c>
      <c r="V588" s="2">
        <v>312</v>
      </c>
      <c r="W588" t="s">
        <v>4655</v>
      </c>
      <c r="X588" s="2">
        <v>0</v>
      </c>
      <c r="Y588">
        <v>20</v>
      </c>
      <c r="Z588" t="s">
        <v>4561</v>
      </c>
      <c r="AA588" s="3">
        <v>0.13999082148075101</v>
      </c>
      <c r="AB588" t="s">
        <v>8043</v>
      </c>
      <c r="AC588" t="s">
        <v>4562</v>
      </c>
      <c r="AD588" t="s">
        <v>8044</v>
      </c>
      <c r="AE588" t="s">
        <v>4655</v>
      </c>
      <c r="AF588" t="s">
        <v>4563</v>
      </c>
      <c r="AG588" t="s">
        <v>4564</v>
      </c>
      <c r="AH588">
        <v>89512</v>
      </c>
      <c r="AI588" t="s">
        <v>8045</v>
      </c>
      <c r="AJ588" t="s">
        <v>4655</v>
      </c>
      <c r="AK588" t="s">
        <v>8046</v>
      </c>
      <c r="AL588" s="13" t="s">
        <v>2255</v>
      </c>
      <c r="AM588">
        <v>1</v>
      </c>
      <c r="AN588" s="15" t="s">
        <v>4136</v>
      </c>
    </row>
    <row r="589" spans="1:40" x14ac:dyDescent="0.3">
      <c r="A589" s="10" t="str">
        <f>HYPERLINK("http://www.washoecounty.gov/assessor/cama/?parid=008-143-26&amp;CardNumber=1","008-143-26")</f>
        <v>008-143-26</v>
      </c>
      <c r="B589" t="s">
        <v>4655</v>
      </c>
      <c r="C589" t="s">
        <v>8047</v>
      </c>
      <c r="D589" s="1">
        <v>40298</v>
      </c>
      <c r="E589" s="2">
        <v>50000</v>
      </c>
      <c r="F589" t="s">
        <v>4553</v>
      </c>
      <c r="G589" s="17" t="str">
        <f>HYPERLINK("https://www.washoecounty.gov/assessor/cama/?command=sales&amp;parid=00814326","3876594")</f>
        <v>3876594</v>
      </c>
      <c r="H589" t="s">
        <v>8042</v>
      </c>
      <c r="I589">
        <v>1960</v>
      </c>
      <c r="J589">
        <v>1967</v>
      </c>
      <c r="K589" t="s">
        <v>4554</v>
      </c>
      <c r="L589" t="s">
        <v>4555</v>
      </c>
      <c r="M589" s="2">
        <v>1195</v>
      </c>
      <c r="N589" t="s">
        <v>4133</v>
      </c>
      <c r="O589">
        <v>4</v>
      </c>
      <c r="P589">
        <v>2</v>
      </c>
      <c r="Q589">
        <v>0</v>
      </c>
      <c r="R589" t="s">
        <v>4134</v>
      </c>
      <c r="S589" t="s">
        <v>4135</v>
      </c>
      <c r="T589" t="s">
        <v>4143</v>
      </c>
      <c r="U589" t="s">
        <v>4560</v>
      </c>
      <c r="V589" s="2">
        <v>315</v>
      </c>
      <c r="W589" t="s">
        <v>4655</v>
      </c>
      <c r="X589" s="2">
        <v>0</v>
      </c>
      <c r="Y589">
        <v>20</v>
      </c>
      <c r="Z589" t="s">
        <v>4561</v>
      </c>
      <c r="AA589" s="3">
        <v>0.13999082148075101</v>
      </c>
      <c r="AB589" t="s">
        <v>8048</v>
      </c>
      <c r="AC589" t="s">
        <v>4562</v>
      </c>
      <c r="AD589" t="s">
        <v>8049</v>
      </c>
      <c r="AE589" t="s">
        <v>4655</v>
      </c>
      <c r="AF589" t="s">
        <v>4563</v>
      </c>
      <c r="AG589" t="s">
        <v>4564</v>
      </c>
      <c r="AH589">
        <v>89512</v>
      </c>
      <c r="AI589" t="s">
        <v>4655</v>
      </c>
      <c r="AJ589" t="s">
        <v>4655</v>
      </c>
      <c r="AK589" t="s">
        <v>8050</v>
      </c>
      <c r="AL589" s="13" t="s">
        <v>2255</v>
      </c>
      <c r="AM589">
        <v>1</v>
      </c>
      <c r="AN589" s="15" t="s">
        <v>4136</v>
      </c>
    </row>
    <row r="590" spans="1:40" x14ac:dyDescent="0.3">
      <c r="A590" s="10" t="str">
        <f>HYPERLINK("http://www.washoecounty.gov/assessor/cama/?parid=008-151-19&amp;CardNumber=1","008-151-19")</f>
        <v>008-151-19</v>
      </c>
      <c r="B590" t="s">
        <v>4655</v>
      </c>
      <c r="C590" t="s">
        <v>8051</v>
      </c>
      <c r="D590" s="1">
        <v>40542</v>
      </c>
      <c r="E590" s="2">
        <v>78900</v>
      </c>
      <c r="F590" t="s">
        <v>4553</v>
      </c>
      <c r="G590" s="17" t="str">
        <f>HYPERLINK("https://www.washoecounty.gov/assessor/cama/?command=sales&amp;parid=00815119","3959277")</f>
        <v>3959277</v>
      </c>
      <c r="H590" t="s">
        <v>4800</v>
      </c>
      <c r="I590">
        <v>1962</v>
      </c>
      <c r="J590">
        <v>1962</v>
      </c>
      <c r="K590" t="s">
        <v>4554</v>
      </c>
      <c r="L590" t="s">
        <v>4555</v>
      </c>
      <c r="M590" s="2">
        <v>1197</v>
      </c>
      <c r="N590" t="s">
        <v>4556</v>
      </c>
      <c r="O590">
        <v>3</v>
      </c>
      <c r="P590">
        <v>2</v>
      </c>
      <c r="Q590">
        <v>0</v>
      </c>
      <c r="R590" t="s">
        <v>4557</v>
      </c>
      <c r="S590" t="s">
        <v>4135</v>
      </c>
      <c r="T590" t="s">
        <v>4559</v>
      </c>
      <c r="U590" t="s">
        <v>4560</v>
      </c>
      <c r="V590" s="2">
        <v>438</v>
      </c>
      <c r="W590" t="s">
        <v>4655</v>
      </c>
      <c r="X590" s="2">
        <v>0</v>
      </c>
      <c r="Y590">
        <v>20</v>
      </c>
      <c r="Z590" t="s">
        <v>4561</v>
      </c>
      <c r="AA590" s="3">
        <v>0.14600551128387501</v>
      </c>
      <c r="AB590" t="s">
        <v>1481</v>
      </c>
      <c r="AC590" t="s">
        <v>4562</v>
      </c>
      <c r="AD590" t="s">
        <v>8051</v>
      </c>
      <c r="AE590" t="s">
        <v>4655</v>
      </c>
      <c r="AF590" t="s">
        <v>4563</v>
      </c>
      <c r="AG590" t="s">
        <v>4564</v>
      </c>
      <c r="AH590">
        <v>89512</v>
      </c>
      <c r="AI590" t="s">
        <v>4903</v>
      </c>
      <c r="AJ590" t="s">
        <v>4655</v>
      </c>
      <c r="AK590" t="s">
        <v>8052</v>
      </c>
      <c r="AL590" s="13" t="s">
        <v>2255</v>
      </c>
      <c r="AM590">
        <v>1</v>
      </c>
      <c r="AN590" s="15" t="s">
        <v>159</v>
      </c>
    </row>
    <row r="591" spans="1:40" x14ac:dyDescent="0.3">
      <c r="A591" s="10" t="str">
        <f>HYPERLINK("http://www.washoecounty.gov/assessor/cama/?parid=008-151-21&amp;CardNumber=1","008-151-21")</f>
        <v>008-151-21</v>
      </c>
      <c r="B591" t="s">
        <v>4655</v>
      </c>
      <c r="C591" t="s">
        <v>8053</v>
      </c>
      <c r="D591" s="1">
        <v>40385</v>
      </c>
      <c r="E591" s="2">
        <v>91000</v>
      </c>
      <c r="F591" t="s">
        <v>4567</v>
      </c>
      <c r="G591" s="17" t="str">
        <f>HYPERLINK("https://www.washoecounty.gov/assessor/cama/?command=sales&amp;parid=00815121","3904811")</f>
        <v>3904811</v>
      </c>
      <c r="H591" t="s">
        <v>4800</v>
      </c>
      <c r="I591">
        <v>1962</v>
      </c>
      <c r="J591">
        <v>1962</v>
      </c>
      <c r="K591" t="s">
        <v>4554</v>
      </c>
      <c r="L591" t="s">
        <v>3886</v>
      </c>
      <c r="M591" s="2">
        <v>1574</v>
      </c>
      <c r="N591" t="s">
        <v>4556</v>
      </c>
      <c r="O591">
        <v>3</v>
      </c>
      <c r="P591">
        <v>2</v>
      </c>
      <c r="Q591">
        <v>0</v>
      </c>
      <c r="R591" t="s">
        <v>4557</v>
      </c>
      <c r="S591" t="s">
        <v>4558</v>
      </c>
      <c r="T591" t="s">
        <v>4559</v>
      </c>
      <c r="U591" t="s">
        <v>4560</v>
      </c>
      <c r="V591" s="2">
        <v>462</v>
      </c>
      <c r="W591" t="s">
        <v>4655</v>
      </c>
      <c r="X591" s="2">
        <v>0</v>
      </c>
      <c r="Y591">
        <v>20</v>
      </c>
      <c r="Z591" t="s">
        <v>4561</v>
      </c>
      <c r="AA591" s="3">
        <v>0.14600551128387501</v>
      </c>
      <c r="AB591" t="s">
        <v>8054</v>
      </c>
      <c r="AC591" t="s">
        <v>4562</v>
      </c>
      <c r="AD591" t="s">
        <v>8055</v>
      </c>
      <c r="AE591" t="s">
        <v>4655</v>
      </c>
      <c r="AF591" t="s">
        <v>5201</v>
      </c>
      <c r="AG591" t="s">
        <v>4564</v>
      </c>
      <c r="AH591" t="s">
        <v>5202</v>
      </c>
      <c r="AI591" t="s">
        <v>8056</v>
      </c>
      <c r="AJ591" t="s">
        <v>4655</v>
      </c>
      <c r="AK591" t="s">
        <v>8057</v>
      </c>
      <c r="AL591" s="13" t="s">
        <v>2255</v>
      </c>
      <c r="AM591" s="14">
        <v>1</v>
      </c>
      <c r="AN591" s="15" t="s">
        <v>159</v>
      </c>
    </row>
    <row r="592" spans="1:40" x14ac:dyDescent="0.3">
      <c r="A592" s="10" t="str">
        <f>HYPERLINK("http://www.washoecounty.gov/assessor/cama/?parid=008-152-06&amp;CardNumber=1","008-152-06")</f>
        <v>008-152-06</v>
      </c>
      <c r="B592" t="s">
        <v>4655</v>
      </c>
      <c r="C592" t="s">
        <v>8058</v>
      </c>
      <c r="D592" s="1">
        <v>40298</v>
      </c>
      <c r="E592" s="2">
        <v>78000</v>
      </c>
      <c r="F592" t="s">
        <v>4553</v>
      </c>
      <c r="G592" s="17" t="str">
        <f>HYPERLINK("https://www.washoecounty.gov/assessor/cama/?command=sales&amp;parid=00815206","3876985")</f>
        <v>3876985</v>
      </c>
      <c r="H592" t="s">
        <v>4800</v>
      </c>
      <c r="I592">
        <v>1962</v>
      </c>
      <c r="J592">
        <v>1962</v>
      </c>
      <c r="K592" t="s">
        <v>4554</v>
      </c>
      <c r="L592" t="s">
        <v>4555</v>
      </c>
      <c r="M592" s="2">
        <v>1040</v>
      </c>
      <c r="N592" t="s">
        <v>4556</v>
      </c>
      <c r="O592">
        <v>3</v>
      </c>
      <c r="P592">
        <v>1</v>
      </c>
      <c r="Q592">
        <v>0</v>
      </c>
      <c r="R592" t="s">
        <v>4557</v>
      </c>
      <c r="S592" t="s">
        <v>4558</v>
      </c>
      <c r="T592" t="s">
        <v>4559</v>
      </c>
      <c r="U592" t="s">
        <v>4560</v>
      </c>
      <c r="V592" s="2">
        <v>315</v>
      </c>
      <c r="W592" t="s">
        <v>4655</v>
      </c>
      <c r="X592" s="2">
        <v>0</v>
      </c>
      <c r="Y592">
        <v>20</v>
      </c>
      <c r="Z592" t="s">
        <v>4561</v>
      </c>
      <c r="AA592" s="3">
        <v>0.15000000596046401</v>
      </c>
      <c r="AB592" t="s">
        <v>8059</v>
      </c>
      <c r="AC592" t="s">
        <v>4575</v>
      </c>
      <c r="AD592" t="s">
        <v>8058</v>
      </c>
      <c r="AE592" t="s">
        <v>4655</v>
      </c>
      <c r="AF592" t="s">
        <v>4563</v>
      </c>
      <c r="AG592" t="s">
        <v>4564</v>
      </c>
      <c r="AH592">
        <v>89512</v>
      </c>
      <c r="AI592" t="s">
        <v>4655</v>
      </c>
      <c r="AJ592" t="s">
        <v>4655</v>
      </c>
      <c r="AK592" t="s">
        <v>8060</v>
      </c>
      <c r="AL592" s="13" t="s">
        <v>2255</v>
      </c>
      <c r="AM592" s="14">
        <v>1</v>
      </c>
      <c r="AN592" s="15" t="s">
        <v>159</v>
      </c>
    </row>
    <row r="593" spans="1:40" x14ac:dyDescent="0.3">
      <c r="A593" s="10" t="str">
        <f>HYPERLINK("http://www.washoecounty.gov/assessor/cama/?parid=008-152-22&amp;CardNumber=1","008-152-22")</f>
        <v>008-152-22</v>
      </c>
      <c r="B593" t="s">
        <v>4655</v>
      </c>
      <c r="C593" t="s">
        <v>8061</v>
      </c>
      <c r="D593" s="1">
        <v>40487</v>
      </c>
      <c r="E593" s="2">
        <v>100001</v>
      </c>
      <c r="F593" t="s">
        <v>4553</v>
      </c>
      <c r="G593" s="17" t="str">
        <f>HYPERLINK("https://www.washoecounty.gov/assessor/cama/?command=sales&amp;parid=00815222","3940468")</f>
        <v>3940468</v>
      </c>
      <c r="H593" t="s">
        <v>4800</v>
      </c>
      <c r="I593">
        <v>1962</v>
      </c>
      <c r="J593">
        <v>1962</v>
      </c>
      <c r="K593" t="s">
        <v>4554</v>
      </c>
      <c r="L593" t="s">
        <v>3886</v>
      </c>
      <c r="M593" s="2">
        <v>1370</v>
      </c>
      <c r="N593" t="s">
        <v>4556</v>
      </c>
      <c r="O593">
        <v>4</v>
      </c>
      <c r="P593">
        <v>2</v>
      </c>
      <c r="Q593">
        <v>0</v>
      </c>
      <c r="R593" t="s">
        <v>4557</v>
      </c>
      <c r="S593" t="s">
        <v>4574</v>
      </c>
      <c r="T593" t="s">
        <v>4559</v>
      </c>
      <c r="U593" t="s">
        <v>4560</v>
      </c>
      <c r="V593" s="2">
        <v>345</v>
      </c>
      <c r="W593" t="s">
        <v>4655</v>
      </c>
      <c r="X593" s="2">
        <v>0</v>
      </c>
      <c r="Y593">
        <v>20</v>
      </c>
      <c r="Z593" t="s">
        <v>4561</v>
      </c>
      <c r="AA593" s="3">
        <v>0.14201101660728499</v>
      </c>
      <c r="AB593" t="s">
        <v>8062</v>
      </c>
      <c r="AC593" t="s">
        <v>4562</v>
      </c>
      <c r="AD593" t="s">
        <v>8061</v>
      </c>
      <c r="AE593" t="s">
        <v>4655</v>
      </c>
      <c r="AF593" t="s">
        <v>4563</v>
      </c>
      <c r="AG593" t="s">
        <v>4564</v>
      </c>
      <c r="AH593">
        <v>89512</v>
      </c>
      <c r="AI593" t="s">
        <v>4045</v>
      </c>
      <c r="AJ593" t="s">
        <v>4655</v>
      </c>
      <c r="AK593" t="s">
        <v>8063</v>
      </c>
      <c r="AL593" s="13" t="s">
        <v>2255</v>
      </c>
      <c r="AM593">
        <v>1</v>
      </c>
      <c r="AN593" s="15" t="s">
        <v>159</v>
      </c>
    </row>
    <row r="594" spans="1:40" x14ac:dyDescent="0.3">
      <c r="A594" s="10" t="str">
        <f>HYPERLINK("http://www.washoecounty.gov/assessor/cama/?parid=008-154-02&amp;CardNumber=1","008-154-02")</f>
        <v>008-154-02</v>
      </c>
      <c r="B594" t="s">
        <v>4655</v>
      </c>
      <c r="C594" t="s">
        <v>8064</v>
      </c>
      <c r="D594" s="1">
        <v>40259</v>
      </c>
      <c r="E594" s="2">
        <v>79000</v>
      </c>
      <c r="F594" t="s">
        <v>4567</v>
      </c>
      <c r="G594" s="17" t="str">
        <f>HYPERLINK("https://www.washoecounty.gov/assessor/cama/?command=sales&amp;parid=00815402","3862413")</f>
        <v>3862413</v>
      </c>
      <c r="H594" t="s">
        <v>4800</v>
      </c>
      <c r="I594">
        <v>1962</v>
      </c>
      <c r="J594">
        <v>1962</v>
      </c>
      <c r="K594" t="s">
        <v>4554</v>
      </c>
      <c r="L594" t="s">
        <v>3886</v>
      </c>
      <c r="M594" s="2">
        <v>1370</v>
      </c>
      <c r="N594" t="s">
        <v>4556</v>
      </c>
      <c r="O594">
        <v>4</v>
      </c>
      <c r="P594">
        <v>2</v>
      </c>
      <c r="Q594">
        <v>0</v>
      </c>
      <c r="R594" t="s">
        <v>4557</v>
      </c>
      <c r="S594" t="s">
        <v>4574</v>
      </c>
      <c r="T594" t="s">
        <v>4559</v>
      </c>
      <c r="U594" t="s">
        <v>4560</v>
      </c>
      <c r="V594" s="2">
        <v>345</v>
      </c>
      <c r="W594" t="s">
        <v>4655</v>
      </c>
      <c r="X594" s="2">
        <v>0</v>
      </c>
      <c r="Y594">
        <v>20</v>
      </c>
      <c r="Z594" t="s">
        <v>4561</v>
      </c>
      <c r="AA594" s="3">
        <v>0.13700643181800801</v>
      </c>
      <c r="AB594" t="s">
        <v>8065</v>
      </c>
      <c r="AC594" t="s">
        <v>4562</v>
      </c>
      <c r="AD594" t="s">
        <v>8064</v>
      </c>
      <c r="AE594" t="s">
        <v>4655</v>
      </c>
      <c r="AF594" t="s">
        <v>4563</v>
      </c>
      <c r="AG594" t="s">
        <v>4564</v>
      </c>
      <c r="AH594">
        <v>89512</v>
      </c>
      <c r="AI594" t="s">
        <v>8066</v>
      </c>
      <c r="AJ594" t="s">
        <v>4655</v>
      </c>
      <c r="AK594" t="s">
        <v>8067</v>
      </c>
      <c r="AL594" s="13" t="s">
        <v>2255</v>
      </c>
      <c r="AM594" s="14">
        <v>1</v>
      </c>
      <c r="AN594" s="15" t="s">
        <v>159</v>
      </c>
    </row>
    <row r="595" spans="1:40" x14ac:dyDescent="0.3">
      <c r="A595" s="10" t="str">
        <f>HYPERLINK("http://www.washoecounty.gov/assessor/cama/?parid=008-154-19&amp;CardNumber=1","008-154-19")</f>
        <v>008-154-19</v>
      </c>
      <c r="B595" t="s">
        <v>4655</v>
      </c>
      <c r="C595" t="s">
        <v>8068</v>
      </c>
      <c r="D595" s="1">
        <v>40459</v>
      </c>
      <c r="E595" s="2">
        <v>85000</v>
      </c>
      <c r="F595" t="s">
        <v>4553</v>
      </c>
      <c r="G595" s="17" t="str">
        <f>HYPERLINK("https://www.washoecounty.gov/assessor/cama/?command=sales&amp;parid=00815419","3931327")</f>
        <v>3931327</v>
      </c>
      <c r="H595" t="s">
        <v>4800</v>
      </c>
      <c r="I595">
        <v>1962</v>
      </c>
      <c r="J595">
        <v>1962</v>
      </c>
      <c r="K595" t="s">
        <v>4554</v>
      </c>
      <c r="L595" t="s">
        <v>3886</v>
      </c>
      <c r="M595" s="2">
        <v>1430</v>
      </c>
      <c r="N595" t="s">
        <v>4556</v>
      </c>
      <c r="O595">
        <v>4</v>
      </c>
      <c r="P595">
        <v>2</v>
      </c>
      <c r="Q595">
        <v>0</v>
      </c>
      <c r="R595" t="s">
        <v>4557</v>
      </c>
      <c r="S595" t="s">
        <v>4135</v>
      </c>
      <c r="T595" t="s">
        <v>4559</v>
      </c>
      <c r="U595" t="s">
        <v>4560</v>
      </c>
      <c r="V595" s="2">
        <v>462</v>
      </c>
      <c r="W595" t="s">
        <v>4655</v>
      </c>
      <c r="X595" s="2">
        <v>0</v>
      </c>
      <c r="Y595">
        <v>20</v>
      </c>
      <c r="Z595" t="s">
        <v>4561</v>
      </c>
      <c r="AA595" s="3">
        <v>0.14600551128387501</v>
      </c>
      <c r="AB595" t="s">
        <v>8069</v>
      </c>
      <c r="AC595" t="s">
        <v>4562</v>
      </c>
      <c r="AD595" t="s">
        <v>8068</v>
      </c>
      <c r="AE595" t="s">
        <v>4655</v>
      </c>
      <c r="AF595" t="s">
        <v>4563</v>
      </c>
      <c r="AG595" t="s">
        <v>4564</v>
      </c>
      <c r="AH595">
        <v>89512</v>
      </c>
      <c r="AI595" t="s">
        <v>4655</v>
      </c>
      <c r="AJ595" t="s">
        <v>4655</v>
      </c>
      <c r="AK595" t="s">
        <v>8070</v>
      </c>
      <c r="AL595" s="13" t="s">
        <v>2255</v>
      </c>
      <c r="AM595">
        <v>1</v>
      </c>
      <c r="AN595" s="15" t="s">
        <v>159</v>
      </c>
    </row>
    <row r="596" spans="1:40" x14ac:dyDescent="0.3">
      <c r="A596" s="10" t="str">
        <f>HYPERLINK("http://www.washoecounty.gov/assessor/cama/?parid=008-155-16&amp;CardNumber=1","008-155-16")</f>
        <v>008-155-16</v>
      </c>
      <c r="B596" t="s">
        <v>4655</v>
      </c>
      <c r="C596" t="s">
        <v>8071</v>
      </c>
      <c r="D596" s="1">
        <v>40452</v>
      </c>
      <c r="E596" s="2">
        <v>94000</v>
      </c>
      <c r="F596" t="s">
        <v>4567</v>
      </c>
      <c r="G596" s="17" t="str">
        <f>HYPERLINK("https://www.washoecounty.gov/assessor/cama/?command=sales&amp;parid=00815516","3928781")</f>
        <v>3928781</v>
      </c>
      <c r="H596" t="s">
        <v>4800</v>
      </c>
      <c r="I596">
        <v>1962</v>
      </c>
      <c r="J596">
        <v>1962</v>
      </c>
      <c r="K596" t="s">
        <v>4554</v>
      </c>
      <c r="L596" t="s">
        <v>4555</v>
      </c>
      <c r="M596" s="2">
        <v>1040</v>
      </c>
      <c r="N596" t="s">
        <v>4556</v>
      </c>
      <c r="O596">
        <v>3</v>
      </c>
      <c r="P596">
        <v>1</v>
      </c>
      <c r="Q596">
        <v>0</v>
      </c>
      <c r="R596" t="s">
        <v>4557</v>
      </c>
      <c r="S596" t="s">
        <v>4558</v>
      </c>
      <c r="T596" t="s">
        <v>4559</v>
      </c>
      <c r="U596" t="s">
        <v>4560</v>
      </c>
      <c r="V596" s="2">
        <v>315</v>
      </c>
      <c r="W596" t="s">
        <v>4655</v>
      </c>
      <c r="X596" s="2">
        <v>0</v>
      </c>
      <c r="Y596">
        <v>20</v>
      </c>
      <c r="Z596" t="s">
        <v>4561</v>
      </c>
      <c r="AA596" s="3">
        <v>0.15199723839759827</v>
      </c>
      <c r="AB596" t="s">
        <v>8072</v>
      </c>
      <c r="AC596" t="s">
        <v>4562</v>
      </c>
      <c r="AD596" t="s">
        <v>8071</v>
      </c>
      <c r="AE596" t="s">
        <v>4655</v>
      </c>
      <c r="AF596" t="s">
        <v>4563</v>
      </c>
      <c r="AG596" t="s">
        <v>4564</v>
      </c>
      <c r="AH596">
        <v>89512</v>
      </c>
      <c r="AI596" t="s">
        <v>8073</v>
      </c>
      <c r="AJ596" t="s">
        <v>4655</v>
      </c>
      <c r="AK596" t="s">
        <v>8074</v>
      </c>
      <c r="AL596" s="13" t="s">
        <v>2255</v>
      </c>
      <c r="AM596">
        <v>1</v>
      </c>
      <c r="AN596" s="15" t="s">
        <v>159</v>
      </c>
    </row>
    <row r="597" spans="1:40" x14ac:dyDescent="0.3">
      <c r="A597" s="10" t="str">
        <f>HYPERLINK("http://www.washoecounty.gov/assessor/cama/?parid=008-155-16&amp;CardNumber=1","008-155-16")</f>
        <v>008-155-16</v>
      </c>
      <c r="B597" t="s">
        <v>4655</v>
      </c>
      <c r="C597" t="s">
        <v>8071</v>
      </c>
      <c r="D597" s="1">
        <v>40266</v>
      </c>
      <c r="E597" s="2">
        <v>66000</v>
      </c>
      <c r="F597" t="s">
        <v>4553</v>
      </c>
      <c r="G597" s="17" t="str">
        <f>HYPERLINK("https://www.washoecounty.gov/assessor/cama/?command=sales&amp;parid=00815516","3865045")</f>
        <v>3865045</v>
      </c>
      <c r="H597" t="s">
        <v>4800</v>
      </c>
      <c r="I597">
        <v>1962</v>
      </c>
      <c r="J597">
        <v>1962</v>
      </c>
      <c r="K597" t="s">
        <v>4554</v>
      </c>
      <c r="L597" t="s">
        <v>4555</v>
      </c>
      <c r="M597" s="2">
        <v>1040</v>
      </c>
      <c r="N597" t="s">
        <v>4556</v>
      </c>
      <c r="O597">
        <v>3</v>
      </c>
      <c r="P597">
        <v>1</v>
      </c>
      <c r="Q597">
        <v>0</v>
      </c>
      <c r="R597" t="s">
        <v>4557</v>
      </c>
      <c r="S597" t="s">
        <v>4558</v>
      </c>
      <c r="T597" t="s">
        <v>4559</v>
      </c>
      <c r="U597" t="s">
        <v>4560</v>
      </c>
      <c r="V597" s="2">
        <v>315</v>
      </c>
      <c r="W597" t="s">
        <v>4655</v>
      </c>
      <c r="X597" s="2">
        <v>0</v>
      </c>
      <c r="Y597">
        <v>20</v>
      </c>
      <c r="Z597" t="s">
        <v>4561</v>
      </c>
      <c r="AA597" s="3">
        <v>0.15199723839759827</v>
      </c>
      <c r="AB597" t="s">
        <v>8072</v>
      </c>
      <c r="AC597" t="s">
        <v>4562</v>
      </c>
      <c r="AD597" t="s">
        <v>8071</v>
      </c>
      <c r="AE597" t="s">
        <v>4655</v>
      </c>
      <c r="AF597" t="s">
        <v>4563</v>
      </c>
      <c r="AG597" t="s">
        <v>4564</v>
      </c>
      <c r="AH597">
        <v>89512</v>
      </c>
      <c r="AI597" t="s">
        <v>8073</v>
      </c>
      <c r="AJ597" t="s">
        <v>4655</v>
      </c>
      <c r="AK597" t="s">
        <v>8074</v>
      </c>
      <c r="AL597" s="13" t="s">
        <v>2255</v>
      </c>
      <c r="AM597">
        <v>1</v>
      </c>
      <c r="AN597" s="15" t="s">
        <v>159</v>
      </c>
    </row>
    <row r="598" spans="1:40" x14ac:dyDescent="0.3">
      <c r="A598" s="10" t="str">
        <f>HYPERLINK("http://www.washoecounty.gov/assessor/cama/?parid=008-156-02&amp;CardNumber=1","008-156-02")</f>
        <v>008-156-02</v>
      </c>
      <c r="B598" t="s">
        <v>4655</v>
      </c>
      <c r="C598" t="s">
        <v>8075</v>
      </c>
      <c r="D598" s="1">
        <v>40479</v>
      </c>
      <c r="E598" s="2">
        <v>49900</v>
      </c>
      <c r="F598" t="s">
        <v>4553</v>
      </c>
      <c r="G598" s="17" t="str">
        <f>HYPERLINK("https://www.washoecounty.gov/assessor/cama/?command=sales&amp;parid=00815602","3937919")</f>
        <v>3937919</v>
      </c>
      <c r="H598" t="s">
        <v>4800</v>
      </c>
      <c r="I598">
        <v>1962</v>
      </c>
      <c r="J598">
        <v>1964</v>
      </c>
      <c r="K598" t="s">
        <v>4554</v>
      </c>
      <c r="L598" t="s">
        <v>3886</v>
      </c>
      <c r="M598" s="2">
        <v>2080</v>
      </c>
      <c r="N598" t="s">
        <v>4556</v>
      </c>
      <c r="O598">
        <v>3</v>
      </c>
      <c r="P598">
        <v>2</v>
      </c>
      <c r="Q598">
        <v>0</v>
      </c>
      <c r="R598" t="s">
        <v>4557</v>
      </c>
      <c r="S598" t="s">
        <v>4135</v>
      </c>
      <c r="T598" t="s">
        <v>4559</v>
      </c>
      <c r="U598" t="s">
        <v>4560</v>
      </c>
      <c r="V598" s="2">
        <v>462</v>
      </c>
      <c r="W598" t="s">
        <v>4655</v>
      </c>
      <c r="X598" s="2">
        <v>0</v>
      </c>
      <c r="Y598">
        <v>20</v>
      </c>
      <c r="Z598" t="s">
        <v>4561</v>
      </c>
      <c r="AA598" s="3">
        <v>0.21701101958751701</v>
      </c>
      <c r="AB598" t="s">
        <v>8076</v>
      </c>
      <c r="AC598" t="s">
        <v>4562</v>
      </c>
      <c r="AD598" t="s">
        <v>8077</v>
      </c>
      <c r="AE598" t="s">
        <v>4655</v>
      </c>
      <c r="AF598" t="s">
        <v>4563</v>
      </c>
      <c r="AG598" t="s">
        <v>4564</v>
      </c>
      <c r="AH598">
        <v>89506</v>
      </c>
      <c r="AI598" t="s">
        <v>8078</v>
      </c>
      <c r="AJ598" t="s">
        <v>4655</v>
      </c>
      <c r="AK598" t="s">
        <v>8079</v>
      </c>
      <c r="AL598" s="13" t="s">
        <v>2255</v>
      </c>
      <c r="AM598">
        <v>1</v>
      </c>
      <c r="AN598" s="15" t="s">
        <v>159</v>
      </c>
    </row>
    <row r="599" spans="1:40" x14ac:dyDescent="0.3">
      <c r="A599" s="10" t="str">
        <f>HYPERLINK("http://www.washoecounty.gov/assessor/cama/?parid=008-183-17&amp;CardNumber=1","008-183-17")</f>
        <v>008-183-17</v>
      </c>
      <c r="B599" t="s">
        <v>4655</v>
      </c>
      <c r="C599" t="s">
        <v>8080</v>
      </c>
      <c r="D599" s="1">
        <v>40273</v>
      </c>
      <c r="E599" s="2">
        <v>75000</v>
      </c>
      <c r="F599" t="s">
        <v>4553</v>
      </c>
      <c r="G599" s="17" t="str">
        <f>HYPERLINK("https://www.washoecounty.gov/assessor/cama/?command=sales&amp;parid=00818317","3867609")</f>
        <v>3867609</v>
      </c>
      <c r="H599" t="s">
        <v>8081</v>
      </c>
      <c r="I599">
        <v>1907</v>
      </c>
      <c r="J599">
        <v>1907</v>
      </c>
      <c r="K599" t="s">
        <v>4554</v>
      </c>
      <c r="L599" t="s">
        <v>4555</v>
      </c>
      <c r="M599" s="2">
        <v>1390</v>
      </c>
      <c r="N599" t="s">
        <v>4133</v>
      </c>
      <c r="O599">
        <v>2</v>
      </c>
      <c r="P599">
        <v>1</v>
      </c>
      <c r="Q599">
        <v>0</v>
      </c>
      <c r="R599" t="s">
        <v>4557</v>
      </c>
      <c r="S599" t="s">
        <v>4574</v>
      </c>
      <c r="T599" t="s">
        <v>4559</v>
      </c>
      <c r="U599" t="s">
        <v>4655</v>
      </c>
      <c r="V599" s="2">
        <v>0</v>
      </c>
      <c r="W599" t="s">
        <v>3149</v>
      </c>
      <c r="X599" s="2">
        <v>640</v>
      </c>
      <c r="Y599">
        <v>20</v>
      </c>
      <c r="Z599" t="s">
        <v>3047</v>
      </c>
      <c r="AA599" s="3">
        <v>0.17199265956878662</v>
      </c>
      <c r="AB599" t="s">
        <v>8082</v>
      </c>
      <c r="AC599" t="s">
        <v>4562</v>
      </c>
      <c r="AD599" t="s">
        <v>8080</v>
      </c>
      <c r="AE599" t="s">
        <v>4655</v>
      </c>
      <c r="AF599" t="s">
        <v>4563</v>
      </c>
      <c r="AG599" t="s">
        <v>4564</v>
      </c>
      <c r="AH599">
        <v>89512</v>
      </c>
      <c r="AI599" t="s">
        <v>4503</v>
      </c>
      <c r="AJ599" t="s">
        <v>4655</v>
      </c>
      <c r="AK599" t="s">
        <v>8083</v>
      </c>
      <c r="AL599" s="13" t="s">
        <v>2256</v>
      </c>
      <c r="AM599">
        <v>1</v>
      </c>
      <c r="AN599" s="15" t="s">
        <v>1619</v>
      </c>
    </row>
    <row r="600" spans="1:40" x14ac:dyDescent="0.3">
      <c r="A600" s="10" t="str">
        <f>HYPERLINK("http://www.washoecounty.gov/assessor/cama/?parid=008-183-20&amp;CardNumber=1","008-183-20")</f>
        <v>008-183-20</v>
      </c>
      <c r="B600" t="s">
        <v>4655</v>
      </c>
      <c r="C600" t="s">
        <v>8084</v>
      </c>
      <c r="D600" s="1">
        <v>40483</v>
      </c>
      <c r="E600" s="2">
        <v>159900</v>
      </c>
      <c r="F600" t="s">
        <v>3528</v>
      </c>
      <c r="G600" s="17" t="str">
        <f>HYPERLINK("https://www.washoecounty.gov/assessor/cama/?command=sales&amp;parid=00818320","3938705")</f>
        <v>3938705</v>
      </c>
      <c r="H600" t="s">
        <v>5635</v>
      </c>
      <c r="I600">
        <v>1910</v>
      </c>
      <c r="J600">
        <v>1910</v>
      </c>
      <c r="K600" t="s">
        <v>1391</v>
      </c>
      <c r="L600" t="s">
        <v>3886</v>
      </c>
      <c r="M600" s="2">
        <v>1539</v>
      </c>
      <c r="N600" t="s">
        <v>4556</v>
      </c>
      <c r="O600">
        <v>6</v>
      </c>
      <c r="P600">
        <v>4</v>
      </c>
      <c r="Q600">
        <v>0</v>
      </c>
      <c r="R600" t="s">
        <v>4557</v>
      </c>
      <c r="S600" t="s">
        <v>4574</v>
      </c>
      <c r="T600" t="s">
        <v>4559</v>
      </c>
      <c r="U600" t="s">
        <v>4655</v>
      </c>
      <c r="V600" s="2">
        <v>0</v>
      </c>
      <c r="W600" t="s">
        <v>3149</v>
      </c>
      <c r="X600" s="2">
        <v>840</v>
      </c>
      <c r="Y600">
        <v>32</v>
      </c>
      <c r="Z600" t="s">
        <v>3047</v>
      </c>
      <c r="AA600" s="3">
        <v>0.132208451628685</v>
      </c>
      <c r="AB600" t="s">
        <v>8085</v>
      </c>
      <c r="AC600" t="s">
        <v>4575</v>
      </c>
      <c r="AD600" t="s">
        <v>8086</v>
      </c>
      <c r="AE600" t="s">
        <v>4655</v>
      </c>
      <c r="AF600" t="s">
        <v>4563</v>
      </c>
      <c r="AG600" t="s">
        <v>4564</v>
      </c>
      <c r="AH600">
        <v>89511</v>
      </c>
      <c r="AI600" t="s">
        <v>6542</v>
      </c>
      <c r="AJ600" t="s">
        <v>4655</v>
      </c>
      <c r="AK600" t="s">
        <v>8087</v>
      </c>
      <c r="AL600" s="13" t="s">
        <v>2256</v>
      </c>
      <c r="AM600">
        <v>4</v>
      </c>
      <c r="AN600" s="15" t="s">
        <v>158</v>
      </c>
    </row>
    <row r="601" spans="1:40" x14ac:dyDescent="0.3">
      <c r="A601" s="10" t="str">
        <f>HYPERLINK("http://www.washoecounty.gov/assessor/cama/?parid=008-191-38&amp;CardNumber=1","008-191-38")</f>
        <v>008-191-38</v>
      </c>
      <c r="B601" t="s">
        <v>4655</v>
      </c>
      <c r="C601" t="s">
        <v>8088</v>
      </c>
      <c r="D601" s="1">
        <v>40420</v>
      </c>
      <c r="E601" s="2">
        <v>1510000</v>
      </c>
      <c r="F601" t="s">
        <v>3259</v>
      </c>
      <c r="G601" s="17" t="str">
        <f>HYPERLINK("https://www.washoecounty.gov/assessor/cama/?command=sales&amp;parid=00819138","3917096")</f>
        <v>3917096</v>
      </c>
      <c r="H601" t="s">
        <v>8089</v>
      </c>
      <c r="I601">
        <v>1975</v>
      </c>
      <c r="J601">
        <v>1975</v>
      </c>
      <c r="K601" t="s">
        <v>2706</v>
      </c>
      <c r="L601" t="s">
        <v>3038</v>
      </c>
      <c r="M601" s="2">
        <v>24332</v>
      </c>
      <c r="N601" t="s">
        <v>1367</v>
      </c>
      <c r="O601">
        <v>0</v>
      </c>
      <c r="P601">
        <v>0</v>
      </c>
      <c r="Q601">
        <v>0</v>
      </c>
      <c r="R601" t="s">
        <v>8090</v>
      </c>
      <c r="S601" t="s">
        <v>3943</v>
      </c>
      <c r="T601" t="s">
        <v>4655</v>
      </c>
      <c r="U601" t="s">
        <v>4655</v>
      </c>
      <c r="V601" s="2">
        <v>0</v>
      </c>
      <c r="W601" t="s">
        <v>4655</v>
      </c>
      <c r="X601" s="2">
        <v>0</v>
      </c>
      <c r="Y601">
        <v>43</v>
      </c>
      <c r="Z601" t="s">
        <v>2247</v>
      </c>
      <c r="AA601" s="3">
        <v>1.20000004768371</v>
      </c>
      <c r="AB601" t="s">
        <v>8091</v>
      </c>
      <c r="AC601" t="s">
        <v>4575</v>
      </c>
      <c r="AD601" t="s">
        <v>8092</v>
      </c>
      <c r="AE601" t="s">
        <v>4655</v>
      </c>
      <c r="AF601" t="s">
        <v>8093</v>
      </c>
      <c r="AG601" t="s">
        <v>4584</v>
      </c>
      <c r="AH601" t="s">
        <v>8094</v>
      </c>
      <c r="AI601" t="s">
        <v>8095</v>
      </c>
      <c r="AJ601" t="s">
        <v>4655</v>
      </c>
      <c r="AK601" t="s">
        <v>8096</v>
      </c>
      <c r="AL601" s="13" t="s">
        <v>2256</v>
      </c>
      <c r="AM601" s="14">
        <v>97</v>
      </c>
      <c r="AN601" s="15" t="s">
        <v>756</v>
      </c>
    </row>
    <row r="602" spans="1:40" x14ac:dyDescent="0.3">
      <c r="A602" s="10" t="str">
        <f>HYPERLINK("http://www.washoecounty.gov/assessor/cama/?parid=008-193-14&amp;CardNumber=1","008-193-14")</f>
        <v>008-193-14</v>
      </c>
      <c r="B602" t="s">
        <v>5502</v>
      </c>
      <c r="C602" t="s">
        <v>8097</v>
      </c>
      <c r="D602" s="1">
        <v>40193</v>
      </c>
      <c r="E602" s="2">
        <v>125000</v>
      </c>
      <c r="F602" t="s">
        <v>4567</v>
      </c>
      <c r="G602" s="17" t="str">
        <f>HYPERLINK("https://www.washoecounty.gov/assessor/cama/?command=sales&amp;parid=00819314","3840018")</f>
        <v>3840018</v>
      </c>
      <c r="H602" t="s">
        <v>8098</v>
      </c>
      <c r="I602">
        <v>1970</v>
      </c>
      <c r="J602">
        <v>1970</v>
      </c>
      <c r="K602" t="s">
        <v>4554</v>
      </c>
      <c r="L602" t="s">
        <v>4555</v>
      </c>
      <c r="M602" s="2">
        <v>1488</v>
      </c>
      <c r="N602" t="s">
        <v>4048</v>
      </c>
      <c r="O602">
        <v>3</v>
      </c>
      <c r="P602">
        <v>2</v>
      </c>
      <c r="Q602">
        <v>0</v>
      </c>
      <c r="R602" t="s">
        <v>4676</v>
      </c>
      <c r="S602" t="s">
        <v>3148</v>
      </c>
      <c r="T602" t="s">
        <v>4559</v>
      </c>
      <c r="U602" t="s">
        <v>4560</v>
      </c>
      <c r="V602" s="2">
        <v>242</v>
      </c>
      <c r="W602" t="s">
        <v>3149</v>
      </c>
      <c r="X602" s="2">
        <v>100</v>
      </c>
      <c r="Y602">
        <v>31</v>
      </c>
      <c r="Z602" t="s">
        <v>2247</v>
      </c>
      <c r="AA602" s="3">
        <v>0.160697892308235</v>
      </c>
      <c r="AB602" t="s">
        <v>8099</v>
      </c>
      <c r="AC602" t="s">
        <v>4575</v>
      </c>
      <c r="AD602" t="s">
        <v>8097</v>
      </c>
      <c r="AE602" t="s">
        <v>4655</v>
      </c>
      <c r="AF602" t="s">
        <v>4563</v>
      </c>
      <c r="AG602" t="s">
        <v>4564</v>
      </c>
      <c r="AH602">
        <v>89512</v>
      </c>
      <c r="AI602" t="s">
        <v>4655</v>
      </c>
      <c r="AJ602" t="s">
        <v>4655</v>
      </c>
      <c r="AK602" t="s">
        <v>8100</v>
      </c>
      <c r="AL602" s="13" t="s">
        <v>2256</v>
      </c>
      <c r="AM602">
        <v>2</v>
      </c>
      <c r="AN602" s="15" t="s">
        <v>158</v>
      </c>
    </row>
    <row r="603" spans="1:40" x14ac:dyDescent="0.3">
      <c r="A603" s="10" t="str">
        <f>HYPERLINK("http://www.washoecounty.gov/assessor/cama/?parid=008-195-28&amp;CardNumber=1","008-195-28")</f>
        <v>008-195-28</v>
      </c>
      <c r="B603" t="s">
        <v>4655</v>
      </c>
      <c r="C603" t="s">
        <v>8101</v>
      </c>
      <c r="D603" s="1">
        <v>40255</v>
      </c>
      <c r="E603" s="2">
        <v>45000</v>
      </c>
      <c r="F603" t="s">
        <v>4553</v>
      </c>
      <c r="G603" s="17" t="str">
        <f>HYPERLINK("https://www.washoecounty.gov/assessor/cama/?command=sales&amp;parid=00819528","3861036")</f>
        <v>3861036</v>
      </c>
      <c r="H603" t="s">
        <v>8102</v>
      </c>
      <c r="I603">
        <v>1926</v>
      </c>
      <c r="J603">
        <v>1926</v>
      </c>
      <c r="K603" t="s">
        <v>4554</v>
      </c>
      <c r="L603" t="s">
        <v>4555</v>
      </c>
      <c r="M603" s="2">
        <v>756</v>
      </c>
      <c r="N603" t="s">
        <v>4556</v>
      </c>
      <c r="O603">
        <v>2</v>
      </c>
      <c r="P603">
        <v>1</v>
      </c>
      <c r="Q603">
        <v>0</v>
      </c>
      <c r="R603" t="s">
        <v>1800</v>
      </c>
      <c r="S603" t="s">
        <v>3046</v>
      </c>
      <c r="T603" t="s">
        <v>4559</v>
      </c>
      <c r="U603" t="s">
        <v>4655</v>
      </c>
      <c r="V603" s="2">
        <v>0</v>
      </c>
      <c r="W603" t="s">
        <v>4655</v>
      </c>
      <c r="X603" s="2">
        <v>0</v>
      </c>
      <c r="Y603">
        <v>20</v>
      </c>
      <c r="Z603" t="s">
        <v>2247</v>
      </c>
      <c r="AA603" s="3">
        <v>6.2832877039909404E-2</v>
      </c>
      <c r="AB603" t="s">
        <v>1617</v>
      </c>
      <c r="AC603" t="s">
        <v>4562</v>
      </c>
      <c r="AD603" t="s">
        <v>1618</v>
      </c>
      <c r="AE603" t="s">
        <v>4655</v>
      </c>
      <c r="AF603" t="s">
        <v>4563</v>
      </c>
      <c r="AG603" t="s">
        <v>4564</v>
      </c>
      <c r="AH603">
        <v>89510</v>
      </c>
      <c r="AI603" t="s">
        <v>8103</v>
      </c>
      <c r="AJ603" t="s">
        <v>8104</v>
      </c>
      <c r="AK603" t="s">
        <v>8105</v>
      </c>
      <c r="AL603" s="13" t="s">
        <v>2255</v>
      </c>
      <c r="AM603" s="14">
        <v>1</v>
      </c>
      <c r="AN603" s="15" t="s">
        <v>1619</v>
      </c>
    </row>
    <row r="604" spans="1:40" x14ac:dyDescent="0.3">
      <c r="A604" s="10" t="str">
        <f>HYPERLINK("http://www.washoecounty.gov/assessor/cama/?parid=008-197-12&amp;CardNumber=1","008-197-12")</f>
        <v>008-197-12</v>
      </c>
      <c r="B604" t="s">
        <v>4655</v>
      </c>
      <c r="C604" t="s">
        <v>8106</v>
      </c>
      <c r="D604" s="1">
        <v>40304</v>
      </c>
      <c r="E604" s="2">
        <v>40000</v>
      </c>
      <c r="F604" t="s">
        <v>4553</v>
      </c>
      <c r="G604" s="17" t="str">
        <f>HYPERLINK("https://www.washoecounty.gov/assessor/cama/?command=sales&amp;parid=00819712","3878972")</f>
        <v>3878972</v>
      </c>
      <c r="H604" t="s">
        <v>8107</v>
      </c>
      <c r="I604">
        <v>1914</v>
      </c>
      <c r="J604">
        <v>1914</v>
      </c>
      <c r="K604" t="s">
        <v>4554</v>
      </c>
      <c r="L604" t="s">
        <v>4555</v>
      </c>
      <c r="M604" s="2">
        <v>637</v>
      </c>
      <c r="N604" t="s">
        <v>4133</v>
      </c>
      <c r="O604">
        <v>2</v>
      </c>
      <c r="P604">
        <v>1</v>
      </c>
      <c r="Q604">
        <v>0</v>
      </c>
      <c r="R604" t="s">
        <v>1800</v>
      </c>
      <c r="S604" t="s">
        <v>4135</v>
      </c>
      <c r="T604" t="s">
        <v>4559</v>
      </c>
      <c r="U604" t="s">
        <v>4655</v>
      </c>
      <c r="V604" s="2">
        <v>0</v>
      </c>
      <c r="W604" t="s">
        <v>4655</v>
      </c>
      <c r="X604" s="2">
        <v>0</v>
      </c>
      <c r="Y604">
        <v>20</v>
      </c>
      <c r="Z604" t="s">
        <v>2247</v>
      </c>
      <c r="AA604" s="3">
        <v>0.125</v>
      </c>
      <c r="AB604" t="s">
        <v>8108</v>
      </c>
      <c r="AC604" t="s">
        <v>4562</v>
      </c>
      <c r="AD604" t="s">
        <v>8109</v>
      </c>
      <c r="AE604" t="s">
        <v>4655</v>
      </c>
      <c r="AF604" t="s">
        <v>4563</v>
      </c>
      <c r="AG604" t="s">
        <v>4564</v>
      </c>
      <c r="AH604">
        <v>89512</v>
      </c>
      <c r="AI604" t="s">
        <v>1602</v>
      </c>
      <c r="AJ604" t="s">
        <v>4655</v>
      </c>
      <c r="AK604" t="s">
        <v>8110</v>
      </c>
      <c r="AL604" s="13" t="s">
        <v>2256</v>
      </c>
      <c r="AM604" s="14">
        <v>1</v>
      </c>
      <c r="AN604" s="15" t="s">
        <v>1619</v>
      </c>
    </row>
    <row r="605" spans="1:40" x14ac:dyDescent="0.3">
      <c r="A605" s="10" t="str">
        <f>HYPERLINK("http://www.washoecounty.gov/assessor/cama/?parid=008-262-04&amp;CardNumber=1","008-262-04")</f>
        <v>008-262-04</v>
      </c>
      <c r="B605" t="s">
        <v>4655</v>
      </c>
      <c r="C605" t="s">
        <v>8111</v>
      </c>
      <c r="D605" s="1">
        <v>40455</v>
      </c>
      <c r="E605" s="2">
        <v>125000</v>
      </c>
      <c r="F605" t="s">
        <v>3259</v>
      </c>
      <c r="G605" s="17" t="str">
        <f>HYPERLINK("https://www.washoecounty.gov/assessor/cama/?command=sales&amp;parid=00826204","3929468")</f>
        <v>3929468</v>
      </c>
      <c r="H605" t="s">
        <v>2367</v>
      </c>
      <c r="I605">
        <v>1956</v>
      </c>
      <c r="J605">
        <v>1956</v>
      </c>
      <c r="K605" t="s">
        <v>8112</v>
      </c>
      <c r="L605" t="s">
        <v>1366</v>
      </c>
      <c r="M605" s="2">
        <v>3500</v>
      </c>
      <c r="N605" t="s">
        <v>4672</v>
      </c>
      <c r="O605">
        <v>0</v>
      </c>
      <c r="P605">
        <v>0</v>
      </c>
      <c r="Q605">
        <v>0</v>
      </c>
      <c r="R605" t="s">
        <v>429</v>
      </c>
      <c r="S605" t="s">
        <v>4932</v>
      </c>
      <c r="T605" t="s">
        <v>4655</v>
      </c>
      <c r="U605" t="s">
        <v>4655</v>
      </c>
      <c r="V605" s="2">
        <v>0</v>
      </c>
      <c r="W605" t="s">
        <v>4655</v>
      </c>
      <c r="X605" s="2">
        <v>0</v>
      </c>
      <c r="Y605">
        <v>40</v>
      </c>
      <c r="Z605" t="s">
        <v>2247</v>
      </c>
      <c r="AA605" s="3">
        <v>0.148002758622169</v>
      </c>
      <c r="AB605" t="s">
        <v>8113</v>
      </c>
      <c r="AC605" t="s">
        <v>4562</v>
      </c>
      <c r="AD605" t="s">
        <v>8114</v>
      </c>
      <c r="AE605" t="s">
        <v>4655</v>
      </c>
      <c r="AF605" t="s">
        <v>4563</v>
      </c>
      <c r="AG605" t="s">
        <v>4564</v>
      </c>
      <c r="AH605">
        <v>89502</v>
      </c>
      <c r="AI605" t="s">
        <v>8115</v>
      </c>
      <c r="AJ605" t="s">
        <v>4655</v>
      </c>
      <c r="AK605" t="s">
        <v>8116</v>
      </c>
      <c r="AL605" s="13" t="s">
        <v>2256</v>
      </c>
      <c r="AM605" s="14">
        <v>1</v>
      </c>
      <c r="AN605" s="15" t="s">
        <v>756</v>
      </c>
    </row>
    <row r="606" spans="1:40" x14ac:dyDescent="0.3">
      <c r="A606" s="10" t="str">
        <f>HYPERLINK("http://www.washoecounty.gov/assessor/cama/?parid=008-267-18&amp;CardNumber=1","008-267-18")</f>
        <v>008-267-18</v>
      </c>
      <c r="B606" t="s">
        <v>4655</v>
      </c>
      <c r="C606" t="s">
        <v>8117</v>
      </c>
      <c r="D606" s="1">
        <v>40374</v>
      </c>
      <c r="E606" s="2">
        <v>165000</v>
      </c>
      <c r="F606" t="s">
        <v>4187</v>
      </c>
      <c r="G606" s="17" t="str">
        <f>HYPERLINK("https://www.washoecounty.gov/assessor/cama/?command=sales&amp;parid=00826718","3901713")</f>
        <v>3901713</v>
      </c>
      <c r="H606" t="s">
        <v>8118</v>
      </c>
      <c r="I606">
        <v>1925</v>
      </c>
      <c r="J606">
        <v>1950</v>
      </c>
      <c r="K606" t="s">
        <v>755</v>
      </c>
      <c r="L606" t="s">
        <v>1366</v>
      </c>
      <c r="M606" s="2">
        <v>2900</v>
      </c>
      <c r="N606" t="s">
        <v>1367</v>
      </c>
      <c r="O606">
        <v>0</v>
      </c>
      <c r="P606">
        <v>0</v>
      </c>
      <c r="Q606">
        <v>0</v>
      </c>
      <c r="R606" t="s">
        <v>429</v>
      </c>
      <c r="S606" t="s">
        <v>4856</v>
      </c>
      <c r="T606" t="s">
        <v>4655</v>
      </c>
      <c r="U606" t="s">
        <v>4655</v>
      </c>
      <c r="V606" s="2">
        <v>0</v>
      </c>
      <c r="W606" t="s">
        <v>4655</v>
      </c>
      <c r="X606" s="2">
        <v>0</v>
      </c>
      <c r="Y606">
        <v>40</v>
      </c>
      <c r="Z606" t="s">
        <v>2247</v>
      </c>
      <c r="AA606" s="3">
        <v>0.18999081850051899</v>
      </c>
      <c r="AB606" t="s">
        <v>8119</v>
      </c>
      <c r="AC606" t="s">
        <v>4562</v>
      </c>
      <c r="AD606" t="s">
        <v>8120</v>
      </c>
      <c r="AE606" t="s">
        <v>4655</v>
      </c>
      <c r="AF606" t="s">
        <v>5201</v>
      </c>
      <c r="AG606" t="s">
        <v>4564</v>
      </c>
      <c r="AH606" t="s">
        <v>5202</v>
      </c>
      <c r="AI606" t="s">
        <v>4655</v>
      </c>
      <c r="AJ606" t="s">
        <v>4655</v>
      </c>
      <c r="AK606" t="s">
        <v>8121</v>
      </c>
      <c r="AL606" s="13" t="s">
        <v>2256</v>
      </c>
      <c r="AM606" s="14">
        <v>1</v>
      </c>
      <c r="AN606" s="15" t="s">
        <v>756</v>
      </c>
    </row>
    <row r="607" spans="1:40" x14ac:dyDescent="0.3">
      <c r="A607" s="10" t="str">
        <f>HYPERLINK("http://www.washoecounty.gov/assessor/cama/?parid=008-303-10&amp;CardNumber=1","008-303-10")</f>
        <v>008-303-10</v>
      </c>
      <c r="B607" t="s">
        <v>4655</v>
      </c>
      <c r="C607" t="s">
        <v>8122</v>
      </c>
      <c r="D607" s="1">
        <v>40436</v>
      </c>
      <c r="E607" s="2">
        <v>95000</v>
      </c>
      <c r="F607" t="s">
        <v>4553</v>
      </c>
      <c r="G607" s="17" t="str">
        <f>HYPERLINK("https://www.washoecounty.gov/assessor/cama/?command=sales&amp;parid=00830310","3922537")</f>
        <v>3922537</v>
      </c>
      <c r="H607" t="s">
        <v>8123</v>
      </c>
      <c r="I607">
        <v>1963</v>
      </c>
      <c r="J607">
        <v>1963</v>
      </c>
      <c r="K607" t="s">
        <v>4554</v>
      </c>
      <c r="L607" t="s">
        <v>3886</v>
      </c>
      <c r="M607" s="2">
        <v>1460</v>
      </c>
      <c r="N607" t="s">
        <v>4556</v>
      </c>
      <c r="O607">
        <v>3</v>
      </c>
      <c r="P607">
        <v>2</v>
      </c>
      <c r="Q607">
        <v>0</v>
      </c>
      <c r="R607" t="s">
        <v>4557</v>
      </c>
      <c r="S607" t="s">
        <v>4558</v>
      </c>
      <c r="T607" t="s">
        <v>4559</v>
      </c>
      <c r="U607" t="s">
        <v>4560</v>
      </c>
      <c r="V607" s="2">
        <v>441</v>
      </c>
      <c r="W607" t="s">
        <v>4655</v>
      </c>
      <c r="X607" s="2">
        <v>0</v>
      </c>
      <c r="Y607">
        <v>20</v>
      </c>
      <c r="Z607" t="s">
        <v>4561</v>
      </c>
      <c r="AA607" s="3">
        <v>0.14400826394558</v>
      </c>
      <c r="AB607" t="s">
        <v>8124</v>
      </c>
      <c r="AC607" t="s">
        <v>4562</v>
      </c>
      <c r="AD607" t="s">
        <v>8122</v>
      </c>
      <c r="AE607" t="s">
        <v>4655</v>
      </c>
      <c r="AF607" t="s">
        <v>4563</v>
      </c>
      <c r="AG607" t="s">
        <v>4564</v>
      </c>
      <c r="AH607">
        <v>89512</v>
      </c>
      <c r="AI607" t="s">
        <v>4848</v>
      </c>
      <c r="AJ607" t="s">
        <v>4655</v>
      </c>
      <c r="AK607" t="s">
        <v>8125</v>
      </c>
      <c r="AL607" s="13" t="s">
        <v>2255</v>
      </c>
      <c r="AM607">
        <v>1</v>
      </c>
      <c r="AN607" s="15" t="s">
        <v>159</v>
      </c>
    </row>
    <row r="608" spans="1:40" x14ac:dyDescent="0.3">
      <c r="A608" s="10" t="str">
        <f>HYPERLINK("http://www.washoecounty.gov/assessor/cama/?parid=008-304-06&amp;CardNumber=1","008-304-06")</f>
        <v>008-304-06</v>
      </c>
      <c r="B608" t="s">
        <v>4655</v>
      </c>
      <c r="C608" t="s">
        <v>8126</v>
      </c>
      <c r="D608" s="1">
        <v>40210</v>
      </c>
      <c r="E608" s="2">
        <v>85400</v>
      </c>
      <c r="F608" t="s">
        <v>4553</v>
      </c>
      <c r="G608" s="17" t="str">
        <f>HYPERLINK("https://www.washoecounty.gov/assessor/cama/?command=sales&amp;parid=00830406","3844846")</f>
        <v>3844846</v>
      </c>
      <c r="H608" t="s">
        <v>8123</v>
      </c>
      <c r="I608">
        <v>1963</v>
      </c>
      <c r="J608">
        <v>1963</v>
      </c>
      <c r="K608" t="s">
        <v>4554</v>
      </c>
      <c r="L608" t="s">
        <v>3886</v>
      </c>
      <c r="M608" s="2">
        <v>1460</v>
      </c>
      <c r="N608" t="s">
        <v>4556</v>
      </c>
      <c r="O608">
        <v>4</v>
      </c>
      <c r="P608">
        <v>2</v>
      </c>
      <c r="Q608">
        <v>0</v>
      </c>
      <c r="R608" t="s">
        <v>4557</v>
      </c>
      <c r="S608" t="s">
        <v>4558</v>
      </c>
      <c r="T608" t="s">
        <v>4559</v>
      </c>
      <c r="U608" t="s">
        <v>4560</v>
      </c>
      <c r="V608" s="2">
        <v>441</v>
      </c>
      <c r="W608" t="s">
        <v>4655</v>
      </c>
      <c r="X608" s="2">
        <v>0</v>
      </c>
      <c r="Y608">
        <v>20</v>
      </c>
      <c r="Z608" t="s">
        <v>4561</v>
      </c>
      <c r="AA608" s="3">
        <v>0.13999082148075101</v>
      </c>
      <c r="AB608" t="s">
        <v>8127</v>
      </c>
      <c r="AC608" t="s">
        <v>4562</v>
      </c>
      <c r="AD608" t="s">
        <v>8128</v>
      </c>
      <c r="AE608" t="s">
        <v>4655</v>
      </c>
      <c r="AF608" t="s">
        <v>3114</v>
      </c>
      <c r="AG608" t="s">
        <v>4564</v>
      </c>
      <c r="AH608">
        <v>89506</v>
      </c>
      <c r="AI608" t="s">
        <v>4655</v>
      </c>
      <c r="AJ608" t="s">
        <v>4655</v>
      </c>
      <c r="AK608" t="s">
        <v>8129</v>
      </c>
      <c r="AL608" s="13" t="s">
        <v>2255</v>
      </c>
      <c r="AM608" s="14">
        <v>1</v>
      </c>
      <c r="AN608" s="15" t="s">
        <v>159</v>
      </c>
    </row>
    <row r="609" spans="1:40" x14ac:dyDescent="0.3">
      <c r="A609" s="10" t="str">
        <f>HYPERLINK("http://www.washoecounty.gov/assessor/cama/?parid=008-304-07&amp;CardNumber=1","008-304-07")</f>
        <v>008-304-07</v>
      </c>
      <c r="B609" t="s">
        <v>4655</v>
      </c>
      <c r="C609" t="s">
        <v>8130</v>
      </c>
      <c r="D609" s="1">
        <v>40276</v>
      </c>
      <c r="E609" s="2">
        <v>82000</v>
      </c>
      <c r="F609" t="s">
        <v>4567</v>
      </c>
      <c r="G609" s="17" t="str">
        <f>HYPERLINK("https://www.washoecounty.gov/assessor/cama/?command=sales&amp;parid=00830407","3868833")</f>
        <v>3868833</v>
      </c>
      <c r="H609" t="s">
        <v>8123</v>
      </c>
      <c r="I609">
        <v>1963</v>
      </c>
      <c r="J609">
        <v>1963</v>
      </c>
      <c r="K609" t="s">
        <v>4554</v>
      </c>
      <c r="L609" t="s">
        <v>3886</v>
      </c>
      <c r="M609" s="2">
        <v>1410</v>
      </c>
      <c r="N609" t="s">
        <v>4556</v>
      </c>
      <c r="O609">
        <v>3</v>
      </c>
      <c r="P609">
        <v>2</v>
      </c>
      <c r="Q609">
        <v>0</v>
      </c>
      <c r="R609" t="s">
        <v>4557</v>
      </c>
      <c r="S609" t="s">
        <v>4574</v>
      </c>
      <c r="T609" t="s">
        <v>4559</v>
      </c>
      <c r="U609" t="s">
        <v>4560</v>
      </c>
      <c r="V609" s="2">
        <v>299</v>
      </c>
      <c r="W609" t="s">
        <v>4655</v>
      </c>
      <c r="X609" s="2">
        <v>0</v>
      </c>
      <c r="Y609">
        <v>20</v>
      </c>
      <c r="Z609" t="s">
        <v>4561</v>
      </c>
      <c r="AA609" s="3">
        <v>0.13999082148075101</v>
      </c>
      <c r="AB609" t="s">
        <v>8131</v>
      </c>
      <c r="AC609" t="s">
        <v>4562</v>
      </c>
      <c r="AD609" t="s">
        <v>8130</v>
      </c>
      <c r="AE609" t="s">
        <v>4655</v>
      </c>
      <c r="AF609" t="s">
        <v>4563</v>
      </c>
      <c r="AG609" t="s">
        <v>4564</v>
      </c>
      <c r="AH609">
        <v>89512</v>
      </c>
      <c r="AI609" t="s">
        <v>8132</v>
      </c>
      <c r="AJ609" t="s">
        <v>4655</v>
      </c>
      <c r="AK609" t="s">
        <v>8133</v>
      </c>
      <c r="AL609" s="13" t="s">
        <v>2255</v>
      </c>
      <c r="AM609">
        <v>1</v>
      </c>
      <c r="AN609" s="15" t="s">
        <v>159</v>
      </c>
    </row>
    <row r="610" spans="1:40" x14ac:dyDescent="0.3">
      <c r="A610" s="10" t="str">
        <f>HYPERLINK("http://www.washoecounty.gov/assessor/cama/?parid=008-311-17&amp;CardNumber=1","008-311-17")</f>
        <v>008-311-17</v>
      </c>
      <c r="B610" t="s">
        <v>4655</v>
      </c>
      <c r="C610" t="s">
        <v>8134</v>
      </c>
      <c r="D610" s="1">
        <v>40392</v>
      </c>
      <c r="E610" s="2">
        <v>98500</v>
      </c>
      <c r="F610" t="s">
        <v>4567</v>
      </c>
      <c r="G610" s="17" t="str">
        <f>HYPERLINK("https://www.washoecounty.gov/assessor/cama/?command=sales&amp;parid=00831117","3907665")</f>
        <v>3907665</v>
      </c>
      <c r="H610" t="s">
        <v>8135</v>
      </c>
      <c r="I610">
        <v>1964</v>
      </c>
      <c r="J610">
        <v>1964</v>
      </c>
      <c r="K610" t="s">
        <v>4554</v>
      </c>
      <c r="L610" t="s">
        <v>4555</v>
      </c>
      <c r="M610" s="2">
        <v>1180</v>
      </c>
      <c r="N610" t="s">
        <v>4556</v>
      </c>
      <c r="O610">
        <v>3</v>
      </c>
      <c r="P610">
        <v>2</v>
      </c>
      <c r="Q610">
        <v>0</v>
      </c>
      <c r="R610" t="s">
        <v>4557</v>
      </c>
      <c r="S610" t="s">
        <v>4558</v>
      </c>
      <c r="T610" t="s">
        <v>4559</v>
      </c>
      <c r="U610" t="s">
        <v>4560</v>
      </c>
      <c r="V610" s="2">
        <v>432</v>
      </c>
      <c r="W610" t="s">
        <v>4655</v>
      </c>
      <c r="X610" s="2">
        <v>0</v>
      </c>
      <c r="Y610">
        <v>20</v>
      </c>
      <c r="Z610" t="s">
        <v>4561</v>
      </c>
      <c r="AA610" s="3">
        <v>0.13999082148075101</v>
      </c>
      <c r="AB610" t="s">
        <v>8136</v>
      </c>
      <c r="AC610" t="s">
        <v>4575</v>
      </c>
      <c r="AD610" t="s">
        <v>8137</v>
      </c>
      <c r="AE610" t="s">
        <v>8134</v>
      </c>
      <c r="AF610" t="s">
        <v>4563</v>
      </c>
      <c r="AG610" t="s">
        <v>4564</v>
      </c>
      <c r="AH610">
        <v>89512</v>
      </c>
      <c r="AI610" t="s">
        <v>8136</v>
      </c>
      <c r="AJ610" t="s">
        <v>4655</v>
      </c>
      <c r="AK610" t="s">
        <v>8138</v>
      </c>
      <c r="AL610" s="13" t="s">
        <v>2255</v>
      </c>
      <c r="AM610" s="14">
        <v>1</v>
      </c>
      <c r="AN610" s="15" t="s">
        <v>159</v>
      </c>
    </row>
    <row r="611" spans="1:40" x14ac:dyDescent="0.3">
      <c r="A611" s="10" t="str">
        <f>HYPERLINK("http://www.washoecounty.gov/assessor/cama/?parid=008-311-17&amp;CardNumber=1","008-311-17")</f>
        <v>008-311-17</v>
      </c>
      <c r="B611" t="s">
        <v>4655</v>
      </c>
      <c r="C611" t="s">
        <v>8134</v>
      </c>
      <c r="D611" s="1">
        <v>40274</v>
      </c>
      <c r="E611" s="2">
        <v>50100</v>
      </c>
      <c r="F611" t="s">
        <v>4553</v>
      </c>
      <c r="G611" s="17" t="str">
        <f>HYPERLINK("https://www.washoecounty.gov/assessor/cama/?command=sales&amp;parid=00831117","3868118")</f>
        <v>3868118</v>
      </c>
      <c r="H611" t="s">
        <v>8135</v>
      </c>
      <c r="I611">
        <v>1964</v>
      </c>
      <c r="J611">
        <v>1964</v>
      </c>
      <c r="K611" t="s">
        <v>4554</v>
      </c>
      <c r="L611" t="s">
        <v>4555</v>
      </c>
      <c r="M611" s="2">
        <v>1180</v>
      </c>
      <c r="N611" t="s">
        <v>4556</v>
      </c>
      <c r="O611">
        <v>3</v>
      </c>
      <c r="P611">
        <v>2</v>
      </c>
      <c r="Q611">
        <v>0</v>
      </c>
      <c r="R611" t="s">
        <v>4557</v>
      </c>
      <c r="S611" t="s">
        <v>4558</v>
      </c>
      <c r="T611" t="s">
        <v>4559</v>
      </c>
      <c r="U611" t="s">
        <v>4560</v>
      </c>
      <c r="V611" s="2">
        <v>432</v>
      </c>
      <c r="W611" t="s">
        <v>4655</v>
      </c>
      <c r="X611" s="2">
        <v>0</v>
      </c>
      <c r="Y611">
        <v>20</v>
      </c>
      <c r="Z611" t="s">
        <v>4561</v>
      </c>
      <c r="AA611" s="3">
        <v>0.13999082148075101</v>
      </c>
      <c r="AB611" t="s">
        <v>8136</v>
      </c>
      <c r="AC611" t="s">
        <v>4575</v>
      </c>
      <c r="AD611" t="s">
        <v>8137</v>
      </c>
      <c r="AE611" t="s">
        <v>8134</v>
      </c>
      <c r="AF611" t="s">
        <v>4563</v>
      </c>
      <c r="AG611" t="s">
        <v>4564</v>
      </c>
      <c r="AH611">
        <v>89512</v>
      </c>
      <c r="AI611" t="s">
        <v>8136</v>
      </c>
      <c r="AJ611" t="s">
        <v>4655</v>
      </c>
      <c r="AK611" t="s">
        <v>8138</v>
      </c>
      <c r="AL611" s="13" t="s">
        <v>2255</v>
      </c>
      <c r="AM611">
        <v>1</v>
      </c>
      <c r="AN611" s="15" t="s">
        <v>159</v>
      </c>
    </row>
    <row r="612" spans="1:40" x14ac:dyDescent="0.3">
      <c r="A612" s="10" t="str">
        <f>HYPERLINK("http://www.washoecounty.gov/assessor/cama/?parid=008-313-11&amp;CardNumber=1","008-313-11")</f>
        <v>008-313-11</v>
      </c>
      <c r="B612" t="s">
        <v>4655</v>
      </c>
      <c r="C612" t="s">
        <v>8139</v>
      </c>
      <c r="D612" s="1">
        <v>40365</v>
      </c>
      <c r="E612" s="2">
        <v>62000</v>
      </c>
      <c r="F612" t="s">
        <v>4553</v>
      </c>
      <c r="G612" s="17" t="str">
        <f>HYPERLINK("https://www.washoecounty.gov/assessor/cama/?command=sales&amp;parid=00831311","3898659")</f>
        <v>3898659</v>
      </c>
      <c r="H612" t="s">
        <v>8135</v>
      </c>
      <c r="I612">
        <v>2006</v>
      </c>
      <c r="J612">
        <v>2006</v>
      </c>
      <c r="K612" t="s">
        <v>4847</v>
      </c>
      <c r="L612" t="s">
        <v>4555</v>
      </c>
      <c r="M612" s="2">
        <v>1188</v>
      </c>
      <c r="N612" t="s">
        <v>4048</v>
      </c>
      <c r="O612">
        <v>3</v>
      </c>
      <c r="P612">
        <v>2</v>
      </c>
      <c r="Q612">
        <v>0</v>
      </c>
      <c r="R612" t="s">
        <v>4557</v>
      </c>
      <c r="S612" t="s">
        <v>4558</v>
      </c>
      <c r="T612" t="s">
        <v>4559</v>
      </c>
      <c r="U612" t="s">
        <v>4655</v>
      </c>
      <c r="V612" s="2">
        <v>0</v>
      </c>
      <c r="W612" t="s">
        <v>4655</v>
      </c>
      <c r="X612" s="2">
        <v>0</v>
      </c>
      <c r="Y612">
        <v>22</v>
      </c>
      <c r="Z612" t="s">
        <v>4561</v>
      </c>
      <c r="AA612" s="3">
        <v>0.10599173605442</v>
      </c>
      <c r="AB612" t="s">
        <v>8140</v>
      </c>
      <c r="AC612" t="s">
        <v>4562</v>
      </c>
      <c r="AD612" t="s">
        <v>8139</v>
      </c>
      <c r="AE612" t="s">
        <v>4655</v>
      </c>
      <c r="AF612" t="s">
        <v>4563</v>
      </c>
      <c r="AG612" t="s">
        <v>4564</v>
      </c>
      <c r="AH612">
        <v>89512</v>
      </c>
      <c r="AI612" t="s">
        <v>4655</v>
      </c>
      <c r="AJ612" t="s">
        <v>4655</v>
      </c>
      <c r="AK612" t="s">
        <v>8141</v>
      </c>
      <c r="AL612" s="13" t="s">
        <v>2255</v>
      </c>
      <c r="AM612" s="14">
        <v>1</v>
      </c>
      <c r="AN612" s="15" t="s">
        <v>159</v>
      </c>
    </row>
    <row r="613" spans="1:40" x14ac:dyDescent="0.3">
      <c r="A613" s="10" t="str">
        <f>HYPERLINK("http://www.washoecounty.gov/assessor/cama/?parid=008-343-01&amp;CardNumber=1","008-343-01")</f>
        <v>008-343-01</v>
      </c>
      <c r="B613" t="s">
        <v>4655</v>
      </c>
      <c r="C613" t="s">
        <v>8142</v>
      </c>
      <c r="D613" s="1">
        <v>40514</v>
      </c>
      <c r="E613" s="2">
        <v>500000</v>
      </c>
      <c r="F613" t="s">
        <v>3259</v>
      </c>
      <c r="G613" s="17" t="str">
        <f>HYPERLINK("https://www.washoecounty.gov/assessor/cama/?command=sales&amp;parid=00834301","3948872")</f>
        <v>3948872</v>
      </c>
      <c r="H613" t="s">
        <v>8143</v>
      </c>
      <c r="I613">
        <v>1944</v>
      </c>
      <c r="J613">
        <v>1945</v>
      </c>
      <c r="K613" t="s">
        <v>1375</v>
      </c>
      <c r="L613" t="s">
        <v>1366</v>
      </c>
      <c r="M613" s="2">
        <v>6591</v>
      </c>
      <c r="N613" t="s">
        <v>1367</v>
      </c>
      <c r="O613">
        <v>0</v>
      </c>
      <c r="P613">
        <v>0</v>
      </c>
      <c r="Q613">
        <v>0</v>
      </c>
      <c r="R613" t="s">
        <v>1368</v>
      </c>
      <c r="S613" t="s">
        <v>4932</v>
      </c>
      <c r="T613" t="s">
        <v>4655</v>
      </c>
      <c r="U613" t="s">
        <v>4655</v>
      </c>
      <c r="V613" s="2">
        <v>0</v>
      </c>
      <c r="W613" t="s">
        <v>4655</v>
      </c>
      <c r="X613" s="2">
        <v>0</v>
      </c>
      <c r="Y613">
        <v>50</v>
      </c>
      <c r="Z613" t="s">
        <v>2247</v>
      </c>
      <c r="AA613" s="3">
        <v>0.31685033440589899</v>
      </c>
      <c r="AB613" t="s">
        <v>8144</v>
      </c>
      <c r="AC613" t="s">
        <v>4562</v>
      </c>
      <c r="AD613" t="s">
        <v>8145</v>
      </c>
      <c r="AE613" t="s">
        <v>4655</v>
      </c>
      <c r="AF613" t="s">
        <v>5151</v>
      </c>
      <c r="AG613" t="s">
        <v>4564</v>
      </c>
      <c r="AH613">
        <v>89701</v>
      </c>
      <c r="AI613" t="s">
        <v>8146</v>
      </c>
      <c r="AJ613" t="s">
        <v>4655</v>
      </c>
      <c r="AK613" t="s">
        <v>8147</v>
      </c>
      <c r="AL613" s="13" t="s">
        <v>2256</v>
      </c>
      <c r="AM613">
        <v>1</v>
      </c>
      <c r="AN613" s="15" t="s">
        <v>1227</v>
      </c>
    </row>
    <row r="614" spans="1:40" x14ac:dyDescent="0.3">
      <c r="A614" s="10" t="str">
        <f>HYPERLINK("http://www.washoecounty.gov/assessor/cama/?parid=008-401-05&amp;CardNumber=1","008-401-05")</f>
        <v>008-401-05</v>
      </c>
      <c r="B614" t="s">
        <v>4655</v>
      </c>
      <c r="C614" t="s">
        <v>8148</v>
      </c>
      <c r="D614" s="1">
        <v>40345</v>
      </c>
      <c r="E614" s="2">
        <v>75000</v>
      </c>
      <c r="F614" t="s">
        <v>4553</v>
      </c>
      <c r="G614" s="17" t="str">
        <f>HYPERLINK("https://www.washoecounty.gov/assessor/cama/?command=sales&amp;parid=00840105","3892294")</f>
        <v>3892294</v>
      </c>
      <c r="H614" t="s">
        <v>1848</v>
      </c>
      <c r="I614">
        <v>1980</v>
      </c>
      <c r="J614">
        <v>1980</v>
      </c>
      <c r="K614" t="s">
        <v>4897</v>
      </c>
      <c r="L614" t="s">
        <v>4555</v>
      </c>
      <c r="M614" s="2">
        <v>1056</v>
      </c>
      <c r="N614" t="s">
        <v>4556</v>
      </c>
      <c r="O614">
        <v>3</v>
      </c>
      <c r="P614">
        <v>2</v>
      </c>
      <c r="Q614">
        <v>0</v>
      </c>
      <c r="R614" t="s">
        <v>4557</v>
      </c>
      <c r="S614" t="s">
        <v>4558</v>
      </c>
      <c r="T614" t="s">
        <v>4559</v>
      </c>
      <c r="U614" t="s">
        <v>4560</v>
      </c>
      <c r="V614" s="2">
        <v>380</v>
      </c>
      <c r="W614" t="s">
        <v>4655</v>
      </c>
      <c r="X614" s="2">
        <v>0</v>
      </c>
      <c r="Y614">
        <v>20</v>
      </c>
      <c r="Z614" t="s">
        <v>4144</v>
      </c>
      <c r="AA614" s="3">
        <v>9.6992656588554396E-2</v>
      </c>
      <c r="AB614" t="s">
        <v>8149</v>
      </c>
      <c r="AC614" t="s">
        <v>4562</v>
      </c>
      <c r="AD614" t="s">
        <v>8150</v>
      </c>
      <c r="AE614" t="s">
        <v>4655</v>
      </c>
      <c r="AF614" t="s">
        <v>4563</v>
      </c>
      <c r="AG614" t="s">
        <v>4564</v>
      </c>
      <c r="AH614">
        <v>89512</v>
      </c>
      <c r="AI614" t="s">
        <v>4655</v>
      </c>
      <c r="AJ614" t="s">
        <v>4655</v>
      </c>
      <c r="AK614" t="s">
        <v>8151</v>
      </c>
      <c r="AL614" s="13" t="s">
        <v>2255</v>
      </c>
      <c r="AM614">
        <v>1</v>
      </c>
      <c r="AN614" s="15" t="s">
        <v>4136</v>
      </c>
    </row>
    <row r="615" spans="1:40" x14ac:dyDescent="0.3">
      <c r="A615" s="10" t="str">
        <f>HYPERLINK("http://www.washoecounty.gov/assessor/cama/?parid=008-402-12&amp;CardNumber=1","008-402-12")</f>
        <v>008-402-12</v>
      </c>
      <c r="B615" t="s">
        <v>4655</v>
      </c>
      <c r="C615" t="s">
        <v>8152</v>
      </c>
      <c r="D615" s="1">
        <v>40416</v>
      </c>
      <c r="E615" s="2">
        <v>42000</v>
      </c>
      <c r="F615" t="s">
        <v>4553</v>
      </c>
      <c r="G615" s="17" t="str">
        <f>HYPERLINK("https://www.washoecounty.gov/assessor/cama/?command=sales&amp;parid=00840212","3915770")</f>
        <v>3915770</v>
      </c>
      <c r="H615" t="s">
        <v>1848</v>
      </c>
      <c r="I615">
        <v>1980</v>
      </c>
      <c r="J615">
        <v>1980</v>
      </c>
      <c r="K615" t="s">
        <v>4897</v>
      </c>
      <c r="L615" t="s">
        <v>4555</v>
      </c>
      <c r="M615" s="2">
        <v>1056</v>
      </c>
      <c r="N615" t="s">
        <v>4556</v>
      </c>
      <c r="O615">
        <v>3</v>
      </c>
      <c r="P615">
        <v>2</v>
      </c>
      <c r="Q615">
        <v>0</v>
      </c>
      <c r="R615" t="s">
        <v>4557</v>
      </c>
      <c r="S615" t="s">
        <v>4558</v>
      </c>
      <c r="T615" t="s">
        <v>4559</v>
      </c>
      <c r="U615" t="s">
        <v>4560</v>
      </c>
      <c r="V615" s="2">
        <v>380</v>
      </c>
      <c r="W615" t="s">
        <v>4655</v>
      </c>
      <c r="X615" s="2">
        <v>0</v>
      </c>
      <c r="Y615">
        <v>20</v>
      </c>
      <c r="Z615" t="s">
        <v>4144</v>
      </c>
      <c r="AA615" s="3">
        <v>0.11000918596983</v>
      </c>
      <c r="AB615" t="s">
        <v>8153</v>
      </c>
      <c r="AC615" t="s">
        <v>4562</v>
      </c>
      <c r="AD615" t="s">
        <v>8152</v>
      </c>
      <c r="AE615" t="s">
        <v>4655</v>
      </c>
      <c r="AF615" t="s">
        <v>4563</v>
      </c>
      <c r="AG615" t="s">
        <v>4564</v>
      </c>
      <c r="AH615">
        <v>89512</v>
      </c>
      <c r="AI615" t="s">
        <v>2351</v>
      </c>
      <c r="AJ615" t="s">
        <v>4655</v>
      </c>
      <c r="AK615" t="s">
        <v>8154</v>
      </c>
      <c r="AL615" s="13" t="s">
        <v>2255</v>
      </c>
      <c r="AM615" s="14">
        <v>1</v>
      </c>
      <c r="AN615" s="15" t="s">
        <v>4136</v>
      </c>
    </row>
    <row r="616" spans="1:40" x14ac:dyDescent="0.3">
      <c r="A616" s="10" t="str">
        <f>HYPERLINK("http://www.washoecounty.gov/assessor/cama/?parid=008-412-06&amp;CardNumber=1","008-412-06")</f>
        <v>008-412-06</v>
      </c>
      <c r="B616" t="s">
        <v>4655</v>
      </c>
      <c r="C616" t="s">
        <v>8155</v>
      </c>
      <c r="D616" s="1">
        <v>40263</v>
      </c>
      <c r="E616" s="2">
        <v>68000</v>
      </c>
      <c r="F616" t="s">
        <v>4567</v>
      </c>
      <c r="G616" s="17" t="str">
        <f>HYPERLINK("https://www.washoecounty.gov/assessor/cama/?command=sales&amp;parid=00841206","3864566")</f>
        <v>3864566</v>
      </c>
      <c r="H616" t="s">
        <v>1848</v>
      </c>
      <c r="I616">
        <v>1980</v>
      </c>
      <c r="J616">
        <v>1980</v>
      </c>
      <c r="K616" t="s">
        <v>4897</v>
      </c>
      <c r="L616" t="s">
        <v>4555</v>
      </c>
      <c r="M616" s="2">
        <v>1056</v>
      </c>
      <c r="N616" t="s">
        <v>4556</v>
      </c>
      <c r="O616">
        <v>3</v>
      </c>
      <c r="P616">
        <v>2</v>
      </c>
      <c r="Q616">
        <v>0</v>
      </c>
      <c r="R616" t="s">
        <v>4557</v>
      </c>
      <c r="S616" t="s">
        <v>4558</v>
      </c>
      <c r="T616" t="s">
        <v>4559</v>
      </c>
      <c r="U616" t="s">
        <v>4560</v>
      </c>
      <c r="V616" s="2">
        <v>380</v>
      </c>
      <c r="W616" t="s">
        <v>4655</v>
      </c>
      <c r="X616" s="2">
        <v>0</v>
      </c>
      <c r="Y616">
        <v>20</v>
      </c>
      <c r="Z616" t="s">
        <v>4144</v>
      </c>
      <c r="AA616" s="3">
        <v>8.0991737544536604E-2</v>
      </c>
      <c r="AB616" t="s">
        <v>8156</v>
      </c>
      <c r="AC616" t="s">
        <v>4562</v>
      </c>
      <c r="AD616" t="s">
        <v>8155</v>
      </c>
      <c r="AE616" t="s">
        <v>4655</v>
      </c>
      <c r="AF616" t="s">
        <v>4563</v>
      </c>
      <c r="AG616" t="s">
        <v>4564</v>
      </c>
      <c r="AH616">
        <v>89512</v>
      </c>
      <c r="AI616" t="s">
        <v>8157</v>
      </c>
      <c r="AJ616" t="s">
        <v>4655</v>
      </c>
      <c r="AK616" t="s">
        <v>8158</v>
      </c>
      <c r="AL616" s="13" t="s">
        <v>2255</v>
      </c>
      <c r="AM616" s="14">
        <v>1</v>
      </c>
      <c r="AN616" s="15" t="s">
        <v>4136</v>
      </c>
    </row>
    <row r="617" spans="1:40" x14ac:dyDescent="0.3">
      <c r="A617" s="10" t="str">
        <f>HYPERLINK("http://www.washoecounty.gov/assessor/cama/?parid=008-412-12&amp;CardNumber=1","008-412-12")</f>
        <v>008-412-12</v>
      </c>
      <c r="B617" t="s">
        <v>4655</v>
      </c>
      <c r="C617" t="s">
        <v>8159</v>
      </c>
      <c r="D617" s="1">
        <v>40505</v>
      </c>
      <c r="E617" s="2">
        <v>45000</v>
      </c>
      <c r="F617" t="s">
        <v>4553</v>
      </c>
      <c r="G617" s="17" t="str">
        <f>HYPERLINK("https://www.washoecounty.gov/assessor/cama/?command=sales&amp;parid=00841212","3946224")</f>
        <v>3946224</v>
      </c>
      <c r="H617" t="s">
        <v>8160</v>
      </c>
      <c r="I617">
        <v>1980</v>
      </c>
      <c r="J617">
        <v>1980</v>
      </c>
      <c r="K617" t="s">
        <v>4897</v>
      </c>
      <c r="L617" t="s">
        <v>4555</v>
      </c>
      <c r="M617" s="2">
        <v>1056</v>
      </c>
      <c r="N617" t="s">
        <v>4556</v>
      </c>
      <c r="O617">
        <v>3</v>
      </c>
      <c r="P617">
        <v>2</v>
      </c>
      <c r="Q617">
        <v>0</v>
      </c>
      <c r="R617" t="s">
        <v>4557</v>
      </c>
      <c r="S617" t="s">
        <v>4558</v>
      </c>
      <c r="T617" t="s">
        <v>4559</v>
      </c>
      <c r="U617" t="s">
        <v>4560</v>
      </c>
      <c r="V617" s="2">
        <v>380</v>
      </c>
      <c r="W617" t="s">
        <v>4655</v>
      </c>
      <c r="X617" s="2">
        <v>0</v>
      </c>
      <c r="Y617">
        <v>20</v>
      </c>
      <c r="Z617" t="s">
        <v>4144</v>
      </c>
      <c r="AA617" s="3">
        <v>9.1000914573669406E-2</v>
      </c>
      <c r="AB617" t="s">
        <v>8161</v>
      </c>
      <c r="AC617" t="s">
        <v>4575</v>
      </c>
      <c r="AD617" t="s">
        <v>8162</v>
      </c>
      <c r="AE617" t="s">
        <v>4655</v>
      </c>
      <c r="AF617" t="s">
        <v>4563</v>
      </c>
      <c r="AG617" t="s">
        <v>4564</v>
      </c>
      <c r="AH617">
        <v>89511</v>
      </c>
      <c r="AI617" t="s">
        <v>4565</v>
      </c>
      <c r="AJ617" t="s">
        <v>4655</v>
      </c>
      <c r="AK617" t="s">
        <v>8163</v>
      </c>
      <c r="AL617" s="13" t="s">
        <v>2255</v>
      </c>
      <c r="AM617">
        <v>1</v>
      </c>
      <c r="AN617" s="15" t="s">
        <v>4136</v>
      </c>
    </row>
    <row r="618" spans="1:40" x14ac:dyDescent="0.3">
      <c r="A618" s="10" t="str">
        <f>HYPERLINK("http://www.washoecounty.gov/assessor/cama/?parid=008-420-12&amp;CardNumber=1","008-420-12")</f>
        <v>008-420-12</v>
      </c>
      <c r="B618" t="s">
        <v>4655</v>
      </c>
      <c r="C618" t="s">
        <v>4073</v>
      </c>
      <c r="D618" s="1">
        <v>40479</v>
      </c>
      <c r="E618" s="2">
        <v>20000</v>
      </c>
      <c r="F618" t="s">
        <v>4553</v>
      </c>
      <c r="G618" s="17" t="str">
        <f>HYPERLINK("https://www.washoecounty.gov/assessor/cama/?command=sales&amp;parid=00842012","3937469")</f>
        <v>3937469</v>
      </c>
      <c r="H618" t="s">
        <v>497</v>
      </c>
      <c r="I618">
        <v>1982</v>
      </c>
      <c r="J618">
        <v>1982</v>
      </c>
      <c r="K618" t="s">
        <v>3144</v>
      </c>
      <c r="L618" t="s">
        <v>3974</v>
      </c>
      <c r="M618" s="2">
        <v>832</v>
      </c>
      <c r="N618" t="s">
        <v>4556</v>
      </c>
      <c r="O618">
        <v>2</v>
      </c>
      <c r="P618">
        <v>1</v>
      </c>
      <c r="Q618">
        <v>0</v>
      </c>
      <c r="R618" t="s">
        <v>4557</v>
      </c>
      <c r="S618" t="s">
        <v>4574</v>
      </c>
      <c r="T618" t="s">
        <v>4559</v>
      </c>
      <c r="U618" t="s">
        <v>4655</v>
      </c>
      <c r="V618" s="2">
        <v>0</v>
      </c>
      <c r="W618" t="s">
        <v>4655</v>
      </c>
      <c r="X618" s="2">
        <v>0</v>
      </c>
      <c r="Y618">
        <v>21</v>
      </c>
      <c r="Z618" t="s">
        <v>2705</v>
      </c>
      <c r="AA618" s="3">
        <v>1.00000004749745E-3</v>
      </c>
      <c r="AB618" t="s">
        <v>8164</v>
      </c>
      <c r="AC618" t="s">
        <v>4562</v>
      </c>
      <c r="AD618" t="s">
        <v>8165</v>
      </c>
      <c r="AE618" t="s">
        <v>4655</v>
      </c>
      <c r="AF618" t="s">
        <v>4563</v>
      </c>
      <c r="AG618" t="s">
        <v>4564</v>
      </c>
      <c r="AH618">
        <v>89512</v>
      </c>
      <c r="AI618" t="s">
        <v>8166</v>
      </c>
      <c r="AJ618" t="s">
        <v>4655</v>
      </c>
      <c r="AK618" t="s">
        <v>8167</v>
      </c>
      <c r="AL618" s="13" t="s">
        <v>2255</v>
      </c>
      <c r="AM618">
        <v>1</v>
      </c>
      <c r="AN618" s="15" t="s">
        <v>160</v>
      </c>
    </row>
    <row r="619" spans="1:40" x14ac:dyDescent="0.3">
      <c r="A619" s="10" t="str">
        <f>HYPERLINK("http://www.washoecounty.gov/assessor/cama/?parid=008-420-13&amp;CardNumber=1","008-420-13")</f>
        <v>008-420-13</v>
      </c>
      <c r="B619" t="s">
        <v>4655</v>
      </c>
      <c r="C619" t="s">
        <v>4073</v>
      </c>
      <c r="D619" s="1">
        <v>40487</v>
      </c>
      <c r="E619" s="2">
        <v>16000</v>
      </c>
      <c r="F619" t="s">
        <v>4553</v>
      </c>
      <c r="G619" s="17" t="str">
        <f>HYPERLINK("https://www.washoecounty.gov/assessor/cama/?command=sales&amp;parid=00842013","3940291")</f>
        <v>3940291</v>
      </c>
      <c r="H619" t="s">
        <v>506</v>
      </c>
      <c r="I619">
        <v>1982</v>
      </c>
      <c r="J619">
        <v>1982</v>
      </c>
      <c r="K619" t="s">
        <v>3144</v>
      </c>
      <c r="L619" t="s">
        <v>3974</v>
      </c>
      <c r="M619" s="2">
        <v>832</v>
      </c>
      <c r="N619" t="s">
        <v>4556</v>
      </c>
      <c r="O619">
        <v>2</v>
      </c>
      <c r="P619">
        <v>1</v>
      </c>
      <c r="Q619">
        <v>0</v>
      </c>
      <c r="R619" t="s">
        <v>4557</v>
      </c>
      <c r="S619" t="s">
        <v>4574</v>
      </c>
      <c r="T619" t="s">
        <v>4559</v>
      </c>
      <c r="U619" t="s">
        <v>4655</v>
      </c>
      <c r="V619" s="2">
        <v>0</v>
      </c>
      <c r="W619" t="s">
        <v>4655</v>
      </c>
      <c r="X619" s="2">
        <v>0</v>
      </c>
      <c r="Y619">
        <v>21</v>
      </c>
      <c r="Z619" t="s">
        <v>2705</v>
      </c>
      <c r="AA619" s="3">
        <v>1.00000004749745E-3</v>
      </c>
      <c r="AB619" t="s">
        <v>8168</v>
      </c>
      <c r="AC619" t="s">
        <v>4575</v>
      </c>
      <c r="AD619" t="s">
        <v>8169</v>
      </c>
      <c r="AE619" t="s">
        <v>4655</v>
      </c>
      <c r="AF619" t="s">
        <v>4563</v>
      </c>
      <c r="AG619" t="s">
        <v>4564</v>
      </c>
      <c r="AH619">
        <v>89512</v>
      </c>
      <c r="AI619" t="s">
        <v>4655</v>
      </c>
      <c r="AJ619" t="s">
        <v>4655</v>
      </c>
      <c r="AK619" t="s">
        <v>8170</v>
      </c>
      <c r="AL619" s="13" t="s">
        <v>2255</v>
      </c>
      <c r="AM619">
        <v>1</v>
      </c>
      <c r="AN619" s="15" t="s">
        <v>160</v>
      </c>
    </row>
    <row r="620" spans="1:40" x14ac:dyDescent="0.3">
      <c r="A620" s="10" t="str">
        <f>HYPERLINK("http://www.washoecounty.gov/assessor/cama/?parid=008-420-19&amp;CardNumber=1","008-420-19")</f>
        <v>008-420-19</v>
      </c>
      <c r="B620" t="s">
        <v>4655</v>
      </c>
      <c r="C620" t="s">
        <v>3436</v>
      </c>
      <c r="D620" s="1">
        <v>40337</v>
      </c>
      <c r="E620" s="2">
        <v>23500</v>
      </c>
      <c r="F620" t="s">
        <v>4567</v>
      </c>
      <c r="G620" s="17" t="str">
        <f>HYPERLINK("https://www.washoecounty.gov/assessor/cama/?command=sales&amp;parid=00842019","3889418")</f>
        <v>3889418</v>
      </c>
      <c r="H620" t="s">
        <v>497</v>
      </c>
      <c r="I620">
        <v>1982</v>
      </c>
      <c r="J620">
        <v>1982</v>
      </c>
      <c r="K620" t="s">
        <v>3144</v>
      </c>
      <c r="L620" t="s">
        <v>4555</v>
      </c>
      <c r="M620" s="2">
        <v>832</v>
      </c>
      <c r="N620" t="s">
        <v>4556</v>
      </c>
      <c r="O620">
        <v>2</v>
      </c>
      <c r="P620">
        <v>1</v>
      </c>
      <c r="Q620">
        <v>0</v>
      </c>
      <c r="R620" t="s">
        <v>4557</v>
      </c>
      <c r="S620" t="s">
        <v>364</v>
      </c>
      <c r="T620" t="s">
        <v>4559</v>
      </c>
      <c r="U620" t="s">
        <v>4655</v>
      </c>
      <c r="V620" s="2">
        <v>0</v>
      </c>
      <c r="W620" t="s">
        <v>4655</v>
      </c>
      <c r="X620" s="2">
        <v>0</v>
      </c>
      <c r="Y620">
        <v>21</v>
      </c>
      <c r="Z620" t="s">
        <v>2705</v>
      </c>
      <c r="AA620" s="3">
        <v>1.00000004749745E-3</v>
      </c>
      <c r="AB620" t="s">
        <v>5492</v>
      </c>
      <c r="AC620" t="s">
        <v>4575</v>
      </c>
      <c r="AD620" t="s">
        <v>8171</v>
      </c>
      <c r="AE620" t="s">
        <v>3402</v>
      </c>
      <c r="AF620" t="s">
        <v>3114</v>
      </c>
      <c r="AG620" t="s">
        <v>4564</v>
      </c>
      <c r="AH620">
        <v>89511</v>
      </c>
      <c r="AI620" t="s">
        <v>8172</v>
      </c>
      <c r="AJ620" t="s">
        <v>4655</v>
      </c>
      <c r="AK620" t="s">
        <v>8173</v>
      </c>
      <c r="AL620" s="13" t="s">
        <v>2255</v>
      </c>
      <c r="AM620" s="14">
        <v>1</v>
      </c>
      <c r="AN620" s="15" t="s">
        <v>160</v>
      </c>
    </row>
    <row r="621" spans="1:40" x14ac:dyDescent="0.3">
      <c r="A621" s="10" t="str">
        <f>HYPERLINK("http://www.washoecounty.gov/assessor/cama/?parid=008-420-20&amp;CardNumber=1","008-420-20")</f>
        <v>008-420-20</v>
      </c>
      <c r="B621" t="s">
        <v>4655</v>
      </c>
      <c r="C621" t="s">
        <v>3436</v>
      </c>
      <c r="D621" s="1">
        <v>40316</v>
      </c>
      <c r="E621" s="2">
        <v>24000</v>
      </c>
      <c r="F621" t="s">
        <v>4567</v>
      </c>
      <c r="G621" s="17" t="str">
        <f>HYPERLINK("https://www.washoecounty.gov/assessor/cama/?command=sales&amp;parid=00842020","3882717")</f>
        <v>3882717</v>
      </c>
      <c r="H621" t="s">
        <v>497</v>
      </c>
      <c r="I621">
        <v>1982</v>
      </c>
      <c r="J621">
        <v>1982</v>
      </c>
      <c r="K621" t="s">
        <v>3144</v>
      </c>
      <c r="L621" t="s">
        <v>4555</v>
      </c>
      <c r="M621" s="2">
        <v>832</v>
      </c>
      <c r="N621" t="s">
        <v>4556</v>
      </c>
      <c r="O621">
        <v>2</v>
      </c>
      <c r="P621">
        <v>1</v>
      </c>
      <c r="Q621">
        <v>0</v>
      </c>
      <c r="R621" t="s">
        <v>4557</v>
      </c>
      <c r="S621" t="s">
        <v>364</v>
      </c>
      <c r="T621" t="s">
        <v>4559</v>
      </c>
      <c r="U621" t="s">
        <v>4655</v>
      </c>
      <c r="V621" s="2">
        <v>0</v>
      </c>
      <c r="W621" t="s">
        <v>4655</v>
      </c>
      <c r="X621" s="2">
        <v>0</v>
      </c>
      <c r="Y621">
        <v>21</v>
      </c>
      <c r="Z621" t="s">
        <v>2705</v>
      </c>
      <c r="AA621" s="3">
        <v>1.00000004749745E-3</v>
      </c>
      <c r="AB621" t="s">
        <v>3437</v>
      </c>
      <c r="AC621" t="s">
        <v>4562</v>
      </c>
      <c r="AD621" t="s">
        <v>3438</v>
      </c>
      <c r="AE621" t="s">
        <v>4655</v>
      </c>
      <c r="AF621" t="s">
        <v>4563</v>
      </c>
      <c r="AG621" t="s">
        <v>4564</v>
      </c>
      <c r="AH621">
        <v>89502</v>
      </c>
      <c r="AI621" t="s">
        <v>8172</v>
      </c>
      <c r="AJ621" t="s">
        <v>4655</v>
      </c>
      <c r="AK621" t="s">
        <v>8174</v>
      </c>
      <c r="AL621" s="13" t="s">
        <v>2255</v>
      </c>
      <c r="AM621">
        <v>1</v>
      </c>
      <c r="AN621" s="15" t="s">
        <v>160</v>
      </c>
    </row>
    <row r="622" spans="1:40" x14ac:dyDescent="0.3">
      <c r="A622" s="10" t="str">
        <f>HYPERLINK("http://www.washoecounty.gov/assessor/cama/?parid=008-420-35&amp;CardNumber=1","008-420-35")</f>
        <v>008-420-35</v>
      </c>
      <c r="B622" t="s">
        <v>4655</v>
      </c>
      <c r="C622" t="s">
        <v>505</v>
      </c>
      <c r="D622" s="1">
        <v>40520</v>
      </c>
      <c r="E622" s="2">
        <v>12187</v>
      </c>
      <c r="F622" t="s">
        <v>4553</v>
      </c>
      <c r="G622" s="17" t="str">
        <f>HYPERLINK("https://www.washoecounty.gov/assessor/cama/?command=sales&amp;parid=00842035","3951090")</f>
        <v>3951090</v>
      </c>
      <c r="H622" t="s">
        <v>506</v>
      </c>
      <c r="I622">
        <v>1982</v>
      </c>
      <c r="J622">
        <v>1982</v>
      </c>
      <c r="K622" t="s">
        <v>3144</v>
      </c>
      <c r="L622" t="s">
        <v>4555</v>
      </c>
      <c r="M622" s="2">
        <v>832</v>
      </c>
      <c r="N622" t="s">
        <v>4556</v>
      </c>
      <c r="O622">
        <v>2</v>
      </c>
      <c r="P622">
        <v>1</v>
      </c>
      <c r="Q622">
        <v>0</v>
      </c>
      <c r="R622" t="s">
        <v>4557</v>
      </c>
      <c r="S622" t="s">
        <v>364</v>
      </c>
      <c r="T622" t="s">
        <v>4559</v>
      </c>
      <c r="U622" t="s">
        <v>4655</v>
      </c>
      <c r="V622" s="2">
        <v>0</v>
      </c>
      <c r="W622" t="s">
        <v>4655</v>
      </c>
      <c r="X622" s="2">
        <v>0</v>
      </c>
      <c r="Y622">
        <v>21</v>
      </c>
      <c r="Z622" t="s">
        <v>2705</v>
      </c>
      <c r="AA622" s="3">
        <v>1.00000004749745E-3</v>
      </c>
      <c r="AB622" t="s">
        <v>3437</v>
      </c>
      <c r="AC622" t="s">
        <v>4562</v>
      </c>
      <c r="AD622" t="s">
        <v>3438</v>
      </c>
      <c r="AE622" t="s">
        <v>4655</v>
      </c>
      <c r="AF622" t="s">
        <v>4563</v>
      </c>
      <c r="AG622" t="s">
        <v>4564</v>
      </c>
      <c r="AH622">
        <v>89502</v>
      </c>
      <c r="AI622" t="s">
        <v>5405</v>
      </c>
      <c r="AJ622" t="s">
        <v>4655</v>
      </c>
      <c r="AK622" t="s">
        <v>5249</v>
      </c>
      <c r="AL622" s="13" t="s">
        <v>2255</v>
      </c>
      <c r="AM622" s="14">
        <v>1</v>
      </c>
      <c r="AN622" s="15" t="s">
        <v>160</v>
      </c>
    </row>
    <row r="623" spans="1:40" x14ac:dyDescent="0.3">
      <c r="A623" s="10" t="str">
        <f>HYPERLINK("http://www.washoecounty.gov/assessor/cama/?parid=008-420-40&amp;CardNumber=1","008-420-40")</f>
        <v>008-420-40</v>
      </c>
      <c r="B623" t="s">
        <v>4655</v>
      </c>
      <c r="C623" t="s">
        <v>505</v>
      </c>
      <c r="D623" s="1">
        <v>40399</v>
      </c>
      <c r="E623" s="2">
        <v>25000</v>
      </c>
      <c r="F623" t="s">
        <v>4553</v>
      </c>
      <c r="G623" s="17" t="str">
        <f>HYPERLINK("https://www.washoecounty.gov/assessor/cama/?command=sales&amp;parid=00842040","3910014")</f>
        <v>3910014</v>
      </c>
      <c r="H623" t="s">
        <v>506</v>
      </c>
      <c r="I623">
        <v>1982</v>
      </c>
      <c r="J623">
        <v>1982</v>
      </c>
      <c r="K623" t="s">
        <v>3144</v>
      </c>
      <c r="L623" t="s">
        <v>3974</v>
      </c>
      <c r="M623" s="2">
        <v>832</v>
      </c>
      <c r="N623" t="s">
        <v>4556</v>
      </c>
      <c r="O623">
        <v>2</v>
      </c>
      <c r="P623">
        <v>1</v>
      </c>
      <c r="Q623">
        <v>0</v>
      </c>
      <c r="R623" t="s">
        <v>4557</v>
      </c>
      <c r="S623" t="s">
        <v>3148</v>
      </c>
      <c r="T623" t="s">
        <v>4559</v>
      </c>
      <c r="U623" t="s">
        <v>4655</v>
      </c>
      <c r="V623" s="2">
        <v>0</v>
      </c>
      <c r="W623" t="s">
        <v>4655</v>
      </c>
      <c r="X623" s="2">
        <v>0</v>
      </c>
      <c r="Y623">
        <v>21</v>
      </c>
      <c r="Z623" t="s">
        <v>2705</v>
      </c>
      <c r="AA623" s="3">
        <v>1.00000004749745E-3</v>
      </c>
      <c r="AB623" t="s">
        <v>8175</v>
      </c>
      <c r="AC623" t="s">
        <v>4562</v>
      </c>
      <c r="AD623" t="s">
        <v>8176</v>
      </c>
      <c r="AE623" t="s">
        <v>4655</v>
      </c>
      <c r="AF623" t="s">
        <v>4563</v>
      </c>
      <c r="AG623" t="s">
        <v>4564</v>
      </c>
      <c r="AH623">
        <v>89506</v>
      </c>
      <c r="AI623" t="s">
        <v>4565</v>
      </c>
      <c r="AJ623" t="s">
        <v>4655</v>
      </c>
      <c r="AK623" t="s">
        <v>8177</v>
      </c>
      <c r="AL623" s="13" t="s">
        <v>2255</v>
      </c>
      <c r="AM623" s="14">
        <v>1</v>
      </c>
      <c r="AN623" s="15" t="s">
        <v>160</v>
      </c>
    </row>
    <row r="624" spans="1:40" x14ac:dyDescent="0.3">
      <c r="A624" s="10" t="str">
        <f>HYPERLINK("http://www.washoecounty.gov/assessor/cama/?parid=008-420-49&amp;CardNumber=1","008-420-49")</f>
        <v>008-420-49</v>
      </c>
      <c r="B624" t="s">
        <v>4655</v>
      </c>
      <c r="C624" t="s">
        <v>496</v>
      </c>
      <c r="D624" s="1">
        <v>40234</v>
      </c>
      <c r="E624" s="2">
        <v>25000</v>
      </c>
      <c r="F624" t="s">
        <v>4567</v>
      </c>
      <c r="G624" s="17" t="str">
        <f>HYPERLINK("https://www.washoecounty.gov/assessor/cama/?command=sales&amp;parid=00842049","3852728")</f>
        <v>3852728</v>
      </c>
      <c r="H624" t="s">
        <v>497</v>
      </c>
      <c r="I624">
        <v>1982</v>
      </c>
      <c r="J624">
        <v>1982</v>
      </c>
      <c r="K624" t="s">
        <v>3144</v>
      </c>
      <c r="L624" t="s">
        <v>3974</v>
      </c>
      <c r="M624" s="2">
        <v>832</v>
      </c>
      <c r="N624" t="s">
        <v>4556</v>
      </c>
      <c r="O624">
        <v>2</v>
      </c>
      <c r="P624">
        <v>1</v>
      </c>
      <c r="Q624">
        <v>0</v>
      </c>
      <c r="R624" t="s">
        <v>4557</v>
      </c>
      <c r="S624" t="s">
        <v>3148</v>
      </c>
      <c r="T624" t="s">
        <v>4559</v>
      </c>
      <c r="U624" t="s">
        <v>4655</v>
      </c>
      <c r="V624" s="2">
        <v>0</v>
      </c>
      <c r="W624" t="s">
        <v>4655</v>
      </c>
      <c r="X624" s="2">
        <v>0</v>
      </c>
      <c r="Y624">
        <v>21</v>
      </c>
      <c r="Z624" t="s">
        <v>2705</v>
      </c>
      <c r="AA624" s="3">
        <v>1.00000004749745E-3</v>
      </c>
      <c r="AB624" t="s">
        <v>8178</v>
      </c>
      <c r="AC624" t="s">
        <v>4562</v>
      </c>
      <c r="AD624" t="s">
        <v>8179</v>
      </c>
      <c r="AE624" t="s">
        <v>4655</v>
      </c>
      <c r="AF624" t="s">
        <v>4563</v>
      </c>
      <c r="AG624" t="s">
        <v>4564</v>
      </c>
      <c r="AH624" t="s">
        <v>2330</v>
      </c>
      <c r="AI624" t="s">
        <v>8180</v>
      </c>
      <c r="AJ624" t="s">
        <v>4655</v>
      </c>
      <c r="AK624" t="s">
        <v>8181</v>
      </c>
      <c r="AL624" s="13" t="s">
        <v>2255</v>
      </c>
      <c r="AM624">
        <v>1</v>
      </c>
      <c r="AN624" s="15" t="s">
        <v>160</v>
      </c>
    </row>
    <row r="625" spans="1:40" x14ac:dyDescent="0.3">
      <c r="A625" s="10" t="str">
        <f>HYPERLINK("http://www.washoecounty.gov/assessor/cama/?parid=008-434-08&amp;CardNumber=1","008-434-08")</f>
        <v>008-434-08</v>
      </c>
      <c r="B625" t="s">
        <v>4655</v>
      </c>
      <c r="C625" t="s">
        <v>8182</v>
      </c>
      <c r="D625" s="1">
        <v>40205</v>
      </c>
      <c r="E625" s="2">
        <v>32000</v>
      </c>
      <c r="F625" t="s">
        <v>4553</v>
      </c>
      <c r="G625" s="17" t="str">
        <f>HYPERLINK("https://www.washoecounty.gov/assessor/cama/?command=sales&amp;parid=00843408","3843282")</f>
        <v>3843282</v>
      </c>
      <c r="H625" t="s">
        <v>226</v>
      </c>
      <c r="I625">
        <v>1985</v>
      </c>
      <c r="J625">
        <v>1985</v>
      </c>
      <c r="K625" t="s">
        <v>3144</v>
      </c>
      <c r="L625" t="s">
        <v>3974</v>
      </c>
      <c r="M625" s="2">
        <v>992</v>
      </c>
      <c r="N625" t="s">
        <v>4556</v>
      </c>
      <c r="O625">
        <v>2</v>
      </c>
      <c r="P625">
        <v>2</v>
      </c>
      <c r="Q625">
        <v>1</v>
      </c>
      <c r="R625" t="s">
        <v>4557</v>
      </c>
      <c r="S625" t="s">
        <v>4558</v>
      </c>
      <c r="T625" t="s">
        <v>4559</v>
      </c>
      <c r="U625" t="s">
        <v>4655</v>
      </c>
      <c r="V625" s="2">
        <v>0</v>
      </c>
      <c r="W625" t="s">
        <v>3149</v>
      </c>
      <c r="X625" s="2">
        <v>480</v>
      </c>
      <c r="Y625">
        <v>21</v>
      </c>
      <c r="Z625" t="s">
        <v>2705</v>
      </c>
      <c r="AA625" s="3">
        <v>1.00000004749745E-3</v>
      </c>
      <c r="AB625" t="s">
        <v>5491</v>
      </c>
      <c r="AC625" t="s">
        <v>4575</v>
      </c>
      <c r="AD625" t="s">
        <v>8183</v>
      </c>
      <c r="AE625" t="s">
        <v>8184</v>
      </c>
      <c r="AF625" t="s">
        <v>4563</v>
      </c>
      <c r="AG625" t="s">
        <v>4564</v>
      </c>
      <c r="AH625">
        <v>89509</v>
      </c>
      <c r="AI625" t="s">
        <v>2351</v>
      </c>
      <c r="AJ625" t="s">
        <v>4655</v>
      </c>
      <c r="AK625" t="s">
        <v>8185</v>
      </c>
      <c r="AL625" s="13" t="s">
        <v>2255</v>
      </c>
      <c r="AM625">
        <v>1</v>
      </c>
      <c r="AN625" s="15" t="s">
        <v>160</v>
      </c>
    </row>
    <row r="626" spans="1:40" x14ac:dyDescent="0.3">
      <c r="A626" s="10" t="str">
        <f>HYPERLINK("http://www.washoecounty.gov/assessor/cama/?parid=008-434-13&amp;CardNumber=1","008-434-13")</f>
        <v>008-434-13</v>
      </c>
      <c r="B626" t="s">
        <v>4655</v>
      </c>
      <c r="C626" t="s">
        <v>8186</v>
      </c>
      <c r="D626" s="1">
        <v>40501</v>
      </c>
      <c r="E626" s="2">
        <v>26500</v>
      </c>
      <c r="F626" t="s">
        <v>4553</v>
      </c>
      <c r="G626" s="17" t="str">
        <f>HYPERLINK("https://www.washoecounty.gov/assessor/cama/?command=sales&amp;parid=00843413","3944954")</f>
        <v>3944954</v>
      </c>
      <c r="H626" t="s">
        <v>226</v>
      </c>
      <c r="I626">
        <v>1985</v>
      </c>
      <c r="J626">
        <v>1985</v>
      </c>
      <c r="K626" t="s">
        <v>4897</v>
      </c>
      <c r="L626" t="s">
        <v>3974</v>
      </c>
      <c r="M626" s="2">
        <v>992</v>
      </c>
      <c r="N626" t="s">
        <v>4556</v>
      </c>
      <c r="O626">
        <v>2</v>
      </c>
      <c r="P626">
        <v>2</v>
      </c>
      <c r="Q626">
        <v>1</v>
      </c>
      <c r="R626" t="s">
        <v>4557</v>
      </c>
      <c r="S626" t="s">
        <v>4558</v>
      </c>
      <c r="T626" t="s">
        <v>4559</v>
      </c>
      <c r="U626" t="s">
        <v>4655</v>
      </c>
      <c r="V626" s="2">
        <v>0</v>
      </c>
      <c r="W626" t="s">
        <v>3149</v>
      </c>
      <c r="X626" s="2">
        <v>480</v>
      </c>
      <c r="Y626">
        <v>21</v>
      </c>
      <c r="Z626" t="s">
        <v>2705</v>
      </c>
      <c r="AA626" s="3">
        <v>1.00000004749745E-3</v>
      </c>
      <c r="AB626" t="s">
        <v>1625</v>
      </c>
      <c r="AC626" t="s">
        <v>4575</v>
      </c>
      <c r="AD626" t="s">
        <v>251</v>
      </c>
      <c r="AE626" t="s">
        <v>4655</v>
      </c>
      <c r="AF626" t="s">
        <v>4563</v>
      </c>
      <c r="AG626" t="s">
        <v>4564</v>
      </c>
      <c r="AH626">
        <v>89501</v>
      </c>
      <c r="AI626" t="s">
        <v>4903</v>
      </c>
      <c r="AJ626" t="s">
        <v>4655</v>
      </c>
      <c r="AK626" t="s">
        <v>8187</v>
      </c>
      <c r="AL626" s="13" t="s">
        <v>2255</v>
      </c>
      <c r="AM626">
        <v>1</v>
      </c>
      <c r="AN626" s="15" t="s">
        <v>160</v>
      </c>
    </row>
    <row r="627" spans="1:40" x14ac:dyDescent="0.3">
      <c r="A627" s="10" t="str">
        <f>HYPERLINK("http://www.washoecounty.gov/assessor/cama/?parid=008-434-49&amp;CardNumber=1","008-434-49")</f>
        <v>008-434-49</v>
      </c>
      <c r="B627" t="s">
        <v>4655</v>
      </c>
      <c r="C627" t="s">
        <v>3417</v>
      </c>
      <c r="D627" s="1">
        <v>40407</v>
      </c>
      <c r="E627" s="2">
        <v>29501</v>
      </c>
      <c r="F627" t="s">
        <v>4553</v>
      </c>
      <c r="G627" s="17" t="str">
        <f>HYPERLINK("https://www.washoecounty.gov/assessor/cama/?command=sales&amp;parid=00843449","3912599")</f>
        <v>3912599</v>
      </c>
      <c r="H627" t="s">
        <v>226</v>
      </c>
      <c r="I627">
        <v>1986</v>
      </c>
      <c r="J627">
        <v>1986</v>
      </c>
      <c r="K627" t="s">
        <v>4897</v>
      </c>
      <c r="L627" t="s">
        <v>3974</v>
      </c>
      <c r="M627" s="2">
        <v>992</v>
      </c>
      <c r="N627" t="s">
        <v>4556</v>
      </c>
      <c r="O627">
        <v>2</v>
      </c>
      <c r="P627">
        <v>2</v>
      </c>
      <c r="Q627">
        <v>1</v>
      </c>
      <c r="R627" t="s">
        <v>4557</v>
      </c>
      <c r="S627" t="s">
        <v>4558</v>
      </c>
      <c r="T627" t="s">
        <v>4559</v>
      </c>
      <c r="U627" t="s">
        <v>4655</v>
      </c>
      <c r="V627" s="2">
        <v>0</v>
      </c>
      <c r="W627" t="s">
        <v>3149</v>
      </c>
      <c r="X627" s="2">
        <v>480</v>
      </c>
      <c r="Y627">
        <v>21</v>
      </c>
      <c r="Z627" t="s">
        <v>2705</v>
      </c>
      <c r="AA627" s="3">
        <v>1.00000004749745E-3</v>
      </c>
      <c r="AB627" t="s">
        <v>8188</v>
      </c>
      <c r="AC627" t="s">
        <v>4562</v>
      </c>
      <c r="AD627" t="s">
        <v>8189</v>
      </c>
      <c r="AE627" t="s">
        <v>4655</v>
      </c>
      <c r="AF627" t="s">
        <v>8190</v>
      </c>
      <c r="AG627" t="s">
        <v>4584</v>
      </c>
      <c r="AH627" t="s">
        <v>8191</v>
      </c>
      <c r="AI627" t="s">
        <v>4903</v>
      </c>
      <c r="AJ627" t="s">
        <v>4655</v>
      </c>
      <c r="AK627" t="s">
        <v>8192</v>
      </c>
      <c r="AL627" s="13" t="s">
        <v>2255</v>
      </c>
      <c r="AM627" s="14">
        <v>1</v>
      </c>
      <c r="AN627" s="15" t="s">
        <v>160</v>
      </c>
    </row>
    <row r="628" spans="1:40" x14ac:dyDescent="0.3">
      <c r="A628" s="10" t="str">
        <f>HYPERLINK("http://www.washoecounty.gov/assessor/cama/?parid=008-434-53&amp;CardNumber=1","008-434-53")</f>
        <v>008-434-53</v>
      </c>
      <c r="B628" t="s">
        <v>4655</v>
      </c>
      <c r="C628" t="s">
        <v>3417</v>
      </c>
      <c r="D628" s="1">
        <v>40542</v>
      </c>
      <c r="E628" s="2">
        <v>26000</v>
      </c>
      <c r="F628" t="s">
        <v>4553</v>
      </c>
      <c r="G628" s="17" t="str">
        <f>HYPERLINK("https://www.washoecounty.gov/assessor/cama/?command=sales&amp;parid=00843453","3959213")</f>
        <v>3959213</v>
      </c>
      <c r="H628" t="s">
        <v>226</v>
      </c>
      <c r="I628">
        <v>1985</v>
      </c>
      <c r="J628">
        <v>1985</v>
      </c>
      <c r="K628" t="s">
        <v>3144</v>
      </c>
      <c r="L628" t="s">
        <v>3974</v>
      </c>
      <c r="M628" s="2">
        <v>992</v>
      </c>
      <c r="N628" t="s">
        <v>4556</v>
      </c>
      <c r="O628">
        <v>2</v>
      </c>
      <c r="P628">
        <v>2</v>
      </c>
      <c r="Q628">
        <v>1</v>
      </c>
      <c r="R628" t="s">
        <v>4557</v>
      </c>
      <c r="S628" t="s">
        <v>4558</v>
      </c>
      <c r="T628" t="s">
        <v>4559</v>
      </c>
      <c r="U628" t="s">
        <v>4655</v>
      </c>
      <c r="V628" s="2">
        <v>0</v>
      </c>
      <c r="W628" t="s">
        <v>3149</v>
      </c>
      <c r="X628" s="2">
        <v>480</v>
      </c>
      <c r="Y628">
        <v>21</v>
      </c>
      <c r="Z628" t="s">
        <v>2705</v>
      </c>
      <c r="AA628" s="3">
        <v>1.00000004749745E-3</v>
      </c>
      <c r="AB628" t="s">
        <v>1625</v>
      </c>
      <c r="AC628" t="s">
        <v>4575</v>
      </c>
      <c r="AD628" t="s">
        <v>251</v>
      </c>
      <c r="AE628" t="s">
        <v>4655</v>
      </c>
      <c r="AF628" t="s">
        <v>4563</v>
      </c>
      <c r="AG628" t="s">
        <v>4564</v>
      </c>
      <c r="AH628">
        <v>89501</v>
      </c>
      <c r="AI628" t="s">
        <v>4503</v>
      </c>
      <c r="AJ628" t="s">
        <v>4655</v>
      </c>
      <c r="AK628" t="s">
        <v>8193</v>
      </c>
      <c r="AL628" s="13" t="s">
        <v>2255</v>
      </c>
      <c r="AM628">
        <v>1</v>
      </c>
      <c r="AN628" s="15" t="s">
        <v>160</v>
      </c>
    </row>
    <row r="629" spans="1:40" x14ac:dyDescent="0.3">
      <c r="A629" s="10" t="str">
        <f>HYPERLINK("http://www.washoecounty.gov/assessor/cama/?parid=008-434-57&amp;CardNumber=1","008-434-57")</f>
        <v>008-434-57</v>
      </c>
      <c r="B629" t="s">
        <v>4655</v>
      </c>
      <c r="C629" t="s">
        <v>3417</v>
      </c>
      <c r="D629" s="1">
        <v>40288</v>
      </c>
      <c r="E629" s="2">
        <v>33333</v>
      </c>
      <c r="F629" t="s">
        <v>4553</v>
      </c>
      <c r="G629" s="17" t="str">
        <f>HYPERLINK("https://www.washoecounty.gov/assessor/cama/?command=sales&amp;parid=00843457","3872916")</f>
        <v>3872916</v>
      </c>
      <c r="H629" t="s">
        <v>8194</v>
      </c>
      <c r="I629">
        <v>1985</v>
      </c>
      <c r="J629">
        <v>1985</v>
      </c>
      <c r="K629" t="s">
        <v>3144</v>
      </c>
      <c r="L629" t="s">
        <v>3974</v>
      </c>
      <c r="M629" s="2">
        <v>992</v>
      </c>
      <c r="N629" t="s">
        <v>4556</v>
      </c>
      <c r="O629">
        <v>2</v>
      </c>
      <c r="P629">
        <v>2</v>
      </c>
      <c r="Q629">
        <v>1</v>
      </c>
      <c r="R629" t="s">
        <v>4557</v>
      </c>
      <c r="S629" t="s">
        <v>4558</v>
      </c>
      <c r="T629" t="s">
        <v>4559</v>
      </c>
      <c r="U629" t="s">
        <v>4655</v>
      </c>
      <c r="V629" s="2">
        <v>0</v>
      </c>
      <c r="W629" t="s">
        <v>3149</v>
      </c>
      <c r="X629" s="2">
        <v>480</v>
      </c>
      <c r="Y629">
        <v>21</v>
      </c>
      <c r="Z629" t="s">
        <v>2705</v>
      </c>
      <c r="AA629" s="3">
        <v>1.00000004749745E-3</v>
      </c>
      <c r="AB629" t="s">
        <v>3418</v>
      </c>
      <c r="AC629" t="s">
        <v>4562</v>
      </c>
      <c r="AD629" t="s">
        <v>3419</v>
      </c>
      <c r="AE629" t="s">
        <v>4655</v>
      </c>
      <c r="AF629" t="s">
        <v>4563</v>
      </c>
      <c r="AG629" t="s">
        <v>4564</v>
      </c>
      <c r="AH629">
        <v>89502</v>
      </c>
      <c r="AI629" t="s">
        <v>4903</v>
      </c>
      <c r="AJ629" t="s">
        <v>4655</v>
      </c>
      <c r="AK629" t="s">
        <v>8195</v>
      </c>
      <c r="AL629" s="13" t="s">
        <v>2255</v>
      </c>
      <c r="AM629" s="14">
        <v>1</v>
      </c>
      <c r="AN629" s="15" t="s">
        <v>160</v>
      </c>
    </row>
    <row r="630" spans="1:40" x14ac:dyDescent="0.3">
      <c r="A630" s="10" t="str">
        <f>HYPERLINK("http://www.washoecounty.gov/assessor/cama/?parid=008-434-61&amp;CardNumber=1","008-434-61")</f>
        <v>008-434-61</v>
      </c>
      <c r="B630" t="s">
        <v>4655</v>
      </c>
      <c r="C630" t="s">
        <v>2639</v>
      </c>
      <c r="D630" s="1">
        <v>40360</v>
      </c>
      <c r="E630" s="2">
        <v>23500</v>
      </c>
      <c r="F630" t="s">
        <v>4553</v>
      </c>
      <c r="G630" s="17" t="str">
        <f>HYPERLINK("https://www.washoecounty.gov/assessor/cama/?command=sales&amp;parid=00843461","3897768")</f>
        <v>3897768</v>
      </c>
      <c r="H630" t="s">
        <v>8196</v>
      </c>
      <c r="I630">
        <v>1986</v>
      </c>
      <c r="J630">
        <v>1986</v>
      </c>
      <c r="K630" t="s">
        <v>4897</v>
      </c>
      <c r="L630" t="s">
        <v>3974</v>
      </c>
      <c r="M630" s="2">
        <v>992</v>
      </c>
      <c r="N630" t="s">
        <v>4556</v>
      </c>
      <c r="O630">
        <v>2</v>
      </c>
      <c r="P630">
        <v>2</v>
      </c>
      <c r="Q630">
        <v>1</v>
      </c>
      <c r="R630" t="s">
        <v>4557</v>
      </c>
      <c r="S630" t="s">
        <v>4558</v>
      </c>
      <c r="T630" t="s">
        <v>4559</v>
      </c>
      <c r="U630" t="s">
        <v>4655</v>
      </c>
      <c r="V630" s="2">
        <v>0</v>
      </c>
      <c r="W630" t="s">
        <v>3149</v>
      </c>
      <c r="X630" s="2">
        <v>480</v>
      </c>
      <c r="Y630">
        <v>21</v>
      </c>
      <c r="Z630" t="s">
        <v>2705</v>
      </c>
      <c r="AA630" s="3">
        <v>1.00000004749745E-3</v>
      </c>
      <c r="AB630" t="s">
        <v>3418</v>
      </c>
      <c r="AC630" t="s">
        <v>4562</v>
      </c>
      <c r="AD630" t="s">
        <v>3419</v>
      </c>
      <c r="AE630" t="s">
        <v>4655</v>
      </c>
      <c r="AF630" t="s">
        <v>4563</v>
      </c>
      <c r="AG630" t="s">
        <v>4564</v>
      </c>
      <c r="AH630">
        <v>89502</v>
      </c>
      <c r="AI630" t="s">
        <v>4045</v>
      </c>
      <c r="AJ630" t="s">
        <v>4655</v>
      </c>
      <c r="AK630" t="s">
        <v>8197</v>
      </c>
      <c r="AL630" s="13" t="s">
        <v>2255</v>
      </c>
      <c r="AM630">
        <v>1</v>
      </c>
      <c r="AN630" s="15" t="s">
        <v>160</v>
      </c>
    </row>
    <row r="631" spans="1:40" x14ac:dyDescent="0.3">
      <c r="A631" s="10" t="str">
        <f>HYPERLINK("http://www.washoecounty.gov/assessor/cama/?parid=008-434-65&amp;CardNumber=1","008-434-65")</f>
        <v>008-434-65</v>
      </c>
      <c r="B631" t="s">
        <v>4655</v>
      </c>
      <c r="C631" t="s">
        <v>2639</v>
      </c>
      <c r="D631" s="1">
        <v>40525</v>
      </c>
      <c r="E631" s="2">
        <v>21096</v>
      </c>
      <c r="F631" t="s">
        <v>4553</v>
      </c>
      <c r="G631" s="17" t="str">
        <f>HYPERLINK("https://www.washoecounty.gov/assessor/cama/?command=sales&amp;parid=00843465","3952468")</f>
        <v>3952468</v>
      </c>
      <c r="H631" t="s">
        <v>226</v>
      </c>
      <c r="I631">
        <v>1986</v>
      </c>
      <c r="J631">
        <v>1986</v>
      </c>
      <c r="K631" t="s">
        <v>3144</v>
      </c>
      <c r="L631" t="s">
        <v>3974</v>
      </c>
      <c r="M631" s="2">
        <v>992</v>
      </c>
      <c r="N631" t="s">
        <v>4556</v>
      </c>
      <c r="O631">
        <v>2</v>
      </c>
      <c r="P631">
        <v>2</v>
      </c>
      <c r="Q631">
        <v>1</v>
      </c>
      <c r="R631" t="s">
        <v>4557</v>
      </c>
      <c r="S631" t="s">
        <v>4558</v>
      </c>
      <c r="T631" t="s">
        <v>4559</v>
      </c>
      <c r="U631" t="s">
        <v>4655</v>
      </c>
      <c r="V631" s="2">
        <v>0</v>
      </c>
      <c r="W631" t="s">
        <v>3149</v>
      </c>
      <c r="X631" s="2">
        <v>480</v>
      </c>
      <c r="Y631">
        <v>21</v>
      </c>
      <c r="Z631" t="s">
        <v>2705</v>
      </c>
      <c r="AA631" s="3">
        <v>1.00000004749745E-3</v>
      </c>
      <c r="AB631" t="s">
        <v>8198</v>
      </c>
      <c r="AC631" t="s">
        <v>4575</v>
      </c>
      <c r="AD631" t="s">
        <v>8199</v>
      </c>
      <c r="AE631" t="s">
        <v>4655</v>
      </c>
      <c r="AF631" t="s">
        <v>4563</v>
      </c>
      <c r="AG631" t="s">
        <v>4564</v>
      </c>
      <c r="AH631">
        <v>89503</v>
      </c>
      <c r="AI631" t="s">
        <v>4565</v>
      </c>
      <c r="AJ631" t="s">
        <v>4655</v>
      </c>
      <c r="AK631" t="s">
        <v>8200</v>
      </c>
      <c r="AL631" s="13" t="s">
        <v>2255</v>
      </c>
      <c r="AM631" s="14">
        <v>1</v>
      </c>
      <c r="AN631" s="15" t="s">
        <v>160</v>
      </c>
    </row>
    <row r="632" spans="1:40" x14ac:dyDescent="0.3">
      <c r="A632" s="10" t="str">
        <f>HYPERLINK("http://www.washoecounty.gov/assessor/cama/?parid=008-481-04&amp;CardNumber=1","008-481-04")</f>
        <v>008-481-04</v>
      </c>
      <c r="B632" t="s">
        <v>4655</v>
      </c>
      <c r="C632" t="s">
        <v>8201</v>
      </c>
      <c r="D632" s="1">
        <v>40494</v>
      </c>
      <c r="E632" s="2">
        <v>130000</v>
      </c>
      <c r="F632" t="s">
        <v>4553</v>
      </c>
      <c r="G632" s="17" t="str">
        <f>HYPERLINK("https://www.washoecounty.gov/assessor/cama/?command=sales&amp;parid=00848104","3942729")</f>
        <v>3942729</v>
      </c>
      <c r="H632" t="s">
        <v>8202</v>
      </c>
      <c r="I632">
        <v>2005</v>
      </c>
      <c r="J632">
        <v>2005</v>
      </c>
      <c r="K632" t="s">
        <v>4554</v>
      </c>
      <c r="L632" t="s">
        <v>3974</v>
      </c>
      <c r="M632" s="2">
        <v>1635</v>
      </c>
      <c r="N632" t="s">
        <v>4048</v>
      </c>
      <c r="O632">
        <v>3</v>
      </c>
      <c r="P632">
        <v>3</v>
      </c>
      <c r="Q632">
        <v>0</v>
      </c>
      <c r="R632" t="s">
        <v>5281</v>
      </c>
      <c r="S632" t="s">
        <v>4558</v>
      </c>
      <c r="T632" t="s">
        <v>4559</v>
      </c>
      <c r="U632" t="s">
        <v>5631</v>
      </c>
      <c r="V632" s="2">
        <v>400</v>
      </c>
      <c r="W632" t="s">
        <v>4655</v>
      </c>
      <c r="X632" s="2">
        <v>0</v>
      </c>
      <c r="Y632">
        <v>20</v>
      </c>
      <c r="Z632" t="s">
        <v>4144</v>
      </c>
      <c r="AA632" s="3">
        <v>8.3838380873203305E-2</v>
      </c>
      <c r="AB632" t="s">
        <v>8203</v>
      </c>
      <c r="AC632" t="s">
        <v>4562</v>
      </c>
      <c r="AD632" t="s">
        <v>8204</v>
      </c>
      <c r="AE632" t="s">
        <v>4655</v>
      </c>
      <c r="AF632" t="s">
        <v>4563</v>
      </c>
      <c r="AG632" t="s">
        <v>4564</v>
      </c>
      <c r="AH632">
        <v>89512</v>
      </c>
      <c r="AI632" t="s">
        <v>4903</v>
      </c>
      <c r="AJ632" t="s">
        <v>8205</v>
      </c>
      <c r="AK632" t="s">
        <v>8206</v>
      </c>
      <c r="AL632" s="13" t="s">
        <v>2257</v>
      </c>
      <c r="AM632" s="14">
        <v>1</v>
      </c>
      <c r="AN632" s="15" t="s">
        <v>4136</v>
      </c>
    </row>
    <row r="633" spans="1:40" x14ac:dyDescent="0.3">
      <c r="A633" s="10" t="str">
        <f>HYPERLINK("http://www.washoecounty.gov/assessor/cama/?parid=008-500-04&amp;CardNumber=1","008-500-04")</f>
        <v>008-500-04</v>
      </c>
      <c r="B633" t="s">
        <v>4655</v>
      </c>
      <c r="C633" t="s">
        <v>8207</v>
      </c>
      <c r="D633" s="1">
        <v>40238</v>
      </c>
      <c r="E633" s="2">
        <v>84263</v>
      </c>
      <c r="F633" t="s">
        <v>4567</v>
      </c>
      <c r="G633" s="17" t="str">
        <f>HYPERLINK("https://www.washoecounty.gov/assessor/cama/?command=sales&amp;parid=00850004","3853579")</f>
        <v>3853579</v>
      </c>
      <c r="H633" t="s">
        <v>8208</v>
      </c>
      <c r="I633">
        <v>2005</v>
      </c>
      <c r="J633">
        <v>2005</v>
      </c>
      <c r="K633" t="s">
        <v>4897</v>
      </c>
      <c r="L633" t="s">
        <v>4555</v>
      </c>
      <c r="M633" s="2">
        <v>947</v>
      </c>
      <c r="N633" t="s">
        <v>5280</v>
      </c>
      <c r="O633">
        <v>2</v>
      </c>
      <c r="P633">
        <v>1</v>
      </c>
      <c r="Q633">
        <v>0</v>
      </c>
      <c r="R633" t="s">
        <v>5281</v>
      </c>
      <c r="S633" t="s">
        <v>4898</v>
      </c>
      <c r="T633" t="s">
        <v>4559</v>
      </c>
      <c r="U633" t="s">
        <v>4655</v>
      </c>
      <c r="V633" s="2">
        <v>0</v>
      </c>
      <c r="W633" t="s">
        <v>4655</v>
      </c>
      <c r="X633" s="2">
        <v>0</v>
      </c>
      <c r="Y633">
        <v>21</v>
      </c>
      <c r="Z633" t="s">
        <v>3047</v>
      </c>
      <c r="AA633" s="3">
        <v>2.0523415878415101E-2</v>
      </c>
      <c r="AB633" t="s">
        <v>498</v>
      </c>
      <c r="AC633" t="s">
        <v>4562</v>
      </c>
      <c r="AD633" t="s">
        <v>8209</v>
      </c>
      <c r="AE633" t="s">
        <v>4655</v>
      </c>
      <c r="AF633" t="s">
        <v>4563</v>
      </c>
      <c r="AG633" t="s">
        <v>4564</v>
      </c>
      <c r="AH633">
        <v>89502</v>
      </c>
      <c r="AI633" t="s">
        <v>4655</v>
      </c>
      <c r="AJ633" t="s">
        <v>8210</v>
      </c>
      <c r="AK633" t="s">
        <v>8211</v>
      </c>
      <c r="AL633" s="13" t="s">
        <v>2256</v>
      </c>
      <c r="AM633">
        <v>1</v>
      </c>
      <c r="AN633" s="15" t="s">
        <v>8212</v>
      </c>
    </row>
    <row r="634" spans="1:40" x14ac:dyDescent="0.3">
      <c r="A634" s="10" t="str">
        <f>HYPERLINK("http://www.washoecounty.gov/assessor/cama/?parid=009-040-48&amp;CardNumber=1","009-040-48")</f>
        <v>009-040-48</v>
      </c>
      <c r="B634" t="s">
        <v>4655</v>
      </c>
      <c r="C634" t="s">
        <v>8213</v>
      </c>
      <c r="D634" s="1">
        <v>40277</v>
      </c>
      <c r="E634" s="2">
        <v>235000</v>
      </c>
      <c r="F634" t="s">
        <v>4187</v>
      </c>
      <c r="G634" s="17" t="str">
        <f>HYPERLINK("https://www.washoecounty.gov/assessor/cama/?command=sales&amp;parid=00904048","3869522")</f>
        <v>3869522</v>
      </c>
      <c r="H634" t="s">
        <v>8214</v>
      </c>
      <c r="I634">
        <v>0</v>
      </c>
      <c r="J634">
        <v>0</v>
      </c>
      <c r="K634" t="s">
        <v>4655</v>
      </c>
      <c r="L634" t="s">
        <v>4655</v>
      </c>
      <c r="M634" s="2">
        <v>0</v>
      </c>
      <c r="N634" t="s">
        <v>4655</v>
      </c>
      <c r="O634">
        <v>0</v>
      </c>
      <c r="P634">
        <v>0</v>
      </c>
      <c r="Q634">
        <v>0</v>
      </c>
      <c r="R634" t="s">
        <v>4655</v>
      </c>
      <c r="S634" t="s">
        <v>4655</v>
      </c>
      <c r="T634" t="s">
        <v>4655</v>
      </c>
      <c r="U634" t="s">
        <v>4655</v>
      </c>
      <c r="V634" s="2">
        <v>0</v>
      </c>
      <c r="W634" t="s">
        <v>4655</v>
      </c>
      <c r="X634" s="2">
        <v>0</v>
      </c>
      <c r="Y634">
        <v>12</v>
      </c>
      <c r="Z634" t="s">
        <v>5282</v>
      </c>
      <c r="AA634" s="3">
        <v>1.0069329738616899</v>
      </c>
      <c r="AB634" t="s">
        <v>8215</v>
      </c>
      <c r="AC634" t="s">
        <v>4562</v>
      </c>
      <c r="AD634" t="s">
        <v>8216</v>
      </c>
      <c r="AE634" t="s">
        <v>4655</v>
      </c>
      <c r="AF634" t="s">
        <v>4563</v>
      </c>
      <c r="AG634" t="s">
        <v>4564</v>
      </c>
      <c r="AH634" t="s">
        <v>1147</v>
      </c>
      <c r="AI634" t="s">
        <v>8217</v>
      </c>
      <c r="AJ634" t="s">
        <v>8218</v>
      </c>
      <c r="AK634" t="s">
        <v>8219</v>
      </c>
      <c r="AL634" s="13" t="s">
        <v>2257</v>
      </c>
      <c r="AM634">
        <v>0</v>
      </c>
      <c r="AN634" s="15" t="s">
        <v>400</v>
      </c>
    </row>
    <row r="635" spans="1:40" x14ac:dyDescent="0.3">
      <c r="A635" s="10" t="str">
        <f>HYPERLINK("http://www.washoecounty.gov/assessor/cama/?parid=009-051-07&amp;CardNumber=1","009-051-07")</f>
        <v>009-051-07</v>
      </c>
      <c r="B635" t="s">
        <v>4655</v>
      </c>
      <c r="C635" t="s">
        <v>8220</v>
      </c>
      <c r="D635" s="1">
        <v>40298</v>
      </c>
      <c r="E635" s="2">
        <v>280000</v>
      </c>
      <c r="F635" t="s">
        <v>4567</v>
      </c>
      <c r="G635" s="17" t="str">
        <f>HYPERLINK("https://www.washoecounty.gov/assessor/cama/?command=sales&amp;parid=00905107","3877094")</f>
        <v>3877094</v>
      </c>
      <c r="H635" t="s">
        <v>8221</v>
      </c>
      <c r="I635">
        <v>1968</v>
      </c>
      <c r="J635">
        <v>1968</v>
      </c>
      <c r="K635" t="s">
        <v>4554</v>
      </c>
      <c r="L635" t="s">
        <v>4555</v>
      </c>
      <c r="M635" s="2">
        <v>1761</v>
      </c>
      <c r="N635" t="s">
        <v>5280</v>
      </c>
      <c r="O635">
        <v>3</v>
      </c>
      <c r="P635">
        <v>2</v>
      </c>
      <c r="Q635">
        <v>0</v>
      </c>
      <c r="R635" t="s">
        <v>4557</v>
      </c>
      <c r="S635" t="s">
        <v>3148</v>
      </c>
      <c r="T635" t="s">
        <v>4559</v>
      </c>
      <c r="U635" t="s">
        <v>4560</v>
      </c>
      <c r="V635" s="2">
        <v>440</v>
      </c>
      <c r="W635" t="s">
        <v>4655</v>
      </c>
      <c r="X635" s="2">
        <v>0</v>
      </c>
      <c r="Y635">
        <v>20</v>
      </c>
      <c r="Z635" t="s">
        <v>385</v>
      </c>
      <c r="AA635" s="3">
        <v>0.20000000298023199</v>
      </c>
      <c r="AB635" t="s">
        <v>8222</v>
      </c>
      <c r="AC635" t="s">
        <v>4562</v>
      </c>
      <c r="AD635" t="s">
        <v>8220</v>
      </c>
      <c r="AE635" t="s">
        <v>4655</v>
      </c>
      <c r="AF635" t="s">
        <v>4563</v>
      </c>
      <c r="AG635" t="s">
        <v>4564</v>
      </c>
      <c r="AH635">
        <v>89509</v>
      </c>
      <c r="AI635" t="s">
        <v>8223</v>
      </c>
      <c r="AJ635" t="s">
        <v>4655</v>
      </c>
      <c r="AK635" t="s">
        <v>8224</v>
      </c>
      <c r="AL635" s="13" t="s">
        <v>2257</v>
      </c>
      <c r="AM635" s="14">
        <v>1</v>
      </c>
      <c r="AN635" s="15" t="s">
        <v>1650</v>
      </c>
    </row>
    <row r="636" spans="1:40" x14ac:dyDescent="0.3">
      <c r="A636" s="10" t="str">
        <f>HYPERLINK("http://www.washoecounty.gov/assessor/cama/?parid=009-054-17&amp;CardNumber=1","009-054-17")</f>
        <v>009-054-17</v>
      </c>
      <c r="B636" t="s">
        <v>4655</v>
      </c>
      <c r="C636" t="s">
        <v>8225</v>
      </c>
      <c r="D636" s="1">
        <v>40526</v>
      </c>
      <c r="E636" s="2">
        <v>210000</v>
      </c>
      <c r="F636" t="s">
        <v>4567</v>
      </c>
      <c r="G636" s="17" t="str">
        <f>HYPERLINK("https://www.washoecounty.gov/assessor/cama/?command=sales&amp;parid=00905417","3953352")</f>
        <v>3953352</v>
      </c>
      <c r="H636" t="s">
        <v>8221</v>
      </c>
      <c r="I636">
        <v>1968</v>
      </c>
      <c r="J636">
        <v>1968</v>
      </c>
      <c r="K636" t="s">
        <v>4554</v>
      </c>
      <c r="L636" t="s">
        <v>4555</v>
      </c>
      <c r="M636" s="2">
        <v>1706</v>
      </c>
      <c r="N636" t="s">
        <v>5280</v>
      </c>
      <c r="O636">
        <v>3</v>
      </c>
      <c r="P636">
        <v>2</v>
      </c>
      <c r="Q636">
        <v>0</v>
      </c>
      <c r="R636" t="s">
        <v>4557</v>
      </c>
      <c r="S636" t="s">
        <v>3148</v>
      </c>
      <c r="T636" t="s">
        <v>4559</v>
      </c>
      <c r="U636" t="s">
        <v>4560</v>
      </c>
      <c r="V636" s="2">
        <v>441</v>
      </c>
      <c r="W636" t="s">
        <v>4655</v>
      </c>
      <c r="X636" s="2">
        <v>0</v>
      </c>
      <c r="Y636">
        <v>20</v>
      </c>
      <c r="Z636" t="s">
        <v>385</v>
      </c>
      <c r="AA636" s="3">
        <v>0.23000459372997301</v>
      </c>
      <c r="AB636" t="s">
        <v>8226</v>
      </c>
      <c r="AC636" t="s">
        <v>4562</v>
      </c>
      <c r="AD636" t="s">
        <v>8227</v>
      </c>
      <c r="AE636" t="s">
        <v>4655</v>
      </c>
      <c r="AF636" t="s">
        <v>4563</v>
      </c>
      <c r="AG636" t="s">
        <v>4564</v>
      </c>
      <c r="AH636">
        <v>89503</v>
      </c>
      <c r="AI636" t="s">
        <v>8228</v>
      </c>
      <c r="AJ636" t="s">
        <v>4655</v>
      </c>
      <c r="AK636" t="s">
        <v>8229</v>
      </c>
      <c r="AL636" s="13" t="s">
        <v>2257</v>
      </c>
      <c r="AM636">
        <v>1</v>
      </c>
      <c r="AN636" s="15" t="s">
        <v>1650</v>
      </c>
    </row>
    <row r="637" spans="1:40" x14ac:dyDescent="0.3">
      <c r="A637" s="10" t="str">
        <f>HYPERLINK("http://www.washoecounty.gov/assessor/cama/?parid=009-061-02&amp;CardNumber=1","009-061-02")</f>
        <v>009-061-02</v>
      </c>
      <c r="B637" t="s">
        <v>4655</v>
      </c>
      <c r="C637" t="s">
        <v>8230</v>
      </c>
      <c r="D637" s="1">
        <v>40325</v>
      </c>
      <c r="E637" s="2">
        <v>345000</v>
      </c>
      <c r="F637" t="s">
        <v>4567</v>
      </c>
      <c r="G637" s="17" t="str">
        <f>HYPERLINK("https://www.washoecounty.gov/assessor/cama/?command=sales&amp;parid=00906102","3885878")</f>
        <v>3885878</v>
      </c>
      <c r="H637" t="s">
        <v>161</v>
      </c>
      <c r="I637">
        <v>1977</v>
      </c>
      <c r="J637">
        <v>1986</v>
      </c>
      <c r="K637" t="s">
        <v>4554</v>
      </c>
      <c r="L637" t="s">
        <v>4555</v>
      </c>
      <c r="M637" s="2">
        <v>2254</v>
      </c>
      <c r="N637" t="s">
        <v>5280</v>
      </c>
      <c r="O637">
        <v>3</v>
      </c>
      <c r="P637">
        <v>3</v>
      </c>
      <c r="Q637">
        <v>0</v>
      </c>
      <c r="R637" t="s">
        <v>5281</v>
      </c>
      <c r="S637" t="s">
        <v>3148</v>
      </c>
      <c r="T637" t="s">
        <v>4559</v>
      </c>
      <c r="U637" t="s">
        <v>162</v>
      </c>
      <c r="V637" s="2">
        <v>996</v>
      </c>
      <c r="W637" t="s">
        <v>4655</v>
      </c>
      <c r="X637" s="2">
        <v>0</v>
      </c>
      <c r="Y637">
        <v>20</v>
      </c>
      <c r="Z637" t="s">
        <v>5508</v>
      </c>
      <c r="AA637" s="3">
        <v>0.50505048036575295</v>
      </c>
      <c r="AB637" t="s">
        <v>8231</v>
      </c>
      <c r="AC637" t="s">
        <v>4575</v>
      </c>
      <c r="AD637" t="s">
        <v>8232</v>
      </c>
      <c r="AE637" t="s">
        <v>4655</v>
      </c>
      <c r="AF637" t="s">
        <v>4752</v>
      </c>
      <c r="AG637" t="s">
        <v>4564</v>
      </c>
      <c r="AH637" t="s">
        <v>2330</v>
      </c>
      <c r="AI637" t="s">
        <v>8233</v>
      </c>
      <c r="AJ637" t="s">
        <v>4655</v>
      </c>
      <c r="AK637" t="s">
        <v>8234</v>
      </c>
      <c r="AL637" s="13" t="s">
        <v>1889</v>
      </c>
      <c r="AM637">
        <v>1</v>
      </c>
      <c r="AN637" s="15" t="s">
        <v>163</v>
      </c>
    </row>
    <row r="638" spans="1:40" x14ac:dyDescent="0.3">
      <c r="A638" s="10" t="str">
        <f>HYPERLINK("http://www.washoecounty.gov/assessor/cama/?parid=009-066-11&amp;CardNumber=1","009-066-11")</f>
        <v>009-066-11</v>
      </c>
      <c r="B638" t="s">
        <v>4655</v>
      </c>
      <c r="C638" t="s">
        <v>8235</v>
      </c>
      <c r="D638" s="1">
        <v>40205</v>
      </c>
      <c r="E638" s="2">
        <v>235000</v>
      </c>
      <c r="F638" t="s">
        <v>4553</v>
      </c>
      <c r="G638" s="17" t="str">
        <f>HYPERLINK("https://www.washoecounty.gov/assessor/cama/?command=sales&amp;parid=00906611","3843144")</f>
        <v>3843144</v>
      </c>
      <c r="H638" t="s">
        <v>161</v>
      </c>
      <c r="I638">
        <v>1960</v>
      </c>
      <c r="J638">
        <v>1964</v>
      </c>
      <c r="K638" t="s">
        <v>4554</v>
      </c>
      <c r="L638" t="s">
        <v>4555</v>
      </c>
      <c r="M638" s="2">
        <v>1984</v>
      </c>
      <c r="N638" t="s">
        <v>5280</v>
      </c>
      <c r="O638">
        <v>3</v>
      </c>
      <c r="P638">
        <v>2</v>
      </c>
      <c r="Q638">
        <v>0</v>
      </c>
      <c r="R638" t="s">
        <v>5281</v>
      </c>
      <c r="S638" t="s">
        <v>4135</v>
      </c>
      <c r="T638" t="s">
        <v>4143</v>
      </c>
      <c r="U638" t="s">
        <v>162</v>
      </c>
      <c r="V638" s="2">
        <v>2084</v>
      </c>
      <c r="W638" t="s">
        <v>4655</v>
      </c>
      <c r="X638" s="2">
        <v>0</v>
      </c>
      <c r="Y638">
        <v>20</v>
      </c>
      <c r="Z638" t="s">
        <v>5508</v>
      </c>
      <c r="AA638" s="3">
        <v>0.49834710359573398</v>
      </c>
      <c r="AB638" t="s">
        <v>8236</v>
      </c>
      <c r="AC638" t="s">
        <v>4562</v>
      </c>
      <c r="AD638" t="s">
        <v>8235</v>
      </c>
      <c r="AE638" t="s">
        <v>4655</v>
      </c>
      <c r="AF638" t="s">
        <v>4563</v>
      </c>
      <c r="AG638" t="s">
        <v>4564</v>
      </c>
      <c r="AH638" t="s">
        <v>2330</v>
      </c>
      <c r="AI638" t="s">
        <v>4045</v>
      </c>
      <c r="AJ638" t="s">
        <v>4655</v>
      </c>
      <c r="AK638" t="s">
        <v>8237</v>
      </c>
      <c r="AL638" s="13" t="s">
        <v>1889</v>
      </c>
      <c r="AM638" s="14">
        <v>1</v>
      </c>
      <c r="AN638" s="15" t="s">
        <v>163</v>
      </c>
    </row>
    <row r="639" spans="1:40" x14ac:dyDescent="0.3">
      <c r="A639" s="10" t="str">
        <f>HYPERLINK("http://www.washoecounty.gov/assessor/cama/?parid=009-084-01&amp;CardNumber=1","009-084-01")</f>
        <v>009-084-01</v>
      </c>
      <c r="B639" t="s">
        <v>4655</v>
      </c>
      <c r="C639" t="s">
        <v>8238</v>
      </c>
      <c r="D639" s="1">
        <v>40528</v>
      </c>
      <c r="E639" s="2">
        <v>360000</v>
      </c>
      <c r="F639" t="s">
        <v>4567</v>
      </c>
      <c r="G639" s="17" t="str">
        <f>HYPERLINK("https://www.washoecounty.gov/assessor/cama/?command=sales&amp;parid=00908401","3954196")</f>
        <v>3954196</v>
      </c>
      <c r="H639" t="s">
        <v>4715</v>
      </c>
      <c r="I639">
        <v>1968</v>
      </c>
      <c r="J639">
        <v>1997</v>
      </c>
      <c r="K639" t="s">
        <v>4554</v>
      </c>
      <c r="L639" t="s">
        <v>4555</v>
      </c>
      <c r="M639" s="2">
        <v>2328</v>
      </c>
      <c r="N639" t="s">
        <v>5280</v>
      </c>
      <c r="O639">
        <v>3</v>
      </c>
      <c r="P639">
        <v>3</v>
      </c>
      <c r="Q639">
        <v>0</v>
      </c>
      <c r="R639" t="s">
        <v>5281</v>
      </c>
      <c r="S639" t="s">
        <v>4898</v>
      </c>
      <c r="T639" t="s">
        <v>4559</v>
      </c>
      <c r="U639" t="s">
        <v>4560</v>
      </c>
      <c r="V639" s="2">
        <v>428</v>
      </c>
      <c r="W639" t="s">
        <v>4655</v>
      </c>
      <c r="X639" s="2">
        <v>0</v>
      </c>
      <c r="Y639">
        <v>20</v>
      </c>
      <c r="Z639" t="s">
        <v>3884</v>
      </c>
      <c r="AA639" s="3">
        <v>1.21721768379211</v>
      </c>
      <c r="AB639" t="s">
        <v>8239</v>
      </c>
      <c r="AC639" t="s">
        <v>4575</v>
      </c>
      <c r="AD639" t="s">
        <v>8240</v>
      </c>
      <c r="AE639" t="s">
        <v>4655</v>
      </c>
      <c r="AF639" t="s">
        <v>4563</v>
      </c>
      <c r="AG639" t="s">
        <v>4564</v>
      </c>
      <c r="AH639" t="s">
        <v>2330</v>
      </c>
      <c r="AI639" t="s">
        <v>8241</v>
      </c>
      <c r="AJ639" t="s">
        <v>4655</v>
      </c>
      <c r="AK639" t="s">
        <v>8242</v>
      </c>
      <c r="AL639" s="13" t="s">
        <v>3420</v>
      </c>
      <c r="AM639">
        <v>1</v>
      </c>
      <c r="AN639" s="15" t="s">
        <v>165</v>
      </c>
    </row>
    <row r="640" spans="1:40" x14ac:dyDescent="0.3">
      <c r="A640" s="10" t="str">
        <f>HYPERLINK("http://www.washoecounty.gov/assessor/cama/?parid=009-084-01&amp;CardNumber=1","009-084-01")</f>
        <v>009-084-01</v>
      </c>
      <c r="B640" t="s">
        <v>4655</v>
      </c>
      <c r="C640" t="s">
        <v>8238</v>
      </c>
      <c r="D640" s="1">
        <v>40248</v>
      </c>
      <c r="E640" s="2">
        <v>185000</v>
      </c>
      <c r="F640" t="s">
        <v>4567</v>
      </c>
      <c r="G640" s="17" t="str">
        <f>HYPERLINK("https://www.washoecounty.gov/assessor/cama/?command=sales&amp;parid=00908401","3858564")</f>
        <v>3858564</v>
      </c>
      <c r="H640" t="s">
        <v>4715</v>
      </c>
      <c r="I640">
        <v>1968</v>
      </c>
      <c r="J640">
        <v>1997</v>
      </c>
      <c r="K640" t="s">
        <v>4554</v>
      </c>
      <c r="L640" t="s">
        <v>4555</v>
      </c>
      <c r="M640" s="2">
        <v>2328</v>
      </c>
      <c r="N640" t="s">
        <v>5280</v>
      </c>
      <c r="O640">
        <v>3</v>
      </c>
      <c r="P640">
        <v>3</v>
      </c>
      <c r="Q640">
        <v>0</v>
      </c>
      <c r="R640" t="s">
        <v>5281</v>
      </c>
      <c r="S640" t="s">
        <v>4898</v>
      </c>
      <c r="T640" t="s">
        <v>4559</v>
      </c>
      <c r="U640" t="s">
        <v>4560</v>
      </c>
      <c r="V640" s="2">
        <v>428</v>
      </c>
      <c r="W640" t="s">
        <v>4655</v>
      </c>
      <c r="X640" s="2">
        <v>0</v>
      </c>
      <c r="Y640">
        <v>20</v>
      </c>
      <c r="Z640" t="s">
        <v>3884</v>
      </c>
      <c r="AA640" s="3">
        <v>1.21721768379211</v>
      </c>
      <c r="AB640" t="s">
        <v>8239</v>
      </c>
      <c r="AC640" t="s">
        <v>4575</v>
      </c>
      <c r="AD640" t="s">
        <v>8240</v>
      </c>
      <c r="AE640" t="s">
        <v>4655</v>
      </c>
      <c r="AF640" t="s">
        <v>4563</v>
      </c>
      <c r="AG640" t="s">
        <v>4564</v>
      </c>
      <c r="AH640" t="s">
        <v>2330</v>
      </c>
      <c r="AI640" t="s">
        <v>8241</v>
      </c>
      <c r="AJ640" t="s">
        <v>4655</v>
      </c>
      <c r="AK640" t="s">
        <v>8242</v>
      </c>
      <c r="AL640" s="13" t="s">
        <v>3420</v>
      </c>
      <c r="AM640">
        <v>1</v>
      </c>
      <c r="AN640" s="15" t="s">
        <v>165</v>
      </c>
    </row>
    <row r="641" spans="1:40" x14ac:dyDescent="0.3">
      <c r="A641" s="10" t="str">
        <f>HYPERLINK("http://www.washoecounty.gov/assessor/cama/?parid=009-091-07&amp;CardNumber=1","009-091-07")</f>
        <v>009-091-07</v>
      </c>
      <c r="B641" t="s">
        <v>4655</v>
      </c>
      <c r="C641" t="s">
        <v>8243</v>
      </c>
      <c r="D641" s="1">
        <v>40242</v>
      </c>
      <c r="E641" s="2">
        <v>412500</v>
      </c>
      <c r="F641" t="s">
        <v>4567</v>
      </c>
      <c r="G641" s="17" t="str">
        <f>HYPERLINK("https://www.washoecounty.gov/assessor/cama/?command=sales&amp;parid=00909107","3856556")</f>
        <v>3856556</v>
      </c>
      <c r="H641" t="s">
        <v>5357</v>
      </c>
      <c r="I641">
        <v>1979</v>
      </c>
      <c r="J641">
        <v>1979</v>
      </c>
      <c r="K641" t="s">
        <v>4554</v>
      </c>
      <c r="L641" t="s">
        <v>4555</v>
      </c>
      <c r="M641" s="2">
        <v>1909</v>
      </c>
      <c r="N641" t="s">
        <v>5280</v>
      </c>
      <c r="O641">
        <v>4</v>
      </c>
      <c r="P641">
        <v>3</v>
      </c>
      <c r="Q641">
        <v>0</v>
      </c>
      <c r="R641" t="s">
        <v>4557</v>
      </c>
      <c r="S641" t="s">
        <v>3148</v>
      </c>
      <c r="T641" t="s">
        <v>4559</v>
      </c>
      <c r="U641" t="s">
        <v>4655</v>
      </c>
      <c r="V641" s="2">
        <v>0</v>
      </c>
      <c r="W641" t="s">
        <v>3201</v>
      </c>
      <c r="X641" s="2">
        <v>1849</v>
      </c>
      <c r="Y641">
        <v>20</v>
      </c>
      <c r="Z641" t="s">
        <v>3884</v>
      </c>
      <c r="AA641" s="3">
        <v>1.11999535560607</v>
      </c>
      <c r="AB641" t="s">
        <v>8244</v>
      </c>
      <c r="AC641" t="s">
        <v>4562</v>
      </c>
      <c r="AD641" t="s">
        <v>8245</v>
      </c>
      <c r="AE641" t="s">
        <v>4655</v>
      </c>
      <c r="AF641" t="s">
        <v>8246</v>
      </c>
      <c r="AG641" t="s">
        <v>4275</v>
      </c>
      <c r="AH641">
        <v>22101</v>
      </c>
      <c r="AI641" t="s">
        <v>8247</v>
      </c>
      <c r="AJ641" t="s">
        <v>4655</v>
      </c>
      <c r="AK641" t="s">
        <v>8248</v>
      </c>
      <c r="AL641" s="13" t="s">
        <v>1889</v>
      </c>
      <c r="AM641" s="14">
        <v>1</v>
      </c>
      <c r="AN641" s="15" t="s">
        <v>165</v>
      </c>
    </row>
    <row r="642" spans="1:40" x14ac:dyDescent="0.3">
      <c r="A642" s="10" t="str">
        <f>HYPERLINK("http://www.washoecounty.gov/assessor/cama/?parid=009-093-02&amp;CardNumber=1","009-093-02")</f>
        <v>009-093-02</v>
      </c>
      <c r="B642" t="s">
        <v>4655</v>
      </c>
      <c r="C642" t="s">
        <v>8249</v>
      </c>
      <c r="D642" s="1">
        <v>40466</v>
      </c>
      <c r="E642" s="2">
        <v>350000</v>
      </c>
      <c r="F642" t="s">
        <v>4567</v>
      </c>
      <c r="G642" s="17" t="str">
        <f>HYPERLINK("https://www.washoecounty.gov/assessor/cama/?command=sales&amp;parid=00909302","3933403")</f>
        <v>3933403</v>
      </c>
      <c r="H642" t="s">
        <v>5357</v>
      </c>
      <c r="I642">
        <v>1968</v>
      </c>
      <c r="J642">
        <v>1970</v>
      </c>
      <c r="K642" t="s">
        <v>4554</v>
      </c>
      <c r="L642" t="s">
        <v>2170</v>
      </c>
      <c r="M642" s="2">
        <v>3365</v>
      </c>
      <c r="N642" t="s">
        <v>1245</v>
      </c>
      <c r="O642">
        <v>4</v>
      </c>
      <c r="P642">
        <v>3</v>
      </c>
      <c r="Q642">
        <v>0</v>
      </c>
      <c r="R642" t="s">
        <v>5281</v>
      </c>
      <c r="S642" t="s">
        <v>3148</v>
      </c>
      <c r="T642" t="s">
        <v>1101</v>
      </c>
      <c r="U642" t="s">
        <v>162</v>
      </c>
      <c r="V642" s="2">
        <v>1774</v>
      </c>
      <c r="W642" t="s">
        <v>4655</v>
      </c>
      <c r="X642" s="2">
        <v>0</v>
      </c>
      <c r="Y642">
        <v>20</v>
      </c>
      <c r="Z642" t="s">
        <v>3884</v>
      </c>
      <c r="AA642" s="3">
        <v>1.13000464439392</v>
      </c>
      <c r="AB642" t="s">
        <v>8250</v>
      </c>
      <c r="AC642" t="s">
        <v>4562</v>
      </c>
      <c r="AD642" t="s">
        <v>8251</v>
      </c>
      <c r="AE642" t="s">
        <v>4655</v>
      </c>
      <c r="AF642" t="s">
        <v>4563</v>
      </c>
      <c r="AG642" t="s">
        <v>4564</v>
      </c>
      <c r="AH642">
        <v>89509</v>
      </c>
      <c r="AI642" t="s">
        <v>8252</v>
      </c>
      <c r="AJ642" t="s">
        <v>4655</v>
      </c>
      <c r="AK642" t="s">
        <v>8253</v>
      </c>
      <c r="AL642" s="13" t="s">
        <v>1889</v>
      </c>
      <c r="AM642" s="14">
        <v>1</v>
      </c>
      <c r="AN642" s="15" t="s">
        <v>165</v>
      </c>
    </row>
    <row r="643" spans="1:40" x14ac:dyDescent="0.3">
      <c r="A643" s="10" t="str">
        <f>HYPERLINK("http://www.washoecounty.gov/assessor/cama/?parid=009-094-05&amp;CardNumber=1","009-094-05")</f>
        <v>009-094-05</v>
      </c>
      <c r="B643" t="s">
        <v>4655</v>
      </c>
      <c r="C643" t="s">
        <v>8254</v>
      </c>
      <c r="D643" s="1">
        <v>40420</v>
      </c>
      <c r="E643" s="2">
        <v>299900</v>
      </c>
      <c r="F643" t="s">
        <v>4553</v>
      </c>
      <c r="G643" s="17" t="str">
        <f>HYPERLINK("https://www.washoecounty.gov/assessor/cama/?command=sales&amp;parid=00909405","3917041")</f>
        <v>3917041</v>
      </c>
      <c r="H643" t="s">
        <v>5357</v>
      </c>
      <c r="I643">
        <v>1965</v>
      </c>
      <c r="J643">
        <v>1965</v>
      </c>
      <c r="K643" t="s">
        <v>4554</v>
      </c>
      <c r="L643" t="s">
        <v>4555</v>
      </c>
      <c r="M643" s="2">
        <v>2635</v>
      </c>
      <c r="N643" t="s">
        <v>3887</v>
      </c>
      <c r="O643">
        <v>4</v>
      </c>
      <c r="P643">
        <v>3</v>
      </c>
      <c r="Q643">
        <v>0</v>
      </c>
      <c r="R643" t="s">
        <v>5205</v>
      </c>
      <c r="S643" t="s">
        <v>4682</v>
      </c>
      <c r="T643" t="s">
        <v>4559</v>
      </c>
      <c r="U643" t="s">
        <v>4560</v>
      </c>
      <c r="V643" s="2">
        <v>460</v>
      </c>
      <c r="W643" t="s">
        <v>4655</v>
      </c>
      <c r="X643" s="2">
        <v>0</v>
      </c>
      <c r="Y643">
        <v>20</v>
      </c>
      <c r="Z643" t="s">
        <v>3884</v>
      </c>
      <c r="AA643" s="3">
        <v>1.01000916957855</v>
      </c>
      <c r="AB643" t="s">
        <v>8255</v>
      </c>
      <c r="AC643" t="s">
        <v>4562</v>
      </c>
      <c r="AD643" t="s">
        <v>8256</v>
      </c>
      <c r="AE643" t="s">
        <v>4655</v>
      </c>
      <c r="AF643" t="s">
        <v>4563</v>
      </c>
      <c r="AG643" t="s">
        <v>4564</v>
      </c>
      <c r="AH643" t="s">
        <v>2330</v>
      </c>
      <c r="AI643" t="s">
        <v>4655</v>
      </c>
      <c r="AJ643" t="s">
        <v>4655</v>
      </c>
      <c r="AK643" t="s">
        <v>8257</v>
      </c>
      <c r="AL643" s="13" t="s">
        <v>1889</v>
      </c>
      <c r="AM643" s="14">
        <v>1</v>
      </c>
      <c r="AN643" s="15" t="s">
        <v>165</v>
      </c>
    </row>
    <row r="644" spans="1:40" x14ac:dyDescent="0.3">
      <c r="A644" s="10" t="str">
        <f>HYPERLINK("http://www.washoecounty.gov/assessor/cama/?parid=009-101-21&amp;CardNumber=1","009-101-21")</f>
        <v>009-101-21</v>
      </c>
      <c r="B644" t="s">
        <v>4655</v>
      </c>
      <c r="C644" t="s">
        <v>8258</v>
      </c>
      <c r="D644" s="1">
        <v>40338</v>
      </c>
      <c r="E644" s="2">
        <v>265000</v>
      </c>
      <c r="F644" t="s">
        <v>4567</v>
      </c>
      <c r="G644" s="17" t="str">
        <f>HYPERLINK("https://www.washoecounty.gov/assessor/cama/?command=sales&amp;parid=00910121","3889673")</f>
        <v>3889673</v>
      </c>
      <c r="H644" t="s">
        <v>4827</v>
      </c>
      <c r="I644">
        <v>1975</v>
      </c>
      <c r="J644">
        <v>1975</v>
      </c>
      <c r="K644" t="s">
        <v>4554</v>
      </c>
      <c r="L644" t="s">
        <v>4555</v>
      </c>
      <c r="M644" s="2">
        <v>1768</v>
      </c>
      <c r="N644" t="s">
        <v>3147</v>
      </c>
      <c r="O644">
        <v>3</v>
      </c>
      <c r="P644">
        <v>2</v>
      </c>
      <c r="Q644">
        <v>1</v>
      </c>
      <c r="R644" t="s">
        <v>4557</v>
      </c>
      <c r="S644" t="s">
        <v>4135</v>
      </c>
      <c r="T644" t="s">
        <v>4143</v>
      </c>
      <c r="U644" t="s">
        <v>4560</v>
      </c>
      <c r="V644" s="2">
        <v>528</v>
      </c>
      <c r="W644" t="s">
        <v>4655</v>
      </c>
      <c r="X644" s="2">
        <v>0</v>
      </c>
      <c r="Y644">
        <v>20</v>
      </c>
      <c r="Z644" t="s">
        <v>3884</v>
      </c>
      <c r="AA644" s="3">
        <v>0.37157943844795227</v>
      </c>
      <c r="AB644" t="s">
        <v>8259</v>
      </c>
      <c r="AC644" t="s">
        <v>4562</v>
      </c>
      <c r="AD644" t="s">
        <v>8258</v>
      </c>
      <c r="AE644" t="s">
        <v>4655</v>
      </c>
      <c r="AF644" t="s">
        <v>4563</v>
      </c>
      <c r="AG644" t="s">
        <v>4564</v>
      </c>
      <c r="AH644" t="s">
        <v>2330</v>
      </c>
      <c r="AI644" t="s">
        <v>8260</v>
      </c>
      <c r="AJ644" t="s">
        <v>4655</v>
      </c>
      <c r="AK644" t="s">
        <v>8261</v>
      </c>
      <c r="AL644" s="13" t="s">
        <v>3420</v>
      </c>
      <c r="AM644" s="14">
        <v>1</v>
      </c>
      <c r="AN644" s="15" t="s">
        <v>165</v>
      </c>
    </row>
    <row r="645" spans="1:40" x14ac:dyDescent="0.3">
      <c r="A645" s="10" t="str">
        <f>HYPERLINK("http://www.washoecounty.gov/assessor/cama/?parid=009-104-11&amp;CardNumber=1","009-104-11")</f>
        <v>009-104-11</v>
      </c>
      <c r="B645" t="s">
        <v>4655</v>
      </c>
      <c r="C645" t="s">
        <v>8262</v>
      </c>
      <c r="D645" s="1">
        <v>40262</v>
      </c>
      <c r="E645" s="2">
        <v>510000</v>
      </c>
      <c r="F645" t="s">
        <v>4567</v>
      </c>
      <c r="G645" s="17" t="str">
        <f>HYPERLINK("https://www.washoecounty.gov/assessor/cama/?command=sales&amp;parid=00910411","3864159")</f>
        <v>3864159</v>
      </c>
      <c r="H645" t="s">
        <v>164</v>
      </c>
      <c r="I645">
        <v>1958</v>
      </c>
      <c r="J645">
        <v>1989</v>
      </c>
      <c r="K645" t="s">
        <v>4554</v>
      </c>
      <c r="L645" t="s">
        <v>4555</v>
      </c>
      <c r="M645" s="2">
        <v>3172</v>
      </c>
      <c r="N645" t="s">
        <v>3887</v>
      </c>
      <c r="O645">
        <v>4</v>
      </c>
      <c r="P645">
        <v>2</v>
      </c>
      <c r="Q645">
        <v>1</v>
      </c>
      <c r="R645" t="s">
        <v>4557</v>
      </c>
      <c r="S645" t="s">
        <v>3148</v>
      </c>
      <c r="T645" t="s">
        <v>4559</v>
      </c>
      <c r="U645" t="s">
        <v>162</v>
      </c>
      <c r="V645" s="2">
        <v>1550</v>
      </c>
      <c r="W645" t="s">
        <v>4655</v>
      </c>
      <c r="X645" s="2">
        <v>0</v>
      </c>
      <c r="Y645">
        <v>20</v>
      </c>
      <c r="Z645" t="s">
        <v>5508</v>
      </c>
      <c r="AA645" s="3">
        <v>0.91496783494949341</v>
      </c>
      <c r="AB645" t="s">
        <v>8263</v>
      </c>
      <c r="AC645" t="s">
        <v>4575</v>
      </c>
      <c r="AD645" t="s">
        <v>8262</v>
      </c>
      <c r="AE645" t="s">
        <v>4655</v>
      </c>
      <c r="AF645" t="s">
        <v>4563</v>
      </c>
      <c r="AG645" t="s">
        <v>4564</v>
      </c>
      <c r="AH645" t="s">
        <v>2330</v>
      </c>
      <c r="AI645" t="s">
        <v>8264</v>
      </c>
      <c r="AJ645" t="s">
        <v>4655</v>
      </c>
      <c r="AK645" t="s">
        <v>8265</v>
      </c>
      <c r="AL645" s="13" t="s">
        <v>3420</v>
      </c>
      <c r="AM645">
        <v>1</v>
      </c>
      <c r="AN645" s="15" t="s">
        <v>165</v>
      </c>
    </row>
    <row r="646" spans="1:40" x14ac:dyDescent="0.3">
      <c r="A646" s="10" t="str">
        <f>HYPERLINK("http://www.washoecounty.gov/assessor/cama/?parid=009-106-01&amp;CardNumber=1","009-106-01")</f>
        <v>009-106-01</v>
      </c>
      <c r="B646" t="s">
        <v>4655</v>
      </c>
      <c r="C646" t="s">
        <v>8266</v>
      </c>
      <c r="D646" s="1">
        <v>40437</v>
      </c>
      <c r="E646" s="2">
        <v>235000</v>
      </c>
      <c r="F646" t="s">
        <v>4567</v>
      </c>
      <c r="G646" s="17" t="str">
        <f>HYPERLINK("https://www.washoecounty.gov/assessor/cama/?command=sales&amp;parid=00910601","3922836")</f>
        <v>3922836</v>
      </c>
      <c r="H646" t="s">
        <v>164</v>
      </c>
      <c r="I646">
        <v>1961</v>
      </c>
      <c r="J646">
        <v>1961</v>
      </c>
      <c r="K646" t="s">
        <v>4554</v>
      </c>
      <c r="L646" t="s">
        <v>4555</v>
      </c>
      <c r="M646" s="2">
        <v>1282</v>
      </c>
      <c r="N646" t="s">
        <v>4048</v>
      </c>
      <c r="O646">
        <v>2</v>
      </c>
      <c r="P646">
        <v>1</v>
      </c>
      <c r="Q646">
        <v>0</v>
      </c>
      <c r="R646" t="s">
        <v>4557</v>
      </c>
      <c r="S646" t="s">
        <v>4135</v>
      </c>
      <c r="T646" t="s">
        <v>1101</v>
      </c>
      <c r="U646" t="s">
        <v>4560</v>
      </c>
      <c r="V646" s="2">
        <v>780</v>
      </c>
      <c r="W646" t="s">
        <v>3201</v>
      </c>
      <c r="X646" s="2">
        <v>420</v>
      </c>
      <c r="Y646">
        <v>20</v>
      </c>
      <c r="Z646" t="s">
        <v>5508</v>
      </c>
      <c r="AA646" s="3">
        <v>0.84212583303451505</v>
      </c>
      <c r="AB646" t="s">
        <v>8267</v>
      </c>
      <c r="AC646" t="s">
        <v>4562</v>
      </c>
      <c r="AD646" t="s">
        <v>8266</v>
      </c>
      <c r="AE646" t="s">
        <v>4655</v>
      </c>
      <c r="AF646" t="s">
        <v>3114</v>
      </c>
      <c r="AG646" t="s">
        <v>4564</v>
      </c>
      <c r="AH646" t="s">
        <v>2330</v>
      </c>
      <c r="AI646" t="s">
        <v>4655</v>
      </c>
      <c r="AJ646" t="s">
        <v>4655</v>
      </c>
      <c r="AK646" t="s">
        <v>8268</v>
      </c>
      <c r="AL646" s="13" t="s">
        <v>3420</v>
      </c>
      <c r="AM646">
        <v>1</v>
      </c>
      <c r="AN646" s="15" t="s">
        <v>165</v>
      </c>
    </row>
    <row r="647" spans="1:40" x14ac:dyDescent="0.3">
      <c r="A647" s="10" t="str">
        <f>HYPERLINK("http://www.washoecounty.gov/assessor/cama/?parid=009-111-08&amp;CardNumber=1","009-111-08")</f>
        <v>009-111-08</v>
      </c>
      <c r="B647" t="s">
        <v>4655</v>
      </c>
      <c r="C647" t="s">
        <v>8269</v>
      </c>
      <c r="D647" s="1">
        <v>40210</v>
      </c>
      <c r="E647" s="2">
        <v>340000</v>
      </c>
      <c r="F647" t="s">
        <v>4553</v>
      </c>
      <c r="G647" s="17" t="str">
        <f>HYPERLINK("https://www.washoecounty.gov/assessor/cama/?command=sales&amp;parid=00911108","3844576")</f>
        <v>3844576</v>
      </c>
      <c r="H647" t="s">
        <v>164</v>
      </c>
      <c r="I647">
        <v>1956</v>
      </c>
      <c r="J647">
        <v>1956</v>
      </c>
      <c r="K647" t="s">
        <v>4554</v>
      </c>
      <c r="L647" t="s">
        <v>4555</v>
      </c>
      <c r="M647" s="2">
        <v>1787</v>
      </c>
      <c r="N647" t="s">
        <v>3887</v>
      </c>
      <c r="O647">
        <v>3</v>
      </c>
      <c r="P647">
        <v>2</v>
      </c>
      <c r="Q647">
        <v>0</v>
      </c>
      <c r="R647" t="s">
        <v>4557</v>
      </c>
      <c r="S647" t="s">
        <v>4682</v>
      </c>
      <c r="T647" t="s">
        <v>4559</v>
      </c>
      <c r="U647" t="s">
        <v>4560</v>
      </c>
      <c r="V647" s="2">
        <v>621</v>
      </c>
      <c r="W647" t="s">
        <v>3149</v>
      </c>
      <c r="X647" s="2">
        <v>320</v>
      </c>
      <c r="Y647">
        <v>20</v>
      </c>
      <c r="Z647" t="s">
        <v>3884</v>
      </c>
      <c r="AA647" s="3">
        <v>1.38822317123413</v>
      </c>
      <c r="AB647" t="s">
        <v>8270</v>
      </c>
      <c r="AC647" t="s">
        <v>4562</v>
      </c>
      <c r="AD647" t="s">
        <v>8269</v>
      </c>
      <c r="AE647" t="s">
        <v>4655</v>
      </c>
      <c r="AF647" t="s">
        <v>4563</v>
      </c>
      <c r="AG647" t="s">
        <v>4564</v>
      </c>
      <c r="AH647" t="s">
        <v>2330</v>
      </c>
      <c r="AI647" t="s">
        <v>4045</v>
      </c>
      <c r="AJ647" t="s">
        <v>4655</v>
      </c>
      <c r="AK647" t="s">
        <v>8271</v>
      </c>
      <c r="AL647" s="13" t="s">
        <v>3420</v>
      </c>
      <c r="AM647">
        <v>1</v>
      </c>
      <c r="AN647" s="15" t="s">
        <v>165</v>
      </c>
    </row>
    <row r="648" spans="1:40" x14ac:dyDescent="0.3">
      <c r="A648" s="10" t="str">
        <f>HYPERLINK("http://www.washoecounty.gov/assessor/cama/?parid=009-120-44&amp;CardNumber=1","009-120-44")</f>
        <v>009-120-44</v>
      </c>
      <c r="B648" t="s">
        <v>4655</v>
      </c>
      <c r="C648" t="s">
        <v>8272</v>
      </c>
      <c r="D648" s="1">
        <v>40501</v>
      </c>
      <c r="E648" s="2">
        <v>225000</v>
      </c>
      <c r="F648" t="s">
        <v>3259</v>
      </c>
      <c r="G648" s="17" t="str">
        <f>HYPERLINK("https://www.washoecounty.gov/assessor/cama/?command=sales&amp;parid=00912044","3945051")</f>
        <v>3945051</v>
      </c>
      <c r="H648" t="s">
        <v>8273</v>
      </c>
      <c r="I648">
        <v>0</v>
      </c>
      <c r="J648">
        <v>0</v>
      </c>
      <c r="K648" t="s">
        <v>4655</v>
      </c>
      <c r="L648" t="s">
        <v>4655</v>
      </c>
      <c r="M648" s="2">
        <v>0</v>
      </c>
      <c r="N648" t="s">
        <v>4655</v>
      </c>
      <c r="O648">
        <v>0</v>
      </c>
      <c r="P648">
        <v>0</v>
      </c>
      <c r="Q648">
        <v>0</v>
      </c>
      <c r="R648" t="s">
        <v>4655</v>
      </c>
      <c r="S648" t="s">
        <v>4655</v>
      </c>
      <c r="T648" t="s">
        <v>4655</v>
      </c>
      <c r="U648" t="s">
        <v>4655</v>
      </c>
      <c r="V648" s="2">
        <v>0</v>
      </c>
      <c r="W648" t="s">
        <v>4655</v>
      </c>
      <c r="X648" s="2">
        <v>0</v>
      </c>
      <c r="Y648">
        <v>12</v>
      </c>
      <c r="Z648" t="s">
        <v>1376</v>
      </c>
      <c r="AA648" s="3">
        <v>1</v>
      </c>
      <c r="AB648" t="s">
        <v>8274</v>
      </c>
      <c r="AC648" t="s">
        <v>4575</v>
      </c>
      <c r="AD648" t="s">
        <v>8275</v>
      </c>
      <c r="AE648" t="s">
        <v>4655</v>
      </c>
      <c r="AF648" t="s">
        <v>4563</v>
      </c>
      <c r="AG648" t="s">
        <v>4564</v>
      </c>
      <c r="AH648" t="s">
        <v>2330</v>
      </c>
      <c r="AI648" t="s">
        <v>8276</v>
      </c>
      <c r="AJ648" t="s">
        <v>8277</v>
      </c>
      <c r="AK648" t="s">
        <v>8278</v>
      </c>
      <c r="AL648" s="13" t="s">
        <v>3420</v>
      </c>
      <c r="AM648">
        <v>0</v>
      </c>
      <c r="AN648" s="15" t="s">
        <v>2324</v>
      </c>
    </row>
    <row r="649" spans="1:40" x14ac:dyDescent="0.3">
      <c r="A649" s="10" t="str">
        <f>HYPERLINK("http://www.washoecounty.gov/assessor/cama/?parid=009-132-05&amp;CardNumber=1","009-132-05")</f>
        <v>009-132-05</v>
      </c>
      <c r="B649" t="s">
        <v>4655</v>
      </c>
      <c r="C649" t="s">
        <v>8279</v>
      </c>
      <c r="D649" s="1">
        <v>40464</v>
      </c>
      <c r="E649" s="2">
        <v>685000</v>
      </c>
      <c r="F649" t="s">
        <v>4553</v>
      </c>
      <c r="G649" s="17" t="str">
        <f>HYPERLINK("https://www.washoecounty.gov/assessor/cama/?command=sales&amp;parid=00913205","3932451")</f>
        <v>3932451</v>
      </c>
      <c r="H649" t="s">
        <v>4764</v>
      </c>
      <c r="I649">
        <v>1950</v>
      </c>
      <c r="J649">
        <v>1977</v>
      </c>
      <c r="K649" t="s">
        <v>4554</v>
      </c>
      <c r="L649" t="s">
        <v>3974</v>
      </c>
      <c r="M649" s="2">
        <v>3652</v>
      </c>
      <c r="N649" t="s">
        <v>2012</v>
      </c>
      <c r="O649">
        <v>5</v>
      </c>
      <c r="P649">
        <v>3</v>
      </c>
      <c r="Q649">
        <v>1</v>
      </c>
      <c r="R649" t="s">
        <v>5281</v>
      </c>
      <c r="S649" t="s">
        <v>4135</v>
      </c>
      <c r="T649" t="s">
        <v>4559</v>
      </c>
      <c r="U649" t="s">
        <v>5631</v>
      </c>
      <c r="V649" s="2">
        <v>837</v>
      </c>
      <c r="W649" t="s">
        <v>4655</v>
      </c>
      <c r="X649" s="2">
        <v>0</v>
      </c>
      <c r="Y649">
        <v>20</v>
      </c>
      <c r="Z649" t="s">
        <v>1376</v>
      </c>
      <c r="AA649" s="3">
        <v>2.5</v>
      </c>
      <c r="AB649" t="s">
        <v>8280</v>
      </c>
      <c r="AC649" t="s">
        <v>4562</v>
      </c>
      <c r="AD649" t="s">
        <v>8281</v>
      </c>
      <c r="AE649" t="s">
        <v>4655</v>
      </c>
      <c r="AF649" t="s">
        <v>4563</v>
      </c>
      <c r="AG649" t="s">
        <v>4564</v>
      </c>
      <c r="AH649" t="s">
        <v>2330</v>
      </c>
      <c r="AI649" t="s">
        <v>4655</v>
      </c>
      <c r="AJ649" t="s">
        <v>4655</v>
      </c>
      <c r="AK649" t="s">
        <v>8282</v>
      </c>
      <c r="AL649" s="13" t="s">
        <v>3420</v>
      </c>
      <c r="AM649">
        <v>1</v>
      </c>
      <c r="AN649" s="15" t="s">
        <v>2324</v>
      </c>
    </row>
    <row r="650" spans="1:40" x14ac:dyDescent="0.3">
      <c r="A650" s="10" t="str">
        <f>HYPERLINK("http://www.washoecounty.gov/assessor/cama/?parid=009-132-21&amp;CardNumber=1","009-132-21")</f>
        <v>009-132-21</v>
      </c>
      <c r="B650" t="s">
        <v>5502</v>
      </c>
      <c r="C650" t="s">
        <v>2320</v>
      </c>
      <c r="D650" s="1">
        <v>40298</v>
      </c>
      <c r="E650" s="2">
        <v>2000000</v>
      </c>
      <c r="F650" t="s">
        <v>4567</v>
      </c>
      <c r="G650" s="17" t="str">
        <f>HYPERLINK("https://www.washoecounty.gov/assessor/cama/?command=sales&amp;parid=00913221","3876676")</f>
        <v>3876676</v>
      </c>
      <c r="H650" t="s">
        <v>2321</v>
      </c>
      <c r="I650">
        <v>1969</v>
      </c>
      <c r="J650">
        <v>1971</v>
      </c>
      <c r="K650" t="s">
        <v>4554</v>
      </c>
      <c r="L650" t="s">
        <v>4555</v>
      </c>
      <c r="M650" s="2">
        <v>4519</v>
      </c>
      <c r="N650" t="s">
        <v>8283</v>
      </c>
      <c r="O650">
        <v>3</v>
      </c>
      <c r="P650">
        <v>6</v>
      </c>
      <c r="Q650">
        <v>0</v>
      </c>
      <c r="R650" t="s">
        <v>5281</v>
      </c>
      <c r="S650" t="s">
        <v>4682</v>
      </c>
      <c r="T650" t="s">
        <v>4143</v>
      </c>
      <c r="U650" t="s">
        <v>4655</v>
      </c>
      <c r="V650" s="2">
        <v>0</v>
      </c>
      <c r="W650" t="s">
        <v>3149</v>
      </c>
      <c r="X650" s="2">
        <v>800</v>
      </c>
      <c r="Y650">
        <v>20</v>
      </c>
      <c r="Z650" t="s">
        <v>1376</v>
      </c>
      <c r="AA650" s="3">
        <v>2.8359999656677246</v>
      </c>
      <c r="AB650" t="s">
        <v>2322</v>
      </c>
      <c r="AC650" t="s">
        <v>4562</v>
      </c>
      <c r="AD650" t="s">
        <v>8284</v>
      </c>
      <c r="AE650" t="s">
        <v>4655</v>
      </c>
      <c r="AF650" t="s">
        <v>4563</v>
      </c>
      <c r="AG650" t="s">
        <v>4564</v>
      </c>
      <c r="AH650" t="s">
        <v>2330</v>
      </c>
      <c r="AI650" t="s">
        <v>8285</v>
      </c>
      <c r="AJ650" t="s">
        <v>4655</v>
      </c>
      <c r="AK650" t="s">
        <v>2323</v>
      </c>
      <c r="AL650" s="13" t="s">
        <v>1889</v>
      </c>
      <c r="AM650">
        <v>3</v>
      </c>
      <c r="AN650" s="15" t="s">
        <v>2324</v>
      </c>
    </row>
    <row r="651" spans="1:40" x14ac:dyDescent="0.3">
      <c r="A651" s="10" t="str">
        <f>HYPERLINK("http://www.washoecounty.gov/assessor/cama/?parid=009-132-36&amp;CardNumber=1","009-132-36")</f>
        <v>009-132-36</v>
      </c>
      <c r="B651" t="s">
        <v>4655</v>
      </c>
      <c r="C651" t="s">
        <v>8286</v>
      </c>
      <c r="D651" s="1">
        <v>40382</v>
      </c>
      <c r="E651" s="2">
        <v>3150000</v>
      </c>
      <c r="F651" t="s">
        <v>2900</v>
      </c>
      <c r="G651" s="17" t="str">
        <f>HYPERLINK("https://www.washoecounty.gov/assessor/cama/?command=sales&amp;parid=00913236","3904464")</f>
        <v>3904464</v>
      </c>
      <c r="H651" t="s">
        <v>8287</v>
      </c>
      <c r="I651">
        <v>0</v>
      </c>
      <c r="J651">
        <v>0</v>
      </c>
      <c r="K651" t="s">
        <v>4655</v>
      </c>
      <c r="L651" t="s">
        <v>4655</v>
      </c>
      <c r="M651" s="2">
        <v>0</v>
      </c>
      <c r="N651" t="s">
        <v>4655</v>
      </c>
      <c r="O651">
        <v>0</v>
      </c>
      <c r="P651">
        <v>0</v>
      </c>
      <c r="Q651">
        <v>0</v>
      </c>
      <c r="R651" t="s">
        <v>4655</v>
      </c>
      <c r="S651" t="s">
        <v>4655</v>
      </c>
      <c r="T651" t="s">
        <v>4655</v>
      </c>
      <c r="U651" t="s">
        <v>4655</v>
      </c>
      <c r="V651" s="2">
        <v>0</v>
      </c>
      <c r="W651" t="s">
        <v>4655</v>
      </c>
      <c r="X651" s="2">
        <v>0</v>
      </c>
      <c r="Y651">
        <v>12</v>
      </c>
      <c r="Z651" t="s">
        <v>1376</v>
      </c>
      <c r="AA651" s="3">
        <v>2.0699999332427899</v>
      </c>
      <c r="AB651" t="s">
        <v>8288</v>
      </c>
      <c r="AC651" t="s">
        <v>4562</v>
      </c>
      <c r="AD651" t="s">
        <v>8289</v>
      </c>
      <c r="AE651" t="s">
        <v>4655</v>
      </c>
      <c r="AF651" t="s">
        <v>4563</v>
      </c>
      <c r="AG651" t="s">
        <v>4564</v>
      </c>
      <c r="AH651">
        <v>89511</v>
      </c>
      <c r="AI651" t="s">
        <v>8290</v>
      </c>
      <c r="AJ651" t="s">
        <v>8291</v>
      </c>
      <c r="AK651" t="s">
        <v>8292</v>
      </c>
      <c r="AL651" s="13" t="s">
        <v>3420</v>
      </c>
      <c r="AM651" s="14">
        <v>0</v>
      </c>
      <c r="AN651" s="15" t="s">
        <v>2324</v>
      </c>
    </row>
    <row r="652" spans="1:40" x14ac:dyDescent="0.3">
      <c r="A652" s="10" t="str">
        <f>HYPERLINK("http://www.washoecounty.gov/assessor/cama/?parid=009-132-37&amp;CardNumber=1","009-132-37")</f>
        <v>009-132-37</v>
      </c>
      <c r="B652" t="s">
        <v>4655</v>
      </c>
      <c r="C652" t="s">
        <v>8289</v>
      </c>
      <c r="D652" s="1">
        <v>40382</v>
      </c>
      <c r="E652" s="2">
        <v>3150000</v>
      </c>
      <c r="F652" t="s">
        <v>2900</v>
      </c>
      <c r="G652" s="17" t="str">
        <f>HYPERLINK("https://www.washoecounty.gov/assessor/cama/?command=sales&amp;parid=00913237","3904473")</f>
        <v>3904473</v>
      </c>
      <c r="H652" t="s">
        <v>8287</v>
      </c>
      <c r="I652">
        <v>2002</v>
      </c>
      <c r="J652">
        <v>2002</v>
      </c>
      <c r="K652" t="s">
        <v>4554</v>
      </c>
      <c r="L652" t="s">
        <v>2170</v>
      </c>
      <c r="M652" s="2">
        <v>6456</v>
      </c>
      <c r="N652" t="s">
        <v>5629</v>
      </c>
      <c r="O652">
        <v>5</v>
      </c>
      <c r="P652">
        <v>6</v>
      </c>
      <c r="Q652">
        <v>1</v>
      </c>
      <c r="R652" t="s">
        <v>2632</v>
      </c>
      <c r="S652" t="s">
        <v>4135</v>
      </c>
      <c r="T652" t="s">
        <v>4559</v>
      </c>
      <c r="U652" t="s">
        <v>4560</v>
      </c>
      <c r="V652" s="2">
        <v>1305</v>
      </c>
      <c r="W652" t="s">
        <v>4655</v>
      </c>
      <c r="X652" s="2">
        <v>0</v>
      </c>
      <c r="Y652">
        <v>20</v>
      </c>
      <c r="Z652" t="s">
        <v>1376</v>
      </c>
      <c r="AA652" s="3">
        <v>3.13000011444091</v>
      </c>
      <c r="AB652" t="s">
        <v>8288</v>
      </c>
      <c r="AC652" t="s">
        <v>4562</v>
      </c>
      <c r="AD652" t="s">
        <v>8289</v>
      </c>
      <c r="AE652" t="s">
        <v>4655</v>
      </c>
      <c r="AF652" t="s">
        <v>4563</v>
      </c>
      <c r="AG652" t="s">
        <v>4564</v>
      </c>
      <c r="AH652">
        <v>89511</v>
      </c>
      <c r="AI652" t="s">
        <v>8290</v>
      </c>
      <c r="AJ652" t="s">
        <v>8291</v>
      </c>
      <c r="AK652" t="s">
        <v>8293</v>
      </c>
      <c r="AL652" s="13" t="s">
        <v>3420</v>
      </c>
      <c r="AM652" s="14">
        <v>1</v>
      </c>
      <c r="AN652" s="15" t="s">
        <v>2324</v>
      </c>
    </row>
    <row r="653" spans="1:40" x14ac:dyDescent="0.3">
      <c r="A653" s="10" t="str">
        <f>HYPERLINK("http://www.washoecounty.gov/assessor/cama/?parid=009-151-41&amp;CardNumber=1","009-151-41")</f>
        <v>009-151-41</v>
      </c>
      <c r="B653" t="s">
        <v>4655</v>
      </c>
      <c r="C653" t="s">
        <v>8294</v>
      </c>
      <c r="D653" s="1">
        <v>40494</v>
      </c>
      <c r="E653" s="2">
        <v>353976</v>
      </c>
      <c r="F653" t="s">
        <v>4567</v>
      </c>
      <c r="G653" s="17" t="str">
        <f>HYPERLINK("https://www.washoecounty.gov/assessor/cama/?command=sales&amp;parid=00915141","3942656")</f>
        <v>3942656</v>
      </c>
      <c r="H653" t="s">
        <v>2386</v>
      </c>
      <c r="I653">
        <v>2010</v>
      </c>
      <c r="J653">
        <v>2010</v>
      </c>
      <c r="K653" t="s">
        <v>4897</v>
      </c>
      <c r="L653" t="s">
        <v>3974</v>
      </c>
      <c r="M653" s="2">
        <v>2164</v>
      </c>
      <c r="N653" t="s">
        <v>5106</v>
      </c>
      <c r="O653">
        <v>2</v>
      </c>
      <c r="P653">
        <v>2</v>
      </c>
      <c r="Q653">
        <v>1</v>
      </c>
      <c r="R653" t="s">
        <v>5281</v>
      </c>
      <c r="S653" t="s">
        <v>4898</v>
      </c>
      <c r="T653" t="s">
        <v>2704</v>
      </c>
      <c r="U653" t="s">
        <v>5631</v>
      </c>
      <c r="V653" s="2">
        <v>460</v>
      </c>
      <c r="W653" t="s">
        <v>4655</v>
      </c>
      <c r="X653" s="2">
        <v>0</v>
      </c>
      <c r="Y653">
        <v>20</v>
      </c>
      <c r="Z653" t="s">
        <v>5282</v>
      </c>
      <c r="AA653" s="3">
        <v>4.3434344232082402E-2</v>
      </c>
      <c r="AB653" t="s">
        <v>8295</v>
      </c>
      <c r="AC653" t="s">
        <v>4562</v>
      </c>
      <c r="AD653" t="s">
        <v>8296</v>
      </c>
      <c r="AE653" t="s">
        <v>4655</v>
      </c>
      <c r="AF653" t="s">
        <v>4563</v>
      </c>
      <c r="AG653" t="s">
        <v>4564</v>
      </c>
      <c r="AH653" t="s">
        <v>2330</v>
      </c>
      <c r="AI653" t="s">
        <v>2387</v>
      </c>
      <c r="AJ653" t="s">
        <v>8297</v>
      </c>
      <c r="AK653" t="s">
        <v>8298</v>
      </c>
      <c r="AL653" s="13" t="s">
        <v>2255</v>
      </c>
      <c r="AM653">
        <v>1</v>
      </c>
      <c r="AN653" s="15" t="s">
        <v>1549</v>
      </c>
    </row>
    <row r="654" spans="1:40" x14ac:dyDescent="0.3">
      <c r="A654" s="10" t="str">
        <f>HYPERLINK("http://www.washoecounty.gov/assessor/cama/?parid=009-151-45&amp;CardNumber=1","009-151-45")</f>
        <v>009-151-45</v>
      </c>
      <c r="B654" t="s">
        <v>4655</v>
      </c>
      <c r="C654" t="s">
        <v>8299</v>
      </c>
      <c r="D654" s="1">
        <v>40378</v>
      </c>
      <c r="E654" s="2">
        <v>375000</v>
      </c>
      <c r="F654" t="s">
        <v>4567</v>
      </c>
      <c r="G654" s="17" t="str">
        <f>HYPERLINK("https://www.washoecounty.gov/assessor/cama/?command=sales&amp;parid=00915145","3902442")</f>
        <v>3902442</v>
      </c>
      <c r="H654" t="s">
        <v>2386</v>
      </c>
      <c r="I654">
        <v>2008</v>
      </c>
      <c r="J654">
        <v>2008</v>
      </c>
      <c r="K654" t="s">
        <v>4897</v>
      </c>
      <c r="L654" t="s">
        <v>3974</v>
      </c>
      <c r="M654" s="2">
        <v>2699</v>
      </c>
      <c r="N654" t="s">
        <v>5106</v>
      </c>
      <c r="O654">
        <v>3</v>
      </c>
      <c r="P654">
        <v>2</v>
      </c>
      <c r="Q654">
        <v>1</v>
      </c>
      <c r="R654" t="s">
        <v>5281</v>
      </c>
      <c r="S654" t="s">
        <v>4898</v>
      </c>
      <c r="T654" t="s">
        <v>2704</v>
      </c>
      <c r="U654" t="s">
        <v>5631</v>
      </c>
      <c r="V654" s="2">
        <v>399</v>
      </c>
      <c r="W654" t="s">
        <v>4655</v>
      </c>
      <c r="X654" s="2">
        <v>0</v>
      </c>
      <c r="Y654">
        <v>21</v>
      </c>
      <c r="Z654" t="s">
        <v>5282</v>
      </c>
      <c r="AA654" s="3">
        <v>5.0436180084943799E-2</v>
      </c>
      <c r="AB654" t="s">
        <v>8300</v>
      </c>
      <c r="AC654" t="s">
        <v>4562</v>
      </c>
      <c r="AD654" t="s">
        <v>8301</v>
      </c>
      <c r="AE654" t="s">
        <v>4655</v>
      </c>
      <c r="AF654" t="s">
        <v>4563</v>
      </c>
      <c r="AG654" t="s">
        <v>4564</v>
      </c>
      <c r="AH654">
        <v>89511</v>
      </c>
      <c r="AI654" t="s">
        <v>2387</v>
      </c>
      <c r="AJ654" t="s">
        <v>8302</v>
      </c>
      <c r="AK654" t="s">
        <v>8303</v>
      </c>
      <c r="AL654" s="13" t="s">
        <v>2255</v>
      </c>
      <c r="AM654" s="14">
        <v>1</v>
      </c>
      <c r="AN654" s="15" t="s">
        <v>1549</v>
      </c>
    </row>
    <row r="655" spans="1:40" x14ac:dyDescent="0.3">
      <c r="A655" s="10" t="str">
        <f>HYPERLINK("http://www.washoecounty.gov/assessor/cama/?parid=009-151-48&amp;CardNumber=1","009-151-48")</f>
        <v>009-151-48</v>
      </c>
      <c r="B655" t="s">
        <v>4655</v>
      </c>
      <c r="C655" t="s">
        <v>8304</v>
      </c>
      <c r="D655" s="1">
        <v>40451</v>
      </c>
      <c r="E655" s="2">
        <v>333264</v>
      </c>
      <c r="F655" t="s">
        <v>4567</v>
      </c>
      <c r="G655" s="17" t="str">
        <f>HYPERLINK("https://www.washoecounty.gov/assessor/cama/?command=sales&amp;parid=00915148","3928313")</f>
        <v>3928313</v>
      </c>
      <c r="H655" t="s">
        <v>2386</v>
      </c>
      <c r="I655">
        <v>2008</v>
      </c>
      <c r="J655">
        <v>2008</v>
      </c>
      <c r="K655" t="s">
        <v>4897</v>
      </c>
      <c r="L655" t="s">
        <v>3974</v>
      </c>
      <c r="M655" s="2">
        <v>2164</v>
      </c>
      <c r="N655" t="s">
        <v>5106</v>
      </c>
      <c r="O655">
        <v>3</v>
      </c>
      <c r="P655">
        <v>2</v>
      </c>
      <c r="Q655">
        <v>1</v>
      </c>
      <c r="R655" t="s">
        <v>5281</v>
      </c>
      <c r="S655" t="s">
        <v>4898</v>
      </c>
      <c r="T655" t="s">
        <v>2704</v>
      </c>
      <c r="U655" t="s">
        <v>5631</v>
      </c>
      <c r="V655" s="2">
        <v>460</v>
      </c>
      <c r="W655" t="s">
        <v>4655</v>
      </c>
      <c r="X655" s="2">
        <v>0</v>
      </c>
      <c r="Y655">
        <v>21</v>
      </c>
      <c r="Z655" t="s">
        <v>5282</v>
      </c>
      <c r="AA655" s="3">
        <v>4.32277321815491E-2</v>
      </c>
      <c r="AB655" t="s">
        <v>8305</v>
      </c>
      <c r="AC655" t="s">
        <v>4562</v>
      </c>
      <c r="AD655" t="s">
        <v>8306</v>
      </c>
      <c r="AE655" t="s">
        <v>4655</v>
      </c>
      <c r="AF655" t="s">
        <v>4563</v>
      </c>
      <c r="AG655" t="s">
        <v>4564</v>
      </c>
      <c r="AH655" t="s">
        <v>2330</v>
      </c>
      <c r="AI655" t="s">
        <v>2387</v>
      </c>
      <c r="AJ655" t="s">
        <v>8307</v>
      </c>
      <c r="AK655" t="s">
        <v>8308</v>
      </c>
      <c r="AL655" s="13" t="s">
        <v>2255</v>
      </c>
      <c r="AM655">
        <v>1</v>
      </c>
      <c r="AN655" s="15" t="s">
        <v>1549</v>
      </c>
    </row>
    <row r="656" spans="1:40" x14ac:dyDescent="0.3">
      <c r="A656" s="10" t="str">
        <f>HYPERLINK("http://www.washoecounty.gov/assessor/cama/?parid=009-151-49&amp;CardNumber=1","009-151-49")</f>
        <v>009-151-49</v>
      </c>
      <c r="B656" t="s">
        <v>4655</v>
      </c>
      <c r="C656" t="s">
        <v>8309</v>
      </c>
      <c r="D656" s="1">
        <v>40498</v>
      </c>
      <c r="E656" s="2">
        <v>380000</v>
      </c>
      <c r="F656" t="s">
        <v>4567</v>
      </c>
      <c r="G656" s="17" t="str">
        <f>HYPERLINK("https://www.washoecounty.gov/assessor/cama/?command=sales&amp;parid=00915149","3943564")</f>
        <v>3943564</v>
      </c>
      <c r="H656" t="s">
        <v>2386</v>
      </c>
      <c r="I656">
        <v>2010</v>
      </c>
      <c r="J656">
        <v>2010</v>
      </c>
      <c r="K656" t="s">
        <v>4897</v>
      </c>
      <c r="L656" t="s">
        <v>3974</v>
      </c>
      <c r="M656" s="2">
        <v>2699</v>
      </c>
      <c r="N656" t="s">
        <v>5106</v>
      </c>
      <c r="O656">
        <v>3</v>
      </c>
      <c r="P656">
        <v>2</v>
      </c>
      <c r="Q656">
        <v>1</v>
      </c>
      <c r="R656" t="s">
        <v>5281</v>
      </c>
      <c r="S656" t="s">
        <v>4898</v>
      </c>
      <c r="T656" t="s">
        <v>2704</v>
      </c>
      <c r="U656" t="s">
        <v>5631</v>
      </c>
      <c r="V656" s="2">
        <v>399</v>
      </c>
      <c r="W656" t="s">
        <v>4655</v>
      </c>
      <c r="X656" s="2">
        <v>0</v>
      </c>
      <c r="Y656">
        <v>20</v>
      </c>
      <c r="Z656" t="s">
        <v>5282</v>
      </c>
      <c r="AA656" s="3">
        <v>5.0436180084943799E-2</v>
      </c>
      <c r="AB656" t="s">
        <v>857</v>
      </c>
      <c r="AC656" t="s">
        <v>4575</v>
      </c>
      <c r="AD656" t="s">
        <v>858</v>
      </c>
      <c r="AE656" t="s">
        <v>4655</v>
      </c>
      <c r="AF656" t="s">
        <v>4563</v>
      </c>
      <c r="AG656" t="s">
        <v>4564</v>
      </c>
      <c r="AH656" t="s">
        <v>2330</v>
      </c>
      <c r="AI656" t="s">
        <v>2387</v>
      </c>
      <c r="AJ656" t="s">
        <v>8310</v>
      </c>
      <c r="AK656" t="s">
        <v>8311</v>
      </c>
      <c r="AL656" s="13" t="s">
        <v>2255</v>
      </c>
      <c r="AM656">
        <v>1</v>
      </c>
      <c r="AN656" s="15" t="s">
        <v>1549</v>
      </c>
    </row>
    <row r="657" spans="1:40" x14ac:dyDescent="0.3">
      <c r="A657" s="10" t="str">
        <f>HYPERLINK("http://www.washoecounty.gov/assessor/cama/?parid=009-151-50&amp;CardNumber=1","009-151-50")</f>
        <v>009-151-50</v>
      </c>
      <c r="B657" t="s">
        <v>4655</v>
      </c>
      <c r="C657" t="s">
        <v>8312</v>
      </c>
      <c r="D657" s="1">
        <v>40423</v>
      </c>
      <c r="E657" s="2">
        <v>384208</v>
      </c>
      <c r="F657" t="s">
        <v>3259</v>
      </c>
      <c r="G657" s="17" t="str">
        <f>HYPERLINK("https://www.washoecounty.gov/assessor/cama/?command=sales&amp;parid=00915150","3918268")</f>
        <v>3918268</v>
      </c>
      <c r="H657" t="s">
        <v>2386</v>
      </c>
      <c r="I657">
        <v>2010</v>
      </c>
      <c r="J657">
        <v>2010</v>
      </c>
      <c r="K657" t="s">
        <v>4897</v>
      </c>
      <c r="L657" t="s">
        <v>3974</v>
      </c>
      <c r="M657" s="2">
        <v>2164</v>
      </c>
      <c r="N657" t="s">
        <v>5106</v>
      </c>
      <c r="O657">
        <v>2</v>
      </c>
      <c r="P657">
        <v>2</v>
      </c>
      <c r="Q657">
        <v>1</v>
      </c>
      <c r="R657" t="s">
        <v>5281</v>
      </c>
      <c r="S657" t="s">
        <v>4898</v>
      </c>
      <c r="T657" t="s">
        <v>2704</v>
      </c>
      <c r="U657" t="s">
        <v>5631</v>
      </c>
      <c r="V657" s="2">
        <v>460</v>
      </c>
      <c r="W657" t="s">
        <v>4655</v>
      </c>
      <c r="X657" s="2">
        <v>0</v>
      </c>
      <c r="Y657">
        <v>20</v>
      </c>
      <c r="Z657" t="s">
        <v>5282</v>
      </c>
      <c r="AA657" s="3">
        <v>4.31588627398014E-2</v>
      </c>
      <c r="AB657" t="s">
        <v>8313</v>
      </c>
      <c r="AC657" t="s">
        <v>4562</v>
      </c>
      <c r="AD657" t="s">
        <v>8314</v>
      </c>
      <c r="AE657" t="s">
        <v>4655</v>
      </c>
      <c r="AF657" t="s">
        <v>4563</v>
      </c>
      <c r="AG657" t="s">
        <v>4564</v>
      </c>
      <c r="AH657" t="s">
        <v>2330</v>
      </c>
      <c r="AI657" t="s">
        <v>2387</v>
      </c>
      <c r="AJ657" t="s">
        <v>8315</v>
      </c>
      <c r="AK657" t="s">
        <v>8316</v>
      </c>
      <c r="AL657" s="13" t="s">
        <v>2255</v>
      </c>
      <c r="AM657" s="14">
        <v>1</v>
      </c>
      <c r="AN657" s="15" t="s">
        <v>1549</v>
      </c>
    </row>
    <row r="658" spans="1:40" x14ac:dyDescent="0.3">
      <c r="A658" s="10" t="str">
        <f>HYPERLINK("http://www.washoecounty.gov/assessor/cama/?parid=009-151-51&amp;CardNumber=1","009-151-51")</f>
        <v>009-151-51</v>
      </c>
      <c r="B658" t="s">
        <v>4655</v>
      </c>
      <c r="C658" t="s">
        <v>8317</v>
      </c>
      <c r="D658" s="1">
        <v>40542</v>
      </c>
      <c r="E658" s="2">
        <v>367219</v>
      </c>
      <c r="F658" t="s">
        <v>4567</v>
      </c>
      <c r="G658" s="17" t="str">
        <f>HYPERLINK("https://www.washoecounty.gov/assessor/cama/?command=sales&amp;parid=00915151","3958960")</f>
        <v>3958960</v>
      </c>
      <c r="H658" t="s">
        <v>2386</v>
      </c>
      <c r="I658">
        <v>2010</v>
      </c>
      <c r="J658">
        <v>2010</v>
      </c>
      <c r="K658" t="s">
        <v>4897</v>
      </c>
      <c r="L658" t="s">
        <v>3974</v>
      </c>
      <c r="M658" s="2">
        <v>2164</v>
      </c>
      <c r="N658" t="s">
        <v>5106</v>
      </c>
      <c r="O658">
        <v>4</v>
      </c>
      <c r="P658">
        <v>3</v>
      </c>
      <c r="Q658">
        <v>0</v>
      </c>
      <c r="R658" t="s">
        <v>5281</v>
      </c>
      <c r="S658" t="s">
        <v>4898</v>
      </c>
      <c r="T658" t="s">
        <v>2704</v>
      </c>
      <c r="U658" t="s">
        <v>5631</v>
      </c>
      <c r="V658" s="2">
        <v>460</v>
      </c>
      <c r="W658" t="s">
        <v>4655</v>
      </c>
      <c r="X658" s="2">
        <v>0</v>
      </c>
      <c r="Y658">
        <v>20</v>
      </c>
      <c r="Z658" t="s">
        <v>5282</v>
      </c>
      <c r="AA658" s="3">
        <v>4.3434344232082402E-2</v>
      </c>
      <c r="AB658" t="s">
        <v>8318</v>
      </c>
      <c r="AC658" t="s">
        <v>4575</v>
      </c>
      <c r="AD658" t="s">
        <v>8319</v>
      </c>
      <c r="AE658" t="s">
        <v>4655</v>
      </c>
      <c r="AF658" t="s">
        <v>4563</v>
      </c>
      <c r="AG658" t="s">
        <v>4564</v>
      </c>
      <c r="AH658" t="s">
        <v>2330</v>
      </c>
      <c r="AI658" t="s">
        <v>4655</v>
      </c>
      <c r="AJ658" t="s">
        <v>8320</v>
      </c>
      <c r="AK658" t="s">
        <v>8321</v>
      </c>
      <c r="AL658" s="13" t="s">
        <v>2255</v>
      </c>
      <c r="AM658">
        <v>1</v>
      </c>
      <c r="AN658" s="15" t="s">
        <v>1549</v>
      </c>
    </row>
    <row r="659" spans="1:40" x14ac:dyDescent="0.3">
      <c r="A659" s="10" t="str">
        <f>HYPERLINK("http://www.washoecounty.gov/assessor/cama/?parid=009-151-52&amp;CardNumber=1","009-151-52")</f>
        <v>009-151-52</v>
      </c>
      <c r="B659" t="s">
        <v>4655</v>
      </c>
      <c r="C659" t="s">
        <v>8322</v>
      </c>
      <c r="D659" s="1">
        <v>40539</v>
      </c>
      <c r="E659" s="2">
        <v>389097</v>
      </c>
      <c r="F659" t="s">
        <v>4567</v>
      </c>
      <c r="G659" s="17" t="str">
        <f>HYPERLINK("https://www.washoecounty.gov/assessor/cama/?command=sales&amp;parid=00915152","3957552")</f>
        <v>3957552</v>
      </c>
      <c r="H659" t="s">
        <v>2386</v>
      </c>
      <c r="I659">
        <v>2010</v>
      </c>
      <c r="J659">
        <v>2010</v>
      </c>
      <c r="K659" t="s">
        <v>4897</v>
      </c>
      <c r="L659" t="s">
        <v>3974</v>
      </c>
      <c r="M659" s="2">
        <v>2699</v>
      </c>
      <c r="N659" t="s">
        <v>5106</v>
      </c>
      <c r="O659">
        <v>3</v>
      </c>
      <c r="P659">
        <v>2</v>
      </c>
      <c r="Q659">
        <v>1</v>
      </c>
      <c r="R659" t="s">
        <v>5281</v>
      </c>
      <c r="S659" t="s">
        <v>4898</v>
      </c>
      <c r="T659" t="s">
        <v>2704</v>
      </c>
      <c r="U659" t="s">
        <v>5631</v>
      </c>
      <c r="V659" s="2">
        <v>399</v>
      </c>
      <c r="W659" t="s">
        <v>4655</v>
      </c>
      <c r="X659" s="2">
        <v>0</v>
      </c>
      <c r="Y659">
        <v>20</v>
      </c>
      <c r="Z659" t="s">
        <v>5282</v>
      </c>
      <c r="AA659" s="3">
        <v>5.0436180084943799E-2</v>
      </c>
      <c r="AB659" t="s">
        <v>8323</v>
      </c>
      <c r="AC659" t="s">
        <v>4562</v>
      </c>
      <c r="AD659" t="s">
        <v>8324</v>
      </c>
      <c r="AE659" t="s">
        <v>4655</v>
      </c>
      <c r="AF659" t="s">
        <v>4563</v>
      </c>
      <c r="AG659" t="s">
        <v>4564</v>
      </c>
      <c r="AH659">
        <v>89509</v>
      </c>
      <c r="AI659" t="s">
        <v>2387</v>
      </c>
      <c r="AJ659" t="s">
        <v>8325</v>
      </c>
      <c r="AK659" t="s">
        <v>8326</v>
      </c>
      <c r="AL659" s="13" t="s">
        <v>2255</v>
      </c>
      <c r="AM659">
        <v>1</v>
      </c>
      <c r="AN659" s="15" t="s">
        <v>1549</v>
      </c>
    </row>
    <row r="660" spans="1:40" x14ac:dyDescent="0.3">
      <c r="A660" s="10" t="str">
        <f>HYPERLINK("http://www.washoecounty.gov/assessor/cama/?parid=009-181-06&amp;CardNumber=1","009-181-06")</f>
        <v>009-181-06</v>
      </c>
      <c r="B660" t="s">
        <v>4655</v>
      </c>
      <c r="C660" t="s">
        <v>8327</v>
      </c>
      <c r="D660" s="1">
        <v>40437</v>
      </c>
      <c r="E660" s="2">
        <v>315000</v>
      </c>
      <c r="F660" t="s">
        <v>4553</v>
      </c>
      <c r="G660" s="17" t="str">
        <f>HYPERLINK("https://www.washoecounty.gov/assessor/cama/?command=sales&amp;parid=00918106","3923113")</f>
        <v>3923113</v>
      </c>
      <c r="H660" t="s">
        <v>1993</v>
      </c>
      <c r="I660">
        <v>1965</v>
      </c>
      <c r="J660">
        <v>1965</v>
      </c>
      <c r="K660" t="s">
        <v>4554</v>
      </c>
      <c r="L660" t="s">
        <v>4555</v>
      </c>
      <c r="M660" s="2">
        <v>1691</v>
      </c>
      <c r="N660" t="s">
        <v>5280</v>
      </c>
      <c r="O660">
        <v>3</v>
      </c>
      <c r="P660">
        <v>2</v>
      </c>
      <c r="Q660">
        <v>0</v>
      </c>
      <c r="R660" t="s">
        <v>4557</v>
      </c>
      <c r="S660" t="s">
        <v>4135</v>
      </c>
      <c r="T660" t="s">
        <v>4559</v>
      </c>
      <c r="U660" t="s">
        <v>4560</v>
      </c>
      <c r="V660" s="2">
        <v>440</v>
      </c>
      <c r="W660" t="s">
        <v>4655</v>
      </c>
      <c r="X660" s="2">
        <v>0</v>
      </c>
      <c r="Y660">
        <v>20</v>
      </c>
      <c r="Z660" t="s">
        <v>385</v>
      </c>
      <c r="AA660" s="3">
        <v>0.28000459074974099</v>
      </c>
      <c r="AB660" t="s">
        <v>1289</v>
      </c>
      <c r="AC660" t="s">
        <v>4575</v>
      </c>
      <c r="AD660" t="s">
        <v>8327</v>
      </c>
      <c r="AE660" t="s">
        <v>4655</v>
      </c>
      <c r="AF660" t="s">
        <v>4563</v>
      </c>
      <c r="AG660" t="s">
        <v>4564</v>
      </c>
      <c r="AH660">
        <v>89509</v>
      </c>
      <c r="AI660" t="s">
        <v>8328</v>
      </c>
      <c r="AJ660" t="s">
        <v>4655</v>
      </c>
      <c r="AK660" t="s">
        <v>8329</v>
      </c>
      <c r="AL660" s="13" t="s">
        <v>2255</v>
      </c>
      <c r="AM660">
        <v>1</v>
      </c>
      <c r="AN660" s="15" t="s">
        <v>1650</v>
      </c>
    </row>
    <row r="661" spans="1:40" x14ac:dyDescent="0.3">
      <c r="A661" s="10" t="str">
        <f>HYPERLINK("http://www.washoecounty.gov/assessor/cama/?parid=009-193-20&amp;CardNumber=1","009-193-20")</f>
        <v>009-193-20</v>
      </c>
      <c r="B661" t="s">
        <v>4655</v>
      </c>
      <c r="C661" t="s">
        <v>8330</v>
      </c>
      <c r="D661" s="1">
        <v>40423</v>
      </c>
      <c r="E661" s="2">
        <v>225000</v>
      </c>
      <c r="F661" t="s">
        <v>4567</v>
      </c>
      <c r="G661" s="17" t="str">
        <f>HYPERLINK("https://www.washoecounty.gov/assessor/cama/?command=sales&amp;parid=00919320","3918561")</f>
        <v>3918561</v>
      </c>
      <c r="H661" t="s">
        <v>1993</v>
      </c>
      <c r="I661">
        <v>1966</v>
      </c>
      <c r="J661">
        <v>1968</v>
      </c>
      <c r="K661" t="s">
        <v>4554</v>
      </c>
      <c r="L661" t="s">
        <v>2170</v>
      </c>
      <c r="M661" s="2">
        <v>2828</v>
      </c>
      <c r="N661" t="s">
        <v>5280</v>
      </c>
      <c r="O661">
        <v>5</v>
      </c>
      <c r="P661">
        <v>3</v>
      </c>
      <c r="Q661">
        <v>0</v>
      </c>
      <c r="R661" t="s">
        <v>4557</v>
      </c>
      <c r="S661" t="s">
        <v>4558</v>
      </c>
      <c r="T661" t="s">
        <v>4559</v>
      </c>
      <c r="U661" t="s">
        <v>4560</v>
      </c>
      <c r="V661" s="2">
        <v>168</v>
      </c>
      <c r="W661" t="s">
        <v>4655</v>
      </c>
      <c r="X661" s="2">
        <v>0</v>
      </c>
      <c r="Y661">
        <v>20</v>
      </c>
      <c r="Z661" t="s">
        <v>385</v>
      </c>
      <c r="AA661" s="3">
        <v>0.21000918745994601</v>
      </c>
      <c r="AB661" t="s">
        <v>8331</v>
      </c>
      <c r="AC661" t="s">
        <v>4562</v>
      </c>
      <c r="AD661" t="s">
        <v>8330</v>
      </c>
      <c r="AE661" t="s">
        <v>4655</v>
      </c>
      <c r="AF661" t="s">
        <v>4563</v>
      </c>
      <c r="AG661" t="s">
        <v>4564</v>
      </c>
      <c r="AH661">
        <v>89509</v>
      </c>
      <c r="AI661" t="s">
        <v>8332</v>
      </c>
      <c r="AJ661" t="s">
        <v>4655</v>
      </c>
      <c r="AK661" t="s">
        <v>8333</v>
      </c>
      <c r="AL661" s="13" t="s">
        <v>2255</v>
      </c>
      <c r="AM661">
        <v>1</v>
      </c>
      <c r="AN661" s="15" t="s">
        <v>1650</v>
      </c>
    </row>
    <row r="662" spans="1:40" x14ac:dyDescent="0.3">
      <c r="A662" s="10" t="str">
        <f>HYPERLINK("http://www.washoecounty.gov/assessor/cama/?parid=009-195-02&amp;CardNumber=1","009-195-02")</f>
        <v>009-195-02</v>
      </c>
      <c r="B662" t="s">
        <v>4655</v>
      </c>
      <c r="C662" t="s">
        <v>8334</v>
      </c>
      <c r="D662" s="1">
        <v>40252</v>
      </c>
      <c r="E662" s="2">
        <v>229000</v>
      </c>
      <c r="F662" t="s">
        <v>4567</v>
      </c>
      <c r="G662" s="17" t="str">
        <f>HYPERLINK("https://www.washoecounty.gov/assessor/cama/?command=sales&amp;parid=00919502","3859728")</f>
        <v>3859728</v>
      </c>
      <c r="H662" t="s">
        <v>1993</v>
      </c>
      <c r="I662">
        <v>1966</v>
      </c>
      <c r="J662">
        <v>1966</v>
      </c>
      <c r="K662" t="s">
        <v>4554</v>
      </c>
      <c r="L662" t="s">
        <v>4555</v>
      </c>
      <c r="M662" s="2">
        <v>1697</v>
      </c>
      <c r="N662" t="s">
        <v>5280</v>
      </c>
      <c r="O662">
        <v>3</v>
      </c>
      <c r="P662">
        <v>2</v>
      </c>
      <c r="Q662">
        <v>0</v>
      </c>
      <c r="R662" t="s">
        <v>4557</v>
      </c>
      <c r="S662" t="s">
        <v>3148</v>
      </c>
      <c r="T662" t="s">
        <v>4559</v>
      </c>
      <c r="U662" t="s">
        <v>4560</v>
      </c>
      <c r="V662" s="2">
        <v>441</v>
      </c>
      <c r="W662" t="s">
        <v>4655</v>
      </c>
      <c r="X662" s="2">
        <v>0</v>
      </c>
      <c r="Y662">
        <v>20</v>
      </c>
      <c r="Z662" t="s">
        <v>385</v>
      </c>
      <c r="AA662" s="3">
        <v>0.20000000298023199</v>
      </c>
      <c r="AB662" t="s">
        <v>8335</v>
      </c>
      <c r="AC662" t="s">
        <v>4575</v>
      </c>
      <c r="AD662" t="s">
        <v>8336</v>
      </c>
      <c r="AE662" t="s">
        <v>4655</v>
      </c>
      <c r="AF662" t="s">
        <v>4563</v>
      </c>
      <c r="AG662" t="s">
        <v>4564</v>
      </c>
      <c r="AH662">
        <v>89501</v>
      </c>
      <c r="AI662" t="s">
        <v>8337</v>
      </c>
      <c r="AJ662" t="s">
        <v>4655</v>
      </c>
      <c r="AK662" t="s">
        <v>8338</v>
      </c>
      <c r="AL662" s="13" t="s">
        <v>2255</v>
      </c>
      <c r="AM662" s="14">
        <v>1</v>
      </c>
      <c r="AN662" s="15" t="s">
        <v>1650</v>
      </c>
    </row>
    <row r="663" spans="1:40" x14ac:dyDescent="0.3">
      <c r="A663" s="10" t="str">
        <f>HYPERLINK("http://www.washoecounty.gov/assessor/cama/?parid=009-201-06&amp;CardNumber=1","009-201-06")</f>
        <v>009-201-06</v>
      </c>
      <c r="B663" t="s">
        <v>4655</v>
      </c>
      <c r="C663" t="s">
        <v>8339</v>
      </c>
      <c r="D663" s="1">
        <v>40337</v>
      </c>
      <c r="E663" s="2">
        <v>151000</v>
      </c>
      <c r="F663" t="s">
        <v>4553</v>
      </c>
      <c r="G663" s="17" t="str">
        <f>HYPERLINK("https://www.washoecounty.gov/assessor/cama/?command=sales&amp;parid=00920106","3889388")</f>
        <v>3889388</v>
      </c>
      <c r="H663" t="s">
        <v>5279</v>
      </c>
      <c r="I663">
        <v>1958</v>
      </c>
      <c r="J663">
        <v>1958</v>
      </c>
      <c r="K663" t="s">
        <v>4554</v>
      </c>
      <c r="L663" t="s">
        <v>4555</v>
      </c>
      <c r="M663" s="2">
        <v>1256</v>
      </c>
      <c r="N663" t="s">
        <v>4048</v>
      </c>
      <c r="O663">
        <v>3</v>
      </c>
      <c r="P663">
        <v>1</v>
      </c>
      <c r="Q663">
        <v>0</v>
      </c>
      <c r="R663" t="s">
        <v>4557</v>
      </c>
      <c r="S663" t="s">
        <v>4558</v>
      </c>
      <c r="T663" t="s">
        <v>4559</v>
      </c>
      <c r="U663" t="s">
        <v>4655</v>
      </c>
      <c r="V663" s="2">
        <v>0</v>
      </c>
      <c r="W663" t="s">
        <v>4655</v>
      </c>
      <c r="X663" s="2">
        <v>0</v>
      </c>
      <c r="Y663">
        <v>20</v>
      </c>
      <c r="Z663" t="s">
        <v>385</v>
      </c>
      <c r="AA663" s="3">
        <v>0.38000458478927601</v>
      </c>
      <c r="AB663" t="s">
        <v>8340</v>
      </c>
      <c r="AC663" t="s">
        <v>4575</v>
      </c>
      <c r="AD663" t="s">
        <v>8341</v>
      </c>
      <c r="AE663" t="s">
        <v>4655</v>
      </c>
      <c r="AF663" t="s">
        <v>4563</v>
      </c>
      <c r="AG663" t="s">
        <v>4564</v>
      </c>
      <c r="AH663">
        <v>89509</v>
      </c>
      <c r="AI663" t="s">
        <v>8340</v>
      </c>
      <c r="AJ663" t="s">
        <v>4655</v>
      </c>
      <c r="AK663" t="s">
        <v>8342</v>
      </c>
      <c r="AL663" s="13" t="s">
        <v>2255</v>
      </c>
      <c r="AM663">
        <v>1</v>
      </c>
      <c r="AN663" s="15" t="s">
        <v>1650</v>
      </c>
    </row>
    <row r="664" spans="1:40" x14ac:dyDescent="0.3">
      <c r="A664" s="10" t="str">
        <f>HYPERLINK("http://www.washoecounty.gov/assessor/cama/?parid=009-210-05&amp;CardNumber=1","009-210-05")</f>
        <v>009-210-05</v>
      </c>
      <c r="B664" t="s">
        <v>4655</v>
      </c>
      <c r="C664" t="s">
        <v>8343</v>
      </c>
      <c r="D664" s="1">
        <v>40353</v>
      </c>
      <c r="E664" s="2">
        <v>265000</v>
      </c>
      <c r="F664" t="s">
        <v>4567</v>
      </c>
      <c r="G664" s="17" t="str">
        <f>HYPERLINK("https://www.washoecounty.gov/assessor/cama/?command=sales&amp;parid=00921005","3895058")</f>
        <v>3895058</v>
      </c>
      <c r="H664" t="s">
        <v>166</v>
      </c>
      <c r="I664">
        <v>1975</v>
      </c>
      <c r="J664">
        <v>1975</v>
      </c>
      <c r="K664" t="s">
        <v>4554</v>
      </c>
      <c r="L664" t="s">
        <v>4555</v>
      </c>
      <c r="M664" s="2">
        <v>1831</v>
      </c>
      <c r="N664" t="s">
        <v>3147</v>
      </c>
      <c r="O664">
        <v>3</v>
      </c>
      <c r="P664">
        <v>2</v>
      </c>
      <c r="Q664">
        <v>0</v>
      </c>
      <c r="R664" t="s">
        <v>4557</v>
      </c>
      <c r="S664" t="s">
        <v>4558</v>
      </c>
      <c r="T664" t="s">
        <v>4559</v>
      </c>
      <c r="U664" t="s">
        <v>4560</v>
      </c>
      <c r="V664" s="2">
        <v>506</v>
      </c>
      <c r="W664" t="s">
        <v>4655</v>
      </c>
      <c r="X664" s="2">
        <v>0</v>
      </c>
      <c r="Y664">
        <v>20</v>
      </c>
      <c r="Z664" t="s">
        <v>385</v>
      </c>
      <c r="AA664" s="3">
        <v>0.21999540925025901</v>
      </c>
      <c r="AB664" t="s">
        <v>8344</v>
      </c>
      <c r="AC664" t="s">
        <v>4562</v>
      </c>
      <c r="AD664" t="s">
        <v>8343</v>
      </c>
      <c r="AE664" t="s">
        <v>4655</v>
      </c>
      <c r="AF664" t="s">
        <v>4563</v>
      </c>
      <c r="AG664" t="s">
        <v>4564</v>
      </c>
      <c r="AH664">
        <v>89509</v>
      </c>
      <c r="AI664" t="s">
        <v>8345</v>
      </c>
      <c r="AJ664" t="s">
        <v>4655</v>
      </c>
      <c r="AK664" t="s">
        <v>8346</v>
      </c>
      <c r="AL664" s="13" t="s">
        <v>2257</v>
      </c>
      <c r="AM664" s="14">
        <v>1</v>
      </c>
      <c r="AN664" s="15" t="s">
        <v>1650</v>
      </c>
    </row>
    <row r="665" spans="1:40" x14ac:dyDescent="0.3">
      <c r="A665" s="10" t="str">
        <f>HYPERLINK("http://www.washoecounty.gov/assessor/cama/?parid=009-221-20&amp;CardNumber=1","009-221-20")</f>
        <v>009-221-20</v>
      </c>
      <c r="B665" t="s">
        <v>4655</v>
      </c>
      <c r="C665" t="s">
        <v>8347</v>
      </c>
      <c r="D665" s="1">
        <v>40220</v>
      </c>
      <c r="E665" s="2">
        <v>255000</v>
      </c>
      <c r="F665" t="s">
        <v>4567</v>
      </c>
      <c r="G665" s="17" t="str">
        <f>HYPERLINK("https://www.washoecounty.gov/assessor/cama/?command=sales&amp;parid=00922120","3848675")</f>
        <v>3848675</v>
      </c>
      <c r="H665" t="s">
        <v>166</v>
      </c>
      <c r="I665">
        <v>1975</v>
      </c>
      <c r="J665">
        <v>1975</v>
      </c>
      <c r="K665" t="s">
        <v>4554</v>
      </c>
      <c r="L665" t="s">
        <v>4555</v>
      </c>
      <c r="M665" s="2">
        <v>2290</v>
      </c>
      <c r="N665" t="s">
        <v>3147</v>
      </c>
      <c r="O665">
        <v>4</v>
      </c>
      <c r="P665">
        <v>2</v>
      </c>
      <c r="Q665">
        <v>0</v>
      </c>
      <c r="R665" t="s">
        <v>4557</v>
      </c>
      <c r="S665" t="s">
        <v>4135</v>
      </c>
      <c r="T665" t="s">
        <v>4559</v>
      </c>
      <c r="U665" t="s">
        <v>4560</v>
      </c>
      <c r="V665" s="2">
        <v>440</v>
      </c>
      <c r="W665" t="s">
        <v>4655</v>
      </c>
      <c r="X665" s="2">
        <v>0</v>
      </c>
      <c r="Y665">
        <v>20</v>
      </c>
      <c r="Z665" t="s">
        <v>5282</v>
      </c>
      <c r="AA665" s="3">
        <v>0.26000916957855202</v>
      </c>
      <c r="AB665" t="s">
        <v>167</v>
      </c>
      <c r="AC665" t="s">
        <v>4575</v>
      </c>
      <c r="AD665" t="s">
        <v>8347</v>
      </c>
      <c r="AE665" t="s">
        <v>4655</v>
      </c>
      <c r="AF665" t="s">
        <v>4563</v>
      </c>
      <c r="AG665" t="s">
        <v>4564</v>
      </c>
      <c r="AH665">
        <v>89509</v>
      </c>
      <c r="AI665" t="s">
        <v>8348</v>
      </c>
      <c r="AJ665" t="s">
        <v>4655</v>
      </c>
      <c r="AK665" t="s">
        <v>8349</v>
      </c>
      <c r="AL665" s="13" t="s">
        <v>2257</v>
      </c>
      <c r="AM665" s="14">
        <v>1</v>
      </c>
      <c r="AN665" s="15" t="s">
        <v>1650</v>
      </c>
    </row>
    <row r="666" spans="1:40" x14ac:dyDescent="0.3">
      <c r="A666" s="10" t="str">
        <f>HYPERLINK("http://www.washoecounty.gov/assessor/cama/?parid=009-222-16&amp;CardNumber=1","009-222-16")</f>
        <v>009-222-16</v>
      </c>
      <c r="B666" t="s">
        <v>4655</v>
      </c>
      <c r="C666" t="s">
        <v>8350</v>
      </c>
      <c r="D666" s="1">
        <v>40400</v>
      </c>
      <c r="E666" s="2">
        <v>242000</v>
      </c>
      <c r="F666" t="s">
        <v>4567</v>
      </c>
      <c r="G666" s="17" t="str">
        <f>HYPERLINK("https://www.washoecounty.gov/assessor/cama/?command=sales&amp;parid=00922216","3910226")</f>
        <v>3910226</v>
      </c>
      <c r="H666" t="s">
        <v>166</v>
      </c>
      <c r="I666">
        <v>1975</v>
      </c>
      <c r="J666">
        <v>1975</v>
      </c>
      <c r="K666" t="s">
        <v>4554</v>
      </c>
      <c r="L666" t="s">
        <v>4555</v>
      </c>
      <c r="M666" s="2">
        <v>2290</v>
      </c>
      <c r="N666" t="s">
        <v>3147</v>
      </c>
      <c r="O666">
        <v>4</v>
      </c>
      <c r="P666">
        <v>2</v>
      </c>
      <c r="Q666">
        <v>0</v>
      </c>
      <c r="R666" t="s">
        <v>4557</v>
      </c>
      <c r="S666" t="s">
        <v>4558</v>
      </c>
      <c r="T666" t="s">
        <v>4559</v>
      </c>
      <c r="U666" t="s">
        <v>4560</v>
      </c>
      <c r="V666" s="2">
        <v>440</v>
      </c>
      <c r="W666" t="s">
        <v>4655</v>
      </c>
      <c r="X666" s="2">
        <v>0</v>
      </c>
      <c r="Y666">
        <v>20</v>
      </c>
      <c r="Z666" t="s">
        <v>5282</v>
      </c>
      <c r="AA666" s="3">
        <v>0.20000000298023199</v>
      </c>
      <c r="AB666" t="s">
        <v>8351</v>
      </c>
      <c r="AC666" t="s">
        <v>4575</v>
      </c>
      <c r="AD666" t="s">
        <v>63</v>
      </c>
      <c r="AE666" t="s">
        <v>4655</v>
      </c>
      <c r="AF666" t="s">
        <v>4563</v>
      </c>
      <c r="AG666" t="s">
        <v>4564</v>
      </c>
      <c r="AH666">
        <v>89506</v>
      </c>
      <c r="AI666" t="s">
        <v>8352</v>
      </c>
      <c r="AJ666" t="s">
        <v>4655</v>
      </c>
      <c r="AK666" t="s">
        <v>8353</v>
      </c>
      <c r="AL666" s="13" t="s">
        <v>2257</v>
      </c>
      <c r="AM666" s="14">
        <v>1</v>
      </c>
      <c r="AN666" s="15" t="s">
        <v>1650</v>
      </c>
    </row>
    <row r="667" spans="1:40" x14ac:dyDescent="0.3">
      <c r="A667" s="10" t="str">
        <f>HYPERLINK("http://www.washoecounty.gov/assessor/cama/?parid=009-222-18&amp;CardNumber=1","009-222-18")</f>
        <v>009-222-18</v>
      </c>
      <c r="B667" t="s">
        <v>4655</v>
      </c>
      <c r="C667" t="s">
        <v>8354</v>
      </c>
      <c r="D667" s="1">
        <v>40319</v>
      </c>
      <c r="E667" s="2">
        <v>233000</v>
      </c>
      <c r="F667" t="s">
        <v>4567</v>
      </c>
      <c r="G667" s="17" t="str">
        <f>HYPERLINK("https://www.washoecounty.gov/assessor/cama/?command=sales&amp;parid=00922218","3884074")</f>
        <v>3884074</v>
      </c>
      <c r="H667" t="s">
        <v>166</v>
      </c>
      <c r="I667">
        <v>1975</v>
      </c>
      <c r="J667">
        <v>1975</v>
      </c>
      <c r="K667" t="s">
        <v>4554</v>
      </c>
      <c r="L667" t="s">
        <v>4555</v>
      </c>
      <c r="M667" s="2">
        <v>2290</v>
      </c>
      <c r="N667" t="s">
        <v>3147</v>
      </c>
      <c r="O667">
        <v>4</v>
      </c>
      <c r="P667">
        <v>2</v>
      </c>
      <c r="Q667">
        <v>0</v>
      </c>
      <c r="R667" t="s">
        <v>4557</v>
      </c>
      <c r="S667" t="s">
        <v>4558</v>
      </c>
      <c r="T667" t="s">
        <v>4559</v>
      </c>
      <c r="U667" t="s">
        <v>4560</v>
      </c>
      <c r="V667" s="2">
        <v>440</v>
      </c>
      <c r="W667" t="s">
        <v>4655</v>
      </c>
      <c r="X667" s="2">
        <v>0</v>
      </c>
      <c r="Y667">
        <v>20</v>
      </c>
      <c r="Z667" t="s">
        <v>5282</v>
      </c>
      <c r="AA667" s="3">
        <v>0.26000916957855202</v>
      </c>
      <c r="AB667" t="s">
        <v>8355</v>
      </c>
      <c r="AC667" t="s">
        <v>4562</v>
      </c>
      <c r="AD667" t="s">
        <v>8354</v>
      </c>
      <c r="AE667" t="s">
        <v>4655</v>
      </c>
      <c r="AF667" t="s">
        <v>4563</v>
      </c>
      <c r="AG667" t="s">
        <v>4564</v>
      </c>
      <c r="AH667">
        <v>89509</v>
      </c>
      <c r="AI667" t="s">
        <v>8356</v>
      </c>
      <c r="AJ667" t="s">
        <v>4655</v>
      </c>
      <c r="AK667" t="s">
        <v>8357</v>
      </c>
      <c r="AL667" s="13" t="s">
        <v>2257</v>
      </c>
      <c r="AM667">
        <v>1</v>
      </c>
      <c r="AN667" s="15" t="s">
        <v>1650</v>
      </c>
    </row>
    <row r="668" spans="1:40" x14ac:dyDescent="0.3">
      <c r="A668" s="10" t="str">
        <f>HYPERLINK("http://www.washoecounty.gov/assessor/cama/?parid=009-231-02&amp;CardNumber=1","009-231-02")</f>
        <v>009-231-02</v>
      </c>
      <c r="B668" t="s">
        <v>4655</v>
      </c>
      <c r="C668" t="s">
        <v>8358</v>
      </c>
      <c r="D668" s="1">
        <v>40268</v>
      </c>
      <c r="E668" s="2">
        <v>154900</v>
      </c>
      <c r="F668" t="s">
        <v>4567</v>
      </c>
      <c r="G668" s="17" t="str">
        <f>HYPERLINK("https://www.washoecounty.gov/assessor/cama/?command=sales&amp;parid=00923102","3866256")</f>
        <v>3866256</v>
      </c>
      <c r="H668" t="s">
        <v>2388</v>
      </c>
      <c r="I668">
        <v>1964</v>
      </c>
      <c r="J668">
        <v>1964</v>
      </c>
      <c r="K668" t="s">
        <v>4554</v>
      </c>
      <c r="L668" t="s">
        <v>4555</v>
      </c>
      <c r="M668" s="2">
        <v>1581</v>
      </c>
      <c r="N668" t="s">
        <v>4048</v>
      </c>
      <c r="O668">
        <v>3</v>
      </c>
      <c r="P668">
        <v>2</v>
      </c>
      <c r="Q668">
        <v>0</v>
      </c>
      <c r="R668" t="s">
        <v>4557</v>
      </c>
      <c r="S668" t="s">
        <v>4558</v>
      </c>
      <c r="T668" t="s">
        <v>4559</v>
      </c>
      <c r="U668" t="s">
        <v>4560</v>
      </c>
      <c r="V668" s="2">
        <v>441</v>
      </c>
      <c r="W668" t="s">
        <v>4655</v>
      </c>
      <c r="X668" s="2">
        <v>0</v>
      </c>
      <c r="Y668">
        <v>20</v>
      </c>
      <c r="Z668" t="s">
        <v>385</v>
      </c>
      <c r="AA668" s="3">
        <v>0.239990815520287</v>
      </c>
      <c r="AB668" t="s">
        <v>8359</v>
      </c>
      <c r="AC668" t="s">
        <v>4575</v>
      </c>
      <c r="AD668" t="s">
        <v>8360</v>
      </c>
      <c r="AE668" t="s">
        <v>8358</v>
      </c>
      <c r="AF668" t="s">
        <v>4563</v>
      </c>
      <c r="AG668" t="s">
        <v>4564</v>
      </c>
      <c r="AH668">
        <v>89509</v>
      </c>
      <c r="AI668" t="s">
        <v>8361</v>
      </c>
      <c r="AJ668" t="s">
        <v>4655</v>
      </c>
      <c r="AK668" t="s">
        <v>8362</v>
      </c>
      <c r="AL668" s="13" t="s">
        <v>2257</v>
      </c>
      <c r="AM668" s="14">
        <v>1</v>
      </c>
      <c r="AN668" s="15" t="s">
        <v>1650</v>
      </c>
    </row>
    <row r="669" spans="1:40" x14ac:dyDescent="0.3">
      <c r="A669" s="10" t="str">
        <f>HYPERLINK("http://www.washoecounty.gov/assessor/cama/?parid=009-232-23&amp;CardNumber=1","009-232-23")</f>
        <v>009-232-23</v>
      </c>
      <c r="B669" t="s">
        <v>4655</v>
      </c>
      <c r="C669" t="s">
        <v>8363</v>
      </c>
      <c r="D669" s="1">
        <v>40407</v>
      </c>
      <c r="E669" s="2">
        <v>239900</v>
      </c>
      <c r="F669" t="s">
        <v>4567</v>
      </c>
      <c r="G669" s="17" t="str">
        <f>HYPERLINK("https://www.washoecounty.gov/assessor/cama/?command=sales&amp;parid=00923223","3912583")</f>
        <v>3912583</v>
      </c>
      <c r="H669" t="s">
        <v>2388</v>
      </c>
      <c r="I669">
        <v>1964</v>
      </c>
      <c r="J669">
        <v>1964</v>
      </c>
      <c r="K669" t="s">
        <v>4554</v>
      </c>
      <c r="L669" t="s">
        <v>4555</v>
      </c>
      <c r="M669" s="2">
        <v>1424</v>
      </c>
      <c r="N669" t="s">
        <v>5280</v>
      </c>
      <c r="O669">
        <v>3</v>
      </c>
      <c r="P669">
        <v>2</v>
      </c>
      <c r="Q669">
        <v>0</v>
      </c>
      <c r="R669" t="s">
        <v>5281</v>
      </c>
      <c r="S669" t="s">
        <v>4558</v>
      </c>
      <c r="T669" t="s">
        <v>4559</v>
      </c>
      <c r="U669" t="s">
        <v>4560</v>
      </c>
      <c r="V669" s="2">
        <v>484</v>
      </c>
      <c r="W669" t="s">
        <v>4655</v>
      </c>
      <c r="X669" s="2">
        <v>0</v>
      </c>
      <c r="Y669">
        <v>20</v>
      </c>
      <c r="Z669" t="s">
        <v>385</v>
      </c>
      <c r="AA669" s="3">
        <v>0.21000918745994601</v>
      </c>
      <c r="AB669" t="s">
        <v>8364</v>
      </c>
      <c r="AC669" t="s">
        <v>4562</v>
      </c>
      <c r="AD669" t="s">
        <v>8363</v>
      </c>
      <c r="AE669" t="s">
        <v>4655</v>
      </c>
      <c r="AF669" t="s">
        <v>4563</v>
      </c>
      <c r="AG669" t="s">
        <v>4564</v>
      </c>
      <c r="AH669">
        <v>89509</v>
      </c>
      <c r="AI669" t="s">
        <v>8365</v>
      </c>
      <c r="AJ669" t="s">
        <v>4655</v>
      </c>
      <c r="AK669" t="s">
        <v>8366</v>
      </c>
      <c r="AL669" s="13" t="s">
        <v>2257</v>
      </c>
      <c r="AM669" s="14">
        <v>1</v>
      </c>
      <c r="AN669" s="15" t="s">
        <v>1650</v>
      </c>
    </row>
    <row r="670" spans="1:40" x14ac:dyDescent="0.3">
      <c r="A670" s="10" t="str">
        <f>HYPERLINK("http://www.washoecounty.gov/assessor/cama/?parid=009-240-15&amp;CardNumber=1","009-240-15")</f>
        <v>009-240-15</v>
      </c>
      <c r="B670" t="s">
        <v>4655</v>
      </c>
      <c r="C670" t="s">
        <v>8367</v>
      </c>
      <c r="D670" s="1">
        <v>40308</v>
      </c>
      <c r="E670" s="2">
        <v>270000</v>
      </c>
      <c r="F670" t="s">
        <v>4567</v>
      </c>
      <c r="G670" s="17" t="str">
        <f>HYPERLINK("https://www.washoecounty.gov/assessor/cama/?command=sales&amp;parid=00924015","3879566")</f>
        <v>3879566</v>
      </c>
      <c r="H670" t="s">
        <v>8368</v>
      </c>
      <c r="I670">
        <v>1977</v>
      </c>
      <c r="J670">
        <v>1977</v>
      </c>
      <c r="K670" t="s">
        <v>4554</v>
      </c>
      <c r="L670" t="s">
        <v>4555</v>
      </c>
      <c r="M670" s="2">
        <v>1830</v>
      </c>
      <c r="N670" t="s">
        <v>3147</v>
      </c>
      <c r="O670">
        <v>3</v>
      </c>
      <c r="P670">
        <v>3</v>
      </c>
      <c r="Q670">
        <v>0</v>
      </c>
      <c r="R670" t="s">
        <v>4557</v>
      </c>
      <c r="S670" t="s">
        <v>3148</v>
      </c>
      <c r="T670" t="s">
        <v>4143</v>
      </c>
      <c r="U670" t="s">
        <v>4655</v>
      </c>
      <c r="V670" s="2">
        <v>0</v>
      </c>
      <c r="W670" t="s">
        <v>4571</v>
      </c>
      <c r="X670" s="2">
        <v>1830</v>
      </c>
      <c r="Y670">
        <v>20</v>
      </c>
      <c r="Z670" t="s">
        <v>5282</v>
      </c>
      <c r="AA670" s="3">
        <v>0.43999081850051902</v>
      </c>
      <c r="AB670" t="s">
        <v>8369</v>
      </c>
      <c r="AC670" t="s">
        <v>4562</v>
      </c>
      <c r="AD670" t="s">
        <v>8367</v>
      </c>
      <c r="AE670" t="s">
        <v>4655</v>
      </c>
      <c r="AF670" t="s">
        <v>4563</v>
      </c>
      <c r="AG670" t="s">
        <v>4564</v>
      </c>
      <c r="AH670">
        <v>89509</v>
      </c>
      <c r="AI670" t="s">
        <v>8370</v>
      </c>
      <c r="AJ670" t="s">
        <v>4655</v>
      </c>
      <c r="AK670" t="s">
        <v>8371</v>
      </c>
      <c r="AL670" s="13" t="s">
        <v>2257</v>
      </c>
      <c r="AM670" s="14">
        <v>1</v>
      </c>
      <c r="AN670" s="15" t="s">
        <v>1159</v>
      </c>
    </row>
    <row r="671" spans="1:40" x14ac:dyDescent="0.3">
      <c r="A671" s="10" t="str">
        <f>HYPERLINK("http://www.washoecounty.gov/assessor/cama/?parid=009-263-05&amp;CardNumber=1","009-263-05")</f>
        <v>009-263-05</v>
      </c>
      <c r="B671" t="s">
        <v>4655</v>
      </c>
      <c r="C671" t="s">
        <v>8372</v>
      </c>
      <c r="D671" s="1">
        <v>40359</v>
      </c>
      <c r="E671" s="2">
        <v>205000</v>
      </c>
      <c r="F671" t="s">
        <v>4553</v>
      </c>
      <c r="G671" s="17" t="str">
        <f>HYPERLINK("https://www.washoecounty.gov/assessor/cama/?command=sales&amp;parid=00926305","3897430")</f>
        <v>3897430</v>
      </c>
      <c r="H671" t="s">
        <v>8373</v>
      </c>
      <c r="I671">
        <v>1950</v>
      </c>
      <c r="J671">
        <v>1950</v>
      </c>
      <c r="K671" t="s">
        <v>4554</v>
      </c>
      <c r="L671" t="s">
        <v>2170</v>
      </c>
      <c r="M671" s="2">
        <v>3783</v>
      </c>
      <c r="N671" t="s">
        <v>4048</v>
      </c>
      <c r="O671">
        <v>5</v>
      </c>
      <c r="P671">
        <v>3</v>
      </c>
      <c r="Q671">
        <v>0</v>
      </c>
      <c r="R671" t="s">
        <v>4557</v>
      </c>
      <c r="S671" t="s">
        <v>4558</v>
      </c>
      <c r="T671" t="s">
        <v>4559</v>
      </c>
      <c r="U671" t="s">
        <v>4655</v>
      </c>
      <c r="V671" s="2">
        <v>0</v>
      </c>
      <c r="W671" t="s">
        <v>4655</v>
      </c>
      <c r="X671" s="2">
        <v>0</v>
      </c>
      <c r="Y671">
        <v>20</v>
      </c>
      <c r="Z671" t="s">
        <v>5282</v>
      </c>
      <c r="AA671" s="3">
        <v>0.5</v>
      </c>
      <c r="AB671" t="s">
        <v>8374</v>
      </c>
      <c r="AC671" t="s">
        <v>4562</v>
      </c>
      <c r="AD671" t="s">
        <v>8372</v>
      </c>
      <c r="AE671" t="s">
        <v>4655</v>
      </c>
      <c r="AF671" t="s">
        <v>4563</v>
      </c>
      <c r="AG671" t="s">
        <v>4564</v>
      </c>
      <c r="AH671">
        <v>89509</v>
      </c>
      <c r="AI671" t="s">
        <v>687</v>
      </c>
      <c r="AJ671" t="s">
        <v>4655</v>
      </c>
      <c r="AK671" t="s">
        <v>8375</v>
      </c>
      <c r="AL671" s="13" t="s">
        <v>2255</v>
      </c>
      <c r="AM671">
        <v>1</v>
      </c>
      <c r="AN671" s="15" t="s">
        <v>3095</v>
      </c>
    </row>
    <row r="672" spans="1:40" x14ac:dyDescent="0.3">
      <c r="A672" s="10" t="str">
        <f>HYPERLINK("http://www.washoecounty.gov/assessor/cama/?parid=009-301-08&amp;CardNumber=1","009-301-08")</f>
        <v>009-301-08</v>
      </c>
      <c r="B672" t="s">
        <v>4655</v>
      </c>
      <c r="C672" t="s">
        <v>8376</v>
      </c>
      <c r="D672" s="1">
        <v>40380</v>
      </c>
      <c r="E672" s="2">
        <v>51000</v>
      </c>
      <c r="F672" t="s">
        <v>3528</v>
      </c>
      <c r="G672" s="17" t="str">
        <f>HYPERLINK("https://www.washoecounty.gov/assessor/cama/?command=sales&amp;parid=00930108","3903663")</f>
        <v>3903663</v>
      </c>
      <c r="H672" t="s">
        <v>8377</v>
      </c>
      <c r="I672">
        <v>0</v>
      </c>
      <c r="J672">
        <v>0</v>
      </c>
      <c r="K672" t="s">
        <v>4655</v>
      </c>
      <c r="L672" t="s">
        <v>4655</v>
      </c>
      <c r="M672" s="2">
        <v>0</v>
      </c>
      <c r="N672" t="s">
        <v>4655</v>
      </c>
      <c r="O672">
        <v>0</v>
      </c>
      <c r="P672">
        <v>0</v>
      </c>
      <c r="Q672">
        <v>0</v>
      </c>
      <c r="R672" t="s">
        <v>4655</v>
      </c>
      <c r="S672" t="s">
        <v>4655</v>
      </c>
      <c r="T672" t="s">
        <v>4655</v>
      </c>
      <c r="U672" t="s">
        <v>4655</v>
      </c>
      <c r="V672" s="2">
        <v>0</v>
      </c>
      <c r="W672" t="s">
        <v>4655</v>
      </c>
      <c r="X672" s="2">
        <v>0</v>
      </c>
      <c r="Y672">
        <v>12</v>
      </c>
      <c r="Z672" t="s">
        <v>5282</v>
      </c>
      <c r="AA672" s="3">
        <v>0.38999080657959001</v>
      </c>
      <c r="AB672" t="s">
        <v>8378</v>
      </c>
      <c r="AC672" t="s">
        <v>4575</v>
      </c>
      <c r="AD672" t="s">
        <v>8379</v>
      </c>
      <c r="AE672" t="s">
        <v>4655</v>
      </c>
      <c r="AF672" t="s">
        <v>4563</v>
      </c>
      <c r="AG672" t="s">
        <v>4564</v>
      </c>
      <c r="AH672">
        <v>89503</v>
      </c>
      <c r="AI672" t="s">
        <v>8380</v>
      </c>
      <c r="AJ672" t="s">
        <v>4655</v>
      </c>
      <c r="AK672" t="s">
        <v>8381</v>
      </c>
      <c r="AL672" s="13" t="s">
        <v>2255</v>
      </c>
      <c r="AM672" s="14">
        <v>0</v>
      </c>
      <c r="AN672" s="15" t="s">
        <v>4152</v>
      </c>
    </row>
    <row r="673" spans="1:40" x14ac:dyDescent="0.3">
      <c r="A673" s="10" t="str">
        <f>HYPERLINK("http://www.washoecounty.gov/assessor/cama/?parid=009-301-13&amp;CardNumber=1","009-301-13")</f>
        <v>009-301-13</v>
      </c>
      <c r="B673" t="s">
        <v>4655</v>
      </c>
      <c r="C673" t="s">
        <v>8382</v>
      </c>
      <c r="D673" s="1">
        <v>40529</v>
      </c>
      <c r="E673" s="2">
        <v>280000</v>
      </c>
      <c r="F673" t="s">
        <v>4567</v>
      </c>
      <c r="G673" s="17" t="str">
        <f>HYPERLINK("https://www.washoecounty.gov/assessor/cama/?command=sales&amp;parid=00930113","3955027")</f>
        <v>3955027</v>
      </c>
      <c r="H673" t="s">
        <v>8383</v>
      </c>
      <c r="I673">
        <v>1967</v>
      </c>
      <c r="J673">
        <v>1967</v>
      </c>
      <c r="K673" t="s">
        <v>4554</v>
      </c>
      <c r="L673" t="s">
        <v>4555</v>
      </c>
      <c r="M673" s="2">
        <v>1808</v>
      </c>
      <c r="N673" t="s">
        <v>3147</v>
      </c>
      <c r="O673">
        <v>4</v>
      </c>
      <c r="P673">
        <v>3</v>
      </c>
      <c r="Q673">
        <v>0</v>
      </c>
      <c r="R673" t="s">
        <v>4557</v>
      </c>
      <c r="S673" t="s">
        <v>4574</v>
      </c>
      <c r="T673" t="s">
        <v>4559</v>
      </c>
      <c r="U673" t="s">
        <v>4655</v>
      </c>
      <c r="V673" s="2">
        <v>0</v>
      </c>
      <c r="W673" t="s">
        <v>3201</v>
      </c>
      <c r="X673" s="2">
        <v>1392</v>
      </c>
      <c r="Y673">
        <v>20</v>
      </c>
      <c r="Z673" t="s">
        <v>5282</v>
      </c>
      <c r="AA673" s="3">
        <v>0.43999081850051902</v>
      </c>
      <c r="AB673" t="s">
        <v>8384</v>
      </c>
      <c r="AC673" t="s">
        <v>4562</v>
      </c>
      <c r="AD673" t="s">
        <v>8382</v>
      </c>
      <c r="AE673" t="s">
        <v>4655</v>
      </c>
      <c r="AF673" t="s">
        <v>4563</v>
      </c>
      <c r="AG673" t="s">
        <v>4564</v>
      </c>
      <c r="AH673">
        <v>89509</v>
      </c>
      <c r="AI673" t="s">
        <v>8385</v>
      </c>
      <c r="AJ673" t="s">
        <v>4655</v>
      </c>
      <c r="AK673" t="s">
        <v>8386</v>
      </c>
      <c r="AL673" s="13" t="s">
        <v>2255</v>
      </c>
      <c r="AM673">
        <v>1</v>
      </c>
      <c r="AN673" s="15" t="s">
        <v>4152</v>
      </c>
    </row>
    <row r="674" spans="1:40" x14ac:dyDescent="0.3">
      <c r="A674" s="10" t="str">
        <f>HYPERLINK("http://www.washoecounty.gov/assessor/cama/?parid=009-311-28&amp;CardNumber=1","009-311-28")</f>
        <v>009-311-28</v>
      </c>
      <c r="B674" t="s">
        <v>4655</v>
      </c>
      <c r="C674" t="s">
        <v>8387</v>
      </c>
      <c r="D674" s="1">
        <v>40512</v>
      </c>
      <c r="E674" s="2">
        <v>178500</v>
      </c>
      <c r="F674" t="s">
        <v>4553</v>
      </c>
      <c r="G674" s="17" t="str">
        <f>HYPERLINK("https://www.washoecounty.gov/assessor/cama/?command=sales&amp;parid=00931128","3947414")</f>
        <v>3947414</v>
      </c>
      <c r="H674" t="s">
        <v>8388</v>
      </c>
      <c r="I674">
        <v>1975</v>
      </c>
      <c r="J674">
        <v>1975</v>
      </c>
      <c r="K674" t="s">
        <v>4554</v>
      </c>
      <c r="L674" t="s">
        <v>3974</v>
      </c>
      <c r="M674" s="2">
        <v>1740</v>
      </c>
      <c r="N674" t="s">
        <v>5280</v>
      </c>
      <c r="O674">
        <v>3</v>
      </c>
      <c r="P674">
        <v>1</v>
      </c>
      <c r="Q674">
        <v>1</v>
      </c>
      <c r="R674" t="s">
        <v>4557</v>
      </c>
      <c r="S674" t="s">
        <v>3148</v>
      </c>
      <c r="T674" t="s">
        <v>4143</v>
      </c>
      <c r="U674" t="s">
        <v>4560</v>
      </c>
      <c r="V674" s="2">
        <v>500</v>
      </c>
      <c r="W674" t="s">
        <v>4571</v>
      </c>
      <c r="X674" s="2">
        <v>1100</v>
      </c>
      <c r="Y674">
        <v>20</v>
      </c>
      <c r="Z674" t="s">
        <v>5282</v>
      </c>
      <c r="AA674" s="3">
        <v>0.36000919342040999</v>
      </c>
      <c r="AB674" t="s">
        <v>8389</v>
      </c>
      <c r="AC674" t="s">
        <v>4575</v>
      </c>
      <c r="AD674" t="s">
        <v>5053</v>
      </c>
      <c r="AE674" t="s">
        <v>4655</v>
      </c>
      <c r="AF674" t="s">
        <v>4563</v>
      </c>
      <c r="AG674" t="s">
        <v>4564</v>
      </c>
      <c r="AH674">
        <v>89509</v>
      </c>
      <c r="AI674" t="s">
        <v>8390</v>
      </c>
      <c r="AJ674" t="s">
        <v>4655</v>
      </c>
      <c r="AK674" t="s">
        <v>8391</v>
      </c>
      <c r="AL674" s="13" t="s">
        <v>2255</v>
      </c>
      <c r="AM674" s="14">
        <v>1</v>
      </c>
      <c r="AN674" s="15" t="s">
        <v>4152</v>
      </c>
    </row>
    <row r="675" spans="1:40" x14ac:dyDescent="0.3">
      <c r="A675" s="10" t="str">
        <f>HYPERLINK("http://www.washoecounty.gov/assessor/cama/?parid=009-371-01&amp;CardNumber=1","009-371-01")</f>
        <v>009-371-01</v>
      </c>
      <c r="B675" t="s">
        <v>4655</v>
      </c>
      <c r="C675" t="s">
        <v>8392</v>
      </c>
      <c r="D675" s="1">
        <v>40438</v>
      </c>
      <c r="E675" s="2">
        <v>407000</v>
      </c>
      <c r="F675" t="s">
        <v>4567</v>
      </c>
      <c r="G675" s="17" t="str">
        <f>HYPERLINK("https://www.washoecounty.gov/assessor/cama/?command=sales&amp;parid=00937101","3923321")</f>
        <v>3923321</v>
      </c>
      <c r="H675" t="s">
        <v>1972</v>
      </c>
      <c r="I675">
        <v>1991</v>
      </c>
      <c r="J675">
        <v>1991</v>
      </c>
      <c r="K675" t="s">
        <v>4554</v>
      </c>
      <c r="L675" t="s">
        <v>3974</v>
      </c>
      <c r="M675" s="2">
        <v>4143</v>
      </c>
      <c r="N675" t="s">
        <v>3887</v>
      </c>
      <c r="O675">
        <v>4</v>
      </c>
      <c r="P675">
        <v>2</v>
      </c>
      <c r="Q675">
        <v>1</v>
      </c>
      <c r="R675" t="s">
        <v>4557</v>
      </c>
      <c r="S675" t="s">
        <v>4135</v>
      </c>
      <c r="T675" t="s">
        <v>4143</v>
      </c>
      <c r="U675" t="s">
        <v>4560</v>
      </c>
      <c r="V675" s="2">
        <v>816</v>
      </c>
      <c r="W675" t="s">
        <v>4655</v>
      </c>
      <c r="X675" s="2">
        <v>0</v>
      </c>
      <c r="Y675">
        <v>20</v>
      </c>
      <c r="Z675" t="s">
        <v>5282</v>
      </c>
      <c r="AA675" s="3">
        <v>1.23999083042144</v>
      </c>
      <c r="AB675" t="s">
        <v>8393</v>
      </c>
      <c r="AC675" t="s">
        <v>4575</v>
      </c>
      <c r="AD675" t="s">
        <v>8394</v>
      </c>
      <c r="AE675" t="s">
        <v>8392</v>
      </c>
      <c r="AF675" t="s">
        <v>4563</v>
      </c>
      <c r="AG675" t="s">
        <v>4564</v>
      </c>
      <c r="AH675">
        <v>89509</v>
      </c>
      <c r="AI675" t="s">
        <v>8395</v>
      </c>
      <c r="AJ675" t="s">
        <v>4655</v>
      </c>
      <c r="AK675" t="s">
        <v>8396</v>
      </c>
      <c r="AL675" s="13" t="s">
        <v>2255</v>
      </c>
      <c r="AM675">
        <v>1</v>
      </c>
      <c r="AN675" s="15" t="s">
        <v>5544</v>
      </c>
    </row>
    <row r="676" spans="1:40" x14ac:dyDescent="0.3">
      <c r="A676" s="10" t="str">
        <f>HYPERLINK("http://www.washoecounty.gov/assessor/cama/?parid=009-372-02&amp;CardNumber=1","009-372-02")</f>
        <v>009-372-02</v>
      </c>
      <c r="B676" t="s">
        <v>4655</v>
      </c>
      <c r="C676" t="s">
        <v>8397</v>
      </c>
      <c r="D676" s="1">
        <v>40494</v>
      </c>
      <c r="E676" s="2">
        <v>430000</v>
      </c>
      <c r="F676" t="s">
        <v>4567</v>
      </c>
      <c r="G676" s="17" t="str">
        <f>HYPERLINK("https://www.washoecounty.gov/assessor/cama/?command=sales&amp;parid=00937202","3942392")</f>
        <v>3942392</v>
      </c>
      <c r="H676" t="s">
        <v>1972</v>
      </c>
      <c r="I676">
        <v>1986</v>
      </c>
      <c r="J676">
        <v>1989</v>
      </c>
      <c r="K676" t="s">
        <v>4554</v>
      </c>
      <c r="L676" t="s">
        <v>4555</v>
      </c>
      <c r="M676" s="2">
        <v>2368</v>
      </c>
      <c r="N676" t="s">
        <v>3887</v>
      </c>
      <c r="O676">
        <v>4</v>
      </c>
      <c r="P676">
        <v>4</v>
      </c>
      <c r="Q676">
        <v>1</v>
      </c>
      <c r="R676" t="s">
        <v>4557</v>
      </c>
      <c r="S676" t="s">
        <v>3148</v>
      </c>
      <c r="T676" t="s">
        <v>4559</v>
      </c>
      <c r="U676" t="s">
        <v>4560</v>
      </c>
      <c r="V676" s="2">
        <v>576</v>
      </c>
      <c r="W676" t="s">
        <v>3201</v>
      </c>
      <c r="X676" s="2">
        <v>1920</v>
      </c>
      <c r="Y676">
        <v>20</v>
      </c>
      <c r="Z676" t="s">
        <v>5282</v>
      </c>
      <c r="AA676" s="3">
        <v>0.53999084234237604</v>
      </c>
      <c r="AB676" t="s">
        <v>8398</v>
      </c>
      <c r="AC676" t="s">
        <v>4575</v>
      </c>
      <c r="AD676" t="s">
        <v>8399</v>
      </c>
      <c r="AE676" t="s">
        <v>4655</v>
      </c>
      <c r="AF676" t="s">
        <v>4563</v>
      </c>
      <c r="AG676" t="s">
        <v>4564</v>
      </c>
      <c r="AH676">
        <v>89509</v>
      </c>
      <c r="AI676" t="s">
        <v>8400</v>
      </c>
      <c r="AJ676" t="s">
        <v>4655</v>
      </c>
      <c r="AK676" t="s">
        <v>8401</v>
      </c>
      <c r="AL676" s="13" t="s">
        <v>2255</v>
      </c>
      <c r="AM676" s="14">
        <v>1</v>
      </c>
      <c r="AN676" s="15" t="s">
        <v>5544</v>
      </c>
    </row>
    <row r="677" spans="1:40" x14ac:dyDescent="0.3">
      <c r="A677" s="10" t="str">
        <f>HYPERLINK("http://www.washoecounty.gov/assessor/cama/?parid=009-381-11&amp;CardNumber=1","009-381-11")</f>
        <v>009-381-11</v>
      </c>
      <c r="B677" t="s">
        <v>4655</v>
      </c>
      <c r="C677" t="s">
        <v>8402</v>
      </c>
      <c r="D677" s="1">
        <v>40375</v>
      </c>
      <c r="E677" s="2">
        <v>390000</v>
      </c>
      <c r="F677" t="s">
        <v>4567</v>
      </c>
      <c r="G677" s="17" t="str">
        <f>HYPERLINK("https://www.washoecounty.gov/assessor/cama/?command=sales&amp;parid=00938111","3902097")</f>
        <v>3902097</v>
      </c>
      <c r="H677" t="s">
        <v>8403</v>
      </c>
      <c r="I677">
        <v>1995</v>
      </c>
      <c r="J677">
        <v>1995</v>
      </c>
      <c r="K677" t="s">
        <v>4554</v>
      </c>
      <c r="L677" t="s">
        <v>4555</v>
      </c>
      <c r="M677" s="2">
        <v>2336</v>
      </c>
      <c r="N677" t="s">
        <v>3887</v>
      </c>
      <c r="O677">
        <v>4</v>
      </c>
      <c r="P677">
        <v>2</v>
      </c>
      <c r="Q677">
        <v>0</v>
      </c>
      <c r="R677" t="s">
        <v>5281</v>
      </c>
      <c r="S677" t="s">
        <v>3148</v>
      </c>
      <c r="T677" t="s">
        <v>4559</v>
      </c>
      <c r="U677" t="s">
        <v>4560</v>
      </c>
      <c r="V677" s="2">
        <v>504</v>
      </c>
      <c r="W677" t="s">
        <v>4655</v>
      </c>
      <c r="X677" s="2">
        <v>0</v>
      </c>
      <c r="Y677">
        <v>20</v>
      </c>
      <c r="Z677" t="s">
        <v>5282</v>
      </c>
      <c r="AA677" s="3">
        <v>0.5</v>
      </c>
      <c r="AB677" t="s">
        <v>8404</v>
      </c>
      <c r="AC677" t="s">
        <v>4562</v>
      </c>
      <c r="AD677" t="s">
        <v>8405</v>
      </c>
      <c r="AE677" t="s">
        <v>4655</v>
      </c>
      <c r="AF677" t="s">
        <v>4563</v>
      </c>
      <c r="AG677" t="s">
        <v>4564</v>
      </c>
      <c r="AH677">
        <v>89509</v>
      </c>
      <c r="AI677" t="s">
        <v>4655</v>
      </c>
      <c r="AJ677" t="s">
        <v>8406</v>
      </c>
      <c r="AK677" t="s">
        <v>8407</v>
      </c>
      <c r="AL677" s="13" t="s">
        <v>2255</v>
      </c>
      <c r="AM677">
        <v>1</v>
      </c>
      <c r="AN677" s="15" t="s">
        <v>5544</v>
      </c>
    </row>
    <row r="678" spans="1:40" x14ac:dyDescent="0.3">
      <c r="A678" s="10" t="str">
        <f>HYPERLINK("http://www.washoecounty.gov/assessor/cama/?parid=009-381-12&amp;CardNumber=1","009-381-12")</f>
        <v>009-381-12</v>
      </c>
      <c r="B678" t="s">
        <v>4655</v>
      </c>
      <c r="C678" t="s">
        <v>8408</v>
      </c>
      <c r="D678" s="1">
        <v>40542</v>
      </c>
      <c r="E678" s="2">
        <v>395000</v>
      </c>
      <c r="F678" t="s">
        <v>4567</v>
      </c>
      <c r="G678" s="17" t="str">
        <f>HYPERLINK("https://www.washoecounty.gov/assessor/cama/?command=sales&amp;parid=00938112","3959207")</f>
        <v>3959207</v>
      </c>
      <c r="H678" t="s">
        <v>1374</v>
      </c>
      <c r="I678">
        <v>1993</v>
      </c>
      <c r="J678">
        <v>1993</v>
      </c>
      <c r="K678" t="s">
        <v>4554</v>
      </c>
      <c r="L678" t="s">
        <v>2170</v>
      </c>
      <c r="M678" s="2">
        <v>2398</v>
      </c>
      <c r="N678" t="s">
        <v>1245</v>
      </c>
      <c r="O678">
        <v>3</v>
      </c>
      <c r="P678">
        <v>3</v>
      </c>
      <c r="Q678">
        <v>0</v>
      </c>
      <c r="R678" t="s">
        <v>4557</v>
      </c>
      <c r="S678" t="s">
        <v>4898</v>
      </c>
      <c r="T678" t="s">
        <v>2704</v>
      </c>
      <c r="U678" t="s">
        <v>4560</v>
      </c>
      <c r="V678" s="2">
        <v>456</v>
      </c>
      <c r="W678" t="s">
        <v>4655</v>
      </c>
      <c r="X678" s="2">
        <v>0</v>
      </c>
      <c r="Y678">
        <v>20</v>
      </c>
      <c r="Z678" t="s">
        <v>5282</v>
      </c>
      <c r="AA678" s="3">
        <v>1.1329889297485352</v>
      </c>
      <c r="AB678" t="s">
        <v>8409</v>
      </c>
      <c r="AC678" t="s">
        <v>4562</v>
      </c>
      <c r="AD678" t="s">
        <v>8408</v>
      </c>
      <c r="AE678" t="s">
        <v>4655</v>
      </c>
      <c r="AF678" t="s">
        <v>4563</v>
      </c>
      <c r="AG678" t="s">
        <v>4564</v>
      </c>
      <c r="AH678">
        <v>89509</v>
      </c>
      <c r="AI678" t="s">
        <v>8410</v>
      </c>
      <c r="AJ678" t="s">
        <v>8406</v>
      </c>
      <c r="AK678" t="s">
        <v>8411</v>
      </c>
      <c r="AL678" s="13" t="s">
        <v>2255</v>
      </c>
      <c r="AM678">
        <v>1</v>
      </c>
      <c r="AN678" s="15" t="s">
        <v>5544</v>
      </c>
    </row>
    <row r="679" spans="1:40" x14ac:dyDescent="0.3">
      <c r="A679" s="10" t="str">
        <f>HYPERLINK("http://www.washoecounty.gov/assessor/cama/?parid=009-402-07&amp;CardNumber=1","009-402-07")</f>
        <v>009-402-07</v>
      </c>
      <c r="B679" t="s">
        <v>4655</v>
      </c>
      <c r="C679" t="s">
        <v>8412</v>
      </c>
      <c r="D679" s="1">
        <v>40521</v>
      </c>
      <c r="E679" s="2">
        <v>750000</v>
      </c>
      <c r="F679" t="s">
        <v>4567</v>
      </c>
      <c r="G679" s="17" t="str">
        <f>HYPERLINK("https://www.washoecounty.gov/assessor/cama/?command=sales&amp;parid=00940207","3951801")</f>
        <v>3951801</v>
      </c>
      <c r="H679" t="s">
        <v>1972</v>
      </c>
      <c r="I679">
        <v>1990</v>
      </c>
      <c r="J679">
        <v>1990</v>
      </c>
      <c r="K679" t="s">
        <v>4554</v>
      </c>
      <c r="L679" t="s">
        <v>3974</v>
      </c>
      <c r="M679" s="2">
        <v>3287</v>
      </c>
      <c r="N679" t="s">
        <v>5106</v>
      </c>
      <c r="O679">
        <v>3</v>
      </c>
      <c r="P679">
        <v>2</v>
      </c>
      <c r="Q679">
        <v>1</v>
      </c>
      <c r="R679" t="s">
        <v>5281</v>
      </c>
      <c r="S679" t="s">
        <v>4898</v>
      </c>
      <c r="T679" t="s">
        <v>2704</v>
      </c>
      <c r="U679" t="s">
        <v>4560</v>
      </c>
      <c r="V679" s="2">
        <v>876</v>
      </c>
      <c r="W679" t="s">
        <v>3149</v>
      </c>
      <c r="X679" s="2">
        <v>1464</v>
      </c>
      <c r="Y679">
        <v>20</v>
      </c>
      <c r="Z679" t="s">
        <v>5282</v>
      </c>
      <c r="AA679" s="3">
        <v>0.61000919342041005</v>
      </c>
      <c r="AB679" t="s">
        <v>8413</v>
      </c>
      <c r="AC679" t="s">
        <v>4575</v>
      </c>
      <c r="AD679" t="s">
        <v>8414</v>
      </c>
      <c r="AE679" t="s">
        <v>4655</v>
      </c>
      <c r="AF679" t="s">
        <v>4563</v>
      </c>
      <c r="AG679" t="s">
        <v>4564</v>
      </c>
      <c r="AH679">
        <v>89509</v>
      </c>
      <c r="AI679" t="s">
        <v>8415</v>
      </c>
      <c r="AJ679" t="s">
        <v>4655</v>
      </c>
      <c r="AK679" t="s">
        <v>8416</v>
      </c>
      <c r="AL679" s="13" t="s">
        <v>2255</v>
      </c>
      <c r="AM679">
        <v>1</v>
      </c>
      <c r="AN679" s="15" t="s">
        <v>5544</v>
      </c>
    </row>
    <row r="680" spans="1:40" x14ac:dyDescent="0.3">
      <c r="A680" s="10" t="str">
        <f>HYPERLINK("http://www.washoecounty.gov/assessor/cama/?parid=009-411-09&amp;CardNumber=1","009-411-09")</f>
        <v>009-411-09</v>
      </c>
      <c r="B680" t="s">
        <v>4655</v>
      </c>
      <c r="C680" t="s">
        <v>4655</v>
      </c>
      <c r="D680" s="1">
        <v>40402</v>
      </c>
      <c r="E680" s="2">
        <v>325000</v>
      </c>
      <c r="F680" t="s">
        <v>4567</v>
      </c>
      <c r="G680" s="17" t="str">
        <f>HYPERLINK("https://www.washoecounty.gov/assessor/cama/?command=sales&amp;parid=00941109","NOT AVAILABLE ")</f>
        <v xml:space="preserve">NOT AVAILABLE </v>
      </c>
      <c r="H680" t="s">
        <v>4655</v>
      </c>
      <c r="I680">
        <v>2004</v>
      </c>
      <c r="J680">
        <v>2004</v>
      </c>
      <c r="K680" t="s">
        <v>4554</v>
      </c>
      <c r="L680" t="s">
        <v>4555</v>
      </c>
      <c r="M680" s="2">
        <v>1918</v>
      </c>
      <c r="N680" t="s">
        <v>1245</v>
      </c>
      <c r="O680">
        <v>4</v>
      </c>
      <c r="P680">
        <v>4</v>
      </c>
      <c r="Q680">
        <v>0</v>
      </c>
      <c r="R680" t="s">
        <v>5281</v>
      </c>
      <c r="S680" t="s">
        <v>4898</v>
      </c>
      <c r="T680" t="s">
        <v>4559</v>
      </c>
      <c r="U680" t="s">
        <v>4560</v>
      </c>
      <c r="V680" s="2">
        <v>692</v>
      </c>
      <c r="W680" t="s">
        <v>4571</v>
      </c>
      <c r="X680" s="2">
        <v>1554</v>
      </c>
      <c r="Y680">
        <v>20</v>
      </c>
      <c r="Z680" t="s">
        <v>5282</v>
      </c>
      <c r="AA680" s="3">
        <v>0.56999540328979403</v>
      </c>
      <c r="AB680" t="s">
        <v>282</v>
      </c>
      <c r="AC680" t="s">
        <v>4562</v>
      </c>
      <c r="AD680" t="s">
        <v>283</v>
      </c>
      <c r="AE680" t="s">
        <v>4655</v>
      </c>
      <c r="AF680" t="s">
        <v>283</v>
      </c>
      <c r="AG680" t="s">
        <v>4564</v>
      </c>
      <c r="AH680" t="s">
        <v>8417</v>
      </c>
      <c r="AI680" t="s">
        <v>4655</v>
      </c>
      <c r="AJ680" t="s">
        <v>4655</v>
      </c>
      <c r="AK680" t="s">
        <v>4655</v>
      </c>
      <c r="AL680" s="13" t="s">
        <v>2255</v>
      </c>
      <c r="AM680" s="14">
        <v>1</v>
      </c>
      <c r="AN680" s="15" t="s">
        <v>5544</v>
      </c>
    </row>
    <row r="681" spans="1:40" x14ac:dyDescent="0.3">
      <c r="A681" s="10" t="str">
        <f>HYPERLINK("http://www.washoecounty.gov/assessor/cama/?parid=009-433-06&amp;CardNumber=1","009-433-06")</f>
        <v>009-433-06</v>
      </c>
      <c r="B681" t="s">
        <v>4655</v>
      </c>
      <c r="C681" t="s">
        <v>8418</v>
      </c>
      <c r="D681" s="1">
        <v>40535</v>
      </c>
      <c r="E681" s="2">
        <v>440000</v>
      </c>
      <c r="F681" t="s">
        <v>4553</v>
      </c>
      <c r="G681" s="17" t="str">
        <f>HYPERLINK("https://www.washoecounty.gov/assessor/cama/?command=sales&amp;parid=00943306","3956812")</f>
        <v>3956812</v>
      </c>
      <c r="H681" t="s">
        <v>8419</v>
      </c>
      <c r="I681">
        <v>1986</v>
      </c>
      <c r="J681">
        <v>1986</v>
      </c>
      <c r="K681" t="s">
        <v>4554</v>
      </c>
      <c r="L681" t="s">
        <v>4555</v>
      </c>
      <c r="M681" s="2">
        <v>2118</v>
      </c>
      <c r="N681" t="s">
        <v>5106</v>
      </c>
      <c r="O681">
        <v>3</v>
      </c>
      <c r="P681">
        <v>3</v>
      </c>
      <c r="Q681">
        <v>1</v>
      </c>
      <c r="R681" t="s">
        <v>4557</v>
      </c>
      <c r="S681" t="s">
        <v>4135</v>
      </c>
      <c r="T681" t="s">
        <v>4143</v>
      </c>
      <c r="U681" t="s">
        <v>4655</v>
      </c>
      <c r="V681" s="2">
        <v>0</v>
      </c>
      <c r="W681" t="s">
        <v>3201</v>
      </c>
      <c r="X681" s="2">
        <v>2118</v>
      </c>
      <c r="Y681">
        <v>20</v>
      </c>
      <c r="Z681" t="s">
        <v>5282</v>
      </c>
      <c r="AA681" s="3">
        <v>0.91999542713165283</v>
      </c>
      <c r="AB681" t="s">
        <v>841</v>
      </c>
      <c r="AC681" t="s">
        <v>4562</v>
      </c>
      <c r="AD681" t="s">
        <v>8420</v>
      </c>
      <c r="AE681" t="s">
        <v>4655</v>
      </c>
      <c r="AF681" t="s">
        <v>4563</v>
      </c>
      <c r="AG681" t="s">
        <v>4564</v>
      </c>
      <c r="AH681">
        <v>89509</v>
      </c>
      <c r="AI681" t="s">
        <v>4592</v>
      </c>
      <c r="AJ681" t="s">
        <v>4655</v>
      </c>
      <c r="AK681" t="s">
        <v>8421</v>
      </c>
      <c r="AL681" s="13" t="s">
        <v>2255</v>
      </c>
      <c r="AM681" s="14">
        <v>1</v>
      </c>
      <c r="AN681" s="15" t="s">
        <v>5544</v>
      </c>
    </row>
    <row r="682" spans="1:40" x14ac:dyDescent="0.3">
      <c r="A682" s="10" t="str">
        <f>HYPERLINK("http://www.washoecounty.gov/assessor/cama/?parid=009-433-09&amp;CardNumber=1","009-433-09")</f>
        <v>009-433-09</v>
      </c>
      <c r="B682" t="s">
        <v>4655</v>
      </c>
      <c r="C682" t="s">
        <v>8422</v>
      </c>
      <c r="D682" s="1">
        <v>40466</v>
      </c>
      <c r="E682" s="2">
        <v>675000</v>
      </c>
      <c r="F682" t="s">
        <v>4567</v>
      </c>
      <c r="G682" s="17" t="str">
        <f>HYPERLINK("https://www.washoecounty.gov/assessor/cama/?command=sales&amp;parid=00943309","3933404")</f>
        <v>3933404</v>
      </c>
      <c r="H682" t="s">
        <v>8423</v>
      </c>
      <c r="I682">
        <v>2002</v>
      </c>
      <c r="J682">
        <v>2002</v>
      </c>
      <c r="K682" t="s">
        <v>4554</v>
      </c>
      <c r="L682" t="s">
        <v>4555</v>
      </c>
      <c r="M682" s="2">
        <v>2559</v>
      </c>
      <c r="N682" t="s">
        <v>2012</v>
      </c>
      <c r="O682">
        <v>4</v>
      </c>
      <c r="P682">
        <v>3</v>
      </c>
      <c r="Q682">
        <v>1</v>
      </c>
      <c r="R682" t="s">
        <v>5281</v>
      </c>
      <c r="S682" t="s">
        <v>4898</v>
      </c>
      <c r="T682" t="s">
        <v>2704</v>
      </c>
      <c r="U682" t="s">
        <v>4560</v>
      </c>
      <c r="V682" s="2">
        <v>921</v>
      </c>
      <c r="W682" t="s">
        <v>3201</v>
      </c>
      <c r="X682" s="2">
        <v>1350</v>
      </c>
      <c r="Y682">
        <v>20</v>
      </c>
      <c r="Z682" t="s">
        <v>5282</v>
      </c>
      <c r="AA682" s="3">
        <v>0.71999537944793701</v>
      </c>
      <c r="AB682" t="s">
        <v>8424</v>
      </c>
      <c r="AC682" t="s">
        <v>4575</v>
      </c>
      <c r="AD682" t="s">
        <v>8422</v>
      </c>
      <c r="AE682" t="s">
        <v>4655</v>
      </c>
      <c r="AF682" t="s">
        <v>4563</v>
      </c>
      <c r="AG682" t="s">
        <v>4564</v>
      </c>
      <c r="AH682">
        <v>89509</v>
      </c>
      <c r="AI682" t="s">
        <v>8425</v>
      </c>
      <c r="AJ682" t="s">
        <v>4655</v>
      </c>
      <c r="AK682" t="s">
        <v>8426</v>
      </c>
      <c r="AL682" s="13" t="s">
        <v>2255</v>
      </c>
      <c r="AM682" s="14">
        <v>1</v>
      </c>
      <c r="AN682" s="15" t="s">
        <v>5544</v>
      </c>
    </row>
    <row r="683" spans="1:40" x14ac:dyDescent="0.3">
      <c r="A683" s="10" t="str">
        <f>HYPERLINK("http://www.washoecounty.gov/assessor/cama/?parid=009-434-13&amp;CardNumber=1","009-434-13")</f>
        <v>009-434-13</v>
      </c>
      <c r="B683" t="s">
        <v>4655</v>
      </c>
      <c r="C683" t="s">
        <v>8427</v>
      </c>
      <c r="D683" s="1">
        <v>40297</v>
      </c>
      <c r="E683" s="2">
        <v>495000</v>
      </c>
      <c r="F683" t="s">
        <v>4567</v>
      </c>
      <c r="G683" s="17" t="str">
        <f>HYPERLINK("https://www.washoecounty.gov/assessor/cama/?command=sales&amp;parid=00943413","3876074")</f>
        <v>3876074</v>
      </c>
      <c r="H683" t="s">
        <v>8423</v>
      </c>
      <c r="I683">
        <v>1996</v>
      </c>
      <c r="J683">
        <v>1996</v>
      </c>
      <c r="K683" t="s">
        <v>4554</v>
      </c>
      <c r="L683" t="s">
        <v>4555</v>
      </c>
      <c r="M683" s="2">
        <v>2496</v>
      </c>
      <c r="N683" t="s">
        <v>5106</v>
      </c>
      <c r="O683">
        <v>4</v>
      </c>
      <c r="P683">
        <v>3</v>
      </c>
      <c r="Q683">
        <v>0</v>
      </c>
      <c r="R683" t="s">
        <v>5281</v>
      </c>
      <c r="S683" t="s">
        <v>4898</v>
      </c>
      <c r="T683" t="s">
        <v>2704</v>
      </c>
      <c r="U683" t="s">
        <v>4655</v>
      </c>
      <c r="V683" s="2">
        <v>0</v>
      </c>
      <c r="W683" t="s">
        <v>3201</v>
      </c>
      <c r="X683" s="2">
        <v>1811</v>
      </c>
      <c r="Y683">
        <v>20</v>
      </c>
      <c r="Z683" t="s">
        <v>5282</v>
      </c>
      <c r="AA683" s="3">
        <v>1.1000000238418499</v>
      </c>
      <c r="AB683" t="s">
        <v>8428</v>
      </c>
      <c r="AC683" t="s">
        <v>4575</v>
      </c>
      <c r="AD683" t="s">
        <v>8429</v>
      </c>
      <c r="AE683" t="s">
        <v>8430</v>
      </c>
      <c r="AF683" t="s">
        <v>4563</v>
      </c>
      <c r="AG683" t="s">
        <v>4564</v>
      </c>
      <c r="AH683">
        <v>89509</v>
      </c>
      <c r="AI683" t="s">
        <v>8431</v>
      </c>
      <c r="AJ683" t="s">
        <v>4655</v>
      </c>
      <c r="AK683" t="s">
        <v>8432</v>
      </c>
      <c r="AL683" s="13" t="s">
        <v>2255</v>
      </c>
      <c r="AM683" s="14">
        <v>1</v>
      </c>
      <c r="AN683" s="15" t="s">
        <v>5544</v>
      </c>
    </row>
    <row r="684" spans="1:40" x14ac:dyDescent="0.3">
      <c r="A684" s="10" t="str">
        <f>HYPERLINK("http://www.washoecounty.gov/assessor/cama/?parid=009-434-14&amp;CardNumber=1","009-434-14")</f>
        <v>009-434-14</v>
      </c>
      <c r="B684" t="s">
        <v>4655</v>
      </c>
      <c r="C684" t="s">
        <v>8433</v>
      </c>
      <c r="D684" s="1">
        <v>40352</v>
      </c>
      <c r="E684" s="2">
        <v>327000</v>
      </c>
      <c r="F684" t="s">
        <v>4553</v>
      </c>
      <c r="G684" s="17" t="str">
        <f>HYPERLINK("https://www.washoecounty.gov/assessor/cama/?command=sales&amp;parid=00943414","3894689")</f>
        <v>3894689</v>
      </c>
      <c r="H684" t="s">
        <v>8423</v>
      </c>
      <c r="I684">
        <v>1989</v>
      </c>
      <c r="J684">
        <v>1989</v>
      </c>
      <c r="K684" t="s">
        <v>4554</v>
      </c>
      <c r="L684" t="s">
        <v>3974</v>
      </c>
      <c r="M684" s="2">
        <v>2977</v>
      </c>
      <c r="N684" t="s">
        <v>1245</v>
      </c>
      <c r="O684">
        <v>3</v>
      </c>
      <c r="P684">
        <v>2</v>
      </c>
      <c r="Q684">
        <v>1</v>
      </c>
      <c r="R684" t="s">
        <v>5281</v>
      </c>
      <c r="S684" t="s">
        <v>4135</v>
      </c>
      <c r="T684" t="s">
        <v>4143</v>
      </c>
      <c r="U684" t="s">
        <v>5631</v>
      </c>
      <c r="V684" s="2">
        <v>666</v>
      </c>
      <c r="W684" t="s">
        <v>4655</v>
      </c>
      <c r="X684" s="2">
        <v>0</v>
      </c>
      <c r="Y684">
        <v>20</v>
      </c>
      <c r="Z684" t="s">
        <v>5282</v>
      </c>
      <c r="AA684" s="3">
        <v>0.81000918149948098</v>
      </c>
      <c r="AB684" t="s">
        <v>8434</v>
      </c>
      <c r="AC684" t="s">
        <v>4562</v>
      </c>
      <c r="AD684" t="s">
        <v>8433</v>
      </c>
      <c r="AE684" t="s">
        <v>4655</v>
      </c>
      <c r="AF684" t="s">
        <v>4563</v>
      </c>
      <c r="AG684" t="s">
        <v>4564</v>
      </c>
      <c r="AH684">
        <v>89509</v>
      </c>
      <c r="AI684" t="s">
        <v>4655</v>
      </c>
      <c r="AJ684" t="s">
        <v>4655</v>
      </c>
      <c r="AK684" t="s">
        <v>8435</v>
      </c>
      <c r="AL684" s="13" t="s">
        <v>2255</v>
      </c>
      <c r="AM684">
        <v>1</v>
      </c>
      <c r="AN684" s="15" t="s">
        <v>5544</v>
      </c>
    </row>
    <row r="685" spans="1:40" x14ac:dyDescent="0.3">
      <c r="A685" s="10" t="str">
        <f>HYPERLINK("http://www.washoecounty.gov/assessor/cama/?parid=009-434-23&amp;CardNumber=1","009-434-23")</f>
        <v>009-434-23</v>
      </c>
      <c r="B685" t="s">
        <v>4655</v>
      </c>
      <c r="C685" t="s">
        <v>8436</v>
      </c>
      <c r="D685" s="1">
        <v>40466</v>
      </c>
      <c r="E685" s="2">
        <v>600000</v>
      </c>
      <c r="F685" t="s">
        <v>4567</v>
      </c>
      <c r="G685" s="17" t="str">
        <f>HYPERLINK("https://www.washoecounty.gov/assessor/cama/?command=sales&amp;parid=00943423","3933307")</f>
        <v>3933307</v>
      </c>
      <c r="H685" t="s">
        <v>8423</v>
      </c>
      <c r="I685">
        <v>1995</v>
      </c>
      <c r="J685">
        <v>1995</v>
      </c>
      <c r="K685" t="s">
        <v>4554</v>
      </c>
      <c r="L685" t="s">
        <v>3974</v>
      </c>
      <c r="M685" s="2">
        <v>3422</v>
      </c>
      <c r="N685" t="s">
        <v>5106</v>
      </c>
      <c r="O685">
        <v>5</v>
      </c>
      <c r="P685">
        <v>3</v>
      </c>
      <c r="Q685">
        <v>1</v>
      </c>
      <c r="R685" t="s">
        <v>5281</v>
      </c>
      <c r="S685" t="s">
        <v>4898</v>
      </c>
      <c r="T685" t="s">
        <v>2704</v>
      </c>
      <c r="U685" t="s">
        <v>5631</v>
      </c>
      <c r="V685" s="2">
        <v>1138</v>
      </c>
      <c r="W685" t="s">
        <v>4655</v>
      </c>
      <c r="X685" s="2">
        <v>0</v>
      </c>
      <c r="Y685">
        <v>20</v>
      </c>
      <c r="Z685" t="s">
        <v>5282</v>
      </c>
      <c r="AA685" s="3">
        <v>2.1500000953674299</v>
      </c>
      <c r="AB685" t="s">
        <v>8437</v>
      </c>
      <c r="AC685" t="s">
        <v>4575</v>
      </c>
      <c r="AD685" t="s">
        <v>8438</v>
      </c>
      <c r="AE685" t="s">
        <v>8439</v>
      </c>
      <c r="AF685" t="s">
        <v>4563</v>
      </c>
      <c r="AG685" t="s">
        <v>4564</v>
      </c>
      <c r="AH685">
        <v>89509</v>
      </c>
      <c r="AI685" t="s">
        <v>8440</v>
      </c>
      <c r="AJ685" t="s">
        <v>4655</v>
      </c>
      <c r="AK685" t="s">
        <v>8441</v>
      </c>
      <c r="AL685" s="13" t="s">
        <v>2255</v>
      </c>
      <c r="AM685">
        <v>1</v>
      </c>
      <c r="AN685" s="15" t="s">
        <v>5544</v>
      </c>
    </row>
    <row r="686" spans="1:40" x14ac:dyDescent="0.3">
      <c r="A686" s="10" t="str">
        <f>HYPERLINK("http://www.washoecounty.gov/assessor/cama/?parid=009-441-10&amp;CardNumber=1","009-441-10")</f>
        <v>009-441-10</v>
      </c>
      <c r="B686" t="s">
        <v>4655</v>
      </c>
      <c r="C686" t="s">
        <v>8442</v>
      </c>
      <c r="D686" s="1">
        <v>40354</v>
      </c>
      <c r="E686" s="2">
        <v>419900</v>
      </c>
      <c r="F686" t="s">
        <v>4567</v>
      </c>
      <c r="G686" s="17" t="str">
        <f>HYPERLINK("https://www.washoecounty.gov/assessor/cama/?command=sales&amp;parid=00944110","3895380")</f>
        <v>3895380</v>
      </c>
      <c r="H686" t="s">
        <v>8443</v>
      </c>
      <c r="I686">
        <v>1993</v>
      </c>
      <c r="J686">
        <v>1993</v>
      </c>
      <c r="K686" t="s">
        <v>4554</v>
      </c>
      <c r="L686" t="s">
        <v>4555</v>
      </c>
      <c r="M686" s="2">
        <v>2242</v>
      </c>
      <c r="N686" t="s">
        <v>3147</v>
      </c>
      <c r="O686">
        <v>4</v>
      </c>
      <c r="P686">
        <v>2</v>
      </c>
      <c r="Q686">
        <v>1</v>
      </c>
      <c r="R686" t="s">
        <v>5281</v>
      </c>
      <c r="S686" t="s">
        <v>4558</v>
      </c>
      <c r="T686" t="s">
        <v>2704</v>
      </c>
      <c r="U686" t="s">
        <v>4560</v>
      </c>
      <c r="V686" s="2">
        <v>660</v>
      </c>
      <c r="W686" t="s">
        <v>4655</v>
      </c>
      <c r="X686" s="2">
        <v>0</v>
      </c>
      <c r="Y686">
        <v>20</v>
      </c>
      <c r="Z686" t="s">
        <v>5282</v>
      </c>
      <c r="AA686" s="3">
        <v>0.38599634170532199</v>
      </c>
      <c r="AB686" t="s">
        <v>8444</v>
      </c>
      <c r="AC686" t="s">
        <v>4562</v>
      </c>
      <c r="AD686" t="s">
        <v>8445</v>
      </c>
      <c r="AE686" t="s">
        <v>4655</v>
      </c>
      <c r="AF686" t="s">
        <v>4563</v>
      </c>
      <c r="AG686" t="s">
        <v>4564</v>
      </c>
      <c r="AH686">
        <v>89509</v>
      </c>
      <c r="AI686" t="s">
        <v>5298</v>
      </c>
      <c r="AJ686" t="s">
        <v>4655</v>
      </c>
      <c r="AK686" t="s">
        <v>8446</v>
      </c>
      <c r="AL686" s="13" t="s">
        <v>2582</v>
      </c>
      <c r="AM686" s="14">
        <v>1</v>
      </c>
      <c r="AN686" s="15" t="s">
        <v>5544</v>
      </c>
    </row>
    <row r="687" spans="1:40" x14ac:dyDescent="0.3">
      <c r="A687" s="10" t="str">
        <f>HYPERLINK("http://www.washoecounty.gov/assessor/cama/?parid=009-461-23&amp;CardNumber=1","009-461-23")</f>
        <v>009-461-23</v>
      </c>
      <c r="B687" t="s">
        <v>4655</v>
      </c>
      <c r="C687" t="s">
        <v>8447</v>
      </c>
      <c r="D687" s="1">
        <v>40240</v>
      </c>
      <c r="E687" s="2">
        <v>15500</v>
      </c>
      <c r="F687" t="s">
        <v>4553</v>
      </c>
      <c r="G687" s="17" t="str">
        <f>HYPERLINK("https://www.washoecounty.gov/assessor/cama/?command=sales&amp;parid=00946123","3855288")</f>
        <v>3855288</v>
      </c>
      <c r="H687" t="s">
        <v>5358</v>
      </c>
      <c r="I687">
        <v>0</v>
      </c>
      <c r="J687">
        <v>0</v>
      </c>
      <c r="K687" t="s">
        <v>4655</v>
      </c>
      <c r="L687" t="s">
        <v>4655</v>
      </c>
      <c r="M687" s="2">
        <v>0</v>
      </c>
      <c r="N687" t="s">
        <v>4655</v>
      </c>
      <c r="O687">
        <v>0</v>
      </c>
      <c r="P687">
        <v>0</v>
      </c>
      <c r="Q687">
        <v>0</v>
      </c>
      <c r="R687" t="s">
        <v>4655</v>
      </c>
      <c r="S687" t="s">
        <v>4655</v>
      </c>
      <c r="T687" t="s">
        <v>4655</v>
      </c>
      <c r="U687" t="s">
        <v>4655</v>
      </c>
      <c r="V687" s="2">
        <v>0</v>
      </c>
      <c r="W687" t="s">
        <v>4655</v>
      </c>
      <c r="X687" s="2">
        <v>0</v>
      </c>
      <c r="Y687">
        <v>12</v>
      </c>
      <c r="Z687" t="s">
        <v>5282</v>
      </c>
      <c r="AA687" s="3">
        <v>0.39912763237953203</v>
      </c>
      <c r="AB687" t="s">
        <v>8448</v>
      </c>
      <c r="AC687" t="s">
        <v>4562</v>
      </c>
      <c r="AD687" t="s">
        <v>8449</v>
      </c>
      <c r="AE687" t="s">
        <v>4655</v>
      </c>
      <c r="AF687" t="s">
        <v>3114</v>
      </c>
      <c r="AG687" t="s">
        <v>4564</v>
      </c>
      <c r="AH687">
        <v>89509</v>
      </c>
      <c r="AI687" t="s">
        <v>8450</v>
      </c>
      <c r="AJ687" t="s">
        <v>4999</v>
      </c>
      <c r="AK687" t="s">
        <v>8451</v>
      </c>
      <c r="AL687" s="13" t="s">
        <v>2582</v>
      </c>
      <c r="AM687">
        <v>0</v>
      </c>
      <c r="AN687" s="15" t="s">
        <v>5000</v>
      </c>
    </row>
    <row r="688" spans="1:40" x14ac:dyDescent="0.3">
      <c r="A688" s="10" t="str">
        <f>HYPERLINK("http://www.washoecounty.gov/assessor/cama/?parid=009-472-11&amp;CardNumber=1","009-472-11")</f>
        <v>009-472-11</v>
      </c>
      <c r="B688" t="s">
        <v>4655</v>
      </c>
      <c r="C688" t="s">
        <v>8452</v>
      </c>
      <c r="D688" s="1">
        <v>40290</v>
      </c>
      <c r="E688" s="2">
        <v>391000</v>
      </c>
      <c r="F688" t="s">
        <v>4567</v>
      </c>
      <c r="G688" s="17" t="str">
        <f>HYPERLINK("https://www.washoecounty.gov/assessor/cama/?command=sales&amp;parid=00947211","3873717")</f>
        <v>3873717</v>
      </c>
      <c r="H688" t="s">
        <v>8453</v>
      </c>
      <c r="I688">
        <v>1990</v>
      </c>
      <c r="J688">
        <v>1990</v>
      </c>
      <c r="K688" t="s">
        <v>4554</v>
      </c>
      <c r="L688" t="s">
        <v>4555</v>
      </c>
      <c r="M688" s="2">
        <v>2338</v>
      </c>
      <c r="N688" t="s">
        <v>5106</v>
      </c>
      <c r="O688">
        <v>3</v>
      </c>
      <c r="P688">
        <v>2</v>
      </c>
      <c r="Q688">
        <v>1</v>
      </c>
      <c r="R688" t="s">
        <v>5281</v>
      </c>
      <c r="S688" t="s">
        <v>4898</v>
      </c>
      <c r="T688" t="s">
        <v>2704</v>
      </c>
      <c r="U688" t="s">
        <v>4560</v>
      </c>
      <c r="V688" s="2">
        <v>738</v>
      </c>
      <c r="W688" t="s">
        <v>4655</v>
      </c>
      <c r="X688" s="2">
        <v>0</v>
      </c>
      <c r="Y688">
        <v>20</v>
      </c>
      <c r="Z688" t="s">
        <v>5508</v>
      </c>
      <c r="AA688" s="3">
        <v>0.38500916957855202</v>
      </c>
      <c r="AB688" t="s">
        <v>8454</v>
      </c>
      <c r="AC688" t="s">
        <v>4562</v>
      </c>
      <c r="AD688" t="s">
        <v>8452</v>
      </c>
      <c r="AE688" t="s">
        <v>4655</v>
      </c>
      <c r="AF688" t="s">
        <v>4563</v>
      </c>
      <c r="AG688" t="s">
        <v>4564</v>
      </c>
      <c r="AH688" t="s">
        <v>2330</v>
      </c>
      <c r="AI688" t="s">
        <v>8455</v>
      </c>
      <c r="AJ688" t="s">
        <v>4655</v>
      </c>
      <c r="AK688" t="s">
        <v>8456</v>
      </c>
      <c r="AL688" s="13" t="s">
        <v>1889</v>
      </c>
      <c r="AM688">
        <v>1</v>
      </c>
      <c r="AN688" s="15" t="s">
        <v>986</v>
      </c>
    </row>
    <row r="689" spans="1:40" x14ac:dyDescent="0.3">
      <c r="A689" s="10" t="str">
        <f>HYPERLINK("http://www.washoecounty.gov/assessor/cama/?parid=009-494-02&amp;CardNumber=1","009-494-02")</f>
        <v>009-494-02</v>
      </c>
      <c r="B689" t="s">
        <v>4655</v>
      </c>
      <c r="C689" t="s">
        <v>8457</v>
      </c>
      <c r="D689" s="1">
        <v>40438</v>
      </c>
      <c r="E689" s="2">
        <v>439000</v>
      </c>
      <c r="F689" t="s">
        <v>4567</v>
      </c>
      <c r="G689" s="17" t="str">
        <f>HYPERLINK("https://www.washoecounty.gov/assessor/cama/?command=sales&amp;parid=00949402","3923782")</f>
        <v>3923782</v>
      </c>
      <c r="H689" t="s">
        <v>8458</v>
      </c>
      <c r="I689">
        <v>1987</v>
      </c>
      <c r="J689">
        <v>1987</v>
      </c>
      <c r="K689" t="s">
        <v>4554</v>
      </c>
      <c r="L689" t="s">
        <v>3886</v>
      </c>
      <c r="M689" s="2">
        <v>2843</v>
      </c>
      <c r="N689" t="s">
        <v>1245</v>
      </c>
      <c r="O689">
        <v>4</v>
      </c>
      <c r="P689">
        <v>2</v>
      </c>
      <c r="Q689">
        <v>1</v>
      </c>
      <c r="R689" t="s">
        <v>5281</v>
      </c>
      <c r="S689" t="s">
        <v>4135</v>
      </c>
      <c r="T689" t="s">
        <v>4559</v>
      </c>
      <c r="U689" t="s">
        <v>5631</v>
      </c>
      <c r="V689" s="2">
        <v>654</v>
      </c>
      <c r="W689" t="s">
        <v>4655</v>
      </c>
      <c r="X689" s="2">
        <v>0</v>
      </c>
      <c r="Y689">
        <v>20</v>
      </c>
      <c r="Z689" t="s">
        <v>5508</v>
      </c>
      <c r="AA689" s="3">
        <v>0.5</v>
      </c>
      <c r="AB689" t="s">
        <v>8459</v>
      </c>
      <c r="AC689" t="s">
        <v>4575</v>
      </c>
      <c r="AD689" t="s">
        <v>8457</v>
      </c>
      <c r="AE689" t="s">
        <v>4655</v>
      </c>
      <c r="AF689" t="s">
        <v>4563</v>
      </c>
      <c r="AG689" t="s">
        <v>4564</v>
      </c>
      <c r="AH689" t="s">
        <v>2330</v>
      </c>
      <c r="AI689" t="s">
        <v>8460</v>
      </c>
      <c r="AJ689" t="s">
        <v>4655</v>
      </c>
      <c r="AK689" t="s">
        <v>8461</v>
      </c>
      <c r="AL689" s="13" t="s">
        <v>1889</v>
      </c>
      <c r="AM689">
        <v>1</v>
      </c>
      <c r="AN689" s="15" t="s">
        <v>986</v>
      </c>
    </row>
    <row r="690" spans="1:40" x14ac:dyDescent="0.3">
      <c r="A690" s="10" t="str">
        <f>HYPERLINK("http://www.washoecounty.gov/assessor/cama/?parid=009-511-09&amp;CardNumber=1","009-511-09")</f>
        <v>009-511-09</v>
      </c>
      <c r="B690" t="s">
        <v>4655</v>
      </c>
      <c r="C690" t="s">
        <v>8462</v>
      </c>
      <c r="D690" s="1">
        <v>40443</v>
      </c>
      <c r="E690" s="2">
        <v>129000</v>
      </c>
      <c r="F690" t="s">
        <v>4553</v>
      </c>
      <c r="G690" s="17" t="str">
        <f>HYPERLINK("https://www.washoecounty.gov/assessor/cama/?command=sales&amp;parid=00951109","3924838")</f>
        <v>3924838</v>
      </c>
      <c r="H690" t="s">
        <v>8463</v>
      </c>
      <c r="I690">
        <v>1986</v>
      </c>
      <c r="J690">
        <v>1986</v>
      </c>
      <c r="K690" t="s">
        <v>4897</v>
      </c>
      <c r="L690" t="s">
        <v>4555</v>
      </c>
      <c r="M690" s="2">
        <v>1047</v>
      </c>
      <c r="N690" t="s">
        <v>3887</v>
      </c>
      <c r="O690">
        <v>2</v>
      </c>
      <c r="P690">
        <v>2</v>
      </c>
      <c r="Q690">
        <v>0</v>
      </c>
      <c r="R690" t="s">
        <v>4557</v>
      </c>
      <c r="S690" t="s">
        <v>4135</v>
      </c>
      <c r="T690" t="s">
        <v>4143</v>
      </c>
      <c r="U690" t="s">
        <v>5631</v>
      </c>
      <c r="V690" s="2">
        <v>252</v>
      </c>
      <c r="W690" t="s">
        <v>4655</v>
      </c>
      <c r="X690" s="2">
        <v>0</v>
      </c>
      <c r="Y690">
        <v>21</v>
      </c>
      <c r="Z690" t="s">
        <v>1491</v>
      </c>
      <c r="AA690" s="3">
        <v>1.00000004749745E-3</v>
      </c>
      <c r="AB690" t="s">
        <v>8464</v>
      </c>
      <c r="AC690" t="s">
        <v>4562</v>
      </c>
      <c r="AD690" t="s">
        <v>8462</v>
      </c>
      <c r="AE690" t="s">
        <v>4655</v>
      </c>
      <c r="AF690" t="s">
        <v>4563</v>
      </c>
      <c r="AG690" t="s">
        <v>4564</v>
      </c>
      <c r="AH690">
        <v>89509</v>
      </c>
      <c r="AI690" t="s">
        <v>4903</v>
      </c>
      <c r="AJ690" t="s">
        <v>4655</v>
      </c>
      <c r="AK690" t="s">
        <v>8465</v>
      </c>
      <c r="AL690" s="13" t="s">
        <v>2257</v>
      </c>
      <c r="AM690">
        <v>1</v>
      </c>
      <c r="AN690" s="15" t="s">
        <v>197</v>
      </c>
    </row>
    <row r="691" spans="1:40" x14ac:dyDescent="0.3">
      <c r="A691" s="10" t="str">
        <f>HYPERLINK("http://www.washoecounty.gov/assessor/cama/?parid=009-511-30&amp;CardNumber=1","009-511-30")</f>
        <v>009-511-30</v>
      </c>
      <c r="B691" t="s">
        <v>4655</v>
      </c>
      <c r="C691" t="s">
        <v>8466</v>
      </c>
      <c r="D691" s="1">
        <v>40319</v>
      </c>
      <c r="E691" s="2">
        <v>200000</v>
      </c>
      <c r="F691" t="s">
        <v>4567</v>
      </c>
      <c r="G691" s="17" t="str">
        <f>HYPERLINK("https://www.washoecounty.gov/assessor/cama/?command=sales&amp;parid=00951130","3883899")</f>
        <v>3883899</v>
      </c>
      <c r="H691" t="s">
        <v>401</v>
      </c>
      <c r="I691">
        <v>1987</v>
      </c>
      <c r="J691">
        <v>1987</v>
      </c>
      <c r="K691" t="s">
        <v>4897</v>
      </c>
      <c r="L691" t="s">
        <v>3974</v>
      </c>
      <c r="M691" s="2">
        <v>1488</v>
      </c>
      <c r="N691" t="s">
        <v>3887</v>
      </c>
      <c r="O691">
        <v>3</v>
      </c>
      <c r="P691">
        <v>3</v>
      </c>
      <c r="Q691">
        <v>0</v>
      </c>
      <c r="R691" t="s">
        <v>4557</v>
      </c>
      <c r="S691" t="s">
        <v>4135</v>
      </c>
      <c r="T691" t="s">
        <v>4143</v>
      </c>
      <c r="U691" t="s">
        <v>5631</v>
      </c>
      <c r="V691" s="2">
        <v>420</v>
      </c>
      <c r="W691" t="s">
        <v>4655</v>
      </c>
      <c r="X691" s="2">
        <v>0</v>
      </c>
      <c r="Y691">
        <v>21</v>
      </c>
      <c r="Z691" t="s">
        <v>1491</v>
      </c>
      <c r="AA691" s="3">
        <v>1.00000004749745E-3</v>
      </c>
      <c r="AB691" t="s">
        <v>8467</v>
      </c>
      <c r="AC691" t="s">
        <v>4562</v>
      </c>
      <c r="AD691" t="s">
        <v>8466</v>
      </c>
      <c r="AE691" t="s">
        <v>4655</v>
      </c>
      <c r="AF691" t="s">
        <v>4563</v>
      </c>
      <c r="AG691" t="s">
        <v>4564</v>
      </c>
      <c r="AH691">
        <v>89509</v>
      </c>
      <c r="AI691" t="s">
        <v>8468</v>
      </c>
      <c r="AJ691" t="s">
        <v>4655</v>
      </c>
      <c r="AK691" t="s">
        <v>8469</v>
      </c>
      <c r="AL691" s="13" t="s">
        <v>2257</v>
      </c>
      <c r="AM691">
        <v>1</v>
      </c>
      <c r="AN691" s="15" t="s">
        <v>197</v>
      </c>
    </row>
    <row r="692" spans="1:40" x14ac:dyDescent="0.3">
      <c r="A692" s="10" t="str">
        <f>HYPERLINK("http://www.washoecounty.gov/assessor/cama/?parid=009-513-01&amp;CardNumber=1","009-513-01")</f>
        <v>009-513-01</v>
      </c>
      <c r="B692" t="s">
        <v>4655</v>
      </c>
      <c r="C692" t="s">
        <v>8470</v>
      </c>
      <c r="D692" s="1">
        <v>40512</v>
      </c>
      <c r="E692" s="2">
        <v>169000</v>
      </c>
      <c r="F692" t="s">
        <v>4567</v>
      </c>
      <c r="G692" s="17" t="str">
        <f>HYPERLINK("https://www.washoecounty.gov/assessor/cama/?command=sales&amp;parid=00951301","3947751")</f>
        <v>3947751</v>
      </c>
      <c r="H692" t="s">
        <v>8471</v>
      </c>
      <c r="I692">
        <v>1990</v>
      </c>
      <c r="J692">
        <v>1990</v>
      </c>
      <c r="K692" t="s">
        <v>4897</v>
      </c>
      <c r="L692" t="s">
        <v>4555</v>
      </c>
      <c r="M692" s="2">
        <v>1158</v>
      </c>
      <c r="N692" t="s">
        <v>3887</v>
      </c>
      <c r="O692">
        <v>2</v>
      </c>
      <c r="P692">
        <v>2</v>
      </c>
      <c r="Q692">
        <v>0</v>
      </c>
      <c r="R692" t="s">
        <v>5281</v>
      </c>
      <c r="S692" t="s">
        <v>4135</v>
      </c>
      <c r="T692" t="s">
        <v>4143</v>
      </c>
      <c r="U692" t="s">
        <v>4560</v>
      </c>
      <c r="V692" s="2">
        <v>478</v>
      </c>
      <c r="W692" t="s">
        <v>4655</v>
      </c>
      <c r="X692" s="2">
        <v>0</v>
      </c>
      <c r="Y692">
        <v>21</v>
      </c>
      <c r="Z692" t="s">
        <v>1491</v>
      </c>
      <c r="AA692" s="3">
        <v>1.00000004749745E-3</v>
      </c>
      <c r="AB692" t="s">
        <v>8472</v>
      </c>
      <c r="AC692" t="s">
        <v>4575</v>
      </c>
      <c r="AD692" t="s">
        <v>8470</v>
      </c>
      <c r="AE692" t="s">
        <v>4655</v>
      </c>
      <c r="AF692" t="s">
        <v>4563</v>
      </c>
      <c r="AG692" t="s">
        <v>4564</v>
      </c>
      <c r="AH692">
        <v>89509</v>
      </c>
      <c r="AI692" t="s">
        <v>8473</v>
      </c>
      <c r="AJ692" t="s">
        <v>4655</v>
      </c>
      <c r="AK692" t="s">
        <v>8474</v>
      </c>
      <c r="AL692" s="13" t="s">
        <v>2257</v>
      </c>
      <c r="AM692" s="14">
        <v>1</v>
      </c>
      <c r="AN692" s="15" t="s">
        <v>197</v>
      </c>
    </row>
    <row r="693" spans="1:40" x14ac:dyDescent="0.3">
      <c r="A693" s="10" t="str">
        <f>HYPERLINK("http://www.washoecounty.gov/assessor/cama/?parid=009-541-05&amp;CardNumber=1","009-541-05")</f>
        <v>009-541-05</v>
      </c>
      <c r="B693" t="s">
        <v>4655</v>
      </c>
      <c r="C693" t="s">
        <v>8475</v>
      </c>
      <c r="D693" s="1">
        <v>40506</v>
      </c>
      <c r="E693" s="2">
        <v>200000</v>
      </c>
      <c r="F693" t="s">
        <v>4567</v>
      </c>
      <c r="G693" s="17" t="str">
        <f>HYPERLINK("https://www.washoecounty.gov/assessor/cama/?command=sales&amp;parid=00954105","3946651")</f>
        <v>3946651</v>
      </c>
      <c r="H693" t="s">
        <v>8476</v>
      </c>
      <c r="I693">
        <v>1990</v>
      </c>
      <c r="J693">
        <v>1990</v>
      </c>
      <c r="K693" t="s">
        <v>4554</v>
      </c>
      <c r="L693" t="s">
        <v>4555</v>
      </c>
      <c r="M693" s="2">
        <v>2007</v>
      </c>
      <c r="N693" t="s">
        <v>3147</v>
      </c>
      <c r="O693">
        <v>3</v>
      </c>
      <c r="P693">
        <v>2</v>
      </c>
      <c r="Q693">
        <v>0</v>
      </c>
      <c r="R693" t="s">
        <v>4557</v>
      </c>
      <c r="S693" t="s">
        <v>3148</v>
      </c>
      <c r="T693" t="s">
        <v>2704</v>
      </c>
      <c r="U693" t="s">
        <v>4560</v>
      </c>
      <c r="V693" s="2">
        <v>637</v>
      </c>
      <c r="W693" t="s">
        <v>4655</v>
      </c>
      <c r="X693" s="2">
        <v>0</v>
      </c>
      <c r="Y693">
        <v>20</v>
      </c>
      <c r="Z693" t="s">
        <v>1491</v>
      </c>
      <c r="AA693" s="3">
        <v>0.17499999701976801</v>
      </c>
      <c r="AB693" t="s">
        <v>8477</v>
      </c>
      <c r="AC693" t="s">
        <v>4575</v>
      </c>
      <c r="AD693" t="s">
        <v>8478</v>
      </c>
      <c r="AE693" t="s">
        <v>4655</v>
      </c>
      <c r="AF693" t="s">
        <v>4563</v>
      </c>
      <c r="AG693" t="s">
        <v>4564</v>
      </c>
      <c r="AH693">
        <v>89509</v>
      </c>
      <c r="AI693" t="s">
        <v>8479</v>
      </c>
      <c r="AJ693" t="s">
        <v>4655</v>
      </c>
      <c r="AK693" t="s">
        <v>8480</v>
      </c>
      <c r="AL693" s="13" t="s">
        <v>2257</v>
      </c>
      <c r="AM693">
        <v>1</v>
      </c>
      <c r="AN693" s="15" t="s">
        <v>732</v>
      </c>
    </row>
    <row r="694" spans="1:40" x14ac:dyDescent="0.3">
      <c r="A694" s="10" t="str">
        <f>HYPERLINK("http://www.washoecounty.gov/assessor/cama/?parid=009-541-17&amp;CardNumber=1","009-541-17")</f>
        <v>009-541-17</v>
      </c>
      <c r="B694" t="s">
        <v>4655</v>
      </c>
      <c r="C694" t="s">
        <v>8481</v>
      </c>
      <c r="D694" s="1">
        <v>40350</v>
      </c>
      <c r="E694" s="2">
        <v>229000</v>
      </c>
      <c r="F694" t="s">
        <v>4567</v>
      </c>
      <c r="G694" s="17" t="str">
        <f>HYPERLINK("https://www.washoecounty.gov/assessor/cama/?command=sales&amp;parid=00954117","3893974")</f>
        <v>3893974</v>
      </c>
      <c r="H694" t="s">
        <v>1136</v>
      </c>
      <c r="I694">
        <v>1988</v>
      </c>
      <c r="J694">
        <v>1988</v>
      </c>
      <c r="K694" t="s">
        <v>4554</v>
      </c>
      <c r="L694" t="s">
        <v>3974</v>
      </c>
      <c r="M694" s="2">
        <v>2334</v>
      </c>
      <c r="N694" t="s">
        <v>3147</v>
      </c>
      <c r="O694">
        <v>4</v>
      </c>
      <c r="P694">
        <v>3</v>
      </c>
      <c r="Q694">
        <v>0</v>
      </c>
      <c r="R694" t="s">
        <v>5281</v>
      </c>
      <c r="S694" t="s">
        <v>3148</v>
      </c>
      <c r="T694" t="s">
        <v>2704</v>
      </c>
      <c r="U694" t="s">
        <v>4560</v>
      </c>
      <c r="V694" s="2">
        <v>647</v>
      </c>
      <c r="W694" t="s">
        <v>4655</v>
      </c>
      <c r="X694" s="2">
        <v>0</v>
      </c>
      <c r="Y694">
        <v>20</v>
      </c>
      <c r="Z694" t="s">
        <v>1491</v>
      </c>
      <c r="AA694" s="3">
        <v>0.13900367915630299</v>
      </c>
      <c r="AB694" t="s">
        <v>8482</v>
      </c>
      <c r="AC694" t="s">
        <v>4562</v>
      </c>
      <c r="AD694" t="s">
        <v>8481</v>
      </c>
      <c r="AE694" t="s">
        <v>4655</v>
      </c>
      <c r="AF694" t="s">
        <v>4563</v>
      </c>
      <c r="AG694" t="s">
        <v>4564</v>
      </c>
      <c r="AH694" t="s">
        <v>2330</v>
      </c>
      <c r="AI694" t="s">
        <v>8483</v>
      </c>
      <c r="AJ694" t="s">
        <v>4655</v>
      </c>
      <c r="AK694" t="s">
        <v>8484</v>
      </c>
      <c r="AL694" s="13" t="s">
        <v>2257</v>
      </c>
      <c r="AM694">
        <v>1</v>
      </c>
      <c r="AN694" s="15" t="s">
        <v>732</v>
      </c>
    </row>
    <row r="695" spans="1:40" x14ac:dyDescent="0.3">
      <c r="A695" s="10" t="str">
        <f>HYPERLINK("http://www.washoecounty.gov/assessor/cama/?parid=009-541-22&amp;CardNumber=1","009-541-22")</f>
        <v>009-541-22</v>
      </c>
      <c r="B695" t="s">
        <v>4655</v>
      </c>
      <c r="C695" t="s">
        <v>8485</v>
      </c>
      <c r="D695" s="1">
        <v>40270</v>
      </c>
      <c r="E695" s="2">
        <v>298700</v>
      </c>
      <c r="F695" t="s">
        <v>4567</v>
      </c>
      <c r="G695" s="17" t="str">
        <f>HYPERLINK("https://www.washoecounty.gov/assessor/cama/?command=sales&amp;parid=00954122","3867147")</f>
        <v>3867147</v>
      </c>
      <c r="H695" t="s">
        <v>8476</v>
      </c>
      <c r="I695">
        <v>1988</v>
      </c>
      <c r="J695">
        <v>1988</v>
      </c>
      <c r="K695" t="s">
        <v>4554</v>
      </c>
      <c r="L695" t="s">
        <v>3974</v>
      </c>
      <c r="M695" s="2">
        <v>2121</v>
      </c>
      <c r="N695" t="s">
        <v>3147</v>
      </c>
      <c r="O695">
        <v>4</v>
      </c>
      <c r="P695">
        <v>2</v>
      </c>
      <c r="Q695">
        <v>1</v>
      </c>
      <c r="R695" t="s">
        <v>5281</v>
      </c>
      <c r="S695" t="s">
        <v>3148</v>
      </c>
      <c r="T695" t="s">
        <v>4559</v>
      </c>
      <c r="U695" t="s">
        <v>4560</v>
      </c>
      <c r="V695" s="2">
        <v>673</v>
      </c>
      <c r="W695" t="s">
        <v>4655</v>
      </c>
      <c r="X695" s="2">
        <v>0</v>
      </c>
      <c r="Y695">
        <v>20</v>
      </c>
      <c r="Z695" t="s">
        <v>1491</v>
      </c>
      <c r="AA695" s="3">
        <v>0.17100550234317799</v>
      </c>
      <c r="AB695" t="s">
        <v>8486</v>
      </c>
      <c r="AC695" t="s">
        <v>4575</v>
      </c>
      <c r="AD695" t="s">
        <v>8485</v>
      </c>
      <c r="AE695" t="s">
        <v>4655</v>
      </c>
      <c r="AF695" t="s">
        <v>4563</v>
      </c>
      <c r="AG695" t="s">
        <v>4564</v>
      </c>
      <c r="AH695" t="s">
        <v>2330</v>
      </c>
      <c r="AI695" t="s">
        <v>8487</v>
      </c>
      <c r="AJ695" t="s">
        <v>4655</v>
      </c>
      <c r="AK695" t="s">
        <v>8488</v>
      </c>
      <c r="AL695" s="13" t="s">
        <v>2257</v>
      </c>
      <c r="AM695">
        <v>1</v>
      </c>
      <c r="AN695" s="15" t="s">
        <v>732</v>
      </c>
    </row>
    <row r="696" spans="1:40" x14ac:dyDescent="0.3">
      <c r="A696" s="10" t="str">
        <f>HYPERLINK("http://www.washoecounty.gov/assessor/cama/?parid=009-544-02&amp;CardNumber=1","009-544-02")</f>
        <v>009-544-02</v>
      </c>
      <c r="B696" t="s">
        <v>4655</v>
      </c>
      <c r="C696" t="s">
        <v>8489</v>
      </c>
      <c r="D696" s="1">
        <v>40347</v>
      </c>
      <c r="E696" s="2">
        <v>185000</v>
      </c>
      <c r="F696" t="s">
        <v>4553</v>
      </c>
      <c r="G696" s="17" t="str">
        <f>HYPERLINK("https://www.washoecounty.gov/assessor/cama/?command=sales&amp;parid=00954402","3893263")</f>
        <v>3893263</v>
      </c>
      <c r="H696" t="s">
        <v>3391</v>
      </c>
      <c r="I696">
        <v>1987</v>
      </c>
      <c r="J696">
        <v>1993</v>
      </c>
      <c r="K696" t="s">
        <v>4554</v>
      </c>
      <c r="L696" t="s">
        <v>4555</v>
      </c>
      <c r="M696" s="2">
        <v>1508</v>
      </c>
      <c r="N696" t="s">
        <v>3147</v>
      </c>
      <c r="O696">
        <v>3</v>
      </c>
      <c r="P696">
        <v>2</v>
      </c>
      <c r="Q696">
        <v>0</v>
      </c>
      <c r="R696" t="s">
        <v>4557</v>
      </c>
      <c r="S696" t="s">
        <v>3148</v>
      </c>
      <c r="T696" t="s">
        <v>4559</v>
      </c>
      <c r="U696" t="s">
        <v>4560</v>
      </c>
      <c r="V696" s="2">
        <v>466</v>
      </c>
      <c r="W696" t="s">
        <v>4655</v>
      </c>
      <c r="X696" s="2">
        <v>0</v>
      </c>
      <c r="Y696">
        <v>20</v>
      </c>
      <c r="Z696" t="s">
        <v>1491</v>
      </c>
      <c r="AA696" s="3">
        <v>0.16600091755390201</v>
      </c>
      <c r="AB696" t="s">
        <v>8490</v>
      </c>
      <c r="AC696" t="s">
        <v>4562</v>
      </c>
      <c r="AD696" t="s">
        <v>8491</v>
      </c>
      <c r="AE696" t="s">
        <v>4655</v>
      </c>
      <c r="AF696" t="s">
        <v>4563</v>
      </c>
      <c r="AG696" t="s">
        <v>4564</v>
      </c>
      <c r="AH696" t="s">
        <v>2330</v>
      </c>
      <c r="AI696" t="s">
        <v>4503</v>
      </c>
      <c r="AJ696" t="s">
        <v>4655</v>
      </c>
      <c r="AK696" t="s">
        <v>8492</v>
      </c>
      <c r="AL696" s="13" t="s">
        <v>2257</v>
      </c>
      <c r="AM696">
        <v>1</v>
      </c>
      <c r="AN696" s="15" t="s">
        <v>732</v>
      </c>
    </row>
    <row r="697" spans="1:40" x14ac:dyDescent="0.3">
      <c r="A697" s="10" t="str">
        <f>HYPERLINK("http://www.washoecounty.gov/assessor/cama/?parid=009-545-05&amp;CardNumber=1","009-545-05")</f>
        <v>009-545-05</v>
      </c>
      <c r="B697" t="s">
        <v>4655</v>
      </c>
      <c r="C697" t="s">
        <v>8493</v>
      </c>
      <c r="D697" s="1">
        <v>40422</v>
      </c>
      <c r="E697" s="2">
        <v>320000</v>
      </c>
      <c r="F697" t="s">
        <v>4567</v>
      </c>
      <c r="G697" s="17" t="str">
        <f>HYPERLINK("https://www.washoecounty.gov/assessor/cama/?command=sales&amp;parid=00954505","3917705")</f>
        <v>3917705</v>
      </c>
      <c r="H697" t="s">
        <v>3391</v>
      </c>
      <c r="I697">
        <v>1987</v>
      </c>
      <c r="J697">
        <v>1987</v>
      </c>
      <c r="K697" t="s">
        <v>4554</v>
      </c>
      <c r="L697" t="s">
        <v>3974</v>
      </c>
      <c r="M697" s="2">
        <v>2057</v>
      </c>
      <c r="N697" t="s">
        <v>3147</v>
      </c>
      <c r="O697">
        <v>4</v>
      </c>
      <c r="P697">
        <v>2</v>
      </c>
      <c r="Q697">
        <v>1</v>
      </c>
      <c r="R697" t="s">
        <v>4557</v>
      </c>
      <c r="S697" t="s">
        <v>3148</v>
      </c>
      <c r="T697" t="s">
        <v>4559</v>
      </c>
      <c r="U697" t="s">
        <v>5631</v>
      </c>
      <c r="V697" s="2">
        <v>669</v>
      </c>
      <c r="W697" t="s">
        <v>4655</v>
      </c>
      <c r="X697" s="2">
        <v>0</v>
      </c>
      <c r="Y697">
        <v>20</v>
      </c>
      <c r="Z697" t="s">
        <v>1491</v>
      </c>
      <c r="AA697" s="3">
        <v>0.15399448573589325</v>
      </c>
      <c r="AB697" t="s">
        <v>8494</v>
      </c>
      <c r="AC697" t="s">
        <v>4562</v>
      </c>
      <c r="AD697" t="s">
        <v>8493</v>
      </c>
      <c r="AE697" t="s">
        <v>4655</v>
      </c>
      <c r="AF697" t="s">
        <v>4563</v>
      </c>
      <c r="AG697" t="s">
        <v>4564</v>
      </c>
      <c r="AH697" t="s">
        <v>2330</v>
      </c>
      <c r="AI697" t="s">
        <v>8495</v>
      </c>
      <c r="AJ697" t="s">
        <v>4655</v>
      </c>
      <c r="AK697" t="s">
        <v>8496</v>
      </c>
      <c r="AL697" s="13" t="s">
        <v>2257</v>
      </c>
      <c r="AM697">
        <v>1</v>
      </c>
      <c r="AN697" s="15" t="s">
        <v>732</v>
      </c>
    </row>
    <row r="698" spans="1:40" x14ac:dyDescent="0.3">
      <c r="A698" s="10" t="str">
        <f>HYPERLINK("http://www.washoecounty.gov/assessor/cama/?parid=009-552-03&amp;CardNumber=1","009-552-03")</f>
        <v>009-552-03</v>
      </c>
      <c r="B698" t="s">
        <v>4655</v>
      </c>
      <c r="C698" t="s">
        <v>8497</v>
      </c>
      <c r="D698" s="1">
        <v>40417</v>
      </c>
      <c r="E698" s="2">
        <v>285000</v>
      </c>
      <c r="F698" t="s">
        <v>4553</v>
      </c>
      <c r="G698" s="17" t="str">
        <f>HYPERLINK("https://www.washoecounty.gov/assessor/cama/?command=sales&amp;parid=00955203","3916411")</f>
        <v>3916411</v>
      </c>
      <c r="H698" t="s">
        <v>8498</v>
      </c>
      <c r="I698">
        <v>1988</v>
      </c>
      <c r="J698">
        <v>1988</v>
      </c>
      <c r="K698" t="s">
        <v>4554</v>
      </c>
      <c r="L698" t="s">
        <v>3974</v>
      </c>
      <c r="M698" s="2">
        <v>2425</v>
      </c>
      <c r="N698" t="s">
        <v>3147</v>
      </c>
      <c r="O698">
        <v>3</v>
      </c>
      <c r="P698">
        <v>3</v>
      </c>
      <c r="Q698">
        <v>0</v>
      </c>
      <c r="R698" t="s">
        <v>5281</v>
      </c>
      <c r="S698" t="s">
        <v>3148</v>
      </c>
      <c r="T698" t="s">
        <v>4143</v>
      </c>
      <c r="U698" t="s">
        <v>4560</v>
      </c>
      <c r="V698" s="2">
        <v>647</v>
      </c>
      <c r="W698" t="s">
        <v>4655</v>
      </c>
      <c r="X698" s="2">
        <v>0</v>
      </c>
      <c r="Y698">
        <v>20</v>
      </c>
      <c r="Z698" t="s">
        <v>1491</v>
      </c>
      <c r="AA698" s="3">
        <v>0.20899908244609799</v>
      </c>
      <c r="AB698" t="s">
        <v>8499</v>
      </c>
      <c r="AC698" t="s">
        <v>4562</v>
      </c>
      <c r="AD698" t="s">
        <v>8497</v>
      </c>
      <c r="AE698" t="s">
        <v>4655</v>
      </c>
      <c r="AF698" t="s">
        <v>4563</v>
      </c>
      <c r="AG698" t="s">
        <v>4564</v>
      </c>
      <c r="AH698" t="s">
        <v>2330</v>
      </c>
      <c r="AI698" t="s">
        <v>4903</v>
      </c>
      <c r="AJ698" t="s">
        <v>4655</v>
      </c>
      <c r="AK698" t="s">
        <v>8500</v>
      </c>
      <c r="AL698" s="13" t="s">
        <v>2257</v>
      </c>
      <c r="AM698">
        <v>1</v>
      </c>
      <c r="AN698" s="15" t="s">
        <v>732</v>
      </c>
    </row>
    <row r="699" spans="1:40" x14ac:dyDescent="0.3">
      <c r="A699" s="10" t="str">
        <f>HYPERLINK("http://www.washoecounty.gov/assessor/cama/?parid=009-553-12&amp;CardNumber=1","009-553-12")</f>
        <v>009-553-12</v>
      </c>
      <c r="B699" t="s">
        <v>4655</v>
      </c>
      <c r="C699" t="s">
        <v>8501</v>
      </c>
      <c r="D699" s="1">
        <v>40330</v>
      </c>
      <c r="E699" s="2">
        <v>268000</v>
      </c>
      <c r="F699" t="s">
        <v>4567</v>
      </c>
      <c r="G699" s="17" t="str">
        <f>HYPERLINK("https://www.washoecounty.gov/assessor/cama/?command=sales&amp;parid=00955312","3887236")</f>
        <v>3887236</v>
      </c>
      <c r="H699" t="s">
        <v>3391</v>
      </c>
      <c r="I699">
        <v>1987</v>
      </c>
      <c r="J699">
        <v>1987</v>
      </c>
      <c r="K699" t="s">
        <v>4554</v>
      </c>
      <c r="L699" t="s">
        <v>3974</v>
      </c>
      <c r="M699" s="2">
        <v>2049</v>
      </c>
      <c r="N699" t="s">
        <v>3147</v>
      </c>
      <c r="O699">
        <v>4</v>
      </c>
      <c r="P699">
        <v>2</v>
      </c>
      <c r="Q699">
        <v>1</v>
      </c>
      <c r="R699" t="s">
        <v>4557</v>
      </c>
      <c r="S699" t="s">
        <v>3148</v>
      </c>
      <c r="T699" t="s">
        <v>4143</v>
      </c>
      <c r="U699" t="s">
        <v>5631</v>
      </c>
      <c r="V699" s="2">
        <v>673</v>
      </c>
      <c r="W699" t="s">
        <v>4655</v>
      </c>
      <c r="X699" s="2">
        <v>0</v>
      </c>
      <c r="Y699">
        <v>20</v>
      </c>
      <c r="Z699" t="s">
        <v>1491</v>
      </c>
      <c r="AA699" s="3">
        <v>0.15798898041248299</v>
      </c>
      <c r="AB699" t="s">
        <v>8502</v>
      </c>
      <c r="AC699" t="s">
        <v>4562</v>
      </c>
      <c r="AD699" t="s">
        <v>8501</v>
      </c>
      <c r="AE699" t="s">
        <v>4655</v>
      </c>
      <c r="AF699" t="s">
        <v>4563</v>
      </c>
      <c r="AG699" t="s">
        <v>4564</v>
      </c>
      <c r="AH699" t="s">
        <v>2330</v>
      </c>
      <c r="AI699" t="s">
        <v>8503</v>
      </c>
      <c r="AJ699" t="s">
        <v>4655</v>
      </c>
      <c r="AK699" t="s">
        <v>8504</v>
      </c>
      <c r="AL699" s="13" t="s">
        <v>2257</v>
      </c>
      <c r="AM699">
        <v>1</v>
      </c>
      <c r="AN699" s="15" t="s">
        <v>732</v>
      </c>
    </row>
    <row r="700" spans="1:40" x14ac:dyDescent="0.3">
      <c r="A700" s="10" t="str">
        <f>HYPERLINK("http://www.washoecounty.gov/assessor/cama/?parid=009-581-08&amp;CardNumber=1","009-581-08")</f>
        <v>009-581-08</v>
      </c>
      <c r="B700" t="s">
        <v>4655</v>
      </c>
      <c r="C700" t="s">
        <v>8505</v>
      </c>
      <c r="D700" s="1">
        <v>40207</v>
      </c>
      <c r="E700" s="2">
        <v>275000</v>
      </c>
      <c r="F700" t="s">
        <v>4553</v>
      </c>
      <c r="G700" s="17" t="str">
        <f>HYPERLINK("https://www.washoecounty.gov/assessor/cama/?command=sales&amp;parid=00958108","3844023")</f>
        <v>3844023</v>
      </c>
      <c r="H700" t="s">
        <v>8506</v>
      </c>
      <c r="I700">
        <v>1987</v>
      </c>
      <c r="J700">
        <v>1987</v>
      </c>
      <c r="K700" t="s">
        <v>4554</v>
      </c>
      <c r="L700" t="s">
        <v>3974</v>
      </c>
      <c r="M700" s="2">
        <v>2289</v>
      </c>
      <c r="N700" t="s">
        <v>3147</v>
      </c>
      <c r="O700">
        <v>4</v>
      </c>
      <c r="P700">
        <v>3</v>
      </c>
      <c r="Q700">
        <v>0</v>
      </c>
      <c r="R700" t="s">
        <v>5281</v>
      </c>
      <c r="S700" t="s">
        <v>4558</v>
      </c>
      <c r="T700" t="s">
        <v>2704</v>
      </c>
      <c r="U700" t="s">
        <v>4560</v>
      </c>
      <c r="V700" s="2">
        <v>650</v>
      </c>
      <c r="W700" t="s">
        <v>4655</v>
      </c>
      <c r="X700" s="2">
        <v>0</v>
      </c>
      <c r="Y700">
        <v>20</v>
      </c>
      <c r="Z700" t="s">
        <v>1491</v>
      </c>
      <c r="AA700" s="3">
        <v>0.14499540627002699</v>
      </c>
      <c r="AB700" t="s">
        <v>8507</v>
      </c>
      <c r="AC700" t="s">
        <v>4562</v>
      </c>
      <c r="AD700" t="s">
        <v>8508</v>
      </c>
      <c r="AE700" t="s">
        <v>4655</v>
      </c>
      <c r="AF700" t="s">
        <v>4563</v>
      </c>
      <c r="AG700" t="s">
        <v>4564</v>
      </c>
      <c r="AH700">
        <v>89509</v>
      </c>
      <c r="AI700" t="s">
        <v>4903</v>
      </c>
      <c r="AJ700" t="s">
        <v>4655</v>
      </c>
      <c r="AK700" t="s">
        <v>8509</v>
      </c>
      <c r="AL700" s="13" t="s">
        <v>2255</v>
      </c>
      <c r="AM700">
        <v>1</v>
      </c>
      <c r="AN700" s="15" t="s">
        <v>1643</v>
      </c>
    </row>
    <row r="701" spans="1:40" x14ac:dyDescent="0.3">
      <c r="A701" s="10" t="str">
        <f>HYPERLINK("http://www.washoecounty.gov/assessor/cama/?parid=009-600-12&amp;CardNumber=1","009-600-12")</f>
        <v>009-600-12</v>
      </c>
      <c r="B701" t="s">
        <v>4655</v>
      </c>
      <c r="C701" t="s">
        <v>8510</v>
      </c>
      <c r="D701" s="1">
        <v>40485</v>
      </c>
      <c r="E701" s="2">
        <v>218000</v>
      </c>
      <c r="F701" t="s">
        <v>4567</v>
      </c>
      <c r="G701" s="17" t="str">
        <f>HYPERLINK("https://www.washoecounty.gov/assessor/cama/?command=sales&amp;parid=00960012","3939441")</f>
        <v>3939441</v>
      </c>
      <c r="H701" t="s">
        <v>3026</v>
      </c>
      <c r="I701">
        <v>1988</v>
      </c>
      <c r="J701">
        <v>1988</v>
      </c>
      <c r="K701" t="s">
        <v>4554</v>
      </c>
      <c r="L701" t="s">
        <v>4555</v>
      </c>
      <c r="M701" s="2">
        <v>1588</v>
      </c>
      <c r="N701" t="s">
        <v>3147</v>
      </c>
      <c r="O701">
        <v>3</v>
      </c>
      <c r="P701">
        <v>2</v>
      </c>
      <c r="Q701">
        <v>0</v>
      </c>
      <c r="R701" t="s">
        <v>5281</v>
      </c>
      <c r="S701" t="s">
        <v>4558</v>
      </c>
      <c r="T701" t="s">
        <v>4559</v>
      </c>
      <c r="U701" t="s">
        <v>4560</v>
      </c>
      <c r="V701" s="2">
        <v>516</v>
      </c>
      <c r="W701" t="s">
        <v>4655</v>
      </c>
      <c r="X701" s="2">
        <v>0</v>
      </c>
      <c r="Y701">
        <v>20</v>
      </c>
      <c r="Z701" t="s">
        <v>1491</v>
      </c>
      <c r="AA701" s="3">
        <v>0.13200183212757099</v>
      </c>
      <c r="AB701" t="s">
        <v>8511</v>
      </c>
      <c r="AC701" t="s">
        <v>4575</v>
      </c>
      <c r="AD701" t="s">
        <v>8512</v>
      </c>
      <c r="AE701" t="s">
        <v>4655</v>
      </c>
      <c r="AF701" t="s">
        <v>5636</v>
      </c>
      <c r="AG701" t="s">
        <v>4564</v>
      </c>
      <c r="AH701" t="s">
        <v>680</v>
      </c>
      <c r="AI701" t="s">
        <v>8513</v>
      </c>
      <c r="AJ701" t="s">
        <v>4655</v>
      </c>
      <c r="AK701" t="s">
        <v>8514</v>
      </c>
      <c r="AL701" s="13" t="s">
        <v>2257</v>
      </c>
      <c r="AM701">
        <v>1</v>
      </c>
      <c r="AN701" s="15" t="s">
        <v>1744</v>
      </c>
    </row>
    <row r="702" spans="1:40" x14ac:dyDescent="0.3">
      <c r="A702" s="10" t="str">
        <f>HYPERLINK("http://www.washoecounty.gov/assessor/cama/?parid=009-600-14&amp;CardNumber=1","009-600-14")</f>
        <v>009-600-14</v>
      </c>
      <c r="B702" t="s">
        <v>4655</v>
      </c>
      <c r="C702" t="s">
        <v>8515</v>
      </c>
      <c r="D702" s="1">
        <v>40347</v>
      </c>
      <c r="E702" s="2">
        <v>179000</v>
      </c>
      <c r="F702" t="s">
        <v>4567</v>
      </c>
      <c r="G702" s="17" t="str">
        <f>HYPERLINK("https://www.washoecounty.gov/assessor/cama/?command=sales&amp;parid=00960014","3893530")</f>
        <v>3893530</v>
      </c>
      <c r="H702" t="s">
        <v>3026</v>
      </c>
      <c r="I702">
        <v>1988</v>
      </c>
      <c r="J702">
        <v>1988</v>
      </c>
      <c r="K702" t="s">
        <v>4554</v>
      </c>
      <c r="L702" t="s">
        <v>4555</v>
      </c>
      <c r="M702" s="2">
        <v>1588</v>
      </c>
      <c r="N702" t="s">
        <v>3147</v>
      </c>
      <c r="O702">
        <v>3</v>
      </c>
      <c r="P702">
        <v>2</v>
      </c>
      <c r="Q702">
        <v>0</v>
      </c>
      <c r="R702" t="s">
        <v>5281</v>
      </c>
      <c r="S702" t="s">
        <v>4558</v>
      </c>
      <c r="T702" t="s">
        <v>4143</v>
      </c>
      <c r="U702" t="s">
        <v>4560</v>
      </c>
      <c r="V702" s="2">
        <v>516</v>
      </c>
      <c r="W702" t="s">
        <v>4655</v>
      </c>
      <c r="X702" s="2">
        <v>0</v>
      </c>
      <c r="Y702">
        <v>20</v>
      </c>
      <c r="Z702" t="s">
        <v>1491</v>
      </c>
      <c r="AA702" s="3">
        <v>0.130991742014885</v>
      </c>
      <c r="AB702" t="s">
        <v>8516</v>
      </c>
      <c r="AC702" t="s">
        <v>4575</v>
      </c>
      <c r="AD702" t="s">
        <v>8515</v>
      </c>
      <c r="AE702" t="s">
        <v>4655</v>
      </c>
      <c r="AF702" t="s">
        <v>4563</v>
      </c>
      <c r="AG702" t="s">
        <v>4564</v>
      </c>
      <c r="AH702">
        <v>89509</v>
      </c>
      <c r="AI702" t="s">
        <v>8517</v>
      </c>
      <c r="AJ702" t="s">
        <v>4655</v>
      </c>
      <c r="AK702" t="s">
        <v>8518</v>
      </c>
      <c r="AL702" s="13" t="s">
        <v>2257</v>
      </c>
      <c r="AM702">
        <v>1</v>
      </c>
      <c r="AN702" s="15" t="s">
        <v>1744</v>
      </c>
    </row>
    <row r="703" spans="1:40" x14ac:dyDescent="0.3">
      <c r="A703" s="10" t="str">
        <f>HYPERLINK("http://www.washoecounty.gov/assessor/cama/?parid=009-600-35&amp;CardNumber=1","009-600-35")</f>
        <v>009-600-35</v>
      </c>
      <c r="B703" t="s">
        <v>4655</v>
      </c>
      <c r="C703" t="s">
        <v>8519</v>
      </c>
      <c r="D703" s="1">
        <v>40357</v>
      </c>
      <c r="E703" s="2">
        <v>232000</v>
      </c>
      <c r="F703" t="s">
        <v>4567</v>
      </c>
      <c r="G703" s="17" t="str">
        <f>HYPERLINK("https://www.washoecounty.gov/assessor/cama/?command=sales&amp;parid=00960035","3895818")</f>
        <v>3895818</v>
      </c>
      <c r="H703" t="s">
        <v>3026</v>
      </c>
      <c r="I703">
        <v>1988</v>
      </c>
      <c r="J703">
        <v>1988</v>
      </c>
      <c r="K703" t="s">
        <v>4554</v>
      </c>
      <c r="L703" t="s">
        <v>4555</v>
      </c>
      <c r="M703" s="2">
        <v>1588</v>
      </c>
      <c r="N703" t="s">
        <v>3147</v>
      </c>
      <c r="O703">
        <v>3</v>
      </c>
      <c r="P703">
        <v>2</v>
      </c>
      <c r="Q703">
        <v>0</v>
      </c>
      <c r="R703" t="s">
        <v>5281</v>
      </c>
      <c r="S703" t="s">
        <v>4558</v>
      </c>
      <c r="T703" t="s">
        <v>4143</v>
      </c>
      <c r="U703" t="s">
        <v>4560</v>
      </c>
      <c r="V703" s="2">
        <v>470</v>
      </c>
      <c r="W703" t="s">
        <v>4655</v>
      </c>
      <c r="X703" s="2">
        <v>0</v>
      </c>
      <c r="Y703">
        <v>20</v>
      </c>
      <c r="Z703" t="s">
        <v>1491</v>
      </c>
      <c r="AA703" s="3">
        <v>0.15599173307418801</v>
      </c>
      <c r="AB703" t="s">
        <v>8520</v>
      </c>
      <c r="AC703" t="s">
        <v>4562</v>
      </c>
      <c r="AD703" t="s">
        <v>8519</v>
      </c>
      <c r="AE703" t="s">
        <v>4655</v>
      </c>
      <c r="AF703" t="s">
        <v>3114</v>
      </c>
      <c r="AG703" t="s">
        <v>4564</v>
      </c>
      <c r="AH703">
        <v>89509</v>
      </c>
      <c r="AI703" t="s">
        <v>8521</v>
      </c>
      <c r="AJ703" t="s">
        <v>4655</v>
      </c>
      <c r="AK703" t="s">
        <v>8522</v>
      </c>
      <c r="AL703" s="13" t="s">
        <v>2257</v>
      </c>
      <c r="AM703" s="14">
        <v>1</v>
      </c>
      <c r="AN703" s="15" t="s">
        <v>1744</v>
      </c>
    </row>
    <row r="704" spans="1:40" x14ac:dyDescent="0.3">
      <c r="A704" s="10" t="str">
        <f>HYPERLINK("http://www.washoecounty.gov/assessor/cama/?parid=009-611-10&amp;CardNumber=1","009-611-10")</f>
        <v>009-611-10</v>
      </c>
      <c r="B704" t="s">
        <v>4655</v>
      </c>
      <c r="C704" t="s">
        <v>8523</v>
      </c>
      <c r="D704" s="1">
        <v>40417</v>
      </c>
      <c r="E704" s="2">
        <v>237500</v>
      </c>
      <c r="F704" t="s">
        <v>4567</v>
      </c>
      <c r="G704" s="17" t="str">
        <f>HYPERLINK("https://www.washoecounty.gov/assessor/cama/?command=sales&amp;parid=00961110","3916179")</f>
        <v>3916179</v>
      </c>
      <c r="H704" t="s">
        <v>2215</v>
      </c>
      <c r="I704">
        <v>1990</v>
      </c>
      <c r="J704">
        <v>1990</v>
      </c>
      <c r="K704" t="s">
        <v>4554</v>
      </c>
      <c r="L704" t="s">
        <v>4555</v>
      </c>
      <c r="M704" s="2">
        <v>1678</v>
      </c>
      <c r="N704" t="s">
        <v>3147</v>
      </c>
      <c r="O704">
        <v>3</v>
      </c>
      <c r="P704">
        <v>2</v>
      </c>
      <c r="Q704">
        <v>0</v>
      </c>
      <c r="R704" t="s">
        <v>4557</v>
      </c>
      <c r="S704" t="s">
        <v>4558</v>
      </c>
      <c r="T704" t="s">
        <v>2704</v>
      </c>
      <c r="U704" t="s">
        <v>4560</v>
      </c>
      <c r="V704" s="2">
        <v>606</v>
      </c>
      <c r="W704" t="s">
        <v>4655</v>
      </c>
      <c r="X704" s="2">
        <v>0</v>
      </c>
      <c r="Y704">
        <v>20</v>
      </c>
      <c r="Z704" t="s">
        <v>1491</v>
      </c>
      <c r="AA704" s="3">
        <v>0.13799357414245605</v>
      </c>
      <c r="AB704" t="s">
        <v>8524</v>
      </c>
      <c r="AC704" t="s">
        <v>4562</v>
      </c>
      <c r="AD704" t="s">
        <v>8523</v>
      </c>
      <c r="AE704" t="s">
        <v>4655</v>
      </c>
      <c r="AF704" t="s">
        <v>4563</v>
      </c>
      <c r="AG704" t="s">
        <v>4564</v>
      </c>
      <c r="AH704">
        <v>89509</v>
      </c>
      <c r="AI704" t="s">
        <v>8525</v>
      </c>
      <c r="AJ704" t="s">
        <v>4655</v>
      </c>
      <c r="AK704" t="s">
        <v>8526</v>
      </c>
      <c r="AL704" s="13" t="s">
        <v>2255</v>
      </c>
      <c r="AM704">
        <v>1</v>
      </c>
      <c r="AN704" s="15" t="s">
        <v>1643</v>
      </c>
    </row>
    <row r="705" spans="1:40" x14ac:dyDescent="0.3">
      <c r="A705" s="10" t="str">
        <f>HYPERLINK("http://www.washoecounty.gov/assessor/cama/?parid=009-612-02&amp;CardNumber=1","009-612-02")</f>
        <v>009-612-02</v>
      </c>
      <c r="B705" t="s">
        <v>4655</v>
      </c>
      <c r="C705" t="s">
        <v>8527</v>
      </c>
      <c r="D705" s="1">
        <v>40366</v>
      </c>
      <c r="E705" s="2">
        <v>340000</v>
      </c>
      <c r="F705" t="s">
        <v>4567</v>
      </c>
      <c r="G705" s="17" t="str">
        <f>HYPERLINK("https://www.washoecounty.gov/assessor/cama/?command=sales&amp;parid=00961202","3898929")</f>
        <v>3898929</v>
      </c>
      <c r="H705" t="s">
        <v>2999</v>
      </c>
      <c r="I705">
        <v>1989</v>
      </c>
      <c r="J705">
        <v>1989</v>
      </c>
      <c r="K705" t="s">
        <v>4554</v>
      </c>
      <c r="L705" t="s">
        <v>3974</v>
      </c>
      <c r="M705" s="2">
        <v>2289</v>
      </c>
      <c r="N705" t="s">
        <v>3147</v>
      </c>
      <c r="O705">
        <v>4</v>
      </c>
      <c r="P705">
        <v>3</v>
      </c>
      <c r="Q705">
        <v>0</v>
      </c>
      <c r="R705" t="s">
        <v>4557</v>
      </c>
      <c r="S705" t="s">
        <v>4558</v>
      </c>
      <c r="T705" t="s">
        <v>2704</v>
      </c>
      <c r="U705" t="s">
        <v>4560</v>
      </c>
      <c r="V705" s="2">
        <v>650</v>
      </c>
      <c r="W705" t="s">
        <v>4655</v>
      </c>
      <c r="X705" s="2">
        <v>0</v>
      </c>
      <c r="Y705">
        <v>20</v>
      </c>
      <c r="Z705" t="s">
        <v>1491</v>
      </c>
      <c r="AA705" s="3">
        <v>0.14499540627002699</v>
      </c>
      <c r="AB705" t="s">
        <v>8528</v>
      </c>
      <c r="AC705" t="s">
        <v>4575</v>
      </c>
      <c r="AD705" t="s">
        <v>8527</v>
      </c>
      <c r="AE705" t="s">
        <v>4655</v>
      </c>
      <c r="AF705" t="s">
        <v>4563</v>
      </c>
      <c r="AG705" t="s">
        <v>4564</v>
      </c>
      <c r="AH705">
        <v>89509</v>
      </c>
      <c r="AI705" t="s">
        <v>8529</v>
      </c>
      <c r="AJ705" t="s">
        <v>4655</v>
      </c>
      <c r="AK705" t="s">
        <v>8530</v>
      </c>
      <c r="AL705" s="13" t="s">
        <v>2255</v>
      </c>
      <c r="AM705">
        <v>1</v>
      </c>
      <c r="AN705" s="15" t="s">
        <v>1643</v>
      </c>
    </row>
    <row r="706" spans="1:40" x14ac:dyDescent="0.3">
      <c r="A706" s="10" t="str">
        <f>HYPERLINK("http://www.washoecounty.gov/assessor/cama/?parid=009-613-22&amp;CardNumber=1","009-613-22")</f>
        <v>009-613-22</v>
      </c>
      <c r="B706" t="s">
        <v>4655</v>
      </c>
      <c r="C706" t="s">
        <v>4955</v>
      </c>
      <c r="D706" s="1">
        <v>40291</v>
      </c>
      <c r="E706" s="2">
        <v>249900</v>
      </c>
      <c r="F706" t="s">
        <v>4553</v>
      </c>
      <c r="G706" s="17" t="str">
        <f>HYPERLINK("https://www.washoecounty.gov/assessor/cama/?command=sales&amp;parid=00961322","3873915")</f>
        <v>3873915</v>
      </c>
      <c r="H706" t="s">
        <v>4956</v>
      </c>
      <c r="I706">
        <v>1989</v>
      </c>
      <c r="J706">
        <v>1989</v>
      </c>
      <c r="K706" t="s">
        <v>4554</v>
      </c>
      <c r="L706" t="s">
        <v>4555</v>
      </c>
      <c r="M706" s="2">
        <v>1721</v>
      </c>
      <c r="N706" t="s">
        <v>3147</v>
      </c>
      <c r="O706">
        <v>3</v>
      </c>
      <c r="P706">
        <v>2</v>
      </c>
      <c r="Q706">
        <v>0</v>
      </c>
      <c r="R706" t="s">
        <v>5281</v>
      </c>
      <c r="S706" t="s">
        <v>4558</v>
      </c>
      <c r="T706" t="s">
        <v>2704</v>
      </c>
      <c r="U706" t="s">
        <v>4560</v>
      </c>
      <c r="V706" s="2">
        <v>412</v>
      </c>
      <c r="W706" t="s">
        <v>4655</v>
      </c>
      <c r="X706" s="2">
        <v>0</v>
      </c>
      <c r="Y706">
        <v>20</v>
      </c>
      <c r="Z706" t="s">
        <v>1491</v>
      </c>
      <c r="AA706" s="3">
        <v>0.17499999701976801</v>
      </c>
      <c r="AB706" t="s">
        <v>3696</v>
      </c>
      <c r="AC706" t="s">
        <v>4562</v>
      </c>
      <c r="AD706" t="s">
        <v>4955</v>
      </c>
      <c r="AE706" t="s">
        <v>4655</v>
      </c>
      <c r="AF706" t="s">
        <v>4563</v>
      </c>
      <c r="AG706" t="s">
        <v>4564</v>
      </c>
      <c r="AH706">
        <v>89509</v>
      </c>
      <c r="AI706" t="s">
        <v>4903</v>
      </c>
      <c r="AJ706" t="s">
        <v>4655</v>
      </c>
      <c r="AK706" t="s">
        <v>4957</v>
      </c>
      <c r="AL706" s="13" t="s">
        <v>2255</v>
      </c>
      <c r="AM706" s="14">
        <v>1</v>
      </c>
      <c r="AN706" s="15" t="s">
        <v>1643</v>
      </c>
    </row>
    <row r="707" spans="1:40" x14ac:dyDescent="0.3">
      <c r="A707" s="10" t="str">
        <f>HYPERLINK("http://www.washoecounty.gov/assessor/cama/?parid=009-630-04&amp;CardNumber=1","009-630-04")</f>
        <v>009-630-04</v>
      </c>
      <c r="B707" t="s">
        <v>4655</v>
      </c>
      <c r="C707" t="s">
        <v>8531</v>
      </c>
      <c r="D707" s="1">
        <v>40436</v>
      </c>
      <c r="E707" s="2">
        <v>375000</v>
      </c>
      <c r="F707" t="s">
        <v>4567</v>
      </c>
      <c r="G707" s="17" t="str">
        <f>HYPERLINK("https://www.washoecounty.gov/assessor/cama/?command=sales&amp;parid=00963004","3922531")</f>
        <v>3922531</v>
      </c>
      <c r="H707" t="s">
        <v>4266</v>
      </c>
      <c r="I707">
        <v>1989</v>
      </c>
      <c r="J707">
        <v>1989</v>
      </c>
      <c r="K707" t="s">
        <v>4554</v>
      </c>
      <c r="L707" t="s">
        <v>4555</v>
      </c>
      <c r="M707" s="2">
        <v>1947</v>
      </c>
      <c r="N707" t="s">
        <v>3887</v>
      </c>
      <c r="O707">
        <v>3</v>
      </c>
      <c r="P707">
        <v>2</v>
      </c>
      <c r="Q707">
        <v>1</v>
      </c>
      <c r="R707" t="s">
        <v>5281</v>
      </c>
      <c r="S707" t="s">
        <v>4135</v>
      </c>
      <c r="T707" t="s">
        <v>2704</v>
      </c>
      <c r="U707" t="s">
        <v>4560</v>
      </c>
      <c r="V707" s="2">
        <v>791</v>
      </c>
      <c r="W707" t="s">
        <v>3201</v>
      </c>
      <c r="X707" s="2">
        <v>573</v>
      </c>
      <c r="Y707">
        <v>20</v>
      </c>
      <c r="Z707" t="s">
        <v>1491</v>
      </c>
      <c r="AA707" s="3">
        <v>0.18298898637294769</v>
      </c>
      <c r="AB707" t="s">
        <v>8532</v>
      </c>
      <c r="AC707" t="s">
        <v>4575</v>
      </c>
      <c r="AD707" t="s">
        <v>8533</v>
      </c>
      <c r="AE707" t="s">
        <v>4655</v>
      </c>
      <c r="AF707" t="s">
        <v>4563</v>
      </c>
      <c r="AG707" t="s">
        <v>4564</v>
      </c>
      <c r="AH707" t="s">
        <v>2330</v>
      </c>
      <c r="AI707" t="s">
        <v>8534</v>
      </c>
      <c r="AJ707" t="s">
        <v>4655</v>
      </c>
      <c r="AK707" t="s">
        <v>8535</v>
      </c>
      <c r="AL707" s="13" t="s">
        <v>2255</v>
      </c>
      <c r="AM707" s="14">
        <v>1</v>
      </c>
      <c r="AN707" s="15" t="s">
        <v>1756</v>
      </c>
    </row>
    <row r="708" spans="1:40" x14ac:dyDescent="0.3">
      <c r="A708" s="10" t="str">
        <f>HYPERLINK("http://www.washoecounty.gov/assessor/cama/?parid=009-630-08&amp;CardNumber=1","009-630-08")</f>
        <v>009-630-08</v>
      </c>
      <c r="B708" t="s">
        <v>4655</v>
      </c>
      <c r="C708" t="s">
        <v>8536</v>
      </c>
      <c r="D708" s="1">
        <v>40487</v>
      </c>
      <c r="E708" s="2">
        <v>360000</v>
      </c>
      <c r="F708" t="s">
        <v>4567</v>
      </c>
      <c r="G708" s="17" t="str">
        <f>HYPERLINK("https://www.washoecounty.gov/assessor/cama/?command=sales&amp;parid=00963008","3940402")</f>
        <v>3940402</v>
      </c>
      <c r="H708" t="s">
        <v>4266</v>
      </c>
      <c r="I708">
        <v>1989</v>
      </c>
      <c r="J708">
        <v>1989</v>
      </c>
      <c r="K708" t="s">
        <v>4554</v>
      </c>
      <c r="L708" t="s">
        <v>4555</v>
      </c>
      <c r="M708" s="2">
        <v>2287</v>
      </c>
      <c r="N708" t="s">
        <v>3887</v>
      </c>
      <c r="O708">
        <v>3</v>
      </c>
      <c r="P708">
        <v>2</v>
      </c>
      <c r="Q708">
        <v>1</v>
      </c>
      <c r="R708" t="s">
        <v>5281</v>
      </c>
      <c r="S708" t="s">
        <v>4135</v>
      </c>
      <c r="T708" t="s">
        <v>2704</v>
      </c>
      <c r="U708" t="s">
        <v>4560</v>
      </c>
      <c r="V708" s="2">
        <v>592</v>
      </c>
      <c r="W708" t="s">
        <v>4655</v>
      </c>
      <c r="X708" s="2">
        <v>0</v>
      </c>
      <c r="Y708">
        <v>20</v>
      </c>
      <c r="Z708" t="s">
        <v>1491</v>
      </c>
      <c r="AA708" s="3">
        <v>0.15899908542633101</v>
      </c>
      <c r="AB708" t="s">
        <v>8537</v>
      </c>
      <c r="AC708" t="s">
        <v>4562</v>
      </c>
      <c r="AD708" t="s">
        <v>8538</v>
      </c>
      <c r="AE708" t="s">
        <v>4655</v>
      </c>
      <c r="AF708" t="s">
        <v>4563</v>
      </c>
      <c r="AG708" t="s">
        <v>4564</v>
      </c>
      <c r="AH708" t="s">
        <v>2330</v>
      </c>
      <c r="AI708" t="s">
        <v>8539</v>
      </c>
      <c r="AJ708" t="s">
        <v>4655</v>
      </c>
      <c r="AK708" t="s">
        <v>8540</v>
      </c>
      <c r="AL708" s="13" t="s">
        <v>2255</v>
      </c>
      <c r="AM708" s="14">
        <v>1</v>
      </c>
      <c r="AN708" s="15" t="s">
        <v>1756</v>
      </c>
    </row>
    <row r="709" spans="1:40" x14ac:dyDescent="0.3">
      <c r="A709" s="10" t="str">
        <f>HYPERLINK("http://www.washoecounty.gov/assessor/cama/?parid=009-660-15&amp;CardNumber=1","009-660-15")</f>
        <v>009-660-15</v>
      </c>
      <c r="B709" t="s">
        <v>4655</v>
      </c>
      <c r="C709" t="s">
        <v>8541</v>
      </c>
      <c r="D709" s="1">
        <v>40387</v>
      </c>
      <c r="E709" s="2">
        <v>348000</v>
      </c>
      <c r="F709" t="s">
        <v>4567</v>
      </c>
      <c r="G709" s="17" t="str">
        <f>HYPERLINK("https://www.washoecounty.gov/assessor/cama/?command=sales&amp;parid=00966015","3906242")</f>
        <v>3906242</v>
      </c>
      <c r="H709" t="s">
        <v>8542</v>
      </c>
      <c r="I709">
        <v>1991</v>
      </c>
      <c r="J709">
        <v>1991</v>
      </c>
      <c r="K709" t="s">
        <v>4554</v>
      </c>
      <c r="L709" t="s">
        <v>4555</v>
      </c>
      <c r="M709" s="2">
        <v>2296</v>
      </c>
      <c r="N709" t="s">
        <v>3887</v>
      </c>
      <c r="O709">
        <v>2</v>
      </c>
      <c r="P709">
        <v>2</v>
      </c>
      <c r="Q709">
        <v>1</v>
      </c>
      <c r="R709" t="s">
        <v>5281</v>
      </c>
      <c r="S709" t="s">
        <v>4135</v>
      </c>
      <c r="T709" t="s">
        <v>2704</v>
      </c>
      <c r="U709" t="s">
        <v>4560</v>
      </c>
      <c r="V709" s="2">
        <v>587</v>
      </c>
      <c r="W709" t="s">
        <v>4655</v>
      </c>
      <c r="X709" s="2">
        <v>0</v>
      </c>
      <c r="Y709">
        <v>20</v>
      </c>
      <c r="Z709" t="s">
        <v>1491</v>
      </c>
      <c r="AA709" s="3">
        <v>0.16400367021560699</v>
      </c>
      <c r="AB709" t="s">
        <v>8543</v>
      </c>
      <c r="AC709" t="s">
        <v>4562</v>
      </c>
      <c r="AD709" t="s">
        <v>8544</v>
      </c>
      <c r="AE709" t="s">
        <v>4655</v>
      </c>
      <c r="AF709" t="s">
        <v>4563</v>
      </c>
      <c r="AG709" t="s">
        <v>4564</v>
      </c>
      <c r="AH709" t="s">
        <v>2330</v>
      </c>
      <c r="AI709" t="s">
        <v>8545</v>
      </c>
      <c r="AJ709" t="s">
        <v>4655</v>
      </c>
      <c r="AK709" t="s">
        <v>8546</v>
      </c>
      <c r="AL709" s="13" t="s">
        <v>2255</v>
      </c>
      <c r="AM709">
        <v>1</v>
      </c>
      <c r="AN709" s="15" t="s">
        <v>1756</v>
      </c>
    </row>
    <row r="710" spans="1:40" x14ac:dyDescent="0.3">
      <c r="A710" s="10" t="str">
        <f>HYPERLINK("http://www.washoecounty.gov/assessor/cama/?parid=009-660-34&amp;CardNumber=1","009-660-34")</f>
        <v>009-660-34</v>
      </c>
      <c r="B710" t="s">
        <v>4655</v>
      </c>
      <c r="C710" t="s">
        <v>8547</v>
      </c>
      <c r="D710" s="1">
        <v>40343</v>
      </c>
      <c r="E710" s="2">
        <v>334000</v>
      </c>
      <c r="F710" t="s">
        <v>4567</v>
      </c>
      <c r="G710" s="17" t="str">
        <f>HYPERLINK("https://www.washoecounty.gov/assessor/cama/?command=sales&amp;parid=00966034","3891306")</f>
        <v>3891306</v>
      </c>
      <c r="H710" t="s">
        <v>8548</v>
      </c>
      <c r="I710">
        <v>1992</v>
      </c>
      <c r="J710">
        <v>1992</v>
      </c>
      <c r="K710" t="s">
        <v>4554</v>
      </c>
      <c r="L710" t="s">
        <v>4555</v>
      </c>
      <c r="M710" s="2">
        <v>2270</v>
      </c>
      <c r="N710" t="s">
        <v>3887</v>
      </c>
      <c r="O710">
        <v>2</v>
      </c>
      <c r="P710">
        <v>2</v>
      </c>
      <c r="Q710">
        <v>1</v>
      </c>
      <c r="R710" t="s">
        <v>5281</v>
      </c>
      <c r="S710" t="s">
        <v>4135</v>
      </c>
      <c r="T710" t="s">
        <v>2704</v>
      </c>
      <c r="U710" t="s">
        <v>4560</v>
      </c>
      <c r="V710" s="2">
        <v>587</v>
      </c>
      <c r="W710" t="s">
        <v>4655</v>
      </c>
      <c r="X710" s="2">
        <v>0</v>
      </c>
      <c r="Y710">
        <v>20</v>
      </c>
      <c r="Z710" t="s">
        <v>1491</v>
      </c>
      <c r="AA710" s="3">
        <v>0.16600091755390201</v>
      </c>
      <c r="AB710" t="s">
        <v>8549</v>
      </c>
      <c r="AC710" t="s">
        <v>4562</v>
      </c>
      <c r="AD710" t="s">
        <v>8547</v>
      </c>
      <c r="AE710" t="s">
        <v>4655</v>
      </c>
      <c r="AF710" t="s">
        <v>4563</v>
      </c>
      <c r="AG710" t="s">
        <v>4564</v>
      </c>
      <c r="AH710" t="s">
        <v>2330</v>
      </c>
      <c r="AI710" t="s">
        <v>8550</v>
      </c>
      <c r="AJ710" t="s">
        <v>8551</v>
      </c>
      <c r="AK710" t="s">
        <v>8552</v>
      </c>
      <c r="AL710" s="13" t="s">
        <v>2255</v>
      </c>
      <c r="AM710">
        <v>1</v>
      </c>
      <c r="AN710" s="15" t="s">
        <v>1756</v>
      </c>
    </row>
    <row r="711" spans="1:40" x14ac:dyDescent="0.3">
      <c r="A711" s="10" t="str">
        <f>HYPERLINK("http://www.washoecounty.gov/assessor/cama/?parid=009-672-04&amp;CardNumber=1","009-672-04")</f>
        <v>009-672-04</v>
      </c>
      <c r="B711" t="s">
        <v>4655</v>
      </c>
      <c r="C711" t="s">
        <v>8553</v>
      </c>
      <c r="D711" s="1">
        <v>40214</v>
      </c>
      <c r="E711" s="2">
        <v>231879</v>
      </c>
      <c r="F711" t="s">
        <v>4553</v>
      </c>
      <c r="G711" s="17" t="str">
        <f>HYPERLINK("https://www.washoecounty.gov/assessor/cama/?command=sales&amp;parid=00967204","3846662")</f>
        <v>3846662</v>
      </c>
      <c r="H711" t="s">
        <v>8554</v>
      </c>
      <c r="I711">
        <v>1993</v>
      </c>
      <c r="J711">
        <v>1993</v>
      </c>
      <c r="K711" t="s">
        <v>4554</v>
      </c>
      <c r="L711" t="s">
        <v>3974</v>
      </c>
      <c r="M711" s="2">
        <v>2615</v>
      </c>
      <c r="N711" t="s">
        <v>3147</v>
      </c>
      <c r="O711">
        <v>5</v>
      </c>
      <c r="P711">
        <v>3</v>
      </c>
      <c r="Q711">
        <v>0</v>
      </c>
      <c r="R711" t="s">
        <v>5281</v>
      </c>
      <c r="S711" t="s">
        <v>4558</v>
      </c>
      <c r="T711" t="s">
        <v>2704</v>
      </c>
      <c r="U711" t="s">
        <v>5631</v>
      </c>
      <c r="V711" s="2">
        <v>598</v>
      </c>
      <c r="W711" t="s">
        <v>4655</v>
      </c>
      <c r="X711" s="2">
        <v>0</v>
      </c>
      <c r="Y711">
        <v>20</v>
      </c>
      <c r="Z711" t="s">
        <v>1491</v>
      </c>
      <c r="AA711" s="3">
        <v>0.15399448573589325</v>
      </c>
      <c r="AB711" t="s">
        <v>8555</v>
      </c>
      <c r="AC711" t="s">
        <v>4562</v>
      </c>
      <c r="AD711" t="s">
        <v>8553</v>
      </c>
      <c r="AE711" t="s">
        <v>4655</v>
      </c>
      <c r="AF711" t="s">
        <v>4563</v>
      </c>
      <c r="AG711" t="s">
        <v>4564</v>
      </c>
      <c r="AH711">
        <v>89509</v>
      </c>
      <c r="AI711" t="s">
        <v>8556</v>
      </c>
      <c r="AJ711" t="s">
        <v>4655</v>
      </c>
      <c r="AK711" t="s">
        <v>8557</v>
      </c>
      <c r="AL711" s="13" t="s">
        <v>2257</v>
      </c>
      <c r="AM711">
        <v>1</v>
      </c>
      <c r="AN711" s="15" t="s">
        <v>1643</v>
      </c>
    </row>
    <row r="712" spans="1:40" x14ac:dyDescent="0.3">
      <c r="A712" s="10" t="str">
        <f>HYPERLINK("http://www.washoecounty.gov/assessor/cama/?parid=009-672-04&amp;CardNumber=1","009-672-04")</f>
        <v>009-672-04</v>
      </c>
      <c r="B712" t="s">
        <v>4655</v>
      </c>
      <c r="C712" t="s">
        <v>8553</v>
      </c>
      <c r="D712" s="1">
        <v>40350</v>
      </c>
      <c r="E712" s="2">
        <v>351500</v>
      </c>
      <c r="F712" t="s">
        <v>4567</v>
      </c>
      <c r="G712" s="17" t="str">
        <f>HYPERLINK("https://www.washoecounty.gov/assessor/cama/?command=sales&amp;parid=00967204","3893742")</f>
        <v>3893742</v>
      </c>
      <c r="H712" t="s">
        <v>8554</v>
      </c>
      <c r="I712">
        <v>1993</v>
      </c>
      <c r="J712">
        <v>1993</v>
      </c>
      <c r="K712" t="s">
        <v>4554</v>
      </c>
      <c r="L712" t="s">
        <v>3974</v>
      </c>
      <c r="M712" s="2">
        <v>2615</v>
      </c>
      <c r="N712" t="s">
        <v>3147</v>
      </c>
      <c r="O712">
        <v>5</v>
      </c>
      <c r="P712">
        <v>3</v>
      </c>
      <c r="Q712">
        <v>0</v>
      </c>
      <c r="R712" t="s">
        <v>5281</v>
      </c>
      <c r="S712" t="s">
        <v>4558</v>
      </c>
      <c r="T712" t="s">
        <v>2704</v>
      </c>
      <c r="U712" t="s">
        <v>5631</v>
      </c>
      <c r="V712" s="2">
        <v>598</v>
      </c>
      <c r="W712" t="s">
        <v>4655</v>
      </c>
      <c r="X712" s="2">
        <v>0</v>
      </c>
      <c r="Y712">
        <v>20</v>
      </c>
      <c r="Z712" t="s">
        <v>1491</v>
      </c>
      <c r="AA712" s="3">
        <v>0.15399448573589325</v>
      </c>
      <c r="AB712" t="s">
        <v>8555</v>
      </c>
      <c r="AC712" t="s">
        <v>4562</v>
      </c>
      <c r="AD712" t="s">
        <v>8553</v>
      </c>
      <c r="AE712" t="s">
        <v>4655</v>
      </c>
      <c r="AF712" t="s">
        <v>4563</v>
      </c>
      <c r="AG712" t="s">
        <v>4564</v>
      </c>
      <c r="AH712">
        <v>89509</v>
      </c>
      <c r="AI712" t="s">
        <v>8556</v>
      </c>
      <c r="AJ712" t="s">
        <v>4655</v>
      </c>
      <c r="AK712" t="s">
        <v>8557</v>
      </c>
      <c r="AL712" s="13" t="s">
        <v>2257</v>
      </c>
      <c r="AM712" s="14">
        <v>1</v>
      </c>
      <c r="AN712" s="15" t="s">
        <v>1643</v>
      </c>
    </row>
    <row r="713" spans="1:40" x14ac:dyDescent="0.3">
      <c r="A713" s="10" t="str">
        <f>HYPERLINK("http://www.washoecounty.gov/assessor/cama/?parid=009-681-12&amp;CardNumber=1","009-681-12")</f>
        <v>009-681-12</v>
      </c>
      <c r="B713" t="s">
        <v>4655</v>
      </c>
      <c r="C713" t="s">
        <v>8558</v>
      </c>
      <c r="D713" s="1">
        <v>40388</v>
      </c>
      <c r="E713" s="2">
        <v>375000</v>
      </c>
      <c r="F713" t="s">
        <v>4567</v>
      </c>
      <c r="G713" s="17" t="str">
        <f>HYPERLINK("https://www.washoecounty.gov/assessor/cama/?command=sales&amp;parid=00968112","3906399")</f>
        <v>3906399</v>
      </c>
      <c r="H713" t="s">
        <v>3944</v>
      </c>
      <c r="I713">
        <v>1991</v>
      </c>
      <c r="J713">
        <v>1991</v>
      </c>
      <c r="K713" t="s">
        <v>4554</v>
      </c>
      <c r="L713" t="s">
        <v>3974</v>
      </c>
      <c r="M713" s="2">
        <v>2615</v>
      </c>
      <c r="N713" t="s">
        <v>3147</v>
      </c>
      <c r="O713">
        <v>5</v>
      </c>
      <c r="P713">
        <v>3</v>
      </c>
      <c r="Q713">
        <v>0</v>
      </c>
      <c r="R713" t="s">
        <v>4557</v>
      </c>
      <c r="S713" t="s">
        <v>4558</v>
      </c>
      <c r="T713" t="s">
        <v>2704</v>
      </c>
      <c r="U713" t="s">
        <v>5631</v>
      </c>
      <c r="V713" s="2">
        <v>598</v>
      </c>
      <c r="W713" t="s">
        <v>4655</v>
      </c>
      <c r="X713" s="2">
        <v>0</v>
      </c>
      <c r="Y713">
        <v>20</v>
      </c>
      <c r="Z713" t="s">
        <v>1491</v>
      </c>
      <c r="AA713" s="3">
        <v>0.13799357414245605</v>
      </c>
      <c r="AB713" t="s">
        <v>8559</v>
      </c>
      <c r="AC713" t="s">
        <v>4562</v>
      </c>
      <c r="AD713" t="s">
        <v>8560</v>
      </c>
      <c r="AE713" t="s">
        <v>4655</v>
      </c>
      <c r="AF713" t="s">
        <v>4752</v>
      </c>
      <c r="AG713" t="s">
        <v>4564</v>
      </c>
      <c r="AH713">
        <v>89505</v>
      </c>
      <c r="AI713" t="s">
        <v>8561</v>
      </c>
      <c r="AJ713" t="s">
        <v>4655</v>
      </c>
      <c r="AK713" t="s">
        <v>8562</v>
      </c>
      <c r="AL713" s="13" t="s">
        <v>2255</v>
      </c>
      <c r="AM713">
        <v>1</v>
      </c>
      <c r="AN713" s="15" t="s">
        <v>1643</v>
      </c>
    </row>
    <row r="714" spans="1:40" x14ac:dyDescent="0.3">
      <c r="A714" s="10" t="str">
        <f>HYPERLINK("http://www.washoecounty.gov/assessor/cama/?parid=009-683-26&amp;CardNumber=1","009-683-26")</f>
        <v>009-683-26</v>
      </c>
      <c r="B714" t="s">
        <v>4655</v>
      </c>
      <c r="C714" t="s">
        <v>8563</v>
      </c>
      <c r="D714" s="1">
        <v>40326</v>
      </c>
      <c r="E714" s="2">
        <v>289000</v>
      </c>
      <c r="F714" t="s">
        <v>4553</v>
      </c>
      <c r="G714" s="17" t="str">
        <f>HYPERLINK("https://www.washoecounty.gov/assessor/cama/?command=sales&amp;parid=00968326","3886759")</f>
        <v>3886759</v>
      </c>
      <c r="H714" t="s">
        <v>3944</v>
      </c>
      <c r="I714">
        <v>1993</v>
      </c>
      <c r="J714">
        <v>1993</v>
      </c>
      <c r="K714" t="s">
        <v>4554</v>
      </c>
      <c r="L714" t="s">
        <v>3974</v>
      </c>
      <c r="M714" s="2">
        <v>2615</v>
      </c>
      <c r="N714" t="s">
        <v>3147</v>
      </c>
      <c r="O714">
        <v>5</v>
      </c>
      <c r="P714">
        <v>3</v>
      </c>
      <c r="Q714">
        <v>0</v>
      </c>
      <c r="R714" t="s">
        <v>5281</v>
      </c>
      <c r="S714" t="s">
        <v>4558</v>
      </c>
      <c r="T714" t="s">
        <v>2704</v>
      </c>
      <c r="U714" t="s">
        <v>5631</v>
      </c>
      <c r="V714" s="2">
        <v>598</v>
      </c>
      <c r="W714" t="s">
        <v>4655</v>
      </c>
      <c r="X714" s="2">
        <v>0</v>
      </c>
      <c r="Y714">
        <v>20</v>
      </c>
      <c r="Z714" t="s">
        <v>1491</v>
      </c>
      <c r="AA714" s="3">
        <v>0.13799357414245605</v>
      </c>
      <c r="AB714" t="s">
        <v>8564</v>
      </c>
      <c r="AC714" t="s">
        <v>4562</v>
      </c>
      <c r="AD714" t="s">
        <v>8565</v>
      </c>
      <c r="AE714" t="s">
        <v>4655</v>
      </c>
      <c r="AF714" t="s">
        <v>4563</v>
      </c>
      <c r="AG714" t="s">
        <v>4564</v>
      </c>
      <c r="AH714">
        <v>89509</v>
      </c>
      <c r="AI714" t="s">
        <v>4145</v>
      </c>
      <c r="AJ714" t="s">
        <v>4655</v>
      </c>
      <c r="AK714" t="s">
        <v>8566</v>
      </c>
      <c r="AL714" s="13" t="s">
        <v>2257</v>
      </c>
      <c r="AM714" s="14">
        <v>1</v>
      </c>
      <c r="AN714" s="15" t="s">
        <v>1643</v>
      </c>
    </row>
    <row r="715" spans="1:40" x14ac:dyDescent="0.3">
      <c r="A715" s="10" t="str">
        <f>HYPERLINK("http://www.washoecounty.gov/assessor/cama/?parid=009-683-39&amp;CardNumber=1","009-683-39")</f>
        <v>009-683-39</v>
      </c>
      <c r="B715" t="s">
        <v>4655</v>
      </c>
      <c r="C715" t="s">
        <v>8567</v>
      </c>
      <c r="D715" s="1">
        <v>40190</v>
      </c>
      <c r="E715" s="2">
        <v>425000</v>
      </c>
      <c r="F715" t="s">
        <v>4567</v>
      </c>
      <c r="G715" s="17" t="str">
        <f>HYPERLINK("https://www.washoecounty.gov/assessor/cama/?command=sales&amp;parid=00968339","3838483")</f>
        <v>3838483</v>
      </c>
      <c r="H715" t="s">
        <v>8568</v>
      </c>
      <c r="I715">
        <v>1992</v>
      </c>
      <c r="J715">
        <v>1992</v>
      </c>
      <c r="K715" t="s">
        <v>4554</v>
      </c>
      <c r="L715" t="s">
        <v>3974</v>
      </c>
      <c r="M715" s="2">
        <v>2615</v>
      </c>
      <c r="N715" t="s">
        <v>3147</v>
      </c>
      <c r="O715">
        <v>5</v>
      </c>
      <c r="P715">
        <v>3</v>
      </c>
      <c r="Q715">
        <v>0</v>
      </c>
      <c r="R715" t="s">
        <v>5281</v>
      </c>
      <c r="S715" t="s">
        <v>4558</v>
      </c>
      <c r="T715" t="s">
        <v>2704</v>
      </c>
      <c r="U715" t="s">
        <v>5631</v>
      </c>
      <c r="V715" s="2">
        <v>598</v>
      </c>
      <c r="W715" t="s">
        <v>4655</v>
      </c>
      <c r="X715" s="2">
        <v>0</v>
      </c>
      <c r="Y715">
        <v>20</v>
      </c>
      <c r="Z715" t="s">
        <v>1491</v>
      </c>
      <c r="AA715" s="3">
        <v>0.18700642883777599</v>
      </c>
      <c r="AB715" t="s">
        <v>8569</v>
      </c>
      <c r="AC715" t="s">
        <v>4575</v>
      </c>
      <c r="AD715" t="s">
        <v>8567</v>
      </c>
      <c r="AE715" t="s">
        <v>4655</v>
      </c>
      <c r="AF715" t="s">
        <v>4563</v>
      </c>
      <c r="AG715" t="s">
        <v>4564</v>
      </c>
      <c r="AH715">
        <v>89509</v>
      </c>
      <c r="AI715" t="s">
        <v>8570</v>
      </c>
      <c r="AJ715" t="s">
        <v>8571</v>
      </c>
      <c r="AK715" t="s">
        <v>8572</v>
      </c>
      <c r="AL715" s="13" t="s">
        <v>2257</v>
      </c>
      <c r="AM715">
        <v>1</v>
      </c>
      <c r="AN715" s="15" t="s">
        <v>1643</v>
      </c>
    </row>
    <row r="716" spans="1:40" x14ac:dyDescent="0.3">
      <c r="A716" s="10" t="str">
        <f>HYPERLINK("http://www.washoecounty.gov/assessor/cama/?parid=009-692-19&amp;CardNumber=1","009-692-19")</f>
        <v>009-692-19</v>
      </c>
      <c r="B716" t="s">
        <v>4655</v>
      </c>
      <c r="C716" t="s">
        <v>8573</v>
      </c>
      <c r="D716" s="1">
        <v>40473</v>
      </c>
      <c r="E716" s="2">
        <v>235000</v>
      </c>
      <c r="F716" t="s">
        <v>4553</v>
      </c>
      <c r="G716" s="17" t="str">
        <f>HYPERLINK("https://www.washoecounty.gov/assessor/cama/?command=sales&amp;parid=00969219","3935568")</f>
        <v>3935568</v>
      </c>
      <c r="H716" t="s">
        <v>5637</v>
      </c>
      <c r="I716">
        <v>1992</v>
      </c>
      <c r="J716">
        <v>1992</v>
      </c>
      <c r="K716" t="s">
        <v>4554</v>
      </c>
      <c r="L716" t="s">
        <v>4555</v>
      </c>
      <c r="M716" s="2">
        <v>1970</v>
      </c>
      <c r="N716" t="s">
        <v>3147</v>
      </c>
      <c r="O716">
        <v>3</v>
      </c>
      <c r="P716">
        <v>2</v>
      </c>
      <c r="Q716">
        <v>0</v>
      </c>
      <c r="R716" t="s">
        <v>5281</v>
      </c>
      <c r="S716" t="s">
        <v>4558</v>
      </c>
      <c r="T716" t="s">
        <v>4143</v>
      </c>
      <c r="U716" t="s">
        <v>4560</v>
      </c>
      <c r="V716" s="2">
        <v>445</v>
      </c>
      <c r="W716" t="s">
        <v>4655</v>
      </c>
      <c r="X716" s="2">
        <v>0</v>
      </c>
      <c r="Y716">
        <v>20</v>
      </c>
      <c r="Z716" t="s">
        <v>1491</v>
      </c>
      <c r="AA716" s="3">
        <v>0.13700643181800801</v>
      </c>
      <c r="AB716" t="s">
        <v>8574</v>
      </c>
      <c r="AC716" t="s">
        <v>4562</v>
      </c>
      <c r="AD716" t="s">
        <v>8573</v>
      </c>
      <c r="AE716" t="s">
        <v>4655</v>
      </c>
      <c r="AF716" t="s">
        <v>4563</v>
      </c>
      <c r="AG716" t="s">
        <v>4564</v>
      </c>
      <c r="AH716">
        <v>89509</v>
      </c>
      <c r="AI716" t="s">
        <v>4903</v>
      </c>
      <c r="AJ716" t="s">
        <v>4655</v>
      </c>
      <c r="AK716" t="s">
        <v>8575</v>
      </c>
      <c r="AL716" s="13" t="s">
        <v>2255</v>
      </c>
      <c r="AM716" s="14">
        <v>1</v>
      </c>
      <c r="AN716" s="15" t="s">
        <v>1744</v>
      </c>
    </row>
    <row r="717" spans="1:40" x14ac:dyDescent="0.3">
      <c r="A717" s="10" t="str">
        <f>HYPERLINK("http://www.washoecounty.gov/assessor/cama/?parid=009-704-20&amp;CardNumber=1","009-704-20")</f>
        <v>009-704-20</v>
      </c>
      <c r="B717" t="s">
        <v>4655</v>
      </c>
      <c r="C717" t="s">
        <v>8576</v>
      </c>
      <c r="D717" s="1">
        <v>40303</v>
      </c>
      <c r="E717" s="2">
        <v>866000</v>
      </c>
      <c r="F717" t="s">
        <v>4567</v>
      </c>
      <c r="G717" s="17" t="str">
        <f>HYPERLINK("https://www.washoecounty.gov/assessor/cama/?command=sales&amp;parid=00970420","3878248")</f>
        <v>3878248</v>
      </c>
      <c r="H717" t="s">
        <v>8577</v>
      </c>
      <c r="I717">
        <v>2000</v>
      </c>
      <c r="J717">
        <v>2000</v>
      </c>
      <c r="K717" t="s">
        <v>4554</v>
      </c>
      <c r="L717" t="s">
        <v>4555</v>
      </c>
      <c r="M717" s="2">
        <v>3568</v>
      </c>
      <c r="N717" t="s">
        <v>5106</v>
      </c>
      <c r="O717">
        <v>3</v>
      </c>
      <c r="P717">
        <v>3</v>
      </c>
      <c r="Q717">
        <v>1</v>
      </c>
      <c r="R717" t="s">
        <v>5281</v>
      </c>
      <c r="S717" t="s">
        <v>4898</v>
      </c>
      <c r="T717" t="s">
        <v>2704</v>
      </c>
      <c r="U717" t="s">
        <v>4560</v>
      </c>
      <c r="V717" s="2">
        <v>746</v>
      </c>
      <c r="W717" t="s">
        <v>4655</v>
      </c>
      <c r="X717" s="2">
        <v>0</v>
      </c>
      <c r="Y717">
        <v>20</v>
      </c>
      <c r="Z717" t="s">
        <v>1491</v>
      </c>
      <c r="AA717" s="3">
        <v>0.53000462055206199</v>
      </c>
      <c r="AB717" t="s">
        <v>8578</v>
      </c>
      <c r="AC717" t="s">
        <v>4575</v>
      </c>
      <c r="AD717" t="s">
        <v>8579</v>
      </c>
      <c r="AE717" t="s">
        <v>8576</v>
      </c>
      <c r="AF717" t="s">
        <v>4563</v>
      </c>
      <c r="AG717" t="s">
        <v>4564</v>
      </c>
      <c r="AH717" t="s">
        <v>2330</v>
      </c>
      <c r="AI717" t="s">
        <v>8580</v>
      </c>
      <c r="AJ717" t="s">
        <v>4655</v>
      </c>
      <c r="AK717" t="s">
        <v>8581</v>
      </c>
      <c r="AL717" s="13" t="s">
        <v>2255</v>
      </c>
      <c r="AM717" s="14">
        <v>1</v>
      </c>
      <c r="AN717" s="15" t="s">
        <v>1752</v>
      </c>
    </row>
    <row r="718" spans="1:40" x14ac:dyDescent="0.3">
      <c r="A718" s="10" t="str">
        <f>HYPERLINK("http://www.washoecounty.gov/assessor/cama/?parid=009-705-05&amp;CardNumber=1","009-705-05")</f>
        <v>009-705-05</v>
      </c>
      <c r="B718" t="s">
        <v>4655</v>
      </c>
      <c r="C718" t="s">
        <v>8582</v>
      </c>
      <c r="D718" s="1">
        <v>40305</v>
      </c>
      <c r="E718" s="2">
        <v>200000</v>
      </c>
      <c r="F718" t="s">
        <v>8583</v>
      </c>
      <c r="G718" s="17" t="str">
        <f>HYPERLINK("https://www.washoecounty.gov/assessor/cama/?command=sales&amp;parid=00970505","3879175")</f>
        <v>3879175</v>
      </c>
      <c r="H718" t="s">
        <v>8584</v>
      </c>
      <c r="I718">
        <v>2009</v>
      </c>
      <c r="J718">
        <v>2009</v>
      </c>
      <c r="K718" t="s">
        <v>4554</v>
      </c>
      <c r="L718" t="s">
        <v>3974</v>
      </c>
      <c r="M718" s="2">
        <v>4068</v>
      </c>
      <c r="N718" t="s">
        <v>5106</v>
      </c>
      <c r="O718">
        <v>4</v>
      </c>
      <c r="P718">
        <v>4</v>
      </c>
      <c r="Q718">
        <v>1</v>
      </c>
      <c r="R718" t="s">
        <v>5281</v>
      </c>
      <c r="S718" t="s">
        <v>4898</v>
      </c>
      <c r="T718" t="s">
        <v>3888</v>
      </c>
      <c r="U718" t="s">
        <v>162</v>
      </c>
      <c r="V718" s="2">
        <v>2168</v>
      </c>
      <c r="W718" t="s">
        <v>4571</v>
      </c>
      <c r="X718" s="2">
        <v>2274</v>
      </c>
      <c r="Y718">
        <v>12</v>
      </c>
      <c r="Z718" t="s">
        <v>1491</v>
      </c>
      <c r="AA718" s="3">
        <v>1</v>
      </c>
      <c r="AB718" t="s">
        <v>8585</v>
      </c>
      <c r="AC718" t="s">
        <v>4575</v>
      </c>
      <c r="AD718" t="s">
        <v>8586</v>
      </c>
      <c r="AE718" t="s">
        <v>4655</v>
      </c>
      <c r="AF718" t="s">
        <v>4563</v>
      </c>
      <c r="AG718" t="s">
        <v>4564</v>
      </c>
      <c r="AH718">
        <v>89511</v>
      </c>
      <c r="AI718" t="s">
        <v>8587</v>
      </c>
      <c r="AJ718" t="s">
        <v>4655</v>
      </c>
      <c r="AK718" t="s">
        <v>8588</v>
      </c>
      <c r="AL718" s="13" t="s">
        <v>2255</v>
      </c>
      <c r="AM718" s="14">
        <v>1</v>
      </c>
      <c r="AN718" s="15" t="s">
        <v>1752</v>
      </c>
    </row>
    <row r="719" spans="1:40" x14ac:dyDescent="0.3">
      <c r="A719" s="10" t="str">
        <f>HYPERLINK("http://www.washoecounty.gov/assessor/cama/?parid=009-741-08&amp;CardNumber=1","009-741-08")</f>
        <v>009-741-08</v>
      </c>
      <c r="B719" t="s">
        <v>4655</v>
      </c>
      <c r="C719" t="s">
        <v>8589</v>
      </c>
      <c r="D719" s="1">
        <v>40337</v>
      </c>
      <c r="E719" s="2">
        <v>270000</v>
      </c>
      <c r="F719" t="s">
        <v>3259</v>
      </c>
      <c r="G719" s="17" t="str">
        <f>HYPERLINK("https://www.washoecounty.gov/assessor/cama/?command=sales&amp;parid=00974108","3889400")</f>
        <v>3889400</v>
      </c>
      <c r="H719" t="s">
        <v>8590</v>
      </c>
      <c r="I719">
        <v>1958</v>
      </c>
      <c r="J719">
        <v>1958</v>
      </c>
      <c r="K719" t="s">
        <v>4554</v>
      </c>
      <c r="L719" t="s">
        <v>4555</v>
      </c>
      <c r="M719" s="2">
        <v>1617</v>
      </c>
      <c r="N719" t="s">
        <v>4048</v>
      </c>
      <c r="O719">
        <v>3</v>
      </c>
      <c r="P719">
        <v>2</v>
      </c>
      <c r="Q719">
        <v>0</v>
      </c>
      <c r="R719" t="s">
        <v>4557</v>
      </c>
      <c r="S719" t="s">
        <v>4574</v>
      </c>
      <c r="T719" t="s">
        <v>3888</v>
      </c>
      <c r="U719" t="s">
        <v>4655</v>
      </c>
      <c r="V719" s="2">
        <v>0</v>
      </c>
      <c r="W719" t="s">
        <v>4655</v>
      </c>
      <c r="X719" s="2">
        <v>0</v>
      </c>
      <c r="Y719">
        <v>20</v>
      </c>
      <c r="Z719" t="s">
        <v>5508</v>
      </c>
      <c r="AA719" s="3">
        <v>1.3331266641616799</v>
      </c>
      <c r="AB719" t="s">
        <v>8591</v>
      </c>
      <c r="AC719" t="s">
        <v>4562</v>
      </c>
      <c r="AD719" t="s">
        <v>8592</v>
      </c>
      <c r="AE719" t="s">
        <v>4655</v>
      </c>
      <c r="AF719" t="s">
        <v>4563</v>
      </c>
      <c r="AG719" t="s">
        <v>4564</v>
      </c>
      <c r="AH719" t="s">
        <v>2330</v>
      </c>
      <c r="AI719" t="s">
        <v>8593</v>
      </c>
      <c r="AJ719" t="s">
        <v>8594</v>
      </c>
      <c r="AK719" t="s">
        <v>8595</v>
      </c>
      <c r="AL719" s="13" t="s">
        <v>3420</v>
      </c>
      <c r="AM719">
        <v>1</v>
      </c>
      <c r="AN719" s="15" t="s">
        <v>2324</v>
      </c>
    </row>
    <row r="720" spans="1:40" x14ac:dyDescent="0.3">
      <c r="A720" s="10" t="str">
        <f>HYPERLINK("http://www.washoecounty.gov/assessor/cama/?parid=009-752-02&amp;CardNumber=1","009-752-02")</f>
        <v>009-752-02</v>
      </c>
      <c r="B720" t="s">
        <v>4655</v>
      </c>
      <c r="C720" t="s">
        <v>8596</v>
      </c>
      <c r="D720" s="1">
        <v>40343</v>
      </c>
      <c r="E720" s="2">
        <v>495000</v>
      </c>
      <c r="F720" t="s">
        <v>4567</v>
      </c>
      <c r="G720" s="17" t="str">
        <f>HYPERLINK("https://www.washoecounty.gov/assessor/cama/?command=sales&amp;parid=00975202","3891543")</f>
        <v>3891543</v>
      </c>
      <c r="H720" t="s">
        <v>2066</v>
      </c>
      <c r="I720">
        <v>1998</v>
      </c>
      <c r="J720">
        <v>1998</v>
      </c>
      <c r="K720" t="s">
        <v>4554</v>
      </c>
      <c r="L720" t="s">
        <v>3974</v>
      </c>
      <c r="M720" s="2">
        <v>3033</v>
      </c>
      <c r="N720" t="s">
        <v>2012</v>
      </c>
      <c r="O720">
        <v>5</v>
      </c>
      <c r="P720">
        <v>4</v>
      </c>
      <c r="Q720">
        <v>0</v>
      </c>
      <c r="R720" t="s">
        <v>5281</v>
      </c>
      <c r="S720" t="s">
        <v>4898</v>
      </c>
      <c r="T720" t="s">
        <v>4559</v>
      </c>
      <c r="U720" t="s">
        <v>4560</v>
      </c>
      <c r="V720" s="2">
        <v>972</v>
      </c>
      <c r="W720" t="s">
        <v>4655</v>
      </c>
      <c r="X720" s="2">
        <v>0</v>
      </c>
      <c r="Y720">
        <v>20</v>
      </c>
      <c r="Z720" t="s">
        <v>1491</v>
      </c>
      <c r="AA720" s="3">
        <v>0.5</v>
      </c>
      <c r="AB720" t="s">
        <v>8597</v>
      </c>
      <c r="AC720" t="s">
        <v>4575</v>
      </c>
      <c r="AD720" t="s">
        <v>8596</v>
      </c>
      <c r="AE720" t="s">
        <v>4655</v>
      </c>
      <c r="AF720" t="s">
        <v>4563</v>
      </c>
      <c r="AG720" t="s">
        <v>4564</v>
      </c>
      <c r="AH720" t="s">
        <v>2330</v>
      </c>
      <c r="AI720" t="s">
        <v>8598</v>
      </c>
      <c r="AJ720" t="s">
        <v>1655</v>
      </c>
      <c r="AK720" t="s">
        <v>8599</v>
      </c>
      <c r="AL720" s="13" t="s">
        <v>2255</v>
      </c>
      <c r="AM720" s="14">
        <v>1</v>
      </c>
      <c r="AN720" s="15" t="s">
        <v>1752</v>
      </c>
    </row>
    <row r="721" spans="1:40" x14ac:dyDescent="0.3">
      <c r="A721" s="10" t="str">
        <f>HYPERLINK("http://www.washoecounty.gov/assessor/cama/?parid=009-772-05&amp;CardNumber=1","009-772-05")</f>
        <v>009-772-05</v>
      </c>
      <c r="B721" t="s">
        <v>4655</v>
      </c>
      <c r="C721" t="s">
        <v>8600</v>
      </c>
      <c r="D721" s="1">
        <v>40541</v>
      </c>
      <c r="E721" s="2">
        <v>835000</v>
      </c>
      <c r="F721" t="s">
        <v>4567</v>
      </c>
      <c r="G721" s="17" t="str">
        <f>HYPERLINK("https://www.washoecounty.gov/assessor/cama/?command=sales&amp;parid=00977205","3958316")</f>
        <v>3958316</v>
      </c>
      <c r="H721" t="s">
        <v>8601</v>
      </c>
      <c r="I721">
        <v>1996</v>
      </c>
      <c r="J721">
        <v>1996</v>
      </c>
      <c r="K721" t="s">
        <v>4554</v>
      </c>
      <c r="L721" t="s">
        <v>4555</v>
      </c>
      <c r="M721" s="2">
        <v>2394</v>
      </c>
      <c r="N721" t="s">
        <v>5106</v>
      </c>
      <c r="O721">
        <v>4</v>
      </c>
      <c r="P721">
        <v>3</v>
      </c>
      <c r="Q721">
        <v>0</v>
      </c>
      <c r="R721" t="s">
        <v>5281</v>
      </c>
      <c r="S721" t="s">
        <v>4898</v>
      </c>
      <c r="T721" t="s">
        <v>2704</v>
      </c>
      <c r="U721" t="s">
        <v>4560</v>
      </c>
      <c r="V721" s="2">
        <v>910</v>
      </c>
      <c r="W721" t="s">
        <v>3201</v>
      </c>
      <c r="X721" s="2">
        <v>1270</v>
      </c>
      <c r="Y721">
        <v>20</v>
      </c>
      <c r="Z721" t="s">
        <v>1491</v>
      </c>
      <c r="AA721" s="3">
        <v>0.51299357414245605</v>
      </c>
      <c r="AB721" t="s">
        <v>8602</v>
      </c>
      <c r="AC721" t="s">
        <v>4562</v>
      </c>
      <c r="AD721" t="s">
        <v>8600</v>
      </c>
      <c r="AE721" t="s">
        <v>4655</v>
      </c>
      <c r="AF721" t="s">
        <v>4752</v>
      </c>
      <c r="AG721" t="s">
        <v>4564</v>
      </c>
      <c r="AH721" t="s">
        <v>2330</v>
      </c>
      <c r="AI721" t="s">
        <v>1026</v>
      </c>
      <c r="AJ721" t="s">
        <v>8603</v>
      </c>
      <c r="AK721" t="s">
        <v>8604</v>
      </c>
      <c r="AL721" s="13" t="s">
        <v>2255</v>
      </c>
      <c r="AM721" s="14">
        <v>1</v>
      </c>
      <c r="AN721" s="15" t="s">
        <v>1752</v>
      </c>
    </row>
    <row r="722" spans="1:40" x14ac:dyDescent="0.3">
      <c r="A722" s="10" t="str">
        <f>HYPERLINK("http://www.washoecounty.gov/assessor/cama/?parid=009-772-06&amp;CardNumber=1","009-772-06")</f>
        <v>009-772-06</v>
      </c>
      <c r="B722" t="s">
        <v>4655</v>
      </c>
      <c r="C722" t="s">
        <v>8605</v>
      </c>
      <c r="D722" s="1">
        <v>40501</v>
      </c>
      <c r="E722" s="2">
        <v>625000</v>
      </c>
      <c r="F722" t="s">
        <v>4567</v>
      </c>
      <c r="G722" s="17" t="str">
        <f>HYPERLINK("https://www.washoecounty.gov/assessor/cama/?command=sales&amp;parid=00977206","3945150")</f>
        <v>3945150</v>
      </c>
      <c r="H722" t="s">
        <v>8601</v>
      </c>
      <c r="I722">
        <v>1998</v>
      </c>
      <c r="J722">
        <v>1998</v>
      </c>
      <c r="K722" t="s">
        <v>4554</v>
      </c>
      <c r="L722" t="s">
        <v>4555</v>
      </c>
      <c r="M722" s="2">
        <v>2407</v>
      </c>
      <c r="N722" t="s">
        <v>5106</v>
      </c>
      <c r="O722">
        <v>4</v>
      </c>
      <c r="P722">
        <v>3</v>
      </c>
      <c r="Q722">
        <v>0</v>
      </c>
      <c r="R722" t="s">
        <v>5281</v>
      </c>
      <c r="S722" t="s">
        <v>4898</v>
      </c>
      <c r="T722" t="s">
        <v>2704</v>
      </c>
      <c r="U722" t="s">
        <v>4560</v>
      </c>
      <c r="V722" s="2">
        <v>867</v>
      </c>
      <c r="W722" t="s">
        <v>3201</v>
      </c>
      <c r="X722" s="2">
        <v>1370</v>
      </c>
      <c r="Y722">
        <v>20</v>
      </c>
      <c r="Z722" t="s">
        <v>1491</v>
      </c>
      <c r="AA722" s="3">
        <v>0.51900827884673995</v>
      </c>
      <c r="AB722" t="s">
        <v>8606</v>
      </c>
      <c r="AC722" t="s">
        <v>4562</v>
      </c>
      <c r="AD722" t="s">
        <v>8605</v>
      </c>
      <c r="AE722" t="s">
        <v>4655</v>
      </c>
      <c r="AF722" t="s">
        <v>4563</v>
      </c>
      <c r="AG722" t="s">
        <v>4564</v>
      </c>
      <c r="AH722" t="s">
        <v>2330</v>
      </c>
      <c r="AI722" t="s">
        <v>8607</v>
      </c>
      <c r="AJ722" t="s">
        <v>8603</v>
      </c>
      <c r="AK722" t="s">
        <v>8608</v>
      </c>
      <c r="AL722" s="13" t="s">
        <v>2255</v>
      </c>
      <c r="AM722" s="14">
        <v>1</v>
      </c>
      <c r="AN722" s="15" t="s">
        <v>1752</v>
      </c>
    </row>
    <row r="723" spans="1:40" x14ac:dyDescent="0.3">
      <c r="A723" s="10" t="str">
        <f>HYPERLINK("http://www.washoecounty.gov/assessor/cama/?parid=009-780-02&amp;CardNumber=1","009-780-02")</f>
        <v>009-780-02</v>
      </c>
      <c r="B723" t="s">
        <v>4655</v>
      </c>
      <c r="C723" t="s">
        <v>8609</v>
      </c>
      <c r="D723" s="1">
        <v>40246</v>
      </c>
      <c r="E723" s="2">
        <v>325000</v>
      </c>
      <c r="F723" t="s">
        <v>4567</v>
      </c>
      <c r="G723" s="17" t="str">
        <f>HYPERLINK("https://www.washoecounty.gov/assessor/cama/?command=sales&amp;parid=00978002","3857297")</f>
        <v>3857297</v>
      </c>
      <c r="H723" t="s">
        <v>8610</v>
      </c>
      <c r="I723">
        <v>2002</v>
      </c>
      <c r="J723">
        <v>2002</v>
      </c>
      <c r="K723" t="s">
        <v>4554</v>
      </c>
      <c r="L723" t="s">
        <v>3974</v>
      </c>
      <c r="M723" s="2">
        <v>2860</v>
      </c>
      <c r="N723" t="s">
        <v>3147</v>
      </c>
      <c r="O723">
        <v>5</v>
      </c>
      <c r="P723">
        <v>3</v>
      </c>
      <c r="Q723">
        <v>0</v>
      </c>
      <c r="R723" t="s">
        <v>5281</v>
      </c>
      <c r="S723" t="s">
        <v>4558</v>
      </c>
      <c r="T723" t="s">
        <v>4559</v>
      </c>
      <c r="U723" t="s">
        <v>5631</v>
      </c>
      <c r="V723" s="2">
        <v>568</v>
      </c>
      <c r="W723" t="s">
        <v>4655</v>
      </c>
      <c r="X723" s="2">
        <v>0</v>
      </c>
      <c r="Y723">
        <v>20</v>
      </c>
      <c r="Z723" t="s">
        <v>385</v>
      </c>
      <c r="AA723" s="3">
        <v>0.14272268116474199</v>
      </c>
      <c r="AB723" t="s">
        <v>8611</v>
      </c>
      <c r="AC723" t="s">
        <v>4562</v>
      </c>
      <c r="AD723" t="s">
        <v>8609</v>
      </c>
      <c r="AE723" t="s">
        <v>4655</v>
      </c>
      <c r="AF723" t="s">
        <v>3114</v>
      </c>
      <c r="AG723" t="s">
        <v>4564</v>
      </c>
      <c r="AH723">
        <v>89509</v>
      </c>
      <c r="AI723" t="s">
        <v>8612</v>
      </c>
      <c r="AJ723" t="s">
        <v>8613</v>
      </c>
      <c r="AK723" t="s">
        <v>8614</v>
      </c>
      <c r="AL723" s="13" t="s">
        <v>2257</v>
      </c>
      <c r="AM723" s="14">
        <v>1</v>
      </c>
      <c r="AN723" s="15" t="s">
        <v>8615</v>
      </c>
    </row>
    <row r="724" spans="1:40" x14ac:dyDescent="0.3">
      <c r="A724" s="10" t="str">
        <f>HYPERLINK("http://www.washoecounty.gov/assessor/cama/?parid=009-780-10&amp;CardNumber=1","009-780-10")</f>
        <v>009-780-10</v>
      </c>
      <c r="B724" t="s">
        <v>4655</v>
      </c>
      <c r="C724" t="s">
        <v>8616</v>
      </c>
      <c r="D724" s="1">
        <v>40479</v>
      </c>
      <c r="E724" s="2">
        <v>325000</v>
      </c>
      <c r="F724" t="s">
        <v>4567</v>
      </c>
      <c r="G724" s="17" t="str">
        <f>HYPERLINK("https://www.washoecounty.gov/assessor/cama/?command=sales&amp;parid=00978010","3937784")</f>
        <v>3937784</v>
      </c>
      <c r="H724" t="s">
        <v>8610</v>
      </c>
      <c r="I724">
        <v>2002</v>
      </c>
      <c r="J724">
        <v>2002</v>
      </c>
      <c r="K724" t="s">
        <v>4554</v>
      </c>
      <c r="L724" t="s">
        <v>3974</v>
      </c>
      <c r="M724" s="2">
        <v>2860</v>
      </c>
      <c r="N724" t="s">
        <v>3147</v>
      </c>
      <c r="O724">
        <v>5</v>
      </c>
      <c r="P724">
        <v>3</v>
      </c>
      <c r="Q724">
        <v>0</v>
      </c>
      <c r="R724" t="s">
        <v>5281</v>
      </c>
      <c r="S724" t="s">
        <v>4558</v>
      </c>
      <c r="T724" t="s">
        <v>4559</v>
      </c>
      <c r="U724" t="s">
        <v>5631</v>
      </c>
      <c r="V724" s="2">
        <v>568</v>
      </c>
      <c r="W724" t="s">
        <v>4655</v>
      </c>
      <c r="X724" s="2">
        <v>0</v>
      </c>
      <c r="Y724">
        <v>20</v>
      </c>
      <c r="Z724" t="s">
        <v>385</v>
      </c>
      <c r="AA724" s="3">
        <v>0.180853992700577</v>
      </c>
      <c r="AB724" t="s">
        <v>8617</v>
      </c>
      <c r="AC724" t="s">
        <v>4562</v>
      </c>
      <c r="AD724" t="s">
        <v>8616</v>
      </c>
      <c r="AE724" t="s">
        <v>4655</v>
      </c>
      <c r="AF724" t="s">
        <v>4563</v>
      </c>
      <c r="AG724" t="s">
        <v>4564</v>
      </c>
      <c r="AH724">
        <v>89509</v>
      </c>
      <c r="AI724" t="s">
        <v>8618</v>
      </c>
      <c r="AJ724" t="s">
        <v>8613</v>
      </c>
      <c r="AK724" t="s">
        <v>8619</v>
      </c>
      <c r="AL724" s="13" t="s">
        <v>2257</v>
      </c>
      <c r="AM724" s="14">
        <v>1</v>
      </c>
      <c r="AN724" s="15" t="s">
        <v>8615</v>
      </c>
    </row>
    <row r="725" spans="1:40" x14ac:dyDescent="0.3">
      <c r="A725" s="10" t="str">
        <f>HYPERLINK("http://www.washoecounty.gov/assessor/cama/?parid=009-802-02&amp;CardNumber=1","009-802-02")</f>
        <v>009-802-02</v>
      </c>
      <c r="B725" t="s">
        <v>4655</v>
      </c>
      <c r="C725" t="s">
        <v>8620</v>
      </c>
      <c r="D725" s="1">
        <v>40492</v>
      </c>
      <c r="E725" s="2">
        <v>335000</v>
      </c>
      <c r="F725" t="s">
        <v>4567</v>
      </c>
      <c r="G725" s="17" t="str">
        <f>HYPERLINK("https://www.washoecounty.gov/assessor/cama/?command=sales&amp;parid=00980202","3941883")</f>
        <v>3941883</v>
      </c>
      <c r="H725" t="s">
        <v>1450</v>
      </c>
      <c r="I725">
        <v>1962</v>
      </c>
      <c r="J725">
        <v>1962</v>
      </c>
      <c r="K725" t="s">
        <v>4554</v>
      </c>
      <c r="L725" t="s">
        <v>4555</v>
      </c>
      <c r="M725" s="2">
        <v>1963</v>
      </c>
      <c r="N725" t="s">
        <v>5280</v>
      </c>
      <c r="O725">
        <v>3</v>
      </c>
      <c r="P725">
        <v>2</v>
      </c>
      <c r="Q725">
        <v>0</v>
      </c>
      <c r="R725" t="s">
        <v>4557</v>
      </c>
      <c r="S725" t="s">
        <v>3148</v>
      </c>
      <c r="T725" t="s">
        <v>4559</v>
      </c>
      <c r="U725" t="s">
        <v>4655</v>
      </c>
      <c r="V725" s="2">
        <v>0</v>
      </c>
      <c r="W725" t="s">
        <v>4655</v>
      </c>
      <c r="X725" s="2">
        <v>0</v>
      </c>
      <c r="Y725">
        <v>20</v>
      </c>
      <c r="Z725" t="s">
        <v>5508</v>
      </c>
      <c r="AA725" s="3">
        <v>0.40199723839759799</v>
      </c>
      <c r="AB725" t="s">
        <v>8621</v>
      </c>
      <c r="AC725" t="s">
        <v>4575</v>
      </c>
      <c r="AD725" t="s">
        <v>8620</v>
      </c>
      <c r="AE725" t="s">
        <v>4655</v>
      </c>
      <c r="AF725" t="s">
        <v>4563</v>
      </c>
      <c r="AG725" t="s">
        <v>4564</v>
      </c>
      <c r="AH725" t="s">
        <v>2330</v>
      </c>
      <c r="AI725" t="s">
        <v>4655</v>
      </c>
      <c r="AJ725" t="s">
        <v>8622</v>
      </c>
      <c r="AK725" t="s">
        <v>8623</v>
      </c>
      <c r="AL725" s="13" t="s">
        <v>1889</v>
      </c>
      <c r="AM725" s="14">
        <v>1</v>
      </c>
      <c r="AN725" s="15" t="s">
        <v>163</v>
      </c>
    </row>
    <row r="726" spans="1:40" x14ac:dyDescent="0.3">
      <c r="A726" s="10" t="str">
        <f>HYPERLINK("http://www.washoecounty.gov/assessor/cama/?parid=009-811-11&amp;CardNumber=1","009-811-11")</f>
        <v>009-811-11</v>
      </c>
      <c r="B726" t="s">
        <v>4655</v>
      </c>
      <c r="C726" t="s">
        <v>8624</v>
      </c>
      <c r="D726" s="1">
        <v>40305</v>
      </c>
      <c r="E726" s="2">
        <v>240000</v>
      </c>
      <c r="F726" t="s">
        <v>4567</v>
      </c>
      <c r="G726" s="17" t="str">
        <f>HYPERLINK("https://www.washoecounty.gov/assessor/cama/?command=sales&amp;parid=00981111","3879462")</f>
        <v>3879462</v>
      </c>
      <c r="H726" t="s">
        <v>1450</v>
      </c>
      <c r="I726">
        <v>1962</v>
      </c>
      <c r="J726">
        <v>1967</v>
      </c>
      <c r="K726" t="s">
        <v>4554</v>
      </c>
      <c r="L726" t="s">
        <v>4555</v>
      </c>
      <c r="M726" s="2">
        <v>2091</v>
      </c>
      <c r="N726" t="s">
        <v>5280</v>
      </c>
      <c r="O726">
        <v>3</v>
      </c>
      <c r="P726">
        <v>2</v>
      </c>
      <c r="Q726">
        <v>0</v>
      </c>
      <c r="R726" t="s">
        <v>4557</v>
      </c>
      <c r="S726" t="s">
        <v>4135</v>
      </c>
      <c r="T726" t="s">
        <v>4559</v>
      </c>
      <c r="U726" t="s">
        <v>4560</v>
      </c>
      <c r="V726" s="2">
        <v>667</v>
      </c>
      <c r="W726" t="s">
        <v>4655</v>
      </c>
      <c r="X726" s="2">
        <v>0</v>
      </c>
      <c r="Y726">
        <v>20</v>
      </c>
      <c r="Z726" t="s">
        <v>5508</v>
      </c>
      <c r="AA726" s="3">
        <v>0.37199264764785767</v>
      </c>
      <c r="AB726" t="s">
        <v>8625</v>
      </c>
      <c r="AC726" t="s">
        <v>4575</v>
      </c>
      <c r="AD726" t="s">
        <v>8626</v>
      </c>
      <c r="AE726" t="s">
        <v>4655</v>
      </c>
      <c r="AF726" t="s">
        <v>4563</v>
      </c>
      <c r="AG726" t="s">
        <v>4564</v>
      </c>
      <c r="AH726">
        <v>89505</v>
      </c>
      <c r="AI726" t="s">
        <v>8627</v>
      </c>
      <c r="AJ726" t="s">
        <v>8628</v>
      </c>
      <c r="AK726" t="s">
        <v>8629</v>
      </c>
      <c r="AL726" s="13" t="s">
        <v>1889</v>
      </c>
      <c r="AM726" s="14">
        <v>1</v>
      </c>
      <c r="AN726" s="15" t="s">
        <v>163</v>
      </c>
    </row>
    <row r="727" spans="1:40" x14ac:dyDescent="0.3">
      <c r="A727" s="10" t="str">
        <f>HYPERLINK("http://www.washoecounty.gov/assessor/cama/?parid=010-041-12&amp;CardNumber=1","010-041-12")</f>
        <v>010-041-12</v>
      </c>
      <c r="B727" t="s">
        <v>4655</v>
      </c>
      <c r="C727" t="s">
        <v>8630</v>
      </c>
      <c r="D727" s="1">
        <v>40247</v>
      </c>
      <c r="E727" s="2">
        <v>62800</v>
      </c>
      <c r="F727" t="s">
        <v>4553</v>
      </c>
      <c r="G727" s="17" t="str">
        <f>HYPERLINK("https://www.washoecounty.gov/assessor/cama/?command=sales&amp;parid=01004112","3858308")</f>
        <v>3858308</v>
      </c>
      <c r="H727" t="s">
        <v>5164</v>
      </c>
      <c r="I727">
        <v>1932</v>
      </c>
      <c r="J727">
        <v>1932</v>
      </c>
      <c r="K727" t="s">
        <v>4907</v>
      </c>
      <c r="L727" t="s">
        <v>4555</v>
      </c>
      <c r="M727" s="2">
        <v>1222</v>
      </c>
      <c r="N727" t="s">
        <v>4556</v>
      </c>
      <c r="O727">
        <v>2</v>
      </c>
      <c r="P727">
        <v>1</v>
      </c>
      <c r="Q727">
        <v>0</v>
      </c>
      <c r="R727" t="s">
        <v>1800</v>
      </c>
      <c r="S727" t="s">
        <v>4135</v>
      </c>
      <c r="T727" t="s">
        <v>4559</v>
      </c>
      <c r="U727" t="s">
        <v>4655</v>
      </c>
      <c r="V727" s="2">
        <v>0</v>
      </c>
      <c r="W727" t="s">
        <v>3149</v>
      </c>
      <c r="X727" s="2">
        <v>150</v>
      </c>
      <c r="Y727">
        <v>30</v>
      </c>
      <c r="Z727" t="s">
        <v>1370</v>
      </c>
      <c r="AA727" s="3">
        <v>0.111914597451687</v>
      </c>
      <c r="AB727" t="s">
        <v>8631</v>
      </c>
      <c r="AC727" t="s">
        <v>4562</v>
      </c>
      <c r="AD727" t="s">
        <v>8632</v>
      </c>
      <c r="AE727" t="s">
        <v>4655</v>
      </c>
      <c r="AF727" t="s">
        <v>4563</v>
      </c>
      <c r="AG727" t="s">
        <v>4564</v>
      </c>
      <c r="AH727">
        <v>89503</v>
      </c>
      <c r="AI727" t="s">
        <v>2351</v>
      </c>
      <c r="AJ727" t="s">
        <v>5734</v>
      </c>
      <c r="AK727" t="s">
        <v>8633</v>
      </c>
      <c r="AL727" s="13" t="s">
        <v>2255</v>
      </c>
      <c r="AM727">
        <v>2</v>
      </c>
      <c r="AN727" s="15" t="s">
        <v>386</v>
      </c>
    </row>
    <row r="728" spans="1:40" x14ac:dyDescent="0.3">
      <c r="A728" s="10" t="str">
        <f>HYPERLINK("http://www.washoecounty.gov/assessor/cama/?parid=010-044-10&amp;CardNumber=1","010-044-10")</f>
        <v>010-044-10</v>
      </c>
      <c r="B728" t="s">
        <v>4655</v>
      </c>
      <c r="C728" t="s">
        <v>8634</v>
      </c>
      <c r="D728" s="1">
        <v>40422</v>
      </c>
      <c r="E728" s="2">
        <v>159000</v>
      </c>
      <c r="F728" t="s">
        <v>4567</v>
      </c>
      <c r="G728" s="17" t="str">
        <f>HYPERLINK("https://www.washoecounty.gov/assessor/cama/?command=sales&amp;parid=01004410","3917791")</f>
        <v>3917791</v>
      </c>
      <c r="H728" t="s">
        <v>2418</v>
      </c>
      <c r="I728">
        <v>1957</v>
      </c>
      <c r="J728">
        <v>1957</v>
      </c>
      <c r="K728" t="s">
        <v>3043</v>
      </c>
      <c r="L728" t="s">
        <v>4555</v>
      </c>
      <c r="M728" s="2">
        <v>2518</v>
      </c>
      <c r="N728" t="s">
        <v>4556</v>
      </c>
      <c r="O728">
        <v>4</v>
      </c>
      <c r="P728">
        <v>4</v>
      </c>
      <c r="Q728">
        <v>0</v>
      </c>
      <c r="R728" t="s">
        <v>4557</v>
      </c>
      <c r="S728" t="s">
        <v>4574</v>
      </c>
      <c r="T728" t="s">
        <v>4559</v>
      </c>
      <c r="U728" t="s">
        <v>4655</v>
      </c>
      <c r="V728" s="2">
        <v>0</v>
      </c>
      <c r="W728" t="s">
        <v>4655</v>
      </c>
      <c r="X728" s="2">
        <v>0</v>
      </c>
      <c r="Y728">
        <v>32</v>
      </c>
      <c r="Z728" t="s">
        <v>564</v>
      </c>
      <c r="AA728" s="3">
        <v>0.160697892308235</v>
      </c>
      <c r="AB728" t="s">
        <v>8635</v>
      </c>
      <c r="AC728" t="s">
        <v>4575</v>
      </c>
      <c r="AD728" t="s">
        <v>7497</v>
      </c>
      <c r="AE728" t="s">
        <v>4655</v>
      </c>
      <c r="AF728" t="s">
        <v>4563</v>
      </c>
      <c r="AG728" t="s">
        <v>4564</v>
      </c>
      <c r="AH728" t="s">
        <v>2330</v>
      </c>
      <c r="AI728" t="s">
        <v>2419</v>
      </c>
      <c r="AJ728" t="s">
        <v>4655</v>
      </c>
      <c r="AK728" t="s">
        <v>8636</v>
      </c>
      <c r="AL728" s="13" t="s">
        <v>2255</v>
      </c>
      <c r="AM728" s="14">
        <v>4</v>
      </c>
      <c r="AN728" s="15" t="s">
        <v>386</v>
      </c>
    </row>
    <row r="729" spans="1:40" x14ac:dyDescent="0.3">
      <c r="A729" s="10" t="str">
        <f>HYPERLINK("http://www.washoecounty.gov/assessor/cama/?parid=010-045-18&amp;CardNumber=1","010-045-18")</f>
        <v>010-045-18</v>
      </c>
      <c r="B729" t="s">
        <v>5502</v>
      </c>
      <c r="C729" t="s">
        <v>8637</v>
      </c>
      <c r="D729" s="1">
        <v>40479</v>
      </c>
      <c r="E729" s="2">
        <v>168000</v>
      </c>
      <c r="F729" t="s">
        <v>4567</v>
      </c>
      <c r="G729" s="17" t="str">
        <f>HYPERLINK("https://www.washoecounty.gov/assessor/cama/?command=sales&amp;parid=01004518","3937801")</f>
        <v>3937801</v>
      </c>
      <c r="H729" t="s">
        <v>1374</v>
      </c>
      <c r="I729">
        <v>1928</v>
      </c>
      <c r="J729">
        <v>1928</v>
      </c>
      <c r="K729" t="s">
        <v>4554</v>
      </c>
      <c r="L729" t="s">
        <v>4555</v>
      </c>
      <c r="M729" s="2">
        <v>908</v>
      </c>
      <c r="N729" t="s">
        <v>4556</v>
      </c>
      <c r="O729">
        <v>2</v>
      </c>
      <c r="P729">
        <v>1</v>
      </c>
      <c r="Q729">
        <v>0</v>
      </c>
      <c r="R729" t="s">
        <v>5343</v>
      </c>
      <c r="S729" t="s">
        <v>4574</v>
      </c>
      <c r="T729" t="s">
        <v>4559</v>
      </c>
      <c r="U729" t="s">
        <v>4655</v>
      </c>
      <c r="V729" s="2">
        <v>0</v>
      </c>
      <c r="W729" t="s">
        <v>3149</v>
      </c>
      <c r="X729" s="2">
        <v>740</v>
      </c>
      <c r="Y729">
        <v>32</v>
      </c>
      <c r="Z729" t="s">
        <v>4843</v>
      </c>
      <c r="AA729" s="3">
        <v>0.35151514410972601</v>
      </c>
      <c r="AB729" t="s">
        <v>8638</v>
      </c>
      <c r="AC729" t="s">
        <v>4562</v>
      </c>
      <c r="AD729" t="s">
        <v>8639</v>
      </c>
      <c r="AE729" t="s">
        <v>4655</v>
      </c>
      <c r="AF729" t="s">
        <v>1048</v>
      </c>
      <c r="AG729" t="s">
        <v>4564</v>
      </c>
      <c r="AH729" t="s">
        <v>8640</v>
      </c>
      <c r="AI729" t="s">
        <v>8641</v>
      </c>
      <c r="AJ729" t="s">
        <v>8642</v>
      </c>
      <c r="AK729" t="s">
        <v>8643</v>
      </c>
      <c r="AL729" s="13" t="s">
        <v>2255</v>
      </c>
      <c r="AM729">
        <v>3</v>
      </c>
      <c r="AN729" s="15" t="s">
        <v>386</v>
      </c>
    </row>
    <row r="730" spans="1:40" x14ac:dyDescent="0.3">
      <c r="A730" s="10" t="str">
        <f>HYPERLINK("http://www.washoecounty.gov/assessor/cama/?parid=010-081-14&amp;CardNumber=1","010-081-14")</f>
        <v>010-081-14</v>
      </c>
      <c r="B730" t="s">
        <v>4655</v>
      </c>
      <c r="C730" t="s">
        <v>8644</v>
      </c>
      <c r="D730" s="1">
        <v>40382</v>
      </c>
      <c r="E730" s="2">
        <v>165000</v>
      </c>
      <c r="F730" t="s">
        <v>4553</v>
      </c>
      <c r="G730" s="17" t="str">
        <f>HYPERLINK("https://www.washoecounty.gov/assessor/cama/?command=sales&amp;parid=01008114","3904394")</f>
        <v>3904394</v>
      </c>
      <c r="H730" t="s">
        <v>1325</v>
      </c>
      <c r="I730">
        <v>1951</v>
      </c>
      <c r="J730">
        <v>1951</v>
      </c>
      <c r="K730" t="s">
        <v>4554</v>
      </c>
      <c r="L730" t="s">
        <v>4555</v>
      </c>
      <c r="M730" s="2">
        <v>1327</v>
      </c>
      <c r="N730" t="s">
        <v>4556</v>
      </c>
      <c r="O730">
        <v>3</v>
      </c>
      <c r="P730">
        <v>1</v>
      </c>
      <c r="Q730">
        <v>0</v>
      </c>
      <c r="R730" t="s">
        <v>4557</v>
      </c>
      <c r="S730" t="s">
        <v>4574</v>
      </c>
      <c r="T730" t="s">
        <v>4559</v>
      </c>
      <c r="U730" t="s">
        <v>4560</v>
      </c>
      <c r="V730" s="2">
        <v>264</v>
      </c>
      <c r="W730" t="s">
        <v>4655</v>
      </c>
      <c r="X730" s="2">
        <v>0</v>
      </c>
      <c r="Y730">
        <v>20</v>
      </c>
      <c r="Z730" t="s">
        <v>4561</v>
      </c>
      <c r="AA730" s="3">
        <v>0.160009175539017</v>
      </c>
      <c r="AB730" t="s">
        <v>8645</v>
      </c>
      <c r="AC730" t="s">
        <v>4562</v>
      </c>
      <c r="AD730" t="s">
        <v>8644</v>
      </c>
      <c r="AE730" t="s">
        <v>4655</v>
      </c>
      <c r="AF730" t="s">
        <v>4563</v>
      </c>
      <c r="AG730" t="s">
        <v>4564</v>
      </c>
      <c r="AH730">
        <v>89509</v>
      </c>
      <c r="AI730" t="s">
        <v>4503</v>
      </c>
      <c r="AJ730" t="s">
        <v>4655</v>
      </c>
      <c r="AK730" t="s">
        <v>8646</v>
      </c>
      <c r="AL730" s="13" t="s">
        <v>2257</v>
      </c>
      <c r="AM730" s="14">
        <v>1</v>
      </c>
      <c r="AN730" s="15" t="s">
        <v>2079</v>
      </c>
    </row>
    <row r="731" spans="1:40" x14ac:dyDescent="0.3">
      <c r="A731" s="10" t="str">
        <f>HYPERLINK("http://www.washoecounty.gov/assessor/cama/?parid=010-081-17&amp;CardNumber=1","010-081-17")</f>
        <v>010-081-17</v>
      </c>
      <c r="B731" t="s">
        <v>4655</v>
      </c>
      <c r="C731" t="s">
        <v>8647</v>
      </c>
      <c r="D731" s="1">
        <v>40422</v>
      </c>
      <c r="E731" s="2">
        <v>138500</v>
      </c>
      <c r="F731" t="s">
        <v>4567</v>
      </c>
      <c r="G731" s="17" t="str">
        <f>HYPERLINK("https://www.washoecounty.gov/assessor/cama/?command=sales&amp;parid=01008117","3917897")</f>
        <v>3917897</v>
      </c>
      <c r="H731" t="s">
        <v>1325</v>
      </c>
      <c r="I731">
        <v>1954</v>
      </c>
      <c r="J731">
        <v>1954</v>
      </c>
      <c r="K731" t="s">
        <v>4554</v>
      </c>
      <c r="L731" t="s">
        <v>4555</v>
      </c>
      <c r="M731" s="2">
        <v>1021</v>
      </c>
      <c r="N731" t="s">
        <v>4556</v>
      </c>
      <c r="O731">
        <v>2</v>
      </c>
      <c r="P731">
        <v>1</v>
      </c>
      <c r="Q731">
        <v>0</v>
      </c>
      <c r="R731" t="s">
        <v>4557</v>
      </c>
      <c r="S731" t="s">
        <v>3148</v>
      </c>
      <c r="T731" t="s">
        <v>4559</v>
      </c>
      <c r="U731" t="s">
        <v>4655</v>
      </c>
      <c r="V731" s="2">
        <v>0</v>
      </c>
      <c r="W731" t="s">
        <v>4655</v>
      </c>
      <c r="X731" s="2">
        <v>0</v>
      </c>
      <c r="Y731">
        <v>20</v>
      </c>
      <c r="Z731" t="s">
        <v>4561</v>
      </c>
      <c r="AA731" s="3">
        <v>0.169995412230492</v>
      </c>
      <c r="AB731" t="s">
        <v>8648</v>
      </c>
      <c r="AC731" t="s">
        <v>4562</v>
      </c>
      <c r="AD731" t="s">
        <v>8647</v>
      </c>
      <c r="AE731" t="s">
        <v>4655</v>
      </c>
      <c r="AF731" t="s">
        <v>4563</v>
      </c>
      <c r="AG731" t="s">
        <v>4564</v>
      </c>
      <c r="AH731">
        <v>89509</v>
      </c>
      <c r="AI731" t="s">
        <v>8649</v>
      </c>
      <c r="AJ731" t="s">
        <v>4655</v>
      </c>
      <c r="AK731" t="s">
        <v>8650</v>
      </c>
      <c r="AL731" s="13" t="s">
        <v>2257</v>
      </c>
      <c r="AM731">
        <v>1</v>
      </c>
      <c r="AN731" s="15" t="s">
        <v>2079</v>
      </c>
    </row>
    <row r="732" spans="1:40" x14ac:dyDescent="0.3">
      <c r="A732" s="10" t="str">
        <f>HYPERLINK("http://www.washoecounty.gov/assessor/cama/?parid=010-081-30&amp;CardNumber=1","010-081-30")</f>
        <v>010-081-30</v>
      </c>
      <c r="B732" t="s">
        <v>4655</v>
      </c>
      <c r="C732" t="s">
        <v>8651</v>
      </c>
      <c r="D732" s="1">
        <v>40455</v>
      </c>
      <c r="E732" s="2">
        <v>220000</v>
      </c>
      <c r="F732" t="s">
        <v>4567</v>
      </c>
      <c r="G732" s="17" t="str">
        <f>HYPERLINK("https://www.washoecounty.gov/assessor/cama/?command=sales&amp;parid=01008130","3929378")</f>
        <v>3929378</v>
      </c>
      <c r="H732" t="s">
        <v>1325</v>
      </c>
      <c r="I732">
        <v>1955</v>
      </c>
      <c r="J732">
        <v>1961</v>
      </c>
      <c r="K732" t="s">
        <v>4554</v>
      </c>
      <c r="L732" t="s">
        <v>4555</v>
      </c>
      <c r="M732" s="2">
        <v>1323</v>
      </c>
      <c r="N732" t="s">
        <v>4556</v>
      </c>
      <c r="O732">
        <v>3</v>
      </c>
      <c r="P732">
        <v>2</v>
      </c>
      <c r="Q732">
        <v>0</v>
      </c>
      <c r="R732" t="s">
        <v>4557</v>
      </c>
      <c r="S732" t="s">
        <v>4574</v>
      </c>
      <c r="T732" t="s">
        <v>4143</v>
      </c>
      <c r="U732" t="s">
        <v>4560</v>
      </c>
      <c r="V732" s="2">
        <v>299</v>
      </c>
      <c r="W732" t="s">
        <v>4655</v>
      </c>
      <c r="X732" s="2">
        <v>0</v>
      </c>
      <c r="Y732">
        <v>20</v>
      </c>
      <c r="Z732" t="s">
        <v>4561</v>
      </c>
      <c r="AA732" s="3">
        <v>0.18399907648563399</v>
      </c>
      <c r="AB732" t="s">
        <v>8652</v>
      </c>
      <c r="AC732" t="s">
        <v>4575</v>
      </c>
      <c r="AD732" t="s">
        <v>8651</v>
      </c>
      <c r="AE732" t="s">
        <v>4655</v>
      </c>
      <c r="AF732" t="s">
        <v>4563</v>
      </c>
      <c r="AG732" t="s">
        <v>4564</v>
      </c>
      <c r="AH732">
        <v>89509</v>
      </c>
      <c r="AI732" t="s">
        <v>8653</v>
      </c>
      <c r="AJ732" t="s">
        <v>4655</v>
      </c>
      <c r="AK732" t="s">
        <v>8654</v>
      </c>
      <c r="AL732" s="13" t="s">
        <v>2257</v>
      </c>
      <c r="AM732">
        <v>1</v>
      </c>
      <c r="AN732" s="15" t="s">
        <v>2079</v>
      </c>
    </row>
    <row r="733" spans="1:40" x14ac:dyDescent="0.3">
      <c r="A733" s="10" t="str">
        <f>HYPERLINK("http://www.washoecounty.gov/assessor/cama/?parid=010-081-52&amp;CardNumber=1","010-081-52")</f>
        <v>010-081-52</v>
      </c>
      <c r="B733" t="s">
        <v>4655</v>
      </c>
      <c r="C733" t="s">
        <v>8655</v>
      </c>
      <c r="D733" s="1">
        <v>40515</v>
      </c>
      <c r="E733" s="2">
        <v>107625</v>
      </c>
      <c r="F733" t="s">
        <v>4553</v>
      </c>
      <c r="G733" s="17" t="str">
        <f>HYPERLINK("https://www.washoecounty.gov/assessor/cama/?command=sales&amp;parid=01008152","3948953")</f>
        <v>3948953</v>
      </c>
      <c r="H733" t="s">
        <v>1325</v>
      </c>
      <c r="I733">
        <v>1951</v>
      </c>
      <c r="J733">
        <v>1960</v>
      </c>
      <c r="K733" t="s">
        <v>4554</v>
      </c>
      <c r="L733" t="s">
        <v>4555</v>
      </c>
      <c r="M733" s="2">
        <v>1404</v>
      </c>
      <c r="N733" t="s">
        <v>4556</v>
      </c>
      <c r="O733">
        <v>2</v>
      </c>
      <c r="P733">
        <v>2</v>
      </c>
      <c r="Q733">
        <v>0</v>
      </c>
      <c r="R733" t="s">
        <v>4557</v>
      </c>
      <c r="S733" t="s">
        <v>4135</v>
      </c>
      <c r="T733" t="s">
        <v>4559</v>
      </c>
      <c r="U733" t="s">
        <v>4560</v>
      </c>
      <c r="V733" s="2">
        <v>276</v>
      </c>
      <c r="W733" t="s">
        <v>4655</v>
      </c>
      <c r="X733" s="2">
        <v>0</v>
      </c>
      <c r="Y733">
        <v>20</v>
      </c>
      <c r="Z733" t="s">
        <v>4561</v>
      </c>
      <c r="AA733" s="3">
        <v>0.160009175539017</v>
      </c>
      <c r="AB733" t="s">
        <v>4872</v>
      </c>
      <c r="AC733" t="s">
        <v>4562</v>
      </c>
      <c r="AD733" t="s">
        <v>4873</v>
      </c>
      <c r="AE733" t="s">
        <v>4655</v>
      </c>
      <c r="AF733" t="s">
        <v>686</v>
      </c>
      <c r="AG733" t="s">
        <v>4584</v>
      </c>
      <c r="AH733">
        <v>91407</v>
      </c>
      <c r="AI733" t="s">
        <v>4903</v>
      </c>
      <c r="AJ733" t="s">
        <v>4655</v>
      </c>
      <c r="AK733" t="s">
        <v>8656</v>
      </c>
      <c r="AL733" s="13" t="s">
        <v>2257</v>
      </c>
      <c r="AM733" s="14">
        <v>1</v>
      </c>
      <c r="AN733" s="15" t="s">
        <v>2079</v>
      </c>
    </row>
    <row r="734" spans="1:40" x14ac:dyDescent="0.3">
      <c r="A734" s="10" t="str">
        <f>HYPERLINK("http://www.washoecounty.gov/assessor/cama/?parid=010-083-04&amp;CardNumber=1","010-083-04")</f>
        <v>010-083-04</v>
      </c>
      <c r="B734" t="s">
        <v>4655</v>
      </c>
      <c r="C734" t="s">
        <v>8657</v>
      </c>
      <c r="D734" s="1">
        <v>40533</v>
      </c>
      <c r="E734" s="2">
        <v>210000</v>
      </c>
      <c r="F734" t="s">
        <v>4567</v>
      </c>
      <c r="G734" s="17" t="str">
        <f>HYPERLINK("https://www.washoecounty.gov/assessor/cama/?command=sales&amp;parid=01008304","3956062")</f>
        <v>3956062</v>
      </c>
      <c r="H734" t="s">
        <v>1325</v>
      </c>
      <c r="I734">
        <v>1950</v>
      </c>
      <c r="J734">
        <v>1950</v>
      </c>
      <c r="K734" t="s">
        <v>4554</v>
      </c>
      <c r="L734" t="s">
        <v>4555</v>
      </c>
      <c r="M734" s="2">
        <v>1157</v>
      </c>
      <c r="N734" t="s">
        <v>4556</v>
      </c>
      <c r="O734">
        <v>3</v>
      </c>
      <c r="P734">
        <v>1</v>
      </c>
      <c r="Q734">
        <v>0</v>
      </c>
      <c r="R734" t="s">
        <v>4557</v>
      </c>
      <c r="S734" t="s">
        <v>4682</v>
      </c>
      <c r="T734" t="s">
        <v>4559</v>
      </c>
      <c r="U734" t="s">
        <v>4655</v>
      </c>
      <c r="V734" s="2">
        <v>0</v>
      </c>
      <c r="W734" t="s">
        <v>4571</v>
      </c>
      <c r="X734" s="2">
        <v>1157</v>
      </c>
      <c r="Y734">
        <v>20</v>
      </c>
      <c r="Z734" t="s">
        <v>4561</v>
      </c>
      <c r="AA734" s="3">
        <v>0.169995412230492</v>
      </c>
      <c r="AB734" t="s">
        <v>8658</v>
      </c>
      <c r="AC734" t="s">
        <v>4562</v>
      </c>
      <c r="AD734" t="s">
        <v>8657</v>
      </c>
      <c r="AE734" t="s">
        <v>4655</v>
      </c>
      <c r="AF734" t="s">
        <v>4563</v>
      </c>
      <c r="AG734" t="s">
        <v>4564</v>
      </c>
      <c r="AH734">
        <v>89509</v>
      </c>
      <c r="AI734" t="s">
        <v>8659</v>
      </c>
      <c r="AJ734" t="s">
        <v>4655</v>
      </c>
      <c r="AK734" t="s">
        <v>8660</v>
      </c>
      <c r="AL734" s="13" t="s">
        <v>2257</v>
      </c>
      <c r="AM734">
        <v>1</v>
      </c>
      <c r="AN734" s="15" t="s">
        <v>2079</v>
      </c>
    </row>
    <row r="735" spans="1:40" x14ac:dyDescent="0.3">
      <c r="A735" s="10" t="str">
        <f>HYPERLINK("http://www.washoecounty.gov/assessor/cama/?parid=010-101-02&amp;CardNumber=1","010-101-02")</f>
        <v>010-101-02</v>
      </c>
      <c r="B735" t="s">
        <v>4655</v>
      </c>
      <c r="C735" t="s">
        <v>8661</v>
      </c>
      <c r="D735" s="1">
        <v>40470</v>
      </c>
      <c r="E735" s="2">
        <v>180000</v>
      </c>
      <c r="F735" t="s">
        <v>4567</v>
      </c>
      <c r="G735" s="17" t="str">
        <f>HYPERLINK("https://www.washoecounty.gov/assessor/cama/?command=sales&amp;parid=01010102","3934303")</f>
        <v>3934303</v>
      </c>
      <c r="H735" t="s">
        <v>1167</v>
      </c>
      <c r="I735">
        <v>1965</v>
      </c>
      <c r="J735">
        <v>1965</v>
      </c>
      <c r="K735" t="s">
        <v>4554</v>
      </c>
      <c r="L735" t="s">
        <v>4555</v>
      </c>
      <c r="M735" s="2">
        <v>1240</v>
      </c>
      <c r="N735" t="s">
        <v>4556</v>
      </c>
      <c r="O735">
        <v>3</v>
      </c>
      <c r="P735">
        <v>2</v>
      </c>
      <c r="Q735">
        <v>0</v>
      </c>
      <c r="R735" t="s">
        <v>4557</v>
      </c>
      <c r="S735" t="s">
        <v>4574</v>
      </c>
      <c r="T735" t="s">
        <v>4559</v>
      </c>
      <c r="U735" t="s">
        <v>4560</v>
      </c>
      <c r="V735" s="2">
        <v>462</v>
      </c>
      <c r="W735" t="s">
        <v>4655</v>
      </c>
      <c r="X735" s="2">
        <v>0</v>
      </c>
      <c r="Y735">
        <v>20</v>
      </c>
      <c r="Z735" t="s">
        <v>4144</v>
      </c>
      <c r="AA735" s="3">
        <v>0.18000459671020499</v>
      </c>
      <c r="AB735" t="s">
        <v>8662</v>
      </c>
      <c r="AC735" t="s">
        <v>4562</v>
      </c>
      <c r="AD735" t="s">
        <v>8661</v>
      </c>
      <c r="AE735" t="s">
        <v>4655</v>
      </c>
      <c r="AF735" t="s">
        <v>4563</v>
      </c>
      <c r="AG735" t="s">
        <v>4564</v>
      </c>
      <c r="AH735">
        <v>89509</v>
      </c>
      <c r="AI735" t="s">
        <v>8663</v>
      </c>
      <c r="AJ735" t="s">
        <v>4655</v>
      </c>
      <c r="AK735" t="s">
        <v>8664</v>
      </c>
      <c r="AL735" s="13" t="s">
        <v>2255</v>
      </c>
      <c r="AM735">
        <v>1</v>
      </c>
      <c r="AN735" s="15" t="s">
        <v>2079</v>
      </c>
    </row>
    <row r="736" spans="1:40" x14ac:dyDescent="0.3">
      <c r="A736" s="10" t="str">
        <f>HYPERLINK("http://www.washoecounty.gov/assessor/cama/?parid=010-134-02&amp;CardNumber=1","010-134-02")</f>
        <v>010-134-02</v>
      </c>
      <c r="B736" t="s">
        <v>4655</v>
      </c>
      <c r="C736" t="s">
        <v>8665</v>
      </c>
      <c r="D736" s="1">
        <v>40479</v>
      </c>
      <c r="E736" s="2">
        <v>166000</v>
      </c>
      <c r="F736" t="s">
        <v>4567</v>
      </c>
      <c r="G736" s="17" t="str">
        <f>HYPERLINK("https://www.washoecounty.gov/assessor/cama/?command=sales&amp;parid=01013402","3937730")</f>
        <v>3937730</v>
      </c>
      <c r="H736" t="s">
        <v>733</v>
      </c>
      <c r="I736">
        <v>1951</v>
      </c>
      <c r="J736">
        <v>1959</v>
      </c>
      <c r="K736" t="s">
        <v>4554</v>
      </c>
      <c r="L736" t="s">
        <v>4555</v>
      </c>
      <c r="M736" s="2">
        <v>1040</v>
      </c>
      <c r="N736" t="s">
        <v>4556</v>
      </c>
      <c r="O736">
        <v>2</v>
      </c>
      <c r="P736">
        <v>1</v>
      </c>
      <c r="Q736">
        <v>0</v>
      </c>
      <c r="R736" t="s">
        <v>4557</v>
      </c>
      <c r="S736" t="s">
        <v>4574</v>
      </c>
      <c r="T736" t="s">
        <v>4559</v>
      </c>
      <c r="U736" t="s">
        <v>4655</v>
      </c>
      <c r="V736" s="2">
        <v>0</v>
      </c>
      <c r="W736" t="s">
        <v>4655</v>
      </c>
      <c r="X736" s="2">
        <v>0</v>
      </c>
      <c r="Y736">
        <v>20</v>
      </c>
      <c r="Z736" t="s">
        <v>385</v>
      </c>
      <c r="AA736" s="3">
        <v>0.21400366723537401</v>
      </c>
      <c r="AB736" t="s">
        <v>8666</v>
      </c>
      <c r="AC736" t="s">
        <v>4562</v>
      </c>
      <c r="AD736" t="s">
        <v>8667</v>
      </c>
      <c r="AE736" t="s">
        <v>4655</v>
      </c>
      <c r="AF736" t="s">
        <v>4563</v>
      </c>
      <c r="AG736" t="s">
        <v>4564</v>
      </c>
      <c r="AH736">
        <v>89509</v>
      </c>
      <c r="AI736" t="s">
        <v>8668</v>
      </c>
      <c r="AJ736" t="s">
        <v>4655</v>
      </c>
      <c r="AK736" t="s">
        <v>8669</v>
      </c>
      <c r="AL736" s="13" t="s">
        <v>2255</v>
      </c>
      <c r="AM736" s="14">
        <v>1</v>
      </c>
      <c r="AN736" s="15" t="s">
        <v>1650</v>
      </c>
    </row>
    <row r="737" spans="1:40" x14ac:dyDescent="0.3">
      <c r="A737" s="10" t="str">
        <f>HYPERLINK("http://www.washoecounty.gov/assessor/cama/?parid=010-135-07&amp;CardNumber=1","010-135-07")</f>
        <v>010-135-07</v>
      </c>
      <c r="B737" t="s">
        <v>4655</v>
      </c>
      <c r="C737" t="s">
        <v>8670</v>
      </c>
      <c r="D737" s="1">
        <v>40358</v>
      </c>
      <c r="E737" s="2">
        <v>125000</v>
      </c>
      <c r="F737" t="s">
        <v>4553</v>
      </c>
      <c r="G737" s="17" t="str">
        <f>HYPERLINK("https://www.washoecounty.gov/assessor/cama/?command=sales&amp;parid=01013507","3896764")</f>
        <v>3896764</v>
      </c>
      <c r="H737" t="s">
        <v>733</v>
      </c>
      <c r="I737">
        <v>1950</v>
      </c>
      <c r="J737">
        <v>1950</v>
      </c>
      <c r="K737" t="s">
        <v>4554</v>
      </c>
      <c r="L737" t="s">
        <v>4555</v>
      </c>
      <c r="M737" s="2">
        <v>874</v>
      </c>
      <c r="N737" t="s">
        <v>4556</v>
      </c>
      <c r="O737">
        <v>2</v>
      </c>
      <c r="P737">
        <v>1</v>
      </c>
      <c r="Q737">
        <v>0</v>
      </c>
      <c r="R737" t="s">
        <v>5281</v>
      </c>
      <c r="S737" t="s">
        <v>4574</v>
      </c>
      <c r="T737" t="s">
        <v>4559</v>
      </c>
      <c r="U737" t="s">
        <v>4560</v>
      </c>
      <c r="V737" s="2">
        <v>286</v>
      </c>
      <c r="W737" t="s">
        <v>4655</v>
      </c>
      <c r="X737" s="2">
        <v>0</v>
      </c>
      <c r="Y737">
        <v>20</v>
      </c>
      <c r="Z737" t="s">
        <v>4561</v>
      </c>
      <c r="AA737" s="3">
        <v>0.24898989498615265</v>
      </c>
      <c r="AB737" t="s">
        <v>8671</v>
      </c>
      <c r="AC737" t="s">
        <v>4562</v>
      </c>
      <c r="AD737" t="s">
        <v>8672</v>
      </c>
      <c r="AE737" t="s">
        <v>4655</v>
      </c>
      <c r="AF737" t="s">
        <v>4563</v>
      </c>
      <c r="AG737" t="s">
        <v>4564</v>
      </c>
      <c r="AH737" t="s">
        <v>2330</v>
      </c>
      <c r="AI737" t="s">
        <v>4848</v>
      </c>
      <c r="AJ737" t="s">
        <v>4655</v>
      </c>
      <c r="AK737" t="s">
        <v>8673</v>
      </c>
      <c r="AL737" s="13" t="s">
        <v>2255</v>
      </c>
      <c r="AM737">
        <v>1</v>
      </c>
      <c r="AN737" s="15" t="s">
        <v>1650</v>
      </c>
    </row>
    <row r="738" spans="1:40" x14ac:dyDescent="0.3">
      <c r="A738" s="10" t="str">
        <f>HYPERLINK("http://www.washoecounty.gov/assessor/cama/?parid=010-142-05&amp;CardNumber=1","010-142-05")</f>
        <v>010-142-05</v>
      </c>
      <c r="B738" t="s">
        <v>4655</v>
      </c>
      <c r="C738" t="s">
        <v>8674</v>
      </c>
      <c r="D738" s="1">
        <v>40392</v>
      </c>
      <c r="E738" s="2">
        <v>185000</v>
      </c>
      <c r="F738" t="s">
        <v>4567</v>
      </c>
      <c r="G738" s="17" t="str">
        <f>HYPERLINK("https://www.washoecounty.gov/assessor/cama/?command=sales&amp;parid=01014205","3907659")</f>
        <v>3907659</v>
      </c>
      <c r="H738" t="s">
        <v>8675</v>
      </c>
      <c r="I738">
        <v>1952</v>
      </c>
      <c r="J738">
        <v>1952</v>
      </c>
      <c r="K738" t="s">
        <v>4554</v>
      </c>
      <c r="L738" t="s">
        <v>4555</v>
      </c>
      <c r="M738" s="2">
        <v>1416</v>
      </c>
      <c r="N738" t="s">
        <v>4048</v>
      </c>
      <c r="O738">
        <v>3</v>
      </c>
      <c r="P738">
        <v>1</v>
      </c>
      <c r="Q738">
        <v>1</v>
      </c>
      <c r="R738" t="s">
        <v>4557</v>
      </c>
      <c r="S738" t="s">
        <v>3148</v>
      </c>
      <c r="T738" t="s">
        <v>4559</v>
      </c>
      <c r="U738" t="s">
        <v>4560</v>
      </c>
      <c r="V738" s="2">
        <v>300</v>
      </c>
      <c r="W738" t="s">
        <v>3149</v>
      </c>
      <c r="X738" s="2">
        <v>400</v>
      </c>
      <c r="Y738">
        <v>20</v>
      </c>
      <c r="Z738" t="s">
        <v>385</v>
      </c>
      <c r="AA738" s="3">
        <v>0.29201102256774902</v>
      </c>
      <c r="AB738" t="s">
        <v>8676</v>
      </c>
      <c r="AC738" t="s">
        <v>4562</v>
      </c>
      <c r="AD738" t="s">
        <v>8674</v>
      </c>
      <c r="AE738" t="s">
        <v>4655</v>
      </c>
      <c r="AF738" t="s">
        <v>4563</v>
      </c>
      <c r="AG738" t="s">
        <v>4564</v>
      </c>
      <c r="AH738">
        <v>89509</v>
      </c>
      <c r="AI738" t="s">
        <v>8677</v>
      </c>
      <c r="AJ738" t="s">
        <v>4655</v>
      </c>
      <c r="AK738" t="s">
        <v>8678</v>
      </c>
      <c r="AL738" s="13" t="s">
        <v>2255</v>
      </c>
      <c r="AM738" s="14">
        <v>1</v>
      </c>
      <c r="AN738" s="15" t="s">
        <v>1650</v>
      </c>
    </row>
    <row r="739" spans="1:40" x14ac:dyDescent="0.3">
      <c r="A739" s="10" t="str">
        <f>HYPERLINK("http://www.washoecounty.gov/assessor/cama/?parid=010-151-14&amp;CardNumber=1","010-151-14")</f>
        <v>010-151-14</v>
      </c>
      <c r="B739" t="s">
        <v>4655</v>
      </c>
      <c r="C739" t="s">
        <v>8679</v>
      </c>
      <c r="D739" s="1">
        <v>40374</v>
      </c>
      <c r="E739" s="2">
        <v>125000</v>
      </c>
      <c r="F739" t="s">
        <v>4567</v>
      </c>
      <c r="G739" s="17" t="str">
        <f>HYPERLINK("https://www.washoecounty.gov/assessor/cama/?command=sales&amp;parid=01015114","3901764")</f>
        <v>3901764</v>
      </c>
      <c r="H739" t="s">
        <v>733</v>
      </c>
      <c r="I739">
        <v>1963</v>
      </c>
      <c r="J739">
        <v>1963</v>
      </c>
      <c r="K739" t="s">
        <v>4554</v>
      </c>
      <c r="L739" t="s">
        <v>4555</v>
      </c>
      <c r="M739" s="2">
        <v>1051</v>
      </c>
      <c r="N739" t="s">
        <v>4048</v>
      </c>
      <c r="O739">
        <v>2</v>
      </c>
      <c r="P739">
        <v>2</v>
      </c>
      <c r="Q739">
        <v>0</v>
      </c>
      <c r="R739" t="s">
        <v>4557</v>
      </c>
      <c r="S739" t="s">
        <v>4558</v>
      </c>
      <c r="T739" t="s">
        <v>4559</v>
      </c>
      <c r="U739" t="s">
        <v>4560</v>
      </c>
      <c r="V739" s="2">
        <v>350</v>
      </c>
      <c r="W739" t="s">
        <v>4655</v>
      </c>
      <c r="X739" s="2">
        <v>0</v>
      </c>
      <c r="Y739">
        <v>20</v>
      </c>
      <c r="Z739" t="s">
        <v>4561</v>
      </c>
      <c r="AA739" s="3">
        <v>0.17699724435806299</v>
      </c>
      <c r="AB739" t="s">
        <v>8680</v>
      </c>
      <c r="AC739" t="s">
        <v>4562</v>
      </c>
      <c r="AD739" t="s">
        <v>8679</v>
      </c>
      <c r="AE739" t="s">
        <v>4655</v>
      </c>
      <c r="AF739" t="s">
        <v>4563</v>
      </c>
      <c r="AG739" t="s">
        <v>4564</v>
      </c>
      <c r="AH739">
        <v>89509</v>
      </c>
      <c r="AI739" t="s">
        <v>8681</v>
      </c>
      <c r="AJ739" t="s">
        <v>4655</v>
      </c>
      <c r="AK739" t="s">
        <v>8682</v>
      </c>
      <c r="AL739" s="13" t="s">
        <v>2255</v>
      </c>
      <c r="AM739" s="14">
        <v>1</v>
      </c>
      <c r="AN739" s="15" t="s">
        <v>2079</v>
      </c>
    </row>
    <row r="740" spans="1:40" x14ac:dyDescent="0.3">
      <c r="A740" s="10" t="str">
        <f>HYPERLINK("http://www.washoecounty.gov/assessor/cama/?parid=010-151-51&amp;CardNumber=1","010-151-51")</f>
        <v>010-151-51</v>
      </c>
      <c r="B740" t="s">
        <v>4655</v>
      </c>
      <c r="C740" t="s">
        <v>8683</v>
      </c>
      <c r="D740" s="1">
        <v>40512</v>
      </c>
      <c r="E740" s="2">
        <v>210000</v>
      </c>
      <c r="F740" t="s">
        <v>4567</v>
      </c>
      <c r="G740" s="17" t="str">
        <f>HYPERLINK("https://www.washoecounty.gov/assessor/cama/?command=sales&amp;parid=01015151","3947553")</f>
        <v>3947553</v>
      </c>
      <c r="H740" t="s">
        <v>4064</v>
      </c>
      <c r="I740">
        <v>1968</v>
      </c>
      <c r="J740">
        <v>1968</v>
      </c>
      <c r="K740" t="s">
        <v>4554</v>
      </c>
      <c r="L740" t="s">
        <v>4555</v>
      </c>
      <c r="M740" s="2">
        <v>1286</v>
      </c>
      <c r="N740" t="s">
        <v>4048</v>
      </c>
      <c r="O740">
        <v>2</v>
      </c>
      <c r="P740">
        <v>2</v>
      </c>
      <c r="Q740">
        <v>0</v>
      </c>
      <c r="R740" t="s">
        <v>5281</v>
      </c>
      <c r="S740" t="s">
        <v>4682</v>
      </c>
      <c r="T740" t="s">
        <v>4559</v>
      </c>
      <c r="U740" t="s">
        <v>4560</v>
      </c>
      <c r="V740" s="2">
        <v>567</v>
      </c>
      <c r="W740" t="s">
        <v>4655</v>
      </c>
      <c r="X740" s="2">
        <v>0</v>
      </c>
      <c r="Y740">
        <v>20</v>
      </c>
      <c r="Z740" t="s">
        <v>4561</v>
      </c>
      <c r="AA740" s="3">
        <v>0.141000911593437</v>
      </c>
      <c r="AB740" t="s">
        <v>8684</v>
      </c>
      <c r="AC740" t="s">
        <v>4562</v>
      </c>
      <c r="AD740" t="s">
        <v>8683</v>
      </c>
      <c r="AE740" t="s">
        <v>4655</v>
      </c>
      <c r="AF740" t="s">
        <v>4563</v>
      </c>
      <c r="AG740" t="s">
        <v>4564</v>
      </c>
      <c r="AH740">
        <v>89509</v>
      </c>
      <c r="AI740" t="s">
        <v>8685</v>
      </c>
      <c r="AJ740" t="s">
        <v>4655</v>
      </c>
      <c r="AK740" t="s">
        <v>5596</v>
      </c>
      <c r="AL740" s="13" t="s">
        <v>2255</v>
      </c>
      <c r="AM740">
        <v>1</v>
      </c>
      <c r="AN740" s="15" t="s">
        <v>2079</v>
      </c>
    </row>
    <row r="741" spans="1:40" x14ac:dyDescent="0.3">
      <c r="A741" s="10" t="str">
        <f>HYPERLINK("http://www.washoecounty.gov/assessor/cama/?parid=010-152-10&amp;CardNumber=1","010-152-10")</f>
        <v>010-152-10</v>
      </c>
      <c r="B741" t="s">
        <v>4655</v>
      </c>
      <c r="C741" t="s">
        <v>8686</v>
      </c>
      <c r="D741" s="1">
        <v>40451</v>
      </c>
      <c r="E741" s="2">
        <v>130000</v>
      </c>
      <c r="F741" t="s">
        <v>4567</v>
      </c>
      <c r="G741" s="17" t="str">
        <f>HYPERLINK("https://www.washoecounty.gov/assessor/cama/?command=sales&amp;parid=01015210","3928343")</f>
        <v>3928343</v>
      </c>
      <c r="H741" t="s">
        <v>2962</v>
      </c>
      <c r="I741">
        <v>1950</v>
      </c>
      <c r="J741">
        <v>1952</v>
      </c>
      <c r="K741" t="s">
        <v>4554</v>
      </c>
      <c r="L741" t="s">
        <v>4555</v>
      </c>
      <c r="M741" s="2">
        <v>1188</v>
      </c>
      <c r="N741" t="s">
        <v>4556</v>
      </c>
      <c r="O741">
        <v>3</v>
      </c>
      <c r="P741">
        <v>1</v>
      </c>
      <c r="Q741">
        <v>0</v>
      </c>
      <c r="R741" t="s">
        <v>4557</v>
      </c>
      <c r="S741" t="s">
        <v>4135</v>
      </c>
      <c r="T741" t="s">
        <v>4559</v>
      </c>
      <c r="U741" t="s">
        <v>4655</v>
      </c>
      <c r="V741" s="2">
        <v>0</v>
      </c>
      <c r="W741" t="s">
        <v>4655</v>
      </c>
      <c r="X741" s="2">
        <v>0</v>
      </c>
      <c r="Y741">
        <v>20</v>
      </c>
      <c r="Z741" t="s">
        <v>4561</v>
      </c>
      <c r="AA741" s="3">
        <v>0.20700183510780301</v>
      </c>
      <c r="AB741" t="s">
        <v>8687</v>
      </c>
      <c r="AC741" t="s">
        <v>4575</v>
      </c>
      <c r="AD741" t="s">
        <v>8688</v>
      </c>
      <c r="AE741" t="s">
        <v>8689</v>
      </c>
      <c r="AF741" t="s">
        <v>4563</v>
      </c>
      <c r="AG741" t="s">
        <v>4564</v>
      </c>
      <c r="AH741">
        <v>89509</v>
      </c>
      <c r="AI741" t="s">
        <v>8690</v>
      </c>
      <c r="AJ741" t="s">
        <v>4655</v>
      </c>
      <c r="AK741" t="s">
        <v>8691</v>
      </c>
      <c r="AL741" s="13" t="s">
        <v>2255</v>
      </c>
      <c r="AM741">
        <v>1</v>
      </c>
      <c r="AN741" s="15" t="s">
        <v>1650</v>
      </c>
    </row>
    <row r="742" spans="1:40" x14ac:dyDescent="0.3">
      <c r="A742" s="10" t="str">
        <f>HYPERLINK("http://www.washoecounty.gov/assessor/cama/?parid=010-161-21&amp;CardNumber=1","010-161-21")</f>
        <v>010-161-21</v>
      </c>
      <c r="B742" t="s">
        <v>4655</v>
      </c>
      <c r="C742" t="s">
        <v>8692</v>
      </c>
      <c r="D742" s="1">
        <v>40456</v>
      </c>
      <c r="E742" s="2">
        <v>170000</v>
      </c>
      <c r="F742" t="s">
        <v>4567</v>
      </c>
      <c r="G742" s="17" t="str">
        <f>HYPERLINK("https://www.washoecounty.gov/assessor/cama/?command=sales&amp;parid=01016121","3929821")</f>
        <v>3929821</v>
      </c>
      <c r="H742" t="s">
        <v>4765</v>
      </c>
      <c r="I742">
        <v>1952</v>
      </c>
      <c r="J742">
        <v>1958</v>
      </c>
      <c r="K742" t="s">
        <v>4554</v>
      </c>
      <c r="L742" t="s">
        <v>4555</v>
      </c>
      <c r="M742" s="2">
        <v>1595</v>
      </c>
      <c r="N742" t="s">
        <v>4048</v>
      </c>
      <c r="O742">
        <v>3</v>
      </c>
      <c r="P742">
        <v>2</v>
      </c>
      <c r="Q742">
        <v>0</v>
      </c>
      <c r="R742" t="s">
        <v>5281</v>
      </c>
      <c r="S742" t="s">
        <v>4135</v>
      </c>
      <c r="T742" t="s">
        <v>4559</v>
      </c>
      <c r="U742" t="s">
        <v>4560</v>
      </c>
      <c r="V742" s="2">
        <v>375</v>
      </c>
      <c r="W742" t="s">
        <v>3149</v>
      </c>
      <c r="X742" s="2">
        <v>986</v>
      </c>
      <c r="Y742">
        <v>20</v>
      </c>
      <c r="Z742" t="s">
        <v>4561</v>
      </c>
      <c r="AA742" s="3">
        <v>0.25</v>
      </c>
      <c r="AB742" t="s">
        <v>8693</v>
      </c>
      <c r="AC742" t="s">
        <v>4575</v>
      </c>
      <c r="AD742" t="s">
        <v>8692</v>
      </c>
      <c r="AE742" t="s">
        <v>4655</v>
      </c>
      <c r="AF742" t="s">
        <v>4563</v>
      </c>
      <c r="AG742" t="s">
        <v>4564</v>
      </c>
      <c r="AH742">
        <v>89509</v>
      </c>
      <c r="AI742" t="s">
        <v>8694</v>
      </c>
      <c r="AJ742" t="s">
        <v>4655</v>
      </c>
      <c r="AK742" t="s">
        <v>8695</v>
      </c>
      <c r="AL742" s="13" t="s">
        <v>2255</v>
      </c>
      <c r="AM742">
        <v>1</v>
      </c>
      <c r="AN742" s="15" t="s">
        <v>1650</v>
      </c>
    </row>
    <row r="743" spans="1:40" x14ac:dyDescent="0.3">
      <c r="A743" s="10" t="str">
        <f>HYPERLINK("http://www.washoecounty.gov/assessor/cama/?parid=010-171-19&amp;CardNumber=1","010-171-19")</f>
        <v>010-171-19</v>
      </c>
      <c r="B743" t="s">
        <v>4655</v>
      </c>
      <c r="C743" t="s">
        <v>8696</v>
      </c>
      <c r="D743" s="1">
        <v>40220</v>
      </c>
      <c r="E743" s="2">
        <v>150000</v>
      </c>
      <c r="F743" t="s">
        <v>4553</v>
      </c>
      <c r="G743" s="17" t="str">
        <f>HYPERLINK("https://www.washoecounty.gov/assessor/cama/?command=sales&amp;parid=01017119","3848288")</f>
        <v>3848288</v>
      </c>
      <c r="H743" t="s">
        <v>2085</v>
      </c>
      <c r="I743">
        <v>1946</v>
      </c>
      <c r="J743">
        <v>1946</v>
      </c>
      <c r="K743" t="s">
        <v>4554</v>
      </c>
      <c r="L743" t="s">
        <v>4555</v>
      </c>
      <c r="M743" s="2">
        <v>920</v>
      </c>
      <c r="N743" t="s">
        <v>4556</v>
      </c>
      <c r="O743">
        <v>2</v>
      </c>
      <c r="P743">
        <v>1</v>
      </c>
      <c r="Q743">
        <v>0</v>
      </c>
      <c r="R743" t="s">
        <v>4557</v>
      </c>
      <c r="S743" t="s">
        <v>4574</v>
      </c>
      <c r="T743" t="s">
        <v>4559</v>
      </c>
      <c r="U743" t="s">
        <v>4560</v>
      </c>
      <c r="V743" s="2">
        <v>200</v>
      </c>
      <c r="W743" t="s">
        <v>4655</v>
      </c>
      <c r="X743" s="2">
        <v>0</v>
      </c>
      <c r="Y743">
        <v>20</v>
      </c>
      <c r="Z743" t="s">
        <v>4561</v>
      </c>
      <c r="AA743" s="3">
        <v>0.21099632978439301</v>
      </c>
      <c r="AB743" t="s">
        <v>8697</v>
      </c>
      <c r="AC743" t="s">
        <v>4562</v>
      </c>
      <c r="AD743" t="s">
        <v>8696</v>
      </c>
      <c r="AE743" t="s">
        <v>4655</v>
      </c>
      <c r="AF743" t="s">
        <v>4563</v>
      </c>
      <c r="AG743" t="s">
        <v>4564</v>
      </c>
      <c r="AH743">
        <v>89509</v>
      </c>
      <c r="AI743" t="s">
        <v>2351</v>
      </c>
      <c r="AJ743" t="s">
        <v>4655</v>
      </c>
      <c r="AK743" t="s">
        <v>8698</v>
      </c>
      <c r="AL743" s="13" t="s">
        <v>2255</v>
      </c>
      <c r="AM743">
        <v>1</v>
      </c>
      <c r="AN743" s="15" t="s">
        <v>2086</v>
      </c>
    </row>
    <row r="744" spans="1:40" x14ac:dyDescent="0.3">
      <c r="A744" s="10" t="str">
        <f>HYPERLINK("http://www.washoecounty.gov/assessor/cama/?parid=010-181-19&amp;CardNumber=1","010-181-19")</f>
        <v>010-181-19</v>
      </c>
      <c r="B744" t="s">
        <v>4655</v>
      </c>
      <c r="C744" t="s">
        <v>8699</v>
      </c>
      <c r="D744" s="1">
        <v>40325</v>
      </c>
      <c r="E744" s="2">
        <v>240000</v>
      </c>
      <c r="F744" t="s">
        <v>4553</v>
      </c>
      <c r="G744" s="17" t="str">
        <f>HYPERLINK("https://www.washoecounty.gov/assessor/cama/?command=sales&amp;parid=01018119","3886128")</f>
        <v>3886128</v>
      </c>
      <c r="H744" t="s">
        <v>425</v>
      </c>
      <c r="I744">
        <v>1946</v>
      </c>
      <c r="J744">
        <v>1974</v>
      </c>
      <c r="K744" t="s">
        <v>4554</v>
      </c>
      <c r="L744" t="s">
        <v>3974</v>
      </c>
      <c r="M744" s="2">
        <v>2241</v>
      </c>
      <c r="N744" t="s">
        <v>4048</v>
      </c>
      <c r="O744">
        <v>5</v>
      </c>
      <c r="P744">
        <v>4</v>
      </c>
      <c r="Q744">
        <v>0</v>
      </c>
      <c r="R744" t="s">
        <v>5281</v>
      </c>
      <c r="S744" t="s">
        <v>4135</v>
      </c>
      <c r="T744" t="s">
        <v>4559</v>
      </c>
      <c r="U744" t="s">
        <v>4560</v>
      </c>
      <c r="V744" s="2">
        <v>448</v>
      </c>
      <c r="W744" t="s">
        <v>4655</v>
      </c>
      <c r="X744" s="2">
        <v>0</v>
      </c>
      <c r="Y744">
        <v>20</v>
      </c>
      <c r="Z744" t="s">
        <v>4561</v>
      </c>
      <c r="AA744" s="3">
        <v>0.34999999403953602</v>
      </c>
      <c r="AB744" t="s">
        <v>8700</v>
      </c>
      <c r="AC744" t="s">
        <v>4562</v>
      </c>
      <c r="AD744" t="s">
        <v>8699</v>
      </c>
      <c r="AE744" t="s">
        <v>4655</v>
      </c>
      <c r="AF744" t="s">
        <v>4563</v>
      </c>
      <c r="AG744" t="s">
        <v>4564</v>
      </c>
      <c r="AH744">
        <v>89509</v>
      </c>
      <c r="AI744" t="s">
        <v>8701</v>
      </c>
      <c r="AJ744" t="s">
        <v>4655</v>
      </c>
      <c r="AK744" t="s">
        <v>8702</v>
      </c>
      <c r="AL744" s="13" t="s">
        <v>2257</v>
      </c>
      <c r="AM744">
        <v>1</v>
      </c>
      <c r="AN744" s="15" t="s">
        <v>2086</v>
      </c>
    </row>
    <row r="745" spans="1:40" x14ac:dyDescent="0.3">
      <c r="A745" s="10" t="str">
        <f>HYPERLINK("http://www.washoecounty.gov/assessor/cama/?parid=010-181-53&amp;CardNumber=1","010-181-53")</f>
        <v>010-181-53</v>
      </c>
      <c r="B745" t="s">
        <v>4655</v>
      </c>
      <c r="C745" t="s">
        <v>8703</v>
      </c>
      <c r="D745" s="1">
        <v>40331</v>
      </c>
      <c r="E745" s="2">
        <v>160000</v>
      </c>
      <c r="F745" t="s">
        <v>4567</v>
      </c>
      <c r="G745" s="17" t="str">
        <f>HYPERLINK("https://www.washoecounty.gov/assessor/cama/?command=sales&amp;parid=01018153","3887549")</f>
        <v>3887549</v>
      </c>
      <c r="H745" t="s">
        <v>2085</v>
      </c>
      <c r="I745">
        <v>1947</v>
      </c>
      <c r="J745">
        <v>1947</v>
      </c>
      <c r="K745" t="s">
        <v>4554</v>
      </c>
      <c r="L745" t="s">
        <v>4555</v>
      </c>
      <c r="M745" s="2">
        <v>920</v>
      </c>
      <c r="N745" t="s">
        <v>4556</v>
      </c>
      <c r="O745">
        <v>2</v>
      </c>
      <c r="P745">
        <v>1</v>
      </c>
      <c r="Q745">
        <v>0</v>
      </c>
      <c r="R745" t="s">
        <v>4557</v>
      </c>
      <c r="S745" t="s">
        <v>4574</v>
      </c>
      <c r="T745" t="s">
        <v>4143</v>
      </c>
      <c r="U745" t="s">
        <v>4560</v>
      </c>
      <c r="V745" s="2">
        <v>200</v>
      </c>
      <c r="W745" t="s">
        <v>4655</v>
      </c>
      <c r="X745" s="2">
        <v>0</v>
      </c>
      <c r="Y745">
        <v>20</v>
      </c>
      <c r="Z745" t="s">
        <v>4561</v>
      </c>
      <c r="AA745" s="3">
        <v>0.15599173307418801</v>
      </c>
      <c r="AB745" t="s">
        <v>8704</v>
      </c>
      <c r="AC745" t="s">
        <v>4575</v>
      </c>
      <c r="AD745" t="s">
        <v>8705</v>
      </c>
      <c r="AE745" t="s">
        <v>4655</v>
      </c>
      <c r="AF745" t="s">
        <v>4563</v>
      </c>
      <c r="AG745" t="s">
        <v>4564</v>
      </c>
      <c r="AH745">
        <v>89509</v>
      </c>
      <c r="AI745" t="s">
        <v>8706</v>
      </c>
      <c r="AJ745" t="s">
        <v>4655</v>
      </c>
      <c r="AK745" t="s">
        <v>8707</v>
      </c>
      <c r="AL745" s="13" t="s">
        <v>2255</v>
      </c>
      <c r="AM745" s="14">
        <v>1</v>
      </c>
      <c r="AN745" s="15" t="s">
        <v>2086</v>
      </c>
    </row>
    <row r="746" spans="1:40" x14ac:dyDescent="0.3">
      <c r="A746" s="10" t="str">
        <f>HYPERLINK("http://www.washoecounty.gov/assessor/cama/?parid=010-191-07&amp;CardNumber=1","010-191-07")</f>
        <v>010-191-07</v>
      </c>
      <c r="B746" t="s">
        <v>4655</v>
      </c>
      <c r="C746" t="s">
        <v>8708</v>
      </c>
      <c r="D746" s="1">
        <v>40287</v>
      </c>
      <c r="E746" s="2">
        <v>140000</v>
      </c>
      <c r="F746" t="s">
        <v>4567</v>
      </c>
      <c r="G746" s="17" t="str">
        <f>HYPERLINK("https://www.washoecounty.gov/assessor/cama/?command=sales&amp;parid=01019107","3872395")</f>
        <v>3872395</v>
      </c>
      <c r="H746" t="s">
        <v>2085</v>
      </c>
      <c r="I746">
        <v>1946</v>
      </c>
      <c r="J746">
        <v>1946</v>
      </c>
      <c r="K746" t="s">
        <v>4554</v>
      </c>
      <c r="L746" t="s">
        <v>4555</v>
      </c>
      <c r="M746" s="2">
        <v>920</v>
      </c>
      <c r="N746" t="s">
        <v>4556</v>
      </c>
      <c r="O746">
        <v>2</v>
      </c>
      <c r="P746">
        <v>2</v>
      </c>
      <c r="Q746">
        <v>0</v>
      </c>
      <c r="R746" t="s">
        <v>5281</v>
      </c>
      <c r="S746" t="s">
        <v>4574</v>
      </c>
      <c r="T746" t="s">
        <v>4559</v>
      </c>
      <c r="U746" t="s">
        <v>4655</v>
      </c>
      <c r="V746" s="2">
        <v>0</v>
      </c>
      <c r="W746" t="s">
        <v>4655</v>
      </c>
      <c r="X746" s="2">
        <v>0</v>
      </c>
      <c r="Y746">
        <v>20</v>
      </c>
      <c r="Z746" t="s">
        <v>4561</v>
      </c>
      <c r="AA746" s="3">
        <v>0.13799357414245605</v>
      </c>
      <c r="AB746" t="s">
        <v>8709</v>
      </c>
      <c r="AC746" t="s">
        <v>4562</v>
      </c>
      <c r="AD746" t="s">
        <v>8708</v>
      </c>
      <c r="AE746" t="s">
        <v>4655</v>
      </c>
      <c r="AF746" t="s">
        <v>4563</v>
      </c>
      <c r="AG746" t="s">
        <v>4564</v>
      </c>
      <c r="AH746">
        <v>89509</v>
      </c>
      <c r="AI746" t="s">
        <v>8710</v>
      </c>
      <c r="AJ746" t="s">
        <v>4655</v>
      </c>
      <c r="AK746" t="s">
        <v>8711</v>
      </c>
      <c r="AL746" s="13" t="s">
        <v>2255</v>
      </c>
      <c r="AM746">
        <v>1</v>
      </c>
      <c r="AN746" s="15" t="s">
        <v>2086</v>
      </c>
    </row>
    <row r="747" spans="1:40" x14ac:dyDescent="0.3">
      <c r="A747" s="10" t="str">
        <f>HYPERLINK("http://www.washoecounty.gov/assessor/cama/?parid=010-191-28&amp;CardNumber=1","010-191-28")</f>
        <v>010-191-28</v>
      </c>
      <c r="B747" t="s">
        <v>4655</v>
      </c>
      <c r="C747" t="s">
        <v>8712</v>
      </c>
      <c r="D747" s="1">
        <v>40343</v>
      </c>
      <c r="E747" s="2">
        <v>100000</v>
      </c>
      <c r="F747" t="s">
        <v>4567</v>
      </c>
      <c r="G747" s="17" t="str">
        <f>HYPERLINK("https://www.washoecounty.gov/assessor/cama/?command=sales&amp;parid=01019128","3891667")</f>
        <v>3891667</v>
      </c>
      <c r="H747" t="s">
        <v>1656</v>
      </c>
      <c r="I747">
        <v>1947</v>
      </c>
      <c r="J747">
        <v>1947</v>
      </c>
      <c r="K747" t="s">
        <v>4554</v>
      </c>
      <c r="L747" t="s">
        <v>3886</v>
      </c>
      <c r="M747" s="2">
        <v>1609</v>
      </c>
      <c r="N747" t="s">
        <v>5280</v>
      </c>
      <c r="O747">
        <v>4</v>
      </c>
      <c r="P747">
        <v>2</v>
      </c>
      <c r="Q747">
        <v>0</v>
      </c>
      <c r="R747" t="s">
        <v>5281</v>
      </c>
      <c r="S747" t="s">
        <v>4682</v>
      </c>
      <c r="T747" t="s">
        <v>4559</v>
      </c>
      <c r="U747" t="s">
        <v>4655</v>
      </c>
      <c r="V747" s="2">
        <v>0</v>
      </c>
      <c r="W747" t="s">
        <v>3149</v>
      </c>
      <c r="X747" s="2">
        <v>915</v>
      </c>
      <c r="Y747">
        <v>20</v>
      </c>
      <c r="Z747" t="s">
        <v>4561</v>
      </c>
      <c r="AA747" s="3">
        <v>0.15599173307418801</v>
      </c>
      <c r="AB747" t="s">
        <v>8713</v>
      </c>
      <c r="AC747" t="s">
        <v>4562</v>
      </c>
      <c r="AD747" t="s">
        <v>8714</v>
      </c>
      <c r="AE747" t="s">
        <v>4655</v>
      </c>
      <c r="AF747" t="s">
        <v>4563</v>
      </c>
      <c r="AG747" t="s">
        <v>4564</v>
      </c>
      <c r="AH747">
        <v>89509</v>
      </c>
      <c r="AI747" t="s">
        <v>8715</v>
      </c>
      <c r="AJ747" t="s">
        <v>4655</v>
      </c>
      <c r="AK747" t="s">
        <v>8716</v>
      </c>
      <c r="AL747" s="13" t="s">
        <v>2257</v>
      </c>
      <c r="AM747" s="14">
        <v>1</v>
      </c>
      <c r="AN747" s="15" t="s">
        <v>1650</v>
      </c>
    </row>
    <row r="748" spans="1:40" x14ac:dyDescent="0.3">
      <c r="A748" s="10" t="str">
        <f>HYPERLINK("http://www.washoecounty.gov/assessor/cama/?parid=010-193-10&amp;CardNumber=1","010-193-10")</f>
        <v>010-193-10</v>
      </c>
      <c r="B748" t="s">
        <v>4655</v>
      </c>
      <c r="C748" t="s">
        <v>3945</v>
      </c>
      <c r="D748" s="1">
        <v>40333</v>
      </c>
      <c r="E748" s="2">
        <v>200000</v>
      </c>
      <c r="F748" t="s">
        <v>4567</v>
      </c>
      <c r="G748" s="17" t="str">
        <f>HYPERLINK("https://www.washoecounty.gov/assessor/cama/?command=sales&amp;parid=01019310","3888468")</f>
        <v>3888468</v>
      </c>
      <c r="H748" t="s">
        <v>2085</v>
      </c>
      <c r="I748">
        <v>1946</v>
      </c>
      <c r="J748">
        <v>1946</v>
      </c>
      <c r="K748" t="s">
        <v>4554</v>
      </c>
      <c r="L748" t="s">
        <v>4555</v>
      </c>
      <c r="M748" s="2">
        <v>1249</v>
      </c>
      <c r="N748" t="s">
        <v>4556</v>
      </c>
      <c r="O748">
        <v>3</v>
      </c>
      <c r="P748">
        <v>1</v>
      </c>
      <c r="Q748">
        <v>1</v>
      </c>
      <c r="R748" t="s">
        <v>5281</v>
      </c>
      <c r="S748" t="s">
        <v>4574</v>
      </c>
      <c r="T748" t="s">
        <v>4559</v>
      </c>
      <c r="U748" t="s">
        <v>4560</v>
      </c>
      <c r="V748" s="2">
        <v>400</v>
      </c>
      <c r="W748" t="s">
        <v>4655</v>
      </c>
      <c r="X748" s="2">
        <v>0</v>
      </c>
      <c r="Y748">
        <v>20</v>
      </c>
      <c r="Z748" t="s">
        <v>4561</v>
      </c>
      <c r="AA748" s="3">
        <v>0.15000000596046401</v>
      </c>
      <c r="AB748" t="s">
        <v>5657</v>
      </c>
      <c r="AC748" t="s">
        <v>4562</v>
      </c>
      <c r="AD748" t="s">
        <v>3945</v>
      </c>
      <c r="AE748" t="s">
        <v>4655</v>
      </c>
      <c r="AF748" t="s">
        <v>4563</v>
      </c>
      <c r="AG748" t="s">
        <v>4564</v>
      </c>
      <c r="AH748">
        <v>89509</v>
      </c>
      <c r="AI748" t="s">
        <v>3997</v>
      </c>
      <c r="AJ748" t="s">
        <v>4655</v>
      </c>
      <c r="AK748" t="s">
        <v>3946</v>
      </c>
      <c r="AL748" s="13" t="s">
        <v>2255</v>
      </c>
      <c r="AM748">
        <v>1</v>
      </c>
      <c r="AN748" s="15" t="s">
        <v>2086</v>
      </c>
    </row>
    <row r="749" spans="1:40" x14ac:dyDescent="0.3">
      <c r="A749" s="10" t="str">
        <f>HYPERLINK("http://www.washoecounty.gov/assessor/cama/?parid=010-193-14&amp;CardNumber=1","010-193-14")</f>
        <v>010-193-14</v>
      </c>
      <c r="B749" t="s">
        <v>4655</v>
      </c>
      <c r="C749" t="s">
        <v>8717</v>
      </c>
      <c r="D749" s="1">
        <v>40234</v>
      </c>
      <c r="E749" s="2">
        <v>169000</v>
      </c>
      <c r="F749" t="s">
        <v>4567</v>
      </c>
      <c r="G749" s="17" t="str">
        <f>HYPERLINK("https://www.washoecounty.gov/assessor/cama/?command=sales&amp;parid=01019314","3852569")</f>
        <v>3852569</v>
      </c>
      <c r="H749" t="s">
        <v>2085</v>
      </c>
      <c r="I749">
        <v>1946</v>
      </c>
      <c r="J749">
        <v>1950</v>
      </c>
      <c r="K749" t="s">
        <v>4554</v>
      </c>
      <c r="L749" t="s">
        <v>4555</v>
      </c>
      <c r="M749" s="2">
        <v>1088</v>
      </c>
      <c r="N749" t="s">
        <v>4556</v>
      </c>
      <c r="O749">
        <v>2</v>
      </c>
      <c r="P749">
        <v>1</v>
      </c>
      <c r="Q749">
        <v>0</v>
      </c>
      <c r="R749" t="s">
        <v>4557</v>
      </c>
      <c r="S749" t="s">
        <v>4898</v>
      </c>
      <c r="T749" t="s">
        <v>4559</v>
      </c>
      <c r="U749" t="s">
        <v>4560</v>
      </c>
      <c r="V749" s="2">
        <v>420</v>
      </c>
      <c r="W749" t="s">
        <v>4655</v>
      </c>
      <c r="X749" s="2">
        <v>0</v>
      </c>
      <c r="Y749">
        <v>20</v>
      </c>
      <c r="Z749" t="s">
        <v>4561</v>
      </c>
      <c r="AA749" s="3">
        <v>0.151010096073151</v>
      </c>
      <c r="AB749" t="s">
        <v>8718</v>
      </c>
      <c r="AC749" t="s">
        <v>4562</v>
      </c>
      <c r="AD749" t="s">
        <v>8717</v>
      </c>
      <c r="AE749" t="s">
        <v>4655</v>
      </c>
      <c r="AF749" t="s">
        <v>4563</v>
      </c>
      <c r="AG749" t="s">
        <v>4564</v>
      </c>
      <c r="AH749">
        <v>89509</v>
      </c>
      <c r="AI749" t="s">
        <v>8719</v>
      </c>
      <c r="AJ749" t="s">
        <v>4655</v>
      </c>
      <c r="AK749" t="s">
        <v>8720</v>
      </c>
      <c r="AL749" s="13" t="s">
        <v>2255</v>
      </c>
      <c r="AM749" s="14">
        <v>1</v>
      </c>
      <c r="AN749" s="15" t="s">
        <v>2086</v>
      </c>
    </row>
    <row r="750" spans="1:40" x14ac:dyDescent="0.3">
      <c r="A750" s="10" t="str">
        <f>HYPERLINK("http://www.washoecounty.gov/assessor/cama/?parid=010-193-20&amp;CardNumber=1","010-193-20")</f>
        <v>010-193-20</v>
      </c>
      <c r="B750" t="s">
        <v>4655</v>
      </c>
      <c r="C750" t="s">
        <v>8721</v>
      </c>
      <c r="D750" s="1">
        <v>40487</v>
      </c>
      <c r="E750" s="2">
        <v>160000</v>
      </c>
      <c r="F750" t="s">
        <v>4567</v>
      </c>
      <c r="G750" s="17" t="str">
        <f>HYPERLINK("https://www.washoecounty.gov/assessor/cama/?command=sales&amp;parid=01019320","3940388")</f>
        <v>3940388</v>
      </c>
      <c r="H750" t="s">
        <v>2085</v>
      </c>
      <c r="I750">
        <v>1946</v>
      </c>
      <c r="J750">
        <v>1962</v>
      </c>
      <c r="K750" t="s">
        <v>4554</v>
      </c>
      <c r="L750" t="s">
        <v>4555</v>
      </c>
      <c r="M750" s="2">
        <v>1328</v>
      </c>
      <c r="N750" t="s">
        <v>4048</v>
      </c>
      <c r="O750">
        <v>3</v>
      </c>
      <c r="P750">
        <v>2</v>
      </c>
      <c r="Q750">
        <v>0</v>
      </c>
      <c r="R750" t="s">
        <v>4557</v>
      </c>
      <c r="S750" t="s">
        <v>4135</v>
      </c>
      <c r="T750" t="s">
        <v>4143</v>
      </c>
      <c r="U750" t="s">
        <v>4560</v>
      </c>
      <c r="V750" s="2">
        <v>210</v>
      </c>
      <c r="W750" t="s">
        <v>4655</v>
      </c>
      <c r="X750" s="2">
        <v>0</v>
      </c>
      <c r="Y750">
        <v>20</v>
      </c>
      <c r="Z750" t="s">
        <v>4561</v>
      </c>
      <c r="AA750" s="3">
        <v>0.14499540627002699</v>
      </c>
      <c r="AB750" t="s">
        <v>8722</v>
      </c>
      <c r="AC750" t="s">
        <v>4562</v>
      </c>
      <c r="AD750" t="s">
        <v>8723</v>
      </c>
      <c r="AE750" t="s">
        <v>4655</v>
      </c>
      <c r="AF750" t="s">
        <v>4563</v>
      </c>
      <c r="AG750" t="s">
        <v>4564</v>
      </c>
      <c r="AH750">
        <v>89509</v>
      </c>
      <c r="AI750" t="s">
        <v>4424</v>
      </c>
      <c r="AJ750" t="s">
        <v>4655</v>
      </c>
      <c r="AK750" t="s">
        <v>8724</v>
      </c>
      <c r="AL750" s="13" t="s">
        <v>2255</v>
      </c>
      <c r="AM750">
        <v>1</v>
      </c>
      <c r="AN750" s="15" t="s">
        <v>2086</v>
      </c>
    </row>
    <row r="751" spans="1:40" x14ac:dyDescent="0.3">
      <c r="A751" s="10" t="str">
        <f>HYPERLINK("http://www.washoecounty.gov/assessor/cama/?parid=010-193-21&amp;CardNumber=1","010-193-21")</f>
        <v>010-193-21</v>
      </c>
      <c r="B751" t="s">
        <v>4655</v>
      </c>
      <c r="C751" t="s">
        <v>8725</v>
      </c>
      <c r="D751" s="1">
        <v>40416</v>
      </c>
      <c r="E751" s="2">
        <v>144000</v>
      </c>
      <c r="F751" t="s">
        <v>4553</v>
      </c>
      <c r="G751" s="17" t="str">
        <f>HYPERLINK("https://www.washoecounty.gov/assessor/cama/?command=sales&amp;parid=01019321","3915647")</f>
        <v>3915647</v>
      </c>
      <c r="H751" t="s">
        <v>2085</v>
      </c>
      <c r="I751">
        <v>1946</v>
      </c>
      <c r="J751">
        <v>1946</v>
      </c>
      <c r="K751" t="s">
        <v>4554</v>
      </c>
      <c r="L751" t="s">
        <v>4555</v>
      </c>
      <c r="M751" s="2">
        <v>1048</v>
      </c>
      <c r="N751" t="s">
        <v>4556</v>
      </c>
      <c r="O751">
        <v>2</v>
      </c>
      <c r="P751">
        <v>1</v>
      </c>
      <c r="Q751">
        <v>0</v>
      </c>
      <c r="R751" t="s">
        <v>4557</v>
      </c>
      <c r="S751" t="s">
        <v>4574</v>
      </c>
      <c r="T751" t="s">
        <v>4559</v>
      </c>
      <c r="U751" t="s">
        <v>4560</v>
      </c>
      <c r="V751" s="2">
        <v>190</v>
      </c>
      <c r="W751" t="s">
        <v>4655</v>
      </c>
      <c r="X751" s="2">
        <v>0</v>
      </c>
      <c r="Y751">
        <v>20</v>
      </c>
      <c r="Z751" t="s">
        <v>4561</v>
      </c>
      <c r="AA751" s="3">
        <v>0.15300734341144601</v>
      </c>
      <c r="AB751" t="s">
        <v>8726</v>
      </c>
      <c r="AC751" t="s">
        <v>4562</v>
      </c>
      <c r="AD751" t="s">
        <v>8725</v>
      </c>
      <c r="AE751" t="s">
        <v>4655</v>
      </c>
      <c r="AF751" t="s">
        <v>4563</v>
      </c>
      <c r="AG751" t="s">
        <v>4564</v>
      </c>
      <c r="AH751">
        <v>89509</v>
      </c>
      <c r="AI751" t="s">
        <v>4565</v>
      </c>
      <c r="AJ751" t="s">
        <v>4655</v>
      </c>
      <c r="AK751" t="s">
        <v>8727</v>
      </c>
      <c r="AL751" s="13" t="s">
        <v>2255</v>
      </c>
      <c r="AM751">
        <v>1</v>
      </c>
      <c r="AN751" s="15" t="s">
        <v>2086</v>
      </c>
    </row>
    <row r="752" spans="1:40" x14ac:dyDescent="0.3">
      <c r="A752" s="10" t="str">
        <f>HYPERLINK("http://www.washoecounty.gov/assessor/cama/?parid=010-194-16&amp;CardNumber=1","010-194-16")</f>
        <v>010-194-16</v>
      </c>
      <c r="B752" t="s">
        <v>4655</v>
      </c>
      <c r="C752" t="s">
        <v>8728</v>
      </c>
      <c r="D752" s="1">
        <v>40198</v>
      </c>
      <c r="E752" s="2">
        <v>185000</v>
      </c>
      <c r="F752" t="s">
        <v>4567</v>
      </c>
      <c r="G752" s="17" t="str">
        <f>HYPERLINK("https://www.washoecounty.gov/assessor/cama/?command=sales&amp;parid=01019416","3841258")</f>
        <v>3841258</v>
      </c>
      <c r="H752" t="s">
        <v>2085</v>
      </c>
      <c r="I752">
        <v>1946</v>
      </c>
      <c r="J752">
        <v>1947</v>
      </c>
      <c r="K752" t="s">
        <v>4554</v>
      </c>
      <c r="L752" t="s">
        <v>4555</v>
      </c>
      <c r="M752" s="2">
        <v>1136</v>
      </c>
      <c r="N752" t="s">
        <v>4556</v>
      </c>
      <c r="O752">
        <v>2</v>
      </c>
      <c r="P752">
        <v>1</v>
      </c>
      <c r="Q752">
        <v>0</v>
      </c>
      <c r="R752" t="s">
        <v>4557</v>
      </c>
      <c r="S752" t="s">
        <v>4574</v>
      </c>
      <c r="T752" t="s">
        <v>4559</v>
      </c>
      <c r="U752" t="s">
        <v>4560</v>
      </c>
      <c r="V752" s="2">
        <v>280</v>
      </c>
      <c r="W752" t="s">
        <v>4655</v>
      </c>
      <c r="X752" s="2">
        <v>0</v>
      </c>
      <c r="Y752">
        <v>20</v>
      </c>
      <c r="Z752" t="s">
        <v>4561</v>
      </c>
      <c r="AA752" s="3">
        <v>0.15300734341144601</v>
      </c>
      <c r="AB752" t="s">
        <v>8729</v>
      </c>
      <c r="AC752" t="s">
        <v>4575</v>
      </c>
      <c r="AD752" t="s">
        <v>8728</v>
      </c>
      <c r="AE752" t="s">
        <v>4655</v>
      </c>
      <c r="AF752" t="s">
        <v>4563</v>
      </c>
      <c r="AG752" t="s">
        <v>4564</v>
      </c>
      <c r="AH752">
        <v>89509</v>
      </c>
      <c r="AI752" t="s">
        <v>8730</v>
      </c>
      <c r="AJ752" t="s">
        <v>4655</v>
      </c>
      <c r="AK752" t="s">
        <v>8731</v>
      </c>
      <c r="AL752" s="13" t="s">
        <v>2255</v>
      </c>
      <c r="AM752" s="14">
        <v>1</v>
      </c>
      <c r="AN752" s="15" t="s">
        <v>2086</v>
      </c>
    </row>
    <row r="753" spans="1:40" x14ac:dyDescent="0.3">
      <c r="A753" s="10" t="str">
        <f>HYPERLINK("http://www.washoecounty.gov/assessor/cama/?parid=010-195-04&amp;CardNumber=1","010-195-04")</f>
        <v>010-195-04</v>
      </c>
      <c r="B753" t="s">
        <v>4655</v>
      </c>
      <c r="C753" t="s">
        <v>8732</v>
      </c>
      <c r="D753" s="1">
        <v>40351</v>
      </c>
      <c r="E753" s="2">
        <v>190000</v>
      </c>
      <c r="F753" t="s">
        <v>4567</v>
      </c>
      <c r="G753" s="17" t="str">
        <f>HYPERLINK("https://www.washoecounty.gov/assessor/cama/?command=sales&amp;parid=01019504","3894272")</f>
        <v>3894272</v>
      </c>
      <c r="H753" t="s">
        <v>2085</v>
      </c>
      <c r="I753">
        <v>1946</v>
      </c>
      <c r="J753">
        <v>1946</v>
      </c>
      <c r="K753" t="s">
        <v>4554</v>
      </c>
      <c r="L753" t="s">
        <v>4555</v>
      </c>
      <c r="M753" s="2">
        <v>1068</v>
      </c>
      <c r="N753" t="s">
        <v>4556</v>
      </c>
      <c r="O753">
        <v>3</v>
      </c>
      <c r="P753">
        <v>2</v>
      </c>
      <c r="Q753">
        <v>0</v>
      </c>
      <c r="R753" t="s">
        <v>4557</v>
      </c>
      <c r="S753" t="s">
        <v>4898</v>
      </c>
      <c r="T753" t="s">
        <v>4559</v>
      </c>
      <c r="U753" t="s">
        <v>4655</v>
      </c>
      <c r="V753" s="2">
        <v>0</v>
      </c>
      <c r="W753" t="s">
        <v>4655</v>
      </c>
      <c r="X753" s="2">
        <v>0</v>
      </c>
      <c r="Y753">
        <v>20</v>
      </c>
      <c r="Z753" t="s">
        <v>4561</v>
      </c>
      <c r="AA753" s="3">
        <v>0.135009184479713</v>
      </c>
      <c r="AB753" t="s">
        <v>8733</v>
      </c>
      <c r="AC753" t="s">
        <v>4562</v>
      </c>
      <c r="AD753" t="s">
        <v>8732</v>
      </c>
      <c r="AE753" t="s">
        <v>4655</v>
      </c>
      <c r="AF753" t="s">
        <v>4563</v>
      </c>
      <c r="AG753" t="s">
        <v>4564</v>
      </c>
      <c r="AH753">
        <v>89509</v>
      </c>
      <c r="AI753" t="s">
        <v>8734</v>
      </c>
      <c r="AJ753" t="s">
        <v>4655</v>
      </c>
      <c r="AK753" t="s">
        <v>8735</v>
      </c>
      <c r="AL753" s="13" t="s">
        <v>2255</v>
      </c>
      <c r="AM753" s="14">
        <v>1</v>
      </c>
      <c r="AN753" s="15" t="s">
        <v>2086</v>
      </c>
    </row>
    <row r="754" spans="1:40" x14ac:dyDescent="0.3">
      <c r="A754" s="10" t="str">
        <f>HYPERLINK("http://www.washoecounty.gov/assessor/cama/?parid=010-195-08&amp;CardNumber=1","010-195-08")</f>
        <v>010-195-08</v>
      </c>
      <c r="B754" t="s">
        <v>4655</v>
      </c>
      <c r="C754" t="s">
        <v>8736</v>
      </c>
      <c r="D754" s="1">
        <v>40430</v>
      </c>
      <c r="E754" s="2">
        <v>170000</v>
      </c>
      <c r="F754" t="s">
        <v>4567</v>
      </c>
      <c r="G754" s="17" t="str">
        <f>HYPERLINK("https://www.washoecounty.gov/assessor/cama/?command=sales&amp;parid=01019508","3920248")</f>
        <v>3920248</v>
      </c>
      <c r="H754" t="s">
        <v>2085</v>
      </c>
      <c r="I754">
        <v>1946</v>
      </c>
      <c r="J754">
        <v>1952</v>
      </c>
      <c r="K754" t="s">
        <v>4554</v>
      </c>
      <c r="L754" t="s">
        <v>4555</v>
      </c>
      <c r="M754" s="2">
        <v>1558</v>
      </c>
      <c r="N754" t="s">
        <v>4048</v>
      </c>
      <c r="O754">
        <v>3</v>
      </c>
      <c r="P754">
        <v>2</v>
      </c>
      <c r="Q754">
        <v>0</v>
      </c>
      <c r="R754" t="s">
        <v>4557</v>
      </c>
      <c r="S754" t="s">
        <v>4135</v>
      </c>
      <c r="T754" t="s">
        <v>4559</v>
      </c>
      <c r="U754" t="s">
        <v>4560</v>
      </c>
      <c r="V754" s="2">
        <v>200</v>
      </c>
      <c r="W754" t="s">
        <v>4655</v>
      </c>
      <c r="X754" s="2">
        <v>0</v>
      </c>
      <c r="Y754">
        <v>20</v>
      </c>
      <c r="Z754" t="s">
        <v>4561</v>
      </c>
      <c r="AA754" s="3">
        <v>0.146992653608322</v>
      </c>
      <c r="AB754" t="s">
        <v>8737</v>
      </c>
      <c r="AC754" t="s">
        <v>4562</v>
      </c>
      <c r="AD754" t="s">
        <v>8736</v>
      </c>
      <c r="AE754" t="s">
        <v>4655</v>
      </c>
      <c r="AF754" t="s">
        <v>4563</v>
      </c>
      <c r="AG754" t="s">
        <v>4564</v>
      </c>
      <c r="AH754">
        <v>89509</v>
      </c>
      <c r="AI754" t="s">
        <v>8738</v>
      </c>
      <c r="AJ754" t="s">
        <v>4655</v>
      </c>
      <c r="AK754" t="s">
        <v>8739</v>
      </c>
      <c r="AL754" s="13" t="s">
        <v>2255</v>
      </c>
      <c r="AM754" s="14">
        <v>1</v>
      </c>
      <c r="AN754" s="15" t="s">
        <v>2086</v>
      </c>
    </row>
    <row r="755" spans="1:40" x14ac:dyDescent="0.3">
      <c r="A755" s="10" t="str">
        <f>HYPERLINK("http://www.washoecounty.gov/assessor/cama/?parid=010-211-14&amp;CardNumber=1","010-211-14")</f>
        <v>010-211-14</v>
      </c>
      <c r="B755" t="s">
        <v>4655</v>
      </c>
      <c r="C755" t="s">
        <v>8740</v>
      </c>
      <c r="D755" s="1">
        <v>40501</v>
      </c>
      <c r="E755" s="2">
        <v>368000</v>
      </c>
      <c r="F755" t="s">
        <v>4567</v>
      </c>
      <c r="G755" s="17" t="str">
        <f>HYPERLINK("https://www.washoecounty.gov/assessor/cama/?command=sales&amp;parid=01021114","3945280")</f>
        <v>3945280</v>
      </c>
      <c r="H755" t="s">
        <v>4038</v>
      </c>
      <c r="I755">
        <v>1962</v>
      </c>
      <c r="J755">
        <v>1962</v>
      </c>
      <c r="K755" t="s">
        <v>4554</v>
      </c>
      <c r="L755" t="s">
        <v>4555</v>
      </c>
      <c r="M755" s="2">
        <v>3531</v>
      </c>
      <c r="N755" t="s">
        <v>1245</v>
      </c>
      <c r="O755">
        <v>4</v>
      </c>
      <c r="P755">
        <v>2</v>
      </c>
      <c r="Q755">
        <v>1</v>
      </c>
      <c r="R755" t="s">
        <v>5281</v>
      </c>
      <c r="S755" t="s">
        <v>4682</v>
      </c>
      <c r="T755" t="s">
        <v>3888</v>
      </c>
      <c r="U755" t="s">
        <v>4560</v>
      </c>
      <c r="V755" s="2">
        <v>1071</v>
      </c>
      <c r="W755" t="s">
        <v>4655</v>
      </c>
      <c r="X755" s="2">
        <v>0</v>
      </c>
      <c r="Y755">
        <v>20</v>
      </c>
      <c r="Z755" t="s">
        <v>4561</v>
      </c>
      <c r="AA755" s="3">
        <v>0.76701104640960605</v>
      </c>
      <c r="AB755" t="s">
        <v>8741</v>
      </c>
      <c r="AC755" t="s">
        <v>4575</v>
      </c>
      <c r="AD755" t="s">
        <v>8742</v>
      </c>
      <c r="AE755" t="s">
        <v>4655</v>
      </c>
      <c r="AF755" t="s">
        <v>4563</v>
      </c>
      <c r="AG755" t="s">
        <v>4564</v>
      </c>
      <c r="AH755">
        <v>89509</v>
      </c>
      <c r="AI755" t="s">
        <v>8743</v>
      </c>
      <c r="AJ755" t="s">
        <v>4655</v>
      </c>
      <c r="AK755" t="s">
        <v>8744</v>
      </c>
      <c r="AL755" s="13" t="s">
        <v>2257</v>
      </c>
      <c r="AM755" s="14">
        <v>1</v>
      </c>
      <c r="AN755" s="15" t="s">
        <v>1244</v>
      </c>
    </row>
    <row r="756" spans="1:40" x14ac:dyDescent="0.3">
      <c r="A756" s="10" t="str">
        <f>HYPERLINK("http://www.washoecounty.gov/assessor/cama/?parid=010-212-25&amp;CardNumber=1","010-212-25")</f>
        <v>010-212-25</v>
      </c>
      <c r="B756" t="s">
        <v>4655</v>
      </c>
      <c r="C756" t="s">
        <v>283</v>
      </c>
      <c r="D756" s="1">
        <v>40402</v>
      </c>
      <c r="E756" s="2">
        <v>357500</v>
      </c>
      <c r="F756" t="s">
        <v>4567</v>
      </c>
      <c r="G756" s="20" t="s">
        <v>282</v>
      </c>
      <c r="H756" t="s">
        <v>8745</v>
      </c>
      <c r="I756">
        <v>1968</v>
      </c>
      <c r="J756">
        <v>1968</v>
      </c>
      <c r="K756" t="s">
        <v>4554</v>
      </c>
      <c r="L756" t="s">
        <v>4555</v>
      </c>
      <c r="M756" s="2">
        <v>2232</v>
      </c>
      <c r="N756" t="s">
        <v>1245</v>
      </c>
      <c r="O756">
        <v>3</v>
      </c>
      <c r="P756">
        <v>2</v>
      </c>
      <c r="Q756">
        <v>1</v>
      </c>
      <c r="R756" t="s">
        <v>5281</v>
      </c>
      <c r="S756" t="s">
        <v>4682</v>
      </c>
      <c r="T756" t="s">
        <v>4559</v>
      </c>
      <c r="U756" t="s">
        <v>4560</v>
      </c>
      <c r="V756" s="2">
        <v>484</v>
      </c>
      <c r="W756" t="s">
        <v>4655</v>
      </c>
      <c r="X756" s="2">
        <v>0</v>
      </c>
      <c r="Y756">
        <v>20</v>
      </c>
      <c r="Z756" t="s">
        <v>4561</v>
      </c>
      <c r="AA756" s="3">
        <v>0.169995412230492</v>
      </c>
      <c r="AB756" s="20" t="s">
        <v>8865</v>
      </c>
      <c r="AD756" t="s">
        <v>283</v>
      </c>
      <c r="AE756" t="s">
        <v>283</v>
      </c>
      <c r="AF756" t="s">
        <v>283</v>
      </c>
      <c r="AG756" t="s">
        <v>4564</v>
      </c>
      <c r="AH756" t="s">
        <v>3101</v>
      </c>
      <c r="AI756" t="s">
        <v>8865</v>
      </c>
      <c r="AJ756" t="s">
        <v>4655</v>
      </c>
      <c r="AK756" t="s">
        <v>8746</v>
      </c>
      <c r="AL756" s="13" t="s">
        <v>2257</v>
      </c>
      <c r="AM756" s="14">
        <v>1</v>
      </c>
      <c r="AN756" s="15" t="s">
        <v>1244</v>
      </c>
    </row>
    <row r="757" spans="1:40" x14ac:dyDescent="0.3">
      <c r="A757" s="10" t="str">
        <f>HYPERLINK("http://www.washoecounty.gov/assessor/cama/?parid=010-212-28&amp;CardNumber=1","010-212-28")</f>
        <v>010-212-28</v>
      </c>
      <c r="B757" t="s">
        <v>4655</v>
      </c>
      <c r="C757" t="s">
        <v>8747</v>
      </c>
      <c r="D757" s="1">
        <v>40416</v>
      </c>
      <c r="E757" s="2">
        <v>300000</v>
      </c>
      <c r="F757" t="s">
        <v>4567</v>
      </c>
      <c r="G757" s="17" t="str">
        <f>HYPERLINK("https://www.washoecounty.gov/assessor/cama/?command=sales&amp;parid=01021228","3916008")</f>
        <v>3916008</v>
      </c>
      <c r="H757" t="s">
        <v>8745</v>
      </c>
      <c r="I757">
        <v>1968</v>
      </c>
      <c r="J757">
        <v>1968</v>
      </c>
      <c r="K757" t="s">
        <v>4554</v>
      </c>
      <c r="L757" t="s">
        <v>4555</v>
      </c>
      <c r="M757" s="2">
        <v>2133</v>
      </c>
      <c r="N757" t="s">
        <v>1245</v>
      </c>
      <c r="O757">
        <v>3</v>
      </c>
      <c r="P757">
        <v>2</v>
      </c>
      <c r="Q757">
        <v>1</v>
      </c>
      <c r="R757" t="s">
        <v>5281</v>
      </c>
      <c r="S757" t="s">
        <v>4682</v>
      </c>
      <c r="T757" t="s">
        <v>4559</v>
      </c>
      <c r="U757" t="s">
        <v>4560</v>
      </c>
      <c r="V757" s="2">
        <v>462</v>
      </c>
      <c r="W757" t="s">
        <v>4655</v>
      </c>
      <c r="X757" s="2">
        <v>0</v>
      </c>
      <c r="Y757">
        <v>20</v>
      </c>
      <c r="Z757" t="s">
        <v>4561</v>
      </c>
      <c r="AA757" s="3">
        <v>0.169995412230492</v>
      </c>
      <c r="AB757" t="s">
        <v>8748</v>
      </c>
      <c r="AC757" t="s">
        <v>4562</v>
      </c>
      <c r="AD757" t="s">
        <v>8747</v>
      </c>
      <c r="AE757" t="s">
        <v>4655</v>
      </c>
      <c r="AF757" t="s">
        <v>4563</v>
      </c>
      <c r="AG757" t="s">
        <v>4564</v>
      </c>
      <c r="AH757">
        <v>89509</v>
      </c>
      <c r="AI757" t="s">
        <v>8749</v>
      </c>
      <c r="AJ757" t="s">
        <v>4655</v>
      </c>
      <c r="AK757" t="s">
        <v>8745</v>
      </c>
      <c r="AL757" s="13" t="s">
        <v>2257</v>
      </c>
      <c r="AM757" s="14">
        <v>1</v>
      </c>
      <c r="AN757" s="15" t="s">
        <v>1244</v>
      </c>
    </row>
    <row r="758" spans="1:40" x14ac:dyDescent="0.3">
      <c r="A758" s="10" t="str">
        <f>HYPERLINK("http://www.washoecounty.gov/assessor/cama/?parid=010-221-06&amp;CardNumber=1","010-221-06")</f>
        <v>010-221-06</v>
      </c>
      <c r="B758" t="s">
        <v>4655</v>
      </c>
      <c r="C758" t="s">
        <v>8750</v>
      </c>
      <c r="D758" s="1">
        <v>40325</v>
      </c>
      <c r="E758" s="2">
        <v>179000</v>
      </c>
      <c r="F758" t="s">
        <v>4553</v>
      </c>
      <c r="G758" s="17" t="str">
        <f>HYPERLINK("https://www.washoecounty.gov/assessor/cama/?command=sales&amp;parid=01022106","3885710")</f>
        <v>3885710</v>
      </c>
      <c r="H758" t="s">
        <v>2597</v>
      </c>
      <c r="I758">
        <v>1950</v>
      </c>
      <c r="J758">
        <v>1950</v>
      </c>
      <c r="K758" t="s">
        <v>4554</v>
      </c>
      <c r="L758" t="s">
        <v>4555</v>
      </c>
      <c r="M758" s="2">
        <v>1147</v>
      </c>
      <c r="N758" t="s">
        <v>4556</v>
      </c>
      <c r="O758">
        <v>2</v>
      </c>
      <c r="P758">
        <v>1</v>
      </c>
      <c r="Q758">
        <v>0</v>
      </c>
      <c r="R758" t="s">
        <v>4557</v>
      </c>
      <c r="S758" t="s">
        <v>4135</v>
      </c>
      <c r="T758" t="s">
        <v>4559</v>
      </c>
      <c r="U758" t="s">
        <v>4655</v>
      </c>
      <c r="V758" s="2">
        <v>0</v>
      </c>
      <c r="W758" t="s">
        <v>4655</v>
      </c>
      <c r="X758" s="2">
        <v>0</v>
      </c>
      <c r="Y758">
        <v>20</v>
      </c>
      <c r="Z758" t="s">
        <v>385</v>
      </c>
      <c r="AA758" s="3">
        <v>0.38999080657959001</v>
      </c>
      <c r="AB758" t="s">
        <v>8751</v>
      </c>
      <c r="AC758" t="s">
        <v>4562</v>
      </c>
      <c r="AD758" t="s">
        <v>8750</v>
      </c>
      <c r="AE758" t="s">
        <v>4655</v>
      </c>
      <c r="AF758" t="s">
        <v>4563</v>
      </c>
      <c r="AG758" t="s">
        <v>4564</v>
      </c>
      <c r="AH758">
        <v>89509</v>
      </c>
      <c r="AI758" t="s">
        <v>8752</v>
      </c>
      <c r="AJ758" t="s">
        <v>4655</v>
      </c>
      <c r="AK758" t="s">
        <v>8753</v>
      </c>
      <c r="AL758" s="13" t="s">
        <v>2255</v>
      </c>
      <c r="AM758">
        <v>1</v>
      </c>
      <c r="AN758" s="15" t="s">
        <v>1650</v>
      </c>
    </row>
    <row r="759" spans="1:40" x14ac:dyDescent="0.3">
      <c r="A759" s="10" t="str">
        <f>HYPERLINK("http://www.washoecounty.gov/assessor/cama/?parid=010-221-17&amp;CardNumber=1","010-221-17")</f>
        <v>010-221-17</v>
      </c>
      <c r="B759" t="s">
        <v>4655</v>
      </c>
      <c r="C759" t="s">
        <v>8754</v>
      </c>
      <c r="D759" s="1">
        <v>40434</v>
      </c>
      <c r="E759" s="2">
        <v>245000</v>
      </c>
      <c r="F759" t="s">
        <v>4567</v>
      </c>
      <c r="G759" s="17" t="str">
        <f>HYPERLINK("https://www.washoecounty.gov/assessor/cama/?command=sales&amp;parid=01022117","3921771")</f>
        <v>3921771</v>
      </c>
      <c r="H759" t="s">
        <v>8755</v>
      </c>
      <c r="I759">
        <v>1955</v>
      </c>
      <c r="J759">
        <v>1955</v>
      </c>
      <c r="K759" t="s">
        <v>4554</v>
      </c>
      <c r="L759" t="s">
        <v>4555</v>
      </c>
      <c r="M759" s="2">
        <v>1434</v>
      </c>
      <c r="N759" t="s">
        <v>4048</v>
      </c>
      <c r="O759">
        <v>3</v>
      </c>
      <c r="P759">
        <v>1</v>
      </c>
      <c r="Q759">
        <v>1</v>
      </c>
      <c r="R759" t="s">
        <v>5281</v>
      </c>
      <c r="S759" t="s">
        <v>4135</v>
      </c>
      <c r="T759" t="s">
        <v>4559</v>
      </c>
      <c r="U759" t="s">
        <v>4560</v>
      </c>
      <c r="V759" s="2">
        <v>450</v>
      </c>
      <c r="W759" t="s">
        <v>4571</v>
      </c>
      <c r="X759" s="2">
        <v>624</v>
      </c>
      <c r="Y759">
        <v>20</v>
      </c>
      <c r="Z759" t="s">
        <v>385</v>
      </c>
      <c r="AA759" s="3">
        <v>0.34999999403953602</v>
      </c>
      <c r="AB759" t="s">
        <v>8756</v>
      </c>
      <c r="AC759" t="s">
        <v>4562</v>
      </c>
      <c r="AD759" t="s">
        <v>8757</v>
      </c>
      <c r="AE759" t="s">
        <v>4655</v>
      </c>
      <c r="AF759" t="s">
        <v>4563</v>
      </c>
      <c r="AG759" t="s">
        <v>4564</v>
      </c>
      <c r="AH759">
        <v>89509</v>
      </c>
      <c r="AI759" t="s">
        <v>8758</v>
      </c>
      <c r="AJ759" t="s">
        <v>4655</v>
      </c>
      <c r="AK759" t="s">
        <v>8759</v>
      </c>
      <c r="AL759" s="13" t="s">
        <v>2255</v>
      </c>
      <c r="AM759">
        <v>1</v>
      </c>
      <c r="AN759" s="15" t="s">
        <v>1650</v>
      </c>
    </row>
    <row r="760" spans="1:40" x14ac:dyDescent="0.3">
      <c r="A760" s="10" t="str">
        <f>HYPERLINK("http://www.washoecounty.gov/assessor/cama/?parid=010-222-03&amp;CardNumber=1","010-222-03")</f>
        <v>010-222-03</v>
      </c>
      <c r="B760" t="s">
        <v>4655</v>
      </c>
      <c r="C760" t="s">
        <v>8760</v>
      </c>
      <c r="D760" s="1">
        <v>40533</v>
      </c>
      <c r="E760" s="2">
        <v>240000</v>
      </c>
      <c r="F760" t="s">
        <v>4567</v>
      </c>
      <c r="G760" s="17" t="str">
        <f>HYPERLINK("https://www.washoecounty.gov/assessor/cama/?command=sales&amp;parid=01022203","3956004")</f>
        <v>3956004</v>
      </c>
      <c r="H760" t="s">
        <v>8755</v>
      </c>
      <c r="I760">
        <v>1952</v>
      </c>
      <c r="J760">
        <v>1952</v>
      </c>
      <c r="K760" t="s">
        <v>4554</v>
      </c>
      <c r="L760" t="s">
        <v>4555</v>
      </c>
      <c r="M760" s="2">
        <v>1602</v>
      </c>
      <c r="N760" t="s">
        <v>4048</v>
      </c>
      <c r="O760">
        <v>3</v>
      </c>
      <c r="P760">
        <v>2</v>
      </c>
      <c r="Q760">
        <v>0</v>
      </c>
      <c r="R760" t="s">
        <v>4557</v>
      </c>
      <c r="S760" t="s">
        <v>4574</v>
      </c>
      <c r="T760" t="s">
        <v>4559</v>
      </c>
      <c r="U760" t="s">
        <v>4560</v>
      </c>
      <c r="V760" s="2">
        <v>324</v>
      </c>
      <c r="W760" t="s">
        <v>4571</v>
      </c>
      <c r="X760" s="2">
        <v>492</v>
      </c>
      <c r="Y760">
        <v>20</v>
      </c>
      <c r="Z760" t="s">
        <v>385</v>
      </c>
      <c r="AA760" s="3">
        <v>0.35700184106826799</v>
      </c>
      <c r="AB760" t="s">
        <v>8761</v>
      </c>
      <c r="AC760" t="s">
        <v>4562</v>
      </c>
      <c r="AD760" t="s">
        <v>8762</v>
      </c>
      <c r="AE760" t="s">
        <v>4655</v>
      </c>
      <c r="AF760" t="s">
        <v>4563</v>
      </c>
      <c r="AG760" t="s">
        <v>4564</v>
      </c>
      <c r="AH760">
        <v>89509</v>
      </c>
      <c r="AI760" t="s">
        <v>8763</v>
      </c>
      <c r="AJ760" t="s">
        <v>4655</v>
      </c>
      <c r="AK760" t="s">
        <v>8764</v>
      </c>
      <c r="AL760" s="13" t="s">
        <v>2255</v>
      </c>
      <c r="AM760">
        <v>1</v>
      </c>
      <c r="AN760" s="15" t="s">
        <v>1650</v>
      </c>
    </row>
    <row r="761" spans="1:40" x14ac:dyDescent="0.3">
      <c r="A761" s="10" t="str">
        <f>HYPERLINK("http://www.washoecounty.gov/assessor/cama/?parid=010-225-01&amp;CardNumber=1","010-225-01")</f>
        <v>010-225-01</v>
      </c>
      <c r="B761" t="s">
        <v>4655</v>
      </c>
      <c r="C761" t="s">
        <v>8765</v>
      </c>
      <c r="D761" s="1">
        <v>40479</v>
      </c>
      <c r="E761" s="2">
        <v>245000</v>
      </c>
      <c r="F761" t="s">
        <v>4553</v>
      </c>
      <c r="G761" s="17" t="str">
        <f>HYPERLINK("https://www.washoecounty.gov/assessor/cama/?command=sales&amp;parid=01022501","3937868")</f>
        <v>3937868</v>
      </c>
      <c r="H761" t="s">
        <v>8766</v>
      </c>
      <c r="I761">
        <v>1961</v>
      </c>
      <c r="J761">
        <v>1961</v>
      </c>
      <c r="K761" t="s">
        <v>4554</v>
      </c>
      <c r="L761" t="s">
        <v>4555</v>
      </c>
      <c r="M761" s="2">
        <v>1470</v>
      </c>
      <c r="N761" t="s">
        <v>5280</v>
      </c>
      <c r="O761">
        <v>3</v>
      </c>
      <c r="P761">
        <v>2</v>
      </c>
      <c r="Q761">
        <v>0</v>
      </c>
      <c r="R761" t="s">
        <v>5281</v>
      </c>
      <c r="S761" t="s">
        <v>4558</v>
      </c>
      <c r="T761" t="s">
        <v>4559</v>
      </c>
      <c r="U761" t="s">
        <v>4560</v>
      </c>
      <c r="V761" s="2">
        <v>420</v>
      </c>
      <c r="W761" t="s">
        <v>4655</v>
      </c>
      <c r="X761" s="2">
        <v>0</v>
      </c>
      <c r="Y761">
        <v>20</v>
      </c>
      <c r="Z761" t="s">
        <v>385</v>
      </c>
      <c r="AA761" s="3">
        <v>0.19299817085266099</v>
      </c>
      <c r="AB761" t="s">
        <v>8767</v>
      </c>
      <c r="AC761" t="s">
        <v>4562</v>
      </c>
      <c r="AD761" t="s">
        <v>8768</v>
      </c>
      <c r="AE761" t="s">
        <v>4655</v>
      </c>
      <c r="AF761" t="s">
        <v>4563</v>
      </c>
      <c r="AG761" t="s">
        <v>4564</v>
      </c>
      <c r="AH761">
        <v>89509</v>
      </c>
      <c r="AI761" t="s">
        <v>8769</v>
      </c>
      <c r="AJ761" t="s">
        <v>4655</v>
      </c>
      <c r="AK761" t="s">
        <v>8770</v>
      </c>
      <c r="AL761" s="13" t="s">
        <v>2255</v>
      </c>
      <c r="AM761" s="14">
        <v>1</v>
      </c>
      <c r="AN761" s="15" t="s">
        <v>1650</v>
      </c>
    </row>
    <row r="762" spans="1:40" x14ac:dyDescent="0.3">
      <c r="A762" s="10" t="str">
        <f>HYPERLINK("http://www.washoecounty.gov/assessor/cama/?parid=010-234-11&amp;CardNumber=1","010-234-11")</f>
        <v>010-234-11</v>
      </c>
      <c r="B762" t="s">
        <v>4655</v>
      </c>
      <c r="C762" t="s">
        <v>8771</v>
      </c>
      <c r="D762" s="1">
        <v>40422</v>
      </c>
      <c r="E762" s="2">
        <v>275000</v>
      </c>
      <c r="F762" t="s">
        <v>4567</v>
      </c>
      <c r="G762" s="17" t="str">
        <f>HYPERLINK("https://www.washoecounty.gov/assessor/cama/?command=sales&amp;parid=01023411","3917952")</f>
        <v>3917952</v>
      </c>
      <c r="H762" t="s">
        <v>8772</v>
      </c>
      <c r="I762">
        <v>1955</v>
      </c>
      <c r="J762">
        <v>1955</v>
      </c>
      <c r="K762" t="s">
        <v>4554</v>
      </c>
      <c r="L762" t="s">
        <v>2170</v>
      </c>
      <c r="M762" s="2">
        <v>1780</v>
      </c>
      <c r="N762" t="s">
        <v>3147</v>
      </c>
      <c r="O762">
        <v>3</v>
      </c>
      <c r="P762">
        <v>2</v>
      </c>
      <c r="Q762">
        <v>1</v>
      </c>
      <c r="R762" t="s">
        <v>4557</v>
      </c>
      <c r="S762" t="s">
        <v>4135</v>
      </c>
      <c r="T762" t="s">
        <v>4559</v>
      </c>
      <c r="U762" t="s">
        <v>5631</v>
      </c>
      <c r="V762" s="2">
        <v>462</v>
      </c>
      <c r="W762" t="s">
        <v>3149</v>
      </c>
      <c r="X762" s="2">
        <v>702</v>
      </c>
      <c r="Y762">
        <v>20</v>
      </c>
      <c r="Z762" t="s">
        <v>385</v>
      </c>
      <c r="AA762" s="3">
        <v>0.15899908542633101</v>
      </c>
      <c r="AB762" t="s">
        <v>8773</v>
      </c>
      <c r="AC762" t="s">
        <v>4562</v>
      </c>
      <c r="AD762" t="s">
        <v>8771</v>
      </c>
      <c r="AE762" t="s">
        <v>4655</v>
      </c>
      <c r="AF762" t="s">
        <v>4563</v>
      </c>
      <c r="AG762" t="s">
        <v>4564</v>
      </c>
      <c r="AH762">
        <v>89509</v>
      </c>
      <c r="AI762" t="s">
        <v>8774</v>
      </c>
      <c r="AJ762" t="s">
        <v>4655</v>
      </c>
      <c r="AK762" t="s">
        <v>8775</v>
      </c>
      <c r="AL762" s="13" t="s">
        <v>2255</v>
      </c>
      <c r="AM762" s="14">
        <v>1</v>
      </c>
      <c r="AN762" s="15" t="s">
        <v>1650</v>
      </c>
    </row>
    <row r="763" spans="1:40" x14ac:dyDescent="0.3">
      <c r="A763" s="10" t="str">
        <f>HYPERLINK("http://www.washoecounty.gov/assessor/cama/?parid=010-241-13&amp;CardNumber=1","010-241-13")</f>
        <v>010-241-13</v>
      </c>
      <c r="B763" t="s">
        <v>4655</v>
      </c>
      <c r="C763" t="s">
        <v>8776</v>
      </c>
      <c r="D763" s="1">
        <v>40444</v>
      </c>
      <c r="E763" s="2">
        <v>225000</v>
      </c>
      <c r="F763" t="s">
        <v>4567</v>
      </c>
      <c r="G763" s="17" t="str">
        <f>HYPERLINK("https://www.washoecounty.gov/assessor/cama/?command=sales&amp;parid=01024113","3925541")</f>
        <v>3925541</v>
      </c>
      <c r="H763" t="s">
        <v>8772</v>
      </c>
      <c r="I763">
        <v>1956</v>
      </c>
      <c r="J763">
        <v>1956</v>
      </c>
      <c r="K763" t="s">
        <v>4554</v>
      </c>
      <c r="L763" t="s">
        <v>4555</v>
      </c>
      <c r="M763" s="2">
        <v>1134</v>
      </c>
      <c r="N763" t="s">
        <v>5280</v>
      </c>
      <c r="O763">
        <v>4</v>
      </c>
      <c r="P763">
        <v>3</v>
      </c>
      <c r="Q763">
        <v>0</v>
      </c>
      <c r="R763" t="s">
        <v>4557</v>
      </c>
      <c r="S763" t="s">
        <v>4682</v>
      </c>
      <c r="T763" t="s">
        <v>4559</v>
      </c>
      <c r="U763" t="s">
        <v>4560</v>
      </c>
      <c r="V763" s="2">
        <v>572</v>
      </c>
      <c r="W763" t="s">
        <v>4571</v>
      </c>
      <c r="X763" s="2">
        <v>1130</v>
      </c>
      <c r="Y763">
        <v>20</v>
      </c>
      <c r="Z763" t="s">
        <v>385</v>
      </c>
      <c r="AA763" s="3">
        <v>0.169995412230492</v>
      </c>
      <c r="AB763" t="s">
        <v>8777</v>
      </c>
      <c r="AC763" t="s">
        <v>4562</v>
      </c>
      <c r="AD763" t="s">
        <v>8776</v>
      </c>
      <c r="AE763" t="s">
        <v>4655</v>
      </c>
      <c r="AF763" t="s">
        <v>4563</v>
      </c>
      <c r="AG763" t="s">
        <v>4564</v>
      </c>
      <c r="AH763">
        <v>89509</v>
      </c>
      <c r="AI763" t="s">
        <v>8778</v>
      </c>
      <c r="AJ763" t="s">
        <v>4655</v>
      </c>
      <c r="AK763" t="s">
        <v>8779</v>
      </c>
      <c r="AL763" s="13" t="s">
        <v>2255</v>
      </c>
      <c r="AM763">
        <v>1</v>
      </c>
      <c r="AN763" s="15" t="s">
        <v>1650</v>
      </c>
    </row>
    <row r="764" spans="1:40" x14ac:dyDescent="0.3">
      <c r="A764" s="10" t="str">
        <f>HYPERLINK("http://www.washoecounty.gov/assessor/cama/?parid=010-252-02&amp;CardNumber=1","010-252-02")</f>
        <v>010-252-02</v>
      </c>
      <c r="B764" t="s">
        <v>4655</v>
      </c>
      <c r="C764" t="s">
        <v>8780</v>
      </c>
      <c r="D764" s="1">
        <v>40512</v>
      </c>
      <c r="E764" s="2">
        <v>144000</v>
      </c>
      <c r="F764" t="s">
        <v>4567</v>
      </c>
      <c r="G764" s="17" t="str">
        <f>HYPERLINK("https://www.washoecounty.gov/assessor/cama/?command=sales&amp;parid=01025202","3947644")</f>
        <v>3947644</v>
      </c>
      <c r="H764" t="s">
        <v>5597</v>
      </c>
      <c r="I764">
        <v>1956</v>
      </c>
      <c r="J764">
        <v>1956</v>
      </c>
      <c r="K764" t="s">
        <v>4554</v>
      </c>
      <c r="L764" t="s">
        <v>4555</v>
      </c>
      <c r="M764" s="2">
        <v>1252</v>
      </c>
      <c r="N764" t="s">
        <v>4048</v>
      </c>
      <c r="O764">
        <v>2</v>
      </c>
      <c r="P764">
        <v>2</v>
      </c>
      <c r="Q764">
        <v>0</v>
      </c>
      <c r="R764" t="s">
        <v>4557</v>
      </c>
      <c r="S764" t="s">
        <v>4898</v>
      </c>
      <c r="T764" t="s">
        <v>4559</v>
      </c>
      <c r="U764" t="s">
        <v>4560</v>
      </c>
      <c r="V764" s="2">
        <v>338</v>
      </c>
      <c r="W764" t="s">
        <v>4655</v>
      </c>
      <c r="X764" s="2">
        <v>0</v>
      </c>
      <c r="Y764">
        <v>20</v>
      </c>
      <c r="Z764" t="s">
        <v>4561</v>
      </c>
      <c r="AA764" s="3">
        <v>0.13999082148075101</v>
      </c>
      <c r="AB764" t="s">
        <v>8781</v>
      </c>
      <c r="AC764" t="s">
        <v>4562</v>
      </c>
      <c r="AD764" t="s">
        <v>8780</v>
      </c>
      <c r="AE764" t="s">
        <v>4655</v>
      </c>
      <c r="AF764" t="s">
        <v>4563</v>
      </c>
      <c r="AG764" t="s">
        <v>4564</v>
      </c>
      <c r="AH764">
        <v>89509</v>
      </c>
      <c r="AI764" t="s">
        <v>8782</v>
      </c>
      <c r="AJ764" t="s">
        <v>4655</v>
      </c>
      <c r="AK764" t="s">
        <v>8783</v>
      </c>
      <c r="AL764" s="13" t="s">
        <v>2257</v>
      </c>
      <c r="AM764" s="14">
        <v>1</v>
      </c>
      <c r="AN764" s="15" t="s">
        <v>5433</v>
      </c>
    </row>
    <row r="765" spans="1:40" x14ac:dyDescent="0.3">
      <c r="A765" s="10" t="str">
        <f>HYPERLINK("http://www.washoecounty.gov/assessor/cama/?parid=010-252-12&amp;CardNumber=1","010-252-12")</f>
        <v>010-252-12</v>
      </c>
      <c r="B765" t="s">
        <v>4655</v>
      </c>
      <c r="C765" t="s">
        <v>8784</v>
      </c>
      <c r="D765" s="1">
        <v>40511</v>
      </c>
      <c r="E765" s="2">
        <v>157800</v>
      </c>
      <c r="F765" t="s">
        <v>4567</v>
      </c>
      <c r="G765" s="17" t="str">
        <f>HYPERLINK("https://www.washoecounty.gov/assessor/cama/?command=sales&amp;parid=01025212","3947189")</f>
        <v>3947189</v>
      </c>
      <c r="H765" t="s">
        <v>5597</v>
      </c>
      <c r="I765">
        <v>1951</v>
      </c>
      <c r="J765">
        <v>1951</v>
      </c>
      <c r="K765" t="s">
        <v>4554</v>
      </c>
      <c r="L765" t="s">
        <v>4555</v>
      </c>
      <c r="M765" s="2">
        <v>1530</v>
      </c>
      <c r="N765" t="s">
        <v>5280</v>
      </c>
      <c r="O765">
        <v>3</v>
      </c>
      <c r="P765">
        <v>1</v>
      </c>
      <c r="Q765">
        <v>1</v>
      </c>
      <c r="R765" t="s">
        <v>4557</v>
      </c>
      <c r="S765" t="s">
        <v>4682</v>
      </c>
      <c r="T765" t="s">
        <v>4559</v>
      </c>
      <c r="U765" t="s">
        <v>4560</v>
      </c>
      <c r="V765" s="2">
        <v>520</v>
      </c>
      <c r="W765" t="s">
        <v>4655</v>
      </c>
      <c r="X765" s="2">
        <v>0</v>
      </c>
      <c r="Y765">
        <v>20</v>
      </c>
      <c r="Z765" t="s">
        <v>4144</v>
      </c>
      <c r="AA765" s="3">
        <v>0.30000001192092901</v>
      </c>
      <c r="AB765" t="s">
        <v>8785</v>
      </c>
      <c r="AC765" t="s">
        <v>4562</v>
      </c>
      <c r="AD765" t="s">
        <v>8786</v>
      </c>
      <c r="AE765" t="s">
        <v>4655</v>
      </c>
      <c r="AF765" t="s">
        <v>4563</v>
      </c>
      <c r="AG765" t="s">
        <v>4564</v>
      </c>
      <c r="AH765">
        <v>89509</v>
      </c>
      <c r="AI765" t="s">
        <v>8787</v>
      </c>
      <c r="AJ765" t="s">
        <v>4655</v>
      </c>
      <c r="AK765" t="s">
        <v>8788</v>
      </c>
      <c r="AL765" s="13" t="s">
        <v>2257</v>
      </c>
      <c r="AM765">
        <v>1</v>
      </c>
      <c r="AN765" s="15" t="s">
        <v>5433</v>
      </c>
    </row>
    <row r="766" spans="1:40" x14ac:dyDescent="0.3">
      <c r="A766" s="10" t="str">
        <f>HYPERLINK("http://www.washoecounty.gov/assessor/cama/?parid=010-262-17&amp;CardNumber=1","010-262-17")</f>
        <v>010-262-17</v>
      </c>
      <c r="B766" t="s">
        <v>4655</v>
      </c>
      <c r="C766" t="s">
        <v>8789</v>
      </c>
      <c r="D766" s="1">
        <v>40445</v>
      </c>
      <c r="E766" s="2">
        <v>189000</v>
      </c>
      <c r="F766" t="s">
        <v>4567</v>
      </c>
      <c r="G766" s="17" t="str">
        <f>HYPERLINK("https://www.washoecounty.gov/assessor/cama/?command=sales&amp;parid=01026217","3926126")</f>
        <v>3926126</v>
      </c>
      <c r="H766" t="s">
        <v>8790</v>
      </c>
      <c r="I766">
        <v>1968</v>
      </c>
      <c r="J766">
        <v>1968</v>
      </c>
      <c r="K766" t="s">
        <v>4554</v>
      </c>
      <c r="L766" t="s">
        <v>4555</v>
      </c>
      <c r="M766" s="2">
        <v>1596</v>
      </c>
      <c r="N766" t="s">
        <v>5280</v>
      </c>
      <c r="O766">
        <v>3</v>
      </c>
      <c r="P766">
        <v>2</v>
      </c>
      <c r="Q766">
        <v>0</v>
      </c>
      <c r="R766" t="s">
        <v>5205</v>
      </c>
      <c r="S766" t="s">
        <v>4135</v>
      </c>
      <c r="T766" t="s">
        <v>4559</v>
      </c>
      <c r="U766" t="s">
        <v>4560</v>
      </c>
      <c r="V766" s="2">
        <v>462</v>
      </c>
      <c r="W766" t="s">
        <v>4655</v>
      </c>
      <c r="X766" s="2">
        <v>0</v>
      </c>
      <c r="Y766">
        <v>20</v>
      </c>
      <c r="Z766" t="s">
        <v>4561</v>
      </c>
      <c r="AA766" s="3">
        <v>0.15000000596046401</v>
      </c>
      <c r="AB766" t="s">
        <v>8791</v>
      </c>
      <c r="AC766" t="s">
        <v>4562</v>
      </c>
      <c r="AD766" t="s">
        <v>8792</v>
      </c>
      <c r="AE766" t="s">
        <v>4655</v>
      </c>
      <c r="AF766" t="s">
        <v>4563</v>
      </c>
      <c r="AG766" t="s">
        <v>4564</v>
      </c>
      <c r="AH766">
        <v>89509</v>
      </c>
      <c r="AI766" t="s">
        <v>8793</v>
      </c>
      <c r="AJ766" t="s">
        <v>4655</v>
      </c>
      <c r="AK766" t="s">
        <v>8794</v>
      </c>
      <c r="AL766" s="13" t="s">
        <v>2257</v>
      </c>
      <c r="AM766">
        <v>1</v>
      </c>
      <c r="AN766" s="15" t="s">
        <v>5433</v>
      </c>
    </row>
    <row r="767" spans="1:40" x14ac:dyDescent="0.3">
      <c r="A767" s="10" t="str">
        <f>HYPERLINK("http://www.washoecounty.gov/assessor/cama/?parid=010-271-06&amp;CardNumber=1","010-271-06")</f>
        <v>010-271-06</v>
      </c>
      <c r="B767" t="s">
        <v>4655</v>
      </c>
      <c r="C767" t="s">
        <v>8795</v>
      </c>
      <c r="D767" s="1">
        <v>40519</v>
      </c>
      <c r="E767" s="2">
        <v>199000</v>
      </c>
      <c r="F767" t="s">
        <v>4567</v>
      </c>
      <c r="G767" s="17" t="str">
        <f>HYPERLINK("https://www.washoecounty.gov/assessor/cama/?command=sales&amp;parid=01027106","3949999")</f>
        <v>3949999</v>
      </c>
      <c r="H767" t="s">
        <v>8796</v>
      </c>
      <c r="I767">
        <v>1953</v>
      </c>
      <c r="J767">
        <v>1953</v>
      </c>
      <c r="K767" t="s">
        <v>4554</v>
      </c>
      <c r="L767" t="s">
        <v>4555</v>
      </c>
      <c r="M767" s="2">
        <v>1559</v>
      </c>
      <c r="N767" t="s">
        <v>3887</v>
      </c>
      <c r="O767">
        <v>3</v>
      </c>
      <c r="P767">
        <v>2</v>
      </c>
      <c r="Q767">
        <v>0</v>
      </c>
      <c r="R767" t="s">
        <v>4557</v>
      </c>
      <c r="S767" t="s">
        <v>4682</v>
      </c>
      <c r="T767" t="s">
        <v>4559</v>
      </c>
      <c r="U767" t="s">
        <v>4560</v>
      </c>
      <c r="V767" s="2">
        <v>616</v>
      </c>
      <c r="W767" t="s">
        <v>4655</v>
      </c>
      <c r="X767" s="2">
        <v>0</v>
      </c>
      <c r="Y767">
        <v>20</v>
      </c>
      <c r="Z767" t="s">
        <v>385</v>
      </c>
      <c r="AA767" s="3">
        <v>0.23000459372997301</v>
      </c>
      <c r="AB767" t="s">
        <v>8797</v>
      </c>
      <c r="AC767" t="s">
        <v>4562</v>
      </c>
      <c r="AD767" t="s">
        <v>8798</v>
      </c>
      <c r="AE767" t="s">
        <v>4655</v>
      </c>
      <c r="AF767" t="s">
        <v>4563</v>
      </c>
      <c r="AG767" t="s">
        <v>4564</v>
      </c>
      <c r="AH767">
        <v>89509</v>
      </c>
      <c r="AI767" t="s">
        <v>8799</v>
      </c>
      <c r="AJ767" t="s">
        <v>4655</v>
      </c>
      <c r="AK767" t="s">
        <v>8800</v>
      </c>
      <c r="AL767" s="13" t="s">
        <v>2257</v>
      </c>
      <c r="AM767">
        <v>1</v>
      </c>
      <c r="AN767" s="15" t="s">
        <v>1244</v>
      </c>
    </row>
    <row r="768" spans="1:40" x14ac:dyDescent="0.3">
      <c r="A768" s="10" t="str">
        <f>HYPERLINK("http://www.washoecounty.gov/assessor/cama/?parid=010-274-30&amp;CardNumber=1","010-274-30")</f>
        <v>010-274-30</v>
      </c>
      <c r="B768" t="s">
        <v>4655</v>
      </c>
      <c r="C768" t="s">
        <v>8801</v>
      </c>
      <c r="D768" s="1">
        <v>40408</v>
      </c>
      <c r="E768" s="2">
        <v>240000</v>
      </c>
      <c r="F768" t="s">
        <v>4567</v>
      </c>
      <c r="G768" s="17" t="str">
        <f>HYPERLINK("https://www.washoecounty.gov/assessor/cama/?command=sales&amp;parid=01027430","3913403")</f>
        <v>3913403</v>
      </c>
      <c r="H768" t="s">
        <v>1271</v>
      </c>
      <c r="I768">
        <v>1945</v>
      </c>
      <c r="J768">
        <v>1945</v>
      </c>
      <c r="K768" t="s">
        <v>4554</v>
      </c>
      <c r="L768" t="s">
        <v>4555</v>
      </c>
      <c r="M768" s="2">
        <v>985</v>
      </c>
      <c r="N768" t="s">
        <v>4556</v>
      </c>
      <c r="O768">
        <v>2</v>
      </c>
      <c r="P768">
        <v>1</v>
      </c>
      <c r="Q768">
        <v>0</v>
      </c>
      <c r="R768" t="s">
        <v>4557</v>
      </c>
      <c r="S768" t="s">
        <v>4682</v>
      </c>
      <c r="T768" t="s">
        <v>4559</v>
      </c>
      <c r="U768" t="s">
        <v>4655</v>
      </c>
      <c r="V768" s="2">
        <v>0</v>
      </c>
      <c r="W768" t="s">
        <v>4655</v>
      </c>
      <c r="X768" s="2">
        <v>0</v>
      </c>
      <c r="Y768">
        <v>20</v>
      </c>
      <c r="Z768" t="s">
        <v>4561</v>
      </c>
      <c r="AA768" s="3">
        <v>0.13999082148075101</v>
      </c>
      <c r="AB768" t="s">
        <v>8802</v>
      </c>
      <c r="AC768" t="s">
        <v>4562</v>
      </c>
      <c r="AD768" t="s">
        <v>8803</v>
      </c>
      <c r="AE768" t="s">
        <v>4655</v>
      </c>
      <c r="AF768" t="s">
        <v>2298</v>
      </c>
      <c r="AG768" t="s">
        <v>4584</v>
      </c>
      <c r="AH768" t="s">
        <v>8804</v>
      </c>
      <c r="AI768" t="s">
        <v>4655</v>
      </c>
      <c r="AJ768" t="s">
        <v>4655</v>
      </c>
      <c r="AK768" t="s">
        <v>8805</v>
      </c>
      <c r="AL768" s="13" t="s">
        <v>2255</v>
      </c>
      <c r="AM768" s="14">
        <v>1</v>
      </c>
      <c r="AN768" s="15" t="s">
        <v>1244</v>
      </c>
    </row>
    <row r="769" spans="1:40" x14ac:dyDescent="0.3">
      <c r="A769" s="10" t="str">
        <f>HYPERLINK("http://www.washoecounty.gov/assessor/cama/?parid=010-282-15&amp;CardNumber=1","010-282-15")</f>
        <v>010-282-15</v>
      </c>
      <c r="B769" t="s">
        <v>4655</v>
      </c>
      <c r="C769" t="s">
        <v>8806</v>
      </c>
      <c r="D769" s="1">
        <v>40326</v>
      </c>
      <c r="E769" s="2">
        <v>165000</v>
      </c>
      <c r="F769" t="s">
        <v>4567</v>
      </c>
      <c r="G769" s="17" t="str">
        <f>HYPERLINK("https://www.washoecounty.gov/assessor/cama/?command=sales&amp;parid=01028215","3886845")</f>
        <v>3886845</v>
      </c>
      <c r="H769" t="s">
        <v>3350</v>
      </c>
      <c r="I769">
        <v>1953</v>
      </c>
      <c r="J769">
        <v>1953</v>
      </c>
      <c r="K769" t="s">
        <v>4554</v>
      </c>
      <c r="L769" t="s">
        <v>4555</v>
      </c>
      <c r="M769" s="2">
        <v>900</v>
      </c>
      <c r="N769" t="s">
        <v>4048</v>
      </c>
      <c r="O769">
        <v>2</v>
      </c>
      <c r="P769">
        <v>1</v>
      </c>
      <c r="Q769">
        <v>0</v>
      </c>
      <c r="R769" t="s">
        <v>4557</v>
      </c>
      <c r="S769" t="s">
        <v>4135</v>
      </c>
      <c r="T769" t="s">
        <v>4559</v>
      </c>
      <c r="U769" t="s">
        <v>4560</v>
      </c>
      <c r="V769" s="2">
        <v>264</v>
      </c>
      <c r="W769" t="s">
        <v>4655</v>
      </c>
      <c r="X769" s="2">
        <v>0</v>
      </c>
      <c r="Y769">
        <v>20</v>
      </c>
      <c r="Z769" t="s">
        <v>4561</v>
      </c>
      <c r="AA769" s="3">
        <v>0.13999082148075101</v>
      </c>
      <c r="AB769" t="s">
        <v>8807</v>
      </c>
      <c r="AC769" t="s">
        <v>4562</v>
      </c>
      <c r="AD769" t="s">
        <v>8808</v>
      </c>
      <c r="AE769" t="s">
        <v>4655</v>
      </c>
      <c r="AF769" t="s">
        <v>4563</v>
      </c>
      <c r="AG769" t="s">
        <v>4564</v>
      </c>
      <c r="AH769">
        <v>89509</v>
      </c>
      <c r="AI769" t="s">
        <v>8809</v>
      </c>
      <c r="AJ769" t="s">
        <v>4655</v>
      </c>
      <c r="AK769" t="s">
        <v>8810</v>
      </c>
      <c r="AL769" s="13" t="s">
        <v>2257</v>
      </c>
      <c r="AM769">
        <v>1</v>
      </c>
      <c r="AN769" s="15" t="s">
        <v>5433</v>
      </c>
    </row>
    <row r="770" spans="1:40" x14ac:dyDescent="0.3">
      <c r="A770" s="10" t="str">
        <f>HYPERLINK("http://www.washoecounty.gov/assessor/cama/?parid=010-282-26&amp;CardNumber=1","010-282-26")</f>
        <v>010-282-26</v>
      </c>
      <c r="B770" t="s">
        <v>4655</v>
      </c>
      <c r="C770" t="s">
        <v>8811</v>
      </c>
      <c r="D770" s="1">
        <v>40268</v>
      </c>
      <c r="E770" s="2">
        <v>170000</v>
      </c>
      <c r="F770" t="s">
        <v>4553</v>
      </c>
      <c r="G770" s="17" t="str">
        <f>HYPERLINK("https://www.washoecounty.gov/assessor/cama/?command=sales&amp;parid=01028226","3866186")</f>
        <v>3866186</v>
      </c>
      <c r="H770" t="s">
        <v>8812</v>
      </c>
      <c r="I770">
        <v>1956</v>
      </c>
      <c r="J770">
        <v>1956</v>
      </c>
      <c r="K770" t="s">
        <v>4554</v>
      </c>
      <c r="L770" t="s">
        <v>4555</v>
      </c>
      <c r="M770" s="2">
        <v>1074</v>
      </c>
      <c r="N770" t="s">
        <v>4048</v>
      </c>
      <c r="O770">
        <v>3</v>
      </c>
      <c r="P770">
        <v>1</v>
      </c>
      <c r="Q770">
        <v>0</v>
      </c>
      <c r="R770" t="s">
        <v>4557</v>
      </c>
      <c r="S770" t="s">
        <v>4574</v>
      </c>
      <c r="T770" t="s">
        <v>4559</v>
      </c>
      <c r="U770" t="s">
        <v>4560</v>
      </c>
      <c r="V770" s="2">
        <v>280</v>
      </c>
      <c r="W770" t="s">
        <v>4655</v>
      </c>
      <c r="X770" s="2">
        <v>0</v>
      </c>
      <c r="Y770">
        <v>20</v>
      </c>
      <c r="Z770" t="s">
        <v>4561</v>
      </c>
      <c r="AA770" s="3">
        <v>0.33000460267067</v>
      </c>
      <c r="AB770" t="s">
        <v>8813</v>
      </c>
      <c r="AC770" t="s">
        <v>4562</v>
      </c>
      <c r="AD770" t="s">
        <v>8814</v>
      </c>
      <c r="AE770" t="s">
        <v>4655</v>
      </c>
      <c r="AF770" t="s">
        <v>8815</v>
      </c>
      <c r="AG770" t="s">
        <v>4584</v>
      </c>
      <c r="AH770" t="s">
        <v>8816</v>
      </c>
      <c r="AI770" t="s">
        <v>4903</v>
      </c>
      <c r="AJ770" t="s">
        <v>4655</v>
      </c>
      <c r="AK770" t="s">
        <v>8817</v>
      </c>
      <c r="AL770" s="13" t="s">
        <v>2257</v>
      </c>
      <c r="AM770">
        <v>1</v>
      </c>
      <c r="AN770" s="15" t="s">
        <v>5433</v>
      </c>
    </row>
    <row r="771" spans="1:40" x14ac:dyDescent="0.3">
      <c r="A771" s="10" t="str">
        <f>HYPERLINK("http://www.washoecounty.gov/assessor/cama/?parid=010-302-17&amp;CardNumber=1","010-302-17")</f>
        <v>010-302-17</v>
      </c>
      <c r="B771" t="s">
        <v>4655</v>
      </c>
      <c r="C771" t="s">
        <v>8818</v>
      </c>
      <c r="D771" s="1">
        <v>40422</v>
      </c>
      <c r="E771" s="2">
        <v>229000</v>
      </c>
      <c r="F771" t="s">
        <v>4567</v>
      </c>
      <c r="G771" s="17" t="str">
        <f>HYPERLINK("https://www.washoecounty.gov/assessor/cama/?command=sales&amp;parid=01030217","3917715")</f>
        <v>3917715</v>
      </c>
      <c r="H771" t="s">
        <v>8819</v>
      </c>
      <c r="I771">
        <v>1959</v>
      </c>
      <c r="J771">
        <v>1959</v>
      </c>
      <c r="K771" t="s">
        <v>4554</v>
      </c>
      <c r="L771" t="s">
        <v>4555</v>
      </c>
      <c r="M771" s="2">
        <v>1755</v>
      </c>
      <c r="N771" t="s">
        <v>5280</v>
      </c>
      <c r="O771">
        <v>3</v>
      </c>
      <c r="P771">
        <v>2</v>
      </c>
      <c r="Q771">
        <v>0</v>
      </c>
      <c r="R771" t="s">
        <v>5281</v>
      </c>
      <c r="S771" t="s">
        <v>4682</v>
      </c>
      <c r="T771" t="s">
        <v>4143</v>
      </c>
      <c r="U771" t="s">
        <v>4560</v>
      </c>
      <c r="V771" s="2">
        <v>594</v>
      </c>
      <c r="W771" t="s">
        <v>4655</v>
      </c>
      <c r="X771" s="2">
        <v>0</v>
      </c>
      <c r="Y771">
        <v>20</v>
      </c>
      <c r="Z771" t="s">
        <v>385</v>
      </c>
      <c r="AA771" s="3">
        <v>0.27199265360832198</v>
      </c>
      <c r="AB771" t="s">
        <v>8820</v>
      </c>
      <c r="AC771" t="s">
        <v>4562</v>
      </c>
      <c r="AD771" t="s">
        <v>8818</v>
      </c>
      <c r="AE771" t="s">
        <v>4655</v>
      </c>
      <c r="AF771" t="s">
        <v>4563</v>
      </c>
      <c r="AG771" t="s">
        <v>4564</v>
      </c>
      <c r="AH771">
        <v>89509</v>
      </c>
      <c r="AI771" t="s">
        <v>4655</v>
      </c>
      <c r="AJ771" t="s">
        <v>8821</v>
      </c>
      <c r="AK771" t="s">
        <v>8822</v>
      </c>
      <c r="AL771" s="13" t="s">
        <v>2255</v>
      </c>
      <c r="AM771">
        <v>1</v>
      </c>
      <c r="AN771" s="15" t="s">
        <v>1159</v>
      </c>
    </row>
    <row r="772" spans="1:40" x14ac:dyDescent="0.3">
      <c r="A772" s="10" t="str">
        <f>HYPERLINK("http://www.washoecounty.gov/assessor/cama/?parid=010-322-39&amp;CardNumber=1","010-322-39")</f>
        <v>010-322-39</v>
      </c>
      <c r="B772" t="s">
        <v>4655</v>
      </c>
      <c r="C772" t="s">
        <v>8823</v>
      </c>
      <c r="D772" s="1">
        <v>40479</v>
      </c>
      <c r="E772" s="2">
        <v>247400</v>
      </c>
      <c r="F772" t="s">
        <v>4567</v>
      </c>
      <c r="G772" s="17" t="str">
        <f>HYPERLINK("https://www.washoecounty.gov/assessor/cama/?command=sales&amp;parid=01032239","3937778")</f>
        <v>3937778</v>
      </c>
      <c r="H772" t="s">
        <v>8824</v>
      </c>
      <c r="I772">
        <v>1986</v>
      </c>
      <c r="J772">
        <v>1986</v>
      </c>
      <c r="K772" t="s">
        <v>4554</v>
      </c>
      <c r="L772" t="s">
        <v>4555</v>
      </c>
      <c r="M772" s="2">
        <v>1600</v>
      </c>
      <c r="N772" t="s">
        <v>5280</v>
      </c>
      <c r="O772">
        <v>3</v>
      </c>
      <c r="P772">
        <v>2</v>
      </c>
      <c r="Q772">
        <v>0</v>
      </c>
      <c r="R772" t="s">
        <v>5281</v>
      </c>
      <c r="S772" t="s">
        <v>3148</v>
      </c>
      <c r="T772" t="s">
        <v>4559</v>
      </c>
      <c r="U772" t="s">
        <v>4560</v>
      </c>
      <c r="V772" s="2">
        <v>480</v>
      </c>
      <c r="W772" t="s">
        <v>4655</v>
      </c>
      <c r="X772" s="2">
        <v>0</v>
      </c>
      <c r="Y772">
        <v>20</v>
      </c>
      <c r="Z772" t="s">
        <v>385</v>
      </c>
      <c r="AA772" s="3">
        <v>0.25199723243713379</v>
      </c>
      <c r="AB772" t="s">
        <v>8825</v>
      </c>
      <c r="AC772" t="s">
        <v>4562</v>
      </c>
      <c r="AD772" t="s">
        <v>8823</v>
      </c>
      <c r="AE772" t="s">
        <v>4655</v>
      </c>
      <c r="AF772" t="s">
        <v>4563</v>
      </c>
      <c r="AG772" t="s">
        <v>4564</v>
      </c>
      <c r="AH772">
        <v>89509</v>
      </c>
      <c r="AI772" t="s">
        <v>48</v>
      </c>
      <c r="AJ772" t="s">
        <v>4655</v>
      </c>
      <c r="AK772" t="s">
        <v>8826</v>
      </c>
      <c r="AL772" s="13" t="s">
        <v>2255</v>
      </c>
      <c r="AM772" s="14">
        <v>1</v>
      </c>
      <c r="AN772" s="15" t="s">
        <v>5433</v>
      </c>
    </row>
    <row r="773" spans="1:40" x14ac:dyDescent="0.3">
      <c r="A773" s="10" t="str">
        <f>HYPERLINK("http://www.washoecounty.gov/assessor/cama/?parid=010-323-01&amp;CardNumber=1","010-323-01")</f>
        <v>010-323-01</v>
      </c>
      <c r="B773" t="s">
        <v>4655</v>
      </c>
      <c r="C773" t="s">
        <v>8827</v>
      </c>
      <c r="D773" s="1">
        <v>40387</v>
      </c>
      <c r="E773" s="2">
        <v>315000</v>
      </c>
      <c r="F773" t="s">
        <v>4567</v>
      </c>
      <c r="G773" s="17" t="str">
        <f>HYPERLINK("https://www.washoecounty.gov/assessor/cama/?command=sales&amp;parid=01032301","3905690")</f>
        <v>3905690</v>
      </c>
      <c r="H773" t="s">
        <v>3694</v>
      </c>
      <c r="I773">
        <v>1954</v>
      </c>
      <c r="J773">
        <v>1954</v>
      </c>
      <c r="K773" t="s">
        <v>4554</v>
      </c>
      <c r="L773" t="s">
        <v>4555</v>
      </c>
      <c r="M773" s="2">
        <v>1777</v>
      </c>
      <c r="N773" t="s">
        <v>1245</v>
      </c>
      <c r="O773">
        <v>3</v>
      </c>
      <c r="P773">
        <v>2</v>
      </c>
      <c r="Q773">
        <v>1</v>
      </c>
      <c r="R773" t="s">
        <v>5281</v>
      </c>
      <c r="S773" t="s">
        <v>4682</v>
      </c>
      <c r="T773" t="s">
        <v>4559</v>
      </c>
      <c r="U773" t="s">
        <v>4560</v>
      </c>
      <c r="V773" s="2">
        <v>711</v>
      </c>
      <c r="W773" t="s">
        <v>3149</v>
      </c>
      <c r="X773" s="2">
        <v>600</v>
      </c>
      <c r="Y773">
        <v>20</v>
      </c>
      <c r="Z773" t="s">
        <v>385</v>
      </c>
      <c r="AA773" s="3">
        <v>0.33000460267067</v>
      </c>
      <c r="AB773" t="s">
        <v>8828</v>
      </c>
      <c r="AC773" t="s">
        <v>4562</v>
      </c>
      <c r="AD773" t="s">
        <v>8827</v>
      </c>
      <c r="AE773" t="s">
        <v>4655</v>
      </c>
      <c r="AF773" t="s">
        <v>4563</v>
      </c>
      <c r="AG773" t="s">
        <v>4564</v>
      </c>
      <c r="AH773">
        <v>89509</v>
      </c>
      <c r="AI773" t="s">
        <v>8829</v>
      </c>
      <c r="AJ773" t="s">
        <v>4655</v>
      </c>
      <c r="AK773" t="s">
        <v>8830</v>
      </c>
      <c r="AL773" s="13" t="s">
        <v>2257</v>
      </c>
      <c r="AM773" s="14">
        <v>1</v>
      </c>
      <c r="AN773" s="15" t="s">
        <v>1244</v>
      </c>
    </row>
    <row r="774" spans="1:40" x14ac:dyDescent="0.3">
      <c r="A774" s="10" t="str">
        <f>HYPERLINK("http://www.washoecounty.gov/assessor/cama/?parid=010-335-10&amp;CardNumber=1","010-335-10")</f>
        <v>010-335-10</v>
      </c>
      <c r="B774" t="s">
        <v>4655</v>
      </c>
      <c r="C774" t="s">
        <v>8831</v>
      </c>
      <c r="D774" s="1">
        <v>40200</v>
      </c>
      <c r="E774" s="2">
        <v>590000</v>
      </c>
      <c r="F774" t="s">
        <v>3584</v>
      </c>
      <c r="G774" s="17" t="str">
        <f>HYPERLINK("https://www.washoecounty.gov/assessor/cama/?command=sales&amp;parid=01033510","3841930")</f>
        <v>3841930</v>
      </c>
      <c r="H774" t="s">
        <v>8832</v>
      </c>
      <c r="I774">
        <v>1981</v>
      </c>
      <c r="J774">
        <v>1981</v>
      </c>
      <c r="K774" t="s">
        <v>1243</v>
      </c>
      <c r="L774" t="s">
        <v>4655</v>
      </c>
      <c r="M774" s="2">
        <v>0</v>
      </c>
      <c r="N774" t="s">
        <v>4655</v>
      </c>
      <c r="O774">
        <v>0</v>
      </c>
      <c r="P774">
        <v>0</v>
      </c>
      <c r="Q774">
        <v>0</v>
      </c>
      <c r="R774" t="s">
        <v>4655</v>
      </c>
      <c r="S774" t="s">
        <v>4655</v>
      </c>
      <c r="T774" t="s">
        <v>4655</v>
      </c>
      <c r="U774" t="s">
        <v>4655</v>
      </c>
      <c r="V774" s="2">
        <v>0</v>
      </c>
      <c r="W774" t="s">
        <v>4655</v>
      </c>
      <c r="X774" s="2">
        <v>0</v>
      </c>
      <c r="Y774">
        <v>18</v>
      </c>
      <c r="Z774" t="s">
        <v>385</v>
      </c>
      <c r="AA774" s="3">
        <v>0.21000918745994601</v>
      </c>
      <c r="AB774" t="s">
        <v>8833</v>
      </c>
      <c r="AC774" t="s">
        <v>4575</v>
      </c>
      <c r="AD774" t="s">
        <v>8834</v>
      </c>
      <c r="AE774" t="s">
        <v>8835</v>
      </c>
      <c r="AF774" t="s">
        <v>4563</v>
      </c>
      <c r="AG774" t="s">
        <v>4564</v>
      </c>
      <c r="AH774">
        <v>89510</v>
      </c>
      <c r="AI774" t="s">
        <v>8836</v>
      </c>
      <c r="AJ774" t="s">
        <v>4655</v>
      </c>
      <c r="AK774" t="s">
        <v>8832</v>
      </c>
      <c r="AL774" s="13" t="s">
        <v>2257</v>
      </c>
      <c r="AM774" s="14">
        <v>1</v>
      </c>
      <c r="AN774" s="15" t="s">
        <v>1244</v>
      </c>
    </row>
    <row r="775" spans="1:40" x14ac:dyDescent="0.3">
      <c r="A775" s="10" t="str">
        <f>HYPERLINK("http://www.washoecounty.gov/assessor/cama/?parid=010-335-11&amp;CardNumber=1","010-335-11")</f>
        <v>010-335-11</v>
      </c>
      <c r="B775" t="s">
        <v>4655</v>
      </c>
      <c r="C775" t="s">
        <v>8837</v>
      </c>
      <c r="D775" s="1">
        <v>40200</v>
      </c>
      <c r="E775" s="2">
        <v>590000</v>
      </c>
      <c r="F775" t="s">
        <v>3584</v>
      </c>
      <c r="G775" s="17" t="str">
        <f>HYPERLINK("https://www.washoecounty.gov/assessor/cama/?command=sales&amp;parid=01033511","3841930")</f>
        <v>3841930</v>
      </c>
      <c r="H775" t="s">
        <v>8832</v>
      </c>
      <c r="I775">
        <v>1981</v>
      </c>
      <c r="J775">
        <v>1981</v>
      </c>
      <c r="K775" t="s">
        <v>4554</v>
      </c>
      <c r="L775" t="s">
        <v>4555</v>
      </c>
      <c r="M775" s="2">
        <v>3224</v>
      </c>
      <c r="N775" t="s">
        <v>1245</v>
      </c>
      <c r="O775">
        <v>3</v>
      </c>
      <c r="P775">
        <v>3</v>
      </c>
      <c r="Q775">
        <v>0</v>
      </c>
      <c r="R775" t="s">
        <v>4557</v>
      </c>
      <c r="S775" t="s">
        <v>4135</v>
      </c>
      <c r="T775" t="s">
        <v>2704</v>
      </c>
      <c r="U775" t="s">
        <v>4560</v>
      </c>
      <c r="V775" s="2">
        <v>935</v>
      </c>
      <c r="W775" t="s">
        <v>4655</v>
      </c>
      <c r="X775" s="2">
        <v>0</v>
      </c>
      <c r="Y775">
        <v>20</v>
      </c>
      <c r="Z775" t="s">
        <v>385</v>
      </c>
      <c r="AA775" s="3">
        <v>0.21000918745994601</v>
      </c>
      <c r="AB775" t="s">
        <v>8833</v>
      </c>
      <c r="AC775" t="s">
        <v>4575</v>
      </c>
      <c r="AD775" t="s">
        <v>8834</v>
      </c>
      <c r="AE775" t="s">
        <v>8835</v>
      </c>
      <c r="AF775" t="s">
        <v>4563</v>
      </c>
      <c r="AG775" t="s">
        <v>4564</v>
      </c>
      <c r="AH775">
        <v>89510</v>
      </c>
      <c r="AI775" t="s">
        <v>8836</v>
      </c>
      <c r="AJ775" t="s">
        <v>4655</v>
      </c>
      <c r="AK775" t="s">
        <v>8832</v>
      </c>
      <c r="AL775" s="13" t="s">
        <v>2257</v>
      </c>
      <c r="AM775" s="14">
        <v>1</v>
      </c>
      <c r="AN775" s="15" t="s">
        <v>1244</v>
      </c>
    </row>
    <row r="776" spans="1:40" x14ac:dyDescent="0.3">
      <c r="A776" s="10" t="str">
        <f>HYPERLINK("http://www.washoecounty.gov/assessor/cama/?parid=010-341-09&amp;CardNumber=1","010-341-09")</f>
        <v>010-341-09</v>
      </c>
      <c r="B776" t="s">
        <v>4655</v>
      </c>
      <c r="C776" t="s">
        <v>154</v>
      </c>
      <c r="D776" s="1">
        <v>40430</v>
      </c>
      <c r="E776" s="2">
        <v>450000</v>
      </c>
      <c r="F776" t="s">
        <v>4567</v>
      </c>
      <c r="G776" s="17" t="str">
        <f>HYPERLINK("https://www.washoecounty.gov/assessor/cama/?command=sales&amp;parid=01034109","3920244")</f>
        <v>3920244</v>
      </c>
      <c r="H776" t="s">
        <v>155</v>
      </c>
      <c r="I776">
        <v>1964</v>
      </c>
      <c r="J776">
        <v>1964</v>
      </c>
      <c r="K776" t="s">
        <v>4554</v>
      </c>
      <c r="L776" t="s">
        <v>4555</v>
      </c>
      <c r="M776" s="2">
        <v>2627</v>
      </c>
      <c r="N776" t="s">
        <v>3147</v>
      </c>
      <c r="O776">
        <v>4</v>
      </c>
      <c r="P776">
        <v>2</v>
      </c>
      <c r="Q776">
        <v>1</v>
      </c>
      <c r="R776" t="s">
        <v>5281</v>
      </c>
      <c r="S776" t="s">
        <v>4135</v>
      </c>
      <c r="T776" t="s">
        <v>4559</v>
      </c>
      <c r="U776" t="s">
        <v>5631</v>
      </c>
      <c r="V776" s="2">
        <v>600</v>
      </c>
      <c r="W776" t="s">
        <v>4571</v>
      </c>
      <c r="X776" s="2">
        <v>1354</v>
      </c>
      <c r="Y776">
        <v>20</v>
      </c>
      <c r="Z776" t="s">
        <v>5282</v>
      </c>
      <c r="AA776" s="3">
        <v>0.34898990392684898</v>
      </c>
      <c r="AB776" t="s">
        <v>3997</v>
      </c>
      <c r="AC776" t="s">
        <v>4562</v>
      </c>
      <c r="AD776" t="s">
        <v>8838</v>
      </c>
      <c r="AE776" t="s">
        <v>4655</v>
      </c>
      <c r="AF776" t="s">
        <v>4563</v>
      </c>
      <c r="AG776" t="s">
        <v>4564</v>
      </c>
      <c r="AH776">
        <v>89509</v>
      </c>
      <c r="AI776" t="s">
        <v>8839</v>
      </c>
      <c r="AJ776" t="s">
        <v>4655</v>
      </c>
      <c r="AK776" t="s">
        <v>882</v>
      </c>
      <c r="AL776" s="13" t="s">
        <v>2255</v>
      </c>
      <c r="AM776" s="14">
        <v>1</v>
      </c>
      <c r="AN776" s="15" t="s">
        <v>1159</v>
      </c>
    </row>
    <row r="777" spans="1:40" x14ac:dyDescent="0.3">
      <c r="A777" s="10" t="str">
        <f>HYPERLINK("http://www.washoecounty.gov/assessor/cama/?parid=010-361-25&amp;CardNumber=1","010-361-25")</f>
        <v>010-361-25</v>
      </c>
      <c r="B777" t="s">
        <v>4655</v>
      </c>
      <c r="C777" t="s">
        <v>8840</v>
      </c>
      <c r="D777" s="1">
        <v>40263</v>
      </c>
      <c r="E777" s="2">
        <v>270000</v>
      </c>
      <c r="F777" t="s">
        <v>4567</v>
      </c>
      <c r="G777" s="17" t="str">
        <f>HYPERLINK("https://www.washoecounty.gov/assessor/cama/?command=sales&amp;parid=01036125","3864595")</f>
        <v>3864595</v>
      </c>
      <c r="H777" t="s">
        <v>4736</v>
      </c>
      <c r="I777">
        <v>1961</v>
      </c>
      <c r="J777">
        <v>1961</v>
      </c>
      <c r="K777" t="s">
        <v>4554</v>
      </c>
      <c r="L777" t="s">
        <v>4555</v>
      </c>
      <c r="M777" s="2">
        <v>1840</v>
      </c>
      <c r="N777" t="s">
        <v>5280</v>
      </c>
      <c r="O777">
        <v>3</v>
      </c>
      <c r="P777">
        <v>2</v>
      </c>
      <c r="Q777">
        <v>0</v>
      </c>
      <c r="R777" t="s">
        <v>4557</v>
      </c>
      <c r="S777" t="s">
        <v>4682</v>
      </c>
      <c r="T777" t="s">
        <v>4559</v>
      </c>
      <c r="U777" t="s">
        <v>4560</v>
      </c>
      <c r="V777" s="2">
        <v>480</v>
      </c>
      <c r="W777" t="s">
        <v>4655</v>
      </c>
      <c r="X777" s="2">
        <v>0</v>
      </c>
      <c r="Y777">
        <v>20</v>
      </c>
      <c r="Z777" t="s">
        <v>5282</v>
      </c>
      <c r="AA777" s="3">
        <v>0.18799357116222401</v>
      </c>
      <c r="AB777" t="s">
        <v>198</v>
      </c>
      <c r="AC777" t="s">
        <v>4575</v>
      </c>
      <c r="AD777" t="s">
        <v>8840</v>
      </c>
      <c r="AE777" t="s">
        <v>4655</v>
      </c>
      <c r="AF777" t="s">
        <v>4563</v>
      </c>
      <c r="AG777" t="s">
        <v>4564</v>
      </c>
      <c r="AH777">
        <v>89509</v>
      </c>
      <c r="AI777" t="s">
        <v>8841</v>
      </c>
      <c r="AJ777" t="s">
        <v>4655</v>
      </c>
      <c r="AK777" t="s">
        <v>5432</v>
      </c>
      <c r="AL777" s="13" t="s">
        <v>2257</v>
      </c>
      <c r="AM777" s="14">
        <v>1</v>
      </c>
      <c r="AN777" s="15" t="s">
        <v>5433</v>
      </c>
    </row>
    <row r="778" spans="1:40" x14ac:dyDescent="0.3">
      <c r="A778" s="10" t="str">
        <f>HYPERLINK("http://www.washoecounty.gov/assessor/cama/?parid=010-404-04&amp;CardNumber=1","010-404-04")</f>
        <v>010-404-04</v>
      </c>
      <c r="B778" t="s">
        <v>4655</v>
      </c>
      <c r="C778" t="s">
        <v>8842</v>
      </c>
      <c r="D778" s="1">
        <v>40368</v>
      </c>
      <c r="E778" s="2">
        <v>225000</v>
      </c>
      <c r="F778" t="s">
        <v>4567</v>
      </c>
      <c r="G778" s="17" t="str">
        <f>HYPERLINK("https://www.washoecounty.gov/assessor/cama/?command=sales&amp;parid=01040404","3899796")</f>
        <v>3899796</v>
      </c>
      <c r="H778" t="s">
        <v>3831</v>
      </c>
      <c r="I778">
        <v>1954</v>
      </c>
      <c r="J778">
        <v>1954</v>
      </c>
      <c r="K778" t="s">
        <v>4554</v>
      </c>
      <c r="L778" t="s">
        <v>3974</v>
      </c>
      <c r="M778" s="2">
        <v>1874</v>
      </c>
      <c r="N778" t="s">
        <v>4048</v>
      </c>
      <c r="O778">
        <v>3</v>
      </c>
      <c r="P778">
        <v>1</v>
      </c>
      <c r="Q778">
        <v>1</v>
      </c>
      <c r="R778" t="s">
        <v>4134</v>
      </c>
      <c r="S778" t="s">
        <v>4558</v>
      </c>
      <c r="T778" t="s">
        <v>4559</v>
      </c>
      <c r="U778" t="s">
        <v>5631</v>
      </c>
      <c r="V778" s="2">
        <v>308</v>
      </c>
      <c r="W778" t="s">
        <v>4655</v>
      </c>
      <c r="X778" s="2">
        <v>0</v>
      </c>
      <c r="Y778">
        <v>20</v>
      </c>
      <c r="Z778" t="s">
        <v>385</v>
      </c>
      <c r="AA778" s="3">
        <v>0.13799357414245605</v>
      </c>
      <c r="AB778" t="s">
        <v>8843</v>
      </c>
      <c r="AC778" t="s">
        <v>4562</v>
      </c>
      <c r="AD778" t="s">
        <v>8842</v>
      </c>
      <c r="AE778" t="s">
        <v>4655</v>
      </c>
      <c r="AF778" t="s">
        <v>4563</v>
      </c>
      <c r="AG778" t="s">
        <v>4564</v>
      </c>
      <c r="AH778">
        <v>89509</v>
      </c>
      <c r="AI778" t="s">
        <v>8844</v>
      </c>
      <c r="AJ778" t="s">
        <v>4655</v>
      </c>
      <c r="AK778" t="s">
        <v>8845</v>
      </c>
      <c r="AL778" s="13" t="s">
        <v>2257</v>
      </c>
      <c r="AM778">
        <v>1</v>
      </c>
      <c r="AN778" s="15" t="s">
        <v>1650</v>
      </c>
    </row>
    <row r="779" spans="1:40" x14ac:dyDescent="0.3">
      <c r="A779" s="10" t="str">
        <f>HYPERLINK("http://www.washoecounty.gov/assessor/cama/?parid=010-404-07&amp;CardNumber=1","010-404-07")</f>
        <v>010-404-07</v>
      </c>
      <c r="B779" t="s">
        <v>4655</v>
      </c>
      <c r="C779" t="s">
        <v>8846</v>
      </c>
      <c r="D779" s="1">
        <v>40485</v>
      </c>
      <c r="E779" s="2">
        <v>131000</v>
      </c>
      <c r="F779" t="s">
        <v>3584</v>
      </c>
      <c r="G779" s="17" t="str">
        <f>HYPERLINK("https://www.washoecounty.gov/assessor/cama/?command=sales&amp;parid=01040407","3939208")</f>
        <v>3939208</v>
      </c>
      <c r="H779" t="s">
        <v>4655</v>
      </c>
      <c r="I779">
        <v>1951</v>
      </c>
      <c r="J779">
        <v>1959</v>
      </c>
      <c r="K779" t="s">
        <v>4554</v>
      </c>
      <c r="L779" t="s">
        <v>4555</v>
      </c>
      <c r="M779" s="2">
        <v>1087</v>
      </c>
      <c r="N779" t="s">
        <v>4556</v>
      </c>
      <c r="O779">
        <v>3</v>
      </c>
      <c r="P779">
        <v>1</v>
      </c>
      <c r="Q779">
        <v>0</v>
      </c>
      <c r="R779" t="s">
        <v>1800</v>
      </c>
      <c r="S779" t="s">
        <v>4574</v>
      </c>
      <c r="T779" t="s">
        <v>4559</v>
      </c>
      <c r="U779" t="s">
        <v>4655</v>
      </c>
      <c r="V779" s="2">
        <v>0</v>
      </c>
      <c r="W779" t="s">
        <v>4655</v>
      </c>
      <c r="X779" s="2">
        <v>0</v>
      </c>
      <c r="Y779">
        <v>20</v>
      </c>
      <c r="Z779" t="s">
        <v>385</v>
      </c>
      <c r="AA779" s="3">
        <v>0.14898990094661699</v>
      </c>
      <c r="AB779" t="s">
        <v>8847</v>
      </c>
      <c r="AC779" t="s">
        <v>4562</v>
      </c>
      <c r="AD779" t="s">
        <v>8848</v>
      </c>
      <c r="AE779" t="s">
        <v>4655</v>
      </c>
      <c r="AF779" t="s">
        <v>3983</v>
      </c>
      <c r="AG779" t="s">
        <v>4584</v>
      </c>
      <c r="AH779" t="s">
        <v>3984</v>
      </c>
      <c r="AI779" t="s">
        <v>8849</v>
      </c>
      <c r="AJ779" t="s">
        <v>4655</v>
      </c>
      <c r="AK779" t="s">
        <v>5638</v>
      </c>
      <c r="AL779" s="13" t="s">
        <v>2257</v>
      </c>
      <c r="AM779">
        <v>1</v>
      </c>
      <c r="AN779" s="15" t="s">
        <v>1650</v>
      </c>
    </row>
    <row r="780" spans="1:40" x14ac:dyDescent="0.3">
      <c r="A780" s="10" t="str">
        <f>HYPERLINK("http://www.washoecounty.gov/assessor/cama/?parid=010-404-09&amp;CardNumber=1","010-404-09")</f>
        <v>010-404-09</v>
      </c>
      <c r="B780" t="s">
        <v>4655</v>
      </c>
      <c r="C780" t="s">
        <v>8850</v>
      </c>
      <c r="D780" s="1">
        <v>40485</v>
      </c>
      <c r="E780" s="2">
        <v>131000</v>
      </c>
      <c r="F780" t="s">
        <v>3584</v>
      </c>
      <c r="G780" s="17" t="str">
        <f>HYPERLINK("https://www.washoecounty.gov/assessor/cama/?command=sales&amp;parid=01040409","3939208")</f>
        <v>3939208</v>
      </c>
      <c r="H780" t="s">
        <v>4655</v>
      </c>
      <c r="I780">
        <v>1950</v>
      </c>
      <c r="J780">
        <v>1960</v>
      </c>
      <c r="K780" t="s">
        <v>4554</v>
      </c>
      <c r="L780" t="s">
        <v>4555</v>
      </c>
      <c r="M780" s="2">
        <v>1364</v>
      </c>
      <c r="N780" t="s">
        <v>4556</v>
      </c>
      <c r="O780">
        <v>2</v>
      </c>
      <c r="P780">
        <v>1</v>
      </c>
      <c r="Q780">
        <v>0</v>
      </c>
      <c r="R780" t="s">
        <v>4557</v>
      </c>
      <c r="S780" t="s">
        <v>4898</v>
      </c>
      <c r="T780" t="s">
        <v>4559</v>
      </c>
      <c r="U780" t="s">
        <v>4655</v>
      </c>
      <c r="V780" s="2">
        <v>0</v>
      </c>
      <c r="W780" t="s">
        <v>4655</v>
      </c>
      <c r="X780" s="2">
        <v>0</v>
      </c>
      <c r="Y780">
        <v>20</v>
      </c>
      <c r="Z780" t="s">
        <v>385</v>
      </c>
      <c r="AA780" s="3">
        <v>0.15199723839759827</v>
      </c>
      <c r="AB780" t="s">
        <v>8847</v>
      </c>
      <c r="AC780" t="s">
        <v>4562</v>
      </c>
      <c r="AD780" t="s">
        <v>8848</v>
      </c>
      <c r="AE780" t="s">
        <v>4655</v>
      </c>
      <c r="AF780" t="s">
        <v>3983</v>
      </c>
      <c r="AG780" t="s">
        <v>4584</v>
      </c>
      <c r="AH780" t="s">
        <v>3984</v>
      </c>
      <c r="AI780" t="s">
        <v>8849</v>
      </c>
      <c r="AJ780" t="s">
        <v>4655</v>
      </c>
      <c r="AK780" t="s">
        <v>5638</v>
      </c>
      <c r="AL780" s="13" t="s">
        <v>2257</v>
      </c>
      <c r="AM780">
        <v>1</v>
      </c>
      <c r="AN780" s="15" t="s">
        <v>1650</v>
      </c>
    </row>
    <row r="781" spans="1:40" x14ac:dyDescent="0.3">
      <c r="A781" s="10" t="str">
        <f>HYPERLINK("http://www.washoecounty.gov/assessor/cama/?parid=010-412-10&amp;CardNumber=1","010-412-10")</f>
        <v>010-412-10</v>
      </c>
      <c r="B781" t="s">
        <v>4655</v>
      </c>
      <c r="C781" t="s">
        <v>8851</v>
      </c>
      <c r="D781" s="1">
        <v>40294</v>
      </c>
      <c r="E781" s="2">
        <v>211000</v>
      </c>
      <c r="F781" t="s">
        <v>4553</v>
      </c>
      <c r="G781" s="17" t="str">
        <f>HYPERLINK("https://www.washoecounty.gov/assessor/cama/?command=sales&amp;parid=01041210","3874624")</f>
        <v>3874624</v>
      </c>
      <c r="H781" t="s">
        <v>425</v>
      </c>
      <c r="I781">
        <v>1963</v>
      </c>
      <c r="J781">
        <v>1963</v>
      </c>
      <c r="K781" t="s">
        <v>4554</v>
      </c>
      <c r="L781" t="s">
        <v>4555</v>
      </c>
      <c r="M781" s="2">
        <v>1608</v>
      </c>
      <c r="N781" t="s">
        <v>5280</v>
      </c>
      <c r="O781">
        <v>3</v>
      </c>
      <c r="P781">
        <v>2</v>
      </c>
      <c r="Q781">
        <v>0</v>
      </c>
      <c r="R781" t="s">
        <v>4557</v>
      </c>
      <c r="S781" t="s">
        <v>4682</v>
      </c>
      <c r="T781" t="s">
        <v>2704</v>
      </c>
      <c r="U781" t="s">
        <v>4560</v>
      </c>
      <c r="V781" s="2">
        <v>616</v>
      </c>
      <c r="W781" t="s">
        <v>4655</v>
      </c>
      <c r="X781" s="2">
        <v>0</v>
      </c>
      <c r="Y781">
        <v>20</v>
      </c>
      <c r="Z781" t="s">
        <v>385</v>
      </c>
      <c r="AA781" s="3">
        <v>0.205004587769508</v>
      </c>
      <c r="AB781" t="s">
        <v>8852</v>
      </c>
      <c r="AC781" t="s">
        <v>4562</v>
      </c>
      <c r="AD781" t="s">
        <v>8851</v>
      </c>
      <c r="AE781" t="s">
        <v>4655</v>
      </c>
      <c r="AF781" t="s">
        <v>4563</v>
      </c>
      <c r="AG781" t="s">
        <v>4564</v>
      </c>
      <c r="AH781">
        <v>89509</v>
      </c>
      <c r="AI781" t="s">
        <v>4565</v>
      </c>
      <c r="AJ781" t="s">
        <v>4655</v>
      </c>
      <c r="AK781" t="s">
        <v>8853</v>
      </c>
      <c r="AL781" s="13" t="s">
        <v>2255</v>
      </c>
      <c r="AM781" s="14">
        <v>1</v>
      </c>
      <c r="AN781" s="15" t="s">
        <v>1650</v>
      </c>
    </row>
    <row r="782" spans="1:40" x14ac:dyDescent="0.3">
      <c r="A782" s="10" t="str">
        <f>HYPERLINK("http://www.washoecounty.gov/assessor/cama/?parid=010-416-04&amp;CardNumber=1","010-416-04")</f>
        <v>010-416-04</v>
      </c>
      <c r="B782" t="s">
        <v>4655</v>
      </c>
      <c r="C782" t="s">
        <v>8854</v>
      </c>
      <c r="D782" s="1">
        <v>40535</v>
      </c>
      <c r="E782" s="2">
        <v>215000</v>
      </c>
      <c r="F782" t="s">
        <v>4567</v>
      </c>
      <c r="G782" s="17" t="str">
        <f>HYPERLINK("https://www.washoecounty.gov/assessor/cama/?command=sales&amp;parid=01041604","3956860")</f>
        <v>3956860</v>
      </c>
      <c r="H782" t="s">
        <v>4655</v>
      </c>
      <c r="I782">
        <v>1967</v>
      </c>
      <c r="J782">
        <v>1967</v>
      </c>
      <c r="K782" t="s">
        <v>4554</v>
      </c>
      <c r="L782" t="s">
        <v>4555</v>
      </c>
      <c r="M782" s="2">
        <v>1832</v>
      </c>
      <c r="N782" t="s">
        <v>5280</v>
      </c>
      <c r="O782">
        <v>3</v>
      </c>
      <c r="P782">
        <v>2</v>
      </c>
      <c r="Q782">
        <v>0</v>
      </c>
      <c r="R782" t="s">
        <v>5281</v>
      </c>
      <c r="S782" t="s">
        <v>4682</v>
      </c>
      <c r="T782" t="s">
        <v>4559</v>
      </c>
      <c r="U782" t="s">
        <v>4560</v>
      </c>
      <c r="V782" s="2">
        <v>520</v>
      </c>
      <c r="W782" t="s">
        <v>4655</v>
      </c>
      <c r="X782" s="2">
        <v>0</v>
      </c>
      <c r="Y782">
        <v>20</v>
      </c>
      <c r="Z782" t="s">
        <v>385</v>
      </c>
      <c r="AA782" s="3">
        <v>0.18399907648563399</v>
      </c>
      <c r="AB782" t="s">
        <v>1203</v>
      </c>
      <c r="AC782" t="s">
        <v>4562</v>
      </c>
      <c r="AD782" t="s">
        <v>8855</v>
      </c>
      <c r="AE782" t="s">
        <v>4655</v>
      </c>
      <c r="AF782" t="s">
        <v>8856</v>
      </c>
      <c r="AG782" t="s">
        <v>4584</v>
      </c>
      <c r="AH782">
        <v>93013</v>
      </c>
      <c r="AI782" t="s">
        <v>8857</v>
      </c>
      <c r="AJ782" t="s">
        <v>4655</v>
      </c>
      <c r="AK782" t="s">
        <v>8858</v>
      </c>
      <c r="AL782" s="13" t="s">
        <v>2255</v>
      </c>
      <c r="AM782" s="14">
        <v>1</v>
      </c>
      <c r="AN782" s="15" t="s">
        <v>1650</v>
      </c>
    </row>
    <row r="783" spans="1:40" x14ac:dyDescent="0.3">
      <c r="A783" s="10" t="str">
        <f>HYPERLINK("http://www.washoecounty.gov/assessor/cama/?parid=010-441-09&amp;CardNumber=1","010-441-09")</f>
        <v>010-441-09</v>
      </c>
      <c r="B783" t="s">
        <v>4655</v>
      </c>
      <c r="C783" t="s">
        <v>8859</v>
      </c>
      <c r="D783" s="1">
        <v>40228</v>
      </c>
      <c r="E783" s="2">
        <v>165000</v>
      </c>
      <c r="F783" t="s">
        <v>4567</v>
      </c>
      <c r="G783" s="17" t="str">
        <f>HYPERLINK("https://www.washoecounty.gov/assessor/cama/?command=sales&amp;parid=01044109","3851207")</f>
        <v>3851207</v>
      </c>
      <c r="H783" t="s">
        <v>4655</v>
      </c>
      <c r="I783">
        <v>1947</v>
      </c>
      <c r="J783">
        <v>1954</v>
      </c>
      <c r="K783" t="s">
        <v>4554</v>
      </c>
      <c r="L783" t="s">
        <v>2170</v>
      </c>
      <c r="M783" s="2">
        <v>1158</v>
      </c>
      <c r="N783" t="s">
        <v>4133</v>
      </c>
      <c r="O783">
        <v>2</v>
      </c>
      <c r="P783">
        <v>1</v>
      </c>
      <c r="Q783">
        <v>0</v>
      </c>
      <c r="R783" t="s">
        <v>4557</v>
      </c>
      <c r="S783" t="s">
        <v>4574</v>
      </c>
      <c r="T783" t="s">
        <v>4559</v>
      </c>
      <c r="U783" t="s">
        <v>4560</v>
      </c>
      <c r="V783" s="2">
        <v>420</v>
      </c>
      <c r="W783" t="s">
        <v>3149</v>
      </c>
      <c r="X783" s="2">
        <v>624</v>
      </c>
      <c r="Y783">
        <v>20</v>
      </c>
      <c r="Z783" t="s">
        <v>5282</v>
      </c>
      <c r="AA783" s="3">
        <v>0.48500919342040999</v>
      </c>
      <c r="AB783" t="s">
        <v>8860</v>
      </c>
      <c r="AC783" t="s">
        <v>4575</v>
      </c>
      <c r="AD783" t="s">
        <v>8861</v>
      </c>
      <c r="AE783" t="s">
        <v>4655</v>
      </c>
      <c r="AF783" t="s">
        <v>5151</v>
      </c>
      <c r="AG783" t="s">
        <v>4564</v>
      </c>
      <c r="AH783">
        <v>89703</v>
      </c>
      <c r="AI783" t="s">
        <v>8862</v>
      </c>
      <c r="AJ783" t="s">
        <v>4655</v>
      </c>
      <c r="AK783" t="s">
        <v>8863</v>
      </c>
      <c r="AL783" s="13" t="s">
        <v>2255</v>
      </c>
      <c r="AM783" s="14">
        <v>1</v>
      </c>
      <c r="AN783" s="15" t="s">
        <v>1159</v>
      </c>
    </row>
    <row r="784" spans="1:40" x14ac:dyDescent="0.3">
      <c r="A784" s="10" t="str">
        <f>HYPERLINK("http://www.washoecounty.gov/assessor/cama/?parid=010-442-19&amp;CardNumber=1","010-442-19")</f>
        <v>010-442-19</v>
      </c>
      <c r="B784" t="s">
        <v>4655</v>
      </c>
      <c r="D784" s="1">
        <v>40444</v>
      </c>
      <c r="E784" s="2">
        <v>239000</v>
      </c>
      <c r="F784" t="s">
        <v>4567</v>
      </c>
      <c r="G784" s="17" t="str">
        <f>HYPERLINK("https://www.washoecounty.gov/assessor/cama/?command=sales&amp;parid=01044219","NOT AVAILABLE ")</f>
        <v xml:space="preserve">NOT AVAILABLE </v>
      </c>
      <c r="H784" t="s">
        <v>8864</v>
      </c>
      <c r="I784">
        <v>1955</v>
      </c>
      <c r="J784">
        <v>1955</v>
      </c>
      <c r="K784" t="s">
        <v>4554</v>
      </c>
      <c r="L784" t="s">
        <v>4555</v>
      </c>
      <c r="M784" s="2">
        <v>1372</v>
      </c>
      <c r="N784" t="s">
        <v>5280</v>
      </c>
      <c r="O784">
        <v>3</v>
      </c>
      <c r="P784">
        <v>2</v>
      </c>
      <c r="Q784">
        <v>0</v>
      </c>
      <c r="R784" t="s">
        <v>4557</v>
      </c>
      <c r="S784" t="s">
        <v>3148</v>
      </c>
      <c r="T784" t="s">
        <v>4559</v>
      </c>
      <c r="U784" t="s">
        <v>4560</v>
      </c>
      <c r="V784" s="2">
        <v>462</v>
      </c>
      <c r="W784" t="s">
        <v>4655</v>
      </c>
      <c r="X784" s="2">
        <v>0</v>
      </c>
      <c r="Y784">
        <v>20</v>
      </c>
      <c r="Z784" t="s">
        <v>5282</v>
      </c>
      <c r="AA784" s="3">
        <v>0.239990815520287</v>
      </c>
      <c r="AB784" t="s">
        <v>8865</v>
      </c>
      <c r="AC784" t="s">
        <v>4562</v>
      </c>
      <c r="AD784" t="s">
        <v>283</v>
      </c>
      <c r="AE784" t="s">
        <v>283</v>
      </c>
      <c r="AF784" t="s">
        <v>283</v>
      </c>
      <c r="AG784" t="s">
        <v>4564</v>
      </c>
      <c r="AH784" t="s">
        <v>3101</v>
      </c>
      <c r="AI784" t="s">
        <v>8865</v>
      </c>
      <c r="AJ784" t="s">
        <v>4655</v>
      </c>
      <c r="AK784" t="s">
        <v>8865</v>
      </c>
      <c r="AL784" s="13" t="s">
        <v>2255</v>
      </c>
      <c r="AM784">
        <v>1</v>
      </c>
      <c r="AN784" s="15" t="s">
        <v>1159</v>
      </c>
    </row>
    <row r="785" spans="1:40" x14ac:dyDescent="0.3">
      <c r="A785" s="10" t="str">
        <f>HYPERLINK("http://www.washoecounty.gov/assessor/cama/?parid=010-442-30&amp;CardNumber=1","010-442-30")</f>
        <v>010-442-30</v>
      </c>
      <c r="B785" t="s">
        <v>4655</v>
      </c>
      <c r="C785" t="s">
        <v>8866</v>
      </c>
      <c r="D785" s="1">
        <v>40247</v>
      </c>
      <c r="E785" s="2">
        <v>258500</v>
      </c>
      <c r="F785" t="s">
        <v>4567</v>
      </c>
      <c r="G785" s="17" t="str">
        <f>HYPERLINK("https://www.washoecounty.gov/assessor/cama/?command=sales&amp;parid=01044230","3858441")</f>
        <v>3858441</v>
      </c>
      <c r="H785" t="s">
        <v>4802</v>
      </c>
      <c r="I785">
        <v>1956</v>
      </c>
      <c r="J785">
        <v>1959</v>
      </c>
      <c r="K785" t="s">
        <v>4554</v>
      </c>
      <c r="L785" t="s">
        <v>4555</v>
      </c>
      <c r="M785" s="2">
        <v>2174</v>
      </c>
      <c r="N785" t="s">
        <v>4048</v>
      </c>
      <c r="O785">
        <v>3</v>
      </c>
      <c r="P785">
        <v>2</v>
      </c>
      <c r="Q785">
        <v>0</v>
      </c>
      <c r="R785" t="s">
        <v>4557</v>
      </c>
      <c r="S785" t="s">
        <v>4574</v>
      </c>
      <c r="T785" t="s">
        <v>4559</v>
      </c>
      <c r="U785" t="s">
        <v>4560</v>
      </c>
      <c r="V785" s="2">
        <v>509</v>
      </c>
      <c r="W785" t="s">
        <v>3149</v>
      </c>
      <c r="X785" s="2">
        <v>240</v>
      </c>
      <c r="Y785">
        <v>20</v>
      </c>
      <c r="Z785" t="s">
        <v>5282</v>
      </c>
      <c r="AA785" s="3">
        <v>0.30000001192092901</v>
      </c>
      <c r="AB785" t="s">
        <v>8867</v>
      </c>
      <c r="AC785" t="s">
        <v>4575</v>
      </c>
      <c r="AD785" t="s">
        <v>8866</v>
      </c>
      <c r="AE785" t="s">
        <v>4655</v>
      </c>
      <c r="AF785" t="s">
        <v>4563</v>
      </c>
      <c r="AG785" t="s">
        <v>4564</v>
      </c>
      <c r="AH785">
        <v>89509</v>
      </c>
      <c r="AI785" t="s">
        <v>4803</v>
      </c>
      <c r="AJ785" t="s">
        <v>4655</v>
      </c>
      <c r="AK785" t="s">
        <v>8868</v>
      </c>
      <c r="AL785" s="13" t="s">
        <v>2255</v>
      </c>
      <c r="AM785" s="14">
        <v>1</v>
      </c>
      <c r="AN785" s="15" t="s">
        <v>1159</v>
      </c>
    </row>
    <row r="786" spans="1:40" x14ac:dyDescent="0.3">
      <c r="A786" s="10" t="str">
        <f>HYPERLINK("http://www.washoecounty.gov/assessor/cama/?parid=010-451-21&amp;CardNumber=1","010-451-21")</f>
        <v>010-451-21</v>
      </c>
      <c r="B786" t="s">
        <v>4655</v>
      </c>
      <c r="C786" t="s">
        <v>8869</v>
      </c>
      <c r="D786" s="1">
        <v>40206</v>
      </c>
      <c r="E786" s="2">
        <v>137500</v>
      </c>
      <c r="F786" t="s">
        <v>4567</v>
      </c>
      <c r="G786" s="17" t="str">
        <f>HYPERLINK("https://www.washoecounty.gov/assessor/cama/?command=sales&amp;parid=01045121","3843722")</f>
        <v>3843722</v>
      </c>
      <c r="H786" t="s">
        <v>1246</v>
      </c>
      <c r="I786">
        <v>1972</v>
      </c>
      <c r="J786">
        <v>1972</v>
      </c>
      <c r="K786" t="s">
        <v>3144</v>
      </c>
      <c r="L786" t="s">
        <v>3974</v>
      </c>
      <c r="M786" s="2">
        <v>1803</v>
      </c>
      <c r="N786" t="s">
        <v>3887</v>
      </c>
      <c r="O786">
        <v>3</v>
      </c>
      <c r="P786">
        <v>2</v>
      </c>
      <c r="Q786">
        <v>1</v>
      </c>
      <c r="R786" t="s">
        <v>4557</v>
      </c>
      <c r="S786" t="s">
        <v>3148</v>
      </c>
      <c r="T786" t="s">
        <v>4559</v>
      </c>
      <c r="U786" t="s">
        <v>4655</v>
      </c>
      <c r="V786" s="2">
        <v>0</v>
      </c>
      <c r="W786" t="s">
        <v>4655</v>
      </c>
      <c r="X786" s="2">
        <v>0</v>
      </c>
      <c r="Y786">
        <v>21</v>
      </c>
      <c r="Z786" t="s">
        <v>4144</v>
      </c>
      <c r="AA786" s="3">
        <v>1.00000004749745E-3</v>
      </c>
      <c r="AB786" t="s">
        <v>8870</v>
      </c>
      <c r="AC786" t="s">
        <v>4562</v>
      </c>
      <c r="AD786" t="s">
        <v>8869</v>
      </c>
      <c r="AE786" t="s">
        <v>4655</v>
      </c>
      <c r="AF786" t="s">
        <v>4563</v>
      </c>
      <c r="AG786" t="s">
        <v>4564</v>
      </c>
      <c r="AH786">
        <v>89509</v>
      </c>
      <c r="AI786" t="s">
        <v>8871</v>
      </c>
      <c r="AJ786" t="s">
        <v>4655</v>
      </c>
      <c r="AK786" t="s">
        <v>8872</v>
      </c>
      <c r="AL786" s="13" t="s">
        <v>2255</v>
      </c>
      <c r="AM786">
        <v>1</v>
      </c>
      <c r="AN786" s="15" t="s">
        <v>1247</v>
      </c>
    </row>
    <row r="787" spans="1:40" x14ac:dyDescent="0.3">
      <c r="A787" s="10" t="str">
        <f>HYPERLINK("http://www.washoecounty.gov/assessor/cama/?parid=010-451-38&amp;CardNumber=1","010-451-38")</f>
        <v>010-451-38</v>
      </c>
      <c r="B787" t="s">
        <v>4655</v>
      </c>
      <c r="C787" t="s">
        <v>8873</v>
      </c>
      <c r="D787" s="1">
        <v>40504</v>
      </c>
      <c r="E787" s="2">
        <v>143600</v>
      </c>
      <c r="F787" t="s">
        <v>4567</v>
      </c>
      <c r="G787" s="17" t="str">
        <f>HYPERLINK("https://www.washoecounty.gov/assessor/cama/?command=sales&amp;parid=01045138","3945803")</f>
        <v>3945803</v>
      </c>
      <c r="H787" t="s">
        <v>1246</v>
      </c>
      <c r="I787">
        <v>1972</v>
      </c>
      <c r="J787">
        <v>1972</v>
      </c>
      <c r="K787" t="s">
        <v>3144</v>
      </c>
      <c r="L787" t="s">
        <v>3974</v>
      </c>
      <c r="M787" s="2">
        <v>1803</v>
      </c>
      <c r="N787" t="s">
        <v>3887</v>
      </c>
      <c r="O787">
        <v>3</v>
      </c>
      <c r="P787">
        <v>2</v>
      </c>
      <c r="Q787">
        <v>1</v>
      </c>
      <c r="R787" t="s">
        <v>5281</v>
      </c>
      <c r="S787" t="s">
        <v>3148</v>
      </c>
      <c r="T787" t="s">
        <v>4559</v>
      </c>
      <c r="U787" t="s">
        <v>4655</v>
      </c>
      <c r="V787" s="2">
        <v>0</v>
      </c>
      <c r="W787" t="s">
        <v>4655</v>
      </c>
      <c r="X787" s="2">
        <v>0</v>
      </c>
      <c r="Y787">
        <v>21</v>
      </c>
      <c r="Z787" t="s">
        <v>4144</v>
      </c>
      <c r="AA787" s="3">
        <v>1.00000004749745E-3</v>
      </c>
      <c r="AB787" t="s">
        <v>8874</v>
      </c>
      <c r="AC787" t="s">
        <v>4562</v>
      </c>
      <c r="AD787" t="s">
        <v>8873</v>
      </c>
      <c r="AE787" t="s">
        <v>4655</v>
      </c>
      <c r="AF787" t="s">
        <v>4563</v>
      </c>
      <c r="AG787" t="s">
        <v>4564</v>
      </c>
      <c r="AH787">
        <v>89509</v>
      </c>
      <c r="AI787" t="s">
        <v>8875</v>
      </c>
      <c r="AJ787" t="s">
        <v>4655</v>
      </c>
      <c r="AK787" t="s">
        <v>8876</v>
      </c>
      <c r="AL787" s="13" t="s">
        <v>2255</v>
      </c>
      <c r="AM787">
        <v>1</v>
      </c>
      <c r="AN787" s="15" t="s">
        <v>1247</v>
      </c>
    </row>
    <row r="788" spans="1:40" x14ac:dyDescent="0.3">
      <c r="A788" s="10" t="str">
        <f>HYPERLINK("http://www.washoecounty.gov/assessor/cama/?parid=010-452-21&amp;CardNumber=1","010-452-21")</f>
        <v>010-452-21</v>
      </c>
      <c r="B788" t="s">
        <v>4655</v>
      </c>
      <c r="C788" t="s">
        <v>8877</v>
      </c>
      <c r="D788" s="1">
        <v>40192</v>
      </c>
      <c r="E788" s="2">
        <v>150000</v>
      </c>
      <c r="F788" t="s">
        <v>4567</v>
      </c>
      <c r="G788" s="17" t="str">
        <f>HYPERLINK("https://www.washoecounty.gov/assessor/cama/?command=sales&amp;parid=01045221","3839354")</f>
        <v>3839354</v>
      </c>
      <c r="H788" t="s">
        <v>8878</v>
      </c>
      <c r="I788">
        <v>1977</v>
      </c>
      <c r="J788">
        <v>1977</v>
      </c>
      <c r="K788" t="s">
        <v>4897</v>
      </c>
      <c r="L788" t="s">
        <v>3974</v>
      </c>
      <c r="M788" s="2">
        <v>1803</v>
      </c>
      <c r="N788" t="s">
        <v>3887</v>
      </c>
      <c r="O788">
        <v>3</v>
      </c>
      <c r="P788">
        <v>2</v>
      </c>
      <c r="Q788">
        <v>1</v>
      </c>
      <c r="R788" t="s">
        <v>5281</v>
      </c>
      <c r="S788" t="s">
        <v>3148</v>
      </c>
      <c r="T788" t="s">
        <v>4559</v>
      </c>
      <c r="U788" t="s">
        <v>4655</v>
      </c>
      <c r="V788" s="2">
        <v>0</v>
      </c>
      <c r="W788" t="s">
        <v>4655</v>
      </c>
      <c r="X788" s="2">
        <v>0</v>
      </c>
      <c r="Y788">
        <v>21</v>
      </c>
      <c r="Z788" t="s">
        <v>4144</v>
      </c>
      <c r="AA788" s="3">
        <v>1.00000004749745E-3</v>
      </c>
      <c r="AB788" t="s">
        <v>8879</v>
      </c>
      <c r="AC788" t="s">
        <v>4562</v>
      </c>
      <c r="AD788" t="s">
        <v>8877</v>
      </c>
      <c r="AE788" t="s">
        <v>4655</v>
      </c>
      <c r="AF788" t="s">
        <v>4563</v>
      </c>
      <c r="AG788" t="s">
        <v>4564</v>
      </c>
      <c r="AH788">
        <v>89509</v>
      </c>
      <c r="AI788" t="s">
        <v>8880</v>
      </c>
      <c r="AJ788" t="s">
        <v>4655</v>
      </c>
      <c r="AK788" t="s">
        <v>8881</v>
      </c>
      <c r="AL788" s="13" t="s">
        <v>2255</v>
      </c>
      <c r="AM788" s="14">
        <v>1</v>
      </c>
      <c r="AN788" s="15" t="s">
        <v>1247</v>
      </c>
    </row>
    <row r="789" spans="1:40" x14ac:dyDescent="0.3">
      <c r="A789" s="10" t="str">
        <f>HYPERLINK("http://www.washoecounty.gov/assessor/cama/?parid=010-460-27&amp;CardNumber=1","010-460-27")</f>
        <v>010-460-27</v>
      </c>
      <c r="B789" t="s">
        <v>4655</v>
      </c>
      <c r="C789" t="s">
        <v>8882</v>
      </c>
      <c r="D789" s="1">
        <v>40513</v>
      </c>
      <c r="E789" s="2">
        <v>120000</v>
      </c>
      <c r="F789" t="s">
        <v>4567</v>
      </c>
      <c r="G789" s="17" t="str">
        <f>HYPERLINK("https://www.washoecounty.gov/assessor/cama/?command=sales&amp;parid=01046027","3948496")</f>
        <v>3948496</v>
      </c>
      <c r="H789" t="s">
        <v>5067</v>
      </c>
      <c r="I789">
        <v>1971</v>
      </c>
      <c r="J789">
        <v>1971</v>
      </c>
      <c r="K789" t="s">
        <v>3144</v>
      </c>
      <c r="L789" t="s">
        <v>3974</v>
      </c>
      <c r="M789" s="2">
        <v>1479</v>
      </c>
      <c r="N789" t="s">
        <v>3147</v>
      </c>
      <c r="O789">
        <v>2</v>
      </c>
      <c r="P789">
        <v>2</v>
      </c>
      <c r="Q789">
        <v>1</v>
      </c>
      <c r="R789" t="s">
        <v>5281</v>
      </c>
      <c r="S789" t="s">
        <v>3148</v>
      </c>
      <c r="T789" t="s">
        <v>4899</v>
      </c>
      <c r="U789" t="s">
        <v>5631</v>
      </c>
      <c r="V789" s="2">
        <v>192</v>
      </c>
      <c r="W789" t="s">
        <v>3149</v>
      </c>
      <c r="X789" s="2">
        <v>378</v>
      </c>
      <c r="Y789">
        <v>21</v>
      </c>
      <c r="Z789" t="s">
        <v>2705</v>
      </c>
      <c r="AA789" s="3">
        <v>1.00000004749745E-3</v>
      </c>
      <c r="AB789" t="s">
        <v>8883</v>
      </c>
      <c r="AC789" t="s">
        <v>4562</v>
      </c>
      <c r="AD789" t="s">
        <v>8884</v>
      </c>
      <c r="AE789" t="s">
        <v>4655</v>
      </c>
      <c r="AF789" t="s">
        <v>4563</v>
      </c>
      <c r="AG789" t="s">
        <v>4564</v>
      </c>
      <c r="AH789">
        <v>89502</v>
      </c>
      <c r="AI789" t="s">
        <v>8885</v>
      </c>
      <c r="AJ789" t="s">
        <v>4655</v>
      </c>
      <c r="AK789" t="s">
        <v>8886</v>
      </c>
      <c r="AL789" s="13" t="s">
        <v>2255</v>
      </c>
      <c r="AM789">
        <v>1</v>
      </c>
      <c r="AN789" s="15" t="s">
        <v>4867</v>
      </c>
    </row>
    <row r="790" spans="1:40" x14ac:dyDescent="0.3">
      <c r="A790" s="10" t="str">
        <f>HYPERLINK("http://www.washoecounty.gov/assessor/cama/?parid=010-471-07&amp;CardNumber=1","010-471-07")</f>
        <v>010-471-07</v>
      </c>
      <c r="B790" t="s">
        <v>4655</v>
      </c>
      <c r="C790" t="s">
        <v>1248</v>
      </c>
      <c r="D790" s="1">
        <v>40294</v>
      </c>
      <c r="E790" s="2">
        <v>130500</v>
      </c>
      <c r="F790" t="s">
        <v>4567</v>
      </c>
      <c r="G790" s="17" t="str">
        <f>HYPERLINK("https://www.washoecounty.gov/assessor/cama/?command=sales&amp;parid=01047107","3874403")</f>
        <v>3874403</v>
      </c>
      <c r="H790" t="s">
        <v>1249</v>
      </c>
      <c r="I790">
        <v>1972</v>
      </c>
      <c r="J790">
        <v>1972</v>
      </c>
      <c r="K790" t="s">
        <v>3144</v>
      </c>
      <c r="L790" t="s">
        <v>4555</v>
      </c>
      <c r="M790" s="2">
        <v>1304</v>
      </c>
      <c r="N790" t="s">
        <v>3887</v>
      </c>
      <c r="O790">
        <v>1</v>
      </c>
      <c r="P790">
        <v>1</v>
      </c>
      <c r="Q790">
        <v>0</v>
      </c>
      <c r="R790" t="s">
        <v>5281</v>
      </c>
      <c r="S790" t="s">
        <v>364</v>
      </c>
      <c r="T790" t="s">
        <v>4899</v>
      </c>
      <c r="U790" t="s">
        <v>4655</v>
      </c>
      <c r="V790" s="2">
        <v>0</v>
      </c>
      <c r="W790" t="s">
        <v>4655</v>
      </c>
      <c r="X790" s="2">
        <v>0</v>
      </c>
      <c r="Y790">
        <v>21</v>
      </c>
      <c r="Z790" t="s">
        <v>2705</v>
      </c>
      <c r="AA790" s="3">
        <v>1.00000004749745E-3</v>
      </c>
      <c r="AB790" t="s">
        <v>8887</v>
      </c>
      <c r="AC790" t="s">
        <v>4562</v>
      </c>
      <c r="AD790" t="s">
        <v>8888</v>
      </c>
      <c r="AE790" t="s">
        <v>4655</v>
      </c>
      <c r="AF790" t="s">
        <v>203</v>
      </c>
      <c r="AG790" t="s">
        <v>762</v>
      </c>
      <c r="AH790">
        <v>77098</v>
      </c>
      <c r="AI790" t="s">
        <v>8889</v>
      </c>
      <c r="AJ790" t="s">
        <v>4655</v>
      </c>
      <c r="AK790" t="s">
        <v>8890</v>
      </c>
      <c r="AL790" s="13" t="s">
        <v>2255</v>
      </c>
      <c r="AM790" s="14">
        <v>1</v>
      </c>
      <c r="AN790" s="15" t="s">
        <v>1250</v>
      </c>
    </row>
    <row r="791" spans="1:40" x14ac:dyDescent="0.3">
      <c r="A791" s="10" t="str">
        <f>HYPERLINK("http://www.washoecounty.gov/assessor/cama/?parid=010-471-15&amp;CardNumber=1","010-471-15")</f>
        <v>010-471-15</v>
      </c>
      <c r="B791" t="s">
        <v>4655</v>
      </c>
      <c r="C791" t="s">
        <v>1248</v>
      </c>
      <c r="D791" s="1">
        <v>40352</v>
      </c>
      <c r="E791" s="2">
        <v>186000</v>
      </c>
      <c r="F791" t="s">
        <v>4567</v>
      </c>
      <c r="G791" s="17" t="str">
        <f>HYPERLINK("https://www.washoecounty.gov/assessor/cama/?command=sales&amp;parid=01047115","3894602")</f>
        <v>3894602</v>
      </c>
      <c r="H791" t="s">
        <v>1249</v>
      </c>
      <c r="I791">
        <v>1972</v>
      </c>
      <c r="J791">
        <v>1972</v>
      </c>
      <c r="K791" t="s">
        <v>4897</v>
      </c>
      <c r="L791" t="s">
        <v>4555</v>
      </c>
      <c r="M791" s="2">
        <v>1624</v>
      </c>
      <c r="N791" t="s">
        <v>3887</v>
      </c>
      <c r="O791">
        <v>2</v>
      </c>
      <c r="P791">
        <v>2</v>
      </c>
      <c r="Q791">
        <v>0</v>
      </c>
      <c r="R791" t="s">
        <v>5281</v>
      </c>
      <c r="S791" t="s">
        <v>364</v>
      </c>
      <c r="T791" t="s">
        <v>4899</v>
      </c>
      <c r="U791" t="s">
        <v>4655</v>
      </c>
      <c r="V791" s="2">
        <v>0</v>
      </c>
      <c r="W791" t="s">
        <v>4655</v>
      </c>
      <c r="X791" s="2">
        <v>0</v>
      </c>
      <c r="Y791">
        <v>21</v>
      </c>
      <c r="Z791" t="s">
        <v>2705</v>
      </c>
      <c r="AA791" s="3">
        <v>1.00000004749745E-3</v>
      </c>
      <c r="AB791" t="s">
        <v>8891</v>
      </c>
      <c r="AC791" t="s">
        <v>4575</v>
      </c>
      <c r="AD791" t="s">
        <v>8892</v>
      </c>
      <c r="AE791" t="s">
        <v>4655</v>
      </c>
      <c r="AF791" t="s">
        <v>4563</v>
      </c>
      <c r="AG791" t="s">
        <v>4564</v>
      </c>
      <c r="AH791">
        <v>89503</v>
      </c>
      <c r="AI791" t="s">
        <v>8893</v>
      </c>
      <c r="AJ791" t="s">
        <v>4655</v>
      </c>
      <c r="AK791" t="s">
        <v>8894</v>
      </c>
      <c r="AL791" s="13" t="s">
        <v>2255</v>
      </c>
      <c r="AM791" s="14">
        <v>1</v>
      </c>
      <c r="AN791" s="15" t="s">
        <v>1250</v>
      </c>
    </row>
    <row r="792" spans="1:40" x14ac:dyDescent="0.3">
      <c r="A792" s="10" t="str">
        <f>HYPERLINK("http://www.washoecounty.gov/assessor/cama/?parid=010-472-10&amp;CardNumber=1","010-472-10")</f>
        <v>010-472-10</v>
      </c>
      <c r="B792" t="s">
        <v>4655</v>
      </c>
      <c r="C792" t="s">
        <v>1248</v>
      </c>
      <c r="D792" s="1">
        <v>40338</v>
      </c>
      <c r="E792" s="2">
        <v>180000</v>
      </c>
      <c r="F792" t="s">
        <v>4567</v>
      </c>
      <c r="G792" s="17" t="str">
        <f>HYPERLINK("https://www.washoecounty.gov/assessor/cama/?command=sales&amp;parid=01047210","3889707")</f>
        <v>3889707</v>
      </c>
      <c r="H792" t="s">
        <v>1249</v>
      </c>
      <c r="I792">
        <v>1972</v>
      </c>
      <c r="J792">
        <v>1972</v>
      </c>
      <c r="K792" t="s">
        <v>3144</v>
      </c>
      <c r="L792" t="s">
        <v>4555</v>
      </c>
      <c r="M792" s="2">
        <v>1624</v>
      </c>
      <c r="N792" t="s">
        <v>3887</v>
      </c>
      <c r="O792">
        <v>2</v>
      </c>
      <c r="P792">
        <v>2</v>
      </c>
      <c r="Q792">
        <v>0</v>
      </c>
      <c r="R792" t="s">
        <v>5281</v>
      </c>
      <c r="S792" t="s">
        <v>364</v>
      </c>
      <c r="T792" t="s">
        <v>4899</v>
      </c>
      <c r="U792" t="s">
        <v>4655</v>
      </c>
      <c r="V792" s="2">
        <v>0</v>
      </c>
      <c r="W792" t="s">
        <v>4655</v>
      </c>
      <c r="X792" s="2">
        <v>0</v>
      </c>
      <c r="Y792">
        <v>21</v>
      </c>
      <c r="Z792" t="s">
        <v>2705</v>
      </c>
      <c r="AA792" s="3">
        <v>1.00000004749745E-3</v>
      </c>
      <c r="AB792" t="s">
        <v>8895</v>
      </c>
      <c r="AC792" t="s">
        <v>4575</v>
      </c>
      <c r="AD792" t="s">
        <v>8896</v>
      </c>
      <c r="AE792" t="s">
        <v>4655</v>
      </c>
      <c r="AF792" t="s">
        <v>4563</v>
      </c>
      <c r="AG792" t="s">
        <v>4564</v>
      </c>
      <c r="AH792">
        <v>89503</v>
      </c>
      <c r="AI792" t="s">
        <v>8897</v>
      </c>
      <c r="AJ792" t="s">
        <v>4655</v>
      </c>
      <c r="AK792" t="s">
        <v>8898</v>
      </c>
      <c r="AL792" s="13" t="s">
        <v>2255</v>
      </c>
      <c r="AM792" s="14">
        <v>1</v>
      </c>
      <c r="AN792" s="15" t="s">
        <v>1250</v>
      </c>
    </row>
    <row r="793" spans="1:40" x14ac:dyDescent="0.3">
      <c r="A793" s="10" t="str">
        <f>HYPERLINK("http://www.washoecounty.gov/assessor/cama/?parid=010-472-14&amp;CardNumber=1","010-472-14")</f>
        <v>010-472-14</v>
      </c>
      <c r="B793" t="s">
        <v>4655</v>
      </c>
      <c r="C793" t="s">
        <v>1248</v>
      </c>
      <c r="D793" s="1">
        <v>40226</v>
      </c>
      <c r="E793" s="2">
        <v>90000</v>
      </c>
      <c r="F793" t="s">
        <v>4553</v>
      </c>
      <c r="G793" s="17" t="str">
        <f>HYPERLINK("https://www.washoecounty.gov/assessor/cama/?command=sales&amp;parid=01047214","3850329")</f>
        <v>3850329</v>
      </c>
      <c r="H793" t="s">
        <v>1249</v>
      </c>
      <c r="I793">
        <v>1972</v>
      </c>
      <c r="J793">
        <v>1972</v>
      </c>
      <c r="K793" t="s">
        <v>3144</v>
      </c>
      <c r="L793" t="s">
        <v>4555</v>
      </c>
      <c r="M793" s="2">
        <v>1304</v>
      </c>
      <c r="N793" t="s">
        <v>3887</v>
      </c>
      <c r="O793">
        <v>1</v>
      </c>
      <c r="P793">
        <v>1</v>
      </c>
      <c r="Q793">
        <v>0</v>
      </c>
      <c r="R793" t="s">
        <v>5281</v>
      </c>
      <c r="S793" t="s">
        <v>364</v>
      </c>
      <c r="T793" t="s">
        <v>4899</v>
      </c>
      <c r="U793" t="s">
        <v>4655</v>
      </c>
      <c r="V793" s="2">
        <v>0</v>
      </c>
      <c r="W793" t="s">
        <v>4655</v>
      </c>
      <c r="X793" s="2">
        <v>0</v>
      </c>
      <c r="Y793">
        <v>21</v>
      </c>
      <c r="Z793" t="s">
        <v>2705</v>
      </c>
      <c r="AA793" s="3">
        <v>1.00000004749745E-3</v>
      </c>
      <c r="AB793" t="s">
        <v>8899</v>
      </c>
      <c r="AC793" t="s">
        <v>4562</v>
      </c>
      <c r="AD793" t="s">
        <v>8900</v>
      </c>
      <c r="AE793" t="s">
        <v>4655</v>
      </c>
      <c r="AF793" t="s">
        <v>4563</v>
      </c>
      <c r="AG793" t="s">
        <v>4564</v>
      </c>
      <c r="AH793">
        <v>89503</v>
      </c>
      <c r="AI793" t="s">
        <v>4503</v>
      </c>
      <c r="AJ793" t="s">
        <v>4655</v>
      </c>
      <c r="AK793" t="s">
        <v>8901</v>
      </c>
      <c r="AL793" s="13" t="s">
        <v>2255</v>
      </c>
      <c r="AM793" s="14">
        <v>1</v>
      </c>
      <c r="AN793" s="15" t="s">
        <v>1250</v>
      </c>
    </row>
    <row r="794" spans="1:40" x14ac:dyDescent="0.3">
      <c r="A794" s="10" t="str">
        <f>HYPERLINK("http://www.washoecounty.gov/assessor/cama/?parid=010-472-47&amp;CardNumber=1","010-472-47")</f>
        <v>010-472-47</v>
      </c>
      <c r="B794" t="s">
        <v>4655</v>
      </c>
      <c r="C794" t="s">
        <v>1248</v>
      </c>
      <c r="D794" s="1">
        <v>40406</v>
      </c>
      <c r="E794" s="2">
        <v>130000</v>
      </c>
      <c r="F794" t="s">
        <v>4567</v>
      </c>
      <c r="G794" s="17" t="str">
        <f>HYPERLINK("https://www.washoecounty.gov/assessor/cama/?command=sales&amp;parid=01047247","3912253")</f>
        <v>3912253</v>
      </c>
      <c r="H794" t="s">
        <v>1249</v>
      </c>
      <c r="I794">
        <v>1972</v>
      </c>
      <c r="J794">
        <v>1972</v>
      </c>
      <c r="K794" t="s">
        <v>3144</v>
      </c>
      <c r="L794" t="s">
        <v>4555</v>
      </c>
      <c r="M794" s="2">
        <v>1304</v>
      </c>
      <c r="N794" t="s">
        <v>3887</v>
      </c>
      <c r="O794">
        <v>1</v>
      </c>
      <c r="P794">
        <v>1</v>
      </c>
      <c r="Q794">
        <v>0</v>
      </c>
      <c r="R794" t="s">
        <v>5281</v>
      </c>
      <c r="S794" t="s">
        <v>364</v>
      </c>
      <c r="T794" t="s">
        <v>4899</v>
      </c>
      <c r="U794" t="s">
        <v>4655</v>
      </c>
      <c r="V794" s="2">
        <v>0</v>
      </c>
      <c r="W794" t="s">
        <v>4655</v>
      </c>
      <c r="X794" s="2">
        <v>0</v>
      </c>
      <c r="Y794">
        <v>21</v>
      </c>
      <c r="Z794" t="s">
        <v>2705</v>
      </c>
      <c r="AA794" s="3">
        <v>1.00000004749745E-3</v>
      </c>
      <c r="AB794" t="s">
        <v>8902</v>
      </c>
      <c r="AC794" t="s">
        <v>4562</v>
      </c>
      <c r="AD794" t="s">
        <v>8903</v>
      </c>
      <c r="AE794" t="s">
        <v>4655</v>
      </c>
      <c r="AF794" t="s">
        <v>3766</v>
      </c>
      <c r="AG794" t="s">
        <v>4584</v>
      </c>
      <c r="AH794" t="s">
        <v>3767</v>
      </c>
      <c r="AI794" t="s">
        <v>8904</v>
      </c>
      <c r="AJ794" t="s">
        <v>4655</v>
      </c>
      <c r="AK794" t="s">
        <v>8905</v>
      </c>
      <c r="AL794" s="13" t="s">
        <v>2255</v>
      </c>
      <c r="AM794" s="14">
        <v>1</v>
      </c>
      <c r="AN794" s="15" t="s">
        <v>1250</v>
      </c>
    </row>
    <row r="795" spans="1:40" x14ac:dyDescent="0.3">
      <c r="A795" s="10" t="str">
        <f>HYPERLINK("http://www.washoecounty.gov/assessor/cama/?parid=010-473-10&amp;CardNumber=1","010-473-10")</f>
        <v>010-473-10</v>
      </c>
      <c r="B795" t="s">
        <v>4655</v>
      </c>
      <c r="C795" t="s">
        <v>1248</v>
      </c>
      <c r="D795" s="1">
        <v>40231</v>
      </c>
      <c r="E795" s="2">
        <v>190000</v>
      </c>
      <c r="F795" t="s">
        <v>4567</v>
      </c>
      <c r="G795" s="17" t="str">
        <f>HYPERLINK("https://www.washoecounty.gov/assessor/cama/?command=sales&amp;parid=01047310","3851342")</f>
        <v>3851342</v>
      </c>
      <c r="H795" t="s">
        <v>1249</v>
      </c>
      <c r="I795">
        <v>1972</v>
      </c>
      <c r="J795">
        <v>1972</v>
      </c>
      <c r="K795" t="s">
        <v>3144</v>
      </c>
      <c r="L795" t="s">
        <v>4555</v>
      </c>
      <c r="M795" s="2">
        <v>1624</v>
      </c>
      <c r="N795" t="s">
        <v>3887</v>
      </c>
      <c r="O795">
        <v>2</v>
      </c>
      <c r="P795">
        <v>2</v>
      </c>
      <c r="Q795">
        <v>0</v>
      </c>
      <c r="R795" t="s">
        <v>5281</v>
      </c>
      <c r="S795" t="s">
        <v>364</v>
      </c>
      <c r="T795" t="s">
        <v>4899</v>
      </c>
      <c r="U795" t="s">
        <v>4655</v>
      </c>
      <c r="V795" s="2">
        <v>0</v>
      </c>
      <c r="W795" t="s">
        <v>4655</v>
      </c>
      <c r="X795" s="2">
        <v>0</v>
      </c>
      <c r="Y795">
        <v>21</v>
      </c>
      <c r="Z795" t="s">
        <v>2705</v>
      </c>
      <c r="AA795" s="3">
        <v>1.00000004749745E-3</v>
      </c>
      <c r="AB795" t="s">
        <v>8906</v>
      </c>
      <c r="AC795" t="s">
        <v>4562</v>
      </c>
      <c r="AD795" t="s">
        <v>8907</v>
      </c>
      <c r="AE795" t="s">
        <v>4655</v>
      </c>
      <c r="AF795" t="s">
        <v>4563</v>
      </c>
      <c r="AG795" t="s">
        <v>4564</v>
      </c>
      <c r="AH795">
        <v>89503</v>
      </c>
      <c r="AI795" t="s">
        <v>8908</v>
      </c>
      <c r="AJ795" t="s">
        <v>4655</v>
      </c>
      <c r="AK795" t="s">
        <v>8909</v>
      </c>
      <c r="AL795" s="13" t="s">
        <v>2255</v>
      </c>
      <c r="AM795">
        <v>1</v>
      </c>
      <c r="AN795" s="15" t="s">
        <v>1250</v>
      </c>
    </row>
    <row r="796" spans="1:40" x14ac:dyDescent="0.3">
      <c r="A796" s="10" t="str">
        <f>HYPERLINK("http://www.washoecounty.gov/assessor/cama/?parid=010-473-11&amp;CardNumber=1","010-473-11")</f>
        <v>010-473-11</v>
      </c>
      <c r="B796" t="s">
        <v>4655</v>
      </c>
      <c r="C796" t="s">
        <v>1248</v>
      </c>
      <c r="D796" s="1">
        <v>40513</v>
      </c>
      <c r="E796" s="2">
        <v>130000</v>
      </c>
      <c r="F796" t="s">
        <v>4567</v>
      </c>
      <c r="G796" s="17" t="str">
        <f>HYPERLINK("https://www.washoecounty.gov/assessor/cama/?command=sales&amp;parid=01047311","3948395")</f>
        <v>3948395</v>
      </c>
      <c r="H796" t="s">
        <v>1249</v>
      </c>
      <c r="I796">
        <v>1972</v>
      </c>
      <c r="J796">
        <v>1972</v>
      </c>
      <c r="K796" t="s">
        <v>3144</v>
      </c>
      <c r="L796" t="s">
        <v>4555</v>
      </c>
      <c r="M796" s="2">
        <v>1304</v>
      </c>
      <c r="N796" t="s">
        <v>3887</v>
      </c>
      <c r="O796">
        <v>1</v>
      </c>
      <c r="P796">
        <v>1</v>
      </c>
      <c r="Q796">
        <v>0</v>
      </c>
      <c r="R796" t="s">
        <v>5281</v>
      </c>
      <c r="S796" t="s">
        <v>364</v>
      </c>
      <c r="T796" t="s">
        <v>4899</v>
      </c>
      <c r="U796" t="s">
        <v>4655</v>
      </c>
      <c r="V796" s="2">
        <v>0</v>
      </c>
      <c r="W796" t="s">
        <v>4655</v>
      </c>
      <c r="X796" s="2">
        <v>0</v>
      </c>
      <c r="Y796">
        <v>21</v>
      </c>
      <c r="Z796" t="s">
        <v>2705</v>
      </c>
      <c r="AA796" s="3">
        <v>1.00000004749745E-3</v>
      </c>
      <c r="AB796" t="s">
        <v>8910</v>
      </c>
      <c r="AC796" t="s">
        <v>4575</v>
      </c>
      <c r="AD796" t="s">
        <v>8911</v>
      </c>
      <c r="AE796" t="s">
        <v>4655</v>
      </c>
      <c r="AF796" t="s">
        <v>4563</v>
      </c>
      <c r="AG796" t="s">
        <v>4564</v>
      </c>
      <c r="AH796">
        <v>89501</v>
      </c>
      <c r="AI796" t="s">
        <v>6585</v>
      </c>
      <c r="AJ796" t="s">
        <v>4655</v>
      </c>
      <c r="AK796" t="s">
        <v>8912</v>
      </c>
      <c r="AL796" s="13" t="s">
        <v>2255</v>
      </c>
      <c r="AM796" s="14">
        <v>1</v>
      </c>
      <c r="AN796" s="15" t="s">
        <v>1250</v>
      </c>
    </row>
    <row r="797" spans="1:40" x14ac:dyDescent="0.3">
      <c r="A797" s="10" t="str">
        <f>HYPERLINK("http://www.washoecounty.gov/assessor/cama/?parid=010-473-11&amp;CardNumber=1","010-473-11")</f>
        <v>010-473-11</v>
      </c>
      <c r="B797" t="s">
        <v>4655</v>
      </c>
      <c r="C797" t="s">
        <v>1248</v>
      </c>
      <c r="D797" s="1">
        <v>40421</v>
      </c>
      <c r="E797" s="2">
        <v>73500</v>
      </c>
      <c r="F797" t="s">
        <v>4553</v>
      </c>
      <c r="G797" s="17" t="str">
        <f>HYPERLINK("https://www.washoecounty.gov/assessor/cama/?command=sales&amp;parid=01047311","3917571")</f>
        <v>3917571</v>
      </c>
      <c r="H797" t="s">
        <v>1249</v>
      </c>
      <c r="I797">
        <v>1972</v>
      </c>
      <c r="J797">
        <v>1972</v>
      </c>
      <c r="K797" t="s">
        <v>3144</v>
      </c>
      <c r="L797" t="s">
        <v>4555</v>
      </c>
      <c r="M797" s="2">
        <v>1304</v>
      </c>
      <c r="N797" t="s">
        <v>3887</v>
      </c>
      <c r="O797">
        <v>1</v>
      </c>
      <c r="P797">
        <v>1</v>
      </c>
      <c r="Q797">
        <v>0</v>
      </c>
      <c r="R797" t="s">
        <v>5281</v>
      </c>
      <c r="S797" t="s">
        <v>364</v>
      </c>
      <c r="T797" t="s">
        <v>4899</v>
      </c>
      <c r="U797" t="s">
        <v>4655</v>
      </c>
      <c r="V797" s="2">
        <v>0</v>
      </c>
      <c r="W797" t="s">
        <v>4655</v>
      </c>
      <c r="X797" s="2">
        <v>0</v>
      </c>
      <c r="Y797">
        <v>21</v>
      </c>
      <c r="Z797" t="s">
        <v>2705</v>
      </c>
      <c r="AA797" s="3">
        <v>1.00000004749745E-3</v>
      </c>
      <c r="AB797" t="s">
        <v>8910</v>
      </c>
      <c r="AC797" t="s">
        <v>4575</v>
      </c>
      <c r="AD797" t="s">
        <v>8911</v>
      </c>
      <c r="AE797" t="s">
        <v>4655</v>
      </c>
      <c r="AF797" t="s">
        <v>4563</v>
      </c>
      <c r="AG797" t="s">
        <v>4564</v>
      </c>
      <c r="AH797">
        <v>89501</v>
      </c>
      <c r="AI797" t="s">
        <v>6585</v>
      </c>
      <c r="AJ797" t="s">
        <v>4655</v>
      </c>
      <c r="AK797" t="s">
        <v>8912</v>
      </c>
      <c r="AL797" s="13" t="s">
        <v>2255</v>
      </c>
      <c r="AM797" s="14">
        <v>1</v>
      </c>
      <c r="AN797" s="15" t="s">
        <v>1250</v>
      </c>
    </row>
    <row r="798" spans="1:40" x14ac:dyDescent="0.3">
      <c r="A798" s="10" t="str">
        <f>HYPERLINK("http://www.washoecounty.gov/assessor/cama/?parid=010-473-20&amp;CardNumber=1","010-473-20")</f>
        <v>010-473-20</v>
      </c>
      <c r="B798" t="s">
        <v>4655</v>
      </c>
      <c r="C798" t="s">
        <v>1248</v>
      </c>
      <c r="D798" s="1">
        <v>40526</v>
      </c>
      <c r="E798" s="2">
        <v>125000</v>
      </c>
      <c r="F798" t="s">
        <v>4567</v>
      </c>
      <c r="G798" s="17" t="str">
        <f>HYPERLINK("https://www.washoecounty.gov/assessor/cama/?command=sales&amp;parid=01047320","3953333")</f>
        <v>3953333</v>
      </c>
      <c r="H798" t="s">
        <v>1249</v>
      </c>
      <c r="I798">
        <v>1972</v>
      </c>
      <c r="J798">
        <v>1972</v>
      </c>
      <c r="K798" t="s">
        <v>3144</v>
      </c>
      <c r="L798" t="s">
        <v>4555</v>
      </c>
      <c r="M798" s="2">
        <v>1304</v>
      </c>
      <c r="N798" t="s">
        <v>3887</v>
      </c>
      <c r="O798">
        <v>1</v>
      </c>
      <c r="P798">
        <v>1</v>
      </c>
      <c r="Q798">
        <v>0</v>
      </c>
      <c r="R798" t="s">
        <v>5281</v>
      </c>
      <c r="S798" t="s">
        <v>364</v>
      </c>
      <c r="T798" t="s">
        <v>4899</v>
      </c>
      <c r="U798" t="s">
        <v>4655</v>
      </c>
      <c r="V798" s="2">
        <v>0</v>
      </c>
      <c r="W798" t="s">
        <v>4655</v>
      </c>
      <c r="X798" s="2">
        <v>0</v>
      </c>
      <c r="Y798">
        <v>21</v>
      </c>
      <c r="Z798" t="s">
        <v>2705</v>
      </c>
      <c r="AA798" s="3">
        <v>1.00000004749745E-3</v>
      </c>
      <c r="AB798" t="s">
        <v>8913</v>
      </c>
      <c r="AC798" t="s">
        <v>4562</v>
      </c>
      <c r="AD798" t="s">
        <v>8914</v>
      </c>
      <c r="AE798" t="s">
        <v>4655</v>
      </c>
      <c r="AF798" t="s">
        <v>4563</v>
      </c>
      <c r="AG798" t="s">
        <v>4564</v>
      </c>
      <c r="AH798">
        <v>89503</v>
      </c>
      <c r="AI798" t="s">
        <v>4655</v>
      </c>
      <c r="AJ798" t="s">
        <v>4655</v>
      </c>
      <c r="AK798" t="s">
        <v>8915</v>
      </c>
      <c r="AL798" s="13" t="s">
        <v>2255</v>
      </c>
      <c r="AM798" s="14">
        <v>1</v>
      </c>
      <c r="AN798" s="15" t="s">
        <v>1250</v>
      </c>
    </row>
    <row r="799" spans="1:40" x14ac:dyDescent="0.3">
      <c r="A799" s="10" t="str">
        <f>HYPERLINK("http://www.washoecounty.gov/assessor/cama/?parid=010-473-21&amp;CardNumber=1","010-473-21")</f>
        <v>010-473-21</v>
      </c>
      <c r="B799" t="s">
        <v>4655</v>
      </c>
      <c r="C799" t="s">
        <v>1248</v>
      </c>
      <c r="D799" s="1">
        <v>40290</v>
      </c>
      <c r="E799" s="2">
        <v>233000</v>
      </c>
      <c r="F799" t="s">
        <v>4567</v>
      </c>
      <c r="G799" s="17" t="str">
        <f>HYPERLINK("https://www.washoecounty.gov/assessor/cama/?command=sales&amp;parid=01047321","3873787")</f>
        <v>3873787</v>
      </c>
      <c r="H799" t="s">
        <v>1249</v>
      </c>
      <c r="I799">
        <v>1972</v>
      </c>
      <c r="J799">
        <v>1972</v>
      </c>
      <c r="K799" t="s">
        <v>3144</v>
      </c>
      <c r="L799" t="s">
        <v>4555</v>
      </c>
      <c r="M799" s="2">
        <v>1624</v>
      </c>
      <c r="N799" t="s">
        <v>3887</v>
      </c>
      <c r="O799">
        <v>2</v>
      </c>
      <c r="P799">
        <v>2</v>
      </c>
      <c r="Q799">
        <v>0</v>
      </c>
      <c r="R799" t="s">
        <v>5281</v>
      </c>
      <c r="S799" t="s">
        <v>364</v>
      </c>
      <c r="T799" t="s">
        <v>4899</v>
      </c>
      <c r="U799" t="s">
        <v>4655</v>
      </c>
      <c r="V799" s="2">
        <v>0</v>
      </c>
      <c r="W799" t="s">
        <v>4655</v>
      </c>
      <c r="X799" s="2">
        <v>0</v>
      </c>
      <c r="Y799">
        <v>21</v>
      </c>
      <c r="Z799" t="s">
        <v>2705</v>
      </c>
      <c r="AA799" s="3">
        <v>1.00000004749745E-3</v>
      </c>
      <c r="AB799" t="s">
        <v>8916</v>
      </c>
      <c r="AC799" t="s">
        <v>4575</v>
      </c>
      <c r="AD799" t="s">
        <v>8917</v>
      </c>
      <c r="AE799" t="s">
        <v>4655</v>
      </c>
      <c r="AF799" t="s">
        <v>8918</v>
      </c>
      <c r="AG799" t="s">
        <v>2109</v>
      </c>
      <c r="AH799" t="s">
        <v>8919</v>
      </c>
      <c r="AI799" t="s">
        <v>8920</v>
      </c>
      <c r="AJ799" t="s">
        <v>4655</v>
      </c>
      <c r="AK799" t="s">
        <v>8921</v>
      </c>
      <c r="AL799" s="13" t="s">
        <v>2255</v>
      </c>
      <c r="AM799" s="14">
        <v>1</v>
      </c>
      <c r="AN799" s="15" t="s">
        <v>1250</v>
      </c>
    </row>
    <row r="800" spans="1:40" x14ac:dyDescent="0.3">
      <c r="A800" s="10" t="str">
        <f>HYPERLINK("http://www.washoecounty.gov/assessor/cama/?parid=010-473-24&amp;CardNumber=1","010-473-24")</f>
        <v>010-473-24</v>
      </c>
      <c r="B800" t="s">
        <v>4655</v>
      </c>
      <c r="C800" t="s">
        <v>1248</v>
      </c>
      <c r="D800" s="1">
        <v>40204</v>
      </c>
      <c r="E800" s="2">
        <v>227000</v>
      </c>
      <c r="F800" t="s">
        <v>4567</v>
      </c>
      <c r="G800" s="17" t="str">
        <f>HYPERLINK("https://www.washoecounty.gov/assessor/cama/?command=sales&amp;parid=01047324","3842632")</f>
        <v>3842632</v>
      </c>
      <c r="H800" t="s">
        <v>1249</v>
      </c>
      <c r="I800">
        <v>1972</v>
      </c>
      <c r="J800">
        <v>1972</v>
      </c>
      <c r="K800" t="s">
        <v>4897</v>
      </c>
      <c r="L800" t="s">
        <v>4555</v>
      </c>
      <c r="M800" s="2">
        <v>1624</v>
      </c>
      <c r="N800" t="s">
        <v>3887</v>
      </c>
      <c r="O800">
        <v>2</v>
      </c>
      <c r="P800">
        <v>2</v>
      </c>
      <c r="Q800">
        <v>0</v>
      </c>
      <c r="R800" t="s">
        <v>5281</v>
      </c>
      <c r="S800" t="s">
        <v>364</v>
      </c>
      <c r="T800" t="s">
        <v>4899</v>
      </c>
      <c r="U800" t="s">
        <v>4655</v>
      </c>
      <c r="V800" s="2">
        <v>0</v>
      </c>
      <c r="W800" t="s">
        <v>4655</v>
      </c>
      <c r="X800" s="2">
        <v>0</v>
      </c>
      <c r="Y800">
        <v>21</v>
      </c>
      <c r="Z800" t="s">
        <v>2705</v>
      </c>
      <c r="AA800" s="3">
        <v>1.00000004749745E-3</v>
      </c>
      <c r="AB800" t="s">
        <v>8922</v>
      </c>
      <c r="AC800" t="s">
        <v>4562</v>
      </c>
      <c r="AD800" t="s">
        <v>8923</v>
      </c>
      <c r="AE800" t="s">
        <v>4655</v>
      </c>
      <c r="AF800" t="s">
        <v>4563</v>
      </c>
      <c r="AG800" t="s">
        <v>4564</v>
      </c>
      <c r="AH800">
        <v>89503</v>
      </c>
      <c r="AI800" t="s">
        <v>8924</v>
      </c>
      <c r="AJ800" t="s">
        <v>4655</v>
      </c>
      <c r="AK800" t="s">
        <v>8925</v>
      </c>
      <c r="AL800" s="13" t="s">
        <v>2255</v>
      </c>
      <c r="AM800">
        <v>1</v>
      </c>
      <c r="AN800" s="15" t="s">
        <v>1250</v>
      </c>
    </row>
    <row r="801" spans="1:40" x14ac:dyDescent="0.3">
      <c r="A801" s="10" t="str">
        <f>HYPERLINK("http://www.washoecounty.gov/assessor/cama/?parid=010-511-01&amp;CardNumber=1","010-511-01")</f>
        <v>010-511-01</v>
      </c>
      <c r="B801" t="s">
        <v>4655</v>
      </c>
      <c r="C801" t="s">
        <v>8926</v>
      </c>
      <c r="D801" s="1">
        <v>40513</v>
      </c>
      <c r="E801" s="2">
        <v>142500</v>
      </c>
      <c r="F801" t="s">
        <v>4567</v>
      </c>
      <c r="G801" s="17" t="str">
        <f>HYPERLINK("https://www.washoecounty.gov/assessor/cama/?command=sales&amp;parid=01051101","3948513")</f>
        <v>3948513</v>
      </c>
      <c r="H801" t="s">
        <v>2736</v>
      </c>
      <c r="I801">
        <v>1979</v>
      </c>
      <c r="J801">
        <v>1979</v>
      </c>
      <c r="K801" t="s">
        <v>4554</v>
      </c>
      <c r="L801" t="s">
        <v>3974</v>
      </c>
      <c r="M801" s="2">
        <v>2052</v>
      </c>
      <c r="N801" t="s">
        <v>3147</v>
      </c>
      <c r="O801">
        <v>3</v>
      </c>
      <c r="P801">
        <v>2</v>
      </c>
      <c r="Q801">
        <v>1</v>
      </c>
      <c r="R801" t="s">
        <v>4557</v>
      </c>
      <c r="S801" t="s">
        <v>4558</v>
      </c>
      <c r="T801" t="s">
        <v>4143</v>
      </c>
      <c r="U801" t="s">
        <v>4655</v>
      </c>
      <c r="V801" s="2">
        <v>0</v>
      </c>
      <c r="W801" t="s">
        <v>4655</v>
      </c>
      <c r="X801" s="2">
        <v>0</v>
      </c>
      <c r="Y801">
        <v>21</v>
      </c>
      <c r="Z801" t="s">
        <v>385</v>
      </c>
      <c r="AA801" s="3">
        <v>0.10599173605442</v>
      </c>
      <c r="AB801" t="s">
        <v>8927</v>
      </c>
      <c r="AC801" t="s">
        <v>4575</v>
      </c>
      <c r="AD801" t="s">
        <v>8928</v>
      </c>
      <c r="AE801" t="s">
        <v>5171</v>
      </c>
      <c r="AF801" t="s">
        <v>4563</v>
      </c>
      <c r="AG801" t="s">
        <v>4564</v>
      </c>
      <c r="AH801">
        <v>89511</v>
      </c>
      <c r="AI801" t="s">
        <v>8929</v>
      </c>
      <c r="AJ801" t="s">
        <v>4655</v>
      </c>
      <c r="AK801" t="s">
        <v>8930</v>
      </c>
      <c r="AL801" s="13" t="s">
        <v>2255</v>
      </c>
      <c r="AM801" s="14">
        <v>1</v>
      </c>
      <c r="AN801" s="15" t="s">
        <v>2740</v>
      </c>
    </row>
    <row r="802" spans="1:40" x14ac:dyDescent="0.3">
      <c r="A802" s="10" t="str">
        <f>HYPERLINK("http://www.washoecounty.gov/assessor/cama/?parid=010-512-05&amp;CardNumber=1","010-512-05")</f>
        <v>010-512-05</v>
      </c>
      <c r="B802" t="s">
        <v>4655</v>
      </c>
      <c r="C802" t="s">
        <v>8931</v>
      </c>
      <c r="D802" s="1">
        <v>40436</v>
      </c>
      <c r="E802" s="2">
        <v>208000</v>
      </c>
      <c r="F802" t="s">
        <v>4567</v>
      </c>
      <c r="G802" s="17" t="str">
        <f>HYPERLINK("https://www.washoecounty.gov/assessor/cama/?command=sales&amp;parid=01051205","3922752")</f>
        <v>3922752</v>
      </c>
      <c r="H802" t="s">
        <v>2736</v>
      </c>
      <c r="I802">
        <v>1977</v>
      </c>
      <c r="J802">
        <v>1977</v>
      </c>
      <c r="K802" t="s">
        <v>4554</v>
      </c>
      <c r="L802" t="s">
        <v>4555</v>
      </c>
      <c r="M802" s="2">
        <v>1774</v>
      </c>
      <c r="N802" t="s">
        <v>3147</v>
      </c>
      <c r="O802">
        <v>3</v>
      </c>
      <c r="P802">
        <v>2</v>
      </c>
      <c r="Q802">
        <v>0</v>
      </c>
      <c r="R802" t="s">
        <v>4557</v>
      </c>
      <c r="S802" t="s">
        <v>4558</v>
      </c>
      <c r="T802" t="s">
        <v>4559</v>
      </c>
      <c r="U802" t="s">
        <v>4560</v>
      </c>
      <c r="V802" s="2">
        <v>483</v>
      </c>
      <c r="W802" t="s">
        <v>4655</v>
      </c>
      <c r="X802" s="2">
        <v>0</v>
      </c>
      <c r="Y802">
        <v>21</v>
      </c>
      <c r="Z802" t="s">
        <v>385</v>
      </c>
      <c r="AA802" s="3">
        <v>1.00000004749745E-3</v>
      </c>
      <c r="AB802" t="s">
        <v>8932</v>
      </c>
      <c r="AC802" t="s">
        <v>4575</v>
      </c>
      <c r="AD802" t="s">
        <v>8933</v>
      </c>
      <c r="AE802" t="s">
        <v>4655</v>
      </c>
      <c r="AF802" t="s">
        <v>8934</v>
      </c>
      <c r="AG802" t="s">
        <v>4584</v>
      </c>
      <c r="AH802">
        <v>96111</v>
      </c>
      <c r="AI802" t="s">
        <v>4655</v>
      </c>
      <c r="AJ802" t="s">
        <v>4655</v>
      </c>
      <c r="AK802" t="s">
        <v>8935</v>
      </c>
      <c r="AL802" s="13" t="s">
        <v>2255</v>
      </c>
      <c r="AM802" s="14">
        <v>1</v>
      </c>
      <c r="AN802" s="15" t="s">
        <v>2740</v>
      </c>
    </row>
    <row r="803" spans="1:40" x14ac:dyDescent="0.3">
      <c r="A803" s="10" t="str">
        <f>HYPERLINK("http://www.washoecounty.gov/assessor/cama/?parid=010-512-49&amp;CardNumber=1","010-512-49")</f>
        <v>010-512-49</v>
      </c>
      <c r="B803" t="s">
        <v>4655</v>
      </c>
      <c r="C803" t="s">
        <v>8936</v>
      </c>
      <c r="D803" s="1">
        <v>40417</v>
      </c>
      <c r="E803" s="2">
        <v>150282</v>
      </c>
      <c r="F803" t="s">
        <v>4567</v>
      </c>
      <c r="G803" s="17" t="str">
        <f>HYPERLINK("https://www.washoecounty.gov/assessor/cama/?command=sales&amp;parid=01051249","3916582")</f>
        <v>3916582</v>
      </c>
      <c r="H803" t="s">
        <v>2736</v>
      </c>
      <c r="I803">
        <v>1979</v>
      </c>
      <c r="J803">
        <v>1979</v>
      </c>
      <c r="K803" t="s">
        <v>4554</v>
      </c>
      <c r="L803" t="s">
        <v>4555</v>
      </c>
      <c r="M803" s="2">
        <v>1838</v>
      </c>
      <c r="N803" t="s">
        <v>3147</v>
      </c>
      <c r="O803">
        <v>2</v>
      </c>
      <c r="P803">
        <v>2</v>
      </c>
      <c r="Q803">
        <v>0</v>
      </c>
      <c r="R803" t="s">
        <v>4557</v>
      </c>
      <c r="S803" t="s">
        <v>4558</v>
      </c>
      <c r="T803" t="s">
        <v>4559</v>
      </c>
      <c r="U803" t="s">
        <v>4560</v>
      </c>
      <c r="V803" s="2">
        <v>483</v>
      </c>
      <c r="W803" t="s">
        <v>4655</v>
      </c>
      <c r="X803" s="2">
        <v>0</v>
      </c>
      <c r="Y803">
        <v>21</v>
      </c>
      <c r="Z803" t="s">
        <v>385</v>
      </c>
      <c r="AA803" s="3">
        <v>1.00000004749745E-3</v>
      </c>
      <c r="AB803" t="s">
        <v>8937</v>
      </c>
      <c r="AC803" t="s">
        <v>4562</v>
      </c>
      <c r="AD803" t="s">
        <v>8938</v>
      </c>
      <c r="AE803" t="s">
        <v>4655</v>
      </c>
      <c r="AF803" t="s">
        <v>4563</v>
      </c>
      <c r="AG803" t="s">
        <v>4564</v>
      </c>
      <c r="AH803">
        <v>89502</v>
      </c>
      <c r="AI803" t="s">
        <v>8939</v>
      </c>
      <c r="AJ803" t="s">
        <v>4655</v>
      </c>
      <c r="AK803" t="s">
        <v>8940</v>
      </c>
      <c r="AL803" s="13" t="s">
        <v>2255</v>
      </c>
      <c r="AM803" s="14">
        <v>1</v>
      </c>
      <c r="AN803" s="15" t="s">
        <v>2740</v>
      </c>
    </row>
    <row r="804" spans="1:40" x14ac:dyDescent="0.3">
      <c r="A804" s="10" t="str">
        <f>HYPERLINK("http://www.washoecounty.gov/assessor/cama/?parid=010-520-09&amp;CardNumber=1","010-520-09")</f>
        <v>010-520-09</v>
      </c>
      <c r="B804" t="s">
        <v>4655</v>
      </c>
      <c r="C804" t="s">
        <v>8941</v>
      </c>
      <c r="D804" s="1">
        <v>40435</v>
      </c>
      <c r="E804" s="2">
        <v>168000</v>
      </c>
      <c r="F804" t="s">
        <v>4567</v>
      </c>
      <c r="G804" s="17" t="str">
        <f>HYPERLINK("https://www.washoecounty.gov/assessor/cama/?command=sales&amp;parid=01052009","3922124")</f>
        <v>3922124</v>
      </c>
      <c r="H804" t="s">
        <v>2736</v>
      </c>
      <c r="I804">
        <v>1976</v>
      </c>
      <c r="J804">
        <v>1976</v>
      </c>
      <c r="K804" t="s">
        <v>4554</v>
      </c>
      <c r="L804" t="s">
        <v>4555</v>
      </c>
      <c r="M804" s="2">
        <v>1723</v>
      </c>
      <c r="N804" t="s">
        <v>3147</v>
      </c>
      <c r="O804">
        <v>3</v>
      </c>
      <c r="P804">
        <v>2</v>
      </c>
      <c r="Q804">
        <v>0</v>
      </c>
      <c r="R804" t="s">
        <v>5281</v>
      </c>
      <c r="S804" t="s">
        <v>4558</v>
      </c>
      <c r="T804" t="s">
        <v>2704</v>
      </c>
      <c r="U804" t="s">
        <v>4560</v>
      </c>
      <c r="V804" s="2">
        <v>506</v>
      </c>
      <c r="W804" t="s">
        <v>4655</v>
      </c>
      <c r="X804" s="2">
        <v>0</v>
      </c>
      <c r="Y804">
        <v>21</v>
      </c>
      <c r="Z804" t="s">
        <v>385</v>
      </c>
      <c r="AA804" s="3">
        <v>1.00000004749745E-3</v>
      </c>
      <c r="AB804" t="s">
        <v>8942</v>
      </c>
      <c r="AC804" t="s">
        <v>4562</v>
      </c>
      <c r="AD804" t="s">
        <v>8943</v>
      </c>
      <c r="AE804" t="s">
        <v>4655</v>
      </c>
      <c r="AF804" t="s">
        <v>4563</v>
      </c>
      <c r="AG804" t="s">
        <v>4564</v>
      </c>
      <c r="AH804">
        <v>89509</v>
      </c>
      <c r="AI804" t="s">
        <v>8944</v>
      </c>
      <c r="AJ804" t="s">
        <v>4655</v>
      </c>
      <c r="AK804" t="s">
        <v>8945</v>
      </c>
      <c r="AL804" s="13" t="s">
        <v>2255</v>
      </c>
      <c r="AM804" s="14">
        <v>1</v>
      </c>
      <c r="AN804" s="15" t="s">
        <v>2740</v>
      </c>
    </row>
    <row r="805" spans="1:40" x14ac:dyDescent="0.3">
      <c r="A805" s="10" t="str">
        <f>HYPERLINK("http://www.washoecounty.gov/assessor/cama/?parid=010-535-39&amp;CardNumber=1","010-535-39")</f>
        <v>010-535-39</v>
      </c>
      <c r="B805" t="s">
        <v>4655</v>
      </c>
      <c r="C805" t="s">
        <v>2125</v>
      </c>
      <c r="D805" s="1">
        <v>40505</v>
      </c>
      <c r="E805" s="2">
        <v>135155</v>
      </c>
      <c r="F805" t="s">
        <v>4553</v>
      </c>
      <c r="G805" s="17" t="str">
        <f>HYPERLINK("https://www.washoecounty.gov/assessor/cama/?command=sales&amp;parid=01053539","3946172")</f>
        <v>3946172</v>
      </c>
      <c r="H805" t="s">
        <v>2126</v>
      </c>
      <c r="I805">
        <v>1984</v>
      </c>
      <c r="J805">
        <v>1984</v>
      </c>
      <c r="K805" t="s">
        <v>4897</v>
      </c>
      <c r="L805" t="s">
        <v>4555</v>
      </c>
      <c r="M805" s="2">
        <v>1341</v>
      </c>
      <c r="N805" t="s">
        <v>3147</v>
      </c>
      <c r="O805">
        <v>2</v>
      </c>
      <c r="P805">
        <v>2</v>
      </c>
      <c r="Q805">
        <v>0</v>
      </c>
      <c r="R805" t="s">
        <v>5281</v>
      </c>
      <c r="S805" t="s">
        <v>3148</v>
      </c>
      <c r="T805" t="s">
        <v>2704</v>
      </c>
      <c r="U805" t="s">
        <v>4655</v>
      </c>
      <c r="V805" s="2">
        <v>0</v>
      </c>
      <c r="W805" t="s">
        <v>4655</v>
      </c>
      <c r="X805" s="2">
        <v>0</v>
      </c>
      <c r="Y805">
        <v>21</v>
      </c>
      <c r="Z805" t="s">
        <v>2705</v>
      </c>
      <c r="AA805" s="3">
        <v>1.00000004749745E-3</v>
      </c>
      <c r="AB805" t="s">
        <v>8946</v>
      </c>
      <c r="AC805" t="s">
        <v>4562</v>
      </c>
      <c r="AD805" t="s">
        <v>8947</v>
      </c>
      <c r="AE805" t="s">
        <v>4655</v>
      </c>
      <c r="AF805" t="s">
        <v>4563</v>
      </c>
      <c r="AG805" t="s">
        <v>4564</v>
      </c>
      <c r="AH805" t="s">
        <v>8948</v>
      </c>
      <c r="AI805" t="s">
        <v>4903</v>
      </c>
      <c r="AJ805" t="s">
        <v>4655</v>
      </c>
      <c r="AK805" t="s">
        <v>8949</v>
      </c>
      <c r="AL805" s="13" t="s">
        <v>2255</v>
      </c>
      <c r="AM805" s="14">
        <v>1</v>
      </c>
      <c r="AN805" s="15" t="s">
        <v>1782</v>
      </c>
    </row>
    <row r="806" spans="1:40" x14ac:dyDescent="0.3">
      <c r="A806" s="10" t="str">
        <f>HYPERLINK("http://www.washoecounty.gov/assessor/cama/?parid=010-541-35&amp;CardNumber=1","010-541-35")</f>
        <v>010-541-35</v>
      </c>
      <c r="B806" t="s">
        <v>4655</v>
      </c>
      <c r="C806" t="s">
        <v>1781</v>
      </c>
      <c r="D806" s="1">
        <v>40249</v>
      </c>
      <c r="E806" s="2">
        <v>130000</v>
      </c>
      <c r="F806" t="s">
        <v>4553</v>
      </c>
      <c r="G806" s="17" t="str">
        <f>HYPERLINK("https://www.washoecounty.gov/assessor/cama/?command=sales&amp;parid=01054135","3858936")</f>
        <v>3858936</v>
      </c>
      <c r="H806" t="s">
        <v>8950</v>
      </c>
      <c r="I806">
        <v>1987</v>
      </c>
      <c r="J806">
        <v>1987</v>
      </c>
      <c r="K806" t="s">
        <v>4897</v>
      </c>
      <c r="L806" t="s">
        <v>3974</v>
      </c>
      <c r="M806" s="2">
        <v>1259</v>
      </c>
      <c r="N806" t="s">
        <v>3147</v>
      </c>
      <c r="O806">
        <v>2</v>
      </c>
      <c r="P806">
        <v>2</v>
      </c>
      <c r="Q806">
        <v>1</v>
      </c>
      <c r="R806" t="s">
        <v>5281</v>
      </c>
      <c r="S806" t="s">
        <v>4558</v>
      </c>
      <c r="T806" t="s">
        <v>4559</v>
      </c>
      <c r="U806" t="s">
        <v>5631</v>
      </c>
      <c r="V806" s="2">
        <v>456</v>
      </c>
      <c r="W806" t="s">
        <v>4655</v>
      </c>
      <c r="X806" s="2">
        <v>0</v>
      </c>
      <c r="Y806">
        <v>21</v>
      </c>
      <c r="Z806" t="s">
        <v>2705</v>
      </c>
      <c r="AA806" s="3">
        <v>1.00000004749745E-3</v>
      </c>
      <c r="AB806" t="s">
        <v>8951</v>
      </c>
      <c r="AC806" t="s">
        <v>4562</v>
      </c>
      <c r="AD806" t="s">
        <v>8952</v>
      </c>
      <c r="AE806" t="s">
        <v>4655</v>
      </c>
      <c r="AF806" t="s">
        <v>4563</v>
      </c>
      <c r="AG806" t="s">
        <v>4564</v>
      </c>
      <c r="AH806">
        <v>89509</v>
      </c>
      <c r="AI806" t="s">
        <v>4045</v>
      </c>
      <c r="AJ806" t="s">
        <v>4655</v>
      </c>
      <c r="AK806" t="s">
        <v>8953</v>
      </c>
      <c r="AL806" s="13" t="s">
        <v>2255</v>
      </c>
      <c r="AM806">
        <v>1</v>
      </c>
      <c r="AN806" s="15" t="s">
        <v>1782</v>
      </c>
    </row>
    <row r="807" spans="1:40" x14ac:dyDescent="0.3">
      <c r="A807" s="10" t="str">
        <f>HYPERLINK("http://www.washoecounty.gov/assessor/cama/?parid=010-544-03&amp;CardNumber=1","010-544-03")</f>
        <v>010-544-03</v>
      </c>
      <c r="B807" t="s">
        <v>4655</v>
      </c>
      <c r="C807" t="s">
        <v>1781</v>
      </c>
      <c r="D807" s="1">
        <v>40381</v>
      </c>
      <c r="E807" s="2">
        <v>200000</v>
      </c>
      <c r="F807" t="s">
        <v>4567</v>
      </c>
      <c r="G807" s="17" t="str">
        <f>HYPERLINK("https://www.washoecounty.gov/assessor/cama/?command=sales&amp;parid=01054403","3904049")</f>
        <v>3904049</v>
      </c>
      <c r="H807" t="s">
        <v>8954</v>
      </c>
      <c r="I807">
        <v>1987</v>
      </c>
      <c r="J807">
        <v>1987</v>
      </c>
      <c r="K807" t="s">
        <v>3144</v>
      </c>
      <c r="L807" t="s">
        <v>4555</v>
      </c>
      <c r="M807" s="2">
        <v>1177</v>
      </c>
      <c r="N807" t="s">
        <v>3147</v>
      </c>
      <c r="O807">
        <v>2</v>
      </c>
      <c r="P807">
        <v>2</v>
      </c>
      <c r="Q807">
        <v>0</v>
      </c>
      <c r="R807" t="s">
        <v>4557</v>
      </c>
      <c r="S807" t="s">
        <v>4558</v>
      </c>
      <c r="T807" t="s">
        <v>4559</v>
      </c>
      <c r="U807" t="s">
        <v>5631</v>
      </c>
      <c r="V807" s="2">
        <v>299</v>
      </c>
      <c r="W807" t="s">
        <v>4655</v>
      </c>
      <c r="X807" s="2">
        <v>0</v>
      </c>
      <c r="Y807">
        <v>21</v>
      </c>
      <c r="Z807" t="s">
        <v>2705</v>
      </c>
      <c r="AA807" s="3">
        <v>1.00000004749745E-3</v>
      </c>
      <c r="AB807" t="s">
        <v>8955</v>
      </c>
      <c r="AC807" t="s">
        <v>4562</v>
      </c>
      <c r="AD807" t="s">
        <v>8956</v>
      </c>
      <c r="AE807" t="s">
        <v>4655</v>
      </c>
      <c r="AF807" t="s">
        <v>8957</v>
      </c>
      <c r="AG807" t="s">
        <v>4564</v>
      </c>
      <c r="AH807" t="s">
        <v>4146</v>
      </c>
      <c r="AI807" t="s">
        <v>8958</v>
      </c>
      <c r="AJ807" t="s">
        <v>4655</v>
      </c>
      <c r="AK807" t="s">
        <v>8959</v>
      </c>
      <c r="AL807" s="13" t="s">
        <v>2255</v>
      </c>
      <c r="AM807">
        <v>1</v>
      </c>
      <c r="AN807" s="15" t="s">
        <v>1782</v>
      </c>
    </row>
    <row r="808" spans="1:40" x14ac:dyDescent="0.3">
      <c r="A808" s="10" t="str">
        <f>HYPERLINK("http://www.washoecounty.gov/assessor/cama/?parid=010-550-04&amp;CardNumber=1","010-550-04")</f>
        <v>010-550-04</v>
      </c>
      <c r="B808" t="s">
        <v>4655</v>
      </c>
      <c r="C808" t="s">
        <v>8960</v>
      </c>
      <c r="D808" s="1">
        <v>40283</v>
      </c>
      <c r="E808" s="2">
        <v>177000</v>
      </c>
      <c r="F808" t="s">
        <v>4553</v>
      </c>
      <c r="G808" s="17" t="str">
        <f>HYPERLINK("https://www.washoecounty.gov/assessor/cama/?command=sales&amp;parid=01055004","3871234")</f>
        <v>3871234</v>
      </c>
      <c r="H808" t="s">
        <v>8961</v>
      </c>
      <c r="I808">
        <v>1987</v>
      </c>
      <c r="J808">
        <v>1987</v>
      </c>
      <c r="K808" t="s">
        <v>4554</v>
      </c>
      <c r="L808" t="s">
        <v>3974</v>
      </c>
      <c r="M808" s="2">
        <v>1761</v>
      </c>
      <c r="N808" t="s">
        <v>4048</v>
      </c>
      <c r="O808">
        <v>2</v>
      </c>
      <c r="P808">
        <v>2</v>
      </c>
      <c r="Q808">
        <v>1</v>
      </c>
      <c r="R808" t="s">
        <v>5281</v>
      </c>
      <c r="S808" t="s">
        <v>4558</v>
      </c>
      <c r="T808" t="s">
        <v>4559</v>
      </c>
      <c r="U808" t="s">
        <v>4560</v>
      </c>
      <c r="V808" s="2">
        <v>400</v>
      </c>
      <c r="W808" t="s">
        <v>4655</v>
      </c>
      <c r="X808" s="2">
        <v>0</v>
      </c>
      <c r="Y808">
        <v>21</v>
      </c>
      <c r="Z808" t="s">
        <v>385</v>
      </c>
      <c r="AA808" s="3">
        <v>2.6997245848178902E-2</v>
      </c>
      <c r="AB808" t="s">
        <v>8962</v>
      </c>
      <c r="AC808" t="s">
        <v>4562</v>
      </c>
      <c r="AD808" t="s">
        <v>8963</v>
      </c>
      <c r="AE808" t="s">
        <v>4655</v>
      </c>
      <c r="AF808" t="s">
        <v>4563</v>
      </c>
      <c r="AG808" t="s">
        <v>4564</v>
      </c>
      <c r="AH808">
        <v>89509</v>
      </c>
      <c r="AI808" t="s">
        <v>8964</v>
      </c>
      <c r="AJ808" t="s">
        <v>4655</v>
      </c>
      <c r="AK808" t="s">
        <v>8965</v>
      </c>
      <c r="AL808" s="13" t="s">
        <v>2257</v>
      </c>
      <c r="AM808">
        <v>1</v>
      </c>
      <c r="AN808" s="15" t="s">
        <v>1782</v>
      </c>
    </row>
    <row r="809" spans="1:40" x14ac:dyDescent="0.3">
      <c r="A809" s="10" t="str">
        <f>HYPERLINK("http://www.washoecounty.gov/assessor/cama/?parid=010-575-01&amp;CardNumber=1","010-575-01")</f>
        <v>010-575-01</v>
      </c>
      <c r="B809" t="s">
        <v>4655</v>
      </c>
      <c r="C809" t="s">
        <v>3478</v>
      </c>
      <c r="D809" s="1">
        <v>40205</v>
      </c>
      <c r="E809" s="2">
        <v>316686</v>
      </c>
      <c r="F809" t="s">
        <v>4567</v>
      </c>
      <c r="G809" s="17" t="str">
        <f>HYPERLINK("https://www.washoecounty.gov/assessor/cama/?command=sales&amp;parid=01057501","3843258")</f>
        <v>3843258</v>
      </c>
      <c r="H809" t="s">
        <v>3913</v>
      </c>
      <c r="I809">
        <v>2006</v>
      </c>
      <c r="J809">
        <v>2006</v>
      </c>
      <c r="K809" t="s">
        <v>4897</v>
      </c>
      <c r="L809" t="s">
        <v>4555</v>
      </c>
      <c r="M809" s="2">
        <v>978</v>
      </c>
      <c r="N809" t="s">
        <v>3147</v>
      </c>
      <c r="O809">
        <v>2</v>
      </c>
      <c r="P809">
        <v>1</v>
      </c>
      <c r="Q809">
        <v>0</v>
      </c>
      <c r="R809" t="s">
        <v>5281</v>
      </c>
      <c r="S809" t="s">
        <v>4135</v>
      </c>
      <c r="T809" t="s">
        <v>4559</v>
      </c>
      <c r="U809" t="s">
        <v>4655</v>
      </c>
      <c r="V809" s="2">
        <v>0</v>
      </c>
      <c r="W809" t="s">
        <v>4655</v>
      </c>
      <c r="X809" s="2">
        <v>0</v>
      </c>
      <c r="Y809">
        <v>25</v>
      </c>
      <c r="Z809" t="s">
        <v>2705</v>
      </c>
      <c r="AA809" s="3">
        <v>2.14876029640436E-2</v>
      </c>
      <c r="AB809" t="s">
        <v>8966</v>
      </c>
      <c r="AC809" t="s">
        <v>4562</v>
      </c>
      <c r="AD809" t="s">
        <v>8967</v>
      </c>
      <c r="AE809" t="s">
        <v>4655</v>
      </c>
      <c r="AF809" t="s">
        <v>5206</v>
      </c>
      <c r="AG809" t="s">
        <v>4564</v>
      </c>
      <c r="AH809" t="s">
        <v>5207</v>
      </c>
      <c r="AI809" t="s">
        <v>8968</v>
      </c>
      <c r="AJ809" t="s">
        <v>3034</v>
      </c>
      <c r="AK809" t="s">
        <v>8969</v>
      </c>
      <c r="AL809" s="13" t="s">
        <v>2255</v>
      </c>
      <c r="AM809" s="14">
        <v>1</v>
      </c>
      <c r="AN809" s="15" t="s">
        <v>3035</v>
      </c>
    </row>
    <row r="810" spans="1:40" x14ac:dyDescent="0.3">
      <c r="A810" s="10" t="str">
        <f>HYPERLINK("http://www.washoecounty.gov/assessor/cama/?parid=010-575-05&amp;CardNumber=1","010-575-05")</f>
        <v>010-575-05</v>
      </c>
      <c r="B810" t="s">
        <v>4655</v>
      </c>
      <c r="C810" t="s">
        <v>3478</v>
      </c>
      <c r="D810" s="1">
        <v>40205</v>
      </c>
      <c r="E810" s="2">
        <v>316686</v>
      </c>
      <c r="F810" t="s">
        <v>4567</v>
      </c>
      <c r="G810" s="17" t="str">
        <f>HYPERLINK("https://www.washoecounty.gov/assessor/cama/?command=sales&amp;parid=01057505","3843258")</f>
        <v>3843258</v>
      </c>
      <c r="H810" t="s">
        <v>3913</v>
      </c>
      <c r="I810">
        <v>2006</v>
      </c>
      <c r="J810">
        <v>2006</v>
      </c>
      <c r="K810" t="s">
        <v>4897</v>
      </c>
      <c r="L810" t="s">
        <v>4555</v>
      </c>
      <c r="M810" s="2">
        <v>803</v>
      </c>
      <c r="N810" t="s">
        <v>3147</v>
      </c>
      <c r="O810">
        <v>1</v>
      </c>
      <c r="P810">
        <v>1</v>
      </c>
      <c r="Q810">
        <v>0</v>
      </c>
      <c r="R810" t="s">
        <v>5281</v>
      </c>
      <c r="S810" t="s">
        <v>4135</v>
      </c>
      <c r="T810" t="s">
        <v>4559</v>
      </c>
      <c r="U810" t="s">
        <v>4655</v>
      </c>
      <c r="V810" s="2">
        <v>0</v>
      </c>
      <c r="W810" t="s">
        <v>4655</v>
      </c>
      <c r="X810" s="2">
        <v>0</v>
      </c>
      <c r="Y810">
        <v>25</v>
      </c>
      <c r="Z810" t="s">
        <v>2705</v>
      </c>
      <c r="AA810" s="3">
        <v>1.7561983317136799E-2</v>
      </c>
      <c r="AB810" t="s">
        <v>8966</v>
      </c>
      <c r="AC810" t="s">
        <v>4562</v>
      </c>
      <c r="AD810" t="s">
        <v>8967</v>
      </c>
      <c r="AE810" t="s">
        <v>4655</v>
      </c>
      <c r="AF810" t="s">
        <v>5206</v>
      </c>
      <c r="AG810" t="s">
        <v>4564</v>
      </c>
      <c r="AH810" t="s">
        <v>5207</v>
      </c>
      <c r="AI810" t="s">
        <v>8968</v>
      </c>
      <c r="AJ810" t="s">
        <v>3034</v>
      </c>
      <c r="AK810" t="s">
        <v>8970</v>
      </c>
      <c r="AL810" s="13" t="s">
        <v>2255</v>
      </c>
      <c r="AM810" s="14">
        <v>1</v>
      </c>
      <c r="AN810" s="15" t="s">
        <v>3035</v>
      </c>
    </row>
    <row r="811" spans="1:40" x14ac:dyDescent="0.3">
      <c r="A811" s="10" t="str">
        <f>HYPERLINK("http://www.washoecounty.gov/assessor/cama/?parid=010-576-07&amp;CardNumber=1","010-576-07")</f>
        <v>010-576-07</v>
      </c>
      <c r="B811" t="s">
        <v>4655</v>
      </c>
      <c r="C811" t="s">
        <v>3478</v>
      </c>
      <c r="D811" s="1">
        <v>40205</v>
      </c>
      <c r="E811" s="2">
        <v>316686</v>
      </c>
      <c r="F811" t="s">
        <v>4567</v>
      </c>
      <c r="G811" s="17" t="str">
        <f>HYPERLINK("https://www.washoecounty.gov/assessor/cama/?command=sales&amp;parid=01057607","3843258")</f>
        <v>3843258</v>
      </c>
      <c r="H811" t="s">
        <v>3913</v>
      </c>
      <c r="I811">
        <v>2006</v>
      </c>
      <c r="J811">
        <v>2006</v>
      </c>
      <c r="K811" t="s">
        <v>4897</v>
      </c>
      <c r="L811" t="s">
        <v>4555</v>
      </c>
      <c r="M811" s="2">
        <v>1104</v>
      </c>
      <c r="N811" t="s">
        <v>3147</v>
      </c>
      <c r="O811">
        <v>2</v>
      </c>
      <c r="P811">
        <v>2</v>
      </c>
      <c r="Q811">
        <v>0</v>
      </c>
      <c r="R811" t="s">
        <v>5281</v>
      </c>
      <c r="S811" t="s">
        <v>4135</v>
      </c>
      <c r="T811" t="s">
        <v>4559</v>
      </c>
      <c r="U811" t="s">
        <v>4655</v>
      </c>
      <c r="V811" s="2">
        <v>0</v>
      </c>
      <c r="W811" t="s">
        <v>4655</v>
      </c>
      <c r="X811" s="2">
        <v>0</v>
      </c>
      <c r="Y811">
        <v>25</v>
      </c>
      <c r="Z811" t="s">
        <v>2705</v>
      </c>
      <c r="AA811" s="3">
        <v>2.3966941982507699E-2</v>
      </c>
      <c r="AB811" t="s">
        <v>8966</v>
      </c>
      <c r="AC811" t="s">
        <v>4562</v>
      </c>
      <c r="AD811" t="s">
        <v>8967</v>
      </c>
      <c r="AE811" t="s">
        <v>4655</v>
      </c>
      <c r="AF811" t="s">
        <v>5206</v>
      </c>
      <c r="AG811" t="s">
        <v>4564</v>
      </c>
      <c r="AH811" t="s">
        <v>5207</v>
      </c>
      <c r="AI811" t="s">
        <v>8971</v>
      </c>
      <c r="AJ811" t="s">
        <v>3034</v>
      </c>
      <c r="AK811" t="s">
        <v>8972</v>
      </c>
      <c r="AL811" s="13" t="s">
        <v>2255</v>
      </c>
      <c r="AM811" s="14">
        <v>1</v>
      </c>
      <c r="AN811" s="15" t="s">
        <v>3035</v>
      </c>
    </row>
    <row r="812" spans="1:40" x14ac:dyDescent="0.3">
      <c r="A812" s="10" t="str">
        <f>HYPERLINK("http://www.washoecounty.gov/assessor/cama/?parid=010-578-02&amp;CardNumber=1","010-578-02")</f>
        <v>010-578-02</v>
      </c>
      <c r="B812" t="s">
        <v>4655</v>
      </c>
      <c r="C812" t="s">
        <v>3478</v>
      </c>
      <c r="D812" s="1">
        <v>40205</v>
      </c>
      <c r="E812" s="2">
        <v>316686</v>
      </c>
      <c r="F812" t="s">
        <v>4567</v>
      </c>
      <c r="G812" s="17" t="str">
        <f>HYPERLINK("https://www.washoecounty.gov/assessor/cama/?command=sales&amp;parid=01057802","3843258")</f>
        <v>3843258</v>
      </c>
      <c r="H812" t="s">
        <v>3913</v>
      </c>
      <c r="I812">
        <v>2006</v>
      </c>
      <c r="J812">
        <v>2006</v>
      </c>
      <c r="K812" t="s">
        <v>4897</v>
      </c>
      <c r="L812" t="s">
        <v>4555</v>
      </c>
      <c r="M812" s="2">
        <v>930</v>
      </c>
      <c r="N812" t="s">
        <v>3147</v>
      </c>
      <c r="O812">
        <v>2</v>
      </c>
      <c r="P812">
        <v>2</v>
      </c>
      <c r="Q812">
        <v>0</v>
      </c>
      <c r="R812" t="s">
        <v>5281</v>
      </c>
      <c r="S812" t="s">
        <v>4135</v>
      </c>
      <c r="T812" t="s">
        <v>4559</v>
      </c>
      <c r="U812" t="s">
        <v>4655</v>
      </c>
      <c r="V812" s="2">
        <v>0</v>
      </c>
      <c r="W812" t="s">
        <v>4655</v>
      </c>
      <c r="X812" s="2">
        <v>0</v>
      </c>
      <c r="Y812">
        <v>25</v>
      </c>
      <c r="Z812" t="s">
        <v>2705</v>
      </c>
      <c r="AA812" s="3">
        <v>2.0431589335203199E-2</v>
      </c>
      <c r="AB812" t="s">
        <v>8966</v>
      </c>
      <c r="AC812" t="s">
        <v>4562</v>
      </c>
      <c r="AD812" t="s">
        <v>8967</v>
      </c>
      <c r="AE812" t="s">
        <v>4655</v>
      </c>
      <c r="AF812" t="s">
        <v>5206</v>
      </c>
      <c r="AG812" t="s">
        <v>4564</v>
      </c>
      <c r="AH812" t="s">
        <v>5207</v>
      </c>
      <c r="AI812" t="s">
        <v>8971</v>
      </c>
      <c r="AJ812" t="s">
        <v>3034</v>
      </c>
      <c r="AK812" t="s">
        <v>8973</v>
      </c>
      <c r="AL812" s="13" t="s">
        <v>2255</v>
      </c>
      <c r="AM812">
        <v>1</v>
      </c>
      <c r="AN812" s="15" t="s">
        <v>3035</v>
      </c>
    </row>
    <row r="813" spans="1:40" x14ac:dyDescent="0.3">
      <c r="A813" s="10" t="str">
        <f>HYPERLINK("http://www.washoecounty.gov/assessor/cama/?parid=010-578-08&amp;CardNumber=1","010-578-08")</f>
        <v>010-578-08</v>
      </c>
      <c r="B813" t="s">
        <v>4655</v>
      </c>
      <c r="C813" t="s">
        <v>3478</v>
      </c>
      <c r="D813" s="1">
        <v>40409</v>
      </c>
      <c r="E813" s="2">
        <v>120000</v>
      </c>
      <c r="F813" t="s">
        <v>4567</v>
      </c>
      <c r="G813" s="17" t="str">
        <f>HYPERLINK("https://www.washoecounty.gov/assessor/cama/?command=sales&amp;parid=01057808","3913771")</f>
        <v>3913771</v>
      </c>
      <c r="H813" t="s">
        <v>3913</v>
      </c>
      <c r="I813">
        <v>2006</v>
      </c>
      <c r="J813">
        <v>2006</v>
      </c>
      <c r="K813" t="s">
        <v>4897</v>
      </c>
      <c r="L813" t="s">
        <v>4555</v>
      </c>
      <c r="M813" s="2">
        <v>930</v>
      </c>
      <c r="N813" t="s">
        <v>3147</v>
      </c>
      <c r="O813">
        <v>2</v>
      </c>
      <c r="P813">
        <v>2</v>
      </c>
      <c r="Q813">
        <v>0</v>
      </c>
      <c r="R813" t="s">
        <v>5281</v>
      </c>
      <c r="S813" t="s">
        <v>4135</v>
      </c>
      <c r="T813" t="s">
        <v>4559</v>
      </c>
      <c r="U813" t="s">
        <v>4655</v>
      </c>
      <c r="V813" s="2">
        <v>0</v>
      </c>
      <c r="W813" t="s">
        <v>4655</v>
      </c>
      <c r="X813" s="2">
        <v>0</v>
      </c>
      <c r="Y813">
        <v>25</v>
      </c>
      <c r="Z813" t="s">
        <v>2705</v>
      </c>
      <c r="AA813" s="3">
        <v>2.0431589335203199E-2</v>
      </c>
      <c r="AB813" t="s">
        <v>8974</v>
      </c>
      <c r="AC813" t="s">
        <v>4562</v>
      </c>
      <c r="AD813" t="s">
        <v>8975</v>
      </c>
      <c r="AE813" t="s">
        <v>4655</v>
      </c>
      <c r="AF813" t="s">
        <v>4563</v>
      </c>
      <c r="AG813" t="s">
        <v>4564</v>
      </c>
      <c r="AH813">
        <v>89509</v>
      </c>
      <c r="AI813" t="s">
        <v>8976</v>
      </c>
      <c r="AJ813" t="s">
        <v>3034</v>
      </c>
      <c r="AK813" t="s">
        <v>8977</v>
      </c>
      <c r="AL813" s="13" t="s">
        <v>2255</v>
      </c>
      <c r="AM813">
        <v>1</v>
      </c>
      <c r="AN813" s="15" t="s">
        <v>3035</v>
      </c>
    </row>
    <row r="814" spans="1:40" x14ac:dyDescent="0.3">
      <c r="A814" s="10" t="str">
        <f>HYPERLINK("http://www.washoecounty.gov/assessor/cama/?parid=010-582-04&amp;CardNumber=1","010-582-04")</f>
        <v>010-582-04</v>
      </c>
      <c r="B814" t="s">
        <v>4655</v>
      </c>
      <c r="C814" t="s">
        <v>3478</v>
      </c>
      <c r="D814" s="1">
        <v>40295</v>
      </c>
      <c r="E814" s="2">
        <v>99000</v>
      </c>
      <c r="F814" t="s">
        <v>4553</v>
      </c>
      <c r="G814" s="17" t="str">
        <f>HYPERLINK("https://www.washoecounty.gov/assessor/cama/?command=sales&amp;parid=01058204","3874885")</f>
        <v>3874885</v>
      </c>
      <c r="H814" t="s">
        <v>3913</v>
      </c>
      <c r="I814">
        <v>2006</v>
      </c>
      <c r="J814">
        <v>2006</v>
      </c>
      <c r="K814" t="s">
        <v>4897</v>
      </c>
      <c r="L814" t="s">
        <v>4555</v>
      </c>
      <c r="M814" s="2">
        <v>803</v>
      </c>
      <c r="N814" t="s">
        <v>3147</v>
      </c>
      <c r="O814">
        <v>1</v>
      </c>
      <c r="P814">
        <v>1</v>
      </c>
      <c r="Q814">
        <v>0</v>
      </c>
      <c r="R814" t="s">
        <v>5281</v>
      </c>
      <c r="S814" t="s">
        <v>4135</v>
      </c>
      <c r="T814" t="s">
        <v>4559</v>
      </c>
      <c r="U814" t="s">
        <v>4655</v>
      </c>
      <c r="V814" s="2">
        <v>0</v>
      </c>
      <c r="W814" t="s">
        <v>4655</v>
      </c>
      <c r="X814" s="2">
        <v>0</v>
      </c>
      <c r="Y814">
        <v>25</v>
      </c>
      <c r="Z814" t="s">
        <v>2705</v>
      </c>
      <c r="AA814" s="3">
        <v>1.7561983317136799E-2</v>
      </c>
      <c r="AB814" t="s">
        <v>8978</v>
      </c>
      <c r="AC814" t="s">
        <v>4575</v>
      </c>
      <c r="AD814" t="s">
        <v>8979</v>
      </c>
      <c r="AE814" t="s">
        <v>4655</v>
      </c>
      <c r="AF814" t="s">
        <v>4563</v>
      </c>
      <c r="AG814" t="s">
        <v>4564</v>
      </c>
      <c r="AH814" t="s">
        <v>2330</v>
      </c>
      <c r="AI814" t="s">
        <v>4903</v>
      </c>
      <c r="AJ814" t="s">
        <v>3034</v>
      </c>
      <c r="AK814" t="s">
        <v>8980</v>
      </c>
      <c r="AL814" s="13" t="s">
        <v>2255</v>
      </c>
      <c r="AM814" s="14">
        <v>1</v>
      </c>
      <c r="AN814" s="15" t="s">
        <v>3035</v>
      </c>
    </row>
    <row r="815" spans="1:40" x14ac:dyDescent="0.3">
      <c r="A815" s="10" t="str">
        <f>HYPERLINK("http://www.washoecounty.gov/assessor/cama/?parid=010-582-11&amp;CardNumber=1","010-582-11")</f>
        <v>010-582-11</v>
      </c>
      <c r="B815" t="s">
        <v>4655</v>
      </c>
      <c r="C815" t="s">
        <v>3478</v>
      </c>
      <c r="D815" s="1">
        <v>40205</v>
      </c>
      <c r="E815" s="2">
        <v>316686</v>
      </c>
      <c r="F815" t="s">
        <v>4567</v>
      </c>
      <c r="G815" s="17" t="str">
        <f>HYPERLINK("https://www.washoecounty.gov/assessor/cama/?command=sales&amp;parid=01058211","3843258")</f>
        <v>3843258</v>
      </c>
      <c r="H815" t="s">
        <v>3913</v>
      </c>
      <c r="I815">
        <v>2006</v>
      </c>
      <c r="J815">
        <v>2006</v>
      </c>
      <c r="K815" t="s">
        <v>4897</v>
      </c>
      <c r="L815" t="s">
        <v>4555</v>
      </c>
      <c r="M815" s="2">
        <v>550</v>
      </c>
      <c r="N815" t="s">
        <v>3147</v>
      </c>
      <c r="O815">
        <v>1</v>
      </c>
      <c r="P815">
        <v>1</v>
      </c>
      <c r="Q815">
        <v>0</v>
      </c>
      <c r="R815" t="s">
        <v>5281</v>
      </c>
      <c r="S815" t="s">
        <v>4135</v>
      </c>
      <c r="T815" t="s">
        <v>4559</v>
      </c>
      <c r="U815" t="s">
        <v>4655</v>
      </c>
      <c r="V815" s="2">
        <v>0</v>
      </c>
      <c r="W815" t="s">
        <v>4655</v>
      </c>
      <c r="X815" s="2">
        <v>0</v>
      </c>
      <c r="Y815">
        <v>25</v>
      </c>
      <c r="Z815" t="s">
        <v>2705</v>
      </c>
      <c r="AA815" s="3">
        <v>1.17768598720431E-2</v>
      </c>
      <c r="AB815" t="s">
        <v>8966</v>
      </c>
      <c r="AC815" t="s">
        <v>4562</v>
      </c>
      <c r="AD815" t="s">
        <v>8967</v>
      </c>
      <c r="AE815" t="s">
        <v>4655</v>
      </c>
      <c r="AF815" t="s">
        <v>5206</v>
      </c>
      <c r="AG815" t="s">
        <v>4564</v>
      </c>
      <c r="AH815" t="s">
        <v>5207</v>
      </c>
      <c r="AI815" t="s">
        <v>8971</v>
      </c>
      <c r="AJ815" t="s">
        <v>3034</v>
      </c>
      <c r="AK815" t="s">
        <v>8981</v>
      </c>
      <c r="AL815" s="13" t="s">
        <v>2255</v>
      </c>
      <c r="AM815" s="14">
        <v>1</v>
      </c>
      <c r="AN815" s="15" t="s">
        <v>3035</v>
      </c>
    </row>
    <row r="816" spans="1:40" x14ac:dyDescent="0.3">
      <c r="A816" s="10" t="str">
        <f>HYPERLINK("http://www.washoecounty.gov/assessor/cama/?parid=010-583-07&amp;CardNumber=1","010-583-07")</f>
        <v>010-583-07</v>
      </c>
      <c r="B816" t="s">
        <v>4655</v>
      </c>
      <c r="C816" t="s">
        <v>3478</v>
      </c>
      <c r="D816" s="1">
        <v>40254</v>
      </c>
      <c r="E816" s="2">
        <v>100000</v>
      </c>
      <c r="F816" t="s">
        <v>4553</v>
      </c>
      <c r="G816" s="17" t="str">
        <f>HYPERLINK("https://www.washoecounty.gov/assessor/cama/?command=sales&amp;parid=01058307","3860653")</f>
        <v>3860653</v>
      </c>
      <c r="H816" t="s">
        <v>3913</v>
      </c>
      <c r="I816">
        <v>2006</v>
      </c>
      <c r="J816">
        <v>2006</v>
      </c>
      <c r="K816" t="s">
        <v>4897</v>
      </c>
      <c r="L816" t="s">
        <v>4555</v>
      </c>
      <c r="M816" s="2">
        <v>803</v>
      </c>
      <c r="N816" t="s">
        <v>3147</v>
      </c>
      <c r="O816">
        <v>1</v>
      </c>
      <c r="P816">
        <v>1</v>
      </c>
      <c r="Q816">
        <v>0</v>
      </c>
      <c r="R816" t="s">
        <v>5281</v>
      </c>
      <c r="S816" t="s">
        <v>4135</v>
      </c>
      <c r="T816" t="s">
        <v>4559</v>
      </c>
      <c r="U816" t="s">
        <v>4655</v>
      </c>
      <c r="V816" s="2">
        <v>0</v>
      </c>
      <c r="W816" t="s">
        <v>4655</v>
      </c>
      <c r="X816" s="2">
        <v>0</v>
      </c>
      <c r="Y816">
        <v>25</v>
      </c>
      <c r="Z816" t="s">
        <v>2705</v>
      </c>
      <c r="AA816" s="3">
        <v>1.7561983317136799E-2</v>
      </c>
      <c r="AB816" t="s">
        <v>8978</v>
      </c>
      <c r="AC816" t="s">
        <v>4575</v>
      </c>
      <c r="AD816" t="s">
        <v>8979</v>
      </c>
      <c r="AE816" t="s">
        <v>4655</v>
      </c>
      <c r="AF816" t="s">
        <v>4563</v>
      </c>
      <c r="AG816" t="s">
        <v>4564</v>
      </c>
      <c r="AH816" t="s">
        <v>2330</v>
      </c>
      <c r="AI816" t="s">
        <v>1620</v>
      </c>
      <c r="AJ816" t="s">
        <v>3034</v>
      </c>
      <c r="AK816" t="s">
        <v>8982</v>
      </c>
      <c r="AL816" s="13" t="s">
        <v>2255</v>
      </c>
      <c r="AM816">
        <v>1</v>
      </c>
      <c r="AN816" s="15" t="s">
        <v>3035</v>
      </c>
    </row>
    <row r="817" spans="1:40" x14ac:dyDescent="0.3">
      <c r="A817" s="10" t="str">
        <f>HYPERLINK("http://www.washoecounty.gov/assessor/cama/?parid=010-587-09&amp;CardNumber=1","010-587-09")</f>
        <v>010-587-09</v>
      </c>
      <c r="B817" t="s">
        <v>4655</v>
      </c>
      <c r="C817" t="s">
        <v>3478</v>
      </c>
      <c r="D817" s="1">
        <v>40479</v>
      </c>
      <c r="E817" s="2">
        <v>94000</v>
      </c>
      <c r="F817" t="s">
        <v>4567</v>
      </c>
      <c r="G817" s="17" t="str">
        <f>HYPERLINK("https://www.washoecounty.gov/assessor/cama/?command=sales&amp;parid=01058709","3937652")</f>
        <v>3937652</v>
      </c>
      <c r="H817" t="s">
        <v>3913</v>
      </c>
      <c r="I817">
        <v>2006</v>
      </c>
      <c r="J817">
        <v>2006</v>
      </c>
      <c r="K817" t="s">
        <v>4897</v>
      </c>
      <c r="L817" t="s">
        <v>4555</v>
      </c>
      <c r="M817" s="2">
        <v>803</v>
      </c>
      <c r="N817" t="s">
        <v>3147</v>
      </c>
      <c r="O817">
        <v>1</v>
      </c>
      <c r="P817">
        <v>1</v>
      </c>
      <c r="Q817">
        <v>0</v>
      </c>
      <c r="R817" t="s">
        <v>5281</v>
      </c>
      <c r="S817" t="s">
        <v>4135</v>
      </c>
      <c r="T817" t="s">
        <v>4559</v>
      </c>
      <c r="U817" t="s">
        <v>4655</v>
      </c>
      <c r="V817" s="2">
        <v>0</v>
      </c>
      <c r="W817" t="s">
        <v>4655</v>
      </c>
      <c r="X817" s="2">
        <v>0</v>
      </c>
      <c r="Y817">
        <v>25</v>
      </c>
      <c r="Z817" t="s">
        <v>2705</v>
      </c>
      <c r="AA817" s="3">
        <v>1.7561983317136799E-2</v>
      </c>
      <c r="AB817" t="s">
        <v>8983</v>
      </c>
      <c r="AC817" t="s">
        <v>4575</v>
      </c>
      <c r="AD817" t="s">
        <v>8984</v>
      </c>
      <c r="AE817" t="s">
        <v>4655</v>
      </c>
      <c r="AF817" t="s">
        <v>4563</v>
      </c>
      <c r="AG817" t="s">
        <v>4564</v>
      </c>
      <c r="AH817">
        <v>89509</v>
      </c>
      <c r="AI817" t="s">
        <v>8985</v>
      </c>
      <c r="AJ817" t="s">
        <v>3034</v>
      </c>
      <c r="AK817" t="s">
        <v>8986</v>
      </c>
      <c r="AL817" s="13" t="s">
        <v>2255</v>
      </c>
      <c r="AM817">
        <v>1</v>
      </c>
      <c r="AN817" s="15" t="s">
        <v>3035</v>
      </c>
    </row>
    <row r="818" spans="1:40" x14ac:dyDescent="0.3">
      <c r="A818" s="10" t="str">
        <f>HYPERLINK("http://www.washoecounty.gov/assessor/cama/?parid=011-012-08&amp;CardNumber=1","011-012-08")</f>
        <v>011-012-08</v>
      </c>
      <c r="B818" t="s">
        <v>4655</v>
      </c>
      <c r="C818" t="s">
        <v>8987</v>
      </c>
      <c r="D818" s="1">
        <v>40522</v>
      </c>
      <c r="E818" s="2">
        <v>77500</v>
      </c>
      <c r="F818" t="s">
        <v>4567</v>
      </c>
      <c r="G818" s="17" t="str">
        <f>HYPERLINK("https://www.washoecounty.gov/assessor/cama/?command=sales&amp;parid=01101208","3952360")</f>
        <v>3952360</v>
      </c>
      <c r="H818" t="s">
        <v>5434</v>
      </c>
      <c r="I818">
        <v>1922</v>
      </c>
      <c r="J818">
        <v>1922</v>
      </c>
      <c r="K818" t="s">
        <v>4554</v>
      </c>
      <c r="L818" t="s">
        <v>4555</v>
      </c>
      <c r="M818" s="2">
        <v>730</v>
      </c>
      <c r="N818" t="s">
        <v>4556</v>
      </c>
      <c r="O818">
        <v>2</v>
      </c>
      <c r="P818">
        <v>1</v>
      </c>
      <c r="Q818">
        <v>0</v>
      </c>
      <c r="R818" t="s">
        <v>4134</v>
      </c>
      <c r="S818" t="s">
        <v>4135</v>
      </c>
      <c r="T818" t="s">
        <v>4559</v>
      </c>
      <c r="U818" t="s">
        <v>4655</v>
      </c>
      <c r="V818" s="2">
        <v>0</v>
      </c>
      <c r="W818" t="s">
        <v>4655</v>
      </c>
      <c r="X818" s="2">
        <v>0</v>
      </c>
      <c r="Y818">
        <v>20</v>
      </c>
      <c r="Z818" t="s">
        <v>3047</v>
      </c>
      <c r="AA818" s="3">
        <v>9.2998161911964403E-2</v>
      </c>
      <c r="AB818" t="s">
        <v>8988</v>
      </c>
      <c r="AC818" t="s">
        <v>4562</v>
      </c>
      <c r="AD818" t="s">
        <v>8989</v>
      </c>
      <c r="AE818" t="s">
        <v>4655</v>
      </c>
      <c r="AF818" t="s">
        <v>4563</v>
      </c>
      <c r="AG818" t="s">
        <v>4564</v>
      </c>
      <c r="AH818">
        <v>89507</v>
      </c>
      <c r="AI818" t="s">
        <v>7975</v>
      </c>
      <c r="AJ818" t="s">
        <v>4655</v>
      </c>
      <c r="AK818" t="s">
        <v>8990</v>
      </c>
      <c r="AL818" s="13" t="s">
        <v>2255</v>
      </c>
      <c r="AM818" s="14">
        <v>1</v>
      </c>
      <c r="AN818" s="15" t="s">
        <v>5247</v>
      </c>
    </row>
    <row r="819" spans="1:40" x14ac:dyDescent="0.3">
      <c r="A819" s="10" t="str">
        <f>HYPERLINK("http://www.washoecounty.gov/assessor/cama/?parid=011-022-14&amp;CardNumber=1","011-022-14")</f>
        <v>011-022-14</v>
      </c>
      <c r="B819" t="s">
        <v>4655</v>
      </c>
      <c r="C819" t="s">
        <v>8991</v>
      </c>
      <c r="D819" s="1">
        <v>40522</v>
      </c>
      <c r="E819" s="2">
        <v>55303</v>
      </c>
      <c r="F819" t="s">
        <v>3512</v>
      </c>
      <c r="G819" s="17" t="str">
        <f>HYPERLINK("https://www.washoecounty.gov/assessor/cama/?command=sales&amp;parid=01102214","3952184")</f>
        <v>3952184</v>
      </c>
      <c r="H819" t="s">
        <v>5434</v>
      </c>
      <c r="I819">
        <v>0</v>
      </c>
      <c r="J819">
        <v>0</v>
      </c>
      <c r="K819" t="s">
        <v>4655</v>
      </c>
      <c r="L819" t="s">
        <v>4655</v>
      </c>
      <c r="M819" s="2">
        <v>0</v>
      </c>
      <c r="N819" t="s">
        <v>4655</v>
      </c>
      <c r="O819">
        <v>0</v>
      </c>
      <c r="P819">
        <v>0</v>
      </c>
      <c r="Q819">
        <v>0</v>
      </c>
      <c r="R819" t="s">
        <v>4655</v>
      </c>
      <c r="S819" t="s">
        <v>4655</v>
      </c>
      <c r="T819" t="s">
        <v>4655</v>
      </c>
      <c r="U819" t="s">
        <v>4655</v>
      </c>
      <c r="V819" s="2">
        <v>0</v>
      </c>
      <c r="W819" t="s">
        <v>4655</v>
      </c>
      <c r="X819" s="2">
        <v>0</v>
      </c>
      <c r="Y819">
        <v>18</v>
      </c>
      <c r="Z819" t="s">
        <v>3047</v>
      </c>
      <c r="AA819" s="3">
        <v>0.160697892308235</v>
      </c>
      <c r="AB819" t="s">
        <v>8992</v>
      </c>
      <c r="AC819" t="s">
        <v>4575</v>
      </c>
      <c r="AD819" t="s">
        <v>8993</v>
      </c>
      <c r="AE819" t="s">
        <v>4655</v>
      </c>
      <c r="AF819" t="s">
        <v>4563</v>
      </c>
      <c r="AG819" t="s">
        <v>4564</v>
      </c>
      <c r="AH819">
        <v>89511</v>
      </c>
      <c r="AI819" t="s">
        <v>8994</v>
      </c>
      <c r="AJ819" t="s">
        <v>4655</v>
      </c>
      <c r="AK819" t="s">
        <v>8995</v>
      </c>
      <c r="AL819" s="13" t="s">
        <v>3422</v>
      </c>
      <c r="AM819">
        <v>0</v>
      </c>
      <c r="AN819" s="15" t="s">
        <v>5248</v>
      </c>
    </row>
    <row r="820" spans="1:40" x14ac:dyDescent="0.3">
      <c r="A820" s="10" t="str">
        <f>HYPERLINK("http://www.washoecounty.gov/assessor/cama/?parid=011-051-24&amp;CardNumber=1","011-051-24")</f>
        <v>011-051-24</v>
      </c>
      <c r="B820" t="s">
        <v>4655</v>
      </c>
      <c r="C820" t="s">
        <v>8996</v>
      </c>
      <c r="D820" s="1">
        <v>40199</v>
      </c>
      <c r="E820" s="2">
        <v>313360</v>
      </c>
      <c r="F820" t="s">
        <v>4201</v>
      </c>
      <c r="G820" s="17" t="str">
        <f>HYPERLINK("https://www.washoecounty.gov/assessor/cama/?command=sales&amp;parid=01105124","3841402")</f>
        <v>3841402</v>
      </c>
      <c r="H820" t="s">
        <v>3036</v>
      </c>
      <c r="I820">
        <v>1962</v>
      </c>
      <c r="J820">
        <v>1980</v>
      </c>
      <c r="K820" t="s">
        <v>3037</v>
      </c>
      <c r="L820" t="s">
        <v>3038</v>
      </c>
      <c r="M820" s="2">
        <v>14032</v>
      </c>
      <c r="N820" t="s">
        <v>4580</v>
      </c>
      <c r="O820">
        <v>0</v>
      </c>
      <c r="P820">
        <v>0</v>
      </c>
      <c r="Q820">
        <v>0</v>
      </c>
      <c r="R820" t="s">
        <v>3039</v>
      </c>
      <c r="S820" t="s">
        <v>3040</v>
      </c>
      <c r="T820" t="s">
        <v>4655</v>
      </c>
      <c r="U820" t="s">
        <v>4655</v>
      </c>
      <c r="V820" s="2">
        <v>0</v>
      </c>
      <c r="W820" t="s">
        <v>3041</v>
      </c>
      <c r="X820" s="2">
        <v>11100</v>
      </c>
      <c r="Y820">
        <v>42</v>
      </c>
      <c r="Z820" t="s">
        <v>3042</v>
      </c>
      <c r="AA820" s="3">
        <v>0.160009175539017</v>
      </c>
      <c r="AB820" t="s">
        <v>8997</v>
      </c>
      <c r="AC820" t="s">
        <v>4562</v>
      </c>
      <c r="AD820" t="s">
        <v>8998</v>
      </c>
      <c r="AE820" t="s">
        <v>8999</v>
      </c>
      <c r="AF820" t="s">
        <v>9000</v>
      </c>
      <c r="AG820" t="s">
        <v>5204</v>
      </c>
      <c r="AH820">
        <v>60642</v>
      </c>
      <c r="AI820" t="s">
        <v>9001</v>
      </c>
      <c r="AJ820" t="s">
        <v>4655</v>
      </c>
      <c r="AK820" t="s">
        <v>9002</v>
      </c>
      <c r="AL820" s="13" t="s">
        <v>3421</v>
      </c>
      <c r="AM820" s="14">
        <v>1</v>
      </c>
      <c r="AN820" s="15" t="s">
        <v>3910</v>
      </c>
    </row>
    <row r="821" spans="1:40" x14ac:dyDescent="0.3">
      <c r="A821" s="10" t="str">
        <f>HYPERLINK("http://www.washoecounty.gov/assessor/cama/?parid=011-082-01&amp;CardNumber=1","011-082-01")</f>
        <v>011-082-01</v>
      </c>
      <c r="B821" t="s">
        <v>5502</v>
      </c>
      <c r="C821" t="s">
        <v>9003</v>
      </c>
      <c r="D821" s="1">
        <v>40542</v>
      </c>
      <c r="E821" s="2">
        <v>164500</v>
      </c>
      <c r="F821" t="s">
        <v>4553</v>
      </c>
      <c r="G821" s="17" t="str">
        <f>HYPERLINK("https://www.washoecounty.gov/assessor/cama/?command=sales&amp;parid=01108201","3959098")</f>
        <v>3959098</v>
      </c>
      <c r="H821" t="s">
        <v>9004</v>
      </c>
      <c r="I821">
        <v>1928</v>
      </c>
      <c r="J821">
        <v>1928</v>
      </c>
      <c r="K821" t="s">
        <v>4554</v>
      </c>
      <c r="L821" t="s">
        <v>4555</v>
      </c>
      <c r="M821" s="2">
        <v>988</v>
      </c>
      <c r="N821" t="s">
        <v>4556</v>
      </c>
      <c r="O821">
        <v>2</v>
      </c>
      <c r="P821">
        <v>1</v>
      </c>
      <c r="Q821">
        <v>0</v>
      </c>
      <c r="R821" t="s">
        <v>4557</v>
      </c>
      <c r="S821" t="s">
        <v>3046</v>
      </c>
      <c r="T821" t="s">
        <v>4559</v>
      </c>
      <c r="U821" t="s">
        <v>4560</v>
      </c>
      <c r="V821" s="2">
        <v>198</v>
      </c>
      <c r="W821" t="s">
        <v>3149</v>
      </c>
      <c r="X821" s="2">
        <v>546</v>
      </c>
      <c r="Y821">
        <v>31</v>
      </c>
      <c r="Z821" t="s">
        <v>2705</v>
      </c>
      <c r="AA821" s="3">
        <v>0.14299815893173218</v>
      </c>
      <c r="AB821" t="s">
        <v>9005</v>
      </c>
      <c r="AC821" t="s">
        <v>4562</v>
      </c>
      <c r="AD821" t="s">
        <v>88</v>
      </c>
      <c r="AE821" t="s">
        <v>4655</v>
      </c>
      <c r="AF821" t="s">
        <v>4563</v>
      </c>
      <c r="AG821" t="s">
        <v>4564</v>
      </c>
      <c r="AH821">
        <v>89503</v>
      </c>
      <c r="AI821" t="s">
        <v>89</v>
      </c>
      <c r="AJ821" t="s">
        <v>4655</v>
      </c>
      <c r="AK821" t="s">
        <v>9006</v>
      </c>
      <c r="AL821" s="13" t="s">
        <v>2255</v>
      </c>
      <c r="AM821">
        <v>2</v>
      </c>
      <c r="AN821" s="15" t="s">
        <v>386</v>
      </c>
    </row>
    <row r="822" spans="1:40" x14ac:dyDescent="0.3">
      <c r="A822" s="10" t="str">
        <f>HYPERLINK("http://www.washoecounty.gov/assessor/cama/?parid=011-092-10&amp;CardNumber=1","011-092-10")</f>
        <v>011-092-10</v>
      </c>
      <c r="B822" t="s">
        <v>4655</v>
      </c>
      <c r="C822" t="s">
        <v>9007</v>
      </c>
      <c r="D822" s="1">
        <v>40519</v>
      </c>
      <c r="E822" s="2">
        <v>240000</v>
      </c>
      <c r="F822" t="s">
        <v>4567</v>
      </c>
      <c r="G822" s="17" t="str">
        <f>HYPERLINK("https://www.washoecounty.gov/assessor/cama/?command=sales&amp;parid=01109210","3950515")</f>
        <v>3950515</v>
      </c>
      <c r="H822" t="s">
        <v>5434</v>
      </c>
      <c r="I822">
        <v>1978</v>
      </c>
      <c r="J822">
        <v>1978</v>
      </c>
      <c r="K822" t="s">
        <v>3043</v>
      </c>
      <c r="L822" t="s">
        <v>3974</v>
      </c>
      <c r="M822" s="2">
        <v>3072</v>
      </c>
      <c r="N822" t="s">
        <v>4048</v>
      </c>
      <c r="O822">
        <v>6</v>
      </c>
      <c r="P822">
        <v>6</v>
      </c>
      <c r="Q822">
        <v>0</v>
      </c>
      <c r="R822" t="s">
        <v>4134</v>
      </c>
      <c r="S822" t="s">
        <v>4558</v>
      </c>
      <c r="T822" t="s">
        <v>4559</v>
      </c>
      <c r="U822" t="s">
        <v>4655</v>
      </c>
      <c r="V822" s="2">
        <v>0</v>
      </c>
      <c r="W822" t="s">
        <v>4655</v>
      </c>
      <c r="X822" s="2">
        <v>0</v>
      </c>
      <c r="Y822">
        <v>33</v>
      </c>
      <c r="Z822" t="s">
        <v>3047</v>
      </c>
      <c r="AA822" s="3">
        <v>0.108999080955982</v>
      </c>
      <c r="AB822" t="s">
        <v>1070</v>
      </c>
      <c r="AC822" t="s">
        <v>4562</v>
      </c>
      <c r="AD822" t="s">
        <v>5119</v>
      </c>
      <c r="AE822" t="s">
        <v>4655</v>
      </c>
      <c r="AF822" t="s">
        <v>4563</v>
      </c>
      <c r="AG822" t="s">
        <v>4564</v>
      </c>
      <c r="AH822">
        <v>89511</v>
      </c>
      <c r="AI822" t="s">
        <v>9008</v>
      </c>
      <c r="AJ822" t="s">
        <v>4655</v>
      </c>
      <c r="AK822" t="s">
        <v>9009</v>
      </c>
      <c r="AL822" s="13" t="s">
        <v>2255</v>
      </c>
      <c r="AM822" s="14">
        <v>6</v>
      </c>
      <c r="AN822" s="15" t="s">
        <v>386</v>
      </c>
    </row>
    <row r="823" spans="1:40" x14ac:dyDescent="0.3">
      <c r="A823" s="10" t="str">
        <f>HYPERLINK("http://www.washoecounty.gov/assessor/cama/?parid=011-092-10&amp;CardNumber=1","011-092-10")</f>
        <v>011-092-10</v>
      </c>
      <c r="B823" t="s">
        <v>4655</v>
      </c>
      <c r="C823" t="s">
        <v>9007</v>
      </c>
      <c r="D823" s="1">
        <v>40485</v>
      </c>
      <c r="E823" s="2">
        <v>270000</v>
      </c>
      <c r="F823" t="s">
        <v>4567</v>
      </c>
      <c r="G823" s="17" t="str">
        <f>HYPERLINK("https://www.washoecounty.gov/assessor/cama/?command=sales&amp;parid=01109210","3939459")</f>
        <v>3939459</v>
      </c>
      <c r="H823" t="s">
        <v>5434</v>
      </c>
      <c r="I823">
        <v>1978</v>
      </c>
      <c r="J823">
        <v>1978</v>
      </c>
      <c r="K823" t="s">
        <v>3043</v>
      </c>
      <c r="L823" t="s">
        <v>3974</v>
      </c>
      <c r="M823" s="2">
        <v>3072</v>
      </c>
      <c r="N823" t="s">
        <v>4048</v>
      </c>
      <c r="O823">
        <v>6</v>
      </c>
      <c r="P823">
        <v>6</v>
      </c>
      <c r="Q823">
        <v>0</v>
      </c>
      <c r="R823" t="s">
        <v>4134</v>
      </c>
      <c r="S823" t="s">
        <v>4558</v>
      </c>
      <c r="T823" t="s">
        <v>4559</v>
      </c>
      <c r="U823" t="s">
        <v>4655</v>
      </c>
      <c r="V823" s="2">
        <v>0</v>
      </c>
      <c r="W823" t="s">
        <v>4655</v>
      </c>
      <c r="X823" s="2">
        <v>0</v>
      </c>
      <c r="Y823">
        <v>33</v>
      </c>
      <c r="Z823" t="s">
        <v>3047</v>
      </c>
      <c r="AA823" s="3">
        <v>0.108999080955982</v>
      </c>
      <c r="AB823" t="s">
        <v>1070</v>
      </c>
      <c r="AC823" t="s">
        <v>4562</v>
      </c>
      <c r="AD823" t="s">
        <v>5119</v>
      </c>
      <c r="AE823" t="s">
        <v>4655</v>
      </c>
      <c r="AF823" t="s">
        <v>4563</v>
      </c>
      <c r="AG823" t="s">
        <v>4564</v>
      </c>
      <c r="AH823">
        <v>89511</v>
      </c>
      <c r="AI823" t="s">
        <v>9008</v>
      </c>
      <c r="AJ823" t="s">
        <v>4655</v>
      </c>
      <c r="AK823" t="s">
        <v>9009</v>
      </c>
      <c r="AL823" s="13" t="s">
        <v>2255</v>
      </c>
      <c r="AM823">
        <v>6</v>
      </c>
      <c r="AN823" s="15" t="s">
        <v>386</v>
      </c>
    </row>
    <row r="824" spans="1:40" x14ac:dyDescent="0.3">
      <c r="A824" s="10" t="str">
        <f>HYPERLINK("http://www.washoecounty.gov/assessor/cama/?parid=011-095-11&amp;CardNumber=1","011-095-11")</f>
        <v>011-095-11</v>
      </c>
      <c r="B824" t="s">
        <v>5502</v>
      </c>
      <c r="C824" t="s">
        <v>9010</v>
      </c>
      <c r="D824" s="1">
        <v>40261</v>
      </c>
      <c r="E824" s="2">
        <v>130000</v>
      </c>
      <c r="F824" t="s">
        <v>4567</v>
      </c>
      <c r="G824" s="17" t="str">
        <f>HYPERLINK("https://www.washoecounty.gov/assessor/cama/?command=sales&amp;parid=01109511","3863559")</f>
        <v>3863559</v>
      </c>
      <c r="H824" t="s">
        <v>5434</v>
      </c>
      <c r="I824">
        <v>1904</v>
      </c>
      <c r="J824">
        <v>1904</v>
      </c>
      <c r="K824" t="s">
        <v>4554</v>
      </c>
      <c r="L824" t="s">
        <v>4555</v>
      </c>
      <c r="M824" s="2">
        <v>1209</v>
      </c>
      <c r="N824" t="s">
        <v>4556</v>
      </c>
      <c r="O824">
        <v>2</v>
      </c>
      <c r="P824">
        <v>1</v>
      </c>
      <c r="Q824">
        <v>0</v>
      </c>
      <c r="R824" t="s">
        <v>3045</v>
      </c>
      <c r="S824" t="s">
        <v>4135</v>
      </c>
      <c r="T824" t="s">
        <v>4559</v>
      </c>
      <c r="U824" t="s">
        <v>4655</v>
      </c>
      <c r="V824" s="2">
        <v>0</v>
      </c>
      <c r="W824" t="s">
        <v>3149</v>
      </c>
      <c r="X824" s="2">
        <v>310</v>
      </c>
      <c r="Y824">
        <v>31</v>
      </c>
      <c r="Z824" t="s">
        <v>3047</v>
      </c>
      <c r="AA824" s="3">
        <v>0.16099633276462599</v>
      </c>
      <c r="AB824" t="s">
        <v>9011</v>
      </c>
      <c r="AC824" t="s">
        <v>4575</v>
      </c>
      <c r="AD824" t="s">
        <v>9012</v>
      </c>
      <c r="AE824" t="s">
        <v>4655</v>
      </c>
      <c r="AF824" t="s">
        <v>4563</v>
      </c>
      <c r="AG824" t="s">
        <v>4564</v>
      </c>
      <c r="AH824">
        <v>89505</v>
      </c>
      <c r="AI824" t="s">
        <v>9013</v>
      </c>
      <c r="AJ824" t="s">
        <v>4655</v>
      </c>
      <c r="AK824" t="s">
        <v>9014</v>
      </c>
      <c r="AL824" s="13" t="s">
        <v>3422</v>
      </c>
      <c r="AM824">
        <v>2</v>
      </c>
      <c r="AN824" s="15" t="s">
        <v>386</v>
      </c>
    </row>
    <row r="825" spans="1:40" x14ac:dyDescent="0.3">
      <c r="A825" s="10" t="str">
        <f>HYPERLINK("http://www.washoecounty.gov/assessor/cama/?parid=011-106-02&amp;CardNumber=1","011-106-02")</f>
        <v>011-106-02</v>
      </c>
      <c r="B825" t="s">
        <v>4655</v>
      </c>
      <c r="C825" t="s">
        <v>9015</v>
      </c>
      <c r="D825" s="1">
        <v>40535</v>
      </c>
      <c r="E825" s="2">
        <v>636167</v>
      </c>
      <c r="F825" t="s">
        <v>2900</v>
      </c>
      <c r="G825" s="17" t="str">
        <f>HYPERLINK("https://www.washoecounty.gov/assessor/cama/?command=sales&amp;parid=01110602","3956623")</f>
        <v>3956623</v>
      </c>
      <c r="H825" t="s">
        <v>5434</v>
      </c>
      <c r="I825">
        <v>0</v>
      </c>
      <c r="J825">
        <v>0</v>
      </c>
      <c r="K825" t="s">
        <v>4655</v>
      </c>
      <c r="L825" t="s">
        <v>4655</v>
      </c>
      <c r="M825" s="2">
        <v>0</v>
      </c>
      <c r="N825" t="s">
        <v>4655</v>
      </c>
      <c r="O825">
        <v>0</v>
      </c>
      <c r="P825">
        <v>0</v>
      </c>
      <c r="Q825">
        <v>0</v>
      </c>
      <c r="R825" t="s">
        <v>4655</v>
      </c>
      <c r="S825" t="s">
        <v>4655</v>
      </c>
      <c r="T825" t="s">
        <v>4655</v>
      </c>
      <c r="U825" t="s">
        <v>4655</v>
      </c>
      <c r="V825" s="2">
        <v>0</v>
      </c>
      <c r="W825" t="s">
        <v>4655</v>
      </c>
      <c r="X825" s="2">
        <v>0</v>
      </c>
      <c r="Y825">
        <v>18</v>
      </c>
      <c r="Z825" t="s">
        <v>3047</v>
      </c>
      <c r="AA825" s="3">
        <v>0.14554637670517001</v>
      </c>
      <c r="AB825" t="s">
        <v>9016</v>
      </c>
      <c r="AC825" t="s">
        <v>4562</v>
      </c>
      <c r="AD825" t="s">
        <v>9017</v>
      </c>
      <c r="AE825" t="s">
        <v>4655</v>
      </c>
      <c r="AF825" t="s">
        <v>4563</v>
      </c>
      <c r="AG825" t="s">
        <v>4564</v>
      </c>
      <c r="AH825">
        <v>89502</v>
      </c>
      <c r="AI825" t="s">
        <v>9018</v>
      </c>
      <c r="AJ825" t="s">
        <v>9019</v>
      </c>
      <c r="AK825" t="s">
        <v>9020</v>
      </c>
      <c r="AL825" s="13" t="s">
        <v>3422</v>
      </c>
      <c r="AM825" s="14">
        <v>0</v>
      </c>
      <c r="AN825" s="15" t="s">
        <v>5248</v>
      </c>
    </row>
    <row r="826" spans="1:40" x14ac:dyDescent="0.3">
      <c r="A826" s="10" t="str">
        <f>HYPERLINK("http://www.washoecounty.gov/assessor/cama/?parid=011-106-03&amp;CardNumber=1","011-106-03")</f>
        <v>011-106-03</v>
      </c>
      <c r="B826" t="s">
        <v>4655</v>
      </c>
      <c r="C826" t="s">
        <v>9021</v>
      </c>
      <c r="D826" s="1">
        <v>40535</v>
      </c>
      <c r="E826" s="2">
        <v>636167</v>
      </c>
      <c r="F826" t="s">
        <v>2900</v>
      </c>
      <c r="G826" s="17" t="str">
        <f>HYPERLINK("https://www.washoecounty.gov/assessor/cama/?command=sales&amp;parid=01110603","3956623")</f>
        <v>3956623</v>
      </c>
      <c r="H826" t="s">
        <v>5434</v>
      </c>
      <c r="I826">
        <v>1914</v>
      </c>
      <c r="J826">
        <v>1944</v>
      </c>
      <c r="K826" t="s">
        <v>1391</v>
      </c>
      <c r="L826" t="s">
        <v>3886</v>
      </c>
      <c r="M826" s="2">
        <v>3181</v>
      </c>
      <c r="N826" t="s">
        <v>5280</v>
      </c>
      <c r="O826">
        <v>0</v>
      </c>
      <c r="P826">
        <v>2</v>
      </c>
      <c r="Q826">
        <v>0</v>
      </c>
      <c r="R826" t="s">
        <v>3045</v>
      </c>
      <c r="S826" t="s">
        <v>4135</v>
      </c>
      <c r="T826" t="s">
        <v>4559</v>
      </c>
      <c r="U826" t="s">
        <v>4655</v>
      </c>
      <c r="V826" s="2">
        <v>0</v>
      </c>
      <c r="W826" t="s">
        <v>3149</v>
      </c>
      <c r="X826" s="2">
        <v>660</v>
      </c>
      <c r="Y826">
        <v>18</v>
      </c>
      <c r="Z826" t="s">
        <v>3047</v>
      </c>
      <c r="AA826" s="3">
        <v>0.23110651969909701</v>
      </c>
      <c r="AB826" t="s">
        <v>9016</v>
      </c>
      <c r="AC826" t="s">
        <v>4562</v>
      </c>
      <c r="AD826" t="s">
        <v>9017</v>
      </c>
      <c r="AE826" t="s">
        <v>4655</v>
      </c>
      <c r="AF826" t="s">
        <v>4563</v>
      </c>
      <c r="AG826" t="s">
        <v>4564</v>
      </c>
      <c r="AH826">
        <v>89502</v>
      </c>
      <c r="AI826" t="s">
        <v>9018</v>
      </c>
      <c r="AJ826" t="s">
        <v>9022</v>
      </c>
      <c r="AK826" t="s">
        <v>9020</v>
      </c>
      <c r="AL826" s="13" t="s">
        <v>3422</v>
      </c>
      <c r="AM826" s="14">
        <v>1</v>
      </c>
      <c r="AN826" s="15" t="s">
        <v>5248</v>
      </c>
    </row>
    <row r="827" spans="1:40" x14ac:dyDescent="0.3">
      <c r="A827" s="10" t="str">
        <f>HYPERLINK("http://www.washoecounty.gov/assessor/cama/?parid=011-154-03&amp;CardNumber=1","011-154-03")</f>
        <v>011-154-03</v>
      </c>
      <c r="B827" t="s">
        <v>4655</v>
      </c>
      <c r="C827" t="s">
        <v>9023</v>
      </c>
      <c r="D827" s="1">
        <v>40463</v>
      </c>
      <c r="E827" s="2">
        <v>255000</v>
      </c>
      <c r="F827" t="s">
        <v>3259</v>
      </c>
      <c r="G827" s="17" t="str">
        <f>HYPERLINK("https://www.washoecounty.gov/assessor/cama/?command=sales&amp;parid=01115403","3932019")</f>
        <v>3932019</v>
      </c>
      <c r="H827" t="s">
        <v>284</v>
      </c>
      <c r="I827">
        <v>1928</v>
      </c>
      <c r="J827">
        <v>1947</v>
      </c>
      <c r="K827" t="s">
        <v>1391</v>
      </c>
      <c r="L827" t="s">
        <v>4555</v>
      </c>
      <c r="M827" s="2">
        <v>1276</v>
      </c>
      <c r="N827" t="s">
        <v>4048</v>
      </c>
      <c r="O827">
        <v>0</v>
      </c>
      <c r="P827">
        <v>1</v>
      </c>
      <c r="Q827">
        <v>0</v>
      </c>
      <c r="R827" t="s">
        <v>5281</v>
      </c>
      <c r="S827" t="s">
        <v>4898</v>
      </c>
      <c r="T827" t="s">
        <v>4559</v>
      </c>
      <c r="U827" t="s">
        <v>4655</v>
      </c>
      <c r="V827" s="2">
        <v>0</v>
      </c>
      <c r="W827" t="s">
        <v>3149</v>
      </c>
      <c r="X827" s="2">
        <v>150</v>
      </c>
      <c r="Y827">
        <v>41</v>
      </c>
      <c r="Z827" t="s">
        <v>3047</v>
      </c>
      <c r="AA827" s="3">
        <v>8.9026629924774198E-2</v>
      </c>
      <c r="AB827" t="s">
        <v>9024</v>
      </c>
      <c r="AC827" t="s">
        <v>4562</v>
      </c>
      <c r="AD827" t="s">
        <v>9023</v>
      </c>
      <c r="AE827" t="s">
        <v>4655</v>
      </c>
      <c r="AF827" t="s">
        <v>4563</v>
      </c>
      <c r="AG827" t="s">
        <v>4564</v>
      </c>
      <c r="AH827">
        <v>89501</v>
      </c>
      <c r="AI827" t="s">
        <v>285</v>
      </c>
      <c r="AJ827" t="s">
        <v>4655</v>
      </c>
      <c r="AK827" t="s">
        <v>9025</v>
      </c>
      <c r="AL827" s="13" t="s">
        <v>2255</v>
      </c>
      <c r="AM827">
        <v>1</v>
      </c>
      <c r="AN827" s="15" t="s">
        <v>286</v>
      </c>
    </row>
    <row r="828" spans="1:40" x14ac:dyDescent="0.3">
      <c r="A828" s="10" t="str">
        <f>HYPERLINK("http://www.washoecounty.gov/assessor/cama/?parid=011-163-03&amp;CardNumber=1","011-163-03")</f>
        <v>011-163-03</v>
      </c>
      <c r="B828" t="s">
        <v>4655</v>
      </c>
      <c r="C828" t="s">
        <v>9026</v>
      </c>
      <c r="D828" s="1">
        <v>40189</v>
      </c>
      <c r="E828" s="2">
        <v>780000</v>
      </c>
      <c r="F828" t="s">
        <v>4567</v>
      </c>
      <c r="G828" s="17" t="str">
        <f>HYPERLINK("https://www.washoecounty.gov/assessor/cama/?command=sales&amp;parid=01116303","3838055")</f>
        <v>3838055</v>
      </c>
      <c r="H828" t="s">
        <v>9027</v>
      </c>
      <c r="I828">
        <v>1952</v>
      </c>
      <c r="J828">
        <v>1952</v>
      </c>
      <c r="K828" t="s">
        <v>3043</v>
      </c>
      <c r="L828" t="s">
        <v>3044</v>
      </c>
      <c r="M828" s="2">
        <v>9460</v>
      </c>
      <c r="N828" t="s">
        <v>4048</v>
      </c>
      <c r="O828">
        <v>17</v>
      </c>
      <c r="P828">
        <v>17</v>
      </c>
      <c r="Q828">
        <v>0</v>
      </c>
      <c r="R828" t="s">
        <v>3045</v>
      </c>
      <c r="S828" t="s">
        <v>3046</v>
      </c>
      <c r="T828" t="s">
        <v>4899</v>
      </c>
      <c r="U828" t="s">
        <v>4655</v>
      </c>
      <c r="V828" s="2">
        <v>0</v>
      </c>
      <c r="W828" t="s">
        <v>3149</v>
      </c>
      <c r="X828" s="2">
        <v>1376</v>
      </c>
      <c r="Y828">
        <v>34</v>
      </c>
      <c r="Z828" t="s">
        <v>3047</v>
      </c>
      <c r="AA828" s="3">
        <v>0.16099633276462599</v>
      </c>
      <c r="AB828" t="s">
        <v>9028</v>
      </c>
      <c r="AC828" t="s">
        <v>4562</v>
      </c>
      <c r="AD828" t="s">
        <v>9029</v>
      </c>
      <c r="AE828" t="s">
        <v>4655</v>
      </c>
      <c r="AF828" t="s">
        <v>4563</v>
      </c>
      <c r="AG828" t="s">
        <v>4564</v>
      </c>
      <c r="AH828">
        <v>89509</v>
      </c>
      <c r="AI828" t="s">
        <v>3048</v>
      </c>
      <c r="AJ828" t="s">
        <v>4655</v>
      </c>
      <c r="AK828" t="s">
        <v>9030</v>
      </c>
      <c r="AL828" s="13" t="s">
        <v>2256</v>
      </c>
      <c r="AM828">
        <v>17</v>
      </c>
      <c r="AN828" s="15" t="s">
        <v>9031</v>
      </c>
    </row>
    <row r="829" spans="1:40" x14ac:dyDescent="0.3">
      <c r="A829" s="10" t="str">
        <f>HYPERLINK("http://www.washoecounty.gov/assessor/cama/?parid=011-163-09&amp;CardNumber=1","011-163-09")</f>
        <v>011-163-09</v>
      </c>
      <c r="B829" t="s">
        <v>4655</v>
      </c>
      <c r="C829" t="s">
        <v>9032</v>
      </c>
      <c r="D829" s="1">
        <v>40389</v>
      </c>
      <c r="E829" s="2">
        <v>150000</v>
      </c>
      <c r="F829" t="s">
        <v>4567</v>
      </c>
      <c r="G829" s="17" t="str">
        <f>HYPERLINK("https://www.washoecounty.gov/assessor/cama/?command=sales&amp;parid=01116309","3906940")</f>
        <v>3906940</v>
      </c>
      <c r="H829" t="s">
        <v>9027</v>
      </c>
      <c r="I829">
        <v>1936</v>
      </c>
      <c r="J829">
        <v>1940</v>
      </c>
      <c r="K829" t="s">
        <v>1391</v>
      </c>
      <c r="L829" t="s">
        <v>4555</v>
      </c>
      <c r="M829" s="2">
        <v>711</v>
      </c>
      <c r="N829" t="s">
        <v>4556</v>
      </c>
      <c r="O829">
        <v>0</v>
      </c>
      <c r="P829">
        <v>1</v>
      </c>
      <c r="Q829">
        <v>1</v>
      </c>
      <c r="R829" t="s">
        <v>4676</v>
      </c>
      <c r="S829" t="s">
        <v>4135</v>
      </c>
      <c r="T829" t="s">
        <v>4559</v>
      </c>
      <c r="U829" t="s">
        <v>4655</v>
      </c>
      <c r="V829" s="2">
        <v>0</v>
      </c>
      <c r="W829" t="s">
        <v>4655</v>
      </c>
      <c r="X829" s="2">
        <v>0</v>
      </c>
      <c r="Y829">
        <v>41</v>
      </c>
      <c r="Z829" t="s">
        <v>3047</v>
      </c>
      <c r="AA829" s="3">
        <v>6.9008260965347304E-2</v>
      </c>
      <c r="AB829" t="s">
        <v>9033</v>
      </c>
      <c r="AC829" t="s">
        <v>4562</v>
      </c>
      <c r="AD829" t="s">
        <v>9032</v>
      </c>
      <c r="AE829" t="s">
        <v>4655</v>
      </c>
      <c r="AF829" t="s">
        <v>3114</v>
      </c>
      <c r="AG829" t="s">
        <v>4564</v>
      </c>
      <c r="AH829">
        <v>89501</v>
      </c>
      <c r="AI829" t="s">
        <v>9034</v>
      </c>
      <c r="AJ829" t="s">
        <v>4655</v>
      </c>
      <c r="AK829" t="s">
        <v>9035</v>
      </c>
      <c r="AL829" s="13" t="s">
        <v>2256</v>
      </c>
      <c r="AM829" s="14">
        <v>1</v>
      </c>
      <c r="AN829" s="15" t="s">
        <v>240</v>
      </c>
    </row>
    <row r="830" spans="1:40" x14ac:dyDescent="0.3">
      <c r="A830" s="10" t="str">
        <f>HYPERLINK("http://www.washoecounty.gov/assessor/cama/?parid=011-201-04&amp;CardNumber=1","011-201-04")</f>
        <v>011-201-04</v>
      </c>
      <c r="B830" t="s">
        <v>4655</v>
      </c>
      <c r="C830" t="s">
        <v>9036</v>
      </c>
      <c r="D830" s="1">
        <v>40322</v>
      </c>
      <c r="E830" s="2">
        <v>525000</v>
      </c>
      <c r="F830" t="s">
        <v>4567</v>
      </c>
      <c r="G830" s="17" t="str">
        <f>HYPERLINK("https://www.washoecounty.gov/assessor/cama/?command=sales&amp;parid=01120104","3884319")</f>
        <v>3884319</v>
      </c>
      <c r="H830" t="s">
        <v>3441</v>
      </c>
      <c r="I830">
        <v>1923</v>
      </c>
      <c r="J830">
        <v>1933</v>
      </c>
      <c r="K830" t="s">
        <v>4554</v>
      </c>
      <c r="L830" t="s">
        <v>3886</v>
      </c>
      <c r="M830" s="2">
        <v>3104</v>
      </c>
      <c r="N830" t="s">
        <v>3887</v>
      </c>
      <c r="O830">
        <v>4</v>
      </c>
      <c r="P830">
        <v>2</v>
      </c>
      <c r="Q830">
        <v>0</v>
      </c>
      <c r="R830" t="s">
        <v>5281</v>
      </c>
      <c r="S830" t="s">
        <v>4898</v>
      </c>
      <c r="T830" t="s">
        <v>4559</v>
      </c>
      <c r="U830" t="s">
        <v>4655</v>
      </c>
      <c r="V830" s="2">
        <v>0</v>
      </c>
      <c r="W830" t="s">
        <v>3149</v>
      </c>
      <c r="X830" s="2">
        <v>974</v>
      </c>
      <c r="Y830">
        <v>20</v>
      </c>
      <c r="Z830" t="s">
        <v>3047</v>
      </c>
      <c r="AA830" s="3">
        <v>0.226561069488525</v>
      </c>
      <c r="AB830" t="s">
        <v>9037</v>
      </c>
      <c r="AC830" t="s">
        <v>4575</v>
      </c>
      <c r="AD830" t="s">
        <v>9038</v>
      </c>
      <c r="AE830" t="s">
        <v>9039</v>
      </c>
      <c r="AF830" t="s">
        <v>4563</v>
      </c>
      <c r="AG830" t="s">
        <v>4564</v>
      </c>
      <c r="AH830">
        <v>89509</v>
      </c>
      <c r="AI830" t="s">
        <v>9040</v>
      </c>
      <c r="AJ830" t="s">
        <v>4655</v>
      </c>
      <c r="AK830" t="s">
        <v>9041</v>
      </c>
      <c r="AL830" s="13" t="s">
        <v>2255</v>
      </c>
      <c r="AM830">
        <v>1</v>
      </c>
      <c r="AN830" s="15" t="s">
        <v>395</v>
      </c>
    </row>
    <row r="831" spans="1:40" x14ac:dyDescent="0.3">
      <c r="A831" s="10" t="str">
        <f>HYPERLINK("http://www.washoecounty.gov/assessor/cama/?parid=011-201-05&amp;CardNumber=1","011-201-05")</f>
        <v>011-201-05</v>
      </c>
      <c r="B831" t="s">
        <v>4655</v>
      </c>
      <c r="C831" t="s">
        <v>9042</v>
      </c>
      <c r="D831" s="1">
        <v>40535</v>
      </c>
      <c r="E831" s="2">
        <v>1400000</v>
      </c>
      <c r="F831" t="s">
        <v>4567</v>
      </c>
      <c r="G831" s="17" t="str">
        <f>HYPERLINK("https://www.washoecounty.gov/assessor/cama/?command=sales&amp;parid=01120105","3956798")</f>
        <v>3956798</v>
      </c>
      <c r="H831" t="s">
        <v>3441</v>
      </c>
      <c r="I831">
        <v>2007</v>
      </c>
      <c r="J831">
        <v>2007</v>
      </c>
      <c r="K831" t="s">
        <v>4554</v>
      </c>
      <c r="L831" t="s">
        <v>3974</v>
      </c>
      <c r="M831" s="2">
        <v>4398</v>
      </c>
      <c r="N831" t="s">
        <v>2631</v>
      </c>
      <c r="O831">
        <v>5</v>
      </c>
      <c r="P831">
        <v>5</v>
      </c>
      <c r="Q831">
        <v>2</v>
      </c>
      <c r="R831" t="s">
        <v>2632</v>
      </c>
      <c r="S831" t="s">
        <v>4898</v>
      </c>
      <c r="T831" t="s">
        <v>2704</v>
      </c>
      <c r="U831" t="s">
        <v>4560</v>
      </c>
      <c r="V831" s="2">
        <v>872</v>
      </c>
      <c r="W831" t="s">
        <v>1500</v>
      </c>
      <c r="X831" s="2">
        <v>1390</v>
      </c>
      <c r="Y831">
        <v>20</v>
      </c>
      <c r="Z831" t="s">
        <v>3047</v>
      </c>
      <c r="AA831" s="3">
        <v>0.21841138601303101</v>
      </c>
      <c r="AB831" t="s">
        <v>9043</v>
      </c>
      <c r="AC831" t="s">
        <v>4575</v>
      </c>
      <c r="AD831" t="s">
        <v>9044</v>
      </c>
      <c r="AE831" t="s">
        <v>4655</v>
      </c>
      <c r="AF831" t="s">
        <v>838</v>
      </c>
      <c r="AG831" t="s">
        <v>4584</v>
      </c>
      <c r="AH831" t="s">
        <v>839</v>
      </c>
      <c r="AI831" t="s">
        <v>9045</v>
      </c>
      <c r="AJ831" t="s">
        <v>4655</v>
      </c>
      <c r="AK831" t="s">
        <v>9046</v>
      </c>
      <c r="AL831" s="13" t="s">
        <v>2255</v>
      </c>
      <c r="AM831" s="14">
        <v>1</v>
      </c>
      <c r="AN831" s="15" t="s">
        <v>395</v>
      </c>
    </row>
    <row r="832" spans="1:40" x14ac:dyDescent="0.3">
      <c r="A832" s="10" t="str">
        <f>HYPERLINK("http://www.washoecounty.gov/assessor/cama/?parid=011-201-20&amp;CardNumber=1","011-201-20")</f>
        <v>011-201-20</v>
      </c>
      <c r="B832" t="s">
        <v>4655</v>
      </c>
      <c r="C832" t="s">
        <v>9047</v>
      </c>
      <c r="D832" s="1">
        <v>40294</v>
      </c>
      <c r="E832" s="2">
        <v>164000</v>
      </c>
      <c r="F832" t="s">
        <v>4567</v>
      </c>
      <c r="G832" s="17" t="str">
        <f>HYPERLINK("https://www.washoecounty.gov/assessor/cama/?command=sales&amp;parid=01120120","3874503")</f>
        <v>3874503</v>
      </c>
      <c r="H832" t="s">
        <v>3441</v>
      </c>
      <c r="I832">
        <v>1918</v>
      </c>
      <c r="J832">
        <v>1918</v>
      </c>
      <c r="K832" t="s">
        <v>4554</v>
      </c>
      <c r="L832" t="s">
        <v>4555</v>
      </c>
      <c r="M832" s="2">
        <v>1302</v>
      </c>
      <c r="N832" t="s">
        <v>5280</v>
      </c>
      <c r="O832">
        <v>2</v>
      </c>
      <c r="P832">
        <v>1</v>
      </c>
      <c r="Q832">
        <v>0</v>
      </c>
      <c r="R832" t="s">
        <v>4557</v>
      </c>
      <c r="S832" t="s">
        <v>3046</v>
      </c>
      <c r="T832" t="s">
        <v>4559</v>
      </c>
      <c r="U832" t="s">
        <v>4655</v>
      </c>
      <c r="V832" s="2">
        <v>0</v>
      </c>
      <c r="W832" t="s">
        <v>4655</v>
      </c>
      <c r="X832" s="2">
        <v>0</v>
      </c>
      <c r="Y832">
        <v>20</v>
      </c>
      <c r="Z832" t="s">
        <v>3047</v>
      </c>
      <c r="AA832" s="3">
        <v>0.16600091755390201</v>
      </c>
      <c r="AB832" t="s">
        <v>9048</v>
      </c>
      <c r="AC832" t="s">
        <v>4562</v>
      </c>
      <c r="AD832" t="s">
        <v>9047</v>
      </c>
      <c r="AE832" t="s">
        <v>4655</v>
      </c>
      <c r="AF832" t="s">
        <v>4563</v>
      </c>
      <c r="AG832" t="s">
        <v>4564</v>
      </c>
      <c r="AH832">
        <v>89509</v>
      </c>
      <c r="AI832" t="s">
        <v>9049</v>
      </c>
      <c r="AJ832" t="s">
        <v>4655</v>
      </c>
      <c r="AK832" t="s">
        <v>9050</v>
      </c>
      <c r="AL832" s="13" t="s">
        <v>2255</v>
      </c>
      <c r="AM832">
        <v>1</v>
      </c>
      <c r="AN832" s="15" t="s">
        <v>1851</v>
      </c>
    </row>
    <row r="833" spans="1:40" x14ac:dyDescent="0.3">
      <c r="A833" s="10" t="str">
        <f>HYPERLINK("http://www.washoecounty.gov/assessor/cama/?parid=011-201-23&amp;CardNumber=1","011-201-23")</f>
        <v>011-201-23</v>
      </c>
      <c r="B833" t="s">
        <v>4655</v>
      </c>
      <c r="C833" t="s">
        <v>9051</v>
      </c>
      <c r="D833" s="1">
        <v>40226</v>
      </c>
      <c r="E833" s="2">
        <v>265000</v>
      </c>
      <c r="F833" t="s">
        <v>4567</v>
      </c>
      <c r="G833" s="17" t="str">
        <f>HYPERLINK("https://www.washoecounty.gov/assessor/cama/?command=sales&amp;parid=01120123","3850349")</f>
        <v>3850349</v>
      </c>
      <c r="H833" t="s">
        <v>3441</v>
      </c>
      <c r="I833">
        <v>1941</v>
      </c>
      <c r="J833">
        <v>1941</v>
      </c>
      <c r="K833" t="s">
        <v>4907</v>
      </c>
      <c r="L833" t="s">
        <v>4555</v>
      </c>
      <c r="M833" s="2">
        <v>1792</v>
      </c>
      <c r="N833" t="s">
        <v>5280</v>
      </c>
      <c r="O833">
        <v>6</v>
      </c>
      <c r="P833">
        <v>2</v>
      </c>
      <c r="Q833">
        <v>0</v>
      </c>
      <c r="R833" t="s">
        <v>5281</v>
      </c>
      <c r="S833" t="s">
        <v>4682</v>
      </c>
      <c r="T833" t="s">
        <v>4559</v>
      </c>
      <c r="U833" t="s">
        <v>4655</v>
      </c>
      <c r="V833" s="2">
        <v>0</v>
      </c>
      <c r="W833" t="s">
        <v>3149</v>
      </c>
      <c r="X833" s="2">
        <v>680</v>
      </c>
      <c r="Y833">
        <v>30</v>
      </c>
      <c r="Z833" t="s">
        <v>3047</v>
      </c>
      <c r="AA833" s="3">
        <v>0.16600091755390201</v>
      </c>
      <c r="AB833" t="s">
        <v>9052</v>
      </c>
      <c r="AC833" t="s">
        <v>4575</v>
      </c>
      <c r="AD833" t="s">
        <v>9053</v>
      </c>
      <c r="AE833" t="s">
        <v>4655</v>
      </c>
      <c r="AF833" t="s">
        <v>4563</v>
      </c>
      <c r="AG833" t="s">
        <v>4564</v>
      </c>
      <c r="AH833">
        <v>89509</v>
      </c>
      <c r="AI833" t="s">
        <v>9054</v>
      </c>
      <c r="AJ833" t="s">
        <v>4655</v>
      </c>
      <c r="AK833" t="s">
        <v>9055</v>
      </c>
      <c r="AL833" s="13" t="s">
        <v>2255</v>
      </c>
      <c r="AM833" s="14">
        <v>2</v>
      </c>
      <c r="AN833" s="15" t="s">
        <v>3442</v>
      </c>
    </row>
    <row r="834" spans="1:40" x14ac:dyDescent="0.3">
      <c r="A834" s="10" t="str">
        <f>HYPERLINK("http://www.washoecounty.gov/assessor/cama/?parid=011-202-01&amp;CardNumber=1","011-202-01")</f>
        <v>011-202-01</v>
      </c>
      <c r="B834" t="s">
        <v>4655</v>
      </c>
      <c r="C834" t="s">
        <v>9056</v>
      </c>
      <c r="D834" s="1">
        <v>40339</v>
      </c>
      <c r="E834" s="2">
        <v>499000</v>
      </c>
      <c r="F834" t="s">
        <v>4567</v>
      </c>
      <c r="G834" s="17" t="str">
        <f>HYPERLINK("https://www.washoecounty.gov/assessor/cama/?command=sales&amp;parid=01120201","3889992")</f>
        <v>3889992</v>
      </c>
      <c r="H834" t="s">
        <v>3441</v>
      </c>
      <c r="I834">
        <v>1941</v>
      </c>
      <c r="J834">
        <v>1941</v>
      </c>
      <c r="K834" t="s">
        <v>4554</v>
      </c>
      <c r="L834" t="s">
        <v>3886</v>
      </c>
      <c r="M834" s="2">
        <v>1824</v>
      </c>
      <c r="N834" t="s">
        <v>3887</v>
      </c>
      <c r="O834">
        <v>2</v>
      </c>
      <c r="P834">
        <v>1</v>
      </c>
      <c r="Q834">
        <v>1</v>
      </c>
      <c r="R834" t="s">
        <v>5281</v>
      </c>
      <c r="S834" t="s">
        <v>4898</v>
      </c>
      <c r="T834" t="s">
        <v>4559</v>
      </c>
      <c r="U834" t="s">
        <v>4655</v>
      </c>
      <c r="V834" s="2">
        <v>0</v>
      </c>
      <c r="W834" t="s">
        <v>3149</v>
      </c>
      <c r="X834" s="2">
        <v>320</v>
      </c>
      <c r="Y834">
        <v>20</v>
      </c>
      <c r="Z834" t="s">
        <v>3047</v>
      </c>
      <c r="AA834" s="3">
        <v>0.25319099426269498</v>
      </c>
      <c r="AB834" t="s">
        <v>9057</v>
      </c>
      <c r="AC834" t="s">
        <v>4562</v>
      </c>
      <c r="AD834" t="s">
        <v>9056</v>
      </c>
      <c r="AE834" t="s">
        <v>4655</v>
      </c>
      <c r="AF834" t="s">
        <v>4563</v>
      </c>
      <c r="AG834" t="s">
        <v>4564</v>
      </c>
      <c r="AH834">
        <v>89509</v>
      </c>
      <c r="AI834" t="s">
        <v>9058</v>
      </c>
      <c r="AJ834" t="s">
        <v>4655</v>
      </c>
      <c r="AK834" t="s">
        <v>9059</v>
      </c>
      <c r="AL834" s="13" t="s">
        <v>2255</v>
      </c>
      <c r="AM834" s="14">
        <v>1</v>
      </c>
      <c r="AN834" s="15" t="s">
        <v>1851</v>
      </c>
    </row>
    <row r="835" spans="1:40" x14ac:dyDescent="0.3">
      <c r="A835" s="10" t="str">
        <f>HYPERLINK("http://www.washoecounty.gov/assessor/cama/?parid=011-203-12&amp;CardNumber=1","011-203-12")</f>
        <v>011-203-12</v>
      </c>
      <c r="B835" t="s">
        <v>4655</v>
      </c>
      <c r="C835" t="s">
        <v>9060</v>
      </c>
      <c r="D835" s="1">
        <v>40291</v>
      </c>
      <c r="E835" s="2">
        <v>404000</v>
      </c>
      <c r="F835" t="s">
        <v>4567</v>
      </c>
      <c r="G835" s="17" t="str">
        <f>HYPERLINK("https://www.washoecounty.gov/assessor/cama/?command=sales&amp;parid=01120312","3874204")</f>
        <v>3874204</v>
      </c>
      <c r="H835" t="s">
        <v>3441</v>
      </c>
      <c r="I835">
        <v>1916</v>
      </c>
      <c r="J835">
        <v>1961</v>
      </c>
      <c r="K835" t="s">
        <v>4554</v>
      </c>
      <c r="L835" t="s">
        <v>4555</v>
      </c>
      <c r="M835" s="2">
        <v>2206</v>
      </c>
      <c r="N835" t="s">
        <v>5280</v>
      </c>
      <c r="O835">
        <v>3</v>
      </c>
      <c r="P835">
        <v>2</v>
      </c>
      <c r="Q835">
        <v>0</v>
      </c>
      <c r="R835" t="s">
        <v>4557</v>
      </c>
      <c r="S835" t="s">
        <v>4898</v>
      </c>
      <c r="T835" t="s">
        <v>2947</v>
      </c>
      <c r="U835" t="s">
        <v>4655</v>
      </c>
      <c r="V835" s="2">
        <v>0</v>
      </c>
      <c r="W835" t="s">
        <v>4655</v>
      </c>
      <c r="X835" s="2">
        <v>0</v>
      </c>
      <c r="Y835">
        <v>20</v>
      </c>
      <c r="Z835" t="s">
        <v>3047</v>
      </c>
      <c r="AA835" s="3">
        <v>0.16600091755390201</v>
      </c>
      <c r="AB835" t="s">
        <v>9061</v>
      </c>
      <c r="AC835" t="s">
        <v>4575</v>
      </c>
      <c r="AD835" t="s">
        <v>9062</v>
      </c>
      <c r="AE835" t="s">
        <v>4655</v>
      </c>
      <c r="AF835" t="s">
        <v>5206</v>
      </c>
      <c r="AG835" t="s">
        <v>4564</v>
      </c>
      <c r="AH835" t="s">
        <v>5275</v>
      </c>
      <c r="AI835" t="s">
        <v>9063</v>
      </c>
      <c r="AJ835" t="s">
        <v>4655</v>
      </c>
      <c r="AK835" t="s">
        <v>9064</v>
      </c>
      <c r="AL835" s="13" t="s">
        <v>2255</v>
      </c>
      <c r="AM835">
        <v>1</v>
      </c>
      <c r="AN835" s="15" t="s">
        <v>3444</v>
      </c>
    </row>
    <row r="836" spans="1:40" x14ac:dyDescent="0.3">
      <c r="A836" s="10" t="str">
        <f>HYPERLINK("http://www.washoecounty.gov/assessor/cama/?parid=011-211-14&amp;CardNumber=1","011-211-14")</f>
        <v>011-211-14</v>
      </c>
      <c r="B836" t="s">
        <v>4655</v>
      </c>
      <c r="C836" t="s">
        <v>9065</v>
      </c>
      <c r="D836" s="1">
        <v>40303</v>
      </c>
      <c r="E836" s="2">
        <v>450000</v>
      </c>
      <c r="F836" t="s">
        <v>4553</v>
      </c>
      <c r="G836" s="17" t="str">
        <f>HYPERLINK("https://www.washoecounty.gov/assessor/cama/?command=sales&amp;parid=01121114","3878262")</f>
        <v>3878262</v>
      </c>
      <c r="H836" t="s">
        <v>3443</v>
      </c>
      <c r="I836">
        <v>1928</v>
      </c>
      <c r="J836">
        <v>1950</v>
      </c>
      <c r="K836" t="s">
        <v>4554</v>
      </c>
      <c r="L836" t="s">
        <v>3886</v>
      </c>
      <c r="M836" s="2">
        <v>2245</v>
      </c>
      <c r="N836" t="s">
        <v>3147</v>
      </c>
      <c r="O836">
        <v>3</v>
      </c>
      <c r="P836">
        <v>3</v>
      </c>
      <c r="Q836">
        <v>0</v>
      </c>
      <c r="R836" t="s">
        <v>5205</v>
      </c>
      <c r="S836" t="s">
        <v>3046</v>
      </c>
      <c r="T836" t="s">
        <v>4559</v>
      </c>
      <c r="U836" t="s">
        <v>4655</v>
      </c>
      <c r="V836" s="2">
        <v>0</v>
      </c>
      <c r="W836" t="s">
        <v>3149</v>
      </c>
      <c r="X836" s="2">
        <v>1404</v>
      </c>
      <c r="Y836">
        <v>20</v>
      </c>
      <c r="Z836" t="s">
        <v>4144</v>
      </c>
      <c r="AA836" s="3">
        <v>0.17217630147933999</v>
      </c>
      <c r="AB836" t="s">
        <v>9066</v>
      </c>
      <c r="AC836" t="s">
        <v>4562</v>
      </c>
      <c r="AD836" t="s">
        <v>9065</v>
      </c>
      <c r="AE836" t="s">
        <v>4655</v>
      </c>
      <c r="AF836" t="s">
        <v>4563</v>
      </c>
      <c r="AG836" t="s">
        <v>4564</v>
      </c>
      <c r="AH836">
        <v>89509</v>
      </c>
      <c r="AI836" t="s">
        <v>9067</v>
      </c>
      <c r="AJ836" t="s">
        <v>4655</v>
      </c>
      <c r="AK836" t="s">
        <v>9068</v>
      </c>
      <c r="AL836" s="13" t="s">
        <v>2255</v>
      </c>
      <c r="AM836">
        <v>1</v>
      </c>
      <c r="AN836" s="15" t="s">
        <v>3444</v>
      </c>
    </row>
    <row r="837" spans="1:40" x14ac:dyDescent="0.3">
      <c r="A837" s="10" t="str">
        <f>HYPERLINK("http://www.washoecounty.gov/assessor/cama/?parid=011-212-11&amp;CardNumber=1","011-212-11")</f>
        <v>011-212-11</v>
      </c>
      <c r="B837" t="s">
        <v>4655</v>
      </c>
      <c r="C837" t="s">
        <v>9069</v>
      </c>
      <c r="D837" s="1">
        <v>40200</v>
      </c>
      <c r="E837" s="2">
        <v>312500</v>
      </c>
      <c r="F837" t="s">
        <v>4553</v>
      </c>
      <c r="G837" s="17" t="str">
        <f>HYPERLINK("https://www.washoecounty.gov/assessor/cama/?command=sales&amp;parid=01121211","3842146")</f>
        <v>3842146</v>
      </c>
      <c r="H837" t="s">
        <v>3443</v>
      </c>
      <c r="I837">
        <v>1924</v>
      </c>
      <c r="J837">
        <v>1955</v>
      </c>
      <c r="K837" t="s">
        <v>4554</v>
      </c>
      <c r="L837" t="s">
        <v>3886</v>
      </c>
      <c r="M837" s="2">
        <v>1513</v>
      </c>
      <c r="N837" t="s">
        <v>5280</v>
      </c>
      <c r="O837">
        <v>3</v>
      </c>
      <c r="P837">
        <v>3</v>
      </c>
      <c r="Q837">
        <v>0</v>
      </c>
      <c r="R837" t="s">
        <v>4557</v>
      </c>
      <c r="S837" t="s">
        <v>4558</v>
      </c>
      <c r="T837" t="s">
        <v>4559</v>
      </c>
      <c r="U837" t="s">
        <v>5631</v>
      </c>
      <c r="V837" s="2">
        <v>308</v>
      </c>
      <c r="W837" t="s">
        <v>3149</v>
      </c>
      <c r="X837" s="2">
        <v>144</v>
      </c>
      <c r="Y837">
        <v>20</v>
      </c>
      <c r="Z837" t="s">
        <v>4144</v>
      </c>
      <c r="AA837" s="3">
        <v>0.17199265956878662</v>
      </c>
      <c r="AB837" t="s">
        <v>9070</v>
      </c>
      <c r="AC837" t="s">
        <v>4562</v>
      </c>
      <c r="AD837" t="s">
        <v>9069</v>
      </c>
      <c r="AE837" t="s">
        <v>4655</v>
      </c>
      <c r="AF837" t="s">
        <v>4563</v>
      </c>
      <c r="AG837" t="s">
        <v>4564</v>
      </c>
      <c r="AH837">
        <v>89509</v>
      </c>
      <c r="AI837" t="s">
        <v>7705</v>
      </c>
      <c r="AJ837" t="s">
        <v>4655</v>
      </c>
      <c r="AK837" t="s">
        <v>9071</v>
      </c>
      <c r="AL837" s="13" t="s">
        <v>2255</v>
      </c>
      <c r="AM837">
        <v>1</v>
      </c>
      <c r="AN837" s="15" t="s">
        <v>3444</v>
      </c>
    </row>
    <row r="838" spans="1:40" x14ac:dyDescent="0.3">
      <c r="A838" s="10" t="str">
        <f>HYPERLINK("http://www.washoecounty.gov/assessor/cama/?parid=011-221-14&amp;CardNumber=1","011-221-14")</f>
        <v>011-221-14</v>
      </c>
      <c r="B838" t="s">
        <v>4655</v>
      </c>
      <c r="C838" t="s">
        <v>9072</v>
      </c>
      <c r="D838" s="1">
        <v>40466</v>
      </c>
      <c r="E838" s="2">
        <v>421750</v>
      </c>
      <c r="F838" t="s">
        <v>4567</v>
      </c>
      <c r="G838" s="17" t="str">
        <f>HYPERLINK("https://www.washoecounty.gov/assessor/cama/?command=sales&amp;parid=01122114","3933532")</f>
        <v>3933532</v>
      </c>
      <c r="H838" t="s">
        <v>3299</v>
      </c>
      <c r="I838">
        <v>1966</v>
      </c>
      <c r="J838">
        <v>1966</v>
      </c>
      <c r="K838" t="s">
        <v>1567</v>
      </c>
      <c r="L838" t="s">
        <v>1366</v>
      </c>
      <c r="M838" s="2">
        <v>1860</v>
      </c>
      <c r="N838" t="s">
        <v>1431</v>
      </c>
      <c r="O838">
        <v>0</v>
      </c>
      <c r="P838">
        <v>0</v>
      </c>
      <c r="Q838">
        <v>0</v>
      </c>
      <c r="R838" t="s">
        <v>1395</v>
      </c>
      <c r="S838" t="s">
        <v>4856</v>
      </c>
      <c r="T838" t="s">
        <v>4655</v>
      </c>
      <c r="U838" t="s">
        <v>4655</v>
      </c>
      <c r="V838" s="2">
        <v>0</v>
      </c>
      <c r="W838" t="s">
        <v>3041</v>
      </c>
      <c r="X838" s="2">
        <v>660</v>
      </c>
      <c r="Y838">
        <v>41</v>
      </c>
      <c r="Z838" t="s">
        <v>3047</v>
      </c>
      <c r="AA838" s="3">
        <v>0.16099633276462599</v>
      </c>
      <c r="AB838" t="s">
        <v>9073</v>
      </c>
      <c r="AC838" t="s">
        <v>4562</v>
      </c>
      <c r="AD838" t="s">
        <v>9074</v>
      </c>
      <c r="AE838" t="s">
        <v>9072</v>
      </c>
      <c r="AF838" t="s">
        <v>3114</v>
      </c>
      <c r="AG838" t="s">
        <v>4564</v>
      </c>
      <c r="AH838">
        <v>89509</v>
      </c>
      <c r="AI838" t="s">
        <v>3300</v>
      </c>
      <c r="AJ838" t="s">
        <v>4655</v>
      </c>
      <c r="AK838" t="s">
        <v>9075</v>
      </c>
      <c r="AL838" s="13" t="s">
        <v>2256</v>
      </c>
      <c r="AM838" s="14">
        <v>1</v>
      </c>
      <c r="AN838" s="15" t="s">
        <v>240</v>
      </c>
    </row>
    <row r="839" spans="1:40" x14ac:dyDescent="0.3">
      <c r="A839" s="10" t="str">
        <f>HYPERLINK("http://www.washoecounty.gov/assessor/cama/?parid=011-226-10&amp;CardNumber=1","011-226-10")</f>
        <v>011-226-10</v>
      </c>
      <c r="B839" t="s">
        <v>4655</v>
      </c>
      <c r="C839" t="s">
        <v>9076</v>
      </c>
      <c r="D839" s="1">
        <v>40451</v>
      </c>
      <c r="E839" s="2">
        <v>175000</v>
      </c>
      <c r="F839" t="s">
        <v>3259</v>
      </c>
      <c r="G839" s="17" t="str">
        <f>HYPERLINK("https://www.washoecounty.gov/assessor/cama/?command=sales&amp;parid=01122610","3927963")</f>
        <v>3927963</v>
      </c>
      <c r="H839" t="s">
        <v>296</v>
      </c>
      <c r="I839">
        <v>1918</v>
      </c>
      <c r="J839">
        <v>1936</v>
      </c>
      <c r="K839" t="s">
        <v>1391</v>
      </c>
      <c r="L839" t="s">
        <v>4555</v>
      </c>
      <c r="M839" s="2">
        <v>1198</v>
      </c>
      <c r="N839" t="s">
        <v>4048</v>
      </c>
      <c r="O839">
        <v>0</v>
      </c>
      <c r="P839">
        <v>1</v>
      </c>
      <c r="Q839">
        <v>0</v>
      </c>
      <c r="R839" t="s">
        <v>4557</v>
      </c>
      <c r="S839" t="s">
        <v>4135</v>
      </c>
      <c r="T839" t="s">
        <v>4559</v>
      </c>
      <c r="U839" t="s">
        <v>4655</v>
      </c>
      <c r="V839" s="2">
        <v>0</v>
      </c>
      <c r="W839" t="s">
        <v>3149</v>
      </c>
      <c r="X839" s="2">
        <v>868</v>
      </c>
      <c r="Y839">
        <v>41</v>
      </c>
      <c r="Z839" t="s">
        <v>4900</v>
      </c>
      <c r="AA839" s="3">
        <v>0.15399448573589325</v>
      </c>
      <c r="AB839" t="s">
        <v>9077</v>
      </c>
      <c r="AC839" t="s">
        <v>4562</v>
      </c>
      <c r="AD839" t="s">
        <v>9078</v>
      </c>
      <c r="AE839" t="s">
        <v>4655</v>
      </c>
      <c r="AF839" t="s">
        <v>4563</v>
      </c>
      <c r="AG839" t="s">
        <v>4564</v>
      </c>
      <c r="AH839">
        <v>89501</v>
      </c>
      <c r="AI839" t="s">
        <v>9079</v>
      </c>
      <c r="AJ839" t="s">
        <v>4655</v>
      </c>
      <c r="AK839" t="s">
        <v>9080</v>
      </c>
      <c r="AL839" s="13" t="s">
        <v>2256</v>
      </c>
      <c r="AM839">
        <v>1</v>
      </c>
      <c r="AN839" s="15" t="s">
        <v>2652</v>
      </c>
    </row>
    <row r="840" spans="1:40" x14ac:dyDescent="0.3">
      <c r="A840" s="10" t="str">
        <f>HYPERLINK("http://www.washoecounty.gov/assessor/cama/?parid=011-235-23&amp;CardNumber=1","011-235-23")</f>
        <v>011-235-23</v>
      </c>
      <c r="B840" t="s">
        <v>4655</v>
      </c>
      <c r="C840" t="s">
        <v>9081</v>
      </c>
      <c r="D840" s="1">
        <v>40374</v>
      </c>
      <c r="E840" s="2">
        <v>250000</v>
      </c>
      <c r="F840" t="s">
        <v>4567</v>
      </c>
      <c r="G840" s="17" t="str">
        <f>HYPERLINK("https://www.washoecounty.gov/assessor/cama/?command=sales&amp;parid=01123523","3901660")</f>
        <v>3901660</v>
      </c>
      <c r="H840" t="s">
        <v>2651</v>
      </c>
      <c r="I840">
        <v>1964</v>
      </c>
      <c r="J840">
        <v>1964</v>
      </c>
      <c r="K840" t="s">
        <v>3043</v>
      </c>
      <c r="L840" t="s">
        <v>3974</v>
      </c>
      <c r="M840" s="2">
        <v>3484</v>
      </c>
      <c r="N840" t="s">
        <v>4556</v>
      </c>
      <c r="O840">
        <v>8</v>
      </c>
      <c r="P840">
        <v>8</v>
      </c>
      <c r="Q840">
        <v>0</v>
      </c>
      <c r="R840" t="s">
        <v>4134</v>
      </c>
      <c r="S840" t="s">
        <v>364</v>
      </c>
      <c r="T840" t="s">
        <v>4899</v>
      </c>
      <c r="U840" t="s">
        <v>4655</v>
      </c>
      <c r="V840" s="2">
        <v>0</v>
      </c>
      <c r="W840" t="s">
        <v>3149</v>
      </c>
      <c r="X840" s="2">
        <v>160</v>
      </c>
      <c r="Y840">
        <v>33</v>
      </c>
      <c r="Z840" t="s">
        <v>4900</v>
      </c>
      <c r="AA840" s="3">
        <v>0.167011022567749</v>
      </c>
      <c r="AB840" t="s">
        <v>9082</v>
      </c>
      <c r="AC840" t="s">
        <v>4562</v>
      </c>
      <c r="AD840" t="s">
        <v>9083</v>
      </c>
      <c r="AE840" t="s">
        <v>4655</v>
      </c>
      <c r="AF840" t="s">
        <v>9084</v>
      </c>
      <c r="AG840" t="s">
        <v>4584</v>
      </c>
      <c r="AH840" t="s">
        <v>9085</v>
      </c>
      <c r="AI840" t="s">
        <v>9086</v>
      </c>
      <c r="AJ840" t="s">
        <v>4655</v>
      </c>
      <c r="AK840" t="s">
        <v>9087</v>
      </c>
      <c r="AL840" s="13" t="s">
        <v>2255</v>
      </c>
      <c r="AM840">
        <v>8</v>
      </c>
      <c r="AN840" s="15" t="s">
        <v>3172</v>
      </c>
    </row>
    <row r="841" spans="1:40" x14ac:dyDescent="0.3">
      <c r="A841" s="10" t="str">
        <f>HYPERLINK("http://www.washoecounty.gov/assessor/cama/?parid=011-251-09&amp;CardNumber=1","011-251-09")</f>
        <v>011-251-09</v>
      </c>
      <c r="B841" t="s">
        <v>4655</v>
      </c>
      <c r="C841" t="s">
        <v>9088</v>
      </c>
      <c r="D841" s="1">
        <v>40270</v>
      </c>
      <c r="E841" s="2">
        <v>434500</v>
      </c>
      <c r="F841" t="s">
        <v>4553</v>
      </c>
      <c r="G841" s="17" t="str">
        <f>HYPERLINK("https://www.washoecounty.gov/assessor/cama/?command=sales&amp;parid=01125109","3867159")</f>
        <v>3867159</v>
      </c>
      <c r="H841" t="s">
        <v>3441</v>
      </c>
      <c r="I841">
        <v>1926</v>
      </c>
      <c r="J841">
        <v>1958</v>
      </c>
      <c r="K841" t="s">
        <v>4554</v>
      </c>
      <c r="L841" t="s">
        <v>3974</v>
      </c>
      <c r="M841" s="2">
        <v>2897</v>
      </c>
      <c r="N841" t="s">
        <v>5280</v>
      </c>
      <c r="O841">
        <v>6</v>
      </c>
      <c r="P841">
        <v>3</v>
      </c>
      <c r="Q841">
        <v>1</v>
      </c>
      <c r="R841" t="s">
        <v>4557</v>
      </c>
      <c r="S841" t="s">
        <v>4682</v>
      </c>
      <c r="T841" t="s">
        <v>4559</v>
      </c>
      <c r="U841" t="s">
        <v>5631</v>
      </c>
      <c r="V841" s="2">
        <v>672</v>
      </c>
      <c r="W841" t="s">
        <v>3149</v>
      </c>
      <c r="X841" s="2">
        <v>1107</v>
      </c>
      <c r="Y841">
        <v>20</v>
      </c>
      <c r="Z841" t="s">
        <v>4144</v>
      </c>
      <c r="AA841" s="3">
        <v>0.14299815893173218</v>
      </c>
      <c r="AB841" t="s">
        <v>9089</v>
      </c>
      <c r="AC841" t="s">
        <v>4562</v>
      </c>
      <c r="AD841" t="s">
        <v>9088</v>
      </c>
      <c r="AE841" t="s">
        <v>4655</v>
      </c>
      <c r="AF841" t="s">
        <v>4563</v>
      </c>
      <c r="AG841" t="s">
        <v>4564</v>
      </c>
      <c r="AH841">
        <v>89509</v>
      </c>
      <c r="AI841" t="s">
        <v>9090</v>
      </c>
      <c r="AJ841" t="s">
        <v>4655</v>
      </c>
      <c r="AK841" t="s">
        <v>9091</v>
      </c>
      <c r="AL841" s="13" t="s">
        <v>2255</v>
      </c>
      <c r="AM841">
        <v>1</v>
      </c>
      <c r="AN841" s="15" t="s">
        <v>1851</v>
      </c>
    </row>
    <row r="842" spans="1:40" x14ac:dyDescent="0.3">
      <c r="A842" s="10" t="str">
        <f>HYPERLINK("http://www.washoecounty.gov/assessor/cama/?parid=011-255-03&amp;CardNumber=1","011-255-03")</f>
        <v>011-255-03</v>
      </c>
      <c r="B842" t="s">
        <v>4655</v>
      </c>
      <c r="C842" t="s">
        <v>9092</v>
      </c>
      <c r="D842" s="1">
        <v>40451</v>
      </c>
      <c r="E842" s="2">
        <v>265000</v>
      </c>
      <c r="F842" t="s">
        <v>4567</v>
      </c>
      <c r="G842" s="17" t="str">
        <f>HYPERLINK("https://www.washoecounty.gov/assessor/cama/?command=sales&amp;parid=01125503","3927774")</f>
        <v>3927774</v>
      </c>
      <c r="H842" t="s">
        <v>3443</v>
      </c>
      <c r="I842">
        <v>1924</v>
      </c>
      <c r="J842">
        <v>1924</v>
      </c>
      <c r="K842" t="s">
        <v>4554</v>
      </c>
      <c r="L842" t="s">
        <v>4555</v>
      </c>
      <c r="M842" s="2">
        <v>1127</v>
      </c>
      <c r="N842" t="s">
        <v>5280</v>
      </c>
      <c r="O842">
        <v>3</v>
      </c>
      <c r="P842">
        <v>1</v>
      </c>
      <c r="Q842">
        <v>0</v>
      </c>
      <c r="R842" t="s">
        <v>4557</v>
      </c>
      <c r="S842" t="s">
        <v>3046</v>
      </c>
      <c r="T842" t="s">
        <v>4559</v>
      </c>
      <c r="U842" t="s">
        <v>4655</v>
      </c>
      <c r="V842" s="2">
        <v>0</v>
      </c>
      <c r="W842" t="s">
        <v>3149</v>
      </c>
      <c r="X842" s="2">
        <v>360</v>
      </c>
      <c r="Y842">
        <v>20</v>
      </c>
      <c r="Z842" t="s">
        <v>4561</v>
      </c>
      <c r="AA842" s="3">
        <v>0.17199265956878662</v>
      </c>
      <c r="AB842" t="s">
        <v>9093</v>
      </c>
      <c r="AC842" t="s">
        <v>4562</v>
      </c>
      <c r="AD842" t="s">
        <v>9094</v>
      </c>
      <c r="AE842" t="s">
        <v>4655</v>
      </c>
      <c r="AF842" t="s">
        <v>4563</v>
      </c>
      <c r="AG842" t="s">
        <v>4564</v>
      </c>
      <c r="AH842">
        <v>89509</v>
      </c>
      <c r="AI842" t="s">
        <v>9095</v>
      </c>
      <c r="AJ842" t="s">
        <v>4655</v>
      </c>
      <c r="AK842" t="s">
        <v>9096</v>
      </c>
      <c r="AL842" s="13" t="s">
        <v>2255</v>
      </c>
      <c r="AM842" s="14">
        <v>1</v>
      </c>
      <c r="AN842" s="15" t="s">
        <v>3444</v>
      </c>
    </row>
    <row r="843" spans="1:40" x14ac:dyDescent="0.3">
      <c r="A843" s="10" t="str">
        <f>HYPERLINK("http://www.washoecounty.gov/assessor/cama/?parid=011-255-13&amp;CardNumber=1","011-255-13")</f>
        <v>011-255-13</v>
      </c>
      <c r="B843" t="s">
        <v>4655</v>
      </c>
      <c r="C843" t="s">
        <v>9097</v>
      </c>
      <c r="D843" s="1">
        <v>40303</v>
      </c>
      <c r="E843" s="2">
        <v>365000</v>
      </c>
      <c r="F843" t="s">
        <v>4567</v>
      </c>
      <c r="G843" s="17" t="str">
        <f>HYPERLINK("https://www.washoecounty.gov/assessor/cama/?command=sales&amp;parid=01125513","3878261")</f>
        <v>3878261</v>
      </c>
      <c r="H843" t="s">
        <v>3443</v>
      </c>
      <c r="I843">
        <v>1936</v>
      </c>
      <c r="J843">
        <v>1936</v>
      </c>
      <c r="K843" t="s">
        <v>4554</v>
      </c>
      <c r="L843" t="s">
        <v>4555</v>
      </c>
      <c r="M843" s="2">
        <v>1459</v>
      </c>
      <c r="N843" t="s">
        <v>3147</v>
      </c>
      <c r="O843">
        <v>2</v>
      </c>
      <c r="P843">
        <v>1</v>
      </c>
      <c r="Q843">
        <v>0</v>
      </c>
      <c r="R843" t="s">
        <v>5281</v>
      </c>
      <c r="S843" t="s">
        <v>3046</v>
      </c>
      <c r="T843" t="s">
        <v>4559</v>
      </c>
      <c r="U843" t="s">
        <v>4560</v>
      </c>
      <c r="V843" s="2">
        <v>506</v>
      </c>
      <c r="W843" t="s">
        <v>3149</v>
      </c>
      <c r="X843" s="2">
        <v>1459</v>
      </c>
      <c r="Y843">
        <v>20</v>
      </c>
      <c r="Z843" t="s">
        <v>4144</v>
      </c>
      <c r="AA843" s="3">
        <v>0.114990815520287</v>
      </c>
      <c r="AB843" t="s">
        <v>9098</v>
      </c>
      <c r="AC843" t="s">
        <v>4562</v>
      </c>
      <c r="AD843" t="s">
        <v>9099</v>
      </c>
      <c r="AE843" t="s">
        <v>4655</v>
      </c>
      <c r="AF843" t="s">
        <v>930</v>
      </c>
      <c r="AG843" t="s">
        <v>1188</v>
      </c>
      <c r="AH843">
        <v>99508</v>
      </c>
      <c r="AI843" t="s">
        <v>9100</v>
      </c>
      <c r="AJ843" t="s">
        <v>4655</v>
      </c>
      <c r="AK843" t="s">
        <v>9101</v>
      </c>
      <c r="AL843" s="13" t="s">
        <v>2255</v>
      </c>
      <c r="AM843">
        <v>1</v>
      </c>
      <c r="AN843" s="15" t="s">
        <v>3444</v>
      </c>
    </row>
    <row r="844" spans="1:40" x14ac:dyDescent="0.3">
      <c r="A844" s="10" t="str">
        <f>HYPERLINK("http://www.washoecounty.gov/assessor/cama/?parid=011-256-06&amp;CardNumber=1","011-256-06")</f>
        <v>011-256-06</v>
      </c>
      <c r="B844" t="s">
        <v>5502</v>
      </c>
      <c r="C844" t="s">
        <v>9102</v>
      </c>
      <c r="D844" s="1">
        <v>40394</v>
      </c>
      <c r="E844" s="2">
        <v>180000</v>
      </c>
      <c r="F844" t="s">
        <v>4553</v>
      </c>
      <c r="G844" s="17" t="str">
        <f>HYPERLINK("https://www.washoecounty.gov/assessor/cama/?command=sales&amp;parid=01125606","3908571")</f>
        <v>3908571</v>
      </c>
      <c r="H844" t="s">
        <v>9103</v>
      </c>
      <c r="I844">
        <v>1928</v>
      </c>
      <c r="J844">
        <v>1946</v>
      </c>
      <c r="K844" t="s">
        <v>4554</v>
      </c>
      <c r="L844" t="s">
        <v>4555</v>
      </c>
      <c r="M844" s="2">
        <v>1175</v>
      </c>
      <c r="N844" t="s">
        <v>5280</v>
      </c>
      <c r="O844">
        <v>3</v>
      </c>
      <c r="P844">
        <v>2</v>
      </c>
      <c r="Q844">
        <v>0</v>
      </c>
      <c r="R844" t="s">
        <v>4557</v>
      </c>
      <c r="S844" t="s">
        <v>3046</v>
      </c>
      <c r="T844" t="s">
        <v>4559</v>
      </c>
      <c r="U844" t="s">
        <v>4655</v>
      </c>
      <c r="V844" s="2">
        <v>0</v>
      </c>
      <c r="W844" t="s">
        <v>3149</v>
      </c>
      <c r="X844" s="2">
        <v>450</v>
      </c>
      <c r="Y844">
        <v>31</v>
      </c>
      <c r="Z844" t="s">
        <v>4144</v>
      </c>
      <c r="AA844" s="3">
        <v>0.14898990094661699</v>
      </c>
      <c r="AB844" t="s">
        <v>9104</v>
      </c>
      <c r="AC844" t="s">
        <v>4562</v>
      </c>
      <c r="AD844" t="s">
        <v>9105</v>
      </c>
      <c r="AE844" t="s">
        <v>4655</v>
      </c>
      <c r="AF844" t="s">
        <v>5206</v>
      </c>
      <c r="AG844" t="s">
        <v>4564</v>
      </c>
      <c r="AH844" t="s">
        <v>5207</v>
      </c>
      <c r="AI844" t="s">
        <v>4145</v>
      </c>
      <c r="AJ844" t="s">
        <v>4655</v>
      </c>
      <c r="AK844" t="s">
        <v>9106</v>
      </c>
      <c r="AL844" s="13" t="s">
        <v>2255</v>
      </c>
      <c r="AM844" s="14">
        <v>2</v>
      </c>
      <c r="AN844" s="15" t="s">
        <v>3442</v>
      </c>
    </row>
    <row r="845" spans="1:40" x14ac:dyDescent="0.3">
      <c r="A845" s="10" t="str">
        <f>HYPERLINK("http://www.washoecounty.gov/assessor/cama/?parid=011-256-07&amp;CardNumber=1","011-256-07")</f>
        <v>011-256-07</v>
      </c>
      <c r="B845" t="s">
        <v>4655</v>
      </c>
      <c r="C845" t="s">
        <v>9107</v>
      </c>
      <c r="D845" s="1">
        <v>40350</v>
      </c>
      <c r="E845" s="2">
        <v>385000</v>
      </c>
      <c r="F845" t="s">
        <v>4567</v>
      </c>
      <c r="G845" s="17" t="str">
        <f>HYPERLINK("https://www.washoecounty.gov/assessor/cama/?command=sales&amp;parid=01125607","3893933")</f>
        <v>3893933</v>
      </c>
      <c r="H845" t="s">
        <v>9103</v>
      </c>
      <c r="I845">
        <v>1934</v>
      </c>
      <c r="J845">
        <v>1934</v>
      </c>
      <c r="K845" t="s">
        <v>4554</v>
      </c>
      <c r="L845" t="s">
        <v>3974</v>
      </c>
      <c r="M845" s="2">
        <v>3026</v>
      </c>
      <c r="N845" t="s">
        <v>3887</v>
      </c>
      <c r="O845">
        <v>5</v>
      </c>
      <c r="P845">
        <v>5</v>
      </c>
      <c r="Q845">
        <v>0</v>
      </c>
      <c r="R845" t="s">
        <v>5281</v>
      </c>
      <c r="S845" t="s">
        <v>4570</v>
      </c>
      <c r="T845" t="s">
        <v>4559</v>
      </c>
      <c r="U845" t="s">
        <v>4560</v>
      </c>
      <c r="V845" s="2">
        <v>525</v>
      </c>
      <c r="W845" t="s">
        <v>3149</v>
      </c>
      <c r="X845" s="2">
        <v>225</v>
      </c>
      <c r="Y845">
        <v>20</v>
      </c>
      <c r="Z845" t="s">
        <v>4144</v>
      </c>
      <c r="AA845" s="3">
        <v>0.298002749681473</v>
      </c>
      <c r="AB845" t="s">
        <v>9108</v>
      </c>
      <c r="AC845" t="s">
        <v>4562</v>
      </c>
      <c r="AD845" t="s">
        <v>9107</v>
      </c>
      <c r="AE845" t="s">
        <v>4655</v>
      </c>
      <c r="AF845" t="s">
        <v>4563</v>
      </c>
      <c r="AG845" t="s">
        <v>4564</v>
      </c>
      <c r="AH845">
        <v>89509</v>
      </c>
      <c r="AI845" t="s">
        <v>9109</v>
      </c>
      <c r="AJ845" t="s">
        <v>4655</v>
      </c>
      <c r="AK845" t="s">
        <v>9110</v>
      </c>
      <c r="AL845" s="13" t="s">
        <v>2255</v>
      </c>
      <c r="AM845" s="14">
        <v>1</v>
      </c>
      <c r="AN845" s="15" t="s">
        <v>3444</v>
      </c>
    </row>
    <row r="846" spans="1:40" x14ac:dyDescent="0.3">
      <c r="A846" s="10" t="str">
        <f>HYPERLINK("http://www.washoecounty.gov/assessor/cama/?parid=011-261-19&amp;CardNumber=1","011-261-19")</f>
        <v>011-261-19</v>
      </c>
      <c r="B846" t="s">
        <v>4655</v>
      </c>
      <c r="C846" t="s">
        <v>9111</v>
      </c>
      <c r="D846" s="1">
        <v>40352</v>
      </c>
      <c r="E846" s="2">
        <v>149500</v>
      </c>
      <c r="F846" t="s">
        <v>4567</v>
      </c>
      <c r="G846" s="17" t="str">
        <f>HYPERLINK("https://www.washoecounty.gov/assessor/cama/?command=sales&amp;parid=01126119","3894717")</f>
        <v>3894717</v>
      </c>
      <c r="H846" t="s">
        <v>9112</v>
      </c>
      <c r="I846">
        <v>1934</v>
      </c>
      <c r="J846">
        <v>1934</v>
      </c>
      <c r="K846" t="s">
        <v>4554</v>
      </c>
      <c r="L846" t="s">
        <v>4555</v>
      </c>
      <c r="M846" s="2">
        <v>1032</v>
      </c>
      <c r="N846" t="s">
        <v>5280</v>
      </c>
      <c r="O846">
        <v>2</v>
      </c>
      <c r="P846">
        <v>1</v>
      </c>
      <c r="Q846">
        <v>0</v>
      </c>
      <c r="R846" t="s">
        <v>4557</v>
      </c>
      <c r="S846" t="s">
        <v>4682</v>
      </c>
      <c r="T846" t="s">
        <v>4559</v>
      </c>
      <c r="U846" t="s">
        <v>4560</v>
      </c>
      <c r="V846" s="2">
        <v>280</v>
      </c>
      <c r="W846" t="s">
        <v>3149</v>
      </c>
      <c r="X846" s="2">
        <v>832</v>
      </c>
      <c r="Y846">
        <v>20</v>
      </c>
      <c r="Z846" t="s">
        <v>2705</v>
      </c>
      <c r="AA846" s="3">
        <v>8.5445359349250793E-2</v>
      </c>
      <c r="AB846" t="s">
        <v>9113</v>
      </c>
      <c r="AC846" t="s">
        <v>4562</v>
      </c>
      <c r="AD846" t="s">
        <v>734</v>
      </c>
      <c r="AE846" t="s">
        <v>4655</v>
      </c>
      <c r="AF846" t="s">
        <v>4563</v>
      </c>
      <c r="AG846" t="s">
        <v>4564</v>
      </c>
      <c r="AH846" t="s">
        <v>1147</v>
      </c>
      <c r="AI846" t="s">
        <v>9114</v>
      </c>
      <c r="AJ846" t="s">
        <v>9115</v>
      </c>
      <c r="AK846" t="s">
        <v>9116</v>
      </c>
      <c r="AL846" s="13" t="s">
        <v>2255</v>
      </c>
      <c r="AM846" s="14">
        <v>1</v>
      </c>
      <c r="AN846" s="15" t="s">
        <v>2516</v>
      </c>
    </row>
    <row r="847" spans="1:40" x14ac:dyDescent="0.3">
      <c r="A847" s="10" t="str">
        <f>HYPERLINK("http://www.washoecounty.gov/assessor/cama/?parid=011-264-01&amp;CardNumber=1","011-264-01")</f>
        <v>011-264-01</v>
      </c>
      <c r="B847" t="s">
        <v>4655</v>
      </c>
      <c r="C847" t="s">
        <v>9117</v>
      </c>
      <c r="D847" s="1">
        <v>40472</v>
      </c>
      <c r="E847" s="2">
        <v>210000</v>
      </c>
      <c r="F847" t="s">
        <v>3528</v>
      </c>
      <c r="G847" s="17" t="str">
        <f>HYPERLINK("https://www.washoecounty.gov/assessor/cama/?command=sales&amp;parid=01126401","3935341")</f>
        <v>3935341</v>
      </c>
      <c r="H847" t="s">
        <v>3445</v>
      </c>
      <c r="I847">
        <v>1976</v>
      </c>
      <c r="J847">
        <v>1976</v>
      </c>
      <c r="K847" t="s">
        <v>3043</v>
      </c>
      <c r="L847" t="s">
        <v>3974</v>
      </c>
      <c r="M847" s="2">
        <v>2533</v>
      </c>
      <c r="N847" t="s">
        <v>4048</v>
      </c>
      <c r="O847">
        <v>4</v>
      </c>
      <c r="P847">
        <v>4</v>
      </c>
      <c r="Q847">
        <v>0</v>
      </c>
      <c r="R847" t="s">
        <v>4557</v>
      </c>
      <c r="S847" t="s">
        <v>3148</v>
      </c>
      <c r="T847" t="s">
        <v>4559</v>
      </c>
      <c r="U847" t="s">
        <v>5631</v>
      </c>
      <c r="V847" s="2">
        <v>273</v>
      </c>
      <c r="W847" t="s">
        <v>4655</v>
      </c>
      <c r="X847" s="2">
        <v>0</v>
      </c>
      <c r="Y847">
        <v>32</v>
      </c>
      <c r="Z847" t="s">
        <v>2705</v>
      </c>
      <c r="AA847" s="3">
        <v>0.11000918596983</v>
      </c>
      <c r="AB847" t="s">
        <v>9118</v>
      </c>
      <c r="AC847" t="s">
        <v>4562</v>
      </c>
      <c r="AD847" t="s">
        <v>9119</v>
      </c>
      <c r="AE847" t="s">
        <v>4655</v>
      </c>
      <c r="AF847" t="s">
        <v>4563</v>
      </c>
      <c r="AG847" t="s">
        <v>4564</v>
      </c>
      <c r="AH847">
        <v>89511</v>
      </c>
      <c r="AI847" t="s">
        <v>9120</v>
      </c>
      <c r="AJ847" t="s">
        <v>4655</v>
      </c>
      <c r="AK847" t="s">
        <v>9121</v>
      </c>
      <c r="AL847" s="13" t="s">
        <v>2255</v>
      </c>
      <c r="AM847">
        <v>4</v>
      </c>
      <c r="AN847" s="15" t="s">
        <v>3368</v>
      </c>
    </row>
    <row r="848" spans="1:40" x14ac:dyDescent="0.3">
      <c r="A848" s="10" t="str">
        <f>HYPERLINK("http://www.washoecounty.gov/assessor/cama/?parid=011-264-10&amp;CardNumber=1","011-264-10")</f>
        <v>011-264-10</v>
      </c>
      <c r="B848" t="s">
        <v>5502</v>
      </c>
      <c r="C848" t="s">
        <v>9122</v>
      </c>
      <c r="D848" s="1">
        <v>40542</v>
      </c>
      <c r="E848" s="2">
        <v>234000</v>
      </c>
      <c r="F848" t="s">
        <v>4567</v>
      </c>
      <c r="G848" s="17" t="str">
        <f>HYPERLINK("https://www.washoecounty.gov/assessor/cama/?command=sales&amp;parid=01126410","3959387")</f>
        <v>3959387</v>
      </c>
      <c r="H848" t="s">
        <v>9123</v>
      </c>
      <c r="I848">
        <v>1926</v>
      </c>
      <c r="J848">
        <v>1926</v>
      </c>
      <c r="K848" t="s">
        <v>4554</v>
      </c>
      <c r="L848" t="s">
        <v>4555</v>
      </c>
      <c r="M848" s="2">
        <v>1877</v>
      </c>
      <c r="N848" t="s">
        <v>3147</v>
      </c>
      <c r="O848">
        <v>5</v>
      </c>
      <c r="P848">
        <v>2</v>
      </c>
      <c r="Q848">
        <v>0</v>
      </c>
      <c r="R848" t="s">
        <v>4557</v>
      </c>
      <c r="S848" t="s">
        <v>4682</v>
      </c>
      <c r="T848" t="s">
        <v>4559</v>
      </c>
      <c r="U848" t="s">
        <v>4655</v>
      </c>
      <c r="V848" s="2">
        <v>0</v>
      </c>
      <c r="W848" t="s">
        <v>3149</v>
      </c>
      <c r="X848" s="2">
        <v>1176</v>
      </c>
      <c r="Y848">
        <v>31</v>
      </c>
      <c r="Z848" t="s">
        <v>4144</v>
      </c>
      <c r="AA848" s="3">
        <v>0.16099633276462599</v>
      </c>
      <c r="AB848" t="s">
        <v>9124</v>
      </c>
      <c r="AC848" t="s">
        <v>4562</v>
      </c>
      <c r="AD848" t="s">
        <v>9125</v>
      </c>
      <c r="AE848" t="s">
        <v>4655</v>
      </c>
      <c r="AF848" t="s">
        <v>4563</v>
      </c>
      <c r="AG848" t="s">
        <v>4564</v>
      </c>
      <c r="AH848">
        <v>89511</v>
      </c>
      <c r="AI848" t="s">
        <v>4929</v>
      </c>
      <c r="AJ848" t="s">
        <v>4655</v>
      </c>
      <c r="AK848" t="s">
        <v>9126</v>
      </c>
      <c r="AL848" s="13" t="s">
        <v>2255</v>
      </c>
      <c r="AM848">
        <v>2</v>
      </c>
      <c r="AN848" s="15" t="s">
        <v>3368</v>
      </c>
    </row>
    <row r="849" spans="1:40" x14ac:dyDescent="0.3">
      <c r="A849" s="10" t="str">
        <f>HYPERLINK("http://www.washoecounty.gov/assessor/cama/?parid=011-264-13&amp;CardNumber=1","011-264-13")</f>
        <v>011-264-13</v>
      </c>
      <c r="B849" t="s">
        <v>5502</v>
      </c>
      <c r="C849" t="s">
        <v>9127</v>
      </c>
      <c r="D849" s="1">
        <v>40527</v>
      </c>
      <c r="E849" s="2">
        <v>300002</v>
      </c>
      <c r="F849" t="s">
        <v>4567</v>
      </c>
      <c r="G849" s="17" t="str">
        <f>HYPERLINK("https://www.washoecounty.gov/assessor/cama/?command=sales&amp;parid=01126413","3953659")</f>
        <v>3953659</v>
      </c>
      <c r="H849" t="s">
        <v>9123</v>
      </c>
      <c r="I849">
        <v>1916</v>
      </c>
      <c r="J849">
        <v>1936</v>
      </c>
      <c r="K849" t="s">
        <v>4554</v>
      </c>
      <c r="L849" t="s">
        <v>3886</v>
      </c>
      <c r="M849" s="2">
        <v>1897</v>
      </c>
      <c r="N849" t="s">
        <v>3147</v>
      </c>
      <c r="O849">
        <v>4</v>
      </c>
      <c r="P849">
        <v>2</v>
      </c>
      <c r="Q849">
        <v>0</v>
      </c>
      <c r="R849" t="s">
        <v>4557</v>
      </c>
      <c r="S849" t="s">
        <v>3148</v>
      </c>
      <c r="T849" t="s">
        <v>4559</v>
      </c>
      <c r="U849" t="s">
        <v>4655</v>
      </c>
      <c r="V849" s="2">
        <v>0</v>
      </c>
      <c r="W849" t="s">
        <v>3149</v>
      </c>
      <c r="X849" s="2">
        <v>1272</v>
      </c>
      <c r="Y849">
        <v>31</v>
      </c>
      <c r="Z849" t="s">
        <v>2705</v>
      </c>
      <c r="AA849" s="3">
        <v>0.26799815893173218</v>
      </c>
      <c r="AB849" t="s">
        <v>9128</v>
      </c>
      <c r="AC849" t="s">
        <v>4575</v>
      </c>
      <c r="AD849" t="s">
        <v>9127</v>
      </c>
      <c r="AE849" t="s">
        <v>4655</v>
      </c>
      <c r="AF849" t="s">
        <v>4563</v>
      </c>
      <c r="AG849" t="s">
        <v>4564</v>
      </c>
      <c r="AH849">
        <v>89509</v>
      </c>
      <c r="AI849" t="s">
        <v>9129</v>
      </c>
      <c r="AJ849" t="s">
        <v>4655</v>
      </c>
      <c r="AK849" t="s">
        <v>9130</v>
      </c>
      <c r="AL849" s="13" t="s">
        <v>2255</v>
      </c>
      <c r="AM849">
        <v>2</v>
      </c>
      <c r="AN849" s="15" t="s">
        <v>3368</v>
      </c>
    </row>
    <row r="850" spans="1:40" x14ac:dyDescent="0.3">
      <c r="A850" s="10" t="str">
        <f>HYPERLINK("http://www.washoecounty.gov/assessor/cama/?parid=011-265-03&amp;CardNumber=1","011-265-03")</f>
        <v>011-265-03</v>
      </c>
      <c r="B850" t="s">
        <v>4655</v>
      </c>
      <c r="C850" t="s">
        <v>9131</v>
      </c>
      <c r="D850" s="1">
        <v>40220</v>
      </c>
      <c r="E850" s="2">
        <v>145000</v>
      </c>
      <c r="F850" t="s">
        <v>4567</v>
      </c>
      <c r="G850" s="17" t="str">
        <f>HYPERLINK("https://www.washoecounty.gov/assessor/cama/?command=sales&amp;parid=01126503","3848155")</f>
        <v>3848155</v>
      </c>
      <c r="H850" t="s">
        <v>3445</v>
      </c>
      <c r="I850">
        <v>1928</v>
      </c>
      <c r="J850">
        <v>1928</v>
      </c>
      <c r="K850" t="s">
        <v>4907</v>
      </c>
      <c r="L850" t="s">
        <v>4555</v>
      </c>
      <c r="M850" s="2">
        <v>1502</v>
      </c>
      <c r="N850" t="s">
        <v>3147</v>
      </c>
      <c r="O850">
        <v>4</v>
      </c>
      <c r="P850">
        <v>2</v>
      </c>
      <c r="Q850">
        <v>0</v>
      </c>
      <c r="R850" t="s">
        <v>4557</v>
      </c>
      <c r="S850" t="s">
        <v>4682</v>
      </c>
      <c r="T850" t="s">
        <v>4559</v>
      </c>
      <c r="U850" t="s">
        <v>162</v>
      </c>
      <c r="V850" s="2">
        <v>444</v>
      </c>
      <c r="W850" t="s">
        <v>3149</v>
      </c>
      <c r="X850" s="2">
        <v>967</v>
      </c>
      <c r="Y850">
        <v>30</v>
      </c>
      <c r="Z850" t="s">
        <v>4900</v>
      </c>
      <c r="AA850" s="3">
        <v>9.2011019587516799E-2</v>
      </c>
      <c r="AB850" t="s">
        <v>9132</v>
      </c>
      <c r="AC850" t="s">
        <v>4575</v>
      </c>
      <c r="AD850" t="s">
        <v>9133</v>
      </c>
      <c r="AE850" t="s">
        <v>9134</v>
      </c>
      <c r="AF850" t="s">
        <v>4563</v>
      </c>
      <c r="AG850" t="s">
        <v>4564</v>
      </c>
      <c r="AH850">
        <v>89509</v>
      </c>
      <c r="AI850" t="s">
        <v>9135</v>
      </c>
      <c r="AJ850" t="s">
        <v>4655</v>
      </c>
      <c r="AK850" t="s">
        <v>3446</v>
      </c>
      <c r="AL850" s="13" t="s">
        <v>2255</v>
      </c>
      <c r="AM850">
        <v>2</v>
      </c>
      <c r="AN850" s="15" t="s">
        <v>3368</v>
      </c>
    </row>
    <row r="851" spans="1:40" x14ac:dyDescent="0.3">
      <c r="A851" s="10" t="str">
        <f>HYPERLINK("http://www.washoecounty.gov/assessor/cama/?parid=011-265-19&amp;CardNumber=1","011-265-19")</f>
        <v>011-265-19</v>
      </c>
      <c r="B851" t="s">
        <v>4655</v>
      </c>
      <c r="C851" t="s">
        <v>9136</v>
      </c>
      <c r="D851" s="1">
        <v>40220</v>
      </c>
      <c r="E851" s="2">
        <v>205000</v>
      </c>
      <c r="F851" t="s">
        <v>4567</v>
      </c>
      <c r="G851" s="17" t="str">
        <f>HYPERLINK("https://www.washoecounty.gov/assessor/cama/?command=sales&amp;parid=01126519","3848347")</f>
        <v>3848347</v>
      </c>
      <c r="H851" t="s">
        <v>9137</v>
      </c>
      <c r="I851">
        <v>1934</v>
      </c>
      <c r="J851">
        <v>1934</v>
      </c>
      <c r="K851" t="s">
        <v>4554</v>
      </c>
      <c r="L851" t="s">
        <v>4555</v>
      </c>
      <c r="M851" s="2">
        <v>1592</v>
      </c>
      <c r="N851" t="s">
        <v>3147</v>
      </c>
      <c r="O851">
        <v>3</v>
      </c>
      <c r="P851">
        <v>1</v>
      </c>
      <c r="Q851">
        <v>0</v>
      </c>
      <c r="R851" t="s">
        <v>3045</v>
      </c>
      <c r="S851" t="s">
        <v>4682</v>
      </c>
      <c r="T851" t="s">
        <v>4559</v>
      </c>
      <c r="U851" t="s">
        <v>4655</v>
      </c>
      <c r="V851" s="2">
        <v>0</v>
      </c>
      <c r="W851" t="s">
        <v>3149</v>
      </c>
      <c r="X851" s="2">
        <v>928</v>
      </c>
      <c r="Y851">
        <v>20</v>
      </c>
      <c r="Z851" t="s">
        <v>4900</v>
      </c>
      <c r="AA851" s="3">
        <v>7.9247012734413105E-2</v>
      </c>
      <c r="AB851" t="s">
        <v>9132</v>
      </c>
      <c r="AC851" t="s">
        <v>4575</v>
      </c>
      <c r="AD851" t="s">
        <v>9133</v>
      </c>
      <c r="AE851" t="s">
        <v>9134</v>
      </c>
      <c r="AF851" t="s">
        <v>4563</v>
      </c>
      <c r="AG851" t="s">
        <v>4564</v>
      </c>
      <c r="AH851">
        <v>89509</v>
      </c>
      <c r="AI851" t="s">
        <v>9135</v>
      </c>
      <c r="AJ851" t="s">
        <v>9138</v>
      </c>
      <c r="AK851" t="s">
        <v>9139</v>
      </c>
      <c r="AL851" s="13" t="s">
        <v>2255</v>
      </c>
      <c r="AM851" s="14">
        <v>1</v>
      </c>
      <c r="AN851" s="15" t="s">
        <v>2516</v>
      </c>
    </row>
    <row r="852" spans="1:40" x14ac:dyDescent="0.3">
      <c r="A852" s="10" t="str">
        <f>HYPERLINK("http://www.washoecounty.gov/assessor/cama/?parid=011-283-07&amp;CardNumber=1","011-283-07")</f>
        <v>011-283-07</v>
      </c>
      <c r="B852" t="s">
        <v>4655</v>
      </c>
      <c r="C852" t="s">
        <v>9140</v>
      </c>
      <c r="D852" s="1">
        <v>40199</v>
      </c>
      <c r="E852" s="2">
        <v>399000</v>
      </c>
      <c r="F852" t="s">
        <v>4553</v>
      </c>
      <c r="G852" s="17" t="str">
        <f>HYPERLINK("https://www.washoecounty.gov/assessor/cama/?command=sales&amp;parid=01128307","3841664")</f>
        <v>3841664</v>
      </c>
      <c r="H852" t="s">
        <v>2517</v>
      </c>
      <c r="I852">
        <v>1928</v>
      </c>
      <c r="J852">
        <v>1965</v>
      </c>
      <c r="K852" t="s">
        <v>4554</v>
      </c>
      <c r="L852" t="s">
        <v>3886</v>
      </c>
      <c r="M852" s="2">
        <v>2122</v>
      </c>
      <c r="N852" t="s">
        <v>3147</v>
      </c>
      <c r="O852">
        <v>4</v>
      </c>
      <c r="P852">
        <v>4</v>
      </c>
      <c r="Q852">
        <v>0</v>
      </c>
      <c r="R852" t="s">
        <v>5205</v>
      </c>
      <c r="S852" t="s">
        <v>4898</v>
      </c>
      <c r="T852" t="s">
        <v>4559</v>
      </c>
      <c r="U852" t="s">
        <v>4655</v>
      </c>
      <c r="V852" s="2">
        <v>0</v>
      </c>
      <c r="W852" t="s">
        <v>3149</v>
      </c>
      <c r="X852" s="2">
        <v>1338</v>
      </c>
      <c r="Y852">
        <v>20</v>
      </c>
      <c r="Z852" t="s">
        <v>4144</v>
      </c>
      <c r="AA852" s="3">
        <v>0.114990815520287</v>
      </c>
      <c r="AB852" t="s">
        <v>9141</v>
      </c>
      <c r="AC852" t="s">
        <v>4575</v>
      </c>
      <c r="AD852" t="s">
        <v>9142</v>
      </c>
      <c r="AE852" t="s">
        <v>9143</v>
      </c>
      <c r="AF852" t="s">
        <v>4563</v>
      </c>
      <c r="AG852" t="s">
        <v>4564</v>
      </c>
      <c r="AH852">
        <v>89509</v>
      </c>
      <c r="AI852" t="s">
        <v>4045</v>
      </c>
      <c r="AJ852" t="s">
        <v>4655</v>
      </c>
      <c r="AK852" t="s">
        <v>9144</v>
      </c>
      <c r="AL852" s="13" t="s">
        <v>2255</v>
      </c>
      <c r="AM852" s="14">
        <v>1</v>
      </c>
      <c r="AN852" s="15" t="s">
        <v>1851</v>
      </c>
    </row>
    <row r="853" spans="1:40" x14ac:dyDescent="0.3">
      <c r="A853" s="10" t="str">
        <f>HYPERLINK("http://www.washoecounty.gov/assessor/cama/?parid=011-285-17&amp;CardNumber=1","011-285-17")</f>
        <v>011-285-17</v>
      </c>
      <c r="B853" t="s">
        <v>4655</v>
      </c>
      <c r="C853" t="s">
        <v>9145</v>
      </c>
      <c r="D853" s="1">
        <v>40542</v>
      </c>
      <c r="E853" s="2">
        <v>310500</v>
      </c>
      <c r="F853" t="s">
        <v>4553</v>
      </c>
      <c r="G853" s="17" t="str">
        <f>HYPERLINK("https://www.washoecounty.gov/assessor/cama/?command=sales&amp;parid=01128517","3959177")</f>
        <v>3959177</v>
      </c>
      <c r="H853" t="s">
        <v>3441</v>
      </c>
      <c r="I853">
        <v>1935</v>
      </c>
      <c r="J853">
        <v>1951</v>
      </c>
      <c r="K853" t="s">
        <v>4554</v>
      </c>
      <c r="L853" t="s">
        <v>3974</v>
      </c>
      <c r="M853" s="2">
        <v>2022</v>
      </c>
      <c r="N853" t="s">
        <v>3147</v>
      </c>
      <c r="O853">
        <v>4</v>
      </c>
      <c r="P853">
        <v>2</v>
      </c>
      <c r="Q853">
        <v>0</v>
      </c>
      <c r="R853" t="s">
        <v>5281</v>
      </c>
      <c r="S853" t="s">
        <v>4135</v>
      </c>
      <c r="T853" t="s">
        <v>4559</v>
      </c>
      <c r="U853" t="s">
        <v>4655</v>
      </c>
      <c r="V853" s="2">
        <v>0</v>
      </c>
      <c r="W853" t="s">
        <v>4571</v>
      </c>
      <c r="X853" s="2">
        <v>888</v>
      </c>
      <c r="Y853">
        <v>20</v>
      </c>
      <c r="Z853" t="s">
        <v>4144</v>
      </c>
      <c r="AA853" s="3">
        <v>0.114990815520287</v>
      </c>
      <c r="AB853" t="s">
        <v>9146</v>
      </c>
      <c r="AC853" t="s">
        <v>4562</v>
      </c>
      <c r="AD853" t="s">
        <v>9147</v>
      </c>
      <c r="AE853" t="s">
        <v>4655</v>
      </c>
      <c r="AF853" t="s">
        <v>4563</v>
      </c>
      <c r="AG853" t="s">
        <v>4564</v>
      </c>
      <c r="AH853" t="s">
        <v>1147</v>
      </c>
      <c r="AI853" t="s">
        <v>4045</v>
      </c>
      <c r="AJ853" t="s">
        <v>4655</v>
      </c>
      <c r="AK853" t="s">
        <v>9148</v>
      </c>
      <c r="AL853" s="13" t="s">
        <v>2255</v>
      </c>
      <c r="AM853">
        <v>1</v>
      </c>
      <c r="AN853" s="15" t="s">
        <v>1851</v>
      </c>
    </row>
    <row r="854" spans="1:40" x14ac:dyDescent="0.3">
      <c r="A854" s="10" t="str">
        <f>HYPERLINK("http://www.washoecounty.gov/assessor/cama/?parid=011-291-50&amp;CardNumber=1","011-291-50")</f>
        <v>011-291-50</v>
      </c>
      <c r="B854" t="s">
        <v>4655</v>
      </c>
      <c r="C854" t="s">
        <v>9149</v>
      </c>
      <c r="D854" s="1">
        <v>40281</v>
      </c>
      <c r="E854" s="2">
        <v>465000</v>
      </c>
      <c r="F854" t="s">
        <v>4567</v>
      </c>
      <c r="G854" s="17" t="str">
        <f>HYPERLINK("https://www.washoecounty.gov/assessor/cama/?command=sales&amp;parid=01129150","3870445")</f>
        <v>3870445</v>
      </c>
      <c r="H854" t="s">
        <v>2517</v>
      </c>
      <c r="I854">
        <v>1942</v>
      </c>
      <c r="J854">
        <v>1973</v>
      </c>
      <c r="K854" t="s">
        <v>4554</v>
      </c>
      <c r="L854" t="s">
        <v>4555</v>
      </c>
      <c r="M854" s="2">
        <v>1329</v>
      </c>
      <c r="N854" t="s">
        <v>3147</v>
      </c>
      <c r="O854">
        <v>3</v>
      </c>
      <c r="P854">
        <v>2</v>
      </c>
      <c r="Q854">
        <v>1</v>
      </c>
      <c r="R854" t="s">
        <v>5281</v>
      </c>
      <c r="S854" t="s">
        <v>4682</v>
      </c>
      <c r="T854" t="s">
        <v>4559</v>
      </c>
      <c r="U854" t="s">
        <v>4655</v>
      </c>
      <c r="V854" s="2">
        <v>0</v>
      </c>
      <c r="W854" t="s">
        <v>3149</v>
      </c>
      <c r="X854" s="2">
        <v>1315</v>
      </c>
      <c r="Y854">
        <v>20</v>
      </c>
      <c r="Z854" t="s">
        <v>4561</v>
      </c>
      <c r="AA854" s="3">
        <v>0.13741965591907501</v>
      </c>
      <c r="AB854" t="s">
        <v>9150</v>
      </c>
      <c r="AC854" t="s">
        <v>4562</v>
      </c>
      <c r="AD854" t="s">
        <v>9151</v>
      </c>
      <c r="AE854" t="s">
        <v>4655</v>
      </c>
      <c r="AF854" t="s">
        <v>4752</v>
      </c>
      <c r="AG854" t="s">
        <v>4564</v>
      </c>
      <c r="AH854">
        <v>89509</v>
      </c>
      <c r="AI854" t="s">
        <v>9152</v>
      </c>
      <c r="AJ854" t="s">
        <v>4655</v>
      </c>
      <c r="AK854" t="s">
        <v>9153</v>
      </c>
      <c r="AL854" s="13" t="s">
        <v>2255</v>
      </c>
      <c r="AM854">
        <v>1</v>
      </c>
      <c r="AN854" s="15" t="s">
        <v>1851</v>
      </c>
    </row>
    <row r="855" spans="1:40" x14ac:dyDescent="0.3">
      <c r="A855" s="10" t="str">
        <f>HYPERLINK("http://www.washoecounty.gov/assessor/cama/?parid=011-291-64&amp;CardNumber=1","011-291-64")</f>
        <v>011-291-64</v>
      </c>
      <c r="B855" t="s">
        <v>4655</v>
      </c>
      <c r="C855" t="s">
        <v>9154</v>
      </c>
      <c r="D855" s="1">
        <v>40527</v>
      </c>
      <c r="E855" s="2">
        <v>837000</v>
      </c>
      <c r="F855" t="s">
        <v>4567</v>
      </c>
      <c r="G855" s="17" t="str">
        <f>HYPERLINK("https://www.washoecounty.gov/assessor/cama/?command=sales&amp;parid=01129164","3953651")</f>
        <v>3953651</v>
      </c>
      <c r="H855" t="s">
        <v>2517</v>
      </c>
      <c r="I855">
        <v>1939</v>
      </c>
      <c r="J855">
        <v>1939</v>
      </c>
      <c r="K855" t="s">
        <v>4554</v>
      </c>
      <c r="L855" t="s">
        <v>3974</v>
      </c>
      <c r="M855" s="2">
        <v>2672</v>
      </c>
      <c r="N855" t="s">
        <v>2012</v>
      </c>
      <c r="O855">
        <v>4</v>
      </c>
      <c r="P855">
        <v>3</v>
      </c>
      <c r="Q855">
        <v>1</v>
      </c>
      <c r="R855" t="s">
        <v>5281</v>
      </c>
      <c r="S855" t="s">
        <v>4682</v>
      </c>
      <c r="T855" t="s">
        <v>4559</v>
      </c>
      <c r="U855" t="s">
        <v>4655</v>
      </c>
      <c r="V855" s="2">
        <v>0</v>
      </c>
      <c r="W855" t="s">
        <v>3149</v>
      </c>
      <c r="X855" s="2">
        <v>1134</v>
      </c>
      <c r="Y855">
        <v>20</v>
      </c>
      <c r="Z855" t="s">
        <v>385</v>
      </c>
      <c r="AA855" s="3">
        <v>0.42516070604324302</v>
      </c>
      <c r="AB855" t="s">
        <v>9155</v>
      </c>
      <c r="AC855" t="s">
        <v>4575</v>
      </c>
      <c r="AD855" t="s">
        <v>9154</v>
      </c>
      <c r="AE855" t="s">
        <v>4655</v>
      </c>
      <c r="AF855" t="s">
        <v>4563</v>
      </c>
      <c r="AG855" t="s">
        <v>4564</v>
      </c>
      <c r="AH855">
        <v>89509</v>
      </c>
      <c r="AI855" t="s">
        <v>9156</v>
      </c>
      <c r="AJ855" t="s">
        <v>4655</v>
      </c>
      <c r="AK855" t="s">
        <v>9157</v>
      </c>
      <c r="AL855" s="13" t="s">
        <v>2255</v>
      </c>
      <c r="AM855">
        <v>1</v>
      </c>
      <c r="AN855" s="15" t="s">
        <v>1851</v>
      </c>
    </row>
    <row r="856" spans="1:40" x14ac:dyDescent="0.3">
      <c r="A856" s="10" t="str">
        <f>HYPERLINK("http://www.washoecounty.gov/assessor/cama/?parid=011-293-14&amp;CardNumber=1","011-293-14")</f>
        <v>011-293-14</v>
      </c>
      <c r="B856" t="s">
        <v>4655</v>
      </c>
      <c r="C856" t="s">
        <v>9158</v>
      </c>
      <c r="D856" s="1">
        <v>40325</v>
      </c>
      <c r="E856" s="2">
        <v>275000</v>
      </c>
      <c r="F856" t="s">
        <v>4567</v>
      </c>
      <c r="G856" s="17" t="str">
        <f>HYPERLINK("https://www.washoecounty.gov/assessor/cama/?command=sales&amp;parid=01129314","3885929")</f>
        <v>3885929</v>
      </c>
      <c r="H856" t="s">
        <v>2649</v>
      </c>
      <c r="I856">
        <v>1942</v>
      </c>
      <c r="J856">
        <v>1942</v>
      </c>
      <c r="K856" t="s">
        <v>4554</v>
      </c>
      <c r="L856" t="s">
        <v>4555</v>
      </c>
      <c r="M856" s="2">
        <v>1549</v>
      </c>
      <c r="N856" t="s">
        <v>3147</v>
      </c>
      <c r="O856">
        <v>4</v>
      </c>
      <c r="P856">
        <v>2</v>
      </c>
      <c r="Q856">
        <v>1</v>
      </c>
      <c r="R856" t="s">
        <v>5205</v>
      </c>
      <c r="S856" t="s">
        <v>4682</v>
      </c>
      <c r="T856" t="s">
        <v>3888</v>
      </c>
      <c r="U856" t="s">
        <v>4655</v>
      </c>
      <c r="V856" s="2">
        <v>0</v>
      </c>
      <c r="W856" t="s">
        <v>3149</v>
      </c>
      <c r="X856" s="2">
        <v>1374</v>
      </c>
      <c r="Y856">
        <v>20</v>
      </c>
      <c r="Z856" t="s">
        <v>4561</v>
      </c>
      <c r="AA856" s="3">
        <v>0.16685032844543499</v>
      </c>
      <c r="AB856" t="s">
        <v>9159</v>
      </c>
      <c r="AC856" t="s">
        <v>4562</v>
      </c>
      <c r="AD856" t="s">
        <v>9158</v>
      </c>
      <c r="AE856" t="s">
        <v>4655</v>
      </c>
      <c r="AF856" t="s">
        <v>4563</v>
      </c>
      <c r="AG856" t="s">
        <v>4564</v>
      </c>
      <c r="AH856">
        <v>89509</v>
      </c>
      <c r="AI856" t="s">
        <v>9160</v>
      </c>
      <c r="AJ856" t="s">
        <v>4655</v>
      </c>
      <c r="AK856" t="s">
        <v>9161</v>
      </c>
      <c r="AL856" s="13" t="s">
        <v>2255</v>
      </c>
      <c r="AM856" s="14">
        <v>1</v>
      </c>
      <c r="AN856" s="15" t="s">
        <v>1851</v>
      </c>
    </row>
    <row r="857" spans="1:40" x14ac:dyDescent="0.3">
      <c r="A857" s="10" t="str">
        <f>HYPERLINK("http://www.washoecounty.gov/assessor/cama/?parid=011-301-23&amp;CardNumber=1","011-301-23")</f>
        <v>011-301-23</v>
      </c>
      <c r="B857" t="s">
        <v>4655</v>
      </c>
      <c r="C857" t="s">
        <v>9162</v>
      </c>
      <c r="D857" s="1">
        <v>40479</v>
      </c>
      <c r="E857" s="2">
        <v>501750</v>
      </c>
      <c r="F857" t="s">
        <v>4567</v>
      </c>
      <c r="G857" s="17" t="str">
        <f>HYPERLINK("https://www.washoecounty.gov/assessor/cama/?command=sales&amp;parid=01130123","3937590")</f>
        <v>3937590</v>
      </c>
      <c r="H857" t="s">
        <v>2517</v>
      </c>
      <c r="I857">
        <v>1964</v>
      </c>
      <c r="J857">
        <v>1964</v>
      </c>
      <c r="K857" t="s">
        <v>4554</v>
      </c>
      <c r="L857" t="s">
        <v>4555</v>
      </c>
      <c r="M857" s="2">
        <v>1678</v>
      </c>
      <c r="N857" t="s">
        <v>3887</v>
      </c>
      <c r="O857">
        <v>4</v>
      </c>
      <c r="P857">
        <v>3</v>
      </c>
      <c r="Q857">
        <v>0</v>
      </c>
      <c r="R857" t="s">
        <v>5281</v>
      </c>
      <c r="S857" t="s">
        <v>4898</v>
      </c>
      <c r="T857" t="s">
        <v>4899</v>
      </c>
      <c r="U857" t="s">
        <v>4655</v>
      </c>
      <c r="V857" s="2">
        <v>0</v>
      </c>
      <c r="W857" t="s">
        <v>3149</v>
      </c>
      <c r="X857" s="2">
        <v>1104</v>
      </c>
      <c r="Y857">
        <v>20</v>
      </c>
      <c r="Z857" t="s">
        <v>4561</v>
      </c>
      <c r="AA857" s="3">
        <v>0.15300734341144601</v>
      </c>
      <c r="AB857" t="s">
        <v>9163</v>
      </c>
      <c r="AC857" t="s">
        <v>4562</v>
      </c>
      <c r="AD857" t="s">
        <v>9162</v>
      </c>
      <c r="AE857" t="s">
        <v>4655</v>
      </c>
      <c r="AF857" t="s">
        <v>4563</v>
      </c>
      <c r="AG857" t="s">
        <v>4564</v>
      </c>
      <c r="AH857">
        <v>89509</v>
      </c>
      <c r="AI857" t="s">
        <v>9164</v>
      </c>
      <c r="AJ857" t="s">
        <v>4655</v>
      </c>
      <c r="AK857" t="s">
        <v>9165</v>
      </c>
      <c r="AL857" s="13" t="s">
        <v>2255</v>
      </c>
      <c r="AM857">
        <v>1</v>
      </c>
      <c r="AN857" s="15" t="s">
        <v>1851</v>
      </c>
    </row>
    <row r="858" spans="1:40" x14ac:dyDescent="0.3">
      <c r="A858" s="10" t="str">
        <f>HYPERLINK("http://www.washoecounty.gov/assessor/cama/?parid=011-306-13&amp;CardNumber=1","011-306-13")</f>
        <v>011-306-13</v>
      </c>
      <c r="B858" t="s">
        <v>4655</v>
      </c>
      <c r="C858" t="s">
        <v>9166</v>
      </c>
      <c r="D858" s="1">
        <v>40497</v>
      </c>
      <c r="E858" s="2">
        <v>230000</v>
      </c>
      <c r="F858" t="s">
        <v>4567</v>
      </c>
      <c r="G858" s="17" t="str">
        <f>HYPERLINK("https://www.washoecounty.gov/assessor/cama/?command=sales&amp;parid=01130613","3943124")</f>
        <v>3943124</v>
      </c>
      <c r="H858" t="s">
        <v>3441</v>
      </c>
      <c r="I858">
        <v>1937</v>
      </c>
      <c r="J858">
        <v>1937</v>
      </c>
      <c r="K858" t="s">
        <v>4554</v>
      </c>
      <c r="L858" t="s">
        <v>4555</v>
      </c>
      <c r="M858" s="2">
        <v>1161</v>
      </c>
      <c r="N858" t="s">
        <v>5280</v>
      </c>
      <c r="O858">
        <v>2</v>
      </c>
      <c r="P858">
        <v>1</v>
      </c>
      <c r="Q858">
        <v>1</v>
      </c>
      <c r="R858" t="s">
        <v>5281</v>
      </c>
      <c r="S858" t="s">
        <v>4898</v>
      </c>
      <c r="T858" t="s">
        <v>4559</v>
      </c>
      <c r="U858" t="s">
        <v>4560</v>
      </c>
      <c r="V858" s="2">
        <v>357</v>
      </c>
      <c r="W858" t="s">
        <v>3149</v>
      </c>
      <c r="X858" s="2">
        <v>806</v>
      </c>
      <c r="Y858">
        <v>20</v>
      </c>
      <c r="Z858" t="s">
        <v>4561</v>
      </c>
      <c r="AA858" s="3">
        <v>0.169995412230492</v>
      </c>
      <c r="AB858" t="s">
        <v>9167</v>
      </c>
      <c r="AC858" t="s">
        <v>4575</v>
      </c>
      <c r="AD858" t="s">
        <v>9168</v>
      </c>
      <c r="AE858" t="s">
        <v>4655</v>
      </c>
      <c r="AF858" t="s">
        <v>9169</v>
      </c>
      <c r="AG858" t="s">
        <v>762</v>
      </c>
      <c r="AH858">
        <v>75038</v>
      </c>
      <c r="AI858" t="s">
        <v>9170</v>
      </c>
      <c r="AJ858" t="s">
        <v>4655</v>
      </c>
      <c r="AK858" t="s">
        <v>9171</v>
      </c>
      <c r="AL858" s="13" t="s">
        <v>2255</v>
      </c>
      <c r="AM858">
        <v>1</v>
      </c>
      <c r="AN858" s="15" t="s">
        <v>3444</v>
      </c>
    </row>
    <row r="859" spans="1:40" x14ac:dyDescent="0.3">
      <c r="A859" s="10" t="str">
        <f>HYPERLINK("http://www.washoecounty.gov/assessor/cama/?parid=011-312-20&amp;CardNumber=1","011-312-20")</f>
        <v>011-312-20</v>
      </c>
      <c r="B859" t="s">
        <v>4655</v>
      </c>
      <c r="C859" t="s">
        <v>9172</v>
      </c>
      <c r="D859" s="1">
        <v>40247</v>
      </c>
      <c r="E859" s="2">
        <v>180000</v>
      </c>
      <c r="F859" t="s">
        <v>4567</v>
      </c>
      <c r="G859" s="17" t="str">
        <f>HYPERLINK("https://www.washoecounty.gov/assessor/cama/?command=sales&amp;parid=01131220","3858233")</f>
        <v>3858233</v>
      </c>
      <c r="H859" t="s">
        <v>9173</v>
      </c>
      <c r="I859">
        <v>1932</v>
      </c>
      <c r="J859">
        <v>1932</v>
      </c>
      <c r="K859" t="s">
        <v>4554</v>
      </c>
      <c r="L859" t="s">
        <v>4555</v>
      </c>
      <c r="M859" s="2">
        <v>1285</v>
      </c>
      <c r="N859" t="s">
        <v>5280</v>
      </c>
      <c r="O859">
        <v>2</v>
      </c>
      <c r="P859">
        <v>1</v>
      </c>
      <c r="Q859">
        <v>0</v>
      </c>
      <c r="R859" t="s">
        <v>4557</v>
      </c>
      <c r="S859" t="s">
        <v>4682</v>
      </c>
      <c r="T859" t="s">
        <v>4559</v>
      </c>
      <c r="U859" t="s">
        <v>4655</v>
      </c>
      <c r="V859" s="2">
        <v>0</v>
      </c>
      <c r="W859" t="s">
        <v>3149</v>
      </c>
      <c r="X859" s="2">
        <v>572</v>
      </c>
      <c r="Y859">
        <v>20</v>
      </c>
      <c r="Z859" t="s">
        <v>4144</v>
      </c>
      <c r="AA859" s="3">
        <v>8.6386591196060195E-2</v>
      </c>
      <c r="AB859" t="s">
        <v>9174</v>
      </c>
      <c r="AC859" t="s">
        <v>4575</v>
      </c>
      <c r="AD859" t="s">
        <v>9175</v>
      </c>
      <c r="AE859" t="s">
        <v>9172</v>
      </c>
      <c r="AF859" t="s">
        <v>4563</v>
      </c>
      <c r="AG859" t="s">
        <v>4564</v>
      </c>
      <c r="AH859">
        <v>89509</v>
      </c>
      <c r="AI859" t="s">
        <v>96</v>
      </c>
      <c r="AJ859" t="s">
        <v>9176</v>
      </c>
      <c r="AK859" t="s">
        <v>9177</v>
      </c>
      <c r="AL859" s="13" t="s">
        <v>2255</v>
      </c>
      <c r="AM859" s="14">
        <v>1</v>
      </c>
      <c r="AN859" s="15" t="s">
        <v>3444</v>
      </c>
    </row>
    <row r="860" spans="1:40" x14ac:dyDescent="0.3">
      <c r="A860" s="10" t="str">
        <f>HYPERLINK("http://www.washoecounty.gov/assessor/cama/?parid=011-313-09&amp;CardNumber=1","011-313-09")</f>
        <v>011-313-09</v>
      </c>
      <c r="B860" t="s">
        <v>4655</v>
      </c>
      <c r="C860" t="s">
        <v>9178</v>
      </c>
      <c r="D860" s="1">
        <v>40267</v>
      </c>
      <c r="E860" s="2">
        <v>240000</v>
      </c>
      <c r="F860" t="s">
        <v>4567</v>
      </c>
      <c r="G860" s="17" t="str">
        <f>HYPERLINK("https://www.washoecounty.gov/assessor/cama/?command=sales&amp;parid=01131309","3865405")</f>
        <v>3865405</v>
      </c>
      <c r="H860" t="s">
        <v>9179</v>
      </c>
      <c r="I860">
        <v>1939</v>
      </c>
      <c r="J860">
        <v>1939</v>
      </c>
      <c r="K860" t="s">
        <v>4554</v>
      </c>
      <c r="L860" t="s">
        <v>3886</v>
      </c>
      <c r="M860" s="2">
        <v>1937</v>
      </c>
      <c r="N860" t="s">
        <v>3887</v>
      </c>
      <c r="O860">
        <v>4</v>
      </c>
      <c r="P860">
        <v>2</v>
      </c>
      <c r="Q860">
        <v>0</v>
      </c>
      <c r="R860" t="s">
        <v>4557</v>
      </c>
      <c r="S860" t="s">
        <v>3046</v>
      </c>
      <c r="T860" t="s">
        <v>4559</v>
      </c>
      <c r="U860" t="s">
        <v>4655</v>
      </c>
      <c r="V860" s="2">
        <v>0</v>
      </c>
      <c r="W860" t="s">
        <v>3149</v>
      </c>
      <c r="X860" s="2">
        <v>1297</v>
      </c>
      <c r="Y860">
        <v>20</v>
      </c>
      <c r="Z860" t="s">
        <v>4144</v>
      </c>
      <c r="AA860" s="3">
        <v>0.19788797199726105</v>
      </c>
      <c r="AB860" t="s">
        <v>9180</v>
      </c>
      <c r="AC860" t="s">
        <v>4562</v>
      </c>
      <c r="AD860" t="s">
        <v>9178</v>
      </c>
      <c r="AE860" t="s">
        <v>4655</v>
      </c>
      <c r="AF860" t="s">
        <v>4563</v>
      </c>
      <c r="AG860" t="s">
        <v>4564</v>
      </c>
      <c r="AH860">
        <v>89509</v>
      </c>
      <c r="AI860" t="s">
        <v>9181</v>
      </c>
      <c r="AJ860" t="s">
        <v>4655</v>
      </c>
      <c r="AK860" t="s">
        <v>9182</v>
      </c>
      <c r="AL860" s="13" t="s">
        <v>2255</v>
      </c>
      <c r="AM860" s="14">
        <v>1</v>
      </c>
      <c r="AN860" s="15" t="s">
        <v>2516</v>
      </c>
    </row>
    <row r="861" spans="1:40" x14ac:dyDescent="0.3">
      <c r="A861" s="10" t="str">
        <f>HYPERLINK("http://www.washoecounty.gov/assessor/cama/?parid=011-321-14&amp;CardNumber=1","011-321-14")</f>
        <v>011-321-14</v>
      </c>
      <c r="B861" t="s">
        <v>4655</v>
      </c>
      <c r="C861" t="s">
        <v>9183</v>
      </c>
      <c r="D861" s="1">
        <v>40353</v>
      </c>
      <c r="E861" s="2">
        <v>89410</v>
      </c>
      <c r="F861" t="s">
        <v>4553</v>
      </c>
      <c r="G861" s="17" t="str">
        <f>HYPERLINK("https://www.washoecounty.gov/assessor/cama/?command=sales&amp;parid=01132114","3895113")</f>
        <v>3895113</v>
      </c>
      <c r="H861" t="s">
        <v>9184</v>
      </c>
      <c r="I861">
        <v>1960</v>
      </c>
      <c r="J861">
        <v>1960</v>
      </c>
      <c r="K861" t="s">
        <v>4554</v>
      </c>
      <c r="L861" t="s">
        <v>3974</v>
      </c>
      <c r="M861" s="2">
        <v>650</v>
      </c>
      <c r="N861" t="s">
        <v>5280</v>
      </c>
      <c r="O861">
        <v>1</v>
      </c>
      <c r="P861">
        <v>1</v>
      </c>
      <c r="Q861">
        <v>0</v>
      </c>
      <c r="R861" t="s">
        <v>4557</v>
      </c>
      <c r="S861" t="s">
        <v>4682</v>
      </c>
      <c r="T861" t="s">
        <v>4559</v>
      </c>
      <c r="U861" t="s">
        <v>5631</v>
      </c>
      <c r="V861" s="2">
        <v>650</v>
      </c>
      <c r="W861" t="s">
        <v>4655</v>
      </c>
      <c r="X861" s="2">
        <v>0</v>
      </c>
      <c r="Y861">
        <v>20</v>
      </c>
      <c r="Z861" t="s">
        <v>4900</v>
      </c>
      <c r="AA861" s="3">
        <v>6.8916440010070801E-2</v>
      </c>
      <c r="AB861" t="s">
        <v>9185</v>
      </c>
      <c r="AC861" t="s">
        <v>4562</v>
      </c>
      <c r="AD861" t="s">
        <v>9186</v>
      </c>
      <c r="AE861" t="s">
        <v>4655</v>
      </c>
      <c r="AF861" t="s">
        <v>4563</v>
      </c>
      <c r="AG861" t="s">
        <v>4564</v>
      </c>
      <c r="AH861">
        <v>89511</v>
      </c>
      <c r="AI861" t="s">
        <v>4848</v>
      </c>
      <c r="AJ861" t="s">
        <v>9187</v>
      </c>
      <c r="AK861" t="s">
        <v>9188</v>
      </c>
      <c r="AL861" s="13" t="s">
        <v>2255</v>
      </c>
      <c r="AM861">
        <v>1</v>
      </c>
      <c r="AN861" s="15" t="s">
        <v>2516</v>
      </c>
    </row>
    <row r="862" spans="1:40" x14ac:dyDescent="0.3">
      <c r="A862" s="10" t="str">
        <f>HYPERLINK("http://www.washoecounty.gov/assessor/cama/?parid=011-325-04&amp;CardNumber=1","011-325-04")</f>
        <v>011-325-04</v>
      </c>
      <c r="B862" t="s">
        <v>4655</v>
      </c>
      <c r="C862" t="s">
        <v>9189</v>
      </c>
      <c r="D862" s="1">
        <v>40281</v>
      </c>
      <c r="E862" s="2">
        <v>400000</v>
      </c>
      <c r="F862" t="s">
        <v>4567</v>
      </c>
      <c r="G862" s="17" t="str">
        <f>HYPERLINK("https://www.washoecounty.gov/assessor/cama/?command=sales&amp;parid=01132504","3870346")</f>
        <v>3870346</v>
      </c>
      <c r="H862" t="s">
        <v>2499</v>
      </c>
      <c r="I862">
        <v>1976</v>
      </c>
      <c r="J862">
        <v>1976</v>
      </c>
      <c r="K862" t="s">
        <v>3043</v>
      </c>
      <c r="L862" t="s">
        <v>3974</v>
      </c>
      <c r="M862" s="2">
        <v>4750</v>
      </c>
      <c r="N862" t="s">
        <v>5280</v>
      </c>
      <c r="O862">
        <v>14</v>
      </c>
      <c r="P862">
        <v>7</v>
      </c>
      <c r="Q862">
        <v>0</v>
      </c>
      <c r="R862" t="s">
        <v>4134</v>
      </c>
      <c r="S862" t="s">
        <v>4682</v>
      </c>
      <c r="T862" t="s">
        <v>4899</v>
      </c>
      <c r="U862" t="s">
        <v>5631</v>
      </c>
      <c r="V862" s="2">
        <v>728</v>
      </c>
      <c r="W862" t="s">
        <v>4655</v>
      </c>
      <c r="X862" s="2">
        <v>0</v>
      </c>
      <c r="Y862">
        <v>33</v>
      </c>
      <c r="Z862" t="s">
        <v>4900</v>
      </c>
      <c r="AA862" s="3">
        <v>0.17499999701976801</v>
      </c>
      <c r="AB862" t="s">
        <v>9190</v>
      </c>
      <c r="AC862" t="s">
        <v>4575</v>
      </c>
      <c r="AD862" t="s">
        <v>9191</v>
      </c>
      <c r="AE862" t="s">
        <v>4655</v>
      </c>
      <c r="AF862" t="s">
        <v>5201</v>
      </c>
      <c r="AG862" t="s">
        <v>4564</v>
      </c>
      <c r="AH862" t="s">
        <v>3898</v>
      </c>
      <c r="AI862" t="s">
        <v>9192</v>
      </c>
      <c r="AJ862" t="s">
        <v>4655</v>
      </c>
      <c r="AK862" t="s">
        <v>9193</v>
      </c>
      <c r="AL862" s="13" t="s">
        <v>2255</v>
      </c>
      <c r="AM862">
        <v>7</v>
      </c>
      <c r="AN862" s="15" t="s">
        <v>3368</v>
      </c>
    </row>
    <row r="863" spans="1:40" x14ac:dyDescent="0.3">
      <c r="A863" s="10" t="str">
        <f>HYPERLINK("http://www.washoecounty.gov/assessor/cama/?parid=011-326-05&amp;CardNumber=1","011-326-05")</f>
        <v>011-326-05</v>
      </c>
      <c r="B863" t="s">
        <v>4655</v>
      </c>
      <c r="C863" t="s">
        <v>9194</v>
      </c>
      <c r="D863" s="1">
        <v>40213</v>
      </c>
      <c r="E863" s="2">
        <v>407000</v>
      </c>
      <c r="F863" t="s">
        <v>4567</v>
      </c>
      <c r="G863" s="17" t="str">
        <f>HYPERLINK("https://www.washoecounty.gov/assessor/cama/?command=sales&amp;parid=01132605","3846127")</f>
        <v>3846127</v>
      </c>
      <c r="H863" t="s">
        <v>1852</v>
      </c>
      <c r="I863">
        <v>1942</v>
      </c>
      <c r="J863">
        <v>1942</v>
      </c>
      <c r="K863" t="s">
        <v>3043</v>
      </c>
      <c r="L863" t="s">
        <v>3974</v>
      </c>
      <c r="M863" s="2">
        <v>2738</v>
      </c>
      <c r="N863" t="s">
        <v>5280</v>
      </c>
      <c r="O863">
        <v>6</v>
      </c>
      <c r="P863">
        <v>6</v>
      </c>
      <c r="Q863">
        <v>0</v>
      </c>
      <c r="R863" t="s">
        <v>3045</v>
      </c>
      <c r="S863" t="s">
        <v>4682</v>
      </c>
      <c r="T863" t="s">
        <v>4559</v>
      </c>
      <c r="U863" t="s">
        <v>4655</v>
      </c>
      <c r="V863" s="2">
        <v>0</v>
      </c>
      <c r="W863" t="s">
        <v>3149</v>
      </c>
      <c r="X863" s="2">
        <v>1369</v>
      </c>
      <c r="Y863">
        <v>33</v>
      </c>
      <c r="Z863" t="s">
        <v>4900</v>
      </c>
      <c r="AA863" s="3">
        <v>8.5996329784393297E-2</v>
      </c>
      <c r="AB863" t="s">
        <v>9195</v>
      </c>
      <c r="AC863" t="s">
        <v>4562</v>
      </c>
      <c r="AD863" t="s">
        <v>9196</v>
      </c>
      <c r="AE863" t="s">
        <v>4655</v>
      </c>
      <c r="AF863" t="s">
        <v>4563</v>
      </c>
      <c r="AG863" t="s">
        <v>4564</v>
      </c>
      <c r="AH863" t="s">
        <v>2330</v>
      </c>
      <c r="AI863" t="s">
        <v>9197</v>
      </c>
      <c r="AJ863" t="s">
        <v>4655</v>
      </c>
      <c r="AK863" t="s">
        <v>9198</v>
      </c>
      <c r="AL863" s="13" t="s">
        <v>2255</v>
      </c>
      <c r="AM863" s="14">
        <v>6</v>
      </c>
      <c r="AN863" s="15" t="s">
        <v>3368</v>
      </c>
    </row>
    <row r="864" spans="1:40" x14ac:dyDescent="0.3">
      <c r="A864" s="10" t="str">
        <f>HYPERLINK("http://www.washoecounty.gov/assessor/cama/?parid=011-334-15&amp;CardNumber=1","011-334-15")</f>
        <v>011-334-15</v>
      </c>
      <c r="B864" t="s">
        <v>4655</v>
      </c>
      <c r="C864" t="s">
        <v>9199</v>
      </c>
      <c r="D864" s="1">
        <v>40332</v>
      </c>
      <c r="E864" s="2">
        <v>775000</v>
      </c>
      <c r="F864" t="s">
        <v>4187</v>
      </c>
      <c r="G864" s="17" t="str">
        <f>HYPERLINK("https://www.washoecounty.gov/assessor/cama/?command=sales&amp;parid=01133415","3888250")</f>
        <v>3888250</v>
      </c>
      <c r="H864" t="s">
        <v>2651</v>
      </c>
      <c r="I864">
        <v>1930</v>
      </c>
      <c r="J864">
        <v>1930</v>
      </c>
      <c r="K864" t="s">
        <v>1375</v>
      </c>
      <c r="L864" t="s">
        <v>1366</v>
      </c>
      <c r="M864" s="2">
        <v>11445</v>
      </c>
      <c r="N864" t="s">
        <v>4672</v>
      </c>
      <c r="O864">
        <v>0</v>
      </c>
      <c r="P864">
        <v>0</v>
      </c>
      <c r="Q864">
        <v>0</v>
      </c>
      <c r="R864" t="s">
        <v>1395</v>
      </c>
      <c r="S864" t="s">
        <v>4856</v>
      </c>
      <c r="T864" t="s">
        <v>4655</v>
      </c>
      <c r="U864" t="s">
        <v>4655</v>
      </c>
      <c r="V864" s="2">
        <v>0</v>
      </c>
      <c r="W864" t="s">
        <v>4655</v>
      </c>
      <c r="X864" s="2">
        <v>0</v>
      </c>
      <c r="Y864">
        <v>50</v>
      </c>
      <c r="Z864" t="s">
        <v>4900</v>
      </c>
      <c r="AA864" s="3">
        <v>0.38700643181800798</v>
      </c>
      <c r="AB864" t="s">
        <v>9200</v>
      </c>
      <c r="AC864" t="s">
        <v>4562</v>
      </c>
      <c r="AD864" t="s">
        <v>9201</v>
      </c>
      <c r="AE864" t="s">
        <v>4655</v>
      </c>
      <c r="AF864" t="s">
        <v>4563</v>
      </c>
      <c r="AG864" t="s">
        <v>4564</v>
      </c>
      <c r="AH864">
        <v>89509</v>
      </c>
      <c r="AI864" t="s">
        <v>9202</v>
      </c>
      <c r="AJ864" t="s">
        <v>4655</v>
      </c>
      <c r="AK864" t="s">
        <v>9203</v>
      </c>
      <c r="AL864" s="13" t="s">
        <v>2256</v>
      </c>
      <c r="AM864">
        <v>1</v>
      </c>
      <c r="AN864" s="15" t="s">
        <v>2652</v>
      </c>
    </row>
    <row r="865" spans="1:40" x14ac:dyDescent="0.3">
      <c r="A865" s="10" t="str">
        <f>HYPERLINK("http://www.washoecounty.gov/assessor/cama/?parid=011-342-13&amp;CardNumber=1","011-342-13")</f>
        <v>011-342-13</v>
      </c>
      <c r="B865" t="s">
        <v>4655</v>
      </c>
      <c r="C865" t="s">
        <v>9204</v>
      </c>
      <c r="D865" s="1">
        <v>40296</v>
      </c>
      <c r="E865" s="2">
        <v>495000</v>
      </c>
      <c r="F865" t="s">
        <v>4567</v>
      </c>
      <c r="G865" s="17" t="str">
        <f>HYPERLINK("https://www.washoecounty.gov/assessor/cama/?command=sales&amp;parid=01134213","3875683")</f>
        <v>3875683</v>
      </c>
      <c r="H865" t="s">
        <v>2517</v>
      </c>
      <c r="I865">
        <v>1941</v>
      </c>
      <c r="J865">
        <v>1941</v>
      </c>
      <c r="K865" t="s">
        <v>4554</v>
      </c>
      <c r="L865" t="s">
        <v>4555</v>
      </c>
      <c r="M865" s="2">
        <v>1336</v>
      </c>
      <c r="N865" t="s">
        <v>3887</v>
      </c>
      <c r="O865">
        <v>4</v>
      </c>
      <c r="P865">
        <v>2</v>
      </c>
      <c r="Q865">
        <v>0</v>
      </c>
      <c r="R865" t="s">
        <v>4557</v>
      </c>
      <c r="S865" t="s">
        <v>4682</v>
      </c>
      <c r="T865" t="s">
        <v>4559</v>
      </c>
      <c r="U865" t="s">
        <v>4655</v>
      </c>
      <c r="V865" s="2">
        <v>0</v>
      </c>
      <c r="W865" t="s">
        <v>3149</v>
      </c>
      <c r="X865" s="2">
        <v>1160</v>
      </c>
      <c r="Y865">
        <v>20</v>
      </c>
      <c r="Z865" t="s">
        <v>4561</v>
      </c>
      <c r="AA865" s="3">
        <v>0.114990815520287</v>
      </c>
      <c r="AB865" t="s">
        <v>9205</v>
      </c>
      <c r="AC865" t="s">
        <v>4562</v>
      </c>
      <c r="AD865" t="s">
        <v>9204</v>
      </c>
      <c r="AE865" t="s">
        <v>4655</v>
      </c>
      <c r="AF865" t="s">
        <v>4563</v>
      </c>
      <c r="AG865" t="s">
        <v>4564</v>
      </c>
      <c r="AH865">
        <v>89509</v>
      </c>
      <c r="AI865" t="s">
        <v>9206</v>
      </c>
      <c r="AJ865" t="s">
        <v>4655</v>
      </c>
      <c r="AK865" t="s">
        <v>9207</v>
      </c>
      <c r="AL865" s="13" t="s">
        <v>2255</v>
      </c>
      <c r="AM865" s="14">
        <v>1</v>
      </c>
      <c r="AN865" s="15" t="s">
        <v>1851</v>
      </c>
    </row>
    <row r="866" spans="1:40" x14ac:dyDescent="0.3">
      <c r="A866" s="10" t="str">
        <f>HYPERLINK("http://www.washoecounty.gov/assessor/cama/?parid=011-390-03&amp;CardNumber=1","011-390-03")</f>
        <v>011-390-03</v>
      </c>
      <c r="B866" t="s">
        <v>4655</v>
      </c>
      <c r="C866" t="s">
        <v>9208</v>
      </c>
      <c r="D866" s="1">
        <v>40197</v>
      </c>
      <c r="E866" s="2">
        <v>105000</v>
      </c>
      <c r="F866" t="s">
        <v>4567</v>
      </c>
      <c r="G866" s="17" t="str">
        <f>HYPERLINK("https://www.washoecounty.gov/assessor/cama/?command=sales&amp;parid=01139003","3840658")</f>
        <v>3840658</v>
      </c>
      <c r="H866" t="s">
        <v>9209</v>
      </c>
      <c r="I866">
        <v>1975</v>
      </c>
      <c r="J866">
        <v>1975</v>
      </c>
      <c r="K866" t="s">
        <v>4897</v>
      </c>
      <c r="L866" t="s">
        <v>4555</v>
      </c>
      <c r="M866" s="2">
        <v>1414</v>
      </c>
      <c r="N866" t="s">
        <v>3147</v>
      </c>
      <c r="O866">
        <v>2</v>
      </c>
      <c r="P866">
        <v>2</v>
      </c>
      <c r="Q866">
        <v>0</v>
      </c>
      <c r="R866" t="s">
        <v>4557</v>
      </c>
      <c r="S866" t="s">
        <v>4898</v>
      </c>
      <c r="T866" t="s">
        <v>2704</v>
      </c>
      <c r="U866" t="s">
        <v>4655</v>
      </c>
      <c r="V866" s="2">
        <v>0</v>
      </c>
      <c r="W866" t="s">
        <v>4655</v>
      </c>
      <c r="X866" s="2">
        <v>0</v>
      </c>
      <c r="Y866">
        <v>21</v>
      </c>
      <c r="Z866" t="s">
        <v>2705</v>
      </c>
      <c r="AA866" s="3">
        <v>1.00000004749745E-3</v>
      </c>
      <c r="AB866" t="s">
        <v>9210</v>
      </c>
      <c r="AC866" t="s">
        <v>4562</v>
      </c>
      <c r="AD866" t="s">
        <v>9211</v>
      </c>
      <c r="AE866" t="s">
        <v>4655</v>
      </c>
      <c r="AF866" t="s">
        <v>1821</v>
      </c>
      <c r="AG866" t="s">
        <v>4564</v>
      </c>
      <c r="AH866">
        <v>89061</v>
      </c>
      <c r="AI866" t="s">
        <v>9212</v>
      </c>
      <c r="AJ866" t="s">
        <v>4655</v>
      </c>
      <c r="AK866" t="s">
        <v>9213</v>
      </c>
      <c r="AL866" s="13" t="s">
        <v>2255</v>
      </c>
      <c r="AM866" s="14">
        <v>1</v>
      </c>
      <c r="AN866" s="15" t="s">
        <v>9214</v>
      </c>
    </row>
    <row r="867" spans="1:40" x14ac:dyDescent="0.3">
      <c r="A867" s="10" t="str">
        <f>HYPERLINK("http://www.washoecounty.gov/assessor/cama/?parid=011-407-01&amp;CardNumber=1","011-407-01")</f>
        <v>011-407-01</v>
      </c>
      <c r="B867" t="s">
        <v>4655</v>
      </c>
      <c r="C867" t="s">
        <v>2439</v>
      </c>
      <c r="D867" s="1">
        <v>40267</v>
      </c>
      <c r="E867" s="2">
        <v>140000</v>
      </c>
      <c r="F867" t="s">
        <v>4553</v>
      </c>
      <c r="G867" s="17" t="str">
        <f>HYPERLINK("https://www.washoecounty.gov/assessor/cama/?command=sales&amp;parid=01140701","3865396")</f>
        <v>3865396</v>
      </c>
      <c r="H867" t="s">
        <v>2440</v>
      </c>
      <c r="I867">
        <v>1966</v>
      </c>
      <c r="J867">
        <v>1966</v>
      </c>
      <c r="K867" t="s">
        <v>1824</v>
      </c>
      <c r="L867" t="s">
        <v>1825</v>
      </c>
      <c r="M867" s="2">
        <v>1165</v>
      </c>
      <c r="N867" t="s">
        <v>4580</v>
      </c>
      <c r="O867">
        <v>0</v>
      </c>
      <c r="P867">
        <v>0</v>
      </c>
      <c r="Q867">
        <v>0</v>
      </c>
      <c r="R867" t="s">
        <v>4581</v>
      </c>
      <c r="S867" t="s">
        <v>4582</v>
      </c>
      <c r="T867" t="s">
        <v>4655</v>
      </c>
      <c r="U867" t="s">
        <v>4655</v>
      </c>
      <c r="V867" s="2">
        <v>0</v>
      </c>
      <c r="W867" t="s">
        <v>4655</v>
      </c>
      <c r="X867" s="2">
        <v>0</v>
      </c>
      <c r="Y867">
        <v>21</v>
      </c>
      <c r="Z867" t="s">
        <v>3047</v>
      </c>
      <c r="AA867" s="3">
        <v>1.00000004749745E-3</v>
      </c>
      <c r="AB867" t="s">
        <v>9215</v>
      </c>
      <c r="AC867" t="s">
        <v>4562</v>
      </c>
      <c r="AD867" t="s">
        <v>9216</v>
      </c>
      <c r="AE867" t="s">
        <v>4655</v>
      </c>
      <c r="AF867" t="s">
        <v>2108</v>
      </c>
      <c r="AG867" t="s">
        <v>2109</v>
      </c>
      <c r="AH867" t="s">
        <v>9217</v>
      </c>
      <c r="AI867" t="s">
        <v>4655</v>
      </c>
      <c r="AJ867" t="s">
        <v>4655</v>
      </c>
      <c r="AK867" t="s">
        <v>9218</v>
      </c>
      <c r="AL867" s="13" t="s">
        <v>3422</v>
      </c>
      <c r="AM867">
        <v>1</v>
      </c>
      <c r="AN867" s="15" t="s">
        <v>2441</v>
      </c>
    </row>
    <row r="868" spans="1:40" x14ac:dyDescent="0.3">
      <c r="A868" s="10" t="str">
        <f>HYPERLINK("http://www.washoecounty.gov/assessor/cama/?parid=011-408-03&amp;CardNumber=1","011-408-03")</f>
        <v>011-408-03</v>
      </c>
      <c r="B868" t="s">
        <v>4655</v>
      </c>
      <c r="C868" t="s">
        <v>2439</v>
      </c>
      <c r="D868" s="1">
        <v>40500</v>
      </c>
      <c r="E868" s="2">
        <v>348000</v>
      </c>
      <c r="F868" t="s">
        <v>4567</v>
      </c>
      <c r="G868" s="17" t="str">
        <f>HYPERLINK("https://www.washoecounty.gov/assessor/cama/?command=sales&amp;parid=01140803","3944640")</f>
        <v>3944640</v>
      </c>
      <c r="H868" t="s">
        <v>2440</v>
      </c>
      <c r="I868">
        <v>1966</v>
      </c>
      <c r="J868">
        <v>1966</v>
      </c>
      <c r="K868" t="s">
        <v>1824</v>
      </c>
      <c r="L868" t="s">
        <v>1825</v>
      </c>
      <c r="M868" s="2">
        <v>1504</v>
      </c>
      <c r="N868" t="s">
        <v>4580</v>
      </c>
      <c r="O868">
        <v>0</v>
      </c>
      <c r="P868">
        <v>0</v>
      </c>
      <c r="Q868">
        <v>0</v>
      </c>
      <c r="R868" t="s">
        <v>4581</v>
      </c>
      <c r="S868" t="s">
        <v>4582</v>
      </c>
      <c r="T868" t="s">
        <v>4655</v>
      </c>
      <c r="U868" t="s">
        <v>4655</v>
      </c>
      <c r="V868" s="2">
        <v>0</v>
      </c>
      <c r="W868" t="s">
        <v>4655</v>
      </c>
      <c r="X868" s="2">
        <v>0</v>
      </c>
      <c r="Y868">
        <v>21</v>
      </c>
      <c r="Z868" t="s">
        <v>3047</v>
      </c>
      <c r="AA868" s="3">
        <v>1.00000004749745E-3</v>
      </c>
      <c r="AB868" t="s">
        <v>9219</v>
      </c>
      <c r="AC868" t="s">
        <v>4562</v>
      </c>
      <c r="AD868" t="s">
        <v>9220</v>
      </c>
      <c r="AE868" t="s">
        <v>4655</v>
      </c>
      <c r="AF868" t="s">
        <v>4563</v>
      </c>
      <c r="AG868" t="s">
        <v>4564</v>
      </c>
      <c r="AH868">
        <v>89503</v>
      </c>
      <c r="AI868" t="s">
        <v>4655</v>
      </c>
      <c r="AJ868" t="s">
        <v>4655</v>
      </c>
      <c r="AK868" t="s">
        <v>9221</v>
      </c>
      <c r="AL868" s="13" t="s">
        <v>3422</v>
      </c>
      <c r="AM868">
        <v>1</v>
      </c>
      <c r="AN868" s="15" t="s">
        <v>2441</v>
      </c>
    </row>
    <row r="869" spans="1:40" x14ac:dyDescent="0.3">
      <c r="A869" s="10" t="str">
        <f>HYPERLINK("http://www.washoecounty.gov/assessor/cama/?parid=011-472-09&amp;CardNumber=1","011-472-09")</f>
        <v>011-472-09</v>
      </c>
      <c r="B869" t="s">
        <v>4655</v>
      </c>
      <c r="C869" t="s">
        <v>1451</v>
      </c>
      <c r="D869" s="1">
        <v>40410</v>
      </c>
      <c r="E869" s="2">
        <v>53000</v>
      </c>
      <c r="F869" t="s">
        <v>4553</v>
      </c>
      <c r="G869" s="17" t="str">
        <f>HYPERLINK("https://www.washoecounty.gov/assessor/cama/?command=sales&amp;parid=01147209","3914294")</f>
        <v>3914294</v>
      </c>
      <c r="H869" t="s">
        <v>1452</v>
      </c>
      <c r="I869">
        <v>1961</v>
      </c>
      <c r="J869">
        <v>1961</v>
      </c>
      <c r="K869" t="s">
        <v>1824</v>
      </c>
      <c r="L869" t="s">
        <v>1453</v>
      </c>
      <c r="M869" s="2">
        <v>334</v>
      </c>
      <c r="N869" t="s">
        <v>427</v>
      </c>
      <c r="O869">
        <v>1</v>
      </c>
      <c r="P869">
        <v>0</v>
      </c>
      <c r="Q869">
        <v>0</v>
      </c>
      <c r="R869" t="s">
        <v>1454</v>
      </c>
      <c r="S869" t="s">
        <v>4856</v>
      </c>
      <c r="T869" t="s">
        <v>4655</v>
      </c>
      <c r="U869" t="s">
        <v>4655</v>
      </c>
      <c r="V869" s="2">
        <v>0</v>
      </c>
      <c r="W869" t="s">
        <v>4655</v>
      </c>
      <c r="X869" s="2">
        <v>0</v>
      </c>
      <c r="Y869">
        <v>21</v>
      </c>
      <c r="Z869" t="s">
        <v>3047</v>
      </c>
      <c r="AA869" s="3">
        <v>9.8255276679992693E-3</v>
      </c>
      <c r="AB869" t="s">
        <v>9222</v>
      </c>
      <c r="AC869" t="s">
        <v>4562</v>
      </c>
      <c r="AD869" t="s">
        <v>9223</v>
      </c>
      <c r="AE869" t="s">
        <v>4655</v>
      </c>
      <c r="AF869" t="s">
        <v>4563</v>
      </c>
      <c r="AG869" t="s">
        <v>4564</v>
      </c>
      <c r="AH869">
        <v>89501</v>
      </c>
      <c r="AI869" t="s">
        <v>601</v>
      </c>
      <c r="AJ869" t="s">
        <v>1455</v>
      </c>
      <c r="AK869" t="s">
        <v>9224</v>
      </c>
      <c r="AL869" s="13" t="s">
        <v>2256</v>
      </c>
      <c r="AM869">
        <v>1</v>
      </c>
      <c r="AN869" s="15" t="s">
        <v>1456</v>
      </c>
    </row>
    <row r="870" spans="1:40" x14ac:dyDescent="0.3">
      <c r="A870" s="10" t="str">
        <f>HYPERLINK("http://www.washoecounty.gov/assessor/cama/?parid=011-474-02&amp;CardNumber=1","011-474-02")</f>
        <v>011-474-02</v>
      </c>
      <c r="B870" t="s">
        <v>4655</v>
      </c>
      <c r="C870" t="s">
        <v>1451</v>
      </c>
      <c r="D870" s="1">
        <v>40308</v>
      </c>
      <c r="E870" s="2">
        <v>110000</v>
      </c>
      <c r="F870" t="s">
        <v>4567</v>
      </c>
      <c r="G870" s="17" t="str">
        <f>HYPERLINK("https://www.washoecounty.gov/assessor/cama/?command=sales&amp;parid=01147402","3879945")</f>
        <v>3879945</v>
      </c>
      <c r="H870" t="s">
        <v>1452</v>
      </c>
      <c r="I870">
        <v>1961</v>
      </c>
      <c r="J870">
        <v>1961</v>
      </c>
      <c r="K870" t="s">
        <v>1824</v>
      </c>
      <c r="L870" t="s">
        <v>1453</v>
      </c>
      <c r="M870" s="2">
        <v>586</v>
      </c>
      <c r="N870" t="s">
        <v>427</v>
      </c>
      <c r="O870">
        <v>1</v>
      </c>
      <c r="P870">
        <v>0</v>
      </c>
      <c r="Q870">
        <v>0</v>
      </c>
      <c r="R870" t="s">
        <v>1454</v>
      </c>
      <c r="S870" t="s">
        <v>4856</v>
      </c>
      <c r="T870" t="s">
        <v>4655</v>
      </c>
      <c r="U870" t="s">
        <v>4655</v>
      </c>
      <c r="V870" s="2">
        <v>0</v>
      </c>
      <c r="W870" t="s">
        <v>4655</v>
      </c>
      <c r="X870" s="2">
        <v>0</v>
      </c>
      <c r="Y870">
        <v>21</v>
      </c>
      <c r="Z870" t="s">
        <v>3047</v>
      </c>
      <c r="AA870" s="3">
        <v>1.72405876219273E-2</v>
      </c>
      <c r="AB870" t="s">
        <v>3467</v>
      </c>
      <c r="AC870" t="s">
        <v>4575</v>
      </c>
      <c r="AD870" t="s">
        <v>9225</v>
      </c>
      <c r="AE870" t="s">
        <v>9226</v>
      </c>
      <c r="AF870" t="s">
        <v>4563</v>
      </c>
      <c r="AG870" t="s">
        <v>4564</v>
      </c>
      <c r="AH870">
        <v>89502</v>
      </c>
      <c r="AI870" t="s">
        <v>9227</v>
      </c>
      <c r="AJ870" t="s">
        <v>1455</v>
      </c>
      <c r="AK870" t="s">
        <v>9228</v>
      </c>
      <c r="AL870" s="13" t="s">
        <v>2256</v>
      </c>
      <c r="AM870" s="14">
        <v>1</v>
      </c>
      <c r="AN870" s="15" t="s">
        <v>1456</v>
      </c>
    </row>
    <row r="871" spans="1:40" x14ac:dyDescent="0.3">
      <c r="A871" s="10" t="str">
        <f>HYPERLINK("http://www.washoecounty.gov/assessor/cama/?parid=011-475-24&amp;CardNumber=1","011-475-24")</f>
        <v>011-475-24</v>
      </c>
      <c r="B871" t="s">
        <v>4655</v>
      </c>
      <c r="C871" t="s">
        <v>1451</v>
      </c>
      <c r="D871" s="1">
        <v>40345</v>
      </c>
      <c r="E871" s="2">
        <v>55000</v>
      </c>
      <c r="F871" t="s">
        <v>4567</v>
      </c>
      <c r="G871" s="17" t="str">
        <f>HYPERLINK("https://www.washoecounty.gov/assessor/cama/?command=sales&amp;parid=01147524","3892594")</f>
        <v>3892594</v>
      </c>
      <c r="H871" t="s">
        <v>1452</v>
      </c>
      <c r="I871">
        <v>1961</v>
      </c>
      <c r="J871">
        <v>1969</v>
      </c>
      <c r="K871" t="s">
        <v>1824</v>
      </c>
      <c r="L871" t="s">
        <v>1453</v>
      </c>
      <c r="M871" s="2">
        <v>343</v>
      </c>
      <c r="N871" t="s">
        <v>427</v>
      </c>
      <c r="O871">
        <v>0</v>
      </c>
      <c r="P871">
        <v>0</v>
      </c>
      <c r="Q871">
        <v>0</v>
      </c>
      <c r="R871" t="s">
        <v>1454</v>
      </c>
      <c r="S871" t="s">
        <v>4856</v>
      </c>
      <c r="T871" t="s">
        <v>4655</v>
      </c>
      <c r="U871" t="s">
        <v>4655</v>
      </c>
      <c r="V871" s="2">
        <v>0</v>
      </c>
      <c r="W871" t="s">
        <v>4655</v>
      </c>
      <c r="X871" s="2">
        <v>0</v>
      </c>
      <c r="Y871">
        <v>21</v>
      </c>
      <c r="Z871" t="s">
        <v>3047</v>
      </c>
      <c r="AA871" s="3">
        <v>1.0101010091602801E-2</v>
      </c>
      <c r="AB871" t="s">
        <v>9229</v>
      </c>
      <c r="AC871" t="s">
        <v>4562</v>
      </c>
      <c r="AD871" t="s">
        <v>9230</v>
      </c>
      <c r="AE871" t="s">
        <v>4655</v>
      </c>
      <c r="AF871" t="s">
        <v>4563</v>
      </c>
      <c r="AG871" t="s">
        <v>4564</v>
      </c>
      <c r="AH871">
        <v>89511</v>
      </c>
      <c r="AI871" t="s">
        <v>9231</v>
      </c>
      <c r="AJ871" t="s">
        <v>9232</v>
      </c>
      <c r="AK871" t="s">
        <v>9233</v>
      </c>
      <c r="AL871" s="13" t="s">
        <v>2256</v>
      </c>
      <c r="AM871">
        <v>1</v>
      </c>
      <c r="AN871" s="15" t="s">
        <v>1456</v>
      </c>
    </row>
    <row r="872" spans="1:40" x14ac:dyDescent="0.3">
      <c r="A872" s="10" t="str">
        <f>HYPERLINK("http://www.washoecounty.gov/assessor/cama/?parid=011-481-05&amp;CardNumber=1","011-481-05")</f>
        <v>011-481-05</v>
      </c>
      <c r="B872" t="s">
        <v>4655</v>
      </c>
      <c r="C872" t="s">
        <v>9234</v>
      </c>
      <c r="D872" s="1">
        <v>40289</v>
      </c>
      <c r="E872" s="2">
        <v>275000</v>
      </c>
      <c r="F872" t="s">
        <v>4553</v>
      </c>
      <c r="G872" s="17" t="str">
        <f>HYPERLINK("https://www.washoecounty.gov/assessor/cama/?command=sales&amp;parid=01148105","3873450")</f>
        <v>3873450</v>
      </c>
      <c r="H872" t="s">
        <v>9235</v>
      </c>
      <c r="I872">
        <v>2006</v>
      </c>
      <c r="J872">
        <v>2006</v>
      </c>
      <c r="K872" t="s">
        <v>4897</v>
      </c>
      <c r="L872" t="s">
        <v>3044</v>
      </c>
      <c r="M872" s="2">
        <v>1640</v>
      </c>
      <c r="N872" t="s">
        <v>5280</v>
      </c>
      <c r="O872">
        <v>2</v>
      </c>
      <c r="P872">
        <v>2</v>
      </c>
      <c r="Q872">
        <v>0</v>
      </c>
      <c r="R872" t="s">
        <v>5281</v>
      </c>
      <c r="S872" t="s">
        <v>364</v>
      </c>
      <c r="T872" t="s">
        <v>5017</v>
      </c>
      <c r="U872" t="s">
        <v>4560</v>
      </c>
      <c r="V872" s="2">
        <v>360</v>
      </c>
      <c r="W872" t="s">
        <v>4655</v>
      </c>
      <c r="X872" s="2">
        <v>0</v>
      </c>
      <c r="Y872">
        <v>21</v>
      </c>
      <c r="Z872" t="s">
        <v>4900</v>
      </c>
      <c r="AA872" s="3">
        <v>2.19696965068579E-2</v>
      </c>
      <c r="AB872" t="s">
        <v>9236</v>
      </c>
      <c r="AC872" t="s">
        <v>4562</v>
      </c>
      <c r="AD872" t="s">
        <v>9234</v>
      </c>
      <c r="AE872" t="s">
        <v>4655</v>
      </c>
      <c r="AF872" t="s">
        <v>4563</v>
      </c>
      <c r="AG872" t="s">
        <v>4564</v>
      </c>
      <c r="AH872">
        <v>89501</v>
      </c>
      <c r="AI872" t="s">
        <v>9237</v>
      </c>
      <c r="AJ872" t="s">
        <v>9238</v>
      </c>
      <c r="AK872" t="s">
        <v>9239</v>
      </c>
      <c r="AL872" s="13" t="s">
        <v>2255</v>
      </c>
      <c r="AM872" s="14">
        <v>1</v>
      </c>
      <c r="AN872" s="15" t="s">
        <v>5034</v>
      </c>
    </row>
    <row r="873" spans="1:40" x14ac:dyDescent="0.3">
      <c r="A873" s="10" t="str">
        <f>HYPERLINK("http://www.washoecounty.gov/assessor/cama/?parid=011-493-23&amp;CardNumber=1","011-493-23")</f>
        <v>011-493-23</v>
      </c>
      <c r="B873" t="s">
        <v>4655</v>
      </c>
      <c r="C873" t="s">
        <v>396</v>
      </c>
      <c r="D873" s="1">
        <v>40318</v>
      </c>
      <c r="E873" s="2">
        <v>85000</v>
      </c>
      <c r="F873" t="s">
        <v>4553</v>
      </c>
      <c r="G873" s="17" t="str">
        <f>HYPERLINK("https://www.washoecounty.gov/assessor/cama/?command=sales&amp;parid=01149323","3883472")</f>
        <v>3883472</v>
      </c>
      <c r="H873" t="s">
        <v>397</v>
      </c>
      <c r="I873">
        <v>1978</v>
      </c>
      <c r="J873">
        <v>1994</v>
      </c>
      <c r="K873" t="s">
        <v>1824</v>
      </c>
      <c r="L873" t="s">
        <v>398</v>
      </c>
      <c r="M873" s="2">
        <v>1557</v>
      </c>
      <c r="N873" t="s">
        <v>1431</v>
      </c>
      <c r="O873">
        <v>0</v>
      </c>
      <c r="P873">
        <v>0</v>
      </c>
      <c r="Q873">
        <v>0</v>
      </c>
      <c r="R873" t="s">
        <v>4581</v>
      </c>
      <c r="S873" t="s">
        <v>4582</v>
      </c>
      <c r="T873" t="s">
        <v>4655</v>
      </c>
      <c r="U873" t="s">
        <v>4655</v>
      </c>
      <c r="V873" s="2">
        <v>0</v>
      </c>
      <c r="W873" t="s">
        <v>4655</v>
      </c>
      <c r="X873" s="2">
        <v>0</v>
      </c>
      <c r="Y873">
        <v>21</v>
      </c>
      <c r="Z873" t="s">
        <v>3047</v>
      </c>
      <c r="AA873" s="3">
        <v>3.5743802785873399E-2</v>
      </c>
      <c r="AB873" t="s">
        <v>9240</v>
      </c>
      <c r="AC873" t="s">
        <v>4562</v>
      </c>
      <c r="AD873" t="s">
        <v>9241</v>
      </c>
      <c r="AE873" t="s">
        <v>4655</v>
      </c>
      <c r="AF873" t="s">
        <v>4563</v>
      </c>
      <c r="AG873" t="s">
        <v>4564</v>
      </c>
      <c r="AH873">
        <v>89501</v>
      </c>
      <c r="AI873" t="s">
        <v>4655</v>
      </c>
      <c r="AJ873" t="s">
        <v>1657</v>
      </c>
      <c r="AK873" t="s">
        <v>9242</v>
      </c>
      <c r="AL873" s="13" t="s">
        <v>2766</v>
      </c>
      <c r="AM873" s="14">
        <v>1</v>
      </c>
      <c r="AN873" s="15" t="s">
        <v>399</v>
      </c>
    </row>
    <row r="874" spans="1:40" x14ac:dyDescent="0.3">
      <c r="A874" s="10" t="str">
        <f>HYPERLINK("http://www.washoecounty.gov/assessor/cama/?parid=011-494-08&amp;CardNumber=1","011-494-08")</f>
        <v>011-494-08</v>
      </c>
      <c r="B874" t="s">
        <v>4655</v>
      </c>
      <c r="C874" t="s">
        <v>396</v>
      </c>
      <c r="D874" s="1">
        <v>40469</v>
      </c>
      <c r="E874" s="2">
        <v>57750</v>
      </c>
      <c r="F874" t="s">
        <v>4553</v>
      </c>
      <c r="G874" s="17" t="str">
        <f>HYPERLINK("https://www.washoecounty.gov/assessor/cama/?command=sales&amp;parid=01149408","3933847")</f>
        <v>3933847</v>
      </c>
      <c r="H874" t="s">
        <v>397</v>
      </c>
      <c r="I874">
        <v>1978</v>
      </c>
      <c r="J874">
        <v>1994</v>
      </c>
      <c r="K874" t="s">
        <v>1824</v>
      </c>
      <c r="L874" t="s">
        <v>398</v>
      </c>
      <c r="M874" s="2">
        <v>709</v>
      </c>
      <c r="N874" t="s">
        <v>1431</v>
      </c>
      <c r="O874">
        <v>0</v>
      </c>
      <c r="P874">
        <v>0</v>
      </c>
      <c r="Q874">
        <v>0</v>
      </c>
      <c r="R874" t="s">
        <v>4581</v>
      </c>
      <c r="S874" t="s">
        <v>4582</v>
      </c>
      <c r="T874" t="s">
        <v>4655</v>
      </c>
      <c r="U874" t="s">
        <v>4655</v>
      </c>
      <c r="V874" s="2">
        <v>0</v>
      </c>
      <c r="W874" t="s">
        <v>4655</v>
      </c>
      <c r="X874" s="2">
        <v>0</v>
      </c>
      <c r="Y874">
        <v>21</v>
      </c>
      <c r="Z874" t="s">
        <v>3047</v>
      </c>
      <c r="AA874" s="3">
        <v>1.62764005362988E-2</v>
      </c>
      <c r="AB874" t="s">
        <v>9243</v>
      </c>
      <c r="AC874" t="s">
        <v>4562</v>
      </c>
      <c r="AD874" t="s">
        <v>9244</v>
      </c>
      <c r="AE874" t="s">
        <v>4655</v>
      </c>
      <c r="AF874" t="s">
        <v>5201</v>
      </c>
      <c r="AG874" t="s">
        <v>4564</v>
      </c>
      <c r="AH874" t="s">
        <v>9245</v>
      </c>
      <c r="AI874" t="s">
        <v>4903</v>
      </c>
      <c r="AJ874" t="s">
        <v>1657</v>
      </c>
      <c r="AK874" t="s">
        <v>9246</v>
      </c>
      <c r="AL874" s="13" t="s">
        <v>2766</v>
      </c>
      <c r="AM874" s="14">
        <v>1</v>
      </c>
      <c r="AN874" s="15" t="s">
        <v>399</v>
      </c>
    </row>
    <row r="875" spans="1:40" x14ac:dyDescent="0.3">
      <c r="A875" s="10" t="str">
        <f>HYPERLINK("http://www.washoecounty.gov/assessor/cama/?parid=011-495-04&amp;CardNumber=1","011-495-04")</f>
        <v>011-495-04</v>
      </c>
      <c r="B875" t="s">
        <v>4655</v>
      </c>
      <c r="C875" t="s">
        <v>396</v>
      </c>
      <c r="D875" s="1">
        <v>40435</v>
      </c>
      <c r="E875" s="2">
        <v>40000</v>
      </c>
      <c r="F875" t="s">
        <v>4553</v>
      </c>
      <c r="G875" s="17" t="str">
        <f>HYPERLINK("https://www.washoecounty.gov/assessor/cama/?command=sales&amp;parid=01149504","3922186")</f>
        <v>3922186</v>
      </c>
      <c r="H875" t="s">
        <v>397</v>
      </c>
      <c r="I875">
        <v>1978</v>
      </c>
      <c r="J875">
        <v>1994</v>
      </c>
      <c r="K875" t="s">
        <v>1824</v>
      </c>
      <c r="L875" t="s">
        <v>398</v>
      </c>
      <c r="M875" s="2">
        <v>385</v>
      </c>
      <c r="N875" t="s">
        <v>1431</v>
      </c>
      <c r="O875">
        <v>0</v>
      </c>
      <c r="P875">
        <v>0</v>
      </c>
      <c r="Q875">
        <v>0</v>
      </c>
      <c r="R875" t="s">
        <v>4581</v>
      </c>
      <c r="S875" t="s">
        <v>4582</v>
      </c>
      <c r="T875" t="s">
        <v>4655</v>
      </c>
      <c r="U875" t="s">
        <v>4655</v>
      </c>
      <c r="V875" s="2">
        <v>0</v>
      </c>
      <c r="W875" t="s">
        <v>4655</v>
      </c>
      <c r="X875" s="2">
        <v>0</v>
      </c>
      <c r="Y875">
        <v>21</v>
      </c>
      <c r="Z875" t="s">
        <v>3047</v>
      </c>
      <c r="AA875" s="3">
        <v>8.83838348090649E-3</v>
      </c>
      <c r="AB875" t="s">
        <v>9247</v>
      </c>
      <c r="AC875" t="s">
        <v>4562</v>
      </c>
      <c r="AD875" t="s">
        <v>9248</v>
      </c>
      <c r="AE875" t="s">
        <v>4655</v>
      </c>
      <c r="AF875" t="s">
        <v>4563</v>
      </c>
      <c r="AG875" t="s">
        <v>4564</v>
      </c>
      <c r="AH875">
        <v>89501</v>
      </c>
      <c r="AI875" t="s">
        <v>378</v>
      </c>
      <c r="AJ875" t="s">
        <v>1657</v>
      </c>
      <c r="AK875" t="s">
        <v>9249</v>
      </c>
      <c r="AL875" s="13" t="s">
        <v>2766</v>
      </c>
      <c r="AM875" s="14">
        <v>1</v>
      </c>
      <c r="AN875" s="15" t="s">
        <v>399</v>
      </c>
    </row>
    <row r="876" spans="1:40" x14ac:dyDescent="0.3">
      <c r="A876" s="10" t="str">
        <f>HYPERLINK("http://www.washoecounty.gov/assessor/cama/?parid=011-495-20&amp;CardNumber=1","011-495-20")</f>
        <v>011-495-20</v>
      </c>
      <c r="B876" t="s">
        <v>4655</v>
      </c>
      <c r="C876" t="s">
        <v>396</v>
      </c>
      <c r="D876" s="1">
        <v>40416</v>
      </c>
      <c r="E876" s="2">
        <v>36900</v>
      </c>
      <c r="F876" t="s">
        <v>4553</v>
      </c>
      <c r="G876" s="17" t="str">
        <f>HYPERLINK("https://www.washoecounty.gov/assessor/cama/?command=sales&amp;parid=01149520","3916024")</f>
        <v>3916024</v>
      </c>
      <c r="H876" t="s">
        <v>397</v>
      </c>
      <c r="I876">
        <v>1978</v>
      </c>
      <c r="J876">
        <v>1994</v>
      </c>
      <c r="K876" t="s">
        <v>1824</v>
      </c>
      <c r="L876" t="s">
        <v>398</v>
      </c>
      <c r="M876" s="2">
        <v>486</v>
      </c>
      <c r="N876" t="s">
        <v>1431</v>
      </c>
      <c r="O876">
        <v>0</v>
      </c>
      <c r="P876">
        <v>0</v>
      </c>
      <c r="Q876">
        <v>0</v>
      </c>
      <c r="R876" t="s">
        <v>4581</v>
      </c>
      <c r="S876" t="s">
        <v>4582</v>
      </c>
      <c r="T876" t="s">
        <v>4655</v>
      </c>
      <c r="U876" t="s">
        <v>4655</v>
      </c>
      <c r="V876" s="2">
        <v>0</v>
      </c>
      <c r="W876" t="s">
        <v>4655</v>
      </c>
      <c r="X876" s="2">
        <v>0</v>
      </c>
      <c r="Y876">
        <v>21</v>
      </c>
      <c r="Z876" t="s">
        <v>3047</v>
      </c>
      <c r="AA876" s="3">
        <v>1.1157024651765801E-2</v>
      </c>
      <c r="AB876" t="s">
        <v>9250</v>
      </c>
      <c r="AC876" t="s">
        <v>4562</v>
      </c>
      <c r="AD876" t="s">
        <v>2522</v>
      </c>
      <c r="AE876" t="s">
        <v>4655</v>
      </c>
      <c r="AF876" t="s">
        <v>3619</v>
      </c>
      <c r="AG876" t="s">
        <v>4564</v>
      </c>
      <c r="AH876">
        <v>89412</v>
      </c>
      <c r="AI876" t="s">
        <v>4655</v>
      </c>
      <c r="AJ876" t="s">
        <v>9251</v>
      </c>
      <c r="AK876" t="s">
        <v>9252</v>
      </c>
      <c r="AL876" s="13" t="s">
        <v>2766</v>
      </c>
      <c r="AM876" s="14">
        <v>1</v>
      </c>
      <c r="AN876" s="15" t="s">
        <v>399</v>
      </c>
    </row>
    <row r="877" spans="1:40" x14ac:dyDescent="0.3">
      <c r="A877" s="10" t="str">
        <f>HYPERLINK("http://www.washoecounty.gov/assessor/cama/?parid=011-496-04&amp;CardNumber=1","011-496-04")</f>
        <v>011-496-04</v>
      </c>
      <c r="B877" t="s">
        <v>4655</v>
      </c>
      <c r="C877" t="s">
        <v>396</v>
      </c>
      <c r="D877" s="1">
        <v>40387</v>
      </c>
      <c r="E877" s="2">
        <v>60500</v>
      </c>
      <c r="F877" t="s">
        <v>4553</v>
      </c>
      <c r="G877" s="17" t="str">
        <f>HYPERLINK("https://www.washoecounty.gov/assessor/cama/?command=sales&amp;parid=01149604","3906251")</f>
        <v>3906251</v>
      </c>
      <c r="H877" t="s">
        <v>397</v>
      </c>
      <c r="I877">
        <v>1978</v>
      </c>
      <c r="J877">
        <v>1994</v>
      </c>
      <c r="K877" t="s">
        <v>1824</v>
      </c>
      <c r="L877" t="s">
        <v>398</v>
      </c>
      <c r="M877" s="2">
        <v>730</v>
      </c>
      <c r="N877" t="s">
        <v>1431</v>
      </c>
      <c r="O877">
        <v>0</v>
      </c>
      <c r="P877">
        <v>0</v>
      </c>
      <c r="Q877">
        <v>0</v>
      </c>
      <c r="R877" t="s">
        <v>4581</v>
      </c>
      <c r="S877" t="s">
        <v>4582</v>
      </c>
      <c r="T877" t="s">
        <v>4655</v>
      </c>
      <c r="U877" t="s">
        <v>4655</v>
      </c>
      <c r="V877" s="2">
        <v>0</v>
      </c>
      <c r="W877" t="s">
        <v>4655</v>
      </c>
      <c r="X877" s="2">
        <v>0</v>
      </c>
      <c r="Y877">
        <v>21</v>
      </c>
      <c r="Z877" t="s">
        <v>3047</v>
      </c>
      <c r="AA877" s="3">
        <v>1.6758494079113E-2</v>
      </c>
      <c r="AB877" t="s">
        <v>5692</v>
      </c>
      <c r="AC877" t="s">
        <v>4562</v>
      </c>
      <c r="AD877" t="s">
        <v>5693</v>
      </c>
      <c r="AE877" t="s">
        <v>5694</v>
      </c>
      <c r="AF877" t="s">
        <v>4563</v>
      </c>
      <c r="AG877" t="s">
        <v>4564</v>
      </c>
      <c r="AH877">
        <v>89506</v>
      </c>
      <c r="AI877" t="s">
        <v>662</v>
      </c>
      <c r="AJ877" t="s">
        <v>1657</v>
      </c>
      <c r="AK877" t="s">
        <v>664</v>
      </c>
      <c r="AL877" s="13" t="s">
        <v>2766</v>
      </c>
      <c r="AM877" s="14">
        <v>1</v>
      </c>
      <c r="AN877" s="15" t="s">
        <v>399</v>
      </c>
    </row>
    <row r="878" spans="1:40" x14ac:dyDescent="0.3">
      <c r="A878" s="10" t="str">
        <f>HYPERLINK("http://www.washoecounty.gov/assessor/cama/?parid=011-496-14&amp;CardNumber=1","011-496-14")</f>
        <v>011-496-14</v>
      </c>
      <c r="B878" t="s">
        <v>4655</v>
      </c>
      <c r="C878" t="s">
        <v>396</v>
      </c>
      <c r="D878" s="1">
        <v>40444</v>
      </c>
      <c r="E878" s="2">
        <v>160000</v>
      </c>
      <c r="F878" t="s">
        <v>4567</v>
      </c>
      <c r="G878" s="17" t="str">
        <f>HYPERLINK("https://www.washoecounty.gov/assessor/cama/?command=sales&amp;parid=01149614","3925618")</f>
        <v>3925618</v>
      </c>
      <c r="H878" t="s">
        <v>397</v>
      </c>
      <c r="I878">
        <v>1978</v>
      </c>
      <c r="J878">
        <v>1994</v>
      </c>
      <c r="K878" t="s">
        <v>1824</v>
      </c>
      <c r="L878" t="s">
        <v>398</v>
      </c>
      <c r="M878" s="2">
        <v>1480</v>
      </c>
      <c r="N878" t="s">
        <v>1431</v>
      </c>
      <c r="O878">
        <v>0</v>
      </c>
      <c r="P878">
        <v>0</v>
      </c>
      <c r="Q878">
        <v>0</v>
      </c>
      <c r="R878" t="s">
        <v>4581</v>
      </c>
      <c r="S878" t="s">
        <v>4582</v>
      </c>
      <c r="T878" t="s">
        <v>4655</v>
      </c>
      <c r="U878" t="s">
        <v>4655</v>
      </c>
      <c r="V878" s="2">
        <v>0</v>
      </c>
      <c r="W878" t="s">
        <v>4655</v>
      </c>
      <c r="X878" s="2">
        <v>0</v>
      </c>
      <c r="Y878">
        <v>21</v>
      </c>
      <c r="Z878" t="s">
        <v>3047</v>
      </c>
      <c r="AA878" s="3">
        <v>3.3976126462221097E-2</v>
      </c>
      <c r="AB878" t="s">
        <v>9253</v>
      </c>
      <c r="AC878" t="s">
        <v>4562</v>
      </c>
      <c r="AD878" t="s">
        <v>9254</v>
      </c>
      <c r="AE878" t="s">
        <v>4655</v>
      </c>
      <c r="AF878" t="s">
        <v>4563</v>
      </c>
      <c r="AG878" t="s">
        <v>4564</v>
      </c>
      <c r="AH878">
        <v>89502</v>
      </c>
      <c r="AI878" t="s">
        <v>9255</v>
      </c>
      <c r="AJ878" t="s">
        <v>1657</v>
      </c>
      <c r="AK878" t="s">
        <v>9256</v>
      </c>
      <c r="AL878" s="13" t="s">
        <v>2766</v>
      </c>
      <c r="AM878">
        <v>1</v>
      </c>
      <c r="AN878" s="15" t="s">
        <v>399</v>
      </c>
    </row>
    <row r="879" spans="1:40" x14ac:dyDescent="0.3">
      <c r="A879" s="10" t="str">
        <f>HYPERLINK("http://www.washoecounty.gov/assessor/cama/?parid=011-496-20&amp;CardNumber=1","011-496-20")</f>
        <v>011-496-20</v>
      </c>
      <c r="B879" t="s">
        <v>4655</v>
      </c>
      <c r="C879" t="s">
        <v>396</v>
      </c>
      <c r="D879" s="1">
        <v>40540</v>
      </c>
      <c r="E879" s="2">
        <v>73250</v>
      </c>
      <c r="F879" t="s">
        <v>4553</v>
      </c>
      <c r="G879" s="17" t="str">
        <f>HYPERLINK("https://www.washoecounty.gov/assessor/cama/?command=sales&amp;parid=01149620","3957998")</f>
        <v>3957998</v>
      </c>
      <c r="H879" t="s">
        <v>397</v>
      </c>
      <c r="I879">
        <v>1978</v>
      </c>
      <c r="J879">
        <v>1994</v>
      </c>
      <c r="K879" t="s">
        <v>1824</v>
      </c>
      <c r="L879" t="s">
        <v>398</v>
      </c>
      <c r="M879" s="2">
        <v>770</v>
      </c>
      <c r="N879" t="s">
        <v>1431</v>
      </c>
      <c r="O879">
        <v>0</v>
      </c>
      <c r="P879">
        <v>0</v>
      </c>
      <c r="Q879">
        <v>0</v>
      </c>
      <c r="R879" t="s">
        <v>4581</v>
      </c>
      <c r="S879" t="s">
        <v>4582</v>
      </c>
      <c r="T879" t="s">
        <v>4655</v>
      </c>
      <c r="U879" t="s">
        <v>4655</v>
      </c>
      <c r="V879" s="2">
        <v>0</v>
      </c>
      <c r="W879" t="s">
        <v>4655</v>
      </c>
      <c r="X879" s="2">
        <v>0</v>
      </c>
      <c r="Y879">
        <v>21</v>
      </c>
      <c r="Z879" t="s">
        <v>3047</v>
      </c>
      <c r="AA879" s="3">
        <v>1.7676766961813001E-2</v>
      </c>
      <c r="AB879" t="s">
        <v>9257</v>
      </c>
      <c r="AC879" t="s">
        <v>4562</v>
      </c>
      <c r="AD879" t="s">
        <v>9258</v>
      </c>
      <c r="AE879" t="s">
        <v>4655</v>
      </c>
      <c r="AF879" t="s">
        <v>4563</v>
      </c>
      <c r="AG879" t="s">
        <v>4564</v>
      </c>
      <c r="AH879">
        <v>89501</v>
      </c>
      <c r="AI879" t="s">
        <v>4903</v>
      </c>
      <c r="AJ879" t="s">
        <v>9259</v>
      </c>
      <c r="AK879" t="s">
        <v>9260</v>
      </c>
      <c r="AL879" s="13" t="s">
        <v>2766</v>
      </c>
      <c r="AM879" s="14">
        <v>1</v>
      </c>
      <c r="AN879" s="15" t="s">
        <v>399</v>
      </c>
    </row>
    <row r="880" spans="1:40" x14ac:dyDescent="0.3">
      <c r="A880" s="10" t="str">
        <f>HYPERLINK("http://www.washoecounty.gov/assessor/cama/?parid=011-496-22&amp;CardNumber=1","011-496-22")</f>
        <v>011-496-22</v>
      </c>
      <c r="B880" t="s">
        <v>4655</v>
      </c>
      <c r="C880" t="s">
        <v>396</v>
      </c>
      <c r="D880" s="1">
        <v>40470</v>
      </c>
      <c r="E880" s="2">
        <v>130000</v>
      </c>
      <c r="F880" t="s">
        <v>4567</v>
      </c>
      <c r="G880" s="17" t="str">
        <f>HYPERLINK("https://www.washoecounty.gov/assessor/cama/?command=sales&amp;parid=01149622","3934563")</f>
        <v>3934563</v>
      </c>
      <c r="H880" t="s">
        <v>397</v>
      </c>
      <c r="I880">
        <v>1978</v>
      </c>
      <c r="J880">
        <v>1994</v>
      </c>
      <c r="K880" t="s">
        <v>1824</v>
      </c>
      <c r="L880" t="s">
        <v>398</v>
      </c>
      <c r="M880" s="2">
        <v>1561</v>
      </c>
      <c r="N880" t="s">
        <v>1431</v>
      </c>
      <c r="O880">
        <v>0</v>
      </c>
      <c r="P880">
        <v>0</v>
      </c>
      <c r="Q880">
        <v>0</v>
      </c>
      <c r="R880" t="s">
        <v>4581</v>
      </c>
      <c r="S880" t="s">
        <v>4582</v>
      </c>
      <c r="T880" t="s">
        <v>4655</v>
      </c>
      <c r="U880" t="s">
        <v>4655</v>
      </c>
      <c r="V880" s="2">
        <v>0</v>
      </c>
      <c r="W880" t="s">
        <v>4655</v>
      </c>
      <c r="X880" s="2">
        <v>0</v>
      </c>
      <c r="Y880">
        <v>21</v>
      </c>
      <c r="Z880" t="s">
        <v>3047</v>
      </c>
      <c r="AA880" s="3">
        <v>3.5835627466440201E-2</v>
      </c>
      <c r="AB880" t="s">
        <v>4072</v>
      </c>
      <c r="AC880" t="s">
        <v>4562</v>
      </c>
      <c r="AD880" t="s">
        <v>9261</v>
      </c>
      <c r="AE880" t="s">
        <v>4655</v>
      </c>
      <c r="AF880" t="s">
        <v>4563</v>
      </c>
      <c r="AG880" t="s">
        <v>4564</v>
      </c>
      <c r="AH880">
        <v>89501</v>
      </c>
      <c r="AI880" t="s">
        <v>9262</v>
      </c>
      <c r="AJ880" t="s">
        <v>1657</v>
      </c>
      <c r="AK880" t="s">
        <v>9263</v>
      </c>
      <c r="AL880" s="13" t="s">
        <v>2766</v>
      </c>
      <c r="AM880">
        <v>1</v>
      </c>
      <c r="AN880" s="15" t="s">
        <v>399</v>
      </c>
    </row>
    <row r="881" spans="1:40" x14ac:dyDescent="0.3">
      <c r="A881" s="10" t="str">
        <f>HYPERLINK("http://www.washoecounty.gov/assessor/cama/?parid=011-496-24&amp;CardNumber=1","011-496-24")</f>
        <v>011-496-24</v>
      </c>
      <c r="B881" t="s">
        <v>4655</v>
      </c>
      <c r="C881" t="s">
        <v>396</v>
      </c>
      <c r="D881" s="1">
        <v>40402</v>
      </c>
      <c r="E881" s="2">
        <v>64000</v>
      </c>
      <c r="F881" t="s">
        <v>4553</v>
      </c>
      <c r="G881" s="17" t="str">
        <f>HYPERLINK("https://www.washoecounty.gov/assessor/cama/?command=sales&amp;parid=01149624","3911174")</f>
        <v>3911174</v>
      </c>
      <c r="H881" t="s">
        <v>397</v>
      </c>
      <c r="I881">
        <v>1978</v>
      </c>
      <c r="J881">
        <v>1994</v>
      </c>
      <c r="K881" t="s">
        <v>1824</v>
      </c>
      <c r="L881" t="s">
        <v>398</v>
      </c>
      <c r="M881" s="2">
        <v>709</v>
      </c>
      <c r="N881" t="s">
        <v>1431</v>
      </c>
      <c r="O881">
        <v>0</v>
      </c>
      <c r="P881">
        <v>0</v>
      </c>
      <c r="Q881">
        <v>0</v>
      </c>
      <c r="R881" t="s">
        <v>4581</v>
      </c>
      <c r="S881" t="s">
        <v>4582</v>
      </c>
      <c r="T881" t="s">
        <v>4655</v>
      </c>
      <c r="U881" t="s">
        <v>4655</v>
      </c>
      <c r="V881" s="2">
        <v>0</v>
      </c>
      <c r="W881" t="s">
        <v>4655</v>
      </c>
      <c r="X881" s="2">
        <v>0</v>
      </c>
      <c r="Y881">
        <v>21</v>
      </c>
      <c r="Z881" t="s">
        <v>3047</v>
      </c>
      <c r="AA881" s="3">
        <v>1.62764005362988E-2</v>
      </c>
      <c r="AB881" t="s">
        <v>9264</v>
      </c>
      <c r="AC881" t="s">
        <v>4575</v>
      </c>
      <c r="AD881" t="s">
        <v>9265</v>
      </c>
      <c r="AE881" t="s">
        <v>4655</v>
      </c>
      <c r="AF881" t="s">
        <v>9266</v>
      </c>
      <c r="AG881" t="s">
        <v>2782</v>
      </c>
      <c r="AH881" t="s">
        <v>9267</v>
      </c>
      <c r="AI881" t="s">
        <v>4565</v>
      </c>
      <c r="AJ881" t="s">
        <v>1657</v>
      </c>
      <c r="AK881" t="s">
        <v>9268</v>
      </c>
      <c r="AL881" s="13" t="s">
        <v>2766</v>
      </c>
      <c r="AM881">
        <v>1</v>
      </c>
      <c r="AN881" s="15" t="s">
        <v>399</v>
      </c>
    </row>
    <row r="882" spans="1:40" x14ac:dyDescent="0.3">
      <c r="A882" s="10" t="str">
        <f>HYPERLINK("http://www.washoecounty.gov/assessor/cama/?parid=011-525-04&amp;CardNumber=1","011-525-04")</f>
        <v>011-525-04</v>
      </c>
      <c r="B882" t="s">
        <v>4655</v>
      </c>
      <c r="C882" t="s">
        <v>402</v>
      </c>
      <c r="D882" s="1">
        <v>40232</v>
      </c>
      <c r="E882" s="2">
        <v>410000</v>
      </c>
      <c r="F882" t="s">
        <v>4567</v>
      </c>
      <c r="G882" s="17" t="str">
        <f>HYPERLINK("https://www.washoecounty.gov/assessor/cama/?command=sales&amp;parid=01152504","3851925")</f>
        <v>3851925</v>
      </c>
      <c r="H882" t="s">
        <v>419</v>
      </c>
      <c r="I882">
        <v>2006</v>
      </c>
      <c r="J882">
        <v>2006</v>
      </c>
      <c r="K882" t="s">
        <v>1824</v>
      </c>
      <c r="L882" t="s">
        <v>420</v>
      </c>
      <c r="M882" s="2">
        <v>1454</v>
      </c>
      <c r="N882" t="s">
        <v>4580</v>
      </c>
      <c r="O882">
        <v>0</v>
      </c>
      <c r="P882">
        <v>0</v>
      </c>
      <c r="Q882">
        <v>0</v>
      </c>
      <c r="R882" t="s">
        <v>4581</v>
      </c>
      <c r="S882" t="s">
        <v>421</v>
      </c>
      <c r="T882" t="s">
        <v>4655</v>
      </c>
      <c r="U882" t="s">
        <v>4655</v>
      </c>
      <c r="V882" s="2">
        <v>0</v>
      </c>
      <c r="W882" t="s">
        <v>4655</v>
      </c>
      <c r="X882" s="2">
        <v>0</v>
      </c>
      <c r="Y882">
        <v>21</v>
      </c>
      <c r="Z882" t="s">
        <v>3047</v>
      </c>
      <c r="AA882" s="3">
        <v>4.5133151113986997E-2</v>
      </c>
      <c r="AB882" t="s">
        <v>9034</v>
      </c>
      <c r="AC882" t="s">
        <v>4575</v>
      </c>
      <c r="AD882" t="s">
        <v>9269</v>
      </c>
      <c r="AE882" t="s">
        <v>4655</v>
      </c>
      <c r="AF882" t="s">
        <v>5201</v>
      </c>
      <c r="AG882" t="s">
        <v>4564</v>
      </c>
      <c r="AH882" t="s">
        <v>1350</v>
      </c>
      <c r="AI882" t="s">
        <v>9270</v>
      </c>
      <c r="AJ882" t="s">
        <v>422</v>
      </c>
      <c r="AK882" t="s">
        <v>9271</v>
      </c>
      <c r="AL882" s="13" t="s">
        <v>3421</v>
      </c>
      <c r="AM882">
        <v>1</v>
      </c>
      <c r="AN882" s="15" t="s">
        <v>423</v>
      </c>
    </row>
    <row r="883" spans="1:40" x14ac:dyDescent="0.3">
      <c r="A883" s="10" t="str">
        <f>HYPERLINK("http://www.washoecounty.gov/assessor/cama/?parid=011-525-06&amp;CardNumber=1","011-525-06")</f>
        <v>011-525-06</v>
      </c>
      <c r="B883" t="s">
        <v>4655</v>
      </c>
      <c r="C883" t="s">
        <v>402</v>
      </c>
      <c r="D883" s="1">
        <v>40382</v>
      </c>
      <c r="E883" s="2">
        <v>139000</v>
      </c>
      <c r="F883" t="s">
        <v>4567</v>
      </c>
      <c r="G883" s="17" t="str">
        <f>HYPERLINK("https://www.washoecounty.gov/assessor/cama/?command=sales&amp;parid=01152506","3904294")</f>
        <v>3904294</v>
      </c>
      <c r="H883" t="s">
        <v>419</v>
      </c>
      <c r="I883">
        <v>2006</v>
      </c>
      <c r="J883">
        <v>2006</v>
      </c>
      <c r="K883" t="s">
        <v>1824</v>
      </c>
      <c r="L883" t="s">
        <v>420</v>
      </c>
      <c r="M883" s="2">
        <v>562</v>
      </c>
      <c r="N883" t="s">
        <v>4580</v>
      </c>
      <c r="O883">
        <v>0</v>
      </c>
      <c r="P883">
        <v>0</v>
      </c>
      <c r="Q883">
        <v>0</v>
      </c>
      <c r="R883" t="s">
        <v>4581</v>
      </c>
      <c r="S883" t="s">
        <v>421</v>
      </c>
      <c r="T883" t="s">
        <v>4655</v>
      </c>
      <c r="U883" t="s">
        <v>4655</v>
      </c>
      <c r="V883" s="2">
        <v>0</v>
      </c>
      <c r="W883" t="s">
        <v>4655</v>
      </c>
      <c r="X883" s="2">
        <v>0</v>
      </c>
      <c r="Y883">
        <v>21</v>
      </c>
      <c r="Z883" t="s">
        <v>3047</v>
      </c>
      <c r="AA883" s="3">
        <v>1.7447199672460601E-2</v>
      </c>
      <c r="AB883" t="s">
        <v>9272</v>
      </c>
      <c r="AC883" t="s">
        <v>4562</v>
      </c>
      <c r="AD883" t="s">
        <v>9273</v>
      </c>
      <c r="AE883" t="s">
        <v>4655</v>
      </c>
      <c r="AF883" t="s">
        <v>4563</v>
      </c>
      <c r="AG883" t="s">
        <v>4564</v>
      </c>
      <c r="AH883">
        <v>89501</v>
      </c>
      <c r="AI883" t="s">
        <v>9274</v>
      </c>
      <c r="AJ883" t="s">
        <v>422</v>
      </c>
      <c r="AK883" t="s">
        <v>9275</v>
      </c>
      <c r="AL883" s="13" t="s">
        <v>3421</v>
      </c>
      <c r="AM883">
        <v>1</v>
      </c>
      <c r="AN883" s="15" t="s">
        <v>423</v>
      </c>
    </row>
    <row r="884" spans="1:40" x14ac:dyDescent="0.3">
      <c r="A884" s="10" t="str">
        <f>HYPERLINK("http://www.washoecounty.gov/assessor/cama/?parid=011-525-10&amp;CardNumber=1","011-525-10")</f>
        <v>011-525-10</v>
      </c>
      <c r="B884" t="s">
        <v>4655</v>
      </c>
      <c r="C884" t="s">
        <v>402</v>
      </c>
      <c r="D884" s="1">
        <v>40378</v>
      </c>
      <c r="E884" s="2">
        <v>255000</v>
      </c>
      <c r="F884" t="s">
        <v>4567</v>
      </c>
      <c r="G884" s="17" t="str">
        <f>HYPERLINK("https://www.washoecounty.gov/assessor/cama/?command=sales&amp;parid=01152510","3902756")</f>
        <v>3902756</v>
      </c>
      <c r="H884" t="s">
        <v>419</v>
      </c>
      <c r="I884">
        <v>2006</v>
      </c>
      <c r="J884">
        <v>2006</v>
      </c>
      <c r="K884" t="s">
        <v>1824</v>
      </c>
      <c r="L884" t="s">
        <v>420</v>
      </c>
      <c r="M884" s="2">
        <v>1118</v>
      </c>
      <c r="N884" t="s">
        <v>4580</v>
      </c>
      <c r="O884">
        <v>0</v>
      </c>
      <c r="P884">
        <v>0</v>
      </c>
      <c r="Q884">
        <v>0</v>
      </c>
      <c r="R884" t="s">
        <v>4581</v>
      </c>
      <c r="S884" t="s">
        <v>421</v>
      </c>
      <c r="T884" t="s">
        <v>4655</v>
      </c>
      <c r="U884" t="s">
        <v>4655</v>
      </c>
      <c r="V884" s="2">
        <v>0</v>
      </c>
      <c r="W884" t="s">
        <v>4655</v>
      </c>
      <c r="X884" s="2">
        <v>0</v>
      </c>
      <c r="Y884">
        <v>21</v>
      </c>
      <c r="Z884" t="s">
        <v>3047</v>
      </c>
      <c r="AA884" s="3">
        <v>3.4687787294387797E-2</v>
      </c>
      <c r="AB884" t="s">
        <v>9276</v>
      </c>
      <c r="AC884" t="s">
        <v>4575</v>
      </c>
      <c r="AD884" t="s">
        <v>9277</v>
      </c>
      <c r="AE884" t="s">
        <v>4655</v>
      </c>
      <c r="AF884" t="s">
        <v>4798</v>
      </c>
      <c r="AG884" t="s">
        <v>1539</v>
      </c>
      <c r="AH884">
        <v>98101</v>
      </c>
      <c r="AI884" t="s">
        <v>9278</v>
      </c>
      <c r="AJ884" t="s">
        <v>422</v>
      </c>
      <c r="AK884" t="s">
        <v>9279</v>
      </c>
      <c r="AL884" s="13" t="s">
        <v>3421</v>
      </c>
      <c r="AM884">
        <v>1</v>
      </c>
      <c r="AN884" s="15" t="s">
        <v>423</v>
      </c>
    </row>
    <row r="885" spans="1:40" x14ac:dyDescent="0.3">
      <c r="A885" s="10" t="str">
        <f>HYPERLINK("http://www.washoecounty.gov/assessor/cama/?parid=011-526-01&amp;CardNumber=1","011-526-01")</f>
        <v>011-526-01</v>
      </c>
      <c r="B885" t="s">
        <v>4655</v>
      </c>
      <c r="C885" t="s">
        <v>402</v>
      </c>
      <c r="D885" s="1">
        <v>40354</v>
      </c>
      <c r="E885" s="2">
        <v>600000</v>
      </c>
      <c r="F885" t="s">
        <v>4567</v>
      </c>
      <c r="G885" s="17" t="str">
        <f>HYPERLINK("https://www.washoecounty.gov/assessor/cama/?command=sales&amp;parid=01152601","3895294")</f>
        <v>3895294</v>
      </c>
      <c r="H885" t="s">
        <v>419</v>
      </c>
      <c r="I885">
        <v>2006</v>
      </c>
      <c r="J885">
        <v>2006</v>
      </c>
      <c r="K885" t="s">
        <v>1824</v>
      </c>
      <c r="L885" t="s">
        <v>420</v>
      </c>
      <c r="M885" s="2">
        <v>1107</v>
      </c>
      <c r="N885" t="s">
        <v>4580</v>
      </c>
      <c r="O885">
        <v>0</v>
      </c>
      <c r="P885">
        <v>0</v>
      </c>
      <c r="Q885">
        <v>0</v>
      </c>
      <c r="R885" t="s">
        <v>4581</v>
      </c>
      <c r="S885" t="s">
        <v>421</v>
      </c>
      <c r="T885" t="s">
        <v>4655</v>
      </c>
      <c r="U885" t="s">
        <v>4655</v>
      </c>
      <c r="V885" s="2">
        <v>0</v>
      </c>
      <c r="W885" t="s">
        <v>4655</v>
      </c>
      <c r="X885" s="2">
        <v>0</v>
      </c>
      <c r="Y885">
        <v>21</v>
      </c>
      <c r="Z885" t="s">
        <v>3047</v>
      </c>
      <c r="AA885" s="3">
        <v>3.43663915991783E-2</v>
      </c>
      <c r="AB885" t="s">
        <v>9280</v>
      </c>
      <c r="AC885" t="s">
        <v>4562</v>
      </c>
      <c r="AD885" t="s">
        <v>9281</v>
      </c>
      <c r="AE885" t="s">
        <v>4655</v>
      </c>
      <c r="AF885" t="s">
        <v>5362</v>
      </c>
      <c r="AG885" t="s">
        <v>4584</v>
      </c>
      <c r="AH885">
        <v>93035</v>
      </c>
      <c r="AI885" t="s">
        <v>9282</v>
      </c>
      <c r="AJ885" t="s">
        <v>422</v>
      </c>
      <c r="AK885" t="s">
        <v>9283</v>
      </c>
      <c r="AL885" s="13" t="s">
        <v>3421</v>
      </c>
      <c r="AM885">
        <v>1</v>
      </c>
      <c r="AN885" s="15" t="s">
        <v>423</v>
      </c>
    </row>
    <row r="886" spans="1:40" x14ac:dyDescent="0.3">
      <c r="A886" s="10" t="str">
        <f>HYPERLINK("http://www.washoecounty.gov/assessor/cama/?parid=011-526-03&amp;CardNumber=1","011-526-03")</f>
        <v>011-526-03</v>
      </c>
      <c r="B886" t="s">
        <v>4655</v>
      </c>
      <c r="C886" t="s">
        <v>402</v>
      </c>
      <c r="D886" s="1">
        <v>40365</v>
      </c>
      <c r="E886" s="2">
        <v>310000</v>
      </c>
      <c r="F886" t="s">
        <v>4567</v>
      </c>
      <c r="G886" s="17" t="str">
        <f>HYPERLINK("https://www.washoecounty.gov/assessor/cama/?command=sales&amp;parid=01152603","3898417")</f>
        <v>3898417</v>
      </c>
      <c r="H886" t="s">
        <v>419</v>
      </c>
      <c r="I886">
        <v>2006</v>
      </c>
      <c r="J886">
        <v>2006</v>
      </c>
      <c r="K886" t="s">
        <v>1824</v>
      </c>
      <c r="L886" t="s">
        <v>420</v>
      </c>
      <c r="M886" s="2">
        <v>1010</v>
      </c>
      <c r="N886" t="s">
        <v>4580</v>
      </c>
      <c r="O886">
        <v>0</v>
      </c>
      <c r="P886">
        <v>0</v>
      </c>
      <c r="Q886">
        <v>0</v>
      </c>
      <c r="R886" t="s">
        <v>4581</v>
      </c>
      <c r="S886" t="s">
        <v>421</v>
      </c>
      <c r="T886" t="s">
        <v>4655</v>
      </c>
      <c r="U886" t="s">
        <v>4655</v>
      </c>
      <c r="V886" s="2">
        <v>0</v>
      </c>
      <c r="W886" t="s">
        <v>4655</v>
      </c>
      <c r="X886" s="2">
        <v>0</v>
      </c>
      <c r="Y886">
        <v>21</v>
      </c>
      <c r="Z886" t="s">
        <v>3047</v>
      </c>
      <c r="AA886" s="3">
        <v>3.1336087733507198E-2</v>
      </c>
      <c r="AB886" t="s">
        <v>9284</v>
      </c>
      <c r="AC886" t="s">
        <v>4575</v>
      </c>
      <c r="AD886" t="s">
        <v>9285</v>
      </c>
      <c r="AE886" t="s">
        <v>4655</v>
      </c>
      <c r="AF886" t="s">
        <v>4563</v>
      </c>
      <c r="AG886" t="s">
        <v>4564</v>
      </c>
      <c r="AH886">
        <v>89501</v>
      </c>
      <c r="AI886" t="s">
        <v>9286</v>
      </c>
      <c r="AJ886" t="s">
        <v>422</v>
      </c>
      <c r="AK886" t="s">
        <v>9287</v>
      </c>
      <c r="AL886" s="13" t="s">
        <v>3421</v>
      </c>
      <c r="AM886" s="14">
        <v>1</v>
      </c>
      <c r="AN886" s="15" t="s">
        <v>423</v>
      </c>
    </row>
    <row r="887" spans="1:40" x14ac:dyDescent="0.3">
      <c r="A887" s="10" t="str">
        <f>HYPERLINK("http://www.washoecounty.gov/assessor/cama/?parid=011-527-04&amp;CardNumber=1","011-527-04")</f>
        <v>011-527-04</v>
      </c>
      <c r="B887" t="s">
        <v>4655</v>
      </c>
      <c r="C887" t="s">
        <v>402</v>
      </c>
      <c r="D887" s="1">
        <v>40234</v>
      </c>
      <c r="E887" s="2">
        <v>420000</v>
      </c>
      <c r="F887" t="s">
        <v>4567</v>
      </c>
      <c r="G887" s="17" t="str">
        <f>HYPERLINK("https://www.washoecounty.gov/assessor/cama/?command=sales&amp;parid=01152704","3852802")</f>
        <v>3852802</v>
      </c>
      <c r="H887" t="s">
        <v>419</v>
      </c>
      <c r="I887">
        <v>2006</v>
      </c>
      <c r="J887">
        <v>2006</v>
      </c>
      <c r="K887" t="s">
        <v>1824</v>
      </c>
      <c r="L887" t="s">
        <v>420</v>
      </c>
      <c r="M887" s="2">
        <v>1458</v>
      </c>
      <c r="N887" t="s">
        <v>4580</v>
      </c>
      <c r="O887">
        <v>0</v>
      </c>
      <c r="P887">
        <v>0</v>
      </c>
      <c r="Q887">
        <v>0</v>
      </c>
      <c r="R887" t="s">
        <v>4581</v>
      </c>
      <c r="S887" t="s">
        <v>421</v>
      </c>
      <c r="T887" t="s">
        <v>4655</v>
      </c>
      <c r="U887" t="s">
        <v>4655</v>
      </c>
      <c r="V887" s="2">
        <v>0</v>
      </c>
      <c r="W887" t="s">
        <v>4655</v>
      </c>
      <c r="X887" s="2">
        <v>0</v>
      </c>
      <c r="Y887">
        <v>21</v>
      </c>
      <c r="Z887" t="s">
        <v>3047</v>
      </c>
      <c r="AA887" s="3">
        <v>4.5224975794553798E-2</v>
      </c>
      <c r="AB887" t="s">
        <v>9288</v>
      </c>
      <c r="AC887" t="s">
        <v>4562</v>
      </c>
      <c r="AD887" t="s">
        <v>9289</v>
      </c>
      <c r="AE887" t="s">
        <v>4655</v>
      </c>
      <c r="AF887" t="s">
        <v>4563</v>
      </c>
      <c r="AG887" t="s">
        <v>4564</v>
      </c>
      <c r="AH887">
        <v>89501</v>
      </c>
      <c r="AI887" t="s">
        <v>9286</v>
      </c>
      <c r="AJ887" t="s">
        <v>422</v>
      </c>
      <c r="AK887" t="s">
        <v>9290</v>
      </c>
      <c r="AL887" s="13" t="s">
        <v>3421</v>
      </c>
      <c r="AM887">
        <v>1</v>
      </c>
      <c r="AN887" s="15" t="s">
        <v>423</v>
      </c>
    </row>
    <row r="888" spans="1:40" x14ac:dyDescent="0.3">
      <c r="A888" s="10" t="str">
        <f>HYPERLINK("http://www.washoecounty.gov/assessor/cama/?parid=011-527-09&amp;CardNumber=1","011-527-09")</f>
        <v>011-527-09</v>
      </c>
      <c r="B888" t="s">
        <v>4655</v>
      </c>
      <c r="C888" t="s">
        <v>402</v>
      </c>
      <c r="D888" s="1">
        <v>40490</v>
      </c>
      <c r="E888" s="2">
        <v>222000</v>
      </c>
      <c r="F888" t="s">
        <v>4567</v>
      </c>
      <c r="G888" s="17" t="str">
        <f>HYPERLINK("https://www.washoecounty.gov/assessor/cama/?command=sales&amp;parid=01152709","3940760")</f>
        <v>3940760</v>
      </c>
      <c r="H888" t="s">
        <v>419</v>
      </c>
      <c r="I888">
        <v>2006</v>
      </c>
      <c r="J888">
        <v>2006</v>
      </c>
      <c r="K888" t="s">
        <v>1824</v>
      </c>
      <c r="L888" t="s">
        <v>420</v>
      </c>
      <c r="M888" s="2">
        <v>882</v>
      </c>
      <c r="N888" t="s">
        <v>4580</v>
      </c>
      <c r="O888">
        <v>0</v>
      </c>
      <c r="P888">
        <v>0</v>
      </c>
      <c r="Q888">
        <v>0</v>
      </c>
      <c r="R888" t="s">
        <v>4581</v>
      </c>
      <c r="S888" t="s">
        <v>421</v>
      </c>
      <c r="T888" t="s">
        <v>4655</v>
      </c>
      <c r="U888" t="s">
        <v>4655</v>
      </c>
      <c r="V888" s="2">
        <v>0</v>
      </c>
      <c r="W888" t="s">
        <v>4655</v>
      </c>
      <c r="X888" s="2">
        <v>0</v>
      </c>
      <c r="Y888">
        <v>21</v>
      </c>
      <c r="Z888" t="s">
        <v>3047</v>
      </c>
      <c r="AA888" s="3">
        <v>2.73415986448526E-2</v>
      </c>
      <c r="AB888" t="s">
        <v>9291</v>
      </c>
      <c r="AC888" t="s">
        <v>4562</v>
      </c>
      <c r="AD888" t="s">
        <v>9292</v>
      </c>
      <c r="AE888" t="s">
        <v>9293</v>
      </c>
      <c r="AF888" t="s">
        <v>1189</v>
      </c>
      <c r="AG888" t="s">
        <v>4564</v>
      </c>
      <c r="AH888" t="s">
        <v>1621</v>
      </c>
      <c r="AI888" t="s">
        <v>9294</v>
      </c>
      <c r="AJ888" t="s">
        <v>422</v>
      </c>
      <c r="AK888" t="s">
        <v>9295</v>
      </c>
      <c r="AL888" s="13" t="s">
        <v>3421</v>
      </c>
      <c r="AM888">
        <v>1</v>
      </c>
      <c r="AN888" s="15" t="s">
        <v>423</v>
      </c>
    </row>
    <row r="889" spans="1:40" x14ac:dyDescent="0.3">
      <c r="A889" s="10" t="str">
        <f>HYPERLINK("http://www.washoecounty.gov/assessor/cama/?parid=011-528-08&amp;CardNumber=1","011-528-08")</f>
        <v>011-528-08</v>
      </c>
      <c r="B889" t="s">
        <v>4655</v>
      </c>
      <c r="C889" t="s">
        <v>402</v>
      </c>
      <c r="D889" s="1">
        <v>40529</v>
      </c>
      <c r="E889" s="2">
        <v>150000</v>
      </c>
      <c r="F889" t="s">
        <v>4567</v>
      </c>
      <c r="G889" s="17" t="str">
        <f>HYPERLINK("https://www.washoecounty.gov/assessor/cama/?command=sales&amp;parid=01152808","3954690")</f>
        <v>3954690</v>
      </c>
      <c r="H889" t="s">
        <v>419</v>
      </c>
      <c r="I889">
        <v>2006</v>
      </c>
      <c r="J889">
        <v>2006</v>
      </c>
      <c r="K889" t="s">
        <v>1824</v>
      </c>
      <c r="L889" t="s">
        <v>420</v>
      </c>
      <c r="M889" s="2">
        <v>609</v>
      </c>
      <c r="N889" t="s">
        <v>4580</v>
      </c>
      <c r="O889">
        <v>0</v>
      </c>
      <c r="P889">
        <v>0</v>
      </c>
      <c r="Q889">
        <v>0</v>
      </c>
      <c r="R889" t="s">
        <v>4581</v>
      </c>
      <c r="S889" t="s">
        <v>421</v>
      </c>
      <c r="T889" t="s">
        <v>4655</v>
      </c>
      <c r="U889" t="s">
        <v>4655</v>
      </c>
      <c r="V889" s="2">
        <v>0</v>
      </c>
      <c r="W889" t="s">
        <v>4655</v>
      </c>
      <c r="X889" s="2">
        <v>0</v>
      </c>
      <c r="Y889">
        <v>21</v>
      </c>
      <c r="Z889" t="s">
        <v>3047</v>
      </c>
      <c r="AA889" s="3">
        <v>1.8870523199439E-2</v>
      </c>
      <c r="AB889" t="s">
        <v>9296</v>
      </c>
      <c r="AC889" t="s">
        <v>4575</v>
      </c>
      <c r="AD889" t="s">
        <v>9297</v>
      </c>
      <c r="AE889" t="s">
        <v>4655</v>
      </c>
      <c r="AF889" t="s">
        <v>9298</v>
      </c>
      <c r="AG889" t="s">
        <v>4584</v>
      </c>
      <c r="AH889">
        <v>96122</v>
      </c>
      <c r="AI889" t="s">
        <v>9299</v>
      </c>
      <c r="AJ889" t="s">
        <v>422</v>
      </c>
      <c r="AK889" t="s">
        <v>9300</v>
      </c>
      <c r="AL889" s="13" t="s">
        <v>3421</v>
      </c>
      <c r="AM889">
        <v>1</v>
      </c>
      <c r="AN889" s="15" t="s">
        <v>423</v>
      </c>
    </row>
    <row r="890" spans="1:40" x14ac:dyDescent="0.3">
      <c r="A890" s="10" t="str">
        <f>HYPERLINK("http://www.washoecounty.gov/assessor/cama/?parid=011-529-02&amp;CardNumber=1","011-529-02")</f>
        <v>011-529-02</v>
      </c>
      <c r="B890" t="s">
        <v>4655</v>
      </c>
      <c r="C890" t="s">
        <v>402</v>
      </c>
      <c r="D890" s="1">
        <v>40526</v>
      </c>
      <c r="E890" s="2">
        <v>265000</v>
      </c>
      <c r="F890" t="s">
        <v>4567</v>
      </c>
      <c r="G890" s="17" t="str">
        <f>HYPERLINK("https://www.washoecounty.gov/assessor/cama/?command=sales&amp;parid=01152902","3953301")</f>
        <v>3953301</v>
      </c>
      <c r="H890" t="s">
        <v>419</v>
      </c>
      <c r="I890">
        <v>2006</v>
      </c>
      <c r="J890">
        <v>2006</v>
      </c>
      <c r="K890" t="s">
        <v>1824</v>
      </c>
      <c r="L890" t="s">
        <v>420</v>
      </c>
      <c r="M890" s="2">
        <v>652</v>
      </c>
      <c r="N890" t="s">
        <v>4580</v>
      </c>
      <c r="O890">
        <v>0</v>
      </c>
      <c r="P890">
        <v>0</v>
      </c>
      <c r="Q890">
        <v>0</v>
      </c>
      <c r="R890" t="s">
        <v>4581</v>
      </c>
      <c r="S890" t="s">
        <v>421</v>
      </c>
      <c r="T890" t="s">
        <v>4655</v>
      </c>
      <c r="U890" t="s">
        <v>4655</v>
      </c>
      <c r="V890" s="2">
        <v>0</v>
      </c>
      <c r="W890" t="s">
        <v>4655</v>
      </c>
      <c r="X890" s="2">
        <v>0</v>
      </c>
      <c r="Y890">
        <v>21</v>
      </c>
      <c r="Z890" t="s">
        <v>3047</v>
      </c>
      <c r="AA890" s="3">
        <v>2.02249772846699E-2</v>
      </c>
      <c r="AB890" t="s">
        <v>9301</v>
      </c>
      <c r="AC890" t="s">
        <v>4562</v>
      </c>
      <c r="AD890" t="s">
        <v>9302</v>
      </c>
      <c r="AE890" t="s">
        <v>4655</v>
      </c>
      <c r="AF890" t="s">
        <v>4563</v>
      </c>
      <c r="AG890" t="s">
        <v>4564</v>
      </c>
      <c r="AH890">
        <v>89501</v>
      </c>
      <c r="AI890" t="s">
        <v>9303</v>
      </c>
      <c r="AJ890" t="s">
        <v>422</v>
      </c>
      <c r="AK890" t="s">
        <v>9304</v>
      </c>
      <c r="AL890" s="13" t="s">
        <v>3421</v>
      </c>
      <c r="AM890" s="14">
        <v>1</v>
      </c>
      <c r="AN890" s="15" t="s">
        <v>423</v>
      </c>
    </row>
    <row r="891" spans="1:40" x14ac:dyDescent="0.3">
      <c r="A891" s="10" t="str">
        <f>HYPERLINK("http://www.washoecounty.gov/assessor/cama/?parid=011-529-09&amp;CardNumber=1","011-529-09")</f>
        <v>011-529-09</v>
      </c>
      <c r="B891" t="s">
        <v>4655</v>
      </c>
      <c r="C891" t="s">
        <v>402</v>
      </c>
      <c r="D891" s="1">
        <v>40396</v>
      </c>
      <c r="E891" s="2">
        <v>200004</v>
      </c>
      <c r="F891" t="s">
        <v>4553</v>
      </c>
      <c r="G891" s="17" t="str">
        <f>HYPERLINK("https://www.washoecounty.gov/assessor/cama/?command=sales&amp;parid=01152909","3909350")</f>
        <v>3909350</v>
      </c>
      <c r="H891" t="s">
        <v>419</v>
      </c>
      <c r="I891">
        <v>2006</v>
      </c>
      <c r="J891">
        <v>2006</v>
      </c>
      <c r="K891" t="s">
        <v>1824</v>
      </c>
      <c r="L891" t="s">
        <v>420</v>
      </c>
      <c r="M891" s="2">
        <v>882</v>
      </c>
      <c r="N891" t="s">
        <v>4580</v>
      </c>
      <c r="O891">
        <v>0</v>
      </c>
      <c r="P891">
        <v>0</v>
      </c>
      <c r="Q891">
        <v>0</v>
      </c>
      <c r="R891" t="s">
        <v>4581</v>
      </c>
      <c r="S891" t="s">
        <v>421</v>
      </c>
      <c r="T891" t="s">
        <v>4655</v>
      </c>
      <c r="U891" t="s">
        <v>4655</v>
      </c>
      <c r="V891" s="2">
        <v>0</v>
      </c>
      <c r="W891" t="s">
        <v>4655</v>
      </c>
      <c r="X891" s="2">
        <v>0</v>
      </c>
      <c r="Y891">
        <v>21</v>
      </c>
      <c r="Z891" t="s">
        <v>3047</v>
      </c>
      <c r="AA891" s="3">
        <v>2.73415986448526E-2</v>
      </c>
      <c r="AB891" t="s">
        <v>9305</v>
      </c>
      <c r="AC891" t="s">
        <v>4562</v>
      </c>
      <c r="AD891" t="s">
        <v>9306</v>
      </c>
      <c r="AE891" t="s">
        <v>4655</v>
      </c>
      <c r="AF891" t="s">
        <v>1326</v>
      </c>
      <c r="AG891" t="s">
        <v>4584</v>
      </c>
      <c r="AH891" t="s">
        <v>9307</v>
      </c>
      <c r="AI891" t="s">
        <v>4903</v>
      </c>
      <c r="AJ891" t="s">
        <v>422</v>
      </c>
      <c r="AK891" t="s">
        <v>9308</v>
      </c>
      <c r="AL891" s="13" t="s">
        <v>3421</v>
      </c>
      <c r="AM891">
        <v>1</v>
      </c>
      <c r="AN891" s="15" t="s">
        <v>423</v>
      </c>
    </row>
    <row r="892" spans="1:40" x14ac:dyDescent="0.3">
      <c r="A892" s="10" t="str">
        <f>HYPERLINK("http://www.washoecounty.gov/assessor/cama/?parid=011-530-05&amp;CardNumber=1","011-530-05")</f>
        <v>011-530-05</v>
      </c>
      <c r="B892" t="s">
        <v>4655</v>
      </c>
      <c r="C892" t="s">
        <v>402</v>
      </c>
      <c r="D892" s="1">
        <v>40386</v>
      </c>
      <c r="E892" s="2">
        <v>132195</v>
      </c>
      <c r="F892" t="s">
        <v>4553</v>
      </c>
      <c r="G892" s="17" t="str">
        <f>HYPERLINK("https://www.washoecounty.gov/assessor/cama/?command=sales&amp;parid=01153005","3905232")</f>
        <v>3905232</v>
      </c>
      <c r="H892" t="s">
        <v>419</v>
      </c>
      <c r="I892">
        <v>2006</v>
      </c>
      <c r="J892">
        <v>2006</v>
      </c>
      <c r="K892" t="s">
        <v>1824</v>
      </c>
      <c r="L892" t="s">
        <v>420</v>
      </c>
      <c r="M892" s="2">
        <v>647</v>
      </c>
      <c r="N892" t="s">
        <v>4580</v>
      </c>
      <c r="O892">
        <v>0</v>
      </c>
      <c r="P892">
        <v>0</v>
      </c>
      <c r="Q892">
        <v>0</v>
      </c>
      <c r="R892" t="s">
        <v>4581</v>
      </c>
      <c r="S892" t="s">
        <v>421</v>
      </c>
      <c r="T892" t="s">
        <v>4655</v>
      </c>
      <c r="U892" t="s">
        <v>4655</v>
      </c>
      <c r="V892" s="2">
        <v>0</v>
      </c>
      <c r="W892" t="s">
        <v>4655</v>
      </c>
      <c r="X892" s="2">
        <v>0</v>
      </c>
      <c r="Y892">
        <v>21</v>
      </c>
      <c r="Z892" t="s">
        <v>3047</v>
      </c>
      <c r="AA892" s="3">
        <v>2.00642794370651E-2</v>
      </c>
      <c r="AB892" t="s">
        <v>665</v>
      </c>
      <c r="AC892" t="s">
        <v>4562</v>
      </c>
      <c r="AD892" t="s">
        <v>9309</v>
      </c>
      <c r="AE892" t="s">
        <v>4655</v>
      </c>
      <c r="AF892" t="s">
        <v>4563</v>
      </c>
      <c r="AG892" t="s">
        <v>4564</v>
      </c>
      <c r="AH892">
        <v>89501</v>
      </c>
      <c r="AI892" t="s">
        <v>4903</v>
      </c>
      <c r="AJ892" t="s">
        <v>422</v>
      </c>
      <c r="AK892" t="s">
        <v>342</v>
      </c>
      <c r="AL892" s="13" t="s">
        <v>3421</v>
      </c>
      <c r="AM892">
        <v>1</v>
      </c>
      <c r="AN892" s="15" t="s">
        <v>423</v>
      </c>
    </row>
    <row r="893" spans="1:40" x14ac:dyDescent="0.3">
      <c r="A893" s="10" t="str">
        <f>HYPERLINK("http://www.washoecounty.gov/assessor/cama/?parid=011-532-10&amp;CardNumber=1","011-532-10")</f>
        <v>011-532-10</v>
      </c>
      <c r="B893" t="s">
        <v>4655</v>
      </c>
      <c r="C893" t="s">
        <v>402</v>
      </c>
      <c r="D893" s="1">
        <v>40296</v>
      </c>
      <c r="E893" s="2">
        <v>380000</v>
      </c>
      <c r="F893" t="s">
        <v>4567</v>
      </c>
      <c r="G893" s="17" t="str">
        <f>HYPERLINK("https://www.washoecounty.gov/assessor/cama/?command=sales&amp;parid=01153210","3875804")</f>
        <v>3875804</v>
      </c>
      <c r="H893" t="s">
        <v>419</v>
      </c>
      <c r="I893">
        <v>2006</v>
      </c>
      <c r="J893">
        <v>2006</v>
      </c>
      <c r="K893" t="s">
        <v>1824</v>
      </c>
      <c r="L893" t="s">
        <v>420</v>
      </c>
      <c r="M893" s="2">
        <v>1071</v>
      </c>
      <c r="N893" t="s">
        <v>4580</v>
      </c>
      <c r="O893">
        <v>0</v>
      </c>
      <c r="P893">
        <v>0</v>
      </c>
      <c r="Q893">
        <v>0</v>
      </c>
      <c r="R893" t="s">
        <v>4581</v>
      </c>
      <c r="S893" t="s">
        <v>421</v>
      </c>
      <c r="T893" t="s">
        <v>4655</v>
      </c>
      <c r="U893" t="s">
        <v>4655</v>
      </c>
      <c r="V893" s="2">
        <v>0</v>
      </c>
      <c r="W893" t="s">
        <v>4655</v>
      </c>
      <c r="X893" s="2">
        <v>0</v>
      </c>
      <c r="Y893">
        <v>21</v>
      </c>
      <c r="Z893" t="s">
        <v>3047</v>
      </c>
      <c r="AA893" s="3">
        <v>3.3218547701835598E-2</v>
      </c>
      <c r="AB893" t="s">
        <v>9310</v>
      </c>
      <c r="AC893" t="s">
        <v>4562</v>
      </c>
      <c r="AD893" t="s">
        <v>9311</v>
      </c>
      <c r="AE893" t="s">
        <v>4655</v>
      </c>
      <c r="AF893" t="s">
        <v>4563</v>
      </c>
      <c r="AG893" t="s">
        <v>4564</v>
      </c>
      <c r="AH893">
        <v>89501</v>
      </c>
      <c r="AI893" t="s">
        <v>9286</v>
      </c>
      <c r="AJ893" t="s">
        <v>422</v>
      </c>
      <c r="AK893" t="s">
        <v>9312</v>
      </c>
      <c r="AL893" s="13" t="s">
        <v>3421</v>
      </c>
      <c r="AM893">
        <v>1</v>
      </c>
      <c r="AN893" s="15" t="s">
        <v>423</v>
      </c>
    </row>
    <row r="894" spans="1:40" x14ac:dyDescent="0.3">
      <c r="A894" s="10" t="str">
        <f>HYPERLINK("http://www.washoecounty.gov/assessor/cama/?parid=011-546-21&amp;CardNumber=1","011-546-21")</f>
        <v>011-546-21</v>
      </c>
      <c r="B894" t="s">
        <v>4655</v>
      </c>
      <c r="C894" t="s">
        <v>1822</v>
      </c>
      <c r="D894" s="1">
        <v>40305</v>
      </c>
      <c r="E894" s="2">
        <v>155782</v>
      </c>
      <c r="F894" t="s">
        <v>4553</v>
      </c>
      <c r="G894" s="17" t="str">
        <f>HYPERLINK("https://www.washoecounty.gov/assessor/cama/?command=sales&amp;parid=01154621","3879471")</f>
        <v>3879471</v>
      </c>
      <c r="H894" t="s">
        <v>1457</v>
      </c>
      <c r="I894">
        <v>1978</v>
      </c>
      <c r="J894">
        <v>2003</v>
      </c>
      <c r="K894" t="s">
        <v>1824</v>
      </c>
      <c r="L894" t="s">
        <v>1825</v>
      </c>
      <c r="M894" s="2">
        <v>1348</v>
      </c>
      <c r="N894" t="s">
        <v>3531</v>
      </c>
      <c r="O894">
        <v>2</v>
      </c>
      <c r="P894">
        <v>2</v>
      </c>
      <c r="Q894">
        <v>0</v>
      </c>
      <c r="R894" t="s">
        <v>1826</v>
      </c>
      <c r="S894" t="s">
        <v>4582</v>
      </c>
      <c r="T894" t="s">
        <v>4655</v>
      </c>
      <c r="U894" t="s">
        <v>4655</v>
      </c>
      <c r="V894" s="2">
        <v>0</v>
      </c>
      <c r="W894" t="s">
        <v>4655</v>
      </c>
      <c r="X894" s="2">
        <v>0</v>
      </c>
      <c r="Y894">
        <v>21</v>
      </c>
      <c r="Z894" t="s">
        <v>3047</v>
      </c>
      <c r="AA894" s="3">
        <v>3.09687778353691E-2</v>
      </c>
      <c r="AB894" t="s">
        <v>9313</v>
      </c>
      <c r="AC894" t="s">
        <v>4562</v>
      </c>
      <c r="AD894" t="s">
        <v>9314</v>
      </c>
      <c r="AE894" t="s">
        <v>4655</v>
      </c>
      <c r="AF894" t="s">
        <v>4563</v>
      </c>
      <c r="AG894" t="s">
        <v>4564</v>
      </c>
      <c r="AH894">
        <v>89501</v>
      </c>
      <c r="AI894" t="s">
        <v>9315</v>
      </c>
      <c r="AJ894" t="s">
        <v>2658</v>
      </c>
      <c r="AK894" t="s">
        <v>9316</v>
      </c>
      <c r="AL894" s="13" t="s">
        <v>3421</v>
      </c>
      <c r="AM894" s="14">
        <v>1</v>
      </c>
      <c r="AN894" s="15" t="s">
        <v>1847</v>
      </c>
    </row>
    <row r="895" spans="1:40" x14ac:dyDescent="0.3">
      <c r="A895" s="10" t="str">
        <f>HYPERLINK("http://www.washoecounty.gov/assessor/cama/?parid=011-550-07&amp;CardNumber=1","011-550-07")</f>
        <v>011-550-07</v>
      </c>
      <c r="B895" t="s">
        <v>4655</v>
      </c>
      <c r="C895" t="s">
        <v>1822</v>
      </c>
      <c r="D895" s="1">
        <v>40323</v>
      </c>
      <c r="E895" s="2">
        <v>84150</v>
      </c>
      <c r="F895" t="s">
        <v>4553</v>
      </c>
      <c r="G895" s="17" t="str">
        <f>HYPERLINK("https://www.washoecounty.gov/assessor/cama/?command=sales&amp;parid=01155007","3884956")</f>
        <v>3884956</v>
      </c>
      <c r="H895" t="s">
        <v>4527</v>
      </c>
      <c r="I895">
        <v>1978</v>
      </c>
      <c r="J895">
        <v>2003</v>
      </c>
      <c r="K895" t="s">
        <v>1824</v>
      </c>
      <c r="L895" t="s">
        <v>1825</v>
      </c>
      <c r="M895" s="2">
        <v>805</v>
      </c>
      <c r="N895" t="s">
        <v>3531</v>
      </c>
      <c r="O895">
        <v>1</v>
      </c>
      <c r="P895">
        <v>1</v>
      </c>
      <c r="Q895">
        <v>0</v>
      </c>
      <c r="R895" t="s">
        <v>1826</v>
      </c>
      <c r="S895" t="s">
        <v>4582</v>
      </c>
      <c r="T895" t="s">
        <v>4655</v>
      </c>
      <c r="U895" t="s">
        <v>4655</v>
      </c>
      <c r="V895" s="2">
        <v>0</v>
      </c>
      <c r="W895" t="s">
        <v>4655</v>
      </c>
      <c r="X895" s="2">
        <v>0</v>
      </c>
      <c r="Y895">
        <v>21</v>
      </c>
      <c r="Z895" t="s">
        <v>3047</v>
      </c>
      <c r="AA895" s="3">
        <v>1.8526170402765298E-2</v>
      </c>
      <c r="AB895" t="s">
        <v>9317</v>
      </c>
      <c r="AC895" t="s">
        <v>4562</v>
      </c>
      <c r="AD895" t="s">
        <v>9318</v>
      </c>
      <c r="AE895" t="s">
        <v>4655</v>
      </c>
      <c r="AF895" t="s">
        <v>4528</v>
      </c>
      <c r="AG895" t="s">
        <v>4584</v>
      </c>
      <c r="AH895" t="s">
        <v>4529</v>
      </c>
      <c r="AI895" t="s">
        <v>2657</v>
      </c>
      <c r="AJ895" t="s">
        <v>4530</v>
      </c>
      <c r="AK895" t="s">
        <v>9319</v>
      </c>
      <c r="AL895" s="13" t="s">
        <v>3421</v>
      </c>
      <c r="AM895" s="14">
        <v>1</v>
      </c>
      <c r="AN895" s="15" t="s">
        <v>1847</v>
      </c>
    </row>
    <row r="896" spans="1:40" x14ac:dyDescent="0.3">
      <c r="A896" s="10" t="str">
        <f>HYPERLINK("http://www.washoecounty.gov/assessor/cama/?parid=011-551-04&amp;CardNumber=1","011-551-04")</f>
        <v>011-551-04</v>
      </c>
      <c r="B896" t="s">
        <v>4655</v>
      </c>
      <c r="C896" t="s">
        <v>1822</v>
      </c>
      <c r="D896" s="1">
        <v>40452</v>
      </c>
      <c r="E896" s="2">
        <v>166950</v>
      </c>
      <c r="F896" t="s">
        <v>4553</v>
      </c>
      <c r="G896" s="17" t="str">
        <f>HYPERLINK("https://www.washoecounty.gov/assessor/cama/?command=sales&amp;parid=01155104","3928611")</f>
        <v>3928611</v>
      </c>
      <c r="H896" t="s">
        <v>1823</v>
      </c>
      <c r="I896">
        <v>1978</v>
      </c>
      <c r="J896">
        <v>2003</v>
      </c>
      <c r="K896" t="s">
        <v>1824</v>
      </c>
      <c r="L896" t="s">
        <v>1825</v>
      </c>
      <c r="M896" s="2">
        <v>1261</v>
      </c>
      <c r="N896" t="s">
        <v>3531</v>
      </c>
      <c r="O896">
        <v>2</v>
      </c>
      <c r="P896">
        <v>2</v>
      </c>
      <c r="Q896">
        <v>0</v>
      </c>
      <c r="R896" t="s">
        <v>1826</v>
      </c>
      <c r="S896" t="s">
        <v>4582</v>
      </c>
      <c r="T896" t="s">
        <v>4655</v>
      </c>
      <c r="U896" t="s">
        <v>4655</v>
      </c>
      <c r="V896" s="2">
        <v>0</v>
      </c>
      <c r="W896" t="s">
        <v>4655</v>
      </c>
      <c r="X896" s="2">
        <v>0</v>
      </c>
      <c r="Y896">
        <v>21</v>
      </c>
      <c r="Z896" t="s">
        <v>3047</v>
      </c>
      <c r="AA896" s="3">
        <v>2.8971534222364401E-2</v>
      </c>
      <c r="AB896" t="s">
        <v>9320</v>
      </c>
      <c r="AC896" t="s">
        <v>4575</v>
      </c>
      <c r="AD896" t="s">
        <v>9321</v>
      </c>
      <c r="AE896" t="s">
        <v>4655</v>
      </c>
      <c r="AF896" t="s">
        <v>4563</v>
      </c>
      <c r="AG896" t="s">
        <v>4564</v>
      </c>
      <c r="AH896">
        <v>89501</v>
      </c>
      <c r="AI896" t="s">
        <v>2657</v>
      </c>
      <c r="AJ896" t="s">
        <v>1846</v>
      </c>
      <c r="AK896" t="s">
        <v>9322</v>
      </c>
      <c r="AL896" s="13" t="s">
        <v>3421</v>
      </c>
      <c r="AM896" s="14">
        <v>1</v>
      </c>
      <c r="AN896" s="15" t="s">
        <v>1847</v>
      </c>
    </row>
    <row r="897" spans="1:40" x14ac:dyDescent="0.3">
      <c r="A897" s="10" t="str">
        <f>HYPERLINK("http://www.washoecounty.gov/assessor/cama/?parid=011-551-19&amp;CardNumber=1","011-551-19")</f>
        <v>011-551-19</v>
      </c>
      <c r="B897" t="s">
        <v>4655</v>
      </c>
      <c r="C897" t="s">
        <v>1822</v>
      </c>
      <c r="D897" s="1">
        <v>40422</v>
      </c>
      <c r="E897" s="2">
        <v>181218</v>
      </c>
      <c r="F897" t="s">
        <v>4553</v>
      </c>
      <c r="G897" s="17" t="str">
        <f>HYPERLINK("https://www.washoecounty.gov/assessor/cama/?command=sales&amp;parid=01155119","3917735")</f>
        <v>3917735</v>
      </c>
      <c r="H897" t="s">
        <v>1823</v>
      </c>
      <c r="I897">
        <v>1978</v>
      </c>
      <c r="J897">
        <v>2003</v>
      </c>
      <c r="K897" t="s">
        <v>1824</v>
      </c>
      <c r="L897" t="s">
        <v>1825</v>
      </c>
      <c r="M897" s="2">
        <v>1523</v>
      </c>
      <c r="N897" t="s">
        <v>3531</v>
      </c>
      <c r="O897">
        <v>2</v>
      </c>
      <c r="P897">
        <v>2</v>
      </c>
      <c r="Q897">
        <v>0</v>
      </c>
      <c r="R897" t="s">
        <v>1826</v>
      </c>
      <c r="S897" t="s">
        <v>4582</v>
      </c>
      <c r="T897" t="s">
        <v>4655</v>
      </c>
      <c r="U897" t="s">
        <v>4655</v>
      </c>
      <c r="V897" s="2">
        <v>0</v>
      </c>
      <c r="W897" t="s">
        <v>4655</v>
      </c>
      <c r="X897" s="2">
        <v>0</v>
      </c>
      <c r="Y897">
        <v>21</v>
      </c>
      <c r="Z897" t="s">
        <v>3047</v>
      </c>
      <c r="AA897" s="3">
        <v>3.49173545837402E-2</v>
      </c>
      <c r="AB897" t="s">
        <v>8</v>
      </c>
      <c r="AC897" t="s">
        <v>4575</v>
      </c>
      <c r="AD897" t="s">
        <v>2416</v>
      </c>
      <c r="AE897" t="s">
        <v>4655</v>
      </c>
      <c r="AF897" t="s">
        <v>3680</v>
      </c>
      <c r="AG897" t="s">
        <v>4584</v>
      </c>
      <c r="AH897">
        <v>95032</v>
      </c>
      <c r="AI897" t="s">
        <v>9323</v>
      </c>
      <c r="AJ897" t="s">
        <v>1846</v>
      </c>
      <c r="AK897" t="s">
        <v>9324</v>
      </c>
      <c r="AL897" s="13" t="s">
        <v>3421</v>
      </c>
      <c r="AM897">
        <v>1</v>
      </c>
      <c r="AN897" s="15" t="s">
        <v>1847</v>
      </c>
    </row>
    <row r="898" spans="1:40" x14ac:dyDescent="0.3">
      <c r="A898" s="10" t="str">
        <f>HYPERLINK("http://www.washoecounty.gov/assessor/cama/?parid=011-552-04&amp;CardNumber=1","011-552-04")</f>
        <v>011-552-04</v>
      </c>
      <c r="B898" t="s">
        <v>4655</v>
      </c>
      <c r="C898" t="s">
        <v>1822</v>
      </c>
      <c r="D898" s="1">
        <v>40366</v>
      </c>
      <c r="E898" s="2">
        <v>163816</v>
      </c>
      <c r="F898" t="s">
        <v>4553</v>
      </c>
      <c r="G898" s="17" t="str">
        <f>HYPERLINK("https://www.washoecounty.gov/assessor/cama/?command=sales&amp;parid=01155204","3898912")</f>
        <v>3898912</v>
      </c>
      <c r="H898" t="s">
        <v>1823</v>
      </c>
      <c r="I898">
        <v>1978</v>
      </c>
      <c r="J898">
        <v>2003</v>
      </c>
      <c r="K898" t="s">
        <v>1824</v>
      </c>
      <c r="L898" t="s">
        <v>1825</v>
      </c>
      <c r="M898" s="2">
        <v>1273</v>
      </c>
      <c r="N898" t="s">
        <v>3531</v>
      </c>
      <c r="O898">
        <v>2</v>
      </c>
      <c r="P898">
        <v>2</v>
      </c>
      <c r="Q898">
        <v>0</v>
      </c>
      <c r="R898" t="s">
        <v>1826</v>
      </c>
      <c r="S898" t="s">
        <v>4582</v>
      </c>
      <c r="T898" t="s">
        <v>4655</v>
      </c>
      <c r="U898" t="s">
        <v>4655</v>
      </c>
      <c r="V898" s="2">
        <v>0</v>
      </c>
      <c r="W898" t="s">
        <v>4655</v>
      </c>
      <c r="X898" s="2">
        <v>0</v>
      </c>
      <c r="Y898">
        <v>21</v>
      </c>
      <c r="Z898" t="s">
        <v>3047</v>
      </c>
      <c r="AA898" s="3">
        <v>2.9201101511716801E-2</v>
      </c>
      <c r="AB898" t="s">
        <v>9325</v>
      </c>
      <c r="AC898" t="s">
        <v>4575</v>
      </c>
      <c r="AD898" t="s">
        <v>9326</v>
      </c>
      <c r="AE898" t="s">
        <v>4655</v>
      </c>
      <c r="AF898" t="s">
        <v>3352</v>
      </c>
      <c r="AG898" t="s">
        <v>4564</v>
      </c>
      <c r="AH898" t="s">
        <v>3353</v>
      </c>
      <c r="AI898" t="s">
        <v>2657</v>
      </c>
      <c r="AJ898" t="s">
        <v>1846</v>
      </c>
      <c r="AK898" t="s">
        <v>9327</v>
      </c>
      <c r="AL898" s="13" t="s">
        <v>3421</v>
      </c>
      <c r="AM898">
        <v>1</v>
      </c>
      <c r="AN898" s="15" t="s">
        <v>1847</v>
      </c>
    </row>
    <row r="899" spans="1:40" x14ac:dyDescent="0.3">
      <c r="A899" s="10" t="str">
        <f>HYPERLINK("http://www.washoecounty.gov/assessor/cama/?parid=011-553-09&amp;CardNumber=1","011-553-09")</f>
        <v>011-553-09</v>
      </c>
      <c r="B899" t="s">
        <v>4655</v>
      </c>
      <c r="C899" t="s">
        <v>1822</v>
      </c>
      <c r="D899" s="1">
        <v>40319</v>
      </c>
      <c r="E899" s="2">
        <v>89043</v>
      </c>
      <c r="F899" t="s">
        <v>4553</v>
      </c>
      <c r="G899" s="17" t="str">
        <f>HYPERLINK("https://www.washoecounty.gov/assessor/cama/?command=sales&amp;parid=01155309","3883813")</f>
        <v>3883813</v>
      </c>
      <c r="H899" t="s">
        <v>1823</v>
      </c>
      <c r="I899">
        <v>1978</v>
      </c>
      <c r="J899">
        <v>2003</v>
      </c>
      <c r="K899" t="s">
        <v>1824</v>
      </c>
      <c r="L899" t="s">
        <v>1825</v>
      </c>
      <c r="M899" s="2">
        <v>805</v>
      </c>
      <c r="N899" t="s">
        <v>3531</v>
      </c>
      <c r="O899">
        <v>1</v>
      </c>
      <c r="P899">
        <v>1</v>
      </c>
      <c r="Q899">
        <v>0</v>
      </c>
      <c r="R899" t="s">
        <v>1826</v>
      </c>
      <c r="S899" t="s">
        <v>4582</v>
      </c>
      <c r="T899" t="s">
        <v>4655</v>
      </c>
      <c r="U899" t="s">
        <v>4655</v>
      </c>
      <c r="V899" s="2">
        <v>0</v>
      </c>
      <c r="W899" t="s">
        <v>4655</v>
      </c>
      <c r="X899" s="2">
        <v>0</v>
      </c>
      <c r="Y899">
        <v>21</v>
      </c>
      <c r="Z899" t="s">
        <v>3047</v>
      </c>
      <c r="AA899" s="3">
        <v>1.8503213301300999E-2</v>
      </c>
      <c r="AB899" t="s">
        <v>9328</v>
      </c>
      <c r="AC899" t="s">
        <v>4562</v>
      </c>
      <c r="AD899" t="s">
        <v>9329</v>
      </c>
      <c r="AE899" t="s">
        <v>4655</v>
      </c>
      <c r="AF899" t="s">
        <v>4563</v>
      </c>
      <c r="AG899" t="s">
        <v>4564</v>
      </c>
      <c r="AH899">
        <v>89501</v>
      </c>
      <c r="AI899" t="s">
        <v>2657</v>
      </c>
      <c r="AJ899" t="s">
        <v>1846</v>
      </c>
      <c r="AK899" t="s">
        <v>9330</v>
      </c>
      <c r="AL899" s="13" t="s">
        <v>3421</v>
      </c>
      <c r="AM899">
        <v>1</v>
      </c>
      <c r="AN899" s="15" t="s">
        <v>1847</v>
      </c>
    </row>
    <row r="900" spans="1:40" x14ac:dyDescent="0.3">
      <c r="A900" s="10" t="str">
        <f>HYPERLINK("http://www.washoecounty.gov/assessor/cama/?parid=011-554-02&amp;CardNumber=1","011-554-02")</f>
        <v>011-554-02</v>
      </c>
      <c r="B900" t="s">
        <v>4655</v>
      </c>
      <c r="C900" t="s">
        <v>1822</v>
      </c>
      <c r="D900" s="1">
        <v>40403</v>
      </c>
      <c r="E900" s="2">
        <v>83914</v>
      </c>
      <c r="F900" t="s">
        <v>4553</v>
      </c>
      <c r="G900" s="17" t="str">
        <f>HYPERLINK("https://www.washoecounty.gov/assessor/cama/?command=sales&amp;parid=01155402","3911722")</f>
        <v>3911722</v>
      </c>
      <c r="H900" t="s">
        <v>1823</v>
      </c>
      <c r="I900">
        <v>1978</v>
      </c>
      <c r="J900">
        <v>2003</v>
      </c>
      <c r="K900" t="s">
        <v>1824</v>
      </c>
      <c r="L900" t="s">
        <v>1825</v>
      </c>
      <c r="M900" s="2">
        <v>587</v>
      </c>
      <c r="N900" t="s">
        <v>3531</v>
      </c>
      <c r="O900">
        <v>1</v>
      </c>
      <c r="P900">
        <v>1</v>
      </c>
      <c r="Q900">
        <v>0</v>
      </c>
      <c r="R900" t="s">
        <v>1826</v>
      </c>
      <c r="S900" t="s">
        <v>4582</v>
      </c>
      <c r="T900" t="s">
        <v>4655</v>
      </c>
      <c r="U900" t="s">
        <v>4655</v>
      </c>
      <c r="V900" s="2">
        <v>0</v>
      </c>
      <c r="W900" t="s">
        <v>4655</v>
      </c>
      <c r="X900" s="2">
        <v>0</v>
      </c>
      <c r="Y900">
        <v>21</v>
      </c>
      <c r="Z900" t="s">
        <v>3047</v>
      </c>
      <c r="AA900" s="3">
        <v>1.3521579094231099E-2</v>
      </c>
      <c r="AB900" t="s">
        <v>4467</v>
      </c>
      <c r="AC900" t="s">
        <v>4562</v>
      </c>
      <c r="AD900" t="s">
        <v>4887</v>
      </c>
      <c r="AE900" t="s">
        <v>4655</v>
      </c>
      <c r="AF900" t="s">
        <v>3660</v>
      </c>
      <c r="AG900" t="s">
        <v>4584</v>
      </c>
      <c r="AH900" t="s">
        <v>3307</v>
      </c>
      <c r="AI900" t="s">
        <v>2657</v>
      </c>
      <c r="AJ900" t="s">
        <v>1846</v>
      </c>
      <c r="AK900" t="s">
        <v>9331</v>
      </c>
      <c r="AL900" s="13" t="s">
        <v>3421</v>
      </c>
      <c r="AM900" s="14">
        <v>1</v>
      </c>
      <c r="AN900" s="15" t="s">
        <v>1847</v>
      </c>
    </row>
    <row r="901" spans="1:40" x14ac:dyDescent="0.3">
      <c r="A901" s="10" t="str">
        <f>HYPERLINK("http://www.washoecounty.gov/assessor/cama/?parid=011-554-04&amp;CardNumber=1","011-554-04")</f>
        <v>011-554-04</v>
      </c>
      <c r="B901" t="s">
        <v>4655</v>
      </c>
      <c r="C901" t="s">
        <v>1822</v>
      </c>
      <c r="D901" s="1">
        <v>40347</v>
      </c>
      <c r="E901" s="2">
        <v>162088</v>
      </c>
      <c r="F901" t="s">
        <v>4553</v>
      </c>
      <c r="G901" s="17" t="str">
        <f>HYPERLINK("https://www.washoecounty.gov/assessor/cama/?command=sales&amp;parid=01155404","3893213")</f>
        <v>3893213</v>
      </c>
      <c r="H901" t="s">
        <v>1823</v>
      </c>
      <c r="I901">
        <v>1978</v>
      </c>
      <c r="J901">
        <v>2003</v>
      </c>
      <c r="K901" t="s">
        <v>1824</v>
      </c>
      <c r="L901" t="s">
        <v>1825</v>
      </c>
      <c r="M901" s="2">
        <v>1267</v>
      </c>
      <c r="N901" t="s">
        <v>3531</v>
      </c>
      <c r="O901">
        <v>2</v>
      </c>
      <c r="P901">
        <v>2</v>
      </c>
      <c r="Q901">
        <v>0</v>
      </c>
      <c r="R901" t="s">
        <v>1826</v>
      </c>
      <c r="S901" t="s">
        <v>4582</v>
      </c>
      <c r="T901" t="s">
        <v>4655</v>
      </c>
      <c r="U901" t="s">
        <v>4655</v>
      </c>
      <c r="V901" s="2">
        <v>0</v>
      </c>
      <c r="W901" t="s">
        <v>4655</v>
      </c>
      <c r="X901" s="2">
        <v>0</v>
      </c>
      <c r="Y901">
        <v>21</v>
      </c>
      <c r="Z901" t="s">
        <v>3047</v>
      </c>
      <c r="AA901" s="3">
        <v>2.9017446562647799E-2</v>
      </c>
      <c r="AB901" t="s">
        <v>4467</v>
      </c>
      <c r="AC901" t="s">
        <v>4562</v>
      </c>
      <c r="AD901" t="s">
        <v>4887</v>
      </c>
      <c r="AE901" t="s">
        <v>4655</v>
      </c>
      <c r="AF901" t="s">
        <v>3660</v>
      </c>
      <c r="AG901" t="s">
        <v>4584</v>
      </c>
      <c r="AH901" t="s">
        <v>3307</v>
      </c>
      <c r="AI901" t="s">
        <v>2657</v>
      </c>
      <c r="AJ901" t="s">
        <v>1846</v>
      </c>
      <c r="AK901" t="s">
        <v>9332</v>
      </c>
      <c r="AL901" s="13" t="s">
        <v>3421</v>
      </c>
      <c r="AM901">
        <v>1</v>
      </c>
      <c r="AN901" s="15" t="s">
        <v>1847</v>
      </c>
    </row>
    <row r="902" spans="1:40" x14ac:dyDescent="0.3">
      <c r="A902" s="10" t="str">
        <f>HYPERLINK("http://www.washoecounty.gov/assessor/cama/?parid=011-554-05&amp;CardNumber=1","011-554-05")</f>
        <v>011-554-05</v>
      </c>
      <c r="B902" t="s">
        <v>4655</v>
      </c>
      <c r="C902" t="s">
        <v>1822</v>
      </c>
      <c r="D902" s="1">
        <v>40374</v>
      </c>
      <c r="E902" s="2">
        <v>126286</v>
      </c>
      <c r="F902" t="s">
        <v>4553</v>
      </c>
      <c r="G902" s="17" t="str">
        <f>HYPERLINK("https://www.washoecounty.gov/assessor/cama/?command=sales&amp;parid=01155405","3901850")</f>
        <v>3901850</v>
      </c>
      <c r="H902" t="s">
        <v>1823</v>
      </c>
      <c r="I902">
        <v>1978</v>
      </c>
      <c r="J902">
        <v>2003</v>
      </c>
      <c r="K902" t="s">
        <v>1824</v>
      </c>
      <c r="L902" t="s">
        <v>1825</v>
      </c>
      <c r="M902" s="2">
        <v>1086</v>
      </c>
      <c r="N902" t="s">
        <v>3531</v>
      </c>
      <c r="O902">
        <v>1</v>
      </c>
      <c r="P902">
        <v>1</v>
      </c>
      <c r="Q902">
        <v>0</v>
      </c>
      <c r="R902" t="s">
        <v>1826</v>
      </c>
      <c r="S902" t="s">
        <v>4582</v>
      </c>
      <c r="T902" t="s">
        <v>4655</v>
      </c>
      <c r="U902" t="s">
        <v>4655</v>
      </c>
      <c r="V902" s="2">
        <v>0</v>
      </c>
      <c r="W902" t="s">
        <v>4655</v>
      </c>
      <c r="X902" s="2">
        <v>0</v>
      </c>
      <c r="Y902">
        <v>21</v>
      </c>
      <c r="Z902" t="s">
        <v>3047</v>
      </c>
      <c r="AA902" s="3">
        <v>2.4862259626388501E-2</v>
      </c>
      <c r="AB902" t="s">
        <v>9333</v>
      </c>
      <c r="AC902" t="s">
        <v>4562</v>
      </c>
      <c r="AD902" t="s">
        <v>2202</v>
      </c>
      <c r="AE902" t="s">
        <v>4655</v>
      </c>
      <c r="AF902" t="s">
        <v>4563</v>
      </c>
      <c r="AG902" t="s">
        <v>4564</v>
      </c>
      <c r="AH902" t="s">
        <v>1147</v>
      </c>
      <c r="AI902" t="s">
        <v>2657</v>
      </c>
      <c r="AJ902" t="s">
        <v>1846</v>
      </c>
      <c r="AK902" t="s">
        <v>9334</v>
      </c>
      <c r="AL902" s="13" t="s">
        <v>3421</v>
      </c>
      <c r="AM902" s="14">
        <v>1</v>
      </c>
      <c r="AN902" s="15" t="s">
        <v>1847</v>
      </c>
    </row>
    <row r="903" spans="1:40" x14ac:dyDescent="0.3">
      <c r="A903" s="10" t="str">
        <f>HYPERLINK("http://www.washoecounty.gov/assessor/cama/?parid=011-554-17&amp;CardNumber=1","011-554-17")</f>
        <v>011-554-17</v>
      </c>
      <c r="B903" t="s">
        <v>4655</v>
      </c>
      <c r="C903" t="s">
        <v>1822</v>
      </c>
      <c r="D903" s="1">
        <v>40338</v>
      </c>
      <c r="E903" s="2">
        <v>85534</v>
      </c>
      <c r="F903" t="s">
        <v>4553</v>
      </c>
      <c r="G903" s="17" t="str">
        <f>HYPERLINK("https://www.washoecounty.gov/assessor/cama/?command=sales&amp;parid=01155417","3889640")</f>
        <v>3889640</v>
      </c>
      <c r="H903" t="s">
        <v>1823</v>
      </c>
      <c r="I903">
        <v>1978</v>
      </c>
      <c r="J903">
        <v>2003</v>
      </c>
      <c r="K903" t="s">
        <v>1824</v>
      </c>
      <c r="L903" t="s">
        <v>1825</v>
      </c>
      <c r="M903" s="2">
        <v>793</v>
      </c>
      <c r="N903" t="s">
        <v>3531</v>
      </c>
      <c r="O903">
        <v>1</v>
      </c>
      <c r="P903">
        <v>1</v>
      </c>
      <c r="Q903">
        <v>0</v>
      </c>
      <c r="R903" t="s">
        <v>1826</v>
      </c>
      <c r="S903" t="s">
        <v>4582</v>
      </c>
      <c r="T903" t="s">
        <v>4655</v>
      </c>
      <c r="U903" t="s">
        <v>4655</v>
      </c>
      <c r="V903" s="2">
        <v>0</v>
      </c>
      <c r="W903" t="s">
        <v>4655</v>
      </c>
      <c r="X903" s="2">
        <v>0</v>
      </c>
      <c r="Y903">
        <v>21</v>
      </c>
      <c r="Z903" t="s">
        <v>3047</v>
      </c>
      <c r="AA903" s="3">
        <v>1.8181817606091499E-2</v>
      </c>
      <c r="AB903" t="s">
        <v>9335</v>
      </c>
      <c r="AC903" t="s">
        <v>4575</v>
      </c>
      <c r="AD903" t="s">
        <v>9336</v>
      </c>
      <c r="AE903" t="s">
        <v>4655</v>
      </c>
      <c r="AF903" t="s">
        <v>4563</v>
      </c>
      <c r="AG903" t="s">
        <v>4564</v>
      </c>
      <c r="AH903">
        <v>89501</v>
      </c>
      <c r="AI903" t="s">
        <v>2657</v>
      </c>
      <c r="AJ903" t="s">
        <v>1846</v>
      </c>
      <c r="AK903" t="s">
        <v>9337</v>
      </c>
      <c r="AL903" s="13" t="s">
        <v>3421</v>
      </c>
      <c r="AM903" s="14">
        <v>1</v>
      </c>
      <c r="AN903" s="15" t="s">
        <v>1847</v>
      </c>
    </row>
    <row r="904" spans="1:40" x14ac:dyDescent="0.3">
      <c r="A904" s="10" t="str">
        <f>HYPERLINK("http://www.washoecounty.gov/assessor/cama/?parid=011-555-04&amp;CardNumber=1","011-555-04")</f>
        <v>011-555-04</v>
      </c>
      <c r="B904" t="s">
        <v>4655</v>
      </c>
      <c r="C904" t="s">
        <v>1822</v>
      </c>
      <c r="D904" s="1">
        <v>40388</v>
      </c>
      <c r="E904" s="2">
        <v>131414</v>
      </c>
      <c r="F904" t="s">
        <v>4553</v>
      </c>
      <c r="G904" s="17" t="str">
        <f>HYPERLINK("https://www.washoecounty.gov/assessor/cama/?command=sales&amp;parid=01155504","3906599")</f>
        <v>3906599</v>
      </c>
      <c r="H904" t="s">
        <v>1823</v>
      </c>
      <c r="I904">
        <v>1978</v>
      </c>
      <c r="J904">
        <v>2003</v>
      </c>
      <c r="K904" t="s">
        <v>1824</v>
      </c>
      <c r="L904" t="s">
        <v>1825</v>
      </c>
      <c r="M904" s="2">
        <v>1080</v>
      </c>
      <c r="N904" t="s">
        <v>3531</v>
      </c>
      <c r="O904">
        <v>2</v>
      </c>
      <c r="P904">
        <v>2</v>
      </c>
      <c r="Q904">
        <v>0</v>
      </c>
      <c r="R904" t="s">
        <v>1826</v>
      </c>
      <c r="S904" t="s">
        <v>4582</v>
      </c>
      <c r="T904" t="s">
        <v>4655</v>
      </c>
      <c r="U904" t="s">
        <v>4655</v>
      </c>
      <c r="V904" s="2">
        <v>0</v>
      </c>
      <c r="W904" t="s">
        <v>4655</v>
      </c>
      <c r="X904" s="2">
        <v>0</v>
      </c>
      <c r="Y904">
        <v>21</v>
      </c>
      <c r="Z904" t="s">
        <v>3047</v>
      </c>
      <c r="AA904" s="3">
        <v>2.4770431220531498E-2</v>
      </c>
      <c r="AB904" t="s">
        <v>343</v>
      </c>
      <c r="AC904" t="s">
        <v>4575</v>
      </c>
      <c r="AD904" t="s">
        <v>344</v>
      </c>
      <c r="AE904" t="s">
        <v>4655</v>
      </c>
      <c r="AF904" t="s">
        <v>4563</v>
      </c>
      <c r="AG904" t="s">
        <v>4564</v>
      </c>
      <c r="AH904">
        <v>89501</v>
      </c>
      <c r="AI904" t="s">
        <v>2657</v>
      </c>
      <c r="AJ904" t="s">
        <v>1846</v>
      </c>
      <c r="AK904" t="s">
        <v>9338</v>
      </c>
      <c r="AL904" s="13" t="s">
        <v>3421</v>
      </c>
      <c r="AM904" s="14">
        <v>1</v>
      </c>
      <c r="AN904" s="15" t="s">
        <v>1847</v>
      </c>
    </row>
    <row r="905" spans="1:40" x14ac:dyDescent="0.3">
      <c r="A905" s="10" t="str">
        <f>HYPERLINK("http://www.washoecounty.gov/assessor/cama/?parid=011-555-11&amp;CardNumber=1","011-555-11")</f>
        <v>011-555-11</v>
      </c>
      <c r="B905" t="s">
        <v>4655</v>
      </c>
      <c r="C905" t="s">
        <v>1822</v>
      </c>
      <c r="D905" s="1">
        <v>40360</v>
      </c>
      <c r="E905" s="2">
        <v>127875</v>
      </c>
      <c r="F905" t="s">
        <v>4553</v>
      </c>
      <c r="G905" s="17" t="str">
        <f>HYPERLINK("https://www.washoecounty.gov/assessor/cama/?command=sales&amp;parid=01155511","3897677")</f>
        <v>3897677</v>
      </c>
      <c r="H905" t="s">
        <v>1823</v>
      </c>
      <c r="I905">
        <v>1978</v>
      </c>
      <c r="J905">
        <v>2003</v>
      </c>
      <c r="K905" t="s">
        <v>1824</v>
      </c>
      <c r="L905" t="s">
        <v>1825</v>
      </c>
      <c r="M905" s="2">
        <v>1080</v>
      </c>
      <c r="N905" t="s">
        <v>3531</v>
      </c>
      <c r="O905">
        <v>1</v>
      </c>
      <c r="P905">
        <v>1</v>
      </c>
      <c r="Q905">
        <v>0</v>
      </c>
      <c r="R905" t="s">
        <v>1826</v>
      </c>
      <c r="S905" t="s">
        <v>4582</v>
      </c>
      <c r="T905" t="s">
        <v>4655</v>
      </c>
      <c r="U905" t="s">
        <v>4655</v>
      </c>
      <c r="V905" s="2">
        <v>0</v>
      </c>
      <c r="W905" t="s">
        <v>4655</v>
      </c>
      <c r="X905" s="2">
        <v>0</v>
      </c>
      <c r="Y905">
        <v>21</v>
      </c>
      <c r="Z905" t="s">
        <v>3047</v>
      </c>
      <c r="AA905" s="3">
        <v>2.47245170176029E-2</v>
      </c>
      <c r="AB905" t="s">
        <v>9339</v>
      </c>
      <c r="AC905" t="s">
        <v>4575</v>
      </c>
      <c r="AD905" t="s">
        <v>9340</v>
      </c>
      <c r="AE905" t="s">
        <v>9341</v>
      </c>
      <c r="AF905" t="s">
        <v>9342</v>
      </c>
      <c r="AG905" t="s">
        <v>4584</v>
      </c>
      <c r="AH905">
        <v>95051</v>
      </c>
      <c r="AI905" t="s">
        <v>2657</v>
      </c>
      <c r="AJ905" t="s">
        <v>1846</v>
      </c>
      <c r="AK905" t="s">
        <v>9343</v>
      </c>
      <c r="AL905" s="13" t="s">
        <v>3421</v>
      </c>
      <c r="AM905">
        <v>1</v>
      </c>
      <c r="AN905" s="15" t="s">
        <v>1847</v>
      </c>
    </row>
    <row r="906" spans="1:40" x14ac:dyDescent="0.3">
      <c r="A906" s="10" t="str">
        <f>HYPERLINK("http://www.washoecounty.gov/assessor/cama/?parid=011-555-16&amp;CardNumber=1","011-555-16")</f>
        <v>011-555-16</v>
      </c>
      <c r="B906" t="s">
        <v>4655</v>
      </c>
      <c r="C906" t="s">
        <v>1822</v>
      </c>
      <c r="D906" s="1">
        <v>40403</v>
      </c>
      <c r="E906" s="2">
        <v>91384</v>
      </c>
      <c r="F906" t="s">
        <v>4553</v>
      </c>
      <c r="G906" s="17" t="str">
        <f>HYPERLINK("https://www.washoecounty.gov/assessor/cama/?command=sales&amp;parid=01155516","3911714")</f>
        <v>3911714</v>
      </c>
      <c r="H906" t="s">
        <v>1823</v>
      </c>
      <c r="I906">
        <v>1978</v>
      </c>
      <c r="J906">
        <v>2003</v>
      </c>
      <c r="K906" t="s">
        <v>1824</v>
      </c>
      <c r="L906" t="s">
        <v>1825</v>
      </c>
      <c r="M906" s="2">
        <v>799</v>
      </c>
      <c r="N906" t="s">
        <v>3531</v>
      </c>
      <c r="O906">
        <v>1</v>
      </c>
      <c r="P906">
        <v>1</v>
      </c>
      <c r="Q906">
        <v>0</v>
      </c>
      <c r="R906" t="s">
        <v>1826</v>
      </c>
      <c r="S906" t="s">
        <v>4582</v>
      </c>
      <c r="T906" t="s">
        <v>4655</v>
      </c>
      <c r="U906" t="s">
        <v>4655</v>
      </c>
      <c r="V906" s="2">
        <v>0</v>
      </c>
      <c r="W906" t="s">
        <v>4655</v>
      </c>
      <c r="X906" s="2">
        <v>0</v>
      </c>
      <c r="Y906">
        <v>21</v>
      </c>
      <c r="Z906" t="s">
        <v>3047</v>
      </c>
      <c r="AA906" s="3">
        <v>1.8273646011948599E-2</v>
      </c>
      <c r="AB906" t="s">
        <v>4467</v>
      </c>
      <c r="AC906" t="s">
        <v>4562</v>
      </c>
      <c r="AD906" t="s">
        <v>4887</v>
      </c>
      <c r="AE906" t="s">
        <v>4655</v>
      </c>
      <c r="AF906" t="s">
        <v>3660</v>
      </c>
      <c r="AG906" t="s">
        <v>4584</v>
      </c>
      <c r="AH906" t="s">
        <v>3307</v>
      </c>
      <c r="AI906" t="s">
        <v>2657</v>
      </c>
      <c r="AJ906" t="s">
        <v>1846</v>
      </c>
      <c r="AK906" t="s">
        <v>9344</v>
      </c>
      <c r="AL906" s="13" t="s">
        <v>3421</v>
      </c>
      <c r="AM906" s="14">
        <v>1</v>
      </c>
      <c r="AN906" s="15" t="s">
        <v>1847</v>
      </c>
    </row>
    <row r="907" spans="1:40" x14ac:dyDescent="0.3">
      <c r="A907" s="10" t="str">
        <f>HYPERLINK("http://www.washoecounty.gov/assessor/cama/?parid=011-555-19&amp;CardNumber=1","011-555-19")</f>
        <v>011-555-19</v>
      </c>
      <c r="B907" t="s">
        <v>4655</v>
      </c>
      <c r="C907" t="s">
        <v>1822</v>
      </c>
      <c r="D907" s="1">
        <v>40325</v>
      </c>
      <c r="E907" s="2">
        <v>134352</v>
      </c>
      <c r="F907" t="s">
        <v>4553</v>
      </c>
      <c r="G907" s="17" t="str">
        <f>HYPERLINK("https://www.washoecounty.gov/assessor/cama/?command=sales&amp;parid=01155519","3885735")</f>
        <v>3885735</v>
      </c>
      <c r="H907" t="s">
        <v>1823</v>
      </c>
      <c r="I907">
        <v>1978</v>
      </c>
      <c r="J907">
        <v>2003</v>
      </c>
      <c r="K907" t="s">
        <v>1824</v>
      </c>
      <c r="L907" t="s">
        <v>1825</v>
      </c>
      <c r="M907" s="2">
        <v>998</v>
      </c>
      <c r="N907" t="s">
        <v>3531</v>
      </c>
      <c r="O907">
        <v>1</v>
      </c>
      <c r="P907">
        <v>2</v>
      </c>
      <c r="Q907">
        <v>0</v>
      </c>
      <c r="R907" t="s">
        <v>1826</v>
      </c>
      <c r="S907" t="s">
        <v>4582</v>
      </c>
      <c r="T907" t="s">
        <v>4655</v>
      </c>
      <c r="U907" t="s">
        <v>4655</v>
      </c>
      <c r="V907" s="2">
        <v>0</v>
      </c>
      <c r="W907" t="s">
        <v>4655</v>
      </c>
      <c r="X907" s="2">
        <v>0</v>
      </c>
      <c r="Y907">
        <v>21</v>
      </c>
      <c r="Z907" t="s">
        <v>3047</v>
      </c>
      <c r="AA907" s="3">
        <v>2.2910928353667301E-2</v>
      </c>
      <c r="AB907" t="s">
        <v>9345</v>
      </c>
      <c r="AC907" t="s">
        <v>4562</v>
      </c>
      <c r="AD907" t="s">
        <v>9346</v>
      </c>
      <c r="AE907" t="s">
        <v>4655</v>
      </c>
      <c r="AF907" t="s">
        <v>4563</v>
      </c>
      <c r="AG907" t="s">
        <v>4564</v>
      </c>
      <c r="AH907">
        <v>89501</v>
      </c>
      <c r="AI907" t="s">
        <v>2657</v>
      </c>
      <c r="AJ907" t="s">
        <v>1846</v>
      </c>
      <c r="AK907" t="s">
        <v>9347</v>
      </c>
      <c r="AL907" s="13" t="s">
        <v>3421</v>
      </c>
      <c r="AM907">
        <v>1</v>
      </c>
      <c r="AN907" s="15" t="s">
        <v>1847</v>
      </c>
    </row>
    <row r="908" spans="1:40" x14ac:dyDescent="0.3">
      <c r="A908" s="10" t="str">
        <f>HYPERLINK("http://www.washoecounty.gov/assessor/cama/?parid=011-556-04&amp;CardNumber=1","011-556-04")</f>
        <v>011-556-04</v>
      </c>
      <c r="B908" t="s">
        <v>4655</v>
      </c>
      <c r="C908" t="s">
        <v>1822</v>
      </c>
      <c r="D908" s="1">
        <v>40388</v>
      </c>
      <c r="E908" s="2">
        <v>171692</v>
      </c>
      <c r="F908" t="s">
        <v>4553</v>
      </c>
      <c r="G908" s="17" t="str">
        <f>HYPERLINK("https://www.washoecounty.gov/assessor/cama/?command=sales&amp;parid=01155604","3906593")</f>
        <v>3906593</v>
      </c>
      <c r="H908" t="s">
        <v>1823</v>
      </c>
      <c r="I908">
        <v>1978</v>
      </c>
      <c r="J908">
        <v>2003</v>
      </c>
      <c r="K908" t="s">
        <v>1824</v>
      </c>
      <c r="L908" t="s">
        <v>1825</v>
      </c>
      <c r="M908" s="2">
        <v>1261</v>
      </c>
      <c r="N908" t="s">
        <v>3531</v>
      </c>
      <c r="O908">
        <v>2</v>
      </c>
      <c r="P908">
        <v>2</v>
      </c>
      <c r="Q908">
        <v>0</v>
      </c>
      <c r="R908" t="s">
        <v>1826</v>
      </c>
      <c r="S908" t="s">
        <v>4582</v>
      </c>
      <c r="T908" t="s">
        <v>4655</v>
      </c>
      <c r="U908" t="s">
        <v>4655</v>
      </c>
      <c r="V908" s="2">
        <v>0</v>
      </c>
      <c r="W908" t="s">
        <v>4655</v>
      </c>
      <c r="X908" s="2">
        <v>0</v>
      </c>
      <c r="Y908">
        <v>21</v>
      </c>
      <c r="Z908" t="s">
        <v>3047</v>
      </c>
      <c r="AA908" s="3">
        <v>2.8971534222364401E-2</v>
      </c>
      <c r="AB908" t="s">
        <v>9348</v>
      </c>
      <c r="AC908" t="s">
        <v>4575</v>
      </c>
      <c r="AD908" t="s">
        <v>9349</v>
      </c>
      <c r="AE908" t="s">
        <v>4655</v>
      </c>
      <c r="AF908" t="s">
        <v>4563</v>
      </c>
      <c r="AG908" t="s">
        <v>4564</v>
      </c>
      <c r="AH908">
        <v>89511</v>
      </c>
      <c r="AI908" t="s">
        <v>2657</v>
      </c>
      <c r="AJ908" t="s">
        <v>1846</v>
      </c>
      <c r="AK908" t="s">
        <v>9350</v>
      </c>
      <c r="AL908" s="13" t="s">
        <v>3421</v>
      </c>
      <c r="AM908">
        <v>1</v>
      </c>
      <c r="AN908" s="15" t="s">
        <v>1847</v>
      </c>
    </row>
    <row r="909" spans="1:40" x14ac:dyDescent="0.3">
      <c r="A909" s="10" t="str">
        <f>HYPERLINK("http://www.washoecounty.gov/assessor/cama/?parid=011-556-05&amp;CardNumber=1","011-556-05")</f>
        <v>011-556-05</v>
      </c>
      <c r="B909" t="s">
        <v>4655</v>
      </c>
      <c r="C909" t="s">
        <v>1822</v>
      </c>
      <c r="D909" s="1">
        <v>40422</v>
      </c>
      <c r="E909" s="2">
        <v>132599</v>
      </c>
      <c r="F909" t="s">
        <v>4553</v>
      </c>
      <c r="G909" s="17" t="str">
        <f>HYPERLINK("https://www.washoecounty.gov/assessor/cama/?command=sales&amp;parid=01155605","3917741")</f>
        <v>3917741</v>
      </c>
      <c r="H909" t="s">
        <v>1823</v>
      </c>
      <c r="I909">
        <v>1978</v>
      </c>
      <c r="J909">
        <v>2003</v>
      </c>
      <c r="K909" t="s">
        <v>1824</v>
      </c>
      <c r="L909" t="s">
        <v>1825</v>
      </c>
      <c r="M909" s="2">
        <v>1086</v>
      </c>
      <c r="N909" t="s">
        <v>3531</v>
      </c>
      <c r="O909">
        <v>1</v>
      </c>
      <c r="P909">
        <v>1</v>
      </c>
      <c r="Q909">
        <v>0</v>
      </c>
      <c r="R909" t="s">
        <v>1826</v>
      </c>
      <c r="S909" t="s">
        <v>4582</v>
      </c>
      <c r="T909" t="s">
        <v>4655</v>
      </c>
      <c r="U909" t="s">
        <v>4655</v>
      </c>
      <c r="V909" s="2">
        <v>0</v>
      </c>
      <c r="W909" t="s">
        <v>4655</v>
      </c>
      <c r="X909" s="2">
        <v>0</v>
      </c>
      <c r="Y909">
        <v>21</v>
      </c>
      <c r="Z909" t="s">
        <v>3047</v>
      </c>
      <c r="AA909" s="3">
        <v>2.4862259626388501E-2</v>
      </c>
      <c r="AB909" t="s">
        <v>9351</v>
      </c>
      <c r="AC909" t="s">
        <v>4562</v>
      </c>
      <c r="AD909" t="s">
        <v>9352</v>
      </c>
      <c r="AE909" t="s">
        <v>4655</v>
      </c>
      <c r="AF909" t="s">
        <v>4563</v>
      </c>
      <c r="AG909" t="s">
        <v>4564</v>
      </c>
      <c r="AH909" t="s">
        <v>1147</v>
      </c>
      <c r="AI909" t="s">
        <v>2657</v>
      </c>
      <c r="AJ909" t="s">
        <v>1846</v>
      </c>
      <c r="AK909" t="s">
        <v>9353</v>
      </c>
      <c r="AL909" s="13" t="s">
        <v>3421</v>
      </c>
      <c r="AM909" s="14">
        <v>1</v>
      </c>
      <c r="AN909" s="15" t="s">
        <v>1847</v>
      </c>
    </row>
    <row r="910" spans="1:40" x14ac:dyDescent="0.3">
      <c r="A910" s="10" t="str">
        <f>HYPERLINK("http://www.washoecounty.gov/assessor/cama/?parid=011-556-11&amp;CardNumber=1","011-556-11")</f>
        <v>011-556-11</v>
      </c>
      <c r="B910" t="s">
        <v>4655</v>
      </c>
      <c r="C910" t="s">
        <v>1822</v>
      </c>
      <c r="D910" s="1">
        <v>40469</v>
      </c>
      <c r="E910" s="2">
        <v>76954</v>
      </c>
      <c r="F910" t="s">
        <v>4553</v>
      </c>
      <c r="G910" s="17" t="str">
        <f>HYPERLINK("https://www.washoecounty.gov/assessor/cama/?command=sales&amp;parid=01155611","3934168")</f>
        <v>3934168</v>
      </c>
      <c r="H910" t="s">
        <v>1823</v>
      </c>
      <c r="I910">
        <v>1978</v>
      </c>
      <c r="J910">
        <v>2003</v>
      </c>
      <c r="K910" t="s">
        <v>1824</v>
      </c>
      <c r="L910" t="s">
        <v>1825</v>
      </c>
      <c r="M910" s="2">
        <v>637</v>
      </c>
      <c r="N910" t="s">
        <v>3531</v>
      </c>
      <c r="O910">
        <v>1</v>
      </c>
      <c r="P910">
        <v>1</v>
      </c>
      <c r="Q910">
        <v>0</v>
      </c>
      <c r="R910" t="s">
        <v>1826</v>
      </c>
      <c r="S910" t="s">
        <v>4582</v>
      </c>
      <c r="T910" t="s">
        <v>4655</v>
      </c>
      <c r="U910" t="s">
        <v>4655</v>
      </c>
      <c r="V910" s="2">
        <v>0</v>
      </c>
      <c r="W910" t="s">
        <v>4655</v>
      </c>
      <c r="X910" s="2">
        <v>0</v>
      </c>
      <c r="Y910">
        <v>21</v>
      </c>
      <c r="Z910" t="s">
        <v>3047</v>
      </c>
      <c r="AA910" s="3">
        <v>1.45775945857167E-2</v>
      </c>
      <c r="AB910" t="s">
        <v>9354</v>
      </c>
      <c r="AC910" t="s">
        <v>4562</v>
      </c>
      <c r="AD910" t="s">
        <v>9355</v>
      </c>
      <c r="AE910" t="s">
        <v>4655</v>
      </c>
      <c r="AF910" t="s">
        <v>4563</v>
      </c>
      <c r="AG910" t="s">
        <v>4564</v>
      </c>
      <c r="AH910">
        <v>89501</v>
      </c>
      <c r="AI910" t="s">
        <v>2657</v>
      </c>
      <c r="AJ910" t="s">
        <v>1846</v>
      </c>
      <c r="AK910" t="s">
        <v>9356</v>
      </c>
      <c r="AL910" s="13" t="s">
        <v>3421</v>
      </c>
      <c r="AM910">
        <v>1</v>
      </c>
      <c r="AN910" s="15" t="s">
        <v>1847</v>
      </c>
    </row>
    <row r="911" spans="1:40" x14ac:dyDescent="0.3">
      <c r="A911" s="10" t="str">
        <f>HYPERLINK("http://www.washoecounty.gov/assessor/cama/?parid=011-556-12&amp;CardNumber=1","011-556-12")</f>
        <v>011-556-12</v>
      </c>
      <c r="B911" t="s">
        <v>4655</v>
      </c>
      <c r="C911" t="s">
        <v>1822</v>
      </c>
      <c r="D911" s="1">
        <v>40478</v>
      </c>
      <c r="E911" s="2">
        <v>132189</v>
      </c>
      <c r="F911" t="s">
        <v>4567</v>
      </c>
      <c r="G911" s="17" t="str">
        <f>HYPERLINK("https://www.washoecounty.gov/assessor/cama/?command=sales&amp;parid=01155612","3934070")</f>
        <v>3934070</v>
      </c>
      <c r="H911" t="s">
        <v>1823</v>
      </c>
      <c r="I911">
        <v>1978</v>
      </c>
      <c r="J911">
        <v>2003</v>
      </c>
      <c r="K911" t="s">
        <v>1824</v>
      </c>
      <c r="L911" t="s">
        <v>1825</v>
      </c>
      <c r="M911" s="2">
        <v>1080</v>
      </c>
      <c r="N911" t="s">
        <v>3531</v>
      </c>
      <c r="O911">
        <v>1</v>
      </c>
      <c r="P911">
        <v>1</v>
      </c>
      <c r="Q911">
        <v>0</v>
      </c>
      <c r="R911" t="s">
        <v>1826</v>
      </c>
      <c r="S911" t="s">
        <v>4582</v>
      </c>
      <c r="T911" t="s">
        <v>4655</v>
      </c>
      <c r="U911" t="s">
        <v>4655</v>
      </c>
      <c r="V911" s="2">
        <v>0</v>
      </c>
      <c r="W911" t="s">
        <v>4655</v>
      </c>
      <c r="X911" s="2">
        <v>0</v>
      </c>
      <c r="Y911">
        <v>21</v>
      </c>
      <c r="Z911" t="s">
        <v>3047</v>
      </c>
      <c r="AA911" s="3">
        <v>2.4770431220531498E-2</v>
      </c>
      <c r="AB911" t="s">
        <v>2960</v>
      </c>
      <c r="AC911" t="s">
        <v>4562</v>
      </c>
      <c r="AD911" t="s">
        <v>2961</v>
      </c>
      <c r="AE911" t="s">
        <v>4655</v>
      </c>
      <c r="AF911" t="s">
        <v>4563</v>
      </c>
      <c r="AG911" t="s">
        <v>4564</v>
      </c>
      <c r="AH911">
        <v>89501</v>
      </c>
      <c r="AI911" t="s">
        <v>2657</v>
      </c>
      <c r="AJ911" t="s">
        <v>1846</v>
      </c>
      <c r="AK911" t="s">
        <v>9357</v>
      </c>
      <c r="AL911" s="13" t="s">
        <v>3421</v>
      </c>
      <c r="AM911">
        <v>1</v>
      </c>
      <c r="AN911" s="15" t="s">
        <v>1847</v>
      </c>
    </row>
    <row r="912" spans="1:40" x14ac:dyDescent="0.3">
      <c r="A912" s="10" t="str">
        <f>HYPERLINK("http://www.washoecounty.gov/assessor/cama/?parid=011-556-19&amp;CardNumber=1","011-556-19")</f>
        <v>011-556-19</v>
      </c>
      <c r="B912" t="s">
        <v>4655</v>
      </c>
      <c r="C912" t="s">
        <v>1822</v>
      </c>
      <c r="D912" s="1">
        <v>40519</v>
      </c>
      <c r="E912" s="2">
        <v>199581</v>
      </c>
      <c r="F912" t="s">
        <v>4553</v>
      </c>
      <c r="G912" s="17" t="str">
        <f>HYPERLINK("https://www.washoecounty.gov/assessor/cama/?command=sales&amp;parid=01155619","3950528")</f>
        <v>3950528</v>
      </c>
      <c r="H912" t="s">
        <v>1823</v>
      </c>
      <c r="I912">
        <v>1978</v>
      </c>
      <c r="J912">
        <v>2003</v>
      </c>
      <c r="K912" t="s">
        <v>1824</v>
      </c>
      <c r="L912" t="s">
        <v>1825</v>
      </c>
      <c r="M912" s="2">
        <v>1523</v>
      </c>
      <c r="N912" t="s">
        <v>3531</v>
      </c>
      <c r="O912">
        <v>2</v>
      </c>
      <c r="P912">
        <v>2</v>
      </c>
      <c r="Q912">
        <v>0</v>
      </c>
      <c r="R912" t="s">
        <v>1826</v>
      </c>
      <c r="S912" t="s">
        <v>4582</v>
      </c>
      <c r="T912" t="s">
        <v>4655</v>
      </c>
      <c r="U912" t="s">
        <v>4655</v>
      </c>
      <c r="V912" s="2">
        <v>0</v>
      </c>
      <c r="W912" t="s">
        <v>4655</v>
      </c>
      <c r="X912" s="2">
        <v>0</v>
      </c>
      <c r="Y912">
        <v>21</v>
      </c>
      <c r="Z912" t="s">
        <v>3047</v>
      </c>
      <c r="AA912" s="3">
        <v>3.4963268786668798E-2</v>
      </c>
      <c r="AB912" t="s">
        <v>9358</v>
      </c>
      <c r="AC912" t="s">
        <v>4562</v>
      </c>
      <c r="AD912" t="s">
        <v>9359</v>
      </c>
      <c r="AE912" t="s">
        <v>4655</v>
      </c>
      <c r="AF912" t="s">
        <v>3556</v>
      </c>
      <c r="AG912" t="s">
        <v>4584</v>
      </c>
      <c r="AH912" t="s">
        <v>9360</v>
      </c>
      <c r="AI912" t="s">
        <v>2657</v>
      </c>
      <c r="AJ912" t="s">
        <v>1846</v>
      </c>
      <c r="AK912" t="s">
        <v>9361</v>
      </c>
      <c r="AL912" s="13" t="s">
        <v>3421</v>
      </c>
      <c r="AM912">
        <v>1</v>
      </c>
      <c r="AN912" s="15" t="s">
        <v>1847</v>
      </c>
    </row>
    <row r="913" spans="1:40" x14ac:dyDescent="0.3">
      <c r="A913" s="10" t="str">
        <f>HYPERLINK("http://www.washoecounty.gov/assessor/cama/?parid=011-557-02&amp;CardNumber=1","011-557-02")</f>
        <v>011-557-02</v>
      </c>
      <c r="B913" t="s">
        <v>4655</v>
      </c>
      <c r="C913" t="s">
        <v>1822</v>
      </c>
      <c r="D913" s="1">
        <v>40359</v>
      </c>
      <c r="E913" s="2">
        <v>83265</v>
      </c>
      <c r="F913" t="s">
        <v>4553</v>
      </c>
      <c r="G913" s="17" t="str">
        <f>HYPERLINK("https://www.washoecounty.gov/assessor/cama/?command=sales&amp;parid=01155702","3897110")</f>
        <v>3897110</v>
      </c>
      <c r="H913" t="s">
        <v>1823</v>
      </c>
      <c r="I913">
        <v>1978</v>
      </c>
      <c r="J913">
        <v>2003</v>
      </c>
      <c r="K913" t="s">
        <v>1824</v>
      </c>
      <c r="L913" t="s">
        <v>1825</v>
      </c>
      <c r="M913" s="2">
        <v>593</v>
      </c>
      <c r="N913" t="s">
        <v>3531</v>
      </c>
      <c r="O913">
        <v>1</v>
      </c>
      <c r="P913">
        <v>1</v>
      </c>
      <c r="Q913">
        <v>0</v>
      </c>
      <c r="R913" t="s">
        <v>1826</v>
      </c>
      <c r="S913" t="s">
        <v>4582</v>
      </c>
      <c r="T913" t="s">
        <v>4655</v>
      </c>
      <c r="U913" t="s">
        <v>4655</v>
      </c>
      <c r="V913" s="2">
        <v>0</v>
      </c>
      <c r="W913" t="s">
        <v>4655</v>
      </c>
      <c r="X913" s="2">
        <v>0</v>
      </c>
      <c r="Y913">
        <v>21</v>
      </c>
      <c r="Z913" t="s">
        <v>3047</v>
      </c>
      <c r="AA913" s="3">
        <v>1.35445361956954E-2</v>
      </c>
      <c r="AB913" t="s">
        <v>9362</v>
      </c>
      <c r="AC913" t="s">
        <v>4562</v>
      </c>
      <c r="AD913" t="s">
        <v>9363</v>
      </c>
      <c r="AE913" t="s">
        <v>4655</v>
      </c>
      <c r="AF913" t="s">
        <v>3114</v>
      </c>
      <c r="AG913" t="s">
        <v>4564</v>
      </c>
      <c r="AH913">
        <v>89501</v>
      </c>
      <c r="AI913" t="s">
        <v>2657</v>
      </c>
      <c r="AJ913" t="s">
        <v>1846</v>
      </c>
      <c r="AK913" t="s">
        <v>9364</v>
      </c>
      <c r="AL913" s="13" t="s">
        <v>3421</v>
      </c>
      <c r="AM913" s="14">
        <v>1</v>
      </c>
      <c r="AN913" s="15" t="s">
        <v>1847</v>
      </c>
    </row>
    <row r="914" spans="1:40" x14ac:dyDescent="0.3">
      <c r="A914" s="10" t="str">
        <f>HYPERLINK("http://www.washoecounty.gov/assessor/cama/?parid=011-557-05&amp;CardNumber=1","011-557-05")</f>
        <v>011-557-05</v>
      </c>
      <c r="B914" t="s">
        <v>4655</v>
      </c>
      <c r="C914" t="s">
        <v>1822</v>
      </c>
      <c r="D914" s="1">
        <v>40347</v>
      </c>
      <c r="E914" s="2">
        <v>127205</v>
      </c>
      <c r="F914" t="s">
        <v>4553</v>
      </c>
      <c r="G914" s="17" t="str">
        <f>HYPERLINK("https://www.washoecounty.gov/assessor/cama/?command=sales&amp;parid=01155705","3893228")</f>
        <v>3893228</v>
      </c>
      <c r="H914" t="s">
        <v>1823</v>
      </c>
      <c r="I914">
        <v>1978</v>
      </c>
      <c r="J914">
        <v>2003</v>
      </c>
      <c r="K914" t="s">
        <v>1824</v>
      </c>
      <c r="L914" t="s">
        <v>1825</v>
      </c>
      <c r="M914" s="2">
        <v>1086</v>
      </c>
      <c r="N914" t="s">
        <v>3531</v>
      </c>
      <c r="O914">
        <v>1</v>
      </c>
      <c r="P914">
        <v>1</v>
      </c>
      <c r="Q914">
        <v>0</v>
      </c>
      <c r="R914" t="s">
        <v>1826</v>
      </c>
      <c r="S914" t="s">
        <v>4582</v>
      </c>
      <c r="T914" t="s">
        <v>4655</v>
      </c>
      <c r="U914" t="s">
        <v>4655</v>
      </c>
      <c r="V914" s="2">
        <v>0</v>
      </c>
      <c r="W914" t="s">
        <v>4655</v>
      </c>
      <c r="X914" s="2">
        <v>0</v>
      </c>
      <c r="Y914">
        <v>21</v>
      </c>
      <c r="Z914" t="s">
        <v>3047</v>
      </c>
      <c r="AA914" s="3">
        <v>2.4908171966671899E-2</v>
      </c>
      <c r="AB914" t="s">
        <v>4467</v>
      </c>
      <c r="AC914" t="s">
        <v>4562</v>
      </c>
      <c r="AD914" t="s">
        <v>4887</v>
      </c>
      <c r="AE914" t="s">
        <v>4655</v>
      </c>
      <c r="AF914" t="s">
        <v>3660</v>
      </c>
      <c r="AG914" t="s">
        <v>4584</v>
      </c>
      <c r="AH914" t="s">
        <v>3307</v>
      </c>
      <c r="AI914" t="s">
        <v>2657</v>
      </c>
      <c r="AJ914" t="s">
        <v>1846</v>
      </c>
      <c r="AK914" t="s">
        <v>9365</v>
      </c>
      <c r="AL914" s="13" t="s">
        <v>3421</v>
      </c>
      <c r="AM914" s="14">
        <v>1</v>
      </c>
      <c r="AN914" s="15" t="s">
        <v>1847</v>
      </c>
    </row>
    <row r="915" spans="1:40" x14ac:dyDescent="0.3">
      <c r="A915" s="10" t="str">
        <f>HYPERLINK("http://www.washoecounty.gov/assessor/cama/?parid=011-557-07&amp;CardNumber=1","011-557-07")</f>
        <v>011-557-07</v>
      </c>
      <c r="B915" t="s">
        <v>4655</v>
      </c>
      <c r="C915" t="s">
        <v>1822</v>
      </c>
      <c r="D915" s="1">
        <v>40357</v>
      </c>
      <c r="E915" s="2">
        <v>104845</v>
      </c>
      <c r="F915" t="s">
        <v>4553</v>
      </c>
      <c r="G915" s="17" t="str">
        <f>HYPERLINK("https://www.washoecounty.gov/assessor/cama/?command=sales&amp;parid=01155707","3895700")</f>
        <v>3895700</v>
      </c>
      <c r="H915" t="s">
        <v>1823</v>
      </c>
      <c r="I915">
        <v>1978</v>
      </c>
      <c r="J915">
        <v>2003</v>
      </c>
      <c r="K915" t="s">
        <v>1824</v>
      </c>
      <c r="L915" t="s">
        <v>1825</v>
      </c>
      <c r="M915" s="2">
        <v>974</v>
      </c>
      <c r="N915" t="s">
        <v>3531</v>
      </c>
      <c r="O915">
        <v>1</v>
      </c>
      <c r="P915">
        <v>1</v>
      </c>
      <c r="Q915">
        <v>0</v>
      </c>
      <c r="R915" t="s">
        <v>1826</v>
      </c>
      <c r="S915" t="s">
        <v>4582</v>
      </c>
      <c r="T915" t="s">
        <v>4655</v>
      </c>
      <c r="U915" t="s">
        <v>4655</v>
      </c>
      <c r="V915" s="2">
        <v>0</v>
      </c>
      <c r="W915" t="s">
        <v>4655</v>
      </c>
      <c r="X915" s="2">
        <v>0</v>
      </c>
      <c r="Y915">
        <v>21</v>
      </c>
      <c r="Z915" t="s">
        <v>3047</v>
      </c>
      <c r="AA915" s="3">
        <v>2.2314049303531602E-2</v>
      </c>
      <c r="AB915" t="s">
        <v>5484</v>
      </c>
      <c r="AC915" t="s">
        <v>4575</v>
      </c>
      <c r="AD915" t="s">
        <v>5670</v>
      </c>
      <c r="AE915" t="s">
        <v>4655</v>
      </c>
      <c r="AF915" t="s">
        <v>4563</v>
      </c>
      <c r="AG915" t="s">
        <v>4564</v>
      </c>
      <c r="AH915">
        <v>89501</v>
      </c>
      <c r="AI915" t="s">
        <v>2657</v>
      </c>
      <c r="AJ915" t="s">
        <v>1846</v>
      </c>
      <c r="AK915" t="s">
        <v>9366</v>
      </c>
      <c r="AL915" s="13" t="s">
        <v>3421</v>
      </c>
      <c r="AM915">
        <v>1</v>
      </c>
      <c r="AN915" s="15" t="s">
        <v>1847</v>
      </c>
    </row>
    <row r="916" spans="1:40" x14ac:dyDescent="0.3">
      <c r="A916" s="10" t="str">
        <f>HYPERLINK("http://www.washoecounty.gov/assessor/cama/?parid=011-557-09&amp;CardNumber=1","011-557-09")</f>
        <v>011-557-09</v>
      </c>
      <c r="B916" t="s">
        <v>4655</v>
      </c>
      <c r="C916" t="s">
        <v>1822</v>
      </c>
      <c r="D916" s="1">
        <v>40487</v>
      </c>
      <c r="E916" s="2">
        <v>96978</v>
      </c>
      <c r="F916" t="s">
        <v>4553</v>
      </c>
      <c r="G916" s="17" t="str">
        <f>HYPERLINK("https://www.washoecounty.gov/assessor/cama/?command=sales&amp;parid=01155709","3940275")</f>
        <v>3940275</v>
      </c>
      <c r="H916" t="s">
        <v>1823</v>
      </c>
      <c r="I916">
        <v>1978</v>
      </c>
      <c r="J916">
        <v>2003</v>
      </c>
      <c r="K916" t="s">
        <v>1824</v>
      </c>
      <c r="L916" t="s">
        <v>1825</v>
      </c>
      <c r="M916" s="2">
        <v>811</v>
      </c>
      <c r="N916" t="s">
        <v>3531</v>
      </c>
      <c r="O916">
        <v>1</v>
      </c>
      <c r="P916">
        <v>1</v>
      </c>
      <c r="Q916">
        <v>0</v>
      </c>
      <c r="R916" t="s">
        <v>1826</v>
      </c>
      <c r="S916" t="s">
        <v>4582</v>
      </c>
      <c r="T916" t="s">
        <v>4655</v>
      </c>
      <c r="U916" t="s">
        <v>4655</v>
      </c>
      <c r="V916" s="2">
        <v>0</v>
      </c>
      <c r="W916" t="s">
        <v>4655</v>
      </c>
      <c r="X916" s="2">
        <v>0</v>
      </c>
      <c r="Y916">
        <v>21</v>
      </c>
      <c r="Z916" t="s">
        <v>3047</v>
      </c>
      <c r="AA916" s="3">
        <v>1.8595041707158099E-2</v>
      </c>
      <c r="AB916" t="s">
        <v>9367</v>
      </c>
      <c r="AC916" t="s">
        <v>4562</v>
      </c>
      <c r="AD916" t="s">
        <v>9368</v>
      </c>
      <c r="AE916" t="s">
        <v>4655</v>
      </c>
      <c r="AF916" t="s">
        <v>3160</v>
      </c>
      <c r="AG916" t="s">
        <v>4584</v>
      </c>
      <c r="AH916" t="s">
        <v>5303</v>
      </c>
      <c r="AI916" t="s">
        <v>2657</v>
      </c>
      <c r="AJ916" t="s">
        <v>1846</v>
      </c>
      <c r="AK916" t="s">
        <v>9369</v>
      </c>
      <c r="AL916" s="13" t="s">
        <v>3421</v>
      </c>
      <c r="AM916">
        <v>1</v>
      </c>
      <c r="AN916" s="15" t="s">
        <v>1847</v>
      </c>
    </row>
    <row r="917" spans="1:40" x14ac:dyDescent="0.3">
      <c r="A917" s="10" t="str">
        <f>HYPERLINK("http://www.washoecounty.gov/assessor/cama/?parid=011-557-11&amp;CardNumber=1","011-557-11")</f>
        <v>011-557-11</v>
      </c>
      <c r="B917" t="s">
        <v>4655</v>
      </c>
      <c r="C917" t="s">
        <v>1822</v>
      </c>
      <c r="D917" s="1">
        <v>40385</v>
      </c>
      <c r="E917" s="2">
        <v>73928</v>
      </c>
      <c r="F917" t="s">
        <v>4553</v>
      </c>
      <c r="G917" s="17" t="str">
        <f>HYPERLINK("https://www.washoecounty.gov/assessor/cama/?command=sales&amp;parid=01155711","3904750")</f>
        <v>3904750</v>
      </c>
      <c r="H917" t="s">
        <v>1823</v>
      </c>
      <c r="I917">
        <v>1978</v>
      </c>
      <c r="J917">
        <v>2003</v>
      </c>
      <c r="K917" t="s">
        <v>1824</v>
      </c>
      <c r="L917" t="s">
        <v>1825</v>
      </c>
      <c r="M917" s="2">
        <v>637</v>
      </c>
      <c r="N917" t="s">
        <v>3531</v>
      </c>
      <c r="O917">
        <v>1</v>
      </c>
      <c r="P917">
        <v>1</v>
      </c>
      <c r="Q917">
        <v>0</v>
      </c>
      <c r="R917" t="s">
        <v>1826</v>
      </c>
      <c r="S917" t="s">
        <v>4582</v>
      </c>
      <c r="T917" t="s">
        <v>4655</v>
      </c>
      <c r="U917" t="s">
        <v>4655</v>
      </c>
      <c r="V917" s="2">
        <v>0</v>
      </c>
      <c r="W917" t="s">
        <v>4655</v>
      </c>
      <c r="X917" s="2">
        <v>0</v>
      </c>
      <c r="Y917">
        <v>21</v>
      </c>
      <c r="Z917" t="s">
        <v>3047</v>
      </c>
      <c r="AA917" s="3">
        <v>1.4600550755858401E-2</v>
      </c>
      <c r="AB917" t="s">
        <v>1508</v>
      </c>
      <c r="AC917" t="s">
        <v>4562</v>
      </c>
      <c r="AD917" t="s">
        <v>1509</v>
      </c>
      <c r="AE917" t="s">
        <v>4655</v>
      </c>
      <c r="AF917" t="s">
        <v>3138</v>
      </c>
      <c r="AG917" t="s">
        <v>4584</v>
      </c>
      <c r="AH917" t="s">
        <v>1510</v>
      </c>
      <c r="AI917" t="s">
        <v>2657</v>
      </c>
      <c r="AJ917" t="s">
        <v>1846</v>
      </c>
      <c r="AK917" t="s">
        <v>9370</v>
      </c>
      <c r="AL917" s="13" t="s">
        <v>3421</v>
      </c>
      <c r="AM917">
        <v>1</v>
      </c>
      <c r="AN917" s="15" t="s">
        <v>1847</v>
      </c>
    </row>
    <row r="918" spans="1:40" x14ac:dyDescent="0.3">
      <c r="A918" s="10" t="str">
        <f>HYPERLINK("http://www.washoecounty.gov/assessor/cama/?parid=011-558-06&amp;CardNumber=1","011-558-06")</f>
        <v>011-558-06</v>
      </c>
      <c r="B918" t="s">
        <v>4655</v>
      </c>
      <c r="C918" t="s">
        <v>1822</v>
      </c>
      <c r="D918" s="1">
        <v>40525</v>
      </c>
      <c r="E918" s="2">
        <v>78506</v>
      </c>
      <c r="F918" t="s">
        <v>4553</v>
      </c>
      <c r="G918" s="17" t="str">
        <f>HYPERLINK("https://www.washoecounty.gov/assessor/cama/?command=sales&amp;parid=01155806","3952522")</f>
        <v>3952522</v>
      </c>
      <c r="H918" t="s">
        <v>1823</v>
      </c>
      <c r="I918">
        <v>1978</v>
      </c>
      <c r="J918">
        <v>2003</v>
      </c>
      <c r="K918" t="s">
        <v>1824</v>
      </c>
      <c r="L918" t="s">
        <v>1825</v>
      </c>
      <c r="M918" s="2">
        <v>637</v>
      </c>
      <c r="N918" t="s">
        <v>3531</v>
      </c>
      <c r="O918">
        <v>1</v>
      </c>
      <c r="P918">
        <v>1</v>
      </c>
      <c r="Q918">
        <v>0</v>
      </c>
      <c r="R918" t="s">
        <v>1826</v>
      </c>
      <c r="S918" t="s">
        <v>4582</v>
      </c>
      <c r="T918" t="s">
        <v>4655</v>
      </c>
      <c r="U918" t="s">
        <v>4655</v>
      </c>
      <c r="V918" s="2">
        <v>0</v>
      </c>
      <c r="W918" t="s">
        <v>4655</v>
      </c>
      <c r="X918" s="2">
        <v>0</v>
      </c>
      <c r="Y918">
        <v>21</v>
      </c>
      <c r="Z918" t="s">
        <v>3047</v>
      </c>
      <c r="AA918" s="3">
        <v>1.4600550755858401E-2</v>
      </c>
      <c r="AB918" t="s">
        <v>9371</v>
      </c>
      <c r="AC918" t="s">
        <v>4575</v>
      </c>
      <c r="AD918" t="s">
        <v>9372</v>
      </c>
      <c r="AE918" t="s">
        <v>4655</v>
      </c>
      <c r="AF918" t="s">
        <v>4563</v>
      </c>
      <c r="AG918" t="s">
        <v>4564</v>
      </c>
      <c r="AH918">
        <v>89501</v>
      </c>
      <c r="AI918" t="s">
        <v>9373</v>
      </c>
      <c r="AJ918" t="s">
        <v>1846</v>
      </c>
      <c r="AK918" t="s">
        <v>9374</v>
      </c>
      <c r="AL918" s="13" t="s">
        <v>3421</v>
      </c>
      <c r="AM918" s="14">
        <v>1</v>
      </c>
      <c r="AN918" s="15" t="s">
        <v>1847</v>
      </c>
    </row>
    <row r="919" spans="1:40" x14ac:dyDescent="0.3">
      <c r="A919" s="10" t="str">
        <f>HYPERLINK("http://www.washoecounty.gov/assessor/cama/?parid=011-558-12&amp;CardNumber=1","011-558-12")</f>
        <v>011-558-12</v>
      </c>
      <c r="B919" t="s">
        <v>4655</v>
      </c>
      <c r="C919" t="s">
        <v>1822</v>
      </c>
      <c r="D919" s="1">
        <v>40354</v>
      </c>
      <c r="E919" s="2">
        <v>130458</v>
      </c>
      <c r="F919" t="s">
        <v>4553</v>
      </c>
      <c r="G919" s="17" t="str">
        <f>HYPERLINK("https://www.washoecounty.gov/assessor/cama/?command=sales&amp;parid=01155812","3895249")</f>
        <v>3895249</v>
      </c>
      <c r="H919" t="s">
        <v>1823</v>
      </c>
      <c r="I919">
        <v>1978</v>
      </c>
      <c r="J919">
        <v>2003</v>
      </c>
      <c r="K919" t="s">
        <v>1824</v>
      </c>
      <c r="L919" t="s">
        <v>1825</v>
      </c>
      <c r="M919" s="2">
        <v>1073</v>
      </c>
      <c r="N919" t="s">
        <v>3531</v>
      </c>
      <c r="O919">
        <v>1</v>
      </c>
      <c r="P919">
        <v>1</v>
      </c>
      <c r="Q919">
        <v>0</v>
      </c>
      <c r="R919" t="s">
        <v>1826</v>
      </c>
      <c r="S919" t="s">
        <v>4582</v>
      </c>
      <c r="T919" t="s">
        <v>4655</v>
      </c>
      <c r="U919" t="s">
        <v>4655</v>
      </c>
      <c r="V919" s="2">
        <v>0</v>
      </c>
      <c r="W919" t="s">
        <v>4655</v>
      </c>
      <c r="X919" s="2">
        <v>0</v>
      </c>
      <c r="Y919">
        <v>21</v>
      </c>
      <c r="Z919" t="s">
        <v>3047</v>
      </c>
      <c r="AA919" s="3">
        <v>2.4701561778783802E-2</v>
      </c>
      <c r="AB919" t="s">
        <v>9375</v>
      </c>
      <c r="AC919" t="s">
        <v>4562</v>
      </c>
      <c r="AD919" t="s">
        <v>9376</v>
      </c>
      <c r="AE919" t="s">
        <v>4655</v>
      </c>
      <c r="AF919" t="s">
        <v>9377</v>
      </c>
      <c r="AG919" t="s">
        <v>2109</v>
      </c>
      <c r="AH919" t="s">
        <v>9378</v>
      </c>
      <c r="AI919" t="s">
        <v>2657</v>
      </c>
      <c r="AJ919" t="s">
        <v>1846</v>
      </c>
      <c r="AK919" t="s">
        <v>9379</v>
      </c>
      <c r="AL919" s="13" t="s">
        <v>3421</v>
      </c>
      <c r="AM919" s="14">
        <v>1</v>
      </c>
      <c r="AN919" s="15" t="s">
        <v>1847</v>
      </c>
    </row>
    <row r="920" spans="1:40" x14ac:dyDescent="0.3">
      <c r="A920" s="10" t="str">
        <f>HYPERLINK("http://www.washoecounty.gov/assessor/cama/?parid=011-558-13&amp;CardNumber=1","011-558-13")</f>
        <v>011-558-13</v>
      </c>
      <c r="B920" t="s">
        <v>4655</v>
      </c>
      <c r="C920" t="s">
        <v>1822</v>
      </c>
      <c r="D920" s="1">
        <v>40431</v>
      </c>
      <c r="E920" s="2">
        <v>168002</v>
      </c>
      <c r="F920" t="s">
        <v>4553</v>
      </c>
      <c r="G920" s="17" t="str">
        <f>HYPERLINK("https://www.washoecounty.gov/assessor/cama/?command=sales&amp;parid=01155813","3921189")</f>
        <v>3921189</v>
      </c>
      <c r="H920" t="s">
        <v>1823</v>
      </c>
      <c r="I920">
        <v>1978</v>
      </c>
      <c r="J920">
        <v>2003</v>
      </c>
      <c r="K920" t="s">
        <v>1824</v>
      </c>
      <c r="L920" t="s">
        <v>1825</v>
      </c>
      <c r="M920" s="2">
        <v>1273</v>
      </c>
      <c r="N920" t="s">
        <v>3531</v>
      </c>
      <c r="O920">
        <v>2</v>
      </c>
      <c r="P920">
        <v>2</v>
      </c>
      <c r="Q920">
        <v>0</v>
      </c>
      <c r="R920" t="s">
        <v>1826</v>
      </c>
      <c r="S920" t="s">
        <v>4582</v>
      </c>
      <c r="T920" t="s">
        <v>4655</v>
      </c>
      <c r="U920" t="s">
        <v>4655</v>
      </c>
      <c r="V920" s="2">
        <v>0</v>
      </c>
      <c r="W920" t="s">
        <v>4655</v>
      </c>
      <c r="X920" s="2">
        <v>0</v>
      </c>
      <c r="Y920">
        <v>21</v>
      </c>
      <c r="Z920" t="s">
        <v>3047</v>
      </c>
      <c r="AA920" s="3">
        <v>2.9201101511716801E-2</v>
      </c>
      <c r="AB920" t="s">
        <v>9380</v>
      </c>
      <c r="AC920" t="s">
        <v>4575</v>
      </c>
      <c r="AD920" t="s">
        <v>9381</v>
      </c>
      <c r="AE920" t="s">
        <v>4655</v>
      </c>
      <c r="AF920" t="s">
        <v>4563</v>
      </c>
      <c r="AG920" t="s">
        <v>4564</v>
      </c>
      <c r="AH920">
        <v>89501</v>
      </c>
      <c r="AI920" t="s">
        <v>2657</v>
      </c>
      <c r="AJ920" t="s">
        <v>1846</v>
      </c>
      <c r="AK920" t="s">
        <v>9382</v>
      </c>
      <c r="AL920" s="13" t="s">
        <v>3421</v>
      </c>
      <c r="AM920">
        <v>1</v>
      </c>
      <c r="AN920" s="15" t="s">
        <v>1847</v>
      </c>
    </row>
    <row r="921" spans="1:40" x14ac:dyDescent="0.3">
      <c r="A921" s="10" t="str">
        <f>HYPERLINK("http://www.washoecounty.gov/assessor/cama/?parid=011-558-15&amp;CardNumber=1","011-558-15")</f>
        <v>011-558-15</v>
      </c>
      <c r="B921" t="s">
        <v>4655</v>
      </c>
      <c r="C921" t="s">
        <v>1822</v>
      </c>
      <c r="D921" s="1">
        <v>40359</v>
      </c>
      <c r="E921" s="2">
        <v>77508</v>
      </c>
      <c r="F921" t="s">
        <v>4553</v>
      </c>
      <c r="G921" s="17" t="str">
        <f>HYPERLINK("https://www.washoecounty.gov/assessor/cama/?command=sales&amp;parid=01155815","3896911")</f>
        <v>3896911</v>
      </c>
      <c r="H921" t="s">
        <v>1823</v>
      </c>
      <c r="I921">
        <v>1978</v>
      </c>
      <c r="J921">
        <v>2003</v>
      </c>
      <c r="K921" t="s">
        <v>1824</v>
      </c>
      <c r="L921" t="s">
        <v>1825</v>
      </c>
      <c r="M921" s="2">
        <v>593</v>
      </c>
      <c r="N921" t="s">
        <v>3531</v>
      </c>
      <c r="O921">
        <v>1</v>
      </c>
      <c r="P921">
        <v>1</v>
      </c>
      <c r="Q921">
        <v>0</v>
      </c>
      <c r="R921" t="s">
        <v>1826</v>
      </c>
      <c r="S921" t="s">
        <v>4582</v>
      </c>
      <c r="T921" t="s">
        <v>4655</v>
      </c>
      <c r="U921" t="s">
        <v>4655</v>
      </c>
      <c r="V921" s="2">
        <v>0</v>
      </c>
      <c r="W921" t="s">
        <v>4655</v>
      </c>
      <c r="X921" s="2">
        <v>0</v>
      </c>
      <c r="Y921">
        <v>21</v>
      </c>
      <c r="Z921" t="s">
        <v>3047</v>
      </c>
      <c r="AA921" s="3">
        <v>1.3659320771694201E-2</v>
      </c>
      <c r="AB921" t="s">
        <v>9383</v>
      </c>
      <c r="AC921" t="s">
        <v>4562</v>
      </c>
      <c r="AD921" t="s">
        <v>9384</v>
      </c>
      <c r="AE921" t="s">
        <v>4655</v>
      </c>
      <c r="AF921" t="s">
        <v>4563</v>
      </c>
      <c r="AG921" t="s">
        <v>4564</v>
      </c>
      <c r="AH921">
        <v>89501</v>
      </c>
      <c r="AI921" t="s">
        <v>2657</v>
      </c>
      <c r="AJ921" t="s">
        <v>1846</v>
      </c>
      <c r="AK921" t="s">
        <v>9385</v>
      </c>
      <c r="AL921" s="13" t="s">
        <v>3421</v>
      </c>
      <c r="AM921">
        <v>1</v>
      </c>
      <c r="AN921" s="15" t="s">
        <v>1847</v>
      </c>
    </row>
    <row r="922" spans="1:40" x14ac:dyDescent="0.3">
      <c r="A922" s="10" t="str">
        <f>HYPERLINK("http://www.washoecounty.gov/assessor/cama/?parid=011-558-19&amp;CardNumber=1","011-558-19")</f>
        <v>011-558-19</v>
      </c>
      <c r="B922" t="s">
        <v>4655</v>
      </c>
      <c r="C922" t="s">
        <v>1822</v>
      </c>
      <c r="D922" s="1">
        <v>40466</v>
      </c>
      <c r="E922" s="2">
        <v>195631</v>
      </c>
      <c r="F922" t="s">
        <v>4553</v>
      </c>
      <c r="G922" s="17" t="str">
        <f>HYPERLINK("https://www.washoecounty.gov/assessor/cama/?command=sales&amp;parid=01155819","3933288")</f>
        <v>3933288</v>
      </c>
      <c r="H922" t="s">
        <v>1823</v>
      </c>
      <c r="I922">
        <v>1978</v>
      </c>
      <c r="J922">
        <v>2003</v>
      </c>
      <c r="K922" t="s">
        <v>1824</v>
      </c>
      <c r="L922" t="s">
        <v>1825</v>
      </c>
      <c r="M922" s="2">
        <v>1510</v>
      </c>
      <c r="N922" t="s">
        <v>3531</v>
      </c>
      <c r="O922">
        <v>2</v>
      </c>
      <c r="P922">
        <v>2</v>
      </c>
      <c r="Q922">
        <v>0</v>
      </c>
      <c r="R922" t="s">
        <v>1826</v>
      </c>
      <c r="S922" t="s">
        <v>4582</v>
      </c>
      <c r="T922" t="s">
        <v>4655</v>
      </c>
      <c r="U922" t="s">
        <v>4655</v>
      </c>
      <c r="V922" s="2">
        <v>0</v>
      </c>
      <c r="W922" t="s">
        <v>4655</v>
      </c>
      <c r="X922" s="2">
        <v>0</v>
      </c>
      <c r="Y922">
        <v>21</v>
      </c>
      <c r="Z922" t="s">
        <v>3047</v>
      </c>
      <c r="AA922" s="3">
        <v>3.4710742533206898E-2</v>
      </c>
      <c r="AB922" t="s">
        <v>9386</v>
      </c>
      <c r="AC922" t="s">
        <v>4562</v>
      </c>
      <c r="AD922" t="s">
        <v>9387</v>
      </c>
      <c r="AE922" t="s">
        <v>4655</v>
      </c>
      <c r="AF922" t="s">
        <v>9388</v>
      </c>
      <c r="AG922" t="s">
        <v>4584</v>
      </c>
      <c r="AH922">
        <v>95608</v>
      </c>
      <c r="AI922" t="s">
        <v>2657</v>
      </c>
      <c r="AJ922" t="s">
        <v>1846</v>
      </c>
      <c r="AK922" t="s">
        <v>9389</v>
      </c>
      <c r="AL922" s="13" t="s">
        <v>3421</v>
      </c>
      <c r="AM922" s="14">
        <v>1</v>
      </c>
      <c r="AN922" s="15" t="s">
        <v>1847</v>
      </c>
    </row>
    <row r="923" spans="1:40" x14ac:dyDescent="0.3">
      <c r="A923" s="10" t="str">
        <f>HYPERLINK("http://www.washoecounty.gov/assessor/cama/?parid=011-559-02&amp;CardNumber=1","011-559-02")</f>
        <v>011-559-02</v>
      </c>
      <c r="B923" t="s">
        <v>4655</v>
      </c>
      <c r="C923" t="s">
        <v>1822</v>
      </c>
      <c r="D923" s="1">
        <v>40367</v>
      </c>
      <c r="E923" s="2">
        <v>87301</v>
      </c>
      <c r="F923" t="s">
        <v>4553</v>
      </c>
      <c r="G923" s="17" t="str">
        <f>HYPERLINK("https://www.washoecounty.gov/assessor/cama/?command=sales&amp;parid=01155902","3899329")</f>
        <v>3899329</v>
      </c>
      <c r="H923" t="s">
        <v>1823</v>
      </c>
      <c r="I923">
        <v>1978</v>
      </c>
      <c r="J923">
        <v>2003</v>
      </c>
      <c r="K923" t="s">
        <v>1824</v>
      </c>
      <c r="L923" t="s">
        <v>1825</v>
      </c>
      <c r="M923" s="2">
        <v>599</v>
      </c>
      <c r="N923" t="s">
        <v>3531</v>
      </c>
      <c r="O923">
        <v>1</v>
      </c>
      <c r="P923">
        <v>1</v>
      </c>
      <c r="Q923">
        <v>0</v>
      </c>
      <c r="R923" t="s">
        <v>1826</v>
      </c>
      <c r="S923" t="s">
        <v>4582</v>
      </c>
      <c r="T923" t="s">
        <v>4655</v>
      </c>
      <c r="U923" t="s">
        <v>4655</v>
      </c>
      <c r="V923" s="2">
        <v>0</v>
      </c>
      <c r="W923" t="s">
        <v>4655</v>
      </c>
      <c r="X923" s="2">
        <v>0</v>
      </c>
      <c r="Y923">
        <v>21</v>
      </c>
      <c r="Z923" t="s">
        <v>3047</v>
      </c>
      <c r="AA923" s="3">
        <v>1.37052340433002E-2</v>
      </c>
      <c r="AB923" t="s">
        <v>4467</v>
      </c>
      <c r="AC923" t="s">
        <v>4562</v>
      </c>
      <c r="AD923" t="s">
        <v>4887</v>
      </c>
      <c r="AE923" t="s">
        <v>4655</v>
      </c>
      <c r="AF923" t="s">
        <v>3660</v>
      </c>
      <c r="AG923" t="s">
        <v>4584</v>
      </c>
      <c r="AH923" t="s">
        <v>3307</v>
      </c>
      <c r="AI923" t="s">
        <v>2657</v>
      </c>
      <c r="AJ923" t="s">
        <v>1846</v>
      </c>
      <c r="AK923" t="s">
        <v>9390</v>
      </c>
      <c r="AL923" s="13" t="s">
        <v>3421</v>
      </c>
      <c r="AM923">
        <v>1</v>
      </c>
      <c r="AN923" s="15" t="s">
        <v>1847</v>
      </c>
    </row>
    <row r="924" spans="1:40" x14ac:dyDescent="0.3">
      <c r="A924" s="10" t="str">
        <f>HYPERLINK("http://www.washoecounty.gov/assessor/cama/?parid=011-559-11&amp;CardNumber=1","011-559-11")</f>
        <v>011-559-11</v>
      </c>
      <c r="B924" t="s">
        <v>4655</v>
      </c>
      <c r="C924" t="s">
        <v>1822</v>
      </c>
      <c r="D924" s="1">
        <v>40385</v>
      </c>
      <c r="E924" s="2">
        <v>77637</v>
      </c>
      <c r="F924" t="s">
        <v>4553</v>
      </c>
      <c r="G924" s="17" t="str">
        <f>HYPERLINK("https://www.washoecounty.gov/assessor/cama/?command=sales&amp;parid=01155911","3904757")</f>
        <v>3904757</v>
      </c>
      <c r="H924" t="s">
        <v>1823</v>
      </c>
      <c r="I924">
        <v>1978</v>
      </c>
      <c r="J924">
        <v>2003</v>
      </c>
      <c r="K924" t="s">
        <v>1824</v>
      </c>
      <c r="L924" t="s">
        <v>1825</v>
      </c>
      <c r="M924" s="2">
        <v>637</v>
      </c>
      <c r="N924" t="s">
        <v>3531</v>
      </c>
      <c r="O924">
        <v>1</v>
      </c>
      <c r="P924">
        <v>1</v>
      </c>
      <c r="Q924">
        <v>0</v>
      </c>
      <c r="R924" t="s">
        <v>1826</v>
      </c>
      <c r="S924" t="s">
        <v>4582</v>
      </c>
      <c r="T924" t="s">
        <v>4655</v>
      </c>
      <c r="U924" t="s">
        <v>4655</v>
      </c>
      <c r="V924" s="2">
        <v>0</v>
      </c>
      <c r="W924" t="s">
        <v>4655</v>
      </c>
      <c r="X924" s="2">
        <v>0</v>
      </c>
      <c r="Y924">
        <v>21</v>
      </c>
      <c r="Z924" t="s">
        <v>3047</v>
      </c>
      <c r="AA924" s="3">
        <v>1.45546374842525E-2</v>
      </c>
      <c r="AB924" t="s">
        <v>1508</v>
      </c>
      <c r="AC924" t="s">
        <v>4562</v>
      </c>
      <c r="AD924" t="s">
        <v>1509</v>
      </c>
      <c r="AE924" t="s">
        <v>4655</v>
      </c>
      <c r="AF924" t="s">
        <v>3138</v>
      </c>
      <c r="AG924" t="s">
        <v>4584</v>
      </c>
      <c r="AH924" t="s">
        <v>1510</v>
      </c>
      <c r="AI924" t="s">
        <v>4655</v>
      </c>
      <c r="AJ924" t="s">
        <v>1846</v>
      </c>
      <c r="AK924" t="s">
        <v>9391</v>
      </c>
      <c r="AL924" s="13" t="s">
        <v>3421</v>
      </c>
      <c r="AM924" s="14">
        <v>1</v>
      </c>
      <c r="AN924" s="15" t="s">
        <v>1847</v>
      </c>
    </row>
    <row r="925" spans="1:40" x14ac:dyDescent="0.3">
      <c r="A925" s="10" t="str">
        <f>HYPERLINK("http://www.washoecounty.gov/assessor/cama/?parid=011-559-17&amp;CardNumber=1","011-559-17")</f>
        <v>011-559-17</v>
      </c>
      <c r="B925" t="s">
        <v>4655</v>
      </c>
      <c r="C925" t="s">
        <v>1822</v>
      </c>
      <c r="D925" s="1">
        <v>40408</v>
      </c>
      <c r="E925" s="2">
        <v>93676</v>
      </c>
      <c r="F925" t="s">
        <v>4553</v>
      </c>
      <c r="G925" s="17" t="str">
        <f>HYPERLINK("https://www.washoecounty.gov/assessor/cama/?command=sales&amp;parid=01155917","3913136")</f>
        <v>3913136</v>
      </c>
      <c r="H925" t="s">
        <v>1823</v>
      </c>
      <c r="I925">
        <v>1978</v>
      </c>
      <c r="J925">
        <v>2003</v>
      </c>
      <c r="K925" t="s">
        <v>1824</v>
      </c>
      <c r="L925" t="s">
        <v>1825</v>
      </c>
      <c r="M925" s="2">
        <v>793</v>
      </c>
      <c r="N925" t="s">
        <v>3531</v>
      </c>
      <c r="O925">
        <v>1</v>
      </c>
      <c r="P925">
        <v>1</v>
      </c>
      <c r="Q925">
        <v>0</v>
      </c>
      <c r="R925" t="s">
        <v>1826</v>
      </c>
      <c r="S925" t="s">
        <v>4582</v>
      </c>
      <c r="T925" t="s">
        <v>4655</v>
      </c>
      <c r="U925" t="s">
        <v>4655</v>
      </c>
      <c r="V925" s="2">
        <v>0</v>
      </c>
      <c r="W925" t="s">
        <v>4655</v>
      </c>
      <c r="X925" s="2">
        <v>0</v>
      </c>
      <c r="Y925">
        <v>21</v>
      </c>
      <c r="Z925" t="s">
        <v>3047</v>
      </c>
      <c r="AA925" s="3">
        <v>1.8181817606091499E-2</v>
      </c>
      <c r="AB925" t="s">
        <v>9392</v>
      </c>
      <c r="AC925" t="s">
        <v>4562</v>
      </c>
      <c r="AD925" t="s">
        <v>9393</v>
      </c>
      <c r="AE925" t="s">
        <v>4655</v>
      </c>
      <c r="AF925" t="s">
        <v>9394</v>
      </c>
      <c r="AG925" t="s">
        <v>4584</v>
      </c>
      <c r="AH925">
        <v>94804</v>
      </c>
      <c r="AI925" t="s">
        <v>2657</v>
      </c>
      <c r="AJ925" t="s">
        <v>1846</v>
      </c>
      <c r="AK925" t="s">
        <v>9395</v>
      </c>
      <c r="AL925" s="13" t="s">
        <v>3421</v>
      </c>
      <c r="AM925" s="14">
        <v>1</v>
      </c>
      <c r="AN925" s="15" t="s">
        <v>1847</v>
      </c>
    </row>
    <row r="926" spans="1:40" x14ac:dyDescent="0.3">
      <c r="A926" s="10" t="str">
        <f>HYPERLINK("http://www.washoecounty.gov/assessor/cama/?parid=011-559-20&amp;CardNumber=1","011-559-20")</f>
        <v>011-559-20</v>
      </c>
      <c r="B926" t="s">
        <v>4655</v>
      </c>
      <c r="C926" t="s">
        <v>1822</v>
      </c>
      <c r="D926" s="1">
        <v>40515</v>
      </c>
      <c r="E926" s="2">
        <v>142217</v>
      </c>
      <c r="F926" t="s">
        <v>4553</v>
      </c>
      <c r="G926" s="17" t="str">
        <f>HYPERLINK("https://www.washoecounty.gov/assessor/cama/?command=sales&amp;parid=01155920","3949179")</f>
        <v>3949179</v>
      </c>
      <c r="H926" t="s">
        <v>1823</v>
      </c>
      <c r="I926">
        <v>1978</v>
      </c>
      <c r="J926">
        <v>2003</v>
      </c>
      <c r="K926" t="s">
        <v>1824</v>
      </c>
      <c r="L926" t="s">
        <v>1825</v>
      </c>
      <c r="M926" s="2">
        <v>992</v>
      </c>
      <c r="N926" t="s">
        <v>3531</v>
      </c>
      <c r="O926">
        <v>1</v>
      </c>
      <c r="P926">
        <v>2</v>
      </c>
      <c r="Q926">
        <v>0</v>
      </c>
      <c r="R926" t="s">
        <v>1826</v>
      </c>
      <c r="S926" t="s">
        <v>4582</v>
      </c>
      <c r="T926" t="s">
        <v>4655</v>
      </c>
      <c r="U926" t="s">
        <v>4655</v>
      </c>
      <c r="V926" s="2">
        <v>0</v>
      </c>
      <c r="W926" t="s">
        <v>4655</v>
      </c>
      <c r="X926" s="2">
        <v>0</v>
      </c>
      <c r="Y926">
        <v>21</v>
      </c>
      <c r="Z926" t="s">
        <v>3047</v>
      </c>
      <c r="AA926" s="3">
        <v>2.27502286434174E-2</v>
      </c>
      <c r="AB926" t="s">
        <v>9396</v>
      </c>
      <c r="AC926" t="s">
        <v>4562</v>
      </c>
      <c r="AD926" t="s">
        <v>9397</v>
      </c>
      <c r="AE926" t="s">
        <v>4655</v>
      </c>
      <c r="AF926" t="s">
        <v>9398</v>
      </c>
      <c r="AG926" t="s">
        <v>424</v>
      </c>
      <c r="AH926">
        <v>19007</v>
      </c>
      <c r="AI926" t="s">
        <v>2657</v>
      </c>
      <c r="AJ926" t="s">
        <v>1846</v>
      </c>
      <c r="AK926" t="s">
        <v>9399</v>
      </c>
      <c r="AL926" s="13" t="s">
        <v>3421</v>
      </c>
      <c r="AM926">
        <v>1</v>
      </c>
      <c r="AN926" s="15" t="s">
        <v>1847</v>
      </c>
    </row>
    <row r="927" spans="1:40" x14ac:dyDescent="0.3">
      <c r="A927" s="10" t="str">
        <f>HYPERLINK("http://www.washoecounty.gov/assessor/cama/?parid=011-560-12&amp;CardNumber=1","011-560-12")</f>
        <v>011-560-12</v>
      </c>
      <c r="B927" t="s">
        <v>4655</v>
      </c>
      <c r="C927" t="s">
        <v>1822</v>
      </c>
      <c r="D927" s="1">
        <v>40347</v>
      </c>
      <c r="E927" s="2">
        <v>129792</v>
      </c>
      <c r="F927" t="s">
        <v>4553</v>
      </c>
      <c r="G927" s="17" t="str">
        <f>HYPERLINK("https://www.washoecounty.gov/assessor/cama/?command=sales&amp;parid=01156012","3893262")</f>
        <v>3893262</v>
      </c>
      <c r="H927" t="s">
        <v>1823</v>
      </c>
      <c r="I927">
        <v>1978</v>
      </c>
      <c r="J927">
        <v>2003</v>
      </c>
      <c r="K927" t="s">
        <v>1824</v>
      </c>
      <c r="L927" t="s">
        <v>1825</v>
      </c>
      <c r="M927" s="2">
        <v>1086</v>
      </c>
      <c r="N927" t="s">
        <v>3531</v>
      </c>
      <c r="O927">
        <v>1</v>
      </c>
      <c r="P927">
        <v>1</v>
      </c>
      <c r="Q927">
        <v>0</v>
      </c>
      <c r="R927" t="s">
        <v>1826</v>
      </c>
      <c r="S927" t="s">
        <v>4582</v>
      </c>
      <c r="T927" t="s">
        <v>4655</v>
      </c>
      <c r="U927" t="s">
        <v>4655</v>
      </c>
      <c r="V927" s="2">
        <v>0</v>
      </c>
      <c r="W927" t="s">
        <v>4655</v>
      </c>
      <c r="X927" s="2">
        <v>0</v>
      </c>
      <c r="Y927">
        <v>21</v>
      </c>
      <c r="Z927" t="s">
        <v>3047</v>
      </c>
      <c r="AA927" s="3">
        <v>2.48852148652077E-2</v>
      </c>
      <c r="AB927" t="s">
        <v>4467</v>
      </c>
      <c r="AC927" t="s">
        <v>4562</v>
      </c>
      <c r="AD927" t="s">
        <v>4887</v>
      </c>
      <c r="AE927" t="s">
        <v>4655</v>
      </c>
      <c r="AF927" t="s">
        <v>3660</v>
      </c>
      <c r="AG927" t="s">
        <v>4584</v>
      </c>
      <c r="AH927" t="s">
        <v>3307</v>
      </c>
      <c r="AI927" t="s">
        <v>2657</v>
      </c>
      <c r="AJ927" t="s">
        <v>1846</v>
      </c>
      <c r="AK927" t="s">
        <v>9400</v>
      </c>
      <c r="AL927" s="13" t="s">
        <v>3421</v>
      </c>
      <c r="AM927">
        <v>1</v>
      </c>
      <c r="AN927" s="15" t="s">
        <v>1847</v>
      </c>
    </row>
    <row r="928" spans="1:40" x14ac:dyDescent="0.3">
      <c r="A928" s="10" t="str">
        <f>HYPERLINK("http://www.washoecounty.gov/assessor/cama/?parid=011-560-17&amp;CardNumber=1","011-560-17")</f>
        <v>011-560-17</v>
      </c>
      <c r="B928" t="s">
        <v>4655</v>
      </c>
      <c r="C928" t="s">
        <v>1822</v>
      </c>
      <c r="D928" s="1">
        <v>40483</v>
      </c>
      <c r="E928" s="2">
        <v>92111</v>
      </c>
      <c r="F928" t="s">
        <v>4553</v>
      </c>
      <c r="G928" s="17" t="str">
        <f>HYPERLINK("https://www.washoecounty.gov/assessor/cama/?command=sales&amp;parid=01156017","3938534")</f>
        <v>3938534</v>
      </c>
      <c r="H928" t="s">
        <v>1823</v>
      </c>
      <c r="I928">
        <v>1978</v>
      </c>
      <c r="J928">
        <v>2003</v>
      </c>
      <c r="K928" t="s">
        <v>1824</v>
      </c>
      <c r="L928" t="s">
        <v>1825</v>
      </c>
      <c r="M928" s="2">
        <v>793</v>
      </c>
      <c r="N928" t="s">
        <v>3531</v>
      </c>
      <c r="O928">
        <v>1</v>
      </c>
      <c r="P928">
        <v>1</v>
      </c>
      <c r="Q928">
        <v>0</v>
      </c>
      <c r="R928" t="s">
        <v>1826</v>
      </c>
      <c r="S928" t="s">
        <v>4582</v>
      </c>
      <c r="T928" t="s">
        <v>4655</v>
      </c>
      <c r="U928" t="s">
        <v>4655</v>
      </c>
      <c r="V928" s="2">
        <v>0</v>
      </c>
      <c r="W928" t="s">
        <v>4655</v>
      </c>
      <c r="X928" s="2">
        <v>0</v>
      </c>
      <c r="Y928">
        <v>21</v>
      </c>
      <c r="Z928" t="s">
        <v>3047</v>
      </c>
      <c r="AA928" s="3">
        <v>1.8204774707555799E-2</v>
      </c>
      <c r="AB928" t="s">
        <v>2960</v>
      </c>
      <c r="AC928" t="s">
        <v>4562</v>
      </c>
      <c r="AD928" t="s">
        <v>2961</v>
      </c>
      <c r="AE928" t="s">
        <v>4655</v>
      </c>
      <c r="AF928" t="s">
        <v>4563</v>
      </c>
      <c r="AG928" t="s">
        <v>4564</v>
      </c>
      <c r="AH928">
        <v>89501</v>
      </c>
      <c r="AI928" t="s">
        <v>2657</v>
      </c>
      <c r="AJ928" t="s">
        <v>1846</v>
      </c>
      <c r="AK928" t="s">
        <v>9401</v>
      </c>
      <c r="AL928" s="13" t="s">
        <v>3421</v>
      </c>
      <c r="AM928">
        <v>1</v>
      </c>
      <c r="AN928" s="15" t="s">
        <v>1847</v>
      </c>
    </row>
    <row r="929" spans="1:40" x14ac:dyDescent="0.3">
      <c r="A929" s="10" t="str">
        <f>HYPERLINK("http://www.washoecounty.gov/assessor/cama/?parid=011-560-19&amp;CardNumber=1","011-560-19")</f>
        <v>011-560-19</v>
      </c>
      <c r="B929" t="s">
        <v>4655</v>
      </c>
      <c r="C929" t="s">
        <v>1822</v>
      </c>
      <c r="D929" s="1">
        <v>40323</v>
      </c>
      <c r="E929" s="2">
        <v>188756</v>
      </c>
      <c r="F929" t="s">
        <v>4553</v>
      </c>
      <c r="G929" s="17" t="str">
        <f>HYPERLINK("https://www.washoecounty.gov/assessor/cama/?command=sales&amp;parid=01156019","3884972")</f>
        <v>3884972</v>
      </c>
      <c r="H929" t="s">
        <v>1823</v>
      </c>
      <c r="I929">
        <v>1978</v>
      </c>
      <c r="J929">
        <v>2003</v>
      </c>
      <c r="K929" t="s">
        <v>1824</v>
      </c>
      <c r="L929" t="s">
        <v>1825</v>
      </c>
      <c r="M929" s="2">
        <v>1516</v>
      </c>
      <c r="N929" t="s">
        <v>3531</v>
      </c>
      <c r="O929">
        <v>2</v>
      </c>
      <c r="P929">
        <v>2</v>
      </c>
      <c r="Q929">
        <v>0</v>
      </c>
      <c r="R929" t="s">
        <v>1826</v>
      </c>
      <c r="S929" t="s">
        <v>4582</v>
      </c>
      <c r="T929" t="s">
        <v>4655</v>
      </c>
      <c r="U929" t="s">
        <v>4655</v>
      </c>
      <c r="V929" s="2">
        <v>0</v>
      </c>
      <c r="W929" t="s">
        <v>4655</v>
      </c>
      <c r="X929" s="2">
        <v>0</v>
      </c>
      <c r="Y929">
        <v>21</v>
      </c>
      <c r="Z929" t="s">
        <v>3047</v>
      </c>
      <c r="AA929" s="3">
        <v>3.4802570939063998E-2</v>
      </c>
      <c r="AB929" t="s">
        <v>9402</v>
      </c>
      <c r="AC929" t="s">
        <v>4575</v>
      </c>
      <c r="AD929" t="s">
        <v>9403</v>
      </c>
      <c r="AE929" t="s">
        <v>4655</v>
      </c>
      <c r="AF929" t="s">
        <v>4563</v>
      </c>
      <c r="AG929" t="s">
        <v>4564</v>
      </c>
      <c r="AH929">
        <v>89501</v>
      </c>
      <c r="AI929" t="s">
        <v>2657</v>
      </c>
      <c r="AJ929" t="s">
        <v>1846</v>
      </c>
      <c r="AK929" t="s">
        <v>9404</v>
      </c>
      <c r="AL929" s="13" t="s">
        <v>3421</v>
      </c>
      <c r="AM929">
        <v>1</v>
      </c>
      <c r="AN929" s="15" t="s">
        <v>1847</v>
      </c>
    </row>
    <row r="930" spans="1:40" x14ac:dyDescent="0.3">
      <c r="A930" s="10" t="str">
        <f>HYPERLINK("http://www.washoecounty.gov/assessor/cama/?parid=011-561-05&amp;CardNumber=1","011-561-05")</f>
        <v>011-561-05</v>
      </c>
      <c r="B930" t="s">
        <v>4655</v>
      </c>
      <c r="C930" t="s">
        <v>1822</v>
      </c>
      <c r="D930" s="1">
        <v>40336</v>
      </c>
      <c r="E930" s="2">
        <v>128205</v>
      </c>
      <c r="F930" t="s">
        <v>4553</v>
      </c>
      <c r="G930" s="17" t="str">
        <f>HYPERLINK("https://www.washoecounty.gov/assessor/cama/?command=sales&amp;parid=01156105","3888728")</f>
        <v>3888728</v>
      </c>
      <c r="H930" t="s">
        <v>1823</v>
      </c>
      <c r="I930">
        <v>1978</v>
      </c>
      <c r="J930">
        <v>2003</v>
      </c>
      <c r="K930" t="s">
        <v>1824</v>
      </c>
      <c r="L930" t="s">
        <v>1825</v>
      </c>
      <c r="M930" s="2">
        <v>1086</v>
      </c>
      <c r="N930" t="s">
        <v>3531</v>
      </c>
      <c r="O930">
        <v>1</v>
      </c>
      <c r="P930">
        <v>1</v>
      </c>
      <c r="Q930">
        <v>0</v>
      </c>
      <c r="R930" t="s">
        <v>1826</v>
      </c>
      <c r="S930" t="s">
        <v>4582</v>
      </c>
      <c r="T930" t="s">
        <v>4655</v>
      </c>
      <c r="U930" t="s">
        <v>4655</v>
      </c>
      <c r="V930" s="2">
        <v>0</v>
      </c>
      <c r="W930" t="s">
        <v>4655</v>
      </c>
      <c r="X930" s="2">
        <v>0</v>
      </c>
      <c r="Y930">
        <v>21</v>
      </c>
      <c r="Z930" t="s">
        <v>3047</v>
      </c>
      <c r="AA930" s="3">
        <v>2.4954086169600501E-2</v>
      </c>
      <c r="AB930" t="s">
        <v>9405</v>
      </c>
      <c r="AC930" t="s">
        <v>4575</v>
      </c>
      <c r="AD930" t="s">
        <v>9406</v>
      </c>
      <c r="AE930" t="s">
        <v>4655</v>
      </c>
      <c r="AF930" t="s">
        <v>4563</v>
      </c>
      <c r="AG930" t="s">
        <v>4564</v>
      </c>
      <c r="AH930">
        <v>89509</v>
      </c>
      <c r="AI930" t="s">
        <v>9407</v>
      </c>
      <c r="AJ930" t="s">
        <v>1846</v>
      </c>
      <c r="AK930" t="s">
        <v>9408</v>
      </c>
      <c r="AL930" s="13" t="s">
        <v>3421</v>
      </c>
      <c r="AM930" s="14">
        <v>1</v>
      </c>
      <c r="AN930" s="15" t="s">
        <v>1847</v>
      </c>
    </row>
    <row r="931" spans="1:40" x14ac:dyDescent="0.3">
      <c r="A931" s="10" t="str">
        <f>HYPERLINK("http://www.washoecounty.gov/assessor/cama/?parid=011-561-20&amp;CardNumber=1","011-561-20")</f>
        <v>011-561-20</v>
      </c>
      <c r="B931" t="s">
        <v>4655</v>
      </c>
      <c r="C931" t="s">
        <v>1822</v>
      </c>
      <c r="D931" s="1">
        <v>40506</v>
      </c>
      <c r="E931" s="2">
        <v>143790</v>
      </c>
      <c r="F931" t="s">
        <v>4567</v>
      </c>
      <c r="G931" s="17" t="str">
        <f>HYPERLINK("https://www.washoecounty.gov/assessor/cama/?command=sales&amp;parid=01156120","3946788")</f>
        <v>3946788</v>
      </c>
      <c r="H931" t="s">
        <v>1823</v>
      </c>
      <c r="I931">
        <v>1978</v>
      </c>
      <c r="J931">
        <v>2003</v>
      </c>
      <c r="K931" t="s">
        <v>1824</v>
      </c>
      <c r="L931" t="s">
        <v>1825</v>
      </c>
      <c r="M931" s="2">
        <v>998</v>
      </c>
      <c r="N931" t="s">
        <v>3531</v>
      </c>
      <c r="O931">
        <v>1</v>
      </c>
      <c r="P931">
        <v>2</v>
      </c>
      <c r="Q931">
        <v>0</v>
      </c>
      <c r="R931" t="s">
        <v>1826</v>
      </c>
      <c r="S931" t="s">
        <v>4582</v>
      </c>
      <c r="T931" t="s">
        <v>4655</v>
      </c>
      <c r="U931" t="s">
        <v>4655</v>
      </c>
      <c r="V931" s="2">
        <v>0</v>
      </c>
      <c r="W931" t="s">
        <v>4655</v>
      </c>
      <c r="X931" s="2">
        <v>0</v>
      </c>
      <c r="Y931">
        <v>21</v>
      </c>
      <c r="Z931" t="s">
        <v>3047</v>
      </c>
      <c r="AA931" s="3">
        <v>2.2887971252203002E-2</v>
      </c>
      <c r="AB931" t="s">
        <v>9409</v>
      </c>
      <c r="AC931" t="s">
        <v>4575</v>
      </c>
      <c r="AD931" t="s">
        <v>9410</v>
      </c>
      <c r="AE931" t="s">
        <v>4655</v>
      </c>
      <c r="AF931" t="s">
        <v>9411</v>
      </c>
      <c r="AG931" t="s">
        <v>762</v>
      </c>
      <c r="AH931">
        <v>78028</v>
      </c>
      <c r="AI931" t="s">
        <v>2657</v>
      </c>
      <c r="AJ931" t="s">
        <v>1846</v>
      </c>
      <c r="AK931" t="s">
        <v>9412</v>
      </c>
      <c r="AL931" s="13" t="s">
        <v>3421</v>
      </c>
      <c r="AM931">
        <v>1</v>
      </c>
      <c r="AN931" s="15" t="s">
        <v>1847</v>
      </c>
    </row>
    <row r="932" spans="1:40" x14ac:dyDescent="0.3">
      <c r="A932" s="10" t="str">
        <f>HYPERLINK("http://www.washoecounty.gov/assessor/cama/?parid=011-562-08&amp;CardNumber=1","011-562-08")</f>
        <v>011-562-08</v>
      </c>
      <c r="B932" t="s">
        <v>4655</v>
      </c>
      <c r="C932" t="s">
        <v>1822</v>
      </c>
      <c r="D932" s="1">
        <v>40428</v>
      </c>
      <c r="E932" s="2">
        <v>97669</v>
      </c>
      <c r="F932" t="s">
        <v>4553</v>
      </c>
      <c r="G932" s="17" t="str">
        <f>HYPERLINK("https://www.washoecounty.gov/assessor/cama/?command=sales&amp;parid=01156208","3919270")</f>
        <v>3919270</v>
      </c>
      <c r="H932" t="s">
        <v>1823</v>
      </c>
      <c r="I932">
        <v>1978</v>
      </c>
      <c r="J932">
        <v>2003</v>
      </c>
      <c r="K932" t="s">
        <v>1824</v>
      </c>
      <c r="L932" t="s">
        <v>1825</v>
      </c>
      <c r="M932" s="2">
        <v>805</v>
      </c>
      <c r="N932" t="s">
        <v>3531</v>
      </c>
      <c r="O932">
        <v>1</v>
      </c>
      <c r="P932">
        <v>1</v>
      </c>
      <c r="Q932">
        <v>0</v>
      </c>
      <c r="R932" t="s">
        <v>1826</v>
      </c>
      <c r="S932" t="s">
        <v>4582</v>
      </c>
      <c r="T932" t="s">
        <v>4655</v>
      </c>
      <c r="U932" t="s">
        <v>4655</v>
      </c>
      <c r="V932" s="2">
        <v>0</v>
      </c>
      <c r="W932" t="s">
        <v>4655</v>
      </c>
      <c r="X932" s="2">
        <v>0</v>
      </c>
      <c r="Y932">
        <v>21</v>
      </c>
      <c r="Z932" t="s">
        <v>3047</v>
      </c>
      <c r="AA932" s="3">
        <v>1.84802561998367E-2</v>
      </c>
      <c r="AB932" t="s">
        <v>1508</v>
      </c>
      <c r="AC932" t="s">
        <v>4562</v>
      </c>
      <c r="AD932" t="s">
        <v>1509</v>
      </c>
      <c r="AE932" t="s">
        <v>4655</v>
      </c>
      <c r="AF932" t="s">
        <v>3138</v>
      </c>
      <c r="AG932" t="s">
        <v>4584</v>
      </c>
      <c r="AH932" t="s">
        <v>1510</v>
      </c>
      <c r="AI932" t="s">
        <v>2657</v>
      </c>
      <c r="AJ932" t="s">
        <v>1846</v>
      </c>
      <c r="AK932" t="s">
        <v>9413</v>
      </c>
      <c r="AL932" s="13" t="s">
        <v>3421</v>
      </c>
      <c r="AM932">
        <v>1</v>
      </c>
      <c r="AN932" s="15" t="s">
        <v>1847</v>
      </c>
    </row>
    <row r="933" spans="1:40" x14ac:dyDescent="0.3">
      <c r="A933" s="10" t="str">
        <f>HYPERLINK("http://www.washoecounty.gov/assessor/cama/?parid=011-562-19&amp;CardNumber=1","011-562-19")</f>
        <v>011-562-19</v>
      </c>
      <c r="B933" t="s">
        <v>4655</v>
      </c>
      <c r="C933" t="s">
        <v>1822</v>
      </c>
      <c r="D933" s="1">
        <v>40220</v>
      </c>
      <c r="E933" s="2">
        <v>200000</v>
      </c>
      <c r="F933" t="s">
        <v>4567</v>
      </c>
      <c r="G933" s="17" t="str">
        <f>HYPERLINK("https://www.washoecounty.gov/assessor/cama/?command=sales&amp;parid=01156219","3848072")</f>
        <v>3848072</v>
      </c>
      <c r="H933" t="s">
        <v>1823</v>
      </c>
      <c r="I933">
        <v>1978</v>
      </c>
      <c r="J933">
        <v>2003</v>
      </c>
      <c r="K933" t="s">
        <v>1824</v>
      </c>
      <c r="L933" t="s">
        <v>1825</v>
      </c>
      <c r="M933" s="2">
        <v>1516</v>
      </c>
      <c r="N933" t="s">
        <v>3531</v>
      </c>
      <c r="O933">
        <v>2</v>
      </c>
      <c r="P933">
        <v>2</v>
      </c>
      <c r="Q933">
        <v>0</v>
      </c>
      <c r="R933" t="s">
        <v>1826</v>
      </c>
      <c r="S933" t="s">
        <v>4582</v>
      </c>
      <c r="T933" t="s">
        <v>4655</v>
      </c>
      <c r="U933" t="s">
        <v>4655</v>
      </c>
      <c r="V933" s="2">
        <v>0</v>
      </c>
      <c r="W933" t="s">
        <v>4655</v>
      </c>
      <c r="X933" s="2">
        <v>0</v>
      </c>
      <c r="Y933">
        <v>21</v>
      </c>
      <c r="Z933" t="s">
        <v>3047</v>
      </c>
      <c r="AA933" s="3">
        <v>3.4871440380811698E-2</v>
      </c>
      <c r="AB933" t="s">
        <v>9339</v>
      </c>
      <c r="AC933" t="s">
        <v>4575</v>
      </c>
      <c r="AD933" t="s">
        <v>9340</v>
      </c>
      <c r="AE933" t="s">
        <v>9414</v>
      </c>
      <c r="AF933" t="s">
        <v>574</v>
      </c>
      <c r="AG933" t="s">
        <v>4584</v>
      </c>
      <c r="AH933">
        <v>95051</v>
      </c>
      <c r="AI933" t="s">
        <v>9415</v>
      </c>
      <c r="AJ933" t="s">
        <v>1846</v>
      </c>
      <c r="AK933" t="s">
        <v>9416</v>
      </c>
      <c r="AL933" s="13" t="s">
        <v>3421</v>
      </c>
      <c r="AM933" s="14">
        <v>1</v>
      </c>
      <c r="AN933" s="15" t="s">
        <v>1847</v>
      </c>
    </row>
    <row r="934" spans="1:40" x14ac:dyDescent="0.3">
      <c r="A934" s="10" t="str">
        <f>HYPERLINK("http://www.washoecounty.gov/assessor/cama/?parid=011-563-19&amp;CardNumber=1","011-563-19")</f>
        <v>011-563-19</v>
      </c>
      <c r="B934" t="s">
        <v>4655</v>
      </c>
      <c r="C934" t="s">
        <v>1822</v>
      </c>
      <c r="D934" s="1">
        <v>40484</v>
      </c>
      <c r="E934" s="2">
        <v>210000</v>
      </c>
      <c r="F934" t="s">
        <v>4553</v>
      </c>
      <c r="G934" s="17" t="str">
        <f>HYPERLINK("https://www.washoecounty.gov/assessor/cama/?command=sales&amp;parid=01156319","3938891")</f>
        <v>3938891</v>
      </c>
      <c r="H934" t="s">
        <v>1823</v>
      </c>
      <c r="I934">
        <v>1978</v>
      </c>
      <c r="J934">
        <v>2003</v>
      </c>
      <c r="K934" t="s">
        <v>1824</v>
      </c>
      <c r="L934" t="s">
        <v>1825</v>
      </c>
      <c r="M934" s="2">
        <v>1523</v>
      </c>
      <c r="N934" t="s">
        <v>3531</v>
      </c>
      <c r="O934">
        <v>2</v>
      </c>
      <c r="P934">
        <v>2</v>
      </c>
      <c r="Q934">
        <v>0</v>
      </c>
      <c r="R934" t="s">
        <v>1826</v>
      </c>
      <c r="S934" t="s">
        <v>4582</v>
      </c>
      <c r="T934" t="s">
        <v>4655</v>
      </c>
      <c r="U934" t="s">
        <v>4655</v>
      </c>
      <c r="V934" s="2">
        <v>0</v>
      </c>
      <c r="W934" t="s">
        <v>4655</v>
      </c>
      <c r="X934" s="2">
        <v>0</v>
      </c>
      <c r="Y934">
        <v>21</v>
      </c>
      <c r="Z934" t="s">
        <v>3047</v>
      </c>
      <c r="AA934" s="3">
        <v>3.4963268786668798E-2</v>
      </c>
      <c r="AB934" t="s">
        <v>9219</v>
      </c>
      <c r="AC934" t="s">
        <v>4562</v>
      </c>
      <c r="AD934" t="s">
        <v>9417</v>
      </c>
      <c r="AE934" t="s">
        <v>4655</v>
      </c>
      <c r="AF934" t="s">
        <v>1189</v>
      </c>
      <c r="AG934" t="s">
        <v>4564</v>
      </c>
      <c r="AH934">
        <v>89107</v>
      </c>
      <c r="AI934" t="s">
        <v>2657</v>
      </c>
      <c r="AJ934" t="s">
        <v>1846</v>
      </c>
      <c r="AK934" t="s">
        <v>9418</v>
      </c>
      <c r="AL934" s="13" t="s">
        <v>3421</v>
      </c>
      <c r="AM934">
        <v>1</v>
      </c>
      <c r="AN934" s="15" t="s">
        <v>1847</v>
      </c>
    </row>
    <row r="935" spans="1:40" x14ac:dyDescent="0.3">
      <c r="A935" s="10" t="str">
        <f>HYPERLINK("http://www.washoecounty.gov/assessor/cama/?parid=011-564-03&amp;CardNumber=1","011-564-03")</f>
        <v>011-564-03</v>
      </c>
      <c r="B935" t="s">
        <v>4655</v>
      </c>
      <c r="C935" t="s">
        <v>1822</v>
      </c>
      <c r="D935" s="1">
        <v>40528</v>
      </c>
      <c r="E935" s="2">
        <v>193250</v>
      </c>
      <c r="F935" t="s">
        <v>4553</v>
      </c>
      <c r="G935" s="17" t="str">
        <f>HYPERLINK("https://www.washoecounty.gov/assessor/cama/?command=sales&amp;parid=01156403","3953972")</f>
        <v>3953972</v>
      </c>
      <c r="H935" t="s">
        <v>4468</v>
      </c>
      <c r="I935">
        <v>1978</v>
      </c>
      <c r="J935">
        <v>2003</v>
      </c>
      <c r="K935" t="s">
        <v>1824</v>
      </c>
      <c r="L935" t="s">
        <v>1825</v>
      </c>
      <c r="M935" s="2">
        <v>1261</v>
      </c>
      <c r="N935" t="s">
        <v>3531</v>
      </c>
      <c r="O935">
        <v>2</v>
      </c>
      <c r="P935">
        <v>2</v>
      </c>
      <c r="Q935">
        <v>0</v>
      </c>
      <c r="R935" t="s">
        <v>1826</v>
      </c>
      <c r="S935" t="s">
        <v>4582</v>
      </c>
      <c r="T935" t="s">
        <v>4655</v>
      </c>
      <c r="U935" t="s">
        <v>4655</v>
      </c>
      <c r="V935" s="2">
        <v>0</v>
      </c>
      <c r="W935" t="s">
        <v>4655</v>
      </c>
      <c r="X935" s="2">
        <v>0</v>
      </c>
      <c r="Y935">
        <v>21</v>
      </c>
      <c r="Z935" t="s">
        <v>3047</v>
      </c>
      <c r="AA935" s="3">
        <v>2.8902662917971601E-2</v>
      </c>
      <c r="AB935" t="s">
        <v>4467</v>
      </c>
      <c r="AC935" t="s">
        <v>4562</v>
      </c>
      <c r="AD935" t="s">
        <v>4887</v>
      </c>
      <c r="AE935" t="s">
        <v>4655</v>
      </c>
      <c r="AF935" t="s">
        <v>3660</v>
      </c>
      <c r="AG935" t="s">
        <v>4584</v>
      </c>
      <c r="AH935" t="s">
        <v>3307</v>
      </c>
      <c r="AI935" t="s">
        <v>2657</v>
      </c>
      <c r="AJ935" t="s">
        <v>4469</v>
      </c>
      <c r="AK935" t="s">
        <v>9419</v>
      </c>
      <c r="AL935" s="13" t="s">
        <v>3421</v>
      </c>
      <c r="AM935" s="14">
        <v>1</v>
      </c>
      <c r="AN935" s="15" t="s">
        <v>1847</v>
      </c>
    </row>
    <row r="936" spans="1:40" x14ac:dyDescent="0.3">
      <c r="A936" s="10" t="str">
        <f>HYPERLINK("http://www.washoecounty.gov/assessor/cama/?parid=011-564-04&amp;CardNumber=1","011-564-04")</f>
        <v>011-564-04</v>
      </c>
      <c r="B936" t="s">
        <v>4655</v>
      </c>
      <c r="C936" t="s">
        <v>1822</v>
      </c>
      <c r="D936" s="1">
        <v>40533</v>
      </c>
      <c r="E936" s="2">
        <v>141000</v>
      </c>
      <c r="F936" t="s">
        <v>4553</v>
      </c>
      <c r="G936" s="17" t="str">
        <f>HYPERLINK("https://www.washoecounty.gov/assessor/cama/?command=sales&amp;parid=01156404","3955872")</f>
        <v>3955872</v>
      </c>
      <c r="H936" t="s">
        <v>4468</v>
      </c>
      <c r="I936">
        <v>1978</v>
      </c>
      <c r="J936">
        <v>2003</v>
      </c>
      <c r="K936" t="s">
        <v>1824</v>
      </c>
      <c r="L936" t="s">
        <v>1825</v>
      </c>
      <c r="M936" s="2">
        <v>1086</v>
      </c>
      <c r="N936" t="s">
        <v>3531</v>
      </c>
      <c r="O936">
        <v>1</v>
      </c>
      <c r="P936">
        <v>1</v>
      </c>
      <c r="Q936">
        <v>0</v>
      </c>
      <c r="R936" t="s">
        <v>1826</v>
      </c>
      <c r="S936" t="s">
        <v>4582</v>
      </c>
      <c r="T936" t="s">
        <v>4655</v>
      </c>
      <c r="U936" t="s">
        <v>4655</v>
      </c>
      <c r="V936" s="2">
        <v>0</v>
      </c>
      <c r="W936" t="s">
        <v>4655</v>
      </c>
      <c r="X936" s="2">
        <v>0</v>
      </c>
      <c r="Y936">
        <v>21</v>
      </c>
      <c r="Z936" t="s">
        <v>3047</v>
      </c>
      <c r="AA936" s="3">
        <v>2.4954086169600501E-2</v>
      </c>
      <c r="AB936" t="s">
        <v>9420</v>
      </c>
      <c r="AC936" t="s">
        <v>4562</v>
      </c>
      <c r="AD936" t="s">
        <v>9421</v>
      </c>
      <c r="AE936" t="s">
        <v>4655</v>
      </c>
      <c r="AF936" t="s">
        <v>4563</v>
      </c>
      <c r="AG936" t="s">
        <v>4564</v>
      </c>
      <c r="AH936">
        <v>89501</v>
      </c>
      <c r="AI936" t="s">
        <v>2657</v>
      </c>
      <c r="AJ936" t="s">
        <v>4469</v>
      </c>
      <c r="AK936" t="s">
        <v>9422</v>
      </c>
      <c r="AL936" s="13" t="s">
        <v>3421</v>
      </c>
      <c r="AM936" s="14">
        <v>1</v>
      </c>
      <c r="AN936" s="15" t="s">
        <v>1847</v>
      </c>
    </row>
    <row r="937" spans="1:40" x14ac:dyDescent="0.3">
      <c r="A937" s="10" t="str">
        <f>HYPERLINK("http://www.washoecounty.gov/assessor/cama/?parid=011-564-06&amp;CardNumber=1","011-564-06")</f>
        <v>011-564-06</v>
      </c>
      <c r="B937" t="s">
        <v>4655</v>
      </c>
      <c r="C937" t="s">
        <v>1822</v>
      </c>
      <c r="D937" s="1">
        <v>40347</v>
      </c>
      <c r="E937" s="2">
        <v>120264</v>
      </c>
      <c r="F937" t="s">
        <v>4553</v>
      </c>
      <c r="G937" s="17" t="str">
        <f>HYPERLINK("https://www.washoecounty.gov/assessor/cama/?command=sales&amp;parid=01156406","3893231")</f>
        <v>3893231</v>
      </c>
      <c r="H937" t="s">
        <v>4468</v>
      </c>
      <c r="I937">
        <v>1978</v>
      </c>
      <c r="J937">
        <v>2003</v>
      </c>
      <c r="K937" t="s">
        <v>1824</v>
      </c>
      <c r="L937" t="s">
        <v>1825</v>
      </c>
      <c r="M937" s="2">
        <v>967</v>
      </c>
      <c r="N937" t="s">
        <v>3531</v>
      </c>
      <c r="O937">
        <v>1</v>
      </c>
      <c r="P937">
        <v>1</v>
      </c>
      <c r="Q937">
        <v>0</v>
      </c>
      <c r="R937" t="s">
        <v>1826</v>
      </c>
      <c r="S937" t="s">
        <v>4582</v>
      </c>
      <c r="T937" t="s">
        <v>4655</v>
      </c>
      <c r="U937" t="s">
        <v>4655</v>
      </c>
      <c r="V937" s="2">
        <v>0</v>
      </c>
      <c r="W937" t="s">
        <v>4655</v>
      </c>
      <c r="X937" s="2">
        <v>0</v>
      </c>
      <c r="Y937">
        <v>21</v>
      </c>
      <c r="Z937" t="s">
        <v>3047</v>
      </c>
      <c r="AA937" s="3">
        <v>2.21992656588554E-2</v>
      </c>
      <c r="AB937" t="s">
        <v>4467</v>
      </c>
      <c r="AC937" t="s">
        <v>4562</v>
      </c>
      <c r="AD937" t="s">
        <v>4887</v>
      </c>
      <c r="AE937" t="s">
        <v>4655</v>
      </c>
      <c r="AF937" t="s">
        <v>3660</v>
      </c>
      <c r="AG937" t="s">
        <v>4584</v>
      </c>
      <c r="AH937" t="s">
        <v>3307</v>
      </c>
      <c r="AI937" t="s">
        <v>2657</v>
      </c>
      <c r="AJ937" t="s">
        <v>4469</v>
      </c>
      <c r="AK937" t="s">
        <v>9423</v>
      </c>
      <c r="AL937" s="13" t="s">
        <v>3421</v>
      </c>
      <c r="AM937" s="14">
        <v>1</v>
      </c>
      <c r="AN937" s="15" t="s">
        <v>1847</v>
      </c>
    </row>
    <row r="938" spans="1:40" x14ac:dyDescent="0.3">
      <c r="A938" s="10" t="str">
        <f>HYPERLINK("http://www.washoecounty.gov/assessor/cama/?parid=011-564-09&amp;CardNumber=1","011-564-09")</f>
        <v>011-564-09</v>
      </c>
      <c r="B938" t="s">
        <v>4655</v>
      </c>
      <c r="C938" t="s">
        <v>1822</v>
      </c>
      <c r="D938" s="1">
        <v>40448</v>
      </c>
      <c r="E938" s="2">
        <v>123372</v>
      </c>
      <c r="F938" t="s">
        <v>4553</v>
      </c>
      <c r="G938" s="17" t="str">
        <f>HYPERLINK("https://www.washoecounty.gov/assessor/cama/?command=sales&amp;parid=01156409","3926597")</f>
        <v>3926597</v>
      </c>
      <c r="H938" t="s">
        <v>4468</v>
      </c>
      <c r="I938">
        <v>1978</v>
      </c>
      <c r="J938">
        <v>2003</v>
      </c>
      <c r="K938" t="s">
        <v>1824</v>
      </c>
      <c r="L938" t="s">
        <v>1825</v>
      </c>
      <c r="M938" s="2">
        <v>961</v>
      </c>
      <c r="N938" t="s">
        <v>3531</v>
      </c>
      <c r="O938">
        <v>1</v>
      </c>
      <c r="P938">
        <v>1</v>
      </c>
      <c r="Q938">
        <v>0</v>
      </c>
      <c r="R938" t="s">
        <v>1826</v>
      </c>
      <c r="S938" t="s">
        <v>4582</v>
      </c>
      <c r="T938" t="s">
        <v>4655</v>
      </c>
      <c r="U938" t="s">
        <v>4655</v>
      </c>
      <c r="V938" s="2">
        <v>0</v>
      </c>
      <c r="W938" t="s">
        <v>4655</v>
      </c>
      <c r="X938" s="2">
        <v>0</v>
      </c>
      <c r="Y938">
        <v>21</v>
      </c>
      <c r="Z938" t="s">
        <v>3047</v>
      </c>
      <c r="AA938" s="3">
        <v>2.2130394354462599E-2</v>
      </c>
      <c r="AB938" t="s">
        <v>2960</v>
      </c>
      <c r="AC938" t="s">
        <v>4562</v>
      </c>
      <c r="AD938" t="s">
        <v>2961</v>
      </c>
      <c r="AE938" t="s">
        <v>4655</v>
      </c>
      <c r="AF938" t="s">
        <v>4563</v>
      </c>
      <c r="AG938" t="s">
        <v>4564</v>
      </c>
      <c r="AH938">
        <v>89501</v>
      </c>
      <c r="AI938" t="s">
        <v>2657</v>
      </c>
      <c r="AJ938" t="s">
        <v>4469</v>
      </c>
      <c r="AK938" t="s">
        <v>9424</v>
      </c>
      <c r="AL938" s="13" t="s">
        <v>3421</v>
      </c>
      <c r="AM938">
        <v>1</v>
      </c>
      <c r="AN938" s="15" t="s">
        <v>1847</v>
      </c>
    </row>
    <row r="939" spans="1:40" x14ac:dyDescent="0.3">
      <c r="A939" s="10" t="str">
        <f>HYPERLINK("http://www.washoecounty.gov/assessor/cama/?parid=011-564-19&amp;CardNumber=1","011-564-19")</f>
        <v>011-564-19</v>
      </c>
      <c r="B939" t="s">
        <v>4655</v>
      </c>
      <c r="C939" t="s">
        <v>1822</v>
      </c>
      <c r="D939" s="1">
        <v>40431</v>
      </c>
      <c r="E939" s="2">
        <v>156341</v>
      </c>
      <c r="F939" t="s">
        <v>4553</v>
      </c>
      <c r="G939" s="17" t="str">
        <f>HYPERLINK("https://www.washoecounty.gov/assessor/cama/?command=sales&amp;parid=01156419","3921151")</f>
        <v>3921151</v>
      </c>
      <c r="H939" t="s">
        <v>4468</v>
      </c>
      <c r="I939">
        <v>1978</v>
      </c>
      <c r="J939">
        <v>2003</v>
      </c>
      <c r="K939" t="s">
        <v>1824</v>
      </c>
      <c r="L939" t="s">
        <v>1825</v>
      </c>
      <c r="M939" s="2">
        <v>992</v>
      </c>
      <c r="N939" t="s">
        <v>3531</v>
      </c>
      <c r="O939">
        <v>1</v>
      </c>
      <c r="P939">
        <v>2</v>
      </c>
      <c r="Q939">
        <v>0</v>
      </c>
      <c r="R939" t="s">
        <v>1826</v>
      </c>
      <c r="S939" t="s">
        <v>4582</v>
      </c>
      <c r="T939" t="s">
        <v>4655</v>
      </c>
      <c r="U939" t="s">
        <v>4655</v>
      </c>
      <c r="V939" s="2">
        <v>0</v>
      </c>
      <c r="W939" t="s">
        <v>4655</v>
      </c>
      <c r="X939" s="2">
        <v>0</v>
      </c>
      <c r="Y939">
        <v>21</v>
      </c>
      <c r="Z939" t="s">
        <v>3047</v>
      </c>
      <c r="AA939" s="3">
        <v>2.27502286434174E-2</v>
      </c>
      <c r="AB939" t="s">
        <v>9425</v>
      </c>
      <c r="AC939" t="s">
        <v>4562</v>
      </c>
      <c r="AD939" t="s">
        <v>9426</v>
      </c>
      <c r="AE939" t="s">
        <v>4655</v>
      </c>
      <c r="AF939" t="s">
        <v>4563</v>
      </c>
      <c r="AG939" t="s">
        <v>4564</v>
      </c>
      <c r="AH939">
        <v>89501</v>
      </c>
      <c r="AI939" t="s">
        <v>2657</v>
      </c>
      <c r="AJ939" t="s">
        <v>4469</v>
      </c>
      <c r="AK939" t="s">
        <v>9427</v>
      </c>
      <c r="AL939" s="13" t="s">
        <v>3421</v>
      </c>
      <c r="AM939">
        <v>1</v>
      </c>
      <c r="AN939" s="15" t="s">
        <v>1847</v>
      </c>
    </row>
    <row r="940" spans="1:40" x14ac:dyDescent="0.3">
      <c r="A940" s="10" t="str">
        <f>HYPERLINK("http://www.washoecounty.gov/assessor/cama/?parid=011-592-01&amp;CardNumber=1","011-592-01")</f>
        <v>011-592-01</v>
      </c>
      <c r="B940" t="s">
        <v>4655</v>
      </c>
      <c r="C940" t="s">
        <v>1822</v>
      </c>
      <c r="D940" s="1">
        <v>40367</v>
      </c>
      <c r="E940" s="2">
        <v>87916</v>
      </c>
      <c r="F940" t="s">
        <v>4553</v>
      </c>
      <c r="G940" s="17" t="str">
        <f>HYPERLINK("https://www.washoecounty.gov/assessor/cama/?command=sales&amp;parid=01159201","3899349")</f>
        <v>3899349</v>
      </c>
      <c r="H940" t="s">
        <v>4468</v>
      </c>
      <c r="I940">
        <v>1978</v>
      </c>
      <c r="J940">
        <v>2003</v>
      </c>
      <c r="K940" t="s">
        <v>1824</v>
      </c>
      <c r="L940" t="s">
        <v>1825</v>
      </c>
      <c r="M940" s="2">
        <v>824</v>
      </c>
      <c r="N940" t="s">
        <v>3531</v>
      </c>
      <c r="O940">
        <v>1</v>
      </c>
      <c r="P940">
        <v>1</v>
      </c>
      <c r="Q940">
        <v>0</v>
      </c>
      <c r="R940" t="s">
        <v>1826</v>
      </c>
      <c r="S940" t="s">
        <v>4582</v>
      </c>
      <c r="T940" t="s">
        <v>4655</v>
      </c>
      <c r="U940" t="s">
        <v>4655</v>
      </c>
      <c r="V940" s="2">
        <v>0</v>
      </c>
      <c r="W940" t="s">
        <v>4655</v>
      </c>
      <c r="X940" s="2">
        <v>0</v>
      </c>
      <c r="Y940">
        <v>21</v>
      </c>
      <c r="Z940" t="s">
        <v>3047</v>
      </c>
      <c r="AA940" s="3">
        <v>1.8870523199439E-2</v>
      </c>
      <c r="AB940" t="s">
        <v>4467</v>
      </c>
      <c r="AC940" t="s">
        <v>4562</v>
      </c>
      <c r="AD940" t="s">
        <v>4887</v>
      </c>
      <c r="AE940" t="s">
        <v>4655</v>
      </c>
      <c r="AF940" t="s">
        <v>3660</v>
      </c>
      <c r="AG940" t="s">
        <v>4584</v>
      </c>
      <c r="AH940" t="s">
        <v>3307</v>
      </c>
      <c r="AI940" t="s">
        <v>2657</v>
      </c>
      <c r="AJ940" t="s">
        <v>3468</v>
      </c>
      <c r="AK940" t="s">
        <v>9428</v>
      </c>
      <c r="AL940" s="13" t="s">
        <v>3421</v>
      </c>
      <c r="AM940" s="14">
        <v>1</v>
      </c>
      <c r="AN940" s="15" t="s">
        <v>1847</v>
      </c>
    </row>
    <row r="941" spans="1:40" x14ac:dyDescent="0.3">
      <c r="A941" s="10" t="str">
        <f>HYPERLINK("http://www.washoecounty.gov/assessor/cama/?parid=011-603-03&amp;CardNumber=1","011-603-03")</f>
        <v>011-603-03</v>
      </c>
      <c r="B941" t="s">
        <v>4655</v>
      </c>
      <c r="C941" t="s">
        <v>9429</v>
      </c>
      <c r="D941" s="1">
        <v>40361</v>
      </c>
      <c r="E941" s="2">
        <v>537500</v>
      </c>
      <c r="F941" t="s">
        <v>3174</v>
      </c>
      <c r="G941" s="17" t="str">
        <f>HYPERLINK("https://www.washoecounty.gov/assessor/cama/?command=sales&amp;parid=01160303","3898109")</f>
        <v>3898109</v>
      </c>
      <c r="H941" t="s">
        <v>9027</v>
      </c>
      <c r="I941">
        <v>1950</v>
      </c>
      <c r="J941">
        <v>1950</v>
      </c>
      <c r="K941" t="s">
        <v>3919</v>
      </c>
      <c r="L941" t="s">
        <v>239</v>
      </c>
      <c r="M941" s="2">
        <v>16304</v>
      </c>
      <c r="N941" t="s">
        <v>1431</v>
      </c>
      <c r="O941">
        <v>0</v>
      </c>
      <c r="P941">
        <v>0</v>
      </c>
      <c r="Q941">
        <v>0</v>
      </c>
      <c r="R941" t="s">
        <v>4581</v>
      </c>
      <c r="S941" t="s">
        <v>9430</v>
      </c>
      <c r="T941" t="s">
        <v>4655</v>
      </c>
      <c r="U941" t="s">
        <v>4655</v>
      </c>
      <c r="V941" s="2">
        <v>0</v>
      </c>
      <c r="W941" t="s">
        <v>4571</v>
      </c>
      <c r="X941" s="2">
        <v>4250</v>
      </c>
      <c r="Y941">
        <v>41</v>
      </c>
      <c r="Z941" t="s">
        <v>3047</v>
      </c>
      <c r="AA941" s="3">
        <v>0.114990815520287</v>
      </c>
      <c r="AB941" t="s">
        <v>9431</v>
      </c>
      <c r="AC941" t="s">
        <v>4562</v>
      </c>
      <c r="AD941" t="s">
        <v>9432</v>
      </c>
      <c r="AE941" t="s">
        <v>4655</v>
      </c>
      <c r="AF941" t="s">
        <v>9433</v>
      </c>
      <c r="AG941" t="s">
        <v>4584</v>
      </c>
      <c r="AH941">
        <v>92024</v>
      </c>
      <c r="AI941" t="s">
        <v>9434</v>
      </c>
      <c r="AJ941" t="s">
        <v>9435</v>
      </c>
      <c r="AK941" t="s">
        <v>9436</v>
      </c>
      <c r="AL941" s="13" t="s">
        <v>2766</v>
      </c>
      <c r="AM941" s="14">
        <v>1</v>
      </c>
      <c r="AN941" s="15" t="s">
        <v>240</v>
      </c>
    </row>
    <row r="942" spans="1:40" x14ac:dyDescent="0.3">
      <c r="A942" s="10" t="str">
        <f>HYPERLINK("http://www.washoecounty.gov/assessor/cama/?parid=011-603-05&amp;CardNumber=1","011-603-05")</f>
        <v>011-603-05</v>
      </c>
      <c r="B942" t="s">
        <v>4655</v>
      </c>
      <c r="C942" t="s">
        <v>9437</v>
      </c>
      <c r="D942" s="1">
        <v>40361</v>
      </c>
      <c r="E942" s="2">
        <v>537500</v>
      </c>
      <c r="F942" t="s">
        <v>3174</v>
      </c>
      <c r="G942" s="17" t="str">
        <f>HYPERLINK("https://www.washoecounty.gov/assessor/cama/?command=sales&amp;parid=01160305","3898109")</f>
        <v>3898109</v>
      </c>
      <c r="H942" t="s">
        <v>9027</v>
      </c>
      <c r="I942">
        <v>1965</v>
      </c>
      <c r="J942">
        <v>1965</v>
      </c>
      <c r="K942" t="s">
        <v>3919</v>
      </c>
      <c r="L942" t="s">
        <v>1366</v>
      </c>
      <c r="M942" s="2">
        <v>2579</v>
      </c>
      <c r="N942" t="s">
        <v>1431</v>
      </c>
      <c r="O942">
        <v>0</v>
      </c>
      <c r="P942">
        <v>0</v>
      </c>
      <c r="Q942">
        <v>0</v>
      </c>
      <c r="R942" t="s">
        <v>4581</v>
      </c>
      <c r="S942" t="s">
        <v>9438</v>
      </c>
      <c r="T942" t="s">
        <v>4655</v>
      </c>
      <c r="U942" t="s">
        <v>4655</v>
      </c>
      <c r="V942" s="2">
        <v>0</v>
      </c>
      <c r="W942" t="s">
        <v>3041</v>
      </c>
      <c r="X942" s="2">
        <v>564</v>
      </c>
      <c r="Y942">
        <v>41</v>
      </c>
      <c r="Z942" t="s">
        <v>3047</v>
      </c>
      <c r="AA942" s="3">
        <v>0.24219466745853424</v>
      </c>
      <c r="AB942" t="s">
        <v>9431</v>
      </c>
      <c r="AC942" t="s">
        <v>4562</v>
      </c>
      <c r="AD942" t="s">
        <v>9432</v>
      </c>
      <c r="AE942" t="s">
        <v>4655</v>
      </c>
      <c r="AF942" t="s">
        <v>9433</v>
      </c>
      <c r="AG942" t="s">
        <v>4584</v>
      </c>
      <c r="AH942">
        <v>92024</v>
      </c>
      <c r="AI942" t="s">
        <v>9431</v>
      </c>
      <c r="AJ942" t="s">
        <v>9439</v>
      </c>
      <c r="AK942" t="s">
        <v>9440</v>
      </c>
      <c r="AL942" s="13" t="s">
        <v>2766</v>
      </c>
      <c r="AM942" s="14">
        <v>1</v>
      </c>
      <c r="AN942" s="15" t="s">
        <v>240</v>
      </c>
    </row>
    <row r="943" spans="1:40" x14ac:dyDescent="0.3">
      <c r="A943" s="10" t="str">
        <f>HYPERLINK("http://www.washoecounty.gov/assessor/cama/?parid=011-630-01&amp;CardNumber=1","011-630-01")</f>
        <v>011-630-01</v>
      </c>
      <c r="B943" t="s">
        <v>4655</v>
      </c>
      <c r="C943" t="s">
        <v>2439</v>
      </c>
      <c r="D943" s="1">
        <v>40267</v>
      </c>
      <c r="E943" s="2">
        <v>140000</v>
      </c>
      <c r="F943" t="s">
        <v>4553</v>
      </c>
      <c r="G943" s="17" t="str">
        <f>HYPERLINK("https://www.washoecounty.gov/assessor/cama/?command=sales&amp;parid=01163001","3865396")</f>
        <v>3865396</v>
      </c>
      <c r="H943" t="s">
        <v>2440</v>
      </c>
      <c r="I943">
        <v>1966</v>
      </c>
      <c r="J943">
        <v>1966</v>
      </c>
      <c r="K943" t="s">
        <v>1824</v>
      </c>
      <c r="L943" t="s">
        <v>1825</v>
      </c>
      <c r="M943" s="2">
        <v>1165</v>
      </c>
      <c r="N943" t="s">
        <v>4580</v>
      </c>
      <c r="O943">
        <v>0</v>
      </c>
      <c r="P943">
        <v>0</v>
      </c>
      <c r="Q943">
        <v>0</v>
      </c>
      <c r="R943" t="s">
        <v>4581</v>
      </c>
      <c r="S943" t="s">
        <v>4582</v>
      </c>
      <c r="T943" t="s">
        <v>4655</v>
      </c>
      <c r="U943" t="s">
        <v>4655</v>
      </c>
      <c r="V943" s="2">
        <v>0</v>
      </c>
      <c r="W943" t="s">
        <v>3041</v>
      </c>
      <c r="X943" s="2">
        <v>12416</v>
      </c>
      <c r="Y943">
        <v>21</v>
      </c>
      <c r="Z943" t="s">
        <v>3047</v>
      </c>
      <c r="AA943" s="3">
        <v>2.6239668950438499E-2</v>
      </c>
      <c r="AB943" t="s">
        <v>9215</v>
      </c>
      <c r="AC943" t="s">
        <v>4562</v>
      </c>
      <c r="AD943" t="s">
        <v>9216</v>
      </c>
      <c r="AE943" t="s">
        <v>4655</v>
      </c>
      <c r="AF943" t="s">
        <v>2108</v>
      </c>
      <c r="AG943" t="s">
        <v>2109</v>
      </c>
      <c r="AH943" t="s">
        <v>9217</v>
      </c>
      <c r="AI943" t="s">
        <v>4655</v>
      </c>
      <c r="AJ943" t="s">
        <v>9441</v>
      </c>
      <c r="AK943" t="s">
        <v>9218</v>
      </c>
      <c r="AL943" s="13" t="s">
        <v>3422</v>
      </c>
      <c r="AM943" s="14">
        <v>1</v>
      </c>
      <c r="AN943" s="15" t="s">
        <v>2441</v>
      </c>
    </row>
    <row r="944" spans="1:40" x14ac:dyDescent="0.3">
      <c r="A944" s="10" t="str">
        <f>HYPERLINK("http://www.washoecounty.gov/assessor/cama/?parid=011-633-03&amp;CardNumber=1","011-633-03")</f>
        <v>011-633-03</v>
      </c>
      <c r="B944" t="s">
        <v>4655</v>
      </c>
      <c r="C944" t="s">
        <v>2439</v>
      </c>
      <c r="D944" s="1">
        <v>40500</v>
      </c>
      <c r="E944" s="2">
        <v>348000</v>
      </c>
      <c r="F944" t="s">
        <v>4567</v>
      </c>
      <c r="G944" s="17" t="str">
        <f>HYPERLINK("https://www.washoecounty.gov/assessor/cama/?command=sales&amp;parid=01163303","3944640")</f>
        <v>3944640</v>
      </c>
      <c r="H944" t="s">
        <v>2440</v>
      </c>
      <c r="I944">
        <v>1966</v>
      </c>
      <c r="J944">
        <v>1966</v>
      </c>
      <c r="K944" t="s">
        <v>1824</v>
      </c>
      <c r="L944" t="s">
        <v>1825</v>
      </c>
      <c r="M944" s="2">
        <v>1504</v>
      </c>
      <c r="N944" t="s">
        <v>4580</v>
      </c>
      <c r="O944">
        <v>0</v>
      </c>
      <c r="P944">
        <v>0</v>
      </c>
      <c r="Q944">
        <v>0</v>
      </c>
      <c r="R944" t="s">
        <v>4581</v>
      </c>
      <c r="S944" t="s">
        <v>4582</v>
      </c>
      <c r="T944" t="s">
        <v>4655</v>
      </c>
      <c r="U944" t="s">
        <v>4655</v>
      </c>
      <c r="V944" s="2">
        <v>0</v>
      </c>
      <c r="W944" t="s">
        <v>3041</v>
      </c>
      <c r="X944" s="2">
        <v>12416</v>
      </c>
      <c r="Y944">
        <v>21</v>
      </c>
      <c r="Z944" t="s">
        <v>3047</v>
      </c>
      <c r="AA944" s="3">
        <v>3.5468321293592502E-2</v>
      </c>
      <c r="AB944" t="s">
        <v>9219</v>
      </c>
      <c r="AC944" t="s">
        <v>4562</v>
      </c>
      <c r="AD944" t="s">
        <v>9220</v>
      </c>
      <c r="AE944" t="s">
        <v>4655</v>
      </c>
      <c r="AF944" t="s">
        <v>4563</v>
      </c>
      <c r="AG944" t="s">
        <v>4564</v>
      </c>
      <c r="AH944">
        <v>89503</v>
      </c>
      <c r="AI944" t="s">
        <v>4655</v>
      </c>
      <c r="AJ944" t="s">
        <v>9442</v>
      </c>
      <c r="AK944" t="s">
        <v>9221</v>
      </c>
      <c r="AL944" s="13" t="s">
        <v>3422</v>
      </c>
      <c r="AM944" s="14">
        <v>1</v>
      </c>
      <c r="AN944" s="15" t="s">
        <v>2441</v>
      </c>
    </row>
    <row r="945" spans="1:40" x14ac:dyDescent="0.3">
      <c r="A945" s="10" t="str">
        <f>HYPERLINK("http://www.washoecounty.gov/assessor/cama/?parid=012-072-11&amp;CardNumber=1","012-072-11")</f>
        <v>012-072-11</v>
      </c>
      <c r="B945" t="s">
        <v>5502</v>
      </c>
      <c r="C945" t="s">
        <v>9443</v>
      </c>
      <c r="D945" s="1">
        <v>40304</v>
      </c>
      <c r="E945" s="2">
        <v>72500</v>
      </c>
      <c r="F945" t="s">
        <v>4553</v>
      </c>
      <c r="G945" s="17" t="str">
        <f>HYPERLINK("https://www.washoecounty.gov/assessor/cama/?command=sales&amp;parid=01207211","3878888")</f>
        <v>3878888</v>
      </c>
      <c r="H945" t="s">
        <v>1702</v>
      </c>
      <c r="I945">
        <v>1934</v>
      </c>
      <c r="J945">
        <v>1934</v>
      </c>
      <c r="K945" t="s">
        <v>4554</v>
      </c>
      <c r="L945" t="s">
        <v>4555</v>
      </c>
      <c r="M945" s="2">
        <v>995</v>
      </c>
      <c r="N945" t="s">
        <v>4556</v>
      </c>
      <c r="O945">
        <v>2</v>
      </c>
      <c r="P945">
        <v>1</v>
      </c>
      <c r="Q945">
        <v>0</v>
      </c>
      <c r="R945" t="s">
        <v>4557</v>
      </c>
      <c r="S945" t="s">
        <v>4682</v>
      </c>
      <c r="T945" t="s">
        <v>4559</v>
      </c>
      <c r="U945" t="s">
        <v>4655</v>
      </c>
      <c r="V945" s="2">
        <v>0</v>
      </c>
      <c r="W945" t="s">
        <v>3149</v>
      </c>
      <c r="X945" s="2">
        <v>800</v>
      </c>
      <c r="Y945">
        <v>31</v>
      </c>
      <c r="Z945" t="s">
        <v>3042</v>
      </c>
      <c r="AA945" s="3">
        <v>0.160468325018883</v>
      </c>
      <c r="AB945" t="s">
        <v>9444</v>
      </c>
      <c r="AC945" t="s">
        <v>4562</v>
      </c>
      <c r="AD945" t="s">
        <v>9445</v>
      </c>
      <c r="AE945" t="s">
        <v>4655</v>
      </c>
      <c r="AF945" t="s">
        <v>9446</v>
      </c>
      <c r="AG945" t="s">
        <v>4331</v>
      </c>
      <c r="AH945">
        <v>2557</v>
      </c>
      <c r="AI945" t="s">
        <v>4503</v>
      </c>
      <c r="AJ945" t="s">
        <v>4655</v>
      </c>
      <c r="AK945" t="s">
        <v>9447</v>
      </c>
      <c r="AL945" s="13" t="s">
        <v>2256</v>
      </c>
      <c r="AM945">
        <v>2</v>
      </c>
      <c r="AN945" s="15" t="s">
        <v>3181</v>
      </c>
    </row>
    <row r="946" spans="1:40" x14ac:dyDescent="0.3">
      <c r="A946" s="10" t="str">
        <f>HYPERLINK("http://www.washoecounty.gov/assessor/cama/?parid=012-113-28&amp;CardNumber=1","012-113-28")</f>
        <v>012-113-28</v>
      </c>
      <c r="B946" t="s">
        <v>4655</v>
      </c>
      <c r="C946" t="s">
        <v>9448</v>
      </c>
      <c r="D946" s="1">
        <v>40459</v>
      </c>
      <c r="E946" s="2">
        <v>967500</v>
      </c>
      <c r="F946" t="s">
        <v>4187</v>
      </c>
      <c r="G946" s="17" t="str">
        <f>HYPERLINK("https://www.washoecounty.gov/assessor/cama/?command=sales&amp;parid=01211328","3931029")</f>
        <v>3931029</v>
      </c>
      <c r="H946" t="s">
        <v>9449</v>
      </c>
      <c r="I946">
        <v>1979</v>
      </c>
      <c r="J946">
        <v>1979</v>
      </c>
      <c r="K946" t="s">
        <v>207</v>
      </c>
      <c r="L946" t="s">
        <v>1366</v>
      </c>
      <c r="M946" s="2">
        <v>4800</v>
      </c>
      <c r="N946" t="s">
        <v>1431</v>
      </c>
      <c r="O946">
        <v>0</v>
      </c>
      <c r="P946">
        <v>0</v>
      </c>
      <c r="Q946">
        <v>0</v>
      </c>
      <c r="R946" t="s">
        <v>1395</v>
      </c>
      <c r="S946" t="s">
        <v>4856</v>
      </c>
      <c r="T946" t="s">
        <v>4655</v>
      </c>
      <c r="U946" t="s">
        <v>4655</v>
      </c>
      <c r="V946" s="2">
        <v>0</v>
      </c>
      <c r="W946" t="s">
        <v>4655</v>
      </c>
      <c r="X946" s="2">
        <v>0</v>
      </c>
      <c r="Y946">
        <v>40</v>
      </c>
      <c r="Z946" t="s">
        <v>3047</v>
      </c>
      <c r="AA946" s="3">
        <v>0.304269969463348</v>
      </c>
      <c r="AB946" t="s">
        <v>9450</v>
      </c>
      <c r="AC946" t="s">
        <v>4562</v>
      </c>
      <c r="AD946" t="s">
        <v>9451</v>
      </c>
      <c r="AE946" t="s">
        <v>4655</v>
      </c>
      <c r="AF946" t="s">
        <v>4563</v>
      </c>
      <c r="AG946" t="s">
        <v>4564</v>
      </c>
      <c r="AH946">
        <v>89509</v>
      </c>
      <c r="AI946" t="s">
        <v>9452</v>
      </c>
      <c r="AJ946" t="s">
        <v>4655</v>
      </c>
      <c r="AK946" t="s">
        <v>9453</v>
      </c>
      <c r="AL946" s="13" t="s">
        <v>2255</v>
      </c>
      <c r="AM946">
        <v>1</v>
      </c>
      <c r="AN946" s="15" t="s">
        <v>1288</v>
      </c>
    </row>
    <row r="947" spans="1:40" x14ac:dyDescent="0.3">
      <c r="A947" s="10" t="str">
        <f>HYPERLINK("http://www.washoecounty.gov/assessor/cama/?parid=012-121-05&amp;CardNumber=1","012-121-05")</f>
        <v>012-121-05</v>
      </c>
      <c r="B947" t="s">
        <v>5502</v>
      </c>
      <c r="C947" t="s">
        <v>9454</v>
      </c>
      <c r="D947" s="1">
        <v>40346</v>
      </c>
      <c r="E947" s="2">
        <v>110000</v>
      </c>
      <c r="F947" t="s">
        <v>4553</v>
      </c>
      <c r="G947" s="17" t="str">
        <f>HYPERLINK("https://www.washoecounty.gov/assessor/cama/?command=sales&amp;parid=01212105","3892851")</f>
        <v>3892851</v>
      </c>
      <c r="H947" t="s">
        <v>9455</v>
      </c>
      <c r="I947">
        <v>1943</v>
      </c>
      <c r="J947">
        <v>1943</v>
      </c>
      <c r="K947" t="s">
        <v>4554</v>
      </c>
      <c r="L947" t="s">
        <v>4555</v>
      </c>
      <c r="M947" s="2">
        <v>546</v>
      </c>
      <c r="N947" t="s">
        <v>4672</v>
      </c>
      <c r="O947">
        <v>1</v>
      </c>
      <c r="P947">
        <v>1</v>
      </c>
      <c r="Q947">
        <v>0</v>
      </c>
      <c r="R947" t="s">
        <v>1800</v>
      </c>
      <c r="S947" t="s">
        <v>4570</v>
      </c>
      <c r="T947" t="s">
        <v>4559</v>
      </c>
      <c r="U947" t="s">
        <v>4655</v>
      </c>
      <c r="V947" s="2">
        <v>0</v>
      </c>
      <c r="W947" t="s">
        <v>4655</v>
      </c>
      <c r="X947" s="2">
        <v>0</v>
      </c>
      <c r="Y947">
        <v>32</v>
      </c>
      <c r="Z947" t="s">
        <v>3042</v>
      </c>
      <c r="AA947" s="3">
        <v>0.118480257689953</v>
      </c>
      <c r="AB947" t="s">
        <v>9456</v>
      </c>
      <c r="AC947" t="s">
        <v>4562</v>
      </c>
      <c r="AD947" t="s">
        <v>9457</v>
      </c>
      <c r="AE947" t="s">
        <v>4655</v>
      </c>
      <c r="AF947" t="s">
        <v>4563</v>
      </c>
      <c r="AG947" t="s">
        <v>4564</v>
      </c>
      <c r="AH947">
        <v>89503</v>
      </c>
      <c r="AI947" t="s">
        <v>4503</v>
      </c>
      <c r="AJ947" t="s">
        <v>4655</v>
      </c>
      <c r="AK947" t="s">
        <v>9458</v>
      </c>
      <c r="AL947" s="13" t="s">
        <v>2255</v>
      </c>
      <c r="AM947" s="14">
        <v>3</v>
      </c>
      <c r="AN947" s="15" t="s">
        <v>3181</v>
      </c>
    </row>
    <row r="948" spans="1:40" x14ac:dyDescent="0.3">
      <c r="A948" s="10" t="str">
        <f>HYPERLINK("http://www.washoecounty.gov/assessor/cama/?parid=012-121-09&amp;CardNumber=1","012-121-09")</f>
        <v>012-121-09</v>
      </c>
      <c r="B948" t="s">
        <v>5502</v>
      </c>
      <c r="C948" t="s">
        <v>9459</v>
      </c>
      <c r="D948" s="1">
        <v>40337</v>
      </c>
      <c r="E948" s="2">
        <v>58500</v>
      </c>
      <c r="F948" t="s">
        <v>4567</v>
      </c>
      <c r="G948" s="17" t="str">
        <f>HYPERLINK("https://www.washoecounty.gov/assessor/cama/?command=sales&amp;parid=01212109","3889081")</f>
        <v>3889081</v>
      </c>
      <c r="H948" t="s">
        <v>9460</v>
      </c>
      <c r="I948">
        <v>1926</v>
      </c>
      <c r="J948">
        <v>1926</v>
      </c>
      <c r="K948" t="s">
        <v>4554</v>
      </c>
      <c r="L948" t="s">
        <v>4555</v>
      </c>
      <c r="M948" s="2">
        <v>928</v>
      </c>
      <c r="N948" t="s">
        <v>4133</v>
      </c>
      <c r="O948">
        <v>1</v>
      </c>
      <c r="P948">
        <v>1</v>
      </c>
      <c r="Q948">
        <v>0</v>
      </c>
      <c r="R948" t="s">
        <v>1800</v>
      </c>
      <c r="S948" t="s">
        <v>4898</v>
      </c>
      <c r="T948" t="s">
        <v>4559</v>
      </c>
      <c r="U948" t="s">
        <v>4655</v>
      </c>
      <c r="V948" s="2">
        <v>0</v>
      </c>
      <c r="W948" t="s">
        <v>4655</v>
      </c>
      <c r="X948" s="2">
        <v>0</v>
      </c>
      <c r="Y948">
        <v>31</v>
      </c>
      <c r="Z948" t="s">
        <v>3042</v>
      </c>
      <c r="AA948" s="3">
        <v>0.15484389662742615</v>
      </c>
      <c r="AB948" t="s">
        <v>9461</v>
      </c>
      <c r="AC948" t="s">
        <v>4562</v>
      </c>
      <c r="AD948" t="s">
        <v>9462</v>
      </c>
      <c r="AE948" t="s">
        <v>4655</v>
      </c>
      <c r="AF948" t="s">
        <v>4809</v>
      </c>
      <c r="AG948" t="s">
        <v>4564</v>
      </c>
      <c r="AH948" t="s">
        <v>1605</v>
      </c>
      <c r="AI948" t="s">
        <v>9463</v>
      </c>
      <c r="AJ948" t="s">
        <v>4655</v>
      </c>
      <c r="AK948" t="s">
        <v>9464</v>
      </c>
      <c r="AL948" s="13" t="s">
        <v>2255</v>
      </c>
      <c r="AM948" s="14">
        <v>2</v>
      </c>
      <c r="AN948" s="15" t="s">
        <v>3181</v>
      </c>
    </row>
    <row r="949" spans="1:40" x14ac:dyDescent="0.3">
      <c r="A949" s="10" t="str">
        <f>HYPERLINK("http://www.washoecounty.gov/assessor/cama/?parid=012-121-09&amp;CardNumber=1","012-121-09")</f>
        <v>012-121-09</v>
      </c>
      <c r="B949" t="s">
        <v>5502</v>
      </c>
      <c r="C949" t="s">
        <v>9459</v>
      </c>
      <c r="D949" s="1">
        <v>40452</v>
      </c>
      <c r="E949" s="2">
        <v>179000</v>
      </c>
      <c r="F949" t="s">
        <v>4567</v>
      </c>
      <c r="G949" s="17" t="str">
        <f>HYPERLINK("https://www.washoecounty.gov/assessor/cama/?command=sales&amp;parid=01212109","3928892")</f>
        <v>3928892</v>
      </c>
      <c r="H949" t="s">
        <v>9460</v>
      </c>
      <c r="I949">
        <v>1926</v>
      </c>
      <c r="J949">
        <v>1926</v>
      </c>
      <c r="K949" t="s">
        <v>4554</v>
      </c>
      <c r="L949" t="s">
        <v>4555</v>
      </c>
      <c r="M949" s="2">
        <v>928</v>
      </c>
      <c r="N949" t="s">
        <v>4133</v>
      </c>
      <c r="O949">
        <v>1</v>
      </c>
      <c r="P949">
        <v>1</v>
      </c>
      <c r="Q949">
        <v>0</v>
      </c>
      <c r="R949" t="s">
        <v>1800</v>
      </c>
      <c r="S949" t="s">
        <v>4898</v>
      </c>
      <c r="T949" t="s">
        <v>4559</v>
      </c>
      <c r="U949" t="s">
        <v>4655</v>
      </c>
      <c r="V949" s="2">
        <v>0</v>
      </c>
      <c r="W949" t="s">
        <v>4655</v>
      </c>
      <c r="X949" s="2">
        <v>0</v>
      </c>
      <c r="Y949">
        <v>31</v>
      </c>
      <c r="Z949" t="s">
        <v>3042</v>
      </c>
      <c r="AA949" s="3">
        <v>0.15484389662742615</v>
      </c>
      <c r="AB949" t="s">
        <v>9461</v>
      </c>
      <c r="AC949" t="s">
        <v>4562</v>
      </c>
      <c r="AD949" t="s">
        <v>9462</v>
      </c>
      <c r="AE949" t="s">
        <v>4655</v>
      </c>
      <c r="AF949" t="s">
        <v>4809</v>
      </c>
      <c r="AG949" t="s">
        <v>4564</v>
      </c>
      <c r="AH949" t="s">
        <v>1605</v>
      </c>
      <c r="AI949" t="s">
        <v>9463</v>
      </c>
      <c r="AJ949" t="s">
        <v>4655</v>
      </c>
      <c r="AK949" t="s">
        <v>9464</v>
      </c>
      <c r="AL949" s="13" t="s">
        <v>2255</v>
      </c>
      <c r="AM949" s="14">
        <v>2</v>
      </c>
      <c r="AN949" s="15" t="s">
        <v>3181</v>
      </c>
    </row>
    <row r="950" spans="1:40" x14ac:dyDescent="0.3">
      <c r="A950" s="10" t="str">
        <f>HYPERLINK("http://www.washoecounty.gov/assessor/cama/?parid=012-121-18&amp;CardNumber=1","012-121-18")</f>
        <v>012-121-18</v>
      </c>
      <c r="B950" t="s">
        <v>5502</v>
      </c>
      <c r="C950" t="s">
        <v>9465</v>
      </c>
      <c r="D950" s="1">
        <v>40273</v>
      </c>
      <c r="E950" s="2">
        <v>93900</v>
      </c>
      <c r="F950" t="s">
        <v>4553</v>
      </c>
      <c r="G950" s="17" t="str">
        <f>HYPERLINK("https://www.washoecounty.gov/assessor/cama/?command=sales&amp;parid=01212118","3867836")</f>
        <v>3867836</v>
      </c>
      <c r="H950" t="s">
        <v>9460</v>
      </c>
      <c r="I950">
        <v>1926</v>
      </c>
      <c r="J950">
        <v>1926</v>
      </c>
      <c r="K950" t="s">
        <v>4554</v>
      </c>
      <c r="L950" t="s">
        <v>4555</v>
      </c>
      <c r="M950" s="2">
        <v>628</v>
      </c>
      <c r="N950" t="s">
        <v>4133</v>
      </c>
      <c r="O950">
        <v>1</v>
      </c>
      <c r="P950">
        <v>1</v>
      </c>
      <c r="Q950">
        <v>0</v>
      </c>
      <c r="R950" t="s">
        <v>1800</v>
      </c>
      <c r="S950" t="s">
        <v>4558</v>
      </c>
      <c r="T950" t="s">
        <v>4559</v>
      </c>
      <c r="U950" t="s">
        <v>4655</v>
      </c>
      <c r="V950" s="2">
        <v>0</v>
      </c>
      <c r="W950" t="s">
        <v>3149</v>
      </c>
      <c r="X950" s="2">
        <v>502</v>
      </c>
      <c r="Y950">
        <v>32</v>
      </c>
      <c r="Z950" t="s">
        <v>3042</v>
      </c>
      <c r="AA950" s="3">
        <v>0.15498162806034099</v>
      </c>
      <c r="AB950" t="s">
        <v>9466</v>
      </c>
      <c r="AC950" t="s">
        <v>4575</v>
      </c>
      <c r="AD950" t="s">
        <v>9467</v>
      </c>
      <c r="AE950" t="s">
        <v>4655</v>
      </c>
      <c r="AF950" t="s">
        <v>4563</v>
      </c>
      <c r="AG950" t="s">
        <v>4564</v>
      </c>
      <c r="AH950" t="s">
        <v>1147</v>
      </c>
      <c r="AI950" t="s">
        <v>2351</v>
      </c>
      <c r="AJ950" t="s">
        <v>4655</v>
      </c>
      <c r="AK950" t="s">
        <v>9468</v>
      </c>
      <c r="AL950" s="13" t="s">
        <v>2255</v>
      </c>
      <c r="AM950">
        <v>3</v>
      </c>
      <c r="AN950" s="15" t="s">
        <v>3181</v>
      </c>
    </row>
    <row r="951" spans="1:40" x14ac:dyDescent="0.3">
      <c r="A951" s="10" t="str">
        <f>HYPERLINK("http://www.washoecounty.gov/assessor/cama/?parid=012-122-02&amp;CardNumber=1","012-122-02")</f>
        <v>012-122-02</v>
      </c>
      <c r="B951" t="s">
        <v>4655</v>
      </c>
      <c r="C951" t="s">
        <v>9469</v>
      </c>
      <c r="D951" s="1">
        <v>40535</v>
      </c>
      <c r="E951" s="2">
        <v>110000</v>
      </c>
      <c r="F951" t="s">
        <v>4553</v>
      </c>
      <c r="G951" s="17" t="str">
        <f>HYPERLINK("https://www.washoecounty.gov/assessor/cama/?command=sales&amp;parid=01212202","3956818")</f>
        <v>3956818</v>
      </c>
      <c r="H951" t="s">
        <v>9460</v>
      </c>
      <c r="I951">
        <v>1939</v>
      </c>
      <c r="J951">
        <v>1939</v>
      </c>
      <c r="K951" t="s">
        <v>3043</v>
      </c>
      <c r="L951" t="s">
        <v>4555</v>
      </c>
      <c r="M951" s="2">
        <v>1272</v>
      </c>
      <c r="N951" t="s">
        <v>4556</v>
      </c>
      <c r="O951">
        <v>9</v>
      </c>
      <c r="P951">
        <v>3</v>
      </c>
      <c r="Q951">
        <v>0</v>
      </c>
      <c r="R951" t="s">
        <v>4134</v>
      </c>
      <c r="S951" t="s">
        <v>4682</v>
      </c>
      <c r="T951" t="s">
        <v>2947</v>
      </c>
      <c r="U951" t="s">
        <v>4655</v>
      </c>
      <c r="V951" s="2">
        <v>0</v>
      </c>
      <c r="W951" t="s">
        <v>4655</v>
      </c>
      <c r="X951" s="2">
        <v>0</v>
      </c>
      <c r="Y951">
        <v>32</v>
      </c>
      <c r="Z951" t="s">
        <v>3042</v>
      </c>
      <c r="AA951" s="3">
        <v>0.14044995605945601</v>
      </c>
      <c r="AB951" t="s">
        <v>9470</v>
      </c>
      <c r="AC951" t="s">
        <v>4562</v>
      </c>
      <c r="AD951" t="s">
        <v>9469</v>
      </c>
      <c r="AE951" t="s">
        <v>4655</v>
      </c>
      <c r="AF951" t="s">
        <v>4563</v>
      </c>
      <c r="AG951" t="s">
        <v>4564</v>
      </c>
      <c r="AH951">
        <v>89502</v>
      </c>
      <c r="AI951" t="s">
        <v>840</v>
      </c>
      <c r="AJ951" t="s">
        <v>4655</v>
      </c>
      <c r="AK951" t="s">
        <v>9471</v>
      </c>
      <c r="AL951" s="13" t="s">
        <v>2255</v>
      </c>
      <c r="AM951">
        <v>3</v>
      </c>
      <c r="AN951" s="15" t="s">
        <v>3181</v>
      </c>
    </row>
    <row r="952" spans="1:40" x14ac:dyDescent="0.3">
      <c r="A952" s="10" t="str">
        <f>HYPERLINK("http://www.washoecounty.gov/assessor/cama/?parid=012-141-14&amp;CardNumber=1","012-141-14")</f>
        <v>012-141-14</v>
      </c>
      <c r="B952" t="s">
        <v>4655</v>
      </c>
      <c r="C952" t="s">
        <v>9472</v>
      </c>
      <c r="D952" s="1">
        <v>40238</v>
      </c>
      <c r="E952" s="2">
        <v>340000</v>
      </c>
      <c r="F952" t="s">
        <v>3259</v>
      </c>
      <c r="G952" s="17" t="str">
        <f>HYPERLINK("https://www.washoecounty.gov/assessor/cama/?command=sales&amp;parid=01214114","3853859")</f>
        <v>3853859</v>
      </c>
      <c r="H952" t="s">
        <v>9460</v>
      </c>
      <c r="I952">
        <v>1963</v>
      </c>
      <c r="J952">
        <v>1963</v>
      </c>
      <c r="K952" t="s">
        <v>3043</v>
      </c>
      <c r="L952" t="s">
        <v>3974</v>
      </c>
      <c r="M952" s="2">
        <v>5034</v>
      </c>
      <c r="N952" t="s">
        <v>4556</v>
      </c>
      <c r="O952">
        <v>10</v>
      </c>
      <c r="P952">
        <v>10</v>
      </c>
      <c r="Q952">
        <v>0</v>
      </c>
      <c r="R952" t="s">
        <v>4134</v>
      </c>
      <c r="S952" t="s">
        <v>364</v>
      </c>
      <c r="T952" t="s">
        <v>4899</v>
      </c>
      <c r="U952" t="s">
        <v>4655</v>
      </c>
      <c r="V952" s="2">
        <v>0</v>
      </c>
      <c r="W952" t="s">
        <v>3149</v>
      </c>
      <c r="X952" s="2">
        <v>240</v>
      </c>
      <c r="Y952">
        <v>34</v>
      </c>
      <c r="Z952" t="s">
        <v>3042</v>
      </c>
      <c r="AA952" s="3">
        <v>0.15000000596046401</v>
      </c>
      <c r="AB952" t="s">
        <v>9473</v>
      </c>
      <c r="AC952" t="s">
        <v>4562</v>
      </c>
      <c r="AD952" t="s">
        <v>9474</v>
      </c>
      <c r="AE952" t="s">
        <v>9475</v>
      </c>
      <c r="AF952" t="s">
        <v>4563</v>
      </c>
      <c r="AG952" t="s">
        <v>4564</v>
      </c>
      <c r="AH952">
        <v>89502</v>
      </c>
      <c r="AI952" t="s">
        <v>9476</v>
      </c>
      <c r="AJ952" t="s">
        <v>4655</v>
      </c>
      <c r="AK952" t="s">
        <v>9477</v>
      </c>
      <c r="AL952" s="13" t="s">
        <v>2255</v>
      </c>
      <c r="AM952">
        <v>10</v>
      </c>
      <c r="AN952" s="15" t="s">
        <v>3642</v>
      </c>
    </row>
    <row r="953" spans="1:40" x14ac:dyDescent="0.3">
      <c r="A953" s="10" t="str">
        <f>HYPERLINK("http://www.washoecounty.gov/assessor/cama/?parid=012-161-11&amp;CardNumber=1","012-161-11")</f>
        <v>012-161-11</v>
      </c>
      <c r="B953" t="s">
        <v>4655</v>
      </c>
      <c r="C953" t="s">
        <v>9478</v>
      </c>
      <c r="D953" s="1">
        <v>40322</v>
      </c>
      <c r="E953" s="2">
        <v>375000</v>
      </c>
      <c r="F953" t="s">
        <v>2900</v>
      </c>
      <c r="G953" s="17" t="str">
        <f>HYPERLINK("https://www.washoecounty.gov/assessor/cama/?command=sales&amp;parid=01216111","3884310")</f>
        <v>3884310</v>
      </c>
      <c r="H953" t="s">
        <v>9479</v>
      </c>
      <c r="I953">
        <v>1920</v>
      </c>
      <c r="J953">
        <v>1920</v>
      </c>
      <c r="K953" t="s">
        <v>4554</v>
      </c>
      <c r="L953" t="s">
        <v>4555</v>
      </c>
      <c r="M953" s="2">
        <v>828</v>
      </c>
      <c r="N953" t="s">
        <v>4133</v>
      </c>
      <c r="O953">
        <v>2</v>
      </c>
      <c r="P953">
        <v>1</v>
      </c>
      <c r="Q953">
        <v>0</v>
      </c>
      <c r="R953" t="s">
        <v>4134</v>
      </c>
      <c r="S953" t="s">
        <v>4574</v>
      </c>
      <c r="T953" t="s">
        <v>4559</v>
      </c>
      <c r="U953" t="s">
        <v>4655</v>
      </c>
      <c r="V953" s="2">
        <v>0</v>
      </c>
      <c r="W953" t="s">
        <v>4655</v>
      </c>
      <c r="X953" s="2">
        <v>0</v>
      </c>
      <c r="Y953">
        <v>20</v>
      </c>
      <c r="Z953" t="s">
        <v>3042</v>
      </c>
      <c r="AA953" s="3">
        <v>0.48799356818199158</v>
      </c>
      <c r="AB953" t="s">
        <v>9480</v>
      </c>
      <c r="AC953" t="s">
        <v>4562</v>
      </c>
      <c r="AD953" t="s">
        <v>9481</v>
      </c>
      <c r="AE953" t="s">
        <v>9482</v>
      </c>
      <c r="AF953" t="s">
        <v>4563</v>
      </c>
      <c r="AG953" t="s">
        <v>4564</v>
      </c>
      <c r="AH953">
        <v>89502</v>
      </c>
      <c r="AI953" t="s">
        <v>9480</v>
      </c>
      <c r="AJ953" t="s">
        <v>4655</v>
      </c>
      <c r="AK953" t="s">
        <v>9483</v>
      </c>
      <c r="AL953" s="13" t="s">
        <v>3423</v>
      </c>
      <c r="AM953" s="14">
        <v>1</v>
      </c>
      <c r="AN953" s="15" t="s">
        <v>194</v>
      </c>
    </row>
    <row r="954" spans="1:40" x14ac:dyDescent="0.3">
      <c r="A954" s="10" t="str">
        <f>HYPERLINK("http://www.washoecounty.gov/assessor/cama/?parid=012-161-19&amp;CardNumber=1","012-161-19")</f>
        <v>012-161-19</v>
      </c>
      <c r="B954" t="s">
        <v>4655</v>
      </c>
      <c r="C954" t="s">
        <v>9484</v>
      </c>
      <c r="D954" s="1">
        <v>40322</v>
      </c>
      <c r="E954" s="2">
        <v>375000</v>
      </c>
      <c r="F954" t="s">
        <v>2900</v>
      </c>
      <c r="G954" s="17" t="str">
        <f>HYPERLINK("https://www.washoecounty.gov/assessor/cama/?command=sales&amp;parid=01216119","3884310")</f>
        <v>3884310</v>
      </c>
      <c r="H954" t="s">
        <v>1374</v>
      </c>
      <c r="I954">
        <v>1926</v>
      </c>
      <c r="J954">
        <v>1940</v>
      </c>
      <c r="K954" t="s">
        <v>1391</v>
      </c>
      <c r="L954" t="s">
        <v>4555</v>
      </c>
      <c r="M954" s="2">
        <v>522</v>
      </c>
      <c r="N954" t="s">
        <v>4133</v>
      </c>
      <c r="O954">
        <v>0</v>
      </c>
      <c r="P954">
        <v>1</v>
      </c>
      <c r="Q954">
        <v>0</v>
      </c>
      <c r="R954" t="s">
        <v>4134</v>
      </c>
      <c r="S954" t="s">
        <v>4135</v>
      </c>
      <c r="T954" t="s">
        <v>4559</v>
      </c>
      <c r="U954" t="s">
        <v>4655</v>
      </c>
      <c r="V954" s="2">
        <v>0</v>
      </c>
      <c r="W954" t="s">
        <v>4655</v>
      </c>
      <c r="X954" s="2">
        <v>0</v>
      </c>
      <c r="Y954">
        <v>40</v>
      </c>
      <c r="Z954" t="s">
        <v>3042</v>
      </c>
      <c r="AA954" s="3">
        <v>0.12899449467658999</v>
      </c>
      <c r="AB954" t="s">
        <v>9480</v>
      </c>
      <c r="AC954" t="s">
        <v>4562</v>
      </c>
      <c r="AD954" t="s">
        <v>9481</v>
      </c>
      <c r="AE954" t="s">
        <v>9482</v>
      </c>
      <c r="AF954" t="s">
        <v>4563</v>
      </c>
      <c r="AG954" t="s">
        <v>4564</v>
      </c>
      <c r="AH954">
        <v>89502</v>
      </c>
      <c r="AI954" t="s">
        <v>195</v>
      </c>
      <c r="AJ954" t="s">
        <v>4655</v>
      </c>
      <c r="AK954" t="s">
        <v>9485</v>
      </c>
      <c r="AL954" s="13" t="s">
        <v>3423</v>
      </c>
      <c r="AM954" s="14">
        <v>1</v>
      </c>
      <c r="AN954" s="15" t="s">
        <v>1666</v>
      </c>
    </row>
    <row r="955" spans="1:40" x14ac:dyDescent="0.3">
      <c r="A955" s="10" t="str">
        <f>HYPERLINK("http://www.washoecounty.gov/assessor/cama/?parid=012-164-05&amp;CardNumber=1","012-164-05")</f>
        <v>012-164-05</v>
      </c>
      <c r="B955" t="s">
        <v>4655</v>
      </c>
      <c r="C955" t="s">
        <v>9486</v>
      </c>
      <c r="D955" s="1">
        <v>40353</v>
      </c>
      <c r="E955" s="2">
        <v>340000</v>
      </c>
      <c r="F955" t="s">
        <v>3512</v>
      </c>
      <c r="G955" s="17" t="str">
        <f>HYPERLINK("https://www.washoecounty.gov/assessor/cama/?command=sales&amp;parid=01216405","3895180")</f>
        <v>3895180</v>
      </c>
      <c r="H955" t="s">
        <v>9487</v>
      </c>
      <c r="I955">
        <v>1947</v>
      </c>
      <c r="J955">
        <v>1947</v>
      </c>
      <c r="K955" t="s">
        <v>1365</v>
      </c>
      <c r="L955" t="s">
        <v>1366</v>
      </c>
      <c r="M955" s="2">
        <v>5892</v>
      </c>
      <c r="N955" t="s">
        <v>4672</v>
      </c>
      <c r="O955">
        <v>0</v>
      </c>
      <c r="P955">
        <v>0</v>
      </c>
      <c r="Q955">
        <v>0</v>
      </c>
      <c r="R955" t="s">
        <v>1368</v>
      </c>
      <c r="S955" t="s">
        <v>4856</v>
      </c>
      <c r="T955" t="s">
        <v>4655</v>
      </c>
      <c r="U955" t="s">
        <v>4655</v>
      </c>
      <c r="V955" s="2">
        <v>0</v>
      </c>
      <c r="W955" t="s">
        <v>4655</v>
      </c>
      <c r="X955" s="2">
        <v>0</v>
      </c>
      <c r="Y955">
        <v>50</v>
      </c>
      <c r="Z955" t="s">
        <v>3042</v>
      </c>
      <c r="AA955" s="3">
        <v>0.86499083042144698</v>
      </c>
      <c r="AB955" t="s">
        <v>9488</v>
      </c>
      <c r="AC955" t="s">
        <v>4562</v>
      </c>
      <c r="AD955" t="s">
        <v>9489</v>
      </c>
      <c r="AE955" t="s">
        <v>4655</v>
      </c>
      <c r="AF955" t="s">
        <v>4563</v>
      </c>
      <c r="AG955" t="s">
        <v>4564</v>
      </c>
      <c r="AH955">
        <v>89502</v>
      </c>
      <c r="AI955" t="s">
        <v>9490</v>
      </c>
      <c r="AJ955" t="s">
        <v>9491</v>
      </c>
      <c r="AK955" t="s">
        <v>9492</v>
      </c>
      <c r="AL955" s="13" t="s">
        <v>2257</v>
      </c>
      <c r="AM955">
        <v>1</v>
      </c>
      <c r="AN955" s="15" t="s">
        <v>1666</v>
      </c>
    </row>
    <row r="956" spans="1:40" x14ac:dyDescent="0.3">
      <c r="A956" s="10" t="str">
        <f>HYPERLINK("http://www.washoecounty.gov/assessor/cama/?parid=012-281-12&amp;CardNumber=1","012-281-12")</f>
        <v>012-281-12</v>
      </c>
      <c r="B956" t="s">
        <v>4655</v>
      </c>
      <c r="C956" t="s">
        <v>9493</v>
      </c>
      <c r="D956" s="1">
        <v>40228</v>
      </c>
      <c r="E956" s="2">
        <v>1600000</v>
      </c>
      <c r="F956" t="s">
        <v>4187</v>
      </c>
      <c r="G956" s="17" t="str">
        <f>HYPERLINK("https://www.washoecounty.gov/assessor/cama/?command=sales&amp;parid=01228112","3848900")</f>
        <v>3848900</v>
      </c>
      <c r="H956" t="s">
        <v>9494</v>
      </c>
      <c r="I956">
        <v>1973</v>
      </c>
      <c r="J956">
        <v>1973</v>
      </c>
      <c r="K956" t="s">
        <v>1375</v>
      </c>
      <c r="L956" t="s">
        <v>1366</v>
      </c>
      <c r="M956" s="2">
        <v>25600</v>
      </c>
      <c r="N956" t="s">
        <v>4672</v>
      </c>
      <c r="O956">
        <v>0</v>
      </c>
      <c r="P956">
        <v>0</v>
      </c>
      <c r="Q956">
        <v>0</v>
      </c>
      <c r="R956" t="s">
        <v>1395</v>
      </c>
      <c r="S956" t="s">
        <v>4599</v>
      </c>
      <c r="T956" t="s">
        <v>4655</v>
      </c>
      <c r="U956" t="s">
        <v>4655</v>
      </c>
      <c r="V956" s="2">
        <v>0</v>
      </c>
      <c r="W956" t="s">
        <v>4655</v>
      </c>
      <c r="X956" s="2">
        <v>0</v>
      </c>
      <c r="Y956">
        <v>50</v>
      </c>
      <c r="Z956" t="s">
        <v>1397</v>
      </c>
      <c r="AA956" s="3">
        <v>2.10199999809265</v>
      </c>
      <c r="AB956" t="s">
        <v>9495</v>
      </c>
      <c r="AC956" t="s">
        <v>4562</v>
      </c>
      <c r="AD956" t="s">
        <v>9496</v>
      </c>
      <c r="AE956" t="s">
        <v>4655</v>
      </c>
      <c r="AF956" t="s">
        <v>9497</v>
      </c>
      <c r="AG956" t="s">
        <v>424</v>
      </c>
      <c r="AH956">
        <v>16412</v>
      </c>
      <c r="AI956" t="s">
        <v>9498</v>
      </c>
      <c r="AJ956" t="s">
        <v>9499</v>
      </c>
      <c r="AK956" t="s">
        <v>9500</v>
      </c>
      <c r="AL956" s="13" t="s">
        <v>2257</v>
      </c>
      <c r="AM956">
        <v>1</v>
      </c>
      <c r="AN956" s="15" t="s">
        <v>9501</v>
      </c>
    </row>
    <row r="957" spans="1:40" x14ac:dyDescent="0.3">
      <c r="A957" s="10" t="str">
        <f>HYPERLINK("http://www.washoecounty.gov/assessor/cama/?parid=012-316-04&amp;CardNumber=1","012-316-04")</f>
        <v>012-316-04</v>
      </c>
      <c r="B957" t="s">
        <v>4655</v>
      </c>
      <c r="C957" t="s">
        <v>9502</v>
      </c>
      <c r="D957" s="1">
        <v>40466</v>
      </c>
      <c r="E957" s="2">
        <v>1575000</v>
      </c>
      <c r="F957" t="s">
        <v>3259</v>
      </c>
      <c r="G957" s="17" t="str">
        <f>HYPERLINK("https://www.washoecounty.gov/assessor/cama/?command=sales&amp;parid=01231604","3933513")</f>
        <v>3933513</v>
      </c>
      <c r="H957" t="s">
        <v>9503</v>
      </c>
      <c r="I957">
        <v>1989</v>
      </c>
      <c r="J957">
        <v>1990</v>
      </c>
      <c r="K957" t="s">
        <v>1375</v>
      </c>
      <c r="L957" t="s">
        <v>1366</v>
      </c>
      <c r="M957" s="2">
        <v>35308</v>
      </c>
      <c r="N957" t="s">
        <v>4672</v>
      </c>
      <c r="O957">
        <v>0</v>
      </c>
      <c r="P957">
        <v>0</v>
      </c>
      <c r="Q957">
        <v>0</v>
      </c>
      <c r="R957" t="s">
        <v>1395</v>
      </c>
      <c r="S957" t="s">
        <v>1369</v>
      </c>
      <c r="T957" t="s">
        <v>4655</v>
      </c>
      <c r="U957" t="s">
        <v>4655</v>
      </c>
      <c r="V957" s="2">
        <v>0</v>
      </c>
      <c r="W957" t="s">
        <v>4655</v>
      </c>
      <c r="X957" s="2">
        <v>0</v>
      </c>
      <c r="Y957">
        <v>50</v>
      </c>
      <c r="Z957" t="s">
        <v>1397</v>
      </c>
      <c r="AA957" s="3">
        <v>2.2090001106262198</v>
      </c>
      <c r="AB957" t="s">
        <v>9504</v>
      </c>
      <c r="AC957" t="s">
        <v>4562</v>
      </c>
      <c r="AD957" t="s">
        <v>9505</v>
      </c>
      <c r="AE957" t="s">
        <v>4655</v>
      </c>
      <c r="AF957" t="s">
        <v>4993</v>
      </c>
      <c r="AG957" t="s">
        <v>4584</v>
      </c>
      <c r="AH957" t="s">
        <v>3342</v>
      </c>
      <c r="AI957" t="s">
        <v>9506</v>
      </c>
      <c r="AJ957" t="s">
        <v>4655</v>
      </c>
      <c r="AK957" t="s">
        <v>9507</v>
      </c>
      <c r="AL957" s="13" t="s">
        <v>2255</v>
      </c>
      <c r="AM957" s="14">
        <v>1</v>
      </c>
      <c r="AN957" s="15" t="s">
        <v>9501</v>
      </c>
    </row>
    <row r="958" spans="1:40" x14ac:dyDescent="0.3">
      <c r="A958" s="10" t="str">
        <f>HYPERLINK("http://www.washoecounty.gov/assessor/cama/?parid=012-391-03&amp;CardNumber=1","012-391-03")</f>
        <v>012-391-03</v>
      </c>
      <c r="B958" t="s">
        <v>4655</v>
      </c>
      <c r="C958" t="s">
        <v>9508</v>
      </c>
      <c r="D958" s="1">
        <v>40382</v>
      </c>
      <c r="E958" s="2">
        <v>675000</v>
      </c>
      <c r="F958" t="s">
        <v>3259</v>
      </c>
      <c r="G958" s="17" t="str">
        <f>HYPERLINK("https://www.washoecounty.gov/assessor/cama/?command=sales&amp;parid=01239103","3904459")</f>
        <v>3904459</v>
      </c>
      <c r="H958" t="s">
        <v>5399</v>
      </c>
      <c r="I958">
        <v>1963</v>
      </c>
      <c r="J958">
        <v>1967</v>
      </c>
      <c r="K958" t="s">
        <v>1375</v>
      </c>
      <c r="L958" t="s">
        <v>1366</v>
      </c>
      <c r="M958" s="2">
        <v>12864</v>
      </c>
      <c r="N958" t="s">
        <v>4672</v>
      </c>
      <c r="O958">
        <v>0</v>
      </c>
      <c r="P958">
        <v>0</v>
      </c>
      <c r="Q958">
        <v>0</v>
      </c>
      <c r="R958" t="s">
        <v>9509</v>
      </c>
      <c r="S958" t="s">
        <v>4599</v>
      </c>
      <c r="T958" t="s">
        <v>4655</v>
      </c>
      <c r="U958" t="s">
        <v>4655</v>
      </c>
      <c r="V958" s="2">
        <v>0</v>
      </c>
      <c r="W958" t="s">
        <v>4655</v>
      </c>
      <c r="X958" s="2">
        <v>0</v>
      </c>
      <c r="Y958">
        <v>50</v>
      </c>
      <c r="Z958" t="s">
        <v>3042</v>
      </c>
      <c r="AA958" s="3">
        <v>0.75592285394668579</v>
      </c>
      <c r="AB958" t="s">
        <v>9510</v>
      </c>
      <c r="AC958" t="s">
        <v>4575</v>
      </c>
      <c r="AD958" t="s">
        <v>9511</v>
      </c>
      <c r="AE958" t="s">
        <v>4655</v>
      </c>
      <c r="AF958" t="s">
        <v>5201</v>
      </c>
      <c r="AG958" t="s">
        <v>4564</v>
      </c>
      <c r="AH958" t="s">
        <v>3898</v>
      </c>
      <c r="AI958" t="s">
        <v>9512</v>
      </c>
      <c r="AJ958" t="s">
        <v>4655</v>
      </c>
      <c r="AK958" t="s">
        <v>9513</v>
      </c>
      <c r="AL958" s="13" t="s">
        <v>3423</v>
      </c>
      <c r="AM958">
        <v>1</v>
      </c>
      <c r="AN958" s="15" t="s">
        <v>3822</v>
      </c>
    </row>
    <row r="959" spans="1:40" x14ac:dyDescent="0.3">
      <c r="A959" s="10" t="str">
        <f>HYPERLINK("http://www.washoecounty.gov/assessor/cama/?parid=012-403-02&amp;CardNumber=1","012-403-02")</f>
        <v>012-403-02</v>
      </c>
      <c r="B959" t="s">
        <v>5502</v>
      </c>
      <c r="C959" t="s">
        <v>9514</v>
      </c>
      <c r="D959" s="1">
        <v>40324</v>
      </c>
      <c r="E959" s="2">
        <v>12400000</v>
      </c>
      <c r="F959" t="s">
        <v>4201</v>
      </c>
      <c r="G959" s="17" t="str">
        <f>HYPERLINK("https://www.washoecounty.gov/assessor/cama/?command=sales&amp;parid=01240302","3885292")</f>
        <v>3885292</v>
      </c>
      <c r="H959" t="s">
        <v>9515</v>
      </c>
      <c r="I959">
        <v>2001</v>
      </c>
      <c r="J959">
        <v>2001</v>
      </c>
      <c r="K959" t="s">
        <v>1394</v>
      </c>
      <c r="L959" t="s">
        <v>1366</v>
      </c>
      <c r="M959" s="2">
        <v>21376</v>
      </c>
      <c r="N959" t="s">
        <v>4580</v>
      </c>
      <c r="O959">
        <v>0</v>
      </c>
      <c r="P959">
        <v>0</v>
      </c>
      <c r="Q959">
        <v>0</v>
      </c>
      <c r="R959" t="s">
        <v>1395</v>
      </c>
      <c r="S959" t="s">
        <v>1819</v>
      </c>
      <c r="T959" t="s">
        <v>4655</v>
      </c>
      <c r="U959" t="s">
        <v>4655</v>
      </c>
      <c r="V959" s="2">
        <v>0</v>
      </c>
      <c r="W959" t="s">
        <v>4655</v>
      </c>
      <c r="X959" s="2">
        <v>0</v>
      </c>
      <c r="Y959">
        <v>51</v>
      </c>
      <c r="Z959" t="s">
        <v>9516</v>
      </c>
      <c r="AA959" s="3">
        <v>3.5899999141693115</v>
      </c>
      <c r="AB959" t="s">
        <v>9517</v>
      </c>
      <c r="AC959" t="s">
        <v>4562</v>
      </c>
      <c r="AD959" t="s">
        <v>9518</v>
      </c>
      <c r="AE959" t="s">
        <v>9519</v>
      </c>
      <c r="AF959" t="s">
        <v>4563</v>
      </c>
      <c r="AG959" t="s">
        <v>4564</v>
      </c>
      <c r="AH959">
        <v>89501</v>
      </c>
      <c r="AI959" t="s">
        <v>9520</v>
      </c>
      <c r="AJ959" t="s">
        <v>9521</v>
      </c>
      <c r="AK959" t="s">
        <v>9522</v>
      </c>
      <c r="AL959" s="13" t="s">
        <v>2257</v>
      </c>
      <c r="AM959">
        <v>0</v>
      </c>
      <c r="AN959" s="15" t="s">
        <v>9523</v>
      </c>
    </row>
    <row r="960" spans="1:40" x14ac:dyDescent="0.3">
      <c r="A960" s="10" t="str">
        <f>HYPERLINK("http://www.washoecounty.gov/assessor/cama/?parid=012-403-05&amp;CardNumber=1","012-403-05")</f>
        <v>012-403-05</v>
      </c>
      <c r="B960" t="s">
        <v>4655</v>
      </c>
      <c r="C960" t="s">
        <v>9524</v>
      </c>
      <c r="D960" s="1">
        <v>40324</v>
      </c>
      <c r="E960" s="2">
        <v>12400000</v>
      </c>
      <c r="F960" t="s">
        <v>4201</v>
      </c>
      <c r="G960" s="17" t="str">
        <f>HYPERLINK("https://www.washoecounty.gov/assessor/cama/?command=sales&amp;parid=01240305","3885292")</f>
        <v>3885292</v>
      </c>
      <c r="H960" t="s">
        <v>9525</v>
      </c>
      <c r="I960">
        <v>2002</v>
      </c>
      <c r="J960">
        <v>2002</v>
      </c>
      <c r="K960" t="s">
        <v>1394</v>
      </c>
      <c r="L960" t="s">
        <v>1366</v>
      </c>
      <c r="M960" s="2">
        <v>20889</v>
      </c>
      <c r="N960" t="s">
        <v>4580</v>
      </c>
      <c r="O960">
        <v>0</v>
      </c>
      <c r="P960">
        <v>0</v>
      </c>
      <c r="Q960">
        <v>0</v>
      </c>
      <c r="R960" t="s">
        <v>1368</v>
      </c>
      <c r="S960" t="s">
        <v>1819</v>
      </c>
      <c r="T960" t="s">
        <v>4655</v>
      </c>
      <c r="U960" t="s">
        <v>4655</v>
      </c>
      <c r="V960" s="2">
        <v>0</v>
      </c>
      <c r="W960" t="s">
        <v>4655</v>
      </c>
      <c r="X960" s="2">
        <v>0</v>
      </c>
      <c r="Y960">
        <v>51</v>
      </c>
      <c r="Z960" t="s">
        <v>9516</v>
      </c>
      <c r="AA960" s="3">
        <v>1.96675848960876</v>
      </c>
      <c r="AB960" t="s">
        <v>9517</v>
      </c>
      <c r="AC960" t="s">
        <v>4562</v>
      </c>
      <c r="AD960" t="s">
        <v>9518</v>
      </c>
      <c r="AE960" t="s">
        <v>9519</v>
      </c>
      <c r="AF960" t="s">
        <v>4563</v>
      </c>
      <c r="AG960" t="s">
        <v>4564</v>
      </c>
      <c r="AH960">
        <v>89501</v>
      </c>
      <c r="AI960" t="s">
        <v>9520</v>
      </c>
      <c r="AJ960" t="s">
        <v>9526</v>
      </c>
      <c r="AK960" t="s">
        <v>9527</v>
      </c>
      <c r="AL960" s="13" t="s">
        <v>2257</v>
      </c>
      <c r="AM960" s="14">
        <v>1</v>
      </c>
      <c r="AN960" s="15" t="s">
        <v>9523</v>
      </c>
    </row>
    <row r="961" spans="1:40" x14ac:dyDescent="0.3">
      <c r="A961" s="10" t="str">
        <f>HYPERLINK("http://www.washoecounty.gov/assessor/cama/?parid=012-403-06&amp;CardNumber=1","012-403-06")</f>
        <v>012-403-06</v>
      </c>
      <c r="B961" t="s">
        <v>5502</v>
      </c>
      <c r="C961" t="s">
        <v>9528</v>
      </c>
      <c r="D961" s="1">
        <v>40324</v>
      </c>
      <c r="E961" s="2">
        <v>12400000</v>
      </c>
      <c r="F961" t="s">
        <v>4201</v>
      </c>
      <c r="G961" s="17" t="str">
        <f>HYPERLINK("https://www.washoecounty.gov/assessor/cama/?command=sales&amp;parid=01240306","3885292")</f>
        <v>3885292</v>
      </c>
      <c r="H961" t="s">
        <v>9525</v>
      </c>
      <c r="I961">
        <v>2003</v>
      </c>
      <c r="J961">
        <v>2003</v>
      </c>
      <c r="K961" t="s">
        <v>1394</v>
      </c>
      <c r="L961" t="s">
        <v>1366</v>
      </c>
      <c r="M961" s="2">
        <v>30064</v>
      </c>
      <c r="N961" t="s">
        <v>4580</v>
      </c>
      <c r="O961">
        <v>0</v>
      </c>
      <c r="P961">
        <v>0</v>
      </c>
      <c r="Q961">
        <v>0</v>
      </c>
      <c r="R961" t="s">
        <v>1368</v>
      </c>
      <c r="S961" t="s">
        <v>1819</v>
      </c>
      <c r="T961" t="s">
        <v>4655</v>
      </c>
      <c r="U961" t="s">
        <v>4655</v>
      </c>
      <c r="V961" s="2">
        <v>0</v>
      </c>
      <c r="W961" t="s">
        <v>4655</v>
      </c>
      <c r="X961" s="2">
        <v>0</v>
      </c>
      <c r="Y961">
        <v>51</v>
      </c>
      <c r="Z961" t="s">
        <v>9516</v>
      </c>
      <c r="AA961" s="3">
        <v>4.6199998855590803</v>
      </c>
      <c r="AB961" t="s">
        <v>9517</v>
      </c>
      <c r="AC961" t="s">
        <v>4562</v>
      </c>
      <c r="AD961" t="s">
        <v>9518</v>
      </c>
      <c r="AE961" t="s">
        <v>9519</v>
      </c>
      <c r="AF961" t="s">
        <v>4563</v>
      </c>
      <c r="AG961" t="s">
        <v>4564</v>
      </c>
      <c r="AH961">
        <v>89501</v>
      </c>
      <c r="AI961" t="s">
        <v>9520</v>
      </c>
      <c r="AJ961" t="s">
        <v>9526</v>
      </c>
      <c r="AK961" t="s">
        <v>9529</v>
      </c>
      <c r="AL961" s="13" t="s">
        <v>2257</v>
      </c>
      <c r="AM961">
        <v>1</v>
      </c>
      <c r="AN961" s="15" t="s">
        <v>9523</v>
      </c>
    </row>
    <row r="962" spans="1:40" x14ac:dyDescent="0.3">
      <c r="A962" s="10" t="str">
        <f>HYPERLINK("http://www.washoecounty.gov/assessor/cama/?parid=012-431-08&amp;CardNumber=1","012-431-08")</f>
        <v>012-431-08</v>
      </c>
      <c r="B962" t="s">
        <v>4655</v>
      </c>
      <c r="C962" t="s">
        <v>9530</v>
      </c>
      <c r="D962" s="1">
        <v>40382</v>
      </c>
      <c r="E962" s="2">
        <v>475000</v>
      </c>
      <c r="F962" t="s">
        <v>3259</v>
      </c>
      <c r="G962" s="17" t="str">
        <f>HYPERLINK("https://www.washoecounty.gov/assessor/cama/?command=sales&amp;parid=01243108","3904409")</f>
        <v>3904409</v>
      </c>
      <c r="H962" t="s">
        <v>9531</v>
      </c>
      <c r="I962">
        <v>2005</v>
      </c>
      <c r="J962">
        <v>2005</v>
      </c>
      <c r="K962" t="s">
        <v>1394</v>
      </c>
      <c r="L962" t="s">
        <v>1366</v>
      </c>
      <c r="M962" s="2">
        <v>5000</v>
      </c>
      <c r="N962" t="s">
        <v>3531</v>
      </c>
      <c r="O962">
        <v>0</v>
      </c>
      <c r="P962">
        <v>0</v>
      </c>
      <c r="Q962">
        <v>0</v>
      </c>
      <c r="R962" t="s">
        <v>1368</v>
      </c>
      <c r="S962" t="s">
        <v>4599</v>
      </c>
      <c r="T962" t="s">
        <v>4655</v>
      </c>
      <c r="U962" t="s">
        <v>4655</v>
      </c>
      <c r="V962" s="2">
        <v>0</v>
      </c>
      <c r="W962" t="s">
        <v>4655</v>
      </c>
      <c r="X962" s="2">
        <v>0</v>
      </c>
      <c r="Y962">
        <v>51</v>
      </c>
      <c r="Z962" t="s">
        <v>1397</v>
      </c>
      <c r="AA962" s="3">
        <v>0.17217630147933999</v>
      </c>
      <c r="AB962" t="s">
        <v>9532</v>
      </c>
      <c r="AC962" t="s">
        <v>4575</v>
      </c>
      <c r="AD962" t="s">
        <v>9533</v>
      </c>
      <c r="AE962" t="s">
        <v>9534</v>
      </c>
      <c r="AF962" t="s">
        <v>4563</v>
      </c>
      <c r="AG962" t="s">
        <v>4564</v>
      </c>
      <c r="AH962">
        <v>89509</v>
      </c>
      <c r="AI962" t="s">
        <v>9535</v>
      </c>
      <c r="AJ962" t="s">
        <v>9536</v>
      </c>
      <c r="AK962" t="s">
        <v>9537</v>
      </c>
      <c r="AL962" s="13" t="s">
        <v>2257</v>
      </c>
      <c r="AM962">
        <v>0</v>
      </c>
      <c r="AN962" s="15" t="s">
        <v>9538</v>
      </c>
    </row>
    <row r="963" spans="1:40" x14ac:dyDescent="0.3">
      <c r="A963" s="10" t="str">
        <f>HYPERLINK("http://www.washoecounty.gov/assessor/cama/?parid=012-431-19&amp;CardNumber=1","012-431-19")</f>
        <v>012-431-19</v>
      </c>
      <c r="B963" t="s">
        <v>4655</v>
      </c>
      <c r="C963" t="s">
        <v>9539</v>
      </c>
      <c r="D963" s="1">
        <v>40332</v>
      </c>
      <c r="E963" s="2">
        <v>516000</v>
      </c>
      <c r="F963" t="s">
        <v>4567</v>
      </c>
      <c r="G963" s="17" t="str">
        <f>HYPERLINK("https://www.washoecounty.gov/assessor/cama/?command=sales&amp;parid=01243119","3888082")</f>
        <v>3888082</v>
      </c>
      <c r="H963" t="s">
        <v>9540</v>
      </c>
      <c r="I963">
        <v>2005</v>
      </c>
      <c r="J963">
        <v>2005</v>
      </c>
      <c r="K963" t="s">
        <v>1394</v>
      </c>
      <c r="L963" t="s">
        <v>1366</v>
      </c>
      <c r="M963" s="2">
        <v>5000</v>
      </c>
      <c r="N963" t="s">
        <v>3531</v>
      </c>
      <c r="O963">
        <v>0</v>
      </c>
      <c r="P963">
        <v>0</v>
      </c>
      <c r="Q963">
        <v>0</v>
      </c>
      <c r="R963" t="s">
        <v>1368</v>
      </c>
      <c r="S963" t="s">
        <v>4599</v>
      </c>
      <c r="T963" t="s">
        <v>4655</v>
      </c>
      <c r="U963" t="s">
        <v>4655</v>
      </c>
      <c r="V963" s="2">
        <v>0</v>
      </c>
      <c r="W963" t="s">
        <v>4655</v>
      </c>
      <c r="X963" s="2">
        <v>0</v>
      </c>
      <c r="Y963">
        <v>51</v>
      </c>
      <c r="Z963" t="s">
        <v>1397</v>
      </c>
      <c r="AA963" s="3">
        <v>0.17235995829105399</v>
      </c>
      <c r="AB963" t="s">
        <v>9541</v>
      </c>
      <c r="AC963" t="s">
        <v>4575</v>
      </c>
      <c r="AD963" t="s">
        <v>9542</v>
      </c>
      <c r="AE963" t="s">
        <v>4655</v>
      </c>
      <c r="AF963" t="s">
        <v>4563</v>
      </c>
      <c r="AG963" t="s">
        <v>4564</v>
      </c>
      <c r="AH963">
        <v>89502</v>
      </c>
      <c r="AI963" t="s">
        <v>9543</v>
      </c>
      <c r="AJ963" t="s">
        <v>9544</v>
      </c>
      <c r="AK963" t="s">
        <v>9545</v>
      </c>
      <c r="AL963" s="13" t="s">
        <v>2257</v>
      </c>
      <c r="AM963">
        <v>0</v>
      </c>
      <c r="AN963" s="15" t="s">
        <v>9538</v>
      </c>
    </row>
    <row r="964" spans="1:40" x14ac:dyDescent="0.3">
      <c r="A964" s="10" t="str">
        <f>HYPERLINK("http://www.washoecounty.gov/assessor/cama/?parid=012-440-08&amp;CardNumber=1","012-440-08")</f>
        <v>012-440-08</v>
      </c>
      <c r="B964" t="s">
        <v>4655</v>
      </c>
      <c r="C964" t="s">
        <v>9546</v>
      </c>
      <c r="D964" s="1">
        <v>40535</v>
      </c>
      <c r="E964" s="2">
        <v>2304977</v>
      </c>
      <c r="F964" t="s">
        <v>4187</v>
      </c>
      <c r="G964" s="17" t="str">
        <f>HYPERLINK("https://www.washoecounty.gov/assessor/cama/?command=sales&amp;parid=01244008","3956770")</f>
        <v>3956770</v>
      </c>
      <c r="H964" t="s">
        <v>9547</v>
      </c>
      <c r="I964">
        <v>0</v>
      </c>
      <c r="J964">
        <v>0</v>
      </c>
      <c r="K964" t="s">
        <v>4655</v>
      </c>
      <c r="L964" t="s">
        <v>4655</v>
      </c>
      <c r="M964" s="2">
        <v>0</v>
      </c>
      <c r="N964" t="s">
        <v>4655</v>
      </c>
      <c r="O964">
        <v>0</v>
      </c>
      <c r="P964">
        <v>0</v>
      </c>
      <c r="Q964">
        <v>0</v>
      </c>
      <c r="R964" t="s">
        <v>4655</v>
      </c>
      <c r="S964" t="s">
        <v>4655</v>
      </c>
      <c r="T964" t="s">
        <v>4655</v>
      </c>
      <c r="U964" t="s">
        <v>4655</v>
      </c>
      <c r="V964" s="2">
        <v>0</v>
      </c>
      <c r="W964" t="s">
        <v>4655</v>
      </c>
      <c r="X964" s="2">
        <v>0</v>
      </c>
      <c r="Y964">
        <v>14</v>
      </c>
      <c r="Z964" t="s">
        <v>3047</v>
      </c>
      <c r="AA964" s="3">
        <v>5.5300002098083398</v>
      </c>
      <c r="AB964" t="s">
        <v>9548</v>
      </c>
      <c r="AC964" t="s">
        <v>4562</v>
      </c>
      <c r="AD964" t="s">
        <v>9549</v>
      </c>
      <c r="AE964" t="s">
        <v>4655</v>
      </c>
      <c r="AF964" t="s">
        <v>4563</v>
      </c>
      <c r="AG964" t="s">
        <v>4564</v>
      </c>
      <c r="AH964">
        <v>89509</v>
      </c>
      <c r="AI964" t="s">
        <v>9550</v>
      </c>
      <c r="AJ964" t="s">
        <v>4571</v>
      </c>
      <c r="AK964" t="s">
        <v>9551</v>
      </c>
      <c r="AL964" s="13" t="s">
        <v>3422</v>
      </c>
      <c r="AM964" s="14">
        <v>0</v>
      </c>
      <c r="AN964" s="15" t="s">
        <v>1288</v>
      </c>
    </row>
    <row r="965" spans="1:40" x14ac:dyDescent="0.3">
      <c r="A965" s="10" t="str">
        <f>HYPERLINK("http://www.washoecounty.gov/assessor/cama/?parid=012-491-01&amp;CardNumber=1","012-491-01")</f>
        <v>012-491-01</v>
      </c>
      <c r="B965" t="s">
        <v>4655</v>
      </c>
      <c r="C965" t="s">
        <v>4576</v>
      </c>
      <c r="D965" s="1">
        <v>40421</v>
      </c>
      <c r="E965" s="2">
        <v>15500</v>
      </c>
      <c r="F965" t="s">
        <v>4553</v>
      </c>
      <c r="G965" s="17" t="str">
        <f>HYPERLINK("https://www.washoecounty.gov/assessor/cama/?command=sales&amp;parid=01249101","3917401")</f>
        <v>3917401</v>
      </c>
      <c r="H965" t="s">
        <v>968</v>
      </c>
      <c r="I965">
        <v>1978</v>
      </c>
      <c r="J965">
        <v>1989</v>
      </c>
      <c r="K965" t="s">
        <v>4578</v>
      </c>
      <c r="L965" t="s">
        <v>4579</v>
      </c>
      <c r="M965" s="2">
        <v>405</v>
      </c>
      <c r="N965" t="s">
        <v>4580</v>
      </c>
      <c r="O965">
        <v>0</v>
      </c>
      <c r="P965">
        <v>0</v>
      </c>
      <c r="Q965">
        <v>0</v>
      </c>
      <c r="R965" t="s">
        <v>4581</v>
      </c>
      <c r="S965" t="s">
        <v>4582</v>
      </c>
      <c r="T965" t="s">
        <v>4655</v>
      </c>
      <c r="U965" t="s">
        <v>4655</v>
      </c>
      <c r="V965" s="2">
        <v>0</v>
      </c>
      <c r="W965" t="s">
        <v>4655</v>
      </c>
      <c r="X965" s="2">
        <v>0</v>
      </c>
      <c r="Y965">
        <v>21</v>
      </c>
      <c r="Z965" t="s">
        <v>4583</v>
      </c>
      <c r="AA965" s="3">
        <v>9.2056933790445293E-3</v>
      </c>
      <c r="AB965" t="s">
        <v>9552</v>
      </c>
      <c r="AC965" t="s">
        <v>4562</v>
      </c>
      <c r="AD965" t="s">
        <v>9553</v>
      </c>
      <c r="AE965" t="s">
        <v>4655</v>
      </c>
      <c r="AF965" t="s">
        <v>2356</v>
      </c>
      <c r="AG965" t="s">
        <v>4584</v>
      </c>
      <c r="AH965" t="s">
        <v>2357</v>
      </c>
      <c r="AI965" t="s">
        <v>4655</v>
      </c>
      <c r="AJ965" t="s">
        <v>3936</v>
      </c>
      <c r="AK965" t="s">
        <v>9554</v>
      </c>
      <c r="AL965" s="13" t="s">
        <v>2256</v>
      </c>
      <c r="AM965" s="14">
        <v>1</v>
      </c>
      <c r="AN965" s="15" t="s">
        <v>4142</v>
      </c>
    </row>
    <row r="966" spans="1:40" x14ac:dyDescent="0.3">
      <c r="A966" s="10" t="str">
        <f>HYPERLINK("http://www.washoecounty.gov/assessor/cama/?parid=012-491-05&amp;CardNumber=1","012-491-05")</f>
        <v>012-491-05</v>
      </c>
      <c r="B966" t="s">
        <v>4655</v>
      </c>
      <c r="C966" t="s">
        <v>4576</v>
      </c>
      <c r="D966" s="1">
        <v>40283</v>
      </c>
      <c r="E966" s="2">
        <v>16000</v>
      </c>
      <c r="F966" t="s">
        <v>4553</v>
      </c>
      <c r="G966" s="17" t="str">
        <f>HYPERLINK("https://www.washoecounty.gov/assessor/cama/?command=sales&amp;parid=01249105","3871107")</f>
        <v>3871107</v>
      </c>
      <c r="H966" t="s">
        <v>968</v>
      </c>
      <c r="I966">
        <v>1978</v>
      </c>
      <c r="J966">
        <v>1989</v>
      </c>
      <c r="K966" t="s">
        <v>4578</v>
      </c>
      <c r="L966" t="s">
        <v>4579</v>
      </c>
      <c r="M966" s="2">
        <v>405</v>
      </c>
      <c r="N966" t="s">
        <v>4580</v>
      </c>
      <c r="O966">
        <v>0</v>
      </c>
      <c r="P966">
        <v>0</v>
      </c>
      <c r="Q966">
        <v>0</v>
      </c>
      <c r="R966" t="s">
        <v>4581</v>
      </c>
      <c r="S966" t="s">
        <v>4582</v>
      </c>
      <c r="T966" t="s">
        <v>4655</v>
      </c>
      <c r="U966" t="s">
        <v>4655</v>
      </c>
      <c r="V966" s="2">
        <v>0</v>
      </c>
      <c r="W966" t="s">
        <v>4655</v>
      </c>
      <c r="X966" s="2">
        <v>0</v>
      </c>
      <c r="Y966">
        <v>21</v>
      </c>
      <c r="Z966" t="s">
        <v>4583</v>
      </c>
      <c r="AA966" s="3">
        <v>9.2056933790445293E-3</v>
      </c>
      <c r="AB966" t="s">
        <v>2500</v>
      </c>
      <c r="AC966" t="s">
        <v>4575</v>
      </c>
      <c r="AD966" t="s">
        <v>9555</v>
      </c>
      <c r="AE966" t="s">
        <v>9556</v>
      </c>
      <c r="AF966" t="s">
        <v>4563</v>
      </c>
      <c r="AG966" t="s">
        <v>4564</v>
      </c>
      <c r="AH966" t="s">
        <v>1147</v>
      </c>
      <c r="AI966" t="s">
        <v>4585</v>
      </c>
      <c r="AJ966" t="s">
        <v>3936</v>
      </c>
      <c r="AK966" t="s">
        <v>2501</v>
      </c>
      <c r="AL966" s="13" t="s">
        <v>2256</v>
      </c>
      <c r="AM966">
        <v>1</v>
      </c>
      <c r="AN966" s="15" t="s">
        <v>4142</v>
      </c>
    </row>
    <row r="967" spans="1:40" x14ac:dyDescent="0.3">
      <c r="A967" s="10" t="str">
        <f>HYPERLINK("http://www.washoecounty.gov/assessor/cama/?parid=012-492-02&amp;CardNumber=1","012-492-02")</f>
        <v>012-492-02</v>
      </c>
      <c r="B967" t="s">
        <v>4655</v>
      </c>
      <c r="C967" t="s">
        <v>4576</v>
      </c>
      <c r="D967" s="1">
        <v>40186</v>
      </c>
      <c r="E967" s="2">
        <v>22500</v>
      </c>
      <c r="F967" t="s">
        <v>4553</v>
      </c>
      <c r="G967" s="17" t="str">
        <f>HYPERLINK("https://www.washoecounty.gov/assessor/cama/?command=sales&amp;parid=01249202","3837556")</f>
        <v>3837556</v>
      </c>
      <c r="H967" t="s">
        <v>968</v>
      </c>
      <c r="I967">
        <v>1978</v>
      </c>
      <c r="J967">
        <v>1989</v>
      </c>
      <c r="K967" t="s">
        <v>4578</v>
      </c>
      <c r="L967" t="s">
        <v>4579</v>
      </c>
      <c r="M967" s="2">
        <v>405</v>
      </c>
      <c r="N967" t="s">
        <v>4580</v>
      </c>
      <c r="O967">
        <v>0</v>
      </c>
      <c r="P967">
        <v>0</v>
      </c>
      <c r="Q967">
        <v>0</v>
      </c>
      <c r="R967" t="s">
        <v>4581</v>
      </c>
      <c r="S967" t="s">
        <v>4582</v>
      </c>
      <c r="T967" t="s">
        <v>4655</v>
      </c>
      <c r="U967" t="s">
        <v>4655</v>
      </c>
      <c r="V967" s="2">
        <v>0</v>
      </c>
      <c r="W967" t="s">
        <v>4655</v>
      </c>
      <c r="X967" s="2">
        <v>0</v>
      </c>
      <c r="Y967">
        <v>21</v>
      </c>
      <c r="Z967" t="s">
        <v>4583</v>
      </c>
      <c r="AA967" s="3">
        <v>9.2056933790445293E-3</v>
      </c>
      <c r="AB967" t="s">
        <v>9557</v>
      </c>
      <c r="AC967" t="s">
        <v>4562</v>
      </c>
      <c r="AD967" t="s">
        <v>9558</v>
      </c>
      <c r="AE967" t="s">
        <v>4655</v>
      </c>
      <c r="AF967" t="s">
        <v>3934</v>
      </c>
      <c r="AG967" t="s">
        <v>4584</v>
      </c>
      <c r="AH967" t="s">
        <v>3935</v>
      </c>
      <c r="AI967" t="s">
        <v>4585</v>
      </c>
      <c r="AJ967" t="s">
        <v>3936</v>
      </c>
      <c r="AK967" t="s">
        <v>9559</v>
      </c>
      <c r="AL967" s="13" t="s">
        <v>2256</v>
      </c>
      <c r="AM967" s="14">
        <v>1</v>
      </c>
      <c r="AN967" s="15" t="s">
        <v>4142</v>
      </c>
    </row>
    <row r="968" spans="1:40" x14ac:dyDescent="0.3">
      <c r="A968" s="10" t="str">
        <f>HYPERLINK("http://www.washoecounty.gov/assessor/cama/?parid=012-492-03&amp;CardNumber=1","012-492-03")</f>
        <v>012-492-03</v>
      </c>
      <c r="B968" t="s">
        <v>4655</v>
      </c>
      <c r="C968" t="s">
        <v>4576</v>
      </c>
      <c r="D968" s="1">
        <v>40226</v>
      </c>
      <c r="E968" s="2">
        <v>19900</v>
      </c>
      <c r="F968" t="s">
        <v>4567</v>
      </c>
      <c r="G968" s="17" t="str">
        <f>HYPERLINK("https://www.washoecounty.gov/assessor/cama/?command=sales&amp;parid=01249203","3850285")</f>
        <v>3850285</v>
      </c>
      <c r="H968" t="s">
        <v>968</v>
      </c>
      <c r="I968">
        <v>1978</v>
      </c>
      <c r="J968">
        <v>1989</v>
      </c>
      <c r="K968" t="s">
        <v>4578</v>
      </c>
      <c r="L968" t="s">
        <v>4579</v>
      </c>
      <c r="M968" s="2">
        <v>405</v>
      </c>
      <c r="N968" t="s">
        <v>4580</v>
      </c>
      <c r="O968">
        <v>0</v>
      </c>
      <c r="P968">
        <v>0</v>
      </c>
      <c r="Q968">
        <v>0</v>
      </c>
      <c r="R968" t="s">
        <v>4581</v>
      </c>
      <c r="S968" t="s">
        <v>4582</v>
      </c>
      <c r="T968" t="s">
        <v>4655</v>
      </c>
      <c r="U968" t="s">
        <v>4655</v>
      </c>
      <c r="V968" s="2">
        <v>0</v>
      </c>
      <c r="W968" t="s">
        <v>4655</v>
      </c>
      <c r="X968" s="2">
        <v>0</v>
      </c>
      <c r="Y968">
        <v>21</v>
      </c>
      <c r="Z968" t="s">
        <v>4583</v>
      </c>
      <c r="AA968" s="3">
        <v>9.2056933790445293E-3</v>
      </c>
      <c r="AB968" t="s">
        <v>9560</v>
      </c>
      <c r="AC968" t="s">
        <v>4562</v>
      </c>
      <c r="AD968" t="s">
        <v>9561</v>
      </c>
      <c r="AE968" t="s">
        <v>4655</v>
      </c>
      <c r="AF968" t="s">
        <v>2561</v>
      </c>
      <c r="AG968" t="s">
        <v>4584</v>
      </c>
      <c r="AH968" t="s">
        <v>9562</v>
      </c>
      <c r="AI968" t="s">
        <v>9563</v>
      </c>
      <c r="AJ968" t="s">
        <v>3936</v>
      </c>
      <c r="AK968" t="s">
        <v>9564</v>
      </c>
      <c r="AL968" s="13" t="s">
        <v>2256</v>
      </c>
      <c r="AM968">
        <v>1</v>
      </c>
      <c r="AN968" s="15" t="s">
        <v>4142</v>
      </c>
    </row>
    <row r="969" spans="1:40" x14ac:dyDescent="0.3">
      <c r="A969" s="10" t="str">
        <f>HYPERLINK("http://www.washoecounty.gov/assessor/cama/?parid=012-492-08&amp;CardNumber=1","012-492-08")</f>
        <v>012-492-08</v>
      </c>
      <c r="B969" t="s">
        <v>4655</v>
      </c>
      <c r="C969" t="s">
        <v>4576</v>
      </c>
      <c r="D969" s="1">
        <v>40252</v>
      </c>
      <c r="E969" s="2">
        <v>18500</v>
      </c>
      <c r="F969" t="s">
        <v>4567</v>
      </c>
      <c r="G969" s="17" t="str">
        <f>HYPERLINK("https://www.washoecounty.gov/assessor/cama/?command=sales&amp;parid=01249208","3860130")</f>
        <v>3860130</v>
      </c>
      <c r="H969" t="s">
        <v>968</v>
      </c>
      <c r="I969">
        <v>1978</v>
      </c>
      <c r="J969">
        <v>1989</v>
      </c>
      <c r="K969" t="s">
        <v>4578</v>
      </c>
      <c r="L969" t="s">
        <v>4579</v>
      </c>
      <c r="M969" s="2">
        <v>405</v>
      </c>
      <c r="N969" t="s">
        <v>4580</v>
      </c>
      <c r="O969">
        <v>0</v>
      </c>
      <c r="P969">
        <v>0</v>
      </c>
      <c r="Q969">
        <v>0</v>
      </c>
      <c r="R969" t="s">
        <v>4581</v>
      </c>
      <c r="S969" t="s">
        <v>4582</v>
      </c>
      <c r="T969" t="s">
        <v>4655</v>
      </c>
      <c r="U969" t="s">
        <v>4655</v>
      </c>
      <c r="V969" s="2">
        <v>0</v>
      </c>
      <c r="W969" t="s">
        <v>4655</v>
      </c>
      <c r="X969" s="2">
        <v>0</v>
      </c>
      <c r="Y969">
        <v>21</v>
      </c>
      <c r="Z969" t="s">
        <v>4583</v>
      </c>
      <c r="AA969" s="3">
        <v>9.2056933790445293E-3</v>
      </c>
      <c r="AB969" t="s">
        <v>9565</v>
      </c>
      <c r="AC969" t="s">
        <v>4562</v>
      </c>
      <c r="AD969" t="s">
        <v>9566</v>
      </c>
      <c r="AE969" t="s">
        <v>4655</v>
      </c>
      <c r="AF969" t="s">
        <v>1767</v>
      </c>
      <c r="AG969" t="s">
        <v>4584</v>
      </c>
      <c r="AH969" t="s">
        <v>1768</v>
      </c>
      <c r="AI969" t="s">
        <v>4655</v>
      </c>
      <c r="AJ969" t="s">
        <v>3936</v>
      </c>
      <c r="AK969" t="s">
        <v>9567</v>
      </c>
      <c r="AL969" s="13" t="s">
        <v>2256</v>
      </c>
      <c r="AM969">
        <v>1</v>
      </c>
      <c r="AN969" s="15" t="s">
        <v>4142</v>
      </c>
    </row>
    <row r="970" spans="1:40" x14ac:dyDescent="0.3">
      <c r="A970" s="10" t="str">
        <f>HYPERLINK("http://www.washoecounty.gov/assessor/cama/?parid=012-493-02&amp;CardNumber=1","012-493-02")</f>
        <v>012-493-02</v>
      </c>
      <c r="B970" t="s">
        <v>4655</v>
      </c>
      <c r="C970" t="s">
        <v>4576</v>
      </c>
      <c r="D970" s="1">
        <v>40389</v>
      </c>
      <c r="E970" s="2">
        <v>17000</v>
      </c>
      <c r="F970" t="s">
        <v>4553</v>
      </c>
      <c r="G970" s="17" t="str">
        <f>HYPERLINK("https://www.washoecounty.gov/assessor/cama/?command=sales&amp;parid=01249302","3906951")</f>
        <v>3906951</v>
      </c>
      <c r="H970" t="s">
        <v>968</v>
      </c>
      <c r="I970">
        <v>1978</v>
      </c>
      <c r="J970">
        <v>1989</v>
      </c>
      <c r="K970" t="s">
        <v>4578</v>
      </c>
      <c r="L970" t="s">
        <v>4579</v>
      </c>
      <c r="M970" s="2">
        <v>405</v>
      </c>
      <c r="N970" t="s">
        <v>4580</v>
      </c>
      <c r="O970">
        <v>0</v>
      </c>
      <c r="P970">
        <v>0</v>
      </c>
      <c r="Q970">
        <v>0</v>
      </c>
      <c r="R970" t="s">
        <v>4581</v>
      </c>
      <c r="S970" t="s">
        <v>4582</v>
      </c>
      <c r="T970" t="s">
        <v>4655</v>
      </c>
      <c r="U970" t="s">
        <v>4655</v>
      </c>
      <c r="V970" s="2">
        <v>0</v>
      </c>
      <c r="W970" t="s">
        <v>4655</v>
      </c>
      <c r="X970" s="2">
        <v>0</v>
      </c>
      <c r="Y970">
        <v>21</v>
      </c>
      <c r="Z970" t="s">
        <v>4583</v>
      </c>
      <c r="AA970" s="3">
        <v>9.2056933790445293E-3</v>
      </c>
      <c r="AB970" t="s">
        <v>2710</v>
      </c>
      <c r="AC970" t="s">
        <v>4575</v>
      </c>
      <c r="AD970" t="s">
        <v>9568</v>
      </c>
      <c r="AE970" t="s">
        <v>4655</v>
      </c>
      <c r="AF970" t="s">
        <v>4563</v>
      </c>
      <c r="AG970" t="s">
        <v>4564</v>
      </c>
      <c r="AH970">
        <v>89506</v>
      </c>
      <c r="AI970" t="s">
        <v>9569</v>
      </c>
      <c r="AJ970" t="s">
        <v>3936</v>
      </c>
      <c r="AK970" t="s">
        <v>915</v>
      </c>
      <c r="AL970" s="13" t="s">
        <v>2256</v>
      </c>
      <c r="AM970">
        <v>1</v>
      </c>
      <c r="AN970" s="15" t="s">
        <v>4142</v>
      </c>
    </row>
    <row r="971" spans="1:40" x14ac:dyDescent="0.3">
      <c r="A971" s="10" t="str">
        <f>HYPERLINK("http://www.washoecounty.gov/assessor/cama/?parid=012-494-01&amp;CardNumber=1","012-494-01")</f>
        <v>012-494-01</v>
      </c>
      <c r="B971" t="s">
        <v>4655</v>
      </c>
      <c r="C971" t="s">
        <v>4576</v>
      </c>
      <c r="D971" s="1">
        <v>40497</v>
      </c>
      <c r="E971" s="2">
        <v>29888</v>
      </c>
      <c r="F971" t="s">
        <v>4553</v>
      </c>
      <c r="G971" s="17" t="str">
        <f>HYPERLINK("https://www.washoecounty.gov/assessor/cama/?command=sales&amp;parid=01249401","3943148")</f>
        <v>3943148</v>
      </c>
      <c r="H971" t="s">
        <v>968</v>
      </c>
      <c r="I971">
        <v>1978</v>
      </c>
      <c r="J971">
        <v>1989</v>
      </c>
      <c r="K971" t="s">
        <v>4578</v>
      </c>
      <c r="L971" t="s">
        <v>4579</v>
      </c>
      <c r="M971" s="2">
        <v>855</v>
      </c>
      <c r="N971" t="s">
        <v>4580</v>
      </c>
      <c r="O971">
        <v>0</v>
      </c>
      <c r="P971">
        <v>0</v>
      </c>
      <c r="Q971">
        <v>0</v>
      </c>
      <c r="R971" t="s">
        <v>4581</v>
      </c>
      <c r="S971" t="s">
        <v>4582</v>
      </c>
      <c r="T971" t="s">
        <v>4655</v>
      </c>
      <c r="U971" t="s">
        <v>4655</v>
      </c>
      <c r="V971" s="2">
        <v>0</v>
      </c>
      <c r="W971" t="s">
        <v>4655</v>
      </c>
      <c r="X971" s="2">
        <v>0</v>
      </c>
      <c r="Y971">
        <v>21</v>
      </c>
      <c r="Z971" t="s">
        <v>4583</v>
      </c>
      <c r="AA971" s="3">
        <v>1.96740124374628E-2</v>
      </c>
      <c r="AB971" t="s">
        <v>1729</v>
      </c>
      <c r="AC971" t="s">
        <v>4562</v>
      </c>
      <c r="AD971" t="s">
        <v>4947</v>
      </c>
      <c r="AE971" t="s">
        <v>4948</v>
      </c>
      <c r="AF971" t="s">
        <v>4949</v>
      </c>
      <c r="AG971" t="s">
        <v>4655</v>
      </c>
      <c r="AH971" t="s">
        <v>4655</v>
      </c>
      <c r="AI971" t="s">
        <v>9570</v>
      </c>
      <c r="AJ971" t="s">
        <v>3936</v>
      </c>
      <c r="AK971" t="s">
        <v>9571</v>
      </c>
      <c r="AL971" s="13" t="s">
        <v>2256</v>
      </c>
      <c r="AM971">
        <v>1</v>
      </c>
      <c r="AN971" s="15" t="s">
        <v>4142</v>
      </c>
    </row>
    <row r="972" spans="1:40" x14ac:dyDescent="0.3">
      <c r="A972" s="10" t="str">
        <f>HYPERLINK("http://www.washoecounty.gov/assessor/cama/?parid=012-494-09&amp;CardNumber=1","012-494-09")</f>
        <v>012-494-09</v>
      </c>
      <c r="B972" t="s">
        <v>4655</v>
      </c>
      <c r="C972" t="s">
        <v>4576</v>
      </c>
      <c r="D972" s="1">
        <v>40205</v>
      </c>
      <c r="E972" s="2">
        <v>19000</v>
      </c>
      <c r="F972" t="s">
        <v>4553</v>
      </c>
      <c r="G972" s="17" t="str">
        <f>HYPERLINK("https://www.washoecounty.gov/assessor/cama/?command=sales&amp;parid=01249409","3843174")</f>
        <v>3843174</v>
      </c>
      <c r="H972" t="s">
        <v>968</v>
      </c>
      <c r="I972">
        <v>1978</v>
      </c>
      <c r="J972">
        <v>1989</v>
      </c>
      <c r="K972" t="s">
        <v>4578</v>
      </c>
      <c r="L972" t="s">
        <v>4579</v>
      </c>
      <c r="M972" s="2">
        <v>510</v>
      </c>
      <c r="N972" t="s">
        <v>4580</v>
      </c>
      <c r="O972">
        <v>0</v>
      </c>
      <c r="P972">
        <v>0</v>
      </c>
      <c r="Q972">
        <v>0</v>
      </c>
      <c r="R972" t="s">
        <v>4581</v>
      </c>
      <c r="S972" t="s">
        <v>4582</v>
      </c>
      <c r="T972" t="s">
        <v>4655</v>
      </c>
      <c r="U972" t="s">
        <v>4655</v>
      </c>
      <c r="V972" s="2">
        <v>0</v>
      </c>
      <c r="W972" t="s">
        <v>4655</v>
      </c>
      <c r="X972" s="2">
        <v>0</v>
      </c>
      <c r="Y972">
        <v>21</v>
      </c>
      <c r="Z972" t="s">
        <v>4583</v>
      </c>
      <c r="AA972" s="3">
        <v>1.1868686415255099E-2</v>
      </c>
      <c r="AB972" t="s">
        <v>9572</v>
      </c>
      <c r="AC972" t="s">
        <v>4575</v>
      </c>
      <c r="AD972" t="s">
        <v>9573</v>
      </c>
      <c r="AE972" t="s">
        <v>4655</v>
      </c>
      <c r="AF972" t="s">
        <v>969</v>
      </c>
      <c r="AG972" t="s">
        <v>4584</v>
      </c>
      <c r="AH972" t="s">
        <v>9574</v>
      </c>
      <c r="AI972" t="s">
        <v>4585</v>
      </c>
      <c r="AJ972" t="s">
        <v>3936</v>
      </c>
      <c r="AK972" t="s">
        <v>9575</v>
      </c>
      <c r="AL972" s="13" t="s">
        <v>2256</v>
      </c>
      <c r="AM972">
        <v>1</v>
      </c>
      <c r="AN972" s="15" t="s">
        <v>4142</v>
      </c>
    </row>
    <row r="973" spans="1:40" x14ac:dyDescent="0.3">
      <c r="A973" s="10" t="str">
        <f>HYPERLINK("http://www.washoecounty.gov/assessor/cama/?parid=012-494-10&amp;CardNumber=1","012-494-10")</f>
        <v>012-494-10</v>
      </c>
      <c r="B973" t="s">
        <v>4655</v>
      </c>
      <c r="C973" t="s">
        <v>4576</v>
      </c>
      <c r="D973" s="1">
        <v>40303</v>
      </c>
      <c r="E973" s="2">
        <v>19000</v>
      </c>
      <c r="F973" t="s">
        <v>4553</v>
      </c>
      <c r="G973" s="17" t="str">
        <f>HYPERLINK("https://www.washoecounty.gov/assessor/cama/?command=sales&amp;parid=01249410","3878324")</f>
        <v>3878324</v>
      </c>
      <c r="H973" t="s">
        <v>968</v>
      </c>
      <c r="I973">
        <v>1978</v>
      </c>
      <c r="J973">
        <v>1989</v>
      </c>
      <c r="K973" t="s">
        <v>4578</v>
      </c>
      <c r="L973" t="s">
        <v>4579</v>
      </c>
      <c r="M973" s="2">
        <v>510</v>
      </c>
      <c r="N973" t="s">
        <v>4580</v>
      </c>
      <c r="O973">
        <v>0</v>
      </c>
      <c r="P973">
        <v>0</v>
      </c>
      <c r="Q973">
        <v>0</v>
      </c>
      <c r="R973" t="s">
        <v>4581</v>
      </c>
      <c r="S973" t="s">
        <v>4582</v>
      </c>
      <c r="T973" t="s">
        <v>4655</v>
      </c>
      <c r="U973" t="s">
        <v>4655</v>
      </c>
      <c r="V973" s="2">
        <v>0</v>
      </c>
      <c r="W973" t="s">
        <v>4655</v>
      </c>
      <c r="X973" s="2">
        <v>0</v>
      </c>
      <c r="Y973">
        <v>21</v>
      </c>
      <c r="Z973" t="s">
        <v>4583</v>
      </c>
      <c r="AA973" s="3">
        <v>1.1868686415255099E-2</v>
      </c>
      <c r="AB973" t="s">
        <v>9576</v>
      </c>
      <c r="AC973" t="s">
        <v>4562</v>
      </c>
      <c r="AD973" t="s">
        <v>9577</v>
      </c>
      <c r="AE973" t="s">
        <v>4655</v>
      </c>
      <c r="AF973" t="s">
        <v>9578</v>
      </c>
      <c r="AG973" t="s">
        <v>4584</v>
      </c>
      <c r="AH973">
        <v>94505</v>
      </c>
      <c r="AI973" t="s">
        <v>4585</v>
      </c>
      <c r="AJ973" t="s">
        <v>3936</v>
      </c>
      <c r="AK973" t="s">
        <v>9579</v>
      </c>
      <c r="AL973" s="13" t="s">
        <v>2256</v>
      </c>
      <c r="AM973">
        <v>1</v>
      </c>
      <c r="AN973" s="15" t="s">
        <v>4142</v>
      </c>
    </row>
    <row r="974" spans="1:40" x14ac:dyDescent="0.3">
      <c r="A974" s="10" t="str">
        <f>HYPERLINK("http://www.washoecounty.gov/assessor/cama/?parid=012-494-13&amp;CardNumber=1","012-494-13")</f>
        <v>012-494-13</v>
      </c>
      <c r="B974" t="s">
        <v>4655</v>
      </c>
      <c r="C974" t="s">
        <v>4576</v>
      </c>
      <c r="D974" s="1">
        <v>40541</v>
      </c>
      <c r="E974" s="2">
        <v>8095</v>
      </c>
      <c r="F974" t="s">
        <v>4553</v>
      </c>
      <c r="G974" s="17" t="str">
        <f>HYPERLINK("https://www.washoecounty.gov/assessor/cama/?command=sales&amp;parid=01249413","3958378")</f>
        <v>3958378</v>
      </c>
      <c r="H974" t="s">
        <v>968</v>
      </c>
      <c r="I974">
        <v>1978</v>
      </c>
      <c r="J974">
        <v>1989</v>
      </c>
      <c r="K974" t="s">
        <v>4578</v>
      </c>
      <c r="L974" t="s">
        <v>4579</v>
      </c>
      <c r="M974" s="2">
        <v>405</v>
      </c>
      <c r="N974" t="s">
        <v>4580</v>
      </c>
      <c r="O974">
        <v>0</v>
      </c>
      <c r="P974">
        <v>0</v>
      </c>
      <c r="Q974">
        <v>0</v>
      </c>
      <c r="R974" t="s">
        <v>4581</v>
      </c>
      <c r="S974" t="s">
        <v>4582</v>
      </c>
      <c r="T974" t="s">
        <v>4655</v>
      </c>
      <c r="U974" t="s">
        <v>4655</v>
      </c>
      <c r="V974" s="2">
        <v>0</v>
      </c>
      <c r="W974" t="s">
        <v>4655</v>
      </c>
      <c r="X974" s="2">
        <v>0</v>
      </c>
      <c r="Y974">
        <v>21</v>
      </c>
      <c r="Z974" t="s">
        <v>4583</v>
      </c>
      <c r="AA974" s="3">
        <v>9.2516066506504995E-3</v>
      </c>
      <c r="AB974" t="s">
        <v>1729</v>
      </c>
      <c r="AC974" t="s">
        <v>4562</v>
      </c>
      <c r="AD974" t="s">
        <v>4947</v>
      </c>
      <c r="AE974" t="s">
        <v>4948</v>
      </c>
      <c r="AF974" t="s">
        <v>4949</v>
      </c>
      <c r="AG974" t="s">
        <v>4655</v>
      </c>
      <c r="AH974" t="s">
        <v>4655</v>
      </c>
      <c r="AI974" t="s">
        <v>4927</v>
      </c>
      <c r="AJ974" t="s">
        <v>3936</v>
      </c>
      <c r="AK974" t="s">
        <v>4928</v>
      </c>
      <c r="AL974" s="13" t="s">
        <v>2256</v>
      </c>
      <c r="AM974" s="14">
        <v>1</v>
      </c>
      <c r="AN974" s="15" t="s">
        <v>4142</v>
      </c>
    </row>
    <row r="975" spans="1:40" x14ac:dyDescent="0.3">
      <c r="A975" s="10" t="str">
        <f>HYPERLINK("http://www.washoecounty.gov/assessor/cama/?parid=012-494-14&amp;CardNumber=1","012-494-14")</f>
        <v>012-494-14</v>
      </c>
      <c r="B975" t="s">
        <v>4655</v>
      </c>
      <c r="C975" t="s">
        <v>4576</v>
      </c>
      <c r="D975" s="1">
        <v>40395</v>
      </c>
      <c r="E975" s="2">
        <v>17900</v>
      </c>
      <c r="F975" t="s">
        <v>4553</v>
      </c>
      <c r="G975" s="17" t="str">
        <f>HYPERLINK("https://www.washoecounty.gov/assessor/cama/?command=sales&amp;parid=01249414","3909028")</f>
        <v>3909028</v>
      </c>
      <c r="H975" t="s">
        <v>968</v>
      </c>
      <c r="I975">
        <v>1978</v>
      </c>
      <c r="J975">
        <v>1989</v>
      </c>
      <c r="K975" t="s">
        <v>4578</v>
      </c>
      <c r="L975" t="s">
        <v>4579</v>
      </c>
      <c r="M975" s="2">
        <v>405</v>
      </c>
      <c r="N975" t="s">
        <v>4580</v>
      </c>
      <c r="O975">
        <v>0</v>
      </c>
      <c r="P975">
        <v>0</v>
      </c>
      <c r="Q975">
        <v>0</v>
      </c>
      <c r="R975" t="s">
        <v>4581</v>
      </c>
      <c r="S975" t="s">
        <v>4582</v>
      </c>
      <c r="T975" t="s">
        <v>4655</v>
      </c>
      <c r="U975" t="s">
        <v>4655</v>
      </c>
      <c r="V975" s="2">
        <v>0</v>
      </c>
      <c r="W975" t="s">
        <v>4655</v>
      </c>
      <c r="X975" s="2">
        <v>0</v>
      </c>
      <c r="Y975">
        <v>21</v>
      </c>
      <c r="Z975" t="s">
        <v>4583</v>
      </c>
      <c r="AA975" s="3">
        <v>9.2516066506504995E-3</v>
      </c>
      <c r="AB975" t="s">
        <v>9580</v>
      </c>
      <c r="AC975" t="s">
        <v>4562</v>
      </c>
      <c r="AD975" t="s">
        <v>9573</v>
      </c>
      <c r="AE975" t="s">
        <v>4655</v>
      </c>
      <c r="AF975" t="s">
        <v>969</v>
      </c>
      <c r="AG975" t="s">
        <v>4584</v>
      </c>
      <c r="AH975" t="s">
        <v>9574</v>
      </c>
      <c r="AI975" t="s">
        <v>4585</v>
      </c>
      <c r="AJ975" t="s">
        <v>3936</v>
      </c>
      <c r="AK975" t="s">
        <v>9581</v>
      </c>
      <c r="AL975" s="13" t="s">
        <v>2256</v>
      </c>
      <c r="AM975" s="14">
        <v>1</v>
      </c>
      <c r="AN975" s="15" t="s">
        <v>4142</v>
      </c>
    </row>
    <row r="976" spans="1:40" x14ac:dyDescent="0.3">
      <c r="A976" s="10" t="str">
        <f>HYPERLINK("http://www.washoecounty.gov/assessor/cama/?parid=012-494-23&amp;CardNumber=1","012-494-23")</f>
        <v>012-494-23</v>
      </c>
      <c r="B976" t="s">
        <v>4655</v>
      </c>
      <c r="C976" t="s">
        <v>4576</v>
      </c>
      <c r="D976" s="1">
        <v>40189</v>
      </c>
      <c r="E976" s="2">
        <v>18500</v>
      </c>
      <c r="F976" t="s">
        <v>4553</v>
      </c>
      <c r="G976" s="17" t="str">
        <f>HYPERLINK("https://www.washoecounty.gov/assessor/cama/?command=sales&amp;parid=01249423","3838044")</f>
        <v>3838044</v>
      </c>
      <c r="H976" t="s">
        <v>968</v>
      </c>
      <c r="I976">
        <v>1978</v>
      </c>
      <c r="J976">
        <v>1989</v>
      </c>
      <c r="K976" t="s">
        <v>4578</v>
      </c>
      <c r="L976" t="s">
        <v>4579</v>
      </c>
      <c r="M976" s="2">
        <v>405</v>
      </c>
      <c r="N976" t="s">
        <v>4580</v>
      </c>
      <c r="O976">
        <v>0</v>
      </c>
      <c r="P976">
        <v>0</v>
      </c>
      <c r="Q976">
        <v>0</v>
      </c>
      <c r="R976" t="s">
        <v>4581</v>
      </c>
      <c r="S976" t="s">
        <v>4582</v>
      </c>
      <c r="T976" t="s">
        <v>4655</v>
      </c>
      <c r="U976" t="s">
        <v>4655</v>
      </c>
      <c r="V976" s="2">
        <v>0</v>
      </c>
      <c r="W976" t="s">
        <v>4655</v>
      </c>
      <c r="X976" s="2">
        <v>0</v>
      </c>
      <c r="Y976">
        <v>21</v>
      </c>
      <c r="Z976" t="s">
        <v>4583</v>
      </c>
      <c r="AA976" s="3">
        <v>9.4123044982552494E-3</v>
      </c>
      <c r="AB976" t="s">
        <v>9582</v>
      </c>
      <c r="AC976" t="s">
        <v>4575</v>
      </c>
      <c r="AD976" t="s">
        <v>9583</v>
      </c>
      <c r="AE976" t="s">
        <v>4655</v>
      </c>
      <c r="AF976" t="s">
        <v>5201</v>
      </c>
      <c r="AG976" t="s">
        <v>4564</v>
      </c>
      <c r="AH976" t="s">
        <v>1605</v>
      </c>
      <c r="AI976" t="s">
        <v>4585</v>
      </c>
      <c r="AJ976" t="s">
        <v>3936</v>
      </c>
      <c r="AK976" t="s">
        <v>1378</v>
      </c>
      <c r="AL976" s="13" t="s">
        <v>2256</v>
      </c>
      <c r="AM976" s="14">
        <v>1</v>
      </c>
      <c r="AN976" s="15" t="s">
        <v>4142</v>
      </c>
    </row>
    <row r="977" spans="1:40" x14ac:dyDescent="0.3">
      <c r="A977" s="10" t="str">
        <f>HYPERLINK("http://www.washoecounty.gov/assessor/cama/?parid=012-495-01&amp;CardNumber=1","012-495-01")</f>
        <v>012-495-01</v>
      </c>
      <c r="B977" t="s">
        <v>4655</v>
      </c>
      <c r="C977" t="s">
        <v>4576</v>
      </c>
      <c r="D977" s="1">
        <v>40296</v>
      </c>
      <c r="E977" s="2">
        <v>18500</v>
      </c>
      <c r="F977" t="s">
        <v>4553</v>
      </c>
      <c r="G977" s="17" t="str">
        <f>HYPERLINK("https://www.washoecounty.gov/assessor/cama/?command=sales&amp;parid=01249501","3875419")</f>
        <v>3875419</v>
      </c>
      <c r="H977" t="s">
        <v>968</v>
      </c>
      <c r="I977">
        <v>1978</v>
      </c>
      <c r="J977">
        <v>1989</v>
      </c>
      <c r="K977" t="s">
        <v>4578</v>
      </c>
      <c r="L977" t="s">
        <v>4579</v>
      </c>
      <c r="M977" s="2">
        <v>405</v>
      </c>
      <c r="N977" t="s">
        <v>4580</v>
      </c>
      <c r="O977">
        <v>0</v>
      </c>
      <c r="P977">
        <v>0</v>
      </c>
      <c r="Q977">
        <v>0</v>
      </c>
      <c r="R977" t="s">
        <v>4581</v>
      </c>
      <c r="S977" t="s">
        <v>4582</v>
      </c>
      <c r="T977" t="s">
        <v>4655</v>
      </c>
      <c r="U977" t="s">
        <v>4655</v>
      </c>
      <c r="V977" s="2">
        <v>0</v>
      </c>
      <c r="W977" t="s">
        <v>4655</v>
      </c>
      <c r="X977" s="2">
        <v>0</v>
      </c>
      <c r="Y977">
        <v>21</v>
      </c>
      <c r="Z977" t="s">
        <v>4583</v>
      </c>
      <c r="AA977" s="3">
        <v>9.2516066506504995E-3</v>
      </c>
      <c r="AB977" t="s">
        <v>9572</v>
      </c>
      <c r="AC977" t="s">
        <v>4575</v>
      </c>
      <c r="AD977" t="s">
        <v>9573</v>
      </c>
      <c r="AE977" t="s">
        <v>4655</v>
      </c>
      <c r="AF977" t="s">
        <v>969</v>
      </c>
      <c r="AG977" t="s">
        <v>4584</v>
      </c>
      <c r="AH977" t="s">
        <v>9574</v>
      </c>
      <c r="AI977" t="s">
        <v>4585</v>
      </c>
      <c r="AJ977" t="s">
        <v>3936</v>
      </c>
      <c r="AK977" t="s">
        <v>9584</v>
      </c>
      <c r="AL977" s="13" t="s">
        <v>2256</v>
      </c>
      <c r="AM977" s="14">
        <v>1</v>
      </c>
      <c r="AN977" s="15" t="s">
        <v>4142</v>
      </c>
    </row>
    <row r="978" spans="1:40" x14ac:dyDescent="0.3">
      <c r="A978" s="10" t="str">
        <f>HYPERLINK("http://www.washoecounty.gov/assessor/cama/?parid=012-495-08&amp;CardNumber=1","012-495-08")</f>
        <v>012-495-08</v>
      </c>
      <c r="B978" t="s">
        <v>4655</v>
      </c>
      <c r="C978" t="s">
        <v>4576</v>
      </c>
      <c r="D978" s="1">
        <v>40268</v>
      </c>
      <c r="E978" s="2">
        <v>19200</v>
      </c>
      <c r="F978" t="s">
        <v>4553</v>
      </c>
      <c r="G978" s="17" t="str">
        <f>HYPERLINK("https://www.washoecounty.gov/assessor/cama/?command=sales&amp;parid=01249508","3866609")</f>
        <v>3866609</v>
      </c>
      <c r="H978" t="s">
        <v>968</v>
      </c>
      <c r="I978">
        <v>1978</v>
      </c>
      <c r="J978">
        <v>1989</v>
      </c>
      <c r="K978" t="s">
        <v>4578</v>
      </c>
      <c r="L978" t="s">
        <v>4579</v>
      </c>
      <c r="M978" s="2">
        <v>405</v>
      </c>
      <c r="N978" t="s">
        <v>4580</v>
      </c>
      <c r="O978">
        <v>0</v>
      </c>
      <c r="P978">
        <v>0</v>
      </c>
      <c r="Q978">
        <v>0</v>
      </c>
      <c r="R978" t="s">
        <v>4581</v>
      </c>
      <c r="S978" t="s">
        <v>4582</v>
      </c>
      <c r="T978" t="s">
        <v>4655</v>
      </c>
      <c r="U978" t="s">
        <v>4655</v>
      </c>
      <c r="V978" s="2">
        <v>0</v>
      </c>
      <c r="W978" t="s">
        <v>4655</v>
      </c>
      <c r="X978" s="2">
        <v>0</v>
      </c>
      <c r="Y978">
        <v>21</v>
      </c>
      <c r="Z978" t="s">
        <v>4583</v>
      </c>
      <c r="AA978" s="3">
        <v>9.2516066506504995E-3</v>
      </c>
      <c r="AB978" t="s">
        <v>4406</v>
      </c>
      <c r="AC978" t="s">
        <v>4562</v>
      </c>
      <c r="AD978" t="s">
        <v>4407</v>
      </c>
      <c r="AE978" t="s">
        <v>4655</v>
      </c>
      <c r="AF978" t="s">
        <v>4563</v>
      </c>
      <c r="AG978" t="s">
        <v>4564</v>
      </c>
      <c r="AH978">
        <v>89511</v>
      </c>
      <c r="AI978" t="s">
        <v>9585</v>
      </c>
      <c r="AJ978" t="s">
        <v>3936</v>
      </c>
      <c r="AK978" t="s">
        <v>9586</v>
      </c>
      <c r="AL978" s="13" t="s">
        <v>2256</v>
      </c>
      <c r="AM978" s="14">
        <v>1</v>
      </c>
      <c r="AN978" s="15" t="s">
        <v>4142</v>
      </c>
    </row>
    <row r="979" spans="1:40" x14ac:dyDescent="0.3">
      <c r="A979" s="10" t="str">
        <f>HYPERLINK("http://www.washoecounty.gov/assessor/cama/?parid=012-495-10&amp;CardNumber=1","012-495-10")</f>
        <v>012-495-10</v>
      </c>
      <c r="B979" t="s">
        <v>4655</v>
      </c>
      <c r="C979" t="s">
        <v>4576</v>
      </c>
      <c r="D979" s="1">
        <v>40200</v>
      </c>
      <c r="E979" s="2">
        <v>17500</v>
      </c>
      <c r="F979" t="s">
        <v>4553</v>
      </c>
      <c r="G979" s="17" t="str">
        <f>HYPERLINK("https://www.washoecounty.gov/assessor/cama/?command=sales&amp;parid=01249510","3842049")</f>
        <v>3842049</v>
      </c>
      <c r="H979" t="s">
        <v>968</v>
      </c>
      <c r="I979">
        <v>1978</v>
      </c>
      <c r="J979">
        <v>1989</v>
      </c>
      <c r="K979" t="s">
        <v>4578</v>
      </c>
      <c r="L979" t="s">
        <v>4579</v>
      </c>
      <c r="M979" s="2">
        <v>405</v>
      </c>
      <c r="N979" t="s">
        <v>4580</v>
      </c>
      <c r="O979">
        <v>0</v>
      </c>
      <c r="P979">
        <v>0</v>
      </c>
      <c r="Q979">
        <v>0</v>
      </c>
      <c r="R979" t="s">
        <v>4581</v>
      </c>
      <c r="S979" t="s">
        <v>4582</v>
      </c>
      <c r="T979" t="s">
        <v>4655</v>
      </c>
      <c r="U979" t="s">
        <v>4655</v>
      </c>
      <c r="V979" s="2">
        <v>0</v>
      </c>
      <c r="W979" t="s">
        <v>4655</v>
      </c>
      <c r="X979" s="2">
        <v>0</v>
      </c>
      <c r="Y979">
        <v>21</v>
      </c>
      <c r="Z979" t="s">
        <v>4583</v>
      </c>
      <c r="AA979" s="3">
        <v>9.2286504805088009E-3</v>
      </c>
      <c r="AB979" t="s">
        <v>9587</v>
      </c>
      <c r="AC979" t="s">
        <v>4562</v>
      </c>
      <c r="AD979" t="s">
        <v>9588</v>
      </c>
      <c r="AE979" t="s">
        <v>4655</v>
      </c>
      <c r="AF979" t="s">
        <v>4563</v>
      </c>
      <c r="AG979" t="s">
        <v>4564</v>
      </c>
      <c r="AH979">
        <v>89512</v>
      </c>
      <c r="AI979" t="s">
        <v>4655</v>
      </c>
      <c r="AJ979" t="s">
        <v>3936</v>
      </c>
      <c r="AK979" t="s">
        <v>9589</v>
      </c>
      <c r="AL979" s="13" t="s">
        <v>2256</v>
      </c>
      <c r="AM979">
        <v>1</v>
      </c>
      <c r="AN979" s="15" t="s">
        <v>4142</v>
      </c>
    </row>
    <row r="980" spans="1:40" x14ac:dyDescent="0.3">
      <c r="A980" s="10" t="str">
        <f>HYPERLINK("http://www.washoecounty.gov/assessor/cama/?parid=012-495-13&amp;CardNumber=1","012-495-13")</f>
        <v>012-495-13</v>
      </c>
      <c r="B980" t="s">
        <v>4655</v>
      </c>
      <c r="C980" t="s">
        <v>4576</v>
      </c>
      <c r="D980" s="1">
        <v>40214</v>
      </c>
      <c r="E980" s="2">
        <v>17800</v>
      </c>
      <c r="F980" t="s">
        <v>4553</v>
      </c>
      <c r="G980" s="17" t="str">
        <f>HYPERLINK("https://www.washoecounty.gov/assessor/cama/?command=sales&amp;parid=01249513","3846298")</f>
        <v>3846298</v>
      </c>
      <c r="H980" t="s">
        <v>968</v>
      </c>
      <c r="I980">
        <v>1978</v>
      </c>
      <c r="J980">
        <v>1989</v>
      </c>
      <c r="K980" t="s">
        <v>4578</v>
      </c>
      <c r="L980" t="s">
        <v>4579</v>
      </c>
      <c r="M980" s="2">
        <v>405</v>
      </c>
      <c r="N980" t="s">
        <v>4580</v>
      </c>
      <c r="O980">
        <v>0</v>
      </c>
      <c r="P980">
        <v>0</v>
      </c>
      <c r="Q980">
        <v>0</v>
      </c>
      <c r="R980" t="s">
        <v>4581</v>
      </c>
      <c r="S980" t="s">
        <v>4582</v>
      </c>
      <c r="T980" t="s">
        <v>4655</v>
      </c>
      <c r="U980" t="s">
        <v>4655</v>
      </c>
      <c r="V980" s="2">
        <v>0</v>
      </c>
      <c r="W980" t="s">
        <v>4655</v>
      </c>
      <c r="X980" s="2">
        <v>0</v>
      </c>
      <c r="Y980">
        <v>21</v>
      </c>
      <c r="Z980" t="s">
        <v>4583</v>
      </c>
      <c r="AA980" s="3">
        <v>9.2516066506504995E-3</v>
      </c>
      <c r="AB980" t="s">
        <v>1757</v>
      </c>
      <c r="AC980" t="s">
        <v>4562</v>
      </c>
      <c r="AD980" t="s">
        <v>9590</v>
      </c>
      <c r="AE980" t="s">
        <v>4655</v>
      </c>
      <c r="AF980" t="s">
        <v>1758</v>
      </c>
      <c r="AG980" t="s">
        <v>4584</v>
      </c>
      <c r="AH980" t="s">
        <v>1759</v>
      </c>
      <c r="AI980" t="s">
        <v>4585</v>
      </c>
      <c r="AJ980" t="s">
        <v>3936</v>
      </c>
      <c r="AK980" t="s">
        <v>1760</v>
      </c>
      <c r="AL980" s="13" t="s">
        <v>2256</v>
      </c>
      <c r="AM980">
        <v>1</v>
      </c>
      <c r="AN980" s="15" t="s">
        <v>4142</v>
      </c>
    </row>
    <row r="981" spans="1:40" x14ac:dyDescent="0.3">
      <c r="A981" s="10" t="str">
        <f>HYPERLINK("http://www.washoecounty.gov/assessor/cama/?parid=012-495-18&amp;CardNumber=1","012-495-18")</f>
        <v>012-495-18</v>
      </c>
      <c r="B981" t="s">
        <v>4655</v>
      </c>
      <c r="C981" t="s">
        <v>4576</v>
      </c>
      <c r="D981" s="1">
        <v>40295</v>
      </c>
      <c r="E981" s="2">
        <v>17500</v>
      </c>
      <c r="F981" t="s">
        <v>4553</v>
      </c>
      <c r="G981" s="17" t="str">
        <f>HYPERLINK("https://www.washoecounty.gov/assessor/cama/?command=sales&amp;parid=01249518","3874965")</f>
        <v>3874965</v>
      </c>
      <c r="H981" t="s">
        <v>968</v>
      </c>
      <c r="I981">
        <v>1978</v>
      </c>
      <c r="J981">
        <v>1989</v>
      </c>
      <c r="K981" t="s">
        <v>4578</v>
      </c>
      <c r="L981" t="s">
        <v>4579</v>
      </c>
      <c r="M981" s="2">
        <v>405</v>
      </c>
      <c r="N981" t="s">
        <v>4580</v>
      </c>
      <c r="O981">
        <v>0</v>
      </c>
      <c r="P981">
        <v>0</v>
      </c>
      <c r="Q981">
        <v>0</v>
      </c>
      <c r="R981" t="s">
        <v>4581</v>
      </c>
      <c r="S981" t="s">
        <v>4582</v>
      </c>
      <c r="T981" t="s">
        <v>4655</v>
      </c>
      <c r="U981" t="s">
        <v>4655</v>
      </c>
      <c r="V981" s="2">
        <v>0</v>
      </c>
      <c r="W981" t="s">
        <v>4655</v>
      </c>
      <c r="X981" s="2">
        <v>0</v>
      </c>
      <c r="Y981">
        <v>21</v>
      </c>
      <c r="Z981" t="s">
        <v>4583</v>
      </c>
      <c r="AA981" s="3">
        <v>9.2516066506504995E-3</v>
      </c>
      <c r="AB981" t="s">
        <v>9591</v>
      </c>
      <c r="AC981" t="s">
        <v>4562</v>
      </c>
      <c r="AD981" t="s">
        <v>9592</v>
      </c>
      <c r="AE981" t="s">
        <v>4655</v>
      </c>
      <c r="AF981" t="s">
        <v>9593</v>
      </c>
      <c r="AG981" t="s">
        <v>4584</v>
      </c>
      <c r="AH981" t="s">
        <v>1348</v>
      </c>
      <c r="AI981" t="s">
        <v>4585</v>
      </c>
      <c r="AJ981" t="s">
        <v>3936</v>
      </c>
      <c r="AK981" t="s">
        <v>9594</v>
      </c>
      <c r="AL981" s="13" t="s">
        <v>2256</v>
      </c>
      <c r="AM981" s="14">
        <v>1</v>
      </c>
      <c r="AN981" s="15" t="s">
        <v>4142</v>
      </c>
    </row>
    <row r="982" spans="1:40" x14ac:dyDescent="0.3">
      <c r="A982" s="10" t="str">
        <f>HYPERLINK("http://www.washoecounty.gov/assessor/cama/?parid=012-501-09&amp;CardNumber=1","012-501-09")</f>
        <v>012-501-09</v>
      </c>
      <c r="B982" t="s">
        <v>4655</v>
      </c>
      <c r="C982" t="s">
        <v>4576</v>
      </c>
      <c r="D982" s="1">
        <v>40242</v>
      </c>
      <c r="E982" s="2">
        <v>17500</v>
      </c>
      <c r="F982" t="s">
        <v>4553</v>
      </c>
      <c r="G982" s="17" t="str">
        <f>HYPERLINK("https://www.washoecounty.gov/assessor/cama/?command=sales&amp;parid=01250109","3856236")</f>
        <v>3856236</v>
      </c>
      <c r="H982" t="s">
        <v>4577</v>
      </c>
      <c r="I982">
        <v>1978</v>
      </c>
      <c r="J982">
        <v>1989</v>
      </c>
      <c r="K982" t="s">
        <v>4578</v>
      </c>
      <c r="L982" t="s">
        <v>4579</v>
      </c>
      <c r="M982" s="2">
        <v>405</v>
      </c>
      <c r="N982" t="s">
        <v>4580</v>
      </c>
      <c r="O982">
        <v>0</v>
      </c>
      <c r="P982">
        <v>0</v>
      </c>
      <c r="Q982">
        <v>0</v>
      </c>
      <c r="R982" t="s">
        <v>4581</v>
      </c>
      <c r="S982" t="s">
        <v>4582</v>
      </c>
      <c r="T982" t="s">
        <v>4655</v>
      </c>
      <c r="U982" t="s">
        <v>4655</v>
      </c>
      <c r="V982" s="2">
        <v>0</v>
      </c>
      <c r="W982" t="s">
        <v>4655</v>
      </c>
      <c r="X982" s="2">
        <v>0</v>
      </c>
      <c r="Y982">
        <v>21</v>
      </c>
      <c r="Z982" t="s">
        <v>4583</v>
      </c>
      <c r="AA982" s="3">
        <v>9.2056933790445293E-3</v>
      </c>
      <c r="AB982" t="s">
        <v>1757</v>
      </c>
      <c r="AC982" t="s">
        <v>4562</v>
      </c>
      <c r="AD982" t="s">
        <v>9590</v>
      </c>
      <c r="AE982" t="s">
        <v>4655</v>
      </c>
      <c r="AF982" t="s">
        <v>1758</v>
      </c>
      <c r="AG982" t="s">
        <v>4584</v>
      </c>
      <c r="AH982" t="s">
        <v>1759</v>
      </c>
      <c r="AI982" t="s">
        <v>4585</v>
      </c>
      <c r="AJ982" t="s">
        <v>4586</v>
      </c>
      <c r="AK982" t="s">
        <v>432</v>
      </c>
      <c r="AL982" s="13" t="s">
        <v>2256</v>
      </c>
      <c r="AM982" s="14">
        <v>1</v>
      </c>
      <c r="AN982" s="15" t="s">
        <v>4142</v>
      </c>
    </row>
    <row r="983" spans="1:40" x14ac:dyDescent="0.3">
      <c r="A983" s="10" t="str">
        <f>HYPERLINK("http://www.washoecounty.gov/assessor/cama/?parid=012-501-10&amp;CardNumber=1","012-501-10")</f>
        <v>012-501-10</v>
      </c>
      <c r="B983" t="s">
        <v>4655</v>
      </c>
      <c r="C983" t="s">
        <v>4576</v>
      </c>
      <c r="D983" s="1">
        <v>40291</v>
      </c>
      <c r="E983" s="2">
        <v>18000</v>
      </c>
      <c r="F983" t="s">
        <v>4553</v>
      </c>
      <c r="G983" s="17" t="str">
        <f>HYPERLINK("https://www.washoecounty.gov/assessor/cama/?command=sales&amp;parid=01250110","3873913")</f>
        <v>3873913</v>
      </c>
      <c r="H983" t="s">
        <v>4577</v>
      </c>
      <c r="I983">
        <v>1978</v>
      </c>
      <c r="J983">
        <v>1989</v>
      </c>
      <c r="K983" t="s">
        <v>4578</v>
      </c>
      <c r="L983" t="s">
        <v>4579</v>
      </c>
      <c r="M983" s="2">
        <v>405</v>
      </c>
      <c r="N983" t="s">
        <v>4580</v>
      </c>
      <c r="O983">
        <v>0</v>
      </c>
      <c r="P983">
        <v>0</v>
      </c>
      <c r="Q983">
        <v>0</v>
      </c>
      <c r="R983" t="s">
        <v>4581</v>
      </c>
      <c r="S983" t="s">
        <v>4582</v>
      </c>
      <c r="T983" t="s">
        <v>4655</v>
      </c>
      <c r="U983" t="s">
        <v>4655</v>
      </c>
      <c r="V983" s="2">
        <v>0</v>
      </c>
      <c r="W983" t="s">
        <v>4655</v>
      </c>
      <c r="X983" s="2">
        <v>0</v>
      </c>
      <c r="Y983">
        <v>21</v>
      </c>
      <c r="Z983" t="s">
        <v>4583</v>
      </c>
      <c r="AA983" s="3">
        <v>9.2056933790445293E-3</v>
      </c>
      <c r="AB983" t="s">
        <v>2854</v>
      </c>
      <c r="AC983" t="s">
        <v>4575</v>
      </c>
      <c r="AD983" t="s">
        <v>4227</v>
      </c>
      <c r="AE983" t="s">
        <v>4655</v>
      </c>
      <c r="AF983" t="s">
        <v>4563</v>
      </c>
      <c r="AG983" t="s">
        <v>4564</v>
      </c>
      <c r="AH983" t="s">
        <v>1147</v>
      </c>
      <c r="AI983" t="s">
        <v>4585</v>
      </c>
      <c r="AJ983" t="s">
        <v>4586</v>
      </c>
      <c r="AK983" t="s">
        <v>3697</v>
      </c>
      <c r="AL983" s="13" t="s">
        <v>2256</v>
      </c>
      <c r="AM983">
        <v>1</v>
      </c>
      <c r="AN983" s="15" t="s">
        <v>4142</v>
      </c>
    </row>
    <row r="984" spans="1:40" x14ac:dyDescent="0.3">
      <c r="A984" s="10" t="str">
        <f>HYPERLINK("http://www.washoecounty.gov/assessor/cama/?parid=012-502-03&amp;CardNumber=1","012-502-03")</f>
        <v>012-502-03</v>
      </c>
      <c r="B984" t="s">
        <v>4655</v>
      </c>
      <c r="C984" t="s">
        <v>4576</v>
      </c>
      <c r="D984" s="1">
        <v>40235</v>
      </c>
      <c r="E984" s="2">
        <v>19900</v>
      </c>
      <c r="F984" t="s">
        <v>4553</v>
      </c>
      <c r="G984" s="17" t="str">
        <f>HYPERLINK("https://www.washoecounty.gov/assessor/cama/?command=sales&amp;parid=01250203","3853111")</f>
        <v>3853111</v>
      </c>
      <c r="H984" t="s">
        <v>4577</v>
      </c>
      <c r="I984">
        <v>1978</v>
      </c>
      <c r="J984">
        <v>1989</v>
      </c>
      <c r="K984" t="s">
        <v>4578</v>
      </c>
      <c r="L984" t="s">
        <v>4579</v>
      </c>
      <c r="M984" s="2">
        <v>405</v>
      </c>
      <c r="N984" t="s">
        <v>4580</v>
      </c>
      <c r="O984">
        <v>0</v>
      </c>
      <c r="P984">
        <v>0</v>
      </c>
      <c r="Q984">
        <v>0</v>
      </c>
      <c r="R984" t="s">
        <v>4581</v>
      </c>
      <c r="S984" t="s">
        <v>4582</v>
      </c>
      <c r="T984" t="s">
        <v>4655</v>
      </c>
      <c r="U984" t="s">
        <v>4655</v>
      </c>
      <c r="V984" s="2">
        <v>0</v>
      </c>
      <c r="W984" t="s">
        <v>4655</v>
      </c>
      <c r="X984" s="2">
        <v>0</v>
      </c>
      <c r="Y984">
        <v>21</v>
      </c>
      <c r="Z984" t="s">
        <v>4583</v>
      </c>
      <c r="AA984" s="3">
        <v>9.2056933790445293E-3</v>
      </c>
      <c r="AB984" t="s">
        <v>9595</v>
      </c>
      <c r="AC984" t="s">
        <v>4562</v>
      </c>
      <c r="AD984" t="s">
        <v>9596</v>
      </c>
      <c r="AE984" t="s">
        <v>4655</v>
      </c>
      <c r="AF984" t="s">
        <v>3643</v>
      </c>
      <c r="AG984" t="s">
        <v>4584</v>
      </c>
      <c r="AH984" t="s">
        <v>9597</v>
      </c>
      <c r="AI984" t="s">
        <v>4585</v>
      </c>
      <c r="AJ984" t="s">
        <v>4586</v>
      </c>
      <c r="AK984" t="s">
        <v>9598</v>
      </c>
      <c r="AL984" s="13" t="s">
        <v>2256</v>
      </c>
      <c r="AM984">
        <v>1</v>
      </c>
      <c r="AN984" s="15" t="s">
        <v>4142</v>
      </c>
    </row>
    <row r="985" spans="1:40" x14ac:dyDescent="0.3">
      <c r="A985" s="10" t="str">
        <f>HYPERLINK("http://www.washoecounty.gov/assessor/cama/?parid=012-502-08&amp;CardNumber=1","012-502-08")</f>
        <v>012-502-08</v>
      </c>
      <c r="B985" t="s">
        <v>4655</v>
      </c>
      <c r="C985" t="s">
        <v>4576</v>
      </c>
      <c r="D985" s="1">
        <v>40542</v>
      </c>
      <c r="E985" s="2">
        <v>15000</v>
      </c>
      <c r="F985" t="s">
        <v>4553</v>
      </c>
      <c r="G985" s="17" t="str">
        <f>HYPERLINK("https://www.washoecounty.gov/assessor/cama/?command=sales&amp;parid=01250208","3959373")</f>
        <v>3959373</v>
      </c>
      <c r="H985" t="s">
        <v>4577</v>
      </c>
      <c r="I985">
        <v>1978</v>
      </c>
      <c r="J985">
        <v>1989</v>
      </c>
      <c r="K985" t="s">
        <v>4578</v>
      </c>
      <c r="L985" t="s">
        <v>4579</v>
      </c>
      <c r="M985" s="2">
        <v>405</v>
      </c>
      <c r="N985" t="s">
        <v>4580</v>
      </c>
      <c r="O985">
        <v>0</v>
      </c>
      <c r="P985">
        <v>0</v>
      </c>
      <c r="Q985">
        <v>0</v>
      </c>
      <c r="R985" t="s">
        <v>4581</v>
      </c>
      <c r="S985" t="s">
        <v>4582</v>
      </c>
      <c r="T985" t="s">
        <v>4655</v>
      </c>
      <c r="U985" t="s">
        <v>4655</v>
      </c>
      <c r="V985" s="2">
        <v>0</v>
      </c>
      <c r="W985" t="s">
        <v>4655</v>
      </c>
      <c r="X985" s="2">
        <v>0</v>
      </c>
      <c r="Y985">
        <v>21</v>
      </c>
      <c r="Z985" t="s">
        <v>4583</v>
      </c>
      <c r="AA985" s="3">
        <v>9.2056933790445293E-3</v>
      </c>
      <c r="AB985" t="s">
        <v>9599</v>
      </c>
      <c r="AC985" t="s">
        <v>4575</v>
      </c>
      <c r="AD985" t="s">
        <v>9600</v>
      </c>
      <c r="AE985" t="s">
        <v>4655</v>
      </c>
      <c r="AF985" t="s">
        <v>1189</v>
      </c>
      <c r="AG985" t="s">
        <v>4564</v>
      </c>
      <c r="AH985">
        <v>89113</v>
      </c>
      <c r="AI985" t="s">
        <v>4585</v>
      </c>
      <c r="AJ985" t="s">
        <v>4586</v>
      </c>
      <c r="AK985" t="s">
        <v>9601</v>
      </c>
      <c r="AL985" s="13" t="s">
        <v>2256</v>
      </c>
      <c r="AM985">
        <v>1</v>
      </c>
      <c r="AN985" s="15" t="s">
        <v>4142</v>
      </c>
    </row>
    <row r="986" spans="1:40" x14ac:dyDescent="0.3">
      <c r="A986" s="10" t="str">
        <f>HYPERLINK("http://www.washoecounty.gov/assessor/cama/?parid=012-503-06&amp;CardNumber=1","012-503-06")</f>
        <v>012-503-06</v>
      </c>
      <c r="B986" t="s">
        <v>4655</v>
      </c>
      <c r="C986" t="s">
        <v>4576</v>
      </c>
      <c r="D986" s="1">
        <v>40464</v>
      </c>
      <c r="E986" s="2">
        <v>17600</v>
      </c>
      <c r="F986" t="s">
        <v>4553</v>
      </c>
      <c r="G986" s="17" t="str">
        <f>HYPERLINK("https://www.washoecounty.gov/assessor/cama/?command=sales&amp;parid=01250306","3932309")</f>
        <v>3932309</v>
      </c>
      <c r="H986" t="s">
        <v>4577</v>
      </c>
      <c r="I986">
        <v>1978</v>
      </c>
      <c r="J986">
        <v>1989</v>
      </c>
      <c r="K986" t="s">
        <v>4578</v>
      </c>
      <c r="L986" t="s">
        <v>4579</v>
      </c>
      <c r="M986" s="2">
        <v>405</v>
      </c>
      <c r="N986" t="s">
        <v>4580</v>
      </c>
      <c r="O986">
        <v>0</v>
      </c>
      <c r="P986">
        <v>0</v>
      </c>
      <c r="Q986">
        <v>0</v>
      </c>
      <c r="R986" t="s">
        <v>4581</v>
      </c>
      <c r="S986" t="s">
        <v>4582</v>
      </c>
      <c r="T986" t="s">
        <v>4655</v>
      </c>
      <c r="U986" t="s">
        <v>4655</v>
      </c>
      <c r="V986" s="2">
        <v>0</v>
      </c>
      <c r="W986" t="s">
        <v>4655</v>
      </c>
      <c r="X986" s="2">
        <v>0</v>
      </c>
      <c r="Y986">
        <v>21</v>
      </c>
      <c r="Z986" t="s">
        <v>4583</v>
      </c>
      <c r="AA986" s="3">
        <v>9.2056933790445293E-3</v>
      </c>
      <c r="AB986" t="s">
        <v>9602</v>
      </c>
      <c r="AC986" t="s">
        <v>4562</v>
      </c>
      <c r="AD986" t="s">
        <v>9603</v>
      </c>
      <c r="AE986" t="s">
        <v>4655</v>
      </c>
      <c r="AF986" t="s">
        <v>5633</v>
      </c>
      <c r="AG986" t="s">
        <v>4584</v>
      </c>
      <c r="AH986">
        <v>94024</v>
      </c>
      <c r="AI986" t="s">
        <v>4903</v>
      </c>
      <c r="AJ986" t="s">
        <v>4586</v>
      </c>
      <c r="AK986" t="s">
        <v>9604</v>
      </c>
      <c r="AL986" s="13" t="s">
        <v>2256</v>
      </c>
      <c r="AM986">
        <v>1</v>
      </c>
      <c r="AN986" s="15" t="s">
        <v>4142</v>
      </c>
    </row>
    <row r="987" spans="1:40" x14ac:dyDescent="0.3">
      <c r="A987" s="10" t="str">
        <f>HYPERLINK("http://www.washoecounty.gov/assessor/cama/?parid=012-504-05&amp;CardNumber=1","012-504-05")</f>
        <v>012-504-05</v>
      </c>
      <c r="B987" t="s">
        <v>4655</v>
      </c>
      <c r="C987" t="s">
        <v>4576</v>
      </c>
      <c r="D987" s="1">
        <v>40308</v>
      </c>
      <c r="E987" s="2">
        <v>22000</v>
      </c>
      <c r="F987" t="s">
        <v>4553</v>
      </c>
      <c r="G987" s="17" t="str">
        <f>HYPERLINK("https://www.washoecounty.gov/assessor/cama/?command=sales&amp;parid=01250405","3879618")</f>
        <v>3879618</v>
      </c>
      <c r="H987" t="s">
        <v>4577</v>
      </c>
      <c r="I987">
        <v>1978</v>
      </c>
      <c r="J987">
        <v>1989</v>
      </c>
      <c r="K987" t="s">
        <v>4578</v>
      </c>
      <c r="L987" t="s">
        <v>4579</v>
      </c>
      <c r="M987" s="2">
        <v>510</v>
      </c>
      <c r="N987" t="s">
        <v>4580</v>
      </c>
      <c r="O987">
        <v>0</v>
      </c>
      <c r="P987">
        <v>0</v>
      </c>
      <c r="Q987">
        <v>0</v>
      </c>
      <c r="R987" t="s">
        <v>4581</v>
      </c>
      <c r="S987" t="s">
        <v>4582</v>
      </c>
      <c r="T987" t="s">
        <v>4655</v>
      </c>
      <c r="U987" t="s">
        <v>4655</v>
      </c>
      <c r="V987" s="2">
        <v>0</v>
      </c>
      <c r="W987" t="s">
        <v>4655</v>
      </c>
      <c r="X987" s="2">
        <v>0</v>
      </c>
      <c r="Y987">
        <v>21</v>
      </c>
      <c r="Z987" t="s">
        <v>4583</v>
      </c>
      <c r="AA987" s="3">
        <v>1.17309456691146E-2</v>
      </c>
      <c r="AB987" t="s">
        <v>2659</v>
      </c>
      <c r="AC987" t="s">
        <v>4562</v>
      </c>
      <c r="AD987" t="s">
        <v>9605</v>
      </c>
      <c r="AE987" t="s">
        <v>4655</v>
      </c>
      <c r="AF987" t="s">
        <v>2708</v>
      </c>
      <c r="AG987" t="s">
        <v>762</v>
      </c>
      <c r="AH987">
        <v>75074</v>
      </c>
      <c r="AI987" t="s">
        <v>5359</v>
      </c>
      <c r="AJ987" t="s">
        <v>4586</v>
      </c>
      <c r="AK987" t="s">
        <v>2709</v>
      </c>
      <c r="AL987" s="13" t="s">
        <v>2256</v>
      </c>
      <c r="AM987" s="14">
        <v>1</v>
      </c>
      <c r="AN987" s="15" t="s">
        <v>4142</v>
      </c>
    </row>
    <row r="988" spans="1:40" x14ac:dyDescent="0.3">
      <c r="A988" s="10" t="str">
        <f>HYPERLINK("http://www.washoecounty.gov/assessor/cama/?parid=012-504-06&amp;CardNumber=1","012-504-06")</f>
        <v>012-504-06</v>
      </c>
      <c r="B988" t="s">
        <v>4655</v>
      </c>
      <c r="C988" t="s">
        <v>4576</v>
      </c>
      <c r="D988" s="1">
        <v>40233</v>
      </c>
      <c r="E988" s="2">
        <v>18900</v>
      </c>
      <c r="F988" t="s">
        <v>4553</v>
      </c>
      <c r="G988" s="17" t="str">
        <f>HYPERLINK("https://www.washoecounty.gov/assessor/cama/?command=sales&amp;parid=01250406","3852449")</f>
        <v>3852449</v>
      </c>
      <c r="H988" t="s">
        <v>4577</v>
      </c>
      <c r="I988">
        <v>1978</v>
      </c>
      <c r="J988">
        <v>1989</v>
      </c>
      <c r="K988" t="s">
        <v>4578</v>
      </c>
      <c r="L988" t="s">
        <v>4579</v>
      </c>
      <c r="M988" s="2">
        <v>510</v>
      </c>
      <c r="N988" t="s">
        <v>4580</v>
      </c>
      <c r="O988">
        <v>0</v>
      </c>
      <c r="P988">
        <v>0</v>
      </c>
      <c r="Q988">
        <v>0</v>
      </c>
      <c r="R988" t="s">
        <v>4581</v>
      </c>
      <c r="S988" t="s">
        <v>4582</v>
      </c>
      <c r="T988" t="s">
        <v>4655</v>
      </c>
      <c r="U988" t="s">
        <v>4655</v>
      </c>
      <c r="V988" s="2">
        <v>0</v>
      </c>
      <c r="W988" t="s">
        <v>4655</v>
      </c>
      <c r="X988" s="2">
        <v>0</v>
      </c>
      <c r="Y988">
        <v>21</v>
      </c>
      <c r="Z988" t="s">
        <v>4583</v>
      </c>
      <c r="AA988" s="3">
        <v>1.1868686415255099E-2</v>
      </c>
      <c r="AB988" t="s">
        <v>9606</v>
      </c>
      <c r="AC988" t="s">
        <v>4562</v>
      </c>
      <c r="AD988" t="s">
        <v>9607</v>
      </c>
      <c r="AE988" t="s">
        <v>4655</v>
      </c>
      <c r="AF988" t="s">
        <v>9608</v>
      </c>
      <c r="AG988" t="s">
        <v>424</v>
      </c>
      <c r="AH988" t="s">
        <v>9609</v>
      </c>
      <c r="AI988" t="s">
        <v>687</v>
      </c>
      <c r="AJ988" t="s">
        <v>4586</v>
      </c>
      <c r="AK988" t="s">
        <v>9610</v>
      </c>
      <c r="AL988" s="13" t="s">
        <v>2256</v>
      </c>
      <c r="AM988">
        <v>1</v>
      </c>
      <c r="AN988" s="15" t="s">
        <v>4142</v>
      </c>
    </row>
    <row r="989" spans="1:40" x14ac:dyDescent="0.3">
      <c r="A989" s="10" t="str">
        <f>HYPERLINK("http://www.washoecounty.gov/assessor/cama/?parid=012-504-08&amp;CardNumber=1","012-504-08")</f>
        <v>012-504-08</v>
      </c>
      <c r="B989" t="s">
        <v>4655</v>
      </c>
      <c r="C989" t="s">
        <v>4576</v>
      </c>
      <c r="D989" s="1">
        <v>40182</v>
      </c>
      <c r="E989" s="2">
        <v>16026</v>
      </c>
      <c r="F989" t="s">
        <v>4553</v>
      </c>
      <c r="G989" s="17" t="str">
        <f>HYPERLINK("https://www.washoecounty.gov/assessor/cama/?command=sales&amp;parid=01250408","3835970")</f>
        <v>3835970</v>
      </c>
      <c r="H989" t="s">
        <v>4577</v>
      </c>
      <c r="I989">
        <v>1978</v>
      </c>
      <c r="J989">
        <v>1989</v>
      </c>
      <c r="K989" t="s">
        <v>4578</v>
      </c>
      <c r="L989" t="s">
        <v>4579</v>
      </c>
      <c r="M989" s="2">
        <v>510</v>
      </c>
      <c r="N989" t="s">
        <v>4580</v>
      </c>
      <c r="O989">
        <v>0</v>
      </c>
      <c r="P989">
        <v>0</v>
      </c>
      <c r="Q989">
        <v>0</v>
      </c>
      <c r="R989" t="s">
        <v>4581</v>
      </c>
      <c r="S989" t="s">
        <v>4582</v>
      </c>
      <c r="T989" t="s">
        <v>4655</v>
      </c>
      <c r="U989" t="s">
        <v>4655</v>
      </c>
      <c r="V989" s="2">
        <v>0</v>
      </c>
      <c r="W989" t="s">
        <v>4655</v>
      </c>
      <c r="X989" s="2">
        <v>0</v>
      </c>
      <c r="Y989">
        <v>21</v>
      </c>
      <c r="Z989" t="s">
        <v>4583</v>
      </c>
      <c r="AA989" s="3">
        <v>1.1753902770578899E-2</v>
      </c>
      <c r="AB989" t="s">
        <v>1761</v>
      </c>
      <c r="AC989" t="s">
        <v>4562</v>
      </c>
      <c r="AD989" t="s">
        <v>9611</v>
      </c>
      <c r="AE989" t="s">
        <v>4655</v>
      </c>
      <c r="AF989" t="s">
        <v>4563</v>
      </c>
      <c r="AG989" t="s">
        <v>4564</v>
      </c>
      <c r="AH989" t="s">
        <v>1147</v>
      </c>
      <c r="AI989" t="s">
        <v>4655</v>
      </c>
      <c r="AJ989" t="s">
        <v>4586</v>
      </c>
      <c r="AK989" t="s">
        <v>4141</v>
      </c>
      <c r="AL989" s="13" t="s">
        <v>2256</v>
      </c>
      <c r="AM989" s="14">
        <v>1</v>
      </c>
      <c r="AN989" s="15" t="s">
        <v>4142</v>
      </c>
    </row>
    <row r="990" spans="1:40" x14ac:dyDescent="0.3">
      <c r="A990" s="10" t="str">
        <f>HYPERLINK("http://www.washoecounty.gov/assessor/cama/?parid=012-504-08&amp;CardNumber=1","012-504-08")</f>
        <v>012-504-08</v>
      </c>
      <c r="B990" t="s">
        <v>4655</v>
      </c>
      <c r="C990" t="s">
        <v>4576</v>
      </c>
      <c r="D990" s="1">
        <v>40197</v>
      </c>
      <c r="E990" s="2">
        <v>22900</v>
      </c>
      <c r="F990" t="s">
        <v>4567</v>
      </c>
      <c r="G990" s="17" t="str">
        <f>HYPERLINK("https://www.washoecounty.gov/assessor/cama/?command=sales&amp;parid=01250408","3840367")</f>
        <v>3840367</v>
      </c>
      <c r="H990" t="s">
        <v>4577</v>
      </c>
      <c r="I990">
        <v>1978</v>
      </c>
      <c r="J990">
        <v>1989</v>
      </c>
      <c r="K990" t="s">
        <v>4578</v>
      </c>
      <c r="L990" t="s">
        <v>4579</v>
      </c>
      <c r="M990" s="2">
        <v>510</v>
      </c>
      <c r="N990" t="s">
        <v>4580</v>
      </c>
      <c r="O990">
        <v>0</v>
      </c>
      <c r="P990">
        <v>0</v>
      </c>
      <c r="Q990">
        <v>0</v>
      </c>
      <c r="R990" t="s">
        <v>4581</v>
      </c>
      <c r="S990" t="s">
        <v>4582</v>
      </c>
      <c r="T990" t="s">
        <v>4655</v>
      </c>
      <c r="U990" t="s">
        <v>4655</v>
      </c>
      <c r="V990" s="2">
        <v>0</v>
      </c>
      <c r="W990" t="s">
        <v>4655</v>
      </c>
      <c r="X990" s="2">
        <v>0</v>
      </c>
      <c r="Y990">
        <v>21</v>
      </c>
      <c r="Z990" t="s">
        <v>4583</v>
      </c>
      <c r="AA990" s="3">
        <v>1.1753902770578899E-2</v>
      </c>
      <c r="AB990" t="s">
        <v>1761</v>
      </c>
      <c r="AC990" t="s">
        <v>4562</v>
      </c>
      <c r="AD990" t="s">
        <v>9611</v>
      </c>
      <c r="AE990" t="s">
        <v>4655</v>
      </c>
      <c r="AF990" t="s">
        <v>4563</v>
      </c>
      <c r="AG990" t="s">
        <v>4564</v>
      </c>
      <c r="AH990" t="s">
        <v>1147</v>
      </c>
      <c r="AI990" t="s">
        <v>4655</v>
      </c>
      <c r="AJ990" t="s">
        <v>4586</v>
      </c>
      <c r="AK990" t="s">
        <v>4141</v>
      </c>
      <c r="AL990" s="13" t="s">
        <v>2256</v>
      </c>
      <c r="AM990" s="14">
        <v>1</v>
      </c>
      <c r="AN990" s="15" t="s">
        <v>4142</v>
      </c>
    </row>
    <row r="991" spans="1:40" x14ac:dyDescent="0.3">
      <c r="A991" s="10" t="str">
        <f>HYPERLINK("http://www.washoecounty.gov/assessor/cama/?parid=012-504-09&amp;CardNumber=1","012-504-09")</f>
        <v>012-504-09</v>
      </c>
      <c r="B991" t="s">
        <v>4655</v>
      </c>
      <c r="C991" t="s">
        <v>4576</v>
      </c>
      <c r="D991" s="1">
        <v>40186</v>
      </c>
      <c r="E991" s="2">
        <v>16775</v>
      </c>
      <c r="F991" t="s">
        <v>4567</v>
      </c>
      <c r="G991" s="17" t="str">
        <f>HYPERLINK("https://www.washoecounty.gov/assessor/cama/?command=sales&amp;parid=01250409","3837597")</f>
        <v>3837597</v>
      </c>
      <c r="H991" t="s">
        <v>4577</v>
      </c>
      <c r="I991">
        <v>1978</v>
      </c>
      <c r="J991">
        <v>1989</v>
      </c>
      <c r="K991" t="s">
        <v>4578</v>
      </c>
      <c r="L991" t="s">
        <v>4579</v>
      </c>
      <c r="M991" s="2">
        <v>510</v>
      </c>
      <c r="N991" t="s">
        <v>4580</v>
      </c>
      <c r="O991">
        <v>0</v>
      </c>
      <c r="P991">
        <v>0</v>
      </c>
      <c r="Q991">
        <v>0</v>
      </c>
      <c r="R991" t="s">
        <v>4581</v>
      </c>
      <c r="S991" t="s">
        <v>4582</v>
      </c>
      <c r="T991" t="s">
        <v>4655</v>
      </c>
      <c r="U991" t="s">
        <v>4655</v>
      </c>
      <c r="V991" s="2">
        <v>0</v>
      </c>
      <c r="W991" t="s">
        <v>4655</v>
      </c>
      <c r="X991" s="2">
        <v>0</v>
      </c>
      <c r="Y991">
        <v>21</v>
      </c>
      <c r="Z991" t="s">
        <v>4583</v>
      </c>
      <c r="AA991" s="3">
        <v>1.1868686415255099E-2</v>
      </c>
      <c r="AB991" t="s">
        <v>5685</v>
      </c>
      <c r="AC991" t="s">
        <v>4562</v>
      </c>
      <c r="AD991" t="s">
        <v>5686</v>
      </c>
      <c r="AE991" t="s">
        <v>4655</v>
      </c>
      <c r="AF991" t="s">
        <v>3064</v>
      </c>
      <c r="AG991" t="s">
        <v>1539</v>
      </c>
      <c r="AH991" t="s">
        <v>3065</v>
      </c>
      <c r="AI991" t="s">
        <v>1762</v>
      </c>
      <c r="AJ991" t="s">
        <v>4586</v>
      </c>
      <c r="AK991" t="s">
        <v>1763</v>
      </c>
      <c r="AL991" s="13" t="s">
        <v>2256</v>
      </c>
      <c r="AM991">
        <v>1</v>
      </c>
      <c r="AN991" s="15" t="s">
        <v>4142</v>
      </c>
    </row>
    <row r="992" spans="1:40" x14ac:dyDescent="0.3">
      <c r="A992" s="10" t="str">
        <f>HYPERLINK("http://www.washoecounty.gov/assessor/cama/?parid=012-504-11&amp;CardNumber=1","012-504-11")</f>
        <v>012-504-11</v>
      </c>
      <c r="B992" t="s">
        <v>4655</v>
      </c>
      <c r="C992" t="s">
        <v>4576</v>
      </c>
      <c r="D992" s="1">
        <v>40357</v>
      </c>
      <c r="E992" s="2">
        <v>19000</v>
      </c>
      <c r="F992" t="s">
        <v>4553</v>
      </c>
      <c r="G992" s="17" t="str">
        <f>HYPERLINK("https://www.washoecounty.gov/assessor/cama/?command=sales&amp;parid=01250411","3895934")</f>
        <v>3895934</v>
      </c>
      <c r="H992" t="s">
        <v>4577</v>
      </c>
      <c r="I992">
        <v>1978</v>
      </c>
      <c r="J992">
        <v>1989</v>
      </c>
      <c r="K992" t="s">
        <v>4578</v>
      </c>
      <c r="L992" t="s">
        <v>4579</v>
      </c>
      <c r="M992" s="2">
        <v>510</v>
      </c>
      <c r="N992" t="s">
        <v>4580</v>
      </c>
      <c r="O992">
        <v>0</v>
      </c>
      <c r="P992">
        <v>0</v>
      </c>
      <c r="Q992">
        <v>0</v>
      </c>
      <c r="R992" t="s">
        <v>4581</v>
      </c>
      <c r="S992" t="s">
        <v>4582</v>
      </c>
      <c r="T992" t="s">
        <v>4655</v>
      </c>
      <c r="U992" t="s">
        <v>4655</v>
      </c>
      <c r="V992" s="2">
        <v>0</v>
      </c>
      <c r="W992" t="s">
        <v>4655</v>
      </c>
      <c r="X992" s="2">
        <v>0</v>
      </c>
      <c r="Y992">
        <v>21</v>
      </c>
      <c r="Z992" t="s">
        <v>4583</v>
      </c>
      <c r="AA992" s="3">
        <v>1.1845730245113401E-2</v>
      </c>
      <c r="AB992" t="s">
        <v>9612</v>
      </c>
      <c r="AC992" t="s">
        <v>4562</v>
      </c>
      <c r="AD992" t="s">
        <v>9613</v>
      </c>
      <c r="AE992" t="s">
        <v>4655</v>
      </c>
      <c r="AF992" t="s">
        <v>4563</v>
      </c>
      <c r="AG992" t="s">
        <v>4564</v>
      </c>
      <c r="AH992">
        <v>89511</v>
      </c>
      <c r="AI992" t="s">
        <v>4585</v>
      </c>
      <c r="AJ992" t="s">
        <v>4586</v>
      </c>
      <c r="AK992" t="s">
        <v>9614</v>
      </c>
      <c r="AL992" s="13" t="s">
        <v>2256</v>
      </c>
      <c r="AM992">
        <v>1</v>
      </c>
      <c r="AN992" s="15" t="s">
        <v>4142</v>
      </c>
    </row>
    <row r="993" spans="1:40" x14ac:dyDescent="0.3">
      <c r="A993" s="10" t="str">
        <f>HYPERLINK("http://www.washoecounty.gov/assessor/cama/?parid=012-505-02&amp;CardNumber=1","012-505-02")</f>
        <v>012-505-02</v>
      </c>
      <c r="B993" t="s">
        <v>4655</v>
      </c>
      <c r="C993" t="s">
        <v>4576</v>
      </c>
      <c r="D993" s="1">
        <v>40283</v>
      </c>
      <c r="E993" s="2">
        <v>19000</v>
      </c>
      <c r="F993" t="s">
        <v>4553</v>
      </c>
      <c r="G993" s="17" t="str">
        <f>HYPERLINK("https://www.washoecounty.gov/assessor/cama/?command=sales&amp;parid=01250502","3871614")</f>
        <v>3871614</v>
      </c>
      <c r="H993" t="s">
        <v>4577</v>
      </c>
      <c r="I993">
        <v>1978</v>
      </c>
      <c r="J993">
        <v>1989</v>
      </c>
      <c r="K993" t="s">
        <v>4578</v>
      </c>
      <c r="L993" t="s">
        <v>4579</v>
      </c>
      <c r="M993" s="2">
        <v>405</v>
      </c>
      <c r="N993" t="s">
        <v>4580</v>
      </c>
      <c r="O993">
        <v>0</v>
      </c>
      <c r="P993">
        <v>0</v>
      </c>
      <c r="Q993">
        <v>0</v>
      </c>
      <c r="R993" t="s">
        <v>4581</v>
      </c>
      <c r="S993" t="s">
        <v>4582</v>
      </c>
      <c r="T993" t="s">
        <v>4655</v>
      </c>
      <c r="U993" t="s">
        <v>4655</v>
      </c>
      <c r="V993" s="2">
        <v>0</v>
      </c>
      <c r="W993" t="s">
        <v>4655</v>
      </c>
      <c r="X993" s="2">
        <v>0</v>
      </c>
      <c r="Y993">
        <v>21</v>
      </c>
      <c r="Z993" t="s">
        <v>4583</v>
      </c>
      <c r="AA993" s="3">
        <v>9.2516066506504995E-3</v>
      </c>
      <c r="AB993" t="s">
        <v>9591</v>
      </c>
      <c r="AC993" t="s">
        <v>4562</v>
      </c>
      <c r="AD993" t="s">
        <v>9592</v>
      </c>
      <c r="AE993" t="s">
        <v>4655</v>
      </c>
      <c r="AF993" t="s">
        <v>1347</v>
      </c>
      <c r="AG993" t="s">
        <v>4584</v>
      </c>
      <c r="AH993" t="s">
        <v>1348</v>
      </c>
      <c r="AI993" t="s">
        <v>4655</v>
      </c>
      <c r="AJ993" t="s">
        <v>4586</v>
      </c>
      <c r="AK993" t="s">
        <v>9615</v>
      </c>
      <c r="AL993" s="13" t="s">
        <v>2256</v>
      </c>
      <c r="AM993">
        <v>1</v>
      </c>
      <c r="AN993" s="15" t="s">
        <v>4142</v>
      </c>
    </row>
    <row r="994" spans="1:40" x14ac:dyDescent="0.3">
      <c r="A994" s="10" t="str">
        <f>HYPERLINK("http://www.washoecounty.gov/assessor/cama/?parid=012-505-03&amp;CardNumber=1","012-505-03")</f>
        <v>012-505-03</v>
      </c>
      <c r="B994" t="s">
        <v>4655</v>
      </c>
      <c r="C994" t="s">
        <v>4576</v>
      </c>
      <c r="D994" s="1">
        <v>40388</v>
      </c>
      <c r="E994" s="2">
        <v>16000</v>
      </c>
      <c r="F994" t="s">
        <v>4553</v>
      </c>
      <c r="G994" s="17" t="str">
        <f>HYPERLINK("https://www.washoecounty.gov/assessor/cama/?command=sales&amp;parid=01250503","3906493")</f>
        <v>3906493</v>
      </c>
      <c r="H994" t="s">
        <v>4577</v>
      </c>
      <c r="I994">
        <v>1978</v>
      </c>
      <c r="J994">
        <v>1989</v>
      </c>
      <c r="K994" t="s">
        <v>4578</v>
      </c>
      <c r="L994" t="s">
        <v>4579</v>
      </c>
      <c r="M994" s="2">
        <v>405</v>
      </c>
      <c r="N994" t="s">
        <v>4580</v>
      </c>
      <c r="O994">
        <v>0</v>
      </c>
      <c r="P994">
        <v>0</v>
      </c>
      <c r="Q994">
        <v>0</v>
      </c>
      <c r="R994" t="s">
        <v>4581</v>
      </c>
      <c r="S994" t="s">
        <v>4582</v>
      </c>
      <c r="T994" t="s">
        <v>4655</v>
      </c>
      <c r="U994" t="s">
        <v>4655</v>
      </c>
      <c r="V994" s="2">
        <v>0</v>
      </c>
      <c r="W994" t="s">
        <v>4655</v>
      </c>
      <c r="X994" s="2">
        <v>0</v>
      </c>
      <c r="Y994">
        <v>21</v>
      </c>
      <c r="Z994" t="s">
        <v>4583</v>
      </c>
      <c r="AA994" s="3">
        <v>9.2516066506504995E-3</v>
      </c>
      <c r="AB994" t="s">
        <v>9616</v>
      </c>
      <c r="AC994" t="s">
        <v>4562</v>
      </c>
      <c r="AD994" t="s">
        <v>9617</v>
      </c>
      <c r="AE994" t="s">
        <v>4655</v>
      </c>
      <c r="AF994" t="s">
        <v>1550</v>
      </c>
      <c r="AG994" t="s">
        <v>4584</v>
      </c>
      <c r="AH994">
        <v>95008</v>
      </c>
      <c r="AI994" t="s">
        <v>4585</v>
      </c>
      <c r="AJ994" t="s">
        <v>4586</v>
      </c>
      <c r="AK994" t="s">
        <v>9618</v>
      </c>
      <c r="AL994" s="13" t="s">
        <v>2256</v>
      </c>
      <c r="AM994">
        <v>1</v>
      </c>
      <c r="AN994" s="15" t="s">
        <v>4142</v>
      </c>
    </row>
    <row r="995" spans="1:40" x14ac:dyDescent="0.3">
      <c r="A995" s="10" t="str">
        <f>HYPERLINK("http://www.washoecounty.gov/assessor/cama/?parid=012-505-05&amp;CardNumber=1","012-505-05")</f>
        <v>012-505-05</v>
      </c>
      <c r="B995" t="s">
        <v>4655</v>
      </c>
      <c r="C995" t="s">
        <v>4576</v>
      </c>
      <c r="D995" s="1">
        <v>40497</v>
      </c>
      <c r="E995" s="2">
        <v>18888</v>
      </c>
      <c r="F995" t="s">
        <v>4567</v>
      </c>
      <c r="G995" s="17" t="str">
        <f>HYPERLINK("https://www.washoecounty.gov/assessor/cama/?command=sales&amp;parid=01250505","3943152")</f>
        <v>3943152</v>
      </c>
      <c r="H995" t="s">
        <v>4577</v>
      </c>
      <c r="I995">
        <v>1978</v>
      </c>
      <c r="J995">
        <v>1989</v>
      </c>
      <c r="K995" t="s">
        <v>4578</v>
      </c>
      <c r="L995" t="s">
        <v>4579</v>
      </c>
      <c r="M995" s="2">
        <v>405</v>
      </c>
      <c r="N995" t="s">
        <v>4580</v>
      </c>
      <c r="O995">
        <v>0</v>
      </c>
      <c r="P995">
        <v>0</v>
      </c>
      <c r="Q995">
        <v>0</v>
      </c>
      <c r="R995" t="s">
        <v>4581</v>
      </c>
      <c r="S995" t="s">
        <v>4582</v>
      </c>
      <c r="T995" t="s">
        <v>4655</v>
      </c>
      <c r="U995" t="s">
        <v>4655</v>
      </c>
      <c r="V995" s="2">
        <v>0</v>
      </c>
      <c r="W995" t="s">
        <v>4655</v>
      </c>
      <c r="X995" s="2">
        <v>0</v>
      </c>
      <c r="Y995">
        <v>21</v>
      </c>
      <c r="Z995" t="s">
        <v>4583</v>
      </c>
      <c r="AA995" s="3">
        <v>9.2516066506504995E-3</v>
      </c>
      <c r="AB995" t="s">
        <v>1729</v>
      </c>
      <c r="AC995" t="s">
        <v>4562</v>
      </c>
      <c r="AD995" t="s">
        <v>9619</v>
      </c>
      <c r="AE995" t="s">
        <v>4655</v>
      </c>
      <c r="AF995" t="s">
        <v>9620</v>
      </c>
      <c r="AG995" t="s">
        <v>4655</v>
      </c>
      <c r="AH995" t="s">
        <v>4655</v>
      </c>
      <c r="AI995" t="s">
        <v>9621</v>
      </c>
      <c r="AJ995" t="s">
        <v>4586</v>
      </c>
      <c r="AK995" t="s">
        <v>9622</v>
      </c>
      <c r="AL995" s="13" t="s">
        <v>2256</v>
      </c>
      <c r="AM995">
        <v>1</v>
      </c>
      <c r="AN995" s="15" t="s">
        <v>4142</v>
      </c>
    </row>
    <row r="996" spans="1:40" x14ac:dyDescent="0.3">
      <c r="A996" s="10" t="str">
        <f>HYPERLINK("http://www.washoecounty.gov/assessor/cama/?parid=012-505-07&amp;CardNumber=1","012-505-07")</f>
        <v>012-505-07</v>
      </c>
      <c r="B996" t="s">
        <v>4655</v>
      </c>
      <c r="C996" t="s">
        <v>4576</v>
      </c>
      <c r="D996" s="1">
        <v>40207</v>
      </c>
      <c r="E996" s="2">
        <v>18500</v>
      </c>
      <c r="F996" t="s">
        <v>4553</v>
      </c>
      <c r="G996" s="17" t="str">
        <f>HYPERLINK("https://www.washoecounty.gov/assessor/cama/?command=sales&amp;parid=01250507","3843957")</f>
        <v>3843957</v>
      </c>
      <c r="H996" t="s">
        <v>4577</v>
      </c>
      <c r="I996">
        <v>1978</v>
      </c>
      <c r="J996">
        <v>1989</v>
      </c>
      <c r="K996" t="s">
        <v>4578</v>
      </c>
      <c r="L996" t="s">
        <v>4579</v>
      </c>
      <c r="M996" s="2">
        <v>405</v>
      </c>
      <c r="N996" t="s">
        <v>4580</v>
      </c>
      <c r="O996">
        <v>0</v>
      </c>
      <c r="P996">
        <v>0</v>
      </c>
      <c r="Q996">
        <v>0</v>
      </c>
      <c r="R996" t="s">
        <v>4581</v>
      </c>
      <c r="S996" t="s">
        <v>4582</v>
      </c>
      <c r="T996" t="s">
        <v>4655</v>
      </c>
      <c r="U996" t="s">
        <v>4655</v>
      </c>
      <c r="V996" s="2">
        <v>0</v>
      </c>
      <c r="W996" t="s">
        <v>4655</v>
      </c>
      <c r="X996" s="2">
        <v>0</v>
      </c>
      <c r="Y996">
        <v>21</v>
      </c>
      <c r="Z996" t="s">
        <v>4583</v>
      </c>
      <c r="AA996" s="3">
        <v>9.2516066506504995E-3</v>
      </c>
      <c r="AB996" t="s">
        <v>9623</v>
      </c>
      <c r="AC996" t="s">
        <v>4575</v>
      </c>
      <c r="AD996" t="s">
        <v>9624</v>
      </c>
      <c r="AE996" t="s">
        <v>9625</v>
      </c>
      <c r="AF996" t="s">
        <v>4563</v>
      </c>
      <c r="AG996" t="s">
        <v>4564</v>
      </c>
      <c r="AH996" t="s">
        <v>2330</v>
      </c>
      <c r="AI996" t="s">
        <v>4585</v>
      </c>
      <c r="AJ996" t="s">
        <v>4586</v>
      </c>
      <c r="AK996" t="s">
        <v>9626</v>
      </c>
      <c r="AL996" s="13" t="s">
        <v>2256</v>
      </c>
      <c r="AM996">
        <v>1</v>
      </c>
      <c r="AN996" s="15" t="s">
        <v>4142</v>
      </c>
    </row>
    <row r="997" spans="1:40" x14ac:dyDescent="0.3">
      <c r="A997" s="10" t="str">
        <f>HYPERLINK("http://www.washoecounty.gov/assessor/cama/?parid=012-505-09&amp;CardNumber=1","012-505-09")</f>
        <v>012-505-09</v>
      </c>
      <c r="B997" t="s">
        <v>4655</v>
      </c>
      <c r="C997" t="s">
        <v>4576</v>
      </c>
      <c r="D997" s="1">
        <v>40338</v>
      </c>
      <c r="E997" s="2">
        <v>16900</v>
      </c>
      <c r="F997" t="s">
        <v>4553</v>
      </c>
      <c r="G997" s="17" t="str">
        <f>HYPERLINK("https://www.washoecounty.gov/assessor/cama/?command=sales&amp;parid=01250509","3889679")</f>
        <v>3889679</v>
      </c>
      <c r="H997" t="s">
        <v>4577</v>
      </c>
      <c r="I997">
        <v>1978</v>
      </c>
      <c r="J997">
        <v>1989</v>
      </c>
      <c r="K997" t="s">
        <v>4578</v>
      </c>
      <c r="L997" t="s">
        <v>4579</v>
      </c>
      <c r="M997" s="2">
        <v>405</v>
      </c>
      <c r="N997" t="s">
        <v>4580</v>
      </c>
      <c r="O997">
        <v>0</v>
      </c>
      <c r="P997">
        <v>0</v>
      </c>
      <c r="Q997">
        <v>0</v>
      </c>
      <c r="R997" t="s">
        <v>4581</v>
      </c>
      <c r="S997" t="s">
        <v>4582</v>
      </c>
      <c r="T997" t="s">
        <v>4655</v>
      </c>
      <c r="U997" t="s">
        <v>4655</v>
      </c>
      <c r="V997" s="2">
        <v>0</v>
      </c>
      <c r="W997" t="s">
        <v>4655</v>
      </c>
      <c r="X997" s="2">
        <v>0</v>
      </c>
      <c r="Y997">
        <v>21</v>
      </c>
      <c r="Z997" t="s">
        <v>4583</v>
      </c>
      <c r="AA997" s="3">
        <v>9.2056933790445293E-3</v>
      </c>
      <c r="AB997" t="s">
        <v>2710</v>
      </c>
      <c r="AC997" t="s">
        <v>4575</v>
      </c>
      <c r="AD997" t="s">
        <v>9568</v>
      </c>
      <c r="AE997" t="s">
        <v>4655</v>
      </c>
      <c r="AF997" t="s">
        <v>4563</v>
      </c>
      <c r="AG997" t="s">
        <v>4564</v>
      </c>
      <c r="AH997">
        <v>89506</v>
      </c>
      <c r="AI997" t="s">
        <v>5163</v>
      </c>
      <c r="AJ997" t="s">
        <v>4586</v>
      </c>
      <c r="AK997" t="s">
        <v>3455</v>
      </c>
      <c r="AL997" s="13" t="s">
        <v>2256</v>
      </c>
      <c r="AM997" s="14">
        <v>1</v>
      </c>
      <c r="AN997" s="15" t="s">
        <v>4142</v>
      </c>
    </row>
    <row r="998" spans="1:40" x14ac:dyDescent="0.3">
      <c r="A998" s="10" t="str">
        <f>HYPERLINK("http://www.washoecounty.gov/assessor/cama/?parid=012-505-12&amp;CardNumber=1","012-505-12")</f>
        <v>012-505-12</v>
      </c>
      <c r="B998" t="s">
        <v>4655</v>
      </c>
      <c r="C998" t="s">
        <v>4576</v>
      </c>
      <c r="D998" s="1">
        <v>40256</v>
      </c>
      <c r="E998" s="2">
        <v>17000</v>
      </c>
      <c r="F998" t="s">
        <v>4553</v>
      </c>
      <c r="G998" s="17" t="str">
        <f>HYPERLINK("https://www.washoecounty.gov/assessor/cama/?command=sales&amp;parid=01250512","3861464")</f>
        <v>3861464</v>
      </c>
      <c r="H998" t="s">
        <v>4577</v>
      </c>
      <c r="I998">
        <v>1978</v>
      </c>
      <c r="J998">
        <v>1989</v>
      </c>
      <c r="K998" t="s">
        <v>4578</v>
      </c>
      <c r="L998" t="s">
        <v>4579</v>
      </c>
      <c r="M998" s="2">
        <v>405</v>
      </c>
      <c r="N998" t="s">
        <v>4580</v>
      </c>
      <c r="O998">
        <v>0</v>
      </c>
      <c r="P998">
        <v>0</v>
      </c>
      <c r="Q998">
        <v>0</v>
      </c>
      <c r="R998" t="s">
        <v>4581</v>
      </c>
      <c r="S998" t="s">
        <v>4582</v>
      </c>
      <c r="T998" t="s">
        <v>4655</v>
      </c>
      <c r="U998" t="s">
        <v>4655</v>
      </c>
      <c r="V998" s="2">
        <v>0</v>
      </c>
      <c r="W998" t="s">
        <v>4655</v>
      </c>
      <c r="X998" s="2">
        <v>0</v>
      </c>
      <c r="Y998">
        <v>21</v>
      </c>
      <c r="Z998" t="s">
        <v>4583</v>
      </c>
      <c r="AA998" s="3">
        <v>9.2745637521147693E-3</v>
      </c>
      <c r="AB998" t="s">
        <v>9627</v>
      </c>
      <c r="AC998" t="s">
        <v>4562</v>
      </c>
      <c r="AD998" t="s">
        <v>9628</v>
      </c>
      <c r="AE998" t="s">
        <v>4655</v>
      </c>
      <c r="AF998" t="s">
        <v>1550</v>
      </c>
      <c r="AG998" t="s">
        <v>4584</v>
      </c>
      <c r="AH998">
        <v>95008</v>
      </c>
      <c r="AI998" t="s">
        <v>9627</v>
      </c>
      <c r="AJ998" t="s">
        <v>4586</v>
      </c>
      <c r="AK998" t="s">
        <v>9629</v>
      </c>
      <c r="AL998" s="13" t="s">
        <v>2256</v>
      </c>
      <c r="AM998">
        <v>1</v>
      </c>
      <c r="AN998" s="15" t="s">
        <v>4142</v>
      </c>
    </row>
    <row r="999" spans="1:40" x14ac:dyDescent="0.3">
      <c r="A999" s="10" t="str">
        <f>HYPERLINK("http://www.washoecounty.gov/assessor/cama/?parid=012-505-17&amp;CardNumber=1","012-505-17")</f>
        <v>012-505-17</v>
      </c>
      <c r="B999" t="s">
        <v>4655</v>
      </c>
      <c r="C999" t="s">
        <v>4576</v>
      </c>
      <c r="D999" s="1">
        <v>40256</v>
      </c>
      <c r="E999" s="2">
        <v>17400</v>
      </c>
      <c r="F999" t="s">
        <v>4553</v>
      </c>
      <c r="G999" s="17" t="str">
        <f>HYPERLINK("https://www.washoecounty.gov/assessor/cama/?command=sales&amp;parid=01250517","3861825")</f>
        <v>3861825</v>
      </c>
      <c r="H999" t="s">
        <v>4577</v>
      </c>
      <c r="I999">
        <v>1978</v>
      </c>
      <c r="J999">
        <v>1989</v>
      </c>
      <c r="K999" t="s">
        <v>4578</v>
      </c>
      <c r="L999" t="s">
        <v>4579</v>
      </c>
      <c r="M999" s="2">
        <v>405</v>
      </c>
      <c r="N999" t="s">
        <v>4580</v>
      </c>
      <c r="O999">
        <v>0</v>
      </c>
      <c r="P999">
        <v>0</v>
      </c>
      <c r="Q999">
        <v>0</v>
      </c>
      <c r="R999" t="s">
        <v>4581</v>
      </c>
      <c r="S999" t="s">
        <v>4582</v>
      </c>
      <c r="T999" t="s">
        <v>4655</v>
      </c>
      <c r="U999" t="s">
        <v>4655</v>
      </c>
      <c r="V999" s="2">
        <v>0</v>
      </c>
      <c r="W999" t="s">
        <v>4655</v>
      </c>
      <c r="X999" s="2">
        <v>0</v>
      </c>
      <c r="Y999">
        <v>21</v>
      </c>
      <c r="Z999" t="s">
        <v>4583</v>
      </c>
      <c r="AA999" s="3">
        <v>9.2745637521147693E-3</v>
      </c>
      <c r="AB999" t="s">
        <v>9630</v>
      </c>
      <c r="AC999" t="s">
        <v>4562</v>
      </c>
      <c r="AD999" t="s">
        <v>9631</v>
      </c>
      <c r="AE999" t="s">
        <v>4655</v>
      </c>
      <c r="AF999" t="s">
        <v>9632</v>
      </c>
      <c r="AG999" t="s">
        <v>4584</v>
      </c>
      <c r="AH999">
        <v>94065</v>
      </c>
      <c r="AI999" t="s">
        <v>5163</v>
      </c>
      <c r="AJ999" t="s">
        <v>4586</v>
      </c>
      <c r="AK999" t="s">
        <v>9633</v>
      </c>
      <c r="AL999" s="13" t="s">
        <v>2256</v>
      </c>
      <c r="AM999">
        <v>1</v>
      </c>
      <c r="AN999" s="15" t="s">
        <v>4142</v>
      </c>
    </row>
    <row r="1000" spans="1:40" x14ac:dyDescent="0.3">
      <c r="A1000" s="10" t="str">
        <f>HYPERLINK("http://www.washoecounty.gov/assessor/cama/?parid=012-512-01&amp;CardNumber=1","012-512-01")</f>
        <v>012-512-01</v>
      </c>
      <c r="B1000" t="s">
        <v>4655</v>
      </c>
      <c r="C1000" t="s">
        <v>4576</v>
      </c>
      <c r="D1000" s="1">
        <v>40416</v>
      </c>
      <c r="E1000" s="2">
        <v>15500</v>
      </c>
      <c r="F1000" t="s">
        <v>4553</v>
      </c>
      <c r="G1000" s="17" t="str">
        <f>HYPERLINK("https://www.washoecounty.gov/assessor/cama/?command=sales&amp;parid=01251201","3915929")</f>
        <v>3915929</v>
      </c>
      <c r="H1000" t="s">
        <v>4111</v>
      </c>
      <c r="I1000">
        <v>1978</v>
      </c>
      <c r="J1000">
        <v>1989</v>
      </c>
      <c r="K1000" t="s">
        <v>4578</v>
      </c>
      <c r="L1000" t="s">
        <v>4579</v>
      </c>
      <c r="M1000" s="2">
        <v>405</v>
      </c>
      <c r="N1000" t="s">
        <v>4580</v>
      </c>
      <c r="O1000">
        <v>0</v>
      </c>
      <c r="P1000">
        <v>0</v>
      </c>
      <c r="Q1000">
        <v>0</v>
      </c>
      <c r="R1000" t="s">
        <v>4581</v>
      </c>
      <c r="S1000" t="s">
        <v>4582</v>
      </c>
      <c r="T1000" t="s">
        <v>4655</v>
      </c>
      <c r="U1000" t="s">
        <v>4655</v>
      </c>
      <c r="V1000" s="2">
        <v>0</v>
      </c>
      <c r="W1000" t="s">
        <v>4655</v>
      </c>
      <c r="X1000" s="2">
        <v>0</v>
      </c>
      <c r="Y1000">
        <v>21</v>
      </c>
      <c r="Z1000" t="s">
        <v>4583</v>
      </c>
      <c r="AA1000" s="3">
        <v>9.2286504805088009E-3</v>
      </c>
      <c r="AB1000" t="s">
        <v>9552</v>
      </c>
      <c r="AC1000" t="s">
        <v>4562</v>
      </c>
      <c r="AD1000" t="s">
        <v>9634</v>
      </c>
      <c r="AE1000" t="s">
        <v>4655</v>
      </c>
      <c r="AF1000" t="s">
        <v>2356</v>
      </c>
      <c r="AG1000" t="s">
        <v>4584</v>
      </c>
      <c r="AH1000" t="s">
        <v>2357</v>
      </c>
      <c r="AI1000" t="s">
        <v>4655</v>
      </c>
      <c r="AJ1000" t="s">
        <v>3126</v>
      </c>
      <c r="AK1000" t="s">
        <v>9635</v>
      </c>
      <c r="AL1000" s="13" t="s">
        <v>2256</v>
      </c>
      <c r="AM1000" s="14">
        <v>1</v>
      </c>
      <c r="AN1000" s="15" t="s">
        <v>4142</v>
      </c>
    </row>
    <row r="1001" spans="1:40" x14ac:dyDescent="0.3">
      <c r="A1001" s="10" t="str">
        <f>HYPERLINK("http://www.washoecounty.gov/assessor/cama/?parid=012-512-02&amp;CardNumber=1","012-512-02")</f>
        <v>012-512-02</v>
      </c>
      <c r="B1001" t="s">
        <v>4655</v>
      </c>
      <c r="C1001" t="s">
        <v>4576</v>
      </c>
      <c r="D1001" s="1">
        <v>40497</v>
      </c>
      <c r="E1001" s="2">
        <v>14000</v>
      </c>
      <c r="F1001" t="s">
        <v>4553</v>
      </c>
      <c r="G1001" s="17" t="str">
        <f>HYPERLINK("https://www.washoecounty.gov/assessor/cama/?command=sales&amp;parid=01251202","3942976")</f>
        <v>3942976</v>
      </c>
      <c r="H1001" t="s">
        <v>4111</v>
      </c>
      <c r="I1001">
        <v>1978</v>
      </c>
      <c r="J1001">
        <v>1989</v>
      </c>
      <c r="K1001" t="s">
        <v>4578</v>
      </c>
      <c r="L1001" t="s">
        <v>4579</v>
      </c>
      <c r="M1001" s="2">
        <v>405</v>
      </c>
      <c r="N1001" t="s">
        <v>4580</v>
      </c>
      <c r="O1001">
        <v>0</v>
      </c>
      <c r="P1001">
        <v>0</v>
      </c>
      <c r="Q1001">
        <v>0</v>
      </c>
      <c r="R1001" t="s">
        <v>4581</v>
      </c>
      <c r="S1001" t="s">
        <v>4582</v>
      </c>
      <c r="T1001" t="s">
        <v>4655</v>
      </c>
      <c r="U1001" t="s">
        <v>4655</v>
      </c>
      <c r="V1001" s="2">
        <v>0</v>
      </c>
      <c r="W1001" t="s">
        <v>4655</v>
      </c>
      <c r="X1001" s="2">
        <v>0</v>
      </c>
      <c r="Y1001">
        <v>21</v>
      </c>
      <c r="Z1001" t="s">
        <v>4583</v>
      </c>
      <c r="AA1001" s="3">
        <v>9.2286504805088009E-3</v>
      </c>
      <c r="AB1001" t="s">
        <v>9565</v>
      </c>
      <c r="AC1001" t="s">
        <v>4562</v>
      </c>
      <c r="AD1001" t="s">
        <v>9566</v>
      </c>
      <c r="AE1001" t="s">
        <v>4655</v>
      </c>
      <c r="AF1001" t="s">
        <v>1767</v>
      </c>
      <c r="AG1001" t="s">
        <v>4584</v>
      </c>
      <c r="AH1001" t="s">
        <v>1768</v>
      </c>
      <c r="AI1001" t="s">
        <v>4655</v>
      </c>
      <c r="AJ1001" t="s">
        <v>3126</v>
      </c>
      <c r="AK1001" t="s">
        <v>9636</v>
      </c>
      <c r="AL1001" s="13" t="s">
        <v>2256</v>
      </c>
      <c r="AM1001">
        <v>1</v>
      </c>
      <c r="AN1001" s="15" t="s">
        <v>4142</v>
      </c>
    </row>
    <row r="1002" spans="1:40" x14ac:dyDescent="0.3">
      <c r="A1002" s="10" t="str">
        <f>HYPERLINK("http://www.washoecounty.gov/assessor/cama/?parid=012-512-06&amp;CardNumber=1","012-512-06")</f>
        <v>012-512-06</v>
      </c>
      <c r="B1002" t="s">
        <v>4655</v>
      </c>
      <c r="C1002" t="s">
        <v>4576</v>
      </c>
      <c r="D1002" s="1">
        <v>40268</v>
      </c>
      <c r="E1002" s="2">
        <v>18900</v>
      </c>
      <c r="F1002" t="s">
        <v>4553</v>
      </c>
      <c r="G1002" s="17" t="str">
        <f>HYPERLINK("https://www.washoecounty.gov/assessor/cama/?command=sales&amp;parid=01251206","3866333")</f>
        <v>3866333</v>
      </c>
      <c r="H1002" t="s">
        <v>4111</v>
      </c>
      <c r="I1002">
        <v>1978</v>
      </c>
      <c r="J1002">
        <v>1989</v>
      </c>
      <c r="K1002" t="s">
        <v>4578</v>
      </c>
      <c r="L1002" t="s">
        <v>4579</v>
      </c>
      <c r="M1002" s="2">
        <v>405</v>
      </c>
      <c r="N1002" t="s">
        <v>4580</v>
      </c>
      <c r="O1002">
        <v>0</v>
      </c>
      <c r="P1002">
        <v>0</v>
      </c>
      <c r="Q1002">
        <v>0</v>
      </c>
      <c r="R1002" t="s">
        <v>4581</v>
      </c>
      <c r="S1002" t="s">
        <v>4582</v>
      </c>
      <c r="T1002" t="s">
        <v>4655</v>
      </c>
      <c r="U1002" t="s">
        <v>4655</v>
      </c>
      <c r="V1002" s="2">
        <v>0</v>
      </c>
      <c r="W1002" t="s">
        <v>4655</v>
      </c>
      <c r="X1002" s="2">
        <v>0</v>
      </c>
      <c r="Y1002">
        <v>21</v>
      </c>
      <c r="Z1002" t="s">
        <v>4583</v>
      </c>
      <c r="AA1002" s="3">
        <v>9.2056933790445293E-3</v>
      </c>
      <c r="AB1002" t="s">
        <v>2442</v>
      </c>
      <c r="AC1002" t="s">
        <v>4575</v>
      </c>
      <c r="AD1002" t="s">
        <v>9637</v>
      </c>
      <c r="AE1002" t="s">
        <v>9638</v>
      </c>
      <c r="AF1002" t="s">
        <v>4563</v>
      </c>
      <c r="AG1002" t="s">
        <v>4564</v>
      </c>
      <c r="AH1002" t="s">
        <v>1147</v>
      </c>
      <c r="AI1002" t="s">
        <v>4655</v>
      </c>
      <c r="AJ1002" t="s">
        <v>3126</v>
      </c>
      <c r="AK1002" t="s">
        <v>2443</v>
      </c>
      <c r="AL1002" s="13" t="s">
        <v>2256</v>
      </c>
      <c r="AM1002" s="14">
        <v>1</v>
      </c>
      <c r="AN1002" s="15" t="s">
        <v>4142</v>
      </c>
    </row>
    <row r="1003" spans="1:40" x14ac:dyDescent="0.3">
      <c r="A1003" s="10" t="str">
        <f>HYPERLINK("http://www.washoecounty.gov/assessor/cama/?parid=012-513-13&amp;CardNumber=1","012-513-13")</f>
        <v>012-513-13</v>
      </c>
      <c r="B1003" t="s">
        <v>4655</v>
      </c>
      <c r="C1003" t="s">
        <v>4576</v>
      </c>
      <c r="D1003" s="1">
        <v>40200</v>
      </c>
      <c r="E1003" s="2">
        <v>18000</v>
      </c>
      <c r="F1003" t="s">
        <v>4553</v>
      </c>
      <c r="G1003" s="17" t="str">
        <f>HYPERLINK("https://www.washoecounty.gov/assessor/cama/?command=sales&amp;parid=01251313","3842112")</f>
        <v>3842112</v>
      </c>
      <c r="H1003" t="s">
        <v>4111</v>
      </c>
      <c r="I1003">
        <v>1978</v>
      </c>
      <c r="J1003">
        <v>1989</v>
      </c>
      <c r="K1003" t="s">
        <v>4578</v>
      </c>
      <c r="L1003" t="s">
        <v>4579</v>
      </c>
      <c r="M1003" s="2">
        <v>405</v>
      </c>
      <c r="N1003" t="s">
        <v>4580</v>
      </c>
      <c r="O1003">
        <v>0</v>
      </c>
      <c r="P1003">
        <v>0</v>
      </c>
      <c r="Q1003">
        <v>0</v>
      </c>
      <c r="R1003" t="s">
        <v>4581</v>
      </c>
      <c r="S1003" t="s">
        <v>4582</v>
      </c>
      <c r="T1003" t="s">
        <v>4655</v>
      </c>
      <c r="U1003" t="s">
        <v>4655</v>
      </c>
      <c r="V1003" s="2">
        <v>0</v>
      </c>
      <c r="W1003" t="s">
        <v>4655</v>
      </c>
      <c r="X1003" s="2">
        <v>0</v>
      </c>
      <c r="Y1003">
        <v>21</v>
      </c>
      <c r="Z1003" t="s">
        <v>4583</v>
      </c>
      <c r="AA1003" s="3">
        <v>9.2056933790445293E-3</v>
      </c>
      <c r="AB1003" t="s">
        <v>9639</v>
      </c>
      <c r="AC1003" t="s">
        <v>4575</v>
      </c>
      <c r="AD1003" t="s">
        <v>9640</v>
      </c>
      <c r="AE1003" t="s">
        <v>4655</v>
      </c>
      <c r="AF1003" t="s">
        <v>4563</v>
      </c>
      <c r="AG1003" t="s">
        <v>4564</v>
      </c>
      <c r="AH1003" t="s">
        <v>1147</v>
      </c>
      <c r="AI1003" t="s">
        <v>9641</v>
      </c>
      <c r="AJ1003" t="s">
        <v>3126</v>
      </c>
      <c r="AK1003" t="s">
        <v>9642</v>
      </c>
      <c r="AL1003" s="13" t="s">
        <v>2256</v>
      </c>
      <c r="AM1003">
        <v>1</v>
      </c>
      <c r="AN1003" s="15" t="s">
        <v>4142</v>
      </c>
    </row>
    <row r="1004" spans="1:40" x14ac:dyDescent="0.3">
      <c r="A1004" s="10" t="str">
        <f>HYPERLINK("http://www.washoecounty.gov/assessor/cama/?parid=012-514-05&amp;CardNumber=1","012-514-05")</f>
        <v>012-514-05</v>
      </c>
      <c r="B1004" t="s">
        <v>4655</v>
      </c>
      <c r="C1004" t="s">
        <v>4576</v>
      </c>
      <c r="D1004" s="1">
        <v>40302</v>
      </c>
      <c r="E1004" s="2">
        <v>20000</v>
      </c>
      <c r="F1004" t="s">
        <v>4553</v>
      </c>
      <c r="G1004" s="17" t="str">
        <f>HYPERLINK("https://www.washoecounty.gov/assessor/cama/?command=sales&amp;parid=01251405","3877980")</f>
        <v>3877980</v>
      </c>
      <c r="H1004" t="s">
        <v>4111</v>
      </c>
      <c r="I1004">
        <v>1978</v>
      </c>
      <c r="J1004">
        <v>1989</v>
      </c>
      <c r="K1004" t="s">
        <v>4578</v>
      </c>
      <c r="L1004" t="s">
        <v>4579</v>
      </c>
      <c r="M1004" s="2">
        <v>510</v>
      </c>
      <c r="N1004" t="s">
        <v>4580</v>
      </c>
      <c r="O1004">
        <v>0</v>
      </c>
      <c r="P1004">
        <v>0</v>
      </c>
      <c r="Q1004">
        <v>0</v>
      </c>
      <c r="R1004" t="s">
        <v>4581</v>
      </c>
      <c r="S1004" t="s">
        <v>4582</v>
      </c>
      <c r="T1004" t="s">
        <v>4655</v>
      </c>
      <c r="U1004" t="s">
        <v>4655</v>
      </c>
      <c r="V1004" s="2">
        <v>0</v>
      </c>
      <c r="W1004" t="s">
        <v>4655</v>
      </c>
      <c r="X1004" s="2">
        <v>0</v>
      </c>
      <c r="Y1004">
        <v>21</v>
      </c>
      <c r="Z1004" t="s">
        <v>4583</v>
      </c>
      <c r="AA1004" s="3">
        <v>1.1868686415255099E-2</v>
      </c>
      <c r="AB1004" t="s">
        <v>9643</v>
      </c>
      <c r="AC1004" t="s">
        <v>4562</v>
      </c>
      <c r="AD1004" t="s">
        <v>9644</v>
      </c>
      <c r="AE1004" t="s">
        <v>4655</v>
      </c>
      <c r="AF1004" t="s">
        <v>4563</v>
      </c>
      <c r="AG1004" t="s">
        <v>4564</v>
      </c>
      <c r="AH1004" t="s">
        <v>1783</v>
      </c>
      <c r="AI1004" t="s">
        <v>9645</v>
      </c>
      <c r="AJ1004" t="s">
        <v>3126</v>
      </c>
      <c r="AK1004" t="s">
        <v>9646</v>
      </c>
      <c r="AL1004" s="13" t="s">
        <v>2256</v>
      </c>
      <c r="AM1004">
        <v>1</v>
      </c>
      <c r="AN1004" s="15" t="s">
        <v>4142</v>
      </c>
    </row>
    <row r="1005" spans="1:40" x14ac:dyDescent="0.3">
      <c r="A1005" s="10" t="str">
        <f>HYPERLINK("http://www.washoecounty.gov/assessor/cama/?parid=012-514-11&amp;CardNumber=1","012-514-11")</f>
        <v>012-514-11</v>
      </c>
      <c r="B1005" t="s">
        <v>4655</v>
      </c>
      <c r="C1005" t="s">
        <v>4576</v>
      </c>
      <c r="D1005" s="1">
        <v>40382</v>
      </c>
      <c r="E1005" s="2">
        <v>17500</v>
      </c>
      <c r="F1005" t="s">
        <v>4553</v>
      </c>
      <c r="G1005" s="17" t="str">
        <f>HYPERLINK("https://www.washoecounty.gov/assessor/cama/?command=sales&amp;parid=01251411","3904256")</f>
        <v>3904256</v>
      </c>
      <c r="H1005" t="s">
        <v>4111</v>
      </c>
      <c r="I1005">
        <v>1978</v>
      </c>
      <c r="J1005">
        <v>1989</v>
      </c>
      <c r="K1005" t="s">
        <v>4578</v>
      </c>
      <c r="L1005" t="s">
        <v>4579</v>
      </c>
      <c r="M1005" s="2">
        <v>510</v>
      </c>
      <c r="N1005" t="s">
        <v>4580</v>
      </c>
      <c r="O1005">
        <v>0</v>
      </c>
      <c r="P1005">
        <v>0</v>
      </c>
      <c r="Q1005">
        <v>0</v>
      </c>
      <c r="R1005" t="s">
        <v>4581</v>
      </c>
      <c r="S1005" t="s">
        <v>4582</v>
      </c>
      <c r="T1005" t="s">
        <v>4655</v>
      </c>
      <c r="U1005" t="s">
        <v>4655</v>
      </c>
      <c r="V1005" s="2">
        <v>0</v>
      </c>
      <c r="W1005" t="s">
        <v>4655</v>
      </c>
      <c r="X1005" s="2">
        <v>0</v>
      </c>
      <c r="Y1005">
        <v>21</v>
      </c>
      <c r="Z1005" t="s">
        <v>4583</v>
      </c>
      <c r="AA1005" s="3">
        <v>1.1845730245113401E-2</v>
      </c>
      <c r="AB1005" t="s">
        <v>2710</v>
      </c>
      <c r="AC1005" t="s">
        <v>4575</v>
      </c>
      <c r="AD1005" t="s">
        <v>9568</v>
      </c>
      <c r="AE1005" t="s">
        <v>4655</v>
      </c>
      <c r="AF1005" t="s">
        <v>4563</v>
      </c>
      <c r="AG1005" t="s">
        <v>4564</v>
      </c>
      <c r="AH1005">
        <v>89506</v>
      </c>
      <c r="AI1005" t="s">
        <v>9647</v>
      </c>
      <c r="AJ1005" t="s">
        <v>3126</v>
      </c>
      <c r="AK1005" t="s">
        <v>3278</v>
      </c>
      <c r="AL1005" s="13" t="s">
        <v>2256</v>
      </c>
      <c r="AM1005" s="14">
        <v>1</v>
      </c>
      <c r="AN1005" s="15" t="s">
        <v>4142</v>
      </c>
    </row>
    <row r="1006" spans="1:40" x14ac:dyDescent="0.3">
      <c r="A1006" s="10" t="str">
        <f>HYPERLINK("http://www.washoecounty.gov/assessor/cama/?parid=012-514-17&amp;CardNumber=1","012-514-17")</f>
        <v>012-514-17</v>
      </c>
      <c r="B1006" t="s">
        <v>4655</v>
      </c>
      <c r="C1006" t="s">
        <v>4576</v>
      </c>
      <c r="D1006" s="1">
        <v>40424</v>
      </c>
      <c r="E1006" s="2">
        <v>15500</v>
      </c>
      <c r="F1006" t="s">
        <v>4553</v>
      </c>
      <c r="G1006" s="17" t="str">
        <f>HYPERLINK("https://www.washoecounty.gov/assessor/cama/?command=sales&amp;parid=01251417","3918946")</f>
        <v>3918946</v>
      </c>
      <c r="H1006" t="s">
        <v>4111</v>
      </c>
      <c r="I1006">
        <v>1978</v>
      </c>
      <c r="J1006">
        <v>1989</v>
      </c>
      <c r="K1006" t="s">
        <v>4578</v>
      </c>
      <c r="L1006" t="s">
        <v>4579</v>
      </c>
      <c r="M1006" s="2">
        <v>405</v>
      </c>
      <c r="N1006" t="s">
        <v>4580</v>
      </c>
      <c r="O1006">
        <v>0</v>
      </c>
      <c r="P1006">
        <v>0</v>
      </c>
      <c r="Q1006">
        <v>0</v>
      </c>
      <c r="R1006" t="s">
        <v>4581</v>
      </c>
      <c r="S1006" t="s">
        <v>4582</v>
      </c>
      <c r="T1006" t="s">
        <v>4655</v>
      </c>
      <c r="U1006" t="s">
        <v>4655</v>
      </c>
      <c r="V1006" s="2">
        <v>0</v>
      </c>
      <c r="W1006" t="s">
        <v>4655</v>
      </c>
      <c r="X1006" s="2">
        <v>0</v>
      </c>
      <c r="Y1006">
        <v>21</v>
      </c>
      <c r="Z1006" t="s">
        <v>4583</v>
      </c>
      <c r="AA1006" s="3">
        <v>9.2745637521147693E-3</v>
      </c>
      <c r="AB1006" t="s">
        <v>9648</v>
      </c>
      <c r="AC1006" t="s">
        <v>4562</v>
      </c>
      <c r="AD1006" t="s">
        <v>9649</v>
      </c>
      <c r="AE1006" t="s">
        <v>4655</v>
      </c>
      <c r="AF1006" t="s">
        <v>5496</v>
      </c>
      <c r="AG1006" t="s">
        <v>4584</v>
      </c>
      <c r="AH1006" t="s">
        <v>5497</v>
      </c>
      <c r="AI1006" t="s">
        <v>4655</v>
      </c>
      <c r="AJ1006" t="s">
        <v>3126</v>
      </c>
      <c r="AK1006" t="s">
        <v>9650</v>
      </c>
      <c r="AL1006" s="13" t="s">
        <v>2256</v>
      </c>
      <c r="AM1006" s="14">
        <v>1</v>
      </c>
      <c r="AN1006" s="15" t="s">
        <v>4142</v>
      </c>
    </row>
    <row r="1007" spans="1:40" x14ac:dyDescent="0.3">
      <c r="A1007" s="10" t="str">
        <f>HYPERLINK("http://www.washoecounty.gov/assessor/cama/?parid=012-515-04&amp;CardNumber=1","012-515-04")</f>
        <v>012-515-04</v>
      </c>
      <c r="B1007" t="s">
        <v>4655</v>
      </c>
      <c r="C1007" t="s">
        <v>4576</v>
      </c>
      <c r="D1007" s="1">
        <v>40305</v>
      </c>
      <c r="E1007" s="2">
        <v>17900</v>
      </c>
      <c r="F1007" t="s">
        <v>4553</v>
      </c>
      <c r="G1007" s="17" t="str">
        <f>HYPERLINK("https://www.washoecounty.gov/assessor/cama/?command=sales&amp;parid=01251504","3879464")</f>
        <v>3879464</v>
      </c>
      <c r="H1007" t="s">
        <v>4111</v>
      </c>
      <c r="I1007">
        <v>1978</v>
      </c>
      <c r="J1007">
        <v>1989</v>
      </c>
      <c r="K1007" t="s">
        <v>4578</v>
      </c>
      <c r="L1007" t="s">
        <v>4579</v>
      </c>
      <c r="M1007" s="2">
        <v>405</v>
      </c>
      <c r="N1007" t="s">
        <v>4580</v>
      </c>
      <c r="O1007">
        <v>0</v>
      </c>
      <c r="P1007">
        <v>0</v>
      </c>
      <c r="Q1007">
        <v>0</v>
      </c>
      <c r="R1007" t="s">
        <v>4581</v>
      </c>
      <c r="S1007" t="s">
        <v>4582</v>
      </c>
      <c r="T1007" t="s">
        <v>4655</v>
      </c>
      <c r="U1007" t="s">
        <v>4655</v>
      </c>
      <c r="V1007" s="2">
        <v>0</v>
      </c>
      <c r="W1007" t="s">
        <v>4655</v>
      </c>
      <c r="X1007" s="2">
        <v>0</v>
      </c>
      <c r="Y1007">
        <v>21</v>
      </c>
      <c r="Z1007" t="s">
        <v>4583</v>
      </c>
      <c r="AA1007" s="3">
        <v>9.2516066506504995E-3</v>
      </c>
      <c r="AB1007" t="s">
        <v>9651</v>
      </c>
      <c r="AC1007" t="s">
        <v>4562</v>
      </c>
      <c r="AD1007" t="s">
        <v>9652</v>
      </c>
      <c r="AE1007" t="s">
        <v>4655</v>
      </c>
      <c r="AF1007" t="s">
        <v>3127</v>
      </c>
      <c r="AG1007" t="s">
        <v>4584</v>
      </c>
      <c r="AH1007" t="s">
        <v>1037</v>
      </c>
      <c r="AI1007" t="s">
        <v>5163</v>
      </c>
      <c r="AJ1007" t="s">
        <v>3126</v>
      </c>
      <c r="AK1007" t="s">
        <v>9653</v>
      </c>
      <c r="AL1007" s="13" t="s">
        <v>2256</v>
      </c>
      <c r="AM1007">
        <v>1</v>
      </c>
      <c r="AN1007" s="15" t="s">
        <v>4142</v>
      </c>
    </row>
    <row r="1008" spans="1:40" x14ac:dyDescent="0.3">
      <c r="A1008" s="10" t="str">
        <f>HYPERLINK("http://www.washoecounty.gov/assessor/cama/?parid=012-515-07&amp;CardNumber=1","012-515-07")</f>
        <v>012-515-07</v>
      </c>
      <c r="B1008" t="s">
        <v>4655</v>
      </c>
      <c r="C1008" t="s">
        <v>4576</v>
      </c>
      <c r="D1008" s="1">
        <v>40219</v>
      </c>
      <c r="E1008" s="2">
        <v>17900</v>
      </c>
      <c r="F1008" t="s">
        <v>4567</v>
      </c>
      <c r="G1008" s="17" t="str">
        <f>HYPERLINK("https://www.washoecounty.gov/assessor/cama/?command=sales&amp;parid=01251507","3847815")</f>
        <v>3847815</v>
      </c>
      <c r="H1008" t="s">
        <v>4111</v>
      </c>
      <c r="I1008">
        <v>1978</v>
      </c>
      <c r="J1008">
        <v>1989</v>
      </c>
      <c r="K1008" t="s">
        <v>4578</v>
      </c>
      <c r="L1008" t="s">
        <v>4579</v>
      </c>
      <c r="M1008" s="2">
        <v>405</v>
      </c>
      <c r="N1008" t="s">
        <v>4580</v>
      </c>
      <c r="O1008">
        <v>0</v>
      </c>
      <c r="P1008">
        <v>0</v>
      </c>
      <c r="Q1008">
        <v>0</v>
      </c>
      <c r="R1008" t="s">
        <v>4581</v>
      </c>
      <c r="S1008" t="s">
        <v>4582</v>
      </c>
      <c r="T1008" t="s">
        <v>4655</v>
      </c>
      <c r="U1008" t="s">
        <v>4655</v>
      </c>
      <c r="V1008" s="2">
        <v>0</v>
      </c>
      <c r="W1008" t="s">
        <v>4655</v>
      </c>
      <c r="X1008" s="2">
        <v>0</v>
      </c>
      <c r="Y1008">
        <v>21</v>
      </c>
      <c r="Z1008" t="s">
        <v>4583</v>
      </c>
      <c r="AA1008" s="3">
        <v>9.2516066506504995E-3</v>
      </c>
      <c r="AB1008" t="s">
        <v>9651</v>
      </c>
      <c r="AC1008" t="s">
        <v>4562</v>
      </c>
      <c r="AD1008" t="s">
        <v>9652</v>
      </c>
      <c r="AE1008" t="s">
        <v>4655</v>
      </c>
      <c r="AF1008" t="s">
        <v>3127</v>
      </c>
      <c r="AG1008" t="s">
        <v>4584</v>
      </c>
      <c r="AH1008" t="s">
        <v>1037</v>
      </c>
      <c r="AI1008" t="s">
        <v>9563</v>
      </c>
      <c r="AJ1008" t="s">
        <v>3126</v>
      </c>
      <c r="AK1008" t="s">
        <v>9654</v>
      </c>
      <c r="AL1008" s="13" t="s">
        <v>2256</v>
      </c>
      <c r="AM1008">
        <v>1</v>
      </c>
      <c r="AN1008" s="15" t="s">
        <v>4142</v>
      </c>
    </row>
    <row r="1009" spans="1:40" x14ac:dyDescent="0.3">
      <c r="A1009" s="10" t="str">
        <f>HYPERLINK("http://www.washoecounty.gov/assessor/cama/?parid=012-551-09&amp;CardNumber=1","012-551-09")</f>
        <v>012-551-09</v>
      </c>
      <c r="B1009" t="s">
        <v>4655</v>
      </c>
      <c r="C1009" t="s">
        <v>4576</v>
      </c>
      <c r="D1009" s="1">
        <v>40350</v>
      </c>
      <c r="E1009" s="2">
        <v>18500</v>
      </c>
      <c r="F1009" t="s">
        <v>4553</v>
      </c>
      <c r="G1009" s="17" t="str">
        <f>HYPERLINK("https://www.washoecounty.gov/assessor/cama/?command=sales&amp;parid=01255109","3893915")</f>
        <v>3893915</v>
      </c>
      <c r="H1009" t="s">
        <v>4470</v>
      </c>
      <c r="I1009">
        <v>1978</v>
      </c>
      <c r="J1009">
        <v>1989</v>
      </c>
      <c r="K1009" t="s">
        <v>4578</v>
      </c>
      <c r="L1009" t="s">
        <v>4579</v>
      </c>
      <c r="M1009" s="2">
        <v>405</v>
      </c>
      <c r="N1009" t="s">
        <v>4580</v>
      </c>
      <c r="O1009">
        <v>0</v>
      </c>
      <c r="P1009">
        <v>0</v>
      </c>
      <c r="Q1009">
        <v>0</v>
      </c>
      <c r="R1009" t="s">
        <v>4581</v>
      </c>
      <c r="S1009" t="s">
        <v>4582</v>
      </c>
      <c r="T1009" t="s">
        <v>4655</v>
      </c>
      <c r="U1009" t="s">
        <v>4655</v>
      </c>
      <c r="V1009" s="2">
        <v>0</v>
      </c>
      <c r="W1009" t="s">
        <v>4655</v>
      </c>
      <c r="X1009" s="2">
        <v>0</v>
      </c>
      <c r="Y1009">
        <v>21</v>
      </c>
      <c r="Z1009" t="s">
        <v>4583</v>
      </c>
      <c r="AA1009" s="3">
        <v>9.2056933790445293E-3</v>
      </c>
      <c r="AB1009" t="s">
        <v>9655</v>
      </c>
      <c r="AC1009" t="s">
        <v>4562</v>
      </c>
      <c r="AD1009" t="s">
        <v>9656</v>
      </c>
      <c r="AE1009" t="s">
        <v>4655</v>
      </c>
      <c r="AF1009" t="s">
        <v>2229</v>
      </c>
      <c r="AG1009" t="s">
        <v>4564</v>
      </c>
      <c r="AH1009">
        <v>89403</v>
      </c>
      <c r="AI1009" t="s">
        <v>4585</v>
      </c>
      <c r="AJ1009" t="s">
        <v>4471</v>
      </c>
      <c r="AK1009" t="s">
        <v>9657</v>
      </c>
      <c r="AL1009" s="13" t="s">
        <v>2256</v>
      </c>
      <c r="AM1009" s="14">
        <v>1</v>
      </c>
      <c r="AN1009" s="15" t="s">
        <v>4142</v>
      </c>
    </row>
    <row r="1010" spans="1:40" x14ac:dyDescent="0.3">
      <c r="A1010" s="10" t="str">
        <f>HYPERLINK("http://www.washoecounty.gov/assessor/cama/?parid=012-551-10&amp;CardNumber=1","012-551-10")</f>
        <v>012-551-10</v>
      </c>
      <c r="B1010" t="s">
        <v>4655</v>
      </c>
      <c r="C1010" t="s">
        <v>4576</v>
      </c>
      <c r="D1010" s="1">
        <v>40353</v>
      </c>
      <c r="E1010" s="2">
        <v>17400</v>
      </c>
      <c r="F1010" t="s">
        <v>4553</v>
      </c>
      <c r="G1010" s="17" t="str">
        <f>HYPERLINK("https://www.washoecounty.gov/assessor/cama/?command=sales&amp;parid=01255110","3895010")</f>
        <v>3895010</v>
      </c>
      <c r="H1010" t="s">
        <v>4470</v>
      </c>
      <c r="I1010">
        <v>1978</v>
      </c>
      <c r="J1010">
        <v>1989</v>
      </c>
      <c r="K1010" t="s">
        <v>4578</v>
      </c>
      <c r="L1010" t="s">
        <v>4579</v>
      </c>
      <c r="M1010" s="2">
        <v>405</v>
      </c>
      <c r="N1010" t="s">
        <v>4580</v>
      </c>
      <c r="O1010">
        <v>0</v>
      </c>
      <c r="P1010">
        <v>0</v>
      </c>
      <c r="Q1010">
        <v>0</v>
      </c>
      <c r="R1010" t="s">
        <v>4581</v>
      </c>
      <c r="S1010" t="s">
        <v>4582</v>
      </c>
      <c r="T1010" t="s">
        <v>4655</v>
      </c>
      <c r="U1010" t="s">
        <v>4655</v>
      </c>
      <c r="V1010" s="2">
        <v>0</v>
      </c>
      <c r="W1010" t="s">
        <v>4655</v>
      </c>
      <c r="X1010" s="2">
        <v>0</v>
      </c>
      <c r="Y1010">
        <v>21</v>
      </c>
      <c r="Z1010" t="s">
        <v>4583</v>
      </c>
      <c r="AA1010" s="3">
        <v>9.2056933790445293E-3</v>
      </c>
      <c r="AB1010" t="s">
        <v>9595</v>
      </c>
      <c r="AC1010" t="s">
        <v>4562</v>
      </c>
      <c r="AD1010" t="s">
        <v>9658</v>
      </c>
      <c r="AE1010" t="s">
        <v>4655</v>
      </c>
      <c r="AF1010" t="s">
        <v>3643</v>
      </c>
      <c r="AG1010" t="s">
        <v>4584</v>
      </c>
      <c r="AH1010" t="s">
        <v>3080</v>
      </c>
      <c r="AI1010" t="s">
        <v>4585</v>
      </c>
      <c r="AJ1010" t="s">
        <v>4471</v>
      </c>
      <c r="AK1010" t="s">
        <v>9659</v>
      </c>
      <c r="AL1010" s="13" t="s">
        <v>2256</v>
      </c>
      <c r="AM1010">
        <v>1</v>
      </c>
      <c r="AN1010" s="15" t="s">
        <v>4142</v>
      </c>
    </row>
    <row r="1011" spans="1:40" x14ac:dyDescent="0.3">
      <c r="A1011" s="10" t="str">
        <f>HYPERLINK("http://www.washoecounty.gov/assessor/cama/?parid=012-552-05&amp;CardNumber=1","012-552-05")</f>
        <v>012-552-05</v>
      </c>
      <c r="B1011" t="s">
        <v>4655</v>
      </c>
      <c r="C1011" t="s">
        <v>4576</v>
      </c>
      <c r="D1011" s="1">
        <v>40417</v>
      </c>
      <c r="E1011" s="2">
        <v>18000</v>
      </c>
      <c r="F1011" t="s">
        <v>4553</v>
      </c>
      <c r="G1011" s="17" t="str">
        <f>HYPERLINK("https://www.washoecounty.gov/assessor/cama/?command=sales&amp;parid=01255205","3916247")</f>
        <v>3916247</v>
      </c>
      <c r="H1011" t="s">
        <v>4470</v>
      </c>
      <c r="I1011">
        <v>1978</v>
      </c>
      <c r="J1011">
        <v>1989</v>
      </c>
      <c r="K1011" t="s">
        <v>4578</v>
      </c>
      <c r="L1011" t="s">
        <v>4579</v>
      </c>
      <c r="M1011" s="2">
        <v>405</v>
      </c>
      <c r="N1011" t="s">
        <v>4580</v>
      </c>
      <c r="O1011">
        <v>0</v>
      </c>
      <c r="P1011">
        <v>0</v>
      </c>
      <c r="Q1011">
        <v>0</v>
      </c>
      <c r="R1011" t="s">
        <v>4581</v>
      </c>
      <c r="S1011" t="s">
        <v>4582</v>
      </c>
      <c r="T1011" t="s">
        <v>4655</v>
      </c>
      <c r="U1011" t="s">
        <v>4655</v>
      </c>
      <c r="V1011" s="2">
        <v>0</v>
      </c>
      <c r="W1011" t="s">
        <v>4655</v>
      </c>
      <c r="X1011" s="2">
        <v>0</v>
      </c>
      <c r="Y1011">
        <v>21</v>
      </c>
      <c r="Z1011" t="s">
        <v>4583</v>
      </c>
      <c r="AA1011" s="3">
        <v>9.2056933790445293E-3</v>
      </c>
      <c r="AB1011" t="s">
        <v>2523</v>
      </c>
      <c r="AC1011" t="s">
        <v>4562</v>
      </c>
      <c r="AD1011" t="s">
        <v>9590</v>
      </c>
      <c r="AE1011" t="s">
        <v>4655</v>
      </c>
      <c r="AF1011" t="s">
        <v>1758</v>
      </c>
      <c r="AG1011" t="s">
        <v>4584</v>
      </c>
      <c r="AH1011" t="s">
        <v>1759</v>
      </c>
      <c r="AI1011" t="s">
        <v>6198</v>
      </c>
      <c r="AJ1011" t="s">
        <v>4471</v>
      </c>
      <c r="AK1011" t="s">
        <v>2524</v>
      </c>
      <c r="AL1011" s="13" t="s">
        <v>2256</v>
      </c>
      <c r="AM1011">
        <v>1</v>
      </c>
      <c r="AN1011" s="15" t="s">
        <v>4142</v>
      </c>
    </row>
    <row r="1012" spans="1:40" x14ac:dyDescent="0.3">
      <c r="A1012" s="10" t="str">
        <f>HYPERLINK("http://www.washoecounty.gov/assessor/cama/?parid=012-553-05&amp;CardNumber=1","012-553-05")</f>
        <v>012-553-05</v>
      </c>
      <c r="B1012" t="s">
        <v>4655</v>
      </c>
      <c r="C1012" t="s">
        <v>4576</v>
      </c>
      <c r="D1012" s="1">
        <v>40371</v>
      </c>
      <c r="E1012" s="2">
        <v>17400</v>
      </c>
      <c r="F1012" t="s">
        <v>4553</v>
      </c>
      <c r="G1012" s="17" t="str">
        <f>HYPERLINK("https://www.washoecounty.gov/assessor/cama/?command=sales&amp;parid=01255305","3900237")</f>
        <v>3900237</v>
      </c>
      <c r="H1012" t="s">
        <v>4470</v>
      </c>
      <c r="I1012">
        <v>1978</v>
      </c>
      <c r="J1012">
        <v>1989</v>
      </c>
      <c r="K1012" t="s">
        <v>4578</v>
      </c>
      <c r="L1012" t="s">
        <v>4579</v>
      </c>
      <c r="M1012" s="2">
        <v>405</v>
      </c>
      <c r="N1012" t="s">
        <v>4580</v>
      </c>
      <c r="O1012">
        <v>0</v>
      </c>
      <c r="P1012">
        <v>0</v>
      </c>
      <c r="Q1012">
        <v>0</v>
      </c>
      <c r="R1012" t="s">
        <v>4581</v>
      </c>
      <c r="S1012" t="s">
        <v>4582</v>
      </c>
      <c r="T1012" t="s">
        <v>4655</v>
      </c>
      <c r="U1012" t="s">
        <v>4655</v>
      </c>
      <c r="V1012" s="2">
        <v>0</v>
      </c>
      <c r="W1012" t="s">
        <v>4655</v>
      </c>
      <c r="X1012" s="2">
        <v>0</v>
      </c>
      <c r="Y1012">
        <v>21</v>
      </c>
      <c r="Z1012" t="s">
        <v>4583</v>
      </c>
      <c r="AA1012" s="3">
        <v>9.2056933790445293E-3</v>
      </c>
      <c r="AB1012" t="s">
        <v>9565</v>
      </c>
      <c r="AC1012" t="s">
        <v>4562</v>
      </c>
      <c r="AD1012" t="s">
        <v>9660</v>
      </c>
      <c r="AE1012" t="s">
        <v>4655</v>
      </c>
      <c r="AF1012" t="s">
        <v>4315</v>
      </c>
      <c r="AG1012" t="s">
        <v>4584</v>
      </c>
      <c r="AH1012" t="s">
        <v>1768</v>
      </c>
      <c r="AI1012" t="s">
        <v>4655</v>
      </c>
      <c r="AJ1012" t="s">
        <v>4471</v>
      </c>
      <c r="AK1012" t="s">
        <v>9661</v>
      </c>
      <c r="AL1012" s="13" t="s">
        <v>2256</v>
      </c>
      <c r="AM1012">
        <v>1</v>
      </c>
      <c r="AN1012" s="15" t="s">
        <v>4142</v>
      </c>
    </row>
    <row r="1013" spans="1:40" x14ac:dyDescent="0.3">
      <c r="A1013" s="10" t="str">
        <f>HYPERLINK("http://www.washoecounty.gov/assessor/cama/?parid=012-555-01&amp;CardNumber=1","012-555-01")</f>
        <v>012-555-01</v>
      </c>
      <c r="B1013" t="s">
        <v>4655</v>
      </c>
      <c r="C1013" t="s">
        <v>4576</v>
      </c>
      <c r="D1013" s="1">
        <v>40350</v>
      </c>
      <c r="E1013" s="2">
        <v>17500</v>
      </c>
      <c r="F1013" t="s">
        <v>4553</v>
      </c>
      <c r="G1013" s="17" t="str">
        <f>HYPERLINK("https://www.washoecounty.gov/assessor/cama/?command=sales&amp;parid=01255501","3893717")</f>
        <v>3893717</v>
      </c>
      <c r="H1013" t="s">
        <v>4470</v>
      </c>
      <c r="I1013">
        <v>1978</v>
      </c>
      <c r="J1013">
        <v>1989</v>
      </c>
      <c r="K1013" t="s">
        <v>4578</v>
      </c>
      <c r="L1013" t="s">
        <v>4579</v>
      </c>
      <c r="M1013" s="2">
        <v>405</v>
      </c>
      <c r="N1013" t="s">
        <v>4580</v>
      </c>
      <c r="O1013">
        <v>0</v>
      </c>
      <c r="P1013">
        <v>0</v>
      </c>
      <c r="Q1013">
        <v>0</v>
      </c>
      <c r="R1013" t="s">
        <v>4581</v>
      </c>
      <c r="S1013" t="s">
        <v>4582</v>
      </c>
      <c r="T1013" t="s">
        <v>4655</v>
      </c>
      <c r="U1013" t="s">
        <v>4655</v>
      </c>
      <c r="V1013" s="2">
        <v>0</v>
      </c>
      <c r="W1013" t="s">
        <v>4655</v>
      </c>
      <c r="X1013" s="2">
        <v>0</v>
      </c>
      <c r="Y1013">
        <v>21</v>
      </c>
      <c r="Z1013" t="s">
        <v>4583</v>
      </c>
      <c r="AA1013" s="3">
        <v>9.2745637521147693E-3</v>
      </c>
      <c r="AB1013" t="s">
        <v>9651</v>
      </c>
      <c r="AC1013" t="s">
        <v>4562</v>
      </c>
      <c r="AD1013" t="s">
        <v>9652</v>
      </c>
      <c r="AE1013" t="s">
        <v>4655</v>
      </c>
      <c r="AF1013" t="s">
        <v>3127</v>
      </c>
      <c r="AG1013" t="s">
        <v>4584</v>
      </c>
      <c r="AH1013" t="s">
        <v>1037</v>
      </c>
      <c r="AI1013" t="s">
        <v>9662</v>
      </c>
      <c r="AJ1013" t="s">
        <v>4471</v>
      </c>
      <c r="AK1013" t="s">
        <v>9663</v>
      </c>
      <c r="AL1013" s="13" t="s">
        <v>2256</v>
      </c>
      <c r="AM1013">
        <v>1</v>
      </c>
      <c r="AN1013" s="15" t="s">
        <v>4142</v>
      </c>
    </row>
    <row r="1014" spans="1:40" x14ac:dyDescent="0.3">
      <c r="A1014" s="10" t="str">
        <f>HYPERLINK("http://www.washoecounty.gov/assessor/cama/?parid=012-563-09&amp;CardNumber=1","012-563-09")</f>
        <v>012-563-09</v>
      </c>
      <c r="B1014" t="s">
        <v>4655</v>
      </c>
      <c r="C1014" t="s">
        <v>4576</v>
      </c>
      <c r="D1014" s="1">
        <v>40529</v>
      </c>
      <c r="E1014" s="2">
        <v>16000</v>
      </c>
      <c r="F1014" t="s">
        <v>4567</v>
      </c>
      <c r="G1014" s="17" t="str">
        <f>HYPERLINK("https://www.washoecounty.gov/assessor/cama/?command=sales&amp;parid=01256309","3954832")</f>
        <v>3954832</v>
      </c>
      <c r="H1014" t="s">
        <v>5614</v>
      </c>
      <c r="I1014">
        <v>1978</v>
      </c>
      <c r="J1014">
        <v>1989</v>
      </c>
      <c r="K1014" t="s">
        <v>4578</v>
      </c>
      <c r="L1014" t="s">
        <v>4579</v>
      </c>
      <c r="M1014" s="2">
        <v>405</v>
      </c>
      <c r="N1014" t="s">
        <v>4580</v>
      </c>
      <c r="O1014">
        <v>0</v>
      </c>
      <c r="P1014">
        <v>0</v>
      </c>
      <c r="Q1014">
        <v>0</v>
      </c>
      <c r="R1014" t="s">
        <v>4581</v>
      </c>
      <c r="S1014" t="s">
        <v>4582</v>
      </c>
      <c r="T1014" t="s">
        <v>4655</v>
      </c>
      <c r="U1014" t="s">
        <v>4655</v>
      </c>
      <c r="V1014" s="2">
        <v>0</v>
      </c>
      <c r="W1014" t="s">
        <v>4655</v>
      </c>
      <c r="X1014" s="2">
        <v>0</v>
      </c>
      <c r="Y1014">
        <v>21</v>
      </c>
      <c r="Z1014" t="s">
        <v>4583</v>
      </c>
      <c r="AA1014" s="3">
        <v>9.2286504805088009E-3</v>
      </c>
      <c r="AB1014" t="s">
        <v>1729</v>
      </c>
      <c r="AC1014" t="s">
        <v>4562</v>
      </c>
      <c r="AD1014" t="s">
        <v>9619</v>
      </c>
      <c r="AE1014" t="s">
        <v>4655</v>
      </c>
      <c r="AF1014" t="s">
        <v>4949</v>
      </c>
      <c r="AG1014" t="s">
        <v>4655</v>
      </c>
      <c r="AH1014" t="s">
        <v>4655</v>
      </c>
      <c r="AI1014" t="s">
        <v>9664</v>
      </c>
      <c r="AJ1014" t="s">
        <v>5615</v>
      </c>
      <c r="AK1014" t="s">
        <v>9665</v>
      </c>
      <c r="AL1014" s="13" t="s">
        <v>2256</v>
      </c>
      <c r="AM1014">
        <v>1</v>
      </c>
      <c r="AN1014" s="15" t="s">
        <v>4142</v>
      </c>
    </row>
    <row r="1015" spans="1:40" x14ac:dyDescent="0.3">
      <c r="A1015" s="10" t="str">
        <f>HYPERLINK("http://www.washoecounty.gov/assessor/cama/?parid=012-565-09&amp;CardNumber=1","012-565-09")</f>
        <v>012-565-09</v>
      </c>
      <c r="B1015" t="s">
        <v>4655</v>
      </c>
      <c r="C1015" t="s">
        <v>4576</v>
      </c>
      <c r="D1015" s="1">
        <v>40529</v>
      </c>
      <c r="E1015" s="2">
        <v>14800</v>
      </c>
      <c r="F1015" t="s">
        <v>4553</v>
      </c>
      <c r="G1015" s="17" t="str">
        <f>HYPERLINK("https://www.washoecounty.gov/assessor/cama/?command=sales&amp;parid=01256509","3955059")</f>
        <v>3955059</v>
      </c>
      <c r="H1015" t="s">
        <v>5614</v>
      </c>
      <c r="I1015">
        <v>1978</v>
      </c>
      <c r="J1015">
        <v>1989</v>
      </c>
      <c r="K1015" t="s">
        <v>4578</v>
      </c>
      <c r="L1015" t="s">
        <v>4579</v>
      </c>
      <c r="M1015" s="2">
        <v>405</v>
      </c>
      <c r="N1015" t="s">
        <v>4580</v>
      </c>
      <c r="O1015">
        <v>0</v>
      </c>
      <c r="P1015">
        <v>0</v>
      </c>
      <c r="Q1015">
        <v>0</v>
      </c>
      <c r="R1015" t="s">
        <v>4581</v>
      </c>
      <c r="S1015" t="s">
        <v>4582</v>
      </c>
      <c r="T1015" t="s">
        <v>4655</v>
      </c>
      <c r="U1015" t="s">
        <v>4655</v>
      </c>
      <c r="V1015" s="2">
        <v>0</v>
      </c>
      <c r="W1015" t="s">
        <v>4655</v>
      </c>
      <c r="X1015" s="2">
        <v>0</v>
      </c>
      <c r="Y1015">
        <v>21</v>
      </c>
      <c r="Z1015" t="s">
        <v>4583</v>
      </c>
      <c r="AA1015" s="3">
        <v>9.1827362775802595E-3</v>
      </c>
      <c r="AB1015" t="s">
        <v>1729</v>
      </c>
      <c r="AC1015" t="s">
        <v>4562</v>
      </c>
      <c r="AD1015" t="s">
        <v>9619</v>
      </c>
      <c r="AE1015" t="s">
        <v>4655</v>
      </c>
      <c r="AF1015" t="s">
        <v>9620</v>
      </c>
      <c r="AG1015" t="s">
        <v>4655</v>
      </c>
      <c r="AH1015" t="s">
        <v>4655</v>
      </c>
      <c r="AI1015" t="s">
        <v>9662</v>
      </c>
      <c r="AJ1015" t="s">
        <v>5615</v>
      </c>
      <c r="AK1015" t="s">
        <v>9666</v>
      </c>
      <c r="AL1015" s="13" t="s">
        <v>2256</v>
      </c>
      <c r="AM1015" s="14">
        <v>1</v>
      </c>
      <c r="AN1015" s="15" t="s">
        <v>4142</v>
      </c>
    </row>
    <row r="1016" spans="1:40" x14ac:dyDescent="0.3">
      <c r="A1016" s="10" t="str">
        <f>HYPERLINK("http://www.washoecounty.gov/assessor/cama/?parid=012-574-05&amp;CardNumber=1","012-574-05")</f>
        <v>012-574-05</v>
      </c>
      <c r="B1016" t="s">
        <v>4655</v>
      </c>
      <c r="C1016" t="s">
        <v>4576</v>
      </c>
      <c r="D1016" s="1">
        <v>40375</v>
      </c>
      <c r="E1016" s="2">
        <v>19500</v>
      </c>
      <c r="F1016" t="s">
        <v>4553</v>
      </c>
      <c r="G1016" s="17" t="str">
        <f>HYPERLINK("https://www.washoecounty.gov/assessor/cama/?command=sales&amp;parid=01257405","3902054")</f>
        <v>3902054</v>
      </c>
      <c r="H1016" t="s">
        <v>2116</v>
      </c>
      <c r="I1016">
        <v>1978</v>
      </c>
      <c r="J1016">
        <v>1989</v>
      </c>
      <c r="K1016" t="s">
        <v>4578</v>
      </c>
      <c r="L1016" t="s">
        <v>4579</v>
      </c>
      <c r="M1016" s="2">
        <v>510</v>
      </c>
      <c r="N1016" t="s">
        <v>4580</v>
      </c>
      <c r="O1016">
        <v>0</v>
      </c>
      <c r="P1016">
        <v>0</v>
      </c>
      <c r="Q1016">
        <v>0</v>
      </c>
      <c r="R1016" t="s">
        <v>4581</v>
      </c>
      <c r="S1016" t="s">
        <v>4582</v>
      </c>
      <c r="T1016" t="s">
        <v>4655</v>
      </c>
      <c r="U1016" t="s">
        <v>4655</v>
      </c>
      <c r="V1016" s="2">
        <v>0</v>
      </c>
      <c r="W1016" t="s">
        <v>4655</v>
      </c>
      <c r="X1016" s="2">
        <v>0</v>
      </c>
      <c r="Y1016">
        <v>21</v>
      </c>
      <c r="Z1016" t="s">
        <v>4583</v>
      </c>
      <c r="AA1016" s="3">
        <v>1.1868686415255099E-2</v>
      </c>
      <c r="AB1016" t="s">
        <v>9643</v>
      </c>
      <c r="AC1016" t="s">
        <v>4562</v>
      </c>
      <c r="AD1016" t="s">
        <v>9667</v>
      </c>
      <c r="AE1016" t="s">
        <v>4655</v>
      </c>
      <c r="AF1016" t="s">
        <v>2514</v>
      </c>
      <c r="AG1016" t="s">
        <v>4584</v>
      </c>
      <c r="AH1016">
        <v>94024</v>
      </c>
      <c r="AI1016" t="s">
        <v>3129</v>
      </c>
      <c r="AJ1016" t="s">
        <v>3327</v>
      </c>
      <c r="AK1016" t="s">
        <v>9668</v>
      </c>
      <c r="AL1016" s="13" t="s">
        <v>2256</v>
      </c>
      <c r="AM1016">
        <v>1</v>
      </c>
      <c r="AN1016" s="15" t="s">
        <v>4142</v>
      </c>
    </row>
    <row r="1017" spans="1:40" x14ac:dyDescent="0.3">
      <c r="A1017" s="10" t="str">
        <f>HYPERLINK("http://www.washoecounty.gov/assessor/cama/?parid=012-575-02&amp;CardNumber=1","012-575-02")</f>
        <v>012-575-02</v>
      </c>
      <c r="B1017" t="s">
        <v>4655</v>
      </c>
      <c r="C1017" t="s">
        <v>4576</v>
      </c>
      <c r="D1017" s="1">
        <v>40540</v>
      </c>
      <c r="E1017" s="2">
        <v>14800</v>
      </c>
      <c r="F1017" t="s">
        <v>4553</v>
      </c>
      <c r="G1017" s="17" t="str">
        <f>HYPERLINK("https://www.washoecounty.gov/assessor/cama/?command=sales&amp;parid=01257502","3957992")</f>
        <v>3957992</v>
      </c>
      <c r="H1017" t="s">
        <v>2116</v>
      </c>
      <c r="I1017">
        <v>1978</v>
      </c>
      <c r="J1017">
        <v>1989</v>
      </c>
      <c r="K1017" t="s">
        <v>4578</v>
      </c>
      <c r="L1017" t="s">
        <v>4579</v>
      </c>
      <c r="M1017" s="2">
        <v>405</v>
      </c>
      <c r="N1017" t="s">
        <v>4580</v>
      </c>
      <c r="O1017">
        <v>0</v>
      </c>
      <c r="P1017">
        <v>0</v>
      </c>
      <c r="Q1017">
        <v>0</v>
      </c>
      <c r="R1017" t="s">
        <v>4581</v>
      </c>
      <c r="S1017" t="s">
        <v>4582</v>
      </c>
      <c r="T1017" t="s">
        <v>4655</v>
      </c>
      <c r="U1017" t="s">
        <v>4655</v>
      </c>
      <c r="V1017" s="2">
        <v>0</v>
      </c>
      <c r="W1017" t="s">
        <v>4655</v>
      </c>
      <c r="X1017" s="2">
        <v>0</v>
      </c>
      <c r="Y1017">
        <v>21</v>
      </c>
      <c r="Z1017" t="s">
        <v>4583</v>
      </c>
      <c r="AA1017" s="3">
        <v>9.2516066506504995E-3</v>
      </c>
      <c r="AB1017" t="s">
        <v>1729</v>
      </c>
      <c r="AC1017" t="s">
        <v>4562</v>
      </c>
      <c r="AD1017" t="s">
        <v>9619</v>
      </c>
      <c r="AE1017" t="s">
        <v>4655</v>
      </c>
      <c r="AF1017" t="s">
        <v>4949</v>
      </c>
      <c r="AG1017" t="s">
        <v>4655</v>
      </c>
      <c r="AH1017" t="s">
        <v>4655</v>
      </c>
      <c r="AI1017" t="s">
        <v>2009</v>
      </c>
      <c r="AJ1017" t="s">
        <v>3327</v>
      </c>
      <c r="AK1017" t="s">
        <v>9669</v>
      </c>
      <c r="AL1017" s="13" t="s">
        <v>2256</v>
      </c>
      <c r="AM1017">
        <v>1</v>
      </c>
      <c r="AN1017" s="15" t="s">
        <v>4142</v>
      </c>
    </row>
    <row r="1018" spans="1:40" x14ac:dyDescent="0.3">
      <c r="A1018" s="10" t="str">
        <f>HYPERLINK("http://www.washoecounty.gov/assessor/cama/?parid=012-582-11&amp;CardNumber=1","012-582-11")</f>
        <v>012-582-11</v>
      </c>
      <c r="B1018" t="s">
        <v>4655</v>
      </c>
      <c r="C1018" t="s">
        <v>4576</v>
      </c>
      <c r="D1018" s="1">
        <v>40283</v>
      </c>
      <c r="E1018" s="2">
        <v>45000</v>
      </c>
      <c r="F1018" t="s">
        <v>4567</v>
      </c>
      <c r="G1018" s="17" t="str">
        <f>HYPERLINK("https://www.washoecounty.gov/assessor/cama/?command=sales&amp;parid=01258211","3871476")</f>
        <v>3871476</v>
      </c>
      <c r="H1018" t="s">
        <v>3128</v>
      </c>
      <c r="I1018">
        <v>1978</v>
      </c>
      <c r="J1018">
        <v>1989</v>
      </c>
      <c r="K1018" t="s">
        <v>4578</v>
      </c>
      <c r="L1018" t="s">
        <v>4579</v>
      </c>
      <c r="M1018" s="2">
        <v>510</v>
      </c>
      <c r="N1018" t="s">
        <v>4580</v>
      </c>
      <c r="O1018">
        <v>0</v>
      </c>
      <c r="P1018">
        <v>0</v>
      </c>
      <c r="Q1018">
        <v>0</v>
      </c>
      <c r="R1018" t="s">
        <v>4581</v>
      </c>
      <c r="S1018" t="s">
        <v>4582</v>
      </c>
      <c r="T1018" t="s">
        <v>4655</v>
      </c>
      <c r="U1018" t="s">
        <v>4655</v>
      </c>
      <c r="V1018" s="2">
        <v>0</v>
      </c>
      <c r="W1018" t="s">
        <v>4655</v>
      </c>
      <c r="X1018" s="2">
        <v>0</v>
      </c>
      <c r="Y1018">
        <v>21</v>
      </c>
      <c r="Z1018" t="s">
        <v>4583</v>
      </c>
      <c r="AA1018" s="3">
        <v>1.1753902770578899E-2</v>
      </c>
      <c r="AB1018" t="s">
        <v>9670</v>
      </c>
      <c r="AC1018" t="s">
        <v>4562</v>
      </c>
      <c r="AD1018" t="s">
        <v>9671</v>
      </c>
      <c r="AE1018" t="s">
        <v>4655</v>
      </c>
      <c r="AF1018" t="s">
        <v>9672</v>
      </c>
      <c r="AG1018" t="s">
        <v>4584</v>
      </c>
      <c r="AH1018" t="s">
        <v>9673</v>
      </c>
      <c r="AI1018" t="s">
        <v>9674</v>
      </c>
      <c r="AJ1018" t="s">
        <v>3130</v>
      </c>
      <c r="AK1018" t="s">
        <v>9675</v>
      </c>
      <c r="AL1018" s="13" t="s">
        <v>2256</v>
      </c>
      <c r="AM1018" s="14">
        <v>1</v>
      </c>
      <c r="AN1018" s="15" t="s">
        <v>4142</v>
      </c>
    </row>
    <row r="1019" spans="1:40" x14ac:dyDescent="0.3">
      <c r="A1019" s="10" t="str">
        <f>HYPERLINK("http://www.washoecounty.gov/assessor/cama/?parid=012-583-01&amp;CardNumber=1","012-583-01")</f>
        <v>012-583-01</v>
      </c>
      <c r="B1019" t="s">
        <v>4655</v>
      </c>
      <c r="C1019" t="s">
        <v>4576</v>
      </c>
      <c r="D1019" s="1">
        <v>40253</v>
      </c>
      <c r="E1019" s="2">
        <v>22300</v>
      </c>
      <c r="F1019" t="s">
        <v>4567</v>
      </c>
      <c r="G1019" s="17" t="str">
        <f>HYPERLINK("https://www.washoecounty.gov/assessor/cama/?command=sales&amp;parid=01258301","3860204")</f>
        <v>3860204</v>
      </c>
      <c r="H1019" t="s">
        <v>3128</v>
      </c>
      <c r="I1019">
        <v>1978</v>
      </c>
      <c r="J1019">
        <v>1989</v>
      </c>
      <c r="K1019" t="s">
        <v>4578</v>
      </c>
      <c r="L1019" t="s">
        <v>4579</v>
      </c>
      <c r="M1019" s="2">
        <v>405</v>
      </c>
      <c r="N1019" t="s">
        <v>4580</v>
      </c>
      <c r="O1019">
        <v>0</v>
      </c>
      <c r="P1019">
        <v>0</v>
      </c>
      <c r="Q1019">
        <v>0</v>
      </c>
      <c r="R1019" t="s">
        <v>4581</v>
      </c>
      <c r="S1019" t="s">
        <v>4582</v>
      </c>
      <c r="T1019" t="s">
        <v>4655</v>
      </c>
      <c r="U1019" t="s">
        <v>4655</v>
      </c>
      <c r="V1019" s="2">
        <v>0</v>
      </c>
      <c r="W1019" t="s">
        <v>4655</v>
      </c>
      <c r="X1019" s="2">
        <v>0</v>
      </c>
      <c r="Y1019">
        <v>21</v>
      </c>
      <c r="Z1019" t="s">
        <v>4583</v>
      </c>
      <c r="AA1019" s="3">
        <v>9.2286504805088009E-3</v>
      </c>
      <c r="AB1019" t="s">
        <v>9676</v>
      </c>
      <c r="AC1019" t="s">
        <v>4575</v>
      </c>
      <c r="AD1019" t="s">
        <v>9677</v>
      </c>
      <c r="AE1019" t="s">
        <v>4655</v>
      </c>
      <c r="AF1019" t="s">
        <v>1039</v>
      </c>
      <c r="AG1019" t="s">
        <v>1766</v>
      </c>
      <c r="AH1019">
        <v>10024</v>
      </c>
      <c r="AI1019" t="s">
        <v>9621</v>
      </c>
      <c r="AJ1019" t="s">
        <v>3130</v>
      </c>
      <c r="AK1019" t="s">
        <v>9678</v>
      </c>
      <c r="AL1019" s="13" t="s">
        <v>2256</v>
      </c>
      <c r="AM1019">
        <v>1</v>
      </c>
      <c r="AN1019" s="15" t="s">
        <v>4142</v>
      </c>
    </row>
    <row r="1020" spans="1:40" x14ac:dyDescent="0.3">
      <c r="A1020" s="10" t="str">
        <f>HYPERLINK("http://www.washoecounty.gov/assessor/cama/?parid=012-583-05&amp;CardNumber=1","012-583-05")</f>
        <v>012-583-05</v>
      </c>
      <c r="B1020" t="s">
        <v>4655</v>
      </c>
      <c r="C1020" t="s">
        <v>4576</v>
      </c>
      <c r="D1020" s="1">
        <v>40479</v>
      </c>
      <c r="E1020" s="2">
        <v>16500</v>
      </c>
      <c r="F1020" t="s">
        <v>4567</v>
      </c>
      <c r="G1020" s="17" t="str">
        <f>HYPERLINK("https://www.washoecounty.gov/assessor/cama/?command=sales&amp;parid=01258305","3937429")</f>
        <v>3937429</v>
      </c>
      <c r="H1020" t="s">
        <v>3128</v>
      </c>
      <c r="I1020">
        <v>1978</v>
      </c>
      <c r="J1020">
        <v>1989</v>
      </c>
      <c r="K1020" t="s">
        <v>4578</v>
      </c>
      <c r="L1020" t="s">
        <v>4579</v>
      </c>
      <c r="M1020" s="2">
        <v>405</v>
      </c>
      <c r="N1020" t="s">
        <v>4580</v>
      </c>
      <c r="O1020">
        <v>0</v>
      </c>
      <c r="P1020">
        <v>0</v>
      </c>
      <c r="Q1020">
        <v>0</v>
      </c>
      <c r="R1020" t="s">
        <v>4581</v>
      </c>
      <c r="S1020" t="s">
        <v>4582</v>
      </c>
      <c r="T1020" t="s">
        <v>4655</v>
      </c>
      <c r="U1020" t="s">
        <v>4655</v>
      </c>
      <c r="V1020" s="2">
        <v>0</v>
      </c>
      <c r="W1020" t="s">
        <v>4655</v>
      </c>
      <c r="X1020" s="2">
        <v>0</v>
      </c>
      <c r="Y1020">
        <v>21</v>
      </c>
      <c r="Z1020" t="s">
        <v>4583</v>
      </c>
      <c r="AA1020" s="3">
        <v>9.2056933790445293E-3</v>
      </c>
      <c r="AB1020" t="s">
        <v>9602</v>
      </c>
      <c r="AC1020" t="s">
        <v>4562</v>
      </c>
      <c r="AD1020" t="s">
        <v>9603</v>
      </c>
      <c r="AE1020" t="s">
        <v>4655</v>
      </c>
      <c r="AF1020" t="s">
        <v>5633</v>
      </c>
      <c r="AG1020" t="s">
        <v>4584</v>
      </c>
      <c r="AH1020">
        <v>94024</v>
      </c>
      <c r="AI1020" t="s">
        <v>9679</v>
      </c>
      <c r="AJ1020" t="s">
        <v>3130</v>
      </c>
      <c r="AK1020" t="s">
        <v>9680</v>
      </c>
      <c r="AL1020" s="13" t="s">
        <v>2256</v>
      </c>
      <c r="AM1020">
        <v>1</v>
      </c>
      <c r="AN1020" s="15" t="s">
        <v>4142</v>
      </c>
    </row>
    <row r="1021" spans="1:40" x14ac:dyDescent="0.3">
      <c r="A1021" s="10" t="str">
        <f>HYPERLINK("http://www.washoecounty.gov/assessor/cama/?parid=012-583-11&amp;CardNumber=1","012-583-11")</f>
        <v>012-583-11</v>
      </c>
      <c r="B1021" t="s">
        <v>4655</v>
      </c>
      <c r="C1021" t="s">
        <v>4576</v>
      </c>
      <c r="D1021" s="1">
        <v>40415</v>
      </c>
      <c r="E1021" s="2">
        <v>20000</v>
      </c>
      <c r="F1021" t="s">
        <v>4567</v>
      </c>
      <c r="G1021" s="17" t="str">
        <f>HYPERLINK("https://www.washoecounty.gov/assessor/cama/?command=sales&amp;parid=01258311","3915347")</f>
        <v>3915347</v>
      </c>
      <c r="H1021" t="s">
        <v>3128</v>
      </c>
      <c r="I1021">
        <v>1978</v>
      </c>
      <c r="J1021">
        <v>1989</v>
      </c>
      <c r="K1021" t="s">
        <v>4578</v>
      </c>
      <c r="L1021" t="s">
        <v>4579</v>
      </c>
      <c r="M1021" s="2">
        <v>405</v>
      </c>
      <c r="N1021" t="s">
        <v>4580</v>
      </c>
      <c r="O1021">
        <v>0</v>
      </c>
      <c r="P1021">
        <v>0</v>
      </c>
      <c r="Q1021">
        <v>0</v>
      </c>
      <c r="R1021" t="s">
        <v>4581</v>
      </c>
      <c r="S1021" t="s">
        <v>4582</v>
      </c>
      <c r="T1021" t="s">
        <v>4655</v>
      </c>
      <c r="U1021" t="s">
        <v>4655</v>
      </c>
      <c r="V1021" s="2">
        <v>0</v>
      </c>
      <c r="W1021" t="s">
        <v>4655</v>
      </c>
      <c r="X1021" s="2">
        <v>0</v>
      </c>
      <c r="Y1021">
        <v>21</v>
      </c>
      <c r="Z1021" t="s">
        <v>4583</v>
      </c>
      <c r="AA1021" s="3">
        <v>9.2056933790445293E-3</v>
      </c>
      <c r="AB1021" t="s">
        <v>9681</v>
      </c>
      <c r="AC1021" t="s">
        <v>4575</v>
      </c>
      <c r="AD1021" t="s">
        <v>9682</v>
      </c>
      <c r="AE1021" t="s">
        <v>9683</v>
      </c>
      <c r="AF1021" t="s">
        <v>4950</v>
      </c>
      <c r="AG1021" t="s">
        <v>4655</v>
      </c>
      <c r="AH1021" t="s">
        <v>4655</v>
      </c>
      <c r="AI1021" t="s">
        <v>9684</v>
      </c>
      <c r="AJ1021" t="s">
        <v>3130</v>
      </c>
      <c r="AK1021" t="s">
        <v>9685</v>
      </c>
      <c r="AL1021" s="13" t="s">
        <v>2256</v>
      </c>
      <c r="AM1021" s="14">
        <v>1</v>
      </c>
      <c r="AN1021" s="15" t="s">
        <v>4142</v>
      </c>
    </row>
    <row r="1022" spans="1:40" x14ac:dyDescent="0.3">
      <c r="A1022" s="10" t="str">
        <f>HYPERLINK("http://www.washoecounty.gov/assessor/cama/?parid=012-583-11&amp;CardNumber=1","012-583-11")</f>
        <v>012-583-11</v>
      </c>
      <c r="B1022" t="s">
        <v>4655</v>
      </c>
      <c r="C1022" t="s">
        <v>4576</v>
      </c>
      <c r="D1022" s="1">
        <v>40445</v>
      </c>
      <c r="E1022" s="2">
        <v>32000</v>
      </c>
      <c r="F1022" t="s">
        <v>4567</v>
      </c>
      <c r="G1022" s="17" t="str">
        <f>HYPERLINK("https://www.washoecounty.gov/assessor/cama/?command=sales&amp;parid=01258311","3925978")</f>
        <v>3925978</v>
      </c>
      <c r="H1022" t="s">
        <v>3128</v>
      </c>
      <c r="I1022">
        <v>1978</v>
      </c>
      <c r="J1022">
        <v>1989</v>
      </c>
      <c r="K1022" t="s">
        <v>4578</v>
      </c>
      <c r="L1022" t="s">
        <v>4579</v>
      </c>
      <c r="M1022" s="2">
        <v>405</v>
      </c>
      <c r="N1022" t="s">
        <v>4580</v>
      </c>
      <c r="O1022">
        <v>0</v>
      </c>
      <c r="P1022">
        <v>0</v>
      </c>
      <c r="Q1022">
        <v>0</v>
      </c>
      <c r="R1022" t="s">
        <v>4581</v>
      </c>
      <c r="S1022" t="s">
        <v>4582</v>
      </c>
      <c r="T1022" t="s">
        <v>4655</v>
      </c>
      <c r="U1022" t="s">
        <v>4655</v>
      </c>
      <c r="V1022" s="2">
        <v>0</v>
      </c>
      <c r="W1022" t="s">
        <v>4655</v>
      </c>
      <c r="X1022" s="2">
        <v>0</v>
      </c>
      <c r="Y1022">
        <v>21</v>
      </c>
      <c r="Z1022" t="s">
        <v>4583</v>
      </c>
      <c r="AA1022" s="3">
        <v>9.2056933790445293E-3</v>
      </c>
      <c r="AB1022" t="s">
        <v>9681</v>
      </c>
      <c r="AC1022" t="s">
        <v>4575</v>
      </c>
      <c r="AD1022" t="s">
        <v>9682</v>
      </c>
      <c r="AE1022" t="s">
        <v>9683</v>
      </c>
      <c r="AF1022" t="s">
        <v>4950</v>
      </c>
      <c r="AG1022" t="s">
        <v>4655</v>
      </c>
      <c r="AH1022" t="s">
        <v>4655</v>
      </c>
      <c r="AI1022" t="s">
        <v>9684</v>
      </c>
      <c r="AJ1022" t="s">
        <v>3130</v>
      </c>
      <c r="AK1022" t="s">
        <v>9685</v>
      </c>
      <c r="AL1022" s="13" t="s">
        <v>2256</v>
      </c>
      <c r="AM1022">
        <v>1</v>
      </c>
      <c r="AN1022" s="15" t="s">
        <v>4142</v>
      </c>
    </row>
    <row r="1023" spans="1:40" x14ac:dyDescent="0.3">
      <c r="A1023" s="10" t="str">
        <f>HYPERLINK("http://www.washoecounty.gov/assessor/cama/?parid=012-584-03&amp;CardNumber=1","012-584-03")</f>
        <v>012-584-03</v>
      </c>
      <c r="B1023" t="s">
        <v>4655</v>
      </c>
      <c r="C1023" t="s">
        <v>4576</v>
      </c>
      <c r="D1023" s="1">
        <v>40311</v>
      </c>
      <c r="E1023" s="2">
        <v>19800</v>
      </c>
      <c r="F1023" t="s">
        <v>4553</v>
      </c>
      <c r="G1023" s="17" t="str">
        <f>HYPERLINK("https://www.washoecounty.gov/assessor/cama/?command=sales&amp;parid=01258403","3881284")</f>
        <v>3881284</v>
      </c>
      <c r="H1023" t="s">
        <v>3128</v>
      </c>
      <c r="I1023">
        <v>1978</v>
      </c>
      <c r="J1023">
        <v>1989</v>
      </c>
      <c r="K1023" t="s">
        <v>4578</v>
      </c>
      <c r="L1023" t="s">
        <v>4579</v>
      </c>
      <c r="M1023" s="2">
        <v>510</v>
      </c>
      <c r="N1023" t="s">
        <v>4580</v>
      </c>
      <c r="O1023">
        <v>0</v>
      </c>
      <c r="P1023">
        <v>0</v>
      </c>
      <c r="Q1023">
        <v>0</v>
      </c>
      <c r="R1023" t="s">
        <v>4581</v>
      </c>
      <c r="S1023" t="s">
        <v>4582</v>
      </c>
      <c r="T1023" t="s">
        <v>4655</v>
      </c>
      <c r="U1023" t="s">
        <v>4655</v>
      </c>
      <c r="V1023" s="2">
        <v>0</v>
      </c>
      <c r="W1023" t="s">
        <v>4655</v>
      </c>
      <c r="X1023" s="2">
        <v>0</v>
      </c>
      <c r="Y1023">
        <v>21</v>
      </c>
      <c r="Z1023" t="s">
        <v>4583</v>
      </c>
      <c r="AA1023" s="3">
        <v>1.1845730245113401E-2</v>
      </c>
      <c r="AB1023" t="s">
        <v>2710</v>
      </c>
      <c r="AC1023" t="s">
        <v>4575</v>
      </c>
      <c r="AD1023" t="s">
        <v>9568</v>
      </c>
      <c r="AE1023" t="s">
        <v>4655</v>
      </c>
      <c r="AF1023" t="s">
        <v>4563</v>
      </c>
      <c r="AG1023" t="s">
        <v>4564</v>
      </c>
      <c r="AH1023">
        <v>89506</v>
      </c>
      <c r="AI1023" t="s">
        <v>3129</v>
      </c>
      <c r="AJ1023" t="s">
        <v>3130</v>
      </c>
      <c r="AK1023" t="s">
        <v>2711</v>
      </c>
      <c r="AL1023" s="13" t="s">
        <v>2256</v>
      </c>
      <c r="AM1023" s="14">
        <v>1</v>
      </c>
      <c r="AN1023" s="15" t="s">
        <v>4142</v>
      </c>
    </row>
    <row r="1024" spans="1:40" x14ac:dyDescent="0.3">
      <c r="A1024" s="10" t="str">
        <f>HYPERLINK("http://www.washoecounty.gov/assessor/cama/?parid=012-584-07&amp;CardNumber=1","012-584-07")</f>
        <v>012-584-07</v>
      </c>
      <c r="B1024" t="s">
        <v>4655</v>
      </c>
      <c r="C1024" t="s">
        <v>4576</v>
      </c>
      <c r="D1024" s="1">
        <v>40366</v>
      </c>
      <c r="E1024" s="2">
        <v>19000</v>
      </c>
      <c r="F1024" t="s">
        <v>4567</v>
      </c>
      <c r="G1024" s="17" t="str">
        <f>HYPERLINK("https://www.washoecounty.gov/assessor/cama/?command=sales&amp;parid=01258407","3898969")</f>
        <v>3898969</v>
      </c>
      <c r="H1024" t="s">
        <v>3128</v>
      </c>
      <c r="I1024">
        <v>1978</v>
      </c>
      <c r="J1024">
        <v>1989</v>
      </c>
      <c r="K1024" t="s">
        <v>4578</v>
      </c>
      <c r="L1024" t="s">
        <v>4579</v>
      </c>
      <c r="M1024" s="2">
        <v>510</v>
      </c>
      <c r="N1024" t="s">
        <v>4580</v>
      </c>
      <c r="O1024">
        <v>0</v>
      </c>
      <c r="P1024">
        <v>0</v>
      </c>
      <c r="Q1024">
        <v>0</v>
      </c>
      <c r="R1024" t="s">
        <v>4581</v>
      </c>
      <c r="S1024" t="s">
        <v>4582</v>
      </c>
      <c r="T1024" t="s">
        <v>4655</v>
      </c>
      <c r="U1024" t="s">
        <v>4655</v>
      </c>
      <c r="V1024" s="2">
        <v>0</v>
      </c>
      <c r="W1024" t="s">
        <v>4655</v>
      </c>
      <c r="X1024" s="2">
        <v>0</v>
      </c>
      <c r="Y1024">
        <v>21</v>
      </c>
      <c r="Z1024" t="s">
        <v>4583</v>
      </c>
      <c r="AA1024" s="3">
        <v>1.1845730245113401E-2</v>
      </c>
      <c r="AB1024" t="s">
        <v>9686</v>
      </c>
      <c r="AC1024" t="s">
        <v>4562</v>
      </c>
      <c r="AD1024" t="s">
        <v>9687</v>
      </c>
      <c r="AE1024" t="s">
        <v>4655</v>
      </c>
      <c r="AF1024" t="s">
        <v>3033</v>
      </c>
      <c r="AG1024" t="s">
        <v>4584</v>
      </c>
      <c r="AH1024" t="s">
        <v>1037</v>
      </c>
      <c r="AI1024" t="s">
        <v>9688</v>
      </c>
      <c r="AJ1024" t="s">
        <v>3130</v>
      </c>
      <c r="AK1024" t="s">
        <v>9689</v>
      </c>
      <c r="AL1024" s="13" t="s">
        <v>2256</v>
      </c>
      <c r="AM1024" s="14">
        <v>1</v>
      </c>
      <c r="AN1024" s="15" t="s">
        <v>4142</v>
      </c>
    </row>
    <row r="1025" spans="1:40" x14ac:dyDescent="0.3">
      <c r="A1025" s="10" t="str">
        <f>HYPERLINK("http://www.washoecounty.gov/assessor/cama/?parid=012-584-22&amp;CardNumber=1","012-584-22")</f>
        <v>012-584-22</v>
      </c>
      <c r="B1025" t="s">
        <v>4655</v>
      </c>
      <c r="C1025" t="s">
        <v>4576</v>
      </c>
      <c r="D1025" s="1">
        <v>40385</v>
      </c>
      <c r="E1025" s="2">
        <v>17500</v>
      </c>
      <c r="F1025" t="s">
        <v>4567</v>
      </c>
      <c r="G1025" s="17" t="str">
        <f>HYPERLINK("https://www.washoecounty.gov/assessor/cama/?command=sales&amp;parid=01258422","3904893")</f>
        <v>3904893</v>
      </c>
      <c r="H1025" t="s">
        <v>3128</v>
      </c>
      <c r="I1025">
        <v>1978</v>
      </c>
      <c r="J1025">
        <v>1989</v>
      </c>
      <c r="K1025" t="s">
        <v>4578</v>
      </c>
      <c r="L1025" t="s">
        <v>4579</v>
      </c>
      <c r="M1025" s="2">
        <v>405</v>
      </c>
      <c r="N1025" t="s">
        <v>4580</v>
      </c>
      <c r="O1025">
        <v>0</v>
      </c>
      <c r="P1025">
        <v>0</v>
      </c>
      <c r="Q1025">
        <v>0</v>
      </c>
      <c r="R1025" t="s">
        <v>4581</v>
      </c>
      <c r="S1025" t="s">
        <v>4582</v>
      </c>
      <c r="T1025" t="s">
        <v>4655</v>
      </c>
      <c r="U1025" t="s">
        <v>4655</v>
      </c>
      <c r="V1025" s="2">
        <v>0</v>
      </c>
      <c r="W1025" t="s">
        <v>4655</v>
      </c>
      <c r="X1025" s="2">
        <v>0</v>
      </c>
      <c r="Y1025">
        <v>21</v>
      </c>
      <c r="Z1025" t="s">
        <v>4583</v>
      </c>
      <c r="AA1025" s="3">
        <v>9.2516066506504995E-3</v>
      </c>
      <c r="AB1025" t="s">
        <v>9690</v>
      </c>
      <c r="AC1025" t="s">
        <v>4562</v>
      </c>
      <c r="AD1025" t="s">
        <v>9691</v>
      </c>
      <c r="AE1025" t="s">
        <v>4655</v>
      </c>
      <c r="AF1025" t="s">
        <v>3127</v>
      </c>
      <c r="AG1025" t="s">
        <v>4584</v>
      </c>
      <c r="AH1025" t="s">
        <v>9692</v>
      </c>
      <c r="AI1025" t="s">
        <v>9693</v>
      </c>
      <c r="AJ1025" t="s">
        <v>3130</v>
      </c>
      <c r="AK1025" t="s">
        <v>9694</v>
      </c>
      <c r="AL1025" s="13" t="s">
        <v>2256</v>
      </c>
      <c r="AM1025">
        <v>1</v>
      </c>
      <c r="AN1025" s="15" t="s">
        <v>4142</v>
      </c>
    </row>
    <row r="1026" spans="1:40" x14ac:dyDescent="0.3">
      <c r="A1026" s="10" t="str">
        <f>HYPERLINK("http://www.washoecounty.gov/assessor/cama/?parid=012-585-04&amp;CardNumber=1","012-585-04")</f>
        <v>012-585-04</v>
      </c>
      <c r="B1026" t="s">
        <v>4655</v>
      </c>
      <c r="C1026" t="s">
        <v>4576</v>
      </c>
      <c r="D1026" s="1">
        <v>40541</v>
      </c>
      <c r="E1026" s="2">
        <v>15000</v>
      </c>
      <c r="F1026" t="s">
        <v>4553</v>
      </c>
      <c r="G1026" s="17" t="str">
        <f>HYPERLINK("https://www.washoecounty.gov/assessor/cama/?command=sales&amp;parid=01258504","3958481")</f>
        <v>3958481</v>
      </c>
      <c r="H1026" t="s">
        <v>3128</v>
      </c>
      <c r="I1026">
        <v>1978</v>
      </c>
      <c r="J1026">
        <v>1989</v>
      </c>
      <c r="K1026" t="s">
        <v>4578</v>
      </c>
      <c r="L1026" t="s">
        <v>4579</v>
      </c>
      <c r="M1026" s="2">
        <v>405</v>
      </c>
      <c r="N1026" t="s">
        <v>4580</v>
      </c>
      <c r="O1026">
        <v>0</v>
      </c>
      <c r="P1026">
        <v>0</v>
      </c>
      <c r="Q1026">
        <v>0</v>
      </c>
      <c r="R1026" t="s">
        <v>4581</v>
      </c>
      <c r="S1026" t="s">
        <v>4582</v>
      </c>
      <c r="T1026" t="s">
        <v>4655</v>
      </c>
      <c r="U1026" t="s">
        <v>4655</v>
      </c>
      <c r="V1026" s="2">
        <v>0</v>
      </c>
      <c r="W1026" t="s">
        <v>4655</v>
      </c>
      <c r="X1026" s="2">
        <v>0</v>
      </c>
      <c r="Y1026">
        <v>21</v>
      </c>
      <c r="Z1026" t="s">
        <v>4583</v>
      </c>
      <c r="AA1026" s="3">
        <v>9.2286504805088009E-3</v>
      </c>
      <c r="AB1026" t="s">
        <v>9599</v>
      </c>
      <c r="AC1026" t="s">
        <v>4575</v>
      </c>
      <c r="AD1026" t="s">
        <v>9695</v>
      </c>
      <c r="AE1026" t="s">
        <v>4655</v>
      </c>
      <c r="AF1026" t="s">
        <v>1189</v>
      </c>
      <c r="AG1026" t="s">
        <v>4564</v>
      </c>
      <c r="AH1026">
        <v>89119</v>
      </c>
      <c r="AI1026" t="s">
        <v>1624</v>
      </c>
      <c r="AJ1026" t="s">
        <v>3130</v>
      </c>
      <c r="AK1026" t="s">
        <v>9696</v>
      </c>
      <c r="AL1026" s="13" t="s">
        <v>2256</v>
      </c>
      <c r="AM1026" s="14">
        <v>1</v>
      </c>
      <c r="AN1026" s="15" t="s">
        <v>4142</v>
      </c>
    </row>
    <row r="1027" spans="1:40" x14ac:dyDescent="0.3">
      <c r="A1027" s="10" t="str">
        <f>HYPERLINK("http://www.washoecounty.gov/assessor/cama/?parid=012-585-06&amp;CardNumber=1","012-585-06")</f>
        <v>012-585-06</v>
      </c>
      <c r="B1027" t="s">
        <v>4655</v>
      </c>
      <c r="C1027" t="s">
        <v>4576</v>
      </c>
      <c r="D1027" s="1">
        <v>40501</v>
      </c>
      <c r="E1027" s="2">
        <v>15500</v>
      </c>
      <c r="F1027" t="s">
        <v>4553</v>
      </c>
      <c r="G1027" s="17" t="str">
        <f>HYPERLINK("https://www.washoecounty.gov/assessor/cama/?command=sales&amp;parid=01258506","3944963")</f>
        <v>3944963</v>
      </c>
      <c r="H1027" t="s">
        <v>3128</v>
      </c>
      <c r="I1027">
        <v>1978</v>
      </c>
      <c r="J1027">
        <v>1989</v>
      </c>
      <c r="K1027" t="s">
        <v>4578</v>
      </c>
      <c r="L1027" t="s">
        <v>4579</v>
      </c>
      <c r="M1027" s="2">
        <v>405</v>
      </c>
      <c r="N1027" t="s">
        <v>4580</v>
      </c>
      <c r="O1027">
        <v>0</v>
      </c>
      <c r="P1027">
        <v>0</v>
      </c>
      <c r="Q1027">
        <v>0</v>
      </c>
      <c r="R1027" t="s">
        <v>4581</v>
      </c>
      <c r="S1027" t="s">
        <v>4582</v>
      </c>
      <c r="T1027" t="s">
        <v>4655</v>
      </c>
      <c r="U1027" t="s">
        <v>4655</v>
      </c>
      <c r="V1027" s="2">
        <v>0</v>
      </c>
      <c r="W1027" t="s">
        <v>4655</v>
      </c>
      <c r="X1027" s="2">
        <v>0</v>
      </c>
      <c r="Y1027">
        <v>21</v>
      </c>
      <c r="Z1027" t="s">
        <v>4583</v>
      </c>
      <c r="AA1027" s="3">
        <v>9.2516066506504995E-3</v>
      </c>
      <c r="AB1027" t="s">
        <v>9697</v>
      </c>
      <c r="AC1027" t="s">
        <v>4562</v>
      </c>
      <c r="AD1027" t="s">
        <v>4869</v>
      </c>
      <c r="AE1027" t="s">
        <v>4655</v>
      </c>
      <c r="AF1027" t="s">
        <v>5620</v>
      </c>
      <c r="AG1027" t="s">
        <v>4584</v>
      </c>
      <c r="AH1027">
        <v>94507</v>
      </c>
      <c r="AI1027" t="s">
        <v>3129</v>
      </c>
      <c r="AJ1027" t="s">
        <v>3130</v>
      </c>
      <c r="AK1027" t="s">
        <v>9698</v>
      </c>
      <c r="AL1027" s="13" t="s">
        <v>2256</v>
      </c>
      <c r="AM1027">
        <v>1</v>
      </c>
      <c r="AN1027" s="15" t="s">
        <v>4142</v>
      </c>
    </row>
    <row r="1028" spans="1:40" x14ac:dyDescent="0.3">
      <c r="A1028" s="10" t="str">
        <f>HYPERLINK("http://www.washoecounty.gov/assessor/cama/?parid=012-585-08&amp;CardNumber=1","012-585-08")</f>
        <v>012-585-08</v>
      </c>
      <c r="B1028" t="s">
        <v>4655</v>
      </c>
      <c r="C1028" t="s">
        <v>4576</v>
      </c>
      <c r="D1028" s="1">
        <v>40206</v>
      </c>
      <c r="E1028" s="2">
        <v>19000</v>
      </c>
      <c r="F1028" t="s">
        <v>4553</v>
      </c>
      <c r="G1028" s="17" t="str">
        <f>HYPERLINK("https://www.washoecounty.gov/assessor/cama/?command=sales&amp;parid=01258508","3843740")</f>
        <v>3843740</v>
      </c>
      <c r="H1028" t="s">
        <v>3128</v>
      </c>
      <c r="I1028">
        <v>1978</v>
      </c>
      <c r="J1028">
        <v>1989</v>
      </c>
      <c r="K1028" t="s">
        <v>4578</v>
      </c>
      <c r="L1028" t="s">
        <v>4579</v>
      </c>
      <c r="M1028" s="2">
        <v>405</v>
      </c>
      <c r="N1028" t="s">
        <v>4580</v>
      </c>
      <c r="O1028">
        <v>0</v>
      </c>
      <c r="P1028">
        <v>0</v>
      </c>
      <c r="Q1028">
        <v>0</v>
      </c>
      <c r="R1028" t="s">
        <v>4581</v>
      </c>
      <c r="S1028" t="s">
        <v>4582</v>
      </c>
      <c r="T1028" t="s">
        <v>4655</v>
      </c>
      <c r="U1028" t="s">
        <v>4655</v>
      </c>
      <c r="V1028" s="2">
        <v>0</v>
      </c>
      <c r="W1028" t="s">
        <v>4655</v>
      </c>
      <c r="X1028" s="2">
        <v>0</v>
      </c>
      <c r="Y1028">
        <v>21</v>
      </c>
      <c r="Z1028" t="s">
        <v>4583</v>
      </c>
      <c r="AA1028" s="3">
        <v>9.2745637521147693E-3</v>
      </c>
      <c r="AB1028" t="s">
        <v>9699</v>
      </c>
      <c r="AC1028" t="s">
        <v>4562</v>
      </c>
      <c r="AD1028" t="s">
        <v>9700</v>
      </c>
      <c r="AE1028" t="s">
        <v>4655</v>
      </c>
      <c r="AF1028" t="s">
        <v>9701</v>
      </c>
      <c r="AG1028" t="s">
        <v>4584</v>
      </c>
      <c r="AH1028">
        <v>95210</v>
      </c>
      <c r="AI1028" t="s">
        <v>3129</v>
      </c>
      <c r="AJ1028" t="s">
        <v>3130</v>
      </c>
      <c r="AK1028" t="s">
        <v>9702</v>
      </c>
      <c r="AL1028" s="13" t="s">
        <v>2256</v>
      </c>
      <c r="AM1028">
        <v>1</v>
      </c>
      <c r="AN1028" s="15" t="s">
        <v>4142</v>
      </c>
    </row>
    <row r="1029" spans="1:40" x14ac:dyDescent="0.3">
      <c r="A1029" s="10" t="str">
        <f>HYPERLINK("http://www.washoecounty.gov/assessor/cama/?parid=012-600-01&amp;CardNumber=1","012-600-01")</f>
        <v>012-600-01</v>
      </c>
      <c r="B1029" t="s">
        <v>4655</v>
      </c>
      <c r="C1029" t="s">
        <v>9703</v>
      </c>
      <c r="D1029" s="1">
        <v>40282</v>
      </c>
      <c r="E1029" s="2">
        <v>152000</v>
      </c>
      <c r="F1029" t="s">
        <v>4567</v>
      </c>
      <c r="G1029" s="17" t="str">
        <f>HYPERLINK("https://www.washoecounty.gov/assessor/cama/?command=sales&amp;parid=01260001","3870837")</f>
        <v>3870837</v>
      </c>
      <c r="H1029" t="s">
        <v>3131</v>
      </c>
      <c r="I1029">
        <v>2008</v>
      </c>
      <c r="J1029">
        <v>2008</v>
      </c>
      <c r="K1029" t="s">
        <v>4897</v>
      </c>
      <c r="L1029" t="s">
        <v>3974</v>
      </c>
      <c r="M1029" s="2">
        <v>1294</v>
      </c>
      <c r="N1029" t="s">
        <v>5280</v>
      </c>
      <c r="O1029">
        <v>2</v>
      </c>
      <c r="P1029">
        <v>2</v>
      </c>
      <c r="Q1029">
        <v>0</v>
      </c>
      <c r="R1029" t="s">
        <v>5281</v>
      </c>
      <c r="S1029" t="s">
        <v>4898</v>
      </c>
      <c r="T1029" t="s">
        <v>4559</v>
      </c>
      <c r="U1029" t="s">
        <v>5631</v>
      </c>
      <c r="V1029" s="2">
        <v>220</v>
      </c>
      <c r="W1029" t="s">
        <v>4655</v>
      </c>
      <c r="X1029" s="2">
        <v>0</v>
      </c>
      <c r="Y1029">
        <v>21</v>
      </c>
      <c r="Z1029" t="s">
        <v>3047</v>
      </c>
      <c r="AA1029" s="3">
        <v>2.7938475832343102E-2</v>
      </c>
      <c r="AB1029" t="s">
        <v>9704</v>
      </c>
      <c r="AC1029" t="s">
        <v>4562</v>
      </c>
      <c r="AD1029" t="s">
        <v>9703</v>
      </c>
      <c r="AE1029" t="s">
        <v>4655</v>
      </c>
      <c r="AF1029" t="s">
        <v>4563</v>
      </c>
      <c r="AG1029" t="s">
        <v>4564</v>
      </c>
      <c r="AH1029">
        <v>89502</v>
      </c>
      <c r="AI1029" t="s">
        <v>9705</v>
      </c>
      <c r="AJ1029" t="s">
        <v>3132</v>
      </c>
      <c r="AK1029" t="s">
        <v>9706</v>
      </c>
      <c r="AL1029" s="13" t="s">
        <v>3422</v>
      </c>
      <c r="AM1029" s="14">
        <v>1</v>
      </c>
      <c r="AN1029" s="15" t="s">
        <v>3133</v>
      </c>
    </row>
    <row r="1030" spans="1:40" x14ac:dyDescent="0.3">
      <c r="A1030" s="10" t="str">
        <f>HYPERLINK("http://www.washoecounty.gov/assessor/cama/?parid=012-600-02&amp;CardNumber=1","012-600-02")</f>
        <v>012-600-02</v>
      </c>
      <c r="B1030" t="s">
        <v>4655</v>
      </c>
      <c r="C1030" t="s">
        <v>9707</v>
      </c>
      <c r="D1030" s="1">
        <v>40249</v>
      </c>
      <c r="E1030" s="2">
        <v>161400</v>
      </c>
      <c r="F1030" t="s">
        <v>4567</v>
      </c>
      <c r="G1030" s="17" t="str">
        <f>HYPERLINK("https://www.washoecounty.gov/assessor/cama/?command=sales&amp;parid=01260002","3858897")</f>
        <v>3858897</v>
      </c>
      <c r="H1030" t="s">
        <v>3131</v>
      </c>
      <c r="I1030">
        <v>2008</v>
      </c>
      <c r="J1030">
        <v>2008</v>
      </c>
      <c r="K1030" t="s">
        <v>3144</v>
      </c>
      <c r="L1030" t="s">
        <v>3974</v>
      </c>
      <c r="M1030" s="2">
        <v>1330</v>
      </c>
      <c r="N1030" t="s">
        <v>5280</v>
      </c>
      <c r="O1030">
        <v>2</v>
      </c>
      <c r="P1030">
        <v>2</v>
      </c>
      <c r="Q1030">
        <v>0</v>
      </c>
      <c r="R1030" t="s">
        <v>5281</v>
      </c>
      <c r="S1030" t="s">
        <v>4898</v>
      </c>
      <c r="T1030" t="s">
        <v>4559</v>
      </c>
      <c r="U1030" t="s">
        <v>5631</v>
      </c>
      <c r="V1030" s="2">
        <v>220</v>
      </c>
      <c r="W1030" t="s">
        <v>4655</v>
      </c>
      <c r="X1030" s="2">
        <v>0</v>
      </c>
      <c r="Y1030">
        <v>21</v>
      </c>
      <c r="Z1030" t="s">
        <v>3047</v>
      </c>
      <c r="AA1030" s="3">
        <v>2.7800735086202601E-2</v>
      </c>
      <c r="AB1030" t="s">
        <v>9708</v>
      </c>
      <c r="AC1030" t="s">
        <v>4562</v>
      </c>
      <c r="AD1030" t="s">
        <v>9707</v>
      </c>
      <c r="AE1030" t="s">
        <v>4655</v>
      </c>
      <c r="AF1030" t="s">
        <v>4563</v>
      </c>
      <c r="AG1030" t="s">
        <v>4564</v>
      </c>
      <c r="AH1030" t="s">
        <v>1783</v>
      </c>
      <c r="AI1030" t="s">
        <v>9705</v>
      </c>
      <c r="AJ1030" t="s">
        <v>3132</v>
      </c>
      <c r="AK1030" t="s">
        <v>9709</v>
      </c>
      <c r="AL1030" s="13" t="s">
        <v>3422</v>
      </c>
      <c r="AM1030">
        <v>1</v>
      </c>
      <c r="AN1030" s="15" t="s">
        <v>3133</v>
      </c>
    </row>
    <row r="1031" spans="1:40" x14ac:dyDescent="0.3">
      <c r="A1031" s="10" t="str">
        <f>HYPERLINK("http://www.washoecounty.gov/assessor/cama/?parid=012-600-03&amp;CardNumber=1","012-600-03")</f>
        <v>012-600-03</v>
      </c>
      <c r="B1031" t="s">
        <v>4655</v>
      </c>
      <c r="C1031" t="s">
        <v>9710</v>
      </c>
      <c r="D1031" s="1">
        <v>40255</v>
      </c>
      <c r="E1031" s="2">
        <v>159900</v>
      </c>
      <c r="F1031" t="s">
        <v>4567</v>
      </c>
      <c r="G1031" s="17" t="str">
        <f>HYPERLINK("https://www.washoecounty.gov/assessor/cama/?command=sales&amp;parid=01260003","3861374")</f>
        <v>3861374</v>
      </c>
      <c r="H1031" t="s">
        <v>3131</v>
      </c>
      <c r="I1031">
        <v>2008</v>
      </c>
      <c r="J1031">
        <v>2008</v>
      </c>
      <c r="K1031" t="s">
        <v>3144</v>
      </c>
      <c r="L1031" t="s">
        <v>3974</v>
      </c>
      <c r="M1031" s="2">
        <v>1330</v>
      </c>
      <c r="N1031" t="s">
        <v>5280</v>
      </c>
      <c r="O1031">
        <v>2</v>
      </c>
      <c r="P1031">
        <v>2</v>
      </c>
      <c r="Q1031">
        <v>0</v>
      </c>
      <c r="R1031" t="s">
        <v>5281</v>
      </c>
      <c r="S1031" t="s">
        <v>4898</v>
      </c>
      <c r="T1031" t="s">
        <v>4559</v>
      </c>
      <c r="U1031" t="s">
        <v>5631</v>
      </c>
      <c r="V1031" s="2">
        <v>220</v>
      </c>
      <c r="W1031" t="s">
        <v>4655</v>
      </c>
      <c r="X1031" s="2">
        <v>0</v>
      </c>
      <c r="Y1031">
        <v>21</v>
      </c>
      <c r="Z1031" t="s">
        <v>3047</v>
      </c>
      <c r="AA1031" s="3">
        <v>2.7800735086202601E-2</v>
      </c>
      <c r="AB1031" t="s">
        <v>9711</v>
      </c>
      <c r="AC1031" t="s">
        <v>4562</v>
      </c>
      <c r="AD1031" t="s">
        <v>9710</v>
      </c>
      <c r="AE1031" t="s">
        <v>4655</v>
      </c>
      <c r="AF1031" t="s">
        <v>4563</v>
      </c>
      <c r="AG1031" t="s">
        <v>4564</v>
      </c>
      <c r="AH1031" t="s">
        <v>1783</v>
      </c>
      <c r="AI1031" t="s">
        <v>9705</v>
      </c>
      <c r="AJ1031" t="s">
        <v>3132</v>
      </c>
      <c r="AK1031" t="s">
        <v>9712</v>
      </c>
      <c r="AL1031" s="13" t="s">
        <v>3422</v>
      </c>
      <c r="AM1031" s="14">
        <v>1</v>
      </c>
      <c r="AN1031" s="15" t="s">
        <v>3133</v>
      </c>
    </row>
    <row r="1032" spans="1:40" x14ac:dyDescent="0.3">
      <c r="A1032" s="10" t="str">
        <f>HYPERLINK("http://www.washoecounty.gov/assessor/cama/?parid=012-600-04&amp;CardNumber=1","012-600-04")</f>
        <v>012-600-04</v>
      </c>
      <c r="B1032" t="s">
        <v>4655</v>
      </c>
      <c r="C1032" t="s">
        <v>4408</v>
      </c>
      <c r="D1032" s="1">
        <v>40267</v>
      </c>
      <c r="E1032" s="2">
        <v>159900</v>
      </c>
      <c r="F1032" t="s">
        <v>4567</v>
      </c>
      <c r="G1032" s="17" t="str">
        <f>HYPERLINK("https://www.washoecounty.gov/assessor/cama/?command=sales&amp;parid=01260004","3865561")</f>
        <v>3865561</v>
      </c>
      <c r="H1032" t="s">
        <v>3131</v>
      </c>
      <c r="I1032">
        <v>2008</v>
      </c>
      <c r="J1032">
        <v>2008</v>
      </c>
      <c r="K1032" t="s">
        <v>3144</v>
      </c>
      <c r="L1032" t="s">
        <v>3974</v>
      </c>
      <c r="M1032" s="2">
        <v>1330</v>
      </c>
      <c r="N1032" t="s">
        <v>5280</v>
      </c>
      <c r="O1032">
        <v>2</v>
      </c>
      <c r="P1032">
        <v>2</v>
      </c>
      <c r="Q1032">
        <v>0</v>
      </c>
      <c r="R1032" t="s">
        <v>5281</v>
      </c>
      <c r="S1032" t="s">
        <v>4898</v>
      </c>
      <c r="T1032" t="s">
        <v>4559</v>
      </c>
      <c r="U1032" t="s">
        <v>5631</v>
      </c>
      <c r="V1032" s="2">
        <v>220</v>
      </c>
      <c r="W1032" t="s">
        <v>4655</v>
      </c>
      <c r="X1032" s="2">
        <v>0</v>
      </c>
      <c r="Y1032">
        <v>21</v>
      </c>
      <c r="Z1032" t="s">
        <v>3047</v>
      </c>
      <c r="AA1032" s="3">
        <v>2.7800735086202601E-2</v>
      </c>
      <c r="AB1032" t="s">
        <v>4409</v>
      </c>
      <c r="AC1032" t="s">
        <v>4562</v>
      </c>
      <c r="AD1032" t="s">
        <v>4408</v>
      </c>
      <c r="AE1032" t="s">
        <v>4655</v>
      </c>
      <c r="AF1032" t="s">
        <v>4563</v>
      </c>
      <c r="AG1032" t="s">
        <v>4564</v>
      </c>
      <c r="AH1032" t="s">
        <v>1783</v>
      </c>
      <c r="AI1032" t="s">
        <v>9705</v>
      </c>
      <c r="AJ1032" t="s">
        <v>3132</v>
      </c>
      <c r="AK1032" t="s">
        <v>9713</v>
      </c>
      <c r="AL1032" s="13" t="s">
        <v>3422</v>
      </c>
      <c r="AM1032" s="14">
        <v>1</v>
      </c>
      <c r="AN1032" s="15" t="s">
        <v>3133</v>
      </c>
    </row>
    <row r="1033" spans="1:40" x14ac:dyDescent="0.3">
      <c r="A1033" s="10" t="str">
        <f>HYPERLINK("http://www.washoecounty.gov/assessor/cama/?parid=012-600-05&amp;CardNumber=1","012-600-05")</f>
        <v>012-600-05</v>
      </c>
      <c r="B1033" t="s">
        <v>4655</v>
      </c>
      <c r="C1033" t="s">
        <v>9714</v>
      </c>
      <c r="D1033" s="1">
        <v>40296</v>
      </c>
      <c r="E1033" s="2">
        <v>159900</v>
      </c>
      <c r="F1033" t="s">
        <v>4567</v>
      </c>
      <c r="G1033" s="17" t="str">
        <f>HYPERLINK("https://www.washoecounty.gov/assessor/cama/?command=sales&amp;parid=01260005","3875600")</f>
        <v>3875600</v>
      </c>
      <c r="H1033" t="s">
        <v>3131</v>
      </c>
      <c r="I1033">
        <v>2008</v>
      </c>
      <c r="J1033">
        <v>2008</v>
      </c>
      <c r="K1033" t="s">
        <v>3144</v>
      </c>
      <c r="L1033" t="s">
        <v>3974</v>
      </c>
      <c r="M1033" s="2">
        <v>1330</v>
      </c>
      <c r="N1033" t="s">
        <v>5280</v>
      </c>
      <c r="O1033">
        <v>2</v>
      </c>
      <c r="P1033">
        <v>2</v>
      </c>
      <c r="Q1033">
        <v>0</v>
      </c>
      <c r="R1033" t="s">
        <v>5281</v>
      </c>
      <c r="S1033" t="s">
        <v>4898</v>
      </c>
      <c r="T1033" t="s">
        <v>4559</v>
      </c>
      <c r="U1033" t="s">
        <v>5631</v>
      </c>
      <c r="V1033" s="2">
        <v>220</v>
      </c>
      <c r="W1033" t="s">
        <v>4655</v>
      </c>
      <c r="X1033" s="2">
        <v>0</v>
      </c>
      <c r="Y1033">
        <v>21</v>
      </c>
      <c r="Z1033" t="s">
        <v>3047</v>
      </c>
      <c r="AA1033" s="3">
        <v>2.7800735086202601E-2</v>
      </c>
      <c r="AB1033" t="s">
        <v>9715</v>
      </c>
      <c r="AC1033" t="s">
        <v>4562</v>
      </c>
      <c r="AD1033" t="s">
        <v>9716</v>
      </c>
      <c r="AE1033" t="s">
        <v>4655</v>
      </c>
      <c r="AF1033" t="s">
        <v>4563</v>
      </c>
      <c r="AG1033" t="s">
        <v>4564</v>
      </c>
      <c r="AH1033">
        <v>89502</v>
      </c>
      <c r="AI1033" t="s">
        <v>9705</v>
      </c>
      <c r="AJ1033" t="s">
        <v>3132</v>
      </c>
      <c r="AK1033" t="s">
        <v>9717</v>
      </c>
      <c r="AL1033" s="13" t="s">
        <v>3422</v>
      </c>
      <c r="AM1033">
        <v>1</v>
      </c>
      <c r="AN1033" s="15" t="s">
        <v>3133</v>
      </c>
    </row>
    <row r="1034" spans="1:40" x14ac:dyDescent="0.3">
      <c r="A1034" s="10" t="str">
        <f>HYPERLINK("http://www.washoecounty.gov/assessor/cama/?parid=012-600-06&amp;CardNumber=1","012-600-06")</f>
        <v>012-600-06</v>
      </c>
      <c r="B1034" t="s">
        <v>4655</v>
      </c>
      <c r="C1034" t="s">
        <v>9718</v>
      </c>
      <c r="D1034" s="1">
        <v>40283</v>
      </c>
      <c r="E1034" s="2">
        <v>159900</v>
      </c>
      <c r="F1034" t="s">
        <v>4567</v>
      </c>
      <c r="G1034" s="17" t="str">
        <f>HYPERLINK("https://www.washoecounty.gov/assessor/cama/?command=sales&amp;parid=01260006","3871372")</f>
        <v>3871372</v>
      </c>
      <c r="H1034" t="s">
        <v>3131</v>
      </c>
      <c r="I1034">
        <v>2008</v>
      </c>
      <c r="J1034">
        <v>2008</v>
      </c>
      <c r="K1034" t="s">
        <v>3144</v>
      </c>
      <c r="L1034" t="s">
        <v>3974</v>
      </c>
      <c r="M1034" s="2">
        <v>1330</v>
      </c>
      <c r="N1034" t="s">
        <v>5280</v>
      </c>
      <c r="O1034">
        <v>2</v>
      </c>
      <c r="P1034">
        <v>2</v>
      </c>
      <c r="Q1034">
        <v>0</v>
      </c>
      <c r="R1034" t="s">
        <v>5281</v>
      </c>
      <c r="S1034" t="s">
        <v>4898</v>
      </c>
      <c r="T1034" t="s">
        <v>4559</v>
      </c>
      <c r="U1034" t="s">
        <v>5631</v>
      </c>
      <c r="V1034" s="2">
        <v>220</v>
      </c>
      <c r="W1034" t="s">
        <v>4655</v>
      </c>
      <c r="X1034" s="2">
        <v>0</v>
      </c>
      <c r="Y1034">
        <v>21</v>
      </c>
      <c r="Z1034" t="s">
        <v>3047</v>
      </c>
      <c r="AA1034" s="3">
        <v>2.7800735086202601E-2</v>
      </c>
      <c r="AB1034" t="s">
        <v>9719</v>
      </c>
      <c r="AC1034" t="s">
        <v>4562</v>
      </c>
      <c r="AD1034" t="s">
        <v>9720</v>
      </c>
      <c r="AE1034" t="s">
        <v>4655</v>
      </c>
      <c r="AF1034" t="s">
        <v>4563</v>
      </c>
      <c r="AG1034" t="s">
        <v>4564</v>
      </c>
      <c r="AH1034">
        <v>89501</v>
      </c>
      <c r="AI1034" t="s">
        <v>4655</v>
      </c>
      <c r="AJ1034" t="s">
        <v>3132</v>
      </c>
      <c r="AK1034" t="s">
        <v>9721</v>
      </c>
      <c r="AL1034" s="13" t="s">
        <v>3422</v>
      </c>
      <c r="AM1034">
        <v>1</v>
      </c>
      <c r="AN1034" s="15" t="s">
        <v>3133</v>
      </c>
    </row>
    <row r="1035" spans="1:40" x14ac:dyDescent="0.3">
      <c r="A1035" s="10" t="str">
        <f>HYPERLINK("http://www.washoecounty.gov/assessor/cama/?parid=012-600-07&amp;CardNumber=1","012-600-07")</f>
        <v>012-600-07</v>
      </c>
      <c r="B1035" t="s">
        <v>4655</v>
      </c>
      <c r="C1035" t="s">
        <v>9722</v>
      </c>
      <c r="D1035" s="1">
        <v>40252</v>
      </c>
      <c r="E1035" s="2">
        <v>159900</v>
      </c>
      <c r="F1035" t="s">
        <v>4567</v>
      </c>
      <c r="G1035" s="17" t="str">
        <f>HYPERLINK("https://www.washoecounty.gov/assessor/cama/?command=sales&amp;parid=01260007","3859824")</f>
        <v>3859824</v>
      </c>
      <c r="H1035" t="s">
        <v>3131</v>
      </c>
      <c r="I1035">
        <v>2008</v>
      </c>
      <c r="J1035">
        <v>2008</v>
      </c>
      <c r="K1035" t="s">
        <v>3144</v>
      </c>
      <c r="L1035" t="s">
        <v>3974</v>
      </c>
      <c r="M1035" s="2">
        <v>1330</v>
      </c>
      <c r="N1035" t="s">
        <v>5280</v>
      </c>
      <c r="O1035">
        <v>2</v>
      </c>
      <c r="P1035">
        <v>2</v>
      </c>
      <c r="Q1035">
        <v>0</v>
      </c>
      <c r="R1035" t="s">
        <v>5281</v>
      </c>
      <c r="S1035" t="s">
        <v>4898</v>
      </c>
      <c r="T1035" t="s">
        <v>4559</v>
      </c>
      <c r="U1035" t="s">
        <v>5631</v>
      </c>
      <c r="V1035" s="2">
        <v>220</v>
      </c>
      <c r="W1035" t="s">
        <v>4655</v>
      </c>
      <c r="X1035" s="2">
        <v>0</v>
      </c>
      <c r="Y1035">
        <v>21</v>
      </c>
      <c r="Z1035" t="s">
        <v>3047</v>
      </c>
      <c r="AA1035" s="3">
        <v>2.7800735086202601E-2</v>
      </c>
      <c r="AB1035" t="s">
        <v>9723</v>
      </c>
      <c r="AC1035" t="s">
        <v>4562</v>
      </c>
      <c r="AD1035" t="s">
        <v>9722</v>
      </c>
      <c r="AE1035" t="s">
        <v>4655</v>
      </c>
      <c r="AF1035" t="s">
        <v>4563</v>
      </c>
      <c r="AG1035" t="s">
        <v>4564</v>
      </c>
      <c r="AH1035" t="s">
        <v>1783</v>
      </c>
      <c r="AI1035" t="s">
        <v>9705</v>
      </c>
      <c r="AJ1035" t="s">
        <v>3132</v>
      </c>
      <c r="AK1035" t="s">
        <v>9724</v>
      </c>
      <c r="AL1035" s="13" t="s">
        <v>3422</v>
      </c>
      <c r="AM1035" s="14">
        <v>1</v>
      </c>
      <c r="AN1035" s="15" t="s">
        <v>3133</v>
      </c>
    </row>
    <row r="1036" spans="1:40" x14ac:dyDescent="0.3">
      <c r="A1036" s="10" t="str">
        <f>HYPERLINK("http://www.washoecounty.gov/assessor/cama/?parid=012-600-08&amp;CardNumber=1","012-600-08")</f>
        <v>012-600-08</v>
      </c>
      <c r="B1036" t="s">
        <v>4655</v>
      </c>
      <c r="C1036" t="s">
        <v>9725</v>
      </c>
      <c r="D1036" s="1">
        <v>40252</v>
      </c>
      <c r="E1036" s="2">
        <v>162400</v>
      </c>
      <c r="F1036" t="s">
        <v>4567</v>
      </c>
      <c r="G1036" s="17" t="str">
        <f>HYPERLINK("https://www.washoecounty.gov/assessor/cama/?command=sales&amp;parid=01260008","3859901")</f>
        <v>3859901</v>
      </c>
      <c r="H1036" t="s">
        <v>3131</v>
      </c>
      <c r="I1036">
        <v>2008</v>
      </c>
      <c r="J1036">
        <v>2008</v>
      </c>
      <c r="K1036" t="s">
        <v>3144</v>
      </c>
      <c r="L1036" t="s">
        <v>3974</v>
      </c>
      <c r="M1036" s="2">
        <v>1330</v>
      </c>
      <c r="N1036" t="s">
        <v>5280</v>
      </c>
      <c r="O1036">
        <v>2</v>
      </c>
      <c r="P1036">
        <v>2</v>
      </c>
      <c r="Q1036">
        <v>0</v>
      </c>
      <c r="R1036" t="s">
        <v>5281</v>
      </c>
      <c r="S1036" t="s">
        <v>4898</v>
      </c>
      <c r="T1036" t="s">
        <v>4559</v>
      </c>
      <c r="U1036" t="s">
        <v>5631</v>
      </c>
      <c r="V1036" s="2">
        <v>220</v>
      </c>
      <c r="W1036" t="s">
        <v>4655</v>
      </c>
      <c r="X1036" s="2">
        <v>0</v>
      </c>
      <c r="Y1036">
        <v>21</v>
      </c>
      <c r="Z1036" t="s">
        <v>3047</v>
      </c>
      <c r="AA1036" s="3">
        <v>2.7800735086202601E-2</v>
      </c>
      <c r="AB1036" t="s">
        <v>9726</v>
      </c>
      <c r="AC1036" t="s">
        <v>4562</v>
      </c>
      <c r="AD1036" t="s">
        <v>9725</v>
      </c>
      <c r="AE1036" t="s">
        <v>4655</v>
      </c>
      <c r="AF1036" t="s">
        <v>4563</v>
      </c>
      <c r="AG1036" t="s">
        <v>4564</v>
      </c>
      <c r="AH1036" t="s">
        <v>1783</v>
      </c>
      <c r="AI1036" t="s">
        <v>4655</v>
      </c>
      <c r="AJ1036" t="s">
        <v>3132</v>
      </c>
      <c r="AK1036" t="s">
        <v>9727</v>
      </c>
      <c r="AL1036" s="13" t="s">
        <v>3422</v>
      </c>
      <c r="AM1036">
        <v>1</v>
      </c>
      <c r="AN1036" s="15" t="s">
        <v>3133</v>
      </c>
    </row>
    <row r="1037" spans="1:40" x14ac:dyDescent="0.3">
      <c r="A1037" s="10" t="str">
        <f>HYPERLINK("http://www.washoecounty.gov/assessor/cama/?parid=012-600-09&amp;CardNumber=1","012-600-09")</f>
        <v>012-600-09</v>
      </c>
      <c r="B1037" t="s">
        <v>4655</v>
      </c>
      <c r="C1037" t="s">
        <v>9728</v>
      </c>
      <c r="D1037" s="1">
        <v>40284</v>
      </c>
      <c r="E1037" s="2">
        <v>162400</v>
      </c>
      <c r="F1037" t="s">
        <v>4567</v>
      </c>
      <c r="G1037" s="17" t="str">
        <f>HYPERLINK("https://www.washoecounty.gov/assessor/cama/?command=sales&amp;parid=01260009","3872016")</f>
        <v>3872016</v>
      </c>
      <c r="H1037" t="s">
        <v>3131</v>
      </c>
      <c r="I1037">
        <v>2008</v>
      </c>
      <c r="J1037">
        <v>2008</v>
      </c>
      <c r="K1037" t="s">
        <v>3144</v>
      </c>
      <c r="L1037" t="s">
        <v>3974</v>
      </c>
      <c r="M1037" s="2">
        <v>1330</v>
      </c>
      <c r="N1037" t="s">
        <v>5280</v>
      </c>
      <c r="O1037">
        <v>2</v>
      </c>
      <c r="P1037">
        <v>2</v>
      </c>
      <c r="Q1037">
        <v>0</v>
      </c>
      <c r="R1037" t="s">
        <v>5281</v>
      </c>
      <c r="S1037" t="s">
        <v>4898</v>
      </c>
      <c r="T1037" t="s">
        <v>4559</v>
      </c>
      <c r="U1037" t="s">
        <v>5631</v>
      </c>
      <c r="V1037" s="2">
        <v>220</v>
      </c>
      <c r="W1037" t="s">
        <v>4655</v>
      </c>
      <c r="X1037" s="2">
        <v>0</v>
      </c>
      <c r="Y1037">
        <v>21</v>
      </c>
      <c r="Z1037" t="s">
        <v>3047</v>
      </c>
      <c r="AA1037" s="3">
        <v>2.7800735086202601E-2</v>
      </c>
      <c r="AB1037" t="s">
        <v>9729</v>
      </c>
      <c r="AC1037" t="s">
        <v>4575</v>
      </c>
      <c r="AD1037" t="s">
        <v>9730</v>
      </c>
      <c r="AE1037" t="s">
        <v>4655</v>
      </c>
      <c r="AF1037" t="s">
        <v>5206</v>
      </c>
      <c r="AG1037" t="s">
        <v>4564</v>
      </c>
      <c r="AH1037" t="s">
        <v>5275</v>
      </c>
      <c r="AI1037" t="s">
        <v>9705</v>
      </c>
      <c r="AJ1037" t="s">
        <v>3132</v>
      </c>
      <c r="AK1037" t="s">
        <v>9731</v>
      </c>
      <c r="AL1037" s="13" t="s">
        <v>3422</v>
      </c>
      <c r="AM1037">
        <v>1</v>
      </c>
      <c r="AN1037" s="15" t="s">
        <v>3133</v>
      </c>
    </row>
    <row r="1038" spans="1:40" x14ac:dyDescent="0.3">
      <c r="A1038" s="10" t="str">
        <f>HYPERLINK("http://www.washoecounty.gov/assessor/cama/?parid=012-600-10&amp;CardNumber=1","012-600-10")</f>
        <v>012-600-10</v>
      </c>
      <c r="B1038" t="s">
        <v>4655</v>
      </c>
      <c r="C1038" t="s">
        <v>9732</v>
      </c>
      <c r="D1038" s="1">
        <v>40253</v>
      </c>
      <c r="E1038" s="2">
        <v>162100</v>
      </c>
      <c r="F1038" t="s">
        <v>4567</v>
      </c>
      <c r="G1038" s="17" t="str">
        <f>HYPERLINK("https://www.washoecounty.gov/assessor/cama/?command=sales&amp;parid=01260010","3860447")</f>
        <v>3860447</v>
      </c>
      <c r="H1038" t="s">
        <v>3131</v>
      </c>
      <c r="I1038">
        <v>2008</v>
      </c>
      <c r="J1038">
        <v>2008</v>
      </c>
      <c r="K1038" t="s">
        <v>3144</v>
      </c>
      <c r="L1038" t="s">
        <v>3974</v>
      </c>
      <c r="M1038" s="2">
        <v>1330</v>
      </c>
      <c r="N1038" t="s">
        <v>5280</v>
      </c>
      <c r="O1038">
        <v>2</v>
      </c>
      <c r="P1038">
        <v>2</v>
      </c>
      <c r="Q1038">
        <v>0</v>
      </c>
      <c r="R1038" t="s">
        <v>5281</v>
      </c>
      <c r="S1038" t="s">
        <v>4898</v>
      </c>
      <c r="T1038" t="s">
        <v>4559</v>
      </c>
      <c r="U1038" t="s">
        <v>5631</v>
      </c>
      <c r="V1038" s="2">
        <v>220</v>
      </c>
      <c r="W1038" t="s">
        <v>4655</v>
      </c>
      <c r="X1038" s="2">
        <v>0</v>
      </c>
      <c r="Y1038">
        <v>21</v>
      </c>
      <c r="Z1038" t="s">
        <v>3047</v>
      </c>
      <c r="AA1038" s="3">
        <v>2.7800735086202601E-2</v>
      </c>
      <c r="AB1038" t="s">
        <v>9733</v>
      </c>
      <c r="AC1038" t="s">
        <v>4562</v>
      </c>
      <c r="AD1038" t="s">
        <v>9732</v>
      </c>
      <c r="AE1038" t="s">
        <v>4655</v>
      </c>
      <c r="AF1038" t="s">
        <v>4563</v>
      </c>
      <c r="AG1038" t="s">
        <v>4564</v>
      </c>
      <c r="AH1038" t="s">
        <v>1783</v>
      </c>
      <c r="AI1038" t="s">
        <v>9705</v>
      </c>
      <c r="AJ1038" t="s">
        <v>3132</v>
      </c>
      <c r="AK1038" t="s">
        <v>9734</v>
      </c>
      <c r="AL1038" s="13" t="s">
        <v>3422</v>
      </c>
      <c r="AM1038">
        <v>1</v>
      </c>
      <c r="AN1038" s="15" t="s">
        <v>3133</v>
      </c>
    </row>
    <row r="1039" spans="1:40" x14ac:dyDescent="0.3">
      <c r="A1039" s="10" t="str">
        <f>HYPERLINK("http://www.washoecounty.gov/assessor/cama/?parid=012-600-11&amp;CardNumber=1","012-600-11")</f>
        <v>012-600-11</v>
      </c>
      <c r="B1039" t="s">
        <v>4655</v>
      </c>
      <c r="C1039" t="s">
        <v>9735</v>
      </c>
      <c r="D1039" s="1">
        <v>40290</v>
      </c>
      <c r="E1039" s="2">
        <v>161400</v>
      </c>
      <c r="F1039" t="s">
        <v>4567</v>
      </c>
      <c r="G1039" s="17" t="str">
        <f>HYPERLINK("https://www.washoecounty.gov/assessor/cama/?command=sales&amp;parid=01260011","3873623")</f>
        <v>3873623</v>
      </c>
      <c r="H1039" t="s">
        <v>3131</v>
      </c>
      <c r="I1039">
        <v>2008</v>
      </c>
      <c r="J1039">
        <v>2008</v>
      </c>
      <c r="K1039" t="s">
        <v>3144</v>
      </c>
      <c r="L1039" t="s">
        <v>3974</v>
      </c>
      <c r="M1039" s="2">
        <v>1330</v>
      </c>
      <c r="N1039" t="s">
        <v>5280</v>
      </c>
      <c r="O1039">
        <v>2</v>
      </c>
      <c r="P1039">
        <v>2</v>
      </c>
      <c r="Q1039">
        <v>0</v>
      </c>
      <c r="R1039" t="s">
        <v>5281</v>
      </c>
      <c r="S1039" t="s">
        <v>4898</v>
      </c>
      <c r="T1039" t="s">
        <v>4559</v>
      </c>
      <c r="U1039" t="s">
        <v>5631</v>
      </c>
      <c r="V1039" s="2">
        <v>220</v>
      </c>
      <c r="W1039" t="s">
        <v>4655</v>
      </c>
      <c r="X1039" s="2">
        <v>0</v>
      </c>
      <c r="Y1039">
        <v>21</v>
      </c>
      <c r="Z1039" t="s">
        <v>3047</v>
      </c>
      <c r="AA1039" s="3">
        <v>2.7800735086202601E-2</v>
      </c>
      <c r="AB1039" t="s">
        <v>9736</v>
      </c>
      <c r="AC1039" t="s">
        <v>4562</v>
      </c>
      <c r="AD1039" t="s">
        <v>9735</v>
      </c>
      <c r="AE1039" t="s">
        <v>4655</v>
      </c>
      <c r="AF1039" t="s">
        <v>4563</v>
      </c>
      <c r="AG1039" t="s">
        <v>4564</v>
      </c>
      <c r="AH1039">
        <v>89502</v>
      </c>
      <c r="AI1039" t="s">
        <v>9705</v>
      </c>
      <c r="AJ1039" t="s">
        <v>3132</v>
      </c>
      <c r="AK1039" t="s">
        <v>9737</v>
      </c>
      <c r="AL1039" s="13" t="s">
        <v>3422</v>
      </c>
      <c r="AM1039" s="14">
        <v>1</v>
      </c>
      <c r="AN1039" s="15" t="s">
        <v>3133</v>
      </c>
    </row>
    <row r="1040" spans="1:40" x14ac:dyDescent="0.3">
      <c r="A1040" s="10" t="str">
        <f>HYPERLINK("http://www.washoecounty.gov/assessor/cama/?parid=012-600-12&amp;CardNumber=1","012-600-12")</f>
        <v>012-600-12</v>
      </c>
      <c r="B1040" t="s">
        <v>4655</v>
      </c>
      <c r="C1040" t="s">
        <v>9738</v>
      </c>
      <c r="D1040" s="1">
        <v>40294</v>
      </c>
      <c r="E1040" s="2">
        <v>162400</v>
      </c>
      <c r="F1040" t="s">
        <v>4567</v>
      </c>
      <c r="G1040" s="17" t="str">
        <f>HYPERLINK("https://www.washoecounty.gov/assessor/cama/?command=sales&amp;parid=01260012","3874471")</f>
        <v>3874471</v>
      </c>
      <c r="H1040" t="s">
        <v>3131</v>
      </c>
      <c r="I1040">
        <v>2008</v>
      </c>
      <c r="J1040">
        <v>2008</v>
      </c>
      <c r="K1040" t="s">
        <v>4897</v>
      </c>
      <c r="L1040" t="s">
        <v>3974</v>
      </c>
      <c r="M1040" s="2">
        <v>1294</v>
      </c>
      <c r="N1040" t="s">
        <v>5280</v>
      </c>
      <c r="O1040">
        <v>2</v>
      </c>
      <c r="P1040">
        <v>2</v>
      </c>
      <c r="Q1040">
        <v>0</v>
      </c>
      <c r="R1040" t="s">
        <v>5281</v>
      </c>
      <c r="S1040" t="s">
        <v>4898</v>
      </c>
      <c r="T1040" t="s">
        <v>4559</v>
      </c>
      <c r="U1040" t="s">
        <v>5631</v>
      </c>
      <c r="V1040" s="2">
        <v>220</v>
      </c>
      <c r="W1040" t="s">
        <v>4655</v>
      </c>
      <c r="X1040" s="2">
        <v>0</v>
      </c>
      <c r="Y1040">
        <v>21</v>
      </c>
      <c r="Z1040" t="s">
        <v>3047</v>
      </c>
      <c r="AA1040" s="3">
        <v>2.82139573246241E-2</v>
      </c>
      <c r="AB1040" t="s">
        <v>9739</v>
      </c>
      <c r="AC1040" t="s">
        <v>4562</v>
      </c>
      <c r="AD1040" t="s">
        <v>9738</v>
      </c>
      <c r="AE1040" t="s">
        <v>4655</v>
      </c>
      <c r="AF1040" t="s">
        <v>4563</v>
      </c>
      <c r="AG1040" t="s">
        <v>4564</v>
      </c>
      <c r="AH1040">
        <v>89501</v>
      </c>
      <c r="AI1040" t="s">
        <v>9705</v>
      </c>
      <c r="AJ1040" t="s">
        <v>3132</v>
      </c>
      <c r="AK1040" t="s">
        <v>9740</v>
      </c>
      <c r="AL1040" s="13" t="s">
        <v>3422</v>
      </c>
      <c r="AM1040" s="14">
        <v>1</v>
      </c>
      <c r="AN1040" s="15" t="s">
        <v>3133</v>
      </c>
    </row>
    <row r="1041" spans="1:40" x14ac:dyDescent="0.3">
      <c r="A1041" s="10" t="str">
        <f>HYPERLINK("http://www.washoecounty.gov/assessor/cama/?parid=012-600-13&amp;CardNumber=1","012-600-13")</f>
        <v>012-600-13</v>
      </c>
      <c r="B1041" t="s">
        <v>4655</v>
      </c>
      <c r="C1041" t="s">
        <v>9741</v>
      </c>
      <c r="D1041" s="1">
        <v>40221</v>
      </c>
      <c r="E1041" s="2">
        <v>162400</v>
      </c>
      <c r="F1041" t="s">
        <v>4567</v>
      </c>
      <c r="G1041" s="17" t="str">
        <f>HYPERLINK("https://www.washoecounty.gov/assessor/cama/?command=sales&amp;parid=01260013","3848997")</f>
        <v>3848997</v>
      </c>
      <c r="H1041" t="s">
        <v>3131</v>
      </c>
      <c r="I1041">
        <v>2008</v>
      </c>
      <c r="J1041">
        <v>2008</v>
      </c>
      <c r="K1041" t="s">
        <v>3144</v>
      </c>
      <c r="L1041" t="s">
        <v>3974</v>
      </c>
      <c r="M1041" s="2">
        <v>1330</v>
      </c>
      <c r="N1041" t="s">
        <v>5280</v>
      </c>
      <c r="O1041">
        <v>2</v>
      </c>
      <c r="P1041">
        <v>2</v>
      </c>
      <c r="Q1041">
        <v>0</v>
      </c>
      <c r="R1041" t="s">
        <v>5281</v>
      </c>
      <c r="S1041" t="s">
        <v>4898</v>
      </c>
      <c r="T1041" t="s">
        <v>4559</v>
      </c>
      <c r="U1041" t="s">
        <v>5631</v>
      </c>
      <c r="V1041" s="2">
        <v>220</v>
      </c>
      <c r="W1041" t="s">
        <v>4655</v>
      </c>
      <c r="X1041" s="2">
        <v>0</v>
      </c>
      <c r="Y1041">
        <v>21</v>
      </c>
      <c r="Z1041" t="s">
        <v>3047</v>
      </c>
      <c r="AA1041" s="3">
        <v>2.9614325612783401E-2</v>
      </c>
      <c r="AB1041" t="s">
        <v>9742</v>
      </c>
      <c r="AC1041" t="s">
        <v>4575</v>
      </c>
      <c r="AD1041" t="s">
        <v>9743</v>
      </c>
      <c r="AE1041" t="s">
        <v>4655</v>
      </c>
      <c r="AF1041" t="s">
        <v>4563</v>
      </c>
      <c r="AG1041" t="s">
        <v>4564</v>
      </c>
      <c r="AH1041" t="s">
        <v>5197</v>
      </c>
      <c r="AI1041" t="s">
        <v>4655</v>
      </c>
      <c r="AJ1041" t="s">
        <v>3132</v>
      </c>
      <c r="AK1041" t="s">
        <v>9744</v>
      </c>
      <c r="AL1041" s="13" t="s">
        <v>3422</v>
      </c>
      <c r="AM1041" s="14">
        <v>1</v>
      </c>
      <c r="AN1041" s="15" t="s">
        <v>3133</v>
      </c>
    </row>
    <row r="1042" spans="1:40" x14ac:dyDescent="0.3">
      <c r="A1042" s="10" t="str">
        <f>HYPERLINK("http://www.washoecounty.gov/assessor/cama/?parid=012-600-14&amp;CardNumber=1","012-600-14")</f>
        <v>012-600-14</v>
      </c>
      <c r="B1042" t="s">
        <v>4655</v>
      </c>
      <c r="C1042" t="s">
        <v>9745</v>
      </c>
      <c r="D1042" s="1">
        <v>40283</v>
      </c>
      <c r="E1042" s="2">
        <v>153500</v>
      </c>
      <c r="F1042" t="s">
        <v>4567</v>
      </c>
      <c r="G1042" s="17" t="str">
        <f>HYPERLINK("https://www.washoecounty.gov/assessor/cama/?command=sales&amp;parid=01260014","3871334")</f>
        <v>3871334</v>
      </c>
      <c r="H1042" t="s">
        <v>3131</v>
      </c>
      <c r="I1042">
        <v>2008</v>
      </c>
      <c r="J1042">
        <v>2008</v>
      </c>
      <c r="K1042" t="s">
        <v>3144</v>
      </c>
      <c r="L1042" t="s">
        <v>3974</v>
      </c>
      <c r="M1042" s="2">
        <v>1330</v>
      </c>
      <c r="N1042" t="s">
        <v>5280</v>
      </c>
      <c r="O1042">
        <v>2</v>
      </c>
      <c r="P1042">
        <v>2</v>
      </c>
      <c r="Q1042">
        <v>0</v>
      </c>
      <c r="R1042" t="s">
        <v>5281</v>
      </c>
      <c r="S1042" t="s">
        <v>4898</v>
      </c>
      <c r="T1042" t="s">
        <v>4559</v>
      </c>
      <c r="U1042" t="s">
        <v>5631</v>
      </c>
      <c r="V1042" s="2">
        <v>220</v>
      </c>
      <c r="W1042" t="s">
        <v>4655</v>
      </c>
      <c r="X1042" s="2">
        <v>0</v>
      </c>
      <c r="Y1042">
        <v>21</v>
      </c>
      <c r="Z1042" t="s">
        <v>3047</v>
      </c>
      <c r="AA1042" s="3">
        <v>3.1336087733507198E-2</v>
      </c>
      <c r="AB1042" t="s">
        <v>9746</v>
      </c>
      <c r="AC1042" t="s">
        <v>4575</v>
      </c>
      <c r="AD1042" t="s">
        <v>9747</v>
      </c>
      <c r="AE1042" t="s">
        <v>4655</v>
      </c>
      <c r="AF1042" t="s">
        <v>4563</v>
      </c>
      <c r="AG1042" t="s">
        <v>4564</v>
      </c>
      <c r="AH1042">
        <v>89502</v>
      </c>
      <c r="AI1042" t="s">
        <v>9748</v>
      </c>
      <c r="AJ1042" t="s">
        <v>3132</v>
      </c>
      <c r="AK1042" t="s">
        <v>9749</v>
      </c>
      <c r="AL1042" s="13" t="s">
        <v>3422</v>
      </c>
      <c r="AM1042" s="14">
        <v>1</v>
      </c>
      <c r="AN1042" s="15" t="s">
        <v>3133</v>
      </c>
    </row>
    <row r="1043" spans="1:40" x14ac:dyDescent="0.3">
      <c r="A1043" s="10" t="str">
        <f>HYPERLINK("http://www.washoecounty.gov/assessor/cama/?parid=012-600-15&amp;CardNumber=1","012-600-15")</f>
        <v>012-600-15</v>
      </c>
      <c r="B1043" t="s">
        <v>4655</v>
      </c>
      <c r="C1043" t="s">
        <v>4094</v>
      </c>
      <c r="D1043" s="1">
        <v>40289</v>
      </c>
      <c r="E1043" s="2">
        <v>159900</v>
      </c>
      <c r="F1043" t="s">
        <v>4567</v>
      </c>
      <c r="G1043" s="17" t="str">
        <f>HYPERLINK("https://www.washoecounty.gov/assessor/cama/?command=sales&amp;parid=01260015","3873308")</f>
        <v>3873308</v>
      </c>
      <c r="H1043" t="s">
        <v>3131</v>
      </c>
      <c r="I1043">
        <v>2008</v>
      </c>
      <c r="J1043">
        <v>2008</v>
      </c>
      <c r="K1043" t="s">
        <v>3144</v>
      </c>
      <c r="L1043" t="s">
        <v>3974</v>
      </c>
      <c r="M1043" s="2">
        <v>1330</v>
      </c>
      <c r="N1043" t="s">
        <v>5280</v>
      </c>
      <c r="O1043">
        <v>2</v>
      </c>
      <c r="P1043">
        <v>2</v>
      </c>
      <c r="Q1043">
        <v>0</v>
      </c>
      <c r="R1043" t="s">
        <v>5281</v>
      </c>
      <c r="S1043" t="s">
        <v>4898</v>
      </c>
      <c r="T1043" t="s">
        <v>4559</v>
      </c>
      <c r="U1043" t="s">
        <v>5631</v>
      </c>
      <c r="V1043" s="2">
        <v>220</v>
      </c>
      <c r="W1043" t="s">
        <v>4655</v>
      </c>
      <c r="X1043" s="2">
        <v>0</v>
      </c>
      <c r="Y1043">
        <v>21</v>
      </c>
      <c r="Z1043" t="s">
        <v>3047</v>
      </c>
      <c r="AA1043" s="3">
        <v>3.1818181276321397E-2</v>
      </c>
      <c r="AB1043" t="s">
        <v>5687</v>
      </c>
      <c r="AC1043" t="s">
        <v>4562</v>
      </c>
      <c r="AD1043" t="s">
        <v>4094</v>
      </c>
      <c r="AE1043" t="s">
        <v>4655</v>
      </c>
      <c r="AF1043" t="s">
        <v>4563</v>
      </c>
      <c r="AG1043" t="s">
        <v>4564</v>
      </c>
      <c r="AH1043">
        <v>89502</v>
      </c>
      <c r="AI1043" t="s">
        <v>4095</v>
      </c>
      <c r="AJ1043" t="s">
        <v>3132</v>
      </c>
      <c r="AK1043" t="s">
        <v>4096</v>
      </c>
      <c r="AL1043" s="13" t="s">
        <v>3422</v>
      </c>
      <c r="AM1043">
        <v>1</v>
      </c>
      <c r="AN1043" s="15" t="s">
        <v>3133</v>
      </c>
    </row>
    <row r="1044" spans="1:40" x14ac:dyDescent="0.3">
      <c r="A1044" s="10" t="str">
        <f>HYPERLINK("http://www.washoecounty.gov/assessor/cama/?parid=012-600-16&amp;CardNumber=1","012-600-16")</f>
        <v>012-600-16</v>
      </c>
      <c r="B1044" t="s">
        <v>4655</v>
      </c>
      <c r="C1044" t="s">
        <v>9750</v>
      </c>
      <c r="D1044" s="1">
        <v>40324</v>
      </c>
      <c r="E1044" s="2">
        <v>161000</v>
      </c>
      <c r="F1044" t="s">
        <v>4567</v>
      </c>
      <c r="G1044" s="17" t="str">
        <f>HYPERLINK("https://www.washoecounty.gov/assessor/cama/?command=sales&amp;parid=01260016","3885639")</f>
        <v>3885639</v>
      </c>
      <c r="H1044" t="s">
        <v>3131</v>
      </c>
      <c r="I1044">
        <v>2008</v>
      </c>
      <c r="J1044">
        <v>2008</v>
      </c>
      <c r="K1044" t="s">
        <v>3144</v>
      </c>
      <c r="L1044" t="s">
        <v>3974</v>
      </c>
      <c r="M1044" s="2">
        <v>1330</v>
      </c>
      <c r="N1044" t="s">
        <v>5280</v>
      </c>
      <c r="O1044">
        <v>2</v>
      </c>
      <c r="P1044">
        <v>2</v>
      </c>
      <c r="Q1044">
        <v>0</v>
      </c>
      <c r="R1044" t="s">
        <v>5281</v>
      </c>
      <c r="S1044" t="s">
        <v>4898</v>
      </c>
      <c r="T1044" t="s">
        <v>4559</v>
      </c>
      <c r="U1044" t="s">
        <v>5631</v>
      </c>
      <c r="V1044" s="2">
        <v>220</v>
      </c>
      <c r="W1044" t="s">
        <v>4655</v>
      </c>
      <c r="X1044" s="2">
        <v>0</v>
      </c>
      <c r="Y1044">
        <v>21</v>
      </c>
      <c r="Z1044" t="s">
        <v>3047</v>
      </c>
      <c r="AA1044" s="3">
        <v>3.2277319580316502E-2</v>
      </c>
      <c r="AB1044" t="s">
        <v>9751</v>
      </c>
      <c r="AC1044" t="s">
        <v>4562</v>
      </c>
      <c r="AD1044" t="s">
        <v>9750</v>
      </c>
      <c r="AE1044" t="s">
        <v>4655</v>
      </c>
      <c r="AF1044" t="s">
        <v>4563</v>
      </c>
      <c r="AG1044" t="s">
        <v>4564</v>
      </c>
      <c r="AH1044" t="s">
        <v>1783</v>
      </c>
      <c r="AI1044" t="s">
        <v>9705</v>
      </c>
      <c r="AJ1044" t="s">
        <v>3132</v>
      </c>
      <c r="AK1044" t="s">
        <v>9752</v>
      </c>
      <c r="AL1044" s="13" t="s">
        <v>3422</v>
      </c>
      <c r="AM1044">
        <v>1</v>
      </c>
      <c r="AN1044" s="15" t="s">
        <v>3133</v>
      </c>
    </row>
    <row r="1045" spans="1:40" x14ac:dyDescent="0.3">
      <c r="A1045" s="10" t="str">
        <f>HYPERLINK("http://www.washoecounty.gov/assessor/cama/?parid=012-610-09&amp;CardNumber=1","012-610-09")</f>
        <v>012-610-09</v>
      </c>
      <c r="B1045" t="s">
        <v>4655</v>
      </c>
      <c r="C1045" t="s">
        <v>3387</v>
      </c>
      <c r="D1045" s="1">
        <v>40298</v>
      </c>
      <c r="E1045" s="2">
        <v>152000</v>
      </c>
      <c r="F1045" t="s">
        <v>4187</v>
      </c>
      <c r="G1045" s="17" t="str">
        <f>HYPERLINK("https://www.washoecounty.gov/assessor/cama/?command=sales&amp;parid=01261009","3876532")</f>
        <v>3876532</v>
      </c>
      <c r="H1045" t="s">
        <v>3388</v>
      </c>
      <c r="I1045">
        <v>1977</v>
      </c>
      <c r="J1045">
        <v>1977</v>
      </c>
      <c r="K1045" t="s">
        <v>1394</v>
      </c>
      <c r="L1045" t="s">
        <v>1366</v>
      </c>
      <c r="M1045" s="2">
        <v>2856</v>
      </c>
      <c r="N1045" t="s">
        <v>1367</v>
      </c>
      <c r="O1045">
        <v>0</v>
      </c>
      <c r="P1045">
        <v>0</v>
      </c>
      <c r="Q1045">
        <v>0</v>
      </c>
      <c r="R1045" t="s">
        <v>1368</v>
      </c>
      <c r="S1045" t="s">
        <v>4599</v>
      </c>
      <c r="T1045" t="s">
        <v>4655</v>
      </c>
      <c r="U1045" t="s">
        <v>4655</v>
      </c>
      <c r="V1045" s="2">
        <v>0</v>
      </c>
      <c r="W1045" t="s">
        <v>4655</v>
      </c>
      <c r="X1045" s="2">
        <v>0</v>
      </c>
      <c r="Y1045">
        <v>51</v>
      </c>
      <c r="Z1045" t="s">
        <v>3047</v>
      </c>
      <c r="AA1045" s="3">
        <v>6.5955005586147294E-2</v>
      </c>
      <c r="AB1045" t="s">
        <v>9753</v>
      </c>
      <c r="AC1045" t="s">
        <v>4562</v>
      </c>
      <c r="AD1045" t="s">
        <v>9754</v>
      </c>
      <c r="AE1045" t="s">
        <v>4655</v>
      </c>
      <c r="AF1045" t="s">
        <v>4563</v>
      </c>
      <c r="AG1045" t="s">
        <v>4564</v>
      </c>
      <c r="AH1045">
        <v>89502</v>
      </c>
      <c r="AI1045" t="s">
        <v>9755</v>
      </c>
      <c r="AJ1045" t="s">
        <v>4028</v>
      </c>
      <c r="AK1045" t="s">
        <v>9756</v>
      </c>
      <c r="AL1045" s="13" t="s">
        <v>2255</v>
      </c>
      <c r="AM1045" s="14">
        <v>1</v>
      </c>
      <c r="AN1045" s="15" t="s">
        <v>4029</v>
      </c>
    </row>
    <row r="1046" spans="1:40" x14ac:dyDescent="0.3">
      <c r="A1046" s="10" t="str">
        <f>HYPERLINK("http://www.washoecounty.gov/assessor/cama/?parid=013-013-11&amp;CardNumber=1","013-013-11")</f>
        <v>013-013-11</v>
      </c>
      <c r="B1046" t="s">
        <v>5502</v>
      </c>
      <c r="C1046" t="s">
        <v>5395</v>
      </c>
      <c r="D1046" s="1">
        <v>40518</v>
      </c>
      <c r="E1046" s="2">
        <v>157000</v>
      </c>
      <c r="F1046" t="s">
        <v>4567</v>
      </c>
      <c r="G1046" s="17" t="str">
        <f>HYPERLINK("https://www.washoecounty.gov/assessor/cama/?command=sales&amp;parid=01301311","3949816")</f>
        <v>3949816</v>
      </c>
      <c r="H1046" t="s">
        <v>3610</v>
      </c>
      <c r="I1046">
        <v>1914</v>
      </c>
      <c r="J1046">
        <v>1914</v>
      </c>
      <c r="K1046" t="s">
        <v>4907</v>
      </c>
      <c r="L1046" t="s">
        <v>4555</v>
      </c>
      <c r="M1046" s="2">
        <v>948</v>
      </c>
      <c r="N1046" t="s">
        <v>4556</v>
      </c>
      <c r="O1046">
        <v>2</v>
      </c>
      <c r="P1046">
        <v>2</v>
      </c>
      <c r="Q1046">
        <v>0</v>
      </c>
      <c r="R1046" t="s">
        <v>1800</v>
      </c>
      <c r="S1046" t="s">
        <v>4898</v>
      </c>
      <c r="T1046" t="s">
        <v>2947</v>
      </c>
      <c r="U1046" t="s">
        <v>4655</v>
      </c>
      <c r="V1046" s="2">
        <v>0</v>
      </c>
      <c r="W1046" t="s">
        <v>4655</v>
      </c>
      <c r="X1046" s="2">
        <v>0</v>
      </c>
      <c r="Y1046">
        <v>33</v>
      </c>
      <c r="Z1046" t="s">
        <v>3047</v>
      </c>
      <c r="AA1046" s="3">
        <v>0.12982094287872301</v>
      </c>
      <c r="AB1046" t="s">
        <v>1506</v>
      </c>
      <c r="AC1046" t="s">
        <v>4562</v>
      </c>
      <c r="AD1046" t="s">
        <v>1912</v>
      </c>
      <c r="AE1046" t="s">
        <v>4655</v>
      </c>
      <c r="AF1046" t="s">
        <v>4563</v>
      </c>
      <c r="AG1046" t="s">
        <v>4564</v>
      </c>
      <c r="AH1046">
        <v>89511</v>
      </c>
      <c r="AI1046" t="s">
        <v>5359</v>
      </c>
      <c r="AJ1046" t="s">
        <v>4655</v>
      </c>
      <c r="AK1046" t="s">
        <v>9757</v>
      </c>
      <c r="AL1046" s="13" t="s">
        <v>2255</v>
      </c>
      <c r="AM1046">
        <v>3</v>
      </c>
      <c r="AN1046" s="15" t="s">
        <v>3181</v>
      </c>
    </row>
    <row r="1047" spans="1:40" x14ac:dyDescent="0.3">
      <c r="A1047" s="10" t="str">
        <f>HYPERLINK("http://www.washoecounty.gov/assessor/cama/?parid=013-031-12&amp;CardNumber=1","013-031-12")</f>
        <v>013-031-12</v>
      </c>
      <c r="B1047" t="s">
        <v>4655</v>
      </c>
      <c r="C1047" t="s">
        <v>9758</v>
      </c>
      <c r="D1047" s="1">
        <v>40415</v>
      </c>
      <c r="E1047" s="2">
        <v>125000</v>
      </c>
      <c r="F1047" t="s">
        <v>4567</v>
      </c>
      <c r="G1047" s="17" t="str">
        <f>HYPERLINK("https://www.washoecounty.gov/assessor/cama/?command=sales&amp;parid=01303112","3915509")</f>
        <v>3915509</v>
      </c>
      <c r="H1047" t="s">
        <v>9759</v>
      </c>
      <c r="I1047">
        <v>1954</v>
      </c>
      <c r="J1047">
        <v>1954</v>
      </c>
      <c r="K1047" t="s">
        <v>4554</v>
      </c>
      <c r="L1047" t="s">
        <v>4555</v>
      </c>
      <c r="M1047" s="2">
        <v>1132</v>
      </c>
      <c r="N1047" t="s">
        <v>4556</v>
      </c>
      <c r="O1047">
        <v>3</v>
      </c>
      <c r="P1047">
        <v>1</v>
      </c>
      <c r="Q1047">
        <v>0</v>
      </c>
      <c r="R1047" t="s">
        <v>4557</v>
      </c>
      <c r="S1047" t="s">
        <v>4135</v>
      </c>
      <c r="T1047" t="s">
        <v>4559</v>
      </c>
      <c r="U1047" t="s">
        <v>4655</v>
      </c>
      <c r="V1047" s="2">
        <v>0</v>
      </c>
      <c r="W1047" t="s">
        <v>4655</v>
      </c>
      <c r="X1047" s="2">
        <v>0</v>
      </c>
      <c r="Y1047">
        <v>20</v>
      </c>
      <c r="Z1047" t="s">
        <v>3042</v>
      </c>
      <c r="AA1047" s="3">
        <v>0.18099173903465299</v>
      </c>
      <c r="AB1047" t="s">
        <v>9760</v>
      </c>
      <c r="AC1047" t="s">
        <v>4562</v>
      </c>
      <c r="AD1047" t="s">
        <v>9761</v>
      </c>
      <c r="AE1047" t="s">
        <v>9762</v>
      </c>
      <c r="AF1047" t="s">
        <v>4563</v>
      </c>
      <c r="AG1047" t="s">
        <v>4564</v>
      </c>
      <c r="AH1047">
        <v>89509</v>
      </c>
      <c r="AI1047" t="s">
        <v>9763</v>
      </c>
      <c r="AJ1047" t="s">
        <v>4655</v>
      </c>
      <c r="AK1047" t="s">
        <v>9764</v>
      </c>
      <c r="AL1047" s="13" t="s">
        <v>2255</v>
      </c>
      <c r="AM1047" s="14">
        <v>1</v>
      </c>
      <c r="AN1047" s="15" t="s">
        <v>5278</v>
      </c>
    </row>
    <row r="1048" spans="1:40" x14ac:dyDescent="0.3">
      <c r="A1048" s="10" t="str">
        <f>HYPERLINK("http://www.washoecounty.gov/assessor/cama/?parid=013-031-22&amp;CardNumber=1","013-031-22")</f>
        <v>013-031-22</v>
      </c>
      <c r="B1048" t="s">
        <v>4655</v>
      </c>
      <c r="C1048" t="s">
        <v>9765</v>
      </c>
      <c r="D1048" s="1">
        <v>40326</v>
      </c>
      <c r="E1048" s="2">
        <v>125000</v>
      </c>
      <c r="F1048" t="s">
        <v>4567</v>
      </c>
      <c r="G1048" s="17" t="str">
        <f>HYPERLINK("https://www.washoecounty.gov/assessor/cama/?command=sales&amp;parid=01303122","3886376")</f>
        <v>3886376</v>
      </c>
      <c r="H1048" t="s">
        <v>3097</v>
      </c>
      <c r="I1048">
        <v>1957</v>
      </c>
      <c r="J1048">
        <v>1957</v>
      </c>
      <c r="K1048" t="s">
        <v>4554</v>
      </c>
      <c r="L1048" t="s">
        <v>4555</v>
      </c>
      <c r="M1048" s="2">
        <v>1105</v>
      </c>
      <c r="N1048" t="s">
        <v>4556</v>
      </c>
      <c r="O1048">
        <v>2</v>
      </c>
      <c r="P1048">
        <v>1</v>
      </c>
      <c r="Q1048">
        <v>0</v>
      </c>
      <c r="R1048" t="s">
        <v>4557</v>
      </c>
      <c r="S1048" t="s">
        <v>4135</v>
      </c>
      <c r="T1048" t="s">
        <v>4559</v>
      </c>
      <c r="U1048" t="s">
        <v>4560</v>
      </c>
      <c r="V1048" s="2">
        <v>654</v>
      </c>
      <c r="W1048" t="s">
        <v>4655</v>
      </c>
      <c r="X1048" s="2">
        <v>0</v>
      </c>
      <c r="Y1048">
        <v>20</v>
      </c>
      <c r="Z1048" t="s">
        <v>4561</v>
      </c>
      <c r="AA1048" s="3">
        <v>0.20300734043121299</v>
      </c>
      <c r="AB1048" t="s">
        <v>9766</v>
      </c>
      <c r="AC1048" t="s">
        <v>4562</v>
      </c>
      <c r="AD1048" t="s">
        <v>9765</v>
      </c>
      <c r="AE1048" t="s">
        <v>4655</v>
      </c>
      <c r="AF1048" t="s">
        <v>4563</v>
      </c>
      <c r="AG1048" t="s">
        <v>4564</v>
      </c>
      <c r="AH1048">
        <v>89502</v>
      </c>
      <c r="AI1048" t="s">
        <v>9767</v>
      </c>
      <c r="AJ1048" t="s">
        <v>4655</v>
      </c>
      <c r="AK1048" t="s">
        <v>9768</v>
      </c>
      <c r="AL1048" s="13" t="s">
        <v>2255</v>
      </c>
      <c r="AM1048">
        <v>1</v>
      </c>
      <c r="AN1048" s="15" t="s">
        <v>5278</v>
      </c>
    </row>
    <row r="1049" spans="1:40" x14ac:dyDescent="0.3">
      <c r="A1049" s="10" t="str">
        <f>HYPERLINK("http://www.washoecounty.gov/assessor/cama/?parid=013-031-23&amp;CardNumber=1","013-031-23")</f>
        <v>013-031-23</v>
      </c>
      <c r="B1049" t="s">
        <v>4655</v>
      </c>
      <c r="C1049" t="s">
        <v>9769</v>
      </c>
      <c r="D1049" s="1">
        <v>40323</v>
      </c>
      <c r="E1049" s="2">
        <v>114000</v>
      </c>
      <c r="F1049" t="s">
        <v>4553</v>
      </c>
      <c r="G1049" s="17" t="str">
        <f>HYPERLINK("https://www.washoecounty.gov/assessor/cama/?command=sales&amp;parid=01303123","3884690")</f>
        <v>3884690</v>
      </c>
      <c r="H1049" t="s">
        <v>3097</v>
      </c>
      <c r="I1049">
        <v>1955</v>
      </c>
      <c r="J1049">
        <v>1955</v>
      </c>
      <c r="K1049" t="s">
        <v>4554</v>
      </c>
      <c r="L1049" t="s">
        <v>4555</v>
      </c>
      <c r="M1049" s="2">
        <v>1008</v>
      </c>
      <c r="N1049" t="s">
        <v>4556</v>
      </c>
      <c r="O1049">
        <v>3</v>
      </c>
      <c r="P1049">
        <v>1</v>
      </c>
      <c r="Q1049">
        <v>0</v>
      </c>
      <c r="R1049" t="s">
        <v>4557</v>
      </c>
      <c r="S1049" t="s">
        <v>4898</v>
      </c>
      <c r="T1049" t="s">
        <v>4559</v>
      </c>
      <c r="U1049" t="s">
        <v>4560</v>
      </c>
      <c r="V1049" s="2">
        <v>480</v>
      </c>
      <c r="W1049" t="s">
        <v>4655</v>
      </c>
      <c r="X1049" s="2">
        <v>0</v>
      </c>
      <c r="Y1049">
        <v>20</v>
      </c>
      <c r="Z1049" t="s">
        <v>4561</v>
      </c>
      <c r="AA1049" s="3">
        <v>0.21299357712268799</v>
      </c>
      <c r="AB1049" t="s">
        <v>9770</v>
      </c>
      <c r="AC1049" t="s">
        <v>4575</v>
      </c>
      <c r="AD1049" t="s">
        <v>9771</v>
      </c>
      <c r="AE1049" t="s">
        <v>4655</v>
      </c>
      <c r="AF1049" t="s">
        <v>4563</v>
      </c>
      <c r="AG1049" t="s">
        <v>4564</v>
      </c>
      <c r="AH1049">
        <v>89502</v>
      </c>
      <c r="AI1049" t="s">
        <v>4903</v>
      </c>
      <c r="AJ1049" t="s">
        <v>4655</v>
      </c>
      <c r="AK1049" t="s">
        <v>9772</v>
      </c>
      <c r="AL1049" s="13" t="s">
        <v>2255</v>
      </c>
      <c r="AM1049">
        <v>1</v>
      </c>
      <c r="AN1049" s="15" t="s">
        <v>5278</v>
      </c>
    </row>
    <row r="1050" spans="1:40" x14ac:dyDescent="0.3">
      <c r="A1050" s="10" t="str">
        <f>HYPERLINK("http://www.washoecounty.gov/assessor/cama/?parid=013-032-18&amp;CardNumber=1","013-032-18")</f>
        <v>013-032-18</v>
      </c>
      <c r="B1050" t="s">
        <v>4655</v>
      </c>
      <c r="C1050" t="s">
        <v>9773</v>
      </c>
      <c r="D1050" s="1">
        <v>40420</v>
      </c>
      <c r="E1050" s="2">
        <v>75000</v>
      </c>
      <c r="F1050" t="s">
        <v>4567</v>
      </c>
      <c r="G1050" s="17" t="str">
        <f>HYPERLINK("https://www.washoecounty.gov/assessor/cama/?command=sales&amp;parid=01303218","3916954")</f>
        <v>3916954</v>
      </c>
      <c r="H1050" t="s">
        <v>9774</v>
      </c>
      <c r="I1050">
        <v>1955</v>
      </c>
      <c r="J1050">
        <v>1955</v>
      </c>
      <c r="K1050" t="s">
        <v>4554</v>
      </c>
      <c r="L1050" t="s">
        <v>4555</v>
      </c>
      <c r="M1050" s="2">
        <v>962</v>
      </c>
      <c r="N1050" t="s">
        <v>4556</v>
      </c>
      <c r="O1050">
        <v>3</v>
      </c>
      <c r="P1050">
        <v>1</v>
      </c>
      <c r="Q1050">
        <v>0</v>
      </c>
      <c r="R1050" t="s">
        <v>4557</v>
      </c>
      <c r="S1050" t="s">
        <v>4574</v>
      </c>
      <c r="T1050" t="s">
        <v>4559</v>
      </c>
      <c r="U1050" t="s">
        <v>4560</v>
      </c>
      <c r="V1050" s="2">
        <v>286</v>
      </c>
      <c r="W1050" t="s">
        <v>4655</v>
      </c>
      <c r="X1050" s="2">
        <v>0</v>
      </c>
      <c r="Y1050">
        <v>20</v>
      </c>
      <c r="Z1050" t="s">
        <v>4561</v>
      </c>
      <c r="AA1050" s="3">
        <v>0.19400826096534701</v>
      </c>
      <c r="AB1050" t="s">
        <v>9775</v>
      </c>
      <c r="AC1050" t="s">
        <v>4562</v>
      </c>
      <c r="AD1050" t="s">
        <v>9776</v>
      </c>
      <c r="AE1050" t="s">
        <v>4655</v>
      </c>
      <c r="AF1050" t="s">
        <v>2214</v>
      </c>
      <c r="AG1050" t="s">
        <v>4584</v>
      </c>
      <c r="AH1050">
        <v>94030</v>
      </c>
      <c r="AI1050" t="s">
        <v>9777</v>
      </c>
      <c r="AJ1050" t="s">
        <v>4655</v>
      </c>
      <c r="AK1050" t="s">
        <v>9778</v>
      </c>
      <c r="AL1050" s="13" t="s">
        <v>2255</v>
      </c>
      <c r="AM1050" s="14">
        <v>1</v>
      </c>
      <c r="AN1050" s="15" t="s">
        <v>5278</v>
      </c>
    </row>
    <row r="1051" spans="1:40" x14ac:dyDescent="0.3">
      <c r="A1051" s="10" t="str">
        <f>HYPERLINK("http://www.washoecounty.gov/assessor/cama/?parid=013-032-25&amp;CardNumber=1","013-032-25")</f>
        <v>013-032-25</v>
      </c>
      <c r="B1051" t="s">
        <v>4655</v>
      </c>
      <c r="C1051" t="s">
        <v>9779</v>
      </c>
      <c r="D1051" s="1">
        <v>40358</v>
      </c>
      <c r="E1051" s="2">
        <v>100000</v>
      </c>
      <c r="F1051" t="s">
        <v>4567</v>
      </c>
      <c r="G1051" s="17" t="str">
        <f>HYPERLINK("https://www.washoecounty.gov/assessor/cama/?command=sales&amp;parid=01303225","3896813")</f>
        <v>3896813</v>
      </c>
      <c r="H1051" t="s">
        <v>9780</v>
      </c>
      <c r="I1051">
        <v>1958</v>
      </c>
      <c r="J1051">
        <v>1958</v>
      </c>
      <c r="K1051" t="s">
        <v>4554</v>
      </c>
      <c r="L1051" t="s">
        <v>4555</v>
      </c>
      <c r="M1051" s="2">
        <v>975</v>
      </c>
      <c r="N1051" t="s">
        <v>4556</v>
      </c>
      <c r="O1051">
        <v>3</v>
      </c>
      <c r="P1051">
        <v>1</v>
      </c>
      <c r="Q1051">
        <v>0</v>
      </c>
      <c r="R1051" t="s">
        <v>4134</v>
      </c>
      <c r="S1051" t="s">
        <v>4574</v>
      </c>
      <c r="T1051" t="s">
        <v>4559</v>
      </c>
      <c r="U1051" t="s">
        <v>4560</v>
      </c>
      <c r="V1051" s="2">
        <v>480</v>
      </c>
      <c r="W1051" t="s">
        <v>4655</v>
      </c>
      <c r="X1051" s="2">
        <v>0</v>
      </c>
      <c r="Y1051">
        <v>20</v>
      </c>
      <c r="Z1051" t="s">
        <v>4561</v>
      </c>
      <c r="AA1051" s="3">
        <v>0.14600551128387501</v>
      </c>
      <c r="AB1051" t="s">
        <v>9781</v>
      </c>
      <c r="AC1051" t="s">
        <v>4562</v>
      </c>
      <c r="AD1051" t="s">
        <v>9779</v>
      </c>
      <c r="AE1051" t="s">
        <v>4655</v>
      </c>
      <c r="AF1051" t="s">
        <v>4563</v>
      </c>
      <c r="AG1051" t="s">
        <v>4564</v>
      </c>
      <c r="AH1051">
        <v>89502</v>
      </c>
      <c r="AI1051" t="s">
        <v>9782</v>
      </c>
      <c r="AJ1051" t="s">
        <v>4655</v>
      </c>
      <c r="AK1051" t="s">
        <v>9783</v>
      </c>
      <c r="AL1051" s="13" t="s">
        <v>2255</v>
      </c>
      <c r="AM1051" s="14">
        <v>1</v>
      </c>
      <c r="AN1051" s="15" t="s">
        <v>5278</v>
      </c>
    </row>
    <row r="1052" spans="1:40" x14ac:dyDescent="0.3">
      <c r="A1052" s="10" t="str">
        <f>HYPERLINK("http://www.washoecounty.gov/assessor/cama/?parid=013-033-11&amp;CardNumber=1","013-033-11")</f>
        <v>013-033-11</v>
      </c>
      <c r="B1052" t="s">
        <v>4655</v>
      </c>
      <c r="C1052" t="s">
        <v>9784</v>
      </c>
      <c r="D1052" s="1">
        <v>40512</v>
      </c>
      <c r="E1052" s="2">
        <v>62000</v>
      </c>
      <c r="F1052" t="s">
        <v>4553</v>
      </c>
      <c r="G1052" s="17" t="str">
        <f>HYPERLINK("https://www.washoecounty.gov/assessor/cama/?command=sales&amp;parid=01303311","3947737")</f>
        <v>3947737</v>
      </c>
      <c r="H1052" t="s">
        <v>9785</v>
      </c>
      <c r="I1052">
        <v>1949</v>
      </c>
      <c r="J1052">
        <v>1949</v>
      </c>
      <c r="K1052" t="s">
        <v>4554</v>
      </c>
      <c r="L1052" t="s">
        <v>4555</v>
      </c>
      <c r="M1052" s="2">
        <v>800</v>
      </c>
      <c r="N1052" t="s">
        <v>4556</v>
      </c>
      <c r="O1052">
        <v>2</v>
      </c>
      <c r="P1052">
        <v>1</v>
      </c>
      <c r="Q1052">
        <v>0</v>
      </c>
      <c r="R1052" t="s">
        <v>4557</v>
      </c>
      <c r="S1052" t="s">
        <v>4574</v>
      </c>
      <c r="T1052" t="s">
        <v>4559</v>
      </c>
      <c r="U1052" t="s">
        <v>4655</v>
      </c>
      <c r="V1052" s="2">
        <v>0</v>
      </c>
      <c r="W1052" t="s">
        <v>4655</v>
      </c>
      <c r="X1052" s="2">
        <v>0</v>
      </c>
      <c r="Y1052">
        <v>20</v>
      </c>
      <c r="Z1052" t="s">
        <v>4561</v>
      </c>
      <c r="AA1052" s="3">
        <v>0.22300276160240201</v>
      </c>
      <c r="AB1052" t="s">
        <v>9786</v>
      </c>
      <c r="AC1052" t="s">
        <v>4562</v>
      </c>
      <c r="AD1052" t="s">
        <v>9784</v>
      </c>
      <c r="AE1052" t="s">
        <v>4655</v>
      </c>
      <c r="AF1052" t="s">
        <v>4563</v>
      </c>
      <c r="AG1052" t="s">
        <v>4564</v>
      </c>
      <c r="AH1052">
        <v>89502</v>
      </c>
      <c r="AI1052" t="s">
        <v>4848</v>
      </c>
      <c r="AJ1052" t="s">
        <v>4655</v>
      </c>
      <c r="AK1052" t="s">
        <v>9787</v>
      </c>
      <c r="AL1052" s="13" t="s">
        <v>2255</v>
      </c>
      <c r="AM1052">
        <v>1</v>
      </c>
      <c r="AN1052" s="15" t="s">
        <v>5278</v>
      </c>
    </row>
    <row r="1053" spans="1:40" x14ac:dyDescent="0.3">
      <c r="A1053" s="10" t="str">
        <f>HYPERLINK("http://www.washoecounty.gov/assessor/cama/?parid=013-041-13&amp;CardNumber=1","013-041-13")</f>
        <v>013-041-13</v>
      </c>
      <c r="B1053" t="s">
        <v>4655</v>
      </c>
      <c r="C1053" t="s">
        <v>9788</v>
      </c>
      <c r="D1053" s="1">
        <v>40311</v>
      </c>
      <c r="E1053" s="2">
        <v>136000</v>
      </c>
      <c r="F1053" t="s">
        <v>4567</v>
      </c>
      <c r="G1053" s="17" t="str">
        <f>HYPERLINK("https://www.washoecounty.gov/assessor/cama/?command=sales&amp;parid=01304113","3881286")</f>
        <v>3881286</v>
      </c>
      <c r="H1053" t="s">
        <v>9789</v>
      </c>
      <c r="I1053">
        <v>1960</v>
      </c>
      <c r="J1053">
        <v>1960</v>
      </c>
      <c r="K1053" t="s">
        <v>4554</v>
      </c>
      <c r="L1053" t="s">
        <v>4555</v>
      </c>
      <c r="M1053" s="2">
        <v>936</v>
      </c>
      <c r="N1053" t="s">
        <v>4556</v>
      </c>
      <c r="O1053">
        <v>3</v>
      </c>
      <c r="P1053">
        <v>1</v>
      </c>
      <c r="Q1053">
        <v>1</v>
      </c>
      <c r="R1053" t="s">
        <v>4557</v>
      </c>
      <c r="S1053" t="s">
        <v>4574</v>
      </c>
      <c r="T1053" t="s">
        <v>4559</v>
      </c>
      <c r="U1053" t="s">
        <v>4560</v>
      </c>
      <c r="V1053" s="2">
        <v>216</v>
      </c>
      <c r="W1053" t="s">
        <v>4655</v>
      </c>
      <c r="X1053" s="2">
        <v>0</v>
      </c>
      <c r="Y1053">
        <v>20</v>
      </c>
      <c r="Z1053" t="s">
        <v>4561</v>
      </c>
      <c r="AA1053" s="3">
        <v>0.17199265956878662</v>
      </c>
      <c r="AB1053" t="s">
        <v>9790</v>
      </c>
      <c r="AC1053" t="s">
        <v>4562</v>
      </c>
      <c r="AD1053" t="s">
        <v>9788</v>
      </c>
      <c r="AE1053" t="s">
        <v>4655</v>
      </c>
      <c r="AF1053" t="s">
        <v>4563</v>
      </c>
      <c r="AG1053" t="s">
        <v>4564</v>
      </c>
      <c r="AH1053">
        <v>89502</v>
      </c>
      <c r="AI1053" t="s">
        <v>9791</v>
      </c>
      <c r="AJ1053" t="s">
        <v>4655</v>
      </c>
      <c r="AK1053" t="s">
        <v>9792</v>
      </c>
      <c r="AL1053" s="13" t="s">
        <v>2255</v>
      </c>
      <c r="AM1053">
        <v>1</v>
      </c>
      <c r="AN1053" s="15" t="s">
        <v>5278</v>
      </c>
    </row>
    <row r="1054" spans="1:40" x14ac:dyDescent="0.3">
      <c r="A1054" s="10" t="str">
        <f>HYPERLINK("http://www.washoecounty.gov/assessor/cama/?parid=013-051-04&amp;CardNumber=1","013-051-04")</f>
        <v>013-051-04</v>
      </c>
      <c r="B1054" t="s">
        <v>4655</v>
      </c>
      <c r="C1054" t="s">
        <v>9793</v>
      </c>
      <c r="D1054" s="1">
        <v>40413</v>
      </c>
      <c r="E1054" s="2">
        <v>55000</v>
      </c>
      <c r="F1054" t="s">
        <v>4553</v>
      </c>
      <c r="G1054" s="17" t="str">
        <f>HYPERLINK("https://www.washoecounty.gov/assessor/cama/?command=sales&amp;parid=01305104","3914517")</f>
        <v>3914517</v>
      </c>
      <c r="H1054" t="s">
        <v>9794</v>
      </c>
      <c r="I1054">
        <v>1955</v>
      </c>
      <c r="J1054">
        <v>1960</v>
      </c>
      <c r="K1054" t="s">
        <v>4554</v>
      </c>
      <c r="L1054" t="s">
        <v>4555</v>
      </c>
      <c r="M1054" s="2">
        <v>1012</v>
      </c>
      <c r="N1054" t="s">
        <v>4556</v>
      </c>
      <c r="O1054">
        <v>2</v>
      </c>
      <c r="P1054">
        <v>1</v>
      </c>
      <c r="Q1054">
        <v>0</v>
      </c>
      <c r="R1054" t="s">
        <v>1800</v>
      </c>
      <c r="S1054" t="s">
        <v>4574</v>
      </c>
      <c r="T1054" t="s">
        <v>4559</v>
      </c>
      <c r="U1054" t="s">
        <v>4655</v>
      </c>
      <c r="V1054" s="2">
        <v>0</v>
      </c>
      <c r="W1054" t="s">
        <v>4655</v>
      </c>
      <c r="X1054" s="2">
        <v>0</v>
      </c>
      <c r="Y1054">
        <v>20</v>
      </c>
      <c r="Z1054" t="s">
        <v>3042</v>
      </c>
      <c r="AA1054" s="3">
        <v>0.14201101660728499</v>
      </c>
      <c r="AB1054" t="s">
        <v>9795</v>
      </c>
      <c r="AC1054" t="s">
        <v>4562</v>
      </c>
      <c r="AD1054" t="s">
        <v>9796</v>
      </c>
      <c r="AE1054" t="s">
        <v>4655</v>
      </c>
      <c r="AF1054" t="s">
        <v>4563</v>
      </c>
      <c r="AG1054" t="s">
        <v>4564</v>
      </c>
      <c r="AH1054">
        <v>89511</v>
      </c>
      <c r="AI1054" t="s">
        <v>4565</v>
      </c>
      <c r="AJ1054" t="s">
        <v>4655</v>
      </c>
      <c r="AK1054" t="s">
        <v>9797</v>
      </c>
      <c r="AL1054" s="13" t="s">
        <v>2257</v>
      </c>
      <c r="AM1054">
        <v>1</v>
      </c>
      <c r="AN1054" s="15" t="s">
        <v>5278</v>
      </c>
    </row>
    <row r="1055" spans="1:40" x14ac:dyDescent="0.3">
      <c r="A1055" s="10" t="str">
        <f>HYPERLINK("http://www.washoecounty.gov/assessor/cama/?parid=013-051-26&amp;CardNumber=1","013-051-26")</f>
        <v>013-051-26</v>
      </c>
      <c r="B1055" t="s">
        <v>4655</v>
      </c>
      <c r="C1055" t="s">
        <v>3134</v>
      </c>
      <c r="D1055" s="1">
        <v>40206</v>
      </c>
      <c r="E1055" s="2">
        <v>50000</v>
      </c>
      <c r="F1055" t="s">
        <v>4553</v>
      </c>
      <c r="G1055" s="17" t="str">
        <f>HYPERLINK("https://www.washoecounty.gov/assessor/cama/?command=sales&amp;parid=01305126","3843551")</f>
        <v>3843551</v>
      </c>
      <c r="H1055" t="s">
        <v>3135</v>
      </c>
      <c r="I1055">
        <v>1953</v>
      </c>
      <c r="J1055">
        <v>1953</v>
      </c>
      <c r="K1055" t="s">
        <v>4554</v>
      </c>
      <c r="L1055" t="s">
        <v>4555</v>
      </c>
      <c r="M1055" s="2">
        <v>840</v>
      </c>
      <c r="N1055" t="s">
        <v>4133</v>
      </c>
      <c r="O1055">
        <v>2</v>
      </c>
      <c r="P1055">
        <v>1</v>
      </c>
      <c r="Q1055">
        <v>0</v>
      </c>
      <c r="R1055" t="s">
        <v>4557</v>
      </c>
      <c r="S1055" t="s">
        <v>4574</v>
      </c>
      <c r="T1055" t="s">
        <v>4559</v>
      </c>
      <c r="U1055" t="s">
        <v>4655</v>
      </c>
      <c r="V1055" s="2">
        <v>0</v>
      </c>
      <c r="W1055" t="s">
        <v>4655</v>
      </c>
      <c r="X1055" s="2">
        <v>0</v>
      </c>
      <c r="Y1055">
        <v>20</v>
      </c>
      <c r="Z1055" t="s">
        <v>4561</v>
      </c>
      <c r="AA1055" s="3">
        <v>0.12575757503509499</v>
      </c>
      <c r="AB1055" t="s">
        <v>3136</v>
      </c>
      <c r="AC1055" t="s">
        <v>4562</v>
      </c>
      <c r="AD1055" t="s">
        <v>9798</v>
      </c>
      <c r="AE1055" t="s">
        <v>4655</v>
      </c>
      <c r="AF1055" t="s">
        <v>9799</v>
      </c>
      <c r="AG1055" t="s">
        <v>4584</v>
      </c>
      <c r="AH1055">
        <v>96009</v>
      </c>
      <c r="AI1055" t="s">
        <v>9800</v>
      </c>
      <c r="AJ1055" t="s">
        <v>3137</v>
      </c>
      <c r="AK1055" t="s">
        <v>9801</v>
      </c>
      <c r="AL1055" s="13" t="s">
        <v>2257</v>
      </c>
      <c r="AM1055" s="14">
        <v>1</v>
      </c>
      <c r="AN1055" s="15" t="s">
        <v>5278</v>
      </c>
    </row>
    <row r="1056" spans="1:40" x14ac:dyDescent="0.3">
      <c r="A1056" s="10" t="str">
        <f>HYPERLINK("http://www.washoecounty.gov/assessor/cama/?parid=013-052-03&amp;CardNumber=1","013-052-03")</f>
        <v>013-052-03</v>
      </c>
      <c r="B1056" t="s">
        <v>4655</v>
      </c>
      <c r="C1056" t="s">
        <v>9802</v>
      </c>
      <c r="D1056" s="1">
        <v>40451</v>
      </c>
      <c r="E1056" s="2">
        <v>130000</v>
      </c>
      <c r="F1056" t="s">
        <v>4567</v>
      </c>
      <c r="G1056" s="17" t="str">
        <f>HYPERLINK("https://www.washoecounty.gov/assessor/cama/?command=sales&amp;parid=01305203","3928420")</f>
        <v>3928420</v>
      </c>
      <c r="H1056" t="s">
        <v>2795</v>
      </c>
      <c r="I1056">
        <v>1957</v>
      </c>
      <c r="J1056">
        <v>1957</v>
      </c>
      <c r="K1056" t="s">
        <v>3043</v>
      </c>
      <c r="L1056" t="s">
        <v>4555</v>
      </c>
      <c r="M1056" s="2">
        <v>2536</v>
      </c>
      <c r="N1056" t="s">
        <v>4048</v>
      </c>
      <c r="O1056">
        <v>4</v>
      </c>
      <c r="P1056">
        <v>4</v>
      </c>
      <c r="Q1056">
        <v>0</v>
      </c>
      <c r="R1056" t="s">
        <v>4134</v>
      </c>
      <c r="S1056" t="s">
        <v>4682</v>
      </c>
      <c r="T1056" t="s">
        <v>4559</v>
      </c>
      <c r="U1056" t="s">
        <v>4560</v>
      </c>
      <c r="V1056" s="2">
        <v>660</v>
      </c>
      <c r="W1056" t="s">
        <v>4655</v>
      </c>
      <c r="X1056" s="2">
        <v>0</v>
      </c>
      <c r="Y1056">
        <v>32</v>
      </c>
      <c r="Z1056" t="s">
        <v>3042</v>
      </c>
      <c r="AA1056" s="3">
        <v>0.19400826096534701</v>
      </c>
      <c r="AB1056" t="s">
        <v>1070</v>
      </c>
      <c r="AC1056" t="s">
        <v>4562</v>
      </c>
      <c r="AD1056" t="s">
        <v>9803</v>
      </c>
      <c r="AE1056" t="s">
        <v>4655</v>
      </c>
      <c r="AF1056" t="s">
        <v>4563</v>
      </c>
      <c r="AG1056" t="s">
        <v>4564</v>
      </c>
      <c r="AH1056">
        <v>89511</v>
      </c>
      <c r="AI1056" t="s">
        <v>9804</v>
      </c>
      <c r="AJ1056" t="s">
        <v>4655</v>
      </c>
      <c r="AK1056" t="s">
        <v>9805</v>
      </c>
      <c r="AL1056" s="13" t="s">
        <v>2257</v>
      </c>
      <c r="AM1056" s="14">
        <v>4</v>
      </c>
      <c r="AN1056" s="15" t="s">
        <v>3172</v>
      </c>
    </row>
    <row r="1057" spans="1:40" x14ac:dyDescent="0.3">
      <c r="A1057" s="10" t="str">
        <f>HYPERLINK("http://www.washoecounty.gov/assessor/cama/?parid=013-052-14&amp;CardNumber=1","013-052-14")</f>
        <v>013-052-14</v>
      </c>
      <c r="B1057" t="s">
        <v>4655</v>
      </c>
      <c r="C1057" t="s">
        <v>9806</v>
      </c>
      <c r="D1057" s="1">
        <v>40207</v>
      </c>
      <c r="E1057" s="2">
        <v>290295</v>
      </c>
      <c r="F1057" t="s">
        <v>4567</v>
      </c>
      <c r="G1057" s="17" t="str">
        <f>HYPERLINK("https://www.washoecounty.gov/assessor/cama/?command=sales&amp;parid=01305214","3843886")</f>
        <v>3843886</v>
      </c>
      <c r="H1057" t="s">
        <v>2795</v>
      </c>
      <c r="I1057">
        <v>1956</v>
      </c>
      <c r="J1057">
        <v>1956</v>
      </c>
      <c r="K1057" t="s">
        <v>3043</v>
      </c>
      <c r="L1057" t="s">
        <v>3974</v>
      </c>
      <c r="M1057" s="2">
        <v>3733</v>
      </c>
      <c r="N1057" t="s">
        <v>4556</v>
      </c>
      <c r="O1057">
        <v>7</v>
      </c>
      <c r="P1057">
        <v>7</v>
      </c>
      <c r="Q1057">
        <v>0</v>
      </c>
      <c r="R1057" t="s">
        <v>4134</v>
      </c>
      <c r="S1057" t="s">
        <v>4682</v>
      </c>
      <c r="T1057" t="s">
        <v>4559</v>
      </c>
      <c r="U1057" t="s">
        <v>4655</v>
      </c>
      <c r="V1057" s="2">
        <v>0</v>
      </c>
      <c r="W1057" t="s">
        <v>4655</v>
      </c>
      <c r="X1057" s="2">
        <v>0</v>
      </c>
      <c r="Y1057">
        <v>33</v>
      </c>
      <c r="Z1057" t="s">
        <v>2705</v>
      </c>
      <c r="AA1057" s="3">
        <v>0.15500459074974099</v>
      </c>
      <c r="AB1057" t="s">
        <v>9807</v>
      </c>
      <c r="AC1057" t="s">
        <v>4575</v>
      </c>
      <c r="AD1057" t="s">
        <v>9808</v>
      </c>
      <c r="AE1057" t="s">
        <v>6555</v>
      </c>
      <c r="AF1057" t="s">
        <v>4563</v>
      </c>
      <c r="AG1057" t="s">
        <v>4564</v>
      </c>
      <c r="AH1057" t="s">
        <v>1147</v>
      </c>
      <c r="AI1057" t="s">
        <v>9809</v>
      </c>
      <c r="AJ1057" t="s">
        <v>4655</v>
      </c>
      <c r="AK1057" t="s">
        <v>9810</v>
      </c>
      <c r="AL1057" s="13" t="s">
        <v>2257</v>
      </c>
      <c r="AM1057">
        <v>7</v>
      </c>
      <c r="AN1057" s="15" t="s">
        <v>3172</v>
      </c>
    </row>
    <row r="1058" spans="1:40" x14ac:dyDescent="0.3">
      <c r="A1058" s="10" t="str">
        <f>HYPERLINK("http://www.washoecounty.gov/assessor/cama/?parid=013-052-14&amp;CardNumber=1","013-052-14")</f>
        <v>013-052-14</v>
      </c>
      <c r="B1058" t="s">
        <v>4655</v>
      </c>
      <c r="C1058" t="s">
        <v>9806</v>
      </c>
      <c r="D1058" s="1">
        <v>40388</v>
      </c>
      <c r="E1058" s="2">
        <v>325000</v>
      </c>
      <c r="F1058" t="s">
        <v>4567</v>
      </c>
      <c r="G1058" s="17" t="str">
        <f>HYPERLINK("https://www.washoecounty.gov/assessor/cama/?command=sales&amp;parid=01305214","3906740")</f>
        <v>3906740</v>
      </c>
      <c r="H1058" t="s">
        <v>2795</v>
      </c>
      <c r="I1058">
        <v>1956</v>
      </c>
      <c r="J1058">
        <v>1956</v>
      </c>
      <c r="K1058" t="s">
        <v>3043</v>
      </c>
      <c r="L1058" t="s">
        <v>3974</v>
      </c>
      <c r="M1058" s="2">
        <v>3733</v>
      </c>
      <c r="N1058" t="s">
        <v>4556</v>
      </c>
      <c r="O1058">
        <v>7</v>
      </c>
      <c r="P1058">
        <v>7</v>
      </c>
      <c r="Q1058">
        <v>0</v>
      </c>
      <c r="R1058" t="s">
        <v>4134</v>
      </c>
      <c r="S1058" t="s">
        <v>4682</v>
      </c>
      <c r="T1058" t="s">
        <v>4559</v>
      </c>
      <c r="U1058" t="s">
        <v>4655</v>
      </c>
      <c r="V1058" s="2">
        <v>0</v>
      </c>
      <c r="W1058" t="s">
        <v>4655</v>
      </c>
      <c r="X1058" s="2">
        <v>0</v>
      </c>
      <c r="Y1058">
        <v>33</v>
      </c>
      <c r="Z1058" t="s">
        <v>2705</v>
      </c>
      <c r="AA1058" s="3">
        <v>0.15500459074974099</v>
      </c>
      <c r="AB1058" t="s">
        <v>9807</v>
      </c>
      <c r="AC1058" t="s">
        <v>4575</v>
      </c>
      <c r="AD1058" t="s">
        <v>9808</v>
      </c>
      <c r="AE1058" t="s">
        <v>6555</v>
      </c>
      <c r="AF1058" t="s">
        <v>4563</v>
      </c>
      <c r="AG1058" t="s">
        <v>4564</v>
      </c>
      <c r="AH1058" t="s">
        <v>1147</v>
      </c>
      <c r="AI1058" t="s">
        <v>9809</v>
      </c>
      <c r="AJ1058" t="s">
        <v>4655</v>
      </c>
      <c r="AK1058" t="s">
        <v>9810</v>
      </c>
      <c r="AL1058" s="13" t="s">
        <v>2257</v>
      </c>
      <c r="AM1058">
        <v>7</v>
      </c>
      <c r="AN1058" s="15" t="s">
        <v>3172</v>
      </c>
    </row>
    <row r="1059" spans="1:40" x14ac:dyDescent="0.3">
      <c r="A1059" s="10" t="str">
        <f>HYPERLINK("http://www.washoecounty.gov/assessor/cama/?parid=013-053-08&amp;CardNumber=1","013-053-08")</f>
        <v>013-053-08</v>
      </c>
      <c r="B1059" t="s">
        <v>4655</v>
      </c>
      <c r="C1059" t="s">
        <v>9811</v>
      </c>
      <c r="D1059" s="1">
        <v>40473</v>
      </c>
      <c r="E1059" s="2">
        <v>72500</v>
      </c>
      <c r="F1059" t="s">
        <v>4553</v>
      </c>
      <c r="G1059" s="17" t="str">
        <f>HYPERLINK("https://www.washoecounty.gov/assessor/cama/?command=sales&amp;parid=01305308","3935794")</f>
        <v>3935794</v>
      </c>
      <c r="H1059" t="s">
        <v>2795</v>
      </c>
      <c r="I1059">
        <v>1953</v>
      </c>
      <c r="J1059">
        <v>1955</v>
      </c>
      <c r="K1059" t="s">
        <v>4554</v>
      </c>
      <c r="L1059" t="s">
        <v>4555</v>
      </c>
      <c r="M1059" s="2">
        <v>997</v>
      </c>
      <c r="N1059" t="s">
        <v>4556</v>
      </c>
      <c r="O1059">
        <v>3</v>
      </c>
      <c r="P1059">
        <v>2</v>
      </c>
      <c r="Q1059">
        <v>0</v>
      </c>
      <c r="R1059" t="s">
        <v>1800</v>
      </c>
      <c r="S1059" t="s">
        <v>4574</v>
      </c>
      <c r="T1059" t="s">
        <v>4559</v>
      </c>
      <c r="U1059" t="s">
        <v>4560</v>
      </c>
      <c r="V1059" s="2">
        <v>300</v>
      </c>
      <c r="W1059" t="s">
        <v>4655</v>
      </c>
      <c r="X1059" s="2">
        <v>0</v>
      </c>
      <c r="Y1059">
        <v>20</v>
      </c>
      <c r="Z1059" t="s">
        <v>4561</v>
      </c>
      <c r="AA1059" s="3">
        <v>0.150528013706207</v>
      </c>
      <c r="AB1059" t="s">
        <v>9812</v>
      </c>
      <c r="AC1059" t="s">
        <v>4562</v>
      </c>
      <c r="AD1059" t="s">
        <v>9813</v>
      </c>
      <c r="AE1059" t="s">
        <v>4655</v>
      </c>
      <c r="AF1059" t="s">
        <v>4563</v>
      </c>
      <c r="AG1059" t="s">
        <v>4564</v>
      </c>
      <c r="AH1059">
        <v>89502</v>
      </c>
      <c r="AI1059" t="s">
        <v>4655</v>
      </c>
      <c r="AJ1059" t="s">
        <v>4655</v>
      </c>
      <c r="AK1059" t="s">
        <v>9814</v>
      </c>
      <c r="AL1059" s="13" t="s">
        <v>2257</v>
      </c>
      <c r="AM1059">
        <v>1</v>
      </c>
      <c r="AN1059" s="15" t="s">
        <v>5278</v>
      </c>
    </row>
    <row r="1060" spans="1:40" x14ac:dyDescent="0.3">
      <c r="A1060" s="10" t="str">
        <f>HYPERLINK("http://www.washoecounty.gov/assessor/cama/?parid=013-061-08&amp;CardNumber=1","013-061-08")</f>
        <v>013-061-08</v>
      </c>
      <c r="B1060" t="s">
        <v>4655</v>
      </c>
      <c r="C1060" t="s">
        <v>9815</v>
      </c>
      <c r="D1060" s="1">
        <v>40449</v>
      </c>
      <c r="E1060" s="2">
        <v>118000</v>
      </c>
      <c r="F1060" t="s">
        <v>4567</v>
      </c>
      <c r="G1060" s="17" t="str">
        <f>HYPERLINK("https://www.washoecounty.gov/assessor/cama/?command=sales&amp;parid=01306108","3926880")</f>
        <v>3926880</v>
      </c>
      <c r="H1060" t="s">
        <v>9816</v>
      </c>
      <c r="I1060">
        <v>1948</v>
      </c>
      <c r="J1060">
        <v>1948</v>
      </c>
      <c r="K1060" t="s">
        <v>4554</v>
      </c>
      <c r="L1060" t="s">
        <v>4555</v>
      </c>
      <c r="M1060" s="2">
        <v>808</v>
      </c>
      <c r="N1060" t="s">
        <v>4556</v>
      </c>
      <c r="O1060">
        <v>2</v>
      </c>
      <c r="P1060">
        <v>1</v>
      </c>
      <c r="Q1060">
        <v>0</v>
      </c>
      <c r="R1060" t="s">
        <v>1800</v>
      </c>
      <c r="S1060" t="s">
        <v>4135</v>
      </c>
      <c r="T1060" t="s">
        <v>4559</v>
      </c>
      <c r="U1060" t="s">
        <v>4655</v>
      </c>
      <c r="V1060" s="2">
        <v>0</v>
      </c>
      <c r="W1060" t="s">
        <v>4655</v>
      </c>
      <c r="X1060" s="2">
        <v>0</v>
      </c>
      <c r="Y1060">
        <v>20</v>
      </c>
      <c r="Z1060" t="s">
        <v>4561</v>
      </c>
      <c r="AA1060" s="3">
        <v>0.17100550234317799</v>
      </c>
      <c r="AB1060" t="s">
        <v>9817</v>
      </c>
      <c r="AC1060" t="s">
        <v>4562</v>
      </c>
      <c r="AD1060" t="s">
        <v>9818</v>
      </c>
      <c r="AE1060" t="s">
        <v>4655</v>
      </c>
      <c r="AF1060" t="s">
        <v>4563</v>
      </c>
      <c r="AG1060" t="s">
        <v>4564</v>
      </c>
      <c r="AH1060">
        <v>89502</v>
      </c>
      <c r="AI1060" t="s">
        <v>4655</v>
      </c>
      <c r="AJ1060" t="s">
        <v>4655</v>
      </c>
      <c r="AK1060" t="s">
        <v>9819</v>
      </c>
      <c r="AL1060" s="13" t="s">
        <v>2257</v>
      </c>
      <c r="AM1060" s="14">
        <v>1</v>
      </c>
      <c r="AN1060" s="15" t="s">
        <v>5278</v>
      </c>
    </row>
    <row r="1061" spans="1:40" x14ac:dyDescent="0.3">
      <c r="A1061" s="10" t="str">
        <f>HYPERLINK("http://www.washoecounty.gov/assessor/cama/?parid=013-061-33&amp;CardNumber=1","013-061-33")</f>
        <v>013-061-33</v>
      </c>
      <c r="B1061" t="s">
        <v>4655</v>
      </c>
      <c r="C1061" t="s">
        <v>4030</v>
      </c>
      <c r="D1061" s="1">
        <v>40296</v>
      </c>
      <c r="E1061" s="2">
        <v>91350</v>
      </c>
      <c r="F1061" t="s">
        <v>4553</v>
      </c>
      <c r="G1061" s="17" t="str">
        <f>HYPERLINK("https://www.washoecounty.gov/assessor/cama/?command=sales&amp;parid=01306133","3875771")</f>
        <v>3875771</v>
      </c>
      <c r="H1061" t="s">
        <v>2795</v>
      </c>
      <c r="I1061">
        <v>1962</v>
      </c>
      <c r="J1061">
        <v>1962</v>
      </c>
      <c r="K1061" t="s">
        <v>4554</v>
      </c>
      <c r="L1061" t="s">
        <v>4555</v>
      </c>
      <c r="M1061" s="2">
        <v>1188</v>
      </c>
      <c r="N1061" t="s">
        <v>4048</v>
      </c>
      <c r="O1061">
        <v>3</v>
      </c>
      <c r="P1061">
        <v>2</v>
      </c>
      <c r="Q1061">
        <v>0</v>
      </c>
      <c r="R1061" t="s">
        <v>4557</v>
      </c>
      <c r="S1061" t="s">
        <v>4135</v>
      </c>
      <c r="T1061" t="s">
        <v>4559</v>
      </c>
      <c r="U1061" t="s">
        <v>4560</v>
      </c>
      <c r="V1061" s="2">
        <v>440</v>
      </c>
      <c r="W1061" t="s">
        <v>4655</v>
      </c>
      <c r="X1061" s="2">
        <v>0</v>
      </c>
      <c r="Y1061">
        <v>20</v>
      </c>
      <c r="Z1061" t="s">
        <v>4561</v>
      </c>
      <c r="AA1061" s="3">
        <v>0.15599173307418801</v>
      </c>
      <c r="AB1061" t="s">
        <v>9820</v>
      </c>
      <c r="AC1061" t="s">
        <v>4562</v>
      </c>
      <c r="AD1061" t="s">
        <v>5698</v>
      </c>
      <c r="AE1061" t="s">
        <v>4655</v>
      </c>
      <c r="AF1061" t="s">
        <v>3114</v>
      </c>
      <c r="AG1061" t="s">
        <v>4564</v>
      </c>
      <c r="AH1061">
        <v>89502</v>
      </c>
      <c r="AI1061" t="s">
        <v>4031</v>
      </c>
      <c r="AJ1061" t="s">
        <v>4655</v>
      </c>
      <c r="AK1061" t="s">
        <v>4033</v>
      </c>
      <c r="AL1061" s="13" t="s">
        <v>2257</v>
      </c>
      <c r="AM1061">
        <v>1</v>
      </c>
      <c r="AN1061" s="15" t="s">
        <v>5278</v>
      </c>
    </row>
    <row r="1062" spans="1:40" x14ac:dyDescent="0.3">
      <c r="A1062" s="10" t="str">
        <f>HYPERLINK("http://www.washoecounty.gov/assessor/cama/?parid=013-093-14&amp;CardNumber=1","013-093-14")</f>
        <v>013-093-14</v>
      </c>
      <c r="B1062" t="s">
        <v>5502</v>
      </c>
      <c r="C1062" t="s">
        <v>9821</v>
      </c>
      <c r="D1062" s="1">
        <v>40256</v>
      </c>
      <c r="E1062" s="2">
        <v>85000</v>
      </c>
      <c r="F1062" t="s">
        <v>4553</v>
      </c>
      <c r="G1062" s="17" t="str">
        <f>HYPERLINK("https://www.washoecounty.gov/assessor/cama/?command=sales&amp;parid=01309314","3861897")</f>
        <v>3861897</v>
      </c>
      <c r="H1062" t="s">
        <v>3610</v>
      </c>
      <c r="I1062">
        <v>1920</v>
      </c>
      <c r="J1062">
        <v>1920</v>
      </c>
      <c r="K1062" t="s">
        <v>4554</v>
      </c>
      <c r="L1062" t="s">
        <v>4555</v>
      </c>
      <c r="M1062" s="2">
        <v>700</v>
      </c>
      <c r="N1062" t="s">
        <v>4556</v>
      </c>
      <c r="O1062">
        <v>2</v>
      </c>
      <c r="P1062">
        <v>1</v>
      </c>
      <c r="Q1062">
        <v>0</v>
      </c>
      <c r="R1062" t="s">
        <v>1800</v>
      </c>
      <c r="S1062" t="s">
        <v>3046</v>
      </c>
      <c r="T1062" t="s">
        <v>4559</v>
      </c>
      <c r="U1062" t="s">
        <v>4655</v>
      </c>
      <c r="V1062" s="2">
        <v>0</v>
      </c>
      <c r="W1062" t="s">
        <v>3149</v>
      </c>
      <c r="X1062" s="2">
        <v>700</v>
      </c>
      <c r="Y1062">
        <v>31</v>
      </c>
      <c r="Z1062" t="s">
        <v>2705</v>
      </c>
      <c r="AA1062" s="3">
        <v>0.16099633276462599</v>
      </c>
      <c r="AB1062" t="s">
        <v>9822</v>
      </c>
      <c r="AC1062" t="s">
        <v>4562</v>
      </c>
      <c r="AD1062" t="s">
        <v>9823</v>
      </c>
      <c r="AE1062" t="s">
        <v>4655</v>
      </c>
      <c r="AF1062" t="s">
        <v>4563</v>
      </c>
      <c r="AG1062" t="s">
        <v>4564</v>
      </c>
      <c r="AH1062">
        <v>89505</v>
      </c>
      <c r="AI1062" t="s">
        <v>4585</v>
      </c>
      <c r="AJ1062" t="s">
        <v>4655</v>
      </c>
      <c r="AK1062" t="s">
        <v>9824</v>
      </c>
      <c r="AL1062" s="13" t="s">
        <v>2255</v>
      </c>
      <c r="AM1062">
        <v>2</v>
      </c>
      <c r="AN1062" s="15" t="s">
        <v>3172</v>
      </c>
    </row>
    <row r="1063" spans="1:40" x14ac:dyDescent="0.3">
      <c r="A1063" s="10" t="str">
        <f>HYPERLINK("http://www.washoecounty.gov/assessor/cama/?parid=013-093-15&amp;CardNumber=1","013-093-15")</f>
        <v>013-093-15</v>
      </c>
      <c r="B1063" t="s">
        <v>4655</v>
      </c>
      <c r="C1063" t="s">
        <v>9825</v>
      </c>
      <c r="D1063" s="1">
        <v>40231</v>
      </c>
      <c r="E1063" s="2">
        <v>117500</v>
      </c>
      <c r="F1063" t="s">
        <v>4567</v>
      </c>
      <c r="G1063" s="17" t="str">
        <f>HYPERLINK("https://www.washoecounty.gov/assessor/cama/?command=sales&amp;parid=01309315","3851612")</f>
        <v>3851612</v>
      </c>
      <c r="H1063" t="s">
        <v>9826</v>
      </c>
      <c r="I1063">
        <v>1926</v>
      </c>
      <c r="J1063">
        <v>1926</v>
      </c>
      <c r="K1063" t="s">
        <v>4554</v>
      </c>
      <c r="L1063" t="s">
        <v>4555</v>
      </c>
      <c r="M1063" s="2">
        <v>1098</v>
      </c>
      <c r="N1063" t="s">
        <v>4556</v>
      </c>
      <c r="O1063">
        <v>2</v>
      </c>
      <c r="P1063">
        <v>2</v>
      </c>
      <c r="Q1063">
        <v>0</v>
      </c>
      <c r="R1063" t="s">
        <v>4557</v>
      </c>
      <c r="S1063" t="s">
        <v>4135</v>
      </c>
      <c r="T1063" t="s">
        <v>4559</v>
      </c>
      <c r="U1063" t="s">
        <v>4655</v>
      </c>
      <c r="V1063" s="2">
        <v>0</v>
      </c>
      <c r="W1063" t="s">
        <v>3149</v>
      </c>
      <c r="X1063" s="2">
        <v>1062</v>
      </c>
      <c r="Y1063">
        <v>20</v>
      </c>
      <c r="Z1063" t="s">
        <v>2705</v>
      </c>
      <c r="AA1063" s="3">
        <v>0.114990815520287</v>
      </c>
      <c r="AB1063" t="s">
        <v>9827</v>
      </c>
      <c r="AC1063" t="s">
        <v>4562</v>
      </c>
      <c r="AD1063" t="s">
        <v>9825</v>
      </c>
      <c r="AE1063" t="s">
        <v>4655</v>
      </c>
      <c r="AF1063" t="s">
        <v>4563</v>
      </c>
      <c r="AG1063" t="s">
        <v>4564</v>
      </c>
      <c r="AH1063">
        <v>89502</v>
      </c>
      <c r="AI1063" t="s">
        <v>9828</v>
      </c>
      <c r="AJ1063" t="s">
        <v>4655</v>
      </c>
      <c r="AK1063" t="s">
        <v>9829</v>
      </c>
      <c r="AL1063" s="13" t="s">
        <v>2255</v>
      </c>
      <c r="AM1063" s="14">
        <v>1</v>
      </c>
      <c r="AN1063" s="15" t="s">
        <v>5278</v>
      </c>
    </row>
    <row r="1064" spans="1:40" x14ac:dyDescent="0.3">
      <c r="A1064" s="10" t="str">
        <f>HYPERLINK("http://www.washoecounty.gov/assessor/cama/?parid=013-102-12&amp;CardNumber=1","013-102-12")</f>
        <v>013-102-12</v>
      </c>
      <c r="B1064" t="s">
        <v>4655</v>
      </c>
      <c r="C1064" t="s">
        <v>9830</v>
      </c>
      <c r="D1064" s="1">
        <v>40506</v>
      </c>
      <c r="E1064" s="2">
        <v>110000</v>
      </c>
      <c r="F1064" t="s">
        <v>4567</v>
      </c>
      <c r="G1064" s="17" t="str">
        <f>HYPERLINK("https://www.washoecounty.gov/assessor/cama/?command=sales&amp;parid=01310212","3946502")</f>
        <v>3946502</v>
      </c>
      <c r="H1064" t="s">
        <v>917</v>
      </c>
      <c r="I1064">
        <v>1947</v>
      </c>
      <c r="J1064">
        <v>1947</v>
      </c>
      <c r="K1064" t="s">
        <v>4907</v>
      </c>
      <c r="L1064" t="s">
        <v>4555</v>
      </c>
      <c r="M1064" s="2">
        <v>1389</v>
      </c>
      <c r="N1064" t="s">
        <v>4556</v>
      </c>
      <c r="O1064">
        <v>3</v>
      </c>
      <c r="P1064">
        <v>2</v>
      </c>
      <c r="Q1064">
        <v>0</v>
      </c>
      <c r="R1064" t="s">
        <v>4557</v>
      </c>
      <c r="S1064" t="s">
        <v>4682</v>
      </c>
      <c r="T1064" t="s">
        <v>4559</v>
      </c>
      <c r="U1064" t="s">
        <v>4560</v>
      </c>
      <c r="V1064" s="2">
        <v>182</v>
      </c>
      <c r="W1064" t="s">
        <v>3149</v>
      </c>
      <c r="X1064" s="2">
        <v>800</v>
      </c>
      <c r="Y1064">
        <v>30</v>
      </c>
      <c r="Z1064" t="s">
        <v>4144</v>
      </c>
      <c r="AA1064" s="3">
        <v>0.13000458478927601</v>
      </c>
      <c r="AB1064" t="s">
        <v>9831</v>
      </c>
      <c r="AC1064" t="s">
        <v>4562</v>
      </c>
      <c r="AD1064" t="s">
        <v>9830</v>
      </c>
      <c r="AE1064" t="s">
        <v>4655</v>
      </c>
      <c r="AF1064" t="s">
        <v>4563</v>
      </c>
      <c r="AG1064" t="s">
        <v>4564</v>
      </c>
      <c r="AH1064">
        <v>89502</v>
      </c>
      <c r="AI1064" t="s">
        <v>9832</v>
      </c>
      <c r="AJ1064" t="s">
        <v>4655</v>
      </c>
      <c r="AK1064" t="s">
        <v>9833</v>
      </c>
      <c r="AL1064" s="13" t="s">
        <v>2255</v>
      </c>
      <c r="AM1064" s="14">
        <v>2</v>
      </c>
      <c r="AN1064" s="15" t="s">
        <v>3172</v>
      </c>
    </row>
    <row r="1065" spans="1:40" x14ac:dyDescent="0.3">
      <c r="A1065" s="10" t="str">
        <f>HYPERLINK("http://www.washoecounty.gov/assessor/cama/?parid=013-102-14&amp;CardNumber=1","013-102-14")</f>
        <v>013-102-14</v>
      </c>
      <c r="B1065" t="s">
        <v>4655</v>
      </c>
      <c r="C1065" t="s">
        <v>9834</v>
      </c>
      <c r="D1065" s="1">
        <v>40330</v>
      </c>
      <c r="E1065" s="2">
        <v>90500</v>
      </c>
      <c r="F1065" t="s">
        <v>4553</v>
      </c>
      <c r="G1065" s="17" t="str">
        <f>HYPERLINK("https://www.washoecounty.gov/assessor/cama/?command=sales&amp;parid=01310214","3887221")</f>
        <v>3887221</v>
      </c>
      <c r="H1065" t="s">
        <v>9835</v>
      </c>
      <c r="I1065">
        <v>1938</v>
      </c>
      <c r="J1065">
        <v>1938</v>
      </c>
      <c r="K1065" t="s">
        <v>4554</v>
      </c>
      <c r="L1065" t="s">
        <v>4555</v>
      </c>
      <c r="M1065" s="2">
        <v>1008</v>
      </c>
      <c r="N1065" t="s">
        <v>4556</v>
      </c>
      <c r="O1065">
        <v>2</v>
      </c>
      <c r="P1065">
        <v>1</v>
      </c>
      <c r="Q1065">
        <v>0</v>
      </c>
      <c r="R1065" t="s">
        <v>4557</v>
      </c>
      <c r="S1065" t="s">
        <v>3046</v>
      </c>
      <c r="T1065" t="s">
        <v>4559</v>
      </c>
      <c r="U1065" t="s">
        <v>4655</v>
      </c>
      <c r="V1065" s="2">
        <v>0</v>
      </c>
      <c r="W1065" t="s">
        <v>4571</v>
      </c>
      <c r="X1065" s="2">
        <v>1008</v>
      </c>
      <c r="Y1065">
        <v>20</v>
      </c>
      <c r="Z1065" t="s">
        <v>4144</v>
      </c>
      <c r="AA1065" s="3">
        <v>7.8122131526470198E-2</v>
      </c>
      <c r="AB1065" t="s">
        <v>9836</v>
      </c>
      <c r="AC1065" t="s">
        <v>4562</v>
      </c>
      <c r="AD1065" t="s">
        <v>9837</v>
      </c>
      <c r="AE1065" t="s">
        <v>4655</v>
      </c>
      <c r="AF1065" t="s">
        <v>4563</v>
      </c>
      <c r="AG1065" t="s">
        <v>4564</v>
      </c>
      <c r="AH1065">
        <v>89502</v>
      </c>
      <c r="AI1065" t="s">
        <v>9836</v>
      </c>
      <c r="AJ1065" t="s">
        <v>9838</v>
      </c>
      <c r="AK1065" t="s">
        <v>9839</v>
      </c>
      <c r="AL1065" s="13" t="s">
        <v>2255</v>
      </c>
      <c r="AM1065" s="14">
        <v>1</v>
      </c>
      <c r="AN1065" s="15" t="s">
        <v>5278</v>
      </c>
    </row>
    <row r="1066" spans="1:40" x14ac:dyDescent="0.3">
      <c r="A1066" s="10" t="str">
        <f>HYPERLINK("http://www.washoecounty.gov/assessor/cama/?parid=013-102-15&amp;CardNumber=1","013-102-15")</f>
        <v>013-102-15</v>
      </c>
      <c r="B1066" t="s">
        <v>4655</v>
      </c>
      <c r="C1066" t="s">
        <v>9840</v>
      </c>
      <c r="D1066" s="1">
        <v>40330</v>
      </c>
      <c r="E1066" s="2">
        <v>47500</v>
      </c>
      <c r="F1066" t="s">
        <v>4553</v>
      </c>
      <c r="G1066" s="17" t="str">
        <f>HYPERLINK("https://www.washoecounty.gov/assessor/cama/?command=sales&amp;parid=01310215","3887246")</f>
        <v>3887246</v>
      </c>
      <c r="H1066" t="s">
        <v>9835</v>
      </c>
      <c r="I1066">
        <v>1954</v>
      </c>
      <c r="J1066">
        <v>1954</v>
      </c>
      <c r="K1066" t="s">
        <v>4554</v>
      </c>
      <c r="L1066" t="s">
        <v>4555</v>
      </c>
      <c r="M1066" s="2">
        <v>758</v>
      </c>
      <c r="N1066" t="s">
        <v>4672</v>
      </c>
      <c r="O1066">
        <v>2</v>
      </c>
      <c r="P1066">
        <v>1</v>
      </c>
      <c r="Q1066">
        <v>0</v>
      </c>
      <c r="R1066" t="s">
        <v>4134</v>
      </c>
      <c r="S1066" t="s">
        <v>4574</v>
      </c>
      <c r="T1066" t="s">
        <v>4559</v>
      </c>
      <c r="U1066" t="s">
        <v>4655</v>
      </c>
      <c r="V1066" s="2">
        <v>0</v>
      </c>
      <c r="W1066" t="s">
        <v>4655</v>
      </c>
      <c r="X1066" s="2">
        <v>0</v>
      </c>
      <c r="Y1066">
        <v>20</v>
      </c>
      <c r="Z1066" t="s">
        <v>4144</v>
      </c>
      <c r="AA1066" s="3">
        <v>8.2300275564193698E-2</v>
      </c>
      <c r="AB1066" t="s">
        <v>9841</v>
      </c>
      <c r="AC1066" t="s">
        <v>4562</v>
      </c>
      <c r="AD1066" t="s">
        <v>9842</v>
      </c>
      <c r="AE1066" t="s">
        <v>4655</v>
      </c>
      <c r="AF1066" t="s">
        <v>4563</v>
      </c>
      <c r="AG1066" t="s">
        <v>4564</v>
      </c>
      <c r="AH1066">
        <v>89502</v>
      </c>
      <c r="AI1066" t="s">
        <v>4655</v>
      </c>
      <c r="AJ1066" t="s">
        <v>9838</v>
      </c>
      <c r="AK1066" t="s">
        <v>9843</v>
      </c>
      <c r="AL1066" s="13" t="s">
        <v>2255</v>
      </c>
      <c r="AM1066">
        <v>1</v>
      </c>
      <c r="AN1066" s="15" t="s">
        <v>5278</v>
      </c>
    </row>
    <row r="1067" spans="1:40" x14ac:dyDescent="0.3">
      <c r="A1067" s="10" t="str">
        <f>HYPERLINK("http://www.washoecounty.gov/assessor/cama/?parid=013-104-25&amp;CardNumber=1","013-104-25")</f>
        <v>013-104-25</v>
      </c>
      <c r="B1067" t="s">
        <v>4655</v>
      </c>
      <c r="C1067" t="s">
        <v>9844</v>
      </c>
      <c r="D1067" s="1">
        <v>40448</v>
      </c>
      <c r="E1067" s="2">
        <v>65000</v>
      </c>
      <c r="F1067" t="s">
        <v>4567</v>
      </c>
      <c r="G1067" s="17" t="str">
        <f>HYPERLINK("https://www.washoecounty.gov/assessor/cama/?command=sales&amp;parid=01310425","3926463")</f>
        <v>3926463</v>
      </c>
      <c r="H1067" t="s">
        <v>9845</v>
      </c>
      <c r="I1067">
        <v>1936</v>
      </c>
      <c r="J1067">
        <v>1936</v>
      </c>
      <c r="K1067" t="s">
        <v>4554</v>
      </c>
      <c r="L1067" t="s">
        <v>4555</v>
      </c>
      <c r="M1067" s="2">
        <v>891</v>
      </c>
      <c r="N1067" t="s">
        <v>4556</v>
      </c>
      <c r="O1067">
        <v>2</v>
      </c>
      <c r="P1067">
        <v>1</v>
      </c>
      <c r="Q1067">
        <v>0</v>
      </c>
      <c r="R1067" t="s">
        <v>1800</v>
      </c>
      <c r="S1067" t="s">
        <v>4558</v>
      </c>
      <c r="T1067" t="s">
        <v>4559</v>
      </c>
      <c r="U1067" t="s">
        <v>4655</v>
      </c>
      <c r="V1067" s="2">
        <v>0</v>
      </c>
      <c r="W1067" t="s">
        <v>4655</v>
      </c>
      <c r="X1067" s="2">
        <v>0</v>
      </c>
      <c r="Y1067">
        <v>20</v>
      </c>
      <c r="Z1067" t="s">
        <v>4144</v>
      </c>
      <c r="AA1067" s="3">
        <v>6.8870522081852001E-2</v>
      </c>
      <c r="AB1067" t="s">
        <v>9846</v>
      </c>
      <c r="AC1067" t="s">
        <v>4562</v>
      </c>
      <c r="AD1067" t="s">
        <v>9844</v>
      </c>
      <c r="AE1067" t="s">
        <v>4655</v>
      </c>
      <c r="AF1067" t="s">
        <v>4563</v>
      </c>
      <c r="AG1067" t="s">
        <v>4564</v>
      </c>
      <c r="AH1067">
        <v>89502</v>
      </c>
      <c r="AI1067" t="s">
        <v>9847</v>
      </c>
      <c r="AJ1067" t="s">
        <v>9848</v>
      </c>
      <c r="AK1067" t="s">
        <v>9849</v>
      </c>
      <c r="AL1067" s="13" t="s">
        <v>2255</v>
      </c>
      <c r="AM1067">
        <v>1</v>
      </c>
      <c r="AN1067" s="15" t="s">
        <v>5278</v>
      </c>
    </row>
    <row r="1068" spans="1:40" x14ac:dyDescent="0.3">
      <c r="A1068" s="10" t="str">
        <f>HYPERLINK("http://www.washoecounty.gov/assessor/cama/?parid=013-112-08&amp;CardNumber=1","013-112-08")</f>
        <v>013-112-08</v>
      </c>
      <c r="B1068" t="s">
        <v>4655</v>
      </c>
      <c r="C1068" t="s">
        <v>9850</v>
      </c>
      <c r="D1068" s="1">
        <v>40458</v>
      </c>
      <c r="E1068" s="2">
        <v>47694</v>
      </c>
      <c r="F1068" t="s">
        <v>4567</v>
      </c>
      <c r="G1068" s="17" t="str">
        <f>HYPERLINK("https://www.washoecounty.gov/assessor/cama/?command=sales&amp;parid=01311208","3930864")</f>
        <v>3930864</v>
      </c>
      <c r="H1068" t="s">
        <v>1956</v>
      </c>
      <c r="I1068">
        <v>1914</v>
      </c>
      <c r="J1068">
        <v>1914</v>
      </c>
      <c r="K1068" t="s">
        <v>4554</v>
      </c>
      <c r="L1068" t="s">
        <v>4555</v>
      </c>
      <c r="M1068" s="2">
        <v>1055</v>
      </c>
      <c r="N1068" t="s">
        <v>4556</v>
      </c>
      <c r="O1068">
        <v>3</v>
      </c>
      <c r="P1068">
        <v>1</v>
      </c>
      <c r="Q1068">
        <v>1</v>
      </c>
      <c r="R1068" t="s">
        <v>4134</v>
      </c>
      <c r="S1068" t="s">
        <v>3046</v>
      </c>
      <c r="T1068" t="s">
        <v>4559</v>
      </c>
      <c r="U1068" t="s">
        <v>4655</v>
      </c>
      <c r="V1068" s="2">
        <v>0</v>
      </c>
      <c r="W1068" t="s">
        <v>3149</v>
      </c>
      <c r="X1068" s="2">
        <v>330</v>
      </c>
      <c r="Y1068">
        <v>20</v>
      </c>
      <c r="Z1068" t="s">
        <v>2705</v>
      </c>
      <c r="AA1068" s="3">
        <v>8.2988977432251004E-2</v>
      </c>
      <c r="AB1068" t="s">
        <v>9851</v>
      </c>
      <c r="AC1068" t="s">
        <v>4575</v>
      </c>
      <c r="AD1068" t="s">
        <v>9852</v>
      </c>
      <c r="AE1068" t="s">
        <v>4655</v>
      </c>
      <c r="AF1068" t="s">
        <v>4563</v>
      </c>
      <c r="AG1068" t="s">
        <v>4564</v>
      </c>
      <c r="AH1068">
        <v>89509</v>
      </c>
      <c r="AI1068" t="s">
        <v>9853</v>
      </c>
      <c r="AJ1068" t="s">
        <v>4655</v>
      </c>
      <c r="AK1068" t="s">
        <v>9854</v>
      </c>
      <c r="AL1068" s="13" t="s">
        <v>2255</v>
      </c>
      <c r="AM1068">
        <v>1</v>
      </c>
      <c r="AN1068" s="15" t="s">
        <v>5278</v>
      </c>
    </row>
    <row r="1069" spans="1:40" x14ac:dyDescent="0.3">
      <c r="A1069" s="10" t="str">
        <f>HYPERLINK("http://www.washoecounty.gov/assessor/cama/?parid=013-112-13&amp;CardNumber=1","013-112-13")</f>
        <v>013-112-13</v>
      </c>
      <c r="B1069" t="s">
        <v>4655</v>
      </c>
      <c r="C1069" t="s">
        <v>9855</v>
      </c>
      <c r="D1069" s="1">
        <v>40428</v>
      </c>
      <c r="E1069" s="2">
        <v>50000</v>
      </c>
      <c r="F1069" t="s">
        <v>4567</v>
      </c>
      <c r="G1069" s="17" t="str">
        <f>HYPERLINK("https://www.washoecounty.gov/assessor/cama/?command=sales&amp;parid=01311213","3919259")</f>
        <v>3919259</v>
      </c>
      <c r="H1069" t="s">
        <v>9856</v>
      </c>
      <c r="I1069">
        <v>1920</v>
      </c>
      <c r="J1069">
        <v>1942</v>
      </c>
      <c r="K1069" t="s">
        <v>1391</v>
      </c>
      <c r="L1069" t="s">
        <v>4555</v>
      </c>
      <c r="M1069" s="2">
        <v>1545</v>
      </c>
      <c r="N1069" t="s">
        <v>5280</v>
      </c>
      <c r="O1069">
        <v>2</v>
      </c>
      <c r="P1069">
        <v>2</v>
      </c>
      <c r="Q1069">
        <v>0</v>
      </c>
      <c r="R1069" t="s">
        <v>4557</v>
      </c>
      <c r="S1069" t="s">
        <v>4898</v>
      </c>
      <c r="T1069" t="s">
        <v>4559</v>
      </c>
      <c r="U1069" t="s">
        <v>4655</v>
      </c>
      <c r="V1069" s="2">
        <v>0</v>
      </c>
      <c r="W1069" t="s">
        <v>3149</v>
      </c>
      <c r="X1069" s="2">
        <v>312</v>
      </c>
      <c r="Y1069">
        <v>41</v>
      </c>
      <c r="Z1069" t="s">
        <v>4051</v>
      </c>
      <c r="AA1069" s="3">
        <v>0.16099633276462599</v>
      </c>
      <c r="AB1069" t="s">
        <v>5146</v>
      </c>
      <c r="AC1069" t="s">
        <v>4562</v>
      </c>
      <c r="AD1069" t="s">
        <v>9857</v>
      </c>
      <c r="AE1069" t="s">
        <v>4655</v>
      </c>
      <c r="AF1069" t="s">
        <v>4563</v>
      </c>
      <c r="AG1069" t="s">
        <v>4564</v>
      </c>
      <c r="AH1069">
        <v>89511</v>
      </c>
      <c r="AI1069" t="s">
        <v>9858</v>
      </c>
      <c r="AJ1069" t="s">
        <v>4655</v>
      </c>
      <c r="AK1069" t="s">
        <v>9859</v>
      </c>
      <c r="AL1069" s="13" t="s">
        <v>2255</v>
      </c>
      <c r="AM1069">
        <v>1</v>
      </c>
      <c r="AN1069" s="15" t="s">
        <v>4089</v>
      </c>
    </row>
    <row r="1070" spans="1:40" x14ac:dyDescent="0.3">
      <c r="A1070" s="10" t="str">
        <f>HYPERLINK("http://www.washoecounty.gov/assessor/cama/?parid=013-116-07&amp;CardNumber=1","013-116-07")</f>
        <v>013-116-07</v>
      </c>
      <c r="B1070" t="s">
        <v>5502</v>
      </c>
      <c r="C1070" t="s">
        <v>2839</v>
      </c>
      <c r="D1070" s="1">
        <v>40317</v>
      </c>
      <c r="E1070" s="2">
        <v>90000</v>
      </c>
      <c r="F1070" t="s">
        <v>4567</v>
      </c>
      <c r="G1070" s="17" t="str">
        <f>HYPERLINK("https://www.washoecounty.gov/assessor/cama/?command=sales&amp;parid=01311607","3883046")</f>
        <v>3883046</v>
      </c>
      <c r="H1070" t="s">
        <v>3173</v>
      </c>
      <c r="I1070">
        <v>1940</v>
      </c>
      <c r="J1070">
        <v>1940</v>
      </c>
      <c r="K1070" t="s">
        <v>4554</v>
      </c>
      <c r="L1070" t="s">
        <v>4555</v>
      </c>
      <c r="M1070" s="2">
        <v>1119</v>
      </c>
      <c r="N1070" t="s">
        <v>4556</v>
      </c>
      <c r="O1070">
        <v>2</v>
      </c>
      <c r="P1070">
        <v>1</v>
      </c>
      <c r="Q1070">
        <v>0</v>
      </c>
      <c r="R1070" t="s">
        <v>4557</v>
      </c>
      <c r="S1070" t="s">
        <v>4135</v>
      </c>
      <c r="T1070" t="s">
        <v>4559</v>
      </c>
      <c r="U1070" t="s">
        <v>4560</v>
      </c>
      <c r="V1070" s="2">
        <v>242</v>
      </c>
      <c r="W1070" t="s">
        <v>3149</v>
      </c>
      <c r="X1070" s="2">
        <v>360</v>
      </c>
      <c r="Y1070">
        <v>32</v>
      </c>
      <c r="Z1070" t="s">
        <v>4144</v>
      </c>
      <c r="AA1070" s="3">
        <v>0.16099633276462599</v>
      </c>
      <c r="AB1070" t="s">
        <v>4951</v>
      </c>
      <c r="AC1070" t="s">
        <v>4562</v>
      </c>
      <c r="AD1070" t="s">
        <v>3175</v>
      </c>
      <c r="AE1070" t="s">
        <v>4655</v>
      </c>
      <c r="AF1070" t="s">
        <v>4563</v>
      </c>
      <c r="AG1070" t="s">
        <v>4564</v>
      </c>
      <c r="AH1070">
        <v>89511</v>
      </c>
      <c r="AI1070" t="s">
        <v>2840</v>
      </c>
      <c r="AJ1070" t="s">
        <v>4655</v>
      </c>
      <c r="AK1070" t="s">
        <v>2842</v>
      </c>
      <c r="AL1070" s="13" t="s">
        <v>2255</v>
      </c>
      <c r="AM1070" s="14">
        <v>3</v>
      </c>
      <c r="AN1070" s="15" t="s">
        <v>3172</v>
      </c>
    </row>
    <row r="1071" spans="1:40" x14ac:dyDescent="0.3">
      <c r="A1071" s="10" t="str">
        <f>HYPERLINK("http://www.washoecounty.gov/assessor/cama/?parid=013-121-04&amp;CardNumber=1","013-121-04")</f>
        <v>013-121-04</v>
      </c>
      <c r="B1071" t="s">
        <v>4655</v>
      </c>
      <c r="C1071" t="s">
        <v>9860</v>
      </c>
      <c r="D1071" s="1">
        <v>40231</v>
      </c>
      <c r="E1071" s="2">
        <v>140000</v>
      </c>
      <c r="F1071" t="s">
        <v>4567</v>
      </c>
      <c r="G1071" s="17" t="str">
        <f>HYPERLINK("https://www.washoecounty.gov/assessor/cama/?command=sales&amp;parid=01312104","3851678")</f>
        <v>3851678</v>
      </c>
      <c r="H1071" t="s">
        <v>9861</v>
      </c>
      <c r="I1071">
        <v>1935</v>
      </c>
      <c r="J1071">
        <v>1935</v>
      </c>
      <c r="K1071" t="s">
        <v>4554</v>
      </c>
      <c r="L1071" t="s">
        <v>4555</v>
      </c>
      <c r="M1071" s="2">
        <v>1068</v>
      </c>
      <c r="N1071" t="s">
        <v>4556</v>
      </c>
      <c r="O1071">
        <v>2</v>
      </c>
      <c r="P1071">
        <v>1</v>
      </c>
      <c r="Q1071">
        <v>0</v>
      </c>
      <c r="R1071" t="s">
        <v>4557</v>
      </c>
      <c r="S1071" t="s">
        <v>3046</v>
      </c>
      <c r="T1071" t="s">
        <v>4559</v>
      </c>
      <c r="U1071" t="s">
        <v>4655</v>
      </c>
      <c r="V1071" s="2">
        <v>0</v>
      </c>
      <c r="W1071" t="s">
        <v>3149</v>
      </c>
      <c r="X1071" s="2">
        <v>1068</v>
      </c>
      <c r="Y1071">
        <v>20</v>
      </c>
      <c r="Z1071" t="s">
        <v>4144</v>
      </c>
      <c r="AA1071" s="3">
        <v>0.16099633276462599</v>
      </c>
      <c r="AB1071" t="s">
        <v>9862</v>
      </c>
      <c r="AC1071" t="s">
        <v>4562</v>
      </c>
      <c r="AD1071" t="s">
        <v>9863</v>
      </c>
      <c r="AE1071" t="s">
        <v>4655</v>
      </c>
      <c r="AF1071" t="s">
        <v>9864</v>
      </c>
      <c r="AG1071" t="s">
        <v>1434</v>
      </c>
      <c r="AH1071">
        <v>97015</v>
      </c>
      <c r="AI1071" t="s">
        <v>9865</v>
      </c>
      <c r="AJ1071" t="s">
        <v>4655</v>
      </c>
      <c r="AK1071" t="s">
        <v>9866</v>
      </c>
      <c r="AL1071" s="13" t="s">
        <v>2255</v>
      </c>
      <c r="AM1071" s="14">
        <v>1</v>
      </c>
      <c r="AN1071" s="15" t="s">
        <v>5278</v>
      </c>
    </row>
    <row r="1072" spans="1:40" x14ac:dyDescent="0.3">
      <c r="A1072" s="10" t="str">
        <f>HYPERLINK("http://www.washoecounty.gov/assessor/cama/?parid=013-121-13&amp;CardNumber=1","013-121-13")</f>
        <v>013-121-13</v>
      </c>
      <c r="B1072" t="s">
        <v>4655</v>
      </c>
      <c r="C1072" t="s">
        <v>916</v>
      </c>
      <c r="D1072" s="1">
        <v>40389</v>
      </c>
      <c r="E1072" s="2">
        <v>110000</v>
      </c>
      <c r="F1072" t="s">
        <v>4567</v>
      </c>
      <c r="G1072" s="17" t="str">
        <f>HYPERLINK("https://www.washoecounty.gov/assessor/cama/?command=sales&amp;parid=01312113","3907323")</f>
        <v>3907323</v>
      </c>
      <c r="H1072" t="s">
        <v>917</v>
      </c>
      <c r="I1072">
        <v>1935</v>
      </c>
      <c r="J1072">
        <v>1935</v>
      </c>
      <c r="K1072" t="s">
        <v>4554</v>
      </c>
      <c r="L1072" t="s">
        <v>4555</v>
      </c>
      <c r="M1072" s="2">
        <v>1011</v>
      </c>
      <c r="N1072" t="s">
        <v>4556</v>
      </c>
      <c r="O1072">
        <v>0</v>
      </c>
      <c r="P1072">
        <v>1</v>
      </c>
      <c r="Q1072">
        <v>0</v>
      </c>
      <c r="R1072" t="s">
        <v>4557</v>
      </c>
      <c r="S1072" t="s">
        <v>3046</v>
      </c>
      <c r="T1072" t="s">
        <v>4559</v>
      </c>
      <c r="U1072" t="s">
        <v>4655</v>
      </c>
      <c r="V1072" s="2">
        <v>0</v>
      </c>
      <c r="W1072" t="s">
        <v>4655</v>
      </c>
      <c r="X1072" s="2">
        <v>0</v>
      </c>
      <c r="Y1072">
        <v>20</v>
      </c>
      <c r="Z1072" t="s">
        <v>4144</v>
      </c>
      <c r="AA1072" s="3">
        <v>0.17199265956878662</v>
      </c>
      <c r="AB1072" t="s">
        <v>5166</v>
      </c>
      <c r="AC1072" t="s">
        <v>4575</v>
      </c>
      <c r="AD1072" t="s">
        <v>9867</v>
      </c>
      <c r="AE1072" t="s">
        <v>4655</v>
      </c>
      <c r="AF1072" t="s">
        <v>9868</v>
      </c>
      <c r="AG1072" t="s">
        <v>4584</v>
      </c>
      <c r="AH1072">
        <v>94118</v>
      </c>
      <c r="AI1072" t="s">
        <v>4655</v>
      </c>
      <c r="AJ1072" t="s">
        <v>4655</v>
      </c>
      <c r="AK1072" t="s">
        <v>9869</v>
      </c>
      <c r="AL1072" s="13" t="s">
        <v>2255</v>
      </c>
      <c r="AM1072" s="14">
        <v>1</v>
      </c>
      <c r="AN1072" s="15" t="s">
        <v>5278</v>
      </c>
    </row>
    <row r="1073" spans="1:40" x14ac:dyDescent="0.3">
      <c r="A1073" s="10" t="str">
        <f>HYPERLINK("http://www.washoecounty.gov/assessor/cama/?parid=013-124-21&amp;CardNumber=1","013-124-21")</f>
        <v>013-124-21</v>
      </c>
      <c r="B1073" t="s">
        <v>4655</v>
      </c>
      <c r="C1073" t="s">
        <v>9870</v>
      </c>
      <c r="D1073" s="1">
        <v>40437</v>
      </c>
      <c r="E1073" s="2">
        <v>260000</v>
      </c>
      <c r="F1073" t="s">
        <v>4567</v>
      </c>
      <c r="G1073" s="17" t="str">
        <f>HYPERLINK("https://www.washoecounty.gov/assessor/cama/?command=sales&amp;parid=01312421","3923184")</f>
        <v>3923184</v>
      </c>
      <c r="H1073" t="s">
        <v>3173</v>
      </c>
      <c r="I1073">
        <v>1981</v>
      </c>
      <c r="J1073">
        <v>1981</v>
      </c>
      <c r="K1073" t="s">
        <v>4907</v>
      </c>
      <c r="L1073" t="s">
        <v>4555</v>
      </c>
      <c r="M1073" s="2">
        <v>1496</v>
      </c>
      <c r="N1073" t="s">
        <v>4556</v>
      </c>
      <c r="O1073">
        <v>2</v>
      </c>
      <c r="P1073">
        <v>2</v>
      </c>
      <c r="Q1073">
        <v>0</v>
      </c>
      <c r="R1073" t="s">
        <v>4557</v>
      </c>
      <c r="S1073" t="s">
        <v>4558</v>
      </c>
      <c r="T1073" t="s">
        <v>4559</v>
      </c>
      <c r="U1073" t="s">
        <v>4560</v>
      </c>
      <c r="V1073" s="2">
        <v>598</v>
      </c>
      <c r="W1073" t="s">
        <v>4655</v>
      </c>
      <c r="X1073" s="2">
        <v>0</v>
      </c>
      <c r="Y1073">
        <v>30</v>
      </c>
      <c r="Z1073" t="s">
        <v>4144</v>
      </c>
      <c r="AA1073" s="3">
        <v>0.16099633276462599</v>
      </c>
      <c r="AB1073" t="s">
        <v>9871</v>
      </c>
      <c r="AC1073" t="s">
        <v>4562</v>
      </c>
      <c r="AD1073" t="s">
        <v>9872</v>
      </c>
      <c r="AE1073" t="s">
        <v>4655</v>
      </c>
      <c r="AF1073" t="s">
        <v>4563</v>
      </c>
      <c r="AG1073" t="s">
        <v>4564</v>
      </c>
      <c r="AH1073">
        <v>89502</v>
      </c>
      <c r="AI1073" t="s">
        <v>9873</v>
      </c>
      <c r="AJ1073" t="s">
        <v>4655</v>
      </c>
      <c r="AK1073" t="s">
        <v>9874</v>
      </c>
      <c r="AL1073" s="13" t="s">
        <v>2255</v>
      </c>
      <c r="AM1073" s="14">
        <v>2</v>
      </c>
      <c r="AN1073" s="15" t="s">
        <v>3172</v>
      </c>
    </row>
    <row r="1074" spans="1:40" x14ac:dyDescent="0.3">
      <c r="A1074" s="10" t="str">
        <f>HYPERLINK("http://www.washoecounty.gov/assessor/cama/?parid=013-131-06&amp;CardNumber=1","013-131-06")</f>
        <v>013-131-06</v>
      </c>
      <c r="B1074" t="s">
        <v>4655</v>
      </c>
      <c r="C1074" t="s">
        <v>9875</v>
      </c>
      <c r="D1074" s="1">
        <v>40232</v>
      </c>
      <c r="E1074" s="2">
        <v>115555</v>
      </c>
      <c r="F1074" t="s">
        <v>4553</v>
      </c>
      <c r="G1074" s="17" t="str">
        <f>HYPERLINK("https://www.washoecounty.gov/assessor/cama/?command=sales&amp;parid=01313106","3852027")</f>
        <v>3852027</v>
      </c>
      <c r="H1074" t="s">
        <v>1160</v>
      </c>
      <c r="I1074">
        <v>1963</v>
      </c>
      <c r="J1074">
        <v>1963</v>
      </c>
      <c r="K1074" t="s">
        <v>4907</v>
      </c>
      <c r="L1074" t="s">
        <v>4555</v>
      </c>
      <c r="M1074" s="2">
        <v>1760</v>
      </c>
      <c r="N1074" t="s">
        <v>5280</v>
      </c>
      <c r="O1074">
        <v>4</v>
      </c>
      <c r="P1074">
        <v>2</v>
      </c>
      <c r="Q1074">
        <v>0</v>
      </c>
      <c r="R1074" t="s">
        <v>4557</v>
      </c>
      <c r="S1074" t="s">
        <v>4682</v>
      </c>
      <c r="T1074" t="s">
        <v>4559</v>
      </c>
      <c r="U1074" t="s">
        <v>4560</v>
      </c>
      <c r="V1074" s="2">
        <v>600</v>
      </c>
      <c r="W1074" t="s">
        <v>4655</v>
      </c>
      <c r="X1074" s="2">
        <v>0</v>
      </c>
      <c r="Y1074">
        <v>30</v>
      </c>
      <c r="Z1074" t="s">
        <v>4144</v>
      </c>
      <c r="AA1074" s="3">
        <v>0.14898990094661699</v>
      </c>
      <c r="AB1074" t="s">
        <v>9876</v>
      </c>
      <c r="AC1074" t="s">
        <v>4575</v>
      </c>
      <c r="AD1074" t="s">
        <v>9877</v>
      </c>
      <c r="AE1074" t="s">
        <v>4655</v>
      </c>
      <c r="AF1074" t="s">
        <v>4563</v>
      </c>
      <c r="AG1074" t="s">
        <v>4564</v>
      </c>
      <c r="AH1074">
        <v>89511</v>
      </c>
      <c r="AI1074" t="s">
        <v>4655</v>
      </c>
      <c r="AJ1074" t="s">
        <v>4655</v>
      </c>
      <c r="AK1074" t="s">
        <v>9878</v>
      </c>
      <c r="AL1074" s="13" t="s">
        <v>2257</v>
      </c>
      <c r="AM1074">
        <v>2</v>
      </c>
      <c r="AN1074" s="15" t="s">
        <v>3172</v>
      </c>
    </row>
    <row r="1075" spans="1:40" x14ac:dyDescent="0.3">
      <c r="A1075" s="10" t="str">
        <f>HYPERLINK("http://www.washoecounty.gov/assessor/cama/?parid=013-133-20&amp;CardNumber=1","013-133-20")</f>
        <v>013-133-20</v>
      </c>
      <c r="B1075" t="s">
        <v>4655</v>
      </c>
      <c r="C1075" t="s">
        <v>9879</v>
      </c>
      <c r="D1075" s="1">
        <v>40518</v>
      </c>
      <c r="E1075" s="2">
        <v>119900</v>
      </c>
      <c r="F1075" t="s">
        <v>4567</v>
      </c>
      <c r="G1075" s="17" t="str">
        <f>HYPERLINK("https://www.washoecounty.gov/assessor/cama/?command=sales&amp;parid=01313320","3949824")</f>
        <v>3949824</v>
      </c>
      <c r="H1075" t="s">
        <v>9880</v>
      </c>
      <c r="I1075">
        <v>1965</v>
      </c>
      <c r="J1075">
        <v>1965</v>
      </c>
      <c r="K1075" t="s">
        <v>4554</v>
      </c>
      <c r="L1075" t="s">
        <v>4555</v>
      </c>
      <c r="M1075" s="2">
        <v>1538</v>
      </c>
      <c r="N1075" t="s">
        <v>4048</v>
      </c>
      <c r="O1075">
        <v>3</v>
      </c>
      <c r="P1075">
        <v>2</v>
      </c>
      <c r="Q1075">
        <v>0</v>
      </c>
      <c r="R1075" t="s">
        <v>4557</v>
      </c>
      <c r="S1075" t="s">
        <v>4135</v>
      </c>
      <c r="T1075" t="s">
        <v>4559</v>
      </c>
      <c r="U1075" t="s">
        <v>4560</v>
      </c>
      <c r="V1075" s="2">
        <v>441</v>
      </c>
      <c r="W1075" t="s">
        <v>4655</v>
      </c>
      <c r="X1075" s="2">
        <v>0</v>
      </c>
      <c r="Y1075">
        <v>20</v>
      </c>
      <c r="Z1075" t="s">
        <v>4561</v>
      </c>
      <c r="AA1075" s="3">
        <v>0.148002758622169</v>
      </c>
      <c r="AB1075" t="s">
        <v>9881</v>
      </c>
      <c r="AC1075" t="s">
        <v>4562</v>
      </c>
      <c r="AD1075" t="s">
        <v>9879</v>
      </c>
      <c r="AE1075" t="s">
        <v>4655</v>
      </c>
      <c r="AF1075" t="s">
        <v>4563</v>
      </c>
      <c r="AG1075" t="s">
        <v>4564</v>
      </c>
      <c r="AH1075">
        <v>89502</v>
      </c>
      <c r="AI1075" t="s">
        <v>9882</v>
      </c>
      <c r="AJ1075" t="s">
        <v>4655</v>
      </c>
      <c r="AK1075" t="s">
        <v>9883</v>
      </c>
      <c r="AL1075" s="13" t="s">
        <v>2255</v>
      </c>
      <c r="AM1075">
        <v>1</v>
      </c>
      <c r="AN1075" s="15" t="s">
        <v>5278</v>
      </c>
    </row>
    <row r="1076" spans="1:40" x14ac:dyDescent="0.3">
      <c r="A1076" s="10" t="str">
        <f>HYPERLINK("http://www.washoecounty.gov/assessor/cama/?parid=013-135-07&amp;CardNumber=1","013-135-07")</f>
        <v>013-135-07</v>
      </c>
      <c r="B1076" t="s">
        <v>4655</v>
      </c>
      <c r="C1076" t="s">
        <v>9884</v>
      </c>
      <c r="D1076" s="1">
        <v>40506</v>
      </c>
      <c r="E1076" s="2">
        <v>63000</v>
      </c>
      <c r="F1076" t="s">
        <v>4553</v>
      </c>
      <c r="G1076" s="17" t="str">
        <f>HYPERLINK("https://www.washoecounty.gov/assessor/cama/?command=sales&amp;parid=01313507","3946566")</f>
        <v>3946566</v>
      </c>
      <c r="H1076" t="s">
        <v>4726</v>
      </c>
      <c r="I1076">
        <v>1951</v>
      </c>
      <c r="J1076">
        <v>1951</v>
      </c>
      <c r="K1076" t="s">
        <v>4554</v>
      </c>
      <c r="L1076" t="s">
        <v>4555</v>
      </c>
      <c r="M1076" s="2">
        <v>816</v>
      </c>
      <c r="N1076" t="s">
        <v>4556</v>
      </c>
      <c r="O1076">
        <v>4</v>
      </c>
      <c r="P1076">
        <v>2</v>
      </c>
      <c r="Q1076">
        <v>0</v>
      </c>
      <c r="R1076" t="s">
        <v>4557</v>
      </c>
      <c r="S1076" t="s">
        <v>4135</v>
      </c>
      <c r="T1076" t="s">
        <v>4559</v>
      </c>
      <c r="U1076" t="s">
        <v>4560</v>
      </c>
      <c r="V1076" s="2">
        <v>260</v>
      </c>
      <c r="W1076" t="s">
        <v>3149</v>
      </c>
      <c r="X1076" s="2">
        <v>816</v>
      </c>
      <c r="Y1076">
        <v>20</v>
      </c>
      <c r="Z1076" t="s">
        <v>4561</v>
      </c>
      <c r="AA1076" s="3">
        <v>0.15199723839759827</v>
      </c>
      <c r="AB1076" t="s">
        <v>9885</v>
      </c>
      <c r="AC1076" t="s">
        <v>4575</v>
      </c>
      <c r="AD1076" t="s">
        <v>9886</v>
      </c>
      <c r="AE1076" t="s">
        <v>2122</v>
      </c>
      <c r="AF1076" t="s">
        <v>4563</v>
      </c>
      <c r="AG1076" t="s">
        <v>4564</v>
      </c>
      <c r="AH1076">
        <v>89505</v>
      </c>
      <c r="AI1076" t="s">
        <v>4903</v>
      </c>
      <c r="AJ1076" t="s">
        <v>4655</v>
      </c>
      <c r="AK1076" t="s">
        <v>9887</v>
      </c>
      <c r="AL1076" s="13" t="s">
        <v>2255</v>
      </c>
      <c r="AM1076">
        <v>1</v>
      </c>
      <c r="AN1076" s="15" t="s">
        <v>5278</v>
      </c>
    </row>
    <row r="1077" spans="1:40" x14ac:dyDescent="0.3">
      <c r="A1077" s="10" t="str">
        <f>HYPERLINK("http://www.washoecounty.gov/assessor/cama/?parid=013-141-19&amp;CardNumber=1","013-141-19")</f>
        <v>013-141-19</v>
      </c>
      <c r="B1077" t="s">
        <v>4655</v>
      </c>
      <c r="C1077" t="s">
        <v>9888</v>
      </c>
      <c r="D1077" s="1">
        <v>40464</v>
      </c>
      <c r="E1077" s="2">
        <v>112000</v>
      </c>
      <c r="F1077" t="s">
        <v>4567</v>
      </c>
      <c r="G1077" s="17" t="str">
        <f>HYPERLINK("https://www.washoecounty.gov/assessor/cama/?command=sales&amp;parid=01314119","3932553")</f>
        <v>3932553</v>
      </c>
      <c r="H1077" t="s">
        <v>4726</v>
      </c>
      <c r="I1077">
        <v>1953</v>
      </c>
      <c r="J1077">
        <v>1953</v>
      </c>
      <c r="K1077" t="s">
        <v>4554</v>
      </c>
      <c r="L1077" t="s">
        <v>4555</v>
      </c>
      <c r="M1077" s="2">
        <v>924</v>
      </c>
      <c r="N1077" t="s">
        <v>4556</v>
      </c>
      <c r="O1077">
        <v>3</v>
      </c>
      <c r="P1077">
        <v>1</v>
      </c>
      <c r="Q1077">
        <v>0</v>
      </c>
      <c r="R1077" t="s">
        <v>4557</v>
      </c>
      <c r="S1077" t="s">
        <v>4135</v>
      </c>
      <c r="T1077" t="s">
        <v>4559</v>
      </c>
      <c r="U1077" t="s">
        <v>4560</v>
      </c>
      <c r="V1077" s="2">
        <v>280</v>
      </c>
      <c r="W1077" t="s">
        <v>4571</v>
      </c>
      <c r="X1077" s="2">
        <v>462</v>
      </c>
      <c r="Y1077">
        <v>20</v>
      </c>
      <c r="Z1077" t="s">
        <v>4561</v>
      </c>
      <c r="AA1077" s="3">
        <v>0.15199723839759827</v>
      </c>
      <c r="AB1077" t="s">
        <v>9889</v>
      </c>
      <c r="AC1077" t="s">
        <v>4562</v>
      </c>
      <c r="AD1077" t="s">
        <v>9888</v>
      </c>
      <c r="AE1077" t="s">
        <v>4655</v>
      </c>
      <c r="AF1077" t="s">
        <v>4563</v>
      </c>
      <c r="AG1077" t="s">
        <v>4564</v>
      </c>
      <c r="AH1077">
        <v>89502</v>
      </c>
      <c r="AI1077" t="s">
        <v>9890</v>
      </c>
      <c r="AJ1077" t="s">
        <v>4655</v>
      </c>
      <c r="AK1077" t="s">
        <v>9891</v>
      </c>
      <c r="AL1077" s="13" t="s">
        <v>2255</v>
      </c>
      <c r="AM1077" s="14">
        <v>1</v>
      </c>
      <c r="AN1077" s="15" t="s">
        <v>5278</v>
      </c>
    </row>
    <row r="1078" spans="1:40" x14ac:dyDescent="0.3">
      <c r="A1078" s="10" t="str">
        <f>HYPERLINK("http://www.washoecounty.gov/assessor/cama/?parid=013-143-02&amp;CardNumber=1","013-143-02")</f>
        <v>013-143-02</v>
      </c>
      <c r="B1078" t="s">
        <v>4655</v>
      </c>
      <c r="C1078" t="s">
        <v>9892</v>
      </c>
      <c r="D1078" s="1">
        <v>40198</v>
      </c>
      <c r="E1078" s="2">
        <v>106500</v>
      </c>
      <c r="F1078" t="s">
        <v>4553</v>
      </c>
      <c r="G1078" s="17" t="str">
        <f>HYPERLINK("https://www.washoecounty.gov/assessor/cama/?command=sales&amp;parid=01314302","3841279")</f>
        <v>3841279</v>
      </c>
      <c r="H1078" t="s">
        <v>9893</v>
      </c>
      <c r="I1078">
        <v>1960</v>
      </c>
      <c r="J1078">
        <v>1960</v>
      </c>
      <c r="K1078" t="s">
        <v>4554</v>
      </c>
      <c r="L1078" t="s">
        <v>4555</v>
      </c>
      <c r="M1078" s="2">
        <v>1118</v>
      </c>
      <c r="N1078" t="s">
        <v>4556</v>
      </c>
      <c r="O1078">
        <v>3</v>
      </c>
      <c r="P1078">
        <v>1</v>
      </c>
      <c r="Q1078">
        <v>0</v>
      </c>
      <c r="R1078" t="s">
        <v>4557</v>
      </c>
      <c r="S1078" t="s">
        <v>4574</v>
      </c>
      <c r="T1078" t="s">
        <v>4559</v>
      </c>
      <c r="U1078" t="s">
        <v>4560</v>
      </c>
      <c r="V1078" s="2">
        <v>352</v>
      </c>
      <c r="W1078" t="s">
        <v>4655</v>
      </c>
      <c r="X1078" s="2">
        <v>0</v>
      </c>
      <c r="Y1078">
        <v>20</v>
      </c>
      <c r="Z1078" t="s">
        <v>4561</v>
      </c>
      <c r="AA1078" s="3">
        <v>0.169995412230492</v>
      </c>
      <c r="AB1078" t="s">
        <v>9894</v>
      </c>
      <c r="AC1078" t="s">
        <v>4575</v>
      </c>
      <c r="AD1078" t="s">
        <v>9892</v>
      </c>
      <c r="AE1078" t="s">
        <v>4655</v>
      </c>
      <c r="AF1078" t="s">
        <v>4563</v>
      </c>
      <c r="AG1078" t="s">
        <v>4564</v>
      </c>
      <c r="AH1078">
        <v>89502</v>
      </c>
      <c r="AI1078" t="s">
        <v>4655</v>
      </c>
      <c r="AJ1078" t="s">
        <v>4655</v>
      </c>
      <c r="AK1078" t="s">
        <v>9895</v>
      </c>
      <c r="AL1078" s="13" t="s">
        <v>2255</v>
      </c>
      <c r="AM1078">
        <v>1</v>
      </c>
      <c r="AN1078" s="15" t="s">
        <v>5278</v>
      </c>
    </row>
    <row r="1079" spans="1:40" x14ac:dyDescent="0.3">
      <c r="A1079" s="10" t="str">
        <f>HYPERLINK("http://www.washoecounty.gov/assessor/cama/?parid=013-143-24&amp;CardNumber=1","013-143-24")</f>
        <v>013-143-24</v>
      </c>
      <c r="B1079" t="s">
        <v>4655</v>
      </c>
      <c r="C1079" t="s">
        <v>9896</v>
      </c>
      <c r="D1079" s="1">
        <v>40270</v>
      </c>
      <c r="E1079" s="2">
        <v>135000</v>
      </c>
      <c r="F1079" t="s">
        <v>4553</v>
      </c>
      <c r="G1079" s="17" t="str">
        <f>HYPERLINK("https://www.washoecounty.gov/assessor/cama/?command=sales&amp;parid=01314324","3867369")</f>
        <v>3867369</v>
      </c>
      <c r="H1079" t="s">
        <v>2833</v>
      </c>
      <c r="I1079">
        <v>1965</v>
      </c>
      <c r="J1079">
        <v>1965</v>
      </c>
      <c r="K1079" t="s">
        <v>4554</v>
      </c>
      <c r="L1079" t="s">
        <v>4555</v>
      </c>
      <c r="M1079" s="2">
        <v>1688</v>
      </c>
      <c r="N1079" t="s">
        <v>4556</v>
      </c>
      <c r="O1079">
        <v>3</v>
      </c>
      <c r="P1079">
        <v>2</v>
      </c>
      <c r="Q1079">
        <v>0</v>
      </c>
      <c r="R1079" t="s">
        <v>4557</v>
      </c>
      <c r="S1079" t="s">
        <v>4898</v>
      </c>
      <c r="T1079" t="s">
        <v>4559</v>
      </c>
      <c r="U1079" t="s">
        <v>4560</v>
      </c>
      <c r="V1079" s="2">
        <v>432</v>
      </c>
      <c r="W1079" t="s">
        <v>4655</v>
      </c>
      <c r="X1079" s="2">
        <v>0</v>
      </c>
      <c r="Y1079">
        <v>20</v>
      </c>
      <c r="Z1079" t="s">
        <v>4561</v>
      </c>
      <c r="AA1079" s="3">
        <v>0.130991742014885</v>
      </c>
      <c r="AB1079" t="s">
        <v>9897</v>
      </c>
      <c r="AC1079" t="s">
        <v>4575</v>
      </c>
      <c r="AD1079" t="s">
        <v>9896</v>
      </c>
      <c r="AE1079" t="s">
        <v>4655</v>
      </c>
      <c r="AF1079" t="s">
        <v>4563</v>
      </c>
      <c r="AG1079" t="s">
        <v>4564</v>
      </c>
      <c r="AH1079">
        <v>89502</v>
      </c>
      <c r="AI1079" t="s">
        <v>4145</v>
      </c>
      <c r="AJ1079" t="s">
        <v>4655</v>
      </c>
      <c r="AK1079" t="s">
        <v>9898</v>
      </c>
      <c r="AL1079" s="13" t="s">
        <v>2257</v>
      </c>
      <c r="AM1079" s="14">
        <v>1</v>
      </c>
      <c r="AN1079" s="15" t="s">
        <v>5278</v>
      </c>
    </row>
    <row r="1080" spans="1:40" x14ac:dyDescent="0.3">
      <c r="A1080" s="10" t="str">
        <f>HYPERLINK("http://www.washoecounty.gov/assessor/cama/?parid=013-144-14&amp;CardNumber=1","013-144-14")</f>
        <v>013-144-14</v>
      </c>
      <c r="B1080" t="s">
        <v>4655</v>
      </c>
      <c r="C1080" t="s">
        <v>9899</v>
      </c>
      <c r="D1080" s="1">
        <v>40256</v>
      </c>
      <c r="E1080" s="2">
        <v>118000</v>
      </c>
      <c r="F1080" t="s">
        <v>4567</v>
      </c>
      <c r="G1080" s="17" t="str">
        <f>HYPERLINK("https://www.washoecounty.gov/assessor/cama/?command=sales&amp;parid=01314414","3861596")</f>
        <v>3861596</v>
      </c>
      <c r="H1080" t="s">
        <v>9900</v>
      </c>
      <c r="I1080">
        <v>1960</v>
      </c>
      <c r="J1080">
        <v>1960</v>
      </c>
      <c r="K1080" t="s">
        <v>4554</v>
      </c>
      <c r="L1080" t="s">
        <v>4555</v>
      </c>
      <c r="M1080" s="2">
        <v>1120</v>
      </c>
      <c r="N1080" t="s">
        <v>4556</v>
      </c>
      <c r="O1080">
        <v>3</v>
      </c>
      <c r="P1080">
        <v>1</v>
      </c>
      <c r="Q1080">
        <v>1</v>
      </c>
      <c r="R1080" t="s">
        <v>4557</v>
      </c>
      <c r="S1080" t="s">
        <v>4574</v>
      </c>
      <c r="T1080" t="s">
        <v>4559</v>
      </c>
      <c r="U1080" t="s">
        <v>4560</v>
      </c>
      <c r="V1080" s="2">
        <v>300</v>
      </c>
      <c r="W1080" t="s">
        <v>4655</v>
      </c>
      <c r="X1080" s="2">
        <v>0</v>
      </c>
      <c r="Y1080">
        <v>20</v>
      </c>
      <c r="Z1080" t="s">
        <v>4561</v>
      </c>
      <c r="AA1080" s="3">
        <v>0.141000911593437</v>
      </c>
      <c r="AB1080" t="s">
        <v>9901</v>
      </c>
      <c r="AC1080" t="s">
        <v>4562</v>
      </c>
      <c r="AD1080" t="s">
        <v>9899</v>
      </c>
      <c r="AE1080" t="s">
        <v>4655</v>
      </c>
      <c r="AF1080" t="s">
        <v>4563</v>
      </c>
      <c r="AG1080" t="s">
        <v>4564</v>
      </c>
      <c r="AH1080">
        <v>89502</v>
      </c>
      <c r="AI1080" t="s">
        <v>4655</v>
      </c>
      <c r="AJ1080" t="s">
        <v>4655</v>
      </c>
      <c r="AK1080" t="s">
        <v>9902</v>
      </c>
      <c r="AL1080" s="13" t="s">
        <v>2255</v>
      </c>
      <c r="AM1080" s="14">
        <v>1</v>
      </c>
      <c r="AN1080" s="15" t="s">
        <v>5278</v>
      </c>
    </row>
    <row r="1081" spans="1:40" x14ac:dyDescent="0.3">
      <c r="A1081" s="10" t="str">
        <f>HYPERLINK("http://www.washoecounty.gov/assessor/cama/?parid=013-166-08&amp;CardNumber=1","013-166-08")</f>
        <v>013-166-08</v>
      </c>
      <c r="B1081" t="s">
        <v>4655</v>
      </c>
      <c r="C1081" t="s">
        <v>9903</v>
      </c>
      <c r="D1081" s="1">
        <v>40326</v>
      </c>
      <c r="E1081" s="2">
        <v>150000</v>
      </c>
      <c r="F1081" t="s">
        <v>4567</v>
      </c>
      <c r="G1081" s="17" t="str">
        <f>HYPERLINK("https://www.washoecounty.gov/assessor/cama/?command=sales&amp;parid=01316608","3886775")</f>
        <v>3886775</v>
      </c>
      <c r="H1081" t="s">
        <v>3950</v>
      </c>
      <c r="I1081">
        <v>2009</v>
      </c>
      <c r="J1081">
        <v>2009</v>
      </c>
      <c r="K1081" t="s">
        <v>4554</v>
      </c>
      <c r="L1081" t="s">
        <v>4555</v>
      </c>
      <c r="M1081" s="2">
        <v>1209</v>
      </c>
      <c r="N1081" t="s">
        <v>4048</v>
      </c>
      <c r="O1081">
        <v>3</v>
      </c>
      <c r="P1081">
        <v>2</v>
      </c>
      <c r="Q1081">
        <v>0</v>
      </c>
      <c r="R1081" t="s">
        <v>4557</v>
      </c>
      <c r="S1081" t="s">
        <v>4558</v>
      </c>
      <c r="T1081" t="s">
        <v>4559</v>
      </c>
      <c r="U1081" t="s">
        <v>5631</v>
      </c>
      <c r="V1081" s="2">
        <v>250</v>
      </c>
      <c r="W1081" t="s">
        <v>4655</v>
      </c>
      <c r="X1081" s="2">
        <v>0</v>
      </c>
      <c r="Y1081">
        <v>20</v>
      </c>
      <c r="Z1081" t="s">
        <v>4144</v>
      </c>
      <c r="AA1081" s="3">
        <v>8.0348946154117598E-2</v>
      </c>
      <c r="AB1081" t="s">
        <v>9904</v>
      </c>
      <c r="AC1081" t="s">
        <v>4562</v>
      </c>
      <c r="AD1081" t="s">
        <v>9905</v>
      </c>
      <c r="AE1081" t="s">
        <v>4655</v>
      </c>
      <c r="AF1081" t="s">
        <v>4563</v>
      </c>
      <c r="AG1081" t="s">
        <v>4564</v>
      </c>
      <c r="AH1081">
        <v>89502</v>
      </c>
      <c r="AI1081" t="s">
        <v>9906</v>
      </c>
      <c r="AJ1081" t="s">
        <v>4655</v>
      </c>
      <c r="AK1081" t="s">
        <v>9907</v>
      </c>
      <c r="AL1081" s="13" t="s">
        <v>2255</v>
      </c>
      <c r="AM1081">
        <v>1</v>
      </c>
      <c r="AN1081" s="15" t="s">
        <v>5278</v>
      </c>
    </row>
    <row r="1082" spans="1:40" x14ac:dyDescent="0.3">
      <c r="A1082" s="10" t="str">
        <f>HYPERLINK("http://www.washoecounty.gov/assessor/cama/?parid=013-166-16&amp;CardNumber=1","013-166-16")</f>
        <v>013-166-16</v>
      </c>
      <c r="B1082" t="s">
        <v>4655</v>
      </c>
      <c r="C1082" t="s">
        <v>9908</v>
      </c>
      <c r="D1082" s="1">
        <v>40534</v>
      </c>
      <c r="E1082" s="2">
        <v>62000</v>
      </c>
      <c r="F1082" t="s">
        <v>4553</v>
      </c>
      <c r="G1082" s="17" t="str">
        <f>HYPERLINK("https://www.washoecounty.gov/assessor/cama/?command=sales&amp;parid=01316616","3956273")</f>
        <v>3956273</v>
      </c>
      <c r="H1082" t="s">
        <v>9909</v>
      </c>
      <c r="I1082">
        <v>1943</v>
      </c>
      <c r="J1082">
        <v>1943</v>
      </c>
      <c r="K1082" t="s">
        <v>4554</v>
      </c>
      <c r="L1082" t="s">
        <v>4555</v>
      </c>
      <c r="M1082" s="2">
        <v>946</v>
      </c>
      <c r="N1082" t="s">
        <v>4556</v>
      </c>
      <c r="O1082">
        <v>2</v>
      </c>
      <c r="P1082">
        <v>1</v>
      </c>
      <c r="Q1082">
        <v>0</v>
      </c>
      <c r="R1082" t="s">
        <v>4557</v>
      </c>
      <c r="S1082" t="s">
        <v>4898</v>
      </c>
      <c r="T1082" t="s">
        <v>4559</v>
      </c>
      <c r="U1082" t="s">
        <v>4655</v>
      </c>
      <c r="V1082" s="2">
        <v>0</v>
      </c>
      <c r="W1082" t="s">
        <v>3149</v>
      </c>
      <c r="X1082" s="2">
        <v>260</v>
      </c>
      <c r="Y1082">
        <v>20</v>
      </c>
      <c r="Z1082" t="s">
        <v>4144</v>
      </c>
      <c r="AA1082" s="3">
        <v>6.9880627095699296E-2</v>
      </c>
      <c r="AB1082" t="s">
        <v>1967</v>
      </c>
      <c r="AC1082" t="s">
        <v>4562</v>
      </c>
      <c r="AD1082" t="s">
        <v>2992</v>
      </c>
      <c r="AE1082" t="s">
        <v>4655</v>
      </c>
      <c r="AF1082" t="s">
        <v>4563</v>
      </c>
      <c r="AG1082" t="s">
        <v>4564</v>
      </c>
      <c r="AH1082" t="s">
        <v>1147</v>
      </c>
      <c r="AI1082" t="s">
        <v>4903</v>
      </c>
      <c r="AJ1082" t="s">
        <v>9910</v>
      </c>
      <c r="AK1082" t="s">
        <v>9911</v>
      </c>
      <c r="AL1082" s="13" t="s">
        <v>2255</v>
      </c>
      <c r="AM1082">
        <v>1</v>
      </c>
      <c r="AN1082" s="15" t="s">
        <v>5278</v>
      </c>
    </row>
    <row r="1083" spans="1:40" x14ac:dyDescent="0.3">
      <c r="A1083" s="10" t="str">
        <f>HYPERLINK("http://www.washoecounty.gov/assessor/cama/?parid=013-172-04&amp;CardNumber=1","013-172-04")</f>
        <v>013-172-04</v>
      </c>
      <c r="B1083" t="s">
        <v>4655</v>
      </c>
      <c r="C1083" t="s">
        <v>9912</v>
      </c>
      <c r="D1083" s="1">
        <v>40214</v>
      </c>
      <c r="E1083" s="2">
        <v>75000</v>
      </c>
      <c r="F1083" t="s">
        <v>4567</v>
      </c>
      <c r="G1083" s="17" t="str">
        <f>HYPERLINK("https://www.washoecounty.gov/assessor/cama/?command=sales&amp;parid=01317204","3846430")</f>
        <v>3846430</v>
      </c>
      <c r="H1083" t="s">
        <v>3173</v>
      </c>
      <c r="I1083">
        <v>1936</v>
      </c>
      <c r="J1083">
        <v>1936</v>
      </c>
      <c r="K1083" t="s">
        <v>4554</v>
      </c>
      <c r="L1083" t="s">
        <v>4555</v>
      </c>
      <c r="M1083" s="2">
        <v>780</v>
      </c>
      <c r="N1083" t="s">
        <v>4672</v>
      </c>
      <c r="O1083">
        <v>2</v>
      </c>
      <c r="P1083">
        <v>1</v>
      </c>
      <c r="Q1083">
        <v>0</v>
      </c>
      <c r="R1083" t="s">
        <v>4557</v>
      </c>
      <c r="S1083" t="s">
        <v>4898</v>
      </c>
      <c r="T1083" t="s">
        <v>4559</v>
      </c>
      <c r="U1083" t="s">
        <v>4655</v>
      </c>
      <c r="V1083" s="2">
        <v>0</v>
      </c>
      <c r="W1083" t="s">
        <v>3149</v>
      </c>
      <c r="X1083" s="2">
        <v>780</v>
      </c>
      <c r="Y1083">
        <v>20</v>
      </c>
      <c r="Z1083" t="s">
        <v>4144</v>
      </c>
      <c r="AA1083" s="3">
        <v>0.16099633276462599</v>
      </c>
      <c r="AB1083" t="s">
        <v>9913</v>
      </c>
      <c r="AC1083" t="s">
        <v>4562</v>
      </c>
      <c r="AD1083" t="s">
        <v>9912</v>
      </c>
      <c r="AE1083" t="s">
        <v>4655</v>
      </c>
      <c r="AF1083" t="s">
        <v>4563</v>
      </c>
      <c r="AG1083" t="s">
        <v>4564</v>
      </c>
      <c r="AH1083">
        <v>89502</v>
      </c>
      <c r="AI1083" t="s">
        <v>9914</v>
      </c>
      <c r="AJ1083" t="s">
        <v>4655</v>
      </c>
      <c r="AK1083" t="s">
        <v>9915</v>
      </c>
      <c r="AL1083" s="13" t="s">
        <v>2255</v>
      </c>
      <c r="AM1083">
        <v>1</v>
      </c>
      <c r="AN1083" s="15" t="s">
        <v>5278</v>
      </c>
    </row>
    <row r="1084" spans="1:40" x14ac:dyDescent="0.3">
      <c r="A1084" s="10" t="str">
        <f>HYPERLINK("http://www.washoecounty.gov/assessor/cama/?parid=013-172-19&amp;CardNumber=1","013-172-19")</f>
        <v>013-172-19</v>
      </c>
      <c r="B1084" t="s">
        <v>4655</v>
      </c>
      <c r="C1084" t="s">
        <v>322</v>
      </c>
      <c r="D1084" s="1">
        <v>40263</v>
      </c>
      <c r="E1084" s="2">
        <v>33500</v>
      </c>
      <c r="F1084" t="s">
        <v>4553</v>
      </c>
      <c r="G1084" s="17" t="str">
        <f>HYPERLINK("https://www.washoecounty.gov/assessor/cama/?command=sales&amp;parid=01317219","3864558")</f>
        <v>3864558</v>
      </c>
      <c r="H1084" t="s">
        <v>5435</v>
      </c>
      <c r="I1084">
        <v>1951</v>
      </c>
      <c r="J1084">
        <v>1951</v>
      </c>
      <c r="K1084" t="s">
        <v>4554</v>
      </c>
      <c r="L1084" t="s">
        <v>4555</v>
      </c>
      <c r="M1084" s="2">
        <v>441</v>
      </c>
      <c r="N1084" t="s">
        <v>4672</v>
      </c>
      <c r="O1084">
        <v>1</v>
      </c>
      <c r="P1084">
        <v>1</v>
      </c>
      <c r="Q1084">
        <v>0</v>
      </c>
      <c r="R1084" t="s">
        <v>4676</v>
      </c>
      <c r="S1084" t="s">
        <v>364</v>
      </c>
      <c r="T1084" t="s">
        <v>3888</v>
      </c>
      <c r="U1084" t="s">
        <v>4560</v>
      </c>
      <c r="V1084" s="2">
        <v>378</v>
      </c>
      <c r="W1084" t="s">
        <v>4655</v>
      </c>
      <c r="X1084" s="2">
        <v>0</v>
      </c>
      <c r="Y1084">
        <v>20</v>
      </c>
      <c r="Z1084" t="s">
        <v>4144</v>
      </c>
      <c r="AA1084" s="3">
        <v>7.2314046323299394E-2</v>
      </c>
      <c r="AB1084" t="s">
        <v>3136</v>
      </c>
      <c r="AC1084" t="s">
        <v>4562</v>
      </c>
      <c r="AD1084" t="s">
        <v>3134</v>
      </c>
      <c r="AE1084" t="s">
        <v>4655</v>
      </c>
      <c r="AF1084" t="s">
        <v>4563</v>
      </c>
      <c r="AG1084" t="s">
        <v>4564</v>
      </c>
      <c r="AH1084">
        <v>89502</v>
      </c>
      <c r="AI1084" t="s">
        <v>4655</v>
      </c>
      <c r="AJ1084" t="s">
        <v>5436</v>
      </c>
      <c r="AK1084" t="s">
        <v>9916</v>
      </c>
      <c r="AL1084" s="13" t="s">
        <v>2255</v>
      </c>
      <c r="AM1084">
        <v>1</v>
      </c>
      <c r="AN1084" s="15" t="s">
        <v>5278</v>
      </c>
    </row>
    <row r="1085" spans="1:40" x14ac:dyDescent="0.3">
      <c r="A1085" s="10" t="str">
        <f>HYPERLINK("http://www.washoecounty.gov/assessor/cama/?parid=013-172-21&amp;CardNumber=1","013-172-21")</f>
        <v>013-172-21</v>
      </c>
      <c r="B1085" t="s">
        <v>4655</v>
      </c>
      <c r="C1085" t="s">
        <v>322</v>
      </c>
      <c r="D1085" s="1">
        <v>40197</v>
      </c>
      <c r="E1085" s="2">
        <v>64950</v>
      </c>
      <c r="F1085" t="s">
        <v>3584</v>
      </c>
      <c r="G1085" s="17" t="str">
        <f>HYPERLINK("https://www.washoecounty.gov/assessor/cama/?command=sales&amp;parid=01317221","3840393")</f>
        <v>3840393</v>
      </c>
      <c r="H1085" t="s">
        <v>9917</v>
      </c>
      <c r="I1085">
        <v>0</v>
      </c>
      <c r="J1085">
        <v>0</v>
      </c>
      <c r="K1085" t="s">
        <v>4655</v>
      </c>
      <c r="L1085" t="s">
        <v>4655</v>
      </c>
      <c r="M1085" s="2">
        <v>0</v>
      </c>
      <c r="N1085" t="s">
        <v>4655</v>
      </c>
      <c r="O1085">
        <v>0</v>
      </c>
      <c r="P1085">
        <v>0</v>
      </c>
      <c r="Q1085">
        <v>0</v>
      </c>
      <c r="R1085" t="s">
        <v>4655</v>
      </c>
      <c r="S1085" t="s">
        <v>4655</v>
      </c>
      <c r="T1085" t="s">
        <v>4655</v>
      </c>
      <c r="U1085" t="s">
        <v>4655</v>
      </c>
      <c r="V1085" s="2">
        <v>0</v>
      </c>
      <c r="W1085" t="s">
        <v>4655</v>
      </c>
      <c r="X1085" s="2">
        <v>0</v>
      </c>
      <c r="Y1085">
        <v>13</v>
      </c>
      <c r="Z1085" t="s">
        <v>4144</v>
      </c>
      <c r="AA1085" s="3">
        <v>7.4977040290832506E-2</v>
      </c>
      <c r="AB1085" t="s">
        <v>9918</v>
      </c>
      <c r="AC1085" t="s">
        <v>4575</v>
      </c>
      <c r="AD1085" t="s">
        <v>3175</v>
      </c>
      <c r="AE1085" t="s">
        <v>4655</v>
      </c>
      <c r="AF1085" t="s">
        <v>4563</v>
      </c>
      <c r="AG1085" t="s">
        <v>4564</v>
      </c>
      <c r="AH1085">
        <v>89511</v>
      </c>
      <c r="AI1085" t="s">
        <v>9919</v>
      </c>
      <c r="AJ1085" t="s">
        <v>9920</v>
      </c>
      <c r="AK1085" t="s">
        <v>9921</v>
      </c>
      <c r="AL1085" s="13" t="s">
        <v>2255</v>
      </c>
      <c r="AM1085">
        <v>0</v>
      </c>
      <c r="AN1085" s="15" t="s">
        <v>3172</v>
      </c>
    </row>
    <row r="1086" spans="1:40" x14ac:dyDescent="0.3">
      <c r="A1086" s="10" t="str">
        <f>HYPERLINK("http://www.washoecounty.gov/assessor/cama/?parid=013-172-22&amp;CardNumber=1","013-172-22")</f>
        <v>013-172-22</v>
      </c>
      <c r="B1086" t="s">
        <v>4655</v>
      </c>
      <c r="C1086" t="s">
        <v>9922</v>
      </c>
      <c r="D1086" s="1">
        <v>40197</v>
      </c>
      <c r="E1086" s="2">
        <v>64950</v>
      </c>
      <c r="F1086" t="s">
        <v>3584</v>
      </c>
      <c r="G1086" s="17" t="str">
        <f>HYPERLINK("https://www.washoecounty.gov/assessor/cama/?command=sales&amp;parid=01317222","3840393")</f>
        <v>3840393</v>
      </c>
      <c r="H1086" t="s">
        <v>9917</v>
      </c>
      <c r="I1086">
        <v>1936</v>
      </c>
      <c r="J1086">
        <v>1936</v>
      </c>
      <c r="K1086" t="s">
        <v>4554</v>
      </c>
      <c r="L1086" t="s">
        <v>4555</v>
      </c>
      <c r="M1086" s="2">
        <v>756</v>
      </c>
      <c r="N1086" t="s">
        <v>4556</v>
      </c>
      <c r="O1086">
        <v>2</v>
      </c>
      <c r="P1086">
        <v>1</v>
      </c>
      <c r="Q1086">
        <v>0</v>
      </c>
      <c r="R1086" t="s">
        <v>4557</v>
      </c>
      <c r="S1086" t="s">
        <v>4558</v>
      </c>
      <c r="T1086" t="s">
        <v>4559</v>
      </c>
      <c r="U1086" t="s">
        <v>4655</v>
      </c>
      <c r="V1086" s="2">
        <v>0</v>
      </c>
      <c r="W1086" t="s">
        <v>4655</v>
      </c>
      <c r="X1086" s="2">
        <v>0</v>
      </c>
      <c r="Y1086">
        <v>20</v>
      </c>
      <c r="Z1086" t="s">
        <v>4144</v>
      </c>
      <c r="AA1086" s="3">
        <v>8.5720844566822094E-2</v>
      </c>
      <c r="AB1086" t="s">
        <v>9918</v>
      </c>
      <c r="AC1086" t="s">
        <v>4575</v>
      </c>
      <c r="AD1086" t="s">
        <v>3175</v>
      </c>
      <c r="AE1086" t="s">
        <v>4655</v>
      </c>
      <c r="AF1086" t="s">
        <v>4563</v>
      </c>
      <c r="AG1086" t="s">
        <v>4564</v>
      </c>
      <c r="AH1086">
        <v>89511</v>
      </c>
      <c r="AI1086" t="s">
        <v>9919</v>
      </c>
      <c r="AJ1086" t="s">
        <v>9920</v>
      </c>
      <c r="AK1086" t="s">
        <v>9923</v>
      </c>
      <c r="AL1086" s="13" t="s">
        <v>2255</v>
      </c>
      <c r="AM1086">
        <v>1</v>
      </c>
      <c r="AN1086" s="15" t="s">
        <v>5278</v>
      </c>
    </row>
    <row r="1087" spans="1:40" x14ac:dyDescent="0.3">
      <c r="A1087" s="10" t="str">
        <f>HYPERLINK("http://www.washoecounty.gov/assessor/cama/?parid=013-183-09&amp;CardNumber=1","013-183-09")</f>
        <v>013-183-09</v>
      </c>
      <c r="B1087" t="s">
        <v>4655</v>
      </c>
      <c r="C1087" t="s">
        <v>9924</v>
      </c>
      <c r="D1087" s="1">
        <v>40497</v>
      </c>
      <c r="E1087" s="2">
        <v>98000</v>
      </c>
      <c r="F1087" t="s">
        <v>4553</v>
      </c>
      <c r="G1087" s="17" t="str">
        <f>HYPERLINK("https://www.washoecounty.gov/assessor/cama/?command=sales&amp;parid=01318309","3942869")</f>
        <v>3942869</v>
      </c>
      <c r="H1087" t="s">
        <v>3803</v>
      </c>
      <c r="I1087">
        <v>1950</v>
      </c>
      <c r="J1087">
        <v>1955</v>
      </c>
      <c r="K1087" t="s">
        <v>4554</v>
      </c>
      <c r="L1087" t="s">
        <v>4555</v>
      </c>
      <c r="M1087" s="2">
        <v>1252</v>
      </c>
      <c r="N1087" t="s">
        <v>4048</v>
      </c>
      <c r="O1087">
        <v>3</v>
      </c>
      <c r="P1087">
        <v>1</v>
      </c>
      <c r="Q1087">
        <v>0</v>
      </c>
      <c r="R1087" t="s">
        <v>4557</v>
      </c>
      <c r="S1087" t="s">
        <v>4682</v>
      </c>
      <c r="T1087" t="s">
        <v>4559</v>
      </c>
      <c r="U1087" t="s">
        <v>4655</v>
      </c>
      <c r="V1087" s="2">
        <v>0</v>
      </c>
      <c r="W1087" t="s">
        <v>4655</v>
      </c>
      <c r="X1087" s="2">
        <v>0</v>
      </c>
      <c r="Y1087">
        <v>20</v>
      </c>
      <c r="Z1087" t="s">
        <v>4561</v>
      </c>
      <c r="AA1087" s="3">
        <v>0.151010096073151</v>
      </c>
      <c r="AB1087" t="s">
        <v>2123</v>
      </c>
      <c r="AC1087" t="s">
        <v>4562</v>
      </c>
      <c r="AD1087" t="s">
        <v>9924</v>
      </c>
      <c r="AE1087" t="s">
        <v>4655</v>
      </c>
      <c r="AF1087" t="s">
        <v>4563</v>
      </c>
      <c r="AG1087" t="s">
        <v>4564</v>
      </c>
      <c r="AH1087">
        <v>89502</v>
      </c>
      <c r="AI1087" t="s">
        <v>4903</v>
      </c>
      <c r="AJ1087" t="s">
        <v>4655</v>
      </c>
      <c r="AK1087" t="s">
        <v>9925</v>
      </c>
      <c r="AL1087" s="13" t="s">
        <v>2255</v>
      </c>
      <c r="AM1087">
        <v>1</v>
      </c>
      <c r="AN1087" s="15" t="s">
        <v>5278</v>
      </c>
    </row>
    <row r="1088" spans="1:40" x14ac:dyDescent="0.3">
      <c r="A1088" s="10" t="str">
        <f>HYPERLINK("http://www.washoecounty.gov/assessor/cama/?parid=013-183-19&amp;CardNumber=1","013-183-19")</f>
        <v>013-183-19</v>
      </c>
      <c r="B1088" t="s">
        <v>4655</v>
      </c>
      <c r="C1088" t="s">
        <v>9926</v>
      </c>
      <c r="D1088" s="1">
        <v>40529</v>
      </c>
      <c r="E1088" s="2">
        <v>85000</v>
      </c>
      <c r="F1088" t="s">
        <v>4567</v>
      </c>
      <c r="G1088" s="17" t="str">
        <f>HYPERLINK("https://www.washoecounty.gov/assessor/cama/?command=sales&amp;parid=01318319","3955013")</f>
        <v>3955013</v>
      </c>
      <c r="H1088" t="s">
        <v>3803</v>
      </c>
      <c r="I1088">
        <v>1950</v>
      </c>
      <c r="J1088">
        <v>1950</v>
      </c>
      <c r="K1088" t="s">
        <v>4554</v>
      </c>
      <c r="L1088" t="s">
        <v>4555</v>
      </c>
      <c r="M1088" s="2">
        <v>962</v>
      </c>
      <c r="N1088" t="s">
        <v>4556</v>
      </c>
      <c r="O1088">
        <v>3</v>
      </c>
      <c r="P1088">
        <v>1</v>
      </c>
      <c r="Q1088">
        <v>0</v>
      </c>
      <c r="R1088" t="s">
        <v>4557</v>
      </c>
      <c r="S1088" t="s">
        <v>4574</v>
      </c>
      <c r="T1088" t="s">
        <v>4559</v>
      </c>
      <c r="U1088" t="s">
        <v>4560</v>
      </c>
      <c r="V1088" s="2">
        <v>231</v>
      </c>
      <c r="W1088" t="s">
        <v>4655</v>
      </c>
      <c r="X1088" s="2">
        <v>0</v>
      </c>
      <c r="Y1088">
        <v>20</v>
      </c>
      <c r="Z1088" t="s">
        <v>4561</v>
      </c>
      <c r="AA1088" s="3">
        <v>0.151010096073151</v>
      </c>
      <c r="AB1088" t="s">
        <v>9927</v>
      </c>
      <c r="AC1088" t="s">
        <v>4562</v>
      </c>
      <c r="AD1088" t="s">
        <v>9926</v>
      </c>
      <c r="AE1088" t="s">
        <v>4655</v>
      </c>
      <c r="AF1088" t="s">
        <v>4563</v>
      </c>
      <c r="AG1088" t="s">
        <v>4564</v>
      </c>
      <c r="AH1088">
        <v>89502</v>
      </c>
      <c r="AI1088" t="s">
        <v>9928</v>
      </c>
      <c r="AJ1088" t="s">
        <v>4655</v>
      </c>
      <c r="AK1088" t="s">
        <v>9929</v>
      </c>
      <c r="AL1088" s="13" t="s">
        <v>2255</v>
      </c>
      <c r="AM1088" s="14">
        <v>1</v>
      </c>
      <c r="AN1088" s="15" t="s">
        <v>5278</v>
      </c>
    </row>
    <row r="1089" spans="1:40" x14ac:dyDescent="0.3">
      <c r="A1089" s="10" t="str">
        <f>HYPERLINK("http://www.washoecounty.gov/assessor/cama/?parid=013-184-30&amp;CardNumber=1","013-184-30")</f>
        <v>013-184-30</v>
      </c>
      <c r="B1089" t="s">
        <v>4655</v>
      </c>
      <c r="C1089" t="s">
        <v>9930</v>
      </c>
      <c r="D1089" s="1">
        <v>40472</v>
      </c>
      <c r="E1089" s="2">
        <v>110000</v>
      </c>
      <c r="F1089" t="s">
        <v>4567</v>
      </c>
      <c r="G1089" s="17" t="str">
        <f>HYPERLINK("https://www.washoecounty.gov/assessor/cama/?command=sales&amp;parid=01318430","3935286")</f>
        <v>3935286</v>
      </c>
      <c r="H1089" t="s">
        <v>3803</v>
      </c>
      <c r="I1089">
        <v>1950</v>
      </c>
      <c r="J1089">
        <v>1950</v>
      </c>
      <c r="K1089" t="s">
        <v>4554</v>
      </c>
      <c r="L1089" t="s">
        <v>4555</v>
      </c>
      <c r="M1089" s="2">
        <v>840</v>
      </c>
      <c r="N1089" t="s">
        <v>4556</v>
      </c>
      <c r="O1089">
        <v>2</v>
      </c>
      <c r="P1089">
        <v>1</v>
      </c>
      <c r="Q1089">
        <v>0</v>
      </c>
      <c r="R1089" t="s">
        <v>4557</v>
      </c>
      <c r="S1089" t="s">
        <v>4574</v>
      </c>
      <c r="T1089" t="s">
        <v>4559</v>
      </c>
      <c r="U1089" t="s">
        <v>4560</v>
      </c>
      <c r="V1089" s="2">
        <v>297</v>
      </c>
      <c r="W1089" t="s">
        <v>4655</v>
      </c>
      <c r="X1089" s="2">
        <v>0</v>
      </c>
      <c r="Y1089">
        <v>20</v>
      </c>
      <c r="Z1089" t="s">
        <v>4561</v>
      </c>
      <c r="AA1089" s="3">
        <v>0.151010096073151</v>
      </c>
      <c r="AB1089" t="s">
        <v>9931</v>
      </c>
      <c r="AC1089" t="s">
        <v>4575</v>
      </c>
      <c r="AD1089" t="s">
        <v>9930</v>
      </c>
      <c r="AE1089" t="s">
        <v>4655</v>
      </c>
      <c r="AF1089" t="s">
        <v>4563</v>
      </c>
      <c r="AG1089" t="s">
        <v>4564</v>
      </c>
      <c r="AH1089">
        <v>89502</v>
      </c>
      <c r="AI1089" t="s">
        <v>8748</v>
      </c>
      <c r="AJ1089" t="s">
        <v>4655</v>
      </c>
      <c r="AK1089" t="s">
        <v>9932</v>
      </c>
      <c r="AL1089" s="13" t="s">
        <v>2255</v>
      </c>
      <c r="AM1089" s="14">
        <v>1</v>
      </c>
      <c r="AN1089" s="15" t="s">
        <v>5278</v>
      </c>
    </row>
    <row r="1090" spans="1:40" x14ac:dyDescent="0.3">
      <c r="A1090" s="10" t="str">
        <f>HYPERLINK("http://www.washoecounty.gov/assessor/cama/?parid=013-191-03&amp;CardNumber=1","013-191-03")</f>
        <v>013-191-03</v>
      </c>
      <c r="B1090" t="s">
        <v>4655</v>
      </c>
      <c r="C1090" t="s">
        <v>9933</v>
      </c>
      <c r="D1090" s="1">
        <v>40483</v>
      </c>
      <c r="E1090" s="2">
        <v>88000</v>
      </c>
      <c r="F1090" t="s">
        <v>4553</v>
      </c>
      <c r="G1090" s="17" t="str">
        <f>HYPERLINK("https://www.washoecounty.gov/assessor/cama/?command=sales&amp;parid=01319103","3938566")</f>
        <v>3938566</v>
      </c>
      <c r="H1090" t="s">
        <v>3803</v>
      </c>
      <c r="I1090">
        <v>1954</v>
      </c>
      <c r="J1090">
        <v>1954</v>
      </c>
      <c r="K1090" t="s">
        <v>4554</v>
      </c>
      <c r="L1090" t="s">
        <v>4555</v>
      </c>
      <c r="M1090" s="2">
        <v>924</v>
      </c>
      <c r="N1090" t="s">
        <v>4556</v>
      </c>
      <c r="O1090">
        <v>3</v>
      </c>
      <c r="P1090">
        <v>2</v>
      </c>
      <c r="Q1090">
        <v>0</v>
      </c>
      <c r="R1090" t="s">
        <v>4557</v>
      </c>
      <c r="S1090" t="s">
        <v>4574</v>
      </c>
      <c r="T1090" t="s">
        <v>4559</v>
      </c>
      <c r="U1090" t="s">
        <v>4560</v>
      </c>
      <c r="V1090" s="2">
        <v>308</v>
      </c>
      <c r="W1090" t="s">
        <v>3149</v>
      </c>
      <c r="X1090" s="2">
        <v>462</v>
      </c>
      <c r="Y1090">
        <v>20</v>
      </c>
      <c r="Z1090" t="s">
        <v>4561</v>
      </c>
      <c r="AA1090" s="3">
        <v>0.15199723839759827</v>
      </c>
      <c r="AB1090" t="s">
        <v>9934</v>
      </c>
      <c r="AC1090" t="s">
        <v>4575</v>
      </c>
      <c r="AD1090" t="s">
        <v>9935</v>
      </c>
      <c r="AE1090" t="s">
        <v>4655</v>
      </c>
      <c r="AF1090" t="s">
        <v>4563</v>
      </c>
      <c r="AG1090" t="s">
        <v>4564</v>
      </c>
      <c r="AH1090">
        <v>89502</v>
      </c>
      <c r="AI1090" t="s">
        <v>4045</v>
      </c>
      <c r="AJ1090" t="s">
        <v>4655</v>
      </c>
      <c r="AK1090" t="s">
        <v>9936</v>
      </c>
      <c r="AL1090" s="13" t="s">
        <v>2255</v>
      </c>
      <c r="AM1090">
        <v>1</v>
      </c>
      <c r="AN1090" s="15" t="s">
        <v>5278</v>
      </c>
    </row>
    <row r="1091" spans="1:40" x14ac:dyDescent="0.3">
      <c r="A1091" s="10" t="str">
        <f>HYPERLINK("http://www.washoecounty.gov/assessor/cama/?parid=013-191-14&amp;CardNumber=1","013-191-14")</f>
        <v>013-191-14</v>
      </c>
      <c r="B1091" t="s">
        <v>4655</v>
      </c>
      <c r="C1091" t="s">
        <v>9937</v>
      </c>
      <c r="D1091" s="1">
        <v>40443</v>
      </c>
      <c r="E1091" s="2">
        <v>91000</v>
      </c>
      <c r="F1091" t="s">
        <v>4567</v>
      </c>
      <c r="G1091" s="17" t="str">
        <f>HYPERLINK("https://www.washoecounty.gov/assessor/cama/?command=sales&amp;parid=01319114","3925134")</f>
        <v>3925134</v>
      </c>
      <c r="H1091" t="s">
        <v>5183</v>
      </c>
      <c r="I1091">
        <v>1954</v>
      </c>
      <c r="J1091">
        <v>1954</v>
      </c>
      <c r="K1091" t="s">
        <v>4554</v>
      </c>
      <c r="L1091" t="s">
        <v>4555</v>
      </c>
      <c r="M1091" s="2">
        <v>825</v>
      </c>
      <c r="N1091" t="s">
        <v>4556</v>
      </c>
      <c r="O1091">
        <v>2</v>
      </c>
      <c r="P1091">
        <v>1</v>
      </c>
      <c r="Q1091">
        <v>0</v>
      </c>
      <c r="R1091" t="s">
        <v>4557</v>
      </c>
      <c r="S1091" t="s">
        <v>4574</v>
      </c>
      <c r="T1091" t="s">
        <v>4559</v>
      </c>
      <c r="U1091" t="s">
        <v>4560</v>
      </c>
      <c r="V1091" s="2">
        <v>294</v>
      </c>
      <c r="W1091" t="s">
        <v>3149</v>
      </c>
      <c r="X1091" s="2">
        <v>825</v>
      </c>
      <c r="Y1091">
        <v>20</v>
      </c>
      <c r="Z1091" t="s">
        <v>4561</v>
      </c>
      <c r="AA1091" s="3">
        <v>0.15199723839759827</v>
      </c>
      <c r="AB1091" t="s">
        <v>9938</v>
      </c>
      <c r="AC1091" t="s">
        <v>4562</v>
      </c>
      <c r="AD1091" t="s">
        <v>9939</v>
      </c>
      <c r="AE1091" t="s">
        <v>4655</v>
      </c>
      <c r="AF1091" t="s">
        <v>4563</v>
      </c>
      <c r="AG1091" t="s">
        <v>4564</v>
      </c>
      <c r="AH1091">
        <v>89502</v>
      </c>
      <c r="AI1091" t="s">
        <v>9940</v>
      </c>
      <c r="AJ1091" t="s">
        <v>4655</v>
      </c>
      <c r="AK1091" t="s">
        <v>9941</v>
      </c>
      <c r="AL1091" s="13" t="s">
        <v>2255</v>
      </c>
      <c r="AM1091">
        <v>1</v>
      </c>
      <c r="AN1091" s="15" t="s">
        <v>5278</v>
      </c>
    </row>
    <row r="1092" spans="1:40" x14ac:dyDescent="0.3">
      <c r="A1092" s="10" t="str">
        <f>HYPERLINK("http://www.washoecounty.gov/assessor/cama/?parid=013-192-30&amp;CardNumber=1","013-192-30")</f>
        <v>013-192-30</v>
      </c>
      <c r="B1092" t="s">
        <v>4655</v>
      </c>
      <c r="C1092" t="s">
        <v>9942</v>
      </c>
      <c r="D1092" s="1">
        <v>40382</v>
      </c>
      <c r="E1092" s="2">
        <v>85000</v>
      </c>
      <c r="F1092" t="s">
        <v>4553</v>
      </c>
      <c r="G1092" s="17" t="str">
        <f>HYPERLINK("https://www.washoecounty.gov/assessor/cama/?command=sales&amp;parid=01319230","3904385")</f>
        <v>3904385</v>
      </c>
      <c r="H1092" t="s">
        <v>9943</v>
      </c>
      <c r="I1092">
        <v>1954</v>
      </c>
      <c r="J1092">
        <v>1954</v>
      </c>
      <c r="K1092" t="s">
        <v>4554</v>
      </c>
      <c r="L1092" t="s">
        <v>4555</v>
      </c>
      <c r="M1092" s="2">
        <v>840</v>
      </c>
      <c r="N1092" t="s">
        <v>4556</v>
      </c>
      <c r="O1092">
        <v>2</v>
      </c>
      <c r="P1092">
        <v>1</v>
      </c>
      <c r="Q1092">
        <v>0</v>
      </c>
      <c r="R1092" t="s">
        <v>4557</v>
      </c>
      <c r="S1092" t="s">
        <v>4574</v>
      </c>
      <c r="T1092" t="s">
        <v>4559</v>
      </c>
      <c r="U1092" t="s">
        <v>4560</v>
      </c>
      <c r="V1092" s="2">
        <v>336</v>
      </c>
      <c r="W1092" t="s">
        <v>3149</v>
      </c>
      <c r="X1092" s="2">
        <v>840</v>
      </c>
      <c r="Y1092">
        <v>20</v>
      </c>
      <c r="Z1092" t="s">
        <v>4561</v>
      </c>
      <c r="AA1092" s="3">
        <v>0.15199723839759827</v>
      </c>
      <c r="AB1092" t="s">
        <v>9944</v>
      </c>
      <c r="AC1092" t="s">
        <v>4562</v>
      </c>
      <c r="AD1092" t="s">
        <v>9942</v>
      </c>
      <c r="AE1092" t="s">
        <v>4655</v>
      </c>
      <c r="AF1092" t="s">
        <v>4563</v>
      </c>
      <c r="AG1092" t="s">
        <v>4564</v>
      </c>
      <c r="AH1092">
        <v>89502</v>
      </c>
      <c r="AI1092" t="s">
        <v>4655</v>
      </c>
      <c r="AJ1092" t="s">
        <v>4655</v>
      </c>
      <c r="AK1092" t="s">
        <v>9945</v>
      </c>
      <c r="AL1092" s="13" t="s">
        <v>2255</v>
      </c>
      <c r="AM1092">
        <v>1</v>
      </c>
      <c r="AN1092" s="15" t="s">
        <v>5278</v>
      </c>
    </row>
    <row r="1093" spans="1:40" x14ac:dyDescent="0.3">
      <c r="A1093" s="10" t="str">
        <f>HYPERLINK("http://www.washoecounty.gov/assessor/cama/?parid=013-193-04&amp;CardNumber=1","013-193-04")</f>
        <v>013-193-04</v>
      </c>
      <c r="B1093" t="s">
        <v>4655</v>
      </c>
      <c r="C1093" t="s">
        <v>9946</v>
      </c>
      <c r="D1093" s="1">
        <v>40269</v>
      </c>
      <c r="E1093" s="2">
        <v>95000</v>
      </c>
      <c r="F1093" t="s">
        <v>4553</v>
      </c>
      <c r="G1093" s="17" t="str">
        <f>HYPERLINK("https://www.washoecounty.gov/assessor/cama/?command=sales&amp;parid=01319304","3866970")</f>
        <v>3866970</v>
      </c>
      <c r="H1093" t="s">
        <v>4410</v>
      </c>
      <c r="I1093">
        <v>1957</v>
      </c>
      <c r="J1093">
        <v>1957</v>
      </c>
      <c r="K1093" t="s">
        <v>4554</v>
      </c>
      <c r="L1093" t="s">
        <v>4555</v>
      </c>
      <c r="M1093" s="2">
        <v>1100</v>
      </c>
      <c r="N1093" t="s">
        <v>4556</v>
      </c>
      <c r="O1093">
        <v>3</v>
      </c>
      <c r="P1093">
        <v>1</v>
      </c>
      <c r="Q1093">
        <v>0</v>
      </c>
      <c r="R1093" t="s">
        <v>4557</v>
      </c>
      <c r="S1093" t="s">
        <v>4574</v>
      </c>
      <c r="T1093" t="s">
        <v>4559</v>
      </c>
      <c r="U1093" t="s">
        <v>4560</v>
      </c>
      <c r="V1093" s="2">
        <v>330</v>
      </c>
      <c r="W1093" t="s">
        <v>4655</v>
      </c>
      <c r="X1093" s="2">
        <v>0</v>
      </c>
      <c r="Y1093">
        <v>20</v>
      </c>
      <c r="Z1093" t="s">
        <v>4561</v>
      </c>
      <c r="AA1093" s="3">
        <v>0.151010096073151</v>
      </c>
      <c r="AB1093" t="s">
        <v>9947</v>
      </c>
      <c r="AC1093" t="s">
        <v>4562</v>
      </c>
      <c r="AD1093" t="s">
        <v>9948</v>
      </c>
      <c r="AE1093" t="s">
        <v>4655</v>
      </c>
      <c r="AF1093" t="s">
        <v>3114</v>
      </c>
      <c r="AG1093" t="s">
        <v>4564</v>
      </c>
      <c r="AH1093">
        <v>89502</v>
      </c>
      <c r="AI1093" t="s">
        <v>4565</v>
      </c>
      <c r="AJ1093" t="s">
        <v>4655</v>
      </c>
      <c r="AK1093" t="s">
        <v>9949</v>
      </c>
      <c r="AL1093" s="13" t="s">
        <v>2255</v>
      </c>
      <c r="AM1093">
        <v>1</v>
      </c>
      <c r="AN1093" s="15" t="s">
        <v>5278</v>
      </c>
    </row>
    <row r="1094" spans="1:40" x14ac:dyDescent="0.3">
      <c r="A1094" s="10" t="str">
        <f>HYPERLINK("http://www.washoecounty.gov/assessor/cama/?parid=013-193-16&amp;CardNumber=1","013-193-16")</f>
        <v>013-193-16</v>
      </c>
      <c r="B1094" t="s">
        <v>4655</v>
      </c>
      <c r="C1094" t="s">
        <v>9950</v>
      </c>
      <c r="D1094" s="1">
        <v>40387</v>
      </c>
      <c r="E1094" s="2">
        <v>145000</v>
      </c>
      <c r="F1094" t="s">
        <v>4567</v>
      </c>
      <c r="G1094" s="17" t="str">
        <f>HYPERLINK("https://www.washoecounty.gov/assessor/cama/?command=sales&amp;parid=01319316","3906077")</f>
        <v>3906077</v>
      </c>
      <c r="H1094" t="s">
        <v>3803</v>
      </c>
      <c r="I1094">
        <v>1936</v>
      </c>
      <c r="J1094">
        <v>1936</v>
      </c>
      <c r="K1094" t="s">
        <v>4554</v>
      </c>
      <c r="L1094" t="s">
        <v>3886</v>
      </c>
      <c r="M1094" s="2">
        <v>1750</v>
      </c>
      <c r="N1094" t="s">
        <v>4556</v>
      </c>
      <c r="O1094">
        <v>4</v>
      </c>
      <c r="P1094">
        <v>2</v>
      </c>
      <c r="Q1094">
        <v>0</v>
      </c>
      <c r="R1094" t="s">
        <v>4557</v>
      </c>
      <c r="S1094" t="s">
        <v>4682</v>
      </c>
      <c r="T1094" t="s">
        <v>4559</v>
      </c>
      <c r="U1094" t="s">
        <v>4655</v>
      </c>
      <c r="V1094" s="2">
        <v>0</v>
      </c>
      <c r="W1094" t="s">
        <v>4655</v>
      </c>
      <c r="X1094" s="2">
        <v>0</v>
      </c>
      <c r="Y1094">
        <v>20</v>
      </c>
      <c r="Z1094" t="s">
        <v>4561</v>
      </c>
      <c r="AA1094" s="3">
        <v>0.20300734043121299</v>
      </c>
      <c r="AB1094" t="s">
        <v>9951</v>
      </c>
      <c r="AC1094" t="s">
        <v>4562</v>
      </c>
      <c r="AD1094" t="s">
        <v>9950</v>
      </c>
      <c r="AE1094" t="s">
        <v>4655</v>
      </c>
      <c r="AF1094" t="s">
        <v>4563</v>
      </c>
      <c r="AG1094" t="s">
        <v>4564</v>
      </c>
      <c r="AH1094">
        <v>89502</v>
      </c>
      <c r="AI1094" t="s">
        <v>4655</v>
      </c>
      <c r="AJ1094" t="s">
        <v>4655</v>
      </c>
      <c r="AK1094" t="s">
        <v>9952</v>
      </c>
      <c r="AL1094" s="13" t="s">
        <v>2255</v>
      </c>
      <c r="AM1094">
        <v>1</v>
      </c>
      <c r="AN1094" s="15" t="s">
        <v>5278</v>
      </c>
    </row>
    <row r="1095" spans="1:40" x14ac:dyDescent="0.3">
      <c r="A1095" s="10" t="str">
        <f>HYPERLINK("http://www.washoecounty.gov/assessor/cama/?parid=013-194-04&amp;CardNumber=1","013-194-04")</f>
        <v>013-194-04</v>
      </c>
      <c r="B1095" t="s">
        <v>4655</v>
      </c>
      <c r="C1095" t="s">
        <v>9953</v>
      </c>
      <c r="D1095" s="1">
        <v>40479</v>
      </c>
      <c r="E1095" s="2">
        <v>65000</v>
      </c>
      <c r="F1095" t="s">
        <v>4553</v>
      </c>
      <c r="G1095" s="17" t="str">
        <f>HYPERLINK("https://www.washoecounty.gov/assessor/cama/?command=sales&amp;parid=01319404","3937678")</f>
        <v>3937678</v>
      </c>
      <c r="H1095" t="s">
        <v>4410</v>
      </c>
      <c r="I1095">
        <v>1955</v>
      </c>
      <c r="J1095">
        <v>1955</v>
      </c>
      <c r="K1095" t="s">
        <v>4554</v>
      </c>
      <c r="L1095" t="s">
        <v>4555</v>
      </c>
      <c r="M1095" s="2">
        <v>1000</v>
      </c>
      <c r="N1095" t="s">
        <v>4556</v>
      </c>
      <c r="O1095">
        <v>3</v>
      </c>
      <c r="P1095">
        <v>1</v>
      </c>
      <c r="Q1095">
        <v>0</v>
      </c>
      <c r="R1095" t="s">
        <v>4134</v>
      </c>
      <c r="S1095" t="s">
        <v>4574</v>
      </c>
      <c r="T1095" t="s">
        <v>4559</v>
      </c>
      <c r="U1095" t="s">
        <v>4560</v>
      </c>
      <c r="V1095" s="2">
        <v>280</v>
      </c>
      <c r="W1095" t="s">
        <v>4655</v>
      </c>
      <c r="X1095" s="2">
        <v>0</v>
      </c>
      <c r="Y1095">
        <v>20</v>
      </c>
      <c r="Z1095" t="s">
        <v>4561</v>
      </c>
      <c r="AA1095" s="3">
        <v>0.13900367915630299</v>
      </c>
      <c r="AB1095" t="s">
        <v>324</v>
      </c>
      <c r="AC1095" t="s">
        <v>4575</v>
      </c>
      <c r="AD1095" t="s">
        <v>2665</v>
      </c>
      <c r="AE1095" t="s">
        <v>4655</v>
      </c>
      <c r="AF1095" t="s">
        <v>4563</v>
      </c>
      <c r="AG1095" t="s">
        <v>4564</v>
      </c>
      <c r="AH1095" t="s">
        <v>1147</v>
      </c>
      <c r="AI1095" t="s">
        <v>2435</v>
      </c>
      <c r="AJ1095" t="s">
        <v>4655</v>
      </c>
      <c r="AK1095" t="s">
        <v>9954</v>
      </c>
      <c r="AL1095" s="13" t="s">
        <v>2255</v>
      </c>
      <c r="AM1095">
        <v>1</v>
      </c>
      <c r="AN1095" s="15" t="s">
        <v>5278</v>
      </c>
    </row>
    <row r="1096" spans="1:40" x14ac:dyDescent="0.3">
      <c r="A1096" s="10" t="str">
        <f>HYPERLINK("http://www.washoecounty.gov/assessor/cama/?parid=013-194-24&amp;CardNumber=1","013-194-24")</f>
        <v>013-194-24</v>
      </c>
      <c r="B1096" t="s">
        <v>4655</v>
      </c>
      <c r="C1096" t="s">
        <v>9955</v>
      </c>
      <c r="D1096" s="1">
        <v>40304</v>
      </c>
      <c r="E1096" s="2">
        <v>110000</v>
      </c>
      <c r="F1096" t="s">
        <v>4553</v>
      </c>
      <c r="G1096" s="17" t="str">
        <f>HYPERLINK("https://www.washoecounty.gov/assessor/cama/?command=sales&amp;parid=01319424","3878753")</f>
        <v>3878753</v>
      </c>
      <c r="H1096" t="s">
        <v>4410</v>
      </c>
      <c r="I1096">
        <v>1955</v>
      </c>
      <c r="J1096">
        <v>1955</v>
      </c>
      <c r="K1096" t="s">
        <v>4554</v>
      </c>
      <c r="L1096" t="s">
        <v>4555</v>
      </c>
      <c r="M1096" s="2">
        <v>1000</v>
      </c>
      <c r="N1096" t="s">
        <v>4556</v>
      </c>
      <c r="O1096">
        <v>2</v>
      </c>
      <c r="P1096">
        <v>1</v>
      </c>
      <c r="Q1096">
        <v>0</v>
      </c>
      <c r="R1096" t="s">
        <v>4134</v>
      </c>
      <c r="S1096" t="s">
        <v>4574</v>
      </c>
      <c r="T1096" t="s">
        <v>4559</v>
      </c>
      <c r="U1096" t="s">
        <v>4560</v>
      </c>
      <c r="V1096" s="2">
        <v>280</v>
      </c>
      <c r="W1096" t="s">
        <v>4655</v>
      </c>
      <c r="X1096" s="2">
        <v>0</v>
      </c>
      <c r="Y1096">
        <v>20</v>
      </c>
      <c r="Z1096" t="s">
        <v>4561</v>
      </c>
      <c r="AA1096" s="3">
        <v>0.13900367915630299</v>
      </c>
      <c r="AB1096" t="s">
        <v>9956</v>
      </c>
      <c r="AC1096" t="s">
        <v>4562</v>
      </c>
      <c r="AD1096" t="s">
        <v>9957</v>
      </c>
      <c r="AE1096" t="s">
        <v>4655</v>
      </c>
      <c r="AF1096" t="s">
        <v>4563</v>
      </c>
      <c r="AG1096" t="s">
        <v>4564</v>
      </c>
      <c r="AH1096">
        <v>89501</v>
      </c>
      <c r="AI1096" t="s">
        <v>4655</v>
      </c>
      <c r="AJ1096" t="s">
        <v>4655</v>
      </c>
      <c r="AK1096" t="s">
        <v>9958</v>
      </c>
      <c r="AL1096" s="13" t="s">
        <v>2255</v>
      </c>
      <c r="AM1096" s="14">
        <v>1</v>
      </c>
      <c r="AN1096" s="15" t="s">
        <v>5278</v>
      </c>
    </row>
    <row r="1097" spans="1:40" x14ac:dyDescent="0.3">
      <c r="A1097" s="10" t="str">
        <f>HYPERLINK("http://www.washoecounty.gov/assessor/cama/?parid=013-195-08&amp;CardNumber=1","013-195-08")</f>
        <v>013-195-08</v>
      </c>
      <c r="B1097" t="s">
        <v>4655</v>
      </c>
      <c r="C1097" t="s">
        <v>9959</v>
      </c>
      <c r="D1097" s="1">
        <v>40406</v>
      </c>
      <c r="E1097" s="2">
        <v>65000</v>
      </c>
      <c r="F1097" t="s">
        <v>4553</v>
      </c>
      <c r="G1097" s="17" t="str">
        <f>HYPERLINK("https://www.washoecounty.gov/assessor/cama/?command=sales&amp;parid=01319508","3912441")</f>
        <v>3912441</v>
      </c>
      <c r="H1097" t="s">
        <v>4410</v>
      </c>
      <c r="I1097">
        <v>1954</v>
      </c>
      <c r="J1097">
        <v>1954</v>
      </c>
      <c r="K1097" t="s">
        <v>4554</v>
      </c>
      <c r="L1097" t="s">
        <v>4555</v>
      </c>
      <c r="M1097" s="2">
        <v>1000</v>
      </c>
      <c r="N1097" t="s">
        <v>4556</v>
      </c>
      <c r="O1097">
        <v>3</v>
      </c>
      <c r="P1097">
        <v>1</v>
      </c>
      <c r="Q1097">
        <v>0</v>
      </c>
      <c r="R1097" t="s">
        <v>4134</v>
      </c>
      <c r="S1097" t="s">
        <v>4574</v>
      </c>
      <c r="T1097" t="s">
        <v>4559</v>
      </c>
      <c r="U1097" t="s">
        <v>4655</v>
      </c>
      <c r="V1097" s="2">
        <v>0</v>
      </c>
      <c r="W1097" t="s">
        <v>4655</v>
      </c>
      <c r="X1097" s="2">
        <v>0</v>
      </c>
      <c r="Y1097">
        <v>20</v>
      </c>
      <c r="Z1097" t="s">
        <v>4561</v>
      </c>
      <c r="AA1097" s="3">
        <v>0.17100550234317799</v>
      </c>
      <c r="AB1097" t="s">
        <v>9960</v>
      </c>
      <c r="AC1097" t="s">
        <v>4575</v>
      </c>
      <c r="AD1097" t="s">
        <v>9959</v>
      </c>
      <c r="AE1097" t="s">
        <v>4655</v>
      </c>
      <c r="AF1097" t="s">
        <v>4563</v>
      </c>
      <c r="AG1097" t="s">
        <v>4564</v>
      </c>
      <c r="AH1097">
        <v>89502</v>
      </c>
      <c r="AI1097" t="s">
        <v>4903</v>
      </c>
      <c r="AJ1097" t="s">
        <v>4655</v>
      </c>
      <c r="AK1097" t="s">
        <v>9961</v>
      </c>
      <c r="AL1097" s="13" t="s">
        <v>2255</v>
      </c>
      <c r="AM1097">
        <v>1</v>
      </c>
      <c r="AN1097" s="15" t="s">
        <v>5278</v>
      </c>
    </row>
    <row r="1098" spans="1:40" x14ac:dyDescent="0.3">
      <c r="A1098" s="10" t="str">
        <f>HYPERLINK("http://www.washoecounty.gov/assessor/cama/?parid=013-221-28&amp;CardNumber=1","013-221-28")</f>
        <v>013-221-28</v>
      </c>
      <c r="B1098" t="s">
        <v>4655</v>
      </c>
      <c r="C1098" t="s">
        <v>9962</v>
      </c>
      <c r="D1098" s="1">
        <v>40375</v>
      </c>
      <c r="E1098" s="2">
        <v>200000</v>
      </c>
      <c r="F1098" t="s">
        <v>4567</v>
      </c>
      <c r="G1098" s="17" t="str">
        <f>HYPERLINK("https://www.washoecounty.gov/assessor/cama/?command=sales&amp;parid=01322128","3902163")</f>
        <v>3902163</v>
      </c>
      <c r="H1098" t="s">
        <v>9963</v>
      </c>
      <c r="I1098">
        <v>1977</v>
      </c>
      <c r="J1098">
        <v>1977</v>
      </c>
      <c r="K1098" t="s">
        <v>3043</v>
      </c>
      <c r="L1098" t="s">
        <v>3974</v>
      </c>
      <c r="M1098" s="2">
        <v>3136</v>
      </c>
      <c r="N1098" t="s">
        <v>4556</v>
      </c>
      <c r="O1098">
        <v>4</v>
      </c>
      <c r="P1098">
        <v>4</v>
      </c>
      <c r="Q1098">
        <v>0</v>
      </c>
      <c r="R1098" t="s">
        <v>4557</v>
      </c>
      <c r="S1098" t="s">
        <v>4898</v>
      </c>
      <c r="T1098" t="s">
        <v>4899</v>
      </c>
      <c r="U1098" t="s">
        <v>4655</v>
      </c>
      <c r="V1098" s="2">
        <v>0</v>
      </c>
      <c r="W1098" t="s">
        <v>4655</v>
      </c>
      <c r="X1098" s="2">
        <v>0</v>
      </c>
      <c r="Y1098">
        <v>32</v>
      </c>
      <c r="Z1098" t="s">
        <v>2705</v>
      </c>
      <c r="AA1098" s="3">
        <v>0.11000918596983</v>
      </c>
      <c r="AB1098" t="s">
        <v>9964</v>
      </c>
      <c r="AC1098" t="s">
        <v>4562</v>
      </c>
      <c r="AD1098" t="s">
        <v>688</v>
      </c>
      <c r="AE1098" t="s">
        <v>4655</v>
      </c>
      <c r="AF1098" t="s">
        <v>689</v>
      </c>
      <c r="AG1098" t="s">
        <v>4584</v>
      </c>
      <c r="AH1098" t="s">
        <v>3328</v>
      </c>
      <c r="AI1098" t="s">
        <v>9965</v>
      </c>
      <c r="AJ1098" t="s">
        <v>4655</v>
      </c>
      <c r="AK1098" t="s">
        <v>9966</v>
      </c>
      <c r="AL1098" s="13" t="s">
        <v>2255</v>
      </c>
      <c r="AM1098">
        <v>4</v>
      </c>
      <c r="AN1098" s="15" t="s">
        <v>3172</v>
      </c>
    </row>
    <row r="1099" spans="1:40" x14ac:dyDescent="0.3">
      <c r="A1099" s="10" t="str">
        <f>HYPERLINK("http://www.washoecounty.gov/assessor/cama/?parid=013-221-31&amp;CardNumber=1","013-221-31")</f>
        <v>013-221-31</v>
      </c>
      <c r="B1099" t="s">
        <v>4655</v>
      </c>
      <c r="C1099" t="s">
        <v>9967</v>
      </c>
      <c r="D1099" s="1">
        <v>40466</v>
      </c>
      <c r="E1099" s="2">
        <v>227100</v>
      </c>
      <c r="F1099" t="s">
        <v>4553</v>
      </c>
      <c r="G1099" s="17" t="str">
        <f>HYPERLINK("https://www.washoecounty.gov/assessor/cama/?command=sales&amp;parid=01322131","3933497")</f>
        <v>3933497</v>
      </c>
      <c r="H1099" t="s">
        <v>9968</v>
      </c>
      <c r="I1099">
        <v>1932</v>
      </c>
      <c r="J1099">
        <v>1951</v>
      </c>
      <c r="K1099" t="s">
        <v>4554</v>
      </c>
      <c r="L1099" t="s">
        <v>4555</v>
      </c>
      <c r="M1099" s="2">
        <v>1884</v>
      </c>
      <c r="N1099" t="s">
        <v>3147</v>
      </c>
      <c r="O1099">
        <v>2</v>
      </c>
      <c r="P1099">
        <v>2</v>
      </c>
      <c r="Q1099">
        <v>0</v>
      </c>
      <c r="R1099" t="s">
        <v>4557</v>
      </c>
      <c r="S1099" t="s">
        <v>3046</v>
      </c>
      <c r="T1099" t="s">
        <v>1583</v>
      </c>
      <c r="U1099" t="s">
        <v>4655</v>
      </c>
      <c r="V1099" s="2">
        <v>0</v>
      </c>
      <c r="W1099" t="s">
        <v>3149</v>
      </c>
      <c r="X1099" s="2">
        <v>1062</v>
      </c>
      <c r="Y1099">
        <v>20</v>
      </c>
      <c r="Z1099" t="s">
        <v>564</v>
      </c>
      <c r="AA1099" s="3">
        <v>0.451997250318527</v>
      </c>
      <c r="AB1099" t="s">
        <v>9969</v>
      </c>
      <c r="AC1099" t="s">
        <v>4562</v>
      </c>
      <c r="AD1099" t="s">
        <v>9970</v>
      </c>
      <c r="AE1099" t="s">
        <v>4655</v>
      </c>
      <c r="AF1099" t="s">
        <v>4563</v>
      </c>
      <c r="AG1099" t="s">
        <v>4564</v>
      </c>
      <c r="AH1099">
        <v>89502</v>
      </c>
      <c r="AI1099" t="s">
        <v>4903</v>
      </c>
      <c r="AJ1099" t="s">
        <v>4655</v>
      </c>
      <c r="AK1099" t="s">
        <v>9971</v>
      </c>
      <c r="AL1099" s="13" t="s">
        <v>2255</v>
      </c>
      <c r="AM1099" s="14">
        <v>1</v>
      </c>
      <c r="AN1099" s="15" t="s">
        <v>5278</v>
      </c>
    </row>
    <row r="1100" spans="1:40" x14ac:dyDescent="0.3">
      <c r="A1100" s="10" t="str">
        <f>HYPERLINK("http://www.washoecounty.gov/assessor/cama/?parid=013-223-16&amp;CardNumber=1","013-223-16")</f>
        <v>013-223-16</v>
      </c>
      <c r="B1100" t="s">
        <v>4655</v>
      </c>
      <c r="C1100" t="s">
        <v>9972</v>
      </c>
      <c r="D1100" s="1">
        <v>40442</v>
      </c>
      <c r="E1100" s="2">
        <v>85000</v>
      </c>
      <c r="F1100" t="s">
        <v>4553</v>
      </c>
      <c r="G1100" s="17" t="str">
        <f>HYPERLINK("https://www.washoecounty.gov/assessor/cama/?command=sales&amp;parid=01322316","3924490")</f>
        <v>3924490</v>
      </c>
      <c r="H1100" t="s">
        <v>5184</v>
      </c>
      <c r="I1100">
        <v>1930</v>
      </c>
      <c r="J1100">
        <v>1930</v>
      </c>
      <c r="K1100" t="s">
        <v>4554</v>
      </c>
      <c r="L1100" t="s">
        <v>3886</v>
      </c>
      <c r="M1100" s="2">
        <v>1501</v>
      </c>
      <c r="N1100" t="s">
        <v>5280</v>
      </c>
      <c r="O1100">
        <v>3</v>
      </c>
      <c r="P1100">
        <v>2</v>
      </c>
      <c r="Q1100">
        <v>0</v>
      </c>
      <c r="R1100" t="s">
        <v>3045</v>
      </c>
      <c r="S1100" t="s">
        <v>4574</v>
      </c>
      <c r="T1100" t="s">
        <v>4559</v>
      </c>
      <c r="U1100" t="s">
        <v>4655</v>
      </c>
      <c r="V1100" s="2">
        <v>0</v>
      </c>
      <c r="W1100" t="s">
        <v>4655</v>
      </c>
      <c r="X1100" s="2">
        <v>0</v>
      </c>
      <c r="Y1100">
        <v>20</v>
      </c>
      <c r="Z1100" t="s">
        <v>2705</v>
      </c>
      <c r="AA1100" s="3">
        <v>0.15500459074974099</v>
      </c>
      <c r="AB1100" t="s">
        <v>9973</v>
      </c>
      <c r="AC1100" t="s">
        <v>4575</v>
      </c>
      <c r="AD1100" t="s">
        <v>9972</v>
      </c>
      <c r="AE1100" t="s">
        <v>4655</v>
      </c>
      <c r="AF1100" t="s">
        <v>4563</v>
      </c>
      <c r="AG1100" t="s">
        <v>4564</v>
      </c>
      <c r="AH1100">
        <v>89502</v>
      </c>
      <c r="AI1100" t="s">
        <v>4903</v>
      </c>
      <c r="AJ1100" t="s">
        <v>4655</v>
      </c>
      <c r="AK1100" t="s">
        <v>9974</v>
      </c>
      <c r="AL1100" s="13" t="s">
        <v>2255</v>
      </c>
      <c r="AM1100">
        <v>1</v>
      </c>
      <c r="AN1100" s="15" t="s">
        <v>5278</v>
      </c>
    </row>
    <row r="1101" spans="1:40" x14ac:dyDescent="0.3">
      <c r="A1101" s="10" t="str">
        <f>HYPERLINK("http://www.washoecounty.gov/assessor/cama/?parid=013-223-19&amp;CardNumber=1","013-223-19")</f>
        <v>013-223-19</v>
      </c>
      <c r="B1101" t="s">
        <v>4655</v>
      </c>
      <c r="C1101" t="s">
        <v>9975</v>
      </c>
      <c r="D1101" s="1">
        <v>40227</v>
      </c>
      <c r="E1101" s="2">
        <v>40000</v>
      </c>
      <c r="F1101" t="s">
        <v>4567</v>
      </c>
      <c r="G1101" s="17" t="str">
        <f>HYPERLINK("https://www.washoecounty.gov/assessor/cama/?command=sales&amp;parid=01322319","3850878")</f>
        <v>3850878</v>
      </c>
      <c r="H1101" t="s">
        <v>9976</v>
      </c>
      <c r="I1101">
        <v>1953</v>
      </c>
      <c r="J1101">
        <v>1953</v>
      </c>
      <c r="K1101" t="s">
        <v>4554</v>
      </c>
      <c r="L1101" t="s">
        <v>4555</v>
      </c>
      <c r="M1101" s="2">
        <v>740</v>
      </c>
      <c r="N1101" t="s">
        <v>4133</v>
      </c>
      <c r="O1101">
        <v>2</v>
      </c>
      <c r="P1101">
        <v>1</v>
      </c>
      <c r="Q1101">
        <v>0</v>
      </c>
      <c r="R1101" t="s">
        <v>4134</v>
      </c>
      <c r="S1101" t="s">
        <v>4574</v>
      </c>
      <c r="T1101" t="s">
        <v>4559</v>
      </c>
      <c r="U1101" t="s">
        <v>4655</v>
      </c>
      <c r="V1101" s="2">
        <v>0</v>
      </c>
      <c r="W1101" t="s">
        <v>4655</v>
      </c>
      <c r="X1101" s="2">
        <v>0</v>
      </c>
      <c r="Y1101">
        <v>20</v>
      </c>
      <c r="Z1101" t="s">
        <v>2705</v>
      </c>
      <c r="AA1101" s="3">
        <v>7.1579433977603898E-2</v>
      </c>
      <c r="AB1101" t="s">
        <v>9977</v>
      </c>
      <c r="AC1101" t="s">
        <v>4575</v>
      </c>
      <c r="AD1101" t="s">
        <v>9978</v>
      </c>
      <c r="AE1101" t="s">
        <v>4655</v>
      </c>
      <c r="AF1101" t="s">
        <v>4563</v>
      </c>
      <c r="AG1101" t="s">
        <v>4564</v>
      </c>
      <c r="AH1101" t="s">
        <v>1147</v>
      </c>
      <c r="AI1101" t="s">
        <v>3119</v>
      </c>
      <c r="AJ1101" t="s">
        <v>9979</v>
      </c>
      <c r="AK1101" t="s">
        <v>9980</v>
      </c>
      <c r="AL1101" s="13" t="s">
        <v>2255</v>
      </c>
      <c r="AM1101">
        <v>1</v>
      </c>
      <c r="AN1101" s="15" t="s">
        <v>5278</v>
      </c>
    </row>
    <row r="1102" spans="1:40" x14ac:dyDescent="0.3">
      <c r="A1102" s="10" t="str">
        <f>HYPERLINK("http://www.washoecounty.gov/assessor/cama/?parid=013-223-19&amp;CardNumber=1","013-223-19")</f>
        <v>013-223-19</v>
      </c>
      <c r="B1102" t="s">
        <v>4655</v>
      </c>
      <c r="C1102" t="s">
        <v>9975</v>
      </c>
      <c r="D1102" s="1">
        <v>40269</v>
      </c>
      <c r="E1102" s="2">
        <v>62500</v>
      </c>
      <c r="F1102" t="s">
        <v>4567</v>
      </c>
      <c r="G1102" s="17" t="str">
        <f>HYPERLINK("https://www.washoecounty.gov/assessor/cama/?command=sales&amp;parid=01322319","3866877")</f>
        <v>3866877</v>
      </c>
      <c r="H1102" t="s">
        <v>9976</v>
      </c>
      <c r="I1102">
        <v>1953</v>
      </c>
      <c r="J1102">
        <v>1953</v>
      </c>
      <c r="K1102" t="s">
        <v>4554</v>
      </c>
      <c r="L1102" t="s">
        <v>4555</v>
      </c>
      <c r="M1102" s="2">
        <v>740</v>
      </c>
      <c r="N1102" t="s">
        <v>4133</v>
      </c>
      <c r="O1102">
        <v>2</v>
      </c>
      <c r="P1102">
        <v>1</v>
      </c>
      <c r="Q1102">
        <v>0</v>
      </c>
      <c r="R1102" t="s">
        <v>4134</v>
      </c>
      <c r="S1102" t="s">
        <v>4574</v>
      </c>
      <c r="T1102" t="s">
        <v>4559</v>
      </c>
      <c r="U1102" t="s">
        <v>4655</v>
      </c>
      <c r="V1102" s="2">
        <v>0</v>
      </c>
      <c r="W1102" t="s">
        <v>4655</v>
      </c>
      <c r="X1102" s="2">
        <v>0</v>
      </c>
      <c r="Y1102">
        <v>20</v>
      </c>
      <c r="Z1102" t="s">
        <v>2705</v>
      </c>
      <c r="AA1102" s="3">
        <v>7.1579433977603898E-2</v>
      </c>
      <c r="AB1102" t="s">
        <v>9977</v>
      </c>
      <c r="AC1102" t="s">
        <v>4575</v>
      </c>
      <c r="AD1102" t="s">
        <v>9978</v>
      </c>
      <c r="AE1102" t="s">
        <v>4655</v>
      </c>
      <c r="AF1102" t="s">
        <v>4563</v>
      </c>
      <c r="AG1102" t="s">
        <v>4564</v>
      </c>
      <c r="AH1102" t="s">
        <v>1147</v>
      </c>
      <c r="AI1102" t="s">
        <v>3119</v>
      </c>
      <c r="AJ1102" t="s">
        <v>9979</v>
      </c>
      <c r="AK1102" t="s">
        <v>9980</v>
      </c>
      <c r="AL1102" s="13" t="s">
        <v>2255</v>
      </c>
      <c r="AM1102" s="14">
        <v>1</v>
      </c>
      <c r="AN1102" s="15" t="s">
        <v>5278</v>
      </c>
    </row>
    <row r="1103" spans="1:40" x14ac:dyDescent="0.3">
      <c r="A1103" s="10" t="str">
        <f>HYPERLINK("http://www.washoecounty.gov/assessor/cama/?parid=013-223-20&amp;CardNumber=1","013-223-20")</f>
        <v>013-223-20</v>
      </c>
      <c r="B1103" t="s">
        <v>4655</v>
      </c>
      <c r="C1103" t="s">
        <v>9981</v>
      </c>
      <c r="D1103" s="1">
        <v>40470</v>
      </c>
      <c r="E1103" s="2">
        <v>49000</v>
      </c>
      <c r="F1103" t="s">
        <v>4553</v>
      </c>
      <c r="G1103" s="17" t="str">
        <f>HYPERLINK("https://www.washoecounty.gov/assessor/cama/?command=sales&amp;parid=01322320","3934618")</f>
        <v>3934618</v>
      </c>
      <c r="H1103" t="s">
        <v>9976</v>
      </c>
      <c r="I1103">
        <v>1953</v>
      </c>
      <c r="J1103">
        <v>1953</v>
      </c>
      <c r="K1103" t="s">
        <v>4554</v>
      </c>
      <c r="L1103" t="s">
        <v>4555</v>
      </c>
      <c r="M1103" s="2">
        <v>740</v>
      </c>
      <c r="N1103" t="s">
        <v>4133</v>
      </c>
      <c r="O1103">
        <v>2</v>
      </c>
      <c r="P1103">
        <v>1</v>
      </c>
      <c r="Q1103">
        <v>0</v>
      </c>
      <c r="R1103" t="s">
        <v>4134</v>
      </c>
      <c r="S1103" t="s">
        <v>4574</v>
      </c>
      <c r="T1103" t="s">
        <v>4559</v>
      </c>
      <c r="U1103" t="s">
        <v>4655</v>
      </c>
      <c r="V1103" s="2">
        <v>0</v>
      </c>
      <c r="W1103" t="s">
        <v>4655</v>
      </c>
      <c r="X1103" s="2">
        <v>0</v>
      </c>
      <c r="Y1103">
        <v>20</v>
      </c>
      <c r="Z1103" t="s">
        <v>2705</v>
      </c>
      <c r="AA1103" s="3">
        <v>8.3103768527507796E-2</v>
      </c>
      <c r="AB1103" t="s">
        <v>9982</v>
      </c>
      <c r="AC1103" t="s">
        <v>4562</v>
      </c>
      <c r="AD1103" t="s">
        <v>9983</v>
      </c>
      <c r="AE1103" t="s">
        <v>4655</v>
      </c>
      <c r="AF1103" t="s">
        <v>1670</v>
      </c>
      <c r="AG1103" t="s">
        <v>4209</v>
      </c>
      <c r="AH1103">
        <v>80220</v>
      </c>
      <c r="AI1103" t="s">
        <v>4145</v>
      </c>
      <c r="AJ1103" t="s">
        <v>9979</v>
      </c>
      <c r="AK1103" t="s">
        <v>9984</v>
      </c>
      <c r="AL1103" s="13" t="s">
        <v>2255</v>
      </c>
      <c r="AM1103" s="14">
        <v>1</v>
      </c>
      <c r="AN1103" s="15" t="s">
        <v>5278</v>
      </c>
    </row>
    <row r="1104" spans="1:40" x14ac:dyDescent="0.3">
      <c r="A1104" s="10" t="str">
        <f>HYPERLINK("http://www.washoecounty.gov/assessor/cama/?parid=013-224-05&amp;CardNumber=1","013-224-05")</f>
        <v>013-224-05</v>
      </c>
      <c r="B1104" t="s">
        <v>4655</v>
      </c>
      <c r="C1104" t="s">
        <v>9985</v>
      </c>
      <c r="D1104" s="1">
        <v>40197</v>
      </c>
      <c r="E1104" s="2">
        <v>80000</v>
      </c>
      <c r="F1104" t="s">
        <v>4567</v>
      </c>
      <c r="G1104" s="17" t="str">
        <f>HYPERLINK("https://www.washoecounty.gov/assessor/cama/?command=sales&amp;parid=01322405","3840427")</f>
        <v>3840427</v>
      </c>
      <c r="H1104" t="s">
        <v>3173</v>
      </c>
      <c r="I1104">
        <v>1928</v>
      </c>
      <c r="J1104">
        <v>1928</v>
      </c>
      <c r="K1104" t="s">
        <v>4554</v>
      </c>
      <c r="L1104" t="s">
        <v>3886</v>
      </c>
      <c r="M1104" s="2">
        <v>1183</v>
      </c>
      <c r="N1104" t="s">
        <v>4556</v>
      </c>
      <c r="O1104">
        <v>2</v>
      </c>
      <c r="P1104">
        <v>1</v>
      </c>
      <c r="Q1104">
        <v>0</v>
      </c>
      <c r="R1104" t="s">
        <v>1429</v>
      </c>
      <c r="S1104" t="s">
        <v>4682</v>
      </c>
      <c r="T1104" t="s">
        <v>4559</v>
      </c>
      <c r="U1104" t="s">
        <v>4655</v>
      </c>
      <c r="V1104" s="2">
        <v>0</v>
      </c>
      <c r="W1104" t="s">
        <v>3149</v>
      </c>
      <c r="X1104" s="2">
        <v>225</v>
      </c>
      <c r="Y1104">
        <v>20</v>
      </c>
      <c r="Z1104" t="s">
        <v>4144</v>
      </c>
      <c r="AA1104" s="3">
        <v>7.6010100543499007E-2</v>
      </c>
      <c r="AB1104" t="s">
        <v>9986</v>
      </c>
      <c r="AC1104" t="s">
        <v>4562</v>
      </c>
      <c r="AD1104" t="s">
        <v>9985</v>
      </c>
      <c r="AE1104" t="s">
        <v>4655</v>
      </c>
      <c r="AF1104" t="s">
        <v>4563</v>
      </c>
      <c r="AG1104" t="s">
        <v>4564</v>
      </c>
      <c r="AH1104">
        <v>89502</v>
      </c>
      <c r="AI1104" t="s">
        <v>9987</v>
      </c>
      <c r="AJ1104" t="s">
        <v>4655</v>
      </c>
      <c r="AK1104" t="s">
        <v>9988</v>
      </c>
      <c r="AL1104" s="13" t="s">
        <v>2255</v>
      </c>
      <c r="AM1104">
        <v>1</v>
      </c>
      <c r="AN1104" s="15" t="s">
        <v>5278</v>
      </c>
    </row>
    <row r="1105" spans="1:40" x14ac:dyDescent="0.3">
      <c r="A1105" s="10" t="str">
        <f>HYPERLINK("http://www.washoecounty.gov/assessor/cama/?parid=013-224-12&amp;CardNumber=1","013-224-12")</f>
        <v>013-224-12</v>
      </c>
      <c r="B1105" t="s">
        <v>4655</v>
      </c>
      <c r="C1105" t="s">
        <v>9989</v>
      </c>
      <c r="D1105" s="1">
        <v>40263</v>
      </c>
      <c r="E1105" s="2">
        <v>100000</v>
      </c>
      <c r="F1105" t="s">
        <v>4567</v>
      </c>
      <c r="G1105" s="17" t="str">
        <f>HYPERLINK("https://www.washoecounty.gov/assessor/cama/?command=sales&amp;parid=01322412","3864205")</f>
        <v>3864205</v>
      </c>
      <c r="H1105" t="s">
        <v>9990</v>
      </c>
      <c r="I1105">
        <v>1925</v>
      </c>
      <c r="J1105">
        <v>1925</v>
      </c>
      <c r="K1105" t="s">
        <v>4554</v>
      </c>
      <c r="L1105" t="s">
        <v>4555</v>
      </c>
      <c r="M1105" s="2">
        <v>1000</v>
      </c>
      <c r="N1105" t="s">
        <v>4556</v>
      </c>
      <c r="O1105">
        <v>2</v>
      </c>
      <c r="P1105">
        <v>1</v>
      </c>
      <c r="Q1105">
        <v>0</v>
      </c>
      <c r="R1105" t="s">
        <v>1429</v>
      </c>
      <c r="S1105" t="s">
        <v>4135</v>
      </c>
      <c r="T1105" t="s">
        <v>4559</v>
      </c>
      <c r="U1105" t="s">
        <v>4655</v>
      </c>
      <c r="V1105" s="2">
        <v>0</v>
      </c>
      <c r="W1105" t="s">
        <v>3149</v>
      </c>
      <c r="X1105" s="2">
        <v>209</v>
      </c>
      <c r="Y1105">
        <v>20</v>
      </c>
      <c r="Z1105" t="s">
        <v>4144</v>
      </c>
      <c r="AA1105" s="3">
        <v>7.5780533254146604E-2</v>
      </c>
      <c r="AB1105" t="s">
        <v>9991</v>
      </c>
      <c r="AC1105" t="s">
        <v>4562</v>
      </c>
      <c r="AD1105" t="s">
        <v>9989</v>
      </c>
      <c r="AE1105" t="s">
        <v>4655</v>
      </c>
      <c r="AF1105" t="s">
        <v>4563</v>
      </c>
      <c r="AG1105" t="s">
        <v>4564</v>
      </c>
      <c r="AH1105">
        <v>89502</v>
      </c>
      <c r="AI1105" t="s">
        <v>4655</v>
      </c>
      <c r="AJ1105" t="s">
        <v>9992</v>
      </c>
      <c r="AK1105" t="s">
        <v>9993</v>
      </c>
      <c r="AL1105" s="13" t="s">
        <v>2255</v>
      </c>
      <c r="AM1105">
        <v>1</v>
      </c>
      <c r="AN1105" s="15" t="s">
        <v>5278</v>
      </c>
    </row>
    <row r="1106" spans="1:40" x14ac:dyDescent="0.3">
      <c r="A1106" s="10" t="str">
        <f>HYPERLINK("http://www.washoecounty.gov/assessor/cama/?parid=013-225-04&amp;CardNumber=1","013-225-04")</f>
        <v>013-225-04</v>
      </c>
      <c r="B1106" t="s">
        <v>5502</v>
      </c>
      <c r="C1106" t="s">
        <v>9994</v>
      </c>
      <c r="D1106" s="1">
        <v>40491</v>
      </c>
      <c r="E1106" s="2">
        <v>95000</v>
      </c>
      <c r="F1106" t="s">
        <v>4553</v>
      </c>
      <c r="G1106" s="17" t="str">
        <f>HYPERLINK("https://www.washoecounty.gov/assessor/cama/?command=sales&amp;parid=01322504","3941383")</f>
        <v>3941383</v>
      </c>
      <c r="H1106" t="s">
        <v>3173</v>
      </c>
      <c r="I1106">
        <v>1936</v>
      </c>
      <c r="J1106">
        <v>1936</v>
      </c>
      <c r="K1106" t="s">
        <v>4554</v>
      </c>
      <c r="L1106" t="s">
        <v>3886</v>
      </c>
      <c r="M1106" s="2">
        <v>1271</v>
      </c>
      <c r="N1106" t="s">
        <v>4556</v>
      </c>
      <c r="O1106">
        <v>3</v>
      </c>
      <c r="P1106">
        <v>1</v>
      </c>
      <c r="Q1106">
        <v>0</v>
      </c>
      <c r="R1106" t="s">
        <v>4557</v>
      </c>
      <c r="S1106" t="s">
        <v>4570</v>
      </c>
      <c r="T1106" t="s">
        <v>2947</v>
      </c>
      <c r="U1106" t="s">
        <v>4655</v>
      </c>
      <c r="V1106" s="2">
        <v>0</v>
      </c>
      <c r="W1106" t="s">
        <v>3149</v>
      </c>
      <c r="X1106" s="2">
        <v>144</v>
      </c>
      <c r="Y1106">
        <v>32</v>
      </c>
      <c r="Z1106" t="s">
        <v>4144</v>
      </c>
      <c r="AA1106" s="3">
        <v>0.15500459074974099</v>
      </c>
      <c r="AB1106" t="s">
        <v>9995</v>
      </c>
      <c r="AC1106" t="s">
        <v>4562</v>
      </c>
      <c r="AD1106" t="s">
        <v>9996</v>
      </c>
      <c r="AE1106" t="s">
        <v>4655</v>
      </c>
      <c r="AF1106" t="s">
        <v>4563</v>
      </c>
      <c r="AG1106" t="s">
        <v>4564</v>
      </c>
      <c r="AH1106">
        <v>89509</v>
      </c>
      <c r="AI1106" t="s">
        <v>2351</v>
      </c>
      <c r="AJ1106" t="s">
        <v>4655</v>
      </c>
      <c r="AK1106" t="s">
        <v>9997</v>
      </c>
      <c r="AL1106" s="13" t="s">
        <v>2255</v>
      </c>
      <c r="AM1106">
        <v>3</v>
      </c>
      <c r="AN1106" s="15" t="s">
        <v>3172</v>
      </c>
    </row>
    <row r="1107" spans="1:40" x14ac:dyDescent="0.3">
      <c r="A1107" s="10" t="str">
        <f>HYPERLINK("http://www.washoecounty.gov/assessor/cama/?parid=013-226-28&amp;CardNumber=1","013-226-28")</f>
        <v>013-226-28</v>
      </c>
      <c r="B1107" t="s">
        <v>5502</v>
      </c>
      <c r="C1107" t="s">
        <v>9998</v>
      </c>
      <c r="D1107" s="1">
        <v>40302</v>
      </c>
      <c r="E1107" s="2">
        <v>108500</v>
      </c>
      <c r="F1107" t="s">
        <v>4553</v>
      </c>
      <c r="G1107" s="17" t="str">
        <f>HYPERLINK("https://www.washoecounty.gov/assessor/cama/?command=sales&amp;parid=01322628","3877785")</f>
        <v>3877785</v>
      </c>
      <c r="H1107" t="s">
        <v>9999</v>
      </c>
      <c r="I1107">
        <v>1935</v>
      </c>
      <c r="J1107">
        <v>1935</v>
      </c>
      <c r="K1107" t="s">
        <v>4554</v>
      </c>
      <c r="L1107" t="s">
        <v>4555</v>
      </c>
      <c r="M1107" s="2">
        <v>2055</v>
      </c>
      <c r="N1107" t="s">
        <v>4556</v>
      </c>
      <c r="O1107">
        <v>3</v>
      </c>
      <c r="P1107">
        <v>1</v>
      </c>
      <c r="Q1107">
        <v>0</v>
      </c>
      <c r="R1107" t="s">
        <v>4557</v>
      </c>
      <c r="S1107" t="s">
        <v>4898</v>
      </c>
      <c r="T1107" t="s">
        <v>4559</v>
      </c>
      <c r="U1107" t="s">
        <v>162</v>
      </c>
      <c r="V1107" s="2">
        <v>804</v>
      </c>
      <c r="W1107" t="s">
        <v>4655</v>
      </c>
      <c r="X1107" s="2">
        <v>0</v>
      </c>
      <c r="Y1107">
        <v>31</v>
      </c>
      <c r="Z1107" t="s">
        <v>2705</v>
      </c>
      <c r="AA1107" s="3">
        <v>0.21200643479824099</v>
      </c>
      <c r="AB1107" t="s">
        <v>10000</v>
      </c>
      <c r="AC1107" t="s">
        <v>4562</v>
      </c>
      <c r="AD1107" t="s">
        <v>10001</v>
      </c>
      <c r="AE1107" t="s">
        <v>4655</v>
      </c>
      <c r="AF1107" t="s">
        <v>686</v>
      </c>
      <c r="AG1107" t="s">
        <v>4584</v>
      </c>
      <c r="AH1107">
        <v>94122</v>
      </c>
      <c r="AI1107" t="s">
        <v>2399</v>
      </c>
      <c r="AJ1107" t="s">
        <v>10002</v>
      </c>
      <c r="AK1107" t="s">
        <v>10003</v>
      </c>
      <c r="AL1107" s="13" t="s">
        <v>2255</v>
      </c>
      <c r="AM1107" s="14">
        <v>2</v>
      </c>
      <c r="AN1107" s="15" t="s">
        <v>3172</v>
      </c>
    </row>
    <row r="1108" spans="1:40" x14ac:dyDescent="0.3">
      <c r="A1108" s="10" t="str">
        <f>HYPERLINK("http://www.washoecounty.gov/assessor/cama/?parid=013-232-01&amp;CardNumber=1","013-232-01")</f>
        <v>013-232-01</v>
      </c>
      <c r="B1108" t="s">
        <v>4655</v>
      </c>
      <c r="C1108" t="s">
        <v>10004</v>
      </c>
      <c r="D1108" s="1">
        <v>40436</v>
      </c>
      <c r="E1108" s="2">
        <v>130000</v>
      </c>
      <c r="F1108" t="s">
        <v>4567</v>
      </c>
      <c r="G1108" s="17" t="str">
        <f>HYPERLINK("https://www.washoecounty.gov/assessor/cama/?command=sales&amp;parid=01323201","3922742")</f>
        <v>3922742</v>
      </c>
      <c r="H1108" t="s">
        <v>3173</v>
      </c>
      <c r="I1108">
        <v>1980</v>
      </c>
      <c r="J1108">
        <v>1980</v>
      </c>
      <c r="K1108" t="s">
        <v>4907</v>
      </c>
      <c r="L1108" t="s">
        <v>3974</v>
      </c>
      <c r="M1108" s="2">
        <v>1920</v>
      </c>
      <c r="N1108" t="s">
        <v>4556</v>
      </c>
      <c r="O1108">
        <v>4</v>
      </c>
      <c r="P1108">
        <v>2</v>
      </c>
      <c r="Q1108">
        <v>0</v>
      </c>
      <c r="R1108" t="s">
        <v>4557</v>
      </c>
      <c r="S1108" t="s">
        <v>4558</v>
      </c>
      <c r="T1108" t="s">
        <v>4559</v>
      </c>
      <c r="U1108" t="s">
        <v>4655</v>
      </c>
      <c r="V1108" s="2">
        <v>0</v>
      </c>
      <c r="W1108" t="s">
        <v>4655</v>
      </c>
      <c r="X1108" s="2">
        <v>0</v>
      </c>
      <c r="Y1108">
        <v>30</v>
      </c>
      <c r="Z1108" t="s">
        <v>4144</v>
      </c>
      <c r="AA1108" s="3">
        <v>8.5307620465755504E-2</v>
      </c>
      <c r="AB1108" t="s">
        <v>10005</v>
      </c>
      <c r="AC1108" t="s">
        <v>4562</v>
      </c>
      <c r="AD1108" t="s">
        <v>10006</v>
      </c>
      <c r="AE1108" t="s">
        <v>4655</v>
      </c>
      <c r="AF1108" t="s">
        <v>4563</v>
      </c>
      <c r="AG1108" t="s">
        <v>4564</v>
      </c>
      <c r="AH1108">
        <v>89502</v>
      </c>
      <c r="AI1108" t="s">
        <v>10007</v>
      </c>
      <c r="AJ1108" t="s">
        <v>4655</v>
      </c>
      <c r="AK1108" t="s">
        <v>10008</v>
      </c>
      <c r="AL1108" s="13" t="s">
        <v>2255</v>
      </c>
      <c r="AM1108" s="14">
        <v>2</v>
      </c>
      <c r="AN1108" s="15" t="s">
        <v>3172</v>
      </c>
    </row>
    <row r="1109" spans="1:40" x14ac:dyDescent="0.3">
      <c r="A1109" s="10" t="str">
        <f>HYPERLINK("http://www.washoecounty.gov/assessor/cama/?parid=013-232-03&amp;CardNumber=1","013-232-03")</f>
        <v>013-232-03</v>
      </c>
      <c r="B1109" t="s">
        <v>5502</v>
      </c>
      <c r="C1109" t="s">
        <v>10009</v>
      </c>
      <c r="D1109" s="1">
        <v>40248</v>
      </c>
      <c r="E1109" s="2">
        <v>110000</v>
      </c>
      <c r="F1109" t="s">
        <v>4201</v>
      </c>
      <c r="G1109" s="17" t="str">
        <f>HYPERLINK("https://www.washoecounty.gov/assessor/cama/?command=sales&amp;parid=01323203","3858671")</f>
        <v>3858671</v>
      </c>
      <c r="H1109" t="s">
        <v>3173</v>
      </c>
      <c r="I1109">
        <v>1953</v>
      </c>
      <c r="J1109">
        <v>1953</v>
      </c>
      <c r="K1109" t="s">
        <v>4554</v>
      </c>
      <c r="L1109" t="s">
        <v>4555</v>
      </c>
      <c r="M1109" s="2">
        <v>1068</v>
      </c>
      <c r="N1109" t="s">
        <v>4133</v>
      </c>
      <c r="O1109">
        <v>3</v>
      </c>
      <c r="P1109">
        <v>1</v>
      </c>
      <c r="Q1109">
        <v>0</v>
      </c>
      <c r="R1109" t="s">
        <v>4557</v>
      </c>
      <c r="S1109" t="s">
        <v>4898</v>
      </c>
      <c r="T1109" t="s">
        <v>4559</v>
      </c>
      <c r="U1109" t="s">
        <v>4655</v>
      </c>
      <c r="V1109" s="2">
        <v>0</v>
      </c>
      <c r="W1109" t="s">
        <v>3149</v>
      </c>
      <c r="X1109" s="2">
        <v>1068</v>
      </c>
      <c r="Y1109">
        <v>31</v>
      </c>
      <c r="Z1109" t="s">
        <v>4144</v>
      </c>
      <c r="AA1109" s="3">
        <v>0.154958680272102</v>
      </c>
      <c r="AB1109" t="s">
        <v>3774</v>
      </c>
      <c r="AC1109" t="s">
        <v>4562</v>
      </c>
      <c r="AD1109" t="s">
        <v>5046</v>
      </c>
      <c r="AE1109" t="s">
        <v>4655</v>
      </c>
      <c r="AF1109" t="s">
        <v>5206</v>
      </c>
      <c r="AG1109" t="s">
        <v>4564</v>
      </c>
      <c r="AH1109" t="s">
        <v>5207</v>
      </c>
      <c r="AI1109" t="s">
        <v>10010</v>
      </c>
      <c r="AJ1109" t="s">
        <v>4655</v>
      </c>
      <c r="AK1109" t="s">
        <v>10011</v>
      </c>
      <c r="AL1109" s="13" t="s">
        <v>2255</v>
      </c>
      <c r="AM1109">
        <v>2</v>
      </c>
      <c r="AN1109" s="15" t="s">
        <v>3172</v>
      </c>
    </row>
    <row r="1110" spans="1:40" x14ac:dyDescent="0.3">
      <c r="A1110" s="10" t="str">
        <f>HYPERLINK("http://www.washoecounty.gov/assessor/cama/?parid=013-232-07&amp;CardNumber=1","013-232-07")</f>
        <v>013-232-07</v>
      </c>
      <c r="B1110" t="s">
        <v>5502</v>
      </c>
      <c r="C1110" t="s">
        <v>10012</v>
      </c>
      <c r="D1110" s="1">
        <v>40393</v>
      </c>
      <c r="E1110" s="2">
        <v>140000</v>
      </c>
      <c r="F1110" t="s">
        <v>4553</v>
      </c>
      <c r="G1110" s="17" t="str">
        <f>HYPERLINK("https://www.washoecounty.gov/assessor/cama/?command=sales&amp;parid=01323207","3908449")</f>
        <v>3908449</v>
      </c>
      <c r="H1110" t="s">
        <v>3173</v>
      </c>
      <c r="I1110">
        <v>1939</v>
      </c>
      <c r="J1110">
        <v>1965</v>
      </c>
      <c r="K1110" t="s">
        <v>4554</v>
      </c>
      <c r="L1110" t="s">
        <v>4555</v>
      </c>
      <c r="M1110" s="2">
        <v>1390</v>
      </c>
      <c r="N1110" t="s">
        <v>4556</v>
      </c>
      <c r="O1110">
        <v>2</v>
      </c>
      <c r="P1110">
        <v>1</v>
      </c>
      <c r="Q1110">
        <v>0</v>
      </c>
      <c r="R1110" t="s">
        <v>1800</v>
      </c>
      <c r="S1110" t="s">
        <v>4135</v>
      </c>
      <c r="T1110" t="s">
        <v>4559</v>
      </c>
      <c r="U1110" t="s">
        <v>4655</v>
      </c>
      <c r="V1110" s="2">
        <v>0</v>
      </c>
      <c r="W1110" t="s">
        <v>4655</v>
      </c>
      <c r="X1110" s="2">
        <v>0</v>
      </c>
      <c r="Y1110">
        <v>31</v>
      </c>
      <c r="Z1110" t="s">
        <v>4144</v>
      </c>
      <c r="AA1110" s="3">
        <v>0.154958680272102</v>
      </c>
      <c r="AB1110" t="s">
        <v>10013</v>
      </c>
      <c r="AC1110" t="s">
        <v>4575</v>
      </c>
      <c r="AD1110" t="s">
        <v>10014</v>
      </c>
      <c r="AE1110" t="s">
        <v>10015</v>
      </c>
      <c r="AF1110" t="s">
        <v>4563</v>
      </c>
      <c r="AG1110" t="s">
        <v>4564</v>
      </c>
      <c r="AH1110">
        <v>89509</v>
      </c>
      <c r="AI1110" t="s">
        <v>10016</v>
      </c>
      <c r="AJ1110" t="s">
        <v>4655</v>
      </c>
      <c r="AK1110" t="s">
        <v>10017</v>
      </c>
      <c r="AL1110" s="13" t="s">
        <v>2255</v>
      </c>
      <c r="AM1110">
        <v>2</v>
      </c>
      <c r="AN1110" s="15" t="s">
        <v>3172</v>
      </c>
    </row>
    <row r="1111" spans="1:40" x14ac:dyDescent="0.3">
      <c r="A1111" s="10" t="str">
        <f>HYPERLINK("http://www.washoecounty.gov/assessor/cama/?parid=013-232-17&amp;CardNumber=1","013-232-17")</f>
        <v>013-232-17</v>
      </c>
      <c r="B1111" t="s">
        <v>4655</v>
      </c>
      <c r="C1111" t="s">
        <v>10018</v>
      </c>
      <c r="D1111" s="1">
        <v>40298</v>
      </c>
      <c r="E1111" s="2">
        <v>83000</v>
      </c>
      <c r="F1111" t="s">
        <v>4553</v>
      </c>
      <c r="G1111" s="17" t="str">
        <f>HYPERLINK("https://www.washoecounty.gov/assessor/cama/?command=sales&amp;parid=01323217","3876552")</f>
        <v>3876552</v>
      </c>
      <c r="H1111" t="s">
        <v>10019</v>
      </c>
      <c r="I1111">
        <v>1939</v>
      </c>
      <c r="J1111">
        <v>1939</v>
      </c>
      <c r="K1111" t="s">
        <v>4554</v>
      </c>
      <c r="L1111" t="s">
        <v>4555</v>
      </c>
      <c r="M1111" s="2">
        <v>1114</v>
      </c>
      <c r="N1111" t="s">
        <v>4556</v>
      </c>
      <c r="O1111">
        <v>2</v>
      </c>
      <c r="P1111">
        <v>1</v>
      </c>
      <c r="Q1111">
        <v>0</v>
      </c>
      <c r="R1111" t="s">
        <v>1800</v>
      </c>
      <c r="S1111" t="s">
        <v>4574</v>
      </c>
      <c r="T1111" t="s">
        <v>4559</v>
      </c>
      <c r="U1111" t="s">
        <v>4655</v>
      </c>
      <c r="V1111" s="2">
        <v>0</v>
      </c>
      <c r="W1111" t="s">
        <v>4655</v>
      </c>
      <c r="X1111" s="2">
        <v>0</v>
      </c>
      <c r="Y1111">
        <v>20</v>
      </c>
      <c r="Z1111" t="s">
        <v>4144</v>
      </c>
      <c r="AA1111" s="3">
        <v>8.6202941834926605E-2</v>
      </c>
      <c r="AB1111" t="s">
        <v>10020</v>
      </c>
      <c r="AC1111" t="s">
        <v>4562</v>
      </c>
      <c r="AD1111" t="s">
        <v>10018</v>
      </c>
      <c r="AE1111" t="s">
        <v>4655</v>
      </c>
      <c r="AF1111" t="s">
        <v>4563</v>
      </c>
      <c r="AG1111" t="s">
        <v>4564</v>
      </c>
      <c r="AH1111">
        <v>89502</v>
      </c>
      <c r="AI1111" t="s">
        <v>4903</v>
      </c>
      <c r="AJ1111" t="s">
        <v>10021</v>
      </c>
      <c r="AK1111" t="s">
        <v>10022</v>
      </c>
      <c r="AL1111" s="13" t="s">
        <v>2255</v>
      </c>
      <c r="AM1111">
        <v>1</v>
      </c>
      <c r="AN1111" s="15" t="s">
        <v>5278</v>
      </c>
    </row>
    <row r="1112" spans="1:40" x14ac:dyDescent="0.3">
      <c r="A1112" s="10" t="str">
        <f>HYPERLINK("http://www.washoecounty.gov/assessor/cama/?parid=013-234-18&amp;CardNumber=1","013-234-18")</f>
        <v>013-234-18</v>
      </c>
      <c r="B1112" t="s">
        <v>4655</v>
      </c>
      <c r="C1112" t="s">
        <v>10023</v>
      </c>
      <c r="D1112" s="1">
        <v>40284</v>
      </c>
      <c r="E1112" s="2">
        <v>58500</v>
      </c>
      <c r="F1112" t="s">
        <v>4553</v>
      </c>
      <c r="G1112" s="17" t="str">
        <f>HYPERLINK("https://www.washoecounty.gov/assessor/cama/?command=sales&amp;parid=01323418","3871761")</f>
        <v>3871761</v>
      </c>
      <c r="H1112" t="s">
        <v>10024</v>
      </c>
      <c r="I1112">
        <v>1931</v>
      </c>
      <c r="J1112">
        <v>1931</v>
      </c>
      <c r="K1112" t="s">
        <v>4554</v>
      </c>
      <c r="L1112" t="s">
        <v>4555</v>
      </c>
      <c r="M1112" s="2">
        <v>778</v>
      </c>
      <c r="N1112" t="s">
        <v>4133</v>
      </c>
      <c r="O1112">
        <v>2</v>
      </c>
      <c r="P1112">
        <v>1</v>
      </c>
      <c r="Q1112">
        <v>0</v>
      </c>
      <c r="R1112" t="s">
        <v>4557</v>
      </c>
      <c r="S1112" t="s">
        <v>4574</v>
      </c>
      <c r="T1112" t="s">
        <v>4559</v>
      </c>
      <c r="U1112" t="s">
        <v>4655</v>
      </c>
      <c r="V1112" s="2">
        <v>0</v>
      </c>
      <c r="W1112" t="s">
        <v>3149</v>
      </c>
      <c r="X1112" s="2">
        <v>42</v>
      </c>
      <c r="Y1112">
        <v>20</v>
      </c>
      <c r="Z1112" t="s">
        <v>4144</v>
      </c>
      <c r="AA1112" s="3">
        <v>8.3838380873203305E-2</v>
      </c>
      <c r="AB1112" t="s">
        <v>10025</v>
      </c>
      <c r="AC1112" t="s">
        <v>4575</v>
      </c>
      <c r="AD1112" t="s">
        <v>1422</v>
      </c>
      <c r="AE1112" t="s">
        <v>4655</v>
      </c>
      <c r="AF1112" t="s">
        <v>4563</v>
      </c>
      <c r="AG1112" t="s">
        <v>4564</v>
      </c>
      <c r="AH1112">
        <v>89511</v>
      </c>
      <c r="AI1112" t="s">
        <v>4145</v>
      </c>
      <c r="AJ1112" t="s">
        <v>10026</v>
      </c>
      <c r="AK1112" t="s">
        <v>10027</v>
      </c>
      <c r="AL1112" s="13" t="s">
        <v>2255</v>
      </c>
      <c r="AM1112">
        <v>1</v>
      </c>
      <c r="AN1112" s="15" t="s">
        <v>5278</v>
      </c>
    </row>
    <row r="1113" spans="1:40" x14ac:dyDescent="0.3">
      <c r="A1113" s="10" t="str">
        <f>HYPERLINK("http://www.washoecounty.gov/assessor/cama/?parid=013-234-19&amp;CardNumber=1","013-234-19")</f>
        <v>013-234-19</v>
      </c>
      <c r="B1113" t="s">
        <v>4655</v>
      </c>
      <c r="C1113" t="s">
        <v>10028</v>
      </c>
      <c r="D1113" s="1">
        <v>40346</v>
      </c>
      <c r="E1113" s="2">
        <v>45000</v>
      </c>
      <c r="F1113" t="s">
        <v>4553</v>
      </c>
      <c r="G1113" s="17" t="str">
        <f>HYPERLINK("https://www.washoecounty.gov/assessor/cama/?command=sales&amp;parid=01323419","3892810")</f>
        <v>3892810</v>
      </c>
      <c r="H1113" t="s">
        <v>10024</v>
      </c>
      <c r="I1113">
        <v>1936</v>
      </c>
      <c r="J1113">
        <v>1936</v>
      </c>
      <c r="K1113" t="s">
        <v>4554</v>
      </c>
      <c r="L1113" t="s">
        <v>4555</v>
      </c>
      <c r="M1113" s="2">
        <v>593</v>
      </c>
      <c r="N1113" t="s">
        <v>4133</v>
      </c>
      <c r="O1113">
        <v>2</v>
      </c>
      <c r="P1113">
        <v>1</v>
      </c>
      <c r="Q1113">
        <v>0</v>
      </c>
      <c r="R1113" t="s">
        <v>1800</v>
      </c>
      <c r="S1113" t="s">
        <v>4574</v>
      </c>
      <c r="T1113" t="s">
        <v>4559</v>
      </c>
      <c r="U1113" t="s">
        <v>4655</v>
      </c>
      <c r="V1113" s="2">
        <v>0</v>
      </c>
      <c r="W1113" t="s">
        <v>4655</v>
      </c>
      <c r="X1113" s="2">
        <v>0</v>
      </c>
      <c r="Y1113">
        <v>20</v>
      </c>
      <c r="Z1113" t="s">
        <v>4144</v>
      </c>
      <c r="AA1113" s="3">
        <v>7.1189165115356404E-2</v>
      </c>
      <c r="AB1113" t="s">
        <v>10029</v>
      </c>
      <c r="AC1113" t="s">
        <v>4562</v>
      </c>
      <c r="AD1113" t="s">
        <v>10030</v>
      </c>
      <c r="AE1113" t="s">
        <v>4655</v>
      </c>
      <c r="AF1113" t="s">
        <v>1407</v>
      </c>
      <c r="AG1113" t="s">
        <v>4564</v>
      </c>
      <c r="AH1113">
        <v>89705</v>
      </c>
      <c r="AI1113" t="s">
        <v>4655</v>
      </c>
      <c r="AJ1113" t="s">
        <v>10026</v>
      </c>
      <c r="AK1113" t="s">
        <v>10031</v>
      </c>
      <c r="AL1113" s="13" t="s">
        <v>2255</v>
      </c>
      <c r="AM1113">
        <v>1</v>
      </c>
      <c r="AN1113" s="15" t="s">
        <v>5278</v>
      </c>
    </row>
    <row r="1114" spans="1:40" x14ac:dyDescent="0.3">
      <c r="A1114" s="10" t="str">
        <f>HYPERLINK("http://www.washoecounty.gov/assessor/cama/?parid=013-234-20&amp;CardNumber=1","013-234-20")</f>
        <v>013-234-20</v>
      </c>
      <c r="B1114" t="s">
        <v>4655</v>
      </c>
      <c r="C1114" t="s">
        <v>3644</v>
      </c>
      <c r="D1114" s="1">
        <v>40225</v>
      </c>
      <c r="E1114" s="2">
        <v>70000</v>
      </c>
      <c r="F1114" t="s">
        <v>4567</v>
      </c>
      <c r="G1114" s="17" t="str">
        <f>HYPERLINK("https://www.washoecounty.gov/assessor/cama/?command=sales&amp;parid=01323420","3849488")</f>
        <v>3849488</v>
      </c>
      <c r="H1114" t="s">
        <v>1406</v>
      </c>
      <c r="I1114">
        <v>1940</v>
      </c>
      <c r="J1114">
        <v>1947</v>
      </c>
      <c r="K1114" t="s">
        <v>4554</v>
      </c>
      <c r="L1114" t="s">
        <v>4555</v>
      </c>
      <c r="M1114" s="2">
        <v>912</v>
      </c>
      <c r="N1114" t="s">
        <v>4133</v>
      </c>
      <c r="O1114">
        <v>2</v>
      </c>
      <c r="P1114">
        <v>1</v>
      </c>
      <c r="Q1114">
        <v>0</v>
      </c>
      <c r="R1114" t="s">
        <v>4557</v>
      </c>
      <c r="S1114" t="s">
        <v>4135</v>
      </c>
      <c r="T1114" t="s">
        <v>4559</v>
      </c>
      <c r="U1114" t="s">
        <v>4655</v>
      </c>
      <c r="V1114" s="2">
        <v>0</v>
      </c>
      <c r="W1114" t="s">
        <v>3149</v>
      </c>
      <c r="X1114" s="2">
        <v>208</v>
      </c>
      <c r="Y1114">
        <v>20</v>
      </c>
      <c r="Z1114" t="s">
        <v>4144</v>
      </c>
      <c r="AA1114" s="3">
        <v>8.41368213295937E-2</v>
      </c>
      <c r="AB1114" t="s">
        <v>3119</v>
      </c>
      <c r="AC1114" t="s">
        <v>4562</v>
      </c>
      <c r="AD1114" t="s">
        <v>5669</v>
      </c>
      <c r="AE1114" t="s">
        <v>4655</v>
      </c>
      <c r="AF1114" t="s">
        <v>4563</v>
      </c>
      <c r="AG1114" t="s">
        <v>4564</v>
      </c>
      <c r="AH1114" t="s">
        <v>2841</v>
      </c>
      <c r="AI1114" t="s">
        <v>10032</v>
      </c>
      <c r="AJ1114" t="s">
        <v>1798</v>
      </c>
      <c r="AK1114" t="s">
        <v>3645</v>
      </c>
      <c r="AL1114" s="13" t="s">
        <v>2255</v>
      </c>
      <c r="AM1114">
        <v>1</v>
      </c>
      <c r="AN1114" s="15" t="s">
        <v>5278</v>
      </c>
    </row>
    <row r="1115" spans="1:40" x14ac:dyDescent="0.3">
      <c r="A1115" s="10" t="str">
        <f>HYPERLINK("http://www.washoecounty.gov/assessor/cama/?parid=013-234-21&amp;CardNumber=1","013-234-21")</f>
        <v>013-234-21</v>
      </c>
      <c r="B1115" t="s">
        <v>4655</v>
      </c>
      <c r="C1115" t="s">
        <v>10033</v>
      </c>
      <c r="D1115" s="1">
        <v>40206</v>
      </c>
      <c r="E1115" s="2">
        <v>67000</v>
      </c>
      <c r="F1115" t="s">
        <v>4567</v>
      </c>
      <c r="G1115" s="17" t="str">
        <f>HYPERLINK("https://www.washoecounty.gov/assessor/cama/?command=sales&amp;parid=01323421","3843754")</f>
        <v>3843754</v>
      </c>
      <c r="H1115" t="s">
        <v>1406</v>
      </c>
      <c r="I1115">
        <v>1978</v>
      </c>
      <c r="J1115">
        <v>1978</v>
      </c>
      <c r="K1115" t="s">
        <v>4554</v>
      </c>
      <c r="L1115" t="s">
        <v>4555</v>
      </c>
      <c r="M1115" s="2">
        <v>864</v>
      </c>
      <c r="N1115" t="s">
        <v>4556</v>
      </c>
      <c r="O1115">
        <v>2</v>
      </c>
      <c r="P1115">
        <v>1</v>
      </c>
      <c r="Q1115">
        <v>0</v>
      </c>
      <c r="R1115" t="s">
        <v>4557</v>
      </c>
      <c r="S1115" t="s">
        <v>4558</v>
      </c>
      <c r="T1115" t="s">
        <v>4559</v>
      </c>
      <c r="U1115" t="s">
        <v>4655</v>
      </c>
      <c r="V1115" s="2">
        <v>0</v>
      </c>
      <c r="W1115" t="s">
        <v>4655</v>
      </c>
      <c r="X1115" s="2">
        <v>0</v>
      </c>
      <c r="Y1115">
        <v>20</v>
      </c>
      <c r="Z1115" t="s">
        <v>4144</v>
      </c>
      <c r="AA1115" s="3">
        <v>7.0913679897785201E-2</v>
      </c>
      <c r="AB1115" t="s">
        <v>10029</v>
      </c>
      <c r="AC1115" t="s">
        <v>4562</v>
      </c>
      <c r="AD1115" t="s">
        <v>10030</v>
      </c>
      <c r="AE1115" t="s">
        <v>4655</v>
      </c>
      <c r="AF1115" t="s">
        <v>1407</v>
      </c>
      <c r="AG1115" t="s">
        <v>4564</v>
      </c>
      <c r="AH1115">
        <v>89705</v>
      </c>
      <c r="AI1115" t="s">
        <v>4655</v>
      </c>
      <c r="AJ1115" t="s">
        <v>1798</v>
      </c>
      <c r="AK1115" t="s">
        <v>10034</v>
      </c>
      <c r="AL1115" s="13" t="s">
        <v>2255</v>
      </c>
      <c r="AM1115" s="14">
        <v>1</v>
      </c>
      <c r="AN1115" s="15" t="s">
        <v>5278</v>
      </c>
    </row>
    <row r="1116" spans="1:40" x14ac:dyDescent="0.3">
      <c r="A1116" s="10" t="str">
        <f>HYPERLINK("http://www.washoecounty.gov/assessor/cama/?parid=013-235-07&amp;CardNumber=1","013-235-07")</f>
        <v>013-235-07</v>
      </c>
      <c r="B1116" t="s">
        <v>5502</v>
      </c>
      <c r="C1116" t="s">
        <v>2240</v>
      </c>
      <c r="D1116" s="1">
        <v>40287</v>
      </c>
      <c r="E1116" s="2">
        <v>110000</v>
      </c>
      <c r="F1116" t="s">
        <v>4567</v>
      </c>
      <c r="G1116" s="17" t="str">
        <f>HYPERLINK("https://www.washoecounty.gov/assessor/cama/?command=sales&amp;parid=01323507","3872486")</f>
        <v>3872486</v>
      </c>
      <c r="H1116" t="s">
        <v>3173</v>
      </c>
      <c r="I1116">
        <v>1940</v>
      </c>
      <c r="J1116">
        <v>1940</v>
      </c>
      <c r="K1116" t="s">
        <v>4554</v>
      </c>
      <c r="L1116" t="s">
        <v>4555</v>
      </c>
      <c r="M1116" s="2">
        <v>672</v>
      </c>
      <c r="N1116" t="s">
        <v>4133</v>
      </c>
      <c r="O1116">
        <v>2</v>
      </c>
      <c r="P1116">
        <v>1</v>
      </c>
      <c r="Q1116">
        <v>0</v>
      </c>
      <c r="R1116" t="s">
        <v>1800</v>
      </c>
      <c r="S1116" t="s">
        <v>4135</v>
      </c>
      <c r="T1116" t="s">
        <v>4143</v>
      </c>
      <c r="U1116" t="s">
        <v>4655</v>
      </c>
      <c r="V1116" s="2">
        <v>0</v>
      </c>
      <c r="W1116" t="s">
        <v>4655</v>
      </c>
      <c r="X1116" s="2">
        <v>0</v>
      </c>
      <c r="Y1116">
        <v>31</v>
      </c>
      <c r="Z1116" t="s">
        <v>4144</v>
      </c>
      <c r="AA1116" s="3">
        <v>0.13640955090522799</v>
      </c>
      <c r="AB1116" t="s">
        <v>10035</v>
      </c>
      <c r="AC1116" t="s">
        <v>4562</v>
      </c>
      <c r="AD1116" t="s">
        <v>10036</v>
      </c>
      <c r="AE1116" t="s">
        <v>4655</v>
      </c>
      <c r="AF1116" t="s">
        <v>4563</v>
      </c>
      <c r="AG1116" t="s">
        <v>4564</v>
      </c>
      <c r="AH1116">
        <v>89503</v>
      </c>
      <c r="AI1116" t="s">
        <v>10037</v>
      </c>
      <c r="AJ1116" t="s">
        <v>4655</v>
      </c>
      <c r="AK1116" t="s">
        <v>2241</v>
      </c>
      <c r="AL1116" s="13" t="s">
        <v>2255</v>
      </c>
      <c r="AM1116">
        <v>2</v>
      </c>
      <c r="AN1116" s="15" t="s">
        <v>3172</v>
      </c>
    </row>
    <row r="1117" spans="1:40" x14ac:dyDescent="0.3">
      <c r="A1117" s="10" t="str">
        <f>HYPERLINK("http://www.washoecounty.gov/assessor/cama/?parid=013-235-17&amp;CardNumber=1","013-235-17")</f>
        <v>013-235-17</v>
      </c>
      <c r="B1117" t="s">
        <v>4655</v>
      </c>
      <c r="C1117" t="s">
        <v>10038</v>
      </c>
      <c r="D1117" s="1">
        <v>40182</v>
      </c>
      <c r="E1117" s="2">
        <v>39500</v>
      </c>
      <c r="F1117" t="s">
        <v>4553</v>
      </c>
      <c r="G1117" s="17" t="str">
        <f>HYPERLINK("https://www.washoecounty.gov/assessor/cama/?command=sales&amp;parid=01323517","3836017")</f>
        <v>3836017</v>
      </c>
      <c r="H1117" t="s">
        <v>10039</v>
      </c>
      <c r="I1117">
        <v>1940</v>
      </c>
      <c r="J1117">
        <v>1940</v>
      </c>
      <c r="K1117" t="s">
        <v>4554</v>
      </c>
      <c r="L1117" t="s">
        <v>4555</v>
      </c>
      <c r="M1117" s="2">
        <v>956</v>
      </c>
      <c r="N1117" t="s">
        <v>4556</v>
      </c>
      <c r="O1117">
        <v>1</v>
      </c>
      <c r="P1117">
        <v>1</v>
      </c>
      <c r="Q1117">
        <v>0</v>
      </c>
      <c r="R1117" t="s">
        <v>4134</v>
      </c>
      <c r="S1117" t="s">
        <v>4135</v>
      </c>
      <c r="T1117" t="s">
        <v>4143</v>
      </c>
      <c r="U1117" t="s">
        <v>4655</v>
      </c>
      <c r="V1117" s="2">
        <v>0</v>
      </c>
      <c r="W1117" t="s">
        <v>4655</v>
      </c>
      <c r="X1117" s="2">
        <v>0</v>
      </c>
      <c r="Y1117">
        <v>20</v>
      </c>
      <c r="Z1117" t="s">
        <v>4144</v>
      </c>
      <c r="AA1117" s="3">
        <v>8.2369148731231703E-2</v>
      </c>
      <c r="AB1117" t="s">
        <v>1799</v>
      </c>
      <c r="AC1117" t="s">
        <v>4562</v>
      </c>
      <c r="AD1117" t="s">
        <v>10040</v>
      </c>
      <c r="AE1117" t="s">
        <v>4655</v>
      </c>
      <c r="AF1117" t="s">
        <v>4563</v>
      </c>
      <c r="AG1117" t="s">
        <v>4564</v>
      </c>
      <c r="AH1117">
        <v>89510</v>
      </c>
      <c r="AI1117" t="s">
        <v>4145</v>
      </c>
      <c r="AJ1117" t="s">
        <v>10041</v>
      </c>
      <c r="AK1117" t="s">
        <v>10042</v>
      </c>
      <c r="AL1117" s="13" t="s">
        <v>2255</v>
      </c>
      <c r="AM1117" s="14">
        <v>1</v>
      </c>
      <c r="AN1117" s="15" t="s">
        <v>5278</v>
      </c>
    </row>
    <row r="1118" spans="1:40" x14ac:dyDescent="0.3">
      <c r="A1118" s="10" t="str">
        <f>HYPERLINK("http://www.washoecounty.gov/assessor/cama/?parid=013-235-17&amp;CardNumber=1","013-235-17")</f>
        <v>013-235-17</v>
      </c>
      <c r="B1118" t="s">
        <v>4655</v>
      </c>
      <c r="C1118" t="s">
        <v>10038</v>
      </c>
      <c r="D1118" s="1">
        <v>40226</v>
      </c>
      <c r="E1118" s="2">
        <v>39500</v>
      </c>
      <c r="F1118" t="s">
        <v>4553</v>
      </c>
      <c r="G1118" s="17" t="str">
        <f>HYPERLINK("https://www.washoecounty.gov/assessor/cama/?command=sales&amp;parid=01323517","3850117")</f>
        <v>3850117</v>
      </c>
      <c r="H1118" t="s">
        <v>10039</v>
      </c>
      <c r="I1118">
        <v>1940</v>
      </c>
      <c r="J1118">
        <v>1940</v>
      </c>
      <c r="K1118" t="s">
        <v>4554</v>
      </c>
      <c r="L1118" t="s">
        <v>4555</v>
      </c>
      <c r="M1118" s="2">
        <v>956</v>
      </c>
      <c r="N1118" t="s">
        <v>4556</v>
      </c>
      <c r="O1118">
        <v>1</v>
      </c>
      <c r="P1118">
        <v>1</v>
      </c>
      <c r="Q1118">
        <v>0</v>
      </c>
      <c r="R1118" t="s">
        <v>4134</v>
      </c>
      <c r="S1118" t="s">
        <v>4135</v>
      </c>
      <c r="T1118" t="s">
        <v>4143</v>
      </c>
      <c r="U1118" t="s">
        <v>4655</v>
      </c>
      <c r="V1118" s="2">
        <v>0</v>
      </c>
      <c r="W1118" t="s">
        <v>4655</v>
      </c>
      <c r="X1118" s="2">
        <v>0</v>
      </c>
      <c r="Y1118">
        <v>20</v>
      </c>
      <c r="Z1118" t="s">
        <v>4144</v>
      </c>
      <c r="AA1118" s="3">
        <v>8.2369148731231703E-2</v>
      </c>
      <c r="AB1118" t="s">
        <v>1799</v>
      </c>
      <c r="AC1118" t="s">
        <v>4562</v>
      </c>
      <c r="AD1118" t="s">
        <v>10040</v>
      </c>
      <c r="AE1118" t="s">
        <v>4655</v>
      </c>
      <c r="AF1118" t="s">
        <v>4563</v>
      </c>
      <c r="AG1118" t="s">
        <v>4564</v>
      </c>
      <c r="AH1118">
        <v>89510</v>
      </c>
      <c r="AI1118" t="s">
        <v>4145</v>
      </c>
      <c r="AJ1118" t="s">
        <v>10041</v>
      </c>
      <c r="AK1118" t="s">
        <v>10042</v>
      </c>
      <c r="AL1118" s="13" t="s">
        <v>2255</v>
      </c>
      <c r="AM1118" s="14">
        <v>1</v>
      </c>
      <c r="AN1118" s="15" t="s">
        <v>5278</v>
      </c>
    </row>
    <row r="1119" spans="1:40" x14ac:dyDescent="0.3">
      <c r="A1119" s="10" t="str">
        <f>HYPERLINK("http://www.washoecounty.gov/assessor/cama/?parid=013-235-18&amp;CardNumber=1","013-235-18")</f>
        <v>013-235-18</v>
      </c>
      <c r="B1119" t="s">
        <v>4655</v>
      </c>
      <c r="C1119" t="s">
        <v>10043</v>
      </c>
      <c r="D1119" s="1">
        <v>40275</v>
      </c>
      <c r="E1119" s="2">
        <v>32900</v>
      </c>
      <c r="F1119" t="s">
        <v>4553</v>
      </c>
      <c r="G1119" s="17" t="str">
        <f>HYPERLINK("https://www.washoecounty.gov/assessor/cama/?command=sales&amp;parid=01323518","3868461")</f>
        <v>3868461</v>
      </c>
      <c r="H1119" t="s">
        <v>10039</v>
      </c>
      <c r="I1119">
        <v>1955</v>
      </c>
      <c r="J1119">
        <v>1955</v>
      </c>
      <c r="K1119" t="s">
        <v>4554</v>
      </c>
      <c r="L1119" t="s">
        <v>4555</v>
      </c>
      <c r="M1119" s="2">
        <v>360</v>
      </c>
      <c r="N1119" t="s">
        <v>4133</v>
      </c>
      <c r="O1119">
        <v>1</v>
      </c>
      <c r="P1119">
        <v>1</v>
      </c>
      <c r="Q1119">
        <v>0</v>
      </c>
      <c r="R1119" t="s">
        <v>4134</v>
      </c>
      <c r="S1119" t="s">
        <v>4558</v>
      </c>
      <c r="T1119" t="s">
        <v>4559</v>
      </c>
      <c r="U1119" t="s">
        <v>4655</v>
      </c>
      <c r="V1119" s="2">
        <v>0</v>
      </c>
      <c r="W1119" t="s">
        <v>4655</v>
      </c>
      <c r="X1119" s="2">
        <v>0</v>
      </c>
      <c r="Y1119">
        <v>20</v>
      </c>
      <c r="Z1119" t="s">
        <v>4144</v>
      </c>
      <c r="AA1119" s="3">
        <v>6.8985305726528195E-2</v>
      </c>
      <c r="AB1119" t="s">
        <v>10044</v>
      </c>
      <c r="AC1119" t="s">
        <v>4575</v>
      </c>
      <c r="AD1119" t="s">
        <v>10045</v>
      </c>
      <c r="AE1119" t="s">
        <v>4655</v>
      </c>
      <c r="AF1119" t="s">
        <v>4563</v>
      </c>
      <c r="AG1119" t="s">
        <v>4564</v>
      </c>
      <c r="AH1119">
        <v>89511</v>
      </c>
      <c r="AI1119" t="s">
        <v>10046</v>
      </c>
      <c r="AJ1119" t="s">
        <v>10041</v>
      </c>
      <c r="AK1119" t="s">
        <v>10047</v>
      </c>
      <c r="AL1119" s="13" t="s">
        <v>2255</v>
      </c>
      <c r="AM1119">
        <v>1</v>
      </c>
      <c r="AN1119" s="15" t="s">
        <v>5278</v>
      </c>
    </row>
    <row r="1120" spans="1:40" x14ac:dyDescent="0.3">
      <c r="A1120" s="10" t="str">
        <f>HYPERLINK("http://www.washoecounty.gov/assessor/cama/?parid=013-235-18&amp;CardNumber=1","013-235-18")</f>
        <v>013-235-18</v>
      </c>
      <c r="B1120" t="s">
        <v>4655</v>
      </c>
      <c r="C1120" t="s">
        <v>10043</v>
      </c>
      <c r="D1120" s="1">
        <v>40527</v>
      </c>
      <c r="E1120" s="2">
        <v>52000</v>
      </c>
      <c r="F1120" t="s">
        <v>4567</v>
      </c>
      <c r="G1120" s="17" t="str">
        <f>HYPERLINK("https://www.washoecounty.gov/assessor/cama/?command=sales&amp;parid=01323518","3953482")</f>
        <v>3953482</v>
      </c>
      <c r="H1120" t="s">
        <v>10039</v>
      </c>
      <c r="I1120">
        <v>1955</v>
      </c>
      <c r="J1120">
        <v>1955</v>
      </c>
      <c r="K1120" t="s">
        <v>4554</v>
      </c>
      <c r="L1120" t="s">
        <v>4555</v>
      </c>
      <c r="M1120" s="2">
        <v>360</v>
      </c>
      <c r="N1120" t="s">
        <v>4133</v>
      </c>
      <c r="O1120">
        <v>1</v>
      </c>
      <c r="P1120">
        <v>1</v>
      </c>
      <c r="Q1120">
        <v>0</v>
      </c>
      <c r="R1120" t="s">
        <v>4134</v>
      </c>
      <c r="S1120" t="s">
        <v>4558</v>
      </c>
      <c r="T1120" t="s">
        <v>4559</v>
      </c>
      <c r="U1120" t="s">
        <v>4655</v>
      </c>
      <c r="V1120" s="2">
        <v>0</v>
      </c>
      <c r="W1120" t="s">
        <v>4655</v>
      </c>
      <c r="X1120" s="2">
        <v>0</v>
      </c>
      <c r="Y1120">
        <v>20</v>
      </c>
      <c r="Z1120" t="s">
        <v>4144</v>
      </c>
      <c r="AA1120" s="3">
        <v>6.8985305726528195E-2</v>
      </c>
      <c r="AB1120" t="s">
        <v>10044</v>
      </c>
      <c r="AC1120" t="s">
        <v>4575</v>
      </c>
      <c r="AD1120" t="s">
        <v>10045</v>
      </c>
      <c r="AE1120" t="s">
        <v>4655</v>
      </c>
      <c r="AF1120" t="s">
        <v>4563</v>
      </c>
      <c r="AG1120" t="s">
        <v>4564</v>
      </c>
      <c r="AH1120">
        <v>89511</v>
      </c>
      <c r="AI1120" t="s">
        <v>10046</v>
      </c>
      <c r="AJ1120" t="s">
        <v>10041</v>
      </c>
      <c r="AK1120" t="s">
        <v>10047</v>
      </c>
      <c r="AL1120" s="13" t="s">
        <v>2255</v>
      </c>
      <c r="AM1120">
        <v>1</v>
      </c>
      <c r="AN1120" s="15" t="s">
        <v>5278</v>
      </c>
    </row>
    <row r="1121" spans="1:40" x14ac:dyDescent="0.3">
      <c r="A1121" s="10" t="str">
        <f>HYPERLINK("http://www.washoecounty.gov/assessor/cama/?parid=013-236-32&amp;CardNumber=1","013-236-32")</f>
        <v>013-236-32</v>
      </c>
      <c r="B1121" t="s">
        <v>4655</v>
      </c>
      <c r="C1121" t="s">
        <v>10048</v>
      </c>
      <c r="D1121" s="1">
        <v>40190</v>
      </c>
      <c r="E1121" s="2">
        <v>48000</v>
      </c>
      <c r="F1121" t="s">
        <v>4553</v>
      </c>
      <c r="G1121" s="17" t="str">
        <f>HYPERLINK("https://www.washoecounty.gov/assessor/cama/?command=sales&amp;parid=01323632","3838628")</f>
        <v>3838628</v>
      </c>
      <c r="H1121" t="s">
        <v>10049</v>
      </c>
      <c r="I1121">
        <v>1939</v>
      </c>
      <c r="J1121">
        <v>1939</v>
      </c>
      <c r="K1121" t="s">
        <v>4554</v>
      </c>
      <c r="L1121" t="s">
        <v>4555</v>
      </c>
      <c r="M1121" s="2">
        <v>858</v>
      </c>
      <c r="N1121" t="s">
        <v>4556</v>
      </c>
      <c r="O1121">
        <v>2</v>
      </c>
      <c r="P1121">
        <v>1</v>
      </c>
      <c r="Q1121">
        <v>0</v>
      </c>
      <c r="R1121" t="s">
        <v>1800</v>
      </c>
      <c r="S1121" t="s">
        <v>4574</v>
      </c>
      <c r="T1121" t="s">
        <v>4559</v>
      </c>
      <c r="U1121" t="s">
        <v>4560</v>
      </c>
      <c r="V1121" s="2">
        <v>180</v>
      </c>
      <c r="W1121" t="s">
        <v>4655</v>
      </c>
      <c r="X1121" s="2">
        <v>0</v>
      </c>
      <c r="Y1121">
        <v>20</v>
      </c>
      <c r="Z1121" t="s">
        <v>4144</v>
      </c>
      <c r="AA1121" s="3">
        <v>8.2644626498222407E-2</v>
      </c>
      <c r="AB1121" t="s">
        <v>10050</v>
      </c>
      <c r="AC1121" t="s">
        <v>4562</v>
      </c>
      <c r="AD1121" t="s">
        <v>10051</v>
      </c>
      <c r="AE1121" t="s">
        <v>4655</v>
      </c>
      <c r="AF1121" t="s">
        <v>4563</v>
      </c>
      <c r="AG1121" t="s">
        <v>4564</v>
      </c>
      <c r="AH1121">
        <v>89509</v>
      </c>
      <c r="AI1121" t="s">
        <v>4145</v>
      </c>
      <c r="AJ1121" t="s">
        <v>10052</v>
      </c>
      <c r="AK1121" t="s">
        <v>10053</v>
      </c>
      <c r="AL1121" s="13" t="s">
        <v>2255</v>
      </c>
      <c r="AM1121">
        <v>1</v>
      </c>
      <c r="AN1121" s="15" t="s">
        <v>5278</v>
      </c>
    </row>
    <row r="1122" spans="1:40" x14ac:dyDescent="0.3">
      <c r="A1122" s="10" t="str">
        <f>HYPERLINK("http://www.washoecounty.gov/assessor/cama/?parid=013-236-33&amp;CardNumber=1","013-236-33")</f>
        <v>013-236-33</v>
      </c>
      <c r="B1122" t="s">
        <v>4655</v>
      </c>
      <c r="C1122" t="s">
        <v>10054</v>
      </c>
      <c r="D1122" s="1">
        <v>40217</v>
      </c>
      <c r="E1122" s="2">
        <v>49900</v>
      </c>
      <c r="F1122" t="s">
        <v>4553</v>
      </c>
      <c r="G1122" s="17" t="str">
        <f>HYPERLINK("https://www.washoecounty.gov/assessor/cama/?command=sales&amp;parid=01323633","3847038")</f>
        <v>3847038</v>
      </c>
      <c r="H1122" t="s">
        <v>10049</v>
      </c>
      <c r="I1122">
        <v>1959</v>
      </c>
      <c r="J1122">
        <v>1959</v>
      </c>
      <c r="K1122" t="s">
        <v>4554</v>
      </c>
      <c r="L1122" t="s">
        <v>4555</v>
      </c>
      <c r="M1122" s="2">
        <v>1118</v>
      </c>
      <c r="N1122" t="s">
        <v>4556</v>
      </c>
      <c r="O1122">
        <v>3</v>
      </c>
      <c r="P1122">
        <v>1</v>
      </c>
      <c r="Q1122">
        <v>0</v>
      </c>
      <c r="R1122" t="s">
        <v>4557</v>
      </c>
      <c r="S1122" t="s">
        <v>4574</v>
      </c>
      <c r="T1122" t="s">
        <v>4559</v>
      </c>
      <c r="U1122" t="s">
        <v>4560</v>
      </c>
      <c r="V1122" s="2">
        <v>312</v>
      </c>
      <c r="W1122" t="s">
        <v>3149</v>
      </c>
      <c r="X1122" s="2">
        <v>1118</v>
      </c>
      <c r="Y1122">
        <v>20</v>
      </c>
      <c r="Z1122" t="s">
        <v>4144</v>
      </c>
      <c r="AA1122" s="3">
        <v>0.12031680345535301</v>
      </c>
      <c r="AB1122" t="s">
        <v>10055</v>
      </c>
      <c r="AC1122" t="s">
        <v>4562</v>
      </c>
      <c r="AD1122" t="s">
        <v>10056</v>
      </c>
      <c r="AE1122" t="s">
        <v>4655</v>
      </c>
      <c r="AF1122" t="s">
        <v>4563</v>
      </c>
      <c r="AG1122" t="s">
        <v>4564</v>
      </c>
      <c r="AH1122">
        <v>89509</v>
      </c>
      <c r="AI1122" t="s">
        <v>4145</v>
      </c>
      <c r="AJ1122" t="s">
        <v>10052</v>
      </c>
      <c r="AK1122" t="s">
        <v>10057</v>
      </c>
      <c r="AL1122" s="13" t="s">
        <v>2255</v>
      </c>
      <c r="AM1122">
        <v>1</v>
      </c>
      <c r="AN1122" s="15" t="s">
        <v>5278</v>
      </c>
    </row>
    <row r="1123" spans="1:40" x14ac:dyDescent="0.3">
      <c r="A1123" s="10" t="str">
        <f>HYPERLINK("http://www.washoecounty.gov/assessor/cama/?parid=013-241-09&amp;CardNumber=1","013-241-09")</f>
        <v>013-241-09</v>
      </c>
      <c r="B1123" t="s">
        <v>4655</v>
      </c>
      <c r="C1123" t="s">
        <v>10058</v>
      </c>
      <c r="D1123" s="1">
        <v>40477</v>
      </c>
      <c r="E1123" s="2">
        <v>96500</v>
      </c>
      <c r="F1123" t="s">
        <v>4567</v>
      </c>
      <c r="G1123" s="17" t="str">
        <f>HYPERLINK("https://www.washoecounty.gov/assessor/cama/?command=sales&amp;parid=01324109","3936707")</f>
        <v>3936707</v>
      </c>
      <c r="H1123" t="s">
        <v>3163</v>
      </c>
      <c r="I1123">
        <v>1942</v>
      </c>
      <c r="J1123">
        <v>1942</v>
      </c>
      <c r="K1123" t="s">
        <v>4554</v>
      </c>
      <c r="L1123" t="s">
        <v>4555</v>
      </c>
      <c r="M1123" s="2">
        <v>800</v>
      </c>
      <c r="N1123" t="s">
        <v>4133</v>
      </c>
      <c r="O1123">
        <v>2</v>
      </c>
      <c r="P1123">
        <v>1</v>
      </c>
      <c r="Q1123">
        <v>0</v>
      </c>
      <c r="R1123" t="s">
        <v>1800</v>
      </c>
      <c r="S1123" t="s">
        <v>4574</v>
      </c>
      <c r="T1123" t="s">
        <v>4559</v>
      </c>
      <c r="U1123" t="s">
        <v>4655</v>
      </c>
      <c r="V1123" s="2">
        <v>0</v>
      </c>
      <c r="W1123" t="s">
        <v>4655</v>
      </c>
      <c r="X1123" s="2">
        <v>0</v>
      </c>
      <c r="Y1123">
        <v>20</v>
      </c>
      <c r="Z1123" t="s">
        <v>4561</v>
      </c>
      <c r="AA1123" s="3">
        <v>0.13799357414245605</v>
      </c>
      <c r="AB1123" t="s">
        <v>10059</v>
      </c>
      <c r="AC1123" t="s">
        <v>4575</v>
      </c>
      <c r="AD1123" t="s">
        <v>10058</v>
      </c>
      <c r="AE1123" t="s">
        <v>4655</v>
      </c>
      <c r="AF1123" t="s">
        <v>4563</v>
      </c>
      <c r="AG1123" t="s">
        <v>4564</v>
      </c>
      <c r="AH1123">
        <v>89502</v>
      </c>
      <c r="AI1123" t="s">
        <v>10060</v>
      </c>
      <c r="AJ1123" t="s">
        <v>4655</v>
      </c>
      <c r="AK1123" t="s">
        <v>10061</v>
      </c>
      <c r="AL1123" s="13" t="s">
        <v>2255</v>
      </c>
      <c r="AM1123">
        <v>1</v>
      </c>
      <c r="AN1123" s="15" t="s">
        <v>5278</v>
      </c>
    </row>
    <row r="1124" spans="1:40" x14ac:dyDescent="0.3">
      <c r="A1124" s="10" t="str">
        <f>HYPERLINK("http://www.washoecounty.gov/assessor/cama/?parid=013-241-26&amp;CardNumber=1","013-241-26")</f>
        <v>013-241-26</v>
      </c>
      <c r="B1124" t="s">
        <v>4655</v>
      </c>
      <c r="C1124" t="s">
        <v>10062</v>
      </c>
      <c r="D1124" s="1">
        <v>40284</v>
      </c>
      <c r="E1124" s="2">
        <v>81000</v>
      </c>
      <c r="F1124" t="s">
        <v>4567</v>
      </c>
      <c r="G1124" s="17" t="str">
        <f>HYPERLINK("https://www.washoecounty.gov/assessor/cama/?command=sales&amp;parid=01324126","3872012")</f>
        <v>3872012</v>
      </c>
      <c r="H1124" t="s">
        <v>10063</v>
      </c>
      <c r="I1124">
        <v>1942</v>
      </c>
      <c r="J1124">
        <v>1942</v>
      </c>
      <c r="K1124" t="s">
        <v>4554</v>
      </c>
      <c r="L1124" t="s">
        <v>4555</v>
      </c>
      <c r="M1124" s="2">
        <v>911</v>
      </c>
      <c r="N1124" t="s">
        <v>4133</v>
      </c>
      <c r="O1124">
        <v>2</v>
      </c>
      <c r="P1124">
        <v>1</v>
      </c>
      <c r="Q1124">
        <v>0</v>
      </c>
      <c r="R1124" t="s">
        <v>4557</v>
      </c>
      <c r="S1124" t="s">
        <v>4135</v>
      </c>
      <c r="T1124" t="s">
        <v>4559</v>
      </c>
      <c r="U1124" t="s">
        <v>4655</v>
      </c>
      <c r="V1124" s="2">
        <v>0</v>
      </c>
      <c r="W1124" t="s">
        <v>4655</v>
      </c>
      <c r="X1124" s="2">
        <v>0</v>
      </c>
      <c r="Y1124">
        <v>20</v>
      </c>
      <c r="Z1124" t="s">
        <v>4561</v>
      </c>
      <c r="AA1124" s="3">
        <v>0.16799816489219666</v>
      </c>
      <c r="AB1124" t="s">
        <v>10064</v>
      </c>
      <c r="AC1124" t="s">
        <v>4562</v>
      </c>
      <c r="AD1124" t="s">
        <v>10062</v>
      </c>
      <c r="AE1124" t="s">
        <v>4655</v>
      </c>
      <c r="AF1124" t="s">
        <v>4563</v>
      </c>
      <c r="AG1124" t="s">
        <v>4564</v>
      </c>
      <c r="AH1124">
        <v>89502</v>
      </c>
      <c r="AI1124" t="s">
        <v>10065</v>
      </c>
      <c r="AJ1124" t="s">
        <v>4655</v>
      </c>
      <c r="AK1124" t="s">
        <v>10066</v>
      </c>
      <c r="AL1124" s="13" t="s">
        <v>2255</v>
      </c>
      <c r="AM1124">
        <v>1</v>
      </c>
      <c r="AN1124" s="15" t="s">
        <v>5278</v>
      </c>
    </row>
    <row r="1125" spans="1:40" x14ac:dyDescent="0.3">
      <c r="A1125" s="10" t="str">
        <f>HYPERLINK("http://www.washoecounty.gov/assessor/cama/?parid=013-242-35&amp;CardNumber=1","013-242-35")</f>
        <v>013-242-35</v>
      </c>
      <c r="B1125" t="s">
        <v>4655</v>
      </c>
      <c r="C1125" t="s">
        <v>10067</v>
      </c>
      <c r="D1125" s="1">
        <v>40375</v>
      </c>
      <c r="E1125" s="2">
        <v>147200</v>
      </c>
      <c r="F1125" t="s">
        <v>4567</v>
      </c>
      <c r="G1125" s="17" t="str">
        <f>HYPERLINK("https://www.washoecounty.gov/assessor/cama/?command=sales&amp;parid=01324235","3902112")</f>
        <v>3902112</v>
      </c>
      <c r="H1125" t="s">
        <v>643</v>
      </c>
      <c r="I1125">
        <v>1984</v>
      </c>
      <c r="J1125">
        <v>1984</v>
      </c>
      <c r="K1125" t="s">
        <v>4554</v>
      </c>
      <c r="L1125" t="s">
        <v>4555</v>
      </c>
      <c r="M1125" s="2">
        <v>1151</v>
      </c>
      <c r="N1125" t="s">
        <v>4048</v>
      </c>
      <c r="O1125">
        <v>3</v>
      </c>
      <c r="P1125">
        <v>2</v>
      </c>
      <c r="Q1125">
        <v>0</v>
      </c>
      <c r="R1125" t="s">
        <v>4557</v>
      </c>
      <c r="S1125" t="s">
        <v>4558</v>
      </c>
      <c r="T1125" t="s">
        <v>4559</v>
      </c>
      <c r="U1125" t="s">
        <v>4560</v>
      </c>
      <c r="V1125" s="2">
        <v>280</v>
      </c>
      <c r="W1125" t="s">
        <v>3149</v>
      </c>
      <c r="X1125" s="2">
        <v>815</v>
      </c>
      <c r="Y1125">
        <v>20</v>
      </c>
      <c r="Z1125" t="s">
        <v>4561</v>
      </c>
      <c r="AA1125" s="3">
        <v>0.128007352352142</v>
      </c>
      <c r="AB1125" t="s">
        <v>10068</v>
      </c>
      <c r="AC1125" t="s">
        <v>4562</v>
      </c>
      <c r="AD1125" t="s">
        <v>10067</v>
      </c>
      <c r="AE1125" t="s">
        <v>4655</v>
      </c>
      <c r="AF1125" t="s">
        <v>4563</v>
      </c>
      <c r="AG1125" t="s">
        <v>4564</v>
      </c>
      <c r="AH1125">
        <v>89502</v>
      </c>
      <c r="AI1125" t="s">
        <v>4655</v>
      </c>
      <c r="AJ1125" t="s">
        <v>4655</v>
      </c>
      <c r="AK1125" t="s">
        <v>10069</v>
      </c>
      <c r="AL1125" s="13" t="s">
        <v>2257</v>
      </c>
      <c r="AM1125" s="14">
        <v>1</v>
      </c>
      <c r="AN1125" s="15" t="s">
        <v>5278</v>
      </c>
    </row>
    <row r="1126" spans="1:40" x14ac:dyDescent="0.3">
      <c r="A1126" s="10" t="str">
        <f>HYPERLINK("http://www.washoecounty.gov/assessor/cama/?parid=013-252-01&amp;CardNumber=1","013-252-01")</f>
        <v>013-252-01</v>
      </c>
      <c r="B1126" t="s">
        <v>4655</v>
      </c>
      <c r="C1126" t="s">
        <v>10070</v>
      </c>
      <c r="D1126" s="1">
        <v>40239</v>
      </c>
      <c r="E1126" s="2">
        <v>1517241</v>
      </c>
      <c r="F1126" t="s">
        <v>4187</v>
      </c>
      <c r="G1126" s="17" t="str">
        <f>HYPERLINK("https://www.washoecounty.gov/assessor/cama/?command=sales&amp;parid=01325201","3854116")</f>
        <v>3854116</v>
      </c>
      <c r="H1126" t="s">
        <v>425</v>
      </c>
      <c r="I1126">
        <v>1999</v>
      </c>
      <c r="J1126">
        <v>1999</v>
      </c>
      <c r="K1126" t="s">
        <v>426</v>
      </c>
      <c r="L1126" t="s">
        <v>1366</v>
      </c>
      <c r="M1126" s="2">
        <v>4158</v>
      </c>
      <c r="N1126" t="s">
        <v>427</v>
      </c>
      <c r="O1126">
        <v>0</v>
      </c>
      <c r="P1126">
        <v>0</v>
      </c>
      <c r="Q1126">
        <v>0</v>
      </c>
      <c r="R1126" t="s">
        <v>1395</v>
      </c>
      <c r="S1126" t="s">
        <v>4856</v>
      </c>
      <c r="T1126" t="s">
        <v>4655</v>
      </c>
      <c r="U1126" t="s">
        <v>4655</v>
      </c>
      <c r="V1126" s="2">
        <v>0</v>
      </c>
      <c r="W1126" t="s">
        <v>4655</v>
      </c>
      <c r="X1126" s="2">
        <v>0</v>
      </c>
      <c r="Y1126">
        <v>40</v>
      </c>
      <c r="Z1126" t="s">
        <v>1370</v>
      </c>
      <c r="AA1126" s="3">
        <v>1.20000004768371</v>
      </c>
      <c r="AB1126" t="s">
        <v>10071</v>
      </c>
      <c r="AC1126" t="s">
        <v>4562</v>
      </c>
      <c r="AD1126" t="s">
        <v>10072</v>
      </c>
      <c r="AE1126" t="s">
        <v>10073</v>
      </c>
      <c r="AF1126" t="s">
        <v>4563</v>
      </c>
      <c r="AG1126" t="s">
        <v>4564</v>
      </c>
      <c r="AH1126">
        <v>89502</v>
      </c>
      <c r="AI1126" t="s">
        <v>10074</v>
      </c>
      <c r="AJ1126" t="s">
        <v>4655</v>
      </c>
      <c r="AK1126" t="s">
        <v>1665</v>
      </c>
      <c r="AL1126" s="13" t="s">
        <v>2255</v>
      </c>
      <c r="AM1126">
        <v>1</v>
      </c>
      <c r="AN1126" s="15" t="s">
        <v>1666</v>
      </c>
    </row>
    <row r="1127" spans="1:40" x14ac:dyDescent="0.3">
      <c r="A1127" s="10" t="str">
        <f>HYPERLINK("http://www.washoecounty.gov/assessor/cama/?parid=013-252-03&amp;CardNumber=1","013-252-03")</f>
        <v>013-252-03</v>
      </c>
      <c r="B1127" t="s">
        <v>4655</v>
      </c>
      <c r="C1127" t="s">
        <v>10075</v>
      </c>
      <c r="D1127" s="1">
        <v>40252</v>
      </c>
      <c r="E1127" s="2">
        <v>140000</v>
      </c>
      <c r="F1127" t="s">
        <v>4567</v>
      </c>
      <c r="G1127" s="17" t="str">
        <f>HYPERLINK("https://www.washoecounty.gov/assessor/cama/?command=sales&amp;parid=01325203","3859750")</f>
        <v>3859750</v>
      </c>
      <c r="H1127" t="s">
        <v>425</v>
      </c>
      <c r="I1127">
        <v>1953</v>
      </c>
      <c r="J1127">
        <v>1953</v>
      </c>
      <c r="K1127" t="s">
        <v>4554</v>
      </c>
      <c r="L1127" t="s">
        <v>4555</v>
      </c>
      <c r="M1127" s="2">
        <v>1330</v>
      </c>
      <c r="N1127" t="s">
        <v>4048</v>
      </c>
      <c r="O1127">
        <v>2</v>
      </c>
      <c r="P1127">
        <v>2</v>
      </c>
      <c r="Q1127">
        <v>0</v>
      </c>
      <c r="R1127" t="s">
        <v>5281</v>
      </c>
      <c r="S1127" t="s">
        <v>4574</v>
      </c>
      <c r="T1127" t="s">
        <v>4559</v>
      </c>
      <c r="U1127" t="s">
        <v>4655</v>
      </c>
      <c r="V1127" s="2">
        <v>0</v>
      </c>
      <c r="W1127" t="s">
        <v>3149</v>
      </c>
      <c r="X1127" s="2">
        <v>1330</v>
      </c>
      <c r="Y1127">
        <v>20</v>
      </c>
      <c r="Z1127" t="s">
        <v>4561</v>
      </c>
      <c r="AA1127" s="3">
        <v>0.34898990392684898</v>
      </c>
      <c r="AB1127" t="s">
        <v>10076</v>
      </c>
      <c r="AC1127" t="s">
        <v>4562</v>
      </c>
      <c r="AD1127" t="s">
        <v>10075</v>
      </c>
      <c r="AE1127" t="s">
        <v>4655</v>
      </c>
      <c r="AF1127" t="s">
        <v>4563</v>
      </c>
      <c r="AG1127" t="s">
        <v>4564</v>
      </c>
      <c r="AH1127">
        <v>89502</v>
      </c>
      <c r="AI1127" t="s">
        <v>10077</v>
      </c>
      <c r="AJ1127" t="s">
        <v>4655</v>
      </c>
      <c r="AK1127" t="s">
        <v>1665</v>
      </c>
      <c r="AL1127" s="13" t="s">
        <v>2257</v>
      </c>
      <c r="AM1127">
        <v>1</v>
      </c>
      <c r="AN1127" s="15" t="s">
        <v>5278</v>
      </c>
    </row>
    <row r="1128" spans="1:40" x14ac:dyDescent="0.3">
      <c r="A1128" s="10" t="str">
        <f>HYPERLINK("http://www.washoecounty.gov/assessor/cama/?parid=013-281-05&amp;CardNumber=1","013-281-05")</f>
        <v>013-281-05</v>
      </c>
      <c r="B1128" t="s">
        <v>4655</v>
      </c>
      <c r="C1128" t="s">
        <v>10078</v>
      </c>
      <c r="D1128" s="1">
        <v>40241</v>
      </c>
      <c r="E1128" s="2">
        <v>3737745</v>
      </c>
      <c r="F1128" t="s">
        <v>4187</v>
      </c>
      <c r="G1128" s="17" t="str">
        <f>HYPERLINK("https://www.washoecounty.gov/assessor/cama/?command=sales&amp;parid=01328105","3855975")</f>
        <v>3855975</v>
      </c>
      <c r="H1128" t="s">
        <v>10079</v>
      </c>
      <c r="I1128">
        <v>2000</v>
      </c>
      <c r="J1128">
        <v>2000</v>
      </c>
      <c r="K1128" t="s">
        <v>1181</v>
      </c>
      <c r="L1128" t="s">
        <v>1366</v>
      </c>
      <c r="M1128" s="2">
        <v>23521</v>
      </c>
      <c r="N1128" t="s">
        <v>3531</v>
      </c>
      <c r="O1128">
        <v>0</v>
      </c>
      <c r="P1128">
        <v>0</v>
      </c>
      <c r="Q1128">
        <v>0</v>
      </c>
      <c r="R1128" t="s">
        <v>1395</v>
      </c>
      <c r="S1128" t="s">
        <v>1396</v>
      </c>
      <c r="T1128" t="s">
        <v>4655</v>
      </c>
      <c r="U1128" t="s">
        <v>4655</v>
      </c>
      <c r="V1128" s="2">
        <v>0</v>
      </c>
      <c r="W1128" t="s">
        <v>4655</v>
      </c>
      <c r="X1128" s="2">
        <v>0</v>
      </c>
      <c r="Y1128">
        <v>40</v>
      </c>
      <c r="Z1128" t="s">
        <v>564</v>
      </c>
      <c r="AA1128" s="3">
        <v>1.7359963655471802</v>
      </c>
      <c r="AB1128" t="s">
        <v>10080</v>
      </c>
      <c r="AC1128" t="s">
        <v>4562</v>
      </c>
      <c r="AD1128" t="s">
        <v>10081</v>
      </c>
      <c r="AE1128" t="s">
        <v>4655</v>
      </c>
      <c r="AF1128" t="s">
        <v>5185</v>
      </c>
      <c r="AG1128" t="s">
        <v>5277</v>
      </c>
      <c r="AH1128">
        <v>85210</v>
      </c>
      <c r="AI1128" t="s">
        <v>10082</v>
      </c>
      <c r="AJ1128" t="s">
        <v>10083</v>
      </c>
      <c r="AK1128" t="s">
        <v>10084</v>
      </c>
      <c r="AL1128" s="13" t="s">
        <v>2255</v>
      </c>
      <c r="AM1128">
        <v>1</v>
      </c>
      <c r="AN1128" s="15" t="s">
        <v>1666</v>
      </c>
    </row>
    <row r="1129" spans="1:40" x14ac:dyDescent="0.3">
      <c r="A1129" s="10" t="str">
        <f>HYPERLINK("http://www.washoecounty.gov/assessor/cama/?parid=013-321-43&amp;CardNumber=1","013-321-43")</f>
        <v>013-321-43</v>
      </c>
      <c r="B1129" t="s">
        <v>4655</v>
      </c>
      <c r="C1129" t="s">
        <v>10085</v>
      </c>
      <c r="D1129" s="1">
        <v>40445</v>
      </c>
      <c r="E1129" s="2">
        <v>250000</v>
      </c>
      <c r="F1129" t="s">
        <v>4187</v>
      </c>
      <c r="G1129" s="17" t="str">
        <f>HYPERLINK("https://www.washoecounty.gov/assessor/cama/?command=sales&amp;parid=01332143","3926188")</f>
        <v>3926188</v>
      </c>
      <c r="H1129" t="s">
        <v>5279</v>
      </c>
      <c r="I1129">
        <v>0</v>
      </c>
      <c r="J1129">
        <v>0</v>
      </c>
      <c r="K1129" t="s">
        <v>4655</v>
      </c>
      <c r="L1129" t="s">
        <v>4655</v>
      </c>
      <c r="M1129" s="2">
        <v>0</v>
      </c>
      <c r="N1129" t="s">
        <v>4655</v>
      </c>
      <c r="O1129">
        <v>0</v>
      </c>
      <c r="P1129">
        <v>0</v>
      </c>
      <c r="Q1129">
        <v>0</v>
      </c>
      <c r="R1129" t="s">
        <v>4655</v>
      </c>
      <c r="S1129" t="s">
        <v>4655</v>
      </c>
      <c r="T1129" t="s">
        <v>4655</v>
      </c>
      <c r="U1129" t="s">
        <v>4655</v>
      </c>
      <c r="V1129" s="2">
        <v>0</v>
      </c>
      <c r="W1129" t="s">
        <v>4655</v>
      </c>
      <c r="X1129" s="2">
        <v>0</v>
      </c>
      <c r="Y1129">
        <v>14</v>
      </c>
      <c r="Z1129" t="s">
        <v>4583</v>
      </c>
      <c r="AA1129" s="3">
        <v>0.96937555074691695</v>
      </c>
      <c r="AB1129" t="s">
        <v>10086</v>
      </c>
      <c r="AC1129" t="s">
        <v>4562</v>
      </c>
      <c r="AD1129" t="s">
        <v>10087</v>
      </c>
      <c r="AE1129" t="s">
        <v>4655</v>
      </c>
      <c r="AF1129" t="s">
        <v>4563</v>
      </c>
      <c r="AG1129" t="s">
        <v>4564</v>
      </c>
      <c r="AH1129">
        <v>89502</v>
      </c>
      <c r="AI1129" t="s">
        <v>10088</v>
      </c>
      <c r="AJ1129" t="s">
        <v>10089</v>
      </c>
      <c r="AK1129" t="s">
        <v>10090</v>
      </c>
      <c r="AL1129" s="13" t="s">
        <v>2255</v>
      </c>
      <c r="AM1129" s="14">
        <v>0</v>
      </c>
      <c r="AN1129" s="15" t="s">
        <v>5186</v>
      </c>
    </row>
    <row r="1130" spans="1:40" x14ac:dyDescent="0.3">
      <c r="A1130" s="10" t="str">
        <f>HYPERLINK("http://www.washoecounty.gov/assessor/cama/?parid=013-371-02&amp;CardNumber=1","013-371-02")</f>
        <v>013-371-02</v>
      </c>
      <c r="B1130" t="s">
        <v>5502</v>
      </c>
      <c r="C1130" t="s">
        <v>10091</v>
      </c>
      <c r="D1130" s="1">
        <v>40276</v>
      </c>
      <c r="E1130" s="2">
        <v>115000</v>
      </c>
      <c r="F1130" t="s">
        <v>4553</v>
      </c>
      <c r="G1130" s="17" t="str">
        <f>HYPERLINK("https://www.washoecounty.gov/assessor/cama/?command=sales&amp;parid=01337102","3869030")</f>
        <v>3869030</v>
      </c>
      <c r="H1130" t="s">
        <v>4088</v>
      </c>
      <c r="I1130">
        <v>1923</v>
      </c>
      <c r="J1130">
        <v>1923</v>
      </c>
      <c r="K1130" t="s">
        <v>1391</v>
      </c>
      <c r="L1130" t="s">
        <v>4555</v>
      </c>
      <c r="M1130" s="2">
        <v>857</v>
      </c>
      <c r="N1130" t="s">
        <v>4133</v>
      </c>
      <c r="O1130">
        <v>0</v>
      </c>
      <c r="P1130">
        <v>1</v>
      </c>
      <c r="Q1130">
        <v>0</v>
      </c>
      <c r="R1130" t="s">
        <v>5281</v>
      </c>
      <c r="S1130" t="s">
        <v>3046</v>
      </c>
      <c r="T1130" t="s">
        <v>4559</v>
      </c>
      <c r="U1130" t="s">
        <v>4655</v>
      </c>
      <c r="V1130" s="2">
        <v>0</v>
      </c>
      <c r="W1130" t="s">
        <v>4655</v>
      </c>
      <c r="X1130" s="2">
        <v>0</v>
      </c>
      <c r="Y1130">
        <v>40</v>
      </c>
      <c r="Z1130" t="s">
        <v>564</v>
      </c>
      <c r="AA1130" s="3">
        <v>0.25059688091278098</v>
      </c>
      <c r="AB1130" t="s">
        <v>3774</v>
      </c>
      <c r="AC1130" t="s">
        <v>4562</v>
      </c>
      <c r="AD1130" t="s">
        <v>5046</v>
      </c>
      <c r="AE1130" t="s">
        <v>4655</v>
      </c>
      <c r="AF1130" t="s">
        <v>5206</v>
      </c>
      <c r="AG1130" t="s">
        <v>4564</v>
      </c>
      <c r="AH1130" t="s">
        <v>5207</v>
      </c>
      <c r="AI1130" t="s">
        <v>4565</v>
      </c>
      <c r="AJ1130" t="s">
        <v>10092</v>
      </c>
      <c r="AK1130" t="s">
        <v>10093</v>
      </c>
      <c r="AL1130" s="13" t="s">
        <v>2255</v>
      </c>
      <c r="AM1130">
        <v>2</v>
      </c>
      <c r="AN1130" s="15" t="s">
        <v>4089</v>
      </c>
    </row>
    <row r="1131" spans="1:40" x14ac:dyDescent="0.3">
      <c r="A1131" s="10" t="str">
        <f>HYPERLINK("http://www.washoecounty.gov/assessor/cama/?parid=013-371-36&amp;CardNumber=1","013-371-36")</f>
        <v>013-371-36</v>
      </c>
      <c r="B1131" t="s">
        <v>4655</v>
      </c>
      <c r="C1131" t="s">
        <v>10094</v>
      </c>
      <c r="D1131" s="1">
        <v>40350</v>
      </c>
      <c r="E1131" s="2">
        <v>40400</v>
      </c>
      <c r="F1131" t="s">
        <v>4567</v>
      </c>
      <c r="G1131" s="17" t="str">
        <f>HYPERLINK("https://www.washoecounty.gov/assessor/cama/?command=sales&amp;parid=01337136","3893699")</f>
        <v>3893699</v>
      </c>
      <c r="H1131" t="s">
        <v>10095</v>
      </c>
      <c r="I1131">
        <v>1920</v>
      </c>
      <c r="J1131">
        <v>1920</v>
      </c>
      <c r="K1131" t="s">
        <v>4554</v>
      </c>
      <c r="L1131" t="s">
        <v>4555</v>
      </c>
      <c r="M1131" s="2">
        <v>624</v>
      </c>
      <c r="N1131" t="s">
        <v>4672</v>
      </c>
      <c r="O1131">
        <v>1</v>
      </c>
      <c r="P1131">
        <v>1</v>
      </c>
      <c r="Q1131">
        <v>0</v>
      </c>
      <c r="R1131" t="s">
        <v>1800</v>
      </c>
      <c r="S1131" t="s">
        <v>4574</v>
      </c>
      <c r="T1131" t="s">
        <v>4559</v>
      </c>
      <c r="U1131" t="s">
        <v>4655</v>
      </c>
      <c r="V1131" s="2">
        <v>0</v>
      </c>
      <c r="W1131" t="s">
        <v>4655</v>
      </c>
      <c r="X1131" s="2">
        <v>0</v>
      </c>
      <c r="Y1131">
        <v>20</v>
      </c>
      <c r="Z1131" t="s">
        <v>4144</v>
      </c>
      <c r="AA1131" s="3">
        <v>0.10231864452362099</v>
      </c>
      <c r="AB1131" t="s">
        <v>4474</v>
      </c>
      <c r="AC1131" t="s">
        <v>4562</v>
      </c>
      <c r="AD1131" t="s">
        <v>1708</v>
      </c>
      <c r="AE1131" t="s">
        <v>4655</v>
      </c>
      <c r="AF1131" t="s">
        <v>4809</v>
      </c>
      <c r="AG1131" t="s">
        <v>4564</v>
      </c>
      <c r="AH1131" t="s">
        <v>3898</v>
      </c>
      <c r="AI1131" t="s">
        <v>10096</v>
      </c>
      <c r="AJ1131" t="s">
        <v>10097</v>
      </c>
      <c r="AK1131" t="s">
        <v>10098</v>
      </c>
      <c r="AL1131" s="13" t="s">
        <v>2255</v>
      </c>
      <c r="AM1131" s="14">
        <v>1</v>
      </c>
      <c r="AN1131" s="15" t="s">
        <v>5278</v>
      </c>
    </row>
    <row r="1132" spans="1:40" x14ac:dyDescent="0.3">
      <c r="A1132" s="10" t="str">
        <f>HYPERLINK("http://www.washoecounty.gov/assessor/cama/?parid=013-372-22&amp;CardNumber=1","013-372-22")</f>
        <v>013-372-22</v>
      </c>
      <c r="B1132" t="s">
        <v>4655</v>
      </c>
      <c r="C1132" t="s">
        <v>10099</v>
      </c>
      <c r="D1132" s="1">
        <v>40464</v>
      </c>
      <c r="E1132" s="2">
        <v>47900</v>
      </c>
      <c r="F1132" t="s">
        <v>4553</v>
      </c>
      <c r="G1132" s="17" t="str">
        <f>HYPERLINK("https://www.washoecounty.gov/assessor/cama/?command=sales&amp;parid=01337222","3932583")</f>
        <v>3932583</v>
      </c>
      <c r="H1132" t="s">
        <v>2315</v>
      </c>
      <c r="I1132">
        <v>1920</v>
      </c>
      <c r="J1132">
        <v>1920</v>
      </c>
      <c r="K1132" t="s">
        <v>4554</v>
      </c>
      <c r="L1132" t="s">
        <v>4555</v>
      </c>
      <c r="M1132" s="2">
        <v>596</v>
      </c>
      <c r="N1132" t="s">
        <v>4133</v>
      </c>
      <c r="O1132">
        <v>1</v>
      </c>
      <c r="P1132">
        <v>1</v>
      </c>
      <c r="Q1132">
        <v>0</v>
      </c>
      <c r="R1132" t="s">
        <v>5281</v>
      </c>
      <c r="S1132" t="s">
        <v>4574</v>
      </c>
      <c r="T1132" t="s">
        <v>4559</v>
      </c>
      <c r="U1132" t="s">
        <v>4655</v>
      </c>
      <c r="V1132" s="2">
        <v>0</v>
      </c>
      <c r="W1132" t="s">
        <v>4655</v>
      </c>
      <c r="X1132" s="2">
        <v>0</v>
      </c>
      <c r="Y1132">
        <v>20</v>
      </c>
      <c r="Z1132" t="s">
        <v>4144</v>
      </c>
      <c r="AA1132" s="3">
        <v>0.15300734341144601</v>
      </c>
      <c r="AB1132" t="s">
        <v>10100</v>
      </c>
      <c r="AC1132" t="s">
        <v>4575</v>
      </c>
      <c r="AD1132" t="s">
        <v>10101</v>
      </c>
      <c r="AE1132" t="s">
        <v>4655</v>
      </c>
      <c r="AF1132" t="s">
        <v>4563</v>
      </c>
      <c r="AG1132" t="s">
        <v>4564</v>
      </c>
      <c r="AH1132">
        <v>89503</v>
      </c>
      <c r="AI1132" t="s">
        <v>4903</v>
      </c>
      <c r="AJ1132" t="s">
        <v>10102</v>
      </c>
      <c r="AK1132" t="s">
        <v>10103</v>
      </c>
      <c r="AL1132" s="13" t="s">
        <v>2255</v>
      </c>
      <c r="AM1132">
        <v>1</v>
      </c>
      <c r="AN1132" s="15" t="s">
        <v>5278</v>
      </c>
    </row>
    <row r="1133" spans="1:40" x14ac:dyDescent="0.3">
      <c r="A1133" s="10" t="str">
        <f>HYPERLINK("http://www.washoecounty.gov/assessor/cama/?parid=013-374-05&amp;CardNumber=1","013-374-05")</f>
        <v>013-374-05</v>
      </c>
      <c r="B1133" t="s">
        <v>4655</v>
      </c>
      <c r="C1133" t="s">
        <v>10104</v>
      </c>
      <c r="D1133" s="1">
        <v>40297</v>
      </c>
      <c r="E1133" s="2">
        <v>98500</v>
      </c>
      <c r="F1133" t="s">
        <v>4567</v>
      </c>
      <c r="G1133" s="17" t="str">
        <f>HYPERLINK("https://www.washoecounty.gov/assessor/cama/?command=sales&amp;parid=01337405","3876180")</f>
        <v>3876180</v>
      </c>
      <c r="H1133" t="s">
        <v>10105</v>
      </c>
      <c r="I1133">
        <v>1954</v>
      </c>
      <c r="J1133">
        <v>1954</v>
      </c>
      <c r="K1133" t="s">
        <v>4554</v>
      </c>
      <c r="L1133" t="s">
        <v>4555</v>
      </c>
      <c r="M1133" s="2">
        <v>1040</v>
      </c>
      <c r="N1133" t="s">
        <v>4556</v>
      </c>
      <c r="O1133">
        <v>2</v>
      </c>
      <c r="P1133">
        <v>1</v>
      </c>
      <c r="Q1133">
        <v>0</v>
      </c>
      <c r="R1133" t="s">
        <v>4134</v>
      </c>
      <c r="S1133" t="s">
        <v>4135</v>
      </c>
      <c r="T1133" t="s">
        <v>4559</v>
      </c>
      <c r="U1133" t="s">
        <v>4560</v>
      </c>
      <c r="V1133" s="2">
        <v>299</v>
      </c>
      <c r="W1133" t="s">
        <v>4655</v>
      </c>
      <c r="X1133" s="2">
        <v>0</v>
      </c>
      <c r="Y1133">
        <v>20</v>
      </c>
      <c r="Z1133" t="s">
        <v>4144</v>
      </c>
      <c r="AA1133" s="3">
        <v>0.13298897445201899</v>
      </c>
      <c r="AB1133" t="s">
        <v>10106</v>
      </c>
      <c r="AC1133" t="s">
        <v>4562</v>
      </c>
      <c r="AD1133" t="s">
        <v>10104</v>
      </c>
      <c r="AE1133" t="s">
        <v>4655</v>
      </c>
      <c r="AF1133" t="s">
        <v>4563</v>
      </c>
      <c r="AG1133" t="s">
        <v>4564</v>
      </c>
      <c r="AH1133">
        <v>89502</v>
      </c>
      <c r="AI1133" t="s">
        <v>10107</v>
      </c>
      <c r="AJ1133" t="s">
        <v>10108</v>
      </c>
      <c r="AK1133" t="s">
        <v>10109</v>
      </c>
      <c r="AL1133" s="13" t="s">
        <v>2255</v>
      </c>
      <c r="AM1133">
        <v>1</v>
      </c>
      <c r="AN1133" s="15" t="s">
        <v>5278</v>
      </c>
    </row>
    <row r="1134" spans="1:40" x14ac:dyDescent="0.3">
      <c r="A1134" s="10" t="str">
        <f>HYPERLINK("http://www.washoecounty.gov/assessor/cama/?parid=013-381-01&amp;CardNumber=1","013-381-01")</f>
        <v>013-381-01</v>
      </c>
      <c r="B1134" t="s">
        <v>5502</v>
      </c>
      <c r="C1134" t="s">
        <v>3191</v>
      </c>
      <c r="D1134" s="1">
        <v>40298</v>
      </c>
      <c r="E1134" s="2">
        <v>157500</v>
      </c>
      <c r="F1134" t="s">
        <v>4553</v>
      </c>
      <c r="G1134" s="17" t="str">
        <f>HYPERLINK("https://www.washoecounty.gov/assessor/cama/?command=sales&amp;parid=01338101","3876592")</f>
        <v>3876592</v>
      </c>
      <c r="H1134" t="s">
        <v>3192</v>
      </c>
      <c r="I1134">
        <v>1954</v>
      </c>
      <c r="J1134">
        <v>1954</v>
      </c>
      <c r="K1134" t="s">
        <v>4554</v>
      </c>
      <c r="L1134" t="s">
        <v>4555</v>
      </c>
      <c r="M1134" s="2">
        <v>1040</v>
      </c>
      <c r="N1134" t="s">
        <v>4556</v>
      </c>
      <c r="O1134">
        <v>3</v>
      </c>
      <c r="P1134">
        <v>1</v>
      </c>
      <c r="Q1134">
        <v>0</v>
      </c>
      <c r="R1134" t="s">
        <v>4134</v>
      </c>
      <c r="S1134" t="s">
        <v>4574</v>
      </c>
      <c r="T1134" t="s">
        <v>4559</v>
      </c>
      <c r="U1134" t="s">
        <v>4560</v>
      </c>
      <c r="V1134" s="2">
        <v>299</v>
      </c>
      <c r="W1134" t="s">
        <v>4655</v>
      </c>
      <c r="X1134" s="2">
        <v>0</v>
      </c>
      <c r="Y1134">
        <v>32</v>
      </c>
      <c r="Z1134" t="s">
        <v>4144</v>
      </c>
      <c r="AA1134" s="3">
        <v>0.20399449765682201</v>
      </c>
      <c r="AB1134" t="s">
        <v>10110</v>
      </c>
      <c r="AC1134" t="s">
        <v>4562</v>
      </c>
      <c r="AD1134" t="s">
        <v>10111</v>
      </c>
      <c r="AE1134" t="s">
        <v>4655</v>
      </c>
      <c r="AF1134" t="s">
        <v>4563</v>
      </c>
      <c r="AG1134" t="s">
        <v>4564</v>
      </c>
      <c r="AH1134">
        <v>89511</v>
      </c>
      <c r="AI1134" t="s">
        <v>4045</v>
      </c>
      <c r="AJ1134" t="s">
        <v>3193</v>
      </c>
      <c r="AK1134" t="s">
        <v>3194</v>
      </c>
      <c r="AL1134" s="13" t="s">
        <v>2255</v>
      </c>
      <c r="AM1134" s="14">
        <v>3</v>
      </c>
      <c r="AN1134" s="15" t="s">
        <v>3172</v>
      </c>
    </row>
    <row r="1135" spans="1:40" x14ac:dyDescent="0.3">
      <c r="A1135" s="10" t="str">
        <f>HYPERLINK("http://www.washoecounty.gov/assessor/cama/?parid=013-382-08&amp;CardNumber=1","013-382-08")</f>
        <v>013-382-08</v>
      </c>
      <c r="B1135" t="s">
        <v>4655</v>
      </c>
      <c r="C1135" t="s">
        <v>10112</v>
      </c>
      <c r="D1135" s="1">
        <v>40378</v>
      </c>
      <c r="E1135" s="2">
        <v>69900</v>
      </c>
      <c r="F1135" t="s">
        <v>4553</v>
      </c>
      <c r="G1135" s="17" t="str">
        <f>HYPERLINK("https://www.washoecounty.gov/assessor/cama/?command=sales&amp;parid=01338208","3902637")</f>
        <v>3902637</v>
      </c>
      <c r="H1135" t="s">
        <v>3192</v>
      </c>
      <c r="I1135">
        <v>1954</v>
      </c>
      <c r="J1135">
        <v>1954</v>
      </c>
      <c r="K1135" t="s">
        <v>4554</v>
      </c>
      <c r="L1135" t="s">
        <v>4555</v>
      </c>
      <c r="M1135" s="2">
        <v>1040</v>
      </c>
      <c r="N1135" t="s">
        <v>4556</v>
      </c>
      <c r="O1135">
        <v>3</v>
      </c>
      <c r="P1135">
        <v>1</v>
      </c>
      <c r="Q1135">
        <v>0</v>
      </c>
      <c r="R1135" t="s">
        <v>4134</v>
      </c>
      <c r="S1135" t="s">
        <v>4135</v>
      </c>
      <c r="T1135" t="s">
        <v>4559</v>
      </c>
      <c r="U1135" t="s">
        <v>4560</v>
      </c>
      <c r="V1135" s="2">
        <v>299</v>
      </c>
      <c r="W1135" t="s">
        <v>4655</v>
      </c>
      <c r="X1135" s="2">
        <v>0</v>
      </c>
      <c r="Y1135">
        <v>20</v>
      </c>
      <c r="Z1135" t="s">
        <v>4144</v>
      </c>
      <c r="AA1135" s="3">
        <v>0.19400826096534701</v>
      </c>
      <c r="AB1135" t="s">
        <v>10113</v>
      </c>
      <c r="AC1135" t="s">
        <v>4562</v>
      </c>
      <c r="AD1135" t="s">
        <v>10114</v>
      </c>
      <c r="AE1135" t="s">
        <v>4655</v>
      </c>
      <c r="AF1135" t="s">
        <v>4563</v>
      </c>
      <c r="AG1135" t="s">
        <v>4564</v>
      </c>
      <c r="AH1135">
        <v>89502</v>
      </c>
      <c r="AI1135" t="s">
        <v>4145</v>
      </c>
      <c r="AJ1135" t="s">
        <v>10115</v>
      </c>
      <c r="AK1135" t="s">
        <v>10116</v>
      </c>
      <c r="AL1135" s="13" t="s">
        <v>2255</v>
      </c>
      <c r="AM1135">
        <v>1</v>
      </c>
      <c r="AN1135" s="15" t="s">
        <v>5278</v>
      </c>
    </row>
    <row r="1136" spans="1:40" x14ac:dyDescent="0.3">
      <c r="A1136" s="10" t="str">
        <f>HYPERLINK("http://www.washoecounty.gov/assessor/cama/?parid=013-383-08&amp;CardNumber=1","013-383-08")</f>
        <v>013-383-08</v>
      </c>
      <c r="B1136" t="s">
        <v>4655</v>
      </c>
      <c r="C1136" t="s">
        <v>10117</v>
      </c>
      <c r="D1136" s="1">
        <v>40325</v>
      </c>
      <c r="E1136" s="2">
        <v>83000</v>
      </c>
      <c r="F1136" t="s">
        <v>4553</v>
      </c>
      <c r="G1136" s="17" t="str">
        <f>HYPERLINK("https://www.washoecounty.gov/assessor/cama/?command=sales&amp;parid=01338308","3885956")</f>
        <v>3885956</v>
      </c>
      <c r="H1136" t="s">
        <v>2606</v>
      </c>
      <c r="I1136">
        <v>1958</v>
      </c>
      <c r="J1136">
        <v>1958</v>
      </c>
      <c r="K1136" t="s">
        <v>4554</v>
      </c>
      <c r="L1136" t="s">
        <v>4555</v>
      </c>
      <c r="M1136" s="2">
        <v>1144</v>
      </c>
      <c r="N1136" t="s">
        <v>4133</v>
      </c>
      <c r="O1136">
        <v>3</v>
      </c>
      <c r="P1136">
        <v>1</v>
      </c>
      <c r="Q1136">
        <v>1</v>
      </c>
      <c r="R1136" t="s">
        <v>4557</v>
      </c>
      <c r="S1136" t="s">
        <v>4558</v>
      </c>
      <c r="T1136" t="s">
        <v>4559</v>
      </c>
      <c r="U1136" t="s">
        <v>4560</v>
      </c>
      <c r="V1136" s="2">
        <v>266</v>
      </c>
      <c r="W1136" t="s">
        <v>4655</v>
      </c>
      <c r="X1136" s="2">
        <v>0</v>
      </c>
      <c r="Y1136">
        <v>20</v>
      </c>
      <c r="Z1136" t="s">
        <v>4561</v>
      </c>
      <c r="AA1136" s="3">
        <v>0.15199723839759827</v>
      </c>
      <c r="AB1136" t="s">
        <v>10118</v>
      </c>
      <c r="AC1136" t="s">
        <v>4562</v>
      </c>
      <c r="AD1136" t="s">
        <v>10117</v>
      </c>
      <c r="AE1136" t="s">
        <v>4655</v>
      </c>
      <c r="AF1136" t="s">
        <v>4563</v>
      </c>
      <c r="AG1136" t="s">
        <v>4564</v>
      </c>
      <c r="AH1136">
        <v>89502</v>
      </c>
      <c r="AI1136" t="s">
        <v>4848</v>
      </c>
      <c r="AJ1136" t="s">
        <v>10119</v>
      </c>
      <c r="AK1136" t="s">
        <v>10120</v>
      </c>
      <c r="AL1136" s="13" t="s">
        <v>2257</v>
      </c>
      <c r="AM1136">
        <v>1</v>
      </c>
      <c r="AN1136" s="15" t="s">
        <v>5278</v>
      </c>
    </row>
    <row r="1137" spans="1:40" x14ac:dyDescent="0.3">
      <c r="A1137" s="10" t="str">
        <f>HYPERLINK("http://www.washoecounty.gov/assessor/cama/?parid=013-383-18&amp;CardNumber=1","013-383-18")</f>
        <v>013-383-18</v>
      </c>
      <c r="B1137" t="s">
        <v>4655</v>
      </c>
      <c r="C1137" t="s">
        <v>10121</v>
      </c>
      <c r="D1137" s="1">
        <v>40435</v>
      </c>
      <c r="E1137" s="2">
        <v>114000</v>
      </c>
      <c r="F1137" t="s">
        <v>4553</v>
      </c>
      <c r="G1137" s="17" t="str">
        <f>HYPERLINK("https://www.washoecounty.gov/assessor/cama/?command=sales&amp;parid=01338318","3922342")</f>
        <v>3922342</v>
      </c>
      <c r="H1137" t="s">
        <v>5187</v>
      </c>
      <c r="I1137">
        <v>1954</v>
      </c>
      <c r="J1137">
        <v>1954</v>
      </c>
      <c r="K1137" t="s">
        <v>4554</v>
      </c>
      <c r="L1137" t="s">
        <v>4555</v>
      </c>
      <c r="M1137" s="2">
        <v>1040</v>
      </c>
      <c r="N1137" t="s">
        <v>4556</v>
      </c>
      <c r="O1137">
        <v>3</v>
      </c>
      <c r="P1137">
        <v>1</v>
      </c>
      <c r="Q1137">
        <v>0</v>
      </c>
      <c r="R1137" t="s">
        <v>4134</v>
      </c>
      <c r="S1137" t="s">
        <v>4135</v>
      </c>
      <c r="T1137" t="s">
        <v>4559</v>
      </c>
      <c r="U1137" t="s">
        <v>4560</v>
      </c>
      <c r="V1137" s="2">
        <v>299</v>
      </c>
      <c r="W1137" t="s">
        <v>4655</v>
      </c>
      <c r="X1137" s="2">
        <v>0</v>
      </c>
      <c r="Y1137">
        <v>20</v>
      </c>
      <c r="Z1137" t="s">
        <v>4561</v>
      </c>
      <c r="AA1137" s="3">
        <v>0.17899449169635773</v>
      </c>
      <c r="AB1137" t="s">
        <v>10122</v>
      </c>
      <c r="AC1137" t="s">
        <v>4575</v>
      </c>
      <c r="AD1137" t="s">
        <v>10121</v>
      </c>
      <c r="AE1137" t="s">
        <v>4655</v>
      </c>
      <c r="AF1137" t="s">
        <v>4563</v>
      </c>
      <c r="AG1137" t="s">
        <v>4564</v>
      </c>
      <c r="AH1137">
        <v>89502</v>
      </c>
      <c r="AI1137" t="s">
        <v>4903</v>
      </c>
      <c r="AJ1137" t="s">
        <v>10123</v>
      </c>
      <c r="AK1137" t="s">
        <v>10124</v>
      </c>
      <c r="AL1137" s="13" t="s">
        <v>2255</v>
      </c>
      <c r="AM1137" s="14">
        <v>1</v>
      </c>
      <c r="AN1137" s="15" t="s">
        <v>5278</v>
      </c>
    </row>
    <row r="1138" spans="1:40" x14ac:dyDescent="0.3">
      <c r="A1138" s="10" t="str">
        <f>HYPERLINK("http://www.washoecounty.gov/assessor/cama/?parid=013-385-04&amp;CardNumber=1","013-385-04")</f>
        <v>013-385-04</v>
      </c>
      <c r="B1138" t="s">
        <v>4655</v>
      </c>
      <c r="C1138" t="s">
        <v>10125</v>
      </c>
      <c r="D1138" s="1">
        <v>40471</v>
      </c>
      <c r="E1138" s="2">
        <v>95000</v>
      </c>
      <c r="F1138" t="s">
        <v>4567</v>
      </c>
      <c r="G1138" s="17" t="str">
        <f>HYPERLINK("https://www.washoecounty.gov/assessor/cama/?command=sales&amp;parid=01338504","3935025")</f>
        <v>3935025</v>
      </c>
      <c r="H1138" t="s">
        <v>5187</v>
      </c>
      <c r="I1138">
        <v>1953</v>
      </c>
      <c r="J1138">
        <v>1953</v>
      </c>
      <c r="K1138" t="s">
        <v>4554</v>
      </c>
      <c r="L1138" t="s">
        <v>4555</v>
      </c>
      <c r="M1138" s="2">
        <v>1008</v>
      </c>
      <c r="N1138" t="s">
        <v>4556</v>
      </c>
      <c r="O1138">
        <v>3</v>
      </c>
      <c r="P1138">
        <v>1</v>
      </c>
      <c r="Q1138">
        <v>0</v>
      </c>
      <c r="R1138" t="s">
        <v>4134</v>
      </c>
      <c r="S1138" t="s">
        <v>4574</v>
      </c>
      <c r="T1138" t="s">
        <v>4559</v>
      </c>
      <c r="U1138" t="s">
        <v>4560</v>
      </c>
      <c r="V1138" s="2">
        <v>312</v>
      </c>
      <c r="W1138" t="s">
        <v>4655</v>
      </c>
      <c r="X1138" s="2">
        <v>0</v>
      </c>
      <c r="Y1138">
        <v>20</v>
      </c>
      <c r="Z1138" t="s">
        <v>4561</v>
      </c>
      <c r="AA1138" s="3">
        <v>0.16499081254005399</v>
      </c>
      <c r="AB1138" t="s">
        <v>10126</v>
      </c>
      <c r="AC1138" t="s">
        <v>4562</v>
      </c>
      <c r="AD1138" t="s">
        <v>10125</v>
      </c>
      <c r="AE1138" t="s">
        <v>4655</v>
      </c>
      <c r="AF1138" t="s">
        <v>4563</v>
      </c>
      <c r="AG1138" t="s">
        <v>4564</v>
      </c>
      <c r="AH1138">
        <v>89502</v>
      </c>
      <c r="AI1138" t="s">
        <v>10127</v>
      </c>
      <c r="AJ1138" t="s">
        <v>10128</v>
      </c>
      <c r="AK1138" t="s">
        <v>10129</v>
      </c>
      <c r="AL1138" s="13" t="s">
        <v>2255</v>
      </c>
      <c r="AM1138">
        <v>1</v>
      </c>
      <c r="AN1138" s="15" t="s">
        <v>5278</v>
      </c>
    </row>
    <row r="1139" spans="1:40" x14ac:dyDescent="0.3">
      <c r="A1139" s="10" t="str">
        <f>HYPERLINK("http://www.washoecounty.gov/assessor/cama/?parid=013-391-23&amp;CardNumber=1","013-391-23")</f>
        <v>013-391-23</v>
      </c>
      <c r="B1139" t="s">
        <v>4655</v>
      </c>
      <c r="C1139" t="s">
        <v>10130</v>
      </c>
      <c r="D1139" s="1">
        <v>40386</v>
      </c>
      <c r="E1139" s="2">
        <v>146000</v>
      </c>
      <c r="F1139" t="s">
        <v>4567</v>
      </c>
      <c r="G1139" s="17" t="str">
        <f>HYPERLINK("https://www.washoecounty.gov/assessor/cama/?command=sales&amp;parid=01339123","3905455")</f>
        <v>3905455</v>
      </c>
      <c r="H1139" t="s">
        <v>1374</v>
      </c>
      <c r="I1139">
        <v>1958</v>
      </c>
      <c r="J1139">
        <v>1971</v>
      </c>
      <c r="K1139" t="s">
        <v>4554</v>
      </c>
      <c r="L1139" t="s">
        <v>3886</v>
      </c>
      <c r="M1139" s="2">
        <v>1690</v>
      </c>
      <c r="N1139" t="s">
        <v>4556</v>
      </c>
      <c r="O1139">
        <v>3</v>
      </c>
      <c r="P1139">
        <v>2</v>
      </c>
      <c r="Q1139">
        <v>0</v>
      </c>
      <c r="R1139" t="s">
        <v>4557</v>
      </c>
      <c r="S1139" t="s">
        <v>4574</v>
      </c>
      <c r="T1139" t="s">
        <v>4559</v>
      </c>
      <c r="U1139" t="s">
        <v>4560</v>
      </c>
      <c r="V1139" s="2">
        <v>360</v>
      </c>
      <c r="W1139" t="s">
        <v>4655</v>
      </c>
      <c r="X1139" s="2">
        <v>0</v>
      </c>
      <c r="Y1139">
        <v>20</v>
      </c>
      <c r="Z1139" t="s">
        <v>4561</v>
      </c>
      <c r="AA1139" s="3">
        <v>0.17499999701976801</v>
      </c>
      <c r="AB1139" t="s">
        <v>10131</v>
      </c>
      <c r="AC1139" t="s">
        <v>4575</v>
      </c>
      <c r="AD1139" t="s">
        <v>10132</v>
      </c>
      <c r="AE1139" t="s">
        <v>10130</v>
      </c>
      <c r="AF1139" t="s">
        <v>4563</v>
      </c>
      <c r="AG1139" t="s">
        <v>4564</v>
      </c>
      <c r="AH1139">
        <v>89502</v>
      </c>
      <c r="AI1139" t="s">
        <v>10133</v>
      </c>
      <c r="AJ1139" t="s">
        <v>10134</v>
      </c>
      <c r="AK1139" t="s">
        <v>10135</v>
      </c>
      <c r="AL1139" s="13" t="s">
        <v>2255</v>
      </c>
      <c r="AM1139">
        <v>1</v>
      </c>
      <c r="AN1139" s="15" t="s">
        <v>5278</v>
      </c>
    </row>
    <row r="1140" spans="1:40" x14ac:dyDescent="0.3">
      <c r="A1140" s="10" t="str">
        <f>HYPERLINK("http://www.washoecounty.gov/assessor/cama/?parid=013-391-24&amp;CardNumber=1","013-391-24")</f>
        <v>013-391-24</v>
      </c>
      <c r="B1140" t="s">
        <v>4655</v>
      </c>
      <c r="C1140" t="s">
        <v>10136</v>
      </c>
      <c r="D1140" s="1">
        <v>40352</v>
      </c>
      <c r="E1140" s="2">
        <v>112000</v>
      </c>
      <c r="F1140" t="s">
        <v>4553</v>
      </c>
      <c r="G1140" s="17" t="str">
        <f>HYPERLINK("https://www.washoecounty.gov/assessor/cama/?command=sales&amp;parid=01339124","3894727")</f>
        <v>3894727</v>
      </c>
      <c r="H1140" t="s">
        <v>1374</v>
      </c>
      <c r="I1140">
        <v>1959</v>
      </c>
      <c r="J1140">
        <v>1959</v>
      </c>
      <c r="K1140" t="s">
        <v>4554</v>
      </c>
      <c r="L1140" t="s">
        <v>4555</v>
      </c>
      <c r="M1140" s="2">
        <v>1048</v>
      </c>
      <c r="N1140" t="s">
        <v>4556</v>
      </c>
      <c r="O1140">
        <v>3</v>
      </c>
      <c r="P1140">
        <v>1</v>
      </c>
      <c r="Q1140">
        <v>0</v>
      </c>
      <c r="R1140" t="s">
        <v>4557</v>
      </c>
      <c r="S1140" t="s">
        <v>4898</v>
      </c>
      <c r="T1140" t="s">
        <v>4559</v>
      </c>
      <c r="U1140" t="s">
        <v>4560</v>
      </c>
      <c r="V1140" s="2">
        <v>264</v>
      </c>
      <c r="W1140" t="s">
        <v>4655</v>
      </c>
      <c r="X1140" s="2">
        <v>0</v>
      </c>
      <c r="Y1140">
        <v>20</v>
      </c>
      <c r="Z1140" t="s">
        <v>4561</v>
      </c>
      <c r="AA1140" s="3">
        <v>0.17398989200591999</v>
      </c>
      <c r="AB1140" t="s">
        <v>10137</v>
      </c>
      <c r="AC1140" t="s">
        <v>4575</v>
      </c>
      <c r="AD1140" t="s">
        <v>10136</v>
      </c>
      <c r="AE1140" t="s">
        <v>4655</v>
      </c>
      <c r="AF1140" t="s">
        <v>4563</v>
      </c>
      <c r="AG1140" t="s">
        <v>4564</v>
      </c>
      <c r="AH1140">
        <v>89502</v>
      </c>
      <c r="AI1140" t="s">
        <v>4565</v>
      </c>
      <c r="AJ1140" t="s">
        <v>10138</v>
      </c>
      <c r="AK1140" t="s">
        <v>10135</v>
      </c>
      <c r="AL1140" s="13" t="s">
        <v>2257</v>
      </c>
      <c r="AM1140" s="14">
        <v>1</v>
      </c>
      <c r="AN1140" s="15" t="s">
        <v>5278</v>
      </c>
    </row>
    <row r="1141" spans="1:40" x14ac:dyDescent="0.3">
      <c r="A1141" s="10" t="str">
        <f>HYPERLINK("http://www.washoecounty.gov/assessor/cama/?parid=013-392-06&amp;CardNumber=1","013-392-06")</f>
        <v>013-392-06</v>
      </c>
      <c r="B1141" t="s">
        <v>4655</v>
      </c>
      <c r="C1141" t="s">
        <v>10139</v>
      </c>
      <c r="D1141" s="1">
        <v>40343</v>
      </c>
      <c r="E1141" s="2">
        <v>129000</v>
      </c>
      <c r="F1141" t="s">
        <v>4567</v>
      </c>
      <c r="G1141" s="17" t="str">
        <f>HYPERLINK("https://www.washoecounty.gov/assessor/cama/?command=sales&amp;parid=01339206","3891661")</f>
        <v>3891661</v>
      </c>
      <c r="H1141" t="s">
        <v>5437</v>
      </c>
      <c r="I1141">
        <v>1955</v>
      </c>
      <c r="J1141">
        <v>1955</v>
      </c>
      <c r="K1141" t="s">
        <v>4554</v>
      </c>
      <c r="L1141" t="s">
        <v>4555</v>
      </c>
      <c r="M1141" s="2">
        <v>1040</v>
      </c>
      <c r="N1141" t="s">
        <v>4556</v>
      </c>
      <c r="O1141">
        <v>3</v>
      </c>
      <c r="P1141">
        <v>1</v>
      </c>
      <c r="Q1141">
        <v>0</v>
      </c>
      <c r="R1141" t="s">
        <v>4557</v>
      </c>
      <c r="S1141" t="s">
        <v>4558</v>
      </c>
      <c r="T1141" t="s">
        <v>4559</v>
      </c>
      <c r="U1141" t="s">
        <v>4655</v>
      </c>
      <c r="V1141" s="2">
        <v>0</v>
      </c>
      <c r="W1141" t="s">
        <v>4655</v>
      </c>
      <c r="X1141" s="2">
        <v>0</v>
      </c>
      <c r="Y1141">
        <v>20</v>
      </c>
      <c r="Z1141" t="s">
        <v>4561</v>
      </c>
      <c r="AA1141" s="3">
        <v>0.16499081254005399</v>
      </c>
      <c r="AB1141" t="s">
        <v>10140</v>
      </c>
      <c r="AC1141" t="s">
        <v>4575</v>
      </c>
      <c r="AD1141" t="s">
        <v>10139</v>
      </c>
      <c r="AE1141" t="s">
        <v>4655</v>
      </c>
      <c r="AF1141" t="s">
        <v>4563</v>
      </c>
      <c r="AG1141" t="s">
        <v>4564</v>
      </c>
      <c r="AH1141">
        <v>89502</v>
      </c>
      <c r="AI1141" t="s">
        <v>10141</v>
      </c>
      <c r="AJ1141" t="s">
        <v>10142</v>
      </c>
      <c r="AK1141" t="s">
        <v>10143</v>
      </c>
      <c r="AL1141" s="13" t="s">
        <v>2255</v>
      </c>
      <c r="AM1141">
        <v>1</v>
      </c>
      <c r="AN1141" s="15" t="s">
        <v>5278</v>
      </c>
    </row>
    <row r="1142" spans="1:40" x14ac:dyDescent="0.3">
      <c r="A1142" s="10" t="str">
        <f>HYPERLINK("http://www.washoecounty.gov/assessor/cama/?parid=013-392-09&amp;CardNumber=1","013-392-09")</f>
        <v>013-392-09</v>
      </c>
      <c r="B1142" t="s">
        <v>4655</v>
      </c>
      <c r="C1142" t="s">
        <v>10144</v>
      </c>
      <c r="D1142" s="1">
        <v>40354</v>
      </c>
      <c r="E1142" s="2">
        <v>100000</v>
      </c>
      <c r="F1142" t="s">
        <v>4567</v>
      </c>
      <c r="G1142" s="17" t="str">
        <f>HYPERLINK("https://www.washoecounty.gov/assessor/cama/?command=sales&amp;parid=01339209","3895562")</f>
        <v>3895562</v>
      </c>
      <c r="H1142" t="s">
        <v>5437</v>
      </c>
      <c r="I1142">
        <v>1955</v>
      </c>
      <c r="J1142">
        <v>1955</v>
      </c>
      <c r="K1142" t="s">
        <v>4554</v>
      </c>
      <c r="L1142" t="s">
        <v>4555</v>
      </c>
      <c r="M1142" s="2">
        <v>1436</v>
      </c>
      <c r="N1142" t="s">
        <v>4556</v>
      </c>
      <c r="O1142">
        <v>3</v>
      </c>
      <c r="P1142">
        <v>1</v>
      </c>
      <c r="Q1142">
        <v>0</v>
      </c>
      <c r="R1142" t="s">
        <v>4557</v>
      </c>
      <c r="S1142" t="s">
        <v>4135</v>
      </c>
      <c r="T1142" t="s">
        <v>4559</v>
      </c>
      <c r="U1142" t="s">
        <v>4560</v>
      </c>
      <c r="V1142" s="2">
        <v>414</v>
      </c>
      <c r="W1142" t="s">
        <v>4655</v>
      </c>
      <c r="X1142" s="2">
        <v>0</v>
      </c>
      <c r="Y1142">
        <v>20</v>
      </c>
      <c r="Z1142" t="s">
        <v>4561</v>
      </c>
      <c r="AA1142" s="3">
        <v>0.16499081254005399</v>
      </c>
      <c r="AB1142" t="s">
        <v>10145</v>
      </c>
      <c r="AC1142" t="s">
        <v>4562</v>
      </c>
      <c r="AD1142" t="s">
        <v>10144</v>
      </c>
      <c r="AE1142" t="s">
        <v>4655</v>
      </c>
      <c r="AF1142" t="s">
        <v>4563</v>
      </c>
      <c r="AG1142" t="s">
        <v>4564</v>
      </c>
      <c r="AH1142">
        <v>89502</v>
      </c>
      <c r="AI1142" t="s">
        <v>10146</v>
      </c>
      <c r="AJ1142" t="s">
        <v>10147</v>
      </c>
      <c r="AK1142" t="s">
        <v>10148</v>
      </c>
      <c r="AL1142" s="13" t="s">
        <v>2255</v>
      </c>
      <c r="AM1142" s="14">
        <v>1</v>
      </c>
      <c r="AN1142" s="15" t="s">
        <v>5278</v>
      </c>
    </row>
    <row r="1143" spans="1:40" x14ac:dyDescent="0.3">
      <c r="A1143" s="10" t="str">
        <f>HYPERLINK("http://www.washoecounty.gov/assessor/cama/?parid=013-392-18&amp;CardNumber=1","013-392-18")</f>
        <v>013-392-18</v>
      </c>
      <c r="B1143" t="s">
        <v>4655</v>
      </c>
      <c r="C1143" t="s">
        <v>10149</v>
      </c>
      <c r="D1143" s="1">
        <v>40403</v>
      </c>
      <c r="E1143" s="2">
        <v>85000</v>
      </c>
      <c r="F1143" t="s">
        <v>4567</v>
      </c>
      <c r="G1143" s="17" t="str">
        <f>HYPERLINK("https://www.washoecounty.gov/assessor/cama/?command=sales&amp;parid=01339218","3911801")</f>
        <v>3911801</v>
      </c>
      <c r="H1143" t="s">
        <v>10150</v>
      </c>
      <c r="I1143">
        <v>1955</v>
      </c>
      <c r="J1143">
        <v>1955</v>
      </c>
      <c r="K1143" t="s">
        <v>4554</v>
      </c>
      <c r="L1143" t="s">
        <v>4555</v>
      </c>
      <c r="M1143" s="2">
        <v>1040</v>
      </c>
      <c r="N1143" t="s">
        <v>4556</v>
      </c>
      <c r="O1143">
        <v>3</v>
      </c>
      <c r="P1143">
        <v>1</v>
      </c>
      <c r="Q1143">
        <v>0</v>
      </c>
      <c r="R1143" t="s">
        <v>4557</v>
      </c>
      <c r="S1143" t="s">
        <v>4574</v>
      </c>
      <c r="T1143" t="s">
        <v>4559</v>
      </c>
      <c r="U1143" t="s">
        <v>4560</v>
      </c>
      <c r="V1143" s="2">
        <v>414</v>
      </c>
      <c r="W1143" t="s">
        <v>4655</v>
      </c>
      <c r="X1143" s="2">
        <v>0</v>
      </c>
      <c r="Y1143">
        <v>20</v>
      </c>
      <c r="Z1143" t="s">
        <v>4561</v>
      </c>
      <c r="AA1143" s="3">
        <v>0.16499081254005399</v>
      </c>
      <c r="AB1143" t="s">
        <v>10151</v>
      </c>
      <c r="AC1143" t="s">
        <v>4562</v>
      </c>
      <c r="AD1143" t="s">
        <v>10149</v>
      </c>
      <c r="AE1143" t="s">
        <v>4655</v>
      </c>
      <c r="AF1143" t="s">
        <v>4563</v>
      </c>
      <c r="AG1143" t="s">
        <v>4564</v>
      </c>
      <c r="AH1143">
        <v>89502</v>
      </c>
      <c r="AI1143" t="s">
        <v>10152</v>
      </c>
      <c r="AJ1143" t="s">
        <v>10153</v>
      </c>
      <c r="AK1143" t="s">
        <v>10154</v>
      </c>
      <c r="AL1143" s="13" t="s">
        <v>2255</v>
      </c>
      <c r="AM1143">
        <v>1</v>
      </c>
      <c r="AN1143" s="15" t="s">
        <v>5278</v>
      </c>
    </row>
    <row r="1144" spans="1:40" x14ac:dyDescent="0.3">
      <c r="A1144" s="10" t="str">
        <f>HYPERLINK("http://www.washoecounty.gov/assessor/cama/?parid=013-392-19&amp;CardNumber=1","013-392-19")</f>
        <v>013-392-19</v>
      </c>
      <c r="B1144" t="s">
        <v>4655</v>
      </c>
      <c r="C1144" t="s">
        <v>10155</v>
      </c>
      <c r="D1144" s="1">
        <v>40506</v>
      </c>
      <c r="E1144" s="2">
        <v>108400</v>
      </c>
      <c r="F1144" t="s">
        <v>4553</v>
      </c>
      <c r="G1144" s="17" t="str">
        <f>HYPERLINK("https://www.washoecounty.gov/assessor/cama/?command=sales&amp;parid=01339219","3946809")</f>
        <v>3946809</v>
      </c>
      <c r="H1144" t="s">
        <v>5437</v>
      </c>
      <c r="I1144">
        <v>1955</v>
      </c>
      <c r="J1144">
        <v>1961</v>
      </c>
      <c r="K1144" t="s">
        <v>4554</v>
      </c>
      <c r="L1144" t="s">
        <v>4555</v>
      </c>
      <c r="M1144" s="2">
        <v>1436</v>
      </c>
      <c r="N1144" t="s">
        <v>4556</v>
      </c>
      <c r="O1144">
        <v>3</v>
      </c>
      <c r="P1144">
        <v>2</v>
      </c>
      <c r="Q1144">
        <v>0</v>
      </c>
      <c r="R1144" t="s">
        <v>4557</v>
      </c>
      <c r="S1144" t="s">
        <v>4574</v>
      </c>
      <c r="T1144" t="s">
        <v>4559</v>
      </c>
      <c r="U1144" t="s">
        <v>162</v>
      </c>
      <c r="V1144" s="2">
        <v>849</v>
      </c>
      <c r="W1144" t="s">
        <v>4655</v>
      </c>
      <c r="X1144" s="2">
        <v>0</v>
      </c>
      <c r="Y1144">
        <v>20</v>
      </c>
      <c r="Z1144" t="s">
        <v>4561</v>
      </c>
      <c r="AA1144" s="3">
        <v>0.16499081254005399</v>
      </c>
      <c r="AB1144" t="s">
        <v>10156</v>
      </c>
      <c r="AC1144" t="s">
        <v>4562</v>
      </c>
      <c r="AD1144" t="s">
        <v>10155</v>
      </c>
      <c r="AE1144" t="s">
        <v>4655</v>
      </c>
      <c r="AF1144" t="s">
        <v>4563</v>
      </c>
      <c r="AG1144" t="s">
        <v>4564</v>
      </c>
      <c r="AH1144">
        <v>89502</v>
      </c>
      <c r="AI1144" t="s">
        <v>4565</v>
      </c>
      <c r="AJ1144" t="s">
        <v>10157</v>
      </c>
      <c r="AK1144" t="s">
        <v>10158</v>
      </c>
      <c r="AL1144" s="13" t="s">
        <v>2255</v>
      </c>
      <c r="AM1144">
        <v>1</v>
      </c>
      <c r="AN1144" s="15" t="s">
        <v>5278</v>
      </c>
    </row>
    <row r="1145" spans="1:40" x14ac:dyDescent="0.3">
      <c r="A1145" s="10" t="str">
        <f>HYPERLINK("http://www.washoecounty.gov/assessor/cama/?parid=013-392-21&amp;CardNumber=1","013-392-21")</f>
        <v>013-392-21</v>
      </c>
      <c r="B1145" t="s">
        <v>4655</v>
      </c>
      <c r="C1145" t="s">
        <v>5188</v>
      </c>
      <c r="D1145" s="1">
        <v>40430</v>
      </c>
      <c r="E1145" s="2">
        <v>141343</v>
      </c>
      <c r="F1145" t="s">
        <v>4553</v>
      </c>
      <c r="G1145" s="17" t="str">
        <f>HYPERLINK("https://www.washoecounty.gov/assessor/cama/?command=sales&amp;parid=01339221","3920583")</f>
        <v>3920583</v>
      </c>
      <c r="H1145" t="s">
        <v>5437</v>
      </c>
      <c r="I1145">
        <v>1955</v>
      </c>
      <c r="J1145">
        <v>1958</v>
      </c>
      <c r="K1145" t="s">
        <v>4554</v>
      </c>
      <c r="L1145" t="s">
        <v>4555</v>
      </c>
      <c r="M1145" s="2">
        <v>1506</v>
      </c>
      <c r="N1145" t="s">
        <v>4556</v>
      </c>
      <c r="O1145">
        <v>3</v>
      </c>
      <c r="P1145">
        <v>1</v>
      </c>
      <c r="Q1145">
        <v>0</v>
      </c>
      <c r="R1145" t="s">
        <v>4557</v>
      </c>
      <c r="S1145" t="s">
        <v>4574</v>
      </c>
      <c r="T1145" t="s">
        <v>4559</v>
      </c>
      <c r="U1145" t="s">
        <v>4560</v>
      </c>
      <c r="V1145" s="2">
        <v>414</v>
      </c>
      <c r="W1145" t="s">
        <v>4655</v>
      </c>
      <c r="X1145" s="2">
        <v>0</v>
      </c>
      <c r="Y1145">
        <v>20</v>
      </c>
      <c r="Z1145" t="s">
        <v>4561</v>
      </c>
      <c r="AA1145" s="3">
        <v>0.16499081254005399</v>
      </c>
      <c r="AB1145" t="s">
        <v>4848</v>
      </c>
      <c r="AC1145" t="s">
        <v>4562</v>
      </c>
      <c r="AD1145" t="s">
        <v>10159</v>
      </c>
      <c r="AE1145" t="s">
        <v>4747</v>
      </c>
      <c r="AF1145" t="s">
        <v>4748</v>
      </c>
      <c r="AG1145" t="s">
        <v>4657</v>
      </c>
      <c r="AH1145" t="s">
        <v>4749</v>
      </c>
      <c r="AI1145" t="s">
        <v>514</v>
      </c>
      <c r="AJ1145" t="s">
        <v>4750</v>
      </c>
      <c r="AK1145" t="s">
        <v>4751</v>
      </c>
      <c r="AL1145" s="13" t="s">
        <v>2255</v>
      </c>
      <c r="AM1145">
        <v>1</v>
      </c>
      <c r="AN1145" s="15" t="s">
        <v>5278</v>
      </c>
    </row>
    <row r="1146" spans="1:40" x14ac:dyDescent="0.3">
      <c r="A1146" s="10" t="str">
        <f>HYPERLINK("http://www.washoecounty.gov/assessor/cama/?parid=013-392-24&amp;CardNumber=1","013-392-24")</f>
        <v>013-392-24</v>
      </c>
      <c r="B1146" t="s">
        <v>4655</v>
      </c>
      <c r="C1146" t="s">
        <v>10160</v>
      </c>
      <c r="D1146" s="1">
        <v>40485</v>
      </c>
      <c r="E1146" s="2">
        <v>95000</v>
      </c>
      <c r="F1146" t="s">
        <v>4567</v>
      </c>
      <c r="G1146" s="17" t="str">
        <f>HYPERLINK("https://www.washoecounty.gov/assessor/cama/?command=sales&amp;parid=01339224","3939534")</f>
        <v>3939534</v>
      </c>
      <c r="H1146" t="s">
        <v>5525</v>
      </c>
      <c r="I1146">
        <v>1953</v>
      </c>
      <c r="J1146">
        <v>1953</v>
      </c>
      <c r="K1146" t="s">
        <v>4554</v>
      </c>
      <c r="L1146" t="s">
        <v>4555</v>
      </c>
      <c r="M1146" s="2">
        <v>984</v>
      </c>
      <c r="N1146" t="s">
        <v>4556</v>
      </c>
      <c r="O1146">
        <v>3</v>
      </c>
      <c r="P1146">
        <v>1</v>
      </c>
      <c r="Q1146">
        <v>0</v>
      </c>
      <c r="R1146" t="s">
        <v>4134</v>
      </c>
      <c r="S1146" t="s">
        <v>4574</v>
      </c>
      <c r="T1146" t="s">
        <v>4559</v>
      </c>
      <c r="U1146" t="s">
        <v>4560</v>
      </c>
      <c r="V1146" s="2">
        <v>312</v>
      </c>
      <c r="W1146" t="s">
        <v>4655</v>
      </c>
      <c r="X1146" s="2">
        <v>0</v>
      </c>
      <c r="Y1146">
        <v>20</v>
      </c>
      <c r="Z1146" t="s">
        <v>4561</v>
      </c>
      <c r="AA1146" s="3">
        <v>0.167011022567749</v>
      </c>
      <c r="AB1146" t="s">
        <v>10161</v>
      </c>
      <c r="AC1146" t="s">
        <v>4562</v>
      </c>
      <c r="AD1146" t="s">
        <v>10160</v>
      </c>
      <c r="AE1146" t="s">
        <v>4655</v>
      </c>
      <c r="AF1146" t="s">
        <v>4563</v>
      </c>
      <c r="AG1146" t="s">
        <v>4564</v>
      </c>
      <c r="AH1146">
        <v>89502</v>
      </c>
      <c r="AI1146" t="s">
        <v>10162</v>
      </c>
      <c r="AJ1146" t="s">
        <v>10163</v>
      </c>
      <c r="AK1146" t="s">
        <v>10164</v>
      </c>
      <c r="AL1146" s="13" t="s">
        <v>2255</v>
      </c>
      <c r="AM1146" s="14">
        <v>1</v>
      </c>
      <c r="AN1146" s="15" t="s">
        <v>5278</v>
      </c>
    </row>
    <row r="1147" spans="1:40" x14ac:dyDescent="0.3">
      <c r="A1147" s="10" t="str">
        <f>HYPERLINK("http://www.washoecounty.gov/assessor/cama/?parid=013-393-04&amp;CardNumber=1","013-393-04")</f>
        <v>013-393-04</v>
      </c>
      <c r="B1147" t="s">
        <v>4655</v>
      </c>
      <c r="C1147" t="s">
        <v>10165</v>
      </c>
      <c r="D1147" s="1">
        <v>40424</v>
      </c>
      <c r="E1147" s="2">
        <v>85000</v>
      </c>
      <c r="F1147" t="s">
        <v>4553</v>
      </c>
      <c r="G1147" s="17" t="str">
        <f>HYPERLINK("https://www.washoecounty.gov/assessor/cama/?command=sales&amp;parid=01339304","3919041")</f>
        <v>3919041</v>
      </c>
      <c r="H1147" t="s">
        <v>105</v>
      </c>
      <c r="I1147">
        <v>1955</v>
      </c>
      <c r="J1147">
        <v>1955</v>
      </c>
      <c r="K1147" t="s">
        <v>4554</v>
      </c>
      <c r="L1147" t="s">
        <v>4555</v>
      </c>
      <c r="M1147" s="2">
        <v>1040</v>
      </c>
      <c r="N1147" t="s">
        <v>4556</v>
      </c>
      <c r="O1147">
        <v>3</v>
      </c>
      <c r="P1147">
        <v>1</v>
      </c>
      <c r="Q1147">
        <v>0</v>
      </c>
      <c r="R1147" t="s">
        <v>4557</v>
      </c>
      <c r="S1147" t="s">
        <v>4135</v>
      </c>
      <c r="T1147" t="s">
        <v>4559</v>
      </c>
      <c r="U1147" t="s">
        <v>4560</v>
      </c>
      <c r="V1147" s="2">
        <v>414</v>
      </c>
      <c r="W1147" t="s">
        <v>4655</v>
      </c>
      <c r="X1147" s="2">
        <v>0</v>
      </c>
      <c r="Y1147">
        <v>20</v>
      </c>
      <c r="Z1147" t="s">
        <v>4561</v>
      </c>
      <c r="AA1147" s="3">
        <v>0.16200642287731201</v>
      </c>
      <c r="AB1147" t="s">
        <v>10166</v>
      </c>
      <c r="AC1147" t="s">
        <v>4575</v>
      </c>
      <c r="AD1147" t="s">
        <v>10167</v>
      </c>
      <c r="AE1147" t="s">
        <v>10168</v>
      </c>
      <c r="AF1147" t="s">
        <v>4563</v>
      </c>
      <c r="AG1147" t="s">
        <v>4564</v>
      </c>
      <c r="AH1147">
        <v>89502</v>
      </c>
      <c r="AI1147" t="s">
        <v>4848</v>
      </c>
      <c r="AJ1147" t="s">
        <v>10169</v>
      </c>
      <c r="AK1147" t="s">
        <v>10170</v>
      </c>
      <c r="AL1147" s="13" t="s">
        <v>2255</v>
      </c>
      <c r="AM1147">
        <v>1</v>
      </c>
      <c r="AN1147" s="15" t="s">
        <v>5278</v>
      </c>
    </row>
    <row r="1148" spans="1:40" x14ac:dyDescent="0.3">
      <c r="A1148" s="10" t="str">
        <f>HYPERLINK("http://www.washoecounty.gov/assessor/cama/?parid=013-393-06&amp;CardNumber=1","013-393-06")</f>
        <v>013-393-06</v>
      </c>
      <c r="B1148" t="s">
        <v>4655</v>
      </c>
      <c r="C1148" t="s">
        <v>10171</v>
      </c>
      <c r="D1148" s="1">
        <v>40435</v>
      </c>
      <c r="E1148" s="2">
        <v>70000</v>
      </c>
      <c r="F1148" t="s">
        <v>4553</v>
      </c>
      <c r="G1148" s="17" t="str">
        <f>HYPERLINK("https://www.washoecounty.gov/assessor/cama/?command=sales&amp;parid=01339306","3922030")</f>
        <v>3922030</v>
      </c>
      <c r="H1148" t="s">
        <v>5437</v>
      </c>
      <c r="I1148">
        <v>1955</v>
      </c>
      <c r="J1148">
        <v>1955</v>
      </c>
      <c r="K1148" t="s">
        <v>4554</v>
      </c>
      <c r="L1148" t="s">
        <v>4555</v>
      </c>
      <c r="M1148" s="2">
        <v>1040</v>
      </c>
      <c r="N1148" t="s">
        <v>4556</v>
      </c>
      <c r="O1148">
        <v>3</v>
      </c>
      <c r="P1148">
        <v>1</v>
      </c>
      <c r="Q1148">
        <v>0</v>
      </c>
      <c r="R1148" t="s">
        <v>4557</v>
      </c>
      <c r="S1148" t="s">
        <v>4135</v>
      </c>
      <c r="T1148" t="s">
        <v>4143</v>
      </c>
      <c r="U1148" t="s">
        <v>4560</v>
      </c>
      <c r="V1148" s="2">
        <v>414</v>
      </c>
      <c r="W1148" t="s">
        <v>4655</v>
      </c>
      <c r="X1148" s="2">
        <v>0</v>
      </c>
      <c r="Y1148">
        <v>20</v>
      </c>
      <c r="Z1148" t="s">
        <v>4561</v>
      </c>
      <c r="AA1148" s="3">
        <v>0.16499081254005399</v>
      </c>
      <c r="AB1148" t="s">
        <v>10172</v>
      </c>
      <c r="AC1148" t="s">
        <v>4575</v>
      </c>
      <c r="AD1148" t="s">
        <v>10173</v>
      </c>
      <c r="AE1148" t="s">
        <v>10171</v>
      </c>
      <c r="AF1148" t="s">
        <v>4563</v>
      </c>
      <c r="AG1148" t="s">
        <v>4564</v>
      </c>
      <c r="AH1148">
        <v>89502</v>
      </c>
      <c r="AI1148" t="s">
        <v>2351</v>
      </c>
      <c r="AJ1148" t="s">
        <v>10174</v>
      </c>
      <c r="AK1148" t="s">
        <v>10175</v>
      </c>
      <c r="AL1148" s="13" t="s">
        <v>2255</v>
      </c>
      <c r="AM1148">
        <v>1</v>
      </c>
      <c r="AN1148" s="15" t="s">
        <v>5278</v>
      </c>
    </row>
    <row r="1149" spans="1:40" x14ac:dyDescent="0.3">
      <c r="A1149" s="10" t="str">
        <f>HYPERLINK("http://www.washoecounty.gov/assessor/cama/?parid=013-412-12&amp;CardNumber=1","013-412-12")</f>
        <v>013-412-12</v>
      </c>
      <c r="B1149" t="s">
        <v>4655</v>
      </c>
      <c r="C1149" t="s">
        <v>10176</v>
      </c>
      <c r="D1149" s="1">
        <v>40477</v>
      </c>
      <c r="E1149" s="2">
        <v>96000</v>
      </c>
      <c r="F1149" t="s">
        <v>4553</v>
      </c>
      <c r="G1149" s="17" t="str">
        <f>HYPERLINK("https://www.washoecounty.gov/assessor/cama/?command=sales&amp;parid=01341212","3936540")</f>
        <v>3936540</v>
      </c>
      <c r="H1149" t="s">
        <v>4088</v>
      </c>
      <c r="I1149">
        <v>1954</v>
      </c>
      <c r="J1149">
        <v>1954</v>
      </c>
      <c r="K1149" t="s">
        <v>3043</v>
      </c>
      <c r="L1149" t="s">
        <v>4555</v>
      </c>
      <c r="M1149" s="2">
        <v>1728</v>
      </c>
      <c r="N1149" t="s">
        <v>4556</v>
      </c>
      <c r="O1149">
        <v>4</v>
      </c>
      <c r="P1149">
        <v>4</v>
      </c>
      <c r="Q1149">
        <v>0</v>
      </c>
      <c r="R1149" t="s">
        <v>4134</v>
      </c>
      <c r="S1149" t="s">
        <v>4682</v>
      </c>
      <c r="T1149" t="s">
        <v>4143</v>
      </c>
      <c r="U1149" t="s">
        <v>4655</v>
      </c>
      <c r="V1149" s="2">
        <v>0</v>
      </c>
      <c r="W1149" t="s">
        <v>4655</v>
      </c>
      <c r="X1149" s="2">
        <v>0</v>
      </c>
      <c r="Y1149">
        <v>32</v>
      </c>
      <c r="Z1149" t="s">
        <v>2705</v>
      </c>
      <c r="AA1149" s="3">
        <v>0.146992653608322</v>
      </c>
      <c r="AB1149" t="s">
        <v>10177</v>
      </c>
      <c r="AC1149" t="s">
        <v>4562</v>
      </c>
      <c r="AD1149" t="s">
        <v>10178</v>
      </c>
      <c r="AE1149" t="s">
        <v>4655</v>
      </c>
      <c r="AF1149" t="s">
        <v>4563</v>
      </c>
      <c r="AG1149" t="s">
        <v>4564</v>
      </c>
      <c r="AH1149">
        <v>89511</v>
      </c>
      <c r="AI1149" t="s">
        <v>4565</v>
      </c>
      <c r="AJ1149" t="s">
        <v>10179</v>
      </c>
      <c r="AK1149" t="s">
        <v>4071</v>
      </c>
      <c r="AL1149" s="13" t="s">
        <v>2257</v>
      </c>
      <c r="AM1149">
        <v>4</v>
      </c>
      <c r="AN1149" s="15" t="s">
        <v>3172</v>
      </c>
    </row>
    <row r="1150" spans="1:40" x14ac:dyDescent="0.3">
      <c r="A1150" s="10" t="str">
        <f>HYPERLINK("http://www.washoecounty.gov/assessor/cama/?parid=013-412-19&amp;CardNumber=1","013-412-19")</f>
        <v>013-412-19</v>
      </c>
      <c r="B1150" t="s">
        <v>4655</v>
      </c>
      <c r="C1150" t="s">
        <v>10180</v>
      </c>
      <c r="D1150" s="1">
        <v>40421</v>
      </c>
      <c r="E1150" s="2">
        <v>55000</v>
      </c>
      <c r="F1150" t="s">
        <v>4553</v>
      </c>
      <c r="G1150" s="17" t="str">
        <f>HYPERLINK("https://www.washoecounty.gov/assessor/cama/?command=sales&amp;parid=01341219","3917169")</f>
        <v>3917169</v>
      </c>
      <c r="H1150" t="s">
        <v>2315</v>
      </c>
      <c r="I1150">
        <v>1945</v>
      </c>
      <c r="J1150">
        <v>1945</v>
      </c>
      <c r="K1150" t="s">
        <v>4554</v>
      </c>
      <c r="L1150" t="s">
        <v>4555</v>
      </c>
      <c r="M1150" s="2">
        <v>720</v>
      </c>
      <c r="N1150" t="s">
        <v>4133</v>
      </c>
      <c r="O1150">
        <v>2</v>
      </c>
      <c r="P1150">
        <v>1</v>
      </c>
      <c r="Q1150">
        <v>0</v>
      </c>
      <c r="R1150" t="s">
        <v>4557</v>
      </c>
      <c r="S1150" t="s">
        <v>4570</v>
      </c>
      <c r="T1150" t="s">
        <v>4559</v>
      </c>
      <c r="U1150" t="s">
        <v>4655</v>
      </c>
      <c r="V1150" s="2">
        <v>0</v>
      </c>
      <c r="W1150" t="s">
        <v>4655</v>
      </c>
      <c r="X1150" s="2">
        <v>0</v>
      </c>
      <c r="Y1150">
        <v>20</v>
      </c>
      <c r="Z1150" t="s">
        <v>2705</v>
      </c>
      <c r="AA1150" s="3">
        <v>0.20399449765682201</v>
      </c>
      <c r="AB1150" t="s">
        <v>10181</v>
      </c>
      <c r="AC1150" t="s">
        <v>4562</v>
      </c>
      <c r="AD1150" t="s">
        <v>10182</v>
      </c>
      <c r="AE1150" t="s">
        <v>4655</v>
      </c>
      <c r="AF1150" t="s">
        <v>4563</v>
      </c>
      <c r="AG1150" t="s">
        <v>4564</v>
      </c>
      <c r="AH1150">
        <v>89511</v>
      </c>
      <c r="AI1150" t="s">
        <v>4903</v>
      </c>
      <c r="AJ1150" t="s">
        <v>10183</v>
      </c>
      <c r="AK1150" t="s">
        <v>10184</v>
      </c>
      <c r="AL1150" s="13" t="s">
        <v>2257</v>
      </c>
      <c r="AM1150">
        <v>1</v>
      </c>
      <c r="AN1150" s="15" t="s">
        <v>5278</v>
      </c>
    </row>
    <row r="1151" spans="1:40" x14ac:dyDescent="0.3">
      <c r="A1151" s="10" t="str">
        <f>HYPERLINK("http://www.washoecounty.gov/assessor/cama/?parid=013-413-01&amp;CardNumber=1","013-413-01")</f>
        <v>013-413-01</v>
      </c>
      <c r="B1151" t="s">
        <v>5502</v>
      </c>
      <c r="C1151" t="s">
        <v>10185</v>
      </c>
      <c r="D1151" s="1">
        <v>40350</v>
      </c>
      <c r="E1151" s="2">
        <v>100000</v>
      </c>
      <c r="F1151" t="s">
        <v>4553</v>
      </c>
      <c r="G1151" s="17" t="str">
        <f>HYPERLINK("https://www.washoecounty.gov/assessor/cama/?command=sales&amp;parid=01341301","3893601")</f>
        <v>3893601</v>
      </c>
      <c r="H1151" t="s">
        <v>4475</v>
      </c>
      <c r="I1151">
        <v>1920</v>
      </c>
      <c r="J1151">
        <v>1920</v>
      </c>
      <c r="K1151" t="s">
        <v>4554</v>
      </c>
      <c r="L1151" t="s">
        <v>4555</v>
      </c>
      <c r="M1151" s="2">
        <v>712</v>
      </c>
      <c r="N1151" t="s">
        <v>4672</v>
      </c>
      <c r="O1151">
        <v>2</v>
      </c>
      <c r="P1151">
        <v>1</v>
      </c>
      <c r="Q1151">
        <v>0</v>
      </c>
      <c r="R1151" t="s">
        <v>1800</v>
      </c>
      <c r="S1151" t="s">
        <v>3148</v>
      </c>
      <c r="T1151" t="s">
        <v>4559</v>
      </c>
      <c r="U1151" t="s">
        <v>4655</v>
      </c>
      <c r="V1151" s="2">
        <v>0</v>
      </c>
      <c r="W1151" t="s">
        <v>4655</v>
      </c>
      <c r="X1151" s="2">
        <v>0</v>
      </c>
      <c r="Y1151">
        <v>31</v>
      </c>
      <c r="Z1151" t="s">
        <v>2705</v>
      </c>
      <c r="AA1151" s="3">
        <v>0.114990815520287</v>
      </c>
      <c r="AB1151" t="s">
        <v>10186</v>
      </c>
      <c r="AC1151" t="s">
        <v>4562</v>
      </c>
      <c r="AD1151" t="s">
        <v>10187</v>
      </c>
      <c r="AE1151" t="s">
        <v>4655</v>
      </c>
      <c r="AF1151" t="s">
        <v>4433</v>
      </c>
      <c r="AG1151" t="s">
        <v>4584</v>
      </c>
      <c r="AH1151" t="s">
        <v>4434</v>
      </c>
      <c r="AI1151" t="s">
        <v>4565</v>
      </c>
      <c r="AJ1151" t="s">
        <v>10188</v>
      </c>
      <c r="AK1151" t="s">
        <v>10189</v>
      </c>
      <c r="AL1151" s="13" t="s">
        <v>2255</v>
      </c>
      <c r="AM1151">
        <v>2</v>
      </c>
      <c r="AN1151" s="15" t="s">
        <v>3172</v>
      </c>
    </row>
    <row r="1152" spans="1:40" x14ac:dyDescent="0.3">
      <c r="A1152" s="10" t="str">
        <f>HYPERLINK("http://www.washoecounty.gov/assessor/cama/?parid=013-421-25&amp;CardNumber=1","013-421-25")</f>
        <v>013-421-25</v>
      </c>
      <c r="B1152" t="s">
        <v>4655</v>
      </c>
      <c r="C1152" t="s">
        <v>1709</v>
      </c>
      <c r="D1152" s="1">
        <v>40375</v>
      </c>
      <c r="E1152" s="2">
        <v>63180</v>
      </c>
      <c r="F1152" t="s">
        <v>4553</v>
      </c>
      <c r="G1152" s="17" t="str">
        <f>HYPERLINK("https://www.washoecounty.gov/assessor/cama/?command=sales&amp;parid=01342125","3902058")</f>
        <v>3902058</v>
      </c>
      <c r="H1152" t="s">
        <v>1710</v>
      </c>
      <c r="I1152">
        <v>1953</v>
      </c>
      <c r="J1152">
        <v>1953</v>
      </c>
      <c r="K1152" t="s">
        <v>4554</v>
      </c>
      <c r="L1152" t="s">
        <v>4555</v>
      </c>
      <c r="M1152" s="2">
        <v>898</v>
      </c>
      <c r="N1152" t="s">
        <v>4556</v>
      </c>
      <c r="O1152">
        <v>2</v>
      </c>
      <c r="P1152">
        <v>1</v>
      </c>
      <c r="Q1152">
        <v>0</v>
      </c>
      <c r="R1152" t="s">
        <v>1800</v>
      </c>
      <c r="S1152" t="s">
        <v>4574</v>
      </c>
      <c r="T1152" t="s">
        <v>4143</v>
      </c>
      <c r="U1152" t="s">
        <v>4560</v>
      </c>
      <c r="V1152" s="2">
        <v>414</v>
      </c>
      <c r="W1152" t="s">
        <v>4655</v>
      </c>
      <c r="X1152" s="2">
        <v>0</v>
      </c>
      <c r="Y1152">
        <v>20</v>
      </c>
      <c r="Z1152" t="s">
        <v>4561</v>
      </c>
      <c r="AA1152" s="3">
        <v>0.18799357116222401</v>
      </c>
      <c r="AB1152" t="s">
        <v>10190</v>
      </c>
      <c r="AC1152" t="s">
        <v>4575</v>
      </c>
      <c r="AD1152" t="s">
        <v>10191</v>
      </c>
      <c r="AE1152" t="s">
        <v>4655</v>
      </c>
      <c r="AF1152" t="s">
        <v>4563</v>
      </c>
      <c r="AG1152" t="s">
        <v>4564</v>
      </c>
      <c r="AH1152">
        <v>89509</v>
      </c>
      <c r="AI1152" t="s">
        <v>4848</v>
      </c>
      <c r="AJ1152" t="s">
        <v>1711</v>
      </c>
      <c r="AK1152" t="s">
        <v>1270</v>
      </c>
      <c r="AL1152" s="13" t="s">
        <v>2255</v>
      </c>
      <c r="AM1152">
        <v>1</v>
      </c>
      <c r="AN1152" s="15" t="s">
        <v>5278</v>
      </c>
    </row>
    <row r="1153" spans="1:40" x14ac:dyDescent="0.3">
      <c r="A1153" s="10" t="str">
        <f>HYPERLINK("http://www.washoecounty.gov/assessor/cama/?parid=013-421-27&amp;CardNumber=1","013-421-27")</f>
        <v>013-421-27</v>
      </c>
      <c r="B1153" t="s">
        <v>4655</v>
      </c>
      <c r="C1153" t="s">
        <v>10192</v>
      </c>
      <c r="D1153" s="1">
        <v>40393</v>
      </c>
      <c r="E1153" s="2">
        <v>80000</v>
      </c>
      <c r="F1153" t="s">
        <v>4567</v>
      </c>
      <c r="G1153" s="17" t="str">
        <f>HYPERLINK("https://www.washoecounty.gov/assessor/cama/?command=sales&amp;parid=01342127","3908170")</f>
        <v>3908170</v>
      </c>
      <c r="H1153" t="s">
        <v>1710</v>
      </c>
      <c r="I1153">
        <v>1950</v>
      </c>
      <c r="J1153">
        <v>1950</v>
      </c>
      <c r="K1153" t="s">
        <v>4554</v>
      </c>
      <c r="L1153" t="s">
        <v>4555</v>
      </c>
      <c r="M1153" s="2">
        <v>782</v>
      </c>
      <c r="N1153" t="s">
        <v>4556</v>
      </c>
      <c r="O1153">
        <v>2</v>
      </c>
      <c r="P1153">
        <v>1</v>
      </c>
      <c r="Q1153">
        <v>0</v>
      </c>
      <c r="R1153" t="s">
        <v>4557</v>
      </c>
      <c r="S1153" t="s">
        <v>3148</v>
      </c>
      <c r="T1153" t="s">
        <v>4559</v>
      </c>
      <c r="U1153" t="s">
        <v>4655</v>
      </c>
      <c r="V1153" s="2">
        <v>0</v>
      </c>
      <c r="W1153" t="s">
        <v>4655</v>
      </c>
      <c r="X1153" s="2">
        <v>0</v>
      </c>
      <c r="Y1153">
        <v>20</v>
      </c>
      <c r="Z1153" t="s">
        <v>4561</v>
      </c>
      <c r="AA1153" s="3">
        <v>0.18799357116222401</v>
      </c>
      <c r="AB1153" t="s">
        <v>10193</v>
      </c>
      <c r="AC1153" t="s">
        <v>4562</v>
      </c>
      <c r="AD1153" t="s">
        <v>10192</v>
      </c>
      <c r="AE1153" t="s">
        <v>4655</v>
      </c>
      <c r="AF1153" t="s">
        <v>4563</v>
      </c>
      <c r="AG1153" t="s">
        <v>4564</v>
      </c>
      <c r="AH1153">
        <v>89502</v>
      </c>
      <c r="AI1153" t="s">
        <v>4655</v>
      </c>
      <c r="AJ1153" t="s">
        <v>10194</v>
      </c>
      <c r="AK1153" t="s">
        <v>10195</v>
      </c>
      <c r="AL1153" s="13" t="s">
        <v>2255</v>
      </c>
      <c r="AM1153">
        <v>1</v>
      </c>
      <c r="AN1153" s="15" t="s">
        <v>5278</v>
      </c>
    </row>
    <row r="1154" spans="1:40" x14ac:dyDescent="0.3">
      <c r="A1154" s="10" t="str">
        <f>HYPERLINK("http://www.washoecounty.gov/assessor/cama/?parid=013-421-30&amp;CardNumber=1","013-421-30")</f>
        <v>013-421-30</v>
      </c>
      <c r="B1154" t="s">
        <v>4655</v>
      </c>
      <c r="C1154" t="s">
        <v>10196</v>
      </c>
      <c r="D1154" s="1">
        <v>40381</v>
      </c>
      <c r="E1154" s="2">
        <v>68000</v>
      </c>
      <c r="F1154" t="s">
        <v>4553</v>
      </c>
      <c r="G1154" s="17" t="str">
        <f>HYPERLINK("https://www.washoecounty.gov/assessor/cama/?command=sales&amp;parid=01342130","3903727")</f>
        <v>3903727</v>
      </c>
      <c r="H1154" t="s">
        <v>1710</v>
      </c>
      <c r="I1154">
        <v>1950</v>
      </c>
      <c r="J1154">
        <v>1950</v>
      </c>
      <c r="K1154" t="s">
        <v>4554</v>
      </c>
      <c r="L1154" t="s">
        <v>4555</v>
      </c>
      <c r="M1154" s="2">
        <v>966</v>
      </c>
      <c r="N1154" t="s">
        <v>4556</v>
      </c>
      <c r="O1154">
        <v>2</v>
      </c>
      <c r="P1154">
        <v>1</v>
      </c>
      <c r="Q1154">
        <v>0</v>
      </c>
      <c r="R1154" t="s">
        <v>4557</v>
      </c>
      <c r="S1154" t="s">
        <v>4574</v>
      </c>
      <c r="T1154" t="s">
        <v>4559</v>
      </c>
      <c r="U1154" t="s">
        <v>4655</v>
      </c>
      <c r="V1154" s="2">
        <v>0</v>
      </c>
      <c r="W1154" t="s">
        <v>4655</v>
      </c>
      <c r="X1154" s="2">
        <v>0</v>
      </c>
      <c r="Y1154">
        <v>20</v>
      </c>
      <c r="Z1154" t="s">
        <v>4561</v>
      </c>
      <c r="AA1154" s="3">
        <v>0.15899908542633101</v>
      </c>
      <c r="AB1154" t="s">
        <v>1506</v>
      </c>
      <c r="AC1154" t="s">
        <v>4562</v>
      </c>
      <c r="AD1154" t="s">
        <v>1912</v>
      </c>
      <c r="AE1154" t="s">
        <v>4655</v>
      </c>
      <c r="AF1154" t="s">
        <v>4563</v>
      </c>
      <c r="AG1154" t="s">
        <v>4564</v>
      </c>
      <c r="AH1154">
        <v>89511</v>
      </c>
      <c r="AI1154" t="s">
        <v>4565</v>
      </c>
      <c r="AJ1154" t="s">
        <v>10197</v>
      </c>
      <c r="AK1154" t="s">
        <v>10198</v>
      </c>
      <c r="AL1154" s="13" t="s">
        <v>2255</v>
      </c>
      <c r="AM1154" s="14">
        <v>1</v>
      </c>
      <c r="AN1154" s="15" t="s">
        <v>5278</v>
      </c>
    </row>
    <row r="1155" spans="1:40" x14ac:dyDescent="0.3">
      <c r="A1155" s="10" t="str">
        <f>HYPERLINK("http://www.washoecounty.gov/assessor/cama/?parid=013-431-18&amp;CardNumber=1","013-431-18")</f>
        <v>013-431-18</v>
      </c>
      <c r="B1155" t="s">
        <v>4655</v>
      </c>
      <c r="C1155" t="s">
        <v>10199</v>
      </c>
      <c r="D1155" s="1">
        <v>40261</v>
      </c>
      <c r="E1155" s="2">
        <v>121000</v>
      </c>
      <c r="F1155" t="s">
        <v>4567</v>
      </c>
      <c r="G1155" s="17" t="str">
        <f>HYPERLINK("https://www.washoecounty.gov/assessor/cama/?command=sales&amp;parid=01343118","3863560")</f>
        <v>3863560</v>
      </c>
      <c r="H1155" t="s">
        <v>5437</v>
      </c>
      <c r="I1155">
        <v>1955</v>
      </c>
      <c r="J1155">
        <v>1955</v>
      </c>
      <c r="K1155" t="s">
        <v>4554</v>
      </c>
      <c r="L1155" t="s">
        <v>4555</v>
      </c>
      <c r="M1155" s="2">
        <v>1040</v>
      </c>
      <c r="N1155" t="s">
        <v>4556</v>
      </c>
      <c r="O1155">
        <v>3</v>
      </c>
      <c r="P1155">
        <v>1</v>
      </c>
      <c r="Q1155">
        <v>0</v>
      </c>
      <c r="R1155" t="s">
        <v>4557</v>
      </c>
      <c r="S1155" t="s">
        <v>4135</v>
      </c>
      <c r="T1155" t="s">
        <v>4559</v>
      </c>
      <c r="U1155" t="s">
        <v>4655</v>
      </c>
      <c r="V1155" s="2">
        <v>0</v>
      </c>
      <c r="W1155" t="s">
        <v>4655</v>
      </c>
      <c r="X1155" s="2">
        <v>0</v>
      </c>
      <c r="Y1155">
        <v>20</v>
      </c>
      <c r="Z1155" t="s">
        <v>4561</v>
      </c>
      <c r="AA1155" s="3">
        <v>0.16499081254005399</v>
      </c>
      <c r="AB1155" t="s">
        <v>10200</v>
      </c>
      <c r="AC1155" t="s">
        <v>4562</v>
      </c>
      <c r="AD1155" t="s">
        <v>10199</v>
      </c>
      <c r="AE1155" t="s">
        <v>4655</v>
      </c>
      <c r="AF1155" t="s">
        <v>4563</v>
      </c>
      <c r="AG1155" t="s">
        <v>4564</v>
      </c>
      <c r="AH1155">
        <v>89502</v>
      </c>
      <c r="AI1155" t="s">
        <v>10201</v>
      </c>
      <c r="AJ1155" t="s">
        <v>10202</v>
      </c>
      <c r="AK1155" t="s">
        <v>10203</v>
      </c>
      <c r="AL1155" s="13" t="s">
        <v>2255</v>
      </c>
      <c r="AM1155" s="14">
        <v>1</v>
      </c>
      <c r="AN1155" s="15" t="s">
        <v>5278</v>
      </c>
    </row>
    <row r="1156" spans="1:40" x14ac:dyDescent="0.3">
      <c r="A1156" s="10" t="str">
        <f>HYPERLINK("http://www.washoecounty.gov/assessor/cama/?parid=013-431-28&amp;CardNumber=1","013-431-28")</f>
        <v>013-431-28</v>
      </c>
      <c r="B1156" t="s">
        <v>4655</v>
      </c>
      <c r="C1156" t="s">
        <v>10204</v>
      </c>
      <c r="D1156" s="1">
        <v>40492</v>
      </c>
      <c r="E1156" s="2">
        <v>78000</v>
      </c>
      <c r="F1156" t="s">
        <v>4567</v>
      </c>
      <c r="G1156" s="17" t="str">
        <f>HYPERLINK("https://www.washoecounty.gov/assessor/cama/?command=sales&amp;parid=01343128","3941983")</f>
        <v>3941983</v>
      </c>
      <c r="H1156" t="s">
        <v>5437</v>
      </c>
      <c r="I1156">
        <v>1955</v>
      </c>
      <c r="J1156">
        <v>1955</v>
      </c>
      <c r="K1156" t="s">
        <v>4554</v>
      </c>
      <c r="L1156" t="s">
        <v>4555</v>
      </c>
      <c r="M1156" s="2">
        <v>1040</v>
      </c>
      <c r="N1156" t="s">
        <v>4556</v>
      </c>
      <c r="O1156">
        <v>3</v>
      </c>
      <c r="P1156">
        <v>1</v>
      </c>
      <c r="Q1156">
        <v>0</v>
      </c>
      <c r="R1156" t="s">
        <v>4557</v>
      </c>
      <c r="S1156" t="s">
        <v>4574</v>
      </c>
      <c r="T1156" t="s">
        <v>4143</v>
      </c>
      <c r="U1156" t="s">
        <v>4560</v>
      </c>
      <c r="V1156" s="2">
        <v>414</v>
      </c>
      <c r="W1156" t="s">
        <v>4655</v>
      </c>
      <c r="X1156" s="2">
        <v>0</v>
      </c>
      <c r="Y1156">
        <v>20</v>
      </c>
      <c r="Z1156" t="s">
        <v>4561</v>
      </c>
      <c r="AA1156" s="3">
        <v>0.16499081254005399</v>
      </c>
      <c r="AB1156" t="s">
        <v>10205</v>
      </c>
      <c r="AC1156" t="s">
        <v>4562</v>
      </c>
      <c r="AD1156" t="s">
        <v>10206</v>
      </c>
      <c r="AE1156" t="s">
        <v>4655</v>
      </c>
      <c r="AF1156" t="s">
        <v>4563</v>
      </c>
      <c r="AG1156" t="s">
        <v>4564</v>
      </c>
      <c r="AH1156" t="s">
        <v>1147</v>
      </c>
      <c r="AI1156" t="s">
        <v>10207</v>
      </c>
      <c r="AJ1156" t="s">
        <v>10208</v>
      </c>
      <c r="AK1156" t="s">
        <v>10209</v>
      </c>
      <c r="AL1156" s="13" t="s">
        <v>2255</v>
      </c>
      <c r="AM1156">
        <v>1</v>
      </c>
      <c r="AN1156" s="15" t="s">
        <v>5278</v>
      </c>
    </row>
    <row r="1157" spans="1:40" x14ac:dyDescent="0.3">
      <c r="A1157" s="10" t="str">
        <f>HYPERLINK("http://www.washoecounty.gov/assessor/cama/?parid=013-432-11&amp;CardNumber=1","013-432-11")</f>
        <v>013-432-11</v>
      </c>
      <c r="B1157" t="s">
        <v>4655</v>
      </c>
      <c r="C1157" t="s">
        <v>10210</v>
      </c>
      <c r="D1157" s="1">
        <v>40437</v>
      </c>
      <c r="E1157" s="2">
        <v>84900</v>
      </c>
      <c r="F1157" t="s">
        <v>4553</v>
      </c>
      <c r="G1157" s="17" t="str">
        <f>HYPERLINK("https://www.washoecounty.gov/assessor/cama/?command=sales&amp;parid=01343211","3923045")</f>
        <v>3923045</v>
      </c>
      <c r="H1157" t="s">
        <v>5437</v>
      </c>
      <c r="I1157">
        <v>1954</v>
      </c>
      <c r="J1157">
        <v>1954</v>
      </c>
      <c r="K1157" t="s">
        <v>4554</v>
      </c>
      <c r="L1157" t="s">
        <v>4555</v>
      </c>
      <c r="M1157" s="2">
        <v>1040</v>
      </c>
      <c r="N1157" t="s">
        <v>4556</v>
      </c>
      <c r="O1157">
        <v>3</v>
      </c>
      <c r="P1157">
        <v>1</v>
      </c>
      <c r="Q1157">
        <v>0</v>
      </c>
      <c r="R1157" t="s">
        <v>4557</v>
      </c>
      <c r="S1157" t="s">
        <v>4574</v>
      </c>
      <c r="T1157" t="s">
        <v>4559</v>
      </c>
      <c r="U1157" t="s">
        <v>4560</v>
      </c>
      <c r="V1157" s="2">
        <v>414</v>
      </c>
      <c r="W1157" t="s">
        <v>4655</v>
      </c>
      <c r="X1157" s="2">
        <v>0</v>
      </c>
      <c r="Y1157">
        <v>20</v>
      </c>
      <c r="Z1157" t="s">
        <v>4561</v>
      </c>
      <c r="AA1157" s="3">
        <v>0.173002749681473</v>
      </c>
      <c r="AB1157" t="s">
        <v>10211</v>
      </c>
      <c r="AC1157" t="s">
        <v>4562</v>
      </c>
      <c r="AD1157" t="s">
        <v>10212</v>
      </c>
      <c r="AE1157" t="s">
        <v>4655</v>
      </c>
      <c r="AF1157" t="s">
        <v>4563</v>
      </c>
      <c r="AG1157" t="s">
        <v>4564</v>
      </c>
      <c r="AH1157">
        <v>89502</v>
      </c>
      <c r="AI1157" t="s">
        <v>1673</v>
      </c>
      <c r="AJ1157" t="s">
        <v>10213</v>
      </c>
      <c r="AK1157" t="s">
        <v>10214</v>
      </c>
      <c r="AL1157" s="13" t="s">
        <v>2255</v>
      </c>
      <c r="AM1157">
        <v>1</v>
      </c>
      <c r="AN1157" s="15" t="s">
        <v>5278</v>
      </c>
    </row>
    <row r="1158" spans="1:40" x14ac:dyDescent="0.3">
      <c r="A1158" s="10" t="str">
        <f>HYPERLINK("http://www.washoecounty.gov/assessor/cama/?parid=013-432-16&amp;CardNumber=1","013-432-16")</f>
        <v>013-432-16</v>
      </c>
      <c r="B1158" t="s">
        <v>4655</v>
      </c>
      <c r="C1158" t="s">
        <v>10215</v>
      </c>
      <c r="D1158" s="1">
        <v>40455</v>
      </c>
      <c r="E1158" s="2">
        <v>75000</v>
      </c>
      <c r="F1158" t="s">
        <v>4567</v>
      </c>
      <c r="G1158" s="17" t="str">
        <f>HYPERLINK("https://www.washoecounty.gov/assessor/cama/?command=sales&amp;parid=01343216","3929414")</f>
        <v>3929414</v>
      </c>
      <c r="H1158" t="s">
        <v>1512</v>
      </c>
      <c r="I1158">
        <v>1954</v>
      </c>
      <c r="J1158">
        <v>1954</v>
      </c>
      <c r="K1158" t="s">
        <v>4554</v>
      </c>
      <c r="L1158" t="s">
        <v>4555</v>
      </c>
      <c r="M1158" s="2">
        <v>1454</v>
      </c>
      <c r="N1158" t="s">
        <v>4556</v>
      </c>
      <c r="O1158">
        <v>3</v>
      </c>
      <c r="P1158">
        <v>1</v>
      </c>
      <c r="Q1158">
        <v>0</v>
      </c>
      <c r="R1158" t="s">
        <v>4557</v>
      </c>
      <c r="S1158" t="s">
        <v>4574</v>
      </c>
      <c r="T1158" t="s">
        <v>4559</v>
      </c>
      <c r="U1158" t="s">
        <v>4655</v>
      </c>
      <c r="V1158" s="2">
        <v>0</v>
      </c>
      <c r="W1158" t="s">
        <v>4655</v>
      </c>
      <c r="X1158" s="2">
        <v>0</v>
      </c>
      <c r="Y1158">
        <v>20</v>
      </c>
      <c r="Z1158" t="s">
        <v>4561</v>
      </c>
      <c r="AA1158" s="3">
        <v>0.19699265062808999</v>
      </c>
      <c r="AB1158" t="s">
        <v>10216</v>
      </c>
      <c r="AC1158" t="s">
        <v>4575</v>
      </c>
      <c r="AD1158" t="s">
        <v>10217</v>
      </c>
      <c r="AE1158" t="s">
        <v>4655</v>
      </c>
      <c r="AF1158" t="s">
        <v>4563</v>
      </c>
      <c r="AG1158" t="s">
        <v>4564</v>
      </c>
      <c r="AH1158">
        <v>89504</v>
      </c>
      <c r="AI1158" t="s">
        <v>10218</v>
      </c>
      <c r="AJ1158" t="s">
        <v>10219</v>
      </c>
      <c r="AK1158" t="s">
        <v>10220</v>
      </c>
      <c r="AL1158" s="13" t="s">
        <v>2255</v>
      </c>
      <c r="AM1158">
        <v>1</v>
      </c>
      <c r="AN1158" s="15" t="s">
        <v>5278</v>
      </c>
    </row>
    <row r="1159" spans="1:40" x14ac:dyDescent="0.3">
      <c r="A1159" s="10" t="str">
        <f>HYPERLINK("http://www.washoecounty.gov/assessor/cama/?parid=013-433-08&amp;CardNumber=1","013-433-08")</f>
        <v>013-433-08</v>
      </c>
      <c r="B1159" t="s">
        <v>4655</v>
      </c>
      <c r="C1159" t="s">
        <v>10221</v>
      </c>
      <c r="D1159" s="1">
        <v>40520</v>
      </c>
      <c r="E1159" s="2">
        <v>80000</v>
      </c>
      <c r="F1159" t="s">
        <v>4553</v>
      </c>
      <c r="G1159" s="17" t="str">
        <f>HYPERLINK("https://www.washoecounty.gov/assessor/cama/?command=sales&amp;parid=01343308","3951020")</f>
        <v>3951020</v>
      </c>
      <c r="H1159" t="s">
        <v>5437</v>
      </c>
      <c r="I1159">
        <v>1953</v>
      </c>
      <c r="J1159">
        <v>1953</v>
      </c>
      <c r="K1159" t="s">
        <v>4554</v>
      </c>
      <c r="L1159" t="s">
        <v>4555</v>
      </c>
      <c r="M1159" s="2">
        <v>1040</v>
      </c>
      <c r="N1159" t="s">
        <v>4556</v>
      </c>
      <c r="O1159">
        <v>3</v>
      </c>
      <c r="P1159">
        <v>1</v>
      </c>
      <c r="Q1159">
        <v>0</v>
      </c>
      <c r="R1159" t="s">
        <v>4557</v>
      </c>
      <c r="S1159" t="s">
        <v>4574</v>
      </c>
      <c r="T1159" t="s">
        <v>4559</v>
      </c>
      <c r="U1159" t="s">
        <v>4560</v>
      </c>
      <c r="V1159" s="2">
        <v>414</v>
      </c>
      <c r="W1159" t="s">
        <v>4655</v>
      </c>
      <c r="X1159" s="2">
        <v>0</v>
      </c>
      <c r="Y1159">
        <v>20</v>
      </c>
      <c r="Z1159" t="s">
        <v>4561</v>
      </c>
      <c r="AA1159" s="3">
        <v>0.18000459671020499</v>
      </c>
      <c r="AB1159" t="s">
        <v>10222</v>
      </c>
      <c r="AC1159" t="s">
        <v>4562</v>
      </c>
      <c r="AD1159" t="s">
        <v>10223</v>
      </c>
      <c r="AE1159" t="s">
        <v>4655</v>
      </c>
      <c r="AF1159" t="s">
        <v>4563</v>
      </c>
      <c r="AG1159" t="s">
        <v>4564</v>
      </c>
      <c r="AH1159">
        <v>89509</v>
      </c>
      <c r="AI1159" t="s">
        <v>10224</v>
      </c>
      <c r="AJ1159" t="s">
        <v>10225</v>
      </c>
      <c r="AK1159" t="s">
        <v>10226</v>
      </c>
      <c r="AL1159" s="13" t="s">
        <v>2255</v>
      </c>
      <c r="AM1159">
        <v>1</v>
      </c>
      <c r="AN1159" s="15" t="s">
        <v>5278</v>
      </c>
    </row>
    <row r="1160" spans="1:40" x14ac:dyDescent="0.3">
      <c r="A1160" s="10" t="str">
        <f>HYPERLINK("http://www.washoecounty.gov/assessor/cama/?parid=013-442-07&amp;CardNumber=1","013-442-07")</f>
        <v>013-442-07</v>
      </c>
      <c r="B1160" t="s">
        <v>4655</v>
      </c>
      <c r="C1160" t="s">
        <v>10227</v>
      </c>
      <c r="D1160" s="1">
        <v>40434</v>
      </c>
      <c r="E1160" s="2">
        <v>80000</v>
      </c>
      <c r="F1160" t="s">
        <v>4553</v>
      </c>
      <c r="G1160" s="17" t="str">
        <f>HYPERLINK("https://www.washoecounty.gov/assessor/cama/?command=sales&amp;parid=01344207","3921489")</f>
        <v>3921489</v>
      </c>
      <c r="H1160" t="s">
        <v>1182</v>
      </c>
      <c r="I1160">
        <v>1959</v>
      </c>
      <c r="J1160">
        <v>1962</v>
      </c>
      <c r="K1160" t="s">
        <v>4554</v>
      </c>
      <c r="L1160" t="s">
        <v>4555</v>
      </c>
      <c r="M1160" s="2">
        <v>1230</v>
      </c>
      <c r="N1160" t="s">
        <v>4556</v>
      </c>
      <c r="O1160">
        <v>3</v>
      </c>
      <c r="P1160">
        <v>2</v>
      </c>
      <c r="Q1160">
        <v>0</v>
      </c>
      <c r="R1160" t="s">
        <v>4557</v>
      </c>
      <c r="S1160" t="s">
        <v>4574</v>
      </c>
      <c r="T1160" t="s">
        <v>4559</v>
      </c>
      <c r="U1160" t="s">
        <v>4560</v>
      </c>
      <c r="V1160" s="2">
        <v>496</v>
      </c>
      <c r="W1160" t="s">
        <v>4655</v>
      </c>
      <c r="X1160" s="2">
        <v>0</v>
      </c>
      <c r="Y1160">
        <v>20</v>
      </c>
      <c r="Z1160" t="s">
        <v>4561</v>
      </c>
      <c r="AA1160" s="3">
        <v>0.13799357414245605</v>
      </c>
      <c r="AB1160" t="s">
        <v>10228</v>
      </c>
      <c r="AC1160" t="s">
        <v>4562</v>
      </c>
      <c r="AD1160" t="s">
        <v>10229</v>
      </c>
      <c r="AE1160" t="s">
        <v>4655</v>
      </c>
      <c r="AF1160" t="s">
        <v>4563</v>
      </c>
      <c r="AG1160" t="s">
        <v>4564</v>
      </c>
      <c r="AH1160">
        <v>89502</v>
      </c>
      <c r="AI1160" t="s">
        <v>4565</v>
      </c>
      <c r="AJ1160" t="s">
        <v>10230</v>
      </c>
      <c r="AK1160" t="s">
        <v>10231</v>
      </c>
      <c r="AL1160" s="13" t="s">
        <v>2255</v>
      </c>
      <c r="AM1160">
        <v>1</v>
      </c>
      <c r="AN1160" s="15" t="s">
        <v>5278</v>
      </c>
    </row>
    <row r="1161" spans="1:40" x14ac:dyDescent="0.3">
      <c r="A1161" s="10" t="str">
        <f>HYPERLINK("http://www.washoecounty.gov/assessor/cama/?parid=013-442-10&amp;CardNumber=1","013-442-10")</f>
        <v>013-442-10</v>
      </c>
      <c r="B1161" t="s">
        <v>4655</v>
      </c>
      <c r="C1161" t="s">
        <v>10232</v>
      </c>
      <c r="D1161" s="1">
        <v>40347</v>
      </c>
      <c r="E1161" s="2">
        <v>123500</v>
      </c>
      <c r="F1161" t="s">
        <v>4567</v>
      </c>
      <c r="G1161" s="17" t="str">
        <f>HYPERLINK("https://www.washoecounty.gov/assessor/cama/?command=sales&amp;parid=01344210","3893527")</f>
        <v>3893527</v>
      </c>
      <c r="H1161" t="s">
        <v>2168</v>
      </c>
      <c r="I1161">
        <v>1956</v>
      </c>
      <c r="J1161">
        <v>1956</v>
      </c>
      <c r="K1161" t="s">
        <v>4554</v>
      </c>
      <c r="L1161" t="s">
        <v>4555</v>
      </c>
      <c r="M1161" s="2">
        <v>1330</v>
      </c>
      <c r="N1161" t="s">
        <v>4556</v>
      </c>
      <c r="O1161">
        <v>3</v>
      </c>
      <c r="P1161">
        <v>1</v>
      </c>
      <c r="Q1161">
        <v>0</v>
      </c>
      <c r="R1161" t="s">
        <v>4557</v>
      </c>
      <c r="S1161" t="s">
        <v>4574</v>
      </c>
      <c r="T1161" t="s">
        <v>4559</v>
      </c>
      <c r="U1161" t="s">
        <v>4560</v>
      </c>
      <c r="V1161" s="2">
        <v>496</v>
      </c>
      <c r="W1161" t="s">
        <v>4655</v>
      </c>
      <c r="X1161" s="2">
        <v>0</v>
      </c>
      <c r="Y1161">
        <v>20</v>
      </c>
      <c r="Z1161" t="s">
        <v>4561</v>
      </c>
      <c r="AA1161" s="3">
        <v>0.13799357414245605</v>
      </c>
      <c r="AB1161" t="s">
        <v>10233</v>
      </c>
      <c r="AC1161" t="s">
        <v>4562</v>
      </c>
      <c r="AD1161" t="s">
        <v>10232</v>
      </c>
      <c r="AE1161" t="s">
        <v>4655</v>
      </c>
      <c r="AF1161" t="s">
        <v>4563</v>
      </c>
      <c r="AG1161" t="s">
        <v>4564</v>
      </c>
      <c r="AH1161">
        <v>89502</v>
      </c>
      <c r="AI1161" t="s">
        <v>10234</v>
      </c>
      <c r="AJ1161" t="s">
        <v>10235</v>
      </c>
      <c r="AK1161" t="s">
        <v>10236</v>
      </c>
      <c r="AL1161" s="13" t="s">
        <v>2255</v>
      </c>
      <c r="AM1161">
        <v>1</v>
      </c>
      <c r="AN1161" s="15" t="s">
        <v>5278</v>
      </c>
    </row>
    <row r="1162" spans="1:40" x14ac:dyDescent="0.3">
      <c r="A1162" s="10" t="str">
        <f>HYPERLINK("http://www.washoecounty.gov/assessor/cama/?parid=013-442-17&amp;CardNumber=1","013-442-17")</f>
        <v>013-442-17</v>
      </c>
      <c r="B1162" t="s">
        <v>4655</v>
      </c>
      <c r="C1162" t="s">
        <v>10237</v>
      </c>
      <c r="D1162" s="1">
        <v>40347</v>
      </c>
      <c r="E1162" s="2">
        <v>86900</v>
      </c>
      <c r="F1162" t="s">
        <v>4553</v>
      </c>
      <c r="G1162" s="17" t="str">
        <f>HYPERLINK("https://www.washoecounty.gov/assessor/cama/?command=sales&amp;parid=01344217","3893319")</f>
        <v>3893319</v>
      </c>
      <c r="H1162" t="s">
        <v>5116</v>
      </c>
      <c r="I1162">
        <v>1958</v>
      </c>
      <c r="J1162">
        <v>1958</v>
      </c>
      <c r="K1162" t="s">
        <v>4554</v>
      </c>
      <c r="L1162" t="s">
        <v>4555</v>
      </c>
      <c r="M1162" s="2">
        <v>1100</v>
      </c>
      <c r="N1162" t="s">
        <v>4556</v>
      </c>
      <c r="O1162">
        <v>3</v>
      </c>
      <c r="P1162">
        <v>2</v>
      </c>
      <c r="Q1162">
        <v>0</v>
      </c>
      <c r="R1162" t="s">
        <v>4557</v>
      </c>
      <c r="S1162" t="s">
        <v>4135</v>
      </c>
      <c r="T1162" t="s">
        <v>4559</v>
      </c>
      <c r="U1162" t="s">
        <v>4560</v>
      </c>
      <c r="V1162" s="2">
        <v>502</v>
      </c>
      <c r="W1162" t="s">
        <v>4655</v>
      </c>
      <c r="X1162" s="2">
        <v>0</v>
      </c>
      <c r="Y1162">
        <v>20</v>
      </c>
      <c r="Z1162" t="s">
        <v>4561</v>
      </c>
      <c r="AA1162" s="3">
        <v>0.13799357414245605</v>
      </c>
      <c r="AB1162" t="s">
        <v>10238</v>
      </c>
      <c r="AC1162" t="s">
        <v>4562</v>
      </c>
      <c r="AD1162" t="s">
        <v>10237</v>
      </c>
      <c r="AE1162" t="s">
        <v>4655</v>
      </c>
      <c r="AF1162" t="s">
        <v>4563</v>
      </c>
      <c r="AG1162" t="s">
        <v>4564</v>
      </c>
      <c r="AH1162">
        <v>89502</v>
      </c>
      <c r="AI1162" t="s">
        <v>2351</v>
      </c>
      <c r="AJ1162" t="s">
        <v>10239</v>
      </c>
      <c r="AK1162" t="s">
        <v>10240</v>
      </c>
      <c r="AL1162" s="13" t="s">
        <v>2255</v>
      </c>
      <c r="AM1162">
        <v>1</v>
      </c>
      <c r="AN1162" s="15" t="s">
        <v>5278</v>
      </c>
    </row>
    <row r="1163" spans="1:40" x14ac:dyDescent="0.3">
      <c r="A1163" s="10" t="str">
        <f>HYPERLINK("http://www.washoecounty.gov/assessor/cama/?parid=013-442-19&amp;CardNumber=1","013-442-19")</f>
        <v>013-442-19</v>
      </c>
      <c r="B1163" t="s">
        <v>4655</v>
      </c>
      <c r="C1163" t="s">
        <v>10241</v>
      </c>
      <c r="D1163" s="1">
        <v>40416</v>
      </c>
      <c r="E1163" s="2">
        <v>102000</v>
      </c>
      <c r="F1163" t="s">
        <v>4567</v>
      </c>
      <c r="G1163" s="17" t="str">
        <f>HYPERLINK("https://www.washoecounty.gov/assessor/cama/?command=sales&amp;parid=01344219","3916070")</f>
        <v>3916070</v>
      </c>
      <c r="H1163" t="s">
        <v>5116</v>
      </c>
      <c r="I1163">
        <v>1957</v>
      </c>
      <c r="J1163">
        <v>1957</v>
      </c>
      <c r="K1163" t="s">
        <v>4554</v>
      </c>
      <c r="L1163" t="s">
        <v>4555</v>
      </c>
      <c r="M1163" s="2">
        <v>1125</v>
      </c>
      <c r="N1163" t="s">
        <v>4556</v>
      </c>
      <c r="O1163">
        <v>4</v>
      </c>
      <c r="P1163">
        <v>2</v>
      </c>
      <c r="Q1163">
        <v>0</v>
      </c>
      <c r="R1163" t="s">
        <v>4557</v>
      </c>
      <c r="S1163" t="s">
        <v>4574</v>
      </c>
      <c r="T1163" t="s">
        <v>4559</v>
      </c>
      <c r="U1163" t="s">
        <v>4560</v>
      </c>
      <c r="V1163" s="2">
        <v>496</v>
      </c>
      <c r="W1163" t="s">
        <v>4655</v>
      </c>
      <c r="X1163" s="2">
        <v>0</v>
      </c>
      <c r="Y1163">
        <v>20</v>
      </c>
      <c r="Z1163" t="s">
        <v>4561</v>
      </c>
      <c r="AA1163" s="3">
        <v>0.13799357414245605</v>
      </c>
      <c r="AB1163" t="s">
        <v>10242</v>
      </c>
      <c r="AC1163" t="s">
        <v>4562</v>
      </c>
      <c r="AD1163" t="s">
        <v>10241</v>
      </c>
      <c r="AE1163" t="s">
        <v>4655</v>
      </c>
      <c r="AF1163" t="s">
        <v>4563</v>
      </c>
      <c r="AG1163" t="s">
        <v>4564</v>
      </c>
      <c r="AH1163">
        <v>89502</v>
      </c>
      <c r="AI1163" t="s">
        <v>10243</v>
      </c>
      <c r="AJ1163" t="s">
        <v>10244</v>
      </c>
      <c r="AK1163" t="s">
        <v>10245</v>
      </c>
      <c r="AL1163" s="13" t="s">
        <v>2255</v>
      </c>
      <c r="AM1163">
        <v>1</v>
      </c>
      <c r="AN1163" s="15" t="s">
        <v>5278</v>
      </c>
    </row>
    <row r="1164" spans="1:40" x14ac:dyDescent="0.3">
      <c r="A1164" s="10" t="str">
        <f>HYPERLINK("http://www.washoecounty.gov/assessor/cama/?parid=013-442-20&amp;CardNumber=1","013-442-20")</f>
        <v>013-442-20</v>
      </c>
      <c r="B1164" t="s">
        <v>4655</v>
      </c>
      <c r="C1164" t="s">
        <v>10246</v>
      </c>
      <c r="D1164" s="1">
        <v>40241</v>
      </c>
      <c r="E1164" s="2">
        <v>75000</v>
      </c>
      <c r="F1164" t="s">
        <v>4553</v>
      </c>
      <c r="G1164" s="17" t="str">
        <f>HYPERLINK("https://www.washoecounty.gov/assessor/cama/?command=sales&amp;parid=01344220","3855756")</f>
        <v>3855756</v>
      </c>
      <c r="H1164" t="s">
        <v>1182</v>
      </c>
      <c r="I1164">
        <v>1956</v>
      </c>
      <c r="J1164">
        <v>1956</v>
      </c>
      <c r="K1164" t="s">
        <v>4554</v>
      </c>
      <c r="L1164" t="s">
        <v>4555</v>
      </c>
      <c r="M1164" s="2">
        <v>1060</v>
      </c>
      <c r="N1164" t="s">
        <v>4556</v>
      </c>
      <c r="O1164">
        <v>3</v>
      </c>
      <c r="P1164">
        <v>1</v>
      </c>
      <c r="Q1164">
        <v>0</v>
      </c>
      <c r="R1164" t="s">
        <v>4557</v>
      </c>
      <c r="S1164" t="s">
        <v>4574</v>
      </c>
      <c r="T1164" t="s">
        <v>4559</v>
      </c>
      <c r="U1164" t="s">
        <v>4560</v>
      </c>
      <c r="V1164" s="2">
        <v>496</v>
      </c>
      <c r="W1164" t="s">
        <v>4655</v>
      </c>
      <c r="X1164" s="2">
        <v>0</v>
      </c>
      <c r="Y1164">
        <v>20</v>
      </c>
      <c r="Z1164" t="s">
        <v>4561</v>
      </c>
      <c r="AA1164" s="3">
        <v>0.16898530721664401</v>
      </c>
      <c r="AB1164" t="s">
        <v>10247</v>
      </c>
      <c r="AC1164" t="s">
        <v>4562</v>
      </c>
      <c r="AD1164" t="s">
        <v>10248</v>
      </c>
      <c r="AE1164" t="s">
        <v>4655</v>
      </c>
      <c r="AF1164" t="s">
        <v>4563</v>
      </c>
      <c r="AG1164" t="s">
        <v>4564</v>
      </c>
      <c r="AH1164">
        <v>89502</v>
      </c>
      <c r="AI1164" t="s">
        <v>4848</v>
      </c>
      <c r="AJ1164" t="s">
        <v>10249</v>
      </c>
      <c r="AK1164" t="s">
        <v>10250</v>
      </c>
      <c r="AL1164" s="13" t="s">
        <v>2255</v>
      </c>
      <c r="AM1164">
        <v>1</v>
      </c>
      <c r="AN1164" s="15" t="s">
        <v>5278</v>
      </c>
    </row>
    <row r="1165" spans="1:40" x14ac:dyDescent="0.3">
      <c r="A1165" s="10" t="str">
        <f>HYPERLINK("http://www.washoecounty.gov/assessor/cama/?parid=013-443-12&amp;CardNumber=1","013-443-12")</f>
        <v>013-443-12</v>
      </c>
      <c r="B1165" t="s">
        <v>4655</v>
      </c>
      <c r="C1165" t="s">
        <v>10251</v>
      </c>
      <c r="D1165" s="1">
        <v>40498</v>
      </c>
      <c r="E1165" s="2">
        <v>95000</v>
      </c>
      <c r="F1165" t="s">
        <v>4567</v>
      </c>
      <c r="G1165" s="17" t="str">
        <f>HYPERLINK("https://www.washoecounty.gov/assessor/cama/?command=sales&amp;parid=01344312","3943255")</f>
        <v>3943255</v>
      </c>
      <c r="H1165" t="s">
        <v>1182</v>
      </c>
      <c r="I1165">
        <v>1956</v>
      </c>
      <c r="J1165">
        <v>1956</v>
      </c>
      <c r="K1165" t="s">
        <v>4554</v>
      </c>
      <c r="L1165" t="s">
        <v>4555</v>
      </c>
      <c r="M1165" s="2">
        <v>1260</v>
      </c>
      <c r="N1165" t="s">
        <v>4556</v>
      </c>
      <c r="O1165">
        <v>4</v>
      </c>
      <c r="P1165">
        <v>2</v>
      </c>
      <c r="Q1165">
        <v>0</v>
      </c>
      <c r="R1165" t="s">
        <v>4557</v>
      </c>
      <c r="S1165" t="s">
        <v>4574</v>
      </c>
      <c r="T1165" t="s">
        <v>4559</v>
      </c>
      <c r="U1165" t="s">
        <v>4560</v>
      </c>
      <c r="V1165" s="2">
        <v>476</v>
      </c>
      <c r="W1165" t="s">
        <v>4655</v>
      </c>
      <c r="X1165" s="2">
        <v>0</v>
      </c>
      <c r="Y1165">
        <v>20</v>
      </c>
      <c r="Z1165" t="s">
        <v>4561</v>
      </c>
      <c r="AA1165" s="3">
        <v>0.16099633276462599</v>
      </c>
      <c r="AB1165" t="s">
        <v>10252</v>
      </c>
      <c r="AC1165" t="s">
        <v>4562</v>
      </c>
      <c r="AD1165" t="s">
        <v>2124</v>
      </c>
      <c r="AE1165" t="s">
        <v>4655</v>
      </c>
      <c r="AF1165" t="s">
        <v>4563</v>
      </c>
      <c r="AG1165" t="s">
        <v>4564</v>
      </c>
      <c r="AH1165">
        <v>89510</v>
      </c>
      <c r="AI1165" t="s">
        <v>10253</v>
      </c>
      <c r="AJ1165" t="s">
        <v>10254</v>
      </c>
      <c r="AK1165" t="s">
        <v>10255</v>
      </c>
      <c r="AL1165" s="13" t="s">
        <v>2255</v>
      </c>
      <c r="AM1165">
        <v>1</v>
      </c>
      <c r="AN1165" s="15" t="s">
        <v>5278</v>
      </c>
    </row>
    <row r="1166" spans="1:40" x14ac:dyDescent="0.3">
      <c r="A1166" s="10" t="str">
        <f>HYPERLINK("http://www.washoecounty.gov/assessor/cama/?parid=013-444-11&amp;CardNumber=1","013-444-11")</f>
        <v>013-444-11</v>
      </c>
      <c r="B1166" t="s">
        <v>4655</v>
      </c>
      <c r="C1166" t="s">
        <v>10256</v>
      </c>
      <c r="D1166" s="1">
        <v>40262</v>
      </c>
      <c r="E1166" s="2">
        <v>129900</v>
      </c>
      <c r="F1166" t="s">
        <v>4567</v>
      </c>
      <c r="G1166" s="17" t="str">
        <f>HYPERLINK("https://www.washoecounty.gov/assessor/cama/?command=sales&amp;parid=01344411","3864203")</f>
        <v>3864203</v>
      </c>
      <c r="H1166" t="s">
        <v>2168</v>
      </c>
      <c r="I1166">
        <v>1956</v>
      </c>
      <c r="J1166">
        <v>1956</v>
      </c>
      <c r="K1166" t="s">
        <v>4554</v>
      </c>
      <c r="L1166" t="s">
        <v>4555</v>
      </c>
      <c r="M1166" s="2">
        <v>1260</v>
      </c>
      <c r="N1166" t="s">
        <v>4556</v>
      </c>
      <c r="O1166">
        <v>4</v>
      </c>
      <c r="P1166">
        <v>2</v>
      </c>
      <c r="Q1166">
        <v>0</v>
      </c>
      <c r="R1166" t="s">
        <v>4557</v>
      </c>
      <c r="S1166" t="s">
        <v>4574</v>
      </c>
      <c r="T1166" t="s">
        <v>4559</v>
      </c>
      <c r="U1166" t="s">
        <v>4560</v>
      </c>
      <c r="V1166" s="2">
        <v>476</v>
      </c>
      <c r="W1166" t="s">
        <v>4655</v>
      </c>
      <c r="X1166" s="2">
        <v>0</v>
      </c>
      <c r="Y1166">
        <v>20</v>
      </c>
      <c r="Z1166" t="s">
        <v>4561</v>
      </c>
      <c r="AA1166" s="3">
        <v>0.13799357414245605</v>
      </c>
      <c r="AB1166" t="s">
        <v>10257</v>
      </c>
      <c r="AC1166" t="s">
        <v>4575</v>
      </c>
      <c r="AD1166" t="s">
        <v>10256</v>
      </c>
      <c r="AE1166" t="s">
        <v>4655</v>
      </c>
      <c r="AF1166" t="s">
        <v>4563</v>
      </c>
      <c r="AG1166" t="s">
        <v>4564</v>
      </c>
      <c r="AH1166">
        <v>89502</v>
      </c>
      <c r="AI1166" t="s">
        <v>10258</v>
      </c>
      <c r="AJ1166" t="s">
        <v>10259</v>
      </c>
      <c r="AK1166" t="s">
        <v>10260</v>
      </c>
      <c r="AL1166" s="13" t="s">
        <v>2255</v>
      </c>
      <c r="AM1166">
        <v>1</v>
      </c>
      <c r="AN1166" s="15" t="s">
        <v>5278</v>
      </c>
    </row>
    <row r="1167" spans="1:40" x14ac:dyDescent="0.3">
      <c r="A1167" s="10" t="str">
        <f>HYPERLINK("http://www.washoecounty.gov/assessor/cama/?parid=013-445-02&amp;CardNumber=1","013-445-02")</f>
        <v>013-445-02</v>
      </c>
      <c r="B1167" t="s">
        <v>4655</v>
      </c>
      <c r="C1167" t="s">
        <v>10261</v>
      </c>
      <c r="D1167" s="1">
        <v>40485</v>
      </c>
      <c r="E1167" s="2">
        <v>76000</v>
      </c>
      <c r="F1167" t="s">
        <v>4553</v>
      </c>
      <c r="G1167" s="17" t="str">
        <f>HYPERLINK("https://www.washoecounty.gov/assessor/cama/?command=sales&amp;parid=01344502","3939520")</f>
        <v>3939520</v>
      </c>
      <c r="H1167" t="s">
        <v>1182</v>
      </c>
      <c r="I1167">
        <v>1956</v>
      </c>
      <c r="J1167">
        <v>1956</v>
      </c>
      <c r="K1167" t="s">
        <v>4554</v>
      </c>
      <c r="L1167" t="s">
        <v>4555</v>
      </c>
      <c r="M1167" s="2">
        <v>1286</v>
      </c>
      <c r="N1167" t="s">
        <v>4556</v>
      </c>
      <c r="O1167">
        <v>3</v>
      </c>
      <c r="P1167">
        <v>2</v>
      </c>
      <c r="Q1167">
        <v>0</v>
      </c>
      <c r="R1167" t="s">
        <v>4557</v>
      </c>
      <c r="S1167" t="s">
        <v>4135</v>
      </c>
      <c r="T1167" t="s">
        <v>4559</v>
      </c>
      <c r="U1167" t="s">
        <v>4560</v>
      </c>
      <c r="V1167" s="2">
        <v>270</v>
      </c>
      <c r="W1167" t="s">
        <v>4655</v>
      </c>
      <c r="X1167" s="2">
        <v>0</v>
      </c>
      <c r="Y1167">
        <v>20</v>
      </c>
      <c r="Z1167" t="s">
        <v>4561</v>
      </c>
      <c r="AA1167" s="3">
        <v>0.14201101660728499</v>
      </c>
      <c r="AB1167" t="s">
        <v>10262</v>
      </c>
      <c r="AC1167" t="s">
        <v>4575</v>
      </c>
      <c r="AD1167" t="s">
        <v>10261</v>
      </c>
      <c r="AE1167" t="s">
        <v>4655</v>
      </c>
      <c r="AF1167" t="s">
        <v>4563</v>
      </c>
      <c r="AG1167" t="s">
        <v>4564</v>
      </c>
      <c r="AH1167">
        <v>89502</v>
      </c>
      <c r="AI1167" t="s">
        <v>4903</v>
      </c>
      <c r="AJ1167" t="s">
        <v>10263</v>
      </c>
      <c r="AK1167" t="s">
        <v>10264</v>
      </c>
      <c r="AL1167" s="13" t="s">
        <v>2255</v>
      </c>
      <c r="AM1167">
        <v>1</v>
      </c>
      <c r="AN1167" s="15" t="s">
        <v>5278</v>
      </c>
    </row>
    <row r="1168" spans="1:40" x14ac:dyDescent="0.3">
      <c r="A1168" s="10" t="str">
        <f>HYPERLINK("http://www.washoecounty.gov/assessor/cama/?parid=013-463-17&amp;CardNumber=1","013-463-17")</f>
        <v>013-463-17</v>
      </c>
      <c r="B1168" t="s">
        <v>4655</v>
      </c>
      <c r="C1168" t="s">
        <v>10265</v>
      </c>
      <c r="D1168" s="1">
        <v>40330</v>
      </c>
      <c r="E1168" s="2">
        <v>63000</v>
      </c>
      <c r="F1168" t="s">
        <v>4567</v>
      </c>
      <c r="G1168" s="17" t="str">
        <f>HYPERLINK("https://www.washoecounty.gov/assessor/cama/?command=sales&amp;parid=01346317","3887284")</f>
        <v>3887284</v>
      </c>
      <c r="H1168" t="s">
        <v>10266</v>
      </c>
      <c r="I1168">
        <v>1944</v>
      </c>
      <c r="J1168">
        <v>1944</v>
      </c>
      <c r="K1168" t="s">
        <v>4554</v>
      </c>
      <c r="L1168" t="s">
        <v>4555</v>
      </c>
      <c r="M1168" s="2">
        <v>780</v>
      </c>
      <c r="N1168" t="s">
        <v>4133</v>
      </c>
      <c r="O1168">
        <v>2</v>
      </c>
      <c r="P1168">
        <v>1</v>
      </c>
      <c r="Q1168">
        <v>0</v>
      </c>
      <c r="R1168" t="s">
        <v>1800</v>
      </c>
      <c r="S1168" t="s">
        <v>4135</v>
      </c>
      <c r="T1168" t="s">
        <v>4559</v>
      </c>
      <c r="U1168" t="s">
        <v>4655</v>
      </c>
      <c r="V1168" s="2">
        <v>0</v>
      </c>
      <c r="W1168" t="s">
        <v>4655</v>
      </c>
      <c r="X1168" s="2">
        <v>0</v>
      </c>
      <c r="Y1168">
        <v>20</v>
      </c>
      <c r="Z1168" t="s">
        <v>4561</v>
      </c>
      <c r="AA1168" s="3">
        <v>0.15399448573589325</v>
      </c>
      <c r="AB1168" t="s">
        <v>2834</v>
      </c>
      <c r="AC1168" t="s">
        <v>4575</v>
      </c>
      <c r="AD1168" t="s">
        <v>10267</v>
      </c>
      <c r="AE1168" t="s">
        <v>4655</v>
      </c>
      <c r="AF1168" t="s">
        <v>4563</v>
      </c>
      <c r="AG1168" t="s">
        <v>4564</v>
      </c>
      <c r="AH1168" t="s">
        <v>5197</v>
      </c>
      <c r="AI1168" t="s">
        <v>10268</v>
      </c>
      <c r="AJ1168" t="s">
        <v>10269</v>
      </c>
      <c r="AK1168" t="s">
        <v>10270</v>
      </c>
      <c r="AL1168" s="13" t="s">
        <v>2257</v>
      </c>
      <c r="AM1168" s="14">
        <v>1</v>
      </c>
      <c r="AN1168" s="15" t="s">
        <v>5278</v>
      </c>
    </row>
    <row r="1169" spans="1:40" x14ac:dyDescent="0.3">
      <c r="A1169" s="10" t="str">
        <f>HYPERLINK("http://www.washoecounty.gov/assessor/cama/?parid=013-464-34&amp;CardNumber=1","013-464-34")</f>
        <v>013-464-34</v>
      </c>
      <c r="B1169" t="s">
        <v>4655</v>
      </c>
      <c r="C1169" t="s">
        <v>10271</v>
      </c>
      <c r="D1169" s="1">
        <v>40396</v>
      </c>
      <c r="E1169" s="2">
        <v>78000</v>
      </c>
      <c r="F1169" t="s">
        <v>4567</v>
      </c>
      <c r="G1169" s="17" t="str">
        <f>HYPERLINK("https://www.washoecounty.gov/assessor/cama/?command=sales&amp;parid=01346434","3909645")</f>
        <v>3909645</v>
      </c>
      <c r="H1169" t="s">
        <v>10272</v>
      </c>
      <c r="I1169">
        <v>1955</v>
      </c>
      <c r="J1169">
        <v>1955</v>
      </c>
      <c r="K1169" t="s">
        <v>4554</v>
      </c>
      <c r="L1169" t="s">
        <v>4555</v>
      </c>
      <c r="M1169" s="2">
        <v>1161</v>
      </c>
      <c r="N1169" t="s">
        <v>4048</v>
      </c>
      <c r="O1169">
        <v>4</v>
      </c>
      <c r="P1169">
        <v>2</v>
      </c>
      <c r="Q1169">
        <v>0</v>
      </c>
      <c r="R1169" t="s">
        <v>4557</v>
      </c>
      <c r="S1169" t="s">
        <v>4570</v>
      </c>
      <c r="T1169" t="s">
        <v>4559</v>
      </c>
      <c r="U1169" t="s">
        <v>4560</v>
      </c>
      <c r="V1169" s="2">
        <v>400</v>
      </c>
      <c r="W1169" t="s">
        <v>4655</v>
      </c>
      <c r="X1169" s="2">
        <v>0</v>
      </c>
      <c r="Y1169">
        <v>20</v>
      </c>
      <c r="Z1169" t="s">
        <v>4561</v>
      </c>
      <c r="AA1169" s="3">
        <v>0.169995412230492</v>
      </c>
      <c r="AB1169" t="s">
        <v>10273</v>
      </c>
      <c r="AC1169" t="s">
        <v>4562</v>
      </c>
      <c r="AD1169" t="s">
        <v>10274</v>
      </c>
      <c r="AE1169" t="s">
        <v>4655</v>
      </c>
      <c r="AF1169" t="s">
        <v>4563</v>
      </c>
      <c r="AG1169" t="s">
        <v>4564</v>
      </c>
      <c r="AH1169">
        <v>89502</v>
      </c>
      <c r="AI1169" t="s">
        <v>10275</v>
      </c>
      <c r="AJ1169" t="s">
        <v>10276</v>
      </c>
      <c r="AK1169" t="s">
        <v>10277</v>
      </c>
      <c r="AL1169" s="13" t="s">
        <v>2256</v>
      </c>
      <c r="AM1169">
        <v>1</v>
      </c>
      <c r="AN1169" s="15" t="s">
        <v>5278</v>
      </c>
    </row>
    <row r="1170" spans="1:40" x14ac:dyDescent="0.3">
      <c r="A1170" s="10" t="str">
        <f>HYPERLINK("http://www.washoecounty.gov/assessor/cama/?parid=013-473-09&amp;CardNumber=1","013-473-09")</f>
        <v>013-473-09</v>
      </c>
      <c r="B1170" t="s">
        <v>4655</v>
      </c>
      <c r="C1170" t="s">
        <v>10278</v>
      </c>
      <c r="D1170" s="1">
        <v>40221</v>
      </c>
      <c r="E1170" s="2">
        <v>100000</v>
      </c>
      <c r="F1170" t="s">
        <v>4553</v>
      </c>
      <c r="G1170" s="17" t="str">
        <f>HYPERLINK("https://www.washoecounty.gov/assessor/cama/?command=sales&amp;parid=01347309","3849218")</f>
        <v>3849218</v>
      </c>
      <c r="H1170" t="s">
        <v>4052</v>
      </c>
      <c r="I1170">
        <v>1955</v>
      </c>
      <c r="J1170">
        <v>1955</v>
      </c>
      <c r="K1170" t="s">
        <v>4554</v>
      </c>
      <c r="L1170" t="s">
        <v>4555</v>
      </c>
      <c r="M1170" s="2">
        <v>1040</v>
      </c>
      <c r="N1170" t="s">
        <v>4556</v>
      </c>
      <c r="O1170">
        <v>3</v>
      </c>
      <c r="P1170">
        <v>1</v>
      </c>
      <c r="Q1170">
        <v>0</v>
      </c>
      <c r="R1170" t="s">
        <v>4557</v>
      </c>
      <c r="S1170" t="s">
        <v>4135</v>
      </c>
      <c r="T1170" t="s">
        <v>4559</v>
      </c>
      <c r="U1170" t="s">
        <v>4560</v>
      </c>
      <c r="V1170" s="2">
        <v>414</v>
      </c>
      <c r="W1170" t="s">
        <v>4655</v>
      </c>
      <c r="X1170" s="2">
        <v>0</v>
      </c>
      <c r="Y1170">
        <v>20</v>
      </c>
      <c r="Z1170" t="s">
        <v>4561</v>
      </c>
      <c r="AA1170" s="3">
        <v>0.13799357414245605</v>
      </c>
      <c r="AB1170" t="s">
        <v>10279</v>
      </c>
      <c r="AC1170" t="s">
        <v>4562</v>
      </c>
      <c r="AD1170" t="s">
        <v>10278</v>
      </c>
      <c r="AE1170" t="s">
        <v>4655</v>
      </c>
      <c r="AF1170" t="s">
        <v>4563</v>
      </c>
      <c r="AG1170" t="s">
        <v>4564</v>
      </c>
      <c r="AH1170">
        <v>89502</v>
      </c>
      <c r="AI1170" t="s">
        <v>4848</v>
      </c>
      <c r="AJ1170" t="s">
        <v>10280</v>
      </c>
      <c r="AK1170" t="s">
        <v>10281</v>
      </c>
      <c r="AL1170" s="13" t="s">
        <v>2255</v>
      </c>
      <c r="AM1170">
        <v>1</v>
      </c>
      <c r="AN1170" s="15" t="s">
        <v>5278</v>
      </c>
    </row>
    <row r="1171" spans="1:40" x14ac:dyDescent="0.3">
      <c r="A1171" s="10" t="str">
        <f>HYPERLINK("http://www.washoecounty.gov/assessor/cama/?parid=013-492-10&amp;CardNumber=1","013-492-10")</f>
        <v>013-492-10</v>
      </c>
      <c r="B1171" t="s">
        <v>4655</v>
      </c>
      <c r="C1171" t="s">
        <v>10282</v>
      </c>
      <c r="D1171" s="1">
        <v>40494</v>
      </c>
      <c r="E1171" s="2">
        <v>77500</v>
      </c>
      <c r="F1171" t="s">
        <v>4553</v>
      </c>
      <c r="G1171" s="17" t="str">
        <f>HYPERLINK("https://www.washoecounty.gov/assessor/cama/?command=sales&amp;parid=01349210","3942694")</f>
        <v>3942694</v>
      </c>
      <c r="H1171" t="s">
        <v>5116</v>
      </c>
      <c r="I1171">
        <v>1959</v>
      </c>
      <c r="J1171">
        <v>1959</v>
      </c>
      <c r="K1171" t="s">
        <v>4554</v>
      </c>
      <c r="L1171" t="s">
        <v>4555</v>
      </c>
      <c r="M1171" s="2">
        <v>1008</v>
      </c>
      <c r="N1171" t="s">
        <v>4672</v>
      </c>
      <c r="O1171">
        <v>3</v>
      </c>
      <c r="P1171">
        <v>1</v>
      </c>
      <c r="Q1171">
        <v>0</v>
      </c>
      <c r="R1171" t="s">
        <v>4557</v>
      </c>
      <c r="S1171" t="s">
        <v>3148</v>
      </c>
      <c r="T1171" t="s">
        <v>4559</v>
      </c>
      <c r="U1171" t="s">
        <v>4560</v>
      </c>
      <c r="V1171" s="2">
        <v>624</v>
      </c>
      <c r="W1171" t="s">
        <v>4655</v>
      </c>
      <c r="X1171" s="2">
        <v>0</v>
      </c>
      <c r="Y1171">
        <v>20</v>
      </c>
      <c r="Z1171" t="s">
        <v>4561</v>
      </c>
      <c r="AA1171" s="3">
        <v>0.13999082148075101</v>
      </c>
      <c r="AB1171" t="s">
        <v>10283</v>
      </c>
      <c r="AC1171" t="s">
        <v>4575</v>
      </c>
      <c r="AD1171" t="s">
        <v>10284</v>
      </c>
      <c r="AE1171" t="s">
        <v>4655</v>
      </c>
      <c r="AF1171" t="s">
        <v>4563</v>
      </c>
      <c r="AG1171" t="s">
        <v>4564</v>
      </c>
      <c r="AH1171">
        <v>89510</v>
      </c>
      <c r="AI1171" t="s">
        <v>2009</v>
      </c>
      <c r="AJ1171" t="s">
        <v>10285</v>
      </c>
      <c r="AK1171" t="s">
        <v>10286</v>
      </c>
      <c r="AL1171" s="13" t="s">
        <v>2255</v>
      </c>
      <c r="AM1171" s="14">
        <v>1</v>
      </c>
      <c r="AN1171" s="15" t="s">
        <v>5278</v>
      </c>
    </row>
    <row r="1172" spans="1:40" x14ac:dyDescent="0.3">
      <c r="A1172" s="10" t="str">
        <f>HYPERLINK("http://www.washoecounty.gov/assessor/cama/?parid=013-492-12&amp;CardNumber=1","013-492-12")</f>
        <v>013-492-12</v>
      </c>
      <c r="B1172" t="s">
        <v>4655</v>
      </c>
      <c r="C1172" t="s">
        <v>10287</v>
      </c>
      <c r="D1172" s="1">
        <v>40263</v>
      </c>
      <c r="E1172" s="2">
        <v>106000</v>
      </c>
      <c r="F1172" t="s">
        <v>4553</v>
      </c>
      <c r="G1172" s="17" t="str">
        <f>HYPERLINK("https://www.washoecounty.gov/assessor/cama/?command=sales&amp;parid=01349212","3864516")</f>
        <v>3864516</v>
      </c>
      <c r="H1172" t="s">
        <v>5116</v>
      </c>
      <c r="I1172">
        <v>1959</v>
      </c>
      <c r="J1172">
        <v>1959</v>
      </c>
      <c r="K1172" t="s">
        <v>4554</v>
      </c>
      <c r="L1172" t="s">
        <v>4555</v>
      </c>
      <c r="M1172" s="2">
        <v>1008</v>
      </c>
      <c r="N1172" t="s">
        <v>4672</v>
      </c>
      <c r="O1172">
        <v>3</v>
      </c>
      <c r="P1172">
        <v>1</v>
      </c>
      <c r="Q1172">
        <v>0</v>
      </c>
      <c r="R1172" t="s">
        <v>4557</v>
      </c>
      <c r="S1172" t="s">
        <v>3148</v>
      </c>
      <c r="T1172" t="s">
        <v>4559</v>
      </c>
      <c r="U1172" t="s">
        <v>4655</v>
      </c>
      <c r="V1172" s="2">
        <v>0</v>
      </c>
      <c r="W1172" t="s">
        <v>4655</v>
      </c>
      <c r="X1172" s="2">
        <v>0</v>
      </c>
      <c r="Y1172">
        <v>20</v>
      </c>
      <c r="Z1172" t="s">
        <v>4561</v>
      </c>
      <c r="AA1172" s="3">
        <v>0.15000000596046401</v>
      </c>
      <c r="AB1172" t="s">
        <v>10288</v>
      </c>
      <c r="AC1172" t="s">
        <v>4575</v>
      </c>
      <c r="AD1172" t="s">
        <v>10289</v>
      </c>
      <c r="AE1172" t="s">
        <v>10287</v>
      </c>
      <c r="AF1172" t="s">
        <v>4563</v>
      </c>
      <c r="AG1172" t="s">
        <v>4564</v>
      </c>
      <c r="AH1172">
        <v>89502</v>
      </c>
      <c r="AI1172" t="s">
        <v>378</v>
      </c>
      <c r="AJ1172" t="s">
        <v>10290</v>
      </c>
      <c r="AK1172" t="s">
        <v>10291</v>
      </c>
      <c r="AL1172" s="13" t="s">
        <v>2255</v>
      </c>
      <c r="AM1172">
        <v>1</v>
      </c>
      <c r="AN1172" s="15" t="s">
        <v>5278</v>
      </c>
    </row>
    <row r="1173" spans="1:40" x14ac:dyDescent="0.3">
      <c r="A1173" s="10" t="str">
        <f>HYPERLINK("http://www.washoecounty.gov/assessor/cama/?parid=013-492-15&amp;CardNumber=1","013-492-15")</f>
        <v>013-492-15</v>
      </c>
      <c r="B1173" t="s">
        <v>4655</v>
      </c>
      <c r="C1173" t="s">
        <v>3863</v>
      </c>
      <c r="D1173" s="1">
        <v>40434</v>
      </c>
      <c r="E1173" s="2">
        <v>72000</v>
      </c>
      <c r="F1173" t="s">
        <v>4553</v>
      </c>
      <c r="G1173" s="17" t="str">
        <f>HYPERLINK("https://www.washoecounty.gov/assessor/cama/?command=sales&amp;parid=01349215","3921388")</f>
        <v>3921388</v>
      </c>
      <c r="H1173" t="s">
        <v>3864</v>
      </c>
      <c r="I1173">
        <v>1959</v>
      </c>
      <c r="J1173">
        <v>1959</v>
      </c>
      <c r="K1173" t="s">
        <v>4554</v>
      </c>
      <c r="L1173" t="s">
        <v>4555</v>
      </c>
      <c r="M1173" s="2">
        <v>1008</v>
      </c>
      <c r="N1173" t="s">
        <v>4672</v>
      </c>
      <c r="O1173">
        <v>3</v>
      </c>
      <c r="P1173">
        <v>1</v>
      </c>
      <c r="Q1173">
        <v>0</v>
      </c>
      <c r="R1173" t="s">
        <v>4557</v>
      </c>
      <c r="S1173" t="s">
        <v>4558</v>
      </c>
      <c r="T1173" t="s">
        <v>4559</v>
      </c>
      <c r="U1173" t="s">
        <v>4560</v>
      </c>
      <c r="V1173" s="2">
        <v>312</v>
      </c>
      <c r="W1173" t="s">
        <v>4655</v>
      </c>
      <c r="X1173" s="2">
        <v>0</v>
      </c>
      <c r="Y1173">
        <v>20</v>
      </c>
      <c r="Z1173" t="s">
        <v>4561</v>
      </c>
      <c r="AA1173" s="3">
        <v>0.13999082148075101</v>
      </c>
      <c r="AB1173" t="s">
        <v>3865</v>
      </c>
      <c r="AC1173" t="s">
        <v>4562</v>
      </c>
      <c r="AD1173" t="s">
        <v>3863</v>
      </c>
      <c r="AE1173" t="s">
        <v>4655</v>
      </c>
      <c r="AF1173" t="s">
        <v>4563</v>
      </c>
      <c r="AG1173" t="s">
        <v>4564</v>
      </c>
      <c r="AH1173">
        <v>89502</v>
      </c>
      <c r="AI1173" t="s">
        <v>4565</v>
      </c>
      <c r="AJ1173" t="s">
        <v>3866</v>
      </c>
      <c r="AK1173" t="s">
        <v>3867</v>
      </c>
      <c r="AL1173" s="13" t="s">
        <v>2255</v>
      </c>
      <c r="AM1173">
        <v>1</v>
      </c>
      <c r="AN1173" s="15" t="s">
        <v>5278</v>
      </c>
    </row>
    <row r="1174" spans="1:40" x14ac:dyDescent="0.3">
      <c r="A1174" s="10" t="str">
        <f>HYPERLINK("http://www.washoecounty.gov/assessor/cama/?parid=013-493-04&amp;CardNumber=1","013-493-04")</f>
        <v>013-493-04</v>
      </c>
      <c r="B1174" t="s">
        <v>4655</v>
      </c>
      <c r="C1174" t="s">
        <v>10292</v>
      </c>
      <c r="D1174" s="1">
        <v>40417</v>
      </c>
      <c r="E1174" s="2">
        <v>108000</v>
      </c>
      <c r="F1174" t="s">
        <v>4567</v>
      </c>
      <c r="G1174" s="17" t="str">
        <f>HYPERLINK("https://www.washoecounty.gov/assessor/cama/?command=sales&amp;parid=01349304","3916436")</f>
        <v>3916436</v>
      </c>
      <c r="H1174" t="s">
        <v>5116</v>
      </c>
      <c r="I1174">
        <v>1958</v>
      </c>
      <c r="J1174">
        <v>1958</v>
      </c>
      <c r="K1174" t="s">
        <v>4554</v>
      </c>
      <c r="L1174" t="s">
        <v>4555</v>
      </c>
      <c r="M1174" s="2">
        <v>1008</v>
      </c>
      <c r="N1174" t="s">
        <v>4672</v>
      </c>
      <c r="O1174">
        <v>3</v>
      </c>
      <c r="P1174">
        <v>1</v>
      </c>
      <c r="Q1174">
        <v>0</v>
      </c>
      <c r="R1174" t="s">
        <v>4557</v>
      </c>
      <c r="S1174" t="s">
        <v>4135</v>
      </c>
      <c r="T1174" t="s">
        <v>4559</v>
      </c>
      <c r="U1174" t="s">
        <v>4655</v>
      </c>
      <c r="V1174" s="2">
        <v>0</v>
      </c>
      <c r="W1174" t="s">
        <v>4655</v>
      </c>
      <c r="X1174" s="2">
        <v>0</v>
      </c>
      <c r="Y1174">
        <v>20</v>
      </c>
      <c r="Z1174" t="s">
        <v>4561</v>
      </c>
      <c r="AA1174" s="3">
        <v>0.160009175539017</v>
      </c>
      <c r="AB1174" t="s">
        <v>2734</v>
      </c>
      <c r="AC1174" t="s">
        <v>4562</v>
      </c>
      <c r="AD1174" t="s">
        <v>2735</v>
      </c>
      <c r="AE1174" t="s">
        <v>4655</v>
      </c>
      <c r="AF1174" t="s">
        <v>4563</v>
      </c>
      <c r="AG1174" t="s">
        <v>4564</v>
      </c>
      <c r="AH1174">
        <v>89510</v>
      </c>
      <c r="AI1174" t="s">
        <v>10293</v>
      </c>
      <c r="AJ1174" t="s">
        <v>10294</v>
      </c>
      <c r="AK1174" t="s">
        <v>10295</v>
      </c>
      <c r="AL1174" s="13" t="s">
        <v>2255</v>
      </c>
      <c r="AM1174">
        <v>1</v>
      </c>
      <c r="AN1174" s="15" t="s">
        <v>5278</v>
      </c>
    </row>
    <row r="1175" spans="1:40" x14ac:dyDescent="0.3">
      <c r="A1175" s="10" t="str">
        <f>HYPERLINK("http://www.washoecounty.gov/assessor/cama/?parid=013-493-09&amp;CardNumber=1","013-493-09")</f>
        <v>013-493-09</v>
      </c>
      <c r="B1175" t="s">
        <v>4655</v>
      </c>
      <c r="C1175" t="s">
        <v>10296</v>
      </c>
      <c r="D1175" s="1">
        <v>40267</v>
      </c>
      <c r="E1175" s="2">
        <v>64000</v>
      </c>
      <c r="F1175" t="s">
        <v>4553</v>
      </c>
      <c r="G1175" s="17" t="str">
        <f>HYPERLINK("https://www.washoecounty.gov/assessor/cama/?command=sales&amp;parid=01349309","3865700")</f>
        <v>3865700</v>
      </c>
      <c r="H1175" t="s">
        <v>5116</v>
      </c>
      <c r="I1175">
        <v>1958</v>
      </c>
      <c r="J1175">
        <v>1958</v>
      </c>
      <c r="K1175" t="s">
        <v>4554</v>
      </c>
      <c r="L1175" t="s">
        <v>4555</v>
      </c>
      <c r="M1175" s="2">
        <v>1044</v>
      </c>
      <c r="N1175" t="s">
        <v>4672</v>
      </c>
      <c r="O1175">
        <v>3</v>
      </c>
      <c r="P1175">
        <v>1</v>
      </c>
      <c r="Q1175">
        <v>0</v>
      </c>
      <c r="R1175" t="s">
        <v>4557</v>
      </c>
      <c r="S1175" t="s">
        <v>4135</v>
      </c>
      <c r="T1175" t="s">
        <v>4559</v>
      </c>
      <c r="U1175" t="s">
        <v>4560</v>
      </c>
      <c r="V1175" s="2">
        <v>504</v>
      </c>
      <c r="W1175" t="s">
        <v>4655</v>
      </c>
      <c r="X1175" s="2">
        <v>0</v>
      </c>
      <c r="Y1175">
        <v>20</v>
      </c>
      <c r="Z1175" t="s">
        <v>4561</v>
      </c>
      <c r="AA1175" s="3">
        <v>0.160009175539017</v>
      </c>
      <c r="AB1175" t="s">
        <v>10297</v>
      </c>
      <c r="AC1175" t="s">
        <v>4562</v>
      </c>
      <c r="AD1175" t="s">
        <v>10296</v>
      </c>
      <c r="AE1175" t="s">
        <v>4655</v>
      </c>
      <c r="AF1175" t="s">
        <v>4563</v>
      </c>
      <c r="AG1175" t="s">
        <v>4564</v>
      </c>
      <c r="AH1175">
        <v>89502</v>
      </c>
      <c r="AI1175" t="s">
        <v>4740</v>
      </c>
      <c r="AJ1175" t="s">
        <v>10298</v>
      </c>
      <c r="AK1175" t="s">
        <v>10299</v>
      </c>
      <c r="AL1175" s="13" t="s">
        <v>2255</v>
      </c>
      <c r="AM1175">
        <v>1</v>
      </c>
      <c r="AN1175" s="15" t="s">
        <v>5278</v>
      </c>
    </row>
    <row r="1176" spans="1:40" x14ac:dyDescent="0.3">
      <c r="A1176" s="10" t="str">
        <f>HYPERLINK("http://www.washoecounty.gov/assessor/cama/?parid=013-494-12&amp;CardNumber=1","013-494-12")</f>
        <v>013-494-12</v>
      </c>
      <c r="B1176" t="s">
        <v>4655</v>
      </c>
      <c r="C1176" t="s">
        <v>10300</v>
      </c>
      <c r="D1176" s="1">
        <v>40415</v>
      </c>
      <c r="E1176" s="2">
        <v>89000</v>
      </c>
      <c r="F1176" t="s">
        <v>4553</v>
      </c>
      <c r="G1176" s="17" t="str">
        <f>HYPERLINK("https://www.washoecounty.gov/assessor/cama/?command=sales&amp;parid=01349412","3915449")</f>
        <v>3915449</v>
      </c>
      <c r="H1176" t="s">
        <v>10301</v>
      </c>
      <c r="I1176">
        <v>1958</v>
      </c>
      <c r="J1176">
        <v>1959</v>
      </c>
      <c r="K1176" t="s">
        <v>4554</v>
      </c>
      <c r="L1176" t="s">
        <v>4555</v>
      </c>
      <c r="M1176" s="2">
        <v>1044</v>
      </c>
      <c r="N1176" t="s">
        <v>4556</v>
      </c>
      <c r="O1176">
        <v>3</v>
      </c>
      <c r="P1176">
        <v>1</v>
      </c>
      <c r="Q1176">
        <v>0</v>
      </c>
      <c r="R1176" t="s">
        <v>4557</v>
      </c>
      <c r="S1176" t="s">
        <v>4135</v>
      </c>
      <c r="T1176" t="s">
        <v>4559</v>
      </c>
      <c r="U1176" t="s">
        <v>4560</v>
      </c>
      <c r="V1176" s="2">
        <v>503</v>
      </c>
      <c r="W1176" t="s">
        <v>4655</v>
      </c>
      <c r="X1176" s="2">
        <v>0</v>
      </c>
      <c r="Y1176">
        <v>20</v>
      </c>
      <c r="Z1176" t="s">
        <v>4561</v>
      </c>
      <c r="AA1176" s="3">
        <v>0.15000000596046401</v>
      </c>
      <c r="AB1176" t="s">
        <v>10252</v>
      </c>
      <c r="AC1176" t="s">
        <v>4562</v>
      </c>
      <c r="AD1176" t="s">
        <v>2124</v>
      </c>
      <c r="AE1176" t="s">
        <v>4655</v>
      </c>
      <c r="AF1176" t="s">
        <v>4563</v>
      </c>
      <c r="AG1176" t="s">
        <v>4564</v>
      </c>
      <c r="AH1176">
        <v>89510</v>
      </c>
      <c r="AI1176" t="s">
        <v>4848</v>
      </c>
      <c r="AJ1176" t="s">
        <v>10302</v>
      </c>
      <c r="AK1176" t="s">
        <v>10303</v>
      </c>
      <c r="AL1176" s="13" t="s">
        <v>2255</v>
      </c>
      <c r="AM1176" s="14">
        <v>1</v>
      </c>
      <c r="AN1176" s="15" t="s">
        <v>5278</v>
      </c>
    </row>
    <row r="1177" spans="1:40" x14ac:dyDescent="0.3">
      <c r="A1177" s="10" t="str">
        <f>HYPERLINK("http://www.washoecounty.gov/assessor/cama/?parid=013-510-02&amp;CardNumber=1","013-510-02")</f>
        <v>013-510-02</v>
      </c>
      <c r="B1177" t="s">
        <v>4655</v>
      </c>
      <c r="C1177" t="s">
        <v>10304</v>
      </c>
      <c r="D1177" s="1">
        <v>40246</v>
      </c>
      <c r="E1177" s="2">
        <v>44600</v>
      </c>
      <c r="F1177" t="s">
        <v>4553</v>
      </c>
      <c r="G1177" s="17" t="str">
        <f>HYPERLINK("https://www.washoecounty.gov/assessor/cama/?command=sales&amp;parid=01351002","3857485")</f>
        <v>3857485</v>
      </c>
      <c r="H1177" t="s">
        <v>10305</v>
      </c>
      <c r="I1177">
        <v>1944</v>
      </c>
      <c r="J1177">
        <v>1944</v>
      </c>
      <c r="K1177" t="s">
        <v>4554</v>
      </c>
      <c r="L1177" t="s">
        <v>4555</v>
      </c>
      <c r="M1177" s="2">
        <v>832</v>
      </c>
      <c r="N1177" t="s">
        <v>4133</v>
      </c>
      <c r="O1177">
        <v>2</v>
      </c>
      <c r="P1177">
        <v>1</v>
      </c>
      <c r="Q1177">
        <v>0</v>
      </c>
      <c r="R1177" t="s">
        <v>1800</v>
      </c>
      <c r="S1177" t="s">
        <v>4574</v>
      </c>
      <c r="T1177" t="s">
        <v>4559</v>
      </c>
      <c r="U1177" t="s">
        <v>4655</v>
      </c>
      <c r="V1177" s="2">
        <v>0</v>
      </c>
      <c r="W1177" t="s">
        <v>4655</v>
      </c>
      <c r="X1177" s="2">
        <v>0</v>
      </c>
      <c r="Y1177">
        <v>20</v>
      </c>
      <c r="Z1177" t="s">
        <v>2705</v>
      </c>
      <c r="AA1177" s="3">
        <v>0.101193755865097</v>
      </c>
      <c r="AB1177" t="s">
        <v>10306</v>
      </c>
      <c r="AC1177" t="s">
        <v>4562</v>
      </c>
      <c r="AD1177" t="s">
        <v>10307</v>
      </c>
      <c r="AE1177" t="s">
        <v>4655</v>
      </c>
      <c r="AF1177" t="s">
        <v>4563</v>
      </c>
      <c r="AG1177" t="s">
        <v>4564</v>
      </c>
      <c r="AH1177">
        <v>89501</v>
      </c>
      <c r="AI1177" t="s">
        <v>4145</v>
      </c>
      <c r="AJ1177" t="s">
        <v>10308</v>
      </c>
      <c r="AK1177" t="s">
        <v>10309</v>
      </c>
      <c r="AL1177" s="13" t="s">
        <v>2255</v>
      </c>
      <c r="AM1177">
        <v>1</v>
      </c>
      <c r="AN1177" s="15" t="s">
        <v>5278</v>
      </c>
    </row>
    <row r="1178" spans="1:40" x14ac:dyDescent="0.3">
      <c r="A1178" s="10" t="str">
        <f>HYPERLINK("http://www.washoecounty.gov/assessor/cama/?parid=013-510-03&amp;CardNumber=1","013-510-03")</f>
        <v>013-510-03</v>
      </c>
      <c r="B1178" t="s">
        <v>4655</v>
      </c>
      <c r="C1178" t="s">
        <v>10310</v>
      </c>
      <c r="D1178" s="1">
        <v>40268</v>
      </c>
      <c r="E1178" s="2">
        <v>50000</v>
      </c>
      <c r="F1178" t="s">
        <v>4553</v>
      </c>
      <c r="G1178" s="17" t="str">
        <f>HYPERLINK("https://www.washoecounty.gov/assessor/cama/?command=sales&amp;parid=01351003","3866248")</f>
        <v>3866248</v>
      </c>
      <c r="H1178" t="s">
        <v>10305</v>
      </c>
      <c r="I1178">
        <v>1955</v>
      </c>
      <c r="J1178">
        <v>1955</v>
      </c>
      <c r="K1178" t="s">
        <v>4907</v>
      </c>
      <c r="L1178" t="s">
        <v>4555</v>
      </c>
      <c r="M1178" s="2">
        <v>1040</v>
      </c>
      <c r="N1178" t="s">
        <v>4556</v>
      </c>
      <c r="O1178">
        <v>2</v>
      </c>
      <c r="P1178">
        <v>2</v>
      </c>
      <c r="Q1178">
        <v>0</v>
      </c>
      <c r="R1178" t="s">
        <v>4134</v>
      </c>
      <c r="S1178" t="s">
        <v>4574</v>
      </c>
      <c r="T1178" t="s">
        <v>4559</v>
      </c>
      <c r="U1178" t="s">
        <v>4655</v>
      </c>
      <c r="V1178" s="2">
        <v>0</v>
      </c>
      <c r="W1178" t="s">
        <v>4655</v>
      </c>
      <c r="X1178" s="2">
        <v>0</v>
      </c>
      <c r="Y1178">
        <v>30</v>
      </c>
      <c r="Z1178" t="s">
        <v>2705</v>
      </c>
      <c r="AA1178" s="3">
        <v>8.8429749011993394E-2</v>
      </c>
      <c r="AB1178" t="s">
        <v>1867</v>
      </c>
      <c r="AC1178" t="s">
        <v>4562</v>
      </c>
      <c r="AD1178" t="s">
        <v>4138</v>
      </c>
      <c r="AE1178" t="s">
        <v>4655</v>
      </c>
      <c r="AF1178" t="s">
        <v>4563</v>
      </c>
      <c r="AG1178" t="s">
        <v>4564</v>
      </c>
      <c r="AH1178">
        <v>89510</v>
      </c>
      <c r="AI1178" t="s">
        <v>10311</v>
      </c>
      <c r="AJ1178" t="s">
        <v>10308</v>
      </c>
      <c r="AK1178" t="s">
        <v>10312</v>
      </c>
      <c r="AL1178" s="13" t="s">
        <v>2255</v>
      </c>
      <c r="AM1178" s="14">
        <v>2</v>
      </c>
      <c r="AN1178" s="15" t="s">
        <v>3172</v>
      </c>
    </row>
    <row r="1179" spans="1:40" x14ac:dyDescent="0.3">
      <c r="A1179" s="10" t="str">
        <f>HYPERLINK("http://www.washoecounty.gov/assessor/cama/?parid=014-011-20&amp;CardNumber=1","014-011-20")</f>
        <v>014-011-20</v>
      </c>
      <c r="B1179" t="s">
        <v>4655</v>
      </c>
      <c r="C1179" t="s">
        <v>10313</v>
      </c>
      <c r="D1179" s="1">
        <v>40450</v>
      </c>
      <c r="E1179" s="2">
        <v>475000</v>
      </c>
      <c r="F1179" t="s">
        <v>4567</v>
      </c>
      <c r="G1179" s="17" t="str">
        <f>HYPERLINK("https://www.washoecounty.gov/assessor/cama/?command=sales&amp;parid=01401120","3927656")</f>
        <v>3927656</v>
      </c>
      <c r="H1179" t="s">
        <v>1958</v>
      </c>
      <c r="I1179">
        <v>2001</v>
      </c>
      <c r="J1179">
        <v>2001</v>
      </c>
      <c r="K1179" t="s">
        <v>4554</v>
      </c>
      <c r="L1179" t="s">
        <v>3974</v>
      </c>
      <c r="M1179" s="2">
        <v>2660</v>
      </c>
      <c r="N1179" t="s">
        <v>5280</v>
      </c>
      <c r="O1179">
        <v>2</v>
      </c>
      <c r="P1179">
        <v>3</v>
      </c>
      <c r="Q1179">
        <v>0</v>
      </c>
      <c r="R1179" t="s">
        <v>5281</v>
      </c>
      <c r="S1179" t="s">
        <v>4898</v>
      </c>
      <c r="T1179" t="s">
        <v>2704</v>
      </c>
      <c r="U1179" t="s">
        <v>4655</v>
      </c>
      <c r="V1179" s="2">
        <v>0</v>
      </c>
      <c r="W1179" t="s">
        <v>4655</v>
      </c>
      <c r="X1179" s="2">
        <v>0</v>
      </c>
      <c r="Y1179">
        <v>20</v>
      </c>
      <c r="Z1179" t="s">
        <v>4561</v>
      </c>
      <c r="AA1179" s="3">
        <v>0.17100550234317799</v>
      </c>
      <c r="AB1179" t="s">
        <v>10314</v>
      </c>
      <c r="AC1179" t="s">
        <v>4575</v>
      </c>
      <c r="AD1179" t="s">
        <v>10313</v>
      </c>
      <c r="AE1179" t="s">
        <v>4655</v>
      </c>
      <c r="AF1179" t="s">
        <v>4563</v>
      </c>
      <c r="AG1179" t="s">
        <v>4564</v>
      </c>
      <c r="AH1179">
        <v>89509</v>
      </c>
      <c r="AI1179" t="s">
        <v>10315</v>
      </c>
      <c r="AJ1179" t="s">
        <v>4655</v>
      </c>
      <c r="AK1179" t="s">
        <v>10316</v>
      </c>
      <c r="AL1179" s="13" t="s">
        <v>2255</v>
      </c>
      <c r="AM1179">
        <v>1</v>
      </c>
      <c r="AN1179" s="15" t="s">
        <v>1851</v>
      </c>
    </row>
    <row r="1180" spans="1:40" x14ac:dyDescent="0.3">
      <c r="A1180" s="10" t="str">
        <f>HYPERLINK("http://www.washoecounty.gov/assessor/cama/?parid=014-012-09&amp;CardNumber=1","014-012-09")</f>
        <v>014-012-09</v>
      </c>
      <c r="B1180" t="s">
        <v>4655</v>
      </c>
      <c r="C1180" t="s">
        <v>10317</v>
      </c>
      <c r="D1180" s="1">
        <v>40225</v>
      </c>
      <c r="E1180" s="2">
        <v>390000</v>
      </c>
      <c r="F1180" t="s">
        <v>4567</v>
      </c>
      <c r="G1180" s="17" t="str">
        <f>HYPERLINK("https://www.washoecounty.gov/assessor/cama/?command=sales&amp;parid=01401209","3849589")</f>
        <v>3849589</v>
      </c>
      <c r="H1180" t="s">
        <v>10318</v>
      </c>
      <c r="I1180">
        <v>1940</v>
      </c>
      <c r="J1180">
        <v>1957</v>
      </c>
      <c r="K1180" t="s">
        <v>4554</v>
      </c>
      <c r="L1180" t="s">
        <v>4555</v>
      </c>
      <c r="M1180" s="2">
        <v>1119</v>
      </c>
      <c r="N1180" t="s">
        <v>3147</v>
      </c>
      <c r="O1180">
        <v>3</v>
      </c>
      <c r="P1180">
        <v>2</v>
      </c>
      <c r="Q1180">
        <v>1</v>
      </c>
      <c r="R1180" t="s">
        <v>5281</v>
      </c>
      <c r="S1180" t="s">
        <v>4682</v>
      </c>
      <c r="T1180" t="s">
        <v>4559</v>
      </c>
      <c r="U1180" t="s">
        <v>4655</v>
      </c>
      <c r="V1180" s="2">
        <v>0</v>
      </c>
      <c r="W1180" t="s">
        <v>4571</v>
      </c>
      <c r="X1180" s="2">
        <v>1119</v>
      </c>
      <c r="Y1180">
        <v>20</v>
      </c>
      <c r="Z1180" t="s">
        <v>4561</v>
      </c>
      <c r="AA1180" s="3">
        <v>0.19699265062808999</v>
      </c>
      <c r="AB1180" t="s">
        <v>10319</v>
      </c>
      <c r="AC1180" t="s">
        <v>4575</v>
      </c>
      <c r="AD1180" t="s">
        <v>10317</v>
      </c>
      <c r="AE1180" t="s">
        <v>4655</v>
      </c>
      <c r="AF1180" t="s">
        <v>4563</v>
      </c>
      <c r="AG1180" t="s">
        <v>4564</v>
      </c>
      <c r="AH1180">
        <v>89509</v>
      </c>
      <c r="AI1180" t="s">
        <v>10320</v>
      </c>
      <c r="AJ1180" t="s">
        <v>4655</v>
      </c>
      <c r="AK1180" t="s">
        <v>10321</v>
      </c>
      <c r="AL1180" s="13" t="s">
        <v>2255</v>
      </c>
      <c r="AM1180" s="14">
        <v>1</v>
      </c>
      <c r="AN1180" s="15" t="s">
        <v>1851</v>
      </c>
    </row>
    <row r="1181" spans="1:40" x14ac:dyDescent="0.3">
      <c r="A1181" s="10" t="str">
        <f>HYPERLINK("http://www.washoecounty.gov/assessor/cama/?parid=014-012-11&amp;CardNumber=1","014-012-11")</f>
        <v>014-012-11</v>
      </c>
      <c r="B1181" t="s">
        <v>4655</v>
      </c>
      <c r="C1181" t="s">
        <v>10322</v>
      </c>
      <c r="D1181" s="1">
        <v>40473</v>
      </c>
      <c r="E1181" s="2">
        <v>212000</v>
      </c>
      <c r="F1181" t="s">
        <v>4553</v>
      </c>
      <c r="G1181" s="17" t="str">
        <f>HYPERLINK("https://www.washoecounty.gov/assessor/cama/?command=sales&amp;parid=01401211","3935840")</f>
        <v>3935840</v>
      </c>
      <c r="H1181" t="s">
        <v>10323</v>
      </c>
      <c r="I1181">
        <v>1941</v>
      </c>
      <c r="J1181">
        <v>1941</v>
      </c>
      <c r="K1181" t="s">
        <v>4554</v>
      </c>
      <c r="L1181" t="s">
        <v>4555</v>
      </c>
      <c r="M1181" s="2">
        <v>1074</v>
      </c>
      <c r="N1181" t="s">
        <v>3147</v>
      </c>
      <c r="O1181">
        <v>3</v>
      </c>
      <c r="P1181">
        <v>2</v>
      </c>
      <c r="Q1181">
        <v>0</v>
      </c>
      <c r="R1181" t="s">
        <v>4557</v>
      </c>
      <c r="S1181" t="s">
        <v>4682</v>
      </c>
      <c r="T1181" t="s">
        <v>4559</v>
      </c>
      <c r="U1181" t="s">
        <v>4655</v>
      </c>
      <c r="V1181" s="2">
        <v>0</v>
      </c>
      <c r="W1181" t="s">
        <v>3149</v>
      </c>
      <c r="X1181" s="2">
        <v>540</v>
      </c>
      <c r="Y1181">
        <v>20</v>
      </c>
      <c r="Z1181" t="s">
        <v>4561</v>
      </c>
      <c r="AA1181" s="3">
        <v>0.14201101660728499</v>
      </c>
      <c r="AB1181" t="s">
        <v>10324</v>
      </c>
      <c r="AC1181" t="s">
        <v>4562</v>
      </c>
      <c r="AD1181" t="s">
        <v>10322</v>
      </c>
      <c r="AE1181" t="s">
        <v>4655</v>
      </c>
      <c r="AF1181" t="s">
        <v>4563</v>
      </c>
      <c r="AG1181" t="s">
        <v>4564</v>
      </c>
      <c r="AH1181">
        <v>89509</v>
      </c>
      <c r="AI1181" t="s">
        <v>10325</v>
      </c>
      <c r="AJ1181" t="s">
        <v>4655</v>
      </c>
      <c r="AK1181" t="s">
        <v>10326</v>
      </c>
      <c r="AL1181" s="13" t="s">
        <v>2255</v>
      </c>
      <c r="AM1181">
        <v>1</v>
      </c>
      <c r="AN1181" s="15" t="s">
        <v>1851</v>
      </c>
    </row>
    <row r="1182" spans="1:40" x14ac:dyDescent="0.3">
      <c r="A1182" s="10" t="str">
        <f>HYPERLINK("http://www.washoecounty.gov/assessor/cama/?parid=014-013-01&amp;CardNumber=1","014-013-01")</f>
        <v>014-013-01</v>
      </c>
      <c r="B1182" t="s">
        <v>4655</v>
      </c>
      <c r="C1182" t="s">
        <v>10327</v>
      </c>
      <c r="D1182" s="1">
        <v>40358</v>
      </c>
      <c r="E1182" s="2">
        <v>280000</v>
      </c>
      <c r="F1182" t="s">
        <v>4567</v>
      </c>
      <c r="G1182" s="17" t="str">
        <f>HYPERLINK("https://www.washoecounty.gov/assessor/cama/?command=sales&amp;parid=01401301","3896789")</f>
        <v>3896789</v>
      </c>
      <c r="H1182" t="s">
        <v>474</v>
      </c>
      <c r="I1182">
        <v>1945</v>
      </c>
      <c r="J1182">
        <v>1945</v>
      </c>
      <c r="K1182" t="s">
        <v>4554</v>
      </c>
      <c r="L1182" t="s">
        <v>2170</v>
      </c>
      <c r="M1182" s="2">
        <v>2176</v>
      </c>
      <c r="N1182" t="s">
        <v>3147</v>
      </c>
      <c r="O1182">
        <v>4</v>
      </c>
      <c r="P1182">
        <v>1</v>
      </c>
      <c r="Q1182">
        <v>1</v>
      </c>
      <c r="R1182" t="s">
        <v>4557</v>
      </c>
      <c r="S1182" t="s">
        <v>4682</v>
      </c>
      <c r="T1182" t="s">
        <v>4559</v>
      </c>
      <c r="U1182" t="s">
        <v>4655</v>
      </c>
      <c r="V1182" s="2">
        <v>0</v>
      </c>
      <c r="W1182" t="s">
        <v>4655</v>
      </c>
      <c r="X1182" s="2">
        <v>0</v>
      </c>
      <c r="Y1182">
        <v>20</v>
      </c>
      <c r="Z1182" t="s">
        <v>4561</v>
      </c>
      <c r="AA1182" s="3">
        <v>0.16499081254005399</v>
      </c>
      <c r="AB1182" t="s">
        <v>10328</v>
      </c>
      <c r="AC1182" t="s">
        <v>4562</v>
      </c>
      <c r="AD1182" t="s">
        <v>10327</v>
      </c>
      <c r="AE1182" t="s">
        <v>4655</v>
      </c>
      <c r="AF1182" t="s">
        <v>4563</v>
      </c>
      <c r="AG1182" t="s">
        <v>4564</v>
      </c>
      <c r="AH1182">
        <v>89509</v>
      </c>
      <c r="AI1182" t="s">
        <v>10329</v>
      </c>
      <c r="AJ1182" t="s">
        <v>4655</v>
      </c>
      <c r="AK1182" t="s">
        <v>10330</v>
      </c>
      <c r="AL1182" s="13" t="s">
        <v>2255</v>
      </c>
      <c r="AM1182">
        <v>1</v>
      </c>
      <c r="AN1182" s="15" t="s">
        <v>1851</v>
      </c>
    </row>
    <row r="1183" spans="1:40" x14ac:dyDescent="0.3">
      <c r="A1183" s="10" t="str">
        <f>HYPERLINK("http://www.washoecounty.gov/assessor/cama/?parid=014-021-24&amp;CardNumber=1","014-021-24")</f>
        <v>014-021-24</v>
      </c>
      <c r="B1183" t="s">
        <v>4655</v>
      </c>
      <c r="C1183" t="s">
        <v>10331</v>
      </c>
      <c r="D1183" s="1">
        <v>40280</v>
      </c>
      <c r="E1183" s="2">
        <v>250000</v>
      </c>
      <c r="F1183" t="s">
        <v>4567</v>
      </c>
      <c r="G1183" s="17" t="str">
        <f>HYPERLINK("https://www.washoecounty.gov/assessor/cama/?command=sales&amp;parid=01402124","3869865")</f>
        <v>3869865</v>
      </c>
      <c r="H1183" t="s">
        <v>1374</v>
      </c>
      <c r="I1183">
        <v>1963</v>
      </c>
      <c r="J1183">
        <v>1963</v>
      </c>
      <c r="K1183" t="s">
        <v>4554</v>
      </c>
      <c r="L1183" t="s">
        <v>4555</v>
      </c>
      <c r="M1183" s="2">
        <v>1591</v>
      </c>
      <c r="N1183" t="s">
        <v>5280</v>
      </c>
      <c r="O1183">
        <v>3</v>
      </c>
      <c r="P1183">
        <v>2</v>
      </c>
      <c r="Q1183">
        <v>0</v>
      </c>
      <c r="R1183" t="s">
        <v>5281</v>
      </c>
      <c r="S1183" t="s">
        <v>3148</v>
      </c>
      <c r="T1183" t="s">
        <v>4559</v>
      </c>
      <c r="U1183" t="s">
        <v>4560</v>
      </c>
      <c r="V1183" s="2">
        <v>506</v>
      </c>
      <c r="W1183" t="s">
        <v>4655</v>
      </c>
      <c r="X1183" s="2">
        <v>0</v>
      </c>
      <c r="Y1183">
        <v>20</v>
      </c>
      <c r="Z1183" t="s">
        <v>4561</v>
      </c>
      <c r="AA1183" s="3">
        <v>0.14499540627002699</v>
      </c>
      <c r="AB1183" t="s">
        <v>10332</v>
      </c>
      <c r="AC1183" t="s">
        <v>4562</v>
      </c>
      <c r="AD1183" t="s">
        <v>10331</v>
      </c>
      <c r="AE1183" t="s">
        <v>4655</v>
      </c>
      <c r="AF1183" t="s">
        <v>4563</v>
      </c>
      <c r="AG1183" t="s">
        <v>4564</v>
      </c>
      <c r="AH1183">
        <v>89509</v>
      </c>
      <c r="AI1183" t="s">
        <v>10333</v>
      </c>
      <c r="AJ1183" t="s">
        <v>4655</v>
      </c>
      <c r="AK1183" t="s">
        <v>10334</v>
      </c>
      <c r="AL1183" s="13" t="s">
        <v>2255</v>
      </c>
      <c r="AM1183">
        <v>1</v>
      </c>
      <c r="AN1183" s="15" t="s">
        <v>3444</v>
      </c>
    </row>
    <row r="1184" spans="1:40" x14ac:dyDescent="0.3">
      <c r="A1184" s="10" t="str">
        <f>HYPERLINK("http://www.washoecounty.gov/assessor/cama/?parid=014-021-26&amp;CardNumber=1","014-021-26")</f>
        <v>014-021-26</v>
      </c>
      <c r="B1184" t="s">
        <v>4655</v>
      </c>
      <c r="C1184" t="s">
        <v>10335</v>
      </c>
      <c r="D1184" s="1">
        <v>40477</v>
      </c>
      <c r="E1184" s="2">
        <v>242500</v>
      </c>
      <c r="F1184" t="s">
        <v>4567</v>
      </c>
      <c r="G1184" s="17" t="str">
        <f>HYPERLINK("https://www.washoecounty.gov/assessor/cama/?command=sales&amp;parid=01402126","3936482")</f>
        <v>3936482</v>
      </c>
      <c r="H1184" t="s">
        <v>10336</v>
      </c>
      <c r="I1184">
        <v>1939</v>
      </c>
      <c r="J1184">
        <v>1939</v>
      </c>
      <c r="K1184" t="s">
        <v>4554</v>
      </c>
      <c r="L1184" t="s">
        <v>4555</v>
      </c>
      <c r="M1184" s="2">
        <v>1285</v>
      </c>
      <c r="N1184" t="s">
        <v>5280</v>
      </c>
      <c r="O1184">
        <v>2</v>
      </c>
      <c r="P1184">
        <v>1</v>
      </c>
      <c r="Q1184">
        <v>1</v>
      </c>
      <c r="R1184" t="s">
        <v>4557</v>
      </c>
      <c r="S1184" t="s">
        <v>4574</v>
      </c>
      <c r="T1184" t="s">
        <v>4559</v>
      </c>
      <c r="U1184" t="s">
        <v>4560</v>
      </c>
      <c r="V1184" s="2">
        <v>264</v>
      </c>
      <c r="W1184" t="s">
        <v>3149</v>
      </c>
      <c r="X1184" s="2">
        <v>372</v>
      </c>
      <c r="Y1184">
        <v>20</v>
      </c>
      <c r="Z1184" t="s">
        <v>4561</v>
      </c>
      <c r="AA1184" s="3">
        <v>0.16600091755390201</v>
      </c>
      <c r="AB1184" t="s">
        <v>10337</v>
      </c>
      <c r="AC1184" t="s">
        <v>4562</v>
      </c>
      <c r="AD1184" t="s">
        <v>10338</v>
      </c>
      <c r="AE1184" t="s">
        <v>4655</v>
      </c>
      <c r="AF1184" t="s">
        <v>4563</v>
      </c>
      <c r="AG1184" t="s">
        <v>4564</v>
      </c>
      <c r="AH1184">
        <v>89509</v>
      </c>
      <c r="AI1184" t="s">
        <v>10339</v>
      </c>
      <c r="AJ1184" t="s">
        <v>4655</v>
      </c>
      <c r="AK1184" t="s">
        <v>10340</v>
      </c>
      <c r="AL1184" s="13" t="s">
        <v>2255</v>
      </c>
      <c r="AM1184" s="14">
        <v>1</v>
      </c>
      <c r="AN1184" s="15" t="s">
        <v>3444</v>
      </c>
    </row>
    <row r="1185" spans="1:40" x14ac:dyDescent="0.3">
      <c r="A1185" s="10" t="str">
        <f>HYPERLINK("http://www.washoecounty.gov/assessor/cama/?parid=014-022-02&amp;CardNumber=1","014-022-02")</f>
        <v>014-022-02</v>
      </c>
      <c r="B1185" t="s">
        <v>4655</v>
      </c>
      <c r="C1185" t="s">
        <v>10341</v>
      </c>
      <c r="D1185" s="1">
        <v>40408</v>
      </c>
      <c r="E1185" s="2">
        <v>205000</v>
      </c>
      <c r="F1185" t="s">
        <v>4567</v>
      </c>
      <c r="G1185" s="17" t="str">
        <f>HYPERLINK("https://www.washoecounty.gov/assessor/cama/?command=sales&amp;parid=01402202","3913381")</f>
        <v>3913381</v>
      </c>
      <c r="H1185" t="s">
        <v>10318</v>
      </c>
      <c r="I1185">
        <v>1948</v>
      </c>
      <c r="J1185">
        <v>1948</v>
      </c>
      <c r="K1185" t="s">
        <v>4907</v>
      </c>
      <c r="L1185" t="s">
        <v>4555</v>
      </c>
      <c r="M1185" s="2">
        <v>1599</v>
      </c>
      <c r="N1185" t="s">
        <v>5280</v>
      </c>
      <c r="O1185">
        <v>4</v>
      </c>
      <c r="P1185">
        <v>2</v>
      </c>
      <c r="Q1185">
        <v>0</v>
      </c>
      <c r="R1185" t="s">
        <v>4557</v>
      </c>
      <c r="S1185" t="s">
        <v>4574</v>
      </c>
      <c r="T1185" t="s">
        <v>4559</v>
      </c>
      <c r="U1185" t="s">
        <v>4560</v>
      </c>
      <c r="V1185" s="2">
        <v>462</v>
      </c>
      <c r="W1185" t="s">
        <v>3149</v>
      </c>
      <c r="X1185" s="2">
        <v>100</v>
      </c>
      <c r="Y1185">
        <v>30</v>
      </c>
      <c r="Z1185" t="s">
        <v>4144</v>
      </c>
      <c r="AA1185" s="3">
        <v>0.13200183212757099</v>
      </c>
      <c r="AB1185" t="s">
        <v>10342</v>
      </c>
      <c r="AC1185" t="s">
        <v>4562</v>
      </c>
      <c r="AD1185" t="s">
        <v>10341</v>
      </c>
      <c r="AE1185" t="s">
        <v>4655</v>
      </c>
      <c r="AF1185" t="s">
        <v>4563</v>
      </c>
      <c r="AG1185" t="s">
        <v>4564</v>
      </c>
      <c r="AH1185">
        <v>89509</v>
      </c>
      <c r="AI1185" t="s">
        <v>10343</v>
      </c>
      <c r="AJ1185" t="s">
        <v>4655</v>
      </c>
      <c r="AK1185" t="s">
        <v>10344</v>
      </c>
      <c r="AL1185" s="13" t="s">
        <v>2255</v>
      </c>
      <c r="AM1185">
        <v>2</v>
      </c>
      <c r="AN1185" s="15" t="s">
        <v>3442</v>
      </c>
    </row>
    <row r="1186" spans="1:40" x14ac:dyDescent="0.3">
      <c r="A1186" s="10" t="str">
        <f>HYPERLINK("http://www.washoecounty.gov/assessor/cama/?parid=014-031-23&amp;CardNumber=1","014-031-23")</f>
        <v>014-031-23</v>
      </c>
      <c r="B1186" t="s">
        <v>4655</v>
      </c>
      <c r="C1186" t="s">
        <v>10345</v>
      </c>
      <c r="D1186" s="1">
        <v>40487</v>
      </c>
      <c r="E1186" s="2">
        <v>185000</v>
      </c>
      <c r="F1186" t="s">
        <v>4567</v>
      </c>
      <c r="G1186" s="17" t="str">
        <f>HYPERLINK("https://www.washoecounty.gov/assessor/cama/?command=sales&amp;parid=01403123","3940395")</f>
        <v>3940395</v>
      </c>
      <c r="H1186" t="s">
        <v>10346</v>
      </c>
      <c r="I1186">
        <v>1938</v>
      </c>
      <c r="J1186">
        <v>1938</v>
      </c>
      <c r="K1186" t="s">
        <v>4554</v>
      </c>
      <c r="L1186" t="s">
        <v>4555</v>
      </c>
      <c r="M1186" s="2">
        <v>982</v>
      </c>
      <c r="N1186" t="s">
        <v>5280</v>
      </c>
      <c r="O1186">
        <v>2</v>
      </c>
      <c r="P1186">
        <v>1</v>
      </c>
      <c r="Q1186">
        <v>0</v>
      </c>
      <c r="R1186" t="s">
        <v>4557</v>
      </c>
      <c r="S1186" t="s">
        <v>4682</v>
      </c>
      <c r="T1186" t="s">
        <v>4559</v>
      </c>
      <c r="U1186" t="s">
        <v>4655</v>
      </c>
      <c r="V1186" s="2">
        <v>0</v>
      </c>
      <c r="W1186" t="s">
        <v>3149</v>
      </c>
      <c r="X1186" s="2">
        <v>201</v>
      </c>
      <c r="Y1186">
        <v>20</v>
      </c>
      <c r="Z1186" t="s">
        <v>4561</v>
      </c>
      <c r="AA1186" s="3">
        <v>0.17899449169635773</v>
      </c>
      <c r="AB1186" t="s">
        <v>10347</v>
      </c>
      <c r="AC1186" t="s">
        <v>4562</v>
      </c>
      <c r="AD1186" t="s">
        <v>10345</v>
      </c>
      <c r="AE1186" t="s">
        <v>4655</v>
      </c>
      <c r="AF1186" t="s">
        <v>4563</v>
      </c>
      <c r="AG1186" t="s">
        <v>4564</v>
      </c>
      <c r="AH1186">
        <v>89509</v>
      </c>
      <c r="AI1186" t="s">
        <v>10348</v>
      </c>
      <c r="AJ1186" t="s">
        <v>4655</v>
      </c>
      <c r="AK1186" t="s">
        <v>10349</v>
      </c>
      <c r="AL1186" s="13" t="s">
        <v>2255</v>
      </c>
      <c r="AM1186">
        <v>1</v>
      </c>
      <c r="AN1186" s="15" t="s">
        <v>3444</v>
      </c>
    </row>
    <row r="1187" spans="1:40" x14ac:dyDescent="0.3">
      <c r="A1187" s="10" t="str">
        <f>HYPERLINK("http://www.washoecounty.gov/assessor/cama/?parid=014-046-15&amp;CardNumber=1","014-046-15")</f>
        <v>014-046-15</v>
      </c>
      <c r="B1187" t="s">
        <v>4655</v>
      </c>
      <c r="C1187" t="s">
        <v>10350</v>
      </c>
      <c r="D1187" s="1">
        <v>40471</v>
      </c>
      <c r="E1187" s="2">
        <v>220000</v>
      </c>
      <c r="F1187" t="s">
        <v>4567</v>
      </c>
      <c r="G1187" s="17" t="str">
        <f>HYPERLINK("https://www.washoecounty.gov/assessor/cama/?command=sales&amp;parid=01404615","3934953")</f>
        <v>3934953</v>
      </c>
      <c r="H1187" t="s">
        <v>474</v>
      </c>
      <c r="I1187">
        <v>1938</v>
      </c>
      <c r="J1187">
        <v>1938</v>
      </c>
      <c r="K1187" t="s">
        <v>4554</v>
      </c>
      <c r="L1187" t="s">
        <v>4555</v>
      </c>
      <c r="M1187" s="2">
        <v>1040</v>
      </c>
      <c r="N1187" t="s">
        <v>5280</v>
      </c>
      <c r="O1187">
        <v>2</v>
      </c>
      <c r="P1187">
        <v>1</v>
      </c>
      <c r="Q1187">
        <v>0</v>
      </c>
      <c r="R1187" t="s">
        <v>4557</v>
      </c>
      <c r="S1187" t="s">
        <v>4682</v>
      </c>
      <c r="T1187" t="s">
        <v>4559</v>
      </c>
      <c r="U1187" t="s">
        <v>4655</v>
      </c>
      <c r="V1187" s="2">
        <v>0</v>
      </c>
      <c r="W1187" t="s">
        <v>3149</v>
      </c>
      <c r="X1187" s="2">
        <v>1040</v>
      </c>
      <c r="Y1187">
        <v>20</v>
      </c>
      <c r="Z1187" t="s">
        <v>4144</v>
      </c>
      <c r="AA1187" s="3">
        <v>0.16099633276462599</v>
      </c>
      <c r="AB1187" t="s">
        <v>10351</v>
      </c>
      <c r="AC1187" t="s">
        <v>4562</v>
      </c>
      <c r="AD1187" t="s">
        <v>10352</v>
      </c>
      <c r="AE1187" t="s">
        <v>4655</v>
      </c>
      <c r="AF1187" t="s">
        <v>4563</v>
      </c>
      <c r="AG1187" t="s">
        <v>4564</v>
      </c>
      <c r="AH1187">
        <v>89509</v>
      </c>
      <c r="AI1187" t="s">
        <v>10353</v>
      </c>
      <c r="AJ1187" t="s">
        <v>4655</v>
      </c>
      <c r="AK1187" t="s">
        <v>10354</v>
      </c>
      <c r="AL1187" s="13" t="s">
        <v>2255</v>
      </c>
      <c r="AM1187">
        <v>1</v>
      </c>
      <c r="AN1187" s="15" t="s">
        <v>2516</v>
      </c>
    </row>
    <row r="1188" spans="1:40" x14ac:dyDescent="0.3">
      <c r="A1188" s="10" t="str">
        <f>HYPERLINK("http://www.washoecounty.gov/assessor/cama/?parid=014-052-10&amp;CardNumber=1","014-052-10")</f>
        <v>014-052-10</v>
      </c>
      <c r="B1188" t="s">
        <v>4655</v>
      </c>
      <c r="C1188" t="s">
        <v>10355</v>
      </c>
      <c r="D1188" s="1">
        <v>40333</v>
      </c>
      <c r="E1188" s="2">
        <v>314000</v>
      </c>
      <c r="F1188" t="s">
        <v>4567</v>
      </c>
      <c r="G1188" s="17" t="str">
        <f>HYPERLINK("https://www.washoecounty.gov/assessor/cama/?command=sales&amp;parid=01405210","3888446")</f>
        <v>3888446</v>
      </c>
      <c r="H1188" t="s">
        <v>10356</v>
      </c>
      <c r="I1188">
        <v>1935</v>
      </c>
      <c r="J1188">
        <v>1935</v>
      </c>
      <c r="K1188" t="s">
        <v>4554</v>
      </c>
      <c r="L1188" t="s">
        <v>3974</v>
      </c>
      <c r="M1188" s="2">
        <v>1360</v>
      </c>
      <c r="N1188" t="s">
        <v>5280</v>
      </c>
      <c r="O1188">
        <v>3</v>
      </c>
      <c r="P1188">
        <v>2</v>
      </c>
      <c r="Q1188">
        <v>0</v>
      </c>
      <c r="R1188" t="s">
        <v>4557</v>
      </c>
      <c r="S1188" t="s">
        <v>4135</v>
      </c>
      <c r="T1188" t="s">
        <v>4559</v>
      </c>
      <c r="U1188" t="s">
        <v>4560</v>
      </c>
      <c r="V1188" s="2">
        <v>198</v>
      </c>
      <c r="W1188" t="s">
        <v>3149</v>
      </c>
      <c r="X1188" s="2">
        <v>525</v>
      </c>
      <c r="Y1188">
        <v>20</v>
      </c>
      <c r="Z1188" t="s">
        <v>4900</v>
      </c>
      <c r="AA1188" s="3">
        <v>0.119995407760143</v>
      </c>
      <c r="AB1188" t="s">
        <v>10357</v>
      </c>
      <c r="AC1188" t="s">
        <v>4562</v>
      </c>
      <c r="AD1188" t="s">
        <v>10355</v>
      </c>
      <c r="AE1188" t="s">
        <v>4655</v>
      </c>
      <c r="AF1188" t="s">
        <v>4563</v>
      </c>
      <c r="AG1188" t="s">
        <v>4564</v>
      </c>
      <c r="AH1188">
        <v>89509</v>
      </c>
      <c r="AI1188" t="s">
        <v>10358</v>
      </c>
      <c r="AJ1188" t="s">
        <v>4655</v>
      </c>
      <c r="AK1188" t="s">
        <v>10359</v>
      </c>
      <c r="AL1188" s="13" t="s">
        <v>2255</v>
      </c>
      <c r="AM1188" s="14">
        <v>1</v>
      </c>
      <c r="AN1188" s="15" t="s">
        <v>2516</v>
      </c>
    </row>
    <row r="1189" spans="1:40" x14ac:dyDescent="0.3">
      <c r="A1189" s="10" t="str">
        <f>HYPERLINK("http://www.washoecounty.gov/assessor/cama/?parid=014-053-12&amp;CardNumber=1","014-053-12")</f>
        <v>014-053-12</v>
      </c>
      <c r="B1189" t="s">
        <v>4655</v>
      </c>
      <c r="C1189" t="s">
        <v>2983</v>
      </c>
      <c r="D1189" s="1">
        <v>40529</v>
      </c>
      <c r="E1189" s="2">
        <v>219000</v>
      </c>
      <c r="F1189" t="s">
        <v>4567</v>
      </c>
      <c r="G1189" s="17" t="str">
        <f>HYPERLINK("https://www.washoecounty.gov/assessor/cama/?command=sales&amp;parid=01405312","3954771")</f>
        <v>3954771</v>
      </c>
      <c r="H1189" t="s">
        <v>325</v>
      </c>
      <c r="I1189">
        <v>1935</v>
      </c>
      <c r="J1189">
        <v>1935</v>
      </c>
      <c r="K1189" t="s">
        <v>1391</v>
      </c>
      <c r="L1189" t="s">
        <v>4555</v>
      </c>
      <c r="M1189" s="2">
        <v>1056</v>
      </c>
      <c r="N1189" t="s">
        <v>4048</v>
      </c>
      <c r="O1189">
        <v>2</v>
      </c>
      <c r="P1189">
        <v>0</v>
      </c>
      <c r="Q1189">
        <v>1</v>
      </c>
      <c r="R1189" t="s">
        <v>5281</v>
      </c>
      <c r="S1189" t="s">
        <v>4682</v>
      </c>
      <c r="T1189" t="s">
        <v>4559</v>
      </c>
      <c r="U1189" t="s">
        <v>4655</v>
      </c>
      <c r="V1189" s="2">
        <v>0</v>
      </c>
      <c r="W1189" t="s">
        <v>3149</v>
      </c>
      <c r="X1189" s="2">
        <v>930</v>
      </c>
      <c r="Y1189">
        <v>20</v>
      </c>
      <c r="Z1189" t="s">
        <v>4900</v>
      </c>
      <c r="AA1189" s="3">
        <v>8.2988977432251004E-2</v>
      </c>
      <c r="AB1189" t="s">
        <v>5613</v>
      </c>
      <c r="AC1189" t="s">
        <v>4575</v>
      </c>
      <c r="AD1189" t="s">
        <v>2983</v>
      </c>
      <c r="AE1189" t="s">
        <v>4655</v>
      </c>
      <c r="AF1189" t="s">
        <v>4563</v>
      </c>
      <c r="AG1189" t="s">
        <v>4564</v>
      </c>
      <c r="AH1189">
        <v>89509</v>
      </c>
      <c r="AI1189" t="s">
        <v>10360</v>
      </c>
      <c r="AJ1189" t="s">
        <v>4655</v>
      </c>
      <c r="AK1189" t="s">
        <v>10361</v>
      </c>
      <c r="AL1189" s="13" t="s">
        <v>2255</v>
      </c>
      <c r="AM1189">
        <v>1</v>
      </c>
      <c r="AN1189" s="15" t="s">
        <v>2516</v>
      </c>
    </row>
    <row r="1190" spans="1:40" x14ac:dyDescent="0.3">
      <c r="A1190" s="10" t="str">
        <f>HYPERLINK("http://www.washoecounty.gov/assessor/cama/?parid=014-061-13&amp;CardNumber=1","014-061-13")</f>
        <v>014-061-13</v>
      </c>
      <c r="B1190" t="s">
        <v>4655</v>
      </c>
      <c r="C1190" t="s">
        <v>10362</v>
      </c>
      <c r="D1190" s="1">
        <v>40232</v>
      </c>
      <c r="E1190" s="2">
        <v>249000</v>
      </c>
      <c r="F1190" t="s">
        <v>4567</v>
      </c>
      <c r="G1190" s="17" t="str">
        <f>HYPERLINK("https://www.washoecounty.gov/assessor/cama/?command=sales&amp;parid=01406113","3851875")</f>
        <v>3851875</v>
      </c>
      <c r="H1190" t="s">
        <v>10363</v>
      </c>
      <c r="I1190">
        <v>2007</v>
      </c>
      <c r="J1190">
        <v>2007</v>
      </c>
      <c r="K1190" t="s">
        <v>4907</v>
      </c>
      <c r="L1190" t="s">
        <v>3974</v>
      </c>
      <c r="M1190" s="2">
        <v>2900</v>
      </c>
      <c r="N1190" t="s">
        <v>5280</v>
      </c>
      <c r="O1190">
        <v>4</v>
      </c>
      <c r="P1190">
        <v>4</v>
      </c>
      <c r="Q1190">
        <v>2</v>
      </c>
      <c r="R1190" t="s">
        <v>5281</v>
      </c>
      <c r="S1190" t="s">
        <v>4558</v>
      </c>
      <c r="T1190" t="s">
        <v>4559</v>
      </c>
      <c r="U1190" t="s">
        <v>5631</v>
      </c>
      <c r="V1190" s="2">
        <v>504</v>
      </c>
      <c r="W1190" t="s">
        <v>4655</v>
      </c>
      <c r="X1190" s="2">
        <v>0</v>
      </c>
      <c r="Y1190">
        <v>30</v>
      </c>
      <c r="Z1190" t="s">
        <v>4900</v>
      </c>
      <c r="AA1190" s="3">
        <v>9.2584937810897799E-2</v>
      </c>
      <c r="AB1190" t="s">
        <v>10364</v>
      </c>
      <c r="AC1190" t="s">
        <v>4562</v>
      </c>
      <c r="AD1190" t="s">
        <v>1667</v>
      </c>
      <c r="AE1190" t="s">
        <v>4655</v>
      </c>
      <c r="AF1190" t="s">
        <v>1668</v>
      </c>
      <c r="AG1190" t="s">
        <v>2016</v>
      </c>
      <c r="AH1190">
        <v>48098</v>
      </c>
      <c r="AI1190" t="s">
        <v>10365</v>
      </c>
      <c r="AJ1190" t="s">
        <v>10366</v>
      </c>
      <c r="AK1190" t="s">
        <v>10367</v>
      </c>
      <c r="AL1190" s="13" t="s">
        <v>2255</v>
      </c>
      <c r="AM1190" s="14">
        <v>2</v>
      </c>
      <c r="AN1190" s="15" t="s">
        <v>3368</v>
      </c>
    </row>
    <row r="1191" spans="1:40" x14ac:dyDescent="0.3">
      <c r="A1191" s="10" t="str">
        <f>HYPERLINK("http://www.washoecounty.gov/assessor/cama/?parid=014-061-15&amp;CardNumber=1","014-061-15")</f>
        <v>014-061-15</v>
      </c>
      <c r="B1191" t="s">
        <v>4655</v>
      </c>
      <c r="C1191" t="s">
        <v>2316</v>
      </c>
      <c r="D1191" s="1">
        <v>40421</v>
      </c>
      <c r="E1191" s="2">
        <v>162000</v>
      </c>
      <c r="F1191" t="s">
        <v>3174</v>
      </c>
      <c r="G1191" s="17" t="str">
        <f>HYPERLINK("https://www.washoecounty.gov/assessor/cama/?command=sales&amp;parid=01406115","3917440")</f>
        <v>3917440</v>
      </c>
      <c r="H1191" t="s">
        <v>2317</v>
      </c>
      <c r="I1191">
        <v>1927</v>
      </c>
      <c r="J1191">
        <v>1938</v>
      </c>
      <c r="K1191" t="s">
        <v>4554</v>
      </c>
      <c r="L1191" t="s">
        <v>4555</v>
      </c>
      <c r="M1191" s="2">
        <v>1190</v>
      </c>
      <c r="N1191" t="s">
        <v>4048</v>
      </c>
      <c r="O1191">
        <v>2</v>
      </c>
      <c r="P1191">
        <v>2</v>
      </c>
      <c r="Q1191">
        <v>0</v>
      </c>
      <c r="R1191" t="s">
        <v>4134</v>
      </c>
      <c r="S1191" t="s">
        <v>4682</v>
      </c>
      <c r="T1191" t="s">
        <v>4559</v>
      </c>
      <c r="U1191" t="s">
        <v>4655</v>
      </c>
      <c r="V1191" s="2">
        <v>0</v>
      </c>
      <c r="W1191" t="s">
        <v>3149</v>
      </c>
      <c r="X1191" s="2">
        <v>888</v>
      </c>
      <c r="Y1191">
        <v>20</v>
      </c>
      <c r="Z1191" t="s">
        <v>4900</v>
      </c>
      <c r="AA1191" s="3">
        <v>9.1873280704021495E-2</v>
      </c>
      <c r="AB1191" t="s">
        <v>5721</v>
      </c>
      <c r="AC1191" t="s">
        <v>4562</v>
      </c>
      <c r="AD1191" t="s">
        <v>10368</v>
      </c>
      <c r="AE1191" t="s">
        <v>10369</v>
      </c>
      <c r="AF1191" t="s">
        <v>5201</v>
      </c>
      <c r="AG1191" t="s">
        <v>4564</v>
      </c>
      <c r="AH1191" t="s">
        <v>1605</v>
      </c>
      <c r="AI1191" t="s">
        <v>10370</v>
      </c>
      <c r="AJ1191" t="s">
        <v>2318</v>
      </c>
      <c r="AK1191" t="s">
        <v>2319</v>
      </c>
      <c r="AL1191" s="13" t="s">
        <v>2255</v>
      </c>
      <c r="AM1191">
        <v>1</v>
      </c>
      <c r="AN1191" s="15" t="s">
        <v>2516</v>
      </c>
    </row>
    <row r="1192" spans="1:40" x14ac:dyDescent="0.3">
      <c r="A1192" s="10" t="str">
        <f>HYPERLINK("http://www.washoecounty.gov/assessor/cama/?parid=014-061-16&amp;CardNumber=1","014-061-16")</f>
        <v>014-061-16</v>
      </c>
      <c r="B1192" t="s">
        <v>4655</v>
      </c>
      <c r="C1192" t="s">
        <v>10371</v>
      </c>
      <c r="D1192" s="1">
        <v>40421</v>
      </c>
      <c r="E1192" s="2">
        <v>162000</v>
      </c>
      <c r="F1192" t="s">
        <v>3174</v>
      </c>
      <c r="G1192" s="17" t="str">
        <f>HYPERLINK("https://www.washoecounty.gov/assessor/cama/?command=sales&amp;parid=01406116","3917440")</f>
        <v>3917440</v>
      </c>
      <c r="H1192" t="s">
        <v>2317</v>
      </c>
      <c r="I1192">
        <v>0</v>
      </c>
      <c r="J1192">
        <v>0</v>
      </c>
      <c r="K1192" t="s">
        <v>4655</v>
      </c>
      <c r="L1192" t="s">
        <v>4655</v>
      </c>
      <c r="M1192" s="2">
        <v>0</v>
      </c>
      <c r="N1192" t="s">
        <v>4655</v>
      </c>
      <c r="O1192">
        <v>0</v>
      </c>
      <c r="P1192">
        <v>0</v>
      </c>
      <c r="Q1192">
        <v>0</v>
      </c>
      <c r="R1192" t="s">
        <v>4655</v>
      </c>
      <c r="S1192" t="s">
        <v>4655</v>
      </c>
      <c r="T1192" t="s">
        <v>4655</v>
      </c>
      <c r="U1192" t="s">
        <v>4655</v>
      </c>
      <c r="V1192" s="2">
        <v>0</v>
      </c>
      <c r="W1192" t="s">
        <v>4655</v>
      </c>
      <c r="X1192" s="2">
        <v>0</v>
      </c>
      <c r="Y1192">
        <v>18</v>
      </c>
      <c r="Z1192" t="s">
        <v>4900</v>
      </c>
      <c r="AA1192" s="3">
        <v>4.6005509793758399E-2</v>
      </c>
      <c r="AB1192" t="s">
        <v>10370</v>
      </c>
      <c r="AC1192" t="s">
        <v>4575</v>
      </c>
      <c r="AD1192" t="s">
        <v>10372</v>
      </c>
      <c r="AE1192" t="s">
        <v>10369</v>
      </c>
      <c r="AF1192" t="s">
        <v>5201</v>
      </c>
      <c r="AG1192" t="s">
        <v>4564</v>
      </c>
      <c r="AH1192" t="s">
        <v>1605</v>
      </c>
      <c r="AI1192" t="s">
        <v>10373</v>
      </c>
      <c r="AJ1192" t="s">
        <v>2318</v>
      </c>
      <c r="AK1192" t="s">
        <v>10374</v>
      </c>
      <c r="AL1192" s="13" t="s">
        <v>2255</v>
      </c>
      <c r="AM1192" s="14">
        <v>0</v>
      </c>
      <c r="AN1192" s="15" t="s">
        <v>2516</v>
      </c>
    </row>
    <row r="1193" spans="1:40" x14ac:dyDescent="0.3">
      <c r="A1193" s="10" t="str">
        <f>HYPERLINK("http://www.washoecounty.gov/assessor/cama/?parid=014-063-04&amp;CardNumber=1","014-063-04")</f>
        <v>014-063-04</v>
      </c>
      <c r="B1193" t="s">
        <v>4655</v>
      </c>
      <c r="C1193" t="s">
        <v>10375</v>
      </c>
      <c r="D1193" s="1">
        <v>40337</v>
      </c>
      <c r="E1193" s="2">
        <v>400000</v>
      </c>
      <c r="F1193" t="s">
        <v>3259</v>
      </c>
      <c r="G1193" s="17" t="str">
        <f>HYPERLINK("https://www.washoecounty.gov/assessor/cama/?command=sales&amp;parid=01406304","3889393")</f>
        <v>3889393</v>
      </c>
      <c r="H1193" t="s">
        <v>1852</v>
      </c>
      <c r="I1193">
        <v>1945</v>
      </c>
      <c r="J1193">
        <v>1953</v>
      </c>
      <c r="K1193" t="s">
        <v>1181</v>
      </c>
      <c r="L1193" t="s">
        <v>1366</v>
      </c>
      <c r="M1193" s="2">
        <v>4820</v>
      </c>
      <c r="N1193" t="s">
        <v>4672</v>
      </c>
      <c r="O1193">
        <v>0</v>
      </c>
      <c r="P1193">
        <v>0</v>
      </c>
      <c r="Q1193">
        <v>0</v>
      </c>
      <c r="R1193" t="s">
        <v>429</v>
      </c>
      <c r="S1193" t="s">
        <v>9430</v>
      </c>
      <c r="T1193" t="s">
        <v>4655</v>
      </c>
      <c r="U1193" t="s">
        <v>4655</v>
      </c>
      <c r="V1193" s="2">
        <v>0</v>
      </c>
      <c r="W1193" t="s">
        <v>4655</v>
      </c>
      <c r="X1193" s="2">
        <v>0</v>
      </c>
      <c r="Y1193">
        <v>40</v>
      </c>
      <c r="Z1193" t="s">
        <v>564</v>
      </c>
      <c r="AA1193" s="3">
        <v>0.11299357563257199</v>
      </c>
      <c r="AB1193" t="s">
        <v>10376</v>
      </c>
      <c r="AC1193" t="s">
        <v>4562</v>
      </c>
      <c r="AD1193" t="s">
        <v>10377</v>
      </c>
      <c r="AE1193" t="s">
        <v>4655</v>
      </c>
      <c r="AF1193" t="s">
        <v>4563</v>
      </c>
      <c r="AG1193" t="s">
        <v>4564</v>
      </c>
      <c r="AH1193">
        <v>89504</v>
      </c>
      <c r="AI1193" t="s">
        <v>10378</v>
      </c>
      <c r="AJ1193" t="s">
        <v>4655</v>
      </c>
      <c r="AK1193" t="s">
        <v>10379</v>
      </c>
      <c r="AL1193" s="13" t="s">
        <v>2256</v>
      </c>
      <c r="AM1193" s="14">
        <v>1</v>
      </c>
      <c r="AN1193" s="15" t="s">
        <v>2652</v>
      </c>
    </row>
    <row r="1194" spans="1:40" x14ac:dyDescent="0.3">
      <c r="A1194" s="10" t="str">
        <f>HYPERLINK("http://www.washoecounty.gov/assessor/cama/?parid=014-072-03&amp;CardNumber=1","014-072-03")</f>
        <v>014-072-03</v>
      </c>
      <c r="B1194" t="s">
        <v>4655</v>
      </c>
      <c r="C1194" t="s">
        <v>10380</v>
      </c>
      <c r="D1194" s="1">
        <v>40466</v>
      </c>
      <c r="E1194" s="2">
        <v>83000</v>
      </c>
      <c r="F1194" t="s">
        <v>4553</v>
      </c>
      <c r="G1194" s="17" t="str">
        <f>HYPERLINK("https://www.washoecounty.gov/assessor/cama/?command=sales&amp;parid=01407203","3933306")</f>
        <v>3933306</v>
      </c>
      <c r="H1194" t="s">
        <v>10381</v>
      </c>
      <c r="I1194">
        <v>1953</v>
      </c>
      <c r="J1194">
        <v>1961</v>
      </c>
      <c r="K1194" t="s">
        <v>4907</v>
      </c>
      <c r="L1194" t="s">
        <v>4555</v>
      </c>
      <c r="M1194" s="2">
        <v>1670</v>
      </c>
      <c r="N1194" t="s">
        <v>4556</v>
      </c>
      <c r="O1194">
        <v>2</v>
      </c>
      <c r="P1194">
        <v>2</v>
      </c>
      <c r="Q1194">
        <v>0</v>
      </c>
      <c r="R1194" t="s">
        <v>4557</v>
      </c>
      <c r="S1194" t="s">
        <v>4558</v>
      </c>
      <c r="T1194" t="s">
        <v>4559</v>
      </c>
      <c r="U1194" t="s">
        <v>4655</v>
      </c>
      <c r="V1194" s="2">
        <v>0</v>
      </c>
      <c r="W1194" t="s">
        <v>3149</v>
      </c>
      <c r="X1194" s="2">
        <v>224</v>
      </c>
      <c r="Y1194">
        <v>31</v>
      </c>
      <c r="Z1194" t="s">
        <v>2705</v>
      </c>
      <c r="AA1194" s="3">
        <v>0.15500459074974099</v>
      </c>
      <c r="AB1194" t="s">
        <v>10382</v>
      </c>
      <c r="AC1194" t="s">
        <v>4575</v>
      </c>
      <c r="AD1194" t="s">
        <v>10383</v>
      </c>
      <c r="AE1194" t="s">
        <v>4655</v>
      </c>
      <c r="AF1194" t="s">
        <v>4563</v>
      </c>
      <c r="AG1194" t="s">
        <v>4564</v>
      </c>
      <c r="AH1194" t="s">
        <v>1147</v>
      </c>
      <c r="AI1194" t="s">
        <v>4503</v>
      </c>
      <c r="AJ1194" t="s">
        <v>4655</v>
      </c>
      <c r="AK1194" t="s">
        <v>10384</v>
      </c>
      <c r="AL1194" s="13" t="s">
        <v>2255</v>
      </c>
      <c r="AM1194" s="14">
        <v>2</v>
      </c>
      <c r="AN1194" s="15" t="s">
        <v>3172</v>
      </c>
    </row>
    <row r="1195" spans="1:40" x14ac:dyDescent="0.3">
      <c r="A1195" s="10" t="str">
        <f>HYPERLINK("http://www.washoecounty.gov/assessor/cama/?parid=014-083-06&amp;CardNumber=1","014-083-06")</f>
        <v>014-083-06</v>
      </c>
      <c r="B1195" t="s">
        <v>4655</v>
      </c>
      <c r="C1195" t="s">
        <v>10385</v>
      </c>
      <c r="D1195" s="1">
        <v>40487</v>
      </c>
      <c r="E1195" s="2">
        <v>350000</v>
      </c>
      <c r="F1195" t="s">
        <v>4553</v>
      </c>
      <c r="G1195" s="17" t="str">
        <f>HYPERLINK("https://www.washoecounty.gov/assessor/cama/?command=sales&amp;parid=01408306","3940546")</f>
        <v>3940546</v>
      </c>
      <c r="H1195" t="s">
        <v>10386</v>
      </c>
      <c r="I1195">
        <v>1951</v>
      </c>
      <c r="J1195">
        <v>1965</v>
      </c>
      <c r="K1195" t="s">
        <v>4554</v>
      </c>
      <c r="L1195" t="s">
        <v>3974</v>
      </c>
      <c r="M1195" s="2">
        <v>2336</v>
      </c>
      <c r="N1195" t="s">
        <v>5280</v>
      </c>
      <c r="O1195">
        <v>4</v>
      </c>
      <c r="P1195">
        <v>2</v>
      </c>
      <c r="Q1195">
        <v>1</v>
      </c>
      <c r="R1195" t="s">
        <v>4557</v>
      </c>
      <c r="S1195" t="s">
        <v>4135</v>
      </c>
      <c r="T1195" t="s">
        <v>4559</v>
      </c>
      <c r="U1195" t="s">
        <v>4560</v>
      </c>
      <c r="V1195" s="2">
        <v>264</v>
      </c>
      <c r="W1195" t="s">
        <v>4655</v>
      </c>
      <c r="X1195" s="2">
        <v>0</v>
      </c>
      <c r="Y1195">
        <v>20</v>
      </c>
      <c r="Z1195" t="s">
        <v>4561</v>
      </c>
      <c r="AA1195" s="3">
        <v>0.15399448573589325</v>
      </c>
      <c r="AB1195" t="s">
        <v>10387</v>
      </c>
      <c r="AC1195" t="s">
        <v>4575</v>
      </c>
      <c r="AD1195" t="s">
        <v>10385</v>
      </c>
      <c r="AE1195" t="s">
        <v>4655</v>
      </c>
      <c r="AF1195" t="s">
        <v>4563</v>
      </c>
      <c r="AG1195" t="s">
        <v>4564</v>
      </c>
      <c r="AH1195">
        <v>89509</v>
      </c>
      <c r="AI1195" t="s">
        <v>10388</v>
      </c>
      <c r="AJ1195" t="s">
        <v>4655</v>
      </c>
      <c r="AK1195" t="s">
        <v>10389</v>
      </c>
      <c r="AL1195" s="13" t="s">
        <v>2255</v>
      </c>
      <c r="AM1195" s="14">
        <v>1</v>
      </c>
      <c r="AN1195" s="15" t="s">
        <v>1244</v>
      </c>
    </row>
    <row r="1196" spans="1:40" x14ac:dyDescent="0.3">
      <c r="A1196" s="10" t="str">
        <f>HYPERLINK("http://www.washoecounty.gov/assessor/cama/?parid=014-083-11&amp;CardNumber=1","014-083-11")</f>
        <v>014-083-11</v>
      </c>
      <c r="B1196" t="s">
        <v>4655</v>
      </c>
      <c r="C1196" t="s">
        <v>10390</v>
      </c>
      <c r="D1196" s="1">
        <v>40382</v>
      </c>
      <c r="E1196" s="2">
        <v>359500</v>
      </c>
      <c r="F1196" t="s">
        <v>4567</v>
      </c>
      <c r="G1196" s="17" t="str">
        <f>HYPERLINK("https://www.washoecounty.gov/assessor/cama/?command=sales&amp;parid=01408311","3904184")</f>
        <v>3904184</v>
      </c>
      <c r="H1196" t="s">
        <v>1271</v>
      </c>
      <c r="I1196">
        <v>1943</v>
      </c>
      <c r="J1196">
        <v>1959</v>
      </c>
      <c r="K1196" t="s">
        <v>4554</v>
      </c>
      <c r="L1196" t="s">
        <v>4555</v>
      </c>
      <c r="M1196" s="2">
        <v>1912</v>
      </c>
      <c r="N1196" t="s">
        <v>3147</v>
      </c>
      <c r="O1196">
        <v>3</v>
      </c>
      <c r="P1196">
        <v>2</v>
      </c>
      <c r="Q1196">
        <v>0</v>
      </c>
      <c r="R1196" t="s">
        <v>4557</v>
      </c>
      <c r="S1196" t="s">
        <v>4682</v>
      </c>
      <c r="T1196" t="s">
        <v>4559</v>
      </c>
      <c r="U1196" t="s">
        <v>4655</v>
      </c>
      <c r="V1196" s="2">
        <v>0</v>
      </c>
      <c r="W1196" t="s">
        <v>4655</v>
      </c>
      <c r="X1196" s="2">
        <v>0</v>
      </c>
      <c r="Y1196">
        <v>20</v>
      </c>
      <c r="Z1196" t="s">
        <v>4561</v>
      </c>
      <c r="AA1196" s="3">
        <v>0.19299817085266099</v>
      </c>
      <c r="AB1196" t="s">
        <v>10391</v>
      </c>
      <c r="AC1196" t="s">
        <v>4562</v>
      </c>
      <c r="AD1196" t="s">
        <v>10392</v>
      </c>
      <c r="AE1196" t="s">
        <v>4655</v>
      </c>
      <c r="AF1196" t="s">
        <v>4563</v>
      </c>
      <c r="AG1196" t="s">
        <v>4564</v>
      </c>
      <c r="AH1196">
        <v>89509</v>
      </c>
      <c r="AI1196" t="s">
        <v>10393</v>
      </c>
      <c r="AJ1196" t="s">
        <v>4655</v>
      </c>
      <c r="AK1196" t="s">
        <v>10394</v>
      </c>
      <c r="AL1196" s="13" t="s">
        <v>2255</v>
      </c>
      <c r="AM1196">
        <v>1</v>
      </c>
      <c r="AN1196" s="15" t="s">
        <v>1244</v>
      </c>
    </row>
    <row r="1197" spans="1:40" x14ac:dyDescent="0.3">
      <c r="A1197" s="10" t="str">
        <f>HYPERLINK("http://www.washoecounty.gov/assessor/cama/?parid=014-083-12&amp;CardNumber=1","014-083-12")</f>
        <v>014-083-12</v>
      </c>
      <c r="B1197" t="s">
        <v>4655</v>
      </c>
      <c r="C1197" t="s">
        <v>10395</v>
      </c>
      <c r="D1197" s="1">
        <v>40374</v>
      </c>
      <c r="E1197" s="2">
        <v>230000</v>
      </c>
      <c r="F1197" t="s">
        <v>4567</v>
      </c>
      <c r="G1197" s="17" t="str">
        <f>HYPERLINK("https://www.washoecounty.gov/assessor/cama/?command=sales&amp;parid=01408312","3901776")</f>
        <v>3901776</v>
      </c>
      <c r="H1197" t="s">
        <v>1271</v>
      </c>
      <c r="I1197">
        <v>1949</v>
      </c>
      <c r="J1197">
        <v>1949</v>
      </c>
      <c r="K1197" t="s">
        <v>4554</v>
      </c>
      <c r="L1197" t="s">
        <v>4555</v>
      </c>
      <c r="M1197" s="2">
        <v>1583</v>
      </c>
      <c r="N1197" t="s">
        <v>3147</v>
      </c>
      <c r="O1197">
        <v>3</v>
      </c>
      <c r="P1197">
        <v>2</v>
      </c>
      <c r="Q1197">
        <v>0</v>
      </c>
      <c r="R1197" t="s">
        <v>5281</v>
      </c>
      <c r="S1197" t="s">
        <v>4682</v>
      </c>
      <c r="T1197" t="s">
        <v>4559</v>
      </c>
      <c r="U1197" t="s">
        <v>4655</v>
      </c>
      <c r="V1197" s="2">
        <v>0</v>
      </c>
      <c r="W1197" t="s">
        <v>3149</v>
      </c>
      <c r="X1197" s="2">
        <v>576</v>
      </c>
      <c r="Y1197">
        <v>20</v>
      </c>
      <c r="Z1197" t="s">
        <v>4561</v>
      </c>
      <c r="AA1197" s="3">
        <v>0.19299817085266099</v>
      </c>
      <c r="AB1197" t="s">
        <v>10396</v>
      </c>
      <c r="AC1197" t="s">
        <v>4562</v>
      </c>
      <c r="AD1197" t="s">
        <v>10395</v>
      </c>
      <c r="AE1197" t="s">
        <v>4655</v>
      </c>
      <c r="AF1197" t="s">
        <v>4563</v>
      </c>
      <c r="AG1197" t="s">
        <v>4564</v>
      </c>
      <c r="AH1197">
        <v>89509</v>
      </c>
      <c r="AI1197" t="s">
        <v>10397</v>
      </c>
      <c r="AJ1197" t="s">
        <v>4655</v>
      </c>
      <c r="AK1197" t="s">
        <v>10398</v>
      </c>
      <c r="AL1197" s="13" t="s">
        <v>2255</v>
      </c>
      <c r="AM1197">
        <v>1</v>
      </c>
      <c r="AN1197" s="15" t="s">
        <v>1244</v>
      </c>
    </row>
    <row r="1198" spans="1:40" x14ac:dyDescent="0.3">
      <c r="A1198" s="10" t="str">
        <f>HYPERLINK("http://www.washoecounty.gov/assessor/cama/?parid=014-103-08&amp;CardNumber=1","014-103-08")</f>
        <v>014-103-08</v>
      </c>
      <c r="B1198" t="s">
        <v>4655</v>
      </c>
      <c r="C1198" t="s">
        <v>10399</v>
      </c>
      <c r="D1198" s="1">
        <v>40451</v>
      </c>
      <c r="E1198" s="2">
        <v>155000</v>
      </c>
      <c r="F1198" t="s">
        <v>4567</v>
      </c>
      <c r="G1198" s="17" t="str">
        <f>HYPERLINK("https://www.washoecounty.gov/assessor/cama/?command=sales&amp;parid=01410308","3928181")</f>
        <v>3928181</v>
      </c>
      <c r="H1198" t="s">
        <v>10400</v>
      </c>
      <c r="I1198">
        <v>1935</v>
      </c>
      <c r="J1198">
        <v>1935</v>
      </c>
      <c r="K1198" t="s">
        <v>4554</v>
      </c>
      <c r="L1198" t="s">
        <v>4555</v>
      </c>
      <c r="M1198" s="2">
        <v>927</v>
      </c>
      <c r="N1198" t="s">
        <v>5280</v>
      </c>
      <c r="O1198">
        <v>2</v>
      </c>
      <c r="P1198">
        <v>1</v>
      </c>
      <c r="Q1198">
        <v>0</v>
      </c>
      <c r="R1198" t="s">
        <v>5281</v>
      </c>
      <c r="S1198" t="s">
        <v>4682</v>
      </c>
      <c r="T1198" t="s">
        <v>4559</v>
      </c>
      <c r="U1198" t="s">
        <v>4560</v>
      </c>
      <c r="V1198" s="2">
        <v>264</v>
      </c>
      <c r="W1198" t="s">
        <v>3149</v>
      </c>
      <c r="X1198" s="2">
        <v>580</v>
      </c>
      <c r="Y1198">
        <v>20</v>
      </c>
      <c r="Z1198" t="s">
        <v>4144</v>
      </c>
      <c r="AA1198" s="3">
        <v>0.13799357414245605</v>
      </c>
      <c r="AB1198" t="s">
        <v>10401</v>
      </c>
      <c r="AC1198" t="s">
        <v>4575</v>
      </c>
      <c r="AD1198" t="s">
        <v>10402</v>
      </c>
      <c r="AE1198" t="s">
        <v>4655</v>
      </c>
      <c r="AF1198" t="s">
        <v>4563</v>
      </c>
      <c r="AG1198" t="s">
        <v>4564</v>
      </c>
      <c r="AH1198">
        <v>89509</v>
      </c>
      <c r="AI1198" t="s">
        <v>10403</v>
      </c>
      <c r="AJ1198" t="s">
        <v>4655</v>
      </c>
      <c r="AK1198" t="s">
        <v>10404</v>
      </c>
      <c r="AL1198" s="13" t="s">
        <v>2255</v>
      </c>
      <c r="AM1198">
        <v>1</v>
      </c>
      <c r="AN1198" s="15" t="s">
        <v>2516</v>
      </c>
    </row>
    <row r="1199" spans="1:40" x14ac:dyDescent="0.3">
      <c r="A1199" s="10" t="str">
        <f>HYPERLINK("http://www.washoecounty.gov/assessor/cama/?parid=014-104-05&amp;CardNumber=1","014-104-05")</f>
        <v>014-104-05</v>
      </c>
      <c r="B1199" t="s">
        <v>4655</v>
      </c>
      <c r="C1199" t="s">
        <v>10405</v>
      </c>
      <c r="D1199" s="1">
        <v>40359</v>
      </c>
      <c r="E1199" s="2">
        <v>157000</v>
      </c>
      <c r="F1199" t="s">
        <v>4553</v>
      </c>
      <c r="G1199" s="17" t="str">
        <f>HYPERLINK("https://www.washoecounty.gov/assessor/cama/?command=sales&amp;parid=01410405","3896941")</f>
        <v>3896941</v>
      </c>
      <c r="H1199" t="s">
        <v>10400</v>
      </c>
      <c r="I1199">
        <v>1932</v>
      </c>
      <c r="J1199">
        <v>1932</v>
      </c>
      <c r="K1199" t="s">
        <v>4554</v>
      </c>
      <c r="L1199" t="s">
        <v>4555</v>
      </c>
      <c r="M1199" s="2">
        <v>863</v>
      </c>
      <c r="N1199" t="s">
        <v>4556</v>
      </c>
      <c r="O1199">
        <v>3</v>
      </c>
      <c r="P1199">
        <v>1</v>
      </c>
      <c r="Q1199">
        <v>0</v>
      </c>
      <c r="R1199" t="s">
        <v>5205</v>
      </c>
      <c r="S1199" t="s">
        <v>4898</v>
      </c>
      <c r="T1199" t="s">
        <v>4559</v>
      </c>
      <c r="U1199" t="s">
        <v>162</v>
      </c>
      <c r="V1199" s="2">
        <v>750</v>
      </c>
      <c r="W1199" t="s">
        <v>4655</v>
      </c>
      <c r="X1199" s="2">
        <v>0</v>
      </c>
      <c r="Y1199">
        <v>20</v>
      </c>
      <c r="Z1199" t="s">
        <v>4144</v>
      </c>
      <c r="AA1199" s="3">
        <v>0.12899449467658999</v>
      </c>
      <c r="AB1199" t="s">
        <v>10406</v>
      </c>
      <c r="AC1199" t="s">
        <v>4562</v>
      </c>
      <c r="AD1199" t="s">
        <v>10405</v>
      </c>
      <c r="AE1199" t="s">
        <v>4655</v>
      </c>
      <c r="AF1199" t="s">
        <v>4563</v>
      </c>
      <c r="AG1199" t="s">
        <v>4564</v>
      </c>
      <c r="AH1199">
        <v>89509</v>
      </c>
      <c r="AI1199" t="s">
        <v>4585</v>
      </c>
      <c r="AJ1199" t="s">
        <v>4655</v>
      </c>
      <c r="AK1199" t="s">
        <v>10407</v>
      </c>
      <c r="AL1199" s="13" t="s">
        <v>2255</v>
      </c>
      <c r="AM1199" s="14">
        <v>1</v>
      </c>
      <c r="AN1199" s="15" t="s">
        <v>2516</v>
      </c>
    </row>
    <row r="1200" spans="1:40" x14ac:dyDescent="0.3">
      <c r="A1200" s="10" t="str">
        <f>HYPERLINK("http://www.washoecounty.gov/assessor/cama/?parid=014-104-10&amp;CardNumber=1","014-104-10")</f>
        <v>014-104-10</v>
      </c>
      <c r="B1200" t="s">
        <v>5502</v>
      </c>
      <c r="C1200" t="s">
        <v>10408</v>
      </c>
      <c r="D1200" s="1">
        <v>40337</v>
      </c>
      <c r="E1200" s="2">
        <v>179000</v>
      </c>
      <c r="F1200" t="s">
        <v>4567</v>
      </c>
      <c r="G1200" s="17" t="str">
        <f>HYPERLINK("https://www.washoecounty.gov/assessor/cama/?command=sales&amp;parid=01410410","3889080")</f>
        <v>3889080</v>
      </c>
      <c r="H1200" t="s">
        <v>10400</v>
      </c>
      <c r="I1200">
        <v>1939</v>
      </c>
      <c r="J1200">
        <v>1939</v>
      </c>
      <c r="K1200" t="s">
        <v>4554</v>
      </c>
      <c r="L1200" t="s">
        <v>4555</v>
      </c>
      <c r="M1200" s="2">
        <v>762</v>
      </c>
      <c r="N1200" t="s">
        <v>4133</v>
      </c>
      <c r="O1200">
        <v>2</v>
      </c>
      <c r="P1200">
        <v>1</v>
      </c>
      <c r="Q1200">
        <v>0</v>
      </c>
      <c r="R1200" t="s">
        <v>5205</v>
      </c>
      <c r="S1200" t="s">
        <v>4558</v>
      </c>
      <c r="T1200" t="s">
        <v>4559</v>
      </c>
      <c r="U1200" t="s">
        <v>4655</v>
      </c>
      <c r="V1200" s="2">
        <v>0</v>
      </c>
      <c r="W1200" t="s">
        <v>3149</v>
      </c>
      <c r="X1200" s="2">
        <v>762</v>
      </c>
      <c r="Y1200">
        <v>31</v>
      </c>
      <c r="Z1200" t="s">
        <v>4144</v>
      </c>
      <c r="AA1200" s="3">
        <v>0.22499999403953599</v>
      </c>
      <c r="AB1200" t="s">
        <v>1799</v>
      </c>
      <c r="AC1200" t="s">
        <v>4562</v>
      </c>
      <c r="AD1200" t="s">
        <v>7894</v>
      </c>
      <c r="AE1200" t="s">
        <v>4655</v>
      </c>
      <c r="AF1200" t="s">
        <v>4563</v>
      </c>
      <c r="AG1200" t="s">
        <v>4564</v>
      </c>
      <c r="AH1200">
        <v>89509</v>
      </c>
      <c r="AI1200" t="s">
        <v>10409</v>
      </c>
      <c r="AJ1200" t="s">
        <v>4655</v>
      </c>
      <c r="AK1200" t="s">
        <v>10410</v>
      </c>
      <c r="AL1200" s="13" t="s">
        <v>2255</v>
      </c>
      <c r="AM1200" s="14">
        <v>2</v>
      </c>
      <c r="AN1200" s="15" t="s">
        <v>3368</v>
      </c>
    </row>
    <row r="1201" spans="1:40" x14ac:dyDescent="0.3">
      <c r="A1201" s="10" t="str">
        <f>HYPERLINK("http://www.washoecounty.gov/assessor/cama/?parid=014-113-14&amp;CardNumber=1","014-113-14")</f>
        <v>014-113-14</v>
      </c>
      <c r="B1201" t="s">
        <v>4655</v>
      </c>
      <c r="C1201" t="s">
        <v>10411</v>
      </c>
      <c r="D1201" s="1">
        <v>40235</v>
      </c>
      <c r="E1201" s="2">
        <v>202000</v>
      </c>
      <c r="F1201" t="s">
        <v>4567</v>
      </c>
      <c r="G1201" s="17" t="str">
        <f>HYPERLINK("https://www.washoecounty.gov/assessor/cama/?command=sales&amp;parid=01411314","3853189")</f>
        <v>3853189</v>
      </c>
      <c r="H1201" t="s">
        <v>10412</v>
      </c>
      <c r="I1201">
        <v>1924</v>
      </c>
      <c r="J1201">
        <v>1937</v>
      </c>
      <c r="K1201" t="s">
        <v>4554</v>
      </c>
      <c r="L1201" t="s">
        <v>4555</v>
      </c>
      <c r="M1201" s="2">
        <v>974</v>
      </c>
      <c r="N1201" t="s">
        <v>4556</v>
      </c>
      <c r="O1201">
        <v>1</v>
      </c>
      <c r="P1201">
        <v>1</v>
      </c>
      <c r="Q1201">
        <v>0</v>
      </c>
      <c r="R1201" t="s">
        <v>4134</v>
      </c>
      <c r="S1201" t="s">
        <v>4574</v>
      </c>
      <c r="T1201" t="s">
        <v>4559</v>
      </c>
      <c r="U1201" t="s">
        <v>4560</v>
      </c>
      <c r="V1201" s="2">
        <v>480</v>
      </c>
      <c r="W1201" t="s">
        <v>3149</v>
      </c>
      <c r="X1201" s="2">
        <v>650</v>
      </c>
      <c r="Y1201">
        <v>20</v>
      </c>
      <c r="Z1201" t="s">
        <v>4900</v>
      </c>
      <c r="AA1201" s="3">
        <v>9.2998161911964403E-2</v>
      </c>
      <c r="AB1201" t="s">
        <v>10413</v>
      </c>
      <c r="AC1201" t="s">
        <v>4575</v>
      </c>
      <c r="AD1201" t="s">
        <v>10414</v>
      </c>
      <c r="AE1201" t="s">
        <v>4655</v>
      </c>
      <c r="AF1201" t="s">
        <v>4563</v>
      </c>
      <c r="AG1201" t="s">
        <v>4564</v>
      </c>
      <c r="AH1201">
        <v>89509</v>
      </c>
      <c r="AI1201" t="s">
        <v>10415</v>
      </c>
      <c r="AJ1201" t="s">
        <v>4655</v>
      </c>
      <c r="AK1201" t="s">
        <v>10416</v>
      </c>
      <c r="AL1201" s="13" t="s">
        <v>2255</v>
      </c>
      <c r="AM1201" s="14">
        <v>1</v>
      </c>
      <c r="AN1201" s="15" t="s">
        <v>2516</v>
      </c>
    </row>
    <row r="1202" spans="1:40" x14ac:dyDescent="0.3">
      <c r="A1202" s="10" t="str">
        <f>HYPERLINK("http://www.washoecounty.gov/assessor/cama/?parid=014-113-16&amp;CardNumber=1","014-113-16")</f>
        <v>014-113-16</v>
      </c>
      <c r="B1202" t="s">
        <v>4655</v>
      </c>
      <c r="C1202" t="s">
        <v>10417</v>
      </c>
      <c r="D1202" s="1">
        <v>40316</v>
      </c>
      <c r="E1202" s="2">
        <v>198000</v>
      </c>
      <c r="F1202" t="s">
        <v>4567</v>
      </c>
      <c r="G1202" s="17" t="str">
        <f>HYPERLINK("https://www.washoecounty.gov/assessor/cama/?command=sales&amp;parid=01411316","3882643")</f>
        <v>3882643</v>
      </c>
      <c r="H1202" t="s">
        <v>10418</v>
      </c>
      <c r="I1202">
        <v>1986</v>
      </c>
      <c r="J1202">
        <v>1986</v>
      </c>
      <c r="K1202" t="s">
        <v>4554</v>
      </c>
      <c r="L1202" t="s">
        <v>3974</v>
      </c>
      <c r="M1202" s="2">
        <v>1516</v>
      </c>
      <c r="N1202" t="s">
        <v>4556</v>
      </c>
      <c r="O1202">
        <v>3</v>
      </c>
      <c r="P1202">
        <v>1</v>
      </c>
      <c r="Q1202">
        <v>1</v>
      </c>
      <c r="R1202" t="s">
        <v>4557</v>
      </c>
      <c r="S1202" t="s">
        <v>3148</v>
      </c>
      <c r="T1202" t="s">
        <v>4559</v>
      </c>
      <c r="U1202" t="s">
        <v>4655</v>
      </c>
      <c r="V1202" s="2">
        <v>0</v>
      </c>
      <c r="W1202" t="s">
        <v>4655</v>
      </c>
      <c r="X1202" s="2">
        <v>0</v>
      </c>
      <c r="Y1202">
        <v>20</v>
      </c>
      <c r="Z1202" t="s">
        <v>4900</v>
      </c>
      <c r="AA1202" s="3">
        <v>5.4338842630386401E-2</v>
      </c>
      <c r="AB1202" t="s">
        <v>10419</v>
      </c>
      <c r="AC1202" t="s">
        <v>4562</v>
      </c>
      <c r="AD1202" t="s">
        <v>10417</v>
      </c>
      <c r="AE1202" t="s">
        <v>4655</v>
      </c>
      <c r="AF1202" t="s">
        <v>4563</v>
      </c>
      <c r="AG1202" t="s">
        <v>4564</v>
      </c>
      <c r="AH1202">
        <v>89509</v>
      </c>
      <c r="AI1202" t="s">
        <v>10420</v>
      </c>
      <c r="AJ1202" t="s">
        <v>10421</v>
      </c>
      <c r="AK1202" t="s">
        <v>10422</v>
      </c>
      <c r="AL1202" s="13" t="s">
        <v>2255</v>
      </c>
      <c r="AM1202">
        <v>1</v>
      </c>
      <c r="AN1202" s="15" t="s">
        <v>2516</v>
      </c>
    </row>
    <row r="1203" spans="1:40" x14ac:dyDescent="0.3">
      <c r="A1203" s="10" t="str">
        <f>HYPERLINK("http://www.washoecounty.gov/assessor/cama/?parid=014-115-17&amp;CardNumber=1","014-115-17")</f>
        <v>014-115-17</v>
      </c>
      <c r="B1203" t="s">
        <v>5502</v>
      </c>
      <c r="C1203" t="s">
        <v>10423</v>
      </c>
      <c r="D1203" s="1">
        <v>40472</v>
      </c>
      <c r="E1203" s="2">
        <v>250000</v>
      </c>
      <c r="F1203" t="s">
        <v>4567</v>
      </c>
      <c r="G1203" s="17" t="str">
        <f>HYPERLINK("https://www.washoecounty.gov/assessor/cama/?command=sales&amp;parid=01411517","3935229")</f>
        <v>3935229</v>
      </c>
      <c r="H1203" t="s">
        <v>4053</v>
      </c>
      <c r="I1203">
        <v>1939</v>
      </c>
      <c r="J1203">
        <v>1939</v>
      </c>
      <c r="K1203" t="s">
        <v>4554</v>
      </c>
      <c r="L1203" t="s">
        <v>4555</v>
      </c>
      <c r="M1203" s="2">
        <v>780</v>
      </c>
      <c r="N1203" t="s">
        <v>4048</v>
      </c>
      <c r="O1203">
        <v>2</v>
      </c>
      <c r="P1203">
        <v>2</v>
      </c>
      <c r="Q1203">
        <v>0</v>
      </c>
      <c r="R1203" t="s">
        <v>4557</v>
      </c>
      <c r="S1203" t="s">
        <v>4574</v>
      </c>
      <c r="T1203" t="s">
        <v>4559</v>
      </c>
      <c r="U1203" t="s">
        <v>4655</v>
      </c>
      <c r="V1203" s="2">
        <v>0</v>
      </c>
      <c r="W1203" t="s">
        <v>4571</v>
      </c>
      <c r="X1203" s="2">
        <v>512</v>
      </c>
      <c r="Y1203">
        <v>31</v>
      </c>
      <c r="Z1203" t="s">
        <v>4900</v>
      </c>
      <c r="AA1203" s="3">
        <v>0.16099633276462599</v>
      </c>
      <c r="AB1203" t="s">
        <v>10424</v>
      </c>
      <c r="AC1203" t="s">
        <v>4575</v>
      </c>
      <c r="AD1203" t="s">
        <v>10425</v>
      </c>
      <c r="AE1203" t="s">
        <v>4655</v>
      </c>
      <c r="AF1203" t="s">
        <v>4563</v>
      </c>
      <c r="AG1203" t="s">
        <v>4564</v>
      </c>
      <c r="AH1203">
        <v>89509</v>
      </c>
      <c r="AI1203" t="s">
        <v>10373</v>
      </c>
      <c r="AJ1203" t="s">
        <v>4655</v>
      </c>
      <c r="AK1203" t="s">
        <v>10426</v>
      </c>
      <c r="AL1203" s="13" t="s">
        <v>2255</v>
      </c>
      <c r="AM1203">
        <v>2</v>
      </c>
      <c r="AN1203" s="15" t="s">
        <v>3368</v>
      </c>
    </row>
    <row r="1204" spans="1:40" x14ac:dyDescent="0.3">
      <c r="A1204" s="10" t="str">
        <f>HYPERLINK("http://www.washoecounty.gov/assessor/cama/?parid=014-115-22&amp;CardNumber=1","014-115-22")</f>
        <v>014-115-22</v>
      </c>
      <c r="B1204" t="s">
        <v>4655</v>
      </c>
      <c r="C1204" t="s">
        <v>10427</v>
      </c>
      <c r="D1204" s="1">
        <v>40325</v>
      </c>
      <c r="E1204" s="2">
        <v>120000</v>
      </c>
      <c r="F1204" t="s">
        <v>4553</v>
      </c>
      <c r="G1204" s="17" t="str">
        <f>HYPERLINK("https://www.washoecounty.gov/assessor/cama/?command=sales&amp;parid=01411522","3886083")</f>
        <v>3886083</v>
      </c>
      <c r="H1204" t="s">
        <v>10428</v>
      </c>
      <c r="I1204">
        <v>1938</v>
      </c>
      <c r="J1204">
        <v>1938</v>
      </c>
      <c r="K1204" t="s">
        <v>4554</v>
      </c>
      <c r="L1204" t="s">
        <v>4555</v>
      </c>
      <c r="M1204" s="2">
        <v>832</v>
      </c>
      <c r="N1204" t="s">
        <v>5280</v>
      </c>
      <c r="O1204">
        <v>2</v>
      </c>
      <c r="P1204">
        <v>1</v>
      </c>
      <c r="Q1204">
        <v>0</v>
      </c>
      <c r="R1204" t="s">
        <v>4557</v>
      </c>
      <c r="S1204" t="s">
        <v>4682</v>
      </c>
      <c r="T1204" t="s">
        <v>4559</v>
      </c>
      <c r="U1204" t="s">
        <v>4655</v>
      </c>
      <c r="V1204" s="2">
        <v>0</v>
      </c>
      <c r="W1204" t="s">
        <v>4571</v>
      </c>
      <c r="X1204" s="2">
        <v>832</v>
      </c>
      <c r="Y1204">
        <v>20</v>
      </c>
      <c r="Z1204" t="s">
        <v>4900</v>
      </c>
      <c r="AA1204" s="3">
        <v>9.6005506813526195E-2</v>
      </c>
      <c r="AB1204" t="s">
        <v>10429</v>
      </c>
      <c r="AC1204" t="s">
        <v>4575</v>
      </c>
      <c r="AD1204" t="s">
        <v>10430</v>
      </c>
      <c r="AE1204" t="s">
        <v>2835</v>
      </c>
      <c r="AF1204" t="s">
        <v>4563</v>
      </c>
      <c r="AG1204" t="s">
        <v>4564</v>
      </c>
      <c r="AH1204">
        <v>89511</v>
      </c>
      <c r="AI1204" t="s">
        <v>4503</v>
      </c>
      <c r="AJ1204" t="s">
        <v>10431</v>
      </c>
      <c r="AK1204" t="s">
        <v>10432</v>
      </c>
      <c r="AL1204" s="13" t="s">
        <v>2255</v>
      </c>
      <c r="AM1204" s="14">
        <v>1</v>
      </c>
      <c r="AN1204" s="15" t="s">
        <v>2516</v>
      </c>
    </row>
    <row r="1205" spans="1:40" x14ac:dyDescent="0.3">
      <c r="A1205" s="10" t="str">
        <f>HYPERLINK("http://www.washoecounty.gov/assessor/cama/?parid=014-115-26&amp;CardNumber=1","014-115-26")</f>
        <v>014-115-26</v>
      </c>
      <c r="B1205" t="s">
        <v>4655</v>
      </c>
      <c r="C1205" t="s">
        <v>10433</v>
      </c>
      <c r="D1205" s="1">
        <v>40520</v>
      </c>
      <c r="E1205" s="2">
        <v>110000</v>
      </c>
      <c r="F1205" t="s">
        <v>4567</v>
      </c>
      <c r="G1205" s="17" t="str">
        <f>HYPERLINK("https://www.washoecounty.gov/assessor/cama/?command=sales&amp;parid=01411526","3951121")</f>
        <v>3951121</v>
      </c>
      <c r="H1205" t="s">
        <v>10434</v>
      </c>
      <c r="I1205">
        <v>1938</v>
      </c>
      <c r="J1205">
        <v>1938</v>
      </c>
      <c r="K1205" t="s">
        <v>4554</v>
      </c>
      <c r="L1205" t="s">
        <v>4555</v>
      </c>
      <c r="M1205" s="2">
        <v>1216</v>
      </c>
      <c r="N1205" t="s">
        <v>4048</v>
      </c>
      <c r="O1205">
        <v>2</v>
      </c>
      <c r="P1205">
        <v>1</v>
      </c>
      <c r="Q1205">
        <v>1</v>
      </c>
      <c r="R1205" t="s">
        <v>4557</v>
      </c>
      <c r="S1205" t="s">
        <v>4574</v>
      </c>
      <c r="T1205" t="s">
        <v>4559</v>
      </c>
      <c r="U1205" t="s">
        <v>4655</v>
      </c>
      <c r="V1205" s="2">
        <v>0</v>
      </c>
      <c r="W1205" t="s">
        <v>4655</v>
      </c>
      <c r="X1205" s="2">
        <v>0</v>
      </c>
      <c r="Y1205">
        <v>20</v>
      </c>
      <c r="Z1205" t="s">
        <v>4900</v>
      </c>
      <c r="AA1205" s="3">
        <v>9.1896235942840604E-2</v>
      </c>
      <c r="AB1205" t="s">
        <v>10435</v>
      </c>
      <c r="AC1205" t="s">
        <v>4562</v>
      </c>
      <c r="AD1205" t="s">
        <v>10436</v>
      </c>
      <c r="AE1205" t="s">
        <v>4655</v>
      </c>
      <c r="AF1205" t="s">
        <v>4563</v>
      </c>
      <c r="AG1205" t="s">
        <v>4564</v>
      </c>
      <c r="AH1205">
        <v>89511</v>
      </c>
      <c r="AI1205" t="s">
        <v>10437</v>
      </c>
      <c r="AJ1205" t="s">
        <v>10438</v>
      </c>
      <c r="AK1205" t="s">
        <v>10439</v>
      </c>
      <c r="AL1205" s="13" t="s">
        <v>2255</v>
      </c>
      <c r="AM1205">
        <v>1</v>
      </c>
      <c r="AN1205" s="15" t="s">
        <v>2516</v>
      </c>
    </row>
    <row r="1206" spans="1:40" x14ac:dyDescent="0.3">
      <c r="A1206" s="10" t="str">
        <f>HYPERLINK("http://www.washoecounty.gov/assessor/cama/?parid=014-122-02&amp;CardNumber=1","014-122-02")</f>
        <v>014-122-02</v>
      </c>
      <c r="B1206" t="s">
        <v>5502</v>
      </c>
      <c r="C1206" t="s">
        <v>10440</v>
      </c>
      <c r="D1206" s="1">
        <v>40483</v>
      </c>
      <c r="E1206" s="2">
        <v>140000</v>
      </c>
      <c r="F1206" t="s">
        <v>4567</v>
      </c>
      <c r="G1206" s="17" t="str">
        <f>HYPERLINK("https://www.washoecounty.gov/assessor/cama/?command=sales&amp;parid=01412202","3938700")</f>
        <v>3938700</v>
      </c>
      <c r="H1206" t="s">
        <v>4053</v>
      </c>
      <c r="I1206">
        <v>1926</v>
      </c>
      <c r="J1206">
        <v>1926</v>
      </c>
      <c r="K1206" t="s">
        <v>4554</v>
      </c>
      <c r="L1206" t="s">
        <v>4555</v>
      </c>
      <c r="M1206" s="2">
        <v>260</v>
      </c>
      <c r="N1206" t="s">
        <v>4672</v>
      </c>
      <c r="O1206">
        <v>1</v>
      </c>
      <c r="P1206">
        <v>1</v>
      </c>
      <c r="Q1206">
        <v>0</v>
      </c>
      <c r="R1206" t="s">
        <v>5343</v>
      </c>
      <c r="S1206" t="s">
        <v>3148</v>
      </c>
      <c r="T1206" t="s">
        <v>1101</v>
      </c>
      <c r="U1206" t="s">
        <v>4655</v>
      </c>
      <c r="V1206" s="2">
        <v>0</v>
      </c>
      <c r="W1206" t="s">
        <v>4655</v>
      </c>
      <c r="X1206" s="2">
        <v>0</v>
      </c>
      <c r="Y1206">
        <v>31</v>
      </c>
      <c r="Z1206" t="s">
        <v>4900</v>
      </c>
      <c r="AA1206" s="3">
        <v>0.16099633276462599</v>
      </c>
      <c r="AB1206" t="s">
        <v>10441</v>
      </c>
      <c r="AC1206" t="s">
        <v>4562</v>
      </c>
      <c r="AD1206" t="s">
        <v>10442</v>
      </c>
      <c r="AE1206" t="s">
        <v>4655</v>
      </c>
      <c r="AF1206" t="s">
        <v>4054</v>
      </c>
      <c r="AG1206" t="s">
        <v>4564</v>
      </c>
      <c r="AH1206" t="s">
        <v>5207</v>
      </c>
      <c r="AI1206" t="s">
        <v>10443</v>
      </c>
      <c r="AJ1206" t="s">
        <v>4655</v>
      </c>
      <c r="AK1206" t="s">
        <v>10444</v>
      </c>
      <c r="AL1206" s="13" t="s">
        <v>2255</v>
      </c>
      <c r="AM1206">
        <v>2</v>
      </c>
      <c r="AN1206" s="15" t="s">
        <v>3368</v>
      </c>
    </row>
    <row r="1207" spans="1:40" x14ac:dyDescent="0.3">
      <c r="A1207" s="10" t="str">
        <f>HYPERLINK("http://www.washoecounty.gov/assessor/cama/?parid=014-122-17&amp;CardNumber=1","014-122-17")</f>
        <v>014-122-17</v>
      </c>
      <c r="B1207" t="s">
        <v>4655</v>
      </c>
      <c r="C1207" t="s">
        <v>10445</v>
      </c>
      <c r="D1207" s="1">
        <v>40479</v>
      </c>
      <c r="E1207" s="2">
        <v>175000</v>
      </c>
      <c r="F1207" t="s">
        <v>4567</v>
      </c>
      <c r="G1207" s="17" t="str">
        <f>HYPERLINK("https://www.washoecounty.gov/assessor/cama/?command=sales&amp;parid=01412217","3937889")</f>
        <v>3937889</v>
      </c>
      <c r="H1207" t="s">
        <v>325</v>
      </c>
      <c r="I1207">
        <v>1931</v>
      </c>
      <c r="J1207">
        <v>1931</v>
      </c>
      <c r="K1207" t="s">
        <v>4907</v>
      </c>
      <c r="L1207" t="s">
        <v>4555</v>
      </c>
      <c r="M1207" s="2">
        <v>1219</v>
      </c>
      <c r="N1207" t="s">
        <v>4048</v>
      </c>
      <c r="O1207">
        <v>2</v>
      </c>
      <c r="P1207">
        <v>2</v>
      </c>
      <c r="Q1207">
        <v>0</v>
      </c>
      <c r="R1207" t="s">
        <v>4557</v>
      </c>
      <c r="S1207" t="s">
        <v>4682</v>
      </c>
      <c r="T1207" t="s">
        <v>4559</v>
      </c>
      <c r="U1207" t="s">
        <v>4655</v>
      </c>
      <c r="V1207" s="2">
        <v>0</v>
      </c>
      <c r="W1207" t="s">
        <v>3149</v>
      </c>
      <c r="X1207" s="2">
        <v>450</v>
      </c>
      <c r="Y1207">
        <v>30</v>
      </c>
      <c r="Z1207" t="s">
        <v>4900</v>
      </c>
      <c r="AA1207" s="3">
        <v>0.228007346391678</v>
      </c>
      <c r="AB1207" t="s">
        <v>3774</v>
      </c>
      <c r="AC1207" t="s">
        <v>4562</v>
      </c>
      <c r="AD1207" t="s">
        <v>5046</v>
      </c>
      <c r="AE1207" t="s">
        <v>4655</v>
      </c>
      <c r="AF1207" t="s">
        <v>5206</v>
      </c>
      <c r="AG1207" t="s">
        <v>4564</v>
      </c>
      <c r="AH1207" t="s">
        <v>5207</v>
      </c>
      <c r="AI1207" t="s">
        <v>10446</v>
      </c>
      <c r="AJ1207" t="s">
        <v>4655</v>
      </c>
      <c r="AK1207" t="s">
        <v>10447</v>
      </c>
      <c r="AL1207" s="13" t="s">
        <v>2255</v>
      </c>
      <c r="AM1207" s="14">
        <v>2</v>
      </c>
      <c r="AN1207" s="15" t="s">
        <v>3368</v>
      </c>
    </row>
    <row r="1208" spans="1:40" x14ac:dyDescent="0.3">
      <c r="A1208" s="10" t="str">
        <f>HYPERLINK("http://www.washoecounty.gov/assessor/cama/?parid=014-123-08&amp;CardNumber=1","014-123-08")</f>
        <v>014-123-08</v>
      </c>
      <c r="B1208" t="s">
        <v>4655</v>
      </c>
      <c r="C1208" t="s">
        <v>10448</v>
      </c>
      <c r="D1208" s="1">
        <v>40409</v>
      </c>
      <c r="E1208" s="2">
        <v>360000</v>
      </c>
      <c r="F1208" t="s">
        <v>3528</v>
      </c>
      <c r="G1208" s="17" t="str">
        <f>HYPERLINK("https://www.washoecounty.gov/assessor/cama/?command=sales&amp;parid=01412308","3913704")</f>
        <v>3913704</v>
      </c>
      <c r="H1208" t="s">
        <v>4053</v>
      </c>
      <c r="I1208">
        <v>1964</v>
      </c>
      <c r="J1208">
        <v>1964</v>
      </c>
      <c r="K1208" t="s">
        <v>3919</v>
      </c>
      <c r="L1208" t="s">
        <v>3038</v>
      </c>
      <c r="M1208" s="2">
        <v>6160</v>
      </c>
      <c r="N1208" t="s">
        <v>1431</v>
      </c>
      <c r="O1208">
        <v>0</v>
      </c>
      <c r="P1208">
        <v>0</v>
      </c>
      <c r="Q1208">
        <v>0</v>
      </c>
      <c r="R1208" t="s">
        <v>1395</v>
      </c>
      <c r="S1208" t="s">
        <v>4856</v>
      </c>
      <c r="T1208" t="s">
        <v>4655</v>
      </c>
      <c r="U1208" t="s">
        <v>4655</v>
      </c>
      <c r="V1208" s="2">
        <v>0</v>
      </c>
      <c r="W1208" t="s">
        <v>3041</v>
      </c>
      <c r="X1208" s="2">
        <v>1164</v>
      </c>
      <c r="Y1208">
        <v>41</v>
      </c>
      <c r="Z1208" t="s">
        <v>4900</v>
      </c>
      <c r="AA1208" s="3">
        <v>0.16099633276462599</v>
      </c>
      <c r="AB1208" t="s">
        <v>10449</v>
      </c>
      <c r="AC1208" t="s">
        <v>4562</v>
      </c>
      <c r="AD1208" t="s">
        <v>10450</v>
      </c>
      <c r="AE1208" t="s">
        <v>4655</v>
      </c>
      <c r="AF1208" t="s">
        <v>3000</v>
      </c>
      <c r="AG1208" t="s">
        <v>4584</v>
      </c>
      <c r="AH1208" t="s">
        <v>10451</v>
      </c>
      <c r="AI1208" t="s">
        <v>10452</v>
      </c>
      <c r="AJ1208" t="s">
        <v>4655</v>
      </c>
      <c r="AK1208" t="s">
        <v>10453</v>
      </c>
      <c r="AL1208" s="13" t="s">
        <v>2255</v>
      </c>
      <c r="AM1208">
        <v>1</v>
      </c>
      <c r="AN1208" s="15" t="s">
        <v>10454</v>
      </c>
    </row>
    <row r="1209" spans="1:40" x14ac:dyDescent="0.3">
      <c r="A1209" s="10" t="str">
        <f>HYPERLINK("http://www.washoecounty.gov/assessor/cama/?parid=014-123-10&amp;CardNumber=1","014-123-10")</f>
        <v>014-123-10</v>
      </c>
      <c r="B1209" t="s">
        <v>5502</v>
      </c>
      <c r="C1209" t="s">
        <v>10455</v>
      </c>
      <c r="D1209" s="1">
        <v>40210</v>
      </c>
      <c r="E1209" s="2">
        <v>250000</v>
      </c>
      <c r="F1209" t="s">
        <v>4187</v>
      </c>
      <c r="G1209" s="17" t="str">
        <f>HYPERLINK("https://www.washoecounty.gov/assessor/cama/?command=sales&amp;parid=01412310","3844882")</f>
        <v>3844882</v>
      </c>
      <c r="H1209" t="s">
        <v>4053</v>
      </c>
      <c r="I1209">
        <v>1930</v>
      </c>
      <c r="J1209">
        <v>1955</v>
      </c>
      <c r="K1209" t="s">
        <v>4554</v>
      </c>
      <c r="L1209" t="s">
        <v>4555</v>
      </c>
      <c r="M1209" s="2">
        <v>1552</v>
      </c>
      <c r="N1209" t="s">
        <v>4556</v>
      </c>
      <c r="O1209">
        <v>2</v>
      </c>
      <c r="P1209">
        <v>1</v>
      </c>
      <c r="Q1209">
        <v>0</v>
      </c>
      <c r="R1209" t="s">
        <v>1800</v>
      </c>
      <c r="S1209" t="s">
        <v>4135</v>
      </c>
      <c r="T1209" t="s">
        <v>4559</v>
      </c>
      <c r="U1209" t="s">
        <v>4655</v>
      </c>
      <c r="V1209" s="2">
        <v>0</v>
      </c>
      <c r="W1209" t="s">
        <v>4655</v>
      </c>
      <c r="X1209" s="2">
        <v>0</v>
      </c>
      <c r="Y1209">
        <v>33</v>
      </c>
      <c r="Z1209" t="s">
        <v>4900</v>
      </c>
      <c r="AA1209" s="3">
        <v>0.16099633276462599</v>
      </c>
      <c r="AB1209" t="s">
        <v>3774</v>
      </c>
      <c r="AC1209" t="s">
        <v>4562</v>
      </c>
      <c r="AD1209" t="s">
        <v>5046</v>
      </c>
      <c r="AE1209" t="s">
        <v>4655</v>
      </c>
      <c r="AF1209" t="s">
        <v>5206</v>
      </c>
      <c r="AG1209" t="s">
        <v>4564</v>
      </c>
      <c r="AH1209" t="s">
        <v>5207</v>
      </c>
      <c r="AI1209" t="s">
        <v>10456</v>
      </c>
      <c r="AJ1209" t="s">
        <v>4655</v>
      </c>
      <c r="AK1209" t="s">
        <v>10457</v>
      </c>
      <c r="AL1209" s="13" t="s">
        <v>2255</v>
      </c>
      <c r="AM1209">
        <v>5</v>
      </c>
      <c r="AN1209" s="15" t="s">
        <v>3368</v>
      </c>
    </row>
    <row r="1210" spans="1:40" x14ac:dyDescent="0.3">
      <c r="A1210" s="10" t="str">
        <f>HYPERLINK("http://www.washoecounty.gov/assessor/cama/?parid=014-126-01&amp;CardNumber=1","014-126-01")</f>
        <v>014-126-01</v>
      </c>
      <c r="B1210" t="s">
        <v>4655</v>
      </c>
      <c r="C1210" t="s">
        <v>10458</v>
      </c>
      <c r="D1210" s="1">
        <v>40506</v>
      </c>
      <c r="E1210" s="2">
        <v>276000</v>
      </c>
      <c r="F1210" t="s">
        <v>4187</v>
      </c>
      <c r="G1210" s="17" t="str">
        <f>HYPERLINK("https://www.washoecounty.gov/assessor/cama/?command=sales&amp;parid=01412601","3946662")</f>
        <v>3946662</v>
      </c>
      <c r="H1210" t="s">
        <v>4053</v>
      </c>
      <c r="I1210">
        <v>1962</v>
      </c>
      <c r="J1210">
        <v>1969</v>
      </c>
      <c r="K1210" t="s">
        <v>3558</v>
      </c>
      <c r="L1210" t="s">
        <v>1366</v>
      </c>
      <c r="M1210" s="2">
        <v>2200</v>
      </c>
      <c r="N1210" t="s">
        <v>4672</v>
      </c>
      <c r="O1210">
        <v>0</v>
      </c>
      <c r="P1210">
        <v>0</v>
      </c>
      <c r="Q1210">
        <v>0</v>
      </c>
      <c r="R1210" t="s">
        <v>1395</v>
      </c>
      <c r="S1210" t="s">
        <v>4856</v>
      </c>
      <c r="T1210" t="s">
        <v>4655</v>
      </c>
      <c r="U1210" t="s">
        <v>4655</v>
      </c>
      <c r="V1210" s="2">
        <v>0</v>
      </c>
      <c r="W1210" t="s">
        <v>3041</v>
      </c>
      <c r="X1210" s="2">
        <v>460</v>
      </c>
      <c r="Y1210">
        <v>41</v>
      </c>
      <c r="Z1210" t="s">
        <v>4900</v>
      </c>
      <c r="AA1210" s="3">
        <v>0.114990815520287</v>
      </c>
      <c r="AB1210" t="s">
        <v>10459</v>
      </c>
      <c r="AC1210" t="s">
        <v>4562</v>
      </c>
      <c r="AD1210" t="s">
        <v>10460</v>
      </c>
      <c r="AE1210" t="s">
        <v>4655</v>
      </c>
      <c r="AF1210" t="s">
        <v>4563</v>
      </c>
      <c r="AG1210" t="s">
        <v>4564</v>
      </c>
      <c r="AH1210" t="s">
        <v>5197</v>
      </c>
      <c r="AI1210" t="s">
        <v>10461</v>
      </c>
      <c r="AJ1210" t="s">
        <v>4655</v>
      </c>
      <c r="AK1210" t="s">
        <v>10462</v>
      </c>
      <c r="AL1210" s="13" t="s">
        <v>2256</v>
      </c>
      <c r="AM1210">
        <v>1</v>
      </c>
      <c r="AN1210" s="15" t="s">
        <v>2652</v>
      </c>
    </row>
    <row r="1211" spans="1:40" x14ac:dyDescent="0.3">
      <c r="A1211" s="10" t="str">
        <f>HYPERLINK("http://www.washoecounty.gov/assessor/cama/?parid=014-142-05&amp;CardNumber=1","014-142-05")</f>
        <v>014-142-05</v>
      </c>
      <c r="B1211" t="s">
        <v>4655</v>
      </c>
      <c r="C1211" t="s">
        <v>10463</v>
      </c>
      <c r="D1211" s="1">
        <v>40368</v>
      </c>
      <c r="E1211" s="2">
        <v>450000</v>
      </c>
      <c r="F1211" t="s">
        <v>4567</v>
      </c>
      <c r="G1211" s="17" t="str">
        <f>HYPERLINK("https://www.washoecounty.gov/assessor/cama/?command=sales&amp;parid=01414205","3899703")</f>
        <v>3899703</v>
      </c>
      <c r="H1211" t="s">
        <v>531</v>
      </c>
      <c r="I1211">
        <v>1957</v>
      </c>
      <c r="J1211">
        <v>1957</v>
      </c>
      <c r="K1211" t="s">
        <v>4554</v>
      </c>
      <c r="L1211" t="s">
        <v>4555</v>
      </c>
      <c r="M1211" s="2">
        <v>2386</v>
      </c>
      <c r="N1211" t="s">
        <v>1245</v>
      </c>
      <c r="O1211">
        <v>3</v>
      </c>
      <c r="P1211">
        <v>2</v>
      </c>
      <c r="Q1211">
        <v>0</v>
      </c>
      <c r="R1211" t="s">
        <v>5281</v>
      </c>
      <c r="S1211" t="s">
        <v>4682</v>
      </c>
      <c r="T1211" t="s">
        <v>1583</v>
      </c>
      <c r="U1211" t="s">
        <v>4655</v>
      </c>
      <c r="V1211" s="2">
        <v>0</v>
      </c>
      <c r="W1211" t="s">
        <v>3149</v>
      </c>
      <c r="X1211" s="2">
        <v>1534</v>
      </c>
      <c r="Y1211">
        <v>20</v>
      </c>
      <c r="Z1211" t="s">
        <v>385</v>
      </c>
      <c r="AA1211" s="3">
        <v>0.51999539136886597</v>
      </c>
      <c r="AB1211" t="s">
        <v>1272</v>
      </c>
      <c r="AC1211" t="s">
        <v>4575</v>
      </c>
      <c r="AD1211" t="s">
        <v>10463</v>
      </c>
      <c r="AE1211" t="s">
        <v>4655</v>
      </c>
      <c r="AF1211" t="s">
        <v>4563</v>
      </c>
      <c r="AG1211" t="s">
        <v>4564</v>
      </c>
      <c r="AH1211">
        <v>89509</v>
      </c>
      <c r="AI1211" t="s">
        <v>10464</v>
      </c>
      <c r="AJ1211" t="s">
        <v>4655</v>
      </c>
      <c r="AK1211" t="s">
        <v>10465</v>
      </c>
      <c r="AL1211" s="13" t="s">
        <v>2257</v>
      </c>
      <c r="AM1211" s="14">
        <v>1</v>
      </c>
      <c r="AN1211" s="15" t="s">
        <v>1424</v>
      </c>
    </row>
    <row r="1212" spans="1:40" x14ac:dyDescent="0.3">
      <c r="A1212" s="10" t="str">
        <f>HYPERLINK("http://www.washoecounty.gov/assessor/cama/?parid=014-151-02&amp;CardNumber=1","014-151-02")</f>
        <v>014-151-02</v>
      </c>
      <c r="B1212" t="s">
        <v>4655</v>
      </c>
      <c r="C1212" t="s">
        <v>10466</v>
      </c>
      <c r="D1212" s="1">
        <v>40388</v>
      </c>
      <c r="E1212" s="2">
        <v>850000</v>
      </c>
      <c r="F1212" t="s">
        <v>4567</v>
      </c>
      <c r="G1212" s="17" t="str">
        <f>HYPERLINK("https://www.washoecounty.gov/assessor/cama/?command=sales&amp;parid=01415102","3906405")</f>
        <v>3906405</v>
      </c>
      <c r="H1212" t="s">
        <v>531</v>
      </c>
      <c r="I1212">
        <v>1962</v>
      </c>
      <c r="J1212">
        <v>1962</v>
      </c>
      <c r="K1212" t="s">
        <v>4554</v>
      </c>
      <c r="L1212" t="s">
        <v>4555</v>
      </c>
      <c r="M1212" s="2">
        <v>2913</v>
      </c>
      <c r="N1212" t="s">
        <v>5106</v>
      </c>
      <c r="O1212">
        <v>3</v>
      </c>
      <c r="P1212">
        <v>3</v>
      </c>
      <c r="Q1212">
        <v>0</v>
      </c>
      <c r="R1212" t="s">
        <v>5281</v>
      </c>
      <c r="S1212" t="s">
        <v>4682</v>
      </c>
      <c r="T1212" t="s">
        <v>4559</v>
      </c>
      <c r="U1212" t="s">
        <v>4560</v>
      </c>
      <c r="V1212" s="2">
        <v>876</v>
      </c>
      <c r="W1212" t="s">
        <v>3149</v>
      </c>
      <c r="X1212" s="2">
        <v>1250</v>
      </c>
      <c r="Y1212">
        <v>20</v>
      </c>
      <c r="Z1212" t="s">
        <v>385</v>
      </c>
      <c r="AA1212" s="3">
        <v>0.48900365829467801</v>
      </c>
      <c r="AB1212" t="s">
        <v>10467</v>
      </c>
      <c r="AC1212" t="s">
        <v>4562</v>
      </c>
      <c r="AD1212" t="s">
        <v>10468</v>
      </c>
      <c r="AE1212" t="s">
        <v>4655</v>
      </c>
      <c r="AF1212" t="s">
        <v>4563</v>
      </c>
      <c r="AG1212" t="s">
        <v>4564</v>
      </c>
      <c r="AH1212">
        <v>89509</v>
      </c>
      <c r="AI1212" t="s">
        <v>10469</v>
      </c>
      <c r="AJ1212" t="s">
        <v>4655</v>
      </c>
      <c r="AK1212" t="s">
        <v>10470</v>
      </c>
      <c r="AL1212" s="13" t="s">
        <v>2257</v>
      </c>
      <c r="AM1212" s="14">
        <v>1</v>
      </c>
      <c r="AN1212" s="15" t="s">
        <v>1424</v>
      </c>
    </row>
    <row r="1213" spans="1:40" x14ac:dyDescent="0.3">
      <c r="A1213" s="10" t="str">
        <f>HYPERLINK("http://www.washoecounty.gov/assessor/cama/?parid=014-153-12&amp;CardNumber=1","014-153-12")</f>
        <v>014-153-12</v>
      </c>
      <c r="B1213" t="s">
        <v>4655</v>
      </c>
      <c r="C1213" t="s">
        <v>10471</v>
      </c>
      <c r="D1213" s="1">
        <v>40205</v>
      </c>
      <c r="E1213" s="2">
        <v>308000</v>
      </c>
      <c r="F1213" t="s">
        <v>4567</v>
      </c>
      <c r="G1213" s="17" t="str">
        <f>HYPERLINK("https://www.washoecounty.gov/assessor/cama/?command=sales&amp;parid=01415312","3843280")</f>
        <v>3843280</v>
      </c>
      <c r="H1213" t="s">
        <v>10472</v>
      </c>
      <c r="I1213">
        <v>1967</v>
      </c>
      <c r="J1213">
        <v>1970</v>
      </c>
      <c r="K1213" t="s">
        <v>4554</v>
      </c>
      <c r="L1213" t="s">
        <v>4555</v>
      </c>
      <c r="M1213" s="2">
        <v>2140</v>
      </c>
      <c r="N1213" t="s">
        <v>3147</v>
      </c>
      <c r="O1213">
        <v>3</v>
      </c>
      <c r="P1213">
        <v>2</v>
      </c>
      <c r="Q1213">
        <v>0</v>
      </c>
      <c r="R1213" t="s">
        <v>5281</v>
      </c>
      <c r="S1213" t="s">
        <v>4135</v>
      </c>
      <c r="T1213" t="s">
        <v>2704</v>
      </c>
      <c r="U1213" t="s">
        <v>4560</v>
      </c>
      <c r="V1213" s="2">
        <v>506</v>
      </c>
      <c r="W1213" t="s">
        <v>4655</v>
      </c>
      <c r="X1213" s="2">
        <v>0</v>
      </c>
      <c r="Y1213">
        <v>20</v>
      </c>
      <c r="Z1213" t="s">
        <v>385</v>
      </c>
      <c r="AA1213" s="3">
        <v>0.53999084234237604</v>
      </c>
      <c r="AB1213" t="s">
        <v>10473</v>
      </c>
      <c r="AC1213" t="s">
        <v>4562</v>
      </c>
      <c r="AD1213" t="s">
        <v>10471</v>
      </c>
      <c r="AE1213" t="s">
        <v>4655</v>
      </c>
      <c r="AF1213" t="s">
        <v>3114</v>
      </c>
      <c r="AG1213" t="s">
        <v>4564</v>
      </c>
      <c r="AH1213">
        <v>89509</v>
      </c>
      <c r="AI1213" t="s">
        <v>10474</v>
      </c>
      <c r="AJ1213" t="s">
        <v>4655</v>
      </c>
      <c r="AK1213" t="s">
        <v>10475</v>
      </c>
      <c r="AL1213" s="13" t="s">
        <v>2257</v>
      </c>
      <c r="AM1213" s="14">
        <v>1</v>
      </c>
      <c r="AN1213" s="15" t="s">
        <v>1424</v>
      </c>
    </row>
    <row r="1214" spans="1:40" x14ac:dyDescent="0.3">
      <c r="A1214" s="10" t="str">
        <f>HYPERLINK("http://www.washoecounty.gov/assessor/cama/?parid=014-153-12&amp;CardNumber=1","014-153-12")</f>
        <v>014-153-12</v>
      </c>
      <c r="B1214" t="s">
        <v>4655</v>
      </c>
      <c r="C1214" t="s">
        <v>10471</v>
      </c>
      <c r="D1214" s="1">
        <v>40232</v>
      </c>
      <c r="E1214" s="2">
        <v>365000</v>
      </c>
      <c r="F1214" t="s">
        <v>4567</v>
      </c>
      <c r="G1214" s="17" t="str">
        <f>HYPERLINK("https://www.washoecounty.gov/assessor/cama/?command=sales&amp;parid=01415312","3851823")</f>
        <v>3851823</v>
      </c>
      <c r="H1214" t="s">
        <v>10472</v>
      </c>
      <c r="I1214">
        <v>1967</v>
      </c>
      <c r="J1214">
        <v>1970</v>
      </c>
      <c r="K1214" t="s">
        <v>4554</v>
      </c>
      <c r="L1214" t="s">
        <v>4555</v>
      </c>
      <c r="M1214" s="2">
        <v>2140</v>
      </c>
      <c r="N1214" t="s">
        <v>3147</v>
      </c>
      <c r="O1214">
        <v>3</v>
      </c>
      <c r="P1214">
        <v>2</v>
      </c>
      <c r="Q1214">
        <v>0</v>
      </c>
      <c r="R1214" t="s">
        <v>5281</v>
      </c>
      <c r="S1214" t="s">
        <v>4135</v>
      </c>
      <c r="T1214" t="s">
        <v>2704</v>
      </c>
      <c r="U1214" t="s">
        <v>4560</v>
      </c>
      <c r="V1214" s="2">
        <v>506</v>
      </c>
      <c r="W1214" t="s">
        <v>4655</v>
      </c>
      <c r="X1214" s="2">
        <v>0</v>
      </c>
      <c r="Y1214">
        <v>20</v>
      </c>
      <c r="Z1214" t="s">
        <v>385</v>
      </c>
      <c r="AA1214" s="3">
        <v>0.53999084234237604</v>
      </c>
      <c r="AB1214" t="s">
        <v>10473</v>
      </c>
      <c r="AC1214" t="s">
        <v>4562</v>
      </c>
      <c r="AD1214" t="s">
        <v>10471</v>
      </c>
      <c r="AE1214" t="s">
        <v>4655</v>
      </c>
      <c r="AF1214" t="s">
        <v>3114</v>
      </c>
      <c r="AG1214" t="s">
        <v>4564</v>
      </c>
      <c r="AH1214">
        <v>89509</v>
      </c>
      <c r="AI1214" t="s">
        <v>10474</v>
      </c>
      <c r="AJ1214" t="s">
        <v>4655</v>
      </c>
      <c r="AK1214" t="s">
        <v>10475</v>
      </c>
      <c r="AL1214" s="13" t="s">
        <v>2257</v>
      </c>
      <c r="AM1214" s="14">
        <v>1</v>
      </c>
      <c r="AN1214" s="15" t="s">
        <v>1424</v>
      </c>
    </row>
    <row r="1215" spans="1:40" x14ac:dyDescent="0.3">
      <c r="A1215" s="10" t="str">
        <f>HYPERLINK("http://www.washoecounty.gov/assessor/cama/?parid=014-170-17&amp;CardNumber=1","014-170-17")</f>
        <v>014-170-17</v>
      </c>
      <c r="B1215" t="s">
        <v>4655</v>
      </c>
      <c r="C1215" t="s">
        <v>10476</v>
      </c>
      <c r="D1215" s="1">
        <v>40267</v>
      </c>
      <c r="E1215" s="2">
        <v>395000</v>
      </c>
      <c r="F1215" t="s">
        <v>4567</v>
      </c>
      <c r="G1215" s="17" t="str">
        <f>HYPERLINK("https://www.washoecounty.gov/assessor/cama/?command=sales&amp;parid=01417017","3866029")</f>
        <v>3866029</v>
      </c>
      <c r="H1215" t="s">
        <v>4827</v>
      </c>
      <c r="I1215">
        <v>1970</v>
      </c>
      <c r="J1215">
        <v>1970</v>
      </c>
      <c r="K1215" t="s">
        <v>4554</v>
      </c>
      <c r="L1215" t="s">
        <v>4555</v>
      </c>
      <c r="M1215" s="2">
        <v>2976</v>
      </c>
      <c r="N1215" t="s">
        <v>1245</v>
      </c>
      <c r="O1215">
        <v>3</v>
      </c>
      <c r="P1215">
        <v>3</v>
      </c>
      <c r="Q1215">
        <v>0</v>
      </c>
      <c r="R1215" t="s">
        <v>4557</v>
      </c>
      <c r="S1215" t="s">
        <v>4682</v>
      </c>
      <c r="T1215" t="s">
        <v>4143</v>
      </c>
      <c r="U1215" t="s">
        <v>4560</v>
      </c>
      <c r="V1215" s="2">
        <v>575</v>
      </c>
      <c r="W1215" t="s">
        <v>3149</v>
      </c>
      <c r="X1215" s="2">
        <v>150</v>
      </c>
      <c r="Y1215">
        <v>20</v>
      </c>
      <c r="Z1215" t="s">
        <v>385</v>
      </c>
      <c r="AA1215" s="3">
        <v>0.34999999403953602</v>
      </c>
      <c r="AB1215" t="s">
        <v>10477</v>
      </c>
      <c r="AC1215" t="s">
        <v>4562</v>
      </c>
      <c r="AD1215" t="s">
        <v>10476</v>
      </c>
      <c r="AE1215" t="s">
        <v>4655</v>
      </c>
      <c r="AF1215" t="s">
        <v>4563</v>
      </c>
      <c r="AG1215" t="s">
        <v>4564</v>
      </c>
      <c r="AH1215">
        <v>89509</v>
      </c>
      <c r="AI1215" t="s">
        <v>10478</v>
      </c>
      <c r="AJ1215" t="s">
        <v>4655</v>
      </c>
      <c r="AK1215" t="s">
        <v>10479</v>
      </c>
      <c r="AL1215" s="13" t="s">
        <v>2255</v>
      </c>
      <c r="AM1215" s="14">
        <v>1</v>
      </c>
      <c r="AN1215" s="15" t="s">
        <v>1424</v>
      </c>
    </row>
    <row r="1216" spans="1:40" x14ac:dyDescent="0.3">
      <c r="A1216" s="10" t="str">
        <f>HYPERLINK("http://www.washoecounty.gov/assessor/cama/?parid=014-180-08&amp;CardNumber=1","014-180-08")</f>
        <v>014-180-08</v>
      </c>
      <c r="B1216" t="s">
        <v>4655</v>
      </c>
      <c r="C1216" t="s">
        <v>10480</v>
      </c>
      <c r="D1216" s="1">
        <v>40434</v>
      </c>
      <c r="E1216" s="2">
        <v>390000</v>
      </c>
      <c r="F1216" t="s">
        <v>4567</v>
      </c>
      <c r="G1216" s="17" t="str">
        <f>HYPERLINK("https://www.washoecounty.gov/assessor/cama/?command=sales&amp;parid=01418008","3921796")</f>
        <v>3921796</v>
      </c>
      <c r="H1216" t="s">
        <v>10481</v>
      </c>
      <c r="I1216">
        <v>1954</v>
      </c>
      <c r="J1216">
        <v>1954</v>
      </c>
      <c r="K1216" t="s">
        <v>4554</v>
      </c>
      <c r="L1216" t="s">
        <v>4555</v>
      </c>
      <c r="M1216" s="2">
        <v>1564</v>
      </c>
      <c r="N1216" t="s">
        <v>3887</v>
      </c>
      <c r="O1216">
        <v>3</v>
      </c>
      <c r="P1216">
        <v>2</v>
      </c>
      <c r="Q1216">
        <v>0</v>
      </c>
      <c r="R1216" t="s">
        <v>4557</v>
      </c>
      <c r="S1216" t="s">
        <v>4682</v>
      </c>
      <c r="T1216" t="s">
        <v>4143</v>
      </c>
      <c r="U1216" t="s">
        <v>4560</v>
      </c>
      <c r="V1216" s="2">
        <v>494</v>
      </c>
      <c r="W1216" t="s">
        <v>3149</v>
      </c>
      <c r="X1216" s="2">
        <v>402</v>
      </c>
      <c r="Y1216">
        <v>20</v>
      </c>
      <c r="Z1216" t="s">
        <v>385</v>
      </c>
      <c r="AA1216" s="3">
        <v>0.56999540328979403</v>
      </c>
      <c r="AB1216" t="s">
        <v>10482</v>
      </c>
      <c r="AC1216" t="s">
        <v>4575</v>
      </c>
      <c r="AD1216" t="s">
        <v>10483</v>
      </c>
      <c r="AE1216" t="s">
        <v>10480</v>
      </c>
      <c r="AF1216" t="s">
        <v>4563</v>
      </c>
      <c r="AG1216" t="s">
        <v>4564</v>
      </c>
      <c r="AH1216">
        <v>89509</v>
      </c>
      <c r="AI1216" t="s">
        <v>10484</v>
      </c>
      <c r="AJ1216" t="s">
        <v>4655</v>
      </c>
      <c r="AK1216" t="s">
        <v>10485</v>
      </c>
      <c r="AL1216" s="13" t="s">
        <v>2257</v>
      </c>
      <c r="AM1216">
        <v>1</v>
      </c>
      <c r="AN1216" s="15" t="s">
        <v>1424</v>
      </c>
    </row>
    <row r="1217" spans="1:40" x14ac:dyDescent="0.3">
      <c r="A1217" s="10" t="str">
        <f>HYPERLINK("http://www.washoecounty.gov/assessor/cama/?parid=014-193-07&amp;CardNumber=1","014-193-07")</f>
        <v>014-193-07</v>
      </c>
      <c r="B1217" t="s">
        <v>4655</v>
      </c>
      <c r="C1217" t="s">
        <v>10486</v>
      </c>
      <c r="D1217" s="1">
        <v>40534</v>
      </c>
      <c r="E1217" s="2">
        <v>205000</v>
      </c>
      <c r="F1217" t="s">
        <v>4567</v>
      </c>
      <c r="G1217" s="17" t="str">
        <f>HYPERLINK("https://www.washoecounty.gov/assessor/cama/?command=sales&amp;parid=01419307","3956256")</f>
        <v>3956256</v>
      </c>
      <c r="H1217" t="s">
        <v>2294</v>
      </c>
      <c r="I1217">
        <v>1957</v>
      </c>
      <c r="J1217">
        <v>1957</v>
      </c>
      <c r="K1217" t="s">
        <v>4907</v>
      </c>
      <c r="L1217" t="s">
        <v>4555</v>
      </c>
      <c r="M1217" s="2">
        <v>1380</v>
      </c>
      <c r="N1217" t="s">
        <v>4048</v>
      </c>
      <c r="O1217">
        <v>4</v>
      </c>
      <c r="P1217">
        <v>2</v>
      </c>
      <c r="Q1217">
        <v>0</v>
      </c>
      <c r="R1217" t="s">
        <v>1800</v>
      </c>
      <c r="S1217" t="s">
        <v>4570</v>
      </c>
      <c r="T1217" t="s">
        <v>4559</v>
      </c>
      <c r="U1217" t="s">
        <v>4560</v>
      </c>
      <c r="V1217" s="2">
        <v>575</v>
      </c>
      <c r="W1217" t="s">
        <v>4655</v>
      </c>
      <c r="X1217" s="2">
        <v>0</v>
      </c>
      <c r="Y1217">
        <v>30</v>
      </c>
      <c r="Z1217" t="s">
        <v>4144</v>
      </c>
      <c r="AA1217" s="3">
        <v>0.16099633276462599</v>
      </c>
      <c r="AB1217" t="s">
        <v>10487</v>
      </c>
      <c r="AC1217" t="s">
        <v>4562</v>
      </c>
      <c r="AD1217" t="s">
        <v>10488</v>
      </c>
      <c r="AE1217" t="s">
        <v>4655</v>
      </c>
      <c r="AF1217" t="s">
        <v>4563</v>
      </c>
      <c r="AG1217" t="s">
        <v>4564</v>
      </c>
      <c r="AH1217">
        <v>89505</v>
      </c>
      <c r="AI1217" t="s">
        <v>2769</v>
      </c>
      <c r="AJ1217" t="s">
        <v>4655</v>
      </c>
      <c r="AK1217" t="s">
        <v>10489</v>
      </c>
      <c r="AL1217" s="13" t="s">
        <v>2257</v>
      </c>
      <c r="AM1217">
        <v>2</v>
      </c>
      <c r="AN1217" s="15" t="s">
        <v>3368</v>
      </c>
    </row>
    <row r="1218" spans="1:40" x14ac:dyDescent="0.3">
      <c r="A1218" s="10" t="str">
        <f>HYPERLINK("http://www.washoecounty.gov/assessor/cama/?parid=014-204-12&amp;CardNumber=1","014-204-12")</f>
        <v>014-204-12</v>
      </c>
      <c r="B1218" t="s">
        <v>4655</v>
      </c>
      <c r="C1218" t="s">
        <v>10490</v>
      </c>
      <c r="D1218" s="1">
        <v>40295</v>
      </c>
      <c r="E1218" s="2">
        <v>135000</v>
      </c>
      <c r="F1218" t="s">
        <v>4553</v>
      </c>
      <c r="G1218" s="17" t="str">
        <f>HYPERLINK("https://www.washoecounty.gov/assessor/cama/?command=sales&amp;parid=01420412","3875226")</f>
        <v>3875226</v>
      </c>
      <c r="H1218" t="s">
        <v>10491</v>
      </c>
      <c r="I1218">
        <v>1959</v>
      </c>
      <c r="J1218">
        <v>1959</v>
      </c>
      <c r="K1218" t="s">
        <v>4554</v>
      </c>
      <c r="L1218" t="s">
        <v>4555</v>
      </c>
      <c r="M1218" s="2">
        <v>1450</v>
      </c>
      <c r="N1218" t="s">
        <v>5280</v>
      </c>
      <c r="O1218">
        <v>3</v>
      </c>
      <c r="P1218">
        <v>2</v>
      </c>
      <c r="Q1218">
        <v>0</v>
      </c>
      <c r="R1218" t="s">
        <v>4557</v>
      </c>
      <c r="S1218" t="s">
        <v>3148</v>
      </c>
      <c r="T1218" t="s">
        <v>4559</v>
      </c>
      <c r="U1218" t="s">
        <v>4560</v>
      </c>
      <c r="V1218" s="2">
        <v>528</v>
      </c>
      <c r="W1218" t="s">
        <v>4655</v>
      </c>
      <c r="X1218" s="2">
        <v>0</v>
      </c>
      <c r="Y1218">
        <v>20</v>
      </c>
      <c r="Z1218" t="s">
        <v>385</v>
      </c>
      <c r="AA1218" s="3">
        <v>0.16900826990604401</v>
      </c>
      <c r="AB1218" t="s">
        <v>10492</v>
      </c>
      <c r="AC1218" t="s">
        <v>4562</v>
      </c>
      <c r="AD1218" t="s">
        <v>10493</v>
      </c>
      <c r="AE1218" t="s">
        <v>4655</v>
      </c>
      <c r="AF1218" t="s">
        <v>4563</v>
      </c>
      <c r="AG1218" t="s">
        <v>4564</v>
      </c>
      <c r="AH1218">
        <v>89509</v>
      </c>
      <c r="AI1218" t="s">
        <v>4145</v>
      </c>
      <c r="AJ1218" t="s">
        <v>10494</v>
      </c>
      <c r="AK1218" t="s">
        <v>10495</v>
      </c>
      <c r="AL1218" s="13" t="s">
        <v>2255</v>
      </c>
      <c r="AM1218">
        <v>1</v>
      </c>
      <c r="AN1218" s="15" t="s">
        <v>2516</v>
      </c>
    </row>
    <row r="1219" spans="1:40" x14ac:dyDescent="0.3">
      <c r="A1219" s="10" t="str">
        <f>HYPERLINK("http://www.washoecounty.gov/assessor/cama/?parid=014-211-03&amp;CardNumber=1","014-211-03")</f>
        <v>014-211-03</v>
      </c>
      <c r="B1219" t="s">
        <v>4655</v>
      </c>
      <c r="C1219" t="s">
        <v>10496</v>
      </c>
      <c r="D1219" s="1">
        <v>40455</v>
      </c>
      <c r="E1219" s="2">
        <v>175000</v>
      </c>
      <c r="F1219" t="s">
        <v>4567</v>
      </c>
      <c r="G1219" s="17" t="str">
        <f>HYPERLINK("https://www.washoecounty.gov/assessor/cama/?command=sales&amp;parid=01421103","3929412")</f>
        <v>3929412</v>
      </c>
      <c r="H1219" t="s">
        <v>1983</v>
      </c>
      <c r="I1219">
        <v>1935</v>
      </c>
      <c r="J1219">
        <v>1935</v>
      </c>
      <c r="K1219" t="s">
        <v>4554</v>
      </c>
      <c r="L1219" t="s">
        <v>4555</v>
      </c>
      <c r="M1219" s="2">
        <v>1017</v>
      </c>
      <c r="N1219" t="s">
        <v>4048</v>
      </c>
      <c r="O1219">
        <v>2</v>
      </c>
      <c r="P1219">
        <v>1</v>
      </c>
      <c r="Q1219">
        <v>0</v>
      </c>
      <c r="R1219" t="s">
        <v>4557</v>
      </c>
      <c r="S1219" t="s">
        <v>4558</v>
      </c>
      <c r="T1219" t="s">
        <v>4559</v>
      </c>
      <c r="U1219" t="s">
        <v>4560</v>
      </c>
      <c r="V1219" s="2">
        <v>200</v>
      </c>
      <c r="W1219" t="s">
        <v>4571</v>
      </c>
      <c r="X1219" s="2">
        <v>494</v>
      </c>
      <c r="Y1219">
        <v>20</v>
      </c>
      <c r="Z1219" t="s">
        <v>4900</v>
      </c>
      <c r="AA1219" s="3">
        <v>0.16099633276462599</v>
      </c>
      <c r="AB1219" t="s">
        <v>10497</v>
      </c>
      <c r="AC1219" t="s">
        <v>4575</v>
      </c>
      <c r="AD1219" t="s">
        <v>10498</v>
      </c>
      <c r="AE1219" t="s">
        <v>4655</v>
      </c>
      <c r="AF1219" t="s">
        <v>5206</v>
      </c>
      <c r="AG1219" t="s">
        <v>4564</v>
      </c>
      <c r="AH1219" t="s">
        <v>5207</v>
      </c>
      <c r="AI1219" t="s">
        <v>10497</v>
      </c>
      <c r="AJ1219" t="s">
        <v>4655</v>
      </c>
      <c r="AK1219" t="s">
        <v>10499</v>
      </c>
      <c r="AL1219" s="13" t="s">
        <v>2255</v>
      </c>
      <c r="AM1219">
        <v>1</v>
      </c>
      <c r="AN1219" s="15" t="s">
        <v>2516</v>
      </c>
    </row>
    <row r="1220" spans="1:40" x14ac:dyDescent="0.3">
      <c r="A1220" s="10" t="str">
        <f>HYPERLINK("http://www.washoecounty.gov/assessor/cama/?parid=014-211-11&amp;CardNumber=1","014-211-11")</f>
        <v>014-211-11</v>
      </c>
      <c r="B1220" t="s">
        <v>4655</v>
      </c>
      <c r="C1220" t="s">
        <v>10500</v>
      </c>
      <c r="D1220" s="1">
        <v>40434</v>
      </c>
      <c r="E1220" s="2">
        <v>165000</v>
      </c>
      <c r="F1220" t="s">
        <v>4553</v>
      </c>
      <c r="G1220" s="17" t="str">
        <f>HYPERLINK("https://www.washoecounty.gov/assessor/cama/?command=sales&amp;parid=01421111","3921543")</f>
        <v>3921543</v>
      </c>
      <c r="H1220" t="s">
        <v>10501</v>
      </c>
      <c r="I1220">
        <v>2004</v>
      </c>
      <c r="J1220">
        <v>2004</v>
      </c>
      <c r="K1220" t="s">
        <v>4554</v>
      </c>
      <c r="L1220" t="s">
        <v>3974</v>
      </c>
      <c r="M1220" s="2">
        <v>1368</v>
      </c>
      <c r="N1220" t="s">
        <v>4048</v>
      </c>
      <c r="O1220">
        <v>3</v>
      </c>
      <c r="P1220">
        <v>2</v>
      </c>
      <c r="Q1220">
        <v>1</v>
      </c>
      <c r="R1220" t="s">
        <v>4557</v>
      </c>
      <c r="S1220" t="s">
        <v>4558</v>
      </c>
      <c r="T1220" t="s">
        <v>4559</v>
      </c>
      <c r="U1220" t="s">
        <v>4560</v>
      </c>
      <c r="V1220" s="2">
        <v>372</v>
      </c>
      <c r="W1220" t="s">
        <v>4655</v>
      </c>
      <c r="X1220" s="2">
        <v>0</v>
      </c>
      <c r="Y1220">
        <v>20</v>
      </c>
      <c r="Z1220" t="s">
        <v>4900</v>
      </c>
      <c r="AA1220" s="3">
        <v>0.107001833617687</v>
      </c>
      <c r="AB1220" t="s">
        <v>10502</v>
      </c>
      <c r="AC1220" t="s">
        <v>4562</v>
      </c>
      <c r="AD1220" t="s">
        <v>10503</v>
      </c>
      <c r="AE1220" t="s">
        <v>4655</v>
      </c>
      <c r="AF1220" t="s">
        <v>4563</v>
      </c>
      <c r="AG1220" t="s">
        <v>4564</v>
      </c>
      <c r="AH1220">
        <v>89509</v>
      </c>
      <c r="AI1220" t="s">
        <v>4903</v>
      </c>
      <c r="AJ1220" t="s">
        <v>4655</v>
      </c>
      <c r="AK1220" t="s">
        <v>10504</v>
      </c>
      <c r="AL1220" s="13" t="s">
        <v>2255</v>
      </c>
      <c r="AM1220" s="14">
        <v>1</v>
      </c>
      <c r="AN1220" s="15" t="s">
        <v>2516</v>
      </c>
    </row>
    <row r="1221" spans="1:40" x14ac:dyDescent="0.3">
      <c r="A1221" s="10" t="str">
        <f>HYPERLINK("http://www.washoecounty.gov/assessor/cama/?parid=014-212-27&amp;CardNumber=1","014-212-27")</f>
        <v>014-212-27</v>
      </c>
      <c r="B1221" t="s">
        <v>4655</v>
      </c>
      <c r="C1221" t="s">
        <v>10505</v>
      </c>
      <c r="D1221" s="1">
        <v>40506</v>
      </c>
      <c r="E1221" s="2">
        <v>135000</v>
      </c>
      <c r="F1221" t="s">
        <v>4567</v>
      </c>
      <c r="G1221" s="17" t="str">
        <f>HYPERLINK("https://www.washoecounty.gov/assessor/cama/?command=sales&amp;parid=01421227","3946338")</f>
        <v>3946338</v>
      </c>
      <c r="H1221" t="s">
        <v>1623</v>
      </c>
      <c r="I1221">
        <v>1945</v>
      </c>
      <c r="J1221">
        <v>1945</v>
      </c>
      <c r="K1221" t="s">
        <v>4554</v>
      </c>
      <c r="L1221" t="s">
        <v>4555</v>
      </c>
      <c r="M1221" s="2">
        <v>998</v>
      </c>
      <c r="N1221" t="s">
        <v>4556</v>
      </c>
      <c r="O1221">
        <v>2</v>
      </c>
      <c r="P1221">
        <v>1</v>
      </c>
      <c r="Q1221">
        <v>0</v>
      </c>
      <c r="R1221" t="s">
        <v>4557</v>
      </c>
      <c r="S1221" t="s">
        <v>4574</v>
      </c>
      <c r="T1221" t="s">
        <v>4559</v>
      </c>
      <c r="U1221" t="s">
        <v>4655</v>
      </c>
      <c r="V1221" s="2">
        <v>0</v>
      </c>
      <c r="W1221" t="s">
        <v>3149</v>
      </c>
      <c r="X1221" s="2">
        <v>998</v>
      </c>
      <c r="Y1221">
        <v>20</v>
      </c>
      <c r="Z1221" t="s">
        <v>4561</v>
      </c>
      <c r="AA1221" s="3">
        <v>0.13799357414245605</v>
      </c>
      <c r="AB1221" t="s">
        <v>10506</v>
      </c>
      <c r="AC1221" t="s">
        <v>4562</v>
      </c>
      <c r="AD1221" t="s">
        <v>10507</v>
      </c>
      <c r="AE1221" t="s">
        <v>4655</v>
      </c>
      <c r="AF1221" t="s">
        <v>10508</v>
      </c>
      <c r="AG1221" t="s">
        <v>4584</v>
      </c>
      <c r="AH1221" t="s">
        <v>10509</v>
      </c>
      <c r="AI1221" t="s">
        <v>4655</v>
      </c>
      <c r="AJ1221" t="s">
        <v>4655</v>
      </c>
      <c r="AK1221" t="s">
        <v>10510</v>
      </c>
      <c r="AL1221" s="13" t="s">
        <v>2255</v>
      </c>
      <c r="AM1221" s="14">
        <v>1</v>
      </c>
      <c r="AN1221" s="15" t="s">
        <v>2516</v>
      </c>
    </row>
    <row r="1222" spans="1:40" x14ac:dyDescent="0.3">
      <c r="A1222" s="10" t="str">
        <f>HYPERLINK("http://www.washoecounty.gov/assessor/cama/?parid=014-221-02&amp;CardNumber=1","014-221-02")</f>
        <v>014-221-02</v>
      </c>
      <c r="B1222" t="s">
        <v>4655</v>
      </c>
      <c r="C1222" t="s">
        <v>10511</v>
      </c>
      <c r="D1222" s="1">
        <v>40466</v>
      </c>
      <c r="E1222" s="2">
        <v>154500</v>
      </c>
      <c r="F1222" t="s">
        <v>4553</v>
      </c>
      <c r="G1222" s="17" t="str">
        <f>HYPERLINK("https://www.washoecounty.gov/assessor/cama/?command=sales&amp;parid=01422102","3933669")</f>
        <v>3933669</v>
      </c>
      <c r="H1222" t="s">
        <v>3032</v>
      </c>
      <c r="I1222">
        <v>1947</v>
      </c>
      <c r="J1222">
        <v>1947</v>
      </c>
      <c r="K1222" t="s">
        <v>4554</v>
      </c>
      <c r="L1222" t="s">
        <v>4555</v>
      </c>
      <c r="M1222" s="2">
        <v>1102</v>
      </c>
      <c r="N1222" t="s">
        <v>4048</v>
      </c>
      <c r="O1222">
        <v>3</v>
      </c>
      <c r="P1222">
        <v>1</v>
      </c>
      <c r="Q1222">
        <v>0</v>
      </c>
      <c r="R1222" t="s">
        <v>4557</v>
      </c>
      <c r="S1222" t="s">
        <v>4574</v>
      </c>
      <c r="T1222" t="s">
        <v>4559</v>
      </c>
      <c r="U1222" t="s">
        <v>4655</v>
      </c>
      <c r="V1222" s="2">
        <v>0</v>
      </c>
      <c r="W1222" t="s">
        <v>4655</v>
      </c>
      <c r="X1222" s="2">
        <v>0</v>
      </c>
      <c r="Y1222">
        <v>20</v>
      </c>
      <c r="Z1222" t="s">
        <v>4900</v>
      </c>
      <c r="AA1222" s="3">
        <v>0.13799357414245605</v>
      </c>
      <c r="AB1222" t="s">
        <v>10512</v>
      </c>
      <c r="AC1222" t="s">
        <v>4562</v>
      </c>
      <c r="AD1222" t="s">
        <v>10513</v>
      </c>
      <c r="AE1222" t="s">
        <v>4655</v>
      </c>
      <c r="AF1222" t="s">
        <v>4563</v>
      </c>
      <c r="AG1222" t="s">
        <v>4564</v>
      </c>
      <c r="AH1222">
        <v>89509</v>
      </c>
      <c r="AI1222" t="s">
        <v>949</v>
      </c>
      <c r="AJ1222" t="s">
        <v>4655</v>
      </c>
      <c r="AK1222" t="s">
        <v>10514</v>
      </c>
      <c r="AL1222" s="13" t="s">
        <v>2255</v>
      </c>
      <c r="AM1222" s="14">
        <v>1</v>
      </c>
      <c r="AN1222" s="15" t="s">
        <v>2516</v>
      </c>
    </row>
    <row r="1223" spans="1:40" x14ac:dyDescent="0.3">
      <c r="A1223" s="10" t="str">
        <f>HYPERLINK("http://www.washoecounty.gov/assessor/cama/?parid=014-221-16&amp;CardNumber=1","014-221-16")</f>
        <v>014-221-16</v>
      </c>
      <c r="B1223" t="s">
        <v>4655</v>
      </c>
      <c r="C1223" t="s">
        <v>10515</v>
      </c>
      <c r="D1223" s="1">
        <v>40436</v>
      </c>
      <c r="E1223" s="2">
        <v>144000</v>
      </c>
      <c r="F1223" t="s">
        <v>4567</v>
      </c>
      <c r="G1223" s="17" t="str">
        <f>HYPERLINK("https://www.washoecounty.gov/assessor/cama/?command=sales&amp;parid=01422116","3922722")</f>
        <v>3922722</v>
      </c>
      <c r="H1223" t="s">
        <v>10516</v>
      </c>
      <c r="I1223">
        <v>1957</v>
      </c>
      <c r="J1223">
        <v>1957</v>
      </c>
      <c r="K1223" t="s">
        <v>4554</v>
      </c>
      <c r="L1223" t="s">
        <v>4555</v>
      </c>
      <c r="M1223" s="2">
        <v>1300</v>
      </c>
      <c r="N1223" t="s">
        <v>4048</v>
      </c>
      <c r="O1223">
        <v>3</v>
      </c>
      <c r="P1223">
        <v>2</v>
      </c>
      <c r="Q1223">
        <v>0</v>
      </c>
      <c r="R1223" t="s">
        <v>4557</v>
      </c>
      <c r="S1223" t="s">
        <v>4574</v>
      </c>
      <c r="T1223" t="s">
        <v>4559</v>
      </c>
      <c r="U1223" t="s">
        <v>4655</v>
      </c>
      <c r="V1223" s="2">
        <v>0</v>
      </c>
      <c r="W1223" t="s">
        <v>3201</v>
      </c>
      <c r="X1223" s="2">
        <v>324</v>
      </c>
      <c r="Y1223">
        <v>20</v>
      </c>
      <c r="Z1223" t="s">
        <v>4900</v>
      </c>
      <c r="AA1223" s="3">
        <v>0.13799357414245605</v>
      </c>
      <c r="AB1223" t="s">
        <v>10517</v>
      </c>
      <c r="AC1223" t="s">
        <v>4562</v>
      </c>
      <c r="AD1223" t="s">
        <v>10515</v>
      </c>
      <c r="AE1223" t="s">
        <v>4655</v>
      </c>
      <c r="AF1223" t="s">
        <v>4563</v>
      </c>
      <c r="AG1223" t="s">
        <v>4564</v>
      </c>
      <c r="AH1223">
        <v>89509</v>
      </c>
      <c r="AI1223" t="s">
        <v>10518</v>
      </c>
      <c r="AJ1223" t="s">
        <v>4655</v>
      </c>
      <c r="AK1223" t="s">
        <v>10519</v>
      </c>
      <c r="AL1223" s="13" t="s">
        <v>2257</v>
      </c>
      <c r="AM1223">
        <v>1</v>
      </c>
      <c r="AN1223" s="15" t="s">
        <v>2516</v>
      </c>
    </row>
    <row r="1224" spans="1:40" x14ac:dyDescent="0.3">
      <c r="A1224" s="10" t="str">
        <f>HYPERLINK("http://www.washoecounty.gov/assessor/cama/?parid=014-223-18&amp;CardNumber=1","014-223-18")</f>
        <v>014-223-18</v>
      </c>
      <c r="B1224" t="s">
        <v>4655</v>
      </c>
      <c r="C1224" t="s">
        <v>10520</v>
      </c>
      <c r="D1224" s="1">
        <v>40466</v>
      </c>
      <c r="E1224" s="2">
        <v>152400</v>
      </c>
      <c r="F1224" t="s">
        <v>4567</v>
      </c>
      <c r="G1224" s="17" t="str">
        <f>HYPERLINK("https://www.washoecounty.gov/assessor/cama/?command=sales&amp;parid=01422318","3933797")</f>
        <v>3933797</v>
      </c>
      <c r="H1224" t="s">
        <v>1623</v>
      </c>
      <c r="I1224">
        <v>1946</v>
      </c>
      <c r="J1224">
        <v>1946</v>
      </c>
      <c r="K1224" t="s">
        <v>4554</v>
      </c>
      <c r="L1224" t="s">
        <v>4555</v>
      </c>
      <c r="M1224" s="2">
        <v>887</v>
      </c>
      <c r="N1224" t="s">
        <v>4048</v>
      </c>
      <c r="O1224">
        <v>3</v>
      </c>
      <c r="P1224">
        <v>1</v>
      </c>
      <c r="Q1224">
        <v>0</v>
      </c>
      <c r="R1224" t="s">
        <v>4557</v>
      </c>
      <c r="S1224" t="s">
        <v>4135</v>
      </c>
      <c r="T1224" t="s">
        <v>4559</v>
      </c>
      <c r="U1224" t="s">
        <v>4560</v>
      </c>
      <c r="V1224" s="2">
        <v>200</v>
      </c>
      <c r="W1224" t="s">
        <v>3149</v>
      </c>
      <c r="X1224" s="2">
        <v>506</v>
      </c>
      <c r="Y1224">
        <v>20</v>
      </c>
      <c r="Z1224" t="s">
        <v>4900</v>
      </c>
      <c r="AA1224" s="3">
        <v>0.13799357414245605</v>
      </c>
      <c r="AB1224" t="s">
        <v>10521</v>
      </c>
      <c r="AC1224" t="s">
        <v>4562</v>
      </c>
      <c r="AD1224" t="s">
        <v>10522</v>
      </c>
      <c r="AE1224" t="s">
        <v>4655</v>
      </c>
      <c r="AF1224" t="s">
        <v>4563</v>
      </c>
      <c r="AG1224" t="s">
        <v>4564</v>
      </c>
      <c r="AH1224">
        <v>89509</v>
      </c>
      <c r="AI1224" t="s">
        <v>10523</v>
      </c>
      <c r="AJ1224" t="s">
        <v>4655</v>
      </c>
      <c r="AK1224" t="s">
        <v>10524</v>
      </c>
      <c r="AL1224" s="13" t="s">
        <v>2257</v>
      </c>
      <c r="AM1224" s="14">
        <v>1</v>
      </c>
      <c r="AN1224" s="15" t="s">
        <v>2516</v>
      </c>
    </row>
    <row r="1225" spans="1:40" x14ac:dyDescent="0.3">
      <c r="A1225" s="10" t="str">
        <f>HYPERLINK("http://www.washoecounty.gov/assessor/cama/?parid=014-224-08&amp;CardNumber=1","014-224-08")</f>
        <v>014-224-08</v>
      </c>
      <c r="B1225" t="s">
        <v>4655</v>
      </c>
      <c r="C1225" t="s">
        <v>10525</v>
      </c>
      <c r="D1225" s="1">
        <v>40315</v>
      </c>
      <c r="E1225" s="2">
        <v>121000</v>
      </c>
      <c r="F1225" t="s">
        <v>4553</v>
      </c>
      <c r="G1225" s="17" t="str">
        <f>HYPERLINK("https://www.washoecounty.gov/assessor/cama/?command=sales&amp;parid=01422408","3881930")</f>
        <v>3881930</v>
      </c>
      <c r="H1225" t="s">
        <v>3032</v>
      </c>
      <c r="I1225">
        <v>1944</v>
      </c>
      <c r="J1225">
        <v>1944</v>
      </c>
      <c r="K1225" t="s">
        <v>4554</v>
      </c>
      <c r="L1225" t="s">
        <v>4555</v>
      </c>
      <c r="M1225" s="2">
        <v>744</v>
      </c>
      <c r="N1225" t="s">
        <v>4048</v>
      </c>
      <c r="O1225">
        <v>2</v>
      </c>
      <c r="P1225">
        <v>1</v>
      </c>
      <c r="Q1225">
        <v>0</v>
      </c>
      <c r="R1225" t="s">
        <v>4557</v>
      </c>
      <c r="S1225" t="s">
        <v>4574</v>
      </c>
      <c r="T1225" t="s">
        <v>4559</v>
      </c>
      <c r="U1225" t="s">
        <v>4655</v>
      </c>
      <c r="V1225" s="2">
        <v>0</v>
      </c>
      <c r="W1225" t="s">
        <v>4655</v>
      </c>
      <c r="X1225" s="2">
        <v>0</v>
      </c>
      <c r="Y1225">
        <v>20</v>
      </c>
      <c r="Z1225" t="s">
        <v>4900</v>
      </c>
      <c r="AA1225" s="3">
        <v>0.13799357414245605</v>
      </c>
      <c r="AB1225" t="s">
        <v>10526</v>
      </c>
      <c r="AC1225" t="s">
        <v>4562</v>
      </c>
      <c r="AD1225" t="s">
        <v>10525</v>
      </c>
      <c r="AE1225" t="s">
        <v>4655</v>
      </c>
      <c r="AF1225" t="s">
        <v>4563</v>
      </c>
      <c r="AG1225" t="s">
        <v>4564</v>
      </c>
      <c r="AH1225">
        <v>89509</v>
      </c>
      <c r="AI1225" t="s">
        <v>4903</v>
      </c>
      <c r="AJ1225" t="s">
        <v>4655</v>
      </c>
      <c r="AK1225" t="s">
        <v>10527</v>
      </c>
      <c r="AL1225" s="13" t="s">
        <v>2255</v>
      </c>
      <c r="AM1225">
        <v>1</v>
      </c>
      <c r="AN1225" s="15" t="s">
        <v>2516</v>
      </c>
    </row>
    <row r="1226" spans="1:40" x14ac:dyDescent="0.3">
      <c r="A1226" s="10" t="str">
        <f>HYPERLINK("http://www.washoecounty.gov/assessor/cama/?parid=014-224-28&amp;CardNumber=1","014-224-28")</f>
        <v>014-224-28</v>
      </c>
      <c r="B1226" t="s">
        <v>4655</v>
      </c>
      <c r="C1226" t="s">
        <v>10528</v>
      </c>
      <c r="D1226" s="1">
        <v>40263</v>
      </c>
      <c r="E1226" s="2">
        <v>205900</v>
      </c>
      <c r="F1226" t="s">
        <v>4567</v>
      </c>
      <c r="G1226" s="17" t="str">
        <f>HYPERLINK("https://www.washoecounty.gov/assessor/cama/?command=sales&amp;parid=01422428","3864436")</f>
        <v>3864436</v>
      </c>
      <c r="H1226" t="s">
        <v>3032</v>
      </c>
      <c r="I1226">
        <v>1942</v>
      </c>
      <c r="J1226">
        <v>1942</v>
      </c>
      <c r="K1226" t="s">
        <v>4554</v>
      </c>
      <c r="L1226" t="s">
        <v>4555</v>
      </c>
      <c r="M1226" s="2">
        <v>991</v>
      </c>
      <c r="N1226" t="s">
        <v>4048</v>
      </c>
      <c r="O1226">
        <v>2</v>
      </c>
      <c r="P1226">
        <v>1</v>
      </c>
      <c r="Q1226">
        <v>0</v>
      </c>
      <c r="R1226" t="s">
        <v>4557</v>
      </c>
      <c r="S1226" t="s">
        <v>4135</v>
      </c>
      <c r="T1226" t="s">
        <v>4559</v>
      </c>
      <c r="U1226" t="s">
        <v>4560</v>
      </c>
      <c r="V1226" s="2">
        <v>200</v>
      </c>
      <c r="W1226" t="s">
        <v>4571</v>
      </c>
      <c r="X1226" s="2">
        <v>494</v>
      </c>
      <c r="Y1226">
        <v>20</v>
      </c>
      <c r="Z1226" t="s">
        <v>4900</v>
      </c>
      <c r="AA1226" s="3">
        <v>0.13799357414245605</v>
      </c>
      <c r="AB1226" t="s">
        <v>10529</v>
      </c>
      <c r="AC1226" t="s">
        <v>4562</v>
      </c>
      <c r="AD1226" t="s">
        <v>10530</v>
      </c>
      <c r="AE1226" t="s">
        <v>4655</v>
      </c>
      <c r="AF1226" t="s">
        <v>4563</v>
      </c>
      <c r="AG1226" t="s">
        <v>4564</v>
      </c>
      <c r="AH1226">
        <v>89509</v>
      </c>
      <c r="AI1226" t="s">
        <v>10531</v>
      </c>
      <c r="AJ1226" t="s">
        <v>4655</v>
      </c>
      <c r="AK1226" t="s">
        <v>10532</v>
      </c>
      <c r="AL1226" s="13" t="s">
        <v>2255</v>
      </c>
      <c r="AM1226">
        <v>1</v>
      </c>
      <c r="AN1226" s="15" t="s">
        <v>2516</v>
      </c>
    </row>
    <row r="1227" spans="1:40" x14ac:dyDescent="0.3">
      <c r="A1227" s="10" t="str">
        <f>HYPERLINK("http://www.washoecounty.gov/assessor/cama/?parid=014-225-03&amp;CardNumber=1","014-225-03")</f>
        <v>014-225-03</v>
      </c>
      <c r="B1227" t="s">
        <v>4655</v>
      </c>
      <c r="C1227" t="s">
        <v>10533</v>
      </c>
      <c r="D1227" s="1">
        <v>40344</v>
      </c>
      <c r="E1227" s="2">
        <v>145000</v>
      </c>
      <c r="F1227" t="s">
        <v>4567</v>
      </c>
      <c r="G1227" s="17" t="str">
        <f>HYPERLINK("https://www.washoecounty.gov/assessor/cama/?command=sales&amp;parid=01422503","3892016")</f>
        <v>3892016</v>
      </c>
      <c r="H1227" t="s">
        <v>3032</v>
      </c>
      <c r="I1227">
        <v>1942</v>
      </c>
      <c r="J1227">
        <v>1942</v>
      </c>
      <c r="K1227" t="s">
        <v>4554</v>
      </c>
      <c r="L1227" t="s">
        <v>4555</v>
      </c>
      <c r="M1227" s="2">
        <v>708</v>
      </c>
      <c r="N1227" t="s">
        <v>4048</v>
      </c>
      <c r="O1227">
        <v>2</v>
      </c>
      <c r="P1227">
        <v>1</v>
      </c>
      <c r="Q1227">
        <v>0</v>
      </c>
      <c r="R1227" t="s">
        <v>1800</v>
      </c>
      <c r="S1227" t="s">
        <v>4558</v>
      </c>
      <c r="T1227" t="s">
        <v>4559</v>
      </c>
      <c r="U1227" t="s">
        <v>4560</v>
      </c>
      <c r="V1227" s="2">
        <v>220</v>
      </c>
      <c r="W1227" t="s">
        <v>3149</v>
      </c>
      <c r="X1227" s="2">
        <v>308</v>
      </c>
      <c r="Y1227">
        <v>20</v>
      </c>
      <c r="Z1227" t="s">
        <v>4900</v>
      </c>
      <c r="AA1227" s="3">
        <v>0.13799357414245605</v>
      </c>
      <c r="AB1227" t="s">
        <v>10534</v>
      </c>
      <c r="AC1227" t="s">
        <v>4575</v>
      </c>
      <c r="AD1227" t="s">
        <v>10535</v>
      </c>
      <c r="AE1227" t="s">
        <v>4655</v>
      </c>
      <c r="AF1227" t="s">
        <v>4563</v>
      </c>
      <c r="AG1227" t="s">
        <v>4564</v>
      </c>
      <c r="AH1227">
        <v>89509</v>
      </c>
      <c r="AI1227" t="s">
        <v>10536</v>
      </c>
      <c r="AJ1227" t="s">
        <v>4655</v>
      </c>
      <c r="AK1227" t="s">
        <v>10537</v>
      </c>
      <c r="AL1227" s="13" t="s">
        <v>2255</v>
      </c>
      <c r="AM1227">
        <v>1</v>
      </c>
      <c r="AN1227" s="15" t="s">
        <v>2516</v>
      </c>
    </row>
    <row r="1228" spans="1:40" x14ac:dyDescent="0.3">
      <c r="A1228" s="10" t="str">
        <f>HYPERLINK("http://www.washoecounty.gov/assessor/cama/?parid=014-225-27&amp;CardNumber=1","014-225-27")</f>
        <v>014-225-27</v>
      </c>
      <c r="B1228" t="s">
        <v>4655</v>
      </c>
      <c r="C1228" t="s">
        <v>10538</v>
      </c>
      <c r="D1228" s="1">
        <v>40298</v>
      </c>
      <c r="E1228" s="2">
        <v>180000</v>
      </c>
      <c r="F1228" t="s">
        <v>4567</v>
      </c>
      <c r="G1228" s="17" t="str">
        <f>HYPERLINK("https://www.washoecounty.gov/assessor/cama/?command=sales&amp;parid=01422527","3876768")</f>
        <v>3876768</v>
      </c>
      <c r="H1228" t="s">
        <v>3032</v>
      </c>
      <c r="I1228">
        <v>1942</v>
      </c>
      <c r="J1228">
        <v>1942</v>
      </c>
      <c r="K1228" t="s">
        <v>4554</v>
      </c>
      <c r="L1228" t="s">
        <v>4555</v>
      </c>
      <c r="M1228" s="2">
        <v>1282</v>
      </c>
      <c r="N1228" t="s">
        <v>4048</v>
      </c>
      <c r="O1228">
        <v>3</v>
      </c>
      <c r="P1228">
        <v>1</v>
      </c>
      <c r="Q1228">
        <v>0</v>
      </c>
      <c r="R1228" t="s">
        <v>4557</v>
      </c>
      <c r="S1228" t="s">
        <v>4135</v>
      </c>
      <c r="T1228" t="s">
        <v>4559</v>
      </c>
      <c r="U1228" t="s">
        <v>4655</v>
      </c>
      <c r="V1228" s="2">
        <v>0</v>
      </c>
      <c r="W1228" t="s">
        <v>4571</v>
      </c>
      <c r="X1228" s="2">
        <v>766</v>
      </c>
      <c r="Y1228">
        <v>20</v>
      </c>
      <c r="Z1228" t="s">
        <v>4900</v>
      </c>
      <c r="AA1228" s="3">
        <v>0.13799357414245605</v>
      </c>
      <c r="AB1228" t="s">
        <v>10539</v>
      </c>
      <c r="AC1228" t="s">
        <v>4562</v>
      </c>
      <c r="AD1228" t="s">
        <v>10538</v>
      </c>
      <c r="AE1228" t="s">
        <v>4655</v>
      </c>
      <c r="AF1228" t="s">
        <v>4563</v>
      </c>
      <c r="AG1228" t="s">
        <v>4564</v>
      </c>
      <c r="AH1228">
        <v>89509</v>
      </c>
      <c r="AI1228" t="s">
        <v>10540</v>
      </c>
      <c r="AJ1228" t="s">
        <v>4655</v>
      </c>
      <c r="AK1228" t="s">
        <v>10541</v>
      </c>
      <c r="AL1228" s="13" t="s">
        <v>2255</v>
      </c>
      <c r="AM1228">
        <v>1</v>
      </c>
      <c r="AN1228" s="15" t="s">
        <v>2516</v>
      </c>
    </row>
    <row r="1229" spans="1:40" x14ac:dyDescent="0.3">
      <c r="A1229" s="10" t="str">
        <f>HYPERLINK("http://www.washoecounty.gov/assessor/cama/?parid=014-226-06&amp;CardNumber=1","014-226-06")</f>
        <v>014-226-06</v>
      </c>
      <c r="B1229" t="s">
        <v>4655</v>
      </c>
      <c r="C1229" t="s">
        <v>10542</v>
      </c>
      <c r="D1229" s="1">
        <v>40511</v>
      </c>
      <c r="E1229" s="2">
        <v>215000</v>
      </c>
      <c r="F1229" t="s">
        <v>3528</v>
      </c>
      <c r="G1229" s="17" t="str">
        <f>HYPERLINK("https://www.washoecounty.gov/assessor/cama/?command=sales&amp;parid=01422606","3946947")</f>
        <v>3946947</v>
      </c>
      <c r="H1229" t="s">
        <v>3032</v>
      </c>
      <c r="I1229">
        <v>1961</v>
      </c>
      <c r="J1229">
        <v>1961</v>
      </c>
      <c r="K1229" t="s">
        <v>3043</v>
      </c>
      <c r="L1229" t="s">
        <v>4555</v>
      </c>
      <c r="M1229" s="2">
        <v>2044</v>
      </c>
      <c r="N1229" t="s">
        <v>5280</v>
      </c>
      <c r="O1229">
        <v>5</v>
      </c>
      <c r="P1229">
        <v>3</v>
      </c>
      <c r="Q1229">
        <v>0</v>
      </c>
      <c r="R1229" t="s">
        <v>4557</v>
      </c>
      <c r="S1229" t="s">
        <v>4135</v>
      </c>
      <c r="T1229" t="s">
        <v>4559</v>
      </c>
      <c r="U1229" t="s">
        <v>4655</v>
      </c>
      <c r="V1229" s="2">
        <v>0</v>
      </c>
      <c r="W1229" t="s">
        <v>4655</v>
      </c>
      <c r="X1229" s="2">
        <v>0</v>
      </c>
      <c r="Y1229">
        <v>32</v>
      </c>
      <c r="Z1229" t="s">
        <v>4900</v>
      </c>
      <c r="AA1229" s="3">
        <v>0.13799357414245605</v>
      </c>
      <c r="AB1229" t="s">
        <v>10543</v>
      </c>
      <c r="AC1229" t="s">
        <v>4575</v>
      </c>
      <c r="AD1229" t="s">
        <v>10544</v>
      </c>
      <c r="AE1229" t="s">
        <v>4655</v>
      </c>
      <c r="AF1229" t="s">
        <v>5736</v>
      </c>
      <c r="AG1229" t="s">
        <v>4584</v>
      </c>
      <c r="AH1229" t="s">
        <v>1116</v>
      </c>
      <c r="AI1229" t="s">
        <v>10545</v>
      </c>
      <c r="AJ1229" t="s">
        <v>4655</v>
      </c>
      <c r="AK1229" t="s">
        <v>10546</v>
      </c>
      <c r="AL1229" s="13" t="s">
        <v>2255</v>
      </c>
      <c r="AM1229" s="14">
        <v>3</v>
      </c>
      <c r="AN1229" s="15" t="s">
        <v>3368</v>
      </c>
    </row>
    <row r="1230" spans="1:40" x14ac:dyDescent="0.3">
      <c r="A1230" s="10" t="str">
        <f>HYPERLINK("http://www.washoecounty.gov/assessor/cama/?parid=014-243-07&amp;CardNumber=1","014-243-07")</f>
        <v>014-243-07</v>
      </c>
      <c r="B1230" t="s">
        <v>4655</v>
      </c>
      <c r="C1230" t="s">
        <v>10547</v>
      </c>
      <c r="D1230" s="1">
        <v>40235</v>
      </c>
      <c r="E1230" s="2">
        <v>153900</v>
      </c>
      <c r="F1230" t="s">
        <v>4553</v>
      </c>
      <c r="G1230" s="17" t="str">
        <f>HYPERLINK("https://www.washoecounty.gov/assessor/cama/?command=sales&amp;parid=01424307","3853169")</f>
        <v>3853169</v>
      </c>
      <c r="H1230" t="s">
        <v>3032</v>
      </c>
      <c r="I1230">
        <v>1958</v>
      </c>
      <c r="J1230">
        <v>1958</v>
      </c>
      <c r="K1230" t="s">
        <v>4554</v>
      </c>
      <c r="L1230" t="s">
        <v>4555</v>
      </c>
      <c r="M1230" s="2">
        <v>996</v>
      </c>
      <c r="N1230" t="s">
        <v>4048</v>
      </c>
      <c r="O1230">
        <v>2</v>
      </c>
      <c r="P1230">
        <v>1</v>
      </c>
      <c r="Q1230">
        <v>0</v>
      </c>
      <c r="R1230" t="s">
        <v>5281</v>
      </c>
      <c r="S1230" t="s">
        <v>4570</v>
      </c>
      <c r="T1230" t="s">
        <v>4559</v>
      </c>
      <c r="U1230" t="s">
        <v>4655</v>
      </c>
      <c r="V1230" s="2">
        <v>0</v>
      </c>
      <c r="W1230" t="s">
        <v>4655</v>
      </c>
      <c r="X1230" s="2">
        <v>0</v>
      </c>
      <c r="Y1230">
        <v>20</v>
      </c>
      <c r="Z1230" t="s">
        <v>4561</v>
      </c>
      <c r="AA1230" s="3">
        <v>0.14499540627002699</v>
      </c>
      <c r="AB1230" t="s">
        <v>10548</v>
      </c>
      <c r="AC1230" t="s">
        <v>4562</v>
      </c>
      <c r="AD1230" t="s">
        <v>10547</v>
      </c>
      <c r="AE1230" t="s">
        <v>4655</v>
      </c>
      <c r="AF1230" t="s">
        <v>4563</v>
      </c>
      <c r="AG1230" t="s">
        <v>4564</v>
      </c>
      <c r="AH1230">
        <v>89509</v>
      </c>
      <c r="AI1230" t="s">
        <v>4903</v>
      </c>
      <c r="AJ1230" t="s">
        <v>4655</v>
      </c>
      <c r="AK1230" t="s">
        <v>10549</v>
      </c>
      <c r="AL1230" s="13" t="s">
        <v>2257</v>
      </c>
      <c r="AM1230">
        <v>1</v>
      </c>
      <c r="AN1230" s="15" t="s">
        <v>2516</v>
      </c>
    </row>
    <row r="1231" spans="1:40" x14ac:dyDescent="0.3">
      <c r="A1231" s="10" t="str">
        <f>HYPERLINK("http://www.washoecounty.gov/assessor/cama/?parid=014-243-12&amp;CardNumber=1","014-243-12")</f>
        <v>014-243-12</v>
      </c>
      <c r="B1231" t="s">
        <v>4655</v>
      </c>
      <c r="C1231" t="s">
        <v>10550</v>
      </c>
      <c r="D1231" s="1">
        <v>40297</v>
      </c>
      <c r="E1231" s="2">
        <v>185000</v>
      </c>
      <c r="F1231" t="s">
        <v>4567</v>
      </c>
      <c r="G1231" s="17" t="str">
        <f>HYPERLINK("https://www.washoecounty.gov/assessor/cama/?command=sales&amp;parid=01424312","3875985")</f>
        <v>3875985</v>
      </c>
      <c r="H1231" t="s">
        <v>3911</v>
      </c>
      <c r="I1231">
        <v>1952</v>
      </c>
      <c r="J1231">
        <v>1976</v>
      </c>
      <c r="K1231" t="s">
        <v>4554</v>
      </c>
      <c r="L1231" t="s">
        <v>4555</v>
      </c>
      <c r="M1231" s="2">
        <v>1624</v>
      </c>
      <c r="N1231" t="s">
        <v>4556</v>
      </c>
      <c r="O1231">
        <v>3</v>
      </c>
      <c r="P1231">
        <v>2</v>
      </c>
      <c r="Q1231">
        <v>0</v>
      </c>
      <c r="R1231" t="s">
        <v>4557</v>
      </c>
      <c r="S1231" t="s">
        <v>4574</v>
      </c>
      <c r="T1231" t="s">
        <v>4559</v>
      </c>
      <c r="U1231" t="s">
        <v>4560</v>
      </c>
      <c r="V1231" s="2">
        <v>248</v>
      </c>
      <c r="W1231" t="s">
        <v>3149</v>
      </c>
      <c r="X1231" s="2">
        <v>877</v>
      </c>
      <c r="Y1231">
        <v>20</v>
      </c>
      <c r="Z1231" t="s">
        <v>4561</v>
      </c>
      <c r="AA1231" s="3">
        <v>0.16200642287731201</v>
      </c>
      <c r="AB1231" t="s">
        <v>10551</v>
      </c>
      <c r="AC1231" t="s">
        <v>4562</v>
      </c>
      <c r="AD1231" t="s">
        <v>10550</v>
      </c>
      <c r="AE1231" t="s">
        <v>4655</v>
      </c>
      <c r="AF1231" t="s">
        <v>4563</v>
      </c>
      <c r="AG1231" t="s">
        <v>4564</v>
      </c>
      <c r="AH1231">
        <v>89509</v>
      </c>
      <c r="AI1231" t="s">
        <v>10552</v>
      </c>
      <c r="AJ1231" t="s">
        <v>4655</v>
      </c>
      <c r="AK1231" t="s">
        <v>10553</v>
      </c>
      <c r="AL1231" s="13" t="s">
        <v>2255</v>
      </c>
      <c r="AM1231" s="14">
        <v>1</v>
      </c>
      <c r="AN1231" s="15" t="s">
        <v>2516</v>
      </c>
    </row>
    <row r="1232" spans="1:40" x14ac:dyDescent="0.3">
      <c r="A1232" s="10" t="str">
        <f>HYPERLINK("http://www.washoecounty.gov/assessor/cama/?parid=014-243-14&amp;CardNumber=1","014-243-14")</f>
        <v>014-243-14</v>
      </c>
      <c r="B1232" t="s">
        <v>4655</v>
      </c>
      <c r="C1232" t="s">
        <v>10554</v>
      </c>
      <c r="D1232" s="1">
        <v>40254</v>
      </c>
      <c r="E1232" s="2">
        <v>167000</v>
      </c>
      <c r="F1232" t="s">
        <v>4567</v>
      </c>
      <c r="G1232" s="17" t="str">
        <f>HYPERLINK("https://www.washoecounty.gov/assessor/cama/?command=sales&amp;parid=01424314","3860709")</f>
        <v>3860709</v>
      </c>
      <c r="H1232" t="s">
        <v>3911</v>
      </c>
      <c r="I1232">
        <v>1963</v>
      </c>
      <c r="J1232">
        <v>1963</v>
      </c>
      <c r="K1232" t="s">
        <v>4554</v>
      </c>
      <c r="L1232" t="s">
        <v>4555</v>
      </c>
      <c r="M1232" s="2">
        <v>840</v>
      </c>
      <c r="N1232" t="s">
        <v>4048</v>
      </c>
      <c r="O1232">
        <v>2</v>
      </c>
      <c r="P1232">
        <v>2</v>
      </c>
      <c r="Q1232">
        <v>0</v>
      </c>
      <c r="R1232" t="s">
        <v>5281</v>
      </c>
      <c r="S1232" t="s">
        <v>4135</v>
      </c>
      <c r="T1232" t="s">
        <v>4559</v>
      </c>
      <c r="U1232" t="s">
        <v>4655</v>
      </c>
      <c r="V1232" s="2">
        <v>0</v>
      </c>
      <c r="W1232" t="s">
        <v>3149</v>
      </c>
      <c r="X1232" s="2">
        <v>840</v>
      </c>
      <c r="Y1232">
        <v>20</v>
      </c>
      <c r="Z1232" t="s">
        <v>4561</v>
      </c>
      <c r="AA1232" s="3">
        <v>0.16099633276462599</v>
      </c>
      <c r="AB1232" t="s">
        <v>10555</v>
      </c>
      <c r="AC1232" t="s">
        <v>4575</v>
      </c>
      <c r="AD1232" t="s">
        <v>10554</v>
      </c>
      <c r="AE1232" t="s">
        <v>4655</v>
      </c>
      <c r="AF1232" t="s">
        <v>4563</v>
      </c>
      <c r="AG1232" t="s">
        <v>4564</v>
      </c>
      <c r="AH1232">
        <v>89509</v>
      </c>
      <c r="AI1232" t="s">
        <v>10556</v>
      </c>
      <c r="AJ1232" t="s">
        <v>4655</v>
      </c>
      <c r="AK1232" t="s">
        <v>10557</v>
      </c>
      <c r="AL1232" s="13" t="s">
        <v>2257</v>
      </c>
      <c r="AM1232" s="14">
        <v>1</v>
      </c>
      <c r="AN1232" s="15" t="s">
        <v>2516</v>
      </c>
    </row>
    <row r="1233" spans="1:40" x14ac:dyDescent="0.3">
      <c r="A1233" s="10" t="str">
        <f>HYPERLINK("http://www.washoecounty.gov/assessor/cama/?parid=014-280-11&amp;CardNumber=1","014-280-11")</f>
        <v>014-280-11</v>
      </c>
      <c r="B1233" t="s">
        <v>4655</v>
      </c>
      <c r="C1233" t="s">
        <v>10558</v>
      </c>
      <c r="D1233" s="1">
        <v>40522</v>
      </c>
      <c r="E1233" s="2">
        <v>280000</v>
      </c>
      <c r="F1233" t="s">
        <v>3528</v>
      </c>
      <c r="G1233" s="17" t="str">
        <f>HYPERLINK("https://www.washoecounty.gov/assessor/cama/?command=sales&amp;parid=01428011","3952260")</f>
        <v>3952260</v>
      </c>
      <c r="H1233" t="s">
        <v>10559</v>
      </c>
      <c r="I1233">
        <v>1990</v>
      </c>
      <c r="J1233">
        <v>1990</v>
      </c>
      <c r="K1233" t="s">
        <v>3919</v>
      </c>
      <c r="L1233" t="s">
        <v>1366</v>
      </c>
      <c r="M1233" s="2">
        <v>3064</v>
      </c>
      <c r="N1233" t="s">
        <v>4580</v>
      </c>
      <c r="O1233">
        <v>0</v>
      </c>
      <c r="P1233">
        <v>0</v>
      </c>
      <c r="Q1233">
        <v>0</v>
      </c>
      <c r="R1233" t="s">
        <v>3039</v>
      </c>
      <c r="S1233" t="s">
        <v>3943</v>
      </c>
      <c r="T1233" t="s">
        <v>4655</v>
      </c>
      <c r="U1233" t="s">
        <v>4655</v>
      </c>
      <c r="V1233" s="2">
        <v>0</v>
      </c>
      <c r="W1233" t="s">
        <v>4571</v>
      </c>
      <c r="X1233" s="2">
        <v>2968</v>
      </c>
      <c r="Y1233">
        <v>41</v>
      </c>
      <c r="Z1233" t="s">
        <v>3098</v>
      </c>
      <c r="AA1233" s="3">
        <v>7.2819098830223097E-2</v>
      </c>
      <c r="AB1233" t="s">
        <v>10560</v>
      </c>
      <c r="AC1233" t="s">
        <v>4562</v>
      </c>
      <c r="AD1233" t="s">
        <v>7894</v>
      </c>
      <c r="AE1233" t="s">
        <v>4655</v>
      </c>
      <c r="AF1233" t="s">
        <v>4563</v>
      </c>
      <c r="AG1233" t="s">
        <v>4564</v>
      </c>
      <c r="AH1233">
        <v>89509</v>
      </c>
      <c r="AI1233" t="s">
        <v>5454</v>
      </c>
      <c r="AJ1233" t="s">
        <v>4655</v>
      </c>
      <c r="AK1233" t="s">
        <v>10561</v>
      </c>
      <c r="AL1233" s="13" t="s">
        <v>2257</v>
      </c>
      <c r="AM1233" s="14">
        <v>1</v>
      </c>
      <c r="AN1233" s="15" t="s">
        <v>10562</v>
      </c>
    </row>
    <row r="1234" spans="1:40" x14ac:dyDescent="0.3">
      <c r="A1234" s="10" t="str">
        <f>HYPERLINK("http://www.washoecounty.gov/assessor/cama/?parid=015-183-11&amp;CardNumber=1","015-183-11")</f>
        <v>015-183-11</v>
      </c>
      <c r="B1234" t="s">
        <v>4655</v>
      </c>
      <c r="C1234" t="s">
        <v>10563</v>
      </c>
      <c r="D1234" s="1">
        <v>40298</v>
      </c>
      <c r="E1234" s="2">
        <v>125000</v>
      </c>
      <c r="F1234" t="s">
        <v>4567</v>
      </c>
      <c r="G1234" s="17" t="str">
        <f>HYPERLINK("https://www.washoecounty.gov/assessor/cama/?command=sales&amp;parid=01518311","3876827")</f>
        <v>3876827</v>
      </c>
      <c r="H1234" t="s">
        <v>1426</v>
      </c>
      <c r="I1234">
        <v>1948</v>
      </c>
      <c r="J1234">
        <v>1953</v>
      </c>
      <c r="K1234" t="s">
        <v>4554</v>
      </c>
      <c r="L1234" t="s">
        <v>4555</v>
      </c>
      <c r="M1234" s="2">
        <v>1199</v>
      </c>
      <c r="N1234" t="s">
        <v>4556</v>
      </c>
      <c r="O1234">
        <v>3</v>
      </c>
      <c r="P1234">
        <v>2</v>
      </c>
      <c r="Q1234">
        <v>0</v>
      </c>
      <c r="R1234" t="s">
        <v>1800</v>
      </c>
      <c r="S1234" t="s">
        <v>4397</v>
      </c>
      <c r="T1234" t="s">
        <v>2947</v>
      </c>
      <c r="U1234" t="s">
        <v>4655</v>
      </c>
      <c r="V1234" s="2">
        <v>0</v>
      </c>
      <c r="W1234" t="s">
        <v>4655</v>
      </c>
      <c r="X1234" s="2">
        <v>0</v>
      </c>
      <c r="Y1234">
        <v>20</v>
      </c>
      <c r="Z1234" t="s">
        <v>4561</v>
      </c>
      <c r="AA1234" s="3">
        <v>0.22199265658855438</v>
      </c>
      <c r="AB1234" t="s">
        <v>10564</v>
      </c>
      <c r="AC1234" t="s">
        <v>4562</v>
      </c>
      <c r="AD1234" t="s">
        <v>10563</v>
      </c>
      <c r="AE1234" t="s">
        <v>4655</v>
      </c>
      <c r="AF1234" t="s">
        <v>4563</v>
      </c>
      <c r="AG1234" t="s">
        <v>4564</v>
      </c>
      <c r="AH1234">
        <v>89502</v>
      </c>
      <c r="AI1234" t="s">
        <v>10565</v>
      </c>
      <c r="AJ1234" t="s">
        <v>4655</v>
      </c>
      <c r="AK1234" t="s">
        <v>10566</v>
      </c>
      <c r="AL1234" s="13" t="s">
        <v>2256</v>
      </c>
      <c r="AM1234" s="14">
        <v>1</v>
      </c>
      <c r="AN1234" s="15" t="s">
        <v>1428</v>
      </c>
    </row>
    <row r="1235" spans="1:40" x14ac:dyDescent="0.3">
      <c r="A1235" s="10" t="str">
        <f>HYPERLINK("http://www.washoecounty.gov/assessor/cama/?parid=015-183-13&amp;CardNumber=1","015-183-13")</f>
        <v>015-183-13</v>
      </c>
      <c r="B1235" t="s">
        <v>4655</v>
      </c>
      <c r="C1235" t="s">
        <v>10567</v>
      </c>
      <c r="D1235" s="1">
        <v>40277</v>
      </c>
      <c r="E1235" s="2">
        <v>120000</v>
      </c>
      <c r="F1235" t="s">
        <v>4567</v>
      </c>
      <c r="G1235" s="17" t="str">
        <f>HYPERLINK("https://www.washoecounty.gov/assessor/cama/?command=sales&amp;parid=01518313","3869421")</f>
        <v>3869421</v>
      </c>
      <c r="H1235" t="s">
        <v>1426</v>
      </c>
      <c r="I1235">
        <v>1948</v>
      </c>
      <c r="J1235">
        <v>1948</v>
      </c>
      <c r="K1235" t="s">
        <v>4554</v>
      </c>
      <c r="L1235" t="s">
        <v>4555</v>
      </c>
      <c r="M1235" s="2">
        <v>1032</v>
      </c>
      <c r="N1235" t="s">
        <v>4556</v>
      </c>
      <c r="O1235">
        <v>3</v>
      </c>
      <c r="P1235">
        <v>1</v>
      </c>
      <c r="Q1235">
        <v>0</v>
      </c>
      <c r="R1235" t="s">
        <v>4557</v>
      </c>
      <c r="S1235" t="s">
        <v>364</v>
      </c>
      <c r="T1235" t="s">
        <v>4559</v>
      </c>
      <c r="U1235" t="s">
        <v>4655</v>
      </c>
      <c r="V1235" s="2">
        <v>0</v>
      </c>
      <c r="W1235" t="s">
        <v>4655</v>
      </c>
      <c r="X1235" s="2">
        <v>0</v>
      </c>
      <c r="Y1235">
        <v>20</v>
      </c>
      <c r="Z1235" t="s">
        <v>4561</v>
      </c>
      <c r="AA1235" s="3">
        <v>0.22199265658855438</v>
      </c>
      <c r="AB1235" t="s">
        <v>10568</v>
      </c>
      <c r="AC1235" t="s">
        <v>4562</v>
      </c>
      <c r="AD1235" t="s">
        <v>10567</v>
      </c>
      <c r="AE1235" t="s">
        <v>4655</v>
      </c>
      <c r="AF1235" t="s">
        <v>4563</v>
      </c>
      <c r="AG1235" t="s">
        <v>4564</v>
      </c>
      <c r="AH1235">
        <v>89502</v>
      </c>
      <c r="AI1235" t="s">
        <v>10569</v>
      </c>
      <c r="AJ1235" t="s">
        <v>4655</v>
      </c>
      <c r="AK1235" t="s">
        <v>10570</v>
      </c>
      <c r="AL1235" s="13" t="s">
        <v>2256</v>
      </c>
      <c r="AM1235" s="14">
        <v>1</v>
      </c>
      <c r="AN1235" s="15" t="s">
        <v>1428</v>
      </c>
    </row>
    <row r="1236" spans="1:40" x14ac:dyDescent="0.3">
      <c r="A1236" s="10" t="str">
        <f>HYPERLINK("http://www.washoecounty.gov/assessor/cama/?parid=015-183-15&amp;CardNumber=1","015-183-15")</f>
        <v>015-183-15</v>
      </c>
      <c r="B1236" t="s">
        <v>4655</v>
      </c>
      <c r="C1236" t="s">
        <v>1425</v>
      </c>
      <c r="D1236" s="1">
        <v>40206</v>
      </c>
      <c r="E1236" s="2">
        <v>58000</v>
      </c>
      <c r="F1236" t="s">
        <v>4567</v>
      </c>
      <c r="G1236" s="17" t="str">
        <f>HYPERLINK("https://www.washoecounty.gov/assessor/cama/?command=sales&amp;parid=01518315","3843509")</f>
        <v>3843509</v>
      </c>
      <c r="H1236" t="s">
        <v>1426</v>
      </c>
      <c r="I1236">
        <v>1948</v>
      </c>
      <c r="J1236">
        <v>1948</v>
      </c>
      <c r="K1236" t="s">
        <v>4554</v>
      </c>
      <c r="L1236" t="s">
        <v>4555</v>
      </c>
      <c r="M1236" s="2">
        <v>786</v>
      </c>
      <c r="N1236" t="s">
        <v>4556</v>
      </c>
      <c r="O1236">
        <v>2</v>
      </c>
      <c r="P1236">
        <v>1</v>
      </c>
      <c r="Q1236">
        <v>0</v>
      </c>
      <c r="R1236" t="s">
        <v>4557</v>
      </c>
      <c r="S1236" t="s">
        <v>364</v>
      </c>
      <c r="T1236" t="s">
        <v>4559</v>
      </c>
      <c r="U1236" t="s">
        <v>4655</v>
      </c>
      <c r="V1236" s="2">
        <v>0</v>
      </c>
      <c r="W1236" t="s">
        <v>4655</v>
      </c>
      <c r="X1236" s="2">
        <v>0</v>
      </c>
      <c r="Y1236">
        <v>20</v>
      </c>
      <c r="Z1236" t="s">
        <v>4561</v>
      </c>
      <c r="AA1236" s="3">
        <v>0.22199265658855438</v>
      </c>
      <c r="AB1236" t="s">
        <v>1427</v>
      </c>
      <c r="AC1236" t="s">
        <v>4562</v>
      </c>
      <c r="AD1236" t="s">
        <v>1425</v>
      </c>
      <c r="AE1236" t="s">
        <v>4655</v>
      </c>
      <c r="AF1236" t="s">
        <v>4563</v>
      </c>
      <c r="AG1236" t="s">
        <v>4564</v>
      </c>
      <c r="AH1236">
        <v>89502</v>
      </c>
      <c r="AI1236" t="s">
        <v>4655</v>
      </c>
      <c r="AJ1236" t="s">
        <v>4655</v>
      </c>
      <c r="AK1236" t="s">
        <v>10571</v>
      </c>
      <c r="AL1236" s="13" t="s">
        <v>2256</v>
      </c>
      <c r="AM1236" s="14">
        <v>1</v>
      </c>
      <c r="AN1236" s="15" t="s">
        <v>1428</v>
      </c>
    </row>
    <row r="1237" spans="1:40" x14ac:dyDescent="0.3">
      <c r="A1237" s="10" t="str">
        <f>HYPERLINK("http://www.washoecounty.gov/assessor/cama/?parid=015-183-18&amp;CardNumber=1","015-183-18")</f>
        <v>015-183-18</v>
      </c>
      <c r="B1237" t="s">
        <v>4655</v>
      </c>
      <c r="C1237" t="s">
        <v>10572</v>
      </c>
      <c r="D1237" s="1">
        <v>40203</v>
      </c>
      <c r="E1237" s="2">
        <v>97000</v>
      </c>
      <c r="F1237" t="s">
        <v>4567</v>
      </c>
      <c r="G1237" s="17" t="str">
        <f>HYPERLINK("https://www.washoecounty.gov/assessor/cama/?command=sales&amp;parid=01518318","3842182")</f>
        <v>3842182</v>
      </c>
      <c r="H1237" t="s">
        <v>1426</v>
      </c>
      <c r="I1237">
        <v>1948</v>
      </c>
      <c r="J1237">
        <v>1948</v>
      </c>
      <c r="K1237" t="s">
        <v>4554</v>
      </c>
      <c r="L1237" t="s">
        <v>4555</v>
      </c>
      <c r="M1237" s="2">
        <v>1208</v>
      </c>
      <c r="N1237" t="s">
        <v>4556</v>
      </c>
      <c r="O1237">
        <v>3</v>
      </c>
      <c r="P1237">
        <v>1</v>
      </c>
      <c r="Q1237">
        <v>0</v>
      </c>
      <c r="R1237" t="s">
        <v>4134</v>
      </c>
      <c r="S1237" t="s">
        <v>364</v>
      </c>
      <c r="T1237" t="s">
        <v>4559</v>
      </c>
      <c r="U1237" t="s">
        <v>4655</v>
      </c>
      <c r="V1237" s="2">
        <v>0</v>
      </c>
      <c r="W1237" t="s">
        <v>4655</v>
      </c>
      <c r="X1237" s="2">
        <v>0</v>
      </c>
      <c r="Y1237">
        <v>20</v>
      </c>
      <c r="Z1237" t="s">
        <v>4561</v>
      </c>
      <c r="AA1237" s="3">
        <v>0.22199265658855438</v>
      </c>
      <c r="AB1237" t="s">
        <v>10573</v>
      </c>
      <c r="AC1237" t="s">
        <v>4575</v>
      </c>
      <c r="AD1237" t="s">
        <v>10574</v>
      </c>
      <c r="AE1237" t="s">
        <v>4655</v>
      </c>
      <c r="AF1237" t="s">
        <v>5201</v>
      </c>
      <c r="AG1237" t="s">
        <v>4564</v>
      </c>
      <c r="AH1237" t="s">
        <v>5202</v>
      </c>
      <c r="AI1237" t="s">
        <v>10575</v>
      </c>
      <c r="AJ1237" t="s">
        <v>4655</v>
      </c>
      <c r="AK1237" t="s">
        <v>10576</v>
      </c>
      <c r="AL1237" s="13" t="s">
        <v>2256</v>
      </c>
      <c r="AM1237">
        <v>1</v>
      </c>
      <c r="AN1237" s="15" t="s">
        <v>1428</v>
      </c>
    </row>
    <row r="1238" spans="1:40" x14ac:dyDescent="0.3">
      <c r="A1238" s="10" t="str">
        <f>HYPERLINK("http://www.washoecounty.gov/assessor/cama/?parid=015-184-02&amp;CardNumber=1","015-184-02")</f>
        <v>015-184-02</v>
      </c>
      <c r="B1238" t="s">
        <v>4655</v>
      </c>
      <c r="C1238" t="s">
        <v>10577</v>
      </c>
      <c r="D1238" s="1">
        <v>40373</v>
      </c>
      <c r="E1238" s="2">
        <v>63000</v>
      </c>
      <c r="F1238" t="s">
        <v>4553</v>
      </c>
      <c r="G1238" s="17" t="str">
        <f>HYPERLINK("https://www.washoecounty.gov/assessor/cama/?command=sales&amp;parid=01518402","3901166")</f>
        <v>3901166</v>
      </c>
      <c r="H1238" t="s">
        <v>1426</v>
      </c>
      <c r="I1238">
        <v>1959</v>
      </c>
      <c r="J1238">
        <v>1959</v>
      </c>
      <c r="K1238" t="s">
        <v>4554</v>
      </c>
      <c r="L1238" t="s">
        <v>4555</v>
      </c>
      <c r="M1238" s="2">
        <v>900</v>
      </c>
      <c r="N1238" t="s">
        <v>4556</v>
      </c>
      <c r="O1238">
        <v>3</v>
      </c>
      <c r="P1238">
        <v>1</v>
      </c>
      <c r="Q1238">
        <v>0</v>
      </c>
      <c r="R1238" t="s">
        <v>4557</v>
      </c>
      <c r="S1238" t="s">
        <v>4574</v>
      </c>
      <c r="T1238" t="s">
        <v>4559</v>
      </c>
      <c r="U1238" t="s">
        <v>4560</v>
      </c>
      <c r="V1238" s="2">
        <v>391</v>
      </c>
      <c r="W1238" t="s">
        <v>4655</v>
      </c>
      <c r="X1238" s="2">
        <v>0</v>
      </c>
      <c r="Y1238">
        <v>20</v>
      </c>
      <c r="Z1238" t="s">
        <v>4561</v>
      </c>
      <c r="AA1238" s="3">
        <v>0.22199265658855438</v>
      </c>
      <c r="AB1238" t="s">
        <v>10578</v>
      </c>
      <c r="AC1238" t="s">
        <v>4562</v>
      </c>
      <c r="AD1238" t="s">
        <v>1912</v>
      </c>
      <c r="AE1238" t="s">
        <v>4655</v>
      </c>
      <c r="AF1238" t="s">
        <v>4563</v>
      </c>
      <c r="AG1238" t="s">
        <v>4564</v>
      </c>
      <c r="AH1238">
        <v>89511</v>
      </c>
      <c r="AI1238" t="s">
        <v>2351</v>
      </c>
      <c r="AJ1238" t="s">
        <v>4655</v>
      </c>
      <c r="AK1238" t="s">
        <v>10579</v>
      </c>
      <c r="AL1238" s="13" t="s">
        <v>2256</v>
      </c>
      <c r="AM1238">
        <v>1</v>
      </c>
      <c r="AN1238" s="15" t="s">
        <v>1428</v>
      </c>
    </row>
    <row r="1239" spans="1:40" x14ac:dyDescent="0.3">
      <c r="A1239" s="10" t="str">
        <f>HYPERLINK("http://www.washoecounty.gov/assessor/cama/?parid=015-184-03&amp;CardNumber=1","015-184-03")</f>
        <v>015-184-03</v>
      </c>
      <c r="B1239" t="s">
        <v>4655</v>
      </c>
      <c r="C1239" t="s">
        <v>10580</v>
      </c>
      <c r="D1239" s="1">
        <v>40347</v>
      </c>
      <c r="E1239" s="2">
        <v>90000</v>
      </c>
      <c r="F1239" t="s">
        <v>4553</v>
      </c>
      <c r="G1239" s="17" t="str">
        <f>HYPERLINK("https://www.washoecounty.gov/assessor/cama/?command=sales&amp;parid=01518403","3893257")</f>
        <v>3893257</v>
      </c>
      <c r="H1239" t="s">
        <v>1426</v>
      </c>
      <c r="I1239">
        <v>1959</v>
      </c>
      <c r="J1239">
        <v>1959</v>
      </c>
      <c r="K1239" t="s">
        <v>4554</v>
      </c>
      <c r="L1239" t="s">
        <v>4555</v>
      </c>
      <c r="M1239" s="2">
        <v>900</v>
      </c>
      <c r="N1239" t="s">
        <v>4556</v>
      </c>
      <c r="O1239">
        <v>3</v>
      </c>
      <c r="P1239">
        <v>1</v>
      </c>
      <c r="Q1239">
        <v>0</v>
      </c>
      <c r="R1239" t="s">
        <v>4557</v>
      </c>
      <c r="S1239" t="s">
        <v>4574</v>
      </c>
      <c r="T1239" t="s">
        <v>4559</v>
      </c>
      <c r="U1239" t="s">
        <v>4560</v>
      </c>
      <c r="V1239" s="2">
        <v>391</v>
      </c>
      <c r="W1239" t="s">
        <v>4655</v>
      </c>
      <c r="X1239" s="2">
        <v>0</v>
      </c>
      <c r="Y1239">
        <v>20</v>
      </c>
      <c r="Z1239" t="s">
        <v>4561</v>
      </c>
      <c r="AA1239" s="3">
        <v>0.22199265658855438</v>
      </c>
      <c r="AB1239" t="s">
        <v>10581</v>
      </c>
      <c r="AC1239" t="s">
        <v>4562</v>
      </c>
      <c r="AD1239" t="s">
        <v>10580</v>
      </c>
      <c r="AE1239" t="s">
        <v>4655</v>
      </c>
      <c r="AF1239" t="s">
        <v>4563</v>
      </c>
      <c r="AG1239" t="s">
        <v>4564</v>
      </c>
      <c r="AH1239">
        <v>89502</v>
      </c>
      <c r="AI1239" t="s">
        <v>4903</v>
      </c>
      <c r="AJ1239" t="s">
        <v>4655</v>
      </c>
      <c r="AK1239" t="s">
        <v>10582</v>
      </c>
      <c r="AL1239" s="13" t="s">
        <v>2256</v>
      </c>
      <c r="AM1239">
        <v>1</v>
      </c>
      <c r="AN1239" s="15" t="s">
        <v>1428</v>
      </c>
    </row>
    <row r="1240" spans="1:40" x14ac:dyDescent="0.3">
      <c r="A1240" s="10" t="str">
        <f>HYPERLINK("http://www.washoecounty.gov/assessor/cama/?parid=015-184-07&amp;CardNumber=1","015-184-07")</f>
        <v>015-184-07</v>
      </c>
      <c r="B1240" t="s">
        <v>4655</v>
      </c>
      <c r="C1240" t="s">
        <v>10583</v>
      </c>
      <c r="D1240" s="1">
        <v>40479</v>
      </c>
      <c r="E1240" s="2">
        <v>115000</v>
      </c>
      <c r="F1240" t="s">
        <v>4553</v>
      </c>
      <c r="G1240" s="17" t="str">
        <f>HYPERLINK("https://www.washoecounty.gov/assessor/cama/?command=sales&amp;parid=01518407","3938008")</f>
        <v>3938008</v>
      </c>
      <c r="H1240" t="s">
        <v>1426</v>
      </c>
      <c r="I1240">
        <v>1947</v>
      </c>
      <c r="J1240">
        <v>1947</v>
      </c>
      <c r="K1240" t="s">
        <v>4554</v>
      </c>
      <c r="L1240" t="s">
        <v>4555</v>
      </c>
      <c r="M1240" s="2">
        <v>1454</v>
      </c>
      <c r="N1240" t="s">
        <v>4556</v>
      </c>
      <c r="O1240">
        <v>3</v>
      </c>
      <c r="P1240">
        <v>1</v>
      </c>
      <c r="Q1240">
        <v>1</v>
      </c>
      <c r="R1240" t="s">
        <v>1800</v>
      </c>
      <c r="S1240" t="s">
        <v>4574</v>
      </c>
      <c r="T1240" t="s">
        <v>4559</v>
      </c>
      <c r="U1240" t="s">
        <v>4560</v>
      </c>
      <c r="V1240" s="2">
        <v>448</v>
      </c>
      <c r="W1240" t="s">
        <v>4655</v>
      </c>
      <c r="X1240" s="2">
        <v>0</v>
      </c>
      <c r="Y1240">
        <v>20</v>
      </c>
      <c r="Z1240" t="s">
        <v>4561</v>
      </c>
      <c r="AA1240" s="3">
        <v>0.22199265658855438</v>
      </c>
      <c r="AB1240" t="s">
        <v>10584</v>
      </c>
      <c r="AC1240" t="s">
        <v>4562</v>
      </c>
      <c r="AD1240" t="s">
        <v>10585</v>
      </c>
      <c r="AE1240" t="s">
        <v>4655</v>
      </c>
      <c r="AF1240" t="s">
        <v>4563</v>
      </c>
      <c r="AG1240" t="s">
        <v>4564</v>
      </c>
      <c r="AH1240">
        <v>89502</v>
      </c>
      <c r="AI1240" t="s">
        <v>4045</v>
      </c>
      <c r="AJ1240" t="s">
        <v>4655</v>
      </c>
      <c r="AK1240" t="s">
        <v>10586</v>
      </c>
      <c r="AL1240" s="13" t="s">
        <v>2256</v>
      </c>
      <c r="AM1240" s="14">
        <v>1</v>
      </c>
      <c r="AN1240" s="15" t="s">
        <v>1428</v>
      </c>
    </row>
    <row r="1241" spans="1:40" x14ac:dyDescent="0.3">
      <c r="A1241" s="10" t="str">
        <f>HYPERLINK("http://www.washoecounty.gov/assessor/cama/?parid=015-184-11&amp;CardNumber=1","015-184-11")</f>
        <v>015-184-11</v>
      </c>
      <c r="B1241" t="s">
        <v>4655</v>
      </c>
      <c r="C1241" t="s">
        <v>10587</v>
      </c>
      <c r="D1241" s="1">
        <v>40343</v>
      </c>
      <c r="E1241" s="2">
        <v>105000</v>
      </c>
      <c r="F1241" t="s">
        <v>4567</v>
      </c>
      <c r="G1241" s="17" t="str">
        <f>HYPERLINK("https://www.washoecounty.gov/assessor/cama/?command=sales&amp;parid=01518411","3891440")</f>
        <v>3891440</v>
      </c>
      <c r="H1241" t="s">
        <v>1426</v>
      </c>
      <c r="I1241">
        <v>1951</v>
      </c>
      <c r="J1241">
        <v>1951</v>
      </c>
      <c r="K1241" t="s">
        <v>4554</v>
      </c>
      <c r="L1241" t="s">
        <v>4555</v>
      </c>
      <c r="M1241" s="2">
        <v>1282</v>
      </c>
      <c r="N1241" t="s">
        <v>4556</v>
      </c>
      <c r="O1241">
        <v>4</v>
      </c>
      <c r="P1241">
        <v>2</v>
      </c>
      <c r="Q1241">
        <v>0</v>
      </c>
      <c r="R1241" t="s">
        <v>1800</v>
      </c>
      <c r="S1241" t="s">
        <v>4135</v>
      </c>
      <c r="T1241" t="s">
        <v>4559</v>
      </c>
      <c r="U1241" t="s">
        <v>4655</v>
      </c>
      <c r="V1241" s="2">
        <v>0</v>
      </c>
      <c r="W1241" t="s">
        <v>4655</v>
      </c>
      <c r="X1241" s="2">
        <v>0</v>
      </c>
      <c r="Y1241">
        <v>20</v>
      </c>
      <c r="Z1241" t="s">
        <v>4561</v>
      </c>
      <c r="AA1241" s="3">
        <v>0.26000916957855202</v>
      </c>
      <c r="AB1241" t="s">
        <v>10588</v>
      </c>
      <c r="AC1241" t="s">
        <v>4562</v>
      </c>
      <c r="AD1241" t="s">
        <v>10589</v>
      </c>
      <c r="AE1241" t="s">
        <v>4655</v>
      </c>
      <c r="AF1241" t="s">
        <v>3114</v>
      </c>
      <c r="AG1241" t="s">
        <v>4564</v>
      </c>
      <c r="AH1241">
        <v>89502</v>
      </c>
      <c r="AI1241" t="s">
        <v>10590</v>
      </c>
      <c r="AJ1241" t="s">
        <v>4655</v>
      </c>
      <c r="AK1241" t="s">
        <v>10591</v>
      </c>
      <c r="AL1241" s="13" t="s">
        <v>2256</v>
      </c>
      <c r="AM1241">
        <v>1</v>
      </c>
      <c r="AN1241" s="15" t="s">
        <v>1428</v>
      </c>
    </row>
    <row r="1242" spans="1:40" x14ac:dyDescent="0.3">
      <c r="A1242" s="10" t="str">
        <f>HYPERLINK("http://www.washoecounty.gov/assessor/cama/?parid=015-184-17&amp;CardNumber=1","015-184-17")</f>
        <v>015-184-17</v>
      </c>
      <c r="B1242" t="s">
        <v>4655</v>
      </c>
      <c r="C1242" t="s">
        <v>10592</v>
      </c>
      <c r="D1242" s="1">
        <v>40542</v>
      </c>
      <c r="E1242" s="2">
        <v>85000</v>
      </c>
      <c r="F1242" t="s">
        <v>4567</v>
      </c>
      <c r="G1242" s="17" t="str">
        <f>HYPERLINK("https://www.washoecounty.gov/assessor/cama/?command=sales&amp;parid=01518417","3959226")</f>
        <v>3959226</v>
      </c>
      <c r="H1242" t="s">
        <v>1426</v>
      </c>
      <c r="I1242">
        <v>1953</v>
      </c>
      <c r="J1242">
        <v>1953</v>
      </c>
      <c r="K1242" t="s">
        <v>4554</v>
      </c>
      <c r="L1242" t="s">
        <v>4555</v>
      </c>
      <c r="M1242" s="2">
        <v>1487</v>
      </c>
      <c r="N1242" t="s">
        <v>4556</v>
      </c>
      <c r="O1242">
        <v>3</v>
      </c>
      <c r="P1242">
        <v>2</v>
      </c>
      <c r="Q1242">
        <v>0</v>
      </c>
      <c r="R1242" t="s">
        <v>4557</v>
      </c>
      <c r="S1242" t="s">
        <v>4898</v>
      </c>
      <c r="T1242" t="s">
        <v>4559</v>
      </c>
      <c r="U1242" t="s">
        <v>4560</v>
      </c>
      <c r="V1242" s="2">
        <v>286</v>
      </c>
      <c r="W1242" t="s">
        <v>4655</v>
      </c>
      <c r="X1242" s="2">
        <v>0</v>
      </c>
      <c r="Y1242">
        <v>20</v>
      </c>
      <c r="Z1242" t="s">
        <v>4561</v>
      </c>
      <c r="AA1242" s="3">
        <v>0.25</v>
      </c>
      <c r="AB1242" t="s">
        <v>10593</v>
      </c>
      <c r="AC1242" t="s">
        <v>4562</v>
      </c>
      <c r="AD1242" t="s">
        <v>10592</v>
      </c>
      <c r="AE1242" t="s">
        <v>4655</v>
      </c>
      <c r="AF1242" t="s">
        <v>4563</v>
      </c>
      <c r="AG1242" t="s">
        <v>4564</v>
      </c>
      <c r="AH1242">
        <v>89502</v>
      </c>
      <c r="AI1242" t="s">
        <v>10594</v>
      </c>
      <c r="AJ1242" t="s">
        <v>4655</v>
      </c>
      <c r="AK1242" t="s">
        <v>10595</v>
      </c>
      <c r="AL1242" s="13" t="s">
        <v>2256</v>
      </c>
      <c r="AM1242">
        <v>1</v>
      </c>
      <c r="AN1242" s="15" t="s">
        <v>1428</v>
      </c>
    </row>
    <row r="1243" spans="1:40" x14ac:dyDescent="0.3">
      <c r="A1243" s="10" t="str">
        <f>HYPERLINK("http://www.washoecounty.gov/assessor/cama/?parid=015-220-30&amp;CardNumber=1","015-220-30")</f>
        <v>015-220-30</v>
      </c>
      <c r="B1243" t="s">
        <v>4655</v>
      </c>
      <c r="C1243" t="s">
        <v>10596</v>
      </c>
      <c r="D1243" s="1">
        <v>40198</v>
      </c>
      <c r="E1243" s="2">
        <v>2100000</v>
      </c>
      <c r="F1243" t="s">
        <v>4567</v>
      </c>
      <c r="G1243" s="17" t="str">
        <f>HYPERLINK("https://www.washoecounty.gov/assessor/cama/?command=sales&amp;parid=01522030","3840897")</f>
        <v>3840897</v>
      </c>
      <c r="H1243" t="s">
        <v>1430</v>
      </c>
      <c r="I1243">
        <v>1973</v>
      </c>
      <c r="J1243">
        <v>1973</v>
      </c>
      <c r="K1243" t="s">
        <v>3529</v>
      </c>
      <c r="L1243" t="s">
        <v>3530</v>
      </c>
      <c r="M1243" s="2">
        <v>18268</v>
      </c>
      <c r="N1243" t="s">
        <v>1431</v>
      </c>
      <c r="O1243">
        <v>0</v>
      </c>
      <c r="P1243">
        <v>0</v>
      </c>
      <c r="Q1243">
        <v>0</v>
      </c>
      <c r="R1243" t="s">
        <v>3039</v>
      </c>
      <c r="S1243" t="s">
        <v>4582</v>
      </c>
      <c r="T1243" t="s">
        <v>4655</v>
      </c>
      <c r="U1243" t="s">
        <v>4655</v>
      </c>
      <c r="V1243" s="2">
        <v>0</v>
      </c>
      <c r="W1243" t="s">
        <v>4571</v>
      </c>
      <c r="X1243" s="2">
        <v>5368</v>
      </c>
      <c r="Y1243">
        <v>41</v>
      </c>
      <c r="Z1243" t="s">
        <v>4900</v>
      </c>
      <c r="AA1243" s="3">
        <v>1.0875114202499301</v>
      </c>
      <c r="AB1243" t="s">
        <v>4045</v>
      </c>
      <c r="AC1243" t="s">
        <v>4562</v>
      </c>
      <c r="AD1243" t="s">
        <v>10597</v>
      </c>
      <c r="AE1243" t="s">
        <v>10598</v>
      </c>
      <c r="AF1243" t="s">
        <v>10599</v>
      </c>
      <c r="AG1243" t="s">
        <v>1432</v>
      </c>
      <c r="AH1243">
        <v>55406</v>
      </c>
      <c r="AI1243" t="s">
        <v>4655</v>
      </c>
      <c r="AJ1243" t="s">
        <v>4655</v>
      </c>
      <c r="AK1243" t="s">
        <v>10600</v>
      </c>
      <c r="AL1243" s="13" t="s">
        <v>2256</v>
      </c>
      <c r="AM1243" s="14">
        <v>1</v>
      </c>
      <c r="AN1243" s="15" t="s">
        <v>1433</v>
      </c>
    </row>
    <row r="1244" spans="1:40" x14ac:dyDescent="0.3">
      <c r="A1244" s="10" t="str">
        <f>HYPERLINK("http://www.washoecounty.gov/assessor/cama/?parid=015-251-03&amp;CardNumber=1","015-251-03")</f>
        <v>015-251-03</v>
      </c>
      <c r="B1244" t="s">
        <v>4655</v>
      </c>
      <c r="C1244" t="s">
        <v>10601</v>
      </c>
      <c r="D1244" s="1">
        <v>40276</v>
      </c>
      <c r="E1244" s="2">
        <v>79000</v>
      </c>
      <c r="F1244" t="s">
        <v>4567</v>
      </c>
      <c r="G1244" s="17" t="str">
        <f>HYPERLINK("https://www.washoecounty.gov/assessor/cama/?command=sales&amp;parid=01525103","3869039")</f>
        <v>3869039</v>
      </c>
      <c r="H1244" t="s">
        <v>10602</v>
      </c>
      <c r="I1244">
        <v>1958</v>
      </c>
      <c r="J1244">
        <v>1958</v>
      </c>
      <c r="K1244" t="s">
        <v>4554</v>
      </c>
      <c r="L1244" t="s">
        <v>4555</v>
      </c>
      <c r="M1244" s="2">
        <v>857</v>
      </c>
      <c r="N1244" t="s">
        <v>4556</v>
      </c>
      <c r="O1244">
        <v>2</v>
      </c>
      <c r="P1244">
        <v>1</v>
      </c>
      <c r="Q1244">
        <v>0</v>
      </c>
      <c r="R1244" t="s">
        <v>4134</v>
      </c>
      <c r="S1244" t="s">
        <v>4682</v>
      </c>
      <c r="T1244" t="s">
        <v>4559</v>
      </c>
      <c r="U1244" t="s">
        <v>4655</v>
      </c>
      <c r="V1244" s="2">
        <v>0</v>
      </c>
      <c r="W1244" t="s">
        <v>4655</v>
      </c>
      <c r="X1244" s="2">
        <v>0</v>
      </c>
      <c r="Y1244">
        <v>20</v>
      </c>
      <c r="Z1244" t="s">
        <v>4900</v>
      </c>
      <c r="AA1244" s="3">
        <v>0.20000000298023199</v>
      </c>
      <c r="AB1244" t="s">
        <v>10603</v>
      </c>
      <c r="AC1244" t="s">
        <v>4562</v>
      </c>
      <c r="AD1244" t="s">
        <v>10604</v>
      </c>
      <c r="AE1244" t="s">
        <v>4655</v>
      </c>
      <c r="AF1244" t="s">
        <v>10605</v>
      </c>
      <c r="AG1244" t="s">
        <v>4584</v>
      </c>
      <c r="AH1244">
        <v>94709</v>
      </c>
      <c r="AI1244" t="s">
        <v>10606</v>
      </c>
      <c r="AJ1244" t="s">
        <v>4655</v>
      </c>
      <c r="AK1244" t="s">
        <v>10607</v>
      </c>
      <c r="AL1244" s="13" t="s">
        <v>2256</v>
      </c>
      <c r="AM1244">
        <v>1</v>
      </c>
      <c r="AN1244" s="15" t="s">
        <v>1428</v>
      </c>
    </row>
    <row r="1245" spans="1:40" x14ac:dyDescent="0.3">
      <c r="A1245" s="10" t="str">
        <f>HYPERLINK("http://www.washoecounty.gov/assessor/cama/?parid=015-262-02&amp;CardNumber=1","015-262-02")</f>
        <v>015-262-02</v>
      </c>
      <c r="B1245" t="s">
        <v>4655</v>
      </c>
      <c r="C1245" t="s">
        <v>10608</v>
      </c>
      <c r="D1245" s="1">
        <v>40270</v>
      </c>
      <c r="E1245" s="2">
        <v>110000</v>
      </c>
      <c r="F1245" t="s">
        <v>4567</v>
      </c>
      <c r="G1245" s="17" t="str">
        <f>HYPERLINK("https://www.washoecounty.gov/assessor/cama/?command=sales&amp;parid=01526202","3867189")</f>
        <v>3867189</v>
      </c>
      <c r="H1245" t="s">
        <v>4589</v>
      </c>
      <c r="I1245">
        <v>1960</v>
      </c>
      <c r="J1245">
        <v>1960</v>
      </c>
      <c r="K1245" t="s">
        <v>4907</v>
      </c>
      <c r="L1245" t="s">
        <v>4555</v>
      </c>
      <c r="M1245" s="2">
        <v>1842</v>
      </c>
      <c r="N1245" t="s">
        <v>4048</v>
      </c>
      <c r="O1245">
        <v>4</v>
      </c>
      <c r="P1245">
        <v>2</v>
      </c>
      <c r="Q1245">
        <v>0</v>
      </c>
      <c r="R1245" t="s">
        <v>4557</v>
      </c>
      <c r="S1245" t="s">
        <v>3148</v>
      </c>
      <c r="T1245" t="s">
        <v>4559</v>
      </c>
      <c r="U1245" t="s">
        <v>4655</v>
      </c>
      <c r="V1245" s="2">
        <v>0</v>
      </c>
      <c r="W1245" t="s">
        <v>4655</v>
      </c>
      <c r="X1245" s="2">
        <v>0</v>
      </c>
      <c r="Y1245">
        <v>30</v>
      </c>
      <c r="Z1245" t="s">
        <v>1373</v>
      </c>
      <c r="AA1245" s="3">
        <v>0.13000458478927601</v>
      </c>
      <c r="AB1245" t="s">
        <v>3561</v>
      </c>
      <c r="AC1245" t="s">
        <v>4562</v>
      </c>
      <c r="AD1245" t="s">
        <v>4590</v>
      </c>
      <c r="AE1245" t="s">
        <v>4655</v>
      </c>
      <c r="AF1245" t="s">
        <v>4563</v>
      </c>
      <c r="AG1245" t="s">
        <v>4564</v>
      </c>
      <c r="AH1245">
        <v>89503</v>
      </c>
      <c r="AI1245" t="s">
        <v>4655</v>
      </c>
      <c r="AJ1245" t="s">
        <v>4655</v>
      </c>
      <c r="AK1245" t="s">
        <v>10609</v>
      </c>
      <c r="AL1245" s="13" t="s">
        <v>2256</v>
      </c>
      <c r="AM1245">
        <v>2</v>
      </c>
      <c r="AN1245" s="15" t="s">
        <v>4591</v>
      </c>
    </row>
    <row r="1246" spans="1:40" x14ac:dyDescent="0.3">
      <c r="A1246" s="10" t="str">
        <f>HYPERLINK("http://www.washoecounty.gov/assessor/cama/?parid=015-301-42&amp;CardNumber=1","015-301-42")</f>
        <v>015-301-42</v>
      </c>
      <c r="B1246" t="s">
        <v>4655</v>
      </c>
      <c r="C1246" t="s">
        <v>10610</v>
      </c>
      <c r="D1246" s="1">
        <v>40479</v>
      </c>
      <c r="E1246" s="2">
        <v>295000</v>
      </c>
      <c r="F1246" t="s">
        <v>3528</v>
      </c>
      <c r="G1246" s="17" t="str">
        <f>HYPERLINK("https://www.washoecounty.gov/assessor/cama/?command=sales&amp;parid=01530142","3937438")</f>
        <v>3937438</v>
      </c>
      <c r="H1246" t="s">
        <v>10611</v>
      </c>
      <c r="I1246">
        <v>2001</v>
      </c>
      <c r="J1246">
        <v>2001</v>
      </c>
      <c r="K1246" t="s">
        <v>1365</v>
      </c>
      <c r="L1246" t="s">
        <v>1366</v>
      </c>
      <c r="M1246" s="2">
        <v>2583</v>
      </c>
      <c r="N1246" t="s">
        <v>1367</v>
      </c>
      <c r="O1246">
        <v>0</v>
      </c>
      <c r="P1246">
        <v>0</v>
      </c>
      <c r="Q1246">
        <v>0</v>
      </c>
      <c r="R1246" t="s">
        <v>1368</v>
      </c>
      <c r="S1246" t="s">
        <v>1369</v>
      </c>
      <c r="T1246" t="s">
        <v>4655</v>
      </c>
      <c r="U1246" t="s">
        <v>4655</v>
      </c>
      <c r="V1246" s="2">
        <v>0</v>
      </c>
      <c r="W1246" t="s">
        <v>4655</v>
      </c>
      <c r="X1246" s="2">
        <v>0</v>
      </c>
      <c r="Y1246">
        <v>50</v>
      </c>
      <c r="Z1246" t="s">
        <v>1370</v>
      </c>
      <c r="AA1246" s="3">
        <v>0.25853994488716125</v>
      </c>
      <c r="AB1246" t="s">
        <v>10612</v>
      </c>
      <c r="AC1246" t="s">
        <v>4562</v>
      </c>
      <c r="AD1246" t="s">
        <v>10613</v>
      </c>
      <c r="AE1246" t="s">
        <v>4655</v>
      </c>
      <c r="AF1246" t="s">
        <v>5201</v>
      </c>
      <c r="AG1246" t="s">
        <v>4564</v>
      </c>
      <c r="AH1246" t="s">
        <v>1350</v>
      </c>
      <c r="AI1246" t="s">
        <v>10614</v>
      </c>
      <c r="AJ1246" t="s">
        <v>10615</v>
      </c>
      <c r="AK1246" t="s">
        <v>10616</v>
      </c>
      <c r="AL1246" s="13" t="s">
        <v>2257</v>
      </c>
      <c r="AM1246">
        <v>0</v>
      </c>
      <c r="AN1246" s="15" t="s">
        <v>1433</v>
      </c>
    </row>
    <row r="1247" spans="1:40" x14ac:dyDescent="0.3">
      <c r="A1247" s="10" t="str">
        <f>HYPERLINK("http://www.washoecounty.gov/assessor/cama/?parid=015-301-43&amp;CardNumber=1","015-301-43")</f>
        <v>015-301-43</v>
      </c>
      <c r="B1247" t="s">
        <v>4655</v>
      </c>
      <c r="C1247" t="s">
        <v>10617</v>
      </c>
      <c r="D1247" s="1">
        <v>40192</v>
      </c>
      <c r="E1247" s="2">
        <v>320000</v>
      </c>
      <c r="F1247" t="s">
        <v>4567</v>
      </c>
      <c r="G1247" s="17" t="str">
        <f>HYPERLINK("https://www.washoecounty.gov/assessor/cama/?command=sales&amp;parid=01530143","3839334")</f>
        <v>3839334</v>
      </c>
      <c r="H1247" t="s">
        <v>10611</v>
      </c>
      <c r="I1247">
        <v>2001</v>
      </c>
      <c r="J1247">
        <v>2001</v>
      </c>
      <c r="K1247" t="s">
        <v>1365</v>
      </c>
      <c r="L1247" t="s">
        <v>1366</v>
      </c>
      <c r="M1247" s="2">
        <v>2583</v>
      </c>
      <c r="N1247" t="s">
        <v>1367</v>
      </c>
      <c r="O1247">
        <v>0</v>
      </c>
      <c r="P1247">
        <v>0</v>
      </c>
      <c r="Q1247">
        <v>0</v>
      </c>
      <c r="R1247" t="s">
        <v>1368</v>
      </c>
      <c r="S1247" t="s">
        <v>1369</v>
      </c>
      <c r="T1247" t="s">
        <v>4655</v>
      </c>
      <c r="U1247" t="s">
        <v>4655</v>
      </c>
      <c r="V1247" s="2">
        <v>0</v>
      </c>
      <c r="W1247" t="s">
        <v>4655</v>
      </c>
      <c r="X1247" s="2">
        <v>0</v>
      </c>
      <c r="Y1247">
        <v>50</v>
      </c>
      <c r="Z1247" t="s">
        <v>1370</v>
      </c>
      <c r="AA1247" s="3">
        <v>0.35197427868843079</v>
      </c>
      <c r="AB1247" t="s">
        <v>10618</v>
      </c>
      <c r="AC1247" t="s">
        <v>4562</v>
      </c>
      <c r="AD1247" t="s">
        <v>8592</v>
      </c>
      <c r="AE1247" t="s">
        <v>4655</v>
      </c>
      <c r="AF1247" t="s">
        <v>4563</v>
      </c>
      <c r="AG1247" t="s">
        <v>4564</v>
      </c>
      <c r="AH1247" t="s">
        <v>2330</v>
      </c>
      <c r="AI1247" t="s">
        <v>10619</v>
      </c>
      <c r="AJ1247" t="s">
        <v>10615</v>
      </c>
      <c r="AK1247" t="s">
        <v>10620</v>
      </c>
      <c r="AL1247" s="13" t="s">
        <v>2257</v>
      </c>
      <c r="AM1247" s="14">
        <v>0</v>
      </c>
      <c r="AN1247" s="15" t="s">
        <v>1433</v>
      </c>
    </row>
    <row r="1248" spans="1:40" x14ac:dyDescent="0.3">
      <c r="A1248" s="10" t="str">
        <f>HYPERLINK("http://www.washoecounty.gov/assessor/cama/?parid=015-311-19&amp;CardNumber=1","015-311-19")</f>
        <v>015-311-19</v>
      </c>
      <c r="B1248" t="s">
        <v>4655</v>
      </c>
      <c r="C1248" t="s">
        <v>1971</v>
      </c>
      <c r="D1248" s="1">
        <v>40449</v>
      </c>
      <c r="E1248" s="2">
        <v>34000</v>
      </c>
      <c r="F1248" t="s">
        <v>4553</v>
      </c>
      <c r="G1248" s="17" t="str">
        <f>HYPERLINK("https://www.washoecounty.gov/assessor/cama/?command=sales&amp;parid=01531119","3926891")</f>
        <v>3926891</v>
      </c>
      <c r="H1248" t="s">
        <v>1342</v>
      </c>
      <c r="I1248">
        <v>1979</v>
      </c>
      <c r="J1248">
        <v>1979</v>
      </c>
      <c r="K1248" t="s">
        <v>4897</v>
      </c>
      <c r="L1248" t="s">
        <v>4555</v>
      </c>
      <c r="M1248" s="2">
        <v>1001</v>
      </c>
      <c r="N1248" t="s">
        <v>4048</v>
      </c>
      <c r="O1248">
        <v>2</v>
      </c>
      <c r="P1248">
        <v>2</v>
      </c>
      <c r="Q1248">
        <v>0</v>
      </c>
      <c r="R1248" t="s">
        <v>5281</v>
      </c>
      <c r="S1248" t="s">
        <v>4558</v>
      </c>
      <c r="T1248" t="s">
        <v>4559</v>
      </c>
      <c r="U1248" t="s">
        <v>4655</v>
      </c>
      <c r="V1248" s="2">
        <v>0</v>
      </c>
      <c r="W1248" t="s">
        <v>4655</v>
      </c>
      <c r="X1248" s="2">
        <v>0</v>
      </c>
      <c r="Y1248">
        <v>21</v>
      </c>
      <c r="Z1248" t="s">
        <v>2705</v>
      </c>
      <c r="AA1248" s="3">
        <v>1.00000004749745E-3</v>
      </c>
      <c r="AB1248" t="s">
        <v>10621</v>
      </c>
      <c r="AC1248" t="s">
        <v>4575</v>
      </c>
      <c r="AD1248" t="s">
        <v>10622</v>
      </c>
      <c r="AE1248" t="s">
        <v>4655</v>
      </c>
      <c r="AF1248" t="s">
        <v>4563</v>
      </c>
      <c r="AG1248" t="s">
        <v>4564</v>
      </c>
      <c r="AH1248">
        <v>89502</v>
      </c>
      <c r="AI1248" t="s">
        <v>10623</v>
      </c>
      <c r="AJ1248" t="s">
        <v>4655</v>
      </c>
      <c r="AK1248" t="s">
        <v>10624</v>
      </c>
      <c r="AL1248" s="13" t="s">
        <v>3423</v>
      </c>
      <c r="AM1248" s="14">
        <v>1</v>
      </c>
      <c r="AN1248" s="15" t="s">
        <v>1344</v>
      </c>
    </row>
    <row r="1249" spans="1:40" x14ac:dyDescent="0.3">
      <c r="A1249" s="10" t="str">
        <f>HYPERLINK("http://www.washoecounty.gov/assessor/cama/?parid=015-311-30&amp;CardNumber=1","015-311-30")</f>
        <v>015-311-30</v>
      </c>
      <c r="B1249" t="s">
        <v>4655</v>
      </c>
      <c r="C1249" t="s">
        <v>10625</v>
      </c>
      <c r="D1249" s="1">
        <v>40497</v>
      </c>
      <c r="E1249" s="2">
        <v>31750</v>
      </c>
      <c r="F1249" t="s">
        <v>4567</v>
      </c>
      <c r="G1249" s="17" t="str">
        <f>HYPERLINK("https://www.washoecounty.gov/assessor/cama/?command=sales&amp;parid=01531130","3942807")</f>
        <v>3942807</v>
      </c>
      <c r="H1249" t="s">
        <v>1342</v>
      </c>
      <c r="I1249">
        <v>1979</v>
      </c>
      <c r="J1249">
        <v>1979</v>
      </c>
      <c r="K1249" t="s">
        <v>4897</v>
      </c>
      <c r="L1249" t="s">
        <v>4555</v>
      </c>
      <c r="M1249" s="2">
        <v>805</v>
      </c>
      <c r="N1249" t="s">
        <v>4048</v>
      </c>
      <c r="O1249">
        <v>2</v>
      </c>
      <c r="P1249">
        <v>1</v>
      </c>
      <c r="Q1249">
        <v>0</v>
      </c>
      <c r="R1249" t="s">
        <v>5281</v>
      </c>
      <c r="S1249" t="s">
        <v>4558</v>
      </c>
      <c r="T1249" t="s">
        <v>4559</v>
      </c>
      <c r="U1249" t="s">
        <v>4655</v>
      </c>
      <c r="V1249" s="2">
        <v>0</v>
      </c>
      <c r="W1249" t="s">
        <v>4655</v>
      </c>
      <c r="X1249" s="2">
        <v>0</v>
      </c>
      <c r="Y1249">
        <v>21</v>
      </c>
      <c r="Z1249" t="s">
        <v>2705</v>
      </c>
      <c r="AA1249" s="3">
        <v>1.00000004749745E-3</v>
      </c>
      <c r="AB1249" t="s">
        <v>10626</v>
      </c>
      <c r="AC1249" t="s">
        <v>4562</v>
      </c>
      <c r="AD1249" t="s">
        <v>10627</v>
      </c>
      <c r="AE1249" t="s">
        <v>4655</v>
      </c>
      <c r="AF1249" t="s">
        <v>4563</v>
      </c>
      <c r="AG1249" t="s">
        <v>4564</v>
      </c>
      <c r="AH1249">
        <v>89502</v>
      </c>
      <c r="AI1249" t="s">
        <v>10628</v>
      </c>
      <c r="AJ1249" t="s">
        <v>4655</v>
      </c>
      <c r="AK1249" t="s">
        <v>10629</v>
      </c>
      <c r="AL1249" s="13" t="s">
        <v>3423</v>
      </c>
      <c r="AM1249">
        <v>1</v>
      </c>
      <c r="AN1249" s="15" t="s">
        <v>1344</v>
      </c>
    </row>
    <row r="1250" spans="1:40" x14ac:dyDescent="0.3">
      <c r="A1250" s="10" t="str">
        <f>HYPERLINK("http://www.washoecounty.gov/assessor/cama/?parid=015-312-04&amp;CardNumber=1","015-312-04")</f>
        <v>015-312-04</v>
      </c>
      <c r="B1250" t="s">
        <v>4655</v>
      </c>
      <c r="C1250" t="s">
        <v>855</v>
      </c>
      <c r="D1250" s="1">
        <v>40499</v>
      </c>
      <c r="E1250" s="2">
        <v>27500</v>
      </c>
      <c r="F1250" t="s">
        <v>4553</v>
      </c>
      <c r="G1250" s="17" t="str">
        <f>HYPERLINK("https://www.washoecounty.gov/assessor/cama/?command=sales&amp;parid=01531204","3943906")</f>
        <v>3943906</v>
      </c>
      <c r="H1250" t="s">
        <v>1342</v>
      </c>
      <c r="I1250">
        <v>1979</v>
      </c>
      <c r="J1250">
        <v>1979</v>
      </c>
      <c r="K1250" t="s">
        <v>4897</v>
      </c>
      <c r="L1250" t="s">
        <v>4555</v>
      </c>
      <c r="M1250" s="2">
        <v>805</v>
      </c>
      <c r="N1250" t="s">
        <v>4048</v>
      </c>
      <c r="O1250">
        <v>2</v>
      </c>
      <c r="P1250">
        <v>1</v>
      </c>
      <c r="Q1250">
        <v>0</v>
      </c>
      <c r="R1250" t="s">
        <v>5281</v>
      </c>
      <c r="S1250" t="s">
        <v>4558</v>
      </c>
      <c r="T1250" t="s">
        <v>4559</v>
      </c>
      <c r="U1250" t="s">
        <v>4655</v>
      </c>
      <c r="V1250" s="2">
        <v>0</v>
      </c>
      <c r="W1250" t="s">
        <v>4655</v>
      </c>
      <c r="X1250" s="2">
        <v>0</v>
      </c>
      <c r="Y1250">
        <v>21</v>
      </c>
      <c r="Z1250" t="s">
        <v>2705</v>
      </c>
      <c r="AA1250" s="3">
        <v>1.00000004749745E-3</v>
      </c>
      <c r="AB1250" t="s">
        <v>10630</v>
      </c>
      <c r="AC1250" t="s">
        <v>4562</v>
      </c>
      <c r="AD1250" t="s">
        <v>856</v>
      </c>
      <c r="AE1250" t="s">
        <v>4655</v>
      </c>
      <c r="AF1250" t="s">
        <v>4563</v>
      </c>
      <c r="AG1250" t="s">
        <v>4564</v>
      </c>
      <c r="AH1250">
        <v>89511</v>
      </c>
      <c r="AI1250" t="s">
        <v>4503</v>
      </c>
      <c r="AJ1250" t="s">
        <v>4655</v>
      </c>
      <c r="AK1250" t="s">
        <v>10631</v>
      </c>
      <c r="AL1250" s="13" t="s">
        <v>2257</v>
      </c>
      <c r="AM1250" s="14">
        <v>1</v>
      </c>
      <c r="AN1250" s="15" t="s">
        <v>1344</v>
      </c>
    </row>
    <row r="1251" spans="1:40" x14ac:dyDescent="0.3">
      <c r="A1251" s="10" t="str">
        <f>HYPERLINK("http://www.washoecounty.gov/assessor/cama/?parid=015-312-07&amp;CardNumber=1","015-312-07")</f>
        <v>015-312-07</v>
      </c>
      <c r="B1251" t="s">
        <v>4655</v>
      </c>
      <c r="C1251" t="s">
        <v>4921</v>
      </c>
      <c r="D1251" s="1">
        <v>40542</v>
      </c>
      <c r="E1251" s="2">
        <v>25000</v>
      </c>
      <c r="F1251" t="s">
        <v>4553</v>
      </c>
      <c r="G1251" s="17" t="str">
        <f>HYPERLINK("https://www.washoecounty.gov/assessor/cama/?command=sales&amp;parid=01531207","3958864")</f>
        <v>3958864</v>
      </c>
      <c r="H1251" t="s">
        <v>1342</v>
      </c>
      <c r="I1251">
        <v>1979</v>
      </c>
      <c r="J1251">
        <v>1979</v>
      </c>
      <c r="K1251" t="s">
        <v>4897</v>
      </c>
      <c r="L1251" t="s">
        <v>4555</v>
      </c>
      <c r="M1251" s="2">
        <v>805</v>
      </c>
      <c r="N1251" t="s">
        <v>4048</v>
      </c>
      <c r="O1251">
        <v>2</v>
      </c>
      <c r="P1251">
        <v>1</v>
      </c>
      <c r="Q1251">
        <v>0</v>
      </c>
      <c r="R1251" t="s">
        <v>5281</v>
      </c>
      <c r="S1251" t="s">
        <v>4558</v>
      </c>
      <c r="T1251" t="s">
        <v>4559</v>
      </c>
      <c r="U1251" t="s">
        <v>4655</v>
      </c>
      <c r="V1251" s="2">
        <v>0</v>
      </c>
      <c r="W1251" t="s">
        <v>4655</v>
      </c>
      <c r="X1251" s="2">
        <v>0</v>
      </c>
      <c r="Y1251">
        <v>21</v>
      </c>
      <c r="Z1251" t="s">
        <v>2705</v>
      </c>
      <c r="AA1251" s="3">
        <v>1.00000004749745E-3</v>
      </c>
      <c r="AB1251" t="s">
        <v>10632</v>
      </c>
      <c r="AC1251" t="s">
        <v>4562</v>
      </c>
      <c r="AD1251" t="s">
        <v>10633</v>
      </c>
      <c r="AE1251" t="s">
        <v>4655</v>
      </c>
      <c r="AF1251" t="s">
        <v>4563</v>
      </c>
      <c r="AG1251" t="s">
        <v>4564</v>
      </c>
      <c r="AH1251">
        <v>89502</v>
      </c>
      <c r="AI1251" t="s">
        <v>4045</v>
      </c>
      <c r="AJ1251" t="s">
        <v>4655</v>
      </c>
      <c r="AK1251" t="s">
        <v>10634</v>
      </c>
      <c r="AL1251" s="13" t="s">
        <v>2257</v>
      </c>
      <c r="AM1251" s="14">
        <v>1</v>
      </c>
      <c r="AN1251" s="15" t="s">
        <v>1344</v>
      </c>
    </row>
    <row r="1252" spans="1:40" x14ac:dyDescent="0.3">
      <c r="A1252" s="10" t="str">
        <f>HYPERLINK("http://www.washoecounty.gov/assessor/cama/?parid=015-313-02&amp;CardNumber=1","015-313-02")</f>
        <v>015-313-02</v>
      </c>
      <c r="B1252" t="s">
        <v>4655</v>
      </c>
      <c r="C1252" t="s">
        <v>10635</v>
      </c>
      <c r="D1252" s="1">
        <v>40249</v>
      </c>
      <c r="E1252" s="2">
        <v>35500</v>
      </c>
      <c r="F1252" t="s">
        <v>4553</v>
      </c>
      <c r="G1252" s="17" t="str">
        <f>HYPERLINK("https://www.washoecounty.gov/assessor/cama/?command=sales&amp;parid=01531302","3858909")</f>
        <v>3858909</v>
      </c>
      <c r="H1252" t="s">
        <v>1342</v>
      </c>
      <c r="I1252">
        <v>1979</v>
      </c>
      <c r="J1252">
        <v>1979</v>
      </c>
      <c r="K1252" t="s">
        <v>4897</v>
      </c>
      <c r="L1252" t="s">
        <v>4555</v>
      </c>
      <c r="M1252" s="2">
        <v>805</v>
      </c>
      <c r="N1252" t="s">
        <v>4048</v>
      </c>
      <c r="O1252">
        <v>2</v>
      </c>
      <c r="P1252">
        <v>1</v>
      </c>
      <c r="Q1252">
        <v>0</v>
      </c>
      <c r="R1252" t="s">
        <v>5281</v>
      </c>
      <c r="S1252" t="s">
        <v>4558</v>
      </c>
      <c r="T1252" t="s">
        <v>4559</v>
      </c>
      <c r="U1252" t="s">
        <v>4655</v>
      </c>
      <c r="V1252" s="2">
        <v>0</v>
      </c>
      <c r="W1252" t="s">
        <v>4655</v>
      </c>
      <c r="X1252" s="2">
        <v>0</v>
      </c>
      <c r="Y1252">
        <v>21</v>
      </c>
      <c r="Z1252" t="s">
        <v>2705</v>
      </c>
      <c r="AA1252" s="3">
        <v>1.00000004749745E-3</v>
      </c>
      <c r="AB1252" t="s">
        <v>10636</v>
      </c>
      <c r="AC1252" t="s">
        <v>4575</v>
      </c>
      <c r="AD1252" t="s">
        <v>490</v>
      </c>
      <c r="AE1252" t="s">
        <v>4655</v>
      </c>
      <c r="AF1252" t="s">
        <v>1343</v>
      </c>
      <c r="AG1252" t="s">
        <v>4584</v>
      </c>
      <c r="AH1252">
        <v>93015</v>
      </c>
      <c r="AI1252" t="s">
        <v>3522</v>
      </c>
      <c r="AJ1252" t="s">
        <v>4655</v>
      </c>
      <c r="AK1252" t="s">
        <v>10637</v>
      </c>
      <c r="AL1252" s="13" t="s">
        <v>3423</v>
      </c>
      <c r="AM1252">
        <v>1</v>
      </c>
      <c r="AN1252" s="15" t="s">
        <v>1344</v>
      </c>
    </row>
    <row r="1253" spans="1:40" x14ac:dyDescent="0.3">
      <c r="A1253" s="10" t="str">
        <f>HYPERLINK("http://www.washoecounty.gov/assessor/cama/?parid=015-313-15&amp;CardNumber=1","015-313-15")</f>
        <v>015-313-15</v>
      </c>
      <c r="B1253" t="s">
        <v>4655</v>
      </c>
      <c r="C1253" t="s">
        <v>10638</v>
      </c>
      <c r="D1253" s="1">
        <v>40323</v>
      </c>
      <c r="E1253" s="2">
        <v>25031</v>
      </c>
      <c r="F1253" t="s">
        <v>4553</v>
      </c>
      <c r="G1253" s="17" t="str">
        <f>HYPERLINK("https://www.washoecounty.gov/assessor/cama/?command=sales&amp;parid=01531315","3884921")</f>
        <v>3884921</v>
      </c>
      <c r="H1253" t="s">
        <v>1342</v>
      </c>
      <c r="I1253">
        <v>1979</v>
      </c>
      <c r="J1253">
        <v>1979</v>
      </c>
      <c r="K1253" t="s">
        <v>4897</v>
      </c>
      <c r="L1253" t="s">
        <v>4555</v>
      </c>
      <c r="M1253" s="2">
        <v>805</v>
      </c>
      <c r="N1253" t="s">
        <v>4048</v>
      </c>
      <c r="O1253">
        <v>2</v>
      </c>
      <c r="P1253">
        <v>1</v>
      </c>
      <c r="Q1253">
        <v>0</v>
      </c>
      <c r="R1253" t="s">
        <v>5281</v>
      </c>
      <c r="S1253" t="s">
        <v>4558</v>
      </c>
      <c r="T1253" t="s">
        <v>4559</v>
      </c>
      <c r="U1253" t="s">
        <v>4655</v>
      </c>
      <c r="V1253" s="2">
        <v>0</v>
      </c>
      <c r="W1253" t="s">
        <v>4655</v>
      </c>
      <c r="X1253" s="2">
        <v>0</v>
      </c>
      <c r="Y1253">
        <v>21</v>
      </c>
      <c r="Z1253" t="s">
        <v>2705</v>
      </c>
      <c r="AA1253" s="3">
        <v>1.00000004749745E-3</v>
      </c>
      <c r="AB1253" t="s">
        <v>10639</v>
      </c>
      <c r="AC1253" t="s">
        <v>4575</v>
      </c>
      <c r="AD1253" t="s">
        <v>10640</v>
      </c>
      <c r="AE1253" t="s">
        <v>4655</v>
      </c>
      <c r="AF1253" t="s">
        <v>4563</v>
      </c>
      <c r="AG1253" t="s">
        <v>4564</v>
      </c>
      <c r="AH1253">
        <v>89502</v>
      </c>
      <c r="AI1253" t="s">
        <v>10639</v>
      </c>
      <c r="AJ1253" t="s">
        <v>4655</v>
      </c>
      <c r="AK1253" t="s">
        <v>10641</v>
      </c>
      <c r="AL1253" s="13" t="s">
        <v>3423</v>
      </c>
      <c r="AM1253">
        <v>1</v>
      </c>
      <c r="AN1253" s="15" t="s">
        <v>1344</v>
      </c>
    </row>
    <row r="1254" spans="1:40" x14ac:dyDescent="0.3">
      <c r="A1254" s="10" t="str">
        <f>HYPERLINK("http://www.washoecounty.gov/assessor/cama/?parid=015-313-15&amp;CardNumber=1","015-313-15")</f>
        <v>015-313-15</v>
      </c>
      <c r="B1254" t="s">
        <v>4655</v>
      </c>
      <c r="C1254" t="s">
        <v>10638</v>
      </c>
      <c r="D1254" s="1">
        <v>40330</v>
      </c>
      <c r="E1254" s="2">
        <v>30000</v>
      </c>
      <c r="F1254" t="s">
        <v>4567</v>
      </c>
      <c r="G1254" s="17" t="str">
        <f>HYPERLINK("https://www.washoecounty.gov/assessor/cama/?command=sales&amp;parid=01531315","3887045")</f>
        <v>3887045</v>
      </c>
      <c r="H1254" t="s">
        <v>1342</v>
      </c>
      <c r="I1254">
        <v>1979</v>
      </c>
      <c r="J1254">
        <v>1979</v>
      </c>
      <c r="K1254" t="s">
        <v>4897</v>
      </c>
      <c r="L1254" t="s">
        <v>4555</v>
      </c>
      <c r="M1254" s="2">
        <v>805</v>
      </c>
      <c r="N1254" t="s">
        <v>4048</v>
      </c>
      <c r="O1254">
        <v>2</v>
      </c>
      <c r="P1254">
        <v>1</v>
      </c>
      <c r="Q1254">
        <v>0</v>
      </c>
      <c r="R1254" t="s">
        <v>5281</v>
      </c>
      <c r="S1254" t="s">
        <v>4558</v>
      </c>
      <c r="T1254" t="s">
        <v>4559</v>
      </c>
      <c r="U1254" t="s">
        <v>4655</v>
      </c>
      <c r="V1254" s="2">
        <v>0</v>
      </c>
      <c r="W1254" t="s">
        <v>4655</v>
      </c>
      <c r="X1254" s="2">
        <v>0</v>
      </c>
      <c r="Y1254">
        <v>21</v>
      </c>
      <c r="Z1254" t="s">
        <v>2705</v>
      </c>
      <c r="AA1254" s="3">
        <v>1.00000004749745E-3</v>
      </c>
      <c r="AB1254" t="s">
        <v>10639</v>
      </c>
      <c r="AC1254" t="s">
        <v>4575</v>
      </c>
      <c r="AD1254" t="s">
        <v>10640</v>
      </c>
      <c r="AE1254" t="s">
        <v>4655</v>
      </c>
      <c r="AF1254" t="s">
        <v>4563</v>
      </c>
      <c r="AG1254" t="s">
        <v>4564</v>
      </c>
      <c r="AH1254">
        <v>89502</v>
      </c>
      <c r="AI1254" t="s">
        <v>10639</v>
      </c>
      <c r="AJ1254" t="s">
        <v>4655</v>
      </c>
      <c r="AK1254" t="s">
        <v>10641</v>
      </c>
      <c r="AL1254" s="13" t="s">
        <v>3423</v>
      </c>
      <c r="AM1254">
        <v>1</v>
      </c>
      <c r="AN1254" s="15" t="s">
        <v>1344</v>
      </c>
    </row>
    <row r="1255" spans="1:40" x14ac:dyDescent="0.3">
      <c r="A1255" s="10" t="str">
        <f>HYPERLINK("http://www.washoecounty.gov/assessor/cama/?parid=015-313-18&amp;CardNumber=1","015-313-18")</f>
        <v>015-313-18</v>
      </c>
      <c r="B1255" t="s">
        <v>4655</v>
      </c>
      <c r="C1255" t="s">
        <v>10642</v>
      </c>
      <c r="D1255" s="1">
        <v>40379</v>
      </c>
      <c r="E1255" s="2">
        <v>38610</v>
      </c>
      <c r="F1255" t="s">
        <v>4553</v>
      </c>
      <c r="G1255" s="17" t="str">
        <f>HYPERLINK("https://www.washoecounty.gov/assessor/cama/?command=sales&amp;parid=01531318","3902864")</f>
        <v>3902864</v>
      </c>
      <c r="H1255" t="s">
        <v>1342</v>
      </c>
      <c r="I1255">
        <v>1979</v>
      </c>
      <c r="J1255">
        <v>1979</v>
      </c>
      <c r="K1255" t="s">
        <v>4897</v>
      </c>
      <c r="L1255" t="s">
        <v>4555</v>
      </c>
      <c r="M1255" s="2">
        <v>1001</v>
      </c>
      <c r="N1255" t="s">
        <v>4048</v>
      </c>
      <c r="O1255">
        <v>2</v>
      </c>
      <c r="P1255">
        <v>2</v>
      </c>
      <c r="Q1255">
        <v>0</v>
      </c>
      <c r="R1255" t="s">
        <v>5281</v>
      </c>
      <c r="S1255" t="s">
        <v>4558</v>
      </c>
      <c r="T1255" t="s">
        <v>4559</v>
      </c>
      <c r="U1255" t="s">
        <v>4655</v>
      </c>
      <c r="V1255" s="2">
        <v>0</v>
      </c>
      <c r="W1255" t="s">
        <v>4655</v>
      </c>
      <c r="X1255" s="2">
        <v>0</v>
      </c>
      <c r="Y1255">
        <v>21</v>
      </c>
      <c r="Z1255" t="s">
        <v>2705</v>
      </c>
      <c r="AA1255" s="3">
        <v>1.00000004749745E-3</v>
      </c>
      <c r="AB1255" t="s">
        <v>2760</v>
      </c>
      <c r="AC1255" t="s">
        <v>4575</v>
      </c>
      <c r="AD1255" t="s">
        <v>490</v>
      </c>
      <c r="AE1255" t="s">
        <v>4655</v>
      </c>
      <c r="AF1255" t="s">
        <v>1343</v>
      </c>
      <c r="AG1255" t="s">
        <v>4584</v>
      </c>
      <c r="AH1255">
        <v>93015</v>
      </c>
      <c r="AI1255" t="s">
        <v>10643</v>
      </c>
      <c r="AJ1255" t="s">
        <v>4655</v>
      </c>
      <c r="AK1255" t="s">
        <v>10644</v>
      </c>
      <c r="AL1255" s="13" t="s">
        <v>3423</v>
      </c>
      <c r="AM1255" s="14">
        <v>1</v>
      </c>
      <c r="AN1255" s="15" t="s">
        <v>1344</v>
      </c>
    </row>
    <row r="1256" spans="1:40" x14ac:dyDescent="0.3">
      <c r="A1256" s="10" t="str">
        <f>HYPERLINK("http://www.washoecounty.gov/assessor/cama/?parid=015-313-31&amp;CardNumber=1","015-313-31")</f>
        <v>015-313-31</v>
      </c>
      <c r="B1256" t="s">
        <v>4655</v>
      </c>
      <c r="C1256" t="s">
        <v>10645</v>
      </c>
      <c r="D1256" s="1">
        <v>40417</v>
      </c>
      <c r="E1256" s="2">
        <v>37500</v>
      </c>
      <c r="F1256" t="s">
        <v>4567</v>
      </c>
      <c r="G1256" s="17" t="str">
        <f>HYPERLINK("https://www.washoecounty.gov/assessor/cama/?command=sales&amp;parid=01531331","3916385")</f>
        <v>3916385</v>
      </c>
      <c r="H1256" t="s">
        <v>1342</v>
      </c>
      <c r="I1256">
        <v>1979</v>
      </c>
      <c r="J1256">
        <v>1979</v>
      </c>
      <c r="K1256" t="s">
        <v>4897</v>
      </c>
      <c r="L1256" t="s">
        <v>4555</v>
      </c>
      <c r="M1256" s="2">
        <v>1001</v>
      </c>
      <c r="N1256" t="s">
        <v>4048</v>
      </c>
      <c r="O1256">
        <v>2</v>
      </c>
      <c r="P1256">
        <v>2</v>
      </c>
      <c r="Q1256">
        <v>0</v>
      </c>
      <c r="R1256" t="s">
        <v>5281</v>
      </c>
      <c r="S1256" t="s">
        <v>4558</v>
      </c>
      <c r="T1256" t="s">
        <v>4559</v>
      </c>
      <c r="U1256" t="s">
        <v>4655</v>
      </c>
      <c r="V1256" s="2">
        <v>0</v>
      </c>
      <c r="W1256" t="s">
        <v>4655</v>
      </c>
      <c r="X1256" s="2">
        <v>0</v>
      </c>
      <c r="Y1256">
        <v>21</v>
      </c>
      <c r="Z1256" t="s">
        <v>2705</v>
      </c>
      <c r="AA1256" s="3">
        <v>1.00000004749745E-3</v>
      </c>
      <c r="AB1256" t="s">
        <v>10646</v>
      </c>
      <c r="AC1256" t="s">
        <v>4562</v>
      </c>
      <c r="AD1256" t="s">
        <v>10647</v>
      </c>
      <c r="AE1256" t="s">
        <v>4655</v>
      </c>
      <c r="AF1256" t="s">
        <v>4563</v>
      </c>
      <c r="AG1256" t="s">
        <v>4564</v>
      </c>
      <c r="AH1256">
        <v>89502</v>
      </c>
      <c r="AI1256" t="s">
        <v>10648</v>
      </c>
      <c r="AJ1256" t="s">
        <v>4655</v>
      </c>
      <c r="AK1256" t="s">
        <v>10649</v>
      </c>
      <c r="AL1256" s="13" t="s">
        <v>3423</v>
      </c>
      <c r="AM1256" s="14">
        <v>1</v>
      </c>
      <c r="AN1256" s="15" t="s">
        <v>1344</v>
      </c>
    </row>
    <row r="1257" spans="1:40" x14ac:dyDescent="0.3">
      <c r="A1257" s="10" t="str">
        <f>HYPERLINK("http://www.washoecounty.gov/assessor/cama/?parid=015-313-48&amp;CardNumber=1","015-313-48")</f>
        <v>015-313-48</v>
      </c>
      <c r="B1257" t="s">
        <v>4655</v>
      </c>
      <c r="C1257" t="s">
        <v>4017</v>
      </c>
      <c r="D1257" s="1">
        <v>40448</v>
      </c>
      <c r="E1257" s="2">
        <v>27500</v>
      </c>
      <c r="F1257" t="s">
        <v>4553</v>
      </c>
      <c r="G1257" s="17" t="str">
        <f>HYPERLINK("https://www.washoecounty.gov/assessor/cama/?command=sales&amp;parid=01531348","3926682")</f>
        <v>3926682</v>
      </c>
      <c r="H1257" t="s">
        <v>1342</v>
      </c>
      <c r="I1257">
        <v>1979</v>
      </c>
      <c r="J1257">
        <v>1979</v>
      </c>
      <c r="K1257" t="s">
        <v>4897</v>
      </c>
      <c r="L1257" t="s">
        <v>4555</v>
      </c>
      <c r="M1257" s="2">
        <v>805</v>
      </c>
      <c r="N1257" t="s">
        <v>4048</v>
      </c>
      <c r="O1257">
        <v>2</v>
      </c>
      <c r="P1257">
        <v>1</v>
      </c>
      <c r="Q1257">
        <v>0</v>
      </c>
      <c r="R1257" t="s">
        <v>5281</v>
      </c>
      <c r="S1257" t="s">
        <v>4558</v>
      </c>
      <c r="T1257" t="s">
        <v>4559</v>
      </c>
      <c r="U1257" t="s">
        <v>4655</v>
      </c>
      <c r="V1257" s="2">
        <v>0</v>
      </c>
      <c r="W1257" t="s">
        <v>4655</v>
      </c>
      <c r="X1257" s="2">
        <v>0</v>
      </c>
      <c r="Y1257">
        <v>21</v>
      </c>
      <c r="Z1257" t="s">
        <v>2705</v>
      </c>
      <c r="AA1257" s="3">
        <v>1.00000004749745E-3</v>
      </c>
      <c r="AB1257" t="s">
        <v>4018</v>
      </c>
      <c r="AC1257" t="s">
        <v>4562</v>
      </c>
      <c r="AD1257" t="s">
        <v>4019</v>
      </c>
      <c r="AE1257" t="s">
        <v>4655</v>
      </c>
      <c r="AF1257" t="s">
        <v>4563</v>
      </c>
      <c r="AG1257" t="s">
        <v>4564</v>
      </c>
      <c r="AH1257" t="s">
        <v>5197</v>
      </c>
      <c r="AI1257" t="s">
        <v>4903</v>
      </c>
      <c r="AJ1257" t="s">
        <v>4655</v>
      </c>
      <c r="AK1257" t="s">
        <v>10650</v>
      </c>
      <c r="AL1257" s="13" t="s">
        <v>3423</v>
      </c>
      <c r="AM1257">
        <v>1</v>
      </c>
      <c r="AN1257" s="15" t="s">
        <v>1344</v>
      </c>
    </row>
    <row r="1258" spans="1:40" x14ac:dyDescent="0.3">
      <c r="A1258" s="10" t="str">
        <f>HYPERLINK("http://www.washoecounty.gov/assessor/cama/?parid=015-314-10&amp;CardNumber=1","015-314-10")</f>
        <v>015-314-10</v>
      </c>
      <c r="B1258" t="s">
        <v>4655</v>
      </c>
      <c r="C1258" t="s">
        <v>10651</v>
      </c>
      <c r="D1258" s="1">
        <v>40494</v>
      </c>
      <c r="E1258" s="2">
        <v>30000</v>
      </c>
      <c r="F1258" t="s">
        <v>4553</v>
      </c>
      <c r="G1258" s="17" t="str">
        <f>HYPERLINK("https://www.washoecounty.gov/assessor/cama/?command=sales&amp;parid=01531410","3942195")</f>
        <v>3942195</v>
      </c>
      <c r="H1258" t="s">
        <v>1342</v>
      </c>
      <c r="I1258">
        <v>1980</v>
      </c>
      <c r="J1258">
        <v>1980</v>
      </c>
      <c r="K1258" t="s">
        <v>4897</v>
      </c>
      <c r="L1258" t="s">
        <v>4555</v>
      </c>
      <c r="M1258" s="2">
        <v>805</v>
      </c>
      <c r="N1258" t="s">
        <v>4048</v>
      </c>
      <c r="O1258">
        <v>2</v>
      </c>
      <c r="P1258">
        <v>1</v>
      </c>
      <c r="Q1258">
        <v>0</v>
      </c>
      <c r="R1258" t="s">
        <v>5281</v>
      </c>
      <c r="S1258" t="s">
        <v>4558</v>
      </c>
      <c r="T1258" t="s">
        <v>4559</v>
      </c>
      <c r="U1258" t="s">
        <v>4655</v>
      </c>
      <c r="V1258" s="2">
        <v>0</v>
      </c>
      <c r="W1258" t="s">
        <v>4655</v>
      </c>
      <c r="X1258" s="2">
        <v>0</v>
      </c>
      <c r="Y1258">
        <v>21</v>
      </c>
      <c r="Z1258" t="s">
        <v>2705</v>
      </c>
      <c r="AA1258" s="3">
        <v>1.00000004749745E-3</v>
      </c>
      <c r="AB1258" t="s">
        <v>4901</v>
      </c>
      <c r="AC1258" t="s">
        <v>4575</v>
      </c>
      <c r="AD1258" t="s">
        <v>10652</v>
      </c>
      <c r="AE1258" t="s">
        <v>4655</v>
      </c>
      <c r="AF1258" t="s">
        <v>10653</v>
      </c>
      <c r="AG1258" t="s">
        <v>4584</v>
      </c>
      <c r="AH1258" t="s">
        <v>4044</v>
      </c>
      <c r="AI1258" t="s">
        <v>4903</v>
      </c>
      <c r="AJ1258" t="s">
        <v>4655</v>
      </c>
      <c r="AK1258" t="s">
        <v>10654</v>
      </c>
      <c r="AL1258" s="13" t="s">
        <v>2257</v>
      </c>
      <c r="AM1258" s="14">
        <v>1</v>
      </c>
      <c r="AN1258" s="15" t="s">
        <v>1344</v>
      </c>
    </row>
    <row r="1259" spans="1:40" x14ac:dyDescent="0.3">
      <c r="A1259" s="10" t="str">
        <f>HYPERLINK("http://www.washoecounty.gov/assessor/cama/?parid=015-314-19&amp;CardNumber=1","015-314-19")</f>
        <v>015-314-19</v>
      </c>
      <c r="B1259" t="s">
        <v>4655</v>
      </c>
      <c r="C1259" t="s">
        <v>10642</v>
      </c>
      <c r="D1259" s="1">
        <v>40513</v>
      </c>
      <c r="E1259" s="2">
        <v>36500</v>
      </c>
      <c r="F1259" t="s">
        <v>4567</v>
      </c>
      <c r="G1259" s="17" t="str">
        <f>HYPERLINK("https://www.washoecounty.gov/assessor/cama/?command=sales&amp;parid=01531419","3948515")</f>
        <v>3948515</v>
      </c>
      <c r="H1259" t="s">
        <v>1342</v>
      </c>
      <c r="I1259">
        <v>1980</v>
      </c>
      <c r="J1259">
        <v>1980</v>
      </c>
      <c r="K1259" t="s">
        <v>4897</v>
      </c>
      <c r="L1259" t="s">
        <v>4555</v>
      </c>
      <c r="M1259" s="2">
        <v>1001</v>
      </c>
      <c r="N1259" t="s">
        <v>4048</v>
      </c>
      <c r="O1259">
        <v>2</v>
      </c>
      <c r="P1259">
        <v>2</v>
      </c>
      <c r="Q1259">
        <v>0</v>
      </c>
      <c r="R1259" t="s">
        <v>5281</v>
      </c>
      <c r="S1259" t="s">
        <v>4558</v>
      </c>
      <c r="T1259" t="s">
        <v>4559</v>
      </c>
      <c r="U1259" t="s">
        <v>4655</v>
      </c>
      <c r="V1259" s="2">
        <v>0</v>
      </c>
      <c r="W1259" t="s">
        <v>4655</v>
      </c>
      <c r="X1259" s="2">
        <v>0</v>
      </c>
      <c r="Y1259">
        <v>21</v>
      </c>
      <c r="Z1259" t="s">
        <v>2705</v>
      </c>
      <c r="AA1259" s="3">
        <v>1.00000004749745E-3</v>
      </c>
      <c r="AB1259" t="s">
        <v>10655</v>
      </c>
      <c r="AC1259" t="s">
        <v>4562</v>
      </c>
      <c r="AD1259" t="s">
        <v>10656</v>
      </c>
      <c r="AE1259" t="s">
        <v>4655</v>
      </c>
      <c r="AF1259" t="s">
        <v>10657</v>
      </c>
      <c r="AG1259" t="s">
        <v>4584</v>
      </c>
      <c r="AH1259" t="s">
        <v>10658</v>
      </c>
      <c r="AI1259" t="s">
        <v>5066</v>
      </c>
      <c r="AJ1259" t="s">
        <v>4655</v>
      </c>
      <c r="AK1259" t="s">
        <v>10659</v>
      </c>
      <c r="AL1259" s="13" t="s">
        <v>2257</v>
      </c>
      <c r="AM1259">
        <v>1</v>
      </c>
      <c r="AN1259" s="15" t="s">
        <v>1344</v>
      </c>
    </row>
    <row r="1260" spans="1:40" x14ac:dyDescent="0.3">
      <c r="A1260" s="10" t="str">
        <f>HYPERLINK("http://www.washoecounty.gov/assessor/cama/?parid=015-314-25&amp;CardNumber=1","015-314-25")</f>
        <v>015-314-25</v>
      </c>
      <c r="B1260" t="s">
        <v>4655</v>
      </c>
      <c r="C1260" t="s">
        <v>10660</v>
      </c>
      <c r="D1260" s="1">
        <v>40476</v>
      </c>
      <c r="E1260" s="2">
        <v>28000</v>
      </c>
      <c r="F1260" t="s">
        <v>4553</v>
      </c>
      <c r="G1260" s="17" t="str">
        <f>HYPERLINK("https://www.washoecounty.gov/assessor/cama/?command=sales&amp;parid=01531425","3936031")</f>
        <v>3936031</v>
      </c>
      <c r="H1260" t="s">
        <v>1342</v>
      </c>
      <c r="I1260">
        <v>1980</v>
      </c>
      <c r="J1260">
        <v>1980</v>
      </c>
      <c r="K1260" t="s">
        <v>4897</v>
      </c>
      <c r="L1260" t="s">
        <v>4555</v>
      </c>
      <c r="M1260" s="2">
        <v>1001</v>
      </c>
      <c r="N1260" t="s">
        <v>4048</v>
      </c>
      <c r="O1260">
        <v>2</v>
      </c>
      <c r="P1260">
        <v>2</v>
      </c>
      <c r="Q1260">
        <v>0</v>
      </c>
      <c r="R1260" t="s">
        <v>5281</v>
      </c>
      <c r="S1260" t="s">
        <v>4558</v>
      </c>
      <c r="T1260" t="s">
        <v>4559</v>
      </c>
      <c r="U1260" t="s">
        <v>4655</v>
      </c>
      <c r="V1260" s="2">
        <v>0</v>
      </c>
      <c r="W1260" t="s">
        <v>4655</v>
      </c>
      <c r="X1260" s="2">
        <v>0</v>
      </c>
      <c r="Y1260">
        <v>21</v>
      </c>
      <c r="Z1260" t="s">
        <v>2705</v>
      </c>
      <c r="AA1260" s="3">
        <v>1.00000004749745E-3</v>
      </c>
      <c r="AB1260" t="s">
        <v>10661</v>
      </c>
      <c r="AC1260" t="s">
        <v>4562</v>
      </c>
      <c r="AD1260" t="s">
        <v>10662</v>
      </c>
      <c r="AE1260" t="s">
        <v>4655</v>
      </c>
      <c r="AF1260" t="s">
        <v>686</v>
      </c>
      <c r="AG1260" t="s">
        <v>4584</v>
      </c>
      <c r="AH1260">
        <v>94128</v>
      </c>
      <c r="AI1260" t="s">
        <v>4565</v>
      </c>
      <c r="AJ1260" t="s">
        <v>4655</v>
      </c>
      <c r="AK1260" t="s">
        <v>10663</v>
      </c>
      <c r="AL1260" s="13" t="s">
        <v>2257</v>
      </c>
      <c r="AM1260">
        <v>1</v>
      </c>
      <c r="AN1260" s="15" t="s">
        <v>1344</v>
      </c>
    </row>
    <row r="1261" spans="1:40" x14ac:dyDescent="0.3">
      <c r="A1261" s="10" t="str">
        <f>HYPERLINK("http://www.washoecounty.gov/assessor/cama/?parid=015-331-13&amp;CardNumber=1","015-331-13")</f>
        <v>015-331-13</v>
      </c>
      <c r="B1261" t="s">
        <v>4655</v>
      </c>
      <c r="C1261" t="s">
        <v>1371</v>
      </c>
      <c r="D1261" s="1">
        <v>40218</v>
      </c>
      <c r="E1261" s="2">
        <v>22000</v>
      </c>
      <c r="F1261" t="s">
        <v>4553</v>
      </c>
      <c r="G1261" s="17" t="str">
        <f>HYPERLINK("https://www.washoecounty.gov/assessor/cama/?command=sales&amp;parid=01533113","3847426")</f>
        <v>3847426</v>
      </c>
      <c r="H1261" t="s">
        <v>1372</v>
      </c>
      <c r="I1261">
        <v>1982</v>
      </c>
      <c r="J1261">
        <v>1982</v>
      </c>
      <c r="K1261" t="s">
        <v>3144</v>
      </c>
      <c r="L1261" t="s">
        <v>4555</v>
      </c>
      <c r="M1261" s="2">
        <v>480</v>
      </c>
      <c r="N1261" t="s">
        <v>4556</v>
      </c>
      <c r="O1261">
        <v>1</v>
      </c>
      <c r="P1261">
        <v>1</v>
      </c>
      <c r="Q1261">
        <v>0</v>
      </c>
      <c r="R1261" t="s">
        <v>5281</v>
      </c>
      <c r="S1261" t="s">
        <v>4135</v>
      </c>
      <c r="T1261" t="s">
        <v>4899</v>
      </c>
      <c r="U1261" t="s">
        <v>4655</v>
      </c>
      <c r="V1261" s="2">
        <v>0</v>
      </c>
      <c r="W1261" t="s">
        <v>4655</v>
      </c>
      <c r="X1261" s="2">
        <v>0</v>
      </c>
      <c r="Y1261">
        <v>21</v>
      </c>
      <c r="Z1261" t="s">
        <v>1373</v>
      </c>
      <c r="AA1261" s="3">
        <v>1.00000004749745E-3</v>
      </c>
      <c r="AB1261" t="s">
        <v>1801</v>
      </c>
      <c r="AC1261" t="s">
        <v>4562</v>
      </c>
      <c r="AD1261" t="s">
        <v>1802</v>
      </c>
      <c r="AE1261" t="s">
        <v>4655</v>
      </c>
      <c r="AF1261" t="s">
        <v>5201</v>
      </c>
      <c r="AG1261" t="s">
        <v>4564</v>
      </c>
      <c r="AH1261" t="s">
        <v>1605</v>
      </c>
      <c r="AI1261" t="s">
        <v>4565</v>
      </c>
      <c r="AJ1261" t="s">
        <v>4655</v>
      </c>
      <c r="AK1261" t="s">
        <v>10664</v>
      </c>
      <c r="AL1261" s="13" t="s">
        <v>3423</v>
      </c>
      <c r="AM1261" s="14">
        <v>1</v>
      </c>
      <c r="AN1261" s="15" t="s">
        <v>1803</v>
      </c>
    </row>
    <row r="1262" spans="1:40" x14ac:dyDescent="0.3">
      <c r="A1262" s="10" t="str">
        <f>HYPERLINK("http://www.washoecounty.gov/assessor/cama/?parid=015-331-25&amp;CardNumber=1","015-331-25")</f>
        <v>015-331-25</v>
      </c>
      <c r="B1262" t="s">
        <v>4655</v>
      </c>
      <c r="C1262" t="s">
        <v>1371</v>
      </c>
      <c r="D1262" s="1">
        <v>40218</v>
      </c>
      <c r="E1262" s="2">
        <v>22000</v>
      </c>
      <c r="F1262" t="s">
        <v>4553</v>
      </c>
      <c r="G1262" s="17" t="str">
        <f>HYPERLINK("https://www.washoecounty.gov/assessor/cama/?command=sales&amp;parid=01533125","3847357")</f>
        <v>3847357</v>
      </c>
      <c r="H1262" t="s">
        <v>1372</v>
      </c>
      <c r="I1262">
        <v>1982</v>
      </c>
      <c r="J1262">
        <v>1982</v>
      </c>
      <c r="K1262" t="s">
        <v>4897</v>
      </c>
      <c r="L1262" t="s">
        <v>4555</v>
      </c>
      <c r="M1262" s="2">
        <v>480</v>
      </c>
      <c r="N1262" t="s">
        <v>4556</v>
      </c>
      <c r="O1262">
        <v>1</v>
      </c>
      <c r="P1262">
        <v>1</v>
      </c>
      <c r="Q1262">
        <v>0</v>
      </c>
      <c r="R1262" t="s">
        <v>5281</v>
      </c>
      <c r="S1262" t="s">
        <v>4135</v>
      </c>
      <c r="T1262" t="s">
        <v>4899</v>
      </c>
      <c r="U1262" t="s">
        <v>4655</v>
      </c>
      <c r="V1262" s="2">
        <v>0</v>
      </c>
      <c r="W1262" t="s">
        <v>4655</v>
      </c>
      <c r="X1262" s="2">
        <v>0</v>
      </c>
      <c r="Y1262">
        <v>21</v>
      </c>
      <c r="Z1262" t="s">
        <v>1373</v>
      </c>
      <c r="AA1262" s="3">
        <v>1.00000004749745E-3</v>
      </c>
      <c r="AB1262" t="s">
        <v>1801</v>
      </c>
      <c r="AC1262" t="s">
        <v>4562</v>
      </c>
      <c r="AD1262" t="s">
        <v>1802</v>
      </c>
      <c r="AE1262" t="s">
        <v>4655</v>
      </c>
      <c r="AF1262" t="s">
        <v>5201</v>
      </c>
      <c r="AG1262" t="s">
        <v>4564</v>
      </c>
      <c r="AH1262" t="s">
        <v>1605</v>
      </c>
      <c r="AI1262" t="s">
        <v>4565</v>
      </c>
      <c r="AJ1262" t="s">
        <v>4655</v>
      </c>
      <c r="AK1262" t="s">
        <v>10665</v>
      </c>
      <c r="AL1262" s="13" t="s">
        <v>3423</v>
      </c>
      <c r="AM1262">
        <v>1</v>
      </c>
      <c r="AN1262" s="15" t="s">
        <v>1803</v>
      </c>
    </row>
    <row r="1263" spans="1:40" x14ac:dyDescent="0.3">
      <c r="A1263" s="10" t="str">
        <f>HYPERLINK("http://www.washoecounty.gov/assessor/cama/?parid=015-332-10&amp;CardNumber=1","015-332-10")</f>
        <v>015-332-10</v>
      </c>
      <c r="B1263" t="s">
        <v>4655</v>
      </c>
      <c r="C1263" t="s">
        <v>1371</v>
      </c>
      <c r="D1263" s="1">
        <v>40254</v>
      </c>
      <c r="E1263" s="2">
        <v>26000</v>
      </c>
      <c r="F1263" t="s">
        <v>4553</v>
      </c>
      <c r="G1263" s="17" t="str">
        <f>HYPERLINK("https://www.washoecounty.gov/assessor/cama/?command=sales&amp;parid=01533210","3860627")</f>
        <v>3860627</v>
      </c>
      <c r="H1263" t="s">
        <v>1372</v>
      </c>
      <c r="I1263">
        <v>1982</v>
      </c>
      <c r="J1263">
        <v>1982</v>
      </c>
      <c r="K1263" t="s">
        <v>3144</v>
      </c>
      <c r="L1263" t="s">
        <v>4555</v>
      </c>
      <c r="M1263" s="2">
        <v>480</v>
      </c>
      <c r="N1263" t="s">
        <v>4556</v>
      </c>
      <c r="O1263">
        <v>1</v>
      </c>
      <c r="P1263">
        <v>1</v>
      </c>
      <c r="Q1263">
        <v>0</v>
      </c>
      <c r="R1263" t="s">
        <v>5281</v>
      </c>
      <c r="S1263" t="s">
        <v>4135</v>
      </c>
      <c r="T1263" t="s">
        <v>4899</v>
      </c>
      <c r="U1263" t="s">
        <v>4655</v>
      </c>
      <c r="V1263" s="2">
        <v>0</v>
      </c>
      <c r="W1263" t="s">
        <v>4655</v>
      </c>
      <c r="X1263" s="2">
        <v>0</v>
      </c>
      <c r="Y1263">
        <v>21</v>
      </c>
      <c r="Z1263" t="s">
        <v>1373</v>
      </c>
      <c r="AA1263" s="3">
        <v>1.00000004749745E-3</v>
      </c>
      <c r="AB1263" t="s">
        <v>2492</v>
      </c>
      <c r="AC1263" t="s">
        <v>4562</v>
      </c>
      <c r="AD1263" t="s">
        <v>10666</v>
      </c>
      <c r="AE1263" t="s">
        <v>4655</v>
      </c>
      <c r="AF1263" t="s">
        <v>4563</v>
      </c>
      <c r="AG1263" t="s">
        <v>4564</v>
      </c>
      <c r="AH1263">
        <v>89506</v>
      </c>
      <c r="AI1263" t="s">
        <v>4655</v>
      </c>
      <c r="AJ1263" t="s">
        <v>4655</v>
      </c>
      <c r="AK1263" t="s">
        <v>10667</v>
      </c>
      <c r="AL1263" s="13" t="s">
        <v>3423</v>
      </c>
      <c r="AM1263">
        <v>1</v>
      </c>
      <c r="AN1263" s="15" t="s">
        <v>1803</v>
      </c>
    </row>
    <row r="1264" spans="1:40" x14ac:dyDescent="0.3">
      <c r="A1264" s="10" t="str">
        <f>HYPERLINK("http://www.washoecounty.gov/assessor/cama/?parid=015-332-11&amp;CardNumber=1","015-332-11")</f>
        <v>015-332-11</v>
      </c>
      <c r="B1264" t="s">
        <v>4655</v>
      </c>
      <c r="C1264" t="s">
        <v>1371</v>
      </c>
      <c r="D1264" s="1">
        <v>40267</v>
      </c>
      <c r="E1264" s="2">
        <v>20000</v>
      </c>
      <c r="F1264" t="s">
        <v>4567</v>
      </c>
      <c r="G1264" s="17" t="str">
        <f>HYPERLINK("https://www.washoecounty.gov/assessor/cama/?command=sales&amp;parid=01533211","3865986")</f>
        <v>3865986</v>
      </c>
      <c r="H1264" t="s">
        <v>1372</v>
      </c>
      <c r="I1264">
        <v>1982</v>
      </c>
      <c r="J1264">
        <v>1982</v>
      </c>
      <c r="K1264" t="s">
        <v>3144</v>
      </c>
      <c r="L1264" t="s">
        <v>4555</v>
      </c>
      <c r="M1264" s="2">
        <v>480</v>
      </c>
      <c r="N1264" t="s">
        <v>4556</v>
      </c>
      <c r="O1264">
        <v>1</v>
      </c>
      <c r="P1264">
        <v>1</v>
      </c>
      <c r="Q1264">
        <v>0</v>
      </c>
      <c r="R1264" t="s">
        <v>5281</v>
      </c>
      <c r="S1264" t="s">
        <v>4135</v>
      </c>
      <c r="T1264" t="s">
        <v>4899</v>
      </c>
      <c r="U1264" t="s">
        <v>4655</v>
      </c>
      <c r="V1264" s="2">
        <v>0</v>
      </c>
      <c r="W1264" t="s">
        <v>4655</v>
      </c>
      <c r="X1264" s="2">
        <v>0</v>
      </c>
      <c r="Y1264">
        <v>21</v>
      </c>
      <c r="Z1264" t="s">
        <v>1373</v>
      </c>
      <c r="AA1264" s="3">
        <v>1.00000004749745E-3</v>
      </c>
      <c r="AB1264" t="s">
        <v>1801</v>
      </c>
      <c r="AC1264" t="s">
        <v>4562</v>
      </c>
      <c r="AD1264" t="s">
        <v>1802</v>
      </c>
      <c r="AE1264" t="s">
        <v>4655</v>
      </c>
      <c r="AF1264" t="s">
        <v>5201</v>
      </c>
      <c r="AG1264" t="s">
        <v>4564</v>
      </c>
      <c r="AH1264" t="s">
        <v>1605</v>
      </c>
      <c r="AI1264" t="s">
        <v>10668</v>
      </c>
      <c r="AJ1264" t="s">
        <v>4655</v>
      </c>
      <c r="AK1264" t="s">
        <v>10669</v>
      </c>
      <c r="AL1264" s="13" t="s">
        <v>3423</v>
      </c>
      <c r="AM1264">
        <v>1</v>
      </c>
      <c r="AN1264" s="15" t="s">
        <v>1803</v>
      </c>
    </row>
    <row r="1265" spans="1:40" x14ac:dyDescent="0.3">
      <c r="A1265" s="10" t="str">
        <f>HYPERLINK("http://www.washoecounty.gov/assessor/cama/?parid=015-332-14&amp;CardNumber=1","015-332-14")</f>
        <v>015-332-14</v>
      </c>
      <c r="B1265" t="s">
        <v>4655</v>
      </c>
      <c r="C1265" t="s">
        <v>1371</v>
      </c>
      <c r="D1265" s="1">
        <v>40408</v>
      </c>
      <c r="E1265" s="2">
        <v>30000</v>
      </c>
      <c r="F1265" t="s">
        <v>4567</v>
      </c>
      <c r="G1265" s="17" t="str">
        <f>HYPERLINK("https://www.washoecounty.gov/assessor/cama/?command=sales&amp;parid=01533214","3913169")</f>
        <v>3913169</v>
      </c>
      <c r="H1265" t="s">
        <v>1372</v>
      </c>
      <c r="I1265">
        <v>1982</v>
      </c>
      <c r="J1265">
        <v>1982</v>
      </c>
      <c r="K1265" t="s">
        <v>3144</v>
      </c>
      <c r="L1265" t="s">
        <v>4555</v>
      </c>
      <c r="M1265" s="2">
        <v>480</v>
      </c>
      <c r="N1265" t="s">
        <v>4556</v>
      </c>
      <c r="O1265">
        <v>1</v>
      </c>
      <c r="P1265">
        <v>1</v>
      </c>
      <c r="Q1265">
        <v>0</v>
      </c>
      <c r="R1265" t="s">
        <v>5281</v>
      </c>
      <c r="S1265" t="s">
        <v>4135</v>
      </c>
      <c r="T1265" t="s">
        <v>4899</v>
      </c>
      <c r="U1265" t="s">
        <v>4655</v>
      </c>
      <c r="V1265" s="2">
        <v>0</v>
      </c>
      <c r="W1265" t="s">
        <v>4655</v>
      </c>
      <c r="X1265" s="2">
        <v>0</v>
      </c>
      <c r="Y1265">
        <v>21</v>
      </c>
      <c r="Z1265" t="s">
        <v>1373</v>
      </c>
      <c r="AA1265" s="3">
        <v>1.00000004749745E-3</v>
      </c>
      <c r="AB1265" t="s">
        <v>1801</v>
      </c>
      <c r="AC1265" t="s">
        <v>4562</v>
      </c>
      <c r="AD1265" t="s">
        <v>1704</v>
      </c>
      <c r="AE1265" t="s">
        <v>4655</v>
      </c>
      <c r="AF1265" t="s">
        <v>5201</v>
      </c>
      <c r="AG1265" t="s">
        <v>4564</v>
      </c>
      <c r="AH1265" t="s">
        <v>1605</v>
      </c>
      <c r="AI1265" t="s">
        <v>10670</v>
      </c>
      <c r="AJ1265" t="s">
        <v>4655</v>
      </c>
      <c r="AK1265" t="s">
        <v>10671</v>
      </c>
      <c r="AL1265" s="13" t="s">
        <v>3423</v>
      </c>
      <c r="AM1265" s="14">
        <v>1</v>
      </c>
      <c r="AN1265" s="15" t="s">
        <v>1803</v>
      </c>
    </row>
    <row r="1266" spans="1:40" x14ac:dyDescent="0.3">
      <c r="A1266" s="10" t="str">
        <f>HYPERLINK("http://www.washoecounty.gov/assessor/cama/?parid=015-332-14&amp;CardNumber=1","015-332-14")</f>
        <v>015-332-14</v>
      </c>
      <c r="B1266" t="s">
        <v>4655</v>
      </c>
      <c r="C1266" t="s">
        <v>1371</v>
      </c>
      <c r="D1266" s="1">
        <v>40431</v>
      </c>
      <c r="E1266" s="2">
        <v>64808</v>
      </c>
      <c r="F1266" t="s">
        <v>3584</v>
      </c>
      <c r="G1266" s="17" t="str">
        <f>HYPERLINK("https://www.washoecounty.gov/assessor/cama/?command=sales&amp;parid=01533214","3920927")</f>
        <v>3920927</v>
      </c>
      <c r="H1266" t="s">
        <v>1372</v>
      </c>
      <c r="I1266">
        <v>1982</v>
      </c>
      <c r="J1266">
        <v>1982</v>
      </c>
      <c r="K1266" t="s">
        <v>3144</v>
      </c>
      <c r="L1266" t="s">
        <v>4555</v>
      </c>
      <c r="M1266" s="2">
        <v>480</v>
      </c>
      <c r="N1266" t="s">
        <v>4556</v>
      </c>
      <c r="O1266">
        <v>1</v>
      </c>
      <c r="P1266">
        <v>1</v>
      </c>
      <c r="Q1266">
        <v>0</v>
      </c>
      <c r="R1266" t="s">
        <v>5281</v>
      </c>
      <c r="S1266" t="s">
        <v>4135</v>
      </c>
      <c r="T1266" t="s">
        <v>4899</v>
      </c>
      <c r="U1266" t="s">
        <v>4655</v>
      </c>
      <c r="V1266" s="2">
        <v>0</v>
      </c>
      <c r="W1266" t="s">
        <v>4655</v>
      </c>
      <c r="X1266" s="2">
        <v>0</v>
      </c>
      <c r="Y1266">
        <v>21</v>
      </c>
      <c r="Z1266" t="s">
        <v>1373</v>
      </c>
      <c r="AA1266" s="3">
        <v>1.00000004749745E-3</v>
      </c>
      <c r="AB1266" t="s">
        <v>1801</v>
      </c>
      <c r="AC1266" t="s">
        <v>4562</v>
      </c>
      <c r="AD1266" t="s">
        <v>1704</v>
      </c>
      <c r="AE1266" t="s">
        <v>4655</v>
      </c>
      <c r="AF1266" t="s">
        <v>5201</v>
      </c>
      <c r="AG1266" t="s">
        <v>4564</v>
      </c>
      <c r="AH1266" t="s">
        <v>1605</v>
      </c>
      <c r="AI1266" t="s">
        <v>10670</v>
      </c>
      <c r="AJ1266" t="s">
        <v>4655</v>
      </c>
      <c r="AK1266" t="s">
        <v>10671</v>
      </c>
      <c r="AL1266" s="13" t="s">
        <v>3423</v>
      </c>
      <c r="AM1266" s="14">
        <v>1</v>
      </c>
      <c r="AN1266" s="15" t="s">
        <v>1803</v>
      </c>
    </row>
    <row r="1267" spans="1:40" x14ac:dyDescent="0.3">
      <c r="A1267" s="10" t="str">
        <f>HYPERLINK("http://www.washoecounty.gov/assessor/cama/?parid=015-332-18&amp;CardNumber=1","015-332-18")</f>
        <v>015-332-18</v>
      </c>
      <c r="B1267" t="s">
        <v>4655</v>
      </c>
      <c r="C1267" t="s">
        <v>1371</v>
      </c>
      <c r="D1267" s="1">
        <v>40542</v>
      </c>
      <c r="E1267" s="2">
        <v>21000</v>
      </c>
      <c r="F1267" t="s">
        <v>4553</v>
      </c>
      <c r="G1267" s="17" t="str">
        <f>HYPERLINK("https://www.washoecounty.gov/assessor/cama/?command=sales&amp;parid=01533218","3959368")</f>
        <v>3959368</v>
      </c>
      <c r="H1267" t="s">
        <v>1372</v>
      </c>
      <c r="I1267">
        <v>1982</v>
      </c>
      <c r="J1267">
        <v>1982</v>
      </c>
      <c r="K1267" t="s">
        <v>3144</v>
      </c>
      <c r="L1267" t="s">
        <v>4555</v>
      </c>
      <c r="M1267" s="2">
        <v>480</v>
      </c>
      <c r="N1267" t="s">
        <v>4556</v>
      </c>
      <c r="O1267">
        <v>1</v>
      </c>
      <c r="P1267">
        <v>1</v>
      </c>
      <c r="Q1267">
        <v>0</v>
      </c>
      <c r="R1267" t="s">
        <v>5281</v>
      </c>
      <c r="S1267" t="s">
        <v>4135</v>
      </c>
      <c r="T1267" t="s">
        <v>4899</v>
      </c>
      <c r="U1267" t="s">
        <v>4655</v>
      </c>
      <c r="V1267" s="2">
        <v>0</v>
      </c>
      <c r="W1267" t="s">
        <v>4655</v>
      </c>
      <c r="X1267" s="2">
        <v>0</v>
      </c>
      <c r="Y1267">
        <v>21</v>
      </c>
      <c r="Z1267" t="s">
        <v>1373</v>
      </c>
      <c r="AA1267" s="3">
        <v>1.00000004749745E-3</v>
      </c>
      <c r="AB1267" t="s">
        <v>10672</v>
      </c>
      <c r="AC1267" t="s">
        <v>4562</v>
      </c>
      <c r="AD1267" t="s">
        <v>10673</v>
      </c>
      <c r="AE1267" t="s">
        <v>4655</v>
      </c>
      <c r="AF1267" t="s">
        <v>1407</v>
      </c>
      <c r="AG1267" t="s">
        <v>4564</v>
      </c>
      <c r="AH1267">
        <v>89701</v>
      </c>
      <c r="AI1267" t="s">
        <v>4903</v>
      </c>
      <c r="AJ1267" t="s">
        <v>4655</v>
      </c>
      <c r="AK1267" t="s">
        <v>10674</v>
      </c>
      <c r="AL1267" s="13" t="s">
        <v>3423</v>
      </c>
      <c r="AM1267" s="14">
        <v>1</v>
      </c>
      <c r="AN1267" s="15" t="s">
        <v>1803</v>
      </c>
    </row>
    <row r="1268" spans="1:40" x14ac:dyDescent="0.3">
      <c r="A1268" s="10" t="str">
        <f>HYPERLINK("http://www.washoecounty.gov/assessor/cama/?parid=015-341-19&amp;CardNumber=1","015-341-19")</f>
        <v>015-341-19</v>
      </c>
      <c r="B1268" t="s">
        <v>4655</v>
      </c>
      <c r="C1268" t="s">
        <v>235</v>
      </c>
      <c r="D1268" s="1">
        <v>40280</v>
      </c>
      <c r="E1268" s="2">
        <v>53000</v>
      </c>
      <c r="F1268" t="s">
        <v>4553</v>
      </c>
      <c r="G1268" s="17" t="str">
        <f>HYPERLINK("https://www.washoecounty.gov/assessor/cama/?command=sales&amp;parid=01534119","3869797")</f>
        <v>3869797</v>
      </c>
      <c r="H1268" t="s">
        <v>236</v>
      </c>
      <c r="I1268">
        <v>1986</v>
      </c>
      <c r="J1268">
        <v>1986</v>
      </c>
      <c r="K1268" t="s">
        <v>4897</v>
      </c>
      <c r="L1268" t="s">
        <v>4555</v>
      </c>
      <c r="M1268" s="2">
        <v>758</v>
      </c>
      <c r="N1268" t="s">
        <v>4556</v>
      </c>
      <c r="O1268">
        <v>2</v>
      </c>
      <c r="P1268">
        <v>2</v>
      </c>
      <c r="Q1268">
        <v>0</v>
      </c>
      <c r="R1268" t="s">
        <v>5281</v>
      </c>
      <c r="S1268" t="s">
        <v>4898</v>
      </c>
      <c r="T1268" t="s">
        <v>4559</v>
      </c>
      <c r="U1268" t="s">
        <v>4655</v>
      </c>
      <c r="V1268" s="2">
        <v>0</v>
      </c>
      <c r="W1268" t="s">
        <v>4655</v>
      </c>
      <c r="X1268" s="2">
        <v>0</v>
      </c>
      <c r="Y1268">
        <v>21</v>
      </c>
      <c r="Z1268" t="s">
        <v>2705</v>
      </c>
      <c r="AA1268" s="3">
        <v>1.00000004749745E-3</v>
      </c>
      <c r="AB1268" t="s">
        <v>1801</v>
      </c>
      <c r="AC1268" t="s">
        <v>4562</v>
      </c>
      <c r="AD1268" t="s">
        <v>1802</v>
      </c>
      <c r="AE1268" t="s">
        <v>4655</v>
      </c>
      <c r="AF1268" t="s">
        <v>5201</v>
      </c>
      <c r="AG1268" t="s">
        <v>7</v>
      </c>
      <c r="AH1268" t="s">
        <v>1605</v>
      </c>
      <c r="AI1268" t="s">
        <v>237</v>
      </c>
      <c r="AJ1268" t="s">
        <v>4655</v>
      </c>
      <c r="AK1268" t="s">
        <v>238</v>
      </c>
      <c r="AL1268" s="13" t="s">
        <v>3423</v>
      </c>
      <c r="AM1268" s="14">
        <v>1</v>
      </c>
      <c r="AN1268" s="15" t="s">
        <v>1803</v>
      </c>
    </row>
    <row r="1269" spans="1:40" x14ac:dyDescent="0.3">
      <c r="A1269" s="10" t="str">
        <f>HYPERLINK("http://www.washoecounty.gov/assessor/cama/?parid=016-411-01&amp;CardNumber=1","016-411-01")</f>
        <v>016-411-01</v>
      </c>
      <c r="B1269" t="s">
        <v>4655</v>
      </c>
      <c r="C1269" t="s">
        <v>10675</v>
      </c>
      <c r="D1269" s="1">
        <v>40424</v>
      </c>
      <c r="E1269" s="2">
        <v>1100000</v>
      </c>
      <c r="F1269" t="s">
        <v>3528</v>
      </c>
      <c r="G1269" s="17" t="str">
        <f>HYPERLINK("https://www.washoecounty.gov/assessor/cama/?command=sales&amp;parid=01641101","3918870")</f>
        <v>3918870</v>
      </c>
      <c r="H1269" t="s">
        <v>4827</v>
      </c>
      <c r="I1269">
        <v>1962</v>
      </c>
      <c r="J1269">
        <v>1962</v>
      </c>
      <c r="K1269" t="s">
        <v>4554</v>
      </c>
      <c r="L1269" t="s">
        <v>4555</v>
      </c>
      <c r="M1269" s="2">
        <v>1368</v>
      </c>
      <c r="N1269" t="s">
        <v>4048</v>
      </c>
      <c r="O1269">
        <v>3</v>
      </c>
      <c r="P1269">
        <v>1</v>
      </c>
      <c r="Q1269">
        <v>1</v>
      </c>
      <c r="R1269" t="s">
        <v>4557</v>
      </c>
      <c r="S1269" t="s">
        <v>4682</v>
      </c>
      <c r="T1269" t="s">
        <v>4143</v>
      </c>
      <c r="U1269" t="s">
        <v>4655</v>
      </c>
      <c r="V1269" s="2">
        <v>0</v>
      </c>
      <c r="W1269" t="s">
        <v>4655</v>
      </c>
      <c r="X1269" s="2">
        <v>0</v>
      </c>
      <c r="Y1269">
        <v>20</v>
      </c>
      <c r="Z1269" t="s">
        <v>3288</v>
      </c>
      <c r="AA1269" s="3">
        <v>1</v>
      </c>
      <c r="AB1269" t="s">
        <v>10676</v>
      </c>
      <c r="AC1269" t="s">
        <v>4562</v>
      </c>
      <c r="AD1269" t="s">
        <v>10677</v>
      </c>
      <c r="AE1269" t="s">
        <v>4655</v>
      </c>
      <c r="AF1269" t="s">
        <v>4809</v>
      </c>
      <c r="AG1269" t="s">
        <v>4564</v>
      </c>
      <c r="AH1269" t="s">
        <v>5202</v>
      </c>
      <c r="AI1269" t="s">
        <v>10678</v>
      </c>
      <c r="AJ1269" t="s">
        <v>10679</v>
      </c>
      <c r="AK1269" t="s">
        <v>10680</v>
      </c>
      <c r="AL1269" s="13" t="s">
        <v>3424</v>
      </c>
      <c r="AM1269" s="14">
        <v>1</v>
      </c>
      <c r="AN1269" s="15" t="s">
        <v>10681</v>
      </c>
    </row>
    <row r="1270" spans="1:40" x14ac:dyDescent="0.3">
      <c r="A1270" s="10" t="str">
        <f>HYPERLINK("http://www.washoecounty.gov/assessor/cama/?parid=016-411-02&amp;CardNumber=1","016-411-02")</f>
        <v>016-411-02</v>
      </c>
      <c r="B1270" t="s">
        <v>4655</v>
      </c>
      <c r="C1270" t="s">
        <v>10682</v>
      </c>
      <c r="D1270" s="1">
        <v>40424</v>
      </c>
      <c r="E1270" s="2">
        <v>1100000</v>
      </c>
      <c r="F1270" t="s">
        <v>3528</v>
      </c>
      <c r="G1270" s="17" t="str">
        <f>HYPERLINK("https://www.washoecounty.gov/assessor/cama/?command=sales&amp;parid=01641102","3918870")</f>
        <v>3918870</v>
      </c>
      <c r="H1270" t="s">
        <v>4802</v>
      </c>
      <c r="I1270">
        <v>1939</v>
      </c>
      <c r="J1270">
        <v>1939</v>
      </c>
      <c r="K1270" t="s">
        <v>4554</v>
      </c>
      <c r="L1270" t="s">
        <v>4555</v>
      </c>
      <c r="M1270" s="2">
        <v>1062</v>
      </c>
      <c r="N1270" t="s">
        <v>4672</v>
      </c>
      <c r="O1270">
        <v>1</v>
      </c>
      <c r="P1270">
        <v>1</v>
      </c>
      <c r="Q1270">
        <v>0</v>
      </c>
      <c r="R1270" t="s">
        <v>1800</v>
      </c>
      <c r="S1270" t="s">
        <v>4135</v>
      </c>
      <c r="T1270" t="s">
        <v>4559</v>
      </c>
      <c r="U1270" t="s">
        <v>4655</v>
      </c>
      <c r="V1270" s="2">
        <v>0</v>
      </c>
      <c r="W1270" t="s">
        <v>4655</v>
      </c>
      <c r="X1270" s="2">
        <v>0</v>
      </c>
      <c r="Y1270">
        <v>20</v>
      </c>
      <c r="Z1270" t="s">
        <v>3288</v>
      </c>
      <c r="AA1270" s="3">
        <v>2.0160000324249201</v>
      </c>
      <c r="AB1270" t="s">
        <v>10676</v>
      </c>
      <c r="AC1270" t="s">
        <v>4562</v>
      </c>
      <c r="AD1270" t="s">
        <v>10677</v>
      </c>
      <c r="AE1270" t="s">
        <v>4655</v>
      </c>
      <c r="AF1270" t="s">
        <v>4809</v>
      </c>
      <c r="AG1270" t="s">
        <v>4564</v>
      </c>
      <c r="AH1270" t="s">
        <v>5202</v>
      </c>
      <c r="AI1270" t="s">
        <v>10678</v>
      </c>
      <c r="AJ1270" t="s">
        <v>10683</v>
      </c>
      <c r="AK1270" t="s">
        <v>10680</v>
      </c>
      <c r="AL1270" s="13" t="s">
        <v>1889</v>
      </c>
      <c r="AM1270" s="14">
        <v>1</v>
      </c>
      <c r="AN1270" s="15" t="s">
        <v>10681</v>
      </c>
    </row>
    <row r="1271" spans="1:40" x14ac:dyDescent="0.3">
      <c r="A1271" s="10" t="str">
        <f>HYPERLINK("http://www.washoecounty.gov/assessor/cama/?parid=016-411-15&amp;CardNumber=1","016-411-15")</f>
        <v>016-411-15</v>
      </c>
      <c r="B1271" t="s">
        <v>4655</v>
      </c>
      <c r="C1271" t="s">
        <v>10684</v>
      </c>
      <c r="D1271" s="1">
        <v>40424</v>
      </c>
      <c r="E1271" s="2">
        <v>1100000</v>
      </c>
      <c r="F1271" t="s">
        <v>3528</v>
      </c>
      <c r="G1271" s="17" t="str">
        <f>HYPERLINK("https://www.washoecounty.gov/assessor/cama/?command=sales&amp;parid=01641115","3918870")</f>
        <v>3918870</v>
      </c>
      <c r="H1271" t="s">
        <v>4827</v>
      </c>
      <c r="I1271">
        <v>0</v>
      </c>
      <c r="J1271">
        <v>0</v>
      </c>
      <c r="K1271" t="s">
        <v>4655</v>
      </c>
      <c r="L1271" t="s">
        <v>4655</v>
      </c>
      <c r="M1271" s="2">
        <v>0</v>
      </c>
      <c r="N1271" t="s">
        <v>4655</v>
      </c>
      <c r="O1271">
        <v>0</v>
      </c>
      <c r="P1271">
        <v>0</v>
      </c>
      <c r="Q1271">
        <v>0</v>
      </c>
      <c r="R1271" t="s">
        <v>4655</v>
      </c>
      <c r="S1271" t="s">
        <v>4655</v>
      </c>
      <c r="T1271" t="s">
        <v>4655</v>
      </c>
      <c r="U1271" t="s">
        <v>4655</v>
      </c>
      <c r="V1271" s="2">
        <v>0</v>
      </c>
      <c r="W1271" t="s">
        <v>4655</v>
      </c>
      <c r="X1271" s="2">
        <v>0</v>
      </c>
      <c r="Y1271">
        <v>14</v>
      </c>
      <c r="Z1271" t="s">
        <v>3288</v>
      </c>
      <c r="AA1271" s="3">
        <v>7.3239998817443848</v>
      </c>
      <c r="AB1271" t="s">
        <v>10676</v>
      </c>
      <c r="AC1271" t="s">
        <v>4562</v>
      </c>
      <c r="AD1271" t="s">
        <v>10677</v>
      </c>
      <c r="AE1271" t="s">
        <v>4655</v>
      </c>
      <c r="AF1271" t="s">
        <v>4809</v>
      </c>
      <c r="AG1271" t="s">
        <v>4564</v>
      </c>
      <c r="AH1271" t="s">
        <v>5202</v>
      </c>
      <c r="AI1271" t="s">
        <v>4655</v>
      </c>
      <c r="AJ1271" t="s">
        <v>10685</v>
      </c>
      <c r="AK1271" t="s">
        <v>10686</v>
      </c>
      <c r="AL1271" s="13" t="s">
        <v>1889</v>
      </c>
      <c r="AM1271">
        <v>0</v>
      </c>
      <c r="AN1271" s="15" t="s">
        <v>10681</v>
      </c>
    </row>
    <row r="1272" spans="1:40" x14ac:dyDescent="0.3">
      <c r="A1272" s="10" t="str">
        <f>HYPERLINK("http://www.washoecounty.gov/assessor/cama/?parid=016-461-15&amp;CardNumber=1","016-461-15")</f>
        <v>016-461-15</v>
      </c>
      <c r="B1272" t="s">
        <v>4655</v>
      </c>
      <c r="C1272" t="s">
        <v>10687</v>
      </c>
      <c r="D1272" s="1">
        <v>40542</v>
      </c>
      <c r="E1272" s="2">
        <v>235000</v>
      </c>
      <c r="F1272" t="s">
        <v>4553</v>
      </c>
      <c r="G1272" s="17" t="str">
        <f>HYPERLINK("https://www.washoecounty.gov/assessor/cama/?command=sales&amp;parid=01646115","3959271")</f>
        <v>3959271</v>
      </c>
      <c r="H1272" t="s">
        <v>10688</v>
      </c>
      <c r="I1272">
        <v>1972</v>
      </c>
      <c r="J1272">
        <v>1972</v>
      </c>
      <c r="K1272" t="s">
        <v>4554</v>
      </c>
      <c r="L1272" t="s">
        <v>4555</v>
      </c>
      <c r="M1272" s="2">
        <v>2220</v>
      </c>
      <c r="N1272" t="s">
        <v>4048</v>
      </c>
      <c r="O1272">
        <v>4</v>
      </c>
      <c r="P1272">
        <v>2</v>
      </c>
      <c r="Q1272">
        <v>0</v>
      </c>
      <c r="R1272" t="s">
        <v>4557</v>
      </c>
      <c r="S1272" t="s">
        <v>4682</v>
      </c>
      <c r="T1272" t="s">
        <v>4559</v>
      </c>
      <c r="U1272" t="s">
        <v>4560</v>
      </c>
      <c r="V1272" s="2">
        <v>552</v>
      </c>
      <c r="W1272" t="s">
        <v>4655</v>
      </c>
      <c r="X1272" s="2">
        <v>0</v>
      </c>
      <c r="Y1272">
        <v>20</v>
      </c>
      <c r="Z1272" t="s">
        <v>5508</v>
      </c>
      <c r="AA1272" s="3">
        <v>0.54299813508987405</v>
      </c>
      <c r="AB1272" t="s">
        <v>10689</v>
      </c>
      <c r="AC1272" t="s">
        <v>4562</v>
      </c>
      <c r="AD1272" t="s">
        <v>10687</v>
      </c>
      <c r="AE1272" t="s">
        <v>4655</v>
      </c>
      <c r="AF1272" t="s">
        <v>4563</v>
      </c>
      <c r="AG1272" t="s">
        <v>4564</v>
      </c>
      <c r="AH1272" t="s">
        <v>5197</v>
      </c>
      <c r="AI1272" t="s">
        <v>949</v>
      </c>
      <c r="AJ1272" t="s">
        <v>4655</v>
      </c>
      <c r="AK1272" t="s">
        <v>10690</v>
      </c>
      <c r="AL1272" s="13" t="s">
        <v>3424</v>
      </c>
      <c r="AM1272" s="14">
        <v>1</v>
      </c>
      <c r="AN1272" s="15" t="s">
        <v>5002</v>
      </c>
    </row>
    <row r="1273" spans="1:40" x14ac:dyDescent="0.3">
      <c r="A1273" s="10" t="str">
        <f>HYPERLINK("http://www.washoecounty.gov/assessor/cama/?parid=016-463-05&amp;CardNumber=1","016-463-05")</f>
        <v>016-463-05</v>
      </c>
      <c r="B1273" t="s">
        <v>4655</v>
      </c>
      <c r="C1273" t="s">
        <v>10691</v>
      </c>
      <c r="D1273" s="1">
        <v>40445</v>
      </c>
      <c r="E1273" s="2">
        <v>230000</v>
      </c>
      <c r="F1273" t="s">
        <v>4553</v>
      </c>
      <c r="G1273" s="17" t="str">
        <f>HYPERLINK("https://www.washoecounty.gov/assessor/cama/?command=sales&amp;parid=01646305","3926117")</f>
        <v>3926117</v>
      </c>
      <c r="H1273" t="s">
        <v>10692</v>
      </c>
      <c r="I1273">
        <v>1989</v>
      </c>
      <c r="J1273">
        <v>1992</v>
      </c>
      <c r="K1273" t="s">
        <v>4554</v>
      </c>
      <c r="L1273" t="s">
        <v>4555</v>
      </c>
      <c r="M1273" s="2">
        <v>2594</v>
      </c>
      <c r="N1273" t="s">
        <v>5280</v>
      </c>
      <c r="O1273">
        <v>4</v>
      </c>
      <c r="P1273">
        <v>3</v>
      </c>
      <c r="Q1273">
        <v>0</v>
      </c>
      <c r="R1273" t="s">
        <v>5281</v>
      </c>
      <c r="S1273" t="s">
        <v>4558</v>
      </c>
      <c r="T1273" t="s">
        <v>4559</v>
      </c>
      <c r="U1273" t="s">
        <v>4560</v>
      </c>
      <c r="V1273" s="2">
        <v>614</v>
      </c>
      <c r="W1273" t="s">
        <v>4655</v>
      </c>
      <c r="X1273" s="2">
        <v>0</v>
      </c>
      <c r="Y1273">
        <v>20</v>
      </c>
      <c r="Z1273" t="s">
        <v>5508</v>
      </c>
      <c r="AA1273" s="3">
        <v>0.51799815893173218</v>
      </c>
      <c r="AB1273" t="s">
        <v>10693</v>
      </c>
      <c r="AC1273" t="s">
        <v>4562</v>
      </c>
      <c r="AD1273" t="s">
        <v>10694</v>
      </c>
      <c r="AE1273" t="s">
        <v>4655</v>
      </c>
      <c r="AF1273" t="s">
        <v>4563</v>
      </c>
      <c r="AG1273" t="s">
        <v>4564</v>
      </c>
      <c r="AH1273" t="s">
        <v>5197</v>
      </c>
      <c r="AI1273" t="s">
        <v>4045</v>
      </c>
      <c r="AJ1273" t="s">
        <v>4655</v>
      </c>
      <c r="AK1273" t="s">
        <v>10695</v>
      </c>
      <c r="AL1273" s="13" t="s">
        <v>3424</v>
      </c>
      <c r="AM1273">
        <v>1</v>
      </c>
      <c r="AN1273" s="15" t="s">
        <v>5002</v>
      </c>
    </row>
    <row r="1274" spans="1:40" x14ac:dyDescent="0.3">
      <c r="A1274" s="10" t="str">
        <f>HYPERLINK("http://www.washoecounty.gov/assessor/cama/?parid=016-473-02&amp;CardNumber=1","016-473-02")</f>
        <v>016-473-02</v>
      </c>
      <c r="B1274" t="s">
        <v>4655</v>
      </c>
      <c r="C1274" t="s">
        <v>10696</v>
      </c>
      <c r="D1274" s="1">
        <v>40284</v>
      </c>
      <c r="E1274" s="2">
        <v>305000</v>
      </c>
      <c r="F1274" t="s">
        <v>4567</v>
      </c>
      <c r="G1274" s="17" t="str">
        <f>HYPERLINK("https://www.washoecounty.gov/assessor/cama/?command=sales&amp;parid=01647302","3872007")</f>
        <v>3872007</v>
      </c>
      <c r="H1274" t="s">
        <v>3153</v>
      </c>
      <c r="I1274">
        <v>1987</v>
      </c>
      <c r="J1274">
        <v>1988</v>
      </c>
      <c r="K1274" t="s">
        <v>4554</v>
      </c>
      <c r="L1274" t="s">
        <v>4555</v>
      </c>
      <c r="M1274" s="2">
        <v>2091</v>
      </c>
      <c r="N1274" t="s">
        <v>4048</v>
      </c>
      <c r="O1274">
        <v>3</v>
      </c>
      <c r="P1274">
        <v>3</v>
      </c>
      <c r="Q1274">
        <v>0</v>
      </c>
      <c r="R1274" t="s">
        <v>5281</v>
      </c>
      <c r="S1274" t="s">
        <v>4558</v>
      </c>
      <c r="T1274" t="s">
        <v>4559</v>
      </c>
      <c r="U1274" t="s">
        <v>162</v>
      </c>
      <c r="V1274" s="2">
        <v>1136</v>
      </c>
      <c r="W1274" t="s">
        <v>4655</v>
      </c>
      <c r="X1274" s="2">
        <v>0</v>
      </c>
      <c r="Y1274">
        <v>20</v>
      </c>
      <c r="Z1274" t="s">
        <v>5508</v>
      </c>
      <c r="AA1274" s="3">
        <v>0.51799815893173218</v>
      </c>
      <c r="AB1274" t="s">
        <v>10697</v>
      </c>
      <c r="AC1274" t="s">
        <v>4562</v>
      </c>
      <c r="AD1274" t="s">
        <v>10696</v>
      </c>
      <c r="AE1274" t="s">
        <v>4655</v>
      </c>
      <c r="AF1274" t="s">
        <v>4563</v>
      </c>
      <c r="AG1274" t="s">
        <v>4564</v>
      </c>
      <c r="AH1274" t="s">
        <v>5197</v>
      </c>
      <c r="AI1274" t="s">
        <v>10698</v>
      </c>
      <c r="AJ1274" t="s">
        <v>4655</v>
      </c>
      <c r="AK1274" t="s">
        <v>10699</v>
      </c>
      <c r="AL1274" s="13" t="s">
        <v>3424</v>
      </c>
      <c r="AM1274">
        <v>1</v>
      </c>
      <c r="AN1274" s="15" t="s">
        <v>5002</v>
      </c>
    </row>
    <row r="1275" spans="1:40" x14ac:dyDescent="0.3">
      <c r="A1275" s="10" t="str">
        <f>HYPERLINK("http://www.washoecounty.gov/assessor/cama/?parid=016-474-11&amp;CardNumber=1","016-474-11")</f>
        <v>016-474-11</v>
      </c>
      <c r="B1275" t="s">
        <v>4655</v>
      </c>
      <c r="C1275" t="s">
        <v>10700</v>
      </c>
      <c r="D1275" s="1">
        <v>40289</v>
      </c>
      <c r="E1275" s="2">
        <v>285000</v>
      </c>
      <c r="F1275" t="s">
        <v>4567</v>
      </c>
      <c r="G1275" s="17" t="str">
        <f>HYPERLINK("https://www.washoecounty.gov/assessor/cama/?command=sales&amp;parid=01647411","3873132")</f>
        <v>3873132</v>
      </c>
      <c r="H1275" t="s">
        <v>2455</v>
      </c>
      <c r="I1275">
        <v>1964</v>
      </c>
      <c r="J1275">
        <v>1965</v>
      </c>
      <c r="K1275" t="s">
        <v>4554</v>
      </c>
      <c r="L1275" t="s">
        <v>4555</v>
      </c>
      <c r="M1275" s="2">
        <v>1940</v>
      </c>
      <c r="N1275" t="s">
        <v>4048</v>
      </c>
      <c r="O1275">
        <v>3</v>
      </c>
      <c r="P1275">
        <v>2</v>
      </c>
      <c r="Q1275">
        <v>0</v>
      </c>
      <c r="R1275" t="s">
        <v>4557</v>
      </c>
      <c r="S1275" t="s">
        <v>4135</v>
      </c>
      <c r="T1275" t="s">
        <v>4559</v>
      </c>
      <c r="U1275" t="s">
        <v>4560</v>
      </c>
      <c r="V1275" s="2">
        <v>576</v>
      </c>
      <c r="W1275" t="s">
        <v>4655</v>
      </c>
      <c r="X1275" s="2">
        <v>0</v>
      </c>
      <c r="Y1275">
        <v>20</v>
      </c>
      <c r="Z1275" t="s">
        <v>5508</v>
      </c>
      <c r="AA1275" s="3">
        <v>0.51799815893173218</v>
      </c>
      <c r="AB1275" t="s">
        <v>10701</v>
      </c>
      <c r="AC1275" t="s">
        <v>4562</v>
      </c>
      <c r="AD1275" t="s">
        <v>10700</v>
      </c>
      <c r="AE1275" t="s">
        <v>4655</v>
      </c>
      <c r="AF1275" t="s">
        <v>4563</v>
      </c>
      <c r="AG1275" t="s">
        <v>4564</v>
      </c>
      <c r="AH1275" t="s">
        <v>5197</v>
      </c>
      <c r="AI1275" t="s">
        <v>10702</v>
      </c>
      <c r="AJ1275" t="s">
        <v>4655</v>
      </c>
      <c r="AK1275" t="s">
        <v>10703</v>
      </c>
      <c r="AL1275" s="13" t="s">
        <v>3424</v>
      </c>
      <c r="AM1275" s="14">
        <v>1</v>
      </c>
      <c r="AN1275" s="15" t="s">
        <v>5002</v>
      </c>
    </row>
    <row r="1276" spans="1:40" x14ac:dyDescent="0.3">
      <c r="A1276" s="10" t="str">
        <f>HYPERLINK("http://www.washoecounty.gov/assessor/cama/?parid=016-475-05&amp;CardNumber=1","016-475-05")</f>
        <v>016-475-05</v>
      </c>
      <c r="B1276" t="s">
        <v>4655</v>
      </c>
      <c r="C1276" t="s">
        <v>10704</v>
      </c>
      <c r="D1276" s="1">
        <v>40451</v>
      </c>
      <c r="E1276" s="2">
        <v>225000</v>
      </c>
      <c r="F1276" t="s">
        <v>4567</v>
      </c>
      <c r="G1276" s="17" t="str">
        <f>HYPERLINK("https://www.washoecounty.gov/assessor/cama/?command=sales&amp;parid=01647505","3928006")</f>
        <v>3928006</v>
      </c>
      <c r="H1276" t="s">
        <v>3560</v>
      </c>
      <c r="I1276">
        <v>1966</v>
      </c>
      <c r="J1276">
        <v>1966</v>
      </c>
      <c r="K1276" t="s">
        <v>4554</v>
      </c>
      <c r="L1276" t="s">
        <v>4555</v>
      </c>
      <c r="M1276" s="2">
        <v>1826</v>
      </c>
      <c r="N1276" t="s">
        <v>4048</v>
      </c>
      <c r="O1276">
        <v>4</v>
      </c>
      <c r="P1276">
        <v>2</v>
      </c>
      <c r="Q1276">
        <v>1</v>
      </c>
      <c r="R1276" t="s">
        <v>5205</v>
      </c>
      <c r="S1276" t="s">
        <v>4135</v>
      </c>
      <c r="T1276" t="s">
        <v>4559</v>
      </c>
      <c r="U1276" t="s">
        <v>4560</v>
      </c>
      <c r="V1276" s="2">
        <v>528</v>
      </c>
      <c r="W1276" t="s">
        <v>3201</v>
      </c>
      <c r="X1276" s="2">
        <v>819</v>
      </c>
      <c r="Y1276">
        <v>20</v>
      </c>
      <c r="Z1276" t="s">
        <v>5508</v>
      </c>
      <c r="AA1276" s="3">
        <v>0.61999541521072299</v>
      </c>
      <c r="AB1276" t="s">
        <v>10705</v>
      </c>
      <c r="AC1276" t="s">
        <v>4562</v>
      </c>
      <c r="AD1276" t="s">
        <v>10704</v>
      </c>
      <c r="AE1276" t="s">
        <v>4655</v>
      </c>
      <c r="AF1276" t="s">
        <v>4563</v>
      </c>
      <c r="AG1276" t="s">
        <v>4564</v>
      </c>
      <c r="AH1276" t="s">
        <v>1147</v>
      </c>
      <c r="AI1276" t="s">
        <v>10706</v>
      </c>
      <c r="AJ1276" t="s">
        <v>4655</v>
      </c>
      <c r="AK1276" t="s">
        <v>10707</v>
      </c>
      <c r="AL1276" s="13" t="s">
        <v>3424</v>
      </c>
      <c r="AM1276">
        <v>1</v>
      </c>
      <c r="AN1276" s="15" t="s">
        <v>5002</v>
      </c>
    </row>
    <row r="1277" spans="1:40" x14ac:dyDescent="0.3">
      <c r="A1277" s="10" t="str">
        <f>HYPERLINK("http://www.washoecounty.gov/assessor/cama/?parid=016-483-09&amp;CardNumber=1","016-483-09")</f>
        <v>016-483-09</v>
      </c>
      <c r="B1277" t="s">
        <v>4655</v>
      </c>
      <c r="C1277" t="s">
        <v>1875</v>
      </c>
      <c r="D1277" s="1">
        <v>40282</v>
      </c>
      <c r="E1277" s="2">
        <v>257500</v>
      </c>
      <c r="F1277" t="s">
        <v>4567</v>
      </c>
      <c r="G1277" s="17" t="str">
        <f>HYPERLINK("https://www.washoecounty.gov/assessor/cama/?command=sales&amp;parid=01648309","3871015")</f>
        <v>3871015</v>
      </c>
      <c r="H1277" t="s">
        <v>1017</v>
      </c>
      <c r="I1277">
        <v>1976</v>
      </c>
      <c r="J1277">
        <v>1976</v>
      </c>
      <c r="K1277" t="s">
        <v>4554</v>
      </c>
      <c r="L1277" t="s">
        <v>4555</v>
      </c>
      <c r="M1277" s="2">
        <v>1963</v>
      </c>
      <c r="N1277" t="s">
        <v>4048</v>
      </c>
      <c r="O1277">
        <v>3</v>
      </c>
      <c r="P1277">
        <v>2</v>
      </c>
      <c r="Q1277">
        <v>0</v>
      </c>
      <c r="R1277" t="s">
        <v>5205</v>
      </c>
      <c r="S1277" t="s">
        <v>4135</v>
      </c>
      <c r="T1277" t="s">
        <v>4559</v>
      </c>
      <c r="U1277" t="s">
        <v>4560</v>
      </c>
      <c r="V1277" s="2">
        <v>462</v>
      </c>
      <c r="W1277" t="s">
        <v>4655</v>
      </c>
      <c r="X1277" s="2">
        <v>0</v>
      </c>
      <c r="Y1277">
        <v>20</v>
      </c>
      <c r="Z1277" t="s">
        <v>5508</v>
      </c>
      <c r="AA1277" s="3">
        <v>0.51799815893173218</v>
      </c>
      <c r="AB1277" t="s">
        <v>5455</v>
      </c>
      <c r="AC1277" t="s">
        <v>4575</v>
      </c>
      <c r="AD1277" t="s">
        <v>1875</v>
      </c>
      <c r="AE1277" t="s">
        <v>4655</v>
      </c>
      <c r="AF1277" t="s">
        <v>4563</v>
      </c>
      <c r="AG1277" t="s">
        <v>4564</v>
      </c>
      <c r="AH1277" t="s">
        <v>5197</v>
      </c>
      <c r="AI1277" t="s">
        <v>10708</v>
      </c>
      <c r="AJ1277" t="s">
        <v>4655</v>
      </c>
      <c r="AK1277" t="s">
        <v>1419</v>
      </c>
      <c r="AL1277" s="13" t="s">
        <v>3424</v>
      </c>
      <c r="AM1277">
        <v>1</v>
      </c>
      <c r="AN1277" s="15" t="s">
        <v>5002</v>
      </c>
    </row>
    <row r="1278" spans="1:40" x14ac:dyDescent="0.3">
      <c r="A1278" s="10" t="str">
        <f>HYPERLINK("http://www.washoecounty.gov/assessor/cama/?parid=016-484-16&amp;CardNumber=1","016-484-16")</f>
        <v>016-484-16</v>
      </c>
      <c r="B1278" t="s">
        <v>4655</v>
      </c>
      <c r="C1278" t="s">
        <v>10709</v>
      </c>
      <c r="D1278" s="1">
        <v>40450</v>
      </c>
      <c r="E1278" s="2">
        <v>212000</v>
      </c>
      <c r="F1278" t="s">
        <v>4567</v>
      </c>
      <c r="G1278" s="17" t="str">
        <f>HYPERLINK("https://www.washoecounty.gov/assessor/cama/?command=sales&amp;parid=01648416","3927631")</f>
        <v>3927631</v>
      </c>
      <c r="H1278" t="s">
        <v>10692</v>
      </c>
      <c r="I1278">
        <v>1964</v>
      </c>
      <c r="J1278">
        <v>1966</v>
      </c>
      <c r="K1278" t="s">
        <v>4554</v>
      </c>
      <c r="L1278" t="s">
        <v>4555</v>
      </c>
      <c r="M1278" s="2">
        <v>1795</v>
      </c>
      <c r="N1278" t="s">
        <v>5280</v>
      </c>
      <c r="O1278">
        <v>3</v>
      </c>
      <c r="P1278">
        <v>2</v>
      </c>
      <c r="Q1278">
        <v>0</v>
      </c>
      <c r="R1278" t="s">
        <v>5205</v>
      </c>
      <c r="S1278" t="s">
        <v>4682</v>
      </c>
      <c r="T1278" t="s">
        <v>4559</v>
      </c>
      <c r="U1278" t="s">
        <v>4560</v>
      </c>
      <c r="V1278" s="2">
        <v>506</v>
      </c>
      <c r="W1278" t="s">
        <v>4655</v>
      </c>
      <c r="X1278" s="2">
        <v>0</v>
      </c>
      <c r="Y1278">
        <v>20</v>
      </c>
      <c r="Z1278" t="s">
        <v>5508</v>
      </c>
      <c r="AA1278" s="3">
        <v>0.5</v>
      </c>
      <c r="AB1278" t="s">
        <v>10710</v>
      </c>
      <c r="AC1278" t="s">
        <v>4562</v>
      </c>
      <c r="AD1278" t="s">
        <v>10709</v>
      </c>
      <c r="AE1278" t="s">
        <v>4655</v>
      </c>
      <c r="AF1278" t="s">
        <v>4563</v>
      </c>
      <c r="AG1278" t="s">
        <v>4564</v>
      </c>
      <c r="AH1278" t="s">
        <v>5197</v>
      </c>
      <c r="AI1278" t="s">
        <v>4655</v>
      </c>
      <c r="AJ1278" t="s">
        <v>4655</v>
      </c>
      <c r="AK1278" t="s">
        <v>10711</v>
      </c>
      <c r="AL1278" s="13" t="s">
        <v>3424</v>
      </c>
      <c r="AM1278">
        <v>1</v>
      </c>
      <c r="AN1278" s="15" t="s">
        <v>5002</v>
      </c>
    </row>
    <row r="1279" spans="1:40" x14ac:dyDescent="0.3">
      <c r="A1279" s="10" t="str">
        <f>HYPERLINK("http://www.washoecounty.gov/assessor/cama/?parid=016-484-18&amp;CardNumber=1","016-484-18")</f>
        <v>016-484-18</v>
      </c>
      <c r="B1279" t="s">
        <v>4655</v>
      </c>
      <c r="C1279" t="s">
        <v>10712</v>
      </c>
      <c r="D1279" s="1">
        <v>40298</v>
      </c>
      <c r="E1279" s="2">
        <v>258250</v>
      </c>
      <c r="F1279" t="s">
        <v>4567</v>
      </c>
      <c r="G1279" s="17" t="str">
        <f>HYPERLINK("https://www.washoecounty.gov/assessor/cama/?command=sales&amp;parid=01648418","3876865")</f>
        <v>3876865</v>
      </c>
      <c r="H1279" t="s">
        <v>3709</v>
      </c>
      <c r="I1279">
        <v>1965</v>
      </c>
      <c r="J1279">
        <v>1965</v>
      </c>
      <c r="K1279" t="s">
        <v>4554</v>
      </c>
      <c r="L1279" t="s">
        <v>4555</v>
      </c>
      <c r="M1279" s="2">
        <v>2144</v>
      </c>
      <c r="N1279" t="s">
        <v>4048</v>
      </c>
      <c r="O1279">
        <v>3</v>
      </c>
      <c r="P1279">
        <v>3</v>
      </c>
      <c r="Q1279">
        <v>0</v>
      </c>
      <c r="R1279" t="s">
        <v>5205</v>
      </c>
      <c r="S1279" t="s">
        <v>3148</v>
      </c>
      <c r="T1279" t="s">
        <v>4559</v>
      </c>
      <c r="U1279" t="s">
        <v>4655</v>
      </c>
      <c r="V1279" s="2">
        <v>0</v>
      </c>
      <c r="W1279" t="s">
        <v>4655</v>
      </c>
      <c r="X1279" s="2">
        <v>0</v>
      </c>
      <c r="Y1279">
        <v>20</v>
      </c>
      <c r="Z1279" t="s">
        <v>5508</v>
      </c>
      <c r="AA1279" s="3">
        <v>0.69898992776870705</v>
      </c>
      <c r="AB1279" t="s">
        <v>10713</v>
      </c>
      <c r="AC1279" t="s">
        <v>4562</v>
      </c>
      <c r="AD1279" t="s">
        <v>10712</v>
      </c>
      <c r="AE1279" t="s">
        <v>4655</v>
      </c>
      <c r="AF1279" t="s">
        <v>4563</v>
      </c>
      <c r="AG1279" t="s">
        <v>4564</v>
      </c>
      <c r="AH1279" t="s">
        <v>5197</v>
      </c>
      <c r="AI1279" t="s">
        <v>10714</v>
      </c>
      <c r="AJ1279" t="s">
        <v>4655</v>
      </c>
      <c r="AK1279" t="s">
        <v>10715</v>
      </c>
      <c r="AL1279" s="13" t="s">
        <v>3424</v>
      </c>
      <c r="AM1279" s="14">
        <v>1</v>
      </c>
      <c r="AN1279" s="15" t="s">
        <v>5002</v>
      </c>
    </row>
    <row r="1280" spans="1:40" x14ac:dyDescent="0.3">
      <c r="A1280" s="10" t="str">
        <f>HYPERLINK("http://www.washoecounty.gov/assessor/cama/?parid=016-484-37&amp;CardNumber=1","016-484-37")</f>
        <v>016-484-37</v>
      </c>
      <c r="B1280" t="s">
        <v>4655</v>
      </c>
      <c r="C1280" t="s">
        <v>10716</v>
      </c>
      <c r="D1280" s="1">
        <v>40344</v>
      </c>
      <c r="E1280" s="2">
        <v>52000</v>
      </c>
      <c r="F1280" t="s">
        <v>3259</v>
      </c>
      <c r="G1280" s="17" t="str">
        <f>HYPERLINK("https://www.washoecounty.gov/assessor/cama/?command=sales&amp;parid=01648437","3891920")</f>
        <v>3891920</v>
      </c>
      <c r="H1280" t="s">
        <v>10717</v>
      </c>
      <c r="I1280">
        <v>2011</v>
      </c>
      <c r="J1280">
        <v>2011</v>
      </c>
      <c r="K1280" t="s">
        <v>4554</v>
      </c>
      <c r="L1280" t="s">
        <v>4555</v>
      </c>
      <c r="M1280" s="2">
        <v>2461</v>
      </c>
      <c r="N1280" t="s">
        <v>3147</v>
      </c>
      <c r="O1280">
        <v>2</v>
      </c>
      <c r="P1280">
        <v>2</v>
      </c>
      <c r="Q1280">
        <v>1</v>
      </c>
      <c r="R1280" t="s">
        <v>5281</v>
      </c>
      <c r="S1280" t="s">
        <v>4135</v>
      </c>
      <c r="T1280" t="s">
        <v>4559</v>
      </c>
      <c r="U1280" t="s">
        <v>4655</v>
      </c>
      <c r="V1280" s="2">
        <v>0</v>
      </c>
      <c r="W1280" t="s">
        <v>4655</v>
      </c>
      <c r="X1280" s="2">
        <v>0</v>
      </c>
      <c r="Y1280">
        <v>12</v>
      </c>
      <c r="Z1280" t="s">
        <v>5508</v>
      </c>
      <c r="AA1280" s="3">
        <v>0.66701102256774902</v>
      </c>
      <c r="AB1280" t="s">
        <v>10718</v>
      </c>
      <c r="AC1280" t="s">
        <v>4562</v>
      </c>
      <c r="AD1280" t="s">
        <v>10719</v>
      </c>
      <c r="AE1280" t="s">
        <v>4655</v>
      </c>
      <c r="AF1280" t="s">
        <v>5206</v>
      </c>
      <c r="AG1280" t="s">
        <v>4564</v>
      </c>
      <c r="AH1280" t="s">
        <v>5275</v>
      </c>
      <c r="AI1280" t="s">
        <v>4760</v>
      </c>
      <c r="AJ1280" t="s">
        <v>4655</v>
      </c>
      <c r="AK1280" t="s">
        <v>10720</v>
      </c>
      <c r="AL1280" s="13" t="s">
        <v>3424</v>
      </c>
      <c r="AM1280">
        <v>1</v>
      </c>
      <c r="AN1280" s="15" t="s">
        <v>5002</v>
      </c>
    </row>
    <row r="1281" spans="1:40" x14ac:dyDescent="0.3">
      <c r="A1281" s="10" t="str">
        <f>HYPERLINK("http://www.washoecounty.gov/assessor/cama/?parid=016-490-26&amp;CardNumber=1","016-490-26")</f>
        <v>016-490-26</v>
      </c>
      <c r="B1281" t="s">
        <v>4655</v>
      </c>
      <c r="C1281" t="s">
        <v>10721</v>
      </c>
      <c r="D1281" s="1">
        <v>40409</v>
      </c>
      <c r="E1281" s="2">
        <v>210000</v>
      </c>
      <c r="F1281" t="s">
        <v>4553</v>
      </c>
      <c r="G1281" s="17" t="str">
        <f>HYPERLINK("https://www.washoecounty.gov/assessor/cama/?command=sales&amp;parid=01649026","3913616")</f>
        <v>3913616</v>
      </c>
      <c r="H1281" t="s">
        <v>2294</v>
      </c>
      <c r="I1281">
        <v>1965</v>
      </c>
      <c r="J1281">
        <v>1965</v>
      </c>
      <c r="K1281" t="s">
        <v>4554</v>
      </c>
      <c r="L1281" t="s">
        <v>4555</v>
      </c>
      <c r="M1281" s="2">
        <v>2224</v>
      </c>
      <c r="N1281" t="s">
        <v>4048</v>
      </c>
      <c r="O1281">
        <v>3</v>
      </c>
      <c r="P1281">
        <v>2</v>
      </c>
      <c r="Q1281">
        <v>1</v>
      </c>
      <c r="R1281" t="s">
        <v>5281</v>
      </c>
      <c r="S1281" t="s">
        <v>4558</v>
      </c>
      <c r="T1281" t="s">
        <v>4559</v>
      </c>
      <c r="U1281" t="s">
        <v>4560</v>
      </c>
      <c r="V1281" s="2">
        <v>667</v>
      </c>
      <c r="W1281" t="s">
        <v>4655</v>
      </c>
      <c r="X1281" s="2">
        <v>0</v>
      </c>
      <c r="Y1281">
        <v>20</v>
      </c>
      <c r="Z1281" t="s">
        <v>5508</v>
      </c>
      <c r="AA1281" s="3">
        <v>0.84481173753738403</v>
      </c>
      <c r="AB1281" t="s">
        <v>10722</v>
      </c>
      <c r="AC1281" t="s">
        <v>4562</v>
      </c>
      <c r="AD1281" t="s">
        <v>10721</v>
      </c>
      <c r="AE1281" t="s">
        <v>4655</v>
      </c>
      <c r="AF1281" t="s">
        <v>4563</v>
      </c>
      <c r="AG1281" t="s">
        <v>4564</v>
      </c>
      <c r="AH1281" t="s">
        <v>5197</v>
      </c>
      <c r="AI1281" t="s">
        <v>10723</v>
      </c>
      <c r="AJ1281" t="s">
        <v>4655</v>
      </c>
      <c r="AK1281" t="s">
        <v>10724</v>
      </c>
      <c r="AL1281" s="13" t="s">
        <v>3424</v>
      </c>
      <c r="AM1281">
        <v>1</v>
      </c>
      <c r="AN1281" s="15" t="s">
        <v>5002</v>
      </c>
    </row>
    <row r="1282" spans="1:40" x14ac:dyDescent="0.3">
      <c r="A1282" s="10" t="str">
        <f>HYPERLINK("http://www.washoecounty.gov/assessor/cama/?parid=016-490-26&amp;CardNumber=1","016-490-26")</f>
        <v>016-490-26</v>
      </c>
      <c r="B1282" t="s">
        <v>4655</v>
      </c>
      <c r="C1282" t="s">
        <v>10721</v>
      </c>
      <c r="D1282" s="1">
        <v>40484</v>
      </c>
      <c r="E1282" s="2">
        <v>218000</v>
      </c>
      <c r="F1282" t="s">
        <v>4567</v>
      </c>
      <c r="G1282" s="17" t="str">
        <f>HYPERLINK("https://www.washoecounty.gov/assessor/cama/?command=sales&amp;parid=01649026","3939194")</f>
        <v>3939194</v>
      </c>
      <c r="H1282" t="s">
        <v>2294</v>
      </c>
      <c r="I1282">
        <v>1965</v>
      </c>
      <c r="J1282">
        <v>1965</v>
      </c>
      <c r="K1282" t="s">
        <v>4554</v>
      </c>
      <c r="L1282" t="s">
        <v>4555</v>
      </c>
      <c r="M1282" s="2">
        <v>2224</v>
      </c>
      <c r="N1282" t="s">
        <v>4048</v>
      </c>
      <c r="O1282">
        <v>3</v>
      </c>
      <c r="P1282">
        <v>2</v>
      </c>
      <c r="Q1282">
        <v>1</v>
      </c>
      <c r="R1282" t="s">
        <v>5281</v>
      </c>
      <c r="S1282" t="s">
        <v>4558</v>
      </c>
      <c r="T1282" t="s">
        <v>4559</v>
      </c>
      <c r="U1282" t="s">
        <v>4560</v>
      </c>
      <c r="V1282" s="2">
        <v>667</v>
      </c>
      <c r="W1282" t="s">
        <v>4655</v>
      </c>
      <c r="X1282" s="2">
        <v>0</v>
      </c>
      <c r="Y1282">
        <v>20</v>
      </c>
      <c r="Z1282" t="s">
        <v>5508</v>
      </c>
      <c r="AA1282" s="3">
        <v>0.84481173753738403</v>
      </c>
      <c r="AB1282" t="s">
        <v>10722</v>
      </c>
      <c r="AC1282" t="s">
        <v>4562</v>
      </c>
      <c r="AD1282" t="s">
        <v>10721</v>
      </c>
      <c r="AE1282" t="s">
        <v>4655</v>
      </c>
      <c r="AF1282" t="s">
        <v>4563</v>
      </c>
      <c r="AG1282" t="s">
        <v>4564</v>
      </c>
      <c r="AH1282" t="s">
        <v>5197</v>
      </c>
      <c r="AI1282" t="s">
        <v>10723</v>
      </c>
      <c r="AJ1282" t="s">
        <v>4655</v>
      </c>
      <c r="AK1282" t="s">
        <v>10724</v>
      </c>
      <c r="AL1282" s="13" t="s">
        <v>3424</v>
      </c>
      <c r="AM1282">
        <v>1</v>
      </c>
      <c r="AN1282" s="15" t="s">
        <v>5002</v>
      </c>
    </row>
    <row r="1283" spans="1:40" x14ac:dyDescent="0.3">
      <c r="A1283" s="10" t="str">
        <f>HYPERLINK("http://www.washoecounty.gov/assessor/cama/?parid=016-490-49&amp;CardNumber=1","016-490-49")</f>
        <v>016-490-49</v>
      </c>
      <c r="B1283" t="s">
        <v>4655</v>
      </c>
      <c r="C1283" t="s">
        <v>10725</v>
      </c>
      <c r="D1283" s="1">
        <v>40400</v>
      </c>
      <c r="E1283" s="2">
        <v>156000</v>
      </c>
      <c r="F1283" t="s">
        <v>4553</v>
      </c>
      <c r="G1283" s="17" t="str">
        <f>HYPERLINK("https://www.washoecounty.gov/assessor/cama/?command=sales&amp;parid=01649049","3910129")</f>
        <v>3910129</v>
      </c>
      <c r="H1283" t="s">
        <v>1374</v>
      </c>
      <c r="I1283">
        <v>1985</v>
      </c>
      <c r="J1283">
        <v>1992</v>
      </c>
      <c r="K1283" t="s">
        <v>4554</v>
      </c>
      <c r="L1283" t="s">
        <v>4555</v>
      </c>
      <c r="M1283" s="2">
        <v>1978</v>
      </c>
      <c r="N1283" t="s">
        <v>4048</v>
      </c>
      <c r="O1283">
        <v>3</v>
      </c>
      <c r="P1283">
        <v>2</v>
      </c>
      <c r="Q1283">
        <v>0</v>
      </c>
      <c r="R1283" t="s">
        <v>4557</v>
      </c>
      <c r="S1283" t="s">
        <v>3148</v>
      </c>
      <c r="T1283" t="s">
        <v>4559</v>
      </c>
      <c r="U1283" t="s">
        <v>5631</v>
      </c>
      <c r="V1283" s="2">
        <v>400</v>
      </c>
      <c r="W1283" t="s">
        <v>4655</v>
      </c>
      <c r="X1283" s="2">
        <v>0</v>
      </c>
      <c r="Y1283">
        <v>20</v>
      </c>
      <c r="Z1283" t="s">
        <v>5508</v>
      </c>
      <c r="AA1283" s="3">
        <v>0.53275942802429099</v>
      </c>
      <c r="AB1283" t="s">
        <v>10726</v>
      </c>
      <c r="AC1283" t="s">
        <v>4562</v>
      </c>
      <c r="AD1283" t="s">
        <v>10727</v>
      </c>
      <c r="AE1283" t="s">
        <v>4655</v>
      </c>
      <c r="AF1283" t="s">
        <v>4563</v>
      </c>
      <c r="AG1283" t="s">
        <v>4564</v>
      </c>
      <c r="AH1283">
        <v>89511</v>
      </c>
      <c r="AI1283" t="s">
        <v>2351</v>
      </c>
      <c r="AJ1283" t="s">
        <v>4655</v>
      </c>
      <c r="AK1283" t="s">
        <v>10728</v>
      </c>
      <c r="AL1283" s="13" t="s">
        <v>3424</v>
      </c>
      <c r="AM1283" s="14">
        <v>1</v>
      </c>
      <c r="AN1283" s="15" t="s">
        <v>5002</v>
      </c>
    </row>
    <row r="1284" spans="1:40" x14ac:dyDescent="0.3">
      <c r="A1284" s="10" t="str">
        <f>HYPERLINK("http://www.washoecounty.gov/assessor/cama/?parid=016-581-03&amp;CardNumber=1","016-581-03")</f>
        <v>016-581-03</v>
      </c>
      <c r="B1284" t="s">
        <v>4655</v>
      </c>
      <c r="C1284" t="s">
        <v>10729</v>
      </c>
      <c r="D1284" s="1">
        <v>40324</v>
      </c>
      <c r="E1284" s="2">
        <v>125000</v>
      </c>
      <c r="F1284" t="s">
        <v>4553</v>
      </c>
      <c r="G1284" s="17" t="str">
        <f>HYPERLINK("https://www.washoecounty.gov/assessor/cama/?command=sales&amp;parid=01658103","3885211")</f>
        <v>3885211</v>
      </c>
      <c r="H1284" t="s">
        <v>1374</v>
      </c>
      <c r="I1284">
        <v>1991</v>
      </c>
      <c r="J1284">
        <v>1991</v>
      </c>
      <c r="K1284" t="s">
        <v>4907</v>
      </c>
      <c r="L1284" t="s">
        <v>4555</v>
      </c>
      <c r="M1284" s="2">
        <v>2440</v>
      </c>
      <c r="N1284" t="s">
        <v>4048</v>
      </c>
      <c r="O1284">
        <v>4</v>
      </c>
      <c r="P1284">
        <v>2</v>
      </c>
      <c r="Q1284">
        <v>0</v>
      </c>
      <c r="R1284" t="s">
        <v>4557</v>
      </c>
      <c r="S1284" t="s">
        <v>4558</v>
      </c>
      <c r="T1284" t="s">
        <v>4559</v>
      </c>
      <c r="U1284" t="s">
        <v>4560</v>
      </c>
      <c r="V1284" s="2">
        <v>672</v>
      </c>
      <c r="W1284" t="s">
        <v>4655</v>
      </c>
      <c r="X1284" s="2">
        <v>0</v>
      </c>
      <c r="Y1284">
        <v>30</v>
      </c>
      <c r="Z1284" t="s">
        <v>5508</v>
      </c>
      <c r="AA1284" s="3">
        <v>0.68999081850051802</v>
      </c>
      <c r="AB1284" t="s">
        <v>10730</v>
      </c>
      <c r="AC1284" t="s">
        <v>4562</v>
      </c>
      <c r="AD1284" t="s">
        <v>10731</v>
      </c>
      <c r="AE1284" t="s">
        <v>4655</v>
      </c>
      <c r="AF1284" t="s">
        <v>5201</v>
      </c>
      <c r="AG1284" t="s">
        <v>4564</v>
      </c>
      <c r="AH1284" t="s">
        <v>5202</v>
      </c>
      <c r="AI1284" t="s">
        <v>4903</v>
      </c>
      <c r="AJ1284" t="s">
        <v>4655</v>
      </c>
      <c r="AK1284" t="s">
        <v>10732</v>
      </c>
      <c r="AL1284" s="13" t="s">
        <v>3424</v>
      </c>
      <c r="AM1284">
        <v>2</v>
      </c>
      <c r="AN1284" s="15" t="s">
        <v>5002</v>
      </c>
    </row>
    <row r="1285" spans="1:40" x14ac:dyDescent="0.3">
      <c r="A1285" s="10" t="str">
        <f>HYPERLINK("http://www.washoecounty.gov/assessor/cama/?parid=016-591-10&amp;CardNumber=1","016-591-10")</f>
        <v>016-591-10</v>
      </c>
      <c r="B1285" t="s">
        <v>4655</v>
      </c>
      <c r="C1285" t="s">
        <v>10733</v>
      </c>
      <c r="D1285" s="1">
        <v>40542</v>
      </c>
      <c r="E1285" s="2">
        <v>286147</v>
      </c>
      <c r="F1285" t="s">
        <v>4567</v>
      </c>
      <c r="G1285" s="17" t="str">
        <f>HYPERLINK("https://www.washoecounty.gov/assessor/cama/?command=sales&amp;parid=01659110","3959307")</f>
        <v>3959307</v>
      </c>
      <c r="H1285" t="s">
        <v>1345</v>
      </c>
      <c r="I1285">
        <v>2002</v>
      </c>
      <c r="J1285">
        <v>2002</v>
      </c>
      <c r="K1285" t="s">
        <v>4554</v>
      </c>
      <c r="L1285" t="s">
        <v>4555</v>
      </c>
      <c r="M1285" s="2">
        <v>1899</v>
      </c>
      <c r="N1285" t="s">
        <v>5280</v>
      </c>
      <c r="O1285">
        <v>3</v>
      </c>
      <c r="P1285">
        <v>2</v>
      </c>
      <c r="Q1285">
        <v>0</v>
      </c>
      <c r="R1285" t="s">
        <v>4557</v>
      </c>
      <c r="S1285" t="s">
        <v>4898</v>
      </c>
      <c r="T1285" t="s">
        <v>4559</v>
      </c>
      <c r="U1285" t="s">
        <v>4560</v>
      </c>
      <c r="V1285" s="2">
        <v>724</v>
      </c>
      <c r="W1285" t="s">
        <v>4655</v>
      </c>
      <c r="X1285" s="2">
        <v>0</v>
      </c>
      <c r="Y1285">
        <v>20</v>
      </c>
      <c r="Z1285" t="s">
        <v>5508</v>
      </c>
      <c r="AA1285" s="3">
        <v>0.81499081850051802</v>
      </c>
      <c r="AB1285" t="s">
        <v>10734</v>
      </c>
      <c r="AC1285" t="s">
        <v>4562</v>
      </c>
      <c r="AD1285" t="s">
        <v>10733</v>
      </c>
      <c r="AE1285" t="s">
        <v>4655</v>
      </c>
      <c r="AF1285" t="s">
        <v>4563</v>
      </c>
      <c r="AG1285" t="s">
        <v>4564</v>
      </c>
      <c r="AH1285" t="s">
        <v>5197</v>
      </c>
      <c r="AI1285" t="s">
        <v>10735</v>
      </c>
      <c r="AJ1285" t="s">
        <v>4655</v>
      </c>
      <c r="AK1285" t="s">
        <v>10736</v>
      </c>
      <c r="AL1285" s="13" t="s">
        <v>3424</v>
      </c>
      <c r="AM1285">
        <v>1</v>
      </c>
      <c r="AN1285" s="15" t="s">
        <v>5002</v>
      </c>
    </row>
    <row r="1286" spans="1:40" x14ac:dyDescent="0.3">
      <c r="A1286" s="10" t="str">
        <f>HYPERLINK("http://www.washoecounty.gov/assessor/cama/?parid=016-592-24&amp;CardNumber=1","016-592-24")</f>
        <v>016-592-24</v>
      </c>
      <c r="B1286" t="s">
        <v>4655</v>
      </c>
      <c r="C1286" t="s">
        <v>10737</v>
      </c>
      <c r="D1286" s="1">
        <v>40249</v>
      </c>
      <c r="E1286" s="2">
        <v>270000</v>
      </c>
      <c r="F1286" t="s">
        <v>4567</v>
      </c>
      <c r="G1286" s="17" t="str">
        <f>HYPERLINK("https://www.washoecounty.gov/assessor/cama/?command=sales&amp;parid=01659224","3858968")</f>
        <v>3858968</v>
      </c>
      <c r="H1286" t="s">
        <v>1345</v>
      </c>
      <c r="I1286">
        <v>2006</v>
      </c>
      <c r="J1286">
        <v>2006</v>
      </c>
      <c r="K1286" t="s">
        <v>4554</v>
      </c>
      <c r="L1286" t="s">
        <v>4555</v>
      </c>
      <c r="M1286" s="2">
        <v>1752</v>
      </c>
      <c r="N1286" t="s">
        <v>5280</v>
      </c>
      <c r="O1286">
        <v>2</v>
      </c>
      <c r="P1286">
        <v>3</v>
      </c>
      <c r="Q1286">
        <v>0</v>
      </c>
      <c r="R1286" t="s">
        <v>4557</v>
      </c>
      <c r="S1286" t="s">
        <v>4898</v>
      </c>
      <c r="T1286" t="s">
        <v>2704</v>
      </c>
      <c r="U1286" t="s">
        <v>4655</v>
      </c>
      <c r="V1286" s="2">
        <v>0</v>
      </c>
      <c r="W1286" t="s">
        <v>3201</v>
      </c>
      <c r="X1286" s="2">
        <v>1752</v>
      </c>
      <c r="Y1286">
        <v>20</v>
      </c>
      <c r="Z1286" t="s">
        <v>5508</v>
      </c>
      <c r="AA1286" s="3">
        <v>0.76299357414245605</v>
      </c>
      <c r="AB1286" t="s">
        <v>10738</v>
      </c>
      <c r="AC1286" t="s">
        <v>4575</v>
      </c>
      <c r="AD1286" t="s">
        <v>10737</v>
      </c>
      <c r="AE1286" t="s">
        <v>4655</v>
      </c>
      <c r="AF1286" t="s">
        <v>4563</v>
      </c>
      <c r="AG1286" t="s">
        <v>4564</v>
      </c>
      <c r="AH1286" t="s">
        <v>5197</v>
      </c>
      <c r="AI1286" t="s">
        <v>10739</v>
      </c>
      <c r="AJ1286" t="s">
        <v>4655</v>
      </c>
      <c r="AK1286" t="s">
        <v>10740</v>
      </c>
      <c r="AL1286" s="13" t="s">
        <v>3424</v>
      </c>
      <c r="AM1286">
        <v>1</v>
      </c>
      <c r="AN1286" s="15" t="s">
        <v>5002</v>
      </c>
    </row>
    <row r="1287" spans="1:40" x14ac:dyDescent="0.3">
      <c r="A1287" s="10" t="str">
        <f>HYPERLINK("http://www.washoecounty.gov/assessor/cama/?parid=016-601-07&amp;CardNumber=1","016-601-07")</f>
        <v>016-601-07</v>
      </c>
      <c r="B1287" t="s">
        <v>4655</v>
      </c>
      <c r="C1287" t="s">
        <v>10741</v>
      </c>
      <c r="D1287" s="1">
        <v>40325</v>
      </c>
      <c r="E1287" s="2">
        <v>235000</v>
      </c>
      <c r="F1287" t="s">
        <v>4567</v>
      </c>
      <c r="G1287" s="17" t="str">
        <f>HYPERLINK("https://www.washoecounty.gov/assessor/cama/?command=sales&amp;parid=01660107","3885948")</f>
        <v>3885948</v>
      </c>
      <c r="H1287" t="s">
        <v>2836</v>
      </c>
      <c r="I1287">
        <v>1978</v>
      </c>
      <c r="J1287">
        <v>1978</v>
      </c>
      <c r="K1287" t="s">
        <v>4554</v>
      </c>
      <c r="L1287" t="s">
        <v>4555</v>
      </c>
      <c r="M1287" s="2">
        <v>1650</v>
      </c>
      <c r="N1287" t="s">
        <v>4048</v>
      </c>
      <c r="O1287">
        <v>3</v>
      </c>
      <c r="P1287">
        <v>2</v>
      </c>
      <c r="Q1287">
        <v>0</v>
      </c>
      <c r="R1287" t="s">
        <v>4557</v>
      </c>
      <c r="S1287" t="s">
        <v>3148</v>
      </c>
      <c r="T1287" t="s">
        <v>4559</v>
      </c>
      <c r="U1287" t="s">
        <v>4560</v>
      </c>
      <c r="V1287" s="2">
        <v>756</v>
      </c>
      <c r="W1287" t="s">
        <v>4655</v>
      </c>
      <c r="X1287" s="2">
        <v>0</v>
      </c>
      <c r="Y1287">
        <v>20</v>
      </c>
      <c r="Z1287" t="s">
        <v>5508</v>
      </c>
      <c r="AA1287" s="3">
        <v>0.53000462055206199</v>
      </c>
      <c r="AB1287" t="s">
        <v>10742</v>
      </c>
      <c r="AC1287" t="s">
        <v>4562</v>
      </c>
      <c r="AD1287" t="s">
        <v>10741</v>
      </c>
      <c r="AE1287" t="s">
        <v>4655</v>
      </c>
      <c r="AF1287" t="s">
        <v>4563</v>
      </c>
      <c r="AG1287" t="s">
        <v>4564</v>
      </c>
      <c r="AH1287" t="s">
        <v>5197</v>
      </c>
      <c r="AI1287" t="s">
        <v>10743</v>
      </c>
      <c r="AJ1287" t="s">
        <v>4655</v>
      </c>
      <c r="AK1287" t="s">
        <v>10744</v>
      </c>
      <c r="AL1287" s="13" t="s">
        <v>3424</v>
      </c>
      <c r="AM1287" s="14">
        <v>1</v>
      </c>
      <c r="AN1287" s="15" t="s">
        <v>5002</v>
      </c>
    </row>
    <row r="1288" spans="1:40" x14ac:dyDescent="0.3">
      <c r="A1288" s="10" t="str">
        <f>HYPERLINK("http://www.washoecounty.gov/assessor/cama/?parid=016-602-08&amp;CardNumber=1","016-602-08")</f>
        <v>016-602-08</v>
      </c>
      <c r="B1288" t="s">
        <v>4655</v>
      </c>
      <c r="C1288" t="s">
        <v>10745</v>
      </c>
      <c r="D1288" s="1">
        <v>40409</v>
      </c>
      <c r="E1288" s="2">
        <v>246500</v>
      </c>
      <c r="F1288" t="s">
        <v>4567</v>
      </c>
      <c r="G1288" s="17" t="str">
        <f>HYPERLINK("https://www.washoecounty.gov/assessor/cama/?command=sales&amp;parid=01660208","3913572")</f>
        <v>3913572</v>
      </c>
      <c r="H1288" t="s">
        <v>2836</v>
      </c>
      <c r="I1288">
        <v>1977</v>
      </c>
      <c r="J1288">
        <v>1977</v>
      </c>
      <c r="K1288" t="s">
        <v>4554</v>
      </c>
      <c r="L1288" t="s">
        <v>4555</v>
      </c>
      <c r="M1288" s="2">
        <v>1869</v>
      </c>
      <c r="N1288" t="s">
        <v>4048</v>
      </c>
      <c r="O1288">
        <v>3</v>
      </c>
      <c r="P1288">
        <v>2</v>
      </c>
      <c r="Q1288">
        <v>0</v>
      </c>
      <c r="R1288" t="s">
        <v>4557</v>
      </c>
      <c r="S1288" t="s">
        <v>3148</v>
      </c>
      <c r="T1288" t="s">
        <v>4559</v>
      </c>
      <c r="U1288" t="s">
        <v>4560</v>
      </c>
      <c r="V1288" s="2">
        <v>760</v>
      </c>
      <c r="W1288" t="s">
        <v>4655</v>
      </c>
      <c r="X1288" s="2">
        <v>0</v>
      </c>
      <c r="Y1288">
        <v>20</v>
      </c>
      <c r="Z1288" t="s">
        <v>5508</v>
      </c>
      <c r="AA1288" s="3">
        <v>0.50500458478927601</v>
      </c>
      <c r="AB1288" t="s">
        <v>10746</v>
      </c>
      <c r="AC1288" t="s">
        <v>4562</v>
      </c>
      <c r="AD1288" t="s">
        <v>10747</v>
      </c>
      <c r="AE1288" t="s">
        <v>4655</v>
      </c>
      <c r="AF1288" t="s">
        <v>4563</v>
      </c>
      <c r="AG1288" t="s">
        <v>4564</v>
      </c>
      <c r="AH1288" t="s">
        <v>5197</v>
      </c>
      <c r="AI1288" t="s">
        <v>10748</v>
      </c>
      <c r="AJ1288" t="s">
        <v>4655</v>
      </c>
      <c r="AK1288" t="s">
        <v>10749</v>
      </c>
      <c r="AL1288" s="13" t="s">
        <v>3424</v>
      </c>
      <c r="AM1288">
        <v>1</v>
      </c>
      <c r="AN1288" s="15" t="s">
        <v>5002</v>
      </c>
    </row>
    <row r="1289" spans="1:40" x14ac:dyDescent="0.3">
      <c r="A1289" s="10" t="str">
        <f>HYPERLINK("http://www.washoecounty.gov/assessor/cama/?parid=016-871-06&amp;CardNumber=1","016-871-06")</f>
        <v>016-871-06</v>
      </c>
      <c r="B1289" t="s">
        <v>4655</v>
      </c>
      <c r="C1289" t="s">
        <v>10750</v>
      </c>
      <c r="D1289" s="1">
        <v>40357</v>
      </c>
      <c r="E1289" s="2">
        <v>595000</v>
      </c>
      <c r="F1289" t="s">
        <v>4567</v>
      </c>
      <c r="G1289" s="17" t="str">
        <f>HYPERLINK("https://www.washoecounty.gov/assessor/cama/?command=sales&amp;parid=01687106","3896092")</f>
        <v>3896092</v>
      </c>
      <c r="H1289" t="s">
        <v>627</v>
      </c>
      <c r="I1289">
        <v>1995</v>
      </c>
      <c r="J1289">
        <v>1996</v>
      </c>
      <c r="K1289" t="s">
        <v>4554</v>
      </c>
      <c r="L1289" t="s">
        <v>3974</v>
      </c>
      <c r="M1289" s="2">
        <v>3378</v>
      </c>
      <c r="N1289" t="s">
        <v>3147</v>
      </c>
      <c r="O1289">
        <v>4</v>
      </c>
      <c r="P1289">
        <v>4</v>
      </c>
      <c r="Q1289">
        <v>0</v>
      </c>
      <c r="R1289" t="s">
        <v>5281</v>
      </c>
      <c r="S1289" t="s">
        <v>4898</v>
      </c>
      <c r="T1289" t="s">
        <v>2704</v>
      </c>
      <c r="U1289" t="s">
        <v>162</v>
      </c>
      <c r="V1289" s="2">
        <v>1458</v>
      </c>
      <c r="W1289" t="s">
        <v>4655</v>
      </c>
      <c r="X1289" s="2">
        <v>0</v>
      </c>
      <c r="Y1289">
        <v>20</v>
      </c>
      <c r="Z1289" t="s">
        <v>5508</v>
      </c>
      <c r="AA1289" s="3">
        <v>0.47899448871612499</v>
      </c>
      <c r="AB1289" t="s">
        <v>10751</v>
      </c>
      <c r="AC1289" t="s">
        <v>4562</v>
      </c>
      <c r="AD1289" t="s">
        <v>10750</v>
      </c>
      <c r="AE1289" t="s">
        <v>4655</v>
      </c>
      <c r="AF1289" t="s">
        <v>4563</v>
      </c>
      <c r="AG1289" t="s">
        <v>4564</v>
      </c>
      <c r="AH1289" t="s">
        <v>5197</v>
      </c>
      <c r="AI1289" t="s">
        <v>10752</v>
      </c>
      <c r="AJ1289" t="s">
        <v>628</v>
      </c>
      <c r="AK1289" t="s">
        <v>10753</v>
      </c>
      <c r="AL1289" s="13" t="s">
        <v>3424</v>
      </c>
      <c r="AM1289">
        <v>1</v>
      </c>
      <c r="AN1289" s="15" t="s">
        <v>3270</v>
      </c>
    </row>
    <row r="1290" spans="1:40" x14ac:dyDescent="0.3">
      <c r="A1290" s="10" t="str">
        <f>HYPERLINK("http://www.washoecounty.gov/assessor/cama/?parid=017-043-01&amp;CardNumber=1","017-043-01")</f>
        <v>017-043-01</v>
      </c>
      <c r="B1290" t="s">
        <v>4655</v>
      </c>
      <c r="C1290" t="s">
        <v>10754</v>
      </c>
      <c r="D1290" s="1">
        <v>40221</v>
      </c>
      <c r="E1290" s="2">
        <v>246000</v>
      </c>
      <c r="F1290" t="s">
        <v>4567</v>
      </c>
      <c r="G1290" s="17" t="str">
        <f>HYPERLINK("https://www.washoecounty.gov/assessor/cama/?command=sales&amp;parid=01704301","3848992")</f>
        <v>3848992</v>
      </c>
      <c r="H1290" t="s">
        <v>10755</v>
      </c>
      <c r="I1290">
        <v>1995</v>
      </c>
      <c r="J1290">
        <v>1995</v>
      </c>
      <c r="K1290" t="s">
        <v>4554</v>
      </c>
      <c r="L1290" t="s">
        <v>3974</v>
      </c>
      <c r="M1290" s="2">
        <v>2375</v>
      </c>
      <c r="N1290" t="s">
        <v>5280</v>
      </c>
      <c r="O1290">
        <v>3</v>
      </c>
      <c r="P1290">
        <v>2</v>
      </c>
      <c r="Q1290">
        <v>1</v>
      </c>
      <c r="R1290" t="s">
        <v>4557</v>
      </c>
      <c r="S1290" t="s">
        <v>4558</v>
      </c>
      <c r="T1290" t="s">
        <v>4559</v>
      </c>
      <c r="U1290" t="s">
        <v>4560</v>
      </c>
      <c r="V1290" s="2">
        <v>468</v>
      </c>
      <c r="W1290" t="s">
        <v>4655</v>
      </c>
      <c r="X1290" s="2">
        <v>0</v>
      </c>
      <c r="Y1290">
        <v>20</v>
      </c>
      <c r="Z1290" t="s">
        <v>5508</v>
      </c>
      <c r="AA1290" s="3">
        <v>0.34400826692581199</v>
      </c>
      <c r="AB1290" t="s">
        <v>10756</v>
      </c>
      <c r="AC1290" t="s">
        <v>4562</v>
      </c>
      <c r="AD1290" t="s">
        <v>10754</v>
      </c>
      <c r="AE1290" t="s">
        <v>4655</v>
      </c>
      <c r="AF1290" t="s">
        <v>4563</v>
      </c>
      <c r="AG1290" t="s">
        <v>4564</v>
      </c>
      <c r="AH1290" t="s">
        <v>5197</v>
      </c>
      <c r="AI1290" t="s">
        <v>10757</v>
      </c>
      <c r="AJ1290" t="s">
        <v>1804</v>
      </c>
      <c r="AK1290" t="s">
        <v>10758</v>
      </c>
      <c r="AL1290" s="13" t="s">
        <v>3424</v>
      </c>
      <c r="AM1290" s="14">
        <v>1</v>
      </c>
      <c r="AN1290" s="15" t="s">
        <v>4061</v>
      </c>
    </row>
    <row r="1291" spans="1:40" x14ac:dyDescent="0.3">
      <c r="A1291" s="10" t="str">
        <f>HYPERLINK("http://www.washoecounty.gov/assessor/cama/?parid=017-052-01&amp;CardNumber=1","017-052-01")</f>
        <v>017-052-01</v>
      </c>
      <c r="B1291" t="s">
        <v>5502</v>
      </c>
      <c r="C1291" t="s">
        <v>10759</v>
      </c>
      <c r="D1291" s="1">
        <v>40298</v>
      </c>
      <c r="E1291" s="2">
        <v>162000</v>
      </c>
      <c r="F1291" t="s">
        <v>3528</v>
      </c>
      <c r="G1291" s="17" t="str">
        <f>HYPERLINK("https://www.washoecounty.gov/assessor/cama/?command=sales&amp;parid=01705201","3876800")</f>
        <v>3876800</v>
      </c>
      <c r="H1291" t="s">
        <v>4736</v>
      </c>
      <c r="I1291">
        <v>1960</v>
      </c>
      <c r="J1291">
        <v>1960</v>
      </c>
      <c r="K1291" t="s">
        <v>4554</v>
      </c>
      <c r="L1291" t="s">
        <v>4555</v>
      </c>
      <c r="M1291" s="2">
        <v>768</v>
      </c>
      <c r="N1291" t="s">
        <v>4556</v>
      </c>
      <c r="O1291">
        <v>2</v>
      </c>
      <c r="P1291">
        <v>1</v>
      </c>
      <c r="Q1291">
        <v>1</v>
      </c>
      <c r="R1291" t="s">
        <v>4676</v>
      </c>
      <c r="S1291" t="s">
        <v>4558</v>
      </c>
      <c r="T1291" t="s">
        <v>4559</v>
      </c>
      <c r="U1291" t="s">
        <v>4560</v>
      </c>
      <c r="V1291" s="2">
        <v>351</v>
      </c>
      <c r="W1291" t="s">
        <v>4655</v>
      </c>
      <c r="X1291" s="2">
        <v>0</v>
      </c>
      <c r="Y1291">
        <v>31</v>
      </c>
      <c r="Z1291" t="s">
        <v>5508</v>
      </c>
      <c r="AA1291" s="3">
        <v>3.70000004768371</v>
      </c>
      <c r="AB1291" t="s">
        <v>2854</v>
      </c>
      <c r="AC1291" t="s">
        <v>4575</v>
      </c>
      <c r="AD1291" t="s">
        <v>4678</v>
      </c>
      <c r="AE1291" t="s">
        <v>4655</v>
      </c>
      <c r="AF1291" t="s">
        <v>4563</v>
      </c>
      <c r="AG1291" t="s">
        <v>4564</v>
      </c>
      <c r="AH1291" t="s">
        <v>1147</v>
      </c>
      <c r="AI1291" t="s">
        <v>10760</v>
      </c>
      <c r="AJ1291" t="s">
        <v>4655</v>
      </c>
      <c r="AK1291" t="s">
        <v>10732</v>
      </c>
      <c r="AL1291" s="13" t="s">
        <v>3424</v>
      </c>
      <c r="AM1291">
        <v>2</v>
      </c>
      <c r="AN1291" s="15" t="s">
        <v>4063</v>
      </c>
    </row>
    <row r="1292" spans="1:40" x14ac:dyDescent="0.3">
      <c r="A1292" s="10" t="str">
        <f>HYPERLINK("http://www.washoecounty.gov/assessor/cama/?parid=017-055-31&amp;CardNumber=1","017-055-31")</f>
        <v>017-055-31</v>
      </c>
      <c r="B1292" t="s">
        <v>4655</v>
      </c>
      <c r="C1292" t="s">
        <v>10761</v>
      </c>
      <c r="D1292" s="1">
        <v>40283</v>
      </c>
      <c r="E1292" s="2">
        <v>400000</v>
      </c>
      <c r="F1292" t="s">
        <v>4201</v>
      </c>
      <c r="G1292" s="17" t="str">
        <f>HYPERLINK("https://www.washoecounty.gov/assessor/cama/?command=sales&amp;parid=01705531","3871354")</f>
        <v>3871354</v>
      </c>
      <c r="H1292" t="s">
        <v>10762</v>
      </c>
      <c r="I1292">
        <v>1975</v>
      </c>
      <c r="J1292">
        <v>1980</v>
      </c>
      <c r="K1292" t="s">
        <v>1375</v>
      </c>
      <c r="L1292" t="s">
        <v>1366</v>
      </c>
      <c r="M1292" s="2">
        <v>11336</v>
      </c>
      <c r="N1292" t="s">
        <v>1367</v>
      </c>
      <c r="O1292">
        <v>0</v>
      </c>
      <c r="P1292">
        <v>0</v>
      </c>
      <c r="Q1292">
        <v>0</v>
      </c>
      <c r="R1292" t="s">
        <v>1368</v>
      </c>
      <c r="S1292" t="s">
        <v>4856</v>
      </c>
      <c r="T1292" t="s">
        <v>4655</v>
      </c>
      <c r="U1292" t="s">
        <v>4655</v>
      </c>
      <c r="V1292" s="2">
        <v>0</v>
      </c>
      <c r="W1292" t="s">
        <v>4655</v>
      </c>
      <c r="X1292" s="2">
        <v>0</v>
      </c>
      <c r="Y1292">
        <v>40</v>
      </c>
      <c r="Z1292" t="s">
        <v>3889</v>
      </c>
      <c r="AA1292" s="3">
        <v>1.7957299947738647</v>
      </c>
      <c r="AB1292" t="s">
        <v>10763</v>
      </c>
      <c r="AC1292" t="s">
        <v>4562</v>
      </c>
      <c r="AD1292" t="s">
        <v>10764</v>
      </c>
      <c r="AE1292" t="s">
        <v>4655</v>
      </c>
      <c r="AF1292" t="s">
        <v>4563</v>
      </c>
      <c r="AG1292" t="s">
        <v>4564</v>
      </c>
      <c r="AH1292">
        <v>89511</v>
      </c>
      <c r="AI1292" t="s">
        <v>4655</v>
      </c>
      <c r="AJ1292" t="s">
        <v>10765</v>
      </c>
      <c r="AK1292" t="s">
        <v>10766</v>
      </c>
      <c r="AL1292" s="13" t="s">
        <v>3424</v>
      </c>
      <c r="AM1292">
        <v>1</v>
      </c>
      <c r="AN1292" s="15" t="s">
        <v>10767</v>
      </c>
    </row>
    <row r="1293" spans="1:40" x14ac:dyDescent="0.3">
      <c r="A1293" s="10" t="str">
        <f>HYPERLINK("http://www.washoecounty.gov/assessor/cama/?parid=017-071-18&amp;CardNumber=1","017-071-18")</f>
        <v>017-071-18</v>
      </c>
      <c r="B1293" t="s">
        <v>4655</v>
      </c>
      <c r="C1293" t="s">
        <v>10768</v>
      </c>
      <c r="D1293" s="1">
        <v>40336</v>
      </c>
      <c r="E1293" s="2">
        <v>128300</v>
      </c>
      <c r="F1293" t="s">
        <v>4567</v>
      </c>
      <c r="G1293" s="17" t="str">
        <f>HYPERLINK("https://www.washoecounty.gov/assessor/cama/?command=sales&amp;parid=01707118","3888794")</f>
        <v>3888794</v>
      </c>
      <c r="H1293" t="s">
        <v>3471</v>
      </c>
      <c r="I1293">
        <v>1958</v>
      </c>
      <c r="J1293">
        <v>1958</v>
      </c>
      <c r="K1293" t="s">
        <v>4554</v>
      </c>
      <c r="L1293" t="s">
        <v>4555</v>
      </c>
      <c r="M1293" s="2">
        <v>864</v>
      </c>
      <c r="N1293" t="s">
        <v>4133</v>
      </c>
      <c r="O1293">
        <v>2</v>
      </c>
      <c r="P1293">
        <v>1</v>
      </c>
      <c r="Q1293">
        <v>0</v>
      </c>
      <c r="R1293" t="s">
        <v>4134</v>
      </c>
      <c r="S1293" t="s">
        <v>4898</v>
      </c>
      <c r="T1293" t="s">
        <v>4559</v>
      </c>
      <c r="U1293" t="s">
        <v>4560</v>
      </c>
      <c r="V1293" s="2">
        <v>610</v>
      </c>
      <c r="W1293" t="s">
        <v>4655</v>
      </c>
      <c r="X1293" s="2">
        <v>0</v>
      </c>
      <c r="Y1293">
        <v>20</v>
      </c>
      <c r="Z1293" t="s">
        <v>5508</v>
      </c>
      <c r="AA1293" s="3">
        <v>0.5</v>
      </c>
      <c r="AB1293" t="s">
        <v>10769</v>
      </c>
      <c r="AC1293" t="s">
        <v>4575</v>
      </c>
      <c r="AD1293" t="s">
        <v>10768</v>
      </c>
      <c r="AE1293" t="s">
        <v>4655</v>
      </c>
      <c r="AF1293" t="s">
        <v>4563</v>
      </c>
      <c r="AG1293" t="s">
        <v>4564</v>
      </c>
      <c r="AH1293" t="s">
        <v>5197</v>
      </c>
      <c r="AI1293" t="s">
        <v>10770</v>
      </c>
      <c r="AJ1293" t="s">
        <v>4655</v>
      </c>
      <c r="AK1293" t="s">
        <v>4062</v>
      </c>
      <c r="AL1293" s="13" t="s">
        <v>3424</v>
      </c>
      <c r="AM1293" s="14">
        <v>1</v>
      </c>
      <c r="AN1293" s="15" t="s">
        <v>4063</v>
      </c>
    </row>
    <row r="1294" spans="1:40" x14ac:dyDescent="0.3">
      <c r="A1294" s="10" t="str">
        <f>HYPERLINK("http://www.washoecounty.gov/assessor/cama/?parid=017-072-06&amp;CardNumber=1","017-072-06")</f>
        <v>017-072-06</v>
      </c>
      <c r="B1294" t="s">
        <v>4655</v>
      </c>
      <c r="C1294" t="s">
        <v>10771</v>
      </c>
      <c r="D1294" s="1">
        <v>40207</v>
      </c>
      <c r="E1294" s="2">
        <v>230000</v>
      </c>
      <c r="F1294" t="s">
        <v>4567</v>
      </c>
      <c r="G1294" s="17" t="str">
        <f>HYPERLINK("https://www.washoecounty.gov/assessor/cama/?command=sales&amp;parid=01707206","3844342")</f>
        <v>3844342</v>
      </c>
      <c r="H1294" t="s">
        <v>4655</v>
      </c>
      <c r="I1294">
        <v>1956</v>
      </c>
      <c r="J1294">
        <v>1956</v>
      </c>
      <c r="K1294" t="s">
        <v>4554</v>
      </c>
      <c r="L1294" t="s">
        <v>4555</v>
      </c>
      <c r="M1294" s="2">
        <v>1560</v>
      </c>
      <c r="N1294" t="s">
        <v>4556</v>
      </c>
      <c r="O1294">
        <v>2</v>
      </c>
      <c r="P1294">
        <v>1</v>
      </c>
      <c r="Q1294">
        <v>0</v>
      </c>
      <c r="R1294" t="s">
        <v>4557</v>
      </c>
      <c r="S1294" t="s">
        <v>364</v>
      </c>
      <c r="T1294" t="s">
        <v>4559</v>
      </c>
      <c r="U1294" t="s">
        <v>4560</v>
      </c>
      <c r="V1294" s="2">
        <v>672</v>
      </c>
      <c r="W1294" t="s">
        <v>4655</v>
      </c>
      <c r="X1294" s="2">
        <v>0</v>
      </c>
      <c r="Y1294">
        <v>20</v>
      </c>
      <c r="Z1294" t="s">
        <v>5508</v>
      </c>
      <c r="AA1294" s="3">
        <v>1.219995379447937</v>
      </c>
      <c r="AB1294" t="s">
        <v>10772</v>
      </c>
      <c r="AC1294" t="s">
        <v>4562</v>
      </c>
      <c r="AD1294" t="s">
        <v>10771</v>
      </c>
      <c r="AE1294" t="s">
        <v>4655</v>
      </c>
      <c r="AF1294" t="s">
        <v>4563</v>
      </c>
      <c r="AG1294" t="s">
        <v>4564</v>
      </c>
      <c r="AH1294">
        <v>89512</v>
      </c>
      <c r="AI1294" t="s">
        <v>10773</v>
      </c>
      <c r="AJ1294" t="s">
        <v>4655</v>
      </c>
      <c r="AK1294" t="s">
        <v>4062</v>
      </c>
      <c r="AL1294" s="13" t="s">
        <v>3424</v>
      </c>
      <c r="AM1294" s="14">
        <v>1</v>
      </c>
      <c r="AN1294" s="15" t="s">
        <v>4063</v>
      </c>
    </row>
    <row r="1295" spans="1:40" x14ac:dyDescent="0.3">
      <c r="A1295" s="10" t="str">
        <f>HYPERLINK("http://www.washoecounty.gov/assessor/cama/?parid=017-073-10&amp;CardNumber=1","017-073-10")</f>
        <v>017-073-10</v>
      </c>
      <c r="B1295" t="s">
        <v>4655</v>
      </c>
      <c r="C1295" t="s">
        <v>10774</v>
      </c>
      <c r="D1295" s="1">
        <v>40513</v>
      </c>
      <c r="E1295" s="2">
        <v>92000</v>
      </c>
      <c r="F1295" t="s">
        <v>4567</v>
      </c>
      <c r="G1295" s="17" t="str">
        <f>HYPERLINK("https://www.washoecounty.gov/assessor/cama/?command=sales&amp;parid=01707310","3948533")</f>
        <v>3948533</v>
      </c>
      <c r="H1295" t="s">
        <v>10775</v>
      </c>
      <c r="I1295">
        <v>1978</v>
      </c>
      <c r="J1295">
        <v>1978</v>
      </c>
      <c r="K1295" t="s">
        <v>4847</v>
      </c>
      <c r="L1295" t="s">
        <v>4555</v>
      </c>
      <c r="M1295" s="2">
        <v>1440</v>
      </c>
      <c r="N1295" t="s">
        <v>4133</v>
      </c>
      <c r="O1295">
        <v>3</v>
      </c>
      <c r="P1295">
        <v>2</v>
      </c>
      <c r="Q1295">
        <v>0</v>
      </c>
      <c r="R1295" t="s">
        <v>4557</v>
      </c>
      <c r="S1295" t="s">
        <v>4135</v>
      </c>
      <c r="T1295" t="s">
        <v>4559</v>
      </c>
      <c r="U1295" t="s">
        <v>4655</v>
      </c>
      <c r="V1295" s="2">
        <v>0</v>
      </c>
      <c r="W1295" t="s">
        <v>4655</v>
      </c>
      <c r="X1295" s="2">
        <v>0</v>
      </c>
      <c r="Y1295">
        <v>22</v>
      </c>
      <c r="Z1295" t="s">
        <v>5508</v>
      </c>
      <c r="AA1295" s="3">
        <v>1</v>
      </c>
      <c r="AB1295" t="s">
        <v>10776</v>
      </c>
      <c r="AC1295" t="s">
        <v>4562</v>
      </c>
      <c r="AD1295" t="s">
        <v>10774</v>
      </c>
      <c r="AE1295" t="s">
        <v>4655</v>
      </c>
      <c r="AF1295" t="s">
        <v>4563</v>
      </c>
      <c r="AG1295" t="s">
        <v>4564</v>
      </c>
      <c r="AH1295" t="s">
        <v>5197</v>
      </c>
      <c r="AI1295" t="s">
        <v>10777</v>
      </c>
      <c r="AJ1295" t="s">
        <v>4655</v>
      </c>
      <c r="AK1295" t="s">
        <v>10778</v>
      </c>
      <c r="AL1295" s="13" t="s">
        <v>3424</v>
      </c>
      <c r="AM1295">
        <v>1</v>
      </c>
      <c r="AN1295" s="15" t="s">
        <v>4063</v>
      </c>
    </row>
    <row r="1296" spans="1:40" x14ac:dyDescent="0.3">
      <c r="A1296" s="10" t="str">
        <f>HYPERLINK("http://www.washoecounty.gov/assessor/cama/?parid=017-110-09&amp;CardNumber=1","017-110-09")</f>
        <v>017-110-09</v>
      </c>
      <c r="B1296" t="s">
        <v>4655</v>
      </c>
      <c r="C1296" t="s">
        <v>10779</v>
      </c>
      <c r="D1296" s="1">
        <v>40186</v>
      </c>
      <c r="E1296" s="2">
        <v>300000</v>
      </c>
      <c r="F1296" t="s">
        <v>4553</v>
      </c>
      <c r="G1296" s="17" t="str">
        <f>HYPERLINK("https://www.washoecounty.gov/assessor/cama/?command=sales&amp;parid=01711009","3837595")</f>
        <v>3837595</v>
      </c>
      <c r="H1296" t="s">
        <v>4064</v>
      </c>
      <c r="I1296">
        <v>2009</v>
      </c>
      <c r="J1296">
        <v>2009</v>
      </c>
      <c r="K1296" t="s">
        <v>4554</v>
      </c>
      <c r="L1296" t="s">
        <v>4555</v>
      </c>
      <c r="M1296" s="2">
        <v>1544</v>
      </c>
      <c r="N1296" t="s">
        <v>4048</v>
      </c>
      <c r="O1296">
        <v>3</v>
      </c>
      <c r="P1296">
        <v>2</v>
      </c>
      <c r="Q1296">
        <v>0</v>
      </c>
      <c r="R1296" t="s">
        <v>5281</v>
      </c>
      <c r="S1296" t="s">
        <v>4558</v>
      </c>
      <c r="T1296" t="s">
        <v>4559</v>
      </c>
      <c r="U1296" t="s">
        <v>4560</v>
      </c>
      <c r="V1296" s="2">
        <v>460</v>
      </c>
      <c r="W1296" t="s">
        <v>4655</v>
      </c>
      <c r="X1296" s="2">
        <v>0</v>
      </c>
      <c r="Y1296">
        <v>20</v>
      </c>
      <c r="Z1296" t="s">
        <v>5508</v>
      </c>
      <c r="AA1296" s="3">
        <v>0.54400825500488204</v>
      </c>
      <c r="AB1296" t="s">
        <v>10780</v>
      </c>
      <c r="AC1296" t="s">
        <v>4562</v>
      </c>
      <c r="AD1296" t="s">
        <v>10779</v>
      </c>
      <c r="AE1296" t="s">
        <v>4655</v>
      </c>
      <c r="AF1296" t="s">
        <v>4563</v>
      </c>
      <c r="AG1296" t="s">
        <v>4564</v>
      </c>
      <c r="AH1296" t="s">
        <v>5197</v>
      </c>
      <c r="AI1296" t="s">
        <v>10781</v>
      </c>
      <c r="AJ1296" t="s">
        <v>4655</v>
      </c>
      <c r="AK1296" t="s">
        <v>3581</v>
      </c>
      <c r="AL1296" s="13" t="s">
        <v>3424</v>
      </c>
      <c r="AM1296" s="14">
        <v>1</v>
      </c>
      <c r="AN1296" s="15" t="s">
        <v>4063</v>
      </c>
    </row>
    <row r="1297" spans="1:40" x14ac:dyDescent="0.3">
      <c r="A1297" s="10" t="str">
        <f>HYPERLINK("http://www.washoecounty.gov/assessor/cama/?parid=017-110-55&amp;CardNumber=1","017-110-55")</f>
        <v>017-110-55</v>
      </c>
      <c r="B1297" t="s">
        <v>4655</v>
      </c>
      <c r="C1297" t="s">
        <v>10782</v>
      </c>
      <c r="D1297" s="1">
        <v>40399</v>
      </c>
      <c r="E1297" s="2">
        <v>260000</v>
      </c>
      <c r="F1297" t="s">
        <v>4567</v>
      </c>
      <c r="G1297" s="17" t="str">
        <f>HYPERLINK("https://www.washoecounty.gov/assessor/cama/?command=sales&amp;parid=01711055","3910008")</f>
        <v>3910008</v>
      </c>
      <c r="H1297" t="s">
        <v>10783</v>
      </c>
      <c r="I1297">
        <v>1963</v>
      </c>
      <c r="J1297">
        <v>1966</v>
      </c>
      <c r="K1297" t="s">
        <v>4554</v>
      </c>
      <c r="L1297" t="s">
        <v>4555</v>
      </c>
      <c r="M1297" s="2">
        <v>1562</v>
      </c>
      <c r="N1297" t="s">
        <v>4556</v>
      </c>
      <c r="O1297">
        <v>4</v>
      </c>
      <c r="P1297">
        <v>1</v>
      </c>
      <c r="Q1297">
        <v>0</v>
      </c>
      <c r="R1297" t="s">
        <v>4134</v>
      </c>
      <c r="S1297" t="s">
        <v>4898</v>
      </c>
      <c r="T1297" t="s">
        <v>4559</v>
      </c>
      <c r="U1297" t="s">
        <v>4655</v>
      </c>
      <c r="V1297" s="2">
        <v>0</v>
      </c>
      <c r="W1297" t="s">
        <v>4655</v>
      </c>
      <c r="X1297" s="2">
        <v>0</v>
      </c>
      <c r="Y1297">
        <v>20</v>
      </c>
      <c r="Z1297" t="s">
        <v>5508</v>
      </c>
      <c r="AA1297" s="3">
        <v>3</v>
      </c>
      <c r="AB1297" t="s">
        <v>10784</v>
      </c>
      <c r="AC1297" t="s">
        <v>4562</v>
      </c>
      <c r="AD1297" t="s">
        <v>10782</v>
      </c>
      <c r="AE1297" t="s">
        <v>4655</v>
      </c>
      <c r="AF1297" t="s">
        <v>4563</v>
      </c>
      <c r="AG1297" t="s">
        <v>4564</v>
      </c>
      <c r="AH1297" t="s">
        <v>5197</v>
      </c>
      <c r="AI1297" t="s">
        <v>4655</v>
      </c>
      <c r="AJ1297" t="s">
        <v>4655</v>
      </c>
      <c r="AK1297" t="s">
        <v>10785</v>
      </c>
      <c r="AL1297" s="13" t="s">
        <v>3424</v>
      </c>
      <c r="AM1297">
        <v>1</v>
      </c>
      <c r="AN1297" s="15" t="s">
        <v>4063</v>
      </c>
    </row>
    <row r="1298" spans="1:40" x14ac:dyDescent="0.3">
      <c r="A1298" s="10" t="str">
        <f>HYPERLINK("http://www.washoecounty.gov/assessor/cama/?parid=017-110-63&amp;CardNumber=1","017-110-63")</f>
        <v>017-110-63</v>
      </c>
      <c r="B1298" t="s">
        <v>4655</v>
      </c>
      <c r="C1298" t="s">
        <v>10786</v>
      </c>
      <c r="D1298" s="1">
        <v>40220</v>
      </c>
      <c r="E1298" s="2">
        <v>220000</v>
      </c>
      <c r="F1298" t="s">
        <v>4567</v>
      </c>
      <c r="G1298" s="17" t="str">
        <f>HYPERLINK("https://www.washoecounty.gov/assessor/cama/?command=sales&amp;parid=01711063","3848212")</f>
        <v>3848212</v>
      </c>
      <c r="H1298" t="s">
        <v>10787</v>
      </c>
      <c r="I1298">
        <v>1978</v>
      </c>
      <c r="J1298">
        <v>1978</v>
      </c>
      <c r="K1298" t="s">
        <v>4554</v>
      </c>
      <c r="L1298" t="s">
        <v>4569</v>
      </c>
      <c r="M1298" s="2">
        <v>974</v>
      </c>
      <c r="N1298" t="s">
        <v>4048</v>
      </c>
      <c r="O1298">
        <v>3</v>
      </c>
      <c r="P1298">
        <v>2</v>
      </c>
      <c r="Q1298">
        <v>0</v>
      </c>
      <c r="R1298" t="s">
        <v>4557</v>
      </c>
      <c r="S1298" t="s">
        <v>4558</v>
      </c>
      <c r="T1298" t="s">
        <v>4559</v>
      </c>
      <c r="U1298" t="s">
        <v>4560</v>
      </c>
      <c r="V1298" s="2">
        <v>576</v>
      </c>
      <c r="W1298" t="s">
        <v>3201</v>
      </c>
      <c r="X1298" s="2">
        <v>911</v>
      </c>
      <c r="Y1298">
        <v>20</v>
      </c>
      <c r="Z1298" t="s">
        <v>5508</v>
      </c>
      <c r="AA1298" s="3">
        <v>0.96499079465866</v>
      </c>
      <c r="AB1298" t="s">
        <v>10788</v>
      </c>
      <c r="AC1298" t="s">
        <v>4562</v>
      </c>
      <c r="AD1298" t="s">
        <v>10786</v>
      </c>
      <c r="AE1298" t="s">
        <v>4655</v>
      </c>
      <c r="AF1298" t="s">
        <v>4563</v>
      </c>
      <c r="AG1298" t="s">
        <v>4564</v>
      </c>
      <c r="AH1298" t="s">
        <v>5197</v>
      </c>
      <c r="AI1298" t="s">
        <v>10789</v>
      </c>
      <c r="AJ1298" t="s">
        <v>4655</v>
      </c>
      <c r="AK1298" t="s">
        <v>10790</v>
      </c>
      <c r="AL1298" s="13" t="s">
        <v>1889</v>
      </c>
      <c r="AM1298">
        <v>1</v>
      </c>
      <c r="AN1298" s="15" t="s">
        <v>4063</v>
      </c>
    </row>
    <row r="1299" spans="1:40" x14ac:dyDescent="0.3">
      <c r="A1299" s="10" t="str">
        <f>HYPERLINK("http://www.washoecounty.gov/assessor/cama/?parid=017-124-13&amp;CardNumber=1","017-124-13")</f>
        <v>017-124-13</v>
      </c>
      <c r="B1299" t="s">
        <v>4655</v>
      </c>
      <c r="C1299" t="s">
        <v>10791</v>
      </c>
      <c r="D1299" s="1">
        <v>40416</v>
      </c>
      <c r="E1299" s="2">
        <v>20000</v>
      </c>
      <c r="F1299" t="s">
        <v>4567</v>
      </c>
      <c r="G1299" s="17" t="str">
        <f>HYPERLINK("https://www.washoecounty.gov/assessor/cama/?command=sales&amp;parid=01712413","3916122")</f>
        <v>3916122</v>
      </c>
      <c r="H1299" t="s">
        <v>4655</v>
      </c>
      <c r="I1299">
        <v>0</v>
      </c>
      <c r="J1299">
        <v>0</v>
      </c>
      <c r="K1299" t="s">
        <v>4655</v>
      </c>
      <c r="L1299" t="s">
        <v>4655</v>
      </c>
      <c r="M1299" s="2">
        <v>0</v>
      </c>
      <c r="N1299" t="s">
        <v>4655</v>
      </c>
      <c r="O1299">
        <v>0</v>
      </c>
      <c r="P1299">
        <v>0</v>
      </c>
      <c r="Q1299">
        <v>0</v>
      </c>
      <c r="R1299" t="s">
        <v>4655</v>
      </c>
      <c r="S1299" t="s">
        <v>4655</v>
      </c>
      <c r="T1299" t="s">
        <v>4655</v>
      </c>
      <c r="U1299" t="s">
        <v>4655</v>
      </c>
      <c r="V1299" s="2">
        <v>0</v>
      </c>
      <c r="W1299" t="s">
        <v>4655</v>
      </c>
      <c r="X1299" s="2">
        <v>0</v>
      </c>
      <c r="Y1299">
        <v>23</v>
      </c>
      <c r="Z1299" t="s">
        <v>5508</v>
      </c>
      <c r="AA1299" s="3">
        <v>0.52008724212646396</v>
      </c>
      <c r="AB1299" t="s">
        <v>10792</v>
      </c>
      <c r="AC1299" t="s">
        <v>4575</v>
      </c>
      <c r="AD1299" t="s">
        <v>10793</v>
      </c>
      <c r="AE1299" t="s">
        <v>10794</v>
      </c>
      <c r="AF1299" t="s">
        <v>4563</v>
      </c>
      <c r="AG1299" t="s">
        <v>4564</v>
      </c>
      <c r="AH1299" t="s">
        <v>5197</v>
      </c>
      <c r="AI1299" t="s">
        <v>10795</v>
      </c>
      <c r="AJ1299" t="s">
        <v>4655</v>
      </c>
      <c r="AK1299" t="s">
        <v>10796</v>
      </c>
      <c r="AL1299" s="13" t="s">
        <v>3424</v>
      </c>
      <c r="AM1299">
        <v>0</v>
      </c>
      <c r="AN1299" s="15" t="s">
        <v>4063</v>
      </c>
    </row>
    <row r="1300" spans="1:40" x14ac:dyDescent="0.3">
      <c r="A1300" s="10" t="str">
        <f>HYPERLINK("http://www.washoecounty.gov/assessor/cama/?parid=017-150-33&amp;CardNumber=1","017-150-33")</f>
        <v>017-150-33</v>
      </c>
      <c r="B1300" t="s">
        <v>4655</v>
      </c>
      <c r="C1300" t="s">
        <v>10797</v>
      </c>
      <c r="D1300" s="1">
        <v>40449</v>
      </c>
      <c r="E1300" s="2">
        <v>245000</v>
      </c>
      <c r="F1300" t="s">
        <v>4567</v>
      </c>
      <c r="G1300" s="17" t="str">
        <f>HYPERLINK("https://www.washoecounty.gov/assessor/cama/?command=sales&amp;parid=01715033","3926965")</f>
        <v>3926965</v>
      </c>
      <c r="H1300" t="s">
        <v>10798</v>
      </c>
      <c r="I1300">
        <v>1981</v>
      </c>
      <c r="J1300">
        <v>1986</v>
      </c>
      <c r="K1300" t="s">
        <v>4554</v>
      </c>
      <c r="L1300" t="s">
        <v>4555</v>
      </c>
      <c r="M1300" s="2">
        <v>1684</v>
      </c>
      <c r="N1300" t="s">
        <v>4556</v>
      </c>
      <c r="O1300">
        <v>3</v>
      </c>
      <c r="P1300">
        <v>2</v>
      </c>
      <c r="Q1300">
        <v>0</v>
      </c>
      <c r="R1300" t="s">
        <v>4557</v>
      </c>
      <c r="S1300" t="s">
        <v>4135</v>
      </c>
      <c r="T1300" t="s">
        <v>4559</v>
      </c>
      <c r="U1300" t="s">
        <v>4560</v>
      </c>
      <c r="V1300" s="2">
        <v>528</v>
      </c>
      <c r="W1300" t="s">
        <v>4655</v>
      </c>
      <c r="X1300" s="2">
        <v>0</v>
      </c>
      <c r="Y1300">
        <v>20</v>
      </c>
      <c r="Z1300" t="s">
        <v>5508</v>
      </c>
      <c r="AA1300" s="3">
        <v>0.98999083042144698</v>
      </c>
      <c r="AB1300" t="s">
        <v>10799</v>
      </c>
      <c r="AC1300" t="s">
        <v>4562</v>
      </c>
      <c r="AD1300" t="s">
        <v>10797</v>
      </c>
      <c r="AE1300" t="s">
        <v>4655</v>
      </c>
      <c r="AF1300" t="s">
        <v>4563</v>
      </c>
      <c r="AG1300" t="s">
        <v>4564</v>
      </c>
      <c r="AH1300" t="s">
        <v>5197</v>
      </c>
      <c r="AI1300" t="s">
        <v>10800</v>
      </c>
      <c r="AJ1300" t="s">
        <v>4655</v>
      </c>
      <c r="AK1300" t="s">
        <v>10801</v>
      </c>
      <c r="AL1300" s="13" t="s">
        <v>3424</v>
      </c>
      <c r="AM1300">
        <v>1</v>
      </c>
      <c r="AN1300" s="15" t="s">
        <v>4063</v>
      </c>
    </row>
    <row r="1301" spans="1:40" x14ac:dyDescent="0.3">
      <c r="A1301" s="10" t="str">
        <f>HYPERLINK("http://www.washoecounty.gov/assessor/cama/?parid=017-150-34&amp;CardNumber=1","017-150-34")</f>
        <v>017-150-34</v>
      </c>
      <c r="B1301" t="s">
        <v>4655</v>
      </c>
      <c r="C1301" t="s">
        <v>10802</v>
      </c>
      <c r="D1301" s="1">
        <v>40347</v>
      </c>
      <c r="E1301" s="2">
        <v>195000</v>
      </c>
      <c r="F1301" t="s">
        <v>4567</v>
      </c>
      <c r="G1301" s="17" t="str">
        <f>HYPERLINK("https://www.washoecounty.gov/assessor/cama/?command=sales&amp;parid=01715034","3893457")</f>
        <v>3893457</v>
      </c>
      <c r="H1301" t="s">
        <v>10798</v>
      </c>
      <c r="I1301">
        <v>1988</v>
      </c>
      <c r="J1301">
        <v>1990</v>
      </c>
      <c r="K1301" t="s">
        <v>4554</v>
      </c>
      <c r="L1301" t="s">
        <v>4555</v>
      </c>
      <c r="M1301" s="2">
        <v>2394</v>
      </c>
      <c r="N1301" t="s">
        <v>4048</v>
      </c>
      <c r="O1301">
        <v>4</v>
      </c>
      <c r="P1301">
        <v>2</v>
      </c>
      <c r="Q1301">
        <v>0</v>
      </c>
      <c r="R1301" t="s">
        <v>4557</v>
      </c>
      <c r="S1301" t="s">
        <v>4558</v>
      </c>
      <c r="T1301" t="s">
        <v>4559</v>
      </c>
      <c r="U1301" t="s">
        <v>4560</v>
      </c>
      <c r="V1301" s="2">
        <v>480</v>
      </c>
      <c r="W1301" t="s">
        <v>4655</v>
      </c>
      <c r="X1301" s="2">
        <v>0</v>
      </c>
      <c r="Y1301">
        <v>20</v>
      </c>
      <c r="Z1301" t="s">
        <v>5508</v>
      </c>
      <c r="AA1301" s="3">
        <v>0.91999542713165283</v>
      </c>
      <c r="AB1301" t="s">
        <v>10803</v>
      </c>
      <c r="AC1301" t="s">
        <v>4575</v>
      </c>
      <c r="AD1301" t="s">
        <v>10802</v>
      </c>
      <c r="AE1301" t="s">
        <v>4655</v>
      </c>
      <c r="AF1301" t="s">
        <v>4563</v>
      </c>
      <c r="AG1301" t="s">
        <v>4564</v>
      </c>
      <c r="AH1301" t="s">
        <v>5197</v>
      </c>
      <c r="AI1301" t="s">
        <v>10804</v>
      </c>
      <c r="AJ1301" t="s">
        <v>4655</v>
      </c>
      <c r="AK1301" t="s">
        <v>10805</v>
      </c>
      <c r="AL1301" s="13" t="s">
        <v>3424</v>
      </c>
      <c r="AM1301" s="14">
        <v>1</v>
      </c>
      <c r="AN1301" s="15" t="s">
        <v>4063</v>
      </c>
    </row>
    <row r="1302" spans="1:40" x14ac:dyDescent="0.3">
      <c r="A1302" s="10" t="str">
        <f>HYPERLINK("http://www.washoecounty.gov/assessor/cama/?parid=017-171-15&amp;CardNumber=1","017-171-15")</f>
        <v>017-171-15</v>
      </c>
      <c r="B1302" t="s">
        <v>4655</v>
      </c>
      <c r="C1302" t="s">
        <v>10806</v>
      </c>
      <c r="D1302" s="1">
        <v>40303</v>
      </c>
      <c r="E1302" s="2">
        <v>69000</v>
      </c>
      <c r="F1302" t="s">
        <v>4567</v>
      </c>
      <c r="G1302" s="17" t="str">
        <f>HYPERLINK("https://www.washoecounty.gov/assessor/cama/?command=sales&amp;parid=01717115","3878154")</f>
        <v>3878154</v>
      </c>
      <c r="H1302" t="s">
        <v>1374</v>
      </c>
      <c r="I1302">
        <v>0</v>
      </c>
      <c r="J1302">
        <v>0</v>
      </c>
      <c r="K1302" t="s">
        <v>4655</v>
      </c>
      <c r="L1302" t="s">
        <v>4655</v>
      </c>
      <c r="M1302" s="2">
        <v>0</v>
      </c>
      <c r="N1302" t="s">
        <v>4655</v>
      </c>
      <c r="O1302">
        <v>0</v>
      </c>
      <c r="P1302">
        <v>0</v>
      </c>
      <c r="Q1302">
        <v>0</v>
      </c>
      <c r="R1302" t="s">
        <v>4655</v>
      </c>
      <c r="S1302" t="s">
        <v>4655</v>
      </c>
      <c r="T1302" t="s">
        <v>4655</v>
      </c>
      <c r="U1302" t="s">
        <v>4655</v>
      </c>
      <c r="V1302" s="2">
        <v>0</v>
      </c>
      <c r="W1302" t="s">
        <v>4655</v>
      </c>
      <c r="X1302" s="2">
        <v>0</v>
      </c>
      <c r="Y1302">
        <v>23</v>
      </c>
      <c r="Z1302" t="s">
        <v>5508</v>
      </c>
      <c r="AA1302" s="3">
        <v>0.5</v>
      </c>
      <c r="AB1302" t="s">
        <v>10807</v>
      </c>
      <c r="AC1302" t="s">
        <v>4562</v>
      </c>
      <c r="AD1302" t="s">
        <v>10808</v>
      </c>
      <c r="AE1302" t="s">
        <v>4655</v>
      </c>
      <c r="AF1302" t="s">
        <v>4563</v>
      </c>
      <c r="AG1302" t="s">
        <v>4564</v>
      </c>
      <c r="AH1302" t="s">
        <v>2330</v>
      </c>
      <c r="AI1302" t="s">
        <v>10809</v>
      </c>
      <c r="AJ1302" t="s">
        <v>4655</v>
      </c>
      <c r="AK1302" t="s">
        <v>2511</v>
      </c>
      <c r="AL1302" s="13" t="s">
        <v>3424</v>
      </c>
      <c r="AM1302">
        <v>0</v>
      </c>
      <c r="AN1302" s="15" t="s">
        <v>4063</v>
      </c>
    </row>
    <row r="1303" spans="1:40" x14ac:dyDescent="0.3">
      <c r="A1303" s="10" t="str">
        <f>HYPERLINK("http://www.washoecounty.gov/assessor/cama/?parid=017-173-02&amp;CardNumber=1","017-173-02")</f>
        <v>017-173-02</v>
      </c>
      <c r="B1303" t="s">
        <v>4655</v>
      </c>
      <c r="C1303" t="s">
        <v>10810</v>
      </c>
      <c r="D1303" s="1">
        <v>40382</v>
      </c>
      <c r="E1303" s="2">
        <v>50000</v>
      </c>
      <c r="F1303" t="s">
        <v>4567</v>
      </c>
      <c r="G1303" s="17" t="str">
        <f>HYPERLINK("https://www.washoecounty.gov/assessor/cama/?command=sales&amp;parid=01717302","3904237")</f>
        <v>3904237</v>
      </c>
      <c r="H1303" t="s">
        <v>4655</v>
      </c>
      <c r="I1303">
        <v>0</v>
      </c>
      <c r="J1303">
        <v>0</v>
      </c>
      <c r="K1303" t="s">
        <v>4655</v>
      </c>
      <c r="L1303" t="s">
        <v>4655</v>
      </c>
      <c r="M1303" s="2">
        <v>0</v>
      </c>
      <c r="N1303" t="s">
        <v>4655</v>
      </c>
      <c r="O1303">
        <v>0</v>
      </c>
      <c r="P1303">
        <v>0</v>
      </c>
      <c r="Q1303">
        <v>0</v>
      </c>
      <c r="R1303" t="s">
        <v>4655</v>
      </c>
      <c r="S1303" t="s">
        <v>4655</v>
      </c>
      <c r="T1303" t="s">
        <v>4655</v>
      </c>
      <c r="U1303" t="s">
        <v>4655</v>
      </c>
      <c r="V1303" s="2">
        <v>0</v>
      </c>
      <c r="W1303" t="s">
        <v>4655</v>
      </c>
      <c r="X1303" s="2">
        <v>0</v>
      </c>
      <c r="Y1303">
        <v>23</v>
      </c>
      <c r="Z1303" t="s">
        <v>4051</v>
      </c>
      <c r="AA1303" s="3">
        <v>0.81999540328979403</v>
      </c>
      <c r="AB1303" t="s">
        <v>10811</v>
      </c>
      <c r="AC1303" t="s">
        <v>4562</v>
      </c>
      <c r="AD1303" t="s">
        <v>10812</v>
      </c>
      <c r="AE1303" t="s">
        <v>4655</v>
      </c>
      <c r="AF1303" t="s">
        <v>10813</v>
      </c>
      <c r="AG1303" t="s">
        <v>2590</v>
      </c>
      <c r="AH1303">
        <v>84074</v>
      </c>
      <c r="AI1303" t="s">
        <v>10814</v>
      </c>
      <c r="AJ1303" t="s">
        <v>4655</v>
      </c>
      <c r="AK1303" t="s">
        <v>10815</v>
      </c>
      <c r="AL1303" s="13" t="s">
        <v>1889</v>
      </c>
      <c r="AM1303" s="14">
        <v>0</v>
      </c>
      <c r="AN1303" s="15" t="s">
        <v>4063</v>
      </c>
    </row>
    <row r="1304" spans="1:40" x14ac:dyDescent="0.3">
      <c r="A1304" s="10" t="str">
        <f>HYPERLINK("http://www.washoecounty.gov/assessor/cama/?parid=017-173-09&amp;CardNumber=1","017-173-09")</f>
        <v>017-173-09</v>
      </c>
      <c r="B1304" t="s">
        <v>4655</v>
      </c>
      <c r="C1304" t="s">
        <v>10816</v>
      </c>
      <c r="D1304" s="1">
        <v>40210</v>
      </c>
      <c r="E1304" s="2">
        <v>80000</v>
      </c>
      <c r="F1304" t="s">
        <v>4553</v>
      </c>
      <c r="G1304" s="17" t="str">
        <f>HYPERLINK("https://www.washoecounty.gov/assessor/cama/?command=sales&amp;parid=01717309","3844930")</f>
        <v>3844930</v>
      </c>
      <c r="H1304" t="s">
        <v>10817</v>
      </c>
      <c r="I1304">
        <v>2001</v>
      </c>
      <c r="J1304">
        <v>2001</v>
      </c>
      <c r="K1304" t="s">
        <v>4847</v>
      </c>
      <c r="L1304" t="s">
        <v>4555</v>
      </c>
      <c r="M1304" s="2">
        <v>2052</v>
      </c>
      <c r="N1304" t="s">
        <v>4048</v>
      </c>
      <c r="O1304">
        <v>4</v>
      </c>
      <c r="P1304">
        <v>2</v>
      </c>
      <c r="Q1304">
        <v>0</v>
      </c>
      <c r="R1304" t="s">
        <v>4557</v>
      </c>
      <c r="S1304" t="s">
        <v>4558</v>
      </c>
      <c r="T1304" t="s">
        <v>4559</v>
      </c>
      <c r="U1304" t="s">
        <v>4655</v>
      </c>
      <c r="V1304" s="2">
        <v>0</v>
      </c>
      <c r="W1304" t="s">
        <v>4655</v>
      </c>
      <c r="X1304" s="2">
        <v>0</v>
      </c>
      <c r="Y1304">
        <v>22</v>
      </c>
      <c r="Z1304" t="s">
        <v>4051</v>
      </c>
      <c r="AA1304" s="3">
        <v>0.5</v>
      </c>
      <c r="AB1304" t="s">
        <v>10818</v>
      </c>
      <c r="AC1304" t="s">
        <v>4562</v>
      </c>
      <c r="AD1304" t="s">
        <v>10819</v>
      </c>
      <c r="AE1304" t="s">
        <v>4655</v>
      </c>
      <c r="AF1304" t="s">
        <v>4563</v>
      </c>
      <c r="AG1304" t="s">
        <v>4564</v>
      </c>
      <c r="AH1304" t="s">
        <v>5197</v>
      </c>
      <c r="AI1304" t="s">
        <v>4848</v>
      </c>
      <c r="AJ1304" t="s">
        <v>4655</v>
      </c>
      <c r="AK1304" t="s">
        <v>10820</v>
      </c>
      <c r="AL1304" s="13" t="s">
        <v>3424</v>
      </c>
      <c r="AM1304">
        <v>1</v>
      </c>
      <c r="AN1304" s="15" t="s">
        <v>4063</v>
      </c>
    </row>
    <row r="1305" spans="1:40" x14ac:dyDescent="0.3">
      <c r="A1305" s="10" t="str">
        <f>HYPERLINK("http://www.washoecounty.gov/assessor/cama/?parid=017-173-13&amp;CardNumber=1","017-173-13")</f>
        <v>017-173-13</v>
      </c>
      <c r="B1305" t="s">
        <v>4655</v>
      </c>
      <c r="C1305" t="s">
        <v>10821</v>
      </c>
      <c r="D1305" s="1">
        <v>40359</v>
      </c>
      <c r="E1305" s="2">
        <v>147000</v>
      </c>
      <c r="F1305" t="s">
        <v>4567</v>
      </c>
      <c r="G1305" s="17" t="str">
        <f>HYPERLINK("https://www.washoecounty.gov/assessor/cama/?command=sales&amp;parid=01717313","3897478")</f>
        <v>3897478</v>
      </c>
      <c r="H1305" t="s">
        <v>5164</v>
      </c>
      <c r="I1305">
        <v>1982</v>
      </c>
      <c r="J1305">
        <v>1982</v>
      </c>
      <c r="K1305" t="s">
        <v>4847</v>
      </c>
      <c r="L1305" t="s">
        <v>4555</v>
      </c>
      <c r="M1305" s="2">
        <v>1056</v>
      </c>
      <c r="N1305" t="s">
        <v>4048</v>
      </c>
      <c r="O1305">
        <v>2</v>
      </c>
      <c r="P1305">
        <v>2</v>
      </c>
      <c r="Q1305">
        <v>0</v>
      </c>
      <c r="R1305" t="s">
        <v>4557</v>
      </c>
      <c r="S1305" t="s">
        <v>4558</v>
      </c>
      <c r="T1305" t="s">
        <v>4559</v>
      </c>
      <c r="U1305" t="s">
        <v>4655</v>
      </c>
      <c r="V1305" s="2">
        <v>0</v>
      </c>
      <c r="W1305" t="s">
        <v>4655</v>
      </c>
      <c r="X1305" s="2">
        <v>0</v>
      </c>
      <c r="Y1305">
        <v>22</v>
      </c>
      <c r="Z1305" t="s">
        <v>4051</v>
      </c>
      <c r="AA1305" s="3">
        <v>1</v>
      </c>
      <c r="AB1305" t="s">
        <v>10822</v>
      </c>
      <c r="AC1305" t="s">
        <v>4575</v>
      </c>
      <c r="AD1305" t="s">
        <v>10823</v>
      </c>
      <c r="AE1305" t="s">
        <v>4655</v>
      </c>
      <c r="AF1305" t="s">
        <v>4563</v>
      </c>
      <c r="AG1305" t="s">
        <v>4564</v>
      </c>
      <c r="AH1305">
        <v>89502</v>
      </c>
      <c r="AI1305" t="s">
        <v>10824</v>
      </c>
      <c r="AJ1305" t="s">
        <v>4655</v>
      </c>
      <c r="AK1305" t="s">
        <v>10825</v>
      </c>
      <c r="AL1305" s="13" t="s">
        <v>1889</v>
      </c>
      <c r="AM1305" s="14">
        <v>1</v>
      </c>
      <c r="AN1305" s="15" t="s">
        <v>4063</v>
      </c>
    </row>
    <row r="1306" spans="1:40" x14ac:dyDescent="0.3">
      <c r="A1306" s="10" t="str">
        <f>HYPERLINK("http://www.washoecounty.gov/assessor/cama/?parid=017-173-14&amp;CardNumber=1","017-173-14")</f>
        <v>017-173-14</v>
      </c>
      <c r="B1306" t="s">
        <v>4655</v>
      </c>
      <c r="C1306" t="s">
        <v>10826</v>
      </c>
      <c r="D1306" s="1">
        <v>40275</v>
      </c>
      <c r="E1306" s="2">
        <v>130000</v>
      </c>
      <c r="F1306" t="s">
        <v>4553</v>
      </c>
      <c r="G1306" s="17" t="str">
        <f>HYPERLINK("https://www.washoecounty.gov/assessor/cama/?command=sales&amp;parid=01717314","3868742")</f>
        <v>3868742</v>
      </c>
      <c r="H1306" t="s">
        <v>10817</v>
      </c>
      <c r="I1306">
        <v>1998</v>
      </c>
      <c r="J1306">
        <v>1998</v>
      </c>
      <c r="K1306" t="s">
        <v>4847</v>
      </c>
      <c r="L1306" t="s">
        <v>4555</v>
      </c>
      <c r="M1306" s="2">
        <v>1782</v>
      </c>
      <c r="N1306" t="s">
        <v>3887</v>
      </c>
      <c r="O1306">
        <v>3</v>
      </c>
      <c r="P1306">
        <v>2</v>
      </c>
      <c r="Q1306">
        <v>0</v>
      </c>
      <c r="R1306" t="s">
        <v>4557</v>
      </c>
      <c r="S1306" t="s">
        <v>4558</v>
      </c>
      <c r="T1306" t="s">
        <v>4559</v>
      </c>
      <c r="U1306" t="s">
        <v>4655</v>
      </c>
      <c r="V1306" s="2">
        <v>0</v>
      </c>
      <c r="W1306" t="s">
        <v>4655</v>
      </c>
      <c r="X1306" s="2">
        <v>0</v>
      </c>
      <c r="Y1306">
        <v>22</v>
      </c>
      <c r="Z1306" t="s">
        <v>5508</v>
      </c>
      <c r="AA1306" s="3">
        <v>1</v>
      </c>
      <c r="AB1306" t="s">
        <v>10827</v>
      </c>
      <c r="AC1306" t="s">
        <v>4562</v>
      </c>
      <c r="AD1306" t="s">
        <v>10828</v>
      </c>
      <c r="AE1306" t="s">
        <v>4655</v>
      </c>
      <c r="AF1306" t="s">
        <v>4563</v>
      </c>
      <c r="AG1306" t="s">
        <v>4564</v>
      </c>
      <c r="AH1306">
        <v>89510</v>
      </c>
      <c r="AI1306" t="s">
        <v>4848</v>
      </c>
      <c r="AJ1306" t="s">
        <v>4655</v>
      </c>
      <c r="AK1306" t="s">
        <v>10820</v>
      </c>
      <c r="AL1306" s="13" t="s">
        <v>1889</v>
      </c>
      <c r="AM1306">
        <v>1</v>
      </c>
      <c r="AN1306" s="15" t="s">
        <v>4063</v>
      </c>
    </row>
    <row r="1307" spans="1:40" x14ac:dyDescent="0.3">
      <c r="A1307" s="10" t="str">
        <f>HYPERLINK("http://www.washoecounty.gov/assessor/cama/?parid=017-211-34&amp;CardNumber=1","017-211-34")</f>
        <v>017-211-34</v>
      </c>
      <c r="B1307" t="s">
        <v>4655</v>
      </c>
      <c r="C1307" t="s">
        <v>10829</v>
      </c>
      <c r="D1307" s="1">
        <v>40457</v>
      </c>
      <c r="E1307" s="2">
        <v>247000</v>
      </c>
      <c r="F1307" t="s">
        <v>4567</v>
      </c>
      <c r="G1307" s="17" t="str">
        <f>HYPERLINK("https://www.washoecounty.gov/assessor/cama/?command=sales&amp;parid=01721134","3930387")</f>
        <v>3930387</v>
      </c>
      <c r="H1307" t="s">
        <v>10830</v>
      </c>
      <c r="I1307">
        <v>1999</v>
      </c>
      <c r="J1307">
        <v>1999</v>
      </c>
      <c r="K1307" t="s">
        <v>4554</v>
      </c>
      <c r="L1307" t="s">
        <v>4555</v>
      </c>
      <c r="M1307" s="2">
        <v>1690</v>
      </c>
      <c r="N1307" t="s">
        <v>4048</v>
      </c>
      <c r="O1307">
        <v>3</v>
      </c>
      <c r="P1307">
        <v>2</v>
      </c>
      <c r="Q1307">
        <v>0</v>
      </c>
      <c r="R1307" t="s">
        <v>5281</v>
      </c>
      <c r="S1307" t="s">
        <v>4135</v>
      </c>
      <c r="T1307" t="s">
        <v>4559</v>
      </c>
      <c r="U1307" t="s">
        <v>4560</v>
      </c>
      <c r="V1307" s="2">
        <v>708</v>
      </c>
      <c r="W1307" t="s">
        <v>4655</v>
      </c>
      <c r="X1307" s="2">
        <v>0</v>
      </c>
      <c r="Y1307">
        <v>20</v>
      </c>
      <c r="Z1307" t="s">
        <v>5508</v>
      </c>
      <c r="AA1307" s="3">
        <v>1</v>
      </c>
      <c r="AB1307" t="s">
        <v>10831</v>
      </c>
      <c r="AC1307" t="s">
        <v>4562</v>
      </c>
      <c r="AD1307" t="s">
        <v>10829</v>
      </c>
      <c r="AE1307" t="s">
        <v>4655</v>
      </c>
      <c r="AF1307" t="s">
        <v>4563</v>
      </c>
      <c r="AG1307" t="s">
        <v>4564</v>
      </c>
      <c r="AH1307" t="s">
        <v>5197</v>
      </c>
      <c r="AI1307" t="s">
        <v>10832</v>
      </c>
      <c r="AJ1307" t="s">
        <v>10833</v>
      </c>
      <c r="AK1307" t="s">
        <v>10834</v>
      </c>
      <c r="AL1307" s="13" t="s">
        <v>3424</v>
      </c>
      <c r="AM1307">
        <v>1</v>
      </c>
      <c r="AN1307" s="15" t="s">
        <v>4063</v>
      </c>
    </row>
    <row r="1308" spans="1:40" x14ac:dyDescent="0.3">
      <c r="A1308" s="10" t="str">
        <f>HYPERLINK("http://www.washoecounty.gov/assessor/cama/?parid=017-211-38&amp;CardNumber=1","017-211-38")</f>
        <v>017-211-38</v>
      </c>
      <c r="B1308" t="s">
        <v>4655</v>
      </c>
      <c r="C1308" t="s">
        <v>10835</v>
      </c>
      <c r="D1308" s="1">
        <v>40491</v>
      </c>
      <c r="E1308" s="2">
        <v>190000</v>
      </c>
      <c r="F1308" t="s">
        <v>4567</v>
      </c>
      <c r="G1308" s="17" t="str">
        <f>HYPERLINK("https://www.washoecounty.gov/assessor/cama/?command=sales&amp;parid=01721138","3941455")</f>
        <v>3941455</v>
      </c>
      <c r="H1308" t="s">
        <v>10836</v>
      </c>
      <c r="I1308">
        <v>2002</v>
      </c>
      <c r="J1308">
        <v>2002</v>
      </c>
      <c r="K1308" t="s">
        <v>4847</v>
      </c>
      <c r="L1308" t="s">
        <v>4555</v>
      </c>
      <c r="M1308" s="2">
        <v>1404</v>
      </c>
      <c r="N1308" t="s">
        <v>3147</v>
      </c>
      <c r="O1308">
        <v>3</v>
      </c>
      <c r="P1308">
        <v>2</v>
      </c>
      <c r="Q1308">
        <v>0</v>
      </c>
      <c r="R1308" t="s">
        <v>5281</v>
      </c>
      <c r="S1308" t="s">
        <v>4558</v>
      </c>
      <c r="T1308" t="s">
        <v>4559</v>
      </c>
      <c r="U1308" t="s">
        <v>4655</v>
      </c>
      <c r="V1308" s="2">
        <v>0</v>
      </c>
      <c r="W1308" t="s">
        <v>4655</v>
      </c>
      <c r="X1308" s="2">
        <v>0</v>
      </c>
      <c r="Y1308">
        <v>22</v>
      </c>
      <c r="Z1308" t="s">
        <v>4051</v>
      </c>
      <c r="AA1308" s="3">
        <v>1.0149679183959901</v>
      </c>
      <c r="AB1308" t="s">
        <v>10837</v>
      </c>
      <c r="AC1308" t="s">
        <v>4562</v>
      </c>
      <c r="AD1308" t="s">
        <v>10835</v>
      </c>
      <c r="AE1308" t="s">
        <v>4655</v>
      </c>
      <c r="AF1308" t="s">
        <v>4563</v>
      </c>
      <c r="AG1308" t="s">
        <v>4564</v>
      </c>
      <c r="AH1308" t="s">
        <v>5197</v>
      </c>
      <c r="AI1308" t="s">
        <v>10838</v>
      </c>
      <c r="AJ1308" t="s">
        <v>4571</v>
      </c>
      <c r="AK1308" t="s">
        <v>10839</v>
      </c>
      <c r="AL1308" s="13" t="s">
        <v>3424</v>
      </c>
      <c r="AM1308" s="14">
        <v>1</v>
      </c>
      <c r="AN1308" s="15" t="s">
        <v>4063</v>
      </c>
    </row>
    <row r="1309" spans="1:40" x14ac:dyDescent="0.3">
      <c r="A1309" s="10" t="str">
        <f>HYPERLINK("http://www.washoecounty.gov/assessor/cama/?parid=017-222-07&amp;CardNumber=1","017-222-07")</f>
        <v>017-222-07</v>
      </c>
      <c r="B1309" t="s">
        <v>4655</v>
      </c>
      <c r="C1309" t="s">
        <v>10840</v>
      </c>
      <c r="D1309" s="1">
        <v>40527</v>
      </c>
      <c r="E1309" s="2">
        <v>85000</v>
      </c>
      <c r="F1309" t="s">
        <v>4567</v>
      </c>
      <c r="G1309" s="17" t="str">
        <f>HYPERLINK("https://www.washoecounty.gov/assessor/cama/?command=sales&amp;parid=01722207","3953832")</f>
        <v>3953832</v>
      </c>
      <c r="H1309" t="s">
        <v>2755</v>
      </c>
      <c r="I1309">
        <v>1974</v>
      </c>
      <c r="J1309">
        <v>1974</v>
      </c>
      <c r="K1309" t="s">
        <v>4847</v>
      </c>
      <c r="L1309" t="s">
        <v>4555</v>
      </c>
      <c r="M1309" s="2">
        <v>1488</v>
      </c>
      <c r="N1309" t="s">
        <v>4556</v>
      </c>
      <c r="O1309">
        <v>3</v>
      </c>
      <c r="P1309">
        <v>2</v>
      </c>
      <c r="Q1309">
        <v>0</v>
      </c>
      <c r="R1309" t="s">
        <v>4557</v>
      </c>
      <c r="S1309" t="s">
        <v>4558</v>
      </c>
      <c r="T1309" t="s">
        <v>4559</v>
      </c>
      <c r="U1309" t="s">
        <v>4655</v>
      </c>
      <c r="V1309" s="2">
        <v>0</v>
      </c>
      <c r="W1309" t="s">
        <v>4655</v>
      </c>
      <c r="X1309" s="2">
        <v>0</v>
      </c>
      <c r="Y1309">
        <v>22</v>
      </c>
      <c r="Z1309" t="s">
        <v>1776</v>
      </c>
      <c r="AA1309" s="3">
        <v>0.15798898041248299</v>
      </c>
      <c r="AB1309" t="s">
        <v>10841</v>
      </c>
      <c r="AC1309" t="s">
        <v>4562</v>
      </c>
      <c r="AD1309" t="s">
        <v>10840</v>
      </c>
      <c r="AE1309" t="s">
        <v>4655</v>
      </c>
      <c r="AF1309" t="s">
        <v>4563</v>
      </c>
      <c r="AG1309" t="s">
        <v>4564</v>
      </c>
      <c r="AH1309" t="s">
        <v>5197</v>
      </c>
      <c r="AI1309" t="s">
        <v>4655</v>
      </c>
      <c r="AJ1309" t="s">
        <v>4655</v>
      </c>
      <c r="AK1309" t="s">
        <v>10842</v>
      </c>
      <c r="AL1309" s="13" t="s">
        <v>1889</v>
      </c>
      <c r="AM1309">
        <v>1</v>
      </c>
      <c r="AN1309" s="15" t="s">
        <v>1681</v>
      </c>
    </row>
    <row r="1310" spans="1:40" x14ac:dyDescent="0.3">
      <c r="A1310" s="10" t="str">
        <f>HYPERLINK("http://www.washoecounty.gov/assessor/cama/?parid=017-223-04&amp;CardNumber=1","017-223-04")</f>
        <v>017-223-04</v>
      </c>
      <c r="B1310" t="s">
        <v>4655</v>
      </c>
      <c r="C1310" t="s">
        <v>10843</v>
      </c>
      <c r="D1310" s="1">
        <v>40487</v>
      </c>
      <c r="E1310" s="2">
        <v>57500</v>
      </c>
      <c r="F1310" t="s">
        <v>4567</v>
      </c>
      <c r="G1310" s="17" t="str">
        <f>HYPERLINK("https://www.washoecounty.gov/assessor/cama/?command=sales&amp;parid=01722304","3940622")</f>
        <v>3940622</v>
      </c>
      <c r="H1310" t="s">
        <v>1275</v>
      </c>
      <c r="I1310">
        <v>0</v>
      </c>
      <c r="J1310">
        <v>0</v>
      </c>
      <c r="K1310" t="s">
        <v>4655</v>
      </c>
      <c r="L1310" t="s">
        <v>4655</v>
      </c>
      <c r="M1310" s="2">
        <v>0</v>
      </c>
      <c r="N1310" t="s">
        <v>4655</v>
      </c>
      <c r="O1310">
        <v>0</v>
      </c>
      <c r="P1310">
        <v>0</v>
      </c>
      <c r="Q1310">
        <v>0</v>
      </c>
      <c r="R1310" t="s">
        <v>4655</v>
      </c>
      <c r="S1310" t="s">
        <v>4655</v>
      </c>
      <c r="T1310" t="s">
        <v>4655</v>
      </c>
      <c r="U1310" t="s">
        <v>4655</v>
      </c>
      <c r="V1310" s="2">
        <v>0</v>
      </c>
      <c r="W1310" t="s">
        <v>4655</v>
      </c>
      <c r="X1310" s="2">
        <v>0</v>
      </c>
      <c r="Y1310">
        <v>23</v>
      </c>
      <c r="Z1310" t="s">
        <v>1776</v>
      </c>
      <c r="AA1310" s="3">
        <v>0.18999081850051899</v>
      </c>
      <c r="AB1310" t="s">
        <v>10844</v>
      </c>
      <c r="AC1310" t="s">
        <v>4562</v>
      </c>
      <c r="AD1310" t="s">
        <v>10843</v>
      </c>
      <c r="AE1310" t="s">
        <v>4655</v>
      </c>
      <c r="AF1310" t="s">
        <v>4563</v>
      </c>
      <c r="AG1310" t="s">
        <v>4564</v>
      </c>
      <c r="AH1310" t="s">
        <v>5197</v>
      </c>
      <c r="AI1310" t="s">
        <v>3791</v>
      </c>
      <c r="AJ1310" t="s">
        <v>4655</v>
      </c>
      <c r="AK1310" t="s">
        <v>10845</v>
      </c>
      <c r="AL1310" s="13" t="s">
        <v>1889</v>
      </c>
      <c r="AM1310" s="14">
        <v>0</v>
      </c>
      <c r="AN1310" s="15" t="s">
        <v>1681</v>
      </c>
    </row>
    <row r="1311" spans="1:40" x14ac:dyDescent="0.3">
      <c r="A1311" s="10" t="str">
        <f>HYPERLINK("http://www.washoecounty.gov/assessor/cama/?parid=017-224-03&amp;CardNumber=1","017-224-03")</f>
        <v>017-224-03</v>
      </c>
      <c r="B1311" t="s">
        <v>4655</v>
      </c>
      <c r="C1311" t="s">
        <v>10846</v>
      </c>
      <c r="D1311" s="1">
        <v>40234</v>
      </c>
      <c r="E1311" s="2">
        <v>50000</v>
      </c>
      <c r="F1311" t="s">
        <v>4553</v>
      </c>
      <c r="G1311" s="17" t="str">
        <f>HYPERLINK("https://www.washoecounty.gov/assessor/cama/?command=sales&amp;parid=01722403","3852826")</f>
        <v>3852826</v>
      </c>
      <c r="H1311" t="s">
        <v>1680</v>
      </c>
      <c r="I1311">
        <v>1975</v>
      </c>
      <c r="J1311">
        <v>1975</v>
      </c>
      <c r="K1311" t="s">
        <v>4847</v>
      </c>
      <c r="L1311" t="s">
        <v>4555</v>
      </c>
      <c r="M1311" s="2">
        <v>1440</v>
      </c>
      <c r="N1311" t="s">
        <v>4556</v>
      </c>
      <c r="O1311">
        <v>3</v>
      </c>
      <c r="P1311">
        <v>2</v>
      </c>
      <c r="Q1311">
        <v>0</v>
      </c>
      <c r="R1311" t="s">
        <v>4557</v>
      </c>
      <c r="S1311" t="s">
        <v>4558</v>
      </c>
      <c r="T1311" t="s">
        <v>4559</v>
      </c>
      <c r="U1311" t="s">
        <v>4655</v>
      </c>
      <c r="V1311" s="2">
        <v>0</v>
      </c>
      <c r="W1311" t="s">
        <v>4655</v>
      </c>
      <c r="X1311" s="2">
        <v>0</v>
      </c>
      <c r="Y1311">
        <v>22</v>
      </c>
      <c r="Z1311" t="s">
        <v>1776</v>
      </c>
      <c r="AA1311" s="3">
        <v>0.23900367319583901</v>
      </c>
      <c r="AB1311" t="s">
        <v>10847</v>
      </c>
      <c r="AC1311" t="s">
        <v>4562</v>
      </c>
      <c r="AD1311" t="s">
        <v>10846</v>
      </c>
      <c r="AE1311" t="s">
        <v>4655</v>
      </c>
      <c r="AF1311" t="s">
        <v>4563</v>
      </c>
      <c r="AG1311" t="s">
        <v>4564</v>
      </c>
      <c r="AH1311" t="s">
        <v>5197</v>
      </c>
      <c r="AI1311" t="s">
        <v>3810</v>
      </c>
      <c r="AJ1311" t="s">
        <v>4655</v>
      </c>
      <c r="AK1311" t="s">
        <v>10848</v>
      </c>
      <c r="AL1311" s="13" t="s">
        <v>1889</v>
      </c>
      <c r="AM1311" s="14">
        <v>1</v>
      </c>
      <c r="AN1311" s="15" t="s">
        <v>1681</v>
      </c>
    </row>
    <row r="1312" spans="1:40" x14ac:dyDescent="0.3">
      <c r="A1312" s="10" t="str">
        <f>HYPERLINK("http://www.washoecounty.gov/assessor/cama/?parid=017-232-04&amp;CardNumber=1","017-232-04")</f>
        <v>017-232-04</v>
      </c>
      <c r="B1312" t="s">
        <v>4655</v>
      </c>
      <c r="C1312" t="s">
        <v>10849</v>
      </c>
      <c r="D1312" s="1">
        <v>40261</v>
      </c>
      <c r="E1312" s="2">
        <v>40000</v>
      </c>
      <c r="F1312" t="s">
        <v>4187</v>
      </c>
      <c r="G1312" s="17" t="str">
        <f>HYPERLINK("https://www.washoecounty.gov/assessor/cama/?command=sales&amp;parid=01723204","3863633")</f>
        <v>3863633</v>
      </c>
      <c r="H1312" t="s">
        <v>2755</v>
      </c>
      <c r="I1312">
        <v>0</v>
      </c>
      <c r="J1312">
        <v>0</v>
      </c>
      <c r="K1312" t="s">
        <v>4655</v>
      </c>
      <c r="L1312" t="s">
        <v>4655</v>
      </c>
      <c r="M1312" s="2">
        <v>0</v>
      </c>
      <c r="N1312" t="s">
        <v>4655</v>
      </c>
      <c r="O1312">
        <v>0</v>
      </c>
      <c r="P1312">
        <v>0</v>
      </c>
      <c r="Q1312">
        <v>0</v>
      </c>
      <c r="R1312" t="s">
        <v>4655</v>
      </c>
      <c r="S1312" t="s">
        <v>4655</v>
      </c>
      <c r="T1312" t="s">
        <v>4655</v>
      </c>
      <c r="U1312" t="s">
        <v>4655</v>
      </c>
      <c r="V1312" s="2">
        <v>0</v>
      </c>
      <c r="W1312" t="s">
        <v>4655</v>
      </c>
      <c r="X1312" s="2">
        <v>0</v>
      </c>
      <c r="Y1312">
        <v>18</v>
      </c>
      <c r="Z1312" t="s">
        <v>1776</v>
      </c>
      <c r="AA1312" s="3">
        <v>0.21299357712268799</v>
      </c>
      <c r="AB1312" t="s">
        <v>10850</v>
      </c>
      <c r="AC1312" t="s">
        <v>4562</v>
      </c>
      <c r="AD1312" t="s">
        <v>10851</v>
      </c>
      <c r="AE1312" t="s">
        <v>4655</v>
      </c>
      <c r="AF1312" t="s">
        <v>5201</v>
      </c>
      <c r="AG1312" t="s">
        <v>4564</v>
      </c>
      <c r="AH1312" t="s">
        <v>5202</v>
      </c>
      <c r="AI1312" t="s">
        <v>2756</v>
      </c>
      <c r="AJ1312" t="s">
        <v>4655</v>
      </c>
      <c r="AK1312" t="s">
        <v>10852</v>
      </c>
      <c r="AL1312" s="13" t="s">
        <v>1889</v>
      </c>
      <c r="AM1312">
        <v>0</v>
      </c>
      <c r="AN1312" s="15" t="s">
        <v>1681</v>
      </c>
    </row>
    <row r="1313" spans="1:40" x14ac:dyDescent="0.3">
      <c r="A1313" s="10" t="str">
        <f>HYPERLINK("http://www.washoecounty.gov/assessor/cama/?parid=017-232-17&amp;CardNumber=1","017-232-17")</f>
        <v>017-232-17</v>
      </c>
      <c r="B1313" t="s">
        <v>4655</v>
      </c>
      <c r="C1313" t="s">
        <v>10853</v>
      </c>
      <c r="D1313" s="1">
        <v>40471</v>
      </c>
      <c r="E1313" s="2">
        <v>105000</v>
      </c>
      <c r="F1313" t="s">
        <v>4553</v>
      </c>
      <c r="G1313" s="17" t="str">
        <f>HYPERLINK("https://www.washoecounty.gov/assessor/cama/?command=sales&amp;parid=01723217","3934969")</f>
        <v>3934969</v>
      </c>
      <c r="H1313" t="s">
        <v>433</v>
      </c>
      <c r="I1313">
        <v>1979</v>
      </c>
      <c r="J1313">
        <v>1979</v>
      </c>
      <c r="K1313" t="s">
        <v>4847</v>
      </c>
      <c r="L1313" t="s">
        <v>4555</v>
      </c>
      <c r="M1313" s="2">
        <v>1536</v>
      </c>
      <c r="N1313" t="s">
        <v>4556</v>
      </c>
      <c r="O1313">
        <v>3</v>
      </c>
      <c r="P1313">
        <v>2</v>
      </c>
      <c r="Q1313">
        <v>0</v>
      </c>
      <c r="R1313" t="s">
        <v>4557</v>
      </c>
      <c r="S1313" t="s">
        <v>4558</v>
      </c>
      <c r="T1313" t="s">
        <v>4559</v>
      </c>
      <c r="U1313" t="s">
        <v>4655</v>
      </c>
      <c r="V1313" s="2">
        <v>0</v>
      </c>
      <c r="W1313" t="s">
        <v>4655</v>
      </c>
      <c r="X1313" s="2">
        <v>0</v>
      </c>
      <c r="Y1313">
        <v>22</v>
      </c>
      <c r="Z1313" t="s">
        <v>1776</v>
      </c>
      <c r="AA1313" s="3">
        <v>0.14600551128387501</v>
      </c>
      <c r="AB1313" t="s">
        <v>10854</v>
      </c>
      <c r="AC1313" t="s">
        <v>4562</v>
      </c>
      <c r="AD1313" t="s">
        <v>10855</v>
      </c>
      <c r="AE1313" t="s">
        <v>4655</v>
      </c>
      <c r="AF1313" t="s">
        <v>4563</v>
      </c>
      <c r="AG1313" t="s">
        <v>4564</v>
      </c>
      <c r="AH1313" t="s">
        <v>5197</v>
      </c>
      <c r="AI1313" t="s">
        <v>10856</v>
      </c>
      <c r="AJ1313" t="s">
        <v>4655</v>
      </c>
      <c r="AK1313" t="s">
        <v>10857</v>
      </c>
      <c r="AL1313" s="13" t="s">
        <v>1889</v>
      </c>
      <c r="AM1313" s="14">
        <v>1</v>
      </c>
      <c r="AN1313" s="15" t="s">
        <v>1681</v>
      </c>
    </row>
    <row r="1314" spans="1:40" x14ac:dyDescent="0.3">
      <c r="A1314" s="10" t="str">
        <f>HYPERLINK("http://www.washoecounty.gov/assessor/cama/?parid=017-234-13&amp;CardNumber=1","017-234-13")</f>
        <v>017-234-13</v>
      </c>
      <c r="B1314" t="s">
        <v>4655</v>
      </c>
      <c r="C1314" t="s">
        <v>10858</v>
      </c>
      <c r="D1314" s="1">
        <v>40352</v>
      </c>
      <c r="E1314" s="2">
        <v>53000</v>
      </c>
      <c r="F1314" t="s">
        <v>4553</v>
      </c>
      <c r="G1314" s="17" t="str">
        <f>HYPERLINK("https://www.washoecounty.gov/assessor/cama/?command=sales&amp;parid=01723413","3894763")</f>
        <v>3894763</v>
      </c>
      <c r="H1314" t="s">
        <v>1680</v>
      </c>
      <c r="I1314">
        <v>1976</v>
      </c>
      <c r="J1314">
        <v>1976</v>
      </c>
      <c r="K1314" t="s">
        <v>4847</v>
      </c>
      <c r="L1314" t="s">
        <v>4555</v>
      </c>
      <c r="M1314" s="2">
        <v>1440</v>
      </c>
      <c r="N1314" t="s">
        <v>4556</v>
      </c>
      <c r="O1314">
        <v>3</v>
      </c>
      <c r="P1314">
        <v>2</v>
      </c>
      <c r="Q1314">
        <v>0</v>
      </c>
      <c r="R1314" t="s">
        <v>4557</v>
      </c>
      <c r="S1314" t="s">
        <v>4558</v>
      </c>
      <c r="T1314" t="s">
        <v>4559</v>
      </c>
      <c r="U1314" t="s">
        <v>4655</v>
      </c>
      <c r="V1314" s="2">
        <v>0</v>
      </c>
      <c r="W1314" t="s">
        <v>4655</v>
      </c>
      <c r="X1314" s="2">
        <v>0</v>
      </c>
      <c r="Y1314">
        <v>22</v>
      </c>
      <c r="Z1314" t="s">
        <v>1776</v>
      </c>
      <c r="AA1314" s="3">
        <v>0.169995412230492</v>
      </c>
      <c r="AB1314" t="s">
        <v>10859</v>
      </c>
      <c r="AC1314" t="s">
        <v>4562</v>
      </c>
      <c r="AD1314" t="s">
        <v>10858</v>
      </c>
      <c r="AE1314" t="s">
        <v>4655</v>
      </c>
      <c r="AF1314" t="s">
        <v>4563</v>
      </c>
      <c r="AG1314" t="s">
        <v>4564</v>
      </c>
      <c r="AH1314" t="s">
        <v>5197</v>
      </c>
      <c r="AI1314" t="s">
        <v>4565</v>
      </c>
      <c r="AJ1314" t="s">
        <v>4655</v>
      </c>
      <c r="AK1314" t="s">
        <v>10860</v>
      </c>
      <c r="AL1314" s="13" t="s">
        <v>1889</v>
      </c>
      <c r="AM1314" s="14">
        <v>1</v>
      </c>
      <c r="AN1314" s="15" t="s">
        <v>1681</v>
      </c>
    </row>
    <row r="1315" spans="1:40" x14ac:dyDescent="0.3">
      <c r="A1315" s="10" t="str">
        <f>HYPERLINK("http://www.washoecounty.gov/assessor/cama/?parid=017-241-12&amp;CardNumber=1","017-241-12")</f>
        <v>017-241-12</v>
      </c>
      <c r="B1315" t="s">
        <v>4655</v>
      </c>
      <c r="C1315" t="s">
        <v>10861</v>
      </c>
      <c r="D1315" s="1">
        <v>40267</v>
      </c>
      <c r="E1315" s="2">
        <v>125000</v>
      </c>
      <c r="F1315" t="s">
        <v>4567</v>
      </c>
      <c r="G1315" s="17" t="str">
        <f>HYPERLINK("https://www.washoecounty.gov/assessor/cama/?command=sales&amp;parid=01724112","3865705")</f>
        <v>3865705</v>
      </c>
      <c r="H1315" t="s">
        <v>1775</v>
      </c>
      <c r="I1315">
        <v>1978</v>
      </c>
      <c r="J1315">
        <v>1978</v>
      </c>
      <c r="K1315" t="s">
        <v>4554</v>
      </c>
      <c r="L1315" t="s">
        <v>4555</v>
      </c>
      <c r="M1315" s="2">
        <v>993</v>
      </c>
      <c r="N1315" t="s">
        <v>4556</v>
      </c>
      <c r="O1315">
        <v>3</v>
      </c>
      <c r="P1315">
        <v>2</v>
      </c>
      <c r="Q1315">
        <v>0</v>
      </c>
      <c r="R1315" t="s">
        <v>4557</v>
      </c>
      <c r="S1315" t="s">
        <v>4558</v>
      </c>
      <c r="T1315" t="s">
        <v>4559</v>
      </c>
      <c r="U1315" t="s">
        <v>4560</v>
      </c>
      <c r="V1315" s="2">
        <v>455</v>
      </c>
      <c r="W1315" t="s">
        <v>4655</v>
      </c>
      <c r="X1315" s="2">
        <v>0</v>
      </c>
      <c r="Y1315">
        <v>20</v>
      </c>
      <c r="Z1315" t="s">
        <v>1776</v>
      </c>
      <c r="AA1315" s="3">
        <v>0.18999081850051899</v>
      </c>
      <c r="AB1315" t="s">
        <v>4828</v>
      </c>
      <c r="AC1315" t="s">
        <v>4562</v>
      </c>
      <c r="AD1315" t="s">
        <v>4829</v>
      </c>
      <c r="AE1315" t="s">
        <v>4655</v>
      </c>
      <c r="AF1315" t="s">
        <v>4563</v>
      </c>
      <c r="AG1315" t="s">
        <v>4564</v>
      </c>
      <c r="AH1315" t="s">
        <v>5197</v>
      </c>
      <c r="AI1315" t="s">
        <v>4655</v>
      </c>
      <c r="AJ1315" t="s">
        <v>4655</v>
      </c>
      <c r="AK1315" t="s">
        <v>10862</v>
      </c>
      <c r="AL1315" s="13" t="s">
        <v>1889</v>
      </c>
      <c r="AM1315">
        <v>1</v>
      </c>
      <c r="AN1315" s="15" t="s">
        <v>1777</v>
      </c>
    </row>
    <row r="1316" spans="1:40" x14ac:dyDescent="0.3">
      <c r="A1316" s="10" t="str">
        <f>HYPERLINK("http://www.washoecounty.gov/assessor/cama/?parid=017-241-21&amp;CardNumber=1","017-241-21")</f>
        <v>017-241-21</v>
      </c>
      <c r="B1316" t="s">
        <v>4655</v>
      </c>
      <c r="C1316" t="s">
        <v>10863</v>
      </c>
      <c r="D1316" s="1">
        <v>40242</v>
      </c>
      <c r="E1316" s="2">
        <v>139900</v>
      </c>
      <c r="F1316" t="s">
        <v>4567</v>
      </c>
      <c r="G1316" s="17" t="str">
        <f>HYPERLINK("https://www.washoecounty.gov/assessor/cama/?command=sales&amp;parid=01724121","3856384")</f>
        <v>3856384</v>
      </c>
      <c r="H1316" t="s">
        <v>433</v>
      </c>
      <c r="I1316">
        <v>1978</v>
      </c>
      <c r="J1316">
        <v>1978</v>
      </c>
      <c r="K1316" t="s">
        <v>4554</v>
      </c>
      <c r="L1316" t="s">
        <v>4555</v>
      </c>
      <c r="M1316" s="2">
        <v>1308</v>
      </c>
      <c r="N1316" t="s">
        <v>4556</v>
      </c>
      <c r="O1316">
        <v>4</v>
      </c>
      <c r="P1316">
        <v>2</v>
      </c>
      <c r="Q1316">
        <v>0</v>
      </c>
      <c r="R1316" t="s">
        <v>4557</v>
      </c>
      <c r="S1316" t="s">
        <v>4558</v>
      </c>
      <c r="T1316" t="s">
        <v>4559</v>
      </c>
      <c r="U1316" t="s">
        <v>4560</v>
      </c>
      <c r="V1316" s="2">
        <v>476</v>
      </c>
      <c r="W1316" t="s">
        <v>4655</v>
      </c>
      <c r="X1316" s="2">
        <v>0</v>
      </c>
      <c r="Y1316">
        <v>20</v>
      </c>
      <c r="Z1316" t="s">
        <v>1776</v>
      </c>
      <c r="AA1316" s="3">
        <v>0.18700642883777599</v>
      </c>
      <c r="AB1316" t="s">
        <v>10864</v>
      </c>
      <c r="AC1316" t="s">
        <v>4562</v>
      </c>
      <c r="AD1316" t="s">
        <v>10863</v>
      </c>
      <c r="AE1316" t="s">
        <v>4655</v>
      </c>
      <c r="AF1316" t="s">
        <v>4563</v>
      </c>
      <c r="AG1316" t="s">
        <v>4564</v>
      </c>
      <c r="AH1316" t="s">
        <v>5197</v>
      </c>
      <c r="AI1316" t="s">
        <v>7538</v>
      </c>
      <c r="AJ1316" t="s">
        <v>4655</v>
      </c>
      <c r="AK1316" t="s">
        <v>10865</v>
      </c>
      <c r="AL1316" s="13" t="s">
        <v>1889</v>
      </c>
      <c r="AM1316">
        <v>1</v>
      </c>
      <c r="AN1316" s="15" t="s">
        <v>1777</v>
      </c>
    </row>
    <row r="1317" spans="1:40" x14ac:dyDescent="0.3">
      <c r="A1317" s="10" t="str">
        <f>HYPERLINK("http://www.washoecounty.gov/assessor/cama/?parid=017-241-27&amp;CardNumber=1","017-241-27")</f>
        <v>017-241-27</v>
      </c>
      <c r="B1317" t="s">
        <v>4655</v>
      </c>
      <c r="C1317" t="s">
        <v>10866</v>
      </c>
      <c r="D1317" s="1">
        <v>40325</v>
      </c>
      <c r="E1317" s="2">
        <v>108000</v>
      </c>
      <c r="F1317" t="s">
        <v>4553</v>
      </c>
      <c r="G1317" s="17" t="str">
        <f>HYPERLINK("https://www.washoecounty.gov/assessor/cama/?command=sales&amp;parid=01724127","3885858")</f>
        <v>3885858</v>
      </c>
      <c r="H1317" t="s">
        <v>1775</v>
      </c>
      <c r="I1317">
        <v>1978</v>
      </c>
      <c r="J1317">
        <v>1978</v>
      </c>
      <c r="K1317" t="s">
        <v>4554</v>
      </c>
      <c r="L1317" t="s">
        <v>4555</v>
      </c>
      <c r="M1317" s="2">
        <v>993</v>
      </c>
      <c r="N1317" t="s">
        <v>4556</v>
      </c>
      <c r="O1317">
        <v>3</v>
      </c>
      <c r="P1317">
        <v>2</v>
      </c>
      <c r="Q1317">
        <v>0</v>
      </c>
      <c r="R1317" t="s">
        <v>4557</v>
      </c>
      <c r="S1317" t="s">
        <v>4558</v>
      </c>
      <c r="T1317" t="s">
        <v>4559</v>
      </c>
      <c r="U1317" t="s">
        <v>4560</v>
      </c>
      <c r="V1317" s="2">
        <v>455</v>
      </c>
      <c r="W1317" t="s">
        <v>4655</v>
      </c>
      <c r="X1317" s="2">
        <v>0</v>
      </c>
      <c r="Y1317">
        <v>20</v>
      </c>
      <c r="Z1317" t="s">
        <v>1776</v>
      </c>
      <c r="AA1317" s="3">
        <v>0.17800734937191001</v>
      </c>
      <c r="AB1317" t="s">
        <v>10867</v>
      </c>
      <c r="AC1317" t="s">
        <v>4575</v>
      </c>
      <c r="AD1317" t="s">
        <v>10868</v>
      </c>
      <c r="AE1317" t="s">
        <v>10869</v>
      </c>
      <c r="AF1317" t="s">
        <v>4563</v>
      </c>
      <c r="AG1317" t="s">
        <v>4564</v>
      </c>
      <c r="AH1317" t="s">
        <v>5197</v>
      </c>
      <c r="AI1317" t="s">
        <v>4565</v>
      </c>
      <c r="AJ1317" t="s">
        <v>4655</v>
      </c>
      <c r="AK1317" t="s">
        <v>10870</v>
      </c>
      <c r="AL1317" s="13" t="s">
        <v>1889</v>
      </c>
      <c r="AM1317">
        <v>1</v>
      </c>
      <c r="AN1317" s="15" t="s">
        <v>1777</v>
      </c>
    </row>
    <row r="1318" spans="1:40" x14ac:dyDescent="0.3">
      <c r="A1318" s="10" t="str">
        <f>HYPERLINK("http://www.washoecounty.gov/assessor/cama/?parid=017-242-08&amp;CardNumber=1","017-242-08")</f>
        <v>017-242-08</v>
      </c>
      <c r="B1318" t="s">
        <v>4655</v>
      </c>
      <c r="C1318" t="s">
        <v>10871</v>
      </c>
      <c r="D1318" s="1">
        <v>40360</v>
      </c>
      <c r="E1318" s="2">
        <v>51000</v>
      </c>
      <c r="F1318" t="s">
        <v>4553</v>
      </c>
      <c r="G1318" s="17" t="str">
        <f>HYPERLINK("https://www.washoecounty.gov/assessor/cama/?command=sales&amp;parid=01724208","3897874")</f>
        <v>3897874</v>
      </c>
      <c r="H1318" t="s">
        <v>1775</v>
      </c>
      <c r="I1318">
        <v>1973</v>
      </c>
      <c r="J1318">
        <v>1973</v>
      </c>
      <c r="K1318" t="s">
        <v>4847</v>
      </c>
      <c r="L1318" t="s">
        <v>4555</v>
      </c>
      <c r="M1318" s="2">
        <v>1372</v>
      </c>
      <c r="N1318" t="s">
        <v>4556</v>
      </c>
      <c r="O1318">
        <v>3</v>
      </c>
      <c r="P1318">
        <v>2</v>
      </c>
      <c r="Q1318">
        <v>0</v>
      </c>
      <c r="R1318" t="s">
        <v>4557</v>
      </c>
      <c r="S1318" t="s">
        <v>4558</v>
      </c>
      <c r="T1318" t="s">
        <v>4559</v>
      </c>
      <c r="U1318" t="s">
        <v>4655</v>
      </c>
      <c r="V1318" s="2">
        <v>0</v>
      </c>
      <c r="W1318" t="s">
        <v>4655</v>
      </c>
      <c r="X1318" s="2">
        <v>0</v>
      </c>
      <c r="Y1318">
        <v>22</v>
      </c>
      <c r="Z1318" t="s">
        <v>1776</v>
      </c>
      <c r="AA1318" s="3">
        <v>0.19699265062808999</v>
      </c>
      <c r="AB1318" t="s">
        <v>10872</v>
      </c>
      <c r="AC1318" t="s">
        <v>4562</v>
      </c>
      <c r="AD1318" t="s">
        <v>10873</v>
      </c>
      <c r="AE1318" t="s">
        <v>4655</v>
      </c>
      <c r="AF1318" t="s">
        <v>4563</v>
      </c>
      <c r="AG1318" t="s">
        <v>4564</v>
      </c>
      <c r="AH1318" t="s">
        <v>5197</v>
      </c>
      <c r="AI1318" t="s">
        <v>4655</v>
      </c>
      <c r="AJ1318" t="s">
        <v>4655</v>
      </c>
      <c r="AK1318" t="s">
        <v>10874</v>
      </c>
      <c r="AL1318" s="13" t="s">
        <v>1889</v>
      </c>
      <c r="AM1318">
        <v>1</v>
      </c>
      <c r="AN1318" s="15" t="s">
        <v>1681</v>
      </c>
    </row>
    <row r="1319" spans="1:40" x14ac:dyDescent="0.3">
      <c r="A1319" s="10" t="str">
        <f>HYPERLINK("http://www.washoecounty.gov/assessor/cama/?parid=017-252-01&amp;CardNumber=1","017-252-01")</f>
        <v>017-252-01</v>
      </c>
      <c r="B1319" t="s">
        <v>4655</v>
      </c>
      <c r="C1319" t="s">
        <v>10875</v>
      </c>
      <c r="D1319" s="1">
        <v>40455</v>
      </c>
      <c r="E1319" s="2">
        <v>86000</v>
      </c>
      <c r="F1319" t="s">
        <v>4553</v>
      </c>
      <c r="G1319" s="17" t="str">
        <f>HYPERLINK("https://www.washoecounty.gov/assessor/cama/?command=sales&amp;parid=01725201","3929066")</f>
        <v>3929066</v>
      </c>
      <c r="H1319" t="s">
        <v>433</v>
      </c>
      <c r="I1319">
        <v>1978</v>
      </c>
      <c r="J1319">
        <v>1978</v>
      </c>
      <c r="K1319" t="s">
        <v>4554</v>
      </c>
      <c r="L1319" t="s">
        <v>4555</v>
      </c>
      <c r="M1319" s="2">
        <v>1197</v>
      </c>
      <c r="N1319" t="s">
        <v>4556</v>
      </c>
      <c r="O1319">
        <v>3</v>
      </c>
      <c r="P1319">
        <v>2</v>
      </c>
      <c r="Q1319">
        <v>0</v>
      </c>
      <c r="R1319" t="s">
        <v>4557</v>
      </c>
      <c r="S1319" t="s">
        <v>4558</v>
      </c>
      <c r="T1319" t="s">
        <v>4559</v>
      </c>
      <c r="U1319" t="s">
        <v>4560</v>
      </c>
      <c r="V1319" s="2">
        <v>493</v>
      </c>
      <c r="W1319" t="s">
        <v>4655</v>
      </c>
      <c r="X1319" s="2">
        <v>0</v>
      </c>
      <c r="Y1319">
        <v>20</v>
      </c>
      <c r="Z1319" t="s">
        <v>1776</v>
      </c>
      <c r="AA1319" s="3">
        <v>0.17398989200591999</v>
      </c>
      <c r="AB1319" t="s">
        <v>10876</v>
      </c>
      <c r="AC1319" t="s">
        <v>4562</v>
      </c>
      <c r="AD1319" t="s">
        <v>2983</v>
      </c>
      <c r="AE1319" t="s">
        <v>4655</v>
      </c>
      <c r="AF1319" t="s">
        <v>4563</v>
      </c>
      <c r="AG1319" t="s">
        <v>4564</v>
      </c>
      <c r="AH1319">
        <v>89509</v>
      </c>
      <c r="AI1319" t="s">
        <v>4565</v>
      </c>
      <c r="AJ1319" t="s">
        <v>4655</v>
      </c>
      <c r="AK1319" t="s">
        <v>10877</v>
      </c>
      <c r="AL1319" s="13" t="s">
        <v>1889</v>
      </c>
      <c r="AM1319" s="14">
        <v>1</v>
      </c>
      <c r="AN1319" s="15" t="s">
        <v>1777</v>
      </c>
    </row>
    <row r="1320" spans="1:40" x14ac:dyDescent="0.3">
      <c r="A1320" s="10" t="str">
        <f>HYPERLINK("http://www.washoecounty.gov/assessor/cama/?parid=017-252-19&amp;CardNumber=1","017-252-19")</f>
        <v>017-252-19</v>
      </c>
      <c r="B1320" t="s">
        <v>4655</v>
      </c>
      <c r="C1320" t="s">
        <v>10878</v>
      </c>
      <c r="D1320" s="1">
        <v>40205</v>
      </c>
      <c r="E1320" s="2">
        <v>135000</v>
      </c>
      <c r="F1320" t="s">
        <v>4553</v>
      </c>
      <c r="G1320" s="17" t="str">
        <f>HYPERLINK("https://www.washoecounty.gov/assessor/cama/?command=sales&amp;parid=01725219","3843283")</f>
        <v>3843283</v>
      </c>
      <c r="H1320" t="s">
        <v>1775</v>
      </c>
      <c r="I1320">
        <v>1978</v>
      </c>
      <c r="J1320">
        <v>1978</v>
      </c>
      <c r="K1320" t="s">
        <v>4554</v>
      </c>
      <c r="L1320" t="s">
        <v>4555</v>
      </c>
      <c r="M1320" s="2">
        <v>1197</v>
      </c>
      <c r="N1320" t="s">
        <v>4556</v>
      </c>
      <c r="O1320">
        <v>3</v>
      </c>
      <c r="P1320">
        <v>2</v>
      </c>
      <c r="Q1320">
        <v>0</v>
      </c>
      <c r="R1320" t="s">
        <v>4557</v>
      </c>
      <c r="S1320" t="s">
        <v>4558</v>
      </c>
      <c r="T1320" t="s">
        <v>4559</v>
      </c>
      <c r="U1320" t="s">
        <v>4560</v>
      </c>
      <c r="V1320" s="2">
        <v>493</v>
      </c>
      <c r="W1320" t="s">
        <v>4655</v>
      </c>
      <c r="X1320" s="2">
        <v>0</v>
      </c>
      <c r="Y1320">
        <v>20</v>
      </c>
      <c r="Z1320" t="s">
        <v>1776</v>
      </c>
      <c r="AA1320" s="3">
        <v>0.17800734937191001</v>
      </c>
      <c r="AB1320" t="s">
        <v>10879</v>
      </c>
      <c r="AC1320" t="s">
        <v>4562</v>
      </c>
      <c r="AD1320" t="s">
        <v>10878</v>
      </c>
      <c r="AE1320" t="s">
        <v>4655</v>
      </c>
      <c r="AF1320" t="s">
        <v>4563</v>
      </c>
      <c r="AG1320" t="s">
        <v>4564</v>
      </c>
      <c r="AH1320" t="s">
        <v>5197</v>
      </c>
      <c r="AI1320" t="s">
        <v>4848</v>
      </c>
      <c r="AJ1320" t="s">
        <v>4655</v>
      </c>
      <c r="AK1320" t="s">
        <v>10880</v>
      </c>
      <c r="AL1320" s="13" t="s">
        <v>1889</v>
      </c>
      <c r="AM1320" s="14">
        <v>1</v>
      </c>
      <c r="AN1320" s="15" t="s">
        <v>1777</v>
      </c>
    </row>
    <row r="1321" spans="1:40" x14ac:dyDescent="0.3">
      <c r="A1321" s="10" t="str">
        <f>HYPERLINK("http://www.washoecounty.gov/assessor/cama/?parid=017-253-30&amp;CardNumber=1","017-253-30")</f>
        <v>017-253-30</v>
      </c>
      <c r="B1321" t="s">
        <v>4655</v>
      </c>
      <c r="C1321" t="s">
        <v>10881</v>
      </c>
      <c r="D1321" s="1">
        <v>40388</v>
      </c>
      <c r="E1321" s="2">
        <v>130000</v>
      </c>
      <c r="F1321" t="s">
        <v>4567</v>
      </c>
      <c r="G1321" s="17" t="str">
        <f>HYPERLINK("https://www.washoecounty.gov/assessor/cama/?command=sales&amp;parid=01725330","3906673")</f>
        <v>3906673</v>
      </c>
      <c r="H1321" t="s">
        <v>1775</v>
      </c>
      <c r="I1321">
        <v>1978</v>
      </c>
      <c r="J1321">
        <v>1978</v>
      </c>
      <c r="K1321" t="s">
        <v>4554</v>
      </c>
      <c r="L1321" t="s">
        <v>4555</v>
      </c>
      <c r="M1321" s="2">
        <v>1197</v>
      </c>
      <c r="N1321" t="s">
        <v>4556</v>
      </c>
      <c r="O1321">
        <v>3</v>
      </c>
      <c r="P1321">
        <v>2</v>
      </c>
      <c r="Q1321">
        <v>0</v>
      </c>
      <c r="R1321" t="s">
        <v>4557</v>
      </c>
      <c r="S1321" t="s">
        <v>4558</v>
      </c>
      <c r="T1321" t="s">
        <v>4559</v>
      </c>
      <c r="U1321" t="s">
        <v>4560</v>
      </c>
      <c r="V1321" s="2">
        <v>493</v>
      </c>
      <c r="W1321" t="s">
        <v>4655</v>
      </c>
      <c r="X1321" s="2">
        <v>0</v>
      </c>
      <c r="Y1321">
        <v>20</v>
      </c>
      <c r="Z1321" t="s">
        <v>1776</v>
      </c>
      <c r="AA1321" s="3">
        <v>0.16799816489219666</v>
      </c>
      <c r="AB1321" t="s">
        <v>10882</v>
      </c>
      <c r="AC1321" t="s">
        <v>4575</v>
      </c>
      <c r="AD1321" t="s">
        <v>10883</v>
      </c>
      <c r="AE1321" t="s">
        <v>4655</v>
      </c>
      <c r="AF1321" t="s">
        <v>4563</v>
      </c>
      <c r="AG1321" t="s">
        <v>4564</v>
      </c>
      <c r="AH1321" t="s">
        <v>5197</v>
      </c>
      <c r="AI1321" t="s">
        <v>10884</v>
      </c>
      <c r="AJ1321" t="s">
        <v>4655</v>
      </c>
      <c r="AK1321" t="s">
        <v>10885</v>
      </c>
      <c r="AL1321" s="13" t="s">
        <v>1889</v>
      </c>
      <c r="AM1321">
        <v>1</v>
      </c>
      <c r="AN1321" s="15" t="s">
        <v>1777</v>
      </c>
    </row>
    <row r="1322" spans="1:40" x14ac:dyDescent="0.3">
      <c r="A1322" s="10" t="str">
        <f>HYPERLINK("http://www.washoecounty.gov/assessor/cama/?parid=017-261-03&amp;CardNumber=1","017-261-03")</f>
        <v>017-261-03</v>
      </c>
      <c r="B1322" t="s">
        <v>4655</v>
      </c>
      <c r="C1322" t="s">
        <v>10886</v>
      </c>
      <c r="D1322" s="1">
        <v>40331</v>
      </c>
      <c r="E1322" s="2">
        <v>298000</v>
      </c>
      <c r="F1322" t="s">
        <v>4567</v>
      </c>
      <c r="G1322" s="17" t="str">
        <f>HYPERLINK("https://www.washoecounty.gov/assessor/cama/?command=sales&amp;parid=01726103","3887636")</f>
        <v>3887636</v>
      </c>
      <c r="H1322" t="s">
        <v>10887</v>
      </c>
      <c r="I1322">
        <v>1979</v>
      </c>
      <c r="J1322">
        <v>1979</v>
      </c>
      <c r="K1322" t="s">
        <v>4554</v>
      </c>
      <c r="L1322" t="s">
        <v>4555</v>
      </c>
      <c r="M1322" s="2">
        <v>1892</v>
      </c>
      <c r="N1322" t="s">
        <v>4048</v>
      </c>
      <c r="O1322">
        <v>4</v>
      </c>
      <c r="P1322">
        <v>2</v>
      </c>
      <c r="Q1322">
        <v>0</v>
      </c>
      <c r="R1322" t="s">
        <v>4557</v>
      </c>
      <c r="S1322" t="s">
        <v>4558</v>
      </c>
      <c r="T1322" t="s">
        <v>4559</v>
      </c>
      <c r="U1322" t="s">
        <v>4560</v>
      </c>
      <c r="V1322" s="2">
        <v>528</v>
      </c>
      <c r="W1322" t="s">
        <v>4655</v>
      </c>
      <c r="X1322" s="2">
        <v>0</v>
      </c>
      <c r="Y1322">
        <v>20</v>
      </c>
      <c r="Z1322" t="s">
        <v>5508</v>
      </c>
      <c r="AA1322" s="3">
        <v>1.45000004768371</v>
      </c>
      <c r="AB1322" t="s">
        <v>10888</v>
      </c>
      <c r="AC1322" t="s">
        <v>4575</v>
      </c>
      <c r="AD1322" t="s">
        <v>10889</v>
      </c>
      <c r="AE1322" t="s">
        <v>10890</v>
      </c>
      <c r="AF1322" t="s">
        <v>4563</v>
      </c>
      <c r="AG1322" t="s">
        <v>4564</v>
      </c>
      <c r="AH1322" t="s">
        <v>5197</v>
      </c>
      <c r="AI1322" t="s">
        <v>10891</v>
      </c>
      <c r="AJ1322" t="s">
        <v>4655</v>
      </c>
      <c r="AK1322" t="s">
        <v>10892</v>
      </c>
      <c r="AL1322" s="13" t="s">
        <v>3424</v>
      </c>
      <c r="AM1322" s="14">
        <v>1</v>
      </c>
      <c r="AN1322" s="15" t="s">
        <v>4063</v>
      </c>
    </row>
    <row r="1323" spans="1:40" x14ac:dyDescent="0.3">
      <c r="A1323" s="10" t="str">
        <f>HYPERLINK("http://www.washoecounty.gov/assessor/cama/?parid=017-262-15&amp;CardNumber=1","017-262-15")</f>
        <v>017-262-15</v>
      </c>
      <c r="B1323" t="s">
        <v>4655</v>
      </c>
      <c r="C1323" t="s">
        <v>10893</v>
      </c>
      <c r="D1323" s="1">
        <v>40326</v>
      </c>
      <c r="E1323" s="2">
        <v>118600</v>
      </c>
      <c r="F1323" t="s">
        <v>4567</v>
      </c>
      <c r="G1323" s="17" t="str">
        <f>HYPERLINK("https://www.washoecounty.gov/assessor/cama/?command=sales&amp;parid=01726215","3886580")</f>
        <v>3886580</v>
      </c>
      <c r="H1323" t="s">
        <v>10894</v>
      </c>
      <c r="I1323">
        <v>1992</v>
      </c>
      <c r="J1323">
        <v>1992</v>
      </c>
      <c r="K1323" t="s">
        <v>4847</v>
      </c>
      <c r="L1323" t="s">
        <v>4555</v>
      </c>
      <c r="M1323" s="2">
        <v>960</v>
      </c>
      <c r="N1323" t="s">
        <v>4556</v>
      </c>
      <c r="O1323">
        <v>3</v>
      </c>
      <c r="P1323">
        <v>2</v>
      </c>
      <c r="Q1323">
        <v>0</v>
      </c>
      <c r="R1323" t="s">
        <v>4557</v>
      </c>
      <c r="S1323" t="s">
        <v>4558</v>
      </c>
      <c r="T1323" t="s">
        <v>4559</v>
      </c>
      <c r="U1323" t="s">
        <v>4655</v>
      </c>
      <c r="V1323" s="2">
        <v>0</v>
      </c>
      <c r="W1323" t="s">
        <v>4655</v>
      </c>
      <c r="X1323" s="2">
        <v>0</v>
      </c>
      <c r="Y1323">
        <v>22</v>
      </c>
      <c r="Z1323" t="s">
        <v>1776</v>
      </c>
      <c r="AA1323" s="3">
        <v>0.21000918745994601</v>
      </c>
      <c r="AB1323" t="s">
        <v>10895</v>
      </c>
      <c r="AC1323" t="s">
        <v>4562</v>
      </c>
      <c r="AD1323" t="s">
        <v>10893</v>
      </c>
      <c r="AE1323" t="s">
        <v>4655</v>
      </c>
      <c r="AF1323" t="s">
        <v>4563</v>
      </c>
      <c r="AG1323" t="s">
        <v>4564</v>
      </c>
      <c r="AH1323" t="s">
        <v>5197</v>
      </c>
      <c r="AI1323" t="s">
        <v>10896</v>
      </c>
      <c r="AJ1323" t="s">
        <v>4655</v>
      </c>
      <c r="AK1323" t="s">
        <v>10897</v>
      </c>
      <c r="AL1323" s="13" t="s">
        <v>3424</v>
      </c>
      <c r="AM1323" s="14">
        <v>1</v>
      </c>
      <c r="AN1323" s="15" t="s">
        <v>1681</v>
      </c>
    </row>
    <row r="1324" spans="1:40" x14ac:dyDescent="0.3">
      <c r="A1324" s="10" t="str">
        <f>HYPERLINK("http://www.washoecounty.gov/assessor/cama/?parid=017-262-19&amp;CardNumber=1","017-262-19")</f>
        <v>017-262-19</v>
      </c>
      <c r="B1324" t="s">
        <v>4655</v>
      </c>
      <c r="C1324" t="s">
        <v>10898</v>
      </c>
      <c r="D1324" s="1">
        <v>40451</v>
      </c>
      <c r="E1324" s="2">
        <v>69000</v>
      </c>
      <c r="F1324" t="s">
        <v>4567</v>
      </c>
      <c r="G1324" s="17" t="str">
        <f>HYPERLINK("https://www.washoecounty.gov/assessor/cama/?command=sales&amp;parid=01726219","3928190")</f>
        <v>3928190</v>
      </c>
      <c r="H1324" t="s">
        <v>3765</v>
      </c>
      <c r="I1324">
        <v>0</v>
      </c>
      <c r="J1324">
        <v>0</v>
      </c>
      <c r="K1324" t="s">
        <v>4655</v>
      </c>
      <c r="L1324" t="s">
        <v>4655</v>
      </c>
      <c r="M1324" s="2">
        <v>0</v>
      </c>
      <c r="N1324" t="s">
        <v>4655</v>
      </c>
      <c r="O1324">
        <v>0</v>
      </c>
      <c r="P1324">
        <v>0</v>
      </c>
      <c r="Q1324">
        <v>0</v>
      </c>
      <c r="R1324" t="s">
        <v>4655</v>
      </c>
      <c r="S1324" t="s">
        <v>4655</v>
      </c>
      <c r="T1324" t="s">
        <v>4655</v>
      </c>
      <c r="U1324" t="s">
        <v>4655</v>
      </c>
      <c r="V1324" s="2">
        <v>0</v>
      </c>
      <c r="W1324" t="s">
        <v>4655</v>
      </c>
      <c r="X1324" s="2">
        <v>0</v>
      </c>
      <c r="Y1324">
        <v>23</v>
      </c>
      <c r="Z1324" t="s">
        <v>1776</v>
      </c>
      <c r="AA1324" s="3">
        <v>0.26499080657959001</v>
      </c>
      <c r="AB1324" t="s">
        <v>10899</v>
      </c>
      <c r="AC1324" t="s">
        <v>4562</v>
      </c>
      <c r="AD1324" t="s">
        <v>10900</v>
      </c>
      <c r="AE1324" t="s">
        <v>4655</v>
      </c>
      <c r="AF1324" t="s">
        <v>4563</v>
      </c>
      <c r="AG1324" t="s">
        <v>4564</v>
      </c>
      <c r="AH1324" t="s">
        <v>5197</v>
      </c>
      <c r="AI1324" t="s">
        <v>10901</v>
      </c>
      <c r="AJ1324" t="s">
        <v>4655</v>
      </c>
      <c r="AK1324" t="s">
        <v>10902</v>
      </c>
      <c r="AL1324" s="13" t="s">
        <v>3424</v>
      </c>
      <c r="AM1324">
        <v>0</v>
      </c>
      <c r="AN1324" s="15" t="s">
        <v>1681</v>
      </c>
    </row>
    <row r="1325" spans="1:40" x14ac:dyDescent="0.3">
      <c r="A1325" s="10" t="str">
        <f>HYPERLINK("http://www.washoecounty.gov/assessor/cama/?parid=017-262-52&amp;CardNumber=1","017-262-52")</f>
        <v>017-262-52</v>
      </c>
      <c r="B1325" t="s">
        <v>4655</v>
      </c>
      <c r="C1325" t="s">
        <v>10903</v>
      </c>
      <c r="D1325" s="1">
        <v>40359</v>
      </c>
      <c r="E1325" s="2">
        <v>58000</v>
      </c>
      <c r="F1325" t="s">
        <v>4567</v>
      </c>
      <c r="G1325" s="17" t="str">
        <f>HYPERLINK("https://www.washoecounty.gov/assessor/cama/?command=sales&amp;parid=01726252","3897504")</f>
        <v>3897504</v>
      </c>
      <c r="H1325" t="s">
        <v>2885</v>
      </c>
      <c r="I1325">
        <v>1973</v>
      </c>
      <c r="J1325">
        <v>1973</v>
      </c>
      <c r="K1325" t="s">
        <v>4847</v>
      </c>
      <c r="L1325" t="s">
        <v>4555</v>
      </c>
      <c r="M1325" s="2">
        <v>1358</v>
      </c>
      <c r="N1325" t="s">
        <v>4556</v>
      </c>
      <c r="O1325">
        <v>2</v>
      </c>
      <c r="P1325">
        <v>2</v>
      </c>
      <c r="Q1325">
        <v>0</v>
      </c>
      <c r="R1325" t="s">
        <v>4557</v>
      </c>
      <c r="S1325" t="s">
        <v>4558</v>
      </c>
      <c r="T1325" t="s">
        <v>3888</v>
      </c>
      <c r="U1325" t="s">
        <v>4655</v>
      </c>
      <c r="V1325" s="2">
        <v>0</v>
      </c>
      <c r="W1325" t="s">
        <v>4655</v>
      </c>
      <c r="X1325" s="2">
        <v>0</v>
      </c>
      <c r="Y1325">
        <v>22</v>
      </c>
      <c r="Z1325" t="s">
        <v>1776</v>
      </c>
      <c r="AA1325" s="3">
        <v>0.22899448871612499</v>
      </c>
      <c r="AB1325" t="s">
        <v>10904</v>
      </c>
      <c r="AC1325" t="s">
        <v>4562</v>
      </c>
      <c r="AD1325" t="s">
        <v>10903</v>
      </c>
      <c r="AE1325" t="s">
        <v>4655</v>
      </c>
      <c r="AF1325" t="s">
        <v>4563</v>
      </c>
      <c r="AG1325" t="s">
        <v>4564</v>
      </c>
      <c r="AH1325" t="s">
        <v>5197</v>
      </c>
      <c r="AI1325" t="s">
        <v>10905</v>
      </c>
      <c r="AJ1325" t="s">
        <v>4655</v>
      </c>
      <c r="AK1325" t="s">
        <v>10906</v>
      </c>
      <c r="AL1325" s="13" t="s">
        <v>3424</v>
      </c>
      <c r="AM1325" s="14">
        <v>1</v>
      </c>
      <c r="AN1325" s="15" t="s">
        <v>1681</v>
      </c>
    </row>
    <row r="1326" spans="1:40" x14ac:dyDescent="0.3">
      <c r="A1326" s="10" t="str">
        <f>HYPERLINK("http://www.washoecounty.gov/assessor/cama/?parid=017-271-07&amp;CardNumber=1","017-271-07")</f>
        <v>017-271-07</v>
      </c>
      <c r="B1326" t="s">
        <v>4655</v>
      </c>
      <c r="C1326" t="s">
        <v>10907</v>
      </c>
      <c r="D1326" s="1">
        <v>40323</v>
      </c>
      <c r="E1326" s="2">
        <v>80000</v>
      </c>
      <c r="F1326" t="s">
        <v>4567</v>
      </c>
      <c r="G1326" s="17" t="str">
        <f>HYPERLINK("https://www.washoecounty.gov/assessor/cama/?command=sales&amp;parid=01727107","3884664")</f>
        <v>3884664</v>
      </c>
      <c r="H1326" t="s">
        <v>3765</v>
      </c>
      <c r="I1326">
        <v>1984</v>
      </c>
      <c r="J1326">
        <v>1984</v>
      </c>
      <c r="K1326" t="s">
        <v>4847</v>
      </c>
      <c r="L1326" t="s">
        <v>4555</v>
      </c>
      <c r="M1326" s="2">
        <v>1344</v>
      </c>
      <c r="N1326" t="s">
        <v>5280</v>
      </c>
      <c r="O1326">
        <v>3</v>
      </c>
      <c r="P1326">
        <v>2</v>
      </c>
      <c r="Q1326">
        <v>0</v>
      </c>
      <c r="R1326" t="s">
        <v>5281</v>
      </c>
      <c r="S1326" t="s">
        <v>4558</v>
      </c>
      <c r="T1326" t="s">
        <v>4559</v>
      </c>
      <c r="U1326" t="s">
        <v>4655</v>
      </c>
      <c r="V1326" s="2">
        <v>0</v>
      </c>
      <c r="W1326" t="s">
        <v>4655</v>
      </c>
      <c r="X1326" s="2">
        <v>0</v>
      </c>
      <c r="Y1326">
        <v>23</v>
      </c>
      <c r="Z1326" t="s">
        <v>1776</v>
      </c>
      <c r="AA1326" s="3">
        <v>0.21999540925025901</v>
      </c>
      <c r="AB1326" t="s">
        <v>10908</v>
      </c>
      <c r="AC1326" t="s">
        <v>4562</v>
      </c>
      <c r="AD1326" t="s">
        <v>10907</v>
      </c>
      <c r="AE1326" t="s">
        <v>4655</v>
      </c>
      <c r="AF1326" t="s">
        <v>4563</v>
      </c>
      <c r="AG1326" t="s">
        <v>4564</v>
      </c>
      <c r="AH1326" t="s">
        <v>5197</v>
      </c>
      <c r="AI1326" t="s">
        <v>10909</v>
      </c>
      <c r="AJ1326" t="s">
        <v>4655</v>
      </c>
      <c r="AK1326" t="s">
        <v>10910</v>
      </c>
      <c r="AL1326" s="13" t="s">
        <v>3424</v>
      </c>
      <c r="AM1326">
        <v>1</v>
      </c>
      <c r="AN1326" s="15" t="s">
        <v>1681</v>
      </c>
    </row>
    <row r="1327" spans="1:40" x14ac:dyDescent="0.3">
      <c r="A1327" s="10" t="str">
        <f>HYPERLINK("http://www.washoecounty.gov/assessor/cama/?parid=017-281-03&amp;CardNumber=1","017-281-03")</f>
        <v>017-281-03</v>
      </c>
      <c r="B1327" t="s">
        <v>4655</v>
      </c>
      <c r="C1327" t="s">
        <v>10911</v>
      </c>
      <c r="D1327" s="1">
        <v>40298</v>
      </c>
      <c r="E1327" s="2">
        <v>70000</v>
      </c>
      <c r="F1327" t="s">
        <v>4567</v>
      </c>
      <c r="G1327" s="17" t="str">
        <f>HYPERLINK("https://www.washoecounty.gov/assessor/cama/?command=sales&amp;parid=01728103","3876643")</f>
        <v>3876643</v>
      </c>
      <c r="H1327" t="s">
        <v>4376</v>
      </c>
      <c r="I1327">
        <v>0</v>
      </c>
      <c r="J1327">
        <v>0</v>
      </c>
      <c r="K1327" t="s">
        <v>4655</v>
      </c>
      <c r="L1327" t="s">
        <v>4655</v>
      </c>
      <c r="M1327" s="2">
        <v>0</v>
      </c>
      <c r="N1327" t="s">
        <v>4655</v>
      </c>
      <c r="O1327">
        <v>0</v>
      </c>
      <c r="P1327">
        <v>0</v>
      </c>
      <c r="Q1327">
        <v>0</v>
      </c>
      <c r="R1327" t="s">
        <v>4655</v>
      </c>
      <c r="S1327" t="s">
        <v>4655</v>
      </c>
      <c r="T1327" t="s">
        <v>4655</v>
      </c>
      <c r="U1327" t="s">
        <v>4655</v>
      </c>
      <c r="V1327" s="2">
        <v>0</v>
      </c>
      <c r="W1327" t="s">
        <v>4655</v>
      </c>
      <c r="X1327" s="2">
        <v>0</v>
      </c>
      <c r="Y1327">
        <v>23</v>
      </c>
      <c r="Z1327" t="s">
        <v>1776</v>
      </c>
      <c r="AA1327" s="3">
        <v>0.20700183510780301</v>
      </c>
      <c r="AB1327" t="s">
        <v>10912</v>
      </c>
      <c r="AC1327" t="s">
        <v>4562</v>
      </c>
      <c r="AD1327" t="s">
        <v>10911</v>
      </c>
      <c r="AE1327" t="s">
        <v>4655</v>
      </c>
      <c r="AF1327" t="s">
        <v>4563</v>
      </c>
      <c r="AG1327" t="s">
        <v>4564</v>
      </c>
      <c r="AH1327" t="s">
        <v>5197</v>
      </c>
      <c r="AI1327" t="s">
        <v>4377</v>
      </c>
      <c r="AJ1327" t="s">
        <v>4655</v>
      </c>
      <c r="AK1327" t="s">
        <v>10913</v>
      </c>
      <c r="AL1327" s="13" t="s">
        <v>3424</v>
      </c>
      <c r="AM1327">
        <v>0</v>
      </c>
      <c r="AN1327" s="15" t="s">
        <v>1681</v>
      </c>
    </row>
    <row r="1328" spans="1:40" x14ac:dyDescent="0.3">
      <c r="A1328" s="10" t="str">
        <f>HYPERLINK("http://www.washoecounty.gov/assessor/cama/?parid=017-283-15&amp;CardNumber=1","017-283-15")</f>
        <v>017-283-15</v>
      </c>
      <c r="B1328" t="s">
        <v>4655</v>
      </c>
      <c r="C1328" t="s">
        <v>2984</v>
      </c>
      <c r="D1328" s="1">
        <v>40455</v>
      </c>
      <c r="E1328" s="2">
        <v>46000</v>
      </c>
      <c r="F1328" t="s">
        <v>4567</v>
      </c>
      <c r="G1328" s="17" t="str">
        <f>HYPERLINK("https://www.washoecounty.gov/assessor/cama/?command=sales&amp;parid=01728315","3929178")</f>
        <v>3929178</v>
      </c>
      <c r="H1328" t="s">
        <v>3765</v>
      </c>
      <c r="I1328">
        <v>0</v>
      </c>
      <c r="J1328">
        <v>0</v>
      </c>
      <c r="K1328" t="s">
        <v>4655</v>
      </c>
      <c r="L1328" t="s">
        <v>4655</v>
      </c>
      <c r="M1328" s="2">
        <v>0</v>
      </c>
      <c r="N1328" t="s">
        <v>4655</v>
      </c>
      <c r="O1328">
        <v>0</v>
      </c>
      <c r="P1328">
        <v>0</v>
      </c>
      <c r="Q1328">
        <v>0</v>
      </c>
      <c r="R1328" t="s">
        <v>4655</v>
      </c>
      <c r="S1328" t="s">
        <v>4655</v>
      </c>
      <c r="T1328" t="s">
        <v>4655</v>
      </c>
      <c r="U1328" t="s">
        <v>4655</v>
      </c>
      <c r="V1328" s="2">
        <v>0</v>
      </c>
      <c r="W1328" t="s">
        <v>4655</v>
      </c>
      <c r="X1328" s="2">
        <v>0</v>
      </c>
      <c r="Y1328">
        <v>23</v>
      </c>
      <c r="Z1328" t="s">
        <v>1776</v>
      </c>
      <c r="AA1328" s="3">
        <v>0.21000918745994601</v>
      </c>
      <c r="AB1328" t="s">
        <v>2985</v>
      </c>
      <c r="AC1328" t="s">
        <v>4562</v>
      </c>
      <c r="AD1328" t="s">
        <v>2984</v>
      </c>
      <c r="AE1328" t="s">
        <v>4655</v>
      </c>
      <c r="AF1328" t="s">
        <v>4563</v>
      </c>
      <c r="AG1328" t="s">
        <v>4564</v>
      </c>
      <c r="AH1328" t="s">
        <v>5197</v>
      </c>
      <c r="AI1328" t="s">
        <v>10914</v>
      </c>
      <c r="AJ1328" t="s">
        <v>4655</v>
      </c>
      <c r="AK1328" t="s">
        <v>2630</v>
      </c>
      <c r="AL1328" s="13" t="s">
        <v>3424</v>
      </c>
      <c r="AM1328">
        <v>0</v>
      </c>
      <c r="AN1328" s="15" t="s">
        <v>1681</v>
      </c>
    </row>
    <row r="1329" spans="1:40" x14ac:dyDescent="0.3">
      <c r="A1329" s="10" t="str">
        <f>HYPERLINK("http://www.washoecounty.gov/assessor/cama/?parid=017-283-18&amp;CardNumber=1","017-283-18")</f>
        <v>017-283-18</v>
      </c>
      <c r="B1329" t="s">
        <v>4655</v>
      </c>
      <c r="C1329" t="s">
        <v>10915</v>
      </c>
      <c r="D1329" s="1">
        <v>40312</v>
      </c>
      <c r="E1329" s="2">
        <v>85000</v>
      </c>
      <c r="F1329" t="s">
        <v>4567</v>
      </c>
      <c r="G1329" s="17" t="str">
        <f>HYPERLINK("https://www.washoecounty.gov/assessor/cama/?command=sales&amp;parid=01728318","3881621")</f>
        <v>3881621</v>
      </c>
      <c r="H1329" t="s">
        <v>3765</v>
      </c>
      <c r="I1329">
        <v>1973</v>
      </c>
      <c r="J1329">
        <v>1973</v>
      </c>
      <c r="K1329" t="s">
        <v>4847</v>
      </c>
      <c r="L1329" t="s">
        <v>4555</v>
      </c>
      <c r="M1329" s="2">
        <v>1200</v>
      </c>
      <c r="N1329" t="s">
        <v>4556</v>
      </c>
      <c r="O1329">
        <v>2</v>
      </c>
      <c r="P1329">
        <v>2</v>
      </c>
      <c r="Q1329">
        <v>0</v>
      </c>
      <c r="R1329" t="s">
        <v>4557</v>
      </c>
      <c r="S1329" t="s">
        <v>1155</v>
      </c>
      <c r="T1329" t="s">
        <v>4559</v>
      </c>
      <c r="U1329" t="s">
        <v>4655</v>
      </c>
      <c r="V1329" s="2">
        <v>0</v>
      </c>
      <c r="W1329" t="s">
        <v>4655</v>
      </c>
      <c r="X1329" s="2">
        <v>0</v>
      </c>
      <c r="Y1329">
        <v>23</v>
      </c>
      <c r="Z1329" t="s">
        <v>1776</v>
      </c>
      <c r="AA1329" s="3">
        <v>0.21000918745994601</v>
      </c>
      <c r="AB1329" t="s">
        <v>10916</v>
      </c>
      <c r="AC1329" t="s">
        <v>4575</v>
      </c>
      <c r="AD1329" t="s">
        <v>10915</v>
      </c>
      <c r="AE1329" t="s">
        <v>4655</v>
      </c>
      <c r="AF1329" t="s">
        <v>4563</v>
      </c>
      <c r="AG1329" t="s">
        <v>4564</v>
      </c>
      <c r="AH1329" t="s">
        <v>5197</v>
      </c>
      <c r="AI1329" t="s">
        <v>10917</v>
      </c>
      <c r="AJ1329" t="s">
        <v>4655</v>
      </c>
      <c r="AK1329" t="s">
        <v>10918</v>
      </c>
      <c r="AL1329" s="13" t="s">
        <v>3424</v>
      </c>
      <c r="AM1329" s="14">
        <v>1</v>
      </c>
      <c r="AN1329" s="15" t="s">
        <v>1681</v>
      </c>
    </row>
    <row r="1330" spans="1:40" x14ac:dyDescent="0.3">
      <c r="A1330" s="10" t="str">
        <f>HYPERLINK("http://www.washoecounty.gov/assessor/cama/?parid=017-291-47&amp;CardNumber=1","017-291-47")</f>
        <v>017-291-47</v>
      </c>
      <c r="B1330" t="s">
        <v>4655</v>
      </c>
      <c r="C1330" t="s">
        <v>10919</v>
      </c>
      <c r="D1330" s="1">
        <v>40501</v>
      </c>
      <c r="E1330" s="2">
        <v>60500</v>
      </c>
      <c r="F1330" t="s">
        <v>4567</v>
      </c>
      <c r="G1330" s="17" t="str">
        <f>HYPERLINK("https://www.washoecounty.gov/assessor/cama/?command=sales&amp;parid=01729147","3944979")</f>
        <v>3944979</v>
      </c>
      <c r="H1330" t="s">
        <v>4376</v>
      </c>
      <c r="I1330">
        <v>0</v>
      </c>
      <c r="J1330">
        <v>0</v>
      </c>
      <c r="K1330" t="s">
        <v>4655</v>
      </c>
      <c r="L1330" t="s">
        <v>4655</v>
      </c>
      <c r="M1330" s="2">
        <v>0</v>
      </c>
      <c r="N1330" t="s">
        <v>4655</v>
      </c>
      <c r="O1330">
        <v>0</v>
      </c>
      <c r="P1330">
        <v>0</v>
      </c>
      <c r="Q1330">
        <v>0</v>
      </c>
      <c r="R1330" t="s">
        <v>4655</v>
      </c>
      <c r="S1330" t="s">
        <v>4655</v>
      </c>
      <c r="T1330" t="s">
        <v>4655</v>
      </c>
      <c r="U1330" t="s">
        <v>4655</v>
      </c>
      <c r="V1330" s="2">
        <v>0</v>
      </c>
      <c r="W1330" t="s">
        <v>4655</v>
      </c>
      <c r="X1330" s="2">
        <v>0</v>
      </c>
      <c r="Y1330">
        <v>23</v>
      </c>
      <c r="Z1330" t="s">
        <v>1776</v>
      </c>
      <c r="AA1330" s="3">
        <v>0.23000459372997301</v>
      </c>
      <c r="AB1330" t="s">
        <v>10920</v>
      </c>
      <c r="AC1330" t="s">
        <v>4562</v>
      </c>
      <c r="AD1330" t="s">
        <v>10921</v>
      </c>
      <c r="AE1330" t="s">
        <v>4655</v>
      </c>
      <c r="AF1330" t="s">
        <v>4563</v>
      </c>
      <c r="AG1330" t="s">
        <v>4564</v>
      </c>
      <c r="AH1330">
        <v>89511</v>
      </c>
      <c r="AI1330" t="s">
        <v>10922</v>
      </c>
      <c r="AJ1330" t="s">
        <v>4655</v>
      </c>
      <c r="AK1330" t="s">
        <v>10923</v>
      </c>
      <c r="AL1330" s="13" t="s">
        <v>3424</v>
      </c>
      <c r="AM1330" s="14">
        <v>0</v>
      </c>
      <c r="AN1330" s="15" t="s">
        <v>1681</v>
      </c>
    </row>
    <row r="1331" spans="1:40" x14ac:dyDescent="0.3">
      <c r="A1331" s="10" t="str">
        <f>HYPERLINK("http://www.washoecounty.gov/assessor/cama/?parid=017-350-30&amp;CardNumber=1","017-350-30")</f>
        <v>017-350-30</v>
      </c>
      <c r="B1331" t="s">
        <v>4655</v>
      </c>
      <c r="C1331" t="s">
        <v>10924</v>
      </c>
      <c r="D1331" s="1">
        <v>40421</v>
      </c>
      <c r="E1331" s="2">
        <v>232000</v>
      </c>
      <c r="F1331" t="s">
        <v>4553</v>
      </c>
      <c r="G1331" s="17" t="str">
        <f>HYPERLINK("https://www.washoecounty.gov/assessor/cama/?command=sales&amp;parid=01735030","3917336")</f>
        <v>3917336</v>
      </c>
      <c r="H1331" t="s">
        <v>1430</v>
      </c>
      <c r="I1331">
        <v>2008</v>
      </c>
      <c r="J1331">
        <v>2008</v>
      </c>
      <c r="K1331" t="s">
        <v>4554</v>
      </c>
      <c r="L1331" t="s">
        <v>4555</v>
      </c>
      <c r="M1331" s="2">
        <v>2593</v>
      </c>
      <c r="N1331" t="s">
        <v>2012</v>
      </c>
      <c r="O1331">
        <v>5</v>
      </c>
      <c r="P1331">
        <v>5</v>
      </c>
      <c r="Q1331">
        <v>1</v>
      </c>
      <c r="R1331" t="s">
        <v>5281</v>
      </c>
      <c r="S1331" t="s">
        <v>4898</v>
      </c>
      <c r="T1331" t="s">
        <v>2704</v>
      </c>
      <c r="U1331" t="s">
        <v>4560</v>
      </c>
      <c r="V1331" s="2">
        <v>1568</v>
      </c>
      <c r="W1331" t="s">
        <v>3201</v>
      </c>
      <c r="X1331" s="2">
        <v>2521</v>
      </c>
      <c r="Y1331">
        <v>20</v>
      </c>
      <c r="Z1331" t="s">
        <v>3884</v>
      </c>
      <c r="AA1331" s="3">
        <v>0.98999083042144698</v>
      </c>
      <c r="AB1331" t="s">
        <v>10925</v>
      </c>
      <c r="AC1331" t="s">
        <v>4575</v>
      </c>
      <c r="AD1331" t="s">
        <v>10926</v>
      </c>
      <c r="AE1331" t="s">
        <v>10927</v>
      </c>
      <c r="AF1331" t="s">
        <v>4563</v>
      </c>
      <c r="AG1331" t="s">
        <v>4564</v>
      </c>
      <c r="AH1331" t="s">
        <v>5197</v>
      </c>
      <c r="AI1331" t="s">
        <v>10928</v>
      </c>
      <c r="AJ1331" t="s">
        <v>4655</v>
      </c>
      <c r="AK1331" t="s">
        <v>10929</v>
      </c>
      <c r="AL1331" s="13" t="s">
        <v>1892</v>
      </c>
      <c r="AM1331">
        <v>1</v>
      </c>
      <c r="AN1331" s="15" t="s">
        <v>1842</v>
      </c>
    </row>
    <row r="1332" spans="1:40" x14ac:dyDescent="0.3">
      <c r="A1332" s="10" t="str">
        <f>HYPERLINK("http://www.washoecounty.gov/assessor/cama/?parid=017-350-47&amp;CardNumber=1","017-350-47")</f>
        <v>017-350-47</v>
      </c>
      <c r="B1332" t="s">
        <v>4655</v>
      </c>
      <c r="C1332" t="s">
        <v>10930</v>
      </c>
      <c r="D1332" s="1">
        <v>40533</v>
      </c>
      <c r="E1332" s="2">
        <v>425000</v>
      </c>
      <c r="F1332" t="s">
        <v>4567</v>
      </c>
      <c r="G1332" s="17" t="str">
        <f>HYPERLINK("https://www.washoecounty.gov/assessor/cama/?command=sales&amp;parid=01735047","3956051")</f>
        <v>3956051</v>
      </c>
      <c r="H1332" t="s">
        <v>3831</v>
      </c>
      <c r="I1332">
        <v>1979</v>
      </c>
      <c r="J1332">
        <v>1979</v>
      </c>
      <c r="K1332" t="s">
        <v>4554</v>
      </c>
      <c r="L1332" t="s">
        <v>4555</v>
      </c>
      <c r="M1332" s="2">
        <v>1560</v>
      </c>
      <c r="N1332" t="s">
        <v>3147</v>
      </c>
      <c r="O1332">
        <v>6</v>
      </c>
      <c r="P1332">
        <v>2</v>
      </c>
      <c r="Q1332">
        <v>1</v>
      </c>
      <c r="R1332" t="s">
        <v>5281</v>
      </c>
      <c r="S1332" t="s">
        <v>4898</v>
      </c>
      <c r="T1332" t="s">
        <v>4559</v>
      </c>
      <c r="U1332" t="s">
        <v>4655</v>
      </c>
      <c r="V1332" s="2">
        <v>0</v>
      </c>
      <c r="W1332" t="s">
        <v>4571</v>
      </c>
      <c r="X1332" s="2">
        <v>1857</v>
      </c>
      <c r="Y1332">
        <v>20</v>
      </c>
      <c r="Z1332" t="s">
        <v>3884</v>
      </c>
      <c r="AA1332" s="3">
        <v>1.12100553512573</v>
      </c>
      <c r="AB1332" t="s">
        <v>10931</v>
      </c>
      <c r="AC1332" t="s">
        <v>4575</v>
      </c>
      <c r="AD1332" t="s">
        <v>10930</v>
      </c>
      <c r="AE1332" t="s">
        <v>4655</v>
      </c>
      <c r="AF1332" t="s">
        <v>4563</v>
      </c>
      <c r="AG1332" t="s">
        <v>4564</v>
      </c>
      <c r="AH1332" t="s">
        <v>5197</v>
      </c>
      <c r="AI1332" t="s">
        <v>10932</v>
      </c>
      <c r="AJ1332" t="s">
        <v>10933</v>
      </c>
      <c r="AK1332" t="s">
        <v>10934</v>
      </c>
      <c r="AL1332" s="13" t="s">
        <v>1892</v>
      </c>
      <c r="AM1332">
        <v>1</v>
      </c>
      <c r="AN1332" s="15" t="s">
        <v>1842</v>
      </c>
    </row>
    <row r="1333" spans="1:40" x14ac:dyDescent="0.3">
      <c r="A1333" s="10" t="str">
        <f>HYPERLINK("http://www.washoecounty.gov/assessor/cama/?parid=017-372-29&amp;CardNumber=1","017-372-29")</f>
        <v>017-372-29</v>
      </c>
      <c r="B1333" t="s">
        <v>4655</v>
      </c>
      <c r="C1333" t="s">
        <v>10935</v>
      </c>
      <c r="D1333" s="1">
        <v>40445</v>
      </c>
      <c r="E1333" s="2">
        <v>1735000</v>
      </c>
      <c r="F1333" t="s">
        <v>4567</v>
      </c>
      <c r="G1333" s="17" t="str">
        <f>HYPERLINK("https://www.washoecounty.gov/assessor/cama/?command=sales&amp;parid=01737229","3926084")</f>
        <v>3926084</v>
      </c>
      <c r="H1333" t="s">
        <v>10936</v>
      </c>
      <c r="I1333">
        <v>2000</v>
      </c>
      <c r="J1333">
        <v>2000</v>
      </c>
      <c r="K1333" t="s">
        <v>4554</v>
      </c>
      <c r="L1333" t="s">
        <v>4555</v>
      </c>
      <c r="M1333" s="2">
        <v>5827</v>
      </c>
      <c r="N1333" t="s">
        <v>5106</v>
      </c>
      <c r="O1333">
        <v>4</v>
      </c>
      <c r="P1333">
        <v>2</v>
      </c>
      <c r="Q1333">
        <v>1</v>
      </c>
      <c r="R1333" t="s">
        <v>5281</v>
      </c>
      <c r="S1333" t="s">
        <v>4898</v>
      </c>
      <c r="T1333" t="s">
        <v>2704</v>
      </c>
      <c r="U1333" t="s">
        <v>4655</v>
      </c>
      <c r="V1333" s="2">
        <v>0</v>
      </c>
      <c r="W1333" t="s">
        <v>4655</v>
      </c>
      <c r="X1333" s="2">
        <v>0</v>
      </c>
      <c r="Y1333">
        <v>20</v>
      </c>
      <c r="Z1333" t="s">
        <v>1376</v>
      </c>
      <c r="AA1333" s="3">
        <v>12.0900001525878</v>
      </c>
      <c r="AB1333" t="s">
        <v>10937</v>
      </c>
      <c r="AC1333" t="s">
        <v>4562</v>
      </c>
      <c r="AD1333" t="s">
        <v>10935</v>
      </c>
      <c r="AE1333" t="s">
        <v>4655</v>
      </c>
      <c r="AF1333" t="s">
        <v>4563</v>
      </c>
      <c r="AG1333" t="s">
        <v>4564</v>
      </c>
      <c r="AH1333" t="s">
        <v>5197</v>
      </c>
      <c r="AI1333" t="s">
        <v>5144</v>
      </c>
      <c r="AJ1333" t="s">
        <v>10938</v>
      </c>
      <c r="AK1333" t="s">
        <v>10939</v>
      </c>
      <c r="AL1333" s="13" t="s">
        <v>1892</v>
      </c>
      <c r="AM1333">
        <v>1</v>
      </c>
      <c r="AN1333" s="15" t="s">
        <v>10940</v>
      </c>
    </row>
    <row r="1334" spans="1:40" x14ac:dyDescent="0.3">
      <c r="A1334" s="10" t="str">
        <f>HYPERLINK("http://www.washoecounty.gov/assessor/cama/?parid=017-400-62&amp;CardNumber=1","017-400-62")</f>
        <v>017-400-62</v>
      </c>
      <c r="B1334" t="s">
        <v>4655</v>
      </c>
      <c r="C1334" t="s">
        <v>10941</v>
      </c>
      <c r="D1334" s="1">
        <v>40515</v>
      </c>
      <c r="E1334" s="2">
        <v>755000</v>
      </c>
      <c r="F1334" t="s">
        <v>4567</v>
      </c>
      <c r="G1334" s="17" t="str">
        <f>HYPERLINK("https://www.washoecounty.gov/assessor/cama/?command=sales&amp;parid=01740062","3949299")</f>
        <v>3949299</v>
      </c>
      <c r="H1334" t="s">
        <v>10942</v>
      </c>
      <c r="I1334">
        <v>1980</v>
      </c>
      <c r="J1334">
        <v>1987</v>
      </c>
      <c r="K1334" t="s">
        <v>4554</v>
      </c>
      <c r="L1334" t="s">
        <v>3974</v>
      </c>
      <c r="M1334" s="2">
        <v>3625</v>
      </c>
      <c r="N1334" t="s">
        <v>5280</v>
      </c>
      <c r="O1334">
        <v>4</v>
      </c>
      <c r="P1334">
        <v>4</v>
      </c>
      <c r="Q1334">
        <v>0</v>
      </c>
      <c r="R1334" t="s">
        <v>4557</v>
      </c>
      <c r="S1334" t="s">
        <v>4558</v>
      </c>
      <c r="T1334" t="s">
        <v>4559</v>
      </c>
      <c r="U1334" t="s">
        <v>162</v>
      </c>
      <c r="V1334" s="2">
        <v>1872</v>
      </c>
      <c r="W1334" t="s">
        <v>4655</v>
      </c>
      <c r="X1334" s="2">
        <v>0</v>
      </c>
      <c r="Y1334">
        <v>20</v>
      </c>
      <c r="Z1334" t="s">
        <v>3884</v>
      </c>
      <c r="AA1334" s="3">
        <v>4.429999828338623</v>
      </c>
      <c r="AB1334" t="s">
        <v>10943</v>
      </c>
      <c r="AC1334" t="s">
        <v>4575</v>
      </c>
      <c r="AD1334" t="s">
        <v>10941</v>
      </c>
      <c r="AE1334" t="s">
        <v>4655</v>
      </c>
      <c r="AF1334" t="s">
        <v>4563</v>
      </c>
      <c r="AG1334" t="s">
        <v>4564</v>
      </c>
      <c r="AH1334" t="s">
        <v>5197</v>
      </c>
      <c r="AI1334" t="s">
        <v>10944</v>
      </c>
      <c r="AJ1334" t="s">
        <v>4571</v>
      </c>
      <c r="AK1334" t="s">
        <v>10945</v>
      </c>
      <c r="AL1334" s="13" t="s">
        <v>1892</v>
      </c>
      <c r="AM1334">
        <v>1</v>
      </c>
      <c r="AN1334" s="15" t="s">
        <v>10940</v>
      </c>
    </row>
    <row r="1335" spans="1:40" x14ac:dyDescent="0.3">
      <c r="A1335" s="10" t="str">
        <f>HYPERLINK("http://www.washoecounty.gov/assessor/cama/?parid=017-461-05&amp;CardNumber=1","017-461-05")</f>
        <v>017-461-05</v>
      </c>
      <c r="B1335" t="s">
        <v>4655</v>
      </c>
      <c r="C1335" t="s">
        <v>10946</v>
      </c>
      <c r="D1335" s="1">
        <v>40386</v>
      </c>
      <c r="E1335" s="2">
        <v>250000</v>
      </c>
      <c r="F1335" t="s">
        <v>4567</v>
      </c>
      <c r="G1335" s="17" t="str">
        <f>HYPERLINK("https://www.washoecounty.gov/assessor/cama/?command=sales&amp;parid=01746105","3905369")</f>
        <v>3905369</v>
      </c>
      <c r="H1335" t="s">
        <v>10947</v>
      </c>
      <c r="I1335">
        <v>1995</v>
      </c>
      <c r="J1335">
        <v>1995</v>
      </c>
      <c r="K1335" t="s">
        <v>4554</v>
      </c>
      <c r="L1335" t="s">
        <v>2170</v>
      </c>
      <c r="M1335" s="2">
        <v>1616</v>
      </c>
      <c r="N1335" t="s">
        <v>5280</v>
      </c>
      <c r="O1335">
        <v>3</v>
      </c>
      <c r="P1335">
        <v>2</v>
      </c>
      <c r="Q1335">
        <v>1</v>
      </c>
      <c r="R1335" t="s">
        <v>4557</v>
      </c>
      <c r="S1335" t="s">
        <v>4558</v>
      </c>
      <c r="T1335" t="s">
        <v>4559</v>
      </c>
      <c r="U1335" t="s">
        <v>5631</v>
      </c>
      <c r="V1335" s="2">
        <v>500</v>
      </c>
      <c r="W1335" t="s">
        <v>4655</v>
      </c>
      <c r="X1335" s="2">
        <v>0</v>
      </c>
      <c r="Y1335">
        <v>20</v>
      </c>
      <c r="Z1335" t="s">
        <v>5508</v>
      </c>
      <c r="AA1335" s="3">
        <v>0.34499540925025901</v>
      </c>
      <c r="AB1335" t="s">
        <v>10948</v>
      </c>
      <c r="AC1335" t="s">
        <v>4562</v>
      </c>
      <c r="AD1335" t="s">
        <v>10946</v>
      </c>
      <c r="AE1335" t="s">
        <v>4655</v>
      </c>
      <c r="AF1335" t="s">
        <v>4563</v>
      </c>
      <c r="AG1335" t="s">
        <v>4564</v>
      </c>
      <c r="AH1335" t="s">
        <v>5197</v>
      </c>
      <c r="AI1335" t="s">
        <v>10949</v>
      </c>
      <c r="AJ1335" t="s">
        <v>10950</v>
      </c>
      <c r="AK1335" t="s">
        <v>10951</v>
      </c>
      <c r="AL1335" s="13" t="s">
        <v>3424</v>
      </c>
      <c r="AM1335" s="14">
        <v>1</v>
      </c>
      <c r="AN1335" s="15" t="s">
        <v>4061</v>
      </c>
    </row>
    <row r="1336" spans="1:40" x14ac:dyDescent="0.3">
      <c r="A1336" s="10" t="str">
        <f>HYPERLINK("http://www.washoecounty.gov/assessor/cama/?parid=017-463-02&amp;CardNumber=1","017-463-02")</f>
        <v>017-463-02</v>
      </c>
      <c r="B1336" t="s">
        <v>4655</v>
      </c>
      <c r="C1336" t="s">
        <v>10952</v>
      </c>
      <c r="D1336" s="1">
        <v>40270</v>
      </c>
      <c r="E1336" s="2">
        <v>240000</v>
      </c>
      <c r="F1336" t="s">
        <v>4567</v>
      </c>
      <c r="G1336" s="17" t="str">
        <f>HYPERLINK("https://www.washoecounty.gov/assessor/cama/?command=sales&amp;parid=01746302","3867268")</f>
        <v>3867268</v>
      </c>
      <c r="H1336" t="s">
        <v>10947</v>
      </c>
      <c r="I1336">
        <v>1995</v>
      </c>
      <c r="J1336">
        <v>1995</v>
      </c>
      <c r="K1336" t="s">
        <v>4554</v>
      </c>
      <c r="L1336" t="s">
        <v>4555</v>
      </c>
      <c r="M1336" s="2">
        <v>1536</v>
      </c>
      <c r="N1336" t="s">
        <v>5280</v>
      </c>
      <c r="O1336">
        <v>3</v>
      </c>
      <c r="P1336">
        <v>2</v>
      </c>
      <c r="Q1336">
        <v>0</v>
      </c>
      <c r="R1336" t="s">
        <v>4557</v>
      </c>
      <c r="S1336" t="s">
        <v>4558</v>
      </c>
      <c r="T1336" t="s">
        <v>4559</v>
      </c>
      <c r="U1336" t="s">
        <v>4560</v>
      </c>
      <c r="V1336" s="2">
        <v>460</v>
      </c>
      <c r="W1336" t="s">
        <v>4655</v>
      </c>
      <c r="X1336" s="2">
        <v>0</v>
      </c>
      <c r="Y1336">
        <v>20</v>
      </c>
      <c r="Z1336" t="s">
        <v>5508</v>
      </c>
      <c r="AA1336" s="3">
        <v>0.34400826692581199</v>
      </c>
      <c r="AB1336" t="s">
        <v>10953</v>
      </c>
      <c r="AC1336" t="s">
        <v>4562</v>
      </c>
      <c r="AD1336" t="s">
        <v>10952</v>
      </c>
      <c r="AE1336" t="s">
        <v>4655</v>
      </c>
      <c r="AF1336" t="s">
        <v>4563</v>
      </c>
      <c r="AG1336" t="s">
        <v>4564</v>
      </c>
      <c r="AH1336" t="s">
        <v>5197</v>
      </c>
      <c r="AI1336" t="s">
        <v>10954</v>
      </c>
      <c r="AJ1336" t="s">
        <v>10950</v>
      </c>
      <c r="AK1336" t="s">
        <v>10955</v>
      </c>
      <c r="AL1336" s="13" t="s">
        <v>3424</v>
      </c>
      <c r="AM1336">
        <v>1</v>
      </c>
      <c r="AN1336" s="15" t="s">
        <v>4061</v>
      </c>
    </row>
    <row r="1337" spans="1:40" x14ac:dyDescent="0.3">
      <c r="A1337" s="10" t="str">
        <f>HYPERLINK("http://www.washoecounty.gov/assessor/cama/?parid=017-473-01&amp;CardNumber=1","017-473-01")</f>
        <v>017-473-01</v>
      </c>
      <c r="B1337" t="s">
        <v>4655</v>
      </c>
      <c r="C1337" t="s">
        <v>10956</v>
      </c>
      <c r="D1337" s="1">
        <v>40318</v>
      </c>
      <c r="E1337" s="2">
        <v>255000</v>
      </c>
      <c r="F1337" t="s">
        <v>4567</v>
      </c>
      <c r="G1337" s="17" t="str">
        <f>HYPERLINK("https://www.washoecounty.gov/assessor/cama/?command=sales&amp;parid=01747301","3883529")</f>
        <v>3883529</v>
      </c>
      <c r="H1337" t="s">
        <v>4005</v>
      </c>
      <c r="I1337">
        <v>1995</v>
      </c>
      <c r="J1337">
        <v>1995</v>
      </c>
      <c r="K1337" t="s">
        <v>4554</v>
      </c>
      <c r="L1337" t="s">
        <v>2170</v>
      </c>
      <c r="M1337" s="2">
        <v>1616</v>
      </c>
      <c r="N1337" t="s">
        <v>5280</v>
      </c>
      <c r="O1337">
        <v>3</v>
      </c>
      <c r="P1337">
        <v>2</v>
      </c>
      <c r="Q1337">
        <v>1</v>
      </c>
      <c r="R1337" t="s">
        <v>4557</v>
      </c>
      <c r="S1337" t="s">
        <v>4558</v>
      </c>
      <c r="T1337" t="s">
        <v>4559</v>
      </c>
      <c r="U1337" t="s">
        <v>5631</v>
      </c>
      <c r="V1337" s="2">
        <v>500</v>
      </c>
      <c r="W1337" t="s">
        <v>4655</v>
      </c>
      <c r="X1337" s="2">
        <v>0</v>
      </c>
      <c r="Y1337">
        <v>20</v>
      </c>
      <c r="Z1337" t="s">
        <v>5508</v>
      </c>
      <c r="AA1337" s="3">
        <v>0.36701101064682001</v>
      </c>
      <c r="AB1337" t="s">
        <v>10957</v>
      </c>
      <c r="AC1337" t="s">
        <v>4575</v>
      </c>
      <c r="AD1337" t="s">
        <v>10956</v>
      </c>
      <c r="AE1337" t="s">
        <v>4655</v>
      </c>
      <c r="AF1337" t="s">
        <v>4563</v>
      </c>
      <c r="AG1337" t="s">
        <v>4564</v>
      </c>
      <c r="AH1337" t="s">
        <v>5197</v>
      </c>
      <c r="AI1337" t="s">
        <v>10958</v>
      </c>
      <c r="AJ1337" t="s">
        <v>3378</v>
      </c>
      <c r="AK1337" t="s">
        <v>10959</v>
      </c>
      <c r="AL1337" s="13" t="s">
        <v>3424</v>
      </c>
      <c r="AM1337" s="14">
        <v>1</v>
      </c>
      <c r="AN1337" s="15" t="s">
        <v>4061</v>
      </c>
    </row>
    <row r="1338" spans="1:40" x14ac:dyDescent="0.3">
      <c r="A1338" s="10" t="str">
        <f>HYPERLINK("http://www.washoecounty.gov/assessor/cama/?parid=017-492-08&amp;CardNumber=1","017-492-08")</f>
        <v>017-492-08</v>
      </c>
      <c r="B1338" t="s">
        <v>4655</v>
      </c>
      <c r="C1338" t="s">
        <v>10960</v>
      </c>
      <c r="D1338" s="1">
        <v>40354</v>
      </c>
      <c r="E1338" s="2">
        <v>285000</v>
      </c>
      <c r="F1338" t="s">
        <v>4553</v>
      </c>
      <c r="G1338" s="17" t="str">
        <f>HYPERLINK("https://www.washoecounty.gov/assessor/cama/?command=sales&amp;parid=01749208","3895604")</f>
        <v>3895604</v>
      </c>
      <c r="H1338" t="s">
        <v>629</v>
      </c>
      <c r="I1338">
        <v>1997</v>
      </c>
      <c r="J1338">
        <v>1997</v>
      </c>
      <c r="K1338" t="s">
        <v>4554</v>
      </c>
      <c r="L1338" t="s">
        <v>3974</v>
      </c>
      <c r="M1338" s="2">
        <v>2326</v>
      </c>
      <c r="N1338" t="s">
        <v>3147</v>
      </c>
      <c r="O1338">
        <v>4</v>
      </c>
      <c r="P1338">
        <v>2</v>
      </c>
      <c r="Q1338">
        <v>1</v>
      </c>
      <c r="R1338" t="s">
        <v>5281</v>
      </c>
      <c r="S1338" t="s">
        <v>4558</v>
      </c>
      <c r="T1338" t="s">
        <v>4559</v>
      </c>
      <c r="U1338" t="s">
        <v>5631</v>
      </c>
      <c r="V1338" s="2">
        <v>675</v>
      </c>
      <c r="W1338" t="s">
        <v>4655</v>
      </c>
      <c r="X1338" s="2">
        <v>0</v>
      </c>
      <c r="Y1338">
        <v>20</v>
      </c>
      <c r="Z1338" t="s">
        <v>5508</v>
      </c>
      <c r="AA1338" s="3">
        <v>0.34499540925025901</v>
      </c>
      <c r="AB1338" t="s">
        <v>10961</v>
      </c>
      <c r="AC1338" t="s">
        <v>4562</v>
      </c>
      <c r="AD1338" t="s">
        <v>10962</v>
      </c>
      <c r="AE1338" t="s">
        <v>4655</v>
      </c>
      <c r="AF1338" t="s">
        <v>4563</v>
      </c>
      <c r="AG1338" t="s">
        <v>4564</v>
      </c>
      <c r="AH1338" t="s">
        <v>5197</v>
      </c>
      <c r="AI1338" t="s">
        <v>1673</v>
      </c>
      <c r="AJ1338" t="s">
        <v>630</v>
      </c>
      <c r="AK1338" t="s">
        <v>10963</v>
      </c>
      <c r="AL1338" s="13" t="s">
        <v>3424</v>
      </c>
      <c r="AM1338">
        <v>1</v>
      </c>
      <c r="AN1338" s="15" t="s">
        <v>4061</v>
      </c>
    </row>
    <row r="1339" spans="1:40" x14ac:dyDescent="0.3">
      <c r="A1339" s="10" t="str">
        <f>HYPERLINK("http://www.washoecounty.gov/assessor/cama/?parid=017-510-09&amp;CardNumber=1","017-510-09")</f>
        <v>017-510-09</v>
      </c>
      <c r="B1339" t="s">
        <v>4655</v>
      </c>
      <c r="C1339" t="s">
        <v>10964</v>
      </c>
      <c r="D1339" s="1">
        <v>40455</v>
      </c>
      <c r="E1339" s="2">
        <v>79000</v>
      </c>
      <c r="F1339" t="s">
        <v>3259</v>
      </c>
      <c r="G1339" s="17" t="str">
        <f>HYPERLINK("https://www.washoecounty.gov/assessor/cama/?command=sales&amp;parid=01751009","3929364")</f>
        <v>3929364</v>
      </c>
      <c r="H1339" t="s">
        <v>1998</v>
      </c>
      <c r="I1339">
        <v>0</v>
      </c>
      <c r="J1339">
        <v>0</v>
      </c>
      <c r="K1339" t="s">
        <v>4655</v>
      </c>
      <c r="L1339" t="s">
        <v>4655</v>
      </c>
      <c r="M1339" s="2">
        <v>0</v>
      </c>
      <c r="N1339" t="s">
        <v>4655</v>
      </c>
      <c r="O1339">
        <v>0</v>
      </c>
      <c r="P1339">
        <v>0</v>
      </c>
      <c r="Q1339">
        <v>0</v>
      </c>
      <c r="R1339" t="s">
        <v>4655</v>
      </c>
      <c r="S1339" t="s">
        <v>4655</v>
      </c>
      <c r="T1339" t="s">
        <v>4655</v>
      </c>
      <c r="U1339" t="s">
        <v>4655</v>
      </c>
      <c r="V1339" s="2">
        <v>0</v>
      </c>
      <c r="W1339" t="s">
        <v>4655</v>
      </c>
      <c r="X1339" s="2">
        <v>0</v>
      </c>
      <c r="Y1339">
        <v>11</v>
      </c>
      <c r="Z1339" t="s">
        <v>3884</v>
      </c>
      <c r="AA1339" s="3">
        <v>0.68684571981430054</v>
      </c>
      <c r="AB1339" t="s">
        <v>10965</v>
      </c>
      <c r="AC1339" t="s">
        <v>4562</v>
      </c>
      <c r="AD1339" t="s">
        <v>10966</v>
      </c>
      <c r="AE1339" t="s">
        <v>4655</v>
      </c>
      <c r="AF1339" t="s">
        <v>4563</v>
      </c>
      <c r="AG1339" t="s">
        <v>4564</v>
      </c>
      <c r="AH1339">
        <v>89511</v>
      </c>
      <c r="AI1339" t="s">
        <v>4655</v>
      </c>
      <c r="AJ1339" t="s">
        <v>1999</v>
      </c>
      <c r="AK1339" t="s">
        <v>10967</v>
      </c>
      <c r="AL1339" s="13" t="s">
        <v>1493</v>
      </c>
      <c r="AM1339">
        <v>0</v>
      </c>
      <c r="AN1339" s="15" t="s">
        <v>2000</v>
      </c>
    </row>
    <row r="1340" spans="1:40" x14ac:dyDescent="0.3">
      <c r="A1340" s="10" t="str">
        <f>HYPERLINK("http://www.washoecounty.gov/assessor/cama/?parid=018-017-19&amp;CardNumber=1","018-017-19")</f>
        <v>018-017-19</v>
      </c>
      <c r="B1340" t="s">
        <v>4655</v>
      </c>
      <c r="C1340" t="s">
        <v>10968</v>
      </c>
      <c r="D1340" s="1">
        <v>40350</v>
      </c>
      <c r="E1340" s="2">
        <v>400000</v>
      </c>
      <c r="F1340" t="s">
        <v>4567</v>
      </c>
      <c r="G1340" s="17" t="str">
        <f>HYPERLINK("https://www.washoecounty.gov/assessor/cama/?command=sales&amp;parid=01801719","3893832")</f>
        <v>3893832</v>
      </c>
      <c r="H1340" t="s">
        <v>10969</v>
      </c>
      <c r="I1340">
        <v>1950</v>
      </c>
      <c r="J1340">
        <v>1950</v>
      </c>
      <c r="K1340" t="s">
        <v>4554</v>
      </c>
      <c r="L1340" t="s">
        <v>4555</v>
      </c>
      <c r="M1340" s="2">
        <v>2060</v>
      </c>
      <c r="N1340" t="s">
        <v>3147</v>
      </c>
      <c r="O1340">
        <v>3</v>
      </c>
      <c r="P1340">
        <v>2</v>
      </c>
      <c r="Q1340">
        <v>1</v>
      </c>
      <c r="R1340" t="s">
        <v>4557</v>
      </c>
      <c r="S1340" t="s">
        <v>4135</v>
      </c>
      <c r="T1340" t="s">
        <v>2947</v>
      </c>
      <c r="U1340" t="s">
        <v>162</v>
      </c>
      <c r="V1340" s="2">
        <v>1224</v>
      </c>
      <c r="W1340" t="s">
        <v>3149</v>
      </c>
      <c r="X1340" s="2">
        <v>462</v>
      </c>
      <c r="Y1340">
        <v>20</v>
      </c>
      <c r="Z1340" t="s">
        <v>5282</v>
      </c>
      <c r="AA1340" s="3">
        <v>0.28700643777847301</v>
      </c>
      <c r="AB1340" t="s">
        <v>10970</v>
      </c>
      <c r="AC1340" t="s">
        <v>4575</v>
      </c>
      <c r="AD1340" t="s">
        <v>10968</v>
      </c>
      <c r="AE1340" t="s">
        <v>4655</v>
      </c>
      <c r="AF1340" t="s">
        <v>4563</v>
      </c>
      <c r="AG1340" t="s">
        <v>4564</v>
      </c>
      <c r="AH1340">
        <v>89509</v>
      </c>
      <c r="AI1340" t="s">
        <v>10971</v>
      </c>
      <c r="AJ1340" t="s">
        <v>4655</v>
      </c>
      <c r="AK1340" t="s">
        <v>3094</v>
      </c>
      <c r="AL1340" s="13" t="s">
        <v>2257</v>
      </c>
      <c r="AM1340" s="14">
        <v>1</v>
      </c>
      <c r="AN1340" s="15" t="s">
        <v>3095</v>
      </c>
    </row>
    <row r="1341" spans="1:40" x14ac:dyDescent="0.3">
      <c r="A1341" s="10" t="str">
        <f>HYPERLINK("http://www.washoecounty.gov/assessor/cama/?parid=018-030-07&amp;CardNumber=1","018-030-07")</f>
        <v>018-030-07</v>
      </c>
      <c r="B1341" t="s">
        <v>4655</v>
      </c>
      <c r="C1341" t="s">
        <v>10972</v>
      </c>
      <c r="D1341" s="1">
        <v>40267</v>
      </c>
      <c r="E1341" s="2">
        <v>219000</v>
      </c>
      <c r="F1341" t="s">
        <v>4553</v>
      </c>
      <c r="G1341" s="17" t="str">
        <f>HYPERLINK("https://www.washoecounty.gov/assessor/cama/?command=sales&amp;parid=01803007","3865682")</f>
        <v>3865682</v>
      </c>
      <c r="H1341" t="s">
        <v>10973</v>
      </c>
      <c r="I1341">
        <v>1964</v>
      </c>
      <c r="J1341">
        <v>1964</v>
      </c>
      <c r="K1341" t="s">
        <v>4554</v>
      </c>
      <c r="L1341" t="s">
        <v>4555</v>
      </c>
      <c r="M1341" s="2">
        <v>2150</v>
      </c>
      <c r="N1341" t="s">
        <v>5280</v>
      </c>
      <c r="O1341">
        <v>4</v>
      </c>
      <c r="P1341">
        <v>3</v>
      </c>
      <c r="Q1341">
        <v>0</v>
      </c>
      <c r="R1341" t="s">
        <v>4557</v>
      </c>
      <c r="S1341" t="s">
        <v>4558</v>
      </c>
      <c r="T1341" t="s">
        <v>4559</v>
      </c>
      <c r="U1341" t="s">
        <v>4655</v>
      </c>
      <c r="V1341" s="2">
        <v>0</v>
      </c>
      <c r="W1341" t="s">
        <v>4655</v>
      </c>
      <c r="X1341" s="2">
        <v>0</v>
      </c>
      <c r="Y1341">
        <v>20</v>
      </c>
      <c r="Z1341" t="s">
        <v>5282</v>
      </c>
      <c r="AA1341" s="3">
        <v>0.33000460267067</v>
      </c>
      <c r="AB1341" t="s">
        <v>10974</v>
      </c>
      <c r="AC1341" t="s">
        <v>4562</v>
      </c>
      <c r="AD1341" t="s">
        <v>10975</v>
      </c>
      <c r="AE1341" t="s">
        <v>4655</v>
      </c>
      <c r="AF1341" t="s">
        <v>4563</v>
      </c>
      <c r="AG1341" t="s">
        <v>4564</v>
      </c>
      <c r="AH1341">
        <v>89509</v>
      </c>
      <c r="AI1341" t="s">
        <v>5751</v>
      </c>
      <c r="AJ1341" t="s">
        <v>4655</v>
      </c>
      <c r="AK1341" t="s">
        <v>10976</v>
      </c>
      <c r="AL1341" s="13" t="s">
        <v>2255</v>
      </c>
      <c r="AM1341">
        <v>1</v>
      </c>
      <c r="AN1341" s="15" t="s">
        <v>4894</v>
      </c>
    </row>
    <row r="1342" spans="1:40" x14ac:dyDescent="0.3">
      <c r="A1342" s="10" t="str">
        <f>HYPERLINK("http://www.washoecounty.gov/assessor/cama/?parid=018-042-02&amp;CardNumber=1","018-042-02")</f>
        <v>018-042-02</v>
      </c>
      <c r="B1342" t="s">
        <v>4655</v>
      </c>
      <c r="C1342" t="s">
        <v>10977</v>
      </c>
      <c r="D1342" s="1">
        <v>40389</v>
      </c>
      <c r="E1342" s="2">
        <v>235000</v>
      </c>
      <c r="F1342" t="s">
        <v>4567</v>
      </c>
      <c r="G1342" s="17" t="str">
        <f>HYPERLINK("https://www.washoecounty.gov/assessor/cama/?command=sales&amp;parid=01804202","3907311")</f>
        <v>3907311</v>
      </c>
      <c r="H1342" t="s">
        <v>10978</v>
      </c>
      <c r="I1342">
        <v>1975</v>
      </c>
      <c r="J1342">
        <v>1976</v>
      </c>
      <c r="K1342" t="s">
        <v>4554</v>
      </c>
      <c r="L1342" t="s">
        <v>4555</v>
      </c>
      <c r="M1342" s="2">
        <v>1984</v>
      </c>
      <c r="N1342" t="s">
        <v>5280</v>
      </c>
      <c r="O1342">
        <v>3</v>
      </c>
      <c r="P1342">
        <v>2</v>
      </c>
      <c r="Q1342">
        <v>0</v>
      </c>
      <c r="R1342" t="s">
        <v>5281</v>
      </c>
      <c r="S1342" t="s">
        <v>4558</v>
      </c>
      <c r="T1342" t="s">
        <v>4559</v>
      </c>
      <c r="U1342" t="s">
        <v>4560</v>
      </c>
      <c r="V1342" s="2">
        <v>440</v>
      </c>
      <c r="W1342" t="s">
        <v>4655</v>
      </c>
      <c r="X1342" s="2">
        <v>0</v>
      </c>
      <c r="Y1342">
        <v>20</v>
      </c>
      <c r="Z1342" t="s">
        <v>5282</v>
      </c>
      <c r="AA1342" s="3">
        <v>0.34499540925025901</v>
      </c>
      <c r="AB1342" t="s">
        <v>10979</v>
      </c>
      <c r="AC1342" t="s">
        <v>4562</v>
      </c>
      <c r="AD1342" t="s">
        <v>10977</v>
      </c>
      <c r="AE1342" t="s">
        <v>4655</v>
      </c>
      <c r="AF1342" t="s">
        <v>4563</v>
      </c>
      <c r="AG1342" t="s">
        <v>4564</v>
      </c>
      <c r="AH1342">
        <v>89509</v>
      </c>
      <c r="AI1342" t="s">
        <v>4655</v>
      </c>
      <c r="AJ1342" t="s">
        <v>4655</v>
      </c>
      <c r="AK1342" t="s">
        <v>10980</v>
      </c>
      <c r="AL1342" s="13" t="s">
        <v>2255</v>
      </c>
      <c r="AM1342" s="14">
        <v>1</v>
      </c>
      <c r="AN1342" s="15" t="s">
        <v>4152</v>
      </c>
    </row>
    <row r="1343" spans="1:40" x14ac:dyDescent="0.3">
      <c r="A1343" s="10" t="str">
        <f>HYPERLINK("http://www.washoecounty.gov/assessor/cama/?parid=018-061-03&amp;CardNumber=1","018-061-03")</f>
        <v>018-061-03</v>
      </c>
      <c r="B1343" t="s">
        <v>4655</v>
      </c>
      <c r="C1343" t="s">
        <v>10981</v>
      </c>
      <c r="D1343" s="1">
        <v>40413</v>
      </c>
      <c r="E1343" s="2">
        <v>241000</v>
      </c>
      <c r="F1343" t="s">
        <v>4567</v>
      </c>
      <c r="G1343" s="17" t="str">
        <f>HYPERLINK("https://www.washoecounty.gov/assessor/cama/?command=sales&amp;parid=01806103","3914601")</f>
        <v>3914601</v>
      </c>
      <c r="H1343" t="s">
        <v>4655</v>
      </c>
      <c r="I1343">
        <v>1962</v>
      </c>
      <c r="J1343">
        <v>1962</v>
      </c>
      <c r="K1343" t="s">
        <v>4554</v>
      </c>
      <c r="L1343" t="s">
        <v>4555</v>
      </c>
      <c r="M1343" s="2">
        <v>1591</v>
      </c>
      <c r="N1343" t="s">
        <v>3147</v>
      </c>
      <c r="O1343">
        <v>3</v>
      </c>
      <c r="P1343">
        <v>2</v>
      </c>
      <c r="Q1343">
        <v>0</v>
      </c>
      <c r="R1343" t="s">
        <v>5281</v>
      </c>
      <c r="S1343" t="s">
        <v>4135</v>
      </c>
      <c r="T1343" t="s">
        <v>4143</v>
      </c>
      <c r="U1343" t="s">
        <v>4560</v>
      </c>
      <c r="V1343" s="2">
        <v>525</v>
      </c>
      <c r="W1343" t="s">
        <v>4655</v>
      </c>
      <c r="X1343" s="2">
        <v>0</v>
      </c>
      <c r="Y1343">
        <v>20</v>
      </c>
      <c r="Z1343" t="s">
        <v>5282</v>
      </c>
      <c r="AA1343" s="3">
        <v>0.355991721153259</v>
      </c>
      <c r="AB1343" t="s">
        <v>10982</v>
      </c>
      <c r="AC1343" t="s">
        <v>4575</v>
      </c>
      <c r="AD1343" t="s">
        <v>10981</v>
      </c>
      <c r="AE1343" t="s">
        <v>4655</v>
      </c>
      <c r="AF1343" t="s">
        <v>4563</v>
      </c>
      <c r="AG1343" t="s">
        <v>4564</v>
      </c>
      <c r="AH1343">
        <v>89509</v>
      </c>
      <c r="AI1343" t="s">
        <v>10983</v>
      </c>
      <c r="AJ1343" t="s">
        <v>4655</v>
      </c>
      <c r="AK1343" t="s">
        <v>4893</v>
      </c>
      <c r="AL1343" s="13" t="s">
        <v>2257</v>
      </c>
      <c r="AM1343" s="14">
        <v>1</v>
      </c>
      <c r="AN1343" s="15" t="s">
        <v>4894</v>
      </c>
    </row>
    <row r="1344" spans="1:40" x14ac:dyDescent="0.3">
      <c r="A1344" s="10" t="str">
        <f>HYPERLINK("http://www.washoecounty.gov/assessor/cama/?parid=018-061-09&amp;CardNumber=1","018-061-09")</f>
        <v>018-061-09</v>
      </c>
      <c r="B1344" t="s">
        <v>4655</v>
      </c>
      <c r="C1344" t="s">
        <v>10984</v>
      </c>
      <c r="D1344" s="1">
        <v>40366</v>
      </c>
      <c r="E1344" s="2">
        <v>273000</v>
      </c>
      <c r="F1344" t="s">
        <v>4567</v>
      </c>
      <c r="G1344" s="17" t="str">
        <f>HYPERLINK("https://www.washoecounty.gov/assessor/cama/?command=sales&amp;parid=01806109","3899169")</f>
        <v>3899169</v>
      </c>
      <c r="H1344" t="s">
        <v>5279</v>
      </c>
      <c r="I1344">
        <v>1963</v>
      </c>
      <c r="J1344">
        <v>1963</v>
      </c>
      <c r="K1344" t="s">
        <v>4554</v>
      </c>
      <c r="L1344" t="s">
        <v>4555</v>
      </c>
      <c r="M1344" s="2">
        <v>2314</v>
      </c>
      <c r="N1344" t="s">
        <v>5280</v>
      </c>
      <c r="O1344">
        <v>4</v>
      </c>
      <c r="P1344">
        <v>2</v>
      </c>
      <c r="Q1344">
        <v>0</v>
      </c>
      <c r="R1344" t="s">
        <v>5281</v>
      </c>
      <c r="S1344" t="s">
        <v>4558</v>
      </c>
      <c r="T1344" t="s">
        <v>4559</v>
      </c>
      <c r="U1344" t="s">
        <v>4560</v>
      </c>
      <c r="V1344" s="2">
        <v>468</v>
      </c>
      <c r="W1344" t="s">
        <v>4655</v>
      </c>
      <c r="X1344" s="2">
        <v>0</v>
      </c>
      <c r="Y1344">
        <v>20</v>
      </c>
      <c r="Z1344" t="s">
        <v>5282</v>
      </c>
      <c r="AA1344" s="3">
        <v>0.34898990392684898</v>
      </c>
      <c r="AB1344" t="s">
        <v>10985</v>
      </c>
      <c r="AC1344" t="s">
        <v>4562</v>
      </c>
      <c r="AD1344" t="s">
        <v>10984</v>
      </c>
      <c r="AE1344" t="s">
        <v>4655</v>
      </c>
      <c r="AF1344" t="s">
        <v>4563</v>
      </c>
      <c r="AG1344" t="s">
        <v>4564</v>
      </c>
      <c r="AH1344">
        <v>89509</v>
      </c>
      <c r="AI1344" t="s">
        <v>10986</v>
      </c>
      <c r="AJ1344" t="s">
        <v>4655</v>
      </c>
      <c r="AK1344" t="s">
        <v>345</v>
      </c>
      <c r="AL1344" s="13" t="s">
        <v>2257</v>
      </c>
      <c r="AM1344" s="14">
        <v>1</v>
      </c>
      <c r="AN1344" s="15" t="s">
        <v>4894</v>
      </c>
    </row>
    <row r="1345" spans="1:40" x14ac:dyDescent="0.3">
      <c r="A1345" s="10" t="str">
        <f>HYPERLINK("http://www.washoecounty.gov/assessor/cama/?parid=018-061-10&amp;CardNumber=1","018-061-10")</f>
        <v>018-061-10</v>
      </c>
      <c r="B1345" t="s">
        <v>4655</v>
      </c>
      <c r="C1345" t="s">
        <v>5115</v>
      </c>
      <c r="D1345" s="1">
        <v>40465</v>
      </c>
      <c r="E1345" s="2">
        <v>162000</v>
      </c>
      <c r="F1345" t="s">
        <v>4553</v>
      </c>
      <c r="G1345" s="17" t="str">
        <f>HYPERLINK("https://www.washoecounty.gov/assessor/cama/?command=sales&amp;parid=01806110","3932715")</f>
        <v>3932715</v>
      </c>
      <c r="H1345" t="s">
        <v>4655</v>
      </c>
      <c r="I1345">
        <v>1963</v>
      </c>
      <c r="J1345">
        <v>1968</v>
      </c>
      <c r="K1345" t="s">
        <v>4554</v>
      </c>
      <c r="L1345" t="s">
        <v>4555</v>
      </c>
      <c r="M1345" s="2">
        <v>1180</v>
      </c>
      <c r="N1345" t="s">
        <v>5280</v>
      </c>
      <c r="O1345">
        <v>3</v>
      </c>
      <c r="P1345">
        <v>2</v>
      </c>
      <c r="Q1345">
        <v>0</v>
      </c>
      <c r="R1345" t="s">
        <v>4557</v>
      </c>
      <c r="S1345" t="s">
        <v>4135</v>
      </c>
      <c r="T1345" t="s">
        <v>4559</v>
      </c>
      <c r="U1345" t="s">
        <v>4560</v>
      </c>
      <c r="V1345" s="2">
        <v>484</v>
      </c>
      <c r="W1345" t="s">
        <v>4655</v>
      </c>
      <c r="X1345" s="2">
        <v>0</v>
      </c>
      <c r="Y1345">
        <v>20</v>
      </c>
      <c r="Z1345" t="s">
        <v>5282</v>
      </c>
      <c r="AA1345" s="3">
        <v>0.33900368213653598</v>
      </c>
      <c r="AB1345" t="s">
        <v>66</v>
      </c>
      <c r="AC1345" t="s">
        <v>4575</v>
      </c>
      <c r="AD1345" t="s">
        <v>10987</v>
      </c>
      <c r="AE1345" t="s">
        <v>4655</v>
      </c>
      <c r="AF1345" t="s">
        <v>4563</v>
      </c>
      <c r="AG1345" t="s">
        <v>4564</v>
      </c>
      <c r="AH1345">
        <v>89503</v>
      </c>
      <c r="AI1345" t="s">
        <v>10988</v>
      </c>
      <c r="AJ1345" t="s">
        <v>4655</v>
      </c>
      <c r="AK1345" t="s">
        <v>4893</v>
      </c>
      <c r="AL1345" s="13" t="s">
        <v>2257</v>
      </c>
      <c r="AM1345" s="14">
        <v>1</v>
      </c>
      <c r="AN1345" s="15" t="s">
        <v>4894</v>
      </c>
    </row>
    <row r="1346" spans="1:40" x14ac:dyDescent="0.3">
      <c r="A1346" s="10" t="str">
        <f>HYPERLINK("http://www.washoecounty.gov/assessor/cama/?parid=018-062-20&amp;CardNumber=1","018-062-20")</f>
        <v>018-062-20</v>
      </c>
      <c r="B1346" t="s">
        <v>4655</v>
      </c>
      <c r="C1346" t="s">
        <v>10989</v>
      </c>
      <c r="D1346" s="1">
        <v>40182</v>
      </c>
      <c r="E1346" s="2">
        <v>285000</v>
      </c>
      <c r="F1346" t="s">
        <v>4567</v>
      </c>
      <c r="G1346" s="17" t="str">
        <f>HYPERLINK("https://www.washoecounty.gov/assessor/cama/?command=sales&amp;parid=01806220","3836189")</f>
        <v>3836189</v>
      </c>
      <c r="H1346" t="s">
        <v>5279</v>
      </c>
      <c r="I1346">
        <v>1955</v>
      </c>
      <c r="J1346">
        <v>1955</v>
      </c>
      <c r="K1346" t="s">
        <v>4554</v>
      </c>
      <c r="L1346" t="s">
        <v>4555</v>
      </c>
      <c r="M1346" s="2">
        <v>2162</v>
      </c>
      <c r="N1346" t="s">
        <v>5280</v>
      </c>
      <c r="O1346">
        <v>3</v>
      </c>
      <c r="P1346">
        <v>2</v>
      </c>
      <c r="Q1346">
        <v>1</v>
      </c>
      <c r="R1346" t="s">
        <v>5281</v>
      </c>
      <c r="S1346" t="s">
        <v>4135</v>
      </c>
      <c r="T1346" t="s">
        <v>4143</v>
      </c>
      <c r="U1346" t="s">
        <v>4560</v>
      </c>
      <c r="V1346" s="2">
        <v>600</v>
      </c>
      <c r="W1346" t="s">
        <v>4655</v>
      </c>
      <c r="X1346" s="2">
        <v>0</v>
      </c>
      <c r="Y1346">
        <v>20</v>
      </c>
      <c r="Z1346" t="s">
        <v>5282</v>
      </c>
      <c r="AA1346" s="3">
        <v>0.36900827288627602</v>
      </c>
      <c r="AB1346" t="s">
        <v>10990</v>
      </c>
      <c r="AC1346" t="s">
        <v>4575</v>
      </c>
      <c r="AD1346" t="s">
        <v>10991</v>
      </c>
      <c r="AE1346" t="s">
        <v>10992</v>
      </c>
      <c r="AF1346" t="s">
        <v>4563</v>
      </c>
      <c r="AG1346" t="s">
        <v>4564</v>
      </c>
      <c r="AH1346">
        <v>89509</v>
      </c>
      <c r="AI1346" t="s">
        <v>10993</v>
      </c>
      <c r="AJ1346" t="s">
        <v>4655</v>
      </c>
      <c r="AK1346" t="s">
        <v>4893</v>
      </c>
      <c r="AL1346" s="13" t="s">
        <v>2255</v>
      </c>
      <c r="AM1346">
        <v>1</v>
      </c>
      <c r="AN1346" s="15" t="s">
        <v>4894</v>
      </c>
    </row>
    <row r="1347" spans="1:40" x14ac:dyDescent="0.3">
      <c r="A1347" s="10" t="str">
        <f>HYPERLINK("http://www.washoecounty.gov/assessor/cama/?parid=018-063-17&amp;CardNumber=1","018-063-17")</f>
        <v>018-063-17</v>
      </c>
      <c r="B1347" t="s">
        <v>4655</v>
      </c>
      <c r="C1347" t="s">
        <v>10994</v>
      </c>
      <c r="D1347" s="1">
        <v>40246</v>
      </c>
      <c r="E1347" s="2">
        <v>257800</v>
      </c>
      <c r="F1347" t="s">
        <v>4553</v>
      </c>
      <c r="G1347" s="17" t="str">
        <f>HYPERLINK("https://www.washoecounty.gov/assessor/cama/?command=sales&amp;parid=01806317","3857731")</f>
        <v>3857731</v>
      </c>
      <c r="H1347" t="s">
        <v>10995</v>
      </c>
      <c r="I1347">
        <v>1964</v>
      </c>
      <c r="J1347">
        <v>1964</v>
      </c>
      <c r="K1347" t="s">
        <v>4554</v>
      </c>
      <c r="L1347" t="s">
        <v>4555</v>
      </c>
      <c r="M1347" s="2">
        <v>1822</v>
      </c>
      <c r="N1347" t="s">
        <v>3147</v>
      </c>
      <c r="O1347">
        <v>3</v>
      </c>
      <c r="P1347">
        <v>2</v>
      </c>
      <c r="Q1347">
        <v>0</v>
      </c>
      <c r="R1347" t="s">
        <v>4557</v>
      </c>
      <c r="S1347" t="s">
        <v>4135</v>
      </c>
      <c r="T1347" t="s">
        <v>4559</v>
      </c>
      <c r="U1347" t="s">
        <v>4560</v>
      </c>
      <c r="V1347" s="2">
        <v>972</v>
      </c>
      <c r="W1347" t="s">
        <v>4655</v>
      </c>
      <c r="X1347" s="2">
        <v>0</v>
      </c>
      <c r="Y1347">
        <v>20</v>
      </c>
      <c r="Z1347" t="s">
        <v>5282</v>
      </c>
      <c r="AA1347" s="3">
        <v>0.33099174499511702</v>
      </c>
      <c r="AB1347" t="s">
        <v>10996</v>
      </c>
      <c r="AC1347" t="s">
        <v>4575</v>
      </c>
      <c r="AD1347" t="s">
        <v>10994</v>
      </c>
      <c r="AE1347" t="s">
        <v>4655</v>
      </c>
      <c r="AF1347" t="s">
        <v>4563</v>
      </c>
      <c r="AG1347" t="s">
        <v>4564</v>
      </c>
      <c r="AH1347">
        <v>89509</v>
      </c>
      <c r="AI1347" t="s">
        <v>4903</v>
      </c>
      <c r="AJ1347" t="s">
        <v>4655</v>
      </c>
      <c r="AK1347" t="s">
        <v>10997</v>
      </c>
      <c r="AL1347" s="13" t="s">
        <v>2255</v>
      </c>
      <c r="AM1347">
        <v>1</v>
      </c>
      <c r="AN1347" s="15" t="s">
        <v>4894</v>
      </c>
    </row>
    <row r="1348" spans="1:40" x14ac:dyDescent="0.3">
      <c r="A1348" s="10" t="str">
        <f>HYPERLINK("http://www.washoecounty.gov/assessor/cama/?parid=018-093-04&amp;CardNumber=1","018-093-04")</f>
        <v>018-093-04</v>
      </c>
      <c r="B1348" t="s">
        <v>4655</v>
      </c>
      <c r="C1348" t="s">
        <v>10998</v>
      </c>
      <c r="D1348" s="1">
        <v>40305</v>
      </c>
      <c r="E1348" s="2">
        <v>380000</v>
      </c>
      <c r="F1348" t="s">
        <v>4567</v>
      </c>
      <c r="G1348" s="17" t="str">
        <f>HYPERLINK("https://www.washoecounty.gov/assessor/cama/?command=sales&amp;parid=01809304","3879003")</f>
        <v>3879003</v>
      </c>
      <c r="H1348" t="s">
        <v>10999</v>
      </c>
      <c r="I1348">
        <v>1983</v>
      </c>
      <c r="J1348">
        <v>1990</v>
      </c>
      <c r="K1348" t="s">
        <v>4554</v>
      </c>
      <c r="L1348" t="s">
        <v>4555</v>
      </c>
      <c r="M1348" s="2">
        <v>3032</v>
      </c>
      <c r="N1348" t="s">
        <v>3147</v>
      </c>
      <c r="O1348">
        <v>3</v>
      </c>
      <c r="P1348">
        <v>3</v>
      </c>
      <c r="Q1348">
        <v>0</v>
      </c>
      <c r="R1348" t="s">
        <v>5281</v>
      </c>
      <c r="S1348" t="s">
        <v>4558</v>
      </c>
      <c r="T1348" t="s">
        <v>4559</v>
      </c>
      <c r="U1348" t="s">
        <v>4655</v>
      </c>
      <c r="V1348" s="2">
        <v>0</v>
      </c>
      <c r="W1348" t="s">
        <v>4571</v>
      </c>
      <c r="X1348" s="2">
        <v>1632</v>
      </c>
      <c r="Y1348">
        <v>20</v>
      </c>
      <c r="Z1348" t="s">
        <v>5282</v>
      </c>
      <c r="AA1348" s="3">
        <v>0.36000919342040999</v>
      </c>
      <c r="AB1348" t="s">
        <v>9016</v>
      </c>
      <c r="AC1348" t="s">
        <v>4562</v>
      </c>
      <c r="AD1348" t="s">
        <v>11000</v>
      </c>
      <c r="AE1348" t="s">
        <v>4655</v>
      </c>
      <c r="AF1348" t="s">
        <v>4563</v>
      </c>
      <c r="AG1348" t="s">
        <v>4564</v>
      </c>
      <c r="AH1348">
        <v>89501</v>
      </c>
      <c r="AI1348" t="s">
        <v>4655</v>
      </c>
      <c r="AJ1348" t="s">
        <v>4655</v>
      </c>
      <c r="AK1348" t="s">
        <v>11001</v>
      </c>
      <c r="AL1348" s="13" t="s">
        <v>2257</v>
      </c>
      <c r="AM1348" s="14">
        <v>1</v>
      </c>
      <c r="AN1348" s="15" t="s">
        <v>1868</v>
      </c>
    </row>
    <row r="1349" spans="1:40" x14ac:dyDescent="0.3">
      <c r="A1349" s="10" t="str">
        <f>HYPERLINK("http://www.washoecounty.gov/assessor/cama/?parid=018-101-02&amp;CardNumber=1","018-101-02")</f>
        <v>018-101-02</v>
      </c>
      <c r="B1349" t="s">
        <v>4655</v>
      </c>
      <c r="C1349" t="s">
        <v>11002</v>
      </c>
      <c r="D1349" s="1">
        <v>40494</v>
      </c>
      <c r="E1349" s="2">
        <v>335000</v>
      </c>
      <c r="F1349" t="s">
        <v>4567</v>
      </c>
      <c r="G1349" s="17" t="str">
        <f>HYPERLINK("https://www.washoecounty.gov/assessor/cama/?command=sales&amp;parid=01810102","3942719")</f>
        <v>3942719</v>
      </c>
      <c r="H1349" t="s">
        <v>11003</v>
      </c>
      <c r="I1349">
        <v>1977</v>
      </c>
      <c r="J1349">
        <v>1977</v>
      </c>
      <c r="K1349" t="s">
        <v>4554</v>
      </c>
      <c r="L1349" t="s">
        <v>2170</v>
      </c>
      <c r="M1349" s="2">
        <v>3468</v>
      </c>
      <c r="N1349" t="s">
        <v>1245</v>
      </c>
      <c r="O1349">
        <v>4</v>
      </c>
      <c r="P1349">
        <v>3</v>
      </c>
      <c r="Q1349">
        <v>1</v>
      </c>
      <c r="R1349" t="s">
        <v>4557</v>
      </c>
      <c r="S1349" t="s">
        <v>4558</v>
      </c>
      <c r="T1349" t="s">
        <v>2704</v>
      </c>
      <c r="U1349" t="s">
        <v>5631</v>
      </c>
      <c r="V1349" s="2">
        <v>672</v>
      </c>
      <c r="W1349" t="s">
        <v>4655</v>
      </c>
      <c r="X1349" s="2">
        <v>0</v>
      </c>
      <c r="Y1349">
        <v>20</v>
      </c>
      <c r="Z1349" t="s">
        <v>385</v>
      </c>
      <c r="AA1349" s="3">
        <v>0.29699265956878662</v>
      </c>
      <c r="AB1349" t="s">
        <v>11004</v>
      </c>
      <c r="AC1349" t="s">
        <v>4562</v>
      </c>
      <c r="AD1349" t="s">
        <v>11005</v>
      </c>
      <c r="AE1349" t="s">
        <v>4655</v>
      </c>
      <c r="AF1349" t="s">
        <v>4563</v>
      </c>
      <c r="AG1349" t="s">
        <v>4564</v>
      </c>
      <c r="AH1349">
        <v>89509</v>
      </c>
      <c r="AI1349" t="s">
        <v>11006</v>
      </c>
      <c r="AJ1349" t="s">
        <v>4655</v>
      </c>
      <c r="AK1349" t="s">
        <v>11007</v>
      </c>
      <c r="AL1349" s="13" t="s">
        <v>2257</v>
      </c>
      <c r="AM1349">
        <v>1</v>
      </c>
      <c r="AN1349" s="15" t="s">
        <v>1868</v>
      </c>
    </row>
    <row r="1350" spans="1:40" x14ac:dyDescent="0.3">
      <c r="A1350" s="10" t="str">
        <f>HYPERLINK("http://www.washoecounty.gov/assessor/cama/?parid=018-101-07&amp;CardNumber=1","018-101-07")</f>
        <v>018-101-07</v>
      </c>
      <c r="B1350" t="s">
        <v>4655</v>
      </c>
      <c r="C1350" t="s">
        <v>11008</v>
      </c>
      <c r="D1350" s="1">
        <v>40326</v>
      </c>
      <c r="E1350" s="2">
        <v>387500</v>
      </c>
      <c r="F1350" t="s">
        <v>4567</v>
      </c>
      <c r="G1350" s="17" t="str">
        <f>HYPERLINK("https://www.washoecounty.gov/assessor/cama/?command=sales&amp;parid=01810107","3886757")</f>
        <v>3886757</v>
      </c>
      <c r="H1350" t="s">
        <v>11009</v>
      </c>
      <c r="I1350">
        <v>1977</v>
      </c>
      <c r="J1350">
        <v>1977</v>
      </c>
      <c r="K1350" t="s">
        <v>4554</v>
      </c>
      <c r="L1350" t="s">
        <v>4555</v>
      </c>
      <c r="M1350" s="2">
        <v>2736</v>
      </c>
      <c r="N1350" t="s">
        <v>3887</v>
      </c>
      <c r="O1350">
        <v>4</v>
      </c>
      <c r="P1350">
        <v>2</v>
      </c>
      <c r="Q1350">
        <v>1</v>
      </c>
      <c r="R1350" t="s">
        <v>5281</v>
      </c>
      <c r="S1350" t="s">
        <v>4682</v>
      </c>
      <c r="T1350" t="s">
        <v>2704</v>
      </c>
      <c r="U1350" t="s">
        <v>4560</v>
      </c>
      <c r="V1350" s="2">
        <v>728</v>
      </c>
      <c r="W1350" t="s">
        <v>4655</v>
      </c>
      <c r="X1350" s="2">
        <v>0</v>
      </c>
      <c r="Y1350">
        <v>20</v>
      </c>
      <c r="Z1350" t="s">
        <v>385</v>
      </c>
      <c r="AA1350" s="3">
        <v>0.317011028528214</v>
      </c>
      <c r="AB1350" t="s">
        <v>11010</v>
      </c>
      <c r="AC1350" t="s">
        <v>4562</v>
      </c>
      <c r="AD1350" t="s">
        <v>11011</v>
      </c>
      <c r="AE1350" t="s">
        <v>4655</v>
      </c>
      <c r="AF1350" t="s">
        <v>4563</v>
      </c>
      <c r="AG1350" t="s">
        <v>4564</v>
      </c>
      <c r="AH1350">
        <v>89509</v>
      </c>
      <c r="AI1350" t="s">
        <v>11012</v>
      </c>
      <c r="AJ1350" t="s">
        <v>4655</v>
      </c>
      <c r="AK1350" t="s">
        <v>11013</v>
      </c>
      <c r="AL1350" s="13" t="s">
        <v>2255</v>
      </c>
      <c r="AM1350">
        <v>1</v>
      </c>
      <c r="AN1350" s="15" t="s">
        <v>1868</v>
      </c>
    </row>
    <row r="1351" spans="1:40" x14ac:dyDescent="0.3">
      <c r="A1351" s="10" t="str">
        <f>HYPERLINK("http://www.washoecounty.gov/assessor/cama/?parid=018-111-02&amp;CardNumber=1","018-111-02")</f>
        <v>018-111-02</v>
      </c>
      <c r="B1351" t="s">
        <v>4655</v>
      </c>
      <c r="C1351" t="s">
        <v>11014</v>
      </c>
      <c r="D1351" s="1">
        <v>40357</v>
      </c>
      <c r="E1351" s="2">
        <v>265000</v>
      </c>
      <c r="F1351" t="s">
        <v>4567</v>
      </c>
      <c r="G1351" s="17" t="str">
        <f>HYPERLINK("https://www.washoecounty.gov/assessor/cama/?command=sales&amp;parid=01811102","3896010")</f>
        <v>3896010</v>
      </c>
      <c r="H1351" t="s">
        <v>4655</v>
      </c>
      <c r="I1351">
        <v>1960</v>
      </c>
      <c r="J1351">
        <v>1964</v>
      </c>
      <c r="K1351" t="s">
        <v>4554</v>
      </c>
      <c r="L1351" t="s">
        <v>4555</v>
      </c>
      <c r="M1351" s="2">
        <v>1793</v>
      </c>
      <c r="N1351" t="s">
        <v>4048</v>
      </c>
      <c r="O1351">
        <v>3</v>
      </c>
      <c r="P1351">
        <v>2</v>
      </c>
      <c r="Q1351">
        <v>0</v>
      </c>
      <c r="R1351" t="s">
        <v>4557</v>
      </c>
      <c r="S1351" t="s">
        <v>4135</v>
      </c>
      <c r="T1351" t="s">
        <v>4559</v>
      </c>
      <c r="U1351" t="s">
        <v>4560</v>
      </c>
      <c r="V1351" s="2">
        <v>528</v>
      </c>
      <c r="W1351" t="s">
        <v>3149</v>
      </c>
      <c r="X1351" s="2">
        <v>588</v>
      </c>
      <c r="Y1351">
        <v>20</v>
      </c>
      <c r="Z1351" t="s">
        <v>5282</v>
      </c>
      <c r="AA1351" s="3">
        <v>0.36712580919265703</v>
      </c>
      <c r="AB1351" t="s">
        <v>11015</v>
      </c>
      <c r="AC1351" t="s">
        <v>4562</v>
      </c>
      <c r="AD1351" t="s">
        <v>11014</v>
      </c>
      <c r="AE1351" t="s">
        <v>4655</v>
      </c>
      <c r="AF1351" t="s">
        <v>4563</v>
      </c>
      <c r="AG1351" t="s">
        <v>4564</v>
      </c>
      <c r="AH1351">
        <v>89509</v>
      </c>
      <c r="AI1351" t="s">
        <v>11016</v>
      </c>
      <c r="AJ1351" t="s">
        <v>4655</v>
      </c>
      <c r="AK1351" t="s">
        <v>11017</v>
      </c>
      <c r="AL1351" s="13" t="s">
        <v>2255</v>
      </c>
      <c r="AM1351" s="14">
        <v>1</v>
      </c>
      <c r="AN1351" s="15" t="s">
        <v>1691</v>
      </c>
    </row>
    <row r="1352" spans="1:40" x14ac:dyDescent="0.3">
      <c r="A1352" s="10" t="str">
        <f>HYPERLINK("http://www.washoecounty.gov/assessor/cama/?parid=018-112-06&amp;CardNumber=1","018-112-06")</f>
        <v>018-112-06</v>
      </c>
      <c r="B1352" t="s">
        <v>4655</v>
      </c>
      <c r="C1352" t="s">
        <v>11018</v>
      </c>
      <c r="D1352" s="1">
        <v>40533</v>
      </c>
      <c r="E1352" s="2">
        <v>325000</v>
      </c>
      <c r="F1352" t="s">
        <v>4567</v>
      </c>
      <c r="G1352" s="17" t="str">
        <f>HYPERLINK("https://www.washoecounty.gov/assessor/cama/?command=sales&amp;parid=01811206","3955973")</f>
        <v>3955973</v>
      </c>
      <c r="H1352" t="s">
        <v>4655</v>
      </c>
      <c r="I1352">
        <v>1965</v>
      </c>
      <c r="J1352">
        <v>1986</v>
      </c>
      <c r="K1352" t="s">
        <v>4554</v>
      </c>
      <c r="L1352" t="s">
        <v>4555</v>
      </c>
      <c r="M1352" s="2">
        <v>2006</v>
      </c>
      <c r="N1352" t="s">
        <v>3887</v>
      </c>
      <c r="O1352">
        <v>4</v>
      </c>
      <c r="P1352">
        <v>3</v>
      </c>
      <c r="Q1352">
        <v>1</v>
      </c>
      <c r="R1352" t="s">
        <v>5281</v>
      </c>
      <c r="S1352" t="s">
        <v>4682</v>
      </c>
      <c r="T1352" t="s">
        <v>4559</v>
      </c>
      <c r="U1352" t="s">
        <v>4560</v>
      </c>
      <c r="V1352" s="2">
        <v>484</v>
      </c>
      <c r="W1352" t="s">
        <v>3149</v>
      </c>
      <c r="X1352" s="2">
        <v>2006</v>
      </c>
      <c r="Y1352">
        <v>20</v>
      </c>
      <c r="Z1352" t="s">
        <v>5282</v>
      </c>
      <c r="AA1352" s="3">
        <v>0.30000001192092901</v>
      </c>
      <c r="AB1352" t="s">
        <v>11019</v>
      </c>
      <c r="AC1352" t="s">
        <v>4575</v>
      </c>
      <c r="AD1352" t="s">
        <v>11018</v>
      </c>
      <c r="AE1352" t="s">
        <v>4655</v>
      </c>
      <c r="AF1352" t="s">
        <v>4563</v>
      </c>
      <c r="AG1352" t="s">
        <v>4564</v>
      </c>
      <c r="AH1352">
        <v>89509</v>
      </c>
      <c r="AI1352" t="s">
        <v>11020</v>
      </c>
      <c r="AJ1352" t="s">
        <v>4655</v>
      </c>
      <c r="AK1352" t="s">
        <v>3094</v>
      </c>
      <c r="AL1352" s="13" t="s">
        <v>2255</v>
      </c>
      <c r="AM1352" s="14">
        <v>1</v>
      </c>
      <c r="AN1352" s="15" t="s">
        <v>1691</v>
      </c>
    </row>
    <row r="1353" spans="1:40" x14ac:dyDescent="0.3">
      <c r="A1353" s="10" t="str">
        <f>HYPERLINK("http://www.washoecounty.gov/assessor/cama/?parid=018-131-02&amp;CardNumber=1","018-131-02")</f>
        <v>018-131-02</v>
      </c>
      <c r="B1353" t="s">
        <v>4655</v>
      </c>
      <c r="C1353" t="s">
        <v>11021</v>
      </c>
      <c r="D1353" s="1">
        <v>40520</v>
      </c>
      <c r="E1353" s="2">
        <v>385000</v>
      </c>
      <c r="F1353" t="s">
        <v>4567</v>
      </c>
      <c r="G1353" s="17" t="str">
        <f>HYPERLINK("https://www.washoecounty.gov/assessor/cama/?command=sales&amp;parid=01813102","3951289")</f>
        <v>3951289</v>
      </c>
      <c r="H1353" t="s">
        <v>3471</v>
      </c>
      <c r="I1353">
        <v>1962</v>
      </c>
      <c r="J1353">
        <v>1971</v>
      </c>
      <c r="K1353" t="s">
        <v>4554</v>
      </c>
      <c r="L1353" t="s">
        <v>2170</v>
      </c>
      <c r="M1353" s="2">
        <v>2305</v>
      </c>
      <c r="N1353" t="s">
        <v>3147</v>
      </c>
      <c r="O1353">
        <v>3</v>
      </c>
      <c r="P1353">
        <v>2</v>
      </c>
      <c r="Q1353">
        <v>1</v>
      </c>
      <c r="R1353" t="s">
        <v>5281</v>
      </c>
      <c r="S1353" t="s">
        <v>4135</v>
      </c>
      <c r="T1353" t="s">
        <v>4559</v>
      </c>
      <c r="U1353" t="s">
        <v>5631</v>
      </c>
      <c r="V1353" s="2">
        <v>572</v>
      </c>
      <c r="W1353" t="s">
        <v>3149</v>
      </c>
      <c r="X1353" s="2">
        <v>726</v>
      </c>
      <c r="Y1353">
        <v>20</v>
      </c>
      <c r="Z1353" t="s">
        <v>5282</v>
      </c>
      <c r="AA1353" s="3">
        <v>0.38999080657959001</v>
      </c>
      <c r="AB1353" t="s">
        <v>11022</v>
      </c>
      <c r="AC1353" t="s">
        <v>4562</v>
      </c>
      <c r="AD1353" t="s">
        <v>11021</v>
      </c>
      <c r="AE1353" t="s">
        <v>4655</v>
      </c>
      <c r="AF1353" t="s">
        <v>4563</v>
      </c>
      <c r="AG1353" t="s">
        <v>4564</v>
      </c>
      <c r="AH1353">
        <v>89509</v>
      </c>
      <c r="AI1353" t="s">
        <v>11023</v>
      </c>
      <c r="AJ1353" t="s">
        <v>4655</v>
      </c>
      <c r="AK1353" t="s">
        <v>11024</v>
      </c>
      <c r="AL1353" s="13" t="s">
        <v>2257</v>
      </c>
      <c r="AM1353">
        <v>1</v>
      </c>
      <c r="AN1353" s="15" t="s">
        <v>4894</v>
      </c>
    </row>
    <row r="1354" spans="1:40" x14ac:dyDescent="0.3">
      <c r="A1354" s="10" t="str">
        <f>HYPERLINK("http://www.washoecounty.gov/assessor/cama/?parid=018-131-36&amp;CardNumber=1","018-131-36")</f>
        <v>018-131-36</v>
      </c>
      <c r="B1354" t="s">
        <v>4655</v>
      </c>
      <c r="C1354" t="s">
        <v>11025</v>
      </c>
      <c r="D1354" s="1">
        <v>40415</v>
      </c>
      <c r="E1354" s="2">
        <v>345000</v>
      </c>
      <c r="F1354" t="s">
        <v>4567</v>
      </c>
      <c r="G1354" s="17" t="str">
        <f>HYPERLINK("https://www.washoecounty.gov/assessor/cama/?command=sales&amp;parid=01813136","3915435")</f>
        <v>3915435</v>
      </c>
      <c r="H1354" t="s">
        <v>5279</v>
      </c>
      <c r="I1354">
        <v>1973</v>
      </c>
      <c r="J1354">
        <v>1973</v>
      </c>
      <c r="K1354" t="s">
        <v>4554</v>
      </c>
      <c r="L1354" t="s">
        <v>3974</v>
      </c>
      <c r="M1354" s="2">
        <v>2826</v>
      </c>
      <c r="N1354" t="s">
        <v>3147</v>
      </c>
      <c r="O1354">
        <v>4</v>
      </c>
      <c r="P1354">
        <v>3</v>
      </c>
      <c r="Q1354">
        <v>0</v>
      </c>
      <c r="R1354" t="s">
        <v>4557</v>
      </c>
      <c r="S1354" t="s">
        <v>4135</v>
      </c>
      <c r="T1354" t="s">
        <v>4143</v>
      </c>
      <c r="U1354" t="s">
        <v>5631</v>
      </c>
      <c r="V1354" s="2">
        <v>576</v>
      </c>
      <c r="W1354" t="s">
        <v>4655</v>
      </c>
      <c r="X1354" s="2">
        <v>0</v>
      </c>
      <c r="Y1354">
        <v>20</v>
      </c>
      <c r="Z1354" t="s">
        <v>5282</v>
      </c>
      <c r="AA1354" s="3">
        <v>0.28999081254005399</v>
      </c>
      <c r="AB1354" t="s">
        <v>11026</v>
      </c>
      <c r="AC1354" t="s">
        <v>4562</v>
      </c>
      <c r="AD1354" t="s">
        <v>11025</v>
      </c>
      <c r="AE1354" t="s">
        <v>4655</v>
      </c>
      <c r="AF1354" t="s">
        <v>4563</v>
      </c>
      <c r="AG1354" t="s">
        <v>4564</v>
      </c>
      <c r="AH1354">
        <v>89509</v>
      </c>
      <c r="AI1354" t="s">
        <v>11027</v>
      </c>
      <c r="AJ1354" t="s">
        <v>4655</v>
      </c>
      <c r="AK1354" t="s">
        <v>11028</v>
      </c>
      <c r="AL1354" s="13" t="s">
        <v>2257</v>
      </c>
      <c r="AM1354" s="14">
        <v>1</v>
      </c>
      <c r="AN1354" s="15" t="s">
        <v>4894</v>
      </c>
    </row>
    <row r="1355" spans="1:40" x14ac:dyDescent="0.3">
      <c r="A1355" s="10" t="str">
        <f>HYPERLINK("http://www.washoecounty.gov/assessor/cama/?parid=018-151-06&amp;CardNumber=1","018-151-06")</f>
        <v>018-151-06</v>
      </c>
      <c r="B1355" t="s">
        <v>4655</v>
      </c>
      <c r="C1355" t="s">
        <v>11029</v>
      </c>
      <c r="D1355" s="1">
        <v>40290</v>
      </c>
      <c r="E1355" s="2">
        <v>385000</v>
      </c>
      <c r="F1355" t="s">
        <v>4553</v>
      </c>
      <c r="G1355" s="17" t="str">
        <f>HYPERLINK("https://www.washoecounty.gov/assessor/cama/?command=sales&amp;parid=01815106","3873698")</f>
        <v>3873698</v>
      </c>
      <c r="H1355" t="s">
        <v>2456</v>
      </c>
      <c r="I1355">
        <v>1984</v>
      </c>
      <c r="J1355">
        <v>1984</v>
      </c>
      <c r="K1355" t="s">
        <v>4554</v>
      </c>
      <c r="L1355" t="s">
        <v>3974</v>
      </c>
      <c r="M1355" s="2">
        <v>3852</v>
      </c>
      <c r="N1355" t="s">
        <v>5280</v>
      </c>
      <c r="O1355">
        <v>5</v>
      </c>
      <c r="P1355">
        <v>3</v>
      </c>
      <c r="Q1355">
        <v>0</v>
      </c>
      <c r="R1355" t="s">
        <v>5281</v>
      </c>
      <c r="S1355" t="s">
        <v>4135</v>
      </c>
      <c r="T1355" t="s">
        <v>4559</v>
      </c>
      <c r="U1355" t="s">
        <v>4560</v>
      </c>
      <c r="V1355" s="2">
        <v>484</v>
      </c>
      <c r="W1355" t="s">
        <v>4655</v>
      </c>
      <c r="X1355" s="2">
        <v>0</v>
      </c>
      <c r="Y1355">
        <v>20</v>
      </c>
      <c r="Z1355" t="s">
        <v>5282</v>
      </c>
      <c r="AA1355" s="3">
        <v>0.346005499362946</v>
      </c>
      <c r="AB1355" t="s">
        <v>11030</v>
      </c>
      <c r="AC1355" t="s">
        <v>4575</v>
      </c>
      <c r="AD1355" t="s">
        <v>11029</v>
      </c>
      <c r="AE1355" t="s">
        <v>4655</v>
      </c>
      <c r="AF1355" t="s">
        <v>4563</v>
      </c>
      <c r="AG1355" t="s">
        <v>4564</v>
      </c>
      <c r="AH1355">
        <v>89509</v>
      </c>
      <c r="AI1355" t="s">
        <v>4903</v>
      </c>
      <c r="AJ1355" t="s">
        <v>4655</v>
      </c>
      <c r="AK1355" t="s">
        <v>11031</v>
      </c>
      <c r="AL1355" s="13" t="s">
        <v>2255</v>
      </c>
      <c r="AM1355">
        <v>1</v>
      </c>
      <c r="AN1355" s="15" t="s">
        <v>1691</v>
      </c>
    </row>
    <row r="1356" spans="1:40" x14ac:dyDescent="0.3">
      <c r="A1356" s="10" t="str">
        <f>HYPERLINK("http://www.washoecounty.gov/assessor/cama/?parid=018-153-13&amp;CardNumber=1","018-153-13")</f>
        <v>018-153-13</v>
      </c>
      <c r="B1356" t="s">
        <v>4655</v>
      </c>
      <c r="C1356" t="s">
        <v>11032</v>
      </c>
      <c r="D1356" s="1">
        <v>40479</v>
      </c>
      <c r="E1356" s="2">
        <v>235000</v>
      </c>
      <c r="F1356" t="s">
        <v>4567</v>
      </c>
      <c r="G1356" s="17" t="str">
        <f>HYPERLINK("https://www.washoecounty.gov/assessor/cama/?command=sales&amp;parid=01815313","3937848")</f>
        <v>3937848</v>
      </c>
      <c r="H1356" t="s">
        <v>4655</v>
      </c>
      <c r="I1356">
        <v>1973</v>
      </c>
      <c r="J1356">
        <v>1973</v>
      </c>
      <c r="K1356" t="s">
        <v>4554</v>
      </c>
      <c r="L1356" t="s">
        <v>4555</v>
      </c>
      <c r="M1356" s="2">
        <v>2022</v>
      </c>
      <c r="N1356" t="s">
        <v>5280</v>
      </c>
      <c r="O1356">
        <v>3</v>
      </c>
      <c r="P1356">
        <v>2</v>
      </c>
      <c r="Q1356">
        <v>0</v>
      </c>
      <c r="R1356" t="s">
        <v>4557</v>
      </c>
      <c r="S1356" t="s">
        <v>4135</v>
      </c>
      <c r="T1356" t="s">
        <v>4559</v>
      </c>
      <c r="U1356" t="s">
        <v>4560</v>
      </c>
      <c r="V1356" s="2">
        <v>484</v>
      </c>
      <c r="W1356" t="s">
        <v>4655</v>
      </c>
      <c r="X1356" s="2">
        <v>0</v>
      </c>
      <c r="Y1356">
        <v>20</v>
      </c>
      <c r="Z1356" t="s">
        <v>5282</v>
      </c>
      <c r="AA1356" s="3">
        <v>0.339990824460983</v>
      </c>
      <c r="AB1356" t="s">
        <v>11033</v>
      </c>
      <c r="AC1356" t="s">
        <v>4562</v>
      </c>
      <c r="AD1356" t="s">
        <v>11034</v>
      </c>
      <c r="AE1356" t="s">
        <v>4655</v>
      </c>
      <c r="AF1356" t="s">
        <v>4563</v>
      </c>
      <c r="AG1356" t="s">
        <v>4564</v>
      </c>
      <c r="AH1356">
        <v>89509</v>
      </c>
      <c r="AI1356" t="s">
        <v>4655</v>
      </c>
      <c r="AJ1356" t="s">
        <v>4655</v>
      </c>
      <c r="AK1356" t="s">
        <v>11035</v>
      </c>
      <c r="AL1356" s="13" t="s">
        <v>2255</v>
      </c>
      <c r="AM1356" s="14">
        <v>1</v>
      </c>
      <c r="AN1356" s="15" t="s">
        <v>1691</v>
      </c>
    </row>
    <row r="1357" spans="1:40" x14ac:dyDescent="0.3">
      <c r="A1357" s="10" t="str">
        <f>HYPERLINK("http://www.washoecounty.gov/assessor/cama/?parid=018-161-34&amp;CardNumber=1","018-161-34")</f>
        <v>018-161-34</v>
      </c>
      <c r="B1357" t="s">
        <v>4655</v>
      </c>
      <c r="C1357" t="s">
        <v>11036</v>
      </c>
      <c r="D1357" s="1">
        <v>40535</v>
      </c>
      <c r="E1357" s="2">
        <v>200000</v>
      </c>
      <c r="F1357" t="s">
        <v>4567</v>
      </c>
      <c r="G1357" s="17" t="str">
        <f>HYPERLINK("https://www.washoecounty.gov/assessor/cama/?command=sales&amp;parid=01816134","3957064")</f>
        <v>3957064</v>
      </c>
      <c r="H1357" t="s">
        <v>11037</v>
      </c>
      <c r="I1357">
        <v>1974</v>
      </c>
      <c r="J1357">
        <v>1974</v>
      </c>
      <c r="K1357" t="s">
        <v>4554</v>
      </c>
      <c r="L1357" t="s">
        <v>4555</v>
      </c>
      <c r="M1357" s="2">
        <v>2257</v>
      </c>
      <c r="N1357" t="s">
        <v>3147</v>
      </c>
      <c r="O1357">
        <v>3</v>
      </c>
      <c r="P1357">
        <v>2</v>
      </c>
      <c r="Q1357">
        <v>0</v>
      </c>
      <c r="R1357" t="s">
        <v>4557</v>
      </c>
      <c r="S1357" t="s">
        <v>4682</v>
      </c>
      <c r="T1357" t="s">
        <v>4143</v>
      </c>
      <c r="U1357" t="s">
        <v>4560</v>
      </c>
      <c r="V1357" s="2">
        <v>530</v>
      </c>
      <c r="W1357" t="s">
        <v>4571</v>
      </c>
      <c r="X1357" s="2">
        <v>1884</v>
      </c>
      <c r="Y1357">
        <v>20</v>
      </c>
      <c r="Z1357" t="s">
        <v>5282</v>
      </c>
      <c r="AA1357" s="3">
        <v>0.34898990392684898</v>
      </c>
      <c r="AB1357" t="s">
        <v>11038</v>
      </c>
      <c r="AC1357" t="s">
        <v>4575</v>
      </c>
      <c r="AD1357" t="s">
        <v>11039</v>
      </c>
      <c r="AE1357" t="s">
        <v>4655</v>
      </c>
      <c r="AF1357" t="s">
        <v>4563</v>
      </c>
      <c r="AG1357" t="s">
        <v>4564</v>
      </c>
      <c r="AH1357">
        <v>89509</v>
      </c>
      <c r="AI1357" t="s">
        <v>11040</v>
      </c>
      <c r="AJ1357" t="s">
        <v>4655</v>
      </c>
      <c r="AK1357" t="s">
        <v>11041</v>
      </c>
      <c r="AL1357" s="13" t="s">
        <v>2257</v>
      </c>
      <c r="AM1357">
        <v>1</v>
      </c>
      <c r="AN1357" s="15" t="s">
        <v>1691</v>
      </c>
    </row>
    <row r="1358" spans="1:40" x14ac:dyDescent="0.3">
      <c r="A1358" s="10" t="str">
        <f>HYPERLINK("http://www.washoecounty.gov/assessor/cama/?parid=018-191-88&amp;CardNumber=1","018-191-88")</f>
        <v>018-191-88</v>
      </c>
      <c r="B1358" t="s">
        <v>4655</v>
      </c>
      <c r="C1358" t="s">
        <v>11042</v>
      </c>
      <c r="D1358" s="1">
        <v>40497</v>
      </c>
      <c r="E1358" s="2">
        <v>410000</v>
      </c>
      <c r="F1358" t="s">
        <v>4553</v>
      </c>
      <c r="G1358" s="17" t="str">
        <f>HYPERLINK("https://www.washoecounty.gov/assessor/cama/?command=sales&amp;parid=01819188","3943042")</f>
        <v>3943042</v>
      </c>
      <c r="H1358" t="s">
        <v>11043</v>
      </c>
      <c r="I1358">
        <v>2007</v>
      </c>
      <c r="J1358">
        <v>2007</v>
      </c>
      <c r="K1358" t="s">
        <v>4554</v>
      </c>
      <c r="L1358" t="s">
        <v>4555</v>
      </c>
      <c r="M1358" s="2">
        <v>3045</v>
      </c>
      <c r="N1358" t="s">
        <v>3887</v>
      </c>
      <c r="O1358">
        <v>4</v>
      </c>
      <c r="P1358">
        <v>2</v>
      </c>
      <c r="Q1358">
        <v>1</v>
      </c>
      <c r="R1358" t="s">
        <v>5281</v>
      </c>
      <c r="S1358" t="s">
        <v>4135</v>
      </c>
      <c r="T1358" t="s">
        <v>4559</v>
      </c>
      <c r="U1358" t="s">
        <v>4560</v>
      </c>
      <c r="V1358" s="2">
        <v>1006</v>
      </c>
      <c r="W1358" t="s">
        <v>4655</v>
      </c>
      <c r="X1358" s="2">
        <v>0</v>
      </c>
      <c r="Y1358">
        <v>20</v>
      </c>
      <c r="Z1358" t="s">
        <v>5282</v>
      </c>
      <c r="AA1358" s="3">
        <v>0.62557393312454201</v>
      </c>
      <c r="AB1358" t="s">
        <v>830</v>
      </c>
      <c r="AC1358" t="s">
        <v>4575</v>
      </c>
      <c r="AD1358" t="s">
        <v>11042</v>
      </c>
      <c r="AE1358" t="s">
        <v>4655</v>
      </c>
      <c r="AF1358" t="s">
        <v>4563</v>
      </c>
      <c r="AG1358" t="s">
        <v>4564</v>
      </c>
      <c r="AH1358">
        <v>89509</v>
      </c>
      <c r="AI1358" t="s">
        <v>11044</v>
      </c>
      <c r="AJ1358" t="s">
        <v>11045</v>
      </c>
      <c r="AK1358" t="s">
        <v>11046</v>
      </c>
      <c r="AL1358" s="13" t="s">
        <v>2255</v>
      </c>
      <c r="AM1358" s="14">
        <v>1</v>
      </c>
      <c r="AN1358" s="15" t="s">
        <v>3152</v>
      </c>
    </row>
    <row r="1359" spans="1:40" x14ac:dyDescent="0.3">
      <c r="A1359" s="10" t="str">
        <f>HYPERLINK("http://www.washoecounty.gov/assessor/cama/?parid=018-204-01&amp;CardNumber=1","018-204-01")</f>
        <v>018-204-01</v>
      </c>
      <c r="B1359" t="s">
        <v>4655</v>
      </c>
      <c r="C1359" t="s">
        <v>11047</v>
      </c>
      <c r="D1359" s="1">
        <v>40542</v>
      </c>
      <c r="E1359" s="2">
        <v>35000</v>
      </c>
      <c r="F1359" t="s">
        <v>3528</v>
      </c>
      <c r="G1359" s="17" t="str">
        <f>HYPERLINK("https://www.washoecounty.gov/assessor/cama/?command=sales&amp;parid=01820401","3959004")</f>
        <v>3959004</v>
      </c>
      <c r="H1359" t="s">
        <v>294</v>
      </c>
      <c r="I1359">
        <v>0</v>
      </c>
      <c r="J1359">
        <v>0</v>
      </c>
      <c r="K1359" t="s">
        <v>4655</v>
      </c>
      <c r="L1359" t="s">
        <v>4655</v>
      </c>
      <c r="M1359" s="2">
        <v>0</v>
      </c>
      <c r="N1359" t="s">
        <v>4655</v>
      </c>
      <c r="O1359">
        <v>0</v>
      </c>
      <c r="P1359">
        <v>0</v>
      </c>
      <c r="Q1359">
        <v>0</v>
      </c>
      <c r="R1359" t="s">
        <v>4655</v>
      </c>
      <c r="S1359" t="s">
        <v>4655</v>
      </c>
      <c r="T1359" t="s">
        <v>4655</v>
      </c>
      <c r="U1359" t="s">
        <v>4655</v>
      </c>
      <c r="V1359" s="2">
        <v>0</v>
      </c>
      <c r="W1359" t="s">
        <v>4655</v>
      </c>
      <c r="X1359" s="2">
        <v>0</v>
      </c>
      <c r="Y1359">
        <v>12</v>
      </c>
      <c r="Z1359" t="s">
        <v>5282</v>
      </c>
      <c r="AA1359" s="3">
        <v>0.30000001192092901</v>
      </c>
      <c r="AB1359" t="s">
        <v>11048</v>
      </c>
      <c r="AC1359" t="s">
        <v>4562</v>
      </c>
      <c r="AD1359" t="s">
        <v>11049</v>
      </c>
      <c r="AE1359" t="s">
        <v>4655</v>
      </c>
      <c r="AF1359" t="s">
        <v>4563</v>
      </c>
      <c r="AG1359" t="s">
        <v>4564</v>
      </c>
      <c r="AH1359">
        <v>89509</v>
      </c>
      <c r="AI1359" t="s">
        <v>11050</v>
      </c>
      <c r="AJ1359" t="s">
        <v>4655</v>
      </c>
      <c r="AK1359" t="s">
        <v>11051</v>
      </c>
      <c r="AL1359" s="13" t="s">
        <v>2255</v>
      </c>
      <c r="AM1359">
        <v>0</v>
      </c>
      <c r="AN1359" s="15" t="s">
        <v>1691</v>
      </c>
    </row>
    <row r="1360" spans="1:40" x14ac:dyDescent="0.3">
      <c r="A1360" s="10" t="str">
        <f>HYPERLINK("http://www.washoecounty.gov/assessor/cama/?parid=018-204-02&amp;CardNumber=1","018-204-02")</f>
        <v>018-204-02</v>
      </c>
      <c r="B1360" t="s">
        <v>4655</v>
      </c>
      <c r="C1360" t="s">
        <v>11049</v>
      </c>
      <c r="D1360" s="1">
        <v>40542</v>
      </c>
      <c r="E1360" s="2">
        <v>319900</v>
      </c>
      <c r="F1360" t="s">
        <v>4567</v>
      </c>
      <c r="G1360" s="17" t="str">
        <f>HYPERLINK("https://www.washoecounty.gov/assessor/cama/?command=sales&amp;parid=01820402","3959002")</f>
        <v>3959002</v>
      </c>
      <c r="H1360" t="s">
        <v>294</v>
      </c>
      <c r="I1360">
        <v>1966</v>
      </c>
      <c r="J1360">
        <v>1974</v>
      </c>
      <c r="K1360" t="s">
        <v>4554</v>
      </c>
      <c r="L1360" t="s">
        <v>3974</v>
      </c>
      <c r="M1360" s="2">
        <v>2487</v>
      </c>
      <c r="N1360" t="s">
        <v>3147</v>
      </c>
      <c r="O1360">
        <v>5</v>
      </c>
      <c r="P1360">
        <v>4</v>
      </c>
      <c r="Q1360">
        <v>1</v>
      </c>
      <c r="R1360" t="s">
        <v>4557</v>
      </c>
      <c r="S1360" t="s">
        <v>4682</v>
      </c>
      <c r="T1360" t="s">
        <v>4559</v>
      </c>
      <c r="U1360" t="s">
        <v>4655</v>
      </c>
      <c r="V1360" s="2">
        <v>0</v>
      </c>
      <c r="W1360" t="s">
        <v>3201</v>
      </c>
      <c r="X1360" s="2">
        <v>2396</v>
      </c>
      <c r="Y1360">
        <v>20</v>
      </c>
      <c r="Z1360" t="s">
        <v>5282</v>
      </c>
      <c r="AA1360" s="3">
        <v>0.26000916957855202</v>
      </c>
      <c r="AB1360" t="s">
        <v>11048</v>
      </c>
      <c r="AC1360" t="s">
        <v>4562</v>
      </c>
      <c r="AD1360" t="s">
        <v>11052</v>
      </c>
      <c r="AE1360" t="s">
        <v>4655</v>
      </c>
      <c r="AF1360" t="s">
        <v>4563</v>
      </c>
      <c r="AG1360" t="s">
        <v>4564</v>
      </c>
      <c r="AH1360">
        <v>89509</v>
      </c>
      <c r="AI1360" t="s">
        <v>11050</v>
      </c>
      <c r="AJ1360" t="s">
        <v>4655</v>
      </c>
      <c r="AK1360" t="s">
        <v>11051</v>
      </c>
      <c r="AL1360" s="13" t="s">
        <v>2255</v>
      </c>
      <c r="AM1360">
        <v>1</v>
      </c>
      <c r="AN1360" s="15" t="s">
        <v>1691</v>
      </c>
    </row>
    <row r="1361" spans="1:40" x14ac:dyDescent="0.3">
      <c r="A1361" s="10" t="str">
        <f>HYPERLINK("http://www.washoecounty.gov/assessor/cama/?parid=018-204-05&amp;CardNumber=1","018-204-05")</f>
        <v>018-204-05</v>
      </c>
      <c r="B1361" t="s">
        <v>4655</v>
      </c>
      <c r="C1361" t="s">
        <v>11053</v>
      </c>
      <c r="D1361" s="1">
        <v>40274</v>
      </c>
      <c r="E1361" s="2">
        <v>387000</v>
      </c>
      <c r="F1361" t="s">
        <v>4567</v>
      </c>
      <c r="G1361" s="17" t="str">
        <f>HYPERLINK("https://www.washoecounty.gov/assessor/cama/?command=sales&amp;parid=01820405","3868305")</f>
        <v>3868305</v>
      </c>
      <c r="H1361" t="s">
        <v>294</v>
      </c>
      <c r="I1361">
        <v>1971</v>
      </c>
      <c r="J1361">
        <v>1992</v>
      </c>
      <c r="K1361" t="s">
        <v>4554</v>
      </c>
      <c r="L1361" t="s">
        <v>4555</v>
      </c>
      <c r="M1361" s="2">
        <v>1540</v>
      </c>
      <c r="N1361" t="s">
        <v>5280</v>
      </c>
      <c r="O1361">
        <v>4</v>
      </c>
      <c r="P1361">
        <v>3</v>
      </c>
      <c r="Q1361">
        <v>1</v>
      </c>
      <c r="R1361" t="s">
        <v>5281</v>
      </c>
      <c r="S1361" t="s">
        <v>4898</v>
      </c>
      <c r="T1361" t="s">
        <v>4559</v>
      </c>
      <c r="U1361" t="s">
        <v>4560</v>
      </c>
      <c r="V1361" s="2">
        <v>625</v>
      </c>
      <c r="W1361" t="s">
        <v>3201</v>
      </c>
      <c r="X1361" s="2">
        <v>1276</v>
      </c>
      <c r="Y1361">
        <v>20</v>
      </c>
      <c r="Z1361" t="s">
        <v>5282</v>
      </c>
      <c r="AA1361" s="3">
        <v>0.28000459074974099</v>
      </c>
      <c r="AB1361" t="s">
        <v>11054</v>
      </c>
      <c r="AC1361" t="s">
        <v>4575</v>
      </c>
      <c r="AD1361" t="s">
        <v>11055</v>
      </c>
      <c r="AE1361" t="s">
        <v>11053</v>
      </c>
      <c r="AF1361" t="s">
        <v>4563</v>
      </c>
      <c r="AG1361" t="s">
        <v>4564</v>
      </c>
      <c r="AH1361">
        <v>89509</v>
      </c>
      <c r="AI1361" t="s">
        <v>11056</v>
      </c>
      <c r="AJ1361" t="s">
        <v>4655</v>
      </c>
      <c r="AK1361" t="s">
        <v>11051</v>
      </c>
      <c r="AL1361" s="13" t="s">
        <v>2255</v>
      </c>
      <c r="AM1361" s="14">
        <v>1</v>
      </c>
      <c r="AN1361" s="15" t="s">
        <v>1691</v>
      </c>
    </row>
    <row r="1362" spans="1:40" x14ac:dyDescent="0.3">
      <c r="A1362" s="10" t="str">
        <f>HYPERLINK("http://www.washoecounty.gov/assessor/cama/?parid=018-212-02&amp;CardNumber=1","018-212-02")</f>
        <v>018-212-02</v>
      </c>
      <c r="B1362" t="s">
        <v>4655</v>
      </c>
      <c r="C1362" t="s">
        <v>11057</v>
      </c>
      <c r="D1362" s="1">
        <v>40388</v>
      </c>
      <c r="E1362" s="2">
        <v>324000</v>
      </c>
      <c r="F1362" t="s">
        <v>4567</v>
      </c>
      <c r="G1362" s="17" t="str">
        <f>HYPERLINK("https://www.washoecounty.gov/assessor/cama/?command=sales&amp;parid=01821202","3906630")</f>
        <v>3906630</v>
      </c>
      <c r="H1362" t="s">
        <v>3471</v>
      </c>
      <c r="I1362">
        <v>1956</v>
      </c>
      <c r="J1362">
        <v>1956</v>
      </c>
      <c r="K1362" t="s">
        <v>4554</v>
      </c>
      <c r="L1362" t="s">
        <v>4555</v>
      </c>
      <c r="M1362" s="2">
        <v>2497</v>
      </c>
      <c r="N1362" t="s">
        <v>1245</v>
      </c>
      <c r="O1362">
        <v>3</v>
      </c>
      <c r="P1362">
        <v>2</v>
      </c>
      <c r="Q1362">
        <v>1</v>
      </c>
      <c r="R1362" t="s">
        <v>5281</v>
      </c>
      <c r="S1362" t="s">
        <v>4682</v>
      </c>
      <c r="T1362" t="s">
        <v>4559</v>
      </c>
      <c r="U1362" t="s">
        <v>4560</v>
      </c>
      <c r="V1362" s="2">
        <v>553</v>
      </c>
      <c r="W1362" t="s">
        <v>4655</v>
      </c>
      <c r="X1362" s="2">
        <v>0</v>
      </c>
      <c r="Y1362">
        <v>20</v>
      </c>
      <c r="Z1362" t="s">
        <v>5282</v>
      </c>
      <c r="AA1362" s="3">
        <v>0.5</v>
      </c>
      <c r="AB1362" t="s">
        <v>11058</v>
      </c>
      <c r="AC1362" t="s">
        <v>4562</v>
      </c>
      <c r="AD1362" t="s">
        <v>11059</v>
      </c>
      <c r="AE1362" t="s">
        <v>4655</v>
      </c>
      <c r="AF1362" t="s">
        <v>4563</v>
      </c>
      <c r="AG1362" t="s">
        <v>4564</v>
      </c>
      <c r="AH1362">
        <v>89509</v>
      </c>
      <c r="AI1362" t="s">
        <v>11060</v>
      </c>
      <c r="AJ1362" t="s">
        <v>4655</v>
      </c>
      <c r="AK1362" t="s">
        <v>11024</v>
      </c>
      <c r="AL1362" s="13" t="s">
        <v>2255</v>
      </c>
      <c r="AM1362">
        <v>1</v>
      </c>
      <c r="AN1362" s="15" t="s">
        <v>3020</v>
      </c>
    </row>
    <row r="1363" spans="1:40" x14ac:dyDescent="0.3">
      <c r="A1363" s="10" t="str">
        <f>HYPERLINK("http://www.washoecounty.gov/assessor/cama/?parid=018-221-02&amp;CardNumber=1","018-221-02")</f>
        <v>018-221-02</v>
      </c>
      <c r="B1363" t="s">
        <v>4655</v>
      </c>
      <c r="C1363" t="s">
        <v>11061</v>
      </c>
      <c r="D1363" s="1">
        <v>40186</v>
      </c>
      <c r="E1363" s="2">
        <v>440000</v>
      </c>
      <c r="F1363" t="s">
        <v>4567</v>
      </c>
      <c r="G1363" s="17" t="str">
        <f>HYPERLINK("https://www.washoecounty.gov/assessor/cama/?command=sales&amp;parid=01822102","3837484")</f>
        <v>3837484</v>
      </c>
      <c r="H1363" t="s">
        <v>11062</v>
      </c>
      <c r="I1363">
        <v>1976</v>
      </c>
      <c r="J1363">
        <v>1976</v>
      </c>
      <c r="K1363" t="s">
        <v>4554</v>
      </c>
      <c r="L1363" t="s">
        <v>4555</v>
      </c>
      <c r="M1363" s="2">
        <v>2325</v>
      </c>
      <c r="N1363" t="s">
        <v>3147</v>
      </c>
      <c r="O1363">
        <v>4</v>
      </c>
      <c r="P1363">
        <v>2</v>
      </c>
      <c r="Q1363">
        <v>1</v>
      </c>
      <c r="R1363" t="s">
        <v>5281</v>
      </c>
      <c r="S1363" t="s">
        <v>4135</v>
      </c>
      <c r="T1363" t="s">
        <v>4143</v>
      </c>
      <c r="U1363" t="s">
        <v>4560</v>
      </c>
      <c r="V1363" s="2">
        <v>483</v>
      </c>
      <c r="W1363" t="s">
        <v>4655</v>
      </c>
      <c r="X1363" s="2">
        <v>0</v>
      </c>
      <c r="Y1363">
        <v>20</v>
      </c>
      <c r="Z1363" t="s">
        <v>5282</v>
      </c>
      <c r="AA1363" s="3">
        <v>0.33000460267067</v>
      </c>
      <c r="AB1363" t="s">
        <v>11063</v>
      </c>
      <c r="AC1363" t="s">
        <v>4562</v>
      </c>
      <c r="AD1363" t="s">
        <v>11061</v>
      </c>
      <c r="AE1363" t="s">
        <v>4655</v>
      </c>
      <c r="AF1363" t="s">
        <v>4563</v>
      </c>
      <c r="AG1363" t="s">
        <v>4564</v>
      </c>
      <c r="AH1363">
        <v>89509</v>
      </c>
      <c r="AI1363" t="s">
        <v>11064</v>
      </c>
      <c r="AJ1363" t="s">
        <v>4655</v>
      </c>
      <c r="AK1363" t="s">
        <v>11065</v>
      </c>
      <c r="AL1363" s="13" t="s">
        <v>2255</v>
      </c>
      <c r="AM1363">
        <v>1</v>
      </c>
      <c r="AN1363" s="15" t="s">
        <v>3020</v>
      </c>
    </row>
    <row r="1364" spans="1:40" x14ac:dyDescent="0.3">
      <c r="A1364" s="10" t="str">
        <f>HYPERLINK("http://www.washoecounty.gov/assessor/cama/?parid=018-221-12&amp;CardNumber=1","018-221-12")</f>
        <v>018-221-12</v>
      </c>
      <c r="B1364" t="s">
        <v>4655</v>
      </c>
      <c r="C1364" t="s">
        <v>11066</v>
      </c>
      <c r="D1364" s="1">
        <v>40358</v>
      </c>
      <c r="E1364" s="2">
        <v>432000</v>
      </c>
      <c r="F1364" t="s">
        <v>4567</v>
      </c>
      <c r="G1364" s="17" t="str">
        <f>HYPERLINK("https://www.washoecounty.gov/assessor/cama/?command=sales&amp;parid=01822112","3896404")</f>
        <v>3896404</v>
      </c>
      <c r="H1364" t="s">
        <v>11062</v>
      </c>
      <c r="I1364">
        <v>1976</v>
      </c>
      <c r="J1364">
        <v>1978</v>
      </c>
      <c r="K1364" t="s">
        <v>4554</v>
      </c>
      <c r="L1364" t="s">
        <v>2170</v>
      </c>
      <c r="M1364" s="2">
        <v>2953</v>
      </c>
      <c r="N1364" t="s">
        <v>3887</v>
      </c>
      <c r="O1364">
        <v>4</v>
      </c>
      <c r="P1364">
        <v>3</v>
      </c>
      <c r="Q1364">
        <v>0</v>
      </c>
      <c r="R1364" t="s">
        <v>5281</v>
      </c>
      <c r="S1364" t="s">
        <v>4135</v>
      </c>
      <c r="T1364" t="s">
        <v>4559</v>
      </c>
      <c r="U1364" t="s">
        <v>4560</v>
      </c>
      <c r="V1364" s="2">
        <v>484</v>
      </c>
      <c r="W1364" t="s">
        <v>4655</v>
      </c>
      <c r="X1364" s="2">
        <v>0</v>
      </c>
      <c r="Y1364">
        <v>20</v>
      </c>
      <c r="Z1364" t="s">
        <v>5282</v>
      </c>
      <c r="AA1364" s="3">
        <v>0.339990824460983</v>
      </c>
      <c r="AB1364" t="s">
        <v>11067</v>
      </c>
      <c r="AC1364" t="s">
        <v>4575</v>
      </c>
      <c r="AD1364" t="s">
        <v>11068</v>
      </c>
      <c r="AE1364" t="s">
        <v>11069</v>
      </c>
      <c r="AF1364" t="s">
        <v>4563</v>
      </c>
      <c r="AG1364" t="s">
        <v>4564</v>
      </c>
      <c r="AH1364">
        <v>89509</v>
      </c>
      <c r="AI1364" t="s">
        <v>11070</v>
      </c>
      <c r="AJ1364" t="s">
        <v>4655</v>
      </c>
      <c r="AK1364" t="s">
        <v>11071</v>
      </c>
      <c r="AL1364" s="13" t="s">
        <v>2255</v>
      </c>
      <c r="AM1364">
        <v>1</v>
      </c>
      <c r="AN1364" s="15" t="s">
        <v>3020</v>
      </c>
    </row>
    <row r="1365" spans="1:40" x14ac:dyDescent="0.3">
      <c r="A1365" s="10" t="str">
        <f>HYPERLINK("http://www.washoecounty.gov/assessor/cama/?parid=018-223-09&amp;CardNumber=1","018-223-09")</f>
        <v>018-223-09</v>
      </c>
      <c r="B1365" t="s">
        <v>4655</v>
      </c>
      <c r="C1365" t="s">
        <v>11072</v>
      </c>
      <c r="D1365" s="1">
        <v>40393</v>
      </c>
      <c r="E1365" s="2">
        <v>472000</v>
      </c>
      <c r="F1365" t="s">
        <v>4567</v>
      </c>
      <c r="G1365" s="17" t="str">
        <f>HYPERLINK("https://www.washoecounty.gov/assessor/cama/?command=sales&amp;parid=01822309","3908266")</f>
        <v>3908266</v>
      </c>
      <c r="H1365" t="s">
        <v>11073</v>
      </c>
      <c r="I1365">
        <v>2007</v>
      </c>
      <c r="J1365">
        <v>2007</v>
      </c>
      <c r="K1365" t="s">
        <v>4554</v>
      </c>
      <c r="L1365" t="s">
        <v>4555</v>
      </c>
      <c r="M1365" s="2">
        <v>3042</v>
      </c>
      <c r="N1365" t="s">
        <v>1245</v>
      </c>
      <c r="O1365">
        <v>4</v>
      </c>
      <c r="P1365">
        <v>3</v>
      </c>
      <c r="Q1365">
        <v>1</v>
      </c>
      <c r="R1365" t="s">
        <v>5281</v>
      </c>
      <c r="S1365" t="s">
        <v>4898</v>
      </c>
      <c r="T1365" t="s">
        <v>4559</v>
      </c>
      <c r="U1365" t="s">
        <v>4560</v>
      </c>
      <c r="V1365" s="2">
        <v>1865</v>
      </c>
      <c r="W1365" t="s">
        <v>4655</v>
      </c>
      <c r="X1365" s="2">
        <v>0</v>
      </c>
      <c r="Y1365">
        <v>20</v>
      </c>
      <c r="Z1365" t="s">
        <v>5282</v>
      </c>
      <c r="AA1365" s="3">
        <v>0.38601928949356101</v>
      </c>
      <c r="AB1365" t="s">
        <v>11074</v>
      </c>
      <c r="AC1365" t="s">
        <v>4562</v>
      </c>
      <c r="AD1365" t="s">
        <v>11072</v>
      </c>
      <c r="AE1365" t="s">
        <v>4655</v>
      </c>
      <c r="AF1365" t="s">
        <v>4563</v>
      </c>
      <c r="AG1365" t="s">
        <v>4564</v>
      </c>
      <c r="AH1365">
        <v>89509</v>
      </c>
      <c r="AI1365" t="s">
        <v>11075</v>
      </c>
      <c r="AJ1365" t="s">
        <v>11076</v>
      </c>
      <c r="AK1365" t="s">
        <v>11077</v>
      </c>
      <c r="AL1365" s="13" t="s">
        <v>2255</v>
      </c>
      <c r="AM1365" s="14">
        <v>1</v>
      </c>
      <c r="AN1365" s="15" t="s">
        <v>3020</v>
      </c>
    </row>
    <row r="1366" spans="1:40" x14ac:dyDescent="0.3">
      <c r="A1366" s="10" t="str">
        <f>HYPERLINK("http://www.washoecounty.gov/assessor/cama/?parid=018-241-21&amp;CardNumber=1","018-241-21")</f>
        <v>018-241-21</v>
      </c>
      <c r="B1366" t="s">
        <v>4655</v>
      </c>
      <c r="C1366" t="s">
        <v>11078</v>
      </c>
      <c r="D1366" s="1">
        <v>40361</v>
      </c>
      <c r="E1366" s="2">
        <v>315000</v>
      </c>
      <c r="F1366" t="s">
        <v>4553</v>
      </c>
      <c r="G1366" s="17" t="str">
        <f>HYPERLINK("https://www.washoecounty.gov/assessor/cama/?command=sales&amp;parid=01824121","3897985")</f>
        <v>3897985</v>
      </c>
      <c r="H1366" t="s">
        <v>11079</v>
      </c>
      <c r="I1366">
        <v>1990</v>
      </c>
      <c r="J1366">
        <v>1990</v>
      </c>
      <c r="K1366" t="s">
        <v>4554</v>
      </c>
      <c r="L1366" t="s">
        <v>4555</v>
      </c>
      <c r="M1366" s="2">
        <v>2727</v>
      </c>
      <c r="N1366" t="s">
        <v>5106</v>
      </c>
      <c r="O1366">
        <v>4</v>
      </c>
      <c r="P1366">
        <v>3</v>
      </c>
      <c r="Q1366">
        <v>0</v>
      </c>
      <c r="R1366" t="s">
        <v>4557</v>
      </c>
      <c r="S1366" t="s">
        <v>4898</v>
      </c>
      <c r="T1366" t="s">
        <v>2704</v>
      </c>
      <c r="U1366" t="s">
        <v>4560</v>
      </c>
      <c r="V1366" s="2">
        <v>696</v>
      </c>
      <c r="W1366" t="s">
        <v>4655</v>
      </c>
      <c r="X1366" s="2">
        <v>0</v>
      </c>
      <c r="Y1366">
        <v>20</v>
      </c>
      <c r="Z1366" t="s">
        <v>5282</v>
      </c>
      <c r="AA1366" s="3">
        <v>0.355991721153259</v>
      </c>
      <c r="AB1366" t="s">
        <v>11080</v>
      </c>
      <c r="AC1366" t="s">
        <v>4575</v>
      </c>
      <c r="AD1366" t="s">
        <v>11078</v>
      </c>
      <c r="AE1366" t="s">
        <v>4655</v>
      </c>
      <c r="AF1366" t="s">
        <v>4563</v>
      </c>
      <c r="AG1366" t="s">
        <v>4564</v>
      </c>
      <c r="AH1366">
        <v>89509</v>
      </c>
      <c r="AI1366" t="s">
        <v>73</v>
      </c>
      <c r="AJ1366" t="s">
        <v>4655</v>
      </c>
      <c r="AK1366" t="s">
        <v>11081</v>
      </c>
      <c r="AL1366" s="13" t="s">
        <v>2255</v>
      </c>
      <c r="AM1366">
        <v>1</v>
      </c>
      <c r="AN1366" s="15" t="s">
        <v>460</v>
      </c>
    </row>
    <row r="1367" spans="1:40" x14ac:dyDescent="0.3">
      <c r="A1367" s="10" t="str">
        <f>HYPERLINK("http://www.washoecounty.gov/assessor/cama/?parid=018-253-13&amp;CardNumber=1","018-253-13")</f>
        <v>018-253-13</v>
      </c>
      <c r="B1367" t="s">
        <v>4655</v>
      </c>
      <c r="C1367" t="s">
        <v>11082</v>
      </c>
      <c r="D1367" s="1">
        <v>40357</v>
      </c>
      <c r="E1367" s="2">
        <v>225000</v>
      </c>
      <c r="F1367" t="s">
        <v>4567</v>
      </c>
      <c r="G1367" s="17" t="str">
        <f>HYPERLINK("https://www.washoecounty.gov/assessor/cama/?command=sales&amp;parid=01825313","3895945")</f>
        <v>3895945</v>
      </c>
      <c r="H1367" t="s">
        <v>11083</v>
      </c>
      <c r="I1367">
        <v>1955</v>
      </c>
      <c r="J1367">
        <v>1955</v>
      </c>
      <c r="K1367" t="s">
        <v>4554</v>
      </c>
      <c r="L1367" t="s">
        <v>4555</v>
      </c>
      <c r="M1367" s="2">
        <v>1544</v>
      </c>
      <c r="N1367" t="s">
        <v>5280</v>
      </c>
      <c r="O1367">
        <v>3</v>
      </c>
      <c r="P1367">
        <v>2</v>
      </c>
      <c r="Q1367">
        <v>0</v>
      </c>
      <c r="R1367" t="s">
        <v>5281</v>
      </c>
      <c r="S1367" t="s">
        <v>4135</v>
      </c>
      <c r="T1367" t="s">
        <v>4559</v>
      </c>
      <c r="U1367" t="s">
        <v>4655</v>
      </c>
      <c r="V1367" s="2">
        <v>0</v>
      </c>
      <c r="W1367" t="s">
        <v>4655</v>
      </c>
      <c r="X1367" s="2">
        <v>0</v>
      </c>
      <c r="Y1367">
        <v>20</v>
      </c>
      <c r="Z1367" t="s">
        <v>5282</v>
      </c>
      <c r="AA1367" s="3">
        <v>0.46000918745994601</v>
      </c>
      <c r="AB1367" t="s">
        <v>11084</v>
      </c>
      <c r="AC1367" t="s">
        <v>4562</v>
      </c>
      <c r="AD1367" t="s">
        <v>11082</v>
      </c>
      <c r="AE1367" t="s">
        <v>4655</v>
      </c>
      <c r="AF1367" t="s">
        <v>4563</v>
      </c>
      <c r="AG1367" t="s">
        <v>4564</v>
      </c>
      <c r="AH1367">
        <v>89509</v>
      </c>
      <c r="AI1367" t="s">
        <v>4655</v>
      </c>
      <c r="AJ1367" t="s">
        <v>4655</v>
      </c>
      <c r="AK1367" t="s">
        <v>11085</v>
      </c>
      <c r="AL1367" s="13" t="s">
        <v>2255</v>
      </c>
      <c r="AM1367">
        <v>1</v>
      </c>
      <c r="AN1367" s="15" t="s">
        <v>3152</v>
      </c>
    </row>
    <row r="1368" spans="1:40" x14ac:dyDescent="0.3">
      <c r="A1368" s="10" t="str">
        <f>HYPERLINK("http://www.washoecounty.gov/assessor/cama/?parid=018-253-20&amp;CardNumber=1","018-253-20")</f>
        <v>018-253-20</v>
      </c>
      <c r="B1368" t="s">
        <v>4655</v>
      </c>
      <c r="C1368" t="s">
        <v>11086</v>
      </c>
      <c r="D1368" s="1">
        <v>40535</v>
      </c>
      <c r="E1368" s="2">
        <v>418000</v>
      </c>
      <c r="F1368" t="s">
        <v>4567</v>
      </c>
      <c r="G1368" s="17" t="str">
        <f>HYPERLINK("https://www.washoecounty.gov/assessor/cama/?command=sales&amp;parid=01825320","3957056")</f>
        <v>3957056</v>
      </c>
      <c r="H1368" t="s">
        <v>11087</v>
      </c>
      <c r="I1368">
        <v>1958</v>
      </c>
      <c r="J1368">
        <v>1973</v>
      </c>
      <c r="K1368" t="s">
        <v>4554</v>
      </c>
      <c r="L1368" t="s">
        <v>3974</v>
      </c>
      <c r="M1368" s="2">
        <v>3048</v>
      </c>
      <c r="N1368" t="s">
        <v>3147</v>
      </c>
      <c r="O1368">
        <v>6</v>
      </c>
      <c r="P1368">
        <v>4</v>
      </c>
      <c r="Q1368">
        <v>0</v>
      </c>
      <c r="R1368" t="s">
        <v>4557</v>
      </c>
      <c r="S1368" t="s">
        <v>4135</v>
      </c>
      <c r="T1368" t="s">
        <v>4559</v>
      </c>
      <c r="U1368" t="s">
        <v>4560</v>
      </c>
      <c r="V1368" s="2">
        <v>483</v>
      </c>
      <c r="W1368" t="s">
        <v>4655</v>
      </c>
      <c r="X1368" s="2">
        <v>0</v>
      </c>
      <c r="Y1368">
        <v>20</v>
      </c>
      <c r="Z1368" t="s">
        <v>5282</v>
      </c>
      <c r="AA1368" s="3">
        <v>0.51000916957855202</v>
      </c>
      <c r="AB1368" t="s">
        <v>11088</v>
      </c>
      <c r="AC1368" t="s">
        <v>4575</v>
      </c>
      <c r="AD1368" t="s">
        <v>11089</v>
      </c>
      <c r="AE1368" t="s">
        <v>4655</v>
      </c>
      <c r="AF1368" t="s">
        <v>4563</v>
      </c>
      <c r="AG1368" t="s">
        <v>4564</v>
      </c>
      <c r="AH1368" t="s">
        <v>1147</v>
      </c>
      <c r="AI1368" t="s">
        <v>11090</v>
      </c>
      <c r="AJ1368" t="s">
        <v>4655</v>
      </c>
      <c r="AK1368" t="s">
        <v>11091</v>
      </c>
      <c r="AL1368" s="13" t="s">
        <v>2257</v>
      </c>
      <c r="AM1368">
        <v>1</v>
      </c>
      <c r="AN1368" s="15" t="s">
        <v>3152</v>
      </c>
    </row>
    <row r="1369" spans="1:40" x14ac:dyDescent="0.3">
      <c r="A1369" s="10" t="str">
        <f>HYPERLINK("http://www.washoecounty.gov/assessor/cama/?parid=018-273-05&amp;CardNumber=1","018-273-05")</f>
        <v>018-273-05</v>
      </c>
      <c r="B1369" t="s">
        <v>4655</v>
      </c>
      <c r="C1369" t="s">
        <v>11092</v>
      </c>
      <c r="D1369" s="1">
        <v>40421</v>
      </c>
      <c r="E1369" s="2">
        <v>275000</v>
      </c>
      <c r="F1369" t="s">
        <v>4567</v>
      </c>
      <c r="G1369" s="17" t="str">
        <f>HYPERLINK("https://www.washoecounty.gov/assessor/cama/?command=sales&amp;parid=01827305","3917454")</f>
        <v>3917454</v>
      </c>
      <c r="H1369" t="s">
        <v>2415</v>
      </c>
      <c r="I1369">
        <v>1986</v>
      </c>
      <c r="J1369">
        <v>1986</v>
      </c>
      <c r="K1369" t="s">
        <v>4554</v>
      </c>
      <c r="L1369" t="s">
        <v>3974</v>
      </c>
      <c r="M1369" s="2">
        <v>2422</v>
      </c>
      <c r="N1369" t="s">
        <v>3147</v>
      </c>
      <c r="O1369">
        <v>3</v>
      </c>
      <c r="P1369">
        <v>2</v>
      </c>
      <c r="Q1369">
        <v>1</v>
      </c>
      <c r="R1369" t="s">
        <v>4557</v>
      </c>
      <c r="S1369" t="s">
        <v>4558</v>
      </c>
      <c r="T1369" t="s">
        <v>4559</v>
      </c>
      <c r="U1369" t="s">
        <v>4560</v>
      </c>
      <c r="V1369" s="2">
        <v>527</v>
      </c>
      <c r="W1369" t="s">
        <v>4655</v>
      </c>
      <c r="X1369" s="2">
        <v>0</v>
      </c>
      <c r="Y1369">
        <v>20</v>
      </c>
      <c r="Z1369" t="s">
        <v>5282</v>
      </c>
      <c r="AA1369" s="3">
        <v>0.27500000596046398</v>
      </c>
      <c r="AB1369" t="s">
        <v>11093</v>
      </c>
      <c r="AC1369" t="s">
        <v>4562</v>
      </c>
      <c r="AD1369" t="s">
        <v>11092</v>
      </c>
      <c r="AE1369" t="s">
        <v>4655</v>
      </c>
      <c r="AF1369" t="s">
        <v>4563</v>
      </c>
      <c r="AG1369" t="s">
        <v>4564</v>
      </c>
      <c r="AH1369">
        <v>89509</v>
      </c>
      <c r="AI1369" t="s">
        <v>11094</v>
      </c>
      <c r="AJ1369" t="s">
        <v>4655</v>
      </c>
      <c r="AK1369" t="s">
        <v>11095</v>
      </c>
      <c r="AL1369" s="13" t="s">
        <v>2255</v>
      </c>
      <c r="AM1369">
        <v>1</v>
      </c>
      <c r="AN1369" s="15" t="s">
        <v>1691</v>
      </c>
    </row>
    <row r="1370" spans="1:40" x14ac:dyDescent="0.3">
      <c r="A1370" s="10" t="str">
        <f>HYPERLINK("http://www.washoecounty.gov/assessor/cama/?parid=018-280-22&amp;CardNumber=1","018-280-22")</f>
        <v>018-280-22</v>
      </c>
      <c r="B1370" t="s">
        <v>4655</v>
      </c>
      <c r="C1370" t="s">
        <v>11096</v>
      </c>
      <c r="D1370" s="1">
        <v>40464</v>
      </c>
      <c r="E1370" s="2">
        <v>355500</v>
      </c>
      <c r="F1370" t="s">
        <v>4567</v>
      </c>
      <c r="G1370" s="17" t="str">
        <f>HYPERLINK("https://www.washoecounty.gov/assessor/cama/?command=sales&amp;parid=01828022","3932567")</f>
        <v>3932567</v>
      </c>
      <c r="H1370" t="s">
        <v>11097</v>
      </c>
      <c r="I1370">
        <v>1989</v>
      </c>
      <c r="J1370">
        <v>1989</v>
      </c>
      <c r="K1370" t="s">
        <v>4554</v>
      </c>
      <c r="L1370" t="s">
        <v>4555</v>
      </c>
      <c r="M1370" s="2">
        <v>2452</v>
      </c>
      <c r="N1370" t="s">
        <v>1245</v>
      </c>
      <c r="O1370">
        <v>3</v>
      </c>
      <c r="P1370">
        <v>3</v>
      </c>
      <c r="Q1370">
        <v>1</v>
      </c>
      <c r="R1370" t="s">
        <v>5281</v>
      </c>
      <c r="S1370" t="s">
        <v>4135</v>
      </c>
      <c r="T1370" t="s">
        <v>3888</v>
      </c>
      <c r="U1370" t="s">
        <v>4560</v>
      </c>
      <c r="V1370" s="2">
        <v>774</v>
      </c>
      <c r="W1370" t="s">
        <v>4655</v>
      </c>
      <c r="X1370" s="2">
        <v>0</v>
      </c>
      <c r="Y1370">
        <v>20</v>
      </c>
      <c r="Z1370" t="s">
        <v>5282</v>
      </c>
      <c r="AA1370" s="3">
        <v>0.57601010799407903</v>
      </c>
      <c r="AB1370" t="s">
        <v>11098</v>
      </c>
      <c r="AC1370" t="s">
        <v>4575</v>
      </c>
      <c r="AD1370" t="s">
        <v>11096</v>
      </c>
      <c r="AE1370" t="s">
        <v>4655</v>
      </c>
      <c r="AF1370" t="s">
        <v>4563</v>
      </c>
      <c r="AG1370" t="s">
        <v>4564</v>
      </c>
      <c r="AH1370">
        <v>89509</v>
      </c>
      <c r="AI1370" t="s">
        <v>11099</v>
      </c>
      <c r="AJ1370" t="s">
        <v>4655</v>
      </c>
      <c r="AK1370" t="s">
        <v>11100</v>
      </c>
      <c r="AL1370" s="13" t="s">
        <v>2255</v>
      </c>
      <c r="AM1370" s="14">
        <v>1</v>
      </c>
      <c r="AN1370" s="15" t="s">
        <v>460</v>
      </c>
    </row>
    <row r="1371" spans="1:40" x14ac:dyDescent="0.3">
      <c r="A1371" s="10" t="str">
        <f>HYPERLINK("http://www.washoecounty.gov/assessor/cama/?parid=018-280-33&amp;CardNumber=1","018-280-33")</f>
        <v>018-280-33</v>
      </c>
      <c r="B1371" t="s">
        <v>4655</v>
      </c>
      <c r="C1371" t="s">
        <v>11101</v>
      </c>
      <c r="D1371" s="1">
        <v>40408</v>
      </c>
      <c r="E1371" s="2">
        <v>445000</v>
      </c>
      <c r="F1371" t="s">
        <v>4553</v>
      </c>
      <c r="G1371" s="17" t="str">
        <f>HYPERLINK("https://www.washoecounty.gov/assessor/cama/?command=sales&amp;parid=01828033","3913411")</f>
        <v>3913411</v>
      </c>
      <c r="H1371" t="s">
        <v>11102</v>
      </c>
      <c r="I1371">
        <v>1990</v>
      </c>
      <c r="J1371">
        <v>1990</v>
      </c>
      <c r="K1371" t="s">
        <v>4554</v>
      </c>
      <c r="L1371" t="s">
        <v>2170</v>
      </c>
      <c r="M1371" s="2">
        <v>5095</v>
      </c>
      <c r="N1371" t="s">
        <v>5106</v>
      </c>
      <c r="O1371">
        <v>4</v>
      </c>
      <c r="P1371">
        <v>4</v>
      </c>
      <c r="Q1371">
        <v>0</v>
      </c>
      <c r="R1371" t="s">
        <v>5281</v>
      </c>
      <c r="S1371" t="s">
        <v>4135</v>
      </c>
      <c r="T1371" t="s">
        <v>2704</v>
      </c>
      <c r="U1371" t="s">
        <v>5631</v>
      </c>
      <c r="V1371" s="2">
        <v>775</v>
      </c>
      <c r="W1371" t="s">
        <v>3201</v>
      </c>
      <c r="X1371" s="2">
        <v>1390</v>
      </c>
      <c r="Y1371">
        <v>20</v>
      </c>
      <c r="Z1371" t="s">
        <v>5282</v>
      </c>
      <c r="AA1371" s="3">
        <v>0.54499542713165283</v>
      </c>
      <c r="AB1371" t="s">
        <v>11103</v>
      </c>
      <c r="AC1371" t="s">
        <v>4562</v>
      </c>
      <c r="AD1371" t="s">
        <v>11101</v>
      </c>
      <c r="AE1371" t="s">
        <v>4655</v>
      </c>
      <c r="AF1371" t="s">
        <v>4563</v>
      </c>
      <c r="AG1371" t="s">
        <v>4564</v>
      </c>
      <c r="AH1371">
        <v>89509</v>
      </c>
      <c r="AI1371" t="s">
        <v>4903</v>
      </c>
      <c r="AJ1371" t="s">
        <v>4655</v>
      </c>
      <c r="AK1371" t="s">
        <v>11104</v>
      </c>
      <c r="AL1371" s="13" t="s">
        <v>2255</v>
      </c>
      <c r="AM1371" s="14">
        <v>1</v>
      </c>
      <c r="AN1371" s="15" t="s">
        <v>460</v>
      </c>
    </row>
    <row r="1372" spans="1:40" x14ac:dyDescent="0.3">
      <c r="A1372" s="10" t="str">
        <f>HYPERLINK("http://www.washoecounty.gov/assessor/cama/?parid=018-280-34&amp;CardNumber=1","018-280-34")</f>
        <v>018-280-34</v>
      </c>
      <c r="B1372" t="s">
        <v>4655</v>
      </c>
      <c r="C1372" t="s">
        <v>11105</v>
      </c>
      <c r="D1372" s="1">
        <v>40268</v>
      </c>
      <c r="E1372" s="2">
        <v>445000</v>
      </c>
      <c r="F1372" t="s">
        <v>4567</v>
      </c>
      <c r="G1372" s="17" t="str">
        <f>HYPERLINK("https://www.washoecounty.gov/assessor/cama/?command=sales&amp;parid=01828034","3866274")</f>
        <v>3866274</v>
      </c>
      <c r="H1372" t="s">
        <v>11106</v>
      </c>
      <c r="I1372">
        <v>1990</v>
      </c>
      <c r="J1372">
        <v>1990</v>
      </c>
      <c r="K1372" t="s">
        <v>4554</v>
      </c>
      <c r="L1372" t="s">
        <v>4555</v>
      </c>
      <c r="M1372" s="2">
        <v>2480</v>
      </c>
      <c r="N1372" t="s">
        <v>5106</v>
      </c>
      <c r="O1372">
        <v>4</v>
      </c>
      <c r="P1372">
        <v>3</v>
      </c>
      <c r="Q1372">
        <v>1</v>
      </c>
      <c r="R1372" t="s">
        <v>5281</v>
      </c>
      <c r="S1372" t="s">
        <v>4898</v>
      </c>
      <c r="T1372" t="s">
        <v>2704</v>
      </c>
      <c r="U1372" t="s">
        <v>4560</v>
      </c>
      <c r="V1372" s="2">
        <v>778</v>
      </c>
      <c r="W1372" t="s">
        <v>3201</v>
      </c>
      <c r="X1372" s="2">
        <v>2361</v>
      </c>
      <c r="Y1372">
        <v>20</v>
      </c>
      <c r="Z1372" t="s">
        <v>5282</v>
      </c>
      <c r="AA1372" s="3">
        <v>0.55700182914733798</v>
      </c>
      <c r="AB1372" t="s">
        <v>11107</v>
      </c>
      <c r="AC1372" t="s">
        <v>4562</v>
      </c>
      <c r="AD1372" t="s">
        <v>11105</v>
      </c>
      <c r="AE1372" t="s">
        <v>4655</v>
      </c>
      <c r="AF1372" t="s">
        <v>4563</v>
      </c>
      <c r="AG1372" t="s">
        <v>4564</v>
      </c>
      <c r="AH1372">
        <v>89509</v>
      </c>
      <c r="AI1372" t="s">
        <v>11108</v>
      </c>
      <c r="AJ1372" t="s">
        <v>11109</v>
      </c>
      <c r="AK1372" t="s">
        <v>11110</v>
      </c>
      <c r="AL1372" s="13" t="s">
        <v>2255</v>
      </c>
      <c r="AM1372" s="14">
        <v>1</v>
      </c>
      <c r="AN1372" s="15" t="s">
        <v>460</v>
      </c>
    </row>
    <row r="1373" spans="1:40" x14ac:dyDescent="0.3">
      <c r="A1373" s="10" t="str">
        <f>HYPERLINK("http://www.washoecounty.gov/assessor/cama/?parid=018-280-50&amp;CardNumber=1","018-280-50")</f>
        <v>018-280-50</v>
      </c>
      <c r="B1373" t="s">
        <v>4655</v>
      </c>
      <c r="C1373" t="s">
        <v>11111</v>
      </c>
      <c r="D1373" s="1">
        <v>40276</v>
      </c>
      <c r="E1373" s="2">
        <v>420000</v>
      </c>
      <c r="F1373" t="s">
        <v>4567</v>
      </c>
      <c r="G1373" s="17" t="str">
        <f>HYPERLINK("https://www.washoecounty.gov/assessor/cama/?command=sales&amp;parid=01828050","3868883")</f>
        <v>3868883</v>
      </c>
      <c r="H1373" t="s">
        <v>11112</v>
      </c>
      <c r="I1373">
        <v>2006</v>
      </c>
      <c r="J1373">
        <v>2006</v>
      </c>
      <c r="K1373" t="s">
        <v>4554</v>
      </c>
      <c r="L1373" t="s">
        <v>3974</v>
      </c>
      <c r="M1373" s="2">
        <v>3011</v>
      </c>
      <c r="N1373" t="s">
        <v>1245</v>
      </c>
      <c r="O1373">
        <v>3</v>
      </c>
      <c r="P1373">
        <v>3</v>
      </c>
      <c r="Q1373">
        <v>0</v>
      </c>
      <c r="R1373" t="s">
        <v>5281</v>
      </c>
      <c r="S1373" t="s">
        <v>4898</v>
      </c>
      <c r="T1373" t="s">
        <v>4559</v>
      </c>
      <c r="U1373" t="s">
        <v>5631</v>
      </c>
      <c r="V1373" s="2">
        <v>1180</v>
      </c>
      <c r="W1373" t="s">
        <v>4655</v>
      </c>
      <c r="X1373" s="2">
        <v>0</v>
      </c>
      <c r="Y1373">
        <v>20</v>
      </c>
      <c r="Z1373" t="s">
        <v>5282</v>
      </c>
      <c r="AA1373" s="3">
        <v>0.361753910779953</v>
      </c>
      <c r="AB1373" t="s">
        <v>11113</v>
      </c>
      <c r="AC1373" t="s">
        <v>4562</v>
      </c>
      <c r="AD1373" t="s">
        <v>11111</v>
      </c>
      <c r="AE1373" t="s">
        <v>4655</v>
      </c>
      <c r="AF1373" t="s">
        <v>4563</v>
      </c>
      <c r="AG1373" t="s">
        <v>4564</v>
      </c>
      <c r="AH1373">
        <v>89509</v>
      </c>
      <c r="AI1373" t="s">
        <v>11114</v>
      </c>
      <c r="AJ1373" t="s">
        <v>11115</v>
      </c>
      <c r="AK1373" t="s">
        <v>11116</v>
      </c>
      <c r="AL1373" s="13" t="s">
        <v>2255</v>
      </c>
      <c r="AM1373">
        <v>1</v>
      </c>
      <c r="AN1373" s="15" t="s">
        <v>460</v>
      </c>
    </row>
    <row r="1374" spans="1:40" x14ac:dyDescent="0.3">
      <c r="A1374" s="10" t="str">
        <f>HYPERLINK("http://www.washoecounty.gov/assessor/cama/?parid=018-280-57&amp;CardNumber=1","018-280-57")</f>
        <v>018-280-57</v>
      </c>
      <c r="B1374" t="s">
        <v>4655</v>
      </c>
      <c r="C1374" t="s">
        <v>11117</v>
      </c>
      <c r="D1374" s="1">
        <v>40326</v>
      </c>
      <c r="E1374" s="2">
        <v>485000</v>
      </c>
      <c r="F1374" t="s">
        <v>4567</v>
      </c>
      <c r="G1374" s="17" t="str">
        <f>HYPERLINK("https://www.washoecounty.gov/assessor/cama/?command=sales&amp;parid=01828057","3886631")</f>
        <v>3886631</v>
      </c>
      <c r="H1374" t="s">
        <v>11118</v>
      </c>
      <c r="I1374">
        <v>2006</v>
      </c>
      <c r="J1374">
        <v>2006</v>
      </c>
      <c r="K1374" t="s">
        <v>4554</v>
      </c>
      <c r="L1374" t="s">
        <v>4555</v>
      </c>
      <c r="M1374" s="2">
        <v>2638</v>
      </c>
      <c r="N1374" t="s">
        <v>5106</v>
      </c>
      <c r="O1374">
        <v>4</v>
      </c>
      <c r="P1374">
        <v>3</v>
      </c>
      <c r="Q1374">
        <v>1</v>
      </c>
      <c r="R1374" t="s">
        <v>5281</v>
      </c>
      <c r="S1374" t="s">
        <v>4898</v>
      </c>
      <c r="T1374" t="s">
        <v>2704</v>
      </c>
      <c r="U1374" t="s">
        <v>4560</v>
      </c>
      <c r="V1374" s="2">
        <v>934</v>
      </c>
      <c r="W1374" t="s">
        <v>4571</v>
      </c>
      <c r="X1374" s="2">
        <v>2570</v>
      </c>
      <c r="Y1374">
        <v>20</v>
      </c>
      <c r="Z1374" t="s">
        <v>5282</v>
      </c>
      <c r="AA1374" s="3">
        <v>0.66003215312957697</v>
      </c>
      <c r="AB1374" t="s">
        <v>11119</v>
      </c>
      <c r="AC1374" t="s">
        <v>4562</v>
      </c>
      <c r="AD1374" t="s">
        <v>11117</v>
      </c>
      <c r="AE1374" t="s">
        <v>4655</v>
      </c>
      <c r="AF1374" t="s">
        <v>4563</v>
      </c>
      <c r="AG1374" t="s">
        <v>4564</v>
      </c>
      <c r="AH1374">
        <v>89509</v>
      </c>
      <c r="AI1374" t="s">
        <v>11120</v>
      </c>
      <c r="AJ1374" t="s">
        <v>11121</v>
      </c>
      <c r="AK1374" t="s">
        <v>11122</v>
      </c>
      <c r="AL1374" s="13" t="s">
        <v>2255</v>
      </c>
      <c r="AM1374" s="14">
        <v>1</v>
      </c>
      <c r="AN1374" s="15" t="s">
        <v>460</v>
      </c>
    </row>
    <row r="1375" spans="1:40" x14ac:dyDescent="0.3">
      <c r="A1375" s="10" t="str">
        <f>HYPERLINK("http://www.washoecounty.gov/assessor/cama/?parid=018-340-02&amp;CardNumber=1","018-340-02")</f>
        <v>018-340-02</v>
      </c>
      <c r="B1375" t="s">
        <v>4655</v>
      </c>
      <c r="C1375" t="s">
        <v>11123</v>
      </c>
      <c r="D1375" s="1">
        <v>40232</v>
      </c>
      <c r="E1375" s="2">
        <v>400000</v>
      </c>
      <c r="F1375" t="s">
        <v>4567</v>
      </c>
      <c r="G1375" s="17" t="str">
        <f>HYPERLINK("https://www.washoecounty.gov/assessor/cama/?command=sales&amp;parid=01834002","3852111")</f>
        <v>3852111</v>
      </c>
      <c r="H1375" t="s">
        <v>11124</v>
      </c>
      <c r="I1375">
        <v>1990</v>
      </c>
      <c r="J1375">
        <v>1990</v>
      </c>
      <c r="K1375" t="s">
        <v>4554</v>
      </c>
      <c r="L1375" t="s">
        <v>3886</v>
      </c>
      <c r="M1375" s="2">
        <v>3918</v>
      </c>
      <c r="N1375" t="s">
        <v>5106</v>
      </c>
      <c r="O1375">
        <v>5</v>
      </c>
      <c r="P1375">
        <v>3</v>
      </c>
      <c r="Q1375">
        <v>1</v>
      </c>
      <c r="R1375" t="s">
        <v>5281</v>
      </c>
      <c r="S1375" t="s">
        <v>4682</v>
      </c>
      <c r="T1375" t="s">
        <v>2704</v>
      </c>
      <c r="U1375" t="s">
        <v>4560</v>
      </c>
      <c r="V1375" s="2">
        <v>789</v>
      </c>
      <c r="W1375" t="s">
        <v>3201</v>
      </c>
      <c r="X1375" s="2">
        <v>2483</v>
      </c>
      <c r="Y1375">
        <v>20</v>
      </c>
      <c r="Z1375" t="s">
        <v>5282</v>
      </c>
      <c r="AA1375" s="3">
        <v>0.44999998807907099</v>
      </c>
      <c r="AB1375" t="s">
        <v>9016</v>
      </c>
      <c r="AC1375" t="s">
        <v>4562</v>
      </c>
      <c r="AD1375" t="s">
        <v>11000</v>
      </c>
      <c r="AE1375" t="s">
        <v>4655</v>
      </c>
      <c r="AF1375" t="s">
        <v>4563</v>
      </c>
      <c r="AG1375" t="s">
        <v>4564</v>
      </c>
      <c r="AH1375">
        <v>89501</v>
      </c>
      <c r="AI1375" t="s">
        <v>11125</v>
      </c>
      <c r="AJ1375" t="s">
        <v>4655</v>
      </c>
      <c r="AK1375" t="s">
        <v>11126</v>
      </c>
      <c r="AL1375" s="13" t="s">
        <v>2255</v>
      </c>
      <c r="AM1375">
        <v>1</v>
      </c>
      <c r="AN1375" s="15" t="s">
        <v>460</v>
      </c>
    </row>
    <row r="1376" spans="1:40" x14ac:dyDescent="0.3">
      <c r="A1376" s="10" t="str">
        <f>HYPERLINK("http://www.washoecounty.gov/assessor/cama/?parid=018-340-02&amp;CardNumber=1","018-340-02")</f>
        <v>018-340-02</v>
      </c>
      <c r="B1376" t="s">
        <v>4655</v>
      </c>
      <c r="C1376" t="s">
        <v>11123</v>
      </c>
      <c r="D1376" s="1">
        <v>40240</v>
      </c>
      <c r="E1376" s="2">
        <v>400000</v>
      </c>
      <c r="F1376" t="s">
        <v>4567</v>
      </c>
      <c r="G1376" s="17" t="str">
        <f>HYPERLINK("https://www.washoecounty.gov/assessor/cama/?command=sales&amp;parid=01834002","3855111")</f>
        <v>3855111</v>
      </c>
      <c r="H1376" t="s">
        <v>11124</v>
      </c>
      <c r="I1376">
        <v>1990</v>
      </c>
      <c r="J1376">
        <v>1990</v>
      </c>
      <c r="K1376" t="s">
        <v>4554</v>
      </c>
      <c r="L1376" t="s">
        <v>3886</v>
      </c>
      <c r="M1376" s="2">
        <v>3918</v>
      </c>
      <c r="N1376" t="s">
        <v>5106</v>
      </c>
      <c r="O1376">
        <v>5</v>
      </c>
      <c r="P1376">
        <v>3</v>
      </c>
      <c r="Q1376">
        <v>1</v>
      </c>
      <c r="R1376" t="s">
        <v>5281</v>
      </c>
      <c r="S1376" t="s">
        <v>4682</v>
      </c>
      <c r="T1376" t="s">
        <v>2704</v>
      </c>
      <c r="U1376" t="s">
        <v>4560</v>
      </c>
      <c r="V1376" s="2">
        <v>789</v>
      </c>
      <c r="W1376" t="s">
        <v>3201</v>
      </c>
      <c r="X1376" s="2">
        <v>2483</v>
      </c>
      <c r="Y1376">
        <v>20</v>
      </c>
      <c r="Z1376" t="s">
        <v>5282</v>
      </c>
      <c r="AA1376" s="3">
        <v>0.44999998807907099</v>
      </c>
      <c r="AB1376" t="s">
        <v>9016</v>
      </c>
      <c r="AC1376" t="s">
        <v>4562</v>
      </c>
      <c r="AD1376" t="s">
        <v>11000</v>
      </c>
      <c r="AE1376" t="s">
        <v>4655</v>
      </c>
      <c r="AF1376" t="s">
        <v>4563</v>
      </c>
      <c r="AG1376" t="s">
        <v>4564</v>
      </c>
      <c r="AH1376">
        <v>89501</v>
      </c>
      <c r="AI1376" t="s">
        <v>11125</v>
      </c>
      <c r="AJ1376" t="s">
        <v>4655</v>
      </c>
      <c r="AK1376" t="s">
        <v>11126</v>
      </c>
      <c r="AL1376" s="13" t="s">
        <v>2255</v>
      </c>
      <c r="AM1376" s="14">
        <v>1</v>
      </c>
      <c r="AN1376" s="15" t="s">
        <v>460</v>
      </c>
    </row>
    <row r="1377" spans="1:40" x14ac:dyDescent="0.3">
      <c r="A1377" s="10" t="str">
        <f>HYPERLINK("http://www.washoecounty.gov/assessor/cama/?parid=018-340-03&amp;CardNumber=1","018-340-03")</f>
        <v>018-340-03</v>
      </c>
      <c r="B1377" t="s">
        <v>4655</v>
      </c>
      <c r="C1377" t="s">
        <v>11127</v>
      </c>
      <c r="D1377" s="1">
        <v>40359</v>
      </c>
      <c r="E1377" s="2">
        <v>485000</v>
      </c>
      <c r="F1377" t="s">
        <v>4567</v>
      </c>
      <c r="G1377" s="17" t="str">
        <f>HYPERLINK("https://www.washoecounty.gov/assessor/cama/?command=sales&amp;parid=01834003","3897152")</f>
        <v>3897152</v>
      </c>
      <c r="H1377" t="s">
        <v>1682</v>
      </c>
      <c r="I1377">
        <v>1990</v>
      </c>
      <c r="J1377">
        <v>1990</v>
      </c>
      <c r="K1377" t="s">
        <v>4554</v>
      </c>
      <c r="L1377" t="s">
        <v>4555</v>
      </c>
      <c r="M1377" s="2">
        <v>2163</v>
      </c>
      <c r="N1377" t="s">
        <v>1245</v>
      </c>
      <c r="O1377">
        <v>3</v>
      </c>
      <c r="P1377">
        <v>2</v>
      </c>
      <c r="Q1377">
        <v>1</v>
      </c>
      <c r="R1377" t="s">
        <v>5281</v>
      </c>
      <c r="S1377" t="s">
        <v>4682</v>
      </c>
      <c r="T1377" t="s">
        <v>2704</v>
      </c>
      <c r="U1377" t="s">
        <v>4560</v>
      </c>
      <c r="V1377" s="2">
        <v>819</v>
      </c>
      <c r="W1377" t="s">
        <v>4571</v>
      </c>
      <c r="X1377" s="2">
        <v>2153</v>
      </c>
      <c r="Y1377">
        <v>20</v>
      </c>
      <c r="Z1377" t="s">
        <v>5282</v>
      </c>
      <c r="AA1377" s="3">
        <v>0.46999540925025901</v>
      </c>
      <c r="AB1377" t="s">
        <v>11128</v>
      </c>
      <c r="AC1377" t="s">
        <v>4562</v>
      </c>
      <c r="AD1377" t="s">
        <v>11127</v>
      </c>
      <c r="AE1377" t="s">
        <v>4655</v>
      </c>
      <c r="AF1377" t="s">
        <v>4563</v>
      </c>
      <c r="AG1377" t="s">
        <v>4564</v>
      </c>
      <c r="AH1377">
        <v>89509</v>
      </c>
      <c r="AI1377" t="s">
        <v>11129</v>
      </c>
      <c r="AJ1377" t="s">
        <v>4655</v>
      </c>
      <c r="AK1377" t="s">
        <v>11130</v>
      </c>
      <c r="AL1377" s="13" t="s">
        <v>2255</v>
      </c>
      <c r="AM1377">
        <v>1</v>
      </c>
      <c r="AN1377" s="15" t="s">
        <v>460</v>
      </c>
    </row>
    <row r="1378" spans="1:40" x14ac:dyDescent="0.3">
      <c r="A1378" s="10" t="str">
        <f>HYPERLINK("http://www.washoecounty.gov/assessor/cama/?parid=018-361-03&amp;CardNumber=1","018-361-03")</f>
        <v>018-361-03</v>
      </c>
      <c r="B1378" t="s">
        <v>4655</v>
      </c>
      <c r="C1378" t="s">
        <v>2635</v>
      </c>
      <c r="D1378" s="1">
        <v>40379</v>
      </c>
      <c r="E1378" s="2">
        <v>360000</v>
      </c>
      <c r="F1378" t="s">
        <v>4567</v>
      </c>
      <c r="G1378" s="17" t="str">
        <f>HYPERLINK("https://www.washoecounty.gov/assessor/cama/?command=sales&amp;parid=01836103","3903268")</f>
        <v>3903268</v>
      </c>
      <c r="H1378" t="s">
        <v>2636</v>
      </c>
      <c r="I1378">
        <v>1993</v>
      </c>
      <c r="J1378">
        <v>1993</v>
      </c>
      <c r="K1378" t="s">
        <v>4554</v>
      </c>
      <c r="L1378" t="s">
        <v>3974</v>
      </c>
      <c r="M1378" s="2">
        <v>3025</v>
      </c>
      <c r="N1378" t="s">
        <v>5106</v>
      </c>
      <c r="O1378">
        <v>4</v>
      </c>
      <c r="P1378">
        <v>2</v>
      </c>
      <c r="Q1378">
        <v>1</v>
      </c>
      <c r="R1378" t="s">
        <v>4557</v>
      </c>
      <c r="S1378" t="s">
        <v>4898</v>
      </c>
      <c r="T1378" t="s">
        <v>2704</v>
      </c>
      <c r="U1378" t="s">
        <v>4560</v>
      </c>
      <c r="V1378" s="2">
        <v>780</v>
      </c>
      <c r="W1378" t="s">
        <v>4655</v>
      </c>
      <c r="X1378" s="2">
        <v>0</v>
      </c>
      <c r="Y1378">
        <v>20</v>
      </c>
      <c r="Z1378" t="s">
        <v>5282</v>
      </c>
      <c r="AA1378" s="3">
        <v>0.358999073505402</v>
      </c>
      <c r="AB1378" t="s">
        <v>321</v>
      </c>
      <c r="AC1378" t="s">
        <v>4562</v>
      </c>
      <c r="AD1378" t="s">
        <v>2635</v>
      </c>
      <c r="AE1378" t="s">
        <v>4655</v>
      </c>
      <c r="AF1378" t="s">
        <v>4563</v>
      </c>
      <c r="AG1378" t="s">
        <v>4564</v>
      </c>
      <c r="AH1378">
        <v>89509</v>
      </c>
      <c r="AI1378" t="s">
        <v>4655</v>
      </c>
      <c r="AJ1378" t="s">
        <v>3465</v>
      </c>
      <c r="AK1378" t="s">
        <v>3466</v>
      </c>
      <c r="AL1378" s="13" t="s">
        <v>2255</v>
      </c>
      <c r="AM1378">
        <v>1</v>
      </c>
      <c r="AN1378" s="15" t="s">
        <v>460</v>
      </c>
    </row>
    <row r="1379" spans="1:40" x14ac:dyDescent="0.3">
      <c r="A1379" s="10" t="str">
        <f>HYPERLINK("http://www.washoecounty.gov/assessor/cama/?parid=018-402-10&amp;CardNumber=1","018-402-10")</f>
        <v>018-402-10</v>
      </c>
      <c r="B1379" t="s">
        <v>4655</v>
      </c>
      <c r="C1379" t="s">
        <v>11131</v>
      </c>
      <c r="D1379" s="1">
        <v>40294</v>
      </c>
      <c r="E1379" s="2">
        <v>245000</v>
      </c>
      <c r="F1379" t="s">
        <v>4567</v>
      </c>
      <c r="G1379" s="17" t="str">
        <f>HYPERLINK("https://www.washoecounty.gov/assessor/cama/?command=sales&amp;parid=01840210","3874687")</f>
        <v>3874687</v>
      </c>
      <c r="H1379" t="s">
        <v>5009</v>
      </c>
      <c r="I1379">
        <v>1977</v>
      </c>
      <c r="J1379">
        <v>1980</v>
      </c>
      <c r="K1379" t="s">
        <v>4554</v>
      </c>
      <c r="L1379" t="s">
        <v>4555</v>
      </c>
      <c r="M1379" s="2">
        <v>2308</v>
      </c>
      <c r="N1379" t="s">
        <v>5280</v>
      </c>
      <c r="O1379">
        <v>5</v>
      </c>
      <c r="P1379">
        <v>3</v>
      </c>
      <c r="Q1379">
        <v>0</v>
      </c>
      <c r="R1379" t="s">
        <v>5281</v>
      </c>
      <c r="S1379" t="s">
        <v>4558</v>
      </c>
      <c r="T1379" t="s">
        <v>4559</v>
      </c>
      <c r="U1379" t="s">
        <v>4560</v>
      </c>
      <c r="V1379" s="2">
        <v>420</v>
      </c>
      <c r="W1379" t="s">
        <v>3149</v>
      </c>
      <c r="X1379" s="2">
        <v>512</v>
      </c>
      <c r="Y1379">
        <v>20</v>
      </c>
      <c r="Z1379" t="s">
        <v>5282</v>
      </c>
      <c r="AA1379" s="3">
        <v>0.33900368213653598</v>
      </c>
      <c r="AB1379" t="s">
        <v>11132</v>
      </c>
      <c r="AC1379" t="s">
        <v>4562</v>
      </c>
      <c r="AD1379" t="s">
        <v>11131</v>
      </c>
      <c r="AE1379" t="s">
        <v>4655</v>
      </c>
      <c r="AF1379" t="s">
        <v>4563</v>
      </c>
      <c r="AG1379" t="s">
        <v>4564</v>
      </c>
      <c r="AH1379">
        <v>89509</v>
      </c>
      <c r="AI1379" t="s">
        <v>11133</v>
      </c>
      <c r="AJ1379" t="s">
        <v>4655</v>
      </c>
      <c r="AK1379" t="s">
        <v>11134</v>
      </c>
      <c r="AL1379" s="13" t="s">
        <v>2255</v>
      </c>
      <c r="AM1379">
        <v>1</v>
      </c>
      <c r="AN1379" s="15" t="s">
        <v>3152</v>
      </c>
    </row>
    <row r="1380" spans="1:40" x14ac:dyDescent="0.3">
      <c r="A1380" s="10" t="str">
        <f>HYPERLINK("http://www.washoecounty.gov/assessor/cama/?parid=018-412-15&amp;CardNumber=1","018-412-15")</f>
        <v>018-412-15</v>
      </c>
      <c r="B1380" t="s">
        <v>4655</v>
      </c>
      <c r="C1380" t="s">
        <v>11135</v>
      </c>
      <c r="D1380" s="1">
        <v>40315</v>
      </c>
      <c r="E1380" s="2">
        <v>225000</v>
      </c>
      <c r="F1380" t="s">
        <v>4567</v>
      </c>
      <c r="G1380" s="17" t="str">
        <f>HYPERLINK("https://www.washoecounty.gov/assessor/cama/?command=sales&amp;parid=01841215","3882218")</f>
        <v>3882218</v>
      </c>
      <c r="H1380" t="s">
        <v>5009</v>
      </c>
      <c r="I1380">
        <v>1977</v>
      </c>
      <c r="J1380">
        <v>1977</v>
      </c>
      <c r="K1380" t="s">
        <v>4554</v>
      </c>
      <c r="L1380" t="s">
        <v>4555</v>
      </c>
      <c r="M1380" s="2">
        <v>1276</v>
      </c>
      <c r="N1380" t="s">
        <v>5280</v>
      </c>
      <c r="O1380">
        <v>3</v>
      </c>
      <c r="P1380">
        <v>2</v>
      </c>
      <c r="Q1380">
        <v>0</v>
      </c>
      <c r="R1380" t="s">
        <v>4557</v>
      </c>
      <c r="S1380" t="s">
        <v>4558</v>
      </c>
      <c r="T1380" t="s">
        <v>4559</v>
      </c>
      <c r="U1380" t="s">
        <v>4560</v>
      </c>
      <c r="V1380" s="2">
        <v>440</v>
      </c>
      <c r="W1380" t="s">
        <v>3201</v>
      </c>
      <c r="X1380" s="2">
        <v>432</v>
      </c>
      <c r="Y1380">
        <v>20</v>
      </c>
      <c r="Z1380" t="s">
        <v>5282</v>
      </c>
      <c r="AA1380" s="3">
        <v>0.36999541521072399</v>
      </c>
      <c r="AB1380" t="s">
        <v>11136</v>
      </c>
      <c r="AC1380" t="s">
        <v>4575</v>
      </c>
      <c r="AD1380" t="s">
        <v>11135</v>
      </c>
      <c r="AE1380" t="s">
        <v>4655</v>
      </c>
      <c r="AF1380" t="s">
        <v>4563</v>
      </c>
      <c r="AG1380" t="s">
        <v>4564</v>
      </c>
      <c r="AH1380">
        <v>89509</v>
      </c>
      <c r="AI1380" t="s">
        <v>11137</v>
      </c>
      <c r="AJ1380" t="s">
        <v>4655</v>
      </c>
      <c r="AK1380" t="s">
        <v>11138</v>
      </c>
      <c r="AL1380" s="13" t="s">
        <v>2255</v>
      </c>
      <c r="AM1380">
        <v>1</v>
      </c>
      <c r="AN1380" s="15" t="s">
        <v>3152</v>
      </c>
    </row>
    <row r="1381" spans="1:40" x14ac:dyDescent="0.3">
      <c r="A1381" s="10" t="str">
        <f>HYPERLINK("http://www.washoecounty.gov/assessor/cama/?parid=019-011-09&amp;CardNumber=1","019-011-09")</f>
        <v>019-011-09</v>
      </c>
      <c r="B1381" t="s">
        <v>4655</v>
      </c>
      <c r="C1381" t="s">
        <v>11139</v>
      </c>
      <c r="D1381" s="1">
        <v>40240</v>
      </c>
      <c r="E1381" s="2">
        <v>225000</v>
      </c>
      <c r="F1381" t="s">
        <v>4553</v>
      </c>
      <c r="G1381" s="17" t="str">
        <f>HYPERLINK("https://www.washoecounty.gov/assessor/cama/?command=sales&amp;parid=01901109","3855437")</f>
        <v>3855437</v>
      </c>
      <c r="H1381" t="s">
        <v>3831</v>
      </c>
      <c r="I1381">
        <v>1959</v>
      </c>
      <c r="J1381">
        <v>1959</v>
      </c>
      <c r="K1381" t="s">
        <v>4554</v>
      </c>
      <c r="L1381" t="s">
        <v>4555</v>
      </c>
      <c r="M1381" s="2">
        <v>1232</v>
      </c>
      <c r="N1381" t="s">
        <v>4048</v>
      </c>
      <c r="O1381">
        <v>5</v>
      </c>
      <c r="P1381">
        <v>3</v>
      </c>
      <c r="Q1381">
        <v>0</v>
      </c>
      <c r="R1381" t="s">
        <v>5281</v>
      </c>
      <c r="S1381" t="s">
        <v>4135</v>
      </c>
      <c r="T1381" t="s">
        <v>4559</v>
      </c>
      <c r="U1381" t="s">
        <v>4560</v>
      </c>
      <c r="V1381" s="2">
        <v>480</v>
      </c>
      <c r="W1381" t="s">
        <v>3149</v>
      </c>
      <c r="X1381" s="2">
        <v>1232</v>
      </c>
      <c r="Y1381">
        <v>20</v>
      </c>
      <c r="Z1381" t="s">
        <v>385</v>
      </c>
      <c r="AA1381" s="3">
        <v>0.18399907648563399</v>
      </c>
      <c r="AB1381" t="s">
        <v>11140</v>
      </c>
      <c r="AC1381" t="s">
        <v>4562</v>
      </c>
      <c r="AD1381" t="s">
        <v>11139</v>
      </c>
      <c r="AE1381" t="s">
        <v>4655</v>
      </c>
      <c r="AF1381" t="s">
        <v>4563</v>
      </c>
      <c r="AG1381" t="s">
        <v>4564</v>
      </c>
      <c r="AH1381">
        <v>89509</v>
      </c>
      <c r="AI1381" t="s">
        <v>4565</v>
      </c>
      <c r="AJ1381" t="s">
        <v>4655</v>
      </c>
      <c r="AK1381" t="s">
        <v>3832</v>
      </c>
      <c r="AL1381" s="13" t="s">
        <v>2255</v>
      </c>
      <c r="AM1381">
        <v>1</v>
      </c>
      <c r="AN1381" s="15" t="s">
        <v>4894</v>
      </c>
    </row>
    <row r="1382" spans="1:40" x14ac:dyDescent="0.3">
      <c r="A1382" s="10" t="str">
        <f>HYPERLINK("http://www.washoecounty.gov/assessor/cama/?parid=019-011-41&amp;CardNumber=1","019-011-41")</f>
        <v>019-011-41</v>
      </c>
      <c r="B1382" t="s">
        <v>4655</v>
      </c>
      <c r="C1382" t="s">
        <v>11141</v>
      </c>
      <c r="D1382" s="1">
        <v>40315</v>
      </c>
      <c r="E1382" s="2">
        <v>239900</v>
      </c>
      <c r="F1382" t="s">
        <v>4567</v>
      </c>
      <c r="G1382" s="17" t="str">
        <f>HYPERLINK("https://www.washoecounty.gov/assessor/cama/?command=sales&amp;parid=01901141","3882055")</f>
        <v>3882055</v>
      </c>
      <c r="H1382" t="s">
        <v>3831</v>
      </c>
      <c r="I1382">
        <v>1967</v>
      </c>
      <c r="J1382">
        <v>1972</v>
      </c>
      <c r="K1382" t="s">
        <v>4554</v>
      </c>
      <c r="L1382" t="s">
        <v>4555</v>
      </c>
      <c r="M1382" s="2">
        <v>1904</v>
      </c>
      <c r="N1382" t="s">
        <v>5280</v>
      </c>
      <c r="O1382">
        <v>2</v>
      </c>
      <c r="P1382">
        <v>2</v>
      </c>
      <c r="Q1382">
        <v>0</v>
      </c>
      <c r="R1382" t="s">
        <v>5281</v>
      </c>
      <c r="S1382" t="s">
        <v>4135</v>
      </c>
      <c r="T1382" t="s">
        <v>4559</v>
      </c>
      <c r="U1382" t="s">
        <v>4560</v>
      </c>
      <c r="V1382" s="2">
        <v>441</v>
      </c>
      <c r="W1382" t="s">
        <v>4655</v>
      </c>
      <c r="X1382" s="2">
        <v>0</v>
      </c>
      <c r="Y1382">
        <v>20</v>
      </c>
      <c r="Z1382" t="s">
        <v>385</v>
      </c>
      <c r="AA1382" s="3">
        <v>0.38500916957855202</v>
      </c>
      <c r="AB1382" t="s">
        <v>11142</v>
      </c>
      <c r="AC1382" t="s">
        <v>4575</v>
      </c>
      <c r="AD1382" t="s">
        <v>11141</v>
      </c>
      <c r="AE1382" t="s">
        <v>4655</v>
      </c>
      <c r="AF1382" t="s">
        <v>4563</v>
      </c>
      <c r="AG1382" t="s">
        <v>4564</v>
      </c>
      <c r="AH1382">
        <v>89509</v>
      </c>
      <c r="AI1382" t="s">
        <v>11143</v>
      </c>
      <c r="AJ1382" t="s">
        <v>4655</v>
      </c>
      <c r="AK1382" t="s">
        <v>3832</v>
      </c>
      <c r="AL1382" s="13" t="s">
        <v>2257</v>
      </c>
      <c r="AM1382">
        <v>1</v>
      </c>
      <c r="AN1382" s="15" t="s">
        <v>2758</v>
      </c>
    </row>
    <row r="1383" spans="1:40" x14ac:dyDescent="0.3">
      <c r="A1383" s="10" t="str">
        <f>HYPERLINK("http://www.washoecounty.gov/assessor/cama/?parid=019-022-20&amp;CardNumber=1","019-022-20")</f>
        <v>019-022-20</v>
      </c>
      <c r="B1383" t="s">
        <v>4655</v>
      </c>
      <c r="C1383" t="s">
        <v>11144</v>
      </c>
      <c r="D1383" s="1">
        <v>40261</v>
      </c>
      <c r="E1383" s="2">
        <v>73000</v>
      </c>
      <c r="F1383" t="s">
        <v>4553</v>
      </c>
      <c r="G1383" s="17" t="str">
        <f>HYPERLINK("https://www.washoecounty.gov/assessor/cama/?command=sales&amp;parid=01902220","3863489")</f>
        <v>3863489</v>
      </c>
      <c r="H1383" t="s">
        <v>2757</v>
      </c>
      <c r="I1383">
        <v>1948</v>
      </c>
      <c r="J1383">
        <v>1961</v>
      </c>
      <c r="K1383" t="s">
        <v>4554</v>
      </c>
      <c r="L1383" t="s">
        <v>4555</v>
      </c>
      <c r="M1383" s="2">
        <v>841</v>
      </c>
      <c r="N1383" t="s">
        <v>4556</v>
      </c>
      <c r="O1383">
        <v>2</v>
      </c>
      <c r="P1383">
        <v>2</v>
      </c>
      <c r="Q1383">
        <v>0</v>
      </c>
      <c r="R1383" t="s">
        <v>1800</v>
      </c>
      <c r="S1383" t="s">
        <v>4135</v>
      </c>
      <c r="T1383" t="s">
        <v>4559</v>
      </c>
      <c r="U1383" t="s">
        <v>4655</v>
      </c>
      <c r="V1383" s="2">
        <v>0</v>
      </c>
      <c r="W1383" t="s">
        <v>4655</v>
      </c>
      <c r="X1383" s="2">
        <v>0</v>
      </c>
      <c r="Y1383">
        <v>20</v>
      </c>
      <c r="Z1383" t="s">
        <v>385</v>
      </c>
      <c r="AA1383" s="3">
        <v>0.112006425857544</v>
      </c>
      <c r="AB1383" t="s">
        <v>11145</v>
      </c>
      <c r="AC1383" t="s">
        <v>4575</v>
      </c>
      <c r="AD1383" t="s">
        <v>11146</v>
      </c>
      <c r="AE1383" t="s">
        <v>4655</v>
      </c>
      <c r="AF1383" t="s">
        <v>4563</v>
      </c>
      <c r="AG1383" t="s">
        <v>4564</v>
      </c>
      <c r="AH1383">
        <v>89511</v>
      </c>
      <c r="AI1383" t="s">
        <v>1267</v>
      </c>
      <c r="AJ1383" t="s">
        <v>4655</v>
      </c>
      <c r="AK1383" t="s">
        <v>11147</v>
      </c>
      <c r="AL1383" s="13" t="s">
        <v>2257</v>
      </c>
      <c r="AM1383" s="14">
        <v>1</v>
      </c>
      <c r="AN1383" s="15" t="s">
        <v>2758</v>
      </c>
    </row>
    <row r="1384" spans="1:40" x14ac:dyDescent="0.3">
      <c r="A1384" s="10" t="str">
        <f>HYPERLINK("http://www.washoecounty.gov/assessor/cama/?parid=019-031-12&amp;CardNumber=1","019-031-12")</f>
        <v>019-031-12</v>
      </c>
      <c r="B1384" t="s">
        <v>4655</v>
      </c>
      <c r="C1384" t="s">
        <v>11148</v>
      </c>
      <c r="D1384" s="1">
        <v>40399</v>
      </c>
      <c r="E1384" s="2">
        <v>218000</v>
      </c>
      <c r="F1384" t="s">
        <v>4553</v>
      </c>
      <c r="G1384" s="17" t="str">
        <f>HYPERLINK("https://www.washoecounty.gov/assessor/cama/?command=sales&amp;parid=01903112","3909788")</f>
        <v>3909788</v>
      </c>
      <c r="H1384" t="s">
        <v>3471</v>
      </c>
      <c r="I1384">
        <v>1964</v>
      </c>
      <c r="J1384">
        <v>1964</v>
      </c>
      <c r="K1384" t="s">
        <v>4554</v>
      </c>
      <c r="L1384" t="s">
        <v>2170</v>
      </c>
      <c r="M1384" s="2">
        <v>2004</v>
      </c>
      <c r="N1384" t="s">
        <v>5280</v>
      </c>
      <c r="O1384">
        <v>3</v>
      </c>
      <c r="P1384">
        <v>2</v>
      </c>
      <c r="Q1384">
        <v>1</v>
      </c>
      <c r="R1384" t="s">
        <v>5205</v>
      </c>
      <c r="S1384" t="s">
        <v>4682</v>
      </c>
      <c r="T1384" t="s">
        <v>4559</v>
      </c>
      <c r="U1384" t="s">
        <v>5631</v>
      </c>
      <c r="V1384" s="2">
        <v>504</v>
      </c>
      <c r="W1384" t="s">
        <v>4655</v>
      </c>
      <c r="X1384" s="2">
        <v>0</v>
      </c>
      <c r="Y1384">
        <v>20</v>
      </c>
      <c r="Z1384" t="s">
        <v>4561</v>
      </c>
      <c r="AA1384" s="3">
        <v>0.14898990094661699</v>
      </c>
      <c r="AB1384" t="s">
        <v>11149</v>
      </c>
      <c r="AC1384" t="s">
        <v>4562</v>
      </c>
      <c r="AD1384" t="s">
        <v>11148</v>
      </c>
      <c r="AE1384" t="s">
        <v>4655</v>
      </c>
      <c r="AF1384" t="s">
        <v>4563</v>
      </c>
      <c r="AG1384" t="s">
        <v>4564</v>
      </c>
      <c r="AH1384">
        <v>89509</v>
      </c>
      <c r="AI1384" t="s">
        <v>4655</v>
      </c>
      <c r="AJ1384" t="s">
        <v>4655</v>
      </c>
      <c r="AK1384" t="s">
        <v>886</v>
      </c>
      <c r="AL1384" s="13" t="s">
        <v>2255</v>
      </c>
      <c r="AM1384">
        <v>1</v>
      </c>
      <c r="AN1384" s="15" t="s">
        <v>887</v>
      </c>
    </row>
    <row r="1385" spans="1:40" x14ac:dyDescent="0.3">
      <c r="A1385" s="10" t="str">
        <f>HYPERLINK("http://www.washoecounty.gov/assessor/cama/?parid=019-033-12&amp;CardNumber=1","019-033-12")</f>
        <v>019-033-12</v>
      </c>
      <c r="B1385" t="s">
        <v>4655</v>
      </c>
      <c r="C1385" t="s">
        <v>11150</v>
      </c>
      <c r="D1385" s="1">
        <v>40500</v>
      </c>
      <c r="E1385" s="2">
        <v>172000</v>
      </c>
      <c r="F1385" t="s">
        <v>4567</v>
      </c>
      <c r="G1385" s="17" t="str">
        <f>HYPERLINK("https://www.washoecounty.gov/assessor/cama/?command=sales&amp;parid=01903312","3944673")</f>
        <v>3944673</v>
      </c>
      <c r="H1385" t="s">
        <v>3471</v>
      </c>
      <c r="I1385">
        <v>1978</v>
      </c>
      <c r="J1385">
        <v>1978</v>
      </c>
      <c r="K1385" t="s">
        <v>4554</v>
      </c>
      <c r="L1385" t="s">
        <v>4555</v>
      </c>
      <c r="M1385" s="2">
        <v>1643</v>
      </c>
      <c r="N1385" t="s">
        <v>4048</v>
      </c>
      <c r="O1385">
        <v>3</v>
      </c>
      <c r="P1385">
        <v>2</v>
      </c>
      <c r="Q1385">
        <v>0</v>
      </c>
      <c r="R1385" t="s">
        <v>4557</v>
      </c>
      <c r="S1385" t="s">
        <v>4135</v>
      </c>
      <c r="T1385" t="s">
        <v>4559</v>
      </c>
      <c r="U1385" t="s">
        <v>4560</v>
      </c>
      <c r="V1385" s="2">
        <v>640</v>
      </c>
      <c r="W1385" t="s">
        <v>4655</v>
      </c>
      <c r="X1385" s="2">
        <v>0</v>
      </c>
      <c r="Y1385">
        <v>20</v>
      </c>
      <c r="Z1385" t="s">
        <v>4561</v>
      </c>
      <c r="AA1385" s="3">
        <v>0.14898990094661699</v>
      </c>
      <c r="AB1385" t="s">
        <v>11151</v>
      </c>
      <c r="AC1385" t="s">
        <v>4562</v>
      </c>
      <c r="AD1385" t="s">
        <v>11150</v>
      </c>
      <c r="AE1385" t="s">
        <v>4655</v>
      </c>
      <c r="AF1385" t="s">
        <v>4563</v>
      </c>
      <c r="AG1385" t="s">
        <v>4564</v>
      </c>
      <c r="AH1385">
        <v>89509</v>
      </c>
      <c r="AI1385" t="s">
        <v>11152</v>
      </c>
      <c r="AJ1385" t="s">
        <v>4655</v>
      </c>
      <c r="AK1385" t="s">
        <v>886</v>
      </c>
      <c r="AL1385" s="13" t="s">
        <v>2255</v>
      </c>
      <c r="AM1385">
        <v>1</v>
      </c>
      <c r="AN1385" s="15" t="s">
        <v>887</v>
      </c>
    </row>
    <row r="1386" spans="1:40" x14ac:dyDescent="0.3">
      <c r="A1386" s="10" t="str">
        <f>HYPERLINK("http://www.washoecounty.gov/assessor/cama/?parid=019-041-21&amp;CardNumber=1","019-041-21")</f>
        <v>019-041-21</v>
      </c>
      <c r="B1386" t="s">
        <v>4655</v>
      </c>
      <c r="C1386" t="s">
        <v>11153</v>
      </c>
      <c r="D1386" s="1">
        <v>40445</v>
      </c>
      <c r="E1386" s="2">
        <v>150000</v>
      </c>
      <c r="F1386" t="s">
        <v>4567</v>
      </c>
      <c r="G1386" s="17" t="str">
        <f>HYPERLINK("https://www.washoecounty.gov/assessor/cama/?command=sales&amp;parid=01904121","3926133")</f>
        <v>3926133</v>
      </c>
      <c r="H1386" t="s">
        <v>1791</v>
      </c>
      <c r="I1386">
        <v>1965</v>
      </c>
      <c r="J1386">
        <v>1965</v>
      </c>
      <c r="K1386" t="s">
        <v>4554</v>
      </c>
      <c r="L1386" t="s">
        <v>4555</v>
      </c>
      <c r="M1386" s="2">
        <v>1347</v>
      </c>
      <c r="N1386" t="s">
        <v>4048</v>
      </c>
      <c r="O1386">
        <v>3</v>
      </c>
      <c r="P1386">
        <v>2</v>
      </c>
      <c r="Q1386">
        <v>0</v>
      </c>
      <c r="R1386" t="s">
        <v>4557</v>
      </c>
      <c r="S1386" t="s">
        <v>4135</v>
      </c>
      <c r="T1386" t="s">
        <v>4559</v>
      </c>
      <c r="U1386" t="s">
        <v>4560</v>
      </c>
      <c r="V1386" s="2">
        <v>483</v>
      </c>
      <c r="W1386" t="s">
        <v>4655</v>
      </c>
      <c r="X1386" s="2">
        <v>0</v>
      </c>
      <c r="Y1386">
        <v>20</v>
      </c>
      <c r="Z1386" t="s">
        <v>4561</v>
      </c>
      <c r="AA1386" s="3">
        <v>0.23900367319583901</v>
      </c>
      <c r="AB1386" t="s">
        <v>11154</v>
      </c>
      <c r="AC1386" t="s">
        <v>4575</v>
      </c>
      <c r="AD1386" t="s">
        <v>11155</v>
      </c>
      <c r="AE1386" t="s">
        <v>4655</v>
      </c>
      <c r="AF1386" t="s">
        <v>4563</v>
      </c>
      <c r="AG1386" t="s">
        <v>4564</v>
      </c>
      <c r="AH1386">
        <v>89509</v>
      </c>
      <c r="AI1386" t="s">
        <v>4655</v>
      </c>
      <c r="AJ1386" t="s">
        <v>4655</v>
      </c>
      <c r="AK1386" t="s">
        <v>11156</v>
      </c>
      <c r="AL1386" s="13" t="s">
        <v>2255</v>
      </c>
      <c r="AM1386">
        <v>1</v>
      </c>
      <c r="AN1386" s="15" t="s">
        <v>1770</v>
      </c>
    </row>
    <row r="1387" spans="1:40" x14ac:dyDescent="0.3">
      <c r="A1387" s="10" t="str">
        <f>HYPERLINK("http://www.washoecounty.gov/assessor/cama/?parid=019-041-32&amp;CardNumber=1","019-041-32")</f>
        <v>019-041-32</v>
      </c>
      <c r="B1387" t="s">
        <v>4655</v>
      </c>
      <c r="C1387" t="s">
        <v>11157</v>
      </c>
      <c r="D1387" s="1">
        <v>40282</v>
      </c>
      <c r="E1387" s="2">
        <v>154900</v>
      </c>
      <c r="F1387" t="s">
        <v>4553</v>
      </c>
      <c r="G1387" s="17" t="str">
        <f>HYPERLINK("https://www.washoecounty.gov/assessor/cama/?command=sales&amp;parid=01904132","3870947")</f>
        <v>3870947</v>
      </c>
      <c r="H1387" t="s">
        <v>2833</v>
      </c>
      <c r="I1387">
        <v>1960</v>
      </c>
      <c r="J1387">
        <v>1960</v>
      </c>
      <c r="K1387" t="s">
        <v>4554</v>
      </c>
      <c r="L1387" t="s">
        <v>4555</v>
      </c>
      <c r="M1387" s="2">
        <v>1698</v>
      </c>
      <c r="N1387" t="s">
        <v>5280</v>
      </c>
      <c r="O1387">
        <v>3</v>
      </c>
      <c r="P1387">
        <v>2</v>
      </c>
      <c r="Q1387">
        <v>0</v>
      </c>
      <c r="R1387" t="s">
        <v>5281</v>
      </c>
      <c r="S1387" t="s">
        <v>4682</v>
      </c>
      <c r="T1387" t="s">
        <v>4559</v>
      </c>
      <c r="U1387" t="s">
        <v>4560</v>
      </c>
      <c r="V1387" s="2">
        <v>600</v>
      </c>
      <c r="W1387" t="s">
        <v>4655</v>
      </c>
      <c r="X1387" s="2">
        <v>0</v>
      </c>
      <c r="Y1387">
        <v>20</v>
      </c>
      <c r="Z1387" t="s">
        <v>4561</v>
      </c>
      <c r="AA1387" s="3">
        <v>0.14499540627002699</v>
      </c>
      <c r="AB1387" t="s">
        <v>11158</v>
      </c>
      <c r="AC1387" t="s">
        <v>4562</v>
      </c>
      <c r="AD1387" t="s">
        <v>11157</v>
      </c>
      <c r="AE1387" t="s">
        <v>4655</v>
      </c>
      <c r="AF1387" t="s">
        <v>4563</v>
      </c>
      <c r="AG1387" t="s">
        <v>4564</v>
      </c>
      <c r="AH1387">
        <v>89509</v>
      </c>
      <c r="AI1387" t="s">
        <v>2351</v>
      </c>
      <c r="AJ1387" t="s">
        <v>4655</v>
      </c>
      <c r="AK1387" t="s">
        <v>1420</v>
      </c>
      <c r="AL1387" s="13" t="s">
        <v>2257</v>
      </c>
      <c r="AM1387" s="14">
        <v>1</v>
      </c>
      <c r="AN1387" s="15" t="s">
        <v>1770</v>
      </c>
    </row>
    <row r="1388" spans="1:40" x14ac:dyDescent="0.3">
      <c r="A1388" s="10" t="str">
        <f>HYPERLINK("http://www.washoecounty.gov/assessor/cama/?parid=019-042-13&amp;CardNumber=1","019-042-13")</f>
        <v>019-042-13</v>
      </c>
      <c r="B1388" t="s">
        <v>4655</v>
      </c>
      <c r="C1388" t="s">
        <v>11159</v>
      </c>
      <c r="D1388" s="1">
        <v>40332</v>
      </c>
      <c r="E1388" s="2">
        <v>160000</v>
      </c>
      <c r="F1388" t="s">
        <v>4567</v>
      </c>
      <c r="G1388" s="17" t="str">
        <f>HYPERLINK("https://www.washoecounty.gov/assessor/cama/?command=sales&amp;parid=01904213","3888285")</f>
        <v>3888285</v>
      </c>
      <c r="H1388" t="s">
        <v>1791</v>
      </c>
      <c r="I1388">
        <v>1961</v>
      </c>
      <c r="J1388">
        <v>1966</v>
      </c>
      <c r="K1388" t="s">
        <v>4554</v>
      </c>
      <c r="L1388" t="s">
        <v>4555</v>
      </c>
      <c r="M1388" s="2">
        <v>1485</v>
      </c>
      <c r="N1388" t="s">
        <v>4048</v>
      </c>
      <c r="O1388">
        <v>2</v>
      </c>
      <c r="P1388">
        <v>2</v>
      </c>
      <c r="Q1388">
        <v>0</v>
      </c>
      <c r="R1388" t="s">
        <v>4557</v>
      </c>
      <c r="S1388" t="s">
        <v>4135</v>
      </c>
      <c r="T1388" t="s">
        <v>4559</v>
      </c>
      <c r="U1388" t="s">
        <v>4560</v>
      </c>
      <c r="V1388" s="2">
        <v>264</v>
      </c>
      <c r="W1388" t="s">
        <v>4655</v>
      </c>
      <c r="X1388" s="2">
        <v>0</v>
      </c>
      <c r="Y1388">
        <v>20</v>
      </c>
      <c r="Z1388" t="s">
        <v>4561</v>
      </c>
      <c r="AA1388" s="3">
        <v>0.148002758622169</v>
      </c>
      <c r="AB1388" t="s">
        <v>11160</v>
      </c>
      <c r="AC1388" t="s">
        <v>4562</v>
      </c>
      <c r="AD1388" t="s">
        <v>11159</v>
      </c>
      <c r="AE1388" t="s">
        <v>4655</v>
      </c>
      <c r="AF1388" t="s">
        <v>4563</v>
      </c>
      <c r="AG1388" t="s">
        <v>4564</v>
      </c>
      <c r="AH1388">
        <v>89509</v>
      </c>
      <c r="AI1388" t="s">
        <v>11161</v>
      </c>
      <c r="AJ1388" t="s">
        <v>4655</v>
      </c>
      <c r="AK1388" t="s">
        <v>11162</v>
      </c>
      <c r="AL1388" s="13" t="s">
        <v>2255</v>
      </c>
      <c r="AM1388">
        <v>1</v>
      </c>
      <c r="AN1388" s="15" t="s">
        <v>1770</v>
      </c>
    </row>
    <row r="1389" spans="1:40" x14ac:dyDescent="0.3">
      <c r="A1389" s="10" t="str">
        <f>HYPERLINK("http://www.washoecounty.gov/assessor/cama/?parid=019-083-16&amp;CardNumber=1","019-083-16")</f>
        <v>019-083-16</v>
      </c>
      <c r="B1389" t="s">
        <v>4655</v>
      </c>
      <c r="C1389" t="s">
        <v>11163</v>
      </c>
      <c r="D1389" s="1">
        <v>40451</v>
      </c>
      <c r="E1389" s="2">
        <v>210000</v>
      </c>
      <c r="F1389" t="s">
        <v>4567</v>
      </c>
      <c r="G1389" s="17" t="str">
        <f>HYPERLINK("https://www.washoecounty.gov/assessor/cama/?command=sales&amp;parid=01908316","3928222")</f>
        <v>3928222</v>
      </c>
      <c r="H1389" t="s">
        <v>3471</v>
      </c>
      <c r="I1389">
        <v>1932</v>
      </c>
      <c r="J1389">
        <v>1951</v>
      </c>
      <c r="K1389" t="s">
        <v>4554</v>
      </c>
      <c r="L1389" t="s">
        <v>3886</v>
      </c>
      <c r="M1389" s="2">
        <v>1661</v>
      </c>
      <c r="N1389" t="s">
        <v>3887</v>
      </c>
      <c r="O1389">
        <v>3</v>
      </c>
      <c r="P1389">
        <v>2</v>
      </c>
      <c r="Q1389">
        <v>0</v>
      </c>
      <c r="R1389" t="s">
        <v>5205</v>
      </c>
      <c r="S1389" t="s">
        <v>3046</v>
      </c>
      <c r="T1389" t="s">
        <v>4559</v>
      </c>
      <c r="U1389" t="s">
        <v>4560</v>
      </c>
      <c r="V1389" s="2">
        <v>352</v>
      </c>
      <c r="W1389" t="s">
        <v>3149</v>
      </c>
      <c r="X1389" s="2">
        <v>909</v>
      </c>
      <c r="Y1389">
        <v>20</v>
      </c>
      <c r="Z1389" t="s">
        <v>4561</v>
      </c>
      <c r="AA1389" s="3">
        <v>0.24800275266170499</v>
      </c>
      <c r="AB1389" t="s">
        <v>11164</v>
      </c>
      <c r="AC1389" t="s">
        <v>4562</v>
      </c>
      <c r="AD1389" t="s">
        <v>11163</v>
      </c>
      <c r="AE1389" t="s">
        <v>4655</v>
      </c>
      <c r="AF1389" t="s">
        <v>4563</v>
      </c>
      <c r="AG1389" t="s">
        <v>4564</v>
      </c>
      <c r="AH1389">
        <v>89509</v>
      </c>
      <c r="AI1389" t="s">
        <v>4655</v>
      </c>
      <c r="AJ1389" t="s">
        <v>4655</v>
      </c>
      <c r="AK1389" t="s">
        <v>886</v>
      </c>
      <c r="AL1389" s="13" t="s">
        <v>2257</v>
      </c>
      <c r="AM1389">
        <v>1</v>
      </c>
      <c r="AN1389" s="15" t="s">
        <v>887</v>
      </c>
    </row>
    <row r="1390" spans="1:40" x14ac:dyDescent="0.3">
      <c r="A1390" s="10" t="str">
        <f>HYPERLINK("http://www.washoecounty.gov/assessor/cama/?parid=019-083-23&amp;CardNumber=1","019-083-23")</f>
        <v>019-083-23</v>
      </c>
      <c r="B1390" t="s">
        <v>4655</v>
      </c>
      <c r="C1390" t="s">
        <v>11165</v>
      </c>
      <c r="D1390" s="1">
        <v>40498</v>
      </c>
      <c r="E1390" s="2">
        <v>220000</v>
      </c>
      <c r="F1390" t="s">
        <v>4567</v>
      </c>
      <c r="G1390" s="17" t="str">
        <f>HYPERLINK("https://www.washoecounty.gov/assessor/cama/?command=sales&amp;parid=01908323","3943580")</f>
        <v>3943580</v>
      </c>
      <c r="H1390" t="s">
        <v>11166</v>
      </c>
      <c r="I1390">
        <v>1985</v>
      </c>
      <c r="J1390">
        <v>1985</v>
      </c>
      <c r="K1390" t="s">
        <v>4554</v>
      </c>
      <c r="L1390" t="s">
        <v>3974</v>
      </c>
      <c r="M1390" s="2">
        <v>2069</v>
      </c>
      <c r="N1390" t="s">
        <v>3147</v>
      </c>
      <c r="O1390">
        <v>3</v>
      </c>
      <c r="P1390">
        <v>2</v>
      </c>
      <c r="Q1390">
        <v>1</v>
      </c>
      <c r="R1390" t="s">
        <v>4557</v>
      </c>
      <c r="S1390" t="s">
        <v>4558</v>
      </c>
      <c r="T1390" t="s">
        <v>4559</v>
      </c>
      <c r="U1390" t="s">
        <v>4560</v>
      </c>
      <c r="V1390" s="2">
        <v>380</v>
      </c>
      <c r="W1390" t="s">
        <v>4655</v>
      </c>
      <c r="X1390" s="2">
        <v>0</v>
      </c>
      <c r="Y1390">
        <v>20</v>
      </c>
      <c r="Z1390" t="s">
        <v>385</v>
      </c>
      <c r="AA1390" s="3">
        <v>0.25399449467658997</v>
      </c>
      <c r="AB1390" t="s">
        <v>11167</v>
      </c>
      <c r="AC1390" t="s">
        <v>4562</v>
      </c>
      <c r="AD1390" t="s">
        <v>11168</v>
      </c>
      <c r="AE1390" t="s">
        <v>4655</v>
      </c>
      <c r="AF1390" t="s">
        <v>4563</v>
      </c>
      <c r="AG1390" t="s">
        <v>4564</v>
      </c>
      <c r="AH1390">
        <v>89509</v>
      </c>
      <c r="AI1390" t="s">
        <v>11169</v>
      </c>
      <c r="AJ1390" t="s">
        <v>4655</v>
      </c>
      <c r="AK1390" t="s">
        <v>11170</v>
      </c>
      <c r="AL1390" s="13" t="s">
        <v>2255</v>
      </c>
      <c r="AM1390">
        <v>1</v>
      </c>
      <c r="AN1390" s="15" t="s">
        <v>887</v>
      </c>
    </row>
    <row r="1391" spans="1:40" x14ac:dyDescent="0.3">
      <c r="A1391" s="10" t="str">
        <f>HYPERLINK("http://www.washoecounty.gov/assessor/cama/?parid=019-093-01&amp;CardNumber=1","019-093-01")</f>
        <v>019-093-01</v>
      </c>
      <c r="B1391" t="s">
        <v>4655</v>
      </c>
      <c r="C1391" t="s">
        <v>11171</v>
      </c>
      <c r="D1391" s="1">
        <v>40353</v>
      </c>
      <c r="E1391" s="2">
        <v>247000</v>
      </c>
      <c r="F1391" t="s">
        <v>4567</v>
      </c>
      <c r="G1391" s="17" t="str">
        <f>HYPERLINK("https://www.washoecounty.gov/assessor/cama/?command=sales&amp;parid=01909301","3895175")</f>
        <v>3895175</v>
      </c>
      <c r="H1391" t="s">
        <v>1791</v>
      </c>
      <c r="I1391">
        <v>1952</v>
      </c>
      <c r="J1391">
        <v>1959</v>
      </c>
      <c r="K1391" t="s">
        <v>4554</v>
      </c>
      <c r="L1391" t="s">
        <v>4555</v>
      </c>
      <c r="M1391" s="2">
        <v>2264</v>
      </c>
      <c r="N1391" t="s">
        <v>3887</v>
      </c>
      <c r="O1391">
        <v>3</v>
      </c>
      <c r="P1391">
        <v>3</v>
      </c>
      <c r="Q1391">
        <v>0</v>
      </c>
      <c r="R1391" t="s">
        <v>5281</v>
      </c>
      <c r="S1391" t="s">
        <v>4682</v>
      </c>
      <c r="T1391" t="s">
        <v>4559</v>
      </c>
      <c r="U1391" t="s">
        <v>4560</v>
      </c>
      <c r="V1391" s="2">
        <v>650</v>
      </c>
      <c r="W1391" t="s">
        <v>3149</v>
      </c>
      <c r="X1391" s="2">
        <v>2261</v>
      </c>
      <c r="Y1391">
        <v>20</v>
      </c>
      <c r="Z1391" t="s">
        <v>4561</v>
      </c>
      <c r="AA1391" s="3">
        <v>0.33000460267067</v>
      </c>
      <c r="AB1391" t="s">
        <v>11172</v>
      </c>
      <c r="AC1391" t="s">
        <v>4575</v>
      </c>
      <c r="AD1391" t="s">
        <v>11173</v>
      </c>
      <c r="AE1391" t="s">
        <v>11171</v>
      </c>
      <c r="AF1391" t="s">
        <v>4563</v>
      </c>
      <c r="AG1391" t="s">
        <v>4564</v>
      </c>
      <c r="AH1391">
        <v>89509</v>
      </c>
      <c r="AI1391" t="s">
        <v>11174</v>
      </c>
      <c r="AJ1391" t="s">
        <v>4655</v>
      </c>
      <c r="AK1391" t="s">
        <v>335</v>
      </c>
      <c r="AL1391" s="13" t="s">
        <v>2257</v>
      </c>
      <c r="AM1391">
        <v>1</v>
      </c>
      <c r="AN1391" s="15" t="s">
        <v>1770</v>
      </c>
    </row>
    <row r="1392" spans="1:40" x14ac:dyDescent="0.3">
      <c r="A1392" s="10" t="str">
        <f>HYPERLINK("http://www.washoecounty.gov/assessor/cama/?parid=019-121-32&amp;CardNumber=1","019-121-32")</f>
        <v>019-121-32</v>
      </c>
      <c r="B1392" t="s">
        <v>4655</v>
      </c>
      <c r="C1392" t="s">
        <v>11175</v>
      </c>
      <c r="D1392" s="1">
        <v>40354</v>
      </c>
      <c r="E1392" s="2">
        <v>255000</v>
      </c>
      <c r="F1392" t="s">
        <v>4553</v>
      </c>
      <c r="G1392" s="17" t="str">
        <f>HYPERLINK("https://www.washoecounty.gov/assessor/cama/?command=sales&amp;parid=01912132","3895510")</f>
        <v>3895510</v>
      </c>
      <c r="H1392" t="s">
        <v>353</v>
      </c>
      <c r="I1392">
        <v>1971</v>
      </c>
      <c r="J1392">
        <v>1971</v>
      </c>
      <c r="K1392" t="s">
        <v>4554</v>
      </c>
      <c r="L1392" t="s">
        <v>4555</v>
      </c>
      <c r="M1392" s="2">
        <v>2392</v>
      </c>
      <c r="N1392" t="s">
        <v>3147</v>
      </c>
      <c r="O1392">
        <v>4</v>
      </c>
      <c r="P1392">
        <v>2</v>
      </c>
      <c r="Q1392">
        <v>1</v>
      </c>
      <c r="R1392" t="s">
        <v>4557</v>
      </c>
      <c r="S1392" t="s">
        <v>4682</v>
      </c>
      <c r="T1392" t="s">
        <v>4143</v>
      </c>
      <c r="U1392" t="s">
        <v>4560</v>
      </c>
      <c r="V1392" s="2">
        <v>629</v>
      </c>
      <c r="W1392" t="s">
        <v>4655</v>
      </c>
      <c r="X1392" s="2">
        <v>0</v>
      </c>
      <c r="Y1392">
        <v>20</v>
      </c>
      <c r="Z1392" t="s">
        <v>5282</v>
      </c>
      <c r="AA1392" s="3">
        <v>0.34999999403953602</v>
      </c>
      <c r="AB1392" t="s">
        <v>11176</v>
      </c>
      <c r="AC1392" t="s">
        <v>4575</v>
      </c>
      <c r="AD1392" t="s">
        <v>11177</v>
      </c>
      <c r="AE1392" t="s">
        <v>4655</v>
      </c>
      <c r="AF1392" t="s">
        <v>4563</v>
      </c>
      <c r="AG1392" t="s">
        <v>4564</v>
      </c>
      <c r="AH1392">
        <v>89509</v>
      </c>
      <c r="AI1392" t="s">
        <v>11176</v>
      </c>
      <c r="AJ1392" t="s">
        <v>4655</v>
      </c>
      <c r="AK1392" t="s">
        <v>11178</v>
      </c>
      <c r="AL1392" s="13" t="s">
        <v>2255</v>
      </c>
      <c r="AM1392">
        <v>1</v>
      </c>
      <c r="AN1392" s="15" t="s">
        <v>3020</v>
      </c>
    </row>
    <row r="1393" spans="1:40" x14ac:dyDescent="0.3">
      <c r="A1393" s="10" t="str">
        <f>HYPERLINK("http://www.washoecounty.gov/assessor/cama/?parid=019-153-26&amp;CardNumber=1","019-153-26")</f>
        <v>019-153-26</v>
      </c>
      <c r="B1393" t="s">
        <v>4655</v>
      </c>
      <c r="C1393" t="s">
        <v>11179</v>
      </c>
      <c r="D1393" s="1">
        <v>40276</v>
      </c>
      <c r="E1393" s="2">
        <v>290000</v>
      </c>
      <c r="F1393" t="s">
        <v>4567</v>
      </c>
      <c r="G1393" s="17" t="str">
        <f>HYPERLINK("https://www.washoecounty.gov/assessor/cama/?command=sales&amp;parid=01915326","3868825")</f>
        <v>3868825</v>
      </c>
      <c r="H1393" t="s">
        <v>1791</v>
      </c>
      <c r="I1393">
        <v>1940</v>
      </c>
      <c r="J1393">
        <v>1940</v>
      </c>
      <c r="K1393" t="s">
        <v>4554</v>
      </c>
      <c r="L1393" t="s">
        <v>4555</v>
      </c>
      <c r="M1393" s="2">
        <v>2119</v>
      </c>
      <c r="N1393" t="s">
        <v>3887</v>
      </c>
      <c r="O1393">
        <v>3</v>
      </c>
      <c r="P1393">
        <v>2</v>
      </c>
      <c r="Q1393">
        <v>0</v>
      </c>
      <c r="R1393" t="s">
        <v>5205</v>
      </c>
      <c r="S1393" t="s">
        <v>4135</v>
      </c>
      <c r="T1393" t="s">
        <v>4143</v>
      </c>
      <c r="U1393" t="s">
        <v>4560</v>
      </c>
      <c r="V1393" s="2">
        <v>575</v>
      </c>
      <c r="W1393" t="s">
        <v>4655</v>
      </c>
      <c r="X1393" s="2">
        <v>0</v>
      </c>
      <c r="Y1393">
        <v>20</v>
      </c>
      <c r="Z1393" t="s">
        <v>385</v>
      </c>
      <c r="AA1393" s="3">
        <v>0.339990824460983</v>
      </c>
      <c r="AB1393" t="s">
        <v>4877</v>
      </c>
      <c r="AC1393" t="s">
        <v>4575</v>
      </c>
      <c r="AD1393" t="s">
        <v>11180</v>
      </c>
      <c r="AE1393" t="s">
        <v>4655</v>
      </c>
      <c r="AF1393" t="s">
        <v>4563</v>
      </c>
      <c r="AG1393" t="s">
        <v>4564</v>
      </c>
      <c r="AH1393">
        <v>89509</v>
      </c>
      <c r="AI1393" t="s">
        <v>11181</v>
      </c>
      <c r="AJ1393" t="s">
        <v>4655</v>
      </c>
      <c r="AK1393" t="s">
        <v>1769</v>
      </c>
      <c r="AL1393" s="13" t="s">
        <v>2257</v>
      </c>
      <c r="AM1393" s="14">
        <v>1</v>
      </c>
      <c r="AN1393" s="15" t="s">
        <v>1770</v>
      </c>
    </row>
    <row r="1394" spans="1:40" x14ac:dyDescent="0.3">
      <c r="A1394" s="10" t="str">
        <f>HYPERLINK("http://www.washoecounty.gov/assessor/cama/?parid=019-153-27&amp;CardNumber=1","019-153-27")</f>
        <v>019-153-27</v>
      </c>
      <c r="B1394" t="s">
        <v>4655</v>
      </c>
      <c r="C1394" t="s">
        <v>11182</v>
      </c>
      <c r="D1394" s="1">
        <v>40259</v>
      </c>
      <c r="E1394" s="2">
        <v>216000</v>
      </c>
      <c r="F1394" t="s">
        <v>4553</v>
      </c>
      <c r="G1394" s="17" t="str">
        <f>HYPERLINK("https://www.washoecounty.gov/assessor/cama/?command=sales&amp;parid=01915327","3862250")</f>
        <v>3862250</v>
      </c>
      <c r="H1394" t="s">
        <v>1791</v>
      </c>
      <c r="I1394">
        <v>1971</v>
      </c>
      <c r="J1394">
        <v>1971</v>
      </c>
      <c r="K1394" t="s">
        <v>4554</v>
      </c>
      <c r="L1394" t="s">
        <v>4555</v>
      </c>
      <c r="M1394" s="2">
        <v>1722</v>
      </c>
      <c r="N1394" t="s">
        <v>5280</v>
      </c>
      <c r="O1394">
        <v>3</v>
      </c>
      <c r="P1394">
        <v>2</v>
      </c>
      <c r="Q1394">
        <v>0</v>
      </c>
      <c r="R1394" t="s">
        <v>4557</v>
      </c>
      <c r="S1394" t="s">
        <v>4135</v>
      </c>
      <c r="T1394" t="s">
        <v>4559</v>
      </c>
      <c r="U1394" t="s">
        <v>4560</v>
      </c>
      <c r="V1394" s="2">
        <v>529</v>
      </c>
      <c r="W1394" t="s">
        <v>4655</v>
      </c>
      <c r="X1394" s="2">
        <v>0</v>
      </c>
      <c r="Y1394">
        <v>20</v>
      </c>
      <c r="Z1394" t="s">
        <v>385</v>
      </c>
      <c r="AA1394" s="3">
        <v>0.20700183510780301</v>
      </c>
      <c r="AB1394" t="s">
        <v>11183</v>
      </c>
      <c r="AC1394" t="s">
        <v>4562</v>
      </c>
      <c r="AD1394" t="s">
        <v>11184</v>
      </c>
      <c r="AE1394" t="s">
        <v>4655</v>
      </c>
      <c r="AF1394" t="s">
        <v>4563</v>
      </c>
      <c r="AG1394" t="s">
        <v>4564</v>
      </c>
      <c r="AH1394">
        <v>89509</v>
      </c>
      <c r="AI1394" t="s">
        <v>4903</v>
      </c>
      <c r="AJ1394" t="s">
        <v>4655</v>
      </c>
      <c r="AK1394" t="s">
        <v>1769</v>
      </c>
      <c r="AL1394" s="13" t="s">
        <v>2257</v>
      </c>
      <c r="AM1394">
        <v>1</v>
      </c>
      <c r="AN1394" s="15" t="s">
        <v>1770</v>
      </c>
    </row>
    <row r="1395" spans="1:40" x14ac:dyDescent="0.3">
      <c r="A1395" s="10" t="str">
        <f>HYPERLINK("http://www.washoecounty.gov/assessor/cama/?parid=019-191-12&amp;CardNumber=1","019-191-12")</f>
        <v>019-191-12</v>
      </c>
      <c r="B1395" t="s">
        <v>4655</v>
      </c>
      <c r="C1395" t="s">
        <v>11185</v>
      </c>
      <c r="D1395" s="1">
        <v>40444</v>
      </c>
      <c r="E1395" s="2">
        <v>160000</v>
      </c>
      <c r="F1395" t="s">
        <v>4567</v>
      </c>
      <c r="G1395" s="17" t="str">
        <f>HYPERLINK("https://www.washoecounty.gov/assessor/cama/?command=sales&amp;parid=01919112","3925532")</f>
        <v>3925532</v>
      </c>
      <c r="H1395" t="s">
        <v>1791</v>
      </c>
      <c r="I1395">
        <v>1946</v>
      </c>
      <c r="J1395">
        <v>1946</v>
      </c>
      <c r="K1395" t="s">
        <v>4554</v>
      </c>
      <c r="L1395" t="s">
        <v>4555</v>
      </c>
      <c r="M1395" s="2">
        <v>1391</v>
      </c>
      <c r="N1395" t="s">
        <v>3147</v>
      </c>
      <c r="O1395">
        <v>2</v>
      </c>
      <c r="P1395">
        <v>1</v>
      </c>
      <c r="Q1395">
        <v>0</v>
      </c>
      <c r="R1395" t="s">
        <v>4557</v>
      </c>
      <c r="S1395" t="s">
        <v>4682</v>
      </c>
      <c r="T1395" t="s">
        <v>4559</v>
      </c>
      <c r="U1395" t="s">
        <v>4655</v>
      </c>
      <c r="V1395" s="2">
        <v>0</v>
      </c>
      <c r="W1395" t="s">
        <v>3149</v>
      </c>
      <c r="X1395" s="2">
        <v>598</v>
      </c>
      <c r="Y1395">
        <v>20</v>
      </c>
      <c r="Z1395" t="s">
        <v>385</v>
      </c>
      <c r="AA1395" s="3">
        <v>0.21099632978439301</v>
      </c>
      <c r="AB1395" t="s">
        <v>11186</v>
      </c>
      <c r="AC1395" t="s">
        <v>4575</v>
      </c>
      <c r="AD1395" t="s">
        <v>11185</v>
      </c>
      <c r="AE1395" t="s">
        <v>4655</v>
      </c>
      <c r="AF1395" t="s">
        <v>4563</v>
      </c>
      <c r="AG1395" t="s">
        <v>4564</v>
      </c>
      <c r="AH1395">
        <v>89509</v>
      </c>
      <c r="AI1395" t="s">
        <v>11187</v>
      </c>
      <c r="AJ1395" t="s">
        <v>4655</v>
      </c>
      <c r="AK1395" t="s">
        <v>11188</v>
      </c>
      <c r="AL1395" s="13" t="s">
        <v>2257</v>
      </c>
      <c r="AM1395">
        <v>1</v>
      </c>
      <c r="AN1395" s="15" t="s">
        <v>1770</v>
      </c>
    </row>
    <row r="1396" spans="1:40" x14ac:dyDescent="0.3">
      <c r="A1396" s="10" t="str">
        <f>HYPERLINK("http://www.washoecounty.gov/assessor/cama/?parid=019-192-11&amp;CardNumber=1","019-192-11")</f>
        <v>019-192-11</v>
      </c>
      <c r="B1396" t="s">
        <v>4655</v>
      </c>
      <c r="C1396" t="s">
        <v>11189</v>
      </c>
      <c r="D1396" s="1">
        <v>40421</v>
      </c>
      <c r="E1396" s="2">
        <v>247000</v>
      </c>
      <c r="F1396" t="s">
        <v>4567</v>
      </c>
      <c r="G1396" s="17" t="str">
        <f>HYPERLINK("https://www.washoecounty.gov/assessor/cama/?command=sales&amp;parid=01919211","3917450")</f>
        <v>3917450</v>
      </c>
      <c r="H1396" t="s">
        <v>1791</v>
      </c>
      <c r="I1396">
        <v>1961</v>
      </c>
      <c r="J1396">
        <v>1966</v>
      </c>
      <c r="K1396" t="s">
        <v>4554</v>
      </c>
      <c r="L1396" t="s">
        <v>4555</v>
      </c>
      <c r="M1396" s="2">
        <v>1836</v>
      </c>
      <c r="N1396" t="s">
        <v>4048</v>
      </c>
      <c r="O1396">
        <v>4</v>
      </c>
      <c r="P1396">
        <v>2</v>
      </c>
      <c r="Q1396">
        <v>0</v>
      </c>
      <c r="R1396" t="s">
        <v>5281</v>
      </c>
      <c r="S1396" t="s">
        <v>4574</v>
      </c>
      <c r="T1396" t="s">
        <v>4559</v>
      </c>
      <c r="U1396" t="s">
        <v>4560</v>
      </c>
      <c r="V1396" s="2">
        <v>528</v>
      </c>
      <c r="W1396" t="s">
        <v>4655</v>
      </c>
      <c r="X1396" s="2">
        <v>0</v>
      </c>
      <c r="Y1396">
        <v>20</v>
      </c>
      <c r="Z1396" t="s">
        <v>385</v>
      </c>
      <c r="AA1396" s="3">
        <v>0.21701101958751701</v>
      </c>
      <c r="AB1396" t="s">
        <v>11190</v>
      </c>
      <c r="AC1396" t="s">
        <v>4562</v>
      </c>
      <c r="AD1396" t="s">
        <v>11189</v>
      </c>
      <c r="AE1396" t="s">
        <v>4655</v>
      </c>
      <c r="AF1396" t="s">
        <v>4563</v>
      </c>
      <c r="AG1396" t="s">
        <v>4564</v>
      </c>
      <c r="AH1396">
        <v>89509</v>
      </c>
      <c r="AI1396" t="s">
        <v>11191</v>
      </c>
      <c r="AJ1396" t="s">
        <v>4655</v>
      </c>
      <c r="AK1396" t="s">
        <v>11192</v>
      </c>
      <c r="AL1396" s="13" t="s">
        <v>2257</v>
      </c>
      <c r="AM1396" s="14">
        <v>1</v>
      </c>
      <c r="AN1396" s="15" t="s">
        <v>1770</v>
      </c>
    </row>
    <row r="1397" spans="1:40" x14ac:dyDescent="0.3">
      <c r="A1397" s="10" t="str">
        <f>HYPERLINK("http://www.washoecounty.gov/assessor/cama/?parid=019-221-01&amp;CardNumber=1","019-221-01")</f>
        <v>019-221-01</v>
      </c>
      <c r="B1397" t="s">
        <v>4655</v>
      </c>
      <c r="C1397" t="s">
        <v>4878</v>
      </c>
      <c r="D1397" s="1">
        <v>40542</v>
      </c>
      <c r="E1397" s="2">
        <v>480000</v>
      </c>
      <c r="F1397" t="s">
        <v>4567</v>
      </c>
      <c r="G1397" s="17" t="str">
        <f>HYPERLINK("https://www.washoecounty.gov/assessor/cama/?command=sales&amp;parid=01922101","3959199")</f>
        <v>3959199</v>
      </c>
      <c r="H1397" t="s">
        <v>4879</v>
      </c>
      <c r="I1397">
        <v>1950</v>
      </c>
      <c r="J1397">
        <v>1950</v>
      </c>
      <c r="K1397" t="s">
        <v>4554</v>
      </c>
      <c r="L1397" t="s">
        <v>4555</v>
      </c>
      <c r="M1397" s="2">
        <v>2235</v>
      </c>
      <c r="N1397" t="s">
        <v>5106</v>
      </c>
      <c r="O1397">
        <v>3</v>
      </c>
      <c r="P1397">
        <v>3</v>
      </c>
      <c r="Q1397">
        <v>0</v>
      </c>
      <c r="R1397" t="s">
        <v>4557</v>
      </c>
      <c r="S1397" t="s">
        <v>4682</v>
      </c>
      <c r="T1397" t="s">
        <v>4559</v>
      </c>
      <c r="U1397" t="s">
        <v>4655</v>
      </c>
      <c r="V1397" s="2">
        <v>0</v>
      </c>
      <c r="W1397" t="s">
        <v>3149</v>
      </c>
      <c r="X1397" s="2">
        <v>2235</v>
      </c>
      <c r="Y1397">
        <v>20</v>
      </c>
      <c r="Z1397" t="s">
        <v>5282</v>
      </c>
      <c r="AA1397" s="3">
        <v>0.64100092649459794</v>
      </c>
      <c r="AB1397" t="s">
        <v>5668</v>
      </c>
      <c r="AC1397" t="s">
        <v>4562</v>
      </c>
      <c r="AD1397" t="s">
        <v>4878</v>
      </c>
      <c r="AE1397" t="s">
        <v>4655</v>
      </c>
      <c r="AF1397" t="s">
        <v>4563</v>
      </c>
      <c r="AG1397" t="s">
        <v>4564</v>
      </c>
      <c r="AH1397">
        <v>89509</v>
      </c>
      <c r="AI1397" t="s">
        <v>768</v>
      </c>
      <c r="AJ1397" t="s">
        <v>4655</v>
      </c>
      <c r="AK1397" t="s">
        <v>4880</v>
      </c>
      <c r="AL1397" s="13" t="s">
        <v>2257</v>
      </c>
      <c r="AM1397" s="14">
        <v>1</v>
      </c>
      <c r="AN1397" s="15" t="s">
        <v>3020</v>
      </c>
    </row>
    <row r="1398" spans="1:40" x14ac:dyDescent="0.3">
      <c r="A1398" s="10" t="str">
        <f>HYPERLINK("http://www.washoecounty.gov/assessor/cama/?parid=019-271-33&amp;CardNumber=1","019-271-33")</f>
        <v>019-271-33</v>
      </c>
      <c r="B1398" t="s">
        <v>4655</v>
      </c>
      <c r="C1398" t="s">
        <v>11193</v>
      </c>
      <c r="D1398" s="1">
        <v>40238</v>
      </c>
      <c r="E1398" s="2">
        <v>239000</v>
      </c>
      <c r="F1398" t="s">
        <v>4553</v>
      </c>
      <c r="G1398" s="17" t="str">
        <f>HYPERLINK("https://www.washoecounty.gov/assessor/cama/?command=sales&amp;parid=01927133","3853966")</f>
        <v>3853966</v>
      </c>
      <c r="H1398" t="s">
        <v>11194</v>
      </c>
      <c r="I1398">
        <v>1960</v>
      </c>
      <c r="J1398">
        <v>1971</v>
      </c>
      <c r="K1398" t="s">
        <v>4554</v>
      </c>
      <c r="L1398" t="s">
        <v>4555</v>
      </c>
      <c r="M1398" s="2">
        <v>3981</v>
      </c>
      <c r="N1398" t="s">
        <v>3147</v>
      </c>
      <c r="O1398">
        <v>5</v>
      </c>
      <c r="P1398">
        <v>4</v>
      </c>
      <c r="Q1398">
        <v>0</v>
      </c>
      <c r="R1398" t="s">
        <v>5281</v>
      </c>
      <c r="S1398" t="s">
        <v>4135</v>
      </c>
      <c r="T1398" t="s">
        <v>4559</v>
      </c>
      <c r="U1398" t="s">
        <v>4560</v>
      </c>
      <c r="V1398" s="2">
        <v>418</v>
      </c>
      <c r="W1398" t="s">
        <v>3149</v>
      </c>
      <c r="X1398" s="2">
        <v>379</v>
      </c>
      <c r="Y1398">
        <v>20</v>
      </c>
      <c r="Z1398" t="s">
        <v>5282</v>
      </c>
      <c r="AA1398" s="3">
        <v>0.29699265956878662</v>
      </c>
      <c r="AB1398" t="s">
        <v>11195</v>
      </c>
      <c r="AC1398" t="s">
        <v>4575</v>
      </c>
      <c r="AD1398" t="s">
        <v>11196</v>
      </c>
      <c r="AE1398" t="s">
        <v>11197</v>
      </c>
      <c r="AF1398" t="s">
        <v>4563</v>
      </c>
      <c r="AG1398" t="s">
        <v>4564</v>
      </c>
      <c r="AH1398">
        <v>89509</v>
      </c>
      <c r="AI1398" t="s">
        <v>6198</v>
      </c>
      <c r="AJ1398" t="s">
        <v>4655</v>
      </c>
      <c r="AK1398" t="s">
        <v>11198</v>
      </c>
      <c r="AL1398" s="13" t="s">
        <v>2257</v>
      </c>
      <c r="AM1398" s="14">
        <v>1</v>
      </c>
      <c r="AN1398" s="15" t="s">
        <v>3020</v>
      </c>
    </row>
    <row r="1399" spans="1:40" x14ac:dyDescent="0.3">
      <c r="A1399" s="10" t="str">
        <f>HYPERLINK("http://www.washoecounty.gov/assessor/cama/?parid=019-282-09&amp;CardNumber=1","019-282-09")</f>
        <v>019-282-09</v>
      </c>
      <c r="B1399" t="s">
        <v>4655</v>
      </c>
      <c r="C1399" t="s">
        <v>11199</v>
      </c>
      <c r="D1399" s="1">
        <v>40248</v>
      </c>
      <c r="E1399" s="2">
        <v>249000</v>
      </c>
      <c r="F1399" t="s">
        <v>4567</v>
      </c>
      <c r="G1399" s="17" t="str">
        <f>HYPERLINK("https://www.washoecounty.gov/assessor/cama/?command=sales&amp;parid=01928209","3858542")</f>
        <v>3858542</v>
      </c>
      <c r="H1399" t="s">
        <v>4499</v>
      </c>
      <c r="I1399">
        <v>1969</v>
      </c>
      <c r="J1399">
        <v>1969</v>
      </c>
      <c r="K1399" t="s">
        <v>4554</v>
      </c>
      <c r="L1399" t="s">
        <v>4555</v>
      </c>
      <c r="M1399" s="2">
        <v>1861</v>
      </c>
      <c r="N1399" t="s">
        <v>3147</v>
      </c>
      <c r="O1399">
        <v>3</v>
      </c>
      <c r="P1399">
        <v>2</v>
      </c>
      <c r="Q1399">
        <v>0</v>
      </c>
      <c r="R1399" t="s">
        <v>5281</v>
      </c>
      <c r="S1399" t="s">
        <v>4682</v>
      </c>
      <c r="T1399" t="s">
        <v>4559</v>
      </c>
      <c r="U1399" t="s">
        <v>5631</v>
      </c>
      <c r="V1399" s="2">
        <v>1743</v>
      </c>
      <c r="W1399" t="s">
        <v>4655</v>
      </c>
      <c r="X1399" s="2">
        <v>0</v>
      </c>
      <c r="Y1399">
        <v>20</v>
      </c>
      <c r="Z1399" t="s">
        <v>5282</v>
      </c>
      <c r="AA1399" s="3">
        <v>0.29100093245506298</v>
      </c>
      <c r="AB1399" t="s">
        <v>11200</v>
      </c>
      <c r="AC1399" t="s">
        <v>4562</v>
      </c>
      <c r="AD1399" t="s">
        <v>11199</v>
      </c>
      <c r="AE1399" t="s">
        <v>4655</v>
      </c>
      <c r="AF1399" t="s">
        <v>4563</v>
      </c>
      <c r="AG1399" t="s">
        <v>4564</v>
      </c>
      <c r="AH1399">
        <v>89509</v>
      </c>
      <c r="AI1399" t="s">
        <v>11201</v>
      </c>
      <c r="AJ1399" t="s">
        <v>4655</v>
      </c>
      <c r="AK1399" t="s">
        <v>11202</v>
      </c>
      <c r="AL1399" s="13" t="s">
        <v>2257</v>
      </c>
      <c r="AM1399">
        <v>1</v>
      </c>
      <c r="AN1399" s="15" t="s">
        <v>3152</v>
      </c>
    </row>
    <row r="1400" spans="1:40" x14ac:dyDescent="0.3">
      <c r="A1400" s="10" t="str">
        <f>HYPERLINK("http://www.washoecounty.gov/assessor/cama/?parid=019-303-16&amp;CardNumber=1","019-303-16")</f>
        <v>019-303-16</v>
      </c>
      <c r="B1400" t="s">
        <v>4655</v>
      </c>
      <c r="C1400" t="s">
        <v>11203</v>
      </c>
      <c r="D1400" s="1">
        <v>40396</v>
      </c>
      <c r="E1400" s="2">
        <v>190000</v>
      </c>
      <c r="F1400" t="s">
        <v>4567</v>
      </c>
      <c r="G1400" s="17" t="str">
        <f>HYPERLINK("https://www.washoecounty.gov/assessor/cama/?command=sales&amp;parid=01930316","3909590")</f>
        <v>3909590</v>
      </c>
      <c r="H1400" t="s">
        <v>11204</v>
      </c>
      <c r="I1400">
        <v>1959</v>
      </c>
      <c r="J1400">
        <v>1959</v>
      </c>
      <c r="K1400" t="s">
        <v>4907</v>
      </c>
      <c r="L1400" t="s">
        <v>4555</v>
      </c>
      <c r="M1400" s="2">
        <v>1488</v>
      </c>
      <c r="N1400" t="s">
        <v>5280</v>
      </c>
      <c r="O1400">
        <v>4</v>
      </c>
      <c r="P1400">
        <v>2</v>
      </c>
      <c r="Q1400">
        <v>0</v>
      </c>
      <c r="R1400" t="s">
        <v>4557</v>
      </c>
      <c r="S1400" t="s">
        <v>4682</v>
      </c>
      <c r="T1400" t="s">
        <v>4559</v>
      </c>
      <c r="U1400" t="s">
        <v>4560</v>
      </c>
      <c r="V1400" s="2">
        <v>480</v>
      </c>
      <c r="W1400" t="s">
        <v>4655</v>
      </c>
      <c r="X1400" s="2">
        <v>0</v>
      </c>
      <c r="Y1400">
        <v>30</v>
      </c>
      <c r="Z1400" t="s">
        <v>2705</v>
      </c>
      <c r="AA1400" s="3">
        <v>0.26200643181800798</v>
      </c>
      <c r="AB1400" t="s">
        <v>11205</v>
      </c>
      <c r="AC1400" t="s">
        <v>4575</v>
      </c>
      <c r="AD1400" t="s">
        <v>11206</v>
      </c>
      <c r="AE1400" t="s">
        <v>4655</v>
      </c>
      <c r="AF1400" t="s">
        <v>4563</v>
      </c>
      <c r="AG1400" t="s">
        <v>4564</v>
      </c>
      <c r="AH1400">
        <v>89509</v>
      </c>
      <c r="AI1400" t="s">
        <v>11207</v>
      </c>
      <c r="AJ1400" t="s">
        <v>4655</v>
      </c>
      <c r="AK1400" t="s">
        <v>11208</v>
      </c>
      <c r="AL1400" s="13" t="s">
        <v>2255</v>
      </c>
      <c r="AM1400" s="14">
        <v>2</v>
      </c>
      <c r="AN1400" s="15" t="s">
        <v>4591</v>
      </c>
    </row>
    <row r="1401" spans="1:40" x14ac:dyDescent="0.3">
      <c r="A1401" s="10" t="str">
        <f>HYPERLINK("http://www.washoecounty.gov/assessor/cama/?parid=019-303-20&amp;CardNumber=1","019-303-20")</f>
        <v>019-303-20</v>
      </c>
      <c r="B1401" t="s">
        <v>4655</v>
      </c>
      <c r="C1401" t="s">
        <v>11209</v>
      </c>
      <c r="D1401" s="1">
        <v>40464</v>
      </c>
      <c r="E1401" s="2">
        <v>140000</v>
      </c>
      <c r="F1401" t="s">
        <v>4553</v>
      </c>
      <c r="G1401" s="17" t="str">
        <f>HYPERLINK("https://www.washoecounty.gov/assessor/cama/?command=sales&amp;parid=01930320","3932313")</f>
        <v>3932313</v>
      </c>
      <c r="H1401" t="s">
        <v>11204</v>
      </c>
      <c r="I1401">
        <v>1960</v>
      </c>
      <c r="J1401">
        <v>1960</v>
      </c>
      <c r="K1401" t="s">
        <v>4907</v>
      </c>
      <c r="L1401" t="s">
        <v>4555</v>
      </c>
      <c r="M1401" s="2">
        <v>1748</v>
      </c>
      <c r="N1401" t="s">
        <v>5280</v>
      </c>
      <c r="O1401">
        <v>4</v>
      </c>
      <c r="P1401">
        <v>2</v>
      </c>
      <c r="Q1401">
        <v>0</v>
      </c>
      <c r="R1401" t="s">
        <v>4557</v>
      </c>
      <c r="S1401" t="s">
        <v>4682</v>
      </c>
      <c r="T1401" t="s">
        <v>4143</v>
      </c>
      <c r="U1401" t="s">
        <v>4560</v>
      </c>
      <c r="V1401" s="2">
        <v>575</v>
      </c>
      <c r="W1401" t="s">
        <v>4655</v>
      </c>
      <c r="X1401" s="2">
        <v>0</v>
      </c>
      <c r="Y1401">
        <v>30</v>
      </c>
      <c r="Z1401" t="s">
        <v>2705</v>
      </c>
      <c r="AA1401" s="3">
        <v>0.15500459074974099</v>
      </c>
      <c r="AB1401" t="s">
        <v>7212</v>
      </c>
      <c r="AC1401" t="s">
        <v>4575</v>
      </c>
      <c r="AD1401" t="s">
        <v>193</v>
      </c>
      <c r="AE1401" t="s">
        <v>4655</v>
      </c>
      <c r="AF1401" t="s">
        <v>4563</v>
      </c>
      <c r="AG1401" t="s">
        <v>4564</v>
      </c>
      <c r="AH1401">
        <v>89509</v>
      </c>
      <c r="AI1401" t="s">
        <v>11210</v>
      </c>
      <c r="AJ1401" t="s">
        <v>4655</v>
      </c>
      <c r="AK1401" t="s">
        <v>11211</v>
      </c>
      <c r="AL1401" s="13" t="s">
        <v>2255</v>
      </c>
      <c r="AM1401">
        <v>2</v>
      </c>
      <c r="AN1401" s="15" t="s">
        <v>4591</v>
      </c>
    </row>
    <row r="1402" spans="1:40" x14ac:dyDescent="0.3">
      <c r="A1402" s="10" t="str">
        <f>HYPERLINK("http://www.washoecounty.gov/assessor/cama/?parid=019-303-59&amp;CardNumber=1","019-303-59")</f>
        <v>019-303-59</v>
      </c>
      <c r="B1402" t="s">
        <v>4655</v>
      </c>
      <c r="C1402" t="s">
        <v>11212</v>
      </c>
      <c r="D1402" s="1">
        <v>40470</v>
      </c>
      <c r="E1402" s="2">
        <v>207655</v>
      </c>
      <c r="F1402" t="s">
        <v>4567</v>
      </c>
      <c r="G1402" s="17" t="str">
        <f>HYPERLINK("https://www.washoecounty.gov/assessor/cama/?command=sales&amp;parid=01930359","3934293")</f>
        <v>3934293</v>
      </c>
      <c r="H1402" t="s">
        <v>2294</v>
      </c>
      <c r="I1402">
        <v>1942</v>
      </c>
      <c r="J1402">
        <v>1966</v>
      </c>
      <c r="K1402" t="s">
        <v>1391</v>
      </c>
      <c r="L1402" t="s">
        <v>3974</v>
      </c>
      <c r="M1402" s="2">
        <v>2484</v>
      </c>
      <c r="N1402" t="s">
        <v>3887</v>
      </c>
      <c r="O1402">
        <v>4</v>
      </c>
      <c r="P1402">
        <v>4</v>
      </c>
      <c r="Q1402">
        <v>0</v>
      </c>
      <c r="R1402" t="s">
        <v>4557</v>
      </c>
      <c r="S1402" t="s">
        <v>4135</v>
      </c>
      <c r="T1402" t="s">
        <v>4559</v>
      </c>
      <c r="U1402" t="s">
        <v>4655</v>
      </c>
      <c r="V1402" s="2">
        <v>0</v>
      </c>
      <c r="W1402" t="s">
        <v>3149</v>
      </c>
      <c r="X1402" s="2">
        <v>504</v>
      </c>
      <c r="Y1402">
        <v>32</v>
      </c>
      <c r="Z1402" t="s">
        <v>2705</v>
      </c>
      <c r="AA1402" s="3">
        <v>0.221005514264107</v>
      </c>
      <c r="AB1402" t="s">
        <v>1506</v>
      </c>
      <c r="AC1402" t="s">
        <v>4562</v>
      </c>
      <c r="AD1402" t="s">
        <v>1912</v>
      </c>
      <c r="AE1402" t="s">
        <v>4655</v>
      </c>
      <c r="AF1402" t="s">
        <v>4563</v>
      </c>
      <c r="AG1402" t="s">
        <v>4564</v>
      </c>
      <c r="AH1402">
        <v>89511</v>
      </c>
      <c r="AI1402" t="s">
        <v>11213</v>
      </c>
      <c r="AJ1402" t="s">
        <v>4655</v>
      </c>
      <c r="AK1402" t="s">
        <v>11214</v>
      </c>
      <c r="AL1402" s="13" t="s">
        <v>2255</v>
      </c>
      <c r="AM1402">
        <v>4</v>
      </c>
      <c r="AN1402" s="15" t="s">
        <v>4591</v>
      </c>
    </row>
    <row r="1403" spans="1:40" x14ac:dyDescent="0.3">
      <c r="A1403" s="10" t="str">
        <f>HYPERLINK("http://www.washoecounty.gov/assessor/cama/?parid=019-352-04&amp;CardNumber=1","019-352-04")</f>
        <v>019-352-04</v>
      </c>
      <c r="B1403" t="s">
        <v>4655</v>
      </c>
      <c r="C1403" t="s">
        <v>11215</v>
      </c>
      <c r="D1403" s="1">
        <v>40525</v>
      </c>
      <c r="E1403" s="2">
        <v>450000</v>
      </c>
      <c r="F1403" t="s">
        <v>3528</v>
      </c>
      <c r="G1403" s="17" t="str">
        <f>HYPERLINK("https://www.washoecounty.gov/assessor/cama/?command=sales&amp;parid=01935204","3952571")</f>
        <v>3952571</v>
      </c>
      <c r="H1403" t="s">
        <v>4802</v>
      </c>
      <c r="I1403">
        <v>1974</v>
      </c>
      <c r="J1403">
        <v>1974</v>
      </c>
      <c r="K1403" t="s">
        <v>1567</v>
      </c>
      <c r="L1403" t="s">
        <v>1366</v>
      </c>
      <c r="M1403" s="2">
        <v>2880</v>
      </c>
      <c r="N1403" t="s">
        <v>1367</v>
      </c>
      <c r="O1403">
        <v>0</v>
      </c>
      <c r="P1403">
        <v>0</v>
      </c>
      <c r="Q1403">
        <v>0</v>
      </c>
      <c r="R1403" t="s">
        <v>1395</v>
      </c>
      <c r="S1403" t="s">
        <v>4856</v>
      </c>
      <c r="T1403" t="s">
        <v>4655</v>
      </c>
      <c r="U1403" t="s">
        <v>4655</v>
      </c>
      <c r="V1403" s="2">
        <v>0</v>
      </c>
      <c r="W1403" t="s">
        <v>4655</v>
      </c>
      <c r="X1403" s="2">
        <v>0</v>
      </c>
      <c r="Y1403">
        <v>41</v>
      </c>
      <c r="Z1403" t="s">
        <v>4900</v>
      </c>
      <c r="AA1403" s="3">
        <v>0.25</v>
      </c>
      <c r="AB1403" t="s">
        <v>11216</v>
      </c>
      <c r="AC1403" t="s">
        <v>4562</v>
      </c>
      <c r="AD1403" t="s">
        <v>11217</v>
      </c>
      <c r="AE1403" t="s">
        <v>4655</v>
      </c>
      <c r="AF1403" t="s">
        <v>5201</v>
      </c>
      <c r="AG1403" t="s">
        <v>4564</v>
      </c>
      <c r="AH1403" t="s">
        <v>1605</v>
      </c>
      <c r="AI1403" t="s">
        <v>11218</v>
      </c>
      <c r="AJ1403" t="s">
        <v>4655</v>
      </c>
      <c r="AK1403" t="s">
        <v>11219</v>
      </c>
      <c r="AL1403" s="13" t="s">
        <v>2255</v>
      </c>
      <c r="AM1403">
        <v>1</v>
      </c>
      <c r="AN1403" s="15" t="s">
        <v>1433</v>
      </c>
    </row>
    <row r="1404" spans="1:40" x14ac:dyDescent="0.3">
      <c r="A1404" s="10" t="str">
        <f>HYPERLINK("http://www.washoecounty.gov/assessor/cama/?parid=019-360-21&amp;CardNumber=1","019-360-21")</f>
        <v>019-360-21</v>
      </c>
      <c r="B1404" t="s">
        <v>4655</v>
      </c>
      <c r="C1404" t="s">
        <v>11220</v>
      </c>
      <c r="D1404" s="1">
        <v>40450</v>
      </c>
      <c r="E1404" s="2">
        <v>115750</v>
      </c>
      <c r="F1404" t="s">
        <v>4553</v>
      </c>
      <c r="G1404" s="17" t="str">
        <f>HYPERLINK("https://www.washoecounty.gov/assessor/cama/?command=sales&amp;parid=01936021","3927546")</f>
        <v>3927546</v>
      </c>
      <c r="H1404" t="s">
        <v>11221</v>
      </c>
      <c r="I1404">
        <v>2006</v>
      </c>
      <c r="J1404">
        <v>2006</v>
      </c>
      <c r="K1404" t="s">
        <v>3043</v>
      </c>
      <c r="L1404" t="s">
        <v>4555</v>
      </c>
      <c r="M1404" s="2">
        <v>1152</v>
      </c>
      <c r="N1404" t="s">
        <v>4048</v>
      </c>
      <c r="O1404">
        <v>4</v>
      </c>
      <c r="P1404">
        <v>4</v>
      </c>
      <c r="Q1404">
        <v>0</v>
      </c>
      <c r="R1404" t="s">
        <v>4557</v>
      </c>
      <c r="S1404" t="s">
        <v>4558</v>
      </c>
      <c r="T1404" t="s">
        <v>4559</v>
      </c>
      <c r="U1404" t="s">
        <v>4560</v>
      </c>
      <c r="V1404" s="2">
        <v>576</v>
      </c>
      <c r="W1404" t="s">
        <v>4571</v>
      </c>
      <c r="X1404" s="2">
        <v>1080</v>
      </c>
      <c r="Y1404">
        <v>32</v>
      </c>
      <c r="Z1404" t="s">
        <v>4900</v>
      </c>
      <c r="AA1404" s="3">
        <v>0.18842975795269012</v>
      </c>
      <c r="AB1404" t="s">
        <v>11222</v>
      </c>
      <c r="AC1404" t="s">
        <v>4562</v>
      </c>
      <c r="AD1404" t="s">
        <v>11223</v>
      </c>
      <c r="AE1404" t="s">
        <v>4655</v>
      </c>
      <c r="AF1404" t="s">
        <v>4563</v>
      </c>
      <c r="AG1404" t="s">
        <v>4564</v>
      </c>
      <c r="AH1404">
        <v>89511</v>
      </c>
      <c r="AI1404" t="s">
        <v>4655</v>
      </c>
      <c r="AJ1404" t="s">
        <v>11224</v>
      </c>
      <c r="AK1404" t="s">
        <v>11225</v>
      </c>
      <c r="AL1404" s="13" t="s">
        <v>2255</v>
      </c>
      <c r="AM1404" s="14">
        <v>3</v>
      </c>
      <c r="AN1404" s="15" t="s">
        <v>4591</v>
      </c>
    </row>
    <row r="1405" spans="1:40" x14ac:dyDescent="0.3">
      <c r="A1405" s="10" t="str">
        <f>HYPERLINK("http://www.washoecounty.gov/assessor/cama/?parid=019-390-21&amp;CardNumber=1","019-390-21")</f>
        <v>019-390-21</v>
      </c>
      <c r="B1405" t="s">
        <v>4655</v>
      </c>
      <c r="C1405" t="s">
        <v>11226</v>
      </c>
      <c r="D1405" s="1">
        <v>40256</v>
      </c>
      <c r="E1405" s="2">
        <v>385000</v>
      </c>
      <c r="F1405" t="s">
        <v>4567</v>
      </c>
      <c r="G1405" s="17" t="str">
        <f>HYPERLINK("https://www.washoecounty.gov/assessor/cama/?command=sales&amp;parid=01939021","3861627")</f>
        <v>3861627</v>
      </c>
      <c r="H1405" t="s">
        <v>11227</v>
      </c>
      <c r="I1405">
        <v>1979</v>
      </c>
      <c r="J1405">
        <v>1979</v>
      </c>
      <c r="K1405" t="s">
        <v>4554</v>
      </c>
      <c r="L1405" t="s">
        <v>2170</v>
      </c>
      <c r="M1405" s="2">
        <v>3151</v>
      </c>
      <c r="N1405" t="s">
        <v>5106</v>
      </c>
      <c r="O1405">
        <v>3</v>
      </c>
      <c r="P1405">
        <v>3</v>
      </c>
      <c r="Q1405">
        <v>0</v>
      </c>
      <c r="R1405" t="s">
        <v>4557</v>
      </c>
      <c r="S1405" t="s">
        <v>4558</v>
      </c>
      <c r="T1405" t="s">
        <v>2704</v>
      </c>
      <c r="U1405" t="s">
        <v>4655</v>
      </c>
      <c r="V1405" s="2">
        <v>0</v>
      </c>
      <c r="W1405" t="s">
        <v>3201</v>
      </c>
      <c r="X1405" s="2">
        <v>704</v>
      </c>
      <c r="Y1405">
        <v>20</v>
      </c>
      <c r="Z1405" t="s">
        <v>5282</v>
      </c>
      <c r="AA1405" s="3">
        <v>0.205716252326965</v>
      </c>
      <c r="AB1405" t="s">
        <v>11228</v>
      </c>
      <c r="AC1405" t="s">
        <v>4575</v>
      </c>
      <c r="AD1405" t="s">
        <v>11226</v>
      </c>
      <c r="AE1405" t="s">
        <v>4655</v>
      </c>
      <c r="AF1405" t="s">
        <v>4563</v>
      </c>
      <c r="AG1405" t="s">
        <v>4564</v>
      </c>
      <c r="AH1405">
        <v>89509</v>
      </c>
      <c r="AI1405" t="s">
        <v>11229</v>
      </c>
      <c r="AJ1405" t="s">
        <v>4655</v>
      </c>
      <c r="AK1405" t="s">
        <v>11230</v>
      </c>
      <c r="AL1405" s="13" t="s">
        <v>2255</v>
      </c>
      <c r="AM1405" s="14">
        <v>1</v>
      </c>
      <c r="AN1405" s="15" t="s">
        <v>3020</v>
      </c>
    </row>
    <row r="1406" spans="1:40" x14ac:dyDescent="0.3">
      <c r="A1406" s="10" t="str">
        <f>HYPERLINK("http://www.washoecounty.gov/assessor/cama/?parid=019-411-08&amp;CardNumber=1","019-411-08")</f>
        <v>019-411-08</v>
      </c>
      <c r="B1406" t="s">
        <v>4655</v>
      </c>
      <c r="C1406" t="s">
        <v>4895</v>
      </c>
      <c r="D1406" s="1">
        <v>40182</v>
      </c>
      <c r="E1406" s="2">
        <v>25000</v>
      </c>
      <c r="F1406" t="s">
        <v>4553</v>
      </c>
      <c r="G1406" s="17" t="str">
        <f>HYPERLINK("https://www.washoecounty.gov/assessor/cama/?command=sales&amp;parid=01941108","3836080")</f>
        <v>3836080</v>
      </c>
      <c r="H1406" t="s">
        <v>4896</v>
      </c>
      <c r="I1406">
        <v>1978</v>
      </c>
      <c r="J1406">
        <v>1978</v>
      </c>
      <c r="K1406" t="s">
        <v>4897</v>
      </c>
      <c r="L1406" t="s">
        <v>4555</v>
      </c>
      <c r="M1406" s="2">
        <v>792</v>
      </c>
      <c r="N1406" t="s">
        <v>4556</v>
      </c>
      <c r="O1406">
        <v>1</v>
      </c>
      <c r="P1406">
        <v>1</v>
      </c>
      <c r="Q1406">
        <v>0</v>
      </c>
      <c r="R1406" t="s">
        <v>5281</v>
      </c>
      <c r="S1406" t="s">
        <v>4898</v>
      </c>
      <c r="T1406" t="s">
        <v>4899</v>
      </c>
      <c r="U1406" t="s">
        <v>4655</v>
      </c>
      <c r="V1406" s="2">
        <v>0</v>
      </c>
      <c r="W1406" t="s">
        <v>4655</v>
      </c>
      <c r="X1406" s="2">
        <v>0</v>
      </c>
      <c r="Y1406">
        <v>21</v>
      </c>
      <c r="Z1406" t="s">
        <v>4900</v>
      </c>
      <c r="AA1406" s="3">
        <v>1.00000004749745E-3</v>
      </c>
      <c r="AB1406" t="s">
        <v>4901</v>
      </c>
      <c r="AC1406" t="s">
        <v>4575</v>
      </c>
      <c r="AD1406" t="s">
        <v>4902</v>
      </c>
      <c r="AE1406" t="s">
        <v>4655</v>
      </c>
      <c r="AF1406" t="s">
        <v>4043</v>
      </c>
      <c r="AG1406" t="s">
        <v>4584</v>
      </c>
      <c r="AH1406" t="s">
        <v>4044</v>
      </c>
      <c r="AI1406" t="s">
        <v>4045</v>
      </c>
      <c r="AJ1406" t="s">
        <v>4655</v>
      </c>
      <c r="AK1406" t="s">
        <v>11231</v>
      </c>
      <c r="AL1406" s="13" t="s">
        <v>2257</v>
      </c>
      <c r="AM1406" s="14">
        <v>1</v>
      </c>
      <c r="AN1406" s="15" t="s">
        <v>4046</v>
      </c>
    </row>
    <row r="1407" spans="1:40" x14ac:dyDescent="0.3">
      <c r="A1407" s="10" t="str">
        <f>HYPERLINK("http://www.washoecounty.gov/assessor/cama/?parid=019-411-09&amp;CardNumber=1","019-411-09")</f>
        <v>019-411-09</v>
      </c>
      <c r="B1407" t="s">
        <v>4655</v>
      </c>
      <c r="C1407" t="s">
        <v>4895</v>
      </c>
      <c r="D1407" s="1">
        <v>40295</v>
      </c>
      <c r="E1407" s="2">
        <v>37500</v>
      </c>
      <c r="F1407" t="s">
        <v>4567</v>
      </c>
      <c r="G1407" s="17" t="str">
        <f>HYPERLINK("https://www.washoecounty.gov/assessor/cama/?command=sales&amp;parid=01941109","3875222")</f>
        <v>3875222</v>
      </c>
      <c r="H1407" t="s">
        <v>4896</v>
      </c>
      <c r="I1407">
        <v>1978</v>
      </c>
      <c r="J1407">
        <v>1978</v>
      </c>
      <c r="K1407" t="s">
        <v>3144</v>
      </c>
      <c r="L1407" t="s">
        <v>4555</v>
      </c>
      <c r="M1407" s="2">
        <v>855</v>
      </c>
      <c r="N1407" t="s">
        <v>4556</v>
      </c>
      <c r="O1407">
        <v>2</v>
      </c>
      <c r="P1407">
        <v>1</v>
      </c>
      <c r="Q1407">
        <v>0</v>
      </c>
      <c r="R1407" t="s">
        <v>5281</v>
      </c>
      <c r="S1407" t="s">
        <v>4898</v>
      </c>
      <c r="T1407" t="s">
        <v>4899</v>
      </c>
      <c r="U1407" t="s">
        <v>4655</v>
      </c>
      <c r="V1407" s="2">
        <v>0</v>
      </c>
      <c r="W1407" t="s">
        <v>4655</v>
      </c>
      <c r="X1407" s="2">
        <v>0</v>
      </c>
      <c r="Y1407">
        <v>21</v>
      </c>
      <c r="Z1407" t="s">
        <v>4900</v>
      </c>
      <c r="AA1407" s="3">
        <v>1.00000004749745E-3</v>
      </c>
      <c r="AB1407" t="s">
        <v>11232</v>
      </c>
      <c r="AC1407" t="s">
        <v>4562</v>
      </c>
      <c r="AD1407" t="s">
        <v>11233</v>
      </c>
      <c r="AE1407" t="s">
        <v>4655</v>
      </c>
      <c r="AF1407" t="s">
        <v>4563</v>
      </c>
      <c r="AG1407" t="s">
        <v>4564</v>
      </c>
      <c r="AH1407">
        <v>89505</v>
      </c>
      <c r="AI1407" t="s">
        <v>11234</v>
      </c>
      <c r="AJ1407" t="s">
        <v>4655</v>
      </c>
      <c r="AK1407" t="s">
        <v>11235</v>
      </c>
      <c r="AL1407" s="13" t="s">
        <v>2257</v>
      </c>
      <c r="AM1407">
        <v>1</v>
      </c>
      <c r="AN1407" s="15" t="s">
        <v>4046</v>
      </c>
    </row>
    <row r="1408" spans="1:40" x14ac:dyDescent="0.3">
      <c r="A1408" s="10" t="str">
        <f>HYPERLINK("http://www.washoecounty.gov/assessor/cama/?parid=019-411-20&amp;CardNumber=1","019-411-20")</f>
        <v>019-411-20</v>
      </c>
      <c r="B1408" t="s">
        <v>4655</v>
      </c>
      <c r="C1408" t="s">
        <v>4895</v>
      </c>
      <c r="D1408" s="1">
        <v>40227</v>
      </c>
      <c r="E1408" s="2">
        <v>30000</v>
      </c>
      <c r="F1408" t="s">
        <v>4553</v>
      </c>
      <c r="G1408" s="17" t="str">
        <f>HYPERLINK("https://www.washoecounty.gov/assessor/cama/?command=sales&amp;parid=01941120","3850491")</f>
        <v>3850491</v>
      </c>
      <c r="H1408" t="s">
        <v>4896</v>
      </c>
      <c r="I1408">
        <v>1978</v>
      </c>
      <c r="J1408">
        <v>1978</v>
      </c>
      <c r="K1408" t="s">
        <v>3144</v>
      </c>
      <c r="L1408" t="s">
        <v>4555</v>
      </c>
      <c r="M1408" s="2">
        <v>734</v>
      </c>
      <c r="N1408" t="s">
        <v>4556</v>
      </c>
      <c r="O1408">
        <v>1</v>
      </c>
      <c r="P1408">
        <v>1</v>
      </c>
      <c r="Q1408">
        <v>0</v>
      </c>
      <c r="R1408" t="s">
        <v>5281</v>
      </c>
      <c r="S1408" t="s">
        <v>4898</v>
      </c>
      <c r="T1408" t="s">
        <v>4899</v>
      </c>
      <c r="U1408" t="s">
        <v>4655</v>
      </c>
      <c r="V1408" s="2">
        <v>0</v>
      </c>
      <c r="W1408" t="s">
        <v>4655</v>
      </c>
      <c r="X1408" s="2">
        <v>0</v>
      </c>
      <c r="Y1408">
        <v>21</v>
      </c>
      <c r="Z1408" t="s">
        <v>4900</v>
      </c>
      <c r="AA1408" s="3">
        <v>1.00000004749745E-3</v>
      </c>
      <c r="AB1408" t="s">
        <v>11236</v>
      </c>
      <c r="AC1408" t="s">
        <v>4562</v>
      </c>
      <c r="AD1408" t="s">
        <v>11237</v>
      </c>
      <c r="AE1408" t="s">
        <v>4655</v>
      </c>
      <c r="AF1408" t="s">
        <v>4563</v>
      </c>
      <c r="AG1408" t="s">
        <v>4564</v>
      </c>
      <c r="AH1408">
        <v>89509</v>
      </c>
      <c r="AI1408" t="s">
        <v>11238</v>
      </c>
      <c r="AJ1408" t="s">
        <v>4655</v>
      </c>
      <c r="AK1408" t="s">
        <v>11239</v>
      </c>
      <c r="AL1408" s="13" t="s">
        <v>2257</v>
      </c>
      <c r="AM1408">
        <v>1</v>
      </c>
      <c r="AN1408" s="15" t="s">
        <v>4046</v>
      </c>
    </row>
    <row r="1409" spans="1:40" x14ac:dyDescent="0.3">
      <c r="A1409" s="10" t="str">
        <f>HYPERLINK("http://www.washoecounty.gov/assessor/cama/?parid=019-411-30&amp;CardNumber=1","019-411-30")</f>
        <v>019-411-30</v>
      </c>
      <c r="B1409" t="s">
        <v>4655</v>
      </c>
      <c r="C1409" t="s">
        <v>2493</v>
      </c>
      <c r="D1409" s="1">
        <v>40494</v>
      </c>
      <c r="E1409" s="2">
        <v>37625</v>
      </c>
      <c r="F1409" t="s">
        <v>4553</v>
      </c>
      <c r="G1409" s="17" t="str">
        <f>HYPERLINK("https://www.washoecounty.gov/assessor/cama/?command=sales&amp;parid=01941130","3942344")</f>
        <v>3942344</v>
      </c>
      <c r="H1409" t="s">
        <v>4896</v>
      </c>
      <c r="I1409">
        <v>1978</v>
      </c>
      <c r="J1409">
        <v>1978</v>
      </c>
      <c r="K1409" t="s">
        <v>3144</v>
      </c>
      <c r="L1409" t="s">
        <v>4555</v>
      </c>
      <c r="M1409" s="2">
        <v>734</v>
      </c>
      <c r="N1409" t="s">
        <v>4556</v>
      </c>
      <c r="O1409">
        <v>1</v>
      </c>
      <c r="P1409">
        <v>1</v>
      </c>
      <c r="Q1409">
        <v>0</v>
      </c>
      <c r="R1409" t="s">
        <v>5281</v>
      </c>
      <c r="S1409" t="s">
        <v>4898</v>
      </c>
      <c r="T1409" t="s">
        <v>4899</v>
      </c>
      <c r="U1409" t="s">
        <v>4655</v>
      </c>
      <c r="V1409" s="2">
        <v>0</v>
      </c>
      <c r="W1409" t="s">
        <v>4655</v>
      </c>
      <c r="X1409" s="2">
        <v>0</v>
      </c>
      <c r="Y1409">
        <v>21</v>
      </c>
      <c r="Z1409" t="s">
        <v>4900</v>
      </c>
      <c r="AA1409" s="3">
        <v>1.00000004749745E-3</v>
      </c>
      <c r="AB1409" t="s">
        <v>11240</v>
      </c>
      <c r="AC1409" t="s">
        <v>4562</v>
      </c>
      <c r="AD1409" t="s">
        <v>11241</v>
      </c>
      <c r="AE1409" t="s">
        <v>4655</v>
      </c>
      <c r="AF1409" t="s">
        <v>11242</v>
      </c>
      <c r="AG1409" t="s">
        <v>708</v>
      </c>
      <c r="AH1409">
        <v>7901</v>
      </c>
      <c r="AI1409" t="s">
        <v>4585</v>
      </c>
      <c r="AJ1409" t="s">
        <v>4655</v>
      </c>
      <c r="AK1409" t="s">
        <v>11243</v>
      </c>
      <c r="AL1409" s="13" t="s">
        <v>2257</v>
      </c>
      <c r="AM1409" s="14">
        <v>1</v>
      </c>
      <c r="AN1409" s="15" t="s">
        <v>4046</v>
      </c>
    </row>
    <row r="1410" spans="1:40" x14ac:dyDescent="0.3">
      <c r="A1410" s="10" t="str">
        <f>HYPERLINK("http://www.washoecounty.gov/assessor/cama/?parid=019-411-31&amp;CardNumber=1","019-411-31")</f>
        <v>019-411-31</v>
      </c>
      <c r="B1410" t="s">
        <v>4655</v>
      </c>
      <c r="C1410" t="s">
        <v>2493</v>
      </c>
      <c r="D1410" s="1">
        <v>40241</v>
      </c>
      <c r="E1410" s="2">
        <v>34500</v>
      </c>
      <c r="F1410" t="s">
        <v>4553</v>
      </c>
      <c r="G1410" s="17" t="str">
        <f>HYPERLINK("https://www.washoecounty.gov/assessor/cama/?command=sales&amp;parid=01941131","3855740")</f>
        <v>3855740</v>
      </c>
      <c r="H1410" t="s">
        <v>4896</v>
      </c>
      <c r="I1410">
        <v>1978</v>
      </c>
      <c r="J1410">
        <v>1978</v>
      </c>
      <c r="K1410" t="s">
        <v>3144</v>
      </c>
      <c r="L1410" t="s">
        <v>4555</v>
      </c>
      <c r="M1410" s="2">
        <v>734</v>
      </c>
      <c r="N1410" t="s">
        <v>4556</v>
      </c>
      <c r="O1410">
        <v>1</v>
      </c>
      <c r="P1410">
        <v>1</v>
      </c>
      <c r="Q1410">
        <v>0</v>
      </c>
      <c r="R1410" t="s">
        <v>5281</v>
      </c>
      <c r="S1410" t="s">
        <v>4898</v>
      </c>
      <c r="T1410" t="s">
        <v>4899</v>
      </c>
      <c r="U1410" t="s">
        <v>4655</v>
      </c>
      <c r="V1410" s="2">
        <v>0</v>
      </c>
      <c r="W1410" t="s">
        <v>4655</v>
      </c>
      <c r="X1410" s="2">
        <v>0</v>
      </c>
      <c r="Y1410">
        <v>21</v>
      </c>
      <c r="Z1410" t="s">
        <v>4900</v>
      </c>
      <c r="AA1410" s="3">
        <v>1.00000004749745E-3</v>
      </c>
      <c r="AB1410" t="s">
        <v>11244</v>
      </c>
      <c r="AC1410" t="s">
        <v>4562</v>
      </c>
      <c r="AD1410" t="s">
        <v>11245</v>
      </c>
      <c r="AE1410" t="s">
        <v>4655</v>
      </c>
      <c r="AF1410" t="s">
        <v>4563</v>
      </c>
      <c r="AG1410" t="s">
        <v>4564</v>
      </c>
      <c r="AH1410">
        <v>89509</v>
      </c>
      <c r="AI1410" t="s">
        <v>3916</v>
      </c>
      <c r="AJ1410" t="s">
        <v>4655</v>
      </c>
      <c r="AK1410" t="s">
        <v>11246</v>
      </c>
      <c r="AL1410" s="13" t="s">
        <v>2257</v>
      </c>
      <c r="AM1410">
        <v>1</v>
      </c>
      <c r="AN1410" s="15" t="s">
        <v>4046</v>
      </c>
    </row>
    <row r="1411" spans="1:40" x14ac:dyDescent="0.3">
      <c r="A1411" s="10" t="str">
        <f>HYPERLINK("http://www.washoecounty.gov/assessor/cama/?parid=019-412-02&amp;CardNumber=1","019-412-02")</f>
        <v>019-412-02</v>
      </c>
      <c r="B1411" t="s">
        <v>4655</v>
      </c>
      <c r="C1411" t="s">
        <v>4895</v>
      </c>
      <c r="D1411" s="1">
        <v>40438</v>
      </c>
      <c r="E1411" s="2">
        <v>20425</v>
      </c>
      <c r="F1411" t="s">
        <v>4553</v>
      </c>
      <c r="G1411" s="17" t="str">
        <f>HYPERLINK("https://www.washoecounty.gov/assessor/cama/?command=sales&amp;parid=01941202","3923219")</f>
        <v>3923219</v>
      </c>
      <c r="H1411" t="s">
        <v>4896</v>
      </c>
      <c r="I1411">
        <v>1978</v>
      </c>
      <c r="J1411">
        <v>1978</v>
      </c>
      <c r="K1411" t="s">
        <v>3144</v>
      </c>
      <c r="L1411" t="s">
        <v>4555</v>
      </c>
      <c r="M1411" s="2">
        <v>656</v>
      </c>
      <c r="N1411" t="s">
        <v>4556</v>
      </c>
      <c r="O1411">
        <v>1</v>
      </c>
      <c r="P1411">
        <v>1</v>
      </c>
      <c r="Q1411">
        <v>0</v>
      </c>
      <c r="R1411" t="s">
        <v>5281</v>
      </c>
      <c r="S1411" t="s">
        <v>4898</v>
      </c>
      <c r="T1411" t="s">
        <v>4899</v>
      </c>
      <c r="U1411" t="s">
        <v>4655</v>
      </c>
      <c r="V1411" s="2">
        <v>0</v>
      </c>
      <c r="W1411" t="s">
        <v>4655</v>
      </c>
      <c r="X1411" s="2">
        <v>0</v>
      </c>
      <c r="Y1411">
        <v>21</v>
      </c>
      <c r="Z1411" t="s">
        <v>4900</v>
      </c>
      <c r="AA1411" s="3">
        <v>1.00000004749745E-3</v>
      </c>
      <c r="AB1411" t="s">
        <v>11232</v>
      </c>
      <c r="AC1411" t="s">
        <v>4562</v>
      </c>
      <c r="AD1411" t="s">
        <v>11233</v>
      </c>
      <c r="AE1411" t="s">
        <v>4655</v>
      </c>
      <c r="AF1411" t="s">
        <v>4563</v>
      </c>
      <c r="AG1411" t="s">
        <v>4564</v>
      </c>
      <c r="AH1411">
        <v>89505</v>
      </c>
      <c r="AI1411" t="s">
        <v>4565</v>
      </c>
      <c r="AJ1411" t="s">
        <v>4655</v>
      </c>
      <c r="AK1411" t="s">
        <v>11247</v>
      </c>
      <c r="AL1411" s="13" t="s">
        <v>2257</v>
      </c>
      <c r="AM1411">
        <v>1</v>
      </c>
      <c r="AN1411" s="15" t="s">
        <v>4046</v>
      </c>
    </row>
    <row r="1412" spans="1:40" x14ac:dyDescent="0.3">
      <c r="A1412" s="10" t="str">
        <f>HYPERLINK("http://www.washoecounty.gov/assessor/cama/?parid=019-412-07&amp;CardNumber=1","019-412-07")</f>
        <v>019-412-07</v>
      </c>
      <c r="B1412" t="s">
        <v>4655</v>
      </c>
      <c r="C1412" t="s">
        <v>4895</v>
      </c>
      <c r="D1412" s="1">
        <v>40360</v>
      </c>
      <c r="E1412" s="2">
        <v>27850</v>
      </c>
      <c r="F1412" t="s">
        <v>4553</v>
      </c>
      <c r="G1412" s="17" t="str">
        <f>HYPERLINK("https://www.washoecounty.gov/assessor/cama/?command=sales&amp;parid=01941207","3897710")</f>
        <v>3897710</v>
      </c>
      <c r="H1412" t="s">
        <v>4896</v>
      </c>
      <c r="I1412">
        <v>1978</v>
      </c>
      <c r="J1412">
        <v>1978</v>
      </c>
      <c r="K1412" t="s">
        <v>3144</v>
      </c>
      <c r="L1412" t="s">
        <v>4555</v>
      </c>
      <c r="M1412" s="2">
        <v>734</v>
      </c>
      <c r="N1412" t="s">
        <v>4556</v>
      </c>
      <c r="O1412">
        <v>1</v>
      </c>
      <c r="P1412">
        <v>1</v>
      </c>
      <c r="Q1412">
        <v>0</v>
      </c>
      <c r="R1412" t="s">
        <v>5281</v>
      </c>
      <c r="S1412" t="s">
        <v>4898</v>
      </c>
      <c r="T1412" t="s">
        <v>4899</v>
      </c>
      <c r="U1412" t="s">
        <v>4655</v>
      </c>
      <c r="V1412" s="2">
        <v>0</v>
      </c>
      <c r="W1412" t="s">
        <v>4655</v>
      </c>
      <c r="X1412" s="2">
        <v>0</v>
      </c>
      <c r="Y1412">
        <v>21</v>
      </c>
      <c r="Z1412" t="s">
        <v>4900</v>
      </c>
      <c r="AA1412" s="3">
        <v>1.00000004749745E-3</v>
      </c>
      <c r="AB1412" t="s">
        <v>11248</v>
      </c>
      <c r="AC1412" t="s">
        <v>4562</v>
      </c>
      <c r="AD1412" t="s">
        <v>11249</v>
      </c>
      <c r="AE1412" t="s">
        <v>4655</v>
      </c>
      <c r="AF1412" t="s">
        <v>4563</v>
      </c>
      <c r="AG1412" t="s">
        <v>4564</v>
      </c>
      <c r="AH1412">
        <v>89509</v>
      </c>
      <c r="AI1412" t="s">
        <v>4585</v>
      </c>
      <c r="AJ1412" t="s">
        <v>4655</v>
      </c>
      <c r="AK1412" t="s">
        <v>11250</v>
      </c>
      <c r="AL1412" s="13" t="s">
        <v>2257</v>
      </c>
      <c r="AM1412">
        <v>1</v>
      </c>
      <c r="AN1412" s="15" t="s">
        <v>4046</v>
      </c>
    </row>
    <row r="1413" spans="1:40" x14ac:dyDescent="0.3">
      <c r="A1413" s="10" t="str">
        <f>HYPERLINK("http://www.washoecounty.gov/assessor/cama/?parid=019-412-29&amp;CardNumber=1","019-412-29")</f>
        <v>019-412-29</v>
      </c>
      <c r="B1413" t="s">
        <v>4655</v>
      </c>
      <c r="C1413" t="s">
        <v>2493</v>
      </c>
      <c r="D1413" s="1">
        <v>40512</v>
      </c>
      <c r="E1413" s="2">
        <v>26900</v>
      </c>
      <c r="F1413" t="s">
        <v>4553</v>
      </c>
      <c r="G1413" s="17" t="str">
        <f>HYPERLINK("https://www.washoecounty.gov/assessor/cama/?command=sales&amp;parid=01941229","3947517")</f>
        <v>3947517</v>
      </c>
      <c r="H1413" t="s">
        <v>4896</v>
      </c>
      <c r="I1413">
        <v>1978</v>
      </c>
      <c r="J1413">
        <v>1978</v>
      </c>
      <c r="K1413" t="s">
        <v>3144</v>
      </c>
      <c r="L1413" t="s">
        <v>4555</v>
      </c>
      <c r="M1413" s="2">
        <v>656</v>
      </c>
      <c r="N1413" t="s">
        <v>4556</v>
      </c>
      <c r="O1413">
        <v>1</v>
      </c>
      <c r="P1413">
        <v>1</v>
      </c>
      <c r="Q1413">
        <v>0</v>
      </c>
      <c r="R1413" t="s">
        <v>5281</v>
      </c>
      <c r="S1413" t="s">
        <v>4898</v>
      </c>
      <c r="T1413" t="s">
        <v>4899</v>
      </c>
      <c r="U1413" t="s">
        <v>4655</v>
      </c>
      <c r="V1413" s="2">
        <v>0</v>
      </c>
      <c r="W1413" t="s">
        <v>4655</v>
      </c>
      <c r="X1413" s="2">
        <v>0</v>
      </c>
      <c r="Y1413">
        <v>21</v>
      </c>
      <c r="Z1413" t="s">
        <v>4900</v>
      </c>
      <c r="AA1413" s="3">
        <v>1.00000004749745E-3</v>
      </c>
      <c r="AB1413" t="s">
        <v>11251</v>
      </c>
      <c r="AC1413" t="s">
        <v>4562</v>
      </c>
      <c r="AD1413" t="s">
        <v>11252</v>
      </c>
      <c r="AE1413" t="s">
        <v>4655</v>
      </c>
      <c r="AF1413" t="s">
        <v>4563</v>
      </c>
      <c r="AG1413" t="s">
        <v>4564</v>
      </c>
      <c r="AH1413">
        <v>89509</v>
      </c>
      <c r="AI1413" t="s">
        <v>4903</v>
      </c>
      <c r="AJ1413" t="s">
        <v>4655</v>
      </c>
      <c r="AK1413" t="s">
        <v>11253</v>
      </c>
      <c r="AL1413" s="13" t="s">
        <v>2257</v>
      </c>
      <c r="AM1413" s="14">
        <v>1</v>
      </c>
      <c r="AN1413" s="15" t="s">
        <v>4046</v>
      </c>
    </row>
    <row r="1414" spans="1:40" x14ac:dyDescent="0.3">
      <c r="A1414" s="10" t="str">
        <f>HYPERLINK("http://www.washoecounty.gov/assessor/cama/?parid=019-413-14&amp;CardNumber=1","019-413-14")</f>
        <v>019-413-14</v>
      </c>
      <c r="B1414" t="s">
        <v>4655</v>
      </c>
      <c r="C1414" t="s">
        <v>4895</v>
      </c>
      <c r="D1414" s="1">
        <v>40436</v>
      </c>
      <c r="E1414" s="2">
        <v>28000</v>
      </c>
      <c r="F1414" t="s">
        <v>4567</v>
      </c>
      <c r="G1414" s="17" t="str">
        <f>HYPERLINK("https://www.washoecounty.gov/assessor/cama/?command=sales&amp;parid=01941314","3922529")</f>
        <v>3922529</v>
      </c>
      <c r="H1414" t="s">
        <v>4896</v>
      </c>
      <c r="I1414">
        <v>1978</v>
      </c>
      <c r="J1414">
        <v>1978</v>
      </c>
      <c r="K1414" t="s">
        <v>3144</v>
      </c>
      <c r="L1414" t="s">
        <v>4555</v>
      </c>
      <c r="M1414" s="2">
        <v>656</v>
      </c>
      <c r="N1414" t="s">
        <v>4556</v>
      </c>
      <c r="O1414">
        <v>1</v>
      </c>
      <c r="P1414">
        <v>1</v>
      </c>
      <c r="Q1414">
        <v>0</v>
      </c>
      <c r="R1414" t="s">
        <v>5281</v>
      </c>
      <c r="S1414" t="s">
        <v>4898</v>
      </c>
      <c r="T1414" t="s">
        <v>4899</v>
      </c>
      <c r="U1414" t="s">
        <v>4655</v>
      </c>
      <c r="V1414" s="2">
        <v>0</v>
      </c>
      <c r="W1414" t="s">
        <v>4655</v>
      </c>
      <c r="X1414" s="2">
        <v>0</v>
      </c>
      <c r="Y1414">
        <v>21</v>
      </c>
      <c r="Z1414" t="s">
        <v>4900</v>
      </c>
      <c r="AA1414" s="3">
        <v>1.00000004749745E-3</v>
      </c>
      <c r="AB1414" t="s">
        <v>11254</v>
      </c>
      <c r="AC1414" t="s">
        <v>4562</v>
      </c>
      <c r="AD1414" t="s">
        <v>11255</v>
      </c>
      <c r="AE1414" t="s">
        <v>4655</v>
      </c>
      <c r="AF1414" t="s">
        <v>4563</v>
      </c>
      <c r="AG1414" t="s">
        <v>4564</v>
      </c>
      <c r="AH1414">
        <v>89509</v>
      </c>
      <c r="AI1414" t="s">
        <v>3825</v>
      </c>
      <c r="AJ1414" t="s">
        <v>4655</v>
      </c>
      <c r="AK1414" t="s">
        <v>11256</v>
      </c>
      <c r="AL1414" s="13" t="s">
        <v>2257</v>
      </c>
      <c r="AM1414" s="14">
        <v>1</v>
      </c>
      <c r="AN1414" s="15" t="s">
        <v>4046</v>
      </c>
    </row>
    <row r="1415" spans="1:40" x14ac:dyDescent="0.3">
      <c r="A1415" s="10" t="str">
        <f>HYPERLINK("http://www.washoecounty.gov/assessor/cama/?parid=019-413-15&amp;CardNumber=1","019-413-15")</f>
        <v>019-413-15</v>
      </c>
      <c r="B1415" t="s">
        <v>4655</v>
      </c>
      <c r="C1415" t="s">
        <v>4895</v>
      </c>
      <c r="D1415" s="1">
        <v>40540</v>
      </c>
      <c r="E1415" s="2">
        <v>27500</v>
      </c>
      <c r="F1415" t="s">
        <v>4553</v>
      </c>
      <c r="G1415" s="17" t="str">
        <f>HYPERLINK("https://www.washoecounty.gov/assessor/cama/?command=sales&amp;parid=01941315","3957946")</f>
        <v>3957946</v>
      </c>
      <c r="H1415" t="s">
        <v>4896</v>
      </c>
      <c r="I1415">
        <v>1978</v>
      </c>
      <c r="J1415">
        <v>1978</v>
      </c>
      <c r="K1415" t="s">
        <v>3144</v>
      </c>
      <c r="L1415" t="s">
        <v>4555</v>
      </c>
      <c r="M1415" s="2">
        <v>962</v>
      </c>
      <c r="N1415" t="s">
        <v>4556</v>
      </c>
      <c r="O1415">
        <v>2</v>
      </c>
      <c r="P1415">
        <v>2</v>
      </c>
      <c r="Q1415">
        <v>0</v>
      </c>
      <c r="R1415" t="s">
        <v>5281</v>
      </c>
      <c r="S1415" t="s">
        <v>4898</v>
      </c>
      <c r="T1415" t="s">
        <v>4899</v>
      </c>
      <c r="U1415" t="s">
        <v>4655</v>
      </c>
      <c r="V1415" s="2">
        <v>0</v>
      </c>
      <c r="W1415" t="s">
        <v>4655</v>
      </c>
      <c r="X1415" s="2">
        <v>0</v>
      </c>
      <c r="Y1415">
        <v>21</v>
      </c>
      <c r="Z1415" t="s">
        <v>4900</v>
      </c>
      <c r="AA1415" s="3">
        <v>1.00000004749745E-3</v>
      </c>
      <c r="AB1415" t="s">
        <v>11257</v>
      </c>
      <c r="AC1415" t="s">
        <v>4562</v>
      </c>
      <c r="AD1415" t="s">
        <v>11258</v>
      </c>
      <c r="AE1415" t="s">
        <v>4655</v>
      </c>
      <c r="AF1415" t="s">
        <v>11259</v>
      </c>
      <c r="AG1415" t="s">
        <v>1188</v>
      </c>
      <c r="AH1415" t="s">
        <v>11260</v>
      </c>
      <c r="AI1415" t="s">
        <v>4903</v>
      </c>
      <c r="AJ1415" t="s">
        <v>4655</v>
      </c>
      <c r="AK1415" t="s">
        <v>11261</v>
      </c>
      <c r="AL1415" s="13" t="s">
        <v>2257</v>
      </c>
      <c r="AM1415" s="14">
        <v>1</v>
      </c>
      <c r="AN1415" s="15" t="s">
        <v>4046</v>
      </c>
    </row>
    <row r="1416" spans="1:40" x14ac:dyDescent="0.3">
      <c r="A1416" s="10" t="str">
        <f>HYPERLINK("http://www.washoecounty.gov/assessor/cama/?parid=019-413-34&amp;CardNumber=1","019-413-34")</f>
        <v>019-413-34</v>
      </c>
      <c r="B1416" t="s">
        <v>4655</v>
      </c>
      <c r="C1416" t="s">
        <v>2493</v>
      </c>
      <c r="D1416" s="1">
        <v>40268</v>
      </c>
      <c r="E1416" s="2">
        <v>50000</v>
      </c>
      <c r="F1416" t="s">
        <v>4567</v>
      </c>
      <c r="G1416" s="17" t="str">
        <f>HYPERLINK("https://www.washoecounty.gov/assessor/cama/?command=sales&amp;parid=01941334","3866686")</f>
        <v>3866686</v>
      </c>
      <c r="H1416" t="s">
        <v>4896</v>
      </c>
      <c r="I1416">
        <v>1978</v>
      </c>
      <c r="J1416">
        <v>1978</v>
      </c>
      <c r="K1416" t="s">
        <v>3144</v>
      </c>
      <c r="L1416" t="s">
        <v>4555</v>
      </c>
      <c r="M1416" s="2">
        <v>855</v>
      </c>
      <c r="N1416" t="s">
        <v>4556</v>
      </c>
      <c r="O1416">
        <v>2</v>
      </c>
      <c r="P1416">
        <v>1</v>
      </c>
      <c r="Q1416">
        <v>0</v>
      </c>
      <c r="R1416" t="s">
        <v>5281</v>
      </c>
      <c r="S1416" t="s">
        <v>4898</v>
      </c>
      <c r="T1416" t="s">
        <v>4899</v>
      </c>
      <c r="U1416" t="s">
        <v>4655</v>
      </c>
      <c r="V1416" s="2">
        <v>0</v>
      </c>
      <c r="W1416" t="s">
        <v>4655</v>
      </c>
      <c r="X1416" s="2">
        <v>0</v>
      </c>
      <c r="Y1416">
        <v>21</v>
      </c>
      <c r="Z1416" t="s">
        <v>4900</v>
      </c>
      <c r="AA1416" s="3">
        <v>1.00000004749745E-3</v>
      </c>
      <c r="AB1416" t="s">
        <v>11262</v>
      </c>
      <c r="AC1416" t="s">
        <v>4562</v>
      </c>
      <c r="AD1416" t="s">
        <v>11263</v>
      </c>
      <c r="AE1416" t="s">
        <v>4655</v>
      </c>
      <c r="AF1416" t="s">
        <v>23</v>
      </c>
      <c r="AG1416" t="s">
        <v>4584</v>
      </c>
      <c r="AH1416">
        <v>95125</v>
      </c>
      <c r="AI1416" t="s">
        <v>4542</v>
      </c>
      <c r="AJ1416" t="s">
        <v>4655</v>
      </c>
      <c r="AK1416" t="s">
        <v>11264</v>
      </c>
      <c r="AL1416" s="13" t="s">
        <v>2257</v>
      </c>
      <c r="AM1416">
        <v>1</v>
      </c>
      <c r="AN1416" s="15" t="s">
        <v>4046</v>
      </c>
    </row>
    <row r="1417" spans="1:40" x14ac:dyDescent="0.3">
      <c r="A1417" s="10" t="str">
        <f>HYPERLINK("http://www.washoecounty.gov/assessor/cama/?parid=019-413-35&amp;CardNumber=1","019-413-35")</f>
        <v>019-413-35</v>
      </c>
      <c r="B1417" t="s">
        <v>4655</v>
      </c>
      <c r="C1417" t="s">
        <v>2493</v>
      </c>
      <c r="D1417" s="1">
        <v>40409</v>
      </c>
      <c r="E1417" s="2">
        <v>36750</v>
      </c>
      <c r="F1417" t="s">
        <v>4553</v>
      </c>
      <c r="G1417" s="17" t="str">
        <f>HYPERLINK("https://www.washoecounty.gov/assessor/cama/?command=sales&amp;parid=01941335","3913677")</f>
        <v>3913677</v>
      </c>
      <c r="H1417" t="s">
        <v>4896</v>
      </c>
      <c r="I1417">
        <v>1978</v>
      </c>
      <c r="J1417">
        <v>1978</v>
      </c>
      <c r="K1417" t="s">
        <v>4897</v>
      </c>
      <c r="L1417" t="s">
        <v>4555</v>
      </c>
      <c r="M1417" s="2">
        <v>1084</v>
      </c>
      <c r="N1417" t="s">
        <v>4556</v>
      </c>
      <c r="O1417">
        <v>2</v>
      </c>
      <c r="P1417">
        <v>2</v>
      </c>
      <c r="Q1417">
        <v>0</v>
      </c>
      <c r="R1417" t="s">
        <v>5281</v>
      </c>
      <c r="S1417" t="s">
        <v>4898</v>
      </c>
      <c r="T1417" t="s">
        <v>4899</v>
      </c>
      <c r="U1417" t="s">
        <v>4655</v>
      </c>
      <c r="V1417" s="2">
        <v>0</v>
      </c>
      <c r="W1417" t="s">
        <v>4655</v>
      </c>
      <c r="X1417" s="2">
        <v>0</v>
      </c>
      <c r="Y1417">
        <v>21</v>
      </c>
      <c r="Z1417" t="s">
        <v>4900</v>
      </c>
      <c r="AA1417" s="3">
        <v>1.00000004749745E-3</v>
      </c>
      <c r="AB1417" t="s">
        <v>11265</v>
      </c>
      <c r="AC1417" t="s">
        <v>4562</v>
      </c>
      <c r="AD1417" t="s">
        <v>11266</v>
      </c>
      <c r="AE1417" t="s">
        <v>4655</v>
      </c>
      <c r="AF1417" t="s">
        <v>4563</v>
      </c>
      <c r="AG1417" t="s">
        <v>4564</v>
      </c>
      <c r="AH1417" t="s">
        <v>5197</v>
      </c>
      <c r="AI1417" t="s">
        <v>4903</v>
      </c>
      <c r="AJ1417" t="s">
        <v>4655</v>
      </c>
      <c r="AK1417" t="s">
        <v>11267</v>
      </c>
      <c r="AL1417" s="13" t="s">
        <v>2257</v>
      </c>
      <c r="AM1417" s="14">
        <v>1</v>
      </c>
      <c r="AN1417" s="15" t="s">
        <v>4046</v>
      </c>
    </row>
    <row r="1418" spans="1:40" x14ac:dyDescent="0.3">
      <c r="A1418" s="10" t="str">
        <f>HYPERLINK("http://www.washoecounty.gov/assessor/cama/?parid=019-432-24&amp;CardNumber=1","019-432-24")</f>
        <v>019-432-24</v>
      </c>
      <c r="B1418" t="s">
        <v>4655</v>
      </c>
      <c r="C1418" t="s">
        <v>11268</v>
      </c>
      <c r="D1418" s="1">
        <v>40466</v>
      </c>
      <c r="E1418" s="2">
        <v>160000</v>
      </c>
      <c r="F1418" t="s">
        <v>4553</v>
      </c>
      <c r="G1418" s="17" t="str">
        <f>HYPERLINK("https://www.washoecounty.gov/assessor/cama/?command=sales&amp;parid=01943224","3933753")</f>
        <v>3933753</v>
      </c>
      <c r="H1418" t="s">
        <v>11269</v>
      </c>
      <c r="I1418">
        <v>1996</v>
      </c>
      <c r="J1418">
        <v>1996</v>
      </c>
      <c r="K1418" t="s">
        <v>3043</v>
      </c>
      <c r="L1418" t="s">
        <v>3974</v>
      </c>
      <c r="M1418" s="2">
        <v>3189</v>
      </c>
      <c r="N1418" t="s">
        <v>5280</v>
      </c>
      <c r="O1418">
        <v>6</v>
      </c>
      <c r="P1418">
        <v>4</v>
      </c>
      <c r="Q1418">
        <v>0</v>
      </c>
      <c r="R1418" t="s">
        <v>4557</v>
      </c>
      <c r="S1418" t="s">
        <v>4898</v>
      </c>
      <c r="T1418" t="s">
        <v>4559</v>
      </c>
      <c r="U1418" t="s">
        <v>4655</v>
      </c>
      <c r="V1418" s="2">
        <v>0</v>
      </c>
      <c r="W1418" t="s">
        <v>4655</v>
      </c>
      <c r="X1418" s="2">
        <v>0</v>
      </c>
      <c r="Y1418">
        <v>32</v>
      </c>
      <c r="Z1418" t="s">
        <v>2705</v>
      </c>
      <c r="AA1418" s="3">
        <v>0.160009175539017</v>
      </c>
      <c r="AB1418" t="s">
        <v>11270</v>
      </c>
      <c r="AC1418" t="s">
        <v>4562</v>
      </c>
      <c r="AD1418" t="s">
        <v>11271</v>
      </c>
      <c r="AE1418" t="s">
        <v>4655</v>
      </c>
      <c r="AF1418" t="s">
        <v>4563</v>
      </c>
      <c r="AG1418" t="s">
        <v>4564</v>
      </c>
      <c r="AH1418" t="s">
        <v>3821</v>
      </c>
      <c r="AI1418" t="s">
        <v>11272</v>
      </c>
      <c r="AJ1418" t="s">
        <v>11273</v>
      </c>
      <c r="AK1418" t="s">
        <v>11274</v>
      </c>
      <c r="AL1418" s="13" t="s">
        <v>2257</v>
      </c>
      <c r="AM1418" s="14">
        <v>4</v>
      </c>
      <c r="AN1418" s="15" t="s">
        <v>4591</v>
      </c>
    </row>
    <row r="1419" spans="1:40" x14ac:dyDescent="0.3">
      <c r="A1419" s="10" t="str">
        <f>HYPERLINK("http://www.washoecounty.gov/assessor/cama/?parid=019-441-06&amp;CardNumber=1","019-441-06")</f>
        <v>019-441-06</v>
      </c>
      <c r="B1419" t="s">
        <v>4655</v>
      </c>
      <c r="C1419" t="s">
        <v>1027</v>
      </c>
      <c r="D1419" s="1">
        <v>40431</v>
      </c>
      <c r="E1419" s="2">
        <v>31000</v>
      </c>
      <c r="F1419" t="s">
        <v>4553</v>
      </c>
      <c r="G1419" s="17" t="str">
        <f>HYPERLINK("https://www.washoecounty.gov/assessor/cama/?command=sales&amp;parid=01944106","3921104")</f>
        <v>3921104</v>
      </c>
      <c r="H1419" t="s">
        <v>1028</v>
      </c>
      <c r="I1419">
        <v>1979</v>
      </c>
      <c r="J1419">
        <v>1979</v>
      </c>
      <c r="K1419" t="s">
        <v>3144</v>
      </c>
      <c r="L1419" t="s">
        <v>4555</v>
      </c>
      <c r="M1419" s="2">
        <v>788</v>
      </c>
      <c r="N1419" t="s">
        <v>4048</v>
      </c>
      <c r="O1419">
        <v>1</v>
      </c>
      <c r="P1419">
        <v>1</v>
      </c>
      <c r="Q1419">
        <v>0</v>
      </c>
      <c r="R1419" t="s">
        <v>5281</v>
      </c>
      <c r="S1419" t="s">
        <v>4898</v>
      </c>
      <c r="T1419" t="s">
        <v>1101</v>
      </c>
      <c r="U1419" t="s">
        <v>4655</v>
      </c>
      <c r="V1419" s="2">
        <v>0</v>
      </c>
      <c r="W1419" t="s">
        <v>4655</v>
      </c>
      <c r="X1419" s="2">
        <v>0</v>
      </c>
      <c r="Y1419">
        <v>21</v>
      </c>
      <c r="Z1419" t="s">
        <v>2705</v>
      </c>
      <c r="AA1419" s="3">
        <v>1.00000004749745E-3</v>
      </c>
      <c r="AB1419" t="s">
        <v>11275</v>
      </c>
      <c r="AC1419" t="s">
        <v>4562</v>
      </c>
      <c r="AD1419" t="s">
        <v>11276</v>
      </c>
      <c r="AE1419" t="s">
        <v>4655</v>
      </c>
      <c r="AF1419" t="s">
        <v>4563</v>
      </c>
      <c r="AG1419" t="s">
        <v>4564</v>
      </c>
      <c r="AH1419">
        <v>89502</v>
      </c>
      <c r="AI1419" t="s">
        <v>4565</v>
      </c>
      <c r="AJ1419" t="s">
        <v>4655</v>
      </c>
      <c r="AK1419" t="s">
        <v>11277</v>
      </c>
      <c r="AL1419" s="13" t="s">
        <v>2257</v>
      </c>
      <c r="AM1419" s="14">
        <v>1</v>
      </c>
      <c r="AN1419" s="15" t="s">
        <v>2560</v>
      </c>
    </row>
    <row r="1420" spans="1:40" x14ac:dyDescent="0.3">
      <c r="A1420" s="10" t="str">
        <f>HYPERLINK("http://www.washoecounty.gov/assessor/cama/?parid=019-441-10&amp;CardNumber=1","019-441-10")</f>
        <v>019-441-10</v>
      </c>
      <c r="B1420" t="s">
        <v>4655</v>
      </c>
      <c r="C1420" t="s">
        <v>1027</v>
      </c>
      <c r="D1420" s="1">
        <v>40477</v>
      </c>
      <c r="E1420" s="2">
        <v>23000</v>
      </c>
      <c r="F1420" t="s">
        <v>4567</v>
      </c>
      <c r="G1420" s="17" t="str">
        <f>HYPERLINK("https://www.washoecounty.gov/assessor/cama/?command=sales&amp;parid=01944110","3936716")</f>
        <v>3936716</v>
      </c>
      <c r="H1420" t="s">
        <v>1028</v>
      </c>
      <c r="I1420">
        <v>1979</v>
      </c>
      <c r="J1420">
        <v>1979</v>
      </c>
      <c r="K1420" t="s">
        <v>3144</v>
      </c>
      <c r="L1420" t="s">
        <v>4555</v>
      </c>
      <c r="M1420" s="2">
        <v>451</v>
      </c>
      <c r="N1420" t="s">
        <v>4048</v>
      </c>
      <c r="O1420">
        <v>0</v>
      </c>
      <c r="P1420">
        <v>1</v>
      </c>
      <c r="Q1420">
        <v>0</v>
      </c>
      <c r="R1420" t="s">
        <v>5281</v>
      </c>
      <c r="S1420" t="s">
        <v>4898</v>
      </c>
      <c r="T1420" t="s">
        <v>1101</v>
      </c>
      <c r="U1420" t="s">
        <v>4655</v>
      </c>
      <c r="V1420" s="2">
        <v>0</v>
      </c>
      <c r="W1420" t="s">
        <v>4655</v>
      </c>
      <c r="X1420" s="2">
        <v>0</v>
      </c>
      <c r="Y1420">
        <v>21</v>
      </c>
      <c r="Z1420" t="s">
        <v>2705</v>
      </c>
      <c r="AA1420" s="3">
        <v>1.00000004749745E-3</v>
      </c>
      <c r="AB1420" t="s">
        <v>11278</v>
      </c>
      <c r="AC1420" t="s">
        <v>4562</v>
      </c>
      <c r="AD1420" t="s">
        <v>8884</v>
      </c>
      <c r="AE1420" t="s">
        <v>4655</v>
      </c>
      <c r="AF1420" t="s">
        <v>4563</v>
      </c>
      <c r="AG1420" t="s">
        <v>4564</v>
      </c>
      <c r="AH1420">
        <v>89502</v>
      </c>
      <c r="AI1420" t="s">
        <v>11279</v>
      </c>
      <c r="AJ1420" t="s">
        <v>4655</v>
      </c>
      <c r="AK1420" t="s">
        <v>11280</v>
      </c>
      <c r="AL1420" s="13" t="s">
        <v>2257</v>
      </c>
      <c r="AM1420">
        <v>1</v>
      </c>
      <c r="AN1420" s="15" t="s">
        <v>2560</v>
      </c>
    </row>
    <row r="1421" spans="1:40" x14ac:dyDescent="0.3">
      <c r="A1421" s="10" t="str">
        <f>HYPERLINK("http://www.washoecounty.gov/assessor/cama/?parid=019-442-27&amp;CardNumber=1","019-442-27")</f>
        <v>019-442-27</v>
      </c>
      <c r="B1421" t="s">
        <v>4655</v>
      </c>
      <c r="C1421" t="s">
        <v>1027</v>
      </c>
      <c r="D1421" s="1">
        <v>40520</v>
      </c>
      <c r="E1421" s="2">
        <v>14625</v>
      </c>
      <c r="F1421" t="s">
        <v>4553</v>
      </c>
      <c r="G1421" s="17" t="str">
        <f>HYPERLINK("https://www.washoecounty.gov/assessor/cama/?command=sales&amp;parid=01944227","3951224")</f>
        <v>3951224</v>
      </c>
      <c r="H1421" t="s">
        <v>1028</v>
      </c>
      <c r="I1421">
        <v>1979</v>
      </c>
      <c r="J1421">
        <v>1979</v>
      </c>
      <c r="K1421" t="s">
        <v>3144</v>
      </c>
      <c r="L1421" t="s">
        <v>4555</v>
      </c>
      <c r="M1421" s="2">
        <v>677</v>
      </c>
      <c r="N1421" t="s">
        <v>4048</v>
      </c>
      <c r="O1421">
        <v>1</v>
      </c>
      <c r="P1421">
        <v>1</v>
      </c>
      <c r="Q1421">
        <v>0</v>
      </c>
      <c r="R1421" t="s">
        <v>5281</v>
      </c>
      <c r="S1421" t="s">
        <v>4898</v>
      </c>
      <c r="T1421" t="s">
        <v>1101</v>
      </c>
      <c r="U1421" t="s">
        <v>4655</v>
      </c>
      <c r="V1421" s="2">
        <v>0</v>
      </c>
      <c r="W1421" t="s">
        <v>4655</v>
      </c>
      <c r="X1421" s="2">
        <v>0</v>
      </c>
      <c r="Y1421">
        <v>21</v>
      </c>
      <c r="Z1421" t="s">
        <v>2705</v>
      </c>
      <c r="AA1421" s="3">
        <v>1.00000004749745E-3</v>
      </c>
      <c r="AB1421" t="s">
        <v>5650</v>
      </c>
      <c r="AC1421" t="s">
        <v>4575</v>
      </c>
      <c r="AD1421" t="s">
        <v>5651</v>
      </c>
      <c r="AE1421" t="s">
        <v>4655</v>
      </c>
      <c r="AF1421" t="s">
        <v>1407</v>
      </c>
      <c r="AG1421" t="s">
        <v>4564</v>
      </c>
      <c r="AH1421">
        <v>89705</v>
      </c>
      <c r="AI1421" t="s">
        <v>5405</v>
      </c>
      <c r="AJ1421" t="s">
        <v>4655</v>
      </c>
      <c r="AK1421" t="s">
        <v>5612</v>
      </c>
      <c r="AL1421" s="13" t="s">
        <v>2257</v>
      </c>
      <c r="AM1421">
        <v>1</v>
      </c>
      <c r="AN1421" s="15" t="s">
        <v>2560</v>
      </c>
    </row>
    <row r="1422" spans="1:40" x14ac:dyDescent="0.3">
      <c r="A1422" s="10" t="str">
        <f>HYPERLINK("http://www.washoecounty.gov/assessor/cama/?parid=019-443-04&amp;CardNumber=1","019-443-04")</f>
        <v>019-443-04</v>
      </c>
      <c r="B1422" t="s">
        <v>4655</v>
      </c>
      <c r="C1422" t="s">
        <v>1027</v>
      </c>
      <c r="D1422" s="1">
        <v>40504</v>
      </c>
      <c r="E1422" s="2">
        <v>25000</v>
      </c>
      <c r="F1422" t="s">
        <v>4553</v>
      </c>
      <c r="G1422" s="17" t="str">
        <f>HYPERLINK("https://www.washoecounty.gov/assessor/cama/?command=sales&amp;parid=01944304","3945329")</f>
        <v>3945329</v>
      </c>
      <c r="H1422" t="s">
        <v>1028</v>
      </c>
      <c r="I1422">
        <v>1979</v>
      </c>
      <c r="J1422">
        <v>1979</v>
      </c>
      <c r="K1422" t="s">
        <v>3144</v>
      </c>
      <c r="L1422" t="s">
        <v>4555</v>
      </c>
      <c r="M1422" s="2">
        <v>788</v>
      </c>
      <c r="N1422" t="s">
        <v>4048</v>
      </c>
      <c r="O1422">
        <v>1</v>
      </c>
      <c r="P1422">
        <v>1</v>
      </c>
      <c r="Q1422">
        <v>0</v>
      </c>
      <c r="R1422" t="s">
        <v>5281</v>
      </c>
      <c r="S1422" t="s">
        <v>4898</v>
      </c>
      <c r="T1422" t="s">
        <v>1101</v>
      </c>
      <c r="U1422" t="s">
        <v>4655</v>
      </c>
      <c r="V1422" s="2">
        <v>0</v>
      </c>
      <c r="W1422" t="s">
        <v>4655</v>
      </c>
      <c r="X1422" s="2">
        <v>0</v>
      </c>
      <c r="Y1422">
        <v>21</v>
      </c>
      <c r="Z1422" t="s">
        <v>2705</v>
      </c>
      <c r="AA1422" s="3">
        <v>1.00000004749745E-3</v>
      </c>
      <c r="AB1422" t="s">
        <v>4901</v>
      </c>
      <c r="AC1422" t="s">
        <v>4575</v>
      </c>
      <c r="AD1422" t="s">
        <v>4902</v>
      </c>
      <c r="AE1422" t="s">
        <v>4655</v>
      </c>
      <c r="AF1422" t="s">
        <v>4043</v>
      </c>
      <c r="AG1422" t="s">
        <v>4584</v>
      </c>
      <c r="AH1422" t="s">
        <v>4044</v>
      </c>
      <c r="AI1422" t="s">
        <v>2351</v>
      </c>
      <c r="AJ1422" t="s">
        <v>4655</v>
      </c>
      <c r="AK1422" t="s">
        <v>11281</v>
      </c>
      <c r="AL1422" s="13" t="s">
        <v>2257</v>
      </c>
      <c r="AM1422">
        <v>1</v>
      </c>
      <c r="AN1422" s="15" t="s">
        <v>2560</v>
      </c>
    </row>
    <row r="1423" spans="1:40" x14ac:dyDescent="0.3">
      <c r="A1423" s="10" t="str">
        <f>HYPERLINK("http://www.washoecounty.gov/assessor/cama/?parid=019-443-12&amp;CardNumber=1","019-443-12")</f>
        <v>019-443-12</v>
      </c>
      <c r="B1423" t="s">
        <v>4655</v>
      </c>
      <c r="C1423" t="s">
        <v>1027</v>
      </c>
      <c r="D1423" s="1">
        <v>40357</v>
      </c>
      <c r="E1423" s="2">
        <v>52000</v>
      </c>
      <c r="F1423" t="s">
        <v>4567</v>
      </c>
      <c r="G1423" s="17" t="str">
        <f>HYPERLINK("https://www.washoecounty.gov/assessor/cama/?command=sales&amp;parid=01944312","3895952")</f>
        <v>3895952</v>
      </c>
      <c r="H1423" t="s">
        <v>1028</v>
      </c>
      <c r="I1423">
        <v>1979</v>
      </c>
      <c r="J1423">
        <v>1979</v>
      </c>
      <c r="K1423" t="s">
        <v>3144</v>
      </c>
      <c r="L1423" t="s">
        <v>4555</v>
      </c>
      <c r="M1423" s="2">
        <v>1018</v>
      </c>
      <c r="N1423" t="s">
        <v>4048</v>
      </c>
      <c r="O1423">
        <v>2</v>
      </c>
      <c r="P1423">
        <v>2</v>
      </c>
      <c r="Q1423">
        <v>0</v>
      </c>
      <c r="R1423" t="s">
        <v>5281</v>
      </c>
      <c r="S1423" t="s">
        <v>4898</v>
      </c>
      <c r="T1423" t="s">
        <v>1101</v>
      </c>
      <c r="U1423" t="s">
        <v>4655</v>
      </c>
      <c r="V1423" s="2">
        <v>0</v>
      </c>
      <c r="W1423" t="s">
        <v>4655</v>
      </c>
      <c r="X1423" s="2">
        <v>0</v>
      </c>
      <c r="Y1423">
        <v>21</v>
      </c>
      <c r="Z1423" t="s">
        <v>2705</v>
      </c>
      <c r="AA1423" s="3">
        <v>1.00000004749745E-3</v>
      </c>
      <c r="AB1423" t="s">
        <v>11282</v>
      </c>
      <c r="AC1423" t="s">
        <v>4562</v>
      </c>
      <c r="AD1423" t="s">
        <v>11283</v>
      </c>
      <c r="AE1423" t="s">
        <v>4655</v>
      </c>
      <c r="AF1423" t="s">
        <v>4563</v>
      </c>
      <c r="AG1423" t="s">
        <v>4564</v>
      </c>
      <c r="AH1423">
        <v>89509</v>
      </c>
      <c r="AI1423" t="s">
        <v>11284</v>
      </c>
      <c r="AJ1423" t="s">
        <v>4655</v>
      </c>
      <c r="AK1423" t="s">
        <v>11285</v>
      </c>
      <c r="AL1423" s="13" t="s">
        <v>2257</v>
      </c>
      <c r="AM1423">
        <v>1</v>
      </c>
      <c r="AN1423" s="15" t="s">
        <v>2560</v>
      </c>
    </row>
    <row r="1424" spans="1:40" x14ac:dyDescent="0.3">
      <c r="A1424" s="10" t="str">
        <f>HYPERLINK("http://www.washoecounty.gov/assessor/cama/?parid=019-443-22&amp;CardNumber=1","019-443-22")</f>
        <v>019-443-22</v>
      </c>
      <c r="B1424" t="s">
        <v>4655</v>
      </c>
      <c r="C1424" t="s">
        <v>1027</v>
      </c>
      <c r="D1424" s="1">
        <v>40361</v>
      </c>
      <c r="E1424" s="2">
        <v>43100</v>
      </c>
      <c r="F1424" t="s">
        <v>4567</v>
      </c>
      <c r="G1424" s="17" t="str">
        <f>HYPERLINK("https://www.washoecounty.gov/assessor/cama/?command=sales&amp;parid=01944322","3898070")</f>
        <v>3898070</v>
      </c>
      <c r="H1424" t="s">
        <v>1028</v>
      </c>
      <c r="I1424">
        <v>1979</v>
      </c>
      <c r="J1424">
        <v>1979</v>
      </c>
      <c r="K1424" t="s">
        <v>3144</v>
      </c>
      <c r="L1424" t="s">
        <v>4555</v>
      </c>
      <c r="M1424" s="2">
        <v>849</v>
      </c>
      <c r="N1424" t="s">
        <v>4048</v>
      </c>
      <c r="O1424">
        <v>2</v>
      </c>
      <c r="P1424">
        <v>1</v>
      </c>
      <c r="Q1424">
        <v>0</v>
      </c>
      <c r="R1424" t="s">
        <v>5281</v>
      </c>
      <c r="S1424" t="s">
        <v>4898</v>
      </c>
      <c r="T1424" t="s">
        <v>1101</v>
      </c>
      <c r="U1424" t="s">
        <v>4655</v>
      </c>
      <c r="V1424" s="2">
        <v>0</v>
      </c>
      <c r="W1424" t="s">
        <v>4655</v>
      </c>
      <c r="X1424" s="2">
        <v>0</v>
      </c>
      <c r="Y1424">
        <v>21</v>
      </c>
      <c r="Z1424" t="s">
        <v>2705</v>
      </c>
      <c r="AA1424" s="3">
        <v>1.00000004749745E-3</v>
      </c>
      <c r="AB1424" t="s">
        <v>11286</v>
      </c>
      <c r="AC1424" t="s">
        <v>4562</v>
      </c>
      <c r="AD1424" t="s">
        <v>11287</v>
      </c>
      <c r="AE1424" t="s">
        <v>4655</v>
      </c>
      <c r="AF1424" t="s">
        <v>686</v>
      </c>
      <c r="AG1424" t="s">
        <v>4584</v>
      </c>
      <c r="AH1424">
        <v>94127</v>
      </c>
      <c r="AI1424" t="s">
        <v>11288</v>
      </c>
      <c r="AJ1424" t="s">
        <v>4655</v>
      </c>
      <c r="AK1424" t="s">
        <v>11289</v>
      </c>
      <c r="AL1424" s="13" t="s">
        <v>2257</v>
      </c>
      <c r="AM1424">
        <v>1</v>
      </c>
      <c r="AN1424" s="15" t="s">
        <v>2560</v>
      </c>
    </row>
    <row r="1425" spans="1:40" x14ac:dyDescent="0.3">
      <c r="A1425" s="10" t="str">
        <f>HYPERLINK("http://www.washoecounty.gov/assessor/cama/?parid=019-451-13&amp;CardNumber=1","019-451-13")</f>
        <v>019-451-13</v>
      </c>
      <c r="B1425" t="s">
        <v>4655</v>
      </c>
      <c r="C1425" t="s">
        <v>2957</v>
      </c>
      <c r="D1425" s="1">
        <v>40381</v>
      </c>
      <c r="E1425" s="2">
        <v>65000</v>
      </c>
      <c r="F1425" t="s">
        <v>4567</v>
      </c>
      <c r="G1425" s="17" t="str">
        <f>HYPERLINK("https://www.washoecounty.gov/assessor/cama/?command=sales&amp;parid=01945113","3904099")</f>
        <v>3904099</v>
      </c>
      <c r="H1425" t="s">
        <v>2958</v>
      </c>
      <c r="I1425">
        <v>1979</v>
      </c>
      <c r="J1425">
        <v>1979</v>
      </c>
      <c r="K1425" t="s">
        <v>3144</v>
      </c>
      <c r="L1425" t="s">
        <v>4555</v>
      </c>
      <c r="M1425" s="2">
        <v>677</v>
      </c>
      <c r="N1425" t="s">
        <v>4048</v>
      </c>
      <c r="O1425">
        <v>1</v>
      </c>
      <c r="P1425">
        <v>1</v>
      </c>
      <c r="Q1425">
        <v>0</v>
      </c>
      <c r="R1425" t="s">
        <v>5281</v>
      </c>
      <c r="S1425" t="s">
        <v>4898</v>
      </c>
      <c r="T1425" t="s">
        <v>1101</v>
      </c>
      <c r="U1425" t="s">
        <v>4655</v>
      </c>
      <c r="V1425" s="2">
        <v>0</v>
      </c>
      <c r="W1425" t="s">
        <v>4655</v>
      </c>
      <c r="X1425" s="2">
        <v>0</v>
      </c>
      <c r="Y1425">
        <v>21</v>
      </c>
      <c r="Z1425" t="s">
        <v>2705</v>
      </c>
      <c r="AA1425" s="3">
        <v>1.00000004749745E-3</v>
      </c>
      <c r="AB1425" t="s">
        <v>11290</v>
      </c>
      <c r="AC1425" t="s">
        <v>4562</v>
      </c>
      <c r="AD1425" t="s">
        <v>11291</v>
      </c>
      <c r="AE1425" t="s">
        <v>4655</v>
      </c>
      <c r="AF1425" t="s">
        <v>4563</v>
      </c>
      <c r="AG1425" t="s">
        <v>4564</v>
      </c>
      <c r="AH1425">
        <v>89502</v>
      </c>
      <c r="AI1425" t="s">
        <v>11275</v>
      </c>
      <c r="AJ1425" t="s">
        <v>4655</v>
      </c>
      <c r="AK1425" t="s">
        <v>11292</v>
      </c>
      <c r="AL1425" s="13" t="s">
        <v>2257</v>
      </c>
      <c r="AM1425">
        <v>1</v>
      </c>
      <c r="AN1425" s="15" t="s">
        <v>2560</v>
      </c>
    </row>
    <row r="1426" spans="1:40" x14ac:dyDescent="0.3">
      <c r="A1426" s="10" t="str">
        <f>HYPERLINK("http://www.washoecounty.gov/assessor/cama/?parid=019-451-19&amp;CardNumber=1","019-451-19")</f>
        <v>019-451-19</v>
      </c>
      <c r="B1426" t="s">
        <v>4655</v>
      </c>
      <c r="C1426" t="s">
        <v>2957</v>
      </c>
      <c r="D1426" s="1">
        <v>40254</v>
      </c>
      <c r="E1426" s="2">
        <v>49000</v>
      </c>
      <c r="F1426" t="s">
        <v>4567</v>
      </c>
      <c r="G1426" s="17" t="str">
        <f>HYPERLINK("https://www.washoecounty.gov/assessor/cama/?command=sales&amp;parid=01945119","3860595")</f>
        <v>3860595</v>
      </c>
      <c r="H1426" t="s">
        <v>2958</v>
      </c>
      <c r="I1426">
        <v>1979</v>
      </c>
      <c r="J1426">
        <v>1979</v>
      </c>
      <c r="K1426" t="s">
        <v>3144</v>
      </c>
      <c r="L1426" t="s">
        <v>4555</v>
      </c>
      <c r="M1426" s="2">
        <v>909</v>
      </c>
      <c r="N1426" t="s">
        <v>4048</v>
      </c>
      <c r="O1426">
        <v>1</v>
      </c>
      <c r="P1426">
        <v>1</v>
      </c>
      <c r="Q1426">
        <v>0</v>
      </c>
      <c r="R1426" t="s">
        <v>5281</v>
      </c>
      <c r="S1426" t="s">
        <v>4898</v>
      </c>
      <c r="T1426" t="s">
        <v>1101</v>
      </c>
      <c r="U1426" t="s">
        <v>4655</v>
      </c>
      <c r="V1426" s="2">
        <v>0</v>
      </c>
      <c r="W1426" t="s">
        <v>4655</v>
      </c>
      <c r="X1426" s="2">
        <v>0</v>
      </c>
      <c r="Y1426">
        <v>21</v>
      </c>
      <c r="Z1426" t="s">
        <v>2705</v>
      </c>
      <c r="AA1426" s="3">
        <v>1.00000004749745E-3</v>
      </c>
      <c r="AB1426" t="s">
        <v>11293</v>
      </c>
      <c r="AC1426" t="s">
        <v>4562</v>
      </c>
      <c r="AD1426" t="s">
        <v>11294</v>
      </c>
      <c r="AE1426" t="s">
        <v>4655</v>
      </c>
      <c r="AF1426" t="s">
        <v>4563</v>
      </c>
      <c r="AG1426" t="s">
        <v>4564</v>
      </c>
      <c r="AH1426">
        <v>89509</v>
      </c>
      <c r="AI1426" t="s">
        <v>11295</v>
      </c>
      <c r="AJ1426" t="s">
        <v>4655</v>
      </c>
      <c r="AK1426" t="s">
        <v>11296</v>
      </c>
      <c r="AL1426" s="13" t="s">
        <v>2257</v>
      </c>
      <c r="AM1426" s="14">
        <v>1</v>
      </c>
      <c r="AN1426" s="15" t="s">
        <v>2560</v>
      </c>
    </row>
    <row r="1427" spans="1:40" x14ac:dyDescent="0.3">
      <c r="A1427" s="10" t="str">
        <f>HYPERLINK("http://www.washoecounty.gov/assessor/cama/?parid=019-451-20&amp;CardNumber=1","019-451-20")</f>
        <v>019-451-20</v>
      </c>
      <c r="B1427" t="s">
        <v>4655</v>
      </c>
      <c r="C1427" t="s">
        <v>2957</v>
      </c>
      <c r="D1427" s="1">
        <v>40511</v>
      </c>
      <c r="E1427" s="2">
        <v>34000</v>
      </c>
      <c r="F1427" t="s">
        <v>4567</v>
      </c>
      <c r="G1427" s="17" t="str">
        <f>HYPERLINK("https://www.washoecounty.gov/assessor/cama/?command=sales&amp;parid=01945120","3947307")</f>
        <v>3947307</v>
      </c>
      <c r="H1427" t="s">
        <v>2958</v>
      </c>
      <c r="I1427">
        <v>1979</v>
      </c>
      <c r="J1427">
        <v>1979</v>
      </c>
      <c r="K1427" t="s">
        <v>3144</v>
      </c>
      <c r="L1427" t="s">
        <v>4555</v>
      </c>
      <c r="M1427" s="2">
        <v>677</v>
      </c>
      <c r="N1427" t="s">
        <v>4048</v>
      </c>
      <c r="O1427">
        <v>1</v>
      </c>
      <c r="P1427">
        <v>1</v>
      </c>
      <c r="Q1427">
        <v>0</v>
      </c>
      <c r="R1427" t="s">
        <v>5281</v>
      </c>
      <c r="S1427" t="s">
        <v>4898</v>
      </c>
      <c r="T1427" t="s">
        <v>1101</v>
      </c>
      <c r="U1427" t="s">
        <v>4655</v>
      </c>
      <c r="V1427" s="2">
        <v>0</v>
      </c>
      <c r="W1427" t="s">
        <v>4655</v>
      </c>
      <c r="X1427" s="2">
        <v>0</v>
      </c>
      <c r="Y1427">
        <v>21</v>
      </c>
      <c r="Z1427" t="s">
        <v>2705</v>
      </c>
      <c r="AA1427" s="3">
        <v>1.00000004749745E-3</v>
      </c>
      <c r="AB1427" t="s">
        <v>11297</v>
      </c>
      <c r="AC1427" t="s">
        <v>4562</v>
      </c>
      <c r="AD1427" t="s">
        <v>11298</v>
      </c>
      <c r="AE1427" t="s">
        <v>4655</v>
      </c>
      <c r="AF1427" t="s">
        <v>4563</v>
      </c>
      <c r="AG1427" t="s">
        <v>4564</v>
      </c>
      <c r="AH1427">
        <v>89509</v>
      </c>
      <c r="AI1427" t="s">
        <v>11299</v>
      </c>
      <c r="AJ1427" t="s">
        <v>4655</v>
      </c>
      <c r="AK1427" t="s">
        <v>11300</v>
      </c>
      <c r="AL1427" s="13" t="s">
        <v>2257</v>
      </c>
      <c r="AM1427">
        <v>1</v>
      </c>
      <c r="AN1427" s="15" t="s">
        <v>2560</v>
      </c>
    </row>
    <row r="1428" spans="1:40" x14ac:dyDescent="0.3">
      <c r="A1428" s="10" t="str">
        <f>HYPERLINK("http://www.washoecounty.gov/assessor/cama/?parid=019-452-30&amp;CardNumber=1","019-452-30")</f>
        <v>019-452-30</v>
      </c>
      <c r="B1428" t="s">
        <v>4655</v>
      </c>
      <c r="C1428" t="s">
        <v>2957</v>
      </c>
      <c r="D1428" s="1">
        <v>40483</v>
      </c>
      <c r="E1428" s="2">
        <v>23500</v>
      </c>
      <c r="F1428" t="s">
        <v>4553</v>
      </c>
      <c r="G1428" s="17" t="str">
        <f>HYPERLINK("https://www.washoecounty.gov/assessor/cama/?command=sales&amp;parid=01945230","3938228")</f>
        <v>3938228</v>
      </c>
      <c r="H1428" t="s">
        <v>2958</v>
      </c>
      <c r="I1428">
        <v>1979</v>
      </c>
      <c r="J1428">
        <v>1979</v>
      </c>
      <c r="K1428" t="s">
        <v>3144</v>
      </c>
      <c r="L1428" t="s">
        <v>4555</v>
      </c>
      <c r="M1428" s="2">
        <v>833</v>
      </c>
      <c r="N1428" t="s">
        <v>4048</v>
      </c>
      <c r="O1428">
        <v>2</v>
      </c>
      <c r="P1428">
        <v>1</v>
      </c>
      <c r="Q1428">
        <v>0</v>
      </c>
      <c r="R1428" t="s">
        <v>5281</v>
      </c>
      <c r="S1428" t="s">
        <v>4898</v>
      </c>
      <c r="T1428" t="s">
        <v>1101</v>
      </c>
      <c r="U1428" t="s">
        <v>4655</v>
      </c>
      <c r="V1428" s="2">
        <v>0</v>
      </c>
      <c r="W1428" t="s">
        <v>4655</v>
      </c>
      <c r="X1428" s="2">
        <v>0</v>
      </c>
      <c r="Y1428">
        <v>21</v>
      </c>
      <c r="Z1428" t="s">
        <v>2705</v>
      </c>
      <c r="AA1428" s="3">
        <v>1.00000004749745E-3</v>
      </c>
      <c r="AB1428" t="s">
        <v>11301</v>
      </c>
      <c r="AC1428" t="s">
        <v>4575</v>
      </c>
      <c r="AD1428" t="s">
        <v>3859</v>
      </c>
      <c r="AE1428" t="s">
        <v>4655</v>
      </c>
      <c r="AF1428" t="s">
        <v>5201</v>
      </c>
      <c r="AG1428" t="s">
        <v>4564</v>
      </c>
      <c r="AH1428" t="s">
        <v>1605</v>
      </c>
      <c r="AI1428" t="s">
        <v>4903</v>
      </c>
      <c r="AJ1428" t="s">
        <v>4655</v>
      </c>
      <c r="AK1428" t="s">
        <v>11302</v>
      </c>
      <c r="AL1428" s="13" t="s">
        <v>2257</v>
      </c>
      <c r="AM1428">
        <v>1</v>
      </c>
      <c r="AN1428" s="15" t="s">
        <v>2560</v>
      </c>
    </row>
    <row r="1429" spans="1:40" x14ac:dyDescent="0.3">
      <c r="A1429" s="10" t="str">
        <f>HYPERLINK("http://www.washoecounty.gov/assessor/cama/?parid=019-452-36&amp;CardNumber=1","019-452-36")</f>
        <v>019-452-36</v>
      </c>
      <c r="B1429" t="s">
        <v>4655</v>
      </c>
      <c r="C1429" t="s">
        <v>2957</v>
      </c>
      <c r="D1429" s="1">
        <v>40466</v>
      </c>
      <c r="E1429" s="2">
        <v>45000</v>
      </c>
      <c r="F1429" t="s">
        <v>4567</v>
      </c>
      <c r="G1429" s="17" t="str">
        <f>HYPERLINK("https://www.washoecounty.gov/assessor/cama/?command=sales&amp;parid=01945236","3933736")</f>
        <v>3933736</v>
      </c>
      <c r="H1429" t="s">
        <v>2958</v>
      </c>
      <c r="I1429">
        <v>1979</v>
      </c>
      <c r="J1429">
        <v>1979</v>
      </c>
      <c r="K1429" t="s">
        <v>4897</v>
      </c>
      <c r="L1429" t="s">
        <v>4555</v>
      </c>
      <c r="M1429" s="2">
        <v>1077</v>
      </c>
      <c r="N1429" t="s">
        <v>4048</v>
      </c>
      <c r="O1429">
        <v>2</v>
      </c>
      <c r="P1429">
        <v>2</v>
      </c>
      <c r="Q1429">
        <v>0</v>
      </c>
      <c r="R1429" t="s">
        <v>5281</v>
      </c>
      <c r="S1429" t="s">
        <v>4898</v>
      </c>
      <c r="T1429" t="s">
        <v>1101</v>
      </c>
      <c r="U1429" t="s">
        <v>4655</v>
      </c>
      <c r="V1429" s="2">
        <v>0</v>
      </c>
      <c r="W1429" t="s">
        <v>4655</v>
      </c>
      <c r="X1429" s="2">
        <v>0</v>
      </c>
      <c r="Y1429">
        <v>21</v>
      </c>
      <c r="Z1429" t="s">
        <v>2705</v>
      </c>
      <c r="AA1429" s="3">
        <v>1.00000004749745E-3</v>
      </c>
      <c r="AB1429" t="s">
        <v>11303</v>
      </c>
      <c r="AC1429" t="s">
        <v>4562</v>
      </c>
      <c r="AD1429" t="s">
        <v>11304</v>
      </c>
      <c r="AE1429" t="s">
        <v>4655</v>
      </c>
      <c r="AF1429" t="s">
        <v>4563</v>
      </c>
      <c r="AG1429" t="s">
        <v>4564</v>
      </c>
      <c r="AH1429">
        <v>89509</v>
      </c>
      <c r="AI1429" t="s">
        <v>11305</v>
      </c>
      <c r="AJ1429" t="s">
        <v>4655</v>
      </c>
      <c r="AK1429" t="s">
        <v>11306</v>
      </c>
      <c r="AL1429" s="13" t="s">
        <v>2257</v>
      </c>
      <c r="AM1429" s="14">
        <v>1</v>
      </c>
      <c r="AN1429" s="15" t="s">
        <v>2560</v>
      </c>
    </row>
    <row r="1430" spans="1:40" x14ac:dyDescent="0.3">
      <c r="A1430" s="10" t="str">
        <f>HYPERLINK("http://www.washoecounty.gov/assessor/cama/?parid=019-453-09&amp;CardNumber=1","019-453-09")</f>
        <v>019-453-09</v>
      </c>
      <c r="B1430" t="s">
        <v>4655</v>
      </c>
      <c r="C1430" t="s">
        <v>2957</v>
      </c>
      <c r="D1430" s="1">
        <v>40499</v>
      </c>
      <c r="E1430" s="2">
        <v>38000</v>
      </c>
      <c r="F1430" t="s">
        <v>4553</v>
      </c>
      <c r="G1430" s="17" t="str">
        <f>HYPERLINK("https://www.washoecounty.gov/assessor/cama/?command=sales&amp;parid=01945309","3943917")</f>
        <v>3943917</v>
      </c>
      <c r="H1430" t="s">
        <v>2958</v>
      </c>
      <c r="I1430">
        <v>1979</v>
      </c>
      <c r="J1430">
        <v>1979</v>
      </c>
      <c r="K1430" t="s">
        <v>3144</v>
      </c>
      <c r="L1430" t="s">
        <v>4555</v>
      </c>
      <c r="M1430" s="2">
        <v>788</v>
      </c>
      <c r="N1430" t="s">
        <v>4048</v>
      </c>
      <c r="O1430">
        <v>1</v>
      </c>
      <c r="P1430">
        <v>1</v>
      </c>
      <c r="Q1430">
        <v>0</v>
      </c>
      <c r="R1430" t="s">
        <v>5281</v>
      </c>
      <c r="S1430" t="s">
        <v>4898</v>
      </c>
      <c r="T1430" t="s">
        <v>1101</v>
      </c>
      <c r="U1430" t="s">
        <v>4655</v>
      </c>
      <c r="V1430" s="2">
        <v>0</v>
      </c>
      <c r="W1430" t="s">
        <v>4655</v>
      </c>
      <c r="X1430" s="2">
        <v>0</v>
      </c>
      <c r="Y1430">
        <v>21</v>
      </c>
      <c r="Z1430" t="s">
        <v>2705</v>
      </c>
      <c r="AA1430" s="3">
        <v>1.00000004749745E-3</v>
      </c>
      <c r="AB1430" t="s">
        <v>11307</v>
      </c>
      <c r="AC1430" t="s">
        <v>4562</v>
      </c>
      <c r="AD1430" t="s">
        <v>11308</v>
      </c>
      <c r="AE1430" t="s">
        <v>4655</v>
      </c>
      <c r="AF1430" t="s">
        <v>4563</v>
      </c>
      <c r="AG1430" t="s">
        <v>4564</v>
      </c>
      <c r="AH1430">
        <v>89509</v>
      </c>
      <c r="AI1430" t="s">
        <v>4903</v>
      </c>
      <c r="AJ1430" t="s">
        <v>4655</v>
      </c>
      <c r="AK1430" t="s">
        <v>11309</v>
      </c>
      <c r="AL1430" s="13" t="s">
        <v>2257</v>
      </c>
      <c r="AM1430">
        <v>1</v>
      </c>
      <c r="AN1430" s="15" t="s">
        <v>2560</v>
      </c>
    </row>
    <row r="1431" spans="1:40" x14ac:dyDescent="0.3">
      <c r="A1431" s="10" t="str">
        <f>HYPERLINK("http://www.washoecounty.gov/assessor/cama/?parid=019-453-10&amp;CardNumber=1","019-453-10")</f>
        <v>019-453-10</v>
      </c>
      <c r="B1431" t="s">
        <v>4655</v>
      </c>
      <c r="C1431" t="s">
        <v>2957</v>
      </c>
      <c r="D1431" s="1">
        <v>40414</v>
      </c>
      <c r="E1431" s="2">
        <v>30000</v>
      </c>
      <c r="F1431" t="s">
        <v>4553</v>
      </c>
      <c r="G1431" s="17" t="str">
        <f>HYPERLINK("https://www.washoecounty.gov/assessor/cama/?command=sales&amp;parid=01945310","3914928")</f>
        <v>3914928</v>
      </c>
      <c r="H1431" t="s">
        <v>2958</v>
      </c>
      <c r="I1431">
        <v>1979</v>
      </c>
      <c r="J1431">
        <v>1979</v>
      </c>
      <c r="K1431" t="s">
        <v>3144</v>
      </c>
      <c r="L1431" t="s">
        <v>4555</v>
      </c>
      <c r="M1431" s="2">
        <v>957</v>
      </c>
      <c r="N1431" t="s">
        <v>4048</v>
      </c>
      <c r="O1431">
        <v>2</v>
      </c>
      <c r="P1431">
        <v>2</v>
      </c>
      <c r="Q1431">
        <v>0</v>
      </c>
      <c r="R1431" t="s">
        <v>5281</v>
      </c>
      <c r="S1431" t="s">
        <v>4898</v>
      </c>
      <c r="T1431" t="s">
        <v>1101</v>
      </c>
      <c r="U1431" t="s">
        <v>4655</v>
      </c>
      <c r="V1431" s="2">
        <v>0</v>
      </c>
      <c r="W1431" t="s">
        <v>4655</v>
      </c>
      <c r="X1431" s="2">
        <v>0</v>
      </c>
      <c r="Y1431">
        <v>21</v>
      </c>
      <c r="Z1431" t="s">
        <v>2705</v>
      </c>
      <c r="AA1431" s="3">
        <v>1.00000004749745E-3</v>
      </c>
      <c r="AB1431" t="s">
        <v>5359</v>
      </c>
      <c r="AC1431" t="s">
        <v>4562</v>
      </c>
      <c r="AD1431" t="s">
        <v>5059</v>
      </c>
      <c r="AE1431" t="s">
        <v>4655</v>
      </c>
      <c r="AF1431" t="s">
        <v>4752</v>
      </c>
      <c r="AG1431" t="s">
        <v>4564</v>
      </c>
      <c r="AH1431" t="s">
        <v>1147</v>
      </c>
      <c r="AI1431" t="s">
        <v>4903</v>
      </c>
      <c r="AJ1431" t="s">
        <v>4655</v>
      </c>
      <c r="AK1431" t="s">
        <v>11310</v>
      </c>
      <c r="AL1431" s="13" t="s">
        <v>2257</v>
      </c>
      <c r="AM1431">
        <v>1</v>
      </c>
      <c r="AN1431" s="15" t="s">
        <v>2560</v>
      </c>
    </row>
    <row r="1432" spans="1:40" x14ac:dyDescent="0.3">
      <c r="A1432" s="10" t="str">
        <f>HYPERLINK("http://www.washoecounty.gov/assessor/cama/?parid=019-460-03&amp;CardNumber=1","019-460-03")</f>
        <v>019-460-03</v>
      </c>
      <c r="B1432" t="s">
        <v>4655</v>
      </c>
      <c r="C1432" t="s">
        <v>11311</v>
      </c>
      <c r="D1432" s="1">
        <v>40471</v>
      </c>
      <c r="E1432" s="2">
        <v>136000</v>
      </c>
      <c r="F1432" t="s">
        <v>4567</v>
      </c>
      <c r="G1432" s="17" t="str">
        <f>HYPERLINK("https://www.washoecounty.gov/assessor/cama/?command=sales&amp;parid=01946003","3934902")</f>
        <v>3934902</v>
      </c>
      <c r="H1432" t="s">
        <v>4378</v>
      </c>
      <c r="I1432">
        <v>1978</v>
      </c>
      <c r="J1432">
        <v>1978</v>
      </c>
      <c r="K1432" t="s">
        <v>3144</v>
      </c>
      <c r="L1432" t="s">
        <v>3974</v>
      </c>
      <c r="M1432" s="2">
        <v>1261</v>
      </c>
      <c r="N1432" t="s">
        <v>4048</v>
      </c>
      <c r="O1432">
        <v>2</v>
      </c>
      <c r="P1432">
        <v>1</v>
      </c>
      <c r="Q1432">
        <v>1</v>
      </c>
      <c r="R1432" t="s">
        <v>5281</v>
      </c>
      <c r="S1432" t="s">
        <v>4570</v>
      </c>
      <c r="T1432" t="s">
        <v>4559</v>
      </c>
      <c r="U1432" t="s">
        <v>4655</v>
      </c>
      <c r="V1432" s="2">
        <v>0</v>
      </c>
      <c r="W1432" t="s">
        <v>4655</v>
      </c>
      <c r="X1432" s="2">
        <v>0</v>
      </c>
      <c r="Y1432">
        <v>25</v>
      </c>
      <c r="Z1432" t="s">
        <v>2705</v>
      </c>
      <c r="AA1432" s="3">
        <v>0.10000000149011599</v>
      </c>
      <c r="AB1432" t="s">
        <v>11312</v>
      </c>
      <c r="AC1432" t="s">
        <v>4562</v>
      </c>
      <c r="AD1432" t="s">
        <v>11313</v>
      </c>
      <c r="AE1432" t="s">
        <v>4655</v>
      </c>
      <c r="AF1432" t="s">
        <v>4563</v>
      </c>
      <c r="AG1432" t="s">
        <v>4564</v>
      </c>
      <c r="AH1432">
        <v>89509</v>
      </c>
      <c r="AI1432" t="s">
        <v>4379</v>
      </c>
      <c r="AJ1432" t="s">
        <v>4655</v>
      </c>
      <c r="AK1432" t="s">
        <v>11314</v>
      </c>
      <c r="AL1432" s="13" t="s">
        <v>2257</v>
      </c>
      <c r="AM1432">
        <v>1</v>
      </c>
      <c r="AN1432" s="15" t="s">
        <v>4380</v>
      </c>
    </row>
    <row r="1433" spans="1:40" x14ac:dyDescent="0.3">
      <c r="A1433" s="10" t="str">
        <f>HYPERLINK("http://www.washoecounty.gov/assessor/cama/?parid=019-460-10&amp;CardNumber=1","019-460-10")</f>
        <v>019-460-10</v>
      </c>
      <c r="B1433" t="s">
        <v>4655</v>
      </c>
      <c r="C1433" t="s">
        <v>11315</v>
      </c>
      <c r="D1433" s="1">
        <v>40365</v>
      </c>
      <c r="E1433" s="2">
        <v>138000</v>
      </c>
      <c r="F1433" t="s">
        <v>4567</v>
      </c>
      <c r="G1433" s="17" t="str">
        <f>HYPERLINK("https://www.washoecounty.gov/assessor/cama/?command=sales&amp;parid=01946010","3898356")</f>
        <v>3898356</v>
      </c>
      <c r="H1433" t="s">
        <v>4378</v>
      </c>
      <c r="I1433">
        <v>1978</v>
      </c>
      <c r="J1433">
        <v>1978</v>
      </c>
      <c r="K1433" t="s">
        <v>3144</v>
      </c>
      <c r="L1433" t="s">
        <v>3974</v>
      </c>
      <c r="M1433" s="2">
        <v>1261</v>
      </c>
      <c r="N1433" t="s">
        <v>4048</v>
      </c>
      <c r="O1433">
        <v>2</v>
      </c>
      <c r="P1433">
        <v>1</v>
      </c>
      <c r="Q1433">
        <v>1</v>
      </c>
      <c r="R1433" t="s">
        <v>5281</v>
      </c>
      <c r="S1433" t="s">
        <v>4570</v>
      </c>
      <c r="T1433" t="s">
        <v>4559</v>
      </c>
      <c r="U1433" t="s">
        <v>4655</v>
      </c>
      <c r="V1433" s="2">
        <v>0</v>
      </c>
      <c r="W1433" t="s">
        <v>4655</v>
      </c>
      <c r="X1433" s="2">
        <v>0</v>
      </c>
      <c r="Y1433">
        <v>25</v>
      </c>
      <c r="Z1433" t="s">
        <v>2705</v>
      </c>
      <c r="AA1433" s="3">
        <v>0.10000000149011599</v>
      </c>
      <c r="AB1433" t="s">
        <v>11316</v>
      </c>
      <c r="AC1433" t="s">
        <v>4575</v>
      </c>
      <c r="AD1433" t="s">
        <v>11315</v>
      </c>
      <c r="AE1433" t="s">
        <v>4655</v>
      </c>
      <c r="AF1433" t="s">
        <v>4563</v>
      </c>
      <c r="AG1433" t="s">
        <v>4564</v>
      </c>
      <c r="AH1433">
        <v>89509</v>
      </c>
      <c r="AI1433" t="s">
        <v>11317</v>
      </c>
      <c r="AJ1433" t="s">
        <v>4655</v>
      </c>
      <c r="AK1433" t="s">
        <v>11318</v>
      </c>
      <c r="AL1433" s="13" t="s">
        <v>2257</v>
      </c>
      <c r="AM1433" s="14">
        <v>1</v>
      </c>
      <c r="AN1433" s="15" t="s">
        <v>4380</v>
      </c>
    </row>
    <row r="1434" spans="1:40" x14ac:dyDescent="0.3">
      <c r="A1434" s="10" t="str">
        <f>HYPERLINK("http://www.washoecounty.gov/assessor/cama/?parid=019-460-16&amp;CardNumber=1","019-460-16")</f>
        <v>019-460-16</v>
      </c>
      <c r="B1434" t="s">
        <v>4655</v>
      </c>
      <c r="C1434" t="s">
        <v>11319</v>
      </c>
      <c r="D1434" s="1">
        <v>40298</v>
      </c>
      <c r="E1434" s="2">
        <v>135000</v>
      </c>
      <c r="F1434" t="s">
        <v>4567</v>
      </c>
      <c r="G1434" s="17" t="str">
        <f>HYPERLINK("https://www.washoecounty.gov/assessor/cama/?command=sales&amp;parid=01946016","3876782")</f>
        <v>3876782</v>
      </c>
      <c r="H1434" t="s">
        <v>4378</v>
      </c>
      <c r="I1434">
        <v>1978</v>
      </c>
      <c r="J1434">
        <v>1978</v>
      </c>
      <c r="K1434" t="s">
        <v>4897</v>
      </c>
      <c r="L1434" t="s">
        <v>3974</v>
      </c>
      <c r="M1434" s="2">
        <v>1280</v>
      </c>
      <c r="N1434" t="s">
        <v>4048</v>
      </c>
      <c r="O1434">
        <v>2</v>
      </c>
      <c r="P1434">
        <v>1</v>
      </c>
      <c r="Q1434">
        <v>1</v>
      </c>
      <c r="R1434" t="s">
        <v>5281</v>
      </c>
      <c r="S1434" t="s">
        <v>4570</v>
      </c>
      <c r="T1434" t="s">
        <v>4559</v>
      </c>
      <c r="U1434" t="s">
        <v>4655</v>
      </c>
      <c r="V1434" s="2">
        <v>0</v>
      </c>
      <c r="W1434" t="s">
        <v>4655</v>
      </c>
      <c r="X1434" s="2">
        <v>0</v>
      </c>
      <c r="Y1434">
        <v>25</v>
      </c>
      <c r="Z1434" t="s">
        <v>2705</v>
      </c>
      <c r="AA1434" s="3">
        <v>0.10000000149011599</v>
      </c>
      <c r="AB1434" t="s">
        <v>11320</v>
      </c>
      <c r="AC1434" t="s">
        <v>4562</v>
      </c>
      <c r="AD1434" t="s">
        <v>11321</v>
      </c>
      <c r="AE1434" t="s">
        <v>4655</v>
      </c>
      <c r="AF1434" t="s">
        <v>4563</v>
      </c>
      <c r="AG1434" t="s">
        <v>4564</v>
      </c>
      <c r="AH1434">
        <v>89509</v>
      </c>
      <c r="AI1434" t="s">
        <v>4379</v>
      </c>
      <c r="AJ1434" t="s">
        <v>4655</v>
      </c>
      <c r="AK1434" t="s">
        <v>11322</v>
      </c>
      <c r="AL1434" s="13" t="s">
        <v>2257</v>
      </c>
      <c r="AM1434">
        <v>1</v>
      </c>
      <c r="AN1434" s="15" t="s">
        <v>4380</v>
      </c>
    </row>
    <row r="1435" spans="1:40" x14ac:dyDescent="0.3">
      <c r="A1435" s="10" t="str">
        <f>HYPERLINK("http://www.washoecounty.gov/assessor/cama/?parid=019-460-37&amp;CardNumber=1","019-460-37")</f>
        <v>019-460-37</v>
      </c>
      <c r="B1435" t="s">
        <v>4655</v>
      </c>
      <c r="C1435" t="s">
        <v>11323</v>
      </c>
      <c r="D1435" s="1">
        <v>40312</v>
      </c>
      <c r="E1435" s="2">
        <v>138000</v>
      </c>
      <c r="F1435" t="s">
        <v>3584</v>
      </c>
      <c r="G1435" s="17" t="str">
        <f>HYPERLINK("https://www.washoecounty.gov/assessor/cama/?command=sales&amp;parid=01946037","3881728")</f>
        <v>3881728</v>
      </c>
      <c r="H1435" t="s">
        <v>4378</v>
      </c>
      <c r="I1435">
        <v>1978</v>
      </c>
      <c r="J1435">
        <v>1978</v>
      </c>
      <c r="K1435" t="s">
        <v>3144</v>
      </c>
      <c r="L1435" t="s">
        <v>3974</v>
      </c>
      <c r="M1435" s="2">
        <v>1261</v>
      </c>
      <c r="N1435" t="s">
        <v>4048</v>
      </c>
      <c r="O1435">
        <v>2</v>
      </c>
      <c r="P1435">
        <v>1</v>
      </c>
      <c r="Q1435">
        <v>1</v>
      </c>
      <c r="R1435" t="s">
        <v>5281</v>
      </c>
      <c r="S1435" t="s">
        <v>4570</v>
      </c>
      <c r="T1435" t="s">
        <v>4559</v>
      </c>
      <c r="U1435" t="s">
        <v>4655</v>
      </c>
      <c r="V1435" s="2">
        <v>0</v>
      </c>
      <c r="W1435" t="s">
        <v>4655</v>
      </c>
      <c r="X1435" s="2">
        <v>0</v>
      </c>
      <c r="Y1435">
        <v>25</v>
      </c>
      <c r="Z1435" t="s">
        <v>2705</v>
      </c>
      <c r="AA1435" s="3">
        <v>0.10000000149011599</v>
      </c>
      <c r="AB1435" t="s">
        <v>11324</v>
      </c>
      <c r="AC1435" t="s">
        <v>4562</v>
      </c>
      <c r="AD1435" t="s">
        <v>11325</v>
      </c>
      <c r="AE1435" t="s">
        <v>4655</v>
      </c>
      <c r="AF1435" t="s">
        <v>4563</v>
      </c>
      <c r="AG1435" t="s">
        <v>4564</v>
      </c>
      <c r="AH1435">
        <v>89509</v>
      </c>
      <c r="AI1435" t="s">
        <v>4379</v>
      </c>
      <c r="AJ1435" t="s">
        <v>4655</v>
      </c>
      <c r="AK1435" t="s">
        <v>11326</v>
      </c>
      <c r="AL1435" s="13" t="s">
        <v>2257</v>
      </c>
      <c r="AM1435">
        <v>1</v>
      </c>
      <c r="AN1435" s="15" t="s">
        <v>4380</v>
      </c>
    </row>
    <row r="1436" spans="1:40" x14ac:dyDescent="0.3">
      <c r="A1436" s="10" t="str">
        <f>HYPERLINK("http://www.washoecounty.gov/assessor/cama/?parid=019-460-38&amp;CardNumber=1","019-460-38")</f>
        <v>019-460-38</v>
      </c>
      <c r="B1436" t="s">
        <v>4655</v>
      </c>
      <c r="C1436" t="s">
        <v>11327</v>
      </c>
      <c r="D1436" s="1">
        <v>40371</v>
      </c>
      <c r="E1436" s="2">
        <v>138000</v>
      </c>
      <c r="F1436" t="s">
        <v>4567</v>
      </c>
      <c r="G1436" s="17" t="str">
        <f>HYPERLINK("https://www.washoecounty.gov/assessor/cama/?command=sales&amp;parid=01946038","3900323")</f>
        <v>3900323</v>
      </c>
      <c r="H1436" t="s">
        <v>4378</v>
      </c>
      <c r="I1436">
        <v>1978</v>
      </c>
      <c r="J1436">
        <v>1978</v>
      </c>
      <c r="K1436" t="s">
        <v>4897</v>
      </c>
      <c r="L1436" t="s">
        <v>3974</v>
      </c>
      <c r="M1436" s="2">
        <v>1280</v>
      </c>
      <c r="N1436" t="s">
        <v>4048</v>
      </c>
      <c r="O1436">
        <v>2</v>
      </c>
      <c r="P1436">
        <v>1</v>
      </c>
      <c r="Q1436">
        <v>1</v>
      </c>
      <c r="R1436" t="s">
        <v>5281</v>
      </c>
      <c r="S1436" t="s">
        <v>4570</v>
      </c>
      <c r="T1436" t="s">
        <v>4559</v>
      </c>
      <c r="U1436" t="s">
        <v>4655</v>
      </c>
      <c r="V1436" s="2">
        <v>0</v>
      </c>
      <c r="W1436" t="s">
        <v>4655</v>
      </c>
      <c r="X1436" s="2">
        <v>0</v>
      </c>
      <c r="Y1436">
        <v>25</v>
      </c>
      <c r="Z1436" t="s">
        <v>2705</v>
      </c>
      <c r="AA1436" s="3">
        <v>0.10000000149011599</v>
      </c>
      <c r="AB1436" t="s">
        <v>11328</v>
      </c>
      <c r="AC1436" t="s">
        <v>4562</v>
      </c>
      <c r="AD1436" t="s">
        <v>11329</v>
      </c>
      <c r="AE1436" t="s">
        <v>4655</v>
      </c>
      <c r="AF1436" t="s">
        <v>2612</v>
      </c>
      <c r="AG1436" t="s">
        <v>4584</v>
      </c>
      <c r="AH1436">
        <v>90808</v>
      </c>
      <c r="AI1436" t="s">
        <v>4379</v>
      </c>
      <c r="AJ1436" t="s">
        <v>4655</v>
      </c>
      <c r="AK1436" t="s">
        <v>11330</v>
      </c>
      <c r="AL1436" s="13" t="s">
        <v>2257</v>
      </c>
      <c r="AM1436" s="14">
        <v>1</v>
      </c>
      <c r="AN1436" s="15" t="s">
        <v>4380</v>
      </c>
    </row>
    <row r="1437" spans="1:40" x14ac:dyDescent="0.3">
      <c r="A1437" s="10" t="str">
        <f>HYPERLINK("http://www.washoecounty.gov/assessor/cama/?parid=019-460-41&amp;CardNumber=1","019-460-41")</f>
        <v>019-460-41</v>
      </c>
      <c r="B1437" t="s">
        <v>4655</v>
      </c>
      <c r="C1437" t="s">
        <v>11331</v>
      </c>
      <c r="D1437" s="1">
        <v>40312</v>
      </c>
      <c r="E1437" s="2">
        <v>138000</v>
      </c>
      <c r="F1437" t="s">
        <v>3584</v>
      </c>
      <c r="G1437" s="17" t="str">
        <f>HYPERLINK("https://www.washoecounty.gov/assessor/cama/?command=sales&amp;parid=01946041","3881728")</f>
        <v>3881728</v>
      </c>
      <c r="H1437" t="s">
        <v>4378</v>
      </c>
      <c r="I1437">
        <v>0</v>
      </c>
      <c r="J1437">
        <v>0</v>
      </c>
      <c r="K1437" t="s">
        <v>4655</v>
      </c>
      <c r="L1437" t="s">
        <v>4655</v>
      </c>
      <c r="M1437" s="2">
        <v>0</v>
      </c>
      <c r="N1437" t="s">
        <v>4655</v>
      </c>
      <c r="O1437">
        <v>0</v>
      </c>
      <c r="P1437">
        <v>0</v>
      </c>
      <c r="Q1437">
        <v>0</v>
      </c>
      <c r="R1437" t="s">
        <v>4655</v>
      </c>
      <c r="S1437" t="s">
        <v>4655</v>
      </c>
      <c r="T1437" t="s">
        <v>4655</v>
      </c>
      <c r="U1437" t="s">
        <v>4655</v>
      </c>
      <c r="V1437" s="2">
        <v>0</v>
      </c>
      <c r="W1437" t="s">
        <v>4655</v>
      </c>
      <c r="X1437" s="2">
        <v>0</v>
      </c>
      <c r="Y1437">
        <v>18</v>
      </c>
      <c r="Z1437" t="s">
        <v>2705</v>
      </c>
      <c r="AA1437" s="3">
        <v>5.1652891561389004E-3</v>
      </c>
      <c r="AB1437" t="s">
        <v>11324</v>
      </c>
      <c r="AC1437" t="s">
        <v>4562</v>
      </c>
      <c r="AD1437" t="s">
        <v>11325</v>
      </c>
      <c r="AE1437" t="s">
        <v>4655</v>
      </c>
      <c r="AF1437" t="s">
        <v>4563</v>
      </c>
      <c r="AG1437" t="s">
        <v>4564</v>
      </c>
      <c r="AH1437">
        <v>89509</v>
      </c>
      <c r="AI1437" t="s">
        <v>4379</v>
      </c>
      <c r="AJ1437" t="s">
        <v>11332</v>
      </c>
      <c r="AK1437" t="s">
        <v>11333</v>
      </c>
      <c r="AL1437" s="13" t="s">
        <v>2255</v>
      </c>
      <c r="AM1437" s="14">
        <v>0</v>
      </c>
      <c r="AN1437" s="15" t="s">
        <v>4380</v>
      </c>
    </row>
    <row r="1438" spans="1:40" x14ac:dyDescent="0.3">
      <c r="A1438" s="10" t="str">
        <f>HYPERLINK("http://www.washoecounty.gov/assessor/cama/?parid=019-471-06&amp;CardNumber=1","019-471-06")</f>
        <v>019-471-06</v>
      </c>
      <c r="B1438" t="s">
        <v>4655</v>
      </c>
      <c r="C1438" t="s">
        <v>4319</v>
      </c>
      <c r="D1438" s="1">
        <v>40424</v>
      </c>
      <c r="E1438" s="2">
        <v>40000</v>
      </c>
      <c r="F1438" t="s">
        <v>4553</v>
      </c>
      <c r="G1438" s="17" t="str">
        <f>HYPERLINK("https://www.washoecounty.gov/assessor/cama/?command=sales&amp;parid=01947106","3918720")</f>
        <v>3918720</v>
      </c>
      <c r="H1438" t="s">
        <v>4320</v>
      </c>
      <c r="I1438">
        <v>1978</v>
      </c>
      <c r="J1438">
        <v>1978</v>
      </c>
      <c r="K1438" t="s">
        <v>3144</v>
      </c>
      <c r="L1438" t="s">
        <v>4555</v>
      </c>
      <c r="M1438" s="2">
        <v>775</v>
      </c>
      <c r="N1438" t="s">
        <v>4048</v>
      </c>
      <c r="O1438">
        <v>2</v>
      </c>
      <c r="P1438">
        <v>1</v>
      </c>
      <c r="Q1438">
        <v>0</v>
      </c>
      <c r="R1438" t="s">
        <v>4676</v>
      </c>
      <c r="S1438" t="s">
        <v>4898</v>
      </c>
      <c r="T1438" t="s">
        <v>2704</v>
      </c>
      <c r="U1438" t="s">
        <v>4655</v>
      </c>
      <c r="V1438" s="2">
        <v>0</v>
      </c>
      <c r="W1438" t="s">
        <v>4655</v>
      </c>
      <c r="X1438" s="2">
        <v>0</v>
      </c>
      <c r="Y1438">
        <v>21</v>
      </c>
      <c r="Z1438" t="s">
        <v>4900</v>
      </c>
      <c r="AA1438" s="3">
        <v>1.00000004749745E-3</v>
      </c>
      <c r="AB1438" t="s">
        <v>11334</v>
      </c>
      <c r="AC1438" t="s">
        <v>4562</v>
      </c>
      <c r="AD1438" t="s">
        <v>11335</v>
      </c>
      <c r="AE1438" t="s">
        <v>4655</v>
      </c>
      <c r="AF1438" t="s">
        <v>4563</v>
      </c>
      <c r="AG1438" t="s">
        <v>4564</v>
      </c>
      <c r="AH1438">
        <v>89502</v>
      </c>
      <c r="AI1438" t="s">
        <v>11336</v>
      </c>
      <c r="AJ1438" t="s">
        <v>4655</v>
      </c>
      <c r="AK1438" t="s">
        <v>11337</v>
      </c>
      <c r="AL1438" s="13" t="s">
        <v>3423</v>
      </c>
      <c r="AM1438">
        <v>1</v>
      </c>
      <c r="AN1438" s="15" t="s">
        <v>4321</v>
      </c>
    </row>
    <row r="1439" spans="1:40" x14ac:dyDescent="0.3">
      <c r="A1439" s="10" t="str">
        <f>HYPERLINK("http://www.washoecounty.gov/assessor/cama/?parid=019-471-15&amp;CardNumber=1","019-471-15")</f>
        <v>019-471-15</v>
      </c>
      <c r="B1439" t="s">
        <v>4655</v>
      </c>
      <c r="C1439" t="s">
        <v>4319</v>
      </c>
      <c r="D1439" s="1">
        <v>40542</v>
      </c>
      <c r="E1439" s="2">
        <v>22500</v>
      </c>
      <c r="F1439" t="s">
        <v>4553</v>
      </c>
      <c r="G1439" s="17" t="str">
        <f>HYPERLINK("https://www.washoecounty.gov/assessor/cama/?command=sales&amp;parid=01947115","3959169")</f>
        <v>3959169</v>
      </c>
      <c r="H1439" t="s">
        <v>4320</v>
      </c>
      <c r="I1439">
        <v>1978</v>
      </c>
      <c r="J1439">
        <v>1978</v>
      </c>
      <c r="K1439" t="s">
        <v>3144</v>
      </c>
      <c r="L1439" t="s">
        <v>4555</v>
      </c>
      <c r="M1439" s="2">
        <v>409</v>
      </c>
      <c r="N1439" t="s">
        <v>4048</v>
      </c>
      <c r="O1439">
        <v>0</v>
      </c>
      <c r="P1439">
        <v>1</v>
      </c>
      <c r="Q1439">
        <v>0</v>
      </c>
      <c r="R1439" t="s">
        <v>5281</v>
      </c>
      <c r="S1439" t="s">
        <v>4898</v>
      </c>
      <c r="T1439" t="s">
        <v>2704</v>
      </c>
      <c r="U1439" t="s">
        <v>4655</v>
      </c>
      <c r="V1439" s="2">
        <v>0</v>
      </c>
      <c r="W1439" t="s">
        <v>4655</v>
      </c>
      <c r="X1439" s="2">
        <v>0</v>
      </c>
      <c r="Y1439">
        <v>21</v>
      </c>
      <c r="Z1439" t="s">
        <v>4900</v>
      </c>
      <c r="AA1439" s="3">
        <v>1.00000004749745E-3</v>
      </c>
      <c r="AB1439" t="s">
        <v>11338</v>
      </c>
      <c r="AC1439" t="s">
        <v>4562</v>
      </c>
      <c r="AD1439" t="s">
        <v>11339</v>
      </c>
      <c r="AE1439" t="s">
        <v>4655</v>
      </c>
      <c r="AF1439" t="s">
        <v>5201</v>
      </c>
      <c r="AG1439" t="s">
        <v>4564</v>
      </c>
      <c r="AH1439" t="s">
        <v>5202</v>
      </c>
      <c r="AI1439" t="s">
        <v>1078</v>
      </c>
      <c r="AJ1439" t="s">
        <v>4655</v>
      </c>
      <c r="AK1439" t="s">
        <v>11340</v>
      </c>
      <c r="AL1439" s="13" t="s">
        <v>3423</v>
      </c>
      <c r="AM1439">
        <v>1</v>
      </c>
      <c r="AN1439" s="15" t="s">
        <v>4321</v>
      </c>
    </row>
    <row r="1440" spans="1:40" x14ac:dyDescent="0.3">
      <c r="A1440" s="10" t="str">
        <f>HYPERLINK("http://www.washoecounty.gov/assessor/cama/?parid=019-481-06&amp;CardNumber=1","019-481-06")</f>
        <v>019-481-06</v>
      </c>
      <c r="B1440" t="s">
        <v>4655</v>
      </c>
      <c r="C1440" t="s">
        <v>3023</v>
      </c>
      <c r="D1440" s="1">
        <v>40396</v>
      </c>
      <c r="E1440" s="2">
        <v>47000</v>
      </c>
      <c r="F1440" t="s">
        <v>4567</v>
      </c>
      <c r="G1440" s="17" t="str">
        <f>HYPERLINK("https://www.washoecounty.gov/assessor/cama/?command=sales&amp;parid=01948106","3909624")</f>
        <v>3909624</v>
      </c>
      <c r="H1440" t="s">
        <v>3024</v>
      </c>
      <c r="I1440">
        <v>1985</v>
      </c>
      <c r="J1440">
        <v>1985</v>
      </c>
      <c r="K1440" t="s">
        <v>4897</v>
      </c>
      <c r="L1440" t="s">
        <v>4555</v>
      </c>
      <c r="M1440" s="2">
        <v>1076</v>
      </c>
      <c r="N1440" t="s">
        <v>4048</v>
      </c>
      <c r="O1440">
        <v>2</v>
      </c>
      <c r="P1440">
        <v>2</v>
      </c>
      <c r="Q1440">
        <v>0</v>
      </c>
      <c r="R1440" t="s">
        <v>5281</v>
      </c>
      <c r="S1440" t="s">
        <v>4898</v>
      </c>
      <c r="T1440" t="s">
        <v>4899</v>
      </c>
      <c r="U1440" t="s">
        <v>4655</v>
      </c>
      <c r="V1440" s="2">
        <v>0</v>
      </c>
      <c r="W1440" t="s">
        <v>4655</v>
      </c>
      <c r="X1440" s="2">
        <v>0</v>
      </c>
      <c r="Y1440">
        <v>21</v>
      </c>
      <c r="Z1440" t="s">
        <v>2705</v>
      </c>
      <c r="AA1440" s="3">
        <v>1.00000004749745E-3</v>
      </c>
      <c r="AB1440" t="s">
        <v>11341</v>
      </c>
      <c r="AC1440" t="s">
        <v>4562</v>
      </c>
      <c r="AD1440" t="s">
        <v>11342</v>
      </c>
      <c r="AE1440" t="s">
        <v>4655</v>
      </c>
      <c r="AF1440" t="s">
        <v>2526</v>
      </c>
      <c r="AG1440" t="s">
        <v>4564</v>
      </c>
      <c r="AH1440">
        <v>89408</v>
      </c>
      <c r="AI1440" t="s">
        <v>11343</v>
      </c>
      <c r="AJ1440" t="s">
        <v>4655</v>
      </c>
      <c r="AK1440" t="s">
        <v>11344</v>
      </c>
      <c r="AL1440" s="13" t="s">
        <v>2257</v>
      </c>
      <c r="AM1440" s="14">
        <v>1</v>
      </c>
      <c r="AN1440" s="15" t="s">
        <v>3914</v>
      </c>
    </row>
    <row r="1441" spans="1:40" x14ac:dyDescent="0.3">
      <c r="A1441" s="10" t="str">
        <f>HYPERLINK("http://www.washoecounty.gov/assessor/cama/?parid=019-481-11&amp;CardNumber=1","019-481-11")</f>
        <v>019-481-11</v>
      </c>
      <c r="B1441" t="s">
        <v>4655</v>
      </c>
      <c r="C1441" t="s">
        <v>3023</v>
      </c>
      <c r="D1441" s="1">
        <v>40270</v>
      </c>
      <c r="E1441" s="2">
        <v>52000</v>
      </c>
      <c r="F1441" t="s">
        <v>4567</v>
      </c>
      <c r="G1441" s="17" t="str">
        <f>HYPERLINK("https://www.washoecounty.gov/assessor/cama/?command=sales&amp;parid=01948111","3867079")</f>
        <v>3867079</v>
      </c>
      <c r="H1441" t="s">
        <v>3024</v>
      </c>
      <c r="I1441">
        <v>1985</v>
      </c>
      <c r="J1441">
        <v>1985</v>
      </c>
      <c r="K1441" t="s">
        <v>4897</v>
      </c>
      <c r="L1441" t="s">
        <v>4555</v>
      </c>
      <c r="M1441" s="2">
        <v>647</v>
      </c>
      <c r="N1441" t="s">
        <v>4048</v>
      </c>
      <c r="O1441">
        <v>1</v>
      </c>
      <c r="P1441">
        <v>1</v>
      </c>
      <c r="Q1441">
        <v>0</v>
      </c>
      <c r="R1441" t="s">
        <v>5281</v>
      </c>
      <c r="S1441" t="s">
        <v>4898</v>
      </c>
      <c r="T1441" t="s">
        <v>4899</v>
      </c>
      <c r="U1441" t="s">
        <v>4655</v>
      </c>
      <c r="V1441" s="2">
        <v>0</v>
      </c>
      <c r="W1441" t="s">
        <v>4655</v>
      </c>
      <c r="X1441" s="2">
        <v>0</v>
      </c>
      <c r="Y1441">
        <v>21</v>
      </c>
      <c r="Z1441" t="s">
        <v>2705</v>
      </c>
      <c r="AA1441" s="3">
        <v>1.00000004749745E-3</v>
      </c>
      <c r="AB1441" t="s">
        <v>11345</v>
      </c>
      <c r="AC1441" t="s">
        <v>4562</v>
      </c>
      <c r="AD1441" t="s">
        <v>11346</v>
      </c>
      <c r="AE1441" t="s">
        <v>4655</v>
      </c>
      <c r="AF1441" t="s">
        <v>3815</v>
      </c>
      <c r="AG1441" t="s">
        <v>4564</v>
      </c>
      <c r="AH1441" t="s">
        <v>3816</v>
      </c>
      <c r="AI1441" t="s">
        <v>11347</v>
      </c>
      <c r="AJ1441" t="s">
        <v>4655</v>
      </c>
      <c r="AK1441" t="s">
        <v>11348</v>
      </c>
      <c r="AL1441" s="13" t="s">
        <v>2257</v>
      </c>
      <c r="AM1441">
        <v>1</v>
      </c>
      <c r="AN1441" s="15" t="s">
        <v>3914</v>
      </c>
    </row>
    <row r="1442" spans="1:40" x14ac:dyDescent="0.3">
      <c r="A1442" s="10" t="str">
        <f>HYPERLINK("http://www.washoecounty.gov/assessor/cama/?parid=019-482-08&amp;CardNumber=1","019-482-08")</f>
        <v>019-482-08</v>
      </c>
      <c r="B1442" t="s">
        <v>4655</v>
      </c>
      <c r="C1442" t="s">
        <v>3023</v>
      </c>
      <c r="D1442" s="1">
        <v>40204</v>
      </c>
      <c r="E1442" s="2">
        <v>65000</v>
      </c>
      <c r="F1442" t="s">
        <v>4567</v>
      </c>
      <c r="G1442" s="17" t="str">
        <f>HYPERLINK("https://www.washoecounty.gov/assessor/cama/?command=sales&amp;parid=01948208","3842776")</f>
        <v>3842776</v>
      </c>
      <c r="H1442" t="s">
        <v>3024</v>
      </c>
      <c r="I1442">
        <v>1985</v>
      </c>
      <c r="J1442">
        <v>1985</v>
      </c>
      <c r="K1442" t="s">
        <v>4897</v>
      </c>
      <c r="L1442" t="s">
        <v>4555</v>
      </c>
      <c r="M1442" s="2">
        <v>1004</v>
      </c>
      <c r="N1442" t="s">
        <v>4048</v>
      </c>
      <c r="O1442">
        <v>2</v>
      </c>
      <c r="P1442">
        <v>2</v>
      </c>
      <c r="Q1442">
        <v>0</v>
      </c>
      <c r="R1442" t="s">
        <v>5281</v>
      </c>
      <c r="S1442" t="s">
        <v>4898</v>
      </c>
      <c r="T1442" t="s">
        <v>4899</v>
      </c>
      <c r="U1442" t="s">
        <v>4655</v>
      </c>
      <c r="V1442" s="2">
        <v>0</v>
      </c>
      <c r="W1442" t="s">
        <v>4655</v>
      </c>
      <c r="X1442" s="2">
        <v>0</v>
      </c>
      <c r="Y1442">
        <v>21</v>
      </c>
      <c r="Z1442" t="s">
        <v>2705</v>
      </c>
      <c r="AA1442" s="3">
        <v>1.00000004749745E-3</v>
      </c>
      <c r="AB1442" t="s">
        <v>11349</v>
      </c>
      <c r="AC1442" t="s">
        <v>4562</v>
      </c>
      <c r="AD1442" t="s">
        <v>11350</v>
      </c>
      <c r="AE1442" t="s">
        <v>4655</v>
      </c>
      <c r="AF1442" t="s">
        <v>4563</v>
      </c>
      <c r="AG1442" t="s">
        <v>4564</v>
      </c>
      <c r="AH1442">
        <v>89509</v>
      </c>
      <c r="AI1442" t="s">
        <v>11351</v>
      </c>
      <c r="AJ1442" t="s">
        <v>4655</v>
      </c>
      <c r="AK1442" t="s">
        <v>11352</v>
      </c>
      <c r="AL1442" s="13" t="s">
        <v>2257</v>
      </c>
      <c r="AM1442">
        <v>1</v>
      </c>
      <c r="AN1442" s="15" t="s">
        <v>3914</v>
      </c>
    </row>
    <row r="1443" spans="1:40" x14ac:dyDescent="0.3">
      <c r="A1443" s="10" t="str">
        <f>HYPERLINK("http://www.washoecounty.gov/assessor/cama/?parid=019-482-12&amp;CardNumber=1","019-482-12")</f>
        <v>019-482-12</v>
      </c>
      <c r="B1443" t="s">
        <v>4655</v>
      </c>
      <c r="C1443" t="s">
        <v>3023</v>
      </c>
      <c r="D1443" s="1">
        <v>40276</v>
      </c>
      <c r="E1443" s="2">
        <v>58000</v>
      </c>
      <c r="F1443" t="s">
        <v>3512</v>
      </c>
      <c r="G1443" s="17" t="str">
        <f>HYPERLINK("https://www.washoecounty.gov/assessor/cama/?command=sales&amp;parid=01948212","3868810")</f>
        <v>3868810</v>
      </c>
      <c r="H1443" t="s">
        <v>3024</v>
      </c>
      <c r="I1443">
        <v>1985</v>
      </c>
      <c r="J1443">
        <v>1985</v>
      </c>
      <c r="K1443" t="s">
        <v>3144</v>
      </c>
      <c r="L1443" t="s">
        <v>4555</v>
      </c>
      <c r="M1443" s="2">
        <v>1074</v>
      </c>
      <c r="N1443" t="s">
        <v>4048</v>
      </c>
      <c r="O1443">
        <v>2</v>
      </c>
      <c r="P1443">
        <v>2</v>
      </c>
      <c r="Q1443">
        <v>0</v>
      </c>
      <c r="R1443" t="s">
        <v>5281</v>
      </c>
      <c r="S1443" t="s">
        <v>4898</v>
      </c>
      <c r="T1443" t="s">
        <v>4899</v>
      </c>
      <c r="U1443" t="s">
        <v>4655</v>
      </c>
      <c r="V1443" s="2">
        <v>0</v>
      </c>
      <c r="W1443" t="s">
        <v>4655</v>
      </c>
      <c r="X1443" s="2">
        <v>0</v>
      </c>
      <c r="Y1443">
        <v>21</v>
      </c>
      <c r="Z1443" t="s">
        <v>2705</v>
      </c>
      <c r="AA1443" s="3">
        <v>1.00000004749745E-3</v>
      </c>
      <c r="AB1443" t="s">
        <v>11353</v>
      </c>
      <c r="AC1443" t="s">
        <v>4562</v>
      </c>
      <c r="AD1443" t="s">
        <v>11354</v>
      </c>
      <c r="AE1443" t="s">
        <v>4655</v>
      </c>
      <c r="AF1443" t="s">
        <v>4563</v>
      </c>
      <c r="AG1443" t="s">
        <v>4564</v>
      </c>
      <c r="AH1443">
        <v>89511</v>
      </c>
      <c r="AI1443" t="s">
        <v>11355</v>
      </c>
      <c r="AJ1443" t="s">
        <v>4655</v>
      </c>
      <c r="AK1443" t="s">
        <v>11356</v>
      </c>
      <c r="AL1443" s="13" t="s">
        <v>2257</v>
      </c>
      <c r="AM1443" s="14">
        <v>1</v>
      </c>
      <c r="AN1443" s="15" t="s">
        <v>3914</v>
      </c>
    </row>
    <row r="1444" spans="1:40" x14ac:dyDescent="0.3">
      <c r="A1444" s="10" t="str">
        <f>HYPERLINK("http://www.washoecounty.gov/assessor/cama/?parid=019-483-02&amp;CardNumber=1","019-483-02")</f>
        <v>019-483-02</v>
      </c>
      <c r="B1444" t="s">
        <v>4655</v>
      </c>
      <c r="C1444" t="s">
        <v>3023</v>
      </c>
      <c r="D1444" s="1">
        <v>40494</v>
      </c>
      <c r="E1444" s="2">
        <v>53100</v>
      </c>
      <c r="F1444" t="s">
        <v>4553</v>
      </c>
      <c r="G1444" s="17" t="str">
        <f>HYPERLINK("https://www.washoecounty.gov/assessor/cama/?command=sales&amp;parid=01948302","3942650")</f>
        <v>3942650</v>
      </c>
      <c r="H1444" t="s">
        <v>3024</v>
      </c>
      <c r="I1444">
        <v>1985</v>
      </c>
      <c r="J1444">
        <v>1985</v>
      </c>
      <c r="K1444" t="s">
        <v>4897</v>
      </c>
      <c r="L1444" t="s">
        <v>4555</v>
      </c>
      <c r="M1444" s="2">
        <v>1018</v>
      </c>
      <c r="N1444" t="s">
        <v>4048</v>
      </c>
      <c r="O1444">
        <v>2</v>
      </c>
      <c r="P1444">
        <v>2</v>
      </c>
      <c r="Q1444">
        <v>0</v>
      </c>
      <c r="R1444" t="s">
        <v>5281</v>
      </c>
      <c r="S1444" t="s">
        <v>4898</v>
      </c>
      <c r="T1444" t="s">
        <v>4899</v>
      </c>
      <c r="U1444" t="s">
        <v>4655</v>
      </c>
      <c r="V1444" s="2">
        <v>0</v>
      </c>
      <c r="W1444" t="s">
        <v>4655</v>
      </c>
      <c r="X1444" s="2">
        <v>0</v>
      </c>
      <c r="Y1444">
        <v>21</v>
      </c>
      <c r="Z1444" t="s">
        <v>2705</v>
      </c>
      <c r="AA1444" s="3">
        <v>1.00000004749745E-3</v>
      </c>
      <c r="AB1444" t="s">
        <v>11357</v>
      </c>
      <c r="AC1444" t="s">
        <v>4562</v>
      </c>
      <c r="AD1444" t="s">
        <v>11358</v>
      </c>
      <c r="AE1444" t="s">
        <v>4655</v>
      </c>
      <c r="AF1444" t="s">
        <v>4563</v>
      </c>
      <c r="AG1444" t="s">
        <v>5529</v>
      </c>
      <c r="AH1444" t="s">
        <v>5197</v>
      </c>
      <c r="AI1444" t="s">
        <v>4903</v>
      </c>
      <c r="AJ1444" t="s">
        <v>4655</v>
      </c>
      <c r="AK1444" t="s">
        <v>11359</v>
      </c>
      <c r="AL1444" s="13" t="s">
        <v>2257</v>
      </c>
      <c r="AM1444" s="14">
        <v>1</v>
      </c>
      <c r="AN1444" s="15" t="s">
        <v>3914</v>
      </c>
    </row>
    <row r="1445" spans="1:40" x14ac:dyDescent="0.3">
      <c r="A1445" s="10" t="str">
        <f>HYPERLINK("http://www.washoecounty.gov/assessor/cama/?parid=019-483-03&amp;CardNumber=1","019-483-03")</f>
        <v>019-483-03</v>
      </c>
      <c r="B1445" t="s">
        <v>4655</v>
      </c>
      <c r="C1445" t="s">
        <v>3023</v>
      </c>
      <c r="D1445" s="1">
        <v>40382</v>
      </c>
      <c r="E1445" s="2">
        <v>60000</v>
      </c>
      <c r="F1445" t="s">
        <v>4567</v>
      </c>
      <c r="G1445" s="17" t="str">
        <f>HYPERLINK("https://www.washoecounty.gov/assessor/cama/?command=sales&amp;parid=01948303","NOT AVAILABLE ")</f>
        <v xml:space="preserve">NOT AVAILABLE </v>
      </c>
      <c r="H1445" t="s">
        <v>3024</v>
      </c>
      <c r="I1445">
        <v>1985</v>
      </c>
      <c r="J1445">
        <v>1985</v>
      </c>
      <c r="K1445" t="s">
        <v>4897</v>
      </c>
      <c r="L1445" t="s">
        <v>4555</v>
      </c>
      <c r="M1445" s="2">
        <v>1074</v>
      </c>
      <c r="N1445" t="s">
        <v>4048</v>
      </c>
      <c r="O1445">
        <v>2</v>
      </c>
      <c r="P1445">
        <v>2</v>
      </c>
      <c r="Q1445">
        <v>0</v>
      </c>
      <c r="R1445" t="s">
        <v>5281</v>
      </c>
      <c r="S1445" t="s">
        <v>4898</v>
      </c>
      <c r="T1445" t="s">
        <v>4899</v>
      </c>
      <c r="U1445" t="s">
        <v>4655</v>
      </c>
      <c r="V1445" s="2">
        <v>0</v>
      </c>
      <c r="W1445" t="s">
        <v>4655</v>
      </c>
      <c r="X1445" s="2">
        <v>0</v>
      </c>
      <c r="Y1445">
        <v>21</v>
      </c>
      <c r="Z1445" t="s">
        <v>2705</v>
      </c>
      <c r="AA1445" s="3">
        <v>1.00000004749745E-3</v>
      </c>
      <c r="AB1445" t="s">
        <v>8865</v>
      </c>
      <c r="AC1445" t="s">
        <v>4562</v>
      </c>
      <c r="AD1445" t="s">
        <v>283</v>
      </c>
      <c r="AE1445" t="s">
        <v>4655</v>
      </c>
      <c r="AF1445" t="s">
        <v>283</v>
      </c>
      <c r="AG1445" t="s">
        <v>4564</v>
      </c>
      <c r="AH1445" t="s">
        <v>3101</v>
      </c>
      <c r="AI1445" t="s">
        <v>4655</v>
      </c>
      <c r="AJ1445" t="s">
        <v>4655</v>
      </c>
      <c r="AK1445" t="s">
        <v>11360</v>
      </c>
      <c r="AL1445" s="13" t="s">
        <v>2257</v>
      </c>
      <c r="AM1445" s="14">
        <v>1</v>
      </c>
      <c r="AN1445" s="15" t="s">
        <v>3914</v>
      </c>
    </row>
    <row r="1446" spans="1:40" x14ac:dyDescent="0.3">
      <c r="A1446" s="10" t="str">
        <f>HYPERLINK("http://www.washoecounty.gov/assessor/cama/?parid=019-483-10&amp;CardNumber=1","019-483-10")</f>
        <v>019-483-10</v>
      </c>
      <c r="B1446" t="s">
        <v>4655</v>
      </c>
      <c r="C1446" t="s">
        <v>3023</v>
      </c>
      <c r="D1446" s="1">
        <v>40485</v>
      </c>
      <c r="E1446" s="2">
        <v>30000</v>
      </c>
      <c r="F1446" t="s">
        <v>4553</v>
      </c>
      <c r="G1446" s="17" t="str">
        <f>HYPERLINK("https://www.washoecounty.gov/assessor/cama/?command=sales&amp;parid=01948310","3939409")</f>
        <v>3939409</v>
      </c>
      <c r="H1446" t="s">
        <v>3024</v>
      </c>
      <c r="I1446">
        <v>1985</v>
      </c>
      <c r="J1446">
        <v>1985</v>
      </c>
      <c r="K1446" t="s">
        <v>4897</v>
      </c>
      <c r="L1446" t="s">
        <v>4555</v>
      </c>
      <c r="M1446" s="2">
        <v>647</v>
      </c>
      <c r="N1446" t="s">
        <v>4048</v>
      </c>
      <c r="O1446">
        <v>1</v>
      </c>
      <c r="P1446">
        <v>1</v>
      </c>
      <c r="Q1446">
        <v>0</v>
      </c>
      <c r="R1446" t="s">
        <v>5281</v>
      </c>
      <c r="S1446" t="s">
        <v>4898</v>
      </c>
      <c r="T1446" t="s">
        <v>4899</v>
      </c>
      <c r="U1446" t="s">
        <v>4655</v>
      </c>
      <c r="V1446" s="2">
        <v>0</v>
      </c>
      <c r="W1446" t="s">
        <v>4655</v>
      </c>
      <c r="X1446" s="2">
        <v>0</v>
      </c>
      <c r="Y1446">
        <v>21</v>
      </c>
      <c r="Z1446" t="s">
        <v>2705</v>
      </c>
      <c r="AA1446" s="3">
        <v>1.00000004749745E-3</v>
      </c>
      <c r="AB1446" t="s">
        <v>5653</v>
      </c>
      <c r="AC1446" t="s">
        <v>4562</v>
      </c>
      <c r="AD1446" t="s">
        <v>5654</v>
      </c>
      <c r="AE1446" t="s">
        <v>4655</v>
      </c>
      <c r="AF1446" t="s">
        <v>5655</v>
      </c>
      <c r="AG1446" t="s">
        <v>4584</v>
      </c>
      <c r="AH1446" t="s">
        <v>5656</v>
      </c>
      <c r="AI1446" t="s">
        <v>4298</v>
      </c>
      <c r="AJ1446" t="s">
        <v>4655</v>
      </c>
      <c r="AK1446" t="s">
        <v>5524</v>
      </c>
      <c r="AL1446" s="13" t="s">
        <v>2257</v>
      </c>
      <c r="AM1446">
        <v>1</v>
      </c>
      <c r="AN1446" s="15" t="s">
        <v>3914</v>
      </c>
    </row>
    <row r="1447" spans="1:40" x14ac:dyDescent="0.3">
      <c r="A1447" s="10" t="str">
        <f>HYPERLINK("http://www.washoecounty.gov/assessor/cama/?parid=019-490-24&amp;CardNumber=1","019-490-24")</f>
        <v>019-490-24</v>
      </c>
      <c r="B1447" t="s">
        <v>4655</v>
      </c>
      <c r="C1447" t="s">
        <v>3334</v>
      </c>
      <c r="D1447" s="1">
        <v>40337</v>
      </c>
      <c r="E1447" s="2">
        <v>90000</v>
      </c>
      <c r="F1447" t="s">
        <v>4553</v>
      </c>
      <c r="G1447" s="17" t="str">
        <f>HYPERLINK("https://www.washoecounty.gov/assessor/cama/?command=sales&amp;parid=01949024","3889205")</f>
        <v>3889205</v>
      </c>
      <c r="H1447" t="s">
        <v>3335</v>
      </c>
      <c r="I1447">
        <v>1989</v>
      </c>
      <c r="J1447">
        <v>1989</v>
      </c>
      <c r="K1447" t="s">
        <v>4897</v>
      </c>
      <c r="L1447" t="s">
        <v>3974</v>
      </c>
      <c r="M1447" s="2">
        <v>1232</v>
      </c>
      <c r="N1447" t="s">
        <v>4048</v>
      </c>
      <c r="O1447">
        <v>2</v>
      </c>
      <c r="P1447">
        <v>2</v>
      </c>
      <c r="Q1447">
        <v>1</v>
      </c>
      <c r="R1447" t="s">
        <v>5281</v>
      </c>
      <c r="S1447" t="s">
        <v>4558</v>
      </c>
      <c r="T1447" t="s">
        <v>4559</v>
      </c>
      <c r="U1447" t="s">
        <v>4560</v>
      </c>
      <c r="V1447" s="2">
        <v>264</v>
      </c>
      <c r="W1447" t="s">
        <v>4655</v>
      </c>
      <c r="X1447" s="2">
        <v>0</v>
      </c>
      <c r="Y1447">
        <v>21</v>
      </c>
      <c r="Z1447" t="s">
        <v>2705</v>
      </c>
      <c r="AA1447" s="3">
        <v>1.00000004749745E-3</v>
      </c>
      <c r="AB1447" t="s">
        <v>11361</v>
      </c>
      <c r="AC1447" t="s">
        <v>4575</v>
      </c>
      <c r="AD1447" t="s">
        <v>11362</v>
      </c>
      <c r="AE1447" t="s">
        <v>4655</v>
      </c>
      <c r="AF1447" t="s">
        <v>4563</v>
      </c>
      <c r="AG1447" t="s">
        <v>4564</v>
      </c>
      <c r="AH1447" t="s">
        <v>5197</v>
      </c>
      <c r="AI1447" t="s">
        <v>11363</v>
      </c>
      <c r="AJ1447" t="s">
        <v>4655</v>
      </c>
      <c r="AK1447" t="s">
        <v>11364</v>
      </c>
      <c r="AL1447" s="13" t="s">
        <v>2257</v>
      </c>
      <c r="AM1447">
        <v>1</v>
      </c>
      <c r="AN1447" s="15" t="s">
        <v>3336</v>
      </c>
    </row>
    <row r="1448" spans="1:40" x14ac:dyDescent="0.3">
      <c r="A1448" s="10" t="str">
        <f>HYPERLINK("http://www.washoecounty.gov/assessor/cama/?parid=019-520-01&amp;CardNumber=1","019-520-01")</f>
        <v>019-520-01</v>
      </c>
      <c r="B1448" t="s">
        <v>4655</v>
      </c>
      <c r="C1448" t="s">
        <v>11365</v>
      </c>
      <c r="D1448" s="1">
        <v>40246</v>
      </c>
      <c r="E1448" s="2">
        <v>365000</v>
      </c>
      <c r="F1448" t="s">
        <v>2900</v>
      </c>
      <c r="G1448" s="17" t="str">
        <f>HYPERLINK("https://www.washoecounty.gov/assessor/cama/?command=sales&amp;parid=01952001","3857394")</f>
        <v>3857394</v>
      </c>
      <c r="H1448" t="s">
        <v>3915</v>
      </c>
      <c r="I1448">
        <v>0</v>
      </c>
      <c r="J1448">
        <v>0</v>
      </c>
      <c r="K1448" t="s">
        <v>4655</v>
      </c>
      <c r="L1448" t="s">
        <v>4655</v>
      </c>
      <c r="M1448" s="2">
        <v>0</v>
      </c>
      <c r="N1448" t="s">
        <v>4655</v>
      </c>
      <c r="O1448">
        <v>0</v>
      </c>
      <c r="P1448">
        <v>0</v>
      </c>
      <c r="Q1448">
        <v>0</v>
      </c>
      <c r="R1448" t="s">
        <v>4655</v>
      </c>
      <c r="S1448" t="s">
        <v>4655</v>
      </c>
      <c r="T1448" t="s">
        <v>4655</v>
      </c>
      <c r="U1448" t="s">
        <v>4655</v>
      </c>
      <c r="V1448" s="2">
        <v>0</v>
      </c>
      <c r="W1448" t="s">
        <v>4655</v>
      </c>
      <c r="X1448" s="2">
        <v>0</v>
      </c>
      <c r="Y1448">
        <v>12</v>
      </c>
      <c r="Z1448" t="s">
        <v>5107</v>
      </c>
      <c r="AA1448" s="3">
        <v>8.0810003280639595</v>
      </c>
      <c r="AB1448" t="s">
        <v>11366</v>
      </c>
      <c r="AC1448" t="s">
        <v>4562</v>
      </c>
      <c r="AD1448" t="s">
        <v>11000</v>
      </c>
      <c r="AE1448" t="s">
        <v>4655</v>
      </c>
      <c r="AF1448" t="s">
        <v>4563</v>
      </c>
      <c r="AG1448" t="s">
        <v>4564</v>
      </c>
      <c r="AH1448">
        <v>89501</v>
      </c>
      <c r="AI1448" t="s">
        <v>11367</v>
      </c>
      <c r="AJ1448" t="s">
        <v>3917</v>
      </c>
      <c r="AK1448" t="s">
        <v>11368</v>
      </c>
      <c r="AL1448" s="13" t="s">
        <v>2257</v>
      </c>
      <c r="AM1448">
        <v>0</v>
      </c>
      <c r="AN1448" s="15" t="s">
        <v>3918</v>
      </c>
    </row>
    <row r="1449" spans="1:40" x14ac:dyDescent="0.3">
      <c r="A1449" s="10" t="str">
        <f>HYPERLINK("http://www.washoecounty.gov/assessor/cama/?parid=019-531-05&amp;CardNumber=1","019-531-05")</f>
        <v>019-531-05</v>
      </c>
      <c r="B1449" t="s">
        <v>4655</v>
      </c>
      <c r="C1449" t="s">
        <v>11369</v>
      </c>
      <c r="D1449" s="1">
        <v>40354</v>
      </c>
      <c r="E1449" s="2">
        <v>187000</v>
      </c>
      <c r="F1449" t="s">
        <v>4567</v>
      </c>
      <c r="G1449" s="17" t="str">
        <f>HYPERLINK("https://www.washoecounty.gov/assessor/cama/?command=sales&amp;parid=01953105","3895406")</f>
        <v>3895406</v>
      </c>
      <c r="H1449" t="s">
        <v>11370</v>
      </c>
      <c r="I1449">
        <v>2005</v>
      </c>
      <c r="J1449">
        <v>2005</v>
      </c>
      <c r="K1449" t="s">
        <v>4554</v>
      </c>
      <c r="L1449" t="s">
        <v>3974</v>
      </c>
      <c r="M1449" s="2">
        <v>1732</v>
      </c>
      <c r="N1449" t="s">
        <v>3147</v>
      </c>
      <c r="O1449">
        <v>2</v>
      </c>
      <c r="P1449">
        <v>2</v>
      </c>
      <c r="Q1449">
        <v>1</v>
      </c>
      <c r="R1449" t="s">
        <v>5281</v>
      </c>
      <c r="S1449" t="s">
        <v>4898</v>
      </c>
      <c r="T1449" t="s">
        <v>4559</v>
      </c>
      <c r="U1449" t="s">
        <v>4655</v>
      </c>
      <c r="V1449" s="2">
        <v>0</v>
      </c>
      <c r="W1449" t="s">
        <v>4655</v>
      </c>
      <c r="X1449" s="2">
        <v>0</v>
      </c>
      <c r="Y1449">
        <v>20</v>
      </c>
      <c r="Z1449" t="s">
        <v>5107</v>
      </c>
      <c r="AA1449" s="3">
        <v>7.24288374185562E-2</v>
      </c>
      <c r="AB1449" t="s">
        <v>11371</v>
      </c>
      <c r="AC1449" t="s">
        <v>4562</v>
      </c>
      <c r="AD1449" t="s">
        <v>11372</v>
      </c>
      <c r="AE1449" t="s">
        <v>4655</v>
      </c>
      <c r="AF1449" t="s">
        <v>4563</v>
      </c>
      <c r="AG1449" t="s">
        <v>4564</v>
      </c>
      <c r="AH1449">
        <v>89509</v>
      </c>
      <c r="AI1449" t="s">
        <v>11373</v>
      </c>
      <c r="AJ1449" t="s">
        <v>11374</v>
      </c>
      <c r="AK1449" t="s">
        <v>11375</v>
      </c>
      <c r="AL1449" s="13" t="s">
        <v>2257</v>
      </c>
      <c r="AM1449" s="14">
        <v>1</v>
      </c>
      <c r="AN1449" s="15" t="s">
        <v>3918</v>
      </c>
    </row>
    <row r="1450" spans="1:40" x14ac:dyDescent="0.3">
      <c r="A1450" s="10" t="str">
        <f>HYPERLINK("http://www.washoecounty.gov/assessor/cama/?parid=019-534-02&amp;CardNumber=1","019-534-02")</f>
        <v>019-534-02</v>
      </c>
      <c r="B1450" t="s">
        <v>4655</v>
      </c>
      <c r="C1450" t="s">
        <v>11376</v>
      </c>
      <c r="D1450" s="1">
        <v>40246</v>
      </c>
      <c r="E1450" s="2">
        <v>365000</v>
      </c>
      <c r="F1450" t="s">
        <v>2900</v>
      </c>
      <c r="G1450" s="17" t="str">
        <f>HYPERLINK("https://www.washoecounty.gov/assessor/cama/?command=sales&amp;parid=01953402","3857394")</f>
        <v>3857394</v>
      </c>
      <c r="H1450" t="s">
        <v>3915</v>
      </c>
      <c r="I1450">
        <v>0</v>
      </c>
      <c r="J1450">
        <v>0</v>
      </c>
      <c r="K1450" t="s">
        <v>4655</v>
      </c>
      <c r="L1450" t="s">
        <v>4655</v>
      </c>
      <c r="M1450" s="2">
        <v>0</v>
      </c>
      <c r="N1450" t="s">
        <v>4655</v>
      </c>
      <c r="O1450">
        <v>0</v>
      </c>
      <c r="P1450">
        <v>0</v>
      </c>
      <c r="Q1450">
        <v>0</v>
      </c>
      <c r="R1450" t="s">
        <v>4655</v>
      </c>
      <c r="S1450" t="s">
        <v>4655</v>
      </c>
      <c r="T1450" t="s">
        <v>4655</v>
      </c>
      <c r="U1450" t="s">
        <v>4655</v>
      </c>
      <c r="V1450" s="2">
        <v>0</v>
      </c>
      <c r="W1450" t="s">
        <v>4655</v>
      </c>
      <c r="X1450" s="2">
        <v>0</v>
      </c>
      <c r="Y1450">
        <v>12</v>
      </c>
      <c r="Z1450" t="s">
        <v>5107</v>
      </c>
      <c r="AA1450" s="3">
        <v>6.9077134132385296E-2</v>
      </c>
      <c r="AB1450" t="s">
        <v>11366</v>
      </c>
      <c r="AC1450" t="s">
        <v>4562</v>
      </c>
      <c r="AD1450" t="s">
        <v>11000</v>
      </c>
      <c r="AE1450" t="s">
        <v>4655</v>
      </c>
      <c r="AF1450" t="s">
        <v>4563</v>
      </c>
      <c r="AG1450" t="s">
        <v>4564</v>
      </c>
      <c r="AH1450">
        <v>89501</v>
      </c>
      <c r="AI1450" t="s">
        <v>11367</v>
      </c>
      <c r="AJ1450" t="s">
        <v>3917</v>
      </c>
      <c r="AK1450" t="s">
        <v>11377</v>
      </c>
      <c r="AL1450" s="13" t="s">
        <v>2257</v>
      </c>
      <c r="AM1450">
        <v>0</v>
      </c>
      <c r="AN1450" s="15" t="s">
        <v>3918</v>
      </c>
    </row>
    <row r="1451" spans="1:40" x14ac:dyDescent="0.3">
      <c r="A1451" s="10" t="str">
        <f>HYPERLINK("http://www.washoecounty.gov/assessor/cama/?parid=019-534-03&amp;CardNumber=1","019-534-03")</f>
        <v>019-534-03</v>
      </c>
      <c r="B1451" t="s">
        <v>4655</v>
      </c>
      <c r="C1451" t="s">
        <v>11378</v>
      </c>
      <c r="D1451" s="1">
        <v>40246</v>
      </c>
      <c r="E1451" s="2">
        <v>365000</v>
      </c>
      <c r="F1451" t="s">
        <v>2900</v>
      </c>
      <c r="G1451" s="17" t="str">
        <f>HYPERLINK("https://www.washoecounty.gov/assessor/cama/?command=sales&amp;parid=01953403","3857394")</f>
        <v>3857394</v>
      </c>
      <c r="H1451" t="s">
        <v>3915</v>
      </c>
      <c r="I1451">
        <v>0</v>
      </c>
      <c r="J1451">
        <v>0</v>
      </c>
      <c r="K1451" t="s">
        <v>4655</v>
      </c>
      <c r="L1451" t="s">
        <v>4655</v>
      </c>
      <c r="M1451" s="2">
        <v>0</v>
      </c>
      <c r="N1451" t="s">
        <v>4655</v>
      </c>
      <c r="O1451">
        <v>0</v>
      </c>
      <c r="P1451">
        <v>0</v>
      </c>
      <c r="Q1451">
        <v>0</v>
      </c>
      <c r="R1451" t="s">
        <v>4655</v>
      </c>
      <c r="S1451" t="s">
        <v>4655</v>
      </c>
      <c r="T1451" t="s">
        <v>4655</v>
      </c>
      <c r="U1451" t="s">
        <v>4655</v>
      </c>
      <c r="V1451" s="2">
        <v>0</v>
      </c>
      <c r="W1451" t="s">
        <v>4655</v>
      </c>
      <c r="X1451" s="2">
        <v>0</v>
      </c>
      <c r="Y1451">
        <v>12</v>
      </c>
      <c r="Z1451" t="s">
        <v>5107</v>
      </c>
      <c r="AA1451" s="3">
        <v>6.9077134132385296E-2</v>
      </c>
      <c r="AB1451" t="s">
        <v>11366</v>
      </c>
      <c r="AC1451" t="s">
        <v>4562</v>
      </c>
      <c r="AD1451" t="s">
        <v>11000</v>
      </c>
      <c r="AE1451" t="s">
        <v>4655</v>
      </c>
      <c r="AF1451" t="s">
        <v>4563</v>
      </c>
      <c r="AG1451" t="s">
        <v>4564</v>
      </c>
      <c r="AH1451">
        <v>89501</v>
      </c>
      <c r="AI1451" t="s">
        <v>11367</v>
      </c>
      <c r="AJ1451" t="s">
        <v>3917</v>
      </c>
      <c r="AK1451" t="s">
        <v>11379</v>
      </c>
      <c r="AL1451" s="13" t="s">
        <v>2257</v>
      </c>
      <c r="AM1451">
        <v>0</v>
      </c>
      <c r="AN1451" s="15" t="s">
        <v>3918</v>
      </c>
    </row>
    <row r="1452" spans="1:40" x14ac:dyDescent="0.3">
      <c r="A1452" s="10" t="str">
        <f>HYPERLINK("http://www.washoecounty.gov/assessor/cama/?parid=019-534-04&amp;CardNumber=1","019-534-04")</f>
        <v>019-534-04</v>
      </c>
      <c r="B1452" t="s">
        <v>4655</v>
      </c>
      <c r="C1452" t="s">
        <v>11380</v>
      </c>
      <c r="D1452" s="1">
        <v>40213</v>
      </c>
      <c r="E1452" s="2">
        <v>246700</v>
      </c>
      <c r="F1452" t="s">
        <v>4553</v>
      </c>
      <c r="G1452" s="17" t="str">
        <f>HYPERLINK("https://www.washoecounty.gov/assessor/cama/?command=sales&amp;parid=01953404","3846098")</f>
        <v>3846098</v>
      </c>
      <c r="H1452" t="s">
        <v>3915</v>
      </c>
      <c r="I1452">
        <v>2005</v>
      </c>
      <c r="J1452">
        <v>2005</v>
      </c>
      <c r="K1452" t="s">
        <v>4554</v>
      </c>
      <c r="L1452" t="s">
        <v>3974</v>
      </c>
      <c r="M1452" s="2">
        <v>2351</v>
      </c>
      <c r="N1452" t="s">
        <v>3147</v>
      </c>
      <c r="O1452">
        <v>3</v>
      </c>
      <c r="P1452">
        <v>3</v>
      </c>
      <c r="Q1452">
        <v>1</v>
      </c>
      <c r="R1452" t="s">
        <v>5281</v>
      </c>
      <c r="S1452" t="s">
        <v>4898</v>
      </c>
      <c r="T1452" t="s">
        <v>4559</v>
      </c>
      <c r="U1452" t="s">
        <v>5631</v>
      </c>
      <c r="V1452" s="2">
        <v>483</v>
      </c>
      <c r="W1452" t="s">
        <v>4655</v>
      </c>
      <c r="X1452" s="2">
        <v>0</v>
      </c>
      <c r="Y1452">
        <v>20</v>
      </c>
      <c r="Z1452" t="s">
        <v>5107</v>
      </c>
      <c r="AA1452" s="3">
        <v>6.9054178893566104E-2</v>
      </c>
      <c r="AB1452" t="s">
        <v>11381</v>
      </c>
      <c r="AC1452" t="s">
        <v>4562</v>
      </c>
      <c r="AD1452" t="s">
        <v>11382</v>
      </c>
      <c r="AE1452" t="s">
        <v>4655</v>
      </c>
      <c r="AF1452" t="s">
        <v>4563</v>
      </c>
      <c r="AG1452" t="s">
        <v>4564</v>
      </c>
      <c r="AH1452">
        <v>89509</v>
      </c>
      <c r="AI1452" t="s">
        <v>3916</v>
      </c>
      <c r="AJ1452" t="s">
        <v>3917</v>
      </c>
      <c r="AK1452" t="s">
        <v>11383</v>
      </c>
      <c r="AL1452" s="13" t="s">
        <v>2257</v>
      </c>
      <c r="AM1452">
        <v>1</v>
      </c>
      <c r="AN1452" s="15" t="s">
        <v>3918</v>
      </c>
    </row>
    <row r="1453" spans="1:40" x14ac:dyDescent="0.3">
      <c r="A1453" s="10" t="str">
        <f>HYPERLINK("http://www.washoecounty.gov/assessor/cama/?parid=019-534-05&amp;CardNumber=1","019-534-05")</f>
        <v>019-534-05</v>
      </c>
      <c r="B1453" t="s">
        <v>4655</v>
      </c>
      <c r="C1453" t="s">
        <v>11384</v>
      </c>
      <c r="D1453" s="1">
        <v>40228</v>
      </c>
      <c r="E1453" s="2">
        <v>205000</v>
      </c>
      <c r="F1453" t="s">
        <v>4567</v>
      </c>
      <c r="G1453" s="17" t="str">
        <f>HYPERLINK("https://www.washoecounty.gov/assessor/cama/?command=sales&amp;parid=01953405","3851111")</f>
        <v>3851111</v>
      </c>
      <c r="H1453" t="s">
        <v>3915</v>
      </c>
      <c r="I1453">
        <v>2005</v>
      </c>
      <c r="J1453">
        <v>2005</v>
      </c>
      <c r="K1453" t="s">
        <v>4554</v>
      </c>
      <c r="L1453" t="s">
        <v>3974</v>
      </c>
      <c r="M1453" s="2">
        <v>1732</v>
      </c>
      <c r="N1453" t="s">
        <v>3147</v>
      </c>
      <c r="O1453">
        <v>2</v>
      </c>
      <c r="P1453">
        <v>2</v>
      </c>
      <c r="Q1453">
        <v>1</v>
      </c>
      <c r="R1453" t="s">
        <v>5281</v>
      </c>
      <c r="S1453" t="s">
        <v>4898</v>
      </c>
      <c r="T1453" t="s">
        <v>4559</v>
      </c>
      <c r="U1453" t="s">
        <v>4655</v>
      </c>
      <c r="V1453" s="2">
        <v>0</v>
      </c>
      <c r="W1453" t="s">
        <v>4655</v>
      </c>
      <c r="X1453" s="2">
        <v>0</v>
      </c>
      <c r="Y1453">
        <v>20</v>
      </c>
      <c r="Z1453" t="s">
        <v>5107</v>
      </c>
      <c r="AA1453" s="3">
        <v>6.9168962538242298E-2</v>
      </c>
      <c r="AB1453" t="s">
        <v>11385</v>
      </c>
      <c r="AC1453" t="s">
        <v>4562</v>
      </c>
      <c r="AD1453" t="s">
        <v>11386</v>
      </c>
      <c r="AE1453" t="s">
        <v>4655</v>
      </c>
      <c r="AF1453" t="s">
        <v>4563</v>
      </c>
      <c r="AG1453" t="s">
        <v>4564</v>
      </c>
      <c r="AH1453">
        <v>89511</v>
      </c>
      <c r="AI1453" t="s">
        <v>11387</v>
      </c>
      <c r="AJ1453" t="s">
        <v>3917</v>
      </c>
      <c r="AK1453" t="s">
        <v>11388</v>
      </c>
      <c r="AL1453" s="13" t="s">
        <v>2257</v>
      </c>
      <c r="AM1453">
        <v>1</v>
      </c>
      <c r="AN1453" s="15" t="s">
        <v>3918</v>
      </c>
    </row>
    <row r="1454" spans="1:40" x14ac:dyDescent="0.3">
      <c r="A1454" s="10" t="str">
        <f>HYPERLINK("http://www.washoecounty.gov/assessor/cama/?parid=019-534-06&amp;CardNumber=1","019-534-06")</f>
        <v>019-534-06</v>
      </c>
      <c r="B1454" t="s">
        <v>4655</v>
      </c>
      <c r="C1454" t="s">
        <v>11389</v>
      </c>
      <c r="D1454" s="1">
        <v>40372</v>
      </c>
      <c r="E1454" s="2">
        <v>184000</v>
      </c>
      <c r="F1454" t="s">
        <v>4567</v>
      </c>
      <c r="G1454" s="17" t="str">
        <f>HYPERLINK("https://www.washoecounty.gov/assessor/cama/?command=sales&amp;parid=01953406","3900941")</f>
        <v>3900941</v>
      </c>
      <c r="H1454" t="s">
        <v>3915</v>
      </c>
      <c r="I1454">
        <v>2005</v>
      </c>
      <c r="J1454">
        <v>2005</v>
      </c>
      <c r="K1454" t="s">
        <v>4554</v>
      </c>
      <c r="L1454" t="s">
        <v>3974</v>
      </c>
      <c r="M1454" s="2">
        <v>1924</v>
      </c>
      <c r="N1454" t="s">
        <v>3147</v>
      </c>
      <c r="O1454">
        <v>2</v>
      </c>
      <c r="P1454">
        <v>2</v>
      </c>
      <c r="Q1454">
        <v>1</v>
      </c>
      <c r="R1454" t="s">
        <v>5281</v>
      </c>
      <c r="S1454" t="s">
        <v>4898</v>
      </c>
      <c r="T1454" t="s">
        <v>4559</v>
      </c>
      <c r="U1454" t="s">
        <v>4655</v>
      </c>
      <c r="V1454" s="2">
        <v>0</v>
      </c>
      <c r="W1454" t="s">
        <v>4655</v>
      </c>
      <c r="X1454" s="2">
        <v>0</v>
      </c>
      <c r="Y1454">
        <v>20</v>
      </c>
      <c r="Z1454" t="s">
        <v>5107</v>
      </c>
      <c r="AA1454" s="3">
        <v>6.8526171147823306E-2</v>
      </c>
      <c r="AB1454" t="s">
        <v>11390</v>
      </c>
      <c r="AC1454" t="s">
        <v>4562</v>
      </c>
      <c r="AD1454" t="s">
        <v>11389</v>
      </c>
      <c r="AE1454" t="s">
        <v>4655</v>
      </c>
      <c r="AF1454" t="s">
        <v>4563</v>
      </c>
      <c r="AG1454" t="s">
        <v>4564</v>
      </c>
      <c r="AH1454">
        <v>89509</v>
      </c>
      <c r="AI1454" t="s">
        <v>11391</v>
      </c>
      <c r="AJ1454" t="s">
        <v>3917</v>
      </c>
      <c r="AK1454" t="s">
        <v>11392</v>
      </c>
      <c r="AL1454" s="13" t="s">
        <v>2257</v>
      </c>
      <c r="AM1454">
        <v>1</v>
      </c>
      <c r="AN1454" s="15" t="s">
        <v>3918</v>
      </c>
    </row>
    <row r="1455" spans="1:40" x14ac:dyDescent="0.3">
      <c r="A1455" s="10" t="str">
        <f>HYPERLINK("http://www.washoecounty.gov/assessor/cama/?parid=019-543-01&amp;CardNumber=1","019-543-01")</f>
        <v>019-543-01</v>
      </c>
      <c r="B1455" t="s">
        <v>4655</v>
      </c>
      <c r="C1455" t="s">
        <v>11393</v>
      </c>
      <c r="D1455" s="1">
        <v>40360</v>
      </c>
      <c r="E1455" s="2">
        <v>197000</v>
      </c>
      <c r="F1455" t="s">
        <v>4567</v>
      </c>
      <c r="G1455" s="17" t="str">
        <f>HYPERLINK("https://www.washoecounty.gov/assessor/cama/?command=sales&amp;parid=01954301","3897590")</f>
        <v>3897590</v>
      </c>
      <c r="H1455" t="s">
        <v>3915</v>
      </c>
      <c r="I1455">
        <v>2005</v>
      </c>
      <c r="J1455">
        <v>2005</v>
      </c>
      <c r="K1455" t="s">
        <v>4554</v>
      </c>
      <c r="L1455" t="s">
        <v>3974</v>
      </c>
      <c r="M1455" s="2">
        <v>1732</v>
      </c>
      <c r="N1455" t="s">
        <v>3147</v>
      </c>
      <c r="O1455">
        <v>2</v>
      </c>
      <c r="P1455">
        <v>2</v>
      </c>
      <c r="Q1455">
        <v>1</v>
      </c>
      <c r="R1455" t="s">
        <v>5281</v>
      </c>
      <c r="S1455" t="s">
        <v>4898</v>
      </c>
      <c r="T1455" t="s">
        <v>4559</v>
      </c>
      <c r="U1455" t="s">
        <v>4655</v>
      </c>
      <c r="V1455" s="2">
        <v>0</v>
      </c>
      <c r="W1455" t="s">
        <v>4655</v>
      </c>
      <c r="X1455" s="2">
        <v>0</v>
      </c>
      <c r="Y1455">
        <v>20</v>
      </c>
      <c r="Z1455" t="s">
        <v>5107</v>
      </c>
      <c r="AA1455" s="3">
        <v>6.8916440010070801E-2</v>
      </c>
      <c r="AB1455" t="s">
        <v>11394</v>
      </c>
      <c r="AC1455" t="s">
        <v>4562</v>
      </c>
      <c r="AD1455" t="s">
        <v>11395</v>
      </c>
      <c r="AE1455" t="s">
        <v>4655</v>
      </c>
      <c r="AF1455" t="s">
        <v>4563</v>
      </c>
      <c r="AG1455" t="s">
        <v>4564</v>
      </c>
      <c r="AH1455">
        <v>89509</v>
      </c>
      <c r="AI1455" t="s">
        <v>11396</v>
      </c>
      <c r="AJ1455" t="s">
        <v>3917</v>
      </c>
      <c r="AK1455" t="s">
        <v>11397</v>
      </c>
      <c r="AL1455" s="13" t="s">
        <v>2257</v>
      </c>
      <c r="AM1455">
        <v>1</v>
      </c>
      <c r="AN1455" s="15" t="s">
        <v>3918</v>
      </c>
    </row>
    <row r="1456" spans="1:40" x14ac:dyDescent="0.3">
      <c r="A1456" s="10" t="str">
        <f>HYPERLINK("http://www.washoecounty.gov/assessor/cama/?parid=019-580-03&amp;CardNumber=1","019-580-03")</f>
        <v>019-580-03</v>
      </c>
      <c r="B1456" t="s">
        <v>4655</v>
      </c>
      <c r="C1456" t="s">
        <v>323</v>
      </c>
      <c r="D1456" s="1">
        <v>40500</v>
      </c>
      <c r="E1456" s="2">
        <v>800000</v>
      </c>
      <c r="F1456" t="s">
        <v>2900</v>
      </c>
      <c r="G1456" s="17" t="str">
        <f>HYPERLINK("https://www.washoecounty.gov/assessor/cama/?command=sales&amp;parid=01958003","3944340")</f>
        <v>3944340</v>
      </c>
      <c r="H1456" t="s">
        <v>11398</v>
      </c>
      <c r="I1456">
        <v>0</v>
      </c>
      <c r="J1456">
        <v>0</v>
      </c>
      <c r="K1456" t="s">
        <v>4655</v>
      </c>
      <c r="L1456" t="s">
        <v>4655</v>
      </c>
      <c r="M1456" s="2">
        <v>0</v>
      </c>
      <c r="N1456" t="s">
        <v>4655</v>
      </c>
      <c r="O1456">
        <v>0</v>
      </c>
      <c r="P1456">
        <v>0</v>
      </c>
      <c r="Q1456">
        <v>0</v>
      </c>
      <c r="R1456" t="s">
        <v>4655</v>
      </c>
      <c r="S1456" t="s">
        <v>4655</v>
      </c>
      <c r="T1456" t="s">
        <v>4655</v>
      </c>
      <c r="U1456" t="s">
        <v>4655</v>
      </c>
      <c r="V1456" s="2">
        <v>0</v>
      </c>
      <c r="W1456" t="s">
        <v>4655</v>
      </c>
      <c r="X1456" s="2">
        <v>0</v>
      </c>
      <c r="Y1456">
        <v>11</v>
      </c>
      <c r="Z1456" t="s">
        <v>11399</v>
      </c>
      <c r="AA1456" s="3">
        <v>2.9890000820159899</v>
      </c>
      <c r="AB1456" t="s">
        <v>11400</v>
      </c>
      <c r="AC1456" t="s">
        <v>4562</v>
      </c>
      <c r="AD1456" t="s">
        <v>11401</v>
      </c>
      <c r="AE1456" t="s">
        <v>4655</v>
      </c>
      <c r="AF1456" t="s">
        <v>4563</v>
      </c>
      <c r="AG1456" t="s">
        <v>4564</v>
      </c>
      <c r="AH1456">
        <v>89502</v>
      </c>
      <c r="AI1456" t="s">
        <v>11402</v>
      </c>
      <c r="AJ1456" t="s">
        <v>11403</v>
      </c>
      <c r="AK1456" t="s">
        <v>11404</v>
      </c>
      <c r="AL1456" s="13" t="s">
        <v>3423</v>
      </c>
      <c r="AM1456" s="14">
        <v>0</v>
      </c>
      <c r="AN1456" s="15" t="s">
        <v>844</v>
      </c>
    </row>
    <row r="1457" spans="1:40" x14ac:dyDescent="0.3">
      <c r="A1457" s="10" t="str">
        <f>HYPERLINK("http://www.washoecounty.gov/assessor/cama/?parid=019-621-01&amp;CardNumber=1","019-621-01")</f>
        <v>019-621-01</v>
      </c>
      <c r="B1457" t="s">
        <v>4655</v>
      </c>
      <c r="C1457" t="s">
        <v>11405</v>
      </c>
      <c r="D1457" s="1">
        <v>40500</v>
      </c>
      <c r="E1457" s="2">
        <v>800000</v>
      </c>
      <c r="F1457" t="s">
        <v>2900</v>
      </c>
      <c r="G1457" s="17" t="str">
        <f>HYPERLINK("https://www.washoecounty.gov/assessor/cama/?command=sales&amp;parid=01962101","3944340")</f>
        <v>3944340</v>
      </c>
      <c r="H1457" t="s">
        <v>11398</v>
      </c>
      <c r="I1457">
        <v>0</v>
      </c>
      <c r="J1457">
        <v>0</v>
      </c>
      <c r="K1457" t="s">
        <v>4655</v>
      </c>
      <c r="L1457" t="s">
        <v>4655</v>
      </c>
      <c r="M1457" s="2">
        <v>0</v>
      </c>
      <c r="N1457" t="s">
        <v>4655</v>
      </c>
      <c r="O1457">
        <v>0</v>
      </c>
      <c r="P1457">
        <v>0</v>
      </c>
      <c r="Q1457">
        <v>0</v>
      </c>
      <c r="R1457" t="s">
        <v>4655</v>
      </c>
      <c r="S1457" t="s">
        <v>4655</v>
      </c>
      <c r="T1457" t="s">
        <v>4655</v>
      </c>
      <c r="U1457" t="s">
        <v>4655</v>
      </c>
      <c r="V1457" s="2">
        <v>0</v>
      </c>
      <c r="W1457" t="s">
        <v>4655</v>
      </c>
      <c r="X1457" s="2">
        <v>0</v>
      </c>
      <c r="Y1457">
        <v>24</v>
      </c>
      <c r="Z1457" t="s">
        <v>4900</v>
      </c>
      <c r="AA1457" s="3">
        <v>4.24242429435253E-2</v>
      </c>
      <c r="AB1457" t="s">
        <v>11400</v>
      </c>
      <c r="AC1457" t="s">
        <v>4562</v>
      </c>
      <c r="AD1457" t="s">
        <v>11401</v>
      </c>
      <c r="AE1457" t="s">
        <v>4655</v>
      </c>
      <c r="AF1457" t="s">
        <v>4563</v>
      </c>
      <c r="AG1457" t="s">
        <v>4564</v>
      </c>
      <c r="AH1457">
        <v>89502</v>
      </c>
      <c r="AI1457" t="s">
        <v>11402</v>
      </c>
      <c r="AJ1457" t="s">
        <v>11403</v>
      </c>
      <c r="AK1457" t="s">
        <v>11406</v>
      </c>
      <c r="AL1457" s="13" t="s">
        <v>3423</v>
      </c>
      <c r="AM1457" s="14">
        <v>0</v>
      </c>
      <c r="AN1457" s="15" t="s">
        <v>1527</v>
      </c>
    </row>
    <row r="1458" spans="1:40" x14ac:dyDescent="0.3">
      <c r="A1458" s="10" t="str">
        <f>HYPERLINK("http://www.washoecounty.gov/assessor/cama/?parid=019-621-02&amp;CardNumber=1","019-621-02")</f>
        <v>019-621-02</v>
      </c>
      <c r="B1458" t="s">
        <v>4655</v>
      </c>
      <c r="C1458" t="s">
        <v>11405</v>
      </c>
      <c r="D1458" s="1">
        <v>40500</v>
      </c>
      <c r="E1458" s="2">
        <v>800000</v>
      </c>
      <c r="F1458" t="s">
        <v>2900</v>
      </c>
      <c r="G1458" s="17" t="str">
        <f>HYPERLINK("https://www.washoecounty.gov/assessor/cama/?command=sales&amp;parid=01962102","3944340")</f>
        <v>3944340</v>
      </c>
      <c r="H1458" t="s">
        <v>11398</v>
      </c>
      <c r="I1458">
        <v>0</v>
      </c>
      <c r="J1458">
        <v>0</v>
      </c>
      <c r="K1458" t="s">
        <v>4655</v>
      </c>
      <c r="L1458" t="s">
        <v>4655</v>
      </c>
      <c r="M1458" s="2">
        <v>0</v>
      </c>
      <c r="N1458" t="s">
        <v>4655</v>
      </c>
      <c r="O1458">
        <v>0</v>
      </c>
      <c r="P1458">
        <v>0</v>
      </c>
      <c r="Q1458">
        <v>0</v>
      </c>
      <c r="R1458" t="s">
        <v>4655</v>
      </c>
      <c r="S1458" t="s">
        <v>4655</v>
      </c>
      <c r="T1458" t="s">
        <v>4655</v>
      </c>
      <c r="U1458" t="s">
        <v>4655</v>
      </c>
      <c r="V1458" s="2">
        <v>0</v>
      </c>
      <c r="W1458" t="s">
        <v>4655</v>
      </c>
      <c r="X1458" s="2">
        <v>0</v>
      </c>
      <c r="Y1458">
        <v>12</v>
      </c>
      <c r="Z1458" t="s">
        <v>4900</v>
      </c>
      <c r="AA1458" s="3">
        <v>3.3287420868873603E-2</v>
      </c>
      <c r="AB1458" t="s">
        <v>11400</v>
      </c>
      <c r="AC1458" t="s">
        <v>4562</v>
      </c>
      <c r="AD1458" t="s">
        <v>11401</v>
      </c>
      <c r="AE1458" t="s">
        <v>4655</v>
      </c>
      <c r="AF1458" t="s">
        <v>4563</v>
      </c>
      <c r="AG1458" t="s">
        <v>4564</v>
      </c>
      <c r="AH1458">
        <v>89502</v>
      </c>
      <c r="AI1458" t="s">
        <v>11402</v>
      </c>
      <c r="AJ1458" t="s">
        <v>11403</v>
      </c>
      <c r="AK1458" t="s">
        <v>11407</v>
      </c>
      <c r="AL1458" s="13" t="s">
        <v>3423</v>
      </c>
      <c r="AM1458" s="14">
        <v>0</v>
      </c>
      <c r="AN1458" s="15" t="s">
        <v>844</v>
      </c>
    </row>
    <row r="1459" spans="1:40" x14ac:dyDescent="0.3">
      <c r="A1459" s="10" t="str">
        <f>HYPERLINK("http://www.washoecounty.gov/assessor/cama/?parid=019-621-03&amp;CardNumber=1","019-621-03")</f>
        <v>019-621-03</v>
      </c>
      <c r="B1459" t="s">
        <v>4655</v>
      </c>
      <c r="C1459" t="s">
        <v>11405</v>
      </c>
      <c r="D1459" s="1">
        <v>40500</v>
      </c>
      <c r="E1459" s="2">
        <v>800000</v>
      </c>
      <c r="F1459" t="s">
        <v>2900</v>
      </c>
      <c r="G1459" s="17" t="str">
        <f>HYPERLINK("https://www.washoecounty.gov/assessor/cama/?command=sales&amp;parid=01962103","3944340")</f>
        <v>3944340</v>
      </c>
      <c r="H1459" t="s">
        <v>11398</v>
      </c>
      <c r="I1459">
        <v>0</v>
      </c>
      <c r="J1459">
        <v>0</v>
      </c>
      <c r="K1459" t="s">
        <v>4655</v>
      </c>
      <c r="L1459" t="s">
        <v>4655</v>
      </c>
      <c r="M1459" s="2">
        <v>0</v>
      </c>
      <c r="N1459" t="s">
        <v>4655</v>
      </c>
      <c r="O1459">
        <v>0</v>
      </c>
      <c r="P1459">
        <v>0</v>
      </c>
      <c r="Q1459">
        <v>0</v>
      </c>
      <c r="R1459" t="s">
        <v>4655</v>
      </c>
      <c r="S1459" t="s">
        <v>4655</v>
      </c>
      <c r="T1459" t="s">
        <v>4655</v>
      </c>
      <c r="U1459" t="s">
        <v>4655</v>
      </c>
      <c r="V1459" s="2">
        <v>0</v>
      </c>
      <c r="W1459" t="s">
        <v>4655</v>
      </c>
      <c r="X1459" s="2">
        <v>0</v>
      </c>
      <c r="Y1459">
        <v>12</v>
      </c>
      <c r="Z1459" t="s">
        <v>4900</v>
      </c>
      <c r="AA1459" s="3">
        <v>1.97658408433199E-2</v>
      </c>
      <c r="AB1459" t="s">
        <v>11400</v>
      </c>
      <c r="AC1459" t="s">
        <v>4562</v>
      </c>
      <c r="AD1459" t="s">
        <v>11401</v>
      </c>
      <c r="AE1459" t="s">
        <v>4655</v>
      </c>
      <c r="AF1459" t="s">
        <v>4563</v>
      </c>
      <c r="AG1459" t="s">
        <v>4564</v>
      </c>
      <c r="AH1459">
        <v>89502</v>
      </c>
      <c r="AI1459" t="s">
        <v>11402</v>
      </c>
      <c r="AJ1459" t="s">
        <v>11403</v>
      </c>
      <c r="AK1459" t="s">
        <v>11408</v>
      </c>
      <c r="AL1459" s="13" t="s">
        <v>3423</v>
      </c>
      <c r="AM1459">
        <v>0</v>
      </c>
      <c r="AN1459" s="15" t="s">
        <v>844</v>
      </c>
    </row>
    <row r="1460" spans="1:40" x14ac:dyDescent="0.3">
      <c r="A1460" s="10" t="str">
        <f>HYPERLINK("http://www.washoecounty.gov/assessor/cama/?parid=019-621-04&amp;CardNumber=1","019-621-04")</f>
        <v>019-621-04</v>
      </c>
      <c r="B1460" t="s">
        <v>4655</v>
      </c>
      <c r="C1460" t="s">
        <v>11405</v>
      </c>
      <c r="D1460" s="1">
        <v>40500</v>
      </c>
      <c r="E1460" s="2">
        <v>800000</v>
      </c>
      <c r="F1460" t="s">
        <v>2900</v>
      </c>
      <c r="G1460" s="17" t="str">
        <f>HYPERLINK("https://www.washoecounty.gov/assessor/cama/?command=sales&amp;parid=01962104","3944340")</f>
        <v>3944340</v>
      </c>
      <c r="H1460" t="s">
        <v>11398</v>
      </c>
      <c r="I1460">
        <v>0</v>
      </c>
      <c r="J1460">
        <v>0</v>
      </c>
      <c r="K1460" t="s">
        <v>4655</v>
      </c>
      <c r="L1460" t="s">
        <v>4655</v>
      </c>
      <c r="M1460" s="2">
        <v>0</v>
      </c>
      <c r="N1460" t="s">
        <v>4655</v>
      </c>
      <c r="O1460">
        <v>0</v>
      </c>
      <c r="P1460">
        <v>0</v>
      </c>
      <c r="Q1460">
        <v>0</v>
      </c>
      <c r="R1460" t="s">
        <v>4655</v>
      </c>
      <c r="S1460" t="s">
        <v>4655</v>
      </c>
      <c r="T1460" t="s">
        <v>4655</v>
      </c>
      <c r="U1460" t="s">
        <v>4655</v>
      </c>
      <c r="V1460" s="2">
        <v>0</v>
      </c>
      <c r="W1460" t="s">
        <v>4655</v>
      </c>
      <c r="X1460" s="2">
        <v>0</v>
      </c>
      <c r="Y1460">
        <v>12</v>
      </c>
      <c r="Z1460" t="s">
        <v>4900</v>
      </c>
      <c r="AA1460" s="3">
        <v>1.97658408433199E-2</v>
      </c>
      <c r="AB1460" t="s">
        <v>11400</v>
      </c>
      <c r="AC1460" t="s">
        <v>4562</v>
      </c>
      <c r="AD1460" t="s">
        <v>11401</v>
      </c>
      <c r="AE1460" t="s">
        <v>4655</v>
      </c>
      <c r="AF1460" t="s">
        <v>4563</v>
      </c>
      <c r="AG1460" t="s">
        <v>4564</v>
      </c>
      <c r="AH1460">
        <v>89502</v>
      </c>
      <c r="AI1460" t="s">
        <v>11402</v>
      </c>
      <c r="AJ1460" t="s">
        <v>11403</v>
      </c>
      <c r="AK1460" t="s">
        <v>11409</v>
      </c>
      <c r="AL1460" s="13" t="s">
        <v>3423</v>
      </c>
      <c r="AM1460">
        <v>0</v>
      </c>
      <c r="AN1460" s="15" t="s">
        <v>844</v>
      </c>
    </row>
    <row r="1461" spans="1:40" x14ac:dyDescent="0.3">
      <c r="A1461" s="10" t="str">
        <f>HYPERLINK("http://www.washoecounty.gov/assessor/cama/?parid=019-621-05&amp;CardNumber=1","019-621-05")</f>
        <v>019-621-05</v>
      </c>
      <c r="B1461" t="s">
        <v>4655</v>
      </c>
      <c r="C1461" t="s">
        <v>11405</v>
      </c>
      <c r="D1461" s="1">
        <v>40500</v>
      </c>
      <c r="E1461" s="2">
        <v>800000</v>
      </c>
      <c r="F1461" t="s">
        <v>2900</v>
      </c>
      <c r="G1461" s="17" t="str">
        <f>HYPERLINK("https://www.washoecounty.gov/assessor/cama/?command=sales&amp;parid=01962105","3944340")</f>
        <v>3944340</v>
      </c>
      <c r="H1461" t="s">
        <v>11398</v>
      </c>
      <c r="I1461">
        <v>0</v>
      </c>
      <c r="J1461">
        <v>0</v>
      </c>
      <c r="K1461" t="s">
        <v>4655</v>
      </c>
      <c r="L1461" t="s">
        <v>4655</v>
      </c>
      <c r="M1461" s="2">
        <v>0</v>
      </c>
      <c r="N1461" t="s">
        <v>4655</v>
      </c>
      <c r="O1461">
        <v>0</v>
      </c>
      <c r="P1461">
        <v>0</v>
      </c>
      <c r="Q1461">
        <v>0</v>
      </c>
      <c r="R1461" t="s">
        <v>4655</v>
      </c>
      <c r="S1461" t="s">
        <v>4655</v>
      </c>
      <c r="T1461" t="s">
        <v>4655</v>
      </c>
      <c r="U1461" t="s">
        <v>4655</v>
      </c>
      <c r="V1461" s="2">
        <v>0</v>
      </c>
      <c r="W1461" t="s">
        <v>4655</v>
      </c>
      <c r="X1461" s="2">
        <v>0</v>
      </c>
      <c r="Y1461">
        <v>12</v>
      </c>
      <c r="Z1461" t="s">
        <v>4900</v>
      </c>
      <c r="AA1461" s="3">
        <v>1.97658408433199E-2</v>
      </c>
      <c r="AB1461" t="s">
        <v>11400</v>
      </c>
      <c r="AC1461" t="s">
        <v>4562</v>
      </c>
      <c r="AD1461" t="s">
        <v>11401</v>
      </c>
      <c r="AE1461" t="s">
        <v>4655</v>
      </c>
      <c r="AF1461" t="s">
        <v>4563</v>
      </c>
      <c r="AG1461" t="s">
        <v>4564</v>
      </c>
      <c r="AH1461">
        <v>89502</v>
      </c>
      <c r="AI1461" t="s">
        <v>11402</v>
      </c>
      <c r="AJ1461" t="s">
        <v>11403</v>
      </c>
      <c r="AK1461" t="s">
        <v>11410</v>
      </c>
      <c r="AL1461" s="13" t="s">
        <v>3423</v>
      </c>
      <c r="AM1461">
        <v>0</v>
      </c>
      <c r="AN1461" s="15" t="s">
        <v>844</v>
      </c>
    </row>
    <row r="1462" spans="1:40" x14ac:dyDescent="0.3">
      <c r="A1462" s="10" t="str">
        <f>HYPERLINK("http://www.washoecounty.gov/assessor/cama/?parid=019-621-06&amp;CardNumber=1","019-621-06")</f>
        <v>019-621-06</v>
      </c>
      <c r="B1462" t="s">
        <v>4655</v>
      </c>
      <c r="C1462" t="s">
        <v>11405</v>
      </c>
      <c r="D1462" s="1">
        <v>40500</v>
      </c>
      <c r="E1462" s="2">
        <v>800000</v>
      </c>
      <c r="F1462" t="s">
        <v>2900</v>
      </c>
      <c r="G1462" s="17" t="str">
        <f>HYPERLINK("https://www.washoecounty.gov/assessor/cama/?command=sales&amp;parid=01962106","3944340")</f>
        <v>3944340</v>
      </c>
      <c r="H1462" t="s">
        <v>11398</v>
      </c>
      <c r="I1462">
        <v>0</v>
      </c>
      <c r="J1462">
        <v>0</v>
      </c>
      <c r="K1462" t="s">
        <v>4655</v>
      </c>
      <c r="L1462" t="s">
        <v>4655</v>
      </c>
      <c r="M1462" s="2">
        <v>0</v>
      </c>
      <c r="N1462" t="s">
        <v>4655</v>
      </c>
      <c r="O1462">
        <v>0</v>
      </c>
      <c r="P1462">
        <v>0</v>
      </c>
      <c r="Q1462">
        <v>0</v>
      </c>
      <c r="R1462" t="s">
        <v>4655</v>
      </c>
      <c r="S1462" t="s">
        <v>4655</v>
      </c>
      <c r="T1462" t="s">
        <v>4655</v>
      </c>
      <c r="U1462" t="s">
        <v>4655</v>
      </c>
      <c r="V1462" s="2">
        <v>0</v>
      </c>
      <c r="W1462" t="s">
        <v>4655</v>
      </c>
      <c r="X1462" s="2">
        <v>0</v>
      </c>
      <c r="Y1462">
        <v>12</v>
      </c>
      <c r="Z1462" t="s">
        <v>4900</v>
      </c>
      <c r="AA1462" s="3">
        <v>1.97658408433199E-2</v>
      </c>
      <c r="AB1462" t="s">
        <v>11400</v>
      </c>
      <c r="AC1462" t="s">
        <v>4562</v>
      </c>
      <c r="AD1462" t="s">
        <v>11401</v>
      </c>
      <c r="AE1462" t="s">
        <v>4655</v>
      </c>
      <c r="AF1462" t="s">
        <v>4563</v>
      </c>
      <c r="AG1462" t="s">
        <v>4564</v>
      </c>
      <c r="AH1462">
        <v>89502</v>
      </c>
      <c r="AI1462" t="s">
        <v>11402</v>
      </c>
      <c r="AJ1462" t="s">
        <v>11403</v>
      </c>
      <c r="AK1462" t="s">
        <v>11411</v>
      </c>
      <c r="AL1462" s="13" t="s">
        <v>3423</v>
      </c>
      <c r="AM1462">
        <v>0</v>
      </c>
      <c r="AN1462" s="15" t="s">
        <v>844</v>
      </c>
    </row>
    <row r="1463" spans="1:40" x14ac:dyDescent="0.3">
      <c r="A1463" s="10" t="str">
        <f>HYPERLINK("http://www.washoecounty.gov/assessor/cama/?parid=019-621-07&amp;CardNumber=1","019-621-07")</f>
        <v>019-621-07</v>
      </c>
      <c r="B1463" t="s">
        <v>4655</v>
      </c>
      <c r="C1463" t="s">
        <v>11405</v>
      </c>
      <c r="D1463" s="1">
        <v>40500</v>
      </c>
      <c r="E1463" s="2">
        <v>800000</v>
      </c>
      <c r="F1463" t="s">
        <v>2900</v>
      </c>
      <c r="G1463" s="17" t="str">
        <f>HYPERLINK("https://www.washoecounty.gov/assessor/cama/?command=sales&amp;parid=01962107","3944340")</f>
        <v>3944340</v>
      </c>
      <c r="H1463" t="s">
        <v>11398</v>
      </c>
      <c r="I1463">
        <v>0</v>
      </c>
      <c r="J1463">
        <v>0</v>
      </c>
      <c r="K1463" t="s">
        <v>4655</v>
      </c>
      <c r="L1463" t="s">
        <v>4655</v>
      </c>
      <c r="M1463" s="2">
        <v>0</v>
      </c>
      <c r="N1463" t="s">
        <v>4655</v>
      </c>
      <c r="O1463">
        <v>0</v>
      </c>
      <c r="P1463">
        <v>0</v>
      </c>
      <c r="Q1463">
        <v>0</v>
      </c>
      <c r="R1463" t="s">
        <v>4655</v>
      </c>
      <c r="S1463" t="s">
        <v>4655</v>
      </c>
      <c r="T1463" t="s">
        <v>4655</v>
      </c>
      <c r="U1463" t="s">
        <v>4655</v>
      </c>
      <c r="V1463" s="2">
        <v>0</v>
      </c>
      <c r="W1463" t="s">
        <v>4655</v>
      </c>
      <c r="X1463" s="2">
        <v>0</v>
      </c>
      <c r="Y1463">
        <v>12</v>
      </c>
      <c r="Z1463" t="s">
        <v>4900</v>
      </c>
      <c r="AA1463" s="3">
        <v>2.17401292175055E-2</v>
      </c>
      <c r="AB1463" t="s">
        <v>11400</v>
      </c>
      <c r="AC1463" t="s">
        <v>4562</v>
      </c>
      <c r="AD1463" t="s">
        <v>11401</v>
      </c>
      <c r="AE1463" t="s">
        <v>4655</v>
      </c>
      <c r="AF1463" t="s">
        <v>4563</v>
      </c>
      <c r="AG1463" t="s">
        <v>4564</v>
      </c>
      <c r="AH1463">
        <v>89502</v>
      </c>
      <c r="AI1463" t="s">
        <v>11402</v>
      </c>
      <c r="AJ1463" t="s">
        <v>11403</v>
      </c>
      <c r="AK1463" t="s">
        <v>11412</v>
      </c>
      <c r="AL1463" s="13" t="s">
        <v>3423</v>
      </c>
      <c r="AM1463" s="14">
        <v>0</v>
      </c>
      <c r="AN1463" s="15" t="s">
        <v>844</v>
      </c>
    </row>
    <row r="1464" spans="1:40" x14ac:dyDescent="0.3">
      <c r="A1464" s="10" t="str">
        <f>HYPERLINK("http://www.washoecounty.gov/assessor/cama/?parid=020-111-33&amp;CardNumber=1","020-111-33")</f>
        <v>020-111-33</v>
      </c>
      <c r="B1464" t="s">
        <v>5502</v>
      </c>
      <c r="C1464" t="s">
        <v>11413</v>
      </c>
      <c r="D1464" s="1">
        <v>40326</v>
      </c>
      <c r="E1464" s="2">
        <v>45000</v>
      </c>
      <c r="F1464" t="s">
        <v>4567</v>
      </c>
      <c r="G1464" s="17" t="str">
        <f>HYPERLINK("https://www.washoecounty.gov/assessor/cama/?command=sales&amp;parid=02011133","3886871")</f>
        <v>3886871</v>
      </c>
      <c r="H1464" t="s">
        <v>3967</v>
      </c>
      <c r="I1464">
        <v>1953</v>
      </c>
      <c r="J1464">
        <v>1953</v>
      </c>
      <c r="K1464" t="s">
        <v>4554</v>
      </c>
      <c r="L1464" t="s">
        <v>4555</v>
      </c>
      <c r="M1464" s="2">
        <v>620</v>
      </c>
      <c r="N1464" t="s">
        <v>4672</v>
      </c>
      <c r="O1464">
        <v>1</v>
      </c>
      <c r="P1464">
        <v>1</v>
      </c>
      <c r="Q1464">
        <v>0</v>
      </c>
      <c r="R1464" t="s">
        <v>1800</v>
      </c>
      <c r="S1464" t="s">
        <v>4574</v>
      </c>
      <c r="T1464" t="s">
        <v>4559</v>
      </c>
      <c r="U1464" t="s">
        <v>4655</v>
      </c>
      <c r="V1464" s="2">
        <v>0</v>
      </c>
      <c r="W1464" t="s">
        <v>4655</v>
      </c>
      <c r="X1464" s="2">
        <v>0</v>
      </c>
      <c r="Y1464">
        <v>31</v>
      </c>
      <c r="Z1464" t="s">
        <v>4900</v>
      </c>
      <c r="AA1464" s="3">
        <v>0.13200183212757099</v>
      </c>
      <c r="AB1464" t="s">
        <v>10429</v>
      </c>
      <c r="AC1464" t="s">
        <v>4575</v>
      </c>
      <c r="AD1464" t="s">
        <v>11414</v>
      </c>
      <c r="AE1464" t="s">
        <v>4655</v>
      </c>
      <c r="AF1464" t="s">
        <v>4563</v>
      </c>
      <c r="AG1464" t="s">
        <v>4564</v>
      </c>
      <c r="AH1464">
        <v>89511</v>
      </c>
      <c r="AI1464" t="s">
        <v>11415</v>
      </c>
      <c r="AJ1464" t="s">
        <v>4655</v>
      </c>
      <c r="AK1464" t="s">
        <v>11416</v>
      </c>
      <c r="AL1464" s="13" t="s">
        <v>2256</v>
      </c>
      <c r="AM1464">
        <v>2</v>
      </c>
      <c r="AN1464" s="15" t="s">
        <v>4591</v>
      </c>
    </row>
    <row r="1465" spans="1:40" x14ac:dyDescent="0.3">
      <c r="A1465" s="10" t="str">
        <f>HYPERLINK("http://www.washoecounty.gov/assessor/cama/?parid=020-111-35&amp;CardNumber=1","020-111-35")</f>
        <v>020-111-35</v>
      </c>
      <c r="B1465" t="s">
        <v>4655</v>
      </c>
      <c r="C1465" t="s">
        <v>11417</v>
      </c>
      <c r="D1465" s="1">
        <v>40359</v>
      </c>
      <c r="E1465" s="2">
        <v>50000</v>
      </c>
      <c r="F1465" t="s">
        <v>4567</v>
      </c>
      <c r="G1465" s="17" t="str">
        <f>HYPERLINK("https://www.washoecounty.gov/assessor/cama/?command=sales&amp;parid=02011135","3897482")</f>
        <v>3897482</v>
      </c>
      <c r="H1465" t="s">
        <v>3967</v>
      </c>
      <c r="I1465">
        <v>1950</v>
      </c>
      <c r="J1465">
        <v>1950</v>
      </c>
      <c r="K1465" t="s">
        <v>4554</v>
      </c>
      <c r="L1465" t="s">
        <v>4555</v>
      </c>
      <c r="M1465" s="2">
        <v>704</v>
      </c>
      <c r="N1465" t="s">
        <v>4672</v>
      </c>
      <c r="O1465">
        <v>1</v>
      </c>
      <c r="P1465">
        <v>1</v>
      </c>
      <c r="Q1465">
        <v>0</v>
      </c>
      <c r="R1465" t="s">
        <v>1800</v>
      </c>
      <c r="S1465" t="s">
        <v>4574</v>
      </c>
      <c r="T1465" t="s">
        <v>4559</v>
      </c>
      <c r="U1465" t="s">
        <v>4560</v>
      </c>
      <c r="V1465" s="2">
        <v>252</v>
      </c>
      <c r="W1465" t="s">
        <v>4655</v>
      </c>
      <c r="X1465" s="2">
        <v>0</v>
      </c>
      <c r="Y1465">
        <v>20</v>
      </c>
      <c r="Z1465" t="s">
        <v>4900</v>
      </c>
      <c r="AA1465" s="3">
        <v>0.14499540627002699</v>
      </c>
      <c r="AB1465" t="s">
        <v>11418</v>
      </c>
      <c r="AC1465" t="s">
        <v>4562</v>
      </c>
      <c r="AD1465" t="s">
        <v>11417</v>
      </c>
      <c r="AE1465" t="s">
        <v>4655</v>
      </c>
      <c r="AF1465" t="s">
        <v>4563</v>
      </c>
      <c r="AG1465" t="s">
        <v>4564</v>
      </c>
      <c r="AH1465">
        <v>89502</v>
      </c>
      <c r="AI1465" t="s">
        <v>4191</v>
      </c>
      <c r="AJ1465" t="s">
        <v>4655</v>
      </c>
      <c r="AK1465" t="s">
        <v>11416</v>
      </c>
      <c r="AL1465" s="13" t="s">
        <v>2256</v>
      </c>
      <c r="AM1465">
        <v>1</v>
      </c>
      <c r="AN1465" s="15" t="s">
        <v>1428</v>
      </c>
    </row>
    <row r="1466" spans="1:40" x14ac:dyDescent="0.3">
      <c r="A1466" s="10" t="str">
        <f>HYPERLINK("http://www.washoecounty.gov/assessor/cama/?parid=020-241-26&amp;CardNumber=1","020-241-26")</f>
        <v>020-241-26</v>
      </c>
      <c r="B1466" t="s">
        <v>4655</v>
      </c>
      <c r="C1466" t="s">
        <v>11419</v>
      </c>
      <c r="D1466" s="1">
        <v>40297</v>
      </c>
      <c r="E1466" s="2">
        <v>105000</v>
      </c>
      <c r="F1466" t="s">
        <v>4553</v>
      </c>
      <c r="G1466" s="17" t="str">
        <f>HYPERLINK("https://www.washoecounty.gov/assessor/cama/?command=sales&amp;parid=02024126","3875925")</f>
        <v>3875925</v>
      </c>
      <c r="H1466" t="s">
        <v>5010</v>
      </c>
      <c r="I1466">
        <v>1958</v>
      </c>
      <c r="J1466">
        <v>1958</v>
      </c>
      <c r="K1466" t="s">
        <v>4554</v>
      </c>
      <c r="L1466" t="s">
        <v>4555</v>
      </c>
      <c r="M1466" s="2">
        <v>1584</v>
      </c>
      <c r="N1466" t="s">
        <v>4048</v>
      </c>
      <c r="O1466">
        <v>4</v>
      </c>
      <c r="P1466">
        <v>3</v>
      </c>
      <c r="Q1466">
        <v>0</v>
      </c>
      <c r="R1466" t="s">
        <v>4557</v>
      </c>
      <c r="S1466" t="s">
        <v>4135</v>
      </c>
      <c r="T1466" t="s">
        <v>4559</v>
      </c>
      <c r="U1466" t="s">
        <v>4655</v>
      </c>
      <c r="V1466" s="2">
        <v>0</v>
      </c>
      <c r="W1466" t="s">
        <v>4655</v>
      </c>
      <c r="X1466" s="2">
        <v>0</v>
      </c>
      <c r="Y1466">
        <v>20</v>
      </c>
      <c r="Z1466" t="s">
        <v>434</v>
      </c>
      <c r="AA1466" s="3">
        <v>0.22601009905338301</v>
      </c>
      <c r="AB1466" t="s">
        <v>11420</v>
      </c>
      <c r="AC1466" t="s">
        <v>4575</v>
      </c>
      <c r="AD1466" t="s">
        <v>11421</v>
      </c>
      <c r="AE1466" t="s">
        <v>4655</v>
      </c>
      <c r="AF1466" t="s">
        <v>4563</v>
      </c>
      <c r="AG1466" t="s">
        <v>4564</v>
      </c>
      <c r="AH1466" t="s">
        <v>5197</v>
      </c>
      <c r="AI1466" t="s">
        <v>4045</v>
      </c>
      <c r="AJ1466" t="s">
        <v>4655</v>
      </c>
      <c r="AK1466" t="s">
        <v>11422</v>
      </c>
      <c r="AL1466" s="13" t="s">
        <v>2255</v>
      </c>
      <c r="AM1466">
        <v>1</v>
      </c>
      <c r="AN1466" s="15" t="s">
        <v>2580</v>
      </c>
    </row>
    <row r="1467" spans="1:40" x14ac:dyDescent="0.3">
      <c r="A1467" s="10" t="str">
        <f>HYPERLINK("http://www.washoecounty.gov/assessor/cama/?parid=020-241-54&amp;CardNumber=1","020-241-54")</f>
        <v>020-241-54</v>
      </c>
      <c r="B1467" t="s">
        <v>4655</v>
      </c>
      <c r="C1467" t="s">
        <v>11423</v>
      </c>
      <c r="D1467" s="1">
        <v>40242</v>
      </c>
      <c r="E1467" s="2">
        <v>27500</v>
      </c>
      <c r="F1467" t="s">
        <v>4553</v>
      </c>
      <c r="G1467" s="17" t="str">
        <f>HYPERLINK("https://www.washoecounty.gov/assessor/cama/?command=sales&amp;parid=02024154","3856522")</f>
        <v>3856522</v>
      </c>
      <c r="H1467" t="s">
        <v>11424</v>
      </c>
      <c r="I1467">
        <v>1960</v>
      </c>
      <c r="J1467">
        <v>1960</v>
      </c>
      <c r="K1467" t="s">
        <v>4554</v>
      </c>
      <c r="L1467" t="s">
        <v>4555</v>
      </c>
      <c r="M1467" s="2">
        <v>768</v>
      </c>
      <c r="N1467" t="s">
        <v>4133</v>
      </c>
      <c r="O1467">
        <v>2</v>
      </c>
      <c r="P1467">
        <v>1</v>
      </c>
      <c r="Q1467">
        <v>0</v>
      </c>
      <c r="R1467" t="s">
        <v>4134</v>
      </c>
      <c r="S1467" t="s">
        <v>4574</v>
      </c>
      <c r="T1467" t="s">
        <v>4559</v>
      </c>
      <c r="U1467" t="s">
        <v>4655</v>
      </c>
      <c r="V1467" s="2">
        <v>0</v>
      </c>
      <c r="W1467" t="s">
        <v>4655</v>
      </c>
      <c r="X1467" s="2">
        <v>0</v>
      </c>
      <c r="Y1467">
        <v>20</v>
      </c>
      <c r="Z1467" t="s">
        <v>434</v>
      </c>
      <c r="AA1467" s="3">
        <v>6.7240588366985293E-2</v>
      </c>
      <c r="AB1467" t="s">
        <v>11425</v>
      </c>
      <c r="AC1467" t="s">
        <v>4575</v>
      </c>
      <c r="AD1467" t="s">
        <v>11426</v>
      </c>
      <c r="AE1467" t="s">
        <v>11427</v>
      </c>
      <c r="AF1467" t="s">
        <v>4563</v>
      </c>
      <c r="AG1467" t="s">
        <v>4564</v>
      </c>
      <c r="AH1467">
        <v>89511</v>
      </c>
      <c r="AI1467" t="s">
        <v>4903</v>
      </c>
      <c r="AJ1467" t="s">
        <v>11428</v>
      </c>
      <c r="AK1467" t="s">
        <v>11429</v>
      </c>
      <c r="AL1467" s="13" t="s">
        <v>2255</v>
      </c>
      <c r="AM1467">
        <v>1</v>
      </c>
      <c r="AN1467" s="15" t="s">
        <v>2580</v>
      </c>
    </row>
    <row r="1468" spans="1:40" x14ac:dyDescent="0.3">
      <c r="A1468" s="10" t="str">
        <f>HYPERLINK("http://www.washoecounty.gov/assessor/cama/?parid=020-241-55&amp;CardNumber=1","020-241-55")</f>
        <v>020-241-55</v>
      </c>
      <c r="B1468" t="s">
        <v>4655</v>
      </c>
      <c r="C1468" t="s">
        <v>11430</v>
      </c>
      <c r="D1468" s="1">
        <v>40525</v>
      </c>
      <c r="E1468" s="2">
        <v>29900</v>
      </c>
      <c r="F1468" t="s">
        <v>4553</v>
      </c>
      <c r="G1468" s="17" t="str">
        <f>HYPERLINK("https://www.washoecounty.gov/assessor/cama/?command=sales&amp;parid=02024155","3952687")</f>
        <v>3952687</v>
      </c>
      <c r="H1468" t="s">
        <v>11424</v>
      </c>
      <c r="I1468">
        <v>1959</v>
      </c>
      <c r="J1468">
        <v>1959</v>
      </c>
      <c r="K1468" t="s">
        <v>4554</v>
      </c>
      <c r="L1468" t="s">
        <v>4555</v>
      </c>
      <c r="M1468" s="2">
        <v>864</v>
      </c>
      <c r="N1468" t="s">
        <v>4672</v>
      </c>
      <c r="O1468">
        <v>2</v>
      </c>
      <c r="P1468">
        <v>1</v>
      </c>
      <c r="Q1468">
        <v>0</v>
      </c>
      <c r="R1468" t="s">
        <v>4557</v>
      </c>
      <c r="S1468" t="s">
        <v>4574</v>
      </c>
      <c r="T1468" t="s">
        <v>4559</v>
      </c>
      <c r="U1468" t="s">
        <v>4655</v>
      </c>
      <c r="V1468" s="2">
        <v>0</v>
      </c>
      <c r="W1468" t="s">
        <v>4655</v>
      </c>
      <c r="X1468" s="2">
        <v>0</v>
      </c>
      <c r="Y1468">
        <v>20</v>
      </c>
      <c r="Z1468" t="s">
        <v>434</v>
      </c>
      <c r="AA1468" s="3">
        <v>7.7754817903041798E-2</v>
      </c>
      <c r="AB1468" t="s">
        <v>11431</v>
      </c>
      <c r="AC1468" t="s">
        <v>4562</v>
      </c>
      <c r="AD1468" t="s">
        <v>11430</v>
      </c>
      <c r="AE1468" t="s">
        <v>4655</v>
      </c>
      <c r="AF1468" t="s">
        <v>4563</v>
      </c>
      <c r="AG1468" t="s">
        <v>4564</v>
      </c>
      <c r="AH1468">
        <v>89502</v>
      </c>
      <c r="AI1468" t="s">
        <v>4903</v>
      </c>
      <c r="AJ1468" t="s">
        <v>11428</v>
      </c>
      <c r="AK1468" t="s">
        <v>11432</v>
      </c>
      <c r="AL1468" s="13" t="s">
        <v>2255</v>
      </c>
      <c r="AM1468">
        <v>1</v>
      </c>
      <c r="AN1468" s="15" t="s">
        <v>2580</v>
      </c>
    </row>
    <row r="1469" spans="1:40" x14ac:dyDescent="0.3">
      <c r="A1469" s="10" t="str">
        <f>HYPERLINK("http://www.washoecounty.gov/assessor/cama/?parid=020-241-57&amp;CardNumber=1","020-241-57")</f>
        <v>020-241-57</v>
      </c>
      <c r="B1469" t="s">
        <v>4655</v>
      </c>
      <c r="C1469" t="s">
        <v>11433</v>
      </c>
      <c r="D1469" s="1">
        <v>40463</v>
      </c>
      <c r="E1469" s="2">
        <v>48825</v>
      </c>
      <c r="F1469" t="s">
        <v>4553</v>
      </c>
      <c r="G1469" s="17" t="str">
        <f>HYPERLINK("https://www.washoecounty.gov/assessor/cama/?command=sales&amp;parid=02024157","3931769")</f>
        <v>3931769</v>
      </c>
      <c r="H1469" t="s">
        <v>581</v>
      </c>
      <c r="I1469">
        <v>1978</v>
      </c>
      <c r="J1469">
        <v>1978</v>
      </c>
      <c r="K1469" t="s">
        <v>4554</v>
      </c>
      <c r="L1469" t="s">
        <v>4555</v>
      </c>
      <c r="M1469" s="2">
        <v>1222</v>
      </c>
      <c r="N1469" t="s">
        <v>4556</v>
      </c>
      <c r="O1469">
        <v>2</v>
      </c>
      <c r="P1469">
        <v>2</v>
      </c>
      <c r="Q1469">
        <v>0</v>
      </c>
      <c r="R1469" t="s">
        <v>4557</v>
      </c>
      <c r="S1469" t="s">
        <v>4135</v>
      </c>
      <c r="T1469" t="s">
        <v>4559</v>
      </c>
      <c r="U1469" t="s">
        <v>4560</v>
      </c>
      <c r="V1469" s="2">
        <v>390</v>
      </c>
      <c r="W1469" t="s">
        <v>4655</v>
      </c>
      <c r="X1469" s="2">
        <v>0</v>
      </c>
      <c r="Y1469">
        <v>20</v>
      </c>
      <c r="Z1469" t="s">
        <v>434</v>
      </c>
      <c r="AA1469" s="3">
        <v>0.165381088852882</v>
      </c>
      <c r="AB1469" t="s">
        <v>11434</v>
      </c>
      <c r="AC1469" t="s">
        <v>4562</v>
      </c>
      <c r="AD1469" t="s">
        <v>11435</v>
      </c>
      <c r="AE1469" t="s">
        <v>4655</v>
      </c>
      <c r="AF1469" t="s">
        <v>4563</v>
      </c>
      <c r="AG1469" t="s">
        <v>4564</v>
      </c>
      <c r="AH1469">
        <v>89502</v>
      </c>
      <c r="AI1469" t="s">
        <v>4903</v>
      </c>
      <c r="AJ1469" t="s">
        <v>582</v>
      </c>
      <c r="AK1469" t="s">
        <v>11436</v>
      </c>
      <c r="AL1469" s="13" t="s">
        <v>2255</v>
      </c>
      <c r="AM1469" s="14">
        <v>1</v>
      </c>
      <c r="AN1469" s="15" t="s">
        <v>2580</v>
      </c>
    </row>
    <row r="1470" spans="1:40" x14ac:dyDescent="0.3">
      <c r="A1470" s="10" t="str">
        <f>HYPERLINK("http://www.washoecounty.gov/assessor/cama/?parid=020-241-58&amp;CardNumber=1","020-241-58")</f>
        <v>020-241-58</v>
      </c>
      <c r="B1470" t="s">
        <v>4655</v>
      </c>
      <c r="C1470" t="s">
        <v>580</v>
      </c>
      <c r="D1470" s="1">
        <v>40368</v>
      </c>
      <c r="E1470" s="2">
        <v>32500</v>
      </c>
      <c r="F1470" t="s">
        <v>4553</v>
      </c>
      <c r="G1470" s="17" t="str">
        <f>HYPERLINK("https://www.washoecounty.gov/assessor/cama/?command=sales&amp;parid=02024158","3899702")</f>
        <v>3899702</v>
      </c>
      <c r="H1470" t="s">
        <v>581</v>
      </c>
      <c r="I1470">
        <v>1959</v>
      </c>
      <c r="J1470">
        <v>1959</v>
      </c>
      <c r="K1470" t="s">
        <v>4907</v>
      </c>
      <c r="L1470" t="s">
        <v>4555</v>
      </c>
      <c r="M1470" s="2">
        <v>976</v>
      </c>
      <c r="N1470" t="s">
        <v>4556</v>
      </c>
      <c r="O1470">
        <v>2</v>
      </c>
      <c r="P1470">
        <v>2</v>
      </c>
      <c r="Q1470">
        <v>0</v>
      </c>
      <c r="R1470" t="s">
        <v>4557</v>
      </c>
      <c r="S1470" t="s">
        <v>4574</v>
      </c>
      <c r="T1470" t="s">
        <v>4559</v>
      </c>
      <c r="U1470" t="s">
        <v>4655</v>
      </c>
      <c r="V1470" s="2">
        <v>0</v>
      </c>
      <c r="W1470" t="s">
        <v>4655</v>
      </c>
      <c r="X1470" s="2">
        <v>0</v>
      </c>
      <c r="Y1470">
        <v>30</v>
      </c>
      <c r="Z1470" t="s">
        <v>434</v>
      </c>
      <c r="AA1470" s="3">
        <v>6.9651052355766296E-2</v>
      </c>
      <c r="AB1470" t="s">
        <v>712</v>
      </c>
      <c r="AC1470" t="s">
        <v>4575</v>
      </c>
      <c r="AD1470" t="s">
        <v>713</v>
      </c>
      <c r="AE1470" t="s">
        <v>4655</v>
      </c>
      <c r="AF1470" t="s">
        <v>3033</v>
      </c>
      <c r="AG1470" t="s">
        <v>4584</v>
      </c>
      <c r="AH1470" t="s">
        <v>1037</v>
      </c>
      <c r="AI1470" t="s">
        <v>5390</v>
      </c>
      <c r="AJ1470" t="s">
        <v>582</v>
      </c>
      <c r="AK1470" t="s">
        <v>583</v>
      </c>
      <c r="AL1470" s="13" t="s">
        <v>2255</v>
      </c>
      <c r="AM1470">
        <v>2</v>
      </c>
      <c r="AN1470" s="15" t="s">
        <v>1997</v>
      </c>
    </row>
    <row r="1471" spans="1:40" x14ac:dyDescent="0.3">
      <c r="A1471" s="10" t="str">
        <f>HYPERLINK("http://www.washoecounty.gov/assessor/cama/?parid=020-311-36&amp;CardNumber=1","020-311-36")</f>
        <v>020-311-36</v>
      </c>
      <c r="B1471" t="s">
        <v>4655</v>
      </c>
      <c r="C1471" t="s">
        <v>11437</v>
      </c>
      <c r="D1471" s="1">
        <v>40372</v>
      </c>
      <c r="E1471" s="2">
        <v>100000</v>
      </c>
      <c r="F1471" t="s">
        <v>4567</v>
      </c>
      <c r="G1471" s="17" t="str">
        <f>HYPERLINK("https://www.washoecounty.gov/assessor/cama/?command=sales&amp;parid=02031136","3900775")</f>
        <v>3900775</v>
      </c>
      <c r="H1471" t="s">
        <v>4655</v>
      </c>
      <c r="I1471">
        <v>1963</v>
      </c>
      <c r="J1471">
        <v>1963</v>
      </c>
      <c r="K1471" t="s">
        <v>3043</v>
      </c>
      <c r="L1471" t="s">
        <v>3974</v>
      </c>
      <c r="M1471" s="2">
        <v>3600</v>
      </c>
      <c r="N1471" t="s">
        <v>4048</v>
      </c>
      <c r="O1471">
        <v>8</v>
      </c>
      <c r="P1471">
        <v>4</v>
      </c>
      <c r="Q1471">
        <v>0</v>
      </c>
      <c r="R1471" t="s">
        <v>4134</v>
      </c>
      <c r="S1471" t="s">
        <v>3148</v>
      </c>
      <c r="T1471" t="s">
        <v>4143</v>
      </c>
      <c r="U1471" t="s">
        <v>4655</v>
      </c>
      <c r="V1471" s="2">
        <v>0</v>
      </c>
      <c r="W1471" t="s">
        <v>4655</v>
      </c>
      <c r="X1471" s="2">
        <v>0</v>
      </c>
      <c r="Y1471">
        <v>32</v>
      </c>
      <c r="Z1471" t="s">
        <v>3532</v>
      </c>
      <c r="AA1471" s="3">
        <v>0.16499081254005399</v>
      </c>
      <c r="AB1471" t="s">
        <v>11438</v>
      </c>
      <c r="AC1471" t="s">
        <v>4562</v>
      </c>
      <c r="AD1471" t="s">
        <v>11439</v>
      </c>
      <c r="AE1471" t="s">
        <v>11440</v>
      </c>
      <c r="AF1471" t="s">
        <v>11441</v>
      </c>
      <c r="AG1471" t="s">
        <v>424</v>
      </c>
      <c r="AH1471" t="s">
        <v>11442</v>
      </c>
      <c r="AI1471" t="s">
        <v>11443</v>
      </c>
      <c r="AJ1471" t="s">
        <v>4655</v>
      </c>
      <c r="AK1471" t="s">
        <v>11444</v>
      </c>
      <c r="AL1471" s="13" t="s">
        <v>2255</v>
      </c>
      <c r="AM1471" s="14">
        <v>4</v>
      </c>
      <c r="AN1471" s="15" t="s">
        <v>1997</v>
      </c>
    </row>
    <row r="1472" spans="1:40" x14ac:dyDescent="0.3">
      <c r="A1472" s="10" t="str">
        <f>HYPERLINK("http://www.washoecounty.gov/assessor/cama/?parid=020-312-23&amp;CardNumber=1","020-312-23")</f>
        <v>020-312-23</v>
      </c>
      <c r="B1472" t="s">
        <v>4655</v>
      </c>
      <c r="C1472" t="s">
        <v>11445</v>
      </c>
      <c r="D1472" s="1">
        <v>40542</v>
      </c>
      <c r="E1472" s="2">
        <v>100000</v>
      </c>
      <c r="F1472" t="s">
        <v>3528</v>
      </c>
      <c r="G1472" s="17" t="str">
        <f>HYPERLINK("https://www.washoecounty.gov/assessor/cama/?command=sales&amp;parid=02031223","3958860")</f>
        <v>3958860</v>
      </c>
      <c r="H1472" t="s">
        <v>3676</v>
      </c>
      <c r="I1472">
        <v>1979</v>
      </c>
      <c r="J1472">
        <v>1979</v>
      </c>
      <c r="K1472" t="s">
        <v>3043</v>
      </c>
      <c r="L1472" t="s">
        <v>3974</v>
      </c>
      <c r="M1472" s="2">
        <v>3360</v>
      </c>
      <c r="N1472" t="s">
        <v>4556</v>
      </c>
      <c r="O1472">
        <v>8</v>
      </c>
      <c r="P1472">
        <v>4</v>
      </c>
      <c r="Q1472">
        <v>0</v>
      </c>
      <c r="R1472" t="s">
        <v>4134</v>
      </c>
      <c r="S1472" t="s">
        <v>4558</v>
      </c>
      <c r="T1472" t="s">
        <v>4559</v>
      </c>
      <c r="U1472" t="s">
        <v>4655</v>
      </c>
      <c r="V1472" s="2">
        <v>0</v>
      </c>
      <c r="W1472" t="s">
        <v>4655</v>
      </c>
      <c r="X1472" s="2">
        <v>0</v>
      </c>
      <c r="Y1472">
        <v>32</v>
      </c>
      <c r="Z1472" t="s">
        <v>3532</v>
      </c>
      <c r="AA1472" s="3">
        <v>0.14499540627002699</v>
      </c>
      <c r="AB1472" t="s">
        <v>7645</v>
      </c>
      <c r="AC1472" t="s">
        <v>4562</v>
      </c>
      <c r="AD1472" t="s">
        <v>1912</v>
      </c>
      <c r="AE1472" t="s">
        <v>4655</v>
      </c>
      <c r="AF1472" t="s">
        <v>4563</v>
      </c>
      <c r="AG1472" t="s">
        <v>4564</v>
      </c>
      <c r="AH1472">
        <v>89511</v>
      </c>
      <c r="AI1472" t="s">
        <v>11446</v>
      </c>
      <c r="AJ1472" t="s">
        <v>4655</v>
      </c>
      <c r="AK1472" t="s">
        <v>11447</v>
      </c>
      <c r="AL1472" s="13" t="s">
        <v>2255</v>
      </c>
      <c r="AM1472" s="14">
        <v>4</v>
      </c>
      <c r="AN1472" s="15" t="s">
        <v>1997</v>
      </c>
    </row>
    <row r="1473" spans="1:40" x14ac:dyDescent="0.3">
      <c r="A1473" s="10" t="str">
        <f>HYPERLINK("http://www.washoecounty.gov/assessor/cama/?parid=020-312-33&amp;CardNumber=1","020-312-33")</f>
        <v>020-312-33</v>
      </c>
      <c r="B1473" t="s">
        <v>4655</v>
      </c>
      <c r="C1473" t="s">
        <v>11448</v>
      </c>
      <c r="D1473" s="1">
        <v>40519</v>
      </c>
      <c r="E1473" s="2">
        <v>120000</v>
      </c>
      <c r="F1473" t="s">
        <v>3259</v>
      </c>
      <c r="G1473" s="17" t="str">
        <f>HYPERLINK("https://www.washoecounty.gov/assessor/cama/?command=sales&amp;parid=02031233","3950117")</f>
        <v>3950117</v>
      </c>
      <c r="H1473" t="s">
        <v>11449</v>
      </c>
      <c r="I1473">
        <v>1987</v>
      </c>
      <c r="J1473">
        <v>1987</v>
      </c>
      <c r="K1473" t="s">
        <v>3043</v>
      </c>
      <c r="L1473" t="s">
        <v>3974</v>
      </c>
      <c r="M1473" s="2">
        <v>3120</v>
      </c>
      <c r="N1473" t="s">
        <v>4048</v>
      </c>
      <c r="O1473">
        <v>8</v>
      </c>
      <c r="P1473">
        <v>4</v>
      </c>
      <c r="Q1473">
        <v>0</v>
      </c>
      <c r="R1473" t="s">
        <v>4134</v>
      </c>
      <c r="S1473" t="s">
        <v>4558</v>
      </c>
      <c r="T1473" t="s">
        <v>4559</v>
      </c>
      <c r="U1473" t="s">
        <v>4655</v>
      </c>
      <c r="V1473" s="2">
        <v>0</v>
      </c>
      <c r="W1473" t="s">
        <v>4655</v>
      </c>
      <c r="X1473" s="2">
        <v>0</v>
      </c>
      <c r="Y1473">
        <v>32</v>
      </c>
      <c r="Z1473" t="s">
        <v>3532</v>
      </c>
      <c r="AA1473" s="3">
        <v>0.14522497355937958</v>
      </c>
      <c r="AB1473" t="s">
        <v>11450</v>
      </c>
      <c r="AC1473" t="s">
        <v>4562</v>
      </c>
      <c r="AD1473" t="s">
        <v>11451</v>
      </c>
      <c r="AE1473" t="s">
        <v>4655</v>
      </c>
      <c r="AF1473" t="s">
        <v>4563</v>
      </c>
      <c r="AG1473" t="s">
        <v>4564</v>
      </c>
      <c r="AH1473">
        <v>89512</v>
      </c>
      <c r="AI1473" t="s">
        <v>11452</v>
      </c>
      <c r="AJ1473" t="s">
        <v>4655</v>
      </c>
      <c r="AK1473" t="s">
        <v>11453</v>
      </c>
      <c r="AL1473" s="13" t="s">
        <v>2255</v>
      </c>
      <c r="AM1473">
        <v>4</v>
      </c>
      <c r="AN1473" s="15" t="s">
        <v>1997</v>
      </c>
    </row>
    <row r="1474" spans="1:40" x14ac:dyDescent="0.3">
      <c r="A1474" s="10" t="str">
        <f>HYPERLINK("http://www.washoecounty.gov/assessor/cama/?parid=020-314-02&amp;CardNumber=1","020-314-02")</f>
        <v>020-314-02</v>
      </c>
      <c r="B1474" t="s">
        <v>4655</v>
      </c>
      <c r="C1474" t="s">
        <v>11454</v>
      </c>
      <c r="D1474" s="1">
        <v>40443</v>
      </c>
      <c r="E1474" s="2">
        <v>100000</v>
      </c>
      <c r="F1474" t="s">
        <v>4567</v>
      </c>
      <c r="G1474" s="17" t="str">
        <f>HYPERLINK("https://www.washoecounty.gov/assessor/cama/?command=sales&amp;parid=02031402","3924855")</f>
        <v>3924855</v>
      </c>
      <c r="H1474" t="s">
        <v>4655</v>
      </c>
      <c r="I1474">
        <v>1963</v>
      </c>
      <c r="J1474">
        <v>1963</v>
      </c>
      <c r="K1474" t="s">
        <v>3043</v>
      </c>
      <c r="L1474" t="s">
        <v>3974</v>
      </c>
      <c r="M1474" s="2">
        <v>3600</v>
      </c>
      <c r="N1474" t="s">
        <v>4048</v>
      </c>
      <c r="O1474">
        <v>8</v>
      </c>
      <c r="P1474">
        <v>4</v>
      </c>
      <c r="Q1474">
        <v>0</v>
      </c>
      <c r="R1474" t="s">
        <v>4134</v>
      </c>
      <c r="S1474" t="s">
        <v>3148</v>
      </c>
      <c r="T1474" t="s">
        <v>4143</v>
      </c>
      <c r="U1474" t="s">
        <v>4655</v>
      </c>
      <c r="V1474" s="2">
        <v>0</v>
      </c>
      <c r="W1474" t="s">
        <v>4655</v>
      </c>
      <c r="X1474" s="2">
        <v>0</v>
      </c>
      <c r="Y1474">
        <v>32</v>
      </c>
      <c r="Z1474" t="s">
        <v>3532</v>
      </c>
      <c r="AA1474" s="3">
        <v>0.13900367915630299</v>
      </c>
      <c r="AB1474" t="s">
        <v>11455</v>
      </c>
      <c r="AC1474" t="s">
        <v>4575</v>
      </c>
      <c r="AD1474" t="s">
        <v>11456</v>
      </c>
      <c r="AE1474" t="s">
        <v>4655</v>
      </c>
      <c r="AF1474" t="s">
        <v>4563</v>
      </c>
      <c r="AG1474" t="s">
        <v>4564</v>
      </c>
      <c r="AH1474">
        <v>89512</v>
      </c>
      <c r="AI1474" t="s">
        <v>1717</v>
      </c>
      <c r="AJ1474" t="s">
        <v>4655</v>
      </c>
      <c r="AK1474" t="s">
        <v>11444</v>
      </c>
      <c r="AL1474" s="13" t="s">
        <v>2255</v>
      </c>
      <c r="AM1474">
        <v>4</v>
      </c>
      <c r="AN1474" s="15" t="s">
        <v>1997</v>
      </c>
    </row>
    <row r="1475" spans="1:40" x14ac:dyDescent="0.3">
      <c r="A1475" s="10" t="str">
        <f>HYPERLINK("http://www.washoecounty.gov/assessor/cama/?parid=020-314-03&amp;CardNumber=1","020-314-03")</f>
        <v>020-314-03</v>
      </c>
      <c r="B1475" t="s">
        <v>4655</v>
      </c>
      <c r="C1475" t="s">
        <v>11457</v>
      </c>
      <c r="D1475" s="1">
        <v>40451</v>
      </c>
      <c r="E1475" s="2">
        <v>115000</v>
      </c>
      <c r="F1475" t="s">
        <v>3259</v>
      </c>
      <c r="G1475" s="17" t="str">
        <f>HYPERLINK("https://www.washoecounty.gov/assessor/cama/?command=sales&amp;parid=02031403","3928361")</f>
        <v>3928361</v>
      </c>
      <c r="H1475" t="s">
        <v>4655</v>
      </c>
      <c r="I1475">
        <v>1963</v>
      </c>
      <c r="J1475">
        <v>1963</v>
      </c>
      <c r="K1475" t="s">
        <v>3043</v>
      </c>
      <c r="L1475" t="s">
        <v>3974</v>
      </c>
      <c r="M1475" s="2">
        <v>3600</v>
      </c>
      <c r="N1475" t="s">
        <v>4048</v>
      </c>
      <c r="O1475">
        <v>8</v>
      </c>
      <c r="P1475">
        <v>4</v>
      </c>
      <c r="Q1475">
        <v>0</v>
      </c>
      <c r="R1475" t="s">
        <v>4134</v>
      </c>
      <c r="S1475" t="s">
        <v>3148</v>
      </c>
      <c r="T1475" t="s">
        <v>4143</v>
      </c>
      <c r="U1475" t="s">
        <v>4655</v>
      </c>
      <c r="V1475" s="2">
        <v>0</v>
      </c>
      <c r="W1475" t="s">
        <v>4655</v>
      </c>
      <c r="X1475" s="2">
        <v>0</v>
      </c>
      <c r="Y1475">
        <v>32</v>
      </c>
      <c r="Z1475" t="s">
        <v>3532</v>
      </c>
      <c r="AA1475" s="3">
        <v>0.17398989200591999</v>
      </c>
      <c r="AB1475" t="s">
        <v>2959</v>
      </c>
      <c r="AC1475" t="s">
        <v>4562</v>
      </c>
      <c r="AD1475" t="s">
        <v>5442</v>
      </c>
      <c r="AE1475" t="s">
        <v>4655</v>
      </c>
      <c r="AF1475" t="s">
        <v>2751</v>
      </c>
      <c r="AG1475" t="s">
        <v>4584</v>
      </c>
      <c r="AH1475">
        <v>90028</v>
      </c>
      <c r="AI1475" t="s">
        <v>1717</v>
      </c>
      <c r="AJ1475" t="s">
        <v>4655</v>
      </c>
      <c r="AK1475" t="s">
        <v>11444</v>
      </c>
      <c r="AL1475" s="13" t="s">
        <v>2255</v>
      </c>
      <c r="AM1475">
        <v>4</v>
      </c>
      <c r="AN1475" s="15" t="s">
        <v>1997</v>
      </c>
    </row>
    <row r="1476" spans="1:40" x14ac:dyDescent="0.3">
      <c r="A1476" s="10" t="str">
        <f>HYPERLINK("http://www.washoecounty.gov/assessor/cama/?parid=020-314-04&amp;CardNumber=1","020-314-04")</f>
        <v>020-314-04</v>
      </c>
      <c r="B1476" t="s">
        <v>4655</v>
      </c>
      <c r="C1476" t="s">
        <v>11458</v>
      </c>
      <c r="D1476" s="1">
        <v>40368</v>
      </c>
      <c r="E1476" s="2">
        <v>100000</v>
      </c>
      <c r="F1476" t="s">
        <v>4567</v>
      </c>
      <c r="G1476" s="17" t="str">
        <f>HYPERLINK("https://www.washoecounty.gov/assessor/cama/?command=sales&amp;parid=02031404","3899804")</f>
        <v>3899804</v>
      </c>
      <c r="H1476" t="s">
        <v>4655</v>
      </c>
      <c r="I1476">
        <v>1963</v>
      </c>
      <c r="J1476">
        <v>1963</v>
      </c>
      <c r="K1476" t="s">
        <v>3043</v>
      </c>
      <c r="L1476" t="s">
        <v>3974</v>
      </c>
      <c r="M1476" s="2">
        <v>3600</v>
      </c>
      <c r="N1476" t="s">
        <v>4048</v>
      </c>
      <c r="O1476">
        <v>8</v>
      </c>
      <c r="P1476">
        <v>4</v>
      </c>
      <c r="Q1476">
        <v>0</v>
      </c>
      <c r="R1476" t="s">
        <v>4134</v>
      </c>
      <c r="S1476" t="s">
        <v>3148</v>
      </c>
      <c r="T1476" t="s">
        <v>4143</v>
      </c>
      <c r="U1476" t="s">
        <v>4655</v>
      </c>
      <c r="V1476" s="2">
        <v>0</v>
      </c>
      <c r="W1476" t="s">
        <v>4655</v>
      </c>
      <c r="X1476" s="2">
        <v>0</v>
      </c>
      <c r="Y1476">
        <v>32</v>
      </c>
      <c r="Z1476" t="s">
        <v>3532</v>
      </c>
      <c r="AA1476" s="3">
        <v>0.17100550234317799</v>
      </c>
      <c r="AB1476" t="s">
        <v>11459</v>
      </c>
      <c r="AC1476" t="s">
        <v>4562</v>
      </c>
      <c r="AD1476" t="s">
        <v>5442</v>
      </c>
      <c r="AE1476" t="s">
        <v>4655</v>
      </c>
      <c r="AF1476" t="s">
        <v>2751</v>
      </c>
      <c r="AG1476" t="s">
        <v>4584</v>
      </c>
      <c r="AH1476">
        <v>90028</v>
      </c>
      <c r="AI1476" t="s">
        <v>1717</v>
      </c>
      <c r="AJ1476" t="s">
        <v>4655</v>
      </c>
      <c r="AK1476" t="s">
        <v>11444</v>
      </c>
      <c r="AL1476" s="13" t="s">
        <v>2255</v>
      </c>
      <c r="AM1476" s="14">
        <v>4</v>
      </c>
      <c r="AN1476" s="15" t="s">
        <v>1997</v>
      </c>
    </row>
    <row r="1477" spans="1:40" x14ac:dyDescent="0.3">
      <c r="A1477" s="10" t="str">
        <f>HYPERLINK("http://www.washoecounty.gov/assessor/cama/?parid=020-315-01&amp;CardNumber=1","020-315-01")</f>
        <v>020-315-01</v>
      </c>
      <c r="B1477" t="s">
        <v>4655</v>
      </c>
      <c r="C1477" t="s">
        <v>11460</v>
      </c>
      <c r="D1477" s="1">
        <v>40372</v>
      </c>
      <c r="E1477" s="2">
        <v>100000</v>
      </c>
      <c r="F1477" t="s">
        <v>4567</v>
      </c>
      <c r="G1477" s="17" t="str">
        <f>HYPERLINK("https://www.washoecounty.gov/assessor/cama/?command=sales&amp;parid=02031501","3900799")</f>
        <v>3900799</v>
      </c>
      <c r="H1477" t="s">
        <v>4655</v>
      </c>
      <c r="I1477">
        <v>1963</v>
      </c>
      <c r="J1477">
        <v>1963</v>
      </c>
      <c r="K1477" t="s">
        <v>3043</v>
      </c>
      <c r="L1477" t="s">
        <v>3974</v>
      </c>
      <c r="M1477" s="2">
        <v>3600</v>
      </c>
      <c r="N1477" t="s">
        <v>4048</v>
      </c>
      <c r="O1477">
        <v>8</v>
      </c>
      <c r="P1477">
        <v>4</v>
      </c>
      <c r="Q1477">
        <v>0</v>
      </c>
      <c r="R1477" t="s">
        <v>4134</v>
      </c>
      <c r="S1477" t="s">
        <v>3148</v>
      </c>
      <c r="T1477" t="s">
        <v>4143</v>
      </c>
      <c r="U1477" t="s">
        <v>4655</v>
      </c>
      <c r="V1477" s="2">
        <v>0</v>
      </c>
      <c r="W1477" t="s">
        <v>4655</v>
      </c>
      <c r="X1477" s="2">
        <v>0</v>
      </c>
      <c r="Y1477">
        <v>32</v>
      </c>
      <c r="Z1477" t="s">
        <v>3532</v>
      </c>
      <c r="AA1477" s="3">
        <v>0.15798898041248299</v>
      </c>
      <c r="AB1477" t="s">
        <v>11461</v>
      </c>
      <c r="AC1477" t="s">
        <v>4562</v>
      </c>
      <c r="AD1477" t="s">
        <v>11439</v>
      </c>
      <c r="AE1477" t="s">
        <v>11440</v>
      </c>
      <c r="AF1477" t="s">
        <v>11441</v>
      </c>
      <c r="AG1477" t="s">
        <v>424</v>
      </c>
      <c r="AH1477" t="s">
        <v>11442</v>
      </c>
      <c r="AI1477" t="s">
        <v>11443</v>
      </c>
      <c r="AJ1477" t="s">
        <v>4655</v>
      </c>
      <c r="AK1477" t="s">
        <v>11444</v>
      </c>
      <c r="AL1477" s="13" t="s">
        <v>2255</v>
      </c>
      <c r="AM1477">
        <v>4</v>
      </c>
      <c r="AN1477" s="15" t="s">
        <v>1997</v>
      </c>
    </row>
    <row r="1478" spans="1:40" x14ac:dyDescent="0.3">
      <c r="A1478" s="10" t="str">
        <f>HYPERLINK("http://www.washoecounty.gov/assessor/cama/?parid=020-315-02&amp;CardNumber=1","020-315-02")</f>
        <v>020-315-02</v>
      </c>
      <c r="B1478" t="s">
        <v>4655</v>
      </c>
      <c r="C1478" t="s">
        <v>11462</v>
      </c>
      <c r="D1478" s="1">
        <v>40372</v>
      </c>
      <c r="E1478" s="2">
        <v>100000</v>
      </c>
      <c r="F1478" t="s">
        <v>4567</v>
      </c>
      <c r="G1478" s="17" t="str">
        <f>HYPERLINK("https://www.washoecounty.gov/assessor/cama/?command=sales&amp;parid=02031502","3900837")</f>
        <v>3900837</v>
      </c>
      <c r="H1478" t="s">
        <v>4655</v>
      </c>
      <c r="I1478">
        <v>1963</v>
      </c>
      <c r="J1478">
        <v>1963</v>
      </c>
      <c r="K1478" t="s">
        <v>3043</v>
      </c>
      <c r="L1478" t="s">
        <v>3974</v>
      </c>
      <c r="M1478" s="2">
        <v>3600</v>
      </c>
      <c r="N1478" t="s">
        <v>4048</v>
      </c>
      <c r="O1478">
        <v>8</v>
      </c>
      <c r="P1478">
        <v>4</v>
      </c>
      <c r="Q1478">
        <v>0</v>
      </c>
      <c r="R1478" t="s">
        <v>4134</v>
      </c>
      <c r="S1478" t="s">
        <v>3148</v>
      </c>
      <c r="T1478" t="s">
        <v>4143</v>
      </c>
      <c r="U1478" t="s">
        <v>4655</v>
      </c>
      <c r="V1478" s="2">
        <v>0</v>
      </c>
      <c r="W1478" t="s">
        <v>4655</v>
      </c>
      <c r="X1478" s="2">
        <v>0</v>
      </c>
      <c r="Y1478">
        <v>32</v>
      </c>
      <c r="Z1478" t="s">
        <v>3532</v>
      </c>
      <c r="AA1478" s="3">
        <v>0.14848485589027399</v>
      </c>
      <c r="AB1478" t="s">
        <v>11463</v>
      </c>
      <c r="AC1478" t="s">
        <v>4562</v>
      </c>
      <c r="AD1478" t="s">
        <v>11439</v>
      </c>
      <c r="AE1478" t="s">
        <v>11440</v>
      </c>
      <c r="AF1478" t="s">
        <v>11441</v>
      </c>
      <c r="AG1478" t="s">
        <v>424</v>
      </c>
      <c r="AH1478" t="s">
        <v>11442</v>
      </c>
      <c r="AI1478" t="s">
        <v>11443</v>
      </c>
      <c r="AJ1478" t="s">
        <v>4655</v>
      </c>
      <c r="AK1478" t="s">
        <v>11444</v>
      </c>
      <c r="AL1478" s="13" t="s">
        <v>2255</v>
      </c>
      <c r="AM1478">
        <v>4</v>
      </c>
      <c r="AN1478" s="15" t="s">
        <v>1997</v>
      </c>
    </row>
    <row r="1479" spans="1:40" x14ac:dyDescent="0.3">
      <c r="A1479" s="10" t="str">
        <f>HYPERLINK("http://www.washoecounty.gov/assessor/cama/?parid=020-315-03&amp;CardNumber=1","020-315-03")</f>
        <v>020-315-03</v>
      </c>
      <c r="B1479" t="s">
        <v>4655</v>
      </c>
      <c r="C1479" t="s">
        <v>11464</v>
      </c>
      <c r="D1479" s="1">
        <v>40372</v>
      </c>
      <c r="E1479" s="2">
        <v>100000</v>
      </c>
      <c r="F1479" t="s">
        <v>4567</v>
      </c>
      <c r="G1479" s="17" t="str">
        <f>HYPERLINK("https://www.washoecounty.gov/assessor/cama/?command=sales&amp;parid=02031503","3900806")</f>
        <v>3900806</v>
      </c>
      <c r="H1479" t="s">
        <v>4655</v>
      </c>
      <c r="I1479">
        <v>1963</v>
      </c>
      <c r="J1479">
        <v>1963</v>
      </c>
      <c r="K1479" t="s">
        <v>3043</v>
      </c>
      <c r="L1479" t="s">
        <v>3974</v>
      </c>
      <c r="M1479" s="2">
        <v>3600</v>
      </c>
      <c r="N1479" t="s">
        <v>4048</v>
      </c>
      <c r="O1479">
        <v>8</v>
      </c>
      <c r="P1479">
        <v>4</v>
      </c>
      <c r="Q1479">
        <v>0</v>
      </c>
      <c r="R1479" t="s">
        <v>4134</v>
      </c>
      <c r="S1479" t="s">
        <v>3148</v>
      </c>
      <c r="T1479" t="s">
        <v>4143</v>
      </c>
      <c r="U1479" t="s">
        <v>4655</v>
      </c>
      <c r="V1479" s="2">
        <v>0</v>
      </c>
      <c r="W1479" t="s">
        <v>4655</v>
      </c>
      <c r="X1479" s="2">
        <v>0</v>
      </c>
      <c r="Y1479">
        <v>32</v>
      </c>
      <c r="Z1479" t="s">
        <v>3532</v>
      </c>
      <c r="AA1479" s="3">
        <v>0.14848485589027399</v>
      </c>
      <c r="AB1479" t="s">
        <v>11465</v>
      </c>
      <c r="AC1479" t="s">
        <v>4562</v>
      </c>
      <c r="AD1479" t="s">
        <v>11439</v>
      </c>
      <c r="AE1479" t="s">
        <v>11440</v>
      </c>
      <c r="AF1479" t="s">
        <v>11441</v>
      </c>
      <c r="AG1479" t="s">
        <v>424</v>
      </c>
      <c r="AH1479" t="s">
        <v>11442</v>
      </c>
      <c r="AI1479" t="s">
        <v>11443</v>
      </c>
      <c r="AJ1479" t="s">
        <v>4655</v>
      </c>
      <c r="AK1479" t="s">
        <v>11444</v>
      </c>
      <c r="AL1479" s="13" t="s">
        <v>2255</v>
      </c>
      <c r="AM1479">
        <v>4</v>
      </c>
      <c r="AN1479" s="15" t="s">
        <v>1997</v>
      </c>
    </row>
    <row r="1480" spans="1:40" x14ac:dyDescent="0.3">
      <c r="A1480" s="10" t="str">
        <f>HYPERLINK("http://www.washoecounty.gov/assessor/cama/?parid=020-315-04&amp;CardNumber=1","020-315-04")</f>
        <v>020-315-04</v>
      </c>
      <c r="B1480" t="s">
        <v>4655</v>
      </c>
      <c r="C1480" t="s">
        <v>11466</v>
      </c>
      <c r="D1480" s="1">
        <v>40372</v>
      </c>
      <c r="E1480" s="2">
        <v>100000</v>
      </c>
      <c r="F1480" t="s">
        <v>4567</v>
      </c>
      <c r="G1480" s="17" t="str">
        <f>HYPERLINK("https://www.washoecounty.gov/assessor/cama/?command=sales&amp;parid=02031504","3900803")</f>
        <v>3900803</v>
      </c>
      <c r="H1480" t="s">
        <v>4655</v>
      </c>
      <c r="I1480">
        <v>1963</v>
      </c>
      <c r="J1480">
        <v>1963</v>
      </c>
      <c r="K1480" t="s">
        <v>3043</v>
      </c>
      <c r="L1480" t="s">
        <v>3974</v>
      </c>
      <c r="M1480" s="2">
        <v>3600</v>
      </c>
      <c r="N1480" t="s">
        <v>4048</v>
      </c>
      <c r="O1480">
        <v>8</v>
      </c>
      <c r="P1480">
        <v>4</v>
      </c>
      <c r="Q1480">
        <v>0</v>
      </c>
      <c r="R1480" t="s">
        <v>4134</v>
      </c>
      <c r="S1480" t="s">
        <v>3148</v>
      </c>
      <c r="T1480" t="s">
        <v>4143</v>
      </c>
      <c r="U1480" t="s">
        <v>4655</v>
      </c>
      <c r="V1480" s="2">
        <v>0</v>
      </c>
      <c r="W1480" t="s">
        <v>4655</v>
      </c>
      <c r="X1480" s="2">
        <v>0</v>
      </c>
      <c r="Y1480">
        <v>32</v>
      </c>
      <c r="Z1480" t="s">
        <v>3532</v>
      </c>
      <c r="AA1480" s="3">
        <v>0.15798898041248299</v>
      </c>
      <c r="AB1480" t="s">
        <v>11467</v>
      </c>
      <c r="AC1480" t="s">
        <v>4562</v>
      </c>
      <c r="AD1480" t="s">
        <v>11439</v>
      </c>
      <c r="AE1480" t="s">
        <v>11440</v>
      </c>
      <c r="AF1480" t="s">
        <v>11441</v>
      </c>
      <c r="AG1480" t="s">
        <v>424</v>
      </c>
      <c r="AH1480" t="s">
        <v>11442</v>
      </c>
      <c r="AI1480" t="s">
        <v>11443</v>
      </c>
      <c r="AJ1480" t="s">
        <v>4655</v>
      </c>
      <c r="AK1480" t="s">
        <v>11444</v>
      </c>
      <c r="AL1480" s="13" t="s">
        <v>2255</v>
      </c>
      <c r="AM1480" s="14">
        <v>4</v>
      </c>
      <c r="AN1480" s="15" t="s">
        <v>1997</v>
      </c>
    </row>
    <row r="1481" spans="1:40" x14ac:dyDescent="0.3">
      <c r="A1481" s="10" t="str">
        <f>HYPERLINK("http://www.washoecounty.gov/assessor/cama/?parid=020-332-10&amp;CardNumber=1","020-332-10")</f>
        <v>020-332-10</v>
      </c>
      <c r="B1481" t="s">
        <v>4655</v>
      </c>
      <c r="C1481" t="s">
        <v>11468</v>
      </c>
      <c r="D1481" s="1">
        <v>40339</v>
      </c>
      <c r="E1481" s="2">
        <v>98000</v>
      </c>
      <c r="F1481" t="s">
        <v>4553</v>
      </c>
      <c r="G1481" s="17" t="str">
        <f>HYPERLINK("https://www.washoecounty.gov/assessor/cama/?command=sales&amp;parid=02033210","3890089")</f>
        <v>3890089</v>
      </c>
      <c r="H1481" t="s">
        <v>11469</v>
      </c>
      <c r="I1481">
        <v>1978</v>
      </c>
      <c r="J1481">
        <v>1978</v>
      </c>
      <c r="K1481" t="s">
        <v>3043</v>
      </c>
      <c r="L1481" t="s">
        <v>3974</v>
      </c>
      <c r="M1481" s="2">
        <v>3712</v>
      </c>
      <c r="N1481" t="s">
        <v>4556</v>
      </c>
      <c r="O1481">
        <v>6</v>
      </c>
      <c r="P1481">
        <v>5</v>
      </c>
      <c r="Q1481">
        <v>0</v>
      </c>
      <c r="R1481" t="s">
        <v>4676</v>
      </c>
      <c r="S1481" t="s">
        <v>3148</v>
      </c>
      <c r="T1481" t="s">
        <v>4559</v>
      </c>
      <c r="U1481" t="s">
        <v>4655</v>
      </c>
      <c r="V1481" s="2">
        <v>0</v>
      </c>
      <c r="W1481" t="s">
        <v>4655</v>
      </c>
      <c r="X1481" s="2">
        <v>0</v>
      </c>
      <c r="Y1481">
        <v>32</v>
      </c>
      <c r="Z1481" t="s">
        <v>2705</v>
      </c>
      <c r="AA1481" s="3">
        <v>0.15599173307418801</v>
      </c>
      <c r="AB1481" t="s">
        <v>11470</v>
      </c>
      <c r="AC1481" t="s">
        <v>4562</v>
      </c>
      <c r="AD1481" t="s">
        <v>11471</v>
      </c>
      <c r="AE1481" t="s">
        <v>4655</v>
      </c>
      <c r="AF1481" t="s">
        <v>5928</v>
      </c>
      <c r="AG1481" t="s">
        <v>4584</v>
      </c>
      <c r="AH1481" t="s">
        <v>3926</v>
      </c>
      <c r="AI1481" t="s">
        <v>4145</v>
      </c>
      <c r="AJ1481" t="s">
        <v>4655</v>
      </c>
      <c r="AK1481" t="s">
        <v>11472</v>
      </c>
      <c r="AL1481" s="13" t="s">
        <v>2255</v>
      </c>
      <c r="AM1481">
        <v>4</v>
      </c>
      <c r="AN1481" s="15" t="s">
        <v>1997</v>
      </c>
    </row>
    <row r="1482" spans="1:40" x14ac:dyDescent="0.3">
      <c r="A1482" s="10" t="str">
        <f>HYPERLINK("http://www.washoecounty.gov/assessor/cama/?parid=020-332-11&amp;CardNumber=1","020-332-11")</f>
        <v>020-332-11</v>
      </c>
      <c r="B1482" t="s">
        <v>4655</v>
      </c>
      <c r="C1482" t="s">
        <v>11473</v>
      </c>
      <c r="D1482" s="1">
        <v>40326</v>
      </c>
      <c r="E1482" s="2">
        <v>80000</v>
      </c>
      <c r="F1482" t="s">
        <v>4553</v>
      </c>
      <c r="G1482" s="17" t="str">
        <f>HYPERLINK("https://www.washoecounty.gov/assessor/cama/?command=sales&amp;parid=02033211","3886419")</f>
        <v>3886419</v>
      </c>
      <c r="H1482" t="s">
        <v>11469</v>
      </c>
      <c r="I1482">
        <v>1978</v>
      </c>
      <c r="J1482">
        <v>1978</v>
      </c>
      <c r="K1482" t="s">
        <v>3043</v>
      </c>
      <c r="L1482" t="s">
        <v>3974</v>
      </c>
      <c r="M1482" s="2">
        <v>3712</v>
      </c>
      <c r="N1482" t="s">
        <v>4556</v>
      </c>
      <c r="O1482">
        <v>6</v>
      </c>
      <c r="P1482">
        <v>5</v>
      </c>
      <c r="Q1482">
        <v>0</v>
      </c>
      <c r="R1482" t="s">
        <v>4676</v>
      </c>
      <c r="S1482" t="s">
        <v>3148</v>
      </c>
      <c r="T1482" t="s">
        <v>4559</v>
      </c>
      <c r="U1482" t="s">
        <v>4655</v>
      </c>
      <c r="V1482" s="2">
        <v>0</v>
      </c>
      <c r="W1482" t="s">
        <v>4655</v>
      </c>
      <c r="X1482" s="2">
        <v>0</v>
      </c>
      <c r="Y1482">
        <v>32</v>
      </c>
      <c r="Z1482" t="s">
        <v>2705</v>
      </c>
      <c r="AA1482" s="3">
        <v>0.15599173307418801</v>
      </c>
      <c r="AB1482" t="s">
        <v>3947</v>
      </c>
      <c r="AC1482" t="s">
        <v>4562</v>
      </c>
      <c r="AD1482" t="s">
        <v>3948</v>
      </c>
      <c r="AE1482" t="s">
        <v>4655</v>
      </c>
      <c r="AF1482" t="s">
        <v>4563</v>
      </c>
      <c r="AG1482" t="s">
        <v>4564</v>
      </c>
      <c r="AH1482">
        <v>89509</v>
      </c>
      <c r="AI1482" t="s">
        <v>4503</v>
      </c>
      <c r="AJ1482" t="s">
        <v>4655</v>
      </c>
      <c r="AK1482" t="s">
        <v>11474</v>
      </c>
      <c r="AL1482" s="13" t="s">
        <v>2255</v>
      </c>
      <c r="AM1482">
        <v>4</v>
      </c>
      <c r="AN1482" s="15" t="s">
        <v>1997</v>
      </c>
    </row>
    <row r="1483" spans="1:40" x14ac:dyDescent="0.3">
      <c r="A1483" s="10" t="str">
        <f>HYPERLINK("http://www.washoecounty.gov/assessor/cama/?parid=020-332-14&amp;CardNumber=1","020-332-14")</f>
        <v>020-332-14</v>
      </c>
      <c r="B1483" t="s">
        <v>4655</v>
      </c>
      <c r="C1483" t="s">
        <v>11475</v>
      </c>
      <c r="D1483" s="1">
        <v>40399</v>
      </c>
      <c r="E1483" s="2">
        <v>76125</v>
      </c>
      <c r="F1483" t="s">
        <v>4553</v>
      </c>
      <c r="G1483" s="17" t="str">
        <f>HYPERLINK("https://www.washoecounty.gov/assessor/cama/?command=sales&amp;parid=02033214","3909795")</f>
        <v>3909795</v>
      </c>
      <c r="H1483" t="s">
        <v>11476</v>
      </c>
      <c r="I1483">
        <v>1978</v>
      </c>
      <c r="J1483">
        <v>1978</v>
      </c>
      <c r="K1483" t="s">
        <v>3043</v>
      </c>
      <c r="L1483" t="s">
        <v>3974</v>
      </c>
      <c r="M1483" s="2">
        <v>3712</v>
      </c>
      <c r="N1483" t="s">
        <v>4556</v>
      </c>
      <c r="O1483">
        <v>6</v>
      </c>
      <c r="P1483">
        <v>5</v>
      </c>
      <c r="Q1483">
        <v>0</v>
      </c>
      <c r="R1483" t="s">
        <v>4676</v>
      </c>
      <c r="S1483" t="s">
        <v>3148</v>
      </c>
      <c r="T1483" t="s">
        <v>4559</v>
      </c>
      <c r="U1483" t="s">
        <v>4655</v>
      </c>
      <c r="V1483" s="2">
        <v>0</v>
      </c>
      <c r="W1483" t="s">
        <v>4655</v>
      </c>
      <c r="X1483" s="2">
        <v>0</v>
      </c>
      <c r="Y1483">
        <v>32</v>
      </c>
      <c r="Z1483" t="s">
        <v>2705</v>
      </c>
      <c r="AA1483" s="3">
        <v>0.15599173307418801</v>
      </c>
      <c r="AB1483" t="s">
        <v>11477</v>
      </c>
      <c r="AC1483" t="s">
        <v>4562</v>
      </c>
      <c r="AD1483" t="s">
        <v>754</v>
      </c>
      <c r="AE1483" t="s">
        <v>4655</v>
      </c>
      <c r="AF1483" t="s">
        <v>4563</v>
      </c>
      <c r="AG1483" t="s">
        <v>4564</v>
      </c>
      <c r="AH1483">
        <v>89511</v>
      </c>
      <c r="AI1483" t="s">
        <v>4903</v>
      </c>
      <c r="AJ1483" t="s">
        <v>4655</v>
      </c>
      <c r="AK1483" t="s">
        <v>11478</v>
      </c>
      <c r="AL1483" s="13" t="s">
        <v>2255</v>
      </c>
      <c r="AM1483" s="14">
        <v>4</v>
      </c>
      <c r="AN1483" s="15" t="s">
        <v>1997</v>
      </c>
    </row>
    <row r="1484" spans="1:40" x14ac:dyDescent="0.3">
      <c r="A1484" s="10" t="str">
        <f>HYPERLINK("http://www.washoecounty.gov/assessor/cama/?parid=020-332-16&amp;CardNumber=1","020-332-16")</f>
        <v>020-332-16</v>
      </c>
      <c r="B1484" t="s">
        <v>4655</v>
      </c>
      <c r="C1484" t="s">
        <v>11479</v>
      </c>
      <c r="D1484" s="1">
        <v>40359</v>
      </c>
      <c r="E1484" s="2">
        <v>60000</v>
      </c>
      <c r="F1484" t="s">
        <v>4567</v>
      </c>
      <c r="G1484" s="17" t="str">
        <f>HYPERLINK("https://www.washoecounty.gov/assessor/cama/?command=sales&amp;parid=02033216","3897074")</f>
        <v>3897074</v>
      </c>
      <c r="H1484" t="s">
        <v>11476</v>
      </c>
      <c r="I1484">
        <v>1978</v>
      </c>
      <c r="J1484">
        <v>1978</v>
      </c>
      <c r="K1484" t="s">
        <v>3043</v>
      </c>
      <c r="L1484" t="s">
        <v>3974</v>
      </c>
      <c r="M1484" s="2">
        <v>3712</v>
      </c>
      <c r="N1484" t="s">
        <v>4556</v>
      </c>
      <c r="O1484">
        <v>6</v>
      </c>
      <c r="P1484">
        <v>5</v>
      </c>
      <c r="Q1484">
        <v>0</v>
      </c>
      <c r="R1484" t="s">
        <v>4676</v>
      </c>
      <c r="S1484" t="s">
        <v>3148</v>
      </c>
      <c r="T1484" t="s">
        <v>4559</v>
      </c>
      <c r="U1484" t="s">
        <v>4655</v>
      </c>
      <c r="V1484" s="2">
        <v>0</v>
      </c>
      <c r="W1484" t="s">
        <v>4655</v>
      </c>
      <c r="X1484" s="2">
        <v>0</v>
      </c>
      <c r="Y1484">
        <v>32</v>
      </c>
      <c r="Z1484" t="s">
        <v>2705</v>
      </c>
      <c r="AA1484" s="3">
        <v>0.18700642883777599</v>
      </c>
      <c r="AB1484" t="s">
        <v>11480</v>
      </c>
      <c r="AC1484" t="s">
        <v>4575</v>
      </c>
      <c r="AD1484" t="s">
        <v>11481</v>
      </c>
      <c r="AE1484" t="s">
        <v>11482</v>
      </c>
      <c r="AF1484" t="s">
        <v>4563</v>
      </c>
      <c r="AG1484" t="s">
        <v>4564</v>
      </c>
      <c r="AH1484">
        <v>89502</v>
      </c>
      <c r="AI1484" t="s">
        <v>4531</v>
      </c>
      <c r="AJ1484" t="s">
        <v>4655</v>
      </c>
      <c r="AK1484" t="s">
        <v>11483</v>
      </c>
      <c r="AL1484" s="13" t="s">
        <v>2255</v>
      </c>
      <c r="AM1484">
        <v>4</v>
      </c>
      <c r="AN1484" s="15" t="s">
        <v>1997</v>
      </c>
    </row>
    <row r="1485" spans="1:40" x14ac:dyDescent="0.3">
      <c r="A1485" s="10" t="str">
        <f>HYPERLINK("http://www.washoecounty.gov/assessor/cama/?parid=020-342-24&amp;CardNumber=1","020-342-24")</f>
        <v>020-342-24</v>
      </c>
      <c r="B1485" t="s">
        <v>4655</v>
      </c>
      <c r="C1485" t="s">
        <v>11484</v>
      </c>
      <c r="D1485" s="1">
        <v>40387</v>
      </c>
      <c r="E1485" s="2">
        <v>95100</v>
      </c>
      <c r="F1485" t="s">
        <v>4567</v>
      </c>
      <c r="G1485" s="17" t="str">
        <f>HYPERLINK("https://www.washoecounty.gov/assessor/cama/?command=sales&amp;parid=02034224","3906218")</f>
        <v>3906218</v>
      </c>
      <c r="H1485" t="s">
        <v>3802</v>
      </c>
      <c r="I1485">
        <v>1959</v>
      </c>
      <c r="J1485">
        <v>1968</v>
      </c>
      <c r="K1485" t="s">
        <v>4554</v>
      </c>
      <c r="L1485" t="s">
        <v>4555</v>
      </c>
      <c r="M1485" s="2">
        <v>1632</v>
      </c>
      <c r="N1485" t="s">
        <v>4556</v>
      </c>
      <c r="O1485">
        <v>4</v>
      </c>
      <c r="P1485">
        <v>3</v>
      </c>
      <c r="Q1485">
        <v>0</v>
      </c>
      <c r="R1485" t="s">
        <v>4557</v>
      </c>
      <c r="S1485" t="s">
        <v>4135</v>
      </c>
      <c r="T1485" t="s">
        <v>4559</v>
      </c>
      <c r="U1485" t="s">
        <v>4560</v>
      </c>
      <c r="V1485" s="2">
        <v>360</v>
      </c>
      <c r="W1485" t="s">
        <v>4655</v>
      </c>
      <c r="X1485" s="2">
        <v>0</v>
      </c>
      <c r="Y1485">
        <v>20</v>
      </c>
      <c r="Z1485" t="s">
        <v>3532</v>
      </c>
      <c r="AA1485" s="3">
        <v>0.253007352352142</v>
      </c>
      <c r="AB1485" t="s">
        <v>11485</v>
      </c>
      <c r="AC1485" t="s">
        <v>4575</v>
      </c>
      <c r="AD1485" t="s">
        <v>11486</v>
      </c>
      <c r="AE1485" t="s">
        <v>11484</v>
      </c>
      <c r="AF1485" t="s">
        <v>4563</v>
      </c>
      <c r="AG1485" t="s">
        <v>4564</v>
      </c>
      <c r="AH1485">
        <v>89502</v>
      </c>
      <c r="AI1485" t="s">
        <v>11487</v>
      </c>
      <c r="AJ1485" t="s">
        <v>4655</v>
      </c>
      <c r="AK1485" t="s">
        <v>11488</v>
      </c>
      <c r="AL1485" s="13" t="s">
        <v>2255</v>
      </c>
      <c r="AM1485" s="14">
        <v>1</v>
      </c>
      <c r="AN1485" s="15" t="s">
        <v>2580</v>
      </c>
    </row>
    <row r="1486" spans="1:40" x14ac:dyDescent="0.3">
      <c r="A1486" s="10" t="str">
        <f>HYPERLINK("http://www.washoecounty.gov/assessor/cama/?parid=020-351-16&amp;CardNumber=1","020-351-16")</f>
        <v>020-351-16</v>
      </c>
      <c r="B1486" t="s">
        <v>4655</v>
      </c>
      <c r="C1486" t="s">
        <v>11489</v>
      </c>
      <c r="D1486" s="1">
        <v>40360</v>
      </c>
      <c r="E1486" s="2">
        <v>50000</v>
      </c>
      <c r="F1486" t="s">
        <v>4567</v>
      </c>
      <c r="G1486" s="17" t="str">
        <f>HYPERLINK("https://www.washoecounty.gov/assessor/cama/?command=sales&amp;parid=02035116","3897892")</f>
        <v>3897892</v>
      </c>
      <c r="H1486" t="s">
        <v>2613</v>
      </c>
      <c r="I1486">
        <v>1962</v>
      </c>
      <c r="J1486">
        <v>1962</v>
      </c>
      <c r="K1486" t="s">
        <v>4554</v>
      </c>
      <c r="L1486" t="s">
        <v>4555</v>
      </c>
      <c r="M1486" s="2">
        <v>952</v>
      </c>
      <c r="N1486" t="s">
        <v>4556</v>
      </c>
      <c r="O1486">
        <v>2</v>
      </c>
      <c r="P1486">
        <v>1</v>
      </c>
      <c r="Q1486">
        <v>0</v>
      </c>
      <c r="R1486" t="s">
        <v>4557</v>
      </c>
      <c r="S1486" t="s">
        <v>4135</v>
      </c>
      <c r="T1486" t="s">
        <v>4143</v>
      </c>
      <c r="U1486" t="s">
        <v>4560</v>
      </c>
      <c r="V1486" s="2">
        <v>804</v>
      </c>
      <c r="W1486" t="s">
        <v>4655</v>
      </c>
      <c r="X1486" s="2">
        <v>0</v>
      </c>
      <c r="Y1486">
        <v>20</v>
      </c>
      <c r="Z1486" t="s">
        <v>2705</v>
      </c>
      <c r="AA1486" s="3">
        <v>0.20000000298023199</v>
      </c>
      <c r="AB1486" t="s">
        <v>11490</v>
      </c>
      <c r="AC1486" t="s">
        <v>4575</v>
      </c>
      <c r="AD1486" t="s">
        <v>11491</v>
      </c>
      <c r="AE1486" t="s">
        <v>4655</v>
      </c>
      <c r="AF1486" t="s">
        <v>4563</v>
      </c>
      <c r="AG1486" t="s">
        <v>4564</v>
      </c>
      <c r="AH1486">
        <v>89502</v>
      </c>
      <c r="AI1486" t="s">
        <v>11492</v>
      </c>
      <c r="AJ1486" t="s">
        <v>4655</v>
      </c>
      <c r="AK1486" t="s">
        <v>2614</v>
      </c>
      <c r="AL1486" s="13" t="s">
        <v>2255</v>
      </c>
      <c r="AM1486" s="14">
        <v>1</v>
      </c>
      <c r="AN1486" s="15" t="s">
        <v>2580</v>
      </c>
    </row>
    <row r="1487" spans="1:40" x14ac:dyDescent="0.3">
      <c r="A1487" s="10" t="str">
        <f>HYPERLINK("http://www.washoecounty.gov/assessor/cama/?parid=020-373-05&amp;CardNumber=1","020-373-05")</f>
        <v>020-373-05</v>
      </c>
      <c r="B1487" t="s">
        <v>4655</v>
      </c>
      <c r="C1487" t="s">
        <v>3920</v>
      </c>
      <c r="D1487" s="1">
        <v>40193</v>
      </c>
      <c r="E1487" s="2">
        <v>39000</v>
      </c>
      <c r="F1487" t="s">
        <v>4567</v>
      </c>
      <c r="G1487" s="17" t="str">
        <f>HYPERLINK("https://www.washoecounty.gov/assessor/cama/?command=sales&amp;parid=02037305","3839455")</f>
        <v>3839455</v>
      </c>
      <c r="H1487" t="s">
        <v>3921</v>
      </c>
      <c r="I1487">
        <v>1979</v>
      </c>
      <c r="J1487">
        <v>1979</v>
      </c>
      <c r="K1487" t="s">
        <v>3144</v>
      </c>
      <c r="L1487" t="s">
        <v>3974</v>
      </c>
      <c r="M1487" s="2">
        <v>856</v>
      </c>
      <c r="N1487" t="s">
        <v>4556</v>
      </c>
      <c r="O1487">
        <v>2</v>
      </c>
      <c r="P1487">
        <v>1</v>
      </c>
      <c r="Q1487">
        <v>1</v>
      </c>
      <c r="R1487" t="s">
        <v>5281</v>
      </c>
      <c r="S1487" t="s">
        <v>3148</v>
      </c>
      <c r="T1487" t="s">
        <v>4559</v>
      </c>
      <c r="U1487" t="s">
        <v>4655</v>
      </c>
      <c r="V1487" s="2">
        <v>0</v>
      </c>
      <c r="W1487" t="s">
        <v>4655</v>
      </c>
      <c r="X1487" s="2">
        <v>0</v>
      </c>
      <c r="Y1487">
        <v>21</v>
      </c>
      <c r="Z1487" t="s">
        <v>3532</v>
      </c>
      <c r="AA1487" s="3">
        <v>1.00000004749745E-3</v>
      </c>
      <c r="AB1487" t="s">
        <v>11493</v>
      </c>
      <c r="AC1487" t="s">
        <v>4562</v>
      </c>
      <c r="AD1487" t="s">
        <v>11494</v>
      </c>
      <c r="AE1487" t="s">
        <v>4655</v>
      </c>
      <c r="AF1487" t="s">
        <v>4563</v>
      </c>
      <c r="AG1487" t="s">
        <v>4564</v>
      </c>
      <c r="AH1487">
        <v>89502</v>
      </c>
      <c r="AI1487" t="s">
        <v>4655</v>
      </c>
      <c r="AJ1487" t="s">
        <v>4655</v>
      </c>
      <c r="AK1487" t="s">
        <v>11495</v>
      </c>
      <c r="AL1487" s="13" t="s">
        <v>2257</v>
      </c>
      <c r="AM1487">
        <v>1</v>
      </c>
      <c r="AN1487" s="15" t="s">
        <v>2996</v>
      </c>
    </row>
    <row r="1488" spans="1:40" x14ac:dyDescent="0.3">
      <c r="A1488" s="10" t="str">
        <f>HYPERLINK("http://www.washoecounty.gov/assessor/cama/?parid=020-373-30&amp;CardNumber=1","020-373-30")</f>
        <v>020-373-30</v>
      </c>
      <c r="B1488" t="s">
        <v>4655</v>
      </c>
      <c r="C1488" t="s">
        <v>1713</v>
      </c>
      <c r="D1488" s="1">
        <v>40371</v>
      </c>
      <c r="E1488" s="2">
        <v>25900</v>
      </c>
      <c r="F1488" t="s">
        <v>4553</v>
      </c>
      <c r="G1488" s="17" t="str">
        <f>HYPERLINK("https://www.washoecounty.gov/assessor/cama/?command=sales&amp;parid=02037330","3900232")</f>
        <v>3900232</v>
      </c>
      <c r="H1488" t="s">
        <v>11496</v>
      </c>
      <c r="I1488">
        <v>1979</v>
      </c>
      <c r="J1488">
        <v>1979</v>
      </c>
      <c r="K1488" t="s">
        <v>3144</v>
      </c>
      <c r="L1488" t="s">
        <v>3974</v>
      </c>
      <c r="M1488" s="2">
        <v>856</v>
      </c>
      <c r="N1488" t="s">
        <v>4556</v>
      </c>
      <c r="O1488">
        <v>2</v>
      </c>
      <c r="P1488">
        <v>1</v>
      </c>
      <c r="Q1488">
        <v>1</v>
      </c>
      <c r="R1488" t="s">
        <v>5281</v>
      </c>
      <c r="S1488" t="s">
        <v>3148</v>
      </c>
      <c r="T1488" t="s">
        <v>4559</v>
      </c>
      <c r="U1488" t="s">
        <v>4655</v>
      </c>
      <c r="V1488" s="2">
        <v>0</v>
      </c>
      <c r="W1488" t="s">
        <v>4655</v>
      </c>
      <c r="X1488" s="2">
        <v>0</v>
      </c>
      <c r="Y1488">
        <v>21</v>
      </c>
      <c r="Z1488" t="s">
        <v>3532</v>
      </c>
      <c r="AA1488" s="3">
        <v>1.00000004749745E-3</v>
      </c>
      <c r="AB1488" t="s">
        <v>11497</v>
      </c>
      <c r="AC1488" t="s">
        <v>4575</v>
      </c>
      <c r="AD1488" t="s">
        <v>11498</v>
      </c>
      <c r="AE1488" t="s">
        <v>4655</v>
      </c>
      <c r="AF1488" t="s">
        <v>4809</v>
      </c>
      <c r="AG1488" t="s">
        <v>4564</v>
      </c>
      <c r="AH1488" t="s">
        <v>1605</v>
      </c>
      <c r="AI1488" t="s">
        <v>11499</v>
      </c>
      <c r="AJ1488" t="s">
        <v>4655</v>
      </c>
      <c r="AK1488" t="s">
        <v>11500</v>
      </c>
      <c r="AL1488" s="13" t="s">
        <v>2257</v>
      </c>
      <c r="AM1488" s="14">
        <v>1</v>
      </c>
      <c r="AN1488" s="15" t="s">
        <v>2996</v>
      </c>
    </row>
    <row r="1489" spans="1:40" x14ac:dyDescent="0.3">
      <c r="A1489" s="10" t="str">
        <f>HYPERLINK("http://www.washoecounty.gov/assessor/cama/?parid=020-373-35&amp;CardNumber=1","020-373-35")</f>
        <v>020-373-35</v>
      </c>
      <c r="B1489" t="s">
        <v>4655</v>
      </c>
      <c r="C1489" t="s">
        <v>11501</v>
      </c>
      <c r="D1489" s="1">
        <v>40479</v>
      </c>
      <c r="E1489" s="2">
        <v>27000</v>
      </c>
      <c r="F1489" t="s">
        <v>4553</v>
      </c>
      <c r="G1489" s="17" t="str">
        <f>HYPERLINK("https://www.washoecounty.gov/assessor/cama/?command=sales&amp;parid=02037335","3937737")</f>
        <v>3937737</v>
      </c>
      <c r="H1489" t="s">
        <v>3921</v>
      </c>
      <c r="I1489">
        <v>1979</v>
      </c>
      <c r="J1489">
        <v>1979</v>
      </c>
      <c r="K1489" t="s">
        <v>3144</v>
      </c>
      <c r="L1489" t="s">
        <v>3974</v>
      </c>
      <c r="M1489" s="2">
        <v>856</v>
      </c>
      <c r="N1489" t="s">
        <v>4556</v>
      </c>
      <c r="O1489">
        <v>2</v>
      </c>
      <c r="P1489">
        <v>1</v>
      </c>
      <c r="Q1489">
        <v>1</v>
      </c>
      <c r="R1489" t="s">
        <v>5281</v>
      </c>
      <c r="S1489" t="s">
        <v>3148</v>
      </c>
      <c r="T1489" t="s">
        <v>4559</v>
      </c>
      <c r="U1489" t="s">
        <v>4655</v>
      </c>
      <c r="V1489" s="2">
        <v>0</v>
      </c>
      <c r="W1489" t="s">
        <v>4655</v>
      </c>
      <c r="X1489" s="2">
        <v>0</v>
      </c>
      <c r="Y1489">
        <v>21</v>
      </c>
      <c r="Z1489" t="s">
        <v>3532</v>
      </c>
      <c r="AA1489" s="3">
        <v>1.00000004749745E-3</v>
      </c>
      <c r="AB1489" t="s">
        <v>11502</v>
      </c>
      <c r="AC1489" t="s">
        <v>4562</v>
      </c>
      <c r="AD1489" t="s">
        <v>11503</v>
      </c>
      <c r="AE1489" t="s">
        <v>4655</v>
      </c>
      <c r="AF1489" t="s">
        <v>4563</v>
      </c>
      <c r="AG1489" t="s">
        <v>4564</v>
      </c>
      <c r="AH1489">
        <v>89502</v>
      </c>
      <c r="AI1489" t="s">
        <v>2351</v>
      </c>
      <c r="AJ1489" t="s">
        <v>4655</v>
      </c>
      <c r="AK1489" t="s">
        <v>11504</v>
      </c>
      <c r="AL1489" s="13" t="s">
        <v>2257</v>
      </c>
      <c r="AM1489" s="14">
        <v>1</v>
      </c>
      <c r="AN1489" s="15" t="s">
        <v>2996</v>
      </c>
    </row>
    <row r="1490" spans="1:40" x14ac:dyDescent="0.3">
      <c r="A1490" s="10" t="str">
        <f>HYPERLINK("http://www.washoecounty.gov/assessor/cama/?parid=020-373-48&amp;CardNumber=1","020-373-48")</f>
        <v>020-373-48</v>
      </c>
      <c r="B1490" t="s">
        <v>4655</v>
      </c>
      <c r="C1490" t="s">
        <v>11505</v>
      </c>
      <c r="D1490" s="1">
        <v>40465</v>
      </c>
      <c r="E1490" s="2">
        <v>24000</v>
      </c>
      <c r="F1490" t="s">
        <v>4553</v>
      </c>
      <c r="G1490" s="17" t="str">
        <f>HYPERLINK("https://www.washoecounty.gov/assessor/cama/?command=sales&amp;parid=02037348","3933199")</f>
        <v>3933199</v>
      </c>
      <c r="H1490" t="s">
        <v>11506</v>
      </c>
      <c r="I1490">
        <v>1979</v>
      </c>
      <c r="J1490">
        <v>1979</v>
      </c>
      <c r="K1490" t="s">
        <v>3144</v>
      </c>
      <c r="L1490" t="s">
        <v>3974</v>
      </c>
      <c r="M1490" s="2">
        <v>856</v>
      </c>
      <c r="N1490" t="s">
        <v>4556</v>
      </c>
      <c r="O1490">
        <v>2</v>
      </c>
      <c r="P1490">
        <v>1</v>
      </c>
      <c r="Q1490">
        <v>1</v>
      </c>
      <c r="R1490" t="s">
        <v>5281</v>
      </c>
      <c r="S1490" t="s">
        <v>3148</v>
      </c>
      <c r="T1490" t="s">
        <v>4559</v>
      </c>
      <c r="U1490" t="s">
        <v>4655</v>
      </c>
      <c r="V1490" s="2">
        <v>0</v>
      </c>
      <c r="W1490" t="s">
        <v>4655</v>
      </c>
      <c r="X1490" s="2">
        <v>0</v>
      </c>
      <c r="Y1490">
        <v>21</v>
      </c>
      <c r="Z1490" t="s">
        <v>3532</v>
      </c>
      <c r="AA1490" s="3">
        <v>1.00000004749745E-3</v>
      </c>
      <c r="AB1490" t="s">
        <v>11507</v>
      </c>
      <c r="AC1490" t="s">
        <v>4575</v>
      </c>
      <c r="AD1490" t="s">
        <v>11508</v>
      </c>
      <c r="AE1490" t="s">
        <v>4655</v>
      </c>
      <c r="AF1490" t="s">
        <v>1313</v>
      </c>
      <c r="AG1490" t="s">
        <v>4564</v>
      </c>
      <c r="AH1490">
        <v>89403</v>
      </c>
      <c r="AI1490" t="s">
        <v>4565</v>
      </c>
      <c r="AJ1490" t="s">
        <v>4655</v>
      </c>
      <c r="AK1490" t="s">
        <v>11509</v>
      </c>
      <c r="AL1490" s="13" t="s">
        <v>2257</v>
      </c>
      <c r="AM1490" s="14">
        <v>1</v>
      </c>
      <c r="AN1490" s="15" t="s">
        <v>2996</v>
      </c>
    </row>
    <row r="1491" spans="1:40" x14ac:dyDescent="0.3">
      <c r="A1491" s="10" t="str">
        <f>HYPERLINK("http://www.washoecounty.gov/assessor/cama/?parid=020-374-03&amp;CardNumber=1","020-374-03")</f>
        <v>020-374-03</v>
      </c>
      <c r="B1491" t="s">
        <v>4655</v>
      </c>
      <c r="C1491" t="s">
        <v>11510</v>
      </c>
      <c r="D1491" s="1">
        <v>40526</v>
      </c>
      <c r="E1491" s="2">
        <v>28950</v>
      </c>
      <c r="F1491" t="s">
        <v>4567</v>
      </c>
      <c r="G1491" s="17" t="str">
        <f>HYPERLINK("https://www.washoecounty.gov/assessor/cama/?command=sales&amp;parid=02037403","3953295")</f>
        <v>3953295</v>
      </c>
      <c r="H1491" t="s">
        <v>3921</v>
      </c>
      <c r="I1491">
        <v>1979</v>
      </c>
      <c r="J1491">
        <v>1979</v>
      </c>
      <c r="K1491" t="s">
        <v>3144</v>
      </c>
      <c r="L1491" t="s">
        <v>3974</v>
      </c>
      <c r="M1491" s="2">
        <v>856</v>
      </c>
      <c r="N1491" t="s">
        <v>4556</v>
      </c>
      <c r="O1491">
        <v>2</v>
      </c>
      <c r="P1491">
        <v>1</v>
      </c>
      <c r="Q1491">
        <v>1</v>
      </c>
      <c r="R1491" t="s">
        <v>5281</v>
      </c>
      <c r="S1491" t="s">
        <v>3148</v>
      </c>
      <c r="T1491" t="s">
        <v>4559</v>
      </c>
      <c r="U1491" t="s">
        <v>4655</v>
      </c>
      <c r="V1491" s="2">
        <v>0</v>
      </c>
      <c r="W1491" t="s">
        <v>4655</v>
      </c>
      <c r="X1491" s="2">
        <v>0</v>
      </c>
      <c r="Y1491">
        <v>21</v>
      </c>
      <c r="Z1491" t="s">
        <v>3532</v>
      </c>
      <c r="AA1491" s="3">
        <v>1.00000004749745E-3</v>
      </c>
      <c r="AB1491" t="s">
        <v>11511</v>
      </c>
      <c r="AC1491" t="s">
        <v>4575</v>
      </c>
      <c r="AD1491" t="s">
        <v>11512</v>
      </c>
      <c r="AE1491" t="s">
        <v>4655</v>
      </c>
      <c r="AF1491" t="s">
        <v>4563</v>
      </c>
      <c r="AG1491" t="s">
        <v>4564</v>
      </c>
      <c r="AH1491">
        <v>89502</v>
      </c>
      <c r="AI1491" t="s">
        <v>11513</v>
      </c>
      <c r="AJ1491" t="s">
        <v>4655</v>
      </c>
      <c r="AK1491" t="s">
        <v>11514</v>
      </c>
      <c r="AL1491" s="13" t="s">
        <v>2257</v>
      </c>
      <c r="AM1491" s="14">
        <v>1</v>
      </c>
      <c r="AN1491" s="15" t="s">
        <v>2996</v>
      </c>
    </row>
    <row r="1492" spans="1:40" x14ac:dyDescent="0.3">
      <c r="A1492" s="10" t="str">
        <f>HYPERLINK("http://www.washoecounty.gov/assessor/cama/?parid=020-390-02&amp;CardNumber=1","020-390-02")</f>
        <v>020-390-02</v>
      </c>
      <c r="B1492" t="s">
        <v>4655</v>
      </c>
      <c r="C1492" t="s">
        <v>1653</v>
      </c>
      <c r="D1492" s="1">
        <v>40241</v>
      </c>
      <c r="E1492" s="2">
        <v>57406</v>
      </c>
      <c r="F1492" t="s">
        <v>4567</v>
      </c>
      <c r="G1492" s="17" t="str">
        <f>HYPERLINK("https://www.washoecounty.gov/assessor/cama/?command=sales&amp;parid=02039002","3856143")</f>
        <v>3856143</v>
      </c>
      <c r="H1492" t="s">
        <v>1654</v>
      </c>
      <c r="I1492">
        <v>1983</v>
      </c>
      <c r="J1492">
        <v>1983</v>
      </c>
      <c r="K1492" t="s">
        <v>4554</v>
      </c>
      <c r="L1492" t="s">
        <v>4555</v>
      </c>
      <c r="M1492" s="2">
        <v>891</v>
      </c>
      <c r="N1492" t="s">
        <v>4556</v>
      </c>
      <c r="O1492">
        <v>2</v>
      </c>
      <c r="P1492">
        <v>1</v>
      </c>
      <c r="Q1492">
        <v>0</v>
      </c>
      <c r="R1492" t="s">
        <v>4557</v>
      </c>
      <c r="S1492" t="s">
        <v>4558</v>
      </c>
      <c r="T1492" t="s">
        <v>4559</v>
      </c>
      <c r="U1492" t="s">
        <v>4655</v>
      </c>
      <c r="V1492" s="2">
        <v>0</v>
      </c>
      <c r="W1492" t="s">
        <v>4655</v>
      </c>
      <c r="X1492" s="2">
        <v>0</v>
      </c>
      <c r="Y1492">
        <v>21</v>
      </c>
      <c r="Z1492" t="s">
        <v>3532</v>
      </c>
      <c r="AA1492" s="3">
        <v>1.9995408132672299E-2</v>
      </c>
      <c r="AB1492" t="s">
        <v>5</v>
      </c>
      <c r="AC1492" t="s">
        <v>4575</v>
      </c>
      <c r="AD1492" t="s">
        <v>6</v>
      </c>
      <c r="AE1492" t="s">
        <v>4655</v>
      </c>
      <c r="AF1492" t="s">
        <v>4563</v>
      </c>
      <c r="AG1492" t="s">
        <v>4564</v>
      </c>
      <c r="AH1492">
        <v>89502</v>
      </c>
      <c r="AI1492" t="s">
        <v>3861</v>
      </c>
      <c r="AJ1492" t="s">
        <v>4655</v>
      </c>
      <c r="AK1492" t="s">
        <v>1995</v>
      </c>
      <c r="AL1492" s="13" t="s">
        <v>2257</v>
      </c>
      <c r="AM1492">
        <v>1</v>
      </c>
      <c r="AN1492" s="15" t="s">
        <v>1996</v>
      </c>
    </row>
    <row r="1493" spans="1:40" x14ac:dyDescent="0.3">
      <c r="A1493" s="10" t="str">
        <f>HYPERLINK("http://www.washoecounty.gov/assessor/cama/?parid=020-422-10&amp;CardNumber=1","020-422-10")</f>
        <v>020-422-10</v>
      </c>
      <c r="B1493" t="s">
        <v>4655</v>
      </c>
      <c r="C1493" t="s">
        <v>3337</v>
      </c>
      <c r="D1493" s="1">
        <v>40340</v>
      </c>
      <c r="E1493" s="2">
        <v>69900</v>
      </c>
      <c r="F1493" t="s">
        <v>4567</v>
      </c>
      <c r="G1493" s="17" t="str">
        <f>HYPERLINK("https://www.washoecounty.gov/assessor/cama/?command=sales&amp;parid=02042210","3890864")</f>
        <v>3890864</v>
      </c>
      <c r="H1493" t="s">
        <v>3338</v>
      </c>
      <c r="I1493">
        <v>1984</v>
      </c>
      <c r="J1493">
        <v>1984</v>
      </c>
      <c r="K1493" t="s">
        <v>4897</v>
      </c>
      <c r="L1493" t="s">
        <v>3974</v>
      </c>
      <c r="M1493" s="2">
        <v>1036</v>
      </c>
      <c r="N1493" t="s">
        <v>4556</v>
      </c>
      <c r="O1493">
        <v>2</v>
      </c>
      <c r="P1493">
        <v>2</v>
      </c>
      <c r="Q1493">
        <v>0</v>
      </c>
      <c r="R1493" t="s">
        <v>5281</v>
      </c>
      <c r="S1493" t="s">
        <v>4570</v>
      </c>
      <c r="T1493" t="s">
        <v>4559</v>
      </c>
      <c r="U1493" t="s">
        <v>4655</v>
      </c>
      <c r="V1493" s="2">
        <v>0</v>
      </c>
      <c r="W1493" t="s">
        <v>4655</v>
      </c>
      <c r="X1493" s="2">
        <v>0</v>
      </c>
      <c r="Y1493">
        <v>25</v>
      </c>
      <c r="Z1493" t="s">
        <v>3532</v>
      </c>
      <c r="AA1493" s="3">
        <v>1.00000004749745E-3</v>
      </c>
      <c r="AB1493" t="s">
        <v>11515</v>
      </c>
      <c r="AC1493" t="s">
        <v>4562</v>
      </c>
      <c r="AD1493" t="s">
        <v>11516</v>
      </c>
      <c r="AE1493" t="s">
        <v>4655</v>
      </c>
      <c r="AF1493" t="s">
        <v>4563</v>
      </c>
      <c r="AG1493" t="s">
        <v>4564</v>
      </c>
      <c r="AH1493">
        <v>89502</v>
      </c>
      <c r="AI1493" t="s">
        <v>4655</v>
      </c>
      <c r="AJ1493" t="s">
        <v>4655</v>
      </c>
      <c r="AK1493" t="s">
        <v>11517</v>
      </c>
      <c r="AL1493" s="13" t="s">
        <v>2257</v>
      </c>
      <c r="AM1493">
        <v>1</v>
      </c>
      <c r="AN1493" s="15" t="s">
        <v>3339</v>
      </c>
    </row>
    <row r="1494" spans="1:40" x14ac:dyDescent="0.3">
      <c r="A1494" s="10" t="str">
        <f>HYPERLINK("http://www.washoecounty.gov/assessor/cama/?parid=020-422-22&amp;CardNumber=1","020-422-22")</f>
        <v>020-422-22</v>
      </c>
      <c r="B1494" t="s">
        <v>4655</v>
      </c>
      <c r="C1494" t="s">
        <v>3337</v>
      </c>
      <c r="D1494" s="1">
        <v>40477</v>
      </c>
      <c r="E1494" s="2">
        <v>50900</v>
      </c>
      <c r="F1494" t="s">
        <v>4553</v>
      </c>
      <c r="G1494" s="17" t="str">
        <f>HYPERLINK("https://www.washoecounty.gov/assessor/cama/?command=sales&amp;parid=02042222","3936654")</f>
        <v>3936654</v>
      </c>
      <c r="H1494" t="s">
        <v>3338</v>
      </c>
      <c r="I1494">
        <v>1984</v>
      </c>
      <c r="J1494">
        <v>1984</v>
      </c>
      <c r="K1494" t="s">
        <v>4897</v>
      </c>
      <c r="L1494" t="s">
        <v>3974</v>
      </c>
      <c r="M1494" s="2">
        <v>1036</v>
      </c>
      <c r="N1494" t="s">
        <v>4556</v>
      </c>
      <c r="O1494">
        <v>2</v>
      </c>
      <c r="P1494">
        <v>2</v>
      </c>
      <c r="Q1494">
        <v>0</v>
      </c>
      <c r="R1494" t="s">
        <v>5281</v>
      </c>
      <c r="S1494" t="s">
        <v>4570</v>
      </c>
      <c r="T1494" t="s">
        <v>4559</v>
      </c>
      <c r="U1494" t="s">
        <v>4655</v>
      </c>
      <c r="V1494" s="2">
        <v>0</v>
      </c>
      <c r="W1494" t="s">
        <v>4655</v>
      </c>
      <c r="X1494" s="2">
        <v>0</v>
      </c>
      <c r="Y1494">
        <v>25</v>
      </c>
      <c r="Z1494" t="s">
        <v>3532</v>
      </c>
      <c r="AA1494" s="3">
        <v>1.00000004749745E-3</v>
      </c>
      <c r="AB1494" t="s">
        <v>11518</v>
      </c>
      <c r="AC1494" t="s">
        <v>4562</v>
      </c>
      <c r="AD1494" t="s">
        <v>11519</v>
      </c>
      <c r="AE1494" t="s">
        <v>4655</v>
      </c>
      <c r="AF1494" t="s">
        <v>4563</v>
      </c>
      <c r="AG1494" t="s">
        <v>4564</v>
      </c>
      <c r="AH1494">
        <v>89502</v>
      </c>
      <c r="AI1494" t="s">
        <v>4565</v>
      </c>
      <c r="AJ1494" t="s">
        <v>4655</v>
      </c>
      <c r="AK1494" t="s">
        <v>11520</v>
      </c>
      <c r="AL1494" s="13" t="s">
        <v>2257</v>
      </c>
      <c r="AM1494" s="14">
        <v>1</v>
      </c>
      <c r="AN1494" s="15" t="s">
        <v>3339</v>
      </c>
    </row>
    <row r="1495" spans="1:40" x14ac:dyDescent="0.3">
      <c r="A1495" s="10" t="str">
        <f>HYPERLINK("http://www.washoecounty.gov/assessor/cama/?parid=020-422-28&amp;CardNumber=1","020-422-28")</f>
        <v>020-422-28</v>
      </c>
      <c r="B1495" t="s">
        <v>4655</v>
      </c>
      <c r="C1495" t="s">
        <v>3337</v>
      </c>
      <c r="D1495" s="1">
        <v>40358</v>
      </c>
      <c r="E1495" s="2">
        <v>85655</v>
      </c>
      <c r="F1495" t="s">
        <v>4567</v>
      </c>
      <c r="G1495" s="17" t="str">
        <f>HYPERLINK("https://www.washoecounty.gov/assessor/cama/?command=sales&amp;parid=02042228","3896855")</f>
        <v>3896855</v>
      </c>
      <c r="H1495" t="s">
        <v>3338</v>
      </c>
      <c r="I1495">
        <v>1984</v>
      </c>
      <c r="J1495">
        <v>1984</v>
      </c>
      <c r="K1495" t="s">
        <v>4897</v>
      </c>
      <c r="L1495" t="s">
        <v>3974</v>
      </c>
      <c r="M1495" s="2">
        <v>1036</v>
      </c>
      <c r="N1495" t="s">
        <v>4556</v>
      </c>
      <c r="O1495">
        <v>2</v>
      </c>
      <c r="P1495">
        <v>2</v>
      </c>
      <c r="Q1495">
        <v>0</v>
      </c>
      <c r="R1495" t="s">
        <v>5281</v>
      </c>
      <c r="S1495" t="s">
        <v>4570</v>
      </c>
      <c r="T1495" t="s">
        <v>4559</v>
      </c>
      <c r="U1495" t="s">
        <v>4655</v>
      </c>
      <c r="V1495" s="2">
        <v>0</v>
      </c>
      <c r="W1495" t="s">
        <v>4655</v>
      </c>
      <c r="X1495" s="2">
        <v>0</v>
      </c>
      <c r="Y1495">
        <v>25</v>
      </c>
      <c r="Z1495" t="s">
        <v>3532</v>
      </c>
      <c r="AA1495" s="3">
        <v>1.00000004749745E-3</v>
      </c>
      <c r="AB1495" t="s">
        <v>11521</v>
      </c>
      <c r="AC1495" t="s">
        <v>4562</v>
      </c>
      <c r="AD1495" t="s">
        <v>11522</v>
      </c>
      <c r="AE1495" t="s">
        <v>4655</v>
      </c>
      <c r="AF1495" t="s">
        <v>4563</v>
      </c>
      <c r="AG1495" t="s">
        <v>4564</v>
      </c>
      <c r="AH1495">
        <v>89502</v>
      </c>
      <c r="AI1495" t="s">
        <v>11523</v>
      </c>
      <c r="AJ1495" t="s">
        <v>4655</v>
      </c>
      <c r="AK1495" t="s">
        <v>11524</v>
      </c>
      <c r="AL1495" s="13" t="s">
        <v>2257</v>
      </c>
      <c r="AM1495">
        <v>1</v>
      </c>
      <c r="AN1495" s="15" t="s">
        <v>3339</v>
      </c>
    </row>
    <row r="1496" spans="1:40" x14ac:dyDescent="0.3">
      <c r="A1496" s="10" t="str">
        <f>HYPERLINK("http://www.washoecounty.gov/assessor/cama/?parid=020-422-34&amp;CardNumber=1","020-422-34")</f>
        <v>020-422-34</v>
      </c>
      <c r="B1496" t="s">
        <v>4655</v>
      </c>
      <c r="C1496" t="s">
        <v>3337</v>
      </c>
      <c r="D1496" s="1">
        <v>40520</v>
      </c>
      <c r="E1496" s="2">
        <v>41000</v>
      </c>
      <c r="F1496" t="s">
        <v>4567</v>
      </c>
      <c r="G1496" s="17" t="str">
        <f>HYPERLINK("https://www.washoecounty.gov/assessor/cama/?command=sales&amp;parid=02042234","3951209")</f>
        <v>3951209</v>
      </c>
      <c r="H1496" t="s">
        <v>3338</v>
      </c>
      <c r="I1496">
        <v>1985</v>
      </c>
      <c r="J1496">
        <v>1985</v>
      </c>
      <c r="K1496" t="s">
        <v>4897</v>
      </c>
      <c r="L1496" t="s">
        <v>3974</v>
      </c>
      <c r="M1496" s="2">
        <v>1036</v>
      </c>
      <c r="N1496" t="s">
        <v>4556</v>
      </c>
      <c r="O1496">
        <v>2</v>
      </c>
      <c r="P1496">
        <v>2</v>
      </c>
      <c r="Q1496">
        <v>0</v>
      </c>
      <c r="R1496" t="s">
        <v>5281</v>
      </c>
      <c r="S1496" t="s">
        <v>4570</v>
      </c>
      <c r="T1496" t="s">
        <v>4559</v>
      </c>
      <c r="U1496" t="s">
        <v>4655</v>
      </c>
      <c r="V1496" s="2">
        <v>0</v>
      </c>
      <c r="W1496" t="s">
        <v>4655</v>
      </c>
      <c r="X1496" s="2">
        <v>0</v>
      </c>
      <c r="Y1496">
        <v>25</v>
      </c>
      <c r="Z1496" t="s">
        <v>3532</v>
      </c>
      <c r="AA1496" s="3">
        <v>1.00000004749745E-3</v>
      </c>
      <c r="AB1496" t="s">
        <v>11525</v>
      </c>
      <c r="AC1496" t="s">
        <v>4562</v>
      </c>
      <c r="AD1496" t="s">
        <v>11526</v>
      </c>
      <c r="AE1496" t="s">
        <v>4655</v>
      </c>
      <c r="AF1496" t="s">
        <v>4563</v>
      </c>
      <c r="AG1496" t="s">
        <v>4564</v>
      </c>
      <c r="AH1496">
        <v>89502</v>
      </c>
      <c r="AI1496" t="s">
        <v>11527</v>
      </c>
      <c r="AJ1496" t="s">
        <v>4655</v>
      </c>
      <c r="AK1496" t="s">
        <v>11528</v>
      </c>
      <c r="AL1496" s="13" t="s">
        <v>2257</v>
      </c>
      <c r="AM1496">
        <v>1</v>
      </c>
      <c r="AN1496" s="15" t="s">
        <v>3339</v>
      </c>
    </row>
    <row r="1497" spans="1:40" x14ac:dyDescent="0.3">
      <c r="A1497" s="10" t="str">
        <f>HYPERLINK("http://www.washoecounty.gov/assessor/cama/?parid=020-450-05&amp;CardNumber=1","020-450-05")</f>
        <v>020-450-05</v>
      </c>
      <c r="B1497" t="s">
        <v>4655</v>
      </c>
      <c r="C1497" t="s">
        <v>11529</v>
      </c>
      <c r="D1497" s="1">
        <v>40478</v>
      </c>
      <c r="E1497" s="2">
        <v>129900</v>
      </c>
      <c r="F1497" t="s">
        <v>4553</v>
      </c>
      <c r="G1497" s="17" t="str">
        <f>HYPERLINK("https://www.washoecounty.gov/assessor/cama/?command=sales&amp;parid=02045005","3934103")</f>
        <v>3934103</v>
      </c>
      <c r="H1497" t="s">
        <v>11530</v>
      </c>
      <c r="I1497">
        <v>2004</v>
      </c>
      <c r="J1497">
        <v>2004</v>
      </c>
      <c r="K1497" t="s">
        <v>4907</v>
      </c>
      <c r="L1497" t="s">
        <v>3974</v>
      </c>
      <c r="M1497" s="2">
        <v>2444</v>
      </c>
      <c r="N1497" t="s">
        <v>5280</v>
      </c>
      <c r="O1497">
        <v>4</v>
      </c>
      <c r="P1497">
        <v>4</v>
      </c>
      <c r="Q1497">
        <v>0</v>
      </c>
      <c r="R1497" t="s">
        <v>5281</v>
      </c>
      <c r="S1497" t="s">
        <v>4558</v>
      </c>
      <c r="T1497" t="s">
        <v>4559</v>
      </c>
      <c r="U1497" t="s">
        <v>5631</v>
      </c>
      <c r="V1497" s="2">
        <v>500</v>
      </c>
      <c r="W1497" t="s">
        <v>4655</v>
      </c>
      <c r="X1497" s="2">
        <v>0</v>
      </c>
      <c r="Y1497">
        <v>30</v>
      </c>
      <c r="Z1497" t="s">
        <v>3532</v>
      </c>
      <c r="AA1497" s="3">
        <v>9.0702481567859594E-2</v>
      </c>
      <c r="AB1497" t="s">
        <v>11531</v>
      </c>
      <c r="AC1497" t="s">
        <v>4562</v>
      </c>
      <c r="AD1497" t="s">
        <v>11532</v>
      </c>
      <c r="AE1497" t="s">
        <v>4655</v>
      </c>
      <c r="AF1497" t="s">
        <v>5201</v>
      </c>
      <c r="AG1497" t="s">
        <v>4564</v>
      </c>
      <c r="AH1497" t="s">
        <v>5202</v>
      </c>
      <c r="AI1497" t="s">
        <v>4903</v>
      </c>
      <c r="AJ1497" t="s">
        <v>11533</v>
      </c>
      <c r="AK1497" t="s">
        <v>11534</v>
      </c>
      <c r="AL1497" s="13" t="s">
        <v>2255</v>
      </c>
      <c r="AM1497">
        <v>2</v>
      </c>
      <c r="AN1497" s="15" t="s">
        <v>1997</v>
      </c>
    </row>
    <row r="1498" spans="1:40" x14ac:dyDescent="0.3">
      <c r="A1498" s="10" t="str">
        <f>HYPERLINK("http://www.washoecounty.gov/assessor/cama/?parid=020-450-07&amp;CardNumber=1","020-450-07")</f>
        <v>020-450-07</v>
      </c>
      <c r="B1498" t="s">
        <v>4655</v>
      </c>
      <c r="C1498" t="s">
        <v>11535</v>
      </c>
      <c r="D1498" s="1">
        <v>40225</v>
      </c>
      <c r="E1498" s="2">
        <v>137200</v>
      </c>
      <c r="F1498" t="s">
        <v>4553</v>
      </c>
      <c r="G1498" s="17" t="str">
        <f>HYPERLINK("https://www.washoecounty.gov/assessor/cama/?command=sales&amp;parid=02045007","3849823")</f>
        <v>3849823</v>
      </c>
      <c r="H1498" t="s">
        <v>11530</v>
      </c>
      <c r="I1498">
        <v>2004</v>
      </c>
      <c r="J1498">
        <v>2004</v>
      </c>
      <c r="K1498" t="s">
        <v>4907</v>
      </c>
      <c r="L1498" t="s">
        <v>3974</v>
      </c>
      <c r="M1498" s="2">
        <v>2444</v>
      </c>
      <c r="N1498" t="s">
        <v>5280</v>
      </c>
      <c r="O1498">
        <v>4</v>
      </c>
      <c r="P1498">
        <v>4</v>
      </c>
      <c r="Q1498">
        <v>0</v>
      </c>
      <c r="R1498" t="s">
        <v>4557</v>
      </c>
      <c r="S1498" t="s">
        <v>4558</v>
      </c>
      <c r="T1498" t="s">
        <v>4559</v>
      </c>
      <c r="U1498" t="s">
        <v>5631</v>
      </c>
      <c r="V1498" s="2">
        <v>500</v>
      </c>
      <c r="W1498" t="s">
        <v>4655</v>
      </c>
      <c r="X1498" s="2">
        <v>0</v>
      </c>
      <c r="Y1498">
        <v>30</v>
      </c>
      <c r="Z1498" t="s">
        <v>3532</v>
      </c>
      <c r="AA1498" s="3">
        <v>9.0702481567859594E-2</v>
      </c>
      <c r="AB1498" t="s">
        <v>11536</v>
      </c>
      <c r="AC1498" t="s">
        <v>4562</v>
      </c>
      <c r="AD1498" t="s">
        <v>11537</v>
      </c>
      <c r="AE1498" t="s">
        <v>11538</v>
      </c>
      <c r="AF1498" t="s">
        <v>3876</v>
      </c>
      <c r="AG1498" t="s">
        <v>4564</v>
      </c>
      <c r="AH1498">
        <v>89410</v>
      </c>
      <c r="AI1498" t="s">
        <v>4120</v>
      </c>
      <c r="AJ1498" t="s">
        <v>11533</v>
      </c>
      <c r="AK1498" t="s">
        <v>11539</v>
      </c>
      <c r="AL1498" s="13" t="s">
        <v>2255</v>
      </c>
      <c r="AM1498">
        <v>2</v>
      </c>
      <c r="AN1498" s="15" t="s">
        <v>1997</v>
      </c>
    </row>
    <row r="1499" spans="1:40" x14ac:dyDescent="0.3">
      <c r="A1499" s="10" t="str">
        <f>HYPERLINK("http://www.washoecounty.gov/assessor/cama/?parid=020-450-11&amp;CardNumber=1","020-450-11")</f>
        <v>020-450-11</v>
      </c>
      <c r="B1499" t="s">
        <v>4655</v>
      </c>
      <c r="C1499" t="s">
        <v>11540</v>
      </c>
      <c r="D1499" s="1">
        <v>40399</v>
      </c>
      <c r="E1499" s="2">
        <v>137000</v>
      </c>
      <c r="F1499" t="s">
        <v>4553</v>
      </c>
      <c r="G1499" s="17" t="str">
        <f>HYPERLINK("https://www.washoecounty.gov/assessor/cama/?command=sales&amp;parid=02045011","3909740")</f>
        <v>3909740</v>
      </c>
      <c r="H1499" t="s">
        <v>1284</v>
      </c>
      <c r="I1499">
        <v>2004</v>
      </c>
      <c r="J1499">
        <v>2004</v>
      </c>
      <c r="K1499" t="s">
        <v>4907</v>
      </c>
      <c r="L1499" t="s">
        <v>3974</v>
      </c>
      <c r="M1499" s="2">
        <v>2444</v>
      </c>
      <c r="N1499" t="s">
        <v>5280</v>
      </c>
      <c r="O1499">
        <v>4</v>
      </c>
      <c r="P1499">
        <v>4</v>
      </c>
      <c r="Q1499">
        <v>0</v>
      </c>
      <c r="R1499" t="s">
        <v>4557</v>
      </c>
      <c r="S1499" t="s">
        <v>4558</v>
      </c>
      <c r="T1499" t="s">
        <v>4559</v>
      </c>
      <c r="U1499" t="s">
        <v>5631</v>
      </c>
      <c r="V1499" s="2">
        <v>500</v>
      </c>
      <c r="W1499" t="s">
        <v>4655</v>
      </c>
      <c r="X1499" s="2">
        <v>0</v>
      </c>
      <c r="Y1499">
        <v>30</v>
      </c>
      <c r="Z1499" t="s">
        <v>3532</v>
      </c>
      <c r="AA1499" s="3">
        <v>9.0702481567859594E-2</v>
      </c>
      <c r="AB1499" t="s">
        <v>11541</v>
      </c>
      <c r="AC1499" t="s">
        <v>4562</v>
      </c>
      <c r="AD1499" t="s">
        <v>11542</v>
      </c>
      <c r="AE1499" t="s">
        <v>4655</v>
      </c>
      <c r="AF1499" t="s">
        <v>4563</v>
      </c>
      <c r="AG1499" t="s">
        <v>4564</v>
      </c>
      <c r="AH1499" t="s">
        <v>5197</v>
      </c>
      <c r="AI1499" t="s">
        <v>4655</v>
      </c>
      <c r="AJ1499" t="s">
        <v>61</v>
      </c>
      <c r="AK1499" t="s">
        <v>11543</v>
      </c>
      <c r="AL1499" s="13" t="s">
        <v>2255</v>
      </c>
      <c r="AM1499" s="14">
        <v>2</v>
      </c>
      <c r="AN1499" s="15" t="s">
        <v>1997</v>
      </c>
    </row>
    <row r="1500" spans="1:40" x14ac:dyDescent="0.3">
      <c r="A1500" s="10" t="str">
        <f>HYPERLINK("http://www.washoecounty.gov/assessor/cama/?parid=020-460-06&amp;CardNumber=1","020-460-06")</f>
        <v>020-460-06</v>
      </c>
      <c r="B1500" t="s">
        <v>4655</v>
      </c>
      <c r="C1500" t="s">
        <v>11544</v>
      </c>
      <c r="D1500" s="1">
        <v>40235</v>
      </c>
      <c r="E1500" s="2">
        <v>527000</v>
      </c>
      <c r="F1500" t="s">
        <v>8583</v>
      </c>
      <c r="G1500" s="17" t="str">
        <f>HYPERLINK("https://www.washoecounty.gov/assessor/cama/?command=sales&amp;parid=02046006","3853062")</f>
        <v>3853062</v>
      </c>
      <c r="H1500" t="s">
        <v>11545</v>
      </c>
      <c r="I1500">
        <v>2011</v>
      </c>
      <c r="J1500">
        <v>2011</v>
      </c>
      <c r="K1500" t="s">
        <v>3043</v>
      </c>
      <c r="L1500" t="s">
        <v>3974</v>
      </c>
      <c r="M1500" s="2">
        <v>38265</v>
      </c>
      <c r="N1500" t="s">
        <v>5280</v>
      </c>
      <c r="O1500">
        <v>42</v>
      </c>
      <c r="P1500">
        <v>36</v>
      </c>
      <c r="Q1500">
        <v>3</v>
      </c>
      <c r="R1500" t="s">
        <v>5281</v>
      </c>
      <c r="S1500" t="s">
        <v>4898</v>
      </c>
      <c r="T1500" t="s">
        <v>2704</v>
      </c>
      <c r="U1500" t="s">
        <v>4655</v>
      </c>
      <c r="V1500" s="2">
        <v>0</v>
      </c>
      <c r="W1500" t="s">
        <v>4655</v>
      </c>
      <c r="X1500" s="2">
        <v>0</v>
      </c>
      <c r="Y1500">
        <v>17</v>
      </c>
      <c r="Z1500" t="s">
        <v>3532</v>
      </c>
      <c r="AA1500" s="3">
        <v>2.0569999217986998</v>
      </c>
      <c r="AB1500" t="s">
        <v>11546</v>
      </c>
      <c r="AC1500" t="s">
        <v>4562</v>
      </c>
      <c r="AD1500" t="s">
        <v>11547</v>
      </c>
      <c r="AE1500" t="s">
        <v>4655</v>
      </c>
      <c r="AF1500" t="s">
        <v>4563</v>
      </c>
      <c r="AG1500" t="s">
        <v>4564</v>
      </c>
      <c r="AH1500">
        <v>89503</v>
      </c>
      <c r="AI1500" t="s">
        <v>11548</v>
      </c>
      <c r="AJ1500" t="s">
        <v>11549</v>
      </c>
      <c r="AK1500" t="s">
        <v>11550</v>
      </c>
      <c r="AL1500" s="13" t="s">
        <v>2257</v>
      </c>
      <c r="AM1500" s="14">
        <v>36</v>
      </c>
      <c r="AN1500" s="15" t="s">
        <v>5697</v>
      </c>
    </row>
    <row r="1501" spans="1:40" x14ac:dyDescent="0.3">
      <c r="A1501" s="10" t="str">
        <f>HYPERLINK("http://www.washoecounty.gov/assessor/cama/?parid=021-081-04&amp;CardNumber=1","021-081-04")</f>
        <v>021-081-04</v>
      </c>
      <c r="B1501" t="s">
        <v>4655</v>
      </c>
      <c r="C1501" t="s">
        <v>11551</v>
      </c>
      <c r="D1501" s="1">
        <v>40269</v>
      </c>
      <c r="E1501" s="2">
        <v>220000</v>
      </c>
      <c r="F1501" t="s">
        <v>4567</v>
      </c>
      <c r="G1501" s="17" t="str">
        <f>HYPERLINK("https://www.washoecounty.gov/assessor/cama/?command=sales&amp;parid=02108104","3866932")</f>
        <v>3866932</v>
      </c>
      <c r="H1501" t="s">
        <v>3777</v>
      </c>
      <c r="I1501">
        <v>1980</v>
      </c>
      <c r="J1501">
        <v>1980</v>
      </c>
      <c r="K1501" t="s">
        <v>4554</v>
      </c>
      <c r="L1501" t="s">
        <v>4555</v>
      </c>
      <c r="M1501" s="2">
        <v>1744</v>
      </c>
      <c r="N1501" t="s">
        <v>4048</v>
      </c>
      <c r="O1501">
        <v>3</v>
      </c>
      <c r="P1501">
        <v>2</v>
      </c>
      <c r="Q1501">
        <v>0</v>
      </c>
      <c r="R1501" t="s">
        <v>5281</v>
      </c>
      <c r="S1501" t="s">
        <v>3148</v>
      </c>
      <c r="T1501" t="s">
        <v>4143</v>
      </c>
      <c r="U1501" t="s">
        <v>4560</v>
      </c>
      <c r="V1501" s="2">
        <v>1120</v>
      </c>
      <c r="W1501" t="s">
        <v>4655</v>
      </c>
      <c r="X1501" s="2">
        <v>0</v>
      </c>
      <c r="Y1501">
        <v>20</v>
      </c>
      <c r="Z1501" t="s">
        <v>5508</v>
      </c>
      <c r="AA1501" s="3">
        <v>0.91799813508987405</v>
      </c>
      <c r="AB1501" t="s">
        <v>11552</v>
      </c>
      <c r="AC1501" t="s">
        <v>4562</v>
      </c>
      <c r="AD1501" t="s">
        <v>11553</v>
      </c>
      <c r="AE1501" t="s">
        <v>4655</v>
      </c>
      <c r="AF1501" t="s">
        <v>4563</v>
      </c>
      <c r="AG1501" t="s">
        <v>4564</v>
      </c>
      <c r="AH1501">
        <v>89502</v>
      </c>
      <c r="AI1501" t="s">
        <v>11554</v>
      </c>
      <c r="AJ1501" t="s">
        <v>4655</v>
      </c>
      <c r="AK1501" t="s">
        <v>11555</v>
      </c>
      <c r="AL1501" s="13" t="s">
        <v>1889</v>
      </c>
      <c r="AM1501" s="14">
        <v>1</v>
      </c>
      <c r="AN1501" s="15" t="s">
        <v>4551</v>
      </c>
    </row>
    <row r="1502" spans="1:40" x14ac:dyDescent="0.3">
      <c r="A1502" s="10" t="str">
        <f>HYPERLINK("http://www.washoecounty.gov/assessor/cama/?parid=021-081-07&amp;CardNumber=1","021-081-07")</f>
        <v>021-081-07</v>
      </c>
      <c r="B1502" t="s">
        <v>4655</v>
      </c>
      <c r="C1502" t="s">
        <v>11556</v>
      </c>
      <c r="D1502" s="1">
        <v>40540</v>
      </c>
      <c r="E1502" s="2">
        <v>251600</v>
      </c>
      <c r="F1502" t="s">
        <v>4567</v>
      </c>
      <c r="G1502" s="17" t="str">
        <f>HYPERLINK("https://www.washoecounty.gov/assessor/cama/?command=sales&amp;parid=02108107","3958215")</f>
        <v>3958215</v>
      </c>
      <c r="H1502" t="s">
        <v>3777</v>
      </c>
      <c r="I1502">
        <v>1975</v>
      </c>
      <c r="J1502">
        <v>1982</v>
      </c>
      <c r="K1502" t="s">
        <v>4554</v>
      </c>
      <c r="L1502" t="s">
        <v>3974</v>
      </c>
      <c r="M1502" s="2">
        <v>2756</v>
      </c>
      <c r="N1502" t="s">
        <v>4048</v>
      </c>
      <c r="O1502">
        <v>4</v>
      </c>
      <c r="P1502">
        <v>3</v>
      </c>
      <c r="Q1502">
        <v>0</v>
      </c>
      <c r="R1502" t="s">
        <v>411</v>
      </c>
      <c r="S1502" t="s">
        <v>4135</v>
      </c>
      <c r="T1502" t="s">
        <v>4559</v>
      </c>
      <c r="U1502" t="s">
        <v>162</v>
      </c>
      <c r="V1502" s="2">
        <v>1236</v>
      </c>
      <c r="W1502" t="s">
        <v>4655</v>
      </c>
      <c r="X1502" s="2">
        <v>0</v>
      </c>
      <c r="Y1502">
        <v>20</v>
      </c>
      <c r="Z1502" t="s">
        <v>5508</v>
      </c>
      <c r="AA1502" s="3">
        <v>0.76999539136886597</v>
      </c>
      <c r="AB1502" t="s">
        <v>11557</v>
      </c>
      <c r="AC1502" t="s">
        <v>4562</v>
      </c>
      <c r="AD1502" t="s">
        <v>11558</v>
      </c>
      <c r="AE1502" t="s">
        <v>4655</v>
      </c>
      <c r="AF1502" t="s">
        <v>4563</v>
      </c>
      <c r="AG1502" t="s">
        <v>4564</v>
      </c>
      <c r="AH1502">
        <v>89502</v>
      </c>
      <c r="AI1502" t="s">
        <v>11559</v>
      </c>
      <c r="AJ1502" t="s">
        <v>4655</v>
      </c>
      <c r="AK1502" t="s">
        <v>11560</v>
      </c>
      <c r="AL1502" s="13" t="s">
        <v>1889</v>
      </c>
      <c r="AM1502" s="14">
        <v>1</v>
      </c>
      <c r="AN1502" s="15" t="s">
        <v>4551</v>
      </c>
    </row>
    <row r="1503" spans="1:40" x14ac:dyDescent="0.3">
      <c r="A1503" s="10" t="str">
        <f>HYPERLINK("http://www.washoecounty.gov/assessor/cama/?parid=021-082-04&amp;CardNumber=1","021-082-04")</f>
        <v>021-082-04</v>
      </c>
      <c r="B1503" t="s">
        <v>4655</v>
      </c>
      <c r="C1503" t="s">
        <v>11561</v>
      </c>
      <c r="D1503" s="1">
        <v>40535</v>
      </c>
      <c r="E1503" s="2">
        <v>170000</v>
      </c>
      <c r="F1503" t="s">
        <v>4553</v>
      </c>
      <c r="G1503" s="17" t="str">
        <f>HYPERLINK("https://www.washoecounty.gov/assessor/cama/?command=sales&amp;parid=02108204","3956996")</f>
        <v>3956996</v>
      </c>
      <c r="H1503" t="s">
        <v>11562</v>
      </c>
      <c r="I1503">
        <v>1965</v>
      </c>
      <c r="J1503">
        <v>1975</v>
      </c>
      <c r="K1503" t="s">
        <v>4554</v>
      </c>
      <c r="L1503" t="s">
        <v>4555</v>
      </c>
      <c r="M1503" s="2">
        <v>2113</v>
      </c>
      <c r="N1503" t="s">
        <v>4048</v>
      </c>
      <c r="O1503">
        <v>4</v>
      </c>
      <c r="P1503">
        <v>2</v>
      </c>
      <c r="Q1503">
        <v>1</v>
      </c>
      <c r="R1503" t="s">
        <v>4557</v>
      </c>
      <c r="S1503" t="s">
        <v>3148</v>
      </c>
      <c r="T1503" t="s">
        <v>4559</v>
      </c>
      <c r="U1503" t="s">
        <v>162</v>
      </c>
      <c r="V1503" s="2">
        <v>1016</v>
      </c>
      <c r="W1503" t="s">
        <v>4655</v>
      </c>
      <c r="X1503" s="2">
        <v>0</v>
      </c>
      <c r="Y1503">
        <v>20</v>
      </c>
      <c r="Z1503" t="s">
        <v>5508</v>
      </c>
      <c r="AA1503" s="3">
        <v>0.90599173307418801</v>
      </c>
      <c r="AB1503" t="s">
        <v>11563</v>
      </c>
      <c r="AC1503" t="s">
        <v>4562</v>
      </c>
      <c r="AD1503" t="s">
        <v>11564</v>
      </c>
      <c r="AE1503" t="s">
        <v>4655</v>
      </c>
      <c r="AF1503" t="s">
        <v>5201</v>
      </c>
      <c r="AG1503" t="s">
        <v>4564</v>
      </c>
      <c r="AH1503" t="s">
        <v>5202</v>
      </c>
      <c r="AI1503" t="s">
        <v>11565</v>
      </c>
      <c r="AJ1503" t="s">
        <v>4655</v>
      </c>
      <c r="AK1503" t="s">
        <v>11566</v>
      </c>
      <c r="AL1503" s="13" t="s">
        <v>1889</v>
      </c>
      <c r="AM1503" s="14">
        <v>1</v>
      </c>
      <c r="AN1503" s="15" t="s">
        <v>4551</v>
      </c>
    </row>
    <row r="1504" spans="1:40" x14ac:dyDescent="0.3">
      <c r="A1504" s="10" t="str">
        <f>HYPERLINK("http://www.washoecounty.gov/assessor/cama/?parid=021-083-06&amp;CardNumber=1","021-083-06")</f>
        <v>021-083-06</v>
      </c>
      <c r="B1504" t="s">
        <v>4655</v>
      </c>
      <c r="C1504" t="s">
        <v>11567</v>
      </c>
      <c r="D1504" s="1">
        <v>40249</v>
      </c>
      <c r="E1504" s="2">
        <v>140000</v>
      </c>
      <c r="F1504" t="s">
        <v>4553</v>
      </c>
      <c r="G1504" s="17" t="str">
        <f>HYPERLINK("https://www.washoecounty.gov/assessor/cama/?command=sales&amp;parid=02108306","3859548")</f>
        <v>3859548</v>
      </c>
      <c r="H1504" t="s">
        <v>3777</v>
      </c>
      <c r="I1504">
        <v>1965</v>
      </c>
      <c r="J1504">
        <v>1965</v>
      </c>
      <c r="K1504" t="s">
        <v>4554</v>
      </c>
      <c r="L1504" t="s">
        <v>4555</v>
      </c>
      <c r="M1504" s="2">
        <v>1646</v>
      </c>
      <c r="N1504" t="s">
        <v>4556</v>
      </c>
      <c r="O1504">
        <v>3</v>
      </c>
      <c r="P1504">
        <v>2</v>
      </c>
      <c r="Q1504">
        <v>0</v>
      </c>
      <c r="R1504" t="s">
        <v>4557</v>
      </c>
      <c r="S1504" t="s">
        <v>4135</v>
      </c>
      <c r="T1504" t="s">
        <v>4559</v>
      </c>
      <c r="U1504" t="s">
        <v>4560</v>
      </c>
      <c r="V1504" s="2">
        <v>624</v>
      </c>
      <c r="W1504" t="s">
        <v>4655</v>
      </c>
      <c r="X1504" s="2">
        <v>0</v>
      </c>
      <c r="Y1504">
        <v>20</v>
      </c>
      <c r="Z1504" t="s">
        <v>5508</v>
      </c>
      <c r="AA1504" s="3">
        <v>0.98399907350540095</v>
      </c>
      <c r="AB1504" t="s">
        <v>3778</v>
      </c>
      <c r="AC1504" t="s">
        <v>4562</v>
      </c>
      <c r="AD1504" t="s">
        <v>11568</v>
      </c>
      <c r="AE1504" t="s">
        <v>4655</v>
      </c>
      <c r="AF1504" t="s">
        <v>4563</v>
      </c>
      <c r="AG1504" t="s">
        <v>4564</v>
      </c>
      <c r="AH1504">
        <v>89502</v>
      </c>
      <c r="AI1504" t="s">
        <v>11569</v>
      </c>
      <c r="AJ1504" t="s">
        <v>4655</v>
      </c>
      <c r="AK1504" t="s">
        <v>11570</v>
      </c>
      <c r="AL1504" s="13" t="s">
        <v>1889</v>
      </c>
      <c r="AM1504">
        <v>1</v>
      </c>
      <c r="AN1504" s="15" t="s">
        <v>4551</v>
      </c>
    </row>
    <row r="1505" spans="1:40" x14ac:dyDescent="0.3">
      <c r="A1505" s="10" t="str">
        <f>HYPERLINK("http://www.washoecounty.gov/assessor/cama/?parid=021-091-07&amp;CardNumber=1","021-091-07")</f>
        <v>021-091-07</v>
      </c>
      <c r="B1505" t="s">
        <v>4655</v>
      </c>
      <c r="C1505" t="s">
        <v>11571</v>
      </c>
      <c r="D1505" s="1">
        <v>40381</v>
      </c>
      <c r="E1505" s="2">
        <v>80000</v>
      </c>
      <c r="F1505" t="s">
        <v>4567</v>
      </c>
      <c r="G1505" s="17" t="str">
        <f>HYPERLINK("https://www.washoecounty.gov/assessor/cama/?command=sales&amp;parid=02109107","3904028")</f>
        <v>3904028</v>
      </c>
      <c r="H1505" t="s">
        <v>11572</v>
      </c>
      <c r="I1505">
        <v>1964</v>
      </c>
      <c r="J1505">
        <v>1964</v>
      </c>
      <c r="K1505" t="s">
        <v>4554</v>
      </c>
      <c r="L1505" t="s">
        <v>4555</v>
      </c>
      <c r="M1505" s="2">
        <v>960</v>
      </c>
      <c r="N1505" t="s">
        <v>4556</v>
      </c>
      <c r="O1505">
        <v>2</v>
      </c>
      <c r="P1505">
        <v>1</v>
      </c>
      <c r="Q1505">
        <v>1</v>
      </c>
      <c r="R1505" t="s">
        <v>4557</v>
      </c>
      <c r="S1505" t="s">
        <v>4135</v>
      </c>
      <c r="T1505" t="s">
        <v>4559</v>
      </c>
      <c r="U1505" t="s">
        <v>4655</v>
      </c>
      <c r="V1505" s="2">
        <v>0</v>
      </c>
      <c r="W1505" t="s">
        <v>4655</v>
      </c>
      <c r="X1505" s="2">
        <v>0</v>
      </c>
      <c r="Y1505">
        <v>20</v>
      </c>
      <c r="Z1505" t="s">
        <v>5508</v>
      </c>
      <c r="AA1505" s="3">
        <v>0.88000458478927601</v>
      </c>
      <c r="AB1505" t="s">
        <v>11573</v>
      </c>
      <c r="AC1505" t="s">
        <v>4562</v>
      </c>
      <c r="AD1505" t="s">
        <v>11571</v>
      </c>
      <c r="AE1505" t="s">
        <v>4655</v>
      </c>
      <c r="AF1505" t="s">
        <v>4563</v>
      </c>
      <c r="AG1505" t="s">
        <v>4564</v>
      </c>
      <c r="AH1505">
        <v>89502</v>
      </c>
      <c r="AI1505" t="s">
        <v>11574</v>
      </c>
      <c r="AJ1505" t="s">
        <v>4655</v>
      </c>
      <c r="AK1505" t="s">
        <v>11575</v>
      </c>
      <c r="AL1505" s="13" t="s">
        <v>1889</v>
      </c>
      <c r="AM1505">
        <v>1</v>
      </c>
      <c r="AN1505" s="15" t="s">
        <v>4551</v>
      </c>
    </row>
    <row r="1506" spans="1:40" x14ac:dyDescent="0.3">
      <c r="A1506" s="10" t="str">
        <f>HYPERLINK("http://www.washoecounty.gov/assessor/cama/?parid=021-111-11&amp;CardNumber=1","021-111-11")</f>
        <v>021-111-11</v>
      </c>
      <c r="B1506" t="s">
        <v>4655</v>
      </c>
      <c r="C1506" t="s">
        <v>11576</v>
      </c>
      <c r="D1506" s="1">
        <v>40193</v>
      </c>
      <c r="E1506" s="2">
        <v>140000</v>
      </c>
      <c r="F1506" t="s">
        <v>4567</v>
      </c>
      <c r="G1506" s="17" t="str">
        <f>HYPERLINK("https://www.washoecounty.gov/assessor/cama/?command=sales&amp;parid=02111111","3839459")</f>
        <v>3839459</v>
      </c>
      <c r="H1506" t="s">
        <v>2997</v>
      </c>
      <c r="I1506">
        <v>1974</v>
      </c>
      <c r="J1506">
        <v>1974</v>
      </c>
      <c r="K1506" t="s">
        <v>4554</v>
      </c>
      <c r="L1506" t="s">
        <v>4555</v>
      </c>
      <c r="M1506" s="2">
        <v>1415</v>
      </c>
      <c r="N1506" t="s">
        <v>4048</v>
      </c>
      <c r="O1506">
        <v>3</v>
      </c>
      <c r="P1506">
        <v>2</v>
      </c>
      <c r="Q1506">
        <v>0</v>
      </c>
      <c r="R1506" t="s">
        <v>4557</v>
      </c>
      <c r="S1506" t="s">
        <v>4574</v>
      </c>
      <c r="T1506" t="s">
        <v>4559</v>
      </c>
      <c r="U1506" t="s">
        <v>4560</v>
      </c>
      <c r="V1506" s="2">
        <v>504</v>
      </c>
      <c r="W1506" t="s">
        <v>4655</v>
      </c>
      <c r="X1506" s="2">
        <v>0</v>
      </c>
      <c r="Y1506">
        <v>20</v>
      </c>
      <c r="Z1506" t="s">
        <v>4561</v>
      </c>
      <c r="AA1506" s="3">
        <v>0.17100550234317799</v>
      </c>
      <c r="AB1506" t="s">
        <v>11577</v>
      </c>
      <c r="AC1506" t="s">
        <v>4575</v>
      </c>
      <c r="AD1506" t="s">
        <v>11576</v>
      </c>
      <c r="AE1506" t="s">
        <v>4655</v>
      </c>
      <c r="AF1506" t="s">
        <v>4563</v>
      </c>
      <c r="AG1506" t="s">
        <v>4564</v>
      </c>
      <c r="AH1506">
        <v>89502</v>
      </c>
      <c r="AI1506" t="s">
        <v>11578</v>
      </c>
      <c r="AJ1506" t="s">
        <v>4655</v>
      </c>
      <c r="AK1506" t="s">
        <v>11579</v>
      </c>
      <c r="AL1506" s="13" t="s">
        <v>2255</v>
      </c>
      <c r="AM1506" s="14">
        <v>1</v>
      </c>
      <c r="AN1506" s="15" t="s">
        <v>4049</v>
      </c>
    </row>
    <row r="1507" spans="1:40" x14ac:dyDescent="0.3">
      <c r="A1507" s="10" t="str">
        <f>HYPERLINK("http://www.washoecounty.gov/assessor/cama/?parid=021-112-06&amp;CardNumber=1","021-112-06")</f>
        <v>021-112-06</v>
      </c>
      <c r="B1507" t="s">
        <v>4655</v>
      </c>
      <c r="C1507" t="s">
        <v>11580</v>
      </c>
      <c r="D1507" s="1">
        <v>40198</v>
      </c>
      <c r="E1507" s="2">
        <v>180000</v>
      </c>
      <c r="F1507" t="s">
        <v>4567</v>
      </c>
      <c r="G1507" s="17" t="str">
        <f>HYPERLINK("https://www.washoecounty.gov/assessor/cama/?command=sales&amp;parid=02111206","3841200")</f>
        <v>3841200</v>
      </c>
      <c r="H1507" t="s">
        <v>2997</v>
      </c>
      <c r="I1507">
        <v>1974</v>
      </c>
      <c r="J1507">
        <v>1974</v>
      </c>
      <c r="K1507" t="s">
        <v>4554</v>
      </c>
      <c r="L1507" t="s">
        <v>4555</v>
      </c>
      <c r="M1507" s="2">
        <v>1815</v>
      </c>
      <c r="N1507" t="s">
        <v>4048</v>
      </c>
      <c r="O1507">
        <v>3</v>
      </c>
      <c r="P1507">
        <v>2</v>
      </c>
      <c r="Q1507">
        <v>0</v>
      </c>
      <c r="R1507" t="s">
        <v>5281</v>
      </c>
      <c r="S1507" t="s">
        <v>4574</v>
      </c>
      <c r="T1507" t="s">
        <v>4559</v>
      </c>
      <c r="U1507" t="s">
        <v>4560</v>
      </c>
      <c r="V1507" s="2">
        <v>456</v>
      </c>
      <c r="W1507" t="s">
        <v>4655</v>
      </c>
      <c r="X1507" s="2">
        <v>0</v>
      </c>
      <c r="Y1507">
        <v>20</v>
      </c>
      <c r="Z1507" t="s">
        <v>4561</v>
      </c>
      <c r="AA1507" s="3">
        <v>0.30700182914733898</v>
      </c>
      <c r="AB1507" t="s">
        <v>11581</v>
      </c>
      <c r="AC1507" t="s">
        <v>4562</v>
      </c>
      <c r="AD1507" t="s">
        <v>11580</v>
      </c>
      <c r="AE1507" t="s">
        <v>4655</v>
      </c>
      <c r="AF1507" t="s">
        <v>4563</v>
      </c>
      <c r="AG1507" t="s">
        <v>4564</v>
      </c>
      <c r="AH1507">
        <v>89502</v>
      </c>
      <c r="AI1507" t="s">
        <v>11582</v>
      </c>
      <c r="AJ1507" t="s">
        <v>4655</v>
      </c>
      <c r="AK1507" t="s">
        <v>11583</v>
      </c>
      <c r="AL1507" s="13" t="s">
        <v>2255</v>
      </c>
      <c r="AM1507" s="14">
        <v>1</v>
      </c>
      <c r="AN1507" s="15" t="s">
        <v>4049</v>
      </c>
    </row>
    <row r="1508" spans="1:40" x14ac:dyDescent="0.3">
      <c r="A1508" s="10" t="str">
        <f>HYPERLINK("http://www.washoecounty.gov/assessor/cama/?parid=021-112-13&amp;CardNumber=1","021-112-13")</f>
        <v>021-112-13</v>
      </c>
      <c r="B1508" t="s">
        <v>4655</v>
      </c>
      <c r="C1508" t="s">
        <v>11584</v>
      </c>
      <c r="D1508" s="1">
        <v>40296</v>
      </c>
      <c r="E1508" s="2">
        <v>193000</v>
      </c>
      <c r="F1508" t="s">
        <v>4567</v>
      </c>
      <c r="G1508" s="17" t="str">
        <f>HYPERLINK("https://www.washoecounty.gov/assessor/cama/?command=sales&amp;parid=02111213","3875740")</f>
        <v>3875740</v>
      </c>
      <c r="H1508" t="s">
        <v>2997</v>
      </c>
      <c r="I1508">
        <v>1975</v>
      </c>
      <c r="J1508">
        <v>1975</v>
      </c>
      <c r="K1508" t="s">
        <v>4554</v>
      </c>
      <c r="L1508" t="s">
        <v>2170</v>
      </c>
      <c r="M1508" s="2">
        <v>2252</v>
      </c>
      <c r="N1508" t="s">
        <v>4048</v>
      </c>
      <c r="O1508">
        <v>6</v>
      </c>
      <c r="P1508">
        <v>3</v>
      </c>
      <c r="Q1508">
        <v>0</v>
      </c>
      <c r="R1508" t="s">
        <v>4557</v>
      </c>
      <c r="S1508" t="s">
        <v>4558</v>
      </c>
      <c r="T1508" t="s">
        <v>4559</v>
      </c>
      <c r="U1508" t="s">
        <v>4560</v>
      </c>
      <c r="V1508" s="2">
        <v>504</v>
      </c>
      <c r="W1508" t="s">
        <v>4655</v>
      </c>
      <c r="X1508" s="2">
        <v>0</v>
      </c>
      <c r="Y1508">
        <v>20</v>
      </c>
      <c r="Z1508" t="s">
        <v>4561</v>
      </c>
      <c r="AA1508" s="3">
        <v>0.11000918596983</v>
      </c>
      <c r="AB1508" t="s">
        <v>11585</v>
      </c>
      <c r="AC1508" t="s">
        <v>4575</v>
      </c>
      <c r="AD1508" t="s">
        <v>11584</v>
      </c>
      <c r="AE1508" t="s">
        <v>4655</v>
      </c>
      <c r="AF1508" t="s">
        <v>4563</v>
      </c>
      <c r="AG1508" t="s">
        <v>4564</v>
      </c>
      <c r="AH1508">
        <v>89502</v>
      </c>
      <c r="AI1508" t="s">
        <v>11586</v>
      </c>
      <c r="AJ1508" t="s">
        <v>4655</v>
      </c>
      <c r="AK1508" t="s">
        <v>11587</v>
      </c>
      <c r="AL1508" s="13" t="s">
        <v>2255</v>
      </c>
      <c r="AM1508" s="14">
        <v>1</v>
      </c>
      <c r="AN1508" s="15" t="s">
        <v>4049</v>
      </c>
    </row>
    <row r="1509" spans="1:40" x14ac:dyDescent="0.3">
      <c r="A1509" s="10" t="str">
        <f>HYPERLINK("http://www.washoecounty.gov/assessor/cama/?parid=021-116-22&amp;CardNumber=1","021-116-22")</f>
        <v>021-116-22</v>
      </c>
      <c r="B1509" t="s">
        <v>4655</v>
      </c>
      <c r="C1509" t="s">
        <v>11588</v>
      </c>
      <c r="D1509" s="1">
        <v>40351</v>
      </c>
      <c r="E1509" s="2">
        <v>149000</v>
      </c>
      <c r="F1509" t="s">
        <v>4553</v>
      </c>
      <c r="G1509" s="17" t="str">
        <f>HYPERLINK("https://www.washoecounty.gov/assessor/cama/?command=sales&amp;parid=02111622","3894058")</f>
        <v>3894058</v>
      </c>
      <c r="H1509" t="s">
        <v>2997</v>
      </c>
      <c r="I1509">
        <v>1974</v>
      </c>
      <c r="J1509">
        <v>1974</v>
      </c>
      <c r="K1509" t="s">
        <v>4554</v>
      </c>
      <c r="L1509" t="s">
        <v>4555</v>
      </c>
      <c r="M1509" s="2">
        <v>1415</v>
      </c>
      <c r="N1509" t="s">
        <v>4048</v>
      </c>
      <c r="O1509">
        <v>3</v>
      </c>
      <c r="P1509">
        <v>2</v>
      </c>
      <c r="Q1509">
        <v>0</v>
      </c>
      <c r="R1509" t="s">
        <v>4557</v>
      </c>
      <c r="S1509" t="s">
        <v>4574</v>
      </c>
      <c r="T1509" t="s">
        <v>4559</v>
      </c>
      <c r="U1509" t="s">
        <v>4560</v>
      </c>
      <c r="V1509" s="2">
        <v>504</v>
      </c>
      <c r="W1509" t="s">
        <v>4655</v>
      </c>
      <c r="X1509" s="2">
        <v>0</v>
      </c>
      <c r="Y1509">
        <v>20</v>
      </c>
      <c r="Z1509" t="s">
        <v>4561</v>
      </c>
      <c r="AA1509" s="3">
        <v>0.15399448573589325</v>
      </c>
      <c r="AB1509" t="s">
        <v>11589</v>
      </c>
      <c r="AC1509" t="s">
        <v>4562</v>
      </c>
      <c r="AD1509" t="s">
        <v>11590</v>
      </c>
      <c r="AE1509" t="s">
        <v>4655</v>
      </c>
      <c r="AF1509" t="s">
        <v>4563</v>
      </c>
      <c r="AG1509" t="s">
        <v>4564</v>
      </c>
      <c r="AH1509">
        <v>89502</v>
      </c>
      <c r="AI1509" t="s">
        <v>4903</v>
      </c>
      <c r="AJ1509" t="s">
        <v>4655</v>
      </c>
      <c r="AK1509" t="s">
        <v>11591</v>
      </c>
      <c r="AL1509" s="13" t="s">
        <v>2255</v>
      </c>
      <c r="AM1509" s="14">
        <v>1</v>
      </c>
      <c r="AN1509" s="15" t="s">
        <v>4049</v>
      </c>
    </row>
    <row r="1510" spans="1:40" x14ac:dyDescent="0.3">
      <c r="A1510" s="10" t="str">
        <f>HYPERLINK("http://www.washoecounty.gov/assessor/cama/?parid=021-131-40&amp;CardNumber=1","021-131-40")</f>
        <v>021-131-40</v>
      </c>
      <c r="B1510" t="s">
        <v>4655</v>
      </c>
      <c r="C1510" t="s">
        <v>11592</v>
      </c>
      <c r="D1510" s="1">
        <v>40359</v>
      </c>
      <c r="E1510" s="2">
        <v>415000</v>
      </c>
      <c r="F1510" t="s">
        <v>4567</v>
      </c>
      <c r="G1510" s="17" t="str">
        <f>HYPERLINK("https://www.washoecounty.gov/assessor/cama/?command=sales&amp;parid=02113140","3897452")</f>
        <v>3897452</v>
      </c>
      <c r="H1510" t="s">
        <v>11593</v>
      </c>
      <c r="I1510">
        <v>1990</v>
      </c>
      <c r="J1510">
        <v>1990</v>
      </c>
      <c r="K1510" t="s">
        <v>4554</v>
      </c>
      <c r="L1510" t="s">
        <v>4555</v>
      </c>
      <c r="M1510" s="2">
        <v>2921</v>
      </c>
      <c r="N1510" t="s">
        <v>3147</v>
      </c>
      <c r="O1510">
        <v>3</v>
      </c>
      <c r="P1510">
        <v>3</v>
      </c>
      <c r="Q1510">
        <v>1</v>
      </c>
      <c r="R1510" t="s">
        <v>4557</v>
      </c>
      <c r="S1510" t="s">
        <v>3148</v>
      </c>
      <c r="T1510" t="s">
        <v>4559</v>
      </c>
      <c r="U1510" t="s">
        <v>162</v>
      </c>
      <c r="V1510" s="2">
        <v>1662</v>
      </c>
      <c r="W1510" t="s">
        <v>4655</v>
      </c>
      <c r="X1510" s="2">
        <v>0</v>
      </c>
      <c r="Y1510">
        <v>20</v>
      </c>
      <c r="Z1510" t="s">
        <v>3668</v>
      </c>
      <c r="AA1510" s="3">
        <v>1</v>
      </c>
      <c r="AB1510" t="s">
        <v>11594</v>
      </c>
      <c r="AC1510" t="s">
        <v>4562</v>
      </c>
      <c r="AD1510" t="s">
        <v>11592</v>
      </c>
      <c r="AE1510" t="s">
        <v>4655</v>
      </c>
      <c r="AF1510" t="s">
        <v>4563</v>
      </c>
      <c r="AG1510" t="s">
        <v>4564</v>
      </c>
      <c r="AH1510">
        <v>89502</v>
      </c>
      <c r="AI1510" t="s">
        <v>11595</v>
      </c>
      <c r="AJ1510" t="s">
        <v>4655</v>
      </c>
      <c r="AK1510" t="s">
        <v>11596</v>
      </c>
      <c r="AL1510" s="13" t="s">
        <v>1889</v>
      </c>
      <c r="AM1510">
        <v>1</v>
      </c>
      <c r="AN1510" s="15" t="s">
        <v>4551</v>
      </c>
    </row>
    <row r="1511" spans="1:40" x14ac:dyDescent="0.3">
      <c r="A1511" s="10" t="str">
        <f>HYPERLINK("http://www.washoecounty.gov/assessor/cama/?parid=021-131-41&amp;CardNumber=1","021-131-41")</f>
        <v>021-131-41</v>
      </c>
      <c r="B1511" t="s">
        <v>4655</v>
      </c>
      <c r="C1511" t="s">
        <v>11597</v>
      </c>
      <c r="D1511" s="1">
        <v>40374</v>
      </c>
      <c r="E1511" s="2">
        <v>320000</v>
      </c>
      <c r="F1511" t="s">
        <v>4567</v>
      </c>
      <c r="G1511" s="17" t="str">
        <f>HYPERLINK("https://www.washoecounty.gov/assessor/cama/?command=sales&amp;parid=02113141","3901626")</f>
        <v>3901626</v>
      </c>
      <c r="H1511" t="s">
        <v>11593</v>
      </c>
      <c r="I1511">
        <v>1992</v>
      </c>
      <c r="J1511">
        <v>1993</v>
      </c>
      <c r="K1511" t="s">
        <v>4554</v>
      </c>
      <c r="L1511" t="s">
        <v>2170</v>
      </c>
      <c r="M1511" s="2">
        <v>2448</v>
      </c>
      <c r="N1511" t="s">
        <v>3147</v>
      </c>
      <c r="O1511">
        <v>3</v>
      </c>
      <c r="P1511">
        <v>3</v>
      </c>
      <c r="Q1511">
        <v>0</v>
      </c>
      <c r="R1511" t="s">
        <v>4557</v>
      </c>
      <c r="S1511" t="s">
        <v>3148</v>
      </c>
      <c r="T1511" t="s">
        <v>4559</v>
      </c>
      <c r="U1511" t="s">
        <v>4560</v>
      </c>
      <c r="V1511" s="2">
        <v>864</v>
      </c>
      <c r="W1511" t="s">
        <v>4655</v>
      </c>
      <c r="X1511" s="2">
        <v>0</v>
      </c>
      <c r="Y1511">
        <v>20</v>
      </c>
      <c r="Z1511" t="s">
        <v>3668</v>
      </c>
      <c r="AA1511" s="3">
        <v>1</v>
      </c>
      <c r="AB1511" t="s">
        <v>11598</v>
      </c>
      <c r="AC1511" t="s">
        <v>4562</v>
      </c>
      <c r="AD1511" t="s">
        <v>11599</v>
      </c>
      <c r="AE1511" t="s">
        <v>4655</v>
      </c>
      <c r="AF1511" t="s">
        <v>4563</v>
      </c>
      <c r="AG1511" t="s">
        <v>4564</v>
      </c>
      <c r="AH1511">
        <v>89502</v>
      </c>
      <c r="AI1511" t="s">
        <v>11600</v>
      </c>
      <c r="AJ1511" t="s">
        <v>4655</v>
      </c>
      <c r="AK1511" t="s">
        <v>11601</v>
      </c>
      <c r="AL1511" s="13" t="s">
        <v>1889</v>
      </c>
      <c r="AM1511" s="14">
        <v>1</v>
      </c>
      <c r="AN1511" s="15" t="s">
        <v>4551</v>
      </c>
    </row>
    <row r="1512" spans="1:40" x14ac:dyDescent="0.3">
      <c r="A1512" s="10" t="str">
        <f>HYPERLINK("http://www.washoecounty.gov/assessor/cama/?parid=021-171-02&amp;CardNumber=1","021-171-02")</f>
        <v>021-171-02</v>
      </c>
      <c r="B1512" t="s">
        <v>4655</v>
      </c>
      <c r="C1512" t="s">
        <v>11602</v>
      </c>
      <c r="D1512" s="1">
        <v>40420</v>
      </c>
      <c r="E1512" s="2">
        <v>120000</v>
      </c>
      <c r="F1512" t="s">
        <v>4567</v>
      </c>
      <c r="G1512" s="17" t="str">
        <f>HYPERLINK("https://www.washoecounty.gov/assessor/cama/?command=sales&amp;parid=02117102","3917083")</f>
        <v>3917083</v>
      </c>
      <c r="H1512" t="s">
        <v>2169</v>
      </c>
      <c r="I1512">
        <v>1975</v>
      </c>
      <c r="J1512">
        <v>1975</v>
      </c>
      <c r="K1512" t="s">
        <v>4554</v>
      </c>
      <c r="L1512" t="s">
        <v>4555</v>
      </c>
      <c r="M1512" s="2">
        <v>1276</v>
      </c>
      <c r="N1512" t="s">
        <v>4048</v>
      </c>
      <c r="O1512">
        <v>3</v>
      </c>
      <c r="P1512">
        <v>2</v>
      </c>
      <c r="Q1512">
        <v>0</v>
      </c>
      <c r="R1512" t="s">
        <v>4557</v>
      </c>
      <c r="S1512" t="s">
        <v>4558</v>
      </c>
      <c r="T1512" t="s">
        <v>4559</v>
      </c>
      <c r="U1512" t="s">
        <v>4560</v>
      </c>
      <c r="V1512" s="2">
        <v>506</v>
      </c>
      <c r="W1512" t="s">
        <v>4655</v>
      </c>
      <c r="X1512" s="2">
        <v>0</v>
      </c>
      <c r="Y1512">
        <v>20</v>
      </c>
      <c r="Z1512" t="s">
        <v>4561</v>
      </c>
      <c r="AA1512" s="3">
        <v>0.16799816489219666</v>
      </c>
      <c r="AB1512" t="s">
        <v>11603</v>
      </c>
      <c r="AC1512" t="s">
        <v>4562</v>
      </c>
      <c r="AD1512" t="s">
        <v>11602</v>
      </c>
      <c r="AE1512" t="s">
        <v>4655</v>
      </c>
      <c r="AF1512" t="s">
        <v>4563</v>
      </c>
      <c r="AG1512" t="s">
        <v>4564</v>
      </c>
      <c r="AH1512">
        <v>89502</v>
      </c>
      <c r="AI1512" t="s">
        <v>11604</v>
      </c>
      <c r="AJ1512" t="s">
        <v>4655</v>
      </c>
      <c r="AK1512" t="s">
        <v>11605</v>
      </c>
      <c r="AL1512" s="13" t="s">
        <v>2255</v>
      </c>
      <c r="AM1512">
        <v>1</v>
      </c>
      <c r="AN1512" s="15" t="s">
        <v>4049</v>
      </c>
    </row>
    <row r="1513" spans="1:40" x14ac:dyDescent="0.3">
      <c r="A1513" s="10" t="str">
        <f>HYPERLINK("http://www.washoecounty.gov/assessor/cama/?parid=021-171-06&amp;CardNumber=1","021-171-06")</f>
        <v>021-171-06</v>
      </c>
      <c r="B1513" t="s">
        <v>4655</v>
      </c>
      <c r="C1513" t="s">
        <v>11606</v>
      </c>
      <c r="D1513" s="1">
        <v>40275</v>
      </c>
      <c r="E1513" s="2">
        <v>145000</v>
      </c>
      <c r="F1513" t="s">
        <v>4553</v>
      </c>
      <c r="G1513" s="17" t="str">
        <f>HYPERLINK("https://www.washoecounty.gov/assessor/cama/?command=sales&amp;parid=02117106","3868475")</f>
        <v>3868475</v>
      </c>
      <c r="H1513" t="s">
        <v>2169</v>
      </c>
      <c r="I1513">
        <v>1975</v>
      </c>
      <c r="J1513">
        <v>1975</v>
      </c>
      <c r="K1513" t="s">
        <v>4554</v>
      </c>
      <c r="L1513" t="s">
        <v>4555</v>
      </c>
      <c r="M1513" s="2">
        <v>1276</v>
      </c>
      <c r="N1513" t="s">
        <v>4048</v>
      </c>
      <c r="O1513">
        <v>3</v>
      </c>
      <c r="P1513">
        <v>2</v>
      </c>
      <c r="Q1513">
        <v>0</v>
      </c>
      <c r="R1513" t="s">
        <v>5281</v>
      </c>
      <c r="S1513" t="s">
        <v>4574</v>
      </c>
      <c r="T1513" t="s">
        <v>4559</v>
      </c>
      <c r="U1513" t="s">
        <v>4560</v>
      </c>
      <c r="V1513" s="2">
        <v>506</v>
      </c>
      <c r="W1513" t="s">
        <v>4655</v>
      </c>
      <c r="X1513" s="2">
        <v>0</v>
      </c>
      <c r="Y1513">
        <v>20</v>
      </c>
      <c r="Z1513" t="s">
        <v>4561</v>
      </c>
      <c r="AA1513" s="3">
        <v>0.16799816489219666</v>
      </c>
      <c r="AB1513" t="s">
        <v>11607</v>
      </c>
      <c r="AC1513" t="s">
        <v>4562</v>
      </c>
      <c r="AD1513" t="s">
        <v>11608</v>
      </c>
      <c r="AE1513" t="s">
        <v>4655</v>
      </c>
      <c r="AF1513" t="s">
        <v>4563</v>
      </c>
      <c r="AG1513" t="s">
        <v>4564</v>
      </c>
      <c r="AH1513">
        <v>89502</v>
      </c>
      <c r="AI1513" t="s">
        <v>4903</v>
      </c>
      <c r="AJ1513" t="s">
        <v>4655</v>
      </c>
      <c r="AK1513" t="s">
        <v>11609</v>
      </c>
      <c r="AL1513" s="13" t="s">
        <v>2255</v>
      </c>
      <c r="AM1513" s="14">
        <v>1</v>
      </c>
      <c r="AN1513" s="15" t="s">
        <v>4049</v>
      </c>
    </row>
    <row r="1514" spans="1:40" x14ac:dyDescent="0.3">
      <c r="A1514" s="10" t="str">
        <f>HYPERLINK("http://www.washoecounty.gov/assessor/cama/?parid=021-173-06&amp;CardNumber=1","021-173-06")</f>
        <v>021-173-06</v>
      </c>
      <c r="B1514" t="s">
        <v>4655</v>
      </c>
      <c r="C1514" t="s">
        <v>11610</v>
      </c>
      <c r="D1514" s="1">
        <v>40347</v>
      </c>
      <c r="E1514" s="2">
        <v>130000</v>
      </c>
      <c r="F1514" t="s">
        <v>4553</v>
      </c>
      <c r="G1514" s="17" t="str">
        <f>HYPERLINK("https://www.washoecounty.gov/assessor/cama/?command=sales&amp;parid=02117306","3893513")</f>
        <v>3893513</v>
      </c>
      <c r="H1514" t="s">
        <v>2169</v>
      </c>
      <c r="I1514">
        <v>1976</v>
      </c>
      <c r="J1514">
        <v>1976</v>
      </c>
      <c r="K1514" t="s">
        <v>4554</v>
      </c>
      <c r="L1514" t="s">
        <v>4555</v>
      </c>
      <c r="M1514" s="2">
        <v>1276</v>
      </c>
      <c r="N1514" t="s">
        <v>4048</v>
      </c>
      <c r="O1514">
        <v>3</v>
      </c>
      <c r="P1514">
        <v>2</v>
      </c>
      <c r="Q1514">
        <v>0</v>
      </c>
      <c r="R1514" t="s">
        <v>4557</v>
      </c>
      <c r="S1514" t="s">
        <v>4558</v>
      </c>
      <c r="T1514" t="s">
        <v>4559</v>
      </c>
      <c r="U1514" t="s">
        <v>4560</v>
      </c>
      <c r="V1514" s="2">
        <v>506</v>
      </c>
      <c r="W1514" t="s">
        <v>4655</v>
      </c>
      <c r="X1514" s="2">
        <v>0</v>
      </c>
      <c r="Y1514">
        <v>20</v>
      </c>
      <c r="Z1514" t="s">
        <v>4561</v>
      </c>
      <c r="AA1514" s="3">
        <v>0.16299356520175901</v>
      </c>
      <c r="AB1514" t="s">
        <v>11611</v>
      </c>
      <c r="AC1514" t="s">
        <v>4575</v>
      </c>
      <c r="AD1514" t="s">
        <v>11612</v>
      </c>
      <c r="AE1514" t="s">
        <v>4416</v>
      </c>
      <c r="AF1514" t="s">
        <v>4563</v>
      </c>
      <c r="AG1514" t="s">
        <v>4564</v>
      </c>
      <c r="AH1514" t="s">
        <v>2330</v>
      </c>
      <c r="AI1514" t="s">
        <v>4503</v>
      </c>
      <c r="AJ1514" t="s">
        <v>4655</v>
      </c>
      <c r="AK1514" t="s">
        <v>11613</v>
      </c>
      <c r="AL1514" s="13" t="s">
        <v>2255</v>
      </c>
      <c r="AM1514" s="14">
        <v>1</v>
      </c>
      <c r="AN1514" s="15" t="s">
        <v>4049</v>
      </c>
    </row>
    <row r="1515" spans="1:40" x14ac:dyDescent="0.3">
      <c r="A1515" s="10" t="str">
        <f>HYPERLINK("http://www.washoecounty.gov/assessor/cama/?parid=021-173-13&amp;CardNumber=1","021-173-13")</f>
        <v>021-173-13</v>
      </c>
      <c r="B1515" t="s">
        <v>4655</v>
      </c>
      <c r="C1515" t="s">
        <v>11614</v>
      </c>
      <c r="D1515" s="1">
        <v>40358</v>
      </c>
      <c r="E1515" s="2">
        <v>136000</v>
      </c>
      <c r="F1515" t="s">
        <v>4567</v>
      </c>
      <c r="G1515" s="17" t="str">
        <f>HYPERLINK("https://www.washoecounty.gov/assessor/cama/?command=sales&amp;parid=02117313","3896576")</f>
        <v>3896576</v>
      </c>
      <c r="H1515" t="s">
        <v>2169</v>
      </c>
      <c r="I1515">
        <v>1976</v>
      </c>
      <c r="J1515">
        <v>1976</v>
      </c>
      <c r="K1515" t="s">
        <v>4554</v>
      </c>
      <c r="L1515" t="s">
        <v>4555</v>
      </c>
      <c r="M1515" s="2">
        <v>1276</v>
      </c>
      <c r="N1515" t="s">
        <v>4048</v>
      </c>
      <c r="O1515">
        <v>3</v>
      </c>
      <c r="P1515">
        <v>2</v>
      </c>
      <c r="Q1515">
        <v>0</v>
      </c>
      <c r="R1515" t="s">
        <v>4557</v>
      </c>
      <c r="S1515" t="s">
        <v>4574</v>
      </c>
      <c r="T1515" t="s">
        <v>4559</v>
      </c>
      <c r="U1515" t="s">
        <v>4560</v>
      </c>
      <c r="V1515" s="2">
        <v>506</v>
      </c>
      <c r="W1515" t="s">
        <v>4655</v>
      </c>
      <c r="X1515" s="2">
        <v>0</v>
      </c>
      <c r="Y1515">
        <v>20</v>
      </c>
      <c r="Z1515" t="s">
        <v>4561</v>
      </c>
      <c r="AA1515" s="3">
        <v>0.18000459671020499</v>
      </c>
      <c r="AB1515" t="s">
        <v>1030</v>
      </c>
      <c r="AC1515" t="s">
        <v>4562</v>
      </c>
      <c r="AD1515" t="s">
        <v>11614</v>
      </c>
      <c r="AE1515" t="s">
        <v>4655</v>
      </c>
      <c r="AF1515" t="s">
        <v>4563</v>
      </c>
      <c r="AG1515" t="s">
        <v>4564</v>
      </c>
      <c r="AH1515">
        <v>89502</v>
      </c>
      <c r="AI1515" t="s">
        <v>11615</v>
      </c>
      <c r="AJ1515" t="s">
        <v>4655</v>
      </c>
      <c r="AK1515" t="s">
        <v>11616</v>
      </c>
      <c r="AL1515" s="13" t="s">
        <v>2255</v>
      </c>
      <c r="AM1515">
        <v>1</v>
      </c>
      <c r="AN1515" s="15" t="s">
        <v>4049</v>
      </c>
    </row>
    <row r="1516" spans="1:40" x14ac:dyDescent="0.3">
      <c r="A1516" s="10" t="str">
        <f>HYPERLINK("http://www.washoecounty.gov/assessor/cama/?parid=021-185-02&amp;CardNumber=1","021-185-02")</f>
        <v>021-185-02</v>
      </c>
      <c r="B1516" t="s">
        <v>4655</v>
      </c>
      <c r="C1516" t="s">
        <v>1087</v>
      </c>
      <c r="D1516" s="1">
        <v>40514</v>
      </c>
      <c r="E1516" s="2">
        <v>109000</v>
      </c>
      <c r="F1516" t="s">
        <v>4553</v>
      </c>
      <c r="G1516" s="17" t="str">
        <f>HYPERLINK("https://www.washoecounty.gov/assessor/cama/?command=sales&amp;parid=02118502","3948756")</f>
        <v>3948756</v>
      </c>
      <c r="H1516" t="s">
        <v>2169</v>
      </c>
      <c r="I1516">
        <v>1977</v>
      </c>
      <c r="J1516">
        <v>1977</v>
      </c>
      <c r="K1516" t="s">
        <v>4554</v>
      </c>
      <c r="L1516" t="s">
        <v>4555</v>
      </c>
      <c r="M1516" s="2">
        <v>1415</v>
      </c>
      <c r="N1516" t="s">
        <v>4048</v>
      </c>
      <c r="O1516">
        <v>3</v>
      </c>
      <c r="P1516">
        <v>2</v>
      </c>
      <c r="Q1516">
        <v>0</v>
      </c>
      <c r="R1516" t="s">
        <v>4557</v>
      </c>
      <c r="S1516" t="s">
        <v>4574</v>
      </c>
      <c r="T1516" t="s">
        <v>4559</v>
      </c>
      <c r="U1516" t="s">
        <v>4560</v>
      </c>
      <c r="V1516" s="2">
        <v>504</v>
      </c>
      <c r="W1516" t="s">
        <v>4655</v>
      </c>
      <c r="X1516" s="2">
        <v>0</v>
      </c>
      <c r="Y1516">
        <v>20</v>
      </c>
      <c r="Z1516" t="s">
        <v>4561</v>
      </c>
      <c r="AA1516" s="3">
        <v>0.14898990094661699</v>
      </c>
      <c r="AB1516" t="s">
        <v>1088</v>
      </c>
      <c r="AC1516" t="s">
        <v>4562</v>
      </c>
      <c r="AD1516" t="s">
        <v>11617</v>
      </c>
      <c r="AE1516" t="s">
        <v>4655</v>
      </c>
      <c r="AF1516" t="s">
        <v>4563</v>
      </c>
      <c r="AG1516" t="s">
        <v>4564</v>
      </c>
      <c r="AH1516">
        <v>89512</v>
      </c>
      <c r="AI1516" t="s">
        <v>1089</v>
      </c>
      <c r="AJ1516" t="s">
        <v>4655</v>
      </c>
      <c r="AK1516" t="s">
        <v>1090</v>
      </c>
      <c r="AL1516" s="13" t="s">
        <v>2255</v>
      </c>
      <c r="AM1516" s="14">
        <v>1</v>
      </c>
      <c r="AN1516" s="15" t="s">
        <v>4049</v>
      </c>
    </row>
    <row r="1517" spans="1:40" x14ac:dyDescent="0.3">
      <c r="A1517" s="10" t="str">
        <f>HYPERLINK("http://www.washoecounty.gov/assessor/cama/?parid=021-191-13&amp;CardNumber=1","021-191-13")</f>
        <v>021-191-13</v>
      </c>
      <c r="B1517" t="s">
        <v>4655</v>
      </c>
      <c r="C1517" t="s">
        <v>11618</v>
      </c>
      <c r="D1517" s="1">
        <v>40394</v>
      </c>
      <c r="E1517" s="2">
        <v>140000</v>
      </c>
      <c r="F1517" t="s">
        <v>4553</v>
      </c>
      <c r="G1517" s="17" t="str">
        <f>HYPERLINK("https://www.washoecounty.gov/assessor/cama/?command=sales&amp;parid=02119113","3908774")</f>
        <v>3908774</v>
      </c>
      <c r="H1517" t="s">
        <v>2169</v>
      </c>
      <c r="I1517">
        <v>1976</v>
      </c>
      <c r="J1517">
        <v>1978</v>
      </c>
      <c r="K1517" t="s">
        <v>4554</v>
      </c>
      <c r="L1517" t="s">
        <v>4555</v>
      </c>
      <c r="M1517" s="2">
        <v>1948</v>
      </c>
      <c r="N1517" t="s">
        <v>4048</v>
      </c>
      <c r="O1517">
        <v>3</v>
      </c>
      <c r="P1517">
        <v>2</v>
      </c>
      <c r="Q1517">
        <v>0</v>
      </c>
      <c r="R1517" t="s">
        <v>4557</v>
      </c>
      <c r="S1517" t="s">
        <v>4135</v>
      </c>
      <c r="T1517" t="s">
        <v>4559</v>
      </c>
      <c r="U1517" t="s">
        <v>4560</v>
      </c>
      <c r="V1517" s="2">
        <v>506</v>
      </c>
      <c r="W1517" t="s">
        <v>4655</v>
      </c>
      <c r="X1517" s="2">
        <v>0</v>
      </c>
      <c r="Y1517">
        <v>20</v>
      </c>
      <c r="Z1517" t="s">
        <v>4561</v>
      </c>
      <c r="AA1517" s="3">
        <v>0.342998176813126</v>
      </c>
      <c r="AB1517" t="s">
        <v>11619</v>
      </c>
      <c r="AC1517" t="s">
        <v>4562</v>
      </c>
      <c r="AD1517" t="s">
        <v>11620</v>
      </c>
      <c r="AE1517" t="s">
        <v>4655</v>
      </c>
      <c r="AF1517" t="s">
        <v>4563</v>
      </c>
      <c r="AG1517" t="s">
        <v>4564</v>
      </c>
      <c r="AH1517">
        <v>89502</v>
      </c>
      <c r="AI1517" t="s">
        <v>4503</v>
      </c>
      <c r="AJ1517" t="s">
        <v>4655</v>
      </c>
      <c r="AK1517" t="s">
        <v>11621</v>
      </c>
      <c r="AL1517" s="13" t="s">
        <v>2255</v>
      </c>
      <c r="AM1517">
        <v>1</v>
      </c>
      <c r="AN1517" s="15" t="s">
        <v>4049</v>
      </c>
    </row>
    <row r="1518" spans="1:40" x14ac:dyDescent="0.3">
      <c r="A1518" s="10" t="str">
        <f>HYPERLINK("http://www.washoecounty.gov/assessor/cama/?parid=021-191-20&amp;CardNumber=1","021-191-20")</f>
        <v>021-191-20</v>
      </c>
      <c r="B1518" t="s">
        <v>4655</v>
      </c>
      <c r="C1518" t="s">
        <v>11622</v>
      </c>
      <c r="D1518" s="1">
        <v>40345</v>
      </c>
      <c r="E1518" s="2">
        <v>125000</v>
      </c>
      <c r="F1518" t="s">
        <v>4567</v>
      </c>
      <c r="G1518" s="17" t="str">
        <f>HYPERLINK("https://www.washoecounty.gov/assessor/cama/?command=sales&amp;parid=02119120","3892411")</f>
        <v>3892411</v>
      </c>
      <c r="H1518" t="s">
        <v>3990</v>
      </c>
      <c r="I1518">
        <v>1984</v>
      </c>
      <c r="J1518">
        <v>1984</v>
      </c>
      <c r="K1518" t="s">
        <v>4554</v>
      </c>
      <c r="L1518" t="s">
        <v>3974</v>
      </c>
      <c r="M1518" s="2">
        <v>1325</v>
      </c>
      <c r="N1518" t="s">
        <v>5280</v>
      </c>
      <c r="O1518">
        <v>2</v>
      </c>
      <c r="P1518">
        <v>2</v>
      </c>
      <c r="Q1518">
        <v>1</v>
      </c>
      <c r="R1518" t="s">
        <v>5281</v>
      </c>
      <c r="S1518" t="s">
        <v>4558</v>
      </c>
      <c r="T1518" t="s">
        <v>4143</v>
      </c>
      <c r="U1518" t="s">
        <v>4560</v>
      </c>
      <c r="V1518" s="2">
        <v>480</v>
      </c>
      <c r="W1518" t="s">
        <v>4655</v>
      </c>
      <c r="X1518" s="2">
        <v>0</v>
      </c>
      <c r="Y1518">
        <v>20</v>
      </c>
      <c r="Z1518" t="s">
        <v>4561</v>
      </c>
      <c r="AA1518" s="3">
        <v>0.18000459671020499</v>
      </c>
      <c r="AB1518" t="s">
        <v>11623</v>
      </c>
      <c r="AC1518" t="s">
        <v>4562</v>
      </c>
      <c r="AD1518" t="s">
        <v>3991</v>
      </c>
      <c r="AE1518" t="s">
        <v>4655</v>
      </c>
      <c r="AF1518" t="s">
        <v>3619</v>
      </c>
      <c r="AG1518" t="s">
        <v>4564</v>
      </c>
      <c r="AH1518">
        <v>89412</v>
      </c>
      <c r="AI1518" t="s">
        <v>11624</v>
      </c>
      <c r="AJ1518" t="s">
        <v>4655</v>
      </c>
      <c r="AK1518" t="s">
        <v>11625</v>
      </c>
      <c r="AL1518" s="13" t="s">
        <v>2255</v>
      </c>
      <c r="AM1518">
        <v>1</v>
      </c>
      <c r="AN1518" s="15" t="s">
        <v>4049</v>
      </c>
    </row>
    <row r="1519" spans="1:40" x14ac:dyDescent="0.3">
      <c r="A1519" s="10" t="str">
        <f>HYPERLINK("http://www.washoecounty.gov/assessor/cama/?parid=021-192-15&amp;CardNumber=1","021-192-15")</f>
        <v>021-192-15</v>
      </c>
      <c r="B1519" t="s">
        <v>4655</v>
      </c>
      <c r="C1519" t="s">
        <v>11626</v>
      </c>
      <c r="D1519" s="1">
        <v>40528</v>
      </c>
      <c r="E1519" s="2">
        <v>137000</v>
      </c>
      <c r="F1519" t="s">
        <v>4567</v>
      </c>
      <c r="G1519" s="17" t="str">
        <f>HYPERLINK("https://www.washoecounty.gov/assessor/cama/?command=sales&amp;parid=02119215","3954475")</f>
        <v>3954475</v>
      </c>
      <c r="H1519" t="s">
        <v>2169</v>
      </c>
      <c r="I1519">
        <v>1977</v>
      </c>
      <c r="J1519">
        <v>1977</v>
      </c>
      <c r="K1519" t="s">
        <v>4554</v>
      </c>
      <c r="L1519" t="s">
        <v>4555</v>
      </c>
      <c r="M1519" s="2">
        <v>1276</v>
      </c>
      <c r="N1519" t="s">
        <v>4048</v>
      </c>
      <c r="O1519">
        <v>3</v>
      </c>
      <c r="P1519">
        <v>2</v>
      </c>
      <c r="Q1519">
        <v>0</v>
      </c>
      <c r="R1519" t="s">
        <v>4557</v>
      </c>
      <c r="S1519" t="s">
        <v>4558</v>
      </c>
      <c r="T1519" t="s">
        <v>4559</v>
      </c>
      <c r="U1519" t="s">
        <v>4560</v>
      </c>
      <c r="V1519" s="2">
        <v>506</v>
      </c>
      <c r="W1519" t="s">
        <v>4655</v>
      </c>
      <c r="X1519" s="2">
        <v>0</v>
      </c>
      <c r="Y1519">
        <v>20</v>
      </c>
      <c r="Z1519" t="s">
        <v>4561</v>
      </c>
      <c r="AA1519" s="3">
        <v>0.17199265956878662</v>
      </c>
      <c r="AB1519" t="s">
        <v>11627</v>
      </c>
      <c r="AC1519" t="s">
        <v>4562</v>
      </c>
      <c r="AD1519" t="s">
        <v>11626</v>
      </c>
      <c r="AE1519" t="s">
        <v>4655</v>
      </c>
      <c r="AF1519" t="s">
        <v>4563</v>
      </c>
      <c r="AG1519" t="s">
        <v>4564</v>
      </c>
      <c r="AH1519">
        <v>89502</v>
      </c>
      <c r="AI1519" t="s">
        <v>11628</v>
      </c>
      <c r="AJ1519" t="s">
        <v>4655</v>
      </c>
      <c r="AK1519" t="s">
        <v>11629</v>
      </c>
      <c r="AL1519" s="13" t="s">
        <v>2255</v>
      </c>
      <c r="AM1519" s="14">
        <v>1</v>
      </c>
      <c r="AN1519" s="15" t="s">
        <v>4049</v>
      </c>
    </row>
    <row r="1520" spans="1:40" x14ac:dyDescent="0.3">
      <c r="A1520" s="10" t="str">
        <f>HYPERLINK("http://www.washoecounty.gov/assessor/cama/?parid=021-192-17&amp;CardNumber=1","021-192-17")</f>
        <v>021-192-17</v>
      </c>
      <c r="B1520" t="s">
        <v>4655</v>
      </c>
      <c r="C1520" t="s">
        <v>11630</v>
      </c>
      <c r="D1520" s="1">
        <v>40525</v>
      </c>
      <c r="E1520" s="2">
        <v>150000</v>
      </c>
      <c r="F1520" t="s">
        <v>4553</v>
      </c>
      <c r="G1520" s="17" t="str">
        <f>HYPERLINK("https://www.washoecounty.gov/assessor/cama/?command=sales&amp;parid=02119217","3952858")</f>
        <v>3952858</v>
      </c>
      <c r="H1520" t="s">
        <v>2169</v>
      </c>
      <c r="I1520">
        <v>1977</v>
      </c>
      <c r="J1520">
        <v>1977</v>
      </c>
      <c r="K1520" t="s">
        <v>4554</v>
      </c>
      <c r="L1520" t="s">
        <v>2170</v>
      </c>
      <c r="M1520" s="2">
        <v>1878</v>
      </c>
      <c r="N1520" t="s">
        <v>4048</v>
      </c>
      <c r="O1520">
        <v>3</v>
      </c>
      <c r="P1520">
        <v>2</v>
      </c>
      <c r="Q1520">
        <v>1</v>
      </c>
      <c r="R1520" t="s">
        <v>4557</v>
      </c>
      <c r="S1520" t="s">
        <v>4558</v>
      </c>
      <c r="T1520" t="s">
        <v>4559</v>
      </c>
      <c r="U1520" t="s">
        <v>5631</v>
      </c>
      <c r="V1520" s="2">
        <v>528</v>
      </c>
      <c r="W1520" t="s">
        <v>4655</v>
      </c>
      <c r="X1520" s="2">
        <v>0</v>
      </c>
      <c r="Y1520">
        <v>20</v>
      </c>
      <c r="Z1520" t="s">
        <v>4561</v>
      </c>
      <c r="AA1520" s="3">
        <v>0.17199265956878662</v>
      </c>
      <c r="AB1520" t="s">
        <v>11631</v>
      </c>
      <c r="AC1520" t="s">
        <v>4562</v>
      </c>
      <c r="AD1520" t="s">
        <v>11630</v>
      </c>
      <c r="AE1520" t="s">
        <v>4655</v>
      </c>
      <c r="AF1520" t="s">
        <v>4563</v>
      </c>
      <c r="AG1520" t="s">
        <v>4564</v>
      </c>
      <c r="AH1520">
        <v>89502</v>
      </c>
      <c r="AI1520" t="s">
        <v>4903</v>
      </c>
      <c r="AJ1520" t="s">
        <v>4655</v>
      </c>
      <c r="AK1520" t="s">
        <v>11632</v>
      </c>
      <c r="AL1520" s="13" t="s">
        <v>2255</v>
      </c>
      <c r="AM1520">
        <v>1</v>
      </c>
      <c r="AN1520" s="15" t="s">
        <v>4049</v>
      </c>
    </row>
    <row r="1521" spans="1:40" x14ac:dyDescent="0.3">
      <c r="A1521" s="10" t="str">
        <f>HYPERLINK("http://www.washoecounty.gov/assessor/cama/?parid=021-192-24&amp;CardNumber=1","021-192-24")</f>
        <v>021-192-24</v>
      </c>
      <c r="B1521" t="s">
        <v>4655</v>
      </c>
      <c r="C1521" t="s">
        <v>11633</v>
      </c>
      <c r="D1521" s="1">
        <v>40212</v>
      </c>
      <c r="E1521" s="2">
        <v>190000</v>
      </c>
      <c r="F1521" t="s">
        <v>4567</v>
      </c>
      <c r="G1521" s="17" t="str">
        <f>HYPERLINK("https://www.washoecounty.gov/assessor/cama/?command=sales&amp;parid=02119224","3845727")</f>
        <v>3845727</v>
      </c>
      <c r="H1521" t="s">
        <v>2169</v>
      </c>
      <c r="I1521">
        <v>1977</v>
      </c>
      <c r="J1521">
        <v>1977</v>
      </c>
      <c r="K1521" t="s">
        <v>4554</v>
      </c>
      <c r="L1521" t="s">
        <v>2170</v>
      </c>
      <c r="M1521" s="2">
        <v>1878</v>
      </c>
      <c r="N1521" t="s">
        <v>4048</v>
      </c>
      <c r="O1521">
        <v>3</v>
      </c>
      <c r="P1521">
        <v>2</v>
      </c>
      <c r="Q1521">
        <v>1</v>
      </c>
      <c r="R1521" t="s">
        <v>5281</v>
      </c>
      <c r="S1521" t="s">
        <v>4135</v>
      </c>
      <c r="T1521" t="s">
        <v>4559</v>
      </c>
      <c r="U1521" t="s">
        <v>5631</v>
      </c>
      <c r="V1521" s="2">
        <v>528</v>
      </c>
      <c r="W1521" t="s">
        <v>4655</v>
      </c>
      <c r="X1521" s="2">
        <v>0</v>
      </c>
      <c r="Y1521">
        <v>20</v>
      </c>
      <c r="Z1521" t="s">
        <v>4561</v>
      </c>
      <c r="AA1521" s="3">
        <v>0.29100093245506298</v>
      </c>
      <c r="AB1521" t="s">
        <v>11634</v>
      </c>
      <c r="AC1521" t="s">
        <v>4562</v>
      </c>
      <c r="AD1521" t="s">
        <v>11633</v>
      </c>
      <c r="AE1521" t="s">
        <v>4655</v>
      </c>
      <c r="AF1521" t="s">
        <v>4563</v>
      </c>
      <c r="AG1521" t="s">
        <v>4564</v>
      </c>
      <c r="AH1521">
        <v>89502</v>
      </c>
      <c r="AI1521" t="s">
        <v>11635</v>
      </c>
      <c r="AJ1521" t="s">
        <v>4655</v>
      </c>
      <c r="AK1521" t="s">
        <v>11636</v>
      </c>
      <c r="AL1521" s="13" t="s">
        <v>2255</v>
      </c>
      <c r="AM1521" s="14">
        <v>1</v>
      </c>
      <c r="AN1521" s="15" t="s">
        <v>4049</v>
      </c>
    </row>
    <row r="1522" spans="1:40" x14ac:dyDescent="0.3">
      <c r="A1522" s="10" t="str">
        <f>HYPERLINK("http://www.washoecounty.gov/assessor/cama/?parid=021-201-14&amp;CardNumber=1","021-201-14")</f>
        <v>021-201-14</v>
      </c>
      <c r="B1522" t="s">
        <v>4655</v>
      </c>
      <c r="C1522" t="s">
        <v>11637</v>
      </c>
      <c r="D1522" s="1">
        <v>40463</v>
      </c>
      <c r="E1522" s="2">
        <v>134000</v>
      </c>
      <c r="F1522" t="s">
        <v>4553</v>
      </c>
      <c r="G1522" s="17" t="str">
        <f>HYPERLINK("https://www.washoecounty.gov/assessor/cama/?command=sales&amp;parid=02120114","3932027")</f>
        <v>3932027</v>
      </c>
      <c r="H1522" t="s">
        <v>2169</v>
      </c>
      <c r="I1522">
        <v>1977</v>
      </c>
      <c r="J1522">
        <v>1977</v>
      </c>
      <c r="K1522" t="s">
        <v>4554</v>
      </c>
      <c r="L1522" t="s">
        <v>4555</v>
      </c>
      <c r="M1522" s="2">
        <v>1276</v>
      </c>
      <c r="N1522" t="s">
        <v>4048</v>
      </c>
      <c r="O1522">
        <v>3</v>
      </c>
      <c r="P1522">
        <v>2</v>
      </c>
      <c r="Q1522">
        <v>0</v>
      </c>
      <c r="R1522" t="s">
        <v>4557</v>
      </c>
      <c r="S1522" t="s">
        <v>4558</v>
      </c>
      <c r="T1522" t="s">
        <v>4559</v>
      </c>
      <c r="U1522" t="s">
        <v>4560</v>
      </c>
      <c r="V1522" s="2">
        <v>506</v>
      </c>
      <c r="W1522" t="s">
        <v>4655</v>
      </c>
      <c r="X1522" s="2">
        <v>0</v>
      </c>
      <c r="Y1522">
        <v>20</v>
      </c>
      <c r="Z1522" t="s">
        <v>4561</v>
      </c>
      <c r="AA1522" s="3">
        <v>0.16799816489219666</v>
      </c>
      <c r="AB1522" t="s">
        <v>11638</v>
      </c>
      <c r="AC1522" t="s">
        <v>4562</v>
      </c>
      <c r="AD1522" t="s">
        <v>11637</v>
      </c>
      <c r="AE1522" t="s">
        <v>4655</v>
      </c>
      <c r="AF1522" t="s">
        <v>4563</v>
      </c>
      <c r="AG1522" t="s">
        <v>4564</v>
      </c>
      <c r="AH1522">
        <v>89502</v>
      </c>
      <c r="AI1522" t="s">
        <v>4655</v>
      </c>
      <c r="AJ1522" t="s">
        <v>4655</v>
      </c>
      <c r="AK1522" t="s">
        <v>11639</v>
      </c>
      <c r="AL1522" s="13" t="s">
        <v>2255</v>
      </c>
      <c r="AM1522" s="14">
        <v>1</v>
      </c>
      <c r="AN1522" s="15" t="s">
        <v>4049</v>
      </c>
    </row>
    <row r="1523" spans="1:40" x14ac:dyDescent="0.3">
      <c r="A1523" s="10" t="str">
        <f>HYPERLINK("http://www.washoecounty.gov/assessor/cama/?parid=021-214-11&amp;CardNumber=1","021-214-11")</f>
        <v>021-214-11</v>
      </c>
      <c r="B1523" t="s">
        <v>4655</v>
      </c>
      <c r="C1523" t="s">
        <v>11640</v>
      </c>
      <c r="D1523" s="1">
        <v>40268</v>
      </c>
      <c r="E1523" s="2">
        <v>160000</v>
      </c>
      <c r="F1523" t="s">
        <v>4553</v>
      </c>
      <c r="G1523" s="17" t="str">
        <f>HYPERLINK("https://www.washoecounty.gov/assessor/cama/?command=sales&amp;parid=02121411","3866389")</f>
        <v>3866389</v>
      </c>
      <c r="H1523" t="s">
        <v>3017</v>
      </c>
      <c r="I1523">
        <v>1985</v>
      </c>
      <c r="J1523">
        <v>1985</v>
      </c>
      <c r="K1523" t="s">
        <v>4554</v>
      </c>
      <c r="L1523" t="s">
        <v>3974</v>
      </c>
      <c r="M1523" s="2">
        <v>1412</v>
      </c>
      <c r="N1523" t="s">
        <v>5280</v>
      </c>
      <c r="O1523">
        <v>3</v>
      </c>
      <c r="P1523">
        <v>2</v>
      </c>
      <c r="Q1523">
        <v>1</v>
      </c>
      <c r="R1523" t="s">
        <v>4557</v>
      </c>
      <c r="S1523" t="s">
        <v>4558</v>
      </c>
      <c r="T1523" t="s">
        <v>4559</v>
      </c>
      <c r="U1523" t="s">
        <v>5631</v>
      </c>
      <c r="V1523" s="2">
        <v>500</v>
      </c>
      <c r="W1523" t="s">
        <v>4655</v>
      </c>
      <c r="X1523" s="2">
        <v>0</v>
      </c>
      <c r="Y1523">
        <v>20</v>
      </c>
      <c r="Z1523" t="s">
        <v>4561</v>
      </c>
      <c r="AA1523" s="3">
        <v>0.117011018097401</v>
      </c>
      <c r="AB1523" t="s">
        <v>11641</v>
      </c>
      <c r="AC1523" t="s">
        <v>4562</v>
      </c>
      <c r="AD1523" t="s">
        <v>11640</v>
      </c>
      <c r="AE1523" t="s">
        <v>4655</v>
      </c>
      <c r="AF1523" t="s">
        <v>4563</v>
      </c>
      <c r="AG1523" t="s">
        <v>4564</v>
      </c>
      <c r="AH1523">
        <v>89502</v>
      </c>
      <c r="AI1523" t="s">
        <v>4565</v>
      </c>
      <c r="AJ1523" t="s">
        <v>4655</v>
      </c>
      <c r="AK1523" t="s">
        <v>11642</v>
      </c>
      <c r="AL1523" s="13" t="s">
        <v>2255</v>
      </c>
      <c r="AM1523" s="14">
        <v>1</v>
      </c>
      <c r="AN1523" s="15" t="s">
        <v>4049</v>
      </c>
    </row>
    <row r="1524" spans="1:40" x14ac:dyDescent="0.3">
      <c r="A1524" s="10" t="str">
        <f>HYPERLINK("http://www.washoecounty.gov/assessor/cama/?parid=021-214-18&amp;CardNumber=1","021-214-18")</f>
        <v>021-214-18</v>
      </c>
      <c r="B1524" t="s">
        <v>4655</v>
      </c>
      <c r="C1524" t="s">
        <v>11643</v>
      </c>
      <c r="D1524" s="1">
        <v>40499</v>
      </c>
      <c r="E1524" s="2">
        <v>133500</v>
      </c>
      <c r="F1524" t="s">
        <v>4553</v>
      </c>
      <c r="G1524" s="17" t="str">
        <f>HYPERLINK("https://www.washoecounty.gov/assessor/cama/?command=sales&amp;parid=02121418","3944000")</f>
        <v>3944000</v>
      </c>
      <c r="H1524" t="s">
        <v>3017</v>
      </c>
      <c r="I1524">
        <v>1984</v>
      </c>
      <c r="J1524">
        <v>1984</v>
      </c>
      <c r="K1524" t="s">
        <v>4554</v>
      </c>
      <c r="L1524" t="s">
        <v>4555</v>
      </c>
      <c r="M1524" s="2">
        <v>1079</v>
      </c>
      <c r="N1524" t="s">
        <v>5280</v>
      </c>
      <c r="O1524">
        <v>2</v>
      </c>
      <c r="P1524">
        <v>2</v>
      </c>
      <c r="Q1524">
        <v>0</v>
      </c>
      <c r="R1524" t="s">
        <v>4557</v>
      </c>
      <c r="S1524" t="s">
        <v>4558</v>
      </c>
      <c r="T1524" t="s">
        <v>4559</v>
      </c>
      <c r="U1524" t="s">
        <v>4560</v>
      </c>
      <c r="V1524" s="2">
        <v>440</v>
      </c>
      <c r="W1524" t="s">
        <v>4655</v>
      </c>
      <c r="X1524" s="2">
        <v>0</v>
      </c>
      <c r="Y1524">
        <v>20</v>
      </c>
      <c r="Z1524" t="s">
        <v>4561</v>
      </c>
      <c r="AA1524" s="3">
        <v>0.16900826990604401</v>
      </c>
      <c r="AB1524" t="s">
        <v>11644</v>
      </c>
      <c r="AC1524" t="s">
        <v>4575</v>
      </c>
      <c r="AD1524" t="s">
        <v>11645</v>
      </c>
      <c r="AE1524" t="s">
        <v>4655</v>
      </c>
      <c r="AF1524" t="s">
        <v>4563</v>
      </c>
      <c r="AG1524" t="s">
        <v>4564</v>
      </c>
      <c r="AH1524">
        <v>89502</v>
      </c>
      <c r="AI1524" t="s">
        <v>4903</v>
      </c>
      <c r="AJ1524" t="s">
        <v>4655</v>
      </c>
      <c r="AK1524" t="s">
        <v>11646</v>
      </c>
      <c r="AL1524" s="13" t="s">
        <v>2255</v>
      </c>
      <c r="AM1524" s="14">
        <v>1</v>
      </c>
      <c r="AN1524" s="15" t="s">
        <v>4049</v>
      </c>
    </row>
    <row r="1525" spans="1:40" x14ac:dyDescent="0.3">
      <c r="A1525" s="10" t="str">
        <f>HYPERLINK("http://www.washoecounty.gov/assessor/cama/?parid=021-214-20&amp;CardNumber=1","021-214-20")</f>
        <v>021-214-20</v>
      </c>
      <c r="B1525" t="s">
        <v>4655</v>
      </c>
      <c r="C1525" t="s">
        <v>11647</v>
      </c>
      <c r="D1525" s="1">
        <v>40344</v>
      </c>
      <c r="E1525" s="2">
        <v>160000</v>
      </c>
      <c r="F1525" t="s">
        <v>4553</v>
      </c>
      <c r="G1525" s="17" t="str">
        <f>HYPERLINK("https://www.washoecounty.gov/assessor/cama/?command=sales&amp;parid=02121420","3892143")</f>
        <v>3892143</v>
      </c>
      <c r="H1525" t="s">
        <v>3017</v>
      </c>
      <c r="I1525">
        <v>1984</v>
      </c>
      <c r="J1525">
        <v>1984</v>
      </c>
      <c r="K1525" t="s">
        <v>4554</v>
      </c>
      <c r="L1525" t="s">
        <v>3974</v>
      </c>
      <c r="M1525" s="2">
        <v>1568</v>
      </c>
      <c r="N1525" t="s">
        <v>5280</v>
      </c>
      <c r="O1525">
        <v>3</v>
      </c>
      <c r="P1525">
        <v>2</v>
      </c>
      <c r="Q1525">
        <v>1</v>
      </c>
      <c r="R1525" t="s">
        <v>4557</v>
      </c>
      <c r="S1525" t="s">
        <v>4558</v>
      </c>
      <c r="T1525" t="s">
        <v>4559</v>
      </c>
      <c r="U1525" t="s">
        <v>5631</v>
      </c>
      <c r="V1525" s="2">
        <v>432</v>
      </c>
      <c r="W1525" t="s">
        <v>4655</v>
      </c>
      <c r="X1525" s="2">
        <v>0</v>
      </c>
      <c r="Y1525">
        <v>20</v>
      </c>
      <c r="Z1525" t="s">
        <v>4561</v>
      </c>
      <c r="AA1525" s="3">
        <v>0.130991742014885</v>
      </c>
      <c r="AB1525" t="s">
        <v>11648</v>
      </c>
      <c r="AC1525" t="s">
        <v>4562</v>
      </c>
      <c r="AD1525" t="s">
        <v>11649</v>
      </c>
      <c r="AE1525" t="s">
        <v>4655</v>
      </c>
      <c r="AF1525" t="s">
        <v>4563</v>
      </c>
      <c r="AG1525" t="s">
        <v>4564</v>
      </c>
      <c r="AH1525">
        <v>89502</v>
      </c>
      <c r="AI1525" t="s">
        <v>4655</v>
      </c>
      <c r="AJ1525" t="s">
        <v>4655</v>
      </c>
      <c r="AK1525" t="s">
        <v>11650</v>
      </c>
      <c r="AL1525" s="13" t="s">
        <v>2255</v>
      </c>
      <c r="AM1525">
        <v>1</v>
      </c>
      <c r="AN1525" s="15" t="s">
        <v>4049</v>
      </c>
    </row>
    <row r="1526" spans="1:40" x14ac:dyDescent="0.3">
      <c r="A1526" s="10" t="str">
        <f>HYPERLINK("http://www.washoecounty.gov/assessor/cama/?parid=021-215-18&amp;CardNumber=1","021-215-18")</f>
        <v>021-215-18</v>
      </c>
      <c r="B1526" t="s">
        <v>4655</v>
      </c>
      <c r="C1526" t="s">
        <v>11651</v>
      </c>
      <c r="D1526" s="1">
        <v>40205</v>
      </c>
      <c r="E1526" s="2">
        <v>155000</v>
      </c>
      <c r="F1526" t="s">
        <v>4553</v>
      </c>
      <c r="G1526" s="17" t="str">
        <f>HYPERLINK("https://www.washoecounty.gov/assessor/cama/?command=sales&amp;parid=02121518","3843220")</f>
        <v>3843220</v>
      </c>
      <c r="H1526" t="s">
        <v>2171</v>
      </c>
      <c r="I1526">
        <v>1984</v>
      </c>
      <c r="J1526">
        <v>1984</v>
      </c>
      <c r="K1526" t="s">
        <v>4554</v>
      </c>
      <c r="L1526" t="s">
        <v>3974</v>
      </c>
      <c r="M1526" s="2">
        <v>1412</v>
      </c>
      <c r="N1526" t="s">
        <v>5280</v>
      </c>
      <c r="O1526">
        <v>3</v>
      </c>
      <c r="P1526">
        <v>2</v>
      </c>
      <c r="Q1526">
        <v>1</v>
      </c>
      <c r="R1526" t="s">
        <v>4557</v>
      </c>
      <c r="S1526" t="s">
        <v>4558</v>
      </c>
      <c r="T1526" t="s">
        <v>4559</v>
      </c>
      <c r="U1526" t="s">
        <v>5631</v>
      </c>
      <c r="V1526" s="2">
        <v>500</v>
      </c>
      <c r="W1526" t="s">
        <v>4655</v>
      </c>
      <c r="X1526" s="2">
        <v>0</v>
      </c>
      <c r="Y1526">
        <v>20</v>
      </c>
      <c r="Z1526" t="s">
        <v>4561</v>
      </c>
      <c r="AA1526" s="3">
        <v>0.15899908542633101</v>
      </c>
      <c r="AB1526" t="s">
        <v>11652</v>
      </c>
      <c r="AC1526" t="s">
        <v>4562</v>
      </c>
      <c r="AD1526" t="s">
        <v>11651</v>
      </c>
      <c r="AE1526" t="s">
        <v>4655</v>
      </c>
      <c r="AF1526" t="s">
        <v>4563</v>
      </c>
      <c r="AG1526" t="s">
        <v>4564</v>
      </c>
      <c r="AH1526">
        <v>89502</v>
      </c>
      <c r="AI1526" t="s">
        <v>4848</v>
      </c>
      <c r="AJ1526" t="s">
        <v>4655</v>
      </c>
      <c r="AK1526" t="s">
        <v>11653</v>
      </c>
      <c r="AL1526" s="13" t="s">
        <v>2255</v>
      </c>
      <c r="AM1526">
        <v>1</v>
      </c>
      <c r="AN1526" s="15" t="s">
        <v>4049</v>
      </c>
    </row>
    <row r="1527" spans="1:40" x14ac:dyDescent="0.3">
      <c r="A1527" s="10" t="str">
        <f>HYPERLINK("http://www.washoecounty.gov/assessor/cama/?parid=021-215-30&amp;CardNumber=1","021-215-30")</f>
        <v>021-215-30</v>
      </c>
      <c r="B1527" t="s">
        <v>4655</v>
      </c>
      <c r="C1527" t="s">
        <v>11654</v>
      </c>
      <c r="D1527" s="1">
        <v>40512</v>
      </c>
      <c r="E1527" s="2">
        <v>105000</v>
      </c>
      <c r="F1527" t="s">
        <v>4567</v>
      </c>
      <c r="G1527" s="17" t="str">
        <f>HYPERLINK("https://www.washoecounty.gov/assessor/cama/?command=sales&amp;parid=02121530","3948011")</f>
        <v>3948011</v>
      </c>
      <c r="H1527" t="s">
        <v>3017</v>
      </c>
      <c r="I1527">
        <v>1985</v>
      </c>
      <c r="J1527">
        <v>1985</v>
      </c>
      <c r="K1527" t="s">
        <v>4554</v>
      </c>
      <c r="L1527" t="s">
        <v>4555</v>
      </c>
      <c r="M1527" s="2">
        <v>1079</v>
      </c>
      <c r="N1527" t="s">
        <v>5280</v>
      </c>
      <c r="O1527">
        <v>2</v>
      </c>
      <c r="P1527">
        <v>2</v>
      </c>
      <c r="Q1527">
        <v>0</v>
      </c>
      <c r="R1527" t="s">
        <v>4557</v>
      </c>
      <c r="S1527" t="s">
        <v>4558</v>
      </c>
      <c r="T1527" t="s">
        <v>4559</v>
      </c>
      <c r="U1527" t="s">
        <v>4560</v>
      </c>
      <c r="V1527" s="2">
        <v>440</v>
      </c>
      <c r="W1527" t="s">
        <v>4655</v>
      </c>
      <c r="X1527" s="2">
        <v>0</v>
      </c>
      <c r="Y1527">
        <v>20</v>
      </c>
      <c r="Z1527" t="s">
        <v>4561</v>
      </c>
      <c r="AA1527" s="3">
        <v>0.108999080955982</v>
      </c>
      <c r="AB1527" t="s">
        <v>11655</v>
      </c>
      <c r="AC1527" t="s">
        <v>4562</v>
      </c>
      <c r="AD1527" t="s">
        <v>11656</v>
      </c>
      <c r="AE1527" t="s">
        <v>4655</v>
      </c>
      <c r="AF1527" t="s">
        <v>4563</v>
      </c>
      <c r="AG1527" t="s">
        <v>4564</v>
      </c>
      <c r="AH1527">
        <v>89502</v>
      </c>
      <c r="AI1527" t="s">
        <v>11657</v>
      </c>
      <c r="AJ1527" t="s">
        <v>4655</v>
      </c>
      <c r="AK1527" t="s">
        <v>11658</v>
      </c>
      <c r="AL1527" s="13" t="s">
        <v>2255</v>
      </c>
      <c r="AM1527" s="14">
        <v>1</v>
      </c>
      <c r="AN1527" s="15" t="s">
        <v>4049</v>
      </c>
    </row>
    <row r="1528" spans="1:40" x14ac:dyDescent="0.3">
      <c r="A1528" s="10" t="str">
        <f>HYPERLINK("http://www.washoecounty.gov/assessor/cama/?parid=021-215-32&amp;CardNumber=1","021-215-32")</f>
        <v>021-215-32</v>
      </c>
      <c r="B1528" t="s">
        <v>4655</v>
      </c>
      <c r="C1528" t="s">
        <v>11659</v>
      </c>
      <c r="D1528" s="1">
        <v>40466</v>
      </c>
      <c r="E1528" s="2">
        <v>99900</v>
      </c>
      <c r="F1528" t="s">
        <v>4553</v>
      </c>
      <c r="G1528" s="17" t="str">
        <f>HYPERLINK("https://www.washoecounty.gov/assessor/cama/?command=sales&amp;parid=02121532","3933375")</f>
        <v>3933375</v>
      </c>
      <c r="H1528" t="s">
        <v>3017</v>
      </c>
      <c r="I1528">
        <v>1985</v>
      </c>
      <c r="J1528">
        <v>1985</v>
      </c>
      <c r="K1528" t="s">
        <v>4554</v>
      </c>
      <c r="L1528" t="s">
        <v>4555</v>
      </c>
      <c r="M1528" s="2">
        <v>1044</v>
      </c>
      <c r="N1528" t="s">
        <v>5280</v>
      </c>
      <c r="O1528">
        <v>2</v>
      </c>
      <c r="P1528">
        <v>2</v>
      </c>
      <c r="Q1528">
        <v>0</v>
      </c>
      <c r="R1528" t="s">
        <v>5281</v>
      </c>
      <c r="S1528" t="s">
        <v>4558</v>
      </c>
      <c r="T1528" t="s">
        <v>4559</v>
      </c>
      <c r="U1528" t="s">
        <v>4560</v>
      </c>
      <c r="V1528" s="2">
        <v>440</v>
      </c>
      <c r="W1528" t="s">
        <v>4655</v>
      </c>
      <c r="X1528" s="2">
        <v>0</v>
      </c>
      <c r="Y1528">
        <v>20</v>
      </c>
      <c r="Z1528" t="s">
        <v>4561</v>
      </c>
      <c r="AA1528" s="3">
        <v>0.117011018097401</v>
      </c>
      <c r="AB1528" t="s">
        <v>11660</v>
      </c>
      <c r="AC1528" t="s">
        <v>4575</v>
      </c>
      <c r="AD1528" t="s">
        <v>11661</v>
      </c>
      <c r="AE1528" t="s">
        <v>4655</v>
      </c>
      <c r="AF1528" t="s">
        <v>23</v>
      </c>
      <c r="AG1528" t="s">
        <v>4584</v>
      </c>
      <c r="AH1528" t="s">
        <v>2572</v>
      </c>
      <c r="AI1528" t="s">
        <v>4503</v>
      </c>
      <c r="AJ1528" t="s">
        <v>4655</v>
      </c>
      <c r="AK1528" t="s">
        <v>11662</v>
      </c>
      <c r="AL1528" s="13" t="s">
        <v>2255</v>
      </c>
      <c r="AM1528" s="14">
        <v>1</v>
      </c>
      <c r="AN1528" s="15" t="s">
        <v>4049</v>
      </c>
    </row>
    <row r="1529" spans="1:40" x14ac:dyDescent="0.3">
      <c r="A1529" s="10" t="str">
        <f>HYPERLINK("http://www.washoecounty.gov/assessor/cama/?parid=021-216-19&amp;CardNumber=1","021-216-19")</f>
        <v>021-216-19</v>
      </c>
      <c r="B1529" t="s">
        <v>4655</v>
      </c>
      <c r="C1529" t="s">
        <v>11663</v>
      </c>
      <c r="D1529" s="1">
        <v>40266</v>
      </c>
      <c r="E1529" s="2">
        <v>183900</v>
      </c>
      <c r="F1529" t="s">
        <v>4567</v>
      </c>
      <c r="G1529" s="17" t="str">
        <f>HYPERLINK("https://www.washoecounty.gov/assessor/cama/?command=sales&amp;parid=02121619","3865143")</f>
        <v>3865143</v>
      </c>
      <c r="H1529" t="s">
        <v>2171</v>
      </c>
      <c r="I1529">
        <v>1985</v>
      </c>
      <c r="J1529">
        <v>1985</v>
      </c>
      <c r="K1529" t="s">
        <v>4554</v>
      </c>
      <c r="L1529" t="s">
        <v>3974</v>
      </c>
      <c r="M1529" s="2">
        <v>1724</v>
      </c>
      <c r="N1529" t="s">
        <v>5280</v>
      </c>
      <c r="O1529">
        <v>4</v>
      </c>
      <c r="P1529">
        <v>3</v>
      </c>
      <c r="Q1529">
        <v>0</v>
      </c>
      <c r="R1529" t="s">
        <v>4557</v>
      </c>
      <c r="S1529" t="s">
        <v>4558</v>
      </c>
      <c r="T1529" t="s">
        <v>4559</v>
      </c>
      <c r="U1529" t="s">
        <v>5631</v>
      </c>
      <c r="V1529" s="2">
        <v>462</v>
      </c>
      <c r="W1529" t="s">
        <v>4655</v>
      </c>
      <c r="X1529" s="2">
        <v>0</v>
      </c>
      <c r="Y1529">
        <v>20</v>
      </c>
      <c r="Z1529" t="s">
        <v>4561</v>
      </c>
      <c r="AA1529" s="3">
        <v>0.14600551128387501</v>
      </c>
      <c r="AB1529" t="s">
        <v>11664</v>
      </c>
      <c r="AC1529" t="s">
        <v>4575</v>
      </c>
      <c r="AD1529" t="s">
        <v>11663</v>
      </c>
      <c r="AE1529" t="s">
        <v>4655</v>
      </c>
      <c r="AF1529" t="s">
        <v>4563</v>
      </c>
      <c r="AG1529" t="s">
        <v>4564</v>
      </c>
      <c r="AH1529">
        <v>89502</v>
      </c>
      <c r="AI1529" t="s">
        <v>11665</v>
      </c>
      <c r="AJ1529" t="s">
        <v>4655</v>
      </c>
      <c r="AK1529" t="s">
        <v>11666</v>
      </c>
      <c r="AL1529" s="13" t="s">
        <v>2255</v>
      </c>
      <c r="AM1529" s="14">
        <v>1</v>
      </c>
      <c r="AN1529" s="15" t="s">
        <v>4049</v>
      </c>
    </row>
    <row r="1530" spans="1:40" x14ac:dyDescent="0.3">
      <c r="A1530" s="10" t="str">
        <f>HYPERLINK("http://www.washoecounty.gov/assessor/cama/?parid=021-217-05&amp;CardNumber=1","021-217-05")</f>
        <v>021-217-05</v>
      </c>
      <c r="B1530" t="s">
        <v>4655</v>
      </c>
      <c r="C1530" t="s">
        <v>11667</v>
      </c>
      <c r="D1530" s="1">
        <v>40276</v>
      </c>
      <c r="E1530" s="2">
        <v>149450</v>
      </c>
      <c r="F1530" t="s">
        <v>4567</v>
      </c>
      <c r="G1530" s="17" t="str">
        <f>HYPERLINK("https://www.washoecounty.gov/assessor/cama/?command=sales&amp;parid=02121705","3869073")</f>
        <v>3869073</v>
      </c>
      <c r="H1530" t="s">
        <v>2171</v>
      </c>
      <c r="I1530">
        <v>1984</v>
      </c>
      <c r="J1530">
        <v>1984</v>
      </c>
      <c r="K1530" t="s">
        <v>4554</v>
      </c>
      <c r="L1530" t="s">
        <v>3974</v>
      </c>
      <c r="M1530" s="2">
        <v>1262</v>
      </c>
      <c r="N1530" t="s">
        <v>5280</v>
      </c>
      <c r="O1530">
        <v>2</v>
      </c>
      <c r="P1530">
        <v>2</v>
      </c>
      <c r="Q1530">
        <v>1</v>
      </c>
      <c r="R1530" t="s">
        <v>4557</v>
      </c>
      <c r="S1530" t="s">
        <v>4558</v>
      </c>
      <c r="T1530" t="s">
        <v>4559</v>
      </c>
      <c r="U1530" t="s">
        <v>5631</v>
      </c>
      <c r="V1530" s="2">
        <v>480</v>
      </c>
      <c r="W1530" t="s">
        <v>4655</v>
      </c>
      <c r="X1530" s="2">
        <v>0</v>
      </c>
      <c r="Y1530">
        <v>20</v>
      </c>
      <c r="Z1530" t="s">
        <v>4561</v>
      </c>
      <c r="AA1530" s="3">
        <v>0.114003673195839</v>
      </c>
      <c r="AB1530" t="s">
        <v>11668</v>
      </c>
      <c r="AC1530" t="s">
        <v>4562</v>
      </c>
      <c r="AD1530" t="s">
        <v>11669</v>
      </c>
      <c r="AE1530" t="s">
        <v>4655</v>
      </c>
      <c r="AF1530" t="s">
        <v>4563</v>
      </c>
      <c r="AG1530" t="s">
        <v>4564</v>
      </c>
      <c r="AH1530">
        <v>89502</v>
      </c>
      <c r="AI1530" t="s">
        <v>11670</v>
      </c>
      <c r="AJ1530" t="s">
        <v>4655</v>
      </c>
      <c r="AK1530" t="s">
        <v>11671</v>
      </c>
      <c r="AL1530" s="13" t="s">
        <v>2255</v>
      </c>
      <c r="AM1530">
        <v>1</v>
      </c>
      <c r="AN1530" s="15" t="s">
        <v>4049</v>
      </c>
    </row>
    <row r="1531" spans="1:40" x14ac:dyDescent="0.3">
      <c r="A1531" s="10" t="str">
        <f>HYPERLINK("http://www.washoecounty.gov/assessor/cama/?parid=021-217-19&amp;CardNumber=1","021-217-19")</f>
        <v>021-217-19</v>
      </c>
      <c r="B1531" t="s">
        <v>4655</v>
      </c>
      <c r="C1531" t="s">
        <v>11672</v>
      </c>
      <c r="D1531" s="1">
        <v>40417</v>
      </c>
      <c r="E1531" s="2">
        <v>140000</v>
      </c>
      <c r="F1531" t="s">
        <v>4553</v>
      </c>
      <c r="G1531" s="17" t="str">
        <f>HYPERLINK("https://www.washoecounty.gov/assessor/cama/?command=sales&amp;parid=02121719","3916548")</f>
        <v>3916548</v>
      </c>
      <c r="H1531" t="s">
        <v>2171</v>
      </c>
      <c r="I1531">
        <v>1984</v>
      </c>
      <c r="J1531">
        <v>1984</v>
      </c>
      <c r="K1531" t="s">
        <v>4554</v>
      </c>
      <c r="L1531" t="s">
        <v>3974</v>
      </c>
      <c r="M1531" s="2">
        <v>1568</v>
      </c>
      <c r="N1531" t="s">
        <v>5280</v>
      </c>
      <c r="O1531">
        <v>3</v>
      </c>
      <c r="P1531">
        <v>2</v>
      </c>
      <c r="Q1531">
        <v>1</v>
      </c>
      <c r="R1531" t="s">
        <v>4557</v>
      </c>
      <c r="S1531" t="s">
        <v>4558</v>
      </c>
      <c r="T1531" t="s">
        <v>4559</v>
      </c>
      <c r="U1531" t="s">
        <v>5631</v>
      </c>
      <c r="V1531" s="2">
        <v>432</v>
      </c>
      <c r="W1531" t="s">
        <v>4655</v>
      </c>
      <c r="X1531" s="2">
        <v>0</v>
      </c>
      <c r="Y1531">
        <v>20</v>
      </c>
      <c r="Z1531" t="s">
        <v>4561</v>
      </c>
      <c r="AA1531" s="3">
        <v>0.13999082148075101</v>
      </c>
      <c r="AB1531" t="s">
        <v>11673</v>
      </c>
      <c r="AC1531" t="s">
        <v>4562</v>
      </c>
      <c r="AD1531" t="s">
        <v>11672</v>
      </c>
      <c r="AE1531" t="s">
        <v>4655</v>
      </c>
      <c r="AF1531" t="s">
        <v>4563</v>
      </c>
      <c r="AG1531" t="s">
        <v>4564</v>
      </c>
      <c r="AH1531">
        <v>89502</v>
      </c>
      <c r="AI1531" t="s">
        <v>4655</v>
      </c>
      <c r="AJ1531" t="s">
        <v>4655</v>
      </c>
      <c r="AK1531" t="s">
        <v>11674</v>
      </c>
      <c r="AL1531" s="13" t="s">
        <v>2255</v>
      </c>
      <c r="AM1531" s="14">
        <v>1</v>
      </c>
      <c r="AN1531" s="15" t="s">
        <v>4049</v>
      </c>
    </row>
    <row r="1532" spans="1:40" x14ac:dyDescent="0.3">
      <c r="A1532" s="10" t="str">
        <f>HYPERLINK("http://www.washoecounty.gov/assessor/cama/?parid=021-217-27&amp;CardNumber=1","021-217-27")</f>
        <v>021-217-27</v>
      </c>
      <c r="B1532" t="s">
        <v>4655</v>
      </c>
      <c r="C1532" t="s">
        <v>11675</v>
      </c>
      <c r="D1532" s="1">
        <v>40451</v>
      </c>
      <c r="E1532" s="2">
        <v>150000</v>
      </c>
      <c r="F1532" t="s">
        <v>4553</v>
      </c>
      <c r="G1532" s="17" t="str">
        <f>HYPERLINK("https://www.washoecounty.gov/assessor/cama/?command=sales&amp;parid=02121727","3928451")</f>
        <v>3928451</v>
      </c>
      <c r="H1532" t="s">
        <v>2171</v>
      </c>
      <c r="I1532">
        <v>1984</v>
      </c>
      <c r="J1532">
        <v>1984</v>
      </c>
      <c r="K1532" t="s">
        <v>4554</v>
      </c>
      <c r="L1532" t="s">
        <v>3974</v>
      </c>
      <c r="M1532" s="2">
        <v>1412</v>
      </c>
      <c r="N1532" t="s">
        <v>5280</v>
      </c>
      <c r="O1532">
        <v>3</v>
      </c>
      <c r="P1532">
        <v>2</v>
      </c>
      <c r="Q1532">
        <v>1</v>
      </c>
      <c r="R1532" t="s">
        <v>4557</v>
      </c>
      <c r="S1532" t="s">
        <v>4558</v>
      </c>
      <c r="T1532" t="s">
        <v>4559</v>
      </c>
      <c r="U1532" t="s">
        <v>5631</v>
      </c>
      <c r="V1532" s="2">
        <v>500</v>
      </c>
      <c r="W1532" t="s">
        <v>4655</v>
      </c>
      <c r="X1532" s="2">
        <v>0</v>
      </c>
      <c r="Y1532">
        <v>20</v>
      </c>
      <c r="Z1532" t="s">
        <v>4561</v>
      </c>
      <c r="AA1532" s="3">
        <v>0.13999082148075101</v>
      </c>
      <c r="AB1532" t="s">
        <v>11676</v>
      </c>
      <c r="AC1532" t="s">
        <v>4562</v>
      </c>
      <c r="AD1532" t="s">
        <v>11675</v>
      </c>
      <c r="AE1532" t="s">
        <v>4655</v>
      </c>
      <c r="AF1532" t="s">
        <v>4563</v>
      </c>
      <c r="AG1532" t="s">
        <v>4564</v>
      </c>
      <c r="AH1532">
        <v>89502</v>
      </c>
      <c r="AI1532" t="s">
        <v>4903</v>
      </c>
      <c r="AJ1532" t="s">
        <v>4655</v>
      </c>
      <c r="AK1532" t="s">
        <v>11677</v>
      </c>
      <c r="AL1532" s="13" t="s">
        <v>2255</v>
      </c>
      <c r="AM1532">
        <v>1</v>
      </c>
      <c r="AN1532" s="15" t="s">
        <v>4049</v>
      </c>
    </row>
    <row r="1533" spans="1:40" x14ac:dyDescent="0.3">
      <c r="A1533" s="10" t="str">
        <f>HYPERLINK("http://www.washoecounty.gov/assessor/cama/?parid=021-217-35&amp;CardNumber=1","021-217-35")</f>
        <v>021-217-35</v>
      </c>
      <c r="B1533" t="s">
        <v>4655</v>
      </c>
      <c r="C1533" t="s">
        <v>11678</v>
      </c>
      <c r="D1533" s="1">
        <v>40234</v>
      </c>
      <c r="E1533" s="2">
        <v>139900</v>
      </c>
      <c r="F1533" t="s">
        <v>4553</v>
      </c>
      <c r="G1533" s="17" t="str">
        <f>HYPERLINK("https://www.washoecounty.gov/assessor/cama/?command=sales&amp;parid=02121735","3852724")</f>
        <v>3852724</v>
      </c>
      <c r="H1533" t="s">
        <v>3017</v>
      </c>
      <c r="I1533">
        <v>1985</v>
      </c>
      <c r="J1533">
        <v>1985</v>
      </c>
      <c r="K1533" t="s">
        <v>4554</v>
      </c>
      <c r="L1533" t="s">
        <v>4555</v>
      </c>
      <c r="M1533" s="2">
        <v>1080</v>
      </c>
      <c r="N1533" t="s">
        <v>5280</v>
      </c>
      <c r="O1533">
        <v>2</v>
      </c>
      <c r="P1533">
        <v>2</v>
      </c>
      <c r="Q1533">
        <v>0</v>
      </c>
      <c r="R1533" t="s">
        <v>4557</v>
      </c>
      <c r="S1533" t="s">
        <v>4558</v>
      </c>
      <c r="T1533" t="s">
        <v>4559</v>
      </c>
      <c r="U1533" t="s">
        <v>4560</v>
      </c>
      <c r="V1533" s="2">
        <v>440</v>
      </c>
      <c r="W1533" t="s">
        <v>4655</v>
      </c>
      <c r="X1533" s="2">
        <v>0</v>
      </c>
      <c r="Y1533">
        <v>20</v>
      </c>
      <c r="Z1533" t="s">
        <v>4561</v>
      </c>
      <c r="AA1533" s="3">
        <v>0.114003673195839</v>
      </c>
      <c r="AB1533" t="s">
        <v>11679</v>
      </c>
      <c r="AC1533" t="s">
        <v>4562</v>
      </c>
      <c r="AD1533" t="s">
        <v>11678</v>
      </c>
      <c r="AE1533" t="s">
        <v>4655</v>
      </c>
      <c r="AF1533" t="s">
        <v>4563</v>
      </c>
      <c r="AG1533" t="s">
        <v>4564</v>
      </c>
      <c r="AH1533">
        <v>89502</v>
      </c>
      <c r="AI1533" t="s">
        <v>4903</v>
      </c>
      <c r="AJ1533" t="s">
        <v>4655</v>
      </c>
      <c r="AK1533" t="s">
        <v>11680</v>
      </c>
      <c r="AL1533" s="13" t="s">
        <v>2255</v>
      </c>
      <c r="AM1533" s="14">
        <v>1</v>
      </c>
      <c r="AN1533" s="15" t="s">
        <v>4049</v>
      </c>
    </row>
    <row r="1534" spans="1:40" x14ac:dyDescent="0.3">
      <c r="A1534" s="10" t="str">
        <f>HYPERLINK("http://www.washoecounty.gov/assessor/cama/?parid=021-232-02&amp;CardNumber=1","021-232-02")</f>
        <v>021-232-02</v>
      </c>
      <c r="B1534" t="s">
        <v>4655</v>
      </c>
      <c r="C1534" t="s">
        <v>11681</v>
      </c>
      <c r="D1534" s="1">
        <v>40532</v>
      </c>
      <c r="E1534" s="2">
        <v>155000</v>
      </c>
      <c r="F1534" t="s">
        <v>4567</v>
      </c>
      <c r="G1534" s="17" t="str">
        <f>HYPERLINK("https://www.washoecounty.gov/assessor/cama/?command=sales&amp;parid=02123202","3955514")</f>
        <v>3955514</v>
      </c>
      <c r="H1534" t="s">
        <v>1166</v>
      </c>
      <c r="I1534">
        <v>1977</v>
      </c>
      <c r="J1534">
        <v>1977</v>
      </c>
      <c r="K1534" t="s">
        <v>4554</v>
      </c>
      <c r="L1534" t="s">
        <v>3974</v>
      </c>
      <c r="M1534" s="2">
        <v>2212</v>
      </c>
      <c r="N1534" t="s">
        <v>4048</v>
      </c>
      <c r="O1534">
        <v>4</v>
      </c>
      <c r="P1534">
        <v>2</v>
      </c>
      <c r="Q1534">
        <v>1</v>
      </c>
      <c r="R1534" t="s">
        <v>4557</v>
      </c>
      <c r="S1534" t="s">
        <v>4558</v>
      </c>
      <c r="T1534" t="s">
        <v>4559</v>
      </c>
      <c r="U1534" t="s">
        <v>4560</v>
      </c>
      <c r="V1534" s="2">
        <v>460</v>
      </c>
      <c r="W1534" t="s">
        <v>4655</v>
      </c>
      <c r="X1534" s="2">
        <v>0</v>
      </c>
      <c r="Y1534">
        <v>20</v>
      </c>
      <c r="Z1534" t="s">
        <v>4561</v>
      </c>
      <c r="AA1534" s="3">
        <v>0.14400826394558</v>
      </c>
      <c r="AB1534" t="s">
        <v>11682</v>
      </c>
      <c r="AC1534" t="s">
        <v>4562</v>
      </c>
      <c r="AD1534" t="s">
        <v>11683</v>
      </c>
      <c r="AE1534" t="s">
        <v>4655</v>
      </c>
      <c r="AF1534" t="s">
        <v>4563</v>
      </c>
      <c r="AG1534" t="s">
        <v>4564</v>
      </c>
      <c r="AH1534">
        <v>89502</v>
      </c>
      <c r="AI1534" t="s">
        <v>11684</v>
      </c>
      <c r="AJ1534" t="s">
        <v>4655</v>
      </c>
      <c r="AK1534" t="s">
        <v>11685</v>
      </c>
      <c r="AL1534" s="13" t="s">
        <v>2255</v>
      </c>
      <c r="AM1534" s="14">
        <v>1</v>
      </c>
      <c r="AN1534" s="15" t="s">
        <v>4049</v>
      </c>
    </row>
    <row r="1535" spans="1:40" x14ac:dyDescent="0.3">
      <c r="A1535" s="10" t="str">
        <f>HYPERLINK("http://www.washoecounty.gov/assessor/cama/?parid=021-233-06&amp;CardNumber=1","021-233-06")</f>
        <v>021-233-06</v>
      </c>
      <c r="B1535" t="s">
        <v>4655</v>
      </c>
      <c r="C1535" t="s">
        <v>11686</v>
      </c>
      <c r="D1535" s="1">
        <v>40527</v>
      </c>
      <c r="E1535" s="2">
        <v>176500</v>
      </c>
      <c r="F1535" t="s">
        <v>4567</v>
      </c>
      <c r="G1535" s="17" t="str">
        <f>HYPERLINK("https://www.washoecounty.gov/assessor/cama/?command=sales&amp;parid=02123306","3953676")</f>
        <v>3953676</v>
      </c>
      <c r="H1535" t="s">
        <v>1166</v>
      </c>
      <c r="I1535">
        <v>1977</v>
      </c>
      <c r="J1535">
        <v>1977</v>
      </c>
      <c r="K1535" t="s">
        <v>4554</v>
      </c>
      <c r="L1535" t="s">
        <v>2170</v>
      </c>
      <c r="M1535" s="2">
        <v>1815</v>
      </c>
      <c r="N1535" t="s">
        <v>4048</v>
      </c>
      <c r="O1535">
        <v>5</v>
      </c>
      <c r="P1535">
        <v>2</v>
      </c>
      <c r="Q1535">
        <v>0</v>
      </c>
      <c r="R1535" t="s">
        <v>4557</v>
      </c>
      <c r="S1535" t="s">
        <v>4558</v>
      </c>
      <c r="T1535" t="s">
        <v>4559</v>
      </c>
      <c r="U1535" t="s">
        <v>5631</v>
      </c>
      <c r="V1535" s="2">
        <v>419</v>
      </c>
      <c r="W1535" t="s">
        <v>4655</v>
      </c>
      <c r="X1535" s="2">
        <v>0</v>
      </c>
      <c r="Y1535">
        <v>20</v>
      </c>
      <c r="Z1535" t="s">
        <v>4561</v>
      </c>
      <c r="AA1535" s="3">
        <v>0.16099633276462599</v>
      </c>
      <c r="AB1535" t="s">
        <v>11687</v>
      </c>
      <c r="AC1535" t="s">
        <v>4562</v>
      </c>
      <c r="AD1535" t="s">
        <v>11688</v>
      </c>
      <c r="AE1535" t="s">
        <v>4655</v>
      </c>
      <c r="AF1535" t="s">
        <v>11689</v>
      </c>
      <c r="AG1535" t="s">
        <v>4584</v>
      </c>
      <c r="AH1535" t="s">
        <v>3540</v>
      </c>
      <c r="AI1535" t="s">
        <v>11690</v>
      </c>
      <c r="AJ1535" t="s">
        <v>4655</v>
      </c>
      <c r="AK1535" t="s">
        <v>11691</v>
      </c>
      <c r="AL1535" s="13" t="s">
        <v>2255</v>
      </c>
      <c r="AM1535" s="14">
        <v>1</v>
      </c>
      <c r="AN1535" s="15" t="s">
        <v>4049</v>
      </c>
    </row>
    <row r="1536" spans="1:40" x14ac:dyDescent="0.3">
      <c r="A1536" s="10" t="str">
        <f>HYPERLINK("http://www.washoecounty.gov/assessor/cama/?parid=021-234-16&amp;CardNumber=1","021-234-16")</f>
        <v>021-234-16</v>
      </c>
      <c r="B1536" t="s">
        <v>4655</v>
      </c>
      <c r="C1536" t="s">
        <v>11692</v>
      </c>
      <c r="D1536" s="1">
        <v>40466</v>
      </c>
      <c r="E1536" s="2">
        <v>170000</v>
      </c>
      <c r="F1536" t="s">
        <v>4567</v>
      </c>
      <c r="G1536" s="17" t="str">
        <f>HYPERLINK("https://www.washoecounty.gov/assessor/cama/?command=sales&amp;parid=02123416","3933683")</f>
        <v>3933683</v>
      </c>
      <c r="H1536" t="s">
        <v>1166</v>
      </c>
      <c r="I1536">
        <v>1977</v>
      </c>
      <c r="J1536">
        <v>1977</v>
      </c>
      <c r="K1536" t="s">
        <v>4554</v>
      </c>
      <c r="L1536" t="s">
        <v>3974</v>
      </c>
      <c r="M1536" s="2">
        <v>2212</v>
      </c>
      <c r="N1536" t="s">
        <v>4048</v>
      </c>
      <c r="O1536">
        <v>4</v>
      </c>
      <c r="P1536">
        <v>2</v>
      </c>
      <c r="Q1536">
        <v>1</v>
      </c>
      <c r="R1536" t="s">
        <v>4557</v>
      </c>
      <c r="S1536" t="s">
        <v>4558</v>
      </c>
      <c r="T1536" t="s">
        <v>4559</v>
      </c>
      <c r="U1536" t="s">
        <v>4560</v>
      </c>
      <c r="V1536" s="2">
        <v>460</v>
      </c>
      <c r="W1536" t="s">
        <v>4655</v>
      </c>
      <c r="X1536" s="2">
        <v>0</v>
      </c>
      <c r="Y1536">
        <v>20</v>
      </c>
      <c r="Z1536" t="s">
        <v>4561</v>
      </c>
      <c r="AA1536" s="3">
        <v>0.13700643181800801</v>
      </c>
      <c r="AB1536" t="s">
        <v>11693</v>
      </c>
      <c r="AC1536" t="s">
        <v>4562</v>
      </c>
      <c r="AD1536" t="s">
        <v>11692</v>
      </c>
      <c r="AE1536" t="s">
        <v>4655</v>
      </c>
      <c r="AF1536" t="s">
        <v>4563</v>
      </c>
      <c r="AG1536" t="s">
        <v>4564</v>
      </c>
      <c r="AH1536">
        <v>89502</v>
      </c>
      <c r="AI1536" t="s">
        <v>11694</v>
      </c>
      <c r="AJ1536" t="s">
        <v>4655</v>
      </c>
      <c r="AK1536" t="s">
        <v>11695</v>
      </c>
      <c r="AL1536" s="13" t="s">
        <v>2255</v>
      </c>
      <c r="AM1536" s="14">
        <v>1</v>
      </c>
      <c r="AN1536" s="15" t="s">
        <v>4049</v>
      </c>
    </row>
    <row r="1537" spans="1:40" x14ac:dyDescent="0.3">
      <c r="A1537" s="10" t="str">
        <f>HYPERLINK("http://www.washoecounty.gov/assessor/cama/?parid=021-242-08&amp;CardNumber=1","021-242-08")</f>
        <v>021-242-08</v>
      </c>
      <c r="B1537" t="s">
        <v>4655</v>
      </c>
      <c r="C1537" t="s">
        <v>11696</v>
      </c>
      <c r="D1537" s="1">
        <v>40268</v>
      </c>
      <c r="E1537" s="2">
        <v>135000</v>
      </c>
      <c r="F1537" t="s">
        <v>4567</v>
      </c>
      <c r="G1537" s="17" t="str">
        <f>HYPERLINK("https://www.washoecounty.gov/assessor/cama/?command=sales&amp;parid=02124208","3866143")</f>
        <v>3866143</v>
      </c>
      <c r="H1537" t="s">
        <v>4139</v>
      </c>
      <c r="I1537">
        <v>1978</v>
      </c>
      <c r="J1537">
        <v>1978</v>
      </c>
      <c r="K1537" t="s">
        <v>4554</v>
      </c>
      <c r="L1537" t="s">
        <v>4555</v>
      </c>
      <c r="M1537" s="2">
        <v>1230</v>
      </c>
      <c r="N1537" t="s">
        <v>4048</v>
      </c>
      <c r="O1537">
        <v>3</v>
      </c>
      <c r="P1537">
        <v>2</v>
      </c>
      <c r="Q1537">
        <v>0</v>
      </c>
      <c r="R1537" t="s">
        <v>4557</v>
      </c>
      <c r="S1537" t="s">
        <v>4558</v>
      </c>
      <c r="T1537" t="s">
        <v>4559</v>
      </c>
      <c r="U1537" t="s">
        <v>4560</v>
      </c>
      <c r="V1537" s="2">
        <v>492</v>
      </c>
      <c r="W1537" t="s">
        <v>4655</v>
      </c>
      <c r="X1537" s="2">
        <v>0</v>
      </c>
      <c r="Y1537">
        <v>20</v>
      </c>
      <c r="Z1537" t="s">
        <v>4561</v>
      </c>
      <c r="AA1537" s="3">
        <v>0.19400826096534701</v>
      </c>
      <c r="AB1537" t="s">
        <v>11697</v>
      </c>
      <c r="AC1537" t="s">
        <v>4562</v>
      </c>
      <c r="AD1537" t="s">
        <v>11696</v>
      </c>
      <c r="AE1537" t="s">
        <v>4655</v>
      </c>
      <c r="AF1537" t="s">
        <v>4563</v>
      </c>
      <c r="AG1537" t="s">
        <v>4564</v>
      </c>
      <c r="AH1537">
        <v>89502</v>
      </c>
      <c r="AI1537" t="s">
        <v>11698</v>
      </c>
      <c r="AJ1537" t="s">
        <v>4655</v>
      </c>
      <c r="AK1537" t="s">
        <v>11699</v>
      </c>
      <c r="AL1537" s="13" t="s">
        <v>2255</v>
      </c>
      <c r="AM1537">
        <v>1</v>
      </c>
      <c r="AN1537" s="15" t="s">
        <v>4049</v>
      </c>
    </row>
    <row r="1538" spans="1:40" x14ac:dyDescent="0.3">
      <c r="A1538" s="10" t="str">
        <f>HYPERLINK("http://www.washoecounty.gov/assessor/cama/?parid=021-242-11&amp;CardNumber=1","021-242-11")</f>
        <v>021-242-11</v>
      </c>
      <c r="B1538" t="s">
        <v>4655</v>
      </c>
      <c r="C1538" t="s">
        <v>11700</v>
      </c>
      <c r="D1538" s="1">
        <v>40527</v>
      </c>
      <c r="E1538" s="2">
        <v>152900</v>
      </c>
      <c r="F1538" t="s">
        <v>4553</v>
      </c>
      <c r="G1538" s="17" t="str">
        <f>HYPERLINK("https://www.washoecounty.gov/assessor/cama/?command=sales&amp;parid=02124211","3953678")</f>
        <v>3953678</v>
      </c>
      <c r="H1538" t="s">
        <v>4139</v>
      </c>
      <c r="I1538">
        <v>1978</v>
      </c>
      <c r="J1538">
        <v>1978</v>
      </c>
      <c r="K1538" t="s">
        <v>4554</v>
      </c>
      <c r="L1538" t="s">
        <v>4555</v>
      </c>
      <c r="M1538" s="2">
        <v>1859</v>
      </c>
      <c r="N1538" t="s">
        <v>4048</v>
      </c>
      <c r="O1538">
        <v>4</v>
      </c>
      <c r="P1538">
        <v>2</v>
      </c>
      <c r="Q1538">
        <v>0</v>
      </c>
      <c r="R1538" t="s">
        <v>4557</v>
      </c>
      <c r="S1538" t="s">
        <v>4558</v>
      </c>
      <c r="T1538" t="s">
        <v>4559</v>
      </c>
      <c r="U1538" t="s">
        <v>4560</v>
      </c>
      <c r="V1538" s="2">
        <v>483</v>
      </c>
      <c r="W1538" t="s">
        <v>4655</v>
      </c>
      <c r="X1538" s="2">
        <v>0</v>
      </c>
      <c r="Y1538">
        <v>20</v>
      </c>
      <c r="Z1538" t="s">
        <v>4561</v>
      </c>
      <c r="AA1538" s="3">
        <v>0.17199265956878662</v>
      </c>
      <c r="AB1538" t="s">
        <v>11701</v>
      </c>
      <c r="AC1538" t="s">
        <v>4562</v>
      </c>
      <c r="AD1538" t="s">
        <v>11702</v>
      </c>
      <c r="AE1538" t="s">
        <v>4655</v>
      </c>
      <c r="AF1538" t="s">
        <v>4563</v>
      </c>
      <c r="AG1538" t="s">
        <v>4564</v>
      </c>
      <c r="AH1538">
        <v>89502</v>
      </c>
      <c r="AI1538" t="s">
        <v>11703</v>
      </c>
      <c r="AJ1538" t="s">
        <v>4655</v>
      </c>
      <c r="AK1538" t="s">
        <v>11704</v>
      </c>
      <c r="AL1538" s="13" t="s">
        <v>2255</v>
      </c>
      <c r="AM1538">
        <v>1</v>
      </c>
      <c r="AN1538" s="15" t="s">
        <v>4049</v>
      </c>
    </row>
    <row r="1539" spans="1:40" x14ac:dyDescent="0.3">
      <c r="A1539" s="10" t="str">
        <f>HYPERLINK("http://www.washoecounty.gov/assessor/cama/?parid=021-242-45&amp;CardNumber=1","021-242-45")</f>
        <v>021-242-45</v>
      </c>
      <c r="B1539" t="s">
        <v>4655</v>
      </c>
      <c r="C1539" t="s">
        <v>11705</v>
      </c>
      <c r="D1539" s="1">
        <v>40352</v>
      </c>
      <c r="E1539" s="2">
        <v>141000</v>
      </c>
      <c r="F1539" t="s">
        <v>4567</v>
      </c>
      <c r="G1539" s="17" t="str">
        <f>HYPERLINK("https://www.washoecounty.gov/assessor/cama/?command=sales&amp;parid=02124245","3894651")</f>
        <v>3894651</v>
      </c>
      <c r="H1539" t="s">
        <v>11706</v>
      </c>
      <c r="I1539">
        <v>1978</v>
      </c>
      <c r="J1539">
        <v>1978</v>
      </c>
      <c r="K1539" t="s">
        <v>4554</v>
      </c>
      <c r="L1539" t="s">
        <v>4555</v>
      </c>
      <c r="M1539" s="2">
        <v>1230</v>
      </c>
      <c r="N1539" t="s">
        <v>4048</v>
      </c>
      <c r="O1539">
        <v>3</v>
      </c>
      <c r="P1539">
        <v>2</v>
      </c>
      <c r="Q1539">
        <v>0</v>
      </c>
      <c r="R1539" t="s">
        <v>4557</v>
      </c>
      <c r="S1539" t="s">
        <v>4558</v>
      </c>
      <c r="T1539" t="s">
        <v>4559</v>
      </c>
      <c r="U1539" t="s">
        <v>4560</v>
      </c>
      <c r="V1539" s="2">
        <v>492</v>
      </c>
      <c r="W1539" t="s">
        <v>4655</v>
      </c>
      <c r="X1539" s="2">
        <v>0</v>
      </c>
      <c r="Y1539">
        <v>20</v>
      </c>
      <c r="Z1539" t="s">
        <v>4561</v>
      </c>
      <c r="AA1539" s="3">
        <v>0.15199723839759827</v>
      </c>
      <c r="AB1539" t="s">
        <v>11707</v>
      </c>
      <c r="AC1539" t="s">
        <v>4562</v>
      </c>
      <c r="AD1539" t="s">
        <v>11705</v>
      </c>
      <c r="AE1539" t="s">
        <v>4655</v>
      </c>
      <c r="AF1539" t="s">
        <v>4563</v>
      </c>
      <c r="AG1539" t="s">
        <v>4564</v>
      </c>
      <c r="AH1539">
        <v>895102</v>
      </c>
      <c r="AI1539" t="s">
        <v>11708</v>
      </c>
      <c r="AJ1539" t="s">
        <v>4655</v>
      </c>
      <c r="AK1539" t="s">
        <v>11709</v>
      </c>
      <c r="AL1539" s="13" t="s">
        <v>2255</v>
      </c>
      <c r="AM1539">
        <v>1</v>
      </c>
      <c r="AN1539" s="15" t="s">
        <v>4049</v>
      </c>
    </row>
    <row r="1540" spans="1:40" x14ac:dyDescent="0.3">
      <c r="A1540" s="10" t="str">
        <f>HYPERLINK("http://www.washoecounty.gov/assessor/cama/?parid=021-244-10&amp;CardNumber=1","021-244-10")</f>
        <v>021-244-10</v>
      </c>
      <c r="B1540" t="s">
        <v>4655</v>
      </c>
      <c r="C1540" t="s">
        <v>11710</v>
      </c>
      <c r="D1540" s="1">
        <v>40318</v>
      </c>
      <c r="E1540" s="2">
        <v>140000</v>
      </c>
      <c r="F1540" t="s">
        <v>4553</v>
      </c>
      <c r="G1540" s="17" t="str">
        <f>HYPERLINK("https://www.washoecounty.gov/assessor/cama/?command=sales&amp;parid=02124410","3883258")</f>
        <v>3883258</v>
      </c>
      <c r="H1540" t="s">
        <v>4139</v>
      </c>
      <c r="I1540">
        <v>1978</v>
      </c>
      <c r="J1540">
        <v>1978</v>
      </c>
      <c r="K1540" t="s">
        <v>4554</v>
      </c>
      <c r="L1540" t="s">
        <v>4555</v>
      </c>
      <c r="M1540" s="2">
        <v>1859</v>
      </c>
      <c r="N1540" t="s">
        <v>4048</v>
      </c>
      <c r="O1540">
        <v>4</v>
      </c>
      <c r="P1540">
        <v>2</v>
      </c>
      <c r="Q1540">
        <v>0</v>
      </c>
      <c r="R1540" t="s">
        <v>4557</v>
      </c>
      <c r="S1540" t="s">
        <v>4558</v>
      </c>
      <c r="T1540" t="s">
        <v>4559</v>
      </c>
      <c r="U1540" t="s">
        <v>4560</v>
      </c>
      <c r="V1540" s="2">
        <v>483</v>
      </c>
      <c r="W1540" t="s">
        <v>4655</v>
      </c>
      <c r="X1540" s="2">
        <v>0</v>
      </c>
      <c r="Y1540">
        <v>20</v>
      </c>
      <c r="Z1540" t="s">
        <v>4561</v>
      </c>
      <c r="AA1540" s="3">
        <v>0.15199723839759827</v>
      </c>
      <c r="AB1540" t="s">
        <v>3409</v>
      </c>
      <c r="AC1540" t="s">
        <v>4562</v>
      </c>
      <c r="AD1540" t="s">
        <v>3987</v>
      </c>
      <c r="AE1540" t="s">
        <v>4655</v>
      </c>
      <c r="AF1540" t="s">
        <v>4563</v>
      </c>
      <c r="AG1540" t="s">
        <v>4564</v>
      </c>
      <c r="AH1540">
        <v>89511</v>
      </c>
      <c r="AI1540" t="s">
        <v>4585</v>
      </c>
      <c r="AJ1540" t="s">
        <v>4655</v>
      </c>
      <c r="AK1540" t="s">
        <v>11711</v>
      </c>
      <c r="AL1540" s="13" t="s">
        <v>2255</v>
      </c>
      <c r="AM1540">
        <v>1</v>
      </c>
      <c r="AN1540" s="15" t="s">
        <v>4049</v>
      </c>
    </row>
    <row r="1541" spans="1:40" x14ac:dyDescent="0.3">
      <c r="A1541" s="10" t="str">
        <f>HYPERLINK("http://www.washoecounty.gov/assessor/cama/?parid=021-270-05&amp;CardNumber=1","021-270-05")</f>
        <v>021-270-05</v>
      </c>
      <c r="B1541" t="s">
        <v>4655</v>
      </c>
      <c r="C1541" t="s">
        <v>11712</v>
      </c>
      <c r="D1541" s="1">
        <v>40514</v>
      </c>
      <c r="E1541" s="2">
        <v>335000</v>
      </c>
      <c r="F1541" t="s">
        <v>4553</v>
      </c>
      <c r="G1541" s="17" t="str">
        <f>HYPERLINK("https://www.washoecounty.gov/assessor/cama/?command=sales&amp;parid=02127005","3948848")</f>
        <v>3948848</v>
      </c>
      <c r="H1541" t="s">
        <v>11713</v>
      </c>
      <c r="I1541">
        <v>1993</v>
      </c>
      <c r="J1541">
        <v>1993</v>
      </c>
      <c r="K1541" t="s">
        <v>4554</v>
      </c>
      <c r="L1541" t="s">
        <v>3974</v>
      </c>
      <c r="M1541" s="2">
        <v>2560</v>
      </c>
      <c r="N1541" t="s">
        <v>3887</v>
      </c>
      <c r="O1541">
        <v>3</v>
      </c>
      <c r="P1541">
        <v>3</v>
      </c>
      <c r="Q1541">
        <v>0</v>
      </c>
      <c r="R1541" t="s">
        <v>4557</v>
      </c>
      <c r="S1541" t="s">
        <v>4898</v>
      </c>
      <c r="T1541" t="s">
        <v>2704</v>
      </c>
      <c r="U1541" t="s">
        <v>4560</v>
      </c>
      <c r="V1541" s="2">
        <v>1008</v>
      </c>
      <c r="W1541" t="s">
        <v>4655</v>
      </c>
      <c r="X1541" s="2">
        <v>0</v>
      </c>
      <c r="Y1541">
        <v>20</v>
      </c>
      <c r="Z1541" t="s">
        <v>1376</v>
      </c>
      <c r="AA1541" s="3">
        <v>1.16999995708465</v>
      </c>
      <c r="AB1541" t="s">
        <v>11714</v>
      </c>
      <c r="AC1541" t="s">
        <v>4562</v>
      </c>
      <c r="AD1541" t="s">
        <v>11712</v>
      </c>
      <c r="AE1541" t="s">
        <v>4655</v>
      </c>
      <c r="AF1541" t="s">
        <v>4563</v>
      </c>
      <c r="AG1541" t="s">
        <v>4564</v>
      </c>
      <c r="AH1541">
        <v>89502</v>
      </c>
      <c r="AI1541" t="s">
        <v>4585</v>
      </c>
      <c r="AJ1541" t="s">
        <v>4655</v>
      </c>
      <c r="AK1541" t="s">
        <v>11715</v>
      </c>
      <c r="AL1541" s="13" t="s">
        <v>1889</v>
      </c>
      <c r="AM1541" s="14">
        <v>1</v>
      </c>
      <c r="AN1541" s="15" t="s">
        <v>11716</v>
      </c>
    </row>
    <row r="1542" spans="1:40" x14ac:dyDescent="0.3">
      <c r="A1542" s="10" t="str">
        <f>HYPERLINK("http://www.washoecounty.gov/assessor/cama/?parid=021-291-19&amp;CardNumber=1","021-291-19")</f>
        <v>021-291-19</v>
      </c>
      <c r="B1542" t="s">
        <v>4655</v>
      </c>
      <c r="C1542" t="s">
        <v>11717</v>
      </c>
      <c r="D1542" s="1">
        <v>40248</v>
      </c>
      <c r="E1542" s="2">
        <v>145000</v>
      </c>
      <c r="F1542" t="s">
        <v>4567</v>
      </c>
      <c r="G1542" s="17" t="str">
        <f>HYPERLINK("https://www.washoecounty.gov/assessor/cama/?command=sales&amp;parid=02129119","3858674")</f>
        <v>3858674</v>
      </c>
      <c r="H1542" t="s">
        <v>2172</v>
      </c>
      <c r="I1542">
        <v>1985</v>
      </c>
      <c r="J1542">
        <v>1985</v>
      </c>
      <c r="K1542" t="s">
        <v>4554</v>
      </c>
      <c r="L1542" t="s">
        <v>3974</v>
      </c>
      <c r="M1542" s="2">
        <v>1250</v>
      </c>
      <c r="N1542" t="s">
        <v>5280</v>
      </c>
      <c r="O1542">
        <v>2</v>
      </c>
      <c r="P1542">
        <v>2</v>
      </c>
      <c r="Q1542">
        <v>1</v>
      </c>
      <c r="R1542" t="s">
        <v>4557</v>
      </c>
      <c r="S1542" t="s">
        <v>4558</v>
      </c>
      <c r="T1542" t="s">
        <v>4559</v>
      </c>
      <c r="U1542" t="s">
        <v>5631</v>
      </c>
      <c r="V1542" s="2">
        <v>440</v>
      </c>
      <c r="W1542" t="s">
        <v>4655</v>
      </c>
      <c r="X1542" s="2">
        <v>0</v>
      </c>
      <c r="Y1542">
        <v>20</v>
      </c>
      <c r="Z1542" t="s">
        <v>4561</v>
      </c>
      <c r="AA1542" s="3">
        <v>0.114003673195839</v>
      </c>
      <c r="AB1542" t="s">
        <v>11718</v>
      </c>
      <c r="AC1542" t="s">
        <v>4575</v>
      </c>
      <c r="AD1542" t="s">
        <v>11719</v>
      </c>
      <c r="AE1542" t="s">
        <v>4655</v>
      </c>
      <c r="AF1542" t="s">
        <v>1189</v>
      </c>
      <c r="AG1542" t="s">
        <v>4564</v>
      </c>
      <c r="AH1542">
        <v>89117</v>
      </c>
      <c r="AI1542" t="s">
        <v>4284</v>
      </c>
      <c r="AJ1542" t="s">
        <v>4655</v>
      </c>
      <c r="AK1542" t="s">
        <v>11720</v>
      </c>
      <c r="AL1542" s="13" t="s">
        <v>2255</v>
      </c>
      <c r="AM1542" s="14">
        <v>1</v>
      </c>
      <c r="AN1542" s="15" t="s">
        <v>4049</v>
      </c>
    </row>
    <row r="1543" spans="1:40" x14ac:dyDescent="0.3">
      <c r="A1543" s="10" t="str">
        <f>HYPERLINK("http://www.washoecounty.gov/assessor/cama/?parid=021-292-02&amp;CardNumber=1","021-292-02")</f>
        <v>021-292-02</v>
      </c>
      <c r="B1543" t="s">
        <v>4655</v>
      </c>
      <c r="C1543" t="s">
        <v>11721</v>
      </c>
      <c r="D1543" s="1">
        <v>40267</v>
      </c>
      <c r="E1543" s="2">
        <v>139300</v>
      </c>
      <c r="F1543" t="s">
        <v>4567</v>
      </c>
      <c r="G1543" s="17" t="str">
        <f>HYPERLINK("https://www.washoecounty.gov/assessor/cama/?command=sales&amp;parid=02129202","3865400")</f>
        <v>3865400</v>
      </c>
      <c r="H1543" t="s">
        <v>2172</v>
      </c>
      <c r="I1543">
        <v>1985</v>
      </c>
      <c r="J1543">
        <v>1985</v>
      </c>
      <c r="K1543" t="s">
        <v>4554</v>
      </c>
      <c r="L1543" t="s">
        <v>3974</v>
      </c>
      <c r="M1543" s="2">
        <v>1250</v>
      </c>
      <c r="N1543" t="s">
        <v>5280</v>
      </c>
      <c r="O1543">
        <v>2</v>
      </c>
      <c r="P1543">
        <v>2</v>
      </c>
      <c r="Q1543">
        <v>1</v>
      </c>
      <c r="R1543" t="s">
        <v>4557</v>
      </c>
      <c r="S1543" t="s">
        <v>4558</v>
      </c>
      <c r="T1543" t="s">
        <v>4559</v>
      </c>
      <c r="U1543" t="s">
        <v>5631</v>
      </c>
      <c r="V1543" s="2">
        <v>480</v>
      </c>
      <c r="W1543" t="s">
        <v>4655</v>
      </c>
      <c r="X1543" s="2">
        <v>0</v>
      </c>
      <c r="Y1543">
        <v>20</v>
      </c>
      <c r="Z1543" t="s">
        <v>4561</v>
      </c>
      <c r="AA1543" s="3">
        <v>0.114003673195839</v>
      </c>
      <c r="AB1543" t="s">
        <v>11722</v>
      </c>
      <c r="AC1543" t="s">
        <v>4575</v>
      </c>
      <c r="AD1543" t="s">
        <v>11721</v>
      </c>
      <c r="AE1543" t="s">
        <v>4655</v>
      </c>
      <c r="AF1543" t="s">
        <v>4563</v>
      </c>
      <c r="AG1543" t="s">
        <v>4564</v>
      </c>
      <c r="AH1543">
        <v>89502</v>
      </c>
      <c r="AI1543" t="s">
        <v>11723</v>
      </c>
      <c r="AJ1543" t="s">
        <v>4655</v>
      </c>
      <c r="AK1543" t="s">
        <v>11724</v>
      </c>
      <c r="AL1543" s="13" t="s">
        <v>2255</v>
      </c>
      <c r="AM1543" s="14">
        <v>1</v>
      </c>
      <c r="AN1543" s="15" t="s">
        <v>4049</v>
      </c>
    </row>
    <row r="1544" spans="1:40" x14ac:dyDescent="0.3">
      <c r="A1544" s="10" t="str">
        <f>HYPERLINK("http://www.washoecounty.gov/assessor/cama/?parid=021-294-04&amp;CardNumber=1","021-294-04")</f>
        <v>021-294-04</v>
      </c>
      <c r="B1544" t="s">
        <v>4655</v>
      </c>
      <c r="C1544" t="s">
        <v>11725</v>
      </c>
      <c r="D1544" s="1">
        <v>40410</v>
      </c>
      <c r="E1544" s="2">
        <v>165000</v>
      </c>
      <c r="F1544" t="s">
        <v>4567</v>
      </c>
      <c r="G1544" s="17" t="str">
        <f>HYPERLINK("https://www.washoecounty.gov/assessor/cama/?command=sales&amp;parid=02129404","3914199")</f>
        <v>3914199</v>
      </c>
      <c r="H1544" t="s">
        <v>2172</v>
      </c>
      <c r="I1544">
        <v>1986</v>
      </c>
      <c r="J1544">
        <v>1986</v>
      </c>
      <c r="K1544" t="s">
        <v>4554</v>
      </c>
      <c r="L1544" t="s">
        <v>3974</v>
      </c>
      <c r="M1544" s="2">
        <v>1457</v>
      </c>
      <c r="N1544" t="s">
        <v>5280</v>
      </c>
      <c r="O1544">
        <v>3</v>
      </c>
      <c r="P1544">
        <v>2</v>
      </c>
      <c r="Q1544">
        <v>0</v>
      </c>
      <c r="R1544" t="s">
        <v>5281</v>
      </c>
      <c r="S1544" t="s">
        <v>4558</v>
      </c>
      <c r="T1544" t="s">
        <v>4559</v>
      </c>
      <c r="U1544" t="s">
        <v>5631</v>
      </c>
      <c r="V1544" s="2">
        <v>440</v>
      </c>
      <c r="W1544" t="s">
        <v>4655</v>
      </c>
      <c r="X1544" s="2">
        <v>0</v>
      </c>
      <c r="Y1544">
        <v>20</v>
      </c>
      <c r="Z1544" t="s">
        <v>4561</v>
      </c>
      <c r="AA1544" s="3">
        <v>0.10500459372997301</v>
      </c>
      <c r="AB1544" t="s">
        <v>11726</v>
      </c>
      <c r="AC1544" t="s">
        <v>4562</v>
      </c>
      <c r="AD1544" t="s">
        <v>11725</v>
      </c>
      <c r="AE1544" t="s">
        <v>4655</v>
      </c>
      <c r="AF1544" t="s">
        <v>4563</v>
      </c>
      <c r="AG1544" t="s">
        <v>4564</v>
      </c>
      <c r="AH1544">
        <v>89502</v>
      </c>
      <c r="AI1544" t="s">
        <v>11727</v>
      </c>
      <c r="AJ1544" t="s">
        <v>4655</v>
      </c>
      <c r="AK1544" t="s">
        <v>11728</v>
      </c>
      <c r="AL1544" s="13" t="s">
        <v>2255</v>
      </c>
      <c r="AM1544">
        <v>1</v>
      </c>
      <c r="AN1544" s="15" t="s">
        <v>4049</v>
      </c>
    </row>
    <row r="1545" spans="1:40" x14ac:dyDescent="0.3">
      <c r="A1545" s="10" t="str">
        <f>HYPERLINK("http://www.washoecounty.gov/assessor/cama/?parid=021-294-09&amp;CardNumber=1","021-294-09")</f>
        <v>021-294-09</v>
      </c>
      <c r="B1545" t="s">
        <v>4655</v>
      </c>
      <c r="C1545" t="s">
        <v>11729</v>
      </c>
      <c r="D1545" s="1">
        <v>40515</v>
      </c>
      <c r="E1545" s="2">
        <v>115000</v>
      </c>
      <c r="F1545" t="s">
        <v>4553</v>
      </c>
      <c r="G1545" s="17" t="str">
        <f>HYPERLINK("https://www.washoecounty.gov/assessor/cama/?command=sales&amp;parid=02129409","3949232")</f>
        <v>3949232</v>
      </c>
      <c r="H1545" t="s">
        <v>2172</v>
      </c>
      <c r="I1545">
        <v>1986</v>
      </c>
      <c r="J1545">
        <v>1986</v>
      </c>
      <c r="K1545" t="s">
        <v>4554</v>
      </c>
      <c r="L1545" t="s">
        <v>3974</v>
      </c>
      <c r="M1545" s="2">
        <v>1262</v>
      </c>
      <c r="N1545" t="s">
        <v>5280</v>
      </c>
      <c r="O1545">
        <v>2</v>
      </c>
      <c r="P1545">
        <v>2</v>
      </c>
      <c r="Q1545">
        <v>1</v>
      </c>
      <c r="R1545" t="s">
        <v>4557</v>
      </c>
      <c r="S1545" t="s">
        <v>4558</v>
      </c>
      <c r="T1545" t="s">
        <v>4559</v>
      </c>
      <c r="U1545" t="s">
        <v>5631</v>
      </c>
      <c r="V1545" s="2">
        <v>480</v>
      </c>
      <c r="W1545" t="s">
        <v>4655</v>
      </c>
      <c r="X1545" s="2">
        <v>0</v>
      </c>
      <c r="Y1545">
        <v>20</v>
      </c>
      <c r="Z1545" t="s">
        <v>4561</v>
      </c>
      <c r="AA1545" s="3">
        <v>0.123002752661705</v>
      </c>
      <c r="AB1545" t="s">
        <v>11730</v>
      </c>
      <c r="AC1545" t="s">
        <v>4562</v>
      </c>
      <c r="AD1545" t="s">
        <v>11729</v>
      </c>
      <c r="AE1545" t="s">
        <v>4655</v>
      </c>
      <c r="AF1545" t="s">
        <v>4563</v>
      </c>
      <c r="AG1545" t="s">
        <v>4564</v>
      </c>
      <c r="AH1545">
        <v>89502</v>
      </c>
      <c r="AI1545" t="s">
        <v>4903</v>
      </c>
      <c r="AJ1545" t="s">
        <v>4655</v>
      </c>
      <c r="AK1545" t="s">
        <v>11731</v>
      </c>
      <c r="AL1545" s="13" t="s">
        <v>2255</v>
      </c>
      <c r="AM1545" s="14">
        <v>1</v>
      </c>
      <c r="AN1545" s="15" t="s">
        <v>4049</v>
      </c>
    </row>
    <row r="1546" spans="1:40" x14ac:dyDescent="0.3">
      <c r="A1546" s="10" t="str">
        <f>HYPERLINK("http://www.washoecounty.gov/assessor/cama/?parid=021-294-26&amp;CardNumber=1","021-294-26")</f>
        <v>021-294-26</v>
      </c>
      <c r="B1546" t="s">
        <v>4655</v>
      </c>
      <c r="C1546" t="s">
        <v>11732</v>
      </c>
      <c r="D1546" s="1">
        <v>40527</v>
      </c>
      <c r="E1546" s="2">
        <v>135000</v>
      </c>
      <c r="F1546" t="s">
        <v>4553</v>
      </c>
      <c r="G1546" s="17" t="str">
        <f>HYPERLINK("https://www.washoecounty.gov/assessor/cama/?command=sales&amp;parid=02129426","3953528")</f>
        <v>3953528</v>
      </c>
      <c r="H1546" t="s">
        <v>2172</v>
      </c>
      <c r="I1546">
        <v>1986</v>
      </c>
      <c r="J1546">
        <v>1986</v>
      </c>
      <c r="K1546" t="s">
        <v>4554</v>
      </c>
      <c r="L1546" t="s">
        <v>3974</v>
      </c>
      <c r="M1546" s="2">
        <v>1568</v>
      </c>
      <c r="N1546" t="s">
        <v>5280</v>
      </c>
      <c r="O1546">
        <v>3</v>
      </c>
      <c r="P1546">
        <v>2</v>
      </c>
      <c r="Q1546">
        <v>1</v>
      </c>
      <c r="R1546" t="s">
        <v>4557</v>
      </c>
      <c r="S1546" t="s">
        <v>4558</v>
      </c>
      <c r="T1546" t="s">
        <v>4559</v>
      </c>
      <c r="U1546" t="s">
        <v>5631</v>
      </c>
      <c r="V1546" s="2">
        <v>432</v>
      </c>
      <c r="W1546" t="s">
        <v>4655</v>
      </c>
      <c r="X1546" s="2">
        <v>0</v>
      </c>
      <c r="Y1546">
        <v>20</v>
      </c>
      <c r="Z1546" t="s">
        <v>4561</v>
      </c>
      <c r="AA1546" s="3">
        <v>0.14201101660728499</v>
      </c>
      <c r="AB1546" t="s">
        <v>11733</v>
      </c>
      <c r="AC1546" t="s">
        <v>4562</v>
      </c>
      <c r="AD1546" t="s">
        <v>11734</v>
      </c>
      <c r="AE1546" t="s">
        <v>4655</v>
      </c>
      <c r="AF1546" t="s">
        <v>4563</v>
      </c>
      <c r="AG1546" t="s">
        <v>4564</v>
      </c>
      <c r="AH1546">
        <v>89502</v>
      </c>
      <c r="AI1546" t="s">
        <v>4903</v>
      </c>
      <c r="AJ1546" t="s">
        <v>4655</v>
      </c>
      <c r="AK1546" t="s">
        <v>11735</v>
      </c>
      <c r="AL1546" s="13" t="s">
        <v>2255</v>
      </c>
      <c r="AM1546">
        <v>1</v>
      </c>
      <c r="AN1546" s="15" t="s">
        <v>4049</v>
      </c>
    </row>
    <row r="1547" spans="1:40" x14ac:dyDescent="0.3">
      <c r="A1547" s="10" t="str">
        <f>HYPERLINK("http://www.washoecounty.gov/assessor/cama/?parid=021-295-19&amp;CardNumber=1","021-295-19")</f>
        <v>021-295-19</v>
      </c>
      <c r="B1547" t="s">
        <v>4655</v>
      </c>
      <c r="C1547" t="s">
        <v>11736</v>
      </c>
      <c r="D1547" s="1">
        <v>40317</v>
      </c>
      <c r="E1547" s="2">
        <v>156000</v>
      </c>
      <c r="F1547" t="s">
        <v>4553</v>
      </c>
      <c r="G1547" s="17" t="str">
        <f>HYPERLINK("https://www.washoecounty.gov/assessor/cama/?command=sales&amp;parid=02129519","3883122")</f>
        <v>3883122</v>
      </c>
      <c r="H1547" t="s">
        <v>2172</v>
      </c>
      <c r="I1547">
        <v>1986</v>
      </c>
      <c r="J1547">
        <v>1986</v>
      </c>
      <c r="K1547" t="s">
        <v>4554</v>
      </c>
      <c r="L1547" t="s">
        <v>3974</v>
      </c>
      <c r="M1547" s="2">
        <v>1457</v>
      </c>
      <c r="N1547" t="s">
        <v>5280</v>
      </c>
      <c r="O1547">
        <v>3</v>
      </c>
      <c r="P1547">
        <v>2</v>
      </c>
      <c r="Q1547">
        <v>0</v>
      </c>
      <c r="R1547" t="s">
        <v>4557</v>
      </c>
      <c r="S1547" t="s">
        <v>4558</v>
      </c>
      <c r="T1547" t="s">
        <v>4559</v>
      </c>
      <c r="U1547" t="s">
        <v>5631</v>
      </c>
      <c r="V1547" s="2">
        <v>440</v>
      </c>
      <c r="W1547" t="s">
        <v>4655</v>
      </c>
      <c r="X1547" s="2">
        <v>0</v>
      </c>
      <c r="Y1547">
        <v>20</v>
      </c>
      <c r="Z1547" t="s">
        <v>4561</v>
      </c>
      <c r="AA1547" s="3">
        <v>0.10000000149011599</v>
      </c>
      <c r="AB1547" t="s">
        <v>11737</v>
      </c>
      <c r="AC1547" t="s">
        <v>4562</v>
      </c>
      <c r="AD1547" t="s">
        <v>11736</v>
      </c>
      <c r="AE1547" t="s">
        <v>4655</v>
      </c>
      <c r="AF1547" t="s">
        <v>4563</v>
      </c>
      <c r="AG1547" t="s">
        <v>4564</v>
      </c>
      <c r="AH1547">
        <v>89502</v>
      </c>
      <c r="AI1547" t="s">
        <v>4903</v>
      </c>
      <c r="AJ1547" t="s">
        <v>4655</v>
      </c>
      <c r="AK1547" t="s">
        <v>11738</v>
      </c>
      <c r="AL1547" s="13" t="s">
        <v>2255</v>
      </c>
      <c r="AM1547">
        <v>1</v>
      </c>
      <c r="AN1547" s="15" t="s">
        <v>4049</v>
      </c>
    </row>
    <row r="1548" spans="1:40" x14ac:dyDescent="0.3">
      <c r="A1548" s="10" t="str">
        <f>HYPERLINK("http://www.washoecounty.gov/assessor/cama/?parid=021-296-02&amp;CardNumber=1","021-296-02")</f>
        <v>021-296-02</v>
      </c>
      <c r="B1548" t="s">
        <v>4655</v>
      </c>
      <c r="C1548" t="s">
        <v>11739</v>
      </c>
      <c r="D1548" s="1">
        <v>40189</v>
      </c>
      <c r="E1548" s="2">
        <v>150000</v>
      </c>
      <c r="F1548" t="s">
        <v>4567</v>
      </c>
      <c r="G1548" s="17" t="str">
        <f>HYPERLINK("https://www.washoecounty.gov/assessor/cama/?command=sales&amp;parid=02129602","3837861")</f>
        <v>3837861</v>
      </c>
      <c r="H1548" t="s">
        <v>2172</v>
      </c>
      <c r="I1548">
        <v>1986</v>
      </c>
      <c r="J1548">
        <v>1986</v>
      </c>
      <c r="K1548" t="s">
        <v>4554</v>
      </c>
      <c r="L1548" t="s">
        <v>3974</v>
      </c>
      <c r="M1548" s="2">
        <v>1457</v>
      </c>
      <c r="N1548" t="s">
        <v>5280</v>
      </c>
      <c r="O1548">
        <v>3</v>
      </c>
      <c r="P1548">
        <v>2</v>
      </c>
      <c r="Q1548">
        <v>0</v>
      </c>
      <c r="R1548" t="s">
        <v>4557</v>
      </c>
      <c r="S1548" t="s">
        <v>4558</v>
      </c>
      <c r="T1548" t="s">
        <v>4559</v>
      </c>
      <c r="U1548" t="s">
        <v>5631</v>
      </c>
      <c r="V1548" s="2">
        <v>440</v>
      </c>
      <c r="W1548" t="s">
        <v>4655</v>
      </c>
      <c r="X1548" s="2">
        <v>0</v>
      </c>
      <c r="Y1548">
        <v>20</v>
      </c>
      <c r="Z1548" t="s">
        <v>4561</v>
      </c>
      <c r="AA1548" s="3">
        <v>0.123002752661705</v>
      </c>
      <c r="AB1548" t="s">
        <v>11740</v>
      </c>
      <c r="AC1548" t="s">
        <v>4562</v>
      </c>
      <c r="AD1548" t="s">
        <v>11739</v>
      </c>
      <c r="AE1548" t="s">
        <v>4655</v>
      </c>
      <c r="AF1548" t="s">
        <v>4563</v>
      </c>
      <c r="AG1548" t="s">
        <v>4564</v>
      </c>
      <c r="AH1548">
        <v>89502</v>
      </c>
      <c r="AI1548" t="s">
        <v>4655</v>
      </c>
      <c r="AJ1548" t="s">
        <v>4655</v>
      </c>
      <c r="AK1548" t="s">
        <v>11741</v>
      </c>
      <c r="AL1548" s="13" t="s">
        <v>2255</v>
      </c>
      <c r="AM1548">
        <v>1</v>
      </c>
      <c r="AN1548" s="15" t="s">
        <v>4049</v>
      </c>
    </row>
    <row r="1549" spans="1:40" x14ac:dyDescent="0.3">
      <c r="A1549" s="10" t="str">
        <f>HYPERLINK("http://www.washoecounty.gov/assessor/cama/?parid=021-301-08&amp;CardNumber=1","021-301-08")</f>
        <v>021-301-08</v>
      </c>
      <c r="B1549" t="s">
        <v>4655</v>
      </c>
      <c r="C1549" t="s">
        <v>11742</v>
      </c>
      <c r="D1549" s="1">
        <v>40184</v>
      </c>
      <c r="E1549" s="2">
        <v>143000</v>
      </c>
      <c r="F1549" t="s">
        <v>4567</v>
      </c>
      <c r="G1549" s="17" t="str">
        <f>HYPERLINK("https://www.washoecounty.gov/assessor/cama/?command=sales&amp;parid=02130108","3836905")</f>
        <v>3836905</v>
      </c>
      <c r="H1549" t="s">
        <v>4047</v>
      </c>
      <c r="I1549">
        <v>1976</v>
      </c>
      <c r="J1549">
        <v>1976</v>
      </c>
      <c r="K1549" t="s">
        <v>4554</v>
      </c>
      <c r="L1549" t="s">
        <v>4555</v>
      </c>
      <c r="M1549" s="2">
        <v>1375</v>
      </c>
      <c r="N1549" t="s">
        <v>4048</v>
      </c>
      <c r="O1549">
        <v>3</v>
      </c>
      <c r="P1549">
        <v>2</v>
      </c>
      <c r="Q1549">
        <v>0</v>
      </c>
      <c r="R1549" t="s">
        <v>5281</v>
      </c>
      <c r="S1549" t="s">
        <v>4135</v>
      </c>
      <c r="T1549" t="s">
        <v>4559</v>
      </c>
      <c r="U1549" t="s">
        <v>4560</v>
      </c>
      <c r="V1549" s="2">
        <v>462</v>
      </c>
      <c r="W1549" t="s">
        <v>4655</v>
      </c>
      <c r="X1549" s="2">
        <v>0</v>
      </c>
      <c r="Y1549">
        <v>20</v>
      </c>
      <c r="Z1549" t="s">
        <v>4561</v>
      </c>
      <c r="AA1549" s="3">
        <v>0.16799816489219666</v>
      </c>
      <c r="AB1549" t="s">
        <v>11743</v>
      </c>
      <c r="AC1549" t="s">
        <v>4562</v>
      </c>
      <c r="AD1549" t="s">
        <v>11742</v>
      </c>
      <c r="AE1549" t="s">
        <v>4655</v>
      </c>
      <c r="AF1549" t="s">
        <v>4563</v>
      </c>
      <c r="AG1549" t="s">
        <v>4564</v>
      </c>
      <c r="AH1549">
        <v>89502</v>
      </c>
      <c r="AI1549" t="s">
        <v>11744</v>
      </c>
      <c r="AJ1549" t="s">
        <v>4655</v>
      </c>
      <c r="AK1549" t="s">
        <v>11745</v>
      </c>
      <c r="AL1549" s="13" t="s">
        <v>2255</v>
      </c>
      <c r="AM1549">
        <v>1</v>
      </c>
      <c r="AN1549" s="15" t="s">
        <v>4049</v>
      </c>
    </row>
    <row r="1550" spans="1:40" x14ac:dyDescent="0.3">
      <c r="A1550" s="10" t="str">
        <f>HYPERLINK("http://www.washoecounty.gov/assessor/cama/?parid=021-301-09&amp;CardNumber=1","021-301-09")</f>
        <v>021-301-09</v>
      </c>
      <c r="B1550" t="s">
        <v>4655</v>
      </c>
      <c r="C1550" t="s">
        <v>11746</v>
      </c>
      <c r="D1550" s="1">
        <v>40374</v>
      </c>
      <c r="E1550" s="2">
        <v>176000</v>
      </c>
      <c r="F1550" t="s">
        <v>4553</v>
      </c>
      <c r="G1550" s="17" t="str">
        <f>HYPERLINK("https://www.washoecounty.gov/assessor/cama/?command=sales&amp;parid=02130109","3901721")</f>
        <v>3901721</v>
      </c>
      <c r="H1550" t="s">
        <v>4047</v>
      </c>
      <c r="I1550">
        <v>1976</v>
      </c>
      <c r="J1550">
        <v>1976</v>
      </c>
      <c r="K1550" t="s">
        <v>4554</v>
      </c>
      <c r="L1550" t="s">
        <v>4555</v>
      </c>
      <c r="M1550" s="2">
        <v>1910</v>
      </c>
      <c r="N1550" t="s">
        <v>4048</v>
      </c>
      <c r="O1550">
        <v>4</v>
      </c>
      <c r="P1550">
        <v>2</v>
      </c>
      <c r="Q1550">
        <v>0</v>
      </c>
      <c r="R1550" t="s">
        <v>5281</v>
      </c>
      <c r="S1550" t="s">
        <v>4558</v>
      </c>
      <c r="T1550" t="s">
        <v>4559</v>
      </c>
      <c r="U1550" t="s">
        <v>4560</v>
      </c>
      <c r="V1550" s="2">
        <v>460</v>
      </c>
      <c r="W1550" t="s">
        <v>4655</v>
      </c>
      <c r="X1550" s="2">
        <v>0</v>
      </c>
      <c r="Y1550">
        <v>20</v>
      </c>
      <c r="Z1550" t="s">
        <v>4561</v>
      </c>
      <c r="AA1550" s="3">
        <v>0.17100550234317799</v>
      </c>
      <c r="AB1550" t="s">
        <v>11747</v>
      </c>
      <c r="AC1550" t="s">
        <v>4575</v>
      </c>
      <c r="AD1550" t="s">
        <v>11746</v>
      </c>
      <c r="AE1550" t="s">
        <v>4655</v>
      </c>
      <c r="AF1550" t="s">
        <v>4563</v>
      </c>
      <c r="AG1550" t="s">
        <v>4564</v>
      </c>
      <c r="AH1550">
        <v>89502</v>
      </c>
      <c r="AI1550" t="s">
        <v>11748</v>
      </c>
      <c r="AJ1550" t="s">
        <v>4655</v>
      </c>
      <c r="AK1550" t="s">
        <v>11749</v>
      </c>
      <c r="AL1550" s="13" t="s">
        <v>2255</v>
      </c>
      <c r="AM1550" s="14">
        <v>1</v>
      </c>
      <c r="AN1550" s="15" t="s">
        <v>4049</v>
      </c>
    </row>
    <row r="1551" spans="1:40" x14ac:dyDescent="0.3">
      <c r="A1551" s="10" t="str">
        <f>HYPERLINK("http://www.washoecounty.gov/assessor/cama/?parid=021-311-01&amp;CardNumber=1","021-311-01")</f>
        <v>021-311-01</v>
      </c>
      <c r="B1551" t="s">
        <v>4655</v>
      </c>
      <c r="C1551" t="s">
        <v>11750</v>
      </c>
      <c r="D1551" s="1">
        <v>40484</v>
      </c>
      <c r="E1551" s="2">
        <v>126000</v>
      </c>
      <c r="F1551" t="s">
        <v>4553</v>
      </c>
      <c r="G1551" s="17" t="str">
        <f>HYPERLINK("https://www.washoecounty.gov/assessor/cama/?command=sales&amp;parid=02131101","3938827")</f>
        <v>3938827</v>
      </c>
      <c r="H1551" t="s">
        <v>4047</v>
      </c>
      <c r="I1551">
        <v>1974</v>
      </c>
      <c r="J1551">
        <v>1974</v>
      </c>
      <c r="K1551" t="s">
        <v>4554</v>
      </c>
      <c r="L1551" t="s">
        <v>4555</v>
      </c>
      <c r="M1551" s="2">
        <v>1443</v>
      </c>
      <c r="N1551" t="s">
        <v>4048</v>
      </c>
      <c r="O1551">
        <v>3</v>
      </c>
      <c r="P1551">
        <v>2</v>
      </c>
      <c r="Q1551">
        <v>0</v>
      </c>
      <c r="R1551" t="s">
        <v>5281</v>
      </c>
      <c r="S1551" t="s">
        <v>3148</v>
      </c>
      <c r="T1551" t="s">
        <v>4559</v>
      </c>
      <c r="U1551" t="s">
        <v>4560</v>
      </c>
      <c r="V1551" s="2">
        <v>454</v>
      </c>
      <c r="W1551" t="s">
        <v>4655</v>
      </c>
      <c r="X1551" s="2">
        <v>0</v>
      </c>
      <c r="Y1551">
        <v>20</v>
      </c>
      <c r="Z1551" t="s">
        <v>4561</v>
      </c>
      <c r="AA1551" s="3">
        <v>0.19400826096534701</v>
      </c>
      <c r="AB1551" t="s">
        <v>11751</v>
      </c>
      <c r="AC1551" t="s">
        <v>4562</v>
      </c>
      <c r="AD1551" t="s">
        <v>11752</v>
      </c>
      <c r="AE1551" t="s">
        <v>4655</v>
      </c>
      <c r="AF1551" t="s">
        <v>4563</v>
      </c>
      <c r="AG1551" t="s">
        <v>4564</v>
      </c>
      <c r="AH1551">
        <v>89502</v>
      </c>
      <c r="AI1551" t="s">
        <v>4848</v>
      </c>
      <c r="AJ1551" t="s">
        <v>4655</v>
      </c>
      <c r="AK1551" t="s">
        <v>11753</v>
      </c>
      <c r="AL1551" s="13" t="s">
        <v>2255</v>
      </c>
      <c r="AM1551" s="14">
        <v>1</v>
      </c>
      <c r="AN1551" s="15" t="s">
        <v>4049</v>
      </c>
    </row>
    <row r="1552" spans="1:40" x14ac:dyDescent="0.3">
      <c r="A1552" s="10" t="str">
        <f>HYPERLINK("http://www.washoecounty.gov/assessor/cama/?parid=021-311-20&amp;CardNumber=1","021-311-20")</f>
        <v>021-311-20</v>
      </c>
      <c r="B1552" t="s">
        <v>4655</v>
      </c>
      <c r="C1552" t="s">
        <v>11754</v>
      </c>
      <c r="D1552" s="1">
        <v>40326</v>
      </c>
      <c r="E1552" s="2">
        <v>188541</v>
      </c>
      <c r="F1552" t="s">
        <v>4553</v>
      </c>
      <c r="G1552" s="17" t="str">
        <f>HYPERLINK("https://www.washoecounty.gov/assessor/cama/?command=sales&amp;parid=02131120","3886724")</f>
        <v>3886724</v>
      </c>
      <c r="H1552" t="s">
        <v>4047</v>
      </c>
      <c r="I1552">
        <v>1974</v>
      </c>
      <c r="J1552">
        <v>1974</v>
      </c>
      <c r="K1552" t="s">
        <v>4554</v>
      </c>
      <c r="L1552" t="s">
        <v>4555</v>
      </c>
      <c r="M1552" s="2">
        <v>1910</v>
      </c>
      <c r="N1552" t="s">
        <v>4048</v>
      </c>
      <c r="O1552">
        <v>4</v>
      </c>
      <c r="P1552">
        <v>2</v>
      </c>
      <c r="Q1552">
        <v>0</v>
      </c>
      <c r="R1552" t="s">
        <v>4557</v>
      </c>
      <c r="S1552" t="s">
        <v>4135</v>
      </c>
      <c r="T1552" t="s">
        <v>4559</v>
      </c>
      <c r="U1552" t="s">
        <v>4560</v>
      </c>
      <c r="V1552" s="2">
        <v>460</v>
      </c>
      <c r="W1552" t="s">
        <v>4655</v>
      </c>
      <c r="X1552" s="2">
        <v>0</v>
      </c>
      <c r="Y1552">
        <v>20</v>
      </c>
      <c r="Z1552" t="s">
        <v>4561</v>
      </c>
      <c r="AA1552" s="3">
        <v>0.19400826096534701</v>
      </c>
      <c r="AB1552" t="s">
        <v>11755</v>
      </c>
      <c r="AC1552" t="s">
        <v>4575</v>
      </c>
      <c r="AD1552" t="s">
        <v>11756</v>
      </c>
      <c r="AE1552" t="s">
        <v>4655</v>
      </c>
      <c r="AF1552" t="s">
        <v>4563</v>
      </c>
      <c r="AG1552" t="s">
        <v>4564</v>
      </c>
      <c r="AH1552">
        <v>89502</v>
      </c>
      <c r="AI1552" t="s">
        <v>949</v>
      </c>
      <c r="AJ1552" t="s">
        <v>4655</v>
      </c>
      <c r="AK1552" t="s">
        <v>11757</v>
      </c>
      <c r="AL1552" s="13" t="s">
        <v>2255</v>
      </c>
      <c r="AM1552">
        <v>1</v>
      </c>
      <c r="AN1552" s="15" t="s">
        <v>4049</v>
      </c>
    </row>
    <row r="1553" spans="1:40" x14ac:dyDescent="0.3">
      <c r="A1553" s="10" t="str">
        <f>HYPERLINK("http://www.washoecounty.gov/assessor/cama/?parid=021-321-08&amp;CardNumber=1","021-321-08")</f>
        <v>021-321-08</v>
      </c>
      <c r="B1553" t="s">
        <v>4655</v>
      </c>
      <c r="C1553" t="s">
        <v>11758</v>
      </c>
      <c r="D1553" s="1">
        <v>40254</v>
      </c>
      <c r="E1553" s="2">
        <v>144500</v>
      </c>
      <c r="F1553" t="s">
        <v>4553</v>
      </c>
      <c r="G1553" s="17" t="str">
        <f>HYPERLINK("https://www.washoecounty.gov/assessor/cama/?command=sales&amp;parid=02132108","3860715")</f>
        <v>3860715</v>
      </c>
      <c r="H1553" t="s">
        <v>4047</v>
      </c>
      <c r="I1553">
        <v>1976</v>
      </c>
      <c r="J1553">
        <v>1978</v>
      </c>
      <c r="K1553" t="s">
        <v>4554</v>
      </c>
      <c r="L1553" t="s">
        <v>4555</v>
      </c>
      <c r="M1553" s="2">
        <v>2170</v>
      </c>
      <c r="N1553" t="s">
        <v>4048</v>
      </c>
      <c r="O1553">
        <v>4</v>
      </c>
      <c r="P1553">
        <v>2</v>
      </c>
      <c r="Q1553">
        <v>0</v>
      </c>
      <c r="R1553" t="s">
        <v>4557</v>
      </c>
      <c r="S1553" t="s">
        <v>4558</v>
      </c>
      <c r="T1553" t="s">
        <v>4559</v>
      </c>
      <c r="U1553" t="s">
        <v>4560</v>
      </c>
      <c r="V1553" s="2">
        <v>460</v>
      </c>
      <c r="W1553" t="s">
        <v>4655</v>
      </c>
      <c r="X1553" s="2">
        <v>0</v>
      </c>
      <c r="Y1553">
        <v>20</v>
      </c>
      <c r="Z1553" t="s">
        <v>4561</v>
      </c>
      <c r="AA1553" s="3">
        <v>0.173002749681473</v>
      </c>
      <c r="AB1553" t="s">
        <v>11759</v>
      </c>
      <c r="AC1553" t="s">
        <v>4575</v>
      </c>
      <c r="AD1553" t="s">
        <v>11758</v>
      </c>
      <c r="AE1553" t="s">
        <v>4655</v>
      </c>
      <c r="AF1553" t="s">
        <v>4563</v>
      </c>
      <c r="AG1553" t="s">
        <v>4564</v>
      </c>
      <c r="AH1553">
        <v>89502</v>
      </c>
      <c r="AI1553" t="s">
        <v>4503</v>
      </c>
      <c r="AJ1553" t="s">
        <v>4655</v>
      </c>
      <c r="AK1553" t="s">
        <v>11760</v>
      </c>
      <c r="AL1553" s="13" t="s">
        <v>2257</v>
      </c>
      <c r="AM1553">
        <v>1</v>
      </c>
      <c r="AN1553" s="15" t="s">
        <v>4049</v>
      </c>
    </row>
    <row r="1554" spans="1:40" x14ac:dyDescent="0.3">
      <c r="A1554" s="10" t="str">
        <f>HYPERLINK("http://www.washoecounty.gov/assessor/cama/?parid=021-322-20&amp;CardNumber=1","021-322-20")</f>
        <v>021-322-20</v>
      </c>
      <c r="B1554" t="s">
        <v>4655</v>
      </c>
      <c r="C1554" t="s">
        <v>11761</v>
      </c>
      <c r="D1554" s="1">
        <v>40386</v>
      </c>
      <c r="E1554" s="2">
        <v>124000</v>
      </c>
      <c r="F1554" t="s">
        <v>4553</v>
      </c>
      <c r="G1554" s="17" t="str">
        <f>HYPERLINK("https://www.washoecounty.gov/assessor/cama/?command=sales&amp;parid=02132220","3905380")</f>
        <v>3905380</v>
      </c>
      <c r="H1554" t="s">
        <v>4047</v>
      </c>
      <c r="I1554">
        <v>1975</v>
      </c>
      <c r="J1554">
        <v>1975</v>
      </c>
      <c r="K1554" t="s">
        <v>4554</v>
      </c>
      <c r="L1554" t="s">
        <v>4555</v>
      </c>
      <c r="M1554" s="2">
        <v>1375</v>
      </c>
      <c r="N1554" t="s">
        <v>4048</v>
      </c>
      <c r="O1554">
        <v>3</v>
      </c>
      <c r="P1554">
        <v>2</v>
      </c>
      <c r="Q1554">
        <v>0</v>
      </c>
      <c r="R1554" t="s">
        <v>4557</v>
      </c>
      <c r="S1554" t="s">
        <v>4558</v>
      </c>
      <c r="T1554" t="s">
        <v>4559</v>
      </c>
      <c r="U1554" t="s">
        <v>4560</v>
      </c>
      <c r="V1554" s="2">
        <v>528</v>
      </c>
      <c r="W1554" t="s">
        <v>4655</v>
      </c>
      <c r="X1554" s="2">
        <v>0</v>
      </c>
      <c r="Y1554">
        <v>20</v>
      </c>
      <c r="Z1554" t="s">
        <v>4561</v>
      </c>
      <c r="AA1554" s="3">
        <v>0.15599173307418801</v>
      </c>
      <c r="AB1554" t="s">
        <v>11762</v>
      </c>
      <c r="AC1554" t="s">
        <v>4562</v>
      </c>
      <c r="AD1554" t="s">
        <v>11761</v>
      </c>
      <c r="AE1554" t="s">
        <v>4655</v>
      </c>
      <c r="AF1554" t="s">
        <v>4563</v>
      </c>
      <c r="AG1554" t="s">
        <v>4564</v>
      </c>
      <c r="AH1554">
        <v>89502</v>
      </c>
      <c r="AI1554" t="s">
        <v>4503</v>
      </c>
      <c r="AJ1554" t="s">
        <v>4655</v>
      </c>
      <c r="AK1554" t="s">
        <v>11763</v>
      </c>
      <c r="AL1554" s="13" t="s">
        <v>2257</v>
      </c>
      <c r="AM1554">
        <v>1</v>
      </c>
      <c r="AN1554" s="15" t="s">
        <v>4049</v>
      </c>
    </row>
    <row r="1555" spans="1:40" x14ac:dyDescent="0.3">
      <c r="A1555" s="10" t="str">
        <f>HYPERLINK("http://www.washoecounty.gov/assessor/cama/?parid=021-331-07&amp;CardNumber=1","021-331-07")</f>
        <v>021-331-07</v>
      </c>
      <c r="B1555" t="s">
        <v>4655</v>
      </c>
      <c r="C1555" t="s">
        <v>11764</v>
      </c>
      <c r="D1555" s="1">
        <v>40473</v>
      </c>
      <c r="E1555" s="2">
        <v>133750</v>
      </c>
      <c r="F1555" t="s">
        <v>4553</v>
      </c>
      <c r="G1555" s="17" t="str">
        <f>HYPERLINK("https://www.washoecounty.gov/assessor/cama/?command=sales&amp;parid=02133107","3935744")</f>
        <v>3935744</v>
      </c>
      <c r="H1555" t="s">
        <v>1724</v>
      </c>
      <c r="I1555">
        <v>1977</v>
      </c>
      <c r="J1555">
        <v>1977</v>
      </c>
      <c r="K1555" t="s">
        <v>4554</v>
      </c>
      <c r="L1555" t="s">
        <v>4555</v>
      </c>
      <c r="M1555" s="2">
        <v>1910</v>
      </c>
      <c r="N1555" t="s">
        <v>4048</v>
      </c>
      <c r="O1555">
        <v>4</v>
      </c>
      <c r="P1555">
        <v>2</v>
      </c>
      <c r="Q1555">
        <v>0</v>
      </c>
      <c r="R1555" t="s">
        <v>5281</v>
      </c>
      <c r="S1555" t="s">
        <v>4558</v>
      </c>
      <c r="T1555" t="s">
        <v>4559</v>
      </c>
      <c r="U1555" t="s">
        <v>4560</v>
      </c>
      <c r="V1555" s="2">
        <v>460</v>
      </c>
      <c r="W1555" t="s">
        <v>4655</v>
      </c>
      <c r="X1555" s="2">
        <v>0</v>
      </c>
      <c r="Y1555">
        <v>20</v>
      </c>
      <c r="Z1555" t="s">
        <v>4561</v>
      </c>
      <c r="AA1555" s="3">
        <v>0.18099173903465299</v>
      </c>
      <c r="AB1555" t="s">
        <v>11765</v>
      </c>
      <c r="AC1555" t="s">
        <v>4562</v>
      </c>
      <c r="AD1555" t="s">
        <v>11764</v>
      </c>
      <c r="AE1555" t="s">
        <v>4655</v>
      </c>
      <c r="AF1555" t="s">
        <v>4563</v>
      </c>
      <c r="AG1555" t="s">
        <v>4564</v>
      </c>
      <c r="AH1555">
        <v>89502</v>
      </c>
      <c r="AI1555" t="s">
        <v>4655</v>
      </c>
      <c r="AJ1555" t="s">
        <v>4655</v>
      </c>
      <c r="AK1555" t="s">
        <v>11766</v>
      </c>
      <c r="AL1555" s="13" t="s">
        <v>2257</v>
      </c>
      <c r="AM1555" s="14">
        <v>1</v>
      </c>
      <c r="AN1555" s="15" t="s">
        <v>4049</v>
      </c>
    </row>
    <row r="1556" spans="1:40" x14ac:dyDescent="0.3">
      <c r="A1556" s="10" t="str">
        <f>HYPERLINK("http://www.washoecounty.gov/assessor/cama/?parid=021-331-11&amp;CardNumber=1","021-331-11")</f>
        <v>021-331-11</v>
      </c>
      <c r="B1556" t="s">
        <v>4655</v>
      </c>
      <c r="C1556" t="s">
        <v>11767</v>
      </c>
      <c r="D1556" s="1">
        <v>40415</v>
      </c>
      <c r="E1556" s="2">
        <v>140000</v>
      </c>
      <c r="F1556" t="s">
        <v>4567</v>
      </c>
      <c r="G1556" s="17" t="str">
        <f>HYPERLINK("https://www.washoecounty.gov/assessor/cama/?command=sales&amp;parid=02133111","3915476")</f>
        <v>3915476</v>
      </c>
      <c r="H1556" t="s">
        <v>1724</v>
      </c>
      <c r="I1556">
        <v>1977</v>
      </c>
      <c r="J1556">
        <v>1977</v>
      </c>
      <c r="K1556" t="s">
        <v>4554</v>
      </c>
      <c r="L1556" t="s">
        <v>4555</v>
      </c>
      <c r="M1556" s="2">
        <v>1634</v>
      </c>
      <c r="N1556" t="s">
        <v>4048</v>
      </c>
      <c r="O1556">
        <v>3</v>
      </c>
      <c r="P1556">
        <v>2</v>
      </c>
      <c r="Q1556">
        <v>0</v>
      </c>
      <c r="R1556" t="s">
        <v>5281</v>
      </c>
      <c r="S1556" t="s">
        <v>4558</v>
      </c>
      <c r="T1556" t="s">
        <v>4559</v>
      </c>
      <c r="U1556" t="s">
        <v>4560</v>
      </c>
      <c r="V1556" s="2">
        <v>486</v>
      </c>
      <c r="W1556" t="s">
        <v>4655</v>
      </c>
      <c r="X1556" s="2">
        <v>0</v>
      </c>
      <c r="Y1556">
        <v>20</v>
      </c>
      <c r="Z1556" t="s">
        <v>4561</v>
      </c>
      <c r="AA1556" s="3">
        <v>0.17899449169635773</v>
      </c>
      <c r="AB1556" t="s">
        <v>11768</v>
      </c>
      <c r="AC1556" t="s">
        <v>4562</v>
      </c>
      <c r="AD1556" t="s">
        <v>11767</v>
      </c>
      <c r="AE1556" t="s">
        <v>4655</v>
      </c>
      <c r="AF1556" t="s">
        <v>4563</v>
      </c>
      <c r="AG1556" t="s">
        <v>4564</v>
      </c>
      <c r="AH1556">
        <v>89502</v>
      </c>
      <c r="AI1556" t="s">
        <v>11769</v>
      </c>
      <c r="AJ1556" t="s">
        <v>4655</v>
      </c>
      <c r="AK1556" t="s">
        <v>11770</v>
      </c>
      <c r="AL1556" s="13" t="s">
        <v>2257</v>
      </c>
      <c r="AM1556">
        <v>1</v>
      </c>
      <c r="AN1556" s="15" t="s">
        <v>4049</v>
      </c>
    </row>
    <row r="1557" spans="1:40" x14ac:dyDescent="0.3">
      <c r="A1557" s="10" t="str">
        <f>HYPERLINK("http://www.washoecounty.gov/assessor/cama/?parid=021-334-15&amp;CardNumber=1","021-334-15")</f>
        <v>021-334-15</v>
      </c>
      <c r="B1557" t="s">
        <v>4655</v>
      </c>
      <c r="C1557" t="s">
        <v>11771</v>
      </c>
      <c r="D1557" s="1">
        <v>40459</v>
      </c>
      <c r="E1557" s="2">
        <v>159950</v>
      </c>
      <c r="F1557" t="s">
        <v>4567</v>
      </c>
      <c r="G1557" s="17" t="str">
        <f>HYPERLINK("https://www.washoecounty.gov/assessor/cama/?command=sales&amp;parid=02133415","3931289")</f>
        <v>3931289</v>
      </c>
      <c r="H1557" t="s">
        <v>1718</v>
      </c>
      <c r="I1557">
        <v>1977</v>
      </c>
      <c r="J1557">
        <v>1977</v>
      </c>
      <c r="K1557" t="s">
        <v>4554</v>
      </c>
      <c r="L1557" t="s">
        <v>2170</v>
      </c>
      <c r="M1557" s="2">
        <v>2128</v>
      </c>
      <c r="N1557" t="s">
        <v>4048</v>
      </c>
      <c r="O1557">
        <v>4</v>
      </c>
      <c r="P1557">
        <v>3</v>
      </c>
      <c r="Q1557">
        <v>0</v>
      </c>
      <c r="R1557" t="s">
        <v>5281</v>
      </c>
      <c r="S1557" t="s">
        <v>4558</v>
      </c>
      <c r="T1557" t="s">
        <v>4559</v>
      </c>
      <c r="U1557" t="s">
        <v>4560</v>
      </c>
      <c r="V1557" s="2">
        <v>440</v>
      </c>
      <c r="W1557" t="s">
        <v>4655</v>
      </c>
      <c r="X1557" s="2">
        <v>0</v>
      </c>
      <c r="Y1557">
        <v>20</v>
      </c>
      <c r="Z1557" t="s">
        <v>4561</v>
      </c>
      <c r="AA1557" s="3">
        <v>0.16099633276462599</v>
      </c>
      <c r="AB1557" t="s">
        <v>11772</v>
      </c>
      <c r="AC1557" t="s">
        <v>4562</v>
      </c>
      <c r="AD1557" t="s">
        <v>11773</v>
      </c>
      <c r="AE1557" t="s">
        <v>4655</v>
      </c>
      <c r="AF1557" t="s">
        <v>4563</v>
      </c>
      <c r="AG1557" t="s">
        <v>4564</v>
      </c>
      <c r="AH1557" t="s">
        <v>5197</v>
      </c>
      <c r="AI1557" t="s">
        <v>4655</v>
      </c>
      <c r="AJ1557" t="s">
        <v>4655</v>
      </c>
      <c r="AK1557" t="s">
        <v>11774</v>
      </c>
      <c r="AL1557" s="13" t="s">
        <v>2257</v>
      </c>
      <c r="AM1557">
        <v>1</v>
      </c>
      <c r="AN1557" s="15" t="s">
        <v>4049</v>
      </c>
    </row>
    <row r="1558" spans="1:40" x14ac:dyDescent="0.3">
      <c r="A1558" s="10" t="str">
        <f>HYPERLINK("http://www.washoecounty.gov/assessor/cama/?parid=021-334-22&amp;CardNumber=1","021-334-22")</f>
        <v>021-334-22</v>
      </c>
      <c r="B1558" t="s">
        <v>4655</v>
      </c>
      <c r="C1558" t="s">
        <v>11775</v>
      </c>
      <c r="D1558" s="1">
        <v>40506</v>
      </c>
      <c r="E1558" s="2">
        <v>149900</v>
      </c>
      <c r="F1558" t="s">
        <v>4567</v>
      </c>
      <c r="G1558" s="17" t="str">
        <f>HYPERLINK("https://www.washoecounty.gov/assessor/cama/?command=sales&amp;parid=02133422","3946872")</f>
        <v>3946872</v>
      </c>
      <c r="H1558" t="s">
        <v>1724</v>
      </c>
      <c r="I1558">
        <v>1977</v>
      </c>
      <c r="J1558">
        <v>1977</v>
      </c>
      <c r="K1558" t="s">
        <v>4554</v>
      </c>
      <c r="L1558" t="s">
        <v>4555</v>
      </c>
      <c r="M1558" s="2">
        <v>1910</v>
      </c>
      <c r="N1558" t="s">
        <v>4048</v>
      </c>
      <c r="O1558">
        <v>4</v>
      </c>
      <c r="P1558">
        <v>2</v>
      </c>
      <c r="Q1558">
        <v>0</v>
      </c>
      <c r="R1558" t="s">
        <v>4557</v>
      </c>
      <c r="S1558" t="s">
        <v>4558</v>
      </c>
      <c r="T1558" t="s">
        <v>4559</v>
      </c>
      <c r="U1558" t="s">
        <v>4560</v>
      </c>
      <c r="V1558" s="2">
        <v>460</v>
      </c>
      <c r="W1558" t="s">
        <v>4655</v>
      </c>
      <c r="X1558" s="2">
        <v>0</v>
      </c>
      <c r="Y1558">
        <v>20</v>
      </c>
      <c r="Z1558" t="s">
        <v>4561</v>
      </c>
      <c r="AA1558" s="3">
        <v>0.19400826096534701</v>
      </c>
      <c r="AB1558" t="s">
        <v>11776</v>
      </c>
      <c r="AC1558" t="s">
        <v>4562</v>
      </c>
      <c r="AD1558" t="s">
        <v>11775</v>
      </c>
      <c r="AE1558" t="s">
        <v>4655</v>
      </c>
      <c r="AF1558" t="s">
        <v>4563</v>
      </c>
      <c r="AG1558" t="s">
        <v>4564</v>
      </c>
      <c r="AH1558">
        <v>89502</v>
      </c>
      <c r="AI1558" t="s">
        <v>11777</v>
      </c>
      <c r="AJ1558" t="s">
        <v>4655</v>
      </c>
      <c r="AK1558" t="s">
        <v>11778</v>
      </c>
      <c r="AL1558" s="13" t="s">
        <v>2257</v>
      </c>
      <c r="AM1558" s="14">
        <v>1</v>
      </c>
      <c r="AN1558" s="15" t="s">
        <v>4049</v>
      </c>
    </row>
    <row r="1559" spans="1:40" x14ac:dyDescent="0.3">
      <c r="A1559" s="10" t="str">
        <f>HYPERLINK("http://www.washoecounty.gov/assessor/cama/?parid=021-335-01&amp;CardNumber=1","021-335-01")</f>
        <v>021-335-01</v>
      </c>
      <c r="B1559" t="s">
        <v>4655</v>
      </c>
      <c r="C1559" t="s">
        <v>11779</v>
      </c>
      <c r="D1559" s="1">
        <v>40247</v>
      </c>
      <c r="E1559" s="2">
        <v>180000</v>
      </c>
      <c r="F1559" t="s">
        <v>4553</v>
      </c>
      <c r="G1559" s="17" t="str">
        <f>HYPERLINK("https://www.washoecounty.gov/assessor/cama/?command=sales&amp;parid=02133501","3858289")</f>
        <v>3858289</v>
      </c>
      <c r="H1559" t="s">
        <v>1724</v>
      </c>
      <c r="I1559">
        <v>1977</v>
      </c>
      <c r="J1559">
        <v>1977</v>
      </c>
      <c r="K1559" t="s">
        <v>4554</v>
      </c>
      <c r="L1559" t="s">
        <v>2170</v>
      </c>
      <c r="M1559" s="2">
        <v>2128</v>
      </c>
      <c r="N1559" t="s">
        <v>4048</v>
      </c>
      <c r="O1559">
        <v>4</v>
      </c>
      <c r="P1559">
        <v>3</v>
      </c>
      <c r="Q1559">
        <v>0</v>
      </c>
      <c r="R1559" t="s">
        <v>4557</v>
      </c>
      <c r="S1559" t="s">
        <v>4558</v>
      </c>
      <c r="T1559" t="s">
        <v>4559</v>
      </c>
      <c r="U1559" t="s">
        <v>4560</v>
      </c>
      <c r="V1559" s="2">
        <v>440</v>
      </c>
      <c r="W1559" t="s">
        <v>4655</v>
      </c>
      <c r="X1559" s="2">
        <v>0</v>
      </c>
      <c r="Y1559">
        <v>20</v>
      </c>
      <c r="Z1559" t="s">
        <v>4561</v>
      </c>
      <c r="AA1559" s="3">
        <v>0.14201101660728499</v>
      </c>
      <c r="AB1559" t="s">
        <v>11780</v>
      </c>
      <c r="AC1559" t="s">
        <v>4575</v>
      </c>
      <c r="AD1559" t="s">
        <v>11779</v>
      </c>
      <c r="AE1559" t="s">
        <v>4655</v>
      </c>
      <c r="AF1559" t="s">
        <v>4563</v>
      </c>
      <c r="AG1559" t="s">
        <v>4564</v>
      </c>
      <c r="AH1559">
        <v>89502</v>
      </c>
      <c r="AI1559" t="s">
        <v>4655</v>
      </c>
      <c r="AJ1559" t="s">
        <v>4655</v>
      </c>
      <c r="AK1559" t="s">
        <v>11781</v>
      </c>
      <c r="AL1559" s="13" t="s">
        <v>2257</v>
      </c>
      <c r="AM1559" s="14">
        <v>1</v>
      </c>
      <c r="AN1559" s="15" t="s">
        <v>4049</v>
      </c>
    </row>
    <row r="1560" spans="1:40" x14ac:dyDescent="0.3">
      <c r="A1560" s="10" t="str">
        <f>HYPERLINK("http://www.washoecounty.gov/assessor/cama/?parid=021-335-05&amp;CardNumber=1","021-335-05")</f>
        <v>021-335-05</v>
      </c>
      <c r="B1560" t="s">
        <v>4655</v>
      </c>
      <c r="C1560" t="s">
        <v>11782</v>
      </c>
      <c r="D1560" s="1">
        <v>40424</v>
      </c>
      <c r="E1560" s="2">
        <v>128000</v>
      </c>
      <c r="F1560" t="s">
        <v>4567</v>
      </c>
      <c r="G1560" s="17" t="str">
        <f>HYPERLINK("https://www.washoecounty.gov/assessor/cama/?command=sales&amp;parid=02133505","3918787")</f>
        <v>3918787</v>
      </c>
      <c r="H1560" t="s">
        <v>1724</v>
      </c>
      <c r="I1560">
        <v>1977</v>
      </c>
      <c r="J1560">
        <v>1977</v>
      </c>
      <c r="K1560" t="s">
        <v>4554</v>
      </c>
      <c r="L1560" t="s">
        <v>4555</v>
      </c>
      <c r="M1560" s="2">
        <v>1910</v>
      </c>
      <c r="N1560" t="s">
        <v>4048</v>
      </c>
      <c r="O1560">
        <v>4</v>
      </c>
      <c r="P1560">
        <v>2</v>
      </c>
      <c r="Q1560">
        <v>0</v>
      </c>
      <c r="R1560" t="s">
        <v>5281</v>
      </c>
      <c r="S1560" t="s">
        <v>4558</v>
      </c>
      <c r="T1560" t="s">
        <v>4559</v>
      </c>
      <c r="U1560" t="s">
        <v>4560</v>
      </c>
      <c r="V1560" s="2">
        <v>460</v>
      </c>
      <c r="W1560" t="s">
        <v>4655</v>
      </c>
      <c r="X1560" s="2">
        <v>0</v>
      </c>
      <c r="Y1560">
        <v>20</v>
      </c>
      <c r="Z1560" t="s">
        <v>4561</v>
      </c>
      <c r="AA1560" s="3">
        <v>0.14499540627002699</v>
      </c>
      <c r="AB1560" t="s">
        <v>11783</v>
      </c>
      <c r="AC1560" t="s">
        <v>4562</v>
      </c>
      <c r="AD1560" t="s">
        <v>11784</v>
      </c>
      <c r="AE1560" t="s">
        <v>4655</v>
      </c>
      <c r="AF1560" t="s">
        <v>4563</v>
      </c>
      <c r="AG1560" t="s">
        <v>4564</v>
      </c>
      <c r="AH1560">
        <v>89502</v>
      </c>
      <c r="AI1560" t="s">
        <v>4655</v>
      </c>
      <c r="AJ1560" t="s">
        <v>4655</v>
      </c>
      <c r="AK1560" t="s">
        <v>11785</v>
      </c>
      <c r="AL1560" s="13" t="s">
        <v>2257</v>
      </c>
      <c r="AM1560">
        <v>1</v>
      </c>
      <c r="AN1560" s="15" t="s">
        <v>4049</v>
      </c>
    </row>
    <row r="1561" spans="1:40" x14ac:dyDescent="0.3">
      <c r="A1561" s="10" t="str">
        <f>HYPERLINK("http://www.washoecounty.gov/assessor/cama/?parid=021-343-04&amp;CardNumber=1","021-343-04")</f>
        <v>021-343-04</v>
      </c>
      <c r="B1561" t="s">
        <v>4655</v>
      </c>
      <c r="C1561" t="s">
        <v>11786</v>
      </c>
      <c r="D1561" s="1">
        <v>40512</v>
      </c>
      <c r="E1561" s="2">
        <v>140000</v>
      </c>
      <c r="F1561" t="s">
        <v>4567</v>
      </c>
      <c r="G1561" s="17" t="str">
        <f>HYPERLINK("https://www.washoecounty.gov/assessor/cama/?command=sales&amp;parid=02134304","3947715")</f>
        <v>3947715</v>
      </c>
      <c r="H1561" t="s">
        <v>1724</v>
      </c>
      <c r="I1561">
        <v>1977</v>
      </c>
      <c r="J1561">
        <v>1977</v>
      </c>
      <c r="K1561" t="s">
        <v>4554</v>
      </c>
      <c r="L1561" t="s">
        <v>2170</v>
      </c>
      <c r="M1561" s="2">
        <v>2128</v>
      </c>
      <c r="N1561" t="s">
        <v>4048</v>
      </c>
      <c r="O1561">
        <v>4</v>
      </c>
      <c r="P1561">
        <v>3</v>
      </c>
      <c r="Q1561">
        <v>0</v>
      </c>
      <c r="R1561" t="s">
        <v>5281</v>
      </c>
      <c r="S1561" t="s">
        <v>4135</v>
      </c>
      <c r="T1561" t="s">
        <v>4559</v>
      </c>
      <c r="U1561" t="s">
        <v>4560</v>
      </c>
      <c r="V1561" s="2">
        <v>440</v>
      </c>
      <c r="W1561" t="s">
        <v>4655</v>
      </c>
      <c r="X1561" s="2">
        <v>0</v>
      </c>
      <c r="Y1561">
        <v>20</v>
      </c>
      <c r="Z1561" t="s">
        <v>4561</v>
      </c>
      <c r="AA1561" s="3">
        <v>0.20300734043121299</v>
      </c>
      <c r="AB1561" t="s">
        <v>11787</v>
      </c>
      <c r="AC1561" t="s">
        <v>4562</v>
      </c>
      <c r="AD1561" t="s">
        <v>11788</v>
      </c>
      <c r="AE1561" t="s">
        <v>4655</v>
      </c>
      <c r="AF1561" t="s">
        <v>4563</v>
      </c>
      <c r="AG1561" t="s">
        <v>4564</v>
      </c>
      <c r="AH1561">
        <v>89502</v>
      </c>
      <c r="AI1561" t="s">
        <v>11789</v>
      </c>
      <c r="AJ1561" t="s">
        <v>4655</v>
      </c>
      <c r="AK1561" t="s">
        <v>11790</v>
      </c>
      <c r="AL1561" s="13" t="s">
        <v>2257</v>
      </c>
      <c r="AM1561" s="14">
        <v>1</v>
      </c>
      <c r="AN1561" s="15" t="s">
        <v>4049</v>
      </c>
    </row>
    <row r="1562" spans="1:40" x14ac:dyDescent="0.3">
      <c r="A1562" s="10" t="str">
        <f>HYPERLINK("http://www.washoecounty.gov/assessor/cama/?parid=021-346-04&amp;CardNumber=1","021-346-04")</f>
        <v>021-346-04</v>
      </c>
      <c r="B1562" t="s">
        <v>4655</v>
      </c>
      <c r="C1562" t="s">
        <v>11791</v>
      </c>
      <c r="D1562" s="1">
        <v>40441</v>
      </c>
      <c r="E1562" s="2">
        <v>126900</v>
      </c>
      <c r="F1562" t="s">
        <v>4553</v>
      </c>
      <c r="G1562" s="17" t="str">
        <f>HYPERLINK("https://www.washoecounty.gov/assessor/cama/?command=sales&amp;parid=02134604","3924222")</f>
        <v>3924222</v>
      </c>
      <c r="H1562" t="s">
        <v>11792</v>
      </c>
      <c r="I1562">
        <v>1978</v>
      </c>
      <c r="J1562">
        <v>1978</v>
      </c>
      <c r="K1562" t="s">
        <v>4554</v>
      </c>
      <c r="L1562" t="s">
        <v>4555</v>
      </c>
      <c r="M1562" s="2">
        <v>1634</v>
      </c>
      <c r="N1562" t="s">
        <v>4048</v>
      </c>
      <c r="O1562">
        <v>3</v>
      </c>
      <c r="P1562">
        <v>2</v>
      </c>
      <c r="Q1562">
        <v>0</v>
      </c>
      <c r="R1562" t="s">
        <v>4557</v>
      </c>
      <c r="S1562" t="s">
        <v>4135</v>
      </c>
      <c r="T1562" t="s">
        <v>4559</v>
      </c>
      <c r="U1562" t="s">
        <v>4560</v>
      </c>
      <c r="V1562" s="2">
        <v>486</v>
      </c>
      <c r="W1562" t="s">
        <v>4655</v>
      </c>
      <c r="X1562" s="2">
        <v>0</v>
      </c>
      <c r="Y1562">
        <v>20</v>
      </c>
      <c r="Z1562" t="s">
        <v>4561</v>
      </c>
      <c r="AA1562" s="3">
        <v>0.15500459074974099</v>
      </c>
      <c r="AB1562" t="s">
        <v>11793</v>
      </c>
      <c r="AC1562" t="s">
        <v>4562</v>
      </c>
      <c r="AD1562" t="s">
        <v>11794</v>
      </c>
      <c r="AE1562" t="s">
        <v>4655</v>
      </c>
      <c r="AF1562" t="s">
        <v>4563</v>
      </c>
      <c r="AG1562" t="s">
        <v>4564</v>
      </c>
      <c r="AH1562">
        <v>89502</v>
      </c>
      <c r="AI1562" t="s">
        <v>4145</v>
      </c>
      <c r="AJ1562" t="s">
        <v>4655</v>
      </c>
      <c r="AK1562" t="s">
        <v>11795</v>
      </c>
      <c r="AL1562" s="13" t="s">
        <v>2255</v>
      </c>
      <c r="AM1562">
        <v>1</v>
      </c>
      <c r="AN1562" s="15" t="s">
        <v>4049</v>
      </c>
    </row>
    <row r="1563" spans="1:40" x14ac:dyDescent="0.3">
      <c r="A1563" s="10" t="str">
        <f>HYPERLINK("http://www.washoecounty.gov/assessor/cama/?parid=021-351-02&amp;CardNumber=1","021-351-02")</f>
        <v>021-351-02</v>
      </c>
      <c r="B1563" t="s">
        <v>4655</v>
      </c>
      <c r="C1563" t="s">
        <v>11796</v>
      </c>
      <c r="D1563" s="1">
        <v>40304</v>
      </c>
      <c r="E1563" s="2">
        <v>135000</v>
      </c>
      <c r="F1563" t="s">
        <v>4567</v>
      </c>
      <c r="G1563" s="17" t="str">
        <f>HYPERLINK("https://www.washoecounty.gov/assessor/cama/?command=sales&amp;parid=02135102","3878988")</f>
        <v>3878988</v>
      </c>
      <c r="H1563" t="s">
        <v>1869</v>
      </c>
      <c r="I1563">
        <v>1981</v>
      </c>
      <c r="J1563">
        <v>1981</v>
      </c>
      <c r="K1563" t="s">
        <v>4554</v>
      </c>
      <c r="L1563" t="s">
        <v>4555</v>
      </c>
      <c r="M1563" s="2">
        <v>1748</v>
      </c>
      <c r="N1563" t="s">
        <v>4048</v>
      </c>
      <c r="O1563">
        <v>3</v>
      </c>
      <c r="P1563">
        <v>2</v>
      </c>
      <c r="Q1563">
        <v>0</v>
      </c>
      <c r="R1563" t="s">
        <v>4557</v>
      </c>
      <c r="S1563" t="s">
        <v>4558</v>
      </c>
      <c r="T1563" t="s">
        <v>4559</v>
      </c>
      <c r="U1563" t="s">
        <v>4560</v>
      </c>
      <c r="V1563" s="2">
        <v>440</v>
      </c>
      <c r="W1563" t="s">
        <v>4655</v>
      </c>
      <c r="X1563" s="2">
        <v>0</v>
      </c>
      <c r="Y1563">
        <v>20</v>
      </c>
      <c r="Z1563" t="s">
        <v>4561</v>
      </c>
      <c r="AA1563" s="3">
        <v>0.16099633276462599</v>
      </c>
      <c r="AB1563" t="s">
        <v>11797</v>
      </c>
      <c r="AC1563" t="s">
        <v>4562</v>
      </c>
      <c r="AD1563" t="s">
        <v>11798</v>
      </c>
      <c r="AE1563" t="s">
        <v>4655</v>
      </c>
      <c r="AF1563" t="s">
        <v>4563</v>
      </c>
      <c r="AG1563" t="s">
        <v>4564</v>
      </c>
      <c r="AH1563">
        <v>89502</v>
      </c>
      <c r="AI1563" t="s">
        <v>4655</v>
      </c>
      <c r="AJ1563" t="s">
        <v>4655</v>
      </c>
      <c r="AK1563" t="s">
        <v>11799</v>
      </c>
      <c r="AL1563" s="13" t="s">
        <v>2257</v>
      </c>
      <c r="AM1563">
        <v>1</v>
      </c>
      <c r="AN1563" s="15" t="s">
        <v>4049</v>
      </c>
    </row>
    <row r="1564" spans="1:40" x14ac:dyDescent="0.3">
      <c r="A1564" s="10" t="str">
        <f>HYPERLINK("http://www.washoecounty.gov/assessor/cama/?parid=021-353-18&amp;CardNumber=1","021-353-18")</f>
        <v>021-353-18</v>
      </c>
      <c r="B1564" t="s">
        <v>4655</v>
      </c>
      <c r="C1564" t="s">
        <v>11800</v>
      </c>
      <c r="D1564" s="1">
        <v>40298</v>
      </c>
      <c r="E1564" s="2">
        <v>190000</v>
      </c>
      <c r="F1564" t="s">
        <v>4567</v>
      </c>
      <c r="G1564" s="17" t="str">
        <f>HYPERLINK("https://www.washoecounty.gov/assessor/cama/?command=sales&amp;parid=02135318","3877114")</f>
        <v>3877114</v>
      </c>
      <c r="H1564" t="s">
        <v>1718</v>
      </c>
      <c r="I1564">
        <v>1978</v>
      </c>
      <c r="J1564">
        <v>1978</v>
      </c>
      <c r="K1564" t="s">
        <v>4554</v>
      </c>
      <c r="L1564" t="s">
        <v>2170</v>
      </c>
      <c r="M1564" s="2">
        <v>2128</v>
      </c>
      <c r="N1564" t="s">
        <v>4048</v>
      </c>
      <c r="O1564">
        <v>4</v>
      </c>
      <c r="P1564">
        <v>3</v>
      </c>
      <c r="Q1564">
        <v>0</v>
      </c>
      <c r="R1564" t="s">
        <v>4557</v>
      </c>
      <c r="S1564" t="s">
        <v>4558</v>
      </c>
      <c r="T1564" t="s">
        <v>4559</v>
      </c>
      <c r="U1564" t="s">
        <v>4560</v>
      </c>
      <c r="V1564" s="2">
        <v>440</v>
      </c>
      <c r="W1564" t="s">
        <v>4655</v>
      </c>
      <c r="X1564" s="2">
        <v>0</v>
      </c>
      <c r="Y1564">
        <v>20</v>
      </c>
      <c r="Z1564" t="s">
        <v>4561</v>
      </c>
      <c r="AA1564" s="3">
        <v>0.14400826394558</v>
      </c>
      <c r="AB1564" t="s">
        <v>11801</v>
      </c>
      <c r="AC1564" t="s">
        <v>4562</v>
      </c>
      <c r="AD1564" t="s">
        <v>11800</v>
      </c>
      <c r="AE1564" t="s">
        <v>4655</v>
      </c>
      <c r="AF1564" t="s">
        <v>4563</v>
      </c>
      <c r="AG1564" t="s">
        <v>4564</v>
      </c>
      <c r="AH1564">
        <v>89502</v>
      </c>
      <c r="AI1564" t="s">
        <v>11802</v>
      </c>
      <c r="AJ1564" t="s">
        <v>4655</v>
      </c>
      <c r="AK1564" t="s">
        <v>11803</v>
      </c>
      <c r="AL1564" s="13" t="s">
        <v>2257</v>
      </c>
      <c r="AM1564" s="14">
        <v>1</v>
      </c>
      <c r="AN1564" s="15" t="s">
        <v>4049</v>
      </c>
    </row>
    <row r="1565" spans="1:40" x14ac:dyDescent="0.3">
      <c r="A1565" s="10" t="str">
        <f>HYPERLINK("http://www.washoecounty.gov/assessor/cama/?parid=021-354-08&amp;CardNumber=1","021-354-08")</f>
        <v>021-354-08</v>
      </c>
      <c r="B1565" t="s">
        <v>4655</v>
      </c>
      <c r="C1565" t="s">
        <v>11804</v>
      </c>
      <c r="D1565" s="1">
        <v>40463</v>
      </c>
      <c r="E1565" s="2">
        <v>105500</v>
      </c>
      <c r="F1565" t="s">
        <v>4553</v>
      </c>
      <c r="G1565" s="17" t="str">
        <f>HYPERLINK("https://www.washoecounty.gov/assessor/cama/?command=sales&amp;parid=02135408","3931888")</f>
        <v>3931888</v>
      </c>
      <c r="H1565" t="s">
        <v>11805</v>
      </c>
      <c r="I1565">
        <v>1979</v>
      </c>
      <c r="J1565">
        <v>1979</v>
      </c>
      <c r="K1565" t="s">
        <v>4554</v>
      </c>
      <c r="L1565" t="s">
        <v>2170</v>
      </c>
      <c r="M1565" s="2">
        <v>2128</v>
      </c>
      <c r="N1565" t="s">
        <v>4048</v>
      </c>
      <c r="O1565">
        <v>4</v>
      </c>
      <c r="P1565">
        <v>3</v>
      </c>
      <c r="Q1565">
        <v>0</v>
      </c>
      <c r="R1565" t="s">
        <v>5281</v>
      </c>
      <c r="S1565" t="s">
        <v>4558</v>
      </c>
      <c r="T1565" t="s">
        <v>4559</v>
      </c>
      <c r="U1565" t="s">
        <v>4560</v>
      </c>
      <c r="V1565" s="2">
        <v>440</v>
      </c>
      <c r="W1565" t="s">
        <v>4655</v>
      </c>
      <c r="X1565" s="2">
        <v>0</v>
      </c>
      <c r="Y1565">
        <v>20</v>
      </c>
      <c r="Z1565" t="s">
        <v>4561</v>
      </c>
      <c r="AA1565" s="3">
        <v>0.18700642883777599</v>
      </c>
      <c r="AB1565" t="s">
        <v>11806</v>
      </c>
      <c r="AC1565" t="s">
        <v>4562</v>
      </c>
      <c r="AD1565" t="s">
        <v>11807</v>
      </c>
      <c r="AE1565" t="s">
        <v>4655</v>
      </c>
      <c r="AF1565" t="s">
        <v>4563</v>
      </c>
      <c r="AG1565" t="s">
        <v>4564</v>
      </c>
      <c r="AH1565">
        <v>89502</v>
      </c>
      <c r="AI1565" t="s">
        <v>793</v>
      </c>
      <c r="AJ1565" t="s">
        <v>4655</v>
      </c>
      <c r="AK1565" t="s">
        <v>11808</v>
      </c>
      <c r="AL1565" s="13" t="s">
        <v>2257</v>
      </c>
      <c r="AM1565">
        <v>1</v>
      </c>
      <c r="AN1565" s="15" t="s">
        <v>4049</v>
      </c>
    </row>
    <row r="1566" spans="1:40" x14ac:dyDescent="0.3">
      <c r="A1566" s="10" t="str">
        <f>HYPERLINK("http://www.washoecounty.gov/assessor/cama/?parid=021-354-08&amp;CardNumber=1","021-354-08")</f>
        <v>021-354-08</v>
      </c>
      <c r="B1566" t="s">
        <v>4655</v>
      </c>
      <c r="C1566" t="s">
        <v>11804</v>
      </c>
      <c r="D1566" s="1">
        <v>40501</v>
      </c>
      <c r="E1566" s="2">
        <v>166000</v>
      </c>
      <c r="F1566" t="s">
        <v>4567</v>
      </c>
      <c r="G1566" s="17" t="str">
        <f>HYPERLINK("https://www.washoecounty.gov/assessor/cama/?command=sales&amp;parid=02135408","3945139")</f>
        <v>3945139</v>
      </c>
      <c r="H1566" t="s">
        <v>11805</v>
      </c>
      <c r="I1566">
        <v>1979</v>
      </c>
      <c r="J1566">
        <v>1979</v>
      </c>
      <c r="K1566" t="s">
        <v>4554</v>
      </c>
      <c r="L1566" t="s">
        <v>2170</v>
      </c>
      <c r="M1566" s="2">
        <v>2128</v>
      </c>
      <c r="N1566" t="s">
        <v>4048</v>
      </c>
      <c r="O1566">
        <v>4</v>
      </c>
      <c r="P1566">
        <v>3</v>
      </c>
      <c r="Q1566">
        <v>0</v>
      </c>
      <c r="R1566" t="s">
        <v>5281</v>
      </c>
      <c r="S1566" t="s">
        <v>4558</v>
      </c>
      <c r="T1566" t="s">
        <v>4559</v>
      </c>
      <c r="U1566" t="s">
        <v>4560</v>
      </c>
      <c r="V1566" s="2">
        <v>440</v>
      </c>
      <c r="W1566" t="s">
        <v>4655</v>
      </c>
      <c r="X1566" s="2">
        <v>0</v>
      </c>
      <c r="Y1566">
        <v>20</v>
      </c>
      <c r="Z1566" t="s">
        <v>4561</v>
      </c>
      <c r="AA1566" s="3">
        <v>0.18700642883777599</v>
      </c>
      <c r="AB1566" t="s">
        <v>11806</v>
      </c>
      <c r="AC1566" t="s">
        <v>4562</v>
      </c>
      <c r="AD1566" t="s">
        <v>11807</v>
      </c>
      <c r="AE1566" t="s">
        <v>4655</v>
      </c>
      <c r="AF1566" t="s">
        <v>4563</v>
      </c>
      <c r="AG1566" t="s">
        <v>4564</v>
      </c>
      <c r="AH1566">
        <v>89502</v>
      </c>
      <c r="AI1566" t="s">
        <v>793</v>
      </c>
      <c r="AJ1566" t="s">
        <v>4655</v>
      </c>
      <c r="AK1566" t="s">
        <v>11808</v>
      </c>
      <c r="AL1566" s="13" t="s">
        <v>2257</v>
      </c>
      <c r="AM1566">
        <v>1</v>
      </c>
      <c r="AN1566" s="15" t="s">
        <v>4049</v>
      </c>
    </row>
    <row r="1567" spans="1:40" x14ac:dyDescent="0.3">
      <c r="A1567" s="10" t="str">
        <f>HYPERLINK("http://www.washoecounty.gov/assessor/cama/?parid=021-355-11&amp;CardNumber=1","021-355-11")</f>
        <v>021-355-11</v>
      </c>
      <c r="B1567" t="s">
        <v>4655</v>
      </c>
      <c r="C1567" t="s">
        <v>11809</v>
      </c>
      <c r="D1567" s="1">
        <v>40449</v>
      </c>
      <c r="E1567" s="2">
        <v>160000</v>
      </c>
      <c r="F1567" t="s">
        <v>4553</v>
      </c>
      <c r="G1567" s="17" t="str">
        <f>HYPERLINK("https://www.washoecounty.gov/assessor/cama/?command=sales&amp;parid=02135511","3927068")</f>
        <v>3927068</v>
      </c>
      <c r="H1567" t="s">
        <v>293</v>
      </c>
      <c r="I1567">
        <v>1979</v>
      </c>
      <c r="J1567">
        <v>1979</v>
      </c>
      <c r="K1567" t="s">
        <v>4554</v>
      </c>
      <c r="L1567" t="s">
        <v>2170</v>
      </c>
      <c r="M1567" s="2">
        <v>2128</v>
      </c>
      <c r="N1567" t="s">
        <v>4048</v>
      </c>
      <c r="O1567">
        <v>4</v>
      </c>
      <c r="P1567">
        <v>3</v>
      </c>
      <c r="Q1567">
        <v>0</v>
      </c>
      <c r="R1567" t="s">
        <v>4557</v>
      </c>
      <c r="S1567" t="s">
        <v>4558</v>
      </c>
      <c r="T1567" t="s">
        <v>4559</v>
      </c>
      <c r="U1567" t="s">
        <v>4560</v>
      </c>
      <c r="V1567" s="2">
        <v>440</v>
      </c>
      <c r="W1567" t="s">
        <v>4655</v>
      </c>
      <c r="X1567" s="2">
        <v>0</v>
      </c>
      <c r="Y1567">
        <v>20</v>
      </c>
      <c r="Z1567" t="s">
        <v>4561</v>
      </c>
      <c r="AA1567" s="3">
        <v>0.169995412230492</v>
      </c>
      <c r="AB1567" t="s">
        <v>11810</v>
      </c>
      <c r="AC1567" t="s">
        <v>4562</v>
      </c>
      <c r="AD1567" t="s">
        <v>11811</v>
      </c>
      <c r="AE1567" t="s">
        <v>4655</v>
      </c>
      <c r="AF1567" t="s">
        <v>11812</v>
      </c>
      <c r="AG1567" t="s">
        <v>2109</v>
      </c>
      <c r="AH1567" t="s">
        <v>11813</v>
      </c>
      <c r="AI1567" t="s">
        <v>11814</v>
      </c>
      <c r="AJ1567" t="s">
        <v>4655</v>
      </c>
      <c r="AK1567" t="s">
        <v>11815</v>
      </c>
      <c r="AL1567" s="13" t="s">
        <v>2257</v>
      </c>
      <c r="AM1567" s="14">
        <v>1</v>
      </c>
      <c r="AN1567" s="15" t="s">
        <v>4049</v>
      </c>
    </row>
    <row r="1568" spans="1:40" x14ac:dyDescent="0.3">
      <c r="A1568" s="10" t="str">
        <f>HYPERLINK("http://www.washoecounty.gov/assessor/cama/?parid=021-362-01&amp;CardNumber=1","021-362-01")</f>
        <v>021-362-01</v>
      </c>
      <c r="B1568" t="s">
        <v>4655</v>
      </c>
      <c r="C1568" t="s">
        <v>11816</v>
      </c>
      <c r="D1568" s="1">
        <v>40263</v>
      </c>
      <c r="E1568" s="2">
        <v>174000</v>
      </c>
      <c r="F1568" t="s">
        <v>4553</v>
      </c>
      <c r="G1568" s="17" t="str">
        <f>HYPERLINK("https://www.washoecounty.gov/assessor/cama/?command=sales&amp;parid=02136201","3864509")</f>
        <v>3864509</v>
      </c>
      <c r="H1568" t="s">
        <v>2759</v>
      </c>
      <c r="I1568">
        <v>1978</v>
      </c>
      <c r="J1568">
        <v>1978</v>
      </c>
      <c r="K1568" t="s">
        <v>4554</v>
      </c>
      <c r="L1568" t="s">
        <v>4555</v>
      </c>
      <c r="M1568" s="2">
        <v>1910</v>
      </c>
      <c r="N1568" t="s">
        <v>4048</v>
      </c>
      <c r="O1568">
        <v>4</v>
      </c>
      <c r="P1568">
        <v>2</v>
      </c>
      <c r="Q1568">
        <v>0</v>
      </c>
      <c r="R1568" t="s">
        <v>4557</v>
      </c>
      <c r="S1568" t="s">
        <v>4558</v>
      </c>
      <c r="T1568" t="s">
        <v>4559</v>
      </c>
      <c r="U1568" t="s">
        <v>4560</v>
      </c>
      <c r="V1568" s="2">
        <v>460</v>
      </c>
      <c r="W1568" t="s">
        <v>4655</v>
      </c>
      <c r="X1568" s="2">
        <v>0</v>
      </c>
      <c r="Y1568">
        <v>20</v>
      </c>
      <c r="Z1568" t="s">
        <v>4561</v>
      </c>
      <c r="AA1568" s="3">
        <v>0.19699265062808999</v>
      </c>
      <c r="AB1568" t="s">
        <v>11817</v>
      </c>
      <c r="AC1568" t="s">
        <v>4562</v>
      </c>
      <c r="AD1568" t="s">
        <v>11816</v>
      </c>
      <c r="AE1568" t="s">
        <v>4655</v>
      </c>
      <c r="AF1568" t="s">
        <v>4563</v>
      </c>
      <c r="AG1568" t="s">
        <v>4564</v>
      </c>
      <c r="AH1568">
        <v>89502</v>
      </c>
      <c r="AI1568" t="s">
        <v>4903</v>
      </c>
      <c r="AJ1568" t="s">
        <v>4655</v>
      </c>
      <c r="AK1568" t="s">
        <v>11818</v>
      </c>
      <c r="AL1568" s="13" t="s">
        <v>2257</v>
      </c>
      <c r="AM1568">
        <v>1</v>
      </c>
      <c r="AN1568" s="15" t="s">
        <v>4049</v>
      </c>
    </row>
    <row r="1569" spans="1:40" x14ac:dyDescent="0.3">
      <c r="A1569" s="10" t="str">
        <f>HYPERLINK("http://www.washoecounty.gov/assessor/cama/?parid=021-362-03&amp;CardNumber=1","021-362-03")</f>
        <v>021-362-03</v>
      </c>
      <c r="B1569" t="s">
        <v>4655</v>
      </c>
      <c r="C1569" t="s">
        <v>11819</v>
      </c>
      <c r="D1569" s="1">
        <v>40297</v>
      </c>
      <c r="E1569" s="2">
        <v>160000</v>
      </c>
      <c r="F1569" t="s">
        <v>4567</v>
      </c>
      <c r="G1569" s="17" t="str">
        <f>HYPERLINK("https://www.washoecounty.gov/assessor/cama/?command=sales&amp;parid=02136203","3876030")</f>
        <v>3876030</v>
      </c>
      <c r="H1569" t="s">
        <v>2759</v>
      </c>
      <c r="I1569">
        <v>1978</v>
      </c>
      <c r="J1569">
        <v>1978</v>
      </c>
      <c r="K1569" t="s">
        <v>4554</v>
      </c>
      <c r="L1569" t="s">
        <v>2170</v>
      </c>
      <c r="M1569" s="2">
        <v>2128</v>
      </c>
      <c r="N1569" t="s">
        <v>4048</v>
      </c>
      <c r="O1569">
        <v>4</v>
      </c>
      <c r="P1569">
        <v>3</v>
      </c>
      <c r="Q1569">
        <v>0</v>
      </c>
      <c r="R1569" t="s">
        <v>5281</v>
      </c>
      <c r="S1569" t="s">
        <v>4558</v>
      </c>
      <c r="T1569" t="s">
        <v>4559</v>
      </c>
      <c r="U1569" t="s">
        <v>4560</v>
      </c>
      <c r="V1569" s="2">
        <v>440</v>
      </c>
      <c r="W1569" t="s">
        <v>4655</v>
      </c>
      <c r="X1569" s="2">
        <v>0</v>
      </c>
      <c r="Y1569">
        <v>20</v>
      </c>
      <c r="Z1569" t="s">
        <v>4561</v>
      </c>
      <c r="AA1569" s="3">
        <v>0.18099173903465299</v>
      </c>
      <c r="AB1569" t="s">
        <v>11820</v>
      </c>
      <c r="AC1569" t="s">
        <v>4575</v>
      </c>
      <c r="AD1569" t="s">
        <v>11821</v>
      </c>
      <c r="AE1569" t="s">
        <v>4655</v>
      </c>
      <c r="AF1569" t="s">
        <v>4563</v>
      </c>
      <c r="AG1569" t="s">
        <v>4564</v>
      </c>
      <c r="AH1569">
        <v>89511</v>
      </c>
      <c r="AI1569" t="s">
        <v>11822</v>
      </c>
      <c r="AJ1569" t="s">
        <v>4655</v>
      </c>
      <c r="AK1569" t="s">
        <v>11823</v>
      </c>
      <c r="AL1569" s="13" t="s">
        <v>2257</v>
      </c>
      <c r="AM1569" s="14">
        <v>1</v>
      </c>
      <c r="AN1569" s="15" t="s">
        <v>4049</v>
      </c>
    </row>
    <row r="1570" spans="1:40" x14ac:dyDescent="0.3">
      <c r="A1570" s="10" t="str">
        <f>HYPERLINK("http://www.washoecounty.gov/assessor/cama/?parid=021-372-11&amp;CardNumber=1","021-372-11")</f>
        <v>021-372-11</v>
      </c>
      <c r="B1570" t="s">
        <v>4655</v>
      </c>
      <c r="C1570" t="s">
        <v>11824</v>
      </c>
      <c r="D1570" s="1">
        <v>40252</v>
      </c>
      <c r="E1570" s="2">
        <v>155000</v>
      </c>
      <c r="F1570" t="s">
        <v>4567</v>
      </c>
      <c r="G1570" s="17" t="str">
        <f>HYPERLINK("https://www.washoecounty.gov/assessor/cama/?command=sales&amp;parid=02137211","3859781")</f>
        <v>3859781</v>
      </c>
      <c r="H1570" t="s">
        <v>11825</v>
      </c>
      <c r="I1570">
        <v>1978</v>
      </c>
      <c r="J1570">
        <v>1978</v>
      </c>
      <c r="K1570" t="s">
        <v>4554</v>
      </c>
      <c r="L1570" t="s">
        <v>4555</v>
      </c>
      <c r="M1570" s="2">
        <v>1634</v>
      </c>
      <c r="N1570" t="s">
        <v>4048</v>
      </c>
      <c r="O1570">
        <v>3</v>
      </c>
      <c r="P1570">
        <v>2</v>
      </c>
      <c r="Q1570">
        <v>0</v>
      </c>
      <c r="R1570" t="s">
        <v>4557</v>
      </c>
      <c r="S1570" t="s">
        <v>4558</v>
      </c>
      <c r="T1570" t="s">
        <v>4559</v>
      </c>
      <c r="U1570" t="s">
        <v>4560</v>
      </c>
      <c r="V1570" s="2">
        <v>486</v>
      </c>
      <c r="W1570" t="s">
        <v>4655</v>
      </c>
      <c r="X1570" s="2">
        <v>0</v>
      </c>
      <c r="Y1570">
        <v>20</v>
      </c>
      <c r="Z1570" t="s">
        <v>4561</v>
      </c>
      <c r="AA1570" s="3">
        <v>0.16799816489219666</v>
      </c>
      <c r="AB1570" t="s">
        <v>11826</v>
      </c>
      <c r="AC1570" t="s">
        <v>4562</v>
      </c>
      <c r="AD1570" t="s">
        <v>11824</v>
      </c>
      <c r="AE1570" t="s">
        <v>4655</v>
      </c>
      <c r="AF1570" t="s">
        <v>4563</v>
      </c>
      <c r="AG1570" t="s">
        <v>4564</v>
      </c>
      <c r="AH1570">
        <v>89502</v>
      </c>
      <c r="AI1570" t="s">
        <v>11827</v>
      </c>
      <c r="AJ1570" t="s">
        <v>4655</v>
      </c>
      <c r="AK1570" t="s">
        <v>11828</v>
      </c>
      <c r="AL1570" s="13" t="s">
        <v>2257</v>
      </c>
      <c r="AM1570">
        <v>1</v>
      </c>
      <c r="AN1570" s="15" t="s">
        <v>4049</v>
      </c>
    </row>
    <row r="1571" spans="1:40" x14ac:dyDescent="0.3">
      <c r="A1571" s="10" t="str">
        <f>HYPERLINK("http://www.washoecounty.gov/assessor/cama/?parid=021-372-16&amp;CardNumber=1","021-372-16")</f>
        <v>021-372-16</v>
      </c>
      <c r="B1571" t="s">
        <v>4655</v>
      </c>
      <c r="C1571" t="s">
        <v>11829</v>
      </c>
      <c r="D1571" s="1">
        <v>40506</v>
      </c>
      <c r="E1571" s="2">
        <v>152500</v>
      </c>
      <c r="F1571" t="s">
        <v>4553</v>
      </c>
      <c r="G1571" s="17" t="str">
        <f>HYPERLINK("https://www.washoecounty.gov/assessor/cama/?command=sales&amp;parid=02137216","3946840")</f>
        <v>3946840</v>
      </c>
      <c r="H1571" t="s">
        <v>4631</v>
      </c>
      <c r="I1571">
        <v>1978</v>
      </c>
      <c r="J1571">
        <v>1978</v>
      </c>
      <c r="K1571" t="s">
        <v>4554</v>
      </c>
      <c r="L1571" t="s">
        <v>4555</v>
      </c>
      <c r="M1571" s="2">
        <v>1910</v>
      </c>
      <c r="N1571" t="s">
        <v>4048</v>
      </c>
      <c r="O1571">
        <v>4</v>
      </c>
      <c r="P1571">
        <v>2</v>
      </c>
      <c r="Q1571">
        <v>0</v>
      </c>
      <c r="R1571" t="s">
        <v>4557</v>
      </c>
      <c r="S1571" t="s">
        <v>4558</v>
      </c>
      <c r="T1571" t="s">
        <v>4559</v>
      </c>
      <c r="U1571" t="s">
        <v>4560</v>
      </c>
      <c r="V1571" s="2">
        <v>460</v>
      </c>
      <c r="W1571" t="s">
        <v>4655</v>
      </c>
      <c r="X1571" s="2">
        <v>0</v>
      </c>
      <c r="Y1571">
        <v>20</v>
      </c>
      <c r="Z1571" t="s">
        <v>4561</v>
      </c>
      <c r="AA1571" s="3">
        <v>0.17100550234317799</v>
      </c>
      <c r="AB1571" t="s">
        <v>11830</v>
      </c>
      <c r="AC1571" t="s">
        <v>4562</v>
      </c>
      <c r="AD1571" t="s">
        <v>11829</v>
      </c>
      <c r="AE1571" t="s">
        <v>4655</v>
      </c>
      <c r="AF1571" t="s">
        <v>4563</v>
      </c>
      <c r="AG1571" t="s">
        <v>4564</v>
      </c>
      <c r="AH1571">
        <v>89502</v>
      </c>
      <c r="AI1571" t="s">
        <v>4655</v>
      </c>
      <c r="AJ1571" t="s">
        <v>4655</v>
      </c>
      <c r="AK1571" t="s">
        <v>11831</v>
      </c>
      <c r="AL1571" s="13" t="s">
        <v>2257</v>
      </c>
      <c r="AM1571" s="14">
        <v>1</v>
      </c>
      <c r="AN1571" s="15" t="s">
        <v>4049</v>
      </c>
    </row>
    <row r="1572" spans="1:40" x14ac:dyDescent="0.3">
      <c r="A1572" s="10" t="str">
        <f>HYPERLINK("http://www.washoecounty.gov/assessor/cama/?parid=021-372-19&amp;CardNumber=1","021-372-19")</f>
        <v>021-372-19</v>
      </c>
      <c r="B1572" t="s">
        <v>4655</v>
      </c>
      <c r="C1572" t="s">
        <v>11832</v>
      </c>
      <c r="D1572" s="1">
        <v>40259</v>
      </c>
      <c r="E1572" s="2">
        <v>153000</v>
      </c>
      <c r="F1572" t="s">
        <v>4553</v>
      </c>
      <c r="G1572" s="17" t="str">
        <f>HYPERLINK("https://www.washoecounty.gov/assessor/cama/?command=sales&amp;parid=02137219","3862226")</f>
        <v>3862226</v>
      </c>
      <c r="H1572" t="s">
        <v>4631</v>
      </c>
      <c r="I1572">
        <v>1978</v>
      </c>
      <c r="J1572">
        <v>1978</v>
      </c>
      <c r="K1572" t="s">
        <v>4554</v>
      </c>
      <c r="L1572" t="s">
        <v>2170</v>
      </c>
      <c r="M1572" s="2">
        <v>2128</v>
      </c>
      <c r="N1572" t="s">
        <v>4048</v>
      </c>
      <c r="O1572">
        <v>4</v>
      </c>
      <c r="P1572">
        <v>3</v>
      </c>
      <c r="Q1572">
        <v>0</v>
      </c>
      <c r="R1572" t="s">
        <v>5281</v>
      </c>
      <c r="S1572" t="s">
        <v>4558</v>
      </c>
      <c r="T1572" t="s">
        <v>4559</v>
      </c>
      <c r="U1572" t="s">
        <v>4560</v>
      </c>
      <c r="V1572" s="2">
        <v>440</v>
      </c>
      <c r="W1572" t="s">
        <v>4655</v>
      </c>
      <c r="X1572" s="2">
        <v>0</v>
      </c>
      <c r="Y1572">
        <v>20</v>
      </c>
      <c r="Z1572" t="s">
        <v>4561</v>
      </c>
      <c r="AA1572" s="3">
        <v>0.15199723839759827</v>
      </c>
      <c r="AB1572" t="s">
        <v>11833</v>
      </c>
      <c r="AC1572" t="s">
        <v>4575</v>
      </c>
      <c r="AD1572" t="s">
        <v>11832</v>
      </c>
      <c r="AE1572" t="s">
        <v>4655</v>
      </c>
      <c r="AF1572" t="s">
        <v>4563</v>
      </c>
      <c r="AG1572" t="s">
        <v>4564</v>
      </c>
      <c r="AH1572">
        <v>89502</v>
      </c>
      <c r="AI1572" t="s">
        <v>4045</v>
      </c>
      <c r="AJ1572" t="s">
        <v>4655</v>
      </c>
      <c r="AK1572" t="s">
        <v>11834</v>
      </c>
      <c r="AL1572" s="13" t="s">
        <v>2257</v>
      </c>
      <c r="AM1572">
        <v>1</v>
      </c>
      <c r="AN1572" s="15" t="s">
        <v>4049</v>
      </c>
    </row>
    <row r="1573" spans="1:40" x14ac:dyDescent="0.3">
      <c r="A1573" s="10" t="str">
        <f>HYPERLINK("http://www.washoecounty.gov/assessor/cama/?parid=021-381-08&amp;CardNumber=1","021-381-08")</f>
        <v>021-381-08</v>
      </c>
      <c r="B1573" t="s">
        <v>4655</v>
      </c>
      <c r="C1573" t="s">
        <v>11835</v>
      </c>
      <c r="D1573" s="1">
        <v>40214</v>
      </c>
      <c r="E1573" s="2">
        <v>140000</v>
      </c>
      <c r="F1573" t="s">
        <v>4553</v>
      </c>
      <c r="G1573" s="17" t="str">
        <f>HYPERLINK("https://www.washoecounty.gov/assessor/cama/?command=sales&amp;parid=02138108","3846621")</f>
        <v>3846621</v>
      </c>
      <c r="H1573" t="s">
        <v>11836</v>
      </c>
      <c r="I1573">
        <v>1981</v>
      </c>
      <c r="J1573">
        <v>1981</v>
      </c>
      <c r="K1573" t="s">
        <v>4554</v>
      </c>
      <c r="L1573" t="s">
        <v>4555</v>
      </c>
      <c r="M1573" s="2">
        <v>1454</v>
      </c>
      <c r="N1573" t="s">
        <v>4048</v>
      </c>
      <c r="O1573">
        <v>3</v>
      </c>
      <c r="P1573">
        <v>2</v>
      </c>
      <c r="Q1573">
        <v>0</v>
      </c>
      <c r="R1573" t="s">
        <v>4557</v>
      </c>
      <c r="S1573" t="s">
        <v>4558</v>
      </c>
      <c r="T1573" t="s">
        <v>4559</v>
      </c>
      <c r="U1573" t="s">
        <v>4560</v>
      </c>
      <c r="V1573" s="2">
        <v>462</v>
      </c>
      <c r="W1573" t="s">
        <v>4655</v>
      </c>
      <c r="X1573" s="2">
        <v>0</v>
      </c>
      <c r="Y1573">
        <v>20</v>
      </c>
      <c r="Z1573" t="s">
        <v>4561</v>
      </c>
      <c r="AA1573" s="3">
        <v>0.14201101660728499</v>
      </c>
      <c r="AB1573" t="s">
        <v>11837</v>
      </c>
      <c r="AC1573" t="s">
        <v>4575</v>
      </c>
      <c r="AD1573" t="s">
        <v>11835</v>
      </c>
      <c r="AE1573" t="s">
        <v>4655</v>
      </c>
      <c r="AF1573" t="s">
        <v>4563</v>
      </c>
      <c r="AG1573" t="s">
        <v>4564</v>
      </c>
      <c r="AH1573">
        <v>89502</v>
      </c>
      <c r="AI1573" t="s">
        <v>4655</v>
      </c>
      <c r="AJ1573" t="s">
        <v>4655</v>
      </c>
      <c r="AK1573" t="s">
        <v>11838</v>
      </c>
      <c r="AL1573" s="13" t="s">
        <v>2257</v>
      </c>
      <c r="AM1573">
        <v>1</v>
      </c>
      <c r="AN1573" s="15" t="s">
        <v>4049</v>
      </c>
    </row>
    <row r="1574" spans="1:40" x14ac:dyDescent="0.3">
      <c r="A1574" s="10" t="str">
        <f>HYPERLINK("http://www.washoecounty.gov/assessor/cama/?parid=021-381-09&amp;CardNumber=1","021-381-09")</f>
        <v>021-381-09</v>
      </c>
      <c r="B1574" t="s">
        <v>4655</v>
      </c>
      <c r="C1574" t="s">
        <v>11839</v>
      </c>
      <c r="D1574" s="1">
        <v>40344</v>
      </c>
      <c r="E1574" s="2">
        <v>149500</v>
      </c>
      <c r="F1574" t="s">
        <v>4553</v>
      </c>
      <c r="G1574" s="17" t="str">
        <f>HYPERLINK("https://www.washoecounty.gov/assessor/cama/?command=sales&amp;parid=02138109","3891999")</f>
        <v>3891999</v>
      </c>
      <c r="H1574" t="s">
        <v>2238</v>
      </c>
      <c r="I1574">
        <v>1981</v>
      </c>
      <c r="J1574">
        <v>1981</v>
      </c>
      <c r="K1574" t="s">
        <v>4554</v>
      </c>
      <c r="L1574" t="s">
        <v>4555</v>
      </c>
      <c r="M1574" s="2">
        <v>1233</v>
      </c>
      <c r="N1574" t="s">
        <v>4048</v>
      </c>
      <c r="O1574">
        <v>3</v>
      </c>
      <c r="P1574">
        <v>2</v>
      </c>
      <c r="Q1574">
        <v>0</v>
      </c>
      <c r="R1574" t="s">
        <v>4557</v>
      </c>
      <c r="S1574" t="s">
        <v>4558</v>
      </c>
      <c r="T1574" t="s">
        <v>4559</v>
      </c>
      <c r="U1574" t="s">
        <v>4655</v>
      </c>
      <c r="V1574" s="2">
        <v>0</v>
      </c>
      <c r="W1574" t="s">
        <v>4655</v>
      </c>
      <c r="X1574" s="2">
        <v>0</v>
      </c>
      <c r="Y1574">
        <v>20</v>
      </c>
      <c r="Z1574" t="s">
        <v>4561</v>
      </c>
      <c r="AA1574" s="3">
        <v>0.14201101660728499</v>
      </c>
      <c r="AB1574" t="s">
        <v>11840</v>
      </c>
      <c r="AC1574" t="s">
        <v>4562</v>
      </c>
      <c r="AD1574" t="s">
        <v>11841</v>
      </c>
      <c r="AE1574" t="s">
        <v>4655</v>
      </c>
      <c r="AF1574" t="s">
        <v>4563</v>
      </c>
      <c r="AG1574" t="s">
        <v>4564</v>
      </c>
      <c r="AH1574">
        <v>89502</v>
      </c>
      <c r="AI1574" t="s">
        <v>359</v>
      </c>
      <c r="AJ1574" t="s">
        <v>4655</v>
      </c>
      <c r="AK1574" t="s">
        <v>11842</v>
      </c>
      <c r="AL1574" s="13" t="s">
        <v>2257</v>
      </c>
      <c r="AM1574" s="14">
        <v>1</v>
      </c>
      <c r="AN1574" s="15" t="s">
        <v>4049</v>
      </c>
    </row>
    <row r="1575" spans="1:40" x14ac:dyDescent="0.3">
      <c r="A1575" s="10" t="str">
        <f>HYPERLINK("http://www.washoecounty.gov/assessor/cama/?parid=021-381-12&amp;CardNumber=1","021-381-12")</f>
        <v>021-381-12</v>
      </c>
      <c r="B1575" t="s">
        <v>4655</v>
      </c>
      <c r="C1575" t="s">
        <v>11843</v>
      </c>
      <c r="D1575" s="1">
        <v>40415</v>
      </c>
      <c r="E1575" s="2">
        <v>180000</v>
      </c>
      <c r="F1575" t="s">
        <v>4553</v>
      </c>
      <c r="G1575" s="17" t="str">
        <f>HYPERLINK("https://www.washoecounty.gov/assessor/cama/?command=sales&amp;parid=02138112","3915491")</f>
        <v>3915491</v>
      </c>
      <c r="H1575" t="s">
        <v>2238</v>
      </c>
      <c r="I1575">
        <v>1981</v>
      </c>
      <c r="J1575">
        <v>1981</v>
      </c>
      <c r="K1575" t="s">
        <v>4554</v>
      </c>
      <c r="L1575" t="s">
        <v>3974</v>
      </c>
      <c r="M1575" s="2">
        <v>2216</v>
      </c>
      <c r="N1575" t="s">
        <v>4048</v>
      </c>
      <c r="O1575">
        <v>4</v>
      </c>
      <c r="P1575">
        <v>2</v>
      </c>
      <c r="Q1575">
        <v>1</v>
      </c>
      <c r="R1575" t="s">
        <v>5281</v>
      </c>
      <c r="S1575" t="s">
        <v>4558</v>
      </c>
      <c r="T1575" t="s">
        <v>4559</v>
      </c>
      <c r="U1575" t="s">
        <v>4560</v>
      </c>
      <c r="V1575" s="2">
        <v>456</v>
      </c>
      <c r="W1575" t="s">
        <v>4655</v>
      </c>
      <c r="X1575" s="2">
        <v>0</v>
      </c>
      <c r="Y1575">
        <v>20</v>
      </c>
      <c r="Z1575" t="s">
        <v>4561</v>
      </c>
      <c r="AA1575" s="3">
        <v>0.18399907648563399</v>
      </c>
      <c r="AB1575" t="s">
        <v>11844</v>
      </c>
      <c r="AC1575" t="s">
        <v>4562</v>
      </c>
      <c r="AD1575" t="s">
        <v>11845</v>
      </c>
      <c r="AE1575" t="s">
        <v>4655</v>
      </c>
      <c r="AF1575" t="s">
        <v>4563</v>
      </c>
      <c r="AG1575" t="s">
        <v>4564</v>
      </c>
      <c r="AH1575">
        <v>89502</v>
      </c>
      <c r="AI1575" t="s">
        <v>4565</v>
      </c>
      <c r="AJ1575" t="s">
        <v>4655</v>
      </c>
      <c r="AK1575" t="s">
        <v>11846</v>
      </c>
      <c r="AL1575" s="13" t="s">
        <v>2257</v>
      </c>
      <c r="AM1575">
        <v>1</v>
      </c>
      <c r="AN1575" s="15" t="s">
        <v>4049</v>
      </c>
    </row>
    <row r="1576" spans="1:40" x14ac:dyDescent="0.3">
      <c r="A1576" s="10" t="str">
        <f>HYPERLINK("http://www.washoecounty.gov/assessor/cama/?parid=021-382-01&amp;CardNumber=1","021-382-01")</f>
        <v>021-382-01</v>
      </c>
      <c r="B1576" t="s">
        <v>4655</v>
      </c>
      <c r="C1576" t="s">
        <v>11847</v>
      </c>
      <c r="D1576" s="1">
        <v>40205</v>
      </c>
      <c r="E1576" s="2">
        <v>135000</v>
      </c>
      <c r="F1576" t="s">
        <v>4567</v>
      </c>
      <c r="G1576" s="17" t="str">
        <f>HYPERLINK("https://www.washoecounty.gov/assessor/cama/?command=sales&amp;parid=02138201","3843118")</f>
        <v>3843118</v>
      </c>
      <c r="H1576" t="s">
        <v>2238</v>
      </c>
      <c r="I1576">
        <v>1980</v>
      </c>
      <c r="J1576">
        <v>1980</v>
      </c>
      <c r="K1576" t="s">
        <v>4554</v>
      </c>
      <c r="L1576" t="s">
        <v>4555</v>
      </c>
      <c r="M1576" s="2">
        <v>1459</v>
      </c>
      <c r="N1576" t="s">
        <v>4048</v>
      </c>
      <c r="O1576">
        <v>3</v>
      </c>
      <c r="P1576">
        <v>2</v>
      </c>
      <c r="Q1576">
        <v>0</v>
      </c>
      <c r="R1576" t="s">
        <v>4557</v>
      </c>
      <c r="S1576" t="s">
        <v>4558</v>
      </c>
      <c r="T1576" t="s">
        <v>4559</v>
      </c>
      <c r="U1576" t="s">
        <v>4560</v>
      </c>
      <c r="V1576" s="2">
        <v>462</v>
      </c>
      <c r="W1576" t="s">
        <v>4655</v>
      </c>
      <c r="X1576" s="2">
        <v>0</v>
      </c>
      <c r="Y1576">
        <v>20</v>
      </c>
      <c r="Z1576" t="s">
        <v>4561</v>
      </c>
      <c r="AA1576" s="3">
        <v>0.16499081254005399</v>
      </c>
      <c r="AB1576" t="s">
        <v>11848</v>
      </c>
      <c r="AC1576" t="s">
        <v>4562</v>
      </c>
      <c r="AD1576" t="s">
        <v>11847</v>
      </c>
      <c r="AE1576" t="s">
        <v>4655</v>
      </c>
      <c r="AF1576" t="s">
        <v>4563</v>
      </c>
      <c r="AG1576" t="s">
        <v>4564</v>
      </c>
      <c r="AH1576">
        <v>89502</v>
      </c>
      <c r="AI1576" t="s">
        <v>11849</v>
      </c>
      <c r="AJ1576" t="s">
        <v>4655</v>
      </c>
      <c r="AK1576" t="s">
        <v>11850</v>
      </c>
      <c r="AL1576" s="13" t="s">
        <v>2257</v>
      </c>
      <c r="AM1576">
        <v>1</v>
      </c>
      <c r="AN1576" s="15" t="s">
        <v>4049</v>
      </c>
    </row>
    <row r="1577" spans="1:40" x14ac:dyDescent="0.3">
      <c r="A1577" s="10" t="str">
        <f>HYPERLINK("http://www.washoecounty.gov/assessor/cama/?parid=021-383-06&amp;CardNumber=1","021-383-06")</f>
        <v>021-383-06</v>
      </c>
      <c r="B1577" t="s">
        <v>4655</v>
      </c>
      <c r="C1577" t="s">
        <v>11851</v>
      </c>
      <c r="D1577" s="1">
        <v>40511</v>
      </c>
      <c r="E1577" s="2">
        <v>127000</v>
      </c>
      <c r="F1577" t="s">
        <v>4553</v>
      </c>
      <c r="G1577" s="17" t="str">
        <f>HYPERLINK("https://www.washoecounty.gov/assessor/cama/?command=sales&amp;parid=02138306","3947334")</f>
        <v>3947334</v>
      </c>
      <c r="H1577" t="s">
        <v>2238</v>
      </c>
      <c r="I1577">
        <v>1981</v>
      </c>
      <c r="J1577">
        <v>1981</v>
      </c>
      <c r="K1577" t="s">
        <v>4554</v>
      </c>
      <c r="L1577" t="s">
        <v>4555</v>
      </c>
      <c r="M1577" s="2">
        <v>1444</v>
      </c>
      <c r="N1577" t="s">
        <v>4048</v>
      </c>
      <c r="O1577">
        <v>3</v>
      </c>
      <c r="P1577">
        <v>2</v>
      </c>
      <c r="Q1577">
        <v>0</v>
      </c>
      <c r="R1577" t="s">
        <v>5281</v>
      </c>
      <c r="S1577" t="s">
        <v>4898</v>
      </c>
      <c r="T1577" t="s">
        <v>4559</v>
      </c>
      <c r="U1577" t="s">
        <v>4560</v>
      </c>
      <c r="V1577" s="2">
        <v>419</v>
      </c>
      <c r="W1577" t="s">
        <v>4655</v>
      </c>
      <c r="X1577" s="2">
        <v>0</v>
      </c>
      <c r="Y1577">
        <v>20</v>
      </c>
      <c r="Z1577" t="s">
        <v>4561</v>
      </c>
      <c r="AA1577" s="3">
        <v>0.15500459074974099</v>
      </c>
      <c r="AB1577" t="s">
        <v>11852</v>
      </c>
      <c r="AC1577" t="s">
        <v>4562</v>
      </c>
      <c r="AD1577" t="s">
        <v>11851</v>
      </c>
      <c r="AE1577" t="s">
        <v>4655</v>
      </c>
      <c r="AF1577" t="s">
        <v>4563</v>
      </c>
      <c r="AG1577" t="s">
        <v>4564</v>
      </c>
      <c r="AH1577">
        <v>89502</v>
      </c>
      <c r="AI1577" t="s">
        <v>1602</v>
      </c>
      <c r="AJ1577" t="s">
        <v>4655</v>
      </c>
      <c r="AK1577" t="s">
        <v>11853</v>
      </c>
      <c r="AL1577" s="13" t="s">
        <v>2257</v>
      </c>
      <c r="AM1577">
        <v>1</v>
      </c>
      <c r="AN1577" s="15" t="s">
        <v>4049</v>
      </c>
    </row>
    <row r="1578" spans="1:40" x14ac:dyDescent="0.3">
      <c r="A1578" s="10" t="str">
        <f>HYPERLINK("http://www.washoecounty.gov/assessor/cama/?parid=021-383-19&amp;CardNumber=1","021-383-19")</f>
        <v>021-383-19</v>
      </c>
      <c r="B1578" t="s">
        <v>4655</v>
      </c>
      <c r="C1578" t="s">
        <v>11854</v>
      </c>
      <c r="D1578" s="1">
        <v>40197</v>
      </c>
      <c r="E1578" s="2">
        <v>165000</v>
      </c>
      <c r="F1578" t="s">
        <v>4553</v>
      </c>
      <c r="G1578" s="17" t="str">
        <f>HYPERLINK("https://www.washoecounty.gov/assessor/cama/?command=sales&amp;parid=02138319","3840543")</f>
        <v>3840543</v>
      </c>
      <c r="H1578" t="s">
        <v>2238</v>
      </c>
      <c r="I1578">
        <v>1981</v>
      </c>
      <c r="J1578">
        <v>1981</v>
      </c>
      <c r="K1578" t="s">
        <v>4554</v>
      </c>
      <c r="L1578" t="s">
        <v>4555</v>
      </c>
      <c r="M1578" s="2">
        <v>1233</v>
      </c>
      <c r="N1578" t="s">
        <v>4048</v>
      </c>
      <c r="O1578">
        <v>3</v>
      </c>
      <c r="P1578">
        <v>2</v>
      </c>
      <c r="Q1578">
        <v>0</v>
      </c>
      <c r="R1578" t="s">
        <v>5281</v>
      </c>
      <c r="S1578" t="s">
        <v>4898</v>
      </c>
      <c r="T1578" t="s">
        <v>4559</v>
      </c>
      <c r="U1578" t="s">
        <v>4560</v>
      </c>
      <c r="V1578" s="2">
        <v>489</v>
      </c>
      <c r="W1578" t="s">
        <v>4655</v>
      </c>
      <c r="X1578" s="2">
        <v>0</v>
      </c>
      <c r="Y1578">
        <v>20</v>
      </c>
      <c r="Z1578" t="s">
        <v>4561</v>
      </c>
      <c r="AA1578" s="3">
        <v>0.28799358010292098</v>
      </c>
      <c r="AB1578" t="s">
        <v>11855</v>
      </c>
      <c r="AC1578" t="s">
        <v>4562</v>
      </c>
      <c r="AD1578" t="s">
        <v>11856</v>
      </c>
      <c r="AE1578" t="s">
        <v>4655</v>
      </c>
      <c r="AF1578" t="s">
        <v>4563</v>
      </c>
      <c r="AG1578" t="s">
        <v>4564</v>
      </c>
      <c r="AH1578">
        <v>89502</v>
      </c>
      <c r="AI1578" t="s">
        <v>4565</v>
      </c>
      <c r="AJ1578" t="s">
        <v>4655</v>
      </c>
      <c r="AK1578" t="s">
        <v>11857</v>
      </c>
      <c r="AL1578" s="13" t="s">
        <v>2257</v>
      </c>
      <c r="AM1578" s="14">
        <v>1</v>
      </c>
      <c r="AN1578" s="15" t="s">
        <v>4049</v>
      </c>
    </row>
    <row r="1579" spans="1:40" x14ac:dyDescent="0.3">
      <c r="A1579" s="10" t="str">
        <f>HYPERLINK("http://www.washoecounty.gov/assessor/cama/?parid=021-383-20&amp;CardNumber=1","021-383-20")</f>
        <v>021-383-20</v>
      </c>
      <c r="B1579" t="s">
        <v>4655</v>
      </c>
      <c r="C1579" t="s">
        <v>11858</v>
      </c>
      <c r="D1579" s="1">
        <v>40235</v>
      </c>
      <c r="E1579" s="2">
        <v>155000</v>
      </c>
      <c r="F1579" t="s">
        <v>4553</v>
      </c>
      <c r="G1579" s="17" t="str">
        <f>HYPERLINK("https://www.washoecounty.gov/assessor/cama/?command=sales&amp;parid=02138320","3852995")</f>
        <v>3852995</v>
      </c>
      <c r="H1579" t="s">
        <v>2238</v>
      </c>
      <c r="I1579">
        <v>1981</v>
      </c>
      <c r="J1579">
        <v>1981</v>
      </c>
      <c r="K1579" t="s">
        <v>4554</v>
      </c>
      <c r="L1579" t="s">
        <v>4555</v>
      </c>
      <c r="M1579" s="2">
        <v>1373</v>
      </c>
      <c r="N1579" t="s">
        <v>4048</v>
      </c>
      <c r="O1579">
        <v>4</v>
      </c>
      <c r="P1579">
        <v>2</v>
      </c>
      <c r="Q1579">
        <v>0</v>
      </c>
      <c r="R1579" t="s">
        <v>5281</v>
      </c>
      <c r="S1579" t="s">
        <v>4558</v>
      </c>
      <c r="T1579" t="s">
        <v>4559</v>
      </c>
      <c r="U1579" t="s">
        <v>4560</v>
      </c>
      <c r="V1579" s="2">
        <v>440</v>
      </c>
      <c r="W1579" t="s">
        <v>4655</v>
      </c>
      <c r="X1579" s="2">
        <v>0</v>
      </c>
      <c r="Y1579">
        <v>20</v>
      </c>
      <c r="Z1579" t="s">
        <v>4561</v>
      </c>
      <c r="AA1579" s="3">
        <v>0.14499540627002699</v>
      </c>
      <c r="AB1579" t="s">
        <v>11859</v>
      </c>
      <c r="AC1579" t="s">
        <v>4562</v>
      </c>
      <c r="AD1579" t="s">
        <v>11858</v>
      </c>
      <c r="AE1579" t="s">
        <v>4655</v>
      </c>
      <c r="AF1579" t="s">
        <v>4563</v>
      </c>
      <c r="AG1579" t="s">
        <v>4564</v>
      </c>
      <c r="AH1579">
        <v>89502</v>
      </c>
      <c r="AI1579" t="s">
        <v>6542</v>
      </c>
      <c r="AJ1579" t="s">
        <v>4655</v>
      </c>
      <c r="AK1579" t="s">
        <v>11860</v>
      </c>
      <c r="AL1579" s="13" t="s">
        <v>2257</v>
      </c>
      <c r="AM1579" s="14">
        <v>1</v>
      </c>
      <c r="AN1579" s="15" t="s">
        <v>4049</v>
      </c>
    </row>
    <row r="1580" spans="1:40" x14ac:dyDescent="0.3">
      <c r="A1580" s="10" t="str">
        <f>HYPERLINK("http://www.washoecounty.gov/assessor/cama/?parid=021-392-03&amp;CardNumber=1","021-392-03")</f>
        <v>021-392-03</v>
      </c>
      <c r="B1580" t="s">
        <v>4655</v>
      </c>
      <c r="C1580" t="s">
        <v>11861</v>
      </c>
      <c r="D1580" s="1">
        <v>40407</v>
      </c>
      <c r="E1580" s="2">
        <v>95000</v>
      </c>
      <c r="F1580" t="s">
        <v>4553</v>
      </c>
      <c r="G1580" s="17" t="str">
        <f>HYPERLINK("https://www.washoecounty.gov/assessor/cama/?command=sales&amp;parid=02139203","3912688")</f>
        <v>3912688</v>
      </c>
      <c r="H1580" t="s">
        <v>2238</v>
      </c>
      <c r="I1580">
        <v>1980</v>
      </c>
      <c r="J1580">
        <v>1980</v>
      </c>
      <c r="K1580" t="s">
        <v>4554</v>
      </c>
      <c r="L1580" t="s">
        <v>4555</v>
      </c>
      <c r="M1580" s="2">
        <v>1373</v>
      </c>
      <c r="N1580" t="s">
        <v>4048</v>
      </c>
      <c r="O1580">
        <v>4</v>
      </c>
      <c r="P1580">
        <v>2</v>
      </c>
      <c r="Q1580">
        <v>0</v>
      </c>
      <c r="R1580" t="s">
        <v>4557</v>
      </c>
      <c r="S1580" t="s">
        <v>4558</v>
      </c>
      <c r="T1580" t="s">
        <v>4559</v>
      </c>
      <c r="U1580" t="s">
        <v>4560</v>
      </c>
      <c r="V1580" s="2">
        <v>440</v>
      </c>
      <c r="W1580" t="s">
        <v>4655</v>
      </c>
      <c r="X1580" s="2">
        <v>0</v>
      </c>
      <c r="Y1580">
        <v>20</v>
      </c>
      <c r="Z1580" t="s">
        <v>4561</v>
      </c>
      <c r="AA1580" s="3">
        <v>0.15199723839759827</v>
      </c>
      <c r="AB1580" t="s">
        <v>11862</v>
      </c>
      <c r="AC1580" t="s">
        <v>4562</v>
      </c>
      <c r="AD1580" t="s">
        <v>11863</v>
      </c>
      <c r="AE1580" t="s">
        <v>4655</v>
      </c>
      <c r="AF1580" t="s">
        <v>4563</v>
      </c>
      <c r="AG1580" t="s">
        <v>4564</v>
      </c>
      <c r="AH1580">
        <v>89502</v>
      </c>
      <c r="AI1580" t="s">
        <v>3282</v>
      </c>
      <c r="AJ1580" t="s">
        <v>4655</v>
      </c>
      <c r="AK1580" t="s">
        <v>11864</v>
      </c>
      <c r="AL1580" s="13" t="s">
        <v>2257</v>
      </c>
      <c r="AM1580" s="14">
        <v>1</v>
      </c>
      <c r="AN1580" s="15" t="s">
        <v>4049</v>
      </c>
    </row>
    <row r="1581" spans="1:40" x14ac:dyDescent="0.3">
      <c r="A1581" s="10" t="str">
        <f>HYPERLINK("http://www.washoecounty.gov/assessor/cama/?parid=021-392-03&amp;CardNumber=1","021-392-03")</f>
        <v>021-392-03</v>
      </c>
      <c r="B1581" t="s">
        <v>4655</v>
      </c>
      <c r="C1581" t="s">
        <v>11861</v>
      </c>
      <c r="D1581" s="1">
        <v>40445</v>
      </c>
      <c r="E1581" s="2">
        <v>143000</v>
      </c>
      <c r="F1581" t="s">
        <v>4567</v>
      </c>
      <c r="G1581" s="17" t="str">
        <f>HYPERLINK("https://www.washoecounty.gov/assessor/cama/?command=sales&amp;parid=02139203","3926114")</f>
        <v>3926114</v>
      </c>
      <c r="H1581" t="s">
        <v>2238</v>
      </c>
      <c r="I1581">
        <v>1980</v>
      </c>
      <c r="J1581">
        <v>1980</v>
      </c>
      <c r="K1581" t="s">
        <v>4554</v>
      </c>
      <c r="L1581" t="s">
        <v>4555</v>
      </c>
      <c r="M1581" s="2">
        <v>1373</v>
      </c>
      <c r="N1581" t="s">
        <v>4048</v>
      </c>
      <c r="O1581">
        <v>4</v>
      </c>
      <c r="P1581">
        <v>2</v>
      </c>
      <c r="Q1581">
        <v>0</v>
      </c>
      <c r="R1581" t="s">
        <v>4557</v>
      </c>
      <c r="S1581" t="s">
        <v>4558</v>
      </c>
      <c r="T1581" t="s">
        <v>4559</v>
      </c>
      <c r="U1581" t="s">
        <v>4560</v>
      </c>
      <c r="V1581" s="2">
        <v>440</v>
      </c>
      <c r="W1581" t="s">
        <v>4655</v>
      </c>
      <c r="X1581" s="2">
        <v>0</v>
      </c>
      <c r="Y1581">
        <v>20</v>
      </c>
      <c r="Z1581" t="s">
        <v>4561</v>
      </c>
      <c r="AA1581" s="3">
        <v>0.15199723839759827</v>
      </c>
      <c r="AB1581" t="s">
        <v>11862</v>
      </c>
      <c r="AC1581" t="s">
        <v>4562</v>
      </c>
      <c r="AD1581" t="s">
        <v>11863</v>
      </c>
      <c r="AE1581" t="s">
        <v>4655</v>
      </c>
      <c r="AF1581" t="s">
        <v>4563</v>
      </c>
      <c r="AG1581" t="s">
        <v>4564</v>
      </c>
      <c r="AH1581">
        <v>89502</v>
      </c>
      <c r="AI1581" t="s">
        <v>3282</v>
      </c>
      <c r="AJ1581" t="s">
        <v>4655</v>
      </c>
      <c r="AK1581" t="s">
        <v>11864</v>
      </c>
      <c r="AL1581" s="13" t="s">
        <v>2257</v>
      </c>
      <c r="AM1581">
        <v>1</v>
      </c>
      <c r="AN1581" s="15" t="s">
        <v>4049</v>
      </c>
    </row>
    <row r="1582" spans="1:40" x14ac:dyDescent="0.3">
      <c r="A1582" s="10" t="str">
        <f>HYPERLINK("http://www.washoecounty.gov/assessor/cama/?parid=021-395-13&amp;CardNumber=1","021-395-13")</f>
        <v>021-395-13</v>
      </c>
      <c r="B1582" t="s">
        <v>4655</v>
      </c>
      <c r="C1582" t="s">
        <v>11865</v>
      </c>
      <c r="D1582" s="1">
        <v>40304</v>
      </c>
      <c r="E1582" s="2">
        <v>135000</v>
      </c>
      <c r="F1582" t="s">
        <v>4567</v>
      </c>
      <c r="G1582" s="17" t="str">
        <f>HYPERLINK("https://www.washoecounty.gov/assessor/cama/?command=sales&amp;parid=02139513","3878946")</f>
        <v>3878946</v>
      </c>
      <c r="H1582" t="s">
        <v>2227</v>
      </c>
      <c r="I1582">
        <v>1981</v>
      </c>
      <c r="J1582">
        <v>1981</v>
      </c>
      <c r="K1582" t="s">
        <v>4554</v>
      </c>
      <c r="L1582" t="s">
        <v>4555</v>
      </c>
      <c r="M1582" s="2">
        <v>1233</v>
      </c>
      <c r="N1582" t="s">
        <v>4048</v>
      </c>
      <c r="O1582">
        <v>3</v>
      </c>
      <c r="P1582">
        <v>2</v>
      </c>
      <c r="Q1582">
        <v>0</v>
      </c>
      <c r="R1582" t="s">
        <v>4557</v>
      </c>
      <c r="S1582" t="s">
        <v>4558</v>
      </c>
      <c r="T1582" t="s">
        <v>4559</v>
      </c>
      <c r="U1582" t="s">
        <v>4560</v>
      </c>
      <c r="V1582" s="2">
        <v>489</v>
      </c>
      <c r="W1582" t="s">
        <v>4655</v>
      </c>
      <c r="X1582" s="2">
        <v>0</v>
      </c>
      <c r="Y1582">
        <v>20</v>
      </c>
      <c r="Z1582" t="s">
        <v>4561</v>
      </c>
      <c r="AA1582" s="3">
        <v>0.14600551128387501</v>
      </c>
      <c r="AB1582" t="s">
        <v>11866</v>
      </c>
      <c r="AC1582" t="s">
        <v>4562</v>
      </c>
      <c r="AD1582" t="s">
        <v>11865</v>
      </c>
      <c r="AE1582" t="s">
        <v>4655</v>
      </c>
      <c r="AF1582" t="s">
        <v>4563</v>
      </c>
      <c r="AG1582" t="s">
        <v>4564</v>
      </c>
      <c r="AH1582">
        <v>89502</v>
      </c>
      <c r="AI1582" t="s">
        <v>4655</v>
      </c>
      <c r="AJ1582" t="s">
        <v>4655</v>
      </c>
      <c r="AK1582" t="s">
        <v>11867</v>
      </c>
      <c r="AL1582" s="13" t="s">
        <v>2257</v>
      </c>
      <c r="AM1582" s="14">
        <v>1</v>
      </c>
      <c r="AN1582" s="15" t="s">
        <v>4049</v>
      </c>
    </row>
    <row r="1583" spans="1:40" x14ac:dyDescent="0.3">
      <c r="A1583" s="10" t="str">
        <f>HYPERLINK("http://www.washoecounty.gov/assessor/cama/?parid=021-401-06&amp;CardNumber=1","021-401-06")</f>
        <v>021-401-06</v>
      </c>
      <c r="B1583" t="s">
        <v>4655</v>
      </c>
      <c r="C1583" t="s">
        <v>11868</v>
      </c>
      <c r="D1583" s="1">
        <v>40336</v>
      </c>
      <c r="E1583" s="2">
        <v>139000</v>
      </c>
      <c r="F1583" t="s">
        <v>4567</v>
      </c>
      <c r="G1583" s="17" t="str">
        <f>HYPERLINK("https://www.washoecounty.gov/assessor/cama/?command=sales&amp;parid=02140106","3889012")</f>
        <v>3889012</v>
      </c>
      <c r="H1583" t="s">
        <v>3659</v>
      </c>
      <c r="I1583">
        <v>1979</v>
      </c>
      <c r="J1583">
        <v>1979</v>
      </c>
      <c r="K1583" t="s">
        <v>4554</v>
      </c>
      <c r="L1583" t="s">
        <v>4555</v>
      </c>
      <c r="M1583" s="2">
        <v>1374</v>
      </c>
      <c r="N1583" t="s">
        <v>4048</v>
      </c>
      <c r="O1583">
        <v>4</v>
      </c>
      <c r="P1583">
        <v>2</v>
      </c>
      <c r="Q1583">
        <v>0</v>
      </c>
      <c r="R1583" t="s">
        <v>4557</v>
      </c>
      <c r="S1583" t="s">
        <v>4558</v>
      </c>
      <c r="T1583" t="s">
        <v>4559</v>
      </c>
      <c r="U1583" t="s">
        <v>4560</v>
      </c>
      <c r="V1583" s="2">
        <v>420</v>
      </c>
      <c r="W1583" t="s">
        <v>4655</v>
      </c>
      <c r="X1583" s="2">
        <v>0</v>
      </c>
      <c r="Y1583">
        <v>20</v>
      </c>
      <c r="Z1583" t="s">
        <v>4561</v>
      </c>
      <c r="AA1583" s="3">
        <v>0.22899448871612499</v>
      </c>
      <c r="AB1583" t="s">
        <v>11869</v>
      </c>
      <c r="AC1583" t="s">
        <v>4562</v>
      </c>
      <c r="AD1583" t="s">
        <v>11870</v>
      </c>
      <c r="AE1583" t="s">
        <v>4655</v>
      </c>
      <c r="AF1583" t="s">
        <v>4563</v>
      </c>
      <c r="AG1583" t="s">
        <v>4564</v>
      </c>
      <c r="AH1583">
        <v>89502</v>
      </c>
      <c r="AI1583" t="s">
        <v>11871</v>
      </c>
      <c r="AJ1583" t="s">
        <v>4655</v>
      </c>
      <c r="AK1583" t="s">
        <v>11872</v>
      </c>
      <c r="AL1583" s="13" t="s">
        <v>2257</v>
      </c>
      <c r="AM1583">
        <v>1</v>
      </c>
      <c r="AN1583" s="15" t="s">
        <v>4049</v>
      </c>
    </row>
    <row r="1584" spans="1:40" x14ac:dyDescent="0.3">
      <c r="A1584" s="10" t="str">
        <f>HYPERLINK("http://www.washoecounty.gov/assessor/cama/?parid=021-401-24&amp;CardNumber=1","021-401-24")</f>
        <v>021-401-24</v>
      </c>
      <c r="B1584" t="s">
        <v>4655</v>
      </c>
      <c r="C1584" t="s">
        <v>11873</v>
      </c>
      <c r="D1584" s="1">
        <v>40420</v>
      </c>
      <c r="E1584" s="2">
        <v>134000</v>
      </c>
      <c r="F1584" t="s">
        <v>4567</v>
      </c>
      <c r="G1584" s="17" t="str">
        <f>HYPERLINK("https://www.washoecounty.gov/assessor/cama/?command=sales&amp;parid=02140124","3916828")</f>
        <v>3916828</v>
      </c>
      <c r="H1584" t="s">
        <v>3279</v>
      </c>
      <c r="I1584">
        <v>1979</v>
      </c>
      <c r="J1584">
        <v>1979</v>
      </c>
      <c r="K1584" t="s">
        <v>4554</v>
      </c>
      <c r="L1584" t="s">
        <v>4555</v>
      </c>
      <c r="M1584" s="2">
        <v>1416</v>
      </c>
      <c r="N1584" t="s">
        <v>4048</v>
      </c>
      <c r="O1584">
        <v>3</v>
      </c>
      <c r="P1584">
        <v>2</v>
      </c>
      <c r="Q1584">
        <v>0</v>
      </c>
      <c r="R1584" t="s">
        <v>5281</v>
      </c>
      <c r="S1584" t="s">
        <v>4558</v>
      </c>
      <c r="T1584" t="s">
        <v>4559</v>
      </c>
      <c r="U1584" t="s">
        <v>4560</v>
      </c>
      <c r="V1584" s="2">
        <v>419</v>
      </c>
      <c r="W1584" t="s">
        <v>4655</v>
      </c>
      <c r="X1584" s="2">
        <v>0</v>
      </c>
      <c r="Y1584">
        <v>20</v>
      </c>
      <c r="Z1584" t="s">
        <v>4561</v>
      </c>
      <c r="AA1584" s="3">
        <v>0.15798898041248299</v>
      </c>
      <c r="AB1584" t="s">
        <v>11874</v>
      </c>
      <c r="AC1584" t="s">
        <v>4562</v>
      </c>
      <c r="AD1584" t="s">
        <v>11873</v>
      </c>
      <c r="AE1584" t="s">
        <v>4655</v>
      </c>
      <c r="AF1584" t="s">
        <v>4563</v>
      </c>
      <c r="AG1584" t="s">
        <v>4564</v>
      </c>
      <c r="AH1584">
        <v>89502</v>
      </c>
      <c r="AI1584" t="s">
        <v>11875</v>
      </c>
      <c r="AJ1584" t="s">
        <v>4655</v>
      </c>
      <c r="AK1584" t="s">
        <v>11876</v>
      </c>
      <c r="AL1584" s="13" t="s">
        <v>2257</v>
      </c>
      <c r="AM1584">
        <v>1</v>
      </c>
      <c r="AN1584" s="15" t="s">
        <v>4049</v>
      </c>
    </row>
    <row r="1585" spans="1:40" x14ac:dyDescent="0.3">
      <c r="A1585" s="10" t="str">
        <f>HYPERLINK("http://www.washoecounty.gov/assessor/cama/?parid=021-402-06&amp;CardNumber=1","021-402-06")</f>
        <v>021-402-06</v>
      </c>
      <c r="B1585" t="s">
        <v>4655</v>
      </c>
      <c r="C1585" t="s">
        <v>11877</v>
      </c>
      <c r="D1585" s="1">
        <v>40290</v>
      </c>
      <c r="E1585" s="2">
        <v>170000</v>
      </c>
      <c r="F1585" t="s">
        <v>4567</v>
      </c>
      <c r="G1585" s="17" t="str">
        <f>HYPERLINK("https://www.washoecounty.gov/assessor/cama/?command=sales&amp;parid=02140206","3873694")</f>
        <v>3873694</v>
      </c>
      <c r="H1585" t="s">
        <v>3279</v>
      </c>
      <c r="I1585">
        <v>1979</v>
      </c>
      <c r="J1585">
        <v>1979</v>
      </c>
      <c r="K1585" t="s">
        <v>4554</v>
      </c>
      <c r="L1585" t="s">
        <v>4555</v>
      </c>
      <c r="M1585" s="2">
        <v>1416</v>
      </c>
      <c r="N1585" t="s">
        <v>4048</v>
      </c>
      <c r="O1585">
        <v>3</v>
      </c>
      <c r="P1585">
        <v>2</v>
      </c>
      <c r="Q1585">
        <v>0</v>
      </c>
      <c r="R1585" t="s">
        <v>4557</v>
      </c>
      <c r="S1585" t="s">
        <v>4558</v>
      </c>
      <c r="T1585" t="s">
        <v>4559</v>
      </c>
      <c r="U1585" t="s">
        <v>4560</v>
      </c>
      <c r="V1585" s="2">
        <v>419</v>
      </c>
      <c r="W1585" t="s">
        <v>4655</v>
      </c>
      <c r="X1585" s="2">
        <v>0</v>
      </c>
      <c r="Y1585">
        <v>20</v>
      </c>
      <c r="Z1585" t="s">
        <v>4561</v>
      </c>
      <c r="AA1585" s="3">
        <v>0.14499540627002699</v>
      </c>
      <c r="AB1585" t="s">
        <v>11878</v>
      </c>
      <c r="AC1585" t="s">
        <v>4562</v>
      </c>
      <c r="AD1585" t="s">
        <v>11877</v>
      </c>
      <c r="AE1585" t="s">
        <v>4655</v>
      </c>
      <c r="AF1585" t="s">
        <v>4563</v>
      </c>
      <c r="AG1585" t="s">
        <v>4564</v>
      </c>
      <c r="AH1585">
        <v>89502</v>
      </c>
      <c r="AI1585" t="s">
        <v>11879</v>
      </c>
      <c r="AJ1585" t="s">
        <v>4655</v>
      </c>
      <c r="AK1585" t="s">
        <v>11880</v>
      </c>
      <c r="AL1585" s="13" t="s">
        <v>2257</v>
      </c>
      <c r="AM1585" s="14">
        <v>1</v>
      </c>
      <c r="AN1585" s="15" t="s">
        <v>4049</v>
      </c>
    </row>
    <row r="1586" spans="1:40" x14ac:dyDescent="0.3">
      <c r="A1586" s="10" t="str">
        <f>HYPERLINK("http://www.washoecounty.gov/assessor/cama/?parid=021-406-16&amp;CardNumber=1","021-406-16")</f>
        <v>021-406-16</v>
      </c>
      <c r="B1586" t="s">
        <v>4655</v>
      </c>
      <c r="C1586" t="s">
        <v>11881</v>
      </c>
      <c r="D1586" s="1">
        <v>40325</v>
      </c>
      <c r="E1586" s="2">
        <v>155000</v>
      </c>
      <c r="F1586" t="s">
        <v>4553</v>
      </c>
      <c r="G1586" s="17" t="str">
        <f>HYPERLINK("https://www.washoecounty.gov/assessor/cama/?command=sales&amp;parid=02140616","3885873")</f>
        <v>3885873</v>
      </c>
      <c r="H1586" t="s">
        <v>3659</v>
      </c>
      <c r="I1586">
        <v>1979</v>
      </c>
      <c r="J1586">
        <v>1979</v>
      </c>
      <c r="K1586" t="s">
        <v>4554</v>
      </c>
      <c r="L1586" t="s">
        <v>4555</v>
      </c>
      <c r="M1586" s="2">
        <v>1374</v>
      </c>
      <c r="N1586" t="s">
        <v>4048</v>
      </c>
      <c r="O1586">
        <v>4</v>
      </c>
      <c r="P1586">
        <v>2</v>
      </c>
      <c r="Q1586">
        <v>0</v>
      </c>
      <c r="R1586" t="s">
        <v>5281</v>
      </c>
      <c r="S1586" t="s">
        <v>4558</v>
      </c>
      <c r="T1586" t="s">
        <v>4559</v>
      </c>
      <c r="U1586" t="s">
        <v>4560</v>
      </c>
      <c r="V1586" s="2">
        <v>420</v>
      </c>
      <c r="W1586" t="s">
        <v>4655</v>
      </c>
      <c r="X1586" s="2">
        <v>0</v>
      </c>
      <c r="Y1586">
        <v>20</v>
      </c>
      <c r="Z1586" t="s">
        <v>4561</v>
      </c>
      <c r="AA1586" s="3">
        <v>0.15500459074974099</v>
      </c>
      <c r="AB1586" t="s">
        <v>11882</v>
      </c>
      <c r="AC1586" t="s">
        <v>4562</v>
      </c>
      <c r="AD1586" t="s">
        <v>11881</v>
      </c>
      <c r="AE1586" t="s">
        <v>4655</v>
      </c>
      <c r="AF1586" t="s">
        <v>4563</v>
      </c>
      <c r="AG1586" t="s">
        <v>4564</v>
      </c>
      <c r="AH1586">
        <v>89502</v>
      </c>
      <c r="AI1586" t="s">
        <v>359</v>
      </c>
      <c r="AJ1586" t="s">
        <v>4655</v>
      </c>
      <c r="AK1586" t="s">
        <v>11883</v>
      </c>
      <c r="AL1586" s="13" t="s">
        <v>2257</v>
      </c>
      <c r="AM1586">
        <v>1</v>
      </c>
      <c r="AN1586" s="15" t="s">
        <v>4049</v>
      </c>
    </row>
    <row r="1587" spans="1:40" x14ac:dyDescent="0.3">
      <c r="A1587" s="10" t="str">
        <f>HYPERLINK("http://www.washoecounty.gov/assessor/cama/?parid=021-406-19&amp;CardNumber=1","021-406-19")</f>
        <v>021-406-19</v>
      </c>
      <c r="B1587" t="s">
        <v>4655</v>
      </c>
      <c r="C1587" t="s">
        <v>11884</v>
      </c>
      <c r="D1587" s="1">
        <v>40441</v>
      </c>
      <c r="E1587" s="2">
        <v>122000</v>
      </c>
      <c r="F1587" t="s">
        <v>4553</v>
      </c>
      <c r="G1587" s="17" t="str">
        <f>HYPERLINK("https://www.washoecounty.gov/assessor/cama/?command=sales&amp;parid=02140619","3924173")</f>
        <v>3924173</v>
      </c>
      <c r="H1587" t="s">
        <v>11885</v>
      </c>
      <c r="I1587">
        <v>1979</v>
      </c>
      <c r="J1587">
        <v>1979</v>
      </c>
      <c r="K1587" t="s">
        <v>4554</v>
      </c>
      <c r="L1587" t="s">
        <v>4555</v>
      </c>
      <c r="M1587" s="2">
        <v>1416</v>
      </c>
      <c r="N1587" t="s">
        <v>4048</v>
      </c>
      <c r="O1587">
        <v>3</v>
      </c>
      <c r="P1587">
        <v>2</v>
      </c>
      <c r="Q1587">
        <v>0</v>
      </c>
      <c r="R1587" t="s">
        <v>4557</v>
      </c>
      <c r="S1587" t="s">
        <v>4558</v>
      </c>
      <c r="T1587" t="s">
        <v>4559</v>
      </c>
      <c r="U1587" t="s">
        <v>4560</v>
      </c>
      <c r="V1587" s="2">
        <v>419</v>
      </c>
      <c r="W1587" t="s">
        <v>4655</v>
      </c>
      <c r="X1587" s="2">
        <v>0</v>
      </c>
      <c r="Y1587">
        <v>20</v>
      </c>
      <c r="Z1587" t="s">
        <v>4561</v>
      </c>
      <c r="AA1587" s="3">
        <v>0.16099633276462599</v>
      </c>
      <c r="AB1587" t="s">
        <v>11886</v>
      </c>
      <c r="AC1587" t="s">
        <v>4562</v>
      </c>
      <c r="AD1587" t="s">
        <v>11887</v>
      </c>
      <c r="AE1587" t="s">
        <v>4655</v>
      </c>
      <c r="AF1587" t="s">
        <v>4563</v>
      </c>
      <c r="AG1587" t="s">
        <v>4564</v>
      </c>
      <c r="AH1587">
        <v>89511</v>
      </c>
      <c r="AI1587" t="s">
        <v>4848</v>
      </c>
      <c r="AJ1587" t="s">
        <v>4655</v>
      </c>
      <c r="AK1587" t="s">
        <v>11888</v>
      </c>
      <c r="AL1587" s="13" t="s">
        <v>2257</v>
      </c>
      <c r="AM1587">
        <v>1</v>
      </c>
      <c r="AN1587" s="15" t="s">
        <v>4049</v>
      </c>
    </row>
    <row r="1588" spans="1:40" x14ac:dyDescent="0.3">
      <c r="A1588" s="10" t="str">
        <f>HYPERLINK("http://www.washoecounty.gov/assessor/cama/?parid=021-411-05&amp;CardNumber=1","021-411-05")</f>
        <v>021-411-05</v>
      </c>
      <c r="B1588" t="s">
        <v>4655</v>
      </c>
      <c r="C1588" t="s">
        <v>11889</v>
      </c>
      <c r="D1588" s="1">
        <v>40451</v>
      </c>
      <c r="E1588" s="2">
        <v>130000</v>
      </c>
      <c r="F1588" t="s">
        <v>4567</v>
      </c>
      <c r="G1588" s="17" t="str">
        <f>HYPERLINK("https://www.washoecounty.gov/assessor/cama/?command=sales&amp;parid=02141105","3928091")</f>
        <v>3928091</v>
      </c>
      <c r="H1588" t="s">
        <v>3279</v>
      </c>
      <c r="I1588">
        <v>1979</v>
      </c>
      <c r="J1588">
        <v>1979</v>
      </c>
      <c r="K1588" t="s">
        <v>4554</v>
      </c>
      <c r="L1588" t="s">
        <v>4555</v>
      </c>
      <c r="M1588" s="2">
        <v>1416</v>
      </c>
      <c r="N1588" t="s">
        <v>4048</v>
      </c>
      <c r="O1588">
        <v>3</v>
      </c>
      <c r="P1588">
        <v>2</v>
      </c>
      <c r="Q1588">
        <v>0</v>
      </c>
      <c r="R1588" t="s">
        <v>5281</v>
      </c>
      <c r="S1588" t="s">
        <v>4558</v>
      </c>
      <c r="T1588" t="s">
        <v>4559</v>
      </c>
      <c r="U1588" t="s">
        <v>4560</v>
      </c>
      <c r="V1588" s="2">
        <v>419</v>
      </c>
      <c r="W1588" t="s">
        <v>4655</v>
      </c>
      <c r="X1588" s="2">
        <v>0</v>
      </c>
      <c r="Y1588">
        <v>20</v>
      </c>
      <c r="Z1588" t="s">
        <v>4561</v>
      </c>
      <c r="AA1588" s="3">
        <v>0.15500459074974099</v>
      </c>
      <c r="AB1588" t="s">
        <v>11890</v>
      </c>
      <c r="AC1588" t="s">
        <v>4562</v>
      </c>
      <c r="AD1588" t="s">
        <v>11891</v>
      </c>
      <c r="AE1588" t="s">
        <v>4655</v>
      </c>
      <c r="AF1588" t="s">
        <v>11892</v>
      </c>
      <c r="AG1588" t="s">
        <v>4209</v>
      </c>
      <c r="AH1588">
        <v>80513</v>
      </c>
      <c r="AI1588" t="s">
        <v>11893</v>
      </c>
      <c r="AJ1588" t="s">
        <v>4655</v>
      </c>
      <c r="AK1588" t="s">
        <v>11894</v>
      </c>
      <c r="AL1588" s="13" t="s">
        <v>2257</v>
      </c>
      <c r="AM1588">
        <v>1</v>
      </c>
      <c r="AN1588" s="15" t="s">
        <v>4049</v>
      </c>
    </row>
    <row r="1589" spans="1:40" x14ac:dyDescent="0.3">
      <c r="A1589" s="10" t="str">
        <f>HYPERLINK("http://www.washoecounty.gov/assessor/cama/?parid=021-411-09&amp;CardNumber=1","021-411-09")</f>
        <v>021-411-09</v>
      </c>
      <c r="B1589" t="s">
        <v>4655</v>
      </c>
      <c r="C1589" t="s">
        <v>11895</v>
      </c>
      <c r="D1589" s="1">
        <v>40414</v>
      </c>
      <c r="E1589" s="2">
        <v>120000</v>
      </c>
      <c r="F1589" t="s">
        <v>4567</v>
      </c>
      <c r="G1589" s="17" t="str">
        <f>HYPERLINK("https://www.washoecounty.gov/assessor/cama/?command=sales&amp;parid=02141109","3915124")</f>
        <v>3915124</v>
      </c>
      <c r="H1589" t="s">
        <v>3279</v>
      </c>
      <c r="I1589">
        <v>1979</v>
      </c>
      <c r="J1589">
        <v>1979</v>
      </c>
      <c r="K1589" t="s">
        <v>4554</v>
      </c>
      <c r="L1589" t="s">
        <v>4555</v>
      </c>
      <c r="M1589" s="2">
        <v>1374</v>
      </c>
      <c r="N1589" t="s">
        <v>4048</v>
      </c>
      <c r="O1589">
        <v>4</v>
      </c>
      <c r="P1589">
        <v>2</v>
      </c>
      <c r="Q1589">
        <v>0</v>
      </c>
      <c r="R1589" t="s">
        <v>4557</v>
      </c>
      <c r="S1589" t="s">
        <v>4558</v>
      </c>
      <c r="T1589" t="s">
        <v>4559</v>
      </c>
      <c r="U1589" t="s">
        <v>4560</v>
      </c>
      <c r="V1589" s="2">
        <v>420</v>
      </c>
      <c r="W1589" t="s">
        <v>4655</v>
      </c>
      <c r="X1589" s="2">
        <v>0</v>
      </c>
      <c r="Y1589">
        <v>20</v>
      </c>
      <c r="Z1589" t="s">
        <v>4561</v>
      </c>
      <c r="AA1589" s="3">
        <v>0.148002758622169</v>
      </c>
      <c r="AB1589" t="s">
        <v>11896</v>
      </c>
      <c r="AC1589" t="s">
        <v>4562</v>
      </c>
      <c r="AD1589" t="s">
        <v>1422</v>
      </c>
      <c r="AE1589" t="s">
        <v>4655</v>
      </c>
      <c r="AF1589" t="s">
        <v>4563</v>
      </c>
      <c r="AG1589" t="s">
        <v>4564</v>
      </c>
      <c r="AH1589">
        <v>89511</v>
      </c>
      <c r="AI1589" t="s">
        <v>11897</v>
      </c>
      <c r="AJ1589" t="s">
        <v>4655</v>
      </c>
      <c r="AK1589" t="s">
        <v>11898</v>
      </c>
      <c r="AL1589" s="13" t="s">
        <v>2257</v>
      </c>
      <c r="AM1589">
        <v>1</v>
      </c>
      <c r="AN1589" s="15" t="s">
        <v>4049</v>
      </c>
    </row>
    <row r="1590" spans="1:40" x14ac:dyDescent="0.3">
      <c r="A1590" s="10" t="str">
        <f>HYPERLINK("http://www.washoecounty.gov/assessor/cama/?parid=021-413-27&amp;CardNumber=1","021-413-27")</f>
        <v>021-413-27</v>
      </c>
      <c r="B1590" t="s">
        <v>4655</v>
      </c>
      <c r="C1590" t="s">
        <v>11899</v>
      </c>
      <c r="D1590" s="1">
        <v>40291</v>
      </c>
      <c r="E1590" s="2">
        <v>140000</v>
      </c>
      <c r="F1590" t="s">
        <v>4567</v>
      </c>
      <c r="G1590" s="17" t="str">
        <f>HYPERLINK("https://www.washoecounty.gov/assessor/cama/?command=sales&amp;parid=02141327","3874112")</f>
        <v>3874112</v>
      </c>
      <c r="H1590" t="s">
        <v>3279</v>
      </c>
      <c r="I1590">
        <v>1979</v>
      </c>
      <c r="J1590">
        <v>1979</v>
      </c>
      <c r="K1590" t="s">
        <v>4554</v>
      </c>
      <c r="L1590" t="s">
        <v>4555</v>
      </c>
      <c r="M1590" s="2">
        <v>1459</v>
      </c>
      <c r="N1590" t="s">
        <v>4048</v>
      </c>
      <c r="O1590">
        <v>3</v>
      </c>
      <c r="P1590">
        <v>2</v>
      </c>
      <c r="Q1590">
        <v>0</v>
      </c>
      <c r="R1590" t="s">
        <v>5281</v>
      </c>
      <c r="S1590" t="s">
        <v>4558</v>
      </c>
      <c r="T1590" t="s">
        <v>4559</v>
      </c>
      <c r="U1590" t="s">
        <v>4560</v>
      </c>
      <c r="V1590" s="2">
        <v>462</v>
      </c>
      <c r="W1590" t="s">
        <v>4655</v>
      </c>
      <c r="X1590" s="2">
        <v>0</v>
      </c>
      <c r="Y1590">
        <v>20</v>
      </c>
      <c r="Z1590" t="s">
        <v>4561</v>
      </c>
      <c r="AA1590" s="3">
        <v>0.14299815893173218</v>
      </c>
      <c r="AB1590" t="s">
        <v>11900</v>
      </c>
      <c r="AC1590" t="s">
        <v>4562</v>
      </c>
      <c r="AD1590" t="s">
        <v>11899</v>
      </c>
      <c r="AE1590" t="s">
        <v>4655</v>
      </c>
      <c r="AF1590" t="s">
        <v>4563</v>
      </c>
      <c r="AG1590" t="s">
        <v>4564</v>
      </c>
      <c r="AH1590">
        <v>89502</v>
      </c>
      <c r="AI1590" t="s">
        <v>11901</v>
      </c>
      <c r="AJ1590" t="s">
        <v>4655</v>
      </c>
      <c r="AK1590" t="s">
        <v>11902</v>
      </c>
      <c r="AL1590" s="13" t="s">
        <v>2257</v>
      </c>
      <c r="AM1590">
        <v>1</v>
      </c>
      <c r="AN1590" s="15" t="s">
        <v>4049</v>
      </c>
    </row>
    <row r="1591" spans="1:40" x14ac:dyDescent="0.3">
      <c r="A1591" s="10" t="str">
        <f>HYPERLINK("http://www.washoecounty.gov/assessor/cama/?parid=021-414-02&amp;CardNumber=1","021-414-02")</f>
        <v>021-414-02</v>
      </c>
      <c r="B1591" t="s">
        <v>4655</v>
      </c>
      <c r="C1591" t="s">
        <v>11903</v>
      </c>
      <c r="D1591" s="1">
        <v>40268</v>
      </c>
      <c r="E1591" s="2">
        <v>154000</v>
      </c>
      <c r="F1591" t="s">
        <v>4567</v>
      </c>
      <c r="G1591" s="17" t="str">
        <f>HYPERLINK("https://www.washoecounty.gov/assessor/cama/?command=sales&amp;parid=02141402","3866363")</f>
        <v>3866363</v>
      </c>
      <c r="H1591" t="s">
        <v>3659</v>
      </c>
      <c r="I1591">
        <v>1978</v>
      </c>
      <c r="J1591">
        <v>1978</v>
      </c>
      <c r="K1591" t="s">
        <v>4554</v>
      </c>
      <c r="L1591" t="s">
        <v>4555</v>
      </c>
      <c r="M1591" s="2">
        <v>1230</v>
      </c>
      <c r="N1591" t="s">
        <v>4048</v>
      </c>
      <c r="O1591">
        <v>3</v>
      </c>
      <c r="P1591">
        <v>2</v>
      </c>
      <c r="Q1591">
        <v>0</v>
      </c>
      <c r="R1591" t="s">
        <v>4557</v>
      </c>
      <c r="S1591" t="s">
        <v>4558</v>
      </c>
      <c r="T1591" t="s">
        <v>4559</v>
      </c>
      <c r="U1591" t="s">
        <v>4560</v>
      </c>
      <c r="V1591" s="2">
        <v>492</v>
      </c>
      <c r="W1591" t="s">
        <v>4655</v>
      </c>
      <c r="X1591" s="2">
        <v>0</v>
      </c>
      <c r="Y1591">
        <v>20</v>
      </c>
      <c r="Z1591" t="s">
        <v>4561</v>
      </c>
      <c r="AA1591" s="3">
        <v>0.15798898041248299</v>
      </c>
      <c r="AB1591" t="s">
        <v>11904</v>
      </c>
      <c r="AC1591" t="s">
        <v>4562</v>
      </c>
      <c r="AD1591" t="s">
        <v>11903</v>
      </c>
      <c r="AE1591" t="s">
        <v>4655</v>
      </c>
      <c r="AF1591" t="s">
        <v>4563</v>
      </c>
      <c r="AG1591" t="s">
        <v>4564</v>
      </c>
      <c r="AH1591">
        <v>89502</v>
      </c>
      <c r="AI1591" t="s">
        <v>11905</v>
      </c>
      <c r="AJ1591" t="s">
        <v>4655</v>
      </c>
      <c r="AK1591" t="s">
        <v>11906</v>
      </c>
      <c r="AL1591" s="13" t="s">
        <v>2257</v>
      </c>
      <c r="AM1591">
        <v>1</v>
      </c>
      <c r="AN1591" s="15" t="s">
        <v>4049</v>
      </c>
    </row>
    <row r="1592" spans="1:40" x14ac:dyDescent="0.3">
      <c r="A1592" s="10" t="str">
        <f>HYPERLINK("http://www.washoecounty.gov/assessor/cama/?parid=021-425-06&amp;CardNumber=1","021-425-06")</f>
        <v>021-425-06</v>
      </c>
      <c r="B1592" t="s">
        <v>4655</v>
      </c>
      <c r="C1592" t="s">
        <v>11907</v>
      </c>
      <c r="D1592" s="1">
        <v>40387</v>
      </c>
      <c r="E1592" s="2">
        <v>158000</v>
      </c>
      <c r="F1592" t="s">
        <v>4567</v>
      </c>
      <c r="G1592" s="17" t="str">
        <f>HYPERLINK("https://www.washoecounty.gov/assessor/cama/?command=sales&amp;parid=02142506","3905629")</f>
        <v>3905629</v>
      </c>
      <c r="H1592" t="s">
        <v>3279</v>
      </c>
      <c r="I1592">
        <v>1978</v>
      </c>
      <c r="J1592">
        <v>1978</v>
      </c>
      <c r="K1592" t="s">
        <v>4554</v>
      </c>
      <c r="L1592" t="s">
        <v>4555</v>
      </c>
      <c r="M1592" s="2">
        <v>1610</v>
      </c>
      <c r="N1592" t="s">
        <v>4048</v>
      </c>
      <c r="O1592">
        <v>3</v>
      </c>
      <c r="P1592">
        <v>2</v>
      </c>
      <c r="Q1592">
        <v>0</v>
      </c>
      <c r="R1592" t="s">
        <v>4557</v>
      </c>
      <c r="S1592" t="s">
        <v>4558</v>
      </c>
      <c r="T1592" t="s">
        <v>4559</v>
      </c>
      <c r="U1592" t="s">
        <v>4560</v>
      </c>
      <c r="V1592" s="2">
        <v>502</v>
      </c>
      <c r="W1592" t="s">
        <v>4655</v>
      </c>
      <c r="X1592" s="2">
        <v>0</v>
      </c>
      <c r="Y1592">
        <v>20</v>
      </c>
      <c r="Z1592" t="s">
        <v>4561</v>
      </c>
      <c r="AA1592" s="3">
        <v>0.17800734937191001</v>
      </c>
      <c r="AB1592" t="s">
        <v>11908</v>
      </c>
      <c r="AC1592" t="s">
        <v>4562</v>
      </c>
      <c r="AD1592" t="s">
        <v>11909</v>
      </c>
      <c r="AE1592" t="s">
        <v>4655</v>
      </c>
      <c r="AF1592" t="s">
        <v>4563</v>
      </c>
      <c r="AG1592" t="s">
        <v>4564</v>
      </c>
      <c r="AH1592">
        <v>89502</v>
      </c>
      <c r="AI1592" t="s">
        <v>11910</v>
      </c>
      <c r="AJ1592" t="s">
        <v>4655</v>
      </c>
      <c r="AK1592" t="s">
        <v>11911</v>
      </c>
      <c r="AL1592" s="13" t="s">
        <v>2257</v>
      </c>
      <c r="AM1592">
        <v>1</v>
      </c>
      <c r="AN1592" s="15" t="s">
        <v>4049</v>
      </c>
    </row>
    <row r="1593" spans="1:40" x14ac:dyDescent="0.3">
      <c r="A1593" s="10" t="str">
        <f>HYPERLINK("http://www.washoecounty.gov/assessor/cama/?parid=021-432-05&amp;CardNumber=1","021-432-05")</f>
        <v>021-432-05</v>
      </c>
      <c r="B1593" t="s">
        <v>4655</v>
      </c>
      <c r="C1593" t="s">
        <v>11912</v>
      </c>
      <c r="D1593" s="1">
        <v>40296</v>
      </c>
      <c r="E1593" s="2">
        <v>165000</v>
      </c>
      <c r="F1593" t="s">
        <v>4553</v>
      </c>
      <c r="G1593" s="17" t="str">
        <f>HYPERLINK("https://www.washoecounty.gov/assessor/cama/?command=sales&amp;parid=02143205","3875829")</f>
        <v>3875829</v>
      </c>
      <c r="H1593" t="s">
        <v>1735</v>
      </c>
      <c r="I1593">
        <v>1979</v>
      </c>
      <c r="J1593">
        <v>1979</v>
      </c>
      <c r="K1593" t="s">
        <v>4554</v>
      </c>
      <c r="L1593" t="s">
        <v>4555</v>
      </c>
      <c r="M1593" s="2">
        <v>1926</v>
      </c>
      <c r="N1593" t="s">
        <v>4048</v>
      </c>
      <c r="O1593">
        <v>4</v>
      </c>
      <c r="P1593">
        <v>2</v>
      </c>
      <c r="Q1593">
        <v>0</v>
      </c>
      <c r="R1593" t="s">
        <v>5281</v>
      </c>
      <c r="S1593" t="s">
        <v>4558</v>
      </c>
      <c r="T1593" t="s">
        <v>4559</v>
      </c>
      <c r="U1593" t="s">
        <v>4560</v>
      </c>
      <c r="V1593" s="2">
        <v>437</v>
      </c>
      <c r="W1593" t="s">
        <v>4655</v>
      </c>
      <c r="X1593" s="2">
        <v>0</v>
      </c>
      <c r="Y1593">
        <v>20</v>
      </c>
      <c r="Z1593" t="s">
        <v>4561</v>
      </c>
      <c r="AA1593" s="3">
        <v>0.27100551128387501</v>
      </c>
      <c r="AB1593" t="s">
        <v>11913</v>
      </c>
      <c r="AC1593" t="s">
        <v>4575</v>
      </c>
      <c r="AD1593" t="s">
        <v>11912</v>
      </c>
      <c r="AE1593" t="s">
        <v>4655</v>
      </c>
      <c r="AF1593" t="s">
        <v>4563</v>
      </c>
      <c r="AG1593" t="s">
        <v>4564</v>
      </c>
      <c r="AH1593">
        <v>89502</v>
      </c>
      <c r="AI1593" t="s">
        <v>4503</v>
      </c>
      <c r="AJ1593" t="s">
        <v>4655</v>
      </c>
      <c r="AK1593" t="s">
        <v>11914</v>
      </c>
      <c r="AL1593" s="13" t="s">
        <v>2257</v>
      </c>
      <c r="AM1593">
        <v>1</v>
      </c>
      <c r="AN1593" s="15" t="s">
        <v>4049</v>
      </c>
    </row>
    <row r="1594" spans="1:40" x14ac:dyDescent="0.3">
      <c r="A1594" s="10" t="str">
        <f>HYPERLINK("http://www.washoecounty.gov/assessor/cama/?parid=021-432-09&amp;CardNumber=1","021-432-09")</f>
        <v>021-432-09</v>
      </c>
      <c r="B1594" t="s">
        <v>4655</v>
      </c>
      <c r="C1594" t="s">
        <v>11915</v>
      </c>
      <c r="D1594" s="1">
        <v>40206</v>
      </c>
      <c r="E1594" s="2">
        <v>164300</v>
      </c>
      <c r="F1594" t="s">
        <v>4567</v>
      </c>
      <c r="G1594" s="17" t="str">
        <f>HYPERLINK("https://www.washoecounty.gov/assessor/cama/?command=sales&amp;parid=02143209","3843712")</f>
        <v>3843712</v>
      </c>
      <c r="H1594" t="s">
        <v>1735</v>
      </c>
      <c r="I1594">
        <v>1979</v>
      </c>
      <c r="J1594">
        <v>1979</v>
      </c>
      <c r="K1594" t="s">
        <v>4554</v>
      </c>
      <c r="L1594" t="s">
        <v>4555</v>
      </c>
      <c r="M1594" s="2">
        <v>1926</v>
      </c>
      <c r="N1594" t="s">
        <v>4048</v>
      </c>
      <c r="O1594">
        <v>4</v>
      </c>
      <c r="P1594">
        <v>2</v>
      </c>
      <c r="Q1594">
        <v>0</v>
      </c>
      <c r="R1594" t="s">
        <v>5281</v>
      </c>
      <c r="S1594" t="s">
        <v>4558</v>
      </c>
      <c r="T1594" t="s">
        <v>4559</v>
      </c>
      <c r="U1594" t="s">
        <v>4560</v>
      </c>
      <c r="V1594" s="2">
        <v>437</v>
      </c>
      <c r="W1594" t="s">
        <v>4655</v>
      </c>
      <c r="X1594" s="2">
        <v>0</v>
      </c>
      <c r="Y1594">
        <v>20</v>
      </c>
      <c r="Z1594" t="s">
        <v>4561</v>
      </c>
      <c r="AA1594" s="3">
        <v>0.15599173307418801</v>
      </c>
      <c r="AB1594" t="s">
        <v>11916</v>
      </c>
      <c r="AC1594" t="s">
        <v>4562</v>
      </c>
      <c r="AD1594" t="s">
        <v>11915</v>
      </c>
      <c r="AE1594" t="s">
        <v>4655</v>
      </c>
      <c r="AF1594" t="s">
        <v>4563</v>
      </c>
      <c r="AG1594" t="s">
        <v>4564</v>
      </c>
      <c r="AH1594">
        <v>89502</v>
      </c>
      <c r="AI1594" t="s">
        <v>11917</v>
      </c>
      <c r="AJ1594" t="s">
        <v>4655</v>
      </c>
      <c r="AK1594" t="s">
        <v>11918</v>
      </c>
      <c r="AL1594" s="13" t="s">
        <v>2257</v>
      </c>
      <c r="AM1594">
        <v>1</v>
      </c>
      <c r="AN1594" s="15" t="s">
        <v>4049</v>
      </c>
    </row>
    <row r="1595" spans="1:40" x14ac:dyDescent="0.3">
      <c r="A1595" s="10" t="str">
        <f>HYPERLINK("http://www.washoecounty.gov/assessor/cama/?parid=021-481-02&amp;CardNumber=1","021-481-02")</f>
        <v>021-481-02</v>
      </c>
      <c r="B1595" t="s">
        <v>4655</v>
      </c>
      <c r="C1595" t="s">
        <v>11919</v>
      </c>
      <c r="D1595" s="1">
        <v>40302</v>
      </c>
      <c r="E1595" s="2">
        <v>67500</v>
      </c>
      <c r="F1595" t="s">
        <v>4567</v>
      </c>
      <c r="G1595" s="17" t="str">
        <f>HYPERLINK("https://www.washoecounty.gov/assessor/cama/?command=sales&amp;parid=02148102","3878050")</f>
        <v>3878050</v>
      </c>
      <c r="H1595" t="s">
        <v>4050</v>
      </c>
      <c r="I1595">
        <v>1984</v>
      </c>
      <c r="J1595">
        <v>1984</v>
      </c>
      <c r="K1595" t="s">
        <v>4897</v>
      </c>
      <c r="L1595" t="s">
        <v>3974</v>
      </c>
      <c r="M1595" s="2">
        <v>750</v>
      </c>
      <c r="N1595" t="s">
        <v>4048</v>
      </c>
      <c r="O1595">
        <v>1</v>
      </c>
      <c r="P1595">
        <v>1</v>
      </c>
      <c r="Q1595">
        <v>1</v>
      </c>
      <c r="R1595" t="s">
        <v>5281</v>
      </c>
      <c r="S1595" t="s">
        <v>4558</v>
      </c>
      <c r="T1595" t="s">
        <v>4559</v>
      </c>
      <c r="U1595" t="s">
        <v>4655</v>
      </c>
      <c r="V1595" s="2">
        <v>0</v>
      </c>
      <c r="W1595" t="s">
        <v>4655</v>
      </c>
      <c r="X1595" s="2">
        <v>0</v>
      </c>
      <c r="Y1595">
        <v>21</v>
      </c>
      <c r="Z1595" t="s">
        <v>4144</v>
      </c>
      <c r="AA1595" s="3">
        <v>1.00000004749745E-3</v>
      </c>
      <c r="AB1595" t="s">
        <v>11920</v>
      </c>
      <c r="AC1595" t="s">
        <v>4562</v>
      </c>
      <c r="AD1595" t="s">
        <v>11919</v>
      </c>
      <c r="AE1595" t="s">
        <v>4655</v>
      </c>
      <c r="AF1595" t="s">
        <v>4563</v>
      </c>
      <c r="AG1595" t="s">
        <v>4564</v>
      </c>
      <c r="AH1595">
        <v>89502</v>
      </c>
      <c r="AI1595" t="s">
        <v>11921</v>
      </c>
      <c r="AJ1595" t="s">
        <v>4655</v>
      </c>
      <c r="AK1595" t="s">
        <v>11922</v>
      </c>
      <c r="AL1595" s="13" t="s">
        <v>2257</v>
      </c>
      <c r="AM1595">
        <v>1</v>
      </c>
      <c r="AN1595" s="15" t="s">
        <v>3145</v>
      </c>
    </row>
    <row r="1596" spans="1:40" x14ac:dyDescent="0.3">
      <c r="A1596" s="10" t="str">
        <f>HYPERLINK("http://www.washoecounty.gov/assessor/cama/?parid=021-482-05&amp;CardNumber=1","021-482-05")</f>
        <v>021-482-05</v>
      </c>
      <c r="B1596" t="s">
        <v>4655</v>
      </c>
      <c r="C1596" t="s">
        <v>11923</v>
      </c>
      <c r="D1596" s="1">
        <v>40436</v>
      </c>
      <c r="E1596" s="2">
        <v>85000</v>
      </c>
      <c r="F1596" t="s">
        <v>4567</v>
      </c>
      <c r="G1596" s="17" t="str">
        <f>HYPERLINK("https://www.washoecounty.gov/assessor/cama/?command=sales&amp;parid=02148205","3922499")</f>
        <v>3922499</v>
      </c>
      <c r="H1596" t="s">
        <v>3838</v>
      </c>
      <c r="I1596">
        <v>1984</v>
      </c>
      <c r="J1596">
        <v>1984</v>
      </c>
      <c r="K1596" t="s">
        <v>3144</v>
      </c>
      <c r="L1596" t="s">
        <v>4555</v>
      </c>
      <c r="M1596" s="2">
        <v>854</v>
      </c>
      <c r="N1596" t="s">
        <v>4048</v>
      </c>
      <c r="O1596">
        <v>2</v>
      </c>
      <c r="P1596">
        <v>2</v>
      </c>
      <c r="Q1596">
        <v>0</v>
      </c>
      <c r="R1596" t="s">
        <v>5281</v>
      </c>
      <c r="S1596" t="s">
        <v>4558</v>
      </c>
      <c r="T1596" t="s">
        <v>4559</v>
      </c>
      <c r="U1596" t="s">
        <v>4655</v>
      </c>
      <c r="V1596" s="2">
        <v>0</v>
      </c>
      <c r="W1596" t="s">
        <v>4655</v>
      </c>
      <c r="X1596" s="2">
        <v>0</v>
      </c>
      <c r="Y1596">
        <v>21</v>
      </c>
      <c r="Z1596" t="s">
        <v>4144</v>
      </c>
      <c r="AA1596" s="3">
        <v>1.00000004749745E-3</v>
      </c>
      <c r="AB1596" t="s">
        <v>11924</v>
      </c>
      <c r="AC1596" t="s">
        <v>4575</v>
      </c>
      <c r="AD1596" t="s">
        <v>11925</v>
      </c>
      <c r="AE1596" t="s">
        <v>4655</v>
      </c>
      <c r="AF1596" t="s">
        <v>4563</v>
      </c>
      <c r="AG1596" t="s">
        <v>4564</v>
      </c>
      <c r="AH1596">
        <v>89502</v>
      </c>
      <c r="AI1596" t="s">
        <v>4655</v>
      </c>
      <c r="AJ1596" t="s">
        <v>4655</v>
      </c>
      <c r="AK1596" t="s">
        <v>11926</v>
      </c>
      <c r="AL1596" s="13" t="s">
        <v>2257</v>
      </c>
      <c r="AM1596">
        <v>1</v>
      </c>
      <c r="AN1596" s="15" t="s">
        <v>3145</v>
      </c>
    </row>
    <row r="1597" spans="1:40" x14ac:dyDescent="0.3">
      <c r="A1597" s="10" t="str">
        <f>HYPERLINK("http://www.washoecounty.gov/assessor/cama/?parid=021-482-07&amp;CardNumber=1","021-482-07")</f>
        <v>021-482-07</v>
      </c>
      <c r="B1597" t="s">
        <v>4655</v>
      </c>
      <c r="C1597" t="s">
        <v>11927</v>
      </c>
      <c r="D1597" s="1">
        <v>40451</v>
      </c>
      <c r="E1597" s="2">
        <v>64000</v>
      </c>
      <c r="F1597" t="s">
        <v>4567</v>
      </c>
      <c r="G1597" s="17" t="str">
        <f>HYPERLINK("https://www.washoecounty.gov/assessor/cama/?command=sales&amp;parid=02148207","3928166")</f>
        <v>3928166</v>
      </c>
      <c r="H1597" t="s">
        <v>4050</v>
      </c>
      <c r="I1597">
        <v>1985</v>
      </c>
      <c r="J1597">
        <v>1985</v>
      </c>
      <c r="K1597" t="s">
        <v>3144</v>
      </c>
      <c r="L1597" t="s">
        <v>4555</v>
      </c>
      <c r="M1597" s="2">
        <v>854</v>
      </c>
      <c r="N1597" t="s">
        <v>4048</v>
      </c>
      <c r="O1597">
        <v>2</v>
      </c>
      <c r="P1597">
        <v>2</v>
      </c>
      <c r="Q1597">
        <v>0</v>
      </c>
      <c r="R1597" t="s">
        <v>5281</v>
      </c>
      <c r="S1597" t="s">
        <v>4558</v>
      </c>
      <c r="T1597" t="s">
        <v>4559</v>
      </c>
      <c r="U1597" t="s">
        <v>4655</v>
      </c>
      <c r="V1597" s="2">
        <v>0</v>
      </c>
      <c r="W1597" t="s">
        <v>4655</v>
      </c>
      <c r="X1597" s="2">
        <v>0</v>
      </c>
      <c r="Y1597">
        <v>21</v>
      </c>
      <c r="Z1597" t="s">
        <v>4144</v>
      </c>
      <c r="AA1597" s="3">
        <v>1.00000004749745E-3</v>
      </c>
      <c r="AB1597" t="s">
        <v>11928</v>
      </c>
      <c r="AC1597" t="s">
        <v>4575</v>
      </c>
      <c r="AD1597" t="s">
        <v>11929</v>
      </c>
      <c r="AE1597" t="s">
        <v>4655</v>
      </c>
      <c r="AF1597" t="s">
        <v>4563</v>
      </c>
      <c r="AG1597" t="s">
        <v>4564</v>
      </c>
      <c r="AH1597" t="s">
        <v>5197</v>
      </c>
      <c r="AI1597" t="s">
        <v>11930</v>
      </c>
      <c r="AJ1597" t="s">
        <v>4655</v>
      </c>
      <c r="AK1597" t="s">
        <v>11931</v>
      </c>
      <c r="AL1597" s="13" t="s">
        <v>2257</v>
      </c>
      <c r="AM1597">
        <v>1</v>
      </c>
      <c r="AN1597" s="15" t="s">
        <v>3145</v>
      </c>
    </row>
    <row r="1598" spans="1:40" x14ac:dyDescent="0.3">
      <c r="A1598" s="10" t="str">
        <f>HYPERLINK("http://www.washoecounty.gov/assessor/cama/?parid=021-482-10&amp;CardNumber=1","021-482-10")</f>
        <v>021-482-10</v>
      </c>
      <c r="B1598" t="s">
        <v>4655</v>
      </c>
      <c r="C1598" t="s">
        <v>11932</v>
      </c>
      <c r="D1598" s="1">
        <v>40359</v>
      </c>
      <c r="E1598" s="2">
        <v>45000</v>
      </c>
      <c r="F1598" t="s">
        <v>4553</v>
      </c>
      <c r="G1598" s="17" t="str">
        <f>HYPERLINK("https://www.washoecounty.gov/assessor/cama/?command=sales&amp;parid=02148210","3897272")</f>
        <v>3897272</v>
      </c>
      <c r="H1598" t="s">
        <v>4050</v>
      </c>
      <c r="I1598">
        <v>1985</v>
      </c>
      <c r="J1598">
        <v>1985</v>
      </c>
      <c r="K1598" t="s">
        <v>3144</v>
      </c>
      <c r="L1598" t="s">
        <v>4555</v>
      </c>
      <c r="M1598" s="2">
        <v>578</v>
      </c>
      <c r="N1598" t="s">
        <v>4048</v>
      </c>
      <c r="O1598">
        <v>1</v>
      </c>
      <c r="P1598">
        <v>1</v>
      </c>
      <c r="Q1598">
        <v>0</v>
      </c>
      <c r="R1598" t="s">
        <v>5281</v>
      </c>
      <c r="S1598" t="s">
        <v>4558</v>
      </c>
      <c r="T1598" t="s">
        <v>4559</v>
      </c>
      <c r="U1598" t="s">
        <v>4655</v>
      </c>
      <c r="V1598" s="2">
        <v>0</v>
      </c>
      <c r="W1598" t="s">
        <v>4655</v>
      </c>
      <c r="X1598" s="2">
        <v>0</v>
      </c>
      <c r="Y1598">
        <v>21</v>
      </c>
      <c r="Z1598" t="s">
        <v>4144</v>
      </c>
      <c r="AA1598" s="3">
        <v>1.00000004749745E-3</v>
      </c>
      <c r="AB1598" t="s">
        <v>11933</v>
      </c>
      <c r="AC1598" t="s">
        <v>4562</v>
      </c>
      <c r="AD1598" t="s">
        <v>11932</v>
      </c>
      <c r="AE1598" t="s">
        <v>4655</v>
      </c>
      <c r="AF1598" t="s">
        <v>4563</v>
      </c>
      <c r="AG1598" t="s">
        <v>4564</v>
      </c>
      <c r="AH1598">
        <v>89502</v>
      </c>
      <c r="AI1598" t="s">
        <v>4848</v>
      </c>
      <c r="AJ1598" t="s">
        <v>4655</v>
      </c>
      <c r="AK1598" t="s">
        <v>11934</v>
      </c>
      <c r="AL1598" s="13" t="s">
        <v>2257</v>
      </c>
      <c r="AM1598">
        <v>1</v>
      </c>
      <c r="AN1598" s="15" t="s">
        <v>3145</v>
      </c>
    </row>
    <row r="1599" spans="1:40" x14ac:dyDescent="0.3">
      <c r="A1599" s="10" t="str">
        <f>HYPERLINK("http://www.washoecounty.gov/assessor/cama/?parid=021-491-02&amp;CardNumber=1","021-491-02")</f>
        <v>021-491-02</v>
      </c>
      <c r="B1599" t="s">
        <v>4655</v>
      </c>
      <c r="C1599" t="s">
        <v>11935</v>
      </c>
      <c r="D1599" s="1">
        <v>40528</v>
      </c>
      <c r="E1599" s="2">
        <v>57750</v>
      </c>
      <c r="F1599" t="s">
        <v>4553</v>
      </c>
      <c r="G1599" s="17" t="str">
        <f>HYPERLINK("https://www.washoecounty.gov/assessor/cama/?command=sales&amp;parid=02149102","3953899")</f>
        <v>3953899</v>
      </c>
      <c r="H1599" t="s">
        <v>4050</v>
      </c>
      <c r="I1599">
        <v>1984</v>
      </c>
      <c r="J1599">
        <v>1984</v>
      </c>
      <c r="K1599" t="s">
        <v>4897</v>
      </c>
      <c r="L1599" t="s">
        <v>3974</v>
      </c>
      <c r="M1599" s="2">
        <v>1034</v>
      </c>
      <c r="N1599" t="s">
        <v>4048</v>
      </c>
      <c r="O1599">
        <v>2</v>
      </c>
      <c r="P1599">
        <v>2</v>
      </c>
      <c r="Q1599">
        <v>1</v>
      </c>
      <c r="R1599" t="s">
        <v>5281</v>
      </c>
      <c r="S1599" t="s">
        <v>4558</v>
      </c>
      <c r="T1599" t="s">
        <v>4559</v>
      </c>
      <c r="U1599" t="s">
        <v>4655</v>
      </c>
      <c r="V1599" s="2">
        <v>0</v>
      </c>
      <c r="W1599" t="s">
        <v>4655</v>
      </c>
      <c r="X1599" s="2">
        <v>0</v>
      </c>
      <c r="Y1599">
        <v>21</v>
      </c>
      <c r="Z1599" t="s">
        <v>4144</v>
      </c>
      <c r="AA1599" s="3">
        <v>1.00000004749745E-3</v>
      </c>
      <c r="AB1599" t="s">
        <v>11936</v>
      </c>
      <c r="AC1599" t="s">
        <v>4562</v>
      </c>
      <c r="AD1599" t="s">
        <v>11937</v>
      </c>
      <c r="AE1599" t="s">
        <v>4655</v>
      </c>
      <c r="AF1599" t="s">
        <v>4563</v>
      </c>
      <c r="AG1599" t="s">
        <v>4564</v>
      </c>
      <c r="AH1599">
        <v>89502</v>
      </c>
      <c r="AI1599" t="s">
        <v>4903</v>
      </c>
      <c r="AJ1599" t="s">
        <v>4655</v>
      </c>
      <c r="AK1599" t="s">
        <v>11938</v>
      </c>
      <c r="AL1599" s="13" t="s">
        <v>2257</v>
      </c>
      <c r="AM1599" s="14">
        <v>1</v>
      </c>
      <c r="AN1599" s="15" t="s">
        <v>3145</v>
      </c>
    </row>
    <row r="1600" spans="1:40" x14ac:dyDescent="0.3">
      <c r="A1600" s="10" t="str">
        <f>HYPERLINK("http://www.washoecounty.gov/assessor/cama/?parid=021-491-05&amp;CardNumber=1","021-491-05")</f>
        <v>021-491-05</v>
      </c>
      <c r="B1600" t="s">
        <v>4655</v>
      </c>
      <c r="C1600" t="s">
        <v>11939</v>
      </c>
      <c r="D1600" s="1">
        <v>40535</v>
      </c>
      <c r="E1600" s="2">
        <v>37000</v>
      </c>
      <c r="F1600" t="s">
        <v>4567</v>
      </c>
      <c r="G1600" s="17" t="str">
        <f>HYPERLINK("https://www.washoecounty.gov/assessor/cama/?command=sales&amp;parid=02149105","3956706")</f>
        <v>3956706</v>
      </c>
      <c r="H1600" t="s">
        <v>4050</v>
      </c>
      <c r="I1600">
        <v>1984</v>
      </c>
      <c r="J1600">
        <v>1984</v>
      </c>
      <c r="K1600" t="s">
        <v>3144</v>
      </c>
      <c r="L1600" t="s">
        <v>4555</v>
      </c>
      <c r="M1600" s="2">
        <v>568</v>
      </c>
      <c r="N1600" t="s">
        <v>4048</v>
      </c>
      <c r="O1600">
        <v>1</v>
      </c>
      <c r="P1600">
        <v>1</v>
      </c>
      <c r="Q1600">
        <v>0</v>
      </c>
      <c r="R1600" t="s">
        <v>5281</v>
      </c>
      <c r="S1600" t="s">
        <v>4558</v>
      </c>
      <c r="T1600" t="s">
        <v>4559</v>
      </c>
      <c r="U1600" t="s">
        <v>4655</v>
      </c>
      <c r="V1600" s="2">
        <v>0</v>
      </c>
      <c r="W1600" t="s">
        <v>4655</v>
      </c>
      <c r="X1600" s="2">
        <v>0</v>
      </c>
      <c r="Y1600">
        <v>21</v>
      </c>
      <c r="Z1600" t="s">
        <v>4144</v>
      </c>
      <c r="AA1600" s="3">
        <v>1.00000004749745E-3</v>
      </c>
      <c r="AB1600" t="s">
        <v>11940</v>
      </c>
      <c r="AC1600" t="s">
        <v>4575</v>
      </c>
      <c r="AD1600" t="s">
        <v>11939</v>
      </c>
      <c r="AE1600" t="s">
        <v>4655</v>
      </c>
      <c r="AF1600" t="s">
        <v>4563</v>
      </c>
      <c r="AG1600" t="s">
        <v>4564</v>
      </c>
      <c r="AH1600">
        <v>89502</v>
      </c>
      <c r="AI1600" t="s">
        <v>11941</v>
      </c>
      <c r="AJ1600" t="s">
        <v>4655</v>
      </c>
      <c r="AK1600" t="s">
        <v>11942</v>
      </c>
      <c r="AL1600" s="13" t="s">
        <v>2257</v>
      </c>
      <c r="AM1600">
        <v>1</v>
      </c>
      <c r="AN1600" s="15" t="s">
        <v>3145</v>
      </c>
    </row>
    <row r="1601" spans="1:40" x14ac:dyDescent="0.3">
      <c r="A1601" s="10" t="str">
        <f>HYPERLINK("http://www.washoecounty.gov/assessor/cama/?parid=021-491-07&amp;CardNumber=1","021-491-07")</f>
        <v>021-491-07</v>
      </c>
      <c r="B1601" t="s">
        <v>4655</v>
      </c>
      <c r="C1601" t="s">
        <v>11943</v>
      </c>
      <c r="D1601" s="1">
        <v>40410</v>
      </c>
      <c r="E1601" s="2">
        <v>79900</v>
      </c>
      <c r="F1601" t="s">
        <v>4567</v>
      </c>
      <c r="G1601" s="17" t="str">
        <f>HYPERLINK("https://www.washoecounty.gov/assessor/cama/?command=sales&amp;parid=02149107","3914365")</f>
        <v>3914365</v>
      </c>
      <c r="H1601" t="s">
        <v>4050</v>
      </c>
      <c r="I1601">
        <v>1984</v>
      </c>
      <c r="J1601">
        <v>1984</v>
      </c>
      <c r="K1601" t="s">
        <v>3144</v>
      </c>
      <c r="L1601" t="s">
        <v>4555</v>
      </c>
      <c r="M1601" s="2">
        <v>821</v>
      </c>
      <c r="N1601" t="s">
        <v>4048</v>
      </c>
      <c r="O1601">
        <v>2</v>
      </c>
      <c r="P1601">
        <v>2</v>
      </c>
      <c r="Q1601">
        <v>0</v>
      </c>
      <c r="R1601" t="s">
        <v>5281</v>
      </c>
      <c r="S1601" t="s">
        <v>4558</v>
      </c>
      <c r="T1601" t="s">
        <v>4559</v>
      </c>
      <c r="U1601" t="s">
        <v>4655</v>
      </c>
      <c r="V1601" s="2">
        <v>0</v>
      </c>
      <c r="W1601" t="s">
        <v>4655</v>
      </c>
      <c r="X1601" s="2">
        <v>0</v>
      </c>
      <c r="Y1601">
        <v>21</v>
      </c>
      <c r="Z1601" t="s">
        <v>4144</v>
      </c>
      <c r="AA1601" s="3">
        <v>1.00000004749745E-3</v>
      </c>
      <c r="AB1601" t="s">
        <v>11944</v>
      </c>
      <c r="AC1601" t="s">
        <v>4562</v>
      </c>
      <c r="AD1601" t="s">
        <v>11943</v>
      </c>
      <c r="AE1601" t="s">
        <v>4655</v>
      </c>
      <c r="AF1601" t="s">
        <v>4563</v>
      </c>
      <c r="AG1601" t="s">
        <v>4564</v>
      </c>
      <c r="AH1601">
        <v>89502</v>
      </c>
      <c r="AI1601" t="s">
        <v>11945</v>
      </c>
      <c r="AJ1601" t="s">
        <v>4655</v>
      </c>
      <c r="AK1601" t="s">
        <v>11946</v>
      </c>
      <c r="AL1601" s="13" t="s">
        <v>2257</v>
      </c>
      <c r="AM1601">
        <v>1</v>
      </c>
      <c r="AN1601" s="15" t="s">
        <v>3145</v>
      </c>
    </row>
    <row r="1602" spans="1:40" x14ac:dyDescent="0.3">
      <c r="A1602" s="10" t="str">
        <f>HYPERLINK("http://www.washoecounty.gov/assessor/cama/?parid=021-491-10&amp;CardNumber=1","021-491-10")</f>
        <v>021-491-10</v>
      </c>
      <c r="B1602" t="s">
        <v>4655</v>
      </c>
      <c r="C1602" t="s">
        <v>11947</v>
      </c>
      <c r="D1602" s="1">
        <v>40401</v>
      </c>
      <c r="E1602" s="2">
        <v>74000</v>
      </c>
      <c r="F1602" t="s">
        <v>4567</v>
      </c>
      <c r="G1602" s="17" t="str">
        <f>HYPERLINK("https://www.washoecounty.gov/assessor/cama/?command=sales&amp;parid=02149110","3910760")</f>
        <v>3910760</v>
      </c>
      <c r="H1602" t="s">
        <v>4050</v>
      </c>
      <c r="I1602">
        <v>1984</v>
      </c>
      <c r="J1602">
        <v>1984</v>
      </c>
      <c r="K1602" t="s">
        <v>4897</v>
      </c>
      <c r="L1602" t="s">
        <v>3974</v>
      </c>
      <c r="M1602" s="2">
        <v>1034</v>
      </c>
      <c r="N1602" t="s">
        <v>4048</v>
      </c>
      <c r="O1602">
        <v>2</v>
      </c>
      <c r="P1602">
        <v>2</v>
      </c>
      <c r="Q1602">
        <v>1</v>
      </c>
      <c r="R1602" t="s">
        <v>5281</v>
      </c>
      <c r="S1602" t="s">
        <v>4558</v>
      </c>
      <c r="T1602" t="s">
        <v>4559</v>
      </c>
      <c r="U1602" t="s">
        <v>4655</v>
      </c>
      <c r="V1602" s="2">
        <v>0</v>
      </c>
      <c r="W1602" t="s">
        <v>4655</v>
      </c>
      <c r="X1602" s="2">
        <v>0</v>
      </c>
      <c r="Y1602">
        <v>21</v>
      </c>
      <c r="Z1602" t="s">
        <v>4144</v>
      </c>
      <c r="AA1602" s="3">
        <v>1.00000004749745E-3</v>
      </c>
      <c r="AB1602" t="s">
        <v>11948</v>
      </c>
      <c r="AC1602" t="s">
        <v>4562</v>
      </c>
      <c r="AD1602" t="s">
        <v>11947</v>
      </c>
      <c r="AE1602" t="s">
        <v>4655</v>
      </c>
      <c r="AF1602" t="s">
        <v>4563</v>
      </c>
      <c r="AG1602" t="s">
        <v>4564</v>
      </c>
      <c r="AH1602">
        <v>89502</v>
      </c>
      <c r="AI1602" t="s">
        <v>4655</v>
      </c>
      <c r="AJ1602" t="s">
        <v>4655</v>
      </c>
      <c r="AK1602" t="s">
        <v>11949</v>
      </c>
      <c r="AL1602" s="13" t="s">
        <v>2257</v>
      </c>
      <c r="AM1602">
        <v>1</v>
      </c>
      <c r="AN1602" s="15" t="s">
        <v>3145</v>
      </c>
    </row>
    <row r="1603" spans="1:40" x14ac:dyDescent="0.3">
      <c r="A1603" s="10" t="str">
        <f>HYPERLINK("http://www.washoecounty.gov/assessor/cama/?parid=021-491-20&amp;CardNumber=1","021-491-20")</f>
        <v>021-491-20</v>
      </c>
      <c r="B1603" t="s">
        <v>4655</v>
      </c>
      <c r="C1603" t="s">
        <v>11950</v>
      </c>
      <c r="D1603" s="1">
        <v>40235</v>
      </c>
      <c r="E1603" s="2">
        <v>45000</v>
      </c>
      <c r="F1603" t="s">
        <v>4567</v>
      </c>
      <c r="G1603" s="17" t="str">
        <f>HYPERLINK("https://www.washoecounty.gov/assessor/cama/?command=sales&amp;parid=02149120","3853472")</f>
        <v>3853472</v>
      </c>
      <c r="H1603" t="s">
        <v>4050</v>
      </c>
      <c r="I1603">
        <v>1984</v>
      </c>
      <c r="J1603">
        <v>1984</v>
      </c>
      <c r="K1603" t="s">
        <v>4897</v>
      </c>
      <c r="L1603" t="s">
        <v>3974</v>
      </c>
      <c r="M1603" s="2">
        <v>750</v>
      </c>
      <c r="N1603" t="s">
        <v>4048</v>
      </c>
      <c r="O1603">
        <v>2</v>
      </c>
      <c r="P1603">
        <v>1</v>
      </c>
      <c r="Q1603">
        <v>1</v>
      </c>
      <c r="R1603" t="s">
        <v>5281</v>
      </c>
      <c r="S1603" t="s">
        <v>4558</v>
      </c>
      <c r="T1603" t="s">
        <v>4559</v>
      </c>
      <c r="U1603" t="s">
        <v>4655</v>
      </c>
      <c r="V1603" s="2">
        <v>0</v>
      </c>
      <c r="W1603" t="s">
        <v>4655</v>
      </c>
      <c r="X1603" s="2">
        <v>0</v>
      </c>
      <c r="Y1603">
        <v>21</v>
      </c>
      <c r="Z1603" t="s">
        <v>4144</v>
      </c>
      <c r="AA1603" s="3">
        <v>1.00000004749745E-3</v>
      </c>
      <c r="AB1603" t="s">
        <v>11951</v>
      </c>
      <c r="AC1603" t="s">
        <v>4562</v>
      </c>
      <c r="AD1603" t="s">
        <v>11950</v>
      </c>
      <c r="AE1603" t="s">
        <v>4655</v>
      </c>
      <c r="AF1603" t="s">
        <v>4563</v>
      </c>
      <c r="AG1603" t="s">
        <v>4564</v>
      </c>
      <c r="AH1603">
        <v>89502</v>
      </c>
      <c r="AI1603" t="s">
        <v>11952</v>
      </c>
      <c r="AJ1603" t="s">
        <v>4655</v>
      </c>
      <c r="AK1603" t="s">
        <v>11953</v>
      </c>
      <c r="AL1603" s="13" t="s">
        <v>2257</v>
      </c>
      <c r="AM1603">
        <v>1</v>
      </c>
      <c r="AN1603" s="15" t="s">
        <v>3145</v>
      </c>
    </row>
    <row r="1604" spans="1:40" x14ac:dyDescent="0.3">
      <c r="A1604" s="10" t="str">
        <f>HYPERLINK("http://www.washoecounty.gov/assessor/cama/?parid=021-491-29&amp;CardNumber=1","021-491-29")</f>
        <v>021-491-29</v>
      </c>
      <c r="B1604" t="s">
        <v>4655</v>
      </c>
      <c r="C1604" t="s">
        <v>11954</v>
      </c>
      <c r="D1604" s="1">
        <v>40183</v>
      </c>
      <c r="E1604" s="2">
        <v>67500</v>
      </c>
      <c r="F1604" t="s">
        <v>4567</v>
      </c>
      <c r="G1604" s="17" t="str">
        <f>HYPERLINK("https://www.washoecounty.gov/assessor/cama/?command=sales&amp;parid=02149129","3836404")</f>
        <v>3836404</v>
      </c>
      <c r="H1604" t="s">
        <v>4050</v>
      </c>
      <c r="I1604">
        <v>1984</v>
      </c>
      <c r="J1604">
        <v>1984</v>
      </c>
      <c r="K1604" t="s">
        <v>3144</v>
      </c>
      <c r="L1604" t="s">
        <v>4555</v>
      </c>
      <c r="M1604" s="2">
        <v>821</v>
      </c>
      <c r="N1604" t="s">
        <v>4048</v>
      </c>
      <c r="O1604">
        <v>2</v>
      </c>
      <c r="P1604">
        <v>2</v>
      </c>
      <c r="Q1604">
        <v>0</v>
      </c>
      <c r="R1604" t="s">
        <v>5281</v>
      </c>
      <c r="S1604" t="s">
        <v>4558</v>
      </c>
      <c r="T1604" t="s">
        <v>4559</v>
      </c>
      <c r="U1604" t="s">
        <v>4655</v>
      </c>
      <c r="V1604" s="2">
        <v>0</v>
      </c>
      <c r="W1604" t="s">
        <v>4655</v>
      </c>
      <c r="X1604" s="2">
        <v>0</v>
      </c>
      <c r="Y1604">
        <v>21</v>
      </c>
      <c r="Z1604" t="s">
        <v>4144</v>
      </c>
      <c r="AA1604" s="3">
        <v>1.00000004749745E-3</v>
      </c>
      <c r="AB1604" t="s">
        <v>11955</v>
      </c>
      <c r="AC1604" t="s">
        <v>4575</v>
      </c>
      <c r="AD1604" t="s">
        <v>11956</v>
      </c>
      <c r="AE1604" t="s">
        <v>11957</v>
      </c>
      <c r="AF1604" t="s">
        <v>11958</v>
      </c>
      <c r="AG1604" t="s">
        <v>4584</v>
      </c>
      <c r="AH1604">
        <v>94090</v>
      </c>
      <c r="AI1604" t="s">
        <v>11959</v>
      </c>
      <c r="AJ1604" t="s">
        <v>4655</v>
      </c>
      <c r="AK1604" t="s">
        <v>11960</v>
      </c>
      <c r="AL1604" s="13" t="s">
        <v>2257</v>
      </c>
      <c r="AM1604">
        <v>1</v>
      </c>
      <c r="AN1604" s="15" t="s">
        <v>3145</v>
      </c>
    </row>
    <row r="1605" spans="1:40" x14ac:dyDescent="0.3">
      <c r="A1605" s="10" t="str">
        <f>HYPERLINK("http://www.washoecounty.gov/assessor/cama/?parid=021-491-34&amp;CardNumber=1","021-491-34")</f>
        <v>021-491-34</v>
      </c>
      <c r="B1605" t="s">
        <v>4655</v>
      </c>
      <c r="C1605" t="s">
        <v>11961</v>
      </c>
      <c r="D1605" s="1">
        <v>40240</v>
      </c>
      <c r="E1605" s="2">
        <v>67500</v>
      </c>
      <c r="F1605" t="s">
        <v>4567</v>
      </c>
      <c r="G1605" s="17" t="str">
        <f>HYPERLINK("https://www.washoecounty.gov/assessor/cama/?command=sales&amp;parid=02149134","3855430")</f>
        <v>3855430</v>
      </c>
      <c r="H1605" t="s">
        <v>3838</v>
      </c>
      <c r="I1605">
        <v>1984</v>
      </c>
      <c r="J1605">
        <v>1984</v>
      </c>
      <c r="K1605" t="s">
        <v>4897</v>
      </c>
      <c r="L1605" t="s">
        <v>3974</v>
      </c>
      <c r="M1605" s="2">
        <v>750</v>
      </c>
      <c r="N1605" t="s">
        <v>4048</v>
      </c>
      <c r="O1605">
        <v>2</v>
      </c>
      <c r="P1605">
        <v>1</v>
      </c>
      <c r="Q1605">
        <v>1</v>
      </c>
      <c r="R1605" t="s">
        <v>5281</v>
      </c>
      <c r="S1605" t="s">
        <v>4558</v>
      </c>
      <c r="T1605" t="s">
        <v>4559</v>
      </c>
      <c r="U1605" t="s">
        <v>4655</v>
      </c>
      <c r="V1605" s="2">
        <v>0</v>
      </c>
      <c r="W1605" t="s">
        <v>4655</v>
      </c>
      <c r="X1605" s="2">
        <v>0</v>
      </c>
      <c r="Y1605">
        <v>21</v>
      </c>
      <c r="Z1605" t="s">
        <v>4144</v>
      </c>
      <c r="AA1605" s="3">
        <v>1.00000004749745E-3</v>
      </c>
      <c r="AB1605" t="s">
        <v>11962</v>
      </c>
      <c r="AC1605" t="s">
        <v>4562</v>
      </c>
      <c r="AD1605" t="s">
        <v>11961</v>
      </c>
      <c r="AE1605" t="s">
        <v>4655</v>
      </c>
      <c r="AF1605" t="s">
        <v>4563</v>
      </c>
      <c r="AG1605" t="s">
        <v>4564</v>
      </c>
      <c r="AH1605">
        <v>89502</v>
      </c>
      <c r="AI1605" t="s">
        <v>3839</v>
      </c>
      <c r="AJ1605" t="s">
        <v>4655</v>
      </c>
      <c r="AK1605" t="s">
        <v>11963</v>
      </c>
      <c r="AL1605" s="13" t="s">
        <v>2257</v>
      </c>
      <c r="AM1605" s="14">
        <v>1</v>
      </c>
      <c r="AN1605" s="15" t="s">
        <v>3145</v>
      </c>
    </row>
    <row r="1606" spans="1:40" x14ac:dyDescent="0.3">
      <c r="A1606" s="10" t="str">
        <f>HYPERLINK("http://www.washoecounty.gov/assessor/cama/?parid=021-491-49&amp;CardNumber=1","021-491-49")</f>
        <v>021-491-49</v>
      </c>
      <c r="B1606" t="s">
        <v>4655</v>
      </c>
      <c r="C1606" t="s">
        <v>11964</v>
      </c>
      <c r="D1606" s="1">
        <v>40466</v>
      </c>
      <c r="E1606" s="2">
        <v>69900</v>
      </c>
      <c r="F1606" t="s">
        <v>4553</v>
      </c>
      <c r="G1606" s="17" t="str">
        <f>HYPERLINK("https://www.washoecounty.gov/assessor/cama/?command=sales&amp;parid=02149149","3933793")</f>
        <v>3933793</v>
      </c>
      <c r="H1606" t="s">
        <v>4050</v>
      </c>
      <c r="I1606">
        <v>1985</v>
      </c>
      <c r="J1606">
        <v>1985</v>
      </c>
      <c r="K1606" t="s">
        <v>4897</v>
      </c>
      <c r="L1606" t="s">
        <v>3974</v>
      </c>
      <c r="M1606" s="2">
        <v>1034</v>
      </c>
      <c r="N1606" t="s">
        <v>4048</v>
      </c>
      <c r="O1606">
        <v>2</v>
      </c>
      <c r="P1606">
        <v>2</v>
      </c>
      <c r="Q1606">
        <v>1</v>
      </c>
      <c r="R1606" t="s">
        <v>5281</v>
      </c>
      <c r="S1606" t="s">
        <v>4558</v>
      </c>
      <c r="T1606" t="s">
        <v>4559</v>
      </c>
      <c r="U1606" t="s">
        <v>4655</v>
      </c>
      <c r="V1606" s="2">
        <v>0</v>
      </c>
      <c r="W1606" t="s">
        <v>4655</v>
      </c>
      <c r="X1606" s="2">
        <v>0</v>
      </c>
      <c r="Y1606">
        <v>21</v>
      </c>
      <c r="Z1606" t="s">
        <v>4144</v>
      </c>
      <c r="AA1606" s="3">
        <v>1.00000004749745E-3</v>
      </c>
      <c r="AB1606" t="s">
        <v>11965</v>
      </c>
      <c r="AC1606" t="s">
        <v>4562</v>
      </c>
      <c r="AD1606" t="s">
        <v>11966</v>
      </c>
      <c r="AE1606" t="s">
        <v>4655</v>
      </c>
      <c r="AF1606" t="s">
        <v>4563</v>
      </c>
      <c r="AG1606" t="s">
        <v>4564</v>
      </c>
      <c r="AH1606">
        <v>89502</v>
      </c>
      <c r="AI1606" t="s">
        <v>601</v>
      </c>
      <c r="AJ1606" t="s">
        <v>4655</v>
      </c>
      <c r="AK1606" t="s">
        <v>11967</v>
      </c>
      <c r="AL1606" s="13" t="s">
        <v>2257</v>
      </c>
      <c r="AM1606">
        <v>1</v>
      </c>
      <c r="AN1606" s="15" t="s">
        <v>3145</v>
      </c>
    </row>
    <row r="1607" spans="1:40" x14ac:dyDescent="0.3">
      <c r="A1607" s="10" t="str">
        <f>HYPERLINK("http://www.washoecounty.gov/assessor/cama/?parid=021-492-30&amp;CardNumber=1","021-492-30")</f>
        <v>021-492-30</v>
      </c>
      <c r="B1607" t="s">
        <v>4655</v>
      </c>
      <c r="C1607" t="s">
        <v>11968</v>
      </c>
      <c r="D1607" s="1">
        <v>40347</v>
      </c>
      <c r="E1607" s="2">
        <v>94000</v>
      </c>
      <c r="F1607" t="s">
        <v>4567</v>
      </c>
      <c r="G1607" s="17" t="str">
        <f>HYPERLINK("https://www.washoecounty.gov/assessor/cama/?command=sales&amp;parid=02149230","3893534")</f>
        <v>3893534</v>
      </c>
      <c r="H1607" t="s">
        <v>4050</v>
      </c>
      <c r="I1607">
        <v>1985</v>
      </c>
      <c r="J1607">
        <v>1985</v>
      </c>
      <c r="K1607" t="s">
        <v>3144</v>
      </c>
      <c r="L1607" t="s">
        <v>4555</v>
      </c>
      <c r="M1607" s="2">
        <v>854</v>
      </c>
      <c r="N1607" t="s">
        <v>4048</v>
      </c>
      <c r="O1607">
        <v>2</v>
      </c>
      <c r="P1607">
        <v>2</v>
      </c>
      <c r="Q1607">
        <v>0</v>
      </c>
      <c r="R1607" t="s">
        <v>5281</v>
      </c>
      <c r="S1607" t="s">
        <v>4558</v>
      </c>
      <c r="T1607" t="s">
        <v>4559</v>
      </c>
      <c r="U1607" t="s">
        <v>4655</v>
      </c>
      <c r="V1607" s="2">
        <v>0</v>
      </c>
      <c r="W1607" t="s">
        <v>4655</v>
      </c>
      <c r="X1607" s="2">
        <v>0</v>
      </c>
      <c r="Y1607">
        <v>21</v>
      </c>
      <c r="Z1607" t="s">
        <v>4144</v>
      </c>
      <c r="AA1607" s="3">
        <v>1.00000004749745E-3</v>
      </c>
      <c r="AB1607" t="s">
        <v>11969</v>
      </c>
      <c r="AC1607" t="s">
        <v>4562</v>
      </c>
      <c r="AD1607" t="s">
        <v>11968</v>
      </c>
      <c r="AE1607" t="s">
        <v>4655</v>
      </c>
      <c r="AF1607" t="s">
        <v>4563</v>
      </c>
      <c r="AG1607" t="s">
        <v>4564</v>
      </c>
      <c r="AH1607">
        <v>89502</v>
      </c>
      <c r="AI1607" t="s">
        <v>11970</v>
      </c>
      <c r="AJ1607" t="s">
        <v>4655</v>
      </c>
      <c r="AK1607" t="s">
        <v>11971</v>
      </c>
      <c r="AL1607" s="13" t="s">
        <v>2257</v>
      </c>
      <c r="AM1607">
        <v>1</v>
      </c>
      <c r="AN1607" s="15" t="s">
        <v>3145</v>
      </c>
    </row>
    <row r="1608" spans="1:40" x14ac:dyDescent="0.3">
      <c r="A1608" s="10" t="str">
        <f>HYPERLINK("http://www.washoecounty.gov/assessor/cama/?parid=021-501-34&amp;CardNumber=1","021-501-34")</f>
        <v>021-501-34</v>
      </c>
      <c r="B1608" t="s">
        <v>4655</v>
      </c>
      <c r="C1608" t="s">
        <v>11972</v>
      </c>
      <c r="D1608" s="1">
        <v>40305</v>
      </c>
      <c r="E1608" s="2">
        <v>75000</v>
      </c>
      <c r="F1608" t="s">
        <v>4567</v>
      </c>
      <c r="G1608" s="17" t="str">
        <f>HYPERLINK("https://www.washoecounty.gov/assessor/cama/?command=sales&amp;parid=02150134","3879437")</f>
        <v>3879437</v>
      </c>
      <c r="H1608" t="s">
        <v>4050</v>
      </c>
      <c r="I1608">
        <v>1982</v>
      </c>
      <c r="J1608">
        <v>1982</v>
      </c>
      <c r="K1608" t="s">
        <v>4897</v>
      </c>
      <c r="L1608" t="s">
        <v>3974</v>
      </c>
      <c r="M1608" s="2">
        <v>1034</v>
      </c>
      <c r="N1608" t="s">
        <v>4048</v>
      </c>
      <c r="O1608">
        <v>2</v>
      </c>
      <c r="P1608">
        <v>2</v>
      </c>
      <c r="Q1608">
        <v>1</v>
      </c>
      <c r="R1608" t="s">
        <v>5281</v>
      </c>
      <c r="S1608" t="s">
        <v>4558</v>
      </c>
      <c r="T1608" t="s">
        <v>4559</v>
      </c>
      <c r="U1608" t="s">
        <v>4655</v>
      </c>
      <c r="V1608" s="2">
        <v>0</v>
      </c>
      <c r="W1608" t="s">
        <v>4655</v>
      </c>
      <c r="X1608" s="2">
        <v>0</v>
      </c>
      <c r="Y1608">
        <v>21</v>
      </c>
      <c r="Z1608" t="s">
        <v>4144</v>
      </c>
      <c r="AA1608" s="3">
        <v>1.00000004749745E-3</v>
      </c>
      <c r="AB1608" t="s">
        <v>11973</v>
      </c>
      <c r="AC1608" t="s">
        <v>4562</v>
      </c>
      <c r="AD1608" t="s">
        <v>11972</v>
      </c>
      <c r="AE1608" t="s">
        <v>4655</v>
      </c>
      <c r="AF1608" t="s">
        <v>4563</v>
      </c>
      <c r="AG1608" t="s">
        <v>4564</v>
      </c>
      <c r="AH1608">
        <v>89502</v>
      </c>
      <c r="AI1608" t="s">
        <v>11974</v>
      </c>
      <c r="AJ1608" t="s">
        <v>4655</v>
      </c>
      <c r="AK1608" t="s">
        <v>11975</v>
      </c>
      <c r="AL1608" s="13" t="s">
        <v>2257</v>
      </c>
      <c r="AM1608">
        <v>1</v>
      </c>
      <c r="AN1608" s="15" t="s">
        <v>3145</v>
      </c>
    </row>
    <row r="1609" spans="1:40" x14ac:dyDescent="0.3">
      <c r="A1609" s="10" t="str">
        <f>HYPERLINK("http://www.washoecounty.gov/assessor/cama/?parid=021-502-16&amp;CardNumber=1","021-502-16")</f>
        <v>021-502-16</v>
      </c>
      <c r="B1609" t="s">
        <v>4655</v>
      </c>
      <c r="C1609" t="s">
        <v>11976</v>
      </c>
      <c r="D1609" s="1">
        <v>40437</v>
      </c>
      <c r="E1609" s="2">
        <v>54000</v>
      </c>
      <c r="F1609" t="s">
        <v>4553</v>
      </c>
      <c r="G1609" s="17" t="str">
        <f>HYPERLINK("https://www.washoecounty.gov/assessor/cama/?command=sales&amp;parid=02150216","3923155")</f>
        <v>3923155</v>
      </c>
      <c r="H1609" t="s">
        <v>4050</v>
      </c>
      <c r="I1609">
        <v>1982</v>
      </c>
      <c r="J1609">
        <v>1982</v>
      </c>
      <c r="K1609" t="s">
        <v>3144</v>
      </c>
      <c r="L1609" t="s">
        <v>4555</v>
      </c>
      <c r="M1609" s="2">
        <v>854</v>
      </c>
      <c r="N1609" t="s">
        <v>4048</v>
      </c>
      <c r="O1609">
        <v>2</v>
      </c>
      <c r="P1609">
        <v>2</v>
      </c>
      <c r="Q1609">
        <v>0</v>
      </c>
      <c r="R1609" t="s">
        <v>5281</v>
      </c>
      <c r="S1609" t="s">
        <v>4558</v>
      </c>
      <c r="T1609" t="s">
        <v>4559</v>
      </c>
      <c r="U1609" t="s">
        <v>4655</v>
      </c>
      <c r="V1609" s="2">
        <v>0</v>
      </c>
      <c r="W1609" t="s">
        <v>4655</v>
      </c>
      <c r="X1609" s="2">
        <v>0</v>
      </c>
      <c r="Y1609">
        <v>21</v>
      </c>
      <c r="Z1609" t="s">
        <v>4144</v>
      </c>
      <c r="AA1609" s="3">
        <v>1.00000004749745E-3</v>
      </c>
      <c r="AB1609" t="s">
        <v>4353</v>
      </c>
      <c r="AC1609" t="s">
        <v>4562</v>
      </c>
      <c r="AD1609" t="s">
        <v>11976</v>
      </c>
      <c r="AE1609" t="s">
        <v>4655</v>
      </c>
      <c r="AF1609" t="s">
        <v>4563</v>
      </c>
      <c r="AG1609" t="s">
        <v>4564</v>
      </c>
      <c r="AH1609">
        <v>89502</v>
      </c>
      <c r="AI1609" t="s">
        <v>4565</v>
      </c>
      <c r="AJ1609" t="s">
        <v>4655</v>
      </c>
      <c r="AK1609" t="s">
        <v>11977</v>
      </c>
      <c r="AL1609" s="13" t="s">
        <v>2257</v>
      </c>
      <c r="AM1609">
        <v>1</v>
      </c>
      <c r="AN1609" s="15" t="s">
        <v>3145</v>
      </c>
    </row>
    <row r="1610" spans="1:40" x14ac:dyDescent="0.3">
      <c r="A1610" s="10" t="str">
        <f>HYPERLINK("http://www.washoecounty.gov/assessor/cama/?parid=021-510-18&amp;CardNumber=1","021-510-18")</f>
        <v>021-510-18</v>
      </c>
      <c r="B1610" t="s">
        <v>4655</v>
      </c>
      <c r="C1610" t="s">
        <v>11978</v>
      </c>
      <c r="D1610" s="1">
        <v>40239</v>
      </c>
      <c r="E1610" s="2">
        <v>50000</v>
      </c>
      <c r="F1610" t="s">
        <v>4567</v>
      </c>
      <c r="G1610" s="17" t="str">
        <f>HYPERLINK("https://www.washoecounty.gov/assessor/cama/?command=sales&amp;parid=02151018","3854557")</f>
        <v>3854557</v>
      </c>
      <c r="H1610" t="s">
        <v>4050</v>
      </c>
      <c r="I1610">
        <v>1985</v>
      </c>
      <c r="J1610">
        <v>1985</v>
      </c>
      <c r="K1610" t="s">
        <v>3144</v>
      </c>
      <c r="L1610" t="s">
        <v>4555</v>
      </c>
      <c r="M1610" s="2">
        <v>568</v>
      </c>
      <c r="N1610" t="s">
        <v>4048</v>
      </c>
      <c r="O1610">
        <v>1</v>
      </c>
      <c r="P1610">
        <v>1</v>
      </c>
      <c r="Q1610">
        <v>0</v>
      </c>
      <c r="R1610" t="s">
        <v>5281</v>
      </c>
      <c r="S1610" t="s">
        <v>4558</v>
      </c>
      <c r="T1610" t="s">
        <v>4559</v>
      </c>
      <c r="U1610" t="s">
        <v>4655</v>
      </c>
      <c r="V1610" s="2">
        <v>0</v>
      </c>
      <c r="W1610" t="s">
        <v>4655</v>
      </c>
      <c r="X1610" s="2">
        <v>0</v>
      </c>
      <c r="Y1610">
        <v>21</v>
      </c>
      <c r="Z1610" t="s">
        <v>4144</v>
      </c>
      <c r="AA1610" s="3">
        <v>1.00000004749745E-3</v>
      </c>
      <c r="AB1610" t="s">
        <v>11979</v>
      </c>
      <c r="AC1610" t="s">
        <v>4575</v>
      </c>
      <c r="AD1610" t="s">
        <v>11980</v>
      </c>
      <c r="AE1610" t="s">
        <v>4655</v>
      </c>
      <c r="AF1610" t="s">
        <v>4563</v>
      </c>
      <c r="AG1610" t="s">
        <v>4564</v>
      </c>
      <c r="AH1610" t="s">
        <v>1147</v>
      </c>
      <c r="AI1610" t="s">
        <v>11981</v>
      </c>
      <c r="AJ1610" t="s">
        <v>4655</v>
      </c>
      <c r="AK1610" t="s">
        <v>11982</v>
      </c>
      <c r="AL1610" s="13" t="s">
        <v>2257</v>
      </c>
      <c r="AM1610" s="14">
        <v>1</v>
      </c>
      <c r="AN1610" s="15" t="s">
        <v>3145</v>
      </c>
    </row>
    <row r="1611" spans="1:40" x14ac:dyDescent="0.3">
      <c r="A1611" s="10" t="str">
        <f>HYPERLINK("http://www.washoecounty.gov/assessor/cama/?parid=021-510-43&amp;CardNumber=1","021-510-43")</f>
        <v>021-510-43</v>
      </c>
      <c r="B1611" t="s">
        <v>4655</v>
      </c>
      <c r="C1611" t="s">
        <v>11983</v>
      </c>
      <c r="D1611" s="1">
        <v>40541</v>
      </c>
      <c r="E1611" s="2">
        <v>42000</v>
      </c>
      <c r="F1611" t="s">
        <v>4553</v>
      </c>
      <c r="G1611" s="17" t="str">
        <f>HYPERLINK("https://www.washoecounty.gov/assessor/cama/?command=sales&amp;parid=02151043","3958547")</f>
        <v>3958547</v>
      </c>
      <c r="H1611" t="s">
        <v>4050</v>
      </c>
      <c r="I1611">
        <v>1985</v>
      </c>
      <c r="J1611">
        <v>1985</v>
      </c>
      <c r="K1611" t="s">
        <v>4897</v>
      </c>
      <c r="L1611" t="s">
        <v>3974</v>
      </c>
      <c r="M1611" s="2">
        <v>750</v>
      </c>
      <c r="N1611" t="s">
        <v>4048</v>
      </c>
      <c r="O1611">
        <v>2</v>
      </c>
      <c r="P1611">
        <v>1</v>
      </c>
      <c r="Q1611">
        <v>1</v>
      </c>
      <c r="R1611" t="s">
        <v>5281</v>
      </c>
      <c r="S1611" t="s">
        <v>4558</v>
      </c>
      <c r="T1611" t="s">
        <v>4559</v>
      </c>
      <c r="U1611" t="s">
        <v>4655</v>
      </c>
      <c r="V1611" s="2">
        <v>0</v>
      </c>
      <c r="W1611" t="s">
        <v>4655</v>
      </c>
      <c r="X1611" s="2">
        <v>0</v>
      </c>
      <c r="Y1611">
        <v>21</v>
      </c>
      <c r="Z1611" t="s">
        <v>4144</v>
      </c>
      <c r="AA1611" s="3">
        <v>1.00000004749745E-3</v>
      </c>
      <c r="AB1611" t="s">
        <v>11984</v>
      </c>
      <c r="AC1611" t="s">
        <v>4562</v>
      </c>
      <c r="AD1611" t="s">
        <v>11983</v>
      </c>
      <c r="AE1611" t="s">
        <v>4655</v>
      </c>
      <c r="AF1611" t="s">
        <v>4563</v>
      </c>
      <c r="AG1611" t="s">
        <v>4564</v>
      </c>
      <c r="AH1611">
        <v>89502</v>
      </c>
      <c r="AI1611" t="s">
        <v>4903</v>
      </c>
      <c r="AJ1611" t="s">
        <v>4655</v>
      </c>
      <c r="AK1611" t="s">
        <v>11985</v>
      </c>
      <c r="AL1611" s="13" t="s">
        <v>2257</v>
      </c>
      <c r="AM1611">
        <v>1</v>
      </c>
      <c r="AN1611" s="15" t="s">
        <v>3145</v>
      </c>
    </row>
    <row r="1612" spans="1:40" x14ac:dyDescent="0.3">
      <c r="A1612" s="10" t="str">
        <f>HYPERLINK("http://www.washoecounty.gov/assessor/cama/?parid=021-521-11&amp;CardNumber=1","021-521-11")</f>
        <v>021-521-11</v>
      </c>
      <c r="B1612" t="s">
        <v>4655</v>
      </c>
      <c r="C1612" t="s">
        <v>11986</v>
      </c>
      <c r="D1612" s="1">
        <v>40414</v>
      </c>
      <c r="E1612" s="2">
        <v>41200</v>
      </c>
      <c r="F1612" t="s">
        <v>4567</v>
      </c>
      <c r="G1612" s="17" t="str">
        <f>HYPERLINK("https://www.washoecounty.gov/assessor/cama/?command=sales&amp;parid=02152111","3915259")</f>
        <v>3915259</v>
      </c>
      <c r="H1612" t="s">
        <v>4050</v>
      </c>
      <c r="I1612">
        <v>1982</v>
      </c>
      <c r="J1612">
        <v>1982</v>
      </c>
      <c r="K1612" t="s">
        <v>3144</v>
      </c>
      <c r="L1612" t="s">
        <v>4555</v>
      </c>
      <c r="M1612" s="2">
        <v>568</v>
      </c>
      <c r="N1612" t="s">
        <v>4048</v>
      </c>
      <c r="O1612">
        <v>1</v>
      </c>
      <c r="P1612">
        <v>1</v>
      </c>
      <c r="Q1612">
        <v>0</v>
      </c>
      <c r="R1612" t="s">
        <v>5281</v>
      </c>
      <c r="S1612" t="s">
        <v>4558</v>
      </c>
      <c r="T1612" t="s">
        <v>4559</v>
      </c>
      <c r="U1612" t="s">
        <v>4655</v>
      </c>
      <c r="V1612" s="2">
        <v>0</v>
      </c>
      <c r="W1612" t="s">
        <v>4655</v>
      </c>
      <c r="X1612" s="2">
        <v>0</v>
      </c>
      <c r="Y1612">
        <v>21</v>
      </c>
      <c r="Z1612" t="s">
        <v>4144</v>
      </c>
      <c r="AA1612" s="3">
        <v>1.00000004749745E-3</v>
      </c>
      <c r="AB1612" t="s">
        <v>11987</v>
      </c>
      <c r="AC1612" t="s">
        <v>4562</v>
      </c>
      <c r="AD1612" t="s">
        <v>11988</v>
      </c>
      <c r="AE1612" t="s">
        <v>4655</v>
      </c>
      <c r="AF1612" t="s">
        <v>4563</v>
      </c>
      <c r="AG1612" t="s">
        <v>4564</v>
      </c>
      <c r="AH1612">
        <v>89502</v>
      </c>
      <c r="AI1612" t="s">
        <v>11989</v>
      </c>
      <c r="AJ1612" t="s">
        <v>4655</v>
      </c>
      <c r="AK1612" t="s">
        <v>11990</v>
      </c>
      <c r="AL1612" s="13" t="s">
        <v>2257</v>
      </c>
      <c r="AM1612">
        <v>1</v>
      </c>
      <c r="AN1612" s="15" t="s">
        <v>3145</v>
      </c>
    </row>
    <row r="1613" spans="1:40" x14ac:dyDescent="0.3">
      <c r="A1613" s="10" t="str">
        <f>HYPERLINK("http://www.washoecounty.gov/assessor/cama/?parid=021-522-05&amp;CardNumber=1","021-522-05")</f>
        <v>021-522-05</v>
      </c>
      <c r="B1613" t="s">
        <v>4655</v>
      </c>
      <c r="C1613" t="s">
        <v>11991</v>
      </c>
      <c r="D1613" s="1">
        <v>40389</v>
      </c>
      <c r="E1613" s="2">
        <v>40500</v>
      </c>
      <c r="F1613" t="s">
        <v>4553</v>
      </c>
      <c r="G1613" s="17" t="str">
        <f>HYPERLINK("https://www.washoecounty.gov/assessor/cama/?command=sales&amp;parid=02152205","3907443")</f>
        <v>3907443</v>
      </c>
      <c r="H1613" t="s">
        <v>4050</v>
      </c>
      <c r="I1613">
        <v>1982</v>
      </c>
      <c r="J1613">
        <v>1982</v>
      </c>
      <c r="K1613" t="s">
        <v>3144</v>
      </c>
      <c r="L1613" t="s">
        <v>4555</v>
      </c>
      <c r="M1613" s="2">
        <v>578</v>
      </c>
      <c r="N1613" t="s">
        <v>4048</v>
      </c>
      <c r="O1613">
        <v>1</v>
      </c>
      <c r="P1613">
        <v>1</v>
      </c>
      <c r="Q1613">
        <v>0</v>
      </c>
      <c r="R1613" t="s">
        <v>5281</v>
      </c>
      <c r="S1613" t="s">
        <v>4558</v>
      </c>
      <c r="T1613" t="s">
        <v>4559</v>
      </c>
      <c r="U1613" t="s">
        <v>4655</v>
      </c>
      <c r="V1613" s="2">
        <v>0</v>
      </c>
      <c r="W1613" t="s">
        <v>4655</v>
      </c>
      <c r="X1613" s="2">
        <v>0</v>
      </c>
      <c r="Y1613">
        <v>21</v>
      </c>
      <c r="Z1613" t="s">
        <v>4144</v>
      </c>
      <c r="AA1613" s="3">
        <v>1.00000004749745E-3</v>
      </c>
      <c r="AB1613" t="s">
        <v>11992</v>
      </c>
      <c r="AC1613" t="s">
        <v>4562</v>
      </c>
      <c r="AD1613" t="s">
        <v>11993</v>
      </c>
      <c r="AE1613" t="s">
        <v>4655</v>
      </c>
      <c r="AF1613" t="s">
        <v>1377</v>
      </c>
      <c r="AG1613" t="s">
        <v>4564</v>
      </c>
      <c r="AH1613">
        <v>89704</v>
      </c>
      <c r="AI1613" t="s">
        <v>4655</v>
      </c>
      <c r="AJ1613" t="s">
        <v>4655</v>
      </c>
      <c r="AK1613" t="s">
        <v>11994</v>
      </c>
      <c r="AL1613" s="13" t="s">
        <v>2257</v>
      </c>
      <c r="AM1613">
        <v>1</v>
      </c>
      <c r="AN1613" s="15" t="s">
        <v>3145</v>
      </c>
    </row>
    <row r="1614" spans="1:40" x14ac:dyDescent="0.3">
      <c r="A1614" s="10" t="str">
        <f>HYPERLINK("http://www.washoecounty.gov/assessor/cama/?parid=021-531-05&amp;CardNumber=1","021-531-05")</f>
        <v>021-531-05</v>
      </c>
      <c r="B1614" t="s">
        <v>4655</v>
      </c>
      <c r="C1614" t="s">
        <v>11995</v>
      </c>
      <c r="D1614" s="1">
        <v>40381</v>
      </c>
      <c r="E1614" s="2">
        <v>42000</v>
      </c>
      <c r="F1614" t="s">
        <v>4567</v>
      </c>
      <c r="G1614" s="17" t="str">
        <f>HYPERLINK("https://www.washoecounty.gov/assessor/cama/?command=sales&amp;parid=02153105","3903930")</f>
        <v>3903930</v>
      </c>
      <c r="H1614" t="s">
        <v>3838</v>
      </c>
      <c r="I1614">
        <v>1981</v>
      </c>
      <c r="J1614">
        <v>1981</v>
      </c>
      <c r="K1614" t="s">
        <v>3144</v>
      </c>
      <c r="L1614" t="s">
        <v>4555</v>
      </c>
      <c r="M1614" s="2">
        <v>568</v>
      </c>
      <c r="N1614" t="s">
        <v>4048</v>
      </c>
      <c r="O1614">
        <v>1</v>
      </c>
      <c r="P1614">
        <v>1</v>
      </c>
      <c r="Q1614">
        <v>0</v>
      </c>
      <c r="R1614" t="s">
        <v>5281</v>
      </c>
      <c r="S1614" t="s">
        <v>4558</v>
      </c>
      <c r="T1614" t="s">
        <v>4559</v>
      </c>
      <c r="U1614" t="s">
        <v>4655</v>
      </c>
      <c r="V1614" s="2">
        <v>0</v>
      </c>
      <c r="W1614" t="s">
        <v>4655</v>
      </c>
      <c r="X1614" s="2">
        <v>0</v>
      </c>
      <c r="Y1614">
        <v>21</v>
      </c>
      <c r="Z1614" t="s">
        <v>4144</v>
      </c>
      <c r="AA1614" s="3">
        <v>1.00000004749745E-3</v>
      </c>
      <c r="AB1614" t="s">
        <v>11996</v>
      </c>
      <c r="AC1614" t="s">
        <v>4562</v>
      </c>
      <c r="AD1614" t="s">
        <v>11995</v>
      </c>
      <c r="AE1614" t="s">
        <v>4655</v>
      </c>
      <c r="AF1614" t="s">
        <v>4563</v>
      </c>
      <c r="AG1614" t="s">
        <v>4564</v>
      </c>
      <c r="AH1614">
        <v>89502</v>
      </c>
      <c r="AI1614" t="s">
        <v>11997</v>
      </c>
      <c r="AJ1614" t="s">
        <v>4655</v>
      </c>
      <c r="AK1614" t="s">
        <v>11998</v>
      </c>
      <c r="AL1614" s="13" t="s">
        <v>2257</v>
      </c>
      <c r="AM1614" s="14">
        <v>1</v>
      </c>
      <c r="AN1614" s="15" t="s">
        <v>3145</v>
      </c>
    </row>
    <row r="1615" spans="1:40" x14ac:dyDescent="0.3">
      <c r="A1615" s="10" t="str">
        <f>HYPERLINK("http://www.washoecounty.gov/assessor/cama/?parid=021-531-18&amp;CardNumber=1","021-531-18")</f>
        <v>021-531-18</v>
      </c>
      <c r="B1615" t="s">
        <v>4655</v>
      </c>
      <c r="C1615" t="s">
        <v>11999</v>
      </c>
      <c r="D1615" s="1">
        <v>40351</v>
      </c>
      <c r="E1615" s="2">
        <v>58000</v>
      </c>
      <c r="F1615" t="s">
        <v>4553</v>
      </c>
      <c r="G1615" s="17" t="str">
        <f>HYPERLINK("https://www.washoecounty.gov/assessor/cama/?command=sales&amp;parid=02153118","3894367")</f>
        <v>3894367</v>
      </c>
      <c r="H1615" t="s">
        <v>4050</v>
      </c>
      <c r="I1615">
        <v>1981</v>
      </c>
      <c r="J1615">
        <v>1981</v>
      </c>
      <c r="K1615" t="s">
        <v>3144</v>
      </c>
      <c r="L1615" t="s">
        <v>4555</v>
      </c>
      <c r="M1615" s="2">
        <v>753</v>
      </c>
      <c r="N1615" t="s">
        <v>4048</v>
      </c>
      <c r="O1615">
        <v>1</v>
      </c>
      <c r="P1615">
        <v>1</v>
      </c>
      <c r="Q1615">
        <v>0</v>
      </c>
      <c r="R1615" t="s">
        <v>5281</v>
      </c>
      <c r="S1615" t="s">
        <v>4558</v>
      </c>
      <c r="T1615" t="s">
        <v>4559</v>
      </c>
      <c r="U1615" t="s">
        <v>4655</v>
      </c>
      <c r="V1615" s="2">
        <v>0</v>
      </c>
      <c r="W1615" t="s">
        <v>4655</v>
      </c>
      <c r="X1615" s="2">
        <v>0</v>
      </c>
      <c r="Y1615">
        <v>21</v>
      </c>
      <c r="Z1615" t="s">
        <v>4144</v>
      </c>
      <c r="AA1615" s="3">
        <v>1.00000004749745E-3</v>
      </c>
      <c r="AB1615" t="s">
        <v>12000</v>
      </c>
      <c r="AC1615" t="s">
        <v>4562</v>
      </c>
      <c r="AD1615" t="s">
        <v>12001</v>
      </c>
      <c r="AE1615" t="s">
        <v>4655</v>
      </c>
      <c r="AF1615" t="s">
        <v>5441</v>
      </c>
      <c r="AG1615" t="s">
        <v>4564</v>
      </c>
      <c r="AH1615" t="s">
        <v>579</v>
      </c>
      <c r="AI1615" t="s">
        <v>4565</v>
      </c>
      <c r="AJ1615" t="s">
        <v>4655</v>
      </c>
      <c r="AK1615" t="s">
        <v>12002</v>
      </c>
      <c r="AL1615" s="13" t="s">
        <v>2257</v>
      </c>
      <c r="AM1615">
        <v>1</v>
      </c>
      <c r="AN1615" s="15" t="s">
        <v>3145</v>
      </c>
    </row>
    <row r="1616" spans="1:40" x14ac:dyDescent="0.3">
      <c r="A1616" s="10" t="str">
        <f>HYPERLINK("http://www.washoecounty.gov/assessor/cama/?parid=021-531-20&amp;CardNumber=1","021-531-20")</f>
        <v>021-531-20</v>
      </c>
      <c r="B1616" t="s">
        <v>4655</v>
      </c>
      <c r="C1616" t="s">
        <v>12003</v>
      </c>
      <c r="D1616" s="1">
        <v>40324</v>
      </c>
      <c r="E1616" s="2">
        <v>81500</v>
      </c>
      <c r="F1616" t="s">
        <v>4553</v>
      </c>
      <c r="G1616" s="17" t="str">
        <f>HYPERLINK("https://www.washoecounty.gov/assessor/cama/?command=sales&amp;parid=02153120","3885603")</f>
        <v>3885603</v>
      </c>
      <c r="H1616" t="s">
        <v>12004</v>
      </c>
      <c r="I1616">
        <v>1981</v>
      </c>
      <c r="J1616">
        <v>1981</v>
      </c>
      <c r="K1616" t="s">
        <v>4897</v>
      </c>
      <c r="L1616" t="s">
        <v>3974</v>
      </c>
      <c r="M1616" s="2">
        <v>1034</v>
      </c>
      <c r="N1616" t="s">
        <v>4048</v>
      </c>
      <c r="O1616">
        <v>2</v>
      </c>
      <c r="P1616">
        <v>1</v>
      </c>
      <c r="Q1616">
        <v>1</v>
      </c>
      <c r="R1616" t="s">
        <v>5281</v>
      </c>
      <c r="S1616" t="s">
        <v>4558</v>
      </c>
      <c r="T1616" t="s">
        <v>4559</v>
      </c>
      <c r="U1616" t="s">
        <v>4655</v>
      </c>
      <c r="V1616" s="2">
        <v>0</v>
      </c>
      <c r="W1616" t="s">
        <v>4655</v>
      </c>
      <c r="X1616" s="2">
        <v>0</v>
      </c>
      <c r="Y1616">
        <v>21</v>
      </c>
      <c r="Z1616" t="s">
        <v>4144</v>
      </c>
      <c r="AA1616" s="3">
        <v>1.00000004749745E-3</v>
      </c>
      <c r="AB1616" t="s">
        <v>12005</v>
      </c>
      <c r="AC1616" t="s">
        <v>4562</v>
      </c>
      <c r="AD1616" t="s">
        <v>12003</v>
      </c>
      <c r="AE1616" t="s">
        <v>4655</v>
      </c>
      <c r="AF1616" t="s">
        <v>4563</v>
      </c>
      <c r="AG1616" t="s">
        <v>4564</v>
      </c>
      <c r="AH1616">
        <v>89502</v>
      </c>
      <c r="AI1616" t="s">
        <v>12006</v>
      </c>
      <c r="AJ1616" t="s">
        <v>4655</v>
      </c>
      <c r="AK1616" t="s">
        <v>12007</v>
      </c>
      <c r="AL1616" s="13" t="s">
        <v>2257</v>
      </c>
      <c r="AM1616">
        <v>1</v>
      </c>
      <c r="AN1616" s="15" t="s">
        <v>3145</v>
      </c>
    </row>
    <row r="1617" spans="1:40" x14ac:dyDescent="0.3">
      <c r="A1617" s="10" t="str">
        <f>HYPERLINK("http://www.washoecounty.gov/assessor/cama/?parid=021-531-23&amp;CardNumber=1","021-531-23")</f>
        <v>021-531-23</v>
      </c>
      <c r="B1617" t="s">
        <v>4655</v>
      </c>
      <c r="C1617" t="s">
        <v>12008</v>
      </c>
      <c r="D1617" s="1">
        <v>40252</v>
      </c>
      <c r="E1617" s="2">
        <v>42500</v>
      </c>
      <c r="F1617" t="s">
        <v>4567</v>
      </c>
      <c r="G1617" s="17" t="str">
        <f>HYPERLINK("https://www.washoecounty.gov/assessor/cama/?command=sales&amp;parid=02153123","3860027")</f>
        <v>3860027</v>
      </c>
      <c r="H1617" t="s">
        <v>4050</v>
      </c>
      <c r="I1617">
        <v>1981</v>
      </c>
      <c r="J1617">
        <v>1981</v>
      </c>
      <c r="K1617" t="s">
        <v>3144</v>
      </c>
      <c r="L1617" t="s">
        <v>4555</v>
      </c>
      <c r="M1617" s="2">
        <v>519</v>
      </c>
      <c r="N1617" t="s">
        <v>4048</v>
      </c>
      <c r="O1617">
        <v>1</v>
      </c>
      <c r="P1617">
        <v>1</v>
      </c>
      <c r="Q1617">
        <v>0</v>
      </c>
      <c r="R1617" t="s">
        <v>5281</v>
      </c>
      <c r="S1617" t="s">
        <v>4558</v>
      </c>
      <c r="T1617" t="s">
        <v>4559</v>
      </c>
      <c r="U1617" t="s">
        <v>4655</v>
      </c>
      <c r="V1617" s="2">
        <v>0</v>
      </c>
      <c r="W1617" t="s">
        <v>4655</v>
      </c>
      <c r="X1617" s="2">
        <v>0</v>
      </c>
      <c r="Y1617">
        <v>21</v>
      </c>
      <c r="Z1617" t="s">
        <v>4144</v>
      </c>
      <c r="AA1617" s="3">
        <v>1.00000004749745E-3</v>
      </c>
      <c r="AB1617" t="s">
        <v>2760</v>
      </c>
      <c r="AC1617" t="s">
        <v>4575</v>
      </c>
      <c r="AD1617" t="s">
        <v>490</v>
      </c>
      <c r="AE1617" t="s">
        <v>4655</v>
      </c>
      <c r="AF1617" t="s">
        <v>1343</v>
      </c>
      <c r="AG1617" t="s">
        <v>4584</v>
      </c>
      <c r="AH1617">
        <v>93015</v>
      </c>
      <c r="AI1617" t="s">
        <v>10643</v>
      </c>
      <c r="AJ1617" t="s">
        <v>4655</v>
      </c>
      <c r="AK1617" t="s">
        <v>12009</v>
      </c>
      <c r="AL1617" s="13" t="s">
        <v>2257</v>
      </c>
      <c r="AM1617" s="14">
        <v>1</v>
      </c>
      <c r="AN1617" s="15" t="s">
        <v>3145</v>
      </c>
    </row>
    <row r="1618" spans="1:40" x14ac:dyDescent="0.3">
      <c r="A1618" s="10" t="str">
        <f>HYPERLINK("http://www.washoecounty.gov/assessor/cama/?parid=021-531-24&amp;CardNumber=1","021-531-24")</f>
        <v>021-531-24</v>
      </c>
      <c r="B1618" t="s">
        <v>4655</v>
      </c>
      <c r="C1618" t="s">
        <v>12010</v>
      </c>
      <c r="D1618" s="1">
        <v>40479</v>
      </c>
      <c r="E1618" s="2">
        <v>45000</v>
      </c>
      <c r="F1618" t="s">
        <v>4567</v>
      </c>
      <c r="G1618" s="17" t="str">
        <f>HYPERLINK("https://www.washoecounty.gov/assessor/cama/?command=sales&amp;parid=02153124","3937917")</f>
        <v>3937917</v>
      </c>
      <c r="H1618" t="s">
        <v>4050</v>
      </c>
      <c r="I1618">
        <v>1981</v>
      </c>
      <c r="J1618">
        <v>1981</v>
      </c>
      <c r="K1618" t="s">
        <v>3144</v>
      </c>
      <c r="L1618" t="s">
        <v>4555</v>
      </c>
      <c r="M1618" s="2">
        <v>519</v>
      </c>
      <c r="N1618" t="s">
        <v>4048</v>
      </c>
      <c r="O1618">
        <v>1</v>
      </c>
      <c r="P1618">
        <v>1</v>
      </c>
      <c r="Q1618">
        <v>0</v>
      </c>
      <c r="R1618" t="s">
        <v>5281</v>
      </c>
      <c r="S1618" t="s">
        <v>4558</v>
      </c>
      <c r="T1618" t="s">
        <v>4559</v>
      </c>
      <c r="U1618" t="s">
        <v>4655</v>
      </c>
      <c r="V1618" s="2">
        <v>0</v>
      </c>
      <c r="W1618" t="s">
        <v>4655</v>
      </c>
      <c r="X1618" s="2">
        <v>0</v>
      </c>
      <c r="Y1618">
        <v>21</v>
      </c>
      <c r="Z1618" t="s">
        <v>4144</v>
      </c>
      <c r="AA1618" s="3">
        <v>1.00000004749745E-3</v>
      </c>
      <c r="AB1618" t="s">
        <v>12011</v>
      </c>
      <c r="AC1618" t="s">
        <v>4562</v>
      </c>
      <c r="AD1618" t="s">
        <v>12012</v>
      </c>
      <c r="AE1618" t="s">
        <v>4655</v>
      </c>
      <c r="AF1618" t="s">
        <v>4563</v>
      </c>
      <c r="AG1618" t="s">
        <v>4564</v>
      </c>
      <c r="AH1618">
        <v>89502</v>
      </c>
      <c r="AI1618" t="s">
        <v>12013</v>
      </c>
      <c r="AJ1618" t="s">
        <v>4655</v>
      </c>
      <c r="AK1618" t="s">
        <v>12014</v>
      </c>
      <c r="AL1618" s="13" t="s">
        <v>2257</v>
      </c>
      <c r="AM1618">
        <v>1</v>
      </c>
      <c r="AN1618" s="15" t="s">
        <v>3145</v>
      </c>
    </row>
    <row r="1619" spans="1:40" x14ac:dyDescent="0.3">
      <c r="A1619" s="10" t="str">
        <f>HYPERLINK("http://www.washoecounty.gov/assessor/cama/?parid=021-531-26&amp;CardNumber=1","021-531-26")</f>
        <v>021-531-26</v>
      </c>
      <c r="B1619" t="s">
        <v>4655</v>
      </c>
      <c r="C1619" t="s">
        <v>12015</v>
      </c>
      <c r="D1619" s="1">
        <v>40492</v>
      </c>
      <c r="E1619" s="2">
        <v>53000</v>
      </c>
      <c r="F1619" t="s">
        <v>4553</v>
      </c>
      <c r="G1619" s="17" t="str">
        <f>HYPERLINK("https://www.washoecounty.gov/assessor/cama/?command=sales&amp;parid=02153126","3941576")</f>
        <v>3941576</v>
      </c>
      <c r="H1619" t="s">
        <v>4050</v>
      </c>
      <c r="I1619">
        <v>1981</v>
      </c>
      <c r="J1619">
        <v>1981</v>
      </c>
      <c r="K1619" t="s">
        <v>4897</v>
      </c>
      <c r="L1619" t="s">
        <v>3974</v>
      </c>
      <c r="M1619" s="2">
        <v>1034</v>
      </c>
      <c r="N1619" t="s">
        <v>4048</v>
      </c>
      <c r="O1619">
        <v>2</v>
      </c>
      <c r="P1619">
        <v>1</v>
      </c>
      <c r="Q1619">
        <v>1</v>
      </c>
      <c r="R1619" t="s">
        <v>5281</v>
      </c>
      <c r="S1619" t="s">
        <v>4558</v>
      </c>
      <c r="T1619" t="s">
        <v>4559</v>
      </c>
      <c r="U1619" t="s">
        <v>4655</v>
      </c>
      <c r="V1619" s="2">
        <v>0</v>
      </c>
      <c r="W1619" t="s">
        <v>4655</v>
      </c>
      <c r="X1619" s="2">
        <v>0</v>
      </c>
      <c r="Y1619">
        <v>21</v>
      </c>
      <c r="Z1619" t="s">
        <v>4144</v>
      </c>
      <c r="AA1619" s="3">
        <v>1.00000004749745E-3</v>
      </c>
      <c r="AB1619" t="s">
        <v>12016</v>
      </c>
      <c r="AC1619" t="s">
        <v>4562</v>
      </c>
      <c r="AD1619" t="s">
        <v>12015</v>
      </c>
      <c r="AE1619" t="s">
        <v>4655</v>
      </c>
      <c r="AF1619" t="s">
        <v>4563</v>
      </c>
      <c r="AG1619" t="s">
        <v>4564</v>
      </c>
      <c r="AH1619">
        <v>89502</v>
      </c>
      <c r="AI1619" t="s">
        <v>4045</v>
      </c>
      <c r="AJ1619" t="s">
        <v>4655</v>
      </c>
      <c r="AK1619" t="s">
        <v>12017</v>
      </c>
      <c r="AL1619" s="13" t="s">
        <v>2257</v>
      </c>
      <c r="AM1619">
        <v>1</v>
      </c>
      <c r="AN1619" s="15" t="s">
        <v>3145</v>
      </c>
    </row>
    <row r="1620" spans="1:40" x14ac:dyDescent="0.3">
      <c r="A1620" s="10" t="str">
        <f>HYPERLINK("http://www.washoecounty.gov/assessor/cama/?parid=021-631-33&amp;CardNumber=1","021-631-33")</f>
        <v>021-631-33</v>
      </c>
      <c r="B1620" t="s">
        <v>4655</v>
      </c>
      <c r="C1620" t="s">
        <v>12018</v>
      </c>
      <c r="D1620" s="1">
        <v>40358</v>
      </c>
      <c r="E1620" s="2">
        <v>133000</v>
      </c>
      <c r="F1620" t="s">
        <v>4567</v>
      </c>
      <c r="G1620" s="17" t="str">
        <f>HYPERLINK("https://www.washoecounty.gov/assessor/cama/?command=sales&amp;parid=02163133","3896547")</f>
        <v>3896547</v>
      </c>
      <c r="H1620" t="s">
        <v>1692</v>
      </c>
      <c r="I1620">
        <v>1988</v>
      </c>
      <c r="J1620">
        <v>1988</v>
      </c>
      <c r="K1620" t="s">
        <v>4897</v>
      </c>
      <c r="L1620" t="s">
        <v>3974</v>
      </c>
      <c r="M1620" s="2">
        <v>1313</v>
      </c>
      <c r="N1620" t="s">
        <v>5280</v>
      </c>
      <c r="O1620">
        <v>2</v>
      </c>
      <c r="P1620">
        <v>2</v>
      </c>
      <c r="Q1620">
        <v>1</v>
      </c>
      <c r="R1620" t="s">
        <v>5281</v>
      </c>
      <c r="S1620" t="s">
        <v>4135</v>
      </c>
      <c r="T1620" t="s">
        <v>4559</v>
      </c>
      <c r="U1620" t="s">
        <v>5631</v>
      </c>
      <c r="V1620" s="2">
        <v>414</v>
      </c>
      <c r="W1620" t="s">
        <v>4655</v>
      </c>
      <c r="X1620" s="2">
        <v>0</v>
      </c>
      <c r="Y1620">
        <v>20</v>
      </c>
      <c r="Z1620" t="s">
        <v>4144</v>
      </c>
      <c r="AA1620" s="3">
        <v>0.11600092053413399</v>
      </c>
      <c r="AB1620" t="s">
        <v>12019</v>
      </c>
      <c r="AC1620" t="s">
        <v>4562</v>
      </c>
      <c r="AD1620" t="s">
        <v>12018</v>
      </c>
      <c r="AE1620" t="s">
        <v>4655</v>
      </c>
      <c r="AF1620" t="s">
        <v>4563</v>
      </c>
      <c r="AG1620" t="s">
        <v>4564</v>
      </c>
      <c r="AH1620">
        <v>89502</v>
      </c>
      <c r="AI1620" t="s">
        <v>12020</v>
      </c>
      <c r="AJ1620" t="s">
        <v>4655</v>
      </c>
      <c r="AK1620" t="s">
        <v>12021</v>
      </c>
      <c r="AL1620" s="13" t="s">
        <v>2257</v>
      </c>
      <c r="AM1620" s="14">
        <v>1</v>
      </c>
      <c r="AN1620" s="15" t="s">
        <v>205</v>
      </c>
    </row>
    <row r="1621" spans="1:40" x14ac:dyDescent="0.3">
      <c r="A1621" s="10" t="str">
        <f>HYPERLINK("http://www.washoecounty.gov/assessor/cama/?parid=021-631-39&amp;CardNumber=1","021-631-39")</f>
        <v>021-631-39</v>
      </c>
      <c r="B1621" t="s">
        <v>4655</v>
      </c>
      <c r="C1621" t="s">
        <v>12022</v>
      </c>
      <c r="D1621" s="1">
        <v>40274</v>
      </c>
      <c r="E1621" s="2">
        <v>120000</v>
      </c>
      <c r="F1621" t="s">
        <v>4567</v>
      </c>
      <c r="G1621" s="17" t="str">
        <f>HYPERLINK("https://www.washoecounty.gov/assessor/cama/?command=sales&amp;parid=02163139","3868199")</f>
        <v>3868199</v>
      </c>
      <c r="H1621" t="s">
        <v>1692</v>
      </c>
      <c r="I1621">
        <v>1988</v>
      </c>
      <c r="J1621">
        <v>1988</v>
      </c>
      <c r="K1621" t="s">
        <v>4897</v>
      </c>
      <c r="L1621" t="s">
        <v>3974</v>
      </c>
      <c r="M1621" s="2">
        <v>1179</v>
      </c>
      <c r="N1621" t="s">
        <v>5280</v>
      </c>
      <c r="O1621">
        <v>2</v>
      </c>
      <c r="P1621">
        <v>2</v>
      </c>
      <c r="Q1621">
        <v>1</v>
      </c>
      <c r="R1621" t="s">
        <v>4557</v>
      </c>
      <c r="S1621" t="s">
        <v>4135</v>
      </c>
      <c r="T1621" t="s">
        <v>4559</v>
      </c>
      <c r="U1621" t="s">
        <v>5631</v>
      </c>
      <c r="V1621" s="2">
        <v>403</v>
      </c>
      <c r="W1621" t="s">
        <v>4655</v>
      </c>
      <c r="X1621" s="2">
        <v>0</v>
      </c>
      <c r="Y1621">
        <v>20</v>
      </c>
      <c r="Z1621" t="s">
        <v>4144</v>
      </c>
      <c r="AA1621" s="3">
        <v>5.50045929849148E-2</v>
      </c>
      <c r="AB1621" t="s">
        <v>12023</v>
      </c>
      <c r="AC1621" t="s">
        <v>4562</v>
      </c>
      <c r="AD1621" t="s">
        <v>12024</v>
      </c>
      <c r="AE1621" t="s">
        <v>4655</v>
      </c>
      <c r="AF1621" t="s">
        <v>4563</v>
      </c>
      <c r="AG1621" t="s">
        <v>4564</v>
      </c>
      <c r="AH1621">
        <v>89502</v>
      </c>
      <c r="AI1621" t="s">
        <v>12025</v>
      </c>
      <c r="AJ1621" t="s">
        <v>4655</v>
      </c>
      <c r="AK1621" t="s">
        <v>12026</v>
      </c>
      <c r="AL1621" s="13" t="s">
        <v>2257</v>
      </c>
      <c r="AM1621">
        <v>1</v>
      </c>
      <c r="AN1621" s="15" t="s">
        <v>205</v>
      </c>
    </row>
    <row r="1622" spans="1:40" x14ac:dyDescent="0.3">
      <c r="A1622" s="10" t="str">
        <f>HYPERLINK("http://www.washoecounty.gov/assessor/cama/?parid=021-632-07&amp;CardNumber=1","021-632-07")</f>
        <v>021-632-07</v>
      </c>
      <c r="B1622" t="s">
        <v>4655</v>
      </c>
      <c r="C1622" t="s">
        <v>12027</v>
      </c>
      <c r="D1622" s="1">
        <v>40282</v>
      </c>
      <c r="E1622" s="2">
        <v>120000</v>
      </c>
      <c r="F1622" t="s">
        <v>4567</v>
      </c>
      <c r="G1622" s="17" t="str">
        <f>HYPERLINK("https://www.washoecounty.gov/assessor/cama/?command=sales&amp;parid=02163207","3870846")</f>
        <v>3870846</v>
      </c>
      <c r="H1622" t="s">
        <v>1692</v>
      </c>
      <c r="I1622">
        <v>1988</v>
      </c>
      <c r="J1622">
        <v>1988</v>
      </c>
      <c r="K1622" t="s">
        <v>4897</v>
      </c>
      <c r="L1622" t="s">
        <v>3974</v>
      </c>
      <c r="M1622" s="2">
        <v>1179</v>
      </c>
      <c r="N1622" t="s">
        <v>5280</v>
      </c>
      <c r="O1622">
        <v>2</v>
      </c>
      <c r="P1622">
        <v>2</v>
      </c>
      <c r="Q1622">
        <v>1</v>
      </c>
      <c r="R1622" t="s">
        <v>5281</v>
      </c>
      <c r="S1622" t="s">
        <v>4135</v>
      </c>
      <c r="T1622" t="s">
        <v>4559</v>
      </c>
      <c r="U1622" t="s">
        <v>5631</v>
      </c>
      <c r="V1622" s="2">
        <v>403</v>
      </c>
      <c r="W1622" t="s">
        <v>4655</v>
      </c>
      <c r="X1622" s="2">
        <v>0</v>
      </c>
      <c r="Y1622">
        <v>20</v>
      </c>
      <c r="Z1622" t="s">
        <v>4144</v>
      </c>
      <c r="AA1622" s="3">
        <v>5.50045929849148E-2</v>
      </c>
      <c r="AB1622" t="s">
        <v>12028</v>
      </c>
      <c r="AC1622" t="s">
        <v>4562</v>
      </c>
      <c r="AD1622" t="s">
        <v>12027</v>
      </c>
      <c r="AE1622" t="s">
        <v>4655</v>
      </c>
      <c r="AF1622" t="s">
        <v>4563</v>
      </c>
      <c r="AG1622" t="s">
        <v>4564</v>
      </c>
      <c r="AH1622">
        <v>89502</v>
      </c>
      <c r="AI1622" t="s">
        <v>12029</v>
      </c>
      <c r="AJ1622" t="s">
        <v>4655</v>
      </c>
      <c r="AK1622" t="s">
        <v>12030</v>
      </c>
      <c r="AL1622" s="13" t="s">
        <v>2257</v>
      </c>
      <c r="AM1622">
        <v>1</v>
      </c>
      <c r="AN1622" s="15" t="s">
        <v>205</v>
      </c>
    </row>
    <row r="1623" spans="1:40" x14ac:dyDescent="0.3">
      <c r="A1623" s="10" t="str">
        <f>HYPERLINK("http://www.washoecounty.gov/assessor/cama/?parid=021-633-34&amp;CardNumber=1","021-633-34")</f>
        <v>021-633-34</v>
      </c>
      <c r="B1623" t="s">
        <v>4655</v>
      </c>
      <c r="C1623" t="s">
        <v>12031</v>
      </c>
      <c r="D1623" s="1">
        <v>40298</v>
      </c>
      <c r="E1623" s="2">
        <v>135000</v>
      </c>
      <c r="F1623" t="s">
        <v>4567</v>
      </c>
      <c r="G1623" s="17" t="str">
        <f>HYPERLINK("https://www.washoecounty.gov/assessor/cama/?command=sales&amp;parid=02163334","3876611")</f>
        <v>3876611</v>
      </c>
      <c r="H1623" t="s">
        <v>1692</v>
      </c>
      <c r="I1623">
        <v>1988</v>
      </c>
      <c r="J1623">
        <v>1988</v>
      </c>
      <c r="K1623" t="s">
        <v>4897</v>
      </c>
      <c r="L1623" t="s">
        <v>3974</v>
      </c>
      <c r="M1623" s="2">
        <v>1313</v>
      </c>
      <c r="N1623" t="s">
        <v>5280</v>
      </c>
      <c r="O1623">
        <v>2</v>
      </c>
      <c r="P1623">
        <v>2</v>
      </c>
      <c r="Q1623">
        <v>1</v>
      </c>
      <c r="R1623" t="s">
        <v>5281</v>
      </c>
      <c r="S1623" t="s">
        <v>4135</v>
      </c>
      <c r="T1623" t="s">
        <v>4559</v>
      </c>
      <c r="U1623" t="s">
        <v>5631</v>
      </c>
      <c r="V1623" s="2">
        <v>414</v>
      </c>
      <c r="W1623" t="s">
        <v>4655</v>
      </c>
      <c r="X1623" s="2">
        <v>0</v>
      </c>
      <c r="Y1623">
        <v>20</v>
      </c>
      <c r="Z1623" t="s">
        <v>4144</v>
      </c>
      <c r="AA1623" s="3">
        <v>5.50045929849148E-2</v>
      </c>
      <c r="AB1623" t="s">
        <v>12032</v>
      </c>
      <c r="AC1623" t="s">
        <v>4562</v>
      </c>
      <c r="AD1623" t="s">
        <v>12031</v>
      </c>
      <c r="AE1623" t="s">
        <v>4655</v>
      </c>
      <c r="AF1623" t="s">
        <v>4563</v>
      </c>
      <c r="AG1623" t="s">
        <v>4564</v>
      </c>
      <c r="AH1623">
        <v>89502</v>
      </c>
      <c r="AI1623" t="s">
        <v>12033</v>
      </c>
      <c r="AJ1623" t="s">
        <v>4655</v>
      </c>
      <c r="AK1623" t="s">
        <v>12034</v>
      </c>
      <c r="AL1623" s="13" t="s">
        <v>2257</v>
      </c>
      <c r="AM1623">
        <v>1</v>
      </c>
      <c r="AN1623" s="15" t="s">
        <v>205</v>
      </c>
    </row>
    <row r="1624" spans="1:40" x14ac:dyDescent="0.3">
      <c r="A1624" s="10" t="str">
        <f>HYPERLINK("http://www.washoecounty.gov/assessor/cama/?parid=021-662-16&amp;CardNumber=1","021-662-16")</f>
        <v>021-662-16</v>
      </c>
      <c r="B1624" t="s">
        <v>4655</v>
      </c>
      <c r="C1624" t="s">
        <v>12035</v>
      </c>
      <c r="D1624" s="1">
        <v>40240</v>
      </c>
      <c r="E1624" s="2">
        <v>155000</v>
      </c>
      <c r="F1624" t="s">
        <v>4567</v>
      </c>
      <c r="G1624" s="17" t="str">
        <f>HYPERLINK("https://www.washoecounty.gov/assessor/cama/?command=sales&amp;parid=02166216","3855496")</f>
        <v>3855496</v>
      </c>
      <c r="H1624" t="s">
        <v>1046</v>
      </c>
      <c r="I1624">
        <v>1993</v>
      </c>
      <c r="J1624">
        <v>1993</v>
      </c>
      <c r="K1624" t="s">
        <v>4554</v>
      </c>
      <c r="L1624" t="s">
        <v>4555</v>
      </c>
      <c r="M1624" s="2">
        <v>1359</v>
      </c>
      <c r="N1624" t="s">
        <v>5280</v>
      </c>
      <c r="O1624">
        <v>3</v>
      </c>
      <c r="P1624">
        <v>2</v>
      </c>
      <c r="Q1624">
        <v>0</v>
      </c>
      <c r="R1624" t="s">
        <v>4557</v>
      </c>
      <c r="S1624" t="s">
        <v>4558</v>
      </c>
      <c r="T1624" t="s">
        <v>4559</v>
      </c>
      <c r="U1624" t="s">
        <v>4560</v>
      </c>
      <c r="V1624" s="2">
        <v>403</v>
      </c>
      <c r="W1624" t="s">
        <v>4655</v>
      </c>
      <c r="X1624" s="2">
        <v>0</v>
      </c>
      <c r="Y1624">
        <v>20</v>
      </c>
      <c r="Z1624" t="s">
        <v>4144</v>
      </c>
      <c r="AA1624" s="3">
        <v>0.12601010501384699</v>
      </c>
      <c r="AB1624" t="s">
        <v>12036</v>
      </c>
      <c r="AC1624" t="s">
        <v>4575</v>
      </c>
      <c r="AD1624" t="s">
        <v>12037</v>
      </c>
      <c r="AE1624" t="s">
        <v>4655</v>
      </c>
      <c r="AF1624" t="s">
        <v>4563</v>
      </c>
      <c r="AG1624" t="s">
        <v>4564</v>
      </c>
      <c r="AH1624">
        <v>89502</v>
      </c>
      <c r="AI1624" t="s">
        <v>4655</v>
      </c>
      <c r="AJ1624" t="s">
        <v>1047</v>
      </c>
      <c r="AK1624" t="s">
        <v>12038</v>
      </c>
      <c r="AL1624" s="13" t="s">
        <v>2257</v>
      </c>
      <c r="AM1624">
        <v>1</v>
      </c>
      <c r="AN1624" s="15" t="s">
        <v>4049</v>
      </c>
    </row>
    <row r="1625" spans="1:40" x14ac:dyDescent="0.3">
      <c r="A1625" s="10" t="str">
        <f>HYPERLINK("http://www.washoecounty.gov/assessor/cama/?parid=021-683-06&amp;CardNumber=1","021-683-06")</f>
        <v>021-683-06</v>
      </c>
      <c r="B1625" t="s">
        <v>4655</v>
      </c>
      <c r="C1625" t="s">
        <v>12039</v>
      </c>
      <c r="D1625" s="1">
        <v>40332</v>
      </c>
      <c r="E1625" s="2">
        <v>285000</v>
      </c>
      <c r="F1625" t="s">
        <v>4567</v>
      </c>
      <c r="G1625" s="17" t="str">
        <f>HYPERLINK("https://www.washoecounty.gov/assessor/cama/?command=sales&amp;parid=02168306","3888110")</f>
        <v>3888110</v>
      </c>
      <c r="H1625" t="s">
        <v>3941</v>
      </c>
      <c r="I1625">
        <v>1992</v>
      </c>
      <c r="J1625">
        <v>1992</v>
      </c>
      <c r="K1625" t="s">
        <v>4554</v>
      </c>
      <c r="L1625" t="s">
        <v>3974</v>
      </c>
      <c r="M1625" s="2">
        <v>1724</v>
      </c>
      <c r="N1625" t="s">
        <v>5280</v>
      </c>
      <c r="O1625">
        <v>3</v>
      </c>
      <c r="P1625">
        <v>2</v>
      </c>
      <c r="Q1625">
        <v>1</v>
      </c>
      <c r="R1625" t="s">
        <v>4557</v>
      </c>
      <c r="S1625" t="s">
        <v>4558</v>
      </c>
      <c r="T1625" t="s">
        <v>2704</v>
      </c>
      <c r="U1625" t="s">
        <v>5631</v>
      </c>
      <c r="V1625" s="2">
        <v>459</v>
      </c>
      <c r="W1625" t="s">
        <v>4655</v>
      </c>
      <c r="X1625" s="2">
        <v>0</v>
      </c>
      <c r="Y1625">
        <v>20</v>
      </c>
      <c r="Z1625" t="s">
        <v>5107</v>
      </c>
      <c r="AA1625" s="3">
        <v>0.11299357563257199</v>
      </c>
      <c r="AB1625" t="s">
        <v>12040</v>
      </c>
      <c r="AC1625" t="s">
        <v>4575</v>
      </c>
      <c r="AD1625" t="s">
        <v>12041</v>
      </c>
      <c r="AE1625" t="s">
        <v>12042</v>
      </c>
      <c r="AF1625" t="s">
        <v>4563</v>
      </c>
      <c r="AG1625" t="s">
        <v>4564</v>
      </c>
      <c r="AH1625">
        <v>89502</v>
      </c>
      <c r="AI1625" t="s">
        <v>12040</v>
      </c>
      <c r="AJ1625" t="s">
        <v>3721</v>
      </c>
      <c r="AK1625" t="s">
        <v>12043</v>
      </c>
      <c r="AL1625" s="13" t="s">
        <v>2255</v>
      </c>
      <c r="AM1625">
        <v>1</v>
      </c>
      <c r="AN1625" s="15" t="s">
        <v>2284</v>
      </c>
    </row>
    <row r="1626" spans="1:40" x14ac:dyDescent="0.3">
      <c r="A1626" s="10" t="str">
        <f>HYPERLINK("http://www.washoecounty.gov/assessor/cama/?parid=021-684-32&amp;CardNumber=1","021-684-32")</f>
        <v>021-684-32</v>
      </c>
      <c r="B1626" t="s">
        <v>4655</v>
      </c>
      <c r="C1626" t="s">
        <v>12044</v>
      </c>
      <c r="D1626" s="1">
        <v>40380</v>
      </c>
      <c r="E1626" s="2">
        <v>162000</v>
      </c>
      <c r="F1626" t="s">
        <v>4553</v>
      </c>
      <c r="G1626" s="17" t="str">
        <f>HYPERLINK("https://www.washoecounty.gov/assessor/cama/?command=sales&amp;parid=02168432","3903345")</f>
        <v>3903345</v>
      </c>
      <c r="H1626" t="s">
        <v>3941</v>
      </c>
      <c r="I1626">
        <v>1992</v>
      </c>
      <c r="J1626">
        <v>1992</v>
      </c>
      <c r="K1626" t="s">
        <v>4554</v>
      </c>
      <c r="L1626" t="s">
        <v>4555</v>
      </c>
      <c r="M1626" s="2">
        <v>1541</v>
      </c>
      <c r="N1626" t="s">
        <v>5280</v>
      </c>
      <c r="O1626">
        <v>3</v>
      </c>
      <c r="P1626">
        <v>2</v>
      </c>
      <c r="Q1626">
        <v>0</v>
      </c>
      <c r="R1626" t="s">
        <v>4557</v>
      </c>
      <c r="S1626" t="s">
        <v>4558</v>
      </c>
      <c r="T1626" t="s">
        <v>2704</v>
      </c>
      <c r="U1626" t="s">
        <v>4560</v>
      </c>
      <c r="V1626" s="2">
        <v>429</v>
      </c>
      <c r="W1626" t="s">
        <v>4655</v>
      </c>
      <c r="X1626" s="2">
        <v>0</v>
      </c>
      <c r="Y1626">
        <v>20</v>
      </c>
      <c r="Z1626" t="s">
        <v>5107</v>
      </c>
      <c r="AA1626" s="3">
        <v>0.151010096073151</v>
      </c>
      <c r="AB1626" t="s">
        <v>12045</v>
      </c>
      <c r="AC1626" t="s">
        <v>4562</v>
      </c>
      <c r="AD1626" t="s">
        <v>12044</v>
      </c>
      <c r="AE1626" t="s">
        <v>4655</v>
      </c>
      <c r="AF1626" t="s">
        <v>4563</v>
      </c>
      <c r="AG1626" t="s">
        <v>4564</v>
      </c>
      <c r="AH1626">
        <v>89502</v>
      </c>
      <c r="AI1626" t="s">
        <v>4655</v>
      </c>
      <c r="AJ1626" t="s">
        <v>3721</v>
      </c>
      <c r="AK1626" t="s">
        <v>12046</v>
      </c>
      <c r="AL1626" s="13" t="s">
        <v>2255</v>
      </c>
      <c r="AM1626" s="14">
        <v>1</v>
      </c>
      <c r="AN1626" s="15" t="s">
        <v>2284</v>
      </c>
    </row>
    <row r="1627" spans="1:40" x14ac:dyDescent="0.3">
      <c r="A1627" s="10" t="str">
        <f>HYPERLINK("http://www.washoecounty.gov/assessor/cama/?parid=021-684-45&amp;CardNumber=1","021-684-45")</f>
        <v>021-684-45</v>
      </c>
      <c r="B1627" t="s">
        <v>4655</v>
      </c>
      <c r="C1627" t="s">
        <v>12047</v>
      </c>
      <c r="D1627" s="1">
        <v>40500</v>
      </c>
      <c r="E1627" s="2">
        <v>172265</v>
      </c>
      <c r="F1627" t="s">
        <v>4553</v>
      </c>
      <c r="G1627" s="17" t="str">
        <f>HYPERLINK("https://www.washoecounty.gov/assessor/cama/?command=sales&amp;parid=02168445","3944196")</f>
        <v>3944196</v>
      </c>
      <c r="H1627" t="s">
        <v>3941</v>
      </c>
      <c r="I1627">
        <v>1994</v>
      </c>
      <c r="J1627">
        <v>1994</v>
      </c>
      <c r="K1627" t="s">
        <v>4554</v>
      </c>
      <c r="L1627" t="s">
        <v>3974</v>
      </c>
      <c r="M1627" s="2">
        <v>1947</v>
      </c>
      <c r="N1627" t="s">
        <v>5280</v>
      </c>
      <c r="O1627">
        <v>4</v>
      </c>
      <c r="P1627">
        <v>2</v>
      </c>
      <c r="Q1627">
        <v>1</v>
      </c>
      <c r="R1627" t="s">
        <v>4557</v>
      </c>
      <c r="S1627" t="s">
        <v>4558</v>
      </c>
      <c r="T1627" t="s">
        <v>2704</v>
      </c>
      <c r="U1627" t="s">
        <v>5631</v>
      </c>
      <c r="V1627" s="2">
        <v>565</v>
      </c>
      <c r="W1627" t="s">
        <v>4655</v>
      </c>
      <c r="X1627" s="2">
        <v>0</v>
      </c>
      <c r="Y1627">
        <v>20</v>
      </c>
      <c r="Z1627" t="s">
        <v>5107</v>
      </c>
      <c r="AA1627" s="3">
        <v>0.11299357563257199</v>
      </c>
      <c r="AB1627" t="s">
        <v>12048</v>
      </c>
      <c r="AC1627" t="s">
        <v>4562</v>
      </c>
      <c r="AD1627" t="s">
        <v>12047</v>
      </c>
      <c r="AE1627" t="s">
        <v>4655</v>
      </c>
      <c r="AF1627" t="s">
        <v>4563</v>
      </c>
      <c r="AG1627" t="s">
        <v>4564</v>
      </c>
      <c r="AH1627">
        <v>89502</v>
      </c>
      <c r="AI1627" t="s">
        <v>2351</v>
      </c>
      <c r="AJ1627" t="s">
        <v>3721</v>
      </c>
      <c r="AK1627" t="s">
        <v>12049</v>
      </c>
      <c r="AL1627" s="13" t="s">
        <v>2255</v>
      </c>
      <c r="AM1627">
        <v>1</v>
      </c>
      <c r="AN1627" s="15" t="s">
        <v>2284</v>
      </c>
    </row>
    <row r="1628" spans="1:40" x14ac:dyDescent="0.3">
      <c r="A1628" s="10" t="str">
        <f>HYPERLINK("http://www.washoecounty.gov/assessor/cama/?parid=021-684-50&amp;CardNumber=1","021-684-50")</f>
        <v>021-684-50</v>
      </c>
      <c r="B1628" t="s">
        <v>4655</v>
      </c>
      <c r="C1628" t="s">
        <v>12050</v>
      </c>
      <c r="D1628" s="1">
        <v>40317</v>
      </c>
      <c r="E1628" s="2">
        <v>200000</v>
      </c>
      <c r="F1628" t="s">
        <v>4567</v>
      </c>
      <c r="G1628" s="17" t="str">
        <f>HYPERLINK("https://www.washoecounty.gov/assessor/cama/?command=sales&amp;parid=02168450","3882963")</f>
        <v>3882963</v>
      </c>
      <c r="H1628" t="s">
        <v>12051</v>
      </c>
      <c r="I1628">
        <v>1994</v>
      </c>
      <c r="J1628">
        <v>1994</v>
      </c>
      <c r="K1628" t="s">
        <v>4554</v>
      </c>
      <c r="L1628" t="s">
        <v>3974</v>
      </c>
      <c r="M1628" s="2">
        <v>1724</v>
      </c>
      <c r="N1628" t="s">
        <v>5280</v>
      </c>
      <c r="O1628">
        <v>3</v>
      </c>
      <c r="P1628">
        <v>2</v>
      </c>
      <c r="Q1628">
        <v>1</v>
      </c>
      <c r="R1628" t="s">
        <v>4557</v>
      </c>
      <c r="S1628" t="s">
        <v>4558</v>
      </c>
      <c r="T1628" t="s">
        <v>2704</v>
      </c>
      <c r="U1628" t="s">
        <v>5631</v>
      </c>
      <c r="V1628" s="2">
        <v>459</v>
      </c>
      <c r="W1628" t="s">
        <v>4655</v>
      </c>
      <c r="X1628" s="2">
        <v>0</v>
      </c>
      <c r="Y1628">
        <v>20</v>
      </c>
      <c r="Z1628" t="s">
        <v>5107</v>
      </c>
      <c r="AA1628" s="3">
        <v>0.10599173605442</v>
      </c>
      <c r="AB1628" t="s">
        <v>12052</v>
      </c>
      <c r="AC1628" t="s">
        <v>4562</v>
      </c>
      <c r="AD1628" t="s">
        <v>12050</v>
      </c>
      <c r="AE1628" t="s">
        <v>4655</v>
      </c>
      <c r="AF1628" t="s">
        <v>4563</v>
      </c>
      <c r="AG1628" t="s">
        <v>4564</v>
      </c>
      <c r="AH1628">
        <v>89502</v>
      </c>
      <c r="AI1628" t="s">
        <v>12053</v>
      </c>
      <c r="AJ1628" t="s">
        <v>3721</v>
      </c>
      <c r="AK1628" t="s">
        <v>12054</v>
      </c>
      <c r="AL1628" s="13" t="s">
        <v>2255</v>
      </c>
      <c r="AM1628">
        <v>1</v>
      </c>
      <c r="AN1628" s="15" t="s">
        <v>2284</v>
      </c>
    </row>
    <row r="1629" spans="1:40" x14ac:dyDescent="0.3">
      <c r="A1629" s="10" t="str">
        <f>HYPERLINK("http://www.washoecounty.gov/assessor/cama/?parid=021-702-09&amp;CardNumber=1","021-702-09")</f>
        <v>021-702-09</v>
      </c>
      <c r="B1629" t="s">
        <v>4655</v>
      </c>
      <c r="C1629" t="s">
        <v>12055</v>
      </c>
      <c r="D1629" s="1">
        <v>40372</v>
      </c>
      <c r="E1629" s="2">
        <v>242000</v>
      </c>
      <c r="F1629" t="s">
        <v>4567</v>
      </c>
      <c r="G1629" s="17" t="str">
        <f>HYPERLINK("https://www.washoecounty.gov/assessor/cama/?command=sales&amp;parid=02170209","3900986")</f>
        <v>3900986</v>
      </c>
      <c r="H1629" t="s">
        <v>2127</v>
      </c>
      <c r="I1629">
        <v>1995</v>
      </c>
      <c r="J1629">
        <v>1995</v>
      </c>
      <c r="K1629" t="s">
        <v>4554</v>
      </c>
      <c r="L1629" t="s">
        <v>4555</v>
      </c>
      <c r="M1629" s="2">
        <v>1845</v>
      </c>
      <c r="N1629" t="s">
        <v>3147</v>
      </c>
      <c r="O1629">
        <v>4</v>
      </c>
      <c r="P1629">
        <v>2</v>
      </c>
      <c r="Q1629">
        <v>0</v>
      </c>
      <c r="R1629" t="s">
        <v>5281</v>
      </c>
      <c r="S1629" t="s">
        <v>4558</v>
      </c>
      <c r="T1629" t="s">
        <v>2704</v>
      </c>
      <c r="U1629" t="s">
        <v>4560</v>
      </c>
      <c r="V1629" s="2">
        <v>562</v>
      </c>
      <c r="W1629" t="s">
        <v>4655</v>
      </c>
      <c r="X1629" s="2">
        <v>0</v>
      </c>
      <c r="Y1629">
        <v>20</v>
      </c>
      <c r="Z1629" t="s">
        <v>5107</v>
      </c>
      <c r="AA1629" s="3">
        <v>0.23298898339271545</v>
      </c>
      <c r="AB1629" t="s">
        <v>12056</v>
      </c>
      <c r="AC1629" t="s">
        <v>4562</v>
      </c>
      <c r="AD1629" t="s">
        <v>12055</v>
      </c>
      <c r="AE1629" t="s">
        <v>4655</v>
      </c>
      <c r="AF1629" t="s">
        <v>4563</v>
      </c>
      <c r="AG1629" t="s">
        <v>4564</v>
      </c>
      <c r="AH1629">
        <v>89502</v>
      </c>
      <c r="AI1629" t="s">
        <v>12057</v>
      </c>
      <c r="AJ1629" t="s">
        <v>2128</v>
      </c>
      <c r="AK1629" t="s">
        <v>12058</v>
      </c>
      <c r="AL1629" s="13" t="s">
        <v>2257</v>
      </c>
      <c r="AM1629">
        <v>1</v>
      </c>
      <c r="AN1629" s="15" t="s">
        <v>2284</v>
      </c>
    </row>
    <row r="1630" spans="1:40" x14ac:dyDescent="0.3">
      <c r="A1630" s="10" t="str">
        <f>HYPERLINK("http://www.washoecounty.gov/assessor/cama/?parid=021-712-08&amp;CardNumber=1","021-712-08")</f>
        <v>021-712-08</v>
      </c>
      <c r="B1630" t="s">
        <v>4655</v>
      </c>
      <c r="C1630" t="s">
        <v>12059</v>
      </c>
      <c r="D1630" s="1">
        <v>40308</v>
      </c>
      <c r="E1630" s="2">
        <v>210000</v>
      </c>
      <c r="F1630" t="s">
        <v>4567</v>
      </c>
      <c r="G1630" s="17" t="str">
        <f>HYPERLINK("https://www.washoecounty.gov/assessor/cama/?command=sales&amp;parid=02171208","3879663")</f>
        <v>3879663</v>
      </c>
      <c r="H1630" t="s">
        <v>2282</v>
      </c>
      <c r="I1630">
        <v>1995</v>
      </c>
      <c r="J1630">
        <v>1995</v>
      </c>
      <c r="K1630" t="s">
        <v>4554</v>
      </c>
      <c r="L1630" t="s">
        <v>3974</v>
      </c>
      <c r="M1630" s="2">
        <v>2063</v>
      </c>
      <c r="N1630" t="s">
        <v>5280</v>
      </c>
      <c r="O1630">
        <v>4</v>
      </c>
      <c r="P1630">
        <v>2</v>
      </c>
      <c r="Q1630">
        <v>1</v>
      </c>
      <c r="R1630" t="s">
        <v>5281</v>
      </c>
      <c r="S1630" t="s">
        <v>4558</v>
      </c>
      <c r="T1630" t="s">
        <v>2704</v>
      </c>
      <c r="U1630" t="s">
        <v>5631</v>
      </c>
      <c r="V1630" s="2">
        <v>704</v>
      </c>
      <c r="W1630" t="s">
        <v>4655</v>
      </c>
      <c r="X1630" s="2">
        <v>0</v>
      </c>
      <c r="Y1630">
        <v>20</v>
      </c>
      <c r="Z1630" t="s">
        <v>5107</v>
      </c>
      <c r="AA1630" s="3">
        <v>0.146992653608322</v>
      </c>
      <c r="AB1630" t="s">
        <v>12060</v>
      </c>
      <c r="AC1630" t="s">
        <v>4575</v>
      </c>
      <c r="AD1630" t="s">
        <v>12061</v>
      </c>
      <c r="AE1630" t="s">
        <v>4655</v>
      </c>
      <c r="AF1630" t="s">
        <v>3533</v>
      </c>
      <c r="AG1630" t="s">
        <v>4564</v>
      </c>
      <c r="AH1630">
        <v>89044</v>
      </c>
      <c r="AI1630" t="s">
        <v>4655</v>
      </c>
      <c r="AJ1630" t="s">
        <v>2283</v>
      </c>
      <c r="AK1630" t="s">
        <v>12062</v>
      </c>
      <c r="AL1630" s="13" t="s">
        <v>2257</v>
      </c>
      <c r="AM1630">
        <v>1</v>
      </c>
      <c r="AN1630" s="15" t="s">
        <v>2284</v>
      </c>
    </row>
    <row r="1631" spans="1:40" x14ac:dyDescent="0.3">
      <c r="A1631" s="10" t="str">
        <f>HYPERLINK("http://www.washoecounty.gov/assessor/cama/?parid=021-731-02&amp;CardNumber=1","021-731-02")</f>
        <v>021-731-02</v>
      </c>
      <c r="B1631" t="s">
        <v>4655</v>
      </c>
      <c r="C1631" t="s">
        <v>12063</v>
      </c>
      <c r="D1631" s="1">
        <v>40332</v>
      </c>
      <c r="E1631" s="2">
        <v>119000</v>
      </c>
      <c r="F1631" t="s">
        <v>4567</v>
      </c>
      <c r="G1631" s="17" t="str">
        <f>HYPERLINK("https://www.washoecounty.gov/assessor/cama/?command=sales&amp;parid=02173102","3888116")</f>
        <v>3888116</v>
      </c>
      <c r="H1631" t="s">
        <v>2581</v>
      </c>
      <c r="I1631">
        <v>1994</v>
      </c>
      <c r="J1631">
        <v>1994</v>
      </c>
      <c r="K1631" t="s">
        <v>4554</v>
      </c>
      <c r="L1631" t="s">
        <v>4555</v>
      </c>
      <c r="M1631" s="2">
        <v>1008</v>
      </c>
      <c r="N1631" t="s">
        <v>5280</v>
      </c>
      <c r="O1631">
        <v>2</v>
      </c>
      <c r="P1631">
        <v>2</v>
      </c>
      <c r="Q1631">
        <v>0</v>
      </c>
      <c r="R1631" t="s">
        <v>4557</v>
      </c>
      <c r="S1631" t="s">
        <v>4558</v>
      </c>
      <c r="T1631" t="s">
        <v>4559</v>
      </c>
      <c r="U1631" t="s">
        <v>4560</v>
      </c>
      <c r="V1631" s="2">
        <v>411</v>
      </c>
      <c r="W1631" t="s">
        <v>4655</v>
      </c>
      <c r="X1631" s="2">
        <v>0</v>
      </c>
      <c r="Y1631">
        <v>20</v>
      </c>
      <c r="Z1631" t="s">
        <v>5107</v>
      </c>
      <c r="AA1631" s="3">
        <v>6.4003676176071195E-2</v>
      </c>
      <c r="AB1631" t="s">
        <v>12064</v>
      </c>
      <c r="AC1631" t="s">
        <v>4562</v>
      </c>
      <c r="AD1631" t="s">
        <v>12063</v>
      </c>
      <c r="AE1631" t="s">
        <v>4655</v>
      </c>
      <c r="AF1631" t="s">
        <v>4563</v>
      </c>
      <c r="AG1631" t="s">
        <v>4564</v>
      </c>
      <c r="AH1631">
        <v>89502</v>
      </c>
      <c r="AI1631" t="s">
        <v>12065</v>
      </c>
      <c r="AJ1631" t="s">
        <v>3912</v>
      </c>
      <c r="AK1631" t="s">
        <v>12066</v>
      </c>
      <c r="AL1631" s="13" t="s">
        <v>2255</v>
      </c>
      <c r="AM1631" s="14">
        <v>1</v>
      </c>
      <c r="AN1631" s="15" t="s">
        <v>1551</v>
      </c>
    </row>
    <row r="1632" spans="1:40" x14ac:dyDescent="0.3">
      <c r="A1632" s="10" t="str">
        <f>HYPERLINK("http://www.washoecounty.gov/assessor/cama/?parid=021-731-05&amp;CardNumber=1","021-731-05")</f>
        <v>021-731-05</v>
      </c>
      <c r="B1632" t="s">
        <v>4655</v>
      </c>
      <c r="C1632" t="s">
        <v>12067</v>
      </c>
      <c r="D1632" s="1">
        <v>40289</v>
      </c>
      <c r="E1632" s="2">
        <v>120000</v>
      </c>
      <c r="F1632" t="s">
        <v>4553</v>
      </c>
      <c r="G1632" s="17" t="str">
        <f>HYPERLINK("https://www.washoecounty.gov/assessor/cama/?command=sales&amp;parid=02173105","3873393")</f>
        <v>3873393</v>
      </c>
      <c r="H1632" t="s">
        <v>12068</v>
      </c>
      <c r="I1632">
        <v>1994</v>
      </c>
      <c r="J1632">
        <v>1994</v>
      </c>
      <c r="K1632" t="s">
        <v>4554</v>
      </c>
      <c r="L1632" t="s">
        <v>4555</v>
      </c>
      <c r="M1632" s="2">
        <v>1008</v>
      </c>
      <c r="N1632" t="s">
        <v>5280</v>
      </c>
      <c r="O1632">
        <v>2</v>
      </c>
      <c r="P1632">
        <v>2</v>
      </c>
      <c r="Q1632">
        <v>0</v>
      </c>
      <c r="R1632" t="s">
        <v>5281</v>
      </c>
      <c r="S1632" t="s">
        <v>4558</v>
      </c>
      <c r="T1632" t="s">
        <v>4559</v>
      </c>
      <c r="U1632" t="s">
        <v>4560</v>
      </c>
      <c r="V1632" s="2">
        <v>411</v>
      </c>
      <c r="W1632" t="s">
        <v>4655</v>
      </c>
      <c r="X1632" s="2">
        <v>0</v>
      </c>
      <c r="Y1632">
        <v>20</v>
      </c>
      <c r="Z1632" t="s">
        <v>5107</v>
      </c>
      <c r="AA1632" s="3">
        <v>6.4003676176071195E-2</v>
      </c>
      <c r="AB1632" t="s">
        <v>12069</v>
      </c>
      <c r="AC1632" t="s">
        <v>4562</v>
      </c>
      <c r="AD1632" t="s">
        <v>12067</v>
      </c>
      <c r="AE1632" t="s">
        <v>4655</v>
      </c>
      <c r="AF1632" t="s">
        <v>4563</v>
      </c>
      <c r="AG1632" t="s">
        <v>4564</v>
      </c>
      <c r="AH1632">
        <v>89502</v>
      </c>
      <c r="AI1632" t="s">
        <v>4903</v>
      </c>
      <c r="AJ1632" t="s">
        <v>3912</v>
      </c>
      <c r="AK1632" t="s">
        <v>12070</v>
      </c>
      <c r="AL1632" s="13" t="s">
        <v>2255</v>
      </c>
      <c r="AM1632" s="14">
        <v>1</v>
      </c>
      <c r="AN1632" s="15" t="s">
        <v>1551</v>
      </c>
    </row>
    <row r="1633" spans="1:40" x14ac:dyDescent="0.3">
      <c r="A1633" s="10" t="str">
        <f>HYPERLINK("http://www.washoecounty.gov/assessor/cama/?parid=021-731-07&amp;CardNumber=1","021-731-07")</f>
        <v>021-731-07</v>
      </c>
      <c r="B1633" t="s">
        <v>4655</v>
      </c>
      <c r="C1633" t="s">
        <v>12071</v>
      </c>
      <c r="D1633" s="1">
        <v>40242</v>
      </c>
      <c r="E1633" s="2">
        <v>139000</v>
      </c>
      <c r="F1633" t="s">
        <v>4553</v>
      </c>
      <c r="G1633" s="17" t="str">
        <f>HYPERLINK("https://www.washoecounty.gov/assessor/cama/?command=sales&amp;parid=02173107","3856395")</f>
        <v>3856395</v>
      </c>
      <c r="H1633" t="s">
        <v>2581</v>
      </c>
      <c r="I1633">
        <v>1994</v>
      </c>
      <c r="J1633">
        <v>1994</v>
      </c>
      <c r="K1633" t="s">
        <v>4554</v>
      </c>
      <c r="L1633" t="s">
        <v>4555</v>
      </c>
      <c r="M1633" s="2">
        <v>1150</v>
      </c>
      <c r="N1633" t="s">
        <v>5280</v>
      </c>
      <c r="O1633">
        <v>3</v>
      </c>
      <c r="P1633">
        <v>2</v>
      </c>
      <c r="Q1633">
        <v>0</v>
      </c>
      <c r="R1633" t="s">
        <v>4557</v>
      </c>
      <c r="S1633" t="s">
        <v>4558</v>
      </c>
      <c r="T1633" t="s">
        <v>4559</v>
      </c>
      <c r="U1633" t="s">
        <v>4560</v>
      </c>
      <c r="V1633" s="2">
        <v>348</v>
      </c>
      <c r="W1633" t="s">
        <v>4655</v>
      </c>
      <c r="X1633" s="2">
        <v>0</v>
      </c>
      <c r="Y1633">
        <v>20</v>
      </c>
      <c r="Z1633" t="s">
        <v>5107</v>
      </c>
      <c r="AA1633" s="3">
        <v>7.1005508303642301E-2</v>
      </c>
      <c r="AB1633" t="s">
        <v>12072</v>
      </c>
      <c r="AC1633" t="s">
        <v>4562</v>
      </c>
      <c r="AD1633" t="s">
        <v>12071</v>
      </c>
      <c r="AE1633" t="s">
        <v>4655</v>
      </c>
      <c r="AF1633" t="s">
        <v>4563</v>
      </c>
      <c r="AG1633" t="s">
        <v>4564</v>
      </c>
      <c r="AH1633">
        <v>89502</v>
      </c>
      <c r="AI1633" t="s">
        <v>4503</v>
      </c>
      <c r="AJ1633" t="s">
        <v>3912</v>
      </c>
      <c r="AK1633" t="s">
        <v>12073</v>
      </c>
      <c r="AL1633" s="13" t="s">
        <v>2255</v>
      </c>
      <c r="AM1633" s="14">
        <v>1</v>
      </c>
      <c r="AN1633" s="15" t="s">
        <v>1551</v>
      </c>
    </row>
    <row r="1634" spans="1:40" x14ac:dyDescent="0.3">
      <c r="A1634" s="10" t="str">
        <f>HYPERLINK("http://www.washoecounty.gov/assessor/cama/?parid=021-751-02&amp;CardNumber=1","021-751-02")</f>
        <v>021-751-02</v>
      </c>
      <c r="B1634" t="s">
        <v>4655</v>
      </c>
      <c r="C1634" t="s">
        <v>12074</v>
      </c>
      <c r="D1634" s="1">
        <v>40297</v>
      </c>
      <c r="E1634" s="2">
        <v>130000</v>
      </c>
      <c r="F1634" t="s">
        <v>4567</v>
      </c>
      <c r="G1634" s="17" t="str">
        <f>HYPERLINK("https://www.washoecounty.gov/assessor/cama/?command=sales&amp;parid=02175102","3876183")</f>
        <v>3876183</v>
      </c>
      <c r="H1634" t="s">
        <v>5086</v>
      </c>
      <c r="I1634">
        <v>1995</v>
      </c>
      <c r="J1634">
        <v>1995</v>
      </c>
      <c r="K1634" t="s">
        <v>4554</v>
      </c>
      <c r="L1634" t="s">
        <v>4555</v>
      </c>
      <c r="M1634" s="2">
        <v>1008</v>
      </c>
      <c r="N1634" t="s">
        <v>5280</v>
      </c>
      <c r="O1634">
        <v>2</v>
      </c>
      <c r="P1634">
        <v>2</v>
      </c>
      <c r="Q1634">
        <v>0</v>
      </c>
      <c r="R1634" t="s">
        <v>5281</v>
      </c>
      <c r="S1634" t="s">
        <v>4558</v>
      </c>
      <c r="T1634" t="s">
        <v>4559</v>
      </c>
      <c r="U1634" t="s">
        <v>4560</v>
      </c>
      <c r="V1634" s="2">
        <v>411</v>
      </c>
      <c r="W1634" t="s">
        <v>4655</v>
      </c>
      <c r="X1634" s="2">
        <v>0</v>
      </c>
      <c r="Y1634">
        <v>20</v>
      </c>
      <c r="Z1634" t="s">
        <v>5107</v>
      </c>
      <c r="AA1634" s="3">
        <v>9.4995409250259399E-2</v>
      </c>
      <c r="AB1634" t="s">
        <v>12075</v>
      </c>
      <c r="AC1634" t="s">
        <v>4562</v>
      </c>
      <c r="AD1634" t="s">
        <v>12076</v>
      </c>
      <c r="AE1634" t="s">
        <v>4655</v>
      </c>
      <c r="AF1634" t="s">
        <v>4563</v>
      </c>
      <c r="AG1634" t="s">
        <v>4564</v>
      </c>
      <c r="AH1634">
        <v>89502</v>
      </c>
      <c r="AI1634" t="s">
        <v>12077</v>
      </c>
      <c r="AJ1634" t="s">
        <v>5087</v>
      </c>
      <c r="AK1634" t="s">
        <v>12078</v>
      </c>
      <c r="AL1634" s="13" t="s">
        <v>2255</v>
      </c>
      <c r="AM1634" s="14">
        <v>1</v>
      </c>
      <c r="AN1634" s="15" t="s">
        <v>1551</v>
      </c>
    </row>
    <row r="1635" spans="1:40" x14ac:dyDescent="0.3">
      <c r="A1635" s="10" t="str">
        <f>HYPERLINK("http://www.washoecounty.gov/assessor/cama/?parid=021-751-36&amp;CardNumber=1","021-751-36")</f>
        <v>021-751-36</v>
      </c>
      <c r="B1635" t="s">
        <v>4655</v>
      </c>
      <c r="C1635" t="s">
        <v>12079</v>
      </c>
      <c r="D1635" s="1">
        <v>40354</v>
      </c>
      <c r="E1635" s="2">
        <v>141000</v>
      </c>
      <c r="F1635" t="s">
        <v>4567</v>
      </c>
      <c r="G1635" s="17" t="str">
        <f>HYPERLINK("https://www.washoecounty.gov/assessor/cama/?command=sales&amp;parid=02175136","3895575")</f>
        <v>3895575</v>
      </c>
      <c r="H1635" t="s">
        <v>5086</v>
      </c>
      <c r="I1635">
        <v>1994</v>
      </c>
      <c r="J1635">
        <v>1994</v>
      </c>
      <c r="K1635" t="s">
        <v>4554</v>
      </c>
      <c r="L1635" t="s">
        <v>3974</v>
      </c>
      <c r="M1635" s="2">
        <v>1456</v>
      </c>
      <c r="N1635" t="s">
        <v>5280</v>
      </c>
      <c r="O1635">
        <v>3</v>
      </c>
      <c r="P1635">
        <v>2</v>
      </c>
      <c r="Q1635">
        <v>1</v>
      </c>
      <c r="R1635" t="s">
        <v>5281</v>
      </c>
      <c r="S1635" t="s">
        <v>4558</v>
      </c>
      <c r="T1635" t="s">
        <v>4559</v>
      </c>
      <c r="U1635" t="s">
        <v>5631</v>
      </c>
      <c r="V1635" s="2">
        <v>432</v>
      </c>
      <c r="W1635" t="s">
        <v>4655</v>
      </c>
      <c r="X1635" s="2">
        <v>0</v>
      </c>
      <c r="Y1635">
        <v>20</v>
      </c>
      <c r="Z1635" t="s">
        <v>5107</v>
      </c>
      <c r="AA1635" s="3">
        <v>5.7988978922367103E-2</v>
      </c>
      <c r="AB1635" t="s">
        <v>12080</v>
      </c>
      <c r="AC1635" t="s">
        <v>4575</v>
      </c>
      <c r="AD1635" t="s">
        <v>12081</v>
      </c>
      <c r="AE1635" t="s">
        <v>12079</v>
      </c>
      <c r="AF1635" t="s">
        <v>4563</v>
      </c>
      <c r="AG1635" t="s">
        <v>4564</v>
      </c>
      <c r="AH1635">
        <v>89502</v>
      </c>
      <c r="AI1635" t="s">
        <v>12082</v>
      </c>
      <c r="AJ1635" t="s">
        <v>5087</v>
      </c>
      <c r="AK1635" t="s">
        <v>12083</v>
      </c>
      <c r="AL1635" s="13" t="s">
        <v>2255</v>
      </c>
      <c r="AM1635">
        <v>1</v>
      </c>
      <c r="AN1635" s="15" t="s">
        <v>1551</v>
      </c>
    </row>
    <row r="1636" spans="1:40" x14ac:dyDescent="0.3">
      <c r="A1636" s="10" t="str">
        <f>HYPERLINK("http://www.washoecounty.gov/assessor/cama/?parid=021-782-03&amp;CardNumber=1","021-782-03")</f>
        <v>021-782-03</v>
      </c>
      <c r="B1636" t="s">
        <v>4655</v>
      </c>
      <c r="C1636" t="s">
        <v>12084</v>
      </c>
      <c r="D1636" s="1">
        <v>40197</v>
      </c>
      <c r="E1636" s="2">
        <v>185000</v>
      </c>
      <c r="F1636" t="s">
        <v>4567</v>
      </c>
      <c r="G1636" s="17" t="str">
        <f>HYPERLINK("https://www.washoecounty.gov/assessor/cama/?command=sales&amp;parid=02178203","3840744")</f>
        <v>3840744</v>
      </c>
      <c r="H1636" t="s">
        <v>1660</v>
      </c>
      <c r="I1636">
        <v>1998</v>
      </c>
      <c r="J1636">
        <v>1998</v>
      </c>
      <c r="K1636" t="s">
        <v>4554</v>
      </c>
      <c r="L1636" t="s">
        <v>3974</v>
      </c>
      <c r="M1636" s="2">
        <v>1435</v>
      </c>
      <c r="N1636" t="s">
        <v>5280</v>
      </c>
      <c r="O1636">
        <v>3</v>
      </c>
      <c r="P1636">
        <v>2</v>
      </c>
      <c r="Q1636">
        <v>1</v>
      </c>
      <c r="R1636" t="s">
        <v>5281</v>
      </c>
      <c r="S1636" t="s">
        <v>4558</v>
      </c>
      <c r="T1636" t="s">
        <v>4559</v>
      </c>
      <c r="U1636" t="s">
        <v>5631</v>
      </c>
      <c r="V1636" s="2">
        <v>339</v>
      </c>
      <c r="W1636" t="s">
        <v>4655</v>
      </c>
      <c r="X1636" s="2">
        <v>0</v>
      </c>
      <c r="Y1636">
        <v>20</v>
      </c>
      <c r="Z1636" t="s">
        <v>5107</v>
      </c>
      <c r="AA1636" s="3">
        <v>6.2993571162223802E-2</v>
      </c>
      <c r="AB1636" t="s">
        <v>12085</v>
      </c>
      <c r="AC1636" t="s">
        <v>4562</v>
      </c>
      <c r="AD1636" t="s">
        <v>12086</v>
      </c>
      <c r="AE1636" t="s">
        <v>4655</v>
      </c>
      <c r="AF1636" t="s">
        <v>1609</v>
      </c>
      <c r="AG1636" t="s">
        <v>4584</v>
      </c>
      <c r="AH1636" t="s">
        <v>1610</v>
      </c>
      <c r="AI1636" t="s">
        <v>12087</v>
      </c>
      <c r="AJ1636" t="s">
        <v>1611</v>
      </c>
      <c r="AK1636" t="s">
        <v>12088</v>
      </c>
      <c r="AL1636" s="13" t="s">
        <v>2257</v>
      </c>
      <c r="AM1636">
        <v>1</v>
      </c>
      <c r="AN1636" s="15" t="s">
        <v>1536</v>
      </c>
    </row>
    <row r="1637" spans="1:40" x14ac:dyDescent="0.3">
      <c r="A1637" s="10" t="str">
        <f>HYPERLINK("http://www.washoecounty.gov/assessor/cama/?parid=021-782-08&amp;CardNumber=1","021-782-08")</f>
        <v>021-782-08</v>
      </c>
      <c r="B1637" t="s">
        <v>4655</v>
      </c>
      <c r="C1637" t="s">
        <v>12089</v>
      </c>
      <c r="D1637" s="1">
        <v>40269</v>
      </c>
      <c r="E1637" s="2">
        <v>162500</v>
      </c>
      <c r="F1637" t="s">
        <v>4567</v>
      </c>
      <c r="G1637" s="17" t="str">
        <f>HYPERLINK("https://www.washoecounty.gov/assessor/cama/?command=sales&amp;parid=02178208","3866955")</f>
        <v>3866955</v>
      </c>
      <c r="H1637" t="s">
        <v>1660</v>
      </c>
      <c r="I1637">
        <v>2001</v>
      </c>
      <c r="J1637">
        <v>2001</v>
      </c>
      <c r="K1637" t="s">
        <v>4554</v>
      </c>
      <c r="L1637" t="s">
        <v>3974</v>
      </c>
      <c r="M1637" s="2">
        <v>1435</v>
      </c>
      <c r="N1637" t="s">
        <v>5280</v>
      </c>
      <c r="O1637">
        <v>3</v>
      </c>
      <c r="P1637">
        <v>2</v>
      </c>
      <c r="Q1637">
        <v>1</v>
      </c>
      <c r="R1637" t="s">
        <v>4557</v>
      </c>
      <c r="S1637" t="s">
        <v>4558</v>
      </c>
      <c r="T1637" t="s">
        <v>4559</v>
      </c>
      <c r="U1637" t="s">
        <v>5631</v>
      </c>
      <c r="V1637" s="2">
        <v>339</v>
      </c>
      <c r="W1637" t="s">
        <v>4655</v>
      </c>
      <c r="X1637" s="2">
        <v>0</v>
      </c>
      <c r="Y1637">
        <v>20</v>
      </c>
      <c r="Z1637" t="s">
        <v>5107</v>
      </c>
      <c r="AA1637" s="3">
        <v>9.1000914573669406E-2</v>
      </c>
      <c r="AB1637" t="s">
        <v>12090</v>
      </c>
      <c r="AC1637" t="s">
        <v>4562</v>
      </c>
      <c r="AD1637" t="s">
        <v>12091</v>
      </c>
      <c r="AE1637" t="s">
        <v>4655</v>
      </c>
      <c r="AF1637" t="s">
        <v>4563</v>
      </c>
      <c r="AG1637" t="s">
        <v>4564</v>
      </c>
      <c r="AH1637">
        <v>89502</v>
      </c>
      <c r="AI1637" t="s">
        <v>12092</v>
      </c>
      <c r="AJ1637" t="s">
        <v>1611</v>
      </c>
      <c r="AK1637" t="s">
        <v>12093</v>
      </c>
      <c r="AL1637" s="13" t="s">
        <v>2257</v>
      </c>
      <c r="AM1637">
        <v>1</v>
      </c>
      <c r="AN1637" s="15" t="s">
        <v>1536</v>
      </c>
    </row>
    <row r="1638" spans="1:40" x14ac:dyDescent="0.3">
      <c r="A1638" s="10" t="str">
        <f>HYPERLINK("http://www.washoecounty.gov/assessor/cama/?parid=021-792-03&amp;CardNumber=1","021-792-03")</f>
        <v>021-792-03</v>
      </c>
      <c r="B1638" t="s">
        <v>4655</v>
      </c>
      <c r="C1638" t="s">
        <v>12094</v>
      </c>
      <c r="D1638" s="1">
        <v>40410</v>
      </c>
      <c r="E1638" s="2">
        <v>187500</v>
      </c>
      <c r="F1638" t="s">
        <v>4567</v>
      </c>
      <c r="G1638" s="17" t="str">
        <f>HYPERLINK("https://www.washoecounty.gov/assessor/cama/?command=sales&amp;parid=02179203","3914149")</f>
        <v>3914149</v>
      </c>
      <c r="H1638" t="s">
        <v>1660</v>
      </c>
      <c r="I1638">
        <v>1998</v>
      </c>
      <c r="J1638">
        <v>1998</v>
      </c>
      <c r="K1638" t="s">
        <v>4554</v>
      </c>
      <c r="L1638" t="s">
        <v>3974</v>
      </c>
      <c r="M1638" s="2">
        <v>1588</v>
      </c>
      <c r="N1638" t="s">
        <v>5280</v>
      </c>
      <c r="O1638">
        <v>3</v>
      </c>
      <c r="P1638">
        <v>2</v>
      </c>
      <c r="Q1638">
        <v>1</v>
      </c>
      <c r="R1638" t="s">
        <v>5281</v>
      </c>
      <c r="S1638" t="s">
        <v>4558</v>
      </c>
      <c r="T1638" t="s">
        <v>4559</v>
      </c>
      <c r="U1638" t="s">
        <v>4560</v>
      </c>
      <c r="V1638" s="2">
        <v>360</v>
      </c>
      <c r="W1638" t="s">
        <v>4655</v>
      </c>
      <c r="X1638" s="2">
        <v>0</v>
      </c>
      <c r="Y1638">
        <v>20</v>
      </c>
      <c r="Z1638" t="s">
        <v>5107</v>
      </c>
      <c r="AA1638" s="3">
        <v>9.6005506813526195E-2</v>
      </c>
      <c r="AB1638" t="s">
        <v>12095</v>
      </c>
      <c r="AC1638" t="s">
        <v>4562</v>
      </c>
      <c r="AD1638" t="s">
        <v>12096</v>
      </c>
      <c r="AE1638" t="s">
        <v>4655</v>
      </c>
      <c r="AF1638" t="s">
        <v>3815</v>
      </c>
      <c r="AG1638" t="s">
        <v>4564</v>
      </c>
      <c r="AH1638" t="s">
        <v>3816</v>
      </c>
      <c r="AI1638" t="s">
        <v>12097</v>
      </c>
      <c r="AJ1638" t="s">
        <v>1611</v>
      </c>
      <c r="AK1638" t="s">
        <v>12098</v>
      </c>
      <c r="AL1638" s="13" t="s">
        <v>2257</v>
      </c>
      <c r="AM1638" s="14">
        <v>1</v>
      </c>
      <c r="AN1638" s="15" t="s">
        <v>1536</v>
      </c>
    </row>
    <row r="1639" spans="1:40" x14ac:dyDescent="0.3">
      <c r="A1639" s="10" t="str">
        <f>HYPERLINK("http://www.washoecounty.gov/assessor/cama/?parid=021-802-01&amp;CardNumber=1","021-802-01")</f>
        <v>021-802-01</v>
      </c>
      <c r="B1639" t="s">
        <v>4655</v>
      </c>
      <c r="C1639" t="s">
        <v>12099</v>
      </c>
      <c r="D1639" s="1">
        <v>40263</v>
      </c>
      <c r="E1639" s="2">
        <v>125000</v>
      </c>
      <c r="F1639" t="s">
        <v>4567</v>
      </c>
      <c r="G1639" s="17" t="str">
        <f>HYPERLINK("https://www.washoecounty.gov/assessor/cama/?command=sales&amp;parid=02180201","3864245")</f>
        <v>3864245</v>
      </c>
      <c r="H1639" t="s">
        <v>1660</v>
      </c>
      <c r="I1639">
        <v>1998</v>
      </c>
      <c r="J1639">
        <v>1998</v>
      </c>
      <c r="K1639" t="s">
        <v>4554</v>
      </c>
      <c r="L1639" t="s">
        <v>4555</v>
      </c>
      <c r="M1639" s="2">
        <v>1108</v>
      </c>
      <c r="N1639" t="s">
        <v>5280</v>
      </c>
      <c r="O1639">
        <v>2</v>
      </c>
      <c r="P1639">
        <v>2</v>
      </c>
      <c r="Q1639">
        <v>0</v>
      </c>
      <c r="R1639" t="s">
        <v>5281</v>
      </c>
      <c r="S1639" t="s">
        <v>4558</v>
      </c>
      <c r="T1639" t="s">
        <v>4559</v>
      </c>
      <c r="U1639" t="s">
        <v>4560</v>
      </c>
      <c r="V1639" s="2">
        <v>380</v>
      </c>
      <c r="W1639" t="s">
        <v>4655</v>
      </c>
      <c r="X1639" s="2">
        <v>0</v>
      </c>
      <c r="Y1639">
        <v>20</v>
      </c>
      <c r="Z1639" t="s">
        <v>5107</v>
      </c>
      <c r="AA1639" s="3">
        <v>7.3002755641937297E-2</v>
      </c>
      <c r="AB1639" t="s">
        <v>12100</v>
      </c>
      <c r="AC1639" t="s">
        <v>4575</v>
      </c>
      <c r="AD1639" t="s">
        <v>2761</v>
      </c>
      <c r="AE1639" t="s">
        <v>4655</v>
      </c>
      <c r="AF1639" t="s">
        <v>5206</v>
      </c>
      <c r="AG1639" t="s">
        <v>4564</v>
      </c>
      <c r="AH1639" t="s">
        <v>5275</v>
      </c>
      <c r="AI1639" t="s">
        <v>12101</v>
      </c>
      <c r="AJ1639" t="s">
        <v>1611</v>
      </c>
      <c r="AK1639" t="s">
        <v>12102</v>
      </c>
      <c r="AL1639" s="13" t="s">
        <v>2257</v>
      </c>
      <c r="AM1639" s="14">
        <v>1</v>
      </c>
      <c r="AN1639" s="15" t="s">
        <v>1536</v>
      </c>
    </row>
    <row r="1640" spans="1:40" x14ac:dyDescent="0.3">
      <c r="A1640" s="10" t="str">
        <f>HYPERLINK("http://www.washoecounty.gov/assessor/cama/?parid=021-811-05&amp;CardNumber=1","021-811-05")</f>
        <v>021-811-05</v>
      </c>
      <c r="B1640" t="s">
        <v>4655</v>
      </c>
      <c r="C1640" t="s">
        <v>12103</v>
      </c>
      <c r="D1640" s="1">
        <v>40451</v>
      </c>
      <c r="E1640" s="2">
        <v>120000</v>
      </c>
      <c r="F1640" t="s">
        <v>4567</v>
      </c>
      <c r="G1640" s="17" t="str">
        <f>HYPERLINK("https://www.washoecounty.gov/assessor/cama/?command=sales&amp;parid=02181105","3927999")</f>
        <v>3927999</v>
      </c>
      <c r="H1640" t="s">
        <v>4425</v>
      </c>
      <c r="I1640">
        <v>1998</v>
      </c>
      <c r="J1640">
        <v>1998</v>
      </c>
      <c r="K1640" t="s">
        <v>4554</v>
      </c>
      <c r="L1640" t="s">
        <v>4555</v>
      </c>
      <c r="M1640" s="2">
        <v>1108</v>
      </c>
      <c r="N1640" t="s">
        <v>5280</v>
      </c>
      <c r="O1640">
        <v>2</v>
      </c>
      <c r="P1640">
        <v>2</v>
      </c>
      <c r="Q1640">
        <v>0</v>
      </c>
      <c r="R1640" t="s">
        <v>5281</v>
      </c>
      <c r="S1640" t="s">
        <v>4558</v>
      </c>
      <c r="T1640" t="s">
        <v>4559</v>
      </c>
      <c r="U1640" t="s">
        <v>4560</v>
      </c>
      <c r="V1640" s="2">
        <v>380</v>
      </c>
      <c r="W1640" t="s">
        <v>4655</v>
      </c>
      <c r="X1640" s="2">
        <v>0</v>
      </c>
      <c r="Y1640">
        <v>20</v>
      </c>
      <c r="Z1640" t="s">
        <v>5107</v>
      </c>
      <c r="AA1640" s="3">
        <v>5.7988978922367103E-2</v>
      </c>
      <c r="AB1640" t="s">
        <v>12104</v>
      </c>
      <c r="AC1640" t="s">
        <v>4562</v>
      </c>
      <c r="AD1640" t="s">
        <v>12103</v>
      </c>
      <c r="AE1640" t="s">
        <v>4655</v>
      </c>
      <c r="AF1640" t="s">
        <v>4563</v>
      </c>
      <c r="AG1640" t="s">
        <v>4564</v>
      </c>
      <c r="AH1640">
        <v>89502</v>
      </c>
      <c r="AI1640" t="s">
        <v>12105</v>
      </c>
      <c r="AJ1640" t="s">
        <v>1611</v>
      </c>
      <c r="AK1640" t="s">
        <v>12106</v>
      </c>
      <c r="AL1640" s="13" t="s">
        <v>2257</v>
      </c>
      <c r="AM1640">
        <v>1</v>
      </c>
      <c r="AN1640" s="15" t="s">
        <v>1536</v>
      </c>
    </row>
    <row r="1641" spans="1:40" x14ac:dyDescent="0.3">
      <c r="A1641" s="10" t="str">
        <f>HYPERLINK("http://www.washoecounty.gov/assessor/cama/?parid=021-812-11&amp;CardNumber=1","021-812-11")</f>
        <v>021-812-11</v>
      </c>
      <c r="B1641" t="s">
        <v>4655</v>
      </c>
      <c r="C1641" t="s">
        <v>12107</v>
      </c>
      <c r="D1641" s="1">
        <v>40430</v>
      </c>
      <c r="E1641" s="2">
        <v>172500</v>
      </c>
      <c r="F1641" t="s">
        <v>4567</v>
      </c>
      <c r="G1641" s="17" t="str">
        <f>HYPERLINK("https://www.washoecounty.gov/assessor/cama/?command=sales&amp;parid=02181211","3920251")</f>
        <v>3920251</v>
      </c>
      <c r="H1641" t="s">
        <v>1660</v>
      </c>
      <c r="I1641">
        <v>1998</v>
      </c>
      <c r="J1641">
        <v>1998</v>
      </c>
      <c r="K1641" t="s">
        <v>4554</v>
      </c>
      <c r="L1641" t="s">
        <v>3974</v>
      </c>
      <c r="M1641" s="2">
        <v>1776</v>
      </c>
      <c r="N1641" t="s">
        <v>5280</v>
      </c>
      <c r="O1641">
        <v>2</v>
      </c>
      <c r="P1641">
        <v>2</v>
      </c>
      <c r="Q1641">
        <v>1</v>
      </c>
      <c r="R1641" t="s">
        <v>4557</v>
      </c>
      <c r="S1641" t="s">
        <v>4558</v>
      </c>
      <c r="T1641" t="s">
        <v>4559</v>
      </c>
      <c r="U1641" t="s">
        <v>4560</v>
      </c>
      <c r="V1641" s="2">
        <v>380</v>
      </c>
      <c r="W1641" t="s">
        <v>4655</v>
      </c>
      <c r="X1641" s="2">
        <v>0</v>
      </c>
      <c r="Y1641">
        <v>20</v>
      </c>
      <c r="Z1641" t="s">
        <v>5107</v>
      </c>
      <c r="AA1641" s="3">
        <v>6.4003676176071195E-2</v>
      </c>
      <c r="AB1641" t="s">
        <v>12108</v>
      </c>
      <c r="AC1641" t="s">
        <v>4562</v>
      </c>
      <c r="AD1641" t="s">
        <v>12109</v>
      </c>
      <c r="AE1641" t="s">
        <v>4655</v>
      </c>
      <c r="AF1641" t="s">
        <v>3117</v>
      </c>
      <c r="AG1641" t="s">
        <v>4584</v>
      </c>
      <c r="AH1641" t="s">
        <v>12110</v>
      </c>
      <c r="AI1641" t="s">
        <v>12111</v>
      </c>
      <c r="AJ1641" t="s">
        <v>1611</v>
      </c>
      <c r="AK1641" t="s">
        <v>12112</v>
      </c>
      <c r="AL1641" s="13" t="s">
        <v>2257</v>
      </c>
      <c r="AM1641">
        <v>1</v>
      </c>
      <c r="AN1641" s="15" t="s">
        <v>1536</v>
      </c>
    </row>
    <row r="1642" spans="1:40" x14ac:dyDescent="0.3">
      <c r="A1642" s="10" t="str">
        <f>HYPERLINK("http://www.washoecounty.gov/assessor/cama/?parid=021-842-33&amp;CardNumber=1","021-842-33")</f>
        <v>021-842-33</v>
      </c>
      <c r="B1642" t="s">
        <v>4655</v>
      </c>
      <c r="C1642" t="s">
        <v>12113</v>
      </c>
      <c r="D1642" s="1">
        <v>40521</v>
      </c>
      <c r="E1642" s="2">
        <v>170000</v>
      </c>
      <c r="F1642" t="s">
        <v>4567</v>
      </c>
      <c r="G1642" s="17" t="str">
        <f>HYPERLINK("https://www.washoecounty.gov/assessor/cama/?command=sales&amp;parid=02184233","3951764")</f>
        <v>3951764</v>
      </c>
      <c r="H1642" t="s">
        <v>5418</v>
      </c>
      <c r="I1642">
        <v>2001</v>
      </c>
      <c r="J1642">
        <v>2001</v>
      </c>
      <c r="K1642" t="s">
        <v>4554</v>
      </c>
      <c r="L1642" t="s">
        <v>3974</v>
      </c>
      <c r="M1642" s="2">
        <v>1588</v>
      </c>
      <c r="N1642" t="s">
        <v>5280</v>
      </c>
      <c r="O1642">
        <v>3</v>
      </c>
      <c r="P1642">
        <v>2</v>
      </c>
      <c r="Q1642">
        <v>1</v>
      </c>
      <c r="R1642" t="s">
        <v>4557</v>
      </c>
      <c r="S1642" t="s">
        <v>4558</v>
      </c>
      <c r="T1642" t="s">
        <v>4559</v>
      </c>
      <c r="U1642" t="s">
        <v>4560</v>
      </c>
      <c r="V1642" s="2">
        <v>360</v>
      </c>
      <c r="W1642" t="s">
        <v>4655</v>
      </c>
      <c r="X1642" s="2">
        <v>0</v>
      </c>
      <c r="Y1642">
        <v>20</v>
      </c>
      <c r="Z1642" t="s">
        <v>5107</v>
      </c>
      <c r="AA1642" s="3">
        <v>8.0991737544536604E-2</v>
      </c>
      <c r="AB1642" t="s">
        <v>12114</v>
      </c>
      <c r="AC1642" t="s">
        <v>4562</v>
      </c>
      <c r="AD1642" t="s">
        <v>2761</v>
      </c>
      <c r="AE1642" t="s">
        <v>4655</v>
      </c>
      <c r="AF1642" t="s">
        <v>5206</v>
      </c>
      <c r="AG1642" t="s">
        <v>4564</v>
      </c>
      <c r="AH1642" t="s">
        <v>5275</v>
      </c>
      <c r="AI1642" t="s">
        <v>12115</v>
      </c>
      <c r="AJ1642" t="s">
        <v>5100</v>
      </c>
      <c r="AK1642" t="s">
        <v>12116</v>
      </c>
      <c r="AL1642" s="13" t="s">
        <v>2257</v>
      </c>
      <c r="AM1642" s="14">
        <v>1</v>
      </c>
      <c r="AN1642" s="15" t="s">
        <v>1536</v>
      </c>
    </row>
    <row r="1643" spans="1:40" x14ac:dyDescent="0.3">
      <c r="A1643" s="10" t="str">
        <f>HYPERLINK("http://www.washoecounty.gov/assessor/cama/?parid=021-850-11&amp;CardNumber=1","021-850-11")</f>
        <v>021-850-11</v>
      </c>
      <c r="B1643" t="s">
        <v>4655</v>
      </c>
      <c r="C1643" t="s">
        <v>12117</v>
      </c>
      <c r="D1643" s="1">
        <v>40451</v>
      </c>
      <c r="E1643" s="2">
        <v>164000</v>
      </c>
      <c r="F1643" t="s">
        <v>4567</v>
      </c>
      <c r="G1643" s="17" t="str">
        <f>HYPERLINK("https://www.washoecounty.gov/assessor/cama/?command=sales&amp;parid=02185011","3928175")</f>
        <v>3928175</v>
      </c>
      <c r="H1643" t="s">
        <v>4388</v>
      </c>
      <c r="I1643">
        <v>2003</v>
      </c>
      <c r="J1643">
        <v>2003</v>
      </c>
      <c r="K1643" t="s">
        <v>4554</v>
      </c>
      <c r="L1643" t="s">
        <v>4555</v>
      </c>
      <c r="M1643" s="2">
        <v>1456</v>
      </c>
      <c r="N1643" t="s">
        <v>4048</v>
      </c>
      <c r="O1643">
        <v>3</v>
      </c>
      <c r="P1643">
        <v>2</v>
      </c>
      <c r="Q1643">
        <v>0</v>
      </c>
      <c r="R1643" t="s">
        <v>5281</v>
      </c>
      <c r="S1643" t="s">
        <v>4558</v>
      </c>
      <c r="T1643" t="s">
        <v>4559</v>
      </c>
      <c r="U1643" t="s">
        <v>4560</v>
      </c>
      <c r="V1643" s="2">
        <v>528</v>
      </c>
      <c r="W1643" t="s">
        <v>4655</v>
      </c>
      <c r="X1643" s="2">
        <v>0</v>
      </c>
      <c r="Y1643">
        <v>20</v>
      </c>
      <c r="Z1643" t="s">
        <v>4561</v>
      </c>
      <c r="AA1643" s="3">
        <v>0.13799357414245605</v>
      </c>
      <c r="AB1643" t="s">
        <v>12118</v>
      </c>
      <c r="AC1643" t="s">
        <v>4562</v>
      </c>
      <c r="AD1643" t="s">
        <v>12117</v>
      </c>
      <c r="AE1643" t="s">
        <v>4655</v>
      </c>
      <c r="AF1643" t="s">
        <v>4563</v>
      </c>
      <c r="AG1643" t="s">
        <v>4564</v>
      </c>
      <c r="AH1643">
        <v>89502</v>
      </c>
      <c r="AI1643" t="s">
        <v>12119</v>
      </c>
      <c r="AJ1643" t="s">
        <v>4389</v>
      </c>
      <c r="AK1643" t="s">
        <v>12120</v>
      </c>
      <c r="AL1643" s="13" t="s">
        <v>2255</v>
      </c>
      <c r="AM1643">
        <v>1</v>
      </c>
      <c r="AN1643" s="15" t="s">
        <v>4049</v>
      </c>
    </row>
    <row r="1644" spans="1:40" x14ac:dyDescent="0.3">
      <c r="A1644" s="10" t="str">
        <f>HYPERLINK("http://www.washoecounty.gov/assessor/cama/?parid=023-021-09&amp;CardNumber=1","023-021-09")</f>
        <v>023-021-09</v>
      </c>
      <c r="B1644" t="s">
        <v>4655</v>
      </c>
      <c r="C1644" t="s">
        <v>12121</v>
      </c>
      <c r="D1644" s="1">
        <v>40522</v>
      </c>
      <c r="E1644" s="2">
        <v>272000</v>
      </c>
      <c r="F1644" t="s">
        <v>4553</v>
      </c>
      <c r="G1644" s="17" t="str">
        <f>HYPERLINK("https://www.washoecounty.gov/assessor/cama/?command=sales&amp;parid=02302109","3952209")</f>
        <v>3952209</v>
      </c>
      <c r="H1644" t="s">
        <v>3146</v>
      </c>
      <c r="I1644">
        <v>1978</v>
      </c>
      <c r="J1644">
        <v>1978</v>
      </c>
      <c r="K1644" t="s">
        <v>4554</v>
      </c>
      <c r="L1644" t="s">
        <v>4555</v>
      </c>
      <c r="M1644" s="2">
        <v>1645</v>
      </c>
      <c r="N1644" t="s">
        <v>3887</v>
      </c>
      <c r="O1644">
        <v>4</v>
      </c>
      <c r="P1644">
        <v>3</v>
      </c>
      <c r="Q1644">
        <v>1</v>
      </c>
      <c r="R1644" t="s">
        <v>4557</v>
      </c>
      <c r="S1644" t="s">
        <v>4135</v>
      </c>
      <c r="T1644" t="s">
        <v>4143</v>
      </c>
      <c r="U1644" t="s">
        <v>4560</v>
      </c>
      <c r="V1644" s="2">
        <v>576</v>
      </c>
      <c r="W1644" t="s">
        <v>3149</v>
      </c>
      <c r="X1644" s="2">
        <v>2221</v>
      </c>
      <c r="Y1644">
        <v>20</v>
      </c>
      <c r="Z1644" t="s">
        <v>5282</v>
      </c>
      <c r="AA1644" s="3">
        <v>0.34898990392684898</v>
      </c>
      <c r="AB1644" t="s">
        <v>12122</v>
      </c>
      <c r="AC1644" t="s">
        <v>4562</v>
      </c>
      <c r="AD1644" t="s">
        <v>12123</v>
      </c>
      <c r="AE1644" t="s">
        <v>4655</v>
      </c>
      <c r="AF1644" t="s">
        <v>3114</v>
      </c>
      <c r="AG1644" t="s">
        <v>4564</v>
      </c>
      <c r="AH1644">
        <v>89512</v>
      </c>
      <c r="AI1644" t="s">
        <v>4503</v>
      </c>
      <c r="AJ1644" t="s">
        <v>4655</v>
      </c>
      <c r="AK1644" t="s">
        <v>12124</v>
      </c>
      <c r="AL1644" s="13" t="s">
        <v>2255</v>
      </c>
      <c r="AM1644">
        <v>1</v>
      </c>
      <c r="AN1644" s="15" t="s">
        <v>3152</v>
      </c>
    </row>
    <row r="1645" spans="1:40" x14ac:dyDescent="0.3">
      <c r="A1645" s="10" t="str">
        <f>HYPERLINK("http://www.washoecounty.gov/assessor/cama/?parid=023-022-04&amp;CardNumber=1","023-022-04")</f>
        <v>023-022-04</v>
      </c>
      <c r="B1645" t="s">
        <v>4655</v>
      </c>
      <c r="C1645" t="s">
        <v>12125</v>
      </c>
      <c r="D1645" s="1">
        <v>40185</v>
      </c>
      <c r="E1645" s="2">
        <v>369692</v>
      </c>
      <c r="F1645" t="s">
        <v>4567</v>
      </c>
      <c r="G1645" s="17" t="str">
        <f>HYPERLINK("https://www.washoecounty.gov/assessor/cama/?command=sales&amp;parid=02302204","3837258")</f>
        <v>3837258</v>
      </c>
      <c r="H1645" t="s">
        <v>3146</v>
      </c>
      <c r="I1645">
        <v>1962</v>
      </c>
      <c r="J1645">
        <v>1962</v>
      </c>
      <c r="K1645" t="s">
        <v>4554</v>
      </c>
      <c r="L1645" t="s">
        <v>4555</v>
      </c>
      <c r="M1645" s="2">
        <v>1912</v>
      </c>
      <c r="N1645" t="s">
        <v>3147</v>
      </c>
      <c r="O1645">
        <v>2</v>
      </c>
      <c r="P1645">
        <v>2</v>
      </c>
      <c r="Q1645">
        <v>1</v>
      </c>
      <c r="R1645" t="s">
        <v>5281</v>
      </c>
      <c r="S1645" t="s">
        <v>3148</v>
      </c>
      <c r="T1645" t="s">
        <v>4143</v>
      </c>
      <c r="U1645" t="s">
        <v>4655</v>
      </c>
      <c r="V1645" s="2">
        <v>0</v>
      </c>
      <c r="W1645" t="s">
        <v>3149</v>
      </c>
      <c r="X1645" s="2">
        <v>928</v>
      </c>
      <c r="Y1645">
        <v>20</v>
      </c>
      <c r="Z1645" t="s">
        <v>5282</v>
      </c>
      <c r="AA1645" s="3">
        <v>0.3519972562789917</v>
      </c>
      <c r="AB1645" t="s">
        <v>12126</v>
      </c>
      <c r="AC1645" t="s">
        <v>4562</v>
      </c>
      <c r="AD1645" t="s">
        <v>12127</v>
      </c>
      <c r="AE1645" t="s">
        <v>4655</v>
      </c>
      <c r="AF1645" t="s">
        <v>3150</v>
      </c>
      <c r="AG1645" t="s">
        <v>4584</v>
      </c>
      <c r="AH1645" t="s">
        <v>3151</v>
      </c>
      <c r="AI1645" t="s">
        <v>12128</v>
      </c>
      <c r="AJ1645" t="s">
        <v>4655</v>
      </c>
      <c r="AK1645" t="s">
        <v>12129</v>
      </c>
      <c r="AL1645" s="13" t="s">
        <v>2255</v>
      </c>
      <c r="AM1645" s="14">
        <v>1</v>
      </c>
      <c r="AN1645" s="15" t="s">
        <v>3152</v>
      </c>
    </row>
    <row r="1646" spans="1:40" x14ac:dyDescent="0.3">
      <c r="A1646" s="10" t="str">
        <f>HYPERLINK("http://www.washoecounty.gov/assessor/cama/?parid=023-022-07&amp;CardNumber=1","023-022-07")</f>
        <v>023-022-07</v>
      </c>
      <c r="B1646" t="s">
        <v>4655</v>
      </c>
      <c r="C1646" t="s">
        <v>12130</v>
      </c>
      <c r="D1646" s="1">
        <v>40421</v>
      </c>
      <c r="E1646" s="2">
        <v>335000</v>
      </c>
      <c r="F1646" t="s">
        <v>4567</v>
      </c>
      <c r="G1646" s="17" t="str">
        <f>HYPERLINK("https://www.washoecounty.gov/assessor/cama/?command=sales&amp;parid=02302207","3917624")</f>
        <v>3917624</v>
      </c>
      <c r="H1646" t="s">
        <v>5219</v>
      </c>
      <c r="I1646">
        <v>1968</v>
      </c>
      <c r="J1646">
        <v>1968</v>
      </c>
      <c r="K1646" t="s">
        <v>4554</v>
      </c>
      <c r="L1646" t="s">
        <v>4555</v>
      </c>
      <c r="M1646" s="2">
        <v>2313</v>
      </c>
      <c r="N1646" t="s">
        <v>3147</v>
      </c>
      <c r="O1646">
        <v>4</v>
      </c>
      <c r="P1646">
        <v>3</v>
      </c>
      <c r="Q1646">
        <v>0</v>
      </c>
      <c r="R1646" t="s">
        <v>5281</v>
      </c>
      <c r="S1646" t="s">
        <v>4682</v>
      </c>
      <c r="T1646" t="s">
        <v>4143</v>
      </c>
      <c r="U1646" t="s">
        <v>4560</v>
      </c>
      <c r="V1646" s="2">
        <v>529</v>
      </c>
      <c r="W1646" t="s">
        <v>3149</v>
      </c>
      <c r="X1646" s="2">
        <v>648</v>
      </c>
      <c r="Y1646">
        <v>20</v>
      </c>
      <c r="Z1646" t="s">
        <v>5282</v>
      </c>
      <c r="AA1646" s="3">
        <v>0.34400826692581199</v>
      </c>
      <c r="AB1646" t="s">
        <v>12131</v>
      </c>
      <c r="AC1646" t="s">
        <v>4562</v>
      </c>
      <c r="AD1646" t="s">
        <v>12130</v>
      </c>
      <c r="AE1646" t="s">
        <v>4655</v>
      </c>
      <c r="AF1646" t="s">
        <v>4563</v>
      </c>
      <c r="AG1646" t="s">
        <v>4564</v>
      </c>
      <c r="AH1646">
        <v>89509</v>
      </c>
      <c r="AI1646" t="s">
        <v>12132</v>
      </c>
      <c r="AJ1646" t="s">
        <v>4655</v>
      </c>
      <c r="AK1646" t="s">
        <v>12133</v>
      </c>
      <c r="AL1646" s="13" t="s">
        <v>2255</v>
      </c>
      <c r="AM1646">
        <v>1</v>
      </c>
      <c r="AN1646" s="15" t="s">
        <v>3152</v>
      </c>
    </row>
    <row r="1647" spans="1:40" x14ac:dyDescent="0.3">
      <c r="A1647" s="10" t="str">
        <f>HYPERLINK("http://www.washoecounty.gov/assessor/cama/?parid=023-022-18&amp;CardNumber=1","023-022-18")</f>
        <v>023-022-18</v>
      </c>
      <c r="B1647" t="s">
        <v>4655</v>
      </c>
      <c r="C1647" t="s">
        <v>12134</v>
      </c>
      <c r="D1647" s="1">
        <v>40396</v>
      </c>
      <c r="E1647" s="2">
        <v>340000</v>
      </c>
      <c r="F1647" t="s">
        <v>4567</v>
      </c>
      <c r="G1647" s="17" t="str">
        <f>HYPERLINK("https://www.washoecounty.gov/assessor/cama/?command=sales&amp;parid=02302218","3909564")</f>
        <v>3909564</v>
      </c>
      <c r="H1647" t="s">
        <v>3146</v>
      </c>
      <c r="I1647">
        <v>1962</v>
      </c>
      <c r="J1647">
        <v>1962</v>
      </c>
      <c r="K1647" t="s">
        <v>4554</v>
      </c>
      <c r="L1647" t="s">
        <v>4555</v>
      </c>
      <c r="M1647" s="2">
        <v>2098</v>
      </c>
      <c r="N1647" t="s">
        <v>3147</v>
      </c>
      <c r="O1647">
        <v>3</v>
      </c>
      <c r="P1647">
        <v>2</v>
      </c>
      <c r="Q1647">
        <v>1</v>
      </c>
      <c r="R1647" t="s">
        <v>5281</v>
      </c>
      <c r="S1647" t="s">
        <v>4135</v>
      </c>
      <c r="T1647" t="s">
        <v>4143</v>
      </c>
      <c r="U1647" t="s">
        <v>4560</v>
      </c>
      <c r="V1647" s="2">
        <v>576</v>
      </c>
      <c r="W1647" t="s">
        <v>4655</v>
      </c>
      <c r="X1647" s="2">
        <v>0</v>
      </c>
      <c r="Y1647">
        <v>20</v>
      </c>
      <c r="Z1647" t="s">
        <v>5282</v>
      </c>
      <c r="AA1647" s="3">
        <v>0.378007352352142</v>
      </c>
      <c r="AB1647" t="s">
        <v>12135</v>
      </c>
      <c r="AC1647" t="s">
        <v>4562</v>
      </c>
      <c r="AD1647" t="s">
        <v>12134</v>
      </c>
      <c r="AE1647" t="s">
        <v>4655</v>
      </c>
      <c r="AF1647" t="s">
        <v>4563</v>
      </c>
      <c r="AG1647" t="s">
        <v>4564</v>
      </c>
      <c r="AH1647">
        <v>89509</v>
      </c>
      <c r="AI1647" t="s">
        <v>4655</v>
      </c>
      <c r="AJ1647" t="s">
        <v>4655</v>
      </c>
      <c r="AK1647" t="s">
        <v>12136</v>
      </c>
      <c r="AL1647" s="13" t="s">
        <v>2255</v>
      </c>
      <c r="AM1647">
        <v>1</v>
      </c>
      <c r="AN1647" s="15" t="s">
        <v>3152</v>
      </c>
    </row>
    <row r="1648" spans="1:40" x14ac:dyDescent="0.3">
      <c r="A1648" s="10" t="str">
        <f>HYPERLINK("http://www.washoecounty.gov/assessor/cama/?parid=023-023-16&amp;CardNumber=1","023-023-16")</f>
        <v>023-023-16</v>
      </c>
      <c r="B1648" t="s">
        <v>4655</v>
      </c>
      <c r="C1648" t="s">
        <v>12137</v>
      </c>
      <c r="D1648" s="1">
        <v>40294</v>
      </c>
      <c r="E1648" s="2">
        <v>342000</v>
      </c>
      <c r="F1648" t="s">
        <v>4553</v>
      </c>
      <c r="G1648" s="17" t="str">
        <f>HYPERLINK("https://www.washoecounty.gov/assessor/cama/?command=sales&amp;parid=02302316","3874506")</f>
        <v>3874506</v>
      </c>
      <c r="H1648" t="s">
        <v>12138</v>
      </c>
      <c r="I1648">
        <v>1974</v>
      </c>
      <c r="J1648">
        <v>1974</v>
      </c>
      <c r="K1648" t="s">
        <v>4554</v>
      </c>
      <c r="L1648" t="s">
        <v>4555</v>
      </c>
      <c r="M1648" s="2">
        <v>3070</v>
      </c>
      <c r="N1648" t="s">
        <v>1245</v>
      </c>
      <c r="O1648">
        <v>3</v>
      </c>
      <c r="P1648">
        <v>2</v>
      </c>
      <c r="Q1648">
        <v>1</v>
      </c>
      <c r="R1648" t="s">
        <v>5281</v>
      </c>
      <c r="S1648" t="s">
        <v>4682</v>
      </c>
      <c r="T1648" t="s">
        <v>4899</v>
      </c>
      <c r="U1648" t="s">
        <v>4560</v>
      </c>
      <c r="V1648" s="2">
        <v>875</v>
      </c>
      <c r="W1648" t="s">
        <v>4655</v>
      </c>
      <c r="X1648" s="2">
        <v>0</v>
      </c>
      <c r="Y1648">
        <v>20</v>
      </c>
      <c r="Z1648" t="s">
        <v>5282</v>
      </c>
      <c r="AA1648" s="3">
        <v>0.39168962836265564</v>
      </c>
      <c r="AB1648" t="s">
        <v>12139</v>
      </c>
      <c r="AC1648" t="s">
        <v>4562</v>
      </c>
      <c r="AD1648" t="s">
        <v>12140</v>
      </c>
      <c r="AE1648" t="s">
        <v>4655</v>
      </c>
      <c r="AF1648" t="s">
        <v>12141</v>
      </c>
      <c r="AG1648" t="s">
        <v>4275</v>
      </c>
      <c r="AH1648">
        <v>22307</v>
      </c>
      <c r="AI1648" t="s">
        <v>4903</v>
      </c>
      <c r="AJ1648" t="s">
        <v>12142</v>
      </c>
      <c r="AK1648" t="s">
        <v>12143</v>
      </c>
      <c r="AL1648" s="13" t="s">
        <v>2255</v>
      </c>
      <c r="AM1648">
        <v>1</v>
      </c>
      <c r="AN1648" s="15" t="s">
        <v>3152</v>
      </c>
    </row>
    <row r="1649" spans="1:40" x14ac:dyDescent="0.3">
      <c r="A1649" s="10" t="str">
        <f>HYPERLINK("http://www.washoecounty.gov/assessor/cama/?parid=023-045-02&amp;CardNumber=1","023-045-02")</f>
        <v>023-045-02</v>
      </c>
      <c r="B1649" t="s">
        <v>4655</v>
      </c>
      <c r="C1649" t="s">
        <v>5111</v>
      </c>
      <c r="D1649" s="1">
        <v>40464</v>
      </c>
      <c r="E1649" s="2">
        <v>155000</v>
      </c>
      <c r="F1649" t="s">
        <v>4553</v>
      </c>
      <c r="G1649" s="17" t="str">
        <f>HYPERLINK("https://www.washoecounty.gov/assessor/cama/?command=sales&amp;parid=02304502","3932629")</f>
        <v>3932629</v>
      </c>
      <c r="H1649" t="s">
        <v>3146</v>
      </c>
      <c r="I1649">
        <v>1963</v>
      </c>
      <c r="J1649">
        <v>1963</v>
      </c>
      <c r="K1649" t="s">
        <v>4554</v>
      </c>
      <c r="L1649" t="s">
        <v>4555</v>
      </c>
      <c r="M1649" s="2">
        <v>2006</v>
      </c>
      <c r="N1649" t="s">
        <v>3147</v>
      </c>
      <c r="O1649">
        <v>3</v>
      </c>
      <c r="P1649">
        <v>2</v>
      </c>
      <c r="Q1649">
        <v>1</v>
      </c>
      <c r="R1649" t="s">
        <v>5281</v>
      </c>
      <c r="S1649" t="s">
        <v>4135</v>
      </c>
      <c r="T1649" t="s">
        <v>4559</v>
      </c>
      <c r="U1649" t="s">
        <v>4560</v>
      </c>
      <c r="V1649" s="2">
        <v>682</v>
      </c>
      <c r="W1649" t="s">
        <v>4655</v>
      </c>
      <c r="X1649" s="2">
        <v>0</v>
      </c>
      <c r="Y1649">
        <v>20</v>
      </c>
      <c r="Z1649" t="s">
        <v>5282</v>
      </c>
      <c r="AA1649" s="3">
        <v>0.358999073505402</v>
      </c>
      <c r="AB1649" t="s">
        <v>249</v>
      </c>
      <c r="AC1649" t="s">
        <v>4562</v>
      </c>
      <c r="AD1649" t="s">
        <v>250</v>
      </c>
      <c r="AE1649" t="s">
        <v>4655</v>
      </c>
      <c r="AF1649" t="s">
        <v>4563</v>
      </c>
      <c r="AG1649" t="s">
        <v>4564</v>
      </c>
      <c r="AH1649">
        <v>89509</v>
      </c>
      <c r="AI1649" t="s">
        <v>4655</v>
      </c>
      <c r="AJ1649" t="s">
        <v>4655</v>
      </c>
      <c r="AK1649" t="s">
        <v>5112</v>
      </c>
      <c r="AL1649" s="13" t="s">
        <v>2255</v>
      </c>
      <c r="AM1649">
        <v>1</v>
      </c>
      <c r="AN1649" s="15" t="s">
        <v>3152</v>
      </c>
    </row>
    <row r="1650" spans="1:40" x14ac:dyDescent="0.3">
      <c r="A1650" s="10" t="str">
        <f>HYPERLINK("http://www.washoecounty.gov/assessor/cama/?parid=023-082-03&amp;CardNumber=1","023-082-03")</f>
        <v>023-082-03</v>
      </c>
      <c r="B1650" t="s">
        <v>4655</v>
      </c>
      <c r="C1650" t="s">
        <v>12144</v>
      </c>
      <c r="D1650" s="1">
        <v>40512</v>
      </c>
      <c r="E1650" s="2">
        <v>346000</v>
      </c>
      <c r="F1650" t="s">
        <v>4567</v>
      </c>
      <c r="G1650" s="17" t="str">
        <f>HYPERLINK("https://www.washoecounty.gov/assessor/cama/?command=sales&amp;parid=02308203","3948078")</f>
        <v>3948078</v>
      </c>
      <c r="H1650" t="s">
        <v>5452</v>
      </c>
      <c r="I1650">
        <v>1970</v>
      </c>
      <c r="J1650">
        <v>1970</v>
      </c>
      <c r="K1650" t="s">
        <v>4554</v>
      </c>
      <c r="L1650" t="s">
        <v>4555</v>
      </c>
      <c r="M1650" s="2">
        <v>1540</v>
      </c>
      <c r="N1650" t="s">
        <v>5280</v>
      </c>
      <c r="O1650">
        <v>4</v>
      </c>
      <c r="P1650">
        <v>3</v>
      </c>
      <c r="Q1650">
        <v>0</v>
      </c>
      <c r="R1650" t="s">
        <v>5281</v>
      </c>
      <c r="S1650" t="s">
        <v>4558</v>
      </c>
      <c r="T1650" t="s">
        <v>4559</v>
      </c>
      <c r="U1650" t="s">
        <v>4655</v>
      </c>
      <c r="V1650" s="2">
        <v>0</v>
      </c>
      <c r="W1650" t="s">
        <v>4571</v>
      </c>
      <c r="X1650" s="2">
        <v>1540</v>
      </c>
      <c r="Y1650">
        <v>20</v>
      </c>
      <c r="Z1650" t="s">
        <v>5282</v>
      </c>
      <c r="AA1650" s="3">
        <v>0.37199264764785767</v>
      </c>
      <c r="AB1650" t="s">
        <v>12145</v>
      </c>
      <c r="AC1650" t="s">
        <v>4562</v>
      </c>
      <c r="AD1650" t="s">
        <v>12144</v>
      </c>
      <c r="AE1650" t="s">
        <v>4655</v>
      </c>
      <c r="AF1650" t="s">
        <v>4563</v>
      </c>
      <c r="AG1650" t="s">
        <v>4564</v>
      </c>
      <c r="AH1650">
        <v>89509</v>
      </c>
      <c r="AI1650" t="s">
        <v>12146</v>
      </c>
      <c r="AJ1650" t="s">
        <v>4655</v>
      </c>
      <c r="AK1650" t="s">
        <v>12147</v>
      </c>
      <c r="AL1650" s="13" t="s">
        <v>2255</v>
      </c>
      <c r="AM1650">
        <v>1</v>
      </c>
      <c r="AN1650" s="15" t="s">
        <v>3152</v>
      </c>
    </row>
    <row r="1651" spans="1:40" x14ac:dyDescent="0.3">
      <c r="A1651" s="10" t="str">
        <f>HYPERLINK("http://www.washoecounty.gov/assessor/cama/?parid=023-090-20&amp;CardNumber=1","023-090-20")</f>
        <v>023-090-20</v>
      </c>
      <c r="B1651" t="s">
        <v>4655</v>
      </c>
      <c r="C1651" t="s">
        <v>12148</v>
      </c>
      <c r="D1651" s="1">
        <v>40438</v>
      </c>
      <c r="E1651" s="2">
        <v>499900</v>
      </c>
      <c r="F1651" t="s">
        <v>4553</v>
      </c>
      <c r="G1651" s="17" t="str">
        <f>HYPERLINK("https://www.washoecounty.gov/assessor/cama/?command=sales&amp;parid=02309020","3923638")</f>
        <v>3923638</v>
      </c>
      <c r="H1651" t="s">
        <v>12149</v>
      </c>
      <c r="I1651">
        <v>1993</v>
      </c>
      <c r="J1651">
        <v>1994</v>
      </c>
      <c r="K1651" t="s">
        <v>4554</v>
      </c>
      <c r="L1651" t="s">
        <v>3886</v>
      </c>
      <c r="M1651" s="2">
        <v>3258</v>
      </c>
      <c r="N1651" t="s">
        <v>5106</v>
      </c>
      <c r="O1651">
        <v>5</v>
      </c>
      <c r="P1651">
        <v>5</v>
      </c>
      <c r="Q1651">
        <v>0</v>
      </c>
      <c r="R1651" t="s">
        <v>4557</v>
      </c>
      <c r="S1651" t="s">
        <v>4898</v>
      </c>
      <c r="T1651" t="s">
        <v>2704</v>
      </c>
      <c r="U1651" t="s">
        <v>4560</v>
      </c>
      <c r="V1651" s="2">
        <v>837</v>
      </c>
      <c r="W1651" t="s">
        <v>3201</v>
      </c>
      <c r="X1651" s="2">
        <v>2757</v>
      </c>
      <c r="Y1651">
        <v>20</v>
      </c>
      <c r="Z1651" t="s">
        <v>385</v>
      </c>
      <c r="AA1651" s="3">
        <v>0.5</v>
      </c>
      <c r="AB1651" t="s">
        <v>12150</v>
      </c>
      <c r="AC1651" t="s">
        <v>4562</v>
      </c>
      <c r="AD1651" t="s">
        <v>12151</v>
      </c>
      <c r="AE1651" t="s">
        <v>4655</v>
      </c>
      <c r="AF1651" t="s">
        <v>3660</v>
      </c>
      <c r="AG1651" t="s">
        <v>4584</v>
      </c>
      <c r="AH1651" t="s">
        <v>3661</v>
      </c>
      <c r="AI1651" t="s">
        <v>12152</v>
      </c>
      <c r="AJ1651" t="s">
        <v>12153</v>
      </c>
      <c r="AK1651" t="s">
        <v>12154</v>
      </c>
      <c r="AL1651" s="13" t="s">
        <v>2255</v>
      </c>
      <c r="AM1651">
        <v>1</v>
      </c>
      <c r="AN1651" s="15" t="s">
        <v>3104</v>
      </c>
    </row>
    <row r="1652" spans="1:40" x14ac:dyDescent="0.3">
      <c r="A1652" s="10" t="str">
        <f>HYPERLINK("http://www.washoecounty.gov/assessor/cama/?parid=023-111-15&amp;CardNumber=1","023-111-15")</f>
        <v>023-111-15</v>
      </c>
      <c r="B1652" t="s">
        <v>4655</v>
      </c>
      <c r="C1652" t="s">
        <v>12155</v>
      </c>
      <c r="D1652" s="1">
        <v>40392</v>
      </c>
      <c r="E1652" s="2">
        <v>264000</v>
      </c>
      <c r="F1652" t="s">
        <v>4567</v>
      </c>
      <c r="G1652" s="17" t="str">
        <f>HYPERLINK("https://www.washoecounty.gov/assessor/cama/?command=sales&amp;parid=02311115","3907854")</f>
        <v>3907854</v>
      </c>
      <c r="H1652" t="s">
        <v>4722</v>
      </c>
      <c r="I1652">
        <v>1964</v>
      </c>
      <c r="J1652">
        <v>1964</v>
      </c>
      <c r="K1652" t="s">
        <v>4554</v>
      </c>
      <c r="L1652" t="s">
        <v>4555</v>
      </c>
      <c r="M1652" s="2">
        <v>1754</v>
      </c>
      <c r="N1652" t="s">
        <v>5280</v>
      </c>
      <c r="O1652">
        <v>3</v>
      </c>
      <c r="P1652">
        <v>2</v>
      </c>
      <c r="Q1652">
        <v>0</v>
      </c>
      <c r="R1652" t="s">
        <v>4557</v>
      </c>
      <c r="S1652" t="s">
        <v>4558</v>
      </c>
      <c r="T1652" t="s">
        <v>4559</v>
      </c>
      <c r="U1652" t="s">
        <v>4560</v>
      </c>
      <c r="V1652" s="2">
        <v>528</v>
      </c>
      <c r="W1652" t="s">
        <v>4655</v>
      </c>
      <c r="X1652" s="2">
        <v>0</v>
      </c>
      <c r="Y1652">
        <v>20</v>
      </c>
      <c r="Z1652" t="s">
        <v>385</v>
      </c>
      <c r="AA1652" s="3">
        <v>0.19400826096534701</v>
      </c>
      <c r="AB1652" t="s">
        <v>12156</v>
      </c>
      <c r="AC1652" t="s">
        <v>4562</v>
      </c>
      <c r="AD1652" t="s">
        <v>12157</v>
      </c>
      <c r="AE1652" t="s">
        <v>4655</v>
      </c>
      <c r="AF1652" t="s">
        <v>4563</v>
      </c>
      <c r="AG1652" t="s">
        <v>4564</v>
      </c>
      <c r="AH1652">
        <v>89509</v>
      </c>
      <c r="AI1652" t="s">
        <v>12158</v>
      </c>
      <c r="AJ1652" t="s">
        <v>4655</v>
      </c>
      <c r="AK1652" t="s">
        <v>12159</v>
      </c>
      <c r="AL1652" s="13" t="s">
        <v>2255</v>
      </c>
      <c r="AM1652">
        <v>1</v>
      </c>
      <c r="AN1652" s="15" t="s">
        <v>3104</v>
      </c>
    </row>
    <row r="1653" spans="1:40" x14ac:dyDescent="0.3">
      <c r="A1653" s="10" t="str">
        <f>HYPERLINK("http://www.washoecounty.gov/assessor/cama/?parid=023-111-22&amp;CardNumber=1","023-111-22")</f>
        <v>023-111-22</v>
      </c>
      <c r="B1653" t="s">
        <v>4655</v>
      </c>
      <c r="C1653" t="s">
        <v>12160</v>
      </c>
      <c r="D1653" s="1">
        <v>40277</v>
      </c>
      <c r="E1653" s="2">
        <v>265000</v>
      </c>
      <c r="F1653" t="s">
        <v>4567</v>
      </c>
      <c r="G1653" s="17" t="str">
        <f>HYPERLINK("https://www.washoecounty.gov/assessor/cama/?command=sales&amp;parid=02311122","3869448")</f>
        <v>3869448</v>
      </c>
      <c r="H1653" t="s">
        <v>4722</v>
      </c>
      <c r="I1653">
        <v>1964</v>
      </c>
      <c r="J1653">
        <v>1964</v>
      </c>
      <c r="K1653" t="s">
        <v>4554</v>
      </c>
      <c r="L1653" t="s">
        <v>4555</v>
      </c>
      <c r="M1653" s="2">
        <v>2128</v>
      </c>
      <c r="N1653" t="s">
        <v>5280</v>
      </c>
      <c r="O1653">
        <v>3</v>
      </c>
      <c r="P1653">
        <v>2</v>
      </c>
      <c r="Q1653">
        <v>0</v>
      </c>
      <c r="R1653" t="s">
        <v>5281</v>
      </c>
      <c r="S1653" t="s">
        <v>3148</v>
      </c>
      <c r="T1653" t="s">
        <v>4559</v>
      </c>
      <c r="U1653" t="s">
        <v>4560</v>
      </c>
      <c r="V1653" s="2">
        <v>484</v>
      </c>
      <c r="W1653" t="s">
        <v>4655</v>
      </c>
      <c r="X1653" s="2">
        <v>0</v>
      </c>
      <c r="Y1653">
        <v>20</v>
      </c>
      <c r="Z1653" t="s">
        <v>385</v>
      </c>
      <c r="AA1653" s="3">
        <v>0.24898989498615265</v>
      </c>
      <c r="AB1653" t="s">
        <v>4723</v>
      </c>
      <c r="AC1653" t="s">
        <v>4562</v>
      </c>
      <c r="AD1653" t="s">
        <v>4724</v>
      </c>
      <c r="AE1653" t="s">
        <v>4655</v>
      </c>
      <c r="AF1653" t="s">
        <v>4563</v>
      </c>
      <c r="AG1653" t="s">
        <v>4564</v>
      </c>
      <c r="AH1653">
        <v>89509</v>
      </c>
      <c r="AI1653" t="s">
        <v>12161</v>
      </c>
      <c r="AJ1653" t="s">
        <v>4655</v>
      </c>
      <c r="AK1653" t="s">
        <v>12162</v>
      </c>
      <c r="AL1653" s="13" t="s">
        <v>2255</v>
      </c>
      <c r="AM1653">
        <v>1</v>
      </c>
      <c r="AN1653" s="15" t="s">
        <v>3104</v>
      </c>
    </row>
    <row r="1654" spans="1:40" x14ac:dyDescent="0.3">
      <c r="A1654" s="10" t="str">
        <f>HYPERLINK("http://www.washoecounty.gov/assessor/cama/?parid=023-131-40&amp;CardNumber=1","023-131-40")</f>
        <v>023-131-40</v>
      </c>
      <c r="B1654" t="s">
        <v>4655</v>
      </c>
      <c r="C1654" t="s">
        <v>12163</v>
      </c>
      <c r="D1654" s="1">
        <v>40218</v>
      </c>
      <c r="E1654" s="2">
        <v>383500</v>
      </c>
      <c r="F1654" t="s">
        <v>4553</v>
      </c>
      <c r="G1654" s="17" t="str">
        <f>HYPERLINK("https://www.washoecounty.gov/assessor/cama/?command=sales&amp;parid=02313140","3847345")</f>
        <v>3847345</v>
      </c>
      <c r="H1654" t="s">
        <v>1537</v>
      </c>
      <c r="I1654">
        <v>1958</v>
      </c>
      <c r="J1654">
        <v>1958</v>
      </c>
      <c r="K1654" t="s">
        <v>4554</v>
      </c>
      <c r="L1654" t="s">
        <v>4555</v>
      </c>
      <c r="M1654" s="2">
        <v>2058</v>
      </c>
      <c r="N1654" t="s">
        <v>1245</v>
      </c>
      <c r="O1654">
        <v>3</v>
      </c>
      <c r="P1654">
        <v>2</v>
      </c>
      <c r="Q1654">
        <v>0</v>
      </c>
      <c r="R1654" t="s">
        <v>4557</v>
      </c>
      <c r="S1654" t="s">
        <v>4898</v>
      </c>
      <c r="T1654" t="s">
        <v>2704</v>
      </c>
      <c r="U1654" t="s">
        <v>4655</v>
      </c>
      <c r="V1654" s="2">
        <v>0</v>
      </c>
      <c r="W1654" t="s">
        <v>4655</v>
      </c>
      <c r="X1654" s="2">
        <v>0</v>
      </c>
      <c r="Y1654">
        <v>20</v>
      </c>
      <c r="Z1654" t="s">
        <v>1538</v>
      </c>
      <c r="AA1654" s="3">
        <v>1.0199954509735101</v>
      </c>
      <c r="AB1654" t="s">
        <v>12164</v>
      </c>
      <c r="AC1654" t="s">
        <v>4562</v>
      </c>
      <c r="AD1654" t="s">
        <v>12165</v>
      </c>
      <c r="AE1654" t="s">
        <v>4655</v>
      </c>
      <c r="AF1654" t="s">
        <v>4798</v>
      </c>
      <c r="AG1654" t="s">
        <v>1539</v>
      </c>
      <c r="AH1654">
        <v>98124</v>
      </c>
      <c r="AI1654" t="s">
        <v>1540</v>
      </c>
      <c r="AJ1654" t="s">
        <v>4655</v>
      </c>
      <c r="AK1654" t="s">
        <v>12166</v>
      </c>
      <c r="AL1654" s="13" t="s">
        <v>2257</v>
      </c>
      <c r="AM1654">
        <v>1</v>
      </c>
      <c r="AN1654" s="15" t="s">
        <v>1541</v>
      </c>
    </row>
    <row r="1655" spans="1:40" x14ac:dyDescent="0.3">
      <c r="A1655" s="10" t="str">
        <f>HYPERLINK("http://www.washoecounty.gov/assessor/cama/?parid=023-141-29&amp;CardNumber=1","023-141-29")</f>
        <v>023-141-29</v>
      </c>
      <c r="B1655" t="s">
        <v>4655</v>
      </c>
      <c r="C1655" t="s">
        <v>12167</v>
      </c>
      <c r="D1655" s="1">
        <v>40203</v>
      </c>
      <c r="E1655" s="2">
        <v>340000</v>
      </c>
      <c r="F1655" t="s">
        <v>4553</v>
      </c>
      <c r="G1655" s="17" t="str">
        <f>HYPERLINK("https://www.washoecounty.gov/assessor/cama/?command=sales&amp;parid=02314129","3842448")</f>
        <v>3842448</v>
      </c>
      <c r="H1655" t="s">
        <v>12168</v>
      </c>
      <c r="I1655">
        <v>1959</v>
      </c>
      <c r="J1655">
        <v>1965</v>
      </c>
      <c r="K1655" t="s">
        <v>4554</v>
      </c>
      <c r="L1655" t="s">
        <v>4555</v>
      </c>
      <c r="M1655" s="2">
        <v>2028</v>
      </c>
      <c r="N1655" t="s">
        <v>3147</v>
      </c>
      <c r="O1655">
        <v>3</v>
      </c>
      <c r="P1655">
        <v>2</v>
      </c>
      <c r="Q1655">
        <v>1</v>
      </c>
      <c r="R1655" t="s">
        <v>4557</v>
      </c>
      <c r="S1655" t="s">
        <v>4135</v>
      </c>
      <c r="T1655" t="s">
        <v>4559</v>
      </c>
      <c r="U1655" t="s">
        <v>4560</v>
      </c>
      <c r="V1655" s="2">
        <v>726</v>
      </c>
      <c r="W1655" t="s">
        <v>3149</v>
      </c>
      <c r="X1655" s="2">
        <v>1125</v>
      </c>
      <c r="Y1655">
        <v>20</v>
      </c>
      <c r="Z1655" t="s">
        <v>1538</v>
      </c>
      <c r="AA1655" s="3">
        <v>0.93200182914733798</v>
      </c>
      <c r="AB1655" t="s">
        <v>12169</v>
      </c>
      <c r="AC1655" t="s">
        <v>4562</v>
      </c>
      <c r="AD1655" t="s">
        <v>12170</v>
      </c>
      <c r="AE1655" t="s">
        <v>4655</v>
      </c>
      <c r="AF1655" t="s">
        <v>1407</v>
      </c>
      <c r="AG1655" t="s">
        <v>4564</v>
      </c>
      <c r="AH1655">
        <v>89701</v>
      </c>
      <c r="AI1655" t="s">
        <v>4585</v>
      </c>
      <c r="AJ1655" t="s">
        <v>4655</v>
      </c>
      <c r="AK1655" t="s">
        <v>12171</v>
      </c>
      <c r="AL1655" s="13" t="s">
        <v>2255</v>
      </c>
      <c r="AM1655">
        <v>1</v>
      </c>
      <c r="AN1655" s="15" t="s">
        <v>776</v>
      </c>
    </row>
    <row r="1656" spans="1:40" x14ac:dyDescent="0.3">
      <c r="A1656" s="10" t="str">
        <f>HYPERLINK("http://www.washoecounty.gov/assessor/cama/?parid=023-167-19&amp;CardNumber=1","023-167-19")</f>
        <v>023-167-19</v>
      </c>
      <c r="B1656" t="s">
        <v>4655</v>
      </c>
      <c r="C1656" t="s">
        <v>12172</v>
      </c>
      <c r="D1656" s="1">
        <v>40273</v>
      </c>
      <c r="E1656" s="2">
        <v>280000</v>
      </c>
      <c r="F1656" t="s">
        <v>4567</v>
      </c>
      <c r="G1656" s="17" t="str">
        <f>HYPERLINK("https://www.washoecounty.gov/assessor/cama/?command=sales&amp;parid=02316719","3867676")</f>
        <v>3867676</v>
      </c>
      <c r="H1656" t="s">
        <v>12173</v>
      </c>
      <c r="I1656">
        <v>1973</v>
      </c>
      <c r="J1656">
        <v>1973</v>
      </c>
      <c r="K1656" t="s">
        <v>4554</v>
      </c>
      <c r="L1656" t="s">
        <v>4555</v>
      </c>
      <c r="M1656" s="2">
        <v>1706</v>
      </c>
      <c r="N1656" t="s">
        <v>5280</v>
      </c>
      <c r="O1656">
        <v>3</v>
      </c>
      <c r="P1656">
        <v>2</v>
      </c>
      <c r="Q1656">
        <v>0</v>
      </c>
      <c r="R1656" t="s">
        <v>5281</v>
      </c>
      <c r="S1656" t="s">
        <v>4898</v>
      </c>
      <c r="T1656" t="s">
        <v>4143</v>
      </c>
      <c r="U1656" t="s">
        <v>4560</v>
      </c>
      <c r="V1656" s="2">
        <v>506</v>
      </c>
      <c r="W1656" t="s">
        <v>3201</v>
      </c>
      <c r="X1656" s="2">
        <v>1510</v>
      </c>
      <c r="Y1656">
        <v>20</v>
      </c>
      <c r="Z1656" t="s">
        <v>5282</v>
      </c>
      <c r="AA1656" s="3">
        <v>0.40199723839759799</v>
      </c>
      <c r="AB1656" t="s">
        <v>12174</v>
      </c>
      <c r="AC1656" t="s">
        <v>4575</v>
      </c>
      <c r="AD1656" t="s">
        <v>12175</v>
      </c>
      <c r="AE1656" t="s">
        <v>12176</v>
      </c>
      <c r="AF1656" t="s">
        <v>12177</v>
      </c>
      <c r="AG1656" t="s">
        <v>1539</v>
      </c>
      <c r="AH1656" t="s">
        <v>12178</v>
      </c>
      <c r="AI1656" t="s">
        <v>3791</v>
      </c>
      <c r="AJ1656" t="s">
        <v>4655</v>
      </c>
      <c r="AK1656" t="s">
        <v>12179</v>
      </c>
      <c r="AL1656" s="13" t="s">
        <v>2255</v>
      </c>
      <c r="AM1656">
        <v>1</v>
      </c>
      <c r="AN1656" s="15" t="s">
        <v>3152</v>
      </c>
    </row>
    <row r="1657" spans="1:40" x14ac:dyDescent="0.3">
      <c r="A1657" s="10" t="str">
        <f>HYPERLINK("http://www.washoecounty.gov/assessor/cama/?parid=023-171-11&amp;CardNumber=1","023-171-11")</f>
        <v>023-171-11</v>
      </c>
      <c r="B1657" t="s">
        <v>4655</v>
      </c>
      <c r="C1657" t="s">
        <v>12180</v>
      </c>
      <c r="D1657" s="1">
        <v>40464</v>
      </c>
      <c r="E1657" s="2">
        <v>252000</v>
      </c>
      <c r="F1657" t="s">
        <v>4553</v>
      </c>
      <c r="G1657" s="17" t="str">
        <f>HYPERLINK("https://www.washoecounty.gov/assessor/cama/?command=sales&amp;parid=02317111","3932441")</f>
        <v>3932441</v>
      </c>
      <c r="H1657" t="s">
        <v>3942</v>
      </c>
      <c r="I1657">
        <v>1978</v>
      </c>
      <c r="J1657">
        <v>1978</v>
      </c>
      <c r="K1657" t="s">
        <v>4554</v>
      </c>
      <c r="L1657" t="s">
        <v>4555</v>
      </c>
      <c r="M1657" s="2">
        <v>1249</v>
      </c>
      <c r="N1657" t="s">
        <v>3887</v>
      </c>
      <c r="O1657">
        <v>3</v>
      </c>
      <c r="P1657">
        <v>2</v>
      </c>
      <c r="Q1657">
        <v>1</v>
      </c>
      <c r="R1657" t="s">
        <v>4557</v>
      </c>
      <c r="S1657" t="s">
        <v>4135</v>
      </c>
      <c r="T1657" t="s">
        <v>4559</v>
      </c>
      <c r="U1657" t="s">
        <v>4560</v>
      </c>
      <c r="V1657" s="2">
        <v>500</v>
      </c>
      <c r="W1657" t="s">
        <v>3149</v>
      </c>
      <c r="X1657" s="2">
        <v>1064</v>
      </c>
      <c r="Y1657">
        <v>20</v>
      </c>
      <c r="Z1657" t="s">
        <v>385</v>
      </c>
      <c r="AA1657" s="3">
        <v>0.20000000298023199</v>
      </c>
      <c r="AB1657" t="s">
        <v>12181</v>
      </c>
      <c r="AC1657" t="s">
        <v>4562</v>
      </c>
      <c r="AD1657" t="s">
        <v>12182</v>
      </c>
      <c r="AE1657" t="s">
        <v>4655</v>
      </c>
      <c r="AF1657" t="s">
        <v>4563</v>
      </c>
      <c r="AG1657" t="s">
        <v>4564</v>
      </c>
      <c r="AH1657">
        <v>89509</v>
      </c>
      <c r="AI1657" t="s">
        <v>4903</v>
      </c>
      <c r="AJ1657" t="s">
        <v>4655</v>
      </c>
      <c r="AK1657" t="s">
        <v>12183</v>
      </c>
      <c r="AL1657" s="13" t="s">
        <v>2255</v>
      </c>
      <c r="AM1657">
        <v>1</v>
      </c>
      <c r="AN1657" s="15" t="s">
        <v>5089</v>
      </c>
    </row>
    <row r="1658" spans="1:40" x14ac:dyDescent="0.3">
      <c r="A1658" s="10" t="str">
        <f>HYPERLINK("http://www.washoecounty.gov/assessor/cama/?parid=023-174-13&amp;CardNumber=1","023-174-13")</f>
        <v>023-174-13</v>
      </c>
      <c r="B1658" t="s">
        <v>4655</v>
      </c>
      <c r="C1658" t="s">
        <v>12184</v>
      </c>
      <c r="D1658" s="1">
        <v>40428</v>
      </c>
      <c r="E1658" s="2">
        <v>170000</v>
      </c>
      <c r="F1658" t="s">
        <v>4567</v>
      </c>
      <c r="G1658" s="17" t="str">
        <f>HYPERLINK("https://www.washoecounty.gov/assessor/cama/?command=sales&amp;parid=02317413","3919160")</f>
        <v>3919160</v>
      </c>
      <c r="H1658" t="s">
        <v>4322</v>
      </c>
      <c r="I1658">
        <v>1974</v>
      </c>
      <c r="J1658">
        <v>1974</v>
      </c>
      <c r="K1658" t="s">
        <v>4554</v>
      </c>
      <c r="L1658" t="s">
        <v>4555</v>
      </c>
      <c r="M1658" s="2">
        <v>1851</v>
      </c>
      <c r="N1658" t="s">
        <v>5280</v>
      </c>
      <c r="O1658">
        <v>3</v>
      </c>
      <c r="P1658">
        <v>2</v>
      </c>
      <c r="Q1658">
        <v>0</v>
      </c>
      <c r="R1658" t="s">
        <v>4557</v>
      </c>
      <c r="S1658" t="s">
        <v>4558</v>
      </c>
      <c r="T1658" t="s">
        <v>4559</v>
      </c>
      <c r="U1658" t="s">
        <v>4560</v>
      </c>
      <c r="V1658" s="2">
        <v>552</v>
      </c>
      <c r="W1658" t="s">
        <v>4655</v>
      </c>
      <c r="X1658" s="2">
        <v>0</v>
      </c>
      <c r="Y1658">
        <v>20</v>
      </c>
      <c r="Z1658" t="s">
        <v>385</v>
      </c>
      <c r="AA1658" s="3">
        <v>0.57899451255798295</v>
      </c>
      <c r="AB1658" t="s">
        <v>12185</v>
      </c>
      <c r="AC1658" t="s">
        <v>4562</v>
      </c>
      <c r="AD1658" t="s">
        <v>12184</v>
      </c>
      <c r="AE1658" t="s">
        <v>4655</v>
      </c>
      <c r="AF1658" t="s">
        <v>4563</v>
      </c>
      <c r="AG1658" t="s">
        <v>4564</v>
      </c>
      <c r="AH1658">
        <v>89509</v>
      </c>
      <c r="AI1658" t="s">
        <v>12186</v>
      </c>
      <c r="AJ1658" t="s">
        <v>4655</v>
      </c>
      <c r="AK1658" t="s">
        <v>12187</v>
      </c>
      <c r="AL1658" s="13" t="s">
        <v>2255</v>
      </c>
      <c r="AM1658" s="14">
        <v>1</v>
      </c>
      <c r="AN1658" s="15" t="s">
        <v>5089</v>
      </c>
    </row>
    <row r="1659" spans="1:40" x14ac:dyDescent="0.3">
      <c r="A1659" s="10" t="str">
        <f>HYPERLINK("http://www.washoecounty.gov/assessor/cama/?parid=023-175-15&amp;CardNumber=1","023-175-15")</f>
        <v>023-175-15</v>
      </c>
      <c r="B1659" t="s">
        <v>4655</v>
      </c>
      <c r="C1659" t="s">
        <v>12188</v>
      </c>
      <c r="D1659" s="1">
        <v>40326</v>
      </c>
      <c r="E1659" s="2">
        <v>260000</v>
      </c>
      <c r="F1659" t="s">
        <v>4567</v>
      </c>
      <c r="G1659" s="17" t="str">
        <f>HYPERLINK("https://www.washoecounty.gov/assessor/cama/?command=sales&amp;parid=02317515","3886755")</f>
        <v>3886755</v>
      </c>
      <c r="H1659" t="s">
        <v>3942</v>
      </c>
      <c r="I1659">
        <v>1974</v>
      </c>
      <c r="J1659">
        <v>1974</v>
      </c>
      <c r="K1659" t="s">
        <v>4554</v>
      </c>
      <c r="L1659" t="s">
        <v>2170</v>
      </c>
      <c r="M1659" s="2">
        <v>2034</v>
      </c>
      <c r="N1659" t="s">
        <v>3147</v>
      </c>
      <c r="O1659">
        <v>3</v>
      </c>
      <c r="P1659">
        <v>2</v>
      </c>
      <c r="Q1659">
        <v>0</v>
      </c>
      <c r="R1659" t="s">
        <v>5281</v>
      </c>
      <c r="S1659" t="s">
        <v>4558</v>
      </c>
      <c r="T1659" t="s">
        <v>4559</v>
      </c>
      <c r="U1659" t="s">
        <v>5631</v>
      </c>
      <c r="V1659" s="2">
        <v>528</v>
      </c>
      <c r="W1659" t="s">
        <v>4655</v>
      </c>
      <c r="X1659" s="2">
        <v>0</v>
      </c>
      <c r="Y1659">
        <v>20</v>
      </c>
      <c r="Z1659" t="s">
        <v>385</v>
      </c>
      <c r="AA1659" s="3">
        <v>0.214990824460983</v>
      </c>
      <c r="AB1659" t="s">
        <v>12189</v>
      </c>
      <c r="AC1659" t="s">
        <v>4562</v>
      </c>
      <c r="AD1659" t="s">
        <v>12190</v>
      </c>
      <c r="AE1659" t="s">
        <v>4655</v>
      </c>
      <c r="AF1659" t="s">
        <v>4563</v>
      </c>
      <c r="AG1659" t="s">
        <v>4564</v>
      </c>
      <c r="AH1659">
        <v>89509</v>
      </c>
      <c r="AI1659" t="s">
        <v>12191</v>
      </c>
      <c r="AJ1659" t="s">
        <v>4655</v>
      </c>
      <c r="AK1659" t="s">
        <v>12192</v>
      </c>
      <c r="AL1659" s="13" t="s">
        <v>2255</v>
      </c>
      <c r="AM1659">
        <v>1</v>
      </c>
      <c r="AN1659" s="15" t="s">
        <v>5089</v>
      </c>
    </row>
    <row r="1660" spans="1:40" x14ac:dyDescent="0.3">
      <c r="A1660" s="10" t="str">
        <f>HYPERLINK("http://www.washoecounty.gov/assessor/cama/?parid=023-192-02&amp;CardNumber=1","023-192-02")</f>
        <v>023-192-02</v>
      </c>
      <c r="B1660" t="s">
        <v>4655</v>
      </c>
      <c r="C1660" t="s">
        <v>12193</v>
      </c>
      <c r="D1660" s="1">
        <v>40421</v>
      </c>
      <c r="E1660" s="2">
        <v>841000</v>
      </c>
      <c r="F1660" t="s">
        <v>4567</v>
      </c>
      <c r="G1660" s="17" t="str">
        <f>HYPERLINK("https://www.washoecounty.gov/assessor/cama/?command=sales&amp;parid=02319202","3917444")</f>
        <v>3917444</v>
      </c>
      <c r="H1660" t="s">
        <v>3066</v>
      </c>
      <c r="I1660">
        <v>1978</v>
      </c>
      <c r="J1660">
        <v>1978</v>
      </c>
      <c r="K1660" t="s">
        <v>4554</v>
      </c>
      <c r="L1660" t="s">
        <v>4555</v>
      </c>
      <c r="M1660" s="2">
        <v>4442</v>
      </c>
      <c r="N1660" t="s">
        <v>5106</v>
      </c>
      <c r="O1660">
        <v>4</v>
      </c>
      <c r="P1660">
        <v>2</v>
      </c>
      <c r="Q1660">
        <v>1</v>
      </c>
      <c r="R1660" t="s">
        <v>5281</v>
      </c>
      <c r="S1660" t="s">
        <v>4682</v>
      </c>
      <c r="T1660" t="s">
        <v>2704</v>
      </c>
      <c r="U1660" t="s">
        <v>4560</v>
      </c>
      <c r="V1660" s="2">
        <v>978</v>
      </c>
      <c r="W1660" t="s">
        <v>4655</v>
      </c>
      <c r="X1660" s="2">
        <v>0</v>
      </c>
      <c r="Y1660">
        <v>20</v>
      </c>
      <c r="Z1660" t="s">
        <v>5282</v>
      </c>
      <c r="AA1660" s="3">
        <v>1</v>
      </c>
      <c r="AB1660" t="s">
        <v>12194</v>
      </c>
      <c r="AC1660" t="s">
        <v>4575</v>
      </c>
      <c r="AD1660" t="s">
        <v>12193</v>
      </c>
      <c r="AE1660" t="s">
        <v>4655</v>
      </c>
      <c r="AF1660" t="s">
        <v>4563</v>
      </c>
      <c r="AG1660" t="s">
        <v>4564</v>
      </c>
      <c r="AH1660">
        <v>89509</v>
      </c>
      <c r="AI1660" t="s">
        <v>12195</v>
      </c>
      <c r="AJ1660" t="s">
        <v>4655</v>
      </c>
      <c r="AK1660" t="s">
        <v>12196</v>
      </c>
      <c r="AL1660" s="13" t="s">
        <v>2257</v>
      </c>
      <c r="AM1660" s="14">
        <v>1</v>
      </c>
      <c r="AN1660" s="15" t="s">
        <v>776</v>
      </c>
    </row>
    <row r="1661" spans="1:40" x14ac:dyDescent="0.3">
      <c r="A1661" s="10" t="str">
        <f>HYPERLINK("http://www.washoecounty.gov/assessor/cama/?parid=023-194-18&amp;CardNumber=1","023-194-18")</f>
        <v>023-194-18</v>
      </c>
      <c r="B1661" t="s">
        <v>4655</v>
      </c>
      <c r="C1661" t="s">
        <v>12197</v>
      </c>
      <c r="D1661" s="1">
        <v>40466</v>
      </c>
      <c r="E1661" s="2">
        <v>375000</v>
      </c>
      <c r="F1661" t="s">
        <v>4567</v>
      </c>
      <c r="G1661" s="17" t="str">
        <f>HYPERLINK("https://www.washoecounty.gov/assessor/cama/?command=sales&amp;parid=02319418","3933331")</f>
        <v>3933331</v>
      </c>
      <c r="H1661" t="s">
        <v>12198</v>
      </c>
      <c r="I1661">
        <v>1972</v>
      </c>
      <c r="J1661">
        <v>1972</v>
      </c>
      <c r="K1661" t="s">
        <v>4554</v>
      </c>
      <c r="L1661" t="s">
        <v>4555</v>
      </c>
      <c r="M1661" s="2">
        <v>2387</v>
      </c>
      <c r="N1661" t="s">
        <v>3887</v>
      </c>
      <c r="O1661">
        <v>3</v>
      </c>
      <c r="P1661">
        <v>2</v>
      </c>
      <c r="Q1661">
        <v>0</v>
      </c>
      <c r="R1661" t="s">
        <v>5281</v>
      </c>
      <c r="S1661" t="s">
        <v>4135</v>
      </c>
      <c r="T1661" t="s">
        <v>4143</v>
      </c>
      <c r="U1661" t="s">
        <v>4655</v>
      </c>
      <c r="V1661" s="2">
        <v>0</v>
      </c>
      <c r="W1661" t="s">
        <v>4655</v>
      </c>
      <c r="X1661" s="2">
        <v>0</v>
      </c>
      <c r="Y1661">
        <v>20</v>
      </c>
      <c r="Z1661" t="s">
        <v>385</v>
      </c>
      <c r="AA1661" s="3">
        <v>0.37398990988731401</v>
      </c>
      <c r="AB1661" t="s">
        <v>12199</v>
      </c>
      <c r="AC1661" t="s">
        <v>4562</v>
      </c>
      <c r="AD1661" t="s">
        <v>12200</v>
      </c>
      <c r="AE1661" t="s">
        <v>4655</v>
      </c>
      <c r="AF1661" t="s">
        <v>4563</v>
      </c>
      <c r="AG1661" t="s">
        <v>4564</v>
      </c>
      <c r="AH1661">
        <v>89509</v>
      </c>
      <c r="AI1661" t="s">
        <v>12201</v>
      </c>
      <c r="AJ1661" t="s">
        <v>4655</v>
      </c>
      <c r="AK1661" t="s">
        <v>12202</v>
      </c>
      <c r="AL1661" s="13" t="s">
        <v>2257</v>
      </c>
      <c r="AM1661">
        <v>1</v>
      </c>
      <c r="AN1661" s="15" t="s">
        <v>4192</v>
      </c>
    </row>
    <row r="1662" spans="1:40" x14ac:dyDescent="0.3">
      <c r="A1662" s="10" t="str">
        <f>HYPERLINK("http://www.washoecounty.gov/assessor/cama/?parid=023-203-06&amp;CardNumber=1","023-203-06")</f>
        <v>023-203-06</v>
      </c>
      <c r="B1662" t="s">
        <v>4655</v>
      </c>
      <c r="C1662" t="s">
        <v>12203</v>
      </c>
      <c r="D1662" s="1">
        <v>40521</v>
      </c>
      <c r="E1662" s="2">
        <v>195000</v>
      </c>
      <c r="F1662" t="s">
        <v>4567</v>
      </c>
      <c r="G1662" s="17" t="str">
        <f>HYPERLINK("https://www.washoecounty.gov/assessor/cama/?command=sales&amp;parid=02320306","3951658")</f>
        <v>3951658</v>
      </c>
      <c r="H1662" t="s">
        <v>5101</v>
      </c>
      <c r="I1662">
        <v>1966</v>
      </c>
      <c r="J1662">
        <v>1966</v>
      </c>
      <c r="K1662" t="s">
        <v>4554</v>
      </c>
      <c r="L1662" t="s">
        <v>4555</v>
      </c>
      <c r="M1662" s="2">
        <v>1664</v>
      </c>
      <c r="N1662" t="s">
        <v>3147</v>
      </c>
      <c r="O1662">
        <v>3</v>
      </c>
      <c r="P1662">
        <v>2</v>
      </c>
      <c r="Q1662">
        <v>0</v>
      </c>
      <c r="R1662" t="s">
        <v>4557</v>
      </c>
      <c r="S1662" t="s">
        <v>4558</v>
      </c>
      <c r="T1662" t="s">
        <v>4559</v>
      </c>
      <c r="U1662" t="s">
        <v>4560</v>
      </c>
      <c r="V1662" s="2">
        <v>576</v>
      </c>
      <c r="W1662" t="s">
        <v>4655</v>
      </c>
      <c r="X1662" s="2">
        <v>0</v>
      </c>
      <c r="Y1662">
        <v>20</v>
      </c>
      <c r="Z1662" t="s">
        <v>385</v>
      </c>
      <c r="AA1662" s="3">
        <v>0.22899448871612499</v>
      </c>
      <c r="AB1662" t="s">
        <v>12204</v>
      </c>
      <c r="AC1662" t="s">
        <v>4562</v>
      </c>
      <c r="AD1662" t="s">
        <v>12203</v>
      </c>
      <c r="AE1662" t="s">
        <v>4655</v>
      </c>
      <c r="AF1662" t="s">
        <v>4563</v>
      </c>
      <c r="AG1662" t="s">
        <v>4564</v>
      </c>
      <c r="AH1662">
        <v>89509</v>
      </c>
      <c r="AI1662" t="s">
        <v>12205</v>
      </c>
      <c r="AJ1662" t="s">
        <v>4655</v>
      </c>
      <c r="AK1662" t="s">
        <v>12206</v>
      </c>
      <c r="AL1662" s="13" t="s">
        <v>2255</v>
      </c>
      <c r="AM1662">
        <v>1</v>
      </c>
      <c r="AN1662" s="15" t="s">
        <v>3104</v>
      </c>
    </row>
    <row r="1663" spans="1:40" x14ac:dyDescent="0.3">
      <c r="A1663" s="10" t="str">
        <f>HYPERLINK("http://www.washoecounty.gov/assessor/cama/?parid=023-242-02&amp;CardNumber=1","023-242-02")</f>
        <v>023-242-02</v>
      </c>
      <c r="B1663" t="s">
        <v>4655</v>
      </c>
      <c r="C1663" t="s">
        <v>12207</v>
      </c>
      <c r="D1663" s="1">
        <v>40497</v>
      </c>
      <c r="E1663" s="2">
        <v>307800</v>
      </c>
      <c r="F1663" t="s">
        <v>4553</v>
      </c>
      <c r="G1663" s="17" t="str">
        <f>HYPERLINK("https://www.washoecounty.gov/assessor/cama/?command=sales&amp;parid=02324202","3943140")</f>
        <v>3943140</v>
      </c>
      <c r="H1663" t="s">
        <v>1045</v>
      </c>
      <c r="I1663">
        <v>1977</v>
      </c>
      <c r="J1663">
        <v>1979</v>
      </c>
      <c r="K1663" t="s">
        <v>4554</v>
      </c>
      <c r="L1663" t="s">
        <v>2170</v>
      </c>
      <c r="M1663" s="2">
        <v>3288</v>
      </c>
      <c r="N1663" t="s">
        <v>3887</v>
      </c>
      <c r="O1663">
        <v>4</v>
      </c>
      <c r="P1663">
        <v>3</v>
      </c>
      <c r="Q1663">
        <v>0</v>
      </c>
      <c r="R1663" t="s">
        <v>5281</v>
      </c>
      <c r="S1663" t="s">
        <v>4558</v>
      </c>
      <c r="T1663" t="s">
        <v>2704</v>
      </c>
      <c r="U1663" t="s">
        <v>5631</v>
      </c>
      <c r="V1663" s="2">
        <v>660</v>
      </c>
      <c r="W1663" t="s">
        <v>4655</v>
      </c>
      <c r="X1663" s="2">
        <v>0</v>
      </c>
      <c r="Y1663">
        <v>20</v>
      </c>
      <c r="Z1663" t="s">
        <v>385</v>
      </c>
      <c r="AA1663" s="3">
        <v>0.21299357712268799</v>
      </c>
      <c r="AB1663" t="s">
        <v>12208</v>
      </c>
      <c r="AC1663" t="s">
        <v>4562</v>
      </c>
      <c r="AD1663" t="s">
        <v>12207</v>
      </c>
      <c r="AE1663" t="s">
        <v>4655</v>
      </c>
      <c r="AF1663" t="s">
        <v>4563</v>
      </c>
      <c r="AG1663" t="s">
        <v>4564</v>
      </c>
      <c r="AH1663">
        <v>89509</v>
      </c>
      <c r="AI1663" t="s">
        <v>4655</v>
      </c>
      <c r="AJ1663" t="s">
        <v>4655</v>
      </c>
      <c r="AK1663" t="s">
        <v>12209</v>
      </c>
      <c r="AL1663" s="13" t="s">
        <v>2255</v>
      </c>
      <c r="AM1663">
        <v>1</v>
      </c>
      <c r="AN1663" s="15" t="s">
        <v>3104</v>
      </c>
    </row>
    <row r="1664" spans="1:40" x14ac:dyDescent="0.3">
      <c r="A1664" s="10" t="str">
        <f>HYPERLINK("http://www.washoecounty.gov/assessor/cama/?parid=023-243-12&amp;CardNumber=1","023-243-12")</f>
        <v>023-243-12</v>
      </c>
      <c r="B1664" t="s">
        <v>4655</v>
      </c>
      <c r="C1664" t="s">
        <v>12210</v>
      </c>
      <c r="D1664" s="1">
        <v>40317</v>
      </c>
      <c r="E1664" s="2">
        <v>402500</v>
      </c>
      <c r="F1664" t="s">
        <v>4567</v>
      </c>
      <c r="G1664" s="17" t="str">
        <f>HYPERLINK("https://www.washoecounty.gov/assessor/cama/?command=sales&amp;parid=02324312","3883139")</f>
        <v>3883139</v>
      </c>
      <c r="H1664" t="s">
        <v>12211</v>
      </c>
      <c r="I1664">
        <v>1978</v>
      </c>
      <c r="J1664">
        <v>1978</v>
      </c>
      <c r="K1664" t="s">
        <v>4554</v>
      </c>
      <c r="L1664" t="s">
        <v>4555</v>
      </c>
      <c r="M1664" s="2">
        <v>1758</v>
      </c>
      <c r="N1664" t="s">
        <v>5106</v>
      </c>
      <c r="O1664">
        <v>4</v>
      </c>
      <c r="P1664">
        <v>3</v>
      </c>
      <c r="Q1664">
        <v>0</v>
      </c>
      <c r="R1664" t="s">
        <v>5281</v>
      </c>
      <c r="S1664" t="s">
        <v>4558</v>
      </c>
      <c r="T1664" t="s">
        <v>4899</v>
      </c>
      <c r="U1664" t="s">
        <v>4655</v>
      </c>
      <c r="V1664" s="2">
        <v>0</v>
      </c>
      <c r="W1664" t="s">
        <v>3201</v>
      </c>
      <c r="X1664" s="2">
        <v>1836</v>
      </c>
      <c r="Y1664">
        <v>20</v>
      </c>
      <c r="Z1664" t="s">
        <v>385</v>
      </c>
      <c r="AA1664" s="3">
        <v>0.217998161911964</v>
      </c>
      <c r="AB1664" t="s">
        <v>12212</v>
      </c>
      <c r="AC1664" t="s">
        <v>4562</v>
      </c>
      <c r="AD1664" t="s">
        <v>12210</v>
      </c>
      <c r="AE1664" t="s">
        <v>4655</v>
      </c>
      <c r="AF1664" t="s">
        <v>4563</v>
      </c>
      <c r="AG1664" t="s">
        <v>4564</v>
      </c>
      <c r="AH1664">
        <v>89509</v>
      </c>
      <c r="AI1664" t="s">
        <v>4655</v>
      </c>
      <c r="AJ1664" t="s">
        <v>4655</v>
      </c>
      <c r="AK1664" t="s">
        <v>12213</v>
      </c>
      <c r="AL1664" s="13" t="s">
        <v>2255</v>
      </c>
      <c r="AM1664" s="14">
        <v>1</v>
      </c>
      <c r="AN1664" s="15" t="s">
        <v>3104</v>
      </c>
    </row>
    <row r="1665" spans="1:40" x14ac:dyDescent="0.3">
      <c r="A1665" s="10" t="str">
        <f>HYPERLINK("http://www.washoecounty.gov/assessor/cama/?parid=023-250-05&amp;CardNumber=1","023-250-05")</f>
        <v>023-250-05</v>
      </c>
      <c r="B1665" t="s">
        <v>4655</v>
      </c>
      <c r="C1665" t="s">
        <v>12214</v>
      </c>
      <c r="D1665" s="1">
        <v>40254</v>
      </c>
      <c r="E1665" s="2">
        <v>535000</v>
      </c>
      <c r="F1665" t="s">
        <v>4567</v>
      </c>
      <c r="G1665" s="17" t="str">
        <f>HYPERLINK("https://www.washoecounty.gov/assessor/cama/?command=sales&amp;parid=02325005","3860662")</f>
        <v>3860662</v>
      </c>
      <c r="H1665" t="s">
        <v>12215</v>
      </c>
      <c r="I1665">
        <v>1970</v>
      </c>
      <c r="J1665">
        <v>1970</v>
      </c>
      <c r="K1665" t="s">
        <v>4897</v>
      </c>
      <c r="L1665" t="s">
        <v>4555</v>
      </c>
      <c r="M1665" s="2">
        <v>2697</v>
      </c>
      <c r="N1665" t="s">
        <v>1245</v>
      </c>
      <c r="O1665">
        <v>2</v>
      </c>
      <c r="P1665">
        <v>2</v>
      </c>
      <c r="Q1665">
        <v>0</v>
      </c>
      <c r="R1665" t="s">
        <v>5281</v>
      </c>
      <c r="S1665" t="s">
        <v>4898</v>
      </c>
      <c r="T1665" t="s">
        <v>4559</v>
      </c>
      <c r="U1665" t="s">
        <v>4560</v>
      </c>
      <c r="V1665" s="2">
        <v>550</v>
      </c>
      <c r="W1665" t="s">
        <v>3149</v>
      </c>
      <c r="X1665" s="2">
        <v>868</v>
      </c>
      <c r="Y1665">
        <v>21</v>
      </c>
      <c r="Z1665" t="s">
        <v>2705</v>
      </c>
      <c r="AA1665" s="3">
        <v>1.00000004749745E-3</v>
      </c>
      <c r="AB1665" t="s">
        <v>12216</v>
      </c>
      <c r="AC1665" t="s">
        <v>4575</v>
      </c>
      <c r="AD1665" t="s">
        <v>12217</v>
      </c>
      <c r="AE1665" t="s">
        <v>4655</v>
      </c>
      <c r="AF1665" t="s">
        <v>5206</v>
      </c>
      <c r="AG1665" t="s">
        <v>4564</v>
      </c>
      <c r="AH1665" t="s">
        <v>5275</v>
      </c>
      <c r="AI1665" t="s">
        <v>4655</v>
      </c>
      <c r="AJ1665" t="s">
        <v>4655</v>
      </c>
      <c r="AK1665" t="s">
        <v>12218</v>
      </c>
      <c r="AL1665" s="13" t="s">
        <v>2257</v>
      </c>
      <c r="AM1665">
        <v>1</v>
      </c>
      <c r="AN1665" s="15" t="s">
        <v>777</v>
      </c>
    </row>
    <row r="1666" spans="1:40" x14ac:dyDescent="0.3">
      <c r="A1666" s="10" t="str">
        <f>HYPERLINK("http://www.washoecounty.gov/assessor/cama/?parid=023-302-04&amp;CardNumber=1","023-302-04")</f>
        <v>023-302-04</v>
      </c>
      <c r="B1666" t="s">
        <v>4655</v>
      </c>
      <c r="C1666" t="s">
        <v>12219</v>
      </c>
      <c r="D1666" s="1">
        <v>40359</v>
      </c>
      <c r="E1666" s="2">
        <v>450000</v>
      </c>
      <c r="F1666" t="s">
        <v>4567</v>
      </c>
      <c r="G1666" s="17" t="str">
        <f>HYPERLINK("https://www.washoecounty.gov/assessor/cama/?command=sales&amp;parid=02330204","3897464")</f>
        <v>3897464</v>
      </c>
      <c r="H1666" t="s">
        <v>12220</v>
      </c>
      <c r="I1666">
        <v>1975</v>
      </c>
      <c r="J1666">
        <v>1992</v>
      </c>
      <c r="K1666" t="s">
        <v>4554</v>
      </c>
      <c r="L1666" t="s">
        <v>2170</v>
      </c>
      <c r="M1666" s="2">
        <v>3375</v>
      </c>
      <c r="N1666" t="s">
        <v>5106</v>
      </c>
      <c r="O1666">
        <v>3</v>
      </c>
      <c r="P1666">
        <v>3</v>
      </c>
      <c r="Q1666">
        <v>1</v>
      </c>
      <c r="R1666" t="s">
        <v>5281</v>
      </c>
      <c r="S1666" t="s">
        <v>4570</v>
      </c>
      <c r="T1666" t="s">
        <v>2947</v>
      </c>
      <c r="U1666" t="s">
        <v>5631</v>
      </c>
      <c r="V1666" s="2">
        <v>624</v>
      </c>
      <c r="W1666" t="s">
        <v>4655</v>
      </c>
      <c r="X1666" s="2">
        <v>0</v>
      </c>
      <c r="Y1666">
        <v>20</v>
      </c>
      <c r="Z1666" t="s">
        <v>385</v>
      </c>
      <c r="AA1666" s="3">
        <v>0.407001823186874</v>
      </c>
      <c r="AB1666" t="s">
        <v>12221</v>
      </c>
      <c r="AC1666" t="s">
        <v>4575</v>
      </c>
      <c r="AD1666" t="s">
        <v>12219</v>
      </c>
      <c r="AE1666" t="s">
        <v>4655</v>
      </c>
      <c r="AF1666" t="s">
        <v>4563</v>
      </c>
      <c r="AG1666" t="s">
        <v>4564</v>
      </c>
      <c r="AH1666">
        <v>89509</v>
      </c>
      <c r="AI1666" t="s">
        <v>12222</v>
      </c>
      <c r="AJ1666" t="s">
        <v>4655</v>
      </c>
      <c r="AK1666" t="s">
        <v>12223</v>
      </c>
      <c r="AL1666" s="13" t="s">
        <v>2257</v>
      </c>
      <c r="AM1666">
        <v>1</v>
      </c>
      <c r="AN1666" s="15" t="s">
        <v>4192</v>
      </c>
    </row>
    <row r="1667" spans="1:40" x14ac:dyDescent="0.3">
      <c r="A1667" s="10" t="str">
        <f>HYPERLINK("http://www.washoecounty.gov/assessor/cama/?parid=023-302-17&amp;CardNumber=1","023-302-17")</f>
        <v>023-302-17</v>
      </c>
      <c r="B1667" t="s">
        <v>4655</v>
      </c>
      <c r="C1667" t="s">
        <v>12224</v>
      </c>
      <c r="D1667" s="1">
        <v>40500</v>
      </c>
      <c r="E1667" s="2">
        <v>260000</v>
      </c>
      <c r="F1667" t="s">
        <v>4567</v>
      </c>
      <c r="G1667" s="17" t="str">
        <f>HYPERLINK("https://www.washoecounty.gov/assessor/cama/?command=sales&amp;parid=02330217","3944625")</f>
        <v>3944625</v>
      </c>
      <c r="H1667" t="s">
        <v>12220</v>
      </c>
      <c r="I1667">
        <v>1973</v>
      </c>
      <c r="J1667">
        <v>1973</v>
      </c>
      <c r="K1667" t="s">
        <v>4554</v>
      </c>
      <c r="L1667" t="s">
        <v>3974</v>
      </c>
      <c r="M1667" s="2">
        <v>2790</v>
      </c>
      <c r="N1667" t="s">
        <v>3887</v>
      </c>
      <c r="O1667">
        <v>4</v>
      </c>
      <c r="P1667">
        <v>3</v>
      </c>
      <c r="Q1667">
        <v>0</v>
      </c>
      <c r="R1667" t="s">
        <v>4557</v>
      </c>
      <c r="S1667" t="s">
        <v>3148</v>
      </c>
      <c r="T1667" t="s">
        <v>4143</v>
      </c>
      <c r="U1667" t="s">
        <v>5631</v>
      </c>
      <c r="V1667" s="2">
        <v>484</v>
      </c>
      <c r="W1667" t="s">
        <v>4655</v>
      </c>
      <c r="X1667" s="2">
        <v>0</v>
      </c>
      <c r="Y1667">
        <v>20</v>
      </c>
      <c r="Z1667" t="s">
        <v>385</v>
      </c>
      <c r="AA1667" s="3">
        <v>0.38799357414245605</v>
      </c>
      <c r="AB1667" t="s">
        <v>12225</v>
      </c>
      <c r="AC1667" t="s">
        <v>4562</v>
      </c>
      <c r="AD1667" t="s">
        <v>12226</v>
      </c>
      <c r="AE1667" t="s">
        <v>4655</v>
      </c>
      <c r="AF1667" t="s">
        <v>4563</v>
      </c>
      <c r="AG1667" t="s">
        <v>4564</v>
      </c>
      <c r="AH1667">
        <v>89509</v>
      </c>
      <c r="AI1667" t="s">
        <v>12227</v>
      </c>
      <c r="AJ1667" t="s">
        <v>4655</v>
      </c>
      <c r="AK1667" t="s">
        <v>12228</v>
      </c>
      <c r="AL1667" s="13" t="s">
        <v>2257</v>
      </c>
      <c r="AM1667">
        <v>1</v>
      </c>
      <c r="AN1667" s="15" t="s">
        <v>4192</v>
      </c>
    </row>
    <row r="1668" spans="1:40" x14ac:dyDescent="0.3">
      <c r="A1668" s="10" t="str">
        <f>HYPERLINK("http://www.washoecounty.gov/assessor/cama/?parid=023-311-16&amp;CardNumber=1","023-311-16")</f>
        <v>023-311-16</v>
      </c>
      <c r="B1668" t="s">
        <v>4655</v>
      </c>
      <c r="C1668" t="s">
        <v>12229</v>
      </c>
      <c r="D1668" s="1">
        <v>40504</v>
      </c>
      <c r="E1668" s="2">
        <v>210000</v>
      </c>
      <c r="F1668" t="s">
        <v>4567</v>
      </c>
      <c r="G1668" s="17" t="str">
        <f>HYPERLINK("https://www.washoecounty.gov/assessor/cama/?command=sales&amp;parid=02331116","3945717")</f>
        <v>3945717</v>
      </c>
      <c r="H1668" t="s">
        <v>12220</v>
      </c>
      <c r="I1668">
        <v>1973</v>
      </c>
      <c r="J1668">
        <v>1973</v>
      </c>
      <c r="K1668" t="s">
        <v>4554</v>
      </c>
      <c r="L1668" t="s">
        <v>3974</v>
      </c>
      <c r="M1668" s="2">
        <v>3604</v>
      </c>
      <c r="N1668" t="s">
        <v>1245</v>
      </c>
      <c r="O1668">
        <v>3</v>
      </c>
      <c r="P1668">
        <v>3</v>
      </c>
      <c r="Q1668">
        <v>0</v>
      </c>
      <c r="R1668" t="s">
        <v>5281</v>
      </c>
      <c r="S1668" t="s">
        <v>4682</v>
      </c>
      <c r="T1668" t="s">
        <v>4143</v>
      </c>
      <c r="U1668" t="s">
        <v>5631</v>
      </c>
      <c r="V1668" s="2">
        <v>1044</v>
      </c>
      <c r="W1668" t="s">
        <v>4655</v>
      </c>
      <c r="X1668" s="2">
        <v>0</v>
      </c>
      <c r="Y1668">
        <v>20</v>
      </c>
      <c r="Z1668" t="s">
        <v>385</v>
      </c>
      <c r="AA1668" s="3">
        <v>0.36900827288627602</v>
      </c>
      <c r="AB1668" t="s">
        <v>12230</v>
      </c>
      <c r="AC1668" t="s">
        <v>4562</v>
      </c>
      <c r="AD1668" t="s">
        <v>12229</v>
      </c>
      <c r="AE1668" t="s">
        <v>4655</v>
      </c>
      <c r="AF1668" t="s">
        <v>4563</v>
      </c>
      <c r="AG1668" t="s">
        <v>4564</v>
      </c>
      <c r="AH1668">
        <v>89509</v>
      </c>
      <c r="AI1668" t="s">
        <v>12231</v>
      </c>
      <c r="AJ1668" t="s">
        <v>4655</v>
      </c>
      <c r="AK1668" t="s">
        <v>12232</v>
      </c>
      <c r="AL1668" s="13" t="s">
        <v>2257</v>
      </c>
      <c r="AM1668" s="14">
        <v>1</v>
      </c>
      <c r="AN1668" s="15" t="s">
        <v>4192</v>
      </c>
    </row>
    <row r="1669" spans="1:40" x14ac:dyDescent="0.3">
      <c r="A1669" s="10" t="str">
        <f>HYPERLINK("http://www.washoecounty.gov/assessor/cama/?parid=023-320-12&amp;CardNumber=1","023-320-12")</f>
        <v>023-320-12</v>
      </c>
      <c r="B1669" t="s">
        <v>4655</v>
      </c>
      <c r="C1669" t="s">
        <v>12233</v>
      </c>
      <c r="D1669" s="1">
        <v>40255</v>
      </c>
      <c r="E1669" s="2">
        <v>155000</v>
      </c>
      <c r="F1669" t="s">
        <v>4567</v>
      </c>
      <c r="G1669" s="17" t="str">
        <f>HYPERLINK("https://www.washoecounty.gov/assessor/cama/?command=sales&amp;parid=02332012","3861357")</f>
        <v>3861357</v>
      </c>
      <c r="H1669" t="s">
        <v>12234</v>
      </c>
      <c r="I1669">
        <v>1972</v>
      </c>
      <c r="J1669">
        <v>1972</v>
      </c>
      <c r="K1669" t="s">
        <v>3144</v>
      </c>
      <c r="L1669" t="s">
        <v>3974</v>
      </c>
      <c r="M1669" s="2">
        <v>1216</v>
      </c>
      <c r="N1669" t="s">
        <v>3887</v>
      </c>
      <c r="O1669">
        <v>2</v>
      </c>
      <c r="P1669">
        <v>1</v>
      </c>
      <c r="Q1669">
        <v>1</v>
      </c>
      <c r="R1669" t="s">
        <v>5281</v>
      </c>
      <c r="S1669" t="s">
        <v>3148</v>
      </c>
      <c r="T1669" t="s">
        <v>4559</v>
      </c>
      <c r="U1669" t="s">
        <v>4655</v>
      </c>
      <c r="V1669" s="2">
        <v>0</v>
      </c>
      <c r="W1669" t="s">
        <v>4655</v>
      </c>
      <c r="X1669" s="2">
        <v>0</v>
      </c>
      <c r="Y1669">
        <v>21</v>
      </c>
      <c r="Z1669" t="s">
        <v>385</v>
      </c>
      <c r="AA1669" s="3">
        <v>1.4003672637045401E-2</v>
      </c>
      <c r="AB1669" t="s">
        <v>12235</v>
      </c>
      <c r="AC1669" t="s">
        <v>4562</v>
      </c>
      <c r="AD1669" t="s">
        <v>12233</v>
      </c>
      <c r="AE1669" t="s">
        <v>4655</v>
      </c>
      <c r="AF1669" t="s">
        <v>4563</v>
      </c>
      <c r="AG1669" t="s">
        <v>4564</v>
      </c>
      <c r="AH1669">
        <v>89509</v>
      </c>
      <c r="AI1669" t="s">
        <v>12236</v>
      </c>
      <c r="AJ1669" t="s">
        <v>4655</v>
      </c>
      <c r="AK1669" t="s">
        <v>12237</v>
      </c>
      <c r="AL1669" s="13" t="s">
        <v>2257</v>
      </c>
      <c r="AM1669">
        <v>1</v>
      </c>
      <c r="AN1669" s="15" t="s">
        <v>1588</v>
      </c>
    </row>
    <row r="1670" spans="1:40" x14ac:dyDescent="0.3">
      <c r="A1670" s="10" t="str">
        <f>HYPERLINK("http://www.washoecounty.gov/assessor/cama/?parid=023-330-02&amp;CardNumber=1","023-330-02")</f>
        <v>023-330-02</v>
      </c>
      <c r="B1670" t="s">
        <v>4655</v>
      </c>
      <c r="C1670" t="s">
        <v>12238</v>
      </c>
      <c r="D1670" s="1">
        <v>40303</v>
      </c>
      <c r="E1670" s="2">
        <v>160000</v>
      </c>
      <c r="F1670" t="s">
        <v>4567</v>
      </c>
      <c r="G1670" s="17" t="str">
        <f>HYPERLINK("https://www.washoecounty.gov/assessor/cama/?command=sales&amp;parid=02333002","3878418")</f>
        <v>3878418</v>
      </c>
      <c r="H1670" t="s">
        <v>2457</v>
      </c>
      <c r="I1670">
        <v>1972</v>
      </c>
      <c r="J1670">
        <v>1972</v>
      </c>
      <c r="K1670" t="s">
        <v>4897</v>
      </c>
      <c r="L1670" t="s">
        <v>4555</v>
      </c>
      <c r="M1670" s="2">
        <v>1590</v>
      </c>
      <c r="N1670" t="s">
        <v>1245</v>
      </c>
      <c r="O1670">
        <v>1</v>
      </c>
      <c r="P1670">
        <v>2</v>
      </c>
      <c r="Q1670">
        <v>0</v>
      </c>
      <c r="R1670" t="s">
        <v>5281</v>
      </c>
      <c r="S1670" t="s">
        <v>4682</v>
      </c>
      <c r="T1670" t="s">
        <v>4143</v>
      </c>
      <c r="U1670" t="s">
        <v>4560</v>
      </c>
      <c r="V1670" s="2">
        <v>575</v>
      </c>
      <c r="W1670" t="s">
        <v>4655</v>
      </c>
      <c r="X1670" s="2">
        <v>0</v>
      </c>
      <c r="Y1670">
        <v>21</v>
      </c>
      <c r="Z1670" t="s">
        <v>2705</v>
      </c>
      <c r="AA1670" s="3">
        <v>6.2006428837776198E-2</v>
      </c>
      <c r="AB1670" t="s">
        <v>12239</v>
      </c>
      <c r="AC1670" t="s">
        <v>4575</v>
      </c>
      <c r="AD1670" t="s">
        <v>12240</v>
      </c>
      <c r="AE1670" t="s">
        <v>4655</v>
      </c>
      <c r="AF1670" t="s">
        <v>4563</v>
      </c>
      <c r="AG1670" t="s">
        <v>4564</v>
      </c>
      <c r="AH1670">
        <v>89509</v>
      </c>
      <c r="AI1670" t="s">
        <v>12241</v>
      </c>
      <c r="AJ1670" t="s">
        <v>4655</v>
      </c>
      <c r="AK1670" t="s">
        <v>12242</v>
      </c>
      <c r="AL1670" s="13" t="s">
        <v>2257</v>
      </c>
      <c r="AM1670">
        <v>1</v>
      </c>
      <c r="AN1670" s="15" t="s">
        <v>777</v>
      </c>
    </row>
    <row r="1671" spans="1:40" x14ac:dyDescent="0.3">
      <c r="A1671" s="10" t="str">
        <f>HYPERLINK("http://www.washoecounty.gov/assessor/cama/?parid=023-330-05&amp;CardNumber=1","023-330-05")</f>
        <v>023-330-05</v>
      </c>
      <c r="B1671" t="s">
        <v>4655</v>
      </c>
      <c r="C1671" t="s">
        <v>12243</v>
      </c>
      <c r="D1671" s="1">
        <v>40294</v>
      </c>
      <c r="E1671" s="2">
        <v>152500</v>
      </c>
      <c r="F1671" t="s">
        <v>4553</v>
      </c>
      <c r="G1671" s="17" t="str">
        <f>HYPERLINK("https://www.washoecounty.gov/assessor/cama/?command=sales&amp;parid=02333005","3874469")</f>
        <v>3874469</v>
      </c>
      <c r="H1671" t="s">
        <v>2457</v>
      </c>
      <c r="I1671">
        <v>1972</v>
      </c>
      <c r="J1671">
        <v>1972</v>
      </c>
      <c r="K1671" t="s">
        <v>3144</v>
      </c>
      <c r="L1671" t="s">
        <v>4555</v>
      </c>
      <c r="M1671" s="2">
        <v>1572</v>
      </c>
      <c r="N1671" t="s">
        <v>1245</v>
      </c>
      <c r="O1671">
        <v>2</v>
      </c>
      <c r="P1671">
        <v>2</v>
      </c>
      <c r="Q1671">
        <v>0</v>
      </c>
      <c r="R1671" t="s">
        <v>5281</v>
      </c>
      <c r="S1671" t="s">
        <v>4682</v>
      </c>
      <c r="T1671" t="s">
        <v>4899</v>
      </c>
      <c r="U1671" t="s">
        <v>4560</v>
      </c>
      <c r="V1671" s="2">
        <v>552</v>
      </c>
      <c r="W1671" t="s">
        <v>4655</v>
      </c>
      <c r="X1671" s="2">
        <v>0</v>
      </c>
      <c r="Y1671">
        <v>21</v>
      </c>
      <c r="Z1671" t="s">
        <v>2705</v>
      </c>
      <c r="AA1671" s="3">
        <v>6.4003676176071195E-2</v>
      </c>
      <c r="AB1671" t="s">
        <v>12244</v>
      </c>
      <c r="AC1671" t="s">
        <v>4562</v>
      </c>
      <c r="AD1671" t="s">
        <v>12245</v>
      </c>
      <c r="AE1671" t="s">
        <v>4655</v>
      </c>
      <c r="AF1671" t="s">
        <v>2458</v>
      </c>
      <c r="AG1671" t="s">
        <v>4564</v>
      </c>
      <c r="AH1671">
        <v>89801</v>
      </c>
      <c r="AI1671" t="s">
        <v>4903</v>
      </c>
      <c r="AJ1671" t="s">
        <v>4655</v>
      </c>
      <c r="AK1671" t="s">
        <v>12246</v>
      </c>
      <c r="AL1671" s="13" t="s">
        <v>2257</v>
      </c>
      <c r="AM1671">
        <v>1</v>
      </c>
      <c r="AN1671" s="15" t="s">
        <v>777</v>
      </c>
    </row>
    <row r="1672" spans="1:40" x14ac:dyDescent="0.3">
      <c r="A1672" s="10" t="str">
        <f>HYPERLINK("http://www.washoecounty.gov/assessor/cama/?parid=023-340-05&amp;CardNumber=1","023-340-05")</f>
        <v>023-340-05</v>
      </c>
      <c r="B1672" t="s">
        <v>4655</v>
      </c>
      <c r="C1672" t="s">
        <v>12247</v>
      </c>
      <c r="D1672" s="1">
        <v>40459</v>
      </c>
      <c r="E1672" s="2">
        <v>260000</v>
      </c>
      <c r="F1672" t="s">
        <v>4553</v>
      </c>
      <c r="G1672" s="17" t="str">
        <f>HYPERLINK("https://www.washoecounty.gov/assessor/cama/?command=sales&amp;parid=02334005","3931052")</f>
        <v>3931052</v>
      </c>
      <c r="H1672" t="s">
        <v>12248</v>
      </c>
      <c r="I1672">
        <v>1972</v>
      </c>
      <c r="J1672">
        <v>1972</v>
      </c>
      <c r="K1672" t="s">
        <v>4897</v>
      </c>
      <c r="L1672" t="s">
        <v>3974</v>
      </c>
      <c r="M1672" s="2">
        <v>2272</v>
      </c>
      <c r="N1672" t="s">
        <v>1245</v>
      </c>
      <c r="O1672">
        <v>3</v>
      </c>
      <c r="P1672">
        <v>2</v>
      </c>
      <c r="Q1672">
        <v>1</v>
      </c>
      <c r="R1672" t="s">
        <v>5281</v>
      </c>
      <c r="S1672" t="s">
        <v>4682</v>
      </c>
      <c r="T1672" t="s">
        <v>4899</v>
      </c>
      <c r="U1672" t="s">
        <v>4560</v>
      </c>
      <c r="V1672" s="2">
        <v>552</v>
      </c>
      <c r="W1672" t="s">
        <v>3149</v>
      </c>
      <c r="X1672" s="2">
        <v>345</v>
      </c>
      <c r="Y1672">
        <v>21</v>
      </c>
      <c r="Z1672" t="s">
        <v>2705</v>
      </c>
      <c r="AA1672" s="3">
        <v>7.1005508303642301E-2</v>
      </c>
      <c r="AB1672" t="s">
        <v>1314</v>
      </c>
      <c r="AC1672" t="s">
        <v>4562</v>
      </c>
      <c r="AD1672" t="s">
        <v>12249</v>
      </c>
      <c r="AE1672" t="s">
        <v>4655</v>
      </c>
      <c r="AF1672" t="s">
        <v>4563</v>
      </c>
      <c r="AG1672" t="s">
        <v>4564</v>
      </c>
      <c r="AH1672">
        <v>89509</v>
      </c>
      <c r="AI1672" t="s">
        <v>1315</v>
      </c>
      <c r="AJ1672" t="s">
        <v>4655</v>
      </c>
      <c r="AK1672" t="s">
        <v>12250</v>
      </c>
      <c r="AL1672" s="13" t="s">
        <v>2257</v>
      </c>
      <c r="AM1672">
        <v>1</v>
      </c>
      <c r="AN1672" s="15" t="s">
        <v>777</v>
      </c>
    </row>
    <row r="1673" spans="1:40" x14ac:dyDescent="0.3">
      <c r="A1673" s="10" t="str">
        <f>HYPERLINK("http://www.washoecounty.gov/assessor/cama/?parid=023-340-10&amp;CardNumber=1","023-340-10")</f>
        <v>023-340-10</v>
      </c>
      <c r="B1673" t="s">
        <v>4655</v>
      </c>
      <c r="C1673" t="s">
        <v>12251</v>
      </c>
      <c r="D1673" s="1">
        <v>40466</v>
      </c>
      <c r="E1673" s="2">
        <v>175000</v>
      </c>
      <c r="F1673" t="s">
        <v>4567</v>
      </c>
      <c r="G1673" s="17" t="str">
        <f>HYPERLINK("https://www.washoecounty.gov/assessor/cama/?command=sales&amp;parid=02334010","3933442")</f>
        <v>3933442</v>
      </c>
      <c r="H1673" t="s">
        <v>12248</v>
      </c>
      <c r="I1673">
        <v>1972</v>
      </c>
      <c r="J1673">
        <v>1972</v>
      </c>
      <c r="K1673" t="s">
        <v>3144</v>
      </c>
      <c r="L1673" t="s">
        <v>4555</v>
      </c>
      <c r="M1673" s="2">
        <v>1680</v>
      </c>
      <c r="N1673" t="s">
        <v>1245</v>
      </c>
      <c r="O1673">
        <v>2</v>
      </c>
      <c r="P1673">
        <v>2</v>
      </c>
      <c r="Q1673">
        <v>0</v>
      </c>
      <c r="R1673" t="s">
        <v>5281</v>
      </c>
      <c r="S1673" t="s">
        <v>4682</v>
      </c>
      <c r="T1673" t="s">
        <v>4899</v>
      </c>
      <c r="U1673" t="s">
        <v>4560</v>
      </c>
      <c r="V1673" s="2">
        <v>552</v>
      </c>
      <c r="W1673" t="s">
        <v>3149</v>
      </c>
      <c r="X1673" s="2">
        <v>345</v>
      </c>
      <c r="Y1673">
        <v>21</v>
      </c>
      <c r="Z1673" t="s">
        <v>2705</v>
      </c>
      <c r="AA1673" s="3">
        <v>7.1005508303642301E-2</v>
      </c>
      <c r="AB1673" t="s">
        <v>12252</v>
      </c>
      <c r="AC1673" t="s">
        <v>4575</v>
      </c>
      <c r="AD1673" t="s">
        <v>12253</v>
      </c>
      <c r="AE1673" t="s">
        <v>4655</v>
      </c>
      <c r="AF1673" t="s">
        <v>12254</v>
      </c>
      <c r="AG1673" t="s">
        <v>3370</v>
      </c>
      <c r="AH1673" t="s">
        <v>12255</v>
      </c>
      <c r="AI1673" t="s">
        <v>12256</v>
      </c>
      <c r="AJ1673" t="s">
        <v>4655</v>
      </c>
      <c r="AK1673" t="s">
        <v>12257</v>
      </c>
      <c r="AL1673" s="13" t="s">
        <v>2257</v>
      </c>
      <c r="AM1673" s="14">
        <v>1</v>
      </c>
      <c r="AN1673" s="15" t="s">
        <v>777</v>
      </c>
    </row>
    <row r="1674" spans="1:40" x14ac:dyDescent="0.3">
      <c r="A1674" s="10" t="str">
        <f>HYPERLINK("http://www.washoecounty.gov/assessor/cama/?parid=023-340-11&amp;CardNumber=1","023-340-11")</f>
        <v>023-340-11</v>
      </c>
      <c r="B1674" t="s">
        <v>4655</v>
      </c>
      <c r="C1674" t="s">
        <v>12258</v>
      </c>
      <c r="D1674" s="1">
        <v>40221</v>
      </c>
      <c r="E1674" s="2">
        <v>175000</v>
      </c>
      <c r="F1674" t="s">
        <v>4567</v>
      </c>
      <c r="G1674" s="17" t="str">
        <f>HYPERLINK("https://www.washoecounty.gov/assessor/cama/?command=sales&amp;parid=02334011","3849246")</f>
        <v>3849246</v>
      </c>
      <c r="H1674" t="s">
        <v>12248</v>
      </c>
      <c r="I1674">
        <v>1972</v>
      </c>
      <c r="J1674">
        <v>1972</v>
      </c>
      <c r="K1674" t="s">
        <v>3144</v>
      </c>
      <c r="L1674" t="s">
        <v>4555</v>
      </c>
      <c r="M1674" s="2">
        <v>1604</v>
      </c>
      <c r="N1674" t="s">
        <v>1245</v>
      </c>
      <c r="O1674">
        <v>2</v>
      </c>
      <c r="P1674">
        <v>2</v>
      </c>
      <c r="Q1674">
        <v>0</v>
      </c>
      <c r="R1674" t="s">
        <v>5281</v>
      </c>
      <c r="S1674" t="s">
        <v>4682</v>
      </c>
      <c r="T1674" t="s">
        <v>4899</v>
      </c>
      <c r="U1674" t="s">
        <v>4560</v>
      </c>
      <c r="V1674" s="2">
        <v>552</v>
      </c>
      <c r="W1674" t="s">
        <v>4655</v>
      </c>
      <c r="X1674" s="2">
        <v>0</v>
      </c>
      <c r="Y1674">
        <v>21</v>
      </c>
      <c r="Z1674" t="s">
        <v>2705</v>
      </c>
      <c r="AA1674" s="3">
        <v>7.1005508303642301E-2</v>
      </c>
      <c r="AB1674" t="s">
        <v>12259</v>
      </c>
      <c r="AC1674" t="s">
        <v>4562</v>
      </c>
      <c r="AD1674" t="s">
        <v>12260</v>
      </c>
      <c r="AE1674" t="s">
        <v>4655</v>
      </c>
      <c r="AF1674" t="s">
        <v>4563</v>
      </c>
      <c r="AG1674" t="s">
        <v>4564</v>
      </c>
      <c r="AH1674" t="s">
        <v>2330</v>
      </c>
      <c r="AI1674" t="s">
        <v>12261</v>
      </c>
      <c r="AJ1674" t="s">
        <v>4655</v>
      </c>
      <c r="AK1674" t="s">
        <v>12262</v>
      </c>
      <c r="AL1674" s="13" t="s">
        <v>2257</v>
      </c>
      <c r="AM1674">
        <v>1</v>
      </c>
      <c r="AN1674" s="15" t="s">
        <v>777</v>
      </c>
    </row>
    <row r="1675" spans="1:40" x14ac:dyDescent="0.3">
      <c r="A1675" s="10" t="str">
        <f>HYPERLINK("http://www.washoecounty.gov/assessor/cama/?parid=023-340-12&amp;CardNumber=1","023-340-12")</f>
        <v>023-340-12</v>
      </c>
      <c r="B1675" t="s">
        <v>4655</v>
      </c>
      <c r="C1675" t="s">
        <v>12263</v>
      </c>
      <c r="D1675" s="1">
        <v>40297</v>
      </c>
      <c r="E1675" s="2">
        <v>162000</v>
      </c>
      <c r="F1675" t="s">
        <v>4553</v>
      </c>
      <c r="G1675" s="17" t="str">
        <f>HYPERLINK("https://www.washoecounty.gov/assessor/cama/?command=sales&amp;parid=02334012","3875978")</f>
        <v>3875978</v>
      </c>
      <c r="H1675" t="s">
        <v>12248</v>
      </c>
      <c r="I1675">
        <v>1972</v>
      </c>
      <c r="J1675">
        <v>1972</v>
      </c>
      <c r="K1675" t="s">
        <v>3144</v>
      </c>
      <c r="L1675" t="s">
        <v>4555</v>
      </c>
      <c r="M1675" s="2">
        <v>1604</v>
      </c>
      <c r="N1675" t="s">
        <v>1245</v>
      </c>
      <c r="O1675">
        <v>2</v>
      </c>
      <c r="P1675">
        <v>2</v>
      </c>
      <c r="Q1675">
        <v>0</v>
      </c>
      <c r="R1675" t="s">
        <v>5281</v>
      </c>
      <c r="S1675" t="s">
        <v>4682</v>
      </c>
      <c r="T1675" t="s">
        <v>4899</v>
      </c>
      <c r="U1675" t="s">
        <v>4560</v>
      </c>
      <c r="V1675" s="2">
        <v>552</v>
      </c>
      <c r="W1675" t="s">
        <v>4655</v>
      </c>
      <c r="X1675" s="2">
        <v>0</v>
      </c>
      <c r="Y1675">
        <v>21</v>
      </c>
      <c r="Z1675" t="s">
        <v>2705</v>
      </c>
      <c r="AA1675" s="3">
        <v>7.1005508303642301E-2</v>
      </c>
      <c r="AB1675" t="s">
        <v>12264</v>
      </c>
      <c r="AC1675" t="s">
        <v>4575</v>
      </c>
      <c r="AD1675" t="s">
        <v>12265</v>
      </c>
      <c r="AE1675" t="s">
        <v>12266</v>
      </c>
      <c r="AF1675" t="s">
        <v>1407</v>
      </c>
      <c r="AG1675" t="s">
        <v>4564</v>
      </c>
      <c r="AH1675">
        <v>89704</v>
      </c>
      <c r="AI1675" t="s">
        <v>4903</v>
      </c>
      <c r="AJ1675" t="s">
        <v>4655</v>
      </c>
      <c r="AK1675" t="s">
        <v>12267</v>
      </c>
      <c r="AL1675" s="13" t="s">
        <v>2257</v>
      </c>
      <c r="AM1675">
        <v>1</v>
      </c>
      <c r="AN1675" s="15" t="s">
        <v>777</v>
      </c>
    </row>
    <row r="1676" spans="1:40" x14ac:dyDescent="0.3">
      <c r="A1676" s="10" t="str">
        <f>HYPERLINK("http://www.washoecounty.gov/assessor/cama/?parid=023-361-10&amp;CardNumber=1","023-361-10")</f>
        <v>023-361-10</v>
      </c>
      <c r="B1676" t="s">
        <v>4655</v>
      </c>
      <c r="C1676" t="s">
        <v>12268</v>
      </c>
      <c r="D1676" s="1">
        <v>40295</v>
      </c>
      <c r="E1676" s="2">
        <v>230000</v>
      </c>
      <c r="F1676" t="s">
        <v>4567</v>
      </c>
      <c r="G1676" s="17" t="str">
        <f>HYPERLINK("https://www.washoecounty.gov/assessor/cama/?command=sales&amp;parid=02336110","3875359")</f>
        <v>3875359</v>
      </c>
      <c r="H1676" t="s">
        <v>5088</v>
      </c>
      <c r="I1676">
        <v>1983</v>
      </c>
      <c r="J1676">
        <v>1983</v>
      </c>
      <c r="K1676" t="s">
        <v>4554</v>
      </c>
      <c r="L1676" t="s">
        <v>4555</v>
      </c>
      <c r="M1676" s="2">
        <v>1822</v>
      </c>
      <c r="N1676" t="s">
        <v>4048</v>
      </c>
      <c r="O1676">
        <v>3</v>
      </c>
      <c r="P1676">
        <v>2</v>
      </c>
      <c r="Q1676">
        <v>1</v>
      </c>
      <c r="R1676" t="s">
        <v>4557</v>
      </c>
      <c r="S1676" t="s">
        <v>3148</v>
      </c>
      <c r="T1676" t="s">
        <v>4559</v>
      </c>
      <c r="U1676" t="s">
        <v>4560</v>
      </c>
      <c r="V1676" s="2">
        <v>522</v>
      </c>
      <c r="W1676" t="s">
        <v>4655</v>
      </c>
      <c r="X1676" s="2">
        <v>0</v>
      </c>
      <c r="Y1676">
        <v>20</v>
      </c>
      <c r="Z1676" t="s">
        <v>385</v>
      </c>
      <c r="AA1676" s="3">
        <v>0.31000918149948098</v>
      </c>
      <c r="AB1676" t="s">
        <v>12269</v>
      </c>
      <c r="AC1676" t="s">
        <v>4562</v>
      </c>
      <c r="AD1676" t="s">
        <v>12268</v>
      </c>
      <c r="AE1676" t="s">
        <v>4655</v>
      </c>
      <c r="AF1676" t="s">
        <v>4563</v>
      </c>
      <c r="AG1676" t="s">
        <v>4564</v>
      </c>
      <c r="AH1676">
        <v>89509</v>
      </c>
      <c r="AI1676" t="s">
        <v>12270</v>
      </c>
      <c r="AJ1676" t="s">
        <v>4655</v>
      </c>
      <c r="AK1676" t="s">
        <v>12271</v>
      </c>
      <c r="AL1676" s="13" t="s">
        <v>2255</v>
      </c>
      <c r="AM1676">
        <v>1</v>
      </c>
      <c r="AN1676" s="15" t="s">
        <v>5089</v>
      </c>
    </row>
    <row r="1677" spans="1:40" x14ac:dyDescent="0.3">
      <c r="A1677" s="10" t="str">
        <f>HYPERLINK("http://www.washoecounty.gov/assessor/cama/?parid=023-381-01&amp;CardNumber=1","023-381-01")</f>
        <v>023-381-01</v>
      </c>
      <c r="B1677" t="s">
        <v>4655</v>
      </c>
      <c r="C1677" t="s">
        <v>12272</v>
      </c>
      <c r="D1677" s="1">
        <v>40512</v>
      </c>
      <c r="E1677" s="2">
        <v>407500</v>
      </c>
      <c r="F1677" t="s">
        <v>4567</v>
      </c>
      <c r="G1677" s="17" t="str">
        <f>HYPERLINK("https://www.washoecounty.gov/assessor/cama/?command=sales&amp;parid=02338101","3947827")</f>
        <v>3947827</v>
      </c>
      <c r="H1677" t="s">
        <v>12273</v>
      </c>
      <c r="I1677">
        <v>1978</v>
      </c>
      <c r="J1677">
        <v>1978</v>
      </c>
      <c r="K1677" t="s">
        <v>4554</v>
      </c>
      <c r="L1677" t="s">
        <v>3974</v>
      </c>
      <c r="M1677" s="2">
        <v>2808</v>
      </c>
      <c r="N1677" t="s">
        <v>2012</v>
      </c>
      <c r="O1677">
        <v>3</v>
      </c>
      <c r="P1677">
        <v>3</v>
      </c>
      <c r="Q1677">
        <v>1</v>
      </c>
      <c r="R1677" t="s">
        <v>5281</v>
      </c>
      <c r="S1677" t="s">
        <v>4135</v>
      </c>
      <c r="T1677" t="s">
        <v>2947</v>
      </c>
      <c r="U1677" t="s">
        <v>4560</v>
      </c>
      <c r="V1677" s="2">
        <v>567</v>
      </c>
      <c r="W1677" t="s">
        <v>4655</v>
      </c>
      <c r="X1677" s="2">
        <v>0</v>
      </c>
      <c r="Y1677">
        <v>20</v>
      </c>
      <c r="Z1677" t="s">
        <v>385</v>
      </c>
      <c r="AA1677" s="3">
        <v>0.16200642287731201</v>
      </c>
      <c r="AB1677" t="s">
        <v>12274</v>
      </c>
      <c r="AC1677" t="s">
        <v>4562</v>
      </c>
      <c r="AD1677" t="s">
        <v>12275</v>
      </c>
      <c r="AE1677" t="s">
        <v>4655</v>
      </c>
      <c r="AF1677" t="s">
        <v>5447</v>
      </c>
      <c r="AG1677" t="s">
        <v>4584</v>
      </c>
      <c r="AH1677" t="s">
        <v>5448</v>
      </c>
      <c r="AI1677" t="s">
        <v>12276</v>
      </c>
      <c r="AJ1677" t="s">
        <v>4655</v>
      </c>
      <c r="AK1677" t="s">
        <v>12277</v>
      </c>
      <c r="AL1677" s="13" t="s">
        <v>2257</v>
      </c>
      <c r="AM1677">
        <v>1</v>
      </c>
      <c r="AN1677" s="15" t="s">
        <v>12278</v>
      </c>
    </row>
    <row r="1678" spans="1:40" x14ac:dyDescent="0.3">
      <c r="A1678" s="10" t="str">
        <f>HYPERLINK("http://www.washoecounty.gov/assessor/cama/?parid=023-390-02&amp;CardNumber=1","023-390-02")</f>
        <v>023-390-02</v>
      </c>
      <c r="B1678" t="s">
        <v>4655</v>
      </c>
      <c r="C1678" t="s">
        <v>12279</v>
      </c>
      <c r="D1678" s="1">
        <v>40351</v>
      </c>
      <c r="E1678" s="2">
        <v>175000</v>
      </c>
      <c r="F1678" t="s">
        <v>4567</v>
      </c>
      <c r="G1678" s="17" t="str">
        <f>HYPERLINK("https://www.washoecounty.gov/assessor/cama/?command=sales&amp;parid=02339002","3894098")</f>
        <v>3894098</v>
      </c>
      <c r="H1678" t="s">
        <v>12280</v>
      </c>
      <c r="I1678">
        <v>1973</v>
      </c>
      <c r="J1678">
        <v>1973</v>
      </c>
      <c r="K1678" t="s">
        <v>3144</v>
      </c>
      <c r="L1678" t="s">
        <v>4555</v>
      </c>
      <c r="M1678" s="2">
        <v>1616</v>
      </c>
      <c r="N1678" t="s">
        <v>1245</v>
      </c>
      <c r="O1678">
        <v>2</v>
      </c>
      <c r="P1678">
        <v>2</v>
      </c>
      <c r="Q1678">
        <v>0</v>
      </c>
      <c r="R1678" t="s">
        <v>5281</v>
      </c>
      <c r="S1678" t="s">
        <v>4682</v>
      </c>
      <c r="T1678" t="s">
        <v>4899</v>
      </c>
      <c r="U1678" t="s">
        <v>4560</v>
      </c>
      <c r="V1678" s="2">
        <v>552</v>
      </c>
      <c r="W1678" t="s">
        <v>4655</v>
      </c>
      <c r="X1678" s="2">
        <v>0</v>
      </c>
      <c r="Y1678">
        <v>21</v>
      </c>
      <c r="Z1678" t="s">
        <v>385</v>
      </c>
      <c r="AA1678" s="3">
        <v>6.4003676176071195E-2</v>
      </c>
      <c r="AB1678" t="s">
        <v>12281</v>
      </c>
      <c r="AC1678" t="s">
        <v>4575</v>
      </c>
      <c r="AD1678" t="s">
        <v>12282</v>
      </c>
      <c r="AE1678" t="s">
        <v>4655</v>
      </c>
      <c r="AF1678" t="s">
        <v>4563</v>
      </c>
      <c r="AG1678" t="s">
        <v>4564</v>
      </c>
      <c r="AH1678">
        <v>89509</v>
      </c>
      <c r="AI1678" t="s">
        <v>12283</v>
      </c>
      <c r="AJ1678" t="s">
        <v>4655</v>
      </c>
      <c r="AK1678" t="s">
        <v>12284</v>
      </c>
      <c r="AL1678" s="13" t="s">
        <v>2257</v>
      </c>
      <c r="AM1678" s="14">
        <v>1</v>
      </c>
      <c r="AN1678" s="15" t="s">
        <v>777</v>
      </c>
    </row>
    <row r="1679" spans="1:40" x14ac:dyDescent="0.3">
      <c r="A1679" s="10" t="str">
        <f>HYPERLINK("http://www.washoecounty.gov/assessor/cama/?parid=023-390-13&amp;CardNumber=1","023-390-13")</f>
        <v>023-390-13</v>
      </c>
      <c r="B1679" t="s">
        <v>4655</v>
      </c>
      <c r="C1679" t="s">
        <v>12285</v>
      </c>
      <c r="D1679" s="1">
        <v>40276</v>
      </c>
      <c r="E1679" s="2">
        <v>225000</v>
      </c>
      <c r="F1679" t="s">
        <v>4567</v>
      </c>
      <c r="G1679" s="17" t="str">
        <f>HYPERLINK("https://www.washoecounty.gov/assessor/cama/?command=sales&amp;parid=02339013","3868898")</f>
        <v>3868898</v>
      </c>
      <c r="H1679" t="s">
        <v>778</v>
      </c>
      <c r="I1679">
        <v>1973</v>
      </c>
      <c r="J1679">
        <v>1973</v>
      </c>
      <c r="K1679" t="s">
        <v>4897</v>
      </c>
      <c r="L1679" t="s">
        <v>4555</v>
      </c>
      <c r="M1679" s="2">
        <v>1796</v>
      </c>
      <c r="N1679" t="s">
        <v>1245</v>
      </c>
      <c r="O1679">
        <v>3</v>
      </c>
      <c r="P1679">
        <v>2</v>
      </c>
      <c r="Q1679">
        <v>0</v>
      </c>
      <c r="R1679" t="s">
        <v>5281</v>
      </c>
      <c r="S1679" t="s">
        <v>4682</v>
      </c>
      <c r="T1679" t="s">
        <v>4899</v>
      </c>
      <c r="U1679" t="s">
        <v>4560</v>
      </c>
      <c r="V1679" s="2">
        <v>552</v>
      </c>
      <c r="W1679" t="s">
        <v>3149</v>
      </c>
      <c r="X1679" s="2">
        <v>632</v>
      </c>
      <c r="Y1679">
        <v>21</v>
      </c>
      <c r="Z1679" t="s">
        <v>385</v>
      </c>
      <c r="AA1679" s="3">
        <v>9.2011019587516799E-2</v>
      </c>
      <c r="AB1679" t="s">
        <v>12286</v>
      </c>
      <c r="AC1679" t="s">
        <v>4575</v>
      </c>
      <c r="AD1679" t="s">
        <v>12287</v>
      </c>
      <c r="AE1679" t="s">
        <v>4655</v>
      </c>
      <c r="AF1679" t="s">
        <v>4563</v>
      </c>
      <c r="AG1679" t="s">
        <v>4564</v>
      </c>
      <c r="AH1679">
        <v>89509</v>
      </c>
      <c r="AI1679" t="s">
        <v>12288</v>
      </c>
      <c r="AJ1679" t="s">
        <v>4655</v>
      </c>
      <c r="AK1679" t="s">
        <v>12289</v>
      </c>
      <c r="AL1679" s="13" t="s">
        <v>2257</v>
      </c>
      <c r="AM1679" s="14">
        <v>1</v>
      </c>
      <c r="AN1679" s="15" t="s">
        <v>777</v>
      </c>
    </row>
    <row r="1680" spans="1:40" x14ac:dyDescent="0.3">
      <c r="A1680" s="10" t="str">
        <f>HYPERLINK("http://www.washoecounty.gov/assessor/cama/?parid=023-390-14&amp;CardNumber=1","023-390-14")</f>
        <v>023-390-14</v>
      </c>
      <c r="B1680" t="s">
        <v>4655</v>
      </c>
      <c r="C1680" t="s">
        <v>12290</v>
      </c>
      <c r="D1680" s="1">
        <v>40207</v>
      </c>
      <c r="E1680" s="2">
        <v>199900</v>
      </c>
      <c r="F1680" t="s">
        <v>4553</v>
      </c>
      <c r="G1680" s="17" t="str">
        <f>HYPERLINK("https://www.washoecounty.gov/assessor/cama/?command=sales&amp;parid=02339014","3844208")</f>
        <v>3844208</v>
      </c>
      <c r="H1680" t="s">
        <v>778</v>
      </c>
      <c r="I1680">
        <v>1973</v>
      </c>
      <c r="J1680">
        <v>1973</v>
      </c>
      <c r="K1680" t="s">
        <v>4897</v>
      </c>
      <c r="L1680" t="s">
        <v>4555</v>
      </c>
      <c r="M1680" s="2">
        <v>2264</v>
      </c>
      <c r="N1680" t="s">
        <v>1245</v>
      </c>
      <c r="O1680">
        <v>3</v>
      </c>
      <c r="P1680">
        <v>2</v>
      </c>
      <c r="Q1680">
        <v>1</v>
      </c>
      <c r="R1680" t="s">
        <v>5281</v>
      </c>
      <c r="S1680" t="s">
        <v>4682</v>
      </c>
      <c r="T1680" t="s">
        <v>4899</v>
      </c>
      <c r="U1680" t="s">
        <v>4560</v>
      </c>
      <c r="V1680" s="2">
        <v>528</v>
      </c>
      <c r="W1680" t="s">
        <v>3149</v>
      </c>
      <c r="X1680" s="2">
        <v>260</v>
      </c>
      <c r="Y1680">
        <v>21</v>
      </c>
      <c r="Z1680" t="s">
        <v>385</v>
      </c>
      <c r="AA1680" s="3">
        <v>8.5009180009365096E-2</v>
      </c>
      <c r="AB1680" t="s">
        <v>9405</v>
      </c>
      <c r="AC1680" t="s">
        <v>4575</v>
      </c>
      <c r="AD1680" t="s">
        <v>9406</v>
      </c>
      <c r="AE1680" t="s">
        <v>4655</v>
      </c>
      <c r="AF1680" t="s">
        <v>4563</v>
      </c>
      <c r="AG1680" t="s">
        <v>4564</v>
      </c>
      <c r="AH1680">
        <v>89509</v>
      </c>
      <c r="AI1680" t="s">
        <v>12291</v>
      </c>
      <c r="AJ1680" t="s">
        <v>4655</v>
      </c>
      <c r="AK1680" t="s">
        <v>12292</v>
      </c>
      <c r="AL1680" s="13" t="s">
        <v>2257</v>
      </c>
      <c r="AM1680" s="14">
        <v>1</v>
      </c>
      <c r="AN1680" s="15" t="s">
        <v>777</v>
      </c>
    </row>
    <row r="1681" spans="1:40" x14ac:dyDescent="0.3">
      <c r="A1681" s="10" t="str">
        <f>HYPERLINK("http://www.washoecounty.gov/assessor/cama/?parid=023-412-04&amp;CardNumber=1","023-412-04")</f>
        <v>023-412-04</v>
      </c>
      <c r="B1681" t="s">
        <v>4655</v>
      </c>
      <c r="C1681" t="s">
        <v>12293</v>
      </c>
      <c r="D1681" s="1">
        <v>40249</v>
      </c>
      <c r="E1681" s="2">
        <v>140000</v>
      </c>
      <c r="F1681" t="s">
        <v>4567</v>
      </c>
      <c r="G1681" s="17" t="str">
        <f>HYPERLINK("https://www.washoecounty.gov/assessor/cama/?command=sales&amp;parid=02341204","3859066")</f>
        <v>3859066</v>
      </c>
      <c r="H1681" t="s">
        <v>4552</v>
      </c>
      <c r="I1681">
        <v>1973</v>
      </c>
      <c r="J1681">
        <v>1973</v>
      </c>
      <c r="K1681" t="s">
        <v>3144</v>
      </c>
      <c r="L1681" t="s">
        <v>3974</v>
      </c>
      <c r="M1681" s="2">
        <v>990</v>
      </c>
      <c r="N1681" t="s">
        <v>3887</v>
      </c>
      <c r="O1681">
        <v>1</v>
      </c>
      <c r="P1681">
        <v>1</v>
      </c>
      <c r="Q1681">
        <v>1</v>
      </c>
      <c r="R1681" t="s">
        <v>5281</v>
      </c>
      <c r="S1681" t="s">
        <v>3148</v>
      </c>
      <c r="T1681" t="s">
        <v>4559</v>
      </c>
      <c r="U1681" t="s">
        <v>4655</v>
      </c>
      <c r="V1681" s="2">
        <v>0</v>
      </c>
      <c r="W1681" t="s">
        <v>4655</v>
      </c>
      <c r="X1681" s="2">
        <v>0</v>
      </c>
      <c r="Y1681">
        <v>21</v>
      </c>
      <c r="Z1681" t="s">
        <v>385</v>
      </c>
      <c r="AA1681" s="3">
        <v>1.00000004749745E-3</v>
      </c>
      <c r="AB1681" t="s">
        <v>12294</v>
      </c>
      <c r="AC1681" t="s">
        <v>4562</v>
      </c>
      <c r="AD1681" t="s">
        <v>12293</v>
      </c>
      <c r="AE1681" t="s">
        <v>4655</v>
      </c>
      <c r="AF1681" t="s">
        <v>4563</v>
      </c>
      <c r="AG1681" t="s">
        <v>4564</v>
      </c>
      <c r="AH1681">
        <v>89509</v>
      </c>
      <c r="AI1681" t="s">
        <v>4655</v>
      </c>
      <c r="AJ1681" t="s">
        <v>4655</v>
      </c>
      <c r="AK1681" t="s">
        <v>12295</v>
      </c>
      <c r="AL1681" s="13" t="s">
        <v>2257</v>
      </c>
      <c r="AM1681">
        <v>1</v>
      </c>
      <c r="AN1681" s="15" t="s">
        <v>1588</v>
      </c>
    </row>
    <row r="1682" spans="1:40" x14ac:dyDescent="0.3">
      <c r="A1682" s="10" t="str">
        <f>HYPERLINK("http://www.washoecounty.gov/assessor/cama/?parid=023-412-18&amp;CardNumber=1","023-412-18")</f>
        <v>023-412-18</v>
      </c>
      <c r="B1682" t="s">
        <v>4655</v>
      </c>
      <c r="C1682" t="s">
        <v>12296</v>
      </c>
      <c r="D1682" s="1">
        <v>40479</v>
      </c>
      <c r="E1682" s="2">
        <v>175000</v>
      </c>
      <c r="F1682" t="s">
        <v>4567</v>
      </c>
      <c r="G1682" s="17" t="str">
        <f>HYPERLINK("https://www.washoecounty.gov/assessor/cama/?command=sales&amp;parid=02341218","3937383")</f>
        <v>3937383</v>
      </c>
      <c r="H1682" t="s">
        <v>4552</v>
      </c>
      <c r="I1682">
        <v>1974</v>
      </c>
      <c r="J1682">
        <v>1974</v>
      </c>
      <c r="K1682" t="s">
        <v>4897</v>
      </c>
      <c r="L1682" t="s">
        <v>4555</v>
      </c>
      <c r="M1682" s="2">
        <v>1488</v>
      </c>
      <c r="N1682" t="s">
        <v>3887</v>
      </c>
      <c r="O1682">
        <v>2</v>
      </c>
      <c r="P1682">
        <v>2</v>
      </c>
      <c r="Q1682">
        <v>0</v>
      </c>
      <c r="R1682" t="s">
        <v>5281</v>
      </c>
      <c r="S1682" t="s">
        <v>3148</v>
      </c>
      <c r="T1682" t="s">
        <v>4559</v>
      </c>
      <c r="U1682" t="s">
        <v>4560</v>
      </c>
      <c r="V1682" s="2">
        <v>480</v>
      </c>
      <c r="W1682" t="s">
        <v>4655</v>
      </c>
      <c r="X1682" s="2">
        <v>0</v>
      </c>
      <c r="Y1682">
        <v>21</v>
      </c>
      <c r="Z1682" t="s">
        <v>385</v>
      </c>
      <c r="AA1682" s="3">
        <v>1.00000004749745E-3</v>
      </c>
      <c r="AB1682" t="s">
        <v>12297</v>
      </c>
      <c r="AC1682" t="s">
        <v>4562</v>
      </c>
      <c r="AD1682" t="s">
        <v>12298</v>
      </c>
      <c r="AE1682" t="s">
        <v>4655</v>
      </c>
      <c r="AF1682" t="s">
        <v>4563</v>
      </c>
      <c r="AG1682" t="s">
        <v>4564</v>
      </c>
      <c r="AH1682">
        <v>89509</v>
      </c>
      <c r="AI1682" t="s">
        <v>12299</v>
      </c>
      <c r="AJ1682" t="s">
        <v>4655</v>
      </c>
      <c r="AK1682" t="s">
        <v>12300</v>
      </c>
      <c r="AL1682" s="13" t="s">
        <v>2257</v>
      </c>
      <c r="AM1682">
        <v>1</v>
      </c>
      <c r="AN1682" s="15" t="s">
        <v>1588</v>
      </c>
    </row>
    <row r="1683" spans="1:40" x14ac:dyDescent="0.3">
      <c r="A1683" s="10" t="str">
        <f>HYPERLINK("http://www.washoecounty.gov/assessor/cama/?parid=023-421-12&amp;CardNumber=1","023-421-12")</f>
        <v>023-421-12</v>
      </c>
      <c r="B1683" t="s">
        <v>4655</v>
      </c>
      <c r="C1683" t="s">
        <v>12301</v>
      </c>
      <c r="D1683" s="1">
        <v>40228</v>
      </c>
      <c r="E1683" s="2">
        <v>159500</v>
      </c>
      <c r="F1683" t="s">
        <v>4567</v>
      </c>
      <c r="G1683" s="17" t="str">
        <f>HYPERLINK("https://www.washoecounty.gov/assessor/cama/?command=sales&amp;parid=02342112","3851238")</f>
        <v>3851238</v>
      </c>
      <c r="H1683" t="s">
        <v>461</v>
      </c>
      <c r="I1683">
        <v>1974</v>
      </c>
      <c r="J1683">
        <v>1974</v>
      </c>
      <c r="K1683" t="s">
        <v>3144</v>
      </c>
      <c r="L1683" t="s">
        <v>4555</v>
      </c>
      <c r="M1683" s="2">
        <v>1673</v>
      </c>
      <c r="N1683" t="s">
        <v>3147</v>
      </c>
      <c r="O1683">
        <v>2</v>
      </c>
      <c r="P1683">
        <v>2</v>
      </c>
      <c r="Q1683">
        <v>0</v>
      </c>
      <c r="R1683" t="s">
        <v>5281</v>
      </c>
      <c r="S1683" t="s">
        <v>4558</v>
      </c>
      <c r="T1683" t="s">
        <v>2704</v>
      </c>
      <c r="U1683" t="s">
        <v>4655</v>
      </c>
      <c r="V1683" s="2">
        <v>0</v>
      </c>
      <c r="W1683" t="s">
        <v>4571</v>
      </c>
      <c r="X1683" s="2">
        <v>891</v>
      </c>
      <c r="Y1683">
        <v>21</v>
      </c>
      <c r="Z1683" t="s">
        <v>2705</v>
      </c>
      <c r="AA1683" s="3">
        <v>4.1988063603639603E-2</v>
      </c>
      <c r="AB1683" t="s">
        <v>12302</v>
      </c>
      <c r="AC1683" t="s">
        <v>4575</v>
      </c>
      <c r="AD1683" t="s">
        <v>12303</v>
      </c>
      <c r="AE1683" t="s">
        <v>12304</v>
      </c>
      <c r="AF1683" t="s">
        <v>4563</v>
      </c>
      <c r="AG1683" t="s">
        <v>4564</v>
      </c>
      <c r="AH1683" t="s">
        <v>3949</v>
      </c>
      <c r="AI1683" t="s">
        <v>12305</v>
      </c>
      <c r="AJ1683" t="s">
        <v>4655</v>
      </c>
      <c r="AK1683" t="s">
        <v>12306</v>
      </c>
      <c r="AL1683" s="13" t="s">
        <v>2255</v>
      </c>
      <c r="AM1683">
        <v>1</v>
      </c>
      <c r="AN1683" s="15" t="s">
        <v>3527</v>
      </c>
    </row>
    <row r="1684" spans="1:40" x14ac:dyDescent="0.3">
      <c r="A1684" s="10" t="str">
        <f>HYPERLINK("http://www.washoecounty.gov/assessor/cama/?parid=023-422-38&amp;CardNumber=1","023-422-38")</f>
        <v>023-422-38</v>
      </c>
      <c r="B1684" t="s">
        <v>4655</v>
      </c>
      <c r="C1684" t="s">
        <v>12307</v>
      </c>
      <c r="D1684" s="1">
        <v>40185</v>
      </c>
      <c r="E1684" s="2">
        <v>189500</v>
      </c>
      <c r="F1684" t="s">
        <v>4567</v>
      </c>
      <c r="G1684" s="17" t="str">
        <f>HYPERLINK("https://www.washoecounty.gov/assessor/cama/?command=sales&amp;parid=02342238","3837138")</f>
        <v>3837138</v>
      </c>
      <c r="H1684" t="s">
        <v>12308</v>
      </c>
      <c r="I1684">
        <v>1974</v>
      </c>
      <c r="J1684">
        <v>1974</v>
      </c>
      <c r="K1684" t="s">
        <v>3144</v>
      </c>
      <c r="L1684" t="s">
        <v>4555</v>
      </c>
      <c r="M1684" s="2">
        <v>1716</v>
      </c>
      <c r="N1684" t="s">
        <v>3147</v>
      </c>
      <c r="O1684">
        <v>2</v>
      </c>
      <c r="P1684">
        <v>2</v>
      </c>
      <c r="Q1684">
        <v>0</v>
      </c>
      <c r="R1684" t="s">
        <v>5281</v>
      </c>
      <c r="S1684" t="s">
        <v>4898</v>
      </c>
      <c r="T1684" t="s">
        <v>2704</v>
      </c>
      <c r="U1684" t="s">
        <v>4655</v>
      </c>
      <c r="V1684" s="2">
        <v>0</v>
      </c>
      <c r="W1684" t="s">
        <v>4571</v>
      </c>
      <c r="X1684" s="2">
        <v>1488</v>
      </c>
      <c r="Y1684">
        <v>21</v>
      </c>
      <c r="Z1684" t="s">
        <v>2705</v>
      </c>
      <c r="AA1684" s="3">
        <v>4.8002753406763098E-2</v>
      </c>
      <c r="AB1684" t="s">
        <v>12309</v>
      </c>
      <c r="AC1684" t="s">
        <v>4562</v>
      </c>
      <c r="AD1684" t="s">
        <v>12310</v>
      </c>
      <c r="AE1684" t="s">
        <v>4655</v>
      </c>
      <c r="AF1684" t="s">
        <v>4563</v>
      </c>
      <c r="AG1684" t="s">
        <v>4564</v>
      </c>
      <c r="AH1684">
        <v>89509</v>
      </c>
      <c r="AI1684" t="s">
        <v>12311</v>
      </c>
      <c r="AJ1684" t="s">
        <v>4655</v>
      </c>
      <c r="AK1684" t="s">
        <v>12312</v>
      </c>
      <c r="AL1684" s="13" t="s">
        <v>2255</v>
      </c>
      <c r="AM1684" s="14">
        <v>1</v>
      </c>
      <c r="AN1684" s="15" t="s">
        <v>3527</v>
      </c>
    </row>
    <row r="1685" spans="1:40" x14ac:dyDescent="0.3">
      <c r="A1685" s="10" t="str">
        <f>HYPERLINK("http://www.washoecounty.gov/assessor/cama/?parid=023-423-21&amp;CardNumber=1","023-423-21")</f>
        <v>023-423-21</v>
      </c>
      <c r="B1685" t="s">
        <v>4655</v>
      </c>
      <c r="C1685" t="s">
        <v>12313</v>
      </c>
      <c r="D1685" s="1">
        <v>40325</v>
      </c>
      <c r="E1685" s="2">
        <v>222500</v>
      </c>
      <c r="F1685" t="s">
        <v>4567</v>
      </c>
      <c r="G1685" s="17" t="str">
        <f>HYPERLINK("https://www.washoecounty.gov/assessor/cama/?command=sales&amp;parid=02342321","3886204")</f>
        <v>3886204</v>
      </c>
      <c r="H1685" t="s">
        <v>12308</v>
      </c>
      <c r="I1685">
        <v>1979</v>
      </c>
      <c r="J1685">
        <v>1979</v>
      </c>
      <c r="K1685" t="s">
        <v>3144</v>
      </c>
      <c r="L1685" t="s">
        <v>4555</v>
      </c>
      <c r="M1685" s="2">
        <v>1488</v>
      </c>
      <c r="N1685" t="s">
        <v>3147</v>
      </c>
      <c r="O1685">
        <v>2</v>
      </c>
      <c r="P1685">
        <v>2</v>
      </c>
      <c r="Q1685">
        <v>0</v>
      </c>
      <c r="R1685" t="s">
        <v>5281</v>
      </c>
      <c r="S1685" t="s">
        <v>4898</v>
      </c>
      <c r="T1685" t="s">
        <v>2704</v>
      </c>
      <c r="U1685" t="s">
        <v>4560</v>
      </c>
      <c r="V1685" s="2">
        <v>484</v>
      </c>
      <c r="W1685" t="s">
        <v>4571</v>
      </c>
      <c r="X1685" s="2">
        <v>1338</v>
      </c>
      <c r="Y1685">
        <v>21</v>
      </c>
      <c r="Z1685" t="s">
        <v>2705</v>
      </c>
      <c r="AA1685" s="3">
        <v>4.8002753406763098E-2</v>
      </c>
      <c r="AB1685" t="s">
        <v>12314</v>
      </c>
      <c r="AC1685" t="s">
        <v>4575</v>
      </c>
      <c r="AD1685" t="s">
        <v>12313</v>
      </c>
      <c r="AE1685" t="s">
        <v>4655</v>
      </c>
      <c r="AF1685" t="s">
        <v>4563</v>
      </c>
      <c r="AG1685" t="s">
        <v>4564</v>
      </c>
      <c r="AH1685">
        <v>89509</v>
      </c>
      <c r="AI1685" t="s">
        <v>12315</v>
      </c>
      <c r="AJ1685" t="s">
        <v>4655</v>
      </c>
      <c r="AK1685" t="s">
        <v>12316</v>
      </c>
      <c r="AL1685" s="13" t="s">
        <v>2255</v>
      </c>
      <c r="AM1685">
        <v>1</v>
      </c>
      <c r="AN1685" s="15" t="s">
        <v>3527</v>
      </c>
    </row>
    <row r="1686" spans="1:40" x14ac:dyDescent="0.3">
      <c r="A1686" s="10" t="str">
        <f>HYPERLINK("http://www.washoecounty.gov/assessor/cama/?parid=023-430-07&amp;CardNumber=1","023-430-07")</f>
        <v>023-430-07</v>
      </c>
      <c r="B1686" t="s">
        <v>4655</v>
      </c>
      <c r="C1686" t="s">
        <v>12317</v>
      </c>
      <c r="D1686" s="1">
        <v>40354</v>
      </c>
      <c r="E1686" s="2">
        <v>229000</v>
      </c>
      <c r="F1686" t="s">
        <v>4567</v>
      </c>
      <c r="G1686" s="17" t="str">
        <f>HYPERLINK("https://www.washoecounty.gov/assessor/cama/?command=sales&amp;parid=02343007","3895210")</f>
        <v>3895210</v>
      </c>
      <c r="H1686" t="s">
        <v>12318</v>
      </c>
      <c r="I1686">
        <v>1974</v>
      </c>
      <c r="J1686">
        <v>1974</v>
      </c>
      <c r="K1686" t="s">
        <v>4897</v>
      </c>
      <c r="L1686" t="s">
        <v>4555</v>
      </c>
      <c r="M1686" s="2">
        <v>1698</v>
      </c>
      <c r="N1686" t="s">
        <v>1245</v>
      </c>
      <c r="O1686">
        <v>3</v>
      </c>
      <c r="P1686">
        <v>2</v>
      </c>
      <c r="Q1686">
        <v>0</v>
      </c>
      <c r="R1686" t="s">
        <v>5281</v>
      </c>
      <c r="S1686" t="s">
        <v>4682</v>
      </c>
      <c r="T1686" t="s">
        <v>4899</v>
      </c>
      <c r="U1686" t="s">
        <v>4560</v>
      </c>
      <c r="V1686" s="2">
        <v>552</v>
      </c>
      <c r="W1686" t="s">
        <v>3149</v>
      </c>
      <c r="X1686" s="2">
        <v>632</v>
      </c>
      <c r="Y1686">
        <v>21</v>
      </c>
      <c r="Z1686" t="s">
        <v>385</v>
      </c>
      <c r="AA1686" s="3">
        <v>7.1005508303642301E-2</v>
      </c>
      <c r="AB1686" t="s">
        <v>12319</v>
      </c>
      <c r="AC1686" t="s">
        <v>4575</v>
      </c>
      <c r="AD1686" t="s">
        <v>12320</v>
      </c>
      <c r="AE1686" t="s">
        <v>4655</v>
      </c>
      <c r="AF1686" t="s">
        <v>4381</v>
      </c>
      <c r="AG1686" t="s">
        <v>2109</v>
      </c>
      <c r="AH1686">
        <v>96701</v>
      </c>
      <c r="AI1686" t="s">
        <v>12321</v>
      </c>
      <c r="AJ1686" t="s">
        <v>4655</v>
      </c>
      <c r="AK1686" t="s">
        <v>12322</v>
      </c>
      <c r="AL1686" s="13" t="s">
        <v>2257</v>
      </c>
      <c r="AM1686" s="14">
        <v>1</v>
      </c>
      <c r="AN1686" s="15" t="s">
        <v>777</v>
      </c>
    </row>
    <row r="1687" spans="1:40" x14ac:dyDescent="0.3">
      <c r="A1687" s="10" t="str">
        <f>HYPERLINK("http://www.washoecounty.gov/assessor/cama/?parid=023-460-01&amp;CardNumber=1","023-460-01")</f>
        <v>023-460-01</v>
      </c>
      <c r="B1687" t="s">
        <v>4655</v>
      </c>
      <c r="C1687" t="s">
        <v>12323</v>
      </c>
      <c r="D1687" s="1">
        <v>40464</v>
      </c>
      <c r="E1687" s="2">
        <v>535000</v>
      </c>
      <c r="F1687" t="s">
        <v>4553</v>
      </c>
      <c r="G1687" s="17" t="str">
        <f>HYPERLINK("https://www.washoecounty.gov/assessor/cama/?command=sales&amp;parid=02346001","3932557")</f>
        <v>3932557</v>
      </c>
      <c r="H1687" t="s">
        <v>643</v>
      </c>
      <c r="I1687">
        <v>1973</v>
      </c>
      <c r="J1687">
        <v>1977</v>
      </c>
      <c r="K1687" t="s">
        <v>4554</v>
      </c>
      <c r="L1687" t="s">
        <v>4555</v>
      </c>
      <c r="M1687" s="2">
        <v>5071</v>
      </c>
      <c r="N1687" t="s">
        <v>2012</v>
      </c>
      <c r="O1687">
        <v>4</v>
      </c>
      <c r="P1687">
        <v>4</v>
      </c>
      <c r="Q1687">
        <v>0</v>
      </c>
      <c r="R1687" t="s">
        <v>5281</v>
      </c>
      <c r="S1687" t="s">
        <v>4898</v>
      </c>
      <c r="T1687" t="s">
        <v>4559</v>
      </c>
      <c r="U1687" t="s">
        <v>4560</v>
      </c>
      <c r="V1687" s="2">
        <v>1512</v>
      </c>
      <c r="W1687" t="s">
        <v>3149</v>
      </c>
      <c r="X1687" s="2">
        <v>756</v>
      </c>
      <c r="Y1687">
        <v>20</v>
      </c>
      <c r="Z1687" t="s">
        <v>1538</v>
      </c>
      <c r="AA1687" s="3">
        <v>1.0160008668899501</v>
      </c>
      <c r="AB1687" t="s">
        <v>12324</v>
      </c>
      <c r="AC1687" t="s">
        <v>4562</v>
      </c>
      <c r="AD1687" t="s">
        <v>12323</v>
      </c>
      <c r="AE1687" t="s">
        <v>4655</v>
      </c>
      <c r="AF1687" t="s">
        <v>4563</v>
      </c>
      <c r="AG1687" t="s">
        <v>4564</v>
      </c>
      <c r="AH1687">
        <v>89506</v>
      </c>
      <c r="AI1687" t="s">
        <v>4585</v>
      </c>
      <c r="AJ1687" t="s">
        <v>4655</v>
      </c>
      <c r="AK1687" t="s">
        <v>5113</v>
      </c>
      <c r="AL1687" s="13" t="s">
        <v>2255</v>
      </c>
      <c r="AM1687">
        <v>1</v>
      </c>
      <c r="AN1687" s="15" t="s">
        <v>1541</v>
      </c>
    </row>
    <row r="1688" spans="1:40" x14ac:dyDescent="0.3">
      <c r="A1688" s="10" t="str">
        <f>HYPERLINK("http://www.washoecounty.gov/assessor/cama/?parid=023-490-37&amp;CardNumber=1","023-490-37")</f>
        <v>023-490-37</v>
      </c>
      <c r="B1688" t="s">
        <v>4655</v>
      </c>
      <c r="C1688" t="s">
        <v>12325</v>
      </c>
      <c r="D1688" s="1">
        <v>40505</v>
      </c>
      <c r="E1688" s="2">
        <v>750000</v>
      </c>
      <c r="F1688" t="s">
        <v>3584</v>
      </c>
      <c r="G1688" s="17" t="str">
        <f>HYPERLINK("https://www.washoecounty.gov/assessor/cama/?command=sales&amp;parid=02349037","3946037")</f>
        <v>3946037</v>
      </c>
      <c r="H1688" t="s">
        <v>12326</v>
      </c>
      <c r="I1688">
        <v>1888</v>
      </c>
      <c r="J1688">
        <v>1888</v>
      </c>
      <c r="K1688" t="s">
        <v>4554</v>
      </c>
      <c r="L1688" t="s">
        <v>3886</v>
      </c>
      <c r="M1688" s="2">
        <v>3314</v>
      </c>
      <c r="N1688" t="s">
        <v>3887</v>
      </c>
      <c r="O1688">
        <v>6</v>
      </c>
      <c r="P1688">
        <v>5</v>
      </c>
      <c r="Q1688">
        <v>1</v>
      </c>
      <c r="R1688" t="s">
        <v>2015</v>
      </c>
      <c r="S1688" t="s">
        <v>3046</v>
      </c>
      <c r="T1688" t="s">
        <v>2947</v>
      </c>
      <c r="U1688" t="s">
        <v>4655</v>
      </c>
      <c r="V1688" s="2">
        <v>0</v>
      </c>
      <c r="W1688" t="s">
        <v>3149</v>
      </c>
      <c r="X1688" s="2">
        <v>630</v>
      </c>
      <c r="Y1688">
        <v>20</v>
      </c>
      <c r="Z1688" t="s">
        <v>1538</v>
      </c>
      <c r="AA1688" s="3">
        <v>0.45798897743225098</v>
      </c>
      <c r="AB1688" t="s">
        <v>12327</v>
      </c>
      <c r="AC1688" t="s">
        <v>4562</v>
      </c>
      <c r="AD1688" t="s">
        <v>12328</v>
      </c>
      <c r="AE1688" t="s">
        <v>4655</v>
      </c>
      <c r="AF1688" t="s">
        <v>4563</v>
      </c>
      <c r="AG1688" t="s">
        <v>4564</v>
      </c>
      <c r="AH1688">
        <v>89509</v>
      </c>
      <c r="AI1688" t="s">
        <v>12329</v>
      </c>
      <c r="AJ1688" t="s">
        <v>12330</v>
      </c>
      <c r="AK1688" t="s">
        <v>12331</v>
      </c>
      <c r="AL1688" s="13" t="s">
        <v>2257</v>
      </c>
      <c r="AM1688">
        <v>1</v>
      </c>
      <c r="AN1688" s="15" t="s">
        <v>1541</v>
      </c>
    </row>
    <row r="1689" spans="1:40" x14ac:dyDescent="0.3">
      <c r="A1689" s="10" t="str">
        <f>HYPERLINK("http://www.washoecounty.gov/assessor/cama/?parid=023-490-38&amp;CardNumber=1","023-490-38")</f>
        <v>023-490-38</v>
      </c>
      <c r="B1689" t="s">
        <v>4655</v>
      </c>
      <c r="C1689" t="s">
        <v>12332</v>
      </c>
      <c r="D1689" s="1">
        <v>40505</v>
      </c>
      <c r="E1689" s="2">
        <v>750000</v>
      </c>
      <c r="F1689" t="s">
        <v>3584</v>
      </c>
      <c r="G1689" s="17" t="str">
        <f>HYPERLINK("https://www.washoecounty.gov/assessor/cama/?command=sales&amp;parid=02349038","3946037")</f>
        <v>3946037</v>
      </c>
      <c r="H1689" t="s">
        <v>12326</v>
      </c>
      <c r="I1689">
        <v>1875</v>
      </c>
      <c r="J1689">
        <v>1987</v>
      </c>
      <c r="K1689" t="s">
        <v>4554</v>
      </c>
      <c r="L1689" t="s">
        <v>4555</v>
      </c>
      <c r="M1689" s="2">
        <v>1204</v>
      </c>
      <c r="N1689" t="s">
        <v>4048</v>
      </c>
      <c r="O1689">
        <v>2</v>
      </c>
      <c r="P1689">
        <v>1</v>
      </c>
      <c r="Q1689">
        <v>0</v>
      </c>
      <c r="R1689" t="s">
        <v>5281</v>
      </c>
      <c r="S1689" t="s">
        <v>4135</v>
      </c>
      <c r="T1689" t="s">
        <v>4559</v>
      </c>
      <c r="U1689" t="s">
        <v>4655</v>
      </c>
      <c r="V1689" s="2">
        <v>0</v>
      </c>
      <c r="W1689" t="s">
        <v>4655</v>
      </c>
      <c r="X1689" s="2">
        <v>0</v>
      </c>
      <c r="Y1689">
        <v>20</v>
      </c>
      <c r="Z1689" t="s">
        <v>1538</v>
      </c>
      <c r="AA1689" s="3">
        <v>0.45798897743225098</v>
      </c>
      <c r="AB1689" t="s">
        <v>12327</v>
      </c>
      <c r="AC1689" t="s">
        <v>4562</v>
      </c>
      <c r="AD1689" t="s">
        <v>12328</v>
      </c>
      <c r="AE1689" t="s">
        <v>4655</v>
      </c>
      <c r="AF1689" t="s">
        <v>4563</v>
      </c>
      <c r="AG1689" t="s">
        <v>4564</v>
      </c>
      <c r="AH1689">
        <v>89509</v>
      </c>
      <c r="AI1689" t="s">
        <v>12333</v>
      </c>
      <c r="AJ1689" t="s">
        <v>12330</v>
      </c>
      <c r="AK1689" t="s">
        <v>12334</v>
      </c>
      <c r="AL1689" s="13" t="s">
        <v>2257</v>
      </c>
      <c r="AM1689">
        <v>1</v>
      </c>
      <c r="AN1689" s="15" t="s">
        <v>1541</v>
      </c>
    </row>
    <row r="1690" spans="1:40" x14ac:dyDescent="0.3">
      <c r="A1690" s="10" t="str">
        <f>HYPERLINK("http://www.washoecounty.gov/assessor/cama/?parid=023-500-08&amp;CardNumber=1","023-500-08")</f>
        <v>023-500-08</v>
      </c>
      <c r="B1690" t="s">
        <v>4655</v>
      </c>
      <c r="C1690" t="s">
        <v>12335</v>
      </c>
      <c r="D1690" s="1">
        <v>40373</v>
      </c>
      <c r="E1690" s="2">
        <v>405000</v>
      </c>
      <c r="F1690" t="s">
        <v>4567</v>
      </c>
      <c r="G1690" s="17" t="str">
        <f>HYPERLINK("https://www.washoecounty.gov/assessor/cama/?command=sales&amp;parid=02350008","3901087")</f>
        <v>3901087</v>
      </c>
      <c r="H1690" t="s">
        <v>4655</v>
      </c>
      <c r="I1690">
        <v>1963</v>
      </c>
      <c r="J1690">
        <v>1963</v>
      </c>
      <c r="K1690" t="s">
        <v>4554</v>
      </c>
      <c r="L1690" t="s">
        <v>4555</v>
      </c>
      <c r="M1690" s="2">
        <v>2591</v>
      </c>
      <c r="N1690" t="s">
        <v>1245</v>
      </c>
      <c r="O1690">
        <v>4</v>
      </c>
      <c r="P1690">
        <v>4</v>
      </c>
      <c r="Q1690">
        <v>0</v>
      </c>
      <c r="R1690" t="s">
        <v>5281</v>
      </c>
      <c r="S1690" t="s">
        <v>4682</v>
      </c>
      <c r="T1690" t="s">
        <v>4143</v>
      </c>
      <c r="U1690" t="s">
        <v>4560</v>
      </c>
      <c r="V1690" s="2">
        <v>464</v>
      </c>
      <c r="W1690" t="s">
        <v>3149</v>
      </c>
      <c r="X1690" s="2">
        <v>590</v>
      </c>
      <c r="Y1690">
        <v>20</v>
      </c>
      <c r="Z1690" t="s">
        <v>1538</v>
      </c>
      <c r="AA1690" s="3">
        <v>0.53999084234237604</v>
      </c>
      <c r="AB1690" t="s">
        <v>12336</v>
      </c>
      <c r="AC1690" t="s">
        <v>4575</v>
      </c>
      <c r="AD1690" t="s">
        <v>12335</v>
      </c>
      <c r="AE1690" t="s">
        <v>4655</v>
      </c>
      <c r="AF1690" t="s">
        <v>4563</v>
      </c>
      <c r="AG1690" t="s">
        <v>4564</v>
      </c>
      <c r="AH1690">
        <v>89509</v>
      </c>
      <c r="AI1690" t="s">
        <v>12337</v>
      </c>
      <c r="AJ1690" t="s">
        <v>4655</v>
      </c>
      <c r="AK1690" t="s">
        <v>10796</v>
      </c>
      <c r="AL1690" s="13" t="s">
        <v>2257</v>
      </c>
      <c r="AM1690">
        <v>1</v>
      </c>
      <c r="AN1690" s="15" t="s">
        <v>1541</v>
      </c>
    </row>
    <row r="1691" spans="1:40" x14ac:dyDescent="0.3">
      <c r="A1691" s="10" t="str">
        <f>HYPERLINK("http://www.washoecounty.gov/assessor/cama/?parid=023-541-03&amp;CardNumber=1","023-541-03")</f>
        <v>023-541-03</v>
      </c>
      <c r="B1691" t="s">
        <v>4655</v>
      </c>
      <c r="C1691" t="s">
        <v>12338</v>
      </c>
      <c r="D1691" s="1">
        <v>40382</v>
      </c>
      <c r="E1691" s="2">
        <v>425500</v>
      </c>
      <c r="F1691" t="s">
        <v>4567</v>
      </c>
      <c r="G1691" s="17" t="str">
        <f>HYPERLINK("https://www.washoecounty.gov/assessor/cama/?command=sales&amp;parid=02354103","3904205")</f>
        <v>3904205</v>
      </c>
      <c r="H1691" t="s">
        <v>12138</v>
      </c>
      <c r="I1691">
        <v>1966</v>
      </c>
      <c r="J1691">
        <v>1966</v>
      </c>
      <c r="K1691" t="s">
        <v>4554</v>
      </c>
      <c r="L1691" t="s">
        <v>4555</v>
      </c>
      <c r="M1691" s="2">
        <v>2264</v>
      </c>
      <c r="N1691" t="s">
        <v>5280</v>
      </c>
      <c r="O1691">
        <v>3</v>
      </c>
      <c r="P1691">
        <v>2</v>
      </c>
      <c r="Q1691">
        <v>0</v>
      </c>
      <c r="R1691" t="s">
        <v>5281</v>
      </c>
      <c r="S1691" t="s">
        <v>3148</v>
      </c>
      <c r="T1691" t="s">
        <v>4559</v>
      </c>
      <c r="U1691" t="s">
        <v>4560</v>
      </c>
      <c r="V1691" s="2">
        <v>623</v>
      </c>
      <c r="W1691" t="s">
        <v>4655</v>
      </c>
      <c r="X1691" s="2">
        <v>0</v>
      </c>
      <c r="Y1691">
        <v>20</v>
      </c>
      <c r="Z1691" t="s">
        <v>5282</v>
      </c>
      <c r="AA1691" s="3">
        <v>0.42699724435806302</v>
      </c>
      <c r="AB1691" t="s">
        <v>10393</v>
      </c>
      <c r="AC1691" t="s">
        <v>4562</v>
      </c>
      <c r="AD1691" t="s">
        <v>12338</v>
      </c>
      <c r="AE1691" t="s">
        <v>4655</v>
      </c>
      <c r="AF1691" t="s">
        <v>4563</v>
      </c>
      <c r="AG1691" t="s">
        <v>4564</v>
      </c>
      <c r="AH1691">
        <v>89509</v>
      </c>
      <c r="AI1691" t="s">
        <v>12339</v>
      </c>
      <c r="AJ1691" t="s">
        <v>4655</v>
      </c>
      <c r="AK1691" t="s">
        <v>12340</v>
      </c>
      <c r="AL1691" s="13" t="s">
        <v>2255</v>
      </c>
      <c r="AM1691">
        <v>1</v>
      </c>
      <c r="AN1691" s="15" t="s">
        <v>3152</v>
      </c>
    </row>
    <row r="1692" spans="1:40" x14ac:dyDescent="0.3">
      <c r="A1692" s="10" t="str">
        <f>HYPERLINK("http://www.washoecounty.gov/assessor/cama/?parid=023-551-01&amp;CardNumber=1","023-551-01")</f>
        <v>023-551-01</v>
      </c>
      <c r="B1692" t="s">
        <v>4655</v>
      </c>
      <c r="C1692" t="s">
        <v>12341</v>
      </c>
      <c r="D1692" s="1">
        <v>40371</v>
      </c>
      <c r="E1692" s="2">
        <v>340000</v>
      </c>
      <c r="F1692" t="s">
        <v>4567</v>
      </c>
      <c r="G1692" s="17" t="str">
        <f>HYPERLINK("https://www.washoecounty.gov/assessor/cama/?command=sales&amp;parid=02355101","3900483")</f>
        <v>3900483</v>
      </c>
      <c r="H1692" t="s">
        <v>12138</v>
      </c>
      <c r="I1692">
        <v>1971</v>
      </c>
      <c r="J1692">
        <v>1971</v>
      </c>
      <c r="K1692" t="s">
        <v>4554</v>
      </c>
      <c r="L1692" t="s">
        <v>4555</v>
      </c>
      <c r="M1692" s="2">
        <v>2808</v>
      </c>
      <c r="N1692" t="s">
        <v>3887</v>
      </c>
      <c r="O1692">
        <v>3</v>
      </c>
      <c r="P1692">
        <v>2</v>
      </c>
      <c r="Q1692">
        <v>1</v>
      </c>
      <c r="R1692" t="s">
        <v>5281</v>
      </c>
      <c r="S1692" t="s">
        <v>4682</v>
      </c>
      <c r="T1692" t="s">
        <v>4143</v>
      </c>
      <c r="U1692" t="s">
        <v>4560</v>
      </c>
      <c r="V1692" s="2">
        <v>598</v>
      </c>
      <c r="W1692" t="s">
        <v>4655</v>
      </c>
      <c r="X1692" s="2">
        <v>0</v>
      </c>
      <c r="Y1692">
        <v>20</v>
      </c>
      <c r="Z1692" t="s">
        <v>5282</v>
      </c>
      <c r="AA1692" s="3">
        <v>0.55000001192092796</v>
      </c>
      <c r="AB1692" t="s">
        <v>12342</v>
      </c>
      <c r="AC1692" t="s">
        <v>4562</v>
      </c>
      <c r="AD1692" t="s">
        <v>12341</v>
      </c>
      <c r="AE1692" t="s">
        <v>4655</v>
      </c>
      <c r="AF1692" t="s">
        <v>4563</v>
      </c>
      <c r="AG1692" t="s">
        <v>4564</v>
      </c>
      <c r="AH1692">
        <v>89509</v>
      </c>
      <c r="AI1692" t="s">
        <v>12343</v>
      </c>
      <c r="AJ1692" t="s">
        <v>4655</v>
      </c>
      <c r="AK1692" t="s">
        <v>12344</v>
      </c>
      <c r="AL1692" s="13" t="s">
        <v>2255</v>
      </c>
      <c r="AM1692" s="14">
        <v>1</v>
      </c>
      <c r="AN1692" s="15" t="s">
        <v>3152</v>
      </c>
    </row>
    <row r="1693" spans="1:40" x14ac:dyDescent="0.3">
      <c r="A1693" s="10" t="str">
        <f>HYPERLINK("http://www.washoecounty.gov/assessor/cama/?parid=023-561-04&amp;CardNumber=1","023-561-04")</f>
        <v>023-561-04</v>
      </c>
      <c r="B1693" t="s">
        <v>4655</v>
      </c>
      <c r="C1693" t="s">
        <v>12345</v>
      </c>
      <c r="D1693" s="1">
        <v>40437</v>
      </c>
      <c r="E1693" s="2">
        <v>38500</v>
      </c>
      <c r="F1693" t="s">
        <v>4553</v>
      </c>
      <c r="G1693" s="17" t="str">
        <f>HYPERLINK("https://www.washoecounty.gov/assessor/cama/?command=sales&amp;parid=02356104","3922947")</f>
        <v>3922947</v>
      </c>
      <c r="H1693" t="s">
        <v>12346</v>
      </c>
      <c r="I1693">
        <v>1972</v>
      </c>
      <c r="J1693">
        <v>1972</v>
      </c>
      <c r="K1693" t="s">
        <v>3144</v>
      </c>
      <c r="L1693" t="s">
        <v>4555</v>
      </c>
      <c r="M1693" s="2">
        <v>776</v>
      </c>
      <c r="N1693" t="s">
        <v>4048</v>
      </c>
      <c r="O1693">
        <v>1</v>
      </c>
      <c r="P1693">
        <v>1</v>
      </c>
      <c r="Q1693">
        <v>0</v>
      </c>
      <c r="R1693" t="s">
        <v>5281</v>
      </c>
      <c r="S1693" t="s">
        <v>3148</v>
      </c>
      <c r="T1693" t="s">
        <v>4899</v>
      </c>
      <c r="U1693" t="s">
        <v>4655</v>
      </c>
      <c r="V1693" s="2">
        <v>0</v>
      </c>
      <c r="W1693" t="s">
        <v>4655</v>
      </c>
      <c r="X1693" s="2">
        <v>0</v>
      </c>
      <c r="Y1693">
        <v>21</v>
      </c>
      <c r="Z1693" t="s">
        <v>2705</v>
      </c>
      <c r="AA1693" s="3">
        <v>1.00000004749745E-3</v>
      </c>
      <c r="AB1693" t="s">
        <v>12347</v>
      </c>
      <c r="AC1693" t="s">
        <v>4575</v>
      </c>
      <c r="AD1693" t="s">
        <v>12348</v>
      </c>
      <c r="AE1693" t="s">
        <v>4655</v>
      </c>
      <c r="AF1693" t="s">
        <v>12349</v>
      </c>
      <c r="AG1693" t="s">
        <v>4584</v>
      </c>
      <c r="AH1693" t="s">
        <v>12350</v>
      </c>
      <c r="AI1693" t="s">
        <v>12351</v>
      </c>
      <c r="AJ1693" t="s">
        <v>4655</v>
      </c>
      <c r="AK1693" t="s">
        <v>12352</v>
      </c>
      <c r="AL1693" s="13" t="s">
        <v>2255</v>
      </c>
      <c r="AM1693" s="14">
        <v>1</v>
      </c>
      <c r="AN1693" s="15" t="s">
        <v>951</v>
      </c>
    </row>
    <row r="1694" spans="1:40" x14ac:dyDescent="0.3">
      <c r="A1694" s="10" t="str">
        <f>HYPERLINK("http://www.washoecounty.gov/assessor/cama/?parid=023-561-31&amp;CardNumber=1","023-561-31")</f>
        <v>023-561-31</v>
      </c>
      <c r="B1694" t="s">
        <v>4655</v>
      </c>
      <c r="C1694" t="s">
        <v>12353</v>
      </c>
      <c r="D1694" s="1">
        <v>40262</v>
      </c>
      <c r="E1694" s="2">
        <v>79900</v>
      </c>
      <c r="F1694" t="s">
        <v>4567</v>
      </c>
      <c r="G1694" s="17" t="str">
        <f>HYPERLINK("https://www.washoecounty.gov/assessor/cama/?command=sales&amp;parid=02356131","3863917")</f>
        <v>3863917</v>
      </c>
      <c r="H1694" t="s">
        <v>12346</v>
      </c>
      <c r="I1694">
        <v>1972</v>
      </c>
      <c r="J1694">
        <v>1972</v>
      </c>
      <c r="K1694" t="s">
        <v>3144</v>
      </c>
      <c r="L1694" t="s">
        <v>4555</v>
      </c>
      <c r="M1694" s="2">
        <v>776</v>
      </c>
      <c r="N1694" t="s">
        <v>4048</v>
      </c>
      <c r="O1694">
        <v>1</v>
      </c>
      <c r="P1694">
        <v>1</v>
      </c>
      <c r="Q1694">
        <v>0</v>
      </c>
      <c r="R1694" t="s">
        <v>5281</v>
      </c>
      <c r="S1694" t="s">
        <v>3148</v>
      </c>
      <c r="T1694" t="s">
        <v>4899</v>
      </c>
      <c r="U1694" t="s">
        <v>4655</v>
      </c>
      <c r="V1694" s="2">
        <v>0</v>
      </c>
      <c r="W1694" t="s">
        <v>4655</v>
      </c>
      <c r="X1694" s="2">
        <v>0</v>
      </c>
      <c r="Y1694">
        <v>21</v>
      </c>
      <c r="Z1694" t="s">
        <v>2705</v>
      </c>
      <c r="AA1694" s="3">
        <v>1.00000004749745E-3</v>
      </c>
      <c r="AB1694" t="s">
        <v>12354</v>
      </c>
      <c r="AC1694" t="s">
        <v>4562</v>
      </c>
      <c r="AD1694" t="s">
        <v>12353</v>
      </c>
      <c r="AE1694" t="s">
        <v>4655</v>
      </c>
      <c r="AF1694" t="s">
        <v>4563</v>
      </c>
      <c r="AG1694" t="s">
        <v>4564</v>
      </c>
      <c r="AH1694">
        <v>89509</v>
      </c>
      <c r="AI1694" t="s">
        <v>12355</v>
      </c>
      <c r="AJ1694" t="s">
        <v>4655</v>
      </c>
      <c r="AK1694" t="s">
        <v>12356</v>
      </c>
      <c r="AL1694" s="13" t="s">
        <v>2255</v>
      </c>
      <c r="AM1694">
        <v>1</v>
      </c>
      <c r="AN1694" s="15" t="s">
        <v>951</v>
      </c>
    </row>
    <row r="1695" spans="1:40" x14ac:dyDescent="0.3">
      <c r="A1695" s="10" t="str">
        <f>HYPERLINK("http://www.washoecounty.gov/assessor/cama/?parid=023-571-03&amp;CardNumber=1","023-571-03")</f>
        <v>023-571-03</v>
      </c>
      <c r="B1695" t="s">
        <v>4655</v>
      </c>
      <c r="C1695" t="s">
        <v>12357</v>
      </c>
      <c r="D1695" s="1">
        <v>40346</v>
      </c>
      <c r="E1695" s="2">
        <v>195000</v>
      </c>
      <c r="F1695" t="s">
        <v>4567</v>
      </c>
      <c r="G1695" s="17" t="str">
        <f>HYPERLINK("https://www.washoecounty.gov/assessor/cama/?command=sales&amp;parid=02357103","3893081")</f>
        <v>3893081</v>
      </c>
      <c r="H1695" t="s">
        <v>100</v>
      </c>
      <c r="I1695">
        <v>1980</v>
      </c>
      <c r="J1695">
        <v>1980</v>
      </c>
      <c r="K1695" t="s">
        <v>3144</v>
      </c>
      <c r="L1695" t="s">
        <v>3974</v>
      </c>
      <c r="M1695" s="2">
        <v>1800</v>
      </c>
      <c r="N1695" t="s">
        <v>3887</v>
      </c>
      <c r="O1695">
        <v>2</v>
      </c>
      <c r="P1695">
        <v>2</v>
      </c>
      <c r="Q1695">
        <v>1</v>
      </c>
      <c r="R1695" t="s">
        <v>4557</v>
      </c>
      <c r="S1695" t="s">
        <v>3148</v>
      </c>
      <c r="T1695" t="s">
        <v>4559</v>
      </c>
      <c r="U1695" t="s">
        <v>4560</v>
      </c>
      <c r="V1695" s="2">
        <v>336</v>
      </c>
      <c r="W1695" t="s">
        <v>4655</v>
      </c>
      <c r="X1695" s="2">
        <v>0</v>
      </c>
      <c r="Y1695">
        <v>21</v>
      </c>
      <c r="Z1695" t="s">
        <v>385</v>
      </c>
      <c r="AA1695" s="3">
        <v>1.00000004749745E-3</v>
      </c>
      <c r="AB1695" t="s">
        <v>12358</v>
      </c>
      <c r="AC1695" t="s">
        <v>4562</v>
      </c>
      <c r="AD1695" t="s">
        <v>12359</v>
      </c>
      <c r="AE1695" t="s">
        <v>4655</v>
      </c>
      <c r="AF1695" t="s">
        <v>4563</v>
      </c>
      <c r="AG1695" t="s">
        <v>4564</v>
      </c>
      <c r="AH1695">
        <v>89509</v>
      </c>
      <c r="AI1695" t="s">
        <v>12360</v>
      </c>
      <c r="AJ1695" t="s">
        <v>4655</v>
      </c>
      <c r="AK1695" t="s">
        <v>12361</v>
      </c>
      <c r="AL1695" s="13" t="s">
        <v>2257</v>
      </c>
      <c r="AM1695" s="14">
        <v>1</v>
      </c>
      <c r="AN1695" s="15" t="s">
        <v>1588</v>
      </c>
    </row>
    <row r="1696" spans="1:40" x14ac:dyDescent="0.3">
      <c r="A1696" s="10" t="str">
        <f>HYPERLINK("http://www.washoecounty.gov/assessor/cama/?parid=023-572-01&amp;CardNumber=1","023-572-01")</f>
        <v>023-572-01</v>
      </c>
      <c r="B1696" t="s">
        <v>4655</v>
      </c>
      <c r="C1696" t="s">
        <v>12362</v>
      </c>
      <c r="D1696" s="1">
        <v>40228</v>
      </c>
      <c r="E1696" s="2">
        <v>295000</v>
      </c>
      <c r="F1696" t="s">
        <v>4567</v>
      </c>
      <c r="G1696" s="17" t="str">
        <f>HYPERLINK("https://www.washoecounty.gov/assessor/cama/?command=sales&amp;parid=02357201","3851206")</f>
        <v>3851206</v>
      </c>
      <c r="H1696" t="s">
        <v>12363</v>
      </c>
      <c r="I1696">
        <v>1984</v>
      </c>
      <c r="J1696">
        <v>1984</v>
      </c>
      <c r="K1696" t="s">
        <v>4897</v>
      </c>
      <c r="L1696" t="s">
        <v>3974</v>
      </c>
      <c r="M1696" s="2">
        <v>2196</v>
      </c>
      <c r="N1696" t="s">
        <v>3887</v>
      </c>
      <c r="O1696">
        <v>3</v>
      </c>
      <c r="P1696">
        <v>2</v>
      </c>
      <c r="Q1696">
        <v>1</v>
      </c>
      <c r="R1696" t="s">
        <v>4557</v>
      </c>
      <c r="S1696" t="s">
        <v>3148</v>
      </c>
      <c r="T1696" t="s">
        <v>4559</v>
      </c>
      <c r="U1696" t="s">
        <v>4560</v>
      </c>
      <c r="V1696" s="2">
        <v>576</v>
      </c>
      <c r="W1696" t="s">
        <v>4655</v>
      </c>
      <c r="X1696" s="2">
        <v>0</v>
      </c>
      <c r="Y1696">
        <v>21</v>
      </c>
      <c r="Z1696" t="s">
        <v>385</v>
      </c>
      <c r="AA1696" s="3">
        <v>1.00000004749745E-3</v>
      </c>
      <c r="AB1696" t="s">
        <v>12364</v>
      </c>
      <c r="AC1696" t="s">
        <v>4562</v>
      </c>
      <c r="AD1696" t="s">
        <v>12362</v>
      </c>
      <c r="AE1696" t="s">
        <v>1587</v>
      </c>
      <c r="AF1696" t="s">
        <v>4563</v>
      </c>
      <c r="AG1696" t="s">
        <v>4564</v>
      </c>
      <c r="AH1696">
        <v>89509</v>
      </c>
      <c r="AI1696" t="s">
        <v>12365</v>
      </c>
      <c r="AJ1696" t="s">
        <v>4655</v>
      </c>
      <c r="AK1696" t="s">
        <v>12366</v>
      </c>
      <c r="AL1696" s="13" t="s">
        <v>2257</v>
      </c>
      <c r="AM1696">
        <v>1</v>
      </c>
      <c r="AN1696" s="15" t="s">
        <v>1588</v>
      </c>
    </row>
    <row r="1697" spans="1:40" x14ac:dyDescent="0.3">
      <c r="A1697" s="10" t="str">
        <f>HYPERLINK("http://www.washoecounty.gov/assessor/cama/?parid=023-592-06&amp;CardNumber=1","023-592-06")</f>
        <v>023-592-06</v>
      </c>
      <c r="B1697" t="s">
        <v>4655</v>
      </c>
      <c r="C1697" t="s">
        <v>12367</v>
      </c>
      <c r="D1697" s="1">
        <v>40297</v>
      </c>
      <c r="E1697" s="2">
        <v>551000</v>
      </c>
      <c r="F1697" t="s">
        <v>4567</v>
      </c>
      <c r="G1697" s="17" t="str">
        <f>HYPERLINK("https://www.washoecounty.gov/assessor/cama/?command=sales&amp;parid=02359206","3876114")</f>
        <v>3876114</v>
      </c>
      <c r="H1697" t="s">
        <v>5557</v>
      </c>
      <c r="I1697">
        <v>1985</v>
      </c>
      <c r="J1697">
        <v>1987</v>
      </c>
      <c r="K1697" t="s">
        <v>4554</v>
      </c>
      <c r="L1697" t="s">
        <v>4555</v>
      </c>
      <c r="M1697" s="2">
        <v>2824</v>
      </c>
      <c r="N1697" t="s">
        <v>3887</v>
      </c>
      <c r="O1697">
        <v>3</v>
      </c>
      <c r="P1697">
        <v>2</v>
      </c>
      <c r="Q1697">
        <v>2</v>
      </c>
      <c r="R1697" t="s">
        <v>5281</v>
      </c>
      <c r="S1697" t="s">
        <v>4558</v>
      </c>
      <c r="T1697" t="s">
        <v>4559</v>
      </c>
      <c r="U1697" t="s">
        <v>4560</v>
      </c>
      <c r="V1697" s="2">
        <v>800</v>
      </c>
      <c r="W1697" t="s">
        <v>3149</v>
      </c>
      <c r="X1697" s="2">
        <v>772</v>
      </c>
      <c r="Y1697">
        <v>20</v>
      </c>
      <c r="Z1697" t="s">
        <v>5282</v>
      </c>
      <c r="AA1697" s="3">
        <v>0.58900368213653498</v>
      </c>
      <c r="AB1697" t="s">
        <v>12368</v>
      </c>
      <c r="AC1697" t="s">
        <v>4562</v>
      </c>
      <c r="AD1697" t="s">
        <v>12367</v>
      </c>
      <c r="AE1697" t="s">
        <v>4655</v>
      </c>
      <c r="AF1697" t="s">
        <v>4563</v>
      </c>
      <c r="AG1697" t="s">
        <v>4564</v>
      </c>
      <c r="AH1697">
        <v>89509</v>
      </c>
      <c r="AI1697" t="s">
        <v>12369</v>
      </c>
      <c r="AJ1697" t="s">
        <v>4655</v>
      </c>
      <c r="AK1697" t="s">
        <v>12370</v>
      </c>
      <c r="AL1697" s="13" t="s">
        <v>2255</v>
      </c>
      <c r="AM1697">
        <v>1</v>
      </c>
      <c r="AN1697" s="15" t="s">
        <v>5347</v>
      </c>
    </row>
    <row r="1698" spans="1:40" x14ac:dyDescent="0.3">
      <c r="A1698" s="10" t="str">
        <f>HYPERLINK("http://www.washoecounty.gov/assessor/cama/?parid=023-592-08&amp;CardNumber=1","023-592-08")</f>
        <v>023-592-08</v>
      </c>
      <c r="B1698" t="s">
        <v>4655</v>
      </c>
      <c r="C1698" t="s">
        <v>1963</v>
      </c>
      <c r="D1698" s="1">
        <v>40535</v>
      </c>
      <c r="E1698" s="2">
        <v>700000</v>
      </c>
      <c r="F1698" t="s">
        <v>4567</v>
      </c>
      <c r="G1698" s="17" t="str">
        <f>HYPERLINK("https://www.washoecounty.gov/assessor/cama/?command=sales&amp;parid=02359208","3956600")</f>
        <v>3956600</v>
      </c>
      <c r="H1698" t="s">
        <v>1964</v>
      </c>
      <c r="I1698">
        <v>1988</v>
      </c>
      <c r="J1698">
        <v>1988</v>
      </c>
      <c r="K1698" t="s">
        <v>4554</v>
      </c>
      <c r="L1698" t="s">
        <v>4555</v>
      </c>
      <c r="M1698" s="2">
        <v>3586</v>
      </c>
      <c r="N1698" t="s">
        <v>1245</v>
      </c>
      <c r="O1698">
        <v>6</v>
      </c>
      <c r="P1698">
        <v>4</v>
      </c>
      <c r="Q1698">
        <v>1</v>
      </c>
      <c r="R1698" t="s">
        <v>5281</v>
      </c>
      <c r="S1698" t="s">
        <v>3148</v>
      </c>
      <c r="T1698" t="s">
        <v>4143</v>
      </c>
      <c r="U1698" t="s">
        <v>4560</v>
      </c>
      <c r="V1698" s="2">
        <v>924</v>
      </c>
      <c r="W1698" t="s">
        <v>3149</v>
      </c>
      <c r="X1698" s="2">
        <v>3244</v>
      </c>
      <c r="Y1698">
        <v>20</v>
      </c>
      <c r="Z1698" t="s">
        <v>5282</v>
      </c>
      <c r="AA1698" s="3">
        <v>0.66299355030059803</v>
      </c>
      <c r="AB1698" t="s">
        <v>5684</v>
      </c>
      <c r="AC1698" t="s">
        <v>4575</v>
      </c>
      <c r="AD1698" t="s">
        <v>1963</v>
      </c>
      <c r="AE1698" t="s">
        <v>4655</v>
      </c>
      <c r="AF1698" t="s">
        <v>4563</v>
      </c>
      <c r="AG1698" t="s">
        <v>4564</v>
      </c>
      <c r="AH1698">
        <v>89509</v>
      </c>
      <c r="AI1698" t="s">
        <v>1965</v>
      </c>
      <c r="AJ1698" t="s">
        <v>4655</v>
      </c>
      <c r="AK1698" t="s">
        <v>1966</v>
      </c>
      <c r="AL1698" s="13" t="s">
        <v>2255</v>
      </c>
      <c r="AM1698">
        <v>1</v>
      </c>
      <c r="AN1698" s="15" t="s">
        <v>5347</v>
      </c>
    </row>
    <row r="1699" spans="1:40" x14ac:dyDescent="0.3">
      <c r="A1699" s="10" t="str">
        <f>HYPERLINK("http://www.washoecounty.gov/assessor/cama/?parid=023-611-02&amp;CardNumber=1","023-611-02")</f>
        <v>023-611-02</v>
      </c>
      <c r="B1699" t="s">
        <v>4655</v>
      </c>
      <c r="C1699" t="s">
        <v>12371</v>
      </c>
      <c r="D1699" s="1">
        <v>40297</v>
      </c>
      <c r="E1699" s="2">
        <v>284900</v>
      </c>
      <c r="F1699" t="s">
        <v>4567</v>
      </c>
      <c r="G1699" s="17" t="str">
        <f>HYPERLINK("https://www.washoecounty.gov/assessor/cama/?command=sales&amp;parid=02361102","3876231")</f>
        <v>3876231</v>
      </c>
      <c r="H1699" t="s">
        <v>12372</v>
      </c>
      <c r="I1699">
        <v>1984</v>
      </c>
      <c r="J1699">
        <v>1984</v>
      </c>
      <c r="K1699" t="s">
        <v>4554</v>
      </c>
      <c r="L1699" t="s">
        <v>3974</v>
      </c>
      <c r="M1699" s="2">
        <v>2207</v>
      </c>
      <c r="N1699" t="s">
        <v>3147</v>
      </c>
      <c r="O1699">
        <v>4</v>
      </c>
      <c r="P1699">
        <v>3</v>
      </c>
      <c r="Q1699">
        <v>0</v>
      </c>
      <c r="R1699" t="s">
        <v>4557</v>
      </c>
      <c r="S1699" t="s">
        <v>4135</v>
      </c>
      <c r="T1699" t="s">
        <v>4143</v>
      </c>
      <c r="U1699" t="s">
        <v>4560</v>
      </c>
      <c r="V1699" s="2">
        <v>400</v>
      </c>
      <c r="W1699" t="s">
        <v>4655</v>
      </c>
      <c r="X1699" s="2">
        <v>0</v>
      </c>
      <c r="Y1699">
        <v>20</v>
      </c>
      <c r="Z1699" t="s">
        <v>385</v>
      </c>
      <c r="AA1699" s="3">
        <v>0.41999539732933044</v>
      </c>
      <c r="AB1699" t="s">
        <v>12373</v>
      </c>
      <c r="AC1699" t="s">
        <v>4575</v>
      </c>
      <c r="AD1699" t="s">
        <v>12374</v>
      </c>
      <c r="AE1699" t="s">
        <v>12375</v>
      </c>
      <c r="AF1699" t="s">
        <v>4563</v>
      </c>
      <c r="AG1699" t="s">
        <v>4564</v>
      </c>
      <c r="AH1699">
        <v>89509</v>
      </c>
      <c r="AI1699" t="s">
        <v>12376</v>
      </c>
      <c r="AJ1699" t="s">
        <v>4655</v>
      </c>
      <c r="AK1699" t="s">
        <v>12377</v>
      </c>
      <c r="AL1699" s="13" t="s">
        <v>2255</v>
      </c>
      <c r="AM1699" s="14">
        <v>1</v>
      </c>
      <c r="AN1699" s="15" t="s">
        <v>1119</v>
      </c>
    </row>
    <row r="1700" spans="1:40" x14ac:dyDescent="0.3">
      <c r="A1700" s="10" t="str">
        <f>HYPERLINK("http://www.washoecounty.gov/assessor/cama/?parid=023-611-06&amp;CardNumber=1","023-611-06")</f>
        <v>023-611-06</v>
      </c>
      <c r="B1700" t="s">
        <v>4655</v>
      </c>
      <c r="C1700" t="s">
        <v>12378</v>
      </c>
      <c r="D1700" s="1">
        <v>40197</v>
      </c>
      <c r="E1700" s="2">
        <v>230000</v>
      </c>
      <c r="F1700" t="s">
        <v>4567</v>
      </c>
      <c r="G1700" s="17" t="str">
        <f>HYPERLINK("https://www.washoecounty.gov/assessor/cama/?command=sales&amp;parid=02361106","3840508")</f>
        <v>3840508</v>
      </c>
      <c r="H1700" t="s">
        <v>779</v>
      </c>
      <c r="I1700">
        <v>1984</v>
      </c>
      <c r="J1700">
        <v>1985</v>
      </c>
      <c r="K1700" t="s">
        <v>4554</v>
      </c>
      <c r="L1700" t="s">
        <v>2170</v>
      </c>
      <c r="M1700" s="2">
        <v>1901</v>
      </c>
      <c r="N1700" t="s">
        <v>3147</v>
      </c>
      <c r="O1700">
        <v>3</v>
      </c>
      <c r="P1700">
        <v>2</v>
      </c>
      <c r="Q1700">
        <v>0</v>
      </c>
      <c r="R1700" t="s">
        <v>4557</v>
      </c>
      <c r="S1700" t="s">
        <v>4135</v>
      </c>
      <c r="T1700" t="s">
        <v>4559</v>
      </c>
      <c r="U1700" t="s">
        <v>4560</v>
      </c>
      <c r="V1700" s="2">
        <v>419</v>
      </c>
      <c r="W1700" t="s">
        <v>4655</v>
      </c>
      <c r="X1700" s="2">
        <v>0</v>
      </c>
      <c r="Y1700">
        <v>20</v>
      </c>
      <c r="Z1700" t="s">
        <v>385</v>
      </c>
      <c r="AA1700" s="3">
        <v>0.21000918745994601</v>
      </c>
      <c r="AB1700" t="s">
        <v>12379</v>
      </c>
      <c r="AC1700" t="s">
        <v>4575</v>
      </c>
      <c r="AD1700" t="s">
        <v>12378</v>
      </c>
      <c r="AE1700" t="s">
        <v>4655</v>
      </c>
      <c r="AF1700" t="s">
        <v>4563</v>
      </c>
      <c r="AG1700" t="s">
        <v>4564</v>
      </c>
      <c r="AH1700">
        <v>89509</v>
      </c>
      <c r="AI1700" t="s">
        <v>12380</v>
      </c>
      <c r="AJ1700" t="s">
        <v>4655</v>
      </c>
      <c r="AK1700" t="s">
        <v>12381</v>
      </c>
      <c r="AL1700" s="13" t="s">
        <v>2255</v>
      </c>
      <c r="AM1700">
        <v>1</v>
      </c>
      <c r="AN1700" s="15" t="s">
        <v>1119</v>
      </c>
    </row>
    <row r="1701" spans="1:40" x14ac:dyDescent="0.3">
      <c r="A1701" s="10" t="str">
        <f>HYPERLINK("http://www.washoecounty.gov/assessor/cama/?parid=023-630-26&amp;CardNumber=1","023-630-26")</f>
        <v>023-630-26</v>
      </c>
      <c r="B1701" t="s">
        <v>4655</v>
      </c>
      <c r="C1701" t="s">
        <v>12382</v>
      </c>
      <c r="D1701" s="1">
        <v>40519</v>
      </c>
      <c r="E1701" s="2">
        <v>180000</v>
      </c>
      <c r="F1701" t="s">
        <v>4553</v>
      </c>
      <c r="G1701" s="17" t="str">
        <f>HYPERLINK("https://www.washoecounty.gov/assessor/cama/?command=sales&amp;parid=02363026","3950004")</f>
        <v>3950004</v>
      </c>
      <c r="H1701" t="s">
        <v>779</v>
      </c>
      <c r="I1701">
        <v>1985</v>
      </c>
      <c r="J1701">
        <v>1985</v>
      </c>
      <c r="K1701" t="s">
        <v>4554</v>
      </c>
      <c r="L1701" t="s">
        <v>4555</v>
      </c>
      <c r="M1701" s="2">
        <v>1659</v>
      </c>
      <c r="N1701" t="s">
        <v>3147</v>
      </c>
      <c r="O1701">
        <v>3</v>
      </c>
      <c r="P1701">
        <v>2</v>
      </c>
      <c r="Q1701">
        <v>0</v>
      </c>
      <c r="R1701" t="s">
        <v>4557</v>
      </c>
      <c r="S1701" t="s">
        <v>4135</v>
      </c>
      <c r="T1701" t="s">
        <v>4559</v>
      </c>
      <c r="U1701" t="s">
        <v>4560</v>
      </c>
      <c r="V1701" s="2">
        <v>507</v>
      </c>
      <c r="W1701" t="s">
        <v>4655</v>
      </c>
      <c r="X1701" s="2">
        <v>0</v>
      </c>
      <c r="Y1701">
        <v>20</v>
      </c>
      <c r="Z1701" t="s">
        <v>385</v>
      </c>
      <c r="AA1701" s="3">
        <v>0.169995412230492</v>
      </c>
      <c r="AB1701" t="s">
        <v>5573</v>
      </c>
      <c r="AC1701" t="s">
        <v>4575</v>
      </c>
      <c r="AD1701" t="s">
        <v>12383</v>
      </c>
      <c r="AE1701" t="s">
        <v>12384</v>
      </c>
      <c r="AF1701" t="s">
        <v>4563</v>
      </c>
      <c r="AG1701" t="s">
        <v>4564</v>
      </c>
      <c r="AH1701" t="s">
        <v>2330</v>
      </c>
      <c r="AI1701" t="s">
        <v>12385</v>
      </c>
      <c r="AJ1701" t="s">
        <v>4655</v>
      </c>
      <c r="AK1701" t="s">
        <v>12386</v>
      </c>
      <c r="AL1701" s="13" t="s">
        <v>2255</v>
      </c>
      <c r="AM1701" s="14">
        <v>1</v>
      </c>
      <c r="AN1701" s="15" t="s">
        <v>1119</v>
      </c>
    </row>
    <row r="1702" spans="1:40" x14ac:dyDescent="0.3">
      <c r="A1702" s="10" t="str">
        <f>HYPERLINK("http://www.washoecounty.gov/assessor/cama/?parid=023-630-33&amp;CardNumber=1","023-630-33")</f>
        <v>023-630-33</v>
      </c>
      <c r="B1702" t="s">
        <v>4655</v>
      </c>
      <c r="C1702" t="s">
        <v>12387</v>
      </c>
      <c r="D1702" s="1">
        <v>40256</v>
      </c>
      <c r="E1702" s="2">
        <v>260000</v>
      </c>
      <c r="F1702" t="s">
        <v>4567</v>
      </c>
      <c r="G1702" s="17" t="str">
        <f>HYPERLINK("https://www.washoecounty.gov/assessor/cama/?command=sales&amp;parid=02363033","3861595")</f>
        <v>3861595</v>
      </c>
      <c r="H1702" t="s">
        <v>779</v>
      </c>
      <c r="I1702">
        <v>1985</v>
      </c>
      <c r="J1702">
        <v>1985</v>
      </c>
      <c r="K1702" t="s">
        <v>4554</v>
      </c>
      <c r="L1702" t="s">
        <v>4555</v>
      </c>
      <c r="M1702" s="2">
        <v>1659</v>
      </c>
      <c r="N1702" t="s">
        <v>3147</v>
      </c>
      <c r="O1702">
        <v>3</v>
      </c>
      <c r="P1702">
        <v>2</v>
      </c>
      <c r="Q1702">
        <v>0</v>
      </c>
      <c r="R1702" t="s">
        <v>5281</v>
      </c>
      <c r="S1702" t="s">
        <v>4135</v>
      </c>
      <c r="T1702" t="s">
        <v>4143</v>
      </c>
      <c r="U1702" t="s">
        <v>4560</v>
      </c>
      <c r="V1702" s="2">
        <v>507</v>
      </c>
      <c r="W1702" t="s">
        <v>4655</v>
      </c>
      <c r="X1702" s="2">
        <v>0</v>
      </c>
      <c r="Y1702">
        <v>20</v>
      </c>
      <c r="Z1702" t="s">
        <v>385</v>
      </c>
      <c r="AA1702" s="3">
        <v>0.15000000596046401</v>
      </c>
      <c r="AB1702" t="s">
        <v>12388</v>
      </c>
      <c r="AC1702" t="s">
        <v>4575</v>
      </c>
      <c r="AD1702" t="s">
        <v>12387</v>
      </c>
      <c r="AE1702" t="s">
        <v>4655</v>
      </c>
      <c r="AF1702" t="s">
        <v>4563</v>
      </c>
      <c r="AG1702" t="s">
        <v>4564</v>
      </c>
      <c r="AH1702">
        <v>89509</v>
      </c>
      <c r="AI1702" t="s">
        <v>12389</v>
      </c>
      <c r="AJ1702" t="s">
        <v>4655</v>
      </c>
      <c r="AK1702" t="s">
        <v>12390</v>
      </c>
      <c r="AL1702" s="13" t="s">
        <v>2255</v>
      </c>
      <c r="AM1702">
        <v>1</v>
      </c>
      <c r="AN1702" s="15" t="s">
        <v>1119</v>
      </c>
    </row>
    <row r="1703" spans="1:40" x14ac:dyDescent="0.3">
      <c r="A1703" s="10" t="str">
        <f>HYPERLINK("http://www.washoecounty.gov/assessor/cama/?parid=023-630-35&amp;CardNumber=1","023-630-35")</f>
        <v>023-630-35</v>
      </c>
      <c r="B1703" t="s">
        <v>4655</v>
      </c>
      <c r="C1703" t="s">
        <v>12391</v>
      </c>
      <c r="D1703" s="1">
        <v>40434</v>
      </c>
      <c r="E1703" s="2">
        <v>260000</v>
      </c>
      <c r="F1703" t="s">
        <v>4567</v>
      </c>
      <c r="G1703" s="17" t="str">
        <f>HYPERLINK("https://www.washoecounty.gov/assessor/cama/?command=sales&amp;parid=02363035","3921789")</f>
        <v>3921789</v>
      </c>
      <c r="H1703" t="s">
        <v>779</v>
      </c>
      <c r="I1703">
        <v>1985</v>
      </c>
      <c r="J1703">
        <v>1985</v>
      </c>
      <c r="K1703" t="s">
        <v>4554</v>
      </c>
      <c r="L1703" t="s">
        <v>3974</v>
      </c>
      <c r="M1703" s="2">
        <v>2207</v>
      </c>
      <c r="N1703" t="s">
        <v>3147</v>
      </c>
      <c r="O1703">
        <v>4</v>
      </c>
      <c r="P1703">
        <v>3</v>
      </c>
      <c r="Q1703">
        <v>0</v>
      </c>
      <c r="R1703" t="s">
        <v>5281</v>
      </c>
      <c r="S1703" t="s">
        <v>4135</v>
      </c>
      <c r="T1703" t="s">
        <v>4143</v>
      </c>
      <c r="U1703" t="s">
        <v>4560</v>
      </c>
      <c r="V1703" s="2">
        <v>400</v>
      </c>
      <c r="W1703" t="s">
        <v>4655</v>
      </c>
      <c r="X1703" s="2">
        <v>0</v>
      </c>
      <c r="Y1703">
        <v>20</v>
      </c>
      <c r="Z1703" t="s">
        <v>385</v>
      </c>
      <c r="AA1703" s="3">
        <v>0.20000000298023199</v>
      </c>
      <c r="AB1703" t="s">
        <v>12392</v>
      </c>
      <c r="AC1703" t="s">
        <v>4562</v>
      </c>
      <c r="AD1703" t="s">
        <v>12391</v>
      </c>
      <c r="AE1703" t="s">
        <v>4655</v>
      </c>
      <c r="AF1703" t="s">
        <v>4563</v>
      </c>
      <c r="AG1703" t="s">
        <v>4564</v>
      </c>
      <c r="AH1703">
        <v>89509</v>
      </c>
      <c r="AI1703" t="s">
        <v>12393</v>
      </c>
      <c r="AJ1703" t="s">
        <v>4655</v>
      </c>
      <c r="AK1703" t="s">
        <v>12394</v>
      </c>
      <c r="AL1703" s="13" t="s">
        <v>2255</v>
      </c>
      <c r="AM1703">
        <v>1</v>
      </c>
      <c r="AN1703" s="15" t="s">
        <v>1119</v>
      </c>
    </row>
    <row r="1704" spans="1:40" x14ac:dyDescent="0.3">
      <c r="A1704" s="10" t="str">
        <f>HYPERLINK("http://www.washoecounty.gov/assessor/cama/?parid=023-630-40&amp;CardNumber=1","023-630-40")</f>
        <v>023-630-40</v>
      </c>
      <c r="B1704" t="s">
        <v>4655</v>
      </c>
      <c r="C1704" t="s">
        <v>12395</v>
      </c>
      <c r="D1704" s="1">
        <v>40401</v>
      </c>
      <c r="E1704" s="2">
        <v>230000</v>
      </c>
      <c r="F1704" t="s">
        <v>4567</v>
      </c>
      <c r="G1704" s="17" t="str">
        <f>HYPERLINK("https://www.washoecounty.gov/assessor/cama/?command=sales&amp;parid=02363040","3910852")</f>
        <v>3910852</v>
      </c>
      <c r="H1704" t="s">
        <v>779</v>
      </c>
      <c r="I1704">
        <v>1985</v>
      </c>
      <c r="J1704">
        <v>1985</v>
      </c>
      <c r="K1704" t="s">
        <v>4554</v>
      </c>
      <c r="L1704" t="s">
        <v>4555</v>
      </c>
      <c r="M1704" s="2">
        <v>1659</v>
      </c>
      <c r="N1704" t="s">
        <v>3147</v>
      </c>
      <c r="O1704">
        <v>3</v>
      </c>
      <c r="P1704">
        <v>2</v>
      </c>
      <c r="Q1704">
        <v>0</v>
      </c>
      <c r="R1704" t="s">
        <v>5281</v>
      </c>
      <c r="S1704" t="s">
        <v>4135</v>
      </c>
      <c r="T1704" t="s">
        <v>4143</v>
      </c>
      <c r="U1704" t="s">
        <v>4560</v>
      </c>
      <c r="V1704" s="2">
        <v>507</v>
      </c>
      <c r="W1704" t="s">
        <v>4655</v>
      </c>
      <c r="X1704" s="2">
        <v>0</v>
      </c>
      <c r="Y1704">
        <v>20</v>
      </c>
      <c r="Z1704" t="s">
        <v>385</v>
      </c>
      <c r="AA1704" s="3">
        <v>0.21999540925025901</v>
      </c>
      <c r="AB1704" t="s">
        <v>12396</v>
      </c>
      <c r="AC1704" t="s">
        <v>4562</v>
      </c>
      <c r="AD1704" t="s">
        <v>12395</v>
      </c>
      <c r="AE1704" t="s">
        <v>4655</v>
      </c>
      <c r="AF1704" t="s">
        <v>4563</v>
      </c>
      <c r="AG1704" t="s">
        <v>4564</v>
      </c>
      <c r="AH1704">
        <v>89509</v>
      </c>
      <c r="AI1704" t="s">
        <v>12397</v>
      </c>
      <c r="AJ1704" t="s">
        <v>4655</v>
      </c>
      <c r="AK1704" t="s">
        <v>12398</v>
      </c>
      <c r="AL1704" s="13" t="s">
        <v>2255</v>
      </c>
      <c r="AM1704">
        <v>1</v>
      </c>
      <c r="AN1704" s="15" t="s">
        <v>1119</v>
      </c>
    </row>
    <row r="1705" spans="1:40" x14ac:dyDescent="0.3">
      <c r="A1705" s="10" t="str">
        <f>HYPERLINK("http://www.washoecounty.gov/assessor/cama/?parid=023-630-58&amp;CardNumber=1","023-630-58")</f>
        <v>023-630-58</v>
      </c>
      <c r="B1705" t="s">
        <v>4655</v>
      </c>
      <c r="C1705" t="s">
        <v>12399</v>
      </c>
      <c r="D1705" s="1">
        <v>40340</v>
      </c>
      <c r="E1705" s="2">
        <v>220000</v>
      </c>
      <c r="F1705" t="s">
        <v>4567</v>
      </c>
      <c r="G1705" s="17" t="str">
        <f>HYPERLINK("https://www.washoecounty.gov/assessor/cama/?command=sales&amp;parid=02363058","3891054")</f>
        <v>3891054</v>
      </c>
      <c r="H1705" t="s">
        <v>779</v>
      </c>
      <c r="I1705">
        <v>1989</v>
      </c>
      <c r="J1705">
        <v>1989</v>
      </c>
      <c r="K1705" t="s">
        <v>4554</v>
      </c>
      <c r="L1705" t="s">
        <v>4555</v>
      </c>
      <c r="M1705" s="2">
        <v>1482</v>
      </c>
      <c r="N1705" t="s">
        <v>3147</v>
      </c>
      <c r="O1705">
        <v>3</v>
      </c>
      <c r="P1705">
        <v>2</v>
      </c>
      <c r="Q1705">
        <v>0</v>
      </c>
      <c r="R1705" t="s">
        <v>4557</v>
      </c>
      <c r="S1705" t="s">
        <v>4135</v>
      </c>
      <c r="T1705" t="s">
        <v>4143</v>
      </c>
      <c r="U1705" t="s">
        <v>4560</v>
      </c>
      <c r="V1705" s="2">
        <v>431</v>
      </c>
      <c r="W1705" t="s">
        <v>4655</v>
      </c>
      <c r="X1705" s="2">
        <v>0</v>
      </c>
      <c r="Y1705">
        <v>20</v>
      </c>
      <c r="Z1705" t="s">
        <v>385</v>
      </c>
      <c r="AA1705" s="3">
        <v>0.15399448573589325</v>
      </c>
      <c r="AB1705" t="s">
        <v>12400</v>
      </c>
      <c r="AC1705" t="s">
        <v>4575</v>
      </c>
      <c r="AD1705" t="s">
        <v>12399</v>
      </c>
      <c r="AE1705" t="s">
        <v>4655</v>
      </c>
      <c r="AF1705" t="s">
        <v>4563</v>
      </c>
      <c r="AG1705" t="s">
        <v>4564</v>
      </c>
      <c r="AH1705">
        <v>89509</v>
      </c>
      <c r="AI1705" t="s">
        <v>12401</v>
      </c>
      <c r="AJ1705" t="s">
        <v>4655</v>
      </c>
      <c r="AK1705" t="s">
        <v>12402</v>
      </c>
      <c r="AL1705" s="13" t="s">
        <v>2255</v>
      </c>
      <c r="AM1705" s="14">
        <v>1</v>
      </c>
      <c r="AN1705" s="15" t="s">
        <v>1119</v>
      </c>
    </row>
    <row r="1706" spans="1:40" x14ac:dyDescent="0.3">
      <c r="A1706" s="10" t="str">
        <f>HYPERLINK("http://www.washoecounty.gov/assessor/cama/?parid=023-652-10&amp;CardNumber=1","023-652-10")</f>
        <v>023-652-10</v>
      </c>
      <c r="B1706" t="s">
        <v>4655</v>
      </c>
      <c r="C1706" t="s">
        <v>12403</v>
      </c>
      <c r="D1706" s="1">
        <v>40198</v>
      </c>
      <c r="E1706" s="2">
        <v>335000</v>
      </c>
      <c r="F1706" t="s">
        <v>4553</v>
      </c>
      <c r="G1706" s="17" t="str">
        <f>HYPERLINK("https://www.washoecounty.gov/assessor/cama/?command=sales&amp;parid=02365210","3841103")</f>
        <v>3841103</v>
      </c>
      <c r="H1706" t="s">
        <v>1120</v>
      </c>
      <c r="I1706">
        <v>1992</v>
      </c>
      <c r="J1706">
        <v>1992</v>
      </c>
      <c r="K1706" t="s">
        <v>1391</v>
      </c>
      <c r="L1706" t="s">
        <v>4555</v>
      </c>
      <c r="M1706" s="2">
        <v>2939</v>
      </c>
      <c r="N1706" t="s">
        <v>2008</v>
      </c>
      <c r="O1706">
        <v>5</v>
      </c>
      <c r="P1706">
        <v>4</v>
      </c>
      <c r="Q1706">
        <v>1</v>
      </c>
      <c r="R1706" t="s">
        <v>5281</v>
      </c>
      <c r="S1706" t="s">
        <v>4682</v>
      </c>
      <c r="T1706" t="s">
        <v>2704</v>
      </c>
      <c r="U1706" t="s">
        <v>4560</v>
      </c>
      <c r="V1706" s="2">
        <v>838</v>
      </c>
      <c r="W1706" t="s">
        <v>3201</v>
      </c>
      <c r="X1706" s="2">
        <v>2469</v>
      </c>
      <c r="Y1706">
        <v>20</v>
      </c>
      <c r="Z1706" t="s">
        <v>5282</v>
      </c>
      <c r="AA1706" s="3">
        <v>0.36900827288627602</v>
      </c>
      <c r="AB1706" t="s">
        <v>12404</v>
      </c>
      <c r="AC1706" t="s">
        <v>4562</v>
      </c>
      <c r="AD1706" t="s">
        <v>12403</v>
      </c>
      <c r="AE1706" t="s">
        <v>4655</v>
      </c>
      <c r="AF1706" t="s">
        <v>4563</v>
      </c>
      <c r="AG1706" t="s">
        <v>4564</v>
      </c>
      <c r="AH1706">
        <v>89509</v>
      </c>
      <c r="AI1706" t="s">
        <v>2009</v>
      </c>
      <c r="AJ1706" t="s">
        <v>4655</v>
      </c>
      <c r="AK1706" t="s">
        <v>12405</v>
      </c>
      <c r="AL1706" s="13" t="s">
        <v>2255</v>
      </c>
      <c r="AM1706" s="14">
        <v>1</v>
      </c>
      <c r="AN1706" s="15" t="s">
        <v>2010</v>
      </c>
    </row>
    <row r="1707" spans="1:40" x14ac:dyDescent="0.3">
      <c r="A1707" s="10" t="str">
        <f>HYPERLINK("http://www.washoecounty.gov/assessor/cama/?parid=023-661-17&amp;CardNumber=1","023-661-17")</f>
        <v>023-661-17</v>
      </c>
      <c r="B1707" t="s">
        <v>4655</v>
      </c>
      <c r="C1707" t="s">
        <v>12406</v>
      </c>
      <c r="D1707" s="1">
        <v>40368</v>
      </c>
      <c r="E1707" s="2">
        <v>420000</v>
      </c>
      <c r="F1707" t="s">
        <v>4567</v>
      </c>
      <c r="G1707" s="17" t="str">
        <f>HYPERLINK("https://www.washoecounty.gov/assessor/cama/?command=sales&amp;parid=02366117","3900003")</f>
        <v>3900003</v>
      </c>
      <c r="H1707" t="s">
        <v>1120</v>
      </c>
      <c r="I1707">
        <v>2002</v>
      </c>
      <c r="J1707">
        <v>2002</v>
      </c>
      <c r="K1707" t="s">
        <v>4554</v>
      </c>
      <c r="L1707" t="s">
        <v>3974</v>
      </c>
      <c r="M1707" s="2">
        <v>3348</v>
      </c>
      <c r="N1707" t="s">
        <v>5106</v>
      </c>
      <c r="O1707">
        <v>3</v>
      </c>
      <c r="P1707">
        <v>3</v>
      </c>
      <c r="Q1707">
        <v>0</v>
      </c>
      <c r="R1707" t="s">
        <v>5281</v>
      </c>
      <c r="S1707" t="s">
        <v>4898</v>
      </c>
      <c r="T1707" t="s">
        <v>2704</v>
      </c>
      <c r="U1707" t="s">
        <v>4655</v>
      </c>
      <c r="V1707" s="2">
        <v>0</v>
      </c>
      <c r="W1707" t="s">
        <v>4571</v>
      </c>
      <c r="X1707" s="2">
        <v>1830</v>
      </c>
      <c r="Y1707">
        <v>20</v>
      </c>
      <c r="Z1707" t="s">
        <v>5282</v>
      </c>
      <c r="AA1707" s="3">
        <v>0.362006425857544</v>
      </c>
      <c r="AB1707" t="s">
        <v>12407</v>
      </c>
      <c r="AC1707" t="s">
        <v>4562</v>
      </c>
      <c r="AD1707" t="s">
        <v>12408</v>
      </c>
      <c r="AE1707" t="s">
        <v>4655</v>
      </c>
      <c r="AF1707" t="s">
        <v>4563</v>
      </c>
      <c r="AG1707" t="s">
        <v>4564</v>
      </c>
      <c r="AH1707">
        <v>89509</v>
      </c>
      <c r="AI1707" t="s">
        <v>4655</v>
      </c>
      <c r="AJ1707" t="s">
        <v>4655</v>
      </c>
      <c r="AK1707" t="s">
        <v>12409</v>
      </c>
      <c r="AL1707" s="13" t="s">
        <v>2255</v>
      </c>
      <c r="AM1707">
        <v>1</v>
      </c>
      <c r="AN1707" s="15" t="s">
        <v>2010</v>
      </c>
    </row>
    <row r="1708" spans="1:40" x14ac:dyDescent="0.3">
      <c r="A1708" s="10" t="str">
        <f>HYPERLINK("http://www.washoecounty.gov/assessor/cama/?parid=023-662-37&amp;CardNumber=1","023-662-37")</f>
        <v>023-662-37</v>
      </c>
      <c r="B1708" t="s">
        <v>4655</v>
      </c>
      <c r="C1708" t="s">
        <v>12410</v>
      </c>
      <c r="D1708" s="1">
        <v>40345</v>
      </c>
      <c r="E1708" s="2">
        <v>750000</v>
      </c>
      <c r="F1708" t="s">
        <v>4567</v>
      </c>
      <c r="G1708" s="17" t="str">
        <f>HYPERLINK("https://www.washoecounty.gov/assessor/cama/?command=sales&amp;parid=02366237","3892406")</f>
        <v>3892406</v>
      </c>
      <c r="H1708" t="s">
        <v>12411</v>
      </c>
      <c r="I1708">
        <v>1990</v>
      </c>
      <c r="J1708">
        <v>1990</v>
      </c>
      <c r="K1708" t="s">
        <v>4554</v>
      </c>
      <c r="L1708" t="s">
        <v>4555</v>
      </c>
      <c r="M1708" s="2">
        <v>3034</v>
      </c>
      <c r="N1708" t="s">
        <v>2012</v>
      </c>
      <c r="O1708">
        <v>5</v>
      </c>
      <c r="P1708">
        <v>3</v>
      </c>
      <c r="Q1708">
        <v>1</v>
      </c>
      <c r="R1708" t="s">
        <v>5281</v>
      </c>
      <c r="S1708" t="s">
        <v>4898</v>
      </c>
      <c r="T1708" t="s">
        <v>2704</v>
      </c>
      <c r="U1708" t="s">
        <v>4560</v>
      </c>
      <c r="V1708" s="2">
        <v>788</v>
      </c>
      <c r="W1708" t="s">
        <v>3201</v>
      </c>
      <c r="X1708" s="2">
        <v>1746</v>
      </c>
      <c r="Y1708">
        <v>20</v>
      </c>
      <c r="Z1708" t="s">
        <v>5282</v>
      </c>
      <c r="AA1708" s="3">
        <v>0.73999083042144698</v>
      </c>
      <c r="AB1708" t="s">
        <v>12412</v>
      </c>
      <c r="AC1708" t="s">
        <v>4562</v>
      </c>
      <c r="AD1708" t="s">
        <v>12410</v>
      </c>
      <c r="AE1708" t="s">
        <v>4655</v>
      </c>
      <c r="AF1708" t="s">
        <v>4563</v>
      </c>
      <c r="AG1708" t="s">
        <v>4564</v>
      </c>
      <c r="AH1708">
        <v>89509</v>
      </c>
      <c r="AI1708" t="s">
        <v>12413</v>
      </c>
      <c r="AJ1708" t="s">
        <v>12414</v>
      </c>
      <c r="AK1708" t="s">
        <v>12415</v>
      </c>
      <c r="AL1708" s="13" t="s">
        <v>2255</v>
      </c>
      <c r="AM1708">
        <v>1</v>
      </c>
      <c r="AN1708" s="15" t="s">
        <v>2010</v>
      </c>
    </row>
    <row r="1709" spans="1:40" x14ac:dyDescent="0.3">
      <c r="A1709" s="10" t="str">
        <f>HYPERLINK("http://www.washoecounty.gov/assessor/cama/?parid=023-672-03&amp;CardNumber=1","023-672-03")</f>
        <v>023-672-03</v>
      </c>
      <c r="B1709" t="s">
        <v>4655</v>
      </c>
      <c r="C1709" t="s">
        <v>12416</v>
      </c>
      <c r="D1709" s="1">
        <v>40403</v>
      </c>
      <c r="E1709" s="2">
        <v>159900</v>
      </c>
      <c r="F1709" t="s">
        <v>4553</v>
      </c>
      <c r="G1709" s="17" t="str">
        <f>HYPERLINK("https://www.washoecounty.gov/assessor/cama/?command=sales&amp;parid=02367203","3911513")</f>
        <v>3911513</v>
      </c>
      <c r="H1709" t="s">
        <v>12417</v>
      </c>
      <c r="I1709">
        <v>1985</v>
      </c>
      <c r="J1709">
        <v>1985</v>
      </c>
      <c r="K1709" t="s">
        <v>3144</v>
      </c>
      <c r="L1709" t="s">
        <v>3974</v>
      </c>
      <c r="M1709" s="2">
        <v>1806</v>
      </c>
      <c r="N1709" t="s">
        <v>3147</v>
      </c>
      <c r="O1709">
        <v>2</v>
      </c>
      <c r="P1709">
        <v>2</v>
      </c>
      <c r="Q1709">
        <v>1</v>
      </c>
      <c r="R1709" t="s">
        <v>5281</v>
      </c>
      <c r="S1709" t="s">
        <v>3148</v>
      </c>
      <c r="T1709" t="s">
        <v>2704</v>
      </c>
      <c r="U1709" t="s">
        <v>5631</v>
      </c>
      <c r="V1709" s="2">
        <v>461</v>
      </c>
      <c r="W1709" t="s">
        <v>4655</v>
      </c>
      <c r="X1709" s="2">
        <v>0</v>
      </c>
      <c r="Y1709">
        <v>21</v>
      </c>
      <c r="Z1709" t="s">
        <v>4144</v>
      </c>
      <c r="AA1709" s="3">
        <v>1.00000004749745E-3</v>
      </c>
      <c r="AB1709" t="s">
        <v>12418</v>
      </c>
      <c r="AC1709" t="s">
        <v>4562</v>
      </c>
      <c r="AD1709" t="s">
        <v>12419</v>
      </c>
      <c r="AE1709" t="s">
        <v>4655</v>
      </c>
      <c r="AF1709" t="s">
        <v>4213</v>
      </c>
      <c r="AG1709" t="s">
        <v>4584</v>
      </c>
      <c r="AH1709" t="s">
        <v>39</v>
      </c>
      <c r="AI1709" t="s">
        <v>2351</v>
      </c>
      <c r="AJ1709" t="s">
        <v>12420</v>
      </c>
      <c r="AK1709" t="s">
        <v>12421</v>
      </c>
      <c r="AL1709" s="13" t="s">
        <v>2255</v>
      </c>
      <c r="AM1709" s="14">
        <v>1</v>
      </c>
      <c r="AN1709" s="15" t="s">
        <v>12422</v>
      </c>
    </row>
    <row r="1710" spans="1:40" x14ac:dyDescent="0.3">
      <c r="A1710" s="10" t="str">
        <f>HYPERLINK("http://www.washoecounty.gov/assessor/cama/?parid=023-672-14&amp;CardNumber=1","023-672-14")</f>
        <v>023-672-14</v>
      </c>
      <c r="B1710" t="s">
        <v>4655</v>
      </c>
      <c r="C1710" t="s">
        <v>12416</v>
      </c>
      <c r="D1710" s="1">
        <v>40283</v>
      </c>
      <c r="E1710" s="2">
        <v>185000</v>
      </c>
      <c r="F1710" t="s">
        <v>4553</v>
      </c>
      <c r="G1710" s="17" t="str">
        <f>HYPERLINK("https://www.washoecounty.gov/assessor/cama/?command=sales&amp;parid=02367214","3871114")</f>
        <v>3871114</v>
      </c>
      <c r="H1710" t="s">
        <v>12417</v>
      </c>
      <c r="I1710">
        <v>1985</v>
      </c>
      <c r="J1710">
        <v>1985</v>
      </c>
      <c r="K1710" t="s">
        <v>4897</v>
      </c>
      <c r="L1710" t="s">
        <v>3974</v>
      </c>
      <c r="M1710" s="2">
        <v>1939</v>
      </c>
      <c r="N1710" t="s">
        <v>3147</v>
      </c>
      <c r="O1710">
        <v>2</v>
      </c>
      <c r="P1710">
        <v>2</v>
      </c>
      <c r="Q1710">
        <v>1</v>
      </c>
      <c r="R1710" t="s">
        <v>5281</v>
      </c>
      <c r="S1710" t="s">
        <v>3148</v>
      </c>
      <c r="T1710" t="s">
        <v>2704</v>
      </c>
      <c r="U1710" t="s">
        <v>5631</v>
      </c>
      <c r="V1710" s="2">
        <v>461</v>
      </c>
      <c r="W1710" t="s">
        <v>4655</v>
      </c>
      <c r="X1710" s="2">
        <v>0</v>
      </c>
      <c r="Y1710">
        <v>21</v>
      </c>
      <c r="Z1710" t="s">
        <v>4144</v>
      </c>
      <c r="AA1710" s="3">
        <v>1.00000004749745E-3</v>
      </c>
      <c r="AB1710" t="s">
        <v>12423</v>
      </c>
      <c r="AC1710" t="s">
        <v>4562</v>
      </c>
      <c r="AD1710" t="s">
        <v>12424</v>
      </c>
      <c r="AE1710" t="s">
        <v>4655</v>
      </c>
      <c r="AF1710" t="s">
        <v>4563</v>
      </c>
      <c r="AG1710" t="s">
        <v>4564</v>
      </c>
      <c r="AH1710">
        <v>89509</v>
      </c>
      <c r="AI1710" t="s">
        <v>12425</v>
      </c>
      <c r="AJ1710" t="s">
        <v>12426</v>
      </c>
      <c r="AK1710" t="s">
        <v>12427</v>
      </c>
      <c r="AL1710" s="13" t="s">
        <v>2255</v>
      </c>
      <c r="AM1710">
        <v>1</v>
      </c>
      <c r="AN1710" s="15" t="s">
        <v>12422</v>
      </c>
    </row>
    <row r="1711" spans="1:40" x14ac:dyDescent="0.3">
      <c r="A1711" s="10" t="str">
        <f>HYPERLINK("http://www.washoecounty.gov/assessor/cama/?parid=023-692-01&amp;CardNumber=1","023-692-01")</f>
        <v>023-692-01</v>
      </c>
      <c r="B1711" t="s">
        <v>4655</v>
      </c>
      <c r="C1711" t="s">
        <v>12428</v>
      </c>
      <c r="D1711" s="1">
        <v>40296</v>
      </c>
      <c r="E1711" s="2">
        <v>625000</v>
      </c>
      <c r="F1711" t="s">
        <v>4567</v>
      </c>
      <c r="G1711" s="17" t="str">
        <f>HYPERLINK("https://www.washoecounty.gov/assessor/cama/?command=sales&amp;parid=02369201","3875453")</f>
        <v>3875453</v>
      </c>
      <c r="H1711" t="s">
        <v>12429</v>
      </c>
      <c r="I1711">
        <v>2003</v>
      </c>
      <c r="J1711">
        <v>2003</v>
      </c>
      <c r="K1711" t="s">
        <v>4554</v>
      </c>
      <c r="L1711" t="s">
        <v>3886</v>
      </c>
      <c r="M1711" s="2">
        <v>4825</v>
      </c>
      <c r="N1711" t="s">
        <v>2012</v>
      </c>
      <c r="O1711">
        <v>5</v>
      </c>
      <c r="P1711">
        <v>4</v>
      </c>
      <c r="Q1711">
        <v>1</v>
      </c>
      <c r="R1711" t="s">
        <v>5281</v>
      </c>
      <c r="S1711" t="s">
        <v>4898</v>
      </c>
      <c r="T1711" t="s">
        <v>2704</v>
      </c>
      <c r="U1711" t="s">
        <v>5631</v>
      </c>
      <c r="V1711" s="2">
        <v>1095</v>
      </c>
      <c r="W1711" t="s">
        <v>4655</v>
      </c>
      <c r="X1711" s="2">
        <v>0</v>
      </c>
      <c r="Y1711">
        <v>20</v>
      </c>
      <c r="Z1711" t="s">
        <v>5282</v>
      </c>
      <c r="AA1711" s="3">
        <v>0.3519972562789917</v>
      </c>
      <c r="AB1711" t="s">
        <v>12430</v>
      </c>
      <c r="AC1711" t="s">
        <v>4575</v>
      </c>
      <c r="AD1711" t="s">
        <v>12428</v>
      </c>
      <c r="AE1711" t="s">
        <v>4655</v>
      </c>
      <c r="AF1711" t="s">
        <v>4563</v>
      </c>
      <c r="AG1711" t="s">
        <v>4564</v>
      </c>
      <c r="AH1711">
        <v>89509</v>
      </c>
      <c r="AI1711" t="s">
        <v>12431</v>
      </c>
      <c r="AJ1711" t="s">
        <v>4655</v>
      </c>
      <c r="AK1711" t="s">
        <v>12432</v>
      </c>
      <c r="AL1711" s="13" t="s">
        <v>2255</v>
      </c>
      <c r="AM1711">
        <v>1</v>
      </c>
      <c r="AN1711" s="15" t="s">
        <v>2013</v>
      </c>
    </row>
    <row r="1712" spans="1:40" x14ac:dyDescent="0.3">
      <c r="A1712" s="10" t="str">
        <f>HYPERLINK("http://www.washoecounty.gov/assessor/cama/?parid=023-692-12&amp;CardNumber=1","023-692-12")</f>
        <v>023-692-12</v>
      </c>
      <c r="B1712" t="s">
        <v>4655</v>
      </c>
      <c r="C1712" t="s">
        <v>12433</v>
      </c>
      <c r="D1712" s="1">
        <v>40406</v>
      </c>
      <c r="E1712" s="2">
        <v>650000</v>
      </c>
      <c r="F1712" t="s">
        <v>4567</v>
      </c>
      <c r="G1712" s="17" t="str">
        <f>HYPERLINK("https://www.washoecounty.gov/assessor/cama/?command=sales&amp;parid=02369212","3912093")</f>
        <v>3912093</v>
      </c>
      <c r="H1712" t="s">
        <v>2879</v>
      </c>
      <c r="I1712">
        <v>2003</v>
      </c>
      <c r="J1712">
        <v>2003</v>
      </c>
      <c r="K1712" t="s">
        <v>4554</v>
      </c>
      <c r="L1712" t="s">
        <v>3974</v>
      </c>
      <c r="M1712" s="2">
        <v>4503</v>
      </c>
      <c r="N1712" t="s">
        <v>2012</v>
      </c>
      <c r="O1712">
        <v>4</v>
      </c>
      <c r="P1712">
        <v>3</v>
      </c>
      <c r="Q1712">
        <v>1</v>
      </c>
      <c r="R1712" t="s">
        <v>5281</v>
      </c>
      <c r="S1712" t="s">
        <v>4898</v>
      </c>
      <c r="T1712" t="s">
        <v>2704</v>
      </c>
      <c r="U1712" t="s">
        <v>5631</v>
      </c>
      <c r="V1712" s="2">
        <v>1109</v>
      </c>
      <c r="W1712" t="s">
        <v>4655</v>
      </c>
      <c r="X1712" s="2">
        <v>0</v>
      </c>
      <c r="Y1712">
        <v>20</v>
      </c>
      <c r="Z1712" t="s">
        <v>5282</v>
      </c>
      <c r="AA1712" s="3">
        <v>0.34898990392684898</v>
      </c>
      <c r="AB1712" t="s">
        <v>12434</v>
      </c>
      <c r="AC1712" t="s">
        <v>4562</v>
      </c>
      <c r="AD1712" t="s">
        <v>12435</v>
      </c>
      <c r="AE1712" t="s">
        <v>4655</v>
      </c>
      <c r="AF1712" t="s">
        <v>4563</v>
      </c>
      <c r="AG1712" t="s">
        <v>4564</v>
      </c>
      <c r="AH1712">
        <v>89509</v>
      </c>
      <c r="AI1712" t="s">
        <v>4655</v>
      </c>
      <c r="AJ1712" t="s">
        <v>4655</v>
      </c>
      <c r="AK1712" t="s">
        <v>12436</v>
      </c>
      <c r="AL1712" s="13" t="s">
        <v>2255</v>
      </c>
      <c r="AM1712" s="14">
        <v>1</v>
      </c>
      <c r="AN1712" s="15" t="s">
        <v>2013</v>
      </c>
    </row>
    <row r="1713" spans="1:40" x14ac:dyDescent="0.3">
      <c r="A1713" s="10" t="str">
        <f>HYPERLINK("http://www.washoecounty.gov/assessor/cama/?parid=023-702-03&amp;CardNumber=1","023-702-03")</f>
        <v>023-702-03</v>
      </c>
      <c r="B1713" t="s">
        <v>4655</v>
      </c>
      <c r="C1713" t="s">
        <v>2011</v>
      </c>
      <c r="D1713" s="1">
        <v>40220</v>
      </c>
      <c r="E1713" s="2">
        <v>625000</v>
      </c>
      <c r="F1713" t="s">
        <v>4567</v>
      </c>
      <c r="G1713" s="17" t="str">
        <f>HYPERLINK("https://www.washoecounty.gov/assessor/cama/?command=sales&amp;parid=02370203","3848134")</f>
        <v>3848134</v>
      </c>
      <c r="H1713" t="s">
        <v>12437</v>
      </c>
      <c r="I1713">
        <v>1993</v>
      </c>
      <c r="J1713">
        <v>1993</v>
      </c>
      <c r="K1713" t="s">
        <v>4554</v>
      </c>
      <c r="L1713" t="s">
        <v>3886</v>
      </c>
      <c r="M1713" s="2">
        <v>2681</v>
      </c>
      <c r="N1713" t="s">
        <v>2012</v>
      </c>
      <c r="O1713">
        <v>4</v>
      </c>
      <c r="P1713">
        <v>3</v>
      </c>
      <c r="Q1713">
        <v>1</v>
      </c>
      <c r="R1713" t="s">
        <v>4557</v>
      </c>
      <c r="S1713" t="s">
        <v>4898</v>
      </c>
      <c r="T1713" t="s">
        <v>2704</v>
      </c>
      <c r="U1713" t="s">
        <v>4560</v>
      </c>
      <c r="V1713" s="2">
        <v>808</v>
      </c>
      <c r="W1713" t="s">
        <v>3201</v>
      </c>
      <c r="X1713" s="2">
        <v>1014</v>
      </c>
      <c r="Y1713">
        <v>20</v>
      </c>
      <c r="Z1713" t="s">
        <v>5282</v>
      </c>
      <c r="AA1713" s="3">
        <v>0.34699264168739319</v>
      </c>
      <c r="AB1713" t="s">
        <v>12438</v>
      </c>
      <c r="AC1713" t="s">
        <v>4575</v>
      </c>
      <c r="AD1713" t="s">
        <v>2011</v>
      </c>
      <c r="AE1713" t="s">
        <v>4655</v>
      </c>
      <c r="AF1713" t="s">
        <v>4563</v>
      </c>
      <c r="AG1713" t="s">
        <v>4564</v>
      </c>
      <c r="AH1713">
        <v>89509</v>
      </c>
      <c r="AI1713" t="s">
        <v>12439</v>
      </c>
      <c r="AJ1713" t="s">
        <v>4655</v>
      </c>
      <c r="AK1713" t="s">
        <v>12440</v>
      </c>
      <c r="AL1713" s="13" t="s">
        <v>2255</v>
      </c>
      <c r="AM1713">
        <v>1</v>
      </c>
      <c r="AN1713" s="15" t="s">
        <v>2013</v>
      </c>
    </row>
    <row r="1714" spans="1:40" x14ac:dyDescent="0.3">
      <c r="A1714" s="10" t="str">
        <f>HYPERLINK("http://www.washoecounty.gov/assessor/cama/?parid=023-760-01&amp;CardNumber=1","023-760-01")</f>
        <v>023-760-01</v>
      </c>
      <c r="B1714" t="s">
        <v>4655</v>
      </c>
      <c r="C1714" t="s">
        <v>12441</v>
      </c>
      <c r="D1714" s="1">
        <v>40451</v>
      </c>
      <c r="E1714" s="2">
        <v>691500</v>
      </c>
      <c r="F1714" t="s">
        <v>4187</v>
      </c>
      <c r="G1714" s="17" t="str">
        <f>HYPERLINK("https://www.washoecounty.gov/assessor/cama/?command=sales&amp;parid=02376001","3927984")</f>
        <v>3927984</v>
      </c>
      <c r="H1714" t="s">
        <v>12442</v>
      </c>
      <c r="I1714">
        <v>2005</v>
      </c>
      <c r="J1714">
        <v>2005</v>
      </c>
      <c r="K1714" t="s">
        <v>3919</v>
      </c>
      <c r="L1714" t="s">
        <v>1366</v>
      </c>
      <c r="M1714" s="2">
        <v>3368</v>
      </c>
      <c r="N1714" t="s">
        <v>4580</v>
      </c>
      <c r="O1714">
        <v>0</v>
      </c>
      <c r="P1714">
        <v>0</v>
      </c>
      <c r="Q1714">
        <v>0</v>
      </c>
      <c r="R1714" t="s">
        <v>1395</v>
      </c>
      <c r="S1714" t="s">
        <v>1819</v>
      </c>
      <c r="T1714" t="s">
        <v>4655</v>
      </c>
      <c r="U1714" t="s">
        <v>4655</v>
      </c>
      <c r="V1714" s="2">
        <v>0</v>
      </c>
      <c r="W1714" t="s">
        <v>4655</v>
      </c>
      <c r="X1714" s="2">
        <v>0</v>
      </c>
      <c r="Y1714">
        <v>41</v>
      </c>
      <c r="Z1714" t="s">
        <v>3098</v>
      </c>
      <c r="AA1714" s="3">
        <v>7.4494950473308605E-2</v>
      </c>
      <c r="AB1714" t="s">
        <v>12443</v>
      </c>
      <c r="AC1714" t="s">
        <v>4562</v>
      </c>
      <c r="AD1714" t="s">
        <v>12444</v>
      </c>
      <c r="AE1714" t="s">
        <v>4655</v>
      </c>
      <c r="AF1714" t="s">
        <v>4563</v>
      </c>
      <c r="AG1714" t="s">
        <v>4564</v>
      </c>
      <c r="AH1714">
        <v>89505</v>
      </c>
      <c r="AI1714" t="s">
        <v>12445</v>
      </c>
      <c r="AJ1714" t="s">
        <v>12446</v>
      </c>
      <c r="AK1714" t="s">
        <v>12447</v>
      </c>
      <c r="AL1714" s="13" t="s">
        <v>2257</v>
      </c>
      <c r="AM1714" s="14">
        <v>1</v>
      </c>
      <c r="AN1714" s="15" t="s">
        <v>3562</v>
      </c>
    </row>
    <row r="1715" spans="1:40" x14ac:dyDescent="0.3">
      <c r="A1715" s="10" t="str">
        <f>HYPERLINK("http://www.washoecounty.gov/assessor/cama/?parid=024-061-05&amp;CardNumber=1","024-061-05")</f>
        <v>024-061-05</v>
      </c>
      <c r="B1715" t="s">
        <v>4655</v>
      </c>
      <c r="C1715" t="s">
        <v>12448</v>
      </c>
      <c r="D1715" s="1">
        <v>40476</v>
      </c>
      <c r="E1715" s="2">
        <v>219000</v>
      </c>
      <c r="F1715" t="s">
        <v>4567</v>
      </c>
      <c r="G1715" s="17" t="str">
        <f>HYPERLINK("https://www.washoecounty.gov/assessor/cama/?command=sales&amp;parid=02406105","3936053")</f>
        <v>3936053</v>
      </c>
      <c r="H1715" t="s">
        <v>50</v>
      </c>
      <c r="I1715">
        <v>1965</v>
      </c>
      <c r="J1715">
        <v>1965</v>
      </c>
      <c r="K1715" t="s">
        <v>4554</v>
      </c>
      <c r="L1715" t="s">
        <v>4555</v>
      </c>
      <c r="M1715" s="2">
        <v>1858</v>
      </c>
      <c r="N1715" t="s">
        <v>4048</v>
      </c>
      <c r="O1715">
        <v>3</v>
      </c>
      <c r="P1715">
        <v>2</v>
      </c>
      <c r="Q1715">
        <v>0</v>
      </c>
      <c r="R1715" t="s">
        <v>4557</v>
      </c>
      <c r="S1715" t="s">
        <v>4682</v>
      </c>
      <c r="T1715" t="s">
        <v>4559</v>
      </c>
      <c r="U1715" t="s">
        <v>4560</v>
      </c>
      <c r="V1715" s="2">
        <v>600</v>
      </c>
      <c r="W1715" t="s">
        <v>4655</v>
      </c>
      <c r="X1715" s="2">
        <v>0</v>
      </c>
      <c r="Y1715">
        <v>20</v>
      </c>
      <c r="Z1715" t="s">
        <v>385</v>
      </c>
      <c r="AA1715" s="3">
        <v>0.28399908542633101</v>
      </c>
      <c r="AB1715" t="s">
        <v>12449</v>
      </c>
      <c r="AC1715" t="s">
        <v>4562</v>
      </c>
      <c r="AD1715" t="s">
        <v>12448</v>
      </c>
      <c r="AE1715" t="s">
        <v>4655</v>
      </c>
      <c r="AF1715" t="s">
        <v>4563</v>
      </c>
      <c r="AG1715" t="s">
        <v>4564</v>
      </c>
      <c r="AH1715">
        <v>89509</v>
      </c>
      <c r="AI1715" t="s">
        <v>12450</v>
      </c>
      <c r="AJ1715" t="s">
        <v>4655</v>
      </c>
      <c r="AK1715" t="s">
        <v>12451</v>
      </c>
      <c r="AL1715" s="13" t="s">
        <v>2257</v>
      </c>
      <c r="AM1715">
        <v>1</v>
      </c>
      <c r="AN1715" s="15" t="s">
        <v>1525</v>
      </c>
    </row>
    <row r="1716" spans="1:40" x14ac:dyDescent="0.3">
      <c r="A1716" s="10" t="str">
        <f>HYPERLINK("http://www.washoecounty.gov/assessor/cama/?parid=024-072-04&amp;CardNumber=1","024-072-04")</f>
        <v>024-072-04</v>
      </c>
      <c r="B1716" t="s">
        <v>4655</v>
      </c>
      <c r="C1716" t="s">
        <v>12452</v>
      </c>
      <c r="D1716" s="1">
        <v>40421</v>
      </c>
      <c r="E1716" s="2">
        <v>350000</v>
      </c>
      <c r="F1716" t="s">
        <v>4567</v>
      </c>
      <c r="G1716" s="17" t="str">
        <f>HYPERLINK("https://www.washoecounty.gov/assessor/cama/?command=sales&amp;parid=02407204","3917360")</f>
        <v>3917360</v>
      </c>
      <c r="H1716" t="s">
        <v>1649</v>
      </c>
      <c r="I1716">
        <v>1966</v>
      </c>
      <c r="J1716">
        <v>1994</v>
      </c>
      <c r="K1716" t="s">
        <v>4554</v>
      </c>
      <c r="L1716" t="s">
        <v>4555</v>
      </c>
      <c r="M1716" s="2">
        <v>2390</v>
      </c>
      <c r="N1716" t="s">
        <v>5280</v>
      </c>
      <c r="O1716">
        <v>4</v>
      </c>
      <c r="P1716">
        <v>3</v>
      </c>
      <c r="Q1716">
        <v>0</v>
      </c>
      <c r="R1716" t="s">
        <v>5281</v>
      </c>
      <c r="S1716" t="s">
        <v>4898</v>
      </c>
      <c r="T1716" t="s">
        <v>4559</v>
      </c>
      <c r="U1716" t="s">
        <v>4560</v>
      </c>
      <c r="V1716" s="2">
        <v>920</v>
      </c>
      <c r="W1716" t="s">
        <v>4655</v>
      </c>
      <c r="X1716" s="2">
        <v>0</v>
      </c>
      <c r="Y1716">
        <v>20</v>
      </c>
      <c r="Z1716" t="s">
        <v>385</v>
      </c>
      <c r="AA1716" s="3">
        <v>0.27500000596046398</v>
      </c>
      <c r="AB1716" t="s">
        <v>12453</v>
      </c>
      <c r="AC1716" t="s">
        <v>4562</v>
      </c>
      <c r="AD1716" t="s">
        <v>12452</v>
      </c>
      <c r="AE1716" t="s">
        <v>4655</v>
      </c>
      <c r="AF1716" t="s">
        <v>4563</v>
      </c>
      <c r="AG1716" t="s">
        <v>4564</v>
      </c>
      <c r="AH1716">
        <v>89509</v>
      </c>
      <c r="AI1716" t="s">
        <v>4655</v>
      </c>
      <c r="AJ1716" t="s">
        <v>4655</v>
      </c>
      <c r="AK1716" t="s">
        <v>12454</v>
      </c>
      <c r="AL1716" s="13" t="s">
        <v>2257</v>
      </c>
      <c r="AM1716">
        <v>1</v>
      </c>
      <c r="AN1716" s="15" t="s">
        <v>1525</v>
      </c>
    </row>
    <row r="1717" spans="1:40" x14ac:dyDescent="0.3">
      <c r="A1717" s="10" t="str">
        <f>HYPERLINK("http://www.washoecounty.gov/assessor/cama/?parid=024-072-10&amp;CardNumber=1","024-072-10")</f>
        <v>024-072-10</v>
      </c>
      <c r="B1717" t="s">
        <v>4655</v>
      </c>
      <c r="C1717" t="s">
        <v>12455</v>
      </c>
      <c r="D1717" s="1">
        <v>40197</v>
      </c>
      <c r="E1717" s="2">
        <v>130000</v>
      </c>
      <c r="F1717" t="s">
        <v>4553</v>
      </c>
      <c r="G1717" s="17" t="str">
        <f>HYPERLINK("https://www.washoecounty.gov/assessor/cama/?command=sales&amp;parid=02407210","3840750")</f>
        <v>3840750</v>
      </c>
      <c r="H1717" t="s">
        <v>1649</v>
      </c>
      <c r="I1717">
        <v>1965</v>
      </c>
      <c r="J1717">
        <v>1965</v>
      </c>
      <c r="K1717" t="s">
        <v>4554</v>
      </c>
      <c r="L1717" t="s">
        <v>4555</v>
      </c>
      <c r="M1717" s="2">
        <v>1475</v>
      </c>
      <c r="N1717" t="s">
        <v>4048</v>
      </c>
      <c r="O1717">
        <v>3</v>
      </c>
      <c r="P1717">
        <v>2</v>
      </c>
      <c r="Q1717">
        <v>0</v>
      </c>
      <c r="R1717" t="s">
        <v>5281</v>
      </c>
      <c r="S1717" t="s">
        <v>3148</v>
      </c>
      <c r="T1717" t="s">
        <v>4559</v>
      </c>
      <c r="U1717" t="s">
        <v>4560</v>
      </c>
      <c r="V1717" s="2">
        <v>600</v>
      </c>
      <c r="W1717" t="s">
        <v>4655</v>
      </c>
      <c r="X1717" s="2">
        <v>0</v>
      </c>
      <c r="Y1717">
        <v>20</v>
      </c>
      <c r="Z1717" t="s">
        <v>385</v>
      </c>
      <c r="AA1717" s="3">
        <v>0.28700643777847301</v>
      </c>
      <c r="AB1717" t="s">
        <v>12456</v>
      </c>
      <c r="AC1717" t="s">
        <v>4562</v>
      </c>
      <c r="AD1717" t="s">
        <v>12455</v>
      </c>
      <c r="AE1717" t="s">
        <v>4655</v>
      </c>
      <c r="AF1717" t="s">
        <v>4563</v>
      </c>
      <c r="AG1717" t="s">
        <v>4564</v>
      </c>
      <c r="AH1717">
        <v>89509</v>
      </c>
      <c r="AI1717" t="s">
        <v>12457</v>
      </c>
      <c r="AJ1717" t="s">
        <v>4655</v>
      </c>
      <c r="AK1717" t="s">
        <v>12458</v>
      </c>
      <c r="AL1717" s="13" t="s">
        <v>2257</v>
      </c>
      <c r="AM1717">
        <v>1</v>
      </c>
      <c r="AN1717" s="15" t="s">
        <v>1525</v>
      </c>
    </row>
    <row r="1718" spans="1:40" x14ac:dyDescent="0.3">
      <c r="A1718" s="10" t="str">
        <f>HYPERLINK("http://www.washoecounty.gov/assessor/cama/?parid=024-072-10&amp;CardNumber=1","024-072-10")</f>
        <v>024-072-10</v>
      </c>
      <c r="B1718" t="s">
        <v>4655</v>
      </c>
      <c r="C1718" t="s">
        <v>12455</v>
      </c>
      <c r="D1718" s="1">
        <v>40386</v>
      </c>
      <c r="E1718" s="2">
        <v>212000</v>
      </c>
      <c r="F1718" t="s">
        <v>4567</v>
      </c>
      <c r="G1718" s="17" t="str">
        <f>HYPERLINK("https://www.washoecounty.gov/assessor/cama/?command=sales&amp;parid=02407210","3905386")</f>
        <v>3905386</v>
      </c>
      <c r="H1718" t="s">
        <v>1649</v>
      </c>
      <c r="I1718">
        <v>1965</v>
      </c>
      <c r="J1718">
        <v>1965</v>
      </c>
      <c r="K1718" t="s">
        <v>4554</v>
      </c>
      <c r="L1718" t="s">
        <v>4555</v>
      </c>
      <c r="M1718" s="2">
        <v>1475</v>
      </c>
      <c r="N1718" t="s">
        <v>4048</v>
      </c>
      <c r="O1718">
        <v>3</v>
      </c>
      <c r="P1718">
        <v>2</v>
      </c>
      <c r="Q1718">
        <v>0</v>
      </c>
      <c r="R1718" t="s">
        <v>5281</v>
      </c>
      <c r="S1718" t="s">
        <v>3148</v>
      </c>
      <c r="T1718" t="s">
        <v>4559</v>
      </c>
      <c r="U1718" t="s">
        <v>4560</v>
      </c>
      <c r="V1718" s="2">
        <v>600</v>
      </c>
      <c r="W1718" t="s">
        <v>4655</v>
      </c>
      <c r="X1718" s="2">
        <v>0</v>
      </c>
      <c r="Y1718">
        <v>20</v>
      </c>
      <c r="Z1718" t="s">
        <v>385</v>
      </c>
      <c r="AA1718" s="3">
        <v>0.28700643777847301</v>
      </c>
      <c r="AB1718" t="s">
        <v>12456</v>
      </c>
      <c r="AC1718" t="s">
        <v>4562</v>
      </c>
      <c r="AD1718" t="s">
        <v>12455</v>
      </c>
      <c r="AE1718" t="s">
        <v>4655</v>
      </c>
      <c r="AF1718" t="s">
        <v>4563</v>
      </c>
      <c r="AG1718" t="s">
        <v>4564</v>
      </c>
      <c r="AH1718">
        <v>89509</v>
      </c>
      <c r="AI1718" t="s">
        <v>12457</v>
      </c>
      <c r="AJ1718" t="s">
        <v>4655</v>
      </c>
      <c r="AK1718" t="s">
        <v>12458</v>
      </c>
      <c r="AL1718" s="13" t="s">
        <v>2257</v>
      </c>
      <c r="AM1718" s="14">
        <v>1</v>
      </c>
      <c r="AN1718" s="15" t="s">
        <v>1525</v>
      </c>
    </row>
    <row r="1719" spans="1:40" x14ac:dyDescent="0.3">
      <c r="A1719" s="10" t="str">
        <f>HYPERLINK("http://www.washoecounty.gov/assessor/cama/?parid=024-091-14&amp;CardNumber=1","024-091-14")</f>
        <v>024-091-14</v>
      </c>
      <c r="B1719" t="s">
        <v>4655</v>
      </c>
      <c r="C1719" t="s">
        <v>12459</v>
      </c>
      <c r="D1719" s="1">
        <v>40506</v>
      </c>
      <c r="E1719" s="2">
        <v>228888</v>
      </c>
      <c r="F1719" t="s">
        <v>4567</v>
      </c>
      <c r="G1719" s="17" t="str">
        <f>HYPERLINK("https://www.washoecounty.gov/assessor/cama/?command=sales&amp;parid=02409114","3946653")</f>
        <v>3946653</v>
      </c>
      <c r="H1719" t="s">
        <v>3557</v>
      </c>
      <c r="I1719">
        <v>1959</v>
      </c>
      <c r="J1719">
        <v>1959</v>
      </c>
      <c r="K1719" t="s">
        <v>4554</v>
      </c>
      <c r="L1719" t="s">
        <v>4555</v>
      </c>
      <c r="M1719" s="2">
        <v>1337</v>
      </c>
      <c r="N1719" t="s">
        <v>4048</v>
      </c>
      <c r="O1719">
        <v>3</v>
      </c>
      <c r="P1719">
        <v>2</v>
      </c>
      <c r="Q1719">
        <v>0</v>
      </c>
      <c r="R1719" t="s">
        <v>4557</v>
      </c>
      <c r="S1719" t="s">
        <v>4135</v>
      </c>
      <c r="T1719" t="s">
        <v>4559</v>
      </c>
      <c r="U1719" t="s">
        <v>4655</v>
      </c>
      <c r="V1719" s="2">
        <v>0</v>
      </c>
      <c r="W1719" t="s">
        <v>4655</v>
      </c>
      <c r="X1719" s="2">
        <v>0</v>
      </c>
      <c r="Y1719">
        <v>20</v>
      </c>
      <c r="Z1719" t="s">
        <v>5282</v>
      </c>
      <c r="AA1719" s="3">
        <v>0.34898990392684898</v>
      </c>
      <c r="AB1719" t="s">
        <v>12460</v>
      </c>
      <c r="AC1719" t="s">
        <v>4575</v>
      </c>
      <c r="AD1719" t="s">
        <v>12459</v>
      </c>
      <c r="AE1719" t="s">
        <v>4655</v>
      </c>
      <c r="AF1719" t="s">
        <v>4563</v>
      </c>
      <c r="AG1719" t="s">
        <v>4564</v>
      </c>
      <c r="AH1719">
        <v>89509</v>
      </c>
      <c r="AI1719" t="s">
        <v>12461</v>
      </c>
      <c r="AJ1719" t="s">
        <v>4655</v>
      </c>
      <c r="AK1719" t="s">
        <v>12462</v>
      </c>
      <c r="AL1719" s="13" t="s">
        <v>2257</v>
      </c>
      <c r="AM1719">
        <v>1</v>
      </c>
      <c r="AN1719" s="15" t="s">
        <v>1525</v>
      </c>
    </row>
    <row r="1720" spans="1:40" x14ac:dyDescent="0.3">
      <c r="A1720" s="10" t="str">
        <f>HYPERLINK("http://www.washoecounty.gov/assessor/cama/?parid=024-111-01&amp;CardNumber=1","024-111-01")</f>
        <v>024-111-01</v>
      </c>
      <c r="B1720" t="s">
        <v>4655</v>
      </c>
      <c r="C1720" t="s">
        <v>12463</v>
      </c>
      <c r="D1720" s="1">
        <v>40458</v>
      </c>
      <c r="E1720" s="2">
        <v>268000</v>
      </c>
      <c r="F1720" t="s">
        <v>4567</v>
      </c>
      <c r="G1720" s="17" t="str">
        <f>HYPERLINK("https://www.washoecounty.gov/assessor/cama/?command=sales&amp;parid=02411101","3930853")</f>
        <v>3930853</v>
      </c>
      <c r="H1720" t="s">
        <v>4140</v>
      </c>
      <c r="I1720">
        <v>1974</v>
      </c>
      <c r="J1720">
        <v>1974</v>
      </c>
      <c r="K1720" t="s">
        <v>4554</v>
      </c>
      <c r="L1720" t="s">
        <v>4555</v>
      </c>
      <c r="M1720" s="2">
        <v>2060</v>
      </c>
      <c r="N1720" t="s">
        <v>5280</v>
      </c>
      <c r="O1720">
        <v>4</v>
      </c>
      <c r="P1720">
        <v>2</v>
      </c>
      <c r="Q1720">
        <v>0</v>
      </c>
      <c r="R1720" t="s">
        <v>5281</v>
      </c>
      <c r="S1720" t="s">
        <v>4135</v>
      </c>
      <c r="T1720" t="s">
        <v>4559</v>
      </c>
      <c r="U1720" t="s">
        <v>4560</v>
      </c>
      <c r="V1720" s="2">
        <v>630</v>
      </c>
      <c r="W1720" t="s">
        <v>4655</v>
      </c>
      <c r="X1720" s="2">
        <v>0</v>
      </c>
      <c r="Y1720">
        <v>20</v>
      </c>
      <c r="Z1720" t="s">
        <v>385</v>
      </c>
      <c r="AA1720" s="3">
        <v>0.253007352352142</v>
      </c>
      <c r="AB1720" t="s">
        <v>12464</v>
      </c>
      <c r="AC1720" t="s">
        <v>4562</v>
      </c>
      <c r="AD1720" t="s">
        <v>12463</v>
      </c>
      <c r="AE1720" t="s">
        <v>4655</v>
      </c>
      <c r="AF1720" t="s">
        <v>4563</v>
      </c>
      <c r="AG1720" t="s">
        <v>4564</v>
      </c>
      <c r="AH1720">
        <v>89509</v>
      </c>
      <c r="AI1720" t="s">
        <v>12465</v>
      </c>
      <c r="AJ1720" t="s">
        <v>4655</v>
      </c>
      <c r="AK1720" t="s">
        <v>12466</v>
      </c>
      <c r="AL1720" s="13" t="s">
        <v>2255</v>
      </c>
      <c r="AM1720">
        <v>1</v>
      </c>
      <c r="AN1720" s="15" t="s">
        <v>1526</v>
      </c>
    </row>
    <row r="1721" spans="1:40" x14ac:dyDescent="0.3">
      <c r="A1721" s="10" t="str">
        <f>HYPERLINK("http://www.washoecounty.gov/assessor/cama/?parid=024-111-07&amp;CardNumber=1","024-111-07")</f>
        <v>024-111-07</v>
      </c>
      <c r="B1721" t="s">
        <v>4655</v>
      </c>
      <c r="C1721" t="s">
        <v>12467</v>
      </c>
      <c r="D1721" s="1">
        <v>40267</v>
      </c>
      <c r="E1721" s="2">
        <v>245000</v>
      </c>
      <c r="F1721" t="s">
        <v>4553</v>
      </c>
      <c r="G1721" s="17" t="str">
        <f>HYPERLINK("https://www.washoecounty.gov/assessor/cama/?command=sales&amp;parid=02411107","3865533")</f>
        <v>3865533</v>
      </c>
      <c r="H1721" t="s">
        <v>4140</v>
      </c>
      <c r="I1721">
        <v>1974</v>
      </c>
      <c r="J1721">
        <v>1974</v>
      </c>
      <c r="K1721" t="s">
        <v>4554</v>
      </c>
      <c r="L1721" t="s">
        <v>3974</v>
      </c>
      <c r="M1721" s="2">
        <v>2263</v>
      </c>
      <c r="N1721" t="s">
        <v>5280</v>
      </c>
      <c r="O1721">
        <v>4</v>
      </c>
      <c r="P1721">
        <v>2</v>
      </c>
      <c r="Q1721">
        <v>1</v>
      </c>
      <c r="R1721" t="s">
        <v>5281</v>
      </c>
      <c r="S1721" t="s">
        <v>4558</v>
      </c>
      <c r="T1721" t="s">
        <v>4559</v>
      </c>
      <c r="U1721" t="s">
        <v>4560</v>
      </c>
      <c r="V1721" s="2">
        <v>664</v>
      </c>
      <c r="W1721" t="s">
        <v>4655</v>
      </c>
      <c r="X1721" s="2">
        <v>0</v>
      </c>
      <c r="Y1721">
        <v>20</v>
      </c>
      <c r="Z1721" t="s">
        <v>385</v>
      </c>
      <c r="AA1721" s="3">
        <v>0.23298898339271545</v>
      </c>
      <c r="AB1721" t="s">
        <v>12468</v>
      </c>
      <c r="AC1721" t="s">
        <v>4562</v>
      </c>
      <c r="AD1721" t="s">
        <v>12469</v>
      </c>
      <c r="AE1721" t="s">
        <v>4655</v>
      </c>
      <c r="AF1721" t="s">
        <v>4563</v>
      </c>
      <c r="AG1721" t="s">
        <v>4564</v>
      </c>
      <c r="AH1721">
        <v>89509</v>
      </c>
      <c r="AI1721" t="s">
        <v>12470</v>
      </c>
      <c r="AJ1721" t="s">
        <v>4655</v>
      </c>
      <c r="AK1721" t="s">
        <v>12471</v>
      </c>
      <c r="AL1721" s="13" t="s">
        <v>2255</v>
      </c>
      <c r="AM1721" s="14">
        <v>1</v>
      </c>
      <c r="AN1721" s="15" t="s">
        <v>1526</v>
      </c>
    </row>
    <row r="1722" spans="1:40" x14ac:dyDescent="0.3">
      <c r="A1722" s="10" t="str">
        <f>HYPERLINK("http://www.washoecounty.gov/assessor/cama/?parid=024-112-07&amp;CardNumber=1","024-112-07")</f>
        <v>024-112-07</v>
      </c>
      <c r="B1722" t="s">
        <v>4655</v>
      </c>
      <c r="C1722" t="s">
        <v>12472</v>
      </c>
      <c r="D1722" s="1">
        <v>40533</v>
      </c>
      <c r="E1722" s="2">
        <v>140000</v>
      </c>
      <c r="F1722" t="s">
        <v>4567</v>
      </c>
      <c r="G1722" s="17" t="str">
        <f>HYPERLINK("https://www.washoecounty.gov/assessor/cama/?command=sales&amp;parid=02411207","3955835")</f>
        <v>3955835</v>
      </c>
      <c r="H1722" t="s">
        <v>12473</v>
      </c>
      <c r="I1722">
        <v>1934</v>
      </c>
      <c r="J1722">
        <v>1934</v>
      </c>
      <c r="K1722" t="s">
        <v>4554</v>
      </c>
      <c r="L1722" t="s">
        <v>4555</v>
      </c>
      <c r="M1722" s="2">
        <v>832</v>
      </c>
      <c r="N1722" t="s">
        <v>4556</v>
      </c>
      <c r="O1722">
        <v>2</v>
      </c>
      <c r="P1722">
        <v>1</v>
      </c>
      <c r="Q1722">
        <v>0</v>
      </c>
      <c r="R1722" t="s">
        <v>1800</v>
      </c>
      <c r="S1722" t="s">
        <v>4682</v>
      </c>
      <c r="T1722" t="s">
        <v>4559</v>
      </c>
      <c r="U1722" t="s">
        <v>4655</v>
      </c>
      <c r="V1722" s="2">
        <v>0</v>
      </c>
      <c r="W1722" t="s">
        <v>4571</v>
      </c>
      <c r="X1722" s="2">
        <v>832</v>
      </c>
      <c r="Y1722">
        <v>20</v>
      </c>
      <c r="Z1722" t="s">
        <v>385</v>
      </c>
      <c r="AA1722" s="3">
        <v>0.29201102256774902</v>
      </c>
      <c r="AB1722" t="s">
        <v>12474</v>
      </c>
      <c r="AC1722" t="s">
        <v>4562</v>
      </c>
      <c r="AD1722" t="s">
        <v>12472</v>
      </c>
      <c r="AE1722" t="s">
        <v>4655</v>
      </c>
      <c r="AF1722" t="s">
        <v>4563</v>
      </c>
      <c r="AG1722" t="s">
        <v>4564</v>
      </c>
      <c r="AH1722">
        <v>89509</v>
      </c>
      <c r="AI1722" t="s">
        <v>12475</v>
      </c>
      <c r="AJ1722" t="s">
        <v>4655</v>
      </c>
      <c r="AK1722" t="s">
        <v>12476</v>
      </c>
      <c r="AL1722" s="13" t="s">
        <v>2255</v>
      </c>
      <c r="AM1722">
        <v>1</v>
      </c>
      <c r="AN1722" s="15" t="s">
        <v>1526</v>
      </c>
    </row>
    <row r="1723" spans="1:40" x14ac:dyDescent="0.3">
      <c r="A1723" s="10" t="str">
        <f>HYPERLINK("http://www.washoecounty.gov/assessor/cama/?parid=024-114-03&amp;CardNumber=1","024-114-03")</f>
        <v>024-114-03</v>
      </c>
      <c r="B1723" t="s">
        <v>4655</v>
      </c>
      <c r="C1723" t="s">
        <v>12477</v>
      </c>
      <c r="D1723" s="1">
        <v>40325</v>
      </c>
      <c r="E1723" s="2">
        <v>276500</v>
      </c>
      <c r="F1723" t="s">
        <v>4567</v>
      </c>
      <c r="G1723" s="17" t="str">
        <f>HYPERLINK("https://www.washoecounty.gov/assessor/cama/?command=sales&amp;parid=02411403","3886068")</f>
        <v>3886068</v>
      </c>
      <c r="H1723" t="s">
        <v>12478</v>
      </c>
      <c r="I1723">
        <v>1976</v>
      </c>
      <c r="J1723">
        <v>1976</v>
      </c>
      <c r="K1723" t="s">
        <v>4554</v>
      </c>
      <c r="L1723" t="s">
        <v>4555</v>
      </c>
      <c r="M1723" s="2">
        <v>2303</v>
      </c>
      <c r="N1723" t="s">
        <v>5280</v>
      </c>
      <c r="O1723">
        <v>4</v>
      </c>
      <c r="P1723">
        <v>2</v>
      </c>
      <c r="Q1723">
        <v>1</v>
      </c>
      <c r="R1723" t="s">
        <v>5281</v>
      </c>
      <c r="S1723" t="s">
        <v>4135</v>
      </c>
      <c r="T1723" t="s">
        <v>4559</v>
      </c>
      <c r="U1723" t="s">
        <v>4560</v>
      </c>
      <c r="V1723" s="2">
        <v>630</v>
      </c>
      <c r="W1723" t="s">
        <v>4655</v>
      </c>
      <c r="X1723" s="2">
        <v>0</v>
      </c>
      <c r="Y1723">
        <v>20</v>
      </c>
      <c r="Z1723" t="s">
        <v>385</v>
      </c>
      <c r="AA1723" s="3">
        <v>0.22300276160240201</v>
      </c>
      <c r="AB1723" t="s">
        <v>12479</v>
      </c>
      <c r="AC1723" t="s">
        <v>4562</v>
      </c>
      <c r="AD1723" t="s">
        <v>12477</v>
      </c>
      <c r="AE1723" t="s">
        <v>4655</v>
      </c>
      <c r="AF1723" t="s">
        <v>4563</v>
      </c>
      <c r="AG1723" t="s">
        <v>4564</v>
      </c>
      <c r="AH1723">
        <v>89509</v>
      </c>
      <c r="AI1723" t="s">
        <v>12480</v>
      </c>
      <c r="AJ1723" t="s">
        <v>4655</v>
      </c>
      <c r="AK1723" t="s">
        <v>12481</v>
      </c>
      <c r="AL1723" s="13" t="s">
        <v>2255</v>
      </c>
      <c r="AM1723">
        <v>1</v>
      </c>
      <c r="AN1723" s="15" t="s">
        <v>1526</v>
      </c>
    </row>
    <row r="1724" spans="1:40" x14ac:dyDescent="0.3">
      <c r="A1724" s="10" t="str">
        <f>HYPERLINK("http://www.washoecounty.gov/assessor/cama/?parid=024-114-06&amp;CardNumber=1","024-114-06")</f>
        <v>024-114-06</v>
      </c>
      <c r="B1724" t="s">
        <v>4655</v>
      </c>
      <c r="C1724" t="s">
        <v>12482</v>
      </c>
      <c r="D1724" s="1">
        <v>40382</v>
      </c>
      <c r="E1724" s="2">
        <v>260000</v>
      </c>
      <c r="F1724" t="s">
        <v>4567</v>
      </c>
      <c r="G1724" s="17" t="str">
        <f>HYPERLINK("https://www.washoecounty.gov/assessor/cama/?command=sales&amp;parid=02411406","3904466")</f>
        <v>3904466</v>
      </c>
      <c r="H1724" t="s">
        <v>4140</v>
      </c>
      <c r="I1724">
        <v>1974</v>
      </c>
      <c r="J1724">
        <v>1974</v>
      </c>
      <c r="K1724" t="s">
        <v>4554</v>
      </c>
      <c r="L1724" t="s">
        <v>4555</v>
      </c>
      <c r="M1724" s="2">
        <v>1938</v>
      </c>
      <c r="N1724" t="s">
        <v>5280</v>
      </c>
      <c r="O1724">
        <v>4</v>
      </c>
      <c r="P1724">
        <v>2</v>
      </c>
      <c r="Q1724">
        <v>0</v>
      </c>
      <c r="R1724" t="s">
        <v>4557</v>
      </c>
      <c r="S1724" t="s">
        <v>4558</v>
      </c>
      <c r="T1724" t="s">
        <v>4559</v>
      </c>
      <c r="U1724" t="s">
        <v>4560</v>
      </c>
      <c r="V1724" s="2">
        <v>708</v>
      </c>
      <c r="W1724" t="s">
        <v>4655</v>
      </c>
      <c r="X1724" s="2">
        <v>0</v>
      </c>
      <c r="Y1724">
        <v>20</v>
      </c>
      <c r="Z1724" t="s">
        <v>385</v>
      </c>
      <c r="AA1724" s="3">
        <v>0.20599173009395599</v>
      </c>
      <c r="AB1724" t="s">
        <v>12483</v>
      </c>
      <c r="AC1724" t="s">
        <v>4562</v>
      </c>
      <c r="AD1724" t="s">
        <v>12484</v>
      </c>
      <c r="AE1724" t="s">
        <v>4655</v>
      </c>
      <c r="AF1724" t="s">
        <v>1407</v>
      </c>
      <c r="AG1724" t="s">
        <v>4564</v>
      </c>
      <c r="AH1724">
        <v>89706</v>
      </c>
      <c r="AI1724" t="s">
        <v>12485</v>
      </c>
      <c r="AJ1724" t="s">
        <v>4655</v>
      </c>
      <c r="AK1724" t="s">
        <v>12486</v>
      </c>
      <c r="AL1724" s="13" t="s">
        <v>2255</v>
      </c>
      <c r="AM1724">
        <v>1</v>
      </c>
      <c r="AN1724" s="15" t="s">
        <v>1526</v>
      </c>
    </row>
    <row r="1725" spans="1:40" x14ac:dyDescent="0.3">
      <c r="A1725" s="10" t="str">
        <f>HYPERLINK("http://www.washoecounty.gov/assessor/cama/?parid=024-116-05&amp;CardNumber=1","024-116-05")</f>
        <v>024-116-05</v>
      </c>
      <c r="B1725" t="s">
        <v>4655</v>
      </c>
      <c r="C1725" t="s">
        <v>12487</v>
      </c>
      <c r="D1725" s="1">
        <v>40512</v>
      </c>
      <c r="E1725" s="2">
        <v>260000</v>
      </c>
      <c r="F1725" t="s">
        <v>4567</v>
      </c>
      <c r="G1725" s="17" t="str">
        <f>HYPERLINK("https://www.washoecounty.gov/assessor/cama/?command=sales&amp;parid=02411605","3947505")</f>
        <v>3947505</v>
      </c>
      <c r="H1725" t="s">
        <v>12488</v>
      </c>
      <c r="I1725">
        <v>1977</v>
      </c>
      <c r="J1725">
        <v>1977</v>
      </c>
      <c r="K1725" t="s">
        <v>4554</v>
      </c>
      <c r="L1725" t="s">
        <v>4555</v>
      </c>
      <c r="M1725" s="2">
        <v>2303</v>
      </c>
      <c r="N1725" t="s">
        <v>5280</v>
      </c>
      <c r="O1725">
        <v>4</v>
      </c>
      <c r="P1725">
        <v>2</v>
      </c>
      <c r="Q1725">
        <v>1</v>
      </c>
      <c r="R1725" t="s">
        <v>4557</v>
      </c>
      <c r="S1725" t="s">
        <v>4558</v>
      </c>
      <c r="T1725" t="s">
        <v>4559</v>
      </c>
      <c r="U1725" t="s">
        <v>4560</v>
      </c>
      <c r="V1725" s="2">
        <v>630</v>
      </c>
      <c r="W1725" t="s">
        <v>4655</v>
      </c>
      <c r="X1725" s="2">
        <v>0</v>
      </c>
      <c r="Y1725">
        <v>20</v>
      </c>
      <c r="Z1725" t="s">
        <v>385</v>
      </c>
      <c r="AA1725" s="3">
        <v>0.33000460267067</v>
      </c>
      <c r="AB1725" t="s">
        <v>12489</v>
      </c>
      <c r="AC1725" t="s">
        <v>4575</v>
      </c>
      <c r="AD1725" t="s">
        <v>12490</v>
      </c>
      <c r="AE1725" t="s">
        <v>4655</v>
      </c>
      <c r="AF1725" t="s">
        <v>4563</v>
      </c>
      <c r="AG1725" t="s">
        <v>4564</v>
      </c>
      <c r="AH1725">
        <v>89509</v>
      </c>
      <c r="AI1725" t="s">
        <v>12491</v>
      </c>
      <c r="AJ1725" t="s">
        <v>4655</v>
      </c>
      <c r="AK1725" t="s">
        <v>12492</v>
      </c>
      <c r="AL1725" s="13" t="s">
        <v>2255</v>
      </c>
      <c r="AM1725" s="14">
        <v>1</v>
      </c>
      <c r="AN1725" s="15" t="s">
        <v>1526</v>
      </c>
    </row>
    <row r="1726" spans="1:40" x14ac:dyDescent="0.3">
      <c r="A1726" s="10" t="str">
        <f>HYPERLINK("http://www.washoecounty.gov/assessor/cama/?parid=024-121-15&amp;CardNumber=1","024-121-15")</f>
        <v>024-121-15</v>
      </c>
      <c r="B1726" t="s">
        <v>4655</v>
      </c>
      <c r="C1726" t="s">
        <v>12493</v>
      </c>
      <c r="D1726" s="1">
        <v>40333</v>
      </c>
      <c r="E1726" s="2">
        <v>757500</v>
      </c>
      <c r="F1726" t="s">
        <v>3259</v>
      </c>
      <c r="G1726" s="17" t="str">
        <f>HYPERLINK("https://www.washoecounty.gov/assessor/cama/?command=sales&amp;parid=02412115","3888551")</f>
        <v>3888551</v>
      </c>
      <c r="H1726" t="s">
        <v>12494</v>
      </c>
      <c r="I1726">
        <v>1980</v>
      </c>
      <c r="J1726">
        <v>1989</v>
      </c>
      <c r="K1726" t="s">
        <v>3037</v>
      </c>
      <c r="L1726" t="s">
        <v>1366</v>
      </c>
      <c r="M1726" s="2">
        <v>3280</v>
      </c>
      <c r="N1726" t="s">
        <v>3531</v>
      </c>
      <c r="O1726">
        <v>0</v>
      </c>
      <c r="P1726">
        <v>0</v>
      </c>
      <c r="Q1726">
        <v>0</v>
      </c>
      <c r="R1726" t="s">
        <v>1395</v>
      </c>
      <c r="S1726" t="s">
        <v>1819</v>
      </c>
      <c r="T1726" t="s">
        <v>4655</v>
      </c>
      <c r="U1726" t="s">
        <v>4655</v>
      </c>
      <c r="V1726" s="2">
        <v>0</v>
      </c>
      <c r="W1726" t="s">
        <v>3041</v>
      </c>
      <c r="X1726" s="2">
        <v>1320</v>
      </c>
      <c r="Y1726">
        <v>40</v>
      </c>
      <c r="Z1726" t="s">
        <v>564</v>
      </c>
      <c r="AA1726" s="3">
        <v>0.61854910850524902</v>
      </c>
      <c r="AB1726" t="s">
        <v>12495</v>
      </c>
      <c r="AC1726" t="s">
        <v>4562</v>
      </c>
      <c r="AD1726" t="s">
        <v>12496</v>
      </c>
      <c r="AE1726" t="s">
        <v>12497</v>
      </c>
      <c r="AF1726" t="s">
        <v>4563</v>
      </c>
      <c r="AG1726" t="s">
        <v>4564</v>
      </c>
      <c r="AH1726" t="s">
        <v>2841</v>
      </c>
      <c r="AI1726" t="s">
        <v>12498</v>
      </c>
      <c r="AJ1726" t="s">
        <v>4655</v>
      </c>
      <c r="AK1726" t="s">
        <v>12499</v>
      </c>
      <c r="AL1726" s="13" t="s">
        <v>2255</v>
      </c>
      <c r="AM1726">
        <v>1</v>
      </c>
      <c r="AN1726" s="15" t="s">
        <v>1433</v>
      </c>
    </row>
    <row r="1727" spans="1:40" x14ac:dyDescent="0.3">
      <c r="A1727" s="10" t="str">
        <f>HYPERLINK("http://www.washoecounty.gov/assessor/cama/?parid=024-182-12&amp;CardNumber=1","024-182-12")</f>
        <v>024-182-12</v>
      </c>
      <c r="B1727" t="s">
        <v>4655</v>
      </c>
      <c r="C1727" t="s">
        <v>12500</v>
      </c>
      <c r="D1727" s="1">
        <v>40218</v>
      </c>
      <c r="E1727" s="2">
        <v>239900</v>
      </c>
      <c r="F1727" t="s">
        <v>4567</v>
      </c>
      <c r="G1727" s="17" t="str">
        <f>HYPERLINK("https://www.washoecounty.gov/assessor/cama/?command=sales&amp;parid=02418212","3847475")</f>
        <v>3847475</v>
      </c>
      <c r="H1727" t="s">
        <v>12501</v>
      </c>
      <c r="I1727">
        <v>1977</v>
      </c>
      <c r="J1727">
        <v>1977</v>
      </c>
      <c r="K1727" t="s">
        <v>4554</v>
      </c>
      <c r="L1727" t="s">
        <v>4555</v>
      </c>
      <c r="M1727" s="2">
        <v>2303</v>
      </c>
      <c r="N1727" t="s">
        <v>5280</v>
      </c>
      <c r="O1727">
        <v>4</v>
      </c>
      <c r="P1727">
        <v>2</v>
      </c>
      <c r="Q1727">
        <v>1</v>
      </c>
      <c r="R1727" t="s">
        <v>4557</v>
      </c>
      <c r="S1727" t="s">
        <v>4558</v>
      </c>
      <c r="T1727" t="s">
        <v>4559</v>
      </c>
      <c r="U1727" t="s">
        <v>4560</v>
      </c>
      <c r="V1727" s="2">
        <v>630</v>
      </c>
      <c r="W1727" t="s">
        <v>4655</v>
      </c>
      <c r="X1727" s="2">
        <v>0</v>
      </c>
      <c r="Y1727">
        <v>20</v>
      </c>
      <c r="Z1727" t="s">
        <v>385</v>
      </c>
      <c r="AA1727" s="3">
        <v>0.21099632978439301</v>
      </c>
      <c r="AB1727" t="s">
        <v>12502</v>
      </c>
      <c r="AC1727" t="s">
        <v>4562</v>
      </c>
      <c r="AD1727" t="s">
        <v>12500</v>
      </c>
      <c r="AE1727" t="s">
        <v>4655</v>
      </c>
      <c r="AF1727" t="s">
        <v>4563</v>
      </c>
      <c r="AG1727" t="s">
        <v>4564</v>
      </c>
      <c r="AH1727">
        <v>89509</v>
      </c>
      <c r="AI1727" t="s">
        <v>12503</v>
      </c>
      <c r="AJ1727" t="s">
        <v>4655</v>
      </c>
      <c r="AK1727" t="s">
        <v>12504</v>
      </c>
      <c r="AL1727" s="13" t="s">
        <v>2257</v>
      </c>
      <c r="AM1727" s="14">
        <v>1</v>
      </c>
      <c r="AN1727" s="15" t="s">
        <v>1526</v>
      </c>
    </row>
    <row r="1728" spans="1:40" x14ac:dyDescent="0.3">
      <c r="A1728" s="10" t="str">
        <f>HYPERLINK("http://www.washoecounty.gov/assessor/cama/?parid=024-191-18&amp;CardNumber=1","024-191-18")</f>
        <v>024-191-18</v>
      </c>
      <c r="B1728" t="s">
        <v>4655</v>
      </c>
      <c r="C1728" t="s">
        <v>12505</v>
      </c>
      <c r="D1728" s="1">
        <v>40465</v>
      </c>
      <c r="E1728" s="2">
        <v>365000</v>
      </c>
      <c r="F1728" t="s">
        <v>4567</v>
      </c>
      <c r="G1728" s="17" t="str">
        <f>HYPERLINK("https://www.washoecounty.gov/assessor/cama/?command=sales&amp;parid=02419118","3932879")</f>
        <v>3932879</v>
      </c>
      <c r="H1728" t="s">
        <v>5114</v>
      </c>
      <c r="I1728">
        <v>1977</v>
      </c>
      <c r="J1728">
        <v>1977</v>
      </c>
      <c r="K1728" t="s">
        <v>4554</v>
      </c>
      <c r="L1728" t="s">
        <v>4555</v>
      </c>
      <c r="M1728" s="2">
        <v>2303</v>
      </c>
      <c r="N1728" t="s">
        <v>5280</v>
      </c>
      <c r="O1728">
        <v>4</v>
      </c>
      <c r="P1728">
        <v>2</v>
      </c>
      <c r="Q1728">
        <v>1</v>
      </c>
      <c r="R1728" t="s">
        <v>4557</v>
      </c>
      <c r="S1728" t="s">
        <v>4558</v>
      </c>
      <c r="T1728" t="s">
        <v>4559</v>
      </c>
      <c r="U1728" t="s">
        <v>4560</v>
      </c>
      <c r="V1728" s="2">
        <v>630</v>
      </c>
      <c r="W1728" t="s">
        <v>4655</v>
      </c>
      <c r="X1728" s="2">
        <v>0</v>
      </c>
      <c r="Y1728">
        <v>20</v>
      </c>
      <c r="Z1728" t="s">
        <v>385</v>
      </c>
      <c r="AA1728" s="3">
        <v>0.23900367319583901</v>
      </c>
      <c r="AB1728" t="s">
        <v>2034</v>
      </c>
      <c r="AC1728" t="s">
        <v>4562</v>
      </c>
      <c r="AD1728" t="s">
        <v>2035</v>
      </c>
      <c r="AE1728" t="s">
        <v>4655</v>
      </c>
      <c r="AF1728" t="s">
        <v>5201</v>
      </c>
      <c r="AG1728" t="s">
        <v>4564</v>
      </c>
      <c r="AH1728" t="s">
        <v>4126</v>
      </c>
      <c r="AI1728" t="s">
        <v>12506</v>
      </c>
      <c r="AJ1728" t="s">
        <v>4655</v>
      </c>
      <c r="AK1728" t="s">
        <v>12507</v>
      </c>
      <c r="AL1728" s="13" t="s">
        <v>2257</v>
      </c>
      <c r="AM1728">
        <v>1</v>
      </c>
      <c r="AN1728" s="15" t="s">
        <v>1526</v>
      </c>
    </row>
    <row r="1729" spans="1:40" x14ac:dyDescent="0.3">
      <c r="A1729" s="10" t="str">
        <f>HYPERLINK("http://www.washoecounty.gov/assessor/cama/?parid=024-194-02&amp;CardNumber=1","024-194-02")</f>
        <v>024-194-02</v>
      </c>
      <c r="B1729" t="s">
        <v>4655</v>
      </c>
      <c r="C1729" t="s">
        <v>12508</v>
      </c>
      <c r="D1729" s="1">
        <v>40479</v>
      </c>
      <c r="E1729" s="2">
        <v>220000</v>
      </c>
      <c r="F1729" t="s">
        <v>4567</v>
      </c>
      <c r="G1729" s="17" t="str">
        <f>HYPERLINK("https://www.washoecounty.gov/assessor/cama/?command=sales&amp;parid=02419402","3937569")</f>
        <v>3937569</v>
      </c>
      <c r="H1729" t="s">
        <v>4068</v>
      </c>
      <c r="I1729">
        <v>1977</v>
      </c>
      <c r="J1729">
        <v>1977</v>
      </c>
      <c r="K1729" t="s">
        <v>4554</v>
      </c>
      <c r="L1729" t="s">
        <v>4555</v>
      </c>
      <c r="M1729" s="2">
        <v>1989</v>
      </c>
      <c r="N1729" t="s">
        <v>5280</v>
      </c>
      <c r="O1729">
        <v>4</v>
      </c>
      <c r="P1729">
        <v>2</v>
      </c>
      <c r="Q1729">
        <v>0</v>
      </c>
      <c r="R1729" t="s">
        <v>4557</v>
      </c>
      <c r="S1729" t="s">
        <v>4558</v>
      </c>
      <c r="T1729" t="s">
        <v>4559</v>
      </c>
      <c r="U1729" t="s">
        <v>4560</v>
      </c>
      <c r="V1729" s="2">
        <v>690</v>
      </c>
      <c r="W1729" t="s">
        <v>4655</v>
      </c>
      <c r="X1729" s="2">
        <v>0</v>
      </c>
      <c r="Y1729">
        <v>20</v>
      </c>
      <c r="Z1729" t="s">
        <v>385</v>
      </c>
      <c r="AA1729" s="3">
        <v>0.20700183510780301</v>
      </c>
      <c r="AB1729" t="s">
        <v>12509</v>
      </c>
      <c r="AC1729" t="s">
        <v>4575</v>
      </c>
      <c r="AD1729" t="s">
        <v>12510</v>
      </c>
      <c r="AE1729" t="s">
        <v>4655</v>
      </c>
      <c r="AF1729" t="s">
        <v>4563</v>
      </c>
      <c r="AG1729" t="s">
        <v>4564</v>
      </c>
      <c r="AH1729">
        <v>89509</v>
      </c>
      <c r="AI1729" t="s">
        <v>12511</v>
      </c>
      <c r="AJ1729" t="s">
        <v>4655</v>
      </c>
      <c r="AK1729" t="s">
        <v>12512</v>
      </c>
      <c r="AL1729" s="13" t="s">
        <v>2257</v>
      </c>
      <c r="AM1729">
        <v>1</v>
      </c>
      <c r="AN1729" s="15" t="s">
        <v>1526</v>
      </c>
    </row>
    <row r="1730" spans="1:40" x14ac:dyDescent="0.3">
      <c r="A1730" s="10" t="str">
        <f>HYPERLINK("http://www.washoecounty.gov/assessor/cama/?parid=024-200-34&amp;CardNumber=1","024-200-34")</f>
        <v>024-200-34</v>
      </c>
      <c r="B1730" t="s">
        <v>4655</v>
      </c>
      <c r="C1730" t="s">
        <v>12513</v>
      </c>
      <c r="D1730" s="1">
        <v>40315</v>
      </c>
      <c r="E1730" s="2">
        <v>54900</v>
      </c>
      <c r="F1730" t="s">
        <v>4553</v>
      </c>
      <c r="G1730" s="17" t="str">
        <f>HYPERLINK("https://www.washoecounty.gov/assessor/cama/?command=sales&amp;parid=02420034","3881940")</f>
        <v>3881940</v>
      </c>
      <c r="H1730" t="s">
        <v>2607</v>
      </c>
      <c r="I1730">
        <v>1978</v>
      </c>
      <c r="J1730">
        <v>1978</v>
      </c>
      <c r="K1730" t="s">
        <v>3144</v>
      </c>
      <c r="L1730" t="s">
        <v>3974</v>
      </c>
      <c r="M1730" s="2">
        <v>1284</v>
      </c>
      <c r="N1730" t="s">
        <v>4048</v>
      </c>
      <c r="O1730">
        <v>2</v>
      </c>
      <c r="P1730">
        <v>1</v>
      </c>
      <c r="Q1730">
        <v>1</v>
      </c>
      <c r="R1730" t="s">
        <v>5281</v>
      </c>
      <c r="S1730" t="s">
        <v>4570</v>
      </c>
      <c r="T1730" t="s">
        <v>4899</v>
      </c>
      <c r="U1730" t="s">
        <v>4655</v>
      </c>
      <c r="V1730" s="2">
        <v>0</v>
      </c>
      <c r="W1730" t="s">
        <v>4655</v>
      </c>
      <c r="X1730" s="2">
        <v>0</v>
      </c>
      <c r="Y1730">
        <v>21</v>
      </c>
      <c r="Z1730" t="s">
        <v>2705</v>
      </c>
      <c r="AA1730" s="3">
        <v>1.00000004749745E-3</v>
      </c>
      <c r="AB1730" t="s">
        <v>12514</v>
      </c>
      <c r="AC1730" t="s">
        <v>4562</v>
      </c>
      <c r="AD1730" t="s">
        <v>12515</v>
      </c>
      <c r="AE1730" t="s">
        <v>4655</v>
      </c>
      <c r="AF1730" t="s">
        <v>12516</v>
      </c>
      <c r="AG1730" t="s">
        <v>2109</v>
      </c>
      <c r="AH1730" t="s">
        <v>12517</v>
      </c>
      <c r="AI1730" t="s">
        <v>4655</v>
      </c>
      <c r="AJ1730" t="s">
        <v>4655</v>
      </c>
      <c r="AK1730" t="s">
        <v>12518</v>
      </c>
      <c r="AL1730" s="13" t="s">
        <v>2257</v>
      </c>
      <c r="AM1730">
        <v>1</v>
      </c>
      <c r="AN1730" s="15" t="s">
        <v>2608</v>
      </c>
    </row>
    <row r="1731" spans="1:40" x14ac:dyDescent="0.3">
      <c r="A1731" s="10" t="str">
        <f>HYPERLINK("http://www.washoecounty.gov/assessor/cama/?parid=024-211-32&amp;CardNumber=1","024-211-32")</f>
        <v>024-211-32</v>
      </c>
      <c r="B1731" t="s">
        <v>4655</v>
      </c>
      <c r="C1731" t="s">
        <v>12519</v>
      </c>
      <c r="D1731" s="1">
        <v>40415</v>
      </c>
      <c r="E1731" s="2">
        <v>119900</v>
      </c>
      <c r="F1731" t="s">
        <v>4567</v>
      </c>
      <c r="G1731" s="17" t="str">
        <f>HYPERLINK("https://www.washoecounty.gov/assessor/cama/?command=sales&amp;parid=02421132","3915371")</f>
        <v>3915371</v>
      </c>
      <c r="H1731" t="s">
        <v>12520</v>
      </c>
      <c r="I1731">
        <v>1977</v>
      </c>
      <c r="J1731">
        <v>1977</v>
      </c>
      <c r="K1731" t="s">
        <v>4897</v>
      </c>
      <c r="L1731" t="s">
        <v>3974</v>
      </c>
      <c r="M1731" s="2">
        <v>1860</v>
      </c>
      <c r="N1731" t="s">
        <v>5280</v>
      </c>
      <c r="O1731">
        <v>3</v>
      </c>
      <c r="P1731">
        <v>2</v>
      </c>
      <c r="Q1731">
        <v>1</v>
      </c>
      <c r="R1731" t="s">
        <v>5281</v>
      </c>
      <c r="S1731" t="s">
        <v>4135</v>
      </c>
      <c r="T1731" t="s">
        <v>4559</v>
      </c>
      <c r="U1731" t="s">
        <v>4560</v>
      </c>
      <c r="V1731" s="2">
        <v>400</v>
      </c>
      <c r="W1731" t="s">
        <v>4655</v>
      </c>
      <c r="X1731" s="2">
        <v>0</v>
      </c>
      <c r="Y1731">
        <v>21</v>
      </c>
      <c r="Z1731" t="s">
        <v>2705</v>
      </c>
      <c r="AA1731" s="3">
        <v>1.00000004749745E-3</v>
      </c>
      <c r="AB1731" t="s">
        <v>12521</v>
      </c>
      <c r="AC1731" t="s">
        <v>4562</v>
      </c>
      <c r="AD1731" t="s">
        <v>12522</v>
      </c>
      <c r="AE1731" t="s">
        <v>4655</v>
      </c>
      <c r="AF1731" t="s">
        <v>4528</v>
      </c>
      <c r="AG1731" t="s">
        <v>4584</v>
      </c>
      <c r="AH1731" t="s">
        <v>494</v>
      </c>
      <c r="AI1731" t="s">
        <v>11201</v>
      </c>
      <c r="AJ1731" t="s">
        <v>4655</v>
      </c>
      <c r="AK1731" t="s">
        <v>12523</v>
      </c>
      <c r="AL1731" s="13" t="s">
        <v>2255</v>
      </c>
      <c r="AM1731">
        <v>1</v>
      </c>
      <c r="AN1731" s="15" t="s">
        <v>4381</v>
      </c>
    </row>
    <row r="1732" spans="1:40" x14ac:dyDescent="0.3">
      <c r="A1732" s="10" t="str">
        <f>HYPERLINK("http://www.washoecounty.gov/assessor/cama/?parid=024-211-41&amp;CardNumber=1","024-211-41")</f>
        <v>024-211-41</v>
      </c>
      <c r="B1732" t="s">
        <v>4655</v>
      </c>
      <c r="C1732" t="s">
        <v>12524</v>
      </c>
      <c r="D1732" s="1">
        <v>40470</v>
      </c>
      <c r="E1732" s="2">
        <v>139500</v>
      </c>
      <c r="F1732" t="s">
        <v>4567</v>
      </c>
      <c r="G1732" s="17" t="str">
        <f>HYPERLINK("https://www.washoecounty.gov/assessor/cama/?command=sales&amp;parid=02421141","3934720")</f>
        <v>3934720</v>
      </c>
      <c r="H1732" t="s">
        <v>12525</v>
      </c>
      <c r="I1732">
        <v>1977</v>
      </c>
      <c r="J1732">
        <v>1977</v>
      </c>
      <c r="K1732" t="s">
        <v>4897</v>
      </c>
      <c r="L1732" t="s">
        <v>4555</v>
      </c>
      <c r="M1732" s="2">
        <v>1780</v>
      </c>
      <c r="N1732" t="s">
        <v>5280</v>
      </c>
      <c r="O1732">
        <v>3</v>
      </c>
      <c r="P1732">
        <v>2</v>
      </c>
      <c r="Q1732">
        <v>1</v>
      </c>
      <c r="R1732" t="s">
        <v>5281</v>
      </c>
      <c r="S1732" t="s">
        <v>3148</v>
      </c>
      <c r="T1732" t="s">
        <v>4559</v>
      </c>
      <c r="U1732" t="s">
        <v>4560</v>
      </c>
      <c r="V1732" s="2">
        <v>500</v>
      </c>
      <c r="W1732" t="s">
        <v>4655</v>
      </c>
      <c r="X1732" s="2">
        <v>0</v>
      </c>
      <c r="Y1732">
        <v>21</v>
      </c>
      <c r="Z1732" t="s">
        <v>2705</v>
      </c>
      <c r="AA1732" s="3">
        <v>1.00000004749745E-3</v>
      </c>
      <c r="AB1732" t="s">
        <v>12526</v>
      </c>
      <c r="AC1732" t="s">
        <v>4575</v>
      </c>
      <c r="AD1732" t="s">
        <v>12527</v>
      </c>
      <c r="AE1732" t="s">
        <v>4655</v>
      </c>
      <c r="AF1732" t="s">
        <v>4563</v>
      </c>
      <c r="AG1732" t="s">
        <v>4564</v>
      </c>
      <c r="AH1732">
        <v>89509</v>
      </c>
      <c r="AI1732" t="s">
        <v>11201</v>
      </c>
      <c r="AJ1732" t="s">
        <v>4655</v>
      </c>
      <c r="AK1732" t="s">
        <v>12528</v>
      </c>
      <c r="AL1732" s="13" t="s">
        <v>2255</v>
      </c>
      <c r="AM1732">
        <v>1</v>
      </c>
      <c r="AN1732" s="15" t="s">
        <v>4381</v>
      </c>
    </row>
    <row r="1733" spans="1:40" x14ac:dyDescent="0.3">
      <c r="A1733" s="10" t="str">
        <f>HYPERLINK("http://www.washoecounty.gov/assessor/cama/?parid=024-211-42&amp;CardNumber=1","024-211-42")</f>
        <v>024-211-42</v>
      </c>
      <c r="B1733" t="s">
        <v>4655</v>
      </c>
      <c r="C1733" t="s">
        <v>12529</v>
      </c>
      <c r="D1733" s="1">
        <v>40267</v>
      </c>
      <c r="E1733" s="2">
        <v>180000</v>
      </c>
      <c r="F1733" t="s">
        <v>4567</v>
      </c>
      <c r="G1733" s="17" t="str">
        <f>HYPERLINK("https://www.washoecounty.gov/assessor/cama/?command=sales&amp;parid=02421142","3865989")</f>
        <v>3865989</v>
      </c>
      <c r="H1733" t="s">
        <v>12525</v>
      </c>
      <c r="I1733">
        <v>1977</v>
      </c>
      <c r="J1733">
        <v>1977</v>
      </c>
      <c r="K1733" t="s">
        <v>4897</v>
      </c>
      <c r="L1733" t="s">
        <v>4555</v>
      </c>
      <c r="M1733" s="2">
        <v>1780</v>
      </c>
      <c r="N1733" t="s">
        <v>5280</v>
      </c>
      <c r="O1733">
        <v>3</v>
      </c>
      <c r="P1733">
        <v>2</v>
      </c>
      <c r="Q1733">
        <v>1</v>
      </c>
      <c r="R1733" t="s">
        <v>5281</v>
      </c>
      <c r="S1733" t="s">
        <v>3148</v>
      </c>
      <c r="T1733" t="s">
        <v>4559</v>
      </c>
      <c r="U1733" t="s">
        <v>4560</v>
      </c>
      <c r="V1733" s="2">
        <v>500</v>
      </c>
      <c r="W1733" t="s">
        <v>4655</v>
      </c>
      <c r="X1733" s="2">
        <v>0</v>
      </c>
      <c r="Y1733">
        <v>21</v>
      </c>
      <c r="Z1733" t="s">
        <v>2705</v>
      </c>
      <c r="AA1733" s="3">
        <v>1.00000004749745E-3</v>
      </c>
      <c r="AB1733" t="s">
        <v>12530</v>
      </c>
      <c r="AC1733" t="s">
        <v>4562</v>
      </c>
      <c r="AD1733" t="s">
        <v>12529</v>
      </c>
      <c r="AE1733" t="s">
        <v>4655</v>
      </c>
      <c r="AF1733" t="s">
        <v>4563</v>
      </c>
      <c r="AG1733" t="s">
        <v>4564</v>
      </c>
      <c r="AH1733">
        <v>89509</v>
      </c>
      <c r="AI1733" t="s">
        <v>12531</v>
      </c>
      <c r="AJ1733" t="s">
        <v>4655</v>
      </c>
      <c r="AK1733" t="s">
        <v>12532</v>
      </c>
      <c r="AL1733" s="13" t="s">
        <v>2255</v>
      </c>
      <c r="AM1733">
        <v>1</v>
      </c>
      <c r="AN1733" s="15" t="s">
        <v>4381</v>
      </c>
    </row>
    <row r="1734" spans="1:40" x14ac:dyDescent="0.3">
      <c r="A1734" s="10" t="str">
        <f>HYPERLINK("http://www.washoecounty.gov/assessor/cama/?parid=024-212-30&amp;CardNumber=1","024-212-30")</f>
        <v>024-212-30</v>
      </c>
      <c r="B1734" t="s">
        <v>4655</v>
      </c>
      <c r="C1734" t="s">
        <v>4679</v>
      </c>
      <c r="D1734" s="1">
        <v>40353</v>
      </c>
      <c r="E1734" s="2">
        <v>128000</v>
      </c>
      <c r="F1734" t="s">
        <v>4553</v>
      </c>
      <c r="G1734" s="17" t="str">
        <f>HYPERLINK("https://www.washoecounty.gov/assessor/cama/?command=sales&amp;parid=02421230","3894989")</f>
        <v>3894989</v>
      </c>
      <c r="H1734" t="s">
        <v>4121</v>
      </c>
      <c r="I1734">
        <v>1979</v>
      </c>
      <c r="J1734">
        <v>1979</v>
      </c>
      <c r="K1734" t="s">
        <v>4897</v>
      </c>
      <c r="L1734" t="s">
        <v>3974</v>
      </c>
      <c r="M1734" s="2">
        <v>1807</v>
      </c>
      <c r="N1734" t="s">
        <v>5280</v>
      </c>
      <c r="O1734">
        <v>2</v>
      </c>
      <c r="P1734">
        <v>3</v>
      </c>
      <c r="Q1734">
        <v>0</v>
      </c>
      <c r="R1734" t="s">
        <v>5281</v>
      </c>
      <c r="S1734" t="s">
        <v>4558</v>
      </c>
      <c r="T1734" t="s">
        <v>4559</v>
      </c>
      <c r="U1734" t="s">
        <v>5631</v>
      </c>
      <c r="V1734" s="2">
        <v>510</v>
      </c>
      <c r="W1734" t="s">
        <v>4655</v>
      </c>
      <c r="X1734" s="2">
        <v>0</v>
      </c>
      <c r="Y1734">
        <v>21</v>
      </c>
      <c r="Z1734" t="s">
        <v>2705</v>
      </c>
      <c r="AA1734" s="3">
        <v>1.00000004749745E-3</v>
      </c>
      <c r="AB1734" t="s">
        <v>5526</v>
      </c>
      <c r="AC1734" t="s">
        <v>4575</v>
      </c>
      <c r="AD1734" t="s">
        <v>4679</v>
      </c>
      <c r="AE1734" t="s">
        <v>4655</v>
      </c>
      <c r="AF1734" t="s">
        <v>4563</v>
      </c>
      <c r="AG1734" t="s">
        <v>4564</v>
      </c>
      <c r="AH1734">
        <v>89509</v>
      </c>
      <c r="AI1734" t="s">
        <v>1149</v>
      </c>
      <c r="AJ1734" t="s">
        <v>4655</v>
      </c>
      <c r="AK1734" t="s">
        <v>12533</v>
      </c>
      <c r="AL1734" s="13" t="s">
        <v>2255</v>
      </c>
      <c r="AM1734">
        <v>1</v>
      </c>
      <c r="AN1734" s="15" t="s">
        <v>4381</v>
      </c>
    </row>
    <row r="1735" spans="1:40" x14ac:dyDescent="0.3">
      <c r="A1735" s="10" t="str">
        <f>HYPERLINK("http://www.washoecounty.gov/assessor/cama/?parid=024-212-45&amp;CardNumber=1","024-212-45")</f>
        <v>024-212-45</v>
      </c>
      <c r="B1735" t="s">
        <v>4655</v>
      </c>
      <c r="C1735" t="s">
        <v>12534</v>
      </c>
      <c r="D1735" s="1">
        <v>40464</v>
      </c>
      <c r="E1735" s="2">
        <v>123000</v>
      </c>
      <c r="F1735" t="s">
        <v>4567</v>
      </c>
      <c r="G1735" s="17" t="str">
        <f>HYPERLINK("https://www.washoecounty.gov/assessor/cama/?command=sales&amp;parid=02421245","3932401")</f>
        <v>3932401</v>
      </c>
      <c r="H1735" t="s">
        <v>4121</v>
      </c>
      <c r="I1735">
        <v>1979</v>
      </c>
      <c r="J1735">
        <v>1979</v>
      </c>
      <c r="K1735" t="s">
        <v>4897</v>
      </c>
      <c r="L1735" t="s">
        <v>3974</v>
      </c>
      <c r="M1735" s="2">
        <v>1807</v>
      </c>
      <c r="N1735" t="s">
        <v>5280</v>
      </c>
      <c r="O1735">
        <v>2</v>
      </c>
      <c r="P1735">
        <v>3</v>
      </c>
      <c r="Q1735">
        <v>0</v>
      </c>
      <c r="R1735" t="s">
        <v>5281</v>
      </c>
      <c r="S1735" t="s">
        <v>4558</v>
      </c>
      <c r="T1735" t="s">
        <v>4559</v>
      </c>
      <c r="U1735" t="s">
        <v>5631</v>
      </c>
      <c r="V1735" s="2">
        <v>510</v>
      </c>
      <c r="W1735" t="s">
        <v>4655</v>
      </c>
      <c r="X1735" s="2">
        <v>0</v>
      </c>
      <c r="Y1735">
        <v>21</v>
      </c>
      <c r="Z1735" t="s">
        <v>2705</v>
      </c>
      <c r="AA1735" s="3">
        <v>1.00000004749745E-3</v>
      </c>
      <c r="AB1735" t="s">
        <v>12535</v>
      </c>
      <c r="AC1735" t="s">
        <v>4562</v>
      </c>
      <c r="AD1735" t="s">
        <v>12536</v>
      </c>
      <c r="AE1735" t="s">
        <v>4655</v>
      </c>
      <c r="AF1735" t="s">
        <v>4563</v>
      </c>
      <c r="AG1735" t="s">
        <v>4564</v>
      </c>
      <c r="AH1735">
        <v>89509</v>
      </c>
      <c r="AI1735" t="s">
        <v>12537</v>
      </c>
      <c r="AJ1735" t="s">
        <v>4655</v>
      </c>
      <c r="AK1735" t="s">
        <v>12538</v>
      </c>
      <c r="AL1735" s="13" t="s">
        <v>2255</v>
      </c>
      <c r="AM1735" s="14">
        <v>1</v>
      </c>
      <c r="AN1735" s="15" t="s">
        <v>4381</v>
      </c>
    </row>
    <row r="1736" spans="1:40" x14ac:dyDescent="0.3">
      <c r="A1736" s="10" t="str">
        <f>HYPERLINK("http://www.washoecounty.gov/assessor/cama/?parid=024-213-07&amp;CardNumber=1","024-213-07")</f>
        <v>024-213-07</v>
      </c>
      <c r="B1736" t="s">
        <v>4655</v>
      </c>
      <c r="C1736" t="s">
        <v>12539</v>
      </c>
      <c r="D1736" s="1">
        <v>40324</v>
      </c>
      <c r="E1736" s="2">
        <v>185000</v>
      </c>
      <c r="F1736" t="s">
        <v>4567</v>
      </c>
      <c r="G1736" s="17" t="str">
        <f>HYPERLINK("https://www.washoecounty.gov/assessor/cama/?command=sales&amp;parid=02421307","3885613")</f>
        <v>3885613</v>
      </c>
      <c r="H1736" t="s">
        <v>4121</v>
      </c>
      <c r="I1736">
        <v>1979</v>
      </c>
      <c r="J1736">
        <v>1979</v>
      </c>
      <c r="K1736" t="s">
        <v>4897</v>
      </c>
      <c r="L1736" t="s">
        <v>3974</v>
      </c>
      <c r="M1736" s="2">
        <v>1834</v>
      </c>
      <c r="N1736" t="s">
        <v>5280</v>
      </c>
      <c r="O1736">
        <v>2</v>
      </c>
      <c r="P1736">
        <v>2</v>
      </c>
      <c r="Q1736">
        <v>1</v>
      </c>
      <c r="R1736" t="s">
        <v>5281</v>
      </c>
      <c r="S1736" t="s">
        <v>4558</v>
      </c>
      <c r="T1736" t="s">
        <v>4559</v>
      </c>
      <c r="U1736" t="s">
        <v>5631</v>
      </c>
      <c r="V1736" s="2">
        <v>474</v>
      </c>
      <c r="W1736" t="s">
        <v>4655</v>
      </c>
      <c r="X1736" s="2">
        <v>0</v>
      </c>
      <c r="Y1736">
        <v>21</v>
      </c>
      <c r="Z1736" t="s">
        <v>2705</v>
      </c>
      <c r="AA1736" s="3">
        <v>1.00000004749745E-3</v>
      </c>
      <c r="AB1736" t="s">
        <v>12540</v>
      </c>
      <c r="AC1736" t="s">
        <v>4562</v>
      </c>
      <c r="AD1736" t="s">
        <v>12539</v>
      </c>
      <c r="AE1736" t="s">
        <v>4655</v>
      </c>
      <c r="AF1736" t="s">
        <v>4563</v>
      </c>
      <c r="AG1736" t="s">
        <v>4564</v>
      </c>
      <c r="AH1736">
        <v>89509</v>
      </c>
      <c r="AI1736" t="s">
        <v>12541</v>
      </c>
      <c r="AJ1736" t="s">
        <v>4655</v>
      </c>
      <c r="AK1736" t="s">
        <v>12542</v>
      </c>
      <c r="AL1736" s="13" t="s">
        <v>2255</v>
      </c>
      <c r="AM1736" s="14">
        <v>1</v>
      </c>
      <c r="AN1736" s="15" t="s">
        <v>4381</v>
      </c>
    </row>
    <row r="1737" spans="1:40" x14ac:dyDescent="0.3">
      <c r="A1737" s="10" t="str">
        <f>HYPERLINK("http://www.washoecounty.gov/assessor/cama/?parid=024-231-03&amp;CardNumber=1","024-231-03")</f>
        <v>024-231-03</v>
      </c>
      <c r="B1737" t="s">
        <v>4655</v>
      </c>
      <c r="C1737" t="s">
        <v>12543</v>
      </c>
      <c r="D1737" s="1">
        <v>40340</v>
      </c>
      <c r="E1737" s="2">
        <v>250000</v>
      </c>
      <c r="F1737" t="s">
        <v>4567</v>
      </c>
      <c r="G1737" s="17" t="str">
        <f>HYPERLINK("https://www.washoecounty.gov/assessor/cama/?command=sales&amp;parid=02423103","3890967")</f>
        <v>3890967</v>
      </c>
      <c r="H1737" t="s">
        <v>2043</v>
      </c>
      <c r="I1737">
        <v>1986</v>
      </c>
      <c r="J1737">
        <v>1986</v>
      </c>
      <c r="K1737" t="s">
        <v>4554</v>
      </c>
      <c r="L1737" t="s">
        <v>4555</v>
      </c>
      <c r="M1737" s="2">
        <v>1780</v>
      </c>
      <c r="N1737" t="s">
        <v>5280</v>
      </c>
      <c r="O1737">
        <v>3</v>
      </c>
      <c r="P1737">
        <v>2</v>
      </c>
      <c r="Q1737">
        <v>0</v>
      </c>
      <c r="R1737" t="s">
        <v>4557</v>
      </c>
      <c r="S1737" t="s">
        <v>4558</v>
      </c>
      <c r="T1737" t="s">
        <v>2704</v>
      </c>
      <c r="U1737" t="s">
        <v>4560</v>
      </c>
      <c r="V1737" s="2">
        <v>630</v>
      </c>
      <c r="W1737" t="s">
        <v>4655</v>
      </c>
      <c r="X1737" s="2">
        <v>0</v>
      </c>
      <c r="Y1737">
        <v>20</v>
      </c>
      <c r="Z1737" t="s">
        <v>385</v>
      </c>
      <c r="AA1737" s="3">
        <v>0.26000916957855202</v>
      </c>
      <c r="AB1737" t="s">
        <v>12544</v>
      </c>
      <c r="AC1737" t="s">
        <v>4562</v>
      </c>
      <c r="AD1737" t="s">
        <v>12543</v>
      </c>
      <c r="AE1737" t="s">
        <v>4655</v>
      </c>
      <c r="AF1737" t="s">
        <v>4563</v>
      </c>
      <c r="AG1737" t="s">
        <v>4564</v>
      </c>
      <c r="AH1737">
        <v>89509</v>
      </c>
      <c r="AI1737" t="s">
        <v>12545</v>
      </c>
      <c r="AJ1737" t="s">
        <v>4655</v>
      </c>
      <c r="AK1737" t="s">
        <v>12546</v>
      </c>
      <c r="AL1737" s="13" t="s">
        <v>2257</v>
      </c>
      <c r="AM1737" s="14">
        <v>1</v>
      </c>
      <c r="AN1737" s="15" t="s">
        <v>1526</v>
      </c>
    </row>
    <row r="1738" spans="1:40" x14ac:dyDescent="0.3">
      <c r="A1738" s="10" t="str">
        <f>HYPERLINK("http://www.washoecounty.gov/assessor/cama/?parid=024-281-05&amp;CardNumber=1","024-281-05")</f>
        <v>024-281-05</v>
      </c>
      <c r="B1738" t="s">
        <v>4655</v>
      </c>
      <c r="C1738" t="s">
        <v>12547</v>
      </c>
      <c r="D1738" s="1">
        <v>40298</v>
      </c>
      <c r="E1738" s="2">
        <v>351010</v>
      </c>
      <c r="F1738" t="s">
        <v>3512</v>
      </c>
      <c r="G1738" s="17" t="str">
        <f>HYPERLINK("https://www.washoecounty.gov/assessor/cama/?command=sales&amp;parid=02428105","3876568")</f>
        <v>3876568</v>
      </c>
      <c r="H1738" t="s">
        <v>12548</v>
      </c>
      <c r="I1738">
        <v>1988</v>
      </c>
      <c r="J1738">
        <v>1993</v>
      </c>
      <c r="K1738" t="s">
        <v>12549</v>
      </c>
      <c r="L1738" t="s">
        <v>3038</v>
      </c>
      <c r="M1738" s="2">
        <v>4960</v>
      </c>
      <c r="N1738" t="s">
        <v>3531</v>
      </c>
      <c r="O1738">
        <v>0</v>
      </c>
      <c r="P1738">
        <v>0</v>
      </c>
      <c r="Q1738">
        <v>0</v>
      </c>
      <c r="R1738" t="s">
        <v>1395</v>
      </c>
      <c r="S1738" t="s">
        <v>5090</v>
      </c>
      <c r="T1738" t="s">
        <v>4655</v>
      </c>
      <c r="U1738" t="s">
        <v>4655</v>
      </c>
      <c r="V1738" s="2">
        <v>0</v>
      </c>
      <c r="W1738" t="s">
        <v>4655</v>
      </c>
      <c r="X1738" s="2">
        <v>0</v>
      </c>
      <c r="Y1738">
        <v>41</v>
      </c>
      <c r="Z1738" t="s">
        <v>3098</v>
      </c>
      <c r="AA1738" s="3">
        <v>0.16827364265918732</v>
      </c>
      <c r="AB1738" t="s">
        <v>12550</v>
      </c>
      <c r="AC1738" t="s">
        <v>4575</v>
      </c>
      <c r="AD1738" t="s">
        <v>3100</v>
      </c>
      <c r="AE1738" t="s">
        <v>4655</v>
      </c>
      <c r="AF1738" t="s">
        <v>4149</v>
      </c>
      <c r="AG1738" t="s">
        <v>5277</v>
      </c>
      <c r="AH1738">
        <v>85022</v>
      </c>
      <c r="AI1738" t="s">
        <v>3099</v>
      </c>
      <c r="AJ1738" t="s">
        <v>4655</v>
      </c>
      <c r="AK1738" t="s">
        <v>12551</v>
      </c>
      <c r="AL1738" s="13" t="s">
        <v>2255</v>
      </c>
      <c r="AM1738">
        <v>1</v>
      </c>
      <c r="AN1738" s="15" t="s">
        <v>1433</v>
      </c>
    </row>
    <row r="1739" spans="1:40" x14ac:dyDescent="0.3">
      <c r="A1739" s="10" t="str">
        <f>HYPERLINK("http://www.washoecounty.gov/assessor/cama/?parid=024-281-09&amp;CardNumber=1","024-281-09")</f>
        <v>024-281-09</v>
      </c>
      <c r="B1739" t="s">
        <v>4655</v>
      </c>
      <c r="C1739" t="s">
        <v>12552</v>
      </c>
      <c r="D1739" s="1">
        <v>40298</v>
      </c>
      <c r="E1739" s="2">
        <v>351010</v>
      </c>
      <c r="F1739" t="s">
        <v>3512</v>
      </c>
      <c r="G1739" s="17" t="str">
        <f>HYPERLINK("https://www.washoecounty.gov/assessor/cama/?command=sales&amp;parid=02428109","3876568")</f>
        <v>3876568</v>
      </c>
      <c r="H1739" t="s">
        <v>12548</v>
      </c>
      <c r="I1739">
        <v>0</v>
      </c>
      <c r="J1739">
        <v>0</v>
      </c>
      <c r="K1739" t="s">
        <v>1243</v>
      </c>
      <c r="L1739" t="s">
        <v>3101</v>
      </c>
      <c r="M1739" s="2">
        <v>0</v>
      </c>
      <c r="N1739" t="s">
        <v>4655</v>
      </c>
      <c r="O1739">
        <v>0</v>
      </c>
      <c r="P1739">
        <v>0</v>
      </c>
      <c r="Q1739">
        <v>0</v>
      </c>
      <c r="R1739" t="s">
        <v>4655</v>
      </c>
      <c r="S1739" t="s">
        <v>4655</v>
      </c>
      <c r="T1739" t="s">
        <v>4655</v>
      </c>
      <c r="U1739" t="s">
        <v>4655</v>
      </c>
      <c r="V1739" s="2">
        <v>0</v>
      </c>
      <c r="W1739" t="s">
        <v>4655</v>
      </c>
      <c r="X1739" s="2">
        <v>0</v>
      </c>
      <c r="Y1739">
        <v>18</v>
      </c>
      <c r="Z1739" t="s">
        <v>3098</v>
      </c>
      <c r="AA1739" s="3">
        <v>0.121992655098438</v>
      </c>
      <c r="AB1739" t="s">
        <v>12550</v>
      </c>
      <c r="AC1739" t="s">
        <v>4575</v>
      </c>
      <c r="AD1739" t="s">
        <v>3100</v>
      </c>
      <c r="AE1739" t="s">
        <v>4655</v>
      </c>
      <c r="AF1739" t="s">
        <v>4149</v>
      </c>
      <c r="AG1739" t="s">
        <v>5277</v>
      </c>
      <c r="AH1739">
        <v>85022</v>
      </c>
      <c r="AI1739" t="s">
        <v>3099</v>
      </c>
      <c r="AJ1739" t="s">
        <v>4655</v>
      </c>
      <c r="AK1739" t="s">
        <v>12553</v>
      </c>
      <c r="AL1739" s="13" t="s">
        <v>2255</v>
      </c>
      <c r="AM1739" s="14">
        <v>1</v>
      </c>
      <c r="AN1739" s="15" t="s">
        <v>1527</v>
      </c>
    </row>
    <row r="1740" spans="1:40" x14ac:dyDescent="0.3">
      <c r="A1740" s="10" t="str">
        <f>HYPERLINK("http://www.washoecounty.gov/assessor/cama/?parid=024-291-26&amp;CardNumber=1","024-291-26")</f>
        <v>024-291-26</v>
      </c>
      <c r="B1740" t="s">
        <v>4655</v>
      </c>
      <c r="C1740" t="s">
        <v>12554</v>
      </c>
      <c r="D1740" s="1">
        <v>40298</v>
      </c>
      <c r="E1740" s="2">
        <v>215000</v>
      </c>
      <c r="F1740" t="s">
        <v>4567</v>
      </c>
      <c r="G1740" s="17" t="str">
        <f>HYPERLINK("https://www.washoecounty.gov/assessor/cama/?command=sales&amp;parid=02429126","3876550")</f>
        <v>3876550</v>
      </c>
      <c r="H1740" t="s">
        <v>3102</v>
      </c>
      <c r="I1740">
        <v>1992</v>
      </c>
      <c r="J1740">
        <v>1992</v>
      </c>
      <c r="K1740" t="s">
        <v>4554</v>
      </c>
      <c r="L1740" t="s">
        <v>4555</v>
      </c>
      <c r="M1740" s="2">
        <v>1385</v>
      </c>
      <c r="N1740" t="s">
        <v>5280</v>
      </c>
      <c r="O1740">
        <v>3</v>
      </c>
      <c r="P1740">
        <v>2</v>
      </c>
      <c r="Q1740">
        <v>0</v>
      </c>
      <c r="R1740" t="s">
        <v>5281</v>
      </c>
      <c r="S1740" t="s">
        <v>4558</v>
      </c>
      <c r="T1740" t="s">
        <v>4559</v>
      </c>
      <c r="U1740" t="s">
        <v>4560</v>
      </c>
      <c r="V1740" s="2">
        <v>681</v>
      </c>
      <c r="W1740" t="s">
        <v>4655</v>
      </c>
      <c r="X1740" s="2">
        <v>0</v>
      </c>
      <c r="Y1740">
        <v>20</v>
      </c>
      <c r="Z1740" t="s">
        <v>4561</v>
      </c>
      <c r="AA1740" s="3">
        <v>0.24600550532341001</v>
      </c>
      <c r="AB1740" t="s">
        <v>12555</v>
      </c>
      <c r="AC1740" t="s">
        <v>4562</v>
      </c>
      <c r="AD1740" t="s">
        <v>12554</v>
      </c>
      <c r="AE1740" t="s">
        <v>4655</v>
      </c>
      <c r="AF1740" t="s">
        <v>4563</v>
      </c>
      <c r="AG1740" t="s">
        <v>4564</v>
      </c>
      <c r="AH1740">
        <v>89509</v>
      </c>
      <c r="AI1740" t="s">
        <v>12556</v>
      </c>
      <c r="AJ1740" t="s">
        <v>4655</v>
      </c>
      <c r="AK1740" t="s">
        <v>12557</v>
      </c>
      <c r="AL1740" s="13" t="s">
        <v>2257</v>
      </c>
      <c r="AM1740">
        <v>1</v>
      </c>
      <c r="AN1740" s="15" t="s">
        <v>4853</v>
      </c>
    </row>
    <row r="1741" spans="1:40" x14ac:dyDescent="0.3">
      <c r="A1741" s="10" t="str">
        <f>HYPERLINK("http://www.washoecounty.gov/assessor/cama/?parid=024-292-20&amp;CardNumber=1","024-292-20")</f>
        <v>024-292-20</v>
      </c>
      <c r="B1741" t="s">
        <v>4655</v>
      </c>
      <c r="C1741" t="s">
        <v>12558</v>
      </c>
      <c r="D1741" s="1">
        <v>40249</v>
      </c>
      <c r="E1741" s="2">
        <v>245000</v>
      </c>
      <c r="F1741" t="s">
        <v>4567</v>
      </c>
      <c r="G1741" s="17" t="str">
        <f>HYPERLINK("https://www.washoecounty.gov/assessor/cama/?command=sales&amp;parid=02429220","3859559")</f>
        <v>3859559</v>
      </c>
      <c r="H1741" t="s">
        <v>4852</v>
      </c>
      <c r="I1741">
        <v>1992</v>
      </c>
      <c r="J1741">
        <v>1992</v>
      </c>
      <c r="K1741" t="s">
        <v>4554</v>
      </c>
      <c r="L1741" t="s">
        <v>3974</v>
      </c>
      <c r="M1741" s="2">
        <v>2080</v>
      </c>
      <c r="N1741" t="s">
        <v>5280</v>
      </c>
      <c r="O1741">
        <v>4</v>
      </c>
      <c r="P1741">
        <v>2</v>
      </c>
      <c r="Q1741">
        <v>1</v>
      </c>
      <c r="R1741" t="s">
        <v>5281</v>
      </c>
      <c r="S1741" t="s">
        <v>4558</v>
      </c>
      <c r="T1741" t="s">
        <v>4559</v>
      </c>
      <c r="U1741" t="s">
        <v>4560</v>
      </c>
      <c r="V1741" s="2">
        <v>604</v>
      </c>
      <c r="W1741" t="s">
        <v>4655</v>
      </c>
      <c r="X1741" s="2">
        <v>0</v>
      </c>
      <c r="Y1741">
        <v>20</v>
      </c>
      <c r="Z1741" t="s">
        <v>4561</v>
      </c>
      <c r="AA1741" s="3">
        <v>0.22699724137783051</v>
      </c>
      <c r="AB1741" t="s">
        <v>12559</v>
      </c>
      <c r="AC1741" t="s">
        <v>4575</v>
      </c>
      <c r="AD1741" t="s">
        <v>12558</v>
      </c>
      <c r="AE1741" t="s">
        <v>4655</v>
      </c>
      <c r="AF1741" t="s">
        <v>4563</v>
      </c>
      <c r="AG1741" t="s">
        <v>4564</v>
      </c>
      <c r="AH1741">
        <v>89509</v>
      </c>
      <c r="AI1741" t="s">
        <v>12560</v>
      </c>
      <c r="AJ1741" t="s">
        <v>4655</v>
      </c>
      <c r="AK1741" t="s">
        <v>12561</v>
      </c>
      <c r="AL1741" s="13" t="s">
        <v>2255</v>
      </c>
      <c r="AM1741">
        <v>1</v>
      </c>
      <c r="AN1741" s="15" t="s">
        <v>4853</v>
      </c>
    </row>
    <row r="1742" spans="1:40" x14ac:dyDescent="0.3">
      <c r="A1742" s="10" t="str">
        <f>HYPERLINK("http://www.washoecounty.gov/assessor/cama/?parid=024-330-07&amp;CardNumber=1","024-330-07")</f>
        <v>024-330-07</v>
      </c>
      <c r="B1742" t="s">
        <v>4655</v>
      </c>
      <c r="C1742" t="s">
        <v>3771</v>
      </c>
      <c r="D1742" s="1">
        <v>40249</v>
      </c>
      <c r="E1742" s="2">
        <v>155000</v>
      </c>
      <c r="F1742" t="s">
        <v>4567</v>
      </c>
      <c r="G1742" s="17" t="str">
        <f>HYPERLINK("https://www.washoecounty.gov/assessor/cama/?command=sales&amp;parid=02433007","3859554")</f>
        <v>3859554</v>
      </c>
      <c r="H1742" t="s">
        <v>12562</v>
      </c>
      <c r="I1742">
        <v>2004</v>
      </c>
      <c r="J1742">
        <v>2004</v>
      </c>
      <c r="K1742" t="s">
        <v>4897</v>
      </c>
      <c r="L1742" t="s">
        <v>3974</v>
      </c>
      <c r="M1742" s="2">
        <v>1405</v>
      </c>
      <c r="N1742" t="s">
        <v>5280</v>
      </c>
      <c r="O1742">
        <v>3</v>
      </c>
      <c r="P1742">
        <v>2</v>
      </c>
      <c r="Q1742">
        <v>1</v>
      </c>
      <c r="R1742" t="s">
        <v>5281</v>
      </c>
      <c r="S1742" t="s">
        <v>4558</v>
      </c>
      <c r="T1742" t="s">
        <v>4559</v>
      </c>
      <c r="U1742" t="s">
        <v>5631</v>
      </c>
      <c r="V1742" s="2">
        <v>242</v>
      </c>
      <c r="W1742" t="s">
        <v>4655</v>
      </c>
      <c r="X1742" s="2">
        <v>0</v>
      </c>
      <c r="Y1742">
        <v>20</v>
      </c>
      <c r="Z1742" t="s">
        <v>4144</v>
      </c>
      <c r="AA1742" s="3">
        <v>8.7878786027431502E-2</v>
      </c>
      <c r="AB1742" t="s">
        <v>3772</v>
      </c>
      <c r="AC1742" t="s">
        <v>4562</v>
      </c>
      <c r="AD1742" t="s">
        <v>3771</v>
      </c>
      <c r="AE1742" t="s">
        <v>4655</v>
      </c>
      <c r="AF1742" t="s">
        <v>4563</v>
      </c>
      <c r="AG1742" t="s">
        <v>4564</v>
      </c>
      <c r="AH1742">
        <v>89509</v>
      </c>
      <c r="AI1742" t="s">
        <v>12563</v>
      </c>
      <c r="AJ1742" t="s">
        <v>3773</v>
      </c>
      <c r="AK1742" t="s">
        <v>12564</v>
      </c>
      <c r="AL1742" s="13" t="s">
        <v>2257</v>
      </c>
      <c r="AM1742">
        <v>1</v>
      </c>
      <c r="AN1742" s="15" t="s">
        <v>3769</v>
      </c>
    </row>
    <row r="1743" spans="1:40" x14ac:dyDescent="0.3">
      <c r="A1743" s="10" t="str">
        <f>HYPERLINK("http://www.washoecounty.gov/assessor/cama/?parid=024-330-09&amp;CardNumber=1","024-330-09")</f>
        <v>024-330-09</v>
      </c>
      <c r="B1743" t="s">
        <v>4655</v>
      </c>
      <c r="C1743" t="s">
        <v>12565</v>
      </c>
      <c r="D1743" s="1">
        <v>40479</v>
      </c>
      <c r="E1743" s="2">
        <v>147000</v>
      </c>
      <c r="F1743" t="s">
        <v>4567</v>
      </c>
      <c r="G1743" s="17" t="str">
        <f>HYPERLINK("https://www.washoecounty.gov/assessor/cama/?command=sales&amp;parid=02433009","3937788")</f>
        <v>3937788</v>
      </c>
      <c r="H1743" t="s">
        <v>12562</v>
      </c>
      <c r="I1743">
        <v>2003</v>
      </c>
      <c r="J1743">
        <v>2003</v>
      </c>
      <c r="K1743" t="s">
        <v>4897</v>
      </c>
      <c r="L1743" t="s">
        <v>3974</v>
      </c>
      <c r="M1743" s="2">
        <v>1545</v>
      </c>
      <c r="N1743" t="s">
        <v>5280</v>
      </c>
      <c r="O1743">
        <v>2</v>
      </c>
      <c r="P1743">
        <v>2</v>
      </c>
      <c r="Q1743">
        <v>1</v>
      </c>
      <c r="R1743" t="s">
        <v>5281</v>
      </c>
      <c r="S1743" t="s">
        <v>4558</v>
      </c>
      <c r="T1743" t="s">
        <v>4559</v>
      </c>
      <c r="U1743" t="s">
        <v>5631</v>
      </c>
      <c r="V1743" s="2">
        <v>242</v>
      </c>
      <c r="W1743" t="s">
        <v>4655</v>
      </c>
      <c r="X1743" s="2">
        <v>0</v>
      </c>
      <c r="Y1743">
        <v>20</v>
      </c>
      <c r="Z1743" t="s">
        <v>4144</v>
      </c>
      <c r="AA1743" s="3">
        <v>7.0798896253109006E-2</v>
      </c>
      <c r="AB1743" t="s">
        <v>12566</v>
      </c>
      <c r="AC1743" t="s">
        <v>4562</v>
      </c>
      <c r="AD1743" t="s">
        <v>12565</v>
      </c>
      <c r="AE1743" t="s">
        <v>4655</v>
      </c>
      <c r="AF1743" t="s">
        <v>4563</v>
      </c>
      <c r="AG1743" t="s">
        <v>4564</v>
      </c>
      <c r="AH1743">
        <v>89509</v>
      </c>
      <c r="AI1743" t="s">
        <v>12567</v>
      </c>
      <c r="AJ1743" t="s">
        <v>3773</v>
      </c>
      <c r="AK1743" t="s">
        <v>12568</v>
      </c>
      <c r="AL1743" s="13" t="s">
        <v>2257</v>
      </c>
      <c r="AM1743" s="14">
        <v>1</v>
      </c>
      <c r="AN1743" s="15" t="s">
        <v>3769</v>
      </c>
    </row>
    <row r="1744" spans="1:40" x14ac:dyDescent="0.3">
      <c r="A1744" s="10" t="str">
        <f>HYPERLINK("http://www.washoecounty.gov/assessor/cama/?parid=025-030-17&amp;CardNumber=1","025-030-17")</f>
        <v>025-030-17</v>
      </c>
      <c r="B1744" t="s">
        <v>4655</v>
      </c>
      <c r="C1744" t="s">
        <v>12569</v>
      </c>
      <c r="D1744" s="1">
        <v>40317</v>
      </c>
      <c r="E1744" s="2">
        <v>70000</v>
      </c>
      <c r="F1744" t="s">
        <v>4567</v>
      </c>
      <c r="G1744" s="17" t="str">
        <f>HYPERLINK("https://www.washoecounty.gov/assessor/cama/?command=sales&amp;parid=02503017","3883216")</f>
        <v>3883216</v>
      </c>
      <c r="H1744" t="s">
        <v>12570</v>
      </c>
      <c r="I1744">
        <v>1969</v>
      </c>
      <c r="J1744">
        <v>1969</v>
      </c>
      <c r="K1744" t="s">
        <v>4897</v>
      </c>
      <c r="L1744" t="s">
        <v>3974</v>
      </c>
      <c r="M1744" s="2">
        <v>1220</v>
      </c>
      <c r="N1744" t="s">
        <v>4048</v>
      </c>
      <c r="O1744">
        <v>3</v>
      </c>
      <c r="P1744">
        <v>1</v>
      </c>
      <c r="Q1744">
        <v>1</v>
      </c>
      <c r="R1744" t="s">
        <v>4676</v>
      </c>
      <c r="S1744" t="s">
        <v>4682</v>
      </c>
      <c r="T1744" t="s">
        <v>4559</v>
      </c>
      <c r="U1744" t="s">
        <v>4655</v>
      </c>
      <c r="V1744" s="2">
        <v>0</v>
      </c>
      <c r="W1744" t="s">
        <v>4655</v>
      </c>
      <c r="X1744" s="2">
        <v>0</v>
      </c>
      <c r="Y1744">
        <v>21</v>
      </c>
      <c r="Z1744" t="s">
        <v>3532</v>
      </c>
      <c r="AA1744" s="3">
        <v>1.00000004749745E-3</v>
      </c>
      <c r="AB1744" t="s">
        <v>12571</v>
      </c>
      <c r="AC1744" t="s">
        <v>4575</v>
      </c>
      <c r="AD1744" t="s">
        <v>12572</v>
      </c>
      <c r="AE1744" t="s">
        <v>4655</v>
      </c>
      <c r="AF1744" t="s">
        <v>4563</v>
      </c>
      <c r="AG1744" t="s">
        <v>4564</v>
      </c>
      <c r="AH1744">
        <v>89502</v>
      </c>
      <c r="AI1744" t="s">
        <v>12573</v>
      </c>
      <c r="AJ1744" t="s">
        <v>4655</v>
      </c>
      <c r="AK1744" t="s">
        <v>12574</v>
      </c>
      <c r="AL1744" s="13" t="s">
        <v>2257</v>
      </c>
      <c r="AM1744">
        <v>1</v>
      </c>
      <c r="AN1744" s="15" t="s">
        <v>787</v>
      </c>
    </row>
    <row r="1745" spans="1:40" x14ac:dyDescent="0.3">
      <c r="A1745" s="10" t="str">
        <f>HYPERLINK("http://www.washoecounty.gov/assessor/cama/?parid=025-030-20&amp;CardNumber=1","025-030-20")</f>
        <v>025-030-20</v>
      </c>
      <c r="B1745" t="s">
        <v>4655</v>
      </c>
      <c r="C1745" t="s">
        <v>12575</v>
      </c>
      <c r="D1745" s="1">
        <v>40317</v>
      </c>
      <c r="E1745" s="2">
        <v>50000</v>
      </c>
      <c r="F1745" t="s">
        <v>4567</v>
      </c>
      <c r="G1745" s="17" t="str">
        <f>HYPERLINK("https://www.washoecounty.gov/assessor/cama/?command=sales&amp;parid=02503020","3882960")</f>
        <v>3882960</v>
      </c>
      <c r="H1745" t="s">
        <v>952</v>
      </c>
      <c r="I1745">
        <v>1969</v>
      </c>
      <c r="J1745">
        <v>1969</v>
      </c>
      <c r="K1745" t="s">
        <v>3144</v>
      </c>
      <c r="L1745" t="s">
        <v>3974</v>
      </c>
      <c r="M1745" s="2">
        <v>1040</v>
      </c>
      <c r="N1745" t="s">
        <v>4048</v>
      </c>
      <c r="O1745">
        <v>3</v>
      </c>
      <c r="P1745">
        <v>1</v>
      </c>
      <c r="Q1745">
        <v>1</v>
      </c>
      <c r="R1745" t="s">
        <v>4676</v>
      </c>
      <c r="S1745" t="s">
        <v>4682</v>
      </c>
      <c r="T1745" t="s">
        <v>4559</v>
      </c>
      <c r="U1745" t="s">
        <v>4655</v>
      </c>
      <c r="V1745" s="2">
        <v>0</v>
      </c>
      <c r="W1745" t="s">
        <v>4655</v>
      </c>
      <c r="X1745" s="2">
        <v>0</v>
      </c>
      <c r="Y1745">
        <v>21</v>
      </c>
      <c r="Z1745" t="s">
        <v>3532</v>
      </c>
      <c r="AA1745" s="3">
        <v>1.00000004749745E-3</v>
      </c>
      <c r="AB1745" t="s">
        <v>12576</v>
      </c>
      <c r="AC1745" t="s">
        <v>4575</v>
      </c>
      <c r="AD1745" t="s">
        <v>12577</v>
      </c>
      <c r="AE1745" t="s">
        <v>4655</v>
      </c>
      <c r="AF1745" t="s">
        <v>1407</v>
      </c>
      <c r="AG1745" t="s">
        <v>4564</v>
      </c>
      <c r="AH1745">
        <v>89704</v>
      </c>
      <c r="AI1745" t="s">
        <v>12578</v>
      </c>
      <c r="AJ1745" t="s">
        <v>4655</v>
      </c>
      <c r="AK1745" t="s">
        <v>12579</v>
      </c>
      <c r="AL1745" s="13" t="s">
        <v>2257</v>
      </c>
      <c r="AM1745">
        <v>1</v>
      </c>
      <c r="AN1745" s="15" t="s">
        <v>787</v>
      </c>
    </row>
    <row r="1746" spans="1:40" x14ac:dyDescent="0.3">
      <c r="A1746" s="10" t="str">
        <f>HYPERLINK("http://www.washoecounty.gov/assessor/cama/?parid=025-030-50&amp;CardNumber=1","025-030-50")</f>
        <v>025-030-50</v>
      </c>
      <c r="B1746" t="s">
        <v>4655</v>
      </c>
      <c r="C1746" t="s">
        <v>12580</v>
      </c>
      <c r="D1746" s="1">
        <v>40414</v>
      </c>
      <c r="E1746" s="2">
        <v>42000</v>
      </c>
      <c r="F1746" t="s">
        <v>4567</v>
      </c>
      <c r="G1746" s="17" t="str">
        <f>HYPERLINK("https://www.washoecounty.gov/assessor/cama/?command=sales&amp;parid=02503050","3915093")</f>
        <v>3915093</v>
      </c>
      <c r="H1746" t="s">
        <v>952</v>
      </c>
      <c r="I1746">
        <v>1969</v>
      </c>
      <c r="J1746">
        <v>1969</v>
      </c>
      <c r="K1746" t="s">
        <v>3144</v>
      </c>
      <c r="L1746" t="s">
        <v>3974</v>
      </c>
      <c r="M1746" s="2">
        <v>1220</v>
      </c>
      <c r="N1746" t="s">
        <v>4048</v>
      </c>
      <c r="O1746">
        <v>3</v>
      </c>
      <c r="P1746">
        <v>1</v>
      </c>
      <c r="Q1746">
        <v>1</v>
      </c>
      <c r="R1746" t="s">
        <v>4676</v>
      </c>
      <c r="S1746" t="s">
        <v>4682</v>
      </c>
      <c r="T1746" t="s">
        <v>4559</v>
      </c>
      <c r="U1746" t="s">
        <v>4655</v>
      </c>
      <c r="V1746" s="2">
        <v>0</v>
      </c>
      <c r="W1746" t="s">
        <v>4655</v>
      </c>
      <c r="X1746" s="2">
        <v>0</v>
      </c>
      <c r="Y1746">
        <v>21</v>
      </c>
      <c r="Z1746" t="s">
        <v>3532</v>
      </c>
      <c r="AA1746" s="3">
        <v>1.00000004749745E-3</v>
      </c>
      <c r="AB1746" t="s">
        <v>12581</v>
      </c>
      <c r="AC1746" t="s">
        <v>4562</v>
      </c>
      <c r="AD1746" t="s">
        <v>12582</v>
      </c>
      <c r="AE1746" t="s">
        <v>4655</v>
      </c>
      <c r="AF1746" t="s">
        <v>4563</v>
      </c>
      <c r="AG1746" t="s">
        <v>4564</v>
      </c>
      <c r="AH1746">
        <v>89502</v>
      </c>
      <c r="AI1746" t="s">
        <v>12583</v>
      </c>
      <c r="AJ1746" t="s">
        <v>4655</v>
      </c>
      <c r="AK1746" t="s">
        <v>12584</v>
      </c>
      <c r="AL1746" s="13" t="s">
        <v>2257</v>
      </c>
      <c r="AM1746" s="14">
        <v>1</v>
      </c>
      <c r="AN1746" s="15" t="s">
        <v>787</v>
      </c>
    </row>
    <row r="1747" spans="1:40" x14ac:dyDescent="0.3">
      <c r="A1747" s="10" t="str">
        <f>HYPERLINK("http://www.washoecounty.gov/assessor/cama/?parid=025-030-55&amp;CardNumber=1","025-030-55")</f>
        <v>025-030-55</v>
      </c>
      <c r="B1747" t="s">
        <v>4655</v>
      </c>
      <c r="C1747" t="s">
        <v>12585</v>
      </c>
      <c r="D1747" s="1">
        <v>40456</v>
      </c>
      <c r="E1747" s="2">
        <v>45000</v>
      </c>
      <c r="F1747" t="s">
        <v>4553</v>
      </c>
      <c r="G1747" s="17" t="str">
        <f>HYPERLINK("https://www.washoecounty.gov/assessor/cama/?command=sales&amp;parid=02503055","3929559")</f>
        <v>3929559</v>
      </c>
      <c r="H1747" t="s">
        <v>952</v>
      </c>
      <c r="I1747">
        <v>1969</v>
      </c>
      <c r="J1747">
        <v>1969</v>
      </c>
      <c r="K1747" t="s">
        <v>4897</v>
      </c>
      <c r="L1747" t="s">
        <v>3974</v>
      </c>
      <c r="M1747" s="2">
        <v>1220</v>
      </c>
      <c r="N1747" t="s">
        <v>4048</v>
      </c>
      <c r="O1747">
        <v>3</v>
      </c>
      <c r="P1747">
        <v>1</v>
      </c>
      <c r="Q1747">
        <v>1</v>
      </c>
      <c r="R1747" t="s">
        <v>4676</v>
      </c>
      <c r="S1747" t="s">
        <v>4682</v>
      </c>
      <c r="T1747" t="s">
        <v>4559</v>
      </c>
      <c r="U1747" t="s">
        <v>4655</v>
      </c>
      <c r="V1747" s="2">
        <v>0</v>
      </c>
      <c r="W1747" t="s">
        <v>4655</v>
      </c>
      <c r="X1747" s="2">
        <v>0</v>
      </c>
      <c r="Y1747">
        <v>21</v>
      </c>
      <c r="Z1747" t="s">
        <v>3532</v>
      </c>
      <c r="AA1747" s="3">
        <v>1.00000004749745E-3</v>
      </c>
      <c r="AB1747" t="s">
        <v>4915</v>
      </c>
      <c r="AC1747" t="s">
        <v>4575</v>
      </c>
      <c r="AD1747" t="s">
        <v>4916</v>
      </c>
      <c r="AE1747" t="s">
        <v>4655</v>
      </c>
      <c r="AF1747" t="s">
        <v>4563</v>
      </c>
      <c r="AG1747" t="s">
        <v>4564</v>
      </c>
      <c r="AH1747" t="s">
        <v>5197</v>
      </c>
      <c r="AI1747" t="s">
        <v>4045</v>
      </c>
      <c r="AJ1747" t="s">
        <v>4655</v>
      </c>
      <c r="AK1747" t="s">
        <v>12586</v>
      </c>
      <c r="AL1747" s="13" t="s">
        <v>2257</v>
      </c>
      <c r="AM1747">
        <v>1</v>
      </c>
      <c r="AN1747" s="15" t="s">
        <v>787</v>
      </c>
    </row>
    <row r="1748" spans="1:40" x14ac:dyDescent="0.3">
      <c r="A1748" s="10" t="str">
        <f>HYPERLINK("http://www.washoecounty.gov/assessor/cama/?parid=025-040-16&amp;CardNumber=1","025-040-16")</f>
        <v>025-040-16</v>
      </c>
      <c r="B1748" t="s">
        <v>4655</v>
      </c>
      <c r="C1748" t="s">
        <v>12587</v>
      </c>
      <c r="D1748" s="1">
        <v>40262</v>
      </c>
      <c r="E1748" s="2">
        <v>48888</v>
      </c>
      <c r="F1748" t="s">
        <v>4553</v>
      </c>
      <c r="G1748" s="17" t="str">
        <f>HYPERLINK("https://www.washoecounty.gov/assessor/cama/?command=sales&amp;parid=02504016","3863899")</f>
        <v>3863899</v>
      </c>
      <c r="H1748" t="s">
        <v>952</v>
      </c>
      <c r="I1748">
        <v>1969</v>
      </c>
      <c r="J1748">
        <v>1969</v>
      </c>
      <c r="K1748" t="s">
        <v>3144</v>
      </c>
      <c r="L1748" t="s">
        <v>3974</v>
      </c>
      <c r="M1748" s="2">
        <v>1220</v>
      </c>
      <c r="N1748" t="s">
        <v>4048</v>
      </c>
      <c r="O1748">
        <v>3</v>
      </c>
      <c r="P1748">
        <v>1</v>
      </c>
      <c r="Q1748">
        <v>1</v>
      </c>
      <c r="R1748" t="s">
        <v>4676</v>
      </c>
      <c r="S1748" t="s">
        <v>4682</v>
      </c>
      <c r="T1748" t="s">
        <v>4559</v>
      </c>
      <c r="U1748" t="s">
        <v>4655</v>
      </c>
      <c r="V1748" s="2">
        <v>0</v>
      </c>
      <c r="W1748" t="s">
        <v>4655</v>
      </c>
      <c r="X1748" s="2">
        <v>0</v>
      </c>
      <c r="Y1748">
        <v>21</v>
      </c>
      <c r="Z1748" t="s">
        <v>3532</v>
      </c>
      <c r="AA1748" s="3">
        <v>1.00000004749745E-3</v>
      </c>
      <c r="AB1748" t="s">
        <v>12588</v>
      </c>
      <c r="AC1748" t="s">
        <v>4562</v>
      </c>
      <c r="AD1748" t="s">
        <v>12589</v>
      </c>
      <c r="AE1748" t="s">
        <v>4655</v>
      </c>
      <c r="AF1748" t="s">
        <v>4563</v>
      </c>
      <c r="AG1748" t="s">
        <v>4564</v>
      </c>
      <c r="AH1748">
        <v>89509</v>
      </c>
      <c r="AI1748" t="s">
        <v>4655</v>
      </c>
      <c r="AJ1748" t="s">
        <v>4655</v>
      </c>
      <c r="AK1748" t="s">
        <v>12590</v>
      </c>
      <c r="AL1748" s="13" t="s">
        <v>2257</v>
      </c>
      <c r="AM1748">
        <v>1</v>
      </c>
      <c r="AN1748" s="15" t="s">
        <v>787</v>
      </c>
    </row>
    <row r="1749" spans="1:40" x14ac:dyDescent="0.3">
      <c r="A1749" s="10" t="str">
        <f>HYPERLINK("http://www.washoecounty.gov/assessor/cama/?parid=025-040-29&amp;CardNumber=1","025-040-29")</f>
        <v>025-040-29</v>
      </c>
      <c r="B1749" t="s">
        <v>4655</v>
      </c>
      <c r="C1749" t="s">
        <v>12591</v>
      </c>
      <c r="D1749" s="1">
        <v>40417</v>
      </c>
      <c r="E1749" s="2">
        <v>43000</v>
      </c>
      <c r="F1749" t="s">
        <v>4567</v>
      </c>
      <c r="G1749" s="17" t="str">
        <f>HYPERLINK("https://www.washoecounty.gov/assessor/cama/?command=sales&amp;parid=02504029","3916288")</f>
        <v>3916288</v>
      </c>
      <c r="H1749" t="s">
        <v>12570</v>
      </c>
      <c r="I1749">
        <v>1969</v>
      </c>
      <c r="J1749">
        <v>1969</v>
      </c>
      <c r="K1749" t="s">
        <v>3144</v>
      </c>
      <c r="L1749" t="s">
        <v>3974</v>
      </c>
      <c r="M1749" s="2">
        <v>1220</v>
      </c>
      <c r="N1749" t="s">
        <v>4048</v>
      </c>
      <c r="O1749">
        <v>3</v>
      </c>
      <c r="P1749">
        <v>1</v>
      </c>
      <c r="Q1749">
        <v>1</v>
      </c>
      <c r="R1749" t="s">
        <v>4676</v>
      </c>
      <c r="S1749" t="s">
        <v>4682</v>
      </c>
      <c r="T1749" t="s">
        <v>4559</v>
      </c>
      <c r="U1749" t="s">
        <v>4655</v>
      </c>
      <c r="V1749" s="2">
        <v>0</v>
      </c>
      <c r="W1749" t="s">
        <v>4655</v>
      </c>
      <c r="X1749" s="2">
        <v>0</v>
      </c>
      <c r="Y1749">
        <v>21</v>
      </c>
      <c r="Z1749" t="s">
        <v>3532</v>
      </c>
      <c r="AA1749" s="3">
        <v>1.00000004749745E-3</v>
      </c>
      <c r="AB1749" t="s">
        <v>1135</v>
      </c>
      <c r="AC1749" t="s">
        <v>4575</v>
      </c>
      <c r="AD1749" t="s">
        <v>12592</v>
      </c>
      <c r="AE1749" t="s">
        <v>2389</v>
      </c>
      <c r="AF1749" t="s">
        <v>4563</v>
      </c>
      <c r="AG1749" t="s">
        <v>4564</v>
      </c>
      <c r="AH1749" t="s">
        <v>2330</v>
      </c>
      <c r="AI1749" t="s">
        <v>12593</v>
      </c>
      <c r="AJ1749" t="s">
        <v>4655</v>
      </c>
      <c r="AK1749" t="s">
        <v>12594</v>
      </c>
      <c r="AL1749" s="13" t="s">
        <v>2257</v>
      </c>
      <c r="AM1749" s="14">
        <v>1</v>
      </c>
      <c r="AN1749" s="15" t="s">
        <v>787</v>
      </c>
    </row>
    <row r="1750" spans="1:40" x14ac:dyDescent="0.3">
      <c r="A1750" s="10" t="str">
        <f>HYPERLINK("http://www.washoecounty.gov/assessor/cama/?parid=025-061-03&amp;CardNumber=1","025-061-03")</f>
        <v>025-061-03</v>
      </c>
      <c r="B1750" t="s">
        <v>4655</v>
      </c>
      <c r="C1750" t="s">
        <v>12595</v>
      </c>
      <c r="D1750" s="1">
        <v>40421</v>
      </c>
      <c r="E1750" s="2">
        <v>120000</v>
      </c>
      <c r="F1750" t="s">
        <v>4567</v>
      </c>
      <c r="G1750" s="17" t="str">
        <f>HYPERLINK("https://www.washoecounty.gov/assessor/cama/?command=sales&amp;parid=02506103","3917559")</f>
        <v>3917559</v>
      </c>
      <c r="H1750" t="s">
        <v>12596</v>
      </c>
      <c r="I1750">
        <v>1961</v>
      </c>
      <c r="J1750">
        <v>1965</v>
      </c>
      <c r="K1750" t="s">
        <v>4554</v>
      </c>
      <c r="L1750" t="s">
        <v>4555</v>
      </c>
      <c r="M1750" s="2">
        <v>1569</v>
      </c>
      <c r="N1750" t="s">
        <v>4048</v>
      </c>
      <c r="O1750">
        <v>3</v>
      </c>
      <c r="P1750">
        <v>2</v>
      </c>
      <c r="Q1750">
        <v>0</v>
      </c>
      <c r="R1750" t="s">
        <v>4557</v>
      </c>
      <c r="S1750" t="s">
        <v>4135</v>
      </c>
      <c r="T1750" t="s">
        <v>4143</v>
      </c>
      <c r="U1750" t="s">
        <v>4655</v>
      </c>
      <c r="V1750" s="2">
        <v>0</v>
      </c>
      <c r="W1750" t="s">
        <v>4655</v>
      </c>
      <c r="X1750" s="2">
        <v>0</v>
      </c>
      <c r="Y1750">
        <v>20</v>
      </c>
      <c r="Z1750" t="s">
        <v>3532</v>
      </c>
      <c r="AA1750" s="3">
        <v>0.16799816489219666</v>
      </c>
      <c r="AB1750" t="s">
        <v>12597</v>
      </c>
      <c r="AC1750" t="s">
        <v>4562</v>
      </c>
      <c r="AD1750" t="s">
        <v>12595</v>
      </c>
      <c r="AE1750" t="s">
        <v>4655</v>
      </c>
      <c r="AF1750" t="s">
        <v>4563</v>
      </c>
      <c r="AG1750" t="s">
        <v>4564</v>
      </c>
      <c r="AH1750">
        <v>89502</v>
      </c>
      <c r="AI1750" t="s">
        <v>12598</v>
      </c>
      <c r="AJ1750" t="s">
        <v>4655</v>
      </c>
      <c r="AK1750" t="s">
        <v>12596</v>
      </c>
      <c r="AL1750" s="13" t="s">
        <v>2255</v>
      </c>
      <c r="AM1750">
        <v>1</v>
      </c>
      <c r="AN1750" s="15" t="s">
        <v>1164</v>
      </c>
    </row>
    <row r="1751" spans="1:40" x14ac:dyDescent="0.3">
      <c r="A1751" s="10" t="str">
        <f>HYPERLINK("http://www.washoecounty.gov/assessor/cama/?parid=025-061-06&amp;CardNumber=1","025-061-06")</f>
        <v>025-061-06</v>
      </c>
      <c r="B1751" t="s">
        <v>4655</v>
      </c>
      <c r="C1751" t="s">
        <v>12599</v>
      </c>
      <c r="D1751" s="1">
        <v>40284</v>
      </c>
      <c r="E1751" s="2">
        <v>100000</v>
      </c>
      <c r="F1751" t="s">
        <v>4553</v>
      </c>
      <c r="G1751" s="17" t="str">
        <f>HYPERLINK("https://www.washoecounty.gov/assessor/cama/?command=sales&amp;parid=02506106","3871987")</f>
        <v>3871987</v>
      </c>
      <c r="H1751" t="s">
        <v>12600</v>
      </c>
      <c r="I1751">
        <v>1962</v>
      </c>
      <c r="J1751">
        <v>1962</v>
      </c>
      <c r="K1751" t="s">
        <v>4554</v>
      </c>
      <c r="L1751" t="s">
        <v>4555</v>
      </c>
      <c r="M1751" s="2">
        <v>1052</v>
      </c>
      <c r="N1751" t="s">
        <v>4048</v>
      </c>
      <c r="O1751">
        <v>3</v>
      </c>
      <c r="P1751">
        <v>1</v>
      </c>
      <c r="Q1751">
        <v>1</v>
      </c>
      <c r="R1751" t="s">
        <v>5281</v>
      </c>
      <c r="S1751" t="s">
        <v>4574</v>
      </c>
      <c r="T1751" t="s">
        <v>4143</v>
      </c>
      <c r="U1751" t="s">
        <v>4560</v>
      </c>
      <c r="V1751" s="2">
        <v>460</v>
      </c>
      <c r="W1751" t="s">
        <v>4655</v>
      </c>
      <c r="X1751" s="2">
        <v>0</v>
      </c>
      <c r="Y1751">
        <v>20</v>
      </c>
      <c r="Z1751" t="s">
        <v>3532</v>
      </c>
      <c r="AA1751" s="3">
        <v>0.16099633276462599</v>
      </c>
      <c r="AB1751" t="s">
        <v>12601</v>
      </c>
      <c r="AC1751" t="s">
        <v>4562</v>
      </c>
      <c r="AD1751" t="s">
        <v>12602</v>
      </c>
      <c r="AE1751" t="s">
        <v>4655</v>
      </c>
      <c r="AF1751" t="s">
        <v>4563</v>
      </c>
      <c r="AG1751" t="s">
        <v>4564</v>
      </c>
      <c r="AH1751">
        <v>89502</v>
      </c>
      <c r="AI1751" t="s">
        <v>12603</v>
      </c>
      <c r="AJ1751" t="s">
        <v>4655</v>
      </c>
      <c r="AK1751" t="s">
        <v>12604</v>
      </c>
      <c r="AL1751" s="13" t="s">
        <v>2255</v>
      </c>
      <c r="AM1751" s="14">
        <v>1</v>
      </c>
      <c r="AN1751" s="15" t="s">
        <v>1164</v>
      </c>
    </row>
    <row r="1752" spans="1:40" x14ac:dyDescent="0.3">
      <c r="A1752" s="10" t="str">
        <f>HYPERLINK("http://www.washoecounty.gov/assessor/cama/?parid=025-062-05&amp;CardNumber=1","025-062-05")</f>
        <v>025-062-05</v>
      </c>
      <c r="B1752" t="s">
        <v>4655</v>
      </c>
      <c r="C1752" t="s">
        <v>12605</v>
      </c>
      <c r="D1752" s="1">
        <v>40227</v>
      </c>
      <c r="E1752" s="2">
        <v>135000</v>
      </c>
      <c r="F1752" t="s">
        <v>4567</v>
      </c>
      <c r="G1752" s="17" t="str">
        <f>HYPERLINK("https://www.washoecounty.gov/assessor/cama/?command=sales&amp;parid=02506205","3850575")</f>
        <v>3850575</v>
      </c>
      <c r="H1752" t="s">
        <v>1163</v>
      </c>
      <c r="I1752">
        <v>1962</v>
      </c>
      <c r="J1752">
        <v>1962</v>
      </c>
      <c r="K1752" t="s">
        <v>4554</v>
      </c>
      <c r="L1752" t="s">
        <v>3886</v>
      </c>
      <c r="M1752" s="2">
        <v>1660</v>
      </c>
      <c r="N1752" t="s">
        <v>4048</v>
      </c>
      <c r="O1752">
        <v>4</v>
      </c>
      <c r="P1752">
        <v>2</v>
      </c>
      <c r="Q1752">
        <v>0</v>
      </c>
      <c r="R1752" t="s">
        <v>4557</v>
      </c>
      <c r="S1752" t="s">
        <v>4574</v>
      </c>
      <c r="T1752" t="s">
        <v>4559</v>
      </c>
      <c r="U1752" t="s">
        <v>4560</v>
      </c>
      <c r="V1752" s="2">
        <v>308</v>
      </c>
      <c r="W1752" t="s">
        <v>4655</v>
      </c>
      <c r="X1752" s="2">
        <v>0</v>
      </c>
      <c r="Y1752">
        <v>20</v>
      </c>
      <c r="Z1752" t="s">
        <v>3532</v>
      </c>
      <c r="AA1752" s="3">
        <v>0.16099633276462599</v>
      </c>
      <c r="AB1752" t="s">
        <v>12606</v>
      </c>
      <c r="AC1752" t="s">
        <v>4562</v>
      </c>
      <c r="AD1752" t="s">
        <v>12605</v>
      </c>
      <c r="AE1752" t="s">
        <v>4655</v>
      </c>
      <c r="AF1752" t="s">
        <v>4563</v>
      </c>
      <c r="AG1752" t="s">
        <v>4564</v>
      </c>
      <c r="AH1752">
        <v>89502</v>
      </c>
      <c r="AI1752" t="s">
        <v>12607</v>
      </c>
      <c r="AJ1752" t="s">
        <v>4655</v>
      </c>
      <c r="AK1752" t="s">
        <v>12608</v>
      </c>
      <c r="AL1752" s="13" t="s">
        <v>2255</v>
      </c>
      <c r="AM1752" s="14">
        <v>1</v>
      </c>
      <c r="AN1752" s="15" t="s">
        <v>1164</v>
      </c>
    </row>
    <row r="1753" spans="1:40" x14ac:dyDescent="0.3">
      <c r="A1753" s="10" t="str">
        <f>HYPERLINK("http://www.washoecounty.gov/assessor/cama/?parid=025-062-10&amp;CardNumber=1","025-062-10")</f>
        <v>025-062-10</v>
      </c>
      <c r="B1753" t="s">
        <v>4655</v>
      </c>
      <c r="C1753" t="s">
        <v>12609</v>
      </c>
      <c r="D1753" s="1">
        <v>40207</v>
      </c>
      <c r="E1753" s="2">
        <v>110000</v>
      </c>
      <c r="F1753" t="s">
        <v>4553</v>
      </c>
      <c r="G1753" s="17" t="str">
        <f>HYPERLINK("https://www.washoecounty.gov/assessor/cama/?command=sales&amp;parid=02506210","3844066")</f>
        <v>3844066</v>
      </c>
      <c r="H1753" t="s">
        <v>1163</v>
      </c>
      <c r="I1753">
        <v>1962</v>
      </c>
      <c r="J1753">
        <v>1962</v>
      </c>
      <c r="K1753" t="s">
        <v>4554</v>
      </c>
      <c r="L1753" t="s">
        <v>4555</v>
      </c>
      <c r="M1753" s="2">
        <v>1052</v>
      </c>
      <c r="N1753" t="s">
        <v>4048</v>
      </c>
      <c r="O1753">
        <v>3</v>
      </c>
      <c r="P1753">
        <v>1</v>
      </c>
      <c r="Q1753">
        <v>1</v>
      </c>
      <c r="R1753" t="s">
        <v>4557</v>
      </c>
      <c r="S1753" t="s">
        <v>4574</v>
      </c>
      <c r="T1753" t="s">
        <v>4143</v>
      </c>
      <c r="U1753" t="s">
        <v>4655</v>
      </c>
      <c r="V1753" s="2">
        <v>0</v>
      </c>
      <c r="W1753" t="s">
        <v>4655</v>
      </c>
      <c r="X1753" s="2">
        <v>0</v>
      </c>
      <c r="Y1753">
        <v>20</v>
      </c>
      <c r="Z1753" t="s">
        <v>3532</v>
      </c>
      <c r="AA1753" s="3">
        <v>0.16099633276462599</v>
      </c>
      <c r="AB1753" t="s">
        <v>12610</v>
      </c>
      <c r="AC1753" t="s">
        <v>4562</v>
      </c>
      <c r="AD1753" t="s">
        <v>12609</v>
      </c>
      <c r="AE1753" t="s">
        <v>4655</v>
      </c>
      <c r="AF1753" t="s">
        <v>4563</v>
      </c>
      <c r="AG1753" t="s">
        <v>4564</v>
      </c>
      <c r="AH1753">
        <v>89502</v>
      </c>
      <c r="AI1753" t="s">
        <v>4655</v>
      </c>
      <c r="AJ1753" t="s">
        <v>4655</v>
      </c>
      <c r="AK1753" t="s">
        <v>12611</v>
      </c>
      <c r="AL1753" s="13" t="s">
        <v>2255</v>
      </c>
      <c r="AM1753" s="14">
        <v>1</v>
      </c>
      <c r="AN1753" s="15" t="s">
        <v>1164</v>
      </c>
    </row>
    <row r="1754" spans="1:40" x14ac:dyDescent="0.3">
      <c r="A1754" s="10" t="str">
        <f>HYPERLINK("http://www.washoecounty.gov/assessor/cama/?parid=025-062-13&amp;CardNumber=1","025-062-13")</f>
        <v>025-062-13</v>
      </c>
      <c r="B1754" t="s">
        <v>4655</v>
      </c>
      <c r="C1754" t="s">
        <v>12612</v>
      </c>
      <c r="D1754" s="1">
        <v>40394</v>
      </c>
      <c r="E1754" s="2">
        <v>115000</v>
      </c>
      <c r="F1754" t="s">
        <v>4553</v>
      </c>
      <c r="G1754" s="17" t="str">
        <f>HYPERLINK("https://www.washoecounty.gov/assessor/cama/?command=sales&amp;parid=02506213","3908840")</f>
        <v>3908840</v>
      </c>
      <c r="H1754" t="s">
        <v>1163</v>
      </c>
      <c r="I1754">
        <v>1962</v>
      </c>
      <c r="J1754">
        <v>1962</v>
      </c>
      <c r="K1754" t="s">
        <v>4554</v>
      </c>
      <c r="L1754" t="s">
        <v>4555</v>
      </c>
      <c r="M1754" s="2">
        <v>1221</v>
      </c>
      <c r="N1754" t="s">
        <v>4048</v>
      </c>
      <c r="O1754">
        <v>3</v>
      </c>
      <c r="P1754">
        <v>2</v>
      </c>
      <c r="Q1754">
        <v>0</v>
      </c>
      <c r="R1754" t="s">
        <v>5281</v>
      </c>
      <c r="S1754" t="s">
        <v>4574</v>
      </c>
      <c r="T1754" t="s">
        <v>4559</v>
      </c>
      <c r="U1754" t="s">
        <v>4560</v>
      </c>
      <c r="V1754" s="2">
        <v>250</v>
      </c>
      <c r="W1754" t="s">
        <v>4655</v>
      </c>
      <c r="X1754" s="2">
        <v>0</v>
      </c>
      <c r="Y1754">
        <v>20</v>
      </c>
      <c r="Z1754" t="s">
        <v>3532</v>
      </c>
      <c r="AA1754" s="3">
        <v>0.16099633276462599</v>
      </c>
      <c r="AB1754" t="s">
        <v>12613</v>
      </c>
      <c r="AC1754" t="s">
        <v>4562</v>
      </c>
      <c r="AD1754" t="s">
        <v>12614</v>
      </c>
      <c r="AE1754" t="s">
        <v>4655</v>
      </c>
      <c r="AF1754" t="s">
        <v>4563</v>
      </c>
      <c r="AG1754" t="s">
        <v>4564</v>
      </c>
      <c r="AH1754">
        <v>89502</v>
      </c>
      <c r="AI1754" t="s">
        <v>4655</v>
      </c>
      <c r="AJ1754" t="s">
        <v>4655</v>
      </c>
      <c r="AK1754" t="s">
        <v>12615</v>
      </c>
      <c r="AL1754" s="13" t="s">
        <v>2255</v>
      </c>
      <c r="AM1754">
        <v>1</v>
      </c>
      <c r="AN1754" s="15" t="s">
        <v>1164</v>
      </c>
    </row>
    <row r="1755" spans="1:40" x14ac:dyDescent="0.3">
      <c r="A1755" s="10" t="str">
        <f>HYPERLINK("http://www.washoecounty.gov/assessor/cama/?parid=025-073-08&amp;CardNumber=1","025-073-08")</f>
        <v>025-073-08</v>
      </c>
      <c r="B1755" t="s">
        <v>4655</v>
      </c>
      <c r="C1755" t="s">
        <v>12616</v>
      </c>
      <c r="D1755" s="1">
        <v>40535</v>
      </c>
      <c r="E1755" s="2">
        <v>118900</v>
      </c>
      <c r="F1755" t="s">
        <v>4553</v>
      </c>
      <c r="G1755" s="17" t="str">
        <f>HYPERLINK("https://www.washoecounty.gov/assessor/cama/?command=sales&amp;parid=02507308","3956712")</f>
        <v>3956712</v>
      </c>
      <c r="H1755" t="s">
        <v>4632</v>
      </c>
      <c r="I1755">
        <v>1964</v>
      </c>
      <c r="J1755">
        <v>1964</v>
      </c>
      <c r="K1755" t="s">
        <v>4554</v>
      </c>
      <c r="L1755" t="s">
        <v>3886</v>
      </c>
      <c r="M1755" s="2">
        <v>1660</v>
      </c>
      <c r="N1755" t="s">
        <v>4048</v>
      </c>
      <c r="O1755">
        <v>4</v>
      </c>
      <c r="P1755">
        <v>2</v>
      </c>
      <c r="Q1755">
        <v>0</v>
      </c>
      <c r="R1755" t="s">
        <v>4557</v>
      </c>
      <c r="S1755" t="s">
        <v>4135</v>
      </c>
      <c r="T1755" t="s">
        <v>4559</v>
      </c>
      <c r="U1755" t="s">
        <v>4560</v>
      </c>
      <c r="V1755" s="2">
        <v>506</v>
      </c>
      <c r="W1755" t="s">
        <v>4655</v>
      </c>
      <c r="X1755" s="2">
        <v>0</v>
      </c>
      <c r="Y1755">
        <v>20</v>
      </c>
      <c r="Z1755" t="s">
        <v>3532</v>
      </c>
      <c r="AA1755" s="3">
        <v>0.23298898339271545</v>
      </c>
      <c r="AB1755" t="s">
        <v>12617</v>
      </c>
      <c r="AC1755" t="s">
        <v>4575</v>
      </c>
      <c r="AD1755" t="s">
        <v>12618</v>
      </c>
      <c r="AE1755" t="s">
        <v>4655</v>
      </c>
      <c r="AF1755" t="s">
        <v>5201</v>
      </c>
      <c r="AG1755" t="s">
        <v>4564</v>
      </c>
      <c r="AH1755" t="s">
        <v>3609</v>
      </c>
      <c r="AI1755" t="s">
        <v>4655</v>
      </c>
      <c r="AJ1755" t="s">
        <v>4655</v>
      </c>
      <c r="AK1755" t="s">
        <v>12619</v>
      </c>
      <c r="AL1755" s="13" t="s">
        <v>2255</v>
      </c>
      <c r="AM1755" s="14">
        <v>1</v>
      </c>
      <c r="AN1755" s="15" t="s">
        <v>1164</v>
      </c>
    </row>
    <row r="1756" spans="1:40" x14ac:dyDescent="0.3">
      <c r="A1756" s="10" t="str">
        <f>HYPERLINK("http://www.washoecounty.gov/assessor/cama/?parid=025-073-15&amp;CardNumber=1","025-073-15")</f>
        <v>025-073-15</v>
      </c>
      <c r="B1756" t="s">
        <v>4655</v>
      </c>
      <c r="C1756" t="s">
        <v>12620</v>
      </c>
      <c r="D1756" s="1">
        <v>40540</v>
      </c>
      <c r="E1756" s="2">
        <v>104900</v>
      </c>
      <c r="F1756" t="s">
        <v>4553</v>
      </c>
      <c r="G1756" s="17" t="str">
        <f>HYPERLINK("https://www.washoecounty.gov/assessor/cama/?command=sales&amp;parid=02507315","3957953")</f>
        <v>3957953</v>
      </c>
      <c r="H1756" t="s">
        <v>4632</v>
      </c>
      <c r="I1756">
        <v>1964</v>
      </c>
      <c r="J1756">
        <v>1964</v>
      </c>
      <c r="K1756" t="s">
        <v>4554</v>
      </c>
      <c r="L1756" t="s">
        <v>4555</v>
      </c>
      <c r="M1756" s="2">
        <v>1127</v>
      </c>
      <c r="N1756" t="s">
        <v>4048</v>
      </c>
      <c r="O1756">
        <v>3</v>
      </c>
      <c r="P1756">
        <v>2</v>
      </c>
      <c r="Q1756">
        <v>0</v>
      </c>
      <c r="R1756" t="s">
        <v>4557</v>
      </c>
      <c r="S1756" t="s">
        <v>4558</v>
      </c>
      <c r="T1756" t="s">
        <v>4559</v>
      </c>
      <c r="U1756" t="s">
        <v>4560</v>
      </c>
      <c r="V1756" s="2">
        <v>441</v>
      </c>
      <c r="W1756" t="s">
        <v>4655</v>
      </c>
      <c r="X1756" s="2">
        <v>0</v>
      </c>
      <c r="Y1756">
        <v>20</v>
      </c>
      <c r="Z1756" t="s">
        <v>3532</v>
      </c>
      <c r="AA1756" s="3">
        <v>0.17800734937191001</v>
      </c>
      <c r="AB1756" t="s">
        <v>12621</v>
      </c>
      <c r="AC1756" t="s">
        <v>4562</v>
      </c>
      <c r="AD1756" t="s">
        <v>12622</v>
      </c>
      <c r="AE1756" t="s">
        <v>4655</v>
      </c>
      <c r="AF1756" t="s">
        <v>4563</v>
      </c>
      <c r="AG1756" t="s">
        <v>4564</v>
      </c>
      <c r="AH1756">
        <v>89502</v>
      </c>
      <c r="AI1756" t="s">
        <v>4903</v>
      </c>
      <c r="AJ1756" t="s">
        <v>4655</v>
      </c>
      <c r="AK1756" t="s">
        <v>12623</v>
      </c>
      <c r="AL1756" s="13" t="s">
        <v>2255</v>
      </c>
      <c r="AM1756">
        <v>1</v>
      </c>
      <c r="AN1756" s="15" t="s">
        <v>1164</v>
      </c>
    </row>
    <row r="1757" spans="1:40" x14ac:dyDescent="0.3">
      <c r="A1757" s="10" t="str">
        <f>HYPERLINK("http://www.washoecounty.gov/assessor/cama/?parid=025-081-01&amp;CardNumber=1","025-081-01")</f>
        <v>025-081-01</v>
      </c>
      <c r="B1757" t="s">
        <v>4655</v>
      </c>
      <c r="C1757" t="s">
        <v>12624</v>
      </c>
      <c r="D1757" s="1">
        <v>40354</v>
      </c>
      <c r="E1757" s="2">
        <v>100000</v>
      </c>
      <c r="F1757" t="s">
        <v>4553</v>
      </c>
      <c r="G1757" s="17" t="str">
        <f>HYPERLINK("https://www.washoecounty.gov/assessor/cama/?command=sales&amp;parid=02508101","3895569")</f>
        <v>3895569</v>
      </c>
      <c r="H1757" t="s">
        <v>4632</v>
      </c>
      <c r="I1757">
        <v>1964</v>
      </c>
      <c r="J1757">
        <v>1964</v>
      </c>
      <c r="K1757" t="s">
        <v>4554</v>
      </c>
      <c r="L1757" t="s">
        <v>4555</v>
      </c>
      <c r="M1757" s="2">
        <v>1040</v>
      </c>
      <c r="N1757" t="s">
        <v>4048</v>
      </c>
      <c r="O1757">
        <v>2</v>
      </c>
      <c r="P1757">
        <v>1</v>
      </c>
      <c r="Q1757">
        <v>0</v>
      </c>
      <c r="R1757" t="s">
        <v>4557</v>
      </c>
      <c r="S1757" t="s">
        <v>4574</v>
      </c>
      <c r="T1757" t="s">
        <v>4559</v>
      </c>
      <c r="U1757" t="s">
        <v>4560</v>
      </c>
      <c r="V1757" s="2">
        <v>308</v>
      </c>
      <c r="W1757" t="s">
        <v>4655</v>
      </c>
      <c r="X1757" s="2">
        <v>0</v>
      </c>
      <c r="Y1757">
        <v>20</v>
      </c>
      <c r="Z1757" t="s">
        <v>3532</v>
      </c>
      <c r="AA1757" s="3">
        <v>0.16499081254005399</v>
      </c>
      <c r="AB1757" t="s">
        <v>12625</v>
      </c>
      <c r="AC1757" t="s">
        <v>4575</v>
      </c>
      <c r="AD1757" t="s">
        <v>12626</v>
      </c>
      <c r="AE1757" t="s">
        <v>4655</v>
      </c>
      <c r="AF1757" t="s">
        <v>4563</v>
      </c>
      <c r="AG1757" t="s">
        <v>4564</v>
      </c>
      <c r="AH1757">
        <v>89502</v>
      </c>
      <c r="AI1757" t="s">
        <v>4655</v>
      </c>
      <c r="AJ1757" t="s">
        <v>4655</v>
      </c>
      <c r="AK1757" t="s">
        <v>12627</v>
      </c>
      <c r="AL1757" s="13" t="s">
        <v>2255</v>
      </c>
      <c r="AM1757" s="14">
        <v>1</v>
      </c>
      <c r="AN1757" s="15" t="s">
        <v>1164</v>
      </c>
    </row>
    <row r="1758" spans="1:40" x14ac:dyDescent="0.3">
      <c r="A1758" s="10" t="str">
        <f>HYPERLINK("http://www.washoecounty.gov/assessor/cama/?parid=025-083-01&amp;CardNumber=1","025-083-01")</f>
        <v>025-083-01</v>
      </c>
      <c r="B1758" t="s">
        <v>4655</v>
      </c>
      <c r="C1758" t="s">
        <v>12628</v>
      </c>
      <c r="D1758" s="1">
        <v>40392</v>
      </c>
      <c r="E1758" s="2">
        <v>108000</v>
      </c>
      <c r="F1758" t="s">
        <v>4567</v>
      </c>
      <c r="G1758" s="17" t="str">
        <f>HYPERLINK("https://www.washoecounty.gov/assessor/cama/?command=sales&amp;parid=02508301","3907918")</f>
        <v>3907918</v>
      </c>
      <c r="H1758" t="s">
        <v>12629</v>
      </c>
      <c r="I1758">
        <v>1963</v>
      </c>
      <c r="J1758">
        <v>1963</v>
      </c>
      <c r="K1758" t="s">
        <v>4554</v>
      </c>
      <c r="L1758" t="s">
        <v>4555</v>
      </c>
      <c r="M1758" s="2">
        <v>1040</v>
      </c>
      <c r="N1758" t="s">
        <v>4048</v>
      </c>
      <c r="O1758">
        <v>3</v>
      </c>
      <c r="P1758">
        <v>1</v>
      </c>
      <c r="Q1758">
        <v>1</v>
      </c>
      <c r="R1758" t="s">
        <v>4557</v>
      </c>
      <c r="S1758" t="s">
        <v>4574</v>
      </c>
      <c r="T1758" t="s">
        <v>4559</v>
      </c>
      <c r="U1758" t="s">
        <v>4560</v>
      </c>
      <c r="V1758" s="2">
        <v>480</v>
      </c>
      <c r="W1758" t="s">
        <v>4655</v>
      </c>
      <c r="X1758" s="2">
        <v>0</v>
      </c>
      <c r="Y1758">
        <v>20</v>
      </c>
      <c r="Z1758" t="s">
        <v>3532</v>
      </c>
      <c r="AA1758" s="3">
        <v>0.160009175539017</v>
      </c>
      <c r="AB1758" t="s">
        <v>12630</v>
      </c>
      <c r="AC1758" t="s">
        <v>4562</v>
      </c>
      <c r="AD1758" t="s">
        <v>12628</v>
      </c>
      <c r="AE1758" t="s">
        <v>4655</v>
      </c>
      <c r="AF1758" t="s">
        <v>4563</v>
      </c>
      <c r="AG1758" t="s">
        <v>4564</v>
      </c>
      <c r="AH1758">
        <v>89502</v>
      </c>
      <c r="AI1758" t="s">
        <v>12631</v>
      </c>
      <c r="AJ1758" t="s">
        <v>4655</v>
      </c>
      <c r="AK1758" t="s">
        <v>12632</v>
      </c>
      <c r="AL1758" s="13" t="s">
        <v>2255</v>
      </c>
      <c r="AM1758">
        <v>1</v>
      </c>
      <c r="AN1758" s="15" t="s">
        <v>1164</v>
      </c>
    </row>
    <row r="1759" spans="1:40" x14ac:dyDescent="0.3">
      <c r="A1759" s="10" t="str">
        <f>HYPERLINK("http://www.washoecounty.gov/assessor/cama/?parid=025-083-08&amp;CardNumber=1","025-083-08")</f>
        <v>025-083-08</v>
      </c>
      <c r="B1759" t="s">
        <v>4655</v>
      </c>
      <c r="C1759" t="s">
        <v>12633</v>
      </c>
      <c r="D1759" s="1">
        <v>40324</v>
      </c>
      <c r="E1759" s="2">
        <v>155900</v>
      </c>
      <c r="F1759" t="s">
        <v>4567</v>
      </c>
      <c r="G1759" s="17" t="str">
        <f>HYPERLINK("https://www.washoecounty.gov/assessor/cama/?command=sales&amp;parid=02508308","3885381")</f>
        <v>3885381</v>
      </c>
      <c r="H1759" t="s">
        <v>12634</v>
      </c>
      <c r="I1759">
        <v>1963</v>
      </c>
      <c r="J1759">
        <v>1967</v>
      </c>
      <c r="K1759" t="s">
        <v>4554</v>
      </c>
      <c r="L1759" t="s">
        <v>2170</v>
      </c>
      <c r="M1759" s="2">
        <v>1867</v>
      </c>
      <c r="N1759" t="s">
        <v>4048</v>
      </c>
      <c r="O1759">
        <v>4</v>
      </c>
      <c r="P1759">
        <v>3</v>
      </c>
      <c r="Q1759">
        <v>0</v>
      </c>
      <c r="R1759" t="s">
        <v>4557</v>
      </c>
      <c r="S1759" t="s">
        <v>4574</v>
      </c>
      <c r="T1759" t="s">
        <v>4559</v>
      </c>
      <c r="U1759" t="s">
        <v>5631</v>
      </c>
      <c r="V1759" s="2">
        <v>550</v>
      </c>
      <c r="W1759" t="s">
        <v>4655</v>
      </c>
      <c r="X1759" s="2">
        <v>0</v>
      </c>
      <c r="Y1759">
        <v>20</v>
      </c>
      <c r="Z1759" t="s">
        <v>3532</v>
      </c>
      <c r="AA1759" s="3">
        <v>0.160009175539017</v>
      </c>
      <c r="AB1759" t="s">
        <v>12635</v>
      </c>
      <c r="AC1759" t="s">
        <v>4562</v>
      </c>
      <c r="AD1759" t="s">
        <v>12633</v>
      </c>
      <c r="AE1759" t="s">
        <v>4655</v>
      </c>
      <c r="AF1759" t="s">
        <v>4563</v>
      </c>
      <c r="AG1759" t="s">
        <v>4564</v>
      </c>
      <c r="AH1759">
        <v>89502</v>
      </c>
      <c r="AI1759" t="s">
        <v>12636</v>
      </c>
      <c r="AJ1759" t="s">
        <v>4655</v>
      </c>
      <c r="AK1759" t="s">
        <v>12637</v>
      </c>
      <c r="AL1759" s="13" t="s">
        <v>2255</v>
      </c>
      <c r="AM1759">
        <v>1</v>
      </c>
      <c r="AN1759" s="15" t="s">
        <v>1164</v>
      </c>
    </row>
    <row r="1760" spans="1:40" x14ac:dyDescent="0.3">
      <c r="A1760" s="10" t="str">
        <f>HYPERLINK("http://www.washoecounty.gov/assessor/cama/?parid=025-090-06&amp;CardNumber=1","025-090-06")</f>
        <v>025-090-06</v>
      </c>
      <c r="B1760" t="s">
        <v>4655</v>
      </c>
      <c r="C1760" t="s">
        <v>12638</v>
      </c>
      <c r="D1760" s="1">
        <v>40330</v>
      </c>
      <c r="E1760" s="2">
        <v>57000</v>
      </c>
      <c r="F1760" t="s">
        <v>4553</v>
      </c>
      <c r="G1760" s="17" t="str">
        <f>HYPERLINK("https://www.washoecounty.gov/assessor/cama/?command=sales&amp;parid=02509006","3887191")</f>
        <v>3887191</v>
      </c>
      <c r="H1760" t="s">
        <v>12639</v>
      </c>
      <c r="I1760">
        <v>1969</v>
      </c>
      <c r="J1760">
        <v>1969</v>
      </c>
      <c r="K1760" t="s">
        <v>3144</v>
      </c>
      <c r="L1760" t="s">
        <v>3974</v>
      </c>
      <c r="M1760" s="2">
        <v>1220</v>
      </c>
      <c r="N1760" t="s">
        <v>4048</v>
      </c>
      <c r="O1760">
        <v>3</v>
      </c>
      <c r="P1760">
        <v>1</v>
      </c>
      <c r="Q1760">
        <v>1</v>
      </c>
      <c r="R1760" t="s">
        <v>4676</v>
      </c>
      <c r="S1760" t="s">
        <v>4682</v>
      </c>
      <c r="T1760" t="s">
        <v>4559</v>
      </c>
      <c r="U1760" t="s">
        <v>4655</v>
      </c>
      <c r="V1760" s="2">
        <v>0</v>
      </c>
      <c r="W1760" t="s">
        <v>4655</v>
      </c>
      <c r="X1760" s="2">
        <v>0</v>
      </c>
      <c r="Y1760">
        <v>21</v>
      </c>
      <c r="Z1760" t="s">
        <v>3532</v>
      </c>
      <c r="AA1760" s="3">
        <v>1.00000004749745E-3</v>
      </c>
      <c r="AB1760" t="s">
        <v>12640</v>
      </c>
      <c r="AC1760" t="s">
        <v>4575</v>
      </c>
      <c r="AD1760" t="s">
        <v>12641</v>
      </c>
      <c r="AE1760" t="s">
        <v>12642</v>
      </c>
      <c r="AF1760" t="s">
        <v>4563</v>
      </c>
      <c r="AG1760" t="s">
        <v>4564</v>
      </c>
      <c r="AH1760">
        <v>89502</v>
      </c>
      <c r="AI1760" t="s">
        <v>4848</v>
      </c>
      <c r="AJ1760" t="s">
        <v>4655</v>
      </c>
      <c r="AK1760" t="s">
        <v>12643</v>
      </c>
      <c r="AL1760" s="13" t="s">
        <v>2257</v>
      </c>
      <c r="AM1760">
        <v>1</v>
      </c>
      <c r="AN1760" s="15" t="s">
        <v>787</v>
      </c>
    </row>
    <row r="1761" spans="1:40" x14ac:dyDescent="0.3">
      <c r="A1761" s="10" t="str">
        <f>HYPERLINK("http://www.washoecounty.gov/assessor/cama/?parid=025-090-09&amp;CardNumber=1","025-090-09")</f>
        <v>025-090-09</v>
      </c>
      <c r="B1761" t="s">
        <v>4655</v>
      </c>
      <c r="C1761" t="s">
        <v>12644</v>
      </c>
      <c r="D1761" s="1">
        <v>40533</v>
      </c>
      <c r="E1761" s="2">
        <v>30000</v>
      </c>
      <c r="F1761" t="s">
        <v>4553</v>
      </c>
      <c r="G1761" s="17" t="str">
        <f>HYPERLINK("https://www.washoecounty.gov/assessor/cama/?command=sales&amp;parid=02509009","3955892")</f>
        <v>3955892</v>
      </c>
      <c r="H1761" t="s">
        <v>952</v>
      </c>
      <c r="I1761">
        <v>1969</v>
      </c>
      <c r="J1761">
        <v>1969</v>
      </c>
      <c r="K1761" t="s">
        <v>4897</v>
      </c>
      <c r="L1761" t="s">
        <v>3974</v>
      </c>
      <c r="M1761" s="2">
        <v>1220</v>
      </c>
      <c r="N1761" t="s">
        <v>4048</v>
      </c>
      <c r="O1761">
        <v>3</v>
      </c>
      <c r="P1761">
        <v>1</v>
      </c>
      <c r="Q1761">
        <v>1</v>
      </c>
      <c r="R1761" t="s">
        <v>4676</v>
      </c>
      <c r="S1761" t="s">
        <v>4682</v>
      </c>
      <c r="T1761" t="s">
        <v>4559</v>
      </c>
      <c r="U1761" t="s">
        <v>4655</v>
      </c>
      <c r="V1761" s="2">
        <v>0</v>
      </c>
      <c r="W1761" t="s">
        <v>4655</v>
      </c>
      <c r="X1761" s="2">
        <v>0</v>
      </c>
      <c r="Y1761">
        <v>21</v>
      </c>
      <c r="Z1761" t="s">
        <v>3532</v>
      </c>
      <c r="AA1761" s="3">
        <v>1.00000004749745E-3</v>
      </c>
      <c r="AB1761" t="s">
        <v>12645</v>
      </c>
      <c r="AC1761" t="s">
        <v>4575</v>
      </c>
      <c r="AD1761" t="s">
        <v>12644</v>
      </c>
      <c r="AE1761" t="s">
        <v>4655</v>
      </c>
      <c r="AF1761" t="s">
        <v>4563</v>
      </c>
      <c r="AG1761" t="s">
        <v>4564</v>
      </c>
      <c r="AH1761">
        <v>89502</v>
      </c>
      <c r="AI1761" t="s">
        <v>4903</v>
      </c>
      <c r="AJ1761" t="s">
        <v>4655</v>
      </c>
      <c r="AK1761" t="s">
        <v>12646</v>
      </c>
      <c r="AL1761" s="13" t="s">
        <v>2257</v>
      </c>
      <c r="AM1761">
        <v>1</v>
      </c>
      <c r="AN1761" s="15" t="s">
        <v>787</v>
      </c>
    </row>
    <row r="1762" spans="1:40" x14ac:dyDescent="0.3">
      <c r="A1762" s="10" t="str">
        <f>HYPERLINK("http://www.washoecounty.gov/assessor/cama/?parid=025-090-25&amp;CardNumber=1","025-090-25")</f>
        <v>025-090-25</v>
      </c>
      <c r="B1762" t="s">
        <v>4655</v>
      </c>
      <c r="C1762" t="s">
        <v>12647</v>
      </c>
      <c r="D1762" s="1">
        <v>40256</v>
      </c>
      <c r="E1762" s="2">
        <v>46000</v>
      </c>
      <c r="F1762" t="s">
        <v>4567</v>
      </c>
      <c r="G1762" s="17" t="str">
        <f>HYPERLINK("https://www.washoecounty.gov/assessor/cama/?command=sales&amp;parid=02509025","3861916")</f>
        <v>3861916</v>
      </c>
      <c r="H1762" t="s">
        <v>4632</v>
      </c>
      <c r="I1762">
        <v>1969</v>
      </c>
      <c r="J1762">
        <v>1969</v>
      </c>
      <c r="K1762" t="s">
        <v>3144</v>
      </c>
      <c r="L1762" t="s">
        <v>3974</v>
      </c>
      <c r="M1762" s="2">
        <v>1220</v>
      </c>
      <c r="N1762" t="s">
        <v>4048</v>
      </c>
      <c r="O1762">
        <v>3</v>
      </c>
      <c r="P1762">
        <v>1</v>
      </c>
      <c r="Q1762">
        <v>1</v>
      </c>
      <c r="R1762" t="s">
        <v>4676</v>
      </c>
      <c r="S1762" t="s">
        <v>4682</v>
      </c>
      <c r="T1762" t="s">
        <v>4559</v>
      </c>
      <c r="U1762" t="s">
        <v>4655</v>
      </c>
      <c r="V1762" s="2">
        <v>0</v>
      </c>
      <c r="W1762" t="s">
        <v>4655</v>
      </c>
      <c r="X1762" s="2">
        <v>0</v>
      </c>
      <c r="Y1762">
        <v>21</v>
      </c>
      <c r="Z1762" t="s">
        <v>3532</v>
      </c>
      <c r="AA1762" s="3">
        <v>1.00000004749745E-3</v>
      </c>
      <c r="AB1762" t="s">
        <v>4228</v>
      </c>
      <c r="AC1762" t="s">
        <v>4575</v>
      </c>
      <c r="AD1762" t="s">
        <v>4229</v>
      </c>
      <c r="AE1762" t="s">
        <v>4655</v>
      </c>
      <c r="AF1762" t="s">
        <v>4563</v>
      </c>
      <c r="AG1762" t="s">
        <v>4564</v>
      </c>
      <c r="AH1762">
        <v>89509</v>
      </c>
      <c r="AI1762" t="s">
        <v>4655</v>
      </c>
      <c r="AJ1762" t="s">
        <v>4655</v>
      </c>
      <c r="AK1762" t="s">
        <v>12648</v>
      </c>
      <c r="AL1762" s="13" t="s">
        <v>2257</v>
      </c>
      <c r="AM1762" s="14">
        <v>1</v>
      </c>
      <c r="AN1762" s="15" t="s">
        <v>787</v>
      </c>
    </row>
    <row r="1763" spans="1:40" x14ac:dyDescent="0.3">
      <c r="A1763" s="10" t="str">
        <f>HYPERLINK("http://www.washoecounty.gov/assessor/cama/?parid=025-100-13&amp;CardNumber=1","025-100-13")</f>
        <v>025-100-13</v>
      </c>
      <c r="B1763" t="s">
        <v>4655</v>
      </c>
      <c r="C1763" t="s">
        <v>12649</v>
      </c>
      <c r="D1763" s="1">
        <v>40515</v>
      </c>
      <c r="E1763" s="2">
        <v>44000</v>
      </c>
      <c r="F1763" t="s">
        <v>4553</v>
      </c>
      <c r="G1763" s="17" t="str">
        <f>HYPERLINK("https://www.washoecounty.gov/assessor/cama/?command=sales&amp;parid=02510013","3949293")</f>
        <v>3949293</v>
      </c>
      <c r="H1763" t="s">
        <v>12650</v>
      </c>
      <c r="I1763">
        <v>1969</v>
      </c>
      <c r="J1763">
        <v>1969</v>
      </c>
      <c r="K1763" t="s">
        <v>3144</v>
      </c>
      <c r="L1763" t="s">
        <v>3974</v>
      </c>
      <c r="M1763" s="2">
        <v>1220</v>
      </c>
      <c r="N1763" t="s">
        <v>4048</v>
      </c>
      <c r="O1763">
        <v>3</v>
      </c>
      <c r="P1763">
        <v>1</v>
      </c>
      <c r="Q1763">
        <v>1</v>
      </c>
      <c r="R1763" t="s">
        <v>4676</v>
      </c>
      <c r="S1763" t="s">
        <v>4682</v>
      </c>
      <c r="T1763" t="s">
        <v>4559</v>
      </c>
      <c r="U1763" t="s">
        <v>4655</v>
      </c>
      <c r="V1763" s="2">
        <v>0</v>
      </c>
      <c r="W1763" t="s">
        <v>4655</v>
      </c>
      <c r="X1763" s="2">
        <v>0</v>
      </c>
      <c r="Y1763">
        <v>21</v>
      </c>
      <c r="Z1763" t="s">
        <v>3532</v>
      </c>
      <c r="AA1763" s="3">
        <v>1.00000004749745E-3</v>
      </c>
      <c r="AB1763" t="s">
        <v>2083</v>
      </c>
      <c r="AC1763" t="s">
        <v>4562</v>
      </c>
      <c r="AD1763" t="s">
        <v>12651</v>
      </c>
      <c r="AE1763" t="s">
        <v>4655</v>
      </c>
      <c r="AF1763" t="s">
        <v>4563</v>
      </c>
      <c r="AG1763" t="s">
        <v>4564</v>
      </c>
      <c r="AH1763" t="s">
        <v>5197</v>
      </c>
      <c r="AI1763" t="s">
        <v>4903</v>
      </c>
      <c r="AJ1763" t="s">
        <v>4655</v>
      </c>
      <c r="AK1763" t="s">
        <v>12652</v>
      </c>
      <c r="AL1763" s="13" t="s">
        <v>2257</v>
      </c>
      <c r="AM1763">
        <v>1</v>
      </c>
      <c r="AN1763" s="15" t="s">
        <v>787</v>
      </c>
    </row>
    <row r="1764" spans="1:40" x14ac:dyDescent="0.3">
      <c r="A1764" s="10" t="str">
        <f>HYPERLINK("http://www.washoecounty.gov/assessor/cama/?parid=025-100-29&amp;CardNumber=1","025-100-29")</f>
        <v>025-100-29</v>
      </c>
      <c r="B1764" t="s">
        <v>4655</v>
      </c>
      <c r="C1764" t="s">
        <v>12653</v>
      </c>
      <c r="D1764" s="1">
        <v>40470</v>
      </c>
      <c r="E1764" s="2">
        <v>50000</v>
      </c>
      <c r="F1764" t="s">
        <v>4567</v>
      </c>
      <c r="G1764" s="17" t="str">
        <f>HYPERLINK("https://www.washoecounty.gov/assessor/cama/?command=sales&amp;parid=02510029","3934721")</f>
        <v>3934721</v>
      </c>
      <c r="H1764" t="s">
        <v>952</v>
      </c>
      <c r="I1764">
        <v>1969</v>
      </c>
      <c r="J1764">
        <v>1969</v>
      </c>
      <c r="K1764" t="s">
        <v>3144</v>
      </c>
      <c r="L1764" t="s">
        <v>3974</v>
      </c>
      <c r="M1764" s="2">
        <v>1220</v>
      </c>
      <c r="N1764" t="s">
        <v>4048</v>
      </c>
      <c r="O1764">
        <v>3</v>
      </c>
      <c r="P1764">
        <v>1</v>
      </c>
      <c r="Q1764">
        <v>1</v>
      </c>
      <c r="R1764" t="s">
        <v>4676</v>
      </c>
      <c r="S1764" t="s">
        <v>4682</v>
      </c>
      <c r="T1764" t="s">
        <v>4559</v>
      </c>
      <c r="U1764" t="s">
        <v>4655</v>
      </c>
      <c r="V1764" s="2">
        <v>0</v>
      </c>
      <c r="W1764" t="s">
        <v>4655</v>
      </c>
      <c r="X1764" s="2">
        <v>0</v>
      </c>
      <c r="Y1764">
        <v>21</v>
      </c>
      <c r="Z1764" t="s">
        <v>3532</v>
      </c>
      <c r="AA1764" s="3">
        <v>1.00000004749745E-3</v>
      </c>
      <c r="AB1764" t="s">
        <v>12654</v>
      </c>
      <c r="AC1764" t="s">
        <v>4562</v>
      </c>
      <c r="AD1764" t="s">
        <v>12655</v>
      </c>
      <c r="AE1764" t="s">
        <v>4655</v>
      </c>
      <c r="AF1764" t="s">
        <v>4563</v>
      </c>
      <c r="AG1764" t="s">
        <v>4564</v>
      </c>
      <c r="AH1764">
        <v>89511</v>
      </c>
      <c r="AI1764" t="s">
        <v>12656</v>
      </c>
      <c r="AJ1764" t="s">
        <v>4655</v>
      </c>
      <c r="AK1764" t="s">
        <v>12657</v>
      </c>
      <c r="AL1764" s="13" t="s">
        <v>2257</v>
      </c>
      <c r="AM1764" s="14">
        <v>1</v>
      </c>
      <c r="AN1764" s="15" t="s">
        <v>787</v>
      </c>
    </row>
    <row r="1765" spans="1:40" x14ac:dyDescent="0.3">
      <c r="A1765" s="10" t="str">
        <f>HYPERLINK("http://www.washoecounty.gov/assessor/cama/?parid=025-111-05&amp;CardNumber=1","025-111-05")</f>
        <v>025-111-05</v>
      </c>
      <c r="B1765" t="s">
        <v>4655</v>
      </c>
      <c r="C1765" t="s">
        <v>12658</v>
      </c>
      <c r="D1765" s="1">
        <v>40359</v>
      </c>
      <c r="E1765" s="2">
        <v>38000</v>
      </c>
      <c r="F1765" t="s">
        <v>4567</v>
      </c>
      <c r="G1765" s="17" t="str">
        <f>HYPERLINK("https://www.washoecounty.gov/assessor/cama/?command=sales&amp;parid=02511105","3897107")</f>
        <v>3897107</v>
      </c>
      <c r="H1765" t="s">
        <v>12659</v>
      </c>
      <c r="I1765">
        <v>1970</v>
      </c>
      <c r="J1765">
        <v>1970</v>
      </c>
      <c r="K1765" t="s">
        <v>4897</v>
      </c>
      <c r="L1765" t="s">
        <v>4555</v>
      </c>
      <c r="M1765" s="2">
        <v>810</v>
      </c>
      <c r="N1765" t="s">
        <v>4556</v>
      </c>
      <c r="O1765">
        <v>2</v>
      </c>
      <c r="P1765">
        <v>1</v>
      </c>
      <c r="Q1765">
        <v>0</v>
      </c>
      <c r="R1765" t="s">
        <v>4676</v>
      </c>
      <c r="S1765" t="s">
        <v>4135</v>
      </c>
      <c r="T1765" t="s">
        <v>4559</v>
      </c>
      <c r="U1765" t="s">
        <v>5631</v>
      </c>
      <c r="V1765" s="2">
        <v>210</v>
      </c>
      <c r="W1765" t="s">
        <v>4655</v>
      </c>
      <c r="X1765" s="2">
        <v>0</v>
      </c>
      <c r="Y1765">
        <v>21</v>
      </c>
      <c r="Z1765" t="s">
        <v>3532</v>
      </c>
      <c r="AA1765" s="3">
        <v>1.00000004749745E-3</v>
      </c>
      <c r="AB1765" t="s">
        <v>4915</v>
      </c>
      <c r="AC1765" t="s">
        <v>4575</v>
      </c>
      <c r="AD1765" t="s">
        <v>4916</v>
      </c>
      <c r="AE1765" t="s">
        <v>4655</v>
      </c>
      <c r="AF1765" t="s">
        <v>4563</v>
      </c>
      <c r="AG1765" t="s">
        <v>4564</v>
      </c>
      <c r="AH1765" t="s">
        <v>5197</v>
      </c>
      <c r="AI1765" t="s">
        <v>12660</v>
      </c>
      <c r="AJ1765" t="s">
        <v>4655</v>
      </c>
      <c r="AK1765" t="s">
        <v>12661</v>
      </c>
      <c r="AL1765" s="13" t="s">
        <v>2255</v>
      </c>
      <c r="AM1765">
        <v>1</v>
      </c>
      <c r="AN1765" s="15" t="s">
        <v>1528</v>
      </c>
    </row>
    <row r="1766" spans="1:40" x14ac:dyDescent="0.3">
      <c r="A1766" s="10" t="str">
        <f>HYPERLINK("http://www.washoecounty.gov/assessor/cama/?parid=025-111-16&amp;CardNumber=1","025-111-16")</f>
        <v>025-111-16</v>
      </c>
      <c r="B1766" t="s">
        <v>4655</v>
      </c>
      <c r="C1766" t="s">
        <v>12662</v>
      </c>
      <c r="D1766" s="1">
        <v>40529</v>
      </c>
      <c r="E1766" s="2">
        <v>38000</v>
      </c>
      <c r="F1766" t="s">
        <v>4567</v>
      </c>
      <c r="G1766" s="17" t="str">
        <f>HYPERLINK("https://www.washoecounty.gov/assessor/cama/?command=sales&amp;parid=02511116","3955143")</f>
        <v>3955143</v>
      </c>
      <c r="H1766" t="s">
        <v>1529</v>
      </c>
      <c r="I1766">
        <v>1970</v>
      </c>
      <c r="J1766">
        <v>1970</v>
      </c>
      <c r="K1766" t="s">
        <v>4897</v>
      </c>
      <c r="L1766" t="s">
        <v>4555</v>
      </c>
      <c r="M1766" s="2">
        <v>798</v>
      </c>
      <c r="N1766" t="s">
        <v>4556</v>
      </c>
      <c r="O1766">
        <v>2</v>
      </c>
      <c r="P1766">
        <v>1</v>
      </c>
      <c r="Q1766">
        <v>0</v>
      </c>
      <c r="R1766" t="s">
        <v>4676</v>
      </c>
      <c r="S1766" t="s">
        <v>4135</v>
      </c>
      <c r="T1766" t="s">
        <v>4559</v>
      </c>
      <c r="U1766" t="s">
        <v>5631</v>
      </c>
      <c r="V1766" s="2">
        <v>210</v>
      </c>
      <c r="W1766" t="s">
        <v>4655</v>
      </c>
      <c r="X1766" s="2">
        <v>0</v>
      </c>
      <c r="Y1766">
        <v>21</v>
      </c>
      <c r="Z1766" t="s">
        <v>3532</v>
      </c>
      <c r="AA1766" s="3">
        <v>1.00000004749745E-3</v>
      </c>
      <c r="AB1766" t="s">
        <v>7007</v>
      </c>
      <c r="AC1766" t="s">
        <v>4562</v>
      </c>
      <c r="AD1766" t="s">
        <v>7008</v>
      </c>
      <c r="AE1766" t="s">
        <v>4655</v>
      </c>
      <c r="AF1766" t="s">
        <v>4656</v>
      </c>
      <c r="AG1766" t="s">
        <v>4657</v>
      </c>
      <c r="AH1766">
        <v>65802</v>
      </c>
      <c r="AI1766" t="s">
        <v>12663</v>
      </c>
      <c r="AJ1766" t="s">
        <v>4655</v>
      </c>
      <c r="AK1766" t="s">
        <v>12664</v>
      </c>
      <c r="AL1766" s="13" t="s">
        <v>2255</v>
      </c>
      <c r="AM1766">
        <v>1</v>
      </c>
      <c r="AN1766" s="15" t="s">
        <v>1528</v>
      </c>
    </row>
    <row r="1767" spans="1:40" x14ac:dyDescent="0.3">
      <c r="A1767" s="10" t="str">
        <f>HYPERLINK("http://www.washoecounty.gov/assessor/cama/?parid=025-111-21&amp;CardNumber=1","025-111-21")</f>
        <v>025-111-21</v>
      </c>
      <c r="B1767" t="s">
        <v>4655</v>
      </c>
      <c r="C1767" t="s">
        <v>4008</v>
      </c>
      <c r="D1767" s="1">
        <v>40392</v>
      </c>
      <c r="E1767" s="2">
        <v>42200</v>
      </c>
      <c r="F1767" t="s">
        <v>4567</v>
      </c>
      <c r="G1767" s="17" t="str">
        <f>HYPERLINK("https://www.washoecounty.gov/assessor/cama/?command=sales&amp;parid=02511121","3907640")</f>
        <v>3907640</v>
      </c>
      <c r="H1767" t="s">
        <v>1529</v>
      </c>
      <c r="I1767">
        <v>1970</v>
      </c>
      <c r="J1767">
        <v>1970</v>
      </c>
      <c r="K1767" t="s">
        <v>4897</v>
      </c>
      <c r="L1767" t="s">
        <v>4555</v>
      </c>
      <c r="M1767" s="2">
        <v>810</v>
      </c>
      <c r="N1767" t="s">
        <v>4556</v>
      </c>
      <c r="O1767">
        <v>2</v>
      </c>
      <c r="P1767">
        <v>1</v>
      </c>
      <c r="Q1767">
        <v>0</v>
      </c>
      <c r="R1767" t="s">
        <v>4676</v>
      </c>
      <c r="S1767" t="s">
        <v>4135</v>
      </c>
      <c r="T1767" t="s">
        <v>4559</v>
      </c>
      <c r="U1767" t="s">
        <v>5631</v>
      </c>
      <c r="V1767" s="2">
        <v>210</v>
      </c>
      <c r="W1767" t="s">
        <v>4655</v>
      </c>
      <c r="X1767" s="2">
        <v>0</v>
      </c>
      <c r="Y1767">
        <v>21</v>
      </c>
      <c r="Z1767" t="s">
        <v>3532</v>
      </c>
      <c r="AA1767" s="3">
        <v>1.00000004749745E-3</v>
      </c>
      <c r="AB1767" t="s">
        <v>2653</v>
      </c>
      <c r="AC1767" t="s">
        <v>4562</v>
      </c>
      <c r="AD1767" t="s">
        <v>2654</v>
      </c>
      <c r="AE1767" t="s">
        <v>4655</v>
      </c>
      <c r="AF1767" t="s">
        <v>2655</v>
      </c>
      <c r="AG1767" t="s">
        <v>1539</v>
      </c>
      <c r="AH1767" t="s">
        <v>2656</v>
      </c>
      <c r="AI1767" t="s">
        <v>12665</v>
      </c>
      <c r="AJ1767" t="s">
        <v>4655</v>
      </c>
      <c r="AK1767" t="s">
        <v>12666</v>
      </c>
      <c r="AL1767" s="13" t="s">
        <v>2255</v>
      </c>
      <c r="AM1767">
        <v>1</v>
      </c>
      <c r="AN1767" s="15" t="s">
        <v>1528</v>
      </c>
    </row>
    <row r="1768" spans="1:40" x14ac:dyDescent="0.3">
      <c r="A1768" s="10" t="str">
        <f>HYPERLINK("http://www.washoecounty.gov/assessor/cama/?parid=025-111-22&amp;CardNumber=1","025-111-22")</f>
        <v>025-111-22</v>
      </c>
      <c r="B1768" t="s">
        <v>4655</v>
      </c>
      <c r="C1768" t="s">
        <v>4008</v>
      </c>
      <c r="D1768" s="1">
        <v>40310</v>
      </c>
      <c r="E1768" s="2">
        <v>36800</v>
      </c>
      <c r="F1768" t="s">
        <v>4567</v>
      </c>
      <c r="G1768" s="17" t="str">
        <f>HYPERLINK("https://www.washoecounty.gov/assessor/cama/?command=sales&amp;parid=02511122","3880704")</f>
        <v>3880704</v>
      </c>
      <c r="H1768" t="s">
        <v>1529</v>
      </c>
      <c r="I1768">
        <v>1970</v>
      </c>
      <c r="J1768">
        <v>1970</v>
      </c>
      <c r="K1768" t="s">
        <v>4897</v>
      </c>
      <c r="L1768" t="s">
        <v>3974</v>
      </c>
      <c r="M1768" s="2">
        <v>882</v>
      </c>
      <c r="N1768" t="s">
        <v>4556</v>
      </c>
      <c r="O1768">
        <v>2</v>
      </c>
      <c r="P1768">
        <v>1</v>
      </c>
      <c r="Q1768">
        <v>0</v>
      </c>
      <c r="R1768" t="s">
        <v>4676</v>
      </c>
      <c r="S1768" t="s">
        <v>4135</v>
      </c>
      <c r="T1768" t="s">
        <v>4559</v>
      </c>
      <c r="U1768" t="s">
        <v>5631</v>
      </c>
      <c r="V1768" s="2">
        <v>210</v>
      </c>
      <c r="W1768" t="s">
        <v>4655</v>
      </c>
      <c r="X1768" s="2">
        <v>0</v>
      </c>
      <c r="Y1768">
        <v>21</v>
      </c>
      <c r="Z1768" t="s">
        <v>3532</v>
      </c>
      <c r="AA1768" s="3">
        <v>1.00000004749745E-3</v>
      </c>
      <c r="AB1768" t="s">
        <v>12667</v>
      </c>
      <c r="AC1768" t="s">
        <v>4562</v>
      </c>
      <c r="AD1768" t="s">
        <v>12668</v>
      </c>
      <c r="AE1768" t="s">
        <v>4655</v>
      </c>
      <c r="AF1768" t="s">
        <v>4656</v>
      </c>
      <c r="AG1768" t="s">
        <v>4657</v>
      </c>
      <c r="AH1768">
        <v>65802</v>
      </c>
      <c r="AI1768" t="s">
        <v>12669</v>
      </c>
      <c r="AJ1768" t="s">
        <v>4655</v>
      </c>
      <c r="AK1768" t="s">
        <v>12670</v>
      </c>
      <c r="AL1768" s="13" t="s">
        <v>2255</v>
      </c>
      <c r="AM1768">
        <v>1</v>
      </c>
      <c r="AN1768" s="15" t="s">
        <v>1528</v>
      </c>
    </row>
    <row r="1769" spans="1:40" x14ac:dyDescent="0.3">
      <c r="A1769" s="10" t="str">
        <f>HYPERLINK("http://www.washoecounty.gov/assessor/cama/?parid=025-111-27&amp;CardNumber=1","025-111-27")</f>
        <v>025-111-27</v>
      </c>
      <c r="B1769" t="s">
        <v>4655</v>
      </c>
      <c r="C1769" t="s">
        <v>12671</v>
      </c>
      <c r="D1769" s="1">
        <v>40288</v>
      </c>
      <c r="E1769" s="2">
        <v>42000</v>
      </c>
      <c r="F1769" t="s">
        <v>4567</v>
      </c>
      <c r="G1769" s="17" t="str">
        <f>HYPERLINK("https://www.washoecounty.gov/assessor/cama/?command=sales&amp;parid=02511127","3872807")</f>
        <v>3872807</v>
      </c>
      <c r="H1769" t="s">
        <v>12672</v>
      </c>
      <c r="I1769">
        <v>1970</v>
      </c>
      <c r="J1769">
        <v>1970</v>
      </c>
      <c r="K1769" t="s">
        <v>4897</v>
      </c>
      <c r="L1769" t="s">
        <v>3974</v>
      </c>
      <c r="M1769" s="2">
        <v>882</v>
      </c>
      <c r="N1769" t="s">
        <v>4556</v>
      </c>
      <c r="O1769">
        <v>2</v>
      </c>
      <c r="P1769">
        <v>1</v>
      </c>
      <c r="Q1769">
        <v>0</v>
      </c>
      <c r="R1769" t="s">
        <v>4676</v>
      </c>
      <c r="S1769" t="s">
        <v>4135</v>
      </c>
      <c r="T1769" t="s">
        <v>4559</v>
      </c>
      <c r="U1769" t="s">
        <v>5631</v>
      </c>
      <c r="V1769" s="2">
        <v>210</v>
      </c>
      <c r="W1769" t="s">
        <v>4655</v>
      </c>
      <c r="X1769" s="2">
        <v>0</v>
      </c>
      <c r="Y1769">
        <v>21</v>
      </c>
      <c r="Z1769" t="s">
        <v>3532</v>
      </c>
      <c r="AA1769" s="3">
        <v>1.00000004749745E-3</v>
      </c>
      <c r="AB1769" t="s">
        <v>3414</v>
      </c>
      <c r="AC1769" t="s">
        <v>4562</v>
      </c>
      <c r="AD1769" t="s">
        <v>3415</v>
      </c>
      <c r="AE1769" t="s">
        <v>4655</v>
      </c>
      <c r="AF1769" t="s">
        <v>4563</v>
      </c>
      <c r="AG1769" t="s">
        <v>4564</v>
      </c>
      <c r="AH1769">
        <v>89509</v>
      </c>
      <c r="AI1769" t="s">
        <v>12673</v>
      </c>
      <c r="AJ1769" t="s">
        <v>4655</v>
      </c>
      <c r="AK1769" t="s">
        <v>12674</v>
      </c>
      <c r="AL1769" s="13" t="s">
        <v>2255</v>
      </c>
      <c r="AM1769" s="14">
        <v>1</v>
      </c>
      <c r="AN1769" s="15" t="s">
        <v>1528</v>
      </c>
    </row>
    <row r="1770" spans="1:40" x14ac:dyDescent="0.3">
      <c r="A1770" s="10" t="str">
        <f>HYPERLINK("http://www.washoecounty.gov/assessor/cama/?parid=025-111-34&amp;CardNumber=1","025-111-34")</f>
        <v>025-111-34</v>
      </c>
      <c r="B1770" t="s">
        <v>4655</v>
      </c>
      <c r="C1770" t="s">
        <v>12675</v>
      </c>
      <c r="D1770" s="1">
        <v>40204</v>
      </c>
      <c r="E1770" s="2">
        <v>36000</v>
      </c>
      <c r="F1770" t="s">
        <v>4553</v>
      </c>
      <c r="G1770" s="17" t="str">
        <f>HYPERLINK("https://www.washoecounty.gov/assessor/cama/?command=sales&amp;parid=02511134","3842674")</f>
        <v>3842674</v>
      </c>
      <c r="H1770" t="s">
        <v>12659</v>
      </c>
      <c r="I1770">
        <v>1970</v>
      </c>
      <c r="J1770">
        <v>1970</v>
      </c>
      <c r="K1770" t="s">
        <v>4897</v>
      </c>
      <c r="L1770" t="s">
        <v>3974</v>
      </c>
      <c r="M1770" s="2">
        <v>882</v>
      </c>
      <c r="N1770" t="s">
        <v>4556</v>
      </c>
      <c r="O1770">
        <v>2</v>
      </c>
      <c r="P1770">
        <v>1</v>
      </c>
      <c r="Q1770">
        <v>0</v>
      </c>
      <c r="R1770" t="s">
        <v>4676</v>
      </c>
      <c r="S1770" t="s">
        <v>4135</v>
      </c>
      <c r="T1770" t="s">
        <v>4559</v>
      </c>
      <c r="U1770" t="s">
        <v>5631</v>
      </c>
      <c r="V1770" s="2">
        <v>210</v>
      </c>
      <c r="W1770" t="s">
        <v>4655</v>
      </c>
      <c r="X1770" s="2">
        <v>0</v>
      </c>
      <c r="Y1770">
        <v>21</v>
      </c>
      <c r="Z1770" t="s">
        <v>3532</v>
      </c>
      <c r="AA1770" s="3">
        <v>1.00000004749745E-3</v>
      </c>
      <c r="AB1770" t="s">
        <v>12676</v>
      </c>
      <c r="AC1770" t="s">
        <v>4562</v>
      </c>
      <c r="AD1770" t="s">
        <v>12668</v>
      </c>
      <c r="AE1770" t="s">
        <v>4655</v>
      </c>
      <c r="AF1770" t="s">
        <v>4656</v>
      </c>
      <c r="AG1770" t="s">
        <v>4657</v>
      </c>
      <c r="AH1770">
        <v>65802</v>
      </c>
      <c r="AI1770" t="s">
        <v>4565</v>
      </c>
      <c r="AJ1770" t="s">
        <v>4655</v>
      </c>
      <c r="AK1770" t="s">
        <v>12677</v>
      </c>
      <c r="AL1770" s="13" t="s">
        <v>2255</v>
      </c>
      <c r="AM1770" s="14">
        <v>1</v>
      </c>
      <c r="AN1770" s="15" t="s">
        <v>1528</v>
      </c>
    </row>
    <row r="1771" spans="1:40" x14ac:dyDescent="0.3">
      <c r="A1771" s="10" t="str">
        <f>HYPERLINK("http://www.washoecounty.gov/assessor/cama/?parid=025-111-42&amp;CardNumber=1","025-111-42")</f>
        <v>025-111-42</v>
      </c>
      <c r="B1771" t="s">
        <v>4655</v>
      </c>
      <c r="C1771" t="s">
        <v>12678</v>
      </c>
      <c r="D1771" s="1">
        <v>40435</v>
      </c>
      <c r="E1771" s="2">
        <v>35000</v>
      </c>
      <c r="F1771" t="s">
        <v>4553</v>
      </c>
      <c r="G1771" s="17" t="str">
        <f>HYPERLINK("https://www.washoecounty.gov/assessor/cama/?command=sales&amp;parid=02511142","3922088")</f>
        <v>3922088</v>
      </c>
      <c r="H1771" t="s">
        <v>1529</v>
      </c>
      <c r="I1771">
        <v>1970</v>
      </c>
      <c r="J1771">
        <v>1970</v>
      </c>
      <c r="K1771" t="s">
        <v>4897</v>
      </c>
      <c r="L1771" t="s">
        <v>3974</v>
      </c>
      <c r="M1771" s="2">
        <v>882</v>
      </c>
      <c r="N1771" t="s">
        <v>4556</v>
      </c>
      <c r="O1771">
        <v>2</v>
      </c>
      <c r="P1771">
        <v>1</v>
      </c>
      <c r="Q1771">
        <v>0</v>
      </c>
      <c r="R1771" t="s">
        <v>4676</v>
      </c>
      <c r="S1771" t="s">
        <v>4135</v>
      </c>
      <c r="T1771" t="s">
        <v>4559</v>
      </c>
      <c r="U1771" t="s">
        <v>5631</v>
      </c>
      <c r="V1771" s="2">
        <v>210</v>
      </c>
      <c r="W1771" t="s">
        <v>4655</v>
      </c>
      <c r="X1771" s="2">
        <v>0</v>
      </c>
      <c r="Y1771">
        <v>21</v>
      </c>
      <c r="Z1771" t="s">
        <v>3532</v>
      </c>
      <c r="AA1771" s="3">
        <v>1.00000004749745E-3</v>
      </c>
      <c r="AB1771" t="s">
        <v>12679</v>
      </c>
      <c r="AC1771" t="s">
        <v>4575</v>
      </c>
      <c r="AD1771" t="s">
        <v>12680</v>
      </c>
      <c r="AE1771" t="s">
        <v>12681</v>
      </c>
      <c r="AF1771" t="s">
        <v>4563</v>
      </c>
      <c r="AG1771" t="s">
        <v>4564</v>
      </c>
      <c r="AH1771" t="s">
        <v>2541</v>
      </c>
      <c r="AI1771" t="s">
        <v>2351</v>
      </c>
      <c r="AJ1771" t="s">
        <v>4655</v>
      </c>
      <c r="AK1771" t="s">
        <v>12682</v>
      </c>
      <c r="AL1771" s="13" t="s">
        <v>2255</v>
      </c>
      <c r="AM1771">
        <v>1</v>
      </c>
      <c r="AN1771" s="15" t="s">
        <v>1528</v>
      </c>
    </row>
    <row r="1772" spans="1:40" x14ac:dyDescent="0.3">
      <c r="A1772" s="10" t="str">
        <f>HYPERLINK("http://www.washoecounty.gov/assessor/cama/?parid=025-111-46&amp;CardNumber=1","025-111-46")</f>
        <v>025-111-46</v>
      </c>
      <c r="B1772" t="s">
        <v>4655</v>
      </c>
      <c r="C1772" t="s">
        <v>12683</v>
      </c>
      <c r="D1772" s="1">
        <v>40192</v>
      </c>
      <c r="E1772" s="2">
        <v>40000</v>
      </c>
      <c r="F1772" t="s">
        <v>4553</v>
      </c>
      <c r="G1772" s="17" t="str">
        <f>HYPERLINK("https://www.washoecounty.gov/assessor/cama/?command=sales&amp;parid=02511146","3839108")</f>
        <v>3839108</v>
      </c>
      <c r="H1772" t="s">
        <v>1529</v>
      </c>
      <c r="I1772">
        <v>1970</v>
      </c>
      <c r="J1772">
        <v>1970</v>
      </c>
      <c r="K1772" t="s">
        <v>4897</v>
      </c>
      <c r="L1772" t="s">
        <v>3974</v>
      </c>
      <c r="M1772" s="2">
        <v>882</v>
      </c>
      <c r="N1772" t="s">
        <v>4556</v>
      </c>
      <c r="O1772">
        <v>2</v>
      </c>
      <c r="P1772">
        <v>1</v>
      </c>
      <c r="Q1772">
        <v>0</v>
      </c>
      <c r="R1772" t="s">
        <v>4676</v>
      </c>
      <c r="S1772" t="s">
        <v>4135</v>
      </c>
      <c r="T1772" t="s">
        <v>4559</v>
      </c>
      <c r="U1772" t="s">
        <v>5631</v>
      </c>
      <c r="V1772" s="2">
        <v>210</v>
      </c>
      <c r="W1772" t="s">
        <v>4655</v>
      </c>
      <c r="X1772" s="2">
        <v>0</v>
      </c>
      <c r="Y1772">
        <v>21</v>
      </c>
      <c r="Z1772" t="s">
        <v>3532</v>
      </c>
      <c r="AA1772" s="3">
        <v>1.00000004749745E-3</v>
      </c>
      <c r="AB1772" t="s">
        <v>12667</v>
      </c>
      <c r="AC1772" t="s">
        <v>4562</v>
      </c>
      <c r="AD1772" t="s">
        <v>12684</v>
      </c>
      <c r="AE1772" t="s">
        <v>4655</v>
      </c>
      <c r="AF1772" t="s">
        <v>1530</v>
      </c>
      <c r="AG1772" t="s">
        <v>4657</v>
      </c>
      <c r="AH1772">
        <v>65802</v>
      </c>
      <c r="AI1772" t="s">
        <v>4903</v>
      </c>
      <c r="AJ1772" t="s">
        <v>4655</v>
      </c>
      <c r="AK1772" t="s">
        <v>12685</v>
      </c>
      <c r="AL1772" s="13" t="s">
        <v>2255</v>
      </c>
      <c r="AM1772">
        <v>1</v>
      </c>
      <c r="AN1772" s="15" t="s">
        <v>1528</v>
      </c>
    </row>
    <row r="1773" spans="1:40" x14ac:dyDescent="0.3">
      <c r="A1773" s="10" t="str">
        <f>HYPERLINK("http://www.washoecounty.gov/assessor/cama/?parid=025-112-23&amp;CardNumber=1","025-112-23")</f>
        <v>025-112-23</v>
      </c>
      <c r="B1773" t="s">
        <v>4655</v>
      </c>
      <c r="C1773" t="s">
        <v>12686</v>
      </c>
      <c r="D1773" s="1">
        <v>40359</v>
      </c>
      <c r="E1773" s="2">
        <v>42000</v>
      </c>
      <c r="F1773" t="s">
        <v>4553</v>
      </c>
      <c r="G1773" s="17" t="str">
        <f>HYPERLINK("https://www.washoecounty.gov/assessor/cama/?command=sales&amp;parid=02511223","3897448")</f>
        <v>3897448</v>
      </c>
      <c r="H1773" t="s">
        <v>1529</v>
      </c>
      <c r="I1773">
        <v>1970</v>
      </c>
      <c r="J1773">
        <v>1970</v>
      </c>
      <c r="K1773" t="s">
        <v>4897</v>
      </c>
      <c r="L1773" t="s">
        <v>3974</v>
      </c>
      <c r="M1773" s="2">
        <v>882</v>
      </c>
      <c r="N1773" t="s">
        <v>4556</v>
      </c>
      <c r="O1773">
        <v>2</v>
      </c>
      <c r="P1773">
        <v>1</v>
      </c>
      <c r="Q1773">
        <v>0</v>
      </c>
      <c r="R1773" t="s">
        <v>4676</v>
      </c>
      <c r="S1773" t="s">
        <v>4135</v>
      </c>
      <c r="T1773" t="s">
        <v>4559</v>
      </c>
      <c r="U1773" t="s">
        <v>5631</v>
      </c>
      <c r="V1773" s="2">
        <v>210</v>
      </c>
      <c r="W1773" t="s">
        <v>4655</v>
      </c>
      <c r="X1773" s="2">
        <v>0</v>
      </c>
      <c r="Y1773">
        <v>21</v>
      </c>
      <c r="Z1773" t="s">
        <v>3532</v>
      </c>
      <c r="AA1773" s="3">
        <v>1.00000004749745E-3</v>
      </c>
      <c r="AB1773" t="s">
        <v>12687</v>
      </c>
      <c r="AC1773" t="s">
        <v>4575</v>
      </c>
      <c r="AD1773" t="s">
        <v>12688</v>
      </c>
      <c r="AE1773" t="s">
        <v>4655</v>
      </c>
      <c r="AF1773" t="s">
        <v>4563</v>
      </c>
      <c r="AG1773" t="s">
        <v>4564</v>
      </c>
      <c r="AH1773">
        <v>89502</v>
      </c>
      <c r="AI1773" t="s">
        <v>4655</v>
      </c>
      <c r="AJ1773" t="s">
        <v>4655</v>
      </c>
      <c r="AK1773" t="s">
        <v>12689</v>
      </c>
      <c r="AL1773" s="13" t="s">
        <v>2255</v>
      </c>
      <c r="AM1773" s="14">
        <v>1</v>
      </c>
      <c r="AN1773" s="15" t="s">
        <v>1528</v>
      </c>
    </row>
    <row r="1774" spans="1:40" x14ac:dyDescent="0.3">
      <c r="A1774" s="10" t="str">
        <f>HYPERLINK("http://www.washoecounty.gov/assessor/cama/?parid=025-112-25&amp;CardNumber=1","025-112-25")</f>
        <v>025-112-25</v>
      </c>
      <c r="B1774" t="s">
        <v>4655</v>
      </c>
      <c r="C1774" t="s">
        <v>4382</v>
      </c>
      <c r="D1774" s="1">
        <v>40269</v>
      </c>
      <c r="E1774" s="2">
        <v>40000</v>
      </c>
      <c r="F1774" t="s">
        <v>4553</v>
      </c>
      <c r="G1774" s="17" t="str">
        <f>HYPERLINK("https://www.washoecounty.gov/assessor/cama/?command=sales&amp;parid=02511225","3866726")</f>
        <v>3866726</v>
      </c>
      <c r="H1774" t="s">
        <v>1529</v>
      </c>
      <c r="I1774">
        <v>1970</v>
      </c>
      <c r="J1774">
        <v>1970</v>
      </c>
      <c r="K1774" t="s">
        <v>4897</v>
      </c>
      <c r="L1774" t="s">
        <v>4555</v>
      </c>
      <c r="M1774" s="2">
        <v>810</v>
      </c>
      <c r="N1774" t="s">
        <v>4556</v>
      </c>
      <c r="O1774">
        <v>2</v>
      </c>
      <c r="P1774">
        <v>1</v>
      </c>
      <c r="Q1774">
        <v>0</v>
      </c>
      <c r="R1774" t="s">
        <v>4676</v>
      </c>
      <c r="S1774" t="s">
        <v>4135</v>
      </c>
      <c r="T1774" t="s">
        <v>4559</v>
      </c>
      <c r="U1774" t="s">
        <v>5631</v>
      </c>
      <c r="V1774" s="2">
        <v>210</v>
      </c>
      <c r="W1774" t="s">
        <v>4655</v>
      </c>
      <c r="X1774" s="2">
        <v>0</v>
      </c>
      <c r="Y1774">
        <v>21</v>
      </c>
      <c r="Z1774" t="s">
        <v>3532</v>
      </c>
      <c r="AA1774" s="3">
        <v>1.00000004749745E-3</v>
      </c>
      <c r="AB1774" t="s">
        <v>12690</v>
      </c>
      <c r="AC1774" t="s">
        <v>4562</v>
      </c>
      <c r="AD1774" t="s">
        <v>12691</v>
      </c>
      <c r="AE1774" t="s">
        <v>4655</v>
      </c>
      <c r="AF1774" t="s">
        <v>4563</v>
      </c>
      <c r="AG1774" t="s">
        <v>4564</v>
      </c>
      <c r="AH1774">
        <v>89502</v>
      </c>
      <c r="AI1774" t="s">
        <v>4655</v>
      </c>
      <c r="AJ1774" t="s">
        <v>4655</v>
      </c>
      <c r="AK1774" t="s">
        <v>12692</v>
      </c>
      <c r="AL1774" s="13" t="s">
        <v>2255</v>
      </c>
      <c r="AM1774" s="14">
        <v>1</v>
      </c>
      <c r="AN1774" s="15" t="s">
        <v>1528</v>
      </c>
    </row>
    <row r="1775" spans="1:40" x14ac:dyDescent="0.3">
      <c r="A1775" s="10" t="str">
        <f>HYPERLINK("http://www.washoecounty.gov/assessor/cama/?parid=025-112-31&amp;CardNumber=1","025-112-31")</f>
        <v>025-112-31</v>
      </c>
      <c r="B1775" t="s">
        <v>4655</v>
      </c>
      <c r="C1775" t="s">
        <v>12693</v>
      </c>
      <c r="D1775" s="1">
        <v>40410</v>
      </c>
      <c r="E1775" s="2">
        <v>40000</v>
      </c>
      <c r="F1775" t="s">
        <v>4567</v>
      </c>
      <c r="G1775" s="17" t="str">
        <f>HYPERLINK("https://www.washoecounty.gov/assessor/cama/?command=sales&amp;parid=02511231","3914209")</f>
        <v>3914209</v>
      </c>
      <c r="H1775" t="s">
        <v>12694</v>
      </c>
      <c r="I1775">
        <v>1970</v>
      </c>
      <c r="J1775">
        <v>1970</v>
      </c>
      <c r="K1775" t="s">
        <v>4897</v>
      </c>
      <c r="L1775" t="s">
        <v>3974</v>
      </c>
      <c r="M1775" s="2">
        <v>882</v>
      </c>
      <c r="N1775" t="s">
        <v>4556</v>
      </c>
      <c r="O1775">
        <v>2</v>
      </c>
      <c r="P1775">
        <v>1</v>
      </c>
      <c r="Q1775">
        <v>0</v>
      </c>
      <c r="R1775" t="s">
        <v>4676</v>
      </c>
      <c r="S1775" t="s">
        <v>4135</v>
      </c>
      <c r="T1775" t="s">
        <v>4559</v>
      </c>
      <c r="U1775" t="s">
        <v>5631</v>
      </c>
      <c r="V1775" s="2">
        <v>210</v>
      </c>
      <c r="W1775" t="s">
        <v>4655</v>
      </c>
      <c r="X1775" s="2">
        <v>0</v>
      </c>
      <c r="Y1775">
        <v>21</v>
      </c>
      <c r="Z1775" t="s">
        <v>3532</v>
      </c>
      <c r="AA1775" s="3">
        <v>1.00000004749745E-3</v>
      </c>
      <c r="AB1775" t="s">
        <v>4915</v>
      </c>
      <c r="AC1775" t="s">
        <v>4575</v>
      </c>
      <c r="AD1775" t="s">
        <v>4916</v>
      </c>
      <c r="AE1775" t="s">
        <v>4655</v>
      </c>
      <c r="AF1775" t="s">
        <v>4563</v>
      </c>
      <c r="AG1775" t="s">
        <v>4564</v>
      </c>
      <c r="AH1775" t="s">
        <v>5197</v>
      </c>
      <c r="AI1775" t="s">
        <v>12695</v>
      </c>
      <c r="AJ1775" t="s">
        <v>4655</v>
      </c>
      <c r="AK1775" t="s">
        <v>12696</v>
      </c>
      <c r="AL1775" s="13" t="s">
        <v>2255</v>
      </c>
      <c r="AM1775">
        <v>1</v>
      </c>
      <c r="AN1775" s="15" t="s">
        <v>1528</v>
      </c>
    </row>
    <row r="1776" spans="1:40" x14ac:dyDescent="0.3">
      <c r="A1776" s="10" t="str">
        <f>HYPERLINK("http://www.washoecounty.gov/assessor/cama/?parid=025-112-41&amp;CardNumber=1","025-112-41")</f>
        <v>025-112-41</v>
      </c>
      <c r="B1776" t="s">
        <v>4655</v>
      </c>
      <c r="C1776" t="s">
        <v>12697</v>
      </c>
      <c r="D1776" s="1">
        <v>40420</v>
      </c>
      <c r="E1776" s="2">
        <v>43000</v>
      </c>
      <c r="F1776" t="s">
        <v>4553</v>
      </c>
      <c r="G1776" s="17" t="str">
        <f>HYPERLINK("https://www.washoecounty.gov/assessor/cama/?command=sales&amp;parid=02511241","3916848")</f>
        <v>3916848</v>
      </c>
      <c r="H1776" t="s">
        <v>1529</v>
      </c>
      <c r="I1776">
        <v>1970</v>
      </c>
      <c r="J1776">
        <v>1970</v>
      </c>
      <c r="K1776" t="s">
        <v>4897</v>
      </c>
      <c r="L1776" t="s">
        <v>4555</v>
      </c>
      <c r="M1776" s="2">
        <v>810</v>
      </c>
      <c r="N1776" t="s">
        <v>4556</v>
      </c>
      <c r="O1776">
        <v>2</v>
      </c>
      <c r="P1776">
        <v>1</v>
      </c>
      <c r="Q1776">
        <v>0</v>
      </c>
      <c r="R1776" t="s">
        <v>4676</v>
      </c>
      <c r="S1776" t="s">
        <v>4135</v>
      </c>
      <c r="T1776" t="s">
        <v>4559</v>
      </c>
      <c r="U1776" t="s">
        <v>5631</v>
      </c>
      <c r="V1776" s="2">
        <v>210</v>
      </c>
      <c r="W1776" t="s">
        <v>4655</v>
      </c>
      <c r="X1776" s="2">
        <v>0</v>
      </c>
      <c r="Y1776">
        <v>21</v>
      </c>
      <c r="Z1776" t="s">
        <v>3532</v>
      </c>
      <c r="AA1776" s="3">
        <v>1.00000004749745E-3</v>
      </c>
      <c r="AB1776" t="s">
        <v>12698</v>
      </c>
      <c r="AC1776" t="s">
        <v>4575</v>
      </c>
      <c r="AD1776" t="s">
        <v>12699</v>
      </c>
      <c r="AE1776" t="s">
        <v>12700</v>
      </c>
      <c r="AF1776" t="s">
        <v>4563</v>
      </c>
      <c r="AG1776" t="s">
        <v>4564</v>
      </c>
      <c r="AH1776" t="s">
        <v>2330</v>
      </c>
      <c r="AI1776" t="s">
        <v>12701</v>
      </c>
      <c r="AJ1776" t="s">
        <v>4655</v>
      </c>
      <c r="AK1776" t="s">
        <v>12702</v>
      </c>
      <c r="AL1776" s="13" t="s">
        <v>2255</v>
      </c>
      <c r="AM1776" s="14">
        <v>1</v>
      </c>
      <c r="AN1776" s="15" t="s">
        <v>1528</v>
      </c>
    </row>
    <row r="1777" spans="1:40" x14ac:dyDescent="0.3">
      <c r="A1777" s="10" t="str">
        <f>HYPERLINK("http://www.washoecounty.gov/assessor/cama/?parid=025-112-43&amp;CardNumber=1","025-112-43")</f>
        <v>025-112-43</v>
      </c>
      <c r="B1777" t="s">
        <v>4655</v>
      </c>
      <c r="C1777" t="s">
        <v>12697</v>
      </c>
      <c r="D1777" s="1">
        <v>40431</v>
      </c>
      <c r="E1777" s="2">
        <v>37000</v>
      </c>
      <c r="F1777" t="s">
        <v>4567</v>
      </c>
      <c r="G1777" s="17" t="str">
        <f>HYPERLINK("https://www.washoecounty.gov/assessor/cama/?command=sales&amp;parid=02511243","3921245")</f>
        <v>3921245</v>
      </c>
      <c r="H1777" t="s">
        <v>12694</v>
      </c>
      <c r="I1777">
        <v>1970</v>
      </c>
      <c r="J1777">
        <v>1970</v>
      </c>
      <c r="K1777" t="s">
        <v>4897</v>
      </c>
      <c r="L1777" t="s">
        <v>3974</v>
      </c>
      <c r="M1777" s="2">
        <v>882</v>
      </c>
      <c r="N1777" t="s">
        <v>4556</v>
      </c>
      <c r="O1777">
        <v>2</v>
      </c>
      <c r="P1777">
        <v>1</v>
      </c>
      <c r="Q1777">
        <v>0</v>
      </c>
      <c r="R1777" t="s">
        <v>4676</v>
      </c>
      <c r="S1777" t="s">
        <v>4135</v>
      </c>
      <c r="T1777" t="s">
        <v>4559</v>
      </c>
      <c r="U1777" t="s">
        <v>5631</v>
      </c>
      <c r="V1777" s="2">
        <v>210</v>
      </c>
      <c r="W1777" t="s">
        <v>4655</v>
      </c>
      <c r="X1777" s="2">
        <v>0</v>
      </c>
      <c r="Y1777">
        <v>21</v>
      </c>
      <c r="Z1777" t="s">
        <v>3532</v>
      </c>
      <c r="AA1777" s="3">
        <v>1.00000004749745E-3</v>
      </c>
      <c r="AB1777" t="s">
        <v>4915</v>
      </c>
      <c r="AC1777" t="s">
        <v>4575</v>
      </c>
      <c r="AD1777" t="s">
        <v>4916</v>
      </c>
      <c r="AE1777" t="s">
        <v>4655</v>
      </c>
      <c r="AF1777" t="s">
        <v>4563</v>
      </c>
      <c r="AG1777" t="s">
        <v>4564</v>
      </c>
      <c r="AH1777" t="s">
        <v>5197</v>
      </c>
      <c r="AI1777" t="s">
        <v>12703</v>
      </c>
      <c r="AJ1777" t="s">
        <v>4655</v>
      </c>
      <c r="AK1777" t="s">
        <v>12704</v>
      </c>
      <c r="AL1777" s="13" t="s">
        <v>2255</v>
      </c>
      <c r="AM1777" s="14">
        <v>1</v>
      </c>
      <c r="AN1777" s="15" t="s">
        <v>1528</v>
      </c>
    </row>
    <row r="1778" spans="1:40" x14ac:dyDescent="0.3">
      <c r="A1778" s="10" t="str">
        <f>HYPERLINK("http://www.washoecounty.gov/assessor/cama/?parid=025-112-45&amp;CardNumber=1","025-112-45")</f>
        <v>025-112-45</v>
      </c>
      <c r="B1778" t="s">
        <v>4655</v>
      </c>
      <c r="C1778" t="s">
        <v>12705</v>
      </c>
      <c r="D1778" s="1">
        <v>40486</v>
      </c>
      <c r="E1778" s="2">
        <v>38500</v>
      </c>
      <c r="F1778" t="s">
        <v>4553</v>
      </c>
      <c r="G1778" s="17" t="str">
        <f>HYPERLINK("https://www.washoecounty.gov/assessor/cama/?command=sales&amp;parid=02511245","3940005")</f>
        <v>3940005</v>
      </c>
      <c r="H1778" t="s">
        <v>1529</v>
      </c>
      <c r="I1778">
        <v>1970</v>
      </c>
      <c r="J1778">
        <v>1970</v>
      </c>
      <c r="K1778" t="s">
        <v>4897</v>
      </c>
      <c r="L1778" t="s">
        <v>4555</v>
      </c>
      <c r="M1778" s="2">
        <v>810</v>
      </c>
      <c r="N1778" t="s">
        <v>4556</v>
      </c>
      <c r="O1778">
        <v>2</v>
      </c>
      <c r="P1778">
        <v>1</v>
      </c>
      <c r="Q1778">
        <v>0</v>
      </c>
      <c r="R1778" t="s">
        <v>4676</v>
      </c>
      <c r="S1778" t="s">
        <v>4135</v>
      </c>
      <c r="T1778" t="s">
        <v>4559</v>
      </c>
      <c r="U1778" t="s">
        <v>5631</v>
      </c>
      <c r="V1778" s="2">
        <v>210</v>
      </c>
      <c r="W1778" t="s">
        <v>4655</v>
      </c>
      <c r="X1778" s="2">
        <v>0</v>
      </c>
      <c r="Y1778">
        <v>21</v>
      </c>
      <c r="Z1778" t="s">
        <v>3532</v>
      </c>
      <c r="AA1778" s="3">
        <v>1.00000004749745E-3</v>
      </c>
      <c r="AB1778" t="s">
        <v>4781</v>
      </c>
      <c r="AC1778" t="s">
        <v>4562</v>
      </c>
      <c r="AD1778" t="s">
        <v>2654</v>
      </c>
      <c r="AE1778" t="s">
        <v>4655</v>
      </c>
      <c r="AF1778" t="s">
        <v>4782</v>
      </c>
      <c r="AG1778" t="s">
        <v>1539</v>
      </c>
      <c r="AH1778" t="s">
        <v>2656</v>
      </c>
      <c r="AI1778" t="s">
        <v>4565</v>
      </c>
      <c r="AJ1778" t="s">
        <v>4655</v>
      </c>
      <c r="AK1778" t="s">
        <v>12706</v>
      </c>
      <c r="AL1778" s="13" t="s">
        <v>2255</v>
      </c>
      <c r="AM1778">
        <v>1</v>
      </c>
      <c r="AN1778" s="15" t="s">
        <v>1528</v>
      </c>
    </row>
    <row r="1779" spans="1:40" x14ac:dyDescent="0.3">
      <c r="A1779" s="10" t="str">
        <f>HYPERLINK("http://www.washoecounty.gov/assessor/cama/?parid=025-112-51&amp;CardNumber=1","025-112-51")</f>
        <v>025-112-51</v>
      </c>
      <c r="B1779" t="s">
        <v>4655</v>
      </c>
      <c r="C1779" t="s">
        <v>12707</v>
      </c>
      <c r="D1779" s="1">
        <v>40347</v>
      </c>
      <c r="E1779" s="2">
        <v>38000</v>
      </c>
      <c r="F1779" t="s">
        <v>4567</v>
      </c>
      <c r="G1779" s="17" t="str">
        <f>HYPERLINK("https://www.washoecounty.gov/assessor/cama/?command=sales&amp;parid=02511251","3893267")</f>
        <v>3893267</v>
      </c>
      <c r="H1779" t="s">
        <v>1529</v>
      </c>
      <c r="I1779">
        <v>1970</v>
      </c>
      <c r="J1779">
        <v>1970</v>
      </c>
      <c r="K1779" t="s">
        <v>4897</v>
      </c>
      <c r="L1779" t="s">
        <v>3974</v>
      </c>
      <c r="M1779" s="2">
        <v>882</v>
      </c>
      <c r="N1779" t="s">
        <v>4556</v>
      </c>
      <c r="O1779">
        <v>2</v>
      </c>
      <c r="P1779">
        <v>1</v>
      </c>
      <c r="Q1779">
        <v>0</v>
      </c>
      <c r="R1779" t="s">
        <v>4676</v>
      </c>
      <c r="S1779" t="s">
        <v>4135</v>
      </c>
      <c r="T1779" t="s">
        <v>4559</v>
      </c>
      <c r="U1779" t="s">
        <v>5631</v>
      </c>
      <c r="V1779" s="2">
        <v>210</v>
      </c>
      <c r="W1779" t="s">
        <v>4655</v>
      </c>
      <c r="X1779" s="2">
        <v>0</v>
      </c>
      <c r="Y1779">
        <v>21</v>
      </c>
      <c r="Z1779" t="s">
        <v>3532</v>
      </c>
      <c r="AA1779" s="3">
        <v>1.00000004749745E-3</v>
      </c>
      <c r="AB1779" t="s">
        <v>12667</v>
      </c>
      <c r="AC1779" t="s">
        <v>4562</v>
      </c>
      <c r="AD1779" t="s">
        <v>12668</v>
      </c>
      <c r="AE1779" t="s">
        <v>4655</v>
      </c>
      <c r="AF1779" t="s">
        <v>4656</v>
      </c>
      <c r="AG1779" t="s">
        <v>4657</v>
      </c>
      <c r="AH1779">
        <v>65802</v>
      </c>
      <c r="AI1779" t="s">
        <v>12708</v>
      </c>
      <c r="AJ1779" t="s">
        <v>4655</v>
      </c>
      <c r="AK1779" t="s">
        <v>12709</v>
      </c>
      <c r="AL1779" s="13" t="s">
        <v>2255</v>
      </c>
      <c r="AM1779">
        <v>1</v>
      </c>
      <c r="AN1779" s="15" t="s">
        <v>1528</v>
      </c>
    </row>
    <row r="1780" spans="1:40" x14ac:dyDescent="0.3">
      <c r="A1780" s="10" t="str">
        <f>HYPERLINK("http://www.washoecounty.gov/assessor/cama/?parid=025-112-69&amp;CardNumber=1","025-112-69")</f>
        <v>025-112-69</v>
      </c>
      <c r="B1780" t="s">
        <v>4655</v>
      </c>
      <c r="C1780" t="s">
        <v>12710</v>
      </c>
      <c r="D1780" s="1">
        <v>40438</v>
      </c>
      <c r="E1780" s="2">
        <v>43000</v>
      </c>
      <c r="F1780" t="s">
        <v>4553</v>
      </c>
      <c r="G1780" s="17" t="str">
        <f>HYPERLINK("https://www.washoecounty.gov/assessor/cama/?command=sales&amp;parid=02511269","3922624")</f>
        <v>3922624</v>
      </c>
      <c r="H1780" t="s">
        <v>12694</v>
      </c>
      <c r="I1780">
        <v>1970</v>
      </c>
      <c r="J1780">
        <v>1970</v>
      </c>
      <c r="K1780" t="s">
        <v>4897</v>
      </c>
      <c r="L1780" t="s">
        <v>4555</v>
      </c>
      <c r="M1780" s="2">
        <v>810</v>
      </c>
      <c r="N1780" t="s">
        <v>4556</v>
      </c>
      <c r="O1780">
        <v>2</v>
      </c>
      <c r="P1780">
        <v>1</v>
      </c>
      <c r="Q1780">
        <v>0</v>
      </c>
      <c r="R1780" t="s">
        <v>4676</v>
      </c>
      <c r="S1780" t="s">
        <v>4135</v>
      </c>
      <c r="T1780" t="s">
        <v>4559</v>
      </c>
      <c r="U1780" t="s">
        <v>5631</v>
      </c>
      <c r="V1780" s="2">
        <v>210</v>
      </c>
      <c r="W1780" t="s">
        <v>4655</v>
      </c>
      <c r="X1780" s="2">
        <v>0</v>
      </c>
      <c r="Y1780">
        <v>21</v>
      </c>
      <c r="Z1780" t="s">
        <v>3532</v>
      </c>
      <c r="AA1780" s="3">
        <v>1.00000004749745E-3</v>
      </c>
      <c r="AB1780" t="s">
        <v>12711</v>
      </c>
      <c r="AC1780" t="s">
        <v>4562</v>
      </c>
      <c r="AD1780" t="s">
        <v>12712</v>
      </c>
      <c r="AE1780" t="s">
        <v>4655</v>
      </c>
      <c r="AF1780" t="s">
        <v>4563</v>
      </c>
      <c r="AG1780" t="s">
        <v>4564</v>
      </c>
      <c r="AH1780">
        <v>89502</v>
      </c>
      <c r="AI1780" t="s">
        <v>4903</v>
      </c>
      <c r="AJ1780" t="s">
        <v>4655</v>
      </c>
      <c r="AK1780" t="s">
        <v>12713</v>
      </c>
      <c r="AL1780" s="13" t="s">
        <v>2255</v>
      </c>
      <c r="AM1780" s="14">
        <v>1</v>
      </c>
      <c r="AN1780" s="15" t="s">
        <v>1528</v>
      </c>
    </row>
    <row r="1781" spans="1:40" x14ac:dyDescent="0.3">
      <c r="A1781" s="10" t="str">
        <f>HYPERLINK("http://www.washoecounty.gov/assessor/cama/?parid=025-120-06&amp;CardNumber=1","025-120-06")</f>
        <v>025-120-06</v>
      </c>
      <c r="B1781" t="s">
        <v>4655</v>
      </c>
      <c r="C1781" t="s">
        <v>12714</v>
      </c>
      <c r="D1781" s="1">
        <v>40346</v>
      </c>
      <c r="E1781" s="2">
        <v>56000</v>
      </c>
      <c r="F1781" t="s">
        <v>4567</v>
      </c>
      <c r="G1781" s="17" t="str">
        <f>HYPERLINK("https://www.washoecounty.gov/assessor/cama/?command=sales&amp;parid=02512006","3893061")</f>
        <v>3893061</v>
      </c>
      <c r="H1781" t="s">
        <v>12715</v>
      </c>
      <c r="I1781">
        <v>1970</v>
      </c>
      <c r="J1781">
        <v>1970</v>
      </c>
      <c r="K1781" t="s">
        <v>3144</v>
      </c>
      <c r="L1781" t="s">
        <v>3974</v>
      </c>
      <c r="M1781" s="2">
        <v>1220</v>
      </c>
      <c r="N1781" t="s">
        <v>4048</v>
      </c>
      <c r="O1781">
        <v>3</v>
      </c>
      <c r="P1781">
        <v>1</v>
      </c>
      <c r="Q1781">
        <v>1</v>
      </c>
      <c r="R1781" t="s">
        <v>4676</v>
      </c>
      <c r="S1781" t="s">
        <v>4682</v>
      </c>
      <c r="T1781" t="s">
        <v>4559</v>
      </c>
      <c r="U1781" t="s">
        <v>4655</v>
      </c>
      <c r="V1781" s="2">
        <v>0</v>
      </c>
      <c r="W1781" t="s">
        <v>4655</v>
      </c>
      <c r="X1781" s="2">
        <v>0</v>
      </c>
      <c r="Y1781">
        <v>21</v>
      </c>
      <c r="Z1781" t="s">
        <v>3532</v>
      </c>
      <c r="AA1781" s="3">
        <v>1.00000004749745E-3</v>
      </c>
      <c r="AB1781" t="s">
        <v>4915</v>
      </c>
      <c r="AC1781" t="s">
        <v>4575</v>
      </c>
      <c r="AD1781" t="s">
        <v>4916</v>
      </c>
      <c r="AE1781" t="s">
        <v>4655</v>
      </c>
      <c r="AF1781" t="s">
        <v>4563</v>
      </c>
      <c r="AG1781" t="s">
        <v>4564</v>
      </c>
      <c r="AH1781" t="s">
        <v>5197</v>
      </c>
      <c r="AI1781" t="s">
        <v>12716</v>
      </c>
      <c r="AJ1781" t="s">
        <v>4655</v>
      </c>
      <c r="AK1781" t="s">
        <v>12717</v>
      </c>
      <c r="AL1781" s="13" t="s">
        <v>2255</v>
      </c>
      <c r="AM1781">
        <v>1</v>
      </c>
      <c r="AN1781" s="15" t="s">
        <v>787</v>
      </c>
    </row>
    <row r="1782" spans="1:40" x14ac:dyDescent="0.3">
      <c r="A1782" s="10" t="str">
        <f>HYPERLINK("http://www.washoecounty.gov/assessor/cama/?parid=025-120-12&amp;CardNumber=1","025-120-12")</f>
        <v>025-120-12</v>
      </c>
      <c r="B1782" t="s">
        <v>4655</v>
      </c>
      <c r="C1782" t="s">
        <v>12718</v>
      </c>
      <c r="D1782" s="1">
        <v>40478</v>
      </c>
      <c r="E1782" s="2">
        <v>47750</v>
      </c>
      <c r="F1782" t="s">
        <v>4567</v>
      </c>
      <c r="G1782" s="17" t="str">
        <f>HYPERLINK("https://www.washoecounty.gov/assessor/cama/?command=sales&amp;parid=02512012","3937349")</f>
        <v>3937349</v>
      </c>
      <c r="H1782" t="s">
        <v>12715</v>
      </c>
      <c r="I1782">
        <v>1970</v>
      </c>
      <c r="J1782">
        <v>1970</v>
      </c>
      <c r="K1782" t="s">
        <v>3144</v>
      </c>
      <c r="L1782" t="s">
        <v>3974</v>
      </c>
      <c r="M1782" s="2">
        <v>1220</v>
      </c>
      <c r="N1782" t="s">
        <v>4048</v>
      </c>
      <c r="O1782">
        <v>3</v>
      </c>
      <c r="P1782">
        <v>1</v>
      </c>
      <c r="Q1782">
        <v>1</v>
      </c>
      <c r="R1782" t="s">
        <v>4676</v>
      </c>
      <c r="S1782" t="s">
        <v>4682</v>
      </c>
      <c r="T1782" t="s">
        <v>4559</v>
      </c>
      <c r="U1782" t="s">
        <v>4655</v>
      </c>
      <c r="V1782" s="2">
        <v>0</v>
      </c>
      <c r="W1782" t="s">
        <v>4655</v>
      </c>
      <c r="X1782" s="2">
        <v>0</v>
      </c>
      <c r="Y1782">
        <v>21</v>
      </c>
      <c r="Z1782" t="s">
        <v>3532</v>
      </c>
      <c r="AA1782" s="3">
        <v>1.00000004749745E-3</v>
      </c>
      <c r="AB1782" t="s">
        <v>4069</v>
      </c>
      <c r="AC1782" t="s">
        <v>4575</v>
      </c>
      <c r="AD1782" t="s">
        <v>4070</v>
      </c>
      <c r="AE1782" t="s">
        <v>4655</v>
      </c>
      <c r="AF1782" t="s">
        <v>4563</v>
      </c>
      <c r="AG1782" t="s">
        <v>4564</v>
      </c>
      <c r="AH1782">
        <v>89502</v>
      </c>
      <c r="AI1782" t="s">
        <v>12719</v>
      </c>
      <c r="AJ1782" t="s">
        <v>4655</v>
      </c>
      <c r="AK1782" t="s">
        <v>12715</v>
      </c>
      <c r="AL1782" s="13" t="s">
        <v>2255</v>
      </c>
      <c r="AM1782">
        <v>1</v>
      </c>
      <c r="AN1782" s="15" t="s">
        <v>787</v>
      </c>
    </row>
    <row r="1783" spans="1:40" x14ac:dyDescent="0.3">
      <c r="A1783" s="10" t="str">
        <f>HYPERLINK("http://www.washoecounty.gov/assessor/cama/?parid=025-130-04&amp;CardNumber=1","025-130-04")</f>
        <v>025-130-04</v>
      </c>
      <c r="B1783" t="s">
        <v>4655</v>
      </c>
      <c r="C1783" t="s">
        <v>12720</v>
      </c>
      <c r="D1783" s="1">
        <v>40485</v>
      </c>
      <c r="E1783" s="2">
        <v>43000</v>
      </c>
      <c r="F1783" t="s">
        <v>4553</v>
      </c>
      <c r="G1783" s="17" t="str">
        <f>HYPERLINK("https://www.washoecounty.gov/assessor/cama/?command=sales&amp;parid=02513004","3939530")</f>
        <v>3939530</v>
      </c>
      <c r="H1783" t="s">
        <v>12721</v>
      </c>
      <c r="I1783">
        <v>1970</v>
      </c>
      <c r="J1783">
        <v>1970</v>
      </c>
      <c r="K1783" t="s">
        <v>4897</v>
      </c>
      <c r="L1783" t="s">
        <v>3974</v>
      </c>
      <c r="M1783" s="2">
        <v>1220</v>
      </c>
      <c r="N1783" t="s">
        <v>4048</v>
      </c>
      <c r="O1783">
        <v>3</v>
      </c>
      <c r="P1783">
        <v>1</v>
      </c>
      <c r="Q1783">
        <v>1</v>
      </c>
      <c r="R1783" t="s">
        <v>4676</v>
      </c>
      <c r="S1783" t="s">
        <v>4682</v>
      </c>
      <c r="T1783" t="s">
        <v>4559</v>
      </c>
      <c r="U1783" t="s">
        <v>4655</v>
      </c>
      <c r="V1783" s="2">
        <v>0</v>
      </c>
      <c r="W1783" t="s">
        <v>4655</v>
      </c>
      <c r="X1783" s="2">
        <v>0</v>
      </c>
      <c r="Y1783">
        <v>21</v>
      </c>
      <c r="Z1783" t="s">
        <v>3532</v>
      </c>
      <c r="AA1783" s="3">
        <v>1.00000004749745E-3</v>
      </c>
      <c r="AB1783" t="s">
        <v>1135</v>
      </c>
      <c r="AC1783" t="s">
        <v>4575</v>
      </c>
      <c r="AD1783" t="s">
        <v>12592</v>
      </c>
      <c r="AE1783" t="s">
        <v>2389</v>
      </c>
      <c r="AF1783" t="s">
        <v>4563</v>
      </c>
      <c r="AG1783" t="s">
        <v>4564</v>
      </c>
      <c r="AH1783" t="s">
        <v>2330</v>
      </c>
      <c r="AI1783" t="s">
        <v>4565</v>
      </c>
      <c r="AJ1783" t="s">
        <v>4655</v>
      </c>
      <c r="AK1783" t="s">
        <v>12722</v>
      </c>
      <c r="AL1783" s="13" t="s">
        <v>2255</v>
      </c>
      <c r="AM1783" s="14">
        <v>1</v>
      </c>
      <c r="AN1783" s="15" t="s">
        <v>787</v>
      </c>
    </row>
    <row r="1784" spans="1:40" x14ac:dyDescent="0.3">
      <c r="A1784" s="10" t="str">
        <f>HYPERLINK("http://www.washoecounty.gov/assessor/cama/?parid=025-130-14&amp;CardNumber=1","025-130-14")</f>
        <v>025-130-14</v>
      </c>
      <c r="B1784" t="s">
        <v>4655</v>
      </c>
      <c r="C1784" t="s">
        <v>12723</v>
      </c>
      <c r="D1784" s="1">
        <v>40415</v>
      </c>
      <c r="E1784" s="2">
        <v>59900</v>
      </c>
      <c r="F1784" t="s">
        <v>4553</v>
      </c>
      <c r="G1784" s="17" t="str">
        <f>HYPERLINK("https://www.washoecounty.gov/assessor/cama/?command=sales&amp;parid=02513014","3915340")</f>
        <v>3915340</v>
      </c>
      <c r="H1784" t="s">
        <v>786</v>
      </c>
      <c r="I1784">
        <v>1970</v>
      </c>
      <c r="J1784">
        <v>1970</v>
      </c>
      <c r="K1784" t="s">
        <v>3144</v>
      </c>
      <c r="L1784" t="s">
        <v>3974</v>
      </c>
      <c r="M1784" s="2">
        <v>1220</v>
      </c>
      <c r="N1784" t="s">
        <v>4048</v>
      </c>
      <c r="O1784">
        <v>2</v>
      </c>
      <c r="P1784">
        <v>1</v>
      </c>
      <c r="Q1784">
        <v>1</v>
      </c>
      <c r="R1784" t="s">
        <v>4676</v>
      </c>
      <c r="S1784" t="s">
        <v>4682</v>
      </c>
      <c r="T1784" t="s">
        <v>4559</v>
      </c>
      <c r="U1784" t="s">
        <v>4655</v>
      </c>
      <c r="V1784" s="2">
        <v>0</v>
      </c>
      <c r="W1784" t="s">
        <v>4655</v>
      </c>
      <c r="X1784" s="2">
        <v>0</v>
      </c>
      <c r="Y1784">
        <v>21</v>
      </c>
      <c r="Z1784" t="s">
        <v>3532</v>
      </c>
      <c r="AA1784" s="3">
        <v>1.00000004749745E-3</v>
      </c>
      <c r="AB1784" t="s">
        <v>12724</v>
      </c>
      <c r="AC1784" t="s">
        <v>4575</v>
      </c>
      <c r="AD1784" t="s">
        <v>12725</v>
      </c>
      <c r="AE1784" t="s">
        <v>4655</v>
      </c>
      <c r="AF1784" t="s">
        <v>12726</v>
      </c>
      <c r="AG1784" t="s">
        <v>4584</v>
      </c>
      <c r="AH1784" t="s">
        <v>12727</v>
      </c>
      <c r="AI1784" t="s">
        <v>12728</v>
      </c>
      <c r="AJ1784" t="s">
        <v>4655</v>
      </c>
      <c r="AK1784" t="s">
        <v>12729</v>
      </c>
      <c r="AL1784" s="13" t="s">
        <v>2255</v>
      </c>
      <c r="AM1784" s="14">
        <v>1</v>
      </c>
      <c r="AN1784" s="15" t="s">
        <v>787</v>
      </c>
    </row>
    <row r="1785" spans="1:40" x14ac:dyDescent="0.3">
      <c r="A1785" s="10" t="str">
        <f>HYPERLINK("http://www.washoecounty.gov/assessor/cama/?parid=025-130-30&amp;CardNumber=1","025-130-30")</f>
        <v>025-130-30</v>
      </c>
      <c r="B1785" t="s">
        <v>4655</v>
      </c>
      <c r="C1785" t="s">
        <v>12730</v>
      </c>
      <c r="D1785" s="1">
        <v>40214</v>
      </c>
      <c r="E1785" s="2">
        <v>50576</v>
      </c>
      <c r="F1785" t="s">
        <v>4553</v>
      </c>
      <c r="G1785" s="17" t="str">
        <f>HYPERLINK("https://www.washoecounty.gov/assessor/cama/?command=sales&amp;parid=02513030","3846586")</f>
        <v>3846586</v>
      </c>
      <c r="H1785" t="s">
        <v>786</v>
      </c>
      <c r="I1785">
        <v>1970</v>
      </c>
      <c r="J1785">
        <v>1970</v>
      </c>
      <c r="K1785" t="s">
        <v>3144</v>
      </c>
      <c r="L1785" t="s">
        <v>3974</v>
      </c>
      <c r="M1785" s="2">
        <v>1220</v>
      </c>
      <c r="N1785" t="s">
        <v>4048</v>
      </c>
      <c r="O1785">
        <v>3</v>
      </c>
      <c r="P1785">
        <v>1</v>
      </c>
      <c r="Q1785">
        <v>1</v>
      </c>
      <c r="R1785" t="s">
        <v>4676</v>
      </c>
      <c r="S1785" t="s">
        <v>4682</v>
      </c>
      <c r="T1785" t="s">
        <v>4559</v>
      </c>
      <c r="U1785" t="s">
        <v>4655</v>
      </c>
      <c r="V1785" s="2">
        <v>0</v>
      </c>
      <c r="W1785" t="s">
        <v>4655</v>
      </c>
      <c r="X1785" s="2">
        <v>0</v>
      </c>
      <c r="Y1785">
        <v>21</v>
      </c>
      <c r="Z1785" t="s">
        <v>3532</v>
      </c>
      <c r="AA1785" s="3">
        <v>1.00000004749745E-3</v>
      </c>
      <c r="AB1785" t="s">
        <v>12731</v>
      </c>
      <c r="AC1785" t="s">
        <v>4562</v>
      </c>
      <c r="AD1785" t="s">
        <v>12732</v>
      </c>
      <c r="AE1785" t="s">
        <v>4655</v>
      </c>
      <c r="AF1785" t="s">
        <v>4563</v>
      </c>
      <c r="AG1785" t="s">
        <v>4564</v>
      </c>
      <c r="AH1785">
        <v>89511</v>
      </c>
      <c r="AI1785" t="s">
        <v>4655</v>
      </c>
      <c r="AJ1785" t="s">
        <v>4655</v>
      </c>
      <c r="AK1785" t="s">
        <v>12733</v>
      </c>
      <c r="AL1785" s="13" t="s">
        <v>2255</v>
      </c>
      <c r="AM1785">
        <v>1</v>
      </c>
      <c r="AN1785" s="15" t="s">
        <v>787</v>
      </c>
    </row>
    <row r="1786" spans="1:40" x14ac:dyDescent="0.3">
      <c r="A1786" s="10" t="str">
        <f>HYPERLINK("http://www.washoecounty.gov/assessor/cama/?parid=025-140-16&amp;CardNumber=1","025-140-16")</f>
        <v>025-140-16</v>
      </c>
      <c r="B1786" t="s">
        <v>4655</v>
      </c>
      <c r="C1786" t="s">
        <v>12734</v>
      </c>
      <c r="D1786" s="1">
        <v>40428</v>
      </c>
      <c r="E1786" s="2">
        <v>30000</v>
      </c>
      <c r="F1786" t="s">
        <v>4567</v>
      </c>
      <c r="G1786" s="17" t="str">
        <f>HYPERLINK("https://www.washoecounty.gov/assessor/cama/?command=sales&amp;parid=02514016","3919164")</f>
        <v>3919164</v>
      </c>
      <c r="H1786" t="s">
        <v>2888</v>
      </c>
      <c r="I1786">
        <v>1970</v>
      </c>
      <c r="J1786">
        <v>1970</v>
      </c>
      <c r="K1786" t="s">
        <v>4897</v>
      </c>
      <c r="L1786" t="s">
        <v>4555</v>
      </c>
      <c r="M1786" s="2">
        <v>798</v>
      </c>
      <c r="N1786" t="s">
        <v>4556</v>
      </c>
      <c r="O1786">
        <v>2</v>
      </c>
      <c r="P1786">
        <v>1</v>
      </c>
      <c r="Q1786">
        <v>0</v>
      </c>
      <c r="R1786" t="s">
        <v>4676</v>
      </c>
      <c r="S1786" t="s">
        <v>4135</v>
      </c>
      <c r="T1786" t="s">
        <v>4559</v>
      </c>
      <c r="U1786" t="s">
        <v>5631</v>
      </c>
      <c r="V1786" s="2">
        <v>210</v>
      </c>
      <c r="W1786" t="s">
        <v>4655</v>
      </c>
      <c r="X1786" s="2">
        <v>0</v>
      </c>
      <c r="Y1786">
        <v>21</v>
      </c>
      <c r="Z1786" t="s">
        <v>3532</v>
      </c>
      <c r="AA1786" s="3">
        <v>1.00000004749745E-3</v>
      </c>
      <c r="AB1786" t="s">
        <v>12735</v>
      </c>
      <c r="AC1786" t="s">
        <v>4575</v>
      </c>
      <c r="AD1786" t="s">
        <v>12736</v>
      </c>
      <c r="AE1786" t="s">
        <v>12737</v>
      </c>
      <c r="AF1786" t="s">
        <v>1407</v>
      </c>
      <c r="AG1786" t="s">
        <v>4564</v>
      </c>
      <c r="AH1786">
        <v>89703</v>
      </c>
      <c r="AI1786" t="s">
        <v>12738</v>
      </c>
      <c r="AJ1786" t="s">
        <v>4655</v>
      </c>
      <c r="AK1786" t="s">
        <v>12739</v>
      </c>
      <c r="AL1786" s="13" t="s">
        <v>2255</v>
      </c>
      <c r="AM1786" s="14">
        <v>1</v>
      </c>
      <c r="AN1786" s="15" t="s">
        <v>1528</v>
      </c>
    </row>
    <row r="1787" spans="1:40" x14ac:dyDescent="0.3">
      <c r="A1787" s="10" t="str">
        <f>HYPERLINK("http://www.washoecounty.gov/assessor/cama/?parid=025-140-54&amp;CardNumber=1","025-140-54")</f>
        <v>025-140-54</v>
      </c>
      <c r="B1787" t="s">
        <v>4655</v>
      </c>
      <c r="C1787" t="s">
        <v>12740</v>
      </c>
      <c r="D1787" s="1">
        <v>40386</v>
      </c>
      <c r="E1787" s="2">
        <v>36000</v>
      </c>
      <c r="F1787" t="s">
        <v>4567</v>
      </c>
      <c r="G1787" s="17" t="str">
        <f>HYPERLINK("https://www.washoecounty.gov/assessor/cama/?command=sales&amp;parid=02514054","3905174")</f>
        <v>3905174</v>
      </c>
      <c r="H1787" t="s">
        <v>1133</v>
      </c>
      <c r="I1787">
        <v>1970</v>
      </c>
      <c r="J1787">
        <v>1970</v>
      </c>
      <c r="K1787" t="s">
        <v>4897</v>
      </c>
      <c r="L1787" t="s">
        <v>3974</v>
      </c>
      <c r="M1787" s="2">
        <v>882</v>
      </c>
      <c r="N1787" t="s">
        <v>4556</v>
      </c>
      <c r="O1787">
        <v>2</v>
      </c>
      <c r="P1787">
        <v>1</v>
      </c>
      <c r="Q1787">
        <v>0</v>
      </c>
      <c r="R1787" t="s">
        <v>4676</v>
      </c>
      <c r="S1787" t="s">
        <v>4135</v>
      </c>
      <c r="T1787" t="s">
        <v>4559</v>
      </c>
      <c r="U1787" t="s">
        <v>5631</v>
      </c>
      <c r="V1787" s="2">
        <v>210</v>
      </c>
      <c r="W1787" t="s">
        <v>4655</v>
      </c>
      <c r="X1787" s="2">
        <v>0</v>
      </c>
      <c r="Y1787">
        <v>21</v>
      </c>
      <c r="Z1787" t="s">
        <v>3532</v>
      </c>
      <c r="AA1787" s="3">
        <v>1.00000004749745E-3</v>
      </c>
      <c r="AB1787" t="s">
        <v>4725</v>
      </c>
      <c r="AC1787" t="s">
        <v>4575</v>
      </c>
      <c r="AD1787" t="s">
        <v>12741</v>
      </c>
      <c r="AE1787" t="s">
        <v>12742</v>
      </c>
      <c r="AF1787" t="s">
        <v>4563</v>
      </c>
      <c r="AG1787" t="s">
        <v>4564</v>
      </c>
      <c r="AH1787">
        <v>89503</v>
      </c>
      <c r="AI1787" t="s">
        <v>12743</v>
      </c>
      <c r="AJ1787" t="s">
        <v>4655</v>
      </c>
      <c r="AK1787" t="s">
        <v>12744</v>
      </c>
      <c r="AL1787" s="13" t="s">
        <v>2255</v>
      </c>
      <c r="AM1787">
        <v>1</v>
      </c>
      <c r="AN1787" s="15" t="s">
        <v>1528</v>
      </c>
    </row>
    <row r="1788" spans="1:40" x14ac:dyDescent="0.3">
      <c r="A1788" s="10" t="str">
        <f>HYPERLINK("http://www.washoecounty.gov/assessor/cama/?parid=025-140-77&amp;CardNumber=1","025-140-77")</f>
        <v>025-140-77</v>
      </c>
      <c r="B1788" t="s">
        <v>4655</v>
      </c>
      <c r="C1788" t="s">
        <v>12745</v>
      </c>
      <c r="D1788" s="1">
        <v>40337</v>
      </c>
      <c r="E1788" s="2">
        <v>40000</v>
      </c>
      <c r="F1788" t="s">
        <v>4567</v>
      </c>
      <c r="G1788" s="17" t="str">
        <f>HYPERLINK("https://www.washoecounty.gov/assessor/cama/?command=sales&amp;parid=02514077","3889397")</f>
        <v>3889397</v>
      </c>
      <c r="H1788" t="s">
        <v>4354</v>
      </c>
      <c r="I1788">
        <v>1970</v>
      </c>
      <c r="J1788">
        <v>1970</v>
      </c>
      <c r="K1788" t="s">
        <v>4897</v>
      </c>
      <c r="L1788" t="s">
        <v>4555</v>
      </c>
      <c r="M1788" s="2">
        <v>810</v>
      </c>
      <c r="N1788" t="s">
        <v>4556</v>
      </c>
      <c r="O1788">
        <v>2</v>
      </c>
      <c r="P1788">
        <v>1</v>
      </c>
      <c r="Q1788">
        <v>0</v>
      </c>
      <c r="R1788" t="s">
        <v>4676</v>
      </c>
      <c r="S1788" t="s">
        <v>4135</v>
      </c>
      <c r="T1788" t="s">
        <v>4559</v>
      </c>
      <c r="U1788" t="s">
        <v>5631</v>
      </c>
      <c r="V1788" s="2">
        <v>210</v>
      </c>
      <c r="W1788" t="s">
        <v>4655</v>
      </c>
      <c r="X1788" s="2">
        <v>0</v>
      </c>
      <c r="Y1788">
        <v>21</v>
      </c>
      <c r="Z1788" t="s">
        <v>3532</v>
      </c>
      <c r="AA1788" s="3">
        <v>1.00000004749745E-3</v>
      </c>
      <c r="AB1788" t="s">
        <v>2889</v>
      </c>
      <c r="AC1788" t="s">
        <v>4562</v>
      </c>
      <c r="AD1788" t="s">
        <v>3474</v>
      </c>
      <c r="AE1788" t="s">
        <v>4655</v>
      </c>
      <c r="AF1788" t="s">
        <v>4563</v>
      </c>
      <c r="AG1788" t="s">
        <v>4564</v>
      </c>
      <c r="AH1788" t="s">
        <v>3821</v>
      </c>
      <c r="AI1788" t="s">
        <v>12746</v>
      </c>
      <c r="AJ1788" t="s">
        <v>4655</v>
      </c>
      <c r="AK1788" t="s">
        <v>12747</v>
      </c>
      <c r="AL1788" s="13" t="s">
        <v>2255</v>
      </c>
      <c r="AM1788" s="14">
        <v>1</v>
      </c>
      <c r="AN1788" s="15" t="s">
        <v>1528</v>
      </c>
    </row>
    <row r="1789" spans="1:40" x14ac:dyDescent="0.3">
      <c r="A1789" s="10" t="str">
        <f>HYPERLINK("http://www.washoecounty.gov/assessor/cama/?parid=025-140-78&amp;CardNumber=1","025-140-78")</f>
        <v>025-140-78</v>
      </c>
      <c r="B1789" t="s">
        <v>4655</v>
      </c>
      <c r="C1789" t="s">
        <v>12745</v>
      </c>
      <c r="D1789" s="1">
        <v>40323</v>
      </c>
      <c r="E1789" s="2">
        <v>39000</v>
      </c>
      <c r="F1789" t="s">
        <v>4553</v>
      </c>
      <c r="G1789" s="17" t="str">
        <f>HYPERLINK("https://www.washoecounty.gov/assessor/cama/?command=sales&amp;parid=02514078","3884969")</f>
        <v>3884969</v>
      </c>
      <c r="H1789" t="s">
        <v>2888</v>
      </c>
      <c r="I1789">
        <v>1970</v>
      </c>
      <c r="J1789">
        <v>1970</v>
      </c>
      <c r="K1789" t="s">
        <v>4897</v>
      </c>
      <c r="L1789" t="s">
        <v>3974</v>
      </c>
      <c r="M1789" s="2">
        <v>882</v>
      </c>
      <c r="N1789" t="s">
        <v>4556</v>
      </c>
      <c r="O1789">
        <v>2</v>
      </c>
      <c r="P1789">
        <v>1</v>
      </c>
      <c r="Q1789">
        <v>0</v>
      </c>
      <c r="R1789" t="s">
        <v>4676</v>
      </c>
      <c r="S1789" t="s">
        <v>4135</v>
      </c>
      <c r="T1789" t="s">
        <v>4559</v>
      </c>
      <c r="U1789" t="s">
        <v>5631</v>
      </c>
      <c r="V1789" s="2">
        <v>210</v>
      </c>
      <c r="W1789" t="s">
        <v>4655</v>
      </c>
      <c r="X1789" s="2">
        <v>0</v>
      </c>
      <c r="Y1789">
        <v>21</v>
      </c>
      <c r="Z1789" t="s">
        <v>3532</v>
      </c>
      <c r="AA1789" s="3">
        <v>1.00000004749745E-3</v>
      </c>
      <c r="AB1789" t="s">
        <v>2889</v>
      </c>
      <c r="AC1789" t="s">
        <v>4562</v>
      </c>
      <c r="AD1789" t="s">
        <v>3474</v>
      </c>
      <c r="AE1789" t="s">
        <v>4655</v>
      </c>
      <c r="AF1789" t="s">
        <v>4563</v>
      </c>
      <c r="AG1789" t="s">
        <v>4564</v>
      </c>
      <c r="AH1789" t="s">
        <v>3821</v>
      </c>
      <c r="AI1789" t="s">
        <v>4565</v>
      </c>
      <c r="AJ1789" t="s">
        <v>4655</v>
      </c>
      <c r="AK1789" t="s">
        <v>12748</v>
      </c>
      <c r="AL1789" s="13" t="s">
        <v>2255</v>
      </c>
      <c r="AM1789" s="14">
        <v>1</v>
      </c>
      <c r="AN1789" s="15" t="s">
        <v>1528</v>
      </c>
    </row>
    <row r="1790" spans="1:40" x14ac:dyDescent="0.3">
      <c r="A1790" s="10" t="str">
        <f>HYPERLINK("http://www.washoecounty.gov/assessor/cama/?parid=025-140-79&amp;CardNumber=1","025-140-79")</f>
        <v>025-140-79</v>
      </c>
      <c r="B1790" t="s">
        <v>4655</v>
      </c>
      <c r="C1790" t="s">
        <v>12745</v>
      </c>
      <c r="D1790" s="1">
        <v>40312</v>
      </c>
      <c r="E1790" s="2">
        <v>43500</v>
      </c>
      <c r="F1790" t="s">
        <v>4567</v>
      </c>
      <c r="G1790" s="17" t="str">
        <f>HYPERLINK("https://www.washoecounty.gov/assessor/cama/?command=sales&amp;parid=02514079","3881416")</f>
        <v>3881416</v>
      </c>
      <c r="H1790" t="s">
        <v>4354</v>
      </c>
      <c r="I1790">
        <v>1970</v>
      </c>
      <c r="J1790">
        <v>1970</v>
      </c>
      <c r="K1790" t="s">
        <v>4897</v>
      </c>
      <c r="L1790" t="s">
        <v>3974</v>
      </c>
      <c r="M1790" s="2">
        <v>882</v>
      </c>
      <c r="N1790" t="s">
        <v>4556</v>
      </c>
      <c r="O1790">
        <v>2</v>
      </c>
      <c r="P1790">
        <v>1</v>
      </c>
      <c r="Q1790">
        <v>0</v>
      </c>
      <c r="R1790" t="s">
        <v>4676</v>
      </c>
      <c r="S1790" t="s">
        <v>4135</v>
      </c>
      <c r="T1790" t="s">
        <v>4559</v>
      </c>
      <c r="U1790" t="s">
        <v>5631</v>
      </c>
      <c r="V1790" s="2">
        <v>210</v>
      </c>
      <c r="W1790" t="s">
        <v>4655</v>
      </c>
      <c r="X1790" s="2">
        <v>0</v>
      </c>
      <c r="Y1790">
        <v>21</v>
      </c>
      <c r="Z1790" t="s">
        <v>3532</v>
      </c>
      <c r="AA1790" s="3">
        <v>1.00000004749745E-3</v>
      </c>
      <c r="AB1790" t="s">
        <v>3414</v>
      </c>
      <c r="AC1790" t="s">
        <v>4562</v>
      </c>
      <c r="AD1790" t="s">
        <v>3415</v>
      </c>
      <c r="AE1790" t="s">
        <v>4655</v>
      </c>
      <c r="AF1790" t="s">
        <v>4563</v>
      </c>
      <c r="AG1790" t="s">
        <v>4564</v>
      </c>
      <c r="AH1790">
        <v>89509</v>
      </c>
      <c r="AI1790" t="s">
        <v>12749</v>
      </c>
      <c r="AJ1790" t="s">
        <v>4655</v>
      </c>
      <c r="AK1790" t="s">
        <v>12750</v>
      </c>
      <c r="AL1790" s="13" t="s">
        <v>2255</v>
      </c>
      <c r="AM1790">
        <v>1</v>
      </c>
      <c r="AN1790" s="15" t="s">
        <v>1528</v>
      </c>
    </row>
    <row r="1791" spans="1:40" x14ac:dyDescent="0.3">
      <c r="A1791" s="10" t="str">
        <f>HYPERLINK("http://www.washoecounty.gov/assessor/cama/?parid=025-140-82&amp;CardNumber=1","025-140-82")</f>
        <v>025-140-82</v>
      </c>
      <c r="B1791" t="s">
        <v>4655</v>
      </c>
      <c r="C1791" t="s">
        <v>4383</v>
      </c>
      <c r="D1791" s="1">
        <v>40269</v>
      </c>
      <c r="E1791" s="2">
        <v>36000</v>
      </c>
      <c r="F1791" t="s">
        <v>4553</v>
      </c>
      <c r="G1791" s="17" t="str">
        <f>HYPERLINK("https://www.washoecounty.gov/assessor/cama/?command=sales&amp;parid=02514082","3866950")</f>
        <v>3866950</v>
      </c>
      <c r="H1791" t="s">
        <v>12751</v>
      </c>
      <c r="I1791">
        <v>1970</v>
      </c>
      <c r="J1791">
        <v>1970</v>
      </c>
      <c r="K1791" t="s">
        <v>4897</v>
      </c>
      <c r="L1791" t="s">
        <v>3974</v>
      </c>
      <c r="M1791" s="2">
        <v>882</v>
      </c>
      <c r="N1791" t="s">
        <v>4556</v>
      </c>
      <c r="O1791">
        <v>2</v>
      </c>
      <c r="P1791">
        <v>1</v>
      </c>
      <c r="Q1791">
        <v>0</v>
      </c>
      <c r="R1791" t="s">
        <v>4676</v>
      </c>
      <c r="S1791" t="s">
        <v>4135</v>
      </c>
      <c r="T1791" t="s">
        <v>4559</v>
      </c>
      <c r="U1791" t="s">
        <v>5631</v>
      </c>
      <c r="V1791" s="2">
        <v>210</v>
      </c>
      <c r="W1791" t="s">
        <v>4655</v>
      </c>
      <c r="X1791" s="2">
        <v>0</v>
      </c>
      <c r="Y1791">
        <v>21</v>
      </c>
      <c r="Z1791" t="s">
        <v>3532</v>
      </c>
      <c r="AA1791" s="3">
        <v>1.00000004749745E-3</v>
      </c>
      <c r="AB1791" t="s">
        <v>12752</v>
      </c>
      <c r="AC1791" t="s">
        <v>4562</v>
      </c>
      <c r="AD1791" t="s">
        <v>12753</v>
      </c>
      <c r="AE1791" t="s">
        <v>4655</v>
      </c>
      <c r="AF1791" t="s">
        <v>1530</v>
      </c>
      <c r="AG1791" t="s">
        <v>4657</v>
      </c>
      <c r="AH1791">
        <v>65802</v>
      </c>
      <c r="AI1791" t="s">
        <v>2399</v>
      </c>
      <c r="AJ1791" t="s">
        <v>4655</v>
      </c>
      <c r="AK1791" t="s">
        <v>12754</v>
      </c>
      <c r="AL1791" s="13" t="s">
        <v>2255</v>
      </c>
      <c r="AM1791">
        <v>1</v>
      </c>
      <c r="AN1791" s="15" t="s">
        <v>1528</v>
      </c>
    </row>
    <row r="1792" spans="1:40" x14ac:dyDescent="0.3">
      <c r="A1792" s="10" t="str">
        <f>HYPERLINK("http://www.washoecounty.gov/assessor/cama/?parid=025-150-20&amp;CardNumber=1","025-150-20")</f>
        <v>025-150-20</v>
      </c>
      <c r="B1792" t="s">
        <v>4655</v>
      </c>
      <c r="C1792" t="s">
        <v>12755</v>
      </c>
      <c r="D1792" s="1">
        <v>40340</v>
      </c>
      <c r="E1792" s="2">
        <v>59000</v>
      </c>
      <c r="F1792" t="s">
        <v>4567</v>
      </c>
      <c r="G1792" s="17" t="str">
        <f>HYPERLINK("https://www.washoecounty.gov/assessor/cama/?command=sales&amp;parid=02515020","3891009")</f>
        <v>3891009</v>
      </c>
      <c r="H1792" t="s">
        <v>2444</v>
      </c>
      <c r="I1792">
        <v>1970</v>
      </c>
      <c r="J1792">
        <v>1970</v>
      </c>
      <c r="K1792" t="s">
        <v>3144</v>
      </c>
      <c r="L1792" t="s">
        <v>3974</v>
      </c>
      <c r="M1792" s="2">
        <v>1220</v>
      </c>
      <c r="N1792" t="s">
        <v>4048</v>
      </c>
      <c r="O1792">
        <v>2</v>
      </c>
      <c r="P1792">
        <v>1</v>
      </c>
      <c r="Q1792">
        <v>1</v>
      </c>
      <c r="R1792" t="s">
        <v>4676</v>
      </c>
      <c r="S1792" t="s">
        <v>4682</v>
      </c>
      <c r="T1792" t="s">
        <v>4559</v>
      </c>
      <c r="U1792" t="s">
        <v>4655</v>
      </c>
      <c r="V1792" s="2">
        <v>0</v>
      </c>
      <c r="W1792" t="s">
        <v>4655</v>
      </c>
      <c r="X1792" s="2">
        <v>0</v>
      </c>
      <c r="Y1792">
        <v>21</v>
      </c>
      <c r="Z1792" t="s">
        <v>3532</v>
      </c>
      <c r="AA1792" s="3">
        <v>1.00000004749745E-3</v>
      </c>
      <c r="AB1792" t="s">
        <v>12756</v>
      </c>
      <c r="AC1792" t="s">
        <v>4575</v>
      </c>
      <c r="AD1792" t="s">
        <v>12757</v>
      </c>
      <c r="AE1792" t="s">
        <v>4655</v>
      </c>
      <c r="AF1792" t="s">
        <v>4563</v>
      </c>
      <c r="AG1792" t="s">
        <v>4564</v>
      </c>
      <c r="AH1792">
        <v>89502</v>
      </c>
      <c r="AI1792" t="s">
        <v>12758</v>
      </c>
      <c r="AJ1792" t="s">
        <v>4655</v>
      </c>
      <c r="AK1792" t="s">
        <v>12759</v>
      </c>
      <c r="AL1792" s="13" t="s">
        <v>2255</v>
      </c>
      <c r="AM1792">
        <v>1</v>
      </c>
      <c r="AN1792" s="15" t="s">
        <v>787</v>
      </c>
    </row>
    <row r="1793" spans="1:40" x14ac:dyDescent="0.3">
      <c r="A1793" s="10" t="str">
        <f>HYPERLINK("http://www.washoecounty.gov/assessor/cama/?parid=025-150-20&amp;CardNumber=1","025-150-20")</f>
        <v>025-150-20</v>
      </c>
      <c r="B1793" t="s">
        <v>4655</v>
      </c>
      <c r="C1793" t="s">
        <v>12755</v>
      </c>
      <c r="D1793" s="1">
        <v>40492</v>
      </c>
      <c r="E1793" s="2">
        <v>59000</v>
      </c>
      <c r="F1793" t="s">
        <v>4567</v>
      </c>
      <c r="G1793" s="17" t="str">
        <f>HYPERLINK("https://www.washoecounty.gov/assessor/cama/?command=sales&amp;parid=02515020","3941909")</f>
        <v>3941909</v>
      </c>
      <c r="H1793" t="s">
        <v>2444</v>
      </c>
      <c r="I1793">
        <v>1970</v>
      </c>
      <c r="J1793">
        <v>1970</v>
      </c>
      <c r="K1793" t="s">
        <v>3144</v>
      </c>
      <c r="L1793" t="s">
        <v>3974</v>
      </c>
      <c r="M1793" s="2">
        <v>1220</v>
      </c>
      <c r="N1793" t="s">
        <v>4048</v>
      </c>
      <c r="O1793">
        <v>2</v>
      </c>
      <c r="P1793">
        <v>1</v>
      </c>
      <c r="Q1793">
        <v>1</v>
      </c>
      <c r="R1793" t="s">
        <v>4676</v>
      </c>
      <c r="S1793" t="s">
        <v>4682</v>
      </c>
      <c r="T1793" t="s">
        <v>4559</v>
      </c>
      <c r="U1793" t="s">
        <v>4655</v>
      </c>
      <c r="V1793" s="2">
        <v>0</v>
      </c>
      <c r="W1793" t="s">
        <v>4655</v>
      </c>
      <c r="X1793" s="2">
        <v>0</v>
      </c>
      <c r="Y1793">
        <v>21</v>
      </c>
      <c r="Z1793" t="s">
        <v>3532</v>
      </c>
      <c r="AA1793" s="3">
        <v>1.00000004749745E-3</v>
      </c>
      <c r="AB1793" t="s">
        <v>12756</v>
      </c>
      <c r="AC1793" t="s">
        <v>4575</v>
      </c>
      <c r="AD1793" t="s">
        <v>12757</v>
      </c>
      <c r="AE1793" t="s">
        <v>4655</v>
      </c>
      <c r="AF1793" t="s">
        <v>4563</v>
      </c>
      <c r="AG1793" t="s">
        <v>4564</v>
      </c>
      <c r="AH1793">
        <v>89502</v>
      </c>
      <c r="AI1793" t="s">
        <v>12758</v>
      </c>
      <c r="AJ1793" t="s">
        <v>4655</v>
      </c>
      <c r="AK1793" t="s">
        <v>12759</v>
      </c>
      <c r="AL1793" s="13" t="s">
        <v>2255</v>
      </c>
      <c r="AM1793" s="14">
        <v>1</v>
      </c>
      <c r="AN1793" s="15" t="s">
        <v>787</v>
      </c>
    </row>
    <row r="1794" spans="1:40" x14ac:dyDescent="0.3">
      <c r="A1794" s="10" t="str">
        <f>HYPERLINK("http://www.washoecounty.gov/assessor/cama/?parid=025-150-26&amp;CardNumber=1","025-150-26")</f>
        <v>025-150-26</v>
      </c>
      <c r="B1794" t="s">
        <v>4655</v>
      </c>
      <c r="C1794" t="s">
        <v>12760</v>
      </c>
      <c r="D1794" s="1">
        <v>40353</v>
      </c>
      <c r="E1794" s="2">
        <v>55000</v>
      </c>
      <c r="F1794" t="s">
        <v>4567</v>
      </c>
      <c r="G1794" s="17" t="str">
        <f>HYPERLINK("https://www.washoecounty.gov/assessor/cama/?command=sales&amp;parid=02515026","3895189")</f>
        <v>3895189</v>
      </c>
      <c r="H1794" t="s">
        <v>12761</v>
      </c>
      <c r="I1794">
        <v>1970</v>
      </c>
      <c r="J1794">
        <v>1970</v>
      </c>
      <c r="K1794" t="s">
        <v>3144</v>
      </c>
      <c r="L1794" t="s">
        <v>3974</v>
      </c>
      <c r="M1794" s="2">
        <v>1220</v>
      </c>
      <c r="N1794" t="s">
        <v>4048</v>
      </c>
      <c r="O1794">
        <v>2</v>
      </c>
      <c r="P1794">
        <v>1</v>
      </c>
      <c r="Q1794">
        <v>1</v>
      </c>
      <c r="R1794" t="s">
        <v>4676</v>
      </c>
      <c r="S1794" t="s">
        <v>4682</v>
      </c>
      <c r="T1794" t="s">
        <v>4559</v>
      </c>
      <c r="U1794" t="s">
        <v>4655</v>
      </c>
      <c r="V1794" s="2">
        <v>0</v>
      </c>
      <c r="W1794" t="s">
        <v>4655</v>
      </c>
      <c r="X1794" s="2">
        <v>0</v>
      </c>
      <c r="Y1794">
        <v>21</v>
      </c>
      <c r="Z1794" t="s">
        <v>3532</v>
      </c>
      <c r="AA1794" s="3">
        <v>1.00000004749745E-3</v>
      </c>
      <c r="AB1794" t="s">
        <v>12762</v>
      </c>
      <c r="AC1794" t="s">
        <v>4575</v>
      </c>
      <c r="AD1794" t="s">
        <v>12572</v>
      </c>
      <c r="AE1794" t="s">
        <v>4655</v>
      </c>
      <c r="AF1794" t="s">
        <v>4563</v>
      </c>
      <c r="AG1794" t="s">
        <v>4564</v>
      </c>
      <c r="AH1794">
        <v>89502</v>
      </c>
      <c r="AI1794" t="s">
        <v>12571</v>
      </c>
      <c r="AJ1794" t="s">
        <v>4655</v>
      </c>
      <c r="AK1794" t="s">
        <v>12763</v>
      </c>
      <c r="AL1794" s="13" t="s">
        <v>2255</v>
      </c>
      <c r="AM1794">
        <v>1</v>
      </c>
      <c r="AN1794" s="15" t="s">
        <v>787</v>
      </c>
    </row>
    <row r="1795" spans="1:40" x14ac:dyDescent="0.3">
      <c r="A1795" s="10" t="str">
        <f>HYPERLINK("http://www.washoecounty.gov/assessor/cama/?parid=025-150-29&amp;CardNumber=1","025-150-29")</f>
        <v>025-150-29</v>
      </c>
      <c r="B1795" t="s">
        <v>4655</v>
      </c>
      <c r="C1795" t="s">
        <v>12764</v>
      </c>
      <c r="D1795" s="1">
        <v>40352</v>
      </c>
      <c r="E1795" s="2">
        <v>40000</v>
      </c>
      <c r="F1795" t="s">
        <v>4567</v>
      </c>
      <c r="G1795" s="17" t="str">
        <f>HYPERLINK("https://www.washoecounty.gov/assessor/cama/?command=sales&amp;parid=02515029","3894840")</f>
        <v>3894840</v>
      </c>
      <c r="H1795" t="s">
        <v>12761</v>
      </c>
      <c r="I1795">
        <v>1970</v>
      </c>
      <c r="J1795">
        <v>1970</v>
      </c>
      <c r="K1795" t="s">
        <v>3144</v>
      </c>
      <c r="L1795" t="s">
        <v>3974</v>
      </c>
      <c r="M1795" s="2">
        <v>1220</v>
      </c>
      <c r="N1795" t="s">
        <v>4048</v>
      </c>
      <c r="O1795">
        <v>2</v>
      </c>
      <c r="P1795">
        <v>1</v>
      </c>
      <c r="Q1795">
        <v>1</v>
      </c>
      <c r="R1795" t="s">
        <v>4676</v>
      </c>
      <c r="S1795" t="s">
        <v>4682</v>
      </c>
      <c r="T1795" t="s">
        <v>4559</v>
      </c>
      <c r="U1795" t="s">
        <v>4655</v>
      </c>
      <c r="V1795" s="2">
        <v>0</v>
      </c>
      <c r="W1795" t="s">
        <v>4655</v>
      </c>
      <c r="X1795" s="2">
        <v>0</v>
      </c>
      <c r="Y1795">
        <v>21</v>
      </c>
      <c r="Z1795" t="s">
        <v>3532</v>
      </c>
      <c r="AA1795" s="3">
        <v>1.00000004749745E-3</v>
      </c>
      <c r="AB1795" t="s">
        <v>12576</v>
      </c>
      <c r="AC1795" t="s">
        <v>4575</v>
      </c>
      <c r="AD1795" t="s">
        <v>12577</v>
      </c>
      <c r="AE1795" t="s">
        <v>4655</v>
      </c>
      <c r="AF1795" t="s">
        <v>1407</v>
      </c>
      <c r="AG1795" t="s">
        <v>4564</v>
      </c>
      <c r="AH1795">
        <v>89704</v>
      </c>
      <c r="AI1795" t="s">
        <v>12765</v>
      </c>
      <c r="AJ1795" t="s">
        <v>4655</v>
      </c>
      <c r="AK1795" t="s">
        <v>12766</v>
      </c>
      <c r="AL1795" s="13" t="s">
        <v>2255</v>
      </c>
      <c r="AM1795">
        <v>1</v>
      </c>
      <c r="AN1795" s="15" t="s">
        <v>787</v>
      </c>
    </row>
    <row r="1796" spans="1:40" x14ac:dyDescent="0.3">
      <c r="A1796" s="10" t="str">
        <f>HYPERLINK("http://www.washoecounty.gov/assessor/cama/?parid=025-160-10&amp;CardNumber=1","025-160-10")</f>
        <v>025-160-10</v>
      </c>
      <c r="B1796" t="s">
        <v>4655</v>
      </c>
      <c r="C1796" t="s">
        <v>12767</v>
      </c>
      <c r="D1796" s="1">
        <v>40255</v>
      </c>
      <c r="E1796" s="2">
        <v>43000</v>
      </c>
      <c r="F1796" t="s">
        <v>4567</v>
      </c>
      <c r="G1796" s="17" t="str">
        <f>HYPERLINK("https://www.washoecounty.gov/assessor/cama/?command=sales&amp;parid=02516010","3861303")</f>
        <v>3861303</v>
      </c>
      <c r="H1796" t="s">
        <v>12768</v>
      </c>
      <c r="I1796">
        <v>1970</v>
      </c>
      <c r="J1796">
        <v>1970</v>
      </c>
      <c r="K1796" t="s">
        <v>3144</v>
      </c>
      <c r="L1796" t="s">
        <v>3974</v>
      </c>
      <c r="M1796" s="2">
        <v>1220</v>
      </c>
      <c r="N1796" t="s">
        <v>4048</v>
      </c>
      <c r="O1796">
        <v>2</v>
      </c>
      <c r="P1796">
        <v>1</v>
      </c>
      <c r="Q1796">
        <v>1</v>
      </c>
      <c r="R1796" t="s">
        <v>4676</v>
      </c>
      <c r="S1796" t="s">
        <v>4682</v>
      </c>
      <c r="T1796" t="s">
        <v>4559</v>
      </c>
      <c r="U1796" t="s">
        <v>4655</v>
      </c>
      <c r="V1796" s="2">
        <v>0</v>
      </c>
      <c r="W1796" t="s">
        <v>4655</v>
      </c>
      <c r="X1796" s="2">
        <v>0</v>
      </c>
      <c r="Y1796">
        <v>21</v>
      </c>
      <c r="Z1796" t="s">
        <v>3532</v>
      </c>
      <c r="AA1796" s="3">
        <v>1.00000004749745E-3</v>
      </c>
      <c r="AB1796" t="s">
        <v>12769</v>
      </c>
      <c r="AC1796" t="s">
        <v>4575</v>
      </c>
      <c r="AD1796" t="s">
        <v>12732</v>
      </c>
      <c r="AE1796" t="s">
        <v>4655</v>
      </c>
      <c r="AF1796" t="s">
        <v>4563</v>
      </c>
      <c r="AG1796" t="s">
        <v>4564</v>
      </c>
      <c r="AH1796">
        <v>89511</v>
      </c>
      <c r="AI1796" t="s">
        <v>12770</v>
      </c>
      <c r="AJ1796" t="s">
        <v>4655</v>
      </c>
      <c r="AK1796" t="s">
        <v>12771</v>
      </c>
      <c r="AL1796" s="13" t="s">
        <v>2255</v>
      </c>
      <c r="AM1796">
        <v>1</v>
      </c>
      <c r="AN1796" s="15" t="s">
        <v>787</v>
      </c>
    </row>
    <row r="1797" spans="1:40" x14ac:dyDescent="0.3">
      <c r="A1797" s="10" t="str">
        <f>HYPERLINK("http://www.washoecounty.gov/assessor/cama/?parid=025-160-11&amp;CardNumber=1","025-160-11")</f>
        <v>025-160-11</v>
      </c>
      <c r="B1797" t="s">
        <v>4655</v>
      </c>
      <c r="C1797" t="s">
        <v>12772</v>
      </c>
      <c r="D1797" s="1">
        <v>40421</v>
      </c>
      <c r="E1797" s="2">
        <v>49000</v>
      </c>
      <c r="F1797" t="s">
        <v>4567</v>
      </c>
      <c r="G1797" s="17" t="str">
        <f>HYPERLINK("https://www.washoecounty.gov/assessor/cama/?command=sales&amp;parid=02516011","3917408")</f>
        <v>3917408</v>
      </c>
      <c r="H1797" t="s">
        <v>12773</v>
      </c>
      <c r="I1797">
        <v>1970</v>
      </c>
      <c r="J1797">
        <v>1970</v>
      </c>
      <c r="K1797" t="s">
        <v>3144</v>
      </c>
      <c r="L1797" t="s">
        <v>3974</v>
      </c>
      <c r="M1797" s="2">
        <v>1220</v>
      </c>
      <c r="N1797" t="s">
        <v>4048</v>
      </c>
      <c r="O1797">
        <v>2</v>
      </c>
      <c r="P1797">
        <v>1</v>
      </c>
      <c r="Q1797">
        <v>1</v>
      </c>
      <c r="R1797" t="s">
        <v>4676</v>
      </c>
      <c r="S1797" t="s">
        <v>4682</v>
      </c>
      <c r="T1797" t="s">
        <v>4559</v>
      </c>
      <c r="U1797" t="s">
        <v>4655</v>
      </c>
      <c r="V1797" s="2">
        <v>0</v>
      </c>
      <c r="W1797" t="s">
        <v>4655</v>
      </c>
      <c r="X1797" s="2">
        <v>0</v>
      </c>
      <c r="Y1797">
        <v>21</v>
      </c>
      <c r="Z1797" t="s">
        <v>3532</v>
      </c>
      <c r="AA1797" s="3">
        <v>1.00000004749745E-3</v>
      </c>
      <c r="AB1797" t="s">
        <v>12774</v>
      </c>
      <c r="AC1797" t="s">
        <v>4575</v>
      </c>
      <c r="AD1797" t="s">
        <v>12775</v>
      </c>
      <c r="AE1797" t="s">
        <v>4655</v>
      </c>
      <c r="AF1797" t="s">
        <v>4563</v>
      </c>
      <c r="AG1797" t="s">
        <v>4564</v>
      </c>
      <c r="AH1797">
        <v>89511</v>
      </c>
      <c r="AI1797" t="s">
        <v>12776</v>
      </c>
      <c r="AJ1797" t="s">
        <v>4655</v>
      </c>
      <c r="AK1797" t="s">
        <v>12777</v>
      </c>
      <c r="AL1797" s="13" t="s">
        <v>2255</v>
      </c>
      <c r="AM1797">
        <v>1</v>
      </c>
      <c r="AN1797" s="15" t="s">
        <v>787</v>
      </c>
    </row>
    <row r="1798" spans="1:40" x14ac:dyDescent="0.3">
      <c r="A1798" s="10" t="str">
        <f>HYPERLINK("http://www.washoecounty.gov/assessor/cama/?parid=025-160-14&amp;CardNumber=1","025-160-14")</f>
        <v>025-160-14</v>
      </c>
      <c r="B1798" t="s">
        <v>4655</v>
      </c>
      <c r="C1798" t="s">
        <v>12778</v>
      </c>
      <c r="D1798" s="1">
        <v>40479</v>
      </c>
      <c r="E1798" s="2">
        <v>55000</v>
      </c>
      <c r="F1798" t="s">
        <v>4553</v>
      </c>
      <c r="G1798" s="17" t="str">
        <f>HYPERLINK("https://www.washoecounty.gov/assessor/cama/?command=sales&amp;parid=02516014","3937953")</f>
        <v>3937953</v>
      </c>
      <c r="H1798" t="s">
        <v>12779</v>
      </c>
      <c r="I1798">
        <v>1970</v>
      </c>
      <c r="J1798">
        <v>1970</v>
      </c>
      <c r="K1798" t="s">
        <v>3144</v>
      </c>
      <c r="L1798" t="s">
        <v>3974</v>
      </c>
      <c r="M1798" s="2">
        <v>1220</v>
      </c>
      <c r="N1798" t="s">
        <v>4048</v>
      </c>
      <c r="O1798">
        <v>2</v>
      </c>
      <c r="P1798">
        <v>1</v>
      </c>
      <c r="Q1798">
        <v>1</v>
      </c>
      <c r="R1798" t="s">
        <v>4676</v>
      </c>
      <c r="S1798" t="s">
        <v>4682</v>
      </c>
      <c r="T1798" t="s">
        <v>4559</v>
      </c>
      <c r="U1798" t="s">
        <v>4655</v>
      </c>
      <c r="V1798" s="2">
        <v>0</v>
      </c>
      <c r="W1798" t="s">
        <v>4655</v>
      </c>
      <c r="X1798" s="2">
        <v>0</v>
      </c>
      <c r="Y1798">
        <v>21</v>
      </c>
      <c r="Z1798" t="s">
        <v>3532</v>
      </c>
      <c r="AA1798" s="3">
        <v>1.00000004749745E-3</v>
      </c>
      <c r="AB1798" t="s">
        <v>12780</v>
      </c>
      <c r="AC1798" t="s">
        <v>4575</v>
      </c>
      <c r="AD1798" t="s">
        <v>12781</v>
      </c>
      <c r="AE1798" t="s">
        <v>4655</v>
      </c>
      <c r="AF1798" t="s">
        <v>4563</v>
      </c>
      <c r="AG1798" t="s">
        <v>4564</v>
      </c>
      <c r="AH1798">
        <v>89502</v>
      </c>
      <c r="AI1798" t="s">
        <v>4848</v>
      </c>
      <c r="AJ1798" t="s">
        <v>4655</v>
      </c>
      <c r="AK1798" t="s">
        <v>12782</v>
      </c>
      <c r="AL1798" s="13" t="s">
        <v>2255</v>
      </c>
      <c r="AM1798" s="14">
        <v>1</v>
      </c>
      <c r="AN1798" s="15" t="s">
        <v>787</v>
      </c>
    </row>
    <row r="1799" spans="1:40" x14ac:dyDescent="0.3">
      <c r="A1799" s="10" t="str">
        <f>HYPERLINK("http://www.washoecounty.gov/assessor/cama/?parid=025-160-18&amp;CardNumber=1","025-160-18")</f>
        <v>025-160-18</v>
      </c>
      <c r="B1799" t="s">
        <v>4655</v>
      </c>
      <c r="C1799" t="s">
        <v>12783</v>
      </c>
      <c r="D1799" s="1">
        <v>40534</v>
      </c>
      <c r="E1799" s="2">
        <v>43900</v>
      </c>
      <c r="F1799" t="s">
        <v>4553</v>
      </c>
      <c r="G1799" s="17" t="str">
        <f>HYPERLINK("https://www.washoecounty.gov/assessor/cama/?command=sales&amp;parid=02516018","3956227")</f>
        <v>3956227</v>
      </c>
      <c r="H1799" t="s">
        <v>12784</v>
      </c>
      <c r="I1799">
        <v>1970</v>
      </c>
      <c r="J1799">
        <v>1970</v>
      </c>
      <c r="K1799" t="s">
        <v>3144</v>
      </c>
      <c r="L1799" t="s">
        <v>3974</v>
      </c>
      <c r="M1799" s="2">
        <v>1220</v>
      </c>
      <c r="N1799" t="s">
        <v>4048</v>
      </c>
      <c r="O1799">
        <v>2</v>
      </c>
      <c r="P1799">
        <v>1</v>
      </c>
      <c r="Q1799">
        <v>1</v>
      </c>
      <c r="R1799" t="s">
        <v>4676</v>
      </c>
      <c r="S1799" t="s">
        <v>4682</v>
      </c>
      <c r="T1799" t="s">
        <v>4559</v>
      </c>
      <c r="U1799" t="s">
        <v>4655</v>
      </c>
      <c r="V1799" s="2">
        <v>0</v>
      </c>
      <c r="W1799" t="s">
        <v>4655</v>
      </c>
      <c r="X1799" s="2">
        <v>0</v>
      </c>
      <c r="Y1799">
        <v>21</v>
      </c>
      <c r="Z1799" t="s">
        <v>3532</v>
      </c>
      <c r="AA1799" s="3">
        <v>1.00000004749745E-3</v>
      </c>
      <c r="AB1799" t="s">
        <v>12785</v>
      </c>
      <c r="AC1799" t="s">
        <v>4562</v>
      </c>
      <c r="AD1799" t="s">
        <v>12786</v>
      </c>
      <c r="AE1799" t="s">
        <v>4655</v>
      </c>
      <c r="AF1799" t="s">
        <v>4563</v>
      </c>
      <c r="AG1799" t="s">
        <v>4564</v>
      </c>
      <c r="AH1799">
        <v>89511</v>
      </c>
      <c r="AI1799" t="s">
        <v>2351</v>
      </c>
      <c r="AJ1799" t="s">
        <v>4655</v>
      </c>
      <c r="AK1799" t="s">
        <v>12787</v>
      </c>
      <c r="AL1799" s="13" t="s">
        <v>2255</v>
      </c>
      <c r="AM1799">
        <v>1</v>
      </c>
      <c r="AN1799" s="15" t="s">
        <v>787</v>
      </c>
    </row>
    <row r="1800" spans="1:40" x14ac:dyDescent="0.3">
      <c r="A1800" s="10" t="str">
        <f>HYPERLINK("http://www.washoecounty.gov/assessor/cama/?parid=025-160-22&amp;CardNumber=1","025-160-22")</f>
        <v>025-160-22</v>
      </c>
      <c r="B1800" t="s">
        <v>4655</v>
      </c>
      <c r="C1800" t="s">
        <v>12788</v>
      </c>
      <c r="D1800" s="1">
        <v>40464</v>
      </c>
      <c r="E1800" s="2">
        <v>57000</v>
      </c>
      <c r="F1800" t="s">
        <v>4567</v>
      </c>
      <c r="G1800" s="17" t="str">
        <f>HYPERLINK("https://www.washoecounty.gov/assessor/cama/?command=sales&amp;parid=02516022","3932394")</f>
        <v>3932394</v>
      </c>
      <c r="H1800" t="s">
        <v>12779</v>
      </c>
      <c r="I1800">
        <v>1970</v>
      </c>
      <c r="J1800">
        <v>1970</v>
      </c>
      <c r="K1800" t="s">
        <v>3144</v>
      </c>
      <c r="L1800" t="s">
        <v>3974</v>
      </c>
      <c r="M1800" s="2">
        <v>1220</v>
      </c>
      <c r="N1800" t="s">
        <v>4048</v>
      </c>
      <c r="O1800">
        <v>2</v>
      </c>
      <c r="P1800">
        <v>1</v>
      </c>
      <c r="Q1800">
        <v>1</v>
      </c>
      <c r="R1800" t="s">
        <v>4676</v>
      </c>
      <c r="S1800" t="s">
        <v>4682</v>
      </c>
      <c r="T1800" t="s">
        <v>4559</v>
      </c>
      <c r="U1800" t="s">
        <v>4655</v>
      </c>
      <c r="V1800" s="2">
        <v>0</v>
      </c>
      <c r="W1800" t="s">
        <v>4655</v>
      </c>
      <c r="X1800" s="2">
        <v>0</v>
      </c>
      <c r="Y1800">
        <v>21</v>
      </c>
      <c r="Z1800" t="s">
        <v>3532</v>
      </c>
      <c r="AA1800" s="3">
        <v>1.00000004749745E-3</v>
      </c>
      <c r="AB1800" t="s">
        <v>12789</v>
      </c>
      <c r="AC1800" t="s">
        <v>4562</v>
      </c>
      <c r="AD1800" t="s">
        <v>12788</v>
      </c>
      <c r="AE1800" t="s">
        <v>4655</v>
      </c>
      <c r="AF1800" t="s">
        <v>4563</v>
      </c>
      <c r="AG1800" t="s">
        <v>4564</v>
      </c>
      <c r="AH1800">
        <v>89502</v>
      </c>
      <c r="AI1800" t="s">
        <v>12790</v>
      </c>
      <c r="AJ1800" t="s">
        <v>4655</v>
      </c>
      <c r="AK1800" t="s">
        <v>12791</v>
      </c>
      <c r="AL1800" s="13" t="s">
        <v>2255</v>
      </c>
      <c r="AM1800" s="14">
        <v>1</v>
      </c>
      <c r="AN1800" s="15" t="s">
        <v>787</v>
      </c>
    </row>
    <row r="1801" spans="1:40" x14ac:dyDescent="0.3">
      <c r="A1801" s="10" t="str">
        <f>HYPERLINK("http://www.washoecounty.gov/assessor/cama/?parid=025-160-60&amp;CardNumber=1","025-160-60")</f>
        <v>025-160-60</v>
      </c>
      <c r="B1801" t="s">
        <v>4655</v>
      </c>
      <c r="C1801" t="s">
        <v>12792</v>
      </c>
      <c r="D1801" s="1">
        <v>40373</v>
      </c>
      <c r="E1801" s="2">
        <v>55000</v>
      </c>
      <c r="F1801" t="s">
        <v>4567</v>
      </c>
      <c r="G1801" s="17" t="str">
        <f>HYPERLINK("https://www.washoecounty.gov/assessor/cama/?command=sales&amp;parid=02516060","3901517")</f>
        <v>3901517</v>
      </c>
      <c r="H1801" t="s">
        <v>2444</v>
      </c>
      <c r="I1801">
        <v>1970</v>
      </c>
      <c r="J1801">
        <v>1970</v>
      </c>
      <c r="K1801" t="s">
        <v>3144</v>
      </c>
      <c r="L1801" t="s">
        <v>3974</v>
      </c>
      <c r="M1801" s="2">
        <v>1220</v>
      </c>
      <c r="N1801" t="s">
        <v>4048</v>
      </c>
      <c r="O1801">
        <v>2</v>
      </c>
      <c r="P1801">
        <v>1</v>
      </c>
      <c r="Q1801">
        <v>1</v>
      </c>
      <c r="R1801" t="s">
        <v>4676</v>
      </c>
      <c r="S1801" t="s">
        <v>4682</v>
      </c>
      <c r="T1801" t="s">
        <v>4559</v>
      </c>
      <c r="U1801" t="s">
        <v>4655</v>
      </c>
      <c r="V1801" s="2">
        <v>0</v>
      </c>
      <c r="W1801" t="s">
        <v>4655</v>
      </c>
      <c r="X1801" s="2">
        <v>0</v>
      </c>
      <c r="Y1801">
        <v>21</v>
      </c>
      <c r="Z1801" t="s">
        <v>3532</v>
      </c>
      <c r="AA1801" s="3">
        <v>1.00000004749745E-3</v>
      </c>
      <c r="AB1801" t="s">
        <v>12576</v>
      </c>
      <c r="AC1801" t="s">
        <v>4575</v>
      </c>
      <c r="AD1801" t="s">
        <v>12577</v>
      </c>
      <c r="AE1801" t="s">
        <v>4655</v>
      </c>
      <c r="AF1801" t="s">
        <v>1407</v>
      </c>
      <c r="AG1801" t="s">
        <v>4564</v>
      </c>
      <c r="AH1801">
        <v>89704</v>
      </c>
      <c r="AI1801" t="s">
        <v>12793</v>
      </c>
      <c r="AJ1801" t="s">
        <v>4655</v>
      </c>
      <c r="AK1801" t="s">
        <v>12794</v>
      </c>
      <c r="AL1801" s="13" t="s">
        <v>2255</v>
      </c>
      <c r="AM1801">
        <v>1</v>
      </c>
      <c r="AN1801" s="15" t="s">
        <v>787</v>
      </c>
    </row>
    <row r="1802" spans="1:40" x14ac:dyDescent="0.3">
      <c r="A1802" s="10" t="str">
        <f>HYPERLINK("http://www.washoecounty.gov/assessor/cama/?parid=025-170-14&amp;CardNumber=1","025-170-14")</f>
        <v>025-170-14</v>
      </c>
      <c r="B1802" t="s">
        <v>4655</v>
      </c>
      <c r="C1802" t="s">
        <v>12795</v>
      </c>
      <c r="D1802" s="1">
        <v>40318</v>
      </c>
      <c r="E1802" s="2">
        <v>52000</v>
      </c>
      <c r="F1802" t="s">
        <v>4553</v>
      </c>
      <c r="G1802" s="17" t="str">
        <f>HYPERLINK("https://www.washoecounty.gov/assessor/cama/?command=sales&amp;parid=02517014","3883477")</f>
        <v>3883477</v>
      </c>
      <c r="H1802" t="s">
        <v>12721</v>
      </c>
      <c r="I1802">
        <v>1970</v>
      </c>
      <c r="J1802">
        <v>1970</v>
      </c>
      <c r="K1802" t="s">
        <v>3144</v>
      </c>
      <c r="L1802" t="s">
        <v>3974</v>
      </c>
      <c r="M1802" s="2">
        <v>1220</v>
      </c>
      <c r="N1802" t="s">
        <v>4048</v>
      </c>
      <c r="O1802">
        <v>2</v>
      </c>
      <c r="P1802">
        <v>1</v>
      </c>
      <c r="Q1802">
        <v>1</v>
      </c>
      <c r="R1802" t="s">
        <v>4676</v>
      </c>
      <c r="S1802" t="s">
        <v>4682</v>
      </c>
      <c r="T1802" t="s">
        <v>4559</v>
      </c>
      <c r="U1802" t="s">
        <v>4655</v>
      </c>
      <c r="V1802" s="2">
        <v>0</v>
      </c>
      <c r="W1802" t="s">
        <v>4655</v>
      </c>
      <c r="X1802" s="2">
        <v>0</v>
      </c>
      <c r="Y1802">
        <v>21</v>
      </c>
      <c r="Z1802" t="s">
        <v>3532</v>
      </c>
      <c r="AA1802" s="3">
        <v>1.00000004749745E-3</v>
      </c>
      <c r="AB1802" t="s">
        <v>4355</v>
      </c>
      <c r="AC1802" t="s">
        <v>4562</v>
      </c>
      <c r="AD1802" t="s">
        <v>4356</v>
      </c>
      <c r="AE1802" t="s">
        <v>4655</v>
      </c>
      <c r="AF1802" t="s">
        <v>4563</v>
      </c>
      <c r="AG1802" t="s">
        <v>4564</v>
      </c>
      <c r="AH1802">
        <v>89509</v>
      </c>
      <c r="AI1802" t="s">
        <v>4045</v>
      </c>
      <c r="AJ1802" t="s">
        <v>4655</v>
      </c>
      <c r="AK1802" t="s">
        <v>12796</v>
      </c>
      <c r="AL1802" s="13" t="s">
        <v>2255</v>
      </c>
      <c r="AM1802">
        <v>1</v>
      </c>
      <c r="AN1802" s="15" t="s">
        <v>787</v>
      </c>
    </row>
    <row r="1803" spans="1:40" x14ac:dyDescent="0.3">
      <c r="A1803" s="10" t="str">
        <f>HYPERLINK("http://www.washoecounty.gov/assessor/cama/?parid=025-170-16&amp;CardNumber=1","025-170-16")</f>
        <v>025-170-16</v>
      </c>
      <c r="B1803" t="s">
        <v>4655</v>
      </c>
      <c r="C1803" t="s">
        <v>12797</v>
      </c>
      <c r="D1803" s="1">
        <v>40298</v>
      </c>
      <c r="E1803" s="2">
        <v>65000</v>
      </c>
      <c r="F1803" t="s">
        <v>4553</v>
      </c>
      <c r="G1803" s="17" t="str">
        <f>HYPERLINK("https://www.washoecounty.gov/assessor/cama/?command=sales&amp;parid=02517016","3876991")</f>
        <v>3876991</v>
      </c>
      <c r="H1803" t="s">
        <v>3103</v>
      </c>
      <c r="I1803">
        <v>1970</v>
      </c>
      <c r="J1803">
        <v>1970</v>
      </c>
      <c r="K1803" t="s">
        <v>4897</v>
      </c>
      <c r="L1803" t="s">
        <v>3974</v>
      </c>
      <c r="M1803" s="2">
        <v>1220</v>
      </c>
      <c r="N1803" t="s">
        <v>4048</v>
      </c>
      <c r="O1803">
        <v>2</v>
      </c>
      <c r="P1803">
        <v>1</v>
      </c>
      <c r="Q1803">
        <v>1</v>
      </c>
      <c r="R1803" t="s">
        <v>4676</v>
      </c>
      <c r="S1803" t="s">
        <v>4574</v>
      </c>
      <c r="T1803" t="s">
        <v>4559</v>
      </c>
      <c r="U1803" t="s">
        <v>4655</v>
      </c>
      <c r="V1803" s="2">
        <v>0</v>
      </c>
      <c r="W1803" t="s">
        <v>4655</v>
      </c>
      <c r="X1803" s="2">
        <v>0</v>
      </c>
      <c r="Y1803">
        <v>21</v>
      </c>
      <c r="Z1803" t="s">
        <v>3532</v>
      </c>
      <c r="AA1803" s="3">
        <v>1.00000004749745E-3</v>
      </c>
      <c r="AB1803" t="s">
        <v>12798</v>
      </c>
      <c r="AC1803" t="s">
        <v>4562</v>
      </c>
      <c r="AD1803" t="s">
        <v>12797</v>
      </c>
      <c r="AE1803" t="s">
        <v>4655</v>
      </c>
      <c r="AF1803" t="s">
        <v>4563</v>
      </c>
      <c r="AG1803" t="s">
        <v>4564</v>
      </c>
      <c r="AH1803">
        <v>89502</v>
      </c>
      <c r="AI1803" t="s">
        <v>4655</v>
      </c>
      <c r="AJ1803" t="s">
        <v>4655</v>
      </c>
      <c r="AK1803" t="s">
        <v>12799</v>
      </c>
      <c r="AL1803" s="13" t="s">
        <v>2255</v>
      </c>
      <c r="AM1803" s="14">
        <v>1</v>
      </c>
      <c r="AN1803" s="15" t="s">
        <v>787</v>
      </c>
    </row>
    <row r="1804" spans="1:40" x14ac:dyDescent="0.3">
      <c r="A1804" s="10" t="str">
        <f>HYPERLINK("http://www.washoecounty.gov/assessor/cama/?parid=025-170-18&amp;CardNumber=1","025-170-18")</f>
        <v>025-170-18</v>
      </c>
      <c r="B1804" t="s">
        <v>4655</v>
      </c>
      <c r="C1804" t="s">
        <v>12800</v>
      </c>
      <c r="D1804" s="1">
        <v>40469</v>
      </c>
      <c r="E1804" s="2">
        <v>57000</v>
      </c>
      <c r="F1804" t="s">
        <v>4567</v>
      </c>
      <c r="G1804" s="17" t="str">
        <f>HYPERLINK("https://www.washoecounty.gov/assessor/cama/?command=sales&amp;parid=02517018","3934046")</f>
        <v>3934046</v>
      </c>
      <c r="H1804" t="s">
        <v>3103</v>
      </c>
      <c r="I1804">
        <v>1970</v>
      </c>
      <c r="J1804">
        <v>1970</v>
      </c>
      <c r="K1804" t="s">
        <v>3144</v>
      </c>
      <c r="L1804" t="s">
        <v>3974</v>
      </c>
      <c r="M1804" s="2">
        <v>1220</v>
      </c>
      <c r="N1804" t="s">
        <v>4048</v>
      </c>
      <c r="O1804">
        <v>2</v>
      </c>
      <c r="P1804">
        <v>1</v>
      </c>
      <c r="Q1804">
        <v>1</v>
      </c>
      <c r="R1804" t="s">
        <v>4676</v>
      </c>
      <c r="S1804" t="s">
        <v>4682</v>
      </c>
      <c r="T1804" t="s">
        <v>4559</v>
      </c>
      <c r="U1804" t="s">
        <v>4655</v>
      </c>
      <c r="V1804" s="2">
        <v>0</v>
      </c>
      <c r="W1804" t="s">
        <v>4655</v>
      </c>
      <c r="X1804" s="2">
        <v>0</v>
      </c>
      <c r="Y1804">
        <v>21</v>
      </c>
      <c r="Z1804" t="s">
        <v>3532</v>
      </c>
      <c r="AA1804" s="3">
        <v>1.00000004749745E-3</v>
      </c>
      <c r="AB1804" t="s">
        <v>3414</v>
      </c>
      <c r="AC1804" t="s">
        <v>4562</v>
      </c>
      <c r="AD1804" t="s">
        <v>3415</v>
      </c>
      <c r="AE1804" t="s">
        <v>4655</v>
      </c>
      <c r="AF1804" t="s">
        <v>4563</v>
      </c>
      <c r="AG1804" t="s">
        <v>4564</v>
      </c>
      <c r="AH1804">
        <v>89509</v>
      </c>
      <c r="AI1804" t="s">
        <v>4424</v>
      </c>
      <c r="AJ1804" t="s">
        <v>4655</v>
      </c>
      <c r="AK1804" t="s">
        <v>12801</v>
      </c>
      <c r="AL1804" s="13" t="s">
        <v>2255</v>
      </c>
      <c r="AM1804">
        <v>1</v>
      </c>
      <c r="AN1804" s="15" t="s">
        <v>787</v>
      </c>
    </row>
    <row r="1805" spans="1:40" x14ac:dyDescent="0.3">
      <c r="A1805" s="10" t="str">
        <f>HYPERLINK("http://www.washoecounty.gov/assessor/cama/?parid=025-170-28&amp;CardNumber=1","025-170-28")</f>
        <v>025-170-28</v>
      </c>
      <c r="B1805" t="s">
        <v>4655</v>
      </c>
      <c r="C1805" t="s">
        <v>12802</v>
      </c>
      <c r="D1805" s="1">
        <v>40220</v>
      </c>
      <c r="E1805" s="2">
        <v>45000</v>
      </c>
      <c r="F1805" t="s">
        <v>4553</v>
      </c>
      <c r="G1805" s="17" t="str">
        <f>HYPERLINK("https://www.washoecounty.gov/assessor/cama/?command=sales&amp;parid=02517028","3847992")</f>
        <v>3847992</v>
      </c>
      <c r="H1805" t="s">
        <v>12721</v>
      </c>
      <c r="I1805">
        <v>1970</v>
      </c>
      <c r="J1805">
        <v>1970</v>
      </c>
      <c r="K1805" t="s">
        <v>3144</v>
      </c>
      <c r="L1805" t="s">
        <v>3974</v>
      </c>
      <c r="M1805" s="2">
        <v>1220</v>
      </c>
      <c r="N1805" t="s">
        <v>4048</v>
      </c>
      <c r="O1805">
        <v>2</v>
      </c>
      <c r="P1805">
        <v>1</v>
      </c>
      <c r="Q1805">
        <v>1</v>
      </c>
      <c r="R1805" t="s">
        <v>4676</v>
      </c>
      <c r="S1805" t="s">
        <v>4682</v>
      </c>
      <c r="T1805" t="s">
        <v>4559</v>
      </c>
      <c r="U1805" t="s">
        <v>4655</v>
      </c>
      <c r="V1805" s="2">
        <v>0</v>
      </c>
      <c r="W1805" t="s">
        <v>4655</v>
      </c>
      <c r="X1805" s="2">
        <v>0</v>
      </c>
      <c r="Y1805">
        <v>21</v>
      </c>
      <c r="Z1805" t="s">
        <v>3532</v>
      </c>
      <c r="AA1805" s="3">
        <v>1.00000004749745E-3</v>
      </c>
      <c r="AB1805" t="s">
        <v>12803</v>
      </c>
      <c r="AC1805" t="s">
        <v>4575</v>
      </c>
      <c r="AD1805" t="s">
        <v>12592</v>
      </c>
      <c r="AE1805" t="s">
        <v>2389</v>
      </c>
      <c r="AF1805" t="s">
        <v>4563</v>
      </c>
      <c r="AG1805" t="s">
        <v>4564</v>
      </c>
      <c r="AH1805" t="s">
        <v>2330</v>
      </c>
      <c r="AI1805" t="s">
        <v>4655</v>
      </c>
      <c r="AJ1805" t="s">
        <v>4655</v>
      </c>
      <c r="AK1805" t="s">
        <v>12804</v>
      </c>
      <c r="AL1805" s="13" t="s">
        <v>2255</v>
      </c>
      <c r="AM1805">
        <v>1</v>
      </c>
      <c r="AN1805" s="15" t="s">
        <v>787</v>
      </c>
    </row>
    <row r="1806" spans="1:40" x14ac:dyDescent="0.3">
      <c r="A1806" s="10" t="str">
        <f>HYPERLINK("http://www.washoecounty.gov/assessor/cama/?parid=025-170-29&amp;CardNumber=1","025-170-29")</f>
        <v>025-170-29</v>
      </c>
      <c r="B1806" t="s">
        <v>4655</v>
      </c>
      <c r="C1806" t="s">
        <v>12805</v>
      </c>
      <c r="D1806" s="1">
        <v>40511</v>
      </c>
      <c r="E1806" s="2">
        <v>50000</v>
      </c>
      <c r="F1806" t="s">
        <v>4567</v>
      </c>
      <c r="G1806" s="17" t="str">
        <f>HYPERLINK("https://www.washoecounty.gov/assessor/cama/?command=sales&amp;parid=02517029","3946953")</f>
        <v>3946953</v>
      </c>
      <c r="H1806" t="s">
        <v>3103</v>
      </c>
      <c r="I1806">
        <v>1970</v>
      </c>
      <c r="J1806">
        <v>1970</v>
      </c>
      <c r="K1806" t="s">
        <v>3144</v>
      </c>
      <c r="L1806" t="s">
        <v>3974</v>
      </c>
      <c r="M1806" s="2">
        <v>1220</v>
      </c>
      <c r="N1806" t="s">
        <v>4048</v>
      </c>
      <c r="O1806">
        <v>2</v>
      </c>
      <c r="P1806">
        <v>1</v>
      </c>
      <c r="Q1806">
        <v>1</v>
      </c>
      <c r="R1806" t="s">
        <v>4676</v>
      </c>
      <c r="S1806" t="s">
        <v>4682</v>
      </c>
      <c r="T1806" t="s">
        <v>4559</v>
      </c>
      <c r="U1806" t="s">
        <v>4655</v>
      </c>
      <c r="V1806" s="2">
        <v>0</v>
      </c>
      <c r="W1806" t="s">
        <v>4655</v>
      </c>
      <c r="X1806" s="2">
        <v>0</v>
      </c>
      <c r="Y1806">
        <v>21</v>
      </c>
      <c r="Z1806" t="s">
        <v>3532</v>
      </c>
      <c r="AA1806" s="3">
        <v>1.00000004749745E-3</v>
      </c>
      <c r="AB1806" t="s">
        <v>12806</v>
      </c>
      <c r="AC1806" t="s">
        <v>4575</v>
      </c>
      <c r="AD1806" t="s">
        <v>862</v>
      </c>
      <c r="AE1806" t="s">
        <v>4655</v>
      </c>
      <c r="AF1806" t="s">
        <v>4563</v>
      </c>
      <c r="AG1806" t="s">
        <v>4564</v>
      </c>
      <c r="AH1806" t="s">
        <v>2330</v>
      </c>
      <c r="AI1806" t="s">
        <v>12807</v>
      </c>
      <c r="AJ1806" t="s">
        <v>4655</v>
      </c>
      <c r="AK1806" t="s">
        <v>12808</v>
      </c>
      <c r="AL1806" s="13" t="s">
        <v>2255</v>
      </c>
      <c r="AM1806">
        <v>1</v>
      </c>
      <c r="AN1806" s="15" t="s">
        <v>787</v>
      </c>
    </row>
    <row r="1807" spans="1:40" x14ac:dyDescent="0.3">
      <c r="A1807" s="10" t="str">
        <f>HYPERLINK("http://www.washoecounty.gov/assessor/cama/?parid=025-170-34&amp;CardNumber=1","025-170-34")</f>
        <v>025-170-34</v>
      </c>
      <c r="B1807" t="s">
        <v>4655</v>
      </c>
      <c r="C1807" t="s">
        <v>12809</v>
      </c>
      <c r="D1807" s="1">
        <v>40535</v>
      </c>
      <c r="E1807" s="2">
        <v>42900</v>
      </c>
      <c r="F1807" t="s">
        <v>4553</v>
      </c>
      <c r="G1807" s="17" t="str">
        <f>HYPERLINK("https://www.washoecounty.gov/assessor/cama/?command=sales&amp;parid=02517034","3956742")</f>
        <v>3956742</v>
      </c>
      <c r="H1807" t="s">
        <v>3103</v>
      </c>
      <c r="I1807">
        <v>1970</v>
      </c>
      <c r="J1807">
        <v>1970</v>
      </c>
      <c r="K1807" t="s">
        <v>3144</v>
      </c>
      <c r="L1807" t="s">
        <v>3974</v>
      </c>
      <c r="M1807" s="2">
        <v>1220</v>
      </c>
      <c r="N1807" t="s">
        <v>4048</v>
      </c>
      <c r="O1807">
        <v>2</v>
      </c>
      <c r="P1807">
        <v>1</v>
      </c>
      <c r="Q1807">
        <v>1</v>
      </c>
      <c r="R1807" t="s">
        <v>4676</v>
      </c>
      <c r="S1807" t="s">
        <v>4682</v>
      </c>
      <c r="T1807" t="s">
        <v>4559</v>
      </c>
      <c r="U1807" t="s">
        <v>4655</v>
      </c>
      <c r="V1807" s="2">
        <v>0</v>
      </c>
      <c r="W1807" t="s">
        <v>4655</v>
      </c>
      <c r="X1807" s="2">
        <v>0</v>
      </c>
      <c r="Y1807">
        <v>21</v>
      </c>
      <c r="Z1807" t="s">
        <v>3532</v>
      </c>
      <c r="AA1807" s="3">
        <v>1.00000004749745E-3</v>
      </c>
      <c r="AB1807" t="s">
        <v>12810</v>
      </c>
      <c r="AC1807" t="s">
        <v>4575</v>
      </c>
      <c r="AD1807" t="s">
        <v>12811</v>
      </c>
      <c r="AE1807" t="s">
        <v>4655</v>
      </c>
      <c r="AF1807" t="s">
        <v>4563</v>
      </c>
      <c r="AG1807" t="s">
        <v>4564</v>
      </c>
      <c r="AH1807" t="s">
        <v>3821</v>
      </c>
      <c r="AI1807" t="s">
        <v>12810</v>
      </c>
      <c r="AJ1807" t="s">
        <v>4655</v>
      </c>
      <c r="AK1807" t="s">
        <v>12812</v>
      </c>
      <c r="AL1807" s="13" t="s">
        <v>2255</v>
      </c>
      <c r="AM1807">
        <v>1</v>
      </c>
      <c r="AN1807" s="15" t="s">
        <v>787</v>
      </c>
    </row>
    <row r="1808" spans="1:40" x14ac:dyDescent="0.3">
      <c r="A1808" s="10" t="str">
        <f>HYPERLINK("http://www.washoecounty.gov/assessor/cama/?parid=025-170-63&amp;CardNumber=1","025-170-63")</f>
        <v>025-170-63</v>
      </c>
      <c r="B1808" t="s">
        <v>4655</v>
      </c>
      <c r="C1808" t="s">
        <v>12813</v>
      </c>
      <c r="D1808" s="1">
        <v>40424</v>
      </c>
      <c r="E1808" s="2">
        <v>50000</v>
      </c>
      <c r="F1808" t="s">
        <v>4567</v>
      </c>
      <c r="G1808" s="17" t="str">
        <f>HYPERLINK("https://www.washoecounty.gov/assessor/cama/?command=sales&amp;parid=02517063","3918889")</f>
        <v>3918889</v>
      </c>
      <c r="H1808" t="s">
        <v>3103</v>
      </c>
      <c r="I1808">
        <v>1970</v>
      </c>
      <c r="J1808">
        <v>1970</v>
      </c>
      <c r="K1808" t="s">
        <v>3144</v>
      </c>
      <c r="L1808" t="s">
        <v>3974</v>
      </c>
      <c r="M1808" s="2">
        <v>1220</v>
      </c>
      <c r="N1808" t="s">
        <v>4048</v>
      </c>
      <c r="O1808">
        <v>2</v>
      </c>
      <c r="P1808">
        <v>1</v>
      </c>
      <c r="Q1808">
        <v>1</v>
      </c>
      <c r="R1808" t="s">
        <v>4676</v>
      </c>
      <c r="S1808" t="s">
        <v>4682</v>
      </c>
      <c r="T1808" t="s">
        <v>4559</v>
      </c>
      <c r="U1808" t="s">
        <v>4655</v>
      </c>
      <c r="V1808" s="2">
        <v>0</v>
      </c>
      <c r="W1808" t="s">
        <v>4655</v>
      </c>
      <c r="X1808" s="2">
        <v>0</v>
      </c>
      <c r="Y1808">
        <v>21</v>
      </c>
      <c r="Z1808" t="s">
        <v>3532</v>
      </c>
      <c r="AA1808" s="3">
        <v>1.00000004749745E-3</v>
      </c>
      <c r="AB1808" t="s">
        <v>12814</v>
      </c>
      <c r="AC1808" t="s">
        <v>4562</v>
      </c>
      <c r="AD1808" t="s">
        <v>12815</v>
      </c>
      <c r="AE1808" t="s">
        <v>4655</v>
      </c>
      <c r="AF1808" t="s">
        <v>4563</v>
      </c>
      <c r="AG1808" t="s">
        <v>4564</v>
      </c>
      <c r="AH1808">
        <v>89502</v>
      </c>
      <c r="AI1808" t="s">
        <v>12816</v>
      </c>
      <c r="AJ1808" t="s">
        <v>4655</v>
      </c>
      <c r="AK1808" t="s">
        <v>12817</v>
      </c>
      <c r="AL1808" s="13" t="s">
        <v>2255</v>
      </c>
      <c r="AM1808">
        <v>1</v>
      </c>
      <c r="AN1808" s="15" t="s">
        <v>787</v>
      </c>
    </row>
    <row r="1809" spans="1:40" x14ac:dyDescent="0.3">
      <c r="A1809" s="10" t="str">
        <f>HYPERLINK("http://www.washoecounty.gov/assessor/cama/?parid=025-170-69&amp;CardNumber=1","025-170-69")</f>
        <v>025-170-69</v>
      </c>
      <c r="B1809" t="s">
        <v>4655</v>
      </c>
      <c r="C1809" t="s">
        <v>12818</v>
      </c>
      <c r="D1809" s="1">
        <v>40487</v>
      </c>
      <c r="E1809" s="2">
        <v>55000</v>
      </c>
      <c r="F1809" t="s">
        <v>4567</v>
      </c>
      <c r="G1809" s="17" t="str">
        <f>HYPERLINK("https://www.washoecounty.gov/assessor/cama/?command=sales&amp;parid=02517069","3940560")</f>
        <v>3940560</v>
      </c>
      <c r="H1809" t="s">
        <v>3103</v>
      </c>
      <c r="I1809">
        <v>1970</v>
      </c>
      <c r="J1809">
        <v>1970</v>
      </c>
      <c r="K1809" t="s">
        <v>3144</v>
      </c>
      <c r="L1809" t="s">
        <v>3974</v>
      </c>
      <c r="M1809" s="2">
        <v>1220</v>
      </c>
      <c r="N1809" t="s">
        <v>4048</v>
      </c>
      <c r="O1809">
        <v>2</v>
      </c>
      <c r="P1809">
        <v>1</v>
      </c>
      <c r="Q1809">
        <v>1</v>
      </c>
      <c r="R1809" t="s">
        <v>4676</v>
      </c>
      <c r="S1809" t="s">
        <v>4682</v>
      </c>
      <c r="T1809" t="s">
        <v>4559</v>
      </c>
      <c r="U1809" t="s">
        <v>4655</v>
      </c>
      <c r="V1809" s="2">
        <v>0</v>
      </c>
      <c r="W1809" t="s">
        <v>4655</v>
      </c>
      <c r="X1809" s="2">
        <v>0</v>
      </c>
      <c r="Y1809">
        <v>21</v>
      </c>
      <c r="Z1809" t="s">
        <v>3532</v>
      </c>
      <c r="AA1809" s="3">
        <v>1.00000004749745E-3</v>
      </c>
      <c r="AB1809" t="s">
        <v>12819</v>
      </c>
      <c r="AC1809" t="s">
        <v>4562</v>
      </c>
      <c r="AD1809" t="s">
        <v>12818</v>
      </c>
      <c r="AE1809" t="s">
        <v>4655</v>
      </c>
      <c r="AF1809" t="s">
        <v>4563</v>
      </c>
      <c r="AG1809" t="s">
        <v>4564</v>
      </c>
      <c r="AH1809">
        <v>89509</v>
      </c>
      <c r="AI1809" t="s">
        <v>12820</v>
      </c>
      <c r="AJ1809" t="s">
        <v>4655</v>
      </c>
      <c r="AK1809" t="s">
        <v>12821</v>
      </c>
      <c r="AL1809" s="13" t="s">
        <v>2255</v>
      </c>
      <c r="AM1809">
        <v>1</v>
      </c>
      <c r="AN1809" s="15" t="s">
        <v>787</v>
      </c>
    </row>
    <row r="1810" spans="1:40" x14ac:dyDescent="0.3">
      <c r="A1810" s="10" t="str">
        <f>HYPERLINK("http://www.washoecounty.gov/assessor/cama/?parid=025-170-79&amp;CardNumber=1","025-170-79")</f>
        <v>025-170-79</v>
      </c>
      <c r="B1810" t="s">
        <v>4655</v>
      </c>
      <c r="C1810" t="s">
        <v>12822</v>
      </c>
      <c r="D1810" s="1">
        <v>40513</v>
      </c>
      <c r="E1810" s="2">
        <v>51000</v>
      </c>
      <c r="F1810" t="s">
        <v>4567</v>
      </c>
      <c r="G1810" s="17" t="str">
        <f>HYPERLINK("https://www.washoecounty.gov/assessor/cama/?command=sales&amp;parid=02517079","3948150")</f>
        <v>3948150</v>
      </c>
      <c r="H1810" t="s">
        <v>3103</v>
      </c>
      <c r="I1810">
        <v>1970</v>
      </c>
      <c r="J1810">
        <v>1970</v>
      </c>
      <c r="K1810" t="s">
        <v>3144</v>
      </c>
      <c r="L1810" t="s">
        <v>3974</v>
      </c>
      <c r="M1810" s="2">
        <v>1220</v>
      </c>
      <c r="N1810" t="s">
        <v>4048</v>
      </c>
      <c r="O1810">
        <v>2</v>
      </c>
      <c r="P1810">
        <v>1</v>
      </c>
      <c r="Q1810">
        <v>1</v>
      </c>
      <c r="R1810" t="s">
        <v>4676</v>
      </c>
      <c r="S1810" t="s">
        <v>4682</v>
      </c>
      <c r="T1810" t="s">
        <v>4559</v>
      </c>
      <c r="U1810" t="s">
        <v>4655</v>
      </c>
      <c r="V1810" s="2">
        <v>0</v>
      </c>
      <c r="W1810" t="s">
        <v>4655</v>
      </c>
      <c r="X1810" s="2">
        <v>0</v>
      </c>
      <c r="Y1810">
        <v>21</v>
      </c>
      <c r="Z1810" t="s">
        <v>3532</v>
      </c>
      <c r="AA1810" s="3">
        <v>1.00000004749745E-3</v>
      </c>
      <c r="AB1810" t="s">
        <v>12774</v>
      </c>
      <c r="AC1810" t="s">
        <v>4575</v>
      </c>
      <c r="AD1810" t="s">
        <v>12775</v>
      </c>
      <c r="AE1810" t="s">
        <v>4655</v>
      </c>
      <c r="AF1810" t="s">
        <v>4563</v>
      </c>
      <c r="AG1810" t="s">
        <v>4564</v>
      </c>
      <c r="AH1810">
        <v>89511</v>
      </c>
      <c r="AI1810" t="s">
        <v>12823</v>
      </c>
      <c r="AJ1810" t="s">
        <v>4655</v>
      </c>
      <c r="AK1810" t="s">
        <v>12824</v>
      </c>
      <c r="AL1810" s="13" t="s">
        <v>2255</v>
      </c>
      <c r="AM1810">
        <v>1</v>
      </c>
      <c r="AN1810" s="15" t="s">
        <v>787</v>
      </c>
    </row>
    <row r="1811" spans="1:40" x14ac:dyDescent="0.3">
      <c r="A1811" s="10" t="str">
        <f>HYPERLINK("http://www.washoecounty.gov/assessor/cama/?parid=025-180-02&amp;CardNumber=1","025-180-02")</f>
        <v>025-180-02</v>
      </c>
      <c r="B1811" t="s">
        <v>4655</v>
      </c>
      <c r="C1811" t="s">
        <v>12825</v>
      </c>
      <c r="D1811" s="1">
        <v>40368</v>
      </c>
      <c r="E1811" s="2">
        <v>57000</v>
      </c>
      <c r="F1811" t="s">
        <v>4553</v>
      </c>
      <c r="G1811" s="17" t="str">
        <f>HYPERLINK("https://www.washoecounty.gov/assessor/cama/?command=sales&amp;parid=02518002","3899731")</f>
        <v>3899731</v>
      </c>
      <c r="H1811" t="s">
        <v>12826</v>
      </c>
      <c r="I1811">
        <v>1970</v>
      </c>
      <c r="J1811">
        <v>1970</v>
      </c>
      <c r="K1811" t="s">
        <v>3144</v>
      </c>
      <c r="L1811" t="s">
        <v>3974</v>
      </c>
      <c r="M1811" s="2">
        <v>1220</v>
      </c>
      <c r="N1811" t="s">
        <v>4048</v>
      </c>
      <c r="O1811">
        <v>2</v>
      </c>
      <c r="P1811">
        <v>1</v>
      </c>
      <c r="Q1811">
        <v>1</v>
      </c>
      <c r="R1811" t="s">
        <v>4676</v>
      </c>
      <c r="S1811" t="s">
        <v>4682</v>
      </c>
      <c r="T1811" t="s">
        <v>4559</v>
      </c>
      <c r="U1811" t="s">
        <v>4655</v>
      </c>
      <c r="V1811" s="2">
        <v>0</v>
      </c>
      <c r="W1811" t="s">
        <v>4655</v>
      </c>
      <c r="X1811" s="2">
        <v>0</v>
      </c>
      <c r="Y1811">
        <v>21</v>
      </c>
      <c r="Z1811" t="s">
        <v>3532</v>
      </c>
      <c r="AA1811" s="3">
        <v>1.00000004749745E-3</v>
      </c>
      <c r="AB1811" t="s">
        <v>12827</v>
      </c>
      <c r="AC1811" t="s">
        <v>4575</v>
      </c>
      <c r="AD1811" t="s">
        <v>12828</v>
      </c>
      <c r="AE1811" t="s">
        <v>4655</v>
      </c>
      <c r="AF1811" t="s">
        <v>4563</v>
      </c>
      <c r="AG1811" t="s">
        <v>4564</v>
      </c>
      <c r="AH1811" t="s">
        <v>5197</v>
      </c>
      <c r="AI1811" t="s">
        <v>12829</v>
      </c>
      <c r="AJ1811" t="s">
        <v>4655</v>
      </c>
      <c r="AK1811" t="s">
        <v>12830</v>
      </c>
      <c r="AL1811" s="13" t="s">
        <v>2255</v>
      </c>
      <c r="AM1811">
        <v>1</v>
      </c>
      <c r="AN1811" s="15" t="s">
        <v>787</v>
      </c>
    </row>
    <row r="1812" spans="1:40" x14ac:dyDescent="0.3">
      <c r="A1812" s="10" t="str">
        <f>HYPERLINK("http://www.washoecounty.gov/assessor/cama/?parid=025-180-07&amp;CardNumber=1","025-180-07")</f>
        <v>025-180-07</v>
      </c>
      <c r="B1812" t="s">
        <v>4655</v>
      </c>
      <c r="C1812" t="s">
        <v>12831</v>
      </c>
      <c r="D1812" s="1">
        <v>40338</v>
      </c>
      <c r="E1812" s="2">
        <v>40000</v>
      </c>
      <c r="F1812" t="s">
        <v>4553</v>
      </c>
      <c r="G1812" s="17" t="str">
        <f>HYPERLINK("https://www.washoecounty.gov/assessor/cama/?command=sales&amp;parid=02518007","3889820")</f>
        <v>3889820</v>
      </c>
      <c r="H1812" t="s">
        <v>3459</v>
      </c>
      <c r="I1812">
        <v>1970</v>
      </c>
      <c r="J1812">
        <v>1970</v>
      </c>
      <c r="K1812" t="s">
        <v>3144</v>
      </c>
      <c r="L1812" t="s">
        <v>3974</v>
      </c>
      <c r="M1812" s="2">
        <v>1220</v>
      </c>
      <c r="N1812" t="s">
        <v>4048</v>
      </c>
      <c r="O1812">
        <v>2</v>
      </c>
      <c r="P1812">
        <v>1</v>
      </c>
      <c r="Q1812">
        <v>1</v>
      </c>
      <c r="R1812" t="s">
        <v>4676</v>
      </c>
      <c r="S1812" t="s">
        <v>4682</v>
      </c>
      <c r="T1812" t="s">
        <v>4559</v>
      </c>
      <c r="U1812" t="s">
        <v>4655</v>
      </c>
      <c r="V1812" s="2">
        <v>0</v>
      </c>
      <c r="W1812" t="s">
        <v>4655</v>
      </c>
      <c r="X1812" s="2">
        <v>0</v>
      </c>
      <c r="Y1812">
        <v>21</v>
      </c>
      <c r="Z1812" t="s">
        <v>3532</v>
      </c>
      <c r="AA1812" s="3">
        <v>1.00000004749745E-3</v>
      </c>
      <c r="AB1812" t="s">
        <v>12832</v>
      </c>
      <c r="AC1812" t="s">
        <v>4562</v>
      </c>
      <c r="AD1812" t="s">
        <v>12833</v>
      </c>
      <c r="AE1812" t="s">
        <v>4655</v>
      </c>
      <c r="AF1812" t="s">
        <v>4563</v>
      </c>
      <c r="AG1812" t="s">
        <v>4564</v>
      </c>
      <c r="AH1812">
        <v>89502</v>
      </c>
      <c r="AI1812" t="s">
        <v>12834</v>
      </c>
      <c r="AJ1812" t="s">
        <v>4655</v>
      </c>
      <c r="AK1812" t="s">
        <v>12835</v>
      </c>
      <c r="AL1812" s="13" t="s">
        <v>2255</v>
      </c>
      <c r="AM1812">
        <v>1</v>
      </c>
      <c r="AN1812" s="15" t="s">
        <v>787</v>
      </c>
    </row>
    <row r="1813" spans="1:40" x14ac:dyDescent="0.3">
      <c r="A1813" s="10" t="str">
        <f>HYPERLINK("http://www.washoecounty.gov/assessor/cama/?parid=025-180-24&amp;CardNumber=1","025-180-24")</f>
        <v>025-180-24</v>
      </c>
      <c r="B1813" t="s">
        <v>4655</v>
      </c>
      <c r="C1813" t="s">
        <v>12836</v>
      </c>
      <c r="D1813" s="1">
        <v>40472</v>
      </c>
      <c r="E1813" s="2">
        <v>48100</v>
      </c>
      <c r="F1813" t="s">
        <v>4553</v>
      </c>
      <c r="G1813" s="17" t="str">
        <f>HYPERLINK("https://www.washoecounty.gov/assessor/cama/?command=sales&amp;parid=02518024","3935230")</f>
        <v>3935230</v>
      </c>
      <c r="H1813" t="s">
        <v>3459</v>
      </c>
      <c r="I1813">
        <v>1970</v>
      </c>
      <c r="J1813">
        <v>1970</v>
      </c>
      <c r="K1813" t="s">
        <v>4897</v>
      </c>
      <c r="L1813" t="s">
        <v>3974</v>
      </c>
      <c r="M1813" s="2">
        <v>1220</v>
      </c>
      <c r="N1813" t="s">
        <v>4048</v>
      </c>
      <c r="O1813">
        <v>2</v>
      </c>
      <c r="P1813">
        <v>1</v>
      </c>
      <c r="Q1813">
        <v>1</v>
      </c>
      <c r="R1813" t="s">
        <v>4676</v>
      </c>
      <c r="S1813" t="s">
        <v>4682</v>
      </c>
      <c r="T1813" t="s">
        <v>4559</v>
      </c>
      <c r="U1813" t="s">
        <v>4655</v>
      </c>
      <c r="V1813" s="2">
        <v>0</v>
      </c>
      <c r="W1813" t="s">
        <v>4655</v>
      </c>
      <c r="X1813" s="2">
        <v>0</v>
      </c>
      <c r="Y1813">
        <v>21</v>
      </c>
      <c r="Z1813" t="s">
        <v>3532</v>
      </c>
      <c r="AA1813" s="3">
        <v>1.00000004749745E-3</v>
      </c>
      <c r="AB1813" t="s">
        <v>1165</v>
      </c>
      <c r="AC1813" t="s">
        <v>4562</v>
      </c>
      <c r="AD1813" t="s">
        <v>12837</v>
      </c>
      <c r="AE1813" t="s">
        <v>4655</v>
      </c>
      <c r="AF1813" t="s">
        <v>4563</v>
      </c>
      <c r="AG1813" t="s">
        <v>4564</v>
      </c>
      <c r="AH1813" t="s">
        <v>2330</v>
      </c>
      <c r="AI1813" t="s">
        <v>4145</v>
      </c>
      <c r="AJ1813" t="s">
        <v>4655</v>
      </c>
      <c r="AK1813" t="s">
        <v>12838</v>
      </c>
      <c r="AL1813" s="13" t="s">
        <v>2255</v>
      </c>
      <c r="AM1813">
        <v>1</v>
      </c>
      <c r="AN1813" s="15" t="s">
        <v>787</v>
      </c>
    </row>
    <row r="1814" spans="1:40" x14ac:dyDescent="0.3">
      <c r="A1814" s="10" t="str">
        <f>HYPERLINK("http://www.washoecounty.gov/assessor/cama/?parid=025-180-35&amp;CardNumber=1","025-180-35")</f>
        <v>025-180-35</v>
      </c>
      <c r="B1814" t="s">
        <v>4655</v>
      </c>
      <c r="C1814" t="s">
        <v>12839</v>
      </c>
      <c r="D1814" s="1">
        <v>40298</v>
      </c>
      <c r="E1814" s="2">
        <v>62000</v>
      </c>
      <c r="F1814" t="s">
        <v>4567</v>
      </c>
      <c r="G1814" s="17" t="str">
        <f>HYPERLINK("https://www.washoecounty.gov/assessor/cama/?command=sales&amp;parid=02518035","3876807")</f>
        <v>3876807</v>
      </c>
      <c r="H1814" t="s">
        <v>12826</v>
      </c>
      <c r="I1814">
        <v>1970</v>
      </c>
      <c r="J1814">
        <v>1970</v>
      </c>
      <c r="K1814" t="s">
        <v>3144</v>
      </c>
      <c r="L1814" t="s">
        <v>3974</v>
      </c>
      <c r="M1814" s="2">
        <v>1220</v>
      </c>
      <c r="N1814" t="s">
        <v>4048</v>
      </c>
      <c r="O1814">
        <v>2</v>
      </c>
      <c r="P1814">
        <v>1</v>
      </c>
      <c r="Q1814">
        <v>1</v>
      </c>
      <c r="R1814" t="s">
        <v>4676</v>
      </c>
      <c r="S1814" t="s">
        <v>4682</v>
      </c>
      <c r="T1814" t="s">
        <v>4559</v>
      </c>
      <c r="U1814" t="s">
        <v>4655</v>
      </c>
      <c r="V1814" s="2">
        <v>0</v>
      </c>
      <c r="W1814" t="s">
        <v>4655</v>
      </c>
      <c r="X1814" s="2">
        <v>0</v>
      </c>
      <c r="Y1814">
        <v>21</v>
      </c>
      <c r="Z1814" t="s">
        <v>3532</v>
      </c>
      <c r="AA1814" s="3">
        <v>1.00000004749745E-3</v>
      </c>
      <c r="AB1814" t="s">
        <v>12840</v>
      </c>
      <c r="AC1814" t="s">
        <v>4562</v>
      </c>
      <c r="AD1814" t="s">
        <v>12839</v>
      </c>
      <c r="AE1814" t="s">
        <v>4655</v>
      </c>
      <c r="AF1814" t="s">
        <v>4563</v>
      </c>
      <c r="AG1814" t="s">
        <v>4564</v>
      </c>
      <c r="AH1814">
        <v>89502</v>
      </c>
      <c r="AI1814" t="s">
        <v>12841</v>
      </c>
      <c r="AJ1814" t="s">
        <v>4655</v>
      </c>
      <c r="AK1814" t="s">
        <v>12842</v>
      </c>
      <c r="AL1814" s="13" t="s">
        <v>2255</v>
      </c>
      <c r="AM1814" s="14">
        <v>1</v>
      </c>
      <c r="AN1814" s="15" t="s">
        <v>787</v>
      </c>
    </row>
    <row r="1815" spans="1:40" x14ac:dyDescent="0.3">
      <c r="A1815" s="10" t="str">
        <f>HYPERLINK("http://www.washoecounty.gov/assessor/cama/?parid=025-180-42&amp;CardNumber=1","025-180-42")</f>
        <v>025-180-42</v>
      </c>
      <c r="B1815" t="s">
        <v>4655</v>
      </c>
      <c r="C1815" t="s">
        <v>12843</v>
      </c>
      <c r="D1815" s="1">
        <v>40438</v>
      </c>
      <c r="E1815" s="2">
        <v>50000</v>
      </c>
      <c r="F1815" t="s">
        <v>4567</v>
      </c>
      <c r="G1815" s="17" t="str">
        <f>HYPERLINK("https://www.washoecounty.gov/assessor/cama/?command=sales&amp;parid=02518042","3923439")</f>
        <v>3923439</v>
      </c>
      <c r="H1815" t="s">
        <v>3459</v>
      </c>
      <c r="I1815">
        <v>1970</v>
      </c>
      <c r="J1815">
        <v>1970</v>
      </c>
      <c r="K1815" t="s">
        <v>3144</v>
      </c>
      <c r="L1815" t="s">
        <v>3974</v>
      </c>
      <c r="M1815" s="2">
        <v>1220</v>
      </c>
      <c r="N1815" t="s">
        <v>4048</v>
      </c>
      <c r="O1815">
        <v>2</v>
      </c>
      <c r="P1815">
        <v>1</v>
      </c>
      <c r="Q1815">
        <v>1</v>
      </c>
      <c r="R1815" t="s">
        <v>4676</v>
      </c>
      <c r="S1815" t="s">
        <v>4682</v>
      </c>
      <c r="T1815" t="s">
        <v>4559</v>
      </c>
      <c r="U1815" t="s">
        <v>4655</v>
      </c>
      <c r="V1815" s="2">
        <v>0</v>
      </c>
      <c r="W1815" t="s">
        <v>4655</v>
      </c>
      <c r="X1815" s="2">
        <v>0</v>
      </c>
      <c r="Y1815">
        <v>21</v>
      </c>
      <c r="Z1815" t="s">
        <v>3532</v>
      </c>
      <c r="AA1815" s="3">
        <v>1.00000004749745E-3</v>
      </c>
      <c r="AB1815" t="s">
        <v>1135</v>
      </c>
      <c r="AC1815" t="s">
        <v>4575</v>
      </c>
      <c r="AD1815" t="s">
        <v>12592</v>
      </c>
      <c r="AE1815" t="s">
        <v>2389</v>
      </c>
      <c r="AF1815" t="s">
        <v>4563</v>
      </c>
      <c r="AG1815" t="s">
        <v>4564</v>
      </c>
      <c r="AH1815" t="s">
        <v>2330</v>
      </c>
      <c r="AI1815" t="s">
        <v>12844</v>
      </c>
      <c r="AJ1815" t="s">
        <v>4655</v>
      </c>
      <c r="AK1815" t="s">
        <v>12845</v>
      </c>
      <c r="AL1815" s="13" t="s">
        <v>2255</v>
      </c>
      <c r="AM1815" s="14">
        <v>1</v>
      </c>
      <c r="AN1815" s="15" t="s">
        <v>787</v>
      </c>
    </row>
    <row r="1816" spans="1:40" x14ac:dyDescent="0.3">
      <c r="A1816" s="10" t="str">
        <f>HYPERLINK("http://www.washoecounty.gov/assessor/cama/?parid=025-180-47&amp;CardNumber=1","025-180-47")</f>
        <v>025-180-47</v>
      </c>
      <c r="B1816" t="s">
        <v>4655</v>
      </c>
      <c r="C1816" t="s">
        <v>12846</v>
      </c>
      <c r="D1816" s="1">
        <v>40401</v>
      </c>
      <c r="E1816" s="2">
        <v>43000</v>
      </c>
      <c r="F1816" t="s">
        <v>4553</v>
      </c>
      <c r="G1816" s="17" t="str">
        <f>HYPERLINK("https://www.washoecounty.gov/assessor/cama/?command=sales&amp;parid=02518047","3910840")</f>
        <v>3910840</v>
      </c>
      <c r="H1816" t="s">
        <v>2082</v>
      </c>
      <c r="I1816">
        <v>1970</v>
      </c>
      <c r="J1816">
        <v>1970</v>
      </c>
      <c r="K1816" t="s">
        <v>3144</v>
      </c>
      <c r="L1816" t="s">
        <v>3974</v>
      </c>
      <c r="M1816" s="2">
        <v>1220</v>
      </c>
      <c r="N1816" t="s">
        <v>4048</v>
      </c>
      <c r="O1816">
        <v>2</v>
      </c>
      <c r="P1816">
        <v>1</v>
      </c>
      <c r="Q1816">
        <v>1</v>
      </c>
      <c r="R1816" t="s">
        <v>4676</v>
      </c>
      <c r="S1816" t="s">
        <v>4682</v>
      </c>
      <c r="T1816" t="s">
        <v>4559</v>
      </c>
      <c r="U1816" t="s">
        <v>4655</v>
      </c>
      <c r="V1816" s="2">
        <v>0</v>
      </c>
      <c r="W1816" t="s">
        <v>4655</v>
      </c>
      <c r="X1816" s="2">
        <v>0</v>
      </c>
      <c r="Y1816">
        <v>21</v>
      </c>
      <c r="Z1816" t="s">
        <v>3532</v>
      </c>
      <c r="AA1816" s="3">
        <v>1.00000004749745E-3</v>
      </c>
      <c r="AB1816" t="s">
        <v>2083</v>
      </c>
      <c r="AC1816" t="s">
        <v>4562</v>
      </c>
      <c r="AD1816" t="s">
        <v>12651</v>
      </c>
      <c r="AE1816" t="s">
        <v>4655</v>
      </c>
      <c r="AF1816" t="s">
        <v>4563</v>
      </c>
      <c r="AG1816" t="s">
        <v>4564</v>
      </c>
      <c r="AH1816" t="s">
        <v>5197</v>
      </c>
      <c r="AI1816" t="s">
        <v>4565</v>
      </c>
      <c r="AJ1816" t="s">
        <v>4655</v>
      </c>
      <c r="AK1816" t="s">
        <v>12847</v>
      </c>
      <c r="AL1816" s="13" t="s">
        <v>2255</v>
      </c>
      <c r="AM1816">
        <v>1</v>
      </c>
      <c r="AN1816" s="15" t="s">
        <v>787</v>
      </c>
    </row>
    <row r="1817" spans="1:40" x14ac:dyDescent="0.3">
      <c r="A1817" s="10" t="str">
        <f>HYPERLINK("http://www.washoecounty.gov/assessor/cama/?parid=025-190-04&amp;CardNumber=1","025-190-04")</f>
        <v>025-190-04</v>
      </c>
      <c r="B1817" t="s">
        <v>4655</v>
      </c>
      <c r="C1817" t="s">
        <v>12848</v>
      </c>
      <c r="D1817" s="1">
        <v>40386</v>
      </c>
      <c r="E1817" s="2">
        <v>55000</v>
      </c>
      <c r="F1817" t="s">
        <v>4567</v>
      </c>
      <c r="G1817" s="17" t="str">
        <f>HYPERLINK("https://www.washoecounty.gov/assessor/cama/?command=sales&amp;parid=02519004","3905296")</f>
        <v>3905296</v>
      </c>
      <c r="H1817" t="s">
        <v>1134</v>
      </c>
      <c r="I1817">
        <v>1970</v>
      </c>
      <c r="J1817">
        <v>1970</v>
      </c>
      <c r="K1817" t="s">
        <v>3144</v>
      </c>
      <c r="L1817" t="s">
        <v>3974</v>
      </c>
      <c r="M1817" s="2">
        <v>1220</v>
      </c>
      <c r="N1817" t="s">
        <v>4048</v>
      </c>
      <c r="O1817">
        <v>2</v>
      </c>
      <c r="P1817">
        <v>1</v>
      </c>
      <c r="Q1817">
        <v>1</v>
      </c>
      <c r="R1817" t="s">
        <v>4676</v>
      </c>
      <c r="S1817" t="s">
        <v>4682</v>
      </c>
      <c r="T1817" t="s">
        <v>4559</v>
      </c>
      <c r="U1817" t="s">
        <v>4655</v>
      </c>
      <c r="V1817" s="2">
        <v>0</v>
      </c>
      <c r="W1817" t="s">
        <v>4655</v>
      </c>
      <c r="X1817" s="2">
        <v>0</v>
      </c>
      <c r="Y1817">
        <v>21</v>
      </c>
      <c r="Z1817" t="s">
        <v>3532</v>
      </c>
      <c r="AA1817" s="3">
        <v>1.00000004749745E-3</v>
      </c>
      <c r="AB1817" t="s">
        <v>12849</v>
      </c>
      <c r="AC1817" t="s">
        <v>4575</v>
      </c>
      <c r="AD1817" t="s">
        <v>12848</v>
      </c>
      <c r="AE1817" t="s">
        <v>4655</v>
      </c>
      <c r="AF1817" t="s">
        <v>4563</v>
      </c>
      <c r="AG1817" t="s">
        <v>4564</v>
      </c>
      <c r="AH1817">
        <v>89502</v>
      </c>
      <c r="AI1817" t="s">
        <v>12607</v>
      </c>
      <c r="AJ1817" t="s">
        <v>4655</v>
      </c>
      <c r="AK1817" t="s">
        <v>12850</v>
      </c>
      <c r="AL1817" s="13" t="s">
        <v>2255</v>
      </c>
      <c r="AM1817">
        <v>1</v>
      </c>
      <c r="AN1817" s="15" t="s">
        <v>787</v>
      </c>
    </row>
    <row r="1818" spans="1:40" x14ac:dyDescent="0.3">
      <c r="A1818" s="10" t="str">
        <f>HYPERLINK("http://www.washoecounty.gov/assessor/cama/?parid=025-190-12&amp;CardNumber=1","025-190-12")</f>
        <v>025-190-12</v>
      </c>
      <c r="B1818" t="s">
        <v>4655</v>
      </c>
      <c r="C1818" t="s">
        <v>5404</v>
      </c>
      <c r="D1818" s="1">
        <v>40520</v>
      </c>
      <c r="E1818" s="2">
        <v>25968</v>
      </c>
      <c r="F1818" t="s">
        <v>4553</v>
      </c>
      <c r="G1818" s="17" t="str">
        <f>HYPERLINK("https://www.washoecounty.gov/assessor/cama/?command=sales&amp;parid=02519012","3950643")</f>
        <v>3950643</v>
      </c>
      <c r="H1818" t="s">
        <v>1134</v>
      </c>
      <c r="I1818">
        <v>1970</v>
      </c>
      <c r="J1818">
        <v>1970</v>
      </c>
      <c r="K1818" t="s">
        <v>3144</v>
      </c>
      <c r="L1818" t="s">
        <v>3974</v>
      </c>
      <c r="M1818" s="2">
        <v>1220</v>
      </c>
      <c r="N1818" t="s">
        <v>4048</v>
      </c>
      <c r="O1818">
        <v>2</v>
      </c>
      <c r="P1818">
        <v>1</v>
      </c>
      <c r="Q1818">
        <v>1</v>
      </c>
      <c r="R1818" t="s">
        <v>4676</v>
      </c>
      <c r="S1818" t="s">
        <v>4682</v>
      </c>
      <c r="T1818" t="s">
        <v>4559</v>
      </c>
      <c r="U1818" t="s">
        <v>4655</v>
      </c>
      <c r="V1818" s="2">
        <v>0</v>
      </c>
      <c r="W1818" t="s">
        <v>4655</v>
      </c>
      <c r="X1818" s="2">
        <v>0</v>
      </c>
      <c r="Y1818">
        <v>21</v>
      </c>
      <c r="Z1818" t="s">
        <v>3532</v>
      </c>
      <c r="AA1818" s="3">
        <v>1.00000004749745E-3</v>
      </c>
      <c r="AB1818" t="s">
        <v>5649</v>
      </c>
      <c r="AC1818" t="s">
        <v>4562</v>
      </c>
      <c r="AD1818" t="s">
        <v>5404</v>
      </c>
      <c r="AE1818" t="s">
        <v>4655</v>
      </c>
      <c r="AF1818" t="s">
        <v>4563</v>
      </c>
      <c r="AG1818" t="s">
        <v>4564</v>
      </c>
      <c r="AH1818">
        <v>89502</v>
      </c>
      <c r="AI1818" t="s">
        <v>5405</v>
      </c>
      <c r="AJ1818" t="s">
        <v>4655</v>
      </c>
      <c r="AK1818" t="s">
        <v>5406</v>
      </c>
      <c r="AL1818" s="13" t="s">
        <v>2255</v>
      </c>
      <c r="AM1818" s="14">
        <v>1</v>
      </c>
      <c r="AN1818" s="15" t="s">
        <v>787</v>
      </c>
    </row>
    <row r="1819" spans="1:40" x14ac:dyDescent="0.3">
      <c r="A1819" s="10" t="str">
        <f>HYPERLINK("http://www.washoecounty.gov/assessor/cama/?parid=025-201-02&amp;CardNumber=1","025-201-02")</f>
        <v>025-201-02</v>
      </c>
      <c r="B1819" t="s">
        <v>4655</v>
      </c>
      <c r="C1819" t="s">
        <v>12851</v>
      </c>
      <c r="D1819" s="1">
        <v>40458</v>
      </c>
      <c r="E1819" s="2">
        <v>42500</v>
      </c>
      <c r="F1819" t="s">
        <v>4553</v>
      </c>
      <c r="G1819" s="17" t="str">
        <f>HYPERLINK("https://www.washoecounty.gov/assessor/cama/?command=sales&amp;parid=02520102","3930921")</f>
        <v>3930921</v>
      </c>
      <c r="H1819" t="s">
        <v>1162</v>
      </c>
      <c r="I1819">
        <v>1979</v>
      </c>
      <c r="J1819">
        <v>1979</v>
      </c>
      <c r="K1819" t="s">
        <v>3144</v>
      </c>
      <c r="L1819" t="s">
        <v>4555</v>
      </c>
      <c r="M1819" s="2">
        <v>860</v>
      </c>
      <c r="N1819" t="s">
        <v>4048</v>
      </c>
      <c r="O1819">
        <v>2</v>
      </c>
      <c r="P1819">
        <v>1</v>
      </c>
      <c r="Q1819">
        <v>0</v>
      </c>
      <c r="R1819" t="s">
        <v>4557</v>
      </c>
      <c r="S1819" t="s">
        <v>4135</v>
      </c>
      <c r="T1819" t="s">
        <v>4559</v>
      </c>
      <c r="U1819" t="s">
        <v>4655</v>
      </c>
      <c r="V1819" s="2">
        <v>0</v>
      </c>
      <c r="W1819" t="s">
        <v>4655</v>
      </c>
      <c r="X1819" s="2">
        <v>0</v>
      </c>
      <c r="Y1819">
        <v>21</v>
      </c>
      <c r="Z1819" t="s">
        <v>3532</v>
      </c>
      <c r="AA1819" s="3">
        <v>1.00000004749745E-3</v>
      </c>
      <c r="AB1819" t="s">
        <v>12852</v>
      </c>
      <c r="AC1819" t="s">
        <v>4562</v>
      </c>
      <c r="AD1819" t="s">
        <v>12853</v>
      </c>
      <c r="AE1819" t="s">
        <v>4655</v>
      </c>
      <c r="AF1819" t="s">
        <v>4563</v>
      </c>
      <c r="AG1819" t="s">
        <v>4564</v>
      </c>
      <c r="AH1819">
        <v>89502</v>
      </c>
      <c r="AI1819" t="s">
        <v>1982</v>
      </c>
      <c r="AJ1819" t="s">
        <v>4655</v>
      </c>
      <c r="AK1819" t="s">
        <v>12854</v>
      </c>
      <c r="AL1819" s="13" t="s">
        <v>2257</v>
      </c>
      <c r="AM1819">
        <v>1</v>
      </c>
      <c r="AN1819" s="15" t="s">
        <v>1183</v>
      </c>
    </row>
    <row r="1820" spans="1:40" x14ac:dyDescent="0.3">
      <c r="A1820" s="10" t="str">
        <f>HYPERLINK("http://www.washoecounty.gov/assessor/cama/?parid=025-201-62&amp;CardNumber=1","025-201-62")</f>
        <v>025-201-62</v>
      </c>
      <c r="B1820" t="s">
        <v>4655</v>
      </c>
      <c r="C1820" t="s">
        <v>12855</v>
      </c>
      <c r="D1820" s="1">
        <v>40512</v>
      </c>
      <c r="E1820" s="2">
        <v>39000</v>
      </c>
      <c r="F1820" t="s">
        <v>4553</v>
      </c>
      <c r="G1820" s="17" t="str">
        <f>HYPERLINK("https://www.washoecounty.gov/assessor/cama/?command=sales&amp;parid=02520162","3947549")</f>
        <v>3947549</v>
      </c>
      <c r="H1820" t="s">
        <v>1162</v>
      </c>
      <c r="I1820">
        <v>1979</v>
      </c>
      <c r="J1820">
        <v>1979</v>
      </c>
      <c r="K1820" t="s">
        <v>4897</v>
      </c>
      <c r="L1820" t="s">
        <v>4555</v>
      </c>
      <c r="M1820" s="2">
        <v>860</v>
      </c>
      <c r="N1820" t="s">
        <v>4048</v>
      </c>
      <c r="O1820">
        <v>2</v>
      </c>
      <c r="P1820">
        <v>1</v>
      </c>
      <c r="Q1820">
        <v>0</v>
      </c>
      <c r="R1820" t="s">
        <v>4557</v>
      </c>
      <c r="S1820" t="s">
        <v>4135</v>
      </c>
      <c r="T1820" t="s">
        <v>4559</v>
      </c>
      <c r="U1820" t="s">
        <v>4655</v>
      </c>
      <c r="V1820" s="2">
        <v>0</v>
      </c>
      <c r="W1820" t="s">
        <v>4655</v>
      </c>
      <c r="X1820" s="2">
        <v>0</v>
      </c>
      <c r="Y1820">
        <v>21</v>
      </c>
      <c r="Z1820" t="s">
        <v>3532</v>
      </c>
      <c r="AA1820" s="3">
        <v>1.00000004749745E-3</v>
      </c>
      <c r="AB1820" t="s">
        <v>12856</v>
      </c>
      <c r="AC1820" t="s">
        <v>4562</v>
      </c>
      <c r="AD1820" t="s">
        <v>12857</v>
      </c>
      <c r="AE1820" t="s">
        <v>4655</v>
      </c>
      <c r="AF1820" t="s">
        <v>4563</v>
      </c>
      <c r="AG1820" t="s">
        <v>4564</v>
      </c>
      <c r="AH1820">
        <v>89511</v>
      </c>
      <c r="AI1820" t="s">
        <v>4903</v>
      </c>
      <c r="AJ1820" t="s">
        <v>4655</v>
      </c>
      <c r="AK1820" t="s">
        <v>12858</v>
      </c>
      <c r="AL1820" s="13" t="s">
        <v>2257</v>
      </c>
      <c r="AM1820" s="14">
        <v>1</v>
      </c>
      <c r="AN1820" s="15" t="s">
        <v>1183</v>
      </c>
    </row>
    <row r="1821" spans="1:40" x14ac:dyDescent="0.3">
      <c r="A1821" s="10" t="str">
        <f>HYPERLINK("http://www.washoecounty.gov/assessor/cama/?parid=025-202-01&amp;CardNumber=1","025-202-01")</f>
        <v>025-202-01</v>
      </c>
      <c r="B1821" t="s">
        <v>4655</v>
      </c>
      <c r="C1821" t="s">
        <v>12851</v>
      </c>
      <c r="D1821" s="1">
        <v>40406</v>
      </c>
      <c r="E1821" s="2">
        <v>38000</v>
      </c>
      <c r="F1821" t="s">
        <v>4553</v>
      </c>
      <c r="G1821" s="17" t="str">
        <f>HYPERLINK("https://www.washoecounty.gov/assessor/cama/?command=sales&amp;parid=02520201","3912367")</f>
        <v>3912367</v>
      </c>
      <c r="H1821" t="s">
        <v>1162</v>
      </c>
      <c r="I1821">
        <v>1979</v>
      </c>
      <c r="J1821">
        <v>1979</v>
      </c>
      <c r="K1821" t="s">
        <v>4897</v>
      </c>
      <c r="L1821" t="s">
        <v>4555</v>
      </c>
      <c r="M1821" s="2">
        <v>860</v>
      </c>
      <c r="N1821" t="s">
        <v>4048</v>
      </c>
      <c r="O1821">
        <v>2</v>
      </c>
      <c r="P1821">
        <v>1</v>
      </c>
      <c r="Q1821">
        <v>0</v>
      </c>
      <c r="R1821" t="s">
        <v>4557</v>
      </c>
      <c r="S1821" t="s">
        <v>4135</v>
      </c>
      <c r="T1821" t="s">
        <v>4559</v>
      </c>
      <c r="U1821" t="s">
        <v>4655</v>
      </c>
      <c r="V1821" s="2">
        <v>0</v>
      </c>
      <c r="W1821" t="s">
        <v>4655</v>
      </c>
      <c r="X1821" s="2">
        <v>0</v>
      </c>
      <c r="Y1821">
        <v>21</v>
      </c>
      <c r="Z1821" t="s">
        <v>3532</v>
      </c>
      <c r="AA1821" s="3">
        <v>1.00000004749745E-3</v>
      </c>
      <c r="AB1821" t="s">
        <v>12859</v>
      </c>
      <c r="AC1821" t="s">
        <v>4575</v>
      </c>
      <c r="AD1821" t="s">
        <v>12860</v>
      </c>
      <c r="AE1821" t="s">
        <v>12861</v>
      </c>
      <c r="AF1821" t="s">
        <v>4563</v>
      </c>
      <c r="AG1821" t="s">
        <v>4564</v>
      </c>
      <c r="AH1821">
        <v>89503</v>
      </c>
      <c r="AI1821" t="s">
        <v>4045</v>
      </c>
      <c r="AJ1821" t="s">
        <v>4655</v>
      </c>
      <c r="AK1821" t="s">
        <v>12862</v>
      </c>
      <c r="AL1821" s="13" t="s">
        <v>2257</v>
      </c>
      <c r="AM1821" s="14">
        <v>1</v>
      </c>
      <c r="AN1821" s="15" t="s">
        <v>1183</v>
      </c>
    </row>
    <row r="1822" spans="1:40" x14ac:dyDescent="0.3">
      <c r="A1822" s="10" t="str">
        <f>HYPERLINK("http://www.washoecounty.gov/assessor/cama/?parid=025-202-10&amp;CardNumber=1","025-202-10")</f>
        <v>025-202-10</v>
      </c>
      <c r="B1822" t="s">
        <v>4655</v>
      </c>
      <c r="C1822" t="s">
        <v>1161</v>
      </c>
      <c r="D1822" s="1">
        <v>40214</v>
      </c>
      <c r="E1822" s="2">
        <v>45000</v>
      </c>
      <c r="F1822" t="s">
        <v>4553</v>
      </c>
      <c r="G1822" s="17" t="str">
        <f>HYPERLINK("https://www.washoecounty.gov/assessor/cama/?command=sales&amp;parid=02520210","3846489")</f>
        <v>3846489</v>
      </c>
      <c r="H1822" t="s">
        <v>1162</v>
      </c>
      <c r="I1822">
        <v>1979</v>
      </c>
      <c r="J1822">
        <v>1979</v>
      </c>
      <c r="K1822" t="s">
        <v>4897</v>
      </c>
      <c r="L1822" t="s">
        <v>4555</v>
      </c>
      <c r="M1822" s="2">
        <v>860</v>
      </c>
      <c r="N1822" t="s">
        <v>4048</v>
      </c>
      <c r="O1822">
        <v>2</v>
      </c>
      <c r="P1822">
        <v>1</v>
      </c>
      <c r="Q1822">
        <v>0</v>
      </c>
      <c r="R1822" t="s">
        <v>4557</v>
      </c>
      <c r="S1822" t="s">
        <v>4135</v>
      </c>
      <c r="T1822" t="s">
        <v>4559</v>
      </c>
      <c r="U1822" t="s">
        <v>4655</v>
      </c>
      <c r="V1822" s="2">
        <v>0</v>
      </c>
      <c r="W1822" t="s">
        <v>4655</v>
      </c>
      <c r="X1822" s="2">
        <v>0</v>
      </c>
      <c r="Y1822">
        <v>21</v>
      </c>
      <c r="Z1822" t="s">
        <v>3532</v>
      </c>
      <c r="AA1822" s="3">
        <v>1.00000004749745E-3</v>
      </c>
      <c r="AB1822" t="s">
        <v>12863</v>
      </c>
      <c r="AC1822" t="s">
        <v>4562</v>
      </c>
      <c r="AD1822" t="s">
        <v>12864</v>
      </c>
      <c r="AE1822" t="s">
        <v>4655</v>
      </c>
      <c r="AF1822" t="s">
        <v>4563</v>
      </c>
      <c r="AG1822" t="s">
        <v>4564</v>
      </c>
      <c r="AH1822">
        <v>89502</v>
      </c>
      <c r="AI1822" t="s">
        <v>4903</v>
      </c>
      <c r="AJ1822" t="s">
        <v>4655</v>
      </c>
      <c r="AK1822" t="s">
        <v>12865</v>
      </c>
      <c r="AL1822" s="13" t="s">
        <v>2257</v>
      </c>
      <c r="AM1822" s="14">
        <v>1</v>
      </c>
      <c r="AN1822" s="15" t="s">
        <v>1183</v>
      </c>
    </row>
    <row r="1823" spans="1:40" x14ac:dyDescent="0.3">
      <c r="A1823" s="10" t="str">
        <f>HYPERLINK("http://www.washoecounty.gov/assessor/cama/?parid=025-202-22&amp;CardNumber=1","025-202-22")</f>
        <v>025-202-22</v>
      </c>
      <c r="B1823" t="s">
        <v>4655</v>
      </c>
      <c r="C1823" t="s">
        <v>5407</v>
      </c>
      <c r="D1823" s="1">
        <v>40512</v>
      </c>
      <c r="E1823" s="2">
        <v>42000</v>
      </c>
      <c r="F1823" t="s">
        <v>4567</v>
      </c>
      <c r="G1823" s="17" t="str">
        <f>HYPERLINK("https://www.washoecounty.gov/assessor/cama/?command=sales&amp;parid=02520222","3947761")</f>
        <v>3947761</v>
      </c>
      <c r="H1823" t="s">
        <v>1162</v>
      </c>
      <c r="I1823">
        <v>1979</v>
      </c>
      <c r="J1823">
        <v>1979</v>
      </c>
      <c r="K1823" t="s">
        <v>4897</v>
      </c>
      <c r="L1823" t="s">
        <v>4555</v>
      </c>
      <c r="M1823" s="2">
        <v>860</v>
      </c>
      <c r="N1823" t="s">
        <v>4048</v>
      </c>
      <c r="O1823">
        <v>2</v>
      </c>
      <c r="P1823">
        <v>1</v>
      </c>
      <c r="Q1823">
        <v>0</v>
      </c>
      <c r="R1823" t="s">
        <v>4557</v>
      </c>
      <c r="S1823" t="s">
        <v>4135</v>
      </c>
      <c r="T1823" t="s">
        <v>4559</v>
      </c>
      <c r="U1823" t="s">
        <v>4655</v>
      </c>
      <c r="V1823" s="2">
        <v>0</v>
      </c>
      <c r="W1823" t="s">
        <v>4655</v>
      </c>
      <c r="X1823" s="2">
        <v>0</v>
      </c>
      <c r="Y1823">
        <v>21</v>
      </c>
      <c r="Z1823" t="s">
        <v>3532</v>
      </c>
      <c r="AA1823" s="3">
        <v>1.00000004749745E-3</v>
      </c>
      <c r="AB1823" t="s">
        <v>12866</v>
      </c>
      <c r="AC1823" t="s">
        <v>4575</v>
      </c>
      <c r="AD1823" t="s">
        <v>12867</v>
      </c>
      <c r="AE1823" t="s">
        <v>4655</v>
      </c>
      <c r="AF1823" t="s">
        <v>4563</v>
      </c>
      <c r="AG1823" t="s">
        <v>4564</v>
      </c>
      <c r="AH1823">
        <v>89502</v>
      </c>
      <c r="AI1823" t="s">
        <v>4655</v>
      </c>
      <c r="AJ1823" t="s">
        <v>4655</v>
      </c>
      <c r="AK1823" t="s">
        <v>12868</v>
      </c>
      <c r="AL1823" s="13" t="s">
        <v>2257</v>
      </c>
      <c r="AM1823" s="14">
        <v>1</v>
      </c>
      <c r="AN1823" s="15" t="s">
        <v>1183</v>
      </c>
    </row>
    <row r="1824" spans="1:40" x14ac:dyDescent="0.3">
      <c r="A1824" s="10" t="str">
        <f>HYPERLINK("http://www.washoecounty.gov/assessor/cama/?parid=025-202-55&amp;CardNumber=1","025-202-55")</f>
        <v>025-202-55</v>
      </c>
      <c r="B1824" t="s">
        <v>4655</v>
      </c>
      <c r="C1824" t="s">
        <v>12869</v>
      </c>
      <c r="D1824" s="1">
        <v>40189</v>
      </c>
      <c r="E1824" s="2">
        <v>48000</v>
      </c>
      <c r="F1824" t="s">
        <v>4567</v>
      </c>
      <c r="G1824" s="17" t="str">
        <f>HYPERLINK("https://www.washoecounty.gov/assessor/cama/?command=sales&amp;parid=02520255","3837898")</f>
        <v>3837898</v>
      </c>
      <c r="H1824" t="s">
        <v>1162</v>
      </c>
      <c r="I1824">
        <v>1979</v>
      </c>
      <c r="J1824">
        <v>1979</v>
      </c>
      <c r="K1824" t="s">
        <v>4897</v>
      </c>
      <c r="L1824" t="s">
        <v>4555</v>
      </c>
      <c r="M1824" s="2">
        <v>860</v>
      </c>
      <c r="N1824" t="s">
        <v>4048</v>
      </c>
      <c r="O1824">
        <v>2</v>
      </c>
      <c r="P1824">
        <v>1</v>
      </c>
      <c r="Q1824">
        <v>0</v>
      </c>
      <c r="R1824" t="s">
        <v>4557</v>
      </c>
      <c r="S1824" t="s">
        <v>4135</v>
      </c>
      <c r="T1824" t="s">
        <v>4559</v>
      </c>
      <c r="U1824" t="s">
        <v>4655</v>
      </c>
      <c r="V1824" s="2">
        <v>0</v>
      </c>
      <c r="W1824" t="s">
        <v>4655</v>
      </c>
      <c r="X1824" s="2">
        <v>0</v>
      </c>
      <c r="Y1824">
        <v>21</v>
      </c>
      <c r="Z1824" t="s">
        <v>3532</v>
      </c>
      <c r="AA1824" s="3">
        <v>1.00000004749745E-3</v>
      </c>
      <c r="AB1824" t="s">
        <v>12870</v>
      </c>
      <c r="AC1824" t="s">
        <v>4562</v>
      </c>
      <c r="AD1824" t="s">
        <v>12871</v>
      </c>
      <c r="AE1824" t="s">
        <v>4655</v>
      </c>
      <c r="AF1824" t="s">
        <v>785</v>
      </c>
      <c r="AG1824" t="s">
        <v>4584</v>
      </c>
      <c r="AH1824">
        <v>94015</v>
      </c>
      <c r="AI1824" t="s">
        <v>12872</v>
      </c>
      <c r="AJ1824" t="s">
        <v>4655</v>
      </c>
      <c r="AK1824" t="s">
        <v>12873</v>
      </c>
      <c r="AL1824" s="13" t="s">
        <v>2257</v>
      </c>
      <c r="AM1824">
        <v>1</v>
      </c>
      <c r="AN1824" s="15" t="s">
        <v>1183</v>
      </c>
    </row>
    <row r="1825" spans="1:40" x14ac:dyDescent="0.3">
      <c r="A1825" s="10" t="str">
        <f>HYPERLINK("http://www.washoecounty.gov/assessor/cama/?parid=025-202-69&amp;CardNumber=1","025-202-69")</f>
        <v>025-202-69</v>
      </c>
      <c r="B1825" t="s">
        <v>4655</v>
      </c>
      <c r="C1825" t="s">
        <v>4329</v>
      </c>
      <c r="D1825" s="1">
        <v>40344</v>
      </c>
      <c r="E1825" s="2">
        <v>34000</v>
      </c>
      <c r="F1825" t="s">
        <v>4567</v>
      </c>
      <c r="G1825" s="17" t="str">
        <f>HYPERLINK("https://www.washoecounty.gov/assessor/cama/?command=sales&amp;parid=02520269","3891975")</f>
        <v>3891975</v>
      </c>
      <c r="H1825" t="s">
        <v>1162</v>
      </c>
      <c r="I1825">
        <v>1979</v>
      </c>
      <c r="J1825">
        <v>1979</v>
      </c>
      <c r="K1825" t="s">
        <v>3144</v>
      </c>
      <c r="L1825" t="s">
        <v>4555</v>
      </c>
      <c r="M1825" s="2">
        <v>860</v>
      </c>
      <c r="N1825" t="s">
        <v>4048</v>
      </c>
      <c r="O1825">
        <v>2</v>
      </c>
      <c r="P1825">
        <v>1</v>
      </c>
      <c r="Q1825">
        <v>0</v>
      </c>
      <c r="R1825" t="s">
        <v>4557</v>
      </c>
      <c r="S1825" t="s">
        <v>4135</v>
      </c>
      <c r="T1825" t="s">
        <v>4559</v>
      </c>
      <c r="U1825" t="s">
        <v>4655</v>
      </c>
      <c r="V1825" s="2">
        <v>0</v>
      </c>
      <c r="W1825" t="s">
        <v>4655</v>
      </c>
      <c r="X1825" s="2">
        <v>0</v>
      </c>
      <c r="Y1825">
        <v>21</v>
      </c>
      <c r="Z1825" t="s">
        <v>3532</v>
      </c>
      <c r="AA1825" s="3">
        <v>1.00000004749745E-3</v>
      </c>
      <c r="AB1825" t="s">
        <v>12874</v>
      </c>
      <c r="AC1825" t="s">
        <v>4562</v>
      </c>
      <c r="AD1825" t="s">
        <v>12875</v>
      </c>
      <c r="AE1825" t="s">
        <v>4655</v>
      </c>
      <c r="AF1825" t="s">
        <v>4563</v>
      </c>
      <c r="AG1825" t="s">
        <v>4564</v>
      </c>
      <c r="AH1825">
        <v>89509</v>
      </c>
      <c r="AI1825" t="s">
        <v>12876</v>
      </c>
      <c r="AJ1825" t="s">
        <v>4655</v>
      </c>
      <c r="AK1825" t="s">
        <v>12877</v>
      </c>
      <c r="AL1825" s="13" t="s">
        <v>2257</v>
      </c>
      <c r="AM1825" s="14">
        <v>1</v>
      </c>
      <c r="AN1825" s="15" t="s">
        <v>1183</v>
      </c>
    </row>
    <row r="1826" spans="1:40" x14ac:dyDescent="0.3">
      <c r="A1826" s="10" t="str">
        <f>HYPERLINK("http://www.washoecounty.gov/assessor/cama/?parid=025-220-01&amp;CardNumber=1","025-220-01")</f>
        <v>025-220-01</v>
      </c>
      <c r="B1826" t="s">
        <v>4655</v>
      </c>
      <c r="C1826" t="s">
        <v>12878</v>
      </c>
      <c r="D1826" s="1">
        <v>40312</v>
      </c>
      <c r="E1826" s="2">
        <v>50600</v>
      </c>
      <c r="F1826" t="s">
        <v>4553</v>
      </c>
      <c r="G1826" s="17" t="str">
        <f>HYPERLINK("https://www.washoecounty.gov/assessor/cama/?command=sales&amp;parid=02522001","3881752")</f>
        <v>3881752</v>
      </c>
      <c r="H1826" t="s">
        <v>2494</v>
      </c>
      <c r="I1826">
        <v>1965</v>
      </c>
      <c r="J1826">
        <v>1965</v>
      </c>
      <c r="K1826" t="s">
        <v>4897</v>
      </c>
      <c r="L1826" t="s">
        <v>3974</v>
      </c>
      <c r="M1826" s="2">
        <v>1220</v>
      </c>
      <c r="N1826" t="s">
        <v>4048</v>
      </c>
      <c r="O1826">
        <v>2</v>
      </c>
      <c r="P1826">
        <v>1</v>
      </c>
      <c r="Q1826">
        <v>1</v>
      </c>
      <c r="R1826" t="s">
        <v>4557</v>
      </c>
      <c r="S1826" t="s">
        <v>4574</v>
      </c>
      <c r="T1826" t="s">
        <v>4559</v>
      </c>
      <c r="U1826" t="s">
        <v>4655</v>
      </c>
      <c r="V1826" s="2">
        <v>0</v>
      </c>
      <c r="W1826" t="s">
        <v>4655</v>
      </c>
      <c r="X1826" s="2">
        <v>0</v>
      </c>
      <c r="Y1826">
        <v>21</v>
      </c>
      <c r="Z1826" t="s">
        <v>3532</v>
      </c>
      <c r="AA1826" s="3">
        <v>1.00000004749745E-3</v>
      </c>
      <c r="AB1826" t="s">
        <v>12879</v>
      </c>
      <c r="AC1826" t="s">
        <v>4575</v>
      </c>
      <c r="AD1826" t="s">
        <v>12878</v>
      </c>
      <c r="AE1826" t="s">
        <v>4655</v>
      </c>
      <c r="AF1826" t="s">
        <v>4563</v>
      </c>
      <c r="AG1826" t="s">
        <v>4564</v>
      </c>
      <c r="AH1826">
        <v>89502</v>
      </c>
      <c r="AI1826" t="s">
        <v>4848</v>
      </c>
      <c r="AJ1826" t="s">
        <v>4655</v>
      </c>
      <c r="AK1826" t="s">
        <v>12880</v>
      </c>
      <c r="AL1826" s="13" t="s">
        <v>2255</v>
      </c>
      <c r="AM1826" s="14">
        <v>1</v>
      </c>
      <c r="AN1826" s="15" t="s">
        <v>787</v>
      </c>
    </row>
    <row r="1827" spans="1:40" x14ac:dyDescent="0.3">
      <c r="A1827" s="10" t="str">
        <f>HYPERLINK("http://www.washoecounty.gov/assessor/cama/?parid=025-220-04&amp;CardNumber=1","025-220-04")</f>
        <v>025-220-04</v>
      </c>
      <c r="B1827" t="s">
        <v>4655</v>
      </c>
      <c r="C1827" t="s">
        <v>12881</v>
      </c>
      <c r="D1827" s="1">
        <v>40512</v>
      </c>
      <c r="E1827" s="2">
        <v>40000</v>
      </c>
      <c r="F1827" t="s">
        <v>4567</v>
      </c>
      <c r="G1827" s="17" t="str">
        <f>HYPERLINK("https://www.washoecounty.gov/assessor/cama/?command=sales&amp;parid=02522004","3947936")</f>
        <v>3947936</v>
      </c>
      <c r="H1827" t="s">
        <v>5408</v>
      </c>
      <c r="I1827">
        <v>1965</v>
      </c>
      <c r="J1827">
        <v>1965</v>
      </c>
      <c r="K1827" t="s">
        <v>3144</v>
      </c>
      <c r="L1827" t="s">
        <v>3974</v>
      </c>
      <c r="M1827" s="2">
        <v>1040</v>
      </c>
      <c r="N1827" t="s">
        <v>4048</v>
      </c>
      <c r="O1827">
        <v>2</v>
      </c>
      <c r="P1827">
        <v>1</v>
      </c>
      <c r="Q1827">
        <v>1</v>
      </c>
      <c r="R1827" t="s">
        <v>4557</v>
      </c>
      <c r="S1827" t="s">
        <v>4574</v>
      </c>
      <c r="T1827" t="s">
        <v>4559</v>
      </c>
      <c r="U1827" t="s">
        <v>4655</v>
      </c>
      <c r="V1827" s="2">
        <v>0</v>
      </c>
      <c r="W1827" t="s">
        <v>4655</v>
      </c>
      <c r="X1827" s="2">
        <v>0</v>
      </c>
      <c r="Y1827">
        <v>21</v>
      </c>
      <c r="Z1827" t="s">
        <v>3532</v>
      </c>
      <c r="AA1827" s="3">
        <v>1.00000004749745E-3</v>
      </c>
      <c r="AB1827" t="s">
        <v>12882</v>
      </c>
      <c r="AC1827" t="s">
        <v>4562</v>
      </c>
      <c r="AD1827" t="s">
        <v>12883</v>
      </c>
      <c r="AE1827" t="s">
        <v>4655</v>
      </c>
      <c r="AF1827" t="s">
        <v>4563</v>
      </c>
      <c r="AG1827" t="s">
        <v>4564</v>
      </c>
      <c r="AH1827" t="s">
        <v>5197</v>
      </c>
      <c r="AI1827" t="s">
        <v>12884</v>
      </c>
      <c r="AJ1827" t="s">
        <v>4655</v>
      </c>
      <c r="AK1827" t="s">
        <v>12885</v>
      </c>
      <c r="AL1827" s="13" t="s">
        <v>2255</v>
      </c>
      <c r="AM1827">
        <v>1</v>
      </c>
      <c r="AN1827" s="15" t="s">
        <v>787</v>
      </c>
    </row>
    <row r="1828" spans="1:40" x14ac:dyDescent="0.3">
      <c r="A1828" s="10" t="str">
        <f>HYPERLINK("http://www.washoecounty.gov/assessor/cama/?parid=025-220-14&amp;CardNumber=1","025-220-14")</f>
        <v>025-220-14</v>
      </c>
      <c r="B1828" t="s">
        <v>4655</v>
      </c>
      <c r="C1828" t="s">
        <v>12886</v>
      </c>
      <c r="D1828" s="1">
        <v>40280</v>
      </c>
      <c r="E1828" s="2">
        <v>58100</v>
      </c>
      <c r="F1828" t="s">
        <v>4553</v>
      </c>
      <c r="G1828" s="17" t="str">
        <f>HYPERLINK("https://www.washoecounty.gov/assessor/cama/?command=sales&amp;parid=02522014","3870055")</f>
        <v>3870055</v>
      </c>
      <c r="H1828" t="s">
        <v>2494</v>
      </c>
      <c r="I1828">
        <v>1965</v>
      </c>
      <c r="J1828">
        <v>1965</v>
      </c>
      <c r="K1828" t="s">
        <v>3144</v>
      </c>
      <c r="L1828" t="s">
        <v>3974</v>
      </c>
      <c r="M1828" s="2">
        <v>1220</v>
      </c>
      <c r="N1828" t="s">
        <v>4048</v>
      </c>
      <c r="O1828">
        <v>2</v>
      </c>
      <c r="P1828">
        <v>1</v>
      </c>
      <c r="Q1828">
        <v>1</v>
      </c>
      <c r="R1828" t="s">
        <v>4557</v>
      </c>
      <c r="S1828" t="s">
        <v>4574</v>
      </c>
      <c r="T1828" t="s">
        <v>4559</v>
      </c>
      <c r="U1828" t="s">
        <v>4655</v>
      </c>
      <c r="V1828" s="2">
        <v>0</v>
      </c>
      <c r="W1828" t="s">
        <v>4655</v>
      </c>
      <c r="X1828" s="2">
        <v>0</v>
      </c>
      <c r="Y1828">
        <v>21</v>
      </c>
      <c r="Z1828" t="s">
        <v>3532</v>
      </c>
      <c r="AA1828" s="3">
        <v>1.00000004749745E-3</v>
      </c>
      <c r="AB1828" t="s">
        <v>12887</v>
      </c>
      <c r="AC1828" t="s">
        <v>4562</v>
      </c>
      <c r="AD1828" t="s">
        <v>12886</v>
      </c>
      <c r="AE1828" t="s">
        <v>4655</v>
      </c>
      <c r="AF1828" t="s">
        <v>4563</v>
      </c>
      <c r="AG1828" t="s">
        <v>4564</v>
      </c>
      <c r="AH1828">
        <v>89502</v>
      </c>
      <c r="AI1828" t="s">
        <v>4655</v>
      </c>
      <c r="AJ1828" t="s">
        <v>4655</v>
      </c>
      <c r="AK1828" t="s">
        <v>12888</v>
      </c>
      <c r="AL1828" s="13" t="s">
        <v>2255</v>
      </c>
      <c r="AM1828">
        <v>1</v>
      </c>
      <c r="AN1828" s="15" t="s">
        <v>787</v>
      </c>
    </row>
    <row r="1829" spans="1:40" x14ac:dyDescent="0.3">
      <c r="A1829" s="10" t="str">
        <f>HYPERLINK("http://www.washoecounty.gov/assessor/cama/?parid=025-220-41&amp;CardNumber=1","025-220-41")</f>
        <v>025-220-41</v>
      </c>
      <c r="B1829" t="s">
        <v>4655</v>
      </c>
      <c r="C1829" t="s">
        <v>12889</v>
      </c>
      <c r="D1829" s="1">
        <v>40213</v>
      </c>
      <c r="E1829" s="2">
        <v>65500</v>
      </c>
      <c r="F1829" t="s">
        <v>4567</v>
      </c>
      <c r="G1829" s="17" t="str">
        <f>HYPERLINK("https://www.washoecounty.gov/assessor/cama/?command=sales&amp;parid=02522041","3846118")</f>
        <v>3846118</v>
      </c>
      <c r="H1829" t="s">
        <v>2494</v>
      </c>
      <c r="I1829">
        <v>1965</v>
      </c>
      <c r="J1829">
        <v>1965</v>
      </c>
      <c r="K1829" t="s">
        <v>3144</v>
      </c>
      <c r="L1829" t="s">
        <v>3974</v>
      </c>
      <c r="M1829" s="2">
        <v>1220</v>
      </c>
      <c r="N1829" t="s">
        <v>4048</v>
      </c>
      <c r="O1829">
        <v>2</v>
      </c>
      <c r="P1829">
        <v>1</v>
      </c>
      <c r="Q1829">
        <v>1</v>
      </c>
      <c r="R1829" t="s">
        <v>4557</v>
      </c>
      <c r="S1829" t="s">
        <v>4574</v>
      </c>
      <c r="T1829" t="s">
        <v>4559</v>
      </c>
      <c r="U1829" t="s">
        <v>4655</v>
      </c>
      <c r="V1829" s="2">
        <v>0</v>
      </c>
      <c r="W1829" t="s">
        <v>4655</v>
      </c>
      <c r="X1829" s="2">
        <v>0</v>
      </c>
      <c r="Y1829">
        <v>21</v>
      </c>
      <c r="Z1829" t="s">
        <v>3532</v>
      </c>
      <c r="AA1829" s="3">
        <v>1.00000004749745E-3</v>
      </c>
      <c r="AB1829" t="s">
        <v>12890</v>
      </c>
      <c r="AC1829" t="s">
        <v>4562</v>
      </c>
      <c r="AD1829" t="s">
        <v>12889</v>
      </c>
      <c r="AE1829" t="s">
        <v>4655</v>
      </c>
      <c r="AF1829" t="s">
        <v>4563</v>
      </c>
      <c r="AG1829" t="s">
        <v>4564</v>
      </c>
      <c r="AH1829">
        <v>89502</v>
      </c>
      <c r="AI1829" t="s">
        <v>12891</v>
      </c>
      <c r="AJ1829" t="s">
        <v>4655</v>
      </c>
      <c r="AK1829" t="s">
        <v>12892</v>
      </c>
      <c r="AL1829" s="13" t="s">
        <v>2255</v>
      </c>
      <c r="AM1829" s="14">
        <v>1</v>
      </c>
      <c r="AN1829" s="15" t="s">
        <v>787</v>
      </c>
    </row>
    <row r="1830" spans="1:40" x14ac:dyDescent="0.3">
      <c r="A1830" s="10" t="str">
        <f>HYPERLINK("http://www.washoecounty.gov/assessor/cama/?parid=025-220-43&amp;CardNumber=1","025-220-43")</f>
        <v>025-220-43</v>
      </c>
      <c r="B1830" t="s">
        <v>4655</v>
      </c>
      <c r="C1830" t="s">
        <v>12893</v>
      </c>
      <c r="D1830" s="1">
        <v>40331</v>
      </c>
      <c r="E1830" s="2">
        <v>75796</v>
      </c>
      <c r="F1830" t="s">
        <v>4567</v>
      </c>
      <c r="G1830" s="17" t="str">
        <f>HYPERLINK("https://www.washoecounty.gov/assessor/cama/?command=sales&amp;parid=02522043","3887693")</f>
        <v>3887693</v>
      </c>
      <c r="H1830" t="s">
        <v>2494</v>
      </c>
      <c r="I1830">
        <v>1965</v>
      </c>
      <c r="J1830">
        <v>1965</v>
      </c>
      <c r="K1830" t="s">
        <v>3144</v>
      </c>
      <c r="L1830" t="s">
        <v>3974</v>
      </c>
      <c r="M1830" s="2">
        <v>1040</v>
      </c>
      <c r="N1830" t="s">
        <v>4048</v>
      </c>
      <c r="O1830">
        <v>2</v>
      </c>
      <c r="P1830">
        <v>1</v>
      </c>
      <c r="Q1830">
        <v>1</v>
      </c>
      <c r="R1830" t="s">
        <v>4557</v>
      </c>
      <c r="S1830" t="s">
        <v>4574</v>
      </c>
      <c r="T1830" t="s">
        <v>4559</v>
      </c>
      <c r="U1830" t="s">
        <v>4655</v>
      </c>
      <c r="V1830" s="2">
        <v>0</v>
      </c>
      <c r="W1830" t="s">
        <v>4655</v>
      </c>
      <c r="X1830" s="2">
        <v>0</v>
      </c>
      <c r="Y1830">
        <v>21</v>
      </c>
      <c r="Z1830" t="s">
        <v>3532</v>
      </c>
      <c r="AA1830" s="3">
        <v>1.00000004749745E-3</v>
      </c>
      <c r="AB1830" t="s">
        <v>12894</v>
      </c>
      <c r="AC1830" t="s">
        <v>4562</v>
      </c>
      <c r="AD1830" t="s">
        <v>4356</v>
      </c>
      <c r="AE1830" t="s">
        <v>4655</v>
      </c>
      <c r="AF1830" t="s">
        <v>4563</v>
      </c>
      <c r="AG1830" t="s">
        <v>4564</v>
      </c>
      <c r="AH1830">
        <v>89509</v>
      </c>
      <c r="AI1830" t="s">
        <v>12895</v>
      </c>
      <c r="AJ1830" t="s">
        <v>4655</v>
      </c>
      <c r="AK1830" t="s">
        <v>12896</v>
      </c>
      <c r="AL1830" s="13" t="s">
        <v>2255</v>
      </c>
      <c r="AM1830" s="14">
        <v>1</v>
      </c>
      <c r="AN1830" s="15" t="s">
        <v>787</v>
      </c>
    </row>
    <row r="1831" spans="1:40" x14ac:dyDescent="0.3">
      <c r="A1831" s="10" t="str">
        <f>HYPERLINK("http://www.washoecounty.gov/assessor/cama/?parid=025-220-53&amp;CardNumber=1","025-220-53")</f>
        <v>025-220-53</v>
      </c>
      <c r="B1831" t="s">
        <v>4655</v>
      </c>
      <c r="C1831" t="s">
        <v>12897</v>
      </c>
      <c r="D1831" s="1">
        <v>40213</v>
      </c>
      <c r="E1831" s="2">
        <v>60000</v>
      </c>
      <c r="F1831" t="s">
        <v>4567</v>
      </c>
      <c r="G1831" s="17" t="str">
        <f>HYPERLINK("https://www.washoecounty.gov/assessor/cama/?command=sales&amp;parid=02522053","3846248")</f>
        <v>3846248</v>
      </c>
      <c r="H1831" t="s">
        <v>2494</v>
      </c>
      <c r="I1831">
        <v>1965</v>
      </c>
      <c r="J1831">
        <v>1965</v>
      </c>
      <c r="K1831" t="s">
        <v>3144</v>
      </c>
      <c r="L1831" t="s">
        <v>3974</v>
      </c>
      <c r="M1831" s="2">
        <v>1220</v>
      </c>
      <c r="N1831" t="s">
        <v>4048</v>
      </c>
      <c r="O1831">
        <v>2</v>
      </c>
      <c r="P1831">
        <v>1</v>
      </c>
      <c r="Q1831">
        <v>1</v>
      </c>
      <c r="R1831" t="s">
        <v>4557</v>
      </c>
      <c r="S1831" t="s">
        <v>4574</v>
      </c>
      <c r="T1831" t="s">
        <v>4559</v>
      </c>
      <c r="U1831" t="s">
        <v>4655</v>
      </c>
      <c r="V1831" s="2">
        <v>0</v>
      </c>
      <c r="W1831" t="s">
        <v>4655</v>
      </c>
      <c r="X1831" s="2">
        <v>0</v>
      </c>
      <c r="Y1831">
        <v>21</v>
      </c>
      <c r="Z1831" t="s">
        <v>3532</v>
      </c>
      <c r="AA1831" s="3">
        <v>1.00000004749745E-3</v>
      </c>
      <c r="AB1831" t="s">
        <v>12898</v>
      </c>
      <c r="AC1831" t="s">
        <v>4575</v>
      </c>
      <c r="AD1831" t="s">
        <v>12899</v>
      </c>
      <c r="AE1831" t="s">
        <v>4655</v>
      </c>
      <c r="AF1831" t="s">
        <v>4563</v>
      </c>
      <c r="AG1831" t="s">
        <v>4564</v>
      </c>
      <c r="AH1831">
        <v>89502</v>
      </c>
      <c r="AI1831" t="s">
        <v>12900</v>
      </c>
      <c r="AJ1831" t="s">
        <v>4655</v>
      </c>
      <c r="AK1831" t="s">
        <v>12901</v>
      </c>
      <c r="AL1831" s="13" t="s">
        <v>2255</v>
      </c>
      <c r="AM1831" s="14">
        <v>1</v>
      </c>
      <c r="AN1831" s="15" t="s">
        <v>787</v>
      </c>
    </row>
    <row r="1832" spans="1:40" x14ac:dyDescent="0.3">
      <c r="A1832" s="10" t="str">
        <f>HYPERLINK("http://www.washoecounty.gov/assessor/cama/?parid=025-230-09&amp;CardNumber=1","025-230-09")</f>
        <v>025-230-09</v>
      </c>
      <c r="B1832" t="s">
        <v>4655</v>
      </c>
      <c r="C1832" t="s">
        <v>12902</v>
      </c>
      <c r="D1832" s="1">
        <v>40310</v>
      </c>
      <c r="E1832" s="2">
        <v>63000</v>
      </c>
      <c r="F1832" t="s">
        <v>4553</v>
      </c>
      <c r="G1832" s="17" t="str">
        <f>HYPERLINK("https://www.washoecounty.gov/assessor/cama/?command=sales&amp;parid=02523009","3880846")</f>
        <v>3880846</v>
      </c>
      <c r="H1832" t="s">
        <v>4357</v>
      </c>
      <c r="I1832">
        <v>1965</v>
      </c>
      <c r="J1832">
        <v>1965</v>
      </c>
      <c r="K1832" t="s">
        <v>4897</v>
      </c>
      <c r="L1832" t="s">
        <v>3974</v>
      </c>
      <c r="M1832" s="2">
        <v>1220</v>
      </c>
      <c r="N1832" t="s">
        <v>4048</v>
      </c>
      <c r="O1832">
        <v>2</v>
      </c>
      <c r="P1832">
        <v>1</v>
      </c>
      <c r="Q1832">
        <v>1</v>
      </c>
      <c r="R1832" t="s">
        <v>4557</v>
      </c>
      <c r="S1832" t="s">
        <v>4574</v>
      </c>
      <c r="T1832" t="s">
        <v>4559</v>
      </c>
      <c r="U1832" t="s">
        <v>4655</v>
      </c>
      <c r="V1832" s="2">
        <v>0</v>
      </c>
      <c r="W1832" t="s">
        <v>4655</v>
      </c>
      <c r="X1832" s="2">
        <v>0</v>
      </c>
      <c r="Y1832">
        <v>21</v>
      </c>
      <c r="Z1832" t="s">
        <v>3532</v>
      </c>
      <c r="AA1832" s="3">
        <v>1.00000004749745E-3</v>
      </c>
      <c r="AB1832" t="s">
        <v>4355</v>
      </c>
      <c r="AC1832" t="s">
        <v>4562</v>
      </c>
      <c r="AD1832" t="s">
        <v>4356</v>
      </c>
      <c r="AE1832" t="s">
        <v>4655</v>
      </c>
      <c r="AF1832" t="s">
        <v>4563</v>
      </c>
      <c r="AG1832" t="s">
        <v>4564</v>
      </c>
      <c r="AH1832">
        <v>89509</v>
      </c>
      <c r="AI1832" t="s">
        <v>1081</v>
      </c>
      <c r="AJ1832" t="s">
        <v>4655</v>
      </c>
      <c r="AK1832" t="s">
        <v>12903</v>
      </c>
      <c r="AL1832" s="13" t="s">
        <v>2255</v>
      </c>
      <c r="AM1832">
        <v>1</v>
      </c>
      <c r="AN1832" s="15" t="s">
        <v>787</v>
      </c>
    </row>
    <row r="1833" spans="1:40" x14ac:dyDescent="0.3">
      <c r="A1833" s="10" t="str">
        <f>HYPERLINK("http://www.washoecounty.gov/assessor/cama/?parid=025-230-13&amp;CardNumber=1","025-230-13")</f>
        <v>025-230-13</v>
      </c>
      <c r="B1833" t="s">
        <v>4655</v>
      </c>
      <c r="C1833" t="s">
        <v>12904</v>
      </c>
      <c r="D1833" s="1">
        <v>40308</v>
      </c>
      <c r="E1833" s="2">
        <v>41000</v>
      </c>
      <c r="F1833" t="s">
        <v>4567</v>
      </c>
      <c r="G1833" s="17" t="str">
        <f>HYPERLINK("https://www.washoecounty.gov/assessor/cama/?command=sales&amp;parid=02523013","3879819")</f>
        <v>3879819</v>
      </c>
      <c r="H1833" t="s">
        <v>2494</v>
      </c>
      <c r="I1833">
        <v>1965</v>
      </c>
      <c r="J1833">
        <v>1965</v>
      </c>
      <c r="K1833" t="s">
        <v>3144</v>
      </c>
      <c r="L1833" t="s">
        <v>3974</v>
      </c>
      <c r="M1833" s="2">
        <v>1040</v>
      </c>
      <c r="N1833" t="s">
        <v>4048</v>
      </c>
      <c r="O1833">
        <v>2</v>
      </c>
      <c r="P1833">
        <v>1</v>
      </c>
      <c r="Q1833">
        <v>1</v>
      </c>
      <c r="R1833" t="s">
        <v>4557</v>
      </c>
      <c r="S1833" t="s">
        <v>4574</v>
      </c>
      <c r="T1833" t="s">
        <v>4559</v>
      </c>
      <c r="U1833" t="s">
        <v>4655</v>
      </c>
      <c r="V1833" s="2">
        <v>0</v>
      </c>
      <c r="W1833" t="s">
        <v>4655</v>
      </c>
      <c r="X1833" s="2">
        <v>0</v>
      </c>
      <c r="Y1833">
        <v>21</v>
      </c>
      <c r="Z1833" t="s">
        <v>3532</v>
      </c>
      <c r="AA1833" s="3">
        <v>1.00000004749745E-3</v>
      </c>
      <c r="AB1833" t="s">
        <v>12905</v>
      </c>
      <c r="AC1833" t="s">
        <v>4575</v>
      </c>
      <c r="AD1833" t="s">
        <v>12732</v>
      </c>
      <c r="AE1833" t="s">
        <v>4655</v>
      </c>
      <c r="AF1833" t="s">
        <v>4563</v>
      </c>
      <c r="AG1833" t="s">
        <v>4564</v>
      </c>
      <c r="AH1833">
        <v>89511</v>
      </c>
      <c r="AI1833" t="s">
        <v>12906</v>
      </c>
      <c r="AJ1833" t="s">
        <v>4655</v>
      </c>
      <c r="AK1833" t="s">
        <v>12907</v>
      </c>
      <c r="AL1833" s="13" t="s">
        <v>2255</v>
      </c>
      <c r="AM1833">
        <v>1</v>
      </c>
      <c r="AN1833" s="15" t="s">
        <v>787</v>
      </c>
    </row>
    <row r="1834" spans="1:40" x14ac:dyDescent="0.3">
      <c r="A1834" s="10" t="str">
        <f>HYPERLINK("http://www.washoecounty.gov/assessor/cama/?parid=025-230-21&amp;CardNumber=1","025-230-21")</f>
        <v>025-230-21</v>
      </c>
      <c r="B1834" t="s">
        <v>4655</v>
      </c>
      <c r="C1834" t="s">
        <v>12908</v>
      </c>
      <c r="D1834" s="1">
        <v>40197</v>
      </c>
      <c r="E1834" s="2">
        <v>57000</v>
      </c>
      <c r="F1834" t="s">
        <v>4553</v>
      </c>
      <c r="G1834" s="17" t="str">
        <f>HYPERLINK("https://www.washoecounty.gov/assessor/cama/?command=sales&amp;parid=02523021","3840483")</f>
        <v>3840483</v>
      </c>
      <c r="H1834" t="s">
        <v>2494</v>
      </c>
      <c r="I1834">
        <v>1965</v>
      </c>
      <c r="J1834">
        <v>1965</v>
      </c>
      <c r="K1834" t="s">
        <v>3144</v>
      </c>
      <c r="L1834" t="s">
        <v>3974</v>
      </c>
      <c r="M1834" s="2">
        <v>1220</v>
      </c>
      <c r="N1834" t="s">
        <v>4048</v>
      </c>
      <c r="O1834">
        <v>2</v>
      </c>
      <c r="P1834">
        <v>1</v>
      </c>
      <c r="Q1834">
        <v>1</v>
      </c>
      <c r="R1834" t="s">
        <v>4557</v>
      </c>
      <c r="S1834" t="s">
        <v>4574</v>
      </c>
      <c r="T1834" t="s">
        <v>4559</v>
      </c>
      <c r="U1834" t="s">
        <v>4655</v>
      </c>
      <c r="V1834" s="2">
        <v>0</v>
      </c>
      <c r="W1834" t="s">
        <v>4655</v>
      </c>
      <c r="X1834" s="2">
        <v>0</v>
      </c>
      <c r="Y1834">
        <v>21</v>
      </c>
      <c r="Z1834" t="s">
        <v>3532</v>
      </c>
      <c r="AA1834" s="3">
        <v>1.00000004749745E-3</v>
      </c>
      <c r="AB1834" t="s">
        <v>12909</v>
      </c>
      <c r="AC1834" t="s">
        <v>4562</v>
      </c>
      <c r="AD1834" t="s">
        <v>12910</v>
      </c>
      <c r="AE1834" t="s">
        <v>12833</v>
      </c>
      <c r="AF1834" t="s">
        <v>4563</v>
      </c>
      <c r="AG1834" t="s">
        <v>4564</v>
      </c>
      <c r="AH1834">
        <v>89502</v>
      </c>
      <c r="AI1834" t="s">
        <v>1390</v>
      </c>
      <c r="AJ1834" t="s">
        <v>4655</v>
      </c>
      <c r="AK1834" t="s">
        <v>12911</v>
      </c>
      <c r="AL1834" s="13" t="s">
        <v>2255</v>
      </c>
      <c r="AM1834">
        <v>1</v>
      </c>
      <c r="AN1834" s="15" t="s">
        <v>787</v>
      </c>
    </row>
    <row r="1835" spans="1:40" x14ac:dyDescent="0.3">
      <c r="A1835" s="10" t="str">
        <f>HYPERLINK("http://www.washoecounty.gov/assessor/cama/?parid=025-230-30&amp;CardNumber=1","025-230-30")</f>
        <v>025-230-30</v>
      </c>
      <c r="B1835" t="s">
        <v>4655</v>
      </c>
      <c r="C1835" t="s">
        <v>12912</v>
      </c>
      <c r="D1835" s="1">
        <v>40388</v>
      </c>
      <c r="E1835" s="2">
        <v>44100</v>
      </c>
      <c r="F1835" t="s">
        <v>4553</v>
      </c>
      <c r="G1835" s="17" t="str">
        <f>HYPERLINK("https://www.washoecounty.gov/assessor/cama/?command=sales&amp;parid=02523030","3906650")</f>
        <v>3906650</v>
      </c>
      <c r="H1835" t="s">
        <v>4357</v>
      </c>
      <c r="I1835">
        <v>1965</v>
      </c>
      <c r="J1835">
        <v>1965</v>
      </c>
      <c r="K1835" t="s">
        <v>4897</v>
      </c>
      <c r="L1835" t="s">
        <v>3974</v>
      </c>
      <c r="M1835" s="2">
        <v>1220</v>
      </c>
      <c r="N1835" t="s">
        <v>4048</v>
      </c>
      <c r="O1835">
        <v>2</v>
      </c>
      <c r="P1835">
        <v>1</v>
      </c>
      <c r="Q1835">
        <v>1</v>
      </c>
      <c r="R1835" t="s">
        <v>4557</v>
      </c>
      <c r="S1835" t="s">
        <v>4574</v>
      </c>
      <c r="T1835" t="s">
        <v>4559</v>
      </c>
      <c r="U1835" t="s">
        <v>4655</v>
      </c>
      <c r="V1835" s="2">
        <v>0</v>
      </c>
      <c r="W1835" t="s">
        <v>4655</v>
      </c>
      <c r="X1835" s="2">
        <v>0</v>
      </c>
      <c r="Y1835">
        <v>21</v>
      </c>
      <c r="Z1835" t="s">
        <v>3532</v>
      </c>
      <c r="AA1835" s="3">
        <v>1.00000004749745E-3</v>
      </c>
      <c r="AB1835" t="s">
        <v>1135</v>
      </c>
      <c r="AC1835" t="s">
        <v>4575</v>
      </c>
      <c r="AD1835" t="s">
        <v>12592</v>
      </c>
      <c r="AE1835" t="s">
        <v>2389</v>
      </c>
      <c r="AF1835" t="s">
        <v>4563</v>
      </c>
      <c r="AG1835" t="s">
        <v>4564</v>
      </c>
      <c r="AH1835" t="s">
        <v>2330</v>
      </c>
      <c r="AI1835" t="s">
        <v>4585</v>
      </c>
      <c r="AJ1835" t="s">
        <v>4655</v>
      </c>
      <c r="AK1835" t="s">
        <v>12913</v>
      </c>
      <c r="AL1835" s="13" t="s">
        <v>2255</v>
      </c>
      <c r="AM1835">
        <v>1</v>
      </c>
      <c r="AN1835" s="15" t="s">
        <v>787</v>
      </c>
    </row>
    <row r="1836" spans="1:40" x14ac:dyDescent="0.3">
      <c r="A1836" s="10" t="str">
        <f>HYPERLINK("http://www.washoecounty.gov/assessor/cama/?parid=025-230-46&amp;CardNumber=1","025-230-46")</f>
        <v>025-230-46</v>
      </c>
      <c r="B1836" t="s">
        <v>4655</v>
      </c>
      <c r="C1836" t="s">
        <v>12914</v>
      </c>
      <c r="D1836" s="1">
        <v>40346</v>
      </c>
      <c r="E1836" s="2">
        <v>45500</v>
      </c>
      <c r="F1836" t="s">
        <v>4553</v>
      </c>
      <c r="G1836" s="17" t="str">
        <f>HYPERLINK("https://www.washoecounty.gov/assessor/cama/?command=sales&amp;parid=02523046","3893003")</f>
        <v>3893003</v>
      </c>
      <c r="H1836" t="s">
        <v>2494</v>
      </c>
      <c r="I1836">
        <v>1965</v>
      </c>
      <c r="J1836">
        <v>1965</v>
      </c>
      <c r="K1836" t="s">
        <v>3144</v>
      </c>
      <c r="L1836" t="s">
        <v>3974</v>
      </c>
      <c r="M1836" s="2">
        <v>1040</v>
      </c>
      <c r="N1836" t="s">
        <v>4048</v>
      </c>
      <c r="O1836">
        <v>2</v>
      </c>
      <c r="P1836">
        <v>1</v>
      </c>
      <c r="Q1836">
        <v>1</v>
      </c>
      <c r="R1836" t="s">
        <v>4557</v>
      </c>
      <c r="S1836" t="s">
        <v>4574</v>
      </c>
      <c r="T1836" t="s">
        <v>4559</v>
      </c>
      <c r="U1836" t="s">
        <v>4655</v>
      </c>
      <c r="V1836" s="2">
        <v>0</v>
      </c>
      <c r="W1836" t="s">
        <v>4655</v>
      </c>
      <c r="X1836" s="2">
        <v>0</v>
      </c>
      <c r="Y1836">
        <v>21</v>
      </c>
      <c r="Z1836" t="s">
        <v>3532</v>
      </c>
      <c r="AA1836" s="3">
        <v>1.00000004749745E-3</v>
      </c>
      <c r="AB1836" t="s">
        <v>12915</v>
      </c>
      <c r="AC1836" t="s">
        <v>4575</v>
      </c>
      <c r="AD1836" t="s">
        <v>12916</v>
      </c>
      <c r="AE1836" t="s">
        <v>12917</v>
      </c>
      <c r="AF1836" t="s">
        <v>4563</v>
      </c>
      <c r="AG1836" t="s">
        <v>4564</v>
      </c>
      <c r="AH1836">
        <v>89502</v>
      </c>
      <c r="AI1836" t="s">
        <v>4848</v>
      </c>
      <c r="AJ1836" t="s">
        <v>4655</v>
      </c>
      <c r="AK1836" t="s">
        <v>12918</v>
      </c>
      <c r="AL1836" s="13" t="s">
        <v>2255</v>
      </c>
      <c r="AM1836" s="14">
        <v>1</v>
      </c>
      <c r="AN1836" s="15" t="s">
        <v>787</v>
      </c>
    </row>
    <row r="1837" spans="1:40" x14ac:dyDescent="0.3">
      <c r="A1837" s="10" t="str">
        <f>HYPERLINK("http://www.washoecounty.gov/assessor/cama/?parid=025-230-54&amp;CardNumber=1","025-230-54")</f>
        <v>025-230-54</v>
      </c>
      <c r="B1837" t="s">
        <v>4655</v>
      </c>
      <c r="C1837" t="s">
        <v>12919</v>
      </c>
      <c r="D1837" s="1">
        <v>40319</v>
      </c>
      <c r="E1837" s="2">
        <v>48000</v>
      </c>
      <c r="F1837" t="s">
        <v>4567</v>
      </c>
      <c r="G1837" s="17" t="str">
        <f>HYPERLINK("https://www.washoecounty.gov/assessor/cama/?command=sales&amp;parid=02523054","3883897")</f>
        <v>3883897</v>
      </c>
      <c r="H1837" t="s">
        <v>2494</v>
      </c>
      <c r="I1837">
        <v>1965</v>
      </c>
      <c r="J1837">
        <v>1965</v>
      </c>
      <c r="K1837" t="s">
        <v>4897</v>
      </c>
      <c r="L1837" t="s">
        <v>3974</v>
      </c>
      <c r="M1837" s="2">
        <v>1220</v>
      </c>
      <c r="N1837" t="s">
        <v>4048</v>
      </c>
      <c r="O1837">
        <v>2</v>
      </c>
      <c r="P1837">
        <v>1</v>
      </c>
      <c r="Q1837">
        <v>1</v>
      </c>
      <c r="R1837" t="s">
        <v>4557</v>
      </c>
      <c r="S1837" t="s">
        <v>4574</v>
      </c>
      <c r="T1837" t="s">
        <v>4559</v>
      </c>
      <c r="U1837" t="s">
        <v>4655</v>
      </c>
      <c r="V1837" s="2">
        <v>0</v>
      </c>
      <c r="W1837" t="s">
        <v>4655</v>
      </c>
      <c r="X1837" s="2">
        <v>0</v>
      </c>
      <c r="Y1837">
        <v>21</v>
      </c>
      <c r="Z1837" t="s">
        <v>3532</v>
      </c>
      <c r="AA1837" s="3">
        <v>1.00000004749745E-3</v>
      </c>
      <c r="AB1837" t="s">
        <v>12920</v>
      </c>
      <c r="AC1837" t="s">
        <v>4562</v>
      </c>
      <c r="AD1837" t="s">
        <v>12655</v>
      </c>
      <c r="AE1837" t="s">
        <v>4655</v>
      </c>
      <c r="AF1837" t="s">
        <v>4563</v>
      </c>
      <c r="AG1837" t="s">
        <v>4564</v>
      </c>
      <c r="AH1837">
        <v>89511</v>
      </c>
      <c r="AI1837" t="s">
        <v>12921</v>
      </c>
      <c r="AJ1837" t="s">
        <v>4655</v>
      </c>
      <c r="AK1837" t="s">
        <v>12922</v>
      </c>
      <c r="AL1837" s="13" t="s">
        <v>2255</v>
      </c>
      <c r="AM1837" s="14">
        <v>1</v>
      </c>
      <c r="AN1837" s="15" t="s">
        <v>787</v>
      </c>
    </row>
    <row r="1838" spans="1:40" x14ac:dyDescent="0.3">
      <c r="A1838" s="10" t="str">
        <f>HYPERLINK("http://www.washoecounty.gov/assessor/cama/?parid=025-241-10&amp;CardNumber=1","025-241-10")</f>
        <v>025-241-10</v>
      </c>
      <c r="B1838" t="s">
        <v>4655</v>
      </c>
      <c r="C1838" t="s">
        <v>12923</v>
      </c>
      <c r="D1838" s="1">
        <v>40484</v>
      </c>
      <c r="E1838" s="2">
        <v>150000</v>
      </c>
      <c r="F1838" t="s">
        <v>4567</v>
      </c>
      <c r="G1838" s="17" t="str">
        <f>HYPERLINK("https://www.washoecounty.gov/assessor/cama/?command=sales&amp;parid=02524110","3939145")</f>
        <v>3939145</v>
      </c>
      <c r="H1838" t="s">
        <v>12924</v>
      </c>
      <c r="I1838">
        <v>1960</v>
      </c>
      <c r="J1838">
        <v>1968</v>
      </c>
      <c r="K1838" t="s">
        <v>4554</v>
      </c>
      <c r="L1838" t="s">
        <v>3974</v>
      </c>
      <c r="M1838" s="2">
        <v>2938</v>
      </c>
      <c r="N1838" t="s">
        <v>4556</v>
      </c>
      <c r="O1838">
        <v>4</v>
      </c>
      <c r="P1838">
        <v>4</v>
      </c>
      <c r="Q1838">
        <v>0</v>
      </c>
      <c r="R1838" t="s">
        <v>4557</v>
      </c>
      <c r="S1838" t="s">
        <v>4898</v>
      </c>
      <c r="T1838" t="s">
        <v>4559</v>
      </c>
      <c r="U1838" t="s">
        <v>4560</v>
      </c>
      <c r="V1838" s="2">
        <v>352</v>
      </c>
      <c r="W1838" t="s">
        <v>4655</v>
      </c>
      <c r="X1838" s="2">
        <v>0</v>
      </c>
      <c r="Y1838">
        <v>20</v>
      </c>
      <c r="Z1838" t="s">
        <v>3532</v>
      </c>
      <c r="AA1838" s="3">
        <v>0.90599173307418801</v>
      </c>
      <c r="AB1838" t="s">
        <v>12925</v>
      </c>
      <c r="AC1838" t="s">
        <v>4575</v>
      </c>
      <c r="AD1838" t="s">
        <v>12923</v>
      </c>
      <c r="AE1838" t="s">
        <v>4655</v>
      </c>
      <c r="AF1838" t="s">
        <v>4563</v>
      </c>
      <c r="AG1838" t="s">
        <v>4564</v>
      </c>
      <c r="AH1838">
        <v>89502</v>
      </c>
      <c r="AI1838" t="s">
        <v>4655</v>
      </c>
      <c r="AJ1838" t="s">
        <v>4655</v>
      </c>
      <c r="AK1838" t="s">
        <v>12926</v>
      </c>
      <c r="AL1838" s="13" t="s">
        <v>2257</v>
      </c>
      <c r="AM1838">
        <v>1</v>
      </c>
      <c r="AN1838" s="15" t="s">
        <v>12927</v>
      </c>
    </row>
    <row r="1839" spans="1:40" x14ac:dyDescent="0.3">
      <c r="A1839" s="10" t="str">
        <f>HYPERLINK("http://www.washoecounty.gov/assessor/cama/?parid=025-251-09&amp;CardNumber=1","025-251-09")</f>
        <v>025-251-09</v>
      </c>
      <c r="B1839" t="s">
        <v>4655</v>
      </c>
      <c r="C1839" t="s">
        <v>12928</v>
      </c>
      <c r="D1839" s="1">
        <v>40255</v>
      </c>
      <c r="E1839" s="2">
        <v>57500</v>
      </c>
      <c r="F1839" t="s">
        <v>4567</v>
      </c>
      <c r="G1839" s="17" t="str">
        <f>HYPERLINK("https://www.washoecounty.gov/assessor/cama/?command=sales&amp;parid=02525109","3861301")</f>
        <v>3861301</v>
      </c>
      <c r="H1839" t="s">
        <v>12929</v>
      </c>
      <c r="I1839">
        <v>1982</v>
      </c>
      <c r="J1839">
        <v>1982</v>
      </c>
      <c r="K1839" t="s">
        <v>1243</v>
      </c>
      <c r="L1839" t="s">
        <v>4655</v>
      </c>
      <c r="M1839" s="2">
        <v>0</v>
      </c>
      <c r="N1839" t="s">
        <v>4655</v>
      </c>
      <c r="O1839">
        <v>0</v>
      </c>
      <c r="P1839">
        <v>0</v>
      </c>
      <c r="Q1839">
        <v>0</v>
      </c>
      <c r="R1839" t="s">
        <v>4655</v>
      </c>
      <c r="S1839" t="s">
        <v>4655</v>
      </c>
      <c r="T1839" t="s">
        <v>4655</v>
      </c>
      <c r="U1839" t="s">
        <v>4655</v>
      </c>
      <c r="V1839" s="2">
        <v>0</v>
      </c>
      <c r="W1839" t="s">
        <v>4655</v>
      </c>
      <c r="X1839" s="2">
        <v>0</v>
      </c>
      <c r="Y1839">
        <v>23</v>
      </c>
      <c r="Z1839" t="s">
        <v>3532</v>
      </c>
      <c r="AA1839" s="3">
        <v>0.33000460267067</v>
      </c>
      <c r="AB1839" t="s">
        <v>12930</v>
      </c>
      <c r="AC1839" t="s">
        <v>4575</v>
      </c>
      <c r="AD1839" t="s">
        <v>12931</v>
      </c>
      <c r="AE1839" t="s">
        <v>4655</v>
      </c>
      <c r="AF1839" t="s">
        <v>4563</v>
      </c>
      <c r="AG1839" t="s">
        <v>4564</v>
      </c>
      <c r="AH1839">
        <v>89509</v>
      </c>
      <c r="AI1839" t="s">
        <v>12932</v>
      </c>
      <c r="AJ1839" t="s">
        <v>4655</v>
      </c>
      <c r="AK1839" t="s">
        <v>12933</v>
      </c>
      <c r="AL1839" s="13" t="s">
        <v>2257</v>
      </c>
      <c r="AM1839">
        <v>1</v>
      </c>
      <c r="AN1839" s="15" t="s">
        <v>12927</v>
      </c>
    </row>
    <row r="1840" spans="1:40" x14ac:dyDescent="0.3">
      <c r="A1840" s="10" t="str">
        <f>HYPERLINK("http://www.washoecounty.gov/assessor/cama/?parid=025-330-03&amp;CardNumber=1","025-330-03")</f>
        <v>025-330-03</v>
      </c>
      <c r="B1840" t="s">
        <v>5502</v>
      </c>
      <c r="C1840" t="s">
        <v>12934</v>
      </c>
      <c r="D1840" s="1">
        <v>40213</v>
      </c>
      <c r="E1840" s="2">
        <v>400000</v>
      </c>
      <c r="F1840" t="s">
        <v>2900</v>
      </c>
      <c r="G1840" s="17" t="str">
        <f>HYPERLINK("https://www.washoecounty.gov/assessor/cama/?command=sales&amp;parid=02533003","3846131")</f>
        <v>3846131</v>
      </c>
      <c r="H1840" t="s">
        <v>12935</v>
      </c>
      <c r="I1840">
        <v>1951</v>
      </c>
      <c r="J1840">
        <v>1954</v>
      </c>
      <c r="K1840" t="s">
        <v>1391</v>
      </c>
      <c r="L1840" t="s">
        <v>4555</v>
      </c>
      <c r="M1840" s="2">
        <v>2259</v>
      </c>
      <c r="N1840" t="s">
        <v>4556</v>
      </c>
      <c r="O1840">
        <v>4</v>
      </c>
      <c r="P1840">
        <v>2</v>
      </c>
      <c r="Q1840">
        <v>0</v>
      </c>
      <c r="R1840" t="s">
        <v>4557</v>
      </c>
      <c r="S1840" t="s">
        <v>364</v>
      </c>
      <c r="T1840" t="s">
        <v>4559</v>
      </c>
      <c r="U1840" t="s">
        <v>4655</v>
      </c>
      <c r="V1840" s="2">
        <v>0</v>
      </c>
      <c r="W1840" t="s">
        <v>4655</v>
      </c>
      <c r="X1840" s="2">
        <v>0</v>
      </c>
      <c r="Y1840">
        <v>43</v>
      </c>
      <c r="Z1840" t="s">
        <v>4900</v>
      </c>
      <c r="AA1840" s="3">
        <v>0.51000916957855202</v>
      </c>
      <c r="AB1840" t="s">
        <v>12936</v>
      </c>
      <c r="AC1840" t="s">
        <v>4562</v>
      </c>
      <c r="AD1840" t="s">
        <v>12934</v>
      </c>
      <c r="AE1840" t="s">
        <v>4655</v>
      </c>
      <c r="AF1840" t="s">
        <v>4563</v>
      </c>
      <c r="AG1840" t="s">
        <v>4564</v>
      </c>
      <c r="AH1840">
        <v>89511</v>
      </c>
      <c r="AI1840" t="s">
        <v>4655</v>
      </c>
      <c r="AJ1840" t="s">
        <v>4655</v>
      </c>
      <c r="AK1840" t="s">
        <v>12935</v>
      </c>
      <c r="AL1840" s="13" t="s">
        <v>2257</v>
      </c>
      <c r="AM1840">
        <v>22</v>
      </c>
      <c r="AN1840" s="15" t="s">
        <v>3534</v>
      </c>
    </row>
    <row r="1841" spans="1:40" x14ac:dyDescent="0.3">
      <c r="A1841" s="10" t="str">
        <f>HYPERLINK("http://www.washoecounty.gov/assessor/cama/?parid=025-330-16&amp;CardNumber=1","025-330-16")</f>
        <v>025-330-16</v>
      </c>
      <c r="B1841" t="s">
        <v>4655</v>
      </c>
      <c r="C1841" t="s">
        <v>320</v>
      </c>
      <c r="D1841" s="1">
        <v>40213</v>
      </c>
      <c r="E1841" s="2">
        <v>400000</v>
      </c>
      <c r="F1841" t="s">
        <v>2900</v>
      </c>
      <c r="G1841" s="17" t="str">
        <f>HYPERLINK("https://www.washoecounty.gov/assessor/cama/?command=sales&amp;parid=02533016","3846131")</f>
        <v>3846131</v>
      </c>
      <c r="H1841" t="s">
        <v>12937</v>
      </c>
      <c r="I1841">
        <v>0</v>
      </c>
      <c r="J1841">
        <v>0</v>
      </c>
      <c r="K1841" t="s">
        <v>4655</v>
      </c>
      <c r="L1841" t="s">
        <v>4655</v>
      </c>
      <c r="M1841" s="2">
        <v>0</v>
      </c>
      <c r="N1841" t="s">
        <v>4655</v>
      </c>
      <c r="O1841">
        <v>0</v>
      </c>
      <c r="P1841">
        <v>0</v>
      </c>
      <c r="Q1841">
        <v>0</v>
      </c>
      <c r="R1841" t="s">
        <v>4655</v>
      </c>
      <c r="S1841" t="s">
        <v>4655</v>
      </c>
      <c r="T1841" t="s">
        <v>4655</v>
      </c>
      <c r="U1841" t="s">
        <v>4655</v>
      </c>
      <c r="V1841" s="2">
        <v>0</v>
      </c>
      <c r="W1841" t="s">
        <v>4655</v>
      </c>
      <c r="X1841" s="2">
        <v>0</v>
      </c>
      <c r="Y1841">
        <v>14</v>
      </c>
      <c r="Z1841" t="s">
        <v>4900</v>
      </c>
      <c r="AA1841" s="3">
        <v>8.0004587769508403E-2</v>
      </c>
      <c r="AB1841" t="s">
        <v>12936</v>
      </c>
      <c r="AC1841" t="s">
        <v>4562</v>
      </c>
      <c r="AD1841" t="s">
        <v>12934</v>
      </c>
      <c r="AE1841" t="s">
        <v>4655</v>
      </c>
      <c r="AF1841" t="s">
        <v>4563</v>
      </c>
      <c r="AG1841" t="s">
        <v>4564</v>
      </c>
      <c r="AH1841">
        <v>89511</v>
      </c>
      <c r="AI1841" t="s">
        <v>12938</v>
      </c>
      <c r="AJ1841" t="s">
        <v>4655</v>
      </c>
      <c r="AK1841" t="s">
        <v>12937</v>
      </c>
      <c r="AL1841" s="13" t="s">
        <v>2255</v>
      </c>
      <c r="AM1841">
        <v>0</v>
      </c>
      <c r="AN1841" s="15" t="s">
        <v>3534</v>
      </c>
    </row>
    <row r="1842" spans="1:40" x14ac:dyDescent="0.3">
      <c r="A1842" s="10" t="str">
        <f>HYPERLINK("http://www.washoecounty.gov/assessor/cama/?parid=025-470-70&amp;CardNumber=1","025-470-70")</f>
        <v>025-470-70</v>
      </c>
      <c r="B1842" t="s">
        <v>4655</v>
      </c>
      <c r="C1842" t="s">
        <v>5720</v>
      </c>
      <c r="D1842" s="1">
        <v>40485</v>
      </c>
      <c r="E1842" s="2">
        <v>1282707</v>
      </c>
      <c r="F1842" t="s">
        <v>3528</v>
      </c>
      <c r="G1842" s="17" t="str">
        <f>HYPERLINK("https://www.washoecounty.gov/assessor/cama/?command=sales&amp;parid=02547070","3939575")</f>
        <v>3939575</v>
      </c>
      <c r="H1842" t="s">
        <v>12939</v>
      </c>
      <c r="I1842">
        <v>2010</v>
      </c>
      <c r="J1842">
        <v>2010</v>
      </c>
      <c r="K1842" t="s">
        <v>12940</v>
      </c>
      <c r="L1842" t="s">
        <v>1366</v>
      </c>
      <c r="M1842" s="2">
        <v>19264</v>
      </c>
      <c r="N1842" t="s">
        <v>4580</v>
      </c>
      <c r="O1842">
        <v>0</v>
      </c>
      <c r="P1842">
        <v>0</v>
      </c>
      <c r="Q1842">
        <v>0</v>
      </c>
      <c r="R1842" t="s">
        <v>2861</v>
      </c>
      <c r="S1842" t="s">
        <v>1819</v>
      </c>
      <c r="T1842" t="s">
        <v>4655</v>
      </c>
      <c r="U1842" t="s">
        <v>4655</v>
      </c>
      <c r="V1842" s="2">
        <v>0</v>
      </c>
      <c r="W1842" t="s">
        <v>4655</v>
      </c>
      <c r="X1842" s="2">
        <v>0</v>
      </c>
      <c r="Y1842">
        <v>50</v>
      </c>
      <c r="Z1842" t="s">
        <v>1397</v>
      </c>
      <c r="AA1842" s="3">
        <v>2.04099988937377</v>
      </c>
      <c r="AB1842" t="s">
        <v>12941</v>
      </c>
      <c r="AC1842" t="s">
        <v>4562</v>
      </c>
      <c r="AD1842" t="s">
        <v>12942</v>
      </c>
      <c r="AE1842" t="s">
        <v>4655</v>
      </c>
      <c r="AF1842" t="s">
        <v>4563</v>
      </c>
      <c r="AG1842" t="s">
        <v>4564</v>
      </c>
      <c r="AH1842">
        <v>89502</v>
      </c>
      <c r="AI1842" t="s">
        <v>12943</v>
      </c>
      <c r="AJ1842" t="s">
        <v>12944</v>
      </c>
      <c r="AK1842" t="s">
        <v>12945</v>
      </c>
      <c r="AL1842" s="13" t="s">
        <v>2257</v>
      </c>
      <c r="AM1842">
        <v>1</v>
      </c>
      <c r="AN1842" s="15" t="s">
        <v>3534</v>
      </c>
    </row>
    <row r="1843" spans="1:40" x14ac:dyDescent="0.3">
      <c r="A1843" s="10" t="str">
        <f>HYPERLINK("http://www.washoecounty.gov/assessor/cama/?parid=025-470-70&amp;CardNumber=1","025-470-70")</f>
        <v>025-470-70</v>
      </c>
      <c r="B1843" t="s">
        <v>4655</v>
      </c>
      <c r="C1843" t="s">
        <v>5720</v>
      </c>
      <c r="D1843" s="1">
        <v>40485</v>
      </c>
      <c r="E1843" s="2">
        <v>5682707</v>
      </c>
      <c r="F1843" t="s">
        <v>3174</v>
      </c>
      <c r="G1843" s="17" t="str">
        <f>HYPERLINK("https://www.washoecounty.gov/assessor/cama/?command=sales&amp;parid=02547070","3939446")</f>
        <v>3939446</v>
      </c>
      <c r="H1843" t="s">
        <v>12939</v>
      </c>
      <c r="I1843">
        <v>2010</v>
      </c>
      <c r="J1843">
        <v>2010</v>
      </c>
      <c r="K1843" t="s">
        <v>12940</v>
      </c>
      <c r="L1843" t="s">
        <v>1366</v>
      </c>
      <c r="M1843" s="2">
        <v>19264</v>
      </c>
      <c r="N1843" t="s">
        <v>4580</v>
      </c>
      <c r="O1843">
        <v>0</v>
      </c>
      <c r="P1843">
        <v>0</v>
      </c>
      <c r="Q1843">
        <v>0</v>
      </c>
      <c r="R1843" t="s">
        <v>2861</v>
      </c>
      <c r="S1843" t="s">
        <v>1819</v>
      </c>
      <c r="T1843" t="s">
        <v>4655</v>
      </c>
      <c r="U1843" t="s">
        <v>4655</v>
      </c>
      <c r="V1843" s="2">
        <v>0</v>
      </c>
      <c r="W1843" t="s">
        <v>4655</v>
      </c>
      <c r="X1843" s="2">
        <v>0</v>
      </c>
      <c r="Y1843">
        <v>50</v>
      </c>
      <c r="Z1843" t="s">
        <v>1397</v>
      </c>
      <c r="AA1843" s="3">
        <v>2.04099988937377</v>
      </c>
      <c r="AB1843" t="s">
        <v>12941</v>
      </c>
      <c r="AC1843" t="s">
        <v>4562</v>
      </c>
      <c r="AD1843" t="s">
        <v>12942</v>
      </c>
      <c r="AE1843" t="s">
        <v>4655</v>
      </c>
      <c r="AF1843" t="s">
        <v>4563</v>
      </c>
      <c r="AG1843" t="s">
        <v>4564</v>
      </c>
      <c r="AH1843">
        <v>89502</v>
      </c>
      <c r="AI1843" t="s">
        <v>12943</v>
      </c>
      <c r="AJ1843" t="s">
        <v>12944</v>
      </c>
      <c r="AK1843" t="s">
        <v>12945</v>
      </c>
      <c r="AL1843" s="13" t="s">
        <v>2257</v>
      </c>
      <c r="AM1843">
        <v>1</v>
      </c>
      <c r="AN1843" s="15" t="s">
        <v>3534</v>
      </c>
    </row>
    <row r="1844" spans="1:40" x14ac:dyDescent="0.3">
      <c r="A1844" s="10" t="str">
        <f>HYPERLINK("http://www.washoecounty.gov/assessor/cama/?parid=025-501-03&amp;CardNumber=1","025-501-03")</f>
        <v>025-501-03</v>
      </c>
      <c r="B1844" t="s">
        <v>4655</v>
      </c>
      <c r="C1844" t="s">
        <v>12946</v>
      </c>
      <c r="D1844" s="1">
        <v>40532</v>
      </c>
      <c r="E1844" s="2">
        <v>125000</v>
      </c>
      <c r="F1844" t="s">
        <v>4553</v>
      </c>
      <c r="G1844" s="17" t="str">
        <f>HYPERLINK("https://www.washoecounty.gov/assessor/cama/?command=sales&amp;parid=02550103","3955658")</f>
        <v>3955658</v>
      </c>
      <c r="H1844" t="s">
        <v>1029</v>
      </c>
      <c r="I1844">
        <v>1974</v>
      </c>
      <c r="J1844">
        <v>1974</v>
      </c>
      <c r="K1844" t="s">
        <v>4554</v>
      </c>
      <c r="L1844" t="s">
        <v>2170</v>
      </c>
      <c r="M1844" s="2">
        <v>1664</v>
      </c>
      <c r="N1844" t="s">
        <v>4048</v>
      </c>
      <c r="O1844">
        <v>3</v>
      </c>
      <c r="P1844">
        <v>2</v>
      </c>
      <c r="Q1844">
        <v>1</v>
      </c>
      <c r="R1844" t="s">
        <v>4557</v>
      </c>
      <c r="S1844" t="s">
        <v>3148</v>
      </c>
      <c r="T1844" t="s">
        <v>4559</v>
      </c>
      <c r="U1844" t="s">
        <v>4560</v>
      </c>
      <c r="V1844" s="2">
        <v>572</v>
      </c>
      <c r="W1844" t="s">
        <v>4655</v>
      </c>
      <c r="X1844" s="2">
        <v>0</v>
      </c>
      <c r="Y1844">
        <v>20</v>
      </c>
      <c r="Z1844" t="s">
        <v>3532</v>
      </c>
      <c r="AA1844" s="3">
        <v>0.14499540627002699</v>
      </c>
      <c r="AB1844" t="s">
        <v>12947</v>
      </c>
      <c r="AC1844" t="s">
        <v>4575</v>
      </c>
      <c r="AD1844" t="s">
        <v>12948</v>
      </c>
      <c r="AE1844" t="s">
        <v>4655</v>
      </c>
      <c r="AF1844" t="s">
        <v>4563</v>
      </c>
      <c r="AG1844" t="s">
        <v>4564</v>
      </c>
      <c r="AH1844">
        <v>89502</v>
      </c>
      <c r="AI1844" t="s">
        <v>4903</v>
      </c>
      <c r="AJ1844" t="s">
        <v>4655</v>
      </c>
      <c r="AK1844" t="s">
        <v>12949</v>
      </c>
      <c r="AL1844" s="13" t="s">
        <v>2255</v>
      </c>
      <c r="AM1844" s="14">
        <v>1</v>
      </c>
      <c r="AN1844" s="15" t="s">
        <v>1164</v>
      </c>
    </row>
    <row r="1845" spans="1:40" x14ac:dyDescent="0.3">
      <c r="A1845" s="10" t="str">
        <f>HYPERLINK("http://www.washoecounty.gov/assessor/cama/?parid=025-501-04&amp;CardNumber=1","025-501-04")</f>
        <v>025-501-04</v>
      </c>
      <c r="B1845" t="s">
        <v>4655</v>
      </c>
      <c r="C1845" t="s">
        <v>12950</v>
      </c>
      <c r="D1845" s="1">
        <v>40479</v>
      </c>
      <c r="E1845" s="2">
        <v>78750</v>
      </c>
      <c r="F1845" t="s">
        <v>4553</v>
      </c>
      <c r="G1845" s="17" t="str">
        <f>HYPERLINK("https://www.washoecounty.gov/assessor/cama/?command=sales&amp;parid=02550104","3937599")</f>
        <v>3937599</v>
      </c>
      <c r="H1845" t="s">
        <v>12951</v>
      </c>
      <c r="I1845">
        <v>1974</v>
      </c>
      <c r="J1845">
        <v>1974</v>
      </c>
      <c r="K1845" t="s">
        <v>4554</v>
      </c>
      <c r="L1845" t="s">
        <v>4555</v>
      </c>
      <c r="M1845" s="2">
        <v>1518</v>
      </c>
      <c r="N1845" t="s">
        <v>4048</v>
      </c>
      <c r="O1845">
        <v>4</v>
      </c>
      <c r="P1845">
        <v>2</v>
      </c>
      <c r="Q1845">
        <v>0</v>
      </c>
      <c r="R1845" t="s">
        <v>4557</v>
      </c>
      <c r="S1845" t="s">
        <v>3148</v>
      </c>
      <c r="T1845" t="s">
        <v>4143</v>
      </c>
      <c r="U1845" t="s">
        <v>4560</v>
      </c>
      <c r="V1845" s="2">
        <v>483</v>
      </c>
      <c r="W1845" t="s">
        <v>4655</v>
      </c>
      <c r="X1845" s="2">
        <v>0</v>
      </c>
      <c r="Y1845">
        <v>20</v>
      </c>
      <c r="Z1845" t="s">
        <v>3532</v>
      </c>
      <c r="AA1845" s="3">
        <v>0.14499540627002699</v>
      </c>
      <c r="AB1845" t="s">
        <v>12952</v>
      </c>
      <c r="AC1845" t="s">
        <v>4575</v>
      </c>
      <c r="AD1845" t="s">
        <v>12953</v>
      </c>
      <c r="AE1845" t="s">
        <v>4655</v>
      </c>
      <c r="AF1845" t="s">
        <v>4563</v>
      </c>
      <c r="AG1845" t="s">
        <v>4564</v>
      </c>
      <c r="AH1845">
        <v>89502</v>
      </c>
      <c r="AI1845" t="s">
        <v>4903</v>
      </c>
      <c r="AJ1845" t="s">
        <v>4655</v>
      </c>
      <c r="AK1845" t="s">
        <v>12954</v>
      </c>
      <c r="AL1845" s="13" t="s">
        <v>2255</v>
      </c>
      <c r="AM1845">
        <v>1</v>
      </c>
      <c r="AN1845" s="15" t="s">
        <v>1164</v>
      </c>
    </row>
    <row r="1846" spans="1:40" x14ac:dyDescent="0.3">
      <c r="A1846" s="10" t="str">
        <f>HYPERLINK("http://www.washoecounty.gov/assessor/cama/?parid=025-541-10&amp;CardNumber=1","025-541-10")</f>
        <v>025-541-10</v>
      </c>
      <c r="B1846" t="s">
        <v>4655</v>
      </c>
      <c r="C1846" t="s">
        <v>1698</v>
      </c>
      <c r="D1846" s="1">
        <v>40305</v>
      </c>
      <c r="E1846" s="2">
        <v>34000</v>
      </c>
      <c r="F1846" t="s">
        <v>4567</v>
      </c>
      <c r="G1846" s="17" t="str">
        <f>HYPERLINK("https://www.washoecounty.gov/assessor/cama/?command=sales&amp;parid=02554110","3879390")</f>
        <v>3879390</v>
      </c>
      <c r="H1846" t="s">
        <v>3536</v>
      </c>
      <c r="I1846">
        <v>1978</v>
      </c>
      <c r="J1846">
        <v>1978</v>
      </c>
      <c r="K1846" t="s">
        <v>3144</v>
      </c>
      <c r="L1846" t="s">
        <v>4555</v>
      </c>
      <c r="M1846" s="2">
        <v>860</v>
      </c>
      <c r="N1846" t="s">
        <v>4556</v>
      </c>
      <c r="O1846">
        <v>2</v>
      </c>
      <c r="P1846">
        <v>1</v>
      </c>
      <c r="Q1846">
        <v>0</v>
      </c>
      <c r="R1846" t="s">
        <v>5281</v>
      </c>
      <c r="S1846" t="s">
        <v>4558</v>
      </c>
      <c r="T1846" t="s">
        <v>4559</v>
      </c>
      <c r="U1846" t="s">
        <v>4655</v>
      </c>
      <c r="V1846" s="2">
        <v>0</v>
      </c>
      <c r="W1846" t="s">
        <v>4655</v>
      </c>
      <c r="X1846" s="2">
        <v>0</v>
      </c>
      <c r="Y1846">
        <v>21</v>
      </c>
      <c r="Z1846" t="s">
        <v>3532</v>
      </c>
      <c r="AA1846" s="3">
        <v>1.00000004749745E-3</v>
      </c>
      <c r="AB1846" t="s">
        <v>12955</v>
      </c>
      <c r="AC1846" t="s">
        <v>4562</v>
      </c>
      <c r="AD1846" t="s">
        <v>12956</v>
      </c>
      <c r="AE1846" t="s">
        <v>4655</v>
      </c>
      <c r="AF1846" t="s">
        <v>12957</v>
      </c>
      <c r="AG1846" t="s">
        <v>4584</v>
      </c>
      <c r="AH1846" t="s">
        <v>2485</v>
      </c>
      <c r="AI1846" t="s">
        <v>12958</v>
      </c>
      <c r="AJ1846" t="s">
        <v>4655</v>
      </c>
      <c r="AK1846" t="s">
        <v>12959</v>
      </c>
      <c r="AL1846" s="13" t="s">
        <v>2255</v>
      </c>
      <c r="AM1846">
        <v>1</v>
      </c>
      <c r="AN1846" s="15" t="s">
        <v>5198</v>
      </c>
    </row>
    <row r="1847" spans="1:40" x14ac:dyDescent="0.3">
      <c r="A1847" s="10" t="str">
        <f>HYPERLINK("http://www.washoecounty.gov/assessor/cama/?parid=025-541-16&amp;CardNumber=1","025-541-16")</f>
        <v>025-541-16</v>
      </c>
      <c r="B1847" t="s">
        <v>4655</v>
      </c>
      <c r="C1847" t="s">
        <v>1698</v>
      </c>
      <c r="D1847" s="1">
        <v>40302</v>
      </c>
      <c r="E1847" s="2">
        <v>40000</v>
      </c>
      <c r="F1847" t="s">
        <v>4567</v>
      </c>
      <c r="G1847" s="17" t="str">
        <f>HYPERLINK("https://www.washoecounty.gov/assessor/cama/?command=sales&amp;parid=02554116","3877925")</f>
        <v>3877925</v>
      </c>
      <c r="H1847" t="s">
        <v>3536</v>
      </c>
      <c r="I1847">
        <v>1978</v>
      </c>
      <c r="J1847">
        <v>1978</v>
      </c>
      <c r="K1847" t="s">
        <v>4897</v>
      </c>
      <c r="L1847" t="s">
        <v>4555</v>
      </c>
      <c r="M1847" s="2">
        <v>644</v>
      </c>
      <c r="N1847" t="s">
        <v>4556</v>
      </c>
      <c r="O1847">
        <v>1</v>
      </c>
      <c r="P1847">
        <v>1</v>
      </c>
      <c r="Q1847">
        <v>0</v>
      </c>
      <c r="R1847" t="s">
        <v>5281</v>
      </c>
      <c r="S1847" t="s">
        <v>4558</v>
      </c>
      <c r="T1847" t="s">
        <v>4559</v>
      </c>
      <c r="U1847" t="s">
        <v>4655</v>
      </c>
      <c r="V1847" s="2">
        <v>0</v>
      </c>
      <c r="W1847" t="s">
        <v>4655</v>
      </c>
      <c r="X1847" s="2">
        <v>0</v>
      </c>
      <c r="Y1847">
        <v>21</v>
      </c>
      <c r="Z1847" t="s">
        <v>3532</v>
      </c>
      <c r="AA1847" s="3">
        <v>1.00000004749745E-3</v>
      </c>
      <c r="AB1847" t="s">
        <v>12955</v>
      </c>
      <c r="AC1847" t="s">
        <v>4562</v>
      </c>
      <c r="AD1847" t="s">
        <v>12956</v>
      </c>
      <c r="AE1847" t="s">
        <v>4655</v>
      </c>
      <c r="AF1847" t="s">
        <v>12957</v>
      </c>
      <c r="AG1847" t="s">
        <v>4584</v>
      </c>
      <c r="AH1847" t="s">
        <v>2485</v>
      </c>
      <c r="AI1847" t="s">
        <v>12958</v>
      </c>
      <c r="AJ1847" t="s">
        <v>4655</v>
      </c>
      <c r="AK1847" t="s">
        <v>12960</v>
      </c>
      <c r="AL1847" s="13" t="s">
        <v>2255</v>
      </c>
      <c r="AM1847">
        <v>1</v>
      </c>
      <c r="AN1847" s="15" t="s">
        <v>5198</v>
      </c>
    </row>
    <row r="1848" spans="1:40" x14ac:dyDescent="0.3">
      <c r="A1848" s="10" t="str">
        <f>HYPERLINK("http://www.washoecounty.gov/assessor/cama/?parid=025-541-16&amp;CardNumber=1","025-541-16")</f>
        <v>025-541-16</v>
      </c>
      <c r="B1848" t="s">
        <v>4655</v>
      </c>
      <c r="C1848" t="s">
        <v>1698</v>
      </c>
      <c r="D1848" s="1">
        <v>40305</v>
      </c>
      <c r="E1848" s="2">
        <v>25000</v>
      </c>
      <c r="F1848" t="s">
        <v>4567</v>
      </c>
      <c r="G1848" s="17" t="str">
        <f>HYPERLINK("https://www.washoecounty.gov/assessor/cama/?command=sales&amp;parid=02554116","3879397")</f>
        <v>3879397</v>
      </c>
      <c r="H1848" t="s">
        <v>3536</v>
      </c>
      <c r="I1848">
        <v>1978</v>
      </c>
      <c r="J1848">
        <v>1978</v>
      </c>
      <c r="K1848" t="s">
        <v>4897</v>
      </c>
      <c r="L1848" t="s">
        <v>4555</v>
      </c>
      <c r="M1848" s="2">
        <v>644</v>
      </c>
      <c r="N1848" t="s">
        <v>4556</v>
      </c>
      <c r="O1848">
        <v>1</v>
      </c>
      <c r="P1848">
        <v>1</v>
      </c>
      <c r="Q1848">
        <v>0</v>
      </c>
      <c r="R1848" t="s">
        <v>5281</v>
      </c>
      <c r="S1848" t="s">
        <v>4558</v>
      </c>
      <c r="T1848" t="s">
        <v>4559</v>
      </c>
      <c r="U1848" t="s">
        <v>4655</v>
      </c>
      <c r="V1848" s="2">
        <v>0</v>
      </c>
      <c r="W1848" t="s">
        <v>4655</v>
      </c>
      <c r="X1848" s="2">
        <v>0</v>
      </c>
      <c r="Y1848">
        <v>21</v>
      </c>
      <c r="Z1848" t="s">
        <v>3532</v>
      </c>
      <c r="AA1848" s="3">
        <v>1.00000004749745E-3</v>
      </c>
      <c r="AB1848" t="s">
        <v>12955</v>
      </c>
      <c r="AC1848" t="s">
        <v>4562</v>
      </c>
      <c r="AD1848" t="s">
        <v>12956</v>
      </c>
      <c r="AE1848" t="s">
        <v>4655</v>
      </c>
      <c r="AF1848" t="s">
        <v>12957</v>
      </c>
      <c r="AG1848" t="s">
        <v>4584</v>
      </c>
      <c r="AH1848" t="s">
        <v>2485</v>
      </c>
      <c r="AI1848" t="s">
        <v>12958</v>
      </c>
      <c r="AJ1848" t="s">
        <v>4655</v>
      </c>
      <c r="AK1848" t="s">
        <v>12960</v>
      </c>
      <c r="AL1848" s="13" t="s">
        <v>2255</v>
      </c>
      <c r="AM1848">
        <v>1</v>
      </c>
      <c r="AN1848" s="15" t="s">
        <v>5198</v>
      </c>
    </row>
    <row r="1849" spans="1:40" x14ac:dyDescent="0.3">
      <c r="A1849" s="10" t="str">
        <f>HYPERLINK("http://www.washoecounty.gov/assessor/cama/?parid=025-541-48&amp;CardNumber=1","025-541-48")</f>
        <v>025-541-48</v>
      </c>
      <c r="B1849" t="s">
        <v>4655</v>
      </c>
      <c r="C1849" t="s">
        <v>3535</v>
      </c>
      <c r="D1849" s="1">
        <v>40183</v>
      </c>
      <c r="E1849" s="2">
        <v>24000</v>
      </c>
      <c r="F1849" t="s">
        <v>4553</v>
      </c>
      <c r="G1849" s="17" t="str">
        <f>HYPERLINK("https://www.washoecounty.gov/assessor/cama/?command=sales&amp;parid=02554148","3836407")</f>
        <v>3836407</v>
      </c>
      <c r="H1849" t="s">
        <v>3536</v>
      </c>
      <c r="I1849">
        <v>1978</v>
      </c>
      <c r="J1849">
        <v>1978</v>
      </c>
      <c r="K1849" t="s">
        <v>4897</v>
      </c>
      <c r="L1849" t="s">
        <v>4555</v>
      </c>
      <c r="M1849" s="2">
        <v>860</v>
      </c>
      <c r="N1849" t="s">
        <v>4556</v>
      </c>
      <c r="O1849">
        <v>2</v>
      </c>
      <c r="P1849">
        <v>1</v>
      </c>
      <c r="Q1849">
        <v>0</v>
      </c>
      <c r="R1849" t="s">
        <v>5281</v>
      </c>
      <c r="S1849" t="s">
        <v>4558</v>
      </c>
      <c r="T1849" t="s">
        <v>4559</v>
      </c>
      <c r="U1849" t="s">
        <v>4655</v>
      </c>
      <c r="V1849" s="2">
        <v>0</v>
      </c>
      <c r="W1849" t="s">
        <v>4655</v>
      </c>
      <c r="X1849" s="2">
        <v>0</v>
      </c>
      <c r="Y1849">
        <v>21</v>
      </c>
      <c r="Z1849" t="s">
        <v>3532</v>
      </c>
      <c r="AA1849" s="3">
        <v>1.00000004749745E-3</v>
      </c>
      <c r="AB1849" t="s">
        <v>11265</v>
      </c>
      <c r="AC1849" t="s">
        <v>4562</v>
      </c>
      <c r="AD1849" t="s">
        <v>11266</v>
      </c>
      <c r="AE1849" t="s">
        <v>4655</v>
      </c>
      <c r="AF1849" t="s">
        <v>4563</v>
      </c>
      <c r="AG1849" t="s">
        <v>4564</v>
      </c>
      <c r="AH1849" t="s">
        <v>5197</v>
      </c>
      <c r="AI1849" t="s">
        <v>4655</v>
      </c>
      <c r="AJ1849" t="s">
        <v>4655</v>
      </c>
      <c r="AK1849" t="s">
        <v>12961</v>
      </c>
      <c r="AL1849" s="13" t="s">
        <v>2255</v>
      </c>
      <c r="AM1849" s="14">
        <v>1</v>
      </c>
      <c r="AN1849" s="15" t="s">
        <v>5198</v>
      </c>
    </row>
    <row r="1850" spans="1:40" x14ac:dyDescent="0.3">
      <c r="A1850" s="10" t="str">
        <f>HYPERLINK("http://www.washoecounty.gov/assessor/cama/?parid=025-541-49&amp;CardNumber=1","025-541-49")</f>
        <v>025-541-49</v>
      </c>
      <c r="B1850" t="s">
        <v>4655</v>
      </c>
      <c r="C1850" t="s">
        <v>3535</v>
      </c>
      <c r="D1850" s="1">
        <v>40287</v>
      </c>
      <c r="E1850" s="2">
        <v>40000</v>
      </c>
      <c r="F1850" t="s">
        <v>4567</v>
      </c>
      <c r="G1850" s="17" t="str">
        <f>HYPERLINK("https://www.washoecounty.gov/assessor/cama/?command=sales&amp;parid=02554149","3872339")</f>
        <v>3872339</v>
      </c>
      <c r="H1850" t="s">
        <v>3536</v>
      </c>
      <c r="I1850">
        <v>1978</v>
      </c>
      <c r="J1850">
        <v>1978</v>
      </c>
      <c r="K1850" t="s">
        <v>4897</v>
      </c>
      <c r="L1850" t="s">
        <v>4555</v>
      </c>
      <c r="M1850" s="2">
        <v>644</v>
      </c>
      <c r="N1850" t="s">
        <v>4556</v>
      </c>
      <c r="O1850">
        <v>1</v>
      </c>
      <c r="P1850">
        <v>1</v>
      </c>
      <c r="Q1850">
        <v>0</v>
      </c>
      <c r="R1850" t="s">
        <v>5281</v>
      </c>
      <c r="S1850" t="s">
        <v>4558</v>
      </c>
      <c r="T1850" t="s">
        <v>4559</v>
      </c>
      <c r="U1850" t="s">
        <v>4655</v>
      </c>
      <c r="V1850" s="2">
        <v>0</v>
      </c>
      <c r="W1850" t="s">
        <v>4655</v>
      </c>
      <c r="X1850" s="2">
        <v>0</v>
      </c>
      <c r="Y1850">
        <v>21</v>
      </c>
      <c r="Z1850" t="s">
        <v>3532</v>
      </c>
      <c r="AA1850" s="3">
        <v>1.00000004749745E-3</v>
      </c>
      <c r="AB1850" t="s">
        <v>12962</v>
      </c>
      <c r="AC1850" t="s">
        <v>4562</v>
      </c>
      <c r="AD1850" t="s">
        <v>2239</v>
      </c>
      <c r="AE1850" t="s">
        <v>4655</v>
      </c>
      <c r="AF1850" t="s">
        <v>5206</v>
      </c>
      <c r="AG1850" t="s">
        <v>4564</v>
      </c>
      <c r="AH1850" t="s">
        <v>5275</v>
      </c>
      <c r="AI1850" t="s">
        <v>12963</v>
      </c>
      <c r="AJ1850" t="s">
        <v>4655</v>
      </c>
      <c r="AK1850" t="s">
        <v>12964</v>
      </c>
      <c r="AL1850" s="13" t="s">
        <v>2255</v>
      </c>
      <c r="AM1850">
        <v>1</v>
      </c>
      <c r="AN1850" s="15" t="s">
        <v>5198</v>
      </c>
    </row>
    <row r="1851" spans="1:40" x14ac:dyDescent="0.3">
      <c r="A1851" s="10" t="str">
        <f>HYPERLINK("http://www.washoecounty.gov/assessor/cama/?parid=025-542-17&amp;CardNumber=1","025-542-17")</f>
        <v>025-542-17</v>
      </c>
      <c r="B1851" t="s">
        <v>4655</v>
      </c>
      <c r="C1851" t="s">
        <v>1698</v>
      </c>
      <c r="D1851" s="1">
        <v>40305</v>
      </c>
      <c r="E1851" s="2">
        <v>34000</v>
      </c>
      <c r="F1851" t="s">
        <v>4567</v>
      </c>
      <c r="G1851" s="17" t="str">
        <f>HYPERLINK("https://www.washoecounty.gov/assessor/cama/?command=sales&amp;parid=02554217","3879392")</f>
        <v>3879392</v>
      </c>
      <c r="H1851" t="s">
        <v>3536</v>
      </c>
      <c r="I1851">
        <v>1978</v>
      </c>
      <c r="J1851">
        <v>1978</v>
      </c>
      <c r="K1851" t="s">
        <v>4897</v>
      </c>
      <c r="L1851" t="s">
        <v>4555</v>
      </c>
      <c r="M1851" s="2">
        <v>860</v>
      </c>
      <c r="N1851" t="s">
        <v>4556</v>
      </c>
      <c r="O1851">
        <v>2</v>
      </c>
      <c r="P1851">
        <v>1</v>
      </c>
      <c r="Q1851">
        <v>0</v>
      </c>
      <c r="R1851" t="s">
        <v>5281</v>
      </c>
      <c r="S1851" t="s">
        <v>4558</v>
      </c>
      <c r="T1851" t="s">
        <v>4559</v>
      </c>
      <c r="U1851" t="s">
        <v>4655</v>
      </c>
      <c r="V1851" s="2">
        <v>0</v>
      </c>
      <c r="W1851" t="s">
        <v>4655</v>
      </c>
      <c r="X1851" s="2">
        <v>0</v>
      </c>
      <c r="Y1851">
        <v>21</v>
      </c>
      <c r="Z1851" t="s">
        <v>3532</v>
      </c>
      <c r="AA1851" s="3">
        <v>1.00000004749745E-3</v>
      </c>
      <c r="AB1851" t="s">
        <v>12955</v>
      </c>
      <c r="AC1851" t="s">
        <v>4562</v>
      </c>
      <c r="AD1851" t="s">
        <v>12956</v>
      </c>
      <c r="AE1851" t="s">
        <v>4655</v>
      </c>
      <c r="AF1851" t="s">
        <v>12957</v>
      </c>
      <c r="AG1851" t="s">
        <v>4584</v>
      </c>
      <c r="AH1851" t="s">
        <v>2485</v>
      </c>
      <c r="AI1851" t="s">
        <v>12958</v>
      </c>
      <c r="AJ1851" t="s">
        <v>4655</v>
      </c>
      <c r="AK1851" t="s">
        <v>12965</v>
      </c>
      <c r="AL1851" s="13" t="s">
        <v>2255</v>
      </c>
      <c r="AM1851" s="14">
        <v>1</v>
      </c>
      <c r="AN1851" s="15" t="s">
        <v>5198</v>
      </c>
    </row>
    <row r="1852" spans="1:40" x14ac:dyDescent="0.3">
      <c r="A1852" s="10" t="str">
        <f>HYPERLINK("http://www.washoecounty.gov/assessor/cama/?parid=025-542-39&amp;CardNumber=1","025-542-39")</f>
        <v>025-542-39</v>
      </c>
      <c r="B1852" t="s">
        <v>4655</v>
      </c>
      <c r="C1852" t="s">
        <v>3535</v>
      </c>
      <c r="D1852" s="1">
        <v>40253</v>
      </c>
      <c r="E1852" s="2">
        <v>26000</v>
      </c>
      <c r="F1852" t="s">
        <v>4553</v>
      </c>
      <c r="G1852" s="17" t="str">
        <f>HYPERLINK("https://www.washoecounty.gov/assessor/cama/?command=sales&amp;parid=02554239","3860459")</f>
        <v>3860459</v>
      </c>
      <c r="H1852" t="s">
        <v>3536</v>
      </c>
      <c r="I1852">
        <v>1978</v>
      </c>
      <c r="J1852">
        <v>1978</v>
      </c>
      <c r="K1852" t="s">
        <v>3144</v>
      </c>
      <c r="L1852" t="s">
        <v>4555</v>
      </c>
      <c r="M1852" s="2">
        <v>860</v>
      </c>
      <c r="N1852" t="s">
        <v>4556</v>
      </c>
      <c r="O1852">
        <v>2</v>
      </c>
      <c r="P1852">
        <v>1</v>
      </c>
      <c r="Q1852">
        <v>0</v>
      </c>
      <c r="R1852" t="s">
        <v>5281</v>
      </c>
      <c r="S1852" t="s">
        <v>4558</v>
      </c>
      <c r="T1852" t="s">
        <v>4559</v>
      </c>
      <c r="U1852" t="s">
        <v>4655</v>
      </c>
      <c r="V1852" s="2">
        <v>0</v>
      </c>
      <c r="W1852" t="s">
        <v>4655</v>
      </c>
      <c r="X1852" s="2">
        <v>0</v>
      </c>
      <c r="Y1852">
        <v>21</v>
      </c>
      <c r="Z1852" t="s">
        <v>3532</v>
      </c>
      <c r="AA1852" s="3">
        <v>1.00000004749745E-3</v>
      </c>
      <c r="AB1852" t="s">
        <v>12966</v>
      </c>
      <c r="AC1852" t="s">
        <v>4575</v>
      </c>
      <c r="AD1852" t="s">
        <v>12967</v>
      </c>
      <c r="AE1852" t="s">
        <v>4655</v>
      </c>
      <c r="AF1852" t="s">
        <v>4563</v>
      </c>
      <c r="AG1852" t="s">
        <v>4564</v>
      </c>
      <c r="AH1852">
        <v>89511</v>
      </c>
      <c r="AI1852" t="s">
        <v>4655</v>
      </c>
      <c r="AJ1852" t="s">
        <v>4655</v>
      </c>
      <c r="AK1852" t="s">
        <v>12968</v>
      </c>
      <c r="AL1852" s="13" t="s">
        <v>2255</v>
      </c>
      <c r="AM1852">
        <v>1</v>
      </c>
      <c r="AN1852" s="15" t="s">
        <v>5198</v>
      </c>
    </row>
    <row r="1853" spans="1:40" x14ac:dyDescent="0.3">
      <c r="A1853" s="10" t="str">
        <f>HYPERLINK("http://www.washoecounty.gov/assessor/cama/?parid=025-542-59&amp;CardNumber=1","025-542-59")</f>
        <v>025-542-59</v>
      </c>
      <c r="B1853" t="s">
        <v>4655</v>
      </c>
      <c r="C1853" t="s">
        <v>3535</v>
      </c>
      <c r="D1853" s="1">
        <v>40235</v>
      </c>
      <c r="E1853" s="2">
        <v>15000</v>
      </c>
      <c r="F1853" t="s">
        <v>4553</v>
      </c>
      <c r="G1853" s="17" t="str">
        <f>HYPERLINK("https://www.washoecounty.gov/assessor/cama/?command=sales&amp;parid=02554259","3853443")</f>
        <v>3853443</v>
      </c>
      <c r="H1853" t="s">
        <v>3536</v>
      </c>
      <c r="I1853">
        <v>1978</v>
      </c>
      <c r="J1853">
        <v>1978</v>
      </c>
      <c r="K1853" t="s">
        <v>3144</v>
      </c>
      <c r="L1853" t="s">
        <v>4555</v>
      </c>
      <c r="M1853" s="2">
        <v>644</v>
      </c>
      <c r="N1853" t="s">
        <v>4556</v>
      </c>
      <c r="O1853">
        <v>1</v>
      </c>
      <c r="P1853">
        <v>1</v>
      </c>
      <c r="Q1853">
        <v>0</v>
      </c>
      <c r="R1853" t="s">
        <v>5281</v>
      </c>
      <c r="S1853" t="s">
        <v>4558</v>
      </c>
      <c r="T1853" t="s">
        <v>4559</v>
      </c>
      <c r="U1853" t="s">
        <v>4655</v>
      </c>
      <c r="V1853" s="2">
        <v>0</v>
      </c>
      <c r="W1853" t="s">
        <v>4655</v>
      </c>
      <c r="X1853" s="2">
        <v>0</v>
      </c>
      <c r="Y1853">
        <v>21</v>
      </c>
      <c r="Z1853" t="s">
        <v>3532</v>
      </c>
      <c r="AA1853" s="3">
        <v>1.00000004749745E-3</v>
      </c>
      <c r="AB1853" t="s">
        <v>12969</v>
      </c>
      <c r="AC1853" t="s">
        <v>4562</v>
      </c>
      <c r="AD1853" t="s">
        <v>12970</v>
      </c>
      <c r="AE1853" t="s">
        <v>4655</v>
      </c>
      <c r="AF1853" t="s">
        <v>4563</v>
      </c>
      <c r="AG1853" t="s">
        <v>4564</v>
      </c>
      <c r="AH1853">
        <v>89509</v>
      </c>
      <c r="AI1853" t="s">
        <v>4655</v>
      </c>
      <c r="AJ1853" t="s">
        <v>4655</v>
      </c>
      <c r="AK1853" t="s">
        <v>12971</v>
      </c>
      <c r="AL1853" s="13" t="s">
        <v>2255</v>
      </c>
      <c r="AM1853">
        <v>1</v>
      </c>
      <c r="AN1853" s="15" t="s">
        <v>5198</v>
      </c>
    </row>
    <row r="1854" spans="1:40" x14ac:dyDescent="0.3">
      <c r="A1854" s="10" t="str">
        <f>HYPERLINK("http://www.washoecounty.gov/assessor/cama/?parid=025-542-64&amp;CardNumber=1","025-542-64")</f>
        <v>025-542-64</v>
      </c>
      <c r="B1854" t="s">
        <v>4655</v>
      </c>
      <c r="C1854" t="s">
        <v>3535</v>
      </c>
      <c r="D1854" s="1">
        <v>40417</v>
      </c>
      <c r="E1854" s="2">
        <v>33124</v>
      </c>
      <c r="F1854" t="s">
        <v>4567</v>
      </c>
      <c r="G1854" s="17" t="str">
        <f>HYPERLINK("https://www.washoecounty.gov/assessor/cama/?command=sales&amp;parid=02554264","3916475")</f>
        <v>3916475</v>
      </c>
      <c r="H1854" t="s">
        <v>3536</v>
      </c>
      <c r="I1854">
        <v>1978</v>
      </c>
      <c r="J1854">
        <v>1978</v>
      </c>
      <c r="K1854" t="s">
        <v>4897</v>
      </c>
      <c r="L1854" t="s">
        <v>4555</v>
      </c>
      <c r="M1854" s="2">
        <v>644</v>
      </c>
      <c r="N1854" t="s">
        <v>4556</v>
      </c>
      <c r="O1854">
        <v>1</v>
      </c>
      <c r="P1854">
        <v>1</v>
      </c>
      <c r="Q1854">
        <v>0</v>
      </c>
      <c r="R1854" t="s">
        <v>5281</v>
      </c>
      <c r="S1854" t="s">
        <v>4558</v>
      </c>
      <c r="T1854" t="s">
        <v>4559</v>
      </c>
      <c r="U1854" t="s">
        <v>4655</v>
      </c>
      <c r="V1854" s="2">
        <v>0</v>
      </c>
      <c r="W1854" t="s">
        <v>4655</v>
      </c>
      <c r="X1854" s="2">
        <v>0</v>
      </c>
      <c r="Y1854">
        <v>21</v>
      </c>
      <c r="Z1854" t="s">
        <v>3532</v>
      </c>
      <c r="AA1854" s="3">
        <v>1.00000004749745E-3</v>
      </c>
      <c r="AB1854" t="s">
        <v>12972</v>
      </c>
      <c r="AC1854" t="s">
        <v>4562</v>
      </c>
      <c r="AD1854" t="s">
        <v>12973</v>
      </c>
      <c r="AE1854" t="s">
        <v>4655</v>
      </c>
      <c r="AF1854" t="s">
        <v>4563</v>
      </c>
      <c r="AG1854" t="s">
        <v>4564</v>
      </c>
      <c r="AH1854">
        <v>89505</v>
      </c>
      <c r="AI1854" t="s">
        <v>12974</v>
      </c>
      <c r="AJ1854" t="s">
        <v>4655</v>
      </c>
      <c r="AK1854" t="s">
        <v>12975</v>
      </c>
      <c r="AL1854" s="13" t="s">
        <v>2255</v>
      </c>
      <c r="AM1854">
        <v>1</v>
      </c>
      <c r="AN1854" s="15" t="s">
        <v>5198</v>
      </c>
    </row>
    <row r="1855" spans="1:40" x14ac:dyDescent="0.3">
      <c r="A1855" s="10" t="str">
        <f>HYPERLINK("http://www.washoecounty.gov/assessor/cama/?parid=025-543-19&amp;CardNumber=1","025-543-19")</f>
        <v>025-543-19</v>
      </c>
      <c r="B1855" t="s">
        <v>4655</v>
      </c>
      <c r="C1855" t="s">
        <v>15</v>
      </c>
      <c r="D1855" s="1">
        <v>40473</v>
      </c>
      <c r="E1855" s="2">
        <v>20000</v>
      </c>
      <c r="F1855" t="s">
        <v>4567</v>
      </c>
      <c r="G1855" s="17" t="str">
        <f>HYPERLINK("https://www.washoecounty.gov/assessor/cama/?command=sales&amp;parid=02554319","3935788")</f>
        <v>3935788</v>
      </c>
      <c r="H1855" t="s">
        <v>3536</v>
      </c>
      <c r="I1855">
        <v>1978</v>
      </c>
      <c r="J1855">
        <v>1978</v>
      </c>
      <c r="K1855" t="s">
        <v>3144</v>
      </c>
      <c r="L1855" t="s">
        <v>4555</v>
      </c>
      <c r="M1855" s="2">
        <v>644</v>
      </c>
      <c r="N1855" t="s">
        <v>4556</v>
      </c>
      <c r="O1855">
        <v>1</v>
      </c>
      <c r="P1855">
        <v>1</v>
      </c>
      <c r="Q1855">
        <v>0</v>
      </c>
      <c r="R1855" t="s">
        <v>5281</v>
      </c>
      <c r="S1855" t="s">
        <v>4558</v>
      </c>
      <c r="T1855" t="s">
        <v>4559</v>
      </c>
      <c r="U1855" t="s">
        <v>4655</v>
      </c>
      <c r="V1855" s="2">
        <v>0</v>
      </c>
      <c r="W1855" t="s">
        <v>4655</v>
      </c>
      <c r="X1855" s="2">
        <v>0</v>
      </c>
      <c r="Y1855">
        <v>21</v>
      </c>
      <c r="Z1855" t="s">
        <v>3532</v>
      </c>
      <c r="AA1855" s="3">
        <v>1.00000004749745E-3</v>
      </c>
      <c r="AB1855" t="s">
        <v>12976</v>
      </c>
      <c r="AC1855" t="s">
        <v>4562</v>
      </c>
      <c r="AD1855" t="s">
        <v>5051</v>
      </c>
      <c r="AE1855" t="s">
        <v>4655</v>
      </c>
      <c r="AF1855" t="s">
        <v>4563</v>
      </c>
      <c r="AG1855" t="s">
        <v>4564</v>
      </c>
      <c r="AH1855">
        <v>89510</v>
      </c>
      <c r="AI1855" t="s">
        <v>12977</v>
      </c>
      <c r="AJ1855" t="s">
        <v>4655</v>
      </c>
      <c r="AK1855" t="s">
        <v>12978</v>
      </c>
      <c r="AL1855" s="13" t="s">
        <v>2255</v>
      </c>
      <c r="AM1855">
        <v>1</v>
      </c>
      <c r="AN1855" s="15" t="s">
        <v>5198</v>
      </c>
    </row>
    <row r="1856" spans="1:40" x14ac:dyDescent="0.3">
      <c r="A1856" s="10" t="str">
        <f>HYPERLINK("http://www.washoecounty.gov/assessor/cama/?parid=025-543-27&amp;CardNumber=1","025-543-27")</f>
        <v>025-543-27</v>
      </c>
      <c r="B1856" t="s">
        <v>4655</v>
      </c>
      <c r="C1856" t="s">
        <v>4941</v>
      </c>
      <c r="D1856" s="1">
        <v>40471</v>
      </c>
      <c r="E1856" s="2">
        <v>14900</v>
      </c>
      <c r="F1856" t="s">
        <v>4553</v>
      </c>
      <c r="G1856" s="17" t="str">
        <f>HYPERLINK("https://www.washoecounty.gov/assessor/cama/?command=sales&amp;parid=02554327","3934776")</f>
        <v>3934776</v>
      </c>
      <c r="H1856" t="s">
        <v>3536</v>
      </c>
      <c r="I1856">
        <v>1978</v>
      </c>
      <c r="J1856">
        <v>1978</v>
      </c>
      <c r="K1856" t="s">
        <v>3144</v>
      </c>
      <c r="L1856" t="s">
        <v>4555</v>
      </c>
      <c r="M1856" s="2">
        <v>644</v>
      </c>
      <c r="N1856" t="s">
        <v>4556</v>
      </c>
      <c r="O1856">
        <v>1</v>
      </c>
      <c r="P1856">
        <v>1</v>
      </c>
      <c r="Q1856">
        <v>0</v>
      </c>
      <c r="R1856" t="s">
        <v>5281</v>
      </c>
      <c r="S1856" t="s">
        <v>4558</v>
      </c>
      <c r="T1856" t="s">
        <v>4559</v>
      </c>
      <c r="U1856" t="s">
        <v>4655</v>
      </c>
      <c r="V1856" s="2">
        <v>0</v>
      </c>
      <c r="W1856" t="s">
        <v>4655</v>
      </c>
      <c r="X1856" s="2">
        <v>0</v>
      </c>
      <c r="Y1856">
        <v>21</v>
      </c>
      <c r="Z1856" t="s">
        <v>3532</v>
      </c>
      <c r="AA1856" s="3">
        <v>1.00000004749745E-3</v>
      </c>
      <c r="AB1856" t="s">
        <v>12979</v>
      </c>
      <c r="AC1856" t="s">
        <v>4562</v>
      </c>
      <c r="AD1856" t="s">
        <v>12980</v>
      </c>
      <c r="AE1856" t="s">
        <v>4655</v>
      </c>
      <c r="AF1856" t="s">
        <v>4563</v>
      </c>
      <c r="AG1856" t="s">
        <v>4564</v>
      </c>
      <c r="AH1856">
        <v>89502</v>
      </c>
      <c r="AI1856" t="s">
        <v>4045</v>
      </c>
      <c r="AJ1856" t="s">
        <v>4655</v>
      </c>
      <c r="AK1856" t="s">
        <v>12981</v>
      </c>
      <c r="AL1856" s="13" t="s">
        <v>2255</v>
      </c>
      <c r="AM1856">
        <v>1</v>
      </c>
      <c r="AN1856" s="15" t="s">
        <v>5198</v>
      </c>
    </row>
    <row r="1857" spans="1:40" x14ac:dyDescent="0.3">
      <c r="A1857" s="10" t="str">
        <f>HYPERLINK("http://www.washoecounty.gov/assessor/cama/?parid=025-543-34&amp;CardNumber=1","025-543-34")</f>
        <v>025-543-34</v>
      </c>
      <c r="B1857" t="s">
        <v>4655</v>
      </c>
      <c r="C1857" t="s">
        <v>4941</v>
      </c>
      <c r="D1857" s="1">
        <v>40485</v>
      </c>
      <c r="E1857" s="2">
        <v>20000</v>
      </c>
      <c r="F1857" t="s">
        <v>4567</v>
      </c>
      <c r="G1857" s="17" t="str">
        <f>HYPERLINK("https://www.washoecounty.gov/assessor/cama/?command=sales&amp;parid=02554334","3939548")</f>
        <v>3939548</v>
      </c>
      <c r="H1857" t="s">
        <v>3536</v>
      </c>
      <c r="I1857">
        <v>1978</v>
      </c>
      <c r="J1857">
        <v>1978</v>
      </c>
      <c r="K1857" t="s">
        <v>3144</v>
      </c>
      <c r="L1857" t="s">
        <v>4555</v>
      </c>
      <c r="M1857" s="2">
        <v>644</v>
      </c>
      <c r="N1857" t="s">
        <v>4556</v>
      </c>
      <c r="O1857">
        <v>1</v>
      </c>
      <c r="P1857">
        <v>1</v>
      </c>
      <c r="Q1857">
        <v>0</v>
      </c>
      <c r="R1857" t="s">
        <v>5281</v>
      </c>
      <c r="S1857" t="s">
        <v>4558</v>
      </c>
      <c r="T1857" t="s">
        <v>4559</v>
      </c>
      <c r="U1857" t="s">
        <v>4655</v>
      </c>
      <c r="V1857" s="2">
        <v>0</v>
      </c>
      <c r="W1857" t="s">
        <v>4655</v>
      </c>
      <c r="X1857" s="2">
        <v>0</v>
      </c>
      <c r="Y1857">
        <v>21</v>
      </c>
      <c r="Z1857" t="s">
        <v>3532</v>
      </c>
      <c r="AA1857" s="3">
        <v>1.00000004749745E-3</v>
      </c>
      <c r="AB1857" t="s">
        <v>12982</v>
      </c>
      <c r="AC1857" t="s">
        <v>4562</v>
      </c>
      <c r="AD1857" t="s">
        <v>12983</v>
      </c>
      <c r="AE1857" t="s">
        <v>4655</v>
      </c>
      <c r="AF1857" t="s">
        <v>12984</v>
      </c>
      <c r="AG1857" t="s">
        <v>4584</v>
      </c>
      <c r="AH1857" t="s">
        <v>12985</v>
      </c>
      <c r="AI1857" t="s">
        <v>12986</v>
      </c>
      <c r="AJ1857" t="s">
        <v>4655</v>
      </c>
      <c r="AK1857" t="s">
        <v>12987</v>
      </c>
      <c r="AL1857" s="13" t="s">
        <v>2255</v>
      </c>
      <c r="AM1857">
        <v>1</v>
      </c>
      <c r="AN1857" s="15" t="s">
        <v>5198</v>
      </c>
    </row>
    <row r="1858" spans="1:40" x14ac:dyDescent="0.3">
      <c r="A1858" s="10" t="str">
        <f>HYPERLINK("http://www.washoecounty.gov/assessor/cama/?parid=025-543-45&amp;CardNumber=1","025-543-45")</f>
        <v>025-543-45</v>
      </c>
      <c r="B1858" t="s">
        <v>4655</v>
      </c>
      <c r="C1858" t="s">
        <v>4941</v>
      </c>
      <c r="D1858" s="1">
        <v>40248</v>
      </c>
      <c r="E1858" s="2">
        <v>29000</v>
      </c>
      <c r="F1858" t="s">
        <v>4567</v>
      </c>
      <c r="G1858" s="17" t="str">
        <f>HYPERLINK("https://www.washoecounty.gov/assessor/cama/?command=sales&amp;parid=02554345","3858669")</f>
        <v>3858669</v>
      </c>
      <c r="H1858" t="s">
        <v>3536</v>
      </c>
      <c r="I1858">
        <v>1978</v>
      </c>
      <c r="J1858">
        <v>1978</v>
      </c>
      <c r="K1858" t="s">
        <v>4897</v>
      </c>
      <c r="L1858" t="s">
        <v>4555</v>
      </c>
      <c r="M1858" s="2">
        <v>644</v>
      </c>
      <c r="N1858" t="s">
        <v>4556</v>
      </c>
      <c r="O1858">
        <v>1</v>
      </c>
      <c r="P1858">
        <v>1</v>
      </c>
      <c r="Q1858">
        <v>0</v>
      </c>
      <c r="R1858" t="s">
        <v>5281</v>
      </c>
      <c r="S1858" t="s">
        <v>4558</v>
      </c>
      <c r="T1858" t="s">
        <v>4559</v>
      </c>
      <c r="U1858" t="s">
        <v>4655</v>
      </c>
      <c r="V1858" s="2">
        <v>0</v>
      </c>
      <c r="W1858" t="s">
        <v>4655</v>
      </c>
      <c r="X1858" s="2">
        <v>0</v>
      </c>
      <c r="Y1858">
        <v>21</v>
      </c>
      <c r="Z1858" t="s">
        <v>3532</v>
      </c>
      <c r="AA1858" s="3">
        <v>1.00000004749745E-3</v>
      </c>
      <c r="AB1858" t="s">
        <v>12988</v>
      </c>
      <c r="AC1858" t="s">
        <v>4562</v>
      </c>
      <c r="AD1858" t="s">
        <v>12989</v>
      </c>
      <c r="AE1858" t="s">
        <v>4655</v>
      </c>
      <c r="AF1858" t="s">
        <v>9701</v>
      </c>
      <c r="AG1858" t="s">
        <v>4584</v>
      </c>
      <c r="AH1858">
        <v>95209</v>
      </c>
      <c r="AI1858" t="s">
        <v>12990</v>
      </c>
      <c r="AJ1858" t="s">
        <v>4655</v>
      </c>
      <c r="AK1858" t="s">
        <v>12991</v>
      </c>
      <c r="AL1858" s="13" t="s">
        <v>2255</v>
      </c>
      <c r="AM1858">
        <v>1</v>
      </c>
      <c r="AN1858" s="15" t="s">
        <v>5198</v>
      </c>
    </row>
    <row r="1859" spans="1:40" x14ac:dyDescent="0.3">
      <c r="A1859" s="10" t="str">
        <f>HYPERLINK("http://www.washoecounty.gov/assessor/cama/?parid=025-543-50&amp;CardNumber=1","025-543-50")</f>
        <v>025-543-50</v>
      </c>
      <c r="B1859" t="s">
        <v>4655</v>
      </c>
      <c r="C1859" t="s">
        <v>2610</v>
      </c>
      <c r="D1859" s="1">
        <v>40434</v>
      </c>
      <c r="E1859" s="2">
        <v>19500</v>
      </c>
      <c r="F1859" t="s">
        <v>4553</v>
      </c>
      <c r="G1859" s="17" t="str">
        <f>HYPERLINK("https://www.washoecounty.gov/assessor/cama/?command=sales&amp;parid=02554350","3921395")</f>
        <v>3921395</v>
      </c>
      <c r="H1859" t="s">
        <v>3536</v>
      </c>
      <c r="I1859">
        <v>1978</v>
      </c>
      <c r="J1859">
        <v>1978</v>
      </c>
      <c r="K1859" t="s">
        <v>3144</v>
      </c>
      <c r="L1859" t="s">
        <v>4555</v>
      </c>
      <c r="M1859" s="2">
        <v>860</v>
      </c>
      <c r="N1859" t="s">
        <v>4556</v>
      </c>
      <c r="O1859">
        <v>2</v>
      </c>
      <c r="P1859">
        <v>1</v>
      </c>
      <c r="Q1859">
        <v>0</v>
      </c>
      <c r="R1859" t="s">
        <v>5281</v>
      </c>
      <c r="S1859" t="s">
        <v>4558</v>
      </c>
      <c r="T1859" t="s">
        <v>4559</v>
      </c>
      <c r="U1859" t="s">
        <v>4655</v>
      </c>
      <c r="V1859" s="2">
        <v>0</v>
      </c>
      <c r="W1859" t="s">
        <v>4655</v>
      </c>
      <c r="X1859" s="2">
        <v>0</v>
      </c>
      <c r="Y1859">
        <v>21</v>
      </c>
      <c r="Z1859" t="s">
        <v>3532</v>
      </c>
      <c r="AA1859" s="3">
        <v>1.00000004749745E-3</v>
      </c>
      <c r="AB1859" t="s">
        <v>12962</v>
      </c>
      <c r="AC1859" t="s">
        <v>4562</v>
      </c>
      <c r="AD1859" t="s">
        <v>2239</v>
      </c>
      <c r="AE1859" t="s">
        <v>4655</v>
      </c>
      <c r="AF1859" t="s">
        <v>5206</v>
      </c>
      <c r="AG1859" t="s">
        <v>4564</v>
      </c>
      <c r="AH1859" t="s">
        <v>5275</v>
      </c>
      <c r="AI1859" t="s">
        <v>4585</v>
      </c>
      <c r="AJ1859" t="s">
        <v>4655</v>
      </c>
      <c r="AK1859" t="s">
        <v>12992</v>
      </c>
      <c r="AL1859" s="13" t="s">
        <v>2255</v>
      </c>
      <c r="AM1859">
        <v>1</v>
      </c>
      <c r="AN1859" s="15" t="s">
        <v>5198</v>
      </c>
    </row>
    <row r="1860" spans="1:40" x14ac:dyDescent="0.3">
      <c r="A1860" s="10" t="str">
        <f>HYPERLINK("http://www.washoecounty.gov/assessor/cama/?parid=025-543-65&amp;CardNumber=1","025-543-65")</f>
        <v>025-543-65</v>
      </c>
      <c r="B1860" t="s">
        <v>4655</v>
      </c>
      <c r="C1860" t="s">
        <v>2610</v>
      </c>
      <c r="D1860" s="1">
        <v>40494</v>
      </c>
      <c r="E1860" s="2">
        <v>17500</v>
      </c>
      <c r="F1860" t="s">
        <v>4553</v>
      </c>
      <c r="G1860" s="17" t="str">
        <f>HYPERLINK("https://www.washoecounty.gov/assessor/cama/?command=sales&amp;parid=02554365","3942499")</f>
        <v>3942499</v>
      </c>
      <c r="H1860" t="s">
        <v>3536</v>
      </c>
      <c r="I1860">
        <v>1978</v>
      </c>
      <c r="J1860">
        <v>1978</v>
      </c>
      <c r="K1860" t="s">
        <v>4897</v>
      </c>
      <c r="L1860" t="s">
        <v>4555</v>
      </c>
      <c r="M1860" s="2">
        <v>644</v>
      </c>
      <c r="N1860" t="s">
        <v>4556</v>
      </c>
      <c r="O1860">
        <v>1</v>
      </c>
      <c r="P1860">
        <v>1</v>
      </c>
      <c r="Q1860">
        <v>0</v>
      </c>
      <c r="R1860" t="s">
        <v>5281</v>
      </c>
      <c r="S1860" t="s">
        <v>4558</v>
      </c>
      <c r="T1860" t="s">
        <v>4559</v>
      </c>
      <c r="U1860" t="s">
        <v>4655</v>
      </c>
      <c r="V1860" s="2">
        <v>0</v>
      </c>
      <c r="W1860" t="s">
        <v>4655</v>
      </c>
      <c r="X1860" s="2">
        <v>0</v>
      </c>
      <c r="Y1860">
        <v>21</v>
      </c>
      <c r="Z1860" t="s">
        <v>3532</v>
      </c>
      <c r="AA1860" s="3">
        <v>1.00000004749745E-3</v>
      </c>
      <c r="AB1860" t="s">
        <v>12993</v>
      </c>
      <c r="AC1860" t="s">
        <v>4562</v>
      </c>
      <c r="AD1860" t="s">
        <v>12994</v>
      </c>
      <c r="AE1860" t="s">
        <v>4655</v>
      </c>
      <c r="AF1860" t="s">
        <v>4563</v>
      </c>
      <c r="AG1860" t="s">
        <v>4564</v>
      </c>
      <c r="AH1860">
        <v>89506</v>
      </c>
      <c r="AI1860" t="s">
        <v>2351</v>
      </c>
      <c r="AJ1860" t="s">
        <v>4655</v>
      </c>
      <c r="AK1860" t="s">
        <v>12995</v>
      </c>
      <c r="AL1860" s="13" t="s">
        <v>2255</v>
      </c>
      <c r="AM1860">
        <v>1</v>
      </c>
      <c r="AN1860" s="15" t="s">
        <v>5198</v>
      </c>
    </row>
    <row r="1861" spans="1:40" x14ac:dyDescent="0.3">
      <c r="A1861" s="10" t="str">
        <f>HYPERLINK("http://www.washoecounty.gov/assessor/cama/?parid=025-544-21&amp;CardNumber=1","025-544-21")</f>
        <v>025-544-21</v>
      </c>
      <c r="B1861" t="s">
        <v>4655</v>
      </c>
      <c r="C1861" t="s">
        <v>15</v>
      </c>
      <c r="D1861" s="1">
        <v>40253</v>
      </c>
      <c r="E1861" s="2">
        <v>11500</v>
      </c>
      <c r="F1861" t="s">
        <v>4553</v>
      </c>
      <c r="G1861" s="17" t="str">
        <f>HYPERLINK("https://www.washoecounty.gov/assessor/cama/?command=sales&amp;parid=02554421","3860416")</f>
        <v>3860416</v>
      </c>
      <c r="H1861" t="s">
        <v>3536</v>
      </c>
      <c r="I1861">
        <v>1978</v>
      </c>
      <c r="J1861">
        <v>1978</v>
      </c>
      <c r="K1861" t="s">
        <v>4897</v>
      </c>
      <c r="L1861" t="s">
        <v>4555</v>
      </c>
      <c r="M1861" s="2">
        <v>860</v>
      </c>
      <c r="N1861" t="s">
        <v>4556</v>
      </c>
      <c r="O1861">
        <v>2</v>
      </c>
      <c r="P1861">
        <v>1</v>
      </c>
      <c r="Q1861">
        <v>0</v>
      </c>
      <c r="R1861" t="s">
        <v>5281</v>
      </c>
      <c r="S1861" t="s">
        <v>4558</v>
      </c>
      <c r="T1861" t="s">
        <v>4559</v>
      </c>
      <c r="U1861" t="s">
        <v>4655</v>
      </c>
      <c r="V1861" s="2">
        <v>0</v>
      </c>
      <c r="W1861" t="s">
        <v>4655</v>
      </c>
      <c r="X1861" s="2">
        <v>0</v>
      </c>
      <c r="Y1861">
        <v>21</v>
      </c>
      <c r="Z1861" t="s">
        <v>3532</v>
      </c>
      <c r="AA1861" s="3">
        <v>1.00000004749745E-3</v>
      </c>
      <c r="AB1861" t="s">
        <v>12996</v>
      </c>
      <c r="AC1861" t="s">
        <v>4562</v>
      </c>
      <c r="AD1861" t="s">
        <v>11266</v>
      </c>
      <c r="AE1861" t="s">
        <v>4655</v>
      </c>
      <c r="AF1861" t="s">
        <v>4563</v>
      </c>
      <c r="AG1861" t="s">
        <v>4564</v>
      </c>
      <c r="AH1861" t="s">
        <v>5197</v>
      </c>
      <c r="AI1861" t="s">
        <v>4655</v>
      </c>
      <c r="AJ1861" t="s">
        <v>4655</v>
      </c>
      <c r="AK1861" t="s">
        <v>12997</v>
      </c>
      <c r="AL1861" s="13" t="s">
        <v>2255</v>
      </c>
      <c r="AM1861">
        <v>1</v>
      </c>
      <c r="AN1861" s="15" t="s">
        <v>5198</v>
      </c>
    </row>
    <row r="1862" spans="1:40" x14ac:dyDescent="0.3">
      <c r="A1862" s="10" t="str">
        <f>HYPERLINK("http://www.washoecounty.gov/assessor/cama/?parid=025-544-21&amp;CardNumber=1","025-544-21")</f>
        <v>025-544-21</v>
      </c>
      <c r="B1862" t="s">
        <v>4655</v>
      </c>
      <c r="C1862" t="s">
        <v>15</v>
      </c>
      <c r="D1862" s="1">
        <v>40291</v>
      </c>
      <c r="E1862" s="2">
        <v>14000</v>
      </c>
      <c r="F1862" t="s">
        <v>4567</v>
      </c>
      <c r="G1862" s="17" t="str">
        <f>HYPERLINK("https://www.washoecounty.gov/assessor/cama/?command=sales&amp;parid=02554421","3874287")</f>
        <v>3874287</v>
      </c>
      <c r="H1862" t="s">
        <v>3536</v>
      </c>
      <c r="I1862">
        <v>1978</v>
      </c>
      <c r="J1862">
        <v>1978</v>
      </c>
      <c r="K1862" t="s">
        <v>4897</v>
      </c>
      <c r="L1862" t="s">
        <v>4555</v>
      </c>
      <c r="M1862" s="2">
        <v>860</v>
      </c>
      <c r="N1862" t="s">
        <v>4556</v>
      </c>
      <c r="O1862">
        <v>2</v>
      </c>
      <c r="P1862">
        <v>1</v>
      </c>
      <c r="Q1862">
        <v>0</v>
      </c>
      <c r="R1862" t="s">
        <v>5281</v>
      </c>
      <c r="S1862" t="s">
        <v>4558</v>
      </c>
      <c r="T1862" t="s">
        <v>4559</v>
      </c>
      <c r="U1862" t="s">
        <v>4655</v>
      </c>
      <c r="V1862" s="2">
        <v>0</v>
      </c>
      <c r="W1862" t="s">
        <v>4655</v>
      </c>
      <c r="X1862" s="2">
        <v>0</v>
      </c>
      <c r="Y1862">
        <v>21</v>
      </c>
      <c r="Z1862" t="s">
        <v>3532</v>
      </c>
      <c r="AA1862" s="3">
        <v>1.00000004749745E-3</v>
      </c>
      <c r="AB1862" t="s">
        <v>12996</v>
      </c>
      <c r="AC1862" t="s">
        <v>4562</v>
      </c>
      <c r="AD1862" t="s">
        <v>11266</v>
      </c>
      <c r="AE1862" t="s">
        <v>4655</v>
      </c>
      <c r="AF1862" t="s">
        <v>4563</v>
      </c>
      <c r="AG1862" t="s">
        <v>4564</v>
      </c>
      <c r="AH1862" t="s">
        <v>5197</v>
      </c>
      <c r="AI1862" t="s">
        <v>4655</v>
      </c>
      <c r="AJ1862" t="s">
        <v>4655</v>
      </c>
      <c r="AK1862" t="s">
        <v>12997</v>
      </c>
      <c r="AL1862" s="13" t="s">
        <v>2255</v>
      </c>
      <c r="AM1862" s="14">
        <v>1</v>
      </c>
      <c r="AN1862" s="15" t="s">
        <v>5198</v>
      </c>
    </row>
    <row r="1863" spans="1:40" x14ac:dyDescent="0.3">
      <c r="A1863" s="10" t="str">
        <f>HYPERLINK("http://www.washoecounty.gov/assessor/cama/?parid=025-544-21&amp;CardNumber=1","025-544-21")</f>
        <v>025-544-21</v>
      </c>
      <c r="B1863" t="s">
        <v>4655</v>
      </c>
      <c r="C1863" t="s">
        <v>15</v>
      </c>
      <c r="D1863" s="1">
        <v>40323</v>
      </c>
      <c r="E1863" s="2">
        <v>26500</v>
      </c>
      <c r="F1863" t="s">
        <v>4567</v>
      </c>
      <c r="G1863" s="17" t="str">
        <f>HYPERLINK("https://www.washoecounty.gov/assessor/cama/?command=sales&amp;parid=02554421","3884731")</f>
        <v>3884731</v>
      </c>
      <c r="H1863" t="s">
        <v>3536</v>
      </c>
      <c r="I1863">
        <v>1978</v>
      </c>
      <c r="J1863">
        <v>1978</v>
      </c>
      <c r="K1863" t="s">
        <v>4897</v>
      </c>
      <c r="L1863" t="s">
        <v>4555</v>
      </c>
      <c r="M1863" s="2">
        <v>860</v>
      </c>
      <c r="N1863" t="s">
        <v>4556</v>
      </c>
      <c r="O1863">
        <v>2</v>
      </c>
      <c r="P1863">
        <v>1</v>
      </c>
      <c r="Q1863">
        <v>0</v>
      </c>
      <c r="R1863" t="s">
        <v>5281</v>
      </c>
      <c r="S1863" t="s">
        <v>4558</v>
      </c>
      <c r="T1863" t="s">
        <v>4559</v>
      </c>
      <c r="U1863" t="s">
        <v>4655</v>
      </c>
      <c r="V1863" s="2">
        <v>0</v>
      </c>
      <c r="W1863" t="s">
        <v>4655</v>
      </c>
      <c r="X1863" s="2">
        <v>0</v>
      </c>
      <c r="Y1863">
        <v>21</v>
      </c>
      <c r="Z1863" t="s">
        <v>3532</v>
      </c>
      <c r="AA1863" s="3">
        <v>1.00000004749745E-3</v>
      </c>
      <c r="AB1863" t="s">
        <v>12996</v>
      </c>
      <c r="AC1863" t="s">
        <v>4562</v>
      </c>
      <c r="AD1863" t="s">
        <v>11266</v>
      </c>
      <c r="AE1863" t="s">
        <v>4655</v>
      </c>
      <c r="AF1863" t="s">
        <v>4563</v>
      </c>
      <c r="AG1863" t="s">
        <v>4564</v>
      </c>
      <c r="AH1863" t="s">
        <v>5197</v>
      </c>
      <c r="AI1863" t="s">
        <v>4655</v>
      </c>
      <c r="AJ1863" t="s">
        <v>4655</v>
      </c>
      <c r="AK1863" t="s">
        <v>12997</v>
      </c>
      <c r="AL1863" s="13" t="s">
        <v>2255</v>
      </c>
      <c r="AM1863">
        <v>1</v>
      </c>
      <c r="AN1863" s="15" t="s">
        <v>5198</v>
      </c>
    </row>
    <row r="1864" spans="1:40" x14ac:dyDescent="0.3">
      <c r="A1864" s="10" t="str">
        <f>HYPERLINK("http://www.washoecounty.gov/assessor/cama/?parid=025-544-27&amp;CardNumber=1","025-544-27")</f>
        <v>025-544-27</v>
      </c>
      <c r="B1864" t="s">
        <v>4655</v>
      </c>
      <c r="C1864" t="s">
        <v>4941</v>
      </c>
      <c r="D1864" s="1">
        <v>40513</v>
      </c>
      <c r="E1864" s="2">
        <v>17000</v>
      </c>
      <c r="F1864" t="s">
        <v>4567</v>
      </c>
      <c r="G1864" s="17" t="str">
        <f>HYPERLINK("https://www.washoecounty.gov/assessor/cama/?command=sales&amp;parid=02554427","3948400")</f>
        <v>3948400</v>
      </c>
      <c r="H1864" t="s">
        <v>3536</v>
      </c>
      <c r="I1864">
        <v>1978</v>
      </c>
      <c r="J1864">
        <v>1978</v>
      </c>
      <c r="K1864" t="s">
        <v>3144</v>
      </c>
      <c r="L1864" t="s">
        <v>4555</v>
      </c>
      <c r="M1864" s="2">
        <v>644</v>
      </c>
      <c r="N1864" t="s">
        <v>4556</v>
      </c>
      <c r="O1864">
        <v>1</v>
      </c>
      <c r="P1864">
        <v>1</v>
      </c>
      <c r="Q1864">
        <v>0</v>
      </c>
      <c r="R1864" t="s">
        <v>5281</v>
      </c>
      <c r="S1864" t="s">
        <v>4558</v>
      </c>
      <c r="T1864" t="s">
        <v>4559</v>
      </c>
      <c r="U1864" t="s">
        <v>4655</v>
      </c>
      <c r="V1864" s="2">
        <v>0</v>
      </c>
      <c r="W1864" t="s">
        <v>4655</v>
      </c>
      <c r="X1864" s="2">
        <v>0</v>
      </c>
      <c r="Y1864">
        <v>21</v>
      </c>
      <c r="Z1864" t="s">
        <v>3532</v>
      </c>
      <c r="AA1864" s="3">
        <v>1.00000004749745E-3</v>
      </c>
      <c r="AB1864" t="s">
        <v>12998</v>
      </c>
      <c r="AC1864" t="s">
        <v>4562</v>
      </c>
      <c r="AD1864" t="s">
        <v>12999</v>
      </c>
      <c r="AE1864" t="s">
        <v>4655</v>
      </c>
      <c r="AF1864" t="s">
        <v>4563</v>
      </c>
      <c r="AG1864" t="s">
        <v>4564</v>
      </c>
      <c r="AH1864">
        <v>89502</v>
      </c>
      <c r="AI1864" t="s">
        <v>13000</v>
      </c>
      <c r="AJ1864" t="s">
        <v>4655</v>
      </c>
      <c r="AK1864" t="s">
        <v>13001</v>
      </c>
      <c r="AL1864" s="13" t="s">
        <v>2255</v>
      </c>
      <c r="AM1864">
        <v>1</v>
      </c>
      <c r="AN1864" s="15" t="s">
        <v>5198</v>
      </c>
    </row>
    <row r="1865" spans="1:40" x14ac:dyDescent="0.3">
      <c r="A1865" s="10" t="str">
        <f>HYPERLINK("http://www.washoecounty.gov/assessor/cama/?parid=025-544-28&amp;CardNumber=1","025-544-28")</f>
        <v>025-544-28</v>
      </c>
      <c r="B1865" t="s">
        <v>4655</v>
      </c>
      <c r="C1865" t="s">
        <v>4941</v>
      </c>
      <c r="D1865" s="1">
        <v>40315</v>
      </c>
      <c r="E1865" s="2">
        <v>30000</v>
      </c>
      <c r="F1865" t="s">
        <v>4553</v>
      </c>
      <c r="G1865" s="17" t="str">
        <f>HYPERLINK("https://www.washoecounty.gov/assessor/cama/?command=sales&amp;parid=02554428","3881915")</f>
        <v>3881915</v>
      </c>
      <c r="H1865" t="s">
        <v>3536</v>
      </c>
      <c r="I1865">
        <v>1978</v>
      </c>
      <c r="J1865">
        <v>1978</v>
      </c>
      <c r="K1865" t="s">
        <v>4897</v>
      </c>
      <c r="L1865" t="s">
        <v>4555</v>
      </c>
      <c r="M1865" s="2">
        <v>860</v>
      </c>
      <c r="N1865" t="s">
        <v>4556</v>
      </c>
      <c r="O1865">
        <v>2</v>
      </c>
      <c r="P1865">
        <v>1</v>
      </c>
      <c r="Q1865">
        <v>0</v>
      </c>
      <c r="R1865" t="s">
        <v>5281</v>
      </c>
      <c r="S1865" t="s">
        <v>4558</v>
      </c>
      <c r="T1865" t="s">
        <v>4559</v>
      </c>
      <c r="U1865" t="s">
        <v>4655</v>
      </c>
      <c r="V1865" s="2">
        <v>0</v>
      </c>
      <c r="W1865" t="s">
        <v>4655</v>
      </c>
      <c r="X1865" s="2">
        <v>0</v>
      </c>
      <c r="Y1865">
        <v>21</v>
      </c>
      <c r="Z1865" t="s">
        <v>3532</v>
      </c>
      <c r="AA1865" s="3">
        <v>1.00000004749745E-3</v>
      </c>
      <c r="AB1865" t="s">
        <v>13002</v>
      </c>
      <c r="AC1865" t="s">
        <v>4575</v>
      </c>
      <c r="AD1865" t="s">
        <v>13003</v>
      </c>
      <c r="AE1865" t="s">
        <v>4655</v>
      </c>
      <c r="AF1865" t="s">
        <v>2609</v>
      </c>
      <c r="AG1865" t="s">
        <v>4584</v>
      </c>
      <c r="AH1865">
        <v>95014</v>
      </c>
      <c r="AI1865" t="s">
        <v>4903</v>
      </c>
      <c r="AJ1865" t="s">
        <v>4655</v>
      </c>
      <c r="AK1865" t="s">
        <v>13004</v>
      </c>
      <c r="AL1865" s="13" t="s">
        <v>2255</v>
      </c>
      <c r="AM1865">
        <v>1</v>
      </c>
      <c r="AN1865" s="15" t="s">
        <v>5198</v>
      </c>
    </row>
    <row r="1866" spans="1:40" x14ac:dyDescent="0.3">
      <c r="A1866" s="10" t="str">
        <f>HYPERLINK("http://www.washoecounty.gov/assessor/cama/?parid=025-544-35&amp;CardNumber=1","025-544-35")</f>
        <v>025-544-35</v>
      </c>
      <c r="B1866" t="s">
        <v>4655</v>
      </c>
      <c r="C1866" t="s">
        <v>4941</v>
      </c>
      <c r="D1866" s="1">
        <v>40494</v>
      </c>
      <c r="E1866" s="2">
        <v>21000</v>
      </c>
      <c r="F1866" t="s">
        <v>4553</v>
      </c>
      <c r="G1866" s="17" t="str">
        <f>HYPERLINK("https://www.washoecounty.gov/assessor/cama/?command=sales&amp;parid=02554435","3942494")</f>
        <v>3942494</v>
      </c>
      <c r="H1866" t="s">
        <v>3536</v>
      </c>
      <c r="I1866">
        <v>1978</v>
      </c>
      <c r="J1866">
        <v>1978</v>
      </c>
      <c r="K1866" t="s">
        <v>3144</v>
      </c>
      <c r="L1866" t="s">
        <v>4555</v>
      </c>
      <c r="M1866" s="2">
        <v>644</v>
      </c>
      <c r="N1866" t="s">
        <v>4556</v>
      </c>
      <c r="O1866">
        <v>1</v>
      </c>
      <c r="P1866">
        <v>1</v>
      </c>
      <c r="Q1866">
        <v>0</v>
      </c>
      <c r="R1866" t="s">
        <v>5281</v>
      </c>
      <c r="S1866" t="s">
        <v>4558</v>
      </c>
      <c r="T1866" t="s">
        <v>4559</v>
      </c>
      <c r="U1866" t="s">
        <v>4655</v>
      </c>
      <c r="V1866" s="2">
        <v>0</v>
      </c>
      <c r="W1866" t="s">
        <v>4655</v>
      </c>
      <c r="X1866" s="2">
        <v>0</v>
      </c>
      <c r="Y1866">
        <v>21</v>
      </c>
      <c r="Z1866" t="s">
        <v>3532</v>
      </c>
      <c r="AA1866" s="3">
        <v>1.00000004749745E-3</v>
      </c>
      <c r="AB1866" t="s">
        <v>12982</v>
      </c>
      <c r="AC1866" t="s">
        <v>4562</v>
      </c>
      <c r="AD1866" t="s">
        <v>13005</v>
      </c>
      <c r="AE1866" t="s">
        <v>4655</v>
      </c>
      <c r="AF1866" t="s">
        <v>4563</v>
      </c>
      <c r="AG1866" t="s">
        <v>4564</v>
      </c>
      <c r="AH1866">
        <v>89502</v>
      </c>
      <c r="AI1866" t="s">
        <v>13006</v>
      </c>
      <c r="AJ1866" t="s">
        <v>4655</v>
      </c>
      <c r="AK1866" t="s">
        <v>13007</v>
      </c>
      <c r="AL1866" s="13" t="s">
        <v>2255</v>
      </c>
      <c r="AM1866">
        <v>1</v>
      </c>
      <c r="AN1866" s="15" t="s">
        <v>5198</v>
      </c>
    </row>
    <row r="1867" spans="1:40" x14ac:dyDescent="0.3">
      <c r="A1867" s="10" t="str">
        <f>HYPERLINK("http://www.washoecounty.gov/assessor/cama/?parid=025-544-49&amp;CardNumber=1","025-544-49")</f>
        <v>025-544-49</v>
      </c>
      <c r="B1867" t="s">
        <v>4655</v>
      </c>
      <c r="C1867" t="s">
        <v>2610</v>
      </c>
      <c r="D1867" s="1">
        <v>40527</v>
      </c>
      <c r="E1867" s="2">
        <v>24200</v>
      </c>
      <c r="F1867" t="s">
        <v>4553</v>
      </c>
      <c r="G1867" s="17" t="str">
        <f>HYPERLINK("https://www.washoecounty.gov/assessor/cama/?command=sales&amp;parid=02554449","3953592")</f>
        <v>3953592</v>
      </c>
      <c r="H1867" t="s">
        <v>3536</v>
      </c>
      <c r="I1867">
        <v>1978</v>
      </c>
      <c r="J1867">
        <v>1978</v>
      </c>
      <c r="K1867" t="s">
        <v>4897</v>
      </c>
      <c r="L1867" t="s">
        <v>4555</v>
      </c>
      <c r="M1867" s="2">
        <v>860</v>
      </c>
      <c r="N1867" t="s">
        <v>4556</v>
      </c>
      <c r="O1867">
        <v>2</v>
      </c>
      <c r="P1867">
        <v>1</v>
      </c>
      <c r="Q1867">
        <v>0</v>
      </c>
      <c r="R1867" t="s">
        <v>5281</v>
      </c>
      <c r="S1867" t="s">
        <v>4558</v>
      </c>
      <c r="T1867" t="s">
        <v>4559</v>
      </c>
      <c r="U1867" t="s">
        <v>4655</v>
      </c>
      <c r="V1867" s="2">
        <v>0</v>
      </c>
      <c r="W1867" t="s">
        <v>4655</v>
      </c>
      <c r="X1867" s="2">
        <v>0</v>
      </c>
      <c r="Y1867">
        <v>21</v>
      </c>
      <c r="Z1867" t="s">
        <v>3532</v>
      </c>
      <c r="AA1867" s="3">
        <v>1.00000004749745E-3</v>
      </c>
      <c r="AB1867" t="s">
        <v>12962</v>
      </c>
      <c r="AC1867" t="s">
        <v>4562</v>
      </c>
      <c r="AD1867" t="s">
        <v>2239</v>
      </c>
      <c r="AE1867" t="s">
        <v>4655</v>
      </c>
      <c r="AF1867" t="s">
        <v>5206</v>
      </c>
      <c r="AG1867" t="s">
        <v>4564</v>
      </c>
      <c r="AH1867" t="s">
        <v>5275</v>
      </c>
      <c r="AI1867" t="s">
        <v>1602</v>
      </c>
      <c r="AJ1867" t="s">
        <v>4655</v>
      </c>
      <c r="AK1867" t="s">
        <v>13008</v>
      </c>
      <c r="AL1867" s="13" t="s">
        <v>2255</v>
      </c>
      <c r="AM1867">
        <v>1</v>
      </c>
      <c r="AN1867" s="15" t="s">
        <v>5198</v>
      </c>
    </row>
    <row r="1868" spans="1:40" x14ac:dyDescent="0.3">
      <c r="A1868" s="10" t="str">
        <f>HYPERLINK("http://www.washoecounty.gov/assessor/cama/?parid=025-544-50&amp;CardNumber=1","025-544-50")</f>
        <v>025-544-50</v>
      </c>
      <c r="B1868" t="s">
        <v>4655</v>
      </c>
      <c r="C1868" t="s">
        <v>2610</v>
      </c>
      <c r="D1868" s="1">
        <v>40541</v>
      </c>
      <c r="E1868" s="2">
        <v>21900</v>
      </c>
      <c r="F1868" t="s">
        <v>4553</v>
      </c>
      <c r="G1868" s="17" t="str">
        <f>HYPERLINK("https://www.washoecounty.gov/assessor/cama/?command=sales&amp;parid=02554450","3958518")</f>
        <v>3958518</v>
      </c>
      <c r="H1868" t="s">
        <v>3536</v>
      </c>
      <c r="I1868">
        <v>1978</v>
      </c>
      <c r="J1868">
        <v>1978</v>
      </c>
      <c r="K1868" t="s">
        <v>3144</v>
      </c>
      <c r="L1868" t="s">
        <v>4555</v>
      </c>
      <c r="M1868" s="2">
        <v>860</v>
      </c>
      <c r="N1868" t="s">
        <v>4556</v>
      </c>
      <c r="O1868">
        <v>2</v>
      </c>
      <c r="P1868">
        <v>1</v>
      </c>
      <c r="Q1868">
        <v>0</v>
      </c>
      <c r="R1868" t="s">
        <v>5281</v>
      </c>
      <c r="S1868" t="s">
        <v>4558</v>
      </c>
      <c r="T1868" t="s">
        <v>4559</v>
      </c>
      <c r="U1868" t="s">
        <v>4655</v>
      </c>
      <c r="V1868" s="2">
        <v>0</v>
      </c>
      <c r="W1868" t="s">
        <v>4655</v>
      </c>
      <c r="X1868" s="2">
        <v>0</v>
      </c>
      <c r="Y1868">
        <v>21</v>
      </c>
      <c r="Z1868" t="s">
        <v>3532</v>
      </c>
      <c r="AA1868" s="3">
        <v>1.00000004749745E-3</v>
      </c>
      <c r="AB1868" t="s">
        <v>13009</v>
      </c>
      <c r="AC1868" t="s">
        <v>4562</v>
      </c>
      <c r="AD1868" t="s">
        <v>13010</v>
      </c>
      <c r="AE1868" t="s">
        <v>13011</v>
      </c>
      <c r="AF1868" t="s">
        <v>4563</v>
      </c>
      <c r="AG1868" t="s">
        <v>4564</v>
      </c>
      <c r="AH1868" t="s">
        <v>5197</v>
      </c>
      <c r="AI1868" t="s">
        <v>13012</v>
      </c>
      <c r="AJ1868" t="s">
        <v>4655</v>
      </c>
      <c r="AK1868" t="s">
        <v>13013</v>
      </c>
      <c r="AL1868" s="13" t="s">
        <v>2255</v>
      </c>
      <c r="AM1868">
        <v>1</v>
      </c>
      <c r="AN1868" s="15" t="s">
        <v>5198</v>
      </c>
    </row>
    <row r="1869" spans="1:40" x14ac:dyDescent="0.3">
      <c r="A1869" s="10" t="str">
        <f>HYPERLINK("http://www.washoecounty.gov/assessor/cama/?parid=025-544-63&amp;CardNumber=1","025-544-63")</f>
        <v>025-544-63</v>
      </c>
      <c r="B1869" t="s">
        <v>4655</v>
      </c>
      <c r="C1869" t="s">
        <v>2610</v>
      </c>
      <c r="D1869" s="1">
        <v>40315</v>
      </c>
      <c r="E1869" s="2">
        <v>29000</v>
      </c>
      <c r="F1869" t="s">
        <v>4567</v>
      </c>
      <c r="G1869" s="17" t="str">
        <f>HYPERLINK("https://www.washoecounty.gov/assessor/cama/?command=sales&amp;parid=02554463","3881909")</f>
        <v>3881909</v>
      </c>
      <c r="H1869" t="s">
        <v>3536</v>
      </c>
      <c r="I1869">
        <v>1978</v>
      </c>
      <c r="J1869">
        <v>1978</v>
      </c>
      <c r="K1869" t="s">
        <v>3144</v>
      </c>
      <c r="L1869" t="s">
        <v>4555</v>
      </c>
      <c r="M1869" s="2">
        <v>644</v>
      </c>
      <c r="N1869" t="s">
        <v>4556</v>
      </c>
      <c r="O1869">
        <v>1</v>
      </c>
      <c r="P1869">
        <v>1</v>
      </c>
      <c r="Q1869">
        <v>0</v>
      </c>
      <c r="R1869" t="s">
        <v>5281</v>
      </c>
      <c r="S1869" t="s">
        <v>4558</v>
      </c>
      <c r="T1869" t="s">
        <v>4559</v>
      </c>
      <c r="U1869" t="s">
        <v>4655</v>
      </c>
      <c r="V1869" s="2">
        <v>0</v>
      </c>
      <c r="W1869" t="s">
        <v>4655</v>
      </c>
      <c r="X1869" s="2">
        <v>0</v>
      </c>
      <c r="Y1869">
        <v>21</v>
      </c>
      <c r="Z1869" t="s">
        <v>3532</v>
      </c>
      <c r="AA1869" s="3">
        <v>1.00000004749745E-3</v>
      </c>
      <c r="AB1869" t="s">
        <v>13014</v>
      </c>
      <c r="AC1869" t="s">
        <v>4562</v>
      </c>
      <c r="AD1869" t="s">
        <v>13015</v>
      </c>
      <c r="AE1869" t="s">
        <v>4655</v>
      </c>
      <c r="AF1869" t="s">
        <v>13016</v>
      </c>
      <c r="AG1869" t="s">
        <v>2109</v>
      </c>
      <c r="AH1869" t="s">
        <v>13017</v>
      </c>
      <c r="AI1869" t="s">
        <v>4655</v>
      </c>
      <c r="AJ1869" t="s">
        <v>4655</v>
      </c>
      <c r="AK1869" t="s">
        <v>13018</v>
      </c>
      <c r="AL1869" s="13" t="s">
        <v>2255</v>
      </c>
      <c r="AM1869">
        <v>1</v>
      </c>
      <c r="AN1869" s="15" t="s">
        <v>5198</v>
      </c>
    </row>
    <row r="1870" spans="1:40" x14ac:dyDescent="0.3">
      <c r="A1870" s="10" t="str">
        <f>HYPERLINK("http://www.washoecounty.gov/assessor/cama/?parid=025-600-05&amp;CardNumber=1","025-600-05")</f>
        <v>025-600-05</v>
      </c>
      <c r="B1870" t="s">
        <v>4655</v>
      </c>
      <c r="C1870" t="s">
        <v>1392</v>
      </c>
      <c r="D1870" s="1">
        <v>40207</v>
      </c>
      <c r="E1870" s="2">
        <v>135000</v>
      </c>
      <c r="F1870" t="s">
        <v>4553</v>
      </c>
      <c r="G1870" s="17" t="str">
        <f>HYPERLINK("https://www.washoecounty.gov/assessor/cama/?command=sales&amp;parid=02560005","3844462")</f>
        <v>3844462</v>
      </c>
      <c r="H1870" t="s">
        <v>1393</v>
      </c>
      <c r="I1870">
        <v>1998</v>
      </c>
      <c r="J1870">
        <v>1998</v>
      </c>
      <c r="K1870" t="s">
        <v>1394</v>
      </c>
      <c r="L1870" t="s">
        <v>1366</v>
      </c>
      <c r="M1870" s="2">
        <v>1000</v>
      </c>
      <c r="N1870" t="s">
        <v>3531</v>
      </c>
      <c r="O1870">
        <v>0</v>
      </c>
      <c r="P1870">
        <v>0</v>
      </c>
      <c r="Q1870">
        <v>0</v>
      </c>
      <c r="R1870" t="s">
        <v>1395</v>
      </c>
      <c r="S1870" t="s">
        <v>1396</v>
      </c>
      <c r="T1870" t="s">
        <v>4655</v>
      </c>
      <c r="U1870" t="s">
        <v>4655</v>
      </c>
      <c r="V1870" s="2">
        <v>0</v>
      </c>
      <c r="W1870" t="s">
        <v>4655</v>
      </c>
      <c r="X1870" s="2">
        <v>0</v>
      </c>
      <c r="Y1870">
        <v>51</v>
      </c>
      <c r="Z1870" t="s">
        <v>1397</v>
      </c>
      <c r="AA1870" s="3">
        <v>2.30027548968792E-2</v>
      </c>
      <c r="AB1870" t="s">
        <v>13019</v>
      </c>
      <c r="AC1870" t="s">
        <v>4562</v>
      </c>
      <c r="AD1870" t="s">
        <v>13020</v>
      </c>
      <c r="AE1870" t="s">
        <v>13021</v>
      </c>
      <c r="AF1870" t="s">
        <v>4563</v>
      </c>
      <c r="AG1870" t="s">
        <v>4564</v>
      </c>
      <c r="AH1870">
        <v>89511</v>
      </c>
      <c r="AI1870" t="s">
        <v>1398</v>
      </c>
      <c r="AJ1870" t="s">
        <v>1399</v>
      </c>
      <c r="AK1870" t="s">
        <v>13022</v>
      </c>
      <c r="AL1870" s="13" t="s">
        <v>2257</v>
      </c>
      <c r="AM1870">
        <v>1</v>
      </c>
      <c r="AN1870" s="15" t="s">
        <v>1548</v>
      </c>
    </row>
    <row r="1871" spans="1:40" x14ac:dyDescent="0.3">
      <c r="A1871" s="10" t="str">
        <f>HYPERLINK("http://www.washoecounty.gov/assessor/cama/?parid=026-021-37&amp;CardNumber=1","026-021-37")</f>
        <v>026-021-37</v>
      </c>
      <c r="B1871" t="s">
        <v>4655</v>
      </c>
      <c r="C1871" t="s">
        <v>13023</v>
      </c>
      <c r="D1871" s="1">
        <v>40451</v>
      </c>
      <c r="E1871" s="2">
        <v>181900</v>
      </c>
      <c r="F1871" t="s">
        <v>4567</v>
      </c>
      <c r="G1871" s="17" t="str">
        <f>HYPERLINK("https://www.washoecounty.gov/assessor/cama/?command=sales&amp;parid=02602137","3928274")</f>
        <v>3928274</v>
      </c>
      <c r="H1871" t="s">
        <v>4421</v>
      </c>
      <c r="I1871">
        <v>0</v>
      </c>
      <c r="J1871">
        <v>0</v>
      </c>
      <c r="K1871" t="s">
        <v>4655</v>
      </c>
      <c r="L1871" t="s">
        <v>4655</v>
      </c>
      <c r="M1871" s="2">
        <v>0</v>
      </c>
      <c r="N1871" t="s">
        <v>4655</v>
      </c>
      <c r="O1871">
        <v>0</v>
      </c>
      <c r="P1871">
        <v>0</v>
      </c>
      <c r="Q1871">
        <v>0</v>
      </c>
      <c r="R1871" t="s">
        <v>4655</v>
      </c>
      <c r="S1871" t="s">
        <v>4655</v>
      </c>
      <c r="T1871" t="s">
        <v>4655</v>
      </c>
      <c r="U1871" t="s">
        <v>4655</v>
      </c>
      <c r="V1871" s="2">
        <v>0</v>
      </c>
      <c r="W1871" t="s">
        <v>4655</v>
      </c>
      <c r="X1871" s="2">
        <v>0</v>
      </c>
      <c r="Y1871">
        <v>23</v>
      </c>
      <c r="Z1871" t="s">
        <v>5508</v>
      </c>
      <c r="AA1871" s="3">
        <v>0.62000000476837103</v>
      </c>
      <c r="AB1871" t="s">
        <v>13024</v>
      </c>
      <c r="AC1871" t="s">
        <v>4562</v>
      </c>
      <c r="AD1871" t="s">
        <v>13025</v>
      </c>
      <c r="AE1871" t="s">
        <v>4655</v>
      </c>
      <c r="AF1871" t="s">
        <v>5201</v>
      </c>
      <c r="AG1871" t="s">
        <v>4564</v>
      </c>
      <c r="AH1871" t="s">
        <v>3609</v>
      </c>
      <c r="AI1871" t="s">
        <v>4422</v>
      </c>
      <c r="AJ1871" t="s">
        <v>4655</v>
      </c>
      <c r="AK1871" t="s">
        <v>13026</v>
      </c>
      <c r="AL1871" s="13" t="s">
        <v>1889</v>
      </c>
      <c r="AM1871">
        <v>0</v>
      </c>
      <c r="AN1871" s="15" t="s">
        <v>2528</v>
      </c>
    </row>
    <row r="1872" spans="1:40" x14ac:dyDescent="0.3">
      <c r="A1872" s="10" t="str">
        <f>HYPERLINK("http://www.washoecounty.gov/assessor/cama/?parid=026-021-42&amp;CardNumber=1","026-021-42")</f>
        <v>026-021-42</v>
      </c>
      <c r="B1872" t="s">
        <v>4655</v>
      </c>
      <c r="C1872" t="s">
        <v>956</v>
      </c>
      <c r="D1872" s="1">
        <v>40389</v>
      </c>
      <c r="E1872" s="2">
        <v>65000</v>
      </c>
      <c r="F1872" t="s">
        <v>4567</v>
      </c>
      <c r="G1872" s="17" t="str">
        <f>HYPERLINK("https://www.washoecounty.gov/assessor/cama/?command=sales&amp;parid=02602142","3907066")</f>
        <v>3907066</v>
      </c>
      <c r="H1872" t="s">
        <v>957</v>
      </c>
      <c r="I1872">
        <v>1980</v>
      </c>
      <c r="J1872">
        <v>1980</v>
      </c>
      <c r="K1872" t="s">
        <v>4554</v>
      </c>
      <c r="L1872" t="s">
        <v>4555</v>
      </c>
      <c r="M1872" s="2">
        <v>2368</v>
      </c>
      <c r="N1872" t="s">
        <v>5280</v>
      </c>
      <c r="O1872">
        <v>3</v>
      </c>
      <c r="P1872">
        <v>2</v>
      </c>
      <c r="Q1872">
        <v>1</v>
      </c>
      <c r="R1872" t="s">
        <v>4557</v>
      </c>
      <c r="S1872" t="s">
        <v>3148</v>
      </c>
      <c r="T1872" t="s">
        <v>4559</v>
      </c>
      <c r="U1872" t="s">
        <v>4655</v>
      </c>
      <c r="V1872" s="2">
        <v>0</v>
      </c>
      <c r="W1872" t="s">
        <v>4655</v>
      </c>
      <c r="X1872" s="2">
        <v>0</v>
      </c>
      <c r="Y1872">
        <v>20</v>
      </c>
      <c r="Z1872" t="s">
        <v>5508</v>
      </c>
      <c r="AA1872" s="3">
        <v>0.37000000476837203</v>
      </c>
      <c r="AB1872" t="s">
        <v>958</v>
      </c>
      <c r="AC1872" t="s">
        <v>4575</v>
      </c>
      <c r="AD1872" t="s">
        <v>13027</v>
      </c>
      <c r="AE1872" t="s">
        <v>4655</v>
      </c>
      <c r="AF1872" t="s">
        <v>1570</v>
      </c>
      <c r="AG1872" t="s">
        <v>4564</v>
      </c>
      <c r="AH1872" t="s">
        <v>1601</v>
      </c>
      <c r="AI1872" t="s">
        <v>1587</v>
      </c>
      <c r="AJ1872" t="s">
        <v>4655</v>
      </c>
      <c r="AK1872" t="s">
        <v>959</v>
      </c>
      <c r="AL1872" s="13" t="s">
        <v>1889</v>
      </c>
      <c r="AM1872" s="14">
        <v>1</v>
      </c>
      <c r="AN1872" s="15" t="s">
        <v>2528</v>
      </c>
    </row>
    <row r="1873" spans="1:40" x14ac:dyDescent="0.3">
      <c r="A1873" s="10" t="str">
        <f>HYPERLINK("http://www.washoecounty.gov/assessor/cama/?parid=026-021-58&amp;CardNumber=1","026-021-58")</f>
        <v>026-021-58</v>
      </c>
      <c r="B1873" t="s">
        <v>4655</v>
      </c>
      <c r="C1873" t="s">
        <v>319</v>
      </c>
      <c r="D1873" s="1">
        <v>40515</v>
      </c>
      <c r="E1873" s="2">
        <v>658241</v>
      </c>
      <c r="F1873" t="s">
        <v>4567</v>
      </c>
      <c r="G1873" s="17" t="str">
        <f>HYPERLINK("https://www.washoecounty.gov/assessor/cama/?command=sales&amp;parid=02602158","3948921")</f>
        <v>3948921</v>
      </c>
      <c r="H1873" t="s">
        <v>13028</v>
      </c>
      <c r="I1873">
        <v>2011</v>
      </c>
      <c r="J1873">
        <v>2011</v>
      </c>
      <c r="K1873" t="s">
        <v>13029</v>
      </c>
      <c r="L1873" t="s">
        <v>3038</v>
      </c>
      <c r="M1873" s="2">
        <v>13316</v>
      </c>
      <c r="N1873" t="s">
        <v>4672</v>
      </c>
      <c r="O1873">
        <v>0</v>
      </c>
      <c r="P1873">
        <v>0</v>
      </c>
      <c r="Q1873">
        <v>0</v>
      </c>
      <c r="R1873" t="s">
        <v>1395</v>
      </c>
      <c r="S1873" t="s">
        <v>4856</v>
      </c>
      <c r="T1873" t="s">
        <v>4655</v>
      </c>
      <c r="U1873" t="s">
        <v>4655</v>
      </c>
      <c r="V1873" s="2">
        <v>0</v>
      </c>
      <c r="W1873" t="s">
        <v>4655</v>
      </c>
      <c r="X1873" s="2">
        <v>0</v>
      </c>
      <c r="Y1873">
        <v>23</v>
      </c>
      <c r="Z1873" t="s">
        <v>3141</v>
      </c>
      <c r="AA1873" s="3">
        <v>2.9400000572204501</v>
      </c>
      <c r="AB1873" t="s">
        <v>13030</v>
      </c>
      <c r="AC1873" t="s">
        <v>4562</v>
      </c>
      <c r="AD1873" t="s">
        <v>13031</v>
      </c>
      <c r="AE1873" t="s">
        <v>4655</v>
      </c>
      <c r="AF1873" t="s">
        <v>4563</v>
      </c>
      <c r="AG1873" t="s">
        <v>4564</v>
      </c>
      <c r="AH1873">
        <v>89503</v>
      </c>
      <c r="AI1873" t="s">
        <v>13032</v>
      </c>
      <c r="AJ1873" t="s">
        <v>13033</v>
      </c>
      <c r="AK1873" t="s">
        <v>13034</v>
      </c>
      <c r="AL1873" s="13" t="s">
        <v>2255</v>
      </c>
      <c r="AM1873">
        <v>0</v>
      </c>
      <c r="AN1873" s="15" t="s">
        <v>13035</v>
      </c>
    </row>
    <row r="1874" spans="1:40" x14ac:dyDescent="0.3">
      <c r="A1874" s="10" t="str">
        <f>HYPERLINK("http://www.washoecounty.gov/assessor/cama/?parid=026-031-28&amp;CardNumber=1","026-031-28")</f>
        <v>026-031-28</v>
      </c>
      <c r="B1874" t="s">
        <v>4655</v>
      </c>
      <c r="C1874" t="s">
        <v>13036</v>
      </c>
      <c r="D1874" s="1">
        <v>40263</v>
      </c>
      <c r="E1874" s="2">
        <v>199000</v>
      </c>
      <c r="F1874" t="s">
        <v>4553</v>
      </c>
      <c r="G1874" s="17" t="str">
        <f>HYPERLINK("https://www.washoecounty.gov/assessor/cama/?command=sales&amp;parid=02603128","3864743")</f>
        <v>3864743</v>
      </c>
      <c r="H1874" t="s">
        <v>13037</v>
      </c>
      <c r="I1874">
        <v>2000</v>
      </c>
      <c r="J1874">
        <v>2000</v>
      </c>
      <c r="K1874" t="s">
        <v>4554</v>
      </c>
      <c r="L1874" t="s">
        <v>4555</v>
      </c>
      <c r="M1874" s="2">
        <v>1407</v>
      </c>
      <c r="N1874" t="s">
        <v>5280</v>
      </c>
      <c r="O1874">
        <v>5</v>
      </c>
      <c r="P1874">
        <v>3</v>
      </c>
      <c r="Q1874">
        <v>0</v>
      </c>
      <c r="R1874" t="s">
        <v>4557</v>
      </c>
      <c r="S1874" t="s">
        <v>4558</v>
      </c>
      <c r="T1874" t="s">
        <v>4559</v>
      </c>
      <c r="U1874" t="s">
        <v>4560</v>
      </c>
      <c r="V1874" s="2">
        <v>528</v>
      </c>
      <c r="W1874" t="s">
        <v>3201</v>
      </c>
      <c r="X1874" s="2">
        <v>1395</v>
      </c>
      <c r="Y1874">
        <v>20</v>
      </c>
      <c r="Z1874" t="s">
        <v>4561</v>
      </c>
      <c r="AA1874" s="3">
        <v>0.20399449765682201</v>
      </c>
      <c r="AB1874" t="s">
        <v>347</v>
      </c>
      <c r="AC1874" t="s">
        <v>4562</v>
      </c>
      <c r="AD1874" t="s">
        <v>13036</v>
      </c>
      <c r="AE1874" t="s">
        <v>4655</v>
      </c>
      <c r="AF1874" t="s">
        <v>4563</v>
      </c>
      <c r="AG1874" t="s">
        <v>4564</v>
      </c>
      <c r="AH1874">
        <v>89512</v>
      </c>
      <c r="AI1874" t="s">
        <v>4903</v>
      </c>
      <c r="AJ1874" t="s">
        <v>13038</v>
      </c>
      <c r="AK1874" t="s">
        <v>13039</v>
      </c>
      <c r="AL1874" s="13" t="s">
        <v>2255</v>
      </c>
      <c r="AM1874" s="14">
        <v>1</v>
      </c>
      <c r="AN1874" s="15" t="s">
        <v>2190</v>
      </c>
    </row>
    <row r="1875" spans="1:40" x14ac:dyDescent="0.3">
      <c r="A1875" s="10" t="str">
        <f>HYPERLINK("http://www.washoecounty.gov/assessor/cama/?parid=026-032-14&amp;CardNumber=1","026-032-14")</f>
        <v>026-032-14</v>
      </c>
      <c r="B1875" t="s">
        <v>4655</v>
      </c>
      <c r="C1875" t="s">
        <v>13040</v>
      </c>
      <c r="D1875" s="1">
        <v>40207</v>
      </c>
      <c r="E1875" s="2">
        <v>208000</v>
      </c>
      <c r="F1875" t="s">
        <v>4567</v>
      </c>
      <c r="G1875" s="17" t="str">
        <f>HYPERLINK("https://www.washoecounty.gov/assessor/cama/?command=sales&amp;parid=02603214","3844518")</f>
        <v>3844518</v>
      </c>
      <c r="H1875" t="s">
        <v>1400</v>
      </c>
      <c r="I1875">
        <v>2004</v>
      </c>
      <c r="J1875">
        <v>2004</v>
      </c>
      <c r="K1875" t="s">
        <v>4554</v>
      </c>
      <c r="L1875" t="s">
        <v>4569</v>
      </c>
      <c r="M1875" s="2">
        <v>1498</v>
      </c>
      <c r="N1875" t="s">
        <v>5280</v>
      </c>
      <c r="O1875">
        <v>4</v>
      </c>
      <c r="P1875">
        <v>3</v>
      </c>
      <c r="Q1875">
        <v>0</v>
      </c>
      <c r="R1875" t="s">
        <v>5281</v>
      </c>
      <c r="S1875" t="s">
        <v>4558</v>
      </c>
      <c r="T1875" t="s">
        <v>4559</v>
      </c>
      <c r="U1875" t="s">
        <v>4655</v>
      </c>
      <c r="V1875" s="2">
        <v>0</v>
      </c>
      <c r="W1875" t="s">
        <v>4571</v>
      </c>
      <c r="X1875" s="2">
        <v>1488</v>
      </c>
      <c r="Y1875">
        <v>20</v>
      </c>
      <c r="Z1875" t="s">
        <v>4561</v>
      </c>
      <c r="AA1875" s="3">
        <v>0.23099173605442</v>
      </c>
      <c r="AB1875" t="s">
        <v>13041</v>
      </c>
      <c r="AC1875" t="s">
        <v>4562</v>
      </c>
      <c r="AD1875" t="s">
        <v>13042</v>
      </c>
      <c r="AE1875" t="s">
        <v>4655</v>
      </c>
      <c r="AF1875" t="s">
        <v>4563</v>
      </c>
      <c r="AG1875" t="s">
        <v>4564</v>
      </c>
      <c r="AH1875">
        <v>89512</v>
      </c>
      <c r="AI1875" t="s">
        <v>13043</v>
      </c>
      <c r="AJ1875" t="s">
        <v>2189</v>
      </c>
      <c r="AK1875" t="s">
        <v>13044</v>
      </c>
      <c r="AL1875" s="13" t="s">
        <v>2255</v>
      </c>
      <c r="AM1875" s="14">
        <v>1</v>
      </c>
      <c r="AN1875" s="15" t="s">
        <v>2190</v>
      </c>
    </row>
    <row r="1876" spans="1:40" x14ac:dyDescent="0.3">
      <c r="A1876" s="10" t="str">
        <f>HYPERLINK("http://www.washoecounty.gov/assessor/cama/?parid=026-041-11&amp;CardNumber=1","026-041-11")</f>
        <v>026-041-11</v>
      </c>
      <c r="B1876" t="s">
        <v>4655</v>
      </c>
      <c r="C1876" t="s">
        <v>3404</v>
      </c>
      <c r="D1876" s="1">
        <v>40345</v>
      </c>
      <c r="E1876" s="2">
        <v>20000</v>
      </c>
      <c r="F1876" t="s">
        <v>4553</v>
      </c>
      <c r="G1876" s="17" t="str">
        <f>HYPERLINK("https://www.washoecounty.gov/assessor/cama/?command=sales&amp;parid=02604111","3892300")</f>
        <v>3892300</v>
      </c>
      <c r="H1876" t="s">
        <v>3989</v>
      </c>
      <c r="I1876">
        <v>1979</v>
      </c>
      <c r="J1876">
        <v>1979</v>
      </c>
      <c r="K1876" t="s">
        <v>4897</v>
      </c>
      <c r="L1876" t="s">
        <v>4555</v>
      </c>
      <c r="M1876" s="2">
        <v>665</v>
      </c>
      <c r="N1876" t="s">
        <v>4556</v>
      </c>
      <c r="O1876">
        <v>1</v>
      </c>
      <c r="P1876">
        <v>1</v>
      </c>
      <c r="Q1876">
        <v>0</v>
      </c>
      <c r="R1876" t="s">
        <v>5281</v>
      </c>
      <c r="S1876" t="s">
        <v>4558</v>
      </c>
      <c r="T1876" t="s">
        <v>4559</v>
      </c>
      <c r="U1876" t="s">
        <v>4655</v>
      </c>
      <c r="V1876" s="2">
        <v>0</v>
      </c>
      <c r="W1876" t="s">
        <v>4655</v>
      </c>
      <c r="X1876" s="2">
        <v>0</v>
      </c>
      <c r="Y1876">
        <v>21</v>
      </c>
      <c r="Z1876" t="s">
        <v>2705</v>
      </c>
      <c r="AA1876" s="3">
        <v>1.00000004749745E-3</v>
      </c>
      <c r="AB1876" t="s">
        <v>13045</v>
      </c>
      <c r="AC1876" t="s">
        <v>4562</v>
      </c>
      <c r="AD1876" t="s">
        <v>13046</v>
      </c>
      <c r="AE1876" t="s">
        <v>4655</v>
      </c>
      <c r="AF1876" t="s">
        <v>5052</v>
      </c>
      <c r="AG1876" t="s">
        <v>4564</v>
      </c>
      <c r="AH1876">
        <v>89032</v>
      </c>
      <c r="AI1876" t="s">
        <v>601</v>
      </c>
      <c r="AJ1876" t="s">
        <v>4655</v>
      </c>
      <c r="AK1876" t="s">
        <v>13047</v>
      </c>
      <c r="AL1876" s="13" t="s">
        <v>2255</v>
      </c>
      <c r="AM1876">
        <v>1</v>
      </c>
      <c r="AN1876" s="15" t="s">
        <v>1837</v>
      </c>
    </row>
    <row r="1877" spans="1:40" x14ac:dyDescent="0.3">
      <c r="A1877" s="10" t="str">
        <f>HYPERLINK("http://www.washoecounty.gov/assessor/cama/?parid=026-042-10&amp;CardNumber=1","026-042-10")</f>
        <v>026-042-10</v>
      </c>
      <c r="B1877" t="s">
        <v>4655</v>
      </c>
      <c r="C1877" t="s">
        <v>5513</v>
      </c>
      <c r="D1877" s="1">
        <v>40515</v>
      </c>
      <c r="E1877" s="2">
        <v>23063</v>
      </c>
      <c r="F1877" t="s">
        <v>4553</v>
      </c>
      <c r="G1877" s="17" t="str">
        <f>HYPERLINK("https://www.washoecounty.gov/assessor/cama/?command=sales&amp;parid=02604210","3949149")</f>
        <v>3949149</v>
      </c>
      <c r="H1877" t="s">
        <v>2192</v>
      </c>
      <c r="I1877">
        <v>1979</v>
      </c>
      <c r="J1877">
        <v>1979</v>
      </c>
      <c r="K1877" t="s">
        <v>4897</v>
      </c>
      <c r="L1877" t="s">
        <v>4555</v>
      </c>
      <c r="M1877" s="2">
        <v>963</v>
      </c>
      <c r="N1877" t="s">
        <v>4556</v>
      </c>
      <c r="O1877">
        <v>2</v>
      </c>
      <c r="P1877">
        <v>1</v>
      </c>
      <c r="Q1877">
        <v>0</v>
      </c>
      <c r="R1877" t="s">
        <v>5281</v>
      </c>
      <c r="S1877" t="s">
        <v>4558</v>
      </c>
      <c r="T1877" t="s">
        <v>4559</v>
      </c>
      <c r="U1877" t="s">
        <v>4655</v>
      </c>
      <c r="V1877" s="2">
        <v>0</v>
      </c>
      <c r="W1877" t="s">
        <v>4655</v>
      </c>
      <c r="X1877" s="2">
        <v>0</v>
      </c>
      <c r="Y1877">
        <v>21</v>
      </c>
      <c r="Z1877" t="s">
        <v>2705</v>
      </c>
      <c r="AA1877" s="3">
        <v>1.00000004749745E-3</v>
      </c>
      <c r="AB1877" t="s">
        <v>5514</v>
      </c>
      <c r="AC1877" t="s">
        <v>4562</v>
      </c>
      <c r="AD1877" t="s">
        <v>13048</v>
      </c>
      <c r="AE1877" t="s">
        <v>4655</v>
      </c>
      <c r="AF1877" t="s">
        <v>4563</v>
      </c>
      <c r="AG1877" t="s">
        <v>4564</v>
      </c>
      <c r="AH1877">
        <v>89512</v>
      </c>
      <c r="AI1877" t="s">
        <v>4903</v>
      </c>
      <c r="AJ1877" t="s">
        <v>4655</v>
      </c>
      <c r="AK1877" t="s">
        <v>5515</v>
      </c>
      <c r="AL1877" s="13" t="s">
        <v>2255</v>
      </c>
      <c r="AM1877" s="14">
        <v>1</v>
      </c>
      <c r="AN1877" s="15" t="s">
        <v>1837</v>
      </c>
    </row>
    <row r="1878" spans="1:40" x14ac:dyDescent="0.3">
      <c r="A1878" s="10" t="str">
        <f>HYPERLINK("http://www.washoecounty.gov/assessor/cama/?parid=026-043-11&amp;CardNumber=1","026-043-11")</f>
        <v>026-043-11</v>
      </c>
      <c r="B1878" t="s">
        <v>4655</v>
      </c>
      <c r="C1878" t="s">
        <v>3404</v>
      </c>
      <c r="D1878" s="1">
        <v>40280</v>
      </c>
      <c r="E1878" s="2">
        <v>20500</v>
      </c>
      <c r="F1878" t="s">
        <v>4553</v>
      </c>
      <c r="G1878" s="17" t="str">
        <f>HYPERLINK("https://www.washoecounty.gov/assessor/cama/?command=sales&amp;parid=02604311","3870001")</f>
        <v>3870001</v>
      </c>
      <c r="H1878" t="s">
        <v>2192</v>
      </c>
      <c r="I1878">
        <v>1979</v>
      </c>
      <c r="J1878">
        <v>1979</v>
      </c>
      <c r="K1878" t="s">
        <v>4897</v>
      </c>
      <c r="L1878" t="s">
        <v>4555</v>
      </c>
      <c r="M1878" s="2">
        <v>665</v>
      </c>
      <c r="N1878" t="s">
        <v>4556</v>
      </c>
      <c r="O1878">
        <v>1</v>
      </c>
      <c r="P1878">
        <v>1</v>
      </c>
      <c r="Q1878">
        <v>0</v>
      </c>
      <c r="R1878" t="s">
        <v>5281</v>
      </c>
      <c r="S1878" t="s">
        <v>4558</v>
      </c>
      <c r="T1878" t="s">
        <v>4559</v>
      </c>
      <c r="U1878" t="s">
        <v>4655</v>
      </c>
      <c r="V1878" s="2">
        <v>0</v>
      </c>
      <c r="W1878" t="s">
        <v>4655</v>
      </c>
      <c r="X1878" s="2">
        <v>0</v>
      </c>
      <c r="Y1878">
        <v>21</v>
      </c>
      <c r="Z1878" t="s">
        <v>2705</v>
      </c>
      <c r="AA1878" s="3">
        <v>1.00000004749745E-3</v>
      </c>
      <c r="AB1878" t="s">
        <v>13049</v>
      </c>
      <c r="AC1878" t="s">
        <v>4562</v>
      </c>
      <c r="AD1878" t="s">
        <v>7241</v>
      </c>
      <c r="AE1878" t="s">
        <v>4655</v>
      </c>
      <c r="AF1878" t="s">
        <v>3680</v>
      </c>
      <c r="AG1878" t="s">
        <v>4584</v>
      </c>
      <c r="AH1878">
        <v>95032</v>
      </c>
      <c r="AI1878" t="s">
        <v>2399</v>
      </c>
      <c r="AJ1878" t="s">
        <v>4655</v>
      </c>
      <c r="AK1878" t="s">
        <v>13050</v>
      </c>
      <c r="AL1878" s="13" t="s">
        <v>2255</v>
      </c>
      <c r="AM1878" s="14">
        <v>1</v>
      </c>
      <c r="AN1878" s="15" t="s">
        <v>1837</v>
      </c>
    </row>
    <row r="1879" spans="1:40" x14ac:dyDescent="0.3">
      <c r="A1879" s="10" t="str">
        <f>HYPERLINK("http://www.washoecounty.gov/assessor/cama/?parid=026-044-07&amp;CardNumber=1","026-044-07")</f>
        <v>026-044-07</v>
      </c>
      <c r="B1879" t="s">
        <v>4655</v>
      </c>
      <c r="C1879" t="s">
        <v>13051</v>
      </c>
      <c r="D1879" s="1">
        <v>40339</v>
      </c>
      <c r="E1879" s="2">
        <v>30500</v>
      </c>
      <c r="F1879" t="s">
        <v>4567</v>
      </c>
      <c r="G1879" s="17" t="str">
        <f>HYPERLINK("https://www.washoecounty.gov/assessor/cama/?command=sales&amp;parid=02604407","3890236")</f>
        <v>3890236</v>
      </c>
      <c r="H1879" t="s">
        <v>2192</v>
      </c>
      <c r="I1879">
        <v>1979</v>
      </c>
      <c r="J1879">
        <v>1979</v>
      </c>
      <c r="K1879" t="s">
        <v>4897</v>
      </c>
      <c r="L1879" t="s">
        <v>4555</v>
      </c>
      <c r="M1879" s="2">
        <v>665</v>
      </c>
      <c r="N1879" t="s">
        <v>4556</v>
      </c>
      <c r="O1879">
        <v>1</v>
      </c>
      <c r="P1879">
        <v>1</v>
      </c>
      <c r="Q1879">
        <v>0</v>
      </c>
      <c r="R1879" t="s">
        <v>5281</v>
      </c>
      <c r="S1879" t="s">
        <v>4558</v>
      </c>
      <c r="T1879" t="s">
        <v>4559</v>
      </c>
      <c r="U1879" t="s">
        <v>4655</v>
      </c>
      <c r="V1879" s="2">
        <v>0</v>
      </c>
      <c r="W1879" t="s">
        <v>4655</v>
      </c>
      <c r="X1879" s="2">
        <v>0</v>
      </c>
      <c r="Y1879">
        <v>21</v>
      </c>
      <c r="Z1879" t="s">
        <v>2705</v>
      </c>
      <c r="AA1879" s="3">
        <v>1.00000004749745E-3</v>
      </c>
      <c r="AB1879" t="s">
        <v>13052</v>
      </c>
      <c r="AC1879" t="s">
        <v>4575</v>
      </c>
      <c r="AD1879" t="s">
        <v>13053</v>
      </c>
      <c r="AE1879" t="s">
        <v>4655</v>
      </c>
      <c r="AF1879" t="s">
        <v>5201</v>
      </c>
      <c r="AG1879" t="s">
        <v>4564</v>
      </c>
      <c r="AH1879" t="s">
        <v>5202</v>
      </c>
      <c r="AI1879" t="s">
        <v>13054</v>
      </c>
      <c r="AJ1879" t="s">
        <v>4655</v>
      </c>
      <c r="AK1879" t="s">
        <v>13055</v>
      </c>
      <c r="AL1879" s="13" t="s">
        <v>2255</v>
      </c>
      <c r="AM1879">
        <v>1</v>
      </c>
      <c r="AN1879" s="15" t="s">
        <v>1837</v>
      </c>
    </row>
    <row r="1880" spans="1:40" x14ac:dyDescent="0.3">
      <c r="A1880" s="10" t="str">
        <f>HYPERLINK("http://www.washoecounty.gov/assessor/cama/?parid=026-045-03&amp;CardNumber=1","026-045-03")</f>
        <v>026-045-03</v>
      </c>
      <c r="B1880" t="s">
        <v>4655</v>
      </c>
      <c r="C1880" t="s">
        <v>13056</v>
      </c>
      <c r="D1880" s="1">
        <v>40312</v>
      </c>
      <c r="E1880" s="2">
        <v>40000</v>
      </c>
      <c r="F1880" t="s">
        <v>4567</v>
      </c>
      <c r="G1880" s="17" t="str">
        <f>HYPERLINK("https://www.washoecounty.gov/assessor/cama/?command=sales&amp;parid=02604503","3881304")</f>
        <v>3881304</v>
      </c>
      <c r="H1880" t="s">
        <v>2192</v>
      </c>
      <c r="I1880">
        <v>1979</v>
      </c>
      <c r="J1880">
        <v>1979</v>
      </c>
      <c r="K1880" t="s">
        <v>4897</v>
      </c>
      <c r="L1880" t="s">
        <v>4555</v>
      </c>
      <c r="M1880" s="2">
        <v>963</v>
      </c>
      <c r="N1880" t="s">
        <v>4556</v>
      </c>
      <c r="O1880">
        <v>2</v>
      </c>
      <c r="P1880">
        <v>1</v>
      </c>
      <c r="Q1880">
        <v>0</v>
      </c>
      <c r="R1880" t="s">
        <v>5281</v>
      </c>
      <c r="S1880" t="s">
        <v>4558</v>
      </c>
      <c r="T1880" t="s">
        <v>4559</v>
      </c>
      <c r="U1880" t="s">
        <v>4655</v>
      </c>
      <c r="V1880" s="2">
        <v>0</v>
      </c>
      <c r="W1880" t="s">
        <v>4655</v>
      </c>
      <c r="X1880" s="2">
        <v>0</v>
      </c>
      <c r="Y1880">
        <v>21</v>
      </c>
      <c r="Z1880" t="s">
        <v>2705</v>
      </c>
      <c r="AA1880" s="3">
        <v>1.00000004749745E-3</v>
      </c>
      <c r="AB1880" t="s">
        <v>5096</v>
      </c>
      <c r="AC1880" t="s">
        <v>4562</v>
      </c>
      <c r="AD1880" t="s">
        <v>5741</v>
      </c>
      <c r="AE1880" t="s">
        <v>4655</v>
      </c>
      <c r="AF1880" t="s">
        <v>4809</v>
      </c>
      <c r="AG1880" t="s">
        <v>4564</v>
      </c>
      <c r="AH1880" t="s">
        <v>1605</v>
      </c>
      <c r="AI1880" t="s">
        <v>13057</v>
      </c>
      <c r="AJ1880" t="s">
        <v>4655</v>
      </c>
      <c r="AK1880" t="s">
        <v>13058</v>
      </c>
      <c r="AL1880" s="13" t="s">
        <v>2255</v>
      </c>
      <c r="AM1880">
        <v>1</v>
      </c>
      <c r="AN1880" s="15" t="s">
        <v>1837</v>
      </c>
    </row>
    <row r="1881" spans="1:40" x14ac:dyDescent="0.3">
      <c r="A1881" s="10" t="str">
        <f>HYPERLINK("http://www.washoecounty.gov/assessor/cama/?parid=026-045-14&amp;CardNumber=1","026-045-14")</f>
        <v>026-045-14</v>
      </c>
      <c r="B1881" t="s">
        <v>4655</v>
      </c>
      <c r="C1881" t="s">
        <v>13059</v>
      </c>
      <c r="D1881" s="1">
        <v>40421</v>
      </c>
      <c r="E1881" s="2">
        <v>15000</v>
      </c>
      <c r="F1881" t="s">
        <v>4567</v>
      </c>
      <c r="G1881" s="17" t="str">
        <f>HYPERLINK("https://www.washoecounty.gov/assessor/cama/?command=sales&amp;parid=02604514","3917366")</f>
        <v>3917366</v>
      </c>
      <c r="H1881" t="s">
        <v>3989</v>
      </c>
      <c r="I1881">
        <v>1979</v>
      </c>
      <c r="J1881">
        <v>1979</v>
      </c>
      <c r="K1881" t="s">
        <v>4897</v>
      </c>
      <c r="L1881" t="s">
        <v>4555</v>
      </c>
      <c r="M1881" s="2">
        <v>665</v>
      </c>
      <c r="N1881" t="s">
        <v>4556</v>
      </c>
      <c r="O1881">
        <v>1</v>
      </c>
      <c r="P1881">
        <v>1</v>
      </c>
      <c r="Q1881">
        <v>0</v>
      </c>
      <c r="R1881" t="s">
        <v>5281</v>
      </c>
      <c r="S1881" t="s">
        <v>4558</v>
      </c>
      <c r="T1881" t="s">
        <v>4559</v>
      </c>
      <c r="U1881" t="s">
        <v>4655</v>
      </c>
      <c r="V1881" s="2">
        <v>0</v>
      </c>
      <c r="W1881" t="s">
        <v>4655</v>
      </c>
      <c r="X1881" s="2">
        <v>0</v>
      </c>
      <c r="Y1881">
        <v>21</v>
      </c>
      <c r="Z1881" t="s">
        <v>2705</v>
      </c>
      <c r="AA1881" s="3">
        <v>1.00000004749745E-3</v>
      </c>
      <c r="AB1881" t="s">
        <v>13060</v>
      </c>
      <c r="AC1881" t="s">
        <v>4575</v>
      </c>
      <c r="AD1881" t="s">
        <v>13061</v>
      </c>
      <c r="AE1881" t="s">
        <v>13062</v>
      </c>
      <c r="AF1881" t="s">
        <v>4563</v>
      </c>
      <c r="AG1881" t="s">
        <v>4564</v>
      </c>
      <c r="AH1881" t="s">
        <v>3949</v>
      </c>
      <c r="AI1881" t="s">
        <v>13063</v>
      </c>
      <c r="AJ1881" t="s">
        <v>4655</v>
      </c>
      <c r="AK1881" t="s">
        <v>13064</v>
      </c>
      <c r="AL1881" s="13" t="s">
        <v>2255</v>
      </c>
      <c r="AM1881" s="14">
        <v>1</v>
      </c>
      <c r="AN1881" s="15" t="s">
        <v>1837</v>
      </c>
    </row>
    <row r="1882" spans="1:40" x14ac:dyDescent="0.3">
      <c r="A1882" s="10" t="str">
        <f>HYPERLINK("http://www.washoecounty.gov/assessor/cama/?parid=026-045-22&amp;CardNumber=1","026-045-22")</f>
        <v>026-045-22</v>
      </c>
      <c r="B1882" t="s">
        <v>4655</v>
      </c>
      <c r="C1882" t="s">
        <v>13065</v>
      </c>
      <c r="D1882" s="1">
        <v>40360</v>
      </c>
      <c r="E1882" s="2">
        <v>26000</v>
      </c>
      <c r="F1882" t="s">
        <v>4553</v>
      </c>
      <c r="G1882" s="17" t="str">
        <f>HYPERLINK("https://www.washoecounty.gov/assessor/cama/?command=sales&amp;parid=02604522","3897904")</f>
        <v>3897904</v>
      </c>
      <c r="H1882" t="s">
        <v>2192</v>
      </c>
      <c r="I1882">
        <v>1979</v>
      </c>
      <c r="J1882">
        <v>1979</v>
      </c>
      <c r="K1882" t="s">
        <v>4897</v>
      </c>
      <c r="L1882" t="s">
        <v>4555</v>
      </c>
      <c r="M1882" s="2">
        <v>963</v>
      </c>
      <c r="N1882" t="s">
        <v>4556</v>
      </c>
      <c r="O1882">
        <v>2</v>
      </c>
      <c r="P1882">
        <v>1</v>
      </c>
      <c r="Q1882">
        <v>0</v>
      </c>
      <c r="R1882" t="s">
        <v>5281</v>
      </c>
      <c r="S1882" t="s">
        <v>4558</v>
      </c>
      <c r="T1882" t="s">
        <v>4559</v>
      </c>
      <c r="U1882" t="s">
        <v>4655</v>
      </c>
      <c r="V1882" s="2">
        <v>0</v>
      </c>
      <c r="W1882" t="s">
        <v>4655</v>
      </c>
      <c r="X1882" s="2">
        <v>0</v>
      </c>
      <c r="Y1882">
        <v>21</v>
      </c>
      <c r="Z1882" t="s">
        <v>2705</v>
      </c>
      <c r="AA1882" s="3">
        <v>1.00000004749745E-3</v>
      </c>
      <c r="AB1882" t="s">
        <v>13066</v>
      </c>
      <c r="AC1882" t="s">
        <v>4562</v>
      </c>
      <c r="AD1882" t="s">
        <v>13067</v>
      </c>
      <c r="AE1882" t="s">
        <v>4655</v>
      </c>
      <c r="AF1882" t="s">
        <v>4563</v>
      </c>
      <c r="AG1882" t="s">
        <v>4564</v>
      </c>
      <c r="AH1882">
        <v>89512</v>
      </c>
      <c r="AI1882" t="s">
        <v>4565</v>
      </c>
      <c r="AJ1882" t="s">
        <v>4655</v>
      </c>
      <c r="AK1882" t="s">
        <v>13068</v>
      </c>
      <c r="AL1882" s="13" t="s">
        <v>2255</v>
      </c>
      <c r="AM1882">
        <v>1</v>
      </c>
      <c r="AN1882" s="15" t="s">
        <v>1837</v>
      </c>
    </row>
    <row r="1883" spans="1:40" x14ac:dyDescent="0.3">
      <c r="A1883" s="10" t="str">
        <f>HYPERLINK("http://www.washoecounty.gov/assessor/cama/?parid=026-046-07&amp;CardNumber=1","026-046-07")</f>
        <v>026-046-07</v>
      </c>
      <c r="B1883" t="s">
        <v>4655</v>
      </c>
      <c r="C1883" t="s">
        <v>13069</v>
      </c>
      <c r="D1883" s="1">
        <v>40326</v>
      </c>
      <c r="E1883" s="2">
        <v>29000</v>
      </c>
      <c r="F1883" t="s">
        <v>4567</v>
      </c>
      <c r="G1883" s="17" t="str">
        <f>HYPERLINK("https://www.washoecounty.gov/assessor/cama/?command=sales&amp;parid=02604607","3886473")</f>
        <v>3886473</v>
      </c>
      <c r="H1883" t="s">
        <v>2192</v>
      </c>
      <c r="I1883">
        <v>1979</v>
      </c>
      <c r="J1883">
        <v>1979</v>
      </c>
      <c r="K1883" t="s">
        <v>4897</v>
      </c>
      <c r="L1883" t="s">
        <v>4555</v>
      </c>
      <c r="M1883" s="2">
        <v>963</v>
      </c>
      <c r="N1883" t="s">
        <v>4556</v>
      </c>
      <c r="O1883">
        <v>2</v>
      </c>
      <c r="P1883">
        <v>1</v>
      </c>
      <c r="Q1883">
        <v>0</v>
      </c>
      <c r="R1883" t="s">
        <v>5281</v>
      </c>
      <c r="S1883" t="s">
        <v>4558</v>
      </c>
      <c r="T1883" t="s">
        <v>4559</v>
      </c>
      <c r="U1883" t="s">
        <v>4655</v>
      </c>
      <c r="V1883" s="2">
        <v>0</v>
      </c>
      <c r="W1883" t="s">
        <v>4655</v>
      </c>
      <c r="X1883" s="2">
        <v>0</v>
      </c>
      <c r="Y1883">
        <v>21</v>
      </c>
      <c r="Z1883" t="s">
        <v>2705</v>
      </c>
      <c r="AA1883" s="3">
        <v>1.00000004749745E-3</v>
      </c>
      <c r="AB1883" t="s">
        <v>13070</v>
      </c>
      <c r="AC1883" t="s">
        <v>4562</v>
      </c>
      <c r="AD1883" t="s">
        <v>1707</v>
      </c>
      <c r="AE1883" t="s">
        <v>4655</v>
      </c>
      <c r="AF1883" t="s">
        <v>4563</v>
      </c>
      <c r="AG1883" t="s">
        <v>4564</v>
      </c>
      <c r="AH1883">
        <v>89503</v>
      </c>
      <c r="AI1883" t="s">
        <v>13071</v>
      </c>
      <c r="AJ1883" t="s">
        <v>4655</v>
      </c>
      <c r="AK1883" t="s">
        <v>13072</v>
      </c>
      <c r="AL1883" s="13" t="s">
        <v>2255</v>
      </c>
      <c r="AM1883">
        <v>1</v>
      </c>
      <c r="AN1883" s="15" t="s">
        <v>1837</v>
      </c>
    </row>
    <row r="1884" spans="1:40" x14ac:dyDescent="0.3">
      <c r="A1884" s="10" t="str">
        <f>HYPERLINK("http://www.washoecounty.gov/assessor/cama/?parid=026-052-06&amp;CardNumber=1","026-052-06")</f>
        <v>026-052-06</v>
      </c>
      <c r="B1884" t="s">
        <v>4655</v>
      </c>
      <c r="C1884" t="s">
        <v>13073</v>
      </c>
      <c r="D1884" s="1">
        <v>40255</v>
      </c>
      <c r="E1884" s="2">
        <v>28000</v>
      </c>
      <c r="F1884" t="s">
        <v>4567</v>
      </c>
      <c r="G1884" s="17" t="str">
        <f>HYPERLINK("https://www.washoecounty.gov/assessor/cama/?command=sales&amp;parid=02605206","3860964")</f>
        <v>3860964</v>
      </c>
      <c r="H1884" t="s">
        <v>2192</v>
      </c>
      <c r="I1884">
        <v>1979</v>
      </c>
      <c r="J1884">
        <v>1979</v>
      </c>
      <c r="K1884" t="s">
        <v>4897</v>
      </c>
      <c r="L1884" t="s">
        <v>4555</v>
      </c>
      <c r="M1884" s="2">
        <v>665</v>
      </c>
      <c r="N1884" t="s">
        <v>4556</v>
      </c>
      <c r="O1884">
        <v>1</v>
      </c>
      <c r="P1884">
        <v>1</v>
      </c>
      <c r="Q1884">
        <v>0</v>
      </c>
      <c r="R1884" t="s">
        <v>5281</v>
      </c>
      <c r="S1884" t="s">
        <v>4558</v>
      </c>
      <c r="T1884" t="s">
        <v>4559</v>
      </c>
      <c r="U1884" t="s">
        <v>4655</v>
      </c>
      <c r="V1884" s="2">
        <v>0</v>
      </c>
      <c r="W1884" t="s">
        <v>4655</v>
      </c>
      <c r="X1884" s="2">
        <v>0</v>
      </c>
      <c r="Y1884">
        <v>21</v>
      </c>
      <c r="Z1884" t="s">
        <v>2705</v>
      </c>
      <c r="AA1884" s="3">
        <v>1.00000004749745E-3</v>
      </c>
      <c r="AB1884" t="s">
        <v>13074</v>
      </c>
      <c r="AC1884" t="s">
        <v>4562</v>
      </c>
      <c r="AD1884" t="s">
        <v>2202</v>
      </c>
      <c r="AE1884" t="s">
        <v>4655</v>
      </c>
      <c r="AF1884" t="s">
        <v>4563</v>
      </c>
      <c r="AG1884" t="s">
        <v>4564</v>
      </c>
      <c r="AH1884" t="s">
        <v>1147</v>
      </c>
      <c r="AI1884" t="s">
        <v>13075</v>
      </c>
      <c r="AJ1884" t="s">
        <v>4655</v>
      </c>
      <c r="AK1884" t="s">
        <v>13076</v>
      </c>
      <c r="AL1884" s="13" t="s">
        <v>2255</v>
      </c>
      <c r="AM1884">
        <v>1</v>
      </c>
      <c r="AN1884" s="15" t="s">
        <v>1837</v>
      </c>
    </row>
    <row r="1885" spans="1:40" x14ac:dyDescent="0.3">
      <c r="A1885" s="10" t="str">
        <f>HYPERLINK("http://www.washoecounty.gov/assessor/cama/?parid=026-053-06&amp;CardNumber=1","026-053-06")</f>
        <v>026-053-06</v>
      </c>
      <c r="B1885" t="s">
        <v>4655</v>
      </c>
      <c r="C1885" t="s">
        <v>13077</v>
      </c>
      <c r="D1885" s="1">
        <v>40450</v>
      </c>
      <c r="E1885" s="2">
        <v>20000</v>
      </c>
      <c r="F1885" t="s">
        <v>4553</v>
      </c>
      <c r="G1885" s="17" t="str">
        <f>HYPERLINK("https://www.washoecounty.gov/assessor/cama/?command=sales&amp;parid=02605306","3927487")</f>
        <v>3927487</v>
      </c>
      <c r="H1885" t="s">
        <v>3989</v>
      </c>
      <c r="I1885">
        <v>1979</v>
      </c>
      <c r="J1885">
        <v>1979</v>
      </c>
      <c r="K1885" t="s">
        <v>4897</v>
      </c>
      <c r="L1885" t="s">
        <v>4555</v>
      </c>
      <c r="M1885" s="2">
        <v>665</v>
      </c>
      <c r="N1885" t="s">
        <v>4556</v>
      </c>
      <c r="O1885">
        <v>1</v>
      </c>
      <c r="P1885">
        <v>1</v>
      </c>
      <c r="Q1885">
        <v>0</v>
      </c>
      <c r="R1885" t="s">
        <v>5281</v>
      </c>
      <c r="S1885" t="s">
        <v>4558</v>
      </c>
      <c r="T1885" t="s">
        <v>4559</v>
      </c>
      <c r="U1885" t="s">
        <v>4655</v>
      </c>
      <c r="V1885" s="2">
        <v>0</v>
      </c>
      <c r="W1885" t="s">
        <v>4655</v>
      </c>
      <c r="X1885" s="2">
        <v>0</v>
      </c>
      <c r="Y1885">
        <v>21</v>
      </c>
      <c r="Z1885" t="s">
        <v>2705</v>
      </c>
      <c r="AA1885" s="3">
        <v>1.00000004749745E-3</v>
      </c>
      <c r="AB1885" t="s">
        <v>13078</v>
      </c>
      <c r="AC1885" t="s">
        <v>4562</v>
      </c>
      <c r="AD1885" t="s">
        <v>13079</v>
      </c>
      <c r="AE1885" t="s">
        <v>4655</v>
      </c>
      <c r="AF1885" t="s">
        <v>5201</v>
      </c>
      <c r="AG1885" t="s">
        <v>4564</v>
      </c>
      <c r="AH1885" t="s">
        <v>3898</v>
      </c>
      <c r="AI1885" t="s">
        <v>1787</v>
      </c>
      <c r="AJ1885" t="s">
        <v>4655</v>
      </c>
      <c r="AK1885" t="s">
        <v>13080</v>
      </c>
      <c r="AL1885" s="13" t="s">
        <v>2255</v>
      </c>
      <c r="AM1885" s="14">
        <v>1</v>
      </c>
      <c r="AN1885" s="15" t="s">
        <v>1837</v>
      </c>
    </row>
    <row r="1886" spans="1:40" x14ac:dyDescent="0.3">
      <c r="A1886" s="10" t="str">
        <f>HYPERLINK("http://www.washoecounty.gov/assessor/cama/?parid=026-053-07&amp;CardNumber=1","026-053-07")</f>
        <v>026-053-07</v>
      </c>
      <c r="B1886" t="s">
        <v>4655</v>
      </c>
      <c r="C1886" t="s">
        <v>13077</v>
      </c>
      <c r="D1886" s="1">
        <v>40451</v>
      </c>
      <c r="E1886" s="2">
        <v>20000</v>
      </c>
      <c r="F1886" t="s">
        <v>4553</v>
      </c>
      <c r="G1886" s="17" t="str">
        <f>HYPERLINK("https://www.washoecounty.gov/assessor/cama/?command=sales&amp;parid=02605307","3928404")</f>
        <v>3928404</v>
      </c>
      <c r="H1886" t="s">
        <v>3989</v>
      </c>
      <c r="I1886">
        <v>1979</v>
      </c>
      <c r="J1886">
        <v>1979</v>
      </c>
      <c r="K1886" t="s">
        <v>4897</v>
      </c>
      <c r="L1886" t="s">
        <v>4555</v>
      </c>
      <c r="M1886" s="2">
        <v>665</v>
      </c>
      <c r="N1886" t="s">
        <v>4556</v>
      </c>
      <c r="O1886">
        <v>1</v>
      </c>
      <c r="P1886">
        <v>1</v>
      </c>
      <c r="Q1886">
        <v>0</v>
      </c>
      <c r="R1886" t="s">
        <v>5281</v>
      </c>
      <c r="S1886" t="s">
        <v>4558</v>
      </c>
      <c r="T1886" t="s">
        <v>4559</v>
      </c>
      <c r="U1886" t="s">
        <v>4655</v>
      </c>
      <c r="V1886" s="2">
        <v>0</v>
      </c>
      <c r="W1886" t="s">
        <v>4655</v>
      </c>
      <c r="X1886" s="2">
        <v>0</v>
      </c>
      <c r="Y1886">
        <v>21</v>
      </c>
      <c r="Z1886" t="s">
        <v>2705</v>
      </c>
      <c r="AA1886" s="3">
        <v>1.00000004749745E-3</v>
      </c>
      <c r="AB1886" t="s">
        <v>4423</v>
      </c>
      <c r="AC1886" t="s">
        <v>4562</v>
      </c>
      <c r="AD1886" t="s">
        <v>13081</v>
      </c>
      <c r="AE1886" t="s">
        <v>4655</v>
      </c>
      <c r="AF1886" t="s">
        <v>4563</v>
      </c>
      <c r="AG1886" t="s">
        <v>4564</v>
      </c>
      <c r="AH1886">
        <v>89511</v>
      </c>
      <c r="AI1886" t="s">
        <v>1787</v>
      </c>
      <c r="AJ1886" t="s">
        <v>4655</v>
      </c>
      <c r="AK1886" t="s">
        <v>13082</v>
      </c>
      <c r="AL1886" s="13" t="s">
        <v>2255</v>
      </c>
      <c r="AM1886">
        <v>1</v>
      </c>
      <c r="AN1886" s="15" t="s">
        <v>1837</v>
      </c>
    </row>
    <row r="1887" spans="1:40" x14ac:dyDescent="0.3">
      <c r="A1887" s="10" t="str">
        <f>HYPERLINK("http://www.washoecounty.gov/assessor/cama/?parid=026-054-11&amp;CardNumber=1","026-054-11")</f>
        <v>026-054-11</v>
      </c>
      <c r="B1887" t="s">
        <v>4655</v>
      </c>
      <c r="C1887" t="s">
        <v>13083</v>
      </c>
      <c r="D1887" s="1">
        <v>40420</v>
      </c>
      <c r="E1887" s="2">
        <v>30500</v>
      </c>
      <c r="F1887" t="s">
        <v>4553</v>
      </c>
      <c r="G1887" s="17" t="str">
        <f>HYPERLINK("https://www.washoecounty.gov/assessor/cama/?command=sales&amp;parid=02605411","3916653")</f>
        <v>3916653</v>
      </c>
      <c r="H1887" t="s">
        <v>2192</v>
      </c>
      <c r="I1887">
        <v>1979</v>
      </c>
      <c r="J1887">
        <v>1979</v>
      </c>
      <c r="K1887" t="s">
        <v>4897</v>
      </c>
      <c r="L1887" t="s">
        <v>4555</v>
      </c>
      <c r="M1887" s="2">
        <v>963</v>
      </c>
      <c r="N1887" t="s">
        <v>4556</v>
      </c>
      <c r="O1887">
        <v>2</v>
      </c>
      <c r="P1887">
        <v>1</v>
      </c>
      <c r="Q1887">
        <v>0</v>
      </c>
      <c r="R1887" t="s">
        <v>5281</v>
      </c>
      <c r="S1887" t="s">
        <v>4558</v>
      </c>
      <c r="T1887" t="s">
        <v>4559</v>
      </c>
      <c r="U1887" t="s">
        <v>4655</v>
      </c>
      <c r="V1887" s="2">
        <v>0</v>
      </c>
      <c r="W1887" t="s">
        <v>4655</v>
      </c>
      <c r="X1887" s="2">
        <v>0</v>
      </c>
      <c r="Y1887">
        <v>21</v>
      </c>
      <c r="Z1887" t="s">
        <v>2705</v>
      </c>
      <c r="AA1887" s="3">
        <v>1.00000004749745E-3</v>
      </c>
      <c r="AB1887" t="s">
        <v>2991</v>
      </c>
      <c r="AC1887" t="s">
        <v>4562</v>
      </c>
      <c r="AD1887" t="s">
        <v>2992</v>
      </c>
      <c r="AE1887" t="s">
        <v>4655</v>
      </c>
      <c r="AF1887" t="s">
        <v>4563</v>
      </c>
      <c r="AG1887" t="s">
        <v>4564</v>
      </c>
      <c r="AH1887" t="s">
        <v>1147</v>
      </c>
      <c r="AI1887" t="s">
        <v>4903</v>
      </c>
      <c r="AJ1887" t="s">
        <v>4655</v>
      </c>
      <c r="AK1887" t="s">
        <v>13084</v>
      </c>
      <c r="AL1887" s="13" t="s">
        <v>2255</v>
      </c>
      <c r="AM1887">
        <v>1</v>
      </c>
      <c r="AN1887" s="15" t="s">
        <v>1837</v>
      </c>
    </row>
    <row r="1888" spans="1:40" x14ac:dyDescent="0.3">
      <c r="A1888" s="10" t="str">
        <f>HYPERLINK("http://www.washoecounty.gov/assessor/cama/?parid=026-054-27&amp;CardNumber=1","026-054-27")</f>
        <v>026-054-27</v>
      </c>
      <c r="B1888" t="s">
        <v>4655</v>
      </c>
      <c r="C1888" t="s">
        <v>13085</v>
      </c>
      <c r="D1888" s="1">
        <v>40532</v>
      </c>
      <c r="E1888" s="2">
        <v>30000</v>
      </c>
      <c r="F1888" t="s">
        <v>4553</v>
      </c>
      <c r="G1888" s="17" t="str">
        <f>HYPERLINK("https://www.washoecounty.gov/assessor/cama/?command=sales&amp;parid=02605427","3955578")</f>
        <v>3955578</v>
      </c>
      <c r="H1888" t="s">
        <v>2192</v>
      </c>
      <c r="I1888">
        <v>1979</v>
      </c>
      <c r="J1888">
        <v>1979</v>
      </c>
      <c r="K1888" t="s">
        <v>4897</v>
      </c>
      <c r="L1888" t="s">
        <v>4555</v>
      </c>
      <c r="M1888" s="2">
        <v>963</v>
      </c>
      <c r="N1888" t="s">
        <v>4556</v>
      </c>
      <c r="O1888">
        <v>2</v>
      </c>
      <c r="P1888">
        <v>1</v>
      </c>
      <c r="Q1888">
        <v>0</v>
      </c>
      <c r="R1888" t="s">
        <v>5281</v>
      </c>
      <c r="S1888" t="s">
        <v>4558</v>
      </c>
      <c r="T1888" t="s">
        <v>4559</v>
      </c>
      <c r="U1888" t="s">
        <v>4655</v>
      </c>
      <c r="V1888" s="2">
        <v>0</v>
      </c>
      <c r="W1888" t="s">
        <v>4655</v>
      </c>
      <c r="X1888" s="2">
        <v>0</v>
      </c>
      <c r="Y1888">
        <v>21</v>
      </c>
      <c r="Z1888" t="s">
        <v>2705</v>
      </c>
      <c r="AA1888" s="3">
        <v>1.00000004749745E-3</v>
      </c>
      <c r="AB1888" t="s">
        <v>1109</v>
      </c>
      <c r="AC1888" t="s">
        <v>4562</v>
      </c>
      <c r="AD1888" t="s">
        <v>1110</v>
      </c>
      <c r="AE1888" t="s">
        <v>4655</v>
      </c>
      <c r="AF1888" t="s">
        <v>4809</v>
      </c>
      <c r="AG1888" t="s">
        <v>4564</v>
      </c>
      <c r="AH1888" t="s">
        <v>3898</v>
      </c>
      <c r="AI1888" t="s">
        <v>1602</v>
      </c>
      <c r="AJ1888" t="s">
        <v>4655</v>
      </c>
      <c r="AK1888" t="s">
        <v>13086</v>
      </c>
      <c r="AL1888" s="13" t="s">
        <v>2255</v>
      </c>
      <c r="AM1888" s="14">
        <v>1</v>
      </c>
      <c r="AN1888" s="15" t="s">
        <v>1837</v>
      </c>
    </row>
    <row r="1889" spans="1:40" x14ac:dyDescent="0.3">
      <c r="A1889" s="10" t="str">
        <f>HYPERLINK("http://www.washoecounty.gov/assessor/cama/?parid=026-055-18&amp;CardNumber=1","026-055-18")</f>
        <v>026-055-18</v>
      </c>
      <c r="B1889" t="s">
        <v>4655</v>
      </c>
      <c r="C1889" t="s">
        <v>4314</v>
      </c>
      <c r="D1889" s="1">
        <v>40473</v>
      </c>
      <c r="E1889" s="2">
        <v>31700</v>
      </c>
      <c r="F1889" t="s">
        <v>4553</v>
      </c>
      <c r="G1889" s="17" t="str">
        <f>HYPERLINK("https://www.washoecounty.gov/assessor/cama/?command=sales&amp;parid=02605518","3935528")</f>
        <v>3935528</v>
      </c>
      <c r="H1889" t="s">
        <v>3989</v>
      </c>
      <c r="I1889">
        <v>1979</v>
      </c>
      <c r="J1889">
        <v>1979</v>
      </c>
      <c r="K1889" t="s">
        <v>4897</v>
      </c>
      <c r="L1889" t="s">
        <v>4555</v>
      </c>
      <c r="M1889" s="2">
        <v>963</v>
      </c>
      <c r="N1889" t="s">
        <v>4556</v>
      </c>
      <c r="O1889">
        <v>2</v>
      </c>
      <c r="P1889">
        <v>1</v>
      </c>
      <c r="Q1889">
        <v>0</v>
      </c>
      <c r="R1889" t="s">
        <v>5281</v>
      </c>
      <c r="S1889" t="s">
        <v>4558</v>
      </c>
      <c r="T1889" t="s">
        <v>4559</v>
      </c>
      <c r="U1889" t="s">
        <v>4655</v>
      </c>
      <c r="V1889" s="2">
        <v>0</v>
      </c>
      <c r="W1889" t="s">
        <v>4655</v>
      </c>
      <c r="X1889" s="2">
        <v>0</v>
      </c>
      <c r="Y1889">
        <v>21</v>
      </c>
      <c r="Z1889" t="s">
        <v>2705</v>
      </c>
      <c r="AA1889" s="3">
        <v>1.00000004749745E-3</v>
      </c>
      <c r="AB1889" t="s">
        <v>13087</v>
      </c>
      <c r="AC1889" t="s">
        <v>4562</v>
      </c>
      <c r="AD1889" t="s">
        <v>13088</v>
      </c>
      <c r="AE1889" t="s">
        <v>4655</v>
      </c>
      <c r="AF1889" t="s">
        <v>4563</v>
      </c>
      <c r="AG1889" t="s">
        <v>4564</v>
      </c>
      <c r="AH1889">
        <v>89512</v>
      </c>
      <c r="AI1889" t="s">
        <v>4903</v>
      </c>
      <c r="AJ1889" t="s">
        <v>4655</v>
      </c>
      <c r="AK1889" t="s">
        <v>13089</v>
      </c>
      <c r="AL1889" s="13" t="s">
        <v>2255</v>
      </c>
      <c r="AM1889">
        <v>1</v>
      </c>
      <c r="AN1889" s="15" t="s">
        <v>1837</v>
      </c>
    </row>
    <row r="1890" spans="1:40" x14ac:dyDescent="0.3">
      <c r="A1890" s="10" t="str">
        <f>HYPERLINK("http://www.washoecounty.gov/assessor/cama/?parid=026-057-18&amp;CardNumber=1","026-057-18")</f>
        <v>026-057-18</v>
      </c>
      <c r="B1890" t="s">
        <v>4655</v>
      </c>
      <c r="C1890" t="s">
        <v>4314</v>
      </c>
      <c r="D1890" s="1">
        <v>40339</v>
      </c>
      <c r="E1890" s="2">
        <v>30000</v>
      </c>
      <c r="F1890" t="s">
        <v>4553</v>
      </c>
      <c r="G1890" s="17" t="str">
        <f>HYPERLINK("https://www.washoecounty.gov/assessor/cama/?command=sales&amp;parid=02605718","3889981")</f>
        <v>3889981</v>
      </c>
      <c r="H1890" t="s">
        <v>13090</v>
      </c>
      <c r="I1890">
        <v>1979</v>
      </c>
      <c r="J1890">
        <v>1979</v>
      </c>
      <c r="K1890" t="s">
        <v>4897</v>
      </c>
      <c r="L1890" t="s">
        <v>4555</v>
      </c>
      <c r="M1890" s="2">
        <v>963</v>
      </c>
      <c r="N1890" t="s">
        <v>4556</v>
      </c>
      <c r="O1890">
        <v>2</v>
      </c>
      <c r="P1890">
        <v>1</v>
      </c>
      <c r="Q1890">
        <v>0</v>
      </c>
      <c r="R1890" t="s">
        <v>5281</v>
      </c>
      <c r="S1890" t="s">
        <v>4558</v>
      </c>
      <c r="T1890" t="s">
        <v>4559</v>
      </c>
      <c r="U1890" t="s">
        <v>4655</v>
      </c>
      <c r="V1890" s="2">
        <v>0</v>
      </c>
      <c r="W1890" t="s">
        <v>4655</v>
      </c>
      <c r="X1890" s="2">
        <v>0</v>
      </c>
      <c r="Y1890">
        <v>21</v>
      </c>
      <c r="Z1890" t="s">
        <v>2705</v>
      </c>
      <c r="AA1890" s="3">
        <v>1.00000004749745E-3</v>
      </c>
      <c r="AB1890" t="s">
        <v>13091</v>
      </c>
      <c r="AC1890" t="s">
        <v>4575</v>
      </c>
      <c r="AD1890" t="s">
        <v>13092</v>
      </c>
      <c r="AE1890" t="s">
        <v>4655</v>
      </c>
      <c r="AF1890" t="s">
        <v>13093</v>
      </c>
      <c r="AG1890" t="s">
        <v>1434</v>
      </c>
      <c r="AH1890">
        <v>97304</v>
      </c>
      <c r="AI1890" t="s">
        <v>4655</v>
      </c>
      <c r="AJ1890" t="s">
        <v>4655</v>
      </c>
      <c r="AK1890" t="s">
        <v>13094</v>
      </c>
      <c r="AL1890" s="13" t="s">
        <v>2255</v>
      </c>
      <c r="AM1890">
        <v>1</v>
      </c>
      <c r="AN1890" s="15" t="s">
        <v>1837</v>
      </c>
    </row>
    <row r="1891" spans="1:40" x14ac:dyDescent="0.3">
      <c r="A1891" s="10" t="str">
        <f>HYPERLINK("http://www.washoecounty.gov/assessor/cama/?parid=026-058-12&amp;CardNumber=1","026-058-12")</f>
        <v>026-058-12</v>
      </c>
      <c r="B1891" t="s">
        <v>4655</v>
      </c>
      <c r="C1891" t="s">
        <v>2191</v>
      </c>
      <c r="D1891" s="1">
        <v>40206</v>
      </c>
      <c r="E1891" s="2">
        <v>25000</v>
      </c>
      <c r="F1891" t="s">
        <v>4553</v>
      </c>
      <c r="G1891" s="17" t="str">
        <f>HYPERLINK("https://www.washoecounty.gov/assessor/cama/?command=sales&amp;parid=02605812","3843535")</f>
        <v>3843535</v>
      </c>
      <c r="H1891" t="s">
        <v>2192</v>
      </c>
      <c r="I1891">
        <v>1979</v>
      </c>
      <c r="J1891">
        <v>1979</v>
      </c>
      <c r="K1891" t="s">
        <v>4897</v>
      </c>
      <c r="L1891" t="s">
        <v>4555</v>
      </c>
      <c r="M1891" s="2">
        <v>665</v>
      </c>
      <c r="N1891" t="s">
        <v>4556</v>
      </c>
      <c r="O1891">
        <v>1</v>
      </c>
      <c r="P1891">
        <v>1</v>
      </c>
      <c r="Q1891">
        <v>0</v>
      </c>
      <c r="R1891" t="s">
        <v>5281</v>
      </c>
      <c r="S1891" t="s">
        <v>4558</v>
      </c>
      <c r="T1891" t="s">
        <v>4559</v>
      </c>
      <c r="U1891" t="s">
        <v>4655</v>
      </c>
      <c r="V1891" s="2">
        <v>0</v>
      </c>
      <c r="W1891" t="s">
        <v>4655</v>
      </c>
      <c r="X1891" s="2">
        <v>0</v>
      </c>
      <c r="Y1891">
        <v>21</v>
      </c>
      <c r="Z1891" t="s">
        <v>2705</v>
      </c>
      <c r="AA1891" s="3">
        <v>1.00000004749745E-3</v>
      </c>
      <c r="AB1891" t="s">
        <v>2193</v>
      </c>
      <c r="AC1891" t="s">
        <v>4562</v>
      </c>
      <c r="AD1891" t="s">
        <v>13095</v>
      </c>
      <c r="AE1891" t="s">
        <v>4655</v>
      </c>
      <c r="AF1891" t="s">
        <v>3114</v>
      </c>
      <c r="AG1891" t="s">
        <v>4564</v>
      </c>
      <c r="AH1891">
        <v>89507</v>
      </c>
      <c r="AI1891" t="s">
        <v>4903</v>
      </c>
      <c r="AJ1891" t="s">
        <v>4655</v>
      </c>
      <c r="AK1891" t="s">
        <v>1836</v>
      </c>
      <c r="AL1891" s="13" t="s">
        <v>2255</v>
      </c>
      <c r="AM1891">
        <v>1</v>
      </c>
      <c r="AN1891" s="15" t="s">
        <v>1837</v>
      </c>
    </row>
    <row r="1892" spans="1:40" x14ac:dyDescent="0.3">
      <c r="A1892" s="10" t="str">
        <f>HYPERLINK("http://www.washoecounty.gov/assessor/cama/?parid=026-061-16&amp;CardNumber=1","026-061-16")</f>
        <v>026-061-16</v>
      </c>
      <c r="B1892" t="s">
        <v>4655</v>
      </c>
      <c r="C1892" t="s">
        <v>1838</v>
      </c>
      <c r="D1892" s="1">
        <v>40506</v>
      </c>
      <c r="E1892" s="2">
        <v>160000</v>
      </c>
      <c r="F1892" t="s">
        <v>3584</v>
      </c>
      <c r="G1892" s="17" t="str">
        <f>HYPERLINK("https://www.washoecounty.gov/assessor/cama/?command=sales&amp;parid=02606116","3946864")</f>
        <v>3946864</v>
      </c>
      <c r="H1892" t="s">
        <v>1839</v>
      </c>
      <c r="I1892">
        <v>1988</v>
      </c>
      <c r="J1892">
        <v>1988</v>
      </c>
      <c r="K1892" t="s">
        <v>4897</v>
      </c>
      <c r="L1892" t="s">
        <v>3974</v>
      </c>
      <c r="M1892" s="2">
        <v>1232</v>
      </c>
      <c r="N1892" t="s">
        <v>4556</v>
      </c>
      <c r="O1892">
        <v>2</v>
      </c>
      <c r="P1892">
        <v>2</v>
      </c>
      <c r="Q1892">
        <v>1</v>
      </c>
      <c r="R1892" t="s">
        <v>5281</v>
      </c>
      <c r="S1892" t="s">
        <v>4558</v>
      </c>
      <c r="T1892" t="s">
        <v>4559</v>
      </c>
      <c r="U1892" t="s">
        <v>4655</v>
      </c>
      <c r="V1892" s="2">
        <v>0</v>
      </c>
      <c r="W1892" t="s">
        <v>4655</v>
      </c>
      <c r="X1892" s="2">
        <v>0</v>
      </c>
      <c r="Y1892">
        <v>21</v>
      </c>
      <c r="Z1892" t="s">
        <v>1491</v>
      </c>
      <c r="AA1892" s="3">
        <v>2.6721762493252799E-2</v>
      </c>
      <c r="AB1892" t="s">
        <v>13096</v>
      </c>
      <c r="AC1892" t="s">
        <v>4562</v>
      </c>
      <c r="AD1892" t="s">
        <v>13097</v>
      </c>
      <c r="AE1892" t="s">
        <v>4655</v>
      </c>
      <c r="AF1892" t="s">
        <v>5201</v>
      </c>
      <c r="AG1892" t="s">
        <v>4564</v>
      </c>
      <c r="AH1892" t="s">
        <v>5202</v>
      </c>
      <c r="AI1892" t="s">
        <v>13098</v>
      </c>
      <c r="AJ1892" t="s">
        <v>1773</v>
      </c>
      <c r="AK1892" t="s">
        <v>13099</v>
      </c>
      <c r="AL1892" s="13" t="s">
        <v>3425</v>
      </c>
      <c r="AM1892" s="14">
        <v>1</v>
      </c>
      <c r="AN1892" s="15" t="s">
        <v>1774</v>
      </c>
    </row>
    <row r="1893" spans="1:40" x14ac:dyDescent="0.3">
      <c r="A1893" s="10" t="str">
        <f>HYPERLINK("http://www.washoecounty.gov/assessor/cama/?parid=026-061-16&amp;CardNumber=1","026-061-16")</f>
        <v>026-061-16</v>
      </c>
      <c r="B1893" t="s">
        <v>4655</v>
      </c>
      <c r="C1893" t="s">
        <v>1838</v>
      </c>
      <c r="D1893" s="1">
        <v>40540</v>
      </c>
      <c r="E1893" s="2">
        <v>100000</v>
      </c>
      <c r="F1893" t="s">
        <v>4567</v>
      </c>
      <c r="G1893" s="17" t="str">
        <f>HYPERLINK("https://www.washoecounty.gov/assessor/cama/?command=sales&amp;parid=02606116","3958233")</f>
        <v>3958233</v>
      </c>
      <c r="H1893" t="s">
        <v>1839</v>
      </c>
      <c r="I1893">
        <v>1988</v>
      </c>
      <c r="J1893">
        <v>1988</v>
      </c>
      <c r="K1893" t="s">
        <v>4897</v>
      </c>
      <c r="L1893" t="s">
        <v>3974</v>
      </c>
      <c r="M1893" s="2">
        <v>1232</v>
      </c>
      <c r="N1893" t="s">
        <v>4556</v>
      </c>
      <c r="O1893">
        <v>2</v>
      </c>
      <c r="P1893">
        <v>2</v>
      </c>
      <c r="Q1893">
        <v>1</v>
      </c>
      <c r="R1893" t="s">
        <v>5281</v>
      </c>
      <c r="S1893" t="s">
        <v>4558</v>
      </c>
      <c r="T1893" t="s">
        <v>4559</v>
      </c>
      <c r="U1893" t="s">
        <v>4655</v>
      </c>
      <c r="V1893" s="2">
        <v>0</v>
      </c>
      <c r="W1893" t="s">
        <v>4655</v>
      </c>
      <c r="X1893" s="2">
        <v>0</v>
      </c>
      <c r="Y1893">
        <v>21</v>
      </c>
      <c r="Z1893" t="s">
        <v>1491</v>
      </c>
      <c r="AA1893" s="3">
        <v>2.6721762493252799E-2</v>
      </c>
      <c r="AB1893" t="s">
        <v>13096</v>
      </c>
      <c r="AC1893" t="s">
        <v>4562</v>
      </c>
      <c r="AD1893" t="s">
        <v>13097</v>
      </c>
      <c r="AE1893" t="s">
        <v>4655</v>
      </c>
      <c r="AF1893" t="s">
        <v>5201</v>
      </c>
      <c r="AG1893" t="s">
        <v>4564</v>
      </c>
      <c r="AH1893" t="s">
        <v>5202</v>
      </c>
      <c r="AI1893" t="s">
        <v>13098</v>
      </c>
      <c r="AJ1893" t="s">
        <v>1773</v>
      </c>
      <c r="AK1893" t="s">
        <v>13099</v>
      </c>
      <c r="AL1893" s="13" t="s">
        <v>3425</v>
      </c>
      <c r="AM1893">
        <v>1</v>
      </c>
      <c r="AN1893" s="15" t="s">
        <v>1774</v>
      </c>
    </row>
    <row r="1894" spans="1:40" x14ac:dyDescent="0.3">
      <c r="A1894" s="10" t="str">
        <f>HYPERLINK("http://www.washoecounty.gov/assessor/cama/?parid=026-061-22&amp;CardNumber=1","026-061-22")</f>
        <v>026-061-22</v>
      </c>
      <c r="B1894" t="s">
        <v>4655</v>
      </c>
      <c r="C1894" t="s">
        <v>1838</v>
      </c>
      <c r="D1894" s="1">
        <v>40312</v>
      </c>
      <c r="E1894" s="2">
        <v>65000</v>
      </c>
      <c r="F1894" t="s">
        <v>4567</v>
      </c>
      <c r="G1894" s="17" t="str">
        <f>HYPERLINK("https://www.washoecounty.gov/assessor/cama/?command=sales&amp;parid=02606122","3881801")</f>
        <v>3881801</v>
      </c>
      <c r="H1894" t="s">
        <v>1839</v>
      </c>
      <c r="I1894">
        <v>1988</v>
      </c>
      <c r="J1894">
        <v>1988</v>
      </c>
      <c r="K1894" t="s">
        <v>4897</v>
      </c>
      <c r="L1894" t="s">
        <v>3974</v>
      </c>
      <c r="M1894" s="2">
        <v>1232</v>
      </c>
      <c r="N1894" t="s">
        <v>4556</v>
      </c>
      <c r="O1894">
        <v>2</v>
      </c>
      <c r="P1894">
        <v>2</v>
      </c>
      <c r="Q1894">
        <v>1</v>
      </c>
      <c r="R1894" t="s">
        <v>5281</v>
      </c>
      <c r="S1894" t="s">
        <v>4558</v>
      </c>
      <c r="T1894" t="s">
        <v>4559</v>
      </c>
      <c r="U1894" t="s">
        <v>4655</v>
      </c>
      <c r="V1894" s="2">
        <v>0</v>
      </c>
      <c r="W1894" t="s">
        <v>4655</v>
      </c>
      <c r="X1894" s="2">
        <v>0</v>
      </c>
      <c r="Y1894">
        <v>21</v>
      </c>
      <c r="Z1894" t="s">
        <v>1491</v>
      </c>
      <c r="AA1894" s="3">
        <v>2.6721762493252799E-2</v>
      </c>
      <c r="AB1894" t="s">
        <v>13100</v>
      </c>
      <c r="AC1894" t="s">
        <v>4562</v>
      </c>
      <c r="AD1894" t="s">
        <v>13101</v>
      </c>
      <c r="AE1894" t="s">
        <v>4655</v>
      </c>
      <c r="AF1894" t="s">
        <v>5201</v>
      </c>
      <c r="AG1894" t="s">
        <v>4564</v>
      </c>
      <c r="AH1894" t="s">
        <v>5202</v>
      </c>
      <c r="AI1894" t="s">
        <v>13102</v>
      </c>
      <c r="AJ1894" t="s">
        <v>1773</v>
      </c>
      <c r="AK1894" t="s">
        <v>13103</v>
      </c>
      <c r="AL1894" s="13" t="s">
        <v>3425</v>
      </c>
      <c r="AM1894" s="14">
        <v>1</v>
      </c>
      <c r="AN1894" s="15" t="s">
        <v>1774</v>
      </c>
    </row>
    <row r="1895" spans="1:40" x14ac:dyDescent="0.3">
      <c r="A1895" s="10" t="str">
        <f>HYPERLINK("http://www.washoecounty.gov/assessor/cama/?parid=026-061-23&amp;CardNumber=1","026-061-23")</f>
        <v>026-061-23</v>
      </c>
      <c r="B1895" t="s">
        <v>4655</v>
      </c>
      <c r="C1895" t="s">
        <v>1838</v>
      </c>
      <c r="D1895" s="1">
        <v>40408</v>
      </c>
      <c r="E1895" s="2">
        <v>90000</v>
      </c>
      <c r="F1895" t="s">
        <v>4567</v>
      </c>
      <c r="G1895" s="17" t="str">
        <f>HYPERLINK("https://www.washoecounty.gov/assessor/cama/?command=sales&amp;parid=02606123","3913179")</f>
        <v>3913179</v>
      </c>
      <c r="H1895" t="s">
        <v>1839</v>
      </c>
      <c r="I1895">
        <v>1988</v>
      </c>
      <c r="J1895">
        <v>1988</v>
      </c>
      <c r="K1895" t="s">
        <v>4897</v>
      </c>
      <c r="L1895" t="s">
        <v>3974</v>
      </c>
      <c r="M1895" s="2">
        <v>1198</v>
      </c>
      <c r="N1895" t="s">
        <v>4556</v>
      </c>
      <c r="O1895">
        <v>2</v>
      </c>
      <c r="P1895">
        <v>2</v>
      </c>
      <c r="Q1895">
        <v>1</v>
      </c>
      <c r="R1895" t="s">
        <v>5281</v>
      </c>
      <c r="S1895" t="s">
        <v>4558</v>
      </c>
      <c r="T1895" t="s">
        <v>4559</v>
      </c>
      <c r="U1895" t="s">
        <v>4655</v>
      </c>
      <c r="V1895" s="2">
        <v>0</v>
      </c>
      <c r="W1895" t="s">
        <v>4655</v>
      </c>
      <c r="X1895" s="2">
        <v>0</v>
      </c>
      <c r="Y1895">
        <v>21</v>
      </c>
      <c r="Z1895" t="s">
        <v>1491</v>
      </c>
      <c r="AA1895" s="3">
        <v>2.6354454457759899E-2</v>
      </c>
      <c r="AB1895" t="s">
        <v>13104</v>
      </c>
      <c r="AC1895" t="s">
        <v>4562</v>
      </c>
      <c r="AD1895" t="s">
        <v>13105</v>
      </c>
      <c r="AE1895" t="s">
        <v>4655</v>
      </c>
      <c r="AF1895" t="s">
        <v>5201</v>
      </c>
      <c r="AG1895" t="s">
        <v>4564</v>
      </c>
      <c r="AH1895" t="s">
        <v>5202</v>
      </c>
      <c r="AI1895" t="s">
        <v>4655</v>
      </c>
      <c r="AJ1895" t="s">
        <v>1773</v>
      </c>
      <c r="AK1895" t="s">
        <v>13106</v>
      </c>
      <c r="AL1895" s="13" t="s">
        <v>3425</v>
      </c>
      <c r="AM1895">
        <v>1</v>
      </c>
      <c r="AN1895" s="15" t="s">
        <v>1774</v>
      </c>
    </row>
    <row r="1896" spans="1:40" x14ac:dyDescent="0.3">
      <c r="A1896" s="10" t="str">
        <f>HYPERLINK("http://www.washoecounty.gov/assessor/cama/?parid=026-061-24&amp;CardNumber=1","026-061-24")</f>
        <v>026-061-24</v>
      </c>
      <c r="B1896" t="s">
        <v>4655</v>
      </c>
      <c r="C1896" t="s">
        <v>1838</v>
      </c>
      <c r="D1896" s="1">
        <v>40365</v>
      </c>
      <c r="E1896" s="2">
        <v>53250</v>
      </c>
      <c r="F1896" t="s">
        <v>4553</v>
      </c>
      <c r="G1896" s="17" t="str">
        <f>HYPERLINK("https://www.washoecounty.gov/assessor/cama/?command=sales&amp;parid=02606124","3898674")</f>
        <v>3898674</v>
      </c>
      <c r="H1896" t="s">
        <v>1839</v>
      </c>
      <c r="I1896">
        <v>1988</v>
      </c>
      <c r="J1896">
        <v>1988</v>
      </c>
      <c r="K1896" t="s">
        <v>3144</v>
      </c>
      <c r="L1896" t="s">
        <v>3974</v>
      </c>
      <c r="M1896" s="2">
        <v>1198</v>
      </c>
      <c r="N1896" t="s">
        <v>4556</v>
      </c>
      <c r="O1896">
        <v>2</v>
      </c>
      <c r="P1896">
        <v>2</v>
      </c>
      <c r="Q1896">
        <v>1</v>
      </c>
      <c r="R1896" t="s">
        <v>5281</v>
      </c>
      <c r="S1896" t="s">
        <v>4558</v>
      </c>
      <c r="T1896" t="s">
        <v>4559</v>
      </c>
      <c r="U1896" t="s">
        <v>4655</v>
      </c>
      <c r="V1896" s="2">
        <v>0</v>
      </c>
      <c r="W1896" t="s">
        <v>4655</v>
      </c>
      <c r="X1896" s="2">
        <v>0</v>
      </c>
      <c r="Y1896">
        <v>21</v>
      </c>
      <c r="Z1896" t="s">
        <v>1491</v>
      </c>
      <c r="AA1896" s="3">
        <v>2.6354454457759899E-2</v>
      </c>
      <c r="AB1896" t="s">
        <v>13107</v>
      </c>
      <c r="AC1896" t="s">
        <v>4562</v>
      </c>
      <c r="AD1896" t="s">
        <v>13108</v>
      </c>
      <c r="AE1896" t="s">
        <v>4655</v>
      </c>
      <c r="AF1896" t="s">
        <v>4563</v>
      </c>
      <c r="AG1896" t="s">
        <v>4564</v>
      </c>
      <c r="AH1896" t="s">
        <v>2330</v>
      </c>
      <c r="AI1896" t="s">
        <v>4903</v>
      </c>
      <c r="AJ1896" t="s">
        <v>1773</v>
      </c>
      <c r="AK1896" t="s">
        <v>13109</v>
      </c>
      <c r="AL1896" s="13" t="s">
        <v>3425</v>
      </c>
      <c r="AM1896">
        <v>1</v>
      </c>
      <c r="AN1896" s="15" t="s">
        <v>1774</v>
      </c>
    </row>
    <row r="1897" spans="1:40" x14ac:dyDescent="0.3">
      <c r="A1897" s="10" t="str">
        <f>HYPERLINK("http://www.washoecounty.gov/assessor/cama/?parid=026-061-26&amp;CardNumber=1","026-061-26")</f>
        <v>026-061-26</v>
      </c>
      <c r="B1897" t="s">
        <v>4655</v>
      </c>
      <c r="C1897" t="s">
        <v>1838</v>
      </c>
      <c r="D1897" s="1">
        <v>40213</v>
      </c>
      <c r="E1897" s="2">
        <v>60000</v>
      </c>
      <c r="F1897" t="s">
        <v>4567</v>
      </c>
      <c r="G1897" s="17" t="str">
        <f>HYPERLINK("https://www.washoecounty.gov/assessor/cama/?command=sales&amp;parid=02606126","3846135")</f>
        <v>3846135</v>
      </c>
      <c r="H1897" t="s">
        <v>1839</v>
      </c>
      <c r="I1897">
        <v>1988</v>
      </c>
      <c r="J1897">
        <v>1988</v>
      </c>
      <c r="K1897" t="s">
        <v>4897</v>
      </c>
      <c r="L1897" t="s">
        <v>3974</v>
      </c>
      <c r="M1897" s="2">
        <v>1198</v>
      </c>
      <c r="N1897" t="s">
        <v>4556</v>
      </c>
      <c r="O1897">
        <v>2</v>
      </c>
      <c r="P1897">
        <v>2</v>
      </c>
      <c r="Q1897">
        <v>1</v>
      </c>
      <c r="R1897" t="s">
        <v>5281</v>
      </c>
      <c r="S1897" t="s">
        <v>4558</v>
      </c>
      <c r="T1897" t="s">
        <v>4559</v>
      </c>
      <c r="U1897" t="s">
        <v>4655</v>
      </c>
      <c r="V1897" s="2">
        <v>0</v>
      </c>
      <c r="W1897" t="s">
        <v>4655</v>
      </c>
      <c r="X1897" s="2">
        <v>0</v>
      </c>
      <c r="Y1897">
        <v>21</v>
      </c>
      <c r="Z1897" t="s">
        <v>1491</v>
      </c>
      <c r="AA1897" s="3">
        <v>2.6354454457759899E-2</v>
      </c>
      <c r="AB1897" t="s">
        <v>13110</v>
      </c>
      <c r="AC1897" t="s">
        <v>4562</v>
      </c>
      <c r="AD1897" t="s">
        <v>13111</v>
      </c>
      <c r="AE1897" t="s">
        <v>4655</v>
      </c>
      <c r="AF1897" t="s">
        <v>4563</v>
      </c>
      <c r="AG1897" t="s">
        <v>4564</v>
      </c>
      <c r="AH1897">
        <v>89502</v>
      </c>
      <c r="AI1897" t="s">
        <v>13112</v>
      </c>
      <c r="AJ1897" t="s">
        <v>1773</v>
      </c>
      <c r="AK1897" t="s">
        <v>13113</v>
      </c>
      <c r="AL1897" s="13" t="s">
        <v>3425</v>
      </c>
      <c r="AM1897" s="14">
        <v>1</v>
      </c>
      <c r="AN1897" s="15" t="s">
        <v>1774</v>
      </c>
    </row>
    <row r="1898" spans="1:40" x14ac:dyDescent="0.3">
      <c r="A1898" s="10" t="str">
        <f>HYPERLINK("http://www.washoecounty.gov/assessor/cama/?parid=026-061-32&amp;CardNumber=1","026-061-32")</f>
        <v>026-061-32</v>
      </c>
      <c r="B1898" t="s">
        <v>4655</v>
      </c>
      <c r="C1898" t="s">
        <v>1838</v>
      </c>
      <c r="D1898" s="1">
        <v>40198</v>
      </c>
      <c r="E1898" s="2">
        <v>62000</v>
      </c>
      <c r="F1898" t="s">
        <v>4553</v>
      </c>
      <c r="G1898" s="17" t="str">
        <f>HYPERLINK("https://www.washoecounty.gov/assessor/cama/?command=sales&amp;parid=02606132","3841069")</f>
        <v>3841069</v>
      </c>
      <c r="H1898" t="s">
        <v>1839</v>
      </c>
      <c r="I1898">
        <v>1988</v>
      </c>
      <c r="J1898">
        <v>1988</v>
      </c>
      <c r="K1898" t="s">
        <v>3144</v>
      </c>
      <c r="L1898" t="s">
        <v>3974</v>
      </c>
      <c r="M1898" s="2">
        <v>1198</v>
      </c>
      <c r="N1898" t="s">
        <v>4556</v>
      </c>
      <c r="O1898">
        <v>2</v>
      </c>
      <c r="P1898">
        <v>2</v>
      </c>
      <c r="Q1898">
        <v>1</v>
      </c>
      <c r="R1898" t="s">
        <v>5281</v>
      </c>
      <c r="S1898" t="s">
        <v>4558</v>
      </c>
      <c r="T1898" t="s">
        <v>4559</v>
      </c>
      <c r="U1898" t="s">
        <v>4655</v>
      </c>
      <c r="V1898" s="2">
        <v>0</v>
      </c>
      <c r="W1898" t="s">
        <v>4655</v>
      </c>
      <c r="X1898" s="2">
        <v>0</v>
      </c>
      <c r="Y1898">
        <v>21</v>
      </c>
      <c r="Z1898" t="s">
        <v>1491</v>
      </c>
      <c r="AA1898" s="3">
        <v>2.6354454457759899E-2</v>
      </c>
      <c r="AB1898" t="s">
        <v>13114</v>
      </c>
      <c r="AC1898" t="s">
        <v>4562</v>
      </c>
      <c r="AD1898" t="s">
        <v>13115</v>
      </c>
      <c r="AE1898" t="s">
        <v>4655</v>
      </c>
      <c r="AF1898" t="s">
        <v>5201</v>
      </c>
      <c r="AG1898" t="s">
        <v>4564</v>
      </c>
      <c r="AH1898" t="s">
        <v>5202</v>
      </c>
      <c r="AI1898" t="s">
        <v>4565</v>
      </c>
      <c r="AJ1898" t="s">
        <v>1773</v>
      </c>
      <c r="AK1898" t="s">
        <v>13116</v>
      </c>
      <c r="AL1898" s="13" t="s">
        <v>3425</v>
      </c>
      <c r="AM1898">
        <v>1</v>
      </c>
      <c r="AN1898" s="15" t="s">
        <v>1774</v>
      </c>
    </row>
    <row r="1899" spans="1:40" x14ac:dyDescent="0.3">
      <c r="A1899" s="10" t="str">
        <f>HYPERLINK("http://www.washoecounty.gov/assessor/cama/?parid=026-061-36&amp;CardNumber=1","026-061-36")</f>
        <v>026-061-36</v>
      </c>
      <c r="B1899" t="s">
        <v>4655</v>
      </c>
      <c r="C1899" t="s">
        <v>1838</v>
      </c>
      <c r="D1899" s="1">
        <v>40520</v>
      </c>
      <c r="E1899" s="2">
        <v>28633</v>
      </c>
      <c r="F1899" t="s">
        <v>4553</v>
      </c>
      <c r="G1899" s="17" t="str">
        <f>HYPERLINK("https://www.washoecounty.gov/assessor/cama/?command=sales&amp;parid=02606136","3951098")</f>
        <v>3951098</v>
      </c>
      <c r="H1899" t="s">
        <v>1839</v>
      </c>
      <c r="I1899">
        <v>1988</v>
      </c>
      <c r="J1899">
        <v>1988</v>
      </c>
      <c r="K1899" t="s">
        <v>3144</v>
      </c>
      <c r="L1899" t="s">
        <v>3974</v>
      </c>
      <c r="M1899" s="2">
        <v>1198</v>
      </c>
      <c r="N1899" t="s">
        <v>4556</v>
      </c>
      <c r="O1899">
        <v>2</v>
      </c>
      <c r="P1899">
        <v>2</v>
      </c>
      <c r="Q1899">
        <v>1</v>
      </c>
      <c r="R1899" t="s">
        <v>5281</v>
      </c>
      <c r="S1899" t="s">
        <v>4558</v>
      </c>
      <c r="T1899" t="s">
        <v>4559</v>
      </c>
      <c r="U1899" t="s">
        <v>4655</v>
      </c>
      <c r="V1899" s="2">
        <v>0</v>
      </c>
      <c r="W1899" t="s">
        <v>4655</v>
      </c>
      <c r="X1899" s="2">
        <v>0</v>
      </c>
      <c r="Y1899">
        <v>21</v>
      </c>
      <c r="Z1899" t="s">
        <v>1491</v>
      </c>
      <c r="AA1899" s="3">
        <v>2.6354454457759899E-2</v>
      </c>
      <c r="AB1899" t="s">
        <v>944</v>
      </c>
      <c r="AC1899" t="s">
        <v>4575</v>
      </c>
      <c r="AD1899" t="s">
        <v>5295</v>
      </c>
      <c r="AE1899" t="s">
        <v>4655</v>
      </c>
      <c r="AF1899" t="s">
        <v>5296</v>
      </c>
      <c r="AG1899" t="s">
        <v>4584</v>
      </c>
      <c r="AH1899">
        <v>95030</v>
      </c>
      <c r="AI1899" t="s">
        <v>5405</v>
      </c>
      <c r="AJ1899" t="s">
        <v>1773</v>
      </c>
      <c r="AK1899" t="s">
        <v>4283</v>
      </c>
      <c r="AL1899" s="13" t="s">
        <v>3425</v>
      </c>
      <c r="AM1899" s="14">
        <v>1</v>
      </c>
      <c r="AN1899" s="15" t="s">
        <v>1774</v>
      </c>
    </row>
    <row r="1900" spans="1:40" x14ac:dyDescent="0.3">
      <c r="A1900" s="10" t="str">
        <f>HYPERLINK("http://www.washoecounty.gov/assessor/cama/?parid=026-061-37&amp;CardNumber=1","026-061-37")</f>
        <v>026-061-37</v>
      </c>
      <c r="B1900" t="s">
        <v>4655</v>
      </c>
      <c r="C1900" t="s">
        <v>1838</v>
      </c>
      <c r="D1900" s="1">
        <v>40232</v>
      </c>
      <c r="E1900" s="2">
        <v>132500</v>
      </c>
      <c r="F1900" t="s">
        <v>4567</v>
      </c>
      <c r="G1900" s="17" t="str">
        <f>HYPERLINK("https://www.washoecounty.gov/assessor/cama/?command=sales&amp;parid=02606137","3851839")</f>
        <v>3851839</v>
      </c>
      <c r="H1900" t="s">
        <v>1839</v>
      </c>
      <c r="I1900">
        <v>1988</v>
      </c>
      <c r="J1900">
        <v>1988</v>
      </c>
      <c r="K1900" t="s">
        <v>4897</v>
      </c>
      <c r="L1900" t="s">
        <v>3974</v>
      </c>
      <c r="M1900" s="2">
        <v>1198</v>
      </c>
      <c r="N1900" t="s">
        <v>4556</v>
      </c>
      <c r="O1900">
        <v>2</v>
      </c>
      <c r="P1900">
        <v>2</v>
      </c>
      <c r="Q1900">
        <v>1</v>
      </c>
      <c r="R1900" t="s">
        <v>5281</v>
      </c>
      <c r="S1900" t="s">
        <v>4558</v>
      </c>
      <c r="T1900" t="s">
        <v>4559</v>
      </c>
      <c r="U1900" t="s">
        <v>4655</v>
      </c>
      <c r="V1900" s="2">
        <v>0</v>
      </c>
      <c r="W1900" t="s">
        <v>4655</v>
      </c>
      <c r="X1900" s="2">
        <v>0</v>
      </c>
      <c r="Y1900">
        <v>21</v>
      </c>
      <c r="Z1900" t="s">
        <v>1491</v>
      </c>
      <c r="AA1900" s="3">
        <v>2.6354454457759899E-2</v>
      </c>
      <c r="AB1900" t="s">
        <v>13117</v>
      </c>
      <c r="AC1900" t="s">
        <v>4562</v>
      </c>
      <c r="AD1900" t="s">
        <v>13118</v>
      </c>
      <c r="AE1900" t="s">
        <v>4655</v>
      </c>
      <c r="AF1900" t="s">
        <v>5201</v>
      </c>
      <c r="AG1900" t="s">
        <v>4564</v>
      </c>
      <c r="AH1900" t="s">
        <v>5202</v>
      </c>
      <c r="AI1900" t="s">
        <v>13119</v>
      </c>
      <c r="AJ1900" t="s">
        <v>1773</v>
      </c>
      <c r="AK1900" t="s">
        <v>13120</v>
      </c>
      <c r="AL1900" s="13" t="s">
        <v>3425</v>
      </c>
      <c r="AM1900">
        <v>1</v>
      </c>
      <c r="AN1900" s="15" t="s">
        <v>1774</v>
      </c>
    </row>
    <row r="1901" spans="1:40" x14ac:dyDescent="0.3">
      <c r="A1901" s="10" t="str">
        <f>HYPERLINK("http://www.washoecounty.gov/assessor/cama/?parid=026-062-03&amp;CardNumber=1","026-062-03")</f>
        <v>026-062-03</v>
      </c>
      <c r="B1901" t="s">
        <v>4655</v>
      </c>
      <c r="C1901" t="s">
        <v>1838</v>
      </c>
      <c r="D1901" s="1">
        <v>40401</v>
      </c>
      <c r="E1901" s="2">
        <v>105000</v>
      </c>
      <c r="F1901" t="s">
        <v>4567</v>
      </c>
      <c r="G1901" s="17" t="str">
        <f>HYPERLINK("https://www.washoecounty.gov/assessor/cama/?command=sales&amp;parid=02606203","3910805")</f>
        <v>3910805</v>
      </c>
      <c r="H1901" t="s">
        <v>1839</v>
      </c>
      <c r="I1901">
        <v>1988</v>
      </c>
      <c r="J1901">
        <v>1988</v>
      </c>
      <c r="K1901" t="s">
        <v>3144</v>
      </c>
      <c r="L1901" t="s">
        <v>3974</v>
      </c>
      <c r="M1901" s="2">
        <v>1198</v>
      </c>
      <c r="N1901" t="s">
        <v>4556</v>
      </c>
      <c r="O1901">
        <v>2</v>
      </c>
      <c r="P1901">
        <v>2</v>
      </c>
      <c r="Q1901">
        <v>1</v>
      </c>
      <c r="R1901" t="s">
        <v>5281</v>
      </c>
      <c r="S1901" t="s">
        <v>4558</v>
      </c>
      <c r="T1901" t="s">
        <v>4559</v>
      </c>
      <c r="U1901" t="s">
        <v>4655</v>
      </c>
      <c r="V1901" s="2">
        <v>0</v>
      </c>
      <c r="W1901" t="s">
        <v>4655</v>
      </c>
      <c r="X1901" s="2">
        <v>0</v>
      </c>
      <c r="Y1901">
        <v>21</v>
      </c>
      <c r="Z1901" t="s">
        <v>1491</v>
      </c>
      <c r="AA1901" s="3">
        <v>2.6354454457759899E-2</v>
      </c>
      <c r="AB1901" t="s">
        <v>13121</v>
      </c>
      <c r="AC1901" t="s">
        <v>4562</v>
      </c>
      <c r="AD1901" t="s">
        <v>13122</v>
      </c>
      <c r="AE1901" t="s">
        <v>4655</v>
      </c>
      <c r="AF1901" t="s">
        <v>5201</v>
      </c>
      <c r="AG1901" t="s">
        <v>4564</v>
      </c>
      <c r="AH1901" t="s">
        <v>5202</v>
      </c>
      <c r="AI1901" t="s">
        <v>13119</v>
      </c>
      <c r="AJ1901" t="s">
        <v>1773</v>
      </c>
      <c r="AK1901" t="s">
        <v>13123</v>
      </c>
      <c r="AL1901" s="13" t="s">
        <v>3425</v>
      </c>
      <c r="AM1901" s="14">
        <v>1</v>
      </c>
      <c r="AN1901" s="15" t="s">
        <v>1774</v>
      </c>
    </row>
    <row r="1902" spans="1:40" x14ac:dyDescent="0.3">
      <c r="A1902" s="10" t="str">
        <f>HYPERLINK("http://www.washoecounty.gov/assessor/cama/?parid=026-062-04&amp;CardNumber=1","026-062-04")</f>
        <v>026-062-04</v>
      </c>
      <c r="B1902" t="s">
        <v>4655</v>
      </c>
      <c r="C1902" t="s">
        <v>1838</v>
      </c>
      <c r="D1902" s="1">
        <v>40357</v>
      </c>
      <c r="E1902" s="2">
        <v>80000</v>
      </c>
      <c r="F1902" t="s">
        <v>4567</v>
      </c>
      <c r="G1902" s="17" t="str">
        <f>HYPERLINK("https://www.washoecounty.gov/assessor/cama/?command=sales&amp;parid=02606204","3895869")</f>
        <v>3895869</v>
      </c>
      <c r="H1902" t="s">
        <v>1839</v>
      </c>
      <c r="I1902">
        <v>1988</v>
      </c>
      <c r="J1902">
        <v>1988</v>
      </c>
      <c r="K1902" t="s">
        <v>4897</v>
      </c>
      <c r="L1902" t="s">
        <v>3974</v>
      </c>
      <c r="M1902" s="2">
        <v>1198</v>
      </c>
      <c r="N1902" t="s">
        <v>4556</v>
      </c>
      <c r="O1902">
        <v>2</v>
      </c>
      <c r="P1902">
        <v>2</v>
      </c>
      <c r="Q1902">
        <v>1</v>
      </c>
      <c r="R1902" t="s">
        <v>5281</v>
      </c>
      <c r="S1902" t="s">
        <v>4558</v>
      </c>
      <c r="T1902" t="s">
        <v>4559</v>
      </c>
      <c r="U1902" t="s">
        <v>4655</v>
      </c>
      <c r="V1902" s="2">
        <v>0</v>
      </c>
      <c r="W1902" t="s">
        <v>4655</v>
      </c>
      <c r="X1902" s="2">
        <v>0</v>
      </c>
      <c r="Y1902">
        <v>21</v>
      </c>
      <c r="Z1902" t="s">
        <v>1491</v>
      </c>
      <c r="AA1902" s="3">
        <v>2.6354454457759899E-2</v>
      </c>
      <c r="AB1902" t="s">
        <v>13124</v>
      </c>
      <c r="AC1902" t="s">
        <v>4562</v>
      </c>
      <c r="AD1902" t="s">
        <v>13125</v>
      </c>
      <c r="AE1902" t="s">
        <v>4655</v>
      </c>
      <c r="AF1902" t="s">
        <v>5201</v>
      </c>
      <c r="AG1902" t="s">
        <v>4564</v>
      </c>
      <c r="AH1902" t="s">
        <v>1350</v>
      </c>
      <c r="AI1902" t="s">
        <v>13119</v>
      </c>
      <c r="AJ1902" t="s">
        <v>1773</v>
      </c>
      <c r="AK1902" t="s">
        <v>13126</v>
      </c>
      <c r="AL1902" s="13" t="s">
        <v>3425</v>
      </c>
      <c r="AM1902">
        <v>1</v>
      </c>
      <c r="AN1902" s="15" t="s">
        <v>1774</v>
      </c>
    </row>
    <row r="1903" spans="1:40" x14ac:dyDescent="0.3">
      <c r="A1903" s="10" t="str">
        <f>HYPERLINK("http://www.washoecounty.gov/assessor/cama/?parid=026-062-05&amp;CardNumber=1","026-062-05")</f>
        <v>026-062-05</v>
      </c>
      <c r="B1903" t="s">
        <v>4655</v>
      </c>
      <c r="C1903" t="s">
        <v>1838</v>
      </c>
      <c r="D1903" s="1">
        <v>40506</v>
      </c>
      <c r="E1903" s="2">
        <v>160000</v>
      </c>
      <c r="F1903" t="s">
        <v>3584</v>
      </c>
      <c r="G1903" s="17" t="str">
        <f>HYPERLINK("https://www.washoecounty.gov/assessor/cama/?command=sales&amp;parid=02606205","3946864")</f>
        <v>3946864</v>
      </c>
      <c r="H1903" t="s">
        <v>1839</v>
      </c>
      <c r="I1903">
        <v>1988</v>
      </c>
      <c r="J1903">
        <v>1988</v>
      </c>
      <c r="K1903" t="s">
        <v>4897</v>
      </c>
      <c r="L1903" t="s">
        <v>3974</v>
      </c>
      <c r="M1903" s="2">
        <v>1198</v>
      </c>
      <c r="N1903" t="s">
        <v>4556</v>
      </c>
      <c r="O1903">
        <v>2</v>
      </c>
      <c r="P1903">
        <v>2</v>
      </c>
      <c r="Q1903">
        <v>1</v>
      </c>
      <c r="R1903" t="s">
        <v>5281</v>
      </c>
      <c r="S1903" t="s">
        <v>4558</v>
      </c>
      <c r="T1903" t="s">
        <v>4559</v>
      </c>
      <c r="U1903" t="s">
        <v>4655</v>
      </c>
      <c r="V1903" s="2">
        <v>0</v>
      </c>
      <c r="W1903" t="s">
        <v>4655</v>
      </c>
      <c r="X1903" s="2">
        <v>0</v>
      </c>
      <c r="Y1903">
        <v>21</v>
      </c>
      <c r="Z1903" t="s">
        <v>1491</v>
      </c>
      <c r="AA1903" s="3">
        <v>2.6354454457759899E-2</v>
      </c>
      <c r="AB1903" t="s">
        <v>13127</v>
      </c>
      <c r="AC1903" t="s">
        <v>4562</v>
      </c>
      <c r="AD1903" t="s">
        <v>13128</v>
      </c>
      <c r="AE1903" t="s">
        <v>4655</v>
      </c>
      <c r="AF1903" t="s">
        <v>5201</v>
      </c>
      <c r="AG1903" t="s">
        <v>4564</v>
      </c>
      <c r="AH1903" t="s">
        <v>5202</v>
      </c>
      <c r="AI1903" t="s">
        <v>13119</v>
      </c>
      <c r="AJ1903" t="s">
        <v>1773</v>
      </c>
      <c r="AK1903" t="s">
        <v>13129</v>
      </c>
      <c r="AL1903" s="13" t="s">
        <v>3425</v>
      </c>
      <c r="AM1903" s="14">
        <v>1</v>
      </c>
      <c r="AN1903" s="15" t="s">
        <v>1774</v>
      </c>
    </row>
    <row r="1904" spans="1:40" x14ac:dyDescent="0.3">
      <c r="A1904" s="10" t="str">
        <f>HYPERLINK("http://www.washoecounty.gov/assessor/cama/?parid=026-062-08&amp;CardNumber=1","026-062-08")</f>
        <v>026-062-08</v>
      </c>
      <c r="B1904" t="s">
        <v>4655</v>
      </c>
      <c r="C1904" t="s">
        <v>1838</v>
      </c>
      <c r="D1904" s="1">
        <v>40512</v>
      </c>
      <c r="E1904" s="2">
        <v>50500</v>
      </c>
      <c r="F1904" t="s">
        <v>4553</v>
      </c>
      <c r="G1904" s="17" t="str">
        <f>HYPERLINK("https://www.washoecounty.gov/assessor/cama/?command=sales&amp;parid=02606208","3947986")</f>
        <v>3947986</v>
      </c>
      <c r="H1904" t="s">
        <v>1839</v>
      </c>
      <c r="I1904">
        <v>1988</v>
      </c>
      <c r="J1904">
        <v>1988</v>
      </c>
      <c r="K1904" t="s">
        <v>4897</v>
      </c>
      <c r="L1904" t="s">
        <v>3974</v>
      </c>
      <c r="M1904" s="2">
        <v>1198</v>
      </c>
      <c r="N1904" t="s">
        <v>4556</v>
      </c>
      <c r="O1904">
        <v>2</v>
      </c>
      <c r="P1904">
        <v>2</v>
      </c>
      <c r="Q1904">
        <v>1</v>
      </c>
      <c r="R1904" t="s">
        <v>5281</v>
      </c>
      <c r="S1904" t="s">
        <v>4558</v>
      </c>
      <c r="T1904" t="s">
        <v>4559</v>
      </c>
      <c r="U1904" t="s">
        <v>4655</v>
      </c>
      <c r="V1904" s="2">
        <v>0</v>
      </c>
      <c r="W1904" t="s">
        <v>4655</v>
      </c>
      <c r="X1904" s="2">
        <v>0</v>
      </c>
      <c r="Y1904">
        <v>21</v>
      </c>
      <c r="Z1904" t="s">
        <v>1491</v>
      </c>
      <c r="AA1904" s="3">
        <v>2.6354454457759899E-2</v>
      </c>
      <c r="AB1904" t="s">
        <v>944</v>
      </c>
      <c r="AC1904" t="s">
        <v>4575</v>
      </c>
      <c r="AD1904" t="s">
        <v>5295</v>
      </c>
      <c r="AE1904" t="s">
        <v>4655</v>
      </c>
      <c r="AF1904" t="s">
        <v>5296</v>
      </c>
      <c r="AG1904" t="s">
        <v>4584</v>
      </c>
      <c r="AH1904">
        <v>95030</v>
      </c>
      <c r="AI1904" t="s">
        <v>4903</v>
      </c>
      <c r="AJ1904" t="s">
        <v>1773</v>
      </c>
      <c r="AK1904" t="s">
        <v>13130</v>
      </c>
      <c r="AL1904" s="13" t="s">
        <v>3425</v>
      </c>
      <c r="AM1904" s="14">
        <v>1</v>
      </c>
      <c r="AN1904" s="15" t="s">
        <v>1774</v>
      </c>
    </row>
    <row r="1905" spans="1:40" x14ac:dyDescent="0.3">
      <c r="A1905" s="10" t="str">
        <f>HYPERLINK("http://www.washoecounty.gov/assessor/cama/?parid=026-062-09&amp;CardNumber=1","026-062-09")</f>
        <v>026-062-09</v>
      </c>
      <c r="B1905" t="s">
        <v>4655</v>
      </c>
      <c r="C1905" t="s">
        <v>1838</v>
      </c>
      <c r="D1905" s="1">
        <v>40354</v>
      </c>
      <c r="E1905" s="2">
        <v>60000</v>
      </c>
      <c r="F1905" t="s">
        <v>4567</v>
      </c>
      <c r="G1905" s="17" t="str">
        <f>HYPERLINK("https://www.washoecounty.gov/assessor/cama/?command=sales&amp;parid=02606209","3895564")</f>
        <v>3895564</v>
      </c>
      <c r="H1905" t="s">
        <v>1839</v>
      </c>
      <c r="I1905">
        <v>1988</v>
      </c>
      <c r="J1905">
        <v>1988</v>
      </c>
      <c r="K1905" t="s">
        <v>4897</v>
      </c>
      <c r="L1905" t="s">
        <v>3974</v>
      </c>
      <c r="M1905" s="2">
        <v>1232</v>
      </c>
      <c r="N1905" t="s">
        <v>4556</v>
      </c>
      <c r="O1905">
        <v>2</v>
      </c>
      <c r="P1905">
        <v>2</v>
      </c>
      <c r="Q1905">
        <v>1</v>
      </c>
      <c r="R1905" t="s">
        <v>5281</v>
      </c>
      <c r="S1905" t="s">
        <v>4558</v>
      </c>
      <c r="T1905" t="s">
        <v>4559</v>
      </c>
      <c r="U1905" t="s">
        <v>4655</v>
      </c>
      <c r="V1905" s="2">
        <v>0</v>
      </c>
      <c r="W1905" t="s">
        <v>4655</v>
      </c>
      <c r="X1905" s="2">
        <v>0</v>
      </c>
      <c r="Y1905">
        <v>21</v>
      </c>
      <c r="Z1905" t="s">
        <v>1491</v>
      </c>
      <c r="AA1905" s="3">
        <v>2.6721762493252799E-2</v>
      </c>
      <c r="AB1905" t="s">
        <v>13131</v>
      </c>
      <c r="AC1905" t="s">
        <v>4575</v>
      </c>
      <c r="AD1905" t="s">
        <v>13132</v>
      </c>
      <c r="AE1905" t="s">
        <v>4655</v>
      </c>
      <c r="AF1905" t="s">
        <v>5201</v>
      </c>
      <c r="AG1905" t="s">
        <v>4564</v>
      </c>
      <c r="AH1905" t="s">
        <v>5202</v>
      </c>
      <c r="AI1905" t="s">
        <v>4655</v>
      </c>
      <c r="AJ1905" t="s">
        <v>1773</v>
      </c>
      <c r="AK1905" t="s">
        <v>13133</v>
      </c>
      <c r="AL1905" s="13" t="s">
        <v>3425</v>
      </c>
      <c r="AM1905">
        <v>1</v>
      </c>
      <c r="AN1905" s="15" t="s">
        <v>1774</v>
      </c>
    </row>
    <row r="1906" spans="1:40" x14ac:dyDescent="0.3">
      <c r="A1906" s="10" t="str">
        <f>HYPERLINK("http://www.washoecounty.gov/assessor/cama/?parid=026-062-19&amp;CardNumber=1","026-062-19")</f>
        <v>026-062-19</v>
      </c>
      <c r="B1906" t="s">
        <v>4655</v>
      </c>
      <c r="C1906" t="s">
        <v>1838</v>
      </c>
      <c r="D1906" s="1">
        <v>40191</v>
      </c>
      <c r="E1906" s="2">
        <v>58000</v>
      </c>
      <c r="F1906" t="s">
        <v>4553</v>
      </c>
      <c r="G1906" s="17" t="str">
        <f>HYPERLINK("https://www.washoecounty.gov/assessor/cama/?command=sales&amp;parid=02606219","3838817")</f>
        <v>3838817</v>
      </c>
      <c r="H1906" t="s">
        <v>1839</v>
      </c>
      <c r="I1906">
        <v>1988</v>
      </c>
      <c r="J1906">
        <v>1988</v>
      </c>
      <c r="K1906" t="s">
        <v>3144</v>
      </c>
      <c r="L1906" t="s">
        <v>3974</v>
      </c>
      <c r="M1906" s="2">
        <v>1198</v>
      </c>
      <c r="N1906" t="s">
        <v>4556</v>
      </c>
      <c r="O1906">
        <v>2</v>
      </c>
      <c r="P1906">
        <v>2</v>
      </c>
      <c r="Q1906">
        <v>1</v>
      </c>
      <c r="R1906" t="s">
        <v>5281</v>
      </c>
      <c r="S1906" t="s">
        <v>4558</v>
      </c>
      <c r="T1906" t="s">
        <v>4559</v>
      </c>
      <c r="U1906" t="s">
        <v>4655</v>
      </c>
      <c r="V1906" s="2">
        <v>0</v>
      </c>
      <c r="W1906" t="s">
        <v>4655</v>
      </c>
      <c r="X1906" s="2">
        <v>0</v>
      </c>
      <c r="Y1906">
        <v>21</v>
      </c>
      <c r="Z1906" t="s">
        <v>1491</v>
      </c>
      <c r="AA1906" s="3">
        <v>2.6354454457759899E-2</v>
      </c>
      <c r="AB1906" t="s">
        <v>13134</v>
      </c>
      <c r="AC1906" t="s">
        <v>4562</v>
      </c>
      <c r="AD1906" t="s">
        <v>13135</v>
      </c>
      <c r="AE1906" t="s">
        <v>4655</v>
      </c>
      <c r="AF1906" t="s">
        <v>5201</v>
      </c>
      <c r="AG1906" t="s">
        <v>4564</v>
      </c>
      <c r="AH1906" t="s">
        <v>5202</v>
      </c>
      <c r="AI1906" t="s">
        <v>4585</v>
      </c>
      <c r="AJ1906" t="s">
        <v>1773</v>
      </c>
      <c r="AK1906" t="s">
        <v>13136</v>
      </c>
      <c r="AL1906" s="13" t="s">
        <v>3425</v>
      </c>
      <c r="AM1906">
        <v>1</v>
      </c>
      <c r="AN1906" s="15" t="s">
        <v>1774</v>
      </c>
    </row>
    <row r="1907" spans="1:40" x14ac:dyDescent="0.3">
      <c r="A1907" s="10" t="str">
        <f>HYPERLINK("http://www.washoecounty.gov/assessor/cama/?parid=026-062-24&amp;CardNumber=1","026-062-24")</f>
        <v>026-062-24</v>
      </c>
      <c r="B1907" t="s">
        <v>4655</v>
      </c>
      <c r="C1907" t="s">
        <v>1838</v>
      </c>
      <c r="D1907" s="1">
        <v>40357</v>
      </c>
      <c r="E1907" s="2">
        <v>100000</v>
      </c>
      <c r="F1907" t="s">
        <v>4567</v>
      </c>
      <c r="G1907" s="17" t="str">
        <f>HYPERLINK("https://www.washoecounty.gov/assessor/cama/?command=sales&amp;parid=02606224","3895868")</f>
        <v>3895868</v>
      </c>
      <c r="H1907" t="s">
        <v>1839</v>
      </c>
      <c r="I1907">
        <v>1988</v>
      </c>
      <c r="J1907">
        <v>1988</v>
      </c>
      <c r="K1907" t="s">
        <v>3144</v>
      </c>
      <c r="L1907" t="s">
        <v>3974</v>
      </c>
      <c r="M1907" s="2">
        <v>1232</v>
      </c>
      <c r="N1907" t="s">
        <v>4556</v>
      </c>
      <c r="O1907">
        <v>2</v>
      </c>
      <c r="P1907">
        <v>2</v>
      </c>
      <c r="Q1907">
        <v>1</v>
      </c>
      <c r="R1907" t="s">
        <v>5281</v>
      </c>
      <c r="S1907" t="s">
        <v>4558</v>
      </c>
      <c r="T1907" t="s">
        <v>4559</v>
      </c>
      <c r="U1907" t="s">
        <v>4655</v>
      </c>
      <c r="V1907" s="2">
        <v>0</v>
      </c>
      <c r="W1907" t="s">
        <v>4655</v>
      </c>
      <c r="X1907" s="2">
        <v>0</v>
      </c>
      <c r="Y1907">
        <v>21</v>
      </c>
      <c r="Z1907" t="s">
        <v>1491</v>
      </c>
      <c r="AA1907" s="3">
        <v>2.6721762493252799E-2</v>
      </c>
      <c r="AB1907" t="s">
        <v>13124</v>
      </c>
      <c r="AC1907" t="s">
        <v>4562</v>
      </c>
      <c r="AD1907" t="s">
        <v>13125</v>
      </c>
      <c r="AE1907" t="s">
        <v>4655</v>
      </c>
      <c r="AF1907" t="s">
        <v>5201</v>
      </c>
      <c r="AG1907" t="s">
        <v>4564</v>
      </c>
      <c r="AH1907" t="s">
        <v>1350</v>
      </c>
      <c r="AI1907" t="s">
        <v>13119</v>
      </c>
      <c r="AJ1907" t="s">
        <v>1773</v>
      </c>
      <c r="AK1907" t="s">
        <v>13137</v>
      </c>
      <c r="AL1907" s="13" t="s">
        <v>3425</v>
      </c>
      <c r="AM1907">
        <v>1</v>
      </c>
      <c r="AN1907" s="15" t="s">
        <v>1774</v>
      </c>
    </row>
    <row r="1908" spans="1:40" x14ac:dyDescent="0.3">
      <c r="A1908" s="10" t="str">
        <f>HYPERLINK("http://www.washoecounty.gov/assessor/cama/?parid=026-062-39&amp;CardNumber=1","026-062-39")</f>
        <v>026-062-39</v>
      </c>
      <c r="B1908" t="s">
        <v>4655</v>
      </c>
      <c r="C1908" t="s">
        <v>1838</v>
      </c>
      <c r="D1908" s="1">
        <v>40200</v>
      </c>
      <c r="E1908" s="2">
        <v>135000</v>
      </c>
      <c r="F1908" t="s">
        <v>4567</v>
      </c>
      <c r="G1908" s="17" t="str">
        <f>HYPERLINK("https://www.washoecounty.gov/assessor/cama/?command=sales&amp;parid=02606239","3841966")</f>
        <v>3841966</v>
      </c>
      <c r="H1908" t="s">
        <v>1839</v>
      </c>
      <c r="I1908">
        <v>1988</v>
      </c>
      <c r="J1908">
        <v>1988</v>
      </c>
      <c r="K1908" t="s">
        <v>4897</v>
      </c>
      <c r="L1908" t="s">
        <v>3974</v>
      </c>
      <c r="M1908" s="2">
        <v>1232</v>
      </c>
      <c r="N1908" t="s">
        <v>4556</v>
      </c>
      <c r="O1908">
        <v>2</v>
      </c>
      <c r="P1908">
        <v>2</v>
      </c>
      <c r="Q1908">
        <v>1</v>
      </c>
      <c r="R1908" t="s">
        <v>5281</v>
      </c>
      <c r="S1908" t="s">
        <v>4558</v>
      </c>
      <c r="T1908" t="s">
        <v>4559</v>
      </c>
      <c r="U1908" t="s">
        <v>4655</v>
      </c>
      <c r="V1908" s="2">
        <v>0</v>
      </c>
      <c r="W1908" t="s">
        <v>4655</v>
      </c>
      <c r="X1908" s="2">
        <v>0</v>
      </c>
      <c r="Y1908">
        <v>21</v>
      </c>
      <c r="Z1908" t="s">
        <v>1491</v>
      </c>
      <c r="AA1908" s="3">
        <v>2.6721762493252799E-2</v>
      </c>
      <c r="AB1908" t="s">
        <v>13138</v>
      </c>
      <c r="AC1908" t="s">
        <v>4575</v>
      </c>
      <c r="AD1908" t="s">
        <v>13139</v>
      </c>
      <c r="AE1908" t="s">
        <v>4655</v>
      </c>
      <c r="AF1908" t="s">
        <v>5201</v>
      </c>
      <c r="AG1908" t="s">
        <v>4564</v>
      </c>
      <c r="AH1908" t="s">
        <v>5202</v>
      </c>
      <c r="AI1908" t="s">
        <v>13119</v>
      </c>
      <c r="AJ1908" t="s">
        <v>1773</v>
      </c>
      <c r="AK1908" t="s">
        <v>13140</v>
      </c>
      <c r="AL1908" s="13" t="s">
        <v>3425</v>
      </c>
      <c r="AM1908">
        <v>1</v>
      </c>
      <c r="AN1908" s="15" t="s">
        <v>1774</v>
      </c>
    </row>
    <row r="1909" spans="1:40" x14ac:dyDescent="0.3">
      <c r="A1909" s="10" t="str">
        <f>HYPERLINK("http://www.washoecounty.gov/assessor/cama/?parid=026-062-42&amp;CardNumber=1","026-062-42")</f>
        <v>026-062-42</v>
      </c>
      <c r="B1909" t="s">
        <v>4655</v>
      </c>
      <c r="C1909" t="s">
        <v>1838</v>
      </c>
      <c r="D1909" s="1">
        <v>40388</v>
      </c>
      <c r="E1909" s="2">
        <v>105000</v>
      </c>
      <c r="F1909" t="s">
        <v>4567</v>
      </c>
      <c r="G1909" s="17" t="str">
        <f>HYPERLINK("https://www.washoecounty.gov/assessor/cama/?command=sales&amp;parid=02606242","3906301")</f>
        <v>3906301</v>
      </c>
      <c r="H1909" t="s">
        <v>1839</v>
      </c>
      <c r="I1909">
        <v>1988</v>
      </c>
      <c r="J1909">
        <v>1988</v>
      </c>
      <c r="K1909" t="s">
        <v>3144</v>
      </c>
      <c r="L1909" t="s">
        <v>3974</v>
      </c>
      <c r="M1909" s="2">
        <v>1198</v>
      </c>
      <c r="N1909" t="s">
        <v>4556</v>
      </c>
      <c r="O1909">
        <v>2</v>
      </c>
      <c r="P1909">
        <v>2</v>
      </c>
      <c r="Q1909">
        <v>1</v>
      </c>
      <c r="R1909" t="s">
        <v>5281</v>
      </c>
      <c r="S1909" t="s">
        <v>4558</v>
      </c>
      <c r="T1909" t="s">
        <v>4559</v>
      </c>
      <c r="U1909" t="s">
        <v>4655</v>
      </c>
      <c r="V1909" s="2">
        <v>0</v>
      </c>
      <c r="W1909" t="s">
        <v>4655</v>
      </c>
      <c r="X1909" s="2">
        <v>0</v>
      </c>
      <c r="Y1909">
        <v>21</v>
      </c>
      <c r="Z1909" t="s">
        <v>1491</v>
      </c>
      <c r="AA1909" s="3">
        <v>2.6354454457759899E-2</v>
      </c>
      <c r="AB1909" t="s">
        <v>13141</v>
      </c>
      <c r="AC1909" t="s">
        <v>4575</v>
      </c>
      <c r="AD1909" t="s">
        <v>13142</v>
      </c>
      <c r="AE1909" t="s">
        <v>4655</v>
      </c>
      <c r="AF1909" t="s">
        <v>5201</v>
      </c>
      <c r="AG1909" t="s">
        <v>4564</v>
      </c>
      <c r="AH1909" t="s">
        <v>5202</v>
      </c>
      <c r="AI1909" t="s">
        <v>13143</v>
      </c>
      <c r="AJ1909" t="s">
        <v>1773</v>
      </c>
      <c r="AK1909" t="s">
        <v>13144</v>
      </c>
      <c r="AL1909" s="13" t="s">
        <v>3425</v>
      </c>
      <c r="AM1909" s="14">
        <v>1</v>
      </c>
      <c r="AN1909" s="15" t="s">
        <v>1774</v>
      </c>
    </row>
    <row r="1910" spans="1:40" x14ac:dyDescent="0.3">
      <c r="A1910" s="10" t="str">
        <f>HYPERLINK("http://www.washoecounty.gov/assessor/cama/?parid=026-063-02&amp;CardNumber=1","026-063-02")</f>
        <v>026-063-02</v>
      </c>
      <c r="B1910" t="s">
        <v>4655</v>
      </c>
      <c r="C1910" t="s">
        <v>1838</v>
      </c>
      <c r="D1910" s="1">
        <v>40506</v>
      </c>
      <c r="E1910" s="2">
        <v>80000</v>
      </c>
      <c r="F1910" t="s">
        <v>4567</v>
      </c>
      <c r="G1910" s="17" t="str">
        <f>HYPERLINK("https://www.washoecounty.gov/assessor/cama/?command=sales&amp;parid=02606302","3946854")</f>
        <v>3946854</v>
      </c>
      <c r="H1910" t="s">
        <v>1839</v>
      </c>
      <c r="I1910">
        <v>1988</v>
      </c>
      <c r="J1910">
        <v>1988</v>
      </c>
      <c r="K1910" t="s">
        <v>3144</v>
      </c>
      <c r="L1910" t="s">
        <v>3974</v>
      </c>
      <c r="M1910" s="2">
        <v>1198</v>
      </c>
      <c r="N1910" t="s">
        <v>4556</v>
      </c>
      <c r="O1910">
        <v>2</v>
      </c>
      <c r="P1910">
        <v>2</v>
      </c>
      <c r="Q1910">
        <v>1</v>
      </c>
      <c r="R1910" t="s">
        <v>5281</v>
      </c>
      <c r="S1910" t="s">
        <v>4558</v>
      </c>
      <c r="T1910" t="s">
        <v>4559</v>
      </c>
      <c r="U1910" t="s">
        <v>4655</v>
      </c>
      <c r="V1910" s="2">
        <v>0</v>
      </c>
      <c r="W1910" t="s">
        <v>4655</v>
      </c>
      <c r="X1910" s="2">
        <v>0</v>
      </c>
      <c r="Y1910">
        <v>21</v>
      </c>
      <c r="Z1910" t="s">
        <v>1491</v>
      </c>
      <c r="AA1910" s="3">
        <v>2.6354454457759899E-2</v>
      </c>
      <c r="AB1910" t="s">
        <v>3057</v>
      </c>
      <c r="AC1910" t="s">
        <v>4575</v>
      </c>
      <c r="AD1910" t="s">
        <v>13145</v>
      </c>
      <c r="AE1910" t="s">
        <v>4655</v>
      </c>
      <c r="AF1910" t="s">
        <v>5201</v>
      </c>
      <c r="AG1910" t="s">
        <v>4564</v>
      </c>
      <c r="AH1910" t="s">
        <v>5202</v>
      </c>
      <c r="AI1910" t="s">
        <v>13119</v>
      </c>
      <c r="AJ1910" t="s">
        <v>1773</v>
      </c>
      <c r="AK1910" t="s">
        <v>13146</v>
      </c>
      <c r="AL1910" s="13" t="s">
        <v>3425</v>
      </c>
      <c r="AM1910" s="14">
        <v>1</v>
      </c>
      <c r="AN1910" s="15" t="s">
        <v>1774</v>
      </c>
    </row>
    <row r="1911" spans="1:40" x14ac:dyDescent="0.3">
      <c r="A1911" s="10" t="str">
        <f>HYPERLINK("http://www.washoecounty.gov/assessor/cama/?parid=026-063-04&amp;CardNumber=1","026-063-04")</f>
        <v>026-063-04</v>
      </c>
      <c r="B1911" t="s">
        <v>4655</v>
      </c>
      <c r="C1911" t="s">
        <v>1838</v>
      </c>
      <c r="D1911" s="1">
        <v>40408</v>
      </c>
      <c r="E1911" s="2">
        <v>57500</v>
      </c>
      <c r="F1911" t="s">
        <v>4553</v>
      </c>
      <c r="G1911" s="17" t="str">
        <f>HYPERLINK("https://www.washoecounty.gov/assessor/cama/?command=sales&amp;parid=02606304","3913414")</f>
        <v>3913414</v>
      </c>
      <c r="H1911" t="s">
        <v>13147</v>
      </c>
      <c r="I1911">
        <v>1988</v>
      </c>
      <c r="J1911">
        <v>1988</v>
      </c>
      <c r="K1911" t="s">
        <v>4897</v>
      </c>
      <c r="L1911" t="s">
        <v>3974</v>
      </c>
      <c r="M1911" s="2">
        <v>1198</v>
      </c>
      <c r="N1911" t="s">
        <v>4556</v>
      </c>
      <c r="O1911">
        <v>2</v>
      </c>
      <c r="P1911">
        <v>2</v>
      </c>
      <c r="Q1911">
        <v>1</v>
      </c>
      <c r="R1911" t="s">
        <v>5281</v>
      </c>
      <c r="S1911" t="s">
        <v>4558</v>
      </c>
      <c r="T1911" t="s">
        <v>4559</v>
      </c>
      <c r="U1911" t="s">
        <v>4655</v>
      </c>
      <c r="V1911" s="2">
        <v>0</v>
      </c>
      <c r="W1911" t="s">
        <v>4655</v>
      </c>
      <c r="X1911" s="2">
        <v>0</v>
      </c>
      <c r="Y1911">
        <v>21</v>
      </c>
      <c r="Z1911" t="s">
        <v>1491</v>
      </c>
      <c r="AA1911" s="3">
        <v>2.6354454457759899E-2</v>
      </c>
      <c r="AB1911" t="s">
        <v>3057</v>
      </c>
      <c r="AC1911" t="s">
        <v>4575</v>
      </c>
      <c r="AD1911" t="s">
        <v>3058</v>
      </c>
      <c r="AE1911" t="s">
        <v>4655</v>
      </c>
      <c r="AF1911" t="s">
        <v>3059</v>
      </c>
      <c r="AG1911" t="s">
        <v>4209</v>
      </c>
      <c r="AH1911">
        <v>80027</v>
      </c>
      <c r="AI1911" t="s">
        <v>4585</v>
      </c>
      <c r="AJ1911" t="s">
        <v>1773</v>
      </c>
      <c r="AK1911" t="s">
        <v>13148</v>
      </c>
      <c r="AL1911" s="13" t="s">
        <v>3425</v>
      </c>
      <c r="AM1911">
        <v>1</v>
      </c>
      <c r="AN1911" s="15" t="s">
        <v>1774</v>
      </c>
    </row>
    <row r="1912" spans="1:40" x14ac:dyDescent="0.3">
      <c r="A1912" s="10" t="str">
        <f>HYPERLINK("http://www.washoecounty.gov/assessor/cama/?parid=026-063-08&amp;CardNumber=1","026-063-08")</f>
        <v>026-063-08</v>
      </c>
      <c r="B1912" t="s">
        <v>4655</v>
      </c>
      <c r="C1912" t="s">
        <v>1838</v>
      </c>
      <c r="D1912" s="1">
        <v>40359</v>
      </c>
      <c r="E1912" s="2">
        <v>105000</v>
      </c>
      <c r="F1912" t="s">
        <v>4567</v>
      </c>
      <c r="G1912" s="17" t="str">
        <f>HYPERLINK("https://www.washoecounty.gov/assessor/cama/?command=sales&amp;parid=02606308","3897002")</f>
        <v>3897002</v>
      </c>
      <c r="H1912" t="s">
        <v>1839</v>
      </c>
      <c r="I1912">
        <v>1988</v>
      </c>
      <c r="J1912">
        <v>1988</v>
      </c>
      <c r="K1912" t="s">
        <v>4897</v>
      </c>
      <c r="L1912" t="s">
        <v>3974</v>
      </c>
      <c r="M1912" s="2">
        <v>1198</v>
      </c>
      <c r="N1912" t="s">
        <v>4556</v>
      </c>
      <c r="O1912">
        <v>2</v>
      </c>
      <c r="P1912">
        <v>2</v>
      </c>
      <c r="Q1912">
        <v>1</v>
      </c>
      <c r="R1912" t="s">
        <v>5281</v>
      </c>
      <c r="S1912" t="s">
        <v>4558</v>
      </c>
      <c r="T1912" t="s">
        <v>4559</v>
      </c>
      <c r="U1912" t="s">
        <v>4655</v>
      </c>
      <c r="V1912" s="2">
        <v>0</v>
      </c>
      <c r="W1912" t="s">
        <v>4655</v>
      </c>
      <c r="X1912" s="2">
        <v>0</v>
      </c>
      <c r="Y1912">
        <v>21</v>
      </c>
      <c r="Z1912" t="s">
        <v>1491</v>
      </c>
      <c r="AA1912" s="3">
        <v>2.6354454457759899E-2</v>
      </c>
      <c r="AB1912" t="s">
        <v>13149</v>
      </c>
      <c r="AC1912" t="s">
        <v>4562</v>
      </c>
      <c r="AD1912" t="s">
        <v>13150</v>
      </c>
      <c r="AE1912" t="s">
        <v>4655</v>
      </c>
      <c r="AF1912" t="s">
        <v>5201</v>
      </c>
      <c r="AG1912" t="s">
        <v>4564</v>
      </c>
      <c r="AH1912" t="s">
        <v>5202</v>
      </c>
      <c r="AI1912" t="s">
        <v>13098</v>
      </c>
      <c r="AJ1912" t="s">
        <v>1773</v>
      </c>
      <c r="AK1912" t="s">
        <v>13151</v>
      </c>
      <c r="AL1912" s="13" t="s">
        <v>3425</v>
      </c>
      <c r="AM1912" s="14">
        <v>1</v>
      </c>
      <c r="AN1912" s="15" t="s">
        <v>1774</v>
      </c>
    </row>
    <row r="1913" spans="1:40" x14ac:dyDescent="0.3">
      <c r="A1913" s="10" t="str">
        <f>HYPERLINK("http://www.washoecounty.gov/assessor/cama/?parid=026-063-11&amp;CardNumber=1","026-063-11")</f>
        <v>026-063-11</v>
      </c>
      <c r="B1913" t="s">
        <v>4655</v>
      </c>
      <c r="C1913" t="s">
        <v>1838</v>
      </c>
      <c r="D1913" s="1">
        <v>40409</v>
      </c>
      <c r="E1913" s="2">
        <v>95000</v>
      </c>
      <c r="F1913" t="s">
        <v>4567</v>
      </c>
      <c r="G1913" s="17" t="str">
        <f>HYPERLINK("https://www.washoecounty.gov/assessor/cama/?command=sales&amp;parid=02606311","3913698")</f>
        <v>3913698</v>
      </c>
      <c r="H1913" t="s">
        <v>1839</v>
      </c>
      <c r="I1913">
        <v>1988</v>
      </c>
      <c r="J1913">
        <v>1988</v>
      </c>
      <c r="K1913" t="s">
        <v>3144</v>
      </c>
      <c r="L1913" t="s">
        <v>3974</v>
      </c>
      <c r="M1913" s="2">
        <v>1232</v>
      </c>
      <c r="N1913" t="s">
        <v>4556</v>
      </c>
      <c r="O1913">
        <v>2</v>
      </c>
      <c r="P1913">
        <v>2</v>
      </c>
      <c r="Q1913">
        <v>1</v>
      </c>
      <c r="R1913" t="s">
        <v>5281</v>
      </c>
      <c r="S1913" t="s">
        <v>4558</v>
      </c>
      <c r="T1913" t="s">
        <v>4559</v>
      </c>
      <c r="U1913" t="s">
        <v>4655</v>
      </c>
      <c r="V1913" s="2">
        <v>0</v>
      </c>
      <c r="W1913" t="s">
        <v>4655</v>
      </c>
      <c r="X1913" s="2">
        <v>0</v>
      </c>
      <c r="Y1913">
        <v>21</v>
      </c>
      <c r="Z1913" t="s">
        <v>1491</v>
      </c>
      <c r="AA1913" s="3">
        <v>2.6721762493252799E-2</v>
      </c>
      <c r="AB1913" t="s">
        <v>13152</v>
      </c>
      <c r="AC1913" t="s">
        <v>4562</v>
      </c>
      <c r="AD1913" t="s">
        <v>13153</v>
      </c>
      <c r="AE1913" t="s">
        <v>4655</v>
      </c>
      <c r="AF1913" t="s">
        <v>5201</v>
      </c>
      <c r="AG1913" t="s">
        <v>4564</v>
      </c>
      <c r="AH1913" t="s">
        <v>5202</v>
      </c>
      <c r="AI1913" t="s">
        <v>13119</v>
      </c>
      <c r="AJ1913" t="s">
        <v>1773</v>
      </c>
      <c r="AK1913" t="s">
        <v>13154</v>
      </c>
      <c r="AL1913" s="13" t="s">
        <v>3425</v>
      </c>
      <c r="AM1913" s="14">
        <v>1</v>
      </c>
      <c r="AN1913" s="15" t="s">
        <v>1774</v>
      </c>
    </row>
    <row r="1914" spans="1:40" x14ac:dyDescent="0.3">
      <c r="A1914" s="10" t="str">
        <f>HYPERLINK("http://www.washoecounty.gov/assessor/cama/?parid=026-063-17&amp;CardNumber=1","026-063-17")</f>
        <v>026-063-17</v>
      </c>
      <c r="B1914" t="s">
        <v>4655</v>
      </c>
      <c r="C1914" t="s">
        <v>1838</v>
      </c>
      <c r="D1914" s="1">
        <v>40274</v>
      </c>
      <c r="E1914" s="2">
        <v>135000</v>
      </c>
      <c r="F1914" t="s">
        <v>4567</v>
      </c>
      <c r="G1914" s="17" t="str">
        <f>HYPERLINK("https://www.washoecounty.gov/assessor/cama/?command=sales&amp;parid=02606317","3867967")</f>
        <v>3867967</v>
      </c>
      <c r="H1914" t="s">
        <v>1839</v>
      </c>
      <c r="I1914">
        <v>1988</v>
      </c>
      <c r="J1914">
        <v>1988</v>
      </c>
      <c r="K1914" t="s">
        <v>3144</v>
      </c>
      <c r="L1914" t="s">
        <v>3974</v>
      </c>
      <c r="M1914" s="2">
        <v>1232</v>
      </c>
      <c r="N1914" t="s">
        <v>4556</v>
      </c>
      <c r="O1914">
        <v>2</v>
      </c>
      <c r="P1914">
        <v>2</v>
      </c>
      <c r="Q1914">
        <v>1</v>
      </c>
      <c r="R1914" t="s">
        <v>5281</v>
      </c>
      <c r="S1914" t="s">
        <v>4558</v>
      </c>
      <c r="T1914" t="s">
        <v>4559</v>
      </c>
      <c r="U1914" t="s">
        <v>4655</v>
      </c>
      <c r="V1914" s="2">
        <v>0</v>
      </c>
      <c r="W1914" t="s">
        <v>4655</v>
      </c>
      <c r="X1914" s="2">
        <v>0</v>
      </c>
      <c r="Y1914">
        <v>21</v>
      </c>
      <c r="Z1914" t="s">
        <v>1491</v>
      </c>
      <c r="AA1914" s="3">
        <v>2.6721762493252799E-2</v>
      </c>
      <c r="AB1914" t="s">
        <v>13155</v>
      </c>
      <c r="AC1914" t="s">
        <v>4575</v>
      </c>
      <c r="AD1914" t="s">
        <v>13156</v>
      </c>
      <c r="AE1914" t="s">
        <v>4655</v>
      </c>
      <c r="AF1914" t="s">
        <v>4809</v>
      </c>
      <c r="AG1914" t="s">
        <v>4564</v>
      </c>
      <c r="AH1914" t="s">
        <v>5202</v>
      </c>
      <c r="AI1914" t="s">
        <v>13157</v>
      </c>
      <c r="AJ1914" t="s">
        <v>1773</v>
      </c>
      <c r="AK1914" t="s">
        <v>13158</v>
      </c>
      <c r="AL1914" s="13" t="s">
        <v>3425</v>
      </c>
      <c r="AM1914" s="14">
        <v>1</v>
      </c>
      <c r="AN1914" s="15" t="s">
        <v>1774</v>
      </c>
    </row>
    <row r="1915" spans="1:40" x14ac:dyDescent="0.3">
      <c r="A1915" s="10" t="str">
        <f>HYPERLINK("http://www.washoecounty.gov/assessor/cama/?parid=026-063-22&amp;CardNumber=1","026-063-22")</f>
        <v>026-063-22</v>
      </c>
      <c r="B1915" t="s">
        <v>4655</v>
      </c>
      <c r="C1915" t="s">
        <v>1838</v>
      </c>
      <c r="D1915" s="1">
        <v>40359</v>
      </c>
      <c r="E1915" s="2">
        <v>135000</v>
      </c>
      <c r="F1915" t="s">
        <v>4567</v>
      </c>
      <c r="G1915" s="17" t="str">
        <f>HYPERLINK("https://www.washoecounty.gov/assessor/cama/?command=sales&amp;parid=02606322","3897023")</f>
        <v>3897023</v>
      </c>
      <c r="H1915" t="s">
        <v>1839</v>
      </c>
      <c r="I1915">
        <v>1988</v>
      </c>
      <c r="J1915">
        <v>1988</v>
      </c>
      <c r="K1915" t="s">
        <v>4897</v>
      </c>
      <c r="L1915" t="s">
        <v>3974</v>
      </c>
      <c r="M1915" s="2">
        <v>1232</v>
      </c>
      <c r="N1915" t="s">
        <v>4556</v>
      </c>
      <c r="O1915">
        <v>2</v>
      </c>
      <c r="P1915">
        <v>2</v>
      </c>
      <c r="Q1915">
        <v>1</v>
      </c>
      <c r="R1915" t="s">
        <v>5281</v>
      </c>
      <c r="S1915" t="s">
        <v>4558</v>
      </c>
      <c r="T1915" t="s">
        <v>4559</v>
      </c>
      <c r="U1915" t="s">
        <v>4655</v>
      </c>
      <c r="V1915" s="2">
        <v>0</v>
      </c>
      <c r="W1915" t="s">
        <v>4655</v>
      </c>
      <c r="X1915" s="2">
        <v>0</v>
      </c>
      <c r="Y1915">
        <v>21</v>
      </c>
      <c r="Z1915" t="s">
        <v>1491</v>
      </c>
      <c r="AA1915" s="3">
        <v>2.6721762493252799E-2</v>
      </c>
      <c r="AB1915" t="s">
        <v>13159</v>
      </c>
      <c r="AC1915" t="s">
        <v>4562</v>
      </c>
      <c r="AD1915" t="s">
        <v>13160</v>
      </c>
      <c r="AE1915" t="s">
        <v>4655</v>
      </c>
      <c r="AF1915" t="s">
        <v>5201</v>
      </c>
      <c r="AG1915" t="s">
        <v>4564</v>
      </c>
      <c r="AH1915" t="s">
        <v>5202</v>
      </c>
      <c r="AI1915" t="s">
        <v>13161</v>
      </c>
      <c r="AJ1915" t="s">
        <v>1773</v>
      </c>
      <c r="AK1915" t="s">
        <v>13162</v>
      </c>
      <c r="AL1915" s="13" t="s">
        <v>3425</v>
      </c>
      <c r="AM1915">
        <v>1</v>
      </c>
      <c r="AN1915" s="15" t="s">
        <v>1774</v>
      </c>
    </row>
    <row r="1916" spans="1:40" x14ac:dyDescent="0.3">
      <c r="A1916" s="10" t="str">
        <f>HYPERLINK("http://www.washoecounty.gov/assessor/cama/?parid=026-063-24&amp;CardNumber=1","026-063-24")</f>
        <v>026-063-24</v>
      </c>
      <c r="B1916" t="s">
        <v>4655</v>
      </c>
      <c r="C1916" t="s">
        <v>1838</v>
      </c>
      <c r="D1916" s="1">
        <v>40252</v>
      </c>
      <c r="E1916" s="2">
        <v>65000</v>
      </c>
      <c r="F1916" t="s">
        <v>4553</v>
      </c>
      <c r="G1916" s="17" t="str">
        <f>HYPERLINK("https://www.washoecounty.gov/assessor/cama/?command=sales&amp;parid=02606324","3860095")</f>
        <v>3860095</v>
      </c>
      <c r="H1916" t="s">
        <v>13147</v>
      </c>
      <c r="I1916">
        <v>1988</v>
      </c>
      <c r="J1916">
        <v>1988</v>
      </c>
      <c r="K1916" t="s">
        <v>3144</v>
      </c>
      <c r="L1916" t="s">
        <v>3974</v>
      </c>
      <c r="M1916" s="2">
        <v>1232</v>
      </c>
      <c r="N1916" t="s">
        <v>4556</v>
      </c>
      <c r="O1916">
        <v>2</v>
      </c>
      <c r="P1916">
        <v>2</v>
      </c>
      <c r="Q1916">
        <v>1</v>
      </c>
      <c r="R1916" t="s">
        <v>5281</v>
      </c>
      <c r="S1916" t="s">
        <v>4558</v>
      </c>
      <c r="T1916" t="s">
        <v>4559</v>
      </c>
      <c r="U1916" t="s">
        <v>4655</v>
      </c>
      <c r="V1916" s="2">
        <v>0</v>
      </c>
      <c r="W1916" t="s">
        <v>4655</v>
      </c>
      <c r="X1916" s="2">
        <v>0</v>
      </c>
      <c r="Y1916">
        <v>21</v>
      </c>
      <c r="Z1916" t="s">
        <v>1491</v>
      </c>
      <c r="AA1916" s="3">
        <v>2.6721762493252799E-2</v>
      </c>
      <c r="AB1916" t="s">
        <v>13163</v>
      </c>
      <c r="AC1916" t="s">
        <v>4562</v>
      </c>
      <c r="AD1916" t="s">
        <v>13164</v>
      </c>
      <c r="AE1916" t="s">
        <v>4655</v>
      </c>
      <c r="AF1916" t="s">
        <v>5201</v>
      </c>
      <c r="AG1916" t="s">
        <v>4564</v>
      </c>
      <c r="AH1916" t="s">
        <v>5202</v>
      </c>
      <c r="AI1916" t="s">
        <v>4655</v>
      </c>
      <c r="AJ1916" t="s">
        <v>1773</v>
      </c>
      <c r="AK1916" t="s">
        <v>13165</v>
      </c>
      <c r="AL1916" s="13" t="s">
        <v>3425</v>
      </c>
      <c r="AM1916">
        <v>1</v>
      </c>
      <c r="AN1916" s="15" t="s">
        <v>1774</v>
      </c>
    </row>
    <row r="1917" spans="1:40" x14ac:dyDescent="0.3">
      <c r="A1917" s="10" t="str">
        <f>HYPERLINK("http://www.washoecounty.gov/assessor/cama/?parid=026-063-24&amp;CardNumber=1","026-063-24")</f>
        <v>026-063-24</v>
      </c>
      <c r="B1917" t="s">
        <v>4655</v>
      </c>
      <c r="C1917" t="s">
        <v>1838</v>
      </c>
      <c r="D1917" s="1">
        <v>40476</v>
      </c>
      <c r="E1917" s="2">
        <v>105000</v>
      </c>
      <c r="F1917" t="s">
        <v>4567</v>
      </c>
      <c r="G1917" s="17" t="str">
        <f>HYPERLINK("https://www.washoecounty.gov/assessor/cama/?command=sales&amp;parid=02606324","3936179")</f>
        <v>3936179</v>
      </c>
      <c r="H1917" t="s">
        <v>13147</v>
      </c>
      <c r="I1917">
        <v>1988</v>
      </c>
      <c r="J1917">
        <v>1988</v>
      </c>
      <c r="K1917" t="s">
        <v>3144</v>
      </c>
      <c r="L1917" t="s">
        <v>3974</v>
      </c>
      <c r="M1917" s="2">
        <v>1232</v>
      </c>
      <c r="N1917" t="s">
        <v>4556</v>
      </c>
      <c r="O1917">
        <v>2</v>
      </c>
      <c r="P1917">
        <v>2</v>
      </c>
      <c r="Q1917">
        <v>1</v>
      </c>
      <c r="R1917" t="s">
        <v>5281</v>
      </c>
      <c r="S1917" t="s">
        <v>4558</v>
      </c>
      <c r="T1917" t="s">
        <v>4559</v>
      </c>
      <c r="U1917" t="s">
        <v>4655</v>
      </c>
      <c r="V1917" s="2">
        <v>0</v>
      </c>
      <c r="W1917" t="s">
        <v>4655</v>
      </c>
      <c r="X1917" s="2">
        <v>0</v>
      </c>
      <c r="Y1917">
        <v>21</v>
      </c>
      <c r="Z1917" t="s">
        <v>1491</v>
      </c>
      <c r="AA1917" s="3">
        <v>2.6721762493252799E-2</v>
      </c>
      <c r="AB1917" t="s">
        <v>13163</v>
      </c>
      <c r="AC1917" t="s">
        <v>4562</v>
      </c>
      <c r="AD1917" t="s">
        <v>13164</v>
      </c>
      <c r="AE1917" t="s">
        <v>4655</v>
      </c>
      <c r="AF1917" t="s">
        <v>5201</v>
      </c>
      <c r="AG1917" t="s">
        <v>4564</v>
      </c>
      <c r="AH1917" t="s">
        <v>5202</v>
      </c>
      <c r="AI1917" t="s">
        <v>4655</v>
      </c>
      <c r="AJ1917" t="s">
        <v>1773</v>
      </c>
      <c r="AK1917" t="s">
        <v>13165</v>
      </c>
      <c r="AL1917" s="13" t="s">
        <v>3425</v>
      </c>
      <c r="AM1917" s="14">
        <v>1</v>
      </c>
      <c r="AN1917" s="15" t="s">
        <v>1774</v>
      </c>
    </row>
    <row r="1918" spans="1:40" x14ac:dyDescent="0.3">
      <c r="A1918" s="10" t="str">
        <f>HYPERLINK("http://www.washoecounty.gov/assessor/cama/?parid=026-064-02&amp;CardNumber=1","026-064-02")</f>
        <v>026-064-02</v>
      </c>
      <c r="B1918" t="s">
        <v>4655</v>
      </c>
      <c r="C1918" t="s">
        <v>1838</v>
      </c>
      <c r="D1918" s="1">
        <v>40263</v>
      </c>
      <c r="E1918" s="2">
        <v>57000</v>
      </c>
      <c r="F1918" t="s">
        <v>4567</v>
      </c>
      <c r="G1918" s="17" t="str">
        <f>HYPERLINK("https://www.washoecounty.gov/assessor/cama/?command=sales&amp;parid=02606402","3864380")</f>
        <v>3864380</v>
      </c>
      <c r="H1918" t="s">
        <v>1839</v>
      </c>
      <c r="I1918">
        <v>1988</v>
      </c>
      <c r="J1918">
        <v>1988</v>
      </c>
      <c r="K1918" t="s">
        <v>3144</v>
      </c>
      <c r="L1918" t="s">
        <v>4555</v>
      </c>
      <c r="M1918" s="2">
        <v>1004</v>
      </c>
      <c r="N1918" t="s">
        <v>4556</v>
      </c>
      <c r="O1918">
        <v>2</v>
      </c>
      <c r="P1918">
        <v>2</v>
      </c>
      <c r="Q1918">
        <v>0</v>
      </c>
      <c r="R1918" t="s">
        <v>5281</v>
      </c>
      <c r="S1918" t="s">
        <v>4558</v>
      </c>
      <c r="T1918" t="s">
        <v>4559</v>
      </c>
      <c r="U1918" t="s">
        <v>4655</v>
      </c>
      <c r="V1918" s="2">
        <v>0</v>
      </c>
      <c r="W1918" t="s">
        <v>4655</v>
      </c>
      <c r="X1918" s="2">
        <v>0</v>
      </c>
      <c r="Y1918">
        <v>21</v>
      </c>
      <c r="Z1918" t="s">
        <v>1491</v>
      </c>
      <c r="AA1918" s="3">
        <v>2.0982552319765101E-2</v>
      </c>
      <c r="AB1918" t="s">
        <v>944</v>
      </c>
      <c r="AC1918" t="s">
        <v>4575</v>
      </c>
      <c r="AD1918" t="s">
        <v>13166</v>
      </c>
      <c r="AE1918" t="s">
        <v>4655</v>
      </c>
      <c r="AF1918" t="s">
        <v>5201</v>
      </c>
      <c r="AG1918" t="s">
        <v>4564</v>
      </c>
      <c r="AH1918" t="s">
        <v>5202</v>
      </c>
      <c r="AI1918" t="s">
        <v>13167</v>
      </c>
      <c r="AJ1918" t="s">
        <v>1773</v>
      </c>
      <c r="AK1918" t="s">
        <v>13168</v>
      </c>
      <c r="AL1918" s="13" t="s">
        <v>3425</v>
      </c>
      <c r="AM1918" s="14">
        <v>1</v>
      </c>
      <c r="AN1918" s="15" t="s">
        <v>1774</v>
      </c>
    </row>
    <row r="1919" spans="1:40" x14ac:dyDescent="0.3">
      <c r="A1919" s="10" t="str">
        <f>HYPERLINK("http://www.washoecounty.gov/assessor/cama/?parid=026-064-07&amp;CardNumber=1","026-064-07")</f>
        <v>026-064-07</v>
      </c>
      <c r="B1919" t="s">
        <v>4655</v>
      </c>
      <c r="C1919" t="s">
        <v>1838</v>
      </c>
      <c r="D1919" s="1">
        <v>40445</v>
      </c>
      <c r="E1919" s="2">
        <v>100000</v>
      </c>
      <c r="F1919" t="s">
        <v>4567</v>
      </c>
      <c r="G1919" s="17" t="str">
        <f>HYPERLINK("https://www.washoecounty.gov/assessor/cama/?command=sales&amp;parid=02606407","3926090")</f>
        <v>3926090</v>
      </c>
      <c r="H1919" t="s">
        <v>13147</v>
      </c>
      <c r="I1919">
        <v>1988</v>
      </c>
      <c r="J1919">
        <v>1988</v>
      </c>
      <c r="K1919" t="s">
        <v>3144</v>
      </c>
      <c r="L1919" t="s">
        <v>3974</v>
      </c>
      <c r="M1919" s="2">
        <v>1232</v>
      </c>
      <c r="N1919" t="s">
        <v>4556</v>
      </c>
      <c r="O1919">
        <v>2</v>
      </c>
      <c r="P1919">
        <v>2</v>
      </c>
      <c r="Q1919">
        <v>1</v>
      </c>
      <c r="R1919" t="s">
        <v>5281</v>
      </c>
      <c r="S1919" t="s">
        <v>4558</v>
      </c>
      <c r="T1919" t="s">
        <v>4559</v>
      </c>
      <c r="U1919" t="s">
        <v>4655</v>
      </c>
      <c r="V1919" s="2">
        <v>0</v>
      </c>
      <c r="W1919" t="s">
        <v>4655</v>
      </c>
      <c r="X1919" s="2">
        <v>0</v>
      </c>
      <c r="Y1919">
        <v>21</v>
      </c>
      <c r="Z1919" t="s">
        <v>1491</v>
      </c>
      <c r="AA1919" s="3">
        <v>2.6721762493252799E-2</v>
      </c>
      <c r="AB1919" t="s">
        <v>13169</v>
      </c>
      <c r="AC1919" t="s">
        <v>4562</v>
      </c>
      <c r="AD1919" t="s">
        <v>13170</v>
      </c>
      <c r="AE1919" t="s">
        <v>4655</v>
      </c>
      <c r="AF1919" t="s">
        <v>5201</v>
      </c>
      <c r="AG1919" t="s">
        <v>4564</v>
      </c>
      <c r="AH1919" t="s">
        <v>5202</v>
      </c>
      <c r="AI1919" t="s">
        <v>13171</v>
      </c>
      <c r="AJ1919" t="s">
        <v>1773</v>
      </c>
      <c r="AK1919" t="s">
        <v>13172</v>
      </c>
      <c r="AL1919" s="13" t="s">
        <v>3425</v>
      </c>
      <c r="AM1919" s="14">
        <v>1</v>
      </c>
      <c r="AN1919" s="15" t="s">
        <v>1774</v>
      </c>
    </row>
    <row r="1920" spans="1:40" x14ac:dyDescent="0.3">
      <c r="A1920" s="10" t="str">
        <f>HYPERLINK("http://www.washoecounty.gov/assessor/cama/?parid=026-064-08&amp;CardNumber=1","026-064-08")</f>
        <v>026-064-08</v>
      </c>
      <c r="B1920" t="s">
        <v>4655</v>
      </c>
      <c r="C1920" t="s">
        <v>1838</v>
      </c>
      <c r="D1920" s="1">
        <v>40451</v>
      </c>
      <c r="E1920" s="2">
        <v>61000</v>
      </c>
      <c r="F1920" t="s">
        <v>4553</v>
      </c>
      <c r="G1920" s="17" t="str">
        <f>HYPERLINK("https://www.washoecounty.gov/assessor/cama/?command=sales&amp;parid=02606408","3928169")</f>
        <v>3928169</v>
      </c>
      <c r="H1920" t="s">
        <v>1839</v>
      </c>
      <c r="I1920">
        <v>1988</v>
      </c>
      <c r="J1920">
        <v>1988</v>
      </c>
      <c r="K1920" t="s">
        <v>3144</v>
      </c>
      <c r="L1920" t="s">
        <v>3974</v>
      </c>
      <c r="M1920" s="2">
        <v>1232</v>
      </c>
      <c r="N1920" t="s">
        <v>4556</v>
      </c>
      <c r="O1920">
        <v>2</v>
      </c>
      <c r="P1920">
        <v>2</v>
      </c>
      <c r="Q1920">
        <v>1</v>
      </c>
      <c r="R1920" t="s">
        <v>5281</v>
      </c>
      <c r="S1920" t="s">
        <v>4558</v>
      </c>
      <c r="T1920" t="s">
        <v>4559</v>
      </c>
      <c r="U1920" t="s">
        <v>4655</v>
      </c>
      <c r="V1920" s="2">
        <v>0</v>
      </c>
      <c r="W1920" t="s">
        <v>4655</v>
      </c>
      <c r="X1920" s="2">
        <v>0</v>
      </c>
      <c r="Y1920">
        <v>21</v>
      </c>
      <c r="Z1920" t="s">
        <v>1491</v>
      </c>
      <c r="AA1920" s="3">
        <v>2.6721762493252799E-2</v>
      </c>
      <c r="AB1920" t="s">
        <v>13173</v>
      </c>
      <c r="AC1920" t="s">
        <v>4562</v>
      </c>
      <c r="AD1920" t="s">
        <v>13174</v>
      </c>
      <c r="AE1920" t="s">
        <v>4655</v>
      </c>
      <c r="AF1920" t="s">
        <v>4809</v>
      </c>
      <c r="AG1920" t="s">
        <v>4564</v>
      </c>
      <c r="AH1920" t="s">
        <v>5202</v>
      </c>
      <c r="AI1920" t="s">
        <v>4565</v>
      </c>
      <c r="AJ1920" t="s">
        <v>1773</v>
      </c>
      <c r="AK1920" t="s">
        <v>13175</v>
      </c>
      <c r="AL1920" s="13" t="s">
        <v>3425</v>
      </c>
      <c r="AM1920">
        <v>1</v>
      </c>
      <c r="AN1920" s="15" t="s">
        <v>1774</v>
      </c>
    </row>
    <row r="1921" spans="1:40" x14ac:dyDescent="0.3">
      <c r="A1921" s="10" t="str">
        <f>HYPERLINK("http://www.washoecounty.gov/assessor/cama/?parid=026-064-12&amp;CardNumber=1","026-064-12")</f>
        <v>026-064-12</v>
      </c>
      <c r="B1921" t="s">
        <v>4655</v>
      </c>
      <c r="C1921" t="s">
        <v>1838</v>
      </c>
      <c r="D1921" s="1">
        <v>40353</v>
      </c>
      <c r="E1921" s="2">
        <v>57750</v>
      </c>
      <c r="F1921" t="s">
        <v>4553</v>
      </c>
      <c r="G1921" s="17" t="str">
        <f>HYPERLINK("https://www.washoecounty.gov/assessor/cama/?command=sales&amp;parid=02606412","3895042")</f>
        <v>3895042</v>
      </c>
      <c r="H1921" t="s">
        <v>1839</v>
      </c>
      <c r="I1921">
        <v>1988</v>
      </c>
      <c r="J1921">
        <v>1988</v>
      </c>
      <c r="K1921" t="s">
        <v>3144</v>
      </c>
      <c r="L1921" t="s">
        <v>3974</v>
      </c>
      <c r="M1921" s="2">
        <v>1198</v>
      </c>
      <c r="N1921" t="s">
        <v>4556</v>
      </c>
      <c r="O1921">
        <v>2</v>
      </c>
      <c r="P1921">
        <v>2</v>
      </c>
      <c r="Q1921">
        <v>1</v>
      </c>
      <c r="R1921" t="s">
        <v>5281</v>
      </c>
      <c r="S1921" t="s">
        <v>4558</v>
      </c>
      <c r="T1921" t="s">
        <v>4559</v>
      </c>
      <c r="U1921" t="s">
        <v>4655</v>
      </c>
      <c r="V1921" s="2">
        <v>0</v>
      </c>
      <c r="W1921" t="s">
        <v>4655</v>
      </c>
      <c r="X1921" s="2">
        <v>0</v>
      </c>
      <c r="Y1921">
        <v>21</v>
      </c>
      <c r="Z1921" t="s">
        <v>1491</v>
      </c>
      <c r="AA1921" s="3">
        <v>2.6354454457759899E-2</v>
      </c>
      <c r="AB1921" t="s">
        <v>13176</v>
      </c>
      <c r="AC1921" t="s">
        <v>4562</v>
      </c>
      <c r="AD1921" t="s">
        <v>13177</v>
      </c>
      <c r="AE1921" t="s">
        <v>4655</v>
      </c>
      <c r="AF1921" t="s">
        <v>1767</v>
      </c>
      <c r="AG1921" t="s">
        <v>4584</v>
      </c>
      <c r="AH1921" t="s">
        <v>3752</v>
      </c>
      <c r="AI1921" t="s">
        <v>4503</v>
      </c>
      <c r="AJ1921" t="s">
        <v>1773</v>
      </c>
      <c r="AK1921" t="s">
        <v>13178</v>
      </c>
      <c r="AL1921" s="13" t="s">
        <v>3425</v>
      </c>
      <c r="AM1921" s="14">
        <v>1</v>
      </c>
      <c r="AN1921" s="15" t="s">
        <v>1774</v>
      </c>
    </row>
    <row r="1922" spans="1:40" x14ac:dyDescent="0.3">
      <c r="A1922" s="10" t="str">
        <f>HYPERLINK("http://www.washoecounty.gov/assessor/cama/?parid=026-064-14&amp;CardNumber=1","026-064-14")</f>
        <v>026-064-14</v>
      </c>
      <c r="B1922" t="s">
        <v>4655</v>
      </c>
      <c r="C1922" t="s">
        <v>1838</v>
      </c>
      <c r="D1922" s="1">
        <v>40357</v>
      </c>
      <c r="E1922" s="2">
        <v>80000</v>
      </c>
      <c r="F1922" t="s">
        <v>4567</v>
      </c>
      <c r="G1922" s="17" t="str">
        <f>HYPERLINK("https://www.washoecounty.gov/assessor/cama/?command=sales&amp;parid=02606414","3895867")</f>
        <v>3895867</v>
      </c>
      <c r="H1922" t="s">
        <v>1839</v>
      </c>
      <c r="I1922">
        <v>1988</v>
      </c>
      <c r="J1922">
        <v>1988</v>
      </c>
      <c r="K1922" t="s">
        <v>4897</v>
      </c>
      <c r="L1922" t="s">
        <v>3974</v>
      </c>
      <c r="M1922" s="2">
        <v>1198</v>
      </c>
      <c r="N1922" t="s">
        <v>4556</v>
      </c>
      <c r="O1922">
        <v>2</v>
      </c>
      <c r="P1922">
        <v>2</v>
      </c>
      <c r="Q1922">
        <v>1</v>
      </c>
      <c r="R1922" t="s">
        <v>5281</v>
      </c>
      <c r="S1922" t="s">
        <v>4558</v>
      </c>
      <c r="T1922" t="s">
        <v>4559</v>
      </c>
      <c r="U1922" t="s">
        <v>4655</v>
      </c>
      <c r="V1922" s="2">
        <v>0</v>
      </c>
      <c r="W1922" t="s">
        <v>4655</v>
      </c>
      <c r="X1922" s="2">
        <v>0</v>
      </c>
      <c r="Y1922">
        <v>21</v>
      </c>
      <c r="Z1922" t="s">
        <v>1491</v>
      </c>
      <c r="AA1922" s="3">
        <v>2.6354454457759899E-2</v>
      </c>
      <c r="AB1922" t="s">
        <v>13124</v>
      </c>
      <c r="AC1922" t="s">
        <v>4562</v>
      </c>
      <c r="AD1922" t="s">
        <v>13125</v>
      </c>
      <c r="AE1922" t="s">
        <v>4655</v>
      </c>
      <c r="AF1922" t="s">
        <v>5201</v>
      </c>
      <c r="AG1922" t="s">
        <v>4564</v>
      </c>
      <c r="AH1922" t="s">
        <v>1350</v>
      </c>
      <c r="AI1922" t="s">
        <v>13119</v>
      </c>
      <c r="AJ1922" t="s">
        <v>1773</v>
      </c>
      <c r="AK1922" t="s">
        <v>13179</v>
      </c>
      <c r="AL1922" s="13" t="s">
        <v>3425</v>
      </c>
      <c r="AM1922">
        <v>1</v>
      </c>
      <c r="AN1922" s="15" t="s">
        <v>1774</v>
      </c>
    </row>
    <row r="1923" spans="1:40" x14ac:dyDescent="0.3">
      <c r="A1923" s="10" t="str">
        <f>HYPERLINK("http://www.washoecounty.gov/assessor/cama/?parid=026-064-18&amp;CardNumber=1","026-064-18")</f>
        <v>026-064-18</v>
      </c>
      <c r="B1923" t="s">
        <v>4655</v>
      </c>
      <c r="C1923" t="s">
        <v>1838</v>
      </c>
      <c r="D1923" s="1">
        <v>40276</v>
      </c>
      <c r="E1923" s="2">
        <v>67000</v>
      </c>
      <c r="F1923" t="s">
        <v>4553</v>
      </c>
      <c r="G1923" s="17" t="str">
        <f>HYPERLINK("https://www.washoecounty.gov/assessor/cama/?command=sales&amp;parid=02606418","3868821")</f>
        <v>3868821</v>
      </c>
      <c r="H1923" t="s">
        <v>1839</v>
      </c>
      <c r="I1923">
        <v>1988</v>
      </c>
      <c r="J1923">
        <v>1988</v>
      </c>
      <c r="K1923" t="s">
        <v>4897</v>
      </c>
      <c r="L1923" t="s">
        <v>3974</v>
      </c>
      <c r="M1923" s="2">
        <v>1232</v>
      </c>
      <c r="N1923" t="s">
        <v>4556</v>
      </c>
      <c r="O1923">
        <v>2</v>
      </c>
      <c r="P1923">
        <v>2</v>
      </c>
      <c r="Q1923">
        <v>1</v>
      </c>
      <c r="R1923" t="s">
        <v>5281</v>
      </c>
      <c r="S1923" t="s">
        <v>4558</v>
      </c>
      <c r="T1923" t="s">
        <v>4559</v>
      </c>
      <c r="U1923" t="s">
        <v>4655</v>
      </c>
      <c r="V1923" s="2">
        <v>0</v>
      </c>
      <c r="W1923" t="s">
        <v>4655</v>
      </c>
      <c r="X1923" s="2">
        <v>0</v>
      </c>
      <c r="Y1923">
        <v>21</v>
      </c>
      <c r="Z1923" t="s">
        <v>1491</v>
      </c>
      <c r="AA1923" s="3">
        <v>2.6721762493252799E-2</v>
      </c>
      <c r="AB1923" t="s">
        <v>13180</v>
      </c>
      <c r="AC1923" t="s">
        <v>4575</v>
      </c>
      <c r="AD1923" t="s">
        <v>13181</v>
      </c>
      <c r="AE1923" t="s">
        <v>4655</v>
      </c>
      <c r="AF1923" t="s">
        <v>4563</v>
      </c>
      <c r="AG1923" t="s">
        <v>4564</v>
      </c>
      <c r="AH1923">
        <v>89511</v>
      </c>
      <c r="AI1923" t="s">
        <v>13182</v>
      </c>
      <c r="AJ1923" t="s">
        <v>1773</v>
      </c>
      <c r="AK1923" t="s">
        <v>13183</v>
      </c>
      <c r="AL1923" s="13" t="s">
        <v>3425</v>
      </c>
      <c r="AM1923">
        <v>1</v>
      </c>
      <c r="AN1923" s="15" t="s">
        <v>1774</v>
      </c>
    </row>
    <row r="1924" spans="1:40" x14ac:dyDescent="0.3">
      <c r="A1924" s="10" t="str">
        <f>HYPERLINK("http://www.washoecounty.gov/assessor/cama/?parid=026-064-18&amp;CardNumber=1","026-064-18")</f>
        <v>026-064-18</v>
      </c>
      <c r="B1924" t="s">
        <v>4655</v>
      </c>
      <c r="C1924" t="s">
        <v>1838</v>
      </c>
      <c r="D1924" s="1">
        <v>40277</v>
      </c>
      <c r="E1924" s="2">
        <v>75000</v>
      </c>
      <c r="F1924" t="s">
        <v>4567</v>
      </c>
      <c r="G1924" s="17" t="str">
        <f>HYPERLINK("https://www.washoecounty.gov/assessor/cama/?command=sales&amp;parid=02606418","3869535")</f>
        <v>3869535</v>
      </c>
      <c r="H1924" t="s">
        <v>1839</v>
      </c>
      <c r="I1924">
        <v>1988</v>
      </c>
      <c r="J1924">
        <v>1988</v>
      </c>
      <c r="K1924" t="s">
        <v>4897</v>
      </c>
      <c r="L1924" t="s">
        <v>3974</v>
      </c>
      <c r="M1924" s="2">
        <v>1232</v>
      </c>
      <c r="N1924" t="s">
        <v>4556</v>
      </c>
      <c r="O1924">
        <v>2</v>
      </c>
      <c r="P1924">
        <v>2</v>
      </c>
      <c r="Q1924">
        <v>1</v>
      </c>
      <c r="R1924" t="s">
        <v>5281</v>
      </c>
      <c r="S1924" t="s">
        <v>4558</v>
      </c>
      <c r="T1924" t="s">
        <v>4559</v>
      </c>
      <c r="U1924" t="s">
        <v>4655</v>
      </c>
      <c r="V1924" s="2">
        <v>0</v>
      </c>
      <c r="W1924" t="s">
        <v>4655</v>
      </c>
      <c r="X1924" s="2">
        <v>0</v>
      </c>
      <c r="Y1924">
        <v>21</v>
      </c>
      <c r="Z1924" t="s">
        <v>1491</v>
      </c>
      <c r="AA1924" s="3">
        <v>2.6721762493252799E-2</v>
      </c>
      <c r="AB1924" t="s">
        <v>13180</v>
      </c>
      <c r="AC1924" t="s">
        <v>4575</v>
      </c>
      <c r="AD1924" t="s">
        <v>13181</v>
      </c>
      <c r="AE1924" t="s">
        <v>4655</v>
      </c>
      <c r="AF1924" t="s">
        <v>4563</v>
      </c>
      <c r="AG1924" t="s">
        <v>4564</v>
      </c>
      <c r="AH1924">
        <v>89511</v>
      </c>
      <c r="AI1924" t="s">
        <v>13182</v>
      </c>
      <c r="AJ1924" t="s">
        <v>1773</v>
      </c>
      <c r="AK1924" t="s">
        <v>13183</v>
      </c>
      <c r="AL1924" s="13" t="s">
        <v>3425</v>
      </c>
      <c r="AM1924">
        <v>1</v>
      </c>
      <c r="AN1924" s="15" t="s">
        <v>1774</v>
      </c>
    </row>
    <row r="1925" spans="1:40" x14ac:dyDescent="0.3">
      <c r="A1925" s="10" t="str">
        <f>HYPERLINK("http://www.washoecounty.gov/assessor/cama/?parid=026-064-20&amp;CardNumber=1","026-064-20")</f>
        <v>026-064-20</v>
      </c>
      <c r="B1925" t="s">
        <v>4655</v>
      </c>
      <c r="C1925" t="s">
        <v>1838</v>
      </c>
      <c r="D1925" s="1">
        <v>40494</v>
      </c>
      <c r="E1925" s="2">
        <v>59000</v>
      </c>
      <c r="F1925" t="s">
        <v>4567</v>
      </c>
      <c r="G1925" s="17" t="str">
        <f>HYPERLINK("https://www.washoecounty.gov/assessor/cama/?command=sales&amp;parid=02606420","3942538")</f>
        <v>3942538</v>
      </c>
      <c r="H1925" t="s">
        <v>1839</v>
      </c>
      <c r="I1925">
        <v>1988</v>
      </c>
      <c r="J1925">
        <v>1988</v>
      </c>
      <c r="K1925" t="s">
        <v>3144</v>
      </c>
      <c r="L1925" t="s">
        <v>3974</v>
      </c>
      <c r="M1925" s="2">
        <v>1232</v>
      </c>
      <c r="N1925" t="s">
        <v>4556</v>
      </c>
      <c r="O1925">
        <v>2</v>
      </c>
      <c r="P1925">
        <v>2</v>
      </c>
      <c r="Q1925">
        <v>1</v>
      </c>
      <c r="R1925" t="s">
        <v>5281</v>
      </c>
      <c r="S1925" t="s">
        <v>4558</v>
      </c>
      <c r="T1925" t="s">
        <v>4559</v>
      </c>
      <c r="U1925" t="s">
        <v>4655</v>
      </c>
      <c r="V1925" s="2">
        <v>0</v>
      </c>
      <c r="W1925" t="s">
        <v>4655</v>
      </c>
      <c r="X1925" s="2">
        <v>0</v>
      </c>
      <c r="Y1925">
        <v>21</v>
      </c>
      <c r="Z1925" t="s">
        <v>1491</v>
      </c>
      <c r="AA1925" s="3">
        <v>2.6721762493252799E-2</v>
      </c>
      <c r="AB1925" t="s">
        <v>13184</v>
      </c>
      <c r="AC1925" t="s">
        <v>4562</v>
      </c>
      <c r="AD1925" t="s">
        <v>13185</v>
      </c>
      <c r="AE1925" t="s">
        <v>4655</v>
      </c>
      <c r="AF1925" t="s">
        <v>4563</v>
      </c>
      <c r="AG1925" t="s">
        <v>4564</v>
      </c>
      <c r="AH1925">
        <v>89511</v>
      </c>
      <c r="AI1925" t="s">
        <v>13186</v>
      </c>
      <c r="AJ1925" t="s">
        <v>1773</v>
      </c>
      <c r="AK1925" t="s">
        <v>13187</v>
      </c>
      <c r="AL1925" s="13" t="s">
        <v>3425</v>
      </c>
      <c r="AM1925">
        <v>1</v>
      </c>
      <c r="AN1925" s="15" t="s">
        <v>1774</v>
      </c>
    </row>
    <row r="1926" spans="1:40" x14ac:dyDescent="0.3">
      <c r="A1926" s="10" t="str">
        <f>HYPERLINK("http://www.washoecounty.gov/assessor/cama/?parid=026-315-07&amp;CardNumber=1","026-315-07")</f>
        <v>026-315-07</v>
      </c>
      <c r="B1926" t="s">
        <v>4655</v>
      </c>
      <c r="C1926" t="s">
        <v>13188</v>
      </c>
      <c r="D1926" s="1">
        <v>40219</v>
      </c>
      <c r="E1926" s="2">
        <v>75000</v>
      </c>
      <c r="F1926" t="s">
        <v>4567</v>
      </c>
      <c r="G1926" s="17" t="str">
        <f>HYPERLINK("https://www.washoecounty.gov/assessor/cama/?command=sales&amp;parid=02631507","3847679")</f>
        <v>3847679</v>
      </c>
      <c r="H1926" t="s">
        <v>1733</v>
      </c>
      <c r="I1926">
        <v>1964</v>
      </c>
      <c r="J1926">
        <v>1964</v>
      </c>
      <c r="K1926" t="s">
        <v>4554</v>
      </c>
      <c r="L1926" t="s">
        <v>4555</v>
      </c>
      <c r="M1926" s="2">
        <v>1105</v>
      </c>
      <c r="N1926" t="s">
        <v>4556</v>
      </c>
      <c r="O1926">
        <v>3</v>
      </c>
      <c r="P1926">
        <v>2</v>
      </c>
      <c r="Q1926">
        <v>0</v>
      </c>
      <c r="R1926" t="s">
        <v>4557</v>
      </c>
      <c r="S1926" t="s">
        <v>4558</v>
      </c>
      <c r="T1926" t="s">
        <v>4559</v>
      </c>
      <c r="U1926" t="s">
        <v>4560</v>
      </c>
      <c r="V1926" s="2">
        <v>300</v>
      </c>
      <c r="W1926" t="s">
        <v>4655</v>
      </c>
      <c r="X1926" s="2">
        <v>0</v>
      </c>
      <c r="Y1926">
        <v>20</v>
      </c>
      <c r="Z1926" t="s">
        <v>4561</v>
      </c>
      <c r="AA1926" s="3">
        <v>0.26099634170532199</v>
      </c>
      <c r="AB1926" t="s">
        <v>13189</v>
      </c>
      <c r="AC1926" t="s">
        <v>4575</v>
      </c>
      <c r="AD1926" t="s">
        <v>13188</v>
      </c>
      <c r="AE1926" t="s">
        <v>4655</v>
      </c>
      <c r="AF1926" t="s">
        <v>4563</v>
      </c>
      <c r="AG1926" t="s">
        <v>4564</v>
      </c>
      <c r="AH1926">
        <v>89512</v>
      </c>
      <c r="AI1926" t="s">
        <v>13190</v>
      </c>
      <c r="AJ1926" t="s">
        <v>4655</v>
      </c>
      <c r="AK1926" t="s">
        <v>13191</v>
      </c>
      <c r="AL1926" s="13" t="s">
        <v>2255</v>
      </c>
      <c r="AM1926">
        <v>1</v>
      </c>
      <c r="AN1926" s="15" t="s">
        <v>2173</v>
      </c>
    </row>
    <row r="1927" spans="1:40" x14ac:dyDescent="0.3">
      <c r="A1927" s="10" t="str">
        <f>HYPERLINK("http://www.washoecounty.gov/assessor/cama/?parid=026-321-22&amp;CardNumber=1","026-321-22")</f>
        <v>026-321-22</v>
      </c>
      <c r="B1927" t="s">
        <v>4655</v>
      </c>
      <c r="C1927" t="s">
        <v>13192</v>
      </c>
      <c r="D1927" s="1">
        <v>40403</v>
      </c>
      <c r="E1927" s="2">
        <v>120000</v>
      </c>
      <c r="F1927" t="s">
        <v>4553</v>
      </c>
      <c r="G1927" s="17" t="str">
        <f>HYPERLINK("https://www.washoecounty.gov/assessor/cama/?command=sales&amp;parid=02632122","3911779")</f>
        <v>3911779</v>
      </c>
      <c r="H1927" t="s">
        <v>110</v>
      </c>
      <c r="I1927">
        <v>1967</v>
      </c>
      <c r="J1927">
        <v>1967</v>
      </c>
      <c r="K1927" t="s">
        <v>4554</v>
      </c>
      <c r="L1927" t="s">
        <v>4555</v>
      </c>
      <c r="M1927" s="2">
        <v>1619</v>
      </c>
      <c r="N1927" t="s">
        <v>4556</v>
      </c>
      <c r="O1927">
        <v>4</v>
      </c>
      <c r="P1927">
        <v>2</v>
      </c>
      <c r="Q1927">
        <v>0</v>
      </c>
      <c r="R1927" t="s">
        <v>5281</v>
      </c>
      <c r="S1927" t="s">
        <v>3148</v>
      </c>
      <c r="T1927" t="s">
        <v>4559</v>
      </c>
      <c r="U1927" t="s">
        <v>4560</v>
      </c>
      <c r="V1927" s="2">
        <v>474</v>
      </c>
      <c r="W1927" t="s">
        <v>4655</v>
      </c>
      <c r="X1927" s="2">
        <v>0</v>
      </c>
      <c r="Y1927">
        <v>20</v>
      </c>
      <c r="Z1927" t="s">
        <v>4561</v>
      </c>
      <c r="AA1927" s="3">
        <v>0.16600091755390201</v>
      </c>
      <c r="AB1927" t="s">
        <v>13193</v>
      </c>
      <c r="AC1927" t="s">
        <v>4562</v>
      </c>
      <c r="AD1927" t="s">
        <v>13192</v>
      </c>
      <c r="AE1927" t="s">
        <v>4655</v>
      </c>
      <c r="AF1927" t="s">
        <v>4563</v>
      </c>
      <c r="AG1927" t="s">
        <v>4564</v>
      </c>
      <c r="AH1927">
        <v>89512</v>
      </c>
      <c r="AI1927" t="s">
        <v>4903</v>
      </c>
      <c r="AJ1927" t="s">
        <v>4655</v>
      </c>
      <c r="AK1927" t="s">
        <v>13194</v>
      </c>
      <c r="AL1927" s="13" t="s">
        <v>2255</v>
      </c>
      <c r="AM1927" s="14">
        <v>1</v>
      </c>
      <c r="AN1927" s="15" t="s">
        <v>2173</v>
      </c>
    </row>
    <row r="1928" spans="1:40" x14ac:dyDescent="0.3">
      <c r="A1928" s="10" t="str">
        <f>HYPERLINK("http://www.washoecounty.gov/assessor/cama/?parid=026-360-31&amp;CardNumber=1","026-360-31")</f>
        <v>026-360-31</v>
      </c>
      <c r="B1928" t="s">
        <v>4655</v>
      </c>
      <c r="C1928" t="s">
        <v>13195</v>
      </c>
      <c r="D1928" s="1">
        <v>40266</v>
      </c>
      <c r="E1928" s="2">
        <v>32000</v>
      </c>
      <c r="F1928" t="s">
        <v>4567</v>
      </c>
      <c r="G1928" s="17" t="str">
        <f>HYPERLINK("https://www.washoecounty.gov/assessor/cama/?command=sales&amp;parid=02636031","3865009")</f>
        <v>3865009</v>
      </c>
      <c r="H1928" t="s">
        <v>450</v>
      </c>
      <c r="I1928">
        <v>1984</v>
      </c>
      <c r="J1928">
        <v>1984</v>
      </c>
      <c r="K1928" t="s">
        <v>4897</v>
      </c>
      <c r="L1928" t="s">
        <v>3974</v>
      </c>
      <c r="M1928" s="2">
        <v>448</v>
      </c>
      <c r="N1928" t="s">
        <v>4556</v>
      </c>
      <c r="O1928">
        <v>1</v>
      </c>
      <c r="P1928">
        <v>1</v>
      </c>
      <c r="Q1928">
        <v>0</v>
      </c>
      <c r="R1928" t="s">
        <v>5281</v>
      </c>
      <c r="S1928" t="s">
        <v>3148</v>
      </c>
      <c r="T1928" t="s">
        <v>4559</v>
      </c>
      <c r="U1928" t="s">
        <v>4655</v>
      </c>
      <c r="V1928" s="2">
        <v>0</v>
      </c>
      <c r="W1928" t="s">
        <v>4655</v>
      </c>
      <c r="X1928" s="2">
        <v>0</v>
      </c>
      <c r="Y1928">
        <v>21</v>
      </c>
      <c r="Z1928" t="s">
        <v>3691</v>
      </c>
      <c r="AA1928" s="3">
        <v>1.29935722798109E-2</v>
      </c>
      <c r="AB1928" t="s">
        <v>13052</v>
      </c>
      <c r="AC1928" t="s">
        <v>4575</v>
      </c>
      <c r="AD1928" t="s">
        <v>13053</v>
      </c>
      <c r="AE1928" t="s">
        <v>4655</v>
      </c>
      <c r="AF1928" t="s">
        <v>5201</v>
      </c>
      <c r="AG1928" t="s">
        <v>4564</v>
      </c>
      <c r="AH1928" t="s">
        <v>5202</v>
      </c>
      <c r="AI1928" t="s">
        <v>13054</v>
      </c>
      <c r="AJ1928" t="s">
        <v>4655</v>
      </c>
      <c r="AK1928" t="s">
        <v>13196</v>
      </c>
      <c r="AL1928" s="13" t="s">
        <v>3425</v>
      </c>
      <c r="AM1928">
        <v>1</v>
      </c>
      <c r="AN1928" s="15" t="s">
        <v>451</v>
      </c>
    </row>
    <row r="1929" spans="1:40" x14ac:dyDescent="0.3">
      <c r="A1929" s="10" t="str">
        <f>HYPERLINK("http://www.washoecounty.gov/assessor/cama/?parid=026-360-35&amp;CardNumber=1","026-360-35")</f>
        <v>026-360-35</v>
      </c>
      <c r="B1929" t="s">
        <v>4655</v>
      </c>
      <c r="C1929" t="s">
        <v>13197</v>
      </c>
      <c r="D1929" s="1">
        <v>40283</v>
      </c>
      <c r="E1929" s="2">
        <v>68000</v>
      </c>
      <c r="F1929" t="s">
        <v>4567</v>
      </c>
      <c r="G1929" s="17" t="str">
        <f>HYPERLINK("https://www.washoecounty.gov/assessor/cama/?command=sales&amp;parid=02636035","3871494")</f>
        <v>3871494</v>
      </c>
      <c r="H1929" t="s">
        <v>450</v>
      </c>
      <c r="I1929">
        <v>1984</v>
      </c>
      <c r="J1929">
        <v>1984</v>
      </c>
      <c r="K1929" t="s">
        <v>3144</v>
      </c>
      <c r="L1929" t="s">
        <v>3974</v>
      </c>
      <c r="M1929" s="2">
        <v>869</v>
      </c>
      <c r="N1929" t="s">
        <v>4556</v>
      </c>
      <c r="O1929">
        <v>2</v>
      </c>
      <c r="P1929">
        <v>1</v>
      </c>
      <c r="Q1929">
        <v>1</v>
      </c>
      <c r="R1929" t="s">
        <v>5281</v>
      </c>
      <c r="S1929" t="s">
        <v>3148</v>
      </c>
      <c r="T1929" t="s">
        <v>4559</v>
      </c>
      <c r="U1929" t="s">
        <v>5631</v>
      </c>
      <c r="V1929" s="2">
        <v>205</v>
      </c>
      <c r="W1929" t="s">
        <v>4655</v>
      </c>
      <c r="X1929" s="2">
        <v>0</v>
      </c>
      <c r="Y1929">
        <v>21</v>
      </c>
      <c r="Z1929" t="s">
        <v>3691</v>
      </c>
      <c r="AA1929" s="3">
        <v>2.60101016610861E-2</v>
      </c>
      <c r="AB1929" t="s">
        <v>13198</v>
      </c>
      <c r="AC1929" t="s">
        <v>4562</v>
      </c>
      <c r="AD1929" t="s">
        <v>13197</v>
      </c>
      <c r="AE1929" t="s">
        <v>4655</v>
      </c>
      <c r="AF1929" t="s">
        <v>5201</v>
      </c>
      <c r="AG1929" t="s">
        <v>4564</v>
      </c>
      <c r="AH1929" t="s">
        <v>5202</v>
      </c>
      <c r="AI1929" t="s">
        <v>13199</v>
      </c>
      <c r="AJ1929" t="s">
        <v>4655</v>
      </c>
      <c r="AK1929" t="s">
        <v>13200</v>
      </c>
      <c r="AL1929" s="13" t="s">
        <v>3425</v>
      </c>
      <c r="AM1929">
        <v>1</v>
      </c>
      <c r="AN1929" s="15" t="s">
        <v>451</v>
      </c>
    </row>
    <row r="1930" spans="1:40" x14ac:dyDescent="0.3">
      <c r="A1930" s="10" t="str">
        <f>HYPERLINK("http://www.washoecounty.gov/assessor/cama/?parid=026-360-39&amp;CardNumber=1","026-360-39")</f>
        <v>026-360-39</v>
      </c>
      <c r="B1930" t="s">
        <v>4655</v>
      </c>
      <c r="C1930" t="s">
        <v>13201</v>
      </c>
      <c r="D1930" s="1">
        <v>40325</v>
      </c>
      <c r="E1930" s="2">
        <v>52000</v>
      </c>
      <c r="F1930" t="s">
        <v>4567</v>
      </c>
      <c r="G1930" s="17" t="str">
        <f>HYPERLINK("https://www.washoecounty.gov/assessor/cama/?command=sales&amp;parid=02636039","3885951")</f>
        <v>3885951</v>
      </c>
      <c r="H1930" t="s">
        <v>450</v>
      </c>
      <c r="I1930">
        <v>1984</v>
      </c>
      <c r="J1930">
        <v>1984</v>
      </c>
      <c r="K1930" t="s">
        <v>4897</v>
      </c>
      <c r="L1930" t="s">
        <v>3974</v>
      </c>
      <c r="M1930" s="2">
        <v>869</v>
      </c>
      <c r="N1930" t="s">
        <v>4556</v>
      </c>
      <c r="O1930">
        <v>2</v>
      </c>
      <c r="P1930">
        <v>1</v>
      </c>
      <c r="Q1930">
        <v>1</v>
      </c>
      <c r="R1930" t="s">
        <v>5281</v>
      </c>
      <c r="S1930" t="s">
        <v>3148</v>
      </c>
      <c r="T1930" t="s">
        <v>4559</v>
      </c>
      <c r="U1930" t="s">
        <v>5631</v>
      </c>
      <c r="V1930" s="2">
        <v>205</v>
      </c>
      <c r="W1930" t="s">
        <v>4655</v>
      </c>
      <c r="X1930" s="2">
        <v>0</v>
      </c>
      <c r="Y1930">
        <v>21</v>
      </c>
      <c r="Z1930" t="s">
        <v>3691</v>
      </c>
      <c r="AA1930" s="3">
        <v>2.60101016610861E-2</v>
      </c>
      <c r="AB1930" t="s">
        <v>13052</v>
      </c>
      <c r="AC1930" t="s">
        <v>4575</v>
      </c>
      <c r="AD1930" t="s">
        <v>13053</v>
      </c>
      <c r="AE1930" t="s">
        <v>4655</v>
      </c>
      <c r="AF1930" t="s">
        <v>5201</v>
      </c>
      <c r="AG1930" t="s">
        <v>4564</v>
      </c>
      <c r="AH1930" t="s">
        <v>5202</v>
      </c>
      <c r="AI1930" t="s">
        <v>13202</v>
      </c>
      <c r="AJ1930" t="s">
        <v>4655</v>
      </c>
      <c r="AK1930" t="s">
        <v>13203</v>
      </c>
      <c r="AL1930" s="13" t="s">
        <v>3425</v>
      </c>
      <c r="AM1930">
        <v>1</v>
      </c>
      <c r="AN1930" s="15" t="s">
        <v>451</v>
      </c>
    </row>
    <row r="1931" spans="1:40" x14ac:dyDescent="0.3">
      <c r="A1931" s="10" t="str">
        <f>HYPERLINK("http://www.washoecounty.gov/assessor/cama/?parid=026-370-13&amp;CardNumber=1","026-370-13")</f>
        <v>026-370-13</v>
      </c>
      <c r="B1931" t="s">
        <v>4655</v>
      </c>
      <c r="C1931" t="s">
        <v>13204</v>
      </c>
      <c r="D1931" s="1">
        <v>40340</v>
      </c>
      <c r="E1931" s="2">
        <v>85000</v>
      </c>
      <c r="F1931" t="s">
        <v>4567</v>
      </c>
      <c r="G1931" s="17" t="str">
        <f>HYPERLINK("https://www.washoecounty.gov/assessor/cama/?command=sales&amp;parid=02637013","3891057")</f>
        <v>3891057</v>
      </c>
      <c r="H1931" t="s">
        <v>13205</v>
      </c>
      <c r="I1931">
        <v>1992</v>
      </c>
      <c r="J1931">
        <v>1992</v>
      </c>
      <c r="K1931" t="s">
        <v>4554</v>
      </c>
      <c r="L1931" t="s">
        <v>3886</v>
      </c>
      <c r="M1931" s="2">
        <v>1222</v>
      </c>
      <c r="N1931" t="s">
        <v>4556</v>
      </c>
      <c r="O1931">
        <v>2</v>
      </c>
      <c r="P1931">
        <v>1</v>
      </c>
      <c r="Q1931">
        <v>0</v>
      </c>
      <c r="R1931" t="s">
        <v>4557</v>
      </c>
      <c r="S1931" t="s">
        <v>4558</v>
      </c>
      <c r="T1931" t="s">
        <v>4559</v>
      </c>
      <c r="U1931" t="s">
        <v>4655</v>
      </c>
      <c r="V1931" s="2">
        <v>0</v>
      </c>
      <c r="W1931" t="s">
        <v>4655</v>
      </c>
      <c r="X1931" s="2">
        <v>0</v>
      </c>
      <c r="Y1931">
        <v>21</v>
      </c>
      <c r="Z1931" t="s">
        <v>3691</v>
      </c>
      <c r="AA1931" s="3">
        <v>2.5000000372528999E-2</v>
      </c>
      <c r="AB1931" t="s">
        <v>13206</v>
      </c>
      <c r="AC1931" t="s">
        <v>4562</v>
      </c>
      <c r="AD1931" t="s">
        <v>13204</v>
      </c>
      <c r="AE1931" t="s">
        <v>4655</v>
      </c>
      <c r="AF1931" t="s">
        <v>5201</v>
      </c>
      <c r="AG1931" t="s">
        <v>4564</v>
      </c>
      <c r="AH1931" t="s">
        <v>5202</v>
      </c>
      <c r="AI1931" t="s">
        <v>13207</v>
      </c>
      <c r="AJ1931" t="s">
        <v>4655</v>
      </c>
      <c r="AK1931" t="s">
        <v>13208</v>
      </c>
      <c r="AL1931" s="13" t="s">
        <v>1886</v>
      </c>
      <c r="AM1931" s="14">
        <v>1</v>
      </c>
      <c r="AN1931" s="15" t="s">
        <v>2948</v>
      </c>
    </row>
    <row r="1932" spans="1:40" x14ac:dyDescent="0.3">
      <c r="A1932" s="10" t="str">
        <f>HYPERLINK("http://www.washoecounty.gov/assessor/cama/?parid=026-370-21&amp;CardNumber=1","026-370-21")</f>
        <v>026-370-21</v>
      </c>
      <c r="B1932" t="s">
        <v>4655</v>
      </c>
      <c r="C1932" t="s">
        <v>13209</v>
      </c>
      <c r="D1932" s="1">
        <v>40367</v>
      </c>
      <c r="E1932" s="2">
        <v>66000</v>
      </c>
      <c r="F1932" t="s">
        <v>4553</v>
      </c>
      <c r="G1932" s="17" t="str">
        <f>HYPERLINK("https://www.washoecounty.gov/assessor/cama/?command=sales&amp;parid=02637021","3899592")</f>
        <v>3899592</v>
      </c>
      <c r="H1932" t="s">
        <v>3690</v>
      </c>
      <c r="I1932">
        <v>1987</v>
      </c>
      <c r="J1932">
        <v>1987</v>
      </c>
      <c r="K1932" t="s">
        <v>4897</v>
      </c>
      <c r="L1932" t="s">
        <v>3974</v>
      </c>
      <c r="M1932" s="2">
        <v>869</v>
      </c>
      <c r="N1932" t="s">
        <v>4556</v>
      </c>
      <c r="O1932">
        <v>2</v>
      </c>
      <c r="P1932">
        <v>1</v>
      </c>
      <c r="Q1932">
        <v>1</v>
      </c>
      <c r="R1932" t="s">
        <v>5281</v>
      </c>
      <c r="S1932" t="s">
        <v>3148</v>
      </c>
      <c r="T1932" t="s">
        <v>4559</v>
      </c>
      <c r="U1932" t="s">
        <v>5631</v>
      </c>
      <c r="V1932" s="2">
        <v>205</v>
      </c>
      <c r="W1932" t="s">
        <v>4655</v>
      </c>
      <c r="X1932" s="2">
        <v>0</v>
      </c>
      <c r="Y1932">
        <v>21</v>
      </c>
      <c r="Z1932" t="s">
        <v>3691</v>
      </c>
      <c r="AA1932" s="3">
        <v>2.3989899083972002E-2</v>
      </c>
      <c r="AB1932" t="s">
        <v>13210</v>
      </c>
      <c r="AC1932" t="s">
        <v>4562</v>
      </c>
      <c r="AD1932" t="s">
        <v>13209</v>
      </c>
      <c r="AE1932" t="s">
        <v>4655</v>
      </c>
      <c r="AF1932" t="s">
        <v>5201</v>
      </c>
      <c r="AG1932" t="s">
        <v>4564</v>
      </c>
      <c r="AH1932" t="s">
        <v>5202</v>
      </c>
      <c r="AI1932" t="s">
        <v>378</v>
      </c>
      <c r="AJ1932" t="s">
        <v>4655</v>
      </c>
      <c r="AK1932" t="s">
        <v>13211</v>
      </c>
      <c r="AL1932" s="13" t="s">
        <v>1886</v>
      </c>
      <c r="AM1932">
        <v>1</v>
      </c>
      <c r="AN1932" s="15" t="s">
        <v>451</v>
      </c>
    </row>
    <row r="1933" spans="1:40" x14ac:dyDescent="0.3">
      <c r="A1933" s="10" t="str">
        <f>HYPERLINK("http://www.washoecounty.gov/assessor/cama/?parid=026-370-31&amp;CardNumber=1","026-370-31")</f>
        <v>026-370-31</v>
      </c>
      <c r="B1933" t="s">
        <v>4655</v>
      </c>
      <c r="C1933" t="s">
        <v>13212</v>
      </c>
      <c r="D1933" s="1">
        <v>40220</v>
      </c>
      <c r="E1933" s="2">
        <v>80000</v>
      </c>
      <c r="F1933" t="s">
        <v>4567</v>
      </c>
      <c r="G1933" s="17" t="str">
        <f>HYPERLINK("https://www.washoecounty.gov/assessor/cama/?command=sales&amp;parid=02637031","3848162")</f>
        <v>3848162</v>
      </c>
      <c r="H1933" t="s">
        <v>3690</v>
      </c>
      <c r="I1933">
        <v>1993</v>
      </c>
      <c r="J1933">
        <v>1993</v>
      </c>
      <c r="K1933" t="s">
        <v>4554</v>
      </c>
      <c r="L1933" t="s">
        <v>3886</v>
      </c>
      <c r="M1933" s="2">
        <v>1213</v>
      </c>
      <c r="N1933" t="s">
        <v>4556</v>
      </c>
      <c r="O1933">
        <v>3</v>
      </c>
      <c r="P1933">
        <v>2</v>
      </c>
      <c r="Q1933">
        <v>0</v>
      </c>
      <c r="R1933" t="s">
        <v>4557</v>
      </c>
      <c r="S1933" t="s">
        <v>4558</v>
      </c>
      <c r="T1933" t="s">
        <v>4559</v>
      </c>
      <c r="U1933" t="s">
        <v>4655</v>
      </c>
      <c r="V1933" s="2">
        <v>0</v>
      </c>
      <c r="W1933" t="s">
        <v>4655</v>
      </c>
      <c r="X1933" s="2">
        <v>0</v>
      </c>
      <c r="Y1933">
        <v>21</v>
      </c>
      <c r="Z1933" t="s">
        <v>3691</v>
      </c>
      <c r="AA1933" s="3">
        <v>2.5000000372528999E-2</v>
      </c>
      <c r="AB1933" t="s">
        <v>13213</v>
      </c>
      <c r="AC1933" t="s">
        <v>4562</v>
      </c>
      <c r="AD1933" t="s">
        <v>13212</v>
      </c>
      <c r="AE1933" t="s">
        <v>4655</v>
      </c>
      <c r="AF1933" t="s">
        <v>5201</v>
      </c>
      <c r="AG1933" t="s">
        <v>4564</v>
      </c>
      <c r="AH1933" t="s">
        <v>5202</v>
      </c>
      <c r="AI1933" t="s">
        <v>13214</v>
      </c>
      <c r="AJ1933" t="s">
        <v>4655</v>
      </c>
      <c r="AK1933" t="s">
        <v>13215</v>
      </c>
      <c r="AL1933" s="13" t="s">
        <v>1886</v>
      </c>
      <c r="AM1933" s="14">
        <v>1</v>
      </c>
      <c r="AN1933" s="15" t="s">
        <v>2948</v>
      </c>
    </row>
    <row r="1934" spans="1:40" x14ac:dyDescent="0.3">
      <c r="A1934" s="10" t="str">
        <f>HYPERLINK("http://www.washoecounty.gov/assessor/cama/?parid=026-451-08&amp;CardNumber=1","026-451-08")</f>
        <v>026-451-08</v>
      </c>
      <c r="B1934" t="s">
        <v>4655</v>
      </c>
      <c r="C1934" t="s">
        <v>13216</v>
      </c>
      <c r="D1934" s="1">
        <v>40284</v>
      </c>
      <c r="E1934" s="2">
        <v>75000</v>
      </c>
      <c r="F1934" t="s">
        <v>4567</v>
      </c>
      <c r="G1934" s="17" t="str">
        <f>HYPERLINK("https://www.washoecounty.gov/assessor/cama/?command=sales&amp;parid=02645108","3871925")</f>
        <v>3871925</v>
      </c>
      <c r="H1934" t="s">
        <v>1040</v>
      </c>
      <c r="I1934">
        <v>1974</v>
      </c>
      <c r="J1934">
        <v>1974</v>
      </c>
      <c r="K1934" t="s">
        <v>3144</v>
      </c>
      <c r="L1934" t="s">
        <v>4555</v>
      </c>
      <c r="M1934" s="2">
        <v>1308</v>
      </c>
      <c r="N1934" t="s">
        <v>4048</v>
      </c>
      <c r="O1934">
        <v>3</v>
      </c>
      <c r="P1934">
        <v>2</v>
      </c>
      <c r="Q1934">
        <v>0</v>
      </c>
      <c r="R1934" t="s">
        <v>4557</v>
      </c>
      <c r="S1934" t="s">
        <v>4558</v>
      </c>
      <c r="T1934" t="s">
        <v>4559</v>
      </c>
      <c r="U1934" t="s">
        <v>4560</v>
      </c>
      <c r="V1934" s="2">
        <v>546</v>
      </c>
      <c r="W1934" t="s">
        <v>4655</v>
      </c>
      <c r="X1934" s="2">
        <v>0</v>
      </c>
      <c r="Y1934">
        <v>21</v>
      </c>
      <c r="Z1934" t="s">
        <v>4144</v>
      </c>
      <c r="AA1934" s="3">
        <v>7.1005508303642301E-2</v>
      </c>
      <c r="AB1934" t="s">
        <v>2271</v>
      </c>
      <c r="AC1934" t="s">
        <v>4562</v>
      </c>
      <c r="AD1934" t="s">
        <v>13216</v>
      </c>
      <c r="AE1934" t="s">
        <v>4655</v>
      </c>
      <c r="AF1934" t="s">
        <v>4563</v>
      </c>
      <c r="AG1934" t="s">
        <v>4564</v>
      </c>
      <c r="AH1934">
        <v>89512</v>
      </c>
      <c r="AI1934" t="s">
        <v>13217</v>
      </c>
      <c r="AJ1934" t="s">
        <v>4655</v>
      </c>
      <c r="AK1934" t="s">
        <v>13218</v>
      </c>
      <c r="AL1934" s="13" t="s">
        <v>2255</v>
      </c>
      <c r="AM1934">
        <v>1</v>
      </c>
      <c r="AN1934" s="15" t="s">
        <v>1041</v>
      </c>
    </row>
    <row r="1935" spans="1:40" x14ac:dyDescent="0.3">
      <c r="A1935" s="10" t="str">
        <f>HYPERLINK("http://www.washoecounty.gov/assessor/cama/?parid=026-452-03&amp;CardNumber=1","026-452-03")</f>
        <v>026-452-03</v>
      </c>
      <c r="B1935" t="s">
        <v>4655</v>
      </c>
      <c r="C1935" t="s">
        <v>13219</v>
      </c>
      <c r="D1935" s="1">
        <v>40263</v>
      </c>
      <c r="E1935" s="2">
        <v>72000</v>
      </c>
      <c r="F1935" t="s">
        <v>4553</v>
      </c>
      <c r="G1935" s="17" t="str">
        <f>HYPERLINK("https://www.washoecounty.gov/assessor/cama/?command=sales&amp;parid=02645203","3864717")</f>
        <v>3864717</v>
      </c>
      <c r="H1935" t="s">
        <v>1040</v>
      </c>
      <c r="I1935">
        <v>1974</v>
      </c>
      <c r="J1935">
        <v>1974</v>
      </c>
      <c r="K1935" t="s">
        <v>3144</v>
      </c>
      <c r="L1935" t="s">
        <v>4555</v>
      </c>
      <c r="M1935" s="2">
        <v>1275</v>
      </c>
      <c r="N1935" t="s">
        <v>4048</v>
      </c>
      <c r="O1935">
        <v>3</v>
      </c>
      <c r="P1935">
        <v>2</v>
      </c>
      <c r="Q1935">
        <v>0</v>
      </c>
      <c r="R1935" t="s">
        <v>4557</v>
      </c>
      <c r="S1935" t="s">
        <v>4558</v>
      </c>
      <c r="T1935" t="s">
        <v>4559</v>
      </c>
      <c r="U1935" t="s">
        <v>4560</v>
      </c>
      <c r="V1935" s="2">
        <v>273</v>
      </c>
      <c r="W1935" t="s">
        <v>4655</v>
      </c>
      <c r="X1935" s="2">
        <v>0</v>
      </c>
      <c r="Y1935">
        <v>21</v>
      </c>
      <c r="Z1935" t="s">
        <v>4144</v>
      </c>
      <c r="AA1935" s="3">
        <v>6.7998163402080494E-2</v>
      </c>
      <c r="AB1935" t="s">
        <v>13220</v>
      </c>
      <c r="AC1935" t="s">
        <v>4562</v>
      </c>
      <c r="AD1935" t="s">
        <v>13221</v>
      </c>
      <c r="AE1935" t="s">
        <v>4655</v>
      </c>
      <c r="AF1935" t="s">
        <v>5201</v>
      </c>
      <c r="AG1935" t="s">
        <v>4564</v>
      </c>
      <c r="AH1935" t="s">
        <v>1605</v>
      </c>
      <c r="AI1935" t="s">
        <v>13222</v>
      </c>
      <c r="AJ1935" t="s">
        <v>4655</v>
      </c>
      <c r="AK1935" t="s">
        <v>13223</v>
      </c>
      <c r="AL1935" s="13" t="s">
        <v>2255</v>
      </c>
      <c r="AM1935" s="14">
        <v>1</v>
      </c>
      <c r="AN1935" s="15" t="s">
        <v>1041</v>
      </c>
    </row>
    <row r="1936" spans="1:40" x14ac:dyDescent="0.3">
      <c r="A1936" s="10" t="str">
        <f>HYPERLINK("http://www.washoecounty.gov/assessor/cama/?parid=026-452-08&amp;CardNumber=1","026-452-08")</f>
        <v>026-452-08</v>
      </c>
      <c r="B1936" t="s">
        <v>4655</v>
      </c>
      <c r="C1936" t="s">
        <v>13224</v>
      </c>
      <c r="D1936" s="1">
        <v>40469</v>
      </c>
      <c r="E1936" s="2">
        <v>60000</v>
      </c>
      <c r="F1936" t="s">
        <v>4567</v>
      </c>
      <c r="G1936" s="17" t="str">
        <f>HYPERLINK("https://www.washoecounty.gov/assessor/cama/?command=sales&amp;parid=02645208","3933957")</f>
        <v>3933957</v>
      </c>
      <c r="H1936" t="s">
        <v>1040</v>
      </c>
      <c r="I1936">
        <v>1974</v>
      </c>
      <c r="J1936">
        <v>1974</v>
      </c>
      <c r="K1936" t="s">
        <v>3144</v>
      </c>
      <c r="L1936" t="s">
        <v>4555</v>
      </c>
      <c r="M1936" s="2">
        <v>885</v>
      </c>
      <c r="N1936" t="s">
        <v>4048</v>
      </c>
      <c r="O1936">
        <v>2</v>
      </c>
      <c r="P1936">
        <v>1</v>
      </c>
      <c r="Q1936">
        <v>0</v>
      </c>
      <c r="R1936" t="s">
        <v>4557</v>
      </c>
      <c r="S1936" t="s">
        <v>4558</v>
      </c>
      <c r="T1936" t="s">
        <v>4143</v>
      </c>
      <c r="U1936" t="s">
        <v>4655</v>
      </c>
      <c r="V1936" s="2">
        <v>0</v>
      </c>
      <c r="W1936" t="s">
        <v>4655</v>
      </c>
      <c r="X1936" s="2">
        <v>0</v>
      </c>
      <c r="Y1936">
        <v>21</v>
      </c>
      <c r="Z1936" t="s">
        <v>4144</v>
      </c>
      <c r="AA1936" s="3">
        <v>6.7998163402080494E-2</v>
      </c>
      <c r="AB1936" t="s">
        <v>2271</v>
      </c>
      <c r="AC1936" t="s">
        <v>4562</v>
      </c>
      <c r="AD1936" t="s">
        <v>13225</v>
      </c>
      <c r="AE1936" t="s">
        <v>4655</v>
      </c>
      <c r="AF1936" t="s">
        <v>4563</v>
      </c>
      <c r="AG1936" t="s">
        <v>4564</v>
      </c>
      <c r="AH1936" t="s">
        <v>5197</v>
      </c>
      <c r="AI1936" t="s">
        <v>13226</v>
      </c>
      <c r="AJ1936" t="s">
        <v>4655</v>
      </c>
      <c r="AK1936" t="s">
        <v>13227</v>
      </c>
      <c r="AL1936" s="13" t="s">
        <v>2255</v>
      </c>
      <c r="AM1936" s="14">
        <v>1</v>
      </c>
      <c r="AN1936" s="15" t="s">
        <v>1041</v>
      </c>
    </row>
    <row r="1937" spans="1:40" x14ac:dyDescent="0.3">
      <c r="A1937" s="10" t="str">
        <f>HYPERLINK("http://www.washoecounty.gov/assessor/cama/?parid=026-461-19&amp;CardNumber=1","026-461-19")</f>
        <v>026-461-19</v>
      </c>
      <c r="B1937" t="s">
        <v>4655</v>
      </c>
      <c r="C1937" t="s">
        <v>13228</v>
      </c>
      <c r="D1937" s="1">
        <v>40431</v>
      </c>
      <c r="E1937" s="2">
        <v>94500</v>
      </c>
      <c r="F1937" t="s">
        <v>4567</v>
      </c>
      <c r="G1937" s="17" t="str">
        <f>HYPERLINK("https://www.washoecounty.gov/assessor/cama/?command=sales&amp;parid=02646119","3921054")</f>
        <v>3921054</v>
      </c>
      <c r="H1937" t="s">
        <v>1705</v>
      </c>
      <c r="I1937">
        <v>1976</v>
      </c>
      <c r="J1937">
        <v>1976</v>
      </c>
      <c r="K1937" t="s">
        <v>4554</v>
      </c>
      <c r="L1937" t="s">
        <v>3974</v>
      </c>
      <c r="M1937" s="2">
        <v>1296</v>
      </c>
      <c r="N1937" t="s">
        <v>4048</v>
      </c>
      <c r="O1937">
        <v>2</v>
      </c>
      <c r="P1937">
        <v>1</v>
      </c>
      <c r="Q1937">
        <v>1</v>
      </c>
      <c r="R1937" t="s">
        <v>4557</v>
      </c>
      <c r="S1937" t="s">
        <v>4558</v>
      </c>
      <c r="T1937" t="s">
        <v>4143</v>
      </c>
      <c r="U1937" t="s">
        <v>4560</v>
      </c>
      <c r="V1937" s="2">
        <v>288</v>
      </c>
      <c r="W1937" t="s">
        <v>4655</v>
      </c>
      <c r="X1937" s="2">
        <v>0</v>
      </c>
      <c r="Y1937">
        <v>21</v>
      </c>
      <c r="Z1937" t="s">
        <v>4144</v>
      </c>
      <c r="AA1937" s="3">
        <v>8.5009180009365096E-2</v>
      </c>
      <c r="AB1937" t="s">
        <v>13229</v>
      </c>
      <c r="AC1937" t="s">
        <v>4575</v>
      </c>
      <c r="AD1937" t="s">
        <v>13228</v>
      </c>
      <c r="AE1937" t="s">
        <v>4655</v>
      </c>
      <c r="AF1937" t="s">
        <v>4563</v>
      </c>
      <c r="AG1937" t="s">
        <v>4564</v>
      </c>
      <c r="AH1937">
        <v>89512</v>
      </c>
      <c r="AI1937" t="s">
        <v>13230</v>
      </c>
      <c r="AJ1937" t="s">
        <v>4655</v>
      </c>
      <c r="AK1937" t="s">
        <v>13231</v>
      </c>
      <c r="AL1937" s="13" t="s">
        <v>2255</v>
      </c>
      <c r="AM1937" s="14">
        <v>1</v>
      </c>
      <c r="AN1937" s="15" t="s">
        <v>1041</v>
      </c>
    </row>
    <row r="1938" spans="1:40" x14ac:dyDescent="0.3">
      <c r="A1938" s="10" t="str">
        <f>HYPERLINK("http://www.washoecounty.gov/assessor/cama/?parid=026-471-06&amp;CardNumber=1","026-471-06")</f>
        <v>026-471-06</v>
      </c>
      <c r="B1938" t="s">
        <v>4655</v>
      </c>
      <c r="C1938" t="s">
        <v>13232</v>
      </c>
      <c r="D1938" s="1">
        <v>40304</v>
      </c>
      <c r="E1938" s="2">
        <v>116000</v>
      </c>
      <c r="F1938" t="s">
        <v>4553</v>
      </c>
      <c r="G1938" s="17" t="str">
        <f>HYPERLINK("https://www.washoecounty.gov/assessor/cama/?command=sales&amp;parid=02647106","3878736")</f>
        <v>3878736</v>
      </c>
      <c r="H1938" t="s">
        <v>1699</v>
      </c>
      <c r="I1938">
        <v>1976</v>
      </c>
      <c r="J1938">
        <v>1976</v>
      </c>
      <c r="K1938" t="s">
        <v>4554</v>
      </c>
      <c r="L1938" t="s">
        <v>4555</v>
      </c>
      <c r="M1938" s="2">
        <v>1638</v>
      </c>
      <c r="N1938" t="s">
        <v>4048</v>
      </c>
      <c r="O1938">
        <v>3</v>
      </c>
      <c r="P1938">
        <v>2</v>
      </c>
      <c r="Q1938">
        <v>0</v>
      </c>
      <c r="R1938" t="s">
        <v>4557</v>
      </c>
      <c r="S1938" t="s">
        <v>4135</v>
      </c>
      <c r="T1938" t="s">
        <v>4143</v>
      </c>
      <c r="U1938" t="s">
        <v>4560</v>
      </c>
      <c r="V1938" s="2">
        <v>550</v>
      </c>
      <c r="W1938" t="s">
        <v>4655</v>
      </c>
      <c r="X1938" s="2">
        <v>0</v>
      </c>
      <c r="Y1938">
        <v>20</v>
      </c>
      <c r="Z1938" t="s">
        <v>4561</v>
      </c>
      <c r="AA1938" s="3">
        <v>0.151010096073151</v>
      </c>
      <c r="AB1938" t="s">
        <v>13233</v>
      </c>
      <c r="AC1938" t="s">
        <v>4575</v>
      </c>
      <c r="AD1938" t="s">
        <v>13234</v>
      </c>
      <c r="AE1938" t="s">
        <v>4655</v>
      </c>
      <c r="AF1938" t="s">
        <v>13235</v>
      </c>
      <c r="AG1938" t="s">
        <v>4584</v>
      </c>
      <c r="AH1938" t="s">
        <v>13236</v>
      </c>
      <c r="AI1938" t="s">
        <v>13237</v>
      </c>
      <c r="AJ1938" t="s">
        <v>4655</v>
      </c>
      <c r="AK1938" t="s">
        <v>13238</v>
      </c>
      <c r="AL1938" s="13" t="s">
        <v>2255</v>
      </c>
      <c r="AM1938" s="14">
        <v>1</v>
      </c>
      <c r="AN1938" s="15" t="s">
        <v>2190</v>
      </c>
    </row>
    <row r="1939" spans="1:40" x14ac:dyDescent="0.3">
      <c r="A1939" s="10" t="str">
        <f>HYPERLINK("http://www.washoecounty.gov/assessor/cama/?parid=026-481-05&amp;CardNumber=1","026-481-05")</f>
        <v>026-481-05</v>
      </c>
      <c r="B1939" t="s">
        <v>4655</v>
      </c>
      <c r="C1939" t="s">
        <v>13239</v>
      </c>
      <c r="D1939" s="1">
        <v>40521</v>
      </c>
      <c r="E1939" s="2">
        <v>80000</v>
      </c>
      <c r="F1939" t="s">
        <v>4553</v>
      </c>
      <c r="G1939" s="17" t="str">
        <f>HYPERLINK("https://www.washoecounty.gov/assessor/cama/?command=sales&amp;parid=02648105","3951747")</f>
        <v>3951747</v>
      </c>
      <c r="H1939" t="s">
        <v>13240</v>
      </c>
      <c r="I1939">
        <v>1975</v>
      </c>
      <c r="J1939">
        <v>1975</v>
      </c>
      <c r="K1939" t="s">
        <v>4554</v>
      </c>
      <c r="L1939" t="s">
        <v>3974</v>
      </c>
      <c r="M1939" s="2">
        <v>1572</v>
      </c>
      <c r="N1939" t="s">
        <v>4048</v>
      </c>
      <c r="O1939">
        <v>4</v>
      </c>
      <c r="P1939">
        <v>2</v>
      </c>
      <c r="Q1939">
        <v>0</v>
      </c>
      <c r="R1939" t="s">
        <v>4557</v>
      </c>
      <c r="S1939" t="s">
        <v>4558</v>
      </c>
      <c r="T1939" t="s">
        <v>4559</v>
      </c>
      <c r="U1939" t="s">
        <v>4560</v>
      </c>
      <c r="V1939" s="2">
        <v>504</v>
      </c>
      <c r="W1939" t="s">
        <v>4655</v>
      </c>
      <c r="X1939" s="2">
        <v>0</v>
      </c>
      <c r="Y1939">
        <v>21</v>
      </c>
      <c r="Z1939" t="s">
        <v>4561</v>
      </c>
      <c r="AA1939" s="3">
        <v>8.0004587769508403E-2</v>
      </c>
      <c r="AB1939" t="s">
        <v>13241</v>
      </c>
      <c r="AC1939" t="s">
        <v>4562</v>
      </c>
      <c r="AD1939" t="s">
        <v>13239</v>
      </c>
      <c r="AE1939" t="s">
        <v>4655</v>
      </c>
      <c r="AF1939" t="s">
        <v>4563</v>
      </c>
      <c r="AG1939" t="s">
        <v>4564</v>
      </c>
      <c r="AH1939">
        <v>89512</v>
      </c>
      <c r="AI1939" t="s">
        <v>13242</v>
      </c>
      <c r="AJ1939" t="s">
        <v>4655</v>
      </c>
      <c r="AK1939" t="s">
        <v>13243</v>
      </c>
      <c r="AL1939" s="13" t="s">
        <v>2255</v>
      </c>
      <c r="AM1939">
        <v>1</v>
      </c>
      <c r="AN1939" s="15" t="s">
        <v>1041</v>
      </c>
    </row>
    <row r="1940" spans="1:40" x14ac:dyDescent="0.3">
      <c r="A1940" s="10" t="str">
        <f>HYPERLINK("http://www.washoecounty.gov/assessor/cama/?parid=026-481-08&amp;CardNumber=1","026-481-08")</f>
        <v>026-481-08</v>
      </c>
      <c r="B1940" t="s">
        <v>4655</v>
      </c>
      <c r="C1940" t="s">
        <v>13244</v>
      </c>
      <c r="D1940" s="1">
        <v>40421</v>
      </c>
      <c r="E1940" s="2">
        <v>65000</v>
      </c>
      <c r="F1940" t="s">
        <v>4567</v>
      </c>
      <c r="G1940" s="17" t="str">
        <f>HYPERLINK("https://www.washoecounty.gov/assessor/cama/?command=sales&amp;parid=02648108","3917405")</f>
        <v>3917405</v>
      </c>
      <c r="H1940" t="s">
        <v>13240</v>
      </c>
      <c r="I1940">
        <v>1975</v>
      </c>
      <c r="J1940">
        <v>1975</v>
      </c>
      <c r="K1940" t="s">
        <v>4554</v>
      </c>
      <c r="L1940" t="s">
        <v>4555</v>
      </c>
      <c r="M1940" s="2">
        <v>1275</v>
      </c>
      <c r="N1940" t="s">
        <v>4048</v>
      </c>
      <c r="O1940">
        <v>3</v>
      </c>
      <c r="P1940">
        <v>2</v>
      </c>
      <c r="Q1940">
        <v>0</v>
      </c>
      <c r="R1940" t="s">
        <v>4557</v>
      </c>
      <c r="S1940" t="s">
        <v>4558</v>
      </c>
      <c r="T1940" t="s">
        <v>4143</v>
      </c>
      <c r="U1940" t="s">
        <v>4560</v>
      </c>
      <c r="V1940" s="2">
        <v>273</v>
      </c>
      <c r="W1940" t="s">
        <v>4655</v>
      </c>
      <c r="X1940" s="2">
        <v>0</v>
      </c>
      <c r="Y1940">
        <v>21</v>
      </c>
      <c r="Z1940" t="s">
        <v>4561</v>
      </c>
      <c r="AA1940" s="3">
        <v>8.7993569672107697E-2</v>
      </c>
      <c r="AB1940" t="s">
        <v>3067</v>
      </c>
      <c r="AC1940" t="s">
        <v>4562</v>
      </c>
      <c r="AD1940" t="s">
        <v>13244</v>
      </c>
      <c r="AE1940" t="s">
        <v>4655</v>
      </c>
      <c r="AF1940" t="s">
        <v>4563</v>
      </c>
      <c r="AG1940" t="s">
        <v>4564</v>
      </c>
      <c r="AH1940">
        <v>89512</v>
      </c>
      <c r="AI1940" t="s">
        <v>13245</v>
      </c>
      <c r="AJ1940" t="s">
        <v>4655</v>
      </c>
      <c r="AK1940" t="s">
        <v>13246</v>
      </c>
      <c r="AL1940" s="13" t="s">
        <v>2255</v>
      </c>
      <c r="AM1940">
        <v>1</v>
      </c>
      <c r="AN1940" s="15" t="s">
        <v>1041</v>
      </c>
    </row>
    <row r="1941" spans="1:40" x14ac:dyDescent="0.3">
      <c r="A1941" s="10" t="str">
        <f>HYPERLINK("http://www.washoecounty.gov/assessor/cama/?parid=026-490-15&amp;CardNumber=1","026-490-15")</f>
        <v>026-490-15</v>
      </c>
      <c r="B1941" t="s">
        <v>4655</v>
      </c>
      <c r="C1941" t="s">
        <v>13247</v>
      </c>
      <c r="D1941" s="1">
        <v>40277</v>
      </c>
      <c r="E1941" s="2">
        <v>65520</v>
      </c>
      <c r="F1941" t="s">
        <v>4567</v>
      </c>
      <c r="G1941" s="17" t="str">
        <f>HYPERLINK("https://www.washoecounty.gov/assessor/cama/?command=sales&amp;parid=02649015","3869390")</f>
        <v>3869390</v>
      </c>
      <c r="H1941" t="s">
        <v>13248</v>
      </c>
      <c r="I1941">
        <v>1975</v>
      </c>
      <c r="J1941">
        <v>1976</v>
      </c>
      <c r="K1941" t="s">
        <v>4554</v>
      </c>
      <c r="L1941" t="s">
        <v>3974</v>
      </c>
      <c r="M1941" s="2">
        <v>1559</v>
      </c>
      <c r="N1941" t="s">
        <v>4048</v>
      </c>
      <c r="O1941">
        <v>2</v>
      </c>
      <c r="P1941">
        <v>1</v>
      </c>
      <c r="Q1941">
        <v>1</v>
      </c>
      <c r="R1941" t="s">
        <v>4557</v>
      </c>
      <c r="S1941" t="s">
        <v>4558</v>
      </c>
      <c r="T1941" t="s">
        <v>4143</v>
      </c>
      <c r="U1941" t="s">
        <v>4560</v>
      </c>
      <c r="V1941" s="2">
        <v>312</v>
      </c>
      <c r="W1941" t="s">
        <v>4655</v>
      </c>
      <c r="X1941" s="2">
        <v>0</v>
      </c>
      <c r="Y1941">
        <v>21</v>
      </c>
      <c r="Z1941" t="s">
        <v>4144</v>
      </c>
      <c r="AA1941" s="3">
        <v>7.6997242867946597E-2</v>
      </c>
      <c r="AB1941" t="s">
        <v>13249</v>
      </c>
      <c r="AC1941" t="s">
        <v>4575</v>
      </c>
      <c r="AD1941" t="s">
        <v>13250</v>
      </c>
      <c r="AE1941" t="s">
        <v>4655</v>
      </c>
      <c r="AF1941" t="s">
        <v>13251</v>
      </c>
      <c r="AG1941" t="s">
        <v>3370</v>
      </c>
      <c r="AH1941" t="s">
        <v>13252</v>
      </c>
      <c r="AI1941" t="s">
        <v>13253</v>
      </c>
      <c r="AJ1941" t="s">
        <v>4655</v>
      </c>
      <c r="AK1941" t="s">
        <v>13254</v>
      </c>
      <c r="AL1941" s="13" t="s">
        <v>2255</v>
      </c>
      <c r="AM1941" s="14">
        <v>1</v>
      </c>
      <c r="AN1941" s="15" t="s">
        <v>1041</v>
      </c>
    </row>
    <row r="1942" spans="1:40" x14ac:dyDescent="0.3">
      <c r="A1942" s="10" t="str">
        <f>HYPERLINK("http://www.washoecounty.gov/assessor/cama/?parid=026-490-17&amp;CardNumber=1","026-490-17")</f>
        <v>026-490-17</v>
      </c>
      <c r="B1942" t="s">
        <v>4655</v>
      </c>
      <c r="C1942" t="s">
        <v>13255</v>
      </c>
      <c r="D1942" s="1">
        <v>40409</v>
      </c>
      <c r="E1942" s="2">
        <v>120000</v>
      </c>
      <c r="F1942" t="s">
        <v>4567</v>
      </c>
      <c r="G1942" s="17" t="str">
        <f>HYPERLINK("https://www.washoecounty.gov/assessor/cama/?command=sales&amp;parid=02649017","3913884")</f>
        <v>3913884</v>
      </c>
      <c r="H1942" t="s">
        <v>13256</v>
      </c>
      <c r="I1942">
        <v>1975</v>
      </c>
      <c r="J1942">
        <v>1975</v>
      </c>
      <c r="K1942" t="s">
        <v>4554</v>
      </c>
      <c r="L1942" t="s">
        <v>3974</v>
      </c>
      <c r="M1942" s="2">
        <v>1357</v>
      </c>
      <c r="N1942" t="s">
        <v>4048</v>
      </c>
      <c r="O1942">
        <v>3</v>
      </c>
      <c r="P1942">
        <v>1</v>
      </c>
      <c r="Q1942">
        <v>1</v>
      </c>
      <c r="R1942" t="s">
        <v>4557</v>
      </c>
      <c r="S1942" t="s">
        <v>4558</v>
      </c>
      <c r="T1942" t="s">
        <v>4143</v>
      </c>
      <c r="U1942" t="s">
        <v>4560</v>
      </c>
      <c r="V1942" s="2">
        <v>483</v>
      </c>
      <c r="W1942" t="s">
        <v>4655</v>
      </c>
      <c r="X1942" s="2">
        <v>0</v>
      </c>
      <c r="Y1942">
        <v>21</v>
      </c>
      <c r="Z1942" t="s">
        <v>4144</v>
      </c>
      <c r="AA1942" s="3">
        <v>7.6997242867946597E-2</v>
      </c>
      <c r="AB1942" t="s">
        <v>13257</v>
      </c>
      <c r="AC1942" t="s">
        <v>4562</v>
      </c>
      <c r="AD1942" t="s">
        <v>13255</v>
      </c>
      <c r="AE1942" t="s">
        <v>4655</v>
      </c>
      <c r="AF1942" t="s">
        <v>4563</v>
      </c>
      <c r="AG1942" t="s">
        <v>4564</v>
      </c>
      <c r="AH1942">
        <v>89512</v>
      </c>
      <c r="AI1942" t="s">
        <v>13258</v>
      </c>
      <c r="AJ1942" t="s">
        <v>4655</v>
      </c>
      <c r="AK1942" t="s">
        <v>13259</v>
      </c>
      <c r="AL1942" s="13" t="s">
        <v>2255</v>
      </c>
      <c r="AM1942">
        <v>1</v>
      </c>
      <c r="AN1942" s="15" t="s">
        <v>1041</v>
      </c>
    </row>
    <row r="1943" spans="1:40" x14ac:dyDescent="0.3">
      <c r="A1943" s="10" t="str">
        <f>HYPERLINK("http://www.washoecounty.gov/assessor/cama/?parid=026-490-18&amp;CardNumber=1","026-490-18")</f>
        <v>026-490-18</v>
      </c>
      <c r="B1943" t="s">
        <v>4655</v>
      </c>
      <c r="C1943" t="s">
        <v>13260</v>
      </c>
      <c r="D1943" s="1">
        <v>40374</v>
      </c>
      <c r="E1943" s="2">
        <v>115000</v>
      </c>
      <c r="F1943" t="s">
        <v>4567</v>
      </c>
      <c r="G1943" s="17" t="str">
        <f>HYPERLINK("https://www.washoecounty.gov/assessor/cama/?command=sales&amp;parid=02649018","3901728")</f>
        <v>3901728</v>
      </c>
      <c r="H1943" t="s">
        <v>13248</v>
      </c>
      <c r="I1943">
        <v>1975</v>
      </c>
      <c r="J1943">
        <v>1975</v>
      </c>
      <c r="K1943" t="s">
        <v>4554</v>
      </c>
      <c r="L1943" t="s">
        <v>4555</v>
      </c>
      <c r="M1943" s="2">
        <v>1217</v>
      </c>
      <c r="N1943" t="s">
        <v>4048</v>
      </c>
      <c r="O1943">
        <v>3</v>
      </c>
      <c r="P1943">
        <v>2</v>
      </c>
      <c r="Q1943">
        <v>0</v>
      </c>
      <c r="R1943" t="s">
        <v>4557</v>
      </c>
      <c r="S1943" t="s">
        <v>4558</v>
      </c>
      <c r="T1943" t="s">
        <v>4143</v>
      </c>
      <c r="U1943" t="s">
        <v>4560</v>
      </c>
      <c r="V1943" s="2">
        <v>273</v>
      </c>
      <c r="W1943" t="s">
        <v>4655</v>
      </c>
      <c r="X1943" s="2">
        <v>0</v>
      </c>
      <c r="Y1943">
        <v>21</v>
      </c>
      <c r="Z1943" t="s">
        <v>4144</v>
      </c>
      <c r="AA1943" s="3">
        <v>0.107001833617687</v>
      </c>
      <c r="AB1943" t="s">
        <v>13261</v>
      </c>
      <c r="AC1943" t="s">
        <v>4562</v>
      </c>
      <c r="AD1943" t="s">
        <v>13260</v>
      </c>
      <c r="AE1943" t="s">
        <v>4655</v>
      </c>
      <c r="AF1943" t="s">
        <v>4563</v>
      </c>
      <c r="AG1943" t="s">
        <v>4564</v>
      </c>
      <c r="AH1943">
        <v>89512</v>
      </c>
      <c r="AI1943" t="s">
        <v>13262</v>
      </c>
      <c r="AJ1943" t="s">
        <v>4655</v>
      </c>
      <c r="AK1943" t="s">
        <v>13263</v>
      </c>
      <c r="AL1943" s="13" t="s">
        <v>2255</v>
      </c>
      <c r="AM1943" s="14">
        <v>1</v>
      </c>
      <c r="AN1943" s="15" t="s">
        <v>1041</v>
      </c>
    </row>
    <row r="1944" spans="1:40" x14ac:dyDescent="0.3">
      <c r="A1944" s="10" t="str">
        <f>HYPERLINK("http://www.washoecounty.gov/assessor/cama/?parid=026-501-07&amp;CardNumber=1","026-501-07")</f>
        <v>026-501-07</v>
      </c>
      <c r="B1944" t="s">
        <v>4655</v>
      </c>
      <c r="C1944" t="s">
        <v>13264</v>
      </c>
      <c r="D1944" s="1">
        <v>40464</v>
      </c>
      <c r="E1944" s="2">
        <v>112000</v>
      </c>
      <c r="F1944" t="s">
        <v>4567</v>
      </c>
      <c r="G1944" s="17" t="str">
        <f>HYPERLINK("https://www.washoecounty.gov/assessor/cama/?command=sales&amp;parid=02650107","3932214")</f>
        <v>3932214</v>
      </c>
      <c r="H1944" t="s">
        <v>1360</v>
      </c>
      <c r="I1944">
        <v>1984</v>
      </c>
      <c r="J1944">
        <v>1984</v>
      </c>
      <c r="K1944" t="s">
        <v>4554</v>
      </c>
      <c r="L1944" t="s">
        <v>4555</v>
      </c>
      <c r="M1944" s="2">
        <v>1449</v>
      </c>
      <c r="N1944" t="s">
        <v>4048</v>
      </c>
      <c r="O1944">
        <v>3</v>
      </c>
      <c r="P1944">
        <v>2</v>
      </c>
      <c r="Q1944">
        <v>0</v>
      </c>
      <c r="R1944" t="s">
        <v>5281</v>
      </c>
      <c r="S1944" t="s">
        <v>4558</v>
      </c>
      <c r="T1944" t="s">
        <v>4559</v>
      </c>
      <c r="U1944" t="s">
        <v>4560</v>
      </c>
      <c r="V1944" s="2">
        <v>460</v>
      </c>
      <c r="W1944" t="s">
        <v>4655</v>
      </c>
      <c r="X1944" s="2">
        <v>0</v>
      </c>
      <c r="Y1944">
        <v>20</v>
      </c>
      <c r="Z1944" t="s">
        <v>385</v>
      </c>
      <c r="AA1944" s="3">
        <v>0.221005514264107</v>
      </c>
      <c r="AB1944" t="s">
        <v>4673</v>
      </c>
      <c r="AC1944" t="s">
        <v>4562</v>
      </c>
      <c r="AD1944" t="s">
        <v>3093</v>
      </c>
      <c r="AE1944" t="s">
        <v>4655</v>
      </c>
      <c r="AF1944" t="s">
        <v>4563</v>
      </c>
      <c r="AG1944" t="s">
        <v>4564</v>
      </c>
      <c r="AH1944">
        <v>89512</v>
      </c>
      <c r="AI1944" t="s">
        <v>13265</v>
      </c>
      <c r="AJ1944" t="s">
        <v>4655</v>
      </c>
      <c r="AK1944" t="s">
        <v>13266</v>
      </c>
      <c r="AL1944" s="13" t="s">
        <v>2255</v>
      </c>
      <c r="AM1944" s="14">
        <v>1</v>
      </c>
      <c r="AN1944" s="15" t="s">
        <v>2190</v>
      </c>
    </row>
    <row r="1945" spans="1:40" x14ac:dyDescent="0.3">
      <c r="A1945" s="10" t="str">
        <f>HYPERLINK("http://www.washoecounty.gov/assessor/cama/?parid=026-501-31&amp;CardNumber=1","026-501-31")</f>
        <v>026-501-31</v>
      </c>
      <c r="B1945" t="s">
        <v>4655</v>
      </c>
      <c r="C1945" t="s">
        <v>13267</v>
      </c>
      <c r="D1945" s="1">
        <v>40339</v>
      </c>
      <c r="E1945" s="2">
        <v>109900</v>
      </c>
      <c r="F1945" t="s">
        <v>4553</v>
      </c>
      <c r="G1945" s="17" t="str">
        <f>HYPERLINK("https://www.washoecounty.gov/assessor/cama/?command=sales&amp;parid=02650131","3890208")</f>
        <v>3890208</v>
      </c>
      <c r="H1945" t="s">
        <v>1360</v>
      </c>
      <c r="I1945">
        <v>1989</v>
      </c>
      <c r="J1945">
        <v>1989</v>
      </c>
      <c r="K1945" t="s">
        <v>4554</v>
      </c>
      <c r="L1945" t="s">
        <v>3974</v>
      </c>
      <c r="M1945" s="2">
        <v>1418</v>
      </c>
      <c r="N1945" t="s">
        <v>4048</v>
      </c>
      <c r="O1945">
        <v>3</v>
      </c>
      <c r="P1945">
        <v>2</v>
      </c>
      <c r="Q1945">
        <v>1</v>
      </c>
      <c r="R1945" t="s">
        <v>4557</v>
      </c>
      <c r="S1945" t="s">
        <v>4558</v>
      </c>
      <c r="T1945" t="s">
        <v>4559</v>
      </c>
      <c r="U1945" t="s">
        <v>5631</v>
      </c>
      <c r="V1945" s="2">
        <v>469</v>
      </c>
      <c r="W1945" t="s">
        <v>4655</v>
      </c>
      <c r="X1945" s="2">
        <v>0</v>
      </c>
      <c r="Y1945">
        <v>20</v>
      </c>
      <c r="Z1945" t="s">
        <v>385</v>
      </c>
      <c r="AA1945" s="3">
        <v>0.29100093245506298</v>
      </c>
      <c r="AB1945" t="s">
        <v>13268</v>
      </c>
      <c r="AC1945" t="s">
        <v>4562</v>
      </c>
      <c r="AD1945" t="s">
        <v>13269</v>
      </c>
      <c r="AE1945" t="s">
        <v>4655</v>
      </c>
      <c r="AF1945" t="s">
        <v>4563</v>
      </c>
      <c r="AG1945" t="s">
        <v>4564</v>
      </c>
      <c r="AH1945">
        <v>89512</v>
      </c>
      <c r="AI1945" t="s">
        <v>4655</v>
      </c>
      <c r="AJ1945" t="s">
        <v>4655</v>
      </c>
      <c r="AK1945" t="s">
        <v>13270</v>
      </c>
      <c r="AL1945" s="13" t="s">
        <v>2255</v>
      </c>
      <c r="AM1945">
        <v>1</v>
      </c>
      <c r="AN1945" s="15" t="s">
        <v>2190</v>
      </c>
    </row>
    <row r="1946" spans="1:40" x14ac:dyDescent="0.3">
      <c r="A1946" s="10" t="str">
        <f>HYPERLINK("http://www.washoecounty.gov/assessor/cama/?parid=026-502-04&amp;CardNumber=1","026-502-04")</f>
        <v>026-502-04</v>
      </c>
      <c r="B1946" t="s">
        <v>4655</v>
      </c>
      <c r="C1946" t="s">
        <v>13271</v>
      </c>
      <c r="D1946" s="1">
        <v>40238</v>
      </c>
      <c r="E1946" s="2">
        <v>132000</v>
      </c>
      <c r="F1946" t="s">
        <v>4553</v>
      </c>
      <c r="G1946" s="17" t="str">
        <f>HYPERLINK("https://www.washoecounty.gov/assessor/cama/?command=sales&amp;parid=02650204","3853998")</f>
        <v>3853998</v>
      </c>
      <c r="H1946" t="s">
        <v>13272</v>
      </c>
      <c r="I1946">
        <v>1980</v>
      </c>
      <c r="J1946">
        <v>1980</v>
      </c>
      <c r="K1946" t="s">
        <v>4554</v>
      </c>
      <c r="L1946" t="s">
        <v>4555</v>
      </c>
      <c r="M1946" s="2">
        <v>1720</v>
      </c>
      <c r="N1946" t="s">
        <v>4048</v>
      </c>
      <c r="O1946">
        <v>4</v>
      </c>
      <c r="P1946">
        <v>2</v>
      </c>
      <c r="Q1946">
        <v>0</v>
      </c>
      <c r="R1946" t="s">
        <v>5281</v>
      </c>
      <c r="S1946" t="s">
        <v>4558</v>
      </c>
      <c r="T1946" t="s">
        <v>4143</v>
      </c>
      <c r="U1946" t="s">
        <v>4560</v>
      </c>
      <c r="V1946" s="2">
        <v>461</v>
      </c>
      <c r="W1946" t="s">
        <v>4655</v>
      </c>
      <c r="X1946" s="2">
        <v>0</v>
      </c>
      <c r="Y1946">
        <v>20</v>
      </c>
      <c r="Z1946" t="s">
        <v>385</v>
      </c>
      <c r="AA1946" s="3">
        <v>0.20700183510780301</v>
      </c>
      <c r="AB1946" t="s">
        <v>13273</v>
      </c>
      <c r="AC1946" t="s">
        <v>4562</v>
      </c>
      <c r="AD1946" t="s">
        <v>13274</v>
      </c>
      <c r="AE1946" t="s">
        <v>4655</v>
      </c>
      <c r="AF1946" t="s">
        <v>4563</v>
      </c>
      <c r="AG1946" t="s">
        <v>4564</v>
      </c>
      <c r="AH1946">
        <v>89511</v>
      </c>
      <c r="AI1946" t="s">
        <v>4848</v>
      </c>
      <c r="AJ1946" t="s">
        <v>4655</v>
      </c>
      <c r="AK1946" t="s">
        <v>13275</v>
      </c>
      <c r="AL1946" s="13" t="s">
        <v>2255</v>
      </c>
      <c r="AM1946">
        <v>1</v>
      </c>
      <c r="AN1946" s="15" t="s">
        <v>2190</v>
      </c>
    </row>
    <row r="1947" spans="1:40" x14ac:dyDescent="0.3">
      <c r="A1947" s="10" t="str">
        <f>HYPERLINK("http://www.washoecounty.gov/assessor/cama/?parid=026-512-07&amp;CardNumber=1","026-512-07")</f>
        <v>026-512-07</v>
      </c>
      <c r="B1947" t="s">
        <v>4655</v>
      </c>
      <c r="C1947" t="s">
        <v>13276</v>
      </c>
      <c r="D1947" s="1">
        <v>40263</v>
      </c>
      <c r="E1947" s="2">
        <v>179000</v>
      </c>
      <c r="F1947" t="s">
        <v>4553</v>
      </c>
      <c r="G1947" s="17" t="str">
        <f>HYPERLINK("https://www.washoecounty.gov/assessor/cama/?command=sales&amp;parid=02651207","3864726")</f>
        <v>3864726</v>
      </c>
      <c r="H1947" t="s">
        <v>1360</v>
      </c>
      <c r="I1947">
        <v>1983</v>
      </c>
      <c r="J1947">
        <v>1985</v>
      </c>
      <c r="K1947" t="s">
        <v>4554</v>
      </c>
      <c r="L1947" t="s">
        <v>4555</v>
      </c>
      <c r="M1947" s="2">
        <v>2160</v>
      </c>
      <c r="N1947" t="s">
        <v>4048</v>
      </c>
      <c r="O1947">
        <v>4</v>
      </c>
      <c r="P1947">
        <v>2</v>
      </c>
      <c r="Q1947">
        <v>0</v>
      </c>
      <c r="R1947" t="s">
        <v>4557</v>
      </c>
      <c r="S1947" t="s">
        <v>4558</v>
      </c>
      <c r="T1947" t="s">
        <v>4559</v>
      </c>
      <c r="U1947" t="s">
        <v>4560</v>
      </c>
      <c r="V1947" s="2">
        <v>461</v>
      </c>
      <c r="W1947" t="s">
        <v>4655</v>
      </c>
      <c r="X1947" s="2">
        <v>0</v>
      </c>
      <c r="Y1947">
        <v>20</v>
      </c>
      <c r="Z1947" t="s">
        <v>385</v>
      </c>
      <c r="AA1947" s="3">
        <v>0.20700183510780301</v>
      </c>
      <c r="AB1947" t="s">
        <v>13277</v>
      </c>
      <c r="AC1947" t="s">
        <v>4562</v>
      </c>
      <c r="AD1947" t="s">
        <v>13276</v>
      </c>
      <c r="AE1947" t="s">
        <v>4655</v>
      </c>
      <c r="AF1947" t="s">
        <v>4563</v>
      </c>
      <c r="AG1947" t="s">
        <v>4564</v>
      </c>
      <c r="AH1947">
        <v>89512</v>
      </c>
      <c r="AI1947" t="s">
        <v>13278</v>
      </c>
      <c r="AJ1947" t="s">
        <v>4655</v>
      </c>
      <c r="AK1947" t="s">
        <v>13279</v>
      </c>
      <c r="AL1947" s="13" t="s">
        <v>2255</v>
      </c>
      <c r="AM1947" s="14">
        <v>1</v>
      </c>
      <c r="AN1947" s="15" t="s">
        <v>2190</v>
      </c>
    </row>
    <row r="1948" spans="1:40" x14ac:dyDescent="0.3">
      <c r="A1948" s="10" t="str">
        <f>HYPERLINK("http://www.washoecounty.gov/assessor/cama/?parid=026-513-01&amp;CardNumber=1","026-513-01")</f>
        <v>026-513-01</v>
      </c>
      <c r="B1948" t="s">
        <v>4655</v>
      </c>
      <c r="C1948" t="s">
        <v>13280</v>
      </c>
      <c r="D1948" s="1">
        <v>40346</v>
      </c>
      <c r="E1948" s="2">
        <v>139900</v>
      </c>
      <c r="F1948" t="s">
        <v>4567</v>
      </c>
      <c r="G1948" s="17" t="str">
        <f>HYPERLINK("https://www.washoecounty.gov/assessor/cama/?command=sales&amp;parid=02651301","3893022")</f>
        <v>3893022</v>
      </c>
      <c r="H1948" t="s">
        <v>2949</v>
      </c>
      <c r="I1948">
        <v>1985</v>
      </c>
      <c r="J1948">
        <v>1985</v>
      </c>
      <c r="K1948" t="s">
        <v>4554</v>
      </c>
      <c r="L1948" t="s">
        <v>3974</v>
      </c>
      <c r="M1948" s="2">
        <v>1683</v>
      </c>
      <c r="N1948" t="s">
        <v>4048</v>
      </c>
      <c r="O1948">
        <v>3</v>
      </c>
      <c r="P1948">
        <v>2</v>
      </c>
      <c r="Q1948">
        <v>1</v>
      </c>
      <c r="R1948" t="s">
        <v>4557</v>
      </c>
      <c r="S1948" t="s">
        <v>4558</v>
      </c>
      <c r="T1948" t="s">
        <v>4559</v>
      </c>
      <c r="U1948" t="s">
        <v>4560</v>
      </c>
      <c r="V1948" s="2">
        <v>446</v>
      </c>
      <c r="W1948" t="s">
        <v>4655</v>
      </c>
      <c r="X1948" s="2">
        <v>0</v>
      </c>
      <c r="Y1948">
        <v>20</v>
      </c>
      <c r="Z1948" t="s">
        <v>385</v>
      </c>
      <c r="AA1948" s="3">
        <v>0.16600091755390201</v>
      </c>
      <c r="AB1948" t="s">
        <v>13281</v>
      </c>
      <c r="AC1948" t="s">
        <v>4562</v>
      </c>
      <c r="AD1948" t="s">
        <v>13280</v>
      </c>
      <c r="AE1948" t="s">
        <v>4655</v>
      </c>
      <c r="AF1948" t="s">
        <v>4563</v>
      </c>
      <c r="AG1948" t="s">
        <v>4564</v>
      </c>
      <c r="AH1948">
        <v>89512</v>
      </c>
      <c r="AI1948" t="s">
        <v>13282</v>
      </c>
      <c r="AJ1948" t="s">
        <v>4655</v>
      </c>
      <c r="AK1948" t="s">
        <v>1158</v>
      </c>
      <c r="AL1948" s="13" t="s">
        <v>2255</v>
      </c>
      <c r="AM1948">
        <v>1</v>
      </c>
      <c r="AN1948" s="15" t="s">
        <v>2190</v>
      </c>
    </row>
    <row r="1949" spans="1:40" x14ac:dyDescent="0.3">
      <c r="A1949" s="10" t="str">
        <f>HYPERLINK("http://www.washoecounty.gov/assessor/cama/?parid=026-513-10&amp;CardNumber=1","026-513-10")</f>
        <v>026-513-10</v>
      </c>
      <c r="B1949" t="s">
        <v>4655</v>
      </c>
      <c r="C1949" t="s">
        <v>13283</v>
      </c>
      <c r="D1949" s="1">
        <v>40373</v>
      </c>
      <c r="E1949" s="2">
        <v>114500</v>
      </c>
      <c r="F1949" t="s">
        <v>4567</v>
      </c>
      <c r="G1949" s="17" t="str">
        <f>HYPERLINK("https://www.washoecounty.gov/assessor/cama/?command=sales&amp;parid=02651310","3901229")</f>
        <v>3901229</v>
      </c>
      <c r="H1949" t="s">
        <v>2949</v>
      </c>
      <c r="I1949">
        <v>1986</v>
      </c>
      <c r="J1949">
        <v>1986</v>
      </c>
      <c r="K1949" t="s">
        <v>4554</v>
      </c>
      <c r="L1949" t="s">
        <v>3974</v>
      </c>
      <c r="M1949" s="2">
        <v>1418</v>
      </c>
      <c r="N1949" t="s">
        <v>4048</v>
      </c>
      <c r="O1949">
        <v>3</v>
      </c>
      <c r="P1949">
        <v>2</v>
      </c>
      <c r="Q1949">
        <v>1</v>
      </c>
      <c r="R1949" t="s">
        <v>4557</v>
      </c>
      <c r="S1949" t="s">
        <v>4558</v>
      </c>
      <c r="T1949" t="s">
        <v>4559</v>
      </c>
      <c r="U1949" t="s">
        <v>5631</v>
      </c>
      <c r="V1949" s="2">
        <v>469</v>
      </c>
      <c r="W1949" t="s">
        <v>4655</v>
      </c>
      <c r="X1949" s="2">
        <v>0</v>
      </c>
      <c r="Y1949">
        <v>20</v>
      </c>
      <c r="Z1949" t="s">
        <v>385</v>
      </c>
      <c r="AA1949" s="3">
        <v>0.16200642287731201</v>
      </c>
      <c r="AB1949" t="s">
        <v>13284</v>
      </c>
      <c r="AC1949" t="s">
        <v>4562</v>
      </c>
      <c r="AD1949" t="s">
        <v>13283</v>
      </c>
      <c r="AE1949" t="s">
        <v>4655</v>
      </c>
      <c r="AF1949" t="s">
        <v>4563</v>
      </c>
      <c r="AG1949" t="s">
        <v>4564</v>
      </c>
      <c r="AH1949">
        <v>89512</v>
      </c>
      <c r="AI1949" t="s">
        <v>13285</v>
      </c>
      <c r="AJ1949" t="s">
        <v>4655</v>
      </c>
      <c r="AK1949" t="s">
        <v>13286</v>
      </c>
      <c r="AL1949" s="13" t="s">
        <v>2255</v>
      </c>
      <c r="AM1949" s="14">
        <v>1</v>
      </c>
      <c r="AN1949" s="15" t="s">
        <v>2190</v>
      </c>
    </row>
    <row r="1950" spans="1:40" x14ac:dyDescent="0.3">
      <c r="A1950" s="10" t="str">
        <f>HYPERLINK("http://www.washoecounty.gov/assessor/cama/?parid=026-514-19&amp;CardNumber=1","026-514-19")</f>
        <v>026-514-19</v>
      </c>
      <c r="B1950" t="s">
        <v>4655</v>
      </c>
      <c r="C1950" t="s">
        <v>13287</v>
      </c>
      <c r="D1950" s="1">
        <v>40479</v>
      </c>
      <c r="E1950" s="2">
        <v>115000</v>
      </c>
      <c r="F1950" t="s">
        <v>4567</v>
      </c>
      <c r="G1950" s="17" t="str">
        <f>HYPERLINK("https://www.washoecounty.gov/assessor/cama/?command=sales&amp;parid=02651419","3937605")</f>
        <v>3937605</v>
      </c>
      <c r="H1950" t="s">
        <v>1158</v>
      </c>
      <c r="I1950">
        <v>1986</v>
      </c>
      <c r="J1950">
        <v>1986</v>
      </c>
      <c r="K1950" t="s">
        <v>4554</v>
      </c>
      <c r="L1950" t="s">
        <v>3974</v>
      </c>
      <c r="M1950" s="2">
        <v>1366</v>
      </c>
      <c r="N1950" t="s">
        <v>4048</v>
      </c>
      <c r="O1950">
        <v>3</v>
      </c>
      <c r="P1950">
        <v>2</v>
      </c>
      <c r="Q1950">
        <v>1</v>
      </c>
      <c r="R1950" t="s">
        <v>4557</v>
      </c>
      <c r="S1950" t="s">
        <v>4558</v>
      </c>
      <c r="T1950" t="s">
        <v>4559</v>
      </c>
      <c r="U1950" t="s">
        <v>5631</v>
      </c>
      <c r="V1950" s="2">
        <v>438</v>
      </c>
      <c r="W1950" t="s">
        <v>4655</v>
      </c>
      <c r="X1950" s="2">
        <v>0</v>
      </c>
      <c r="Y1950">
        <v>20</v>
      </c>
      <c r="Z1950" t="s">
        <v>385</v>
      </c>
      <c r="AA1950" s="3">
        <v>0.14898990094661699</v>
      </c>
      <c r="AB1950" t="s">
        <v>13288</v>
      </c>
      <c r="AC1950" t="s">
        <v>4562</v>
      </c>
      <c r="AD1950" t="s">
        <v>13289</v>
      </c>
      <c r="AE1950" t="s">
        <v>4655</v>
      </c>
      <c r="AF1950" t="s">
        <v>4563</v>
      </c>
      <c r="AG1950" t="s">
        <v>4564</v>
      </c>
      <c r="AH1950">
        <v>89512</v>
      </c>
      <c r="AI1950" t="s">
        <v>13290</v>
      </c>
      <c r="AJ1950" t="s">
        <v>4655</v>
      </c>
      <c r="AK1950" t="s">
        <v>13291</v>
      </c>
      <c r="AL1950" s="13" t="s">
        <v>2255</v>
      </c>
      <c r="AM1950">
        <v>1</v>
      </c>
      <c r="AN1950" s="15" t="s">
        <v>2190</v>
      </c>
    </row>
    <row r="1951" spans="1:40" x14ac:dyDescent="0.3">
      <c r="A1951" s="10" t="str">
        <f>HYPERLINK("http://www.washoecounty.gov/assessor/cama/?parid=026-514-22&amp;CardNumber=1","026-514-22")</f>
        <v>026-514-22</v>
      </c>
      <c r="B1951" t="s">
        <v>4655</v>
      </c>
      <c r="C1951" t="s">
        <v>13292</v>
      </c>
      <c r="D1951" s="1">
        <v>40193</v>
      </c>
      <c r="E1951" s="2">
        <v>159900</v>
      </c>
      <c r="F1951" t="s">
        <v>4553</v>
      </c>
      <c r="G1951" s="17" t="str">
        <f>HYPERLINK("https://www.washoecounty.gov/assessor/cama/?command=sales&amp;parid=02651422","3840206")</f>
        <v>3840206</v>
      </c>
      <c r="H1951" t="s">
        <v>2949</v>
      </c>
      <c r="I1951">
        <v>1987</v>
      </c>
      <c r="J1951">
        <v>1987</v>
      </c>
      <c r="K1951" t="s">
        <v>4554</v>
      </c>
      <c r="L1951" t="s">
        <v>3974</v>
      </c>
      <c r="M1951" s="2">
        <v>1829</v>
      </c>
      <c r="N1951" t="s">
        <v>4048</v>
      </c>
      <c r="O1951">
        <v>4</v>
      </c>
      <c r="P1951">
        <v>3</v>
      </c>
      <c r="Q1951">
        <v>0</v>
      </c>
      <c r="R1951" t="s">
        <v>4557</v>
      </c>
      <c r="S1951" t="s">
        <v>4558</v>
      </c>
      <c r="T1951" t="s">
        <v>4559</v>
      </c>
      <c r="U1951" t="s">
        <v>4560</v>
      </c>
      <c r="V1951" s="2">
        <v>456</v>
      </c>
      <c r="W1951" t="s">
        <v>4655</v>
      </c>
      <c r="X1951" s="2">
        <v>0</v>
      </c>
      <c r="Y1951">
        <v>20</v>
      </c>
      <c r="Z1951" t="s">
        <v>385</v>
      </c>
      <c r="AA1951" s="3">
        <v>0.16099633276462599</v>
      </c>
      <c r="AB1951" t="s">
        <v>13293</v>
      </c>
      <c r="AC1951" t="s">
        <v>4575</v>
      </c>
      <c r="AD1951" t="s">
        <v>13294</v>
      </c>
      <c r="AE1951" t="s">
        <v>4655</v>
      </c>
      <c r="AF1951" t="s">
        <v>4563</v>
      </c>
      <c r="AG1951" t="s">
        <v>4564</v>
      </c>
      <c r="AH1951">
        <v>89512</v>
      </c>
      <c r="AI1951" t="s">
        <v>13295</v>
      </c>
      <c r="AJ1951" t="s">
        <v>4655</v>
      </c>
      <c r="AK1951" t="s">
        <v>13296</v>
      </c>
      <c r="AL1951" s="13" t="s">
        <v>2255</v>
      </c>
      <c r="AM1951">
        <v>1</v>
      </c>
      <c r="AN1951" s="15" t="s">
        <v>2190</v>
      </c>
    </row>
    <row r="1952" spans="1:40" x14ac:dyDescent="0.3">
      <c r="A1952" s="10" t="str">
        <f>HYPERLINK("http://www.washoecounty.gov/assessor/cama/?parid=026-515-40&amp;CardNumber=1","026-515-40")</f>
        <v>026-515-40</v>
      </c>
      <c r="B1952" t="s">
        <v>4655</v>
      </c>
      <c r="C1952" t="s">
        <v>13297</v>
      </c>
      <c r="D1952" s="1">
        <v>40220</v>
      </c>
      <c r="E1952" s="2">
        <v>159000</v>
      </c>
      <c r="F1952" t="s">
        <v>4567</v>
      </c>
      <c r="G1952" s="17" t="str">
        <f>HYPERLINK("https://www.washoecounty.gov/assessor/cama/?command=sales&amp;parid=02651540","3848157")</f>
        <v>3848157</v>
      </c>
      <c r="H1952" t="s">
        <v>1158</v>
      </c>
      <c r="I1952">
        <v>1986</v>
      </c>
      <c r="J1952">
        <v>1986</v>
      </c>
      <c r="K1952" t="s">
        <v>4554</v>
      </c>
      <c r="L1952" t="s">
        <v>3974</v>
      </c>
      <c r="M1952" s="2">
        <v>1829</v>
      </c>
      <c r="N1952" t="s">
        <v>4048</v>
      </c>
      <c r="O1952">
        <v>4</v>
      </c>
      <c r="P1952">
        <v>3</v>
      </c>
      <c r="Q1952">
        <v>0</v>
      </c>
      <c r="R1952" t="s">
        <v>4557</v>
      </c>
      <c r="S1952" t="s">
        <v>4558</v>
      </c>
      <c r="T1952" t="s">
        <v>4559</v>
      </c>
      <c r="U1952" t="s">
        <v>4560</v>
      </c>
      <c r="V1952" s="2">
        <v>456</v>
      </c>
      <c r="W1952" t="s">
        <v>4655</v>
      </c>
      <c r="X1952" s="2">
        <v>0</v>
      </c>
      <c r="Y1952">
        <v>20</v>
      </c>
      <c r="Z1952" t="s">
        <v>385</v>
      </c>
      <c r="AA1952" s="3">
        <v>0.14499540627002699</v>
      </c>
      <c r="AB1952" t="s">
        <v>13298</v>
      </c>
      <c r="AC1952" t="s">
        <v>4562</v>
      </c>
      <c r="AD1952" t="s">
        <v>13297</v>
      </c>
      <c r="AE1952" t="s">
        <v>4655</v>
      </c>
      <c r="AF1952" t="s">
        <v>4563</v>
      </c>
      <c r="AG1952" t="s">
        <v>4564</v>
      </c>
      <c r="AH1952">
        <v>89512</v>
      </c>
      <c r="AI1952" t="s">
        <v>13299</v>
      </c>
      <c r="AJ1952" t="s">
        <v>4655</v>
      </c>
      <c r="AK1952" t="s">
        <v>13300</v>
      </c>
      <c r="AL1952" s="13" t="s">
        <v>2255</v>
      </c>
      <c r="AM1952" s="14">
        <v>1</v>
      </c>
      <c r="AN1952" s="15" t="s">
        <v>2190</v>
      </c>
    </row>
    <row r="1953" spans="1:40" x14ac:dyDescent="0.3">
      <c r="A1953" s="10" t="str">
        <f>HYPERLINK("http://www.washoecounty.gov/assessor/cama/?parid=026-524-05&amp;CardNumber=1","026-524-05")</f>
        <v>026-524-05</v>
      </c>
      <c r="B1953" t="s">
        <v>4655</v>
      </c>
      <c r="C1953" t="s">
        <v>13301</v>
      </c>
      <c r="D1953" s="1">
        <v>40420</v>
      </c>
      <c r="E1953" s="2">
        <v>145000</v>
      </c>
      <c r="F1953" t="s">
        <v>4553</v>
      </c>
      <c r="G1953" s="17" t="str">
        <f>HYPERLINK("https://www.washoecounty.gov/assessor/cama/?command=sales&amp;parid=02652405","3916702")</f>
        <v>3916702</v>
      </c>
      <c r="H1953" t="s">
        <v>1158</v>
      </c>
      <c r="I1953">
        <v>1985</v>
      </c>
      <c r="J1953">
        <v>1985</v>
      </c>
      <c r="K1953" t="s">
        <v>4554</v>
      </c>
      <c r="L1953" t="s">
        <v>3974</v>
      </c>
      <c r="M1953" s="2">
        <v>1829</v>
      </c>
      <c r="N1953" t="s">
        <v>4048</v>
      </c>
      <c r="O1953">
        <v>4</v>
      </c>
      <c r="P1953">
        <v>3</v>
      </c>
      <c r="Q1953">
        <v>0</v>
      </c>
      <c r="R1953" t="s">
        <v>4557</v>
      </c>
      <c r="S1953" t="s">
        <v>4558</v>
      </c>
      <c r="T1953" t="s">
        <v>4559</v>
      </c>
      <c r="U1953" t="s">
        <v>4560</v>
      </c>
      <c r="V1953" s="2">
        <v>456</v>
      </c>
      <c r="W1953" t="s">
        <v>4655</v>
      </c>
      <c r="X1953" s="2">
        <v>0</v>
      </c>
      <c r="Y1953">
        <v>20</v>
      </c>
      <c r="Z1953" t="s">
        <v>385</v>
      </c>
      <c r="AA1953" s="3">
        <v>0.157001838088036</v>
      </c>
      <c r="AB1953" t="s">
        <v>4238</v>
      </c>
      <c r="AC1953" t="s">
        <v>4575</v>
      </c>
      <c r="AD1953" t="s">
        <v>13302</v>
      </c>
      <c r="AE1953" t="s">
        <v>2994</v>
      </c>
      <c r="AF1953" t="s">
        <v>4563</v>
      </c>
      <c r="AG1953" t="s">
        <v>4564</v>
      </c>
      <c r="AH1953">
        <v>89512</v>
      </c>
      <c r="AI1953" t="s">
        <v>4903</v>
      </c>
      <c r="AJ1953" t="s">
        <v>4655</v>
      </c>
      <c r="AK1953" t="s">
        <v>13303</v>
      </c>
      <c r="AL1953" s="13" t="s">
        <v>2255</v>
      </c>
      <c r="AM1953" s="14">
        <v>1</v>
      </c>
      <c r="AN1953" s="15" t="s">
        <v>2190</v>
      </c>
    </row>
    <row r="1954" spans="1:40" x14ac:dyDescent="0.3">
      <c r="A1954" s="10" t="str">
        <f>HYPERLINK("http://www.washoecounty.gov/assessor/cama/?parid=026-524-22&amp;CardNumber=1","026-524-22")</f>
        <v>026-524-22</v>
      </c>
      <c r="B1954" t="s">
        <v>4655</v>
      </c>
      <c r="C1954" t="s">
        <v>13304</v>
      </c>
      <c r="D1954" s="1">
        <v>40288</v>
      </c>
      <c r="E1954" s="2">
        <v>49000</v>
      </c>
      <c r="F1954" t="s">
        <v>4553</v>
      </c>
      <c r="G1954" s="17" t="str">
        <f>HYPERLINK("https://www.washoecounty.gov/assessor/cama/?command=sales&amp;parid=02652422","3872771")</f>
        <v>3872771</v>
      </c>
      <c r="H1954" t="s">
        <v>13305</v>
      </c>
      <c r="I1954">
        <v>1959</v>
      </c>
      <c r="J1954">
        <v>1965</v>
      </c>
      <c r="K1954" t="s">
        <v>4554</v>
      </c>
      <c r="L1954" t="s">
        <v>2170</v>
      </c>
      <c r="M1954" s="2">
        <v>2172</v>
      </c>
      <c r="N1954" t="s">
        <v>4048</v>
      </c>
      <c r="O1954">
        <v>3</v>
      </c>
      <c r="P1954">
        <v>2</v>
      </c>
      <c r="Q1954">
        <v>0</v>
      </c>
      <c r="R1954" t="s">
        <v>4557</v>
      </c>
      <c r="S1954" t="s">
        <v>3148</v>
      </c>
      <c r="T1954" t="s">
        <v>4559</v>
      </c>
      <c r="U1954" t="s">
        <v>4655</v>
      </c>
      <c r="V1954" s="2">
        <v>0</v>
      </c>
      <c r="W1954" t="s">
        <v>4655</v>
      </c>
      <c r="X1954" s="2">
        <v>0</v>
      </c>
      <c r="Y1954">
        <v>20</v>
      </c>
      <c r="Z1954" t="s">
        <v>1077</v>
      </c>
      <c r="AA1954" s="3">
        <v>0.23000459372997301</v>
      </c>
      <c r="AB1954" t="s">
        <v>13306</v>
      </c>
      <c r="AC1954" t="s">
        <v>4562</v>
      </c>
      <c r="AD1954" t="s">
        <v>13307</v>
      </c>
      <c r="AE1954" t="s">
        <v>4655</v>
      </c>
      <c r="AF1954" t="s">
        <v>4563</v>
      </c>
      <c r="AG1954" t="s">
        <v>4564</v>
      </c>
      <c r="AH1954">
        <v>89512</v>
      </c>
      <c r="AI1954" t="s">
        <v>4565</v>
      </c>
      <c r="AJ1954" t="s">
        <v>4655</v>
      </c>
      <c r="AK1954" t="s">
        <v>13308</v>
      </c>
      <c r="AL1954" s="13" t="s">
        <v>2255</v>
      </c>
      <c r="AM1954">
        <v>1</v>
      </c>
      <c r="AN1954" s="15" t="s">
        <v>2190</v>
      </c>
    </row>
    <row r="1955" spans="1:40" x14ac:dyDescent="0.3">
      <c r="A1955" s="10" t="str">
        <f>HYPERLINK("http://www.washoecounty.gov/assessor/cama/?parid=026-525-02&amp;CardNumber=1","026-525-02")</f>
        <v>026-525-02</v>
      </c>
      <c r="B1955" t="s">
        <v>4655</v>
      </c>
      <c r="C1955" t="s">
        <v>13309</v>
      </c>
      <c r="D1955" s="1">
        <v>40525</v>
      </c>
      <c r="E1955" s="2">
        <v>108000</v>
      </c>
      <c r="F1955" t="s">
        <v>4567</v>
      </c>
      <c r="G1955" s="17" t="str">
        <f>HYPERLINK("https://www.washoecounty.gov/assessor/cama/?command=sales&amp;parid=02652502","3952582")</f>
        <v>3952582</v>
      </c>
      <c r="H1955" t="s">
        <v>1158</v>
      </c>
      <c r="I1955">
        <v>1987</v>
      </c>
      <c r="J1955">
        <v>1987</v>
      </c>
      <c r="K1955" t="s">
        <v>4554</v>
      </c>
      <c r="L1955" t="s">
        <v>3974</v>
      </c>
      <c r="M1955" s="2">
        <v>1311</v>
      </c>
      <c r="N1955" t="s">
        <v>4048</v>
      </c>
      <c r="O1955">
        <v>2</v>
      </c>
      <c r="P1955">
        <v>2</v>
      </c>
      <c r="Q1955">
        <v>1</v>
      </c>
      <c r="R1955" t="s">
        <v>4557</v>
      </c>
      <c r="S1955" t="s">
        <v>4558</v>
      </c>
      <c r="T1955" t="s">
        <v>4559</v>
      </c>
      <c r="U1955" t="s">
        <v>4560</v>
      </c>
      <c r="V1955" s="2">
        <v>460</v>
      </c>
      <c r="W1955" t="s">
        <v>4655</v>
      </c>
      <c r="X1955" s="2">
        <v>0</v>
      </c>
      <c r="Y1955">
        <v>20</v>
      </c>
      <c r="Z1955" t="s">
        <v>385</v>
      </c>
      <c r="AA1955" s="3">
        <v>0.19100092351436601</v>
      </c>
      <c r="AB1955" t="s">
        <v>13310</v>
      </c>
      <c r="AC1955" t="s">
        <v>4562</v>
      </c>
      <c r="AD1955" t="s">
        <v>13311</v>
      </c>
      <c r="AE1955" t="s">
        <v>4655</v>
      </c>
      <c r="AF1955" t="s">
        <v>4563</v>
      </c>
      <c r="AG1955" t="s">
        <v>4564</v>
      </c>
      <c r="AH1955">
        <v>89512</v>
      </c>
      <c r="AI1955" t="s">
        <v>13312</v>
      </c>
      <c r="AJ1955" t="s">
        <v>4655</v>
      </c>
      <c r="AK1955" t="s">
        <v>13313</v>
      </c>
      <c r="AL1955" s="13" t="s">
        <v>2255</v>
      </c>
      <c r="AM1955" s="14">
        <v>1</v>
      </c>
      <c r="AN1955" s="15" t="s">
        <v>2190</v>
      </c>
    </row>
    <row r="1956" spans="1:40" x14ac:dyDescent="0.3">
      <c r="A1956" s="10" t="str">
        <f>HYPERLINK("http://www.washoecounty.gov/assessor/cama/?parid=026-525-06&amp;CardNumber=1","026-525-06")</f>
        <v>026-525-06</v>
      </c>
      <c r="B1956" t="s">
        <v>4655</v>
      </c>
      <c r="C1956" t="s">
        <v>13314</v>
      </c>
      <c r="D1956" s="1">
        <v>40367</v>
      </c>
      <c r="E1956" s="2">
        <v>108000</v>
      </c>
      <c r="F1956" t="s">
        <v>4567</v>
      </c>
      <c r="G1956" s="17" t="str">
        <f>HYPERLINK("https://www.washoecounty.gov/assessor/cama/?command=sales&amp;parid=02652506","3899636")</f>
        <v>3899636</v>
      </c>
      <c r="H1956" t="s">
        <v>1158</v>
      </c>
      <c r="I1956">
        <v>1985</v>
      </c>
      <c r="J1956">
        <v>1985</v>
      </c>
      <c r="K1956" t="s">
        <v>4554</v>
      </c>
      <c r="L1956" t="s">
        <v>3974</v>
      </c>
      <c r="M1956" s="2">
        <v>1311</v>
      </c>
      <c r="N1956" t="s">
        <v>4048</v>
      </c>
      <c r="O1956">
        <v>2</v>
      </c>
      <c r="P1956">
        <v>2</v>
      </c>
      <c r="Q1956">
        <v>1</v>
      </c>
      <c r="R1956" t="s">
        <v>4557</v>
      </c>
      <c r="S1956" t="s">
        <v>4558</v>
      </c>
      <c r="T1956" t="s">
        <v>4559</v>
      </c>
      <c r="U1956" t="s">
        <v>4560</v>
      </c>
      <c r="V1956" s="2">
        <v>460</v>
      </c>
      <c r="W1956" t="s">
        <v>4655</v>
      </c>
      <c r="X1956" s="2">
        <v>0</v>
      </c>
      <c r="Y1956">
        <v>20</v>
      </c>
      <c r="Z1956" t="s">
        <v>385</v>
      </c>
      <c r="AA1956" s="3">
        <v>0.16400367021560699</v>
      </c>
      <c r="AB1956" t="s">
        <v>13315</v>
      </c>
      <c r="AC1956" t="s">
        <v>4562</v>
      </c>
      <c r="AD1956" t="s">
        <v>13316</v>
      </c>
      <c r="AE1956" t="s">
        <v>4655</v>
      </c>
      <c r="AF1956" t="s">
        <v>4563</v>
      </c>
      <c r="AG1956" t="s">
        <v>4564</v>
      </c>
      <c r="AH1956" t="s">
        <v>5197</v>
      </c>
      <c r="AI1956" t="s">
        <v>4655</v>
      </c>
      <c r="AJ1956" t="s">
        <v>4655</v>
      </c>
      <c r="AK1956" t="s">
        <v>13317</v>
      </c>
      <c r="AL1956" s="13" t="s">
        <v>2255</v>
      </c>
      <c r="AM1956">
        <v>1</v>
      </c>
      <c r="AN1956" s="15" t="s">
        <v>2190</v>
      </c>
    </row>
    <row r="1957" spans="1:40" x14ac:dyDescent="0.3">
      <c r="A1957" s="10" t="str">
        <f>HYPERLINK("http://www.washoecounty.gov/assessor/cama/?parid=026-561-21&amp;CardNumber=1","026-561-21")</f>
        <v>026-561-21</v>
      </c>
      <c r="B1957" t="s">
        <v>4655</v>
      </c>
      <c r="C1957" t="s">
        <v>13318</v>
      </c>
      <c r="D1957" s="1">
        <v>40294</v>
      </c>
      <c r="E1957" s="2">
        <v>130000</v>
      </c>
      <c r="F1957" t="s">
        <v>4553</v>
      </c>
      <c r="G1957" s="17" t="str">
        <f>HYPERLINK("https://www.washoecounty.gov/assessor/cama/?command=sales&amp;parid=02656121","3874500")</f>
        <v>3874500</v>
      </c>
      <c r="H1957" t="s">
        <v>3260</v>
      </c>
      <c r="I1957">
        <v>1996</v>
      </c>
      <c r="J1957">
        <v>1996</v>
      </c>
      <c r="K1957" t="s">
        <v>4554</v>
      </c>
      <c r="L1957" t="s">
        <v>4569</v>
      </c>
      <c r="M1957" s="2">
        <v>1170</v>
      </c>
      <c r="N1957" t="s">
        <v>5280</v>
      </c>
      <c r="O1957">
        <v>3</v>
      </c>
      <c r="P1957">
        <v>2</v>
      </c>
      <c r="Q1957">
        <v>0</v>
      </c>
      <c r="R1957" t="s">
        <v>5281</v>
      </c>
      <c r="S1957" t="s">
        <v>4558</v>
      </c>
      <c r="T1957" t="s">
        <v>4559</v>
      </c>
      <c r="U1957" t="s">
        <v>4655</v>
      </c>
      <c r="V1957" s="2">
        <v>0</v>
      </c>
      <c r="W1957" t="s">
        <v>3201</v>
      </c>
      <c r="X1957" s="2">
        <v>1148</v>
      </c>
      <c r="Y1957">
        <v>20</v>
      </c>
      <c r="Z1957" t="s">
        <v>4561</v>
      </c>
      <c r="AA1957" s="3">
        <v>0.19800275564193701</v>
      </c>
      <c r="AB1957" t="s">
        <v>13319</v>
      </c>
      <c r="AC1957" t="s">
        <v>4562</v>
      </c>
      <c r="AD1957" t="s">
        <v>13318</v>
      </c>
      <c r="AE1957" t="s">
        <v>4655</v>
      </c>
      <c r="AF1957" t="s">
        <v>4563</v>
      </c>
      <c r="AG1957" t="s">
        <v>4564</v>
      </c>
      <c r="AH1957">
        <v>89512</v>
      </c>
      <c r="AI1957" t="s">
        <v>4045</v>
      </c>
      <c r="AJ1957" t="s">
        <v>13320</v>
      </c>
      <c r="AK1957" t="s">
        <v>13321</v>
      </c>
      <c r="AL1957" s="13" t="s">
        <v>2255</v>
      </c>
      <c r="AM1957">
        <v>1</v>
      </c>
      <c r="AN1957" s="15" t="s">
        <v>2190</v>
      </c>
    </row>
    <row r="1958" spans="1:40" x14ac:dyDescent="0.3">
      <c r="A1958" s="10" t="str">
        <f>HYPERLINK("http://www.washoecounty.gov/assessor/cama/?parid=026-561-28&amp;CardNumber=1","026-561-28")</f>
        <v>026-561-28</v>
      </c>
      <c r="B1958" t="s">
        <v>4655</v>
      </c>
      <c r="C1958" t="s">
        <v>13322</v>
      </c>
      <c r="D1958" s="1">
        <v>40528</v>
      </c>
      <c r="E1958" s="2">
        <v>153800</v>
      </c>
      <c r="F1958" t="s">
        <v>4567</v>
      </c>
      <c r="G1958" s="17" t="str">
        <f>HYPERLINK("https://www.washoecounty.gov/assessor/cama/?command=sales&amp;parid=02656128","3954567")</f>
        <v>3954567</v>
      </c>
      <c r="H1958" t="s">
        <v>13323</v>
      </c>
      <c r="I1958">
        <v>1996</v>
      </c>
      <c r="J1958">
        <v>1996</v>
      </c>
      <c r="K1958" t="s">
        <v>4554</v>
      </c>
      <c r="L1958" t="s">
        <v>4569</v>
      </c>
      <c r="M1958" s="2">
        <v>1411</v>
      </c>
      <c r="N1958" t="s">
        <v>5280</v>
      </c>
      <c r="O1958">
        <v>3</v>
      </c>
      <c r="P1958">
        <v>2</v>
      </c>
      <c r="Q1958">
        <v>0</v>
      </c>
      <c r="R1958" t="s">
        <v>4557</v>
      </c>
      <c r="S1958" t="s">
        <v>4558</v>
      </c>
      <c r="T1958" t="s">
        <v>4559</v>
      </c>
      <c r="U1958" t="s">
        <v>4655</v>
      </c>
      <c r="V1958" s="2">
        <v>0</v>
      </c>
      <c r="W1958" t="s">
        <v>3201</v>
      </c>
      <c r="X1958" s="2">
        <v>1396</v>
      </c>
      <c r="Y1958">
        <v>20</v>
      </c>
      <c r="Z1958" t="s">
        <v>4561</v>
      </c>
      <c r="AA1958" s="3">
        <v>0.18200182914733901</v>
      </c>
      <c r="AB1958" t="s">
        <v>13324</v>
      </c>
      <c r="AC1958" t="s">
        <v>4562</v>
      </c>
      <c r="AD1958" t="s">
        <v>13322</v>
      </c>
      <c r="AE1958" t="s">
        <v>4655</v>
      </c>
      <c r="AF1958" t="s">
        <v>4563</v>
      </c>
      <c r="AG1958" t="s">
        <v>4564</v>
      </c>
      <c r="AH1958">
        <v>89512</v>
      </c>
      <c r="AI1958" t="s">
        <v>13325</v>
      </c>
      <c r="AJ1958" t="s">
        <v>13326</v>
      </c>
      <c r="AK1958" t="s">
        <v>13327</v>
      </c>
      <c r="AL1958" s="13" t="s">
        <v>2255</v>
      </c>
      <c r="AM1958">
        <v>1</v>
      </c>
      <c r="AN1958" s="15" t="s">
        <v>2190</v>
      </c>
    </row>
    <row r="1959" spans="1:40" x14ac:dyDescent="0.3">
      <c r="A1959" s="10" t="str">
        <f>HYPERLINK("http://www.washoecounty.gov/assessor/cama/?parid=026-612-03&amp;CardNumber=1","026-612-03")</f>
        <v>026-612-03</v>
      </c>
      <c r="B1959" t="s">
        <v>4655</v>
      </c>
      <c r="C1959" t="s">
        <v>13328</v>
      </c>
      <c r="D1959" s="1">
        <v>40205</v>
      </c>
      <c r="E1959" s="2">
        <v>244000</v>
      </c>
      <c r="F1959" t="s">
        <v>4567</v>
      </c>
      <c r="G1959" s="17" t="str">
        <f>HYPERLINK("https://www.washoecounty.gov/assessor/cama/?command=sales&amp;parid=02661203","3843348")</f>
        <v>3843348</v>
      </c>
      <c r="H1959" t="s">
        <v>4737</v>
      </c>
      <c r="I1959">
        <v>1999</v>
      </c>
      <c r="J1959">
        <v>1999</v>
      </c>
      <c r="K1959" t="s">
        <v>4554</v>
      </c>
      <c r="L1959" t="s">
        <v>4555</v>
      </c>
      <c r="M1959" s="2">
        <v>1850</v>
      </c>
      <c r="N1959" t="s">
        <v>4048</v>
      </c>
      <c r="O1959">
        <v>4</v>
      </c>
      <c r="P1959">
        <v>2</v>
      </c>
      <c r="Q1959">
        <v>0</v>
      </c>
      <c r="R1959" t="s">
        <v>5281</v>
      </c>
      <c r="S1959" t="s">
        <v>4558</v>
      </c>
      <c r="T1959" t="s">
        <v>4559</v>
      </c>
      <c r="U1959" t="s">
        <v>4560</v>
      </c>
      <c r="V1959" s="2">
        <v>577</v>
      </c>
      <c r="W1959" t="s">
        <v>4655</v>
      </c>
      <c r="X1959" s="2">
        <v>0</v>
      </c>
      <c r="Y1959">
        <v>20</v>
      </c>
      <c r="Z1959" t="s">
        <v>4561</v>
      </c>
      <c r="AA1959" s="3">
        <v>0.16200642287731201</v>
      </c>
      <c r="AB1959" t="s">
        <v>13329</v>
      </c>
      <c r="AC1959" t="s">
        <v>4562</v>
      </c>
      <c r="AD1959" t="s">
        <v>13328</v>
      </c>
      <c r="AE1959" t="s">
        <v>4655</v>
      </c>
      <c r="AF1959" t="s">
        <v>4563</v>
      </c>
      <c r="AG1959" t="s">
        <v>4564</v>
      </c>
      <c r="AH1959">
        <v>89512</v>
      </c>
      <c r="AI1959" t="s">
        <v>13330</v>
      </c>
      <c r="AJ1959" t="s">
        <v>4738</v>
      </c>
      <c r="AK1959" t="s">
        <v>13331</v>
      </c>
      <c r="AL1959" s="13" t="s">
        <v>2255</v>
      </c>
      <c r="AM1959" s="14">
        <v>1</v>
      </c>
      <c r="AN1959" s="15" t="s">
        <v>2190</v>
      </c>
    </row>
    <row r="1960" spans="1:40" x14ac:dyDescent="0.3">
      <c r="A1960" s="10" t="str">
        <f>HYPERLINK("http://www.washoecounty.gov/assessor/cama/?parid=026-612-06&amp;CardNumber=1","026-612-06")</f>
        <v>026-612-06</v>
      </c>
      <c r="B1960" t="s">
        <v>4655</v>
      </c>
      <c r="C1960" t="s">
        <v>13332</v>
      </c>
      <c r="D1960" s="1">
        <v>40518</v>
      </c>
      <c r="E1960" s="2">
        <v>160000</v>
      </c>
      <c r="F1960" t="s">
        <v>4553</v>
      </c>
      <c r="G1960" s="17" t="str">
        <f>HYPERLINK("https://www.washoecounty.gov/assessor/cama/?command=sales&amp;parid=02661206","3949750")</f>
        <v>3949750</v>
      </c>
      <c r="H1960" t="s">
        <v>4737</v>
      </c>
      <c r="I1960">
        <v>1999</v>
      </c>
      <c r="J1960">
        <v>1999</v>
      </c>
      <c r="K1960" t="s">
        <v>4554</v>
      </c>
      <c r="L1960" t="s">
        <v>4555</v>
      </c>
      <c r="M1960" s="2">
        <v>1685</v>
      </c>
      <c r="N1960" t="s">
        <v>4048</v>
      </c>
      <c r="O1960">
        <v>4</v>
      </c>
      <c r="P1960">
        <v>2</v>
      </c>
      <c r="Q1960">
        <v>0</v>
      </c>
      <c r="R1960" t="s">
        <v>4557</v>
      </c>
      <c r="S1960" t="s">
        <v>4558</v>
      </c>
      <c r="T1960" t="s">
        <v>4559</v>
      </c>
      <c r="U1960" t="s">
        <v>4560</v>
      </c>
      <c r="V1960" s="2">
        <v>408</v>
      </c>
      <c r="W1960" t="s">
        <v>4655</v>
      </c>
      <c r="X1960" s="2">
        <v>0</v>
      </c>
      <c r="Y1960">
        <v>20</v>
      </c>
      <c r="Z1960" t="s">
        <v>4561</v>
      </c>
      <c r="AA1960" s="3">
        <v>0.16799816489219666</v>
      </c>
      <c r="AB1960" t="s">
        <v>13333</v>
      </c>
      <c r="AC1960" t="s">
        <v>4562</v>
      </c>
      <c r="AD1960" t="s">
        <v>13332</v>
      </c>
      <c r="AE1960" t="s">
        <v>4655</v>
      </c>
      <c r="AF1960" t="s">
        <v>4563</v>
      </c>
      <c r="AG1960" t="s">
        <v>4564</v>
      </c>
      <c r="AH1960">
        <v>89512</v>
      </c>
      <c r="AI1960" t="s">
        <v>4903</v>
      </c>
      <c r="AJ1960" t="s">
        <v>4738</v>
      </c>
      <c r="AK1960" t="s">
        <v>13334</v>
      </c>
      <c r="AL1960" s="13" t="s">
        <v>2255</v>
      </c>
      <c r="AM1960">
        <v>1</v>
      </c>
      <c r="AN1960" s="15" t="s">
        <v>2190</v>
      </c>
    </row>
    <row r="1961" spans="1:40" x14ac:dyDescent="0.3">
      <c r="A1961" s="10" t="str">
        <f>HYPERLINK("http://www.washoecounty.gov/assessor/cama/?parid=026-622-09&amp;CardNumber=1","026-622-09")</f>
        <v>026-622-09</v>
      </c>
      <c r="B1961" t="s">
        <v>4655</v>
      </c>
      <c r="C1961" t="s">
        <v>13335</v>
      </c>
      <c r="D1961" s="1">
        <v>40417</v>
      </c>
      <c r="E1961" s="2">
        <v>145000</v>
      </c>
      <c r="F1961" t="s">
        <v>4567</v>
      </c>
      <c r="G1961" s="17" t="str">
        <f>HYPERLINK("https://www.washoecounty.gov/assessor/cama/?command=sales&amp;parid=02662209","3916545")</f>
        <v>3916545</v>
      </c>
      <c r="H1961" t="s">
        <v>2420</v>
      </c>
      <c r="I1961">
        <v>1999</v>
      </c>
      <c r="J1961">
        <v>1999</v>
      </c>
      <c r="K1961" t="s">
        <v>4554</v>
      </c>
      <c r="L1961" t="s">
        <v>4555</v>
      </c>
      <c r="M1961" s="2">
        <v>1744</v>
      </c>
      <c r="N1961" t="s">
        <v>5280</v>
      </c>
      <c r="O1961">
        <v>4</v>
      </c>
      <c r="P1961">
        <v>2</v>
      </c>
      <c r="Q1961">
        <v>0</v>
      </c>
      <c r="R1961" t="s">
        <v>5281</v>
      </c>
      <c r="S1961" t="s">
        <v>4558</v>
      </c>
      <c r="T1961" t="s">
        <v>4559</v>
      </c>
      <c r="U1961" t="s">
        <v>4560</v>
      </c>
      <c r="V1961" s="2">
        <v>460</v>
      </c>
      <c r="W1961" t="s">
        <v>4655</v>
      </c>
      <c r="X1961" s="2">
        <v>0</v>
      </c>
      <c r="Y1961">
        <v>20</v>
      </c>
      <c r="Z1961" t="s">
        <v>5200</v>
      </c>
      <c r="AA1961" s="3">
        <v>0.13999082148075101</v>
      </c>
      <c r="AB1961" t="s">
        <v>13336</v>
      </c>
      <c r="AC1961" t="s">
        <v>4562</v>
      </c>
      <c r="AD1961" t="s">
        <v>13335</v>
      </c>
      <c r="AE1961" t="s">
        <v>4655</v>
      </c>
      <c r="AF1961" t="s">
        <v>5201</v>
      </c>
      <c r="AG1961" t="s">
        <v>4564</v>
      </c>
      <c r="AH1961" t="s">
        <v>5202</v>
      </c>
      <c r="AI1961" t="s">
        <v>4655</v>
      </c>
      <c r="AJ1961" t="s">
        <v>2421</v>
      </c>
      <c r="AK1961" t="s">
        <v>13337</v>
      </c>
      <c r="AL1961" s="13" t="s">
        <v>1886</v>
      </c>
      <c r="AM1961">
        <v>1</v>
      </c>
      <c r="AN1961" s="15" t="s">
        <v>4526</v>
      </c>
    </row>
    <row r="1962" spans="1:40" x14ac:dyDescent="0.3">
      <c r="A1962" s="10" t="str">
        <f>HYPERLINK("http://www.washoecounty.gov/assessor/cama/?parid=026-630-02&amp;CardNumber=1","026-630-02")</f>
        <v>026-630-02</v>
      </c>
      <c r="B1962" t="s">
        <v>4655</v>
      </c>
      <c r="C1962" t="s">
        <v>13338</v>
      </c>
      <c r="D1962" s="1">
        <v>40365</v>
      </c>
      <c r="E1962" s="2">
        <v>169000</v>
      </c>
      <c r="F1962" t="s">
        <v>4553</v>
      </c>
      <c r="G1962" s="17" t="str">
        <f>HYPERLINK("https://www.washoecounty.gov/assessor/cama/?command=sales&amp;parid=02663002","3898300")</f>
        <v>3898300</v>
      </c>
      <c r="H1962" t="s">
        <v>13339</v>
      </c>
      <c r="I1962">
        <v>2003</v>
      </c>
      <c r="J1962">
        <v>2003</v>
      </c>
      <c r="K1962" t="s">
        <v>4554</v>
      </c>
      <c r="L1962" t="s">
        <v>4569</v>
      </c>
      <c r="M1962" s="2">
        <v>1498</v>
      </c>
      <c r="N1962" t="s">
        <v>5280</v>
      </c>
      <c r="O1962">
        <v>3</v>
      </c>
      <c r="P1962">
        <v>2</v>
      </c>
      <c r="Q1962">
        <v>1</v>
      </c>
      <c r="R1962" t="s">
        <v>5281</v>
      </c>
      <c r="S1962" t="s">
        <v>4558</v>
      </c>
      <c r="T1962" t="s">
        <v>4559</v>
      </c>
      <c r="U1962" t="s">
        <v>4655</v>
      </c>
      <c r="V1962" s="2">
        <v>0</v>
      </c>
      <c r="W1962" t="s">
        <v>4571</v>
      </c>
      <c r="X1962" s="2">
        <v>1488</v>
      </c>
      <c r="Y1962">
        <v>20</v>
      </c>
      <c r="Z1962" t="s">
        <v>4561</v>
      </c>
      <c r="AA1962" s="3">
        <v>0.26999542117118802</v>
      </c>
      <c r="AB1962" t="s">
        <v>13340</v>
      </c>
      <c r="AC1962" t="s">
        <v>4562</v>
      </c>
      <c r="AD1962" t="s">
        <v>13341</v>
      </c>
      <c r="AE1962" t="s">
        <v>4655</v>
      </c>
      <c r="AF1962" t="s">
        <v>2561</v>
      </c>
      <c r="AG1962" t="s">
        <v>4584</v>
      </c>
      <c r="AH1962" t="s">
        <v>13342</v>
      </c>
      <c r="AI1962" t="s">
        <v>1602</v>
      </c>
      <c r="AJ1962" t="s">
        <v>13343</v>
      </c>
      <c r="AK1962" t="s">
        <v>13344</v>
      </c>
      <c r="AL1962" s="13" t="s">
        <v>2255</v>
      </c>
      <c r="AM1962" s="14">
        <v>1</v>
      </c>
      <c r="AN1962" s="15" t="s">
        <v>2190</v>
      </c>
    </row>
    <row r="1963" spans="1:40" x14ac:dyDescent="0.3">
      <c r="A1963" s="10" t="str">
        <f>HYPERLINK("http://www.washoecounty.gov/assessor/cama/?parid=026-641-26&amp;CardNumber=1","026-641-26")</f>
        <v>026-641-26</v>
      </c>
      <c r="B1963" t="s">
        <v>4655</v>
      </c>
      <c r="C1963" t="s">
        <v>13345</v>
      </c>
      <c r="D1963" s="1">
        <v>40207</v>
      </c>
      <c r="E1963" s="2">
        <v>149000</v>
      </c>
      <c r="F1963" t="s">
        <v>4553</v>
      </c>
      <c r="G1963" s="17" t="str">
        <f>HYPERLINK("https://www.washoecounty.gov/assessor/cama/?command=sales&amp;parid=02664126","3844353")</f>
        <v>3844353</v>
      </c>
      <c r="H1963" t="s">
        <v>4739</v>
      </c>
      <c r="I1963">
        <v>2003</v>
      </c>
      <c r="J1963">
        <v>2003</v>
      </c>
      <c r="K1963" t="s">
        <v>4554</v>
      </c>
      <c r="L1963" t="s">
        <v>3974</v>
      </c>
      <c r="M1963" s="2">
        <v>1920</v>
      </c>
      <c r="N1963" t="s">
        <v>4048</v>
      </c>
      <c r="O1963">
        <v>4</v>
      </c>
      <c r="P1963">
        <v>2</v>
      </c>
      <c r="Q1963">
        <v>1</v>
      </c>
      <c r="R1963" t="s">
        <v>4557</v>
      </c>
      <c r="S1963" t="s">
        <v>4558</v>
      </c>
      <c r="T1963" t="s">
        <v>4559</v>
      </c>
      <c r="U1963" t="s">
        <v>5631</v>
      </c>
      <c r="V1963" s="2">
        <v>441</v>
      </c>
      <c r="W1963" t="s">
        <v>4655</v>
      </c>
      <c r="X1963" s="2">
        <v>0</v>
      </c>
      <c r="Y1963">
        <v>20</v>
      </c>
      <c r="Z1963" t="s">
        <v>1604</v>
      </c>
      <c r="AA1963" s="3">
        <v>4.0312211960554102E-2</v>
      </c>
      <c r="AB1963" t="s">
        <v>13346</v>
      </c>
      <c r="AC1963" t="s">
        <v>4562</v>
      </c>
      <c r="AD1963" t="s">
        <v>13347</v>
      </c>
      <c r="AE1963" t="s">
        <v>4655</v>
      </c>
      <c r="AF1963" t="s">
        <v>5201</v>
      </c>
      <c r="AG1963" t="s">
        <v>4564</v>
      </c>
      <c r="AH1963" t="s">
        <v>5202</v>
      </c>
      <c r="AI1963" t="s">
        <v>4740</v>
      </c>
      <c r="AJ1963" t="s">
        <v>4741</v>
      </c>
      <c r="AK1963" t="s">
        <v>13348</v>
      </c>
      <c r="AL1963" s="13" t="s">
        <v>1886</v>
      </c>
      <c r="AM1963">
        <v>1</v>
      </c>
      <c r="AN1963" s="15" t="s">
        <v>4762</v>
      </c>
    </row>
    <row r="1964" spans="1:40" x14ac:dyDescent="0.3">
      <c r="A1964" s="10" t="str">
        <f>HYPERLINK("http://www.washoecounty.gov/assessor/cama/?parid=026-641-28&amp;CardNumber=1","026-641-28")</f>
        <v>026-641-28</v>
      </c>
      <c r="B1964" t="s">
        <v>4655</v>
      </c>
      <c r="C1964" t="s">
        <v>13349</v>
      </c>
      <c r="D1964" s="1">
        <v>40477</v>
      </c>
      <c r="E1964" s="2">
        <v>99900</v>
      </c>
      <c r="F1964" t="s">
        <v>4553</v>
      </c>
      <c r="G1964" s="17" t="str">
        <f>HYPERLINK("https://www.washoecounty.gov/assessor/cama/?command=sales&amp;parid=02664128","3936340")</f>
        <v>3936340</v>
      </c>
      <c r="H1964" t="s">
        <v>4739</v>
      </c>
      <c r="I1964">
        <v>2003</v>
      </c>
      <c r="J1964">
        <v>2003</v>
      </c>
      <c r="K1964" t="s">
        <v>4554</v>
      </c>
      <c r="L1964" t="s">
        <v>4555</v>
      </c>
      <c r="M1964" s="2">
        <v>856</v>
      </c>
      <c r="N1964" t="s">
        <v>4048</v>
      </c>
      <c r="O1964">
        <v>2</v>
      </c>
      <c r="P1964">
        <v>1</v>
      </c>
      <c r="Q1964">
        <v>0</v>
      </c>
      <c r="R1964" t="s">
        <v>5281</v>
      </c>
      <c r="S1964" t="s">
        <v>4898</v>
      </c>
      <c r="T1964" t="s">
        <v>2704</v>
      </c>
      <c r="U1964" t="s">
        <v>4560</v>
      </c>
      <c r="V1964" s="2">
        <v>528</v>
      </c>
      <c r="W1964" t="s">
        <v>3149</v>
      </c>
      <c r="X1964" s="2">
        <v>475</v>
      </c>
      <c r="Y1964">
        <v>20</v>
      </c>
      <c r="Z1964" t="s">
        <v>1604</v>
      </c>
      <c r="AA1964" s="3">
        <v>3.9256200194358798E-2</v>
      </c>
      <c r="AB1964" t="s">
        <v>13350</v>
      </c>
      <c r="AC1964" t="s">
        <v>4562</v>
      </c>
      <c r="AD1964" t="s">
        <v>13351</v>
      </c>
      <c r="AE1964" t="s">
        <v>4655</v>
      </c>
      <c r="AF1964" t="s">
        <v>4239</v>
      </c>
      <c r="AG1964" t="s">
        <v>4564</v>
      </c>
      <c r="AH1964" t="s">
        <v>3816</v>
      </c>
      <c r="AI1964" t="s">
        <v>13352</v>
      </c>
      <c r="AJ1964" t="s">
        <v>4741</v>
      </c>
      <c r="AK1964" t="s">
        <v>13353</v>
      </c>
      <c r="AL1964" s="13" t="s">
        <v>1886</v>
      </c>
      <c r="AM1964">
        <v>1</v>
      </c>
      <c r="AN1964" s="15" t="s">
        <v>4762</v>
      </c>
    </row>
    <row r="1965" spans="1:40" x14ac:dyDescent="0.3">
      <c r="A1965" s="10" t="str">
        <f>HYPERLINK("http://www.washoecounty.gov/assessor/cama/?parid=026-641-37&amp;CardNumber=1","026-641-37")</f>
        <v>026-641-37</v>
      </c>
      <c r="B1965" t="s">
        <v>4655</v>
      </c>
      <c r="C1965" t="s">
        <v>13354</v>
      </c>
      <c r="D1965" s="1">
        <v>40386</v>
      </c>
      <c r="E1965" s="2">
        <v>124000</v>
      </c>
      <c r="F1965" t="s">
        <v>4567</v>
      </c>
      <c r="G1965" s="17" t="str">
        <f>HYPERLINK("https://www.washoecounty.gov/assessor/cama/?command=sales&amp;parid=02664137","3905284")</f>
        <v>3905284</v>
      </c>
      <c r="H1965" t="s">
        <v>1091</v>
      </c>
      <c r="I1965">
        <v>2003</v>
      </c>
      <c r="J1965">
        <v>2003</v>
      </c>
      <c r="K1965" t="s">
        <v>4554</v>
      </c>
      <c r="L1965" t="s">
        <v>3974</v>
      </c>
      <c r="M1965" s="2">
        <v>1229</v>
      </c>
      <c r="N1965" t="s">
        <v>4048</v>
      </c>
      <c r="O1965">
        <v>3</v>
      </c>
      <c r="P1965">
        <v>2</v>
      </c>
      <c r="Q1965">
        <v>1</v>
      </c>
      <c r="R1965" t="s">
        <v>5281</v>
      </c>
      <c r="S1965" t="s">
        <v>4898</v>
      </c>
      <c r="T1965" t="s">
        <v>2704</v>
      </c>
      <c r="U1965" t="s">
        <v>5631</v>
      </c>
      <c r="V1965" s="2">
        <v>471</v>
      </c>
      <c r="W1965" t="s">
        <v>4655</v>
      </c>
      <c r="X1965" s="2">
        <v>0</v>
      </c>
      <c r="Y1965">
        <v>20</v>
      </c>
      <c r="Z1965" t="s">
        <v>1604</v>
      </c>
      <c r="AA1965" s="3">
        <v>2.7134986594319298E-2</v>
      </c>
      <c r="AB1965" t="s">
        <v>13355</v>
      </c>
      <c r="AC1965" t="s">
        <v>4562</v>
      </c>
      <c r="AD1965" t="s">
        <v>13354</v>
      </c>
      <c r="AE1965" t="s">
        <v>4655</v>
      </c>
      <c r="AF1965" t="s">
        <v>5201</v>
      </c>
      <c r="AG1965" t="s">
        <v>4564</v>
      </c>
      <c r="AH1965" t="s">
        <v>5202</v>
      </c>
      <c r="AI1965" t="s">
        <v>13356</v>
      </c>
      <c r="AJ1965" t="s">
        <v>4741</v>
      </c>
      <c r="AK1965" t="s">
        <v>13357</v>
      </c>
      <c r="AL1965" s="13" t="s">
        <v>1886</v>
      </c>
      <c r="AM1965" s="14">
        <v>1</v>
      </c>
      <c r="AN1965" s="15" t="s">
        <v>4762</v>
      </c>
    </row>
    <row r="1966" spans="1:40" x14ac:dyDescent="0.3">
      <c r="A1966" s="10" t="str">
        <f>HYPERLINK("http://www.washoecounty.gov/assessor/cama/?parid=026-642-16&amp;CardNumber=1","026-642-16")</f>
        <v>026-642-16</v>
      </c>
      <c r="B1966" t="s">
        <v>4655</v>
      </c>
      <c r="C1966" t="s">
        <v>13358</v>
      </c>
      <c r="D1966" s="1">
        <v>40492</v>
      </c>
      <c r="E1966" s="2">
        <v>102960</v>
      </c>
      <c r="F1966" t="s">
        <v>4553</v>
      </c>
      <c r="G1966" s="17" t="str">
        <f>HYPERLINK("https://www.washoecounty.gov/assessor/cama/?command=sales&amp;parid=02664216","3941569")</f>
        <v>3941569</v>
      </c>
      <c r="H1966" t="s">
        <v>1091</v>
      </c>
      <c r="I1966">
        <v>2002</v>
      </c>
      <c r="J1966">
        <v>2002</v>
      </c>
      <c r="K1966" t="s">
        <v>4554</v>
      </c>
      <c r="L1966" t="s">
        <v>4555</v>
      </c>
      <c r="M1966" s="2">
        <v>1202</v>
      </c>
      <c r="N1966" t="s">
        <v>4048</v>
      </c>
      <c r="O1966">
        <v>3</v>
      </c>
      <c r="P1966">
        <v>2</v>
      </c>
      <c r="Q1966">
        <v>0</v>
      </c>
      <c r="R1966" t="s">
        <v>4557</v>
      </c>
      <c r="S1966" t="s">
        <v>4558</v>
      </c>
      <c r="T1966" t="s">
        <v>2704</v>
      </c>
      <c r="U1966" t="s">
        <v>4560</v>
      </c>
      <c r="V1966" s="2">
        <v>440</v>
      </c>
      <c r="W1966" t="s">
        <v>4655</v>
      </c>
      <c r="X1966" s="2">
        <v>0</v>
      </c>
      <c r="Y1966">
        <v>20</v>
      </c>
      <c r="Z1966" t="s">
        <v>1604</v>
      </c>
      <c r="AA1966" s="3">
        <v>3.8406796753406497E-2</v>
      </c>
      <c r="AB1966" t="s">
        <v>13359</v>
      </c>
      <c r="AC1966" t="s">
        <v>4562</v>
      </c>
      <c r="AD1966" t="s">
        <v>13358</v>
      </c>
      <c r="AE1966" t="s">
        <v>4655</v>
      </c>
      <c r="AF1966" t="s">
        <v>5201</v>
      </c>
      <c r="AG1966" t="s">
        <v>4564</v>
      </c>
      <c r="AH1966" t="s">
        <v>5202</v>
      </c>
      <c r="AI1966" t="s">
        <v>687</v>
      </c>
      <c r="AJ1966" t="s">
        <v>4</v>
      </c>
      <c r="AK1966" t="s">
        <v>13360</v>
      </c>
      <c r="AL1966" s="13" t="s">
        <v>1886</v>
      </c>
      <c r="AM1966" s="14">
        <v>1</v>
      </c>
      <c r="AN1966" s="15" t="s">
        <v>4762</v>
      </c>
    </row>
    <row r="1967" spans="1:40" x14ac:dyDescent="0.3">
      <c r="A1967" s="10" t="str">
        <f>HYPERLINK("http://www.washoecounty.gov/assessor/cama/?parid=026-642-25&amp;CardNumber=1","026-642-25")</f>
        <v>026-642-25</v>
      </c>
      <c r="B1967" t="s">
        <v>4655</v>
      </c>
      <c r="C1967" t="s">
        <v>13361</v>
      </c>
      <c r="D1967" s="1">
        <v>40420</v>
      </c>
      <c r="E1967" s="2">
        <v>106500</v>
      </c>
      <c r="F1967" t="s">
        <v>4553</v>
      </c>
      <c r="G1967" s="17" t="str">
        <f>HYPERLINK("https://www.washoecounty.gov/assessor/cama/?command=sales&amp;parid=02664225","3917027")</f>
        <v>3917027</v>
      </c>
      <c r="H1967" t="s">
        <v>13362</v>
      </c>
      <c r="I1967">
        <v>2002</v>
      </c>
      <c r="J1967">
        <v>2002</v>
      </c>
      <c r="K1967" t="s">
        <v>4554</v>
      </c>
      <c r="L1967" t="s">
        <v>3974</v>
      </c>
      <c r="M1967" s="2">
        <v>1197</v>
      </c>
      <c r="N1967" t="s">
        <v>4048</v>
      </c>
      <c r="O1967">
        <v>2</v>
      </c>
      <c r="P1967">
        <v>3</v>
      </c>
      <c r="Q1967">
        <v>0</v>
      </c>
      <c r="R1967" t="s">
        <v>5281</v>
      </c>
      <c r="S1967" t="s">
        <v>4558</v>
      </c>
      <c r="T1967" t="s">
        <v>2704</v>
      </c>
      <c r="U1967" t="s">
        <v>4560</v>
      </c>
      <c r="V1967" s="2">
        <v>440</v>
      </c>
      <c r="W1967" t="s">
        <v>4655</v>
      </c>
      <c r="X1967" s="2">
        <v>0</v>
      </c>
      <c r="Y1967">
        <v>20</v>
      </c>
      <c r="Z1967" t="s">
        <v>1604</v>
      </c>
      <c r="AA1967" s="3">
        <v>2.8650138527154902E-2</v>
      </c>
      <c r="AB1967" t="s">
        <v>13363</v>
      </c>
      <c r="AC1967" t="s">
        <v>4562</v>
      </c>
      <c r="AD1967" t="s">
        <v>13364</v>
      </c>
      <c r="AE1967" t="s">
        <v>4655</v>
      </c>
      <c r="AF1967" t="s">
        <v>3815</v>
      </c>
      <c r="AG1967" t="s">
        <v>4564</v>
      </c>
      <c r="AH1967" t="s">
        <v>3816</v>
      </c>
      <c r="AI1967" t="s">
        <v>687</v>
      </c>
      <c r="AJ1967" t="s">
        <v>13365</v>
      </c>
      <c r="AK1967" t="s">
        <v>13366</v>
      </c>
      <c r="AL1967" s="13" t="s">
        <v>1886</v>
      </c>
      <c r="AM1967">
        <v>1</v>
      </c>
      <c r="AN1967" s="15" t="s">
        <v>4762</v>
      </c>
    </row>
    <row r="1968" spans="1:40" x14ac:dyDescent="0.3">
      <c r="A1968" s="10" t="str">
        <f>HYPERLINK("http://www.washoecounty.gov/assessor/cama/?parid=026-650-11&amp;CardNumber=1","026-650-11")</f>
        <v>026-650-11</v>
      </c>
      <c r="B1968" t="s">
        <v>4655</v>
      </c>
      <c r="C1968" t="s">
        <v>13367</v>
      </c>
      <c r="D1968" s="1">
        <v>40324</v>
      </c>
      <c r="E1968" s="2">
        <v>165000</v>
      </c>
      <c r="F1968" t="s">
        <v>4553</v>
      </c>
      <c r="G1968" s="17" t="str">
        <f>HYPERLINK("https://www.washoecounty.gov/assessor/cama/?command=sales&amp;parid=02665011","3885405")</f>
        <v>3885405</v>
      </c>
      <c r="H1968" t="s">
        <v>5634</v>
      </c>
      <c r="I1968">
        <v>2001</v>
      </c>
      <c r="J1968">
        <v>2001</v>
      </c>
      <c r="K1968" t="s">
        <v>4554</v>
      </c>
      <c r="L1968" t="s">
        <v>4555</v>
      </c>
      <c r="M1968" s="2">
        <v>1368</v>
      </c>
      <c r="N1968" t="s">
        <v>5280</v>
      </c>
      <c r="O1968">
        <v>3</v>
      </c>
      <c r="P1968">
        <v>2</v>
      </c>
      <c r="Q1968">
        <v>0</v>
      </c>
      <c r="R1968" t="s">
        <v>4557</v>
      </c>
      <c r="S1968" t="s">
        <v>4558</v>
      </c>
      <c r="T1968" t="s">
        <v>4559</v>
      </c>
      <c r="U1968" t="s">
        <v>4560</v>
      </c>
      <c r="V1968" s="2">
        <v>415</v>
      </c>
      <c r="W1968" t="s">
        <v>4655</v>
      </c>
      <c r="X1968" s="2">
        <v>0</v>
      </c>
      <c r="Y1968">
        <v>20</v>
      </c>
      <c r="Z1968" t="s">
        <v>5200</v>
      </c>
      <c r="AA1968" s="3">
        <v>0.31799817085266102</v>
      </c>
      <c r="AB1968" t="s">
        <v>13368</v>
      </c>
      <c r="AC1968" t="s">
        <v>4575</v>
      </c>
      <c r="AD1968" t="s">
        <v>13367</v>
      </c>
      <c r="AE1968" t="s">
        <v>4655</v>
      </c>
      <c r="AF1968" t="s">
        <v>5201</v>
      </c>
      <c r="AG1968" t="s">
        <v>4564</v>
      </c>
      <c r="AH1968" t="s">
        <v>5202</v>
      </c>
      <c r="AI1968" t="s">
        <v>4524</v>
      </c>
      <c r="AJ1968" t="s">
        <v>4525</v>
      </c>
      <c r="AK1968" t="s">
        <v>13369</v>
      </c>
      <c r="AL1968" s="13" t="s">
        <v>3425</v>
      </c>
      <c r="AM1968" s="14">
        <v>1</v>
      </c>
      <c r="AN1968" s="15" t="s">
        <v>4526</v>
      </c>
    </row>
    <row r="1969" spans="1:40" x14ac:dyDescent="0.3">
      <c r="A1969" s="10" t="str">
        <f>HYPERLINK("http://www.washoecounty.gov/assessor/cama/?parid=026-650-27&amp;CardNumber=1","026-650-27")</f>
        <v>026-650-27</v>
      </c>
      <c r="B1969" t="s">
        <v>4655</v>
      </c>
      <c r="C1969" t="s">
        <v>13370</v>
      </c>
      <c r="D1969" s="1">
        <v>40400</v>
      </c>
      <c r="E1969" s="2">
        <v>142500</v>
      </c>
      <c r="F1969" t="s">
        <v>4553</v>
      </c>
      <c r="G1969" s="17" t="str">
        <f>HYPERLINK("https://www.washoecounty.gov/assessor/cama/?command=sales&amp;parid=02665027","3910299")</f>
        <v>3910299</v>
      </c>
      <c r="H1969" t="s">
        <v>5634</v>
      </c>
      <c r="I1969">
        <v>2001</v>
      </c>
      <c r="J1969">
        <v>2001</v>
      </c>
      <c r="K1969" t="s">
        <v>4554</v>
      </c>
      <c r="L1969" t="s">
        <v>4555</v>
      </c>
      <c r="M1969" s="2">
        <v>1268</v>
      </c>
      <c r="N1969" t="s">
        <v>5280</v>
      </c>
      <c r="O1969">
        <v>3</v>
      </c>
      <c r="P1969">
        <v>2</v>
      </c>
      <c r="Q1969">
        <v>0</v>
      </c>
      <c r="R1969" t="s">
        <v>4557</v>
      </c>
      <c r="S1969" t="s">
        <v>4558</v>
      </c>
      <c r="T1969" t="s">
        <v>4559</v>
      </c>
      <c r="U1969" t="s">
        <v>4560</v>
      </c>
      <c r="V1969" s="2">
        <v>462</v>
      </c>
      <c r="W1969" t="s">
        <v>4655</v>
      </c>
      <c r="X1969" s="2">
        <v>0</v>
      </c>
      <c r="Y1969">
        <v>20</v>
      </c>
      <c r="Z1969" t="s">
        <v>5200</v>
      </c>
      <c r="AA1969" s="3">
        <v>0.151010096073151</v>
      </c>
      <c r="AB1969" t="s">
        <v>13371</v>
      </c>
      <c r="AC1969" t="s">
        <v>4562</v>
      </c>
      <c r="AD1969" t="s">
        <v>13372</v>
      </c>
      <c r="AE1969" t="s">
        <v>4655</v>
      </c>
      <c r="AF1969" t="s">
        <v>4809</v>
      </c>
      <c r="AG1969" t="s">
        <v>4564</v>
      </c>
      <c r="AH1969" t="s">
        <v>5202</v>
      </c>
      <c r="AI1969" t="s">
        <v>4565</v>
      </c>
      <c r="AJ1969" t="s">
        <v>4525</v>
      </c>
      <c r="AK1969" t="s">
        <v>13373</v>
      </c>
      <c r="AL1969" s="13" t="s">
        <v>3425</v>
      </c>
      <c r="AM1969" s="14">
        <v>1</v>
      </c>
      <c r="AN1969" s="15" t="s">
        <v>4526</v>
      </c>
    </row>
    <row r="1970" spans="1:40" x14ac:dyDescent="0.3">
      <c r="A1970" s="10" t="str">
        <f>HYPERLINK("http://www.washoecounty.gov/assessor/cama/?parid=026-661-15&amp;CardNumber=1","026-661-15")</f>
        <v>026-661-15</v>
      </c>
      <c r="B1970" t="s">
        <v>4655</v>
      </c>
      <c r="C1970" t="s">
        <v>13374</v>
      </c>
      <c r="D1970" s="1">
        <v>40332</v>
      </c>
      <c r="E1970" s="2">
        <v>147000</v>
      </c>
      <c r="F1970" t="s">
        <v>4567</v>
      </c>
      <c r="G1970" s="17" t="str">
        <f>HYPERLINK("https://www.washoecounty.gov/assessor/cama/?command=sales&amp;parid=02666115","3888210")</f>
        <v>3888210</v>
      </c>
      <c r="H1970" t="s">
        <v>3649</v>
      </c>
      <c r="I1970">
        <v>2001</v>
      </c>
      <c r="J1970">
        <v>2001</v>
      </c>
      <c r="K1970" t="s">
        <v>4554</v>
      </c>
      <c r="L1970" t="s">
        <v>4555</v>
      </c>
      <c r="M1970" s="2">
        <v>1352</v>
      </c>
      <c r="N1970" t="s">
        <v>5280</v>
      </c>
      <c r="O1970">
        <v>3</v>
      </c>
      <c r="P1970">
        <v>2</v>
      </c>
      <c r="Q1970">
        <v>0</v>
      </c>
      <c r="R1970" t="s">
        <v>5281</v>
      </c>
      <c r="S1970" t="s">
        <v>4558</v>
      </c>
      <c r="T1970" t="s">
        <v>4559</v>
      </c>
      <c r="U1970" t="s">
        <v>4560</v>
      </c>
      <c r="V1970" s="2">
        <v>415</v>
      </c>
      <c r="W1970" t="s">
        <v>4655</v>
      </c>
      <c r="X1970" s="2">
        <v>0</v>
      </c>
      <c r="Y1970">
        <v>20</v>
      </c>
      <c r="Z1970" t="s">
        <v>5200</v>
      </c>
      <c r="AA1970" s="3">
        <v>0.184618920087814</v>
      </c>
      <c r="AB1970" t="s">
        <v>13375</v>
      </c>
      <c r="AC1970" t="s">
        <v>4562</v>
      </c>
      <c r="AD1970" t="s">
        <v>13374</v>
      </c>
      <c r="AE1970" t="s">
        <v>4655</v>
      </c>
      <c r="AF1970" t="s">
        <v>5201</v>
      </c>
      <c r="AG1970" t="s">
        <v>4564</v>
      </c>
      <c r="AH1970" t="s">
        <v>5202</v>
      </c>
      <c r="AI1970" t="s">
        <v>13376</v>
      </c>
      <c r="AJ1970" t="s">
        <v>3650</v>
      </c>
      <c r="AK1970" t="s">
        <v>13377</v>
      </c>
      <c r="AL1970" s="13" t="s">
        <v>3425</v>
      </c>
      <c r="AM1970" s="14">
        <v>1</v>
      </c>
      <c r="AN1970" s="15" t="s">
        <v>4526</v>
      </c>
    </row>
    <row r="1971" spans="1:40" x14ac:dyDescent="0.3">
      <c r="A1971" s="10" t="str">
        <f>HYPERLINK("http://www.washoecounty.gov/assessor/cama/?parid=026-671-05&amp;CardNumber=1","026-671-05")</f>
        <v>026-671-05</v>
      </c>
      <c r="B1971" t="s">
        <v>4655</v>
      </c>
      <c r="C1971" t="s">
        <v>1700</v>
      </c>
      <c r="D1971" s="1">
        <v>40466</v>
      </c>
      <c r="E1971" s="2">
        <v>94000</v>
      </c>
      <c r="F1971" t="s">
        <v>4553</v>
      </c>
      <c r="G1971" s="17" t="str">
        <f>HYPERLINK("https://www.washoecounty.gov/assessor/cama/?command=sales&amp;parid=02667105","3933339")</f>
        <v>3933339</v>
      </c>
      <c r="H1971" t="s">
        <v>2422</v>
      </c>
      <c r="I1971">
        <v>2004</v>
      </c>
      <c r="J1971">
        <v>2004</v>
      </c>
      <c r="K1971" t="s">
        <v>4554</v>
      </c>
      <c r="L1971" t="s">
        <v>3974</v>
      </c>
      <c r="M1971" s="2">
        <v>2416</v>
      </c>
      <c r="N1971" t="s">
        <v>5280</v>
      </c>
      <c r="O1971">
        <v>3</v>
      </c>
      <c r="P1971">
        <v>2</v>
      </c>
      <c r="Q1971">
        <v>1</v>
      </c>
      <c r="R1971" t="s">
        <v>5281</v>
      </c>
      <c r="S1971" t="s">
        <v>4898</v>
      </c>
      <c r="T1971" t="s">
        <v>2704</v>
      </c>
      <c r="U1971" t="s">
        <v>5631</v>
      </c>
      <c r="V1971" s="2">
        <v>540</v>
      </c>
      <c r="W1971" t="s">
        <v>4655</v>
      </c>
      <c r="X1971" s="2">
        <v>0</v>
      </c>
      <c r="Y1971">
        <v>20</v>
      </c>
      <c r="Z1971" t="s">
        <v>5200</v>
      </c>
      <c r="AA1971" s="3">
        <v>0.17587235569953918</v>
      </c>
      <c r="AB1971" t="s">
        <v>4705</v>
      </c>
      <c r="AC1971" t="s">
        <v>4562</v>
      </c>
      <c r="AD1971" t="s">
        <v>1700</v>
      </c>
      <c r="AE1971" t="s">
        <v>4655</v>
      </c>
      <c r="AF1971" t="s">
        <v>5201</v>
      </c>
      <c r="AG1971" t="s">
        <v>4564</v>
      </c>
      <c r="AH1971" t="s">
        <v>5202</v>
      </c>
      <c r="AI1971" t="s">
        <v>377</v>
      </c>
      <c r="AJ1971" t="s">
        <v>4185</v>
      </c>
      <c r="AK1971" t="s">
        <v>1701</v>
      </c>
      <c r="AL1971" s="13" t="s">
        <v>1886</v>
      </c>
      <c r="AM1971">
        <v>1</v>
      </c>
      <c r="AN1971" s="15" t="s">
        <v>2190</v>
      </c>
    </row>
    <row r="1972" spans="1:40" x14ac:dyDescent="0.3">
      <c r="A1972" s="10" t="str">
        <f>HYPERLINK("http://www.washoecounty.gov/assessor/cama/?parid=026-672-03&amp;CardNumber=1","026-672-03")</f>
        <v>026-672-03</v>
      </c>
      <c r="B1972" t="s">
        <v>4655</v>
      </c>
      <c r="C1972" t="s">
        <v>13378</v>
      </c>
      <c r="D1972" s="1">
        <v>40408</v>
      </c>
      <c r="E1972" s="2">
        <v>200000</v>
      </c>
      <c r="F1972" t="s">
        <v>4553</v>
      </c>
      <c r="G1972" s="17" t="str">
        <f>HYPERLINK("https://www.washoecounty.gov/assessor/cama/?command=sales&amp;parid=02667203","3913359")</f>
        <v>3913359</v>
      </c>
      <c r="H1972" t="s">
        <v>2422</v>
      </c>
      <c r="I1972">
        <v>2003</v>
      </c>
      <c r="J1972">
        <v>2003</v>
      </c>
      <c r="K1972" t="s">
        <v>4554</v>
      </c>
      <c r="L1972" t="s">
        <v>3974</v>
      </c>
      <c r="M1972" s="2">
        <v>2881</v>
      </c>
      <c r="N1972" t="s">
        <v>5280</v>
      </c>
      <c r="O1972">
        <v>4</v>
      </c>
      <c r="P1972">
        <v>2</v>
      </c>
      <c r="Q1972">
        <v>1</v>
      </c>
      <c r="R1972" t="s">
        <v>5281</v>
      </c>
      <c r="S1972" t="s">
        <v>4898</v>
      </c>
      <c r="T1972" t="s">
        <v>2704</v>
      </c>
      <c r="U1972" t="s">
        <v>5631</v>
      </c>
      <c r="V1972" s="2">
        <v>689</v>
      </c>
      <c r="W1972" t="s">
        <v>4655</v>
      </c>
      <c r="X1972" s="2">
        <v>0</v>
      </c>
      <c r="Y1972">
        <v>20</v>
      </c>
      <c r="Z1972" t="s">
        <v>5200</v>
      </c>
      <c r="AA1972" s="3">
        <v>0.15064279735088301</v>
      </c>
      <c r="AB1972" t="s">
        <v>13379</v>
      </c>
      <c r="AC1972" t="s">
        <v>4562</v>
      </c>
      <c r="AD1972" t="s">
        <v>13378</v>
      </c>
      <c r="AE1972" t="s">
        <v>4655</v>
      </c>
      <c r="AF1972" t="s">
        <v>5201</v>
      </c>
      <c r="AG1972" t="s">
        <v>4564</v>
      </c>
      <c r="AH1972" t="s">
        <v>5202</v>
      </c>
      <c r="AI1972" t="s">
        <v>4655</v>
      </c>
      <c r="AJ1972" t="s">
        <v>4185</v>
      </c>
      <c r="AK1972" t="s">
        <v>13380</v>
      </c>
      <c r="AL1972" s="13" t="s">
        <v>1886</v>
      </c>
      <c r="AM1972" s="14">
        <v>1</v>
      </c>
      <c r="AN1972" s="15" t="s">
        <v>2190</v>
      </c>
    </row>
    <row r="1973" spans="1:40" x14ac:dyDescent="0.3">
      <c r="A1973" s="10" t="str">
        <f>HYPERLINK("http://www.washoecounty.gov/assessor/cama/?parid=026-672-10&amp;CardNumber=1","026-672-10")</f>
        <v>026-672-10</v>
      </c>
      <c r="B1973" t="s">
        <v>4655</v>
      </c>
      <c r="C1973" t="s">
        <v>13381</v>
      </c>
      <c r="D1973" s="1">
        <v>40393</v>
      </c>
      <c r="E1973" s="2">
        <v>193000</v>
      </c>
      <c r="F1973" t="s">
        <v>4567</v>
      </c>
      <c r="G1973" s="17" t="str">
        <f>HYPERLINK("https://www.washoecounty.gov/assessor/cama/?command=sales&amp;parid=02667210","3908442")</f>
        <v>3908442</v>
      </c>
      <c r="H1973" t="s">
        <v>3693</v>
      </c>
      <c r="I1973">
        <v>2002</v>
      </c>
      <c r="J1973">
        <v>2002</v>
      </c>
      <c r="K1973" t="s">
        <v>4554</v>
      </c>
      <c r="L1973" t="s">
        <v>3974</v>
      </c>
      <c r="M1973" s="2">
        <v>2416</v>
      </c>
      <c r="N1973" t="s">
        <v>5280</v>
      </c>
      <c r="O1973">
        <v>3</v>
      </c>
      <c r="P1973">
        <v>2</v>
      </c>
      <c r="Q1973">
        <v>1</v>
      </c>
      <c r="R1973" t="s">
        <v>5281</v>
      </c>
      <c r="S1973" t="s">
        <v>4898</v>
      </c>
      <c r="T1973" t="s">
        <v>2704</v>
      </c>
      <c r="U1973" t="s">
        <v>5631</v>
      </c>
      <c r="V1973" s="2">
        <v>540</v>
      </c>
      <c r="W1973" t="s">
        <v>4655</v>
      </c>
      <c r="X1973" s="2">
        <v>0</v>
      </c>
      <c r="Y1973">
        <v>20</v>
      </c>
      <c r="Z1973" t="s">
        <v>5200</v>
      </c>
      <c r="AA1973" s="3">
        <v>0.14731405675411199</v>
      </c>
      <c r="AB1973" t="s">
        <v>13382</v>
      </c>
      <c r="AC1973" t="s">
        <v>4562</v>
      </c>
      <c r="AD1973" t="s">
        <v>13381</v>
      </c>
      <c r="AE1973" t="s">
        <v>4655</v>
      </c>
      <c r="AF1973" t="s">
        <v>5201</v>
      </c>
      <c r="AG1973" t="s">
        <v>4564</v>
      </c>
      <c r="AH1973" t="s">
        <v>5202</v>
      </c>
      <c r="AI1973" t="s">
        <v>13383</v>
      </c>
      <c r="AJ1973" t="s">
        <v>4185</v>
      </c>
      <c r="AK1973" t="s">
        <v>13384</v>
      </c>
      <c r="AL1973" s="13" t="s">
        <v>1886</v>
      </c>
      <c r="AM1973">
        <v>1</v>
      </c>
      <c r="AN1973" s="15" t="s">
        <v>2190</v>
      </c>
    </row>
    <row r="1974" spans="1:40" x14ac:dyDescent="0.3">
      <c r="A1974" s="10" t="str">
        <f>HYPERLINK("http://www.washoecounty.gov/assessor/cama/?parid=026-701-16&amp;CardNumber=1","026-701-16")</f>
        <v>026-701-16</v>
      </c>
      <c r="B1974" t="s">
        <v>4655</v>
      </c>
      <c r="C1974" t="s">
        <v>13385</v>
      </c>
      <c r="D1974" s="1">
        <v>40234</v>
      </c>
      <c r="E1974" s="2">
        <v>133000</v>
      </c>
      <c r="F1974" t="s">
        <v>4567</v>
      </c>
      <c r="G1974" s="17" t="str">
        <f>HYPERLINK("https://www.washoecounty.gov/assessor/cama/?command=sales&amp;parid=02670116","3852770")</f>
        <v>3852770</v>
      </c>
      <c r="H1974" t="s">
        <v>2147</v>
      </c>
      <c r="I1974">
        <v>2003</v>
      </c>
      <c r="J1974">
        <v>2003</v>
      </c>
      <c r="K1974" t="s">
        <v>4554</v>
      </c>
      <c r="L1974" t="s">
        <v>3974</v>
      </c>
      <c r="M1974" s="2">
        <v>1229</v>
      </c>
      <c r="N1974" t="s">
        <v>4048</v>
      </c>
      <c r="O1974">
        <v>3</v>
      </c>
      <c r="P1974">
        <v>2</v>
      </c>
      <c r="Q1974">
        <v>1</v>
      </c>
      <c r="R1974" t="s">
        <v>5281</v>
      </c>
      <c r="S1974" t="s">
        <v>4898</v>
      </c>
      <c r="T1974" t="s">
        <v>4559</v>
      </c>
      <c r="U1974" t="s">
        <v>5631</v>
      </c>
      <c r="V1974" s="2">
        <v>471</v>
      </c>
      <c r="W1974" t="s">
        <v>4655</v>
      </c>
      <c r="X1974" s="2">
        <v>0</v>
      </c>
      <c r="Y1974">
        <v>20</v>
      </c>
      <c r="Z1974" t="s">
        <v>1604</v>
      </c>
      <c r="AA1974" s="3">
        <v>2.6606978848576501E-2</v>
      </c>
      <c r="AB1974" t="s">
        <v>13386</v>
      </c>
      <c r="AC1974" t="s">
        <v>4562</v>
      </c>
      <c r="AD1974" t="s">
        <v>13385</v>
      </c>
      <c r="AE1974" t="s">
        <v>4655</v>
      </c>
      <c r="AF1974" t="s">
        <v>5201</v>
      </c>
      <c r="AG1974" t="s">
        <v>4564</v>
      </c>
      <c r="AH1974" t="s">
        <v>5202</v>
      </c>
      <c r="AI1974" t="s">
        <v>13387</v>
      </c>
      <c r="AJ1974" t="s">
        <v>2199</v>
      </c>
      <c r="AK1974" t="s">
        <v>13388</v>
      </c>
      <c r="AL1974" s="13" t="s">
        <v>1886</v>
      </c>
      <c r="AM1974" s="14">
        <v>1</v>
      </c>
      <c r="AN1974" s="15" t="s">
        <v>4762</v>
      </c>
    </row>
    <row r="1975" spans="1:40" x14ac:dyDescent="0.3">
      <c r="A1975" s="10" t="str">
        <f>HYPERLINK("http://www.washoecounty.gov/assessor/cama/?parid=026-701-18&amp;CardNumber=1","026-701-18")</f>
        <v>026-701-18</v>
      </c>
      <c r="B1975" t="s">
        <v>4655</v>
      </c>
      <c r="C1975" t="s">
        <v>13389</v>
      </c>
      <c r="D1975" s="1">
        <v>40471</v>
      </c>
      <c r="E1975" s="2">
        <v>115000</v>
      </c>
      <c r="F1975" t="s">
        <v>4553</v>
      </c>
      <c r="G1975" s="17" t="str">
        <f>HYPERLINK("https://www.washoecounty.gov/assessor/cama/?command=sales&amp;parid=02670118","3934951")</f>
        <v>3934951</v>
      </c>
      <c r="H1975" t="s">
        <v>935</v>
      </c>
      <c r="I1975">
        <v>2004</v>
      </c>
      <c r="J1975">
        <v>2004</v>
      </c>
      <c r="K1975" t="s">
        <v>4554</v>
      </c>
      <c r="L1975" t="s">
        <v>4555</v>
      </c>
      <c r="M1975" s="2">
        <v>856</v>
      </c>
      <c r="N1975" t="s">
        <v>4048</v>
      </c>
      <c r="O1975">
        <v>3</v>
      </c>
      <c r="P1975">
        <v>2</v>
      </c>
      <c r="Q1975">
        <v>0</v>
      </c>
      <c r="R1975" t="s">
        <v>4557</v>
      </c>
      <c r="S1975" t="s">
        <v>4898</v>
      </c>
      <c r="T1975" t="s">
        <v>4559</v>
      </c>
      <c r="U1975" t="s">
        <v>4560</v>
      </c>
      <c r="V1975" s="2">
        <v>528</v>
      </c>
      <c r="W1975" t="s">
        <v>3201</v>
      </c>
      <c r="X1975" s="2">
        <v>475</v>
      </c>
      <c r="Y1975">
        <v>20</v>
      </c>
      <c r="Z1975" t="s">
        <v>1604</v>
      </c>
      <c r="AA1975" s="3">
        <v>4.0312211960554102E-2</v>
      </c>
      <c r="AB1975" t="s">
        <v>2351</v>
      </c>
      <c r="AC1975" t="s">
        <v>4562</v>
      </c>
      <c r="AD1975" t="s">
        <v>13390</v>
      </c>
      <c r="AE1975" t="s">
        <v>4655</v>
      </c>
      <c r="AF1975" t="s">
        <v>13391</v>
      </c>
      <c r="AG1975" t="s">
        <v>762</v>
      </c>
      <c r="AH1975" t="s">
        <v>13392</v>
      </c>
      <c r="AI1975" t="s">
        <v>13393</v>
      </c>
      <c r="AJ1975" t="s">
        <v>2199</v>
      </c>
      <c r="AK1975" t="s">
        <v>13394</v>
      </c>
      <c r="AL1975" s="13" t="s">
        <v>1886</v>
      </c>
      <c r="AM1975">
        <v>1</v>
      </c>
      <c r="AN1975" s="15" t="s">
        <v>4762</v>
      </c>
    </row>
    <row r="1976" spans="1:40" x14ac:dyDescent="0.3">
      <c r="A1976" s="10" t="str">
        <f>HYPERLINK("http://www.washoecounty.gov/assessor/cama/?parid=026-702-15&amp;CardNumber=1","026-702-15")</f>
        <v>026-702-15</v>
      </c>
      <c r="B1976" t="s">
        <v>4655</v>
      </c>
      <c r="C1976" t="s">
        <v>13395</v>
      </c>
      <c r="D1976" s="1">
        <v>40346</v>
      </c>
      <c r="E1976" s="2">
        <v>172000</v>
      </c>
      <c r="F1976" t="s">
        <v>4553</v>
      </c>
      <c r="G1976" s="17" t="str">
        <f>HYPERLINK("https://www.washoecounty.gov/assessor/cama/?command=sales&amp;parid=02670215","3893064")</f>
        <v>3893064</v>
      </c>
      <c r="H1976" t="s">
        <v>935</v>
      </c>
      <c r="I1976">
        <v>2005</v>
      </c>
      <c r="J1976">
        <v>2005</v>
      </c>
      <c r="K1976" t="s">
        <v>4554</v>
      </c>
      <c r="L1976" t="s">
        <v>3974</v>
      </c>
      <c r="M1976" s="2">
        <v>1920</v>
      </c>
      <c r="N1976" t="s">
        <v>4048</v>
      </c>
      <c r="O1976">
        <v>3</v>
      </c>
      <c r="P1976">
        <v>3</v>
      </c>
      <c r="Q1976">
        <v>1</v>
      </c>
      <c r="R1976" t="s">
        <v>5281</v>
      </c>
      <c r="S1976" t="s">
        <v>4898</v>
      </c>
      <c r="T1976" t="s">
        <v>4559</v>
      </c>
      <c r="U1976" t="s">
        <v>5631</v>
      </c>
      <c r="V1976" s="2">
        <v>441</v>
      </c>
      <c r="W1976" t="s">
        <v>3201</v>
      </c>
      <c r="X1976" s="2">
        <v>661</v>
      </c>
      <c r="Y1976">
        <v>20</v>
      </c>
      <c r="Z1976" t="s">
        <v>1604</v>
      </c>
      <c r="AA1976" s="3">
        <v>4.0312211960554102E-2</v>
      </c>
      <c r="AB1976" t="s">
        <v>13396</v>
      </c>
      <c r="AC1976" t="s">
        <v>4575</v>
      </c>
      <c r="AD1976" t="s">
        <v>13395</v>
      </c>
      <c r="AE1976" t="s">
        <v>4655</v>
      </c>
      <c r="AF1976" t="s">
        <v>5201</v>
      </c>
      <c r="AG1976" t="s">
        <v>4564</v>
      </c>
      <c r="AH1976" t="s">
        <v>5202</v>
      </c>
      <c r="AI1976" t="s">
        <v>4503</v>
      </c>
      <c r="AJ1976" t="s">
        <v>2199</v>
      </c>
      <c r="AK1976" t="s">
        <v>13397</v>
      </c>
      <c r="AL1976" s="13" t="s">
        <v>1886</v>
      </c>
      <c r="AM1976" s="14">
        <v>1</v>
      </c>
      <c r="AN1976" s="15" t="s">
        <v>4762</v>
      </c>
    </row>
    <row r="1977" spans="1:40" x14ac:dyDescent="0.3">
      <c r="A1977" s="10" t="str">
        <f>HYPERLINK("http://www.washoecounty.gov/assessor/cama/?parid=026-720-15&amp;CardNumber=1","026-720-15")</f>
        <v>026-720-15</v>
      </c>
      <c r="B1977" t="s">
        <v>4655</v>
      </c>
      <c r="C1977" t="s">
        <v>13398</v>
      </c>
      <c r="D1977" s="1">
        <v>40414</v>
      </c>
      <c r="E1977" s="2">
        <v>207000</v>
      </c>
      <c r="F1977" t="s">
        <v>4553</v>
      </c>
      <c r="G1977" s="17" t="str">
        <f>HYPERLINK("https://www.washoecounty.gov/assessor/cama/?command=sales&amp;parid=02672015","3915243")</f>
        <v>3915243</v>
      </c>
      <c r="H1977" t="s">
        <v>2644</v>
      </c>
      <c r="I1977">
        <v>2004</v>
      </c>
      <c r="J1977">
        <v>2004</v>
      </c>
      <c r="K1977" t="s">
        <v>4554</v>
      </c>
      <c r="L1977" t="s">
        <v>3974</v>
      </c>
      <c r="M1977" s="2">
        <v>2881</v>
      </c>
      <c r="N1977" t="s">
        <v>5280</v>
      </c>
      <c r="O1977">
        <v>3</v>
      </c>
      <c r="P1977">
        <v>2</v>
      </c>
      <c r="Q1977">
        <v>1</v>
      </c>
      <c r="R1977" t="s">
        <v>5281</v>
      </c>
      <c r="S1977" t="s">
        <v>4898</v>
      </c>
      <c r="T1977" t="s">
        <v>4559</v>
      </c>
      <c r="U1977" t="s">
        <v>5631</v>
      </c>
      <c r="V1977" s="2">
        <v>689</v>
      </c>
      <c r="W1977" t="s">
        <v>4655</v>
      </c>
      <c r="X1977" s="2">
        <v>0</v>
      </c>
      <c r="Y1977">
        <v>20</v>
      </c>
      <c r="Z1977" t="s">
        <v>5200</v>
      </c>
      <c r="AA1977" s="3">
        <v>0.25764462351799011</v>
      </c>
      <c r="AB1977" t="s">
        <v>13399</v>
      </c>
      <c r="AC1977" t="s">
        <v>4562</v>
      </c>
      <c r="AD1977" t="s">
        <v>13398</v>
      </c>
      <c r="AE1977" t="s">
        <v>4655</v>
      </c>
      <c r="AF1977" t="s">
        <v>5201</v>
      </c>
      <c r="AG1977" t="s">
        <v>4564</v>
      </c>
      <c r="AH1977" t="s">
        <v>5202</v>
      </c>
      <c r="AI1977" t="s">
        <v>949</v>
      </c>
      <c r="AJ1977" t="s">
        <v>2650</v>
      </c>
      <c r="AK1977" t="s">
        <v>13400</v>
      </c>
      <c r="AL1977" s="13" t="s">
        <v>1886</v>
      </c>
      <c r="AM1977">
        <v>1</v>
      </c>
      <c r="AN1977" s="15" t="s">
        <v>2190</v>
      </c>
    </row>
    <row r="1978" spans="1:40" x14ac:dyDescent="0.3">
      <c r="A1978" s="10" t="str">
        <f>HYPERLINK("http://www.washoecounty.gov/assessor/cama/?parid=026-731-02&amp;CardNumber=1","026-731-02")</f>
        <v>026-731-02</v>
      </c>
      <c r="B1978" t="s">
        <v>4655</v>
      </c>
      <c r="C1978" t="s">
        <v>13401</v>
      </c>
      <c r="D1978" s="1">
        <v>40360</v>
      </c>
      <c r="E1978" s="2">
        <v>172000</v>
      </c>
      <c r="F1978" t="s">
        <v>4553</v>
      </c>
      <c r="G1978" s="17" t="str">
        <f>HYPERLINK("https://www.washoecounty.gov/assessor/cama/?command=sales&amp;parid=02673102","3897769")</f>
        <v>3897769</v>
      </c>
      <c r="H1978" t="s">
        <v>2644</v>
      </c>
      <c r="I1978">
        <v>2004</v>
      </c>
      <c r="J1978">
        <v>2004</v>
      </c>
      <c r="K1978" t="s">
        <v>4554</v>
      </c>
      <c r="L1978" t="s">
        <v>3974</v>
      </c>
      <c r="M1978" s="2">
        <v>2656</v>
      </c>
      <c r="N1978" t="s">
        <v>5280</v>
      </c>
      <c r="O1978">
        <v>4</v>
      </c>
      <c r="P1978">
        <v>3</v>
      </c>
      <c r="Q1978">
        <v>1</v>
      </c>
      <c r="R1978" t="s">
        <v>5281</v>
      </c>
      <c r="S1978" t="s">
        <v>4898</v>
      </c>
      <c r="T1978" t="s">
        <v>2704</v>
      </c>
      <c r="U1978" t="s">
        <v>5631</v>
      </c>
      <c r="V1978" s="2">
        <v>609</v>
      </c>
      <c r="W1978" t="s">
        <v>4655</v>
      </c>
      <c r="X1978" s="2">
        <v>0</v>
      </c>
      <c r="Y1978">
        <v>20</v>
      </c>
      <c r="Z1978" t="s">
        <v>5200</v>
      </c>
      <c r="AA1978" s="3">
        <v>0.18477961421012901</v>
      </c>
      <c r="AB1978" t="s">
        <v>13402</v>
      </c>
      <c r="AC1978" t="s">
        <v>4562</v>
      </c>
      <c r="AD1978" t="s">
        <v>13403</v>
      </c>
      <c r="AE1978" t="s">
        <v>4655</v>
      </c>
      <c r="AF1978" t="s">
        <v>4809</v>
      </c>
      <c r="AG1978" t="s">
        <v>4564</v>
      </c>
      <c r="AH1978" t="s">
        <v>5202</v>
      </c>
      <c r="AI1978" t="s">
        <v>4585</v>
      </c>
      <c r="AJ1978" t="s">
        <v>2650</v>
      </c>
      <c r="AK1978" t="s">
        <v>13404</v>
      </c>
      <c r="AL1978" s="13" t="s">
        <v>1886</v>
      </c>
      <c r="AM1978" s="14">
        <v>1</v>
      </c>
      <c r="AN1978" s="15" t="s">
        <v>2190</v>
      </c>
    </row>
    <row r="1979" spans="1:40" x14ac:dyDescent="0.3">
      <c r="A1979" s="10" t="str">
        <f>HYPERLINK("http://www.washoecounty.gov/assessor/cama/?parid=026-732-10&amp;CardNumber=1","026-732-10")</f>
        <v>026-732-10</v>
      </c>
      <c r="B1979" t="s">
        <v>4655</v>
      </c>
      <c r="C1979" t="s">
        <v>13405</v>
      </c>
      <c r="D1979" s="1">
        <v>40371</v>
      </c>
      <c r="E1979" s="2">
        <v>201000</v>
      </c>
      <c r="F1979" t="s">
        <v>4553</v>
      </c>
      <c r="G1979" s="17" t="str">
        <f>HYPERLINK("https://www.washoecounty.gov/assessor/cama/?command=sales&amp;parid=02673210","3900513")</f>
        <v>3900513</v>
      </c>
      <c r="H1979" t="s">
        <v>2644</v>
      </c>
      <c r="I1979">
        <v>2004</v>
      </c>
      <c r="J1979">
        <v>2004</v>
      </c>
      <c r="K1979" t="s">
        <v>4554</v>
      </c>
      <c r="L1979" t="s">
        <v>3974</v>
      </c>
      <c r="M1979" s="2">
        <v>2881</v>
      </c>
      <c r="N1979" t="s">
        <v>5280</v>
      </c>
      <c r="O1979">
        <v>4</v>
      </c>
      <c r="P1979">
        <v>2</v>
      </c>
      <c r="Q1979">
        <v>1</v>
      </c>
      <c r="R1979" t="s">
        <v>5281</v>
      </c>
      <c r="S1979" t="s">
        <v>4898</v>
      </c>
      <c r="T1979" t="s">
        <v>2704</v>
      </c>
      <c r="U1979" t="s">
        <v>5631</v>
      </c>
      <c r="V1979" s="2">
        <v>689</v>
      </c>
      <c r="W1979" t="s">
        <v>4655</v>
      </c>
      <c r="X1979" s="2">
        <v>0</v>
      </c>
      <c r="Y1979">
        <v>20</v>
      </c>
      <c r="Z1979" t="s">
        <v>5200</v>
      </c>
      <c r="AA1979" s="3">
        <v>0.169283747673035</v>
      </c>
      <c r="AB1979" t="s">
        <v>13406</v>
      </c>
      <c r="AC1979" t="s">
        <v>4575</v>
      </c>
      <c r="AD1979" t="s">
        <v>13407</v>
      </c>
      <c r="AE1979" t="s">
        <v>13408</v>
      </c>
      <c r="AF1979" t="s">
        <v>4809</v>
      </c>
      <c r="AG1979" t="s">
        <v>4564</v>
      </c>
      <c r="AH1979" t="s">
        <v>2330</v>
      </c>
      <c r="AI1979" t="s">
        <v>13409</v>
      </c>
      <c r="AJ1979" t="s">
        <v>2650</v>
      </c>
      <c r="AK1979" t="s">
        <v>13410</v>
      </c>
      <c r="AL1979" s="13" t="s">
        <v>1886</v>
      </c>
      <c r="AM1979">
        <v>1</v>
      </c>
      <c r="AN1979" s="15" t="s">
        <v>2190</v>
      </c>
    </row>
    <row r="1980" spans="1:40" x14ac:dyDescent="0.3">
      <c r="A1980" s="10" t="str">
        <f>HYPERLINK("http://www.washoecounty.gov/assessor/cama/?parid=026-740-07&amp;CardNumber=1","026-740-07")</f>
        <v>026-740-07</v>
      </c>
      <c r="B1980" t="s">
        <v>4655</v>
      </c>
      <c r="C1980" t="s">
        <v>13411</v>
      </c>
      <c r="D1980" s="1">
        <v>40540</v>
      </c>
      <c r="E1980" s="2">
        <v>164500</v>
      </c>
      <c r="F1980" t="s">
        <v>4567</v>
      </c>
      <c r="G1980" s="17" t="str">
        <f>HYPERLINK("https://www.washoecounty.gov/assessor/cama/?command=sales&amp;parid=02674007","3957917")</f>
        <v>3957917</v>
      </c>
      <c r="H1980" t="s">
        <v>3230</v>
      </c>
      <c r="I1980">
        <v>2006</v>
      </c>
      <c r="J1980">
        <v>2006</v>
      </c>
      <c r="K1980" t="s">
        <v>4554</v>
      </c>
      <c r="L1980" t="s">
        <v>4555</v>
      </c>
      <c r="M1980" s="2">
        <v>1580</v>
      </c>
      <c r="N1980" t="s">
        <v>5280</v>
      </c>
      <c r="O1980">
        <v>3</v>
      </c>
      <c r="P1980">
        <v>2</v>
      </c>
      <c r="Q1980">
        <v>1</v>
      </c>
      <c r="R1980" t="s">
        <v>5281</v>
      </c>
      <c r="S1980" t="s">
        <v>4898</v>
      </c>
      <c r="T1980" t="s">
        <v>2704</v>
      </c>
      <c r="U1980" t="s">
        <v>4560</v>
      </c>
      <c r="V1980" s="2">
        <v>478</v>
      </c>
      <c r="W1980" t="s">
        <v>3201</v>
      </c>
      <c r="X1980" s="2">
        <v>728</v>
      </c>
      <c r="Y1980">
        <v>20</v>
      </c>
      <c r="Z1980" t="s">
        <v>5200</v>
      </c>
      <c r="AA1980" s="3">
        <v>0.14118456840515101</v>
      </c>
      <c r="AB1980" t="s">
        <v>13412</v>
      </c>
      <c r="AC1980" t="s">
        <v>4562</v>
      </c>
      <c r="AD1980" t="s">
        <v>13413</v>
      </c>
      <c r="AE1980" t="s">
        <v>4655</v>
      </c>
      <c r="AF1980" t="s">
        <v>5201</v>
      </c>
      <c r="AG1980" t="s">
        <v>4564</v>
      </c>
      <c r="AH1980">
        <v>89408</v>
      </c>
      <c r="AI1980" t="s">
        <v>13414</v>
      </c>
      <c r="AJ1980" t="s">
        <v>3231</v>
      </c>
      <c r="AK1980" t="s">
        <v>13415</v>
      </c>
      <c r="AL1980" s="13" t="s">
        <v>1886</v>
      </c>
      <c r="AM1980" s="14">
        <v>1</v>
      </c>
      <c r="AN1980" s="15" t="s">
        <v>2190</v>
      </c>
    </row>
    <row r="1981" spans="1:40" x14ac:dyDescent="0.3">
      <c r="A1981" s="10" t="str">
        <f>HYPERLINK("http://www.washoecounty.gov/assessor/cama/?parid=026-740-14&amp;CardNumber=1","026-740-14")</f>
        <v>026-740-14</v>
      </c>
      <c r="B1981" t="s">
        <v>4655</v>
      </c>
      <c r="C1981" t="s">
        <v>13416</v>
      </c>
      <c r="D1981" s="1">
        <v>40373</v>
      </c>
      <c r="E1981" s="2">
        <v>216000</v>
      </c>
      <c r="F1981" t="s">
        <v>4553</v>
      </c>
      <c r="G1981" s="17" t="str">
        <f>HYPERLINK("https://www.washoecounty.gov/assessor/cama/?command=sales&amp;parid=02674014","3901098")</f>
        <v>3901098</v>
      </c>
      <c r="H1981" t="s">
        <v>3230</v>
      </c>
      <c r="I1981">
        <v>2005</v>
      </c>
      <c r="J1981">
        <v>2005</v>
      </c>
      <c r="K1981" t="s">
        <v>4554</v>
      </c>
      <c r="L1981" t="s">
        <v>3974</v>
      </c>
      <c r="M1981" s="2">
        <v>2656</v>
      </c>
      <c r="N1981" t="s">
        <v>5280</v>
      </c>
      <c r="O1981">
        <v>4</v>
      </c>
      <c r="P1981">
        <v>3</v>
      </c>
      <c r="Q1981">
        <v>1</v>
      </c>
      <c r="R1981" t="s">
        <v>5281</v>
      </c>
      <c r="S1981" t="s">
        <v>4898</v>
      </c>
      <c r="T1981" t="s">
        <v>2704</v>
      </c>
      <c r="U1981" t="s">
        <v>5631</v>
      </c>
      <c r="V1981" s="2">
        <v>609</v>
      </c>
      <c r="W1981" t="s">
        <v>4655</v>
      </c>
      <c r="X1981" s="2">
        <v>0</v>
      </c>
      <c r="Y1981">
        <v>20</v>
      </c>
      <c r="Z1981" t="s">
        <v>5200</v>
      </c>
      <c r="AA1981" s="3">
        <v>0.16893939673900599</v>
      </c>
      <c r="AB1981" t="s">
        <v>13417</v>
      </c>
      <c r="AC1981" t="s">
        <v>4575</v>
      </c>
      <c r="AD1981" t="s">
        <v>13418</v>
      </c>
      <c r="AE1981" t="s">
        <v>13419</v>
      </c>
      <c r="AF1981" t="s">
        <v>5201</v>
      </c>
      <c r="AG1981" t="s">
        <v>4564</v>
      </c>
      <c r="AH1981" t="s">
        <v>5202</v>
      </c>
      <c r="AI1981" t="s">
        <v>4903</v>
      </c>
      <c r="AJ1981" t="s">
        <v>3231</v>
      </c>
      <c r="AK1981" t="s">
        <v>13420</v>
      </c>
      <c r="AL1981" s="13" t="s">
        <v>1886</v>
      </c>
      <c r="AM1981">
        <v>1</v>
      </c>
      <c r="AN1981" s="15" t="s">
        <v>2190</v>
      </c>
    </row>
    <row r="1982" spans="1:40" x14ac:dyDescent="0.3">
      <c r="A1982" s="10" t="str">
        <f>HYPERLINK("http://www.washoecounty.gov/assessor/cama/?parid=026-751-07&amp;CardNumber=1","026-751-07")</f>
        <v>026-751-07</v>
      </c>
      <c r="B1982" t="s">
        <v>4655</v>
      </c>
      <c r="C1982" t="s">
        <v>13421</v>
      </c>
      <c r="D1982" s="1">
        <v>40506</v>
      </c>
      <c r="E1982" s="2">
        <v>192000</v>
      </c>
      <c r="F1982" t="s">
        <v>4553</v>
      </c>
      <c r="G1982" s="17" t="str">
        <f>HYPERLINK("https://www.washoecounty.gov/assessor/cama/?command=sales&amp;parid=02675107","3946386")</f>
        <v>3946386</v>
      </c>
      <c r="H1982" t="s">
        <v>3230</v>
      </c>
      <c r="I1982">
        <v>2005</v>
      </c>
      <c r="J1982">
        <v>2005</v>
      </c>
      <c r="K1982" t="s">
        <v>4554</v>
      </c>
      <c r="L1982" t="s">
        <v>3974</v>
      </c>
      <c r="M1982" s="2">
        <v>2881</v>
      </c>
      <c r="N1982" t="s">
        <v>5280</v>
      </c>
      <c r="O1982">
        <v>4</v>
      </c>
      <c r="P1982">
        <v>2</v>
      </c>
      <c r="Q1982">
        <v>1</v>
      </c>
      <c r="R1982" t="s">
        <v>4557</v>
      </c>
      <c r="S1982" t="s">
        <v>4898</v>
      </c>
      <c r="T1982" t="s">
        <v>2704</v>
      </c>
      <c r="U1982" t="s">
        <v>5631</v>
      </c>
      <c r="V1982" s="2">
        <v>689</v>
      </c>
      <c r="W1982" t="s">
        <v>4655</v>
      </c>
      <c r="X1982" s="2">
        <v>0</v>
      </c>
      <c r="Y1982">
        <v>20</v>
      </c>
      <c r="Z1982" t="s">
        <v>5200</v>
      </c>
      <c r="AA1982" s="3">
        <v>0.13815426826477051</v>
      </c>
      <c r="AB1982" t="s">
        <v>13422</v>
      </c>
      <c r="AC1982" t="s">
        <v>4562</v>
      </c>
      <c r="AD1982" t="s">
        <v>13421</v>
      </c>
      <c r="AE1982" t="s">
        <v>4655</v>
      </c>
      <c r="AF1982" t="s">
        <v>5201</v>
      </c>
      <c r="AG1982" t="s">
        <v>4564</v>
      </c>
      <c r="AH1982" t="s">
        <v>5202</v>
      </c>
      <c r="AI1982" t="s">
        <v>4503</v>
      </c>
      <c r="AJ1982" t="s">
        <v>3231</v>
      </c>
      <c r="AK1982" t="s">
        <v>13423</v>
      </c>
      <c r="AL1982" s="13" t="s">
        <v>1886</v>
      </c>
      <c r="AM1982" s="14">
        <v>1</v>
      </c>
      <c r="AN1982" s="15" t="s">
        <v>2190</v>
      </c>
    </row>
    <row r="1983" spans="1:40" x14ac:dyDescent="0.3">
      <c r="A1983" s="10" t="str">
        <f>HYPERLINK("http://www.washoecounty.gov/assessor/cama/?parid=026-752-06&amp;CardNumber=1","026-752-06")</f>
        <v>026-752-06</v>
      </c>
      <c r="B1983" t="s">
        <v>4655</v>
      </c>
      <c r="C1983" t="s">
        <v>13424</v>
      </c>
      <c r="D1983" s="1">
        <v>40312</v>
      </c>
      <c r="E1983" s="2">
        <v>200000</v>
      </c>
      <c r="F1983" t="s">
        <v>4567</v>
      </c>
      <c r="G1983" s="17" t="str">
        <f>HYPERLINK("https://www.washoecounty.gov/assessor/cama/?command=sales&amp;parid=02675206","3881662")</f>
        <v>3881662</v>
      </c>
      <c r="H1983" t="s">
        <v>3230</v>
      </c>
      <c r="I1983">
        <v>2005</v>
      </c>
      <c r="J1983">
        <v>2005</v>
      </c>
      <c r="K1983" t="s">
        <v>4554</v>
      </c>
      <c r="L1983" t="s">
        <v>3974</v>
      </c>
      <c r="M1983" s="2">
        <v>2656</v>
      </c>
      <c r="N1983" t="s">
        <v>5280</v>
      </c>
      <c r="O1983">
        <v>4</v>
      </c>
      <c r="P1983">
        <v>3</v>
      </c>
      <c r="Q1983">
        <v>1</v>
      </c>
      <c r="R1983" t="s">
        <v>5281</v>
      </c>
      <c r="S1983" t="s">
        <v>4898</v>
      </c>
      <c r="T1983" t="s">
        <v>2704</v>
      </c>
      <c r="U1983" t="s">
        <v>5631</v>
      </c>
      <c r="V1983" s="2">
        <v>609</v>
      </c>
      <c r="W1983" t="s">
        <v>4655</v>
      </c>
      <c r="X1983" s="2">
        <v>0</v>
      </c>
      <c r="Y1983">
        <v>20</v>
      </c>
      <c r="Z1983" t="s">
        <v>5200</v>
      </c>
      <c r="AA1983" s="3">
        <v>0.14476583898067499</v>
      </c>
      <c r="AB1983" t="s">
        <v>13425</v>
      </c>
      <c r="AC1983" t="s">
        <v>4562</v>
      </c>
      <c r="AD1983" t="s">
        <v>13424</v>
      </c>
      <c r="AE1983" t="s">
        <v>4655</v>
      </c>
      <c r="AF1983" t="s">
        <v>5201</v>
      </c>
      <c r="AG1983" t="s">
        <v>4564</v>
      </c>
      <c r="AH1983" t="s">
        <v>5202</v>
      </c>
      <c r="AI1983" t="s">
        <v>13426</v>
      </c>
      <c r="AJ1983" t="s">
        <v>3231</v>
      </c>
      <c r="AK1983" t="s">
        <v>13427</v>
      </c>
      <c r="AL1983" s="13" t="s">
        <v>1886</v>
      </c>
      <c r="AM1983" s="14">
        <v>1</v>
      </c>
      <c r="AN1983" s="15" t="s">
        <v>2190</v>
      </c>
    </row>
    <row r="1984" spans="1:40" x14ac:dyDescent="0.3">
      <c r="A1984" s="10" t="str">
        <f>HYPERLINK("http://www.washoecounty.gov/assessor/cama/?parid=026-753-05&amp;CardNumber=1","026-753-05")</f>
        <v>026-753-05</v>
      </c>
      <c r="B1984" t="s">
        <v>4655</v>
      </c>
      <c r="C1984" t="s">
        <v>13428</v>
      </c>
      <c r="D1984" s="1">
        <v>40416</v>
      </c>
      <c r="E1984" s="2">
        <v>240000</v>
      </c>
      <c r="F1984" t="s">
        <v>4567</v>
      </c>
      <c r="G1984" s="17" t="str">
        <f>HYPERLINK("https://www.washoecounty.gov/assessor/cama/?command=sales&amp;parid=02675305","3915933")</f>
        <v>3915933</v>
      </c>
      <c r="H1984" t="s">
        <v>3230</v>
      </c>
      <c r="I1984">
        <v>2005</v>
      </c>
      <c r="J1984">
        <v>2005</v>
      </c>
      <c r="K1984" t="s">
        <v>4554</v>
      </c>
      <c r="L1984" t="s">
        <v>3974</v>
      </c>
      <c r="M1984" s="2">
        <v>2881</v>
      </c>
      <c r="N1984" t="s">
        <v>5280</v>
      </c>
      <c r="O1984">
        <v>4</v>
      </c>
      <c r="P1984">
        <v>2</v>
      </c>
      <c r="Q1984">
        <v>1</v>
      </c>
      <c r="R1984" t="s">
        <v>4557</v>
      </c>
      <c r="S1984" t="s">
        <v>4898</v>
      </c>
      <c r="T1984" t="s">
        <v>2704</v>
      </c>
      <c r="U1984" t="s">
        <v>5631</v>
      </c>
      <c r="V1984" s="2">
        <v>689</v>
      </c>
      <c r="W1984" t="s">
        <v>4655</v>
      </c>
      <c r="X1984" s="2">
        <v>0</v>
      </c>
      <c r="Y1984">
        <v>20</v>
      </c>
      <c r="Z1984" t="s">
        <v>5200</v>
      </c>
      <c r="AA1984" s="3">
        <v>0.16939853131771099</v>
      </c>
      <c r="AB1984" t="s">
        <v>13429</v>
      </c>
      <c r="AC1984" t="s">
        <v>4562</v>
      </c>
      <c r="AD1984" t="s">
        <v>13430</v>
      </c>
      <c r="AE1984" t="s">
        <v>4655</v>
      </c>
      <c r="AF1984" t="s">
        <v>5499</v>
      </c>
      <c r="AG1984" t="s">
        <v>4564</v>
      </c>
      <c r="AH1984" t="s">
        <v>5202</v>
      </c>
      <c r="AI1984" t="s">
        <v>13431</v>
      </c>
      <c r="AJ1984" t="s">
        <v>3231</v>
      </c>
      <c r="AK1984" t="s">
        <v>13432</v>
      </c>
      <c r="AL1984" s="13" t="s">
        <v>1886</v>
      </c>
      <c r="AM1984" s="14">
        <v>1</v>
      </c>
      <c r="AN1984" s="15" t="s">
        <v>2190</v>
      </c>
    </row>
    <row r="1985" spans="1:40" x14ac:dyDescent="0.3">
      <c r="A1985" s="10" t="str">
        <f>HYPERLINK("http://www.washoecounty.gov/assessor/cama/?parid=026-761-02&amp;CardNumber=1","026-761-02")</f>
        <v>026-761-02</v>
      </c>
      <c r="B1985" t="s">
        <v>4655</v>
      </c>
      <c r="C1985" t="s">
        <v>13433</v>
      </c>
      <c r="D1985" s="1">
        <v>40535</v>
      </c>
      <c r="E1985" s="2">
        <v>142600</v>
      </c>
      <c r="F1985" t="s">
        <v>4567</v>
      </c>
      <c r="G1985" s="17" t="str">
        <f>HYPERLINK("https://www.washoecounty.gov/assessor/cama/?command=sales&amp;parid=02676102","3957061")</f>
        <v>3957061</v>
      </c>
      <c r="H1985" t="s">
        <v>4523</v>
      </c>
      <c r="I1985">
        <v>2010</v>
      </c>
      <c r="J1985">
        <v>2010</v>
      </c>
      <c r="K1985" t="s">
        <v>4554</v>
      </c>
      <c r="L1985" t="s">
        <v>3974</v>
      </c>
      <c r="M1985" s="2">
        <v>1309</v>
      </c>
      <c r="N1985" t="s">
        <v>4048</v>
      </c>
      <c r="O1985">
        <v>3</v>
      </c>
      <c r="P1985">
        <v>2</v>
      </c>
      <c r="Q1985">
        <v>1</v>
      </c>
      <c r="R1985" t="s">
        <v>5281</v>
      </c>
      <c r="S1985" t="s">
        <v>4558</v>
      </c>
      <c r="T1985" t="s">
        <v>4559</v>
      </c>
      <c r="U1985" t="s">
        <v>5631</v>
      </c>
      <c r="V1985" s="2">
        <v>471</v>
      </c>
      <c r="W1985" t="s">
        <v>4655</v>
      </c>
      <c r="X1985" s="2">
        <v>0</v>
      </c>
      <c r="Y1985">
        <v>20</v>
      </c>
      <c r="Z1985" t="s">
        <v>1604</v>
      </c>
      <c r="AA1985" s="3">
        <v>2.8787879273295399E-2</v>
      </c>
      <c r="AB1985" t="s">
        <v>13434</v>
      </c>
      <c r="AC1985" t="s">
        <v>4562</v>
      </c>
      <c r="AD1985" t="s">
        <v>13433</v>
      </c>
      <c r="AE1985" t="s">
        <v>4655</v>
      </c>
      <c r="AF1985" t="s">
        <v>5201</v>
      </c>
      <c r="AG1985" t="s">
        <v>4564</v>
      </c>
      <c r="AH1985" t="s">
        <v>5202</v>
      </c>
      <c r="AI1985" t="s">
        <v>1111</v>
      </c>
      <c r="AJ1985" t="s">
        <v>4206</v>
      </c>
      <c r="AK1985" t="s">
        <v>13435</v>
      </c>
      <c r="AL1985" s="13" t="s">
        <v>1886</v>
      </c>
      <c r="AM1985" s="14">
        <v>1</v>
      </c>
      <c r="AN1985" s="15" t="s">
        <v>4762</v>
      </c>
    </row>
    <row r="1986" spans="1:40" x14ac:dyDescent="0.3">
      <c r="A1986" s="10" t="str">
        <f>HYPERLINK("http://www.washoecounty.gov/assessor/cama/?parid=026-761-03&amp;CardNumber=1","026-761-03")</f>
        <v>026-761-03</v>
      </c>
      <c r="B1986" t="s">
        <v>4655</v>
      </c>
      <c r="C1986" t="s">
        <v>13436</v>
      </c>
      <c r="D1986" s="1">
        <v>40337</v>
      </c>
      <c r="E1986" s="2">
        <v>140000</v>
      </c>
      <c r="F1986" t="s">
        <v>4567</v>
      </c>
      <c r="G1986" s="17" t="str">
        <f>HYPERLINK("https://www.washoecounty.gov/assessor/cama/?command=sales&amp;parid=02676103","3889367")</f>
        <v>3889367</v>
      </c>
      <c r="H1986" t="s">
        <v>4523</v>
      </c>
      <c r="I1986">
        <v>2007</v>
      </c>
      <c r="J1986">
        <v>2007</v>
      </c>
      <c r="K1986" t="s">
        <v>4554</v>
      </c>
      <c r="L1986" t="s">
        <v>3974</v>
      </c>
      <c r="M1986" s="2">
        <v>1659</v>
      </c>
      <c r="N1986" t="s">
        <v>4048</v>
      </c>
      <c r="O1986">
        <v>4</v>
      </c>
      <c r="P1986">
        <v>2</v>
      </c>
      <c r="Q1986">
        <v>1</v>
      </c>
      <c r="R1986" t="s">
        <v>5281</v>
      </c>
      <c r="S1986" t="s">
        <v>4558</v>
      </c>
      <c r="T1986" t="s">
        <v>4559</v>
      </c>
      <c r="U1986" t="s">
        <v>5631</v>
      </c>
      <c r="V1986" s="2">
        <v>455</v>
      </c>
      <c r="W1986" t="s">
        <v>4655</v>
      </c>
      <c r="X1986" s="2">
        <v>0</v>
      </c>
      <c r="Y1986">
        <v>20</v>
      </c>
      <c r="Z1986" t="s">
        <v>1604</v>
      </c>
      <c r="AA1986" s="3">
        <v>3.3448118716478299E-2</v>
      </c>
      <c r="AB1986" t="s">
        <v>13437</v>
      </c>
      <c r="AC1986" t="s">
        <v>4562</v>
      </c>
      <c r="AD1986" t="s">
        <v>13438</v>
      </c>
      <c r="AE1986" t="s">
        <v>4655</v>
      </c>
      <c r="AF1986" t="s">
        <v>4563</v>
      </c>
      <c r="AG1986" t="s">
        <v>4564</v>
      </c>
      <c r="AH1986" t="s">
        <v>1147</v>
      </c>
      <c r="AI1986" t="s">
        <v>13439</v>
      </c>
      <c r="AJ1986" t="s">
        <v>4206</v>
      </c>
      <c r="AK1986" t="s">
        <v>13440</v>
      </c>
      <c r="AL1986" s="13" t="s">
        <v>1886</v>
      </c>
      <c r="AM1986">
        <v>1</v>
      </c>
      <c r="AN1986" s="15" t="s">
        <v>4762</v>
      </c>
    </row>
    <row r="1987" spans="1:40" x14ac:dyDescent="0.3">
      <c r="A1987" s="10" t="str">
        <f>HYPERLINK("http://www.washoecounty.gov/assessor/cama/?parid=026-761-07&amp;CardNumber=1","026-761-07")</f>
        <v>026-761-07</v>
      </c>
      <c r="B1987" t="s">
        <v>4655</v>
      </c>
      <c r="C1987" t="s">
        <v>13441</v>
      </c>
      <c r="D1987" s="1">
        <v>40249</v>
      </c>
      <c r="E1987" s="2">
        <v>135500</v>
      </c>
      <c r="F1987" t="s">
        <v>4567</v>
      </c>
      <c r="G1987" s="17" t="str">
        <f>HYPERLINK("https://www.washoecounty.gov/assessor/cama/?command=sales&amp;parid=02676107","3859047")</f>
        <v>3859047</v>
      </c>
      <c r="H1987" t="s">
        <v>4523</v>
      </c>
      <c r="I1987">
        <v>2007</v>
      </c>
      <c r="J1987">
        <v>2007</v>
      </c>
      <c r="K1987" t="s">
        <v>4554</v>
      </c>
      <c r="L1987" t="s">
        <v>3974</v>
      </c>
      <c r="M1987" s="2">
        <v>1659</v>
      </c>
      <c r="N1987" t="s">
        <v>4048</v>
      </c>
      <c r="O1987">
        <v>4</v>
      </c>
      <c r="P1987">
        <v>2</v>
      </c>
      <c r="Q1987">
        <v>1</v>
      </c>
      <c r="R1987" t="s">
        <v>4557</v>
      </c>
      <c r="S1987" t="s">
        <v>4558</v>
      </c>
      <c r="T1987" t="s">
        <v>4559</v>
      </c>
      <c r="U1987" t="s">
        <v>5631</v>
      </c>
      <c r="V1987" s="2">
        <v>455</v>
      </c>
      <c r="W1987" t="s">
        <v>4655</v>
      </c>
      <c r="X1987" s="2">
        <v>0</v>
      </c>
      <c r="Y1987">
        <v>20</v>
      </c>
      <c r="Z1987" t="s">
        <v>1604</v>
      </c>
      <c r="AA1987" s="3">
        <v>3.3448118716478299E-2</v>
      </c>
      <c r="AB1987" t="s">
        <v>13442</v>
      </c>
      <c r="AC1987" t="s">
        <v>4562</v>
      </c>
      <c r="AD1987" t="s">
        <v>13441</v>
      </c>
      <c r="AE1987" t="s">
        <v>4655</v>
      </c>
      <c r="AF1987" t="s">
        <v>5201</v>
      </c>
      <c r="AG1987" t="s">
        <v>4564</v>
      </c>
      <c r="AH1987" t="s">
        <v>5202</v>
      </c>
      <c r="AI1987" t="s">
        <v>13443</v>
      </c>
      <c r="AJ1987" t="s">
        <v>4206</v>
      </c>
      <c r="AK1987" t="s">
        <v>13444</v>
      </c>
      <c r="AL1987" s="13" t="s">
        <v>1886</v>
      </c>
      <c r="AM1987" s="14">
        <v>1</v>
      </c>
      <c r="AN1987" s="15" t="s">
        <v>4762</v>
      </c>
    </row>
    <row r="1988" spans="1:40" x14ac:dyDescent="0.3">
      <c r="A1988" s="10" t="str">
        <f>HYPERLINK("http://www.washoecounty.gov/assessor/cama/?parid=026-761-30&amp;CardNumber=1","026-761-30")</f>
        <v>026-761-30</v>
      </c>
      <c r="B1988" t="s">
        <v>4655</v>
      </c>
      <c r="C1988" t="s">
        <v>13445</v>
      </c>
      <c r="D1988" s="1">
        <v>40283</v>
      </c>
      <c r="E1988" s="2">
        <v>135000</v>
      </c>
      <c r="F1988" t="s">
        <v>4553</v>
      </c>
      <c r="G1988" s="17" t="str">
        <f>HYPERLINK("https://www.washoecounty.gov/assessor/cama/?command=sales&amp;parid=02676130","3871560")</f>
        <v>3871560</v>
      </c>
      <c r="H1988" t="s">
        <v>4523</v>
      </c>
      <c r="I1988">
        <v>2007</v>
      </c>
      <c r="J1988">
        <v>2007</v>
      </c>
      <c r="K1988" t="s">
        <v>4554</v>
      </c>
      <c r="L1988" t="s">
        <v>3974</v>
      </c>
      <c r="M1988" s="2">
        <v>1659</v>
      </c>
      <c r="N1988" t="s">
        <v>4048</v>
      </c>
      <c r="O1988">
        <v>4</v>
      </c>
      <c r="P1988">
        <v>2</v>
      </c>
      <c r="Q1988">
        <v>1</v>
      </c>
      <c r="R1988" t="s">
        <v>4557</v>
      </c>
      <c r="S1988" t="s">
        <v>4558</v>
      </c>
      <c r="T1988" t="s">
        <v>4559</v>
      </c>
      <c r="U1988" t="s">
        <v>5631</v>
      </c>
      <c r="V1988" s="2">
        <v>455</v>
      </c>
      <c r="W1988" t="s">
        <v>4655</v>
      </c>
      <c r="X1988" s="2">
        <v>0</v>
      </c>
      <c r="Y1988">
        <v>20</v>
      </c>
      <c r="Z1988" t="s">
        <v>1604</v>
      </c>
      <c r="AA1988" s="3">
        <v>3.3448118716478299E-2</v>
      </c>
      <c r="AB1988" t="s">
        <v>13446</v>
      </c>
      <c r="AC1988" t="s">
        <v>4562</v>
      </c>
      <c r="AD1988" t="s">
        <v>13447</v>
      </c>
      <c r="AE1988" t="s">
        <v>4655</v>
      </c>
      <c r="AF1988" t="s">
        <v>4809</v>
      </c>
      <c r="AG1988" t="s">
        <v>4564</v>
      </c>
      <c r="AH1988" t="s">
        <v>5202</v>
      </c>
      <c r="AI1988" t="s">
        <v>4848</v>
      </c>
      <c r="AJ1988" t="s">
        <v>4206</v>
      </c>
      <c r="AK1988" t="s">
        <v>13448</v>
      </c>
      <c r="AL1988" s="13" t="s">
        <v>1886</v>
      </c>
      <c r="AM1988">
        <v>1</v>
      </c>
      <c r="AN1988" s="15" t="s">
        <v>4762</v>
      </c>
    </row>
    <row r="1989" spans="1:40" x14ac:dyDescent="0.3">
      <c r="A1989" s="10" t="str">
        <f>HYPERLINK("http://www.washoecounty.gov/assessor/cama/?parid=026-761-33&amp;CardNumber=1","026-761-33")</f>
        <v>026-761-33</v>
      </c>
      <c r="B1989" t="s">
        <v>4655</v>
      </c>
      <c r="C1989" t="s">
        <v>13449</v>
      </c>
      <c r="D1989" s="1">
        <v>40532</v>
      </c>
      <c r="E1989" s="2">
        <v>172000</v>
      </c>
      <c r="F1989" t="s">
        <v>4567</v>
      </c>
      <c r="G1989" s="17" t="str">
        <f>HYPERLINK("https://www.washoecounty.gov/assessor/cama/?command=sales&amp;parid=02676133","3955697")</f>
        <v>3955697</v>
      </c>
      <c r="H1989" t="s">
        <v>4523</v>
      </c>
      <c r="I1989">
        <v>2009</v>
      </c>
      <c r="J1989">
        <v>2009</v>
      </c>
      <c r="K1989" t="s">
        <v>4554</v>
      </c>
      <c r="L1989" t="s">
        <v>3974</v>
      </c>
      <c r="M1989" s="2">
        <v>1659</v>
      </c>
      <c r="N1989" t="s">
        <v>4048</v>
      </c>
      <c r="O1989">
        <v>4</v>
      </c>
      <c r="P1989">
        <v>2</v>
      </c>
      <c r="Q1989">
        <v>1</v>
      </c>
      <c r="R1989" t="s">
        <v>4557</v>
      </c>
      <c r="S1989" t="s">
        <v>4558</v>
      </c>
      <c r="T1989" t="s">
        <v>4559</v>
      </c>
      <c r="U1989" t="s">
        <v>5631</v>
      </c>
      <c r="V1989" s="2">
        <v>455</v>
      </c>
      <c r="W1989" t="s">
        <v>4655</v>
      </c>
      <c r="X1989" s="2">
        <v>0</v>
      </c>
      <c r="Y1989">
        <v>20</v>
      </c>
      <c r="Z1989" t="s">
        <v>1604</v>
      </c>
      <c r="AA1989" s="3">
        <v>3.3448118716478299E-2</v>
      </c>
      <c r="AB1989" t="s">
        <v>13450</v>
      </c>
      <c r="AC1989" t="s">
        <v>4562</v>
      </c>
      <c r="AD1989" t="s">
        <v>13451</v>
      </c>
      <c r="AE1989" t="s">
        <v>4655</v>
      </c>
      <c r="AF1989" t="s">
        <v>4809</v>
      </c>
      <c r="AG1989" t="s">
        <v>4564</v>
      </c>
      <c r="AH1989" t="s">
        <v>5202</v>
      </c>
      <c r="AI1989" t="s">
        <v>1111</v>
      </c>
      <c r="AJ1989" t="s">
        <v>4206</v>
      </c>
      <c r="AK1989" t="s">
        <v>13452</v>
      </c>
      <c r="AL1989" s="13" t="s">
        <v>1886</v>
      </c>
      <c r="AM1989" s="14">
        <v>1</v>
      </c>
      <c r="AN1989" s="15" t="s">
        <v>4762</v>
      </c>
    </row>
    <row r="1990" spans="1:40" x14ac:dyDescent="0.3">
      <c r="A1990" s="10" t="str">
        <f>HYPERLINK("http://www.washoecounty.gov/assessor/cama/?parid=026-761-34&amp;CardNumber=1","026-761-34")</f>
        <v>026-761-34</v>
      </c>
      <c r="B1990" t="s">
        <v>4655</v>
      </c>
      <c r="C1990" t="s">
        <v>13453</v>
      </c>
      <c r="D1990" s="1">
        <v>40512</v>
      </c>
      <c r="E1990" s="2">
        <v>132000</v>
      </c>
      <c r="F1990" t="s">
        <v>4567</v>
      </c>
      <c r="G1990" s="17" t="str">
        <f>HYPERLINK("https://www.washoecounty.gov/assessor/cama/?command=sales&amp;parid=02676134","3947509")</f>
        <v>3947509</v>
      </c>
      <c r="H1990" t="s">
        <v>4523</v>
      </c>
      <c r="I1990">
        <v>2007</v>
      </c>
      <c r="J1990">
        <v>2007</v>
      </c>
      <c r="K1990" t="s">
        <v>4554</v>
      </c>
      <c r="L1990" t="s">
        <v>3974</v>
      </c>
      <c r="M1990" s="2">
        <v>1309</v>
      </c>
      <c r="N1990" t="s">
        <v>4048</v>
      </c>
      <c r="O1990">
        <v>3</v>
      </c>
      <c r="P1990">
        <v>2</v>
      </c>
      <c r="Q1990">
        <v>1</v>
      </c>
      <c r="R1990" t="s">
        <v>4557</v>
      </c>
      <c r="S1990" t="s">
        <v>4558</v>
      </c>
      <c r="T1990" t="s">
        <v>4559</v>
      </c>
      <c r="U1990" t="s">
        <v>5631</v>
      </c>
      <c r="V1990" s="2">
        <v>471</v>
      </c>
      <c r="W1990" t="s">
        <v>4655</v>
      </c>
      <c r="X1990" s="2">
        <v>0</v>
      </c>
      <c r="Y1990">
        <v>20</v>
      </c>
      <c r="Z1990" t="s">
        <v>1604</v>
      </c>
      <c r="AA1990" s="3">
        <v>2.8787879273295399E-2</v>
      </c>
      <c r="AB1990" t="s">
        <v>13454</v>
      </c>
      <c r="AC1990" t="s">
        <v>4562</v>
      </c>
      <c r="AD1990" t="s">
        <v>13455</v>
      </c>
      <c r="AE1990" t="s">
        <v>4655</v>
      </c>
      <c r="AF1990" t="s">
        <v>3876</v>
      </c>
      <c r="AG1990" t="s">
        <v>4564</v>
      </c>
      <c r="AH1990">
        <v>89410</v>
      </c>
      <c r="AI1990" t="s">
        <v>13456</v>
      </c>
      <c r="AJ1990" t="s">
        <v>4206</v>
      </c>
      <c r="AK1990" t="s">
        <v>13457</v>
      </c>
      <c r="AL1990" s="13" t="s">
        <v>1886</v>
      </c>
      <c r="AM1990">
        <v>1</v>
      </c>
      <c r="AN1990" s="15" t="s">
        <v>4762</v>
      </c>
    </row>
    <row r="1991" spans="1:40" x14ac:dyDescent="0.3">
      <c r="A1991" s="10" t="str">
        <f>HYPERLINK("http://www.washoecounty.gov/assessor/cama/?parid=026-761-40&amp;CardNumber=1","026-761-40")</f>
        <v>026-761-40</v>
      </c>
      <c r="B1991" t="s">
        <v>4655</v>
      </c>
      <c r="C1991" t="s">
        <v>13458</v>
      </c>
      <c r="D1991" s="1">
        <v>40261</v>
      </c>
      <c r="E1991" s="2">
        <v>133900</v>
      </c>
      <c r="F1991" t="s">
        <v>4567</v>
      </c>
      <c r="G1991" s="17" t="str">
        <f>HYPERLINK("https://www.washoecounty.gov/assessor/cama/?command=sales&amp;parid=02676140","3863651")</f>
        <v>3863651</v>
      </c>
      <c r="H1991" t="s">
        <v>4523</v>
      </c>
      <c r="I1991">
        <v>2007</v>
      </c>
      <c r="J1991">
        <v>2007</v>
      </c>
      <c r="K1991" t="s">
        <v>4554</v>
      </c>
      <c r="L1991" t="s">
        <v>3974</v>
      </c>
      <c r="M1991" s="2">
        <v>1309</v>
      </c>
      <c r="N1991" t="s">
        <v>4048</v>
      </c>
      <c r="O1991">
        <v>3</v>
      </c>
      <c r="P1991">
        <v>2</v>
      </c>
      <c r="Q1991">
        <v>1</v>
      </c>
      <c r="R1991" t="s">
        <v>4557</v>
      </c>
      <c r="S1991" t="s">
        <v>4558</v>
      </c>
      <c r="T1991" t="s">
        <v>4559</v>
      </c>
      <c r="U1991" t="s">
        <v>5631</v>
      </c>
      <c r="V1991" s="2">
        <v>471</v>
      </c>
      <c r="W1991" t="s">
        <v>4655</v>
      </c>
      <c r="X1991" s="2">
        <v>0</v>
      </c>
      <c r="Y1991">
        <v>20</v>
      </c>
      <c r="Z1991" t="s">
        <v>1604</v>
      </c>
      <c r="AA1991" s="3">
        <v>2.8787879273295399E-2</v>
      </c>
      <c r="AB1991" t="s">
        <v>13459</v>
      </c>
      <c r="AC1991" t="s">
        <v>4575</v>
      </c>
      <c r="AD1991" t="s">
        <v>13458</v>
      </c>
      <c r="AE1991" t="s">
        <v>4655</v>
      </c>
      <c r="AF1991" t="s">
        <v>5201</v>
      </c>
      <c r="AG1991" t="s">
        <v>4564</v>
      </c>
      <c r="AH1991" t="s">
        <v>5202</v>
      </c>
      <c r="AI1991" t="s">
        <v>13460</v>
      </c>
      <c r="AJ1991" t="s">
        <v>4206</v>
      </c>
      <c r="AK1991" t="s">
        <v>13461</v>
      </c>
      <c r="AL1991" s="13" t="s">
        <v>1886</v>
      </c>
      <c r="AM1991" s="14">
        <v>1</v>
      </c>
      <c r="AN1991" s="15" t="s">
        <v>4762</v>
      </c>
    </row>
    <row r="1992" spans="1:40" x14ac:dyDescent="0.3">
      <c r="A1992" s="10" t="str">
        <f>HYPERLINK("http://www.washoecounty.gov/assessor/cama/?parid=026-771-01&amp;CardNumber=1","026-771-01")</f>
        <v>026-771-01</v>
      </c>
      <c r="B1992" t="s">
        <v>4655</v>
      </c>
      <c r="C1992" t="s">
        <v>5348</v>
      </c>
      <c r="D1992" s="1">
        <v>40350</v>
      </c>
      <c r="E1992" s="2">
        <v>43000</v>
      </c>
      <c r="F1992" t="s">
        <v>4553</v>
      </c>
      <c r="G1992" s="17" t="str">
        <f>HYPERLINK("https://www.washoecounty.gov/assessor/cama/?command=sales&amp;parid=02677101","3893783")</f>
        <v>3893783</v>
      </c>
      <c r="H1992" t="s">
        <v>5349</v>
      </c>
      <c r="I1992">
        <v>2005</v>
      </c>
      <c r="J1992">
        <v>2005</v>
      </c>
      <c r="K1992" t="s">
        <v>4897</v>
      </c>
      <c r="L1992" t="s">
        <v>4555</v>
      </c>
      <c r="M1992" s="2">
        <v>654</v>
      </c>
      <c r="N1992" t="s">
        <v>5280</v>
      </c>
      <c r="O1992">
        <v>1</v>
      </c>
      <c r="P1992">
        <v>1</v>
      </c>
      <c r="Q1992">
        <v>0</v>
      </c>
      <c r="R1992" t="s">
        <v>5281</v>
      </c>
      <c r="S1992" t="s">
        <v>4898</v>
      </c>
      <c r="T1992" t="s">
        <v>4559</v>
      </c>
      <c r="U1992" t="s">
        <v>4655</v>
      </c>
      <c r="V1992" s="2">
        <v>0</v>
      </c>
      <c r="W1992" t="s">
        <v>4655</v>
      </c>
      <c r="X1992" s="2">
        <v>0</v>
      </c>
      <c r="Y1992">
        <v>21</v>
      </c>
      <c r="Z1992" t="s">
        <v>564</v>
      </c>
      <c r="AA1992" s="3">
        <v>1.00000004749745E-3</v>
      </c>
      <c r="AB1992" t="s">
        <v>4673</v>
      </c>
      <c r="AC1992" t="s">
        <v>4562</v>
      </c>
      <c r="AD1992" t="s">
        <v>3093</v>
      </c>
      <c r="AE1992" t="s">
        <v>4655</v>
      </c>
      <c r="AF1992" t="s">
        <v>4563</v>
      </c>
      <c r="AG1992" t="s">
        <v>4564</v>
      </c>
      <c r="AH1992">
        <v>89512</v>
      </c>
      <c r="AI1992" t="s">
        <v>4903</v>
      </c>
      <c r="AJ1992" t="s">
        <v>5350</v>
      </c>
      <c r="AK1992" t="s">
        <v>13462</v>
      </c>
      <c r="AL1992" s="13" t="s">
        <v>2257</v>
      </c>
      <c r="AM1992" s="14">
        <v>1</v>
      </c>
      <c r="AN1992" s="15" t="s">
        <v>5351</v>
      </c>
    </row>
    <row r="1993" spans="1:40" x14ac:dyDescent="0.3">
      <c r="A1993" s="10" t="str">
        <f>HYPERLINK("http://www.washoecounty.gov/assessor/cama/?parid=026-771-08&amp;CardNumber=1","026-771-08")</f>
        <v>026-771-08</v>
      </c>
      <c r="B1993" t="s">
        <v>4655</v>
      </c>
      <c r="C1993" t="s">
        <v>5348</v>
      </c>
      <c r="D1993" s="1">
        <v>40410</v>
      </c>
      <c r="E1993" s="2">
        <v>42000</v>
      </c>
      <c r="F1993" t="s">
        <v>4553</v>
      </c>
      <c r="G1993" s="17" t="str">
        <f>HYPERLINK("https://www.washoecounty.gov/assessor/cama/?command=sales&amp;parid=02677108","3914266")</f>
        <v>3914266</v>
      </c>
      <c r="H1993" t="s">
        <v>5349</v>
      </c>
      <c r="I1993">
        <v>2005</v>
      </c>
      <c r="J1993">
        <v>2005</v>
      </c>
      <c r="K1993" t="s">
        <v>4897</v>
      </c>
      <c r="L1993" t="s">
        <v>4555</v>
      </c>
      <c r="M1993" s="2">
        <v>654</v>
      </c>
      <c r="N1993" t="s">
        <v>5280</v>
      </c>
      <c r="O1993">
        <v>1</v>
      </c>
      <c r="P1993">
        <v>1</v>
      </c>
      <c r="Q1993">
        <v>0</v>
      </c>
      <c r="R1993" t="s">
        <v>5281</v>
      </c>
      <c r="S1993" t="s">
        <v>4898</v>
      </c>
      <c r="T1993" t="s">
        <v>4559</v>
      </c>
      <c r="U1993" t="s">
        <v>4655</v>
      </c>
      <c r="V1993" s="2">
        <v>0</v>
      </c>
      <c r="W1993" t="s">
        <v>4655</v>
      </c>
      <c r="X1993" s="2">
        <v>0</v>
      </c>
      <c r="Y1993">
        <v>21</v>
      </c>
      <c r="Z1993" t="s">
        <v>564</v>
      </c>
      <c r="AA1993" s="3">
        <v>1.00000004749745E-3</v>
      </c>
      <c r="AB1993" t="s">
        <v>4673</v>
      </c>
      <c r="AC1993" t="s">
        <v>4562</v>
      </c>
      <c r="AD1993" t="s">
        <v>3093</v>
      </c>
      <c r="AE1993" t="s">
        <v>4655</v>
      </c>
      <c r="AF1993" t="s">
        <v>4563</v>
      </c>
      <c r="AG1993" t="s">
        <v>4564</v>
      </c>
      <c r="AH1993">
        <v>89512</v>
      </c>
      <c r="AI1993" t="s">
        <v>4565</v>
      </c>
      <c r="AJ1993" t="s">
        <v>5350</v>
      </c>
      <c r="AK1993" t="s">
        <v>13463</v>
      </c>
      <c r="AL1993" s="13" t="s">
        <v>2257</v>
      </c>
      <c r="AM1993">
        <v>1</v>
      </c>
      <c r="AN1993" s="15" t="s">
        <v>5351</v>
      </c>
    </row>
    <row r="1994" spans="1:40" x14ac:dyDescent="0.3">
      <c r="A1994" s="10" t="str">
        <f>HYPERLINK("http://www.washoecounty.gov/assessor/cama/?parid=026-772-02&amp;CardNumber=1","026-772-02")</f>
        <v>026-772-02</v>
      </c>
      <c r="B1994" t="s">
        <v>4655</v>
      </c>
      <c r="C1994" t="s">
        <v>5348</v>
      </c>
      <c r="D1994" s="1">
        <v>40324</v>
      </c>
      <c r="E1994" s="2">
        <v>52500</v>
      </c>
      <c r="F1994" t="s">
        <v>4553</v>
      </c>
      <c r="G1994" s="17" t="str">
        <f>HYPERLINK("https://www.washoecounty.gov/assessor/cama/?command=sales&amp;parid=02677202","3885226")</f>
        <v>3885226</v>
      </c>
      <c r="H1994" t="s">
        <v>5349</v>
      </c>
      <c r="I1994">
        <v>2005</v>
      </c>
      <c r="J1994">
        <v>2005</v>
      </c>
      <c r="K1994" t="s">
        <v>4897</v>
      </c>
      <c r="L1994" t="s">
        <v>4555</v>
      </c>
      <c r="M1994" s="2">
        <v>828</v>
      </c>
      <c r="N1994" t="s">
        <v>5280</v>
      </c>
      <c r="O1994">
        <v>2</v>
      </c>
      <c r="P1994">
        <v>1</v>
      </c>
      <c r="Q1994">
        <v>0</v>
      </c>
      <c r="R1994" t="s">
        <v>5281</v>
      </c>
      <c r="S1994" t="s">
        <v>4898</v>
      </c>
      <c r="T1994" t="s">
        <v>4559</v>
      </c>
      <c r="U1994" t="s">
        <v>4655</v>
      </c>
      <c r="V1994" s="2">
        <v>0</v>
      </c>
      <c r="W1994" t="s">
        <v>4655</v>
      </c>
      <c r="X1994" s="2">
        <v>0</v>
      </c>
      <c r="Y1994">
        <v>21</v>
      </c>
      <c r="Z1994" t="s">
        <v>564</v>
      </c>
      <c r="AA1994" s="3">
        <v>1.00000004749745E-3</v>
      </c>
      <c r="AB1994" t="s">
        <v>4673</v>
      </c>
      <c r="AC1994" t="s">
        <v>4562</v>
      </c>
      <c r="AD1994" t="s">
        <v>3093</v>
      </c>
      <c r="AE1994" t="s">
        <v>4655</v>
      </c>
      <c r="AF1994" t="s">
        <v>4563</v>
      </c>
      <c r="AG1994" t="s">
        <v>4564</v>
      </c>
      <c r="AH1994">
        <v>89512</v>
      </c>
      <c r="AI1994" t="s">
        <v>4903</v>
      </c>
      <c r="AJ1994" t="s">
        <v>5350</v>
      </c>
      <c r="AK1994" t="s">
        <v>13464</v>
      </c>
      <c r="AL1994" s="13" t="s">
        <v>2257</v>
      </c>
      <c r="AM1994">
        <v>1</v>
      </c>
      <c r="AN1994" s="15" t="s">
        <v>5351</v>
      </c>
    </row>
    <row r="1995" spans="1:40" x14ac:dyDescent="0.3">
      <c r="A1995" s="10" t="str">
        <f>HYPERLINK("http://www.washoecounty.gov/assessor/cama/?parid=026-772-12&amp;CardNumber=1","026-772-12")</f>
        <v>026-772-12</v>
      </c>
      <c r="B1995" t="s">
        <v>4655</v>
      </c>
      <c r="C1995" t="s">
        <v>5348</v>
      </c>
      <c r="D1995" s="1">
        <v>40326</v>
      </c>
      <c r="E1995" s="2">
        <v>36000</v>
      </c>
      <c r="F1995" t="s">
        <v>4553</v>
      </c>
      <c r="G1995" s="17" t="str">
        <f>HYPERLINK("https://www.washoecounty.gov/assessor/cama/?command=sales&amp;parid=02677212","3886398")</f>
        <v>3886398</v>
      </c>
      <c r="H1995" t="s">
        <v>5349</v>
      </c>
      <c r="I1995">
        <v>2005</v>
      </c>
      <c r="J1995">
        <v>2005</v>
      </c>
      <c r="K1995" t="s">
        <v>4897</v>
      </c>
      <c r="L1995" t="s">
        <v>4555</v>
      </c>
      <c r="M1995" s="2">
        <v>654</v>
      </c>
      <c r="N1995" t="s">
        <v>5280</v>
      </c>
      <c r="O1995">
        <v>1</v>
      </c>
      <c r="P1995">
        <v>1</v>
      </c>
      <c r="Q1995">
        <v>0</v>
      </c>
      <c r="R1995" t="s">
        <v>5281</v>
      </c>
      <c r="S1995" t="s">
        <v>4898</v>
      </c>
      <c r="T1995" t="s">
        <v>4559</v>
      </c>
      <c r="U1995" t="s">
        <v>4655</v>
      </c>
      <c r="V1995" s="2">
        <v>0</v>
      </c>
      <c r="W1995" t="s">
        <v>4655</v>
      </c>
      <c r="X1995" s="2">
        <v>0</v>
      </c>
      <c r="Y1995">
        <v>21</v>
      </c>
      <c r="Z1995" t="s">
        <v>564</v>
      </c>
      <c r="AA1995" s="3">
        <v>1.00000004749745E-3</v>
      </c>
      <c r="AB1995" t="s">
        <v>4673</v>
      </c>
      <c r="AC1995" t="s">
        <v>4562</v>
      </c>
      <c r="AD1995" t="s">
        <v>3093</v>
      </c>
      <c r="AE1995" t="s">
        <v>4655</v>
      </c>
      <c r="AF1995" t="s">
        <v>4563</v>
      </c>
      <c r="AG1995" t="s">
        <v>4564</v>
      </c>
      <c r="AH1995">
        <v>89512</v>
      </c>
      <c r="AI1995" t="s">
        <v>4503</v>
      </c>
      <c r="AJ1995" t="s">
        <v>5350</v>
      </c>
      <c r="AK1995" t="s">
        <v>13465</v>
      </c>
      <c r="AL1995" s="13" t="s">
        <v>2257</v>
      </c>
      <c r="AM1995">
        <v>1</v>
      </c>
      <c r="AN1995" s="15" t="s">
        <v>5351</v>
      </c>
    </row>
    <row r="1996" spans="1:40" x14ac:dyDescent="0.3">
      <c r="A1996" s="10" t="str">
        <f>HYPERLINK("http://www.washoecounty.gov/assessor/cama/?parid=026-772-31&amp;CardNumber=1","026-772-31")</f>
        <v>026-772-31</v>
      </c>
      <c r="B1996" t="s">
        <v>4655</v>
      </c>
      <c r="C1996" t="s">
        <v>5348</v>
      </c>
      <c r="D1996" s="1">
        <v>40494</v>
      </c>
      <c r="E1996" s="2">
        <v>51900</v>
      </c>
      <c r="F1996" t="s">
        <v>4567</v>
      </c>
      <c r="G1996" s="17" t="str">
        <f>HYPERLINK("https://www.washoecounty.gov/assessor/cama/?command=sales&amp;parid=02677231","3942438")</f>
        <v>3942438</v>
      </c>
      <c r="H1996" t="s">
        <v>5349</v>
      </c>
      <c r="I1996">
        <v>2005</v>
      </c>
      <c r="J1996">
        <v>2005</v>
      </c>
      <c r="K1996" t="s">
        <v>4897</v>
      </c>
      <c r="L1996" t="s">
        <v>4555</v>
      </c>
      <c r="M1996" s="2">
        <v>828</v>
      </c>
      <c r="N1996" t="s">
        <v>5280</v>
      </c>
      <c r="O1996">
        <v>2</v>
      </c>
      <c r="P1996">
        <v>1</v>
      </c>
      <c r="Q1996">
        <v>0</v>
      </c>
      <c r="R1996" t="s">
        <v>5281</v>
      </c>
      <c r="S1996" t="s">
        <v>4898</v>
      </c>
      <c r="T1996" t="s">
        <v>4559</v>
      </c>
      <c r="U1996" t="s">
        <v>4655</v>
      </c>
      <c r="V1996" s="2">
        <v>0</v>
      </c>
      <c r="W1996" t="s">
        <v>4655</v>
      </c>
      <c r="X1996" s="2">
        <v>0</v>
      </c>
      <c r="Y1996">
        <v>21</v>
      </c>
      <c r="Z1996" t="s">
        <v>564</v>
      </c>
      <c r="AA1996" s="3">
        <v>1.00000004749745E-3</v>
      </c>
      <c r="AB1996" t="s">
        <v>4673</v>
      </c>
      <c r="AC1996" t="s">
        <v>4562</v>
      </c>
      <c r="AD1996" t="s">
        <v>3093</v>
      </c>
      <c r="AE1996" t="s">
        <v>4655</v>
      </c>
      <c r="AF1996" t="s">
        <v>4563</v>
      </c>
      <c r="AG1996" t="s">
        <v>4564</v>
      </c>
      <c r="AH1996">
        <v>89512</v>
      </c>
      <c r="AI1996" t="s">
        <v>13466</v>
      </c>
      <c r="AJ1996" t="s">
        <v>5350</v>
      </c>
      <c r="AK1996" t="s">
        <v>13467</v>
      </c>
      <c r="AL1996" s="13" t="s">
        <v>2257</v>
      </c>
      <c r="AM1996">
        <v>1</v>
      </c>
      <c r="AN1996" s="15" t="s">
        <v>5351</v>
      </c>
    </row>
    <row r="1997" spans="1:40" x14ac:dyDescent="0.3">
      <c r="A1997" s="10" t="str">
        <f>HYPERLINK("http://www.washoecounty.gov/assessor/cama/?parid=026-772-38&amp;CardNumber=1","026-772-38")</f>
        <v>026-772-38</v>
      </c>
      <c r="B1997" t="s">
        <v>4655</v>
      </c>
      <c r="C1997" t="s">
        <v>5348</v>
      </c>
      <c r="D1997" s="1">
        <v>40296</v>
      </c>
      <c r="E1997" s="2">
        <v>49900</v>
      </c>
      <c r="F1997" t="s">
        <v>4553</v>
      </c>
      <c r="G1997" s="17" t="str">
        <f>HYPERLINK("https://www.washoecounty.gov/assessor/cama/?command=sales&amp;parid=02677238","3875501")</f>
        <v>3875501</v>
      </c>
      <c r="H1997" t="s">
        <v>5349</v>
      </c>
      <c r="I1997">
        <v>2005</v>
      </c>
      <c r="J1997">
        <v>2005</v>
      </c>
      <c r="K1997" t="s">
        <v>4897</v>
      </c>
      <c r="L1997" t="s">
        <v>4555</v>
      </c>
      <c r="M1997" s="2">
        <v>828</v>
      </c>
      <c r="N1997" t="s">
        <v>5280</v>
      </c>
      <c r="O1997">
        <v>2</v>
      </c>
      <c r="P1997">
        <v>1</v>
      </c>
      <c r="Q1997">
        <v>0</v>
      </c>
      <c r="R1997" t="s">
        <v>5281</v>
      </c>
      <c r="S1997" t="s">
        <v>4898</v>
      </c>
      <c r="T1997" t="s">
        <v>4559</v>
      </c>
      <c r="U1997" t="s">
        <v>4655</v>
      </c>
      <c r="V1997" s="2">
        <v>0</v>
      </c>
      <c r="W1997" t="s">
        <v>4655</v>
      </c>
      <c r="X1997" s="2">
        <v>0</v>
      </c>
      <c r="Y1997">
        <v>21</v>
      </c>
      <c r="Z1997" t="s">
        <v>564</v>
      </c>
      <c r="AA1997" s="3">
        <v>1.00000004749745E-3</v>
      </c>
      <c r="AB1997" t="s">
        <v>4673</v>
      </c>
      <c r="AC1997" t="s">
        <v>4562</v>
      </c>
      <c r="AD1997" t="s">
        <v>3093</v>
      </c>
      <c r="AE1997" t="s">
        <v>4655</v>
      </c>
      <c r="AF1997" t="s">
        <v>4563</v>
      </c>
      <c r="AG1997" t="s">
        <v>4564</v>
      </c>
      <c r="AH1997">
        <v>89512</v>
      </c>
      <c r="AI1997" t="s">
        <v>4585</v>
      </c>
      <c r="AJ1997" t="s">
        <v>5350</v>
      </c>
      <c r="AK1997" t="s">
        <v>13468</v>
      </c>
      <c r="AL1997" s="13" t="s">
        <v>2257</v>
      </c>
      <c r="AM1997" s="14">
        <v>1</v>
      </c>
      <c r="AN1997" s="15" t="s">
        <v>5351</v>
      </c>
    </row>
    <row r="1998" spans="1:40" x14ac:dyDescent="0.3">
      <c r="A1998" s="10" t="str">
        <f>HYPERLINK("http://www.washoecounty.gov/assessor/cama/?parid=026-782-14&amp;CardNumber=1","026-782-14")</f>
        <v>026-782-14</v>
      </c>
      <c r="B1998" t="s">
        <v>4655</v>
      </c>
      <c r="C1998" t="s">
        <v>13469</v>
      </c>
      <c r="D1998" s="1">
        <v>40276</v>
      </c>
      <c r="E1998" s="2">
        <v>129000</v>
      </c>
      <c r="F1998" t="s">
        <v>4567</v>
      </c>
      <c r="G1998" s="17" t="str">
        <f>HYPERLINK("https://www.washoecounty.gov/assessor/cama/?command=sales&amp;parid=02678214","3869166")</f>
        <v>3869166</v>
      </c>
      <c r="H1998" t="s">
        <v>4085</v>
      </c>
      <c r="I1998">
        <v>2008</v>
      </c>
      <c r="J1998">
        <v>2008</v>
      </c>
      <c r="K1998" t="s">
        <v>3144</v>
      </c>
      <c r="L1998" t="s">
        <v>3044</v>
      </c>
      <c r="M1998" s="2">
        <v>1476</v>
      </c>
      <c r="N1998" t="s">
        <v>5280</v>
      </c>
      <c r="O1998">
        <v>2</v>
      </c>
      <c r="P1998">
        <v>2</v>
      </c>
      <c r="Q1998">
        <v>0</v>
      </c>
      <c r="R1998" t="s">
        <v>5281</v>
      </c>
      <c r="S1998" t="s">
        <v>4898</v>
      </c>
      <c r="T1998" t="s">
        <v>2704</v>
      </c>
      <c r="U1998" t="s">
        <v>5631</v>
      </c>
      <c r="V1998" s="2">
        <v>524</v>
      </c>
      <c r="W1998" t="s">
        <v>4655</v>
      </c>
      <c r="X1998" s="2">
        <v>0</v>
      </c>
      <c r="Y1998">
        <v>21</v>
      </c>
      <c r="Z1998" t="s">
        <v>1604</v>
      </c>
      <c r="AA1998" s="3">
        <v>1.9467400386929502E-2</v>
      </c>
      <c r="AB1998" t="s">
        <v>13470</v>
      </c>
      <c r="AC1998" t="s">
        <v>4562</v>
      </c>
      <c r="AD1998" t="s">
        <v>13469</v>
      </c>
      <c r="AE1998" t="s">
        <v>4655</v>
      </c>
      <c r="AF1998" t="s">
        <v>5201</v>
      </c>
      <c r="AG1998" t="s">
        <v>4564</v>
      </c>
      <c r="AH1998" t="s">
        <v>5202</v>
      </c>
      <c r="AI1998" t="s">
        <v>4655</v>
      </c>
      <c r="AJ1998" t="s">
        <v>4086</v>
      </c>
      <c r="AK1998" t="s">
        <v>13471</v>
      </c>
      <c r="AL1998" s="13" t="s">
        <v>1886</v>
      </c>
      <c r="AM1998" s="14">
        <v>1</v>
      </c>
      <c r="AN1998" s="15" t="s">
        <v>4087</v>
      </c>
    </row>
    <row r="1999" spans="1:40" x14ac:dyDescent="0.3">
      <c r="A1999" s="10" t="str">
        <f>HYPERLINK("http://www.washoecounty.gov/assessor/cama/?parid=026-782-15&amp;CardNumber=1","026-782-15")</f>
        <v>026-782-15</v>
      </c>
      <c r="B1999" t="s">
        <v>4655</v>
      </c>
      <c r="C1999" t="s">
        <v>13472</v>
      </c>
      <c r="D1999" s="1">
        <v>40367</v>
      </c>
      <c r="E1999" s="2">
        <v>117000</v>
      </c>
      <c r="F1999" t="s">
        <v>4567</v>
      </c>
      <c r="G1999" s="17" t="str">
        <f>HYPERLINK("https://www.washoecounty.gov/assessor/cama/?command=sales&amp;parid=02678215","3899646")</f>
        <v>3899646</v>
      </c>
      <c r="H1999" t="s">
        <v>4085</v>
      </c>
      <c r="I1999">
        <v>2008</v>
      </c>
      <c r="J1999">
        <v>2008</v>
      </c>
      <c r="K1999" t="s">
        <v>3144</v>
      </c>
      <c r="L1999" t="s">
        <v>3044</v>
      </c>
      <c r="M1999" s="2">
        <v>1476</v>
      </c>
      <c r="N1999" t="s">
        <v>5280</v>
      </c>
      <c r="O1999">
        <v>2</v>
      </c>
      <c r="P1999">
        <v>2</v>
      </c>
      <c r="Q1999">
        <v>0</v>
      </c>
      <c r="R1999" t="s">
        <v>5281</v>
      </c>
      <c r="S1999" t="s">
        <v>4898</v>
      </c>
      <c r="T1999" t="s">
        <v>2704</v>
      </c>
      <c r="U1999" t="s">
        <v>5631</v>
      </c>
      <c r="V1999" s="2">
        <v>524</v>
      </c>
      <c r="W1999" t="s">
        <v>4655</v>
      </c>
      <c r="X1999" s="2">
        <v>0</v>
      </c>
      <c r="Y1999">
        <v>21</v>
      </c>
      <c r="Z1999" t="s">
        <v>1604</v>
      </c>
      <c r="AA1999" s="3">
        <v>1.9467400386929502E-2</v>
      </c>
      <c r="AB1999" t="s">
        <v>13473</v>
      </c>
      <c r="AC1999" t="s">
        <v>4562</v>
      </c>
      <c r="AD1999" t="s">
        <v>13472</v>
      </c>
      <c r="AE1999" t="s">
        <v>4655</v>
      </c>
      <c r="AF1999" t="s">
        <v>5201</v>
      </c>
      <c r="AG1999" t="s">
        <v>4564</v>
      </c>
      <c r="AH1999" t="s">
        <v>5202</v>
      </c>
      <c r="AI1999" t="s">
        <v>13474</v>
      </c>
      <c r="AJ1999" t="s">
        <v>4086</v>
      </c>
      <c r="AK1999" t="s">
        <v>13475</v>
      </c>
      <c r="AL1999" s="13" t="s">
        <v>1886</v>
      </c>
      <c r="AM1999">
        <v>1</v>
      </c>
      <c r="AN1999" s="15" t="s">
        <v>4087</v>
      </c>
    </row>
    <row r="2000" spans="1:40" x14ac:dyDescent="0.3">
      <c r="A2000" s="10" t="str">
        <f>HYPERLINK("http://www.washoecounty.gov/assessor/cama/?parid=027-031-12&amp;CardNumber=1","027-031-12")</f>
        <v>027-031-12</v>
      </c>
      <c r="B2000" t="s">
        <v>4655</v>
      </c>
      <c r="C2000" t="s">
        <v>13476</v>
      </c>
      <c r="D2000" s="1">
        <v>40357</v>
      </c>
      <c r="E2000" s="2">
        <v>75000</v>
      </c>
      <c r="F2000" t="s">
        <v>4567</v>
      </c>
      <c r="G2000" s="17" t="str">
        <f>HYPERLINK("https://www.washoecounty.gov/assessor/cama/?command=sales&amp;parid=02703112","3895936")</f>
        <v>3895936</v>
      </c>
      <c r="H2000" t="s">
        <v>1068</v>
      </c>
      <c r="I2000">
        <v>1971</v>
      </c>
      <c r="J2000">
        <v>1971</v>
      </c>
      <c r="K2000" t="s">
        <v>4897</v>
      </c>
      <c r="L2000" t="s">
        <v>4555</v>
      </c>
      <c r="M2000" s="2">
        <v>1044</v>
      </c>
      <c r="N2000" t="s">
        <v>4556</v>
      </c>
      <c r="O2000">
        <v>3</v>
      </c>
      <c r="P2000">
        <v>2</v>
      </c>
      <c r="Q2000">
        <v>0</v>
      </c>
      <c r="R2000" t="s">
        <v>4557</v>
      </c>
      <c r="S2000" t="s">
        <v>4135</v>
      </c>
      <c r="T2000" t="s">
        <v>4899</v>
      </c>
      <c r="U2000" t="s">
        <v>4560</v>
      </c>
      <c r="V2000" s="2">
        <v>288</v>
      </c>
      <c r="W2000" t="s">
        <v>4655</v>
      </c>
      <c r="X2000" s="2">
        <v>0</v>
      </c>
      <c r="Y2000">
        <v>21</v>
      </c>
      <c r="Z2000" t="s">
        <v>4908</v>
      </c>
      <c r="AA2000" s="3">
        <v>1.00000004749745E-3</v>
      </c>
      <c r="AB2000" t="s">
        <v>13477</v>
      </c>
      <c r="AC2000" t="s">
        <v>4562</v>
      </c>
      <c r="AD2000" t="s">
        <v>13478</v>
      </c>
      <c r="AE2000" t="s">
        <v>4655</v>
      </c>
      <c r="AF2000" t="s">
        <v>5201</v>
      </c>
      <c r="AG2000" t="s">
        <v>4564</v>
      </c>
      <c r="AH2000" t="s">
        <v>5202</v>
      </c>
      <c r="AI2000" t="s">
        <v>1069</v>
      </c>
      <c r="AJ2000" t="s">
        <v>4655</v>
      </c>
      <c r="AK2000" t="s">
        <v>13479</v>
      </c>
      <c r="AL2000" s="13" t="s">
        <v>1886</v>
      </c>
      <c r="AM2000" s="14">
        <v>1</v>
      </c>
      <c r="AN2000" s="15" t="s">
        <v>5155</v>
      </c>
    </row>
    <row r="2001" spans="1:40" x14ac:dyDescent="0.3">
      <c r="A2001" s="10" t="str">
        <f>HYPERLINK("http://www.washoecounty.gov/assessor/cama/?parid=027-031-14&amp;CardNumber=1","027-031-14")</f>
        <v>027-031-14</v>
      </c>
      <c r="B2001" t="s">
        <v>4655</v>
      </c>
      <c r="C2001" t="s">
        <v>13480</v>
      </c>
      <c r="D2001" s="1">
        <v>40501</v>
      </c>
      <c r="E2001" s="2">
        <v>46000</v>
      </c>
      <c r="F2001" t="s">
        <v>4567</v>
      </c>
      <c r="G2001" s="17" t="str">
        <f>HYPERLINK("https://www.washoecounty.gov/assessor/cama/?command=sales&amp;parid=02703114","3945287")</f>
        <v>3945287</v>
      </c>
      <c r="H2001" t="s">
        <v>4040</v>
      </c>
      <c r="I2001">
        <v>1971</v>
      </c>
      <c r="J2001">
        <v>1971</v>
      </c>
      <c r="K2001" t="s">
        <v>4897</v>
      </c>
      <c r="L2001" t="s">
        <v>4555</v>
      </c>
      <c r="M2001" s="2">
        <v>1048</v>
      </c>
      <c r="N2001" t="s">
        <v>4556</v>
      </c>
      <c r="O2001">
        <v>3</v>
      </c>
      <c r="P2001">
        <v>2</v>
      </c>
      <c r="Q2001">
        <v>0</v>
      </c>
      <c r="R2001" t="s">
        <v>4557</v>
      </c>
      <c r="S2001" t="s">
        <v>4135</v>
      </c>
      <c r="T2001" t="s">
        <v>4899</v>
      </c>
      <c r="U2001" t="s">
        <v>4560</v>
      </c>
      <c r="V2001" s="2">
        <v>264</v>
      </c>
      <c r="W2001" t="s">
        <v>4655</v>
      </c>
      <c r="X2001" s="2">
        <v>0</v>
      </c>
      <c r="Y2001">
        <v>21</v>
      </c>
      <c r="Z2001" t="s">
        <v>4908</v>
      </c>
      <c r="AA2001" s="3">
        <v>1.00000004749745E-3</v>
      </c>
      <c r="AB2001" t="s">
        <v>13481</v>
      </c>
      <c r="AC2001" t="s">
        <v>4562</v>
      </c>
      <c r="AD2001" t="s">
        <v>13482</v>
      </c>
      <c r="AE2001" t="s">
        <v>4655</v>
      </c>
      <c r="AF2001" t="s">
        <v>13483</v>
      </c>
      <c r="AG2001" t="s">
        <v>4584</v>
      </c>
      <c r="AH2001">
        <v>90640</v>
      </c>
      <c r="AI2001" t="s">
        <v>13484</v>
      </c>
      <c r="AJ2001" t="s">
        <v>4655</v>
      </c>
      <c r="AK2001" t="s">
        <v>13485</v>
      </c>
      <c r="AL2001" s="13" t="s">
        <v>1886</v>
      </c>
      <c r="AM2001">
        <v>1</v>
      </c>
      <c r="AN2001" s="15" t="s">
        <v>5155</v>
      </c>
    </row>
    <row r="2002" spans="1:40" x14ac:dyDescent="0.3">
      <c r="A2002" s="10" t="str">
        <f>HYPERLINK("http://www.washoecounty.gov/assessor/cama/?parid=027-031-16&amp;CardNumber=1","027-031-16")</f>
        <v>027-031-16</v>
      </c>
      <c r="B2002" t="s">
        <v>4655</v>
      </c>
      <c r="C2002" t="s">
        <v>13486</v>
      </c>
      <c r="D2002" s="1">
        <v>40294</v>
      </c>
      <c r="E2002" s="2">
        <v>47000</v>
      </c>
      <c r="F2002" t="s">
        <v>4567</v>
      </c>
      <c r="G2002" s="17" t="str">
        <f>HYPERLINK("https://www.washoecounty.gov/assessor/cama/?command=sales&amp;parid=02703116","3874793")</f>
        <v>3874793</v>
      </c>
      <c r="H2002" t="s">
        <v>13487</v>
      </c>
      <c r="I2002">
        <v>1971</v>
      </c>
      <c r="J2002">
        <v>1971</v>
      </c>
      <c r="K2002" t="s">
        <v>4897</v>
      </c>
      <c r="L2002" t="s">
        <v>4555</v>
      </c>
      <c r="M2002" s="2">
        <v>1040</v>
      </c>
      <c r="N2002" t="s">
        <v>4556</v>
      </c>
      <c r="O2002">
        <v>3</v>
      </c>
      <c r="P2002">
        <v>2</v>
      </c>
      <c r="Q2002">
        <v>0</v>
      </c>
      <c r="R2002" t="s">
        <v>4557</v>
      </c>
      <c r="S2002" t="s">
        <v>4135</v>
      </c>
      <c r="T2002" t="s">
        <v>4899</v>
      </c>
      <c r="U2002" t="s">
        <v>4560</v>
      </c>
      <c r="V2002" s="2">
        <v>240</v>
      </c>
      <c r="W2002" t="s">
        <v>4655</v>
      </c>
      <c r="X2002" s="2">
        <v>0</v>
      </c>
      <c r="Y2002">
        <v>21</v>
      </c>
      <c r="Z2002" t="s">
        <v>4908</v>
      </c>
      <c r="AA2002" s="3">
        <v>1.00000004749745E-3</v>
      </c>
      <c r="AB2002" t="s">
        <v>13488</v>
      </c>
      <c r="AC2002" t="s">
        <v>4575</v>
      </c>
      <c r="AD2002" t="s">
        <v>13486</v>
      </c>
      <c r="AE2002" t="s">
        <v>4655</v>
      </c>
      <c r="AF2002" t="s">
        <v>5201</v>
      </c>
      <c r="AG2002" t="s">
        <v>4564</v>
      </c>
      <c r="AH2002" t="s">
        <v>5202</v>
      </c>
      <c r="AI2002" t="s">
        <v>4655</v>
      </c>
      <c r="AJ2002" t="s">
        <v>4655</v>
      </c>
      <c r="AK2002" t="s">
        <v>13487</v>
      </c>
      <c r="AL2002" s="13" t="s">
        <v>1886</v>
      </c>
      <c r="AM2002">
        <v>1</v>
      </c>
      <c r="AN2002" s="15" t="s">
        <v>5155</v>
      </c>
    </row>
    <row r="2003" spans="1:40" x14ac:dyDescent="0.3">
      <c r="A2003" s="10" t="str">
        <f>HYPERLINK("http://www.washoecounty.gov/assessor/cama/?parid=027-031-16&amp;CardNumber=1","027-031-16")</f>
        <v>027-031-16</v>
      </c>
      <c r="B2003" t="s">
        <v>4655</v>
      </c>
      <c r="C2003" t="s">
        <v>13486</v>
      </c>
      <c r="D2003" s="1">
        <v>40499</v>
      </c>
      <c r="E2003" s="2">
        <v>50000</v>
      </c>
      <c r="F2003" t="s">
        <v>4567</v>
      </c>
      <c r="G2003" s="17" t="str">
        <f>HYPERLINK("https://www.washoecounty.gov/assessor/cama/?command=sales&amp;parid=02703116","3943804")</f>
        <v>3943804</v>
      </c>
      <c r="H2003" t="s">
        <v>13487</v>
      </c>
      <c r="I2003">
        <v>1971</v>
      </c>
      <c r="J2003">
        <v>1971</v>
      </c>
      <c r="K2003" t="s">
        <v>4897</v>
      </c>
      <c r="L2003" t="s">
        <v>4555</v>
      </c>
      <c r="M2003" s="2">
        <v>1040</v>
      </c>
      <c r="N2003" t="s">
        <v>4556</v>
      </c>
      <c r="O2003">
        <v>3</v>
      </c>
      <c r="P2003">
        <v>2</v>
      </c>
      <c r="Q2003">
        <v>0</v>
      </c>
      <c r="R2003" t="s">
        <v>4557</v>
      </c>
      <c r="S2003" t="s">
        <v>4135</v>
      </c>
      <c r="T2003" t="s">
        <v>4899</v>
      </c>
      <c r="U2003" t="s">
        <v>4560</v>
      </c>
      <c r="V2003" s="2">
        <v>240</v>
      </c>
      <c r="W2003" t="s">
        <v>4655</v>
      </c>
      <c r="X2003" s="2">
        <v>0</v>
      </c>
      <c r="Y2003">
        <v>21</v>
      </c>
      <c r="Z2003" t="s">
        <v>4908</v>
      </c>
      <c r="AA2003" s="3">
        <v>1.00000004749745E-3</v>
      </c>
      <c r="AB2003" t="s">
        <v>13488</v>
      </c>
      <c r="AC2003" t="s">
        <v>4575</v>
      </c>
      <c r="AD2003" t="s">
        <v>13486</v>
      </c>
      <c r="AE2003" t="s">
        <v>4655</v>
      </c>
      <c r="AF2003" t="s">
        <v>5201</v>
      </c>
      <c r="AG2003" t="s">
        <v>4564</v>
      </c>
      <c r="AH2003" t="s">
        <v>5202</v>
      </c>
      <c r="AI2003" t="s">
        <v>4655</v>
      </c>
      <c r="AJ2003" t="s">
        <v>4655</v>
      </c>
      <c r="AK2003" t="s">
        <v>13487</v>
      </c>
      <c r="AL2003" s="13" t="s">
        <v>1886</v>
      </c>
      <c r="AM2003">
        <v>1</v>
      </c>
      <c r="AN2003" s="15" t="s">
        <v>5155</v>
      </c>
    </row>
    <row r="2004" spans="1:40" x14ac:dyDescent="0.3">
      <c r="A2004" s="10" t="str">
        <f>HYPERLINK("http://www.washoecounty.gov/assessor/cama/?parid=027-032-04&amp;CardNumber=1","027-032-04")</f>
        <v>027-032-04</v>
      </c>
      <c r="B2004" t="s">
        <v>4655</v>
      </c>
      <c r="C2004" t="s">
        <v>13489</v>
      </c>
      <c r="D2004" s="1">
        <v>40529</v>
      </c>
      <c r="E2004" s="2">
        <v>39000</v>
      </c>
      <c r="F2004" t="s">
        <v>4553</v>
      </c>
      <c r="G2004" s="17" t="str">
        <f>HYPERLINK("https://www.washoecounty.gov/assessor/cama/?command=sales&amp;parid=02703204","3954709")</f>
        <v>3954709</v>
      </c>
      <c r="H2004" t="s">
        <v>13490</v>
      </c>
      <c r="I2004">
        <v>1971</v>
      </c>
      <c r="J2004">
        <v>1971</v>
      </c>
      <c r="K2004" t="s">
        <v>4897</v>
      </c>
      <c r="L2004" t="s">
        <v>4555</v>
      </c>
      <c r="M2004" s="2">
        <v>1040</v>
      </c>
      <c r="N2004" t="s">
        <v>4556</v>
      </c>
      <c r="O2004">
        <v>3</v>
      </c>
      <c r="P2004">
        <v>2</v>
      </c>
      <c r="Q2004">
        <v>0</v>
      </c>
      <c r="R2004" t="s">
        <v>4557</v>
      </c>
      <c r="S2004" t="s">
        <v>4558</v>
      </c>
      <c r="T2004" t="s">
        <v>4899</v>
      </c>
      <c r="U2004" t="s">
        <v>4560</v>
      </c>
      <c r="V2004" s="2">
        <v>240</v>
      </c>
      <c r="W2004" t="s">
        <v>4655</v>
      </c>
      <c r="X2004" s="2">
        <v>0</v>
      </c>
      <c r="Y2004">
        <v>21</v>
      </c>
      <c r="Z2004" t="s">
        <v>4908</v>
      </c>
      <c r="AA2004" s="3">
        <v>1.00000004749745E-3</v>
      </c>
      <c r="AB2004" t="s">
        <v>13491</v>
      </c>
      <c r="AC2004" t="s">
        <v>4562</v>
      </c>
      <c r="AD2004" t="s">
        <v>13492</v>
      </c>
      <c r="AE2004" t="s">
        <v>4655</v>
      </c>
      <c r="AF2004" t="s">
        <v>5201</v>
      </c>
      <c r="AG2004" t="s">
        <v>4564</v>
      </c>
      <c r="AH2004" t="s">
        <v>1605</v>
      </c>
      <c r="AI2004" t="s">
        <v>4655</v>
      </c>
      <c r="AJ2004" t="s">
        <v>4655</v>
      </c>
      <c r="AK2004" t="s">
        <v>13493</v>
      </c>
      <c r="AL2004" s="13" t="s">
        <v>1886</v>
      </c>
      <c r="AM2004" s="14">
        <v>1</v>
      </c>
      <c r="AN2004" s="15" t="s">
        <v>5155</v>
      </c>
    </row>
    <row r="2005" spans="1:40" x14ac:dyDescent="0.3">
      <c r="A2005" s="10" t="str">
        <f>HYPERLINK("http://www.washoecounty.gov/assessor/cama/?parid=027-032-06&amp;CardNumber=1","027-032-06")</f>
        <v>027-032-06</v>
      </c>
      <c r="B2005" t="s">
        <v>4655</v>
      </c>
      <c r="C2005" t="s">
        <v>13494</v>
      </c>
      <c r="D2005" s="1">
        <v>40193</v>
      </c>
      <c r="E2005" s="2">
        <v>52000</v>
      </c>
      <c r="F2005" t="s">
        <v>4567</v>
      </c>
      <c r="G2005" s="17" t="str">
        <f>HYPERLINK("https://www.washoecounty.gov/assessor/cama/?command=sales&amp;parid=02703206","3840268")</f>
        <v>3840268</v>
      </c>
      <c r="H2005" t="s">
        <v>4763</v>
      </c>
      <c r="I2005">
        <v>1971</v>
      </c>
      <c r="J2005">
        <v>1971</v>
      </c>
      <c r="K2005" t="s">
        <v>4897</v>
      </c>
      <c r="L2005" t="s">
        <v>4555</v>
      </c>
      <c r="M2005" s="2">
        <v>1044</v>
      </c>
      <c r="N2005" t="s">
        <v>4556</v>
      </c>
      <c r="O2005">
        <v>3</v>
      </c>
      <c r="P2005">
        <v>2</v>
      </c>
      <c r="Q2005">
        <v>0</v>
      </c>
      <c r="R2005" t="s">
        <v>4557</v>
      </c>
      <c r="S2005" t="s">
        <v>4135</v>
      </c>
      <c r="T2005" t="s">
        <v>4899</v>
      </c>
      <c r="U2005" t="s">
        <v>4560</v>
      </c>
      <c r="V2005" s="2">
        <v>288</v>
      </c>
      <c r="W2005" t="s">
        <v>4655</v>
      </c>
      <c r="X2005" s="2">
        <v>0</v>
      </c>
      <c r="Y2005">
        <v>21</v>
      </c>
      <c r="Z2005" t="s">
        <v>4908</v>
      </c>
      <c r="AA2005" s="3">
        <v>1.00000004749745E-3</v>
      </c>
      <c r="AB2005" t="s">
        <v>13495</v>
      </c>
      <c r="AC2005" t="s">
        <v>4562</v>
      </c>
      <c r="AD2005" t="s">
        <v>13496</v>
      </c>
      <c r="AE2005" t="s">
        <v>4655</v>
      </c>
      <c r="AF2005" t="s">
        <v>13497</v>
      </c>
      <c r="AG2005" t="s">
        <v>4209</v>
      </c>
      <c r="AH2005">
        <v>80016</v>
      </c>
      <c r="AI2005" t="s">
        <v>13498</v>
      </c>
      <c r="AJ2005" t="s">
        <v>4655</v>
      </c>
      <c r="AK2005" t="s">
        <v>13499</v>
      </c>
      <c r="AL2005" s="13" t="s">
        <v>1886</v>
      </c>
      <c r="AM2005">
        <v>1</v>
      </c>
      <c r="AN2005" s="15" t="s">
        <v>5155</v>
      </c>
    </row>
    <row r="2006" spans="1:40" x14ac:dyDescent="0.3">
      <c r="A2006" s="10" t="str">
        <f>HYPERLINK("http://www.washoecounty.gov/assessor/cama/?parid=027-032-07&amp;CardNumber=1","027-032-07")</f>
        <v>027-032-07</v>
      </c>
      <c r="B2006" t="s">
        <v>4655</v>
      </c>
      <c r="C2006" t="s">
        <v>13500</v>
      </c>
      <c r="D2006" s="1">
        <v>40386</v>
      </c>
      <c r="E2006" s="2">
        <v>45500</v>
      </c>
      <c r="F2006" t="s">
        <v>4553</v>
      </c>
      <c r="G2006" s="17" t="str">
        <f>HYPERLINK("https://www.washoecounty.gov/assessor/cama/?command=sales&amp;parid=02703207","3905265")</f>
        <v>3905265</v>
      </c>
      <c r="H2006" t="s">
        <v>1092</v>
      </c>
      <c r="I2006">
        <v>1971</v>
      </c>
      <c r="J2006">
        <v>1971</v>
      </c>
      <c r="K2006" t="s">
        <v>4897</v>
      </c>
      <c r="L2006" t="s">
        <v>4555</v>
      </c>
      <c r="M2006" s="2">
        <v>1048</v>
      </c>
      <c r="N2006" t="s">
        <v>4556</v>
      </c>
      <c r="O2006">
        <v>3</v>
      </c>
      <c r="P2006">
        <v>2</v>
      </c>
      <c r="Q2006">
        <v>0</v>
      </c>
      <c r="R2006" t="s">
        <v>4557</v>
      </c>
      <c r="S2006" t="s">
        <v>4135</v>
      </c>
      <c r="T2006" t="s">
        <v>4899</v>
      </c>
      <c r="U2006" t="s">
        <v>4655</v>
      </c>
      <c r="V2006" s="2">
        <v>0</v>
      </c>
      <c r="W2006" t="s">
        <v>4655</v>
      </c>
      <c r="X2006" s="2">
        <v>0</v>
      </c>
      <c r="Y2006">
        <v>21</v>
      </c>
      <c r="Z2006" t="s">
        <v>4908</v>
      </c>
      <c r="AA2006" s="3">
        <v>1.00000004749745E-3</v>
      </c>
      <c r="AB2006" t="s">
        <v>13501</v>
      </c>
      <c r="AC2006" t="s">
        <v>4562</v>
      </c>
      <c r="AD2006" t="s">
        <v>13502</v>
      </c>
      <c r="AE2006" t="s">
        <v>4655</v>
      </c>
      <c r="AF2006" t="s">
        <v>13503</v>
      </c>
      <c r="AG2006" t="s">
        <v>4331</v>
      </c>
      <c r="AH2006">
        <v>1876</v>
      </c>
      <c r="AI2006" t="s">
        <v>4655</v>
      </c>
      <c r="AJ2006" t="s">
        <v>4655</v>
      </c>
      <c r="AK2006" t="s">
        <v>13504</v>
      </c>
      <c r="AL2006" s="13" t="s">
        <v>1886</v>
      </c>
      <c r="AM2006" s="14">
        <v>1</v>
      </c>
      <c r="AN2006" s="15" t="s">
        <v>5155</v>
      </c>
    </row>
    <row r="2007" spans="1:40" x14ac:dyDescent="0.3">
      <c r="A2007" s="10" t="str">
        <f>HYPERLINK("http://www.washoecounty.gov/assessor/cama/?parid=027-032-18&amp;CardNumber=1","027-032-18")</f>
        <v>027-032-18</v>
      </c>
      <c r="B2007" t="s">
        <v>4655</v>
      </c>
      <c r="C2007" t="s">
        <v>13505</v>
      </c>
      <c r="D2007" s="1">
        <v>40459</v>
      </c>
      <c r="E2007" s="2">
        <v>47000</v>
      </c>
      <c r="F2007" t="s">
        <v>4567</v>
      </c>
      <c r="G2007" s="17" t="str">
        <f>HYPERLINK("https://www.washoecounty.gov/assessor/cama/?command=sales&amp;parid=02703218","3931049")</f>
        <v>3931049</v>
      </c>
      <c r="H2007" t="s">
        <v>13506</v>
      </c>
      <c r="I2007">
        <v>1971</v>
      </c>
      <c r="J2007">
        <v>1971</v>
      </c>
      <c r="K2007" t="s">
        <v>4897</v>
      </c>
      <c r="L2007" t="s">
        <v>4555</v>
      </c>
      <c r="M2007" s="2">
        <v>1044</v>
      </c>
      <c r="N2007" t="s">
        <v>4556</v>
      </c>
      <c r="O2007">
        <v>3</v>
      </c>
      <c r="P2007">
        <v>2</v>
      </c>
      <c r="Q2007">
        <v>0</v>
      </c>
      <c r="R2007" t="s">
        <v>4557</v>
      </c>
      <c r="S2007" t="s">
        <v>4558</v>
      </c>
      <c r="T2007" t="s">
        <v>4899</v>
      </c>
      <c r="U2007" t="s">
        <v>4560</v>
      </c>
      <c r="V2007" s="2">
        <v>288</v>
      </c>
      <c r="W2007" t="s">
        <v>4655</v>
      </c>
      <c r="X2007" s="2">
        <v>0</v>
      </c>
      <c r="Y2007">
        <v>21</v>
      </c>
      <c r="Z2007" t="s">
        <v>4908</v>
      </c>
      <c r="AA2007" s="3">
        <v>1.00000004749745E-3</v>
      </c>
      <c r="AB2007" t="s">
        <v>13507</v>
      </c>
      <c r="AC2007" t="s">
        <v>4562</v>
      </c>
      <c r="AD2007" t="s">
        <v>13508</v>
      </c>
      <c r="AE2007" t="s">
        <v>4655</v>
      </c>
      <c r="AF2007" t="s">
        <v>1600</v>
      </c>
      <c r="AG2007" t="s">
        <v>4564</v>
      </c>
      <c r="AH2007" t="s">
        <v>1601</v>
      </c>
      <c r="AI2007" t="s">
        <v>1742</v>
      </c>
      <c r="AJ2007" t="s">
        <v>4655</v>
      </c>
      <c r="AK2007" t="s">
        <v>13509</v>
      </c>
      <c r="AL2007" s="13" t="s">
        <v>1886</v>
      </c>
      <c r="AM2007">
        <v>1</v>
      </c>
      <c r="AN2007" s="15" t="s">
        <v>5155</v>
      </c>
    </row>
    <row r="2008" spans="1:40" x14ac:dyDescent="0.3">
      <c r="A2008" s="10" t="str">
        <f>HYPERLINK("http://www.washoecounty.gov/assessor/cama/?parid=027-033-13&amp;CardNumber=1","027-033-13")</f>
        <v>027-033-13</v>
      </c>
      <c r="B2008" t="s">
        <v>4655</v>
      </c>
      <c r="C2008" t="s">
        <v>13510</v>
      </c>
      <c r="D2008" s="1">
        <v>40505</v>
      </c>
      <c r="E2008" s="2">
        <v>38000</v>
      </c>
      <c r="F2008" t="s">
        <v>4553</v>
      </c>
      <c r="G2008" s="17" t="str">
        <f>HYPERLINK("https://www.washoecounty.gov/assessor/cama/?command=sales&amp;parid=02703313","3946307")</f>
        <v>3946307</v>
      </c>
      <c r="H2008" t="s">
        <v>1068</v>
      </c>
      <c r="I2008">
        <v>1971</v>
      </c>
      <c r="J2008">
        <v>1971</v>
      </c>
      <c r="K2008" t="s">
        <v>4897</v>
      </c>
      <c r="L2008" t="s">
        <v>4555</v>
      </c>
      <c r="M2008" s="2">
        <v>1044</v>
      </c>
      <c r="N2008" t="s">
        <v>4556</v>
      </c>
      <c r="O2008">
        <v>3</v>
      </c>
      <c r="P2008">
        <v>2</v>
      </c>
      <c r="Q2008">
        <v>0</v>
      </c>
      <c r="R2008" t="s">
        <v>4557</v>
      </c>
      <c r="S2008" t="s">
        <v>4558</v>
      </c>
      <c r="T2008" t="s">
        <v>4899</v>
      </c>
      <c r="U2008" t="s">
        <v>4560</v>
      </c>
      <c r="V2008" s="2">
        <v>288</v>
      </c>
      <c r="W2008" t="s">
        <v>4655</v>
      </c>
      <c r="X2008" s="2">
        <v>0</v>
      </c>
      <c r="Y2008">
        <v>21</v>
      </c>
      <c r="Z2008" t="s">
        <v>4908</v>
      </c>
      <c r="AA2008" s="3">
        <v>1.00000004749745E-3</v>
      </c>
      <c r="AB2008" t="s">
        <v>13511</v>
      </c>
      <c r="AC2008" t="s">
        <v>4562</v>
      </c>
      <c r="AD2008" t="s">
        <v>13512</v>
      </c>
      <c r="AE2008" t="s">
        <v>4655</v>
      </c>
      <c r="AF2008" t="s">
        <v>13513</v>
      </c>
      <c r="AG2008" t="s">
        <v>1539</v>
      </c>
      <c r="AH2008" t="s">
        <v>3065</v>
      </c>
      <c r="AI2008" t="s">
        <v>4903</v>
      </c>
      <c r="AJ2008" t="s">
        <v>4655</v>
      </c>
      <c r="AK2008" t="s">
        <v>13514</v>
      </c>
      <c r="AL2008" s="13" t="s">
        <v>1886</v>
      </c>
      <c r="AM2008" s="14">
        <v>1</v>
      </c>
      <c r="AN2008" s="15" t="s">
        <v>5155</v>
      </c>
    </row>
    <row r="2009" spans="1:40" x14ac:dyDescent="0.3">
      <c r="A2009" s="10" t="str">
        <f>HYPERLINK("http://www.washoecounty.gov/assessor/cama/?parid=027-033-33&amp;CardNumber=1","027-033-33")</f>
        <v>027-033-33</v>
      </c>
      <c r="B2009" t="s">
        <v>4655</v>
      </c>
      <c r="C2009" t="s">
        <v>13515</v>
      </c>
      <c r="D2009" s="1">
        <v>40193</v>
      </c>
      <c r="E2009" s="2">
        <v>88000</v>
      </c>
      <c r="F2009" t="s">
        <v>4567</v>
      </c>
      <c r="G2009" s="17" t="str">
        <f>HYPERLINK("https://www.washoecounty.gov/assessor/cama/?command=sales&amp;parid=02703333","3840265")</f>
        <v>3840265</v>
      </c>
      <c r="H2009" t="s">
        <v>13516</v>
      </c>
      <c r="I2009">
        <v>1971</v>
      </c>
      <c r="J2009">
        <v>1971</v>
      </c>
      <c r="K2009" t="s">
        <v>4897</v>
      </c>
      <c r="L2009" t="s">
        <v>4555</v>
      </c>
      <c r="M2009" s="2">
        <v>1048</v>
      </c>
      <c r="N2009" t="s">
        <v>4556</v>
      </c>
      <c r="O2009">
        <v>3</v>
      </c>
      <c r="P2009">
        <v>2</v>
      </c>
      <c r="Q2009">
        <v>0</v>
      </c>
      <c r="R2009" t="s">
        <v>4557</v>
      </c>
      <c r="S2009" t="s">
        <v>4558</v>
      </c>
      <c r="T2009" t="s">
        <v>4899</v>
      </c>
      <c r="U2009" t="s">
        <v>4655</v>
      </c>
      <c r="V2009" s="2">
        <v>0</v>
      </c>
      <c r="W2009" t="s">
        <v>4655</v>
      </c>
      <c r="X2009" s="2">
        <v>0</v>
      </c>
      <c r="Y2009">
        <v>21</v>
      </c>
      <c r="Z2009" t="s">
        <v>4908</v>
      </c>
      <c r="AA2009" s="3">
        <v>1.00000004749745E-3</v>
      </c>
      <c r="AB2009" t="s">
        <v>13517</v>
      </c>
      <c r="AC2009" t="s">
        <v>4562</v>
      </c>
      <c r="AD2009" t="s">
        <v>13515</v>
      </c>
      <c r="AE2009" t="s">
        <v>4655</v>
      </c>
      <c r="AF2009" t="s">
        <v>5201</v>
      </c>
      <c r="AG2009" t="s">
        <v>4564</v>
      </c>
      <c r="AH2009" t="s">
        <v>5202</v>
      </c>
      <c r="AI2009" t="s">
        <v>13518</v>
      </c>
      <c r="AJ2009" t="s">
        <v>4655</v>
      </c>
      <c r="AK2009" t="s">
        <v>13519</v>
      </c>
      <c r="AL2009" s="13" t="s">
        <v>1886</v>
      </c>
      <c r="AM2009">
        <v>1</v>
      </c>
      <c r="AN2009" s="15" t="s">
        <v>5155</v>
      </c>
    </row>
    <row r="2010" spans="1:40" x14ac:dyDescent="0.3">
      <c r="A2010" s="10" t="str">
        <f>HYPERLINK("http://www.washoecounty.gov/assessor/cama/?parid=027-034-20&amp;CardNumber=1","027-034-20")</f>
        <v>027-034-20</v>
      </c>
      <c r="B2010" t="s">
        <v>4655</v>
      </c>
      <c r="C2010" t="s">
        <v>13520</v>
      </c>
      <c r="D2010" s="1">
        <v>40428</v>
      </c>
      <c r="E2010" s="2">
        <v>47500</v>
      </c>
      <c r="F2010" t="s">
        <v>4553</v>
      </c>
      <c r="G2010" s="17" t="str">
        <f>HYPERLINK("https://www.washoecounty.gov/assessor/cama/?command=sales&amp;parid=02703420","3919177")</f>
        <v>3919177</v>
      </c>
      <c r="H2010" t="s">
        <v>1068</v>
      </c>
      <c r="I2010">
        <v>1971</v>
      </c>
      <c r="J2010">
        <v>1971</v>
      </c>
      <c r="K2010" t="s">
        <v>4897</v>
      </c>
      <c r="L2010" t="s">
        <v>4555</v>
      </c>
      <c r="M2010" s="2">
        <v>1044</v>
      </c>
      <c r="N2010" t="s">
        <v>4556</v>
      </c>
      <c r="O2010">
        <v>3</v>
      </c>
      <c r="P2010">
        <v>2</v>
      </c>
      <c r="Q2010">
        <v>0</v>
      </c>
      <c r="R2010" t="s">
        <v>4557</v>
      </c>
      <c r="S2010" t="s">
        <v>4135</v>
      </c>
      <c r="T2010" t="s">
        <v>4899</v>
      </c>
      <c r="U2010" t="s">
        <v>4560</v>
      </c>
      <c r="V2010" s="2">
        <v>288</v>
      </c>
      <c r="W2010" t="s">
        <v>4655</v>
      </c>
      <c r="X2010" s="2">
        <v>0</v>
      </c>
      <c r="Y2010">
        <v>21</v>
      </c>
      <c r="Z2010" t="s">
        <v>4908</v>
      </c>
      <c r="AA2010" s="3">
        <v>1.00000004749745E-3</v>
      </c>
      <c r="AB2010" t="s">
        <v>5098</v>
      </c>
      <c r="AC2010" t="s">
        <v>4562</v>
      </c>
      <c r="AD2010" t="s">
        <v>13521</v>
      </c>
      <c r="AE2010" t="s">
        <v>4655</v>
      </c>
      <c r="AF2010" t="s">
        <v>4563</v>
      </c>
      <c r="AG2010" t="s">
        <v>4564</v>
      </c>
      <c r="AH2010">
        <v>89503</v>
      </c>
      <c r="AI2010" t="s">
        <v>4503</v>
      </c>
      <c r="AJ2010" t="s">
        <v>4655</v>
      </c>
      <c r="AK2010" t="s">
        <v>13522</v>
      </c>
      <c r="AL2010" s="13" t="s">
        <v>1886</v>
      </c>
      <c r="AM2010" s="14">
        <v>1</v>
      </c>
      <c r="AN2010" s="15" t="s">
        <v>5155</v>
      </c>
    </row>
    <row r="2011" spans="1:40" x14ac:dyDescent="0.3">
      <c r="A2011" s="10" t="str">
        <f>HYPERLINK("http://www.washoecounty.gov/assessor/cama/?parid=027-034-32&amp;CardNumber=1","027-034-32")</f>
        <v>027-034-32</v>
      </c>
      <c r="B2011" t="s">
        <v>4655</v>
      </c>
      <c r="C2011" t="s">
        <v>13523</v>
      </c>
      <c r="D2011" s="1">
        <v>40451</v>
      </c>
      <c r="E2011" s="2">
        <v>66500</v>
      </c>
      <c r="F2011" t="s">
        <v>4553</v>
      </c>
      <c r="G2011" s="17" t="str">
        <f>HYPERLINK("https://www.washoecounty.gov/assessor/cama/?command=sales&amp;parid=02703432","3928416")</f>
        <v>3928416</v>
      </c>
      <c r="H2011" t="s">
        <v>13524</v>
      </c>
      <c r="I2011">
        <v>1971</v>
      </c>
      <c r="J2011">
        <v>1971</v>
      </c>
      <c r="K2011" t="s">
        <v>4897</v>
      </c>
      <c r="L2011" t="s">
        <v>4555</v>
      </c>
      <c r="M2011" s="2">
        <v>1044</v>
      </c>
      <c r="N2011" t="s">
        <v>4556</v>
      </c>
      <c r="O2011">
        <v>3</v>
      </c>
      <c r="P2011">
        <v>2</v>
      </c>
      <c r="Q2011">
        <v>0</v>
      </c>
      <c r="R2011" t="s">
        <v>4557</v>
      </c>
      <c r="S2011" t="s">
        <v>4135</v>
      </c>
      <c r="T2011" t="s">
        <v>4899</v>
      </c>
      <c r="U2011" t="s">
        <v>4655</v>
      </c>
      <c r="V2011" s="2">
        <v>0</v>
      </c>
      <c r="W2011" t="s">
        <v>4655</v>
      </c>
      <c r="X2011" s="2">
        <v>0</v>
      </c>
      <c r="Y2011">
        <v>21</v>
      </c>
      <c r="Z2011" t="s">
        <v>4908</v>
      </c>
      <c r="AA2011" s="3">
        <v>1.00000004749745E-3</v>
      </c>
      <c r="AB2011" t="s">
        <v>13525</v>
      </c>
      <c r="AC2011" t="s">
        <v>4575</v>
      </c>
      <c r="AD2011" t="s">
        <v>13526</v>
      </c>
      <c r="AE2011" t="s">
        <v>4655</v>
      </c>
      <c r="AF2011" t="s">
        <v>4809</v>
      </c>
      <c r="AG2011" t="s">
        <v>4564</v>
      </c>
      <c r="AH2011" t="s">
        <v>5202</v>
      </c>
      <c r="AI2011" t="s">
        <v>4655</v>
      </c>
      <c r="AJ2011" t="s">
        <v>4655</v>
      </c>
      <c r="AK2011" t="s">
        <v>13527</v>
      </c>
      <c r="AL2011" s="13" t="s">
        <v>1886</v>
      </c>
      <c r="AM2011">
        <v>1</v>
      </c>
      <c r="AN2011" s="15" t="s">
        <v>5155</v>
      </c>
    </row>
    <row r="2012" spans="1:40" x14ac:dyDescent="0.3">
      <c r="A2012" s="10" t="str">
        <f>HYPERLINK("http://www.washoecounty.gov/assessor/cama/?parid=027-041-14&amp;CardNumber=1","027-041-14")</f>
        <v>027-041-14</v>
      </c>
      <c r="B2012" t="s">
        <v>4655</v>
      </c>
      <c r="C2012" t="s">
        <v>4287</v>
      </c>
      <c r="D2012" s="1">
        <v>40280</v>
      </c>
      <c r="E2012" s="2">
        <v>75000</v>
      </c>
      <c r="F2012" t="s">
        <v>4567</v>
      </c>
      <c r="G2012" s="17" t="str">
        <f>HYPERLINK("https://www.washoecounty.gov/assessor/cama/?command=sales&amp;parid=02704114","3869846")</f>
        <v>3869846</v>
      </c>
      <c r="H2012" t="s">
        <v>4288</v>
      </c>
      <c r="I2012">
        <v>1950</v>
      </c>
      <c r="J2012">
        <v>1950</v>
      </c>
      <c r="K2012" t="s">
        <v>4554</v>
      </c>
      <c r="L2012" t="s">
        <v>4555</v>
      </c>
      <c r="M2012" s="2">
        <v>1486</v>
      </c>
      <c r="N2012" t="s">
        <v>4556</v>
      </c>
      <c r="O2012">
        <v>3</v>
      </c>
      <c r="P2012">
        <v>2</v>
      </c>
      <c r="Q2012">
        <v>0</v>
      </c>
      <c r="R2012" t="s">
        <v>5281</v>
      </c>
      <c r="S2012" t="s">
        <v>4558</v>
      </c>
      <c r="T2012" t="s">
        <v>4559</v>
      </c>
      <c r="U2012" t="s">
        <v>4655</v>
      </c>
      <c r="V2012" s="2">
        <v>0</v>
      </c>
      <c r="W2012" t="s">
        <v>3149</v>
      </c>
      <c r="X2012" s="2">
        <v>180</v>
      </c>
      <c r="Y2012">
        <v>20</v>
      </c>
      <c r="Z2012" t="s">
        <v>1687</v>
      </c>
      <c r="AA2012" s="3">
        <v>0.32196968793869019</v>
      </c>
      <c r="AB2012" t="s">
        <v>5682</v>
      </c>
      <c r="AC2012" t="s">
        <v>4562</v>
      </c>
      <c r="AD2012" t="s">
        <v>5683</v>
      </c>
      <c r="AE2012" t="s">
        <v>4655</v>
      </c>
      <c r="AF2012" t="s">
        <v>5201</v>
      </c>
      <c r="AG2012" t="s">
        <v>4564</v>
      </c>
      <c r="AH2012" t="s">
        <v>5202</v>
      </c>
      <c r="AI2012" t="s">
        <v>2756</v>
      </c>
      <c r="AJ2012" t="s">
        <v>4294</v>
      </c>
      <c r="AK2012" t="s">
        <v>13528</v>
      </c>
      <c r="AL2012" s="13" t="s">
        <v>3425</v>
      </c>
      <c r="AM2012">
        <v>1</v>
      </c>
      <c r="AN2012" s="15" t="s">
        <v>4533</v>
      </c>
    </row>
    <row r="2013" spans="1:40" x14ac:dyDescent="0.3">
      <c r="A2013" s="10" t="str">
        <f>HYPERLINK("http://www.washoecounty.gov/assessor/cama/?parid=027-061-04&amp;CardNumber=1","027-061-04")</f>
        <v>027-061-04</v>
      </c>
      <c r="B2013" t="s">
        <v>4655</v>
      </c>
      <c r="C2013" t="s">
        <v>13529</v>
      </c>
      <c r="D2013" s="1">
        <v>40354</v>
      </c>
      <c r="E2013" s="2">
        <v>157000</v>
      </c>
      <c r="F2013" t="s">
        <v>4553</v>
      </c>
      <c r="G2013" s="17" t="str">
        <f>HYPERLINK("https://www.washoecounty.gov/assessor/cama/?command=sales&amp;parid=02706104","3895579")</f>
        <v>3895579</v>
      </c>
      <c r="H2013" t="s">
        <v>4655</v>
      </c>
      <c r="I2013">
        <v>1963</v>
      </c>
      <c r="J2013">
        <v>1963</v>
      </c>
      <c r="K2013" t="s">
        <v>4554</v>
      </c>
      <c r="L2013" t="s">
        <v>4555</v>
      </c>
      <c r="M2013" s="2">
        <v>2820</v>
      </c>
      <c r="N2013" t="s">
        <v>3887</v>
      </c>
      <c r="O2013">
        <v>4</v>
      </c>
      <c r="P2013">
        <v>4</v>
      </c>
      <c r="Q2013">
        <v>0</v>
      </c>
      <c r="R2013" t="s">
        <v>4557</v>
      </c>
      <c r="S2013" t="s">
        <v>4135</v>
      </c>
      <c r="T2013" t="s">
        <v>4559</v>
      </c>
      <c r="U2013" t="s">
        <v>4560</v>
      </c>
      <c r="V2013" s="2">
        <v>816</v>
      </c>
      <c r="W2013" t="s">
        <v>4655</v>
      </c>
      <c r="X2013" s="2">
        <v>0</v>
      </c>
      <c r="Y2013">
        <v>20</v>
      </c>
      <c r="Z2013" t="s">
        <v>3700</v>
      </c>
      <c r="AA2013" s="3">
        <v>0.971000015735626</v>
      </c>
      <c r="AB2013" t="s">
        <v>1070</v>
      </c>
      <c r="AC2013" t="s">
        <v>4562</v>
      </c>
      <c r="AD2013" t="s">
        <v>1912</v>
      </c>
      <c r="AE2013" t="s">
        <v>4655</v>
      </c>
      <c r="AF2013" t="s">
        <v>4563</v>
      </c>
      <c r="AG2013" t="s">
        <v>4564</v>
      </c>
      <c r="AH2013">
        <v>89511</v>
      </c>
      <c r="AI2013" t="s">
        <v>13530</v>
      </c>
      <c r="AJ2013" t="s">
        <v>4655</v>
      </c>
      <c r="AK2013" t="s">
        <v>13531</v>
      </c>
      <c r="AL2013" s="13" t="s">
        <v>1889</v>
      </c>
      <c r="AM2013" s="14">
        <v>1</v>
      </c>
      <c r="AN2013" s="15" t="s">
        <v>4533</v>
      </c>
    </row>
    <row r="2014" spans="1:40" x14ac:dyDescent="0.3">
      <c r="A2014" s="10" t="str">
        <f>HYPERLINK("http://www.washoecounty.gov/assessor/cama/?parid=027-071-02&amp;CardNumber=1","027-071-02")</f>
        <v>027-071-02</v>
      </c>
      <c r="B2014" t="s">
        <v>4655</v>
      </c>
      <c r="C2014" t="s">
        <v>13532</v>
      </c>
      <c r="D2014" s="1">
        <v>40260</v>
      </c>
      <c r="E2014" s="2">
        <v>48000</v>
      </c>
      <c r="F2014" t="s">
        <v>4553</v>
      </c>
      <c r="G2014" s="17" t="str">
        <f>HYPERLINK("https://www.washoecounty.gov/assessor/cama/?command=sales&amp;parid=02707102","3862893")</f>
        <v>3862893</v>
      </c>
      <c r="H2014" t="s">
        <v>1552</v>
      </c>
      <c r="I2014">
        <v>1972</v>
      </c>
      <c r="J2014">
        <v>1972</v>
      </c>
      <c r="K2014" t="s">
        <v>4897</v>
      </c>
      <c r="L2014" t="s">
        <v>3974</v>
      </c>
      <c r="M2014" s="2">
        <v>1247</v>
      </c>
      <c r="N2014" t="s">
        <v>4048</v>
      </c>
      <c r="O2014">
        <v>3</v>
      </c>
      <c r="P2014">
        <v>1</v>
      </c>
      <c r="Q2014">
        <v>1</v>
      </c>
      <c r="R2014" t="s">
        <v>4557</v>
      </c>
      <c r="S2014" t="s">
        <v>4558</v>
      </c>
      <c r="T2014" t="s">
        <v>4559</v>
      </c>
      <c r="U2014" t="s">
        <v>5631</v>
      </c>
      <c r="V2014" s="2">
        <v>380</v>
      </c>
      <c r="W2014" t="s">
        <v>4655</v>
      </c>
      <c r="X2014" s="2">
        <v>0</v>
      </c>
      <c r="Y2014">
        <v>21</v>
      </c>
      <c r="Z2014" t="s">
        <v>5196</v>
      </c>
      <c r="AA2014" s="3">
        <v>1.00000004749745E-3</v>
      </c>
      <c r="AB2014" t="s">
        <v>13533</v>
      </c>
      <c r="AC2014" t="s">
        <v>4575</v>
      </c>
      <c r="AD2014" t="s">
        <v>13534</v>
      </c>
      <c r="AE2014" t="s">
        <v>13532</v>
      </c>
      <c r="AF2014" t="s">
        <v>5201</v>
      </c>
      <c r="AG2014" t="s">
        <v>4564</v>
      </c>
      <c r="AH2014" t="s">
        <v>5202</v>
      </c>
      <c r="AI2014" t="s">
        <v>13535</v>
      </c>
      <c r="AJ2014" t="s">
        <v>4655</v>
      </c>
      <c r="AK2014" t="s">
        <v>13536</v>
      </c>
      <c r="AL2014" s="13" t="s">
        <v>1886</v>
      </c>
      <c r="AM2014" s="14">
        <v>1</v>
      </c>
      <c r="AN2014" s="15" t="s">
        <v>1553</v>
      </c>
    </row>
    <row r="2015" spans="1:40" x14ac:dyDescent="0.3">
      <c r="A2015" s="10" t="str">
        <f>HYPERLINK("http://www.washoecounty.gov/assessor/cama/?parid=027-071-02&amp;CardNumber=1","027-071-02")</f>
        <v>027-071-02</v>
      </c>
      <c r="B2015" t="s">
        <v>4655</v>
      </c>
      <c r="C2015" t="s">
        <v>13532</v>
      </c>
      <c r="D2015" s="1">
        <v>40346</v>
      </c>
      <c r="E2015" s="2">
        <v>79000</v>
      </c>
      <c r="F2015" t="s">
        <v>4567</v>
      </c>
      <c r="G2015" s="17" t="str">
        <f>HYPERLINK("https://www.washoecounty.gov/assessor/cama/?command=sales&amp;parid=02707102","3893117")</f>
        <v>3893117</v>
      </c>
      <c r="H2015" t="s">
        <v>1552</v>
      </c>
      <c r="I2015">
        <v>1972</v>
      </c>
      <c r="J2015">
        <v>1972</v>
      </c>
      <c r="K2015" t="s">
        <v>4897</v>
      </c>
      <c r="L2015" t="s">
        <v>3974</v>
      </c>
      <c r="M2015" s="2">
        <v>1247</v>
      </c>
      <c r="N2015" t="s">
        <v>4048</v>
      </c>
      <c r="O2015">
        <v>3</v>
      </c>
      <c r="P2015">
        <v>1</v>
      </c>
      <c r="Q2015">
        <v>1</v>
      </c>
      <c r="R2015" t="s">
        <v>4557</v>
      </c>
      <c r="S2015" t="s">
        <v>4558</v>
      </c>
      <c r="T2015" t="s">
        <v>4559</v>
      </c>
      <c r="U2015" t="s">
        <v>5631</v>
      </c>
      <c r="V2015" s="2">
        <v>380</v>
      </c>
      <c r="W2015" t="s">
        <v>4655</v>
      </c>
      <c r="X2015" s="2">
        <v>0</v>
      </c>
      <c r="Y2015">
        <v>21</v>
      </c>
      <c r="Z2015" t="s">
        <v>5196</v>
      </c>
      <c r="AA2015" s="3">
        <v>1.00000004749745E-3</v>
      </c>
      <c r="AB2015" t="s">
        <v>13533</v>
      </c>
      <c r="AC2015" t="s">
        <v>4575</v>
      </c>
      <c r="AD2015" t="s">
        <v>13534</v>
      </c>
      <c r="AE2015" t="s">
        <v>13532</v>
      </c>
      <c r="AF2015" t="s">
        <v>5201</v>
      </c>
      <c r="AG2015" t="s">
        <v>4564</v>
      </c>
      <c r="AH2015" t="s">
        <v>5202</v>
      </c>
      <c r="AI2015" t="s">
        <v>13535</v>
      </c>
      <c r="AJ2015" t="s">
        <v>4655</v>
      </c>
      <c r="AK2015" t="s">
        <v>13536</v>
      </c>
      <c r="AL2015" s="13" t="s">
        <v>1886</v>
      </c>
      <c r="AM2015">
        <v>1</v>
      </c>
      <c r="AN2015" s="15" t="s">
        <v>1553</v>
      </c>
    </row>
    <row r="2016" spans="1:40" x14ac:dyDescent="0.3">
      <c r="A2016" s="10" t="str">
        <f>HYPERLINK("http://www.washoecounty.gov/assessor/cama/?parid=027-071-05&amp;CardNumber=1","027-071-05")</f>
        <v>027-071-05</v>
      </c>
      <c r="B2016" t="s">
        <v>4655</v>
      </c>
      <c r="C2016" t="s">
        <v>13537</v>
      </c>
      <c r="D2016" s="1">
        <v>40466</v>
      </c>
      <c r="E2016" s="2">
        <v>56000</v>
      </c>
      <c r="F2016" t="s">
        <v>4567</v>
      </c>
      <c r="G2016" s="17" t="str">
        <f>HYPERLINK("https://www.washoecounty.gov/assessor/cama/?command=sales&amp;parid=02707105","3933565")</f>
        <v>3933565</v>
      </c>
      <c r="H2016" t="s">
        <v>1552</v>
      </c>
      <c r="I2016">
        <v>1972</v>
      </c>
      <c r="J2016">
        <v>1972</v>
      </c>
      <c r="K2016" t="s">
        <v>4897</v>
      </c>
      <c r="L2016" t="s">
        <v>3974</v>
      </c>
      <c r="M2016" s="2">
        <v>1187</v>
      </c>
      <c r="N2016" t="s">
        <v>4048</v>
      </c>
      <c r="O2016">
        <v>3</v>
      </c>
      <c r="P2016">
        <v>1</v>
      </c>
      <c r="Q2016">
        <v>1</v>
      </c>
      <c r="R2016" t="s">
        <v>5281</v>
      </c>
      <c r="S2016" t="s">
        <v>4558</v>
      </c>
      <c r="T2016" t="s">
        <v>4559</v>
      </c>
      <c r="U2016" t="s">
        <v>5631</v>
      </c>
      <c r="V2016" s="2">
        <v>380</v>
      </c>
      <c r="W2016" t="s">
        <v>4655</v>
      </c>
      <c r="X2016" s="2">
        <v>0</v>
      </c>
      <c r="Y2016">
        <v>21</v>
      </c>
      <c r="Z2016" t="s">
        <v>5196</v>
      </c>
      <c r="AA2016" s="3">
        <v>1.00000004749745E-3</v>
      </c>
      <c r="AB2016" t="s">
        <v>13538</v>
      </c>
      <c r="AC2016" t="s">
        <v>4562</v>
      </c>
      <c r="AD2016" t="s">
        <v>13539</v>
      </c>
      <c r="AE2016" t="s">
        <v>4655</v>
      </c>
      <c r="AF2016" t="s">
        <v>5201</v>
      </c>
      <c r="AG2016" t="s">
        <v>4564</v>
      </c>
      <c r="AH2016" t="s">
        <v>5202</v>
      </c>
      <c r="AI2016" t="s">
        <v>4655</v>
      </c>
      <c r="AJ2016" t="s">
        <v>4655</v>
      </c>
      <c r="AK2016" t="s">
        <v>13540</v>
      </c>
      <c r="AL2016" s="13" t="s">
        <v>1886</v>
      </c>
      <c r="AM2016" s="14">
        <v>1</v>
      </c>
      <c r="AN2016" s="15" t="s">
        <v>1553</v>
      </c>
    </row>
    <row r="2017" spans="1:40" x14ac:dyDescent="0.3">
      <c r="A2017" s="10" t="str">
        <f>HYPERLINK("http://www.washoecounty.gov/assessor/cama/?parid=027-071-13&amp;CardNumber=1","027-071-13")</f>
        <v>027-071-13</v>
      </c>
      <c r="B2017" t="s">
        <v>4655</v>
      </c>
      <c r="C2017" t="s">
        <v>13541</v>
      </c>
      <c r="D2017" s="1">
        <v>40346</v>
      </c>
      <c r="E2017" s="2">
        <v>44000</v>
      </c>
      <c r="F2017" t="s">
        <v>4553</v>
      </c>
      <c r="G2017" s="17" t="str">
        <f>HYPERLINK("https://www.washoecounty.gov/assessor/cama/?command=sales&amp;parid=02707113","3893079")</f>
        <v>3893079</v>
      </c>
      <c r="H2017" t="s">
        <v>13542</v>
      </c>
      <c r="I2017">
        <v>1972</v>
      </c>
      <c r="J2017">
        <v>1972</v>
      </c>
      <c r="K2017" t="s">
        <v>4897</v>
      </c>
      <c r="L2017" t="s">
        <v>3974</v>
      </c>
      <c r="M2017" s="2">
        <v>1187</v>
      </c>
      <c r="N2017" t="s">
        <v>4048</v>
      </c>
      <c r="O2017">
        <v>3</v>
      </c>
      <c r="P2017">
        <v>1</v>
      </c>
      <c r="Q2017">
        <v>1</v>
      </c>
      <c r="R2017" t="s">
        <v>4557</v>
      </c>
      <c r="S2017" t="s">
        <v>4558</v>
      </c>
      <c r="T2017" t="s">
        <v>4559</v>
      </c>
      <c r="U2017" t="s">
        <v>5631</v>
      </c>
      <c r="V2017" s="2">
        <v>380</v>
      </c>
      <c r="W2017" t="s">
        <v>4655</v>
      </c>
      <c r="X2017" s="2">
        <v>0</v>
      </c>
      <c r="Y2017">
        <v>21</v>
      </c>
      <c r="Z2017" t="s">
        <v>5196</v>
      </c>
      <c r="AA2017" s="3">
        <v>1.00000004749745E-3</v>
      </c>
      <c r="AB2017" t="s">
        <v>13543</v>
      </c>
      <c r="AC2017" t="s">
        <v>4562</v>
      </c>
      <c r="AD2017" t="s">
        <v>13544</v>
      </c>
      <c r="AE2017" t="s">
        <v>4655</v>
      </c>
      <c r="AF2017" t="s">
        <v>13545</v>
      </c>
      <c r="AG2017" t="s">
        <v>4584</v>
      </c>
      <c r="AH2017">
        <v>95111</v>
      </c>
      <c r="AI2017" t="s">
        <v>4565</v>
      </c>
      <c r="AJ2017" t="s">
        <v>4655</v>
      </c>
      <c r="AK2017" t="s">
        <v>13546</v>
      </c>
      <c r="AL2017" s="13" t="s">
        <v>1886</v>
      </c>
      <c r="AM2017" s="14">
        <v>1</v>
      </c>
      <c r="AN2017" s="15" t="s">
        <v>1553</v>
      </c>
    </row>
    <row r="2018" spans="1:40" x14ac:dyDescent="0.3">
      <c r="A2018" s="10" t="str">
        <f>HYPERLINK("http://www.washoecounty.gov/assessor/cama/?parid=027-071-15&amp;CardNumber=1","027-071-15")</f>
        <v>027-071-15</v>
      </c>
      <c r="B2018" t="s">
        <v>4655</v>
      </c>
      <c r="C2018" t="s">
        <v>13547</v>
      </c>
      <c r="D2018" s="1">
        <v>40277</v>
      </c>
      <c r="E2018" s="2">
        <v>51000</v>
      </c>
      <c r="F2018" t="s">
        <v>4553</v>
      </c>
      <c r="G2018" s="17" t="str">
        <f>HYPERLINK("https://www.washoecounty.gov/assessor/cama/?command=sales&amp;parid=02707115","3869461")</f>
        <v>3869461</v>
      </c>
      <c r="H2018" t="s">
        <v>1552</v>
      </c>
      <c r="I2018">
        <v>1972</v>
      </c>
      <c r="J2018">
        <v>1972</v>
      </c>
      <c r="K2018" t="s">
        <v>4897</v>
      </c>
      <c r="L2018" t="s">
        <v>3974</v>
      </c>
      <c r="M2018" s="2">
        <v>1247</v>
      </c>
      <c r="N2018" t="s">
        <v>4048</v>
      </c>
      <c r="O2018">
        <v>3</v>
      </c>
      <c r="P2018">
        <v>1</v>
      </c>
      <c r="Q2018">
        <v>1</v>
      </c>
      <c r="R2018" t="s">
        <v>4557</v>
      </c>
      <c r="S2018" t="s">
        <v>4558</v>
      </c>
      <c r="T2018" t="s">
        <v>4559</v>
      </c>
      <c r="U2018" t="s">
        <v>5631</v>
      </c>
      <c r="V2018" s="2">
        <v>380</v>
      </c>
      <c r="W2018" t="s">
        <v>4655</v>
      </c>
      <c r="X2018" s="2">
        <v>0</v>
      </c>
      <c r="Y2018">
        <v>21</v>
      </c>
      <c r="Z2018" t="s">
        <v>5196</v>
      </c>
      <c r="AA2018" s="3">
        <v>1.00000004749745E-3</v>
      </c>
      <c r="AB2018" t="s">
        <v>13548</v>
      </c>
      <c r="AC2018" t="s">
        <v>4562</v>
      </c>
      <c r="AD2018" t="s">
        <v>13549</v>
      </c>
      <c r="AE2018" t="s">
        <v>4655</v>
      </c>
      <c r="AF2018" t="s">
        <v>3264</v>
      </c>
      <c r="AG2018" t="s">
        <v>4564</v>
      </c>
      <c r="AH2018" t="s">
        <v>13550</v>
      </c>
      <c r="AI2018" t="s">
        <v>4655</v>
      </c>
      <c r="AJ2018" t="s">
        <v>4655</v>
      </c>
      <c r="AK2018" t="s">
        <v>13551</v>
      </c>
      <c r="AL2018" s="13" t="s">
        <v>1886</v>
      </c>
      <c r="AM2018">
        <v>1</v>
      </c>
      <c r="AN2018" s="15" t="s">
        <v>1553</v>
      </c>
    </row>
    <row r="2019" spans="1:40" x14ac:dyDescent="0.3">
      <c r="A2019" s="10" t="str">
        <f>HYPERLINK("http://www.washoecounty.gov/assessor/cama/?parid=027-072-07&amp;CardNumber=1","027-072-07")</f>
        <v>027-072-07</v>
      </c>
      <c r="B2019" t="s">
        <v>4655</v>
      </c>
      <c r="C2019" t="s">
        <v>3824</v>
      </c>
      <c r="D2019" s="1">
        <v>40436</v>
      </c>
      <c r="E2019" s="2">
        <v>90500</v>
      </c>
      <c r="F2019" t="s">
        <v>4567</v>
      </c>
      <c r="G2019" s="17" t="str">
        <f>HYPERLINK("https://www.washoecounty.gov/assessor/cama/?command=sales&amp;parid=02707207","3922715")</f>
        <v>3922715</v>
      </c>
      <c r="H2019" t="s">
        <v>1552</v>
      </c>
      <c r="I2019">
        <v>1972</v>
      </c>
      <c r="J2019">
        <v>1973</v>
      </c>
      <c r="K2019" t="s">
        <v>4897</v>
      </c>
      <c r="L2019" t="s">
        <v>3974</v>
      </c>
      <c r="M2019" s="2">
        <v>1247</v>
      </c>
      <c r="N2019" t="s">
        <v>4048</v>
      </c>
      <c r="O2019">
        <v>3</v>
      </c>
      <c r="P2019">
        <v>1</v>
      </c>
      <c r="Q2019">
        <v>1</v>
      </c>
      <c r="R2019" t="s">
        <v>4557</v>
      </c>
      <c r="S2019" t="s">
        <v>4558</v>
      </c>
      <c r="T2019" t="s">
        <v>4559</v>
      </c>
      <c r="U2019" t="s">
        <v>5631</v>
      </c>
      <c r="V2019" s="2">
        <v>380</v>
      </c>
      <c r="W2019" t="s">
        <v>4655</v>
      </c>
      <c r="X2019" s="2">
        <v>0</v>
      </c>
      <c r="Y2019">
        <v>21</v>
      </c>
      <c r="Z2019" t="s">
        <v>5196</v>
      </c>
      <c r="AA2019" s="3">
        <v>1.00000004749745E-3</v>
      </c>
      <c r="AB2019" t="s">
        <v>5733</v>
      </c>
      <c r="AC2019" t="s">
        <v>4562</v>
      </c>
      <c r="AD2019" t="s">
        <v>3824</v>
      </c>
      <c r="AE2019" t="s">
        <v>4655</v>
      </c>
      <c r="AF2019" t="s">
        <v>5201</v>
      </c>
      <c r="AG2019" t="s">
        <v>4564</v>
      </c>
      <c r="AH2019" t="s">
        <v>5202</v>
      </c>
      <c r="AI2019" t="s">
        <v>3861</v>
      </c>
      <c r="AJ2019" t="s">
        <v>4655</v>
      </c>
      <c r="AK2019" t="s">
        <v>3862</v>
      </c>
      <c r="AL2019" s="13" t="s">
        <v>1886</v>
      </c>
      <c r="AM2019">
        <v>1</v>
      </c>
      <c r="AN2019" s="15" t="s">
        <v>1553</v>
      </c>
    </row>
    <row r="2020" spans="1:40" x14ac:dyDescent="0.3">
      <c r="A2020" s="10" t="str">
        <f>HYPERLINK("http://www.washoecounty.gov/assessor/cama/?parid=027-072-17&amp;CardNumber=1","027-072-17")</f>
        <v>027-072-17</v>
      </c>
      <c r="B2020" t="s">
        <v>4655</v>
      </c>
      <c r="C2020" t="s">
        <v>13552</v>
      </c>
      <c r="D2020" s="1">
        <v>40407</v>
      </c>
      <c r="E2020" s="2">
        <v>40900</v>
      </c>
      <c r="F2020" t="s">
        <v>4553</v>
      </c>
      <c r="G2020" s="17" t="str">
        <f>HYPERLINK("https://www.washoecounty.gov/assessor/cama/?command=sales&amp;parid=02707217","3913037")</f>
        <v>3913037</v>
      </c>
      <c r="H2020" t="s">
        <v>2473</v>
      </c>
      <c r="I2020">
        <v>1972</v>
      </c>
      <c r="J2020">
        <v>1972</v>
      </c>
      <c r="K2020" t="s">
        <v>4897</v>
      </c>
      <c r="L2020" t="s">
        <v>3974</v>
      </c>
      <c r="M2020" s="2">
        <v>1107</v>
      </c>
      <c r="N2020" t="s">
        <v>4048</v>
      </c>
      <c r="O2020">
        <v>2</v>
      </c>
      <c r="P2020">
        <v>1</v>
      </c>
      <c r="Q2020">
        <v>1</v>
      </c>
      <c r="R2020" t="s">
        <v>4557</v>
      </c>
      <c r="S2020" t="s">
        <v>4558</v>
      </c>
      <c r="T2020" t="s">
        <v>4559</v>
      </c>
      <c r="U2020" t="s">
        <v>5631</v>
      </c>
      <c r="V2020" s="2">
        <v>380</v>
      </c>
      <c r="W2020" t="s">
        <v>4655</v>
      </c>
      <c r="X2020" s="2">
        <v>0</v>
      </c>
      <c r="Y2020">
        <v>21</v>
      </c>
      <c r="Z2020" t="s">
        <v>5196</v>
      </c>
      <c r="AA2020" s="3">
        <v>1.00000004749745E-3</v>
      </c>
      <c r="AB2020" t="s">
        <v>13553</v>
      </c>
      <c r="AC2020" t="s">
        <v>4575</v>
      </c>
      <c r="AD2020" t="s">
        <v>13554</v>
      </c>
      <c r="AE2020" t="s">
        <v>13555</v>
      </c>
      <c r="AF2020" t="s">
        <v>4809</v>
      </c>
      <c r="AG2020" t="s">
        <v>4564</v>
      </c>
      <c r="AH2020" t="s">
        <v>3609</v>
      </c>
      <c r="AI2020" t="s">
        <v>1149</v>
      </c>
      <c r="AJ2020" t="s">
        <v>4655</v>
      </c>
      <c r="AK2020" t="s">
        <v>13556</v>
      </c>
      <c r="AL2020" s="13" t="s">
        <v>1886</v>
      </c>
      <c r="AM2020" s="14">
        <v>1</v>
      </c>
      <c r="AN2020" s="15" t="s">
        <v>1553</v>
      </c>
    </row>
    <row r="2021" spans="1:40" x14ac:dyDescent="0.3">
      <c r="A2021" s="10" t="str">
        <f>HYPERLINK("http://www.washoecounty.gov/assessor/cama/?parid=027-072-20&amp;CardNumber=1","027-072-20")</f>
        <v>027-072-20</v>
      </c>
      <c r="B2021" t="s">
        <v>4655</v>
      </c>
      <c r="C2021" t="s">
        <v>13557</v>
      </c>
      <c r="D2021" s="1">
        <v>40242</v>
      </c>
      <c r="E2021" s="2">
        <v>49600</v>
      </c>
      <c r="F2021" t="s">
        <v>4567</v>
      </c>
      <c r="G2021" s="17" t="str">
        <f>HYPERLINK("https://www.washoecounty.gov/assessor/cama/?command=sales&amp;parid=02707220","3856460")</f>
        <v>3856460</v>
      </c>
      <c r="H2021" t="s">
        <v>1552</v>
      </c>
      <c r="I2021">
        <v>1972</v>
      </c>
      <c r="J2021">
        <v>1972</v>
      </c>
      <c r="K2021" t="s">
        <v>4897</v>
      </c>
      <c r="L2021" t="s">
        <v>3974</v>
      </c>
      <c r="M2021" s="2">
        <v>1167</v>
      </c>
      <c r="N2021" t="s">
        <v>4048</v>
      </c>
      <c r="O2021">
        <v>2</v>
      </c>
      <c r="P2021">
        <v>1</v>
      </c>
      <c r="Q2021">
        <v>1</v>
      </c>
      <c r="R2021" t="s">
        <v>5281</v>
      </c>
      <c r="S2021" t="s">
        <v>4558</v>
      </c>
      <c r="T2021" t="s">
        <v>4559</v>
      </c>
      <c r="U2021" t="s">
        <v>5631</v>
      </c>
      <c r="V2021" s="2">
        <v>380</v>
      </c>
      <c r="W2021" t="s">
        <v>4655</v>
      </c>
      <c r="X2021" s="2">
        <v>0</v>
      </c>
      <c r="Y2021">
        <v>21</v>
      </c>
      <c r="Z2021" t="s">
        <v>5196</v>
      </c>
      <c r="AA2021" s="3">
        <v>1.00000004749745E-3</v>
      </c>
      <c r="AB2021" t="s">
        <v>13558</v>
      </c>
      <c r="AC2021" t="s">
        <v>4562</v>
      </c>
      <c r="AD2021" t="s">
        <v>13559</v>
      </c>
      <c r="AE2021" t="s">
        <v>4655</v>
      </c>
      <c r="AF2021" t="s">
        <v>1407</v>
      </c>
      <c r="AG2021" t="s">
        <v>4564</v>
      </c>
      <c r="AH2021">
        <v>89701</v>
      </c>
      <c r="AI2021" t="s">
        <v>4655</v>
      </c>
      <c r="AJ2021" t="s">
        <v>4655</v>
      </c>
      <c r="AK2021" t="s">
        <v>13560</v>
      </c>
      <c r="AL2021" s="13" t="s">
        <v>1886</v>
      </c>
      <c r="AM2021">
        <v>1</v>
      </c>
      <c r="AN2021" s="15" t="s">
        <v>1553</v>
      </c>
    </row>
    <row r="2022" spans="1:40" x14ac:dyDescent="0.3">
      <c r="A2022" s="10" t="str">
        <f>HYPERLINK("http://www.washoecounty.gov/assessor/cama/?parid=027-072-24&amp;CardNumber=1","027-072-24")</f>
        <v>027-072-24</v>
      </c>
      <c r="B2022" t="s">
        <v>4655</v>
      </c>
      <c r="C2022" t="s">
        <v>13561</v>
      </c>
      <c r="D2022" s="1">
        <v>40289</v>
      </c>
      <c r="E2022" s="2">
        <v>56000</v>
      </c>
      <c r="F2022" t="s">
        <v>4553</v>
      </c>
      <c r="G2022" s="17" t="str">
        <f>HYPERLINK("https://www.washoecounty.gov/assessor/cama/?command=sales&amp;parid=02707224","3873373")</f>
        <v>3873373</v>
      </c>
      <c r="H2022" t="s">
        <v>1552</v>
      </c>
      <c r="I2022">
        <v>1972</v>
      </c>
      <c r="J2022">
        <v>1972</v>
      </c>
      <c r="K2022" t="s">
        <v>4897</v>
      </c>
      <c r="L2022" t="s">
        <v>3974</v>
      </c>
      <c r="M2022" s="2">
        <v>1247</v>
      </c>
      <c r="N2022" t="s">
        <v>4048</v>
      </c>
      <c r="O2022">
        <v>3</v>
      </c>
      <c r="P2022">
        <v>1</v>
      </c>
      <c r="Q2022">
        <v>1</v>
      </c>
      <c r="R2022" t="s">
        <v>4557</v>
      </c>
      <c r="S2022" t="s">
        <v>4558</v>
      </c>
      <c r="T2022" t="s">
        <v>4559</v>
      </c>
      <c r="U2022" t="s">
        <v>5631</v>
      </c>
      <c r="V2022" s="2">
        <v>380</v>
      </c>
      <c r="W2022" t="s">
        <v>4655</v>
      </c>
      <c r="X2022" s="2">
        <v>0</v>
      </c>
      <c r="Y2022">
        <v>21</v>
      </c>
      <c r="Z2022" t="s">
        <v>5196</v>
      </c>
      <c r="AA2022" s="3">
        <v>1.00000004749745E-3</v>
      </c>
      <c r="AB2022" t="s">
        <v>13562</v>
      </c>
      <c r="AC2022" t="s">
        <v>4562</v>
      </c>
      <c r="AD2022" t="s">
        <v>13561</v>
      </c>
      <c r="AE2022" t="s">
        <v>4655</v>
      </c>
      <c r="AF2022" t="s">
        <v>5201</v>
      </c>
      <c r="AG2022" t="s">
        <v>4564</v>
      </c>
      <c r="AH2022" t="s">
        <v>5202</v>
      </c>
      <c r="AI2022" t="s">
        <v>13563</v>
      </c>
      <c r="AJ2022" t="s">
        <v>4655</v>
      </c>
      <c r="AK2022" t="s">
        <v>13564</v>
      </c>
      <c r="AL2022" s="13" t="s">
        <v>1886</v>
      </c>
      <c r="AM2022">
        <v>1</v>
      </c>
      <c r="AN2022" s="15" t="s">
        <v>1553</v>
      </c>
    </row>
    <row r="2023" spans="1:40" x14ac:dyDescent="0.3">
      <c r="A2023" s="10" t="str">
        <f>HYPERLINK("http://www.washoecounty.gov/assessor/cama/?parid=027-073-25&amp;CardNumber=1","027-073-25")</f>
        <v>027-073-25</v>
      </c>
      <c r="B2023" t="s">
        <v>4655</v>
      </c>
      <c r="C2023" t="s">
        <v>13565</v>
      </c>
      <c r="D2023" s="1">
        <v>40382</v>
      </c>
      <c r="E2023" s="2">
        <v>63000</v>
      </c>
      <c r="F2023" t="s">
        <v>4553</v>
      </c>
      <c r="G2023" s="17" t="str">
        <f>HYPERLINK("https://www.washoecounty.gov/assessor/cama/?command=sales&amp;parid=02707325","3904370")</f>
        <v>3904370</v>
      </c>
      <c r="H2023" t="s">
        <v>2473</v>
      </c>
      <c r="I2023">
        <v>1972</v>
      </c>
      <c r="J2023">
        <v>1972</v>
      </c>
      <c r="K2023" t="s">
        <v>4897</v>
      </c>
      <c r="L2023" t="s">
        <v>3974</v>
      </c>
      <c r="M2023" s="2">
        <v>1247</v>
      </c>
      <c r="N2023" t="s">
        <v>4048</v>
      </c>
      <c r="O2023">
        <v>3</v>
      </c>
      <c r="P2023">
        <v>1</v>
      </c>
      <c r="Q2023">
        <v>1</v>
      </c>
      <c r="R2023" t="s">
        <v>4557</v>
      </c>
      <c r="S2023" t="s">
        <v>4558</v>
      </c>
      <c r="T2023" t="s">
        <v>4559</v>
      </c>
      <c r="U2023" t="s">
        <v>5631</v>
      </c>
      <c r="V2023" s="2">
        <v>380</v>
      </c>
      <c r="W2023" t="s">
        <v>4655</v>
      </c>
      <c r="X2023" s="2">
        <v>0</v>
      </c>
      <c r="Y2023">
        <v>21</v>
      </c>
      <c r="Z2023" t="s">
        <v>5196</v>
      </c>
      <c r="AA2023" s="3">
        <v>1.00000004749745E-3</v>
      </c>
      <c r="AB2023" t="s">
        <v>13566</v>
      </c>
      <c r="AC2023" t="s">
        <v>4562</v>
      </c>
      <c r="AD2023" t="s">
        <v>13565</v>
      </c>
      <c r="AE2023" t="s">
        <v>4655</v>
      </c>
      <c r="AF2023" t="s">
        <v>5201</v>
      </c>
      <c r="AG2023" t="s">
        <v>4564</v>
      </c>
      <c r="AH2023" t="s">
        <v>5202</v>
      </c>
      <c r="AI2023" t="s">
        <v>4655</v>
      </c>
      <c r="AJ2023" t="s">
        <v>4655</v>
      </c>
      <c r="AK2023" t="s">
        <v>13567</v>
      </c>
      <c r="AL2023" s="13" t="s">
        <v>1886</v>
      </c>
      <c r="AM2023">
        <v>1</v>
      </c>
      <c r="AN2023" s="15" t="s">
        <v>1553</v>
      </c>
    </row>
    <row r="2024" spans="1:40" x14ac:dyDescent="0.3">
      <c r="A2024" s="10" t="str">
        <f>HYPERLINK("http://www.washoecounty.gov/assessor/cama/?parid=027-073-26&amp;CardNumber=1","027-073-26")</f>
        <v>027-073-26</v>
      </c>
      <c r="B2024" t="s">
        <v>4655</v>
      </c>
      <c r="C2024" t="s">
        <v>13568</v>
      </c>
      <c r="D2024" s="1">
        <v>40330</v>
      </c>
      <c r="E2024" s="2">
        <v>56000</v>
      </c>
      <c r="F2024" t="s">
        <v>4553</v>
      </c>
      <c r="G2024" s="17" t="str">
        <f>HYPERLINK("https://www.washoecounty.gov/assessor/cama/?command=sales&amp;parid=02707326","3886944")</f>
        <v>3886944</v>
      </c>
      <c r="H2024" t="s">
        <v>1552</v>
      </c>
      <c r="I2024">
        <v>1972</v>
      </c>
      <c r="J2024">
        <v>1972</v>
      </c>
      <c r="K2024" t="s">
        <v>4897</v>
      </c>
      <c r="L2024" t="s">
        <v>3974</v>
      </c>
      <c r="M2024" s="2">
        <v>1247</v>
      </c>
      <c r="N2024" t="s">
        <v>4048</v>
      </c>
      <c r="O2024">
        <v>3</v>
      </c>
      <c r="P2024">
        <v>1</v>
      </c>
      <c r="Q2024">
        <v>1</v>
      </c>
      <c r="R2024" t="s">
        <v>5281</v>
      </c>
      <c r="S2024" t="s">
        <v>4558</v>
      </c>
      <c r="T2024" t="s">
        <v>4559</v>
      </c>
      <c r="U2024" t="s">
        <v>5631</v>
      </c>
      <c r="V2024" s="2">
        <v>380</v>
      </c>
      <c r="W2024" t="s">
        <v>4655</v>
      </c>
      <c r="X2024" s="2">
        <v>0</v>
      </c>
      <c r="Y2024">
        <v>21</v>
      </c>
      <c r="Z2024" t="s">
        <v>5196</v>
      </c>
      <c r="AA2024" s="3">
        <v>1.00000004749745E-3</v>
      </c>
      <c r="AB2024" t="s">
        <v>13569</v>
      </c>
      <c r="AC2024" t="s">
        <v>4562</v>
      </c>
      <c r="AD2024" t="s">
        <v>13570</v>
      </c>
      <c r="AE2024" t="s">
        <v>4655</v>
      </c>
      <c r="AF2024" t="s">
        <v>4809</v>
      </c>
      <c r="AG2024" t="s">
        <v>4564</v>
      </c>
      <c r="AH2024" t="s">
        <v>5202</v>
      </c>
      <c r="AI2024" t="s">
        <v>4565</v>
      </c>
      <c r="AJ2024" t="s">
        <v>4655</v>
      </c>
      <c r="AK2024" t="s">
        <v>13571</v>
      </c>
      <c r="AL2024" s="13" t="s">
        <v>1886</v>
      </c>
      <c r="AM2024">
        <v>1</v>
      </c>
      <c r="AN2024" s="15" t="s">
        <v>1553</v>
      </c>
    </row>
    <row r="2025" spans="1:40" x14ac:dyDescent="0.3">
      <c r="A2025" s="10" t="str">
        <f>HYPERLINK("http://www.washoecounty.gov/assessor/cama/?parid=027-074-23&amp;CardNumber=1","027-074-23")</f>
        <v>027-074-23</v>
      </c>
      <c r="B2025" t="s">
        <v>4655</v>
      </c>
      <c r="C2025" t="s">
        <v>13572</v>
      </c>
      <c r="D2025" s="1">
        <v>40423</v>
      </c>
      <c r="E2025" s="2">
        <v>47000</v>
      </c>
      <c r="F2025" t="s">
        <v>4553</v>
      </c>
      <c r="G2025" s="17" t="str">
        <f>HYPERLINK("https://www.washoecounty.gov/assessor/cama/?command=sales&amp;parid=02707423","3918295")</f>
        <v>3918295</v>
      </c>
      <c r="H2025" t="s">
        <v>2473</v>
      </c>
      <c r="I2025">
        <v>1972</v>
      </c>
      <c r="J2025">
        <v>1972</v>
      </c>
      <c r="K2025" t="s">
        <v>4897</v>
      </c>
      <c r="L2025" t="s">
        <v>3974</v>
      </c>
      <c r="M2025" s="2">
        <v>1247</v>
      </c>
      <c r="N2025" t="s">
        <v>4048</v>
      </c>
      <c r="O2025">
        <v>3</v>
      </c>
      <c r="P2025">
        <v>1</v>
      </c>
      <c r="Q2025">
        <v>1</v>
      </c>
      <c r="R2025" t="s">
        <v>4557</v>
      </c>
      <c r="S2025" t="s">
        <v>4558</v>
      </c>
      <c r="T2025" t="s">
        <v>4559</v>
      </c>
      <c r="U2025" t="s">
        <v>5631</v>
      </c>
      <c r="V2025" s="2">
        <v>380</v>
      </c>
      <c r="W2025" t="s">
        <v>4655</v>
      </c>
      <c r="X2025" s="2">
        <v>0</v>
      </c>
      <c r="Y2025">
        <v>21</v>
      </c>
      <c r="Z2025" t="s">
        <v>5196</v>
      </c>
      <c r="AA2025" s="3">
        <v>1.00000004749745E-3</v>
      </c>
      <c r="AB2025" t="s">
        <v>13573</v>
      </c>
      <c r="AC2025" t="s">
        <v>4562</v>
      </c>
      <c r="AD2025" t="s">
        <v>13572</v>
      </c>
      <c r="AE2025" t="s">
        <v>4655</v>
      </c>
      <c r="AF2025" t="s">
        <v>5201</v>
      </c>
      <c r="AG2025" t="s">
        <v>4564</v>
      </c>
      <c r="AH2025" t="s">
        <v>5202</v>
      </c>
      <c r="AI2025" t="s">
        <v>4565</v>
      </c>
      <c r="AJ2025" t="s">
        <v>4655</v>
      </c>
      <c r="AK2025" t="s">
        <v>13574</v>
      </c>
      <c r="AL2025" s="13" t="s">
        <v>1886</v>
      </c>
      <c r="AM2025" s="14">
        <v>1</v>
      </c>
      <c r="AN2025" s="15" t="s">
        <v>1553</v>
      </c>
    </row>
    <row r="2026" spans="1:40" x14ac:dyDescent="0.3">
      <c r="A2026" s="10" t="str">
        <f>HYPERLINK("http://www.washoecounty.gov/assessor/cama/?parid=027-074-26&amp;CardNumber=1","027-074-26")</f>
        <v>027-074-26</v>
      </c>
      <c r="B2026" t="s">
        <v>4655</v>
      </c>
      <c r="C2026" t="s">
        <v>13575</v>
      </c>
      <c r="D2026" s="1">
        <v>40421</v>
      </c>
      <c r="E2026" s="2">
        <v>47000</v>
      </c>
      <c r="F2026" t="s">
        <v>4553</v>
      </c>
      <c r="G2026" s="17" t="str">
        <f>HYPERLINK("https://www.washoecounty.gov/assessor/cama/?command=sales&amp;parid=02707426","3917302")</f>
        <v>3917302</v>
      </c>
      <c r="H2026" t="s">
        <v>1552</v>
      </c>
      <c r="I2026">
        <v>1972</v>
      </c>
      <c r="J2026">
        <v>1972</v>
      </c>
      <c r="K2026" t="s">
        <v>4897</v>
      </c>
      <c r="L2026" t="s">
        <v>3974</v>
      </c>
      <c r="M2026" s="2">
        <v>1187</v>
      </c>
      <c r="N2026" t="s">
        <v>4048</v>
      </c>
      <c r="O2026">
        <v>3</v>
      </c>
      <c r="P2026">
        <v>1</v>
      </c>
      <c r="Q2026">
        <v>1</v>
      </c>
      <c r="R2026" t="s">
        <v>4557</v>
      </c>
      <c r="S2026" t="s">
        <v>4558</v>
      </c>
      <c r="T2026" t="s">
        <v>4559</v>
      </c>
      <c r="U2026" t="s">
        <v>5631</v>
      </c>
      <c r="V2026" s="2">
        <v>380</v>
      </c>
      <c r="W2026" t="s">
        <v>4655</v>
      </c>
      <c r="X2026" s="2">
        <v>0</v>
      </c>
      <c r="Y2026">
        <v>21</v>
      </c>
      <c r="Z2026" t="s">
        <v>5196</v>
      </c>
      <c r="AA2026" s="3">
        <v>1.00000004749745E-3</v>
      </c>
      <c r="AB2026" t="s">
        <v>13576</v>
      </c>
      <c r="AC2026" t="s">
        <v>4562</v>
      </c>
      <c r="AD2026" t="s">
        <v>13577</v>
      </c>
      <c r="AE2026" t="s">
        <v>4655</v>
      </c>
      <c r="AF2026" t="s">
        <v>4563</v>
      </c>
      <c r="AG2026" t="s">
        <v>4564</v>
      </c>
      <c r="AH2026">
        <v>89509</v>
      </c>
      <c r="AI2026" t="s">
        <v>4565</v>
      </c>
      <c r="AJ2026" t="s">
        <v>4655</v>
      </c>
      <c r="AK2026" t="s">
        <v>13578</v>
      </c>
      <c r="AL2026" s="13" t="s">
        <v>1886</v>
      </c>
      <c r="AM2026">
        <v>1</v>
      </c>
      <c r="AN2026" s="15" t="s">
        <v>1553</v>
      </c>
    </row>
    <row r="2027" spans="1:40" x14ac:dyDescent="0.3">
      <c r="A2027" s="10" t="str">
        <f>HYPERLINK("http://www.washoecounty.gov/assessor/cama/?parid=027-074-29&amp;CardNumber=1","027-074-29")</f>
        <v>027-074-29</v>
      </c>
      <c r="B2027" t="s">
        <v>4655</v>
      </c>
      <c r="C2027" t="s">
        <v>13579</v>
      </c>
      <c r="D2027" s="1">
        <v>40512</v>
      </c>
      <c r="E2027" s="2">
        <v>54300</v>
      </c>
      <c r="F2027" t="s">
        <v>4553</v>
      </c>
      <c r="G2027" s="17" t="str">
        <f>HYPERLINK("https://www.washoecounty.gov/assessor/cama/?command=sales&amp;parid=02707429","3947907")</f>
        <v>3947907</v>
      </c>
      <c r="H2027" t="s">
        <v>2473</v>
      </c>
      <c r="I2027">
        <v>1972</v>
      </c>
      <c r="J2027">
        <v>1972</v>
      </c>
      <c r="K2027" t="s">
        <v>4897</v>
      </c>
      <c r="L2027" t="s">
        <v>3974</v>
      </c>
      <c r="M2027" s="2">
        <v>1247</v>
      </c>
      <c r="N2027" t="s">
        <v>4048</v>
      </c>
      <c r="O2027">
        <v>3</v>
      </c>
      <c r="P2027">
        <v>1</v>
      </c>
      <c r="Q2027">
        <v>1</v>
      </c>
      <c r="R2027" t="s">
        <v>4557</v>
      </c>
      <c r="S2027" t="s">
        <v>4558</v>
      </c>
      <c r="T2027" t="s">
        <v>4559</v>
      </c>
      <c r="U2027" t="s">
        <v>5631</v>
      </c>
      <c r="V2027" s="2">
        <v>380</v>
      </c>
      <c r="W2027" t="s">
        <v>4655</v>
      </c>
      <c r="X2027" s="2">
        <v>0</v>
      </c>
      <c r="Y2027">
        <v>21</v>
      </c>
      <c r="Z2027" t="s">
        <v>5196</v>
      </c>
      <c r="AA2027" s="3">
        <v>1.00000004749745E-3</v>
      </c>
      <c r="AB2027" t="s">
        <v>13580</v>
      </c>
      <c r="AC2027" t="s">
        <v>4575</v>
      </c>
      <c r="AD2027" t="s">
        <v>13581</v>
      </c>
      <c r="AE2027" t="s">
        <v>4655</v>
      </c>
      <c r="AF2027" t="s">
        <v>2514</v>
      </c>
      <c r="AG2027" t="s">
        <v>4584</v>
      </c>
      <c r="AH2027">
        <v>94022</v>
      </c>
      <c r="AI2027" t="s">
        <v>1922</v>
      </c>
      <c r="AJ2027" t="s">
        <v>4655</v>
      </c>
      <c r="AK2027" t="s">
        <v>13582</v>
      </c>
      <c r="AL2027" s="13" t="s">
        <v>1886</v>
      </c>
      <c r="AM2027">
        <v>1</v>
      </c>
      <c r="AN2027" s="15" t="s">
        <v>1553</v>
      </c>
    </row>
    <row r="2028" spans="1:40" x14ac:dyDescent="0.3">
      <c r="A2028" s="10" t="str">
        <f>HYPERLINK("http://www.washoecounty.gov/assessor/cama/?parid=027-074-38&amp;CardNumber=1","027-074-38")</f>
        <v>027-074-38</v>
      </c>
      <c r="B2028" t="s">
        <v>4655</v>
      </c>
      <c r="C2028" t="s">
        <v>13583</v>
      </c>
      <c r="D2028" s="1">
        <v>40281</v>
      </c>
      <c r="E2028" s="2">
        <v>42000</v>
      </c>
      <c r="F2028" t="s">
        <v>4567</v>
      </c>
      <c r="G2028" s="17" t="str">
        <f>HYPERLINK("https://www.washoecounty.gov/assessor/cama/?command=sales&amp;parid=02707438","3870457")</f>
        <v>3870457</v>
      </c>
      <c r="H2028" t="s">
        <v>2473</v>
      </c>
      <c r="I2028">
        <v>1972</v>
      </c>
      <c r="J2028">
        <v>1972</v>
      </c>
      <c r="K2028" t="s">
        <v>4897</v>
      </c>
      <c r="L2028" t="s">
        <v>3974</v>
      </c>
      <c r="M2028" s="2">
        <v>1247</v>
      </c>
      <c r="N2028" t="s">
        <v>4048</v>
      </c>
      <c r="O2028">
        <v>3</v>
      </c>
      <c r="P2028">
        <v>1</v>
      </c>
      <c r="Q2028">
        <v>1</v>
      </c>
      <c r="R2028" t="s">
        <v>4557</v>
      </c>
      <c r="S2028" t="s">
        <v>4558</v>
      </c>
      <c r="T2028" t="s">
        <v>4559</v>
      </c>
      <c r="U2028" t="s">
        <v>5631</v>
      </c>
      <c r="V2028" s="2">
        <v>380</v>
      </c>
      <c r="W2028" t="s">
        <v>4655</v>
      </c>
      <c r="X2028" s="2">
        <v>0</v>
      </c>
      <c r="Y2028">
        <v>21</v>
      </c>
      <c r="Z2028" t="s">
        <v>5196</v>
      </c>
      <c r="AA2028" s="3">
        <v>1.00000004749745E-3</v>
      </c>
      <c r="AB2028" t="s">
        <v>13584</v>
      </c>
      <c r="AC2028" t="s">
        <v>4562</v>
      </c>
      <c r="AD2028" t="s">
        <v>13585</v>
      </c>
      <c r="AE2028" t="s">
        <v>4655</v>
      </c>
      <c r="AF2028" t="s">
        <v>5201</v>
      </c>
      <c r="AG2028" t="s">
        <v>4564</v>
      </c>
      <c r="AH2028" t="s">
        <v>5202</v>
      </c>
      <c r="AI2028" t="s">
        <v>13584</v>
      </c>
      <c r="AJ2028" t="s">
        <v>4655</v>
      </c>
      <c r="AK2028" t="s">
        <v>13586</v>
      </c>
      <c r="AL2028" s="13" t="s">
        <v>1886</v>
      </c>
      <c r="AM2028" s="14">
        <v>1</v>
      </c>
      <c r="AN2028" s="15" t="s">
        <v>1553</v>
      </c>
    </row>
    <row r="2029" spans="1:40" x14ac:dyDescent="0.3">
      <c r="A2029" s="10" t="str">
        <f>HYPERLINK("http://www.washoecounty.gov/assessor/cama/?parid=027-074-38&amp;CardNumber=1","027-074-38")</f>
        <v>027-074-38</v>
      </c>
      <c r="B2029" t="s">
        <v>4655</v>
      </c>
      <c r="C2029" t="s">
        <v>13583</v>
      </c>
      <c r="D2029" s="1">
        <v>40368</v>
      </c>
      <c r="E2029" s="2">
        <v>80000</v>
      </c>
      <c r="F2029" t="s">
        <v>4567</v>
      </c>
      <c r="G2029" s="17" t="str">
        <f>HYPERLINK("https://www.washoecounty.gov/assessor/cama/?command=sales&amp;parid=02707438","3899746")</f>
        <v>3899746</v>
      </c>
      <c r="H2029" t="s">
        <v>2473</v>
      </c>
      <c r="I2029">
        <v>1972</v>
      </c>
      <c r="J2029">
        <v>1972</v>
      </c>
      <c r="K2029" t="s">
        <v>4897</v>
      </c>
      <c r="L2029" t="s">
        <v>3974</v>
      </c>
      <c r="M2029" s="2">
        <v>1247</v>
      </c>
      <c r="N2029" t="s">
        <v>4048</v>
      </c>
      <c r="O2029">
        <v>3</v>
      </c>
      <c r="P2029">
        <v>1</v>
      </c>
      <c r="Q2029">
        <v>1</v>
      </c>
      <c r="R2029" t="s">
        <v>4557</v>
      </c>
      <c r="S2029" t="s">
        <v>4558</v>
      </c>
      <c r="T2029" t="s">
        <v>4559</v>
      </c>
      <c r="U2029" t="s">
        <v>5631</v>
      </c>
      <c r="V2029" s="2">
        <v>380</v>
      </c>
      <c r="W2029" t="s">
        <v>4655</v>
      </c>
      <c r="X2029" s="2">
        <v>0</v>
      </c>
      <c r="Y2029">
        <v>21</v>
      </c>
      <c r="Z2029" t="s">
        <v>5196</v>
      </c>
      <c r="AA2029" s="3">
        <v>1.00000004749745E-3</v>
      </c>
      <c r="AB2029" t="s">
        <v>13584</v>
      </c>
      <c r="AC2029" t="s">
        <v>4562</v>
      </c>
      <c r="AD2029" t="s">
        <v>13585</v>
      </c>
      <c r="AE2029" t="s">
        <v>4655</v>
      </c>
      <c r="AF2029" t="s">
        <v>5201</v>
      </c>
      <c r="AG2029" t="s">
        <v>4564</v>
      </c>
      <c r="AH2029" t="s">
        <v>5202</v>
      </c>
      <c r="AI2029" t="s">
        <v>13584</v>
      </c>
      <c r="AJ2029" t="s">
        <v>4655</v>
      </c>
      <c r="AK2029" t="s">
        <v>13586</v>
      </c>
      <c r="AL2029" s="13" t="s">
        <v>1886</v>
      </c>
      <c r="AM2029" s="14">
        <v>1</v>
      </c>
      <c r="AN2029" s="15" t="s">
        <v>1553</v>
      </c>
    </row>
    <row r="2030" spans="1:40" x14ac:dyDescent="0.3">
      <c r="A2030" s="10" t="str">
        <f>HYPERLINK("http://www.washoecounty.gov/assessor/cama/?parid=027-141-10&amp;CardNumber=1","027-141-10")</f>
        <v>027-141-10</v>
      </c>
      <c r="B2030" t="s">
        <v>4655</v>
      </c>
      <c r="C2030" t="s">
        <v>13587</v>
      </c>
      <c r="D2030" s="1">
        <v>40312</v>
      </c>
      <c r="E2030" s="2">
        <v>140000</v>
      </c>
      <c r="F2030" t="s">
        <v>4567</v>
      </c>
      <c r="G2030" s="17" t="str">
        <f>HYPERLINK("https://www.washoecounty.gov/assessor/cama/?command=sales&amp;parid=02714110","3881797")</f>
        <v>3881797</v>
      </c>
      <c r="H2030" t="s">
        <v>13588</v>
      </c>
      <c r="I2030">
        <v>1972</v>
      </c>
      <c r="J2030">
        <v>1972</v>
      </c>
      <c r="K2030" t="s">
        <v>4554</v>
      </c>
      <c r="L2030" t="s">
        <v>4555</v>
      </c>
      <c r="M2030" s="2">
        <v>1320</v>
      </c>
      <c r="N2030" t="s">
        <v>4048</v>
      </c>
      <c r="O2030">
        <v>3</v>
      </c>
      <c r="P2030">
        <v>2</v>
      </c>
      <c r="Q2030">
        <v>0</v>
      </c>
      <c r="R2030" t="s">
        <v>4557</v>
      </c>
      <c r="S2030" t="s">
        <v>4135</v>
      </c>
      <c r="T2030" t="s">
        <v>4559</v>
      </c>
      <c r="U2030" t="s">
        <v>4560</v>
      </c>
      <c r="V2030" s="2">
        <v>420</v>
      </c>
      <c r="W2030" t="s">
        <v>4655</v>
      </c>
      <c r="X2030" s="2">
        <v>0</v>
      </c>
      <c r="Y2030">
        <v>20</v>
      </c>
      <c r="Z2030" t="s">
        <v>5200</v>
      </c>
      <c r="AA2030" s="3">
        <v>0.146992653608322</v>
      </c>
      <c r="AB2030" t="s">
        <v>13589</v>
      </c>
      <c r="AC2030" t="s">
        <v>4575</v>
      </c>
      <c r="AD2030" t="s">
        <v>13587</v>
      </c>
      <c r="AE2030" t="s">
        <v>4655</v>
      </c>
      <c r="AF2030" t="s">
        <v>5201</v>
      </c>
      <c r="AG2030" t="s">
        <v>4564</v>
      </c>
      <c r="AH2030" t="s">
        <v>5202</v>
      </c>
      <c r="AI2030" t="s">
        <v>13590</v>
      </c>
      <c r="AJ2030" t="s">
        <v>4655</v>
      </c>
      <c r="AK2030" t="s">
        <v>13591</v>
      </c>
      <c r="AL2030" s="13" t="s">
        <v>1886</v>
      </c>
      <c r="AM2030">
        <v>1</v>
      </c>
      <c r="AN2030" s="15" t="s">
        <v>5156</v>
      </c>
    </row>
    <row r="2031" spans="1:40" x14ac:dyDescent="0.3">
      <c r="A2031" s="10" t="str">
        <f>HYPERLINK("http://www.washoecounty.gov/assessor/cama/?parid=027-162-06&amp;CardNumber=1","027-162-06")</f>
        <v>027-162-06</v>
      </c>
      <c r="B2031" t="s">
        <v>4655</v>
      </c>
      <c r="C2031" t="s">
        <v>13592</v>
      </c>
      <c r="D2031" s="1">
        <v>40247</v>
      </c>
      <c r="E2031" s="2">
        <v>135000</v>
      </c>
      <c r="F2031" t="s">
        <v>4553</v>
      </c>
      <c r="G2031" s="17" t="str">
        <f>HYPERLINK("https://www.washoecounty.gov/assessor/cama/?command=sales&amp;parid=02716206","3858172")</f>
        <v>3858172</v>
      </c>
      <c r="H2031" t="s">
        <v>3770</v>
      </c>
      <c r="I2031">
        <v>1977</v>
      </c>
      <c r="J2031">
        <v>1977</v>
      </c>
      <c r="K2031" t="s">
        <v>4554</v>
      </c>
      <c r="L2031" t="s">
        <v>4555</v>
      </c>
      <c r="M2031" s="2">
        <v>1428</v>
      </c>
      <c r="N2031" t="s">
        <v>4048</v>
      </c>
      <c r="O2031">
        <v>3</v>
      </c>
      <c r="P2031">
        <v>2</v>
      </c>
      <c r="Q2031">
        <v>0</v>
      </c>
      <c r="R2031" t="s">
        <v>5281</v>
      </c>
      <c r="S2031" t="s">
        <v>4558</v>
      </c>
      <c r="T2031" t="s">
        <v>4559</v>
      </c>
      <c r="U2031" t="s">
        <v>4560</v>
      </c>
      <c r="V2031" s="2">
        <v>460</v>
      </c>
      <c r="W2031" t="s">
        <v>4655</v>
      </c>
      <c r="X2031" s="2">
        <v>0</v>
      </c>
      <c r="Y2031">
        <v>20</v>
      </c>
      <c r="Z2031" t="s">
        <v>5200</v>
      </c>
      <c r="AA2031" s="3">
        <v>0.17100550234317799</v>
      </c>
      <c r="AB2031" t="s">
        <v>13593</v>
      </c>
      <c r="AC2031" t="s">
        <v>4575</v>
      </c>
      <c r="AD2031" t="s">
        <v>13592</v>
      </c>
      <c r="AE2031" t="s">
        <v>4655</v>
      </c>
      <c r="AF2031" t="s">
        <v>5201</v>
      </c>
      <c r="AG2031" t="s">
        <v>4564</v>
      </c>
      <c r="AH2031" t="s">
        <v>5202</v>
      </c>
      <c r="AI2031" t="s">
        <v>4903</v>
      </c>
      <c r="AJ2031" t="s">
        <v>4655</v>
      </c>
      <c r="AK2031" t="s">
        <v>13594</v>
      </c>
      <c r="AL2031" s="13" t="s">
        <v>3425</v>
      </c>
      <c r="AM2031">
        <v>1</v>
      </c>
      <c r="AN2031" s="15" t="s">
        <v>3185</v>
      </c>
    </row>
    <row r="2032" spans="1:40" x14ac:dyDescent="0.3">
      <c r="A2032" s="10" t="str">
        <f>HYPERLINK("http://www.washoecounty.gov/assessor/cama/?parid=027-163-20&amp;CardNumber=1","027-163-20")</f>
        <v>027-163-20</v>
      </c>
      <c r="B2032" t="s">
        <v>4655</v>
      </c>
      <c r="C2032" t="s">
        <v>13595</v>
      </c>
      <c r="D2032" s="1">
        <v>40522</v>
      </c>
      <c r="E2032" s="2">
        <v>155000</v>
      </c>
      <c r="F2032" t="s">
        <v>4567</v>
      </c>
      <c r="G2032" s="17" t="str">
        <f>HYPERLINK("https://www.washoecounty.gov/assessor/cama/?command=sales&amp;parid=02716320","3952323")</f>
        <v>3952323</v>
      </c>
      <c r="H2032" t="s">
        <v>3770</v>
      </c>
      <c r="I2032">
        <v>1977</v>
      </c>
      <c r="J2032">
        <v>1977</v>
      </c>
      <c r="K2032" t="s">
        <v>4554</v>
      </c>
      <c r="L2032" t="s">
        <v>2170</v>
      </c>
      <c r="M2032" s="2">
        <v>2084</v>
      </c>
      <c r="N2032" t="s">
        <v>4048</v>
      </c>
      <c r="O2032">
        <v>4</v>
      </c>
      <c r="P2032">
        <v>3</v>
      </c>
      <c r="Q2032">
        <v>0</v>
      </c>
      <c r="R2032" t="s">
        <v>5281</v>
      </c>
      <c r="S2032" t="s">
        <v>4558</v>
      </c>
      <c r="T2032" t="s">
        <v>4559</v>
      </c>
      <c r="U2032" t="s">
        <v>4560</v>
      </c>
      <c r="V2032" s="2">
        <v>462</v>
      </c>
      <c r="W2032" t="s">
        <v>4655</v>
      </c>
      <c r="X2032" s="2">
        <v>0</v>
      </c>
      <c r="Y2032">
        <v>20</v>
      </c>
      <c r="Z2032" t="s">
        <v>5200</v>
      </c>
      <c r="AA2032" s="3">
        <v>0.15899908542633101</v>
      </c>
      <c r="AB2032" t="s">
        <v>13596</v>
      </c>
      <c r="AC2032" t="s">
        <v>4575</v>
      </c>
      <c r="AD2032" t="s">
        <v>13595</v>
      </c>
      <c r="AE2032" t="s">
        <v>4655</v>
      </c>
      <c r="AF2032" t="s">
        <v>5201</v>
      </c>
      <c r="AG2032" t="s">
        <v>4564</v>
      </c>
      <c r="AH2032" t="s">
        <v>5202</v>
      </c>
      <c r="AI2032" t="s">
        <v>4655</v>
      </c>
      <c r="AJ2032" t="s">
        <v>4655</v>
      </c>
      <c r="AK2032" t="s">
        <v>13597</v>
      </c>
      <c r="AL2032" s="13" t="s">
        <v>3425</v>
      </c>
      <c r="AM2032">
        <v>1</v>
      </c>
      <c r="AN2032" s="15" t="s">
        <v>3185</v>
      </c>
    </row>
    <row r="2033" spans="1:40" x14ac:dyDescent="0.3">
      <c r="A2033" s="10" t="str">
        <f>HYPERLINK("http://www.washoecounty.gov/assessor/cama/?parid=027-171-10&amp;CardNumber=1","027-171-10")</f>
        <v>027-171-10</v>
      </c>
      <c r="B2033" t="s">
        <v>4655</v>
      </c>
      <c r="C2033" t="s">
        <v>13598</v>
      </c>
      <c r="D2033" s="1">
        <v>40499</v>
      </c>
      <c r="E2033" s="2">
        <v>170000</v>
      </c>
      <c r="F2033" t="s">
        <v>4567</v>
      </c>
      <c r="G2033" s="17" t="str">
        <f>HYPERLINK("https://www.washoecounty.gov/assessor/cama/?command=sales&amp;parid=02717110","3943666")</f>
        <v>3943666</v>
      </c>
      <c r="H2033" t="s">
        <v>4352</v>
      </c>
      <c r="I2033">
        <v>1977</v>
      </c>
      <c r="J2033">
        <v>1977</v>
      </c>
      <c r="K2033" t="s">
        <v>4554</v>
      </c>
      <c r="L2033" t="s">
        <v>2170</v>
      </c>
      <c r="M2033" s="2">
        <v>2084</v>
      </c>
      <c r="N2033" t="s">
        <v>4048</v>
      </c>
      <c r="O2033">
        <v>4</v>
      </c>
      <c r="P2033">
        <v>3</v>
      </c>
      <c r="Q2033">
        <v>0</v>
      </c>
      <c r="R2033" t="s">
        <v>5281</v>
      </c>
      <c r="S2033" t="s">
        <v>4558</v>
      </c>
      <c r="T2033" t="s">
        <v>4559</v>
      </c>
      <c r="U2033" t="s">
        <v>4560</v>
      </c>
      <c r="V2033" s="2">
        <v>462</v>
      </c>
      <c r="W2033" t="s">
        <v>4655</v>
      </c>
      <c r="X2033" s="2">
        <v>0</v>
      </c>
      <c r="Y2033">
        <v>20</v>
      </c>
      <c r="Z2033" t="s">
        <v>5200</v>
      </c>
      <c r="AA2033" s="3">
        <v>0.17199265956878662</v>
      </c>
      <c r="AB2033" t="s">
        <v>13599</v>
      </c>
      <c r="AC2033" t="s">
        <v>4562</v>
      </c>
      <c r="AD2033" t="s">
        <v>13598</v>
      </c>
      <c r="AE2033" t="s">
        <v>4655</v>
      </c>
      <c r="AF2033" t="s">
        <v>5201</v>
      </c>
      <c r="AG2033" t="s">
        <v>4564</v>
      </c>
      <c r="AH2033" t="s">
        <v>5202</v>
      </c>
      <c r="AI2033" t="s">
        <v>13600</v>
      </c>
      <c r="AJ2033" t="s">
        <v>4655</v>
      </c>
      <c r="AK2033" t="s">
        <v>13601</v>
      </c>
      <c r="AL2033" s="13" t="s">
        <v>3425</v>
      </c>
      <c r="AM2033" s="14">
        <v>1</v>
      </c>
      <c r="AN2033" s="15" t="s">
        <v>3185</v>
      </c>
    </row>
    <row r="2034" spans="1:40" x14ac:dyDescent="0.3">
      <c r="A2034" s="10" t="str">
        <f>HYPERLINK("http://www.washoecounty.gov/assessor/cama/?parid=027-173-20&amp;CardNumber=1","027-173-20")</f>
        <v>027-173-20</v>
      </c>
      <c r="B2034" t="s">
        <v>4655</v>
      </c>
      <c r="C2034" t="s">
        <v>13602</v>
      </c>
      <c r="D2034" s="1">
        <v>40438</v>
      </c>
      <c r="E2034" s="2">
        <v>129000</v>
      </c>
      <c r="F2034" t="s">
        <v>4553</v>
      </c>
      <c r="G2034" s="17" t="str">
        <f>HYPERLINK("https://www.washoecounty.gov/assessor/cama/?command=sales&amp;parid=02717320","3923558")</f>
        <v>3923558</v>
      </c>
      <c r="H2034" t="s">
        <v>4352</v>
      </c>
      <c r="I2034">
        <v>1977</v>
      </c>
      <c r="J2034">
        <v>1977</v>
      </c>
      <c r="K2034" t="s">
        <v>4554</v>
      </c>
      <c r="L2034" t="s">
        <v>4555</v>
      </c>
      <c r="M2034" s="2">
        <v>1428</v>
      </c>
      <c r="N2034" t="s">
        <v>4048</v>
      </c>
      <c r="O2034">
        <v>3</v>
      </c>
      <c r="P2034">
        <v>2</v>
      </c>
      <c r="Q2034">
        <v>0</v>
      </c>
      <c r="R2034" t="s">
        <v>5281</v>
      </c>
      <c r="S2034" t="s">
        <v>4558</v>
      </c>
      <c r="T2034" t="s">
        <v>4559</v>
      </c>
      <c r="U2034" t="s">
        <v>4560</v>
      </c>
      <c r="V2034" s="2">
        <v>460</v>
      </c>
      <c r="W2034" t="s">
        <v>4655</v>
      </c>
      <c r="X2034" s="2">
        <v>0</v>
      </c>
      <c r="Y2034">
        <v>20</v>
      </c>
      <c r="Z2034" t="s">
        <v>5200</v>
      </c>
      <c r="AA2034" s="3">
        <v>0.17100550234317799</v>
      </c>
      <c r="AB2034" t="s">
        <v>13603</v>
      </c>
      <c r="AC2034" t="s">
        <v>4562</v>
      </c>
      <c r="AD2034" t="s">
        <v>13602</v>
      </c>
      <c r="AE2034" t="s">
        <v>4655</v>
      </c>
      <c r="AF2034" t="s">
        <v>5201</v>
      </c>
      <c r="AG2034" t="s">
        <v>4564</v>
      </c>
      <c r="AH2034" t="s">
        <v>5202</v>
      </c>
      <c r="AI2034" t="s">
        <v>13604</v>
      </c>
      <c r="AJ2034" t="s">
        <v>4655</v>
      </c>
      <c r="AK2034" t="s">
        <v>13605</v>
      </c>
      <c r="AL2034" s="13" t="s">
        <v>3425</v>
      </c>
      <c r="AM2034">
        <v>1</v>
      </c>
      <c r="AN2034" s="15" t="s">
        <v>3185</v>
      </c>
    </row>
    <row r="2035" spans="1:40" x14ac:dyDescent="0.3">
      <c r="A2035" s="10" t="str">
        <f>HYPERLINK("http://www.washoecounty.gov/assessor/cama/?parid=027-181-05&amp;CardNumber=1","027-181-05")</f>
        <v>027-181-05</v>
      </c>
      <c r="B2035" t="s">
        <v>4655</v>
      </c>
      <c r="C2035" t="s">
        <v>13606</v>
      </c>
      <c r="D2035" s="1">
        <v>40245</v>
      </c>
      <c r="E2035" s="2">
        <v>157000</v>
      </c>
      <c r="F2035" t="s">
        <v>4567</v>
      </c>
      <c r="G2035" s="17" t="str">
        <f>HYPERLINK("https://www.washoecounty.gov/assessor/cama/?command=sales&amp;parid=02718105","3856711")</f>
        <v>3856711</v>
      </c>
      <c r="H2035" t="s">
        <v>4979</v>
      </c>
      <c r="I2035">
        <v>1977</v>
      </c>
      <c r="J2035">
        <v>1977</v>
      </c>
      <c r="K2035" t="s">
        <v>4554</v>
      </c>
      <c r="L2035" t="s">
        <v>4555</v>
      </c>
      <c r="M2035" s="2">
        <v>1634</v>
      </c>
      <c r="N2035" t="s">
        <v>4048</v>
      </c>
      <c r="O2035">
        <v>3</v>
      </c>
      <c r="P2035">
        <v>2</v>
      </c>
      <c r="Q2035">
        <v>0</v>
      </c>
      <c r="R2035" t="s">
        <v>4557</v>
      </c>
      <c r="S2035" t="s">
        <v>4558</v>
      </c>
      <c r="T2035" t="s">
        <v>4559</v>
      </c>
      <c r="U2035" t="s">
        <v>4560</v>
      </c>
      <c r="V2035" s="2">
        <v>486</v>
      </c>
      <c r="W2035" t="s">
        <v>4655</v>
      </c>
      <c r="X2035" s="2">
        <v>0</v>
      </c>
      <c r="Y2035">
        <v>20</v>
      </c>
      <c r="Z2035" t="s">
        <v>5200</v>
      </c>
      <c r="AA2035" s="3">
        <v>0.23298898339271545</v>
      </c>
      <c r="AB2035" t="s">
        <v>13607</v>
      </c>
      <c r="AC2035" t="s">
        <v>4562</v>
      </c>
      <c r="AD2035" t="s">
        <v>13606</v>
      </c>
      <c r="AE2035" t="s">
        <v>4655</v>
      </c>
      <c r="AF2035" t="s">
        <v>5201</v>
      </c>
      <c r="AG2035" t="s">
        <v>4564</v>
      </c>
      <c r="AH2035" t="s">
        <v>5202</v>
      </c>
      <c r="AI2035" t="s">
        <v>13608</v>
      </c>
      <c r="AJ2035" t="s">
        <v>4655</v>
      </c>
      <c r="AK2035" t="s">
        <v>13609</v>
      </c>
      <c r="AL2035" s="13" t="s">
        <v>3425</v>
      </c>
      <c r="AM2035" s="14">
        <v>1</v>
      </c>
      <c r="AN2035" s="15" t="s">
        <v>3185</v>
      </c>
    </row>
    <row r="2036" spans="1:40" x14ac:dyDescent="0.3">
      <c r="A2036" s="10" t="str">
        <f>HYPERLINK("http://www.washoecounty.gov/assessor/cama/?parid=027-181-11&amp;CardNumber=1","027-181-11")</f>
        <v>027-181-11</v>
      </c>
      <c r="B2036" t="s">
        <v>4655</v>
      </c>
      <c r="C2036" t="s">
        <v>13610</v>
      </c>
      <c r="D2036" s="1">
        <v>40542</v>
      </c>
      <c r="E2036" s="2">
        <v>135000</v>
      </c>
      <c r="F2036" t="s">
        <v>4567</v>
      </c>
      <c r="G2036" s="17" t="str">
        <f>HYPERLINK("https://www.washoecounty.gov/assessor/cama/?command=sales&amp;parid=02718111","3959294")</f>
        <v>3959294</v>
      </c>
      <c r="H2036" t="s">
        <v>4979</v>
      </c>
      <c r="I2036">
        <v>1977</v>
      </c>
      <c r="J2036">
        <v>1977</v>
      </c>
      <c r="K2036" t="s">
        <v>4554</v>
      </c>
      <c r="L2036" t="s">
        <v>4555</v>
      </c>
      <c r="M2036" s="2">
        <v>1428</v>
      </c>
      <c r="N2036" t="s">
        <v>4048</v>
      </c>
      <c r="O2036">
        <v>3</v>
      </c>
      <c r="P2036">
        <v>2</v>
      </c>
      <c r="Q2036">
        <v>0</v>
      </c>
      <c r="R2036" t="s">
        <v>4557</v>
      </c>
      <c r="S2036" t="s">
        <v>4558</v>
      </c>
      <c r="T2036" t="s">
        <v>4559</v>
      </c>
      <c r="U2036" t="s">
        <v>4560</v>
      </c>
      <c r="V2036" s="2">
        <v>460</v>
      </c>
      <c r="W2036" t="s">
        <v>4655</v>
      </c>
      <c r="X2036" s="2">
        <v>0</v>
      </c>
      <c r="Y2036">
        <v>20</v>
      </c>
      <c r="Z2036" t="s">
        <v>5200</v>
      </c>
      <c r="AA2036" s="3">
        <v>0.23599632084369701</v>
      </c>
      <c r="AB2036" t="s">
        <v>13611</v>
      </c>
      <c r="AC2036" t="s">
        <v>4562</v>
      </c>
      <c r="AD2036" t="s">
        <v>13610</v>
      </c>
      <c r="AE2036" t="s">
        <v>4655</v>
      </c>
      <c r="AF2036" t="s">
        <v>5201</v>
      </c>
      <c r="AG2036" t="s">
        <v>4564</v>
      </c>
      <c r="AH2036" t="s">
        <v>5202</v>
      </c>
      <c r="AI2036" t="s">
        <v>4655</v>
      </c>
      <c r="AJ2036" t="s">
        <v>4655</v>
      </c>
      <c r="AK2036" t="s">
        <v>13612</v>
      </c>
      <c r="AL2036" s="13" t="s">
        <v>3425</v>
      </c>
      <c r="AM2036">
        <v>1</v>
      </c>
      <c r="AN2036" s="15" t="s">
        <v>3185</v>
      </c>
    </row>
    <row r="2037" spans="1:40" x14ac:dyDescent="0.3">
      <c r="A2037" s="10" t="str">
        <f>HYPERLINK("http://www.washoecounty.gov/assessor/cama/?parid=027-181-32&amp;CardNumber=1","027-181-32")</f>
        <v>027-181-32</v>
      </c>
      <c r="B2037" t="s">
        <v>4655</v>
      </c>
      <c r="C2037" t="s">
        <v>13613</v>
      </c>
      <c r="D2037" s="1">
        <v>40352</v>
      </c>
      <c r="E2037" s="2">
        <v>160197</v>
      </c>
      <c r="F2037" t="s">
        <v>4567</v>
      </c>
      <c r="G2037" s="17" t="str">
        <f>HYPERLINK("https://www.washoecounty.gov/assessor/cama/?command=sales&amp;parid=02718132","3894546")</f>
        <v>3894546</v>
      </c>
      <c r="H2037" t="s">
        <v>4979</v>
      </c>
      <c r="I2037">
        <v>1978</v>
      </c>
      <c r="J2037">
        <v>1978</v>
      </c>
      <c r="K2037" t="s">
        <v>4554</v>
      </c>
      <c r="L2037" t="s">
        <v>3974</v>
      </c>
      <c r="M2037" s="2">
        <v>2918</v>
      </c>
      <c r="N2037" t="s">
        <v>4048</v>
      </c>
      <c r="O2037">
        <v>4</v>
      </c>
      <c r="P2037">
        <v>3</v>
      </c>
      <c r="Q2037">
        <v>0</v>
      </c>
      <c r="R2037" t="s">
        <v>5281</v>
      </c>
      <c r="S2037" t="s">
        <v>4558</v>
      </c>
      <c r="T2037" t="s">
        <v>4559</v>
      </c>
      <c r="U2037" t="s">
        <v>5631</v>
      </c>
      <c r="V2037" s="2">
        <v>506</v>
      </c>
      <c r="W2037" t="s">
        <v>4655</v>
      </c>
      <c r="X2037" s="2">
        <v>0</v>
      </c>
      <c r="Y2037">
        <v>20</v>
      </c>
      <c r="Z2037" t="s">
        <v>4398</v>
      </c>
      <c r="AA2037" s="3">
        <v>0.25798898935317993</v>
      </c>
      <c r="AB2037" t="s">
        <v>13614</v>
      </c>
      <c r="AC2037" t="s">
        <v>4562</v>
      </c>
      <c r="AD2037" t="s">
        <v>13615</v>
      </c>
      <c r="AE2037" t="s">
        <v>4655</v>
      </c>
      <c r="AF2037" t="s">
        <v>13616</v>
      </c>
      <c r="AG2037" t="s">
        <v>4584</v>
      </c>
      <c r="AH2037" t="s">
        <v>13617</v>
      </c>
      <c r="AI2037" t="s">
        <v>13618</v>
      </c>
      <c r="AJ2037" t="s">
        <v>4655</v>
      </c>
      <c r="AK2037" t="s">
        <v>13619</v>
      </c>
      <c r="AL2037" s="13" t="s">
        <v>3425</v>
      </c>
      <c r="AM2037">
        <v>1</v>
      </c>
      <c r="AN2037" s="15" t="s">
        <v>3185</v>
      </c>
    </row>
    <row r="2038" spans="1:40" x14ac:dyDescent="0.3">
      <c r="A2038" s="10" t="str">
        <f>HYPERLINK("http://www.washoecounty.gov/assessor/cama/?parid=027-182-10&amp;CardNumber=1","027-182-10")</f>
        <v>027-182-10</v>
      </c>
      <c r="B2038" t="s">
        <v>4655</v>
      </c>
      <c r="C2038" t="s">
        <v>13620</v>
      </c>
      <c r="D2038" s="1">
        <v>40431</v>
      </c>
      <c r="E2038" s="2">
        <v>148000</v>
      </c>
      <c r="F2038" t="s">
        <v>4553</v>
      </c>
      <c r="G2038" s="17" t="str">
        <f>HYPERLINK("https://www.washoecounty.gov/assessor/cama/?command=sales&amp;parid=02718210","3921050")</f>
        <v>3921050</v>
      </c>
      <c r="H2038" t="s">
        <v>1706</v>
      </c>
      <c r="I2038">
        <v>1977</v>
      </c>
      <c r="J2038">
        <v>1977</v>
      </c>
      <c r="K2038" t="s">
        <v>4554</v>
      </c>
      <c r="L2038" t="s">
        <v>4555</v>
      </c>
      <c r="M2038" s="2">
        <v>1634</v>
      </c>
      <c r="N2038" t="s">
        <v>4048</v>
      </c>
      <c r="O2038">
        <v>3</v>
      </c>
      <c r="P2038">
        <v>2</v>
      </c>
      <c r="Q2038">
        <v>0</v>
      </c>
      <c r="R2038" t="s">
        <v>5281</v>
      </c>
      <c r="S2038" t="s">
        <v>4558</v>
      </c>
      <c r="T2038" t="s">
        <v>4559</v>
      </c>
      <c r="U2038" t="s">
        <v>4560</v>
      </c>
      <c r="V2038" s="2">
        <v>486</v>
      </c>
      <c r="W2038" t="s">
        <v>4655</v>
      </c>
      <c r="X2038" s="2">
        <v>0</v>
      </c>
      <c r="Y2038">
        <v>20</v>
      </c>
      <c r="Z2038" t="s">
        <v>5200</v>
      </c>
      <c r="AA2038" s="3">
        <v>0.14400826394558</v>
      </c>
      <c r="AB2038" t="s">
        <v>13621</v>
      </c>
      <c r="AC2038" t="s">
        <v>4562</v>
      </c>
      <c r="AD2038" t="s">
        <v>13622</v>
      </c>
      <c r="AE2038" t="s">
        <v>4655</v>
      </c>
      <c r="AF2038" t="s">
        <v>5201</v>
      </c>
      <c r="AG2038" t="s">
        <v>4564</v>
      </c>
      <c r="AH2038" t="s">
        <v>5202</v>
      </c>
      <c r="AI2038" t="s">
        <v>1920</v>
      </c>
      <c r="AJ2038" t="s">
        <v>4655</v>
      </c>
      <c r="AK2038" t="s">
        <v>13623</v>
      </c>
      <c r="AL2038" s="13" t="s">
        <v>3425</v>
      </c>
      <c r="AM2038">
        <v>1</v>
      </c>
      <c r="AN2038" s="15" t="s">
        <v>3185</v>
      </c>
    </row>
    <row r="2039" spans="1:40" x14ac:dyDescent="0.3">
      <c r="A2039" s="10" t="str">
        <f>HYPERLINK("http://www.washoecounty.gov/assessor/cama/?parid=027-232-02&amp;CardNumber=1","027-232-02")</f>
        <v>027-232-02</v>
      </c>
      <c r="B2039" t="s">
        <v>4655</v>
      </c>
      <c r="C2039" t="s">
        <v>13624</v>
      </c>
      <c r="D2039" s="1">
        <v>40339</v>
      </c>
      <c r="E2039" s="2">
        <v>106000</v>
      </c>
      <c r="F2039" t="s">
        <v>4567</v>
      </c>
      <c r="G2039" s="17" t="str">
        <f>HYPERLINK("https://www.washoecounty.gov/assessor/cama/?command=sales&amp;parid=02723202","3890305")</f>
        <v>3890305</v>
      </c>
      <c r="H2039" t="s">
        <v>4001</v>
      </c>
      <c r="I2039">
        <v>1959</v>
      </c>
      <c r="J2039">
        <v>1959</v>
      </c>
      <c r="K2039" t="s">
        <v>4554</v>
      </c>
      <c r="L2039" t="s">
        <v>4555</v>
      </c>
      <c r="M2039" s="2">
        <v>1092</v>
      </c>
      <c r="N2039" t="s">
        <v>4556</v>
      </c>
      <c r="O2039">
        <v>3</v>
      </c>
      <c r="P2039">
        <v>1</v>
      </c>
      <c r="Q2039">
        <v>0</v>
      </c>
      <c r="R2039" t="s">
        <v>4557</v>
      </c>
      <c r="S2039" t="s">
        <v>4558</v>
      </c>
      <c r="T2039" t="s">
        <v>4559</v>
      </c>
      <c r="U2039" t="s">
        <v>4560</v>
      </c>
      <c r="V2039" s="2">
        <v>300</v>
      </c>
      <c r="W2039" t="s">
        <v>4655</v>
      </c>
      <c r="X2039" s="2">
        <v>0</v>
      </c>
      <c r="Y2039">
        <v>20</v>
      </c>
      <c r="Z2039" t="s">
        <v>5200</v>
      </c>
      <c r="AA2039" s="3">
        <v>0.18599632382392883</v>
      </c>
      <c r="AB2039" t="s">
        <v>13625</v>
      </c>
      <c r="AC2039" t="s">
        <v>4562</v>
      </c>
      <c r="AD2039" t="s">
        <v>13626</v>
      </c>
      <c r="AE2039" t="s">
        <v>4655</v>
      </c>
      <c r="AF2039" t="s">
        <v>4809</v>
      </c>
      <c r="AG2039" t="s">
        <v>4564</v>
      </c>
      <c r="AH2039" t="s">
        <v>5202</v>
      </c>
      <c r="AI2039" t="s">
        <v>13627</v>
      </c>
      <c r="AJ2039" t="s">
        <v>4655</v>
      </c>
      <c r="AK2039" t="s">
        <v>13628</v>
      </c>
      <c r="AL2039" s="13" t="s">
        <v>1886</v>
      </c>
      <c r="AM2039" s="14">
        <v>1</v>
      </c>
      <c r="AN2039" s="15" t="s">
        <v>5158</v>
      </c>
    </row>
    <row r="2040" spans="1:40" x14ac:dyDescent="0.3">
      <c r="A2040" s="10" t="str">
        <f>HYPERLINK("http://www.washoecounty.gov/assessor/cama/?parid=027-232-08&amp;CardNumber=1","027-232-08")</f>
        <v>027-232-08</v>
      </c>
      <c r="B2040" t="s">
        <v>4655</v>
      </c>
      <c r="C2040" t="s">
        <v>13629</v>
      </c>
      <c r="D2040" s="1">
        <v>40360</v>
      </c>
      <c r="E2040" s="2">
        <v>94000</v>
      </c>
      <c r="F2040" t="s">
        <v>4567</v>
      </c>
      <c r="G2040" s="17" t="str">
        <f>HYPERLINK("https://www.washoecounty.gov/assessor/cama/?command=sales&amp;parid=02723208","3897613")</f>
        <v>3897613</v>
      </c>
      <c r="H2040" t="s">
        <v>4001</v>
      </c>
      <c r="I2040">
        <v>1959</v>
      </c>
      <c r="J2040">
        <v>1959</v>
      </c>
      <c r="K2040" t="s">
        <v>4554</v>
      </c>
      <c r="L2040" t="s">
        <v>4555</v>
      </c>
      <c r="M2040" s="2">
        <v>1092</v>
      </c>
      <c r="N2040" t="s">
        <v>4556</v>
      </c>
      <c r="O2040">
        <v>3</v>
      </c>
      <c r="P2040">
        <v>1</v>
      </c>
      <c r="Q2040">
        <v>0</v>
      </c>
      <c r="R2040" t="s">
        <v>4557</v>
      </c>
      <c r="S2040" t="s">
        <v>4135</v>
      </c>
      <c r="T2040" t="s">
        <v>4559</v>
      </c>
      <c r="U2040" t="s">
        <v>4560</v>
      </c>
      <c r="V2040" s="2">
        <v>300</v>
      </c>
      <c r="W2040" t="s">
        <v>4655</v>
      </c>
      <c r="X2040" s="2">
        <v>0</v>
      </c>
      <c r="Y2040">
        <v>20</v>
      </c>
      <c r="Z2040" t="s">
        <v>5200</v>
      </c>
      <c r="AA2040" s="3">
        <v>0.19299817085266099</v>
      </c>
      <c r="AB2040" t="s">
        <v>13630</v>
      </c>
      <c r="AC2040" t="s">
        <v>4562</v>
      </c>
      <c r="AD2040" t="s">
        <v>13631</v>
      </c>
      <c r="AE2040" t="s">
        <v>4655</v>
      </c>
      <c r="AF2040" t="s">
        <v>4809</v>
      </c>
      <c r="AG2040" t="s">
        <v>4564</v>
      </c>
      <c r="AH2040" t="s">
        <v>5202</v>
      </c>
      <c r="AI2040" t="s">
        <v>13632</v>
      </c>
      <c r="AJ2040" t="s">
        <v>4655</v>
      </c>
      <c r="AK2040" t="s">
        <v>13633</v>
      </c>
      <c r="AL2040" s="13" t="s">
        <v>1886</v>
      </c>
      <c r="AM2040">
        <v>1</v>
      </c>
      <c r="AN2040" s="15" t="s">
        <v>5158</v>
      </c>
    </row>
    <row r="2041" spans="1:40" x14ac:dyDescent="0.3">
      <c r="A2041" s="10" t="str">
        <f>HYPERLINK("http://www.washoecounty.gov/assessor/cama/?parid=027-233-09&amp;CardNumber=1","027-233-09")</f>
        <v>027-233-09</v>
      </c>
      <c r="B2041" t="s">
        <v>4655</v>
      </c>
      <c r="C2041" t="s">
        <v>13634</v>
      </c>
      <c r="D2041" s="1">
        <v>40344</v>
      </c>
      <c r="E2041" s="2">
        <v>105000</v>
      </c>
      <c r="F2041" t="s">
        <v>4553</v>
      </c>
      <c r="G2041" s="17" t="str">
        <f>HYPERLINK("https://www.washoecounty.gov/assessor/cama/?command=sales&amp;parid=02723309","3892004")</f>
        <v>3892004</v>
      </c>
      <c r="H2041" t="s">
        <v>4001</v>
      </c>
      <c r="I2041">
        <v>1959</v>
      </c>
      <c r="J2041">
        <v>1959</v>
      </c>
      <c r="K2041" t="s">
        <v>4554</v>
      </c>
      <c r="L2041" t="s">
        <v>4555</v>
      </c>
      <c r="M2041" s="2">
        <v>1044</v>
      </c>
      <c r="N2041" t="s">
        <v>4556</v>
      </c>
      <c r="O2041">
        <v>3</v>
      </c>
      <c r="P2041">
        <v>1</v>
      </c>
      <c r="Q2041">
        <v>0</v>
      </c>
      <c r="R2041" t="s">
        <v>4557</v>
      </c>
      <c r="S2041" t="s">
        <v>4574</v>
      </c>
      <c r="T2041" t="s">
        <v>4559</v>
      </c>
      <c r="U2041" t="s">
        <v>4655</v>
      </c>
      <c r="V2041" s="2">
        <v>0</v>
      </c>
      <c r="W2041" t="s">
        <v>4655</v>
      </c>
      <c r="X2041" s="2">
        <v>0</v>
      </c>
      <c r="Y2041">
        <v>20</v>
      </c>
      <c r="Z2041" t="s">
        <v>5200</v>
      </c>
      <c r="AA2041" s="3">
        <v>0.14499540627002699</v>
      </c>
      <c r="AB2041" t="s">
        <v>13635</v>
      </c>
      <c r="AC2041" t="s">
        <v>4562</v>
      </c>
      <c r="AD2041" t="s">
        <v>13636</v>
      </c>
      <c r="AE2041" t="s">
        <v>4655</v>
      </c>
      <c r="AF2041" t="s">
        <v>4809</v>
      </c>
      <c r="AG2041" t="s">
        <v>4564</v>
      </c>
      <c r="AH2041" t="s">
        <v>5202</v>
      </c>
      <c r="AI2041" t="s">
        <v>4565</v>
      </c>
      <c r="AJ2041" t="s">
        <v>4655</v>
      </c>
      <c r="AK2041" t="s">
        <v>13637</v>
      </c>
      <c r="AL2041" s="13" t="s">
        <v>1886</v>
      </c>
      <c r="AM2041">
        <v>1</v>
      </c>
      <c r="AN2041" s="15" t="s">
        <v>5158</v>
      </c>
    </row>
    <row r="2042" spans="1:40" x14ac:dyDescent="0.3">
      <c r="A2042" s="10" t="str">
        <f>HYPERLINK("http://www.washoecounty.gov/assessor/cama/?parid=027-233-23&amp;CardNumber=1","027-233-23")</f>
        <v>027-233-23</v>
      </c>
      <c r="B2042" t="s">
        <v>4655</v>
      </c>
      <c r="C2042" t="s">
        <v>13638</v>
      </c>
      <c r="D2042" s="1">
        <v>40358</v>
      </c>
      <c r="E2042" s="2">
        <v>129250</v>
      </c>
      <c r="F2042" t="s">
        <v>4553</v>
      </c>
      <c r="G2042" s="17" t="str">
        <f>HYPERLINK("https://www.washoecounty.gov/assessor/cama/?command=sales&amp;parid=02723323","3896781")</f>
        <v>3896781</v>
      </c>
      <c r="H2042" t="s">
        <v>4001</v>
      </c>
      <c r="I2042">
        <v>1959</v>
      </c>
      <c r="J2042">
        <v>1959</v>
      </c>
      <c r="K2042" t="s">
        <v>4554</v>
      </c>
      <c r="L2042" t="s">
        <v>4555</v>
      </c>
      <c r="M2042" s="2">
        <v>1092</v>
      </c>
      <c r="N2042" t="s">
        <v>4556</v>
      </c>
      <c r="O2042">
        <v>3</v>
      </c>
      <c r="P2042">
        <v>2</v>
      </c>
      <c r="Q2042">
        <v>0</v>
      </c>
      <c r="R2042" t="s">
        <v>4557</v>
      </c>
      <c r="S2042" t="s">
        <v>4574</v>
      </c>
      <c r="T2042" t="s">
        <v>4559</v>
      </c>
      <c r="U2042" t="s">
        <v>4560</v>
      </c>
      <c r="V2042" s="2">
        <v>450</v>
      </c>
      <c r="W2042" t="s">
        <v>4655</v>
      </c>
      <c r="X2042" s="2">
        <v>0</v>
      </c>
      <c r="Y2042">
        <v>20</v>
      </c>
      <c r="Z2042" t="s">
        <v>5200</v>
      </c>
      <c r="AA2042" s="3">
        <v>0.17199265956878662</v>
      </c>
      <c r="AB2042" t="s">
        <v>1071</v>
      </c>
      <c r="AC2042" t="s">
        <v>4575</v>
      </c>
      <c r="AD2042" t="s">
        <v>1910</v>
      </c>
      <c r="AE2042" t="s">
        <v>4655</v>
      </c>
      <c r="AF2042" t="s">
        <v>4563</v>
      </c>
      <c r="AG2042" t="s">
        <v>4564</v>
      </c>
      <c r="AH2042">
        <v>89501</v>
      </c>
      <c r="AI2042" t="s">
        <v>4202</v>
      </c>
      <c r="AJ2042" t="s">
        <v>4655</v>
      </c>
      <c r="AK2042" t="s">
        <v>13639</v>
      </c>
      <c r="AL2042" s="13" t="s">
        <v>1886</v>
      </c>
      <c r="AM2042">
        <v>1</v>
      </c>
      <c r="AN2042" s="15" t="s">
        <v>5158</v>
      </c>
    </row>
    <row r="2043" spans="1:40" x14ac:dyDescent="0.3">
      <c r="A2043" s="10" t="str">
        <f>HYPERLINK("http://www.washoecounty.gov/assessor/cama/?parid=027-261-01&amp;CardNumber=1","027-261-01")</f>
        <v>027-261-01</v>
      </c>
      <c r="B2043" t="s">
        <v>4655</v>
      </c>
      <c r="C2043" t="s">
        <v>13640</v>
      </c>
      <c r="D2043" s="1">
        <v>40358</v>
      </c>
      <c r="E2043" s="2">
        <v>103500</v>
      </c>
      <c r="F2043" t="s">
        <v>4553</v>
      </c>
      <c r="G2043" s="17" t="str">
        <f>HYPERLINK("https://www.washoecounty.gov/assessor/cama/?command=sales&amp;parid=02726101","3896759")</f>
        <v>3896759</v>
      </c>
      <c r="H2043" t="s">
        <v>5541</v>
      </c>
      <c r="I2043">
        <v>1964</v>
      </c>
      <c r="J2043">
        <v>1964</v>
      </c>
      <c r="K2043" t="s">
        <v>4554</v>
      </c>
      <c r="L2043" t="s">
        <v>4555</v>
      </c>
      <c r="M2043" s="2">
        <v>1398</v>
      </c>
      <c r="N2043" t="s">
        <v>4048</v>
      </c>
      <c r="O2043">
        <v>5</v>
      </c>
      <c r="P2043">
        <v>2</v>
      </c>
      <c r="Q2043">
        <v>0</v>
      </c>
      <c r="R2043" t="s">
        <v>4557</v>
      </c>
      <c r="S2043" t="s">
        <v>3148</v>
      </c>
      <c r="T2043" t="s">
        <v>4559</v>
      </c>
      <c r="U2043" t="s">
        <v>4560</v>
      </c>
      <c r="V2043" s="2">
        <v>380</v>
      </c>
      <c r="W2043" t="s">
        <v>4655</v>
      </c>
      <c r="X2043" s="2">
        <v>0</v>
      </c>
      <c r="Y2043">
        <v>20</v>
      </c>
      <c r="Z2043" t="s">
        <v>5200</v>
      </c>
      <c r="AA2043" s="3">
        <v>0.19499540328979501</v>
      </c>
      <c r="AB2043" t="s">
        <v>13641</v>
      </c>
      <c r="AC2043" t="s">
        <v>4562</v>
      </c>
      <c r="AD2043" t="s">
        <v>13640</v>
      </c>
      <c r="AE2043" t="s">
        <v>4655</v>
      </c>
      <c r="AF2043" t="s">
        <v>5201</v>
      </c>
      <c r="AG2043" t="s">
        <v>4564</v>
      </c>
      <c r="AH2043" t="s">
        <v>5202</v>
      </c>
      <c r="AI2043" t="s">
        <v>4655</v>
      </c>
      <c r="AJ2043" t="s">
        <v>4655</v>
      </c>
      <c r="AK2043" t="s">
        <v>13642</v>
      </c>
      <c r="AL2043" s="13" t="s">
        <v>1886</v>
      </c>
      <c r="AM2043" s="14">
        <v>1</v>
      </c>
      <c r="AN2043" s="15" t="s">
        <v>5156</v>
      </c>
    </row>
    <row r="2044" spans="1:40" x14ac:dyDescent="0.3">
      <c r="A2044" s="10" t="str">
        <f>HYPERLINK("http://www.washoecounty.gov/assessor/cama/?parid=027-261-07&amp;CardNumber=1","027-261-07")</f>
        <v>027-261-07</v>
      </c>
      <c r="B2044" t="s">
        <v>4655</v>
      </c>
      <c r="C2044" t="s">
        <v>13643</v>
      </c>
      <c r="D2044" s="1">
        <v>40388</v>
      </c>
      <c r="E2044" s="2">
        <v>105000</v>
      </c>
      <c r="F2044" t="s">
        <v>4553</v>
      </c>
      <c r="G2044" s="17" t="str">
        <f>HYPERLINK("https://www.washoecounty.gov/assessor/cama/?command=sales&amp;parid=02726107","3906504")</f>
        <v>3906504</v>
      </c>
      <c r="H2044" t="s">
        <v>5541</v>
      </c>
      <c r="I2044">
        <v>1964</v>
      </c>
      <c r="J2044">
        <v>1964</v>
      </c>
      <c r="K2044" t="s">
        <v>4554</v>
      </c>
      <c r="L2044" t="s">
        <v>4555</v>
      </c>
      <c r="M2044" s="2">
        <v>1398</v>
      </c>
      <c r="N2044" t="s">
        <v>4048</v>
      </c>
      <c r="O2044">
        <v>4</v>
      </c>
      <c r="P2044">
        <v>2</v>
      </c>
      <c r="Q2044">
        <v>0</v>
      </c>
      <c r="R2044" t="s">
        <v>4557</v>
      </c>
      <c r="S2044" t="s">
        <v>3148</v>
      </c>
      <c r="T2044" t="s">
        <v>4559</v>
      </c>
      <c r="U2044" t="s">
        <v>4560</v>
      </c>
      <c r="V2044" s="2">
        <v>380</v>
      </c>
      <c r="W2044" t="s">
        <v>4655</v>
      </c>
      <c r="X2044" s="2">
        <v>0</v>
      </c>
      <c r="Y2044">
        <v>20</v>
      </c>
      <c r="Z2044" t="s">
        <v>5200</v>
      </c>
      <c r="AA2044" s="3">
        <v>0.17199265956878662</v>
      </c>
      <c r="AB2044" t="s">
        <v>13644</v>
      </c>
      <c r="AC2044" t="s">
        <v>4562</v>
      </c>
      <c r="AD2044" t="s">
        <v>13645</v>
      </c>
      <c r="AE2044" t="s">
        <v>4655</v>
      </c>
      <c r="AF2044" t="s">
        <v>13646</v>
      </c>
      <c r="AG2044" t="s">
        <v>4564</v>
      </c>
      <c r="AH2044">
        <v>89406</v>
      </c>
      <c r="AI2044" t="s">
        <v>4565</v>
      </c>
      <c r="AJ2044" t="s">
        <v>4655</v>
      </c>
      <c r="AK2044" t="s">
        <v>13647</v>
      </c>
      <c r="AL2044" s="13" t="s">
        <v>1886</v>
      </c>
      <c r="AM2044">
        <v>1</v>
      </c>
      <c r="AN2044" s="15" t="s">
        <v>5156</v>
      </c>
    </row>
    <row r="2045" spans="1:40" x14ac:dyDescent="0.3">
      <c r="A2045" s="10" t="str">
        <f>HYPERLINK("http://www.washoecounty.gov/assessor/cama/?parid=027-262-06&amp;CardNumber=1","027-262-06")</f>
        <v>027-262-06</v>
      </c>
      <c r="B2045" t="s">
        <v>4655</v>
      </c>
      <c r="C2045" t="s">
        <v>13648</v>
      </c>
      <c r="D2045" s="1">
        <v>40294</v>
      </c>
      <c r="E2045" s="2">
        <v>103500</v>
      </c>
      <c r="F2045" t="s">
        <v>4567</v>
      </c>
      <c r="G2045" s="17" t="str">
        <f>HYPERLINK("https://www.washoecounty.gov/assessor/cama/?command=sales&amp;parid=02726206","3874630")</f>
        <v>3874630</v>
      </c>
      <c r="H2045" t="s">
        <v>5541</v>
      </c>
      <c r="I2045">
        <v>1964</v>
      </c>
      <c r="J2045">
        <v>1964</v>
      </c>
      <c r="K2045" t="s">
        <v>4554</v>
      </c>
      <c r="L2045" t="s">
        <v>4555</v>
      </c>
      <c r="M2045" s="2">
        <v>1410</v>
      </c>
      <c r="N2045" t="s">
        <v>4048</v>
      </c>
      <c r="O2045">
        <v>3</v>
      </c>
      <c r="P2045">
        <v>2</v>
      </c>
      <c r="Q2045">
        <v>0</v>
      </c>
      <c r="R2045" t="s">
        <v>5281</v>
      </c>
      <c r="S2045" t="s">
        <v>3148</v>
      </c>
      <c r="T2045" t="s">
        <v>4559</v>
      </c>
      <c r="U2045" t="s">
        <v>4560</v>
      </c>
      <c r="V2045" s="2">
        <v>455</v>
      </c>
      <c r="W2045" t="s">
        <v>4655</v>
      </c>
      <c r="X2045" s="2">
        <v>0</v>
      </c>
      <c r="Y2045">
        <v>20</v>
      </c>
      <c r="Z2045" t="s">
        <v>5200</v>
      </c>
      <c r="AA2045" s="3">
        <v>0.14898990094661699</v>
      </c>
      <c r="AB2045" t="s">
        <v>13649</v>
      </c>
      <c r="AC2045" t="s">
        <v>4575</v>
      </c>
      <c r="AD2045" t="s">
        <v>13648</v>
      </c>
      <c r="AE2045" t="s">
        <v>4655</v>
      </c>
      <c r="AF2045" t="s">
        <v>5201</v>
      </c>
      <c r="AG2045" t="s">
        <v>4564</v>
      </c>
      <c r="AH2045" t="s">
        <v>5202</v>
      </c>
      <c r="AI2045" t="s">
        <v>13650</v>
      </c>
      <c r="AJ2045" t="s">
        <v>4655</v>
      </c>
      <c r="AK2045" t="s">
        <v>13651</v>
      </c>
      <c r="AL2045" s="13" t="s">
        <v>1886</v>
      </c>
      <c r="AM2045" s="14">
        <v>1</v>
      </c>
      <c r="AN2045" s="15" t="s">
        <v>5156</v>
      </c>
    </row>
    <row r="2046" spans="1:40" x14ac:dyDescent="0.3">
      <c r="A2046" s="10" t="str">
        <f>HYPERLINK("http://www.washoecounty.gov/assessor/cama/?parid=027-264-08&amp;CardNumber=1","027-264-08")</f>
        <v>027-264-08</v>
      </c>
      <c r="B2046" t="s">
        <v>4655</v>
      </c>
      <c r="C2046" t="s">
        <v>13652</v>
      </c>
      <c r="D2046" s="1">
        <v>40499</v>
      </c>
      <c r="E2046" s="2">
        <v>139000</v>
      </c>
      <c r="F2046" t="s">
        <v>4553</v>
      </c>
      <c r="G2046" s="17" t="str">
        <f>HYPERLINK("https://www.washoecounty.gov/assessor/cama/?command=sales&amp;parid=02726408","3943875")</f>
        <v>3943875</v>
      </c>
      <c r="H2046" t="s">
        <v>5541</v>
      </c>
      <c r="I2046">
        <v>1964</v>
      </c>
      <c r="J2046">
        <v>1965</v>
      </c>
      <c r="K2046" t="s">
        <v>4554</v>
      </c>
      <c r="L2046" t="s">
        <v>4555</v>
      </c>
      <c r="M2046" s="2">
        <v>1716</v>
      </c>
      <c r="N2046" t="s">
        <v>4048</v>
      </c>
      <c r="O2046">
        <v>3</v>
      </c>
      <c r="P2046">
        <v>2</v>
      </c>
      <c r="Q2046">
        <v>0</v>
      </c>
      <c r="R2046" t="s">
        <v>5281</v>
      </c>
      <c r="S2046" t="s">
        <v>3148</v>
      </c>
      <c r="T2046" t="s">
        <v>4559</v>
      </c>
      <c r="U2046" t="s">
        <v>4560</v>
      </c>
      <c r="V2046" s="2">
        <v>455</v>
      </c>
      <c r="W2046" t="s">
        <v>4655</v>
      </c>
      <c r="X2046" s="2">
        <v>0</v>
      </c>
      <c r="Y2046">
        <v>20</v>
      </c>
      <c r="Z2046" t="s">
        <v>5200</v>
      </c>
      <c r="AA2046" s="3">
        <v>0.17199265956878662</v>
      </c>
      <c r="AB2046" t="s">
        <v>727</v>
      </c>
      <c r="AC2046" t="s">
        <v>4562</v>
      </c>
      <c r="AD2046" t="s">
        <v>13652</v>
      </c>
      <c r="AE2046" t="s">
        <v>4655</v>
      </c>
      <c r="AF2046" t="s">
        <v>5201</v>
      </c>
      <c r="AG2046" t="s">
        <v>4564</v>
      </c>
      <c r="AH2046" t="s">
        <v>5202</v>
      </c>
      <c r="AI2046" t="s">
        <v>4655</v>
      </c>
      <c r="AJ2046" t="s">
        <v>4655</v>
      </c>
      <c r="AK2046" t="s">
        <v>13653</v>
      </c>
      <c r="AL2046" s="13" t="s">
        <v>1886</v>
      </c>
      <c r="AM2046" s="14">
        <v>1</v>
      </c>
      <c r="AN2046" s="15" t="s">
        <v>5156</v>
      </c>
    </row>
    <row r="2047" spans="1:40" x14ac:dyDescent="0.3">
      <c r="A2047" s="10" t="str">
        <f>HYPERLINK("http://www.washoecounty.gov/assessor/cama/?parid=027-264-17&amp;CardNumber=1","027-264-17")</f>
        <v>027-264-17</v>
      </c>
      <c r="B2047" t="s">
        <v>4655</v>
      </c>
      <c r="C2047" t="s">
        <v>13654</v>
      </c>
      <c r="D2047" s="1">
        <v>40478</v>
      </c>
      <c r="E2047" s="2">
        <v>135000</v>
      </c>
      <c r="F2047" t="s">
        <v>4567</v>
      </c>
      <c r="G2047" s="17" t="str">
        <f>HYPERLINK("https://www.washoecounty.gov/assessor/cama/?command=sales&amp;parid=02726417","3937048")</f>
        <v>3937048</v>
      </c>
      <c r="H2047" t="s">
        <v>13655</v>
      </c>
      <c r="I2047">
        <v>1965</v>
      </c>
      <c r="J2047">
        <v>1967</v>
      </c>
      <c r="K2047" t="s">
        <v>4554</v>
      </c>
      <c r="L2047" t="s">
        <v>4555</v>
      </c>
      <c r="M2047" s="2">
        <v>2098</v>
      </c>
      <c r="N2047" t="s">
        <v>4048</v>
      </c>
      <c r="O2047">
        <v>4</v>
      </c>
      <c r="P2047">
        <v>2</v>
      </c>
      <c r="Q2047">
        <v>0</v>
      </c>
      <c r="R2047" t="s">
        <v>4557</v>
      </c>
      <c r="S2047" t="s">
        <v>3148</v>
      </c>
      <c r="T2047" t="s">
        <v>4559</v>
      </c>
      <c r="U2047" t="s">
        <v>4560</v>
      </c>
      <c r="V2047" s="2">
        <v>410</v>
      </c>
      <c r="W2047" t="s">
        <v>4655</v>
      </c>
      <c r="X2047" s="2">
        <v>0</v>
      </c>
      <c r="Y2047">
        <v>20</v>
      </c>
      <c r="Z2047" t="s">
        <v>5200</v>
      </c>
      <c r="AA2047" s="3">
        <v>0.17699724435806299</v>
      </c>
      <c r="AB2047" t="s">
        <v>13656</v>
      </c>
      <c r="AC2047" t="s">
        <v>4562</v>
      </c>
      <c r="AD2047" t="s">
        <v>13654</v>
      </c>
      <c r="AE2047" t="s">
        <v>4655</v>
      </c>
      <c r="AF2047" t="s">
        <v>5201</v>
      </c>
      <c r="AG2047" t="s">
        <v>4564</v>
      </c>
      <c r="AH2047" t="s">
        <v>5202</v>
      </c>
      <c r="AI2047" t="s">
        <v>13657</v>
      </c>
      <c r="AJ2047" t="s">
        <v>4655</v>
      </c>
      <c r="AK2047" t="s">
        <v>13658</v>
      </c>
      <c r="AL2047" s="13" t="s">
        <v>1886</v>
      </c>
      <c r="AM2047">
        <v>1</v>
      </c>
      <c r="AN2047" s="15" t="s">
        <v>5156</v>
      </c>
    </row>
    <row r="2048" spans="1:40" x14ac:dyDescent="0.3">
      <c r="A2048" s="10" t="str">
        <f>HYPERLINK("http://www.washoecounty.gov/assessor/cama/?parid=027-264-32&amp;CardNumber=1","027-264-32")</f>
        <v>027-264-32</v>
      </c>
      <c r="B2048" t="s">
        <v>4655</v>
      </c>
      <c r="C2048" t="s">
        <v>13659</v>
      </c>
      <c r="D2048" s="1">
        <v>40442</v>
      </c>
      <c r="E2048" s="2">
        <v>112000</v>
      </c>
      <c r="F2048" t="s">
        <v>4553</v>
      </c>
      <c r="G2048" s="17" t="str">
        <f>HYPERLINK("https://www.washoecounty.gov/assessor/cama/?command=sales&amp;parid=02726432","3924732")</f>
        <v>3924732</v>
      </c>
      <c r="H2048" t="s">
        <v>13660</v>
      </c>
      <c r="I2048">
        <v>1972</v>
      </c>
      <c r="J2048">
        <v>1972</v>
      </c>
      <c r="K2048" t="s">
        <v>4554</v>
      </c>
      <c r="L2048" t="s">
        <v>4555</v>
      </c>
      <c r="M2048" s="2">
        <v>1508</v>
      </c>
      <c r="N2048" t="s">
        <v>4048</v>
      </c>
      <c r="O2048">
        <v>3</v>
      </c>
      <c r="P2048">
        <v>2</v>
      </c>
      <c r="Q2048">
        <v>0</v>
      </c>
      <c r="R2048" t="s">
        <v>4557</v>
      </c>
      <c r="S2048" t="s">
        <v>4135</v>
      </c>
      <c r="T2048" t="s">
        <v>4143</v>
      </c>
      <c r="U2048" t="s">
        <v>4560</v>
      </c>
      <c r="V2048" s="2">
        <v>504</v>
      </c>
      <c r="W2048" t="s">
        <v>4655</v>
      </c>
      <c r="X2048" s="2">
        <v>0</v>
      </c>
      <c r="Y2048">
        <v>20</v>
      </c>
      <c r="Z2048" t="s">
        <v>5200</v>
      </c>
      <c r="AA2048" s="3">
        <v>0.17699724435806299</v>
      </c>
      <c r="AB2048" t="s">
        <v>13661</v>
      </c>
      <c r="AC2048" t="s">
        <v>4562</v>
      </c>
      <c r="AD2048" t="s">
        <v>13659</v>
      </c>
      <c r="AE2048" t="s">
        <v>4655</v>
      </c>
      <c r="AF2048" t="s">
        <v>5201</v>
      </c>
      <c r="AG2048" t="s">
        <v>4564</v>
      </c>
      <c r="AH2048" t="s">
        <v>3898</v>
      </c>
      <c r="AI2048" t="s">
        <v>4655</v>
      </c>
      <c r="AJ2048" t="s">
        <v>4655</v>
      </c>
      <c r="AK2048" t="s">
        <v>13662</v>
      </c>
      <c r="AL2048" s="13" t="s">
        <v>1886</v>
      </c>
      <c r="AM2048" s="14">
        <v>1</v>
      </c>
      <c r="AN2048" s="15" t="s">
        <v>5156</v>
      </c>
    </row>
    <row r="2049" spans="1:40" x14ac:dyDescent="0.3">
      <c r="A2049" s="10" t="str">
        <f>HYPERLINK("http://www.washoecounty.gov/assessor/cama/?parid=027-264-33&amp;CardNumber=1","027-264-33")</f>
        <v>027-264-33</v>
      </c>
      <c r="B2049" t="s">
        <v>4655</v>
      </c>
      <c r="C2049" t="s">
        <v>13663</v>
      </c>
      <c r="D2049" s="1">
        <v>40539</v>
      </c>
      <c r="E2049" s="2">
        <v>100000</v>
      </c>
      <c r="F2049" t="s">
        <v>4567</v>
      </c>
      <c r="G2049" s="17" t="str">
        <f>HYPERLINK("https://www.washoecounty.gov/assessor/cama/?command=sales&amp;parid=02726433","3957630")</f>
        <v>3957630</v>
      </c>
      <c r="H2049" t="s">
        <v>13660</v>
      </c>
      <c r="I2049">
        <v>1972</v>
      </c>
      <c r="J2049">
        <v>1972</v>
      </c>
      <c r="K2049" t="s">
        <v>4554</v>
      </c>
      <c r="L2049" t="s">
        <v>4555</v>
      </c>
      <c r="M2049" s="2">
        <v>1508</v>
      </c>
      <c r="N2049" t="s">
        <v>4048</v>
      </c>
      <c r="O2049">
        <v>3</v>
      </c>
      <c r="P2049">
        <v>2</v>
      </c>
      <c r="Q2049">
        <v>0</v>
      </c>
      <c r="R2049" t="s">
        <v>4557</v>
      </c>
      <c r="S2049" t="s">
        <v>4135</v>
      </c>
      <c r="T2049" t="s">
        <v>4559</v>
      </c>
      <c r="U2049" t="s">
        <v>4560</v>
      </c>
      <c r="V2049" s="2">
        <v>504</v>
      </c>
      <c r="W2049" t="s">
        <v>4655</v>
      </c>
      <c r="X2049" s="2">
        <v>0</v>
      </c>
      <c r="Y2049">
        <v>20</v>
      </c>
      <c r="Z2049" t="s">
        <v>5200</v>
      </c>
      <c r="AA2049" s="3">
        <v>0.18399907648563399</v>
      </c>
      <c r="AB2049" t="s">
        <v>13664</v>
      </c>
      <c r="AC2049" t="s">
        <v>4562</v>
      </c>
      <c r="AD2049" t="s">
        <v>13663</v>
      </c>
      <c r="AE2049" t="s">
        <v>4655</v>
      </c>
      <c r="AF2049" t="s">
        <v>5201</v>
      </c>
      <c r="AG2049" t="s">
        <v>4564</v>
      </c>
      <c r="AH2049" t="s">
        <v>5202</v>
      </c>
      <c r="AI2049" t="s">
        <v>13665</v>
      </c>
      <c r="AJ2049" t="s">
        <v>4655</v>
      </c>
      <c r="AK2049" t="s">
        <v>13666</v>
      </c>
      <c r="AL2049" s="13" t="s">
        <v>1886</v>
      </c>
      <c r="AM2049">
        <v>1</v>
      </c>
      <c r="AN2049" s="15" t="s">
        <v>5156</v>
      </c>
    </row>
    <row r="2050" spans="1:40" x14ac:dyDescent="0.3">
      <c r="A2050" s="10" t="str">
        <f>HYPERLINK("http://www.washoecounty.gov/assessor/cama/?parid=027-265-02&amp;CardNumber=1","027-265-02")</f>
        <v>027-265-02</v>
      </c>
      <c r="B2050" t="s">
        <v>4655</v>
      </c>
      <c r="C2050" t="s">
        <v>13667</v>
      </c>
      <c r="D2050" s="1">
        <v>40518</v>
      </c>
      <c r="E2050" s="2">
        <v>139000</v>
      </c>
      <c r="F2050" t="s">
        <v>4567</v>
      </c>
      <c r="G2050" s="17" t="str">
        <f>HYPERLINK("https://www.washoecounty.gov/assessor/cama/?command=sales&amp;parid=02726502","3949860")</f>
        <v>3949860</v>
      </c>
      <c r="H2050" t="s">
        <v>5541</v>
      </c>
      <c r="I2050">
        <v>1964</v>
      </c>
      <c r="J2050">
        <v>1966</v>
      </c>
      <c r="K2050" t="s">
        <v>4554</v>
      </c>
      <c r="L2050" t="s">
        <v>4555</v>
      </c>
      <c r="M2050" s="2">
        <v>1904</v>
      </c>
      <c r="N2050" t="s">
        <v>4048</v>
      </c>
      <c r="O2050">
        <v>3</v>
      </c>
      <c r="P2050">
        <v>2</v>
      </c>
      <c r="Q2050">
        <v>0</v>
      </c>
      <c r="R2050" t="s">
        <v>5281</v>
      </c>
      <c r="S2050" t="s">
        <v>3148</v>
      </c>
      <c r="T2050" t="s">
        <v>4559</v>
      </c>
      <c r="U2050" t="s">
        <v>4560</v>
      </c>
      <c r="V2050" s="2">
        <v>410</v>
      </c>
      <c r="W2050" t="s">
        <v>4655</v>
      </c>
      <c r="X2050" s="2">
        <v>0</v>
      </c>
      <c r="Y2050">
        <v>20</v>
      </c>
      <c r="Z2050" t="s">
        <v>5200</v>
      </c>
      <c r="AA2050" s="3">
        <v>0.17199265956878662</v>
      </c>
      <c r="AB2050" t="s">
        <v>13668</v>
      </c>
      <c r="AC2050" t="s">
        <v>4562</v>
      </c>
      <c r="AD2050" t="s">
        <v>13667</v>
      </c>
      <c r="AE2050" t="s">
        <v>4655</v>
      </c>
      <c r="AF2050" t="s">
        <v>5201</v>
      </c>
      <c r="AG2050" t="s">
        <v>4564</v>
      </c>
      <c r="AH2050" t="s">
        <v>5202</v>
      </c>
      <c r="AI2050" t="s">
        <v>13669</v>
      </c>
      <c r="AJ2050" t="s">
        <v>4655</v>
      </c>
      <c r="AK2050" t="s">
        <v>13670</v>
      </c>
      <c r="AL2050" s="13" t="s">
        <v>1886</v>
      </c>
      <c r="AM2050" s="14">
        <v>1</v>
      </c>
      <c r="AN2050" s="15" t="s">
        <v>5156</v>
      </c>
    </row>
    <row r="2051" spans="1:40" x14ac:dyDescent="0.3">
      <c r="A2051" s="10" t="str">
        <f>HYPERLINK("http://www.washoecounty.gov/assessor/cama/?parid=027-271-08&amp;CardNumber=1","027-271-08")</f>
        <v>027-271-08</v>
      </c>
      <c r="B2051" t="s">
        <v>4655</v>
      </c>
      <c r="C2051" t="s">
        <v>13671</v>
      </c>
      <c r="D2051" s="1">
        <v>40326</v>
      </c>
      <c r="E2051" s="2">
        <v>90000</v>
      </c>
      <c r="F2051" t="s">
        <v>4567</v>
      </c>
      <c r="G2051" s="17" t="str">
        <f>HYPERLINK("https://www.washoecounty.gov/assessor/cama/?command=sales&amp;parid=02727108","3886328")</f>
        <v>3886328</v>
      </c>
      <c r="H2051" t="s">
        <v>4001</v>
      </c>
      <c r="I2051">
        <v>1958</v>
      </c>
      <c r="J2051">
        <v>1958</v>
      </c>
      <c r="K2051" t="s">
        <v>4554</v>
      </c>
      <c r="L2051" t="s">
        <v>4555</v>
      </c>
      <c r="M2051" s="2">
        <v>1044</v>
      </c>
      <c r="N2051" t="s">
        <v>4556</v>
      </c>
      <c r="O2051">
        <v>3</v>
      </c>
      <c r="P2051">
        <v>1</v>
      </c>
      <c r="Q2051">
        <v>0</v>
      </c>
      <c r="R2051" t="s">
        <v>4557</v>
      </c>
      <c r="S2051" t="s">
        <v>4574</v>
      </c>
      <c r="T2051" t="s">
        <v>4559</v>
      </c>
      <c r="U2051" t="s">
        <v>4560</v>
      </c>
      <c r="V2051" s="2">
        <v>300</v>
      </c>
      <c r="W2051" t="s">
        <v>4655</v>
      </c>
      <c r="X2051" s="2">
        <v>0</v>
      </c>
      <c r="Y2051">
        <v>20</v>
      </c>
      <c r="Z2051" t="s">
        <v>5200</v>
      </c>
      <c r="AA2051" s="3">
        <v>0.13799357414245605</v>
      </c>
      <c r="AB2051" t="s">
        <v>13672</v>
      </c>
      <c r="AC2051" t="s">
        <v>4562</v>
      </c>
      <c r="AD2051" t="s">
        <v>13673</v>
      </c>
      <c r="AE2051" t="s">
        <v>4655</v>
      </c>
      <c r="AF2051" t="s">
        <v>13674</v>
      </c>
      <c r="AG2051" t="s">
        <v>4584</v>
      </c>
      <c r="AH2051">
        <v>92020</v>
      </c>
      <c r="AI2051" t="s">
        <v>13675</v>
      </c>
      <c r="AJ2051" t="s">
        <v>4655</v>
      </c>
      <c r="AK2051" t="s">
        <v>13676</v>
      </c>
      <c r="AL2051" s="13" t="s">
        <v>1886</v>
      </c>
      <c r="AM2051" s="14">
        <v>1</v>
      </c>
      <c r="AN2051" s="15" t="s">
        <v>5158</v>
      </c>
    </row>
    <row r="2052" spans="1:40" x14ac:dyDescent="0.3">
      <c r="A2052" s="10" t="str">
        <f>HYPERLINK("http://www.washoecounty.gov/assessor/cama/?parid=027-272-08&amp;CardNumber=1","027-272-08")</f>
        <v>027-272-08</v>
      </c>
      <c r="B2052" t="s">
        <v>4655</v>
      </c>
      <c r="C2052" t="s">
        <v>13677</v>
      </c>
      <c r="D2052" s="1">
        <v>40255</v>
      </c>
      <c r="E2052" s="2">
        <v>115000</v>
      </c>
      <c r="F2052" t="s">
        <v>4553</v>
      </c>
      <c r="G2052" s="17" t="str">
        <f>HYPERLINK("https://www.washoecounty.gov/assessor/cama/?command=sales&amp;parid=02727208","3861306")</f>
        <v>3861306</v>
      </c>
      <c r="H2052" t="s">
        <v>3365</v>
      </c>
      <c r="I2052">
        <v>1959</v>
      </c>
      <c r="J2052">
        <v>1959</v>
      </c>
      <c r="K2052" t="s">
        <v>4554</v>
      </c>
      <c r="L2052" t="s">
        <v>4555</v>
      </c>
      <c r="M2052" s="2">
        <v>1104</v>
      </c>
      <c r="N2052" t="s">
        <v>4556</v>
      </c>
      <c r="O2052">
        <v>3</v>
      </c>
      <c r="P2052">
        <v>1</v>
      </c>
      <c r="Q2052">
        <v>0</v>
      </c>
      <c r="R2052" t="s">
        <v>4557</v>
      </c>
      <c r="S2052" t="s">
        <v>4135</v>
      </c>
      <c r="T2052" t="s">
        <v>4559</v>
      </c>
      <c r="U2052" t="s">
        <v>4560</v>
      </c>
      <c r="V2052" s="2">
        <v>240</v>
      </c>
      <c r="W2052" t="s">
        <v>4655</v>
      </c>
      <c r="X2052" s="2">
        <v>0</v>
      </c>
      <c r="Y2052">
        <v>20</v>
      </c>
      <c r="Z2052" t="s">
        <v>5200</v>
      </c>
      <c r="AA2052" s="3">
        <v>0.13799357414245605</v>
      </c>
      <c r="AB2052" t="s">
        <v>13678</v>
      </c>
      <c r="AC2052" t="s">
        <v>4562</v>
      </c>
      <c r="AD2052" t="s">
        <v>13677</v>
      </c>
      <c r="AE2052" t="s">
        <v>4655</v>
      </c>
      <c r="AF2052" t="s">
        <v>5201</v>
      </c>
      <c r="AG2052" t="s">
        <v>4564</v>
      </c>
      <c r="AH2052" t="s">
        <v>5202</v>
      </c>
      <c r="AI2052" t="s">
        <v>4655</v>
      </c>
      <c r="AJ2052" t="s">
        <v>4655</v>
      </c>
      <c r="AK2052" t="s">
        <v>13679</v>
      </c>
      <c r="AL2052" s="13" t="s">
        <v>1886</v>
      </c>
      <c r="AM2052" s="14">
        <v>1</v>
      </c>
      <c r="AN2052" s="15" t="s">
        <v>5158</v>
      </c>
    </row>
    <row r="2053" spans="1:40" x14ac:dyDescent="0.3">
      <c r="A2053" s="10" t="str">
        <f>HYPERLINK("http://www.washoecounty.gov/assessor/cama/?parid=027-282-03&amp;CardNumber=1","027-282-03")</f>
        <v>027-282-03</v>
      </c>
      <c r="B2053" t="s">
        <v>4655</v>
      </c>
      <c r="C2053" t="s">
        <v>13680</v>
      </c>
      <c r="D2053" s="1">
        <v>40420</v>
      </c>
      <c r="E2053" s="2">
        <v>128000</v>
      </c>
      <c r="F2053" t="s">
        <v>4553</v>
      </c>
      <c r="G2053" s="17" t="str">
        <f>HYPERLINK("https://www.washoecounty.gov/assessor/cama/?command=sales&amp;parid=02728203","3916995")</f>
        <v>3916995</v>
      </c>
      <c r="H2053" t="s">
        <v>1380</v>
      </c>
      <c r="I2053">
        <v>1962</v>
      </c>
      <c r="J2053">
        <v>1963</v>
      </c>
      <c r="K2053" t="s">
        <v>4554</v>
      </c>
      <c r="L2053" t="s">
        <v>4555</v>
      </c>
      <c r="M2053" s="2">
        <v>1512</v>
      </c>
      <c r="N2053" t="s">
        <v>4048</v>
      </c>
      <c r="O2053">
        <v>3</v>
      </c>
      <c r="P2053">
        <v>2</v>
      </c>
      <c r="Q2053">
        <v>0</v>
      </c>
      <c r="R2053" t="s">
        <v>4557</v>
      </c>
      <c r="S2053" t="s">
        <v>4574</v>
      </c>
      <c r="T2053" t="s">
        <v>4143</v>
      </c>
      <c r="U2053" t="s">
        <v>4560</v>
      </c>
      <c r="V2053" s="2">
        <v>441</v>
      </c>
      <c r="W2053" t="s">
        <v>4655</v>
      </c>
      <c r="X2053" s="2">
        <v>0</v>
      </c>
      <c r="Y2053">
        <v>20</v>
      </c>
      <c r="Z2053" t="s">
        <v>5200</v>
      </c>
      <c r="AA2053" s="3">
        <v>0.16099633276462599</v>
      </c>
      <c r="AB2053" t="s">
        <v>13681</v>
      </c>
      <c r="AC2053" t="s">
        <v>4575</v>
      </c>
      <c r="AD2053" t="s">
        <v>13682</v>
      </c>
      <c r="AE2053" t="s">
        <v>4655</v>
      </c>
      <c r="AF2053" t="s">
        <v>4809</v>
      </c>
      <c r="AG2053" t="s">
        <v>4564</v>
      </c>
      <c r="AH2053" t="s">
        <v>5202</v>
      </c>
      <c r="AI2053" t="s">
        <v>4903</v>
      </c>
      <c r="AJ2053" t="s">
        <v>4655</v>
      </c>
      <c r="AK2053" t="s">
        <v>13683</v>
      </c>
      <c r="AL2053" s="13" t="s">
        <v>3425</v>
      </c>
      <c r="AM2053">
        <v>1</v>
      </c>
      <c r="AN2053" s="15" t="s">
        <v>5156</v>
      </c>
    </row>
    <row r="2054" spans="1:40" x14ac:dyDescent="0.3">
      <c r="A2054" s="10" t="str">
        <f>HYPERLINK("http://www.washoecounty.gov/assessor/cama/?parid=027-283-01&amp;CardNumber=1","027-283-01")</f>
        <v>027-283-01</v>
      </c>
      <c r="B2054" t="s">
        <v>4655</v>
      </c>
      <c r="C2054" t="s">
        <v>13684</v>
      </c>
      <c r="D2054" s="1">
        <v>40283</v>
      </c>
      <c r="E2054" s="2">
        <v>113000</v>
      </c>
      <c r="F2054" t="s">
        <v>4567</v>
      </c>
      <c r="G2054" s="17" t="str">
        <f>HYPERLINK("https://www.washoecounty.gov/assessor/cama/?command=sales&amp;parid=02728301","3871602")</f>
        <v>3871602</v>
      </c>
      <c r="H2054" t="s">
        <v>1380</v>
      </c>
      <c r="I2054">
        <v>1963</v>
      </c>
      <c r="J2054">
        <v>1963</v>
      </c>
      <c r="K2054" t="s">
        <v>4554</v>
      </c>
      <c r="L2054" t="s">
        <v>4555</v>
      </c>
      <c r="M2054" s="2">
        <v>1120</v>
      </c>
      <c r="N2054" t="s">
        <v>4556</v>
      </c>
      <c r="O2054">
        <v>3</v>
      </c>
      <c r="P2054">
        <v>1</v>
      </c>
      <c r="Q2054">
        <v>0</v>
      </c>
      <c r="R2054" t="s">
        <v>4557</v>
      </c>
      <c r="S2054" t="s">
        <v>4135</v>
      </c>
      <c r="T2054" t="s">
        <v>4559</v>
      </c>
      <c r="U2054" t="s">
        <v>4560</v>
      </c>
      <c r="V2054" s="2">
        <v>364</v>
      </c>
      <c r="W2054" t="s">
        <v>4655</v>
      </c>
      <c r="X2054" s="2">
        <v>0</v>
      </c>
      <c r="Y2054">
        <v>20</v>
      </c>
      <c r="Z2054" t="s">
        <v>5200</v>
      </c>
      <c r="AA2054" s="3">
        <v>0.14499540627002699</v>
      </c>
      <c r="AB2054" t="s">
        <v>13685</v>
      </c>
      <c r="AC2054" t="s">
        <v>4562</v>
      </c>
      <c r="AD2054" t="s">
        <v>13686</v>
      </c>
      <c r="AE2054" t="s">
        <v>4655</v>
      </c>
      <c r="AF2054" t="s">
        <v>5201</v>
      </c>
      <c r="AG2054" t="s">
        <v>4564</v>
      </c>
      <c r="AH2054" t="s">
        <v>5202</v>
      </c>
      <c r="AI2054" t="s">
        <v>4655</v>
      </c>
      <c r="AJ2054" t="s">
        <v>4655</v>
      </c>
      <c r="AK2054" t="s">
        <v>13687</v>
      </c>
      <c r="AL2054" s="13" t="s">
        <v>3425</v>
      </c>
      <c r="AM2054" s="14">
        <v>1</v>
      </c>
      <c r="AN2054" s="15" t="s">
        <v>5156</v>
      </c>
    </row>
    <row r="2055" spans="1:40" x14ac:dyDescent="0.3">
      <c r="A2055" s="10" t="str">
        <f>HYPERLINK("http://www.washoecounty.gov/assessor/cama/?parid=027-283-09&amp;CardNumber=1","027-283-09")</f>
        <v>027-283-09</v>
      </c>
      <c r="B2055" t="s">
        <v>4655</v>
      </c>
      <c r="C2055" t="s">
        <v>13688</v>
      </c>
      <c r="D2055" s="1">
        <v>40359</v>
      </c>
      <c r="E2055" s="2">
        <v>120000</v>
      </c>
      <c r="F2055" t="s">
        <v>4553</v>
      </c>
      <c r="G2055" s="17" t="str">
        <f>HYPERLINK("https://www.washoecounty.gov/assessor/cama/?command=sales&amp;parid=02728309","3897307")</f>
        <v>3897307</v>
      </c>
      <c r="H2055" t="s">
        <v>3365</v>
      </c>
      <c r="I2055">
        <v>1958</v>
      </c>
      <c r="J2055">
        <v>1961</v>
      </c>
      <c r="K2055" t="s">
        <v>4554</v>
      </c>
      <c r="L2055" t="s">
        <v>4555</v>
      </c>
      <c r="M2055" s="2">
        <v>1548</v>
      </c>
      <c r="N2055" t="s">
        <v>4556</v>
      </c>
      <c r="O2055">
        <v>3</v>
      </c>
      <c r="P2055">
        <v>1</v>
      </c>
      <c r="Q2055">
        <v>1</v>
      </c>
      <c r="R2055" t="s">
        <v>5281</v>
      </c>
      <c r="S2055" t="s">
        <v>4574</v>
      </c>
      <c r="T2055" t="s">
        <v>4559</v>
      </c>
      <c r="U2055" t="s">
        <v>4560</v>
      </c>
      <c r="V2055" s="2">
        <v>300</v>
      </c>
      <c r="W2055" t="s">
        <v>4655</v>
      </c>
      <c r="X2055" s="2">
        <v>0</v>
      </c>
      <c r="Y2055">
        <v>20</v>
      </c>
      <c r="Z2055" t="s">
        <v>5200</v>
      </c>
      <c r="AA2055" s="3">
        <v>0.13799357414245605</v>
      </c>
      <c r="AB2055" t="s">
        <v>13689</v>
      </c>
      <c r="AC2055" t="s">
        <v>4562</v>
      </c>
      <c r="AD2055" t="s">
        <v>13688</v>
      </c>
      <c r="AE2055" t="s">
        <v>4655</v>
      </c>
      <c r="AF2055" t="s">
        <v>5201</v>
      </c>
      <c r="AG2055" t="s">
        <v>4564</v>
      </c>
      <c r="AH2055" t="s">
        <v>5202</v>
      </c>
      <c r="AI2055" t="s">
        <v>4903</v>
      </c>
      <c r="AJ2055" t="s">
        <v>4655</v>
      </c>
      <c r="AK2055" t="s">
        <v>13690</v>
      </c>
      <c r="AL2055" s="13" t="s">
        <v>1886</v>
      </c>
      <c r="AM2055" s="14">
        <v>1</v>
      </c>
      <c r="AN2055" s="15" t="s">
        <v>5158</v>
      </c>
    </row>
    <row r="2056" spans="1:40" x14ac:dyDescent="0.3">
      <c r="A2056" s="10" t="str">
        <f>HYPERLINK("http://www.washoecounty.gov/assessor/cama/?parid=027-311-09&amp;CardNumber=1","027-311-09")</f>
        <v>027-311-09</v>
      </c>
      <c r="B2056" t="s">
        <v>4655</v>
      </c>
      <c r="C2056" t="s">
        <v>13691</v>
      </c>
      <c r="D2056" s="1">
        <v>40414</v>
      </c>
      <c r="E2056" s="2">
        <v>89500</v>
      </c>
      <c r="F2056" t="s">
        <v>4553</v>
      </c>
      <c r="G2056" s="17" t="str">
        <f>HYPERLINK("https://www.washoecounty.gov/assessor/cama/?command=sales&amp;parid=02731109","3915183")</f>
        <v>3915183</v>
      </c>
      <c r="H2056" t="s">
        <v>3365</v>
      </c>
      <c r="I2056">
        <v>1958</v>
      </c>
      <c r="J2056">
        <v>1958</v>
      </c>
      <c r="K2056" t="s">
        <v>4554</v>
      </c>
      <c r="L2056" t="s">
        <v>4555</v>
      </c>
      <c r="M2056" s="2">
        <v>1044</v>
      </c>
      <c r="N2056" t="s">
        <v>4556</v>
      </c>
      <c r="O2056">
        <v>3</v>
      </c>
      <c r="P2056">
        <v>1</v>
      </c>
      <c r="Q2056">
        <v>0</v>
      </c>
      <c r="R2056" t="s">
        <v>4557</v>
      </c>
      <c r="S2056" t="s">
        <v>4574</v>
      </c>
      <c r="T2056" t="s">
        <v>4559</v>
      </c>
      <c r="U2056" t="s">
        <v>4560</v>
      </c>
      <c r="V2056" s="2">
        <v>300</v>
      </c>
      <c r="W2056" t="s">
        <v>4655</v>
      </c>
      <c r="X2056" s="2">
        <v>0</v>
      </c>
      <c r="Y2056">
        <v>20</v>
      </c>
      <c r="Z2056" t="s">
        <v>5200</v>
      </c>
      <c r="AA2056" s="3">
        <v>0.146992653608322</v>
      </c>
      <c r="AB2056" t="s">
        <v>13692</v>
      </c>
      <c r="AC2056" t="s">
        <v>4562</v>
      </c>
      <c r="AD2056" t="s">
        <v>13691</v>
      </c>
      <c r="AE2056" t="s">
        <v>4655</v>
      </c>
      <c r="AF2056" t="s">
        <v>5201</v>
      </c>
      <c r="AG2056" t="s">
        <v>4564</v>
      </c>
      <c r="AH2056" t="s">
        <v>5202</v>
      </c>
      <c r="AI2056" t="s">
        <v>4655</v>
      </c>
      <c r="AJ2056" t="s">
        <v>4655</v>
      </c>
      <c r="AK2056" t="s">
        <v>13693</v>
      </c>
      <c r="AL2056" s="13" t="s">
        <v>1886</v>
      </c>
      <c r="AM2056">
        <v>1</v>
      </c>
      <c r="AN2056" s="15" t="s">
        <v>5158</v>
      </c>
    </row>
    <row r="2057" spans="1:40" x14ac:dyDescent="0.3">
      <c r="A2057" s="10" t="str">
        <f>HYPERLINK("http://www.washoecounty.gov/assessor/cama/?parid=027-311-17&amp;CardNumber=1","027-311-17")</f>
        <v>027-311-17</v>
      </c>
      <c r="B2057" t="s">
        <v>4655</v>
      </c>
      <c r="C2057" t="s">
        <v>13694</v>
      </c>
      <c r="D2057" s="1">
        <v>40379</v>
      </c>
      <c r="E2057" s="2">
        <v>90000</v>
      </c>
      <c r="F2057" t="s">
        <v>4567</v>
      </c>
      <c r="G2057" s="17" t="str">
        <f>HYPERLINK("https://www.washoecounty.gov/assessor/cama/?command=sales&amp;parid=02731117","3903054")</f>
        <v>3903054</v>
      </c>
      <c r="H2057" t="s">
        <v>3365</v>
      </c>
      <c r="I2057">
        <v>1958</v>
      </c>
      <c r="J2057">
        <v>1959</v>
      </c>
      <c r="K2057" t="s">
        <v>4554</v>
      </c>
      <c r="L2057" t="s">
        <v>4555</v>
      </c>
      <c r="M2057" s="2">
        <v>1152</v>
      </c>
      <c r="N2057" t="s">
        <v>4556</v>
      </c>
      <c r="O2057">
        <v>3</v>
      </c>
      <c r="P2057">
        <v>1</v>
      </c>
      <c r="Q2057">
        <v>0</v>
      </c>
      <c r="R2057" t="s">
        <v>4557</v>
      </c>
      <c r="S2057" t="s">
        <v>4574</v>
      </c>
      <c r="T2057" t="s">
        <v>4559</v>
      </c>
      <c r="U2057" t="s">
        <v>4655</v>
      </c>
      <c r="V2057" s="2">
        <v>0</v>
      </c>
      <c r="W2057" t="s">
        <v>4655</v>
      </c>
      <c r="X2057" s="2">
        <v>0</v>
      </c>
      <c r="Y2057">
        <v>20</v>
      </c>
      <c r="Z2057" t="s">
        <v>5200</v>
      </c>
      <c r="AA2057" s="3">
        <v>0.13799357414245605</v>
      </c>
      <c r="AB2057" t="s">
        <v>13695</v>
      </c>
      <c r="AC2057" t="s">
        <v>4562</v>
      </c>
      <c r="AD2057" t="s">
        <v>13694</v>
      </c>
      <c r="AE2057" t="s">
        <v>4655</v>
      </c>
      <c r="AF2057" t="s">
        <v>5201</v>
      </c>
      <c r="AG2057" t="s">
        <v>4564</v>
      </c>
      <c r="AH2057" t="s">
        <v>5202</v>
      </c>
      <c r="AI2057" t="s">
        <v>4655</v>
      </c>
      <c r="AJ2057" t="s">
        <v>4655</v>
      </c>
      <c r="AK2057" t="s">
        <v>13696</v>
      </c>
      <c r="AL2057" s="13" t="s">
        <v>1886</v>
      </c>
      <c r="AM2057">
        <v>1</v>
      </c>
      <c r="AN2057" s="15" t="s">
        <v>5158</v>
      </c>
    </row>
    <row r="2058" spans="1:40" x14ac:dyDescent="0.3">
      <c r="A2058" s="10" t="str">
        <f>HYPERLINK("http://www.washoecounty.gov/assessor/cama/?parid=027-311-51&amp;CardNumber=1","027-311-51")</f>
        <v>027-311-51</v>
      </c>
      <c r="B2058" t="s">
        <v>4655</v>
      </c>
      <c r="C2058" t="s">
        <v>13697</v>
      </c>
      <c r="D2058" s="1">
        <v>40268</v>
      </c>
      <c r="E2058" s="2">
        <v>113500</v>
      </c>
      <c r="F2058" t="s">
        <v>4567</v>
      </c>
      <c r="G2058" s="17" t="str">
        <f>HYPERLINK("https://www.washoecounty.gov/assessor/cama/?command=sales&amp;parid=02731151","3866400")</f>
        <v>3866400</v>
      </c>
      <c r="H2058" t="s">
        <v>5157</v>
      </c>
      <c r="I2058">
        <v>1958</v>
      </c>
      <c r="J2058">
        <v>1958</v>
      </c>
      <c r="K2058" t="s">
        <v>4554</v>
      </c>
      <c r="L2058" t="s">
        <v>4555</v>
      </c>
      <c r="M2058" s="2">
        <v>1196</v>
      </c>
      <c r="N2058" t="s">
        <v>4556</v>
      </c>
      <c r="O2058">
        <v>3</v>
      </c>
      <c r="P2058">
        <v>1</v>
      </c>
      <c r="Q2058">
        <v>0</v>
      </c>
      <c r="R2058" t="s">
        <v>4557</v>
      </c>
      <c r="S2058" t="s">
        <v>4898</v>
      </c>
      <c r="T2058" t="s">
        <v>4559</v>
      </c>
      <c r="U2058" t="s">
        <v>4560</v>
      </c>
      <c r="V2058" s="2">
        <v>441</v>
      </c>
      <c r="W2058" t="s">
        <v>4655</v>
      </c>
      <c r="X2058" s="2">
        <v>0</v>
      </c>
      <c r="Y2058">
        <v>20</v>
      </c>
      <c r="Z2058" t="s">
        <v>5200</v>
      </c>
      <c r="AA2058" s="3">
        <v>0.13799357414245605</v>
      </c>
      <c r="AB2058" t="s">
        <v>13698</v>
      </c>
      <c r="AC2058" t="s">
        <v>4562</v>
      </c>
      <c r="AD2058" t="s">
        <v>13697</v>
      </c>
      <c r="AE2058" t="s">
        <v>4655</v>
      </c>
      <c r="AF2058" t="s">
        <v>4809</v>
      </c>
      <c r="AG2058" t="s">
        <v>4564</v>
      </c>
      <c r="AH2058" t="s">
        <v>5202</v>
      </c>
      <c r="AI2058" t="s">
        <v>4655</v>
      </c>
      <c r="AJ2058" t="s">
        <v>4655</v>
      </c>
      <c r="AK2058" t="s">
        <v>13699</v>
      </c>
      <c r="AL2058" s="13" t="s">
        <v>1886</v>
      </c>
      <c r="AM2058" s="14">
        <v>1</v>
      </c>
      <c r="AN2058" s="15" t="s">
        <v>5158</v>
      </c>
    </row>
    <row r="2059" spans="1:40" x14ac:dyDescent="0.3">
      <c r="A2059" s="10" t="str">
        <f>HYPERLINK("http://www.washoecounty.gov/assessor/cama/?parid=027-312-09&amp;CardNumber=1","027-312-09")</f>
        <v>027-312-09</v>
      </c>
      <c r="B2059" t="s">
        <v>4655</v>
      </c>
      <c r="C2059" t="s">
        <v>13700</v>
      </c>
      <c r="D2059" s="1">
        <v>40403</v>
      </c>
      <c r="E2059" s="2">
        <v>120000</v>
      </c>
      <c r="F2059" t="s">
        <v>4553</v>
      </c>
      <c r="G2059" s="17" t="str">
        <f>HYPERLINK("https://www.washoecounty.gov/assessor/cama/?command=sales&amp;parid=02731209","3911768")</f>
        <v>3911768</v>
      </c>
      <c r="H2059" t="s">
        <v>13701</v>
      </c>
      <c r="I2059">
        <v>1958</v>
      </c>
      <c r="J2059">
        <v>1960</v>
      </c>
      <c r="K2059" t="s">
        <v>4554</v>
      </c>
      <c r="L2059" t="s">
        <v>4555</v>
      </c>
      <c r="M2059" s="2">
        <v>1541</v>
      </c>
      <c r="N2059" t="s">
        <v>4556</v>
      </c>
      <c r="O2059">
        <v>4</v>
      </c>
      <c r="P2059">
        <v>2</v>
      </c>
      <c r="Q2059">
        <v>1</v>
      </c>
      <c r="R2059" t="s">
        <v>4557</v>
      </c>
      <c r="S2059" t="s">
        <v>4135</v>
      </c>
      <c r="T2059" t="s">
        <v>4559</v>
      </c>
      <c r="U2059" t="s">
        <v>4655</v>
      </c>
      <c r="V2059" s="2">
        <v>0</v>
      </c>
      <c r="W2059" t="s">
        <v>4655</v>
      </c>
      <c r="X2059" s="2">
        <v>0</v>
      </c>
      <c r="Y2059">
        <v>20</v>
      </c>
      <c r="Z2059" t="s">
        <v>5200</v>
      </c>
      <c r="AA2059" s="3">
        <v>0.169995412230492</v>
      </c>
      <c r="AB2059" t="s">
        <v>13702</v>
      </c>
      <c r="AC2059" t="s">
        <v>4562</v>
      </c>
      <c r="AD2059" t="s">
        <v>13700</v>
      </c>
      <c r="AE2059" t="s">
        <v>4655</v>
      </c>
      <c r="AF2059" t="s">
        <v>5201</v>
      </c>
      <c r="AG2059" t="s">
        <v>4564</v>
      </c>
      <c r="AH2059" t="s">
        <v>5202</v>
      </c>
      <c r="AI2059" t="s">
        <v>4903</v>
      </c>
      <c r="AJ2059" t="s">
        <v>4655</v>
      </c>
      <c r="AK2059" t="s">
        <v>13703</v>
      </c>
      <c r="AL2059" s="13" t="s">
        <v>1886</v>
      </c>
      <c r="AM2059" s="14">
        <v>1</v>
      </c>
      <c r="AN2059" s="15" t="s">
        <v>5158</v>
      </c>
    </row>
    <row r="2060" spans="1:40" x14ac:dyDescent="0.3">
      <c r="A2060" s="10" t="str">
        <f>HYPERLINK("http://www.washoecounty.gov/assessor/cama/?parid=027-321-04&amp;CardNumber=1","027-321-04")</f>
        <v>027-321-04</v>
      </c>
      <c r="B2060" t="s">
        <v>4655</v>
      </c>
      <c r="C2060" t="s">
        <v>13704</v>
      </c>
      <c r="D2060" s="1">
        <v>40354</v>
      </c>
      <c r="E2060" s="2">
        <v>87000</v>
      </c>
      <c r="F2060" t="s">
        <v>4553</v>
      </c>
      <c r="G2060" s="17" t="str">
        <f>HYPERLINK("https://www.washoecounty.gov/assessor/cama/?command=sales&amp;parid=02732104","3895577")</f>
        <v>3895577</v>
      </c>
      <c r="H2060" t="s">
        <v>5157</v>
      </c>
      <c r="I2060">
        <v>1958</v>
      </c>
      <c r="J2060">
        <v>1958</v>
      </c>
      <c r="K2060" t="s">
        <v>4554</v>
      </c>
      <c r="L2060" t="s">
        <v>4555</v>
      </c>
      <c r="M2060" s="2">
        <v>1092</v>
      </c>
      <c r="N2060" t="s">
        <v>4556</v>
      </c>
      <c r="O2060">
        <v>3</v>
      </c>
      <c r="P2060">
        <v>1</v>
      </c>
      <c r="Q2060">
        <v>0</v>
      </c>
      <c r="R2060" t="s">
        <v>4557</v>
      </c>
      <c r="S2060" t="s">
        <v>4135</v>
      </c>
      <c r="T2060" t="s">
        <v>4559</v>
      </c>
      <c r="U2060" t="s">
        <v>4560</v>
      </c>
      <c r="V2060" s="2">
        <v>300</v>
      </c>
      <c r="W2060" t="s">
        <v>4655</v>
      </c>
      <c r="X2060" s="2">
        <v>0</v>
      </c>
      <c r="Y2060">
        <v>20</v>
      </c>
      <c r="Z2060" t="s">
        <v>5200</v>
      </c>
      <c r="AA2060" s="3">
        <v>0.13799357414245605</v>
      </c>
      <c r="AB2060" t="s">
        <v>3805</v>
      </c>
      <c r="AC2060" t="s">
        <v>4575</v>
      </c>
      <c r="AD2060" t="s">
        <v>1911</v>
      </c>
      <c r="AE2060" t="s">
        <v>4655</v>
      </c>
      <c r="AF2060" t="s">
        <v>4563</v>
      </c>
      <c r="AG2060" t="s">
        <v>4564</v>
      </c>
      <c r="AH2060" t="s">
        <v>2330</v>
      </c>
      <c r="AI2060" t="s">
        <v>2351</v>
      </c>
      <c r="AJ2060" t="s">
        <v>4655</v>
      </c>
      <c r="AK2060" t="s">
        <v>13705</v>
      </c>
      <c r="AL2060" s="13" t="s">
        <v>1886</v>
      </c>
      <c r="AM2060">
        <v>1</v>
      </c>
      <c r="AN2060" s="15" t="s">
        <v>5158</v>
      </c>
    </row>
    <row r="2061" spans="1:40" x14ac:dyDescent="0.3">
      <c r="A2061" s="10" t="str">
        <f>HYPERLINK("http://www.washoecounty.gov/assessor/cama/?parid=027-321-11&amp;CardNumber=1","027-321-11")</f>
        <v>027-321-11</v>
      </c>
      <c r="B2061" t="s">
        <v>4655</v>
      </c>
      <c r="C2061" t="s">
        <v>13706</v>
      </c>
      <c r="D2061" s="1">
        <v>40487</v>
      </c>
      <c r="E2061" s="2">
        <v>110000</v>
      </c>
      <c r="F2061" t="s">
        <v>4567</v>
      </c>
      <c r="G2061" s="17" t="str">
        <f>HYPERLINK("https://www.washoecounty.gov/assessor/cama/?command=sales&amp;parid=02732111","3940349")</f>
        <v>3940349</v>
      </c>
      <c r="H2061" t="s">
        <v>2200</v>
      </c>
      <c r="I2061">
        <v>1958</v>
      </c>
      <c r="J2061">
        <v>1958</v>
      </c>
      <c r="K2061" t="s">
        <v>4554</v>
      </c>
      <c r="L2061" t="s">
        <v>4555</v>
      </c>
      <c r="M2061" s="2">
        <v>1044</v>
      </c>
      <c r="N2061" t="s">
        <v>4556</v>
      </c>
      <c r="O2061">
        <v>3</v>
      </c>
      <c r="P2061">
        <v>1</v>
      </c>
      <c r="Q2061">
        <v>0</v>
      </c>
      <c r="R2061" t="s">
        <v>4557</v>
      </c>
      <c r="S2061" t="s">
        <v>4574</v>
      </c>
      <c r="T2061" t="s">
        <v>4559</v>
      </c>
      <c r="U2061" t="s">
        <v>4560</v>
      </c>
      <c r="V2061" s="2">
        <v>300</v>
      </c>
      <c r="W2061" t="s">
        <v>4655</v>
      </c>
      <c r="X2061" s="2">
        <v>0</v>
      </c>
      <c r="Y2061">
        <v>20</v>
      </c>
      <c r="Z2061" t="s">
        <v>5200</v>
      </c>
      <c r="AA2061" s="3">
        <v>0.14898990094661699</v>
      </c>
      <c r="AB2061" t="s">
        <v>13707</v>
      </c>
      <c r="AC2061" t="s">
        <v>4575</v>
      </c>
      <c r="AD2061" t="s">
        <v>13706</v>
      </c>
      <c r="AE2061" t="s">
        <v>4655</v>
      </c>
      <c r="AF2061" t="s">
        <v>5201</v>
      </c>
      <c r="AG2061" t="s">
        <v>4564</v>
      </c>
      <c r="AH2061" t="s">
        <v>5202</v>
      </c>
      <c r="AI2061" t="s">
        <v>13708</v>
      </c>
      <c r="AJ2061" t="s">
        <v>4655</v>
      </c>
      <c r="AK2061" t="s">
        <v>13709</v>
      </c>
      <c r="AL2061" s="13" t="s">
        <v>1886</v>
      </c>
      <c r="AM2061">
        <v>1</v>
      </c>
      <c r="AN2061" s="15" t="s">
        <v>5158</v>
      </c>
    </row>
    <row r="2062" spans="1:40" x14ac:dyDescent="0.3">
      <c r="A2062" s="10" t="str">
        <f>HYPERLINK("http://www.washoecounty.gov/assessor/cama/?parid=027-321-13&amp;CardNumber=1","027-321-13")</f>
        <v>027-321-13</v>
      </c>
      <c r="B2062" t="s">
        <v>4655</v>
      </c>
      <c r="C2062" t="s">
        <v>13710</v>
      </c>
      <c r="D2062" s="1">
        <v>40232</v>
      </c>
      <c r="E2062" s="2">
        <v>114000</v>
      </c>
      <c r="F2062" t="s">
        <v>4567</v>
      </c>
      <c r="G2062" s="17" t="str">
        <f>HYPERLINK("https://www.washoecounty.gov/assessor/cama/?command=sales&amp;parid=02732113","3851873")</f>
        <v>3851873</v>
      </c>
      <c r="H2062" t="s">
        <v>2200</v>
      </c>
      <c r="I2062">
        <v>1958</v>
      </c>
      <c r="J2062">
        <v>1958</v>
      </c>
      <c r="K2062" t="s">
        <v>4554</v>
      </c>
      <c r="L2062" t="s">
        <v>4555</v>
      </c>
      <c r="M2062" s="2">
        <v>1044</v>
      </c>
      <c r="N2062" t="s">
        <v>4556</v>
      </c>
      <c r="O2062">
        <v>3</v>
      </c>
      <c r="P2062">
        <v>1</v>
      </c>
      <c r="Q2062">
        <v>0</v>
      </c>
      <c r="R2062" t="s">
        <v>4557</v>
      </c>
      <c r="S2062" t="s">
        <v>4135</v>
      </c>
      <c r="T2062" t="s">
        <v>4559</v>
      </c>
      <c r="U2062" t="s">
        <v>4560</v>
      </c>
      <c r="V2062" s="2">
        <v>300</v>
      </c>
      <c r="W2062" t="s">
        <v>4655</v>
      </c>
      <c r="X2062" s="2">
        <v>0</v>
      </c>
      <c r="Y2062">
        <v>20</v>
      </c>
      <c r="Z2062" t="s">
        <v>5200</v>
      </c>
      <c r="AA2062" s="3">
        <v>0.13799357414245605</v>
      </c>
      <c r="AB2062" t="s">
        <v>13711</v>
      </c>
      <c r="AC2062" t="s">
        <v>4575</v>
      </c>
      <c r="AD2062" t="s">
        <v>13712</v>
      </c>
      <c r="AE2062" t="s">
        <v>4655</v>
      </c>
      <c r="AF2062" t="s">
        <v>4563</v>
      </c>
      <c r="AG2062" t="s">
        <v>4564</v>
      </c>
      <c r="AH2062" t="s">
        <v>1147</v>
      </c>
      <c r="AI2062" t="s">
        <v>13713</v>
      </c>
      <c r="AJ2062" t="s">
        <v>4655</v>
      </c>
      <c r="AK2062" t="s">
        <v>13714</v>
      </c>
      <c r="AL2062" s="13" t="s">
        <v>1886</v>
      </c>
      <c r="AM2062" s="14">
        <v>1</v>
      </c>
      <c r="AN2062" s="15" t="s">
        <v>5158</v>
      </c>
    </row>
    <row r="2063" spans="1:40" x14ac:dyDescent="0.3">
      <c r="A2063" s="10" t="str">
        <f>HYPERLINK("http://www.washoecounty.gov/assessor/cama/?parid=027-321-24&amp;CardNumber=1","027-321-24")</f>
        <v>027-321-24</v>
      </c>
      <c r="B2063" t="s">
        <v>4655</v>
      </c>
      <c r="C2063" t="s">
        <v>13715</v>
      </c>
      <c r="D2063" s="1">
        <v>40388</v>
      </c>
      <c r="E2063" s="2">
        <v>102000</v>
      </c>
      <c r="F2063" t="s">
        <v>4553</v>
      </c>
      <c r="G2063" s="17" t="str">
        <f>HYPERLINK("https://www.washoecounty.gov/assessor/cama/?command=sales&amp;parid=02732124","3906632")</f>
        <v>3906632</v>
      </c>
      <c r="H2063" t="s">
        <v>1380</v>
      </c>
      <c r="I2063">
        <v>1962</v>
      </c>
      <c r="J2063">
        <v>1962</v>
      </c>
      <c r="K2063" t="s">
        <v>4554</v>
      </c>
      <c r="L2063" t="s">
        <v>4555</v>
      </c>
      <c r="M2063" s="2">
        <v>1120</v>
      </c>
      <c r="N2063" t="s">
        <v>4556</v>
      </c>
      <c r="O2063">
        <v>3</v>
      </c>
      <c r="P2063">
        <v>1</v>
      </c>
      <c r="Q2063">
        <v>0</v>
      </c>
      <c r="R2063" t="s">
        <v>5281</v>
      </c>
      <c r="S2063" t="s">
        <v>4574</v>
      </c>
      <c r="T2063" t="s">
        <v>4559</v>
      </c>
      <c r="U2063" t="s">
        <v>4560</v>
      </c>
      <c r="V2063" s="2">
        <v>364</v>
      </c>
      <c r="W2063" t="s">
        <v>4655</v>
      </c>
      <c r="X2063" s="2">
        <v>0</v>
      </c>
      <c r="Y2063">
        <v>20</v>
      </c>
      <c r="Z2063" t="s">
        <v>5200</v>
      </c>
      <c r="AA2063" s="3">
        <v>0.146992653608322</v>
      </c>
      <c r="AB2063" t="s">
        <v>13716</v>
      </c>
      <c r="AC2063" t="s">
        <v>4562</v>
      </c>
      <c r="AD2063" t="s">
        <v>13715</v>
      </c>
      <c r="AE2063" t="s">
        <v>4655</v>
      </c>
      <c r="AF2063" t="s">
        <v>4809</v>
      </c>
      <c r="AG2063" t="s">
        <v>4564</v>
      </c>
      <c r="AH2063" t="s">
        <v>5202</v>
      </c>
      <c r="AI2063" t="s">
        <v>4655</v>
      </c>
      <c r="AJ2063" t="s">
        <v>4655</v>
      </c>
      <c r="AK2063" t="s">
        <v>13717</v>
      </c>
      <c r="AL2063" s="13" t="s">
        <v>3425</v>
      </c>
      <c r="AM2063">
        <v>1</v>
      </c>
      <c r="AN2063" s="15" t="s">
        <v>5156</v>
      </c>
    </row>
    <row r="2064" spans="1:40" x14ac:dyDescent="0.3">
      <c r="A2064" s="10" t="str">
        <f>HYPERLINK("http://www.washoecounty.gov/assessor/cama/?parid=027-322-03&amp;CardNumber=1","027-322-03")</f>
        <v>027-322-03</v>
      </c>
      <c r="B2064" t="s">
        <v>4655</v>
      </c>
      <c r="C2064" t="s">
        <v>13718</v>
      </c>
      <c r="D2064" s="1">
        <v>40403</v>
      </c>
      <c r="E2064" s="2">
        <v>107500</v>
      </c>
      <c r="F2064" t="s">
        <v>4567</v>
      </c>
      <c r="G2064" s="17" t="str">
        <f>HYPERLINK("https://www.washoecounty.gov/assessor/cama/?command=sales&amp;parid=02732203","3912022")</f>
        <v>3912022</v>
      </c>
      <c r="H2064" t="s">
        <v>3544</v>
      </c>
      <c r="I2064">
        <v>1961</v>
      </c>
      <c r="J2064">
        <v>1961</v>
      </c>
      <c r="K2064" t="s">
        <v>4554</v>
      </c>
      <c r="L2064" t="s">
        <v>4555</v>
      </c>
      <c r="M2064" s="2">
        <v>1288</v>
      </c>
      <c r="N2064" t="s">
        <v>4556</v>
      </c>
      <c r="O2064">
        <v>3</v>
      </c>
      <c r="P2064">
        <v>2</v>
      </c>
      <c r="Q2064">
        <v>0</v>
      </c>
      <c r="R2064" t="s">
        <v>4557</v>
      </c>
      <c r="S2064" t="s">
        <v>4574</v>
      </c>
      <c r="T2064" t="s">
        <v>4559</v>
      </c>
      <c r="U2064" t="s">
        <v>4655</v>
      </c>
      <c r="V2064" s="2">
        <v>0</v>
      </c>
      <c r="W2064" t="s">
        <v>4655</v>
      </c>
      <c r="X2064" s="2">
        <v>0</v>
      </c>
      <c r="Y2064">
        <v>20</v>
      </c>
      <c r="Z2064" t="s">
        <v>5200</v>
      </c>
      <c r="AA2064" s="3">
        <v>0.16200642287731201</v>
      </c>
      <c r="AB2064" t="s">
        <v>13719</v>
      </c>
      <c r="AC2064" t="s">
        <v>4562</v>
      </c>
      <c r="AD2064" t="s">
        <v>13718</v>
      </c>
      <c r="AE2064" t="s">
        <v>4655</v>
      </c>
      <c r="AF2064" t="s">
        <v>5201</v>
      </c>
      <c r="AG2064" t="s">
        <v>4564</v>
      </c>
      <c r="AH2064" t="s">
        <v>5202</v>
      </c>
      <c r="AI2064" t="s">
        <v>13720</v>
      </c>
      <c r="AJ2064" t="s">
        <v>4655</v>
      </c>
      <c r="AK2064" t="s">
        <v>13721</v>
      </c>
      <c r="AL2064" s="13" t="s">
        <v>3425</v>
      </c>
      <c r="AM2064">
        <v>1</v>
      </c>
      <c r="AN2064" s="15" t="s">
        <v>5156</v>
      </c>
    </row>
    <row r="2065" spans="1:40" x14ac:dyDescent="0.3">
      <c r="A2065" s="10" t="str">
        <f>HYPERLINK("http://www.washoecounty.gov/assessor/cama/?parid=027-323-06&amp;CardNumber=1","027-323-06")</f>
        <v>027-323-06</v>
      </c>
      <c r="B2065" t="s">
        <v>4655</v>
      </c>
      <c r="C2065" t="s">
        <v>13722</v>
      </c>
      <c r="D2065" s="1">
        <v>40354</v>
      </c>
      <c r="E2065" s="2">
        <v>120000</v>
      </c>
      <c r="F2065" t="s">
        <v>4567</v>
      </c>
      <c r="G2065" s="17" t="str">
        <f>HYPERLINK("https://www.washoecounty.gov/assessor/cama/?command=sales&amp;parid=02732306","3895321")</f>
        <v>3895321</v>
      </c>
      <c r="H2065" t="s">
        <v>3544</v>
      </c>
      <c r="I2065">
        <v>1961</v>
      </c>
      <c r="J2065">
        <v>1962</v>
      </c>
      <c r="K2065" t="s">
        <v>4554</v>
      </c>
      <c r="L2065" t="s">
        <v>4555</v>
      </c>
      <c r="M2065" s="2">
        <v>1561</v>
      </c>
      <c r="N2065" t="s">
        <v>4556</v>
      </c>
      <c r="O2065">
        <v>3</v>
      </c>
      <c r="P2065">
        <v>1</v>
      </c>
      <c r="Q2065">
        <v>1</v>
      </c>
      <c r="R2065" t="s">
        <v>5281</v>
      </c>
      <c r="S2065" t="s">
        <v>3148</v>
      </c>
      <c r="T2065" t="s">
        <v>4559</v>
      </c>
      <c r="U2065" t="s">
        <v>4560</v>
      </c>
      <c r="V2065" s="2">
        <v>570</v>
      </c>
      <c r="W2065" t="s">
        <v>4655</v>
      </c>
      <c r="X2065" s="2">
        <v>0</v>
      </c>
      <c r="Y2065">
        <v>20</v>
      </c>
      <c r="Z2065" t="s">
        <v>5200</v>
      </c>
      <c r="AA2065" s="3">
        <v>0.15798898041248299</v>
      </c>
      <c r="AB2065" t="s">
        <v>13723</v>
      </c>
      <c r="AC2065" t="s">
        <v>4562</v>
      </c>
      <c r="AD2065" t="s">
        <v>13724</v>
      </c>
      <c r="AE2065" t="s">
        <v>4655</v>
      </c>
      <c r="AF2065" t="s">
        <v>5499</v>
      </c>
      <c r="AG2065" t="s">
        <v>4564</v>
      </c>
      <c r="AH2065" t="s">
        <v>5202</v>
      </c>
      <c r="AI2065" t="s">
        <v>13725</v>
      </c>
      <c r="AJ2065" t="s">
        <v>4655</v>
      </c>
      <c r="AK2065" t="s">
        <v>13726</v>
      </c>
      <c r="AL2065" s="13" t="s">
        <v>3425</v>
      </c>
      <c r="AM2065">
        <v>1</v>
      </c>
      <c r="AN2065" s="15" t="s">
        <v>5156</v>
      </c>
    </row>
    <row r="2066" spans="1:40" x14ac:dyDescent="0.3">
      <c r="A2066" s="10" t="str">
        <f>HYPERLINK("http://www.washoecounty.gov/assessor/cama/?parid=027-331-13&amp;CardNumber=1","027-331-13")</f>
        <v>027-331-13</v>
      </c>
      <c r="B2066" t="s">
        <v>4655</v>
      </c>
      <c r="C2066" t="s">
        <v>13727</v>
      </c>
      <c r="D2066" s="1">
        <v>40298</v>
      </c>
      <c r="E2066" s="2">
        <v>163000</v>
      </c>
      <c r="F2066" t="s">
        <v>4567</v>
      </c>
      <c r="G2066" s="17" t="str">
        <f>HYPERLINK("https://www.washoecounty.gov/assessor/cama/?command=sales&amp;parid=02733113","3876622")</f>
        <v>3876622</v>
      </c>
      <c r="H2066" t="s">
        <v>3544</v>
      </c>
      <c r="I2066">
        <v>1962</v>
      </c>
      <c r="J2066">
        <v>1967</v>
      </c>
      <c r="K2066" t="s">
        <v>4554</v>
      </c>
      <c r="L2066" t="s">
        <v>4555</v>
      </c>
      <c r="M2066" s="2">
        <v>1798</v>
      </c>
      <c r="N2066" t="s">
        <v>4048</v>
      </c>
      <c r="O2066">
        <v>3</v>
      </c>
      <c r="P2066">
        <v>2</v>
      </c>
      <c r="Q2066">
        <v>0</v>
      </c>
      <c r="R2066" t="s">
        <v>4557</v>
      </c>
      <c r="S2066" t="s">
        <v>4574</v>
      </c>
      <c r="T2066" t="s">
        <v>4559</v>
      </c>
      <c r="U2066" t="s">
        <v>4560</v>
      </c>
      <c r="V2066" s="2">
        <v>420</v>
      </c>
      <c r="W2066" t="s">
        <v>4655</v>
      </c>
      <c r="X2066" s="2">
        <v>0</v>
      </c>
      <c r="Y2066">
        <v>20</v>
      </c>
      <c r="Z2066" t="s">
        <v>5200</v>
      </c>
      <c r="AA2066" s="3">
        <v>0.14600551128387501</v>
      </c>
      <c r="AB2066" t="s">
        <v>13728</v>
      </c>
      <c r="AC2066" t="s">
        <v>4562</v>
      </c>
      <c r="AD2066" t="s">
        <v>13727</v>
      </c>
      <c r="AE2066" t="s">
        <v>4655</v>
      </c>
      <c r="AF2066" t="s">
        <v>5201</v>
      </c>
      <c r="AG2066" t="s">
        <v>4564</v>
      </c>
      <c r="AH2066" t="s">
        <v>5202</v>
      </c>
      <c r="AI2066" t="s">
        <v>13729</v>
      </c>
      <c r="AJ2066" t="s">
        <v>4655</v>
      </c>
      <c r="AK2066" t="s">
        <v>13730</v>
      </c>
      <c r="AL2066" s="13" t="s">
        <v>3425</v>
      </c>
      <c r="AM2066" s="14">
        <v>1</v>
      </c>
      <c r="AN2066" s="15" t="s">
        <v>5156</v>
      </c>
    </row>
    <row r="2067" spans="1:40" x14ac:dyDescent="0.3">
      <c r="A2067" s="10" t="str">
        <f>HYPERLINK("http://www.washoecounty.gov/assessor/cama/?parid=027-352-01&amp;CardNumber=1","027-352-01")</f>
        <v>027-352-01</v>
      </c>
      <c r="B2067" t="s">
        <v>4655</v>
      </c>
      <c r="C2067" t="s">
        <v>13731</v>
      </c>
      <c r="D2067" s="1">
        <v>40388</v>
      </c>
      <c r="E2067" s="2">
        <v>132000</v>
      </c>
      <c r="F2067" t="s">
        <v>4567</v>
      </c>
      <c r="G2067" s="17" t="str">
        <f>HYPERLINK("https://www.washoecounty.gov/assessor/cama/?command=sales&amp;parid=02735201","3906820")</f>
        <v>3906820</v>
      </c>
      <c r="H2067" t="s">
        <v>1703</v>
      </c>
      <c r="I2067">
        <v>1963</v>
      </c>
      <c r="J2067">
        <v>1963</v>
      </c>
      <c r="K2067" t="s">
        <v>4554</v>
      </c>
      <c r="L2067" t="s">
        <v>3886</v>
      </c>
      <c r="M2067" s="2">
        <v>1715</v>
      </c>
      <c r="N2067" t="s">
        <v>4048</v>
      </c>
      <c r="O2067">
        <v>4</v>
      </c>
      <c r="P2067">
        <v>3</v>
      </c>
      <c r="Q2067">
        <v>0</v>
      </c>
      <c r="R2067" t="s">
        <v>4557</v>
      </c>
      <c r="S2067" t="s">
        <v>4135</v>
      </c>
      <c r="T2067" t="s">
        <v>4559</v>
      </c>
      <c r="U2067" t="s">
        <v>4560</v>
      </c>
      <c r="V2067" s="2">
        <v>475</v>
      </c>
      <c r="W2067" t="s">
        <v>4655</v>
      </c>
      <c r="X2067" s="2">
        <v>0</v>
      </c>
      <c r="Y2067">
        <v>20</v>
      </c>
      <c r="Z2067" t="s">
        <v>5200</v>
      </c>
      <c r="AA2067" s="3">
        <v>0.18799357116222401</v>
      </c>
      <c r="AB2067" t="s">
        <v>13732</v>
      </c>
      <c r="AC2067" t="s">
        <v>4562</v>
      </c>
      <c r="AD2067" t="s">
        <v>13731</v>
      </c>
      <c r="AE2067" t="s">
        <v>4655</v>
      </c>
      <c r="AF2067" t="s">
        <v>5201</v>
      </c>
      <c r="AG2067" t="s">
        <v>4564</v>
      </c>
      <c r="AH2067" t="s">
        <v>5202</v>
      </c>
      <c r="AI2067" t="s">
        <v>13733</v>
      </c>
      <c r="AJ2067" t="s">
        <v>4655</v>
      </c>
      <c r="AK2067" t="s">
        <v>13734</v>
      </c>
      <c r="AL2067" s="13" t="s">
        <v>1886</v>
      </c>
      <c r="AM2067" s="14">
        <v>1</v>
      </c>
      <c r="AN2067" s="15" t="s">
        <v>5156</v>
      </c>
    </row>
    <row r="2068" spans="1:40" x14ac:dyDescent="0.3">
      <c r="A2068" s="10" t="str">
        <f>HYPERLINK("http://www.washoecounty.gov/assessor/cama/?parid=027-352-04&amp;CardNumber=1","027-352-04")</f>
        <v>027-352-04</v>
      </c>
      <c r="B2068" t="s">
        <v>4655</v>
      </c>
      <c r="C2068" t="s">
        <v>13735</v>
      </c>
      <c r="D2068" s="1">
        <v>40365</v>
      </c>
      <c r="E2068" s="2">
        <v>149500</v>
      </c>
      <c r="F2068" t="s">
        <v>4553</v>
      </c>
      <c r="G2068" s="17" t="str">
        <f>HYPERLINK("https://www.washoecounty.gov/assessor/cama/?command=sales&amp;parid=02735204","3898591")</f>
        <v>3898591</v>
      </c>
      <c r="H2068" t="s">
        <v>1703</v>
      </c>
      <c r="I2068">
        <v>1963</v>
      </c>
      <c r="J2068">
        <v>1965</v>
      </c>
      <c r="K2068" t="s">
        <v>4554</v>
      </c>
      <c r="L2068" t="s">
        <v>4555</v>
      </c>
      <c r="M2068" s="2">
        <v>1718</v>
      </c>
      <c r="N2068" t="s">
        <v>4048</v>
      </c>
      <c r="O2068">
        <v>3</v>
      </c>
      <c r="P2068">
        <v>2</v>
      </c>
      <c r="Q2068">
        <v>0</v>
      </c>
      <c r="R2068" t="s">
        <v>5281</v>
      </c>
      <c r="S2068" t="s">
        <v>3148</v>
      </c>
      <c r="T2068" t="s">
        <v>4559</v>
      </c>
      <c r="U2068" t="s">
        <v>4560</v>
      </c>
      <c r="V2068" s="2">
        <v>378</v>
      </c>
      <c r="W2068" t="s">
        <v>4655</v>
      </c>
      <c r="X2068" s="2">
        <v>0</v>
      </c>
      <c r="Y2068">
        <v>20</v>
      </c>
      <c r="Z2068" t="s">
        <v>5200</v>
      </c>
      <c r="AA2068" s="3">
        <v>0.16200642287731201</v>
      </c>
      <c r="AB2068" t="s">
        <v>13736</v>
      </c>
      <c r="AC2068" t="s">
        <v>4575</v>
      </c>
      <c r="AD2068" t="s">
        <v>13735</v>
      </c>
      <c r="AE2068" t="s">
        <v>4655</v>
      </c>
      <c r="AF2068" t="s">
        <v>5201</v>
      </c>
      <c r="AG2068" t="s">
        <v>4564</v>
      </c>
      <c r="AH2068" t="s">
        <v>5202</v>
      </c>
      <c r="AI2068" t="s">
        <v>4655</v>
      </c>
      <c r="AJ2068" t="s">
        <v>4655</v>
      </c>
      <c r="AK2068" t="s">
        <v>13737</v>
      </c>
      <c r="AL2068" s="13" t="s">
        <v>1886</v>
      </c>
      <c r="AM2068">
        <v>1</v>
      </c>
      <c r="AN2068" s="15" t="s">
        <v>5156</v>
      </c>
    </row>
    <row r="2069" spans="1:40" x14ac:dyDescent="0.3">
      <c r="A2069" s="10" t="str">
        <f>HYPERLINK("http://www.washoecounty.gov/assessor/cama/?parid=027-354-03&amp;CardNumber=1","027-354-03")</f>
        <v>027-354-03</v>
      </c>
      <c r="B2069" t="s">
        <v>4655</v>
      </c>
      <c r="C2069" t="s">
        <v>13738</v>
      </c>
      <c r="D2069" s="1">
        <v>40197</v>
      </c>
      <c r="E2069" s="2">
        <v>130000</v>
      </c>
      <c r="F2069" t="s">
        <v>4567</v>
      </c>
      <c r="G2069" s="17" t="str">
        <f>HYPERLINK("https://www.washoecounty.gov/assessor/cama/?command=sales&amp;parid=02735403","3840741")</f>
        <v>3840741</v>
      </c>
      <c r="H2069" t="s">
        <v>13739</v>
      </c>
      <c r="I2069">
        <v>1963</v>
      </c>
      <c r="J2069">
        <v>1964</v>
      </c>
      <c r="K2069" t="s">
        <v>4554</v>
      </c>
      <c r="L2069" t="s">
        <v>3886</v>
      </c>
      <c r="M2069" s="2">
        <v>1715</v>
      </c>
      <c r="N2069" t="s">
        <v>4048</v>
      </c>
      <c r="O2069">
        <v>4</v>
      </c>
      <c r="P2069">
        <v>3</v>
      </c>
      <c r="Q2069">
        <v>0</v>
      </c>
      <c r="R2069" t="s">
        <v>4557</v>
      </c>
      <c r="S2069" t="s">
        <v>3148</v>
      </c>
      <c r="T2069" t="s">
        <v>4559</v>
      </c>
      <c r="U2069" t="s">
        <v>4560</v>
      </c>
      <c r="V2069" s="2">
        <v>475</v>
      </c>
      <c r="W2069" t="s">
        <v>4655</v>
      </c>
      <c r="X2069" s="2">
        <v>0</v>
      </c>
      <c r="Y2069">
        <v>20</v>
      </c>
      <c r="Z2069" t="s">
        <v>5200</v>
      </c>
      <c r="AA2069" s="3">
        <v>0.16099633276462599</v>
      </c>
      <c r="AB2069" t="s">
        <v>13740</v>
      </c>
      <c r="AC2069" t="s">
        <v>4562</v>
      </c>
      <c r="AD2069" t="s">
        <v>13738</v>
      </c>
      <c r="AE2069" t="s">
        <v>4655</v>
      </c>
      <c r="AF2069" t="s">
        <v>5201</v>
      </c>
      <c r="AG2069" t="s">
        <v>4564</v>
      </c>
      <c r="AH2069" t="s">
        <v>5202</v>
      </c>
      <c r="AI2069" t="s">
        <v>13741</v>
      </c>
      <c r="AJ2069" t="s">
        <v>4655</v>
      </c>
      <c r="AK2069" t="s">
        <v>13742</v>
      </c>
      <c r="AL2069" s="13" t="s">
        <v>1886</v>
      </c>
      <c r="AM2069">
        <v>1</v>
      </c>
      <c r="AN2069" s="15" t="s">
        <v>5156</v>
      </c>
    </row>
    <row r="2070" spans="1:40" x14ac:dyDescent="0.3">
      <c r="A2070" s="10" t="str">
        <f>HYPERLINK("http://www.washoecounty.gov/assessor/cama/?parid=027-355-26&amp;CardNumber=1","027-355-26")</f>
        <v>027-355-26</v>
      </c>
      <c r="B2070" t="s">
        <v>4655</v>
      </c>
      <c r="C2070" t="s">
        <v>13743</v>
      </c>
      <c r="D2070" s="1">
        <v>40359</v>
      </c>
      <c r="E2070" s="2">
        <v>105000</v>
      </c>
      <c r="F2070" t="s">
        <v>4567</v>
      </c>
      <c r="G2070" s="17" t="str">
        <f>HYPERLINK("https://www.washoecounty.gov/assessor/cama/?command=sales&amp;parid=02735526","3897473")</f>
        <v>3897473</v>
      </c>
      <c r="H2070" t="s">
        <v>2276</v>
      </c>
      <c r="I2070">
        <v>1964</v>
      </c>
      <c r="J2070">
        <v>1964</v>
      </c>
      <c r="K2070" t="s">
        <v>4554</v>
      </c>
      <c r="L2070" t="s">
        <v>4555</v>
      </c>
      <c r="M2070" s="2">
        <v>1685</v>
      </c>
      <c r="N2070" t="s">
        <v>4048</v>
      </c>
      <c r="O2070">
        <v>3</v>
      </c>
      <c r="P2070">
        <v>2</v>
      </c>
      <c r="Q2070">
        <v>0</v>
      </c>
      <c r="R2070" t="s">
        <v>4557</v>
      </c>
      <c r="S2070" t="s">
        <v>4135</v>
      </c>
      <c r="T2070" t="s">
        <v>4559</v>
      </c>
      <c r="U2070" t="s">
        <v>4560</v>
      </c>
      <c r="V2070" s="2">
        <v>476</v>
      </c>
      <c r="W2070" t="s">
        <v>4655</v>
      </c>
      <c r="X2070" s="2">
        <v>0</v>
      </c>
      <c r="Y2070">
        <v>20</v>
      </c>
      <c r="Z2070" t="s">
        <v>5200</v>
      </c>
      <c r="AA2070" s="3">
        <v>0.16099633276462599</v>
      </c>
      <c r="AB2070" t="s">
        <v>13744</v>
      </c>
      <c r="AC2070" t="s">
        <v>4575</v>
      </c>
      <c r="AD2070" t="s">
        <v>13743</v>
      </c>
      <c r="AE2070" t="s">
        <v>4655</v>
      </c>
      <c r="AF2070" t="s">
        <v>5201</v>
      </c>
      <c r="AG2070" t="s">
        <v>4564</v>
      </c>
      <c r="AH2070" t="s">
        <v>5202</v>
      </c>
      <c r="AI2070" t="s">
        <v>4655</v>
      </c>
      <c r="AJ2070" t="s">
        <v>4655</v>
      </c>
      <c r="AK2070" t="s">
        <v>13745</v>
      </c>
      <c r="AL2070" s="13" t="s">
        <v>1886</v>
      </c>
      <c r="AM2070">
        <v>1</v>
      </c>
      <c r="AN2070" s="15" t="s">
        <v>5156</v>
      </c>
    </row>
    <row r="2071" spans="1:40" x14ac:dyDescent="0.3">
      <c r="A2071" s="10" t="str">
        <f>HYPERLINK("http://www.washoecounty.gov/assessor/cama/?parid=027-361-24&amp;CardNumber=1","027-361-24")</f>
        <v>027-361-24</v>
      </c>
      <c r="B2071" t="s">
        <v>4655</v>
      </c>
      <c r="C2071" t="s">
        <v>13746</v>
      </c>
      <c r="D2071" s="1">
        <v>40359</v>
      </c>
      <c r="E2071" s="2">
        <v>68000</v>
      </c>
      <c r="F2071" t="s">
        <v>4567</v>
      </c>
      <c r="G2071" s="17" t="str">
        <f>HYPERLINK("https://www.washoecounty.gov/assessor/cama/?command=sales&amp;parid=02736124","3896946")</f>
        <v>3896946</v>
      </c>
      <c r="H2071" t="s">
        <v>5157</v>
      </c>
      <c r="I2071">
        <v>1958</v>
      </c>
      <c r="J2071">
        <v>1958</v>
      </c>
      <c r="K2071" t="s">
        <v>4554</v>
      </c>
      <c r="L2071" t="s">
        <v>4555</v>
      </c>
      <c r="M2071" s="2">
        <v>1092</v>
      </c>
      <c r="N2071" t="s">
        <v>4556</v>
      </c>
      <c r="O2071">
        <v>3</v>
      </c>
      <c r="P2071">
        <v>1</v>
      </c>
      <c r="Q2071">
        <v>0</v>
      </c>
      <c r="R2071" t="s">
        <v>4557</v>
      </c>
      <c r="S2071" t="s">
        <v>4574</v>
      </c>
      <c r="T2071" t="s">
        <v>4559</v>
      </c>
      <c r="U2071" t="s">
        <v>4560</v>
      </c>
      <c r="V2071" s="2">
        <v>300</v>
      </c>
      <c r="W2071" t="s">
        <v>4655</v>
      </c>
      <c r="X2071" s="2">
        <v>0</v>
      </c>
      <c r="Y2071">
        <v>20</v>
      </c>
      <c r="Z2071" t="s">
        <v>5200</v>
      </c>
      <c r="AA2071" s="3">
        <v>0.13799357414245605</v>
      </c>
      <c r="AB2071" t="s">
        <v>7645</v>
      </c>
      <c r="AC2071" t="s">
        <v>4562</v>
      </c>
      <c r="AD2071" t="s">
        <v>1912</v>
      </c>
      <c r="AE2071" t="s">
        <v>4655</v>
      </c>
      <c r="AF2071" t="s">
        <v>4563</v>
      </c>
      <c r="AG2071" t="s">
        <v>4564</v>
      </c>
      <c r="AH2071">
        <v>89511</v>
      </c>
      <c r="AI2071" t="s">
        <v>13747</v>
      </c>
      <c r="AJ2071" t="s">
        <v>4655</v>
      </c>
      <c r="AK2071" t="s">
        <v>13748</v>
      </c>
      <c r="AL2071" s="13" t="s">
        <v>1886</v>
      </c>
      <c r="AM2071">
        <v>1</v>
      </c>
      <c r="AN2071" s="15" t="s">
        <v>5158</v>
      </c>
    </row>
    <row r="2072" spans="1:40" x14ac:dyDescent="0.3">
      <c r="A2072" s="10" t="str">
        <f>HYPERLINK("http://www.washoecounty.gov/assessor/cama/?parid=027-362-12&amp;CardNumber=1","027-362-12")</f>
        <v>027-362-12</v>
      </c>
      <c r="B2072" t="s">
        <v>4655</v>
      </c>
      <c r="C2072" t="s">
        <v>13749</v>
      </c>
      <c r="D2072" s="1">
        <v>40470</v>
      </c>
      <c r="E2072" s="2">
        <v>95000</v>
      </c>
      <c r="F2072" t="s">
        <v>4567</v>
      </c>
      <c r="G2072" s="17" t="str">
        <f>HYPERLINK("https://www.washoecounty.gov/assessor/cama/?command=sales&amp;parid=02736212","3934541")</f>
        <v>3934541</v>
      </c>
      <c r="H2072" t="s">
        <v>5157</v>
      </c>
      <c r="I2072">
        <v>1958</v>
      </c>
      <c r="J2072">
        <v>1958</v>
      </c>
      <c r="K2072" t="s">
        <v>4554</v>
      </c>
      <c r="L2072" t="s">
        <v>4555</v>
      </c>
      <c r="M2072" s="2">
        <v>1092</v>
      </c>
      <c r="N2072" t="s">
        <v>4556</v>
      </c>
      <c r="O2072">
        <v>3</v>
      </c>
      <c r="P2072">
        <v>1</v>
      </c>
      <c r="Q2072">
        <v>0</v>
      </c>
      <c r="R2072" t="s">
        <v>5281</v>
      </c>
      <c r="S2072" t="s">
        <v>4574</v>
      </c>
      <c r="T2072" t="s">
        <v>4559</v>
      </c>
      <c r="U2072" t="s">
        <v>4560</v>
      </c>
      <c r="V2072" s="2">
        <v>300</v>
      </c>
      <c r="W2072" t="s">
        <v>4655</v>
      </c>
      <c r="X2072" s="2">
        <v>0</v>
      </c>
      <c r="Y2072">
        <v>20</v>
      </c>
      <c r="Z2072" t="s">
        <v>5200</v>
      </c>
      <c r="AA2072" s="3">
        <v>0.13799357414245605</v>
      </c>
      <c r="AB2072" t="s">
        <v>405</v>
      </c>
      <c r="AC2072" t="s">
        <v>4562</v>
      </c>
      <c r="AD2072" t="s">
        <v>13750</v>
      </c>
      <c r="AE2072" t="s">
        <v>4655</v>
      </c>
      <c r="AF2072" t="s">
        <v>13751</v>
      </c>
      <c r="AG2072" t="s">
        <v>4584</v>
      </c>
      <c r="AH2072">
        <v>90291</v>
      </c>
      <c r="AI2072" t="s">
        <v>4655</v>
      </c>
      <c r="AJ2072" t="s">
        <v>4655</v>
      </c>
      <c r="AK2072" t="s">
        <v>13752</v>
      </c>
      <c r="AL2072" s="13" t="s">
        <v>1886</v>
      </c>
      <c r="AM2072">
        <v>1</v>
      </c>
      <c r="AN2072" s="15" t="s">
        <v>5158</v>
      </c>
    </row>
    <row r="2073" spans="1:40" x14ac:dyDescent="0.3">
      <c r="A2073" s="10" t="str">
        <f>HYPERLINK("http://www.washoecounty.gov/assessor/cama/?parid=027-362-19&amp;CardNumber=1","027-362-19")</f>
        <v>027-362-19</v>
      </c>
      <c r="B2073" t="s">
        <v>4655</v>
      </c>
      <c r="C2073" t="s">
        <v>13753</v>
      </c>
      <c r="D2073" s="1">
        <v>40428</v>
      </c>
      <c r="E2073" s="2">
        <v>108500</v>
      </c>
      <c r="F2073" t="s">
        <v>4553</v>
      </c>
      <c r="G2073" s="17" t="str">
        <f>HYPERLINK("https://www.washoecounty.gov/assessor/cama/?command=sales&amp;parid=02736219","3919403")</f>
        <v>3919403</v>
      </c>
      <c r="H2073" t="s">
        <v>5157</v>
      </c>
      <c r="I2073">
        <v>1958</v>
      </c>
      <c r="J2073">
        <v>1958</v>
      </c>
      <c r="K2073" t="s">
        <v>4554</v>
      </c>
      <c r="L2073" t="s">
        <v>4555</v>
      </c>
      <c r="M2073" s="2">
        <v>1092</v>
      </c>
      <c r="N2073" t="s">
        <v>4556</v>
      </c>
      <c r="O2073">
        <v>3</v>
      </c>
      <c r="P2073">
        <v>1</v>
      </c>
      <c r="Q2073">
        <v>0</v>
      </c>
      <c r="R2073" t="s">
        <v>4557</v>
      </c>
      <c r="S2073" t="s">
        <v>4574</v>
      </c>
      <c r="T2073" t="s">
        <v>4559</v>
      </c>
      <c r="U2073" t="s">
        <v>4560</v>
      </c>
      <c r="V2073" s="2">
        <v>500</v>
      </c>
      <c r="W2073" t="s">
        <v>4655</v>
      </c>
      <c r="X2073" s="2">
        <v>0</v>
      </c>
      <c r="Y2073">
        <v>20</v>
      </c>
      <c r="Z2073" t="s">
        <v>5200</v>
      </c>
      <c r="AA2073" s="3">
        <v>0.17499999701976801</v>
      </c>
      <c r="AB2073" t="s">
        <v>13754</v>
      </c>
      <c r="AC2073" t="s">
        <v>4575</v>
      </c>
      <c r="AD2073" t="s">
        <v>13753</v>
      </c>
      <c r="AE2073" t="s">
        <v>4655</v>
      </c>
      <c r="AF2073" t="s">
        <v>5201</v>
      </c>
      <c r="AG2073" t="s">
        <v>4564</v>
      </c>
      <c r="AH2073" t="s">
        <v>5202</v>
      </c>
      <c r="AI2073" t="s">
        <v>4848</v>
      </c>
      <c r="AJ2073" t="s">
        <v>4655</v>
      </c>
      <c r="AK2073" t="s">
        <v>13755</v>
      </c>
      <c r="AL2073" s="13" t="s">
        <v>1886</v>
      </c>
      <c r="AM2073">
        <v>1</v>
      </c>
      <c r="AN2073" s="15" t="s">
        <v>5158</v>
      </c>
    </row>
    <row r="2074" spans="1:40" x14ac:dyDescent="0.3">
      <c r="A2074" s="10" t="str">
        <f>HYPERLINK("http://www.washoecounty.gov/assessor/cama/?parid=027-362-26&amp;CardNumber=1","027-362-26")</f>
        <v>027-362-26</v>
      </c>
      <c r="B2074" t="s">
        <v>4655</v>
      </c>
      <c r="C2074" t="s">
        <v>13756</v>
      </c>
      <c r="D2074" s="1">
        <v>40193</v>
      </c>
      <c r="E2074" s="2">
        <v>101000</v>
      </c>
      <c r="F2074" t="s">
        <v>4567</v>
      </c>
      <c r="G2074" s="17" t="str">
        <f>HYPERLINK("https://www.washoecounty.gov/assessor/cama/?command=sales&amp;parid=02736226","3839417")</f>
        <v>3839417</v>
      </c>
      <c r="H2074" t="s">
        <v>5157</v>
      </c>
      <c r="I2074">
        <v>1958</v>
      </c>
      <c r="J2074">
        <v>1958</v>
      </c>
      <c r="K2074" t="s">
        <v>4554</v>
      </c>
      <c r="L2074" t="s">
        <v>4555</v>
      </c>
      <c r="M2074" s="2">
        <v>1092</v>
      </c>
      <c r="N2074" t="s">
        <v>4556</v>
      </c>
      <c r="O2074">
        <v>3</v>
      </c>
      <c r="P2074">
        <v>1</v>
      </c>
      <c r="Q2074">
        <v>0</v>
      </c>
      <c r="R2074" t="s">
        <v>4557</v>
      </c>
      <c r="S2074" t="s">
        <v>4574</v>
      </c>
      <c r="T2074" t="s">
        <v>4559</v>
      </c>
      <c r="U2074" t="s">
        <v>4560</v>
      </c>
      <c r="V2074" s="2">
        <v>300</v>
      </c>
      <c r="W2074" t="s">
        <v>4655</v>
      </c>
      <c r="X2074" s="2">
        <v>0</v>
      </c>
      <c r="Y2074">
        <v>20</v>
      </c>
      <c r="Z2074" t="s">
        <v>5200</v>
      </c>
      <c r="AA2074" s="3">
        <v>0.13799357414245605</v>
      </c>
      <c r="AB2074" t="s">
        <v>13757</v>
      </c>
      <c r="AC2074" t="s">
        <v>4562</v>
      </c>
      <c r="AD2074" t="s">
        <v>13756</v>
      </c>
      <c r="AE2074" t="s">
        <v>4655</v>
      </c>
      <c r="AF2074" t="s">
        <v>5201</v>
      </c>
      <c r="AG2074" t="s">
        <v>4564</v>
      </c>
      <c r="AH2074" t="s">
        <v>5202</v>
      </c>
      <c r="AI2074" t="s">
        <v>13758</v>
      </c>
      <c r="AJ2074" t="s">
        <v>4655</v>
      </c>
      <c r="AK2074" t="s">
        <v>13759</v>
      </c>
      <c r="AL2074" s="13" t="s">
        <v>1886</v>
      </c>
      <c r="AM2074">
        <v>1</v>
      </c>
      <c r="AN2074" s="15" t="s">
        <v>5158</v>
      </c>
    </row>
    <row r="2075" spans="1:40" x14ac:dyDescent="0.3">
      <c r="A2075" s="10" t="str">
        <f>HYPERLINK("http://www.washoecounty.gov/assessor/cama/?parid=027-362-34&amp;CardNumber=1","027-362-34")</f>
        <v>027-362-34</v>
      </c>
      <c r="B2075" t="s">
        <v>4655</v>
      </c>
      <c r="C2075" t="s">
        <v>13760</v>
      </c>
      <c r="D2075" s="1">
        <v>40256</v>
      </c>
      <c r="E2075" s="2">
        <v>95000</v>
      </c>
      <c r="F2075" t="s">
        <v>4567</v>
      </c>
      <c r="G2075" s="17" t="str">
        <f>HYPERLINK("https://www.washoecounty.gov/assessor/cama/?command=sales&amp;parid=02736234","3861758")</f>
        <v>3861758</v>
      </c>
      <c r="H2075" t="s">
        <v>5157</v>
      </c>
      <c r="I2075">
        <v>1958</v>
      </c>
      <c r="J2075">
        <v>1958</v>
      </c>
      <c r="K2075" t="s">
        <v>4554</v>
      </c>
      <c r="L2075" t="s">
        <v>4555</v>
      </c>
      <c r="M2075" s="2">
        <v>1092</v>
      </c>
      <c r="N2075" t="s">
        <v>4556</v>
      </c>
      <c r="O2075">
        <v>3</v>
      </c>
      <c r="P2075">
        <v>1</v>
      </c>
      <c r="Q2075">
        <v>0</v>
      </c>
      <c r="R2075" t="s">
        <v>4557</v>
      </c>
      <c r="S2075" t="s">
        <v>4574</v>
      </c>
      <c r="T2075" t="s">
        <v>4559</v>
      </c>
      <c r="U2075" t="s">
        <v>4655</v>
      </c>
      <c r="V2075" s="2">
        <v>0</v>
      </c>
      <c r="W2075" t="s">
        <v>4655</v>
      </c>
      <c r="X2075" s="2">
        <v>0</v>
      </c>
      <c r="Y2075">
        <v>20</v>
      </c>
      <c r="Z2075" t="s">
        <v>5200</v>
      </c>
      <c r="AA2075" s="3">
        <v>0.13799357414245605</v>
      </c>
      <c r="AB2075" t="s">
        <v>13761</v>
      </c>
      <c r="AC2075" t="s">
        <v>4562</v>
      </c>
      <c r="AD2075" t="s">
        <v>13760</v>
      </c>
      <c r="AE2075" t="s">
        <v>4655</v>
      </c>
      <c r="AF2075" t="s">
        <v>5201</v>
      </c>
      <c r="AG2075" t="s">
        <v>4564</v>
      </c>
      <c r="AH2075" t="s">
        <v>5202</v>
      </c>
      <c r="AI2075" t="s">
        <v>4655</v>
      </c>
      <c r="AJ2075" t="s">
        <v>4655</v>
      </c>
      <c r="AK2075" t="s">
        <v>13762</v>
      </c>
      <c r="AL2075" s="13" t="s">
        <v>1886</v>
      </c>
      <c r="AM2075" s="14">
        <v>1</v>
      </c>
      <c r="AN2075" s="15" t="s">
        <v>5158</v>
      </c>
    </row>
    <row r="2076" spans="1:40" x14ac:dyDescent="0.3">
      <c r="A2076" s="10" t="str">
        <f>HYPERLINK("http://www.washoecounty.gov/assessor/cama/?parid=027-371-19&amp;CardNumber=1","027-371-19")</f>
        <v>027-371-19</v>
      </c>
      <c r="B2076" t="s">
        <v>4655</v>
      </c>
      <c r="C2076" t="s">
        <v>13763</v>
      </c>
      <c r="D2076" s="1">
        <v>40197</v>
      </c>
      <c r="E2076" s="2">
        <v>120000</v>
      </c>
      <c r="F2076" t="s">
        <v>4567</v>
      </c>
      <c r="G2076" s="17" t="str">
        <f>HYPERLINK("https://www.washoecounty.gov/assessor/cama/?command=sales&amp;parid=02737119","3840728")</f>
        <v>3840728</v>
      </c>
      <c r="H2076" t="s">
        <v>13764</v>
      </c>
      <c r="I2076">
        <v>1965</v>
      </c>
      <c r="J2076">
        <v>1965</v>
      </c>
      <c r="K2076" t="s">
        <v>4554</v>
      </c>
      <c r="L2076" t="s">
        <v>3886</v>
      </c>
      <c r="M2076" s="2">
        <v>1821</v>
      </c>
      <c r="N2076" t="s">
        <v>4048</v>
      </c>
      <c r="O2076">
        <v>3</v>
      </c>
      <c r="P2076">
        <v>2</v>
      </c>
      <c r="Q2076">
        <v>0</v>
      </c>
      <c r="R2076" t="s">
        <v>4557</v>
      </c>
      <c r="S2076" t="s">
        <v>4898</v>
      </c>
      <c r="T2076" t="s">
        <v>4559</v>
      </c>
      <c r="U2076" t="s">
        <v>4560</v>
      </c>
      <c r="V2076" s="2">
        <v>434</v>
      </c>
      <c r="W2076" t="s">
        <v>4655</v>
      </c>
      <c r="X2076" s="2">
        <v>0</v>
      </c>
      <c r="Y2076">
        <v>20</v>
      </c>
      <c r="Z2076" t="s">
        <v>5200</v>
      </c>
      <c r="AA2076" s="3">
        <v>0.14600551128387501</v>
      </c>
      <c r="AB2076" t="s">
        <v>13765</v>
      </c>
      <c r="AC2076" t="s">
        <v>4562</v>
      </c>
      <c r="AD2076" t="s">
        <v>13763</v>
      </c>
      <c r="AE2076" t="s">
        <v>4655</v>
      </c>
      <c r="AF2076" t="s">
        <v>5201</v>
      </c>
      <c r="AG2076" t="s">
        <v>4564</v>
      </c>
      <c r="AH2076" t="s">
        <v>5202</v>
      </c>
      <c r="AI2076" t="s">
        <v>13766</v>
      </c>
      <c r="AJ2076" t="s">
        <v>4655</v>
      </c>
      <c r="AK2076" t="s">
        <v>13767</v>
      </c>
      <c r="AL2076" s="13" t="s">
        <v>1886</v>
      </c>
      <c r="AM2076">
        <v>1</v>
      </c>
      <c r="AN2076" s="15" t="s">
        <v>5156</v>
      </c>
    </row>
    <row r="2077" spans="1:40" x14ac:dyDescent="0.3">
      <c r="A2077" s="10" t="str">
        <f>HYPERLINK("http://www.washoecounty.gov/assessor/cama/?parid=027-371-25&amp;CardNumber=1","027-371-25")</f>
        <v>027-371-25</v>
      </c>
      <c r="B2077" t="s">
        <v>4655</v>
      </c>
      <c r="C2077" t="s">
        <v>13768</v>
      </c>
      <c r="D2077" s="1">
        <v>40284</v>
      </c>
      <c r="E2077" s="2">
        <v>141000</v>
      </c>
      <c r="F2077" t="s">
        <v>4553</v>
      </c>
      <c r="G2077" s="17" t="str">
        <f>HYPERLINK("https://www.washoecounty.gov/assessor/cama/?command=sales&amp;parid=02737125","3871758")</f>
        <v>3871758</v>
      </c>
      <c r="H2077" t="s">
        <v>13769</v>
      </c>
      <c r="I2077">
        <v>1966</v>
      </c>
      <c r="J2077">
        <v>1966</v>
      </c>
      <c r="K2077" t="s">
        <v>4554</v>
      </c>
      <c r="L2077" t="s">
        <v>4555</v>
      </c>
      <c r="M2077" s="2">
        <v>1499</v>
      </c>
      <c r="N2077" t="s">
        <v>4048</v>
      </c>
      <c r="O2077">
        <v>4</v>
      </c>
      <c r="P2077">
        <v>2</v>
      </c>
      <c r="Q2077">
        <v>0</v>
      </c>
      <c r="R2077" t="s">
        <v>4557</v>
      </c>
      <c r="S2077" t="s">
        <v>4135</v>
      </c>
      <c r="T2077" t="s">
        <v>4559</v>
      </c>
      <c r="U2077" t="s">
        <v>4560</v>
      </c>
      <c r="V2077" s="2">
        <v>425</v>
      </c>
      <c r="W2077" t="s">
        <v>4655</v>
      </c>
      <c r="X2077" s="2">
        <v>0</v>
      </c>
      <c r="Y2077">
        <v>20</v>
      </c>
      <c r="Z2077" t="s">
        <v>5200</v>
      </c>
      <c r="AA2077" s="3">
        <v>0.14201101660728499</v>
      </c>
      <c r="AB2077" t="s">
        <v>13770</v>
      </c>
      <c r="AC2077" t="s">
        <v>4575</v>
      </c>
      <c r="AD2077" t="s">
        <v>13768</v>
      </c>
      <c r="AE2077" t="s">
        <v>4655</v>
      </c>
      <c r="AF2077" t="s">
        <v>4809</v>
      </c>
      <c r="AG2077" t="s">
        <v>4564</v>
      </c>
      <c r="AH2077" t="s">
        <v>5202</v>
      </c>
      <c r="AI2077" t="s">
        <v>4903</v>
      </c>
      <c r="AJ2077" t="s">
        <v>4655</v>
      </c>
      <c r="AK2077" t="s">
        <v>13771</v>
      </c>
      <c r="AL2077" s="13" t="s">
        <v>1886</v>
      </c>
      <c r="AM2077">
        <v>1</v>
      </c>
      <c r="AN2077" s="15" t="s">
        <v>5156</v>
      </c>
    </row>
    <row r="2078" spans="1:40" x14ac:dyDescent="0.3">
      <c r="A2078" s="10" t="str">
        <f>HYPERLINK("http://www.washoecounty.gov/assessor/cama/?parid=027-371-26&amp;CardNumber=1","027-371-26")</f>
        <v>027-371-26</v>
      </c>
      <c r="B2078" t="s">
        <v>4655</v>
      </c>
      <c r="C2078" t="s">
        <v>13772</v>
      </c>
      <c r="D2078" s="1">
        <v>40240</v>
      </c>
      <c r="E2078" s="2">
        <v>115000</v>
      </c>
      <c r="F2078" t="s">
        <v>4567</v>
      </c>
      <c r="G2078" s="17" t="str">
        <f>HYPERLINK("https://www.washoecounty.gov/assessor/cama/?command=sales&amp;parid=02737126","3855488")</f>
        <v>3855488</v>
      </c>
      <c r="H2078" t="s">
        <v>13769</v>
      </c>
      <c r="I2078">
        <v>1966</v>
      </c>
      <c r="J2078">
        <v>1967</v>
      </c>
      <c r="K2078" t="s">
        <v>4554</v>
      </c>
      <c r="L2078" t="s">
        <v>3886</v>
      </c>
      <c r="M2078" s="2">
        <v>2115</v>
      </c>
      <c r="N2078" t="s">
        <v>4048</v>
      </c>
      <c r="O2078">
        <v>5</v>
      </c>
      <c r="P2078">
        <v>3</v>
      </c>
      <c r="Q2078">
        <v>0</v>
      </c>
      <c r="R2078" t="s">
        <v>4557</v>
      </c>
      <c r="S2078" t="s">
        <v>4898</v>
      </c>
      <c r="T2078" t="s">
        <v>4559</v>
      </c>
      <c r="U2078" t="s">
        <v>4560</v>
      </c>
      <c r="V2078" s="2">
        <v>434</v>
      </c>
      <c r="W2078" t="s">
        <v>4655</v>
      </c>
      <c r="X2078" s="2">
        <v>0</v>
      </c>
      <c r="Y2078">
        <v>20</v>
      </c>
      <c r="Z2078" t="s">
        <v>5200</v>
      </c>
      <c r="AA2078" s="3">
        <v>0.14600551128387501</v>
      </c>
      <c r="AB2078" t="s">
        <v>13773</v>
      </c>
      <c r="AC2078" t="s">
        <v>4562</v>
      </c>
      <c r="AD2078" t="s">
        <v>13774</v>
      </c>
      <c r="AE2078" t="s">
        <v>4655</v>
      </c>
      <c r="AF2078" t="s">
        <v>5201</v>
      </c>
      <c r="AG2078" t="s">
        <v>4564</v>
      </c>
      <c r="AH2078" t="s">
        <v>5202</v>
      </c>
      <c r="AI2078" t="s">
        <v>13775</v>
      </c>
      <c r="AJ2078" t="s">
        <v>4655</v>
      </c>
      <c r="AK2078" t="s">
        <v>13776</v>
      </c>
      <c r="AL2078" s="13" t="s">
        <v>1886</v>
      </c>
      <c r="AM2078" s="14">
        <v>1</v>
      </c>
      <c r="AN2078" s="15" t="s">
        <v>5156</v>
      </c>
    </row>
    <row r="2079" spans="1:40" x14ac:dyDescent="0.3">
      <c r="A2079" s="10" t="str">
        <f>HYPERLINK("http://www.washoecounty.gov/assessor/cama/?parid=027-372-15&amp;CardNumber=1","027-372-15")</f>
        <v>027-372-15</v>
      </c>
      <c r="B2079" t="s">
        <v>4655</v>
      </c>
      <c r="C2079" t="s">
        <v>13777</v>
      </c>
      <c r="D2079" s="1">
        <v>40429</v>
      </c>
      <c r="E2079" s="2">
        <v>125500</v>
      </c>
      <c r="F2079" t="s">
        <v>4567</v>
      </c>
      <c r="G2079" s="17" t="str">
        <f>HYPERLINK("https://www.washoecounty.gov/assessor/cama/?command=sales&amp;parid=02737215","3919998")</f>
        <v>3919998</v>
      </c>
      <c r="H2079" t="s">
        <v>13778</v>
      </c>
      <c r="I2079">
        <v>1966</v>
      </c>
      <c r="J2079">
        <v>1966</v>
      </c>
      <c r="K2079" t="s">
        <v>4554</v>
      </c>
      <c r="L2079" t="s">
        <v>4555</v>
      </c>
      <c r="M2079" s="2">
        <v>1499</v>
      </c>
      <c r="N2079" t="s">
        <v>4048</v>
      </c>
      <c r="O2079">
        <v>4</v>
      </c>
      <c r="P2079">
        <v>2</v>
      </c>
      <c r="Q2079">
        <v>0</v>
      </c>
      <c r="R2079" t="s">
        <v>4557</v>
      </c>
      <c r="S2079" t="s">
        <v>3148</v>
      </c>
      <c r="T2079" t="s">
        <v>4559</v>
      </c>
      <c r="U2079" t="s">
        <v>4560</v>
      </c>
      <c r="V2079" s="2">
        <v>425</v>
      </c>
      <c r="W2079" t="s">
        <v>4655</v>
      </c>
      <c r="X2079" s="2">
        <v>0</v>
      </c>
      <c r="Y2079">
        <v>20</v>
      </c>
      <c r="Z2079" t="s">
        <v>5200</v>
      </c>
      <c r="AA2079" s="3">
        <v>0.14898990094661699</v>
      </c>
      <c r="AB2079" t="s">
        <v>13779</v>
      </c>
      <c r="AC2079" t="s">
        <v>4562</v>
      </c>
      <c r="AD2079" t="s">
        <v>13777</v>
      </c>
      <c r="AE2079" t="s">
        <v>4655</v>
      </c>
      <c r="AF2079" t="s">
        <v>5201</v>
      </c>
      <c r="AG2079" t="s">
        <v>4564</v>
      </c>
      <c r="AH2079" t="s">
        <v>5202</v>
      </c>
      <c r="AI2079" t="s">
        <v>13780</v>
      </c>
      <c r="AJ2079" t="s">
        <v>4655</v>
      </c>
      <c r="AK2079" t="s">
        <v>13781</v>
      </c>
      <c r="AL2079" s="13" t="s">
        <v>1886</v>
      </c>
      <c r="AM2079">
        <v>1</v>
      </c>
      <c r="AN2079" s="15" t="s">
        <v>5156</v>
      </c>
    </row>
    <row r="2080" spans="1:40" x14ac:dyDescent="0.3">
      <c r="A2080" s="10" t="str">
        <f>HYPERLINK("http://www.washoecounty.gov/assessor/cama/?parid=027-373-01&amp;CardNumber=1","027-373-01")</f>
        <v>027-373-01</v>
      </c>
      <c r="B2080" t="s">
        <v>4655</v>
      </c>
      <c r="C2080" t="s">
        <v>13782</v>
      </c>
      <c r="D2080" s="1">
        <v>40527</v>
      </c>
      <c r="E2080" s="2">
        <v>79000</v>
      </c>
      <c r="F2080" t="s">
        <v>4553</v>
      </c>
      <c r="G2080" s="17" t="str">
        <f>HYPERLINK("https://www.washoecounty.gov/assessor/cama/?command=sales&amp;parid=02737301","3953804")</f>
        <v>3953804</v>
      </c>
      <c r="H2080" t="s">
        <v>5065</v>
      </c>
      <c r="I2080">
        <v>1962</v>
      </c>
      <c r="J2080">
        <v>1962</v>
      </c>
      <c r="K2080" t="s">
        <v>4554</v>
      </c>
      <c r="L2080" t="s">
        <v>4555</v>
      </c>
      <c r="M2080" s="2">
        <v>1092</v>
      </c>
      <c r="N2080" t="s">
        <v>4048</v>
      </c>
      <c r="O2080">
        <v>3</v>
      </c>
      <c r="P2080">
        <v>1</v>
      </c>
      <c r="Q2080">
        <v>1</v>
      </c>
      <c r="R2080" t="s">
        <v>4557</v>
      </c>
      <c r="S2080" t="s">
        <v>4135</v>
      </c>
      <c r="T2080" t="s">
        <v>4559</v>
      </c>
      <c r="U2080" t="s">
        <v>4560</v>
      </c>
      <c r="V2080" s="2">
        <v>483</v>
      </c>
      <c r="W2080" t="s">
        <v>4655</v>
      </c>
      <c r="X2080" s="2">
        <v>0</v>
      </c>
      <c r="Y2080">
        <v>20</v>
      </c>
      <c r="Z2080" t="s">
        <v>5200</v>
      </c>
      <c r="AA2080" s="3">
        <v>0.17199265956878662</v>
      </c>
      <c r="AB2080" t="s">
        <v>13783</v>
      </c>
      <c r="AC2080" t="s">
        <v>4562</v>
      </c>
      <c r="AD2080" t="s">
        <v>13784</v>
      </c>
      <c r="AE2080" t="s">
        <v>4655</v>
      </c>
      <c r="AF2080" t="s">
        <v>4809</v>
      </c>
      <c r="AG2080" t="s">
        <v>4564</v>
      </c>
      <c r="AH2080" t="s">
        <v>5202</v>
      </c>
      <c r="AI2080" t="s">
        <v>4903</v>
      </c>
      <c r="AJ2080" t="s">
        <v>4655</v>
      </c>
      <c r="AK2080" t="s">
        <v>13785</v>
      </c>
      <c r="AL2080" s="13" t="s">
        <v>1886</v>
      </c>
      <c r="AM2080" s="14">
        <v>1</v>
      </c>
      <c r="AN2080" s="15" t="s">
        <v>5156</v>
      </c>
    </row>
    <row r="2081" spans="1:40" x14ac:dyDescent="0.3">
      <c r="A2081" s="10" t="str">
        <f>HYPERLINK("http://www.washoecounty.gov/assessor/cama/?parid=027-383-14&amp;CardNumber=1","027-383-14")</f>
        <v>027-383-14</v>
      </c>
      <c r="B2081" t="s">
        <v>4655</v>
      </c>
      <c r="C2081" t="s">
        <v>13786</v>
      </c>
      <c r="D2081" s="1">
        <v>40302</v>
      </c>
      <c r="E2081" s="2">
        <v>146700</v>
      </c>
      <c r="F2081" t="s">
        <v>4567</v>
      </c>
      <c r="G2081" s="17" t="str">
        <f>HYPERLINK("https://www.washoecounty.gov/assessor/cama/?command=sales&amp;parid=02738314","3877908")</f>
        <v>3877908</v>
      </c>
      <c r="H2081" t="s">
        <v>3545</v>
      </c>
      <c r="I2081">
        <v>1962</v>
      </c>
      <c r="J2081">
        <v>1962</v>
      </c>
      <c r="K2081" t="s">
        <v>4554</v>
      </c>
      <c r="L2081" t="s">
        <v>4555</v>
      </c>
      <c r="M2081" s="2">
        <v>1092</v>
      </c>
      <c r="N2081" t="s">
        <v>4048</v>
      </c>
      <c r="O2081">
        <v>3</v>
      </c>
      <c r="P2081">
        <v>2</v>
      </c>
      <c r="Q2081">
        <v>0</v>
      </c>
      <c r="R2081" t="s">
        <v>4557</v>
      </c>
      <c r="S2081" t="s">
        <v>4558</v>
      </c>
      <c r="T2081" t="s">
        <v>4559</v>
      </c>
      <c r="U2081" t="s">
        <v>4655</v>
      </c>
      <c r="V2081" s="2">
        <v>0</v>
      </c>
      <c r="W2081" t="s">
        <v>4655</v>
      </c>
      <c r="X2081" s="2">
        <v>0</v>
      </c>
      <c r="Y2081">
        <v>20</v>
      </c>
      <c r="Z2081" t="s">
        <v>5200</v>
      </c>
      <c r="AA2081" s="3">
        <v>0.23000459372997301</v>
      </c>
      <c r="AB2081" t="s">
        <v>13787</v>
      </c>
      <c r="AC2081" t="s">
        <v>4562</v>
      </c>
      <c r="AD2081" t="s">
        <v>13786</v>
      </c>
      <c r="AE2081" t="s">
        <v>4655</v>
      </c>
      <c r="AF2081" t="s">
        <v>5201</v>
      </c>
      <c r="AG2081" t="s">
        <v>4564</v>
      </c>
      <c r="AH2081" t="s">
        <v>5202</v>
      </c>
      <c r="AI2081" t="s">
        <v>4673</v>
      </c>
      <c r="AJ2081" t="s">
        <v>4655</v>
      </c>
      <c r="AK2081" t="s">
        <v>13788</v>
      </c>
      <c r="AL2081" s="13" t="s">
        <v>1886</v>
      </c>
      <c r="AM2081" s="14">
        <v>1</v>
      </c>
      <c r="AN2081" s="15" t="s">
        <v>5156</v>
      </c>
    </row>
    <row r="2082" spans="1:40" x14ac:dyDescent="0.3">
      <c r="A2082" s="10" t="str">
        <f>HYPERLINK("http://www.washoecounty.gov/assessor/cama/?parid=027-383-15&amp;CardNumber=1","027-383-15")</f>
        <v>027-383-15</v>
      </c>
      <c r="B2082" t="s">
        <v>4655</v>
      </c>
      <c r="C2082" t="s">
        <v>13789</v>
      </c>
      <c r="D2082" s="1">
        <v>40263</v>
      </c>
      <c r="E2082" s="2">
        <v>153000</v>
      </c>
      <c r="F2082" t="s">
        <v>4567</v>
      </c>
      <c r="G2082" s="17" t="str">
        <f>HYPERLINK("https://www.washoecounty.gov/assessor/cama/?command=sales&amp;parid=02738315","3864471")</f>
        <v>3864471</v>
      </c>
      <c r="H2082" t="s">
        <v>13790</v>
      </c>
      <c r="I2082">
        <v>1962</v>
      </c>
      <c r="J2082">
        <v>1966</v>
      </c>
      <c r="K2082" t="s">
        <v>4554</v>
      </c>
      <c r="L2082" t="s">
        <v>3886</v>
      </c>
      <c r="M2082" s="2">
        <v>1907</v>
      </c>
      <c r="N2082" t="s">
        <v>4048</v>
      </c>
      <c r="O2082">
        <v>3</v>
      </c>
      <c r="P2082">
        <v>2</v>
      </c>
      <c r="Q2082">
        <v>1</v>
      </c>
      <c r="R2082" t="s">
        <v>4557</v>
      </c>
      <c r="S2082" t="s">
        <v>3148</v>
      </c>
      <c r="T2082" t="s">
        <v>4559</v>
      </c>
      <c r="U2082" t="s">
        <v>4560</v>
      </c>
      <c r="V2082" s="2">
        <v>475</v>
      </c>
      <c r="W2082" t="s">
        <v>4655</v>
      </c>
      <c r="X2082" s="2">
        <v>0</v>
      </c>
      <c r="Y2082">
        <v>20</v>
      </c>
      <c r="Z2082" t="s">
        <v>5200</v>
      </c>
      <c r="AA2082" s="3">
        <v>0.16200642287731201</v>
      </c>
      <c r="AB2082" t="s">
        <v>13791</v>
      </c>
      <c r="AC2082" t="s">
        <v>4562</v>
      </c>
      <c r="AD2082" t="s">
        <v>13789</v>
      </c>
      <c r="AE2082" t="s">
        <v>4655</v>
      </c>
      <c r="AF2082" t="s">
        <v>5201</v>
      </c>
      <c r="AG2082" t="s">
        <v>4564</v>
      </c>
      <c r="AH2082" t="s">
        <v>5202</v>
      </c>
      <c r="AI2082" t="s">
        <v>13792</v>
      </c>
      <c r="AJ2082" t="s">
        <v>4655</v>
      </c>
      <c r="AK2082" t="s">
        <v>13793</v>
      </c>
      <c r="AL2082" s="13" t="s">
        <v>1886</v>
      </c>
      <c r="AM2082">
        <v>1</v>
      </c>
      <c r="AN2082" s="15" t="s">
        <v>5156</v>
      </c>
    </row>
    <row r="2083" spans="1:40" x14ac:dyDescent="0.3">
      <c r="A2083" s="10" t="str">
        <f>HYPERLINK("http://www.washoecounty.gov/assessor/cama/?parid=027-383-22&amp;CardNumber=1","027-383-22")</f>
        <v>027-383-22</v>
      </c>
      <c r="B2083" t="s">
        <v>4655</v>
      </c>
      <c r="C2083" t="s">
        <v>13794</v>
      </c>
      <c r="D2083" s="1">
        <v>40395</v>
      </c>
      <c r="E2083" s="2">
        <v>90000</v>
      </c>
      <c r="F2083" t="s">
        <v>4553</v>
      </c>
      <c r="G2083" s="17" t="str">
        <f>HYPERLINK("https://www.washoecounty.gov/assessor/cama/?command=sales&amp;parid=02738322","3909163")</f>
        <v>3909163</v>
      </c>
      <c r="H2083" t="s">
        <v>3545</v>
      </c>
      <c r="I2083">
        <v>1962</v>
      </c>
      <c r="J2083">
        <v>1962</v>
      </c>
      <c r="K2083" t="s">
        <v>4554</v>
      </c>
      <c r="L2083" t="s">
        <v>4555</v>
      </c>
      <c r="M2083" s="2">
        <v>1284</v>
      </c>
      <c r="N2083" t="s">
        <v>4048</v>
      </c>
      <c r="O2083">
        <v>3</v>
      </c>
      <c r="P2083">
        <v>2</v>
      </c>
      <c r="Q2083">
        <v>0</v>
      </c>
      <c r="R2083" t="s">
        <v>4557</v>
      </c>
      <c r="S2083" t="s">
        <v>4135</v>
      </c>
      <c r="T2083" t="s">
        <v>4559</v>
      </c>
      <c r="U2083" t="s">
        <v>4560</v>
      </c>
      <c r="V2083" s="2">
        <v>456</v>
      </c>
      <c r="W2083" t="s">
        <v>4655</v>
      </c>
      <c r="X2083" s="2">
        <v>0</v>
      </c>
      <c r="Y2083">
        <v>20</v>
      </c>
      <c r="Z2083" t="s">
        <v>5200</v>
      </c>
      <c r="AA2083" s="3">
        <v>0.15500459074974099</v>
      </c>
      <c r="AB2083" t="s">
        <v>13795</v>
      </c>
      <c r="AC2083" t="s">
        <v>4575</v>
      </c>
      <c r="AD2083" t="s">
        <v>13794</v>
      </c>
      <c r="AE2083" t="s">
        <v>4655</v>
      </c>
      <c r="AF2083" t="s">
        <v>5201</v>
      </c>
      <c r="AG2083" t="s">
        <v>4564</v>
      </c>
      <c r="AH2083" t="s">
        <v>5202</v>
      </c>
      <c r="AI2083" t="s">
        <v>2351</v>
      </c>
      <c r="AJ2083" t="s">
        <v>4655</v>
      </c>
      <c r="AK2083" t="s">
        <v>13796</v>
      </c>
      <c r="AL2083" s="13" t="s">
        <v>1886</v>
      </c>
      <c r="AM2083">
        <v>1</v>
      </c>
      <c r="AN2083" s="15" t="s">
        <v>5156</v>
      </c>
    </row>
    <row r="2084" spans="1:40" x14ac:dyDescent="0.3">
      <c r="A2084" s="10" t="str">
        <f>HYPERLINK("http://www.washoecounty.gov/assessor/cama/?parid=027-383-35&amp;CardNumber=1","027-383-35")</f>
        <v>027-383-35</v>
      </c>
      <c r="B2084" t="s">
        <v>4655</v>
      </c>
      <c r="C2084" t="s">
        <v>13797</v>
      </c>
      <c r="D2084" s="1">
        <v>40270</v>
      </c>
      <c r="E2084" s="2">
        <v>105000</v>
      </c>
      <c r="F2084" t="s">
        <v>4553</v>
      </c>
      <c r="G2084" s="17" t="str">
        <f>HYPERLINK("https://www.washoecounty.gov/assessor/cama/?command=sales&amp;parid=02738335","3867284")</f>
        <v>3867284</v>
      </c>
      <c r="H2084" t="s">
        <v>5624</v>
      </c>
      <c r="I2084">
        <v>1962</v>
      </c>
      <c r="J2084">
        <v>1969</v>
      </c>
      <c r="K2084" t="s">
        <v>4554</v>
      </c>
      <c r="L2084" t="s">
        <v>4555</v>
      </c>
      <c r="M2084" s="2">
        <v>1968</v>
      </c>
      <c r="N2084" t="s">
        <v>4556</v>
      </c>
      <c r="O2084">
        <v>3</v>
      </c>
      <c r="P2084">
        <v>3</v>
      </c>
      <c r="Q2084">
        <v>0</v>
      </c>
      <c r="R2084" t="s">
        <v>4557</v>
      </c>
      <c r="S2084" t="s">
        <v>4574</v>
      </c>
      <c r="T2084" t="s">
        <v>4559</v>
      </c>
      <c r="U2084" t="s">
        <v>4655</v>
      </c>
      <c r="V2084" s="2">
        <v>0</v>
      </c>
      <c r="W2084" t="s">
        <v>4655</v>
      </c>
      <c r="X2084" s="2">
        <v>0</v>
      </c>
      <c r="Y2084">
        <v>20</v>
      </c>
      <c r="Z2084" t="s">
        <v>5200</v>
      </c>
      <c r="AA2084" s="3">
        <v>0.14898990094661699</v>
      </c>
      <c r="AB2084" t="s">
        <v>5018</v>
      </c>
      <c r="AC2084" t="s">
        <v>4562</v>
      </c>
      <c r="AD2084" t="s">
        <v>13797</v>
      </c>
      <c r="AE2084" t="s">
        <v>4655</v>
      </c>
      <c r="AF2084" t="s">
        <v>5201</v>
      </c>
      <c r="AG2084" t="s">
        <v>4564</v>
      </c>
      <c r="AH2084" t="s">
        <v>5202</v>
      </c>
      <c r="AI2084" t="s">
        <v>1398</v>
      </c>
      <c r="AJ2084" t="s">
        <v>4655</v>
      </c>
      <c r="AK2084" t="s">
        <v>13798</v>
      </c>
      <c r="AL2084" s="13" t="s">
        <v>1886</v>
      </c>
      <c r="AM2084" s="14">
        <v>1</v>
      </c>
      <c r="AN2084" s="15" t="s">
        <v>5156</v>
      </c>
    </row>
    <row r="2085" spans="1:40" x14ac:dyDescent="0.3">
      <c r="A2085" s="10" t="str">
        <f>HYPERLINK("http://www.washoecounty.gov/assessor/cama/?parid=027-392-01&amp;CardNumber=1","027-392-01")</f>
        <v>027-392-01</v>
      </c>
      <c r="B2085" t="s">
        <v>4655</v>
      </c>
      <c r="C2085" t="s">
        <v>13799</v>
      </c>
      <c r="D2085" s="1">
        <v>40207</v>
      </c>
      <c r="E2085" s="2">
        <v>100000</v>
      </c>
      <c r="F2085" t="s">
        <v>4567</v>
      </c>
      <c r="G2085" s="17" t="str">
        <f>HYPERLINK("https://www.washoecounty.gov/assessor/cama/?command=sales&amp;parid=02739201","3844226")</f>
        <v>3844226</v>
      </c>
      <c r="H2085" t="s">
        <v>5159</v>
      </c>
      <c r="I2085">
        <v>1957</v>
      </c>
      <c r="J2085">
        <v>1957</v>
      </c>
      <c r="K2085" t="s">
        <v>4554</v>
      </c>
      <c r="L2085" t="s">
        <v>4555</v>
      </c>
      <c r="M2085" s="2">
        <v>1196</v>
      </c>
      <c r="N2085" t="s">
        <v>4556</v>
      </c>
      <c r="O2085">
        <v>4</v>
      </c>
      <c r="P2085">
        <v>1</v>
      </c>
      <c r="Q2085">
        <v>1</v>
      </c>
      <c r="R2085" t="s">
        <v>4557</v>
      </c>
      <c r="S2085" t="s">
        <v>4558</v>
      </c>
      <c r="T2085" t="s">
        <v>4559</v>
      </c>
      <c r="U2085" t="s">
        <v>4655</v>
      </c>
      <c r="V2085" s="2">
        <v>0</v>
      </c>
      <c r="W2085" t="s">
        <v>4655</v>
      </c>
      <c r="X2085" s="2">
        <v>0</v>
      </c>
      <c r="Y2085">
        <v>20</v>
      </c>
      <c r="Z2085" t="s">
        <v>5200</v>
      </c>
      <c r="AA2085" s="3">
        <v>0.17398989200591999</v>
      </c>
      <c r="AB2085" t="s">
        <v>13800</v>
      </c>
      <c r="AC2085" t="s">
        <v>4562</v>
      </c>
      <c r="AD2085" t="s">
        <v>13801</v>
      </c>
      <c r="AE2085" t="s">
        <v>4655</v>
      </c>
      <c r="AF2085" t="s">
        <v>5201</v>
      </c>
      <c r="AG2085" t="s">
        <v>4564</v>
      </c>
      <c r="AH2085" t="s">
        <v>5202</v>
      </c>
      <c r="AI2085" t="s">
        <v>13802</v>
      </c>
      <c r="AJ2085" t="s">
        <v>4655</v>
      </c>
      <c r="AK2085" t="s">
        <v>13803</v>
      </c>
      <c r="AL2085" s="13" t="s">
        <v>3425</v>
      </c>
      <c r="AM2085">
        <v>1</v>
      </c>
      <c r="AN2085" s="15" t="s">
        <v>5158</v>
      </c>
    </row>
    <row r="2086" spans="1:40" x14ac:dyDescent="0.3">
      <c r="A2086" s="10" t="str">
        <f>HYPERLINK("http://www.washoecounty.gov/assessor/cama/?parid=027-392-14&amp;CardNumber=1","027-392-14")</f>
        <v>027-392-14</v>
      </c>
      <c r="B2086" t="s">
        <v>4655</v>
      </c>
      <c r="C2086" t="s">
        <v>13804</v>
      </c>
      <c r="D2086" s="1">
        <v>40247</v>
      </c>
      <c r="E2086" s="2">
        <v>70000</v>
      </c>
      <c r="F2086" t="s">
        <v>4553</v>
      </c>
      <c r="G2086" s="17" t="str">
        <f>HYPERLINK("https://www.washoecounty.gov/assessor/cama/?command=sales&amp;parid=02739214","3858142")</f>
        <v>3858142</v>
      </c>
      <c r="H2086" t="s">
        <v>1337</v>
      </c>
      <c r="I2086">
        <v>1957</v>
      </c>
      <c r="J2086">
        <v>1957</v>
      </c>
      <c r="K2086" t="s">
        <v>4554</v>
      </c>
      <c r="L2086" t="s">
        <v>4555</v>
      </c>
      <c r="M2086" s="2">
        <v>1092</v>
      </c>
      <c r="N2086" t="s">
        <v>4556</v>
      </c>
      <c r="O2086">
        <v>3</v>
      </c>
      <c r="P2086">
        <v>1</v>
      </c>
      <c r="Q2086">
        <v>0</v>
      </c>
      <c r="R2086" t="s">
        <v>4557</v>
      </c>
      <c r="S2086" t="s">
        <v>4558</v>
      </c>
      <c r="T2086" t="s">
        <v>4559</v>
      </c>
      <c r="U2086" t="s">
        <v>4560</v>
      </c>
      <c r="V2086" s="2">
        <v>300</v>
      </c>
      <c r="W2086" t="s">
        <v>4655</v>
      </c>
      <c r="X2086" s="2">
        <v>0</v>
      </c>
      <c r="Y2086">
        <v>20</v>
      </c>
      <c r="Z2086" t="s">
        <v>5200</v>
      </c>
      <c r="AA2086" s="3">
        <v>0.13799357414245605</v>
      </c>
      <c r="AB2086" t="s">
        <v>13805</v>
      </c>
      <c r="AC2086" t="s">
        <v>4562</v>
      </c>
      <c r="AD2086" t="s">
        <v>13804</v>
      </c>
      <c r="AE2086" t="s">
        <v>4655</v>
      </c>
      <c r="AF2086" t="s">
        <v>5201</v>
      </c>
      <c r="AG2086" t="s">
        <v>4564</v>
      </c>
      <c r="AH2086" t="s">
        <v>5202</v>
      </c>
      <c r="AI2086" t="s">
        <v>4045</v>
      </c>
      <c r="AJ2086" t="s">
        <v>4655</v>
      </c>
      <c r="AK2086" t="s">
        <v>13806</v>
      </c>
      <c r="AL2086" s="13" t="s">
        <v>1886</v>
      </c>
      <c r="AM2086" s="14">
        <v>1</v>
      </c>
      <c r="AN2086" s="15" t="s">
        <v>5158</v>
      </c>
    </row>
    <row r="2087" spans="1:40" x14ac:dyDescent="0.3">
      <c r="A2087" s="10" t="str">
        <f>HYPERLINK("http://www.washoecounty.gov/assessor/cama/?parid=027-392-17&amp;CardNumber=1","027-392-17")</f>
        <v>027-392-17</v>
      </c>
      <c r="B2087" t="s">
        <v>4655</v>
      </c>
      <c r="C2087" t="s">
        <v>13807</v>
      </c>
      <c r="D2087" s="1">
        <v>40255</v>
      </c>
      <c r="E2087" s="2">
        <v>112500</v>
      </c>
      <c r="F2087" t="s">
        <v>4567</v>
      </c>
      <c r="G2087" s="17" t="str">
        <f>HYPERLINK("https://www.washoecounty.gov/assessor/cama/?command=sales&amp;parid=02739217","3861099")</f>
        <v>3861099</v>
      </c>
      <c r="H2087" t="s">
        <v>13808</v>
      </c>
      <c r="I2087">
        <v>1955</v>
      </c>
      <c r="J2087">
        <v>1970</v>
      </c>
      <c r="K2087" t="s">
        <v>4554</v>
      </c>
      <c r="L2087" t="s">
        <v>4555</v>
      </c>
      <c r="M2087" s="2">
        <v>1284</v>
      </c>
      <c r="N2087" t="s">
        <v>4556</v>
      </c>
      <c r="O2087">
        <v>3</v>
      </c>
      <c r="P2087">
        <v>2</v>
      </c>
      <c r="Q2087">
        <v>0</v>
      </c>
      <c r="R2087" t="s">
        <v>4134</v>
      </c>
      <c r="S2087" t="s">
        <v>4558</v>
      </c>
      <c r="T2087" t="s">
        <v>4559</v>
      </c>
      <c r="U2087" t="s">
        <v>4655</v>
      </c>
      <c r="V2087" s="2">
        <v>0</v>
      </c>
      <c r="W2087" t="s">
        <v>4655</v>
      </c>
      <c r="X2087" s="2">
        <v>0</v>
      </c>
      <c r="Y2087">
        <v>20</v>
      </c>
      <c r="Z2087" t="s">
        <v>5200</v>
      </c>
      <c r="AA2087" s="3">
        <v>0.13799357414245605</v>
      </c>
      <c r="AB2087" t="s">
        <v>13809</v>
      </c>
      <c r="AC2087" t="s">
        <v>4575</v>
      </c>
      <c r="AD2087" t="s">
        <v>13807</v>
      </c>
      <c r="AE2087" t="s">
        <v>4655</v>
      </c>
      <c r="AF2087" t="s">
        <v>5201</v>
      </c>
      <c r="AG2087" t="s">
        <v>4564</v>
      </c>
      <c r="AH2087" t="s">
        <v>5202</v>
      </c>
      <c r="AI2087" t="s">
        <v>13810</v>
      </c>
      <c r="AJ2087" t="s">
        <v>4655</v>
      </c>
      <c r="AK2087" t="s">
        <v>13811</v>
      </c>
      <c r="AL2087" s="13" t="s">
        <v>1886</v>
      </c>
      <c r="AM2087" s="14">
        <v>1</v>
      </c>
      <c r="AN2087" s="15" t="s">
        <v>5158</v>
      </c>
    </row>
    <row r="2088" spans="1:40" x14ac:dyDescent="0.3">
      <c r="A2088" s="10" t="str">
        <f>HYPERLINK("http://www.washoecounty.gov/assessor/cama/?parid=027-392-19&amp;CardNumber=1","027-392-19")</f>
        <v>027-392-19</v>
      </c>
      <c r="B2088" t="s">
        <v>4655</v>
      </c>
      <c r="C2088" t="s">
        <v>13812</v>
      </c>
      <c r="D2088" s="1">
        <v>40386</v>
      </c>
      <c r="E2088" s="2">
        <v>75000</v>
      </c>
      <c r="F2088" t="s">
        <v>4567</v>
      </c>
      <c r="G2088" s="17" t="str">
        <f>HYPERLINK("https://www.washoecounty.gov/assessor/cama/?command=sales&amp;parid=02739219","3905495")</f>
        <v>3905495</v>
      </c>
      <c r="H2088" t="s">
        <v>2488</v>
      </c>
      <c r="I2088">
        <v>1955</v>
      </c>
      <c r="J2088">
        <v>1955</v>
      </c>
      <c r="K2088" t="s">
        <v>4554</v>
      </c>
      <c r="L2088" t="s">
        <v>4555</v>
      </c>
      <c r="M2088" s="2">
        <v>1092</v>
      </c>
      <c r="N2088" t="s">
        <v>4556</v>
      </c>
      <c r="O2088">
        <v>3</v>
      </c>
      <c r="P2088">
        <v>1</v>
      </c>
      <c r="Q2088">
        <v>0</v>
      </c>
      <c r="R2088" t="s">
        <v>4557</v>
      </c>
      <c r="S2088" t="s">
        <v>4574</v>
      </c>
      <c r="T2088" t="s">
        <v>4899</v>
      </c>
      <c r="U2088" t="s">
        <v>4560</v>
      </c>
      <c r="V2088" s="2">
        <v>500</v>
      </c>
      <c r="W2088" t="s">
        <v>4655</v>
      </c>
      <c r="X2088" s="2">
        <v>0</v>
      </c>
      <c r="Y2088">
        <v>20</v>
      </c>
      <c r="Z2088" t="s">
        <v>5200</v>
      </c>
      <c r="AA2088" s="3">
        <v>0.14499540627002699</v>
      </c>
      <c r="AB2088" t="s">
        <v>13813</v>
      </c>
      <c r="AC2088" t="s">
        <v>4562</v>
      </c>
      <c r="AD2088" t="s">
        <v>13814</v>
      </c>
      <c r="AE2088" t="s">
        <v>4655</v>
      </c>
      <c r="AF2088" t="s">
        <v>5201</v>
      </c>
      <c r="AG2088" t="s">
        <v>4564</v>
      </c>
      <c r="AH2088" t="s">
        <v>5202</v>
      </c>
      <c r="AI2088" t="s">
        <v>13813</v>
      </c>
      <c r="AJ2088" t="s">
        <v>4655</v>
      </c>
      <c r="AK2088" t="s">
        <v>13815</v>
      </c>
      <c r="AL2088" s="13" t="s">
        <v>1886</v>
      </c>
      <c r="AM2088">
        <v>1</v>
      </c>
      <c r="AN2088" s="15" t="s">
        <v>5158</v>
      </c>
    </row>
    <row r="2089" spans="1:40" x14ac:dyDescent="0.3">
      <c r="A2089" s="10" t="str">
        <f>HYPERLINK("http://www.washoecounty.gov/assessor/cama/?parid=027-392-37&amp;CardNumber=1","027-392-37")</f>
        <v>027-392-37</v>
      </c>
      <c r="B2089" t="s">
        <v>4655</v>
      </c>
      <c r="C2089" t="s">
        <v>13816</v>
      </c>
      <c r="D2089" s="1">
        <v>40220</v>
      </c>
      <c r="E2089" s="2">
        <v>71000</v>
      </c>
      <c r="F2089" t="s">
        <v>4553</v>
      </c>
      <c r="G2089" s="17" t="str">
        <f>HYPERLINK("https://www.washoecounty.gov/assessor/cama/?command=sales&amp;parid=02739237","3848474")</f>
        <v>3848474</v>
      </c>
      <c r="H2089" t="s">
        <v>5159</v>
      </c>
      <c r="I2089">
        <v>1957</v>
      </c>
      <c r="J2089">
        <v>1957</v>
      </c>
      <c r="K2089" t="s">
        <v>4554</v>
      </c>
      <c r="L2089" t="s">
        <v>4555</v>
      </c>
      <c r="M2089" s="2">
        <v>1092</v>
      </c>
      <c r="N2089" t="s">
        <v>4556</v>
      </c>
      <c r="O2089">
        <v>3</v>
      </c>
      <c r="P2089">
        <v>1</v>
      </c>
      <c r="Q2089">
        <v>0</v>
      </c>
      <c r="R2089" t="s">
        <v>4557</v>
      </c>
      <c r="S2089" t="s">
        <v>4574</v>
      </c>
      <c r="T2089" t="s">
        <v>4559</v>
      </c>
      <c r="U2089" t="s">
        <v>4655</v>
      </c>
      <c r="V2089" s="2">
        <v>0</v>
      </c>
      <c r="W2089" t="s">
        <v>4655</v>
      </c>
      <c r="X2089" s="2">
        <v>0</v>
      </c>
      <c r="Y2089">
        <v>20</v>
      </c>
      <c r="Z2089" t="s">
        <v>5200</v>
      </c>
      <c r="AA2089" s="3">
        <v>0.13999082148075101</v>
      </c>
      <c r="AB2089" t="s">
        <v>13817</v>
      </c>
      <c r="AC2089" t="s">
        <v>4562</v>
      </c>
      <c r="AD2089" t="s">
        <v>7733</v>
      </c>
      <c r="AE2089" t="s">
        <v>4655</v>
      </c>
      <c r="AF2089" t="s">
        <v>13818</v>
      </c>
      <c r="AG2089" t="s">
        <v>4584</v>
      </c>
      <c r="AH2089" t="s">
        <v>5069</v>
      </c>
      <c r="AI2089" t="s">
        <v>4655</v>
      </c>
      <c r="AJ2089" t="s">
        <v>4655</v>
      </c>
      <c r="AK2089" t="s">
        <v>13819</v>
      </c>
      <c r="AL2089" s="13" t="s">
        <v>3425</v>
      </c>
      <c r="AM2089">
        <v>1</v>
      </c>
      <c r="AN2089" s="15" t="s">
        <v>5158</v>
      </c>
    </row>
    <row r="2090" spans="1:40" x14ac:dyDescent="0.3">
      <c r="A2090" s="10" t="str">
        <f>HYPERLINK("http://www.washoecounty.gov/assessor/cama/?parid=027-393-05&amp;CardNumber=1","027-393-05")</f>
        <v>027-393-05</v>
      </c>
      <c r="B2090" t="s">
        <v>4655</v>
      </c>
      <c r="C2090" t="s">
        <v>13820</v>
      </c>
      <c r="D2090" s="1">
        <v>40183</v>
      </c>
      <c r="E2090" s="2">
        <v>112000</v>
      </c>
      <c r="F2090" t="s">
        <v>4553</v>
      </c>
      <c r="G2090" s="17" t="str">
        <f>HYPERLINK("https://www.washoecounty.gov/assessor/cama/?command=sales&amp;parid=02739305","3836600")</f>
        <v>3836600</v>
      </c>
      <c r="H2090" t="s">
        <v>5159</v>
      </c>
      <c r="I2090">
        <v>1957</v>
      </c>
      <c r="J2090">
        <v>1957</v>
      </c>
      <c r="K2090" t="s">
        <v>4554</v>
      </c>
      <c r="L2090" t="s">
        <v>4555</v>
      </c>
      <c r="M2090" s="2">
        <v>1196</v>
      </c>
      <c r="N2090" t="s">
        <v>4556</v>
      </c>
      <c r="O2090">
        <v>4</v>
      </c>
      <c r="P2090">
        <v>1</v>
      </c>
      <c r="Q2090">
        <v>1</v>
      </c>
      <c r="R2090" t="s">
        <v>4557</v>
      </c>
      <c r="S2090" t="s">
        <v>4574</v>
      </c>
      <c r="T2090" t="s">
        <v>4559</v>
      </c>
      <c r="U2090" t="s">
        <v>4560</v>
      </c>
      <c r="V2090" s="2">
        <v>441</v>
      </c>
      <c r="W2090" t="s">
        <v>4655</v>
      </c>
      <c r="X2090" s="2">
        <v>0</v>
      </c>
      <c r="Y2090">
        <v>20</v>
      </c>
      <c r="Z2090" t="s">
        <v>5200</v>
      </c>
      <c r="AA2090" s="3">
        <v>0.13799357414245605</v>
      </c>
      <c r="AB2090" t="s">
        <v>13821</v>
      </c>
      <c r="AC2090" t="s">
        <v>4562</v>
      </c>
      <c r="AD2090" t="s">
        <v>13820</v>
      </c>
      <c r="AE2090" t="s">
        <v>4655</v>
      </c>
      <c r="AF2090" t="s">
        <v>5201</v>
      </c>
      <c r="AG2090" t="s">
        <v>4564</v>
      </c>
      <c r="AH2090" t="s">
        <v>5202</v>
      </c>
      <c r="AI2090" t="s">
        <v>13821</v>
      </c>
      <c r="AJ2090" t="s">
        <v>4655</v>
      </c>
      <c r="AK2090" t="s">
        <v>13822</v>
      </c>
      <c r="AL2090" s="13" t="s">
        <v>3425</v>
      </c>
      <c r="AM2090">
        <v>1</v>
      </c>
      <c r="AN2090" s="15" t="s">
        <v>5158</v>
      </c>
    </row>
    <row r="2091" spans="1:40" x14ac:dyDescent="0.3">
      <c r="A2091" s="10" t="str">
        <f>HYPERLINK("http://www.washoecounty.gov/assessor/cama/?parid=027-393-17&amp;CardNumber=1","027-393-17")</f>
        <v>027-393-17</v>
      </c>
      <c r="B2091" t="s">
        <v>4655</v>
      </c>
      <c r="C2091" t="s">
        <v>13823</v>
      </c>
      <c r="D2091" s="1">
        <v>40301</v>
      </c>
      <c r="E2091" s="2">
        <v>87000</v>
      </c>
      <c r="F2091" t="s">
        <v>4567</v>
      </c>
      <c r="G2091" s="17" t="str">
        <f>HYPERLINK("https://www.washoecounty.gov/assessor/cama/?command=sales&amp;parid=02739317","3877566")</f>
        <v>3877566</v>
      </c>
      <c r="H2091" t="s">
        <v>2488</v>
      </c>
      <c r="I2091">
        <v>1955</v>
      </c>
      <c r="J2091">
        <v>1955</v>
      </c>
      <c r="K2091" t="s">
        <v>4554</v>
      </c>
      <c r="L2091" t="s">
        <v>4555</v>
      </c>
      <c r="M2091" s="2">
        <v>1092</v>
      </c>
      <c r="N2091" t="s">
        <v>4556</v>
      </c>
      <c r="O2091">
        <v>3</v>
      </c>
      <c r="P2091">
        <v>1</v>
      </c>
      <c r="Q2091">
        <v>0</v>
      </c>
      <c r="R2091" t="s">
        <v>4557</v>
      </c>
      <c r="S2091" t="s">
        <v>4135</v>
      </c>
      <c r="T2091" t="s">
        <v>4559</v>
      </c>
      <c r="U2091" t="s">
        <v>4655</v>
      </c>
      <c r="V2091" s="2">
        <v>0</v>
      </c>
      <c r="W2091" t="s">
        <v>4655</v>
      </c>
      <c r="X2091" s="2">
        <v>0</v>
      </c>
      <c r="Y2091">
        <v>20</v>
      </c>
      <c r="Z2091" t="s">
        <v>5200</v>
      </c>
      <c r="AA2091" s="3">
        <v>0.13799357414245605</v>
      </c>
      <c r="AB2091" t="s">
        <v>13824</v>
      </c>
      <c r="AC2091" t="s">
        <v>4575</v>
      </c>
      <c r="AD2091" t="s">
        <v>13825</v>
      </c>
      <c r="AE2091" t="s">
        <v>4655</v>
      </c>
      <c r="AF2091" t="s">
        <v>5201</v>
      </c>
      <c r="AG2091" t="s">
        <v>4564</v>
      </c>
      <c r="AH2091" t="s">
        <v>5202</v>
      </c>
      <c r="AI2091" t="s">
        <v>4655</v>
      </c>
      <c r="AJ2091" t="s">
        <v>4655</v>
      </c>
      <c r="AK2091" t="s">
        <v>13826</v>
      </c>
      <c r="AL2091" s="13" t="s">
        <v>1886</v>
      </c>
      <c r="AM2091">
        <v>1</v>
      </c>
      <c r="AN2091" s="15" t="s">
        <v>5158</v>
      </c>
    </row>
    <row r="2092" spans="1:40" x14ac:dyDescent="0.3">
      <c r="A2092" s="10" t="str">
        <f>HYPERLINK("http://www.washoecounty.gov/assessor/cama/?parid=027-393-31&amp;CardNumber=1","027-393-31")</f>
        <v>027-393-31</v>
      </c>
      <c r="B2092" t="s">
        <v>4655</v>
      </c>
      <c r="C2092" t="s">
        <v>13827</v>
      </c>
      <c r="D2092" s="1">
        <v>40367</v>
      </c>
      <c r="E2092" s="2">
        <v>75000</v>
      </c>
      <c r="F2092" t="s">
        <v>4567</v>
      </c>
      <c r="G2092" s="17" t="str">
        <f>HYPERLINK("https://www.washoecounty.gov/assessor/cama/?command=sales&amp;parid=02739331","3899545")</f>
        <v>3899545</v>
      </c>
      <c r="H2092" t="s">
        <v>5159</v>
      </c>
      <c r="I2092">
        <v>1957</v>
      </c>
      <c r="J2092">
        <v>1957</v>
      </c>
      <c r="K2092" t="s">
        <v>4554</v>
      </c>
      <c r="L2092" t="s">
        <v>4555</v>
      </c>
      <c r="M2092" s="2">
        <v>1092</v>
      </c>
      <c r="N2092" t="s">
        <v>4556</v>
      </c>
      <c r="O2092">
        <v>3</v>
      </c>
      <c r="P2092">
        <v>1</v>
      </c>
      <c r="Q2092">
        <v>0</v>
      </c>
      <c r="R2092" t="s">
        <v>4557</v>
      </c>
      <c r="S2092" t="s">
        <v>4574</v>
      </c>
      <c r="T2092" t="s">
        <v>4559</v>
      </c>
      <c r="U2092" t="s">
        <v>4655</v>
      </c>
      <c r="V2092" s="2">
        <v>0</v>
      </c>
      <c r="W2092" t="s">
        <v>4655</v>
      </c>
      <c r="X2092" s="2">
        <v>0</v>
      </c>
      <c r="Y2092">
        <v>20</v>
      </c>
      <c r="Z2092" t="s">
        <v>5200</v>
      </c>
      <c r="AA2092" s="3">
        <v>0.13799357414245605</v>
      </c>
      <c r="AB2092" t="s">
        <v>13828</v>
      </c>
      <c r="AC2092" t="s">
        <v>4575</v>
      </c>
      <c r="AD2092" t="s">
        <v>13827</v>
      </c>
      <c r="AE2092" t="s">
        <v>4655</v>
      </c>
      <c r="AF2092" t="s">
        <v>5201</v>
      </c>
      <c r="AG2092" t="s">
        <v>4564</v>
      </c>
      <c r="AH2092" t="s">
        <v>5202</v>
      </c>
      <c r="AI2092" t="s">
        <v>13829</v>
      </c>
      <c r="AJ2092" t="s">
        <v>4655</v>
      </c>
      <c r="AK2092" t="s">
        <v>13830</v>
      </c>
      <c r="AL2092" s="13" t="s">
        <v>3425</v>
      </c>
      <c r="AM2092">
        <v>1</v>
      </c>
      <c r="AN2092" s="15" t="s">
        <v>5158</v>
      </c>
    </row>
    <row r="2093" spans="1:40" x14ac:dyDescent="0.3">
      <c r="A2093" s="10" t="str">
        <f>HYPERLINK("http://www.washoecounty.gov/assessor/cama/?parid=027-393-35&amp;CardNumber=1","027-393-35")</f>
        <v>027-393-35</v>
      </c>
      <c r="B2093" t="s">
        <v>4655</v>
      </c>
      <c r="C2093" t="s">
        <v>13831</v>
      </c>
      <c r="D2093" s="1">
        <v>40421</v>
      </c>
      <c r="E2093" s="2">
        <v>115000</v>
      </c>
      <c r="F2093" t="s">
        <v>4553</v>
      </c>
      <c r="G2093" s="17" t="str">
        <f>HYPERLINK("https://www.washoecounty.gov/assessor/cama/?command=sales&amp;parid=02739335","3917545")</f>
        <v>3917545</v>
      </c>
      <c r="H2093" t="s">
        <v>13832</v>
      </c>
      <c r="I2093">
        <v>1957</v>
      </c>
      <c r="J2093">
        <v>1957</v>
      </c>
      <c r="K2093" t="s">
        <v>4554</v>
      </c>
      <c r="L2093" t="s">
        <v>4555</v>
      </c>
      <c r="M2093" s="2">
        <v>1092</v>
      </c>
      <c r="N2093" t="s">
        <v>4556</v>
      </c>
      <c r="O2093">
        <v>3</v>
      </c>
      <c r="P2093">
        <v>1</v>
      </c>
      <c r="Q2093">
        <v>0</v>
      </c>
      <c r="R2093" t="s">
        <v>4557</v>
      </c>
      <c r="S2093" t="s">
        <v>4135</v>
      </c>
      <c r="T2093" t="s">
        <v>4559</v>
      </c>
      <c r="U2093" t="s">
        <v>4560</v>
      </c>
      <c r="V2093" s="2">
        <v>300</v>
      </c>
      <c r="W2093" t="s">
        <v>4655</v>
      </c>
      <c r="X2093" s="2">
        <v>0</v>
      </c>
      <c r="Y2093">
        <v>20</v>
      </c>
      <c r="Z2093" t="s">
        <v>5200</v>
      </c>
      <c r="AA2093" s="3">
        <v>0.13799357414245605</v>
      </c>
      <c r="AB2093" t="s">
        <v>13833</v>
      </c>
      <c r="AC2093" t="s">
        <v>4562</v>
      </c>
      <c r="AD2093" t="s">
        <v>13831</v>
      </c>
      <c r="AE2093" t="s">
        <v>4655</v>
      </c>
      <c r="AF2093" t="s">
        <v>5201</v>
      </c>
      <c r="AG2093" t="s">
        <v>4564</v>
      </c>
      <c r="AH2093" t="s">
        <v>5202</v>
      </c>
      <c r="AI2093" t="s">
        <v>13834</v>
      </c>
      <c r="AJ2093" t="s">
        <v>4655</v>
      </c>
      <c r="AK2093" t="s">
        <v>13835</v>
      </c>
      <c r="AL2093" s="13" t="s">
        <v>3425</v>
      </c>
      <c r="AM2093">
        <v>1</v>
      </c>
      <c r="AN2093" s="15" t="s">
        <v>5158</v>
      </c>
    </row>
    <row r="2094" spans="1:40" x14ac:dyDescent="0.3">
      <c r="A2094" s="10" t="str">
        <f>HYPERLINK("http://www.washoecounty.gov/assessor/cama/?parid=027-393-39&amp;CardNumber=1","027-393-39")</f>
        <v>027-393-39</v>
      </c>
      <c r="B2094" t="s">
        <v>4655</v>
      </c>
      <c r="C2094" t="s">
        <v>13836</v>
      </c>
      <c r="D2094" s="1">
        <v>40319</v>
      </c>
      <c r="E2094" s="2">
        <v>105000</v>
      </c>
      <c r="F2094" t="s">
        <v>4567</v>
      </c>
      <c r="G2094" s="17" t="str">
        <f>HYPERLINK("https://www.washoecounty.gov/assessor/cama/?command=sales&amp;parid=02739339","3883832")</f>
        <v>3883832</v>
      </c>
      <c r="H2094" t="s">
        <v>5159</v>
      </c>
      <c r="I2094">
        <v>1957</v>
      </c>
      <c r="J2094">
        <v>1957</v>
      </c>
      <c r="K2094" t="s">
        <v>4554</v>
      </c>
      <c r="L2094" t="s">
        <v>4555</v>
      </c>
      <c r="M2094" s="2">
        <v>1196</v>
      </c>
      <c r="N2094" t="s">
        <v>4556</v>
      </c>
      <c r="O2094">
        <v>4</v>
      </c>
      <c r="P2094">
        <v>1</v>
      </c>
      <c r="Q2094">
        <v>1</v>
      </c>
      <c r="R2094" t="s">
        <v>4557</v>
      </c>
      <c r="S2094" t="s">
        <v>4574</v>
      </c>
      <c r="T2094" t="s">
        <v>4559</v>
      </c>
      <c r="U2094" t="s">
        <v>4560</v>
      </c>
      <c r="V2094" s="2">
        <v>441</v>
      </c>
      <c r="W2094" t="s">
        <v>4655</v>
      </c>
      <c r="X2094" s="2">
        <v>0</v>
      </c>
      <c r="Y2094">
        <v>20</v>
      </c>
      <c r="Z2094" t="s">
        <v>5200</v>
      </c>
      <c r="AA2094" s="3">
        <v>0.17699724435806299</v>
      </c>
      <c r="AB2094" t="s">
        <v>13837</v>
      </c>
      <c r="AC2094" t="s">
        <v>4562</v>
      </c>
      <c r="AD2094" t="s">
        <v>13836</v>
      </c>
      <c r="AE2094" t="s">
        <v>4655</v>
      </c>
      <c r="AF2094" t="s">
        <v>5201</v>
      </c>
      <c r="AG2094" t="s">
        <v>4564</v>
      </c>
      <c r="AH2094" t="s">
        <v>5202</v>
      </c>
      <c r="AI2094" t="s">
        <v>13838</v>
      </c>
      <c r="AJ2094" t="s">
        <v>4655</v>
      </c>
      <c r="AK2094" t="s">
        <v>13839</v>
      </c>
      <c r="AL2094" s="13" t="s">
        <v>3425</v>
      </c>
      <c r="AM2094" s="14">
        <v>1</v>
      </c>
      <c r="AN2094" s="15" t="s">
        <v>5158</v>
      </c>
    </row>
    <row r="2095" spans="1:40" x14ac:dyDescent="0.3">
      <c r="A2095" s="10" t="str">
        <f>HYPERLINK("http://www.washoecounty.gov/assessor/cama/?parid=027-403-24&amp;CardNumber=1","027-403-24")</f>
        <v>027-403-24</v>
      </c>
      <c r="B2095" t="s">
        <v>4655</v>
      </c>
      <c r="C2095" t="s">
        <v>704</v>
      </c>
      <c r="D2095" s="1">
        <v>40540</v>
      </c>
      <c r="E2095" s="2">
        <v>66000</v>
      </c>
      <c r="F2095" t="s">
        <v>4553</v>
      </c>
      <c r="G2095" s="17" t="str">
        <f>HYPERLINK("https://www.washoecounty.gov/assessor/cama/?command=sales&amp;parid=02740324","3958200")</f>
        <v>3958200</v>
      </c>
      <c r="H2095" t="s">
        <v>4697</v>
      </c>
      <c r="I2095">
        <v>1954</v>
      </c>
      <c r="J2095">
        <v>1954</v>
      </c>
      <c r="K2095" t="s">
        <v>4554</v>
      </c>
      <c r="L2095" t="s">
        <v>4555</v>
      </c>
      <c r="M2095" s="2">
        <v>900</v>
      </c>
      <c r="N2095" t="s">
        <v>4556</v>
      </c>
      <c r="O2095">
        <v>2</v>
      </c>
      <c r="P2095">
        <v>1</v>
      </c>
      <c r="Q2095">
        <v>0</v>
      </c>
      <c r="R2095" t="s">
        <v>4134</v>
      </c>
      <c r="S2095" t="s">
        <v>4574</v>
      </c>
      <c r="T2095" t="s">
        <v>4559</v>
      </c>
      <c r="U2095" t="s">
        <v>4655</v>
      </c>
      <c r="V2095" s="2">
        <v>0</v>
      </c>
      <c r="W2095" t="s">
        <v>4655</v>
      </c>
      <c r="X2095" s="2">
        <v>0</v>
      </c>
      <c r="Y2095">
        <v>20</v>
      </c>
      <c r="Z2095" t="s">
        <v>5200</v>
      </c>
      <c r="AA2095" s="3">
        <v>0.13799357414245605</v>
      </c>
      <c r="AB2095" t="s">
        <v>5571</v>
      </c>
      <c r="AC2095" t="s">
        <v>4575</v>
      </c>
      <c r="AD2095" t="s">
        <v>706</v>
      </c>
      <c r="AE2095" t="s">
        <v>4655</v>
      </c>
      <c r="AF2095" t="s">
        <v>4809</v>
      </c>
      <c r="AG2095" t="s">
        <v>4564</v>
      </c>
      <c r="AH2095" t="s">
        <v>5202</v>
      </c>
      <c r="AI2095" t="s">
        <v>705</v>
      </c>
      <c r="AJ2095" t="s">
        <v>4655</v>
      </c>
      <c r="AK2095" t="s">
        <v>707</v>
      </c>
      <c r="AL2095" s="13" t="s">
        <v>1886</v>
      </c>
      <c r="AM2095">
        <v>1</v>
      </c>
      <c r="AN2095" s="15" t="s">
        <v>5158</v>
      </c>
    </row>
    <row r="2096" spans="1:40" x14ac:dyDescent="0.3">
      <c r="A2096" s="10" t="str">
        <f>HYPERLINK("http://www.washoecounty.gov/assessor/cama/?parid=027-403-28&amp;CardNumber=1","027-403-28")</f>
        <v>027-403-28</v>
      </c>
      <c r="B2096" t="s">
        <v>4655</v>
      </c>
      <c r="C2096" t="s">
        <v>13840</v>
      </c>
      <c r="D2096" s="1">
        <v>40484</v>
      </c>
      <c r="E2096" s="2">
        <v>80000</v>
      </c>
      <c r="F2096" t="s">
        <v>4553</v>
      </c>
      <c r="G2096" s="17" t="str">
        <f>HYPERLINK("https://www.washoecounty.gov/assessor/cama/?command=sales&amp;parid=02740328","3938962")</f>
        <v>3938962</v>
      </c>
      <c r="H2096" t="s">
        <v>4697</v>
      </c>
      <c r="I2096">
        <v>1954</v>
      </c>
      <c r="J2096">
        <v>1955</v>
      </c>
      <c r="K2096" t="s">
        <v>4554</v>
      </c>
      <c r="L2096" t="s">
        <v>4555</v>
      </c>
      <c r="M2096" s="2">
        <v>1248</v>
      </c>
      <c r="N2096" t="s">
        <v>4556</v>
      </c>
      <c r="O2096">
        <v>3</v>
      </c>
      <c r="P2096">
        <v>2</v>
      </c>
      <c r="Q2096">
        <v>0</v>
      </c>
      <c r="R2096" t="s">
        <v>4134</v>
      </c>
      <c r="S2096" t="s">
        <v>4574</v>
      </c>
      <c r="T2096" t="s">
        <v>4559</v>
      </c>
      <c r="U2096" t="s">
        <v>4560</v>
      </c>
      <c r="V2096" s="2">
        <v>284</v>
      </c>
      <c r="W2096" t="s">
        <v>4655</v>
      </c>
      <c r="X2096" s="2">
        <v>0</v>
      </c>
      <c r="Y2096">
        <v>20</v>
      </c>
      <c r="Z2096" t="s">
        <v>5200</v>
      </c>
      <c r="AA2096" s="3">
        <v>0.123989902436733</v>
      </c>
      <c r="AB2096" t="s">
        <v>13841</v>
      </c>
      <c r="AC2096" t="s">
        <v>4575</v>
      </c>
      <c r="AD2096" t="s">
        <v>13840</v>
      </c>
      <c r="AE2096" t="s">
        <v>4655</v>
      </c>
      <c r="AF2096" t="s">
        <v>5201</v>
      </c>
      <c r="AG2096" t="s">
        <v>4564</v>
      </c>
      <c r="AH2096" t="s">
        <v>5202</v>
      </c>
      <c r="AI2096" t="s">
        <v>4848</v>
      </c>
      <c r="AJ2096" t="s">
        <v>4655</v>
      </c>
      <c r="AK2096" t="s">
        <v>13842</v>
      </c>
      <c r="AL2096" s="13" t="s">
        <v>1886</v>
      </c>
      <c r="AM2096" s="14">
        <v>1</v>
      </c>
      <c r="AN2096" s="15" t="s">
        <v>5158</v>
      </c>
    </row>
    <row r="2097" spans="1:40" x14ac:dyDescent="0.3">
      <c r="A2097" s="10" t="str">
        <f>HYPERLINK("http://www.washoecounty.gov/assessor/cama/?parid=027-411-05&amp;CardNumber=1","027-411-05")</f>
        <v>027-411-05</v>
      </c>
      <c r="B2097" t="s">
        <v>4655</v>
      </c>
      <c r="C2097" t="s">
        <v>13843</v>
      </c>
      <c r="D2097" s="1">
        <v>40235</v>
      </c>
      <c r="E2097" s="2">
        <v>120000</v>
      </c>
      <c r="F2097" t="s">
        <v>4553</v>
      </c>
      <c r="G2097" s="17" t="str">
        <f>HYPERLINK("https://www.washoecounty.gov/assessor/cama/?command=sales&amp;parid=02741105","3853279")</f>
        <v>3853279</v>
      </c>
      <c r="H2097" t="s">
        <v>106</v>
      </c>
      <c r="I2097">
        <v>1969</v>
      </c>
      <c r="J2097">
        <v>1969</v>
      </c>
      <c r="K2097" t="s">
        <v>4554</v>
      </c>
      <c r="L2097" t="s">
        <v>4555</v>
      </c>
      <c r="M2097" s="2">
        <v>1150</v>
      </c>
      <c r="N2097" t="s">
        <v>4048</v>
      </c>
      <c r="O2097">
        <v>3</v>
      </c>
      <c r="P2097">
        <v>2</v>
      </c>
      <c r="Q2097">
        <v>0</v>
      </c>
      <c r="R2097" t="s">
        <v>4557</v>
      </c>
      <c r="S2097" t="s">
        <v>4135</v>
      </c>
      <c r="T2097" t="s">
        <v>4559</v>
      </c>
      <c r="U2097" t="s">
        <v>4560</v>
      </c>
      <c r="V2097" s="2">
        <v>480</v>
      </c>
      <c r="W2097" t="s">
        <v>4655</v>
      </c>
      <c r="X2097" s="2">
        <v>0</v>
      </c>
      <c r="Y2097">
        <v>20</v>
      </c>
      <c r="Z2097" t="s">
        <v>5200</v>
      </c>
      <c r="AA2097" s="3">
        <v>0.14201101660728499</v>
      </c>
      <c r="AB2097" t="s">
        <v>13844</v>
      </c>
      <c r="AC2097" t="s">
        <v>4562</v>
      </c>
      <c r="AD2097" t="s">
        <v>13843</v>
      </c>
      <c r="AE2097" t="s">
        <v>4655</v>
      </c>
      <c r="AF2097" t="s">
        <v>5201</v>
      </c>
      <c r="AG2097" t="s">
        <v>4564</v>
      </c>
      <c r="AH2097" t="s">
        <v>5202</v>
      </c>
      <c r="AI2097" t="s">
        <v>4903</v>
      </c>
      <c r="AJ2097" t="s">
        <v>4655</v>
      </c>
      <c r="AK2097" t="s">
        <v>13845</v>
      </c>
      <c r="AL2097" s="13" t="s">
        <v>1886</v>
      </c>
      <c r="AM2097">
        <v>1</v>
      </c>
      <c r="AN2097" s="15" t="s">
        <v>5156</v>
      </c>
    </row>
    <row r="2098" spans="1:40" x14ac:dyDescent="0.3">
      <c r="A2098" s="10" t="str">
        <f>HYPERLINK("http://www.washoecounty.gov/assessor/cama/?parid=027-411-15&amp;CardNumber=1","027-411-15")</f>
        <v>027-411-15</v>
      </c>
      <c r="B2098" t="s">
        <v>4655</v>
      </c>
      <c r="C2098" t="s">
        <v>13846</v>
      </c>
      <c r="D2098" s="1">
        <v>40256</v>
      </c>
      <c r="E2098" s="2">
        <v>77000</v>
      </c>
      <c r="F2098" t="s">
        <v>4553</v>
      </c>
      <c r="G2098" s="17" t="str">
        <f>HYPERLINK("https://www.washoecounty.gov/assessor/cama/?command=sales&amp;parid=02741115","3861913")</f>
        <v>3861913</v>
      </c>
      <c r="H2098" t="s">
        <v>3831</v>
      </c>
      <c r="I2098">
        <v>1970</v>
      </c>
      <c r="J2098">
        <v>1979</v>
      </c>
      <c r="K2098" t="s">
        <v>4554</v>
      </c>
      <c r="L2098" t="s">
        <v>4555</v>
      </c>
      <c r="M2098" s="2">
        <v>1760</v>
      </c>
      <c r="N2098" t="s">
        <v>4048</v>
      </c>
      <c r="O2098">
        <v>3</v>
      </c>
      <c r="P2098">
        <v>3</v>
      </c>
      <c r="Q2098">
        <v>0</v>
      </c>
      <c r="R2098" t="s">
        <v>4557</v>
      </c>
      <c r="S2098" t="s">
        <v>4898</v>
      </c>
      <c r="T2098" t="s">
        <v>4559</v>
      </c>
      <c r="U2098" t="s">
        <v>4655</v>
      </c>
      <c r="V2098" s="2">
        <v>0</v>
      </c>
      <c r="W2098" t="s">
        <v>4655</v>
      </c>
      <c r="X2098" s="2">
        <v>0</v>
      </c>
      <c r="Y2098">
        <v>20</v>
      </c>
      <c r="Z2098" t="s">
        <v>5200</v>
      </c>
      <c r="AA2098" s="3">
        <v>0.17699724435806299</v>
      </c>
      <c r="AB2098" t="s">
        <v>13847</v>
      </c>
      <c r="AC2098" t="s">
        <v>4575</v>
      </c>
      <c r="AD2098" t="s">
        <v>13848</v>
      </c>
      <c r="AE2098" t="s">
        <v>13849</v>
      </c>
      <c r="AF2098" t="s">
        <v>4809</v>
      </c>
      <c r="AG2098" t="s">
        <v>4564</v>
      </c>
      <c r="AH2098" t="s">
        <v>5202</v>
      </c>
      <c r="AI2098" t="s">
        <v>13850</v>
      </c>
      <c r="AJ2098" t="s">
        <v>4655</v>
      </c>
      <c r="AK2098" t="s">
        <v>13851</v>
      </c>
      <c r="AL2098" s="13" t="s">
        <v>1886</v>
      </c>
      <c r="AM2098">
        <v>1</v>
      </c>
      <c r="AN2098" s="15" t="s">
        <v>5156</v>
      </c>
    </row>
    <row r="2099" spans="1:40" x14ac:dyDescent="0.3">
      <c r="A2099" s="10" t="str">
        <f>HYPERLINK("http://www.washoecounty.gov/assessor/cama/?parid=027-411-15&amp;CardNumber=1","027-411-15")</f>
        <v>027-411-15</v>
      </c>
      <c r="B2099" t="s">
        <v>4655</v>
      </c>
      <c r="C2099" t="s">
        <v>13846</v>
      </c>
      <c r="D2099" s="1">
        <v>40402</v>
      </c>
      <c r="E2099" s="2">
        <v>139000</v>
      </c>
      <c r="F2099" t="s">
        <v>4567</v>
      </c>
      <c r="G2099" s="17" t="str">
        <f>HYPERLINK("https://www.washoecounty.gov/assessor/cama/?command=sales&amp;parid=02741115","3911262")</f>
        <v>3911262</v>
      </c>
      <c r="H2099" t="s">
        <v>3831</v>
      </c>
      <c r="I2099">
        <v>1970</v>
      </c>
      <c r="J2099">
        <v>1979</v>
      </c>
      <c r="K2099" t="s">
        <v>4554</v>
      </c>
      <c r="L2099" t="s">
        <v>4555</v>
      </c>
      <c r="M2099" s="2">
        <v>1760</v>
      </c>
      <c r="N2099" t="s">
        <v>4048</v>
      </c>
      <c r="O2099">
        <v>3</v>
      </c>
      <c r="P2099">
        <v>3</v>
      </c>
      <c r="Q2099">
        <v>0</v>
      </c>
      <c r="R2099" t="s">
        <v>4557</v>
      </c>
      <c r="S2099" t="s">
        <v>4898</v>
      </c>
      <c r="T2099" t="s">
        <v>4559</v>
      </c>
      <c r="U2099" t="s">
        <v>4655</v>
      </c>
      <c r="V2099" s="2">
        <v>0</v>
      </c>
      <c r="W2099" t="s">
        <v>4655</v>
      </c>
      <c r="X2099" s="2">
        <v>0</v>
      </c>
      <c r="Y2099">
        <v>20</v>
      </c>
      <c r="Z2099" t="s">
        <v>5200</v>
      </c>
      <c r="AA2099" s="3">
        <v>0.17699724435806299</v>
      </c>
      <c r="AB2099" t="s">
        <v>13847</v>
      </c>
      <c r="AC2099" t="s">
        <v>4575</v>
      </c>
      <c r="AD2099" t="s">
        <v>13848</v>
      </c>
      <c r="AE2099" t="s">
        <v>13849</v>
      </c>
      <c r="AF2099" t="s">
        <v>4809</v>
      </c>
      <c r="AG2099" t="s">
        <v>4564</v>
      </c>
      <c r="AH2099" t="s">
        <v>5202</v>
      </c>
      <c r="AI2099" t="s">
        <v>13850</v>
      </c>
      <c r="AJ2099" t="s">
        <v>4655</v>
      </c>
      <c r="AK2099" t="s">
        <v>13851</v>
      </c>
      <c r="AL2099" s="13" t="s">
        <v>1886</v>
      </c>
      <c r="AM2099">
        <v>1</v>
      </c>
      <c r="AN2099" s="15" t="s">
        <v>5156</v>
      </c>
    </row>
    <row r="2100" spans="1:40" x14ac:dyDescent="0.3">
      <c r="A2100" s="10" t="str">
        <f>HYPERLINK("http://www.washoecounty.gov/assessor/cama/?parid=027-412-18&amp;CardNumber=1","027-412-18")</f>
        <v>027-412-18</v>
      </c>
      <c r="B2100" t="s">
        <v>4655</v>
      </c>
      <c r="C2100" t="s">
        <v>13852</v>
      </c>
      <c r="D2100" s="1">
        <v>40540</v>
      </c>
      <c r="E2100" s="2">
        <v>107425</v>
      </c>
      <c r="F2100" t="s">
        <v>4567</v>
      </c>
      <c r="G2100" s="17" t="str">
        <f>HYPERLINK("https://www.washoecounty.gov/assessor/cama/?command=sales&amp;parid=02741218","3958196")</f>
        <v>3958196</v>
      </c>
      <c r="H2100" t="s">
        <v>13853</v>
      </c>
      <c r="I2100">
        <v>1964</v>
      </c>
      <c r="J2100">
        <v>1964</v>
      </c>
      <c r="K2100" t="s">
        <v>4554</v>
      </c>
      <c r="L2100" t="s">
        <v>4555</v>
      </c>
      <c r="M2100" s="2">
        <v>1256</v>
      </c>
      <c r="N2100" t="s">
        <v>4048</v>
      </c>
      <c r="O2100">
        <v>3</v>
      </c>
      <c r="P2100">
        <v>2</v>
      </c>
      <c r="Q2100">
        <v>0</v>
      </c>
      <c r="R2100" t="s">
        <v>4557</v>
      </c>
      <c r="S2100" t="s">
        <v>4898</v>
      </c>
      <c r="T2100" t="s">
        <v>4559</v>
      </c>
      <c r="U2100" t="s">
        <v>4560</v>
      </c>
      <c r="V2100" s="2">
        <v>435</v>
      </c>
      <c r="W2100" t="s">
        <v>4655</v>
      </c>
      <c r="X2100" s="2">
        <v>0</v>
      </c>
      <c r="Y2100">
        <v>20</v>
      </c>
      <c r="Z2100" t="s">
        <v>5200</v>
      </c>
      <c r="AA2100" s="3">
        <v>0.14499540627002699</v>
      </c>
      <c r="AB2100" t="s">
        <v>13854</v>
      </c>
      <c r="AC2100" t="s">
        <v>4562</v>
      </c>
      <c r="AD2100" t="s">
        <v>13855</v>
      </c>
      <c r="AE2100" t="s">
        <v>4655</v>
      </c>
      <c r="AF2100" t="s">
        <v>5201</v>
      </c>
      <c r="AG2100" t="s">
        <v>4564</v>
      </c>
      <c r="AH2100" t="s">
        <v>5202</v>
      </c>
      <c r="AI2100" t="s">
        <v>13856</v>
      </c>
      <c r="AJ2100" t="s">
        <v>4655</v>
      </c>
      <c r="AK2100" t="s">
        <v>13857</v>
      </c>
      <c r="AL2100" s="13" t="s">
        <v>1886</v>
      </c>
      <c r="AM2100">
        <v>1</v>
      </c>
      <c r="AN2100" s="15" t="s">
        <v>5156</v>
      </c>
    </row>
    <row r="2101" spans="1:40" x14ac:dyDescent="0.3">
      <c r="A2101" s="10" t="str">
        <f>HYPERLINK("http://www.washoecounty.gov/assessor/cama/?parid=027-412-29&amp;CardNumber=1","027-412-29")</f>
        <v>027-412-29</v>
      </c>
      <c r="B2101" t="s">
        <v>4655</v>
      </c>
      <c r="C2101" t="s">
        <v>13858</v>
      </c>
      <c r="D2101" s="1">
        <v>40532</v>
      </c>
      <c r="E2101" s="2">
        <v>139995</v>
      </c>
      <c r="F2101" t="s">
        <v>4553</v>
      </c>
      <c r="G2101" s="17" t="str">
        <f>HYPERLINK("https://www.washoecounty.gov/assessor/cama/?command=sales&amp;parid=02741229","3955508")</f>
        <v>3955508</v>
      </c>
      <c r="H2101" t="s">
        <v>106</v>
      </c>
      <c r="I2101">
        <v>1966</v>
      </c>
      <c r="J2101">
        <v>1971</v>
      </c>
      <c r="K2101" t="s">
        <v>4554</v>
      </c>
      <c r="L2101" t="s">
        <v>4555</v>
      </c>
      <c r="M2101" s="2">
        <v>2231</v>
      </c>
      <c r="N2101" t="s">
        <v>4048</v>
      </c>
      <c r="O2101">
        <v>4</v>
      </c>
      <c r="P2101">
        <v>3</v>
      </c>
      <c r="Q2101">
        <v>0</v>
      </c>
      <c r="R2101" t="s">
        <v>4557</v>
      </c>
      <c r="S2101" t="s">
        <v>4682</v>
      </c>
      <c r="T2101" t="s">
        <v>4559</v>
      </c>
      <c r="U2101" t="s">
        <v>4560</v>
      </c>
      <c r="V2101" s="2">
        <v>439</v>
      </c>
      <c r="W2101" t="s">
        <v>4655</v>
      </c>
      <c r="X2101" s="2">
        <v>0</v>
      </c>
      <c r="Y2101">
        <v>20</v>
      </c>
      <c r="Z2101" t="s">
        <v>5200</v>
      </c>
      <c r="AA2101" s="3">
        <v>0.16099633276462599</v>
      </c>
      <c r="AB2101" t="s">
        <v>13859</v>
      </c>
      <c r="AC2101" t="s">
        <v>4562</v>
      </c>
      <c r="AD2101" t="s">
        <v>13860</v>
      </c>
      <c r="AE2101" t="s">
        <v>4655</v>
      </c>
      <c r="AF2101" t="s">
        <v>4809</v>
      </c>
      <c r="AG2101" t="s">
        <v>4564</v>
      </c>
      <c r="AH2101" t="s">
        <v>5202</v>
      </c>
      <c r="AI2101" t="s">
        <v>4202</v>
      </c>
      <c r="AJ2101" t="s">
        <v>4655</v>
      </c>
      <c r="AK2101" t="s">
        <v>13861</v>
      </c>
      <c r="AL2101" s="13" t="s">
        <v>1886</v>
      </c>
      <c r="AM2101" s="14">
        <v>1</v>
      </c>
      <c r="AN2101" s="15" t="s">
        <v>5156</v>
      </c>
    </row>
    <row r="2102" spans="1:40" x14ac:dyDescent="0.3">
      <c r="A2102" s="10" t="str">
        <f>HYPERLINK("http://www.washoecounty.gov/assessor/cama/?parid=027-412-32&amp;CardNumber=1","027-412-32")</f>
        <v>027-412-32</v>
      </c>
      <c r="B2102" t="s">
        <v>4655</v>
      </c>
      <c r="C2102" t="s">
        <v>13862</v>
      </c>
      <c r="D2102" s="1">
        <v>40326</v>
      </c>
      <c r="E2102" s="2">
        <v>124000</v>
      </c>
      <c r="F2102" t="s">
        <v>4553</v>
      </c>
      <c r="G2102" s="17" t="str">
        <f>HYPERLINK("https://www.washoecounty.gov/assessor/cama/?command=sales&amp;parid=02741232","3886880")</f>
        <v>3886880</v>
      </c>
      <c r="H2102" t="s">
        <v>106</v>
      </c>
      <c r="I2102">
        <v>1964</v>
      </c>
      <c r="J2102">
        <v>1964</v>
      </c>
      <c r="K2102" t="s">
        <v>4554</v>
      </c>
      <c r="L2102" t="s">
        <v>4555</v>
      </c>
      <c r="M2102" s="2">
        <v>1502</v>
      </c>
      <c r="N2102" t="s">
        <v>4048</v>
      </c>
      <c r="O2102">
        <v>4</v>
      </c>
      <c r="P2102">
        <v>2</v>
      </c>
      <c r="Q2102">
        <v>0</v>
      </c>
      <c r="R2102" t="s">
        <v>4557</v>
      </c>
      <c r="S2102" t="s">
        <v>4574</v>
      </c>
      <c r="T2102" t="s">
        <v>4559</v>
      </c>
      <c r="U2102" t="s">
        <v>4560</v>
      </c>
      <c r="V2102" s="2">
        <v>572</v>
      </c>
      <c r="W2102" t="s">
        <v>4655</v>
      </c>
      <c r="X2102" s="2">
        <v>0</v>
      </c>
      <c r="Y2102">
        <v>20</v>
      </c>
      <c r="Z2102" t="s">
        <v>5200</v>
      </c>
      <c r="AA2102" s="3">
        <v>0.19699265062808999</v>
      </c>
      <c r="AB2102" t="s">
        <v>13863</v>
      </c>
      <c r="AC2102" t="s">
        <v>4575</v>
      </c>
      <c r="AD2102" t="s">
        <v>13864</v>
      </c>
      <c r="AE2102" t="s">
        <v>4655</v>
      </c>
      <c r="AF2102" t="s">
        <v>4809</v>
      </c>
      <c r="AG2102" t="s">
        <v>4564</v>
      </c>
      <c r="AH2102" t="s">
        <v>5202</v>
      </c>
      <c r="AI2102" t="s">
        <v>4903</v>
      </c>
      <c r="AJ2102" t="s">
        <v>4655</v>
      </c>
      <c r="AK2102" t="s">
        <v>13865</v>
      </c>
      <c r="AL2102" s="13" t="s">
        <v>1886</v>
      </c>
      <c r="AM2102" s="14">
        <v>1</v>
      </c>
      <c r="AN2102" s="15" t="s">
        <v>5156</v>
      </c>
    </row>
    <row r="2103" spans="1:40" x14ac:dyDescent="0.3">
      <c r="A2103" s="10" t="str">
        <f>HYPERLINK("http://www.washoecounty.gov/assessor/cama/?parid=027-413-19&amp;CardNumber=1","027-413-19")</f>
        <v>027-413-19</v>
      </c>
      <c r="B2103" t="s">
        <v>4655</v>
      </c>
      <c r="C2103" t="s">
        <v>13866</v>
      </c>
      <c r="D2103" s="1">
        <v>40350</v>
      </c>
      <c r="E2103" s="2">
        <v>108000</v>
      </c>
      <c r="F2103" t="s">
        <v>4567</v>
      </c>
      <c r="G2103" s="17" t="str">
        <f>HYPERLINK("https://www.washoecounty.gov/assessor/cama/?command=sales&amp;parid=02741319","3893620")</f>
        <v>3893620</v>
      </c>
      <c r="H2103" t="s">
        <v>106</v>
      </c>
      <c r="I2103">
        <v>1965</v>
      </c>
      <c r="J2103">
        <v>1965</v>
      </c>
      <c r="K2103" t="s">
        <v>4554</v>
      </c>
      <c r="L2103" t="s">
        <v>4555</v>
      </c>
      <c r="M2103" s="2">
        <v>1444</v>
      </c>
      <c r="N2103" t="s">
        <v>4048</v>
      </c>
      <c r="O2103">
        <v>4</v>
      </c>
      <c r="P2103">
        <v>2</v>
      </c>
      <c r="Q2103">
        <v>0</v>
      </c>
      <c r="R2103" t="s">
        <v>5281</v>
      </c>
      <c r="S2103" t="s">
        <v>4558</v>
      </c>
      <c r="T2103" t="s">
        <v>4559</v>
      </c>
      <c r="U2103" t="s">
        <v>4560</v>
      </c>
      <c r="V2103" s="2">
        <v>418</v>
      </c>
      <c r="W2103" t="s">
        <v>4655</v>
      </c>
      <c r="X2103" s="2">
        <v>0</v>
      </c>
      <c r="Y2103">
        <v>20</v>
      </c>
      <c r="Z2103" t="s">
        <v>5200</v>
      </c>
      <c r="AA2103" s="3">
        <v>0.13799357414245605</v>
      </c>
      <c r="AB2103" t="s">
        <v>13867</v>
      </c>
      <c r="AC2103" t="s">
        <v>4562</v>
      </c>
      <c r="AD2103" t="s">
        <v>13868</v>
      </c>
      <c r="AE2103" t="s">
        <v>4655</v>
      </c>
      <c r="AF2103" t="s">
        <v>5201</v>
      </c>
      <c r="AG2103" t="s">
        <v>4564</v>
      </c>
      <c r="AH2103" t="s">
        <v>5202</v>
      </c>
      <c r="AI2103" t="s">
        <v>4655</v>
      </c>
      <c r="AJ2103" t="s">
        <v>4655</v>
      </c>
      <c r="AK2103" t="s">
        <v>13869</v>
      </c>
      <c r="AL2103" s="13" t="s">
        <v>1886</v>
      </c>
      <c r="AM2103">
        <v>1</v>
      </c>
      <c r="AN2103" s="15" t="s">
        <v>5156</v>
      </c>
    </row>
    <row r="2104" spans="1:40" x14ac:dyDescent="0.3">
      <c r="A2104" s="10" t="str">
        <f>HYPERLINK("http://www.washoecounty.gov/assessor/cama/?parid=027-413-21&amp;CardNumber=1","027-413-21")</f>
        <v>027-413-21</v>
      </c>
      <c r="B2104" t="s">
        <v>4655</v>
      </c>
      <c r="C2104" t="s">
        <v>13870</v>
      </c>
      <c r="D2104" s="1">
        <v>40368</v>
      </c>
      <c r="E2104" s="2">
        <v>104000</v>
      </c>
      <c r="F2104" t="s">
        <v>4567</v>
      </c>
      <c r="G2104" s="17" t="str">
        <f>HYPERLINK("https://www.washoecounty.gov/assessor/cama/?command=sales&amp;parid=02741321","3899842")</f>
        <v>3899842</v>
      </c>
      <c r="H2104" t="s">
        <v>106</v>
      </c>
      <c r="I2104">
        <v>1965</v>
      </c>
      <c r="J2104">
        <v>1965</v>
      </c>
      <c r="K2104" t="s">
        <v>4554</v>
      </c>
      <c r="L2104" t="s">
        <v>4555</v>
      </c>
      <c r="M2104" s="2">
        <v>1296</v>
      </c>
      <c r="N2104" t="s">
        <v>4048</v>
      </c>
      <c r="O2104">
        <v>3</v>
      </c>
      <c r="P2104">
        <v>2</v>
      </c>
      <c r="Q2104">
        <v>0</v>
      </c>
      <c r="R2104" t="s">
        <v>4557</v>
      </c>
      <c r="S2104" t="s">
        <v>4135</v>
      </c>
      <c r="T2104" t="s">
        <v>4559</v>
      </c>
      <c r="U2104" t="s">
        <v>4560</v>
      </c>
      <c r="V2104" s="2">
        <v>520</v>
      </c>
      <c r="W2104" t="s">
        <v>4655</v>
      </c>
      <c r="X2104" s="2">
        <v>0</v>
      </c>
      <c r="Y2104">
        <v>20</v>
      </c>
      <c r="Z2104" t="s">
        <v>5200</v>
      </c>
      <c r="AA2104" s="3">
        <v>0.17499999701976801</v>
      </c>
      <c r="AB2104" t="s">
        <v>13871</v>
      </c>
      <c r="AC2104" t="s">
        <v>4575</v>
      </c>
      <c r="AD2104" t="s">
        <v>13870</v>
      </c>
      <c r="AE2104" t="s">
        <v>4655</v>
      </c>
      <c r="AF2104" t="s">
        <v>5201</v>
      </c>
      <c r="AG2104" t="s">
        <v>4564</v>
      </c>
      <c r="AH2104" t="s">
        <v>5202</v>
      </c>
      <c r="AI2104" t="s">
        <v>13872</v>
      </c>
      <c r="AJ2104" t="s">
        <v>4655</v>
      </c>
      <c r="AK2104" t="s">
        <v>13873</v>
      </c>
      <c r="AL2104" s="13" t="s">
        <v>1886</v>
      </c>
      <c r="AM2104" s="14">
        <v>1</v>
      </c>
      <c r="AN2104" s="15" t="s">
        <v>5156</v>
      </c>
    </row>
    <row r="2105" spans="1:40" x14ac:dyDescent="0.3">
      <c r="A2105" s="10" t="str">
        <f>HYPERLINK("http://www.washoecounty.gov/assessor/cama/?parid=027-413-31&amp;CardNumber=1","027-413-31")</f>
        <v>027-413-31</v>
      </c>
      <c r="B2105" t="s">
        <v>4655</v>
      </c>
      <c r="C2105" t="s">
        <v>13874</v>
      </c>
      <c r="D2105" s="1">
        <v>40501</v>
      </c>
      <c r="E2105" s="2">
        <v>90000</v>
      </c>
      <c r="F2105" t="s">
        <v>4567</v>
      </c>
      <c r="G2105" s="17" t="str">
        <f>HYPERLINK("https://www.washoecounty.gov/assessor/cama/?command=sales&amp;parid=02741331","3945145")</f>
        <v>3945145</v>
      </c>
      <c r="H2105" t="s">
        <v>4037</v>
      </c>
      <c r="I2105">
        <v>1965</v>
      </c>
      <c r="J2105">
        <v>1965</v>
      </c>
      <c r="K2105" t="s">
        <v>4554</v>
      </c>
      <c r="L2105" t="s">
        <v>4555</v>
      </c>
      <c r="M2105" s="2">
        <v>1247</v>
      </c>
      <c r="N2105" t="s">
        <v>4048</v>
      </c>
      <c r="O2105">
        <v>3</v>
      </c>
      <c r="P2105">
        <v>2</v>
      </c>
      <c r="Q2105">
        <v>0</v>
      </c>
      <c r="R2105" t="s">
        <v>5281</v>
      </c>
      <c r="S2105" t="s">
        <v>4574</v>
      </c>
      <c r="T2105" t="s">
        <v>4559</v>
      </c>
      <c r="U2105" t="s">
        <v>4560</v>
      </c>
      <c r="V2105" s="2">
        <v>444</v>
      </c>
      <c r="W2105" t="s">
        <v>4655</v>
      </c>
      <c r="X2105" s="2">
        <v>0</v>
      </c>
      <c r="Y2105">
        <v>20</v>
      </c>
      <c r="Z2105" t="s">
        <v>5200</v>
      </c>
      <c r="AA2105" s="3">
        <v>0.141000911593437</v>
      </c>
      <c r="AB2105" t="s">
        <v>13875</v>
      </c>
      <c r="AC2105" t="s">
        <v>4562</v>
      </c>
      <c r="AD2105" t="s">
        <v>13874</v>
      </c>
      <c r="AE2105" t="s">
        <v>4655</v>
      </c>
      <c r="AF2105" t="s">
        <v>5201</v>
      </c>
      <c r="AG2105" t="s">
        <v>4564</v>
      </c>
      <c r="AH2105" t="s">
        <v>5202</v>
      </c>
      <c r="AI2105" t="s">
        <v>4655</v>
      </c>
      <c r="AJ2105" t="s">
        <v>4655</v>
      </c>
      <c r="AK2105" t="s">
        <v>13876</v>
      </c>
      <c r="AL2105" s="13" t="s">
        <v>1886</v>
      </c>
      <c r="AM2105" s="14">
        <v>1</v>
      </c>
      <c r="AN2105" s="15" t="s">
        <v>5156</v>
      </c>
    </row>
    <row r="2106" spans="1:40" x14ac:dyDescent="0.3">
      <c r="A2106" s="10" t="str">
        <f>HYPERLINK("http://www.washoecounty.gov/assessor/cama/?parid=027-421-03&amp;CardNumber=1","027-421-03")</f>
        <v>027-421-03</v>
      </c>
      <c r="B2106" t="s">
        <v>4655</v>
      </c>
      <c r="C2106" t="s">
        <v>13877</v>
      </c>
      <c r="D2106" s="1">
        <v>40388</v>
      </c>
      <c r="E2106" s="2">
        <v>68000</v>
      </c>
      <c r="F2106" t="s">
        <v>4553</v>
      </c>
      <c r="G2106" s="17" t="str">
        <f>HYPERLINK("https://www.washoecounty.gov/assessor/cama/?command=sales&amp;parid=02742103","3906555")</f>
        <v>3906555</v>
      </c>
      <c r="H2106" t="s">
        <v>5624</v>
      </c>
      <c r="I2106">
        <v>1961</v>
      </c>
      <c r="J2106">
        <v>1961</v>
      </c>
      <c r="K2106" t="s">
        <v>4554</v>
      </c>
      <c r="L2106" t="s">
        <v>4555</v>
      </c>
      <c r="M2106" s="2">
        <v>988</v>
      </c>
      <c r="N2106" t="s">
        <v>4556</v>
      </c>
      <c r="O2106">
        <v>3</v>
      </c>
      <c r="P2106">
        <v>1</v>
      </c>
      <c r="Q2106">
        <v>0</v>
      </c>
      <c r="R2106" t="s">
        <v>4557</v>
      </c>
      <c r="S2106" t="s">
        <v>4135</v>
      </c>
      <c r="T2106" t="s">
        <v>4559</v>
      </c>
      <c r="U2106" t="s">
        <v>4655</v>
      </c>
      <c r="V2106" s="2">
        <v>0</v>
      </c>
      <c r="W2106" t="s">
        <v>4655</v>
      </c>
      <c r="X2106" s="2">
        <v>0</v>
      </c>
      <c r="Y2106">
        <v>20</v>
      </c>
      <c r="Z2106" t="s">
        <v>5200</v>
      </c>
      <c r="AA2106" s="3">
        <v>0.16799816489219666</v>
      </c>
      <c r="AB2106" t="s">
        <v>13878</v>
      </c>
      <c r="AC2106" t="s">
        <v>4562</v>
      </c>
      <c r="AD2106" t="s">
        <v>13879</v>
      </c>
      <c r="AE2106" t="s">
        <v>4655</v>
      </c>
      <c r="AF2106" t="s">
        <v>4563</v>
      </c>
      <c r="AG2106" t="s">
        <v>4564</v>
      </c>
      <c r="AH2106" t="s">
        <v>5197</v>
      </c>
      <c r="AI2106" t="s">
        <v>4503</v>
      </c>
      <c r="AJ2106" t="s">
        <v>4655</v>
      </c>
      <c r="AK2106" t="s">
        <v>13880</v>
      </c>
      <c r="AL2106" s="13" t="s">
        <v>1886</v>
      </c>
      <c r="AM2106">
        <v>1</v>
      </c>
      <c r="AN2106" s="15" t="s">
        <v>5158</v>
      </c>
    </row>
    <row r="2107" spans="1:40" x14ac:dyDescent="0.3">
      <c r="A2107" s="10" t="str">
        <f>HYPERLINK("http://www.washoecounty.gov/assessor/cama/?parid=027-421-09&amp;CardNumber=1","027-421-09")</f>
        <v>027-421-09</v>
      </c>
      <c r="B2107" t="s">
        <v>4655</v>
      </c>
      <c r="C2107" t="s">
        <v>13881</v>
      </c>
      <c r="D2107" s="1">
        <v>40492</v>
      </c>
      <c r="E2107" s="2">
        <v>54000</v>
      </c>
      <c r="F2107" t="s">
        <v>4553</v>
      </c>
      <c r="G2107" s="17" t="str">
        <f>HYPERLINK("https://www.washoecounty.gov/assessor/cama/?command=sales&amp;parid=02742109","3941530")</f>
        <v>3941530</v>
      </c>
      <c r="H2107" t="s">
        <v>3070</v>
      </c>
      <c r="I2107">
        <v>1961</v>
      </c>
      <c r="J2107">
        <v>1961</v>
      </c>
      <c r="K2107" t="s">
        <v>4554</v>
      </c>
      <c r="L2107" t="s">
        <v>4555</v>
      </c>
      <c r="M2107" s="2">
        <v>988</v>
      </c>
      <c r="N2107" t="s">
        <v>4556</v>
      </c>
      <c r="O2107">
        <v>3</v>
      </c>
      <c r="P2107">
        <v>2</v>
      </c>
      <c r="Q2107">
        <v>0</v>
      </c>
      <c r="R2107" t="s">
        <v>4557</v>
      </c>
      <c r="S2107" t="s">
        <v>4135</v>
      </c>
      <c r="T2107" t="s">
        <v>4559</v>
      </c>
      <c r="U2107" t="s">
        <v>4560</v>
      </c>
      <c r="V2107" s="2">
        <v>286</v>
      </c>
      <c r="W2107" t="s">
        <v>4655</v>
      </c>
      <c r="X2107" s="2">
        <v>0</v>
      </c>
      <c r="Y2107">
        <v>20</v>
      </c>
      <c r="Z2107" t="s">
        <v>5200</v>
      </c>
      <c r="AA2107" s="3">
        <v>0.20399449765682201</v>
      </c>
      <c r="AB2107" t="s">
        <v>13882</v>
      </c>
      <c r="AC2107" t="s">
        <v>4562</v>
      </c>
      <c r="AD2107" t="s">
        <v>13881</v>
      </c>
      <c r="AE2107" t="s">
        <v>4655</v>
      </c>
      <c r="AF2107" t="s">
        <v>5201</v>
      </c>
      <c r="AG2107" t="s">
        <v>4564</v>
      </c>
      <c r="AH2107" t="s">
        <v>5202</v>
      </c>
      <c r="AI2107" t="s">
        <v>4903</v>
      </c>
      <c r="AJ2107" t="s">
        <v>4655</v>
      </c>
      <c r="AK2107" t="s">
        <v>13883</v>
      </c>
      <c r="AL2107" s="13" t="s">
        <v>1886</v>
      </c>
      <c r="AM2107">
        <v>1</v>
      </c>
      <c r="AN2107" s="15" t="s">
        <v>5158</v>
      </c>
    </row>
    <row r="2108" spans="1:40" x14ac:dyDescent="0.3">
      <c r="A2108" s="10" t="str">
        <f>HYPERLINK("http://www.washoecounty.gov/assessor/cama/?parid=027-421-15&amp;CardNumber=1","027-421-15")</f>
        <v>027-421-15</v>
      </c>
      <c r="B2108" t="s">
        <v>4655</v>
      </c>
      <c r="C2108" t="s">
        <v>13884</v>
      </c>
      <c r="D2108" s="1">
        <v>40189</v>
      </c>
      <c r="E2108" s="2">
        <v>120000</v>
      </c>
      <c r="F2108" t="s">
        <v>4567</v>
      </c>
      <c r="G2108" s="17" t="str">
        <f>HYPERLINK("https://www.washoecounty.gov/assessor/cama/?command=sales&amp;parid=02742115","3838064")</f>
        <v>3838064</v>
      </c>
      <c r="H2108" t="s">
        <v>5624</v>
      </c>
      <c r="I2108">
        <v>1961</v>
      </c>
      <c r="J2108">
        <v>1961</v>
      </c>
      <c r="K2108" t="s">
        <v>4554</v>
      </c>
      <c r="L2108" t="s">
        <v>4555</v>
      </c>
      <c r="M2108" s="2">
        <v>988</v>
      </c>
      <c r="N2108" t="s">
        <v>4556</v>
      </c>
      <c r="O2108">
        <v>3</v>
      </c>
      <c r="P2108">
        <v>1</v>
      </c>
      <c r="Q2108">
        <v>0</v>
      </c>
      <c r="R2108" t="s">
        <v>4557</v>
      </c>
      <c r="S2108" t="s">
        <v>4558</v>
      </c>
      <c r="T2108" t="s">
        <v>4559</v>
      </c>
      <c r="U2108" t="s">
        <v>4655</v>
      </c>
      <c r="V2108" s="2">
        <v>0</v>
      </c>
      <c r="W2108" t="s">
        <v>4655</v>
      </c>
      <c r="X2108" s="2">
        <v>0</v>
      </c>
      <c r="Y2108">
        <v>20</v>
      </c>
      <c r="Z2108" t="s">
        <v>5200</v>
      </c>
      <c r="AA2108" s="3">
        <v>0.14499540627002699</v>
      </c>
      <c r="AB2108" t="s">
        <v>13885</v>
      </c>
      <c r="AC2108" t="s">
        <v>4562</v>
      </c>
      <c r="AD2108" t="s">
        <v>13886</v>
      </c>
      <c r="AE2108" t="s">
        <v>4655</v>
      </c>
      <c r="AF2108" t="s">
        <v>5201</v>
      </c>
      <c r="AG2108" t="s">
        <v>4564</v>
      </c>
      <c r="AH2108" t="s">
        <v>5202</v>
      </c>
      <c r="AI2108" t="s">
        <v>13887</v>
      </c>
      <c r="AJ2108" t="s">
        <v>4655</v>
      </c>
      <c r="AK2108" t="s">
        <v>13888</v>
      </c>
      <c r="AL2108" s="13" t="s">
        <v>1886</v>
      </c>
      <c r="AM2108">
        <v>1</v>
      </c>
      <c r="AN2108" s="15" t="s">
        <v>5158</v>
      </c>
    </row>
    <row r="2109" spans="1:40" x14ac:dyDescent="0.3">
      <c r="A2109" s="10" t="str">
        <f>HYPERLINK("http://www.washoecounty.gov/assessor/cama/?parid=027-422-07&amp;CardNumber=1","027-422-07")</f>
        <v>027-422-07</v>
      </c>
      <c r="B2109" t="s">
        <v>4655</v>
      </c>
      <c r="C2109" t="s">
        <v>13889</v>
      </c>
      <c r="D2109" s="1">
        <v>40326</v>
      </c>
      <c r="E2109" s="2">
        <v>80000</v>
      </c>
      <c r="F2109" t="s">
        <v>4567</v>
      </c>
      <c r="G2109" s="17" t="str">
        <f>HYPERLINK("https://www.washoecounty.gov/assessor/cama/?command=sales&amp;parid=02742207","3886802")</f>
        <v>3886802</v>
      </c>
      <c r="H2109" t="s">
        <v>5624</v>
      </c>
      <c r="I2109">
        <v>1961</v>
      </c>
      <c r="J2109">
        <v>1961</v>
      </c>
      <c r="K2109" t="s">
        <v>4554</v>
      </c>
      <c r="L2109" t="s">
        <v>4555</v>
      </c>
      <c r="M2109" s="2">
        <v>988</v>
      </c>
      <c r="N2109" t="s">
        <v>4556</v>
      </c>
      <c r="O2109">
        <v>3</v>
      </c>
      <c r="P2109">
        <v>2</v>
      </c>
      <c r="Q2109">
        <v>0</v>
      </c>
      <c r="R2109" t="s">
        <v>4557</v>
      </c>
      <c r="S2109" t="s">
        <v>4135</v>
      </c>
      <c r="T2109" t="s">
        <v>4559</v>
      </c>
      <c r="U2109" t="s">
        <v>4560</v>
      </c>
      <c r="V2109" s="2">
        <v>286</v>
      </c>
      <c r="W2109" t="s">
        <v>4655</v>
      </c>
      <c r="X2109" s="2">
        <v>0</v>
      </c>
      <c r="Y2109">
        <v>20</v>
      </c>
      <c r="Z2109" t="s">
        <v>5200</v>
      </c>
      <c r="AA2109" s="3">
        <v>0.14499540627002699</v>
      </c>
      <c r="AB2109" t="s">
        <v>13890</v>
      </c>
      <c r="AC2109" t="s">
        <v>4562</v>
      </c>
      <c r="AD2109" t="s">
        <v>13891</v>
      </c>
      <c r="AE2109" t="s">
        <v>4655</v>
      </c>
      <c r="AF2109" t="s">
        <v>5201</v>
      </c>
      <c r="AG2109" t="s">
        <v>4564</v>
      </c>
      <c r="AH2109" t="s">
        <v>5202</v>
      </c>
      <c r="AI2109" t="s">
        <v>13892</v>
      </c>
      <c r="AJ2109" t="s">
        <v>4655</v>
      </c>
      <c r="AK2109" t="s">
        <v>13893</v>
      </c>
      <c r="AL2109" s="13" t="s">
        <v>1886</v>
      </c>
      <c r="AM2109" s="14">
        <v>1</v>
      </c>
      <c r="AN2109" s="15" t="s">
        <v>5158</v>
      </c>
    </row>
    <row r="2110" spans="1:40" x14ac:dyDescent="0.3">
      <c r="A2110" s="10" t="str">
        <f>HYPERLINK("http://www.washoecounty.gov/assessor/cama/?parid=027-422-12&amp;CardNumber=1","027-422-12")</f>
        <v>027-422-12</v>
      </c>
      <c r="B2110" t="s">
        <v>4655</v>
      </c>
      <c r="C2110" t="s">
        <v>13894</v>
      </c>
      <c r="D2110" s="1">
        <v>40233</v>
      </c>
      <c r="E2110" s="2">
        <v>78000</v>
      </c>
      <c r="F2110" t="s">
        <v>4553</v>
      </c>
      <c r="G2110" s="17" t="str">
        <f>HYPERLINK("https://www.washoecounty.gov/assessor/cama/?command=sales&amp;parid=02742212","3852353")</f>
        <v>3852353</v>
      </c>
      <c r="H2110" t="s">
        <v>5624</v>
      </c>
      <c r="I2110">
        <v>1961</v>
      </c>
      <c r="J2110">
        <v>1961</v>
      </c>
      <c r="K2110" t="s">
        <v>4554</v>
      </c>
      <c r="L2110" t="s">
        <v>4555</v>
      </c>
      <c r="M2110" s="2">
        <v>988</v>
      </c>
      <c r="N2110" t="s">
        <v>4556</v>
      </c>
      <c r="O2110">
        <v>3</v>
      </c>
      <c r="P2110">
        <v>1</v>
      </c>
      <c r="Q2110">
        <v>0</v>
      </c>
      <c r="R2110" t="s">
        <v>4557</v>
      </c>
      <c r="S2110" t="s">
        <v>4135</v>
      </c>
      <c r="T2110" t="s">
        <v>4559</v>
      </c>
      <c r="U2110" t="s">
        <v>4655</v>
      </c>
      <c r="V2110" s="2">
        <v>0</v>
      </c>
      <c r="W2110" t="s">
        <v>4655</v>
      </c>
      <c r="X2110" s="2">
        <v>0</v>
      </c>
      <c r="Y2110">
        <v>20</v>
      </c>
      <c r="Z2110" t="s">
        <v>5200</v>
      </c>
      <c r="AA2110" s="3">
        <v>0.14499540627002699</v>
      </c>
      <c r="AB2110" t="s">
        <v>13895</v>
      </c>
      <c r="AC2110" t="s">
        <v>4562</v>
      </c>
      <c r="AD2110" t="s">
        <v>13896</v>
      </c>
      <c r="AE2110" t="s">
        <v>4655</v>
      </c>
      <c r="AF2110" t="s">
        <v>5201</v>
      </c>
      <c r="AG2110" t="s">
        <v>4564</v>
      </c>
      <c r="AH2110" t="s">
        <v>5202</v>
      </c>
      <c r="AI2110" t="s">
        <v>107</v>
      </c>
      <c r="AJ2110" t="s">
        <v>4655</v>
      </c>
      <c r="AK2110" t="s">
        <v>13897</v>
      </c>
      <c r="AL2110" s="13" t="s">
        <v>1886</v>
      </c>
      <c r="AM2110">
        <v>1</v>
      </c>
      <c r="AN2110" s="15" t="s">
        <v>5158</v>
      </c>
    </row>
    <row r="2111" spans="1:40" x14ac:dyDescent="0.3">
      <c r="A2111" s="10" t="str">
        <f>HYPERLINK("http://www.washoecounty.gov/assessor/cama/?parid=027-422-15&amp;CardNumber=1","027-422-15")</f>
        <v>027-422-15</v>
      </c>
      <c r="B2111" t="s">
        <v>4655</v>
      </c>
      <c r="C2111" s="20" t="s">
        <v>283</v>
      </c>
      <c r="D2111" s="1">
        <v>40291</v>
      </c>
      <c r="E2111" s="2">
        <v>101500</v>
      </c>
      <c r="F2111" t="s">
        <v>4567</v>
      </c>
      <c r="G2111" s="20" t="s">
        <v>282</v>
      </c>
      <c r="H2111" t="s">
        <v>5624</v>
      </c>
      <c r="I2111">
        <v>1961</v>
      </c>
      <c r="J2111">
        <v>1961</v>
      </c>
      <c r="K2111" t="s">
        <v>4554</v>
      </c>
      <c r="L2111" t="s">
        <v>4555</v>
      </c>
      <c r="M2111" s="2">
        <v>988</v>
      </c>
      <c r="N2111" t="s">
        <v>4556</v>
      </c>
      <c r="O2111">
        <v>3</v>
      </c>
      <c r="P2111">
        <v>1</v>
      </c>
      <c r="Q2111">
        <v>0</v>
      </c>
      <c r="R2111" t="s">
        <v>4557</v>
      </c>
      <c r="S2111" t="s">
        <v>4135</v>
      </c>
      <c r="T2111" t="s">
        <v>4559</v>
      </c>
      <c r="U2111" t="s">
        <v>4655</v>
      </c>
      <c r="V2111" s="2">
        <v>0</v>
      </c>
      <c r="W2111" t="s">
        <v>4655</v>
      </c>
      <c r="X2111" s="2">
        <v>0</v>
      </c>
      <c r="Y2111">
        <v>20</v>
      </c>
      <c r="Z2111" t="s">
        <v>5200</v>
      </c>
      <c r="AA2111" s="3">
        <v>0.14499540627002699</v>
      </c>
      <c r="AB2111" s="20" t="s">
        <v>8865</v>
      </c>
      <c r="AD2111" t="s">
        <v>283</v>
      </c>
      <c r="AE2111" t="s">
        <v>283</v>
      </c>
      <c r="AF2111" t="s">
        <v>283</v>
      </c>
      <c r="AG2111" t="s">
        <v>4564</v>
      </c>
      <c r="AH2111" t="s">
        <v>3101</v>
      </c>
      <c r="AI2111" t="s">
        <v>8865</v>
      </c>
      <c r="AJ2111" t="s">
        <v>4655</v>
      </c>
      <c r="AK2111" t="s">
        <v>13898</v>
      </c>
      <c r="AL2111" s="13" t="s">
        <v>1886</v>
      </c>
      <c r="AM2111">
        <v>1</v>
      </c>
      <c r="AN2111" s="15" t="s">
        <v>5158</v>
      </c>
    </row>
    <row r="2112" spans="1:40" x14ac:dyDescent="0.3">
      <c r="A2112" s="10" t="str">
        <f>HYPERLINK("http://www.washoecounty.gov/assessor/cama/?parid=027-422-29&amp;CardNumber=1","027-422-29")</f>
        <v>027-422-29</v>
      </c>
      <c r="B2112" t="s">
        <v>4655</v>
      </c>
      <c r="C2112" t="s">
        <v>13899</v>
      </c>
      <c r="D2112" s="1">
        <v>40366</v>
      </c>
      <c r="E2112" s="2">
        <v>93000</v>
      </c>
      <c r="F2112" t="s">
        <v>4567</v>
      </c>
      <c r="G2112" s="17" t="str">
        <f>HYPERLINK("https://www.washoecounty.gov/assessor/cama/?command=sales&amp;parid=02742229","3899229")</f>
        <v>3899229</v>
      </c>
      <c r="H2112" t="s">
        <v>5624</v>
      </c>
      <c r="I2112">
        <v>1961</v>
      </c>
      <c r="J2112">
        <v>1961</v>
      </c>
      <c r="K2112" t="s">
        <v>4554</v>
      </c>
      <c r="L2112" t="s">
        <v>4555</v>
      </c>
      <c r="M2112" s="2">
        <v>988</v>
      </c>
      <c r="N2112" t="s">
        <v>4556</v>
      </c>
      <c r="O2112">
        <v>3</v>
      </c>
      <c r="P2112">
        <v>2</v>
      </c>
      <c r="Q2112">
        <v>0</v>
      </c>
      <c r="R2112" t="s">
        <v>4557</v>
      </c>
      <c r="S2112" t="s">
        <v>4135</v>
      </c>
      <c r="T2112" t="s">
        <v>4559</v>
      </c>
      <c r="U2112" t="s">
        <v>4560</v>
      </c>
      <c r="V2112" s="2">
        <v>286</v>
      </c>
      <c r="W2112" t="s">
        <v>4655</v>
      </c>
      <c r="X2112" s="2">
        <v>0</v>
      </c>
      <c r="Y2112">
        <v>20</v>
      </c>
      <c r="Z2112" t="s">
        <v>5200</v>
      </c>
      <c r="AA2112" s="3">
        <v>0.14499540627002699</v>
      </c>
      <c r="AB2112" t="s">
        <v>13900</v>
      </c>
      <c r="AC2112" t="s">
        <v>4562</v>
      </c>
      <c r="AD2112" t="s">
        <v>13899</v>
      </c>
      <c r="AE2112" t="s">
        <v>4655</v>
      </c>
      <c r="AF2112" t="s">
        <v>5201</v>
      </c>
      <c r="AG2112" t="s">
        <v>4564</v>
      </c>
      <c r="AH2112" t="s">
        <v>5202</v>
      </c>
      <c r="AI2112" t="s">
        <v>13901</v>
      </c>
      <c r="AJ2112" t="s">
        <v>4655</v>
      </c>
      <c r="AK2112" t="s">
        <v>13902</v>
      </c>
      <c r="AL2112" s="13" t="s">
        <v>1886</v>
      </c>
      <c r="AM2112" s="14">
        <v>1</v>
      </c>
      <c r="AN2112" s="15" t="s">
        <v>5158</v>
      </c>
    </row>
    <row r="2113" spans="1:40" x14ac:dyDescent="0.3">
      <c r="A2113" s="10" t="str">
        <f>HYPERLINK("http://www.washoecounty.gov/assessor/cama/?parid=027-423-07&amp;CardNumber=1","027-423-07")</f>
        <v>027-423-07</v>
      </c>
      <c r="B2113" t="s">
        <v>4655</v>
      </c>
      <c r="C2113" t="s">
        <v>13903</v>
      </c>
      <c r="D2113" s="1">
        <v>40276</v>
      </c>
      <c r="E2113" s="2">
        <v>90000</v>
      </c>
      <c r="F2113" t="s">
        <v>4553</v>
      </c>
      <c r="G2113" s="17" t="str">
        <f>HYPERLINK("https://www.washoecounty.gov/assessor/cama/?command=sales&amp;parid=02742307","3868811")</f>
        <v>3868811</v>
      </c>
      <c r="H2113" t="s">
        <v>13904</v>
      </c>
      <c r="I2113">
        <v>1961</v>
      </c>
      <c r="J2113">
        <v>1961</v>
      </c>
      <c r="K2113" t="s">
        <v>4554</v>
      </c>
      <c r="L2113" t="s">
        <v>4555</v>
      </c>
      <c r="M2113" s="2">
        <v>988</v>
      </c>
      <c r="N2113" t="s">
        <v>4556</v>
      </c>
      <c r="O2113">
        <v>3</v>
      </c>
      <c r="P2113">
        <v>1</v>
      </c>
      <c r="Q2113">
        <v>0</v>
      </c>
      <c r="R2113" t="s">
        <v>4557</v>
      </c>
      <c r="S2113" t="s">
        <v>4135</v>
      </c>
      <c r="T2113" t="s">
        <v>4559</v>
      </c>
      <c r="U2113" t="s">
        <v>4655</v>
      </c>
      <c r="V2113" s="2">
        <v>0</v>
      </c>
      <c r="W2113" t="s">
        <v>4655</v>
      </c>
      <c r="X2113" s="2">
        <v>0</v>
      </c>
      <c r="Y2113">
        <v>20</v>
      </c>
      <c r="Z2113" t="s">
        <v>5200</v>
      </c>
      <c r="AA2113" s="3">
        <v>0.14499540627002699</v>
      </c>
      <c r="AB2113" t="s">
        <v>4232</v>
      </c>
      <c r="AC2113" t="s">
        <v>4562</v>
      </c>
      <c r="AD2113" t="s">
        <v>13905</v>
      </c>
      <c r="AE2113" t="s">
        <v>4655</v>
      </c>
      <c r="AF2113" t="s">
        <v>4809</v>
      </c>
      <c r="AG2113" t="s">
        <v>4564</v>
      </c>
      <c r="AH2113" t="s">
        <v>1605</v>
      </c>
      <c r="AI2113" t="s">
        <v>1149</v>
      </c>
      <c r="AJ2113" t="s">
        <v>4655</v>
      </c>
      <c r="AK2113" t="s">
        <v>13906</v>
      </c>
      <c r="AL2113" s="13" t="s">
        <v>1886</v>
      </c>
      <c r="AM2113" s="14">
        <v>1</v>
      </c>
      <c r="AN2113" s="15" t="s">
        <v>5158</v>
      </c>
    </row>
    <row r="2114" spans="1:40" x14ac:dyDescent="0.3">
      <c r="A2114" s="10" t="str">
        <f>HYPERLINK("http://www.washoecounty.gov/assessor/cama/?parid=027-423-17&amp;CardNumber=1","027-423-17")</f>
        <v>027-423-17</v>
      </c>
      <c r="B2114" t="s">
        <v>4655</v>
      </c>
      <c r="C2114" t="s">
        <v>13907</v>
      </c>
      <c r="D2114" s="1">
        <v>40340</v>
      </c>
      <c r="E2114" s="2">
        <v>103000</v>
      </c>
      <c r="F2114" t="s">
        <v>4553</v>
      </c>
      <c r="G2114" s="17" t="str">
        <f>HYPERLINK("https://www.washoecounty.gov/assessor/cama/?command=sales&amp;parid=02742317","3891111")</f>
        <v>3891111</v>
      </c>
      <c r="H2114" t="s">
        <v>5624</v>
      </c>
      <c r="I2114">
        <v>1961</v>
      </c>
      <c r="J2114">
        <v>1961</v>
      </c>
      <c r="K2114" t="s">
        <v>4554</v>
      </c>
      <c r="L2114" t="s">
        <v>4555</v>
      </c>
      <c r="M2114" s="2">
        <v>988</v>
      </c>
      <c r="N2114" t="s">
        <v>4556</v>
      </c>
      <c r="O2114">
        <v>3</v>
      </c>
      <c r="P2114">
        <v>2</v>
      </c>
      <c r="Q2114">
        <v>0</v>
      </c>
      <c r="R2114" t="s">
        <v>4557</v>
      </c>
      <c r="S2114" t="s">
        <v>4558</v>
      </c>
      <c r="T2114" t="s">
        <v>4559</v>
      </c>
      <c r="U2114" t="s">
        <v>4560</v>
      </c>
      <c r="V2114" s="2">
        <v>286</v>
      </c>
      <c r="W2114" t="s">
        <v>4655</v>
      </c>
      <c r="X2114" s="2">
        <v>0</v>
      </c>
      <c r="Y2114">
        <v>20</v>
      </c>
      <c r="Z2114" t="s">
        <v>5200</v>
      </c>
      <c r="AA2114" s="3">
        <v>0.17199265956878662</v>
      </c>
      <c r="AB2114" t="s">
        <v>13908</v>
      </c>
      <c r="AC2114" t="s">
        <v>4575</v>
      </c>
      <c r="AD2114" t="s">
        <v>13907</v>
      </c>
      <c r="AE2114" t="s">
        <v>4655</v>
      </c>
      <c r="AF2114" t="s">
        <v>5201</v>
      </c>
      <c r="AG2114" t="s">
        <v>4564</v>
      </c>
      <c r="AH2114" t="s">
        <v>5202</v>
      </c>
      <c r="AI2114" t="s">
        <v>4655</v>
      </c>
      <c r="AJ2114" t="s">
        <v>4655</v>
      </c>
      <c r="AK2114" t="s">
        <v>13909</v>
      </c>
      <c r="AL2114" s="13" t="s">
        <v>1886</v>
      </c>
      <c r="AM2114" s="14">
        <v>1</v>
      </c>
      <c r="AN2114" s="15" t="s">
        <v>5158</v>
      </c>
    </row>
    <row r="2115" spans="1:40" x14ac:dyDescent="0.3">
      <c r="A2115" s="10" t="str">
        <f>HYPERLINK("http://www.washoecounty.gov/assessor/cama/?parid=027-423-22&amp;CardNumber=1","027-423-22")</f>
        <v>027-423-22</v>
      </c>
      <c r="B2115" t="s">
        <v>4655</v>
      </c>
      <c r="C2115" t="s">
        <v>13910</v>
      </c>
      <c r="D2115" s="1">
        <v>40198</v>
      </c>
      <c r="E2115" s="2">
        <v>90000</v>
      </c>
      <c r="F2115" t="s">
        <v>4567</v>
      </c>
      <c r="G2115" s="17" t="str">
        <f>HYPERLINK("https://www.washoecounty.gov/assessor/cama/?command=sales&amp;parid=02742322","3840982")</f>
        <v>3840982</v>
      </c>
      <c r="H2115" t="s">
        <v>5624</v>
      </c>
      <c r="I2115">
        <v>1961</v>
      </c>
      <c r="J2115">
        <v>1961</v>
      </c>
      <c r="K2115" t="s">
        <v>4554</v>
      </c>
      <c r="L2115" t="s">
        <v>4555</v>
      </c>
      <c r="M2115" s="2">
        <v>988</v>
      </c>
      <c r="N2115" t="s">
        <v>4556</v>
      </c>
      <c r="O2115">
        <v>3</v>
      </c>
      <c r="P2115">
        <v>2</v>
      </c>
      <c r="Q2115">
        <v>0</v>
      </c>
      <c r="R2115" t="s">
        <v>4557</v>
      </c>
      <c r="S2115" t="s">
        <v>4574</v>
      </c>
      <c r="T2115" t="s">
        <v>4559</v>
      </c>
      <c r="U2115" t="s">
        <v>4560</v>
      </c>
      <c r="V2115" s="2">
        <v>286</v>
      </c>
      <c r="W2115" t="s">
        <v>4655</v>
      </c>
      <c r="X2115" s="2">
        <v>0</v>
      </c>
      <c r="Y2115">
        <v>20</v>
      </c>
      <c r="Z2115" t="s">
        <v>5200</v>
      </c>
      <c r="AA2115" s="3">
        <v>0.14499540627002699</v>
      </c>
      <c r="AB2115" t="s">
        <v>13911</v>
      </c>
      <c r="AC2115" t="s">
        <v>4575</v>
      </c>
      <c r="AD2115" t="s">
        <v>13912</v>
      </c>
      <c r="AE2115" t="s">
        <v>4655</v>
      </c>
      <c r="AF2115" t="s">
        <v>5201</v>
      </c>
      <c r="AG2115" t="s">
        <v>4564</v>
      </c>
      <c r="AH2115" t="s">
        <v>5202</v>
      </c>
      <c r="AI2115" t="s">
        <v>13913</v>
      </c>
      <c r="AJ2115" t="s">
        <v>4655</v>
      </c>
      <c r="AK2115" t="s">
        <v>13914</v>
      </c>
      <c r="AL2115" s="13" t="s">
        <v>1886</v>
      </c>
      <c r="AM2115" s="14">
        <v>1</v>
      </c>
      <c r="AN2115" s="15" t="s">
        <v>5158</v>
      </c>
    </row>
    <row r="2116" spans="1:40" x14ac:dyDescent="0.3">
      <c r="A2116" s="10" t="str">
        <f>HYPERLINK("http://www.washoecounty.gov/assessor/cama/?parid=027-432-03&amp;CardNumber=1","027-432-03")</f>
        <v>027-432-03</v>
      </c>
      <c r="B2116" t="s">
        <v>4655</v>
      </c>
      <c r="C2116" t="s">
        <v>859</v>
      </c>
      <c r="D2116" s="1">
        <v>40497</v>
      </c>
      <c r="E2116" s="2">
        <v>73700</v>
      </c>
      <c r="F2116" t="s">
        <v>4553</v>
      </c>
      <c r="G2116" s="17" t="str">
        <f>HYPERLINK("https://www.washoecounty.gov/assessor/cama/?command=sales&amp;parid=02743203","3942916")</f>
        <v>3942916</v>
      </c>
      <c r="H2116" t="s">
        <v>860</v>
      </c>
      <c r="I2116">
        <v>1960</v>
      </c>
      <c r="J2116">
        <v>1960</v>
      </c>
      <c r="K2116" t="s">
        <v>4554</v>
      </c>
      <c r="L2116" t="s">
        <v>4555</v>
      </c>
      <c r="M2116" s="2">
        <v>1225</v>
      </c>
      <c r="N2116" t="s">
        <v>4556</v>
      </c>
      <c r="O2116">
        <v>3</v>
      </c>
      <c r="P2116">
        <v>2</v>
      </c>
      <c r="Q2116">
        <v>0</v>
      </c>
      <c r="R2116" t="s">
        <v>4557</v>
      </c>
      <c r="S2116" t="s">
        <v>4574</v>
      </c>
      <c r="T2116" t="s">
        <v>4559</v>
      </c>
      <c r="U2116" t="s">
        <v>4560</v>
      </c>
      <c r="V2116" s="2">
        <v>440</v>
      </c>
      <c r="W2116" t="s">
        <v>4655</v>
      </c>
      <c r="X2116" s="2">
        <v>0</v>
      </c>
      <c r="Y2116">
        <v>20</v>
      </c>
      <c r="Z2116" t="s">
        <v>5200</v>
      </c>
      <c r="AA2116" s="3">
        <v>0.15399448573589325</v>
      </c>
      <c r="AB2116" t="s">
        <v>861</v>
      </c>
      <c r="AC2116" t="s">
        <v>4562</v>
      </c>
      <c r="AD2116" t="s">
        <v>13915</v>
      </c>
      <c r="AE2116" t="s">
        <v>4655</v>
      </c>
      <c r="AF2116" t="s">
        <v>5201</v>
      </c>
      <c r="AG2116" t="s">
        <v>4564</v>
      </c>
      <c r="AH2116" t="s">
        <v>5202</v>
      </c>
      <c r="AI2116" t="s">
        <v>4145</v>
      </c>
      <c r="AJ2116" t="s">
        <v>4655</v>
      </c>
      <c r="AK2116" t="s">
        <v>13916</v>
      </c>
      <c r="AL2116" s="13" t="s">
        <v>3425</v>
      </c>
      <c r="AM2116" s="14">
        <v>1</v>
      </c>
      <c r="AN2116" s="15" t="s">
        <v>5158</v>
      </c>
    </row>
    <row r="2117" spans="1:40" x14ac:dyDescent="0.3">
      <c r="A2117" s="10" t="str">
        <f>HYPERLINK("http://www.washoecounty.gov/assessor/cama/?parid=027-432-09&amp;CardNumber=1","027-432-09")</f>
        <v>027-432-09</v>
      </c>
      <c r="B2117" t="s">
        <v>4655</v>
      </c>
      <c r="C2117" t="s">
        <v>13917</v>
      </c>
      <c r="D2117" s="1">
        <v>40359</v>
      </c>
      <c r="E2117" s="2">
        <v>118900</v>
      </c>
      <c r="F2117" t="s">
        <v>4567</v>
      </c>
      <c r="G2117" s="17" t="str">
        <f>HYPERLINK("https://www.washoecounty.gov/assessor/cama/?command=sales&amp;parid=02743209","3897484")</f>
        <v>3897484</v>
      </c>
      <c r="H2117" t="s">
        <v>13918</v>
      </c>
      <c r="I2117">
        <v>1960</v>
      </c>
      <c r="J2117">
        <v>1960</v>
      </c>
      <c r="K2117" t="s">
        <v>4554</v>
      </c>
      <c r="L2117" t="s">
        <v>4555</v>
      </c>
      <c r="M2117" s="2">
        <v>1225</v>
      </c>
      <c r="N2117" t="s">
        <v>4556</v>
      </c>
      <c r="O2117">
        <v>3</v>
      </c>
      <c r="P2117">
        <v>2</v>
      </c>
      <c r="Q2117">
        <v>0</v>
      </c>
      <c r="R2117" t="s">
        <v>4557</v>
      </c>
      <c r="S2117" t="s">
        <v>4898</v>
      </c>
      <c r="T2117" t="s">
        <v>4559</v>
      </c>
      <c r="U2117" t="s">
        <v>4560</v>
      </c>
      <c r="V2117" s="2">
        <v>440</v>
      </c>
      <c r="W2117" t="s">
        <v>4655</v>
      </c>
      <c r="X2117" s="2">
        <v>0</v>
      </c>
      <c r="Y2117">
        <v>20</v>
      </c>
      <c r="Z2117" t="s">
        <v>5200</v>
      </c>
      <c r="AA2117" s="3">
        <v>0.15399448573589325</v>
      </c>
      <c r="AB2117" t="s">
        <v>13919</v>
      </c>
      <c r="AC2117" t="s">
        <v>4575</v>
      </c>
      <c r="AD2117" t="s">
        <v>13917</v>
      </c>
      <c r="AE2117" t="s">
        <v>4655</v>
      </c>
      <c r="AF2117" t="s">
        <v>5201</v>
      </c>
      <c r="AG2117" t="s">
        <v>4564</v>
      </c>
      <c r="AH2117" t="s">
        <v>5202</v>
      </c>
      <c r="AI2117" t="s">
        <v>13920</v>
      </c>
      <c r="AJ2117" t="s">
        <v>4655</v>
      </c>
      <c r="AK2117" t="s">
        <v>13921</v>
      </c>
      <c r="AL2117" s="13" t="s">
        <v>3425</v>
      </c>
      <c r="AM2117">
        <v>1</v>
      </c>
      <c r="AN2117" s="15" t="s">
        <v>5158</v>
      </c>
    </row>
    <row r="2118" spans="1:40" x14ac:dyDescent="0.3">
      <c r="A2118" s="10" t="str">
        <f>HYPERLINK("http://www.washoecounty.gov/assessor/cama/?parid=027-433-10&amp;CardNumber=1","027-433-10")</f>
        <v>027-433-10</v>
      </c>
      <c r="B2118" t="s">
        <v>4655</v>
      </c>
      <c r="C2118" t="s">
        <v>13922</v>
      </c>
      <c r="D2118" s="1">
        <v>40347</v>
      </c>
      <c r="E2118" s="2">
        <v>95600</v>
      </c>
      <c r="F2118" t="s">
        <v>4553</v>
      </c>
      <c r="G2118" s="17" t="str">
        <f>HYPERLINK("https://www.washoecounty.gov/assessor/cama/?command=sales&amp;parid=02743310","3893311")</f>
        <v>3893311</v>
      </c>
      <c r="H2118" t="s">
        <v>5159</v>
      </c>
      <c r="I2118">
        <v>1958</v>
      </c>
      <c r="J2118">
        <v>1958</v>
      </c>
      <c r="K2118" t="s">
        <v>4554</v>
      </c>
      <c r="L2118" t="s">
        <v>4555</v>
      </c>
      <c r="M2118" s="2">
        <v>1242</v>
      </c>
      <c r="N2118" t="s">
        <v>4556</v>
      </c>
      <c r="O2118">
        <v>4</v>
      </c>
      <c r="P2118">
        <v>1</v>
      </c>
      <c r="Q2118">
        <v>1</v>
      </c>
      <c r="R2118" t="s">
        <v>4557</v>
      </c>
      <c r="S2118" t="s">
        <v>4574</v>
      </c>
      <c r="T2118" t="s">
        <v>4559</v>
      </c>
      <c r="U2118" t="s">
        <v>4560</v>
      </c>
      <c r="V2118" s="2">
        <v>441</v>
      </c>
      <c r="W2118" t="s">
        <v>4655</v>
      </c>
      <c r="X2118" s="2">
        <v>0</v>
      </c>
      <c r="Y2118">
        <v>20</v>
      </c>
      <c r="Z2118" t="s">
        <v>5200</v>
      </c>
      <c r="AA2118" s="3">
        <v>0.17699724435806299</v>
      </c>
      <c r="AB2118" t="s">
        <v>13923</v>
      </c>
      <c r="AC2118" t="s">
        <v>4562</v>
      </c>
      <c r="AD2118" t="s">
        <v>13924</v>
      </c>
      <c r="AE2118" t="s">
        <v>4655</v>
      </c>
      <c r="AF2118" t="s">
        <v>4752</v>
      </c>
      <c r="AG2118" t="s">
        <v>4564</v>
      </c>
      <c r="AH2118">
        <v>89501</v>
      </c>
      <c r="AI2118" t="s">
        <v>378</v>
      </c>
      <c r="AJ2118" t="s">
        <v>4655</v>
      </c>
      <c r="AK2118" t="s">
        <v>13925</v>
      </c>
      <c r="AL2118" s="13" t="s">
        <v>3425</v>
      </c>
      <c r="AM2118" s="14">
        <v>1</v>
      </c>
      <c r="AN2118" s="15" t="s">
        <v>5158</v>
      </c>
    </row>
    <row r="2119" spans="1:40" x14ac:dyDescent="0.3">
      <c r="A2119" s="10" t="str">
        <f>HYPERLINK("http://www.washoecounty.gov/assessor/cama/?parid=027-433-11&amp;CardNumber=1","027-433-11")</f>
        <v>027-433-11</v>
      </c>
      <c r="B2119" t="s">
        <v>4655</v>
      </c>
      <c r="C2119" t="s">
        <v>13926</v>
      </c>
      <c r="D2119" s="1">
        <v>40354</v>
      </c>
      <c r="E2119" s="2">
        <v>75000</v>
      </c>
      <c r="F2119" t="s">
        <v>4567</v>
      </c>
      <c r="G2119" s="17" t="str">
        <f>HYPERLINK("https://www.washoecounty.gov/assessor/cama/?command=sales&amp;parid=02743311","3895204")</f>
        <v>3895204</v>
      </c>
      <c r="H2119" t="s">
        <v>5159</v>
      </c>
      <c r="I2119">
        <v>1958</v>
      </c>
      <c r="J2119">
        <v>1958</v>
      </c>
      <c r="K2119" t="s">
        <v>4554</v>
      </c>
      <c r="L2119" t="s">
        <v>4555</v>
      </c>
      <c r="M2119" s="2">
        <v>1092</v>
      </c>
      <c r="N2119" t="s">
        <v>4556</v>
      </c>
      <c r="O2119">
        <v>3</v>
      </c>
      <c r="P2119">
        <v>1</v>
      </c>
      <c r="Q2119">
        <v>0</v>
      </c>
      <c r="R2119" t="s">
        <v>4557</v>
      </c>
      <c r="S2119" t="s">
        <v>3148</v>
      </c>
      <c r="T2119" t="s">
        <v>4559</v>
      </c>
      <c r="U2119" t="s">
        <v>4560</v>
      </c>
      <c r="V2119" s="2">
        <v>275</v>
      </c>
      <c r="W2119" t="s">
        <v>4655</v>
      </c>
      <c r="X2119" s="2">
        <v>0</v>
      </c>
      <c r="Y2119">
        <v>20</v>
      </c>
      <c r="Z2119" t="s">
        <v>5200</v>
      </c>
      <c r="AA2119" s="3">
        <v>0.17699724435806299</v>
      </c>
      <c r="AB2119" t="s">
        <v>13927</v>
      </c>
      <c r="AC2119" t="s">
        <v>4562</v>
      </c>
      <c r="AD2119" t="s">
        <v>13928</v>
      </c>
      <c r="AE2119" t="s">
        <v>4655</v>
      </c>
      <c r="AF2119" t="s">
        <v>5201</v>
      </c>
      <c r="AG2119" t="s">
        <v>4564</v>
      </c>
      <c r="AH2119" t="s">
        <v>5202</v>
      </c>
      <c r="AI2119" t="s">
        <v>13929</v>
      </c>
      <c r="AJ2119" t="s">
        <v>4655</v>
      </c>
      <c r="AK2119" t="s">
        <v>13930</v>
      </c>
      <c r="AL2119" s="13" t="s">
        <v>3425</v>
      </c>
      <c r="AM2119">
        <v>1</v>
      </c>
      <c r="AN2119" s="15" t="s">
        <v>5158</v>
      </c>
    </row>
    <row r="2120" spans="1:40" x14ac:dyDescent="0.3">
      <c r="A2120" s="10" t="str">
        <f>HYPERLINK("http://www.washoecounty.gov/assessor/cama/?parid=027-434-05&amp;CardNumber=1","027-434-05")</f>
        <v>027-434-05</v>
      </c>
      <c r="B2120" t="s">
        <v>4655</v>
      </c>
      <c r="C2120" t="s">
        <v>13931</v>
      </c>
      <c r="D2120" s="1">
        <v>40408</v>
      </c>
      <c r="E2120" s="2">
        <v>115900</v>
      </c>
      <c r="F2120" t="s">
        <v>4553</v>
      </c>
      <c r="G2120" s="17" t="str">
        <f>HYPERLINK("https://www.washoecounty.gov/assessor/cama/?command=sales&amp;parid=02743405","3913228")</f>
        <v>3913228</v>
      </c>
      <c r="H2120" t="s">
        <v>5159</v>
      </c>
      <c r="I2120">
        <v>1958</v>
      </c>
      <c r="J2120">
        <v>1958</v>
      </c>
      <c r="K2120" t="s">
        <v>4554</v>
      </c>
      <c r="L2120" t="s">
        <v>4555</v>
      </c>
      <c r="M2120" s="2">
        <v>1092</v>
      </c>
      <c r="N2120" t="s">
        <v>4556</v>
      </c>
      <c r="O2120">
        <v>3</v>
      </c>
      <c r="P2120">
        <v>2</v>
      </c>
      <c r="Q2120">
        <v>0</v>
      </c>
      <c r="R2120" t="s">
        <v>4557</v>
      </c>
      <c r="S2120" t="s">
        <v>4574</v>
      </c>
      <c r="T2120" t="s">
        <v>4559</v>
      </c>
      <c r="U2120" t="s">
        <v>4560</v>
      </c>
      <c r="V2120" s="2">
        <v>500</v>
      </c>
      <c r="W2120" t="s">
        <v>4655</v>
      </c>
      <c r="X2120" s="2">
        <v>0</v>
      </c>
      <c r="Y2120">
        <v>20</v>
      </c>
      <c r="Z2120" t="s">
        <v>5200</v>
      </c>
      <c r="AA2120" s="3">
        <v>0.15798898041248299</v>
      </c>
      <c r="AB2120" t="s">
        <v>13932</v>
      </c>
      <c r="AC2120" t="s">
        <v>4575</v>
      </c>
      <c r="AD2120" t="s">
        <v>13931</v>
      </c>
      <c r="AE2120" t="s">
        <v>4655</v>
      </c>
      <c r="AF2120" t="s">
        <v>5201</v>
      </c>
      <c r="AG2120" t="s">
        <v>4564</v>
      </c>
      <c r="AH2120" t="s">
        <v>5202</v>
      </c>
      <c r="AI2120" t="s">
        <v>4903</v>
      </c>
      <c r="AJ2120" t="s">
        <v>4655</v>
      </c>
      <c r="AK2120" t="s">
        <v>13933</v>
      </c>
      <c r="AL2120" s="13" t="s">
        <v>3425</v>
      </c>
      <c r="AM2120">
        <v>1</v>
      </c>
      <c r="AN2120" s="15" t="s">
        <v>5158</v>
      </c>
    </row>
    <row r="2121" spans="1:40" x14ac:dyDescent="0.3">
      <c r="A2121" s="10" t="str">
        <f>HYPERLINK("http://www.washoecounty.gov/assessor/cama/?parid=027-434-08&amp;CardNumber=1","027-434-08")</f>
        <v>027-434-08</v>
      </c>
      <c r="B2121" t="s">
        <v>4655</v>
      </c>
      <c r="C2121" t="s">
        <v>13934</v>
      </c>
      <c r="D2121" s="1">
        <v>40535</v>
      </c>
      <c r="E2121" s="2">
        <v>78000</v>
      </c>
      <c r="F2121" t="s">
        <v>4567</v>
      </c>
      <c r="G2121" s="17" t="str">
        <f>HYPERLINK("https://www.washoecounty.gov/assessor/cama/?command=sales&amp;parid=02743408","3956683")</f>
        <v>3956683</v>
      </c>
      <c r="H2121" t="s">
        <v>5159</v>
      </c>
      <c r="I2121">
        <v>1958</v>
      </c>
      <c r="J2121">
        <v>1958</v>
      </c>
      <c r="K2121" t="s">
        <v>4554</v>
      </c>
      <c r="L2121" t="s">
        <v>4555</v>
      </c>
      <c r="M2121" s="2">
        <v>1092</v>
      </c>
      <c r="N2121" t="s">
        <v>4556</v>
      </c>
      <c r="O2121">
        <v>3</v>
      </c>
      <c r="P2121">
        <v>1</v>
      </c>
      <c r="Q2121">
        <v>0</v>
      </c>
      <c r="R2121" t="s">
        <v>4557</v>
      </c>
      <c r="S2121" t="s">
        <v>4574</v>
      </c>
      <c r="T2121" t="s">
        <v>4559</v>
      </c>
      <c r="U2121" t="s">
        <v>4560</v>
      </c>
      <c r="V2121" s="2">
        <v>500</v>
      </c>
      <c r="W2121" t="s">
        <v>4655</v>
      </c>
      <c r="X2121" s="2">
        <v>0</v>
      </c>
      <c r="Y2121">
        <v>20</v>
      </c>
      <c r="Z2121" t="s">
        <v>5200</v>
      </c>
      <c r="AA2121" s="3">
        <v>0.16099633276462599</v>
      </c>
      <c r="AB2121" t="s">
        <v>715</v>
      </c>
      <c r="AC2121" t="s">
        <v>4562</v>
      </c>
      <c r="AD2121" t="s">
        <v>13934</v>
      </c>
      <c r="AE2121" t="s">
        <v>4655</v>
      </c>
      <c r="AF2121" t="s">
        <v>5201</v>
      </c>
      <c r="AG2121" t="s">
        <v>4564</v>
      </c>
      <c r="AH2121" t="s">
        <v>5202</v>
      </c>
      <c r="AI2121" t="s">
        <v>4655</v>
      </c>
      <c r="AJ2121" t="s">
        <v>4655</v>
      </c>
      <c r="AK2121" t="s">
        <v>13935</v>
      </c>
      <c r="AL2121" s="13" t="s">
        <v>3425</v>
      </c>
      <c r="AM2121">
        <v>1</v>
      </c>
      <c r="AN2121" s="15" t="s">
        <v>5158</v>
      </c>
    </row>
    <row r="2122" spans="1:40" x14ac:dyDescent="0.3">
      <c r="A2122" s="10" t="str">
        <f>HYPERLINK("http://www.washoecounty.gov/assessor/cama/?parid=027-434-10&amp;CardNumber=1","027-434-10")</f>
        <v>027-434-10</v>
      </c>
      <c r="B2122" t="s">
        <v>4655</v>
      </c>
      <c r="C2122" t="s">
        <v>13936</v>
      </c>
      <c r="D2122" s="1">
        <v>40295</v>
      </c>
      <c r="E2122" s="2">
        <v>90100</v>
      </c>
      <c r="F2122" t="s">
        <v>4553</v>
      </c>
      <c r="G2122" s="17" t="str">
        <f>HYPERLINK("https://www.washoecounty.gov/assessor/cama/?command=sales&amp;parid=02743410","3875020")</f>
        <v>3875020</v>
      </c>
      <c r="H2122" t="s">
        <v>3546</v>
      </c>
      <c r="I2122">
        <v>1955</v>
      </c>
      <c r="J2122">
        <v>1955</v>
      </c>
      <c r="K2122" t="s">
        <v>4554</v>
      </c>
      <c r="L2122" t="s">
        <v>4555</v>
      </c>
      <c r="M2122" s="2">
        <v>1092</v>
      </c>
      <c r="N2122" t="s">
        <v>4556</v>
      </c>
      <c r="O2122">
        <v>3</v>
      </c>
      <c r="P2122">
        <v>1</v>
      </c>
      <c r="Q2122">
        <v>0</v>
      </c>
      <c r="R2122" t="s">
        <v>4557</v>
      </c>
      <c r="S2122" t="s">
        <v>4574</v>
      </c>
      <c r="T2122" t="s">
        <v>4559</v>
      </c>
      <c r="U2122" t="s">
        <v>4655</v>
      </c>
      <c r="V2122" s="2">
        <v>0</v>
      </c>
      <c r="W2122" t="s">
        <v>4655</v>
      </c>
      <c r="X2122" s="2">
        <v>0</v>
      </c>
      <c r="Y2122">
        <v>20</v>
      </c>
      <c r="Z2122" t="s">
        <v>5200</v>
      </c>
      <c r="AA2122" s="3">
        <v>0.16099633276462599</v>
      </c>
      <c r="AB2122" t="s">
        <v>13937</v>
      </c>
      <c r="AC2122" t="s">
        <v>4562</v>
      </c>
      <c r="AD2122" t="s">
        <v>13936</v>
      </c>
      <c r="AE2122" t="s">
        <v>4655</v>
      </c>
      <c r="AF2122" t="s">
        <v>5201</v>
      </c>
      <c r="AG2122" t="s">
        <v>4564</v>
      </c>
      <c r="AH2122" t="s">
        <v>5202</v>
      </c>
      <c r="AI2122" t="s">
        <v>1602</v>
      </c>
      <c r="AJ2122" t="s">
        <v>4655</v>
      </c>
      <c r="AK2122" t="s">
        <v>13938</v>
      </c>
      <c r="AL2122" s="13" t="s">
        <v>1886</v>
      </c>
      <c r="AM2122">
        <v>1</v>
      </c>
      <c r="AN2122" s="15" t="s">
        <v>5158</v>
      </c>
    </row>
    <row r="2123" spans="1:40" x14ac:dyDescent="0.3">
      <c r="A2123" s="10" t="str">
        <f>HYPERLINK("http://www.washoecounty.gov/assessor/cama/?parid=027-435-02&amp;CardNumber=1","027-435-02")</f>
        <v>027-435-02</v>
      </c>
      <c r="B2123" t="s">
        <v>4655</v>
      </c>
      <c r="C2123" t="s">
        <v>5551</v>
      </c>
      <c r="D2123" s="1">
        <v>40521</v>
      </c>
      <c r="E2123" s="2">
        <v>60000</v>
      </c>
      <c r="F2123" t="s">
        <v>4553</v>
      </c>
      <c r="G2123" s="17" t="str">
        <f>HYPERLINK("https://www.washoecounty.gov/assessor/cama/?command=sales&amp;parid=02743502","3951454")</f>
        <v>3951454</v>
      </c>
      <c r="H2123" t="s">
        <v>3546</v>
      </c>
      <c r="I2123">
        <v>1955</v>
      </c>
      <c r="J2123">
        <v>1956</v>
      </c>
      <c r="K2123" t="s">
        <v>4554</v>
      </c>
      <c r="L2123" t="s">
        <v>4555</v>
      </c>
      <c r="M2123" s="2">
        <v>1220</v>
      </c>
      <c r="N2123" t="s">
        <v>4556</v>
      </c>
      <c r="O2123">
        <v>3</v>
      </c>
      <c r="P2123">
        <v>2</v>
      </c>
      <c r="Q2123">
        <v>0</v>
      </c>
      <c r="R2123" t="s">
        <v>4557</v>
      </c>
      <c r="S2123" t="s">
        <v>4574</v>
      </c>
      <c r="T2123" t="s">
        <v>4559</v>
      </c>
      <c r="U2123" t="s">
        <v>4560</v>
      </c>
      <c r="V2123" s="2">
        <v>300</v>
      </c>
      <c r="W2123" t="s">
        <v>4655</v>
      </c>
      <c r="X2123" s="2">
        <v>0</v>
      </c>
      <c r="Y2123">
        <v>20</v>
      </c>
      <c r="Z2123" t="s">
        <v>5200</v>
      </c>
      <c r="AA2123" s="3">
        <v>0.13799357414245605</v>
      </c>
      <c r="AB2123" t="s">
        <v>5552</v>
      </c>
      <c r="AC2123" t="s">
        <v>4562</v>
      </c>
      <c r="AD2123" t="s">
        <v>13939</v>
      </c>
      <c r="AE2123" t="s">
        <v>4655</v>
      </c>
      <c r="AF2123" t="s">
        <v>4563</v>
      </c>
      <c r="AG2123" t="s">
        <v>4564</v>
      </c>
      <c r="AH2123" t="s">
        <v>5197</v>
      </c>
      <c r="AI2123" t="s">
        <v>2351</v>
      </c>
      <c r="AJ2123" t="s">
        <v>4655</v>
      </c>
      <c r="AK2123" t="s">
        <v>5553</v>
      </c>
      <c r="AL2123" s="13" t="s">
        <v>1886</v>
      </c>
      <c r="AM2123">
        <v>1</v>
      </c>
      <c r="AN2123" s="15" t="s">
        <v>5158</v>
      </c>
    </row>
    <row r="2124" spans="1:40" x14ac:dyDescent="0.3">
      <c r="A2124" s="10" t="str">
        <f>HYPERLINK("http://www.washoecounty.gov/assessor/cama/?parid=027-435-09&amp;CardNumber=1","027-435-09")</f>
        <v>027-435-09</v>
      </c>
      <c r="B2124" t="s">
        <v>4655</v>
      </c>
      <c r="C2124" t="s">
        <v>13940</v>
      </c>
      <c r="D2124" s="1">
        <v>40529</v>
      </c>
      <c r="E2124" s="2">
        <v>70000</v>
      </c>
      <c r="F2124" t="s">
        <v>4567</v>
      </c>
      <c r="G2124" s="17" t="str">
        <f>HYPERLINK("https://www.washoecounty.gov/assessor/cama/?command=sales&amp;parid=02743509","3955029")</f>
        <v>3955029</v>
      </c>
      <c r="H2124" t="s">
        <v>3546</v>
      </c>
      <c r="I2124">
        <v>1955</v>
      </c>
      <c r="J2124">
        <v>1955</v>
      </c>
      <c r="K2124" t="s">
        <v>4554</v>
      </c>
      <c r="L2124" t="s">
        <v>4555</v>
      </c>
      <c r="M2124" s="2">
        <v>1092</v>
      </c>
      <c r="N2124" t="s">
        <v>4556</v>
      </c>
      <c r="O2124">
        <v>3</v>
      </c>
      <c r="P2124">
        <v>1</v>
      </c>
      <c r="Q2124">
        <v>0</v>
      </c>
      <c r="R2124" t="s">
        <v>4557</v>
      </c>
      <c r="S2124" t="s">
        <v>4574</v>
      </c>
      <c r="T2124" t="s">
        <v>4143</v>
      </c>
      <c r="U2124" t="s">
        <v>4560</v>
      </c>
      <c r="V2124" s="2">
        <v>556</v>
      </c>
      <c r="W2124" t="s">
        <v>4655</v>
      </c>
      <c r="X2124" s="2">
        <v>0</v>
      </c>
      <c r="Y2124">
        <v>20</v>
      </c>
      <c r="Z2124" t="s">
        <v>5200</v>
      </c>
      <c r="AA2124" s="3">
        <v>0.13799357414245605</v>
      </c>
      <c r="AB2124" t="s">
        <v>13941</v>
      </c>
      <c r="AC2124" t="s">
        <v>4575</v>
      </c>
      <c r="AD2124" t="s">
        <v>13942</v>
      </c>
      <c r="AE2124" t="s">
        <v>4655</v>
      </c>
      <c r="AF2124" t="s">
        <v>13943</v>
      </c>
      <c r="AG2124" t="s">
        <v>4584</v>
      </c>
      <c r="AH2124">
        <v>95901</v>
      </c>
      <c r="AI2124" t="s">
        <v>4655</v>
      </c>
      <c r="AJ2124" t="s">
        <v>4655</v>
      </c>
      <c r="AK2124" t="s">
        <v>13944</v>
      </c>
      <c r="AL2124" s="13" t="s">
        <v>1886</v>
      </c>
      <c r="AM2124">
        <v>1</v>
      </c>
      <c r="AN2124" s="15" t="s">
        <v>5158</v>
      </c>
    </row>
    <row r="2125" spans="1:40" x14ac:dyDescent="0.3">
      <c r="A2125" s="10" t="str">
        <f>HYPERLINK("http://www.washoecounty.gov/assessor/cama/?parid=027-435-14&amp;CardNumber=1","027-435-14")</f>
        <v>027-435-14</v>
      </c>
      <c r="B2125" t="s">
        <v>4655</v>
      </c>
      <c r="C2125" t="s">
        <v>13945</v>
      </c>
      <c r="D2125" s="1">
        <v>40478</v>
      </c>
      <c r="E2125" s="2">
        <v>94900</v>
      </c>
      <c r="F2125" t="s">
        <v>4567</v>
      </c>
      <c r="G2125" s="17" t="str">
        <f>HYPERLINK("https://www.washoecounty.gov/assessor/cama/?command=sales&amp;parid=02743514","3937315")</f>
        <v>3937315</v>
      </c>
      <c r="H2125" t="s">
        <v>3546</v>
      </c>
      <c r="I2125">
        <v>1955</v>
      </c>
      <c r="J2125">
        <v>1955</v>
      </c>
      <c r="K2125" t="s">
        <v>4554</v>
      </c>
      <c r="L2125" t="s">
        <v>4555</v>
      </c>
      <c r="M2125" s="2">
        <v>1092</v>
      </c>
      <c r="N2125" t="s">
        <v>4556</v>
      </c>
      <c r="O2125">
        <v>3</v>
      </c>
      <c r="P2125">
        <v>1</v>
      </c>
      <c r="Q2125">
        <v>0</v>
      </c>
      <c r="R2125" t="s">
        <v>4557</v>
      </c>
      <c r="S2125" t="s">
        <v>4574</v>
      </c>
      <c r="T2125" t="s">
        <v>4559</v>
      </c>
      <c r="U2125" t="s">
        <v>4560</v>
      </c>
      <c r="V2125" s="2">
        <v>500</v>
      </c>
      <c r="W2125" t="s">
        <v>4655</v>
      </c>
      <c r="X2125" s="2">
        <v>0</v>
      </c>
      <c r="Y2125">
        <v>20</v>
      </c>
      <c r="Z2125" t="s">
        <v>5200</v>
      </c>
      <c r="AA2125" s="3">
        <v>0.15798898041248299</v>
      </c>
      <c r="AB2125" t="s">
        <v>13946</v>
      </c>
      <c r="AC2125" t="s">
        <v>4562</v>
      </c>
      <c r="AD2125" t="s">
        <v>13945</v>
      </c>
      <c r="AE2125" t="s">
        <v>4655</v>
      </c>
      <c r="AF2125" t="s">
        <v>5201</v>
      </c>
      <c r="AG2125" t="s">
        <v>4564</v>
      </c>
      <c r="AH2125" t="s">
        <v>5202</v>
      </c>
      <c r="AI2125" t="s">
        <v>13947</v>
      </c>
      <c r="AJ2125" t="s">
        <v>4655</v>
      </c>
      <c r="AK2125" t="s">
        <v>13948</v>
      </c>
      <c r="AL2125" s="13" t="s">
        <v>1886</v>
      </c>
      <c r="AM2125">
        <v>1</v>
      </c>
      <c r="AN2125" s="15" t="s">
        <v>5158</v>
      </c>
    </row>
    <row r="2126" spans="1:40" x14ac:dyDescent="0.3">
      <c r="A2126" s="10" t="str">
        <f>HYPERLINK("http://www.washoecounty.gov/assessor/cama/?parid=027-441-01&amp;CardNumber=1","027-441-01")</f>
        <v>027-441-01</v>
      </c>
      <c r="B2126" t="s">
        <v>4655</v>
      </c>
      <c r="C2126" t="s">
        <v>13949</v>
      </c>
      <c r="D2126" s="1">
        <v>40354</v>
      </c>
      <c r="E2126" s="2">
        <v>85000</v>
      </c>
      <c r="F2126" t="s">
        <v>4567</v>
      </c>
      <c r="G2126" s="17" t="str">
        <f>HYPERLINK("https://www.washoecounty.gov/assessor/cama/?command=sales&amp;parid=02744101","3895355")</f>
        <v>3895355</v>
      </c>
      <c r="H2126" t="s">
        <v>3546</v>
      </c>
      <c r="I2126">
        <v>1955</v>
      </c>
      <c r="J2126">
        <v>1955</v>
      </c>
      <c r="K2126" t="s">
        <v>4554</v>
      </c>
      <c r="L2126" t="s">
        <v>4555</v>
      </c>
      <c r="M2126" s="2">
        <v>1092</v>
      </c>
      <c r="N2126" t="s">
        <v>4556</v>
      </c>
      <c r="O2126">
        <v>3</v>
      </c>
      <c r="P2126">
        <v>1</v>
      </c>
      <c r="Q2126">
        <v>0</v>
      </c>
      <c r="R2126" t="s">
        <v>4557</v>
      </c>
      <c r="S2126" t="s">
        <v>4574</v>
      </c>
      <c r="T2126" t="s">
        <v>4559</v>
      </c>
      <c r="U2126" t="s">
        <v>4560</v>
      </c>
      <c r="V2126" s="2">
        <v>500</v>
      </c>
      <c r="W2126" t="s">
        <v>4655</v>
      </c>
      <c r="X2126" s="2">
        <v>0</v>
      </c>
      <c r="Y2126">
        <v>20</v>
      </c>
      <c r="Z2126" t="s">
        <v>5200</v>
      </c>
      <c r="AA2126" s="3">
        <v>0.14499540627002699</v>
      </c>
      <c r="AB2126" t="s">
        <v>13950</v>
      </c>
      <c r="AC2126" t="s">
        <v>4562</v>
      </c>
      <c r="AD2126" t="s">
        <v>13949</v>
      </c>
      <c r="AE2126" t="s">
        <v>4655</v>
      </c>
      <c r="AF2126" t="s">
        <v>5201</v>
      </c>
      <c r="AG2126" t="s">
        <v>4564</v>
      </c>
      <c r="AH2126" t="s">
        <v>5202</v>
      </c>
      <c r="AI2126" t="s">
        <v>4655</v>
      </c>
      <c r="AJ2126" t="s">
        <v>4655</v>
      </c>
      <c r="AK2126" t="s">
        <v>13951</v>
      </c>
      <c r="AL2126" s="13" t="s">
        <v>1886</v>
      </c>
      <c r="AM2126" s="14">
        <v>1</v>
      </c>
      <c r="AN2126" s="15" t="s">
        <v>5158</v>
      </c>
    </row>
    <row r="2127" spans="1:40" x14ac:dyDescent="0.3">
      <c r="A2127" s="10" t="str">
        <f>HYPERLINK("http://www.washoecounty.gov/assessor/cama/?parid=027-441-02&amp;CardNumber=1","027-441-02")</f>
        <v>027-441-02</v>
      </c>
      <c r="B2127" t="s">
        <v>4655</v>
      </c>
      <c r="C2127" t="s">
        <v>13952</v>
      </c>
      <c r="D2127" s="1">
        <v>40308</v>
      </c>
      <c r="E2127" s="2">
        <v>60000</v>
      </c>
      <c r="F2127" t="s">
        <v>4553</v>
      </c>
      <c r="G2127" s="17" t="str">
        <f>HYPERLINK("https://www.washoecounty.gov/assessor/cama/?command=sales&amp;parid=02744102","3879706")</f>
        <v>3879706</v>
      </c>
      <c r="H2127" t="s">
        <v>3546</v>
      </c>
      <c r="I2127">
        <v>1955</v>
      </c>
      <c r="J2127">
        <v>1955</v>
      </c>
      <c r="K2127" t="s">
        <v>4554</v>
      </c>
      <c r="L2127" t="s">
        <v>4555</v>
      </c>
      <c r="M2127" s="2">
        <v>1092</v>
      </c>
      <c r="N2127" t="s">
        <v>4556</v>
      </c>
      <c r="O2127">
        <v>3</v>
      </c>
      <c r="P2127">
        <v>1</v>
      </c>
      <c r="Q2127">
        <v>0</v>
      </c>
      <c r="R2127" t="s">
        <v>4557</v>
      </c>
      <c r="S2127" t="s">
        <v>4574</v>
      </c>
      <c r="T2127" t="s">
        <v>4559</v>
      </c>
      <c r="U2127" t="s">
        <v>4560</v>
      </c>
      <c r="V2127" s="2">
        <v>660</v>
      </c>
      <c r="W2127" t="s">
        <v>4655</v>
      </c>
      <c r="X2127" s="2">
        <v>0</v>
      </c>
      <c r="Y2127">
        <v>20</v>
      </c>
      <c r="Z2127" t="s">
        <v>5200</v>
      </c>
      <c r="AA2127" s="3">
        <v>0.123989902436733</v>
      </c>
      <c r="AB2127" t="s">
        <v>13953</v>
      </c>
      <c r="AC2127" t="s">
        <v>4562</v>
      </c>
      <c r="AD2127" t="s">
        <v>13952</v>
      </c>
      <c r="AE2127" t="s">
        <v>4655</v>
      </c>
      <c r="AF2127" t="s">
        <v>5201</v>
      </c>
      <c r="AG2127" t="s">
        <v>4564</v>
      </c>
      <c r="AH2127" t="s">
        <v>5202</v>
      </c>
      <c r="AI2127" t="s">
        <v>4655</v>
      </c>
      <c r="AJ2127" t="s">
        <v>4655</v>
      </c>
      <c r="AK2127" t="s">
        <v>13954</v>
      </c>
      <c r="AL2127" s="13" t="s">
        <v>1886</v>
      </c>
      <c r="AM2127" s="14">
        <v>1</v>
      </c>
      <c r="AN2127" s="15" t="s">
        <v>5158</v>
      </c>
    </row>
    <row r="2128" spans="1:40" x14ac:dyDescent="0.3">
      <c r="A2128" s="10" t="str">
        <f>HYPERLINK("http://www.washoecounty.gov/assessor/cama/?parid=027-441-02&amp;CardNumber=1","027-441-02")</f>
        <v>027-441-02</v>
      </c>
      <c r="B2128" t="s">
        <v>4655</v>
      </c>
      <c r="C2128" t="s">
        <v>13952</v>
      </c>
      <c r="D2128" s="1">
        <v>40430</v>
      </c>
      <c r="E2128" s="2">
        <v>120000</v>
      </c>
      <c r="F2128" t="s">
        <v>4567</v>
      </c>
      <c r="G2128" s="17" t="str">
        <f>HYPERLINK("https://www.washoecounty.gov/assessor/cama/?command=sales&amp;parid=02744102","3920230")</f>
        <v>3920230</v>
      </c>
      <c r="H2128" t="s">
        <v>3546</v>
      </c>
      <c r="I2128">
        <v>1955</v>
      </c>
      <c r="J2128">
        <v>1955</v>
      </c>
      <c r="K2128" t="s">
        <v>4554</v>
      </c>
      <c r="L2128" t="s">
        <v>4555</v>
      </c>
      <c r="M2128" s="2">
        <v>1092</v>
      </c>
      <c r="N2128" t="s">
        <v>4556</v>
      </c>
      <c r="O2128">
        <v>3</v>
      </c>
      <c r="P2128">
        <v>1</v>
      </c>
      <c r="Q2128">
        <v>0</v>
      </c>
      <c r="R2128" t="s">
        <v>4557</v>
      </c>
      <c r="S2128" t="s">
        <v>4574</v>
      </c>
      <c r="T2128" t="s">
        <v>4559</v>
      </c>
      <c r="U2128" t="s">
        <v>4560</v>
      </c>
      <c r="V2128" s="2">
        <v>660</v>
      </c>
      <c r="W2128" t="s">
        <v>4655</v>
      </c>
      <c r="X2128" s="2">
        <v>0</v>
      </c>
      <c r="Y2128">
        <v>20</v>
      </c>
      <c r="Z2128" t="s">
        <v>5200</v>
      </c>
      <c r="AA2128" s="3">
        <v>0.123989902436733</v>
      </c>
      <c r="AB2128" t="s">
        <v>13953</v>
      </c>
      <c r="AC2128" t="s">
        <v>4562</v>
      </c>
      <c r="AD2128" t="s">
        <v>13952</v>
      </c>
      <c r="AE2128" t="s">
        <v>4655</v>
      </c>
      <c r="AF2128" t="s">
        <v>5201</v>
      </c>
      <c r="AG2128" t="s">
        <v>4564</v>
      </c>
      <c r="AH2128" t="s">
        <v>5202</v>
      </c>
      <c r="AI2128" t="s">
        <v>4655</v>
      </c>
      <c r="AJ2128" t="s">
        <v>4655</v>
      </c>
      <c r="AK2128" t="s">
        <v>13954</v>
      </c>
      <c r="AL2128" s="13" t="s">
        <v>1886</v>
      </c>
      <c r="AM2128" s="14">
        <v>1</v>
      </c>
      <c r="AN2128" s="15" t="s">
        <v>5158</v>
      </c>
    </row>
    <row r="2129" spans="1:40" x14ac:dyDescent="0.3">
      <c r="A2129" s="10" t="str">
        <f>HYPERLINK("http://www.washoecounty.gov/assessor/cama/?parid=027-441-20&amp;CardNumber=1","027-441-20")</f>
        <v>027-441-20</v>
      </c>
      <c r="B2129" t="s">
        <v>4655</v>
      </c>
      <c r="C2129" t="s">
        <v>13955</v>
      </c>
      <c r="D2129" s="1">
        <v>40417</v>
      </c>
      <c r="E2129" s="2">
        <v>79000</v>
      </c>
      <c r="F2129" t="s">
        <v>4553</v>
      </c>
      <c r="G2129" s="17" t="str">
        <f>HYPERLINK("https://www.washoecounty.gov/assessor/cama/?command=sales&amp;parid=02744120","3916205")</f>
        <v>3916205</v>
      </c>
      <c r="H2129" t="s">
        <v>2934</v>
      </c>
      <c r="I2129">
        <v>1951</v>
      </c>
      <c r="J2129">
        <v>1951</v>
      </c>
      <c r="K2129" t="s">
        <v>4554</v>
      </c>
      <c r="L2129" t="s">
        <v>4555</v>
      </c>
      <c r="M2129" s="2">
        <v>792</v>
      </c>
      <c r="N2129" t="s">
        <v>4556</v>
      </c>
      <c r="O2129">
        <v>2</v>
      </c>
      <c r="P2129">
        <v>1</v>
      </c>
      <c r="Q2129">
        <v>0</v>
      </c>
      <c r="R2129" t="s">
        <v>4134</v>
      </c>
      <c r="S2129" t="s">
        <v>4135</v>
      </c>
      <c r="T2129" t="s">
        <v>4559</v>
      </c>
      <c r="U2129" t="s">
        <v>4560</v>
      </c>
      <c r="V2129" s="2">
        <v>220</v>
      </c>
      <c r="W2129" t="s">
        <v>4655</v>
      </c>
      <c r="X2129" s="2">
        <v>0</v>
      </c>
      <c r="Y2129">
        <v>20</v>
      </c>
      <c r="Z2129" t="s">
        <v>5200</v>
      </c>
      <c r="AA2129" s="3">
        <v>0.13799357414245605</v>
      </c>
      <c r="AB2129" t="s">
        <v>13956</v>
      </c>
      <c r="AC2129" t="s">
        <v>4562</v>
      </c>
      <c r="AD2129" t="s">
        <v>13955</v>
      </c>
      <c r="AE2129" t="s">
        <v>4655</v>
      </c>
      <c r="AF2129" t="s">
        <v>5201</v>
      </c>
      <c r="AG2129" t="s">
        <v>4564</v>
      </c>
      <c r="AH2129" t="s">
        <v>5202</v>
      </c>
      <c r="AI2129" t="s">
        <v>4903</v>
      </c>
      <c r="AJ2129" t="s">
        <v>4655</v>
      </c>
      <c r="AK2129" t="s">
        <v>13957</v>
      </c>
      <c r="AL2129" s="13" t="s">
        <v>1886</v>
      </c>
      <c r="AM2129" s="14">
        <v>1</v>
      </c>
      <c r="AN2129" s="15" t="s">
        <v>5158</v>
      </c>
    </row>
    <row r="2130" spans="1:40" x14ac:dyDescent="0.3">
      <c r="A2130" s="10" t="str">
        <f>HYPERLINK("http://www.washoecounty.gov/assessor/cama/?parid=027-444-16&amp;CardNumber=1","027-444-16")</f>
        <v>027-444-16</v>
      </c>
      <c r="B2130" t="s">
        <v>4655</v>
      </c>
      <c r="C2130" t="s">
        <v>13958</v>
      </c>
      <c r="D2130" s="1">
        <v>40232</v>
      </c>
      <c r="E2130" s="2">
        <v>70000</v>
      </c>
      <c r="F2130" t="s">
        <v>4567</v>
      </c>
      <c r="G2130" s="17" t="str">
        <f>HYPERLINK("https://www.washoecounty.gov/assessor/cama/?command=sales&amp;parid=02744416","3851944")</f>
        <v>3851944</v>
      </c>
      <c r="H2130" t="s">
        <v>13959</v>
      </c>
      <c r="I2130">
        <v>1951</v>
      </c>
      <c r="J2130">
        <v>1951</v>
      </c>
      <c r="K2130" t="s">
        <v>4554</v>
      </c>
      <c r="L2130" t="s">
        <v>4555</v>
      </c>
      <c r="M2130" s="2">
        <v>792</v>
      </c>
      <c r="N2130" t="s">
        <v>4556</v>
      </c>
      <c r="O2130">
        <v>2</v>
      </c>
      <c r="P2130">
        <v>1</v>
      </c>
      <c r="Q2130">
        <v>0</v>
      </c>
      <c r="R2130" t="s">
        <v>4134</v>
      </c>
      <c r="S2130" t="s">
        <v>4574</v>
      </c>
      <c r="T2130" t="s">
        <v>4559</v>
      </c>
      <c r="U2130" t="s">
        <v>4560</v>
      </c>
      <c r="V2130" s="2">
        <v>220</v>
      </c>
      <c r="W2130" t="s">
        <v>4655</v>
      </c>
      <c r="X2130" s="2">
        <v>0</v>
      </c>
      <c r="Y2130">
        <v>20</v>
      </c>
      <c r="Z2130" t="s">
        <v>5200</v>
      </c>
      <c r="AA2130" s="3">
        <v>0.19100092351436601</v>
      </c>
      <c r="AB2130" t="s">
        <v>13960</v>
      </c>
      <c r="AC2130" t="s">
        <v>4562</v>
      </c>
      <c r="AD2130" t="s">
        <v>4814</v>
      </c>
      <c r="AE2130" t="s">
        <v>4655</v>
      </c>
      <c r="AF2130" t="s">
        <v>5201</v>
      </c>
      <c r="AG2130" t="s">
        <v>4564</v>
      </c>
      <c r="AH2130" t="s">
        <v>5202</v>
      </c>
      <c r="AI2130" t="s">
        <v>13961</v>
      </c>
      <c r="AJ2130" t="s">
        <v>4655</v>
      </c>
      <c r="AK2130" t="s">
        <v>13962</v>
      </c>
      <c r="AL2130" s="13" t="s">
        <v>1886</v>
      </c>
      <c r="AM2130">
        <v>1</v>
      </c>
      <c r="AN2130" s="15" t="s">
        <v>5158</v>
      </c>
    </row>
    <row r="2131" spans="1:40" x14ac:dyDescent="0.3">
      <c r="A2131" s="10" t="str">
        <f>HYPERLINK("http://www.washoecounty.gov/assessor/cama/?parid=027-445-04&amp;CardNumber=1","027-445-04")</f>
        <v>027-445-04</v>
      </c>
      <c r="B2131" t="s">
        <v>4655</v>
      </c>
      <c r="C2131" t="s">
        <v>13963</v>
      </c>
      <c r="D2131" s="1">
        <v>40431</v>
      </c>
      <c r="E2131" s="2">
        <v>66900</v>
      </c>
      <c r="F2131" t="s">
        <v>4553</v>
      </c>
      <c r="G2131" s="17" t="str">
        <f>HYPERLINK("https://www.washoecounty.gov/assessor/cama/?command=sales&amp;parid=02744504","3921021")</f>
        <v>3921021</v>
      </c>
      <c r="H2131" t="s">
        <v>2934</v>
      </c>
      <c r="I2131">
        <v>1951</v>
      </c>
      <c r="J2131">
        <v>1954</v>
      </c>
      <c r="K2131" t="s">
        <v>4554</v>
      </c>
      <c r="L2131" t="s">
        <v>4555</v>
      </c>
      <c r="M2131" s="2">
        <v>911</v>
      </c>
      <c r="N2131" t="s">
        <v>4556</v>
      </c>
      <c r="O2131">
        <v>2</v>
      </c>
      <c r="P2131">
        <v>1</v>
      </c>
      <c r="Q2131">
        <v>0</v>
      </c>
      <c r="R2131" t="s">
        <v>4134</v>
      </c>
      <c r="S2131" t="s">
        <v>4558</v>
      </c>
      <c r="T2131" t="s">
        <v>4559</v>
      </c>
      <c r="U2131" t="s">
        <v>4655</v>
      </c>
      <c r="V2131" s="2">
        <v>0</v>
      </c>
      <c r="W2131" t="s">
        <v>4655</v>
      </c>
      <c r="X2131" s="2">
        <v>0</v>
      </c>
      <c r="Y2131">
        <v>20</v>
      </c>
      <c r="Z2131" t="s">
        <v>5200</v>
      </c>
      <c r="AA2131" s="3">
        <v>0.13799357414245605</v>
      </c>
      <c r="AB2131" t="s">
        <v>13964</v>
      </c>
      <c r="AC2131" t="s">
        <v>4562</v>
      </c>
      <c r="AD2131" t="s">
        <v>13963</v>
      </c>
      <c r="AE2131" t="s">
        <v>4655</v>
      </c>
      <c r="AF2131" t="s">
        <v>5201</v>
      </c>
      <c r="AG2131" t="s">
        <v>4564</v>
      </c>
      <c r="AH2131" t="s">
        <v>5202</v>
      </c>
      <c r="AI2131" t="s">
        <v>3954</v>
      </c>
      <c r="AJ2131" t="s">
        <v>4655</v>
      </c>
      <c r="AK2131" t="s">
        <v>13965</v>
      </c>
      <c r="AL2131" s="13" t="s">
        <v>1886</v>
      </c>
      <c r="AM2131" s="14">
        <v>1</v>
      </c>
      <c r="AN2131" s="15" t="s">
        <v>5158</v>
      </c>
    </row>
    <row r="2132" spans="1:40" x14ac:dyDescent="0.3">
      <c r="A2132" s="10" t="str">
        <f>HYPERLINK("http://www.washoecounty.gov/assessor/cama/?parid=027-450-20&amp;CardNumber=1","027-450-20")</f>
        <v>027-450-20</v>
      </c>
      <c r="B2132" t="s">
        <v>4655</v>
      </c>
      <c r="C2132" t="s">
        <v>3140</v>
      </c>
      <c r="D2132" s="1">
        <v>40298</v>
      </c>
      <c r="E2132" s="2">
        <v>74760</v>
      </c>
      <c r="F2132" t="s">
        <v>4201</v>
      </c>
      <c r="G2132" s="17" t="str">
        <f>HYPERLINK("https://www.washoecounty.gov/assessor/cama/?command=sales&amp;parid=02745020","3876650")</f>
        <v>3876650</v>
      </c>
      <c r="H2132" t="s">
        <v>13966</v>
      </c>
      <c r="I2132">
        <v>0</v>
      </c>
      <c r="J2132">
        <v>0</v>
      </c>
      <c r="K2132" t="s">
        <v>4655</v>
      </c>
      <c r="L2132" t="s">
        <v>4655</v>
      </c>
      <c r="M2132" s="2">
        <v>0</v>
      </c>
      <c r="N2132" t="s">
        <v>4655</v>
      </c>
      <c r="O2132">
        <v>0</v>
      </c>
      <c r="P2132">
        <v>0</v>
      </c>
      <c r="Q2132">
        <v>0</v>
      </c>
      <c r="R2132" t="s">
        <v>4655</v>
      </c>
      <c r="S2132" t="s">
        <v>4655</v>
      </c>
      <c r="T2132" t="s">
        <v>4655</v>
      </c>
      <c r="U2132" t="s">
        <v>4655</v>
      </c>
      <c r="V2132" s="2">
        <v>0</v>
      </c>
      <c r="W2132" t="s">
        <v>4655</v>
      </c>
      <c r="X2132" s="2">
        <v>0</v>
      </c>
      <c r="Y2132">
        <v>40</v>
      </c>
      <c r="Z2132" t="s">
        <v>3141</v>
      </c>
      <c r="AA2132" s="3">
        <v>0.14302112162113201</v>
      </c>
      <c r="AB2132" t="s">
        <v>3142</v>
      </c>
      <c r="AC2132" t="s">
        <v>4562</v>
      </c>
      <c r="AD2132" t="s">
        <v>13967</v>
      </c>
      <c r="AE2132" t="s">
        <v>4655</v>
      </c>
      <c r="AF2132" t="s">
        <v>4563</v>
      </c>
      <c r="AG2132" t="s">
        <v>4564</v>
      </c>
      <c r="AH2132" t="s">
        <v>416</v>
      </c>
      <c r="AI2132" t="s">
        <v>13968</v>
      </c>
      <c r="AJ2132" t="s">
        <v>13969</v>
      </c>
      <c r="AK2132" t="s">
        <v>13970</v>
      </c>
      <c r="AL2132" s="13" t="s">
        <v>1886</v>
      </c>
      <c r="AM2132">
        <v>0</v>
      </c>
      <c r="AN2132" s="15" t="s">
        <v>3416</v>
      </c>
    </row>
    <row r="2133" spans="1:40" x14ac:dyDescent="0.3">
      <c r="A2133" s="10" t="str">
        <f>HYPERLINK("http://www.washoecounty.gov/assessor/cama/?parid=027-470-30&amp;CardNumber=1","027-470-30")</f>
        <v>027-470-30</v>
      </c>
      <c r="B2133" t="s">
        <v>4655</v>
      </c>
      <c r="C2133" t="s">
        <v>13971</v>
      </c>
      <c r="D2133" s="1">
        <v>40423</v>
      </c>
      <c r="E2133" s="2">
        <v>52000</v>
      </c>
      <c r="F2133" t="s">
        <v>4553</v>
      </c>
      <c r="G2133" s="17" t="str">
        <f>HYPERLINK("https://www.washoecounty.gov/assessor/cama/?command=sales&amp;parid=02747030","3918575")</f>
        <v>3918575</v>
      </c>
      <c r="H2133" t="s">
        <v>557</v>
      </c>
      <c r="I2133">
        <v>1971</v>
      </c>
      <c r="J2133">
        <v>1971</v>
      </c>
      <c r="K2133" t="s">
        <v>4897</v>
      </c>
      <c r="L2133" t="s">
        <v>3974</v>
      </c>
      <c r="M2133" s="2">
        <v>996</v>
      </c>
      <c r="N2133" t="s">
        <v>4048</v>
      </c>
      <c r="O2133">
        <v>2</v>
      </c>
      <c r="P2133">
        <v>1</v>
      </c>
      <c r="Q2133">
        <v>1</v>
      </c>
      <c r="R2133" t="s">
        <v>4676</v>
      </c>
      <c r="S2133" t="s">
        <v>4558</v>
      </c>
      <c r="T2133" t="s">
        <v>4559</v>
      </c>
      <c r="U2133" t="s">
        <v>5631</v>
      </c>
      <c r="V2133" s="2">
        <v>455</v>
      </c>
      <c r="W2133" t="s">
        <v>4655</v>
      </c>
      <c r="X2133" s="2">
        <v>0</v>
      </c>
      <c r="Y2133">
        <v>21</v>
      </c>
      <c r="Z2133" t="s">
        <v>5196</v>
      </c>
      <c r="AA2133" s="3">
        <v>1.00000004749745E-3</v>
      </c>
      <c r="AB2133" t="s">
        <v>13972</v>
      </c>
      <c r="AC2133" t="s">
        <v>4562</v>
      </c>
      <c r="AD2133" t="s">
        <v>13971</v>
      </c>
      <c r="AE2133" t="s">
        <v>4655</v>
      </c>
      <c r="AF2133" t="s">
        <v>5201</v>
      </c>
      <c r="AG2133" t="s">
        <v>4564</v>
      </c>
      <c r="AH2133" t="s">
        <v>5202</v>
      </c>
      <c r="AI2133" t="s">
        <v>4903</v>
      </c>
      <c r="AJ2133" t="s">
        <v>4655</v>
      </c>
      <c r="AK2133" t="s">
        <v>13973</v>
      </c>
      <c r="AL2133" s="13" t="s">
        <v>1886</v>
      </c>
      <c r="AM2133">
        <v>1</v>
      </c>
      <c r="AN2133" s="15" t="s">
        <v>1553</v>
      </c>
    </row>
    <row r="2134" spans="1:40" x14ac:dyDescent="0.3">
      <c r="A2134" s="10" t="str">
        <f>HYPERLINK("http://www.washoecounty.gov/assessor/cama/?parid=027-480-10&amp;CardNumber=1","027-480-10")</f>
        <v>027-480-10</v>
      </c>
      <c r="B2134" t="s">
        <v>4655</v>
      </c>
      <c r="C2134" t="s">
        <v>13974</v>
      </c>
      <c r="D2134" s="1">
        <v>40326</v>
      </c>
      <c r="E2134" s="2">
        <v>65000</v>
      </c>
      <c r="F2134" t="s">
        <v>4553</v>
      </c>
      <c r="G2134" s="17" t="str">
        <f>HYPERLINK("https://www.washoecounty.gov/assessor/cama/?command=sales&amp;parid=02748010","3886872")</f>
        <v>3886872</v>
      </c>
      <c r="H2134" t="s">
        <v>557</v>
      </c>
      <c r="I2134">
        <v>1971</v>
      </c>
      <c r="J2134">
        <v>1971</v>
      </c>
      <c r="K2134" t="s">
        <v>4897</v>
      </c>
      <c r="L2134" t="s">
        <v>3974</v>
      </c>
      <c r="M2134" s="2">
        <v>996</v>
      </c>
      <c r="N2134" t="s">
        <v>4048</v>
      </c>
      <c r="O2134">
        <v>2</v>
      </c>
      <c r="P2134">
        <v>1</v>
      </c>
      <c r="Q2134">
        <v>1</v>
      </c>
      <c r="R2134" t="s">
        <v>5281</v>
      </c>
      <c r="S2134" t="s">
        <v>4558</v>
      </c>
      <c r="T2134" t="s">
        <v>4559</v>
      </c>
      <c r="U2134" t="s">
        <v>5631</v>
      </c>
      <c r="V2134" s="2">
        <v>455</v>
      </c>
      <c r="W2134" t="s">
        <v>4655</v>
      </c>
      <c r="X2134" s="2">
        <v>0</v>
      </c>
      <c r="Y2134">
        <v>21</v>
      </c>
      <c r="Z2134" t="s">
        <v>5196</v>
      </c>
      <c r="AA2134" s="3">
        <v>1.00000004749745E-3</v>
      </c>
      <c r="AB2134" t="s">
        <v>13975</v>
      </c>
      <c r="AC2134" t="s">
        <v>4562</v>
      </c>
      <c r="AD2134" t="s">
        <v>13976</v>
      </c>
      <c r="AE2134" t="s">
        <v>4655</v>
      </c>
      <c r="AF2134" t="s">
        <v>4809</v>
      </c>
      <c r="AG2134" t="s">
        <v>4564</v>
      </c>
      <c r="AH2134" t="s">
        <v>5202</v>
      </c>
      <c r="AI2134" t="s">
        <v>4848</v>
      </c>
      <c r="AJ2134" t="s">
        <v>4655</v>
      </c>
      <c r="AK2134" t="s">
        <v>13977</v>
      </c>
      <c r="AL2134" s="13" t="s">
        <v>1886</v>
      </c>
      <c r="AM2134">
        <v>1</v>
      </c>
      <c r="AN2134" s="15" t="s">
        <v>1553</v>
      </c>
    </row>
    <row r="2135" spans="1:40" x14ac:dyDescent="0.3">
      <c r="A2135" s="10" t="str">
        <f>HYPERLINK("http://www.washoecounty.gov/assessor/cama/?parid=027-480-24&amp;CardNumber=1","027-480-24")</f>
        <v>027-480-24</v>
      </c>
      <c r="B2135" t="s">
        <v>4655</v>
      </c>
      <c r="C2135" t="s">
        <v>13978</v>
      </c>
      <c r="D2135" s="1">
        <v>40417</v>
      </c>
      <c r="E2135" s="2">
        <v>79900</v>
      </c>
      <c r="F2135" t="s">
        <v>4567</v>
      </c>
      <c r="G2135" s="17" t="str">
        <f>HYPERLINK("https://www.washoecounty.gov/assessor/cama/?command=sales&amp;parid=02748024","3916218")</f>
        <v>3916218</v>
      </c>
      <c r="H2135" t="s">
        <v>557</v>
      </c>
      <c r="I2135">
        <v>1971</v>
      </c>
      <c r="J2135">
        <v>1971</v>
      </c>
      <c r="K2135" t="s">
        <v>4897</v>
      </c>
      <c r="L2135" t="s">
        <v>3974</v>
      </c>
      <c r="M2135" s="2">
        <v>996</v>
      </c>
      <c r="N2135" t="s">
        <v>4048</v>
      </c>
      <c r="O2135">
        <v>2</v>
      </c>
      <c r="P2135">
        <v>1</v>
      </c>
      <c r="Q2135">
        <v>1</v>
      </c>
      <c r="R2135" t="s">
        <v>5281</v>
      </c>
      <c r="S2135" t="s">
        <v>4558</v>
      </c>
      <c r="T2135" t="s">
        <v>4559</v>
      </c>
      <c r="U2135" t="s">
        <v>5631</v>
      </c>
      <c r="V2135" s="2">
        <v>455</v>
      </c>
      <c r="W2135" t="s">
        <v>4655</v>
      </c>
      <c r="X2135" s="2">
        <v>0</v>
      </c>
      <c r="Y2135">
        <v>21</v>
      </c>
      <c r="Z2135" t="s">
        <v>5196</v>
      </c>
      <c r="AA2135" s="3">
        <v>1.00000004749745E-3</v>
      </c>
      <c r="AB2135" t="s">
        <v>13979</v>
      </c>
      <c r="AC2135" t="s">
        <v>4562</v>
      </c>
      <c r="AD2135" t="s">
        <v>13978</v>
      </c>
      <c r="AE2135" t="s">
        <v>4655</v>
      </c>
      <c r="AF2135" t="s">
        <v>5201</v>
      </c>
      <c r="AG2135" t="s">
        <v>4564</v>
      </c>
      <c r="AH2135" t="s">
        <v>5202</v>
      </c>
      <c r="AI2135" t="s">
        <v>13980</v>
      </c>
      <c r="AJ2135" t="s">
        <v>4655</v>
      </c>
      <c r="AK2135" t="s">
        <v>13981</v>
      </c>
      <c r="AL2135" s="13" t="s">
        <v>1886</v>
      </c>
      <c r="AM2135">
        <v>1</v>
      </c>
      <c r="AN2135" s="15" t="s">
        <v>1553</v>
      </c>
    </row>
    <row r="2136" spans="1:40" x14ac:dyDescent="0.3">
      <c r="A2136" s="10" t="str">
        <f>HYPERLINK("http://www.washoecounty.gov/assessor/cama/?parid=027-490-12&amp;CardNumber=1","027-490-12")</f>
        <v>027-490-12</v>
      </c>
      <c r="B2136" t="s">
        <v>4655</v>
      </c>
      <c r="C2136" t="s">
        <v>13982</v>
      </c>
      <c r="D2136" s="1">
        <v>40492</v>
      </c>
      <c r="E2136" s="2">
        <v>45000</v>
      </c>
      <c r="F2136" t="s">
        <v>4567</v>
      </c>
      <c r="G2136" s="17" t="str">
        <f>HYPERLINK("https://www.washoecounty.gov/assessor/cama/?command=sales&amp;parid=02749012","3941994")</f>
        <v>3941994</v>
      </c>
      <c r="H2136" t="s">
        <v>557</v>
      </c>
      <c r="I2136">
        <v>1971</v>
      </c>
      <c r="J2136">
        <v>1971</v>
      </c>
      <c r="K2136" t="s">
        <v>4897</v>
      </c>
      <c r="L2136" t="s">
        <v>3974</v>
      </c>
      <c r="M2136" s="2">
        <v>996</v>
      </c>
      <c r="N2136" t="s">
        <v>4048</v>
      </c>
      <c r="O2136">
        <v>2</v>
      </c>
      <c r="P2136">
        <v>1</v>
      </c>
      <c r="Q2136">
        <v>1</v>
      </c>
      <c r="R2136" t="s">
        <v>4676</v>
      </c>
      <c r="S2136" t="s">
        <v>4558</v>
      </c>
      <c r="T2136" t="s">
        <v>4143</v>
      </c>
      <c r="U2136" t="s">
        <v>5631</v>
      </c>
      <c r="V2136" s="2">
        <v>455</v>
      </c>
      <c r="W2136" t="s">
        <v>4655</v>
      </c>
      <c r="X2136" s="2">
        <v>0</v>
      </c>
      <c r="Y2136">
        <v>21</v>
      </c>
      <c r="Z2136" t="s">
        <v>5196</v>
      </c>
      <c r="AA2136" s="3">
        <v>1.00000004749745E-3</v>
      </c>
      <c r="AB2136" t="s">
        <v>13983</v>
      </c>
      <c r="AC2136" t="s">
        <v>4562</v>
      </c>
      <c r="AD2136" t="s">
        <v>13982</v>
      </c>
      <c r="AE2136" t="s">
        <v>4655</v>
      </c>
      <c r="AF2136" t="s">
        <v>5201</v>
      </c>
      <c r="AG2136" t="s">
        <v>4564</v>
      </c>
      <c r="AH2136" t="s">
        <v>5202</v>
      </c>
      <c r="AI2136" t="s">
        <v>13984</v>
      </c>
      <c r="AJ2136" t="s">
        <v>4655</v>
      </c>
      <c r="AK2136" t="s">
        <v>13985</v>
      </c>
      <c r="AL2136" s="13" t="s">
        <v>1886</v>
      </c>
      <c r="AM2136">
        <v>1</v>
      </c>
      <c r="AN2136" s="15" t="s">
        <v>1553</v>
      </c>
    </row>
    <row r="2137" spans="1:40" x14ac:dyDescent="0.3">
      <c r="A2137" s="10" t="str">
        <f>HYPERLINK("http://www.washoecounty.gov/assessor/cama/?parid=027-490-35&amp;CardNumber=1","027-490-35")</f>
        <v>027-490-35</v>
      </c>
      <c r="B2137" t="s">
        <v>4655</v>
      </c>
      <c r="C2137" t="s">
        <v>13986</v>
      </c>
      <c r="D2137" s="1">
        <v>40501</v>
      </c>
      <c r="E2137" s="2">
        <v>55000</v>
      </c>
      <c r="F2137" t="s">
        <v>4553</v>
      </c>
      <c r="G2137" s="17" t="str">
        <f>HYPERLINK("https://www.washoecounty.gov/assessor/cama/?command=sales&amp;parid=02749035","3945119")</f>
        <v>3945119</v>
      </c>
      <c r="H2137" t="s">
        <v>557</v>
      </c>
      <c r="I2137">
        <v>1971</v>
      </c>
      <c r="J2137">
        <v>1971</v>
      </c>
      <c r="K2137" t="s">
        <v>4897</v>
      </c>
      <c r="L2137" t="s">
        <v>3974</v>
      </c>
      <c r="M2137" s="2">
        <v>1059</v>
      </c>
      <c r="N2137" t="s">
        <v>4048</v>
      </c>
      <c r="O2137">
        <v>2</v>
      </c>
      <c r="P2137">
        <v>1</v>
      </c>
      <c r="Q2137">
        <v>1</v>
      </c>
      <c r="R2137" t="s">
        <v>4557</v>
      </c>
      <c r="S2137" t="s">
        <v>4558</v>
      </c>
      <c r="T2137" t="s">
        <v>4143</v>
      </c>
      <c r="U2137" t="s">
        <v>5631</v>
      </c>
      <c r="V2137" s="2">
        <v>455</v>
      </c>
      <c r="W2137" t="s">
        <v>4655</v>
      </c>
      <c r="X2137" s="2">
        <v>0</v>
      </c>
      <c r="Y2137">
        <v>21</v>
      </c>
      <c r="Z2137" t="s">
        <v>5196</v>
      </c>
      <c r="AA2137" s="3">
        <v>1.00000004749745E-3</v>
      </c>
      <c r="AB2137" t="s">
        <v>13987</v>
      </c>
      <c r="AC2137" t="s">
        <v>4562</v>
      </c>
      <c r="AD2137" t="s">
        <v>13986</v>
      </c>
      <c r="AE2137" t="s">
        <v>4655</v>
      </c>
      <c r="AF2137" t="s">
        <v>4809</v>
      </c>
      <c r="AG2137" t="s">
        <v>4564</v>
      </c>
      <c r="AH2137" t="s">
        <v>5202</v>
      </c>
      <c r="AI2137" t="s">
        <v>4903</v>
      </c>
      <c r="AJ2137" t="s">
        <v>4655</v>
      </c>
      <c r="AK2137" t="s">
        <v>13988</v>
      </c>
      <c r="AL2137" s="13" t="s">
        <v>1886</v>
      </c>
      <c r="AM2137">
        <v>1</v>
      </c>
      <c r="AN2137" s="15" t="s">
        <v>1553</v>
      </c>
    </row>
    <row r="2138" spans="1:40" x14ac:dyDescent="0.3">
      <c r="A2138" s="10" t="str">
        <f>HYPERLINK("http://www.washoecounty.gov/assessor/cama/?parid=027-500-08&amp;CardNumber=1","027-500-08")</f>
        <v>027-500-08</v>
      </c>
      <c r="B2138" t="s">
        <v>4655</v>
      </c>
      <c r="C2138" t="s">
        <v>13989</v>
      </c>
      <c r="D2138" s="1">
        <v>40394</v>
      </c>
      <c r="E2138" s="2">
        <v>45000</v>
      </c>
      <c r="F2138" t="s">
        <v>4567</v>
      </c>
      <c r="G2138" s="17" t="str">
        <f>HYPERLINK("https://www.washoecounty.gov/assessor/cama/?command=sales&amp;parid=02750008","3908839")</f>
        <v>3908839</v>
      </c>
      <c r="H2138" t="s">
        <v>557</v>
      </c>
      <c r="I2138">
        <v>1971</v>
      </c>
      <c r="J2138">
        <v>1971</v>
      </c>
      <c r="K2138" t="s">
        <v>4897</v>
      </c>
      <c r="L2138" t="s">
        <v>3974</v>
      </c>
      <c r="M2138" s="2">
        <v>1059</v>
      </c>
      <c r="N2138" t="s">
        <v>4048</v>
      </c>
      <c r="O2138">
        <v>2</v>
      </c>
      <c r="P2138">
        <v>1</v>
      </c>
      <c r="Q2138">
        <v>1</v>
      </c>
      <c r="R2138" t="s">
        <v>4557</v>
      </c>
      <c r="S2138" t="s">
        <v>4558</v>
      </c>
      <c r="T2138" t="s">
        <v>4559</v>
      </c>
      <c r="U2138" t="s">
        <v>5631</v>
      </c>
      <c r="V2138" s="2">
        <v>455</v>
      </c>
      <c r="W2138" t="s">
        <v>4655</v>
      </c>
      <c r="X2138" s="2">
        <v>0</v>
      </c>
      <c r="Y2138">
        <v>21</v>
      </c>
      <c r="Z2138" t="s">
        <v>5196</v>
      </c>
      <c r="AA2138" s="3">
        <v>1.00000004749745E-3</v>
      </c>
      <c r="AB2138" t="s">
        <v>59</v>
      </c>
      <c r="AC2138" t="s">
        <v>4562</v>
      </c>
      <c r="AD2138" t="s">
        <v>1073</v>
      </c>
      <c r="AE2138" t="s">
        <v>4655</v>
      </c>
      <c r="AF2138" t="s">
        <v>5201</v>
      </c>
      <c r="AG2138" t="s">
        <v>4564</v>
      </c>
      <c r="AH2138" t="s">
        <v>1350</v>
      </c>
      <c r="AI2138" t="s">
        <v>2351</v>
      </c>
      <c r="AJ2138" t="s">
        <v>4655</v>
      </c>
      <c r="AK2138" t="s">
        <v>13990</v>
      </c>
      <c r="AL2138" s="13" t="s">
        <v>1886</v>
      </c>
      <c r="AM2138">
        <v>1</v>
      </c>
      <c r="AN2138" s="15" t="s">
        <v>1553</v>
      </c>
    </row>
    <row r="2139" spans="1:40" x14ac:dyDescent="0.3">
      <c r="A2139" s="10" t="str">
        <f>HYPERLINK("http://www.washoecounty.gov/assessor/cama/?parid=027-500-15&amp;CardNumber=1","027-500-15")</f>
        <v>027-500-15</v>
      </c>
      <c r="B2139" t="s">
        <v>4655</v>
      </c>
      <c r="C2139" t="s">
        <v>13991</v>
      </c>
      <c r="D2139" s="1">
        <v>40359</v>
      </c>
      <c r="E2139" s="2">
        <v>80000</v>
      </c>
      <c r="F2139" t="s">
        <v>4567</v>
      </c>
      <c r="G2139" s="17" t="str">
        <f>HYPERLINK("https://www.washoecounty.gov/assessor/cama/?command=sales&amp;parid=02750015","3897316")</f>
        <v>3897316</v>
      </c>
      <c r="H2139" t="s">
        <v>557</v>
      </c>
      <c r="I2139">
        <v>1971</v>
      </c>
      <c r="J2139">
        <v>1971</v>
      </c>
      <c r="K2139" t="s">
        <v>4897</v>
      </c>
      <c r="L2139" t="s">
        <v>3974</v>
      </c>
      <c r="M2139" s="2">
        <v>1059</v>
      </c>
      <c r="N2139" t="s">
        <v>4048</v>
      </c>
      <c r="O2139">
        <v>2</v>
      </c>
      <c r="P2139">
        <v>1</v>
      </c>
      <c r="Q2139">
        <v>1</v>
      </c>
      <c r="R2139" t="s">
        <v>4557</v>
      </c>
      <c r="S2139" t="s">
        <v>4558</v>
      </c>
      <c r="T2139" t="s">
        <v>4559</v>
      </c>
      <c r="U2139" t="s">
        <v>5631</v>
      </c>
      <c r="V2139" s="2">
        <v>455</v>
      </c>
      <c r="W2139" t="s">
        <v>4655</v>
      </c>
      <c r="X2139" s="2">
        <v>0</v>
      </c>
      <c r="Y2139">
        <v>21</v>
      </c>
      <c r="Z2139" t="s">
        <v>5196</v>
      </c>
      <c r="AA2139" s="3">
        <v>1.00000004749745E-3</v>
      </c>
      <c r="AB2139" t="s">
        <v>13992</v>
      </c>
      <c r="AC2139" t="s">
        <v>4562</v>
      </c>
      <c r="AD2139" t="s">
        <v>13991</v>
      </c>
      <c r="AE2139" t="s">
        <v>4655</v>
      </c>
      <c r="AF2139" t="s">
        <v>5201</v>
      </c>
      <c r="AG2139" t="s">
        <v>4564</v>
      </c>
      <c r="AH2139" t="s">
        <v>5202</v>
      </c>
      <c r="AI2139" t="s">
        <v>13993</v>
      </c>
      <c r="AJ2139" t="s">
        <v>4655</v>
      </c>
      <c r="AK2139" t="s">
        <v>13994</v>
      </c>
      <c r="AL2139" s="13" t="s">
        <v>1886</v>
      </c>
      <c r="AM2139" s="14">
        <v>1</v>
      </c>
      <c r="AN2139" s="15" t="s">
        <v>1553</v>
      </c>
    </row>
    <row r="2140" spans="1:40" x14ac:dyDescent="0.3">
      <c r="A2140" s="10" t="str">
        <f>HYPERLINK("http://www.washoecounty.gov/assessor/cama/?parid=027-510-09&amp;CardNumber=1","027-510-09")</f>
        <v>027-510-09</v>
      </c>
      <c r="B2140" t="s">
        <v>4655</v>
      </c>
      <c r="C2140" t="s">
        <v>13995</v>
      </c>
      <c r="D2140" s="1">
        <v>40473</v>
      </c>
      <c r="E2140" s="2">
        <v>80000</v>
      </c>
      <c r="F2140" t="s">
        <v>4567</v>
      </c>
      <c r="G2140" s="17" t="str">
        <f>HYPERLINK("https://www.washoecounty.gov/assessor/cama/?command=sales&amp;parid=02751009","3935790")</f>
        <v>3935790</v>
      </c>
      <c r="H2140" t="s">
        <v>5301</v>
      </c>
      <c r="I2140">
        <v>1979</v>
      </c>
      <c r="J2140">
        <v>1979</v>
      </c>
      <c r="K2140" t="s">
        <v>4897</v>
      </c>
      <c r="L2140" t="s">
        <v>3974</v>
      </c>
      <c r="M2140" s="2">
        <v>1578</v>
      </c>
      <c r="N2140" t="s">
        <v>4048</v>
      </c>
      <c r="O2140">
        <v>3</v>
      </c>
      <c r="P2140">
        <v>2</v>
      </c>
      <c r="Q2140">
        <v>0</v>
      </c>
      <c r="R2140" t="s">
        <v>5281</v>
      </c>
      <c r="S2140" t="s">
        <v>4558</v>
      </c>
      <c r="T2140" t="s">
        <v>4559</v>
      </c>
      <c r="U2140" t="s">
        <v>4560</v>
      </c>
      <c r="V2140" s="2">
        <v>420</v>
      </c>
      <c r="W2140" t="s">
        <v>4655</v>
      </c>
      <c r="X2140" s="2">
        <v>0</v>
      </c>
      <c r="Y2140">
        <v>21</v>
      </c>
      <c r="Z2140" t="s">
        <v>4908</v>
      </c>
      <c r="AA2140" s="3">
        <v>4.4008266180753701E-2</v>
      </c>
      <c r="AB2140" t="s">
        <v>7401</v>
      </c>
      <c r="AC2140" t="s">
        <v>4562</v>
      </c>
      <c r="AD2140" t="s">
        <v>13996</v>
      </c>
      <c r="AE2140" t="s">
        <v>4655</v>
      </c>
      <c r="AF2140" t="s">
        <v>4563</v>
      </c>
      <c r="AG2140" t="s">
        <v>4564</v>
      </c>
      <c r="AH2140" t="s">
        <v>1147</v>
      </c>
      <c r="AI2140" t="s">
        <v>13997</v>
      </c>
      <c r="AJ2140" t="s">
        <v>4655</v>
      </c>
      <c r="AK2140" t="s">
        <v>13998</v>
      </c>
      <c r="AL2140" s="13" t="s">
        <v>3425</v>
      </c>
      <c r="AM2140" s="14">
        <v>1</v>
      </c>
      <c r="AN2140" s="15" t="s">
        <v>5548</v>
      </c>
    </row>
    <row r="2141" spans="1:40" x14ac:dyDescent="0.3">
      <c r="A2141" s="10" t="str">
        <f>HYPERLINK("http://www.washoecounty.gov/assessor/cama/?parid=027-510-15&amp;CardNumber=1","027-510-15")</f>
        <v>027-510-15</v>
      </c>
      <c r="B2141" t="s">
        <v>4655</v>
      </c>
      <c r="C2141" t="s">
        <v>13999</v>
      </c>
      <c r="D2141" s="1">
        <v>40505</v>
      </c>
      <c r="E2141" s="2">
        <v>65000</v>
      </c>
      <c r="F2141" t="s">
        <v>4553</v>
      </c>
      <c r="G2141" s="17" t="str">
        <f>HYPERLINK("https://www.washoecounty.gov/assessor/cama/?command=sales&amp;parid=02751015","3945813")</f>
        <v>3945813</v>
      </c>
      <c r="H2141" t="s">
        <v>14000</v>
      </c>
      <c r="I2141">
        <v>1979</v>
      </c>
      <c r="J2141">
        <v>1979</v>
      </c>
      <c r="K2141" t="s">
        <v>3144</v>
      </c>
      <c r="L2141" t="s">
        <v>3974</v>
      </c>
      <c r="M2141" s="2">
        <v>1272</v>
      </c>
      <c r="N2141" t="s">
        <v>4048</v>
      </c>
      <c r="O2141">
        <v>2</v>
      </c>
      <c r="P2141">
        <v>2</v>
      </c>
      <c r="Q2141">
        <v>0</v>
      </c>
      <c r="R2141" t="s">
        <v>5281</v>
      </c>
      <c r="S2141" t="s">
        <v>4558</v>
      </c>
      <c r="T2141" t="s">
        <v>4559</v>
      </c>
      <c r="U2141" t="s">
        <v>4560</v>
      </c>
      <c r="V2141" s="2">
        <v>460</v>
      </c>
      <c r="W2141" t="s">
        <v>4655</v>
      </c>
      <c r="X2141" s="2">
        <v>0</v>
      </c>
      <c r="Y2141">
        <v>21</v>
      </c>
      <c r="Z2141" t="s">
        <v>4908</v>
      </c>
      <c r="AA2141" s="3">
        <v>3.3999081701040303E-2</v>
      </c>
      <c r="AB2141" t="s">
        <v>14001</v>
      </c>
      <c r="AC2141" t="s">
        <v>4562</v>
      </c>
      <c r="AD2141" t="s">
        <v>13999</v>
      </c>
      <c r="AE2141" t="s">
        <v>4655</v>
      </c>
      <c r="AF2141" t="s">
        <v>4809</v>
      </c>
      <c r="AG2141" t="s">
        <v>4564</v>
      </c>
      <c r="AH2141" t="s">
        <v>5202</v>
      </c>
      <c r="AI2141" t="s">
        <v>4903</v>
      </c>
      <c r="AJ2141" t="s">
        <v>4655</v>
      </c>
      <c r="AK2141" t="s">
        <v>14002</v>
      </c>
      <c r="AL2141" s="13" t="s">
        <v>3425</v>
      </c>
      <c r="AM2141">
        <v>1</v>
      </c>
      <c r="AN2141" s="15" t="s">
        <v>5548</v>
      </c>
    </row>
    <row r="2142" spans="1:40" x14ac:dyDescent="0.3">
      <c r="A2142" s="10" t="str">
        <f>HYPERLINK("http://www.washoecounty.gov/assessor/cama/?parid=027-510-42&amp;CardNumber=1","027-510-42")</f>
        <v>027-510-42</v>
      </c>
      <c r="B2142" t="s">
        <v>4655</v>
      </c>
      <c r="C2142" t="s">
        <v>14003</v>
      </c>
      <c r="D2142" s="1">
        <v>40464</v>
      </c>
      <c r="E2142" s="2">
        <v>54000</v>
      </c>
      <c r="F2142" t="s">
        <v>4553</v>
      </c>
      <c r="G2142" s="17" t="str">
        <f>HYPERLINK("https://www.washoecounty.gov/assessor/cama/?command=sales&amp;parid=02751042","3932341")</f>
        <v>3932341</v>
      </c>
      <c r="H2142" t="s">
        <v>5547</v>
      </c>
      <c r="I2142">
        <v>1979</v>
      </c>
      <c r="J2142">
        <v>1979</v>
      </c>
      <c r="K2142" t="s">
        <v>3144</v>
      </c>
      <c r="L2142" t="s">
        <v>3974</v>
      </c>
      <c r="M2142" s="2">
        <v>1272</v>
      </c>
      <c r="N2142" t="s">
        <v>4048</v>
      </c>
      <c r="O2142">
        <v>2</v>
      </c>
      <c r="P2142">
        <v>2</v>
      </c>
      <c r="Q2142">
        <v>0</v>
      </c>
      <c r="R2142" t="s">
        <v>5281</v>
      </c>
      <c r="S2142" t="s">
        <v>4558</v>
      </c>
      <c r="T2142" t="s">
        <v>4559</v>
      </c>
      <c r="U2142" t="s">
        <v>4560</v>
      </c>
      <c r="V2142" s="2">
        <v>460</v>
      </c>
      <c r="W2142" t="s">
        <v>4655</v>
      </c>
      <c r="X2142" s="2">
        <v>0</v>
      </c>
      <c r="Y2142">
        <v>21</v>
      </c>
      <c r="Z2142" t="s">
        <v>4908</v>
      </c>
      <c r="AA2142" s="3">
        <v>1.00000004749745E-3</v>
      </c>
      <c r="AB2142" t="s">
        <v>14004</v>
      </c>
      <c r="AC2142" t="s">
        <v>4575</v>
      </c>
      <c r="AD2142" t="s">
        <v>14005</v>
      </c>
      <c r="AE2142" t="s">
        <v>4655</v>
      </c>
      <c r="AF2142" t="s">
        <v>4809</v>
      </c>
      <c r="AG2142" t="s">
        <v>4564</v>
      </c>
      <c r="AH2142" t="s">
        <v>5202</v>
      </c>
      <c r="AI2142" t="s">
        <v>4655</v>
      </c>
      <c r="AJ2142" t="s">
        <v>4655</v>
      </c>
      <c r="AK2142" t="s">
        <v>14006</v>
      </c>
      <c r="AL2142" s="13" t="s">
        <v>3425</v>
      </c>
      <c r="AM2142">
        <v>1</v>
      </c>
      <c r="AN2142" s="15" t="s">
        <v>5548</v>
      </c>
    </row>
    <row r="2143" spans="1:40" x14ac:dyDescent="0.3">
      <c r="A2143" s="10" t="str">
        <f>HYPERLINK("http://www.washoecounty.gov/assessor/cama/?parid=028-022-10&amp;CardNumber=1","028-022-10")</f>
        <v>028-022-10</v>
      </c>
      <c r="B2143" t="s">
        <v>4655</v>
      </c>
      <c r="C2143" t="s">
        <v>14007</v>
      </c>
      <c r="D2143" s="1">
        <v>40332</v>
      </c>
      <c r="E2143" s="2">
        <v>95450</v>
      </c>
      <c r="F2143" t="s">
        <v>4567</v>
      </c>
      <c r="G2143" s="17" t="str">
        <f>HYPERLINK("https://www.washoecounty.gov/assessor/cama/?command=sales&amp;parid=02802210","3888215")</f>
        <v>3888215</v>
      </c>
      <c r="H2143" t="s">
        <v>558</v>
      </c>
      <c r="I2143">
        <v>1965</v>
      </c>
      <c r="J2143">
        <v>1965</v>
      </c>
      <c r="K2143" t="s">
        <v>4554</v>
      </c>
      <c r="L2143" t="s">
        <v>4555</v>
      </c>
      <c r="M2143" s="2">
        <v>1180</v>
      </c>
      <c r="N2143" t="s">
        <v>4556</v>
      </c>
      <c r="O2143">
        <v>3</v>
      </c>
      <c r="P2143">
        <v>2</v>
      </c>
      <c r="Q2143">
        <v>0</v>
      </c>
      <c r="R2143" t="s">
        <v>4557</v>
      </c>
      <c r="S2143" t="s">
        <v>4558</v>
      </c>
      <c r="T2143" t="s">
        <v>4559</v>
      </c>
      <c r="U2143" t="s">
        <v>4560</v>
      </c>
      <c r="V2143" s="2">
        <v>462</v>
      </c>
      <c r="W2143" t="s">
        <v>4655</v>
      </c>
      <c r="X2143" s="2">
        <v>0</v>
      </c>
      <c r="Y2143">
        <v>20</v>
      </c>
      <c r="Z2143" t="s">
        <v>5200</v>
      </c>
      <c r="AA2143" s="3">
        <v>0.13799357414245605</v>
      </c>
      <c r="AB2143" t="s">
        <v>14008</v>
      </c>
      <c r="AC2143" t="s">
        <v>4562</v>
      </c>
      <c r="AD2143" t="s">
        <v>14009</v>
      </c>
      <c r="AE2143" t="s">
        <v>4655</v>
      </c>
      <c r="AF2143" t="s">
        <v>4563</v>
      </c>
      <c r="AG2143" t="s">
        <v>4564</v>
      </c>
      <c r="AH2143" t="s">
        <v>5197</v>
      </c>
      <c r="AI2143" t="s">
        <v>14010</v>
      </c>
      <c r="AJ2143" t="s">
        <v>4655</v>
      </c>
      <c r="AK2143" t="s">
        <v>14011</v>
      </c>
      <c r="AL2143" s="13" t="s">
        <v>1886</v>
      </c>
      <c r="AM2143" s="14">
        <v>1</v>
      </c>
      <c r="AN2143" s="15" t="s">
        <v>1445</v>
      </c>
    </row>
    <row r="2144" spans="1:40" x14ac:dyDescent="0.3">
      <c r="A2144" s="10" t="str">
        <f>HYPERLINK("http://www.washoecounty.gov/assessor/cama/?parid=028-032-02&amp;CardNumber=1","028-032-02")</f>
        <v>028-032-02</v>
      </c>
      <c r="B2144" t="s">
        <v>4655</v>
      </c>
      <c r="C2144" t="s">
        <v>14012</v>
      </c>
      <c r="D2144" s="1">
        <v>40466</v>
      </c>
      <c r="E2144" s="2">
        <v>95000</v>
      </c>
      <c r="F2144" t="s">
        <v>4567</v>
      </c>
      <c r="G2144" s="17" t="str">
        <f>HYPERLINK("https://www.washoecounty.gov/assessor/cama/?command=sales&amp;parid=02803202","3933799")</f>
        <v>3933799</v>
      </c>
      <c r="H2144" t="s">
        <v>812</v>
      </c>
      <c r="I2144">
        <v>1966</v>
      </c>
      <c r="J2144">
        <v>1966</v>
      </c>
      <c r="K2144" t="s">
        <v>4554</v>
      </c>
      <c r="L2144" t="s">
        <v>4555</v>
      </c>
      <c r="M2144" s="2">
        <v>1180</v>
      </c>
      <c r="N2144" t="s">
        <v>4556</v>
      </c>
      <c r="O2144">
        <v>3</v>
      </c>
      <c r="P2144">
        <v>2</v>
      </c>
      <c r="Q2144">
        <v>0</v>
      </c>
      <c r="R2144" t="s">
        <v>4557</v>
      </c>
      <c r="S2144" t="s">
        <v>4558</v>
      </c>
      <c r="T2144" t="s">
        <v>4559</v>
      </c>
      <c r="U2144" t="s">
        <v>4560</v>
      </c>
      <c r="V2144" s="2">
        <v>462</v>
      </c>
      <c r="W2144" t="s">
        <v>4655</v>
      </c>
      <c r="X2144" s="2">
        <v>0</v>
      </c>
      <c r="Y2144">
        <v>20</v>
      </c>
      <c r="Z2144" t="s">
        <v>5200</v>
      </c>
      <c r="AA2144" s="3">
        <v>0.192011013627052</v>
      </c>
      <c r="AB2144" t="s">
        <v>14013</v>
      </c>
      <c r="AC2144" t="s">
        <v>4562</v>
      </c>
      <c r="AD2144" t="s">
        <v>14012</v>
      </c>
      <c r="AE2144" t="s">
        <v>4655</v>
      </c>
      <c r="AF2144" t="s">
        <v>4809</v>
      </c>
      <c r="AG2144" t="s">
        <v>4564</v>
      </c>
      <c r="AH2144" t="s">
        <v>5202</v>
      </c>
      <c r="AI2144" t="s">
        <v>14014</v>
      </c>
      <c r="AJ2144" t="s">
        <v>4655</v>
      </c>
      <c r="AK2144" t="s">
        <v>14015</v>
      </c>
      <c r="AL2144" s="13" t="s">
        <v>1886</v>
      </c>
      <c r="AM2144">
        <v>1</v>
      </c>
      <c r="AN2144" s="15" t="s">
        <v>1445</v>
      </c>
    </row>
    <row r="2145" spans="1:40" x14ac:dyDescent="0.3">
      <c r="A2145" s="10" t="str">
        <f>HYPERLINK("http://www.washoecounty.gov/assessor/cama/?parid=028-042-07&amp;CardNumber=1","028-042-07")</f>
        <v>028-042-07</v>
      </c>
      <c r="B2145" t="s">
        <v>4655</v>
      </c>
      <c r="C2145" t="s">
        <v>14016</v>
      </c>
      <c r="D2145" s="1">
        <v>40198</v>
      </c>
      <c r="E2145" s="2">
        <v>162500</v>
      </c>
      <c r="F2145" t="s">
        <v>4553</v>
      </c>
      <c r="G2145" s="17" t="str">
        <f>HYPERLINK("https://www.washoecounty.gov/assessor/cama/?command=sales&amp;parid=02804207","3841054")</f>
        <v>3841054</v>
      </c>
      <c r="H2145" t="s">
        <v>14017</v>
      </c>
      <c r="I2145">
        <v>1978</v>
      </c>
      <c r="J2145">
        <v>1978</v>
      </c>
      <c r="K2145" t="s">
        <v>4554</v>
      </c>
      <c r="L2145" t="s">
        <v>3974</v>
      </c>
      <c r="M2145" s="2">
        <v>1964</v>
      </c>
      <c r="N2145" t="s">
        <v>4556</v>
      </c>
      <c r="O2145">
        <v>4</v>
      </c>
      <c r="P2145">
        <v>2</v>
      </c>
      <c r="Q2145">
        <v>0</v>
      </c>
      <c r="R2145" t="s">
        <v>4557</v>
      </c>
      <c r="S2145" t="s">
        <v>4558</v>
      </c>
      <c r="T2145" t="s">
        <v>4559</v>
      </c>
      <c r="U2145" t="s">
        <v>5631</v>
      </c>
      <c r="V2145" s="2">
        <v>588</v>
      </c>
      <c r="W2145" t="s">
        <v>4655</v>
      </c>
      <c r="X2145" s="2">
        <v>0</v>
      </c>
      <c r="Y2145">
        <v>20</v>
      </c>
      <c r="Z2145" t="s">
        <v>5200</v>
      </c>
      <c r="AA2145" s="3">
        <v>0.18099173903465299</v>
      </c>
      <c r="AB2145" t="s">
        <v>14018</v>
      </c>
      <c r="AC2145" t="s">
        <v>4562</v>
      </c>
      <c r="AD2145" t="s">
        <v>14019</v>
      </c>
      <c r="AE2145" t="s">
        <v>4655</v>
      </c>
      <c r="AF2145" t="s">
        <v>5201</v>
      </c>
      <c r="AG2145" t="s">
        <v>4564</v>
      </c>
      <c r="AH2145" t="s">
        <v>1605</v>
      </c>
      <c r="AI2145" t="s">
        <v>14020</v>
      </c>
      <c r="AJ2145" t="s">
        <v>4655</v>
      </c>
      <c r="AK2145" t="s">
        <v>14021</v>
      </c>
      <c r="AL2145" s="13" t="s">
        <v>1886</v>
      </c>
      <c r="AM2145">
        <v>1</v>
      </c>
      <c r="AN2145" s="15" t="s">
        <v>1445</v>
      </c>
    </row>
    <row r="2146" spans="1:40" x14ac:dyDescent="0.3">
      <c r="A2146" s="10" t="str">
        <f>HYPERLINK("http://www.washoecounty.gov/assessor/cama/?parid=028-043-11&amp;CardNumber=1","028-043-11")</f>
        <v>028-043-11</v>
      </c>
      <c r="B2146" t="s">
        <v>4655</v>
      </c>
      <c r="C2146" t="s">
        <v>14022</v>
      </c>
      <c r="D2146" s="1">
        <v>40340</v>
      </c>
      <c r="E2146" s="2">
        <v>200000</v>
      </c>
      <c r="F2146" t="s">
        <v>4567</v>
      </c>
      <c r="G2146" s="17" t="str">
        <f>HYPERLINK("https://www.washoecounty.gov/assessor/cama/?command=sales&amp;parid=02804311","3891006")</f>
        <v>3891006</v>
      </c>
      <c r="H2146" t="s">
        <v>4233</v>
      </c>
      <c r="I2146">
        <v>1978</v>
      </c>
      <c r="J2146">
        <v>1978</v>
      </c>
      <c r="K2146" t="s">
        <v>4554</v>
      </c>
      <c r="L2146" t="s">
        <v>4555</v>
      </c>
      <c r="M2146" s="2">
        <v>1683</v>
      </c>
      <c r="N2146" t="s">
        <v>4048</v>
      </c>
      <c r="O2146">
        <v>3</v>
      </c>
      <c r="P2146">
        <v>2</v>
      </c>
      <c r="Q2146">
        <v>0</v>
      </c>
      <c r="R2146" t="s">
        <v>4557</v>
      </c>
      <c r="S2146" t="s">
        <v>4558</v>
      </c>
      <c r="T2146" t="s">
        <v>4559</v>
      </c>
      <c r="U2146" t="s">
        <v>4560</v>
      </c>
      <c r="V2146" s="2">
        <v>528</v>
      </c>
      <c r="W2146" t="s">
        <v>4655</v>
      </c>
      <c r="X2146" s="2">
        <v>0</v>
      </c>
      <c r="Y2146">
        <v>20</v>
      </c>
      <c r="Z2146" t="s">
        <v>5200</v>
      </c>
      <c r="AA2146" s="3">
        <v>0.16499081254005399</v>
      </c>
      <c r="AB2146" t="s">
        <v>14023</v>
      </c>
      <c r="AC2146" t="s">
        <v>4562</v>
      </c>
      <c r="AD2146" t="s">
        <v>14024</v>
      </c>
      <c r="AE2146" t="s">
        <v>4655</v>
      </c>
      <c r="AF2146" t="s">
        <v>4563</v>
      </c>
      <c r="AG2146" t="s">
        <v>4564</v>
      </c>
      <c r="AH2146" t="s">
        <v>3821</v>
      </c>
      <c r="AI2146" t="s">
        <v>14025</v>
      </c>
      <c r="AJ2146" t="s">
        <v>4655</v>
      </c>
      <c r="AK2146" t="s">
        <v>14026</v>
      </c>
      <c r="AL2146" s="13" t="s">
        <v>1886</v>
      </c>
      <c r="AM2146" s="14">
        <v>1</v>
      </c>
      <c r="AN2146" s="15" t="s">
        <v>1445</v>
      </c>
    </row>
    <row r="2147" spans="1:40" x14ac:dyDescent="0.3">
      <c r="A2147" s="10" t="str">
        <f>HYPERLINK("http://www.washoecounty.gov/assessor/cama/?parid=028-043-14&amp;CardNumber=1","028-043-14")</f>
        <v>028-043-14</v>
      </c>
      <c r="B2147" t="s">
        <v>4655</v>
      </c>
      <c r="C2147" t="s">
        <v>14027</v>
      </c>
      <c r="D2147" s="1">
        <v>40323</v>
      </c>
      <c r="E2147" s="2">
        <v>157000</v>
      </c>
      <c r="F2147" t="s">
        <v>4553</v>
      </c>
      <c r="G2147" s="17" t="str">
        <f>HYPERLINK("https://www.washoecounty.gov/assessor/cama/?command=sales&amp;parid=02804314","3884816")</f>
        <v>3884816</v>
      </c>
      <c r="H2147" t="s">
        <v>4233</v>
      </c>
      <c r="I2147">
        <v>1978</v>
      </c>
      <c r="J2147">
        <v>1978</v>
      </c>
      <c r="K2147" t="s">
        <v>4554</v>
      </c>
      <c r="L2147" t="s">
        <v>4555</v>
      </c>
      <c r="M2147" s="2">
        <v>1707</v>
      </c>
      <c r="N2147" t="s">
        <v>4048</v>
      </c>
      <c r="O2147">
        <v>3</v>
      </c>
      <c r="P2147">
        <v>2</v>
      </c>
      <c r="Q2147">
        <v>0</v>
      </c>
      <c r="R2147" t="s">
        <v>4557</v>
      </c>
      <c r="S2147" t="s">
        <v>4558</v>
      </c>
      <c r="T2147" t="s">
        <v>4559</v>
      </c>
      <c r="U2147" t="s">
        <v>4560</v>
      </c>
      <c r="V2147" s="2">
        <v>483</v>
      </c>
      <c r="W2147" t="s">
        <v>4655</v>
      </c>
      <c r="X2147" s="2">
        <v>0</v>
      </c>
      <c r="Y2147">
        <v>20</v>
      </c>
      <c r="Z2147" t="s">
        <v>5200</v>
      </c>
      <c r="AA2147" s="3">
        <v>0.14898990094661699</v>
      </c>
      <c r="AB2147" t="s">
        <v>14028</v>
      </c>
      <c r="AC2147" t="s">
        <v>4562</v>
      </c>
      <c r="AD2147" t="s">
        <v>14029</v>
      </c>
      <c r="AE2147" t="s">
        <v>4655</v>
      </c>
      <c r="AF2147" t="s">
        <v>4809</v>
      </c>
      <c r="AG2147" t="s">
        <v>4564</v>
      </c>
      <c r="AH2147" t="s">
        <v>5202</v>
      </c>
      <c r="AI2147" t="s">
        <v>6198</v>
      </c>
      <c r="AJ2147" t="s">
        <v>4655</v>
      </c>
      <c r="AK2147" t="s">
        <v>14030</v>
      </c>
      <c r="AL2147" s="13" t="s">
        <v>1886</v>
      </c>
      <c r="AM2147" s="14">
        <v>1</v>
      </c>
      <c r="AN2147" s="15" t="s">
        <v>1445</v>
      </c>
    </row>
    <row r="2148" spans="1:40" x14ac:dyDescent="0.3">
      <c r="A2148" s="10" t="str">
        <f>HYPERLINK("http://www.washoecounty.gov/assessor/cama/?parid=028-043-16&amp;CardNumber=1","028-043-16")</f>
        <v>028-043-16</v>
      </c>
      <c r="B2148" t="s">
        <v>4655</v>
      </c>
      <c r="C2148" t="s">
        <v>14031</v>
      </c>
      <c r="D2148" s="1">
        <v>40528</v>
      </c>
      <c r="E2148" s="2">
        <v>114500</v>
      </c>
      <c r="F2148" t="s">
        <v>4567</v>
      </c>
      <c r="G2148" s="17" t="str">
        <f>HYPERLINK("https://www.washoecounty.gov/assessor/cama/?command=sales&amp;parid=02804316","3954547")</f>
        <v>3954547</v>
      </c>
      <c r="H2148" t="s">
        <v>14017</v>
      </c>
      <c r="I2148">
        <v>1978</v>
      </c>
      <c r="J2148">
        <v>1978</v>
      </c>
      <c r="K2148" t="s">
        <v>4554</v>
      </c>
      <c r="L2148" t="s">
        <v>4555</v>
      </c>
      <c r="M2148" s="2">
        <v>1336</v>
      </c>
      <c r="N2148" t="s">
        <v>4048</v>
      </c>
      <c r="O2148">
        <v>3</v>
      </c>
      <c r="P2148">
        <v>2</v>
      </c>
      <c r="Q2148">
        <v>0</v>
      </c>
      <c r="R2148" t="s">
        <v>4557</v>
      </c>
      <c r="S2148" t="s">
        <v>4558</v>
      </c>
      <c r="T2148" t="s">
        <v>4559</v>
      </c>
      <c r="U2148" t="s">
        <v>4560</v>
      </c>
      <c r="V2148" s="2">
        <v>483</v>
      </c>
      <c r="W2148" t="s">
        <v>4655</v>
      </c>
      <c r="X2148" s="2">
        <v>0</v>
      </c>
      <c r="Y2148">
        <v>20</v>
      </c>
      <c r="Z2148" t="s">
        <v>5200</v>
      </c>
      <c r="AA2148" s="3">
        <v>0.14898990094661699</v>
      </c>
      <c r="AB2148" t="s">
        <v>4963</v>
      </c>
      <c r="AC2148" t="s">
        <v>4575</v>
      </c>
      <c r="AD2148" t="s">
        <v>4964</v>
      </c>
      <c r="AE2148" t="s">
        <v>4655</v>
      </c>
      <c r="AF2148" t="s">
        <v>4965</v>
      </c>
      <c r="AG2148" t="s">
        <v>4564</v>
      </c>
      <c r="AH2148">
        <v>89408</v>
      </c>
      <c r="AI2148" t="s">
        <v>14032</v>
      </c>
      <c r="AJ2148" t="s">
        <v>4655</v>
      </c>
      <c r="AK2148" t="s">
        <v>14033</v>
      </c>
      <c r="AL2148" s="13" t="s">
        <v>1886</v>
      </c>
      <c r="AM2148" s="14">
        <v>1</v>
      </c>
      <c r="AN2148" s="15" t="s">
        <v>1445</v>
      </c>
    </row>
    <row r="2149" spans="1:40" x14ac:dyDescent="0.3">
      <c r="A2149" s="10" t="str">
        <f>HYPERLINK("http://www.washoecounty.gov/assessor/cama/?parid=028-043-18&amp;CardNumber=1","028-043-18")</f>
        <v>028-043-18</v>
      </c>
      <c r="B2149" t="s">
        <v>4655</v>
      </c>
      <c r="C2149" t="s">
        <v>14034</v>
      </c>
      <c r="D2149" s="1">
        <v>40359</v>
      </c>
      <c r="E2149" s="2">
        <v>182000</v>
      </c>
      <c r="F2149" t="s">
        <v>4567</v>
      </c>
      <c r="G2149" s="17" t="str">
        <f>HYPERLINK("https://www.washoecounty.gov/assessor/cama/?command=sales&amp;parid=02804318","3897331")</f>
        <v>3897331</v>
      </c>
      <c r="H2149" t="s">
        <v>4233</v>
      </c>
      <c r="I2149">
        <v>1978</v>
      </c>
      <c r="J2149">
        <v>1978</v>
      </c>
      <c r="K2149" t="s">
        <v>4554</v>
      </c>
      <c r="L2149" t="s">
        <v>4555</v>
      </c>
      <c r="M2149" s="2">
        <v>1842</v>
      </c>
      <c r="N2149" t="s">
        <v>4048</v>
      </c>
      <c r="O2149">
        <v>4</v>
      </c>
      <c r="P2149">
        <v>2</v>
      </c>
      <c r="Q2149">
        <v>0</v>
      </c>
      <c r="R2149" t="s">
        <v>5281</v>
      </c>
      <c r="S2149" t="s">
        <v>4558</v>
      </c>
      <c r="T2149" t="s">
        <v>4559</v>
      </c>
      <c r="U2149" t="s">
        <v>4560</v>
      </c>
      <c r="V2149" s="2">
        <v>513</v>
      </c>
      <c r="W2149" t="s">
        <v>4655</v>
      </c>
      <c r="X2149" s="2">
        <v>0</v>
      </c>
      <c r="Y2149">
        <v>20</v>
      </c>
      <c r="Z2149" t="s">
        <v>5200</v>
      </c>
      <c r="AA2149" s="3">
        <v>0.20300734043121299</v>
      </c>
      <c r="AB2149" t="s">
        <v>14035</v>
      </c>
      <c r="AC2149" t="s">
        <v>4575</v>
      </c>
      <c r="AD2149" t="s">
        <v>14034</v>
      </c>
      <c r="AE2149" t="s">
        <v>4655</v>
      </c>
      <c r="AF2149" t="s">
        <v>5201</v>
      </c>
      <c r="AG2149" t="s">
        <v>4564</v>
      </c>
      <c r="AH2149" t="s">
        <v>5202</v>
      </c>
      <c r="AI2149" t="s">
        <v>14036</v>
      </c>
      <c r="AJ2149" t="s">
        <v>4655</v>
      </c>
      <c r="AK2149" t="s">
        <v>14037</v>
      </c>
      <c r="AL2149" s="13" t="s">
        <v>1886</v>
      </c>
      <c r="AM2149" s="14">
        <v>1</v>
      </c>
      <c r="AN2149" s="15" t="s">
        <v>1445</v>
      </c>
    </row>
    <row r="2150" spans="1:40" x14ac:dyDescent="0.3">
      <c r="A2150" s="10" t="str">
        <f>HYPERLINK("http://www.washoecounty.gov/assessor/cama/?parid=028-043-21&amp;CardNumber=1","028-043-21")</f>
        <v>028-043-21</v>
      </c>
      <c r="B2150" t="s">
        <v>4655</v>
      </c>
      <c r="C2150" t="s">
        <v>14038</v>
      </c>
      <c r="D2150" s="1">
        <v>40277</v>
      </c>
      <c r="E2150" s="2">
        <v>145000</v>
      </c>
      <c r="F2150" t="s">
        <v>4553</v>
      </c>
      <c r="G2150" s="17" t="str">
        <f>HYPERLINK("https://www.washoecounty.gov/assessor/cama/?command=sales&amp;parid=02804321","3869358")</f>
        <v>3869358</v>
      </c>
      <c r="H2150" t="s">
        <v>4233</v>
      </c>
      <c r="I2150">
        <v>1978</v>
      </c>
      <c r="J2150">
        <v>1978</v>
      </c>
      <c r="K2150" t="s">
        <v>4554</v>
      </c>
      <c r="L2150" t="s">
        <v>4555</v>
      </c>
      <c r="M2150" s="2">
        <v>1683</v>
      </c>
      <c r="N2150" t="s">
        <v>4048</v>
      </c>
      <c r="O2150">
        <v>3</v>
      </c>
      <c r="P2150">
        <v>2</v>
      </c>
      <c r="Q2150">
        <v>0</v>
      </c>
      <c r="R2150" t="s">
        <v>4557</v>
      </c>
      <c r="S2150" t="s">
        <v>4558</v>
      </c>
      <c r="T2150" t="s">
        <v>4559</v>
      </c>
      <c r="U2150" t="s">
        <v>4560</v>
      </c>
      <c r="V2150" s="2">
        <v>528</v>
      </c>
      <c r="W2150" t="s">
        <v>4655</v>
      </c>
      <c r="X2150" s="2">
        <v>0</v>
      </c>
      <c r="Y2150">
        <v>20</v>
      </c>
      <c r="Z2150" t="s">
        <v>5200</v>
      </c>
      <c r="AA2150" s="3">
        <v>0.24201102554798101</v>
      </c>
      <c r="AB2150" t="s">
        <v>14039</v>
      </c>
      <c r="AC2150" t="s">
        <v>4575</v>
      </c>
      <c r="AD2150" t="s">
        <v>14038</v>
      </c>
      <c r="AE2150" t="s">
        <v>4655</v>
      </c>
      <c r="AF2150" t="s">
        <v>5201</v>
      </c>
      <c r="AG2150" t="s">
        <v>4564</v>
      </c>
      <c r="AH2150" t="s">
        <v>5202</v>
      </c>
      <c r="AI2150" t="s">
        <v>4585</v>
      </c>
      <c r="AJ2150" t="s">
        <v>4655</v>
      </c>
      <c r="AK2150" t="s">
        <v>14040</v>
      </c>
      <c r="AL2150" s="13" t="s">
        <v>1886</v>
      </c>
      <c r="AM2150">
        <v>1</v>
      </c>
      <c r="AN2150" s="15" t="s">
        <v>1445</v>
      </c>
    </row>
    <row r="2151" spans="1:40" x14ac:dyDescent="0.3">
      <c r="A2151" s="10" t="str">
        <f>HYPERLINK("http://www.washoecounty.gov/assessor/cama/?parid=028-044-06&amp;CardNumber=1","028-044-06")</f>
        <v>028-044-06</v>
      </c>
      <c r="B2151" t="s">
        <v>4655</v>
      </c>
      <c r="C2151" t="s">
        <v>14041</v>
      </c>
      <c r="D2151" s="1">
        <v>40451</v>
      </c>
      <c r="E2151" s="2">
        <v>139000</v>
      </c>
      <c r="F2151" t="s">
        <v>4567</v>
      </c>
      <c r="G2151" s="17" t="str">
        <f>HYPERLINK("https://www.washoecounty.gov/assessor/cama/?command=sales&amp;parid=02804406","3928480")</f>
        <v>3928480</v>
      </c>
      <c r="H2151" t="s">
        <v>2982</v>
      </c>
      <c r="I2151">
        <v>1978</v>
      </c>
      <c r="J2151">
        <v>1978</v>
      </c>
      <c r="K2151" t="s">
        <v>4554</v>
      </c>
      <c r="L2151" t="s">
        <v>4555</v>
      </c>
      <c r="M2151" s="2">
        <v>1707</v>
      </c>
      <c r="N2151" t="s">
        <v>4048</v>
      </c>
      <c r="O2151">
        <v>3</v>
      </c>
      <c r="P2151">
        <v>2</v>
      </c>
      <c r="Q2151">
        <v>0</v>
      </c>
      <c r="R2151" t="s">
        <v>4557</v>
      </c>
      <c r="S2151" t="s">
        <v>4558</v>
      </c>
      <c r="T2151" t="s">
        <v>4559</v>
      </c>
      <c r="U2151" t="s">
        <v>4560</v>
      </c>
      <c r="V2151" s="2">
        <v>483</v>
      </c>
      <c r="W2151" t="s">
        <v>4655</v>
      </c>
      <c r="X2151" s="2">
        <v>0</v>
      </c>
      <c r="Y2151">
        <v>20</v>
      </c>
      <c r="Z2151" t="s">
        <v>5200</v>
      </c>
      <c r="AA2151" s="3">
        <v>0.14600551128387501</v>
      </c>
      <c r="AB2151" t="s">
        <v>14042</v>
      </c>
      <c r="AC2151" t="s">
        <v>4562</v>
      </c>
      <c r="AD2151" t="s">
        <v>14043</v>
      </c>
      <c r="AE2151" t="s">
        <v>4655</v>
      </c>
      <c r="AF2151" t="s">
        <v>4809</v>
      </c>
      <c r="AG2151" t="s">
        <v>4564</v>
      </c>
      <c r="AH2151" t="s">
        <v>5202</v>
      </c>
      <c r="AI2151" t="s">
        <v>14044</v>
      </c>
      <c r="AJ2151" t="s">
        <v>4655</v>
      </c>
      <c r="AK2151" t="s">
        <v>14045</v>
      </c>
      <c r="AL2151" s="13" t="s">
        <v>1886</v>
      </c>
      <c r="AM2151" s="14">
        <v>1</v>
      </c>
      <c r="AN2151" s="15" t="s">
        <v>1445</v>
      </c>
    </row>
    <row r="2152" spans="1:40" x14ac:dyDescent="0.3">
      <c r="A2152" s="10" t="str">
        <f>HYPERLINK("http://www.washoecounty.gov/assessor/cama/?parid=028-044-09&amp;CardNumber=1","028-044-09")</f>
        <v>028-044-09</v>
      </c>
      <c r="B2152" t="s">
        <v>4655</v>
      </c>
      <c r="C2152" t="s">
        <v>14046</v>
      </c>
      <c r="D2152" s="1">
        <v>40389</v>
      </c>
      <c r="E2152" s="2">
        <v>155000</v>
      </c>
      <c r="F2152" t="s">
        <v>4567</v>
      </c>
      <c r="G2152" s="17" t="str">
        <f>HYPERLINK("https://www.washoecounty.gov/assessor/cama/?command=sales&amp;parid=02804409","3907351")</f>
        <v>3907351</v>
      </c>
      <c r="H2152" t="s">
        <v>4233</v>
      </c>
      <c r="I2152">
        <v>1978</v>
      </c>
      <c r="J2152">
        <v>1978</v>
      </c>
      <c r="K2152" t="s">
        <v>4554</v>
      </c>
      <c r="L2152" t="s">
        <v>4555</v>
      </c>
      <c r="M2152" s="2">
        <v>1683</v>
      </c>
      <c r="N2152" t="s">
        <v>4048</v>
      </c>
      <c r="O2152">
        <v>3</v>
      </c>
      <c r="P2152">
        <v>2</v>
      </c>
      <c r="Q2152">
        <v>0</v>
      </c>
      <c r="R2152" t="s">
        <v>4557</v>
      </c>
      <c r="S2152" t="s">
        <v>4558</v>
      </c>
      <c r="T2152" t="s">
        <v>4559</v>
      </c>
      <c r="U2152" t="s">
        <v>4560</v>
      </c>
      <c r="V2152" s="2">
        <v>528</v>
      </c>
      <c r="W2152" t="s">
        <v>4655</v>
      </c>
      <c r="X2152" s="2">
        <v>0</v>
      </c>
      <c r="Y2152">
        <v>20</v>
      </c>
      <c r="Z2152" t="s">
        <v>5200</v>
      </c>
      <c r="AA2152" s="3">
        <v>0.20300734043121299</v>
      </c>
      <c r="AB2152" t="s">
        <v>14047</v>
      </c>
      <c r="AC2152" t="s">
        <v>4562</v>
      </c>
      <c r="AD2152" t="s">
        <v>14046</v>
      </c>
      <c r="AE2152" t="s">
        <v>4655</v>
      </c>
      <c r="AF2152" t="s">
        <v>5201</v>
      </c>
      <c r="AG2152" t="s">
        <v>4564</v>
      </c>
      <c r="AH2152" t="s">
        <v>5202</v>
      </c>
      <c r="AI2152" t="s">
        <v>14048</v>
      </c>
      <c r="AJ2152" t="s">
        <v>4655</v>
      </c>
      <c r="AK2152" t="s">
        <v>14049</v>
      </c>
      <c r="AL2152" s="13" t="s">
        <v>1886</v>
      </c>
      <c r="AM2152">
        <v>1</v>
      </c>
      <c r="AN2152" s="15" t="s">
        <v>1445</v>
      </c>
    </row>
    <row r="2153" spans="1:40" x14ac:dyDescent="0.3">
      <c r="A2153" s="10" t="str">
        <f>HYPERLINK("http://www.washoecounty.gov/assessor/cama/?parid=028-044-11&amp;CardNumber=1","028-044-11")</f>
        <v>028-044-11</v>
      </c>
      <c r="B2153" t="s">
        <v>4655</v>
      </c>
      <c r="C2153" t="s">
        <v>14050</v>
      </c>
      <c r="D2153" s="1">
        <v>40522</v>
      </c>
      <c r="E2153" s="2">
        <v>120000</v>
      </c>
      <c r="F2153" t="s">
        <v>4567</v>
      </c>
      <c r="G2153" s="17" t="str">
        <f>HYPERLINK("https://www.washoecounty.gov/assessor/cama/?command=sales&amp;parid=02804411","3952214")</f>
        <v>3952214</v>
      </c>
      <c r="H2153" t="s">
        <v>4233</v>
      </c>
      <c r="I2153">
        <v>1978</v>
      </c>
      <c r="J2153">
        <v>1978</v>
      </c>
      <c r="K2153" t="s">
        <v>4554</v>
      </c>
      <c r="L2153" t="s">
        <v>4555</v>
      </c>
      <c r="M2153" s="2">
        <v>1683</v>
      </c>
      <c r="N2153" t="s">
        <v>4048</v>
      </c>
      <c r="O2153">
        <v>3</v>
      </c>
      <c r="P2153">
        <v>2</v>
      </c>
      <c r="Q2153">
        <v>0</v>
      </c>
      <c r="R2153" t="s">
        <v>4557</v>
      </c>
      <c r="S2153" t="s">
        <v>4558</v>
      </c>
      <c r="T2153" t="s">
        <v>4559</v>
      </c>
      <c r="U2153" t="s">
        <v>4560</v>
      </c>
      <c r="V2153" s="2">
        <v>528</v>
      </c>
      <c r="W2153" t="s">
        <v>4655</v>
      </c>
      <c r="X2153" s="2">
        <v>0</v>
      </c>
      <c r="Y2153">
        <v>20</v>
      </c>
      <c r="Z2153" t="s">
        <v>5200</v>
      </c>
      <c r="AA2153" s="3">
        <v>0.14898990094661699</v>
      </c>
      <c r="AB2153" t="s">
        <v>14051</v>
      </c>
      <c r="AC2153" t="s">
        <v>4562</v>
      </c>
      <c r="AD2153" t="s">
        <v>14052</v>
      </c>
      <c r="AE2153" t="s">
        <v>4655</v>
      </c>
      <c r="AF2153" t="s">
        <v>5201</v>
      </c>
      <c r="AG2153" t="s">
        <v>4564</v>
      </c>
      <c r="AH2153" t="s">
        <v>5202</v>
      </c>
      <c r="AI2153" t="s">
        <v>14053</v>
      </c>
      <c r="AJ2153" t="s">
        <v>4655</v>
      </c>
      <c r="AK2153" t="s">
        <v>14054</v>
      </c>
      <c r="AL2153" s="13" t="s">
        <v>1886</v>
      </c>
      <c r="AM2153" s="14">
        <v>1</v>
      </c>
      <c r="AN2153" s="15" t="s">
        <v>1445</v>
      </c>
    </row>
    <row r="2154" spans="1:40" x14ac:dyDescent="0.3">
      <c r="A2154" s="10" t="str">
        <f>HYPERLINK("http://www.washoecounty.gov/assessor/cama/?parid=028-101-33&amp;CardNumber=1","028-101-33")</f>
        <v>028-101-33</v>
      </c>
      <c r="B2154" t="s">
        <v>4655</v>
      </c>
      <c r="C2154" t="s">
        <v>14055</v>
      </c>
      <c r="D2154" s="1">
        <v>40193</v>
      </c>
      <c r="E2154" s="2">
        <v>111500</v>
      </c>
      <c r="F2154" t="s">
        <v>4567</v>
      </c>
      <c r="G2154" s="17" t="str">
        <f>HYPERLINK("https://www.washoecounty.gov/assessor/cama/?command=sales&amp;parid=02810133","3840209")</f>
        <v>3840209</v>
      </c>
      <c r="H2154" t="s">
        <v>1446</v>
      </c>
      <c r="I2154">
        <v>1964</v>
      </c>
      <c r="J2154">
        <v>1964</v>
      </c>
      <c r="K2154" t="s">
        <v>4554</v>
      </c>
      <c r="L2154" t="s">
        <v>4555</v>
      </c>
      <c r="M2154" s="2">
        <v>988</v>
      </c>
      <c r="N2154" t="s">
        <v>4556</v>
      </c>
      <c r="O2154">
        <v>3</v>
      </c>
      <c r="P2154">
        <v>2</v>
      </c>
      <c r="Q2154">
        <v>0</v>
      </c>
      <c r="R2154" t="s">
        <v>4557</v>
      </c>
      <c r="S2154" t="s">
        <v>4135</v>
      </c>
      <c r="T2154" t="s">
        <v>4559</v>
      </c>
      <c r="U2154" t="s">
        <v>4560</v>
      </c>
      <c r="V2154" s="2">
        <v>286</v>
      </c>
      <c r="W2154" t="s">
        <v>4655</v>
      </c>
      <c r="X2154" s="2">
        <v>0</v>
      </c>
      <c r="Y2154">
        <v>20</v>
      </c>
      <c r="Z2154" t="s">
        <v>5200</v>
      </c>
      <c r="AA2154" s="3">
        <v>0.141000911593437</v>
      </c>
      <c r="AB2154" t="s">
        <v>14056</v>
      </c>
      <c r="AC2154" t="s">
        <v>4562</v>
      </c>
      <c r="AD2154" t="s">
        <v>14055</v>
      </c>
      <c r="AE2154" t="s">
        <v>4655</v>
      </c>
      <c r="AF2154" t="s">
        <v>5201</v>
      </c>
      <c r="AG2154" t="s">
        <v>4564</v>
      </c>
      <c r="AH2154" t="s">
        <v>5202</v>
      </c>
      <c r="AI2154" t="s">
        <v>2271</v>
      </c>
      <c r="AJ2154" t="s">
        <v>4655</v>
      </c>
      <c r="AK2154" t="s">
        <v>14057</v>
      </c>
      <c r="AL2154" s="13" t="s">
        <v>1886</v>
      </c>
      <c r="AM2154" s="14">
        <v>1</v>
      </c>
      <c r="AN2154" s="15" t="s">
        <v>4904</v>
      </c>
    </row>
    <row r="2155" spans="1:40" x14ac:dyDescent="0.3">
      <c r="A2155" s="10" t="str">
        <f>HYPERLINK("http://www.washoecounty.gov/assessor/cama/?parid=028-102-03&amp;CardNumber=1","028-102-03")</f>
        <v>028-102-03</v>
      </c>
      <c r="B2155" t="s">
        <v>4655</v>
      </c>
      <c r="C2155" t="s">
        <v>14058</v>
      </c>
      <c r="D2155" s="1">
        <v>40323</v>
      </c>
      <c r="E2155" s="2">
        <v>94900</v>
      </c>
      <c r="F2155" t="s">
        <v>4553</v>
      </c>
      <c r="G2155" s="17" t="str">
        <f>HYPERLINK("https://www.washoecounty.gov/assessor/cama/?command=sales&amp;parid=02810203","3885040")</f>
        <v>3885040</v>
      </c>
      <c r="H2155" t="s">
        <v>1446</v>
      </c>
      <c r="I2155">
        <v>1964</v>
      </c>
      <c r="J2155">
        <v>1964</v>
      </c>
      <c r="K2155" t="s">
        <v>4554</v>
      </c>
      <c r="L2155" t="s">
        <v>4555</v>
      </c>
      <c r="M2155" s="2">
        <v>1176</v>
      </c>
      <c r="N2155" t="s">
        <v>4556</v>
      </c>
      <c r="O2155">
        <v>3</v>
      </c>
      <c r="P2155">
        <v>2</v>
      </c>
      <c r="Q2155">
        <v>0</v>
      </c>
      <c r="R2155" t="s">
        <v>4557</v>
      </c>
      <c r="S2155" t="s">
        <v>4558</v>
      </c>
      <c r="T2155" t="s">
        <v>4559</v>
      </c>
      <c r="U2155" t="s">
        <v>4560</v>
      </c>
      <c r="V2155" s="2">
        <v>441</v>
      </c>
      <c r="W2155" t="s">
        <v>4655</v>
      </c>
      <c r="X2155" s="2">
        <v>0</v>
      </c>
      <c r="Y2155">
        <v>20</v>
      </c>
      <c r="Z2155" t="s">
        <v>5200</v>
      </c>
      <c r="AA2155" s="3">
        <v>0.14201101660728499</v>
      </c>
      <c r="AB2155" t="s">
        <v>14059</v>
      </c>
      <c r="AC2155" t="s">
        <v>4562</v>
      </c>
      <c r="AD2155" t="s">
        <v>14060</v>
      </c>
      <c r="AE2155" t="s">
        <v>4655</v>
      </c>
      <c r="AF2155" t="s">
        <v>4809</v>
      </c>
      <c r="AG2155" t="s">
        <v>4564</v>
      </c>
      <c r="AH2155" t="s">
        <v>5202</v>
      </c>
      <c r="AI2155" t="s">
        <v>4503</v>
      </c>
      <c r="AJ2155" t="s">
        <v>4655</v>
      </c>
      <c r="AK2155" t="s">
        <v>14061</v>
      </c>
      <c r="AL2155" s="13" t="s">
        <v>1886</v>
      </c>
      <c r="AM2155" s="14">
        <v>1</v>
      </c>
      <c r="AN2155" s="15" t="s">
        <v>4904</v>
      </c>
    </row>
    <row r="2156" spans="1:40" x14ac:dyDescent="0.3">
      <c r="A2156" s="10" t="str">
        <f>HYPERLINK("http://www.washoecounty.gov/assessor/cama/?parid=028-103-02&amp;CardNumber=1","028-103-02")</f>
        <v>028-103-02</v>
      </c>
      <c r="B2156" t="s">
        <v>4655</v>
      </c>
      <c r="C2156" t="s">
        <v>14062</v>
      </c>
      <c r="D2156" s="1">
        <v>40297</v>
      </c>
      <c r="E2156" s="2">
        <v>105600</v>
      </c>
      <c r="F2156" t="s">
        <v>4553</v>
      </c>
      <c r="G2156" s="17" t="str">
        <f>HYPERLINK("https://www.washoecounty.gov/assessor/cama/?command=sales&amp;parid=02810302","3876308")</f>
        <v>3876308</v>
      </c>
      <c r="H2156" t="s">
        <v>1446</v>
      </c>
      <c r="I2156">
        <v>1964</v>
      </c>
      <c r="J2156">
        <v>1964</v>
      </c>
      <c r="K2156" t="s">
        <v>4554</v>
      </c>
      <c r="L2156" t="s">
        <v>4555</v>
      </c>
      <c r="M2156" s="2">
        <v>1296</v>
      </c>
      <c r="N2156" t="s">
        <v>4556</v>
      </c>
      <c r="O2156">
        <v>4</v>
      </c>
      <c r="P2156">
        <v>2</v>
      </c>
      <c r="Q2156">
        <v>0</v>
      </c>
      <c r="R2156" t="s">
        <v>4557</v>
      </c>
      <c r="S2156" t="s">
        <v>4135</v>
      </c>
      <c r="T2156" t="s">
        <v>4559</v>
      </c>
      <c r="U2156" t="s">
        <v>4560</v>
      </c>
      <c r="V2156" s="2">
        <v>483</v>
      </c>
      <c r="W2156" t="s">
        <v>4655</v>
      </c>
      <c r="X2156" s="2">
        <v>0</v>
      </c>
      <c r="Y2156">
        <v>20</v>
      </c>
      <c r="Z2156" t="s">
        <v>5200</v>
      </c>
      <c r="AA2156" s="3">
        <v>0.160009175539017</v>
      </c>
      <c r="AB2156" t="s">
        <v>14063</v>
      </c>
      <c r="AC2156" t="s">
        <v>4562</v>
      </c>
      <c r="AD2156" t="s">
        <v>14062</v>
      </c>
      <c r="AE2156" t="s">
        <v>4655</v>
      </c>
      <c r="AF2156" t="s">
        <v>4809</v>
      </c>
      <c r="AG2156" t="s">
        <v>4564</v>
      </c>
      <c r="AH2156" t="s">
        <v>5202</v>
      </c>
      <c r="AI2156" t="s">
        <v>2351</v>
      </c>
      <c r="AJ2156" t="s">
        <v>4655</v>
      </c>
      <c r="AK2156" t="s">
        <v>14064</v>
      </c>
      <c r="AL2156" s="13" t="s">
        <v>1886</v>
      </c>
      <c r="AM2156">
        <v>1</v>
      </c>
      <c r="AN2156" s="15" t="s">
        <v>4904</v>
      </c>
    </row>
    <row r="2157" spans="1:40" x14ac:dyDescent="0.3">
      <c r="A2157" s="10" t="str">
        <f>HYPERLINK("http://www.washoecounty.gov/assessor/cama/?parid=028-103-06&amp;CardNumber=1","028-103-06")</f>
        <v>028-103-06</v>
      </c>
      <c r="B2157" t="s">
        <v>4655</v>
      </c>
      <c r="C2157" t="s">
        <v>14065</v>
      </c>
      <c r="D2157" s="1">
        <v>40465</v>
      </c>
      <c r="E2157" s="2">
        <v>120000</v>
      </c>
      <c r="F2157" t="s">
        <v>4567</v>
      </c>
      <c r="G2157" s="17" t="str">
        <f>HYPERLINK("https://www.washoecounty.gov/assessor/cama/?command=sales&amp;parid=02810306","3933150")</f>
        <v>3933150</v>
      </c>
      <c r="H2157" t="s">
        <v>1446</v>
      </c>
      <c r="I2157">
        <v>1964</v>
      </c>
      <c r="J2157">
        <v>1964</v>
      </c>
      <c r="K2157" t="s">
        <v>4554</v>
      </c>
      <c r="L2157" t="s">
        <v>4555</v>
      </c>
      <c r="M2157" s="2">
        <v>1296</v>
      </c>
      <c r="N2157" t="s">
        <v>4556</v>
      </c>
      <c r="O2157">
        <v>4</v>
      </c>
      <c r="P2157">
        <v>2</v>
      </c>
      <c r="Q2157">
        <v>0</v>
      </c>
      <c r="R2157" t="s">
        <v>4557</v>
      </c>
      <c r="S2157" t="s">
        <v>4558</v>
      </c>
      <c r="T2157" t="s">
        <v>4559</v>
      </c>
      <c r="U2157" t="s">
        <v>4560</v>
      </c>
      <c r="V2157" s="2">
        <v>483</v>
      </c>
      <c r="W2157" t="s">
        <v>4655</v>
      </c>
      <c r="X2157" s="2">
        <v>0</v>
      </c>
      <c r="Y2157">
        <v>20</v>
      </c>
      <c r="Z2157" t="s">
        <v>5200</v>
      </c>
      <c r="AA2157" s="3">
        <v>0.160009175539017</v>
      </c>
      <c r="AB2157" t="s">
        <v>14066</v>
      </c>
      <c r="AC2157" t="s">
        <v>4562</v>
      </c>
      <c r="AD2157" t="s">
        <v>14065</v>
      </c>
      <c r="AE2157" t="s">
        <v>4655</v>
      </c>
      <c r="AF2157" t="s">
        <v>5201</v>
      </c>
      <c r="AG2157" t="s">
        <v>4564</v>
      </c>
      <c r="AH2157" t="s">
        <v>5202</v>
      </c>
      <c r="AI2157" t="s">
        <v>14067</v>
      </c>
      <c r="AJ2157" t="s">
        <v>4655</v>
      </c>
      <c r="AK2157" t="s">
        <v>14068</v>
      </c>
      <c r="AL2157" s="13" t="s">
        <v>1886</v>
      </c>
      <c r="AM2157">
        <v>1</v>
      </c>
      <c r="AN2157" s="15" t="s">
        <v>4904</v>
      </c>
    </row>
    <row r="2158" spans="1:40" x14ac:dyDescent="0.3">
      <c r="A2158" s="10" t="str">
        <f>HYPERLINK("http://www.washoecounty.gov/assessor/cama/?parid=028-103-13&amp;CardNumber=1","028-103-13")</f>
        <v>028-103-13</v>
      </c>
      <c r="B2158" t="s">
        <v>4655</v>
      </c>
      <c r="C2158" t="s">
        <v>14069</v>
      </c>
      <c r="D2158" s="1">
        <v>40347</v>
      </c>
      <c r="E2158" s="2">
        <v>105000</v>
      </c>
      <c r="F2158" t="s">
        <v>4567</v>
      </c>
      <c r="G2158" s="17" t="str">
        <f>HYPERLINK("https://www.washoecounty.gov/assessor/cama/?command=sales&amp;parid=02810313","3893272")</f>
        <v>3893272</v>
      </c>
      <c r="H2158" t="s">
        <v>1364</v>
      </c>
      <c r="I2158">
        <v>1964</v>
      </c>
      <c r="J2158">
        <v>1964</v>
      </c>
      <c r="K2158" t="s">
        <v>4554</v>
      </c>
      <c r="L2158" t="s">
        <v>4555</v>
      </c>
      <c r="M2158" s="2">
        <v>1296</v>
      </c>
      <c r="N2158" t="s">
        <v>4556</v>
      </c>
      <c r="O2158">
        <v>4</v>
      </c>
      <c r="P2158">
        <v>2</v>
      </c>
      <c r="Q2158">
        <v>0</v>
      </c>
      <c r="R2158" t="s">
        <v>4557</v>
      </c>
      <c r="S2158" t="s">
        <v>4558</v>
      </c>
      <c r="T2158" t="s">
        <v>4559</v>
      </c>
      <c r="U2158" t="s">
        <v>4560</v>
      </c>
      <c r="V2158" s="2">
        <v>483</v>
      </c>
      <c r="W2158" t="s">
        <v>4655</v>
      </c>
      <c r="X2158" s="2">
        <v>0</v>
      </c>
      <c r="Y2158">
        <v>20</v>
      </c>
      <c r="Z2158" t="s">
        <v>5200</v>
      </c>
      <c r="AA2158" s="3">
        <v>0.160009175539017</v>
      </c>
      <c r="AB2158" t="s">
        <v>14070</v>
      </c>
      <c r="AC2158" t="s">
        <v>4562</v>
      </c>
      <c r="AD2158" t="s">
        <v>14069</v>
      </c>
      <c r="AE2158" t="s">
        <v>4655</v>
      </c>
      <c r="AF2158" t="s">
        <v>5201</v>
      </c>
      <c r="AG2158" t="s">
        <v>4564</v>
      </c>
      <c r="AH2158" t="s">
        <v>5202</v>
      </c>
      <c r="AI2158" t="s">
        <v>14071</v>
      </c>
      <c r="AJ2158" t="s">
        <v>4655</v>
      </c>
      <c r="AK2158" t="s">
        <v>14072</v>
      </c>
      <c r="AL2158" s="13" t="s">
        <v>1886</v>
      </c>
      <c r="AM2158">
        <v>1</v>
      </c>
      <c r="AN2158" s="15" t="s">
        <v>4904</v>
      </c>
    </row>
    <row r="2159" spans="1:40" x14ac:dyDescent="0.3">
      <c r="A2159" s="10" t="str">
        <f>HYPERLINK("http://www.washoecounty.gov/assessor/cama/?parid=028-104-02&amp;CardNumber=1","028-104-02")</f>
        <v>028-104-02</v>
      </c>
      <c r="B2159" t="s">
        <v>4655</v>
      </c>
      <c r="C2159" t="s">
        <v>14073</v>
      </c>
      <c r="D2159" s="1">
        <v>40247</v>
      </c>
      <c r="E2159" s="2">
        <v>105000</v>
      </c>
      <c r="F2159" t="s">
        <v>4567</v>
      </c>
      <c r="G2159" s="17" t="str">
        <f>HYPERLINK("https://www.washoecounty.gov/assessor/cama/?command=sales&amp;parid=02810402","3858295")</f>
        <v>3858295</v>
      </c>
      <c r="H2159" t="s">
        <v>1364</v>
      </c>
      <c r="I2159">
        <v>1964</v>
      </c>
      <c r="J2159">
        <v>1964</v>
      </c>
      <c r="K2159" t="s">
        <v>4554</v>
      </c>
      <c r="L2159" t="s">
        <v>4555</v>
      </c>
      <c r="M2159" s="2">
        <v>1296</v>
      </c>
      <c r="N2159" t="s">
        <v>4556</v>
      </c>
      <c r="O2159">
        <v>4</v>
      </c>
      <c r="P2159">
        <v>2</v>
      </c>
      <c r="Q2159">
        <v>0</v>
      </c>
      <c r="R2159" t="s">
        <v>4557</v>
      </c>
      <c r="S2159" t="s">
        <v>4558</v>
      </c>
      <c r="T2159" t="s">
        <v>4559</v>
      </c>
      <c r="U2159" t="s">
        <v>4560</v>
      </c>
      <c r="V2159" s="2">
        <v>483</v>
      </c>
      <c r="W2159" t="s">
        <v>4655</v>
      </c>
      <c r="X2159" s="2">
        <v>0</v>
      </c>
      <c r="Y2159">
        <v>20</v>
      </c>
      <c r="Z2159" t="s">
        <v>5200</v>
      </c>
      <c r="AA2159" s="3">
        <v>0.13700643181800801</v>
      </c>
      <c r="AB2159" t="s">
        <v>14074</v>
      </c>
      <c r="AC2159" t="s">
        <v>4562</v>
      </c>
      <c r="AD2159" t="s">
        <v>14073</v>
      </c>
      <c r="AE2159" t="s">
        <v>4655</v>
      </c>
      <c r="AF2159" t="s">
        <v>5201</v>
      </c>
      <c r="AG2159" t="s">
        <v>4564</v>
      </c>
      <c r="AH2159" t="s">
        <v>5202</v>
      </c>
      <c r="AI2159" t="s">
        <v>14075</v>
      </c>
      <c r="AJ2159" t="s">
        <v>4655</v>
      </c>
      <c r="AK2159" t="s">
        <v>14076</v>
      </c>
      <c r="AL2159" s="13" t="s">
        <v>1886</v>
      </c>
      <c r="AM2159" s="14">
        <v>1</v>
      </c>
      <c r="AN2159" s="15" t="s">
        <v>4904</v>
      </c>
    </row>
    <row r="2160" spans="1:40" x14ac:dyDescent="0.3">
      <c r="A2160" s="10" t="str">
        <f>HYPERLINK("http://www.washoecounty.gov/assessor/cama/?parid=028-104-05&amp;CardNumber=1","028-104-05")</f>
        <v>028-104-05</v>
      </c>
      <c r="B2160" t="s">
        <v>4655</v>
      </c>
      <c r="C2160" t="s">
        <v>14077</v>
      </c>
      <c r="D2160" s="1">
        <v>40291</v>
      </c>
      <c r="E2160" s="2">
        <v>72900</v>
      </c>
      <c r="F2160" t="s">
        <v>4553</v>
      </c>
      <c r="G2160" s="17" t="str">
        <f>HYPERLINK("https://www.washoecounty.gov/assessor/cama/?command=sales&amp;parid=02810405","3874142")</f>
        <v>3874142</v>
      </c>
      <c r="H2160" t="s">
        <v>1446</v>
      </c>
      <c r="I2160">
        <v>1964</v>
      </c>
      <c r="J2160">
        <v>1964</v>
      </c>
      <c r="K2160" t="s">
        <v>4554</v>
      </c>
      <c r="L2160" t="s">
        <v>4555</v>
      </c>
      <c r="M2160" s="2">
        <v>1296</v>
      </c>
      <c r="N2160" t="s">
        <v>4556</v>
      </c>
      <c r="O2160">
        <v>4</v>
      </c>
      <c r="P2160">
        <v>2</v>
      </c>
      <c r="Q2160">
        <v>0</v>
      </c>
      <c r="R2160" t="s">
        <v>4557</v>
      </c>
      <c r="S2160" t="s">
        <v>4558</v>
      </c>
      <c r="T2160" t="s">
        <v>4559</v>
      </c>
      <c r="U2160" t="s">
        <v>4560</v>
      </c>
      <c r="V2160" s="2">
        <v>483</v>
      </c>
      <c r="W2160" t="s">
        <v>4655</v>
      </c>
      <c r="X2160" s="2">
        <v>0</v>
      </c>
      <c r="Y2160">
        <v>20</v>
      </c>
      <c r="Z2160" t="s">
        <v>5200</v>
      </c>
      <c r="AA2160" s="3">
        <v>0.13700643181800801</v>
      </c>
      <c r="AB2160" t="s">
        <v>3801</v>
      </c>
      <c r="AC2160" t="s">
        <v>4562</v>
      </c>
      <c r="AD2160" t="s">
        <v>14078</v>
      </c>
      <c r="AE2160" t="s">
        <v>4655</v>
      </c>
      <c r="AF2160" t="s">
        <v>4563</v>
      </c>
      <c r="AG2160" t="s">
        <v>4564</v>
      </c>
      <c r="AH2160" t="s">
        <v>2330</v>
      </c>
      <c r="AI2160" t="s">
        <v>4534</v>
      </c>
      <c r="AJ2160" t="s">
        <v>4655</v>
      </c>
      <c r="AK2160" t="s">
        <v>14079</v>
      </c>
      <c r="AL2160" s="13" t="s">
        <v>1886</v>
      </c>
      <c r="AM2160" s="14">
        <v>1</v>
      </c>
      <c r="AN2160" s="15" t="s">
        <v>4904</v>
      </c>
    </row>
    <row r="2161" spans="1:40" x14ac:dyDescent="0.3">
      <c r="A2161" s="10" t="str">
        <f>HYPERLINK("http://www.washoecounty.gov/assessor/cama/?parid=028-104-05&amp;CardNumber=1","028-104-05")</f>
        <v>028-104-05</v>
      </c>
      <c r="B2161" t="s">
        <v>4655</v>
      </c>
      <c r="C2161" t="s">
        <v>14077</v>
      </c>
      <c r="D2161" s="1">
        <v>40385</v>
      </c>
      <c r="E2161" s="2">
        <v>128000</v>
      </c>
      <c r="F2161" t="s">
        <v>4567</v>
      </c>
      <c r="G2161" s="17" t="str">
        <f>HYPERLINK("https://www.washoecounty.gov/assessor/cama/?command=sales&amp;parid=02810405","3904818")</f>
        <v>3904818</v>
      </c>
      <c r="H2161" t="s">
        <v>1446</v>
      </c>
      <c r="I2161">
        <v>1964</v>
      </c>
      <c r="J2161">
        <v>1964</v>
      </c>
      <c r="K2161" t="s">
        <v>4554</v>
      </c>
      <c r="L2161" t="s">
        <v>4555</v>
      </c>
      <c r="M2161" s="2">
        <v>1296</v>
      </c>
      <c r="N2161" t="s">
        <v>4556</v>
      </c>
      <c r="O2161">
        <v>4</v>
      </c>
      <c r="P2161">
        <v>2</v>
      </c>
      <c r="Q2161">
        <v>0</v>
      </c>
      <c r="R2161" t="s">
        <v>4557</v>
      </c>
      <c r="S2161" t="s">
        <v>4558</v>
      </c>
      <c r="T2161" t="s">
        <v>4559</v>
      </c>
      <c r="U2161" t="s">
        <v>4560</v>
      </c>
      <c r="V2161" s="2">
        <v>483</v>
      </c>
      <c r="W2161" t="s">
        <v>4655</v>
      </c>
      <c r="X2161" s="2">
        <v>0</v>
      </c>
      <c r="Y2161">
        <v>20</v>
      </c>
      <c r="Z2161" t="s">
        <v>5200</v>
      </c>
      <c r="AA2161" s="3">
        <v>0.13700643181800801</v>
      </c>
      <c r="AB2161" t="s">
        <v>3801</v>
      </c>
      <c r="AC2161" t="s">
        <v>4562</v>
      </c>
      <c r="AD2161" t="s">
        <v>14078</v>
      </c>
      <c r="AE2161" t="s">
        <v>4655</v>
      </c>
      <c r="AF2161" t="s">
        <v>4563</v>
      </c>
      <c r="AG2161" t="s">
        <v>4564</v>
      </c>
      <c r="AH2161" t="s">
        <v>2330</v>
      </c>
      <c r="AI2161" t="s">
        <v>4534</v>
      </c>
      <c r="AJ2161" t="s">
        <v>4655</v>
      </c>
      <c r="AK2161" t="s">
        <v>14079</v>
      </c>
      <c r="AL2161" s="13" t="s">
        <v>1886</v>
      </c>
      <c r="AM2161">
        <v>1</v>
      </c>
      <c r="AN2161" s="15" t="s">
        <v>4904</v>
      </c>
    </row>
    <row r="2162" spans="1:40" x14ac:dyDescent="0.3">
      <c r="A2162" s="10" t="str">
        <f>HYPERLINK("http://www.washoecounty.gov/assessor/cama/?parid=028-104-24&amp;CardNumber=1","028-104-24")</f>
        <v>028-104-24</v>
      </c>
      <c r="B2162" t="s">
        <v>4655</v>
      </c>
      <c r="C2162" t="s">
        <v>14080</v>
      </c>
      <c r="D2162" s="1">
        <v>40382</v>
      </c>
      <c r="E2162" s="2">
        <v>105000</v>
      </c>
      <c r="F2162" t="s">
        <v>4567</v>
      </c>
      <c r="G2162" s="17" t="str">
        <f>HYPERLINK("https://www.washoecounty.gov/assessor/cama/?command=sales&amp;parid=02810424","3904278")</f>
        <v>3904278</v>
      </c>
      <c r="H2162" t="s">
        <v>14081</v>
      </c>
      <c r="I2162">
        <v>1964</v>
      </c>
      <c r="J2162">
        <v>1964</v>
      </c>
      <c r="K2162" t="s">
        <v>4554</v>
      </c>
      <c r="L2162" t="s">
        <v>4555</v>
      </c>
      <c r="M2162" s="2">
        <v>1344</v>
      </c>
      <c r="N2162" t="s">
        <v>4556</v>
      </c>
      <c r="O2162">
        <v>3</v>
      </c>
      <c r="P2162">
        <v>2</v>
      </c>
      <c r="Q2162">
        <v>0</v>
      </c>
      <c r="R2162" t="s">
        <v>4557</v>
      </c>
      <c r="S2162" t="s">
        <v>4558</v>
      </c>
      <c r="T2162" t="s">
        <v>4559</v>
      </c>
      <c r="U2162" t="s">
        <v>4560</v>
      </c>
      <c r="V2162" s="2">
        <v>273</v>
      </c>
      <c r="W2162" t="s">
        <v>4655</v>
      </c>
      <c r="X2162" s="2">
        <v>0</v>
      </c>
      <c r="Y2162">
        <v>20</v>
      </c>
      <c r="Z2162" t="s">
        <v>5200</v>
      </c>
      <c r="AA2162" s="3">
        <v>0.13700643181800801</v>
      </c>
      <c r="AB2162" t="s">
        <v>14082</v>
      </c>
      <c r="AC2162" t="s">
        <v>4562</v>
      </c>
      <c r="AD2162" t="s">
        <v>14080</v>
      </c>
      <c r="AE2162" t="s">
        <v>4655</v>
      </c>
      <c r="AF2162" t="s">
        <v>5201</v>
      </c>
      <c r="AG2162" t="s">
        <v>4564</v>
      </c>
      <c r="AH2162" t="s">
        <v>5202</v>
      </c>
      <c r="AI2162" t="s">
        <v>4655</v>
      </c>
      <c r="AJ2162" t="s">
        <v>4655</v>
      </c>
      <c r="AK2162" t="s">
        <v>14083</v>
      </c>
      <c r="AL2162" s="13" t="s">
        <v>1886</v>
      </c>
      <c r="AM2162">
        <v>1</v>
      </c>
      <c r="AN2162" s="15" t="s">
        <v>4904</v>
      </c>
    </row>
    <row r="2163" spans="1:40" x14ac:dyDescent="0.3">
      <c r="A2163" s="10" t="str">
        <f>HYPERLINK("http://www.washoecounty.gov/assessor/cama/?parid=028-104-25&amp;CardNumber=1","028-104-25")</f>
        <v>028-104-25</v>
      </c>
      <c r="B2163" t="s">
        <v>4655</v>
      </c>
      <c r="C2163" t="s">
        <v>14084</v>
      </c>
      <c r="D2163" s="1">
        <v>40532</v>
      </c>
      <c r="E2163" s="2">
        <v>105000</v>
      </c>
      <c r="F2163" t="s">
        <v>4567</v>
      </c>
      <c r="G2163" s="17" t="str">
        <f>HYPERLINK("https://www.washoecounty.gov/assessor/cama/?command=sales&amp;parid=02810425","3955560")</f>
        <v>3955560</v>
      </c>
      <c r="H2163" t="s">
        <v>1446</v>
      </c>
      <c r="I2163">
        <v>1964</v>
      </c>
      <c r="J2163">
        <v>1964</v>
      </c>
      <c r="K2163" t="s">
        <v>4554</v>
      </c>
      <c r="L2163" t="s">
        <v>4555</v>
      </c>
      <c r="M2163" s="2">
        <v>1176</v>
      </c>
      <c r="N2163" t="s">
        <v>4556</v>
      </c>
      <c r="O2163">
        <v>3</v>
      </c>
      <c r="P2163">
        <v>2</v>
      </c>
      <c r="Q2163">
        <v>0</v>
      </c>
      <c r="R2163" t="s">
        <v>4557</v>
      </c>
      <c r="S2163" t="s">
        <v>4135</v>
      </c>
      <c r="T2163" t="s">
        <v>4559</v>
      </c>
      <c r="U2163" t="s">
        <v>4560</v>
      </c>
      <c r="V2163" s="2">
        <v>441</v>
      </c>
      <c r="W2163" t="s">
        <v>4655</v>
      </c>
      <c r="X2163" s="2">
        <v>0</v>
      </c>
      <c r="Y2163">
        <v>20</v>
      </c>
      <c r="Z2163" t="s">
        <v>5200</v>
      </c>
      <c r="AA2163" s="3">
        <v>0.13700643181800801</v>
      </c>
      <c r="AB2163" t="s">
        <v>14085</v>
      </c>
      <c r="AC2163" t="s">
        <v>4562</v>
      </c>
      <c r="AD2163" t="s">
        <v>14084</v>
      </c>
      <c r="AE2163" t="s">
        <v>4655</v>
      </c>
      <c r="AF2163" t="s">
        <v>5201</v>
      </c>
      <c r="AG2163" t="s">
        <v>4564</v>
      </c>
      <c r="AH2163" t="s">
        <v>5202</v>
      </c>
      <c r="AI2163" t="s">
        <v>14086</v>
      </c>
      <c r="AJ2163" t="s">
        <v>4655</v>
      </c>
      <c r="AK2163" t="s">
        <v>14087</v>
      </c>
      <c r="AL2163" s="13" t="s">
        <v>1886</v>
      </c>
      <c r="AM2163" s="14">
        <v>1</v>
      </c>
      <c r="AN2163" s="15" t="s">
        <v>4904</v>
      </c>
    </row>
    <row r="2164" spans="1:40" x14ac:dyDescent="0.3">
      <c r="A2164" s="10" t="str">
        <f>HYPERLINK("http://www.washoecounty.gov/assessor/cama/?parid=028-104-29&amp;CardNumber=1","028-104-29")</f>
        <v>028-104-29</v>
      </c>
      <c r="B2164" t="s">
        <v>4655</v>
      </c>
      <c r="C2164" t="s">
        <v>14088</v>
      </c>
      <c r="D2164" s="1">
        <v>40491</v>
      </c>
      <c r="E2164" s="2">
        <v>105000</v>
      </c>
      <c r="F2164" t="s">
        <v>4567</v>
      </c>
      <c r="G2164" s="17" t="str">
        <f>HYPERLINK("https://www.washoecounty.gov/assessor/cama/?command=sales&amp;parid=02810429","3941183")</f>
        <v>3941183</v>
      </c>
      <c r="H2164" t="s">
        <v>1446</v>
      </c>
      <c r="I2164">
        <v>1964</v>
      </c>
      <c r="J2164">
        <v>1964</v>
      </c>
      <c r="K2164" t="s">
        <v>4554</v>
      </c>
      <c r="L2164" t="s">
        <v>4555</v>
      </c>
      <c r="M2164" s="2">
        <v>1344</v>
      </c>
      <c r="N2164" t="s">
        <v>4556</v>
      </c>
      <c r="O2164">
        <v>3</v>
      </c>
      <c r="P2164">
        <v>2</v>
      </c>
      <c r="Q2164">
        <v>0</v>
      </c>
      <c r="R2164" t="s">
        <v>4557</v>
      </c>
      <c r="S2164" t="s">
        <v>4558</v>
      </c>
      <c r="T2164" t="s">
        <v>4559</v>
      </c>
      <c r="U2164" t="s">
        <v>4560</v>
      </c>
      <c r="V2164" s="2">
        <v>273</v>
      </c>
      <c r="W2164" t="s">
        <v>4655</v>
      </c>
      <c r="X2164" s="2">
        <v>0</v>
      </c>
      <c r="Y2164">
        <v>20</v>
      </c>
      <c r="Z2164" t="s">
        <v>5200</v>
      </c>
      <c r="AA2164" s="3">
        <v>0.13700643181800801</v>
      </c>
      <c r="AB2164" t="s">
        <v>4513</v>
      </c>
      <c r="AC2164" t="s">
        <v>4575</v>
      </c>
      <c r="AD2164" t="s">
        <v>1084</v>
      </c>
      <c r="AE2164" t="s">
        <v>4655</v>
      </c>
      <c r="AF2164" t="s">
        <v>4563</v>
      </c>
      <c r="AG2164" t="s">
        <v>4564</v>
      </c>
      <c r="AH2164">
        <v>89509</v>
      </c>
      <c r="AI2164" t="s">
        <v>14089</v>
      </c>
      <c r="AJ2164" t="s">
        <v>4655</v>
      </c>
      <c r="AK2164" t="s">
        <v>14090</v>
      </c>
      <c r="AL2164" s="13" t="s">
        <v>1886</v>
      </c>
      <c r="AM2164" s="14">
        <v>1</v>
      </c>
      <c r="AN2164" s="15" t="s">
        <v>4904</v>
      </c>
    </row>
    <row r="2165" spans="1:40" x14ac:dyDescent="0.3">
      <c r="A2165" s="10" t="str">
        <f>HYPERLINK("http://www.washoecounty.gov/assessor/cama/?parid=028-114-11&amp;CardNumber=1","028-114-11")</f>
        <v>028-114-11</v>
      </c>
      <c r="B2165" t="s">
        <v>4655</v>
      </c>
      <c r="C2165" t="s">
        <v>14091</v>
      </c>
      <c r="D2165" s="1">
        <v>40303</v>
      </c>
      <c r="E2165" s="2">
        <v>90000</v>
      </c>
      <c r="F2165" t="s">
        <v>4553</v>
      </c>
      <c r="G2165" s="17" t="str">
        <f>HYPERLINK("https://www.washoecounty.gov/assessor/cama/?command=sales&amp;parid=02811411","3878143")</f>
        <v>3878143</v>
      </c>
      <c r="H2165" t="s">
        <v>1446</v>
      </c>
      <c r="I2165">
        <v>1963</v>
      </c>
      <c r="J2165">
        <v>1963</v>
      </c>
      <c r="K2165" t="s">
        <v>4554</v>
      </c>
      <c r="L2165" t="s">
        <v>4555</v>
      </c>
      <c r="M2165" s="2">
        <v>988</v>
      </c>
      <c r="N2165" t="s">
        <v>4556</v>
      </c>
      <c r="O2165">
        <v>3</v>
      </c>
      <c r="P2165">
        <v>2</v>
      </c>
      <c r="Q2165">
        <v>0</v>
      </c>
      <c r="R2165" t="s">
        <v>4557</v>
      </c>
      <c r="S2165" t="s">
        <v>4135</v>
      </c>
      <c r="T2165" t="s">
        <v>4559</v>
      </c>
      <c r="U2165" t="s">
        <v>4560</v>
      </c>
      <c r="V2165" s="2">
        <v>286</v>
      </c>
      <c r="W2165" t="s">
        <v>4655</v>
      </c>
      <c r="X2165" s="2">
        <v>0</v>
      </c>
      <c r="Y2165">
        <v>20</v>
      </c>
      <c r="Z2165" t="s">
        <v>5200</v>
      </c>
      <c r="AA2165" s="3">
        <v>0.15300734341144601</v>
      </c>
      <c r="AB2165" t="s">
        <v>14092</v>
      </c>
      <c r="AC2165" t="s">
        <v>4562</v>
      </c>
      <c r="AD2165" t="s">
        <v>14091</v>
      </c>
      <c r="AE2165" t="s">
        <v>4655</v>
      </c>
      <c r="AF2165" t="s">
        <v>5201</v>
      </c>
      <c r="AG2165" t="s">
        <v>4564</v>
      </c>
      <c r="AH2165" t="s">
        <v>5202</v>
      </c>
      <c r="AI2165" t="s">
        <v>687</v>
      </c>
      <c r="AJ2165" t="s">
        <v>4655</v>
      </c>
      <c r="AK2165" t="s">
        <v>14093</v>
      </c>
      <c r="AL2165" s="13" t="s">
        <v>1886</v>
      </c>
      <c r="AM2165" s="14">
        <v>1</v>
      </c>
      <c r="AN2165" s="15" t="s">
        <v>4904</v>
      </c>
    </row>
    <row r="2166" spans="1:40" x14ac:dyDescent="0.3">
      <c r="A2166" s="10" t="str">
        <f>HYPERLINK("http://www.washoecounty.gov/assessor/cama/?parid=028-114-24&amp;CardNumber=1","028-114-24")</f>
        <v>028-114-24</v>
      </c>
      <c r="B2166" t="s">
        <v>4655</v>
      </c>
      <c r="C2166" t="s">
        <v>14094</v>
      </c>
      <c r="D2166" s="1">
        <v>40429</v>
      </c>
      <c r="E2166" s="2">
        <v>96300</v>
      </c>
      <c r="F2166" t="s">
        <v>4553</v>
      </c>
      <c r="G2166" s="17" t="str">
        <f>HYPERLINK("https://www.washoecounty.gov/assessor/cama/?command=sales&amp;parid=02811424","3919859")</f>
        <v>3919859</v>
      </c>
      <c r="H2166" t="s">
        <v>1364</v>
      </c>
      <c r="I2166">
        <v>1963</v>
      </c>
      <c r="J2166">
        <v>1963</v>
      </c>
      <c r="K2166" t="s">
        <v>4554</v>
      </c>
      <c r="L2166" t="s">
        <v>4555</v>
      </c>
      <c r="M2166" s="2">
        <v>988</v>
      </c>
      <c r="N2166" t="s">
        <v>4556</v>
      </c>
      <c r="O2166">
        <v>3</v>
      </c>
      <c r="P2166">
        <v>2</v>
      </c>
      <c r="Q2166">
        <v>0</v>
      </c>
      <c r="R2166" t="s">
        <v>4557</v>
      </c>
      <c r="S2166" t="s">
        <v>4135</v>
      </c>
      <c r="T2166" t="s">
        <v>4559</v>
      </c>
      <c r="U2166" t="s">
        <v>4560</v>
      </c>
      <c r="V2166" s="2">
        <v>286</v>
      </c>
      <c r="W2166" t="s">
        <v>4655</v>
      </c>
      <c r="X2166" s="2">
        <v>0</v>
      </c>
      <c r="Y2166">
        <v>20</v>
      </c>
      <c r="Z2166" t="s">
        <v>5200</v>
      </c>
      <c r="AA2166" s="3">
        <v>0.13999082148075101</v>
      </c>
      <c r="AB2166" t="s">
        <v>190</v>
      </c>
      <c r="AC2166" t="s">
        <v>4562</v>
      </c>
      <c r="AD2166" t="s">
        <v>1704</v>
      </c>
      <c r="AE2166" t="s">
        <v>4655</v>
      </c>
      <c r="AF2166" t="s">
        <v>5201</v>
      </c>
      <c r="AG2166" t="s">
        <v>4564</v>
      </c>
      <c r="AH2166" t="s">
        <v>1605</v>
      </c>
      <c r="AI2166" t="s">
        <v>4419</v>
      </c>
      <c r="AJ2166" t="s">
        <v>4655</v>
      </c>
      <c r="AK2166" t="s">
        <v>14095</v>
      </c>
      <c r="AL2166" s="13" t="s">
        <v>1886</v>
      </c>
      <c r="AM2166">
        <v>1</v>
      </c>
      <c r="AN2166" s="15" t="s">
        <v>4904</v>
      </c>
    </row>
    <row r="2167" spans="1:40" x14ac:dyDescent="0.3">
      <c r="A2167" s="10" t="str">
        <f>HYPERLINK("http://www.washoecounty.gov/assessor/cama/?parid=028-114-28&amp;CardNumber=1","028-114-28")</f>
        <v>028-114-28</v>
      </c>
      <c r="B2167" t="s">
        <v>4655</v>
      </c>
      <c r="C2167" t="s">
        <v>14096</v>
      </c>
      <c r="D2167" s="1">
        <v>40249</v>
      </c>
      <c r="E2167" s="2">
        <v>85000</v>
      </c>
      <c r="F2167" t="s">
        <v>4553</v>
      </c>
      <c r="G2167" s="17" t="str">
        <f>HYPERLINK("https://www.washoecounty.gov/assessor/cama/?command=sales&amp;parid=02811428","3859022")</f>
        <v>3859022</v>
      </c>
      <c r="H2167" t="s">
        <v>1364</v>
      </c>
      <c r="I2167">
        <v>1963</v>
      </c>
      <c r="J2167">
        <v>1963</v>
      </c>
      <c r="K2167" t="s">
        <v>4554</v>
      </c>
      <c r="L2167" t="s">
        <v>4555</v>
      </c>
      <c r="M2167" s="2">
        <v>988</v>
      </c>
      <c r="N2167" t="s">
        <v>4556</v>
      </c>
      <c r="O2167">
        <v>3</v>
      </c>
      <c r="P2167">
        <v>2</v>
      </c>
      <c r="Q2167">
        <v>0</v>
      </c>
      <c r="R2167" t="s">
        <v>4557</v>
      </c>
      <c r="S2167" t="s">
        <v>4558</v>
      </c>
      <c r="T2167" t="s">
        <v>4559</v>
      </c>
      <c r="U2167" t="s">
        <v>4655</v>
      </c>
      <c r="V2167" s="2">
        <v>0</v>
      </c>
      <c r="W2167" t="s">
        <v>4655</v>
      </c>
      <c r="X2167" s="2">
        <v>0</v>
      </c>
      <c r="Y2167">
        <v>20</v>
      </c>
      <c r="Z2167" t="s">
        <v>5200</v>
      </c>
      <c r="AA2167" s="3">
        <v>0.15500459074974099</v>
      </c>
      <c r="AB2167" t="s">
        <v>14097</v>
      </c>
      <c r="AC2167" t="s">
        <v>4562</v>
      </c>
      <c r="AD2167" t="s">
        <v>14096</v>
      </c>
      <c r="AE2167" t="s">
        <v>4655</v>
      </c>
      <c r="AF2167" t="s">
        <v>5201</v>
      </c>
      <c r="AG2167" t="s">
        <v>4564</v>
      </c>
      <c r="AH2167" t="s">
        <v>5202</v>
      </c>
      <c r="AI2167" t="s">
        <v>4903</v>
      </c>
      <c r="AJ2167" t="s">
        <v>4655</v>
      </c>
      <c r="AK2167" t="s">
        <v>14098</v>
      </c>
      <c r="AL2167" s="13" t="s">
        <v>1886</v>
      </c>
      <c r="AM2167" s="14">
        <v>1</v>
      </c>
      <c r="AN2167" s="15" t="s">
        <v>4904</v>
      </c>
    </row>
    <row r="2168" spans="1:40" x14ac:dyDescent="0.3">
      <c r="A2168" s="10" t="str">
        <f>HYPERLINK("http://www.washoecounty.gov/assessor/cama/?parid=028-114-38&amp;CardNumber=1","028-114-38")</f>
        <v>028-114-38</v>
      </c>
      <c r="B2168" t="s">
        <v>4655</v>
      </c>
      <c r="C2168" t="s">
        <v>14099</v>
      </c>
      <c r="D2168" s="1">
        <v>40498</v>
      </c>
      <c r="E2168" s="2">
        <v>99000</v>
      </c>
      <c r="F2168" t="s">
        <v>4553</v>
      </c>
      <c r="G2168" s="17" t="str">
        <f>HYPERLINK("https://www.washoecounty.gov/assessor/cama/?command=sales&amp;parid=02811438","3943326")</f>
        <v>3943326</v>
      </c>
      <c r="H2168" t="s">
        <v>1446</v>
      </c>
      <c r="I2168">
        <v>1963</v>
      </c>
      <c r="J2168">
        <v>1963</v>
      </c>
      <c r="K2168" t="s">
        <v>4554</v>
      </c>
      <c r="L2168" t="s">
        <v>4555</v>
      </c>
      <c r="M2168" s="2">
        <v>1344</v>
      </c>
      <c r="N2168" t="s">
        <v>4556</v>
      </c>
      <c r="O2168">
        <v>3</v>
      </c>
      <c r="P2168">
        <v>2</v>
      </c>
      <c r="Q2168">
        <v>0</v>
      </c>
      <c r="R2168" t="s">
        <v>4557</v>
      </c>
      <c r="S2168" t="s">
        <v>4558</v>
      </c>
      <c r="T2168" t="s">
        <v>4559</v>
      </c>
      <c r="U2168" t="s">
        <v>4560</v>
      </c>
      <c r="V2168" s="2">
        <v>273</v>
      </c>
      <c r="W2168" t="s">
        <v>4655</v>
      </c>
      <c r="X2168" s="2">
        <v>0</v>
      </c>
      <c r="Y2168">
        <v>20</v>
      </c>
      <c r="Z2168" t="s">
        <v>5200</v>
      </c>
      <c r="AA2168" s="3">
        <v>0.148002758622169</v>
      </c>
      <c r="AB2168" t="s">
        <v>728</v>
      </c>
      <c r="AC2168" t="s">
        <v>4562</v>
      </c>
      <c r="AD2168" t="s">
        <v>5568</v>
      </c>
      <c r="AE2168" t="s">
        <v>4655</v>
      </c>
      <c r="AF2168" t="s">
        <v>4809</v>
      </c>
      <c r="AG2168" t="s">
        <v>4564</v>
      </c>
      <c r="AH2168" t="s">
        <v>3609</v>
      </c>
      <c r="AI2168" t="s">
        <v>4045</v>
      </c>
      <c r="AJ2168" t="s">
        <v>4655</v>
      </c>
      <c r="AK2168" t="s">
        <v>14100</v>
      </c>
      <c r="AL2168" s="13" t="s">
        <v>1886</v>
      </c>
      <c r="AM2168" s="14">
        <v>1</v>
      </c>
      <c r="AN2168" s="15" t="s">
        <v>4904</v>
      </c>
    </row>
    <row r="2169" spans="1:40" x14ac:dyDescent="0.3">
      <c r="A2169" s="10" t="str">
        <f>HYPERLINK("http://www.washoecounty.gov/assessor/cama/?parid=028-115-18&amp;CardNumber=1","028-115-18")</f>
        <v>028-115-18</v>
      </c>
      <c r="B2169" t="s">
        <v>4655</v>
      </c>
      <c r="C2169" t="s">
        <v>14101</v>
      </c>
      <c r="D2169" s="1">
        <v>40319</v>
      </c>
      <c r="E2169" s="2">
        <v>115000</v>
      </c>
      <c r="F2169" t="s">
        <v>4567</v>
      </c>
      <c r="G2169" s="17" t="str">
        <f>HYPERLINK("https://www.washoecounty.gov/assessor/cama/?command=sales&amp;parid=02811518","3883767")</f>
        <v>3883767</v>
      </c>
      <c r="H2169" t="s">
        <v>1446</v>
      </c>
      <c r="I2169">
        <v>1963</v>
      </c>
      <c r="J2169">
        <v>1963</v>
      </c>
      <c r="K2169" t="s">
        <v>4554</v>
      </c>
      <c r="L2169" t="s">
        <v>4555</v>
      </c>
      <c r="M2169" s="2">
        <v>988</v>
      </c>
      <c r="N2169" t="s">
        <v>4556</v>
      </c>
      <c r="O2169">
        <v>3</v>
      </c>
      <c r="P2169">
        <v>2</v>
      </c>
      <c r="Q2169">
        <v>0</v>
      </c>
      <c r="R2169" t="s">
        <v>4557</v>
      </c>
      <c r="S2169" t="s">
        <v>4558</v>
      </c>
      <c r="T2169" t="s">
        <v>4559</v>
      </c>
      <c r="U2169" t="s">
        <v>4560</v>
      </c>
      <c r="V2169" s="2">
        <v>286</v>
      </c>
      <c r="W2169" t="s">
        <v>4655</v>
      </c>
      <c r="X2169" s="2">
        <v>0</v>
      </c>
      <c r="Y2169">
        <v>20</v>
      </c>
      <c r="Z2169" t="s">
        <v>5200</v>
      </c>
      <c r="AA2169" s="3">
        <v>0.15500459074974099</v>
      </c>
      <c r="AB2169" t="s">
        <v>14102</v>
      </c>
      <c r="AC2169" t="s">
        <v>4562</v>
      </c>
      <c r="AD2169" t="s">
        <v>14101</v>
      </c>
      <c r="AE2169" t="s">
        <v>4655</v>
      </c>
      <c r="AF2169" t="s">
        <v>5201</v>
      </c>
      <c r="AG2169" t="s">
        <v>4564</v>
      </c>
      <c r="AH2169" t="s">
        <v>5202</v>
      </c>
      <c r="AI2169" t="s">
        <v>14103</v>
      </c>
      <c r="AJ2169" t="s">
        <v>4655</v>
      </c>
      <c r="AK2169" t="s">
        <v>14104</v>
      </c>
      <c r="AL2169" s="13" t="s">
        <v>1886</v>
      </c>
      <c r="AM2169">
        <v>1</v>
      </c>
      <c r="AN2169" s="15" t="s">
        <v>4904</v>
      </c>
    </row>
    <row r="2170" spans="1:40" x14ac:dyDescent="0.3">
      <c r="A2170" s="10" t="str">
        <f>HYPERLINK("http://www.washoecounty.gov/assessor/cama/?parid=028-115-19&amp;CardNumber=1","028-115-19")</f>
        <v>028-115-19</v>
      </c>
      <c r="B2170" t="s">
        <v>4655</v>
      </c>
      <c r="C2170" t="s">
        <v>14105</v>
      </c>
      <c r="D2170" s="1">
        <v>40276</v>
      </c>
      <c r="E2170" s="2">
        <v>110000</v>
      </c>
      <c r="F2170" t="s">
        <v>4553</v>
      </c>
      <c r="G2170" s="17" t="str">
        <f>HYPERLINK("https://www.washoecounty.gov/assessor/cama/?command=sales&amp;parid=02811519","3868797")</f>
        <v>3868797</v>
      </c>
      <c r="H2170" t="s">
        <v>1446</v>
      </c>
      <c r="I2170">
        <v>1963</v>
      </c>
      <c r="J2170">
        <v>1967</v>
      </c>
      <c r="K2170" t="s">
        <v>4554</v>
      </c>
      <c r="L2170" t="s">
        <v>4555</v>
      </c>
      <c r="M2170" s="2">
        <v>1488</v>
      </c>
      <c r="N2170" t="s">
        <v>4556</v>
      </c>
      <c r="O2170">
        <v>3</v>
      </c>
      <c r="P2170">
        <v>2</v>
      </c>
      <c r="Q2170">
        <v>0</v>
      </c>
      <c r="R2170" t="s">
        <v>4557</v>
      </c>
      <c r="S2170" t="s">
        <v>4135</v>
      </c>
      <c r="T2170" t="s">
        <v>4559</v>
      </c>
      <c r="U2170" t="s">
        <v>4560</v>
      </c>
      <c r="V2170" s="2">
        <v>364</v>
      </c>
      <c r="W2170" t="s">
        <v>4655</v>
      </c>
      <c r="X2170" s="2">
        <v>0</v>
      </c>
      <c r="Y2170">
        <v>20</v>
      </c>
      <c r="Z2170" t="s">
        <v>5200</v>
      </c>
      <c r="AA2170" s="3">
        <v>0.16400367021560699</v>
      </c>
      <c r="AB2170" t="s">
        <v>14106</v>
      </c>
      <c r="AC2170" t="s">
        <v>4562</v>
      </c>
      <c r="AD2170" t="s">
        <v>14107</v>
      </c>
      <c r="AE2170" t="s">
        <v>4655</v>
      </c>
      <c r="AF2170" t="s">
        <v>4809</v>
      </c>
      <c r="AG2170" t="s">
        <v>4564</v>
      </c>
      <c r="AH2170" t="s">
        <v>5202</v>
      </c>
      <c r="AI2170" t="s">
        <v>4903</v>
      </c>
      <c r="AJ2170" t="s">
        <v>4655</v>
      </c>
      <c r="AK2170" t="s">
        <v>14108</v>
      </c>
      <c r="AL2170" s="13" t="s">
        <v>1886</v>
      </c>
      <c r="AM2170" s="14">
        <v>1</v>
      </c>
      <c r="AN2170" s="15" t="s">
        <v>4904</v>
      </c>
    </row>
    <row r="2171" spans="1:40" x14ac:dyDescent="0.3">
      <c r="A2171" s="10" t="str">
        <f>HYPERLINK("http://www.washoecounty.gov/assessor/cama/?parid=028-115-25&amp;CardNumber=1","028-115-25")</f>
        <v>028-115-25</v>
      </c>
      <c r="B2171" t="s">
        <v>4655</v>
      </c>
      <c r="C2171" t="s">
        <v>14109</v>
      </c>
      <c r="D2171" s="1">
        <v>40354</v>
      </c>
      <c r="E2171" s="2">
        <v>129000</v>
      </c>
      <c r="F2171" t="s">
        <v>4567</v>
      </c>
      <c r="G2171" s="17" t="str">
        <f>HYPERLINK("https://www.washoecounty.gov/assessor/cama/?command=sales&amp;parid=02811525","3895580")</f>
        <v>3895580</v>
      </c>
      <c r="H2171" t="s">
        <v>1446</v>
      </c>
      <c r="I2171">
        <v>1963</v>
      </c>
      <c r="J2171">
        <v>1970</v>
      </c>
      <c r="K2171" t="s">
        <v>4554</v>
      </c>
      <c r="L2171" t="s">
        <v>4555</v>
      </c>
      <c r="M2171" s="2">
        <v>1552</v>
      </c>
      <c r="N2171" t="s">
        <v>4556</v>
      </c>
      <c r="O2171">
        <v>4</v>
      </c>
      <c r="P2171">
        <v>3</v>
      </c>
      <c r="Q2171">
        <v>0</v>
      </c>
      <c r="R2171" t="s">
        <v>4557</v>
      </c>
      <c r="S2171" t="s">
        <v>4558</v>
      </c>
      <c r="T2171" t="s">
        <v>4559</v>
      </c>
      <c r="U2171" t="s">
        <v>4560</v>
      </c>
      <c r="V2171" s="2">
        <v>286</v>
      </c>
      <c r="W2171" t="s">
        <v>4655</v>
      </c>
      <c r="X2171" s="2">
        <v>0</v>
      </c>
      <c r="Y2171">
        <v>20</v>
      </c>
      <c r="Z2171" t="s">
        <v>5200</v>
      </c>
      <c r="AA2171" s="3">
        <v>0.14299815893173218</v>
      </c>
      <c r="AB2171" t="s">
        <v>14110</v>
      </c>
      <c r="AC2171" t="s">
        <v>4562</v>
      </c>
      <c r="AD2171" t="s">
        <v>14109</v>
      </c>
      <c r="AE2171" t="s">
        <v>4655</v>
      </c>
      <c r="AF2171" t="s">
        <v>5201</v>
      </c>
      <c r="AG2171" t="s">
        <v>4564</v>
      </c>
      <c r="AH2171" t="s">
        <v>5202</v>
      </c>
      <c r="AI2171" t="s">
        <v>4655</v>
      </c>
      <c r="AJ2171" t="s">
        <v>4655</v>
      </c>
      <c r="AK2171" t="s">
        <v>14111</v>
      </c>
      <c r="AL2171" s="13" t="s">
        <v>1886</v>
      </c>
      <c r="AM2171">
        <v>1</v>
      </c>
      <c r="AN2171" s="15" t="s">
        <v>4904</v>
      </c>
    </row>
    <row r="2172" spans="1:40" x14ac:dyDescent="0.3">
      <c r="A2172" s="10" t="str">
        <f>HYPERLINK("http://www.washoecounty.gov/assessor/cama/?parid=028-131-10&amp;CardNumber=1","028-131-10")</f>
        <v>028-131-10</v>
      </c>
      <c r="B2172" t="s">
        <v>4655</v>
      </c>
      <c r="C2172" t="s">
        <v>14112</v>
      </c>
      <c r="D2172" s="1">
        <v>40331</v>
      </c>
      <c r="E2172" s="2">
        <v>164900</v>
      </c>
      <c r="F2172" t="s">
        <v>4567</v>
      </c>
      <c r="G2172" s="17" t="str">
        <f>HYPERLINK("https://www.washoecounty.gov/assessor/cama/?command=sales&amp;parid=02813110","3887639")</f>
        <v>3887639</v>
      </c>
      <c r="H2172" t="s">
        <v>14113</v>
      </c>
      <c r="I2172">
        <v>1965</v>
      </c>
      <c r="J2172">
        <v>1965</v>
      </c>
      <c r="K2172" t="s">
        <v>4554</v>
      </c>
      <c r="L2172" t="s">
        <v>4555</v>
      </c>
      <c r="M2172" s="2">
        <v>1498</v>
      </c>
      <c r="N2172" t="s">
        <v>4048</v>
      </c>
      <c r="O2172">
        <v>3</v>
      </c>
      <c r="P2172">
        <v>2</v>
      </c>
      <c r="Q2172">
        <v>0</v>
      </c>
      <c r="R2172" t="s">
        <v>4557</v>
      </c>
      <c r="S2172" t="s">
        <v>4574</v>
      </c>
      <c r="T2172" t="s">
        <v>4559</v>
      </c>
      <c r="U2172" t="s">
        <v>4560</v>
      </c>
      <c r="V2172" s="2">
        <v>437</v>
      </c>
      <c r="W2172" t="s">
        <v>4655</v>
      </c>
      <c r="X2172" s="2">
        <v>0</v>
      </c>
      <c r="Y2172">
        <v>20</v>
      </c>
      <c r="Z2172" t="s">
        <v>5200</v>
      </c>
      <c r="AA2172" s="3">
        <v>0.13799357414245605</v>
      </c>
      <c r="AB2172" t="s">
        <v>14114</v>
      </c>
      <c r="AC2172" t="s">
        <v>4562</v>
      </c>
      <c r="AD2172" t="s">
        <v>14112</v>
      </c>
      <c r="AE2172" t="s">
        <v>4655</v>
      </c>
      <c r="AF2172" t="s">
        <v>5201</v>
      </c>
      <c r="AG2172" t="s">
        <v>4564</v>
      </c>
      <c r="AH2172" t="s">
        <v>1605</v>
      </c>
      <c r="AI2172" t="s">
        <v>14115</v>
      </c>
      <c r="AJ2172" t="s">
        <v>4655</v>
      </c>
      <c r="AK2172" t="s">
        <v>14116</v>
      </c>
      <c r="AL2172" s="13" t="s">
        <v>1886</v>
      </c>
      <c r="AM2172">
        <v>1</v>
      </c>
      <c r="AN2172" s="15" t="s">
        <v>1445</v>
      </c>
    </row>
    <row r="2173" spans="1:40" x14ac:dyDescent="0.3">
      <c r="A2173" s="10" t="str">
        <f>HYPERLINK("http://www.washoecounty.gov/assessor/cama/?parid=028-134-13&amp;CardNumber=1","028-134-13")</f>
        <v>028-134-13</v>
      </c>
      <c r="B2173" t="s">
        <v>4655</v>
      </c>
      <c r="C2173" t="s">
        <v>14117</v>
      </c>
      <c r="D2173" s="1">
        <v>40415</v>
      </c>
      <c r="E2173" s="2">
        <v>130000</v>
      </c>
      <c r="F2173" t="s">
        <v>4567</v>
      </c>
      <c r="G2173" s="17" t="str">
        <f>HYPERLINK("https://www.washoecounty.gov/assessor/cama/?command=sales&amp;parid=02813413","3915588")</f>
        <v>3915588</v>
      </c>
      <c r="H2173" t="s">
        <v>2272</v>
      </c>
      <c r="I2173">
        <v>1969</v>
      </c>
      <c r="J2173">
        <v>1969</v>
      </c>
      <c r="K2173" t="s">
        <v>4554</v>
      </c>
      <c r="L2173" t="s">
        <v>3974</v>
      </c>
      <c r="M2173" s="2">
        <v>2037</v>
      </c>
      <c r="N2173" t="s">
        <v>4048</v>
      </c>
      <c r="O2173">
        <v>5</v>
      </c>
      <c r="P2173">
        <v>3</v>
      </c>
      <c r="Q2173">
        <v>0</v>
      </c>
      <c r="R2173" t="s">
        <v>4676</v>
      </c>
      <c r="S2173" t="s">
        <v>4558</v>
      </c>
      <c r="T2173" t="s">
        <v>4559</v>
      </c>
      <c r="U2173" t="s">
        <v>4560</v>
      </c>
      <c r="V2173" s="2">
        <v>400</v>
      </c>
      <c r="W2173" t="s">
        <v>4655</v>
      </c>
      <c r="X2173" s="2">
        <v>0</v>
      </c>
      <c r="Y2173">
        <v>20</v>
      </c>
      <c r="Z2173" t="s">
        <v>5200</v>
      </c>
      <c r="AA2173" s="3">
        <v>0.14201101660728499</v>
      </c>
      <c r="AB2173" t="s">
        <v>14118</v>
      </c>
      <c r="AC2173" t="s">
        <v>4562</v>
      </c>
      <c r="AD2173" t="s">
        <v>14119</v>
      </c>
      <c r="AE2173" t="s">
        <v>4655</v>
      </c>
      <c r="AF2173" t="s">
        <v>5201</v>
      </c>
      <c r="AG2173" t="s">
        <v>4564</v>
      </c>
      <c r="AH2173" t="s">
        <v>5202</v>
      </c>
      <c r="AI2173" t="s">
        <v>14120</v>
      </c>
      <c r="AJ2173" t="s">
        <v>4655</v>
      </c>
      <c r="AK2173" t="s">
        <v>14121</v>
      </c>
      <c r="AL2173" s="13" t="s">
        <v>1886</v>
      </c>
      <c r="AM2173">
        <v>1</v>
      </c>
      <c r="AN2173" s="15" t="s">
        <v>1445</v>
      </c>
    </row>
    <row r="2174" spans="1:40" x14ac:dyDescent="0.3">
      <c r="A2174" s="10" t="str">
        <f>HYPERLINK("http://www.washoecounty.gov/assessor/cama/?parid=028-141-12&amp;CardNumber=1","028-141-12")</f>
        <v>028-141-12</v>
      </c>
      <c r="B2174" t="s">
        <v>4655</v>
      </c>
      <c r="C2174" t="s">
        <v>14122</v>
      </c>
      <c r="D2174" s="1">
        <v>40506</v>
      </c>
      <c r="E2174" s="2">
        <v>124900</v>
      </c>
      <c r="F2174" t="s">
        <v>4567</v>
      </c>
      <c r="G2174" s="17" t="str">
        <f>HYPERLINK("https://www.washoecounty.gov/assessor/cama/?command=sales&amp;parid=02814112","3946598")</f>
        <v>3946598</v>
      </c>
      <c r="H2174" t="s">
        <v>4230</v>
      </c>
      <c r="I2174">
        <v>1970</v>
      </c>
      <c r="J2174">
        <v>1970</v>
      </c>
      <c r="K2174" t="s">
        <v>4554</v>
      </c>
      <c r="L2174" t="s">
        <v>3974</v>
      </c>
      <c r="M2174" s="2">
        <v>1854</v>
      </c>
      <c r="N2174" t="s">
        <v>4048</v>
      </c>
      <c r="O2174">
        <v>3</v>
      </c>
      <c r="P2174">
        <v>2</v>
      </c>
      <c r="Q2174">
        <v>1</v>
      </c>
      <c r="R2174" t="s">
        <v>5281</v>
      </c>
      <c r="S2174" t="s">
        <v>4135</v>
      </c>
      <c r="T2174" t="s">
        <v>4559</v>
      </c>
      <c r="U2174" t="s">
        <v>5631</v>
      </c>
      <c r="V2174" s="2">
        <v>528</v>
      </c>
      <c r="W2174" t="s">
        <v>4655</v>
      </c>
      <c r="X2174" s="2">
        <v>0</v>
      </c>
      <c r="Y2174">
        <v>20</v>
      </c>
      <c r="Z2174" t="s">
        <v>5200</v>
      </c>
      <c r="AA2174" s="3">
        <v>0.14299815893173218</v>
      </c>
      <c r="AB2174" t="s">
        <v>14123</v>
      </c>
      <c r="AC2174" t="s">
        <v>4562</v>
      </c>
      <c r="AD2174" t="s">
        <v>14124</v>
      </c>
      <c r="AE2174" t="s">
        <v>4655</v>
      </c>
      <c r="AF2174" t="s">
        <v>5201</v>
      </c>
      <c r="AG2174" t="s">
        <v>4564</v>
      </c>
      <c r="AH2174" t="s">
        <v>5202</v>
      </c>
      <c r="AI2174" t="s">
        <v>14125</v>
      </c>
      <c r="AJ2174" t="s">
        <v>4655</v>
      </c>
      <c r="AK2174" t="s">
        <v>14126</v>
      </c>
      <c r="AL2174" s="13" t="s">
        <v>1886</v>
      </c>
      <c r="AM2174" s="14">
        <v>1</v>
      </c>
      <c r="AN2174" s="15" t="s">
        <v>1445</v>
      </c>
    </row>
    <row r="2175" spans="1:40" x14ac:dyDescent="0.3">
      <c r="A2175" s="10" t="str">
        <f>HYPERLINK("http://www.washoecounty.gov/assessor/cama/?parid=028-141-22&amp;CardNumber=1","028-141-22")</f>
        <v>028-141-22</v>
      </c>
      <c r="B2175" t="s">
        <v>4655</v>
      </c>
      <c r="C2175" t="s">
        <v>14127</v>
      </c>
      <c r="D2175" s="1">
        <v>40317</v>
      </c>
      <c r="E2175" s="2">
        <v>115000</v>
      </c>
      <c r="F2175" t="s">
        <v>4567</v>
      </c>
      <c r="G2175" s="17" t="str">
        <f>HYPERLINK("https://www.washoecounty.gov/assessor/cama/?command=sales&amp;parid=02814122","3883198")</f>
        <v>3883198</v>
      </c>
      <c r="H2175" t="s">
        <v>4230</v>
      </c>
      <c r="I2175">
        <v>1970</v>
      </c>
      <c r="J2175">
        <v>1970</v>
      </c>
      <c r="K2175" t="s">
        <v>4554</v>
      </c>
      <c r="L2175" t="s">
        <v>4555</v>
      </c>
      <c r="M2175" s="2">
        <v>1356</v>
      </c>
      <c r="N2175" t="s">
        <v>4048</v>
      </c>
      <c r="O2175">
        <v>3</v>
      </c>
      <c r="P2175">
        <v>2</v>
      </c>
      <c r="Q2175">
        <v>0</v>
      </c>
      <c r="R2175" t="s">
        <v>4557</v>
      </c>
      <c r="S2175" t="s">
        <v>4135</v>
      </c>
      <c r="T2175" t="s">
        <v>4559</v>
      </c>
      <c r="U2175" t="s">
        <v>4560</v>
      </c>
      <c r="V2175" s="2">
        <v>399</v>
      </c>
      <c r="W2175" t="s">
        <v>4655</v>
      </c>
      <c r="X2175" s="2">
        <v>0</v>
      </c>
      <c r="Y2175">
        <v>20</v>
      </c>
      <c r="Z2175" t="s">
        <v>5200</v>
      </c>
      <c r="AA2175" s="3">
        <v>0.14299815893173218</v>
      </c>
      <c r="AB2175" t="s">
        <v>14128</v>
      </c>
      <c r="AC2175" t="s">
        <v>4562</v>
      </c>
      <c r="AD2175" t="s">
        <v>14127</v>
      </c>
      <c r="AE2175" t="s">
        <v>4655</v>
      </c>
      <c r="AF2175" t="s">
        <v>5201</v>
      </c>
      <c r="AG2175" t="s">
        <v>4564</v>
      </c>
      <c r="AH2175" t="s">
        <v>5202</v>
      </c>
      <c r="AI2175" t="s">
        <v>14129</v>
      </c>
      <c r="AJ2175" t="s">
        <v>4655</v>
      </c>
      <c r="AK2175" t="s">
        <v>14130</v>
      </c>
      <c r="AL2175" s="13" t="s">
        <v>1886</v>
      </c>
      <c r="AM2175" s="14">
        <v>1</v>
      </c>
      <c r="AN2175" s="15" t="s">
        <v>1445</v>
      </c>
    </row>
    <row r="2176" spans="1:40" x14ac:dyDescent="0.3">
      <c r="A2176" s="10" t="str">
        <f>HYPERLINK("http://www.washoecounty.gov/assessor/cama/?parid=028-141-26&amp;CardNumber=1","028-141-26")</f>
        <v>028-141-26</v>
      </c>
      <c r="B2176" t="s">
        <v>4655</v>
      </c>
      <c r="C2176" t="s">
        <v>14131</v>
      </c>
      <c r="D2176" s="1">
        <v>40256</v>
      </c>
      <c r="E2176" s="2">
        <v>139900</v>
      </c>
      <c r="F2176" t="s">
        <v>4553</v>
      </c>
      <c r="G2176" s="17" t="str">
        <f>HYPERLINK("https://www.washoecounty.gov/assessor/cama/?command=sales&amp;parid=02814126","3861888")</f>
        <v>3861888</v>
      </c>
      <c r="H2176" t="s">
        <v>4230</v>
      </c>
      <c r="I2176">
        <v>1970</v>
      </c>
      <c r="J2176">
        <v>1970</v>
      </c>
      <c r="K2176" t="s">
        <v>4554</v>
      </c>
      <c r="L2176" t="s">
        <v>4555</v>
      </c>
      <c r="M2176" s="2">
        <v>1356</v>
      </c>
      <c r="N2176" t="s">
        <v>4048</v>
      </c>
      <c r="O2176">
        <v>3</v>
      </c>
      <c r="P2176">
        <v>2</v>
      </c>
      <c r="Q2176">
        <v>0</v>
      </c>
      <c r="R2176" t="s">
        <v>4557</v>
      </c>
      <c r="S2176" t="s">
        <v>4898</v>
      </c>
      <c r="T2176" t="s">
        <v>4559</v>
      </c>
      <c r="U2176" t="s">
        <v>4560</v>
      </c>
      <c r="V2176" s="2">
        <v>399</v>
      </c>
      <c r="W2176" t="s">
        <v>4655</v>
      </c>
      <c r="X2176" s="2">
        <v>0</v>
      </c>
      <c r="Y2176">
        <v>20</v>
      </c>
      <c r="Z2176" t="s">
        <v>5200</v>
      </c>
      <c r="AA2176" s="3">
        <v>0.14299815893173218</v>
      </c>
      <c r="AB2176" t="s">
        <v>14132</v>
      </c>
      <c r="AC2176" t="s">
        <v>4562</v>
      </c>
      <c r="AD2176" t="s">
        <v>14131</v>
      </c>
      <c r="AE2176" t="s">
        <v>4655</v>
      </c>
      <c r="AF2176" t="s">
        <v>5201</v>
      </c>
      <c r="AG2176" t="s">
        <v>4564</v>
      </c>
      <c r="AH2176" t="s">
        <v>5202</v>
      </c>
      <c r="AI2176" t="s">
        <v>14133</v>
      </c>
      <c r="AJ2176" t="s">
        <v>4655</v>
      </c>
      <c r="AK2176" t="s">
        <v>14134</v>
      </c>
      <c r="AL2176" s="13" t="s">
        <v>1886</v>
      </c>
      <c r="AM2176" s="14">
        <v>1</v>
      </c>
      <c r="AN2176" s="15" t="s">
        <v>1445</v>
      </c>
    </row>
    <row r="2177" spans="1:40" x14ac:dyDescent="0.3">
      <c r="A2177" s="10" t="str">
        <f>HYPERLINK("http://www.washoecounty.gov/assessor/cama/?parid=028-142-14&amp;CardNumber=1","028-142-14")</f>
        <v>028-142-14</v>
      </c>
      <c r="B2177" t="s">
        <v>4655</v>
      </c>
      <c r="C2177" t="s">
        <v>14135</v>
      </c>
      <c r="D2177" s="1">
        <v>40358</v>
      </c>
      <c r="E2177" s="2">
        <v>155000</v>
      </c>
      <c r="F2177" t="s">
        <v>4567</v>
      </c>
      <c r="G2177" s="17" t="str">
        <f>HYPERLINK("https://www.washoecounty.gov/assessor/cama/?command=sales&amp;parid=02814214","3896606")</f>
        <v>3896606</v>
      </c>
      <c r="H2177" t="s">
        <v>1025</v>
      </c>
      <c r="I2177">
        <v>1971</v>
      </c>
      <c r="J2177">
        <v>1971</v>
      </c>
      <c r="K2177" t="s">
        <v>4554</v>
      </c>
      <c r="L2177" t="s">
        <v>4555</v>
      </c>
      <c r="M2177" s="2">
        <v>1479</v>
      </c>
      <c r="N2177" t="s">
        <v>4048</v>
      </c>
      <c r="O2177">
        <v>4</v>
      </c>
      <c r="P2177">
        <v>2</v>
      </c>
      <c r="Q2177">
        <v>0</v>
      </c>
      <c r="R2177" t="s">
        <v>4557</v>
      </c>
      <c r="S2177" t="s">
        <v>4574</v>
      </c>
      <c r="T2177" t="s">
        <v>4559</v>
      </c>
      <c r="U2177" t="s">
        <v>4560</v>
      </c>
      <c r="V2177" s="2">
        <v>459</v>
      </c>
      <c r="W2177" t="s">
        <v>4655</v>
      </c>
      <c r="X2177" s="2">
        <v>0</v>
      </c>
      <c r="Y2177">
        <v>20</v>
      </c>
      <c r="Z2177" t="s">
        <v>5200</v>
      </c>
      <c r="AA2177" s="3">
        <v>0.22300276160240201</v>
      </c>
      <c r="AB2177" t="s">
        <v>14136</v>
      </c>
      <c r="AC2177" t="s">
        <v>4562</v>
      </c>
      <c r="AD2177" t="s">
        <v>14135</v>
      </c>
      <c r="AE2177" t="s">
        <v>4655</v>
      </c>
      <c r="AF2177" t="s">
        <v>5201</v>
      </c>
      <c r="AG2177" t="s">
        <v>4564</v>
      </c>
      <c r="AH2177" t="s">
        <v>5202</v>
      </c>
      <c r="AI2177" t="s">
        <v>14137</v>
      </c>
      <c r="AJ2177" t="s">
        <v>4655</v>
      </c>
      <c r="AK2177" t="s">
        <v>14138</v>
      </c>
      <c r="AL2177" s="13" t="s">
        <v>1886</v>
      </c>
      <c r="AM2177" s="14">
        <v>1</v>
      </c>
      <c r="AN2177" s="15" t="s">
        <v>1445</v>
      </c>
    </row>
    <row r="2178" spans="1:40" x14ac:dyDescent="0.3">
      <c r="A2178" s="10" t="str">
        <f>HYPERLINK("http://www.washoecounty.gov/assessor/cama/?parid=028-143-06&amp;CardNumber=1","028-143-06")</f>
        <v>028-143-06</v>
      </c>
      <c r="B2178" t="s">
        <v>4655</v>
      </c>
      <c r="C2178" t="s">
        <v>14139</v>
      </c>
      <c r="D2178" s="1">
        <v>40206</v>
      </c>
      <c r="E2178" s="2">
        <v>164900</v>
      </c>
      <c r="F2178" t="s">
        <v>4567</v>
      </c>
      <c r="G2178" s="17" t="str">
        <f>HYPERLINK("https://www.washoecounty.gov/assessor/cama/?command=sales&amp;parid=02814306","3843752")</f>
        <v>3843752</v>
      </c>
      <c r="H2178" t="s">
        <v>2272</v>
      </c>
      <c r="I2178">
        <v>1969</v>
      </c>
      <c r="J2178">
        <v>1969</v>
      </c>
      <c r="K2178" t="s">
        <v>4554</v>
      </c>
      <c r="L2178" t="s">
        <v>4555</v>
      </c>
      <c r="M2178" s="2">
        <v>1703</v>
      </c>
      <c r="N2178" t="s">
        <v>4048</v>
      </c>
      <c r="O2178">
        <v>3</v>
      </c>
      <c r="P2178">
        <v>2</v>
      </c>
      <c r="Q2178">
        <v>0</v>
      </c>
      <c r="R2178" t="s">
        <v>4676</v>
      </c>
      <c r="S2178" t="s">
        <v>4898</v>
      </c>
      <c r="T2178" t="s">
        <v>4559</v>
      </c>
      <c r="U2178" t="s">
        <v>4560</v>
      </c>
      <c r="V2178" s="2">
        <v>399</v>
      </c>
      <c r="W2178" t="s">
        <v>4655</v>
      </c>
      <c r="X2178" s="2">
        <v>0</v>
      </c>
      <c r="Y2178">
        <v>20</v>
      </c>
      <c r="Z2178" t="s">
        <v>5200</v>
      </c>
      <c r="AA2178" s="3">
        <v>0.14201101660728499</v>
      </c>
      <c r="AB2178" t="s">
        <v>14140</v>
      </c>
      <c r="AC2178" t="s">
        <v>4562</v>
      </c>
      <c r="AD2178" t="s">
        <v>14139</v>
      </c>
      <c r="AE2178" t="s">
        <v>4655</v>
      </c>
      <c r="AF2178" t="s">
        <v>5201</v>
      </c>
      <c r="AG2178" t="s">
        <v>4564</v>
      </c>
      <c r="AH2178" t="s">
        <v>5202</v>
      </c>
      <c r="AI2178" t="s">
        <v>14141</v>
      </c>
      <c r="AJ2178" t="s">
        <v>4655</v>
      </c>
      <c r="AK2178" t="s">
        <v>14142</v>
      </c>
      <c r="AL2178" s="13" t="s">
        <v>1886</v>
      </c>
      <c r="AM2178">
        <v>1</v>
      </c>
      <c r="AN2178" s="15" t="s">
        <v>1445</v>
      </c>
    </row>
    <row r="2179" spans="1:40" x14ac:dyDescent="0.3">
      <c r="A2179" s="10" t="str">
        <f>HYPERLINK("http://www.washoecounty.gov/assessor/cama/?parid=028-151-25&amp;CardNumber=1","028-151-25")</f>
        <v>028-151-25</v>
      </c>
      <c r="B2179" t="s">
        <v>4655</v>
      </c>
      <c r="C2179" t="s">
        <v>14143</v>
      </c>
      <c r="D2179" s="1">
        <v>40340</v>
      </c>
      <c r="E2179" s="2">
        <v>166000</v>
      </c>
      <c r="F2179" t="s">
        <v>4567</v>
      </c>
      <c r="G2179" s="17" t="str">
        <f>HYPERLINK("https://www.washoecounty.gov/assessor/cama/?command=sales&amp;parid=02815125","3890875")</f>
        <v>3890875</v>
      </c>
      <c r="H2179" t="s">
        <v>14144</v>
      </c>
      <c r="I2179">
        <v>1964</v>
      </c>
      <c r="J2179">
        <v>1964</v>
      </c>
      <c r="K2179" t="s">
        <v>4554</v>
      </c>
      <c r="L2179" t="s">
        <v>3886</v>
      </c>
      <c r="M2179" s="2">
        <v>2185</v>
      </c>
      <c r="N2179" t="s">
        <v>4048</v>
      </c>
      <c r="O2179">
        <v>5</v>
      </c>
      <c r="P2179">
        <v>3</v>
      </c>
      <c r="Q2179">
        <v>0</v>
      </c>
      <c r="R2179" t="s">
        <v>4557</v>
      </c>
      <c r="S2179" t="s">
        <v>4558</v>
      </c>
      <c r="T2179" t="s">
        <v>4559</v>
      </c>
      <c r="U2179" t="s">
        <v>4560</v>
      </c>
      <c r="V2179" s="2">
        <v>480</v>
      </c>
      <c r="W2179" t="s">
        <v>4655</v>
      </c>
      <c r="X2179" s="2">
        <v>0</v>
      </c>
      <c r="Y2179">
        <v>20</v>
      </c>
      <c r="Z2179" t="s">
        <v>5200</v>
      </c>
      <c r="AA2179" s="3">
        <v>0.14400826394558</v>
      </c>
      <c r="AB2179" t="s">
        <v>14145</v>
      </c>
      <c r="AC2179" t="s">
        <v>4562</v>
      </c>
      <c r="AD2179" t="s">
        <v>14143</v>
      </c>
      <c r="AE2179" t="s">
        <v>4655</v>
      </c>
      <c r="AF2179" t="s">
        <v>5201</v>
      </c>
      <c r="AG2179" t="s">
        <v>4564</v>
      </c>
      <c r="AH2179" t="s">
        <v>5202</v>
      </c>
      <c r="AI2179" t="s">
        <v>14146</v>
      </c>
      <c r="AJ2179" t="s">
        <v>4655</v>
      </c>
      <c r="AK2179" t="s">
        <v>14147</v>
      </c>
      <c r="AL2179" s="13" t="s">
        <v>1886</v>
      </c>
      <c r="AM2179">
        <v>1</v>
      </c>
      <c r="AN2179" s="15" t="s">
        <v>1445</v>
      </c>
    </row>
    <row r="2180" spans="1:40" x14ac:dyDescent="0.3">
      <c r="A2180" s="10" t="str">
        <f>HYPERLINK("http://www.washoecounty.gov/assessor/cama/?parid=028-161-04&amp;CardNumber=1","028-161-04")</f>
        <v>028-161-04</v>
      </c>
      <c r="B2180" t="s">
        <v>4655</v>
      </c>
      <c r="C2180" t="s">
        <v>14148</v>
      </c>
      <c r="D2180" s="1">
        <v>40431</v>
      </c>
      <c r="E2180" s="2">
        <v>124500</v>
      </c>
      <c r="F2180" t="s">
        <v>4553</v>
      </c>
      <c r="G2180" s="17" t="str">
        <f>HYPERLINK("https://www.washoecounty.gov/assessor/cama/?command=sales&amp;parid=02816104","3921179")</f>
        <v>3921179</v>
      </c>
      <c r="H2180" t="s">
        <v>4230</v>
      </c>
      <c r="I2180">
        <v>1971</v>
      </c>
      <c r="J2180">
        <v>1971</v>
      </c>
      <c r="K2180" t="s">
        <v>4554</v>
      </c>
      <c r="L2180" t="s">
        <v>3886</v>
      </c>
      <c r="M2180" s="2">
        <v>1400</v>
      </c>
      <c r="N2180" t="s">
        <v>4556</v>
      </c>
      <c r="O2180">
        <v>4</v>
      </c>
      <c r="P2180">
        <v>2</v>
      </c>
      <c r="Q2180">
        <v>0</v>
      </c>
      <c r="R2180" t="s">
        <v>4557</v>
      </c>
      <c r="S2180" t="s">
        <v>4135</v>
      </c>
      <c r="T2180" t="s">
        <v>4559</v>
      </c>
      <c r="U2180" t="s">
        <v>4560</v>
      </c>
      <c r="V2180" s="2">
        <v>338</v>
      </c>
      <c r="W2180" t="s">
        <v>4655</v>
      </c>
      <c r="X2180" s="2">
        <v>0</v>
      </c>
      <c r="Y2180">
        <v>20</v>
      </c>
      <c r="Z2180" t="s">
        <v>5200</v>
      </c>
      <c r="AA2180" s="3">
        <v>0.14499540627002699</v>
      </c>
      <c r="AB2180" t="s">
        <v>14149</v>
      </c>
      <c r="AC2180" t="s">
        <v>4562</v>
      </c>
      <c r="AD2180" t="s">
        <v>14148</v>
      </c>
      <c r="AE2180" t="s">
        <v>4655</v>
      </c>
      <c r="AF2180" t="s">
        <v>5201</v>
      </c>
      <c r="AG2180" t="s">
        <v>4564</v>
      </c>
      <c r="AH2180" t="s">
        <v>5202</v>
      </c>
      <c r="AI2180" t="s">
        <v>4903</v>
      </c>
      <c r="AJ2180" t="s">
        <v>4655</v>
      </c>
      <c r="AK2180" t="s">
        <v>14150</v>
      </c>
      <c r="AL2180" s="13" t="s">
        <v>1886</v>
      </c>
      <c r="AM2180" s="14">
        <v>1</v>
      </c>
      <c r="AN2180" s="15" t="s">
        <v>1445</v>
      </c>
    </row>
    <row r="2181" spans="1:40" x14ac:dyDescent="0.3">
      <c r="A2181" s="10" t="str">
        <f>HYPERLINK("http://www.washoecounty.gov/assessor/cama/?parid=028-161-21&amp;CardNumber=1","028-161-21")</f>
        <v>028-161-21</v>
      </c>
      <c r="B2181" t="s">
        <v>4655</v>
      </c>
      <c r="C2181" t="s">
        <v>14151</v>
      </c>
      <c r="D2181" s="1">
        <v>40185</v>
      </c>
      <c r="E2181" s="2">
        <v>95000</v>
      </c>
      <c r="F2181" t="s">
        <v>4567</v>
      </c>
      <c r="G2181" s="17" t="str">
        <f>HYPERLINK("https://www.washoecounty.gov/assessor/cama/?command=sales&amp;parid=02816121","3837302")</f>
        <v>3837302</v>
      </c>
      <c r="H2181" t="s">
        <v>14152</v>
      </c>
      <c r="I2181">
        <v>1963</v>
      </c>
      <c r="J2181">
        <v>1963</v>
      </c>
      <c r="K2181" t="s">
        <v>4554</v>
      </c>
      <c r="L2181" t="s">
        <v>4555</v>
      </c>
      <c r="M2181" s="2">
        <v>1196</v>
      </c>
      <c r="N2181" t="s">
        <v>4556</v>
      </c>
      <c r="O2181">
        <v>3</v>
      </c>
      <c r="P2181">
        <v>2</v>
      </c>
      <c r="Q2181">
        <v>0</v>
      </c>
      <c r="R2181" t="s">
        <v>4557</v>
      </c>
      <c r="S2181" t="s">
        <v>4574</v>
      </c>
      <c r="T2181" t="s">
        <v>4559</v>
      </c>
      <c r="U2181" t="s">
        <v>4560</v>
      </c>
      <c r="V2181" s="2">
        <v>480</v>
      </c>
      <c r="W2181" t="s">
        <v>4655</v>
      </c>
      <c r="X2181" s="2">
        <v>0</v>
      </c>
      <c r="Y2181">
        <v>20</v>
      </c>
      <c r="Z2181" t="s">
        <v>5200</v>
      </c>
      <c r="AA2181" s="3">
        <v>0.14499540627002699</v>
      </c>
      <c r="AB2181" t="s">
        <v>14153</v>
      </c>
      <c r="AC2181" t="s">
        <v>4562</v>
      </c>
      <c r="AD2181" t="s">
        <v>14151</v>
      </c>
      <c r="AE2181" t="s">
        <v>4655</v>
      </c>
      <c r="AF2181" t="s">
        <v>5201</v>
      </c>
      <c r="AG2181" t="s">
        <v>4564</v>
      </c>
      <c r="AH2181" t="s">
        <v>5202</v>
      </c>
      <c r="AI2181" t="s">
        <v>4655</v>
      </c>
      <c r="AJ2181" t="s">
        <v>4655</v>
      </c>
      <c r="AK2181" t="s">
        <v>14154</v>
      </c>
      <c r="AL2181" s="13" t="s">
        <v>1886</v>
      </c>
      <c r="AM2181" s="14">
        <v>1</v>
      </c>
      <c r="AN2181" s="15" t="s">
        <v>1445</v>
      </c>
    </row>
    <row r="2182" spans="1:40" x14ac:dyDescent="0.3">
      <c r="A2182" s="10" t="str">
        <f>HYPERLINK("http://www.washoecounty.gov/assessor/cama/?parid=028-162-26&amp;CardNumber=1","028-162-26")</f>
        <v>028-162-26</v>
      </c>
      <c r="B2182" t="s">
        <v>4655</v>
      </c>
      <c r="C2182" t="s">
        <v>14155</v>
      </c>
      <c r="D2182" s="1">
        <v>40457</v>
      </c>
      <c r="E2182" s="2">
        <v>120000</v>
      </c>
      <c r="F2182" t="s">
        <v>4567</v>
      </c>
      <c r="G2182" s="17" t="str">
        <f>HYPERLINK("https://www.washoecounty.gov/assessor/cama/?command=sales&amp;parid=02816226","3930334")</f>
        <v>3930334</v>
      </c>
      <c r="H2182" t="s">
        <v>14156</v>
      </c>
      <c r="I2182">
        <v>1971</v>
      </c>
      <c r="J2182">
        <v>1971</v>
      </c>
      <c r="K2182" t="s">
        <v>4554</v>
      </c>
      <c r="L2182" t="s">
        <v>4555</v>
      </c>
      <c r="M2182" s="2">
        <v>1333</v>
      </c>
      <c r="N2182" t="s">
        <v>4556</v>
      </c>
      <c r="O2182">
        <v>3</v>
      </c>
      <c r="P2182">
        <v>2</v>
      </c>
      <c r="Q2182">
        <v>0</v>
      </c>
      <c r="R2182" t="s">
        <v>4557</v>
      </c>
      <c r="S2182" t="s">
        <v>4574</v>
      </c>
      <c r="T2182" t="s">
        <v>4559</v>
      </c>
      <c r="U2182" t="s">
        <v>4560</v>
      </c>
      <c r="V2182" s="2">
        <v>441</v>
      </c>
      <c r="W2182" t="s">
        <v>4655</v>
      </c>
      <c r="X2182" s="2">
        <v>0</v>
      </c>
      <c r="Y2182">
        <v>20</v>
      </c>
      <c r="Z2182" t="s">
        <v>5200</v>
      </c>
      <c r="AA2182" s="3">
        <v>0.15500459074974099</v>
      </c>
      <c r="AB2182" t="s">
        <v>14157</v>
      </c>
      <c r="AC2182" t="s">
        <v>4562</v>
      </c>
      <c r="AD2182" t="s">
        <v>14155</v>
      </c>
      <c r="AE2182" t="s">
        <v>4655</v>
      </c>
      <c r="AF2182" t="s">
        <v>5201</v>
      </c>
      <c r="AG2182" t="s">
        <v>4564</v>
      </c>
      <c r="AH2182" t="s">
        <v>5202</v>
      </c>
      <c r="AI2182" t="s">
        <v>4655</v>
      </c>
      <c r="AJ2182" t="s">
        <v>4655</v>
      </c>
      <c r="AK2182" t="s">
        <v>14158</v>
      </c>
      <c r="AL2182" s="13" t="s">
        <v>1886</v>
      </c>
      <c r="AM2182">
        <v>1</v>
      </c>
      <c r="AN2182" s="15" t="s">
        <v>1445</v>
      </c>
    </row>
    <row r="2183" spans="1:40" x14ac:dyDescent="0.3">
      <c r="A2183" s="10" t="str">
        <f>HYPERLINK("http://www.washoecounty.gov/assessor/cama/?parid=028-172-19&amp;CardNumber=1","028-172-19")</f>
        <v>028-172-19</v>
      </c>
      <c r="B2183" t="s">
        <v>4655</v>
      </c>
      <c r="C2183" t="s">
        <v>14159</v>
      </c>
      <c r="D2183" s="1">
        <v>40263</v>
      </c>
      <c r="E2183" s="2">
        <v>122000</v>
      </c>
      <c r="F2183" t="s">
        <v>4567</v>
      </c>
      <c r="G2183" s="17" t="str">
        <f>HYPERLINK("https://www.washoecounty.gov/assessor/cama/?command=sales&amp;parid=02817219","3864667")</f>
        <v>3864667</v>
      </c>
      <c r="H2183" t="s">
        <v>452</v>
      </c>
      <c r="I2183">
        <v>1977</v>
      </c>
      <c r="J2183">
        <v>1977</v>
      </c>
      <c r="K2183" t="s">
        <v>4554</v>
      </c>
      <c r="L2183" t="s">
        <v>4555</v>
      </c>
      <c r="M2183" s="2">
        <v>1692</v>
      </c>
      <c r="N2183" t="s">
        <v>4048</v>
      </c>
      <c r="O2183">
        <v>3</v>
      </c>
      <c r="P2183">
        <v>2</v>
      </c>
      <c r="Q2183">
        <v>0</v>
      </c>
      <c r="R2183" t="s">
        <v>4557</v>
      </c>
      <c r="S2183" t="s">
        <v>4558</v>
      </c>
      <c r="T2183" t="s">
        <v>4143</v>
      </c>
      <c r="U2183" t="s">
        <v>4560</v>
      </c>
      <c r="V2183" s="2">
        <v>504</v>
      </c>
      <c r="W2183" t="s">
        <v>4655</v>
      </c>
      <c r="X2183" s="2">
        <v>0</v>
      </c>
      <c r="Y2183">
        <v>20</v>
      </c>
      <c r="Z2183" t="s">
        <v>5200</v>
      </c>
      <c r="AA2183" s="3">
        <v>0.14400826394558</v>
      </c>
      <c r="AB2183" t="s">
        <v>14160</v>
      </c>
      <c r="AC2183" t="s">
        <v>4562</v>
      </c>
      <c r="AD2183" t="s">
        <v>14159</v>
      </c>
      <c r="AE2183" t="s">
        <v>4655</v>
      </c>
      <c r="AF2183" t="s">
        <v>5201</v>
      </c>
      <c r="AG2183" t="s">
        <v>4564</v>
      </c>
      <c r="AH2183" t="s">
        <v>5202</v>
      </c>
      <c r="AI2183" t="s">
        <v>14161</v>
      </c>
      <c r="AJ2183" t="s">
        <v>4655</v>
      </c>
      <c r="AK2183" t="s">
        <v>14162</v>
      </c>
      <c r="AL2183" s="13" t="s">
        <v>1886</v>
      </c>
      <c r="AM2183" s="14">
        <v>1</v>
      </c>
      <c r="AN2183" s="15" t="s">
        <v>1445</v>
      </c>
    </row>
    <row r="2184" spans="1:40" x14ac:dyDescent="0.3">
      <c r="A2184" s="10" t="str">
        <f>HYPERLINK("http://www.washoecounty.gov/assessor/cama/?parid=028-173-03&amp;CardNumber=1","028-173-03")</f>
        <v>028-173-03</v>
      </c>
      <c r="B2184" t="s">
        <v>4655</v>
      </c>
      <c r="C2184" t="s">
        <v>14163</v>
      </c>
      <c r="D2184" s="1">
        <v>40263</v>
      </c>
      <c r="E2184" s="2">
        <v>131500</v>
      </c>
      <c r="F2184" t="s">
        <v>4553</v>
      </c>
      <c r="G2184" s="17" t="str">
        <f>HYPERLINK("https://www.washoecounty.gov/assessor/cama/?command=sales&amp;parid=02817303","3864464")</f>
        <v>3864464</v>
      </c>
      <c r="H2184" t="s">
        <v>14164</v>
      </c>
      <c r="I2184">
        <v>1974</v>
      </c>
      <c r="J2184">
        <v>1974</v>
      </c>
      <c r="K2184" t="s">
        <v>4554</v>
      </c>
      <c r="L2184" t="s">
        <v>4555</v>
      </c>
      <c r="M2184" s="2">
        <v>1435</v>
      </c>
      <c r="N2184" t="s">
        <v>4048</v>
      </c>
      <c r="O2184">
        <v>4</v>
      </c>
      <c r="P2184">
        <v>2</v>
      </c>
      <c r="Q2184">
        <v>0</v>
      </c>
      <c r="R2184" t="s">
        <v>4557</v>
      </c>
      <c r="S2184" t="s">
        <v>4135</v>
      </c>
      <c r="T2184" t="s">
        <v>4143</v>
      </c>
      <c r="U2184" t="s">
        <v>4560</v>
      </c>
      <c r="V2184" s="2">
        <v>462</v>
      </c>
      <c r="W2184" t="s">
        <v>4655</v>
      </c>
      <c r="X2184" s="2">
        <v>0</v>
      </c>
      <c r="Y2184">
        <v>20</v>
      </c>
      <c r="Z2184" t="s">
        <v>5200</v>
      </c>
      <c r="AA2184" s="3">
        <v>0.217998161911964</v>
      </c>
      <c r="AB2184" t="s">
        <v>14165</v>
      </c>
      <c r="AC2184" t="s">
        <v>4562</v>
      </c>
      <c r="AD2184" t="s">
        <v>14163</v>
      </c>
      <c r="AE2184" t="s">
        <v>4655</v>
      </c>
      <c r="AF2184" t="s">
        <v>5201</v>
      </c>
      <c r="AG2184" t="s">
        <v>4564</v>
      </c>
      <c r="AH2184" t="s">
        <v>5202</v>
      </c>
      <c r="AI2184" t="s">
        <v>4503</v>
      </c>
      <c r="AJ2184" t="s">
        <v>4655</v>
      </c>
      <c r="AK2184" t="s">
        <v>14166</v>
      </c>
      <c r="AL2184" s="13" t="s">
        <v>1886</v>
      </c>
      <c r="AM2184" s="14">
        <v>1</v>
      </c>
      <c r="AN2184" s="15" t="s">
        <v>1445</v>
      </c>
    </row>
    <row r="2185" spans="1:40" x14ac:dyDescent="0.3">
      <c r="A2185" s="10" t="str">
        <f>HYPERLINK("http://www.washoecounty.gov/assessor/cama/?parid=028-174-22&amp;CardNumber=1","028-174-22")</f>
        <v>028-174-22</v>
      </c>
      <c r="B2185" t="s">
        <v>4655</v>
      </c>
      <c r="C2185" t="s">
        <v>14167</v>
      </c>
      <c r="D2185" s="1">
        <v>40464</v>
      </c>
      <c r="E2185" s="2">
        <v>150000</v>
      </c>
      <c r="F2185" t="s">
        <v>4553</v>
      </c>
      <c r="G2185" s="17" t="str">
        <f>HYPERLINK("https://www.washoecounty.gov/assessor/cama/?command=sales&amp;parid=02817422","3932482")</f>
        <v>3932482</v>
      </c>
      <c r="H2185" t="s">
        <v>3493</v>
      </c>
      <c r="I2185">
        <v>1974</v>
      </c>
      <c r="J2185">
        <v>1974</v>
      </c>
      <c r="K2185" t="s">
        <v>4554</v>
      </c>
      <c r="L2185" t="s">
        <v>4555</v>
      </c>
      <c r="M2185" s="2">
        <v>1692</v>
      </c>
      <c r="N2185" t="s">
        <v>4048</v>
      </c>
      <c r="O2185">
        <v>3</v>
      </c>
      <c r="P2185">
        <v>2</v>
      </c>
      <c r="Q2185">
        <v>0</v>
      </c>
      <c r="R2185" t="s">
        <v>4557</v>
      </c>
      <c r="S2185" t="s">
        <v>4558</v>
      </c>
      <c r="T2185" t="s">
        <v>4559</v>
      </c>
      <c r="U2185" t="s">
        <v>4560</v>
      </c>
      <c r="V2185" s="2">
        <v>504</v>
      </c>
      <c r="W2185" t="s">
        <v>4655</v>
      </c>
      <c r="X2185" s="2">
        <v>0</v>
      </c>
      <c r="Y2185">
        <v>20</v>
      </c>
      <c r="Z2185" t="s">
        <v>5200</v>
      </c>
      <c r="AA2185" s="3">
        <v>0.13799357414245605</v>
      </c>
      <c r="AB2185" t="s">
        <v>14168</v>
      </c>
      <c r="AC2185" t="s">
        <v>4562</v>
      </c>
      <c r="AD2185" t="s">
        <v>14169</v>
      </c>
      <c r="AE2185" t="s">
        <v>4655</v>
      </c>
      <c r="AF2185" t="s">
        <v>4809</v>
      </c>
      <c r="AG2185" t="s">
        <v>4564</v>
      </c>
      <c r="AH2185" t="s">
        <v>5202</v>
      </c>
      <c r="AI2185" t="s">
        <v>4903</v>
      </c>
      <c r="AJ2185" t="s">
        <v>4655</v>
      </c>
      <c r="AK2185" t="s">
        <v>14170</v>
      </c>
      <c r="AL2185" s="13" t="s">
        <v>1886</v>
      </c>
      <c r="AM2185">
        <v>1</v>
      </c>
      <c r="AN2185" s="15" t="s">
        <v>1445</v>
      </c>
    </row>
    <row r="2186" spans="1:40" x14ac:dyDescent="0.3">
      <c r="A2186" s="10" t="str">
        <f>HYPERLINK("http://www.washoecounty.gov/assessor/cama/?parid=028-176-01&amp;CardNumber=1","028-176-01")</f>
        <v>028-176-01</v>
      </c>
      <c r="B2186" t="s">
        <v>4655</v>
      </c>
      <c r="C2186" t="s">
        <v>14171</v>
      </c>
      <c r="D2186" s="1">
        <v>40339</v>
      </c>
      <c r="E2186" s="2">
        <v>145000</v>
      </c>
      <c r="F2186" t="s">
        <v>4567</v>
      </c>
      <c r="G2186" s="17" t="str">
        <f>HYPERLINK("https://www.washoecounty.gov/assessor/cama/?command=sales&amp;parid=02817601","3890151")</f>
        <v>3890151</v>
      </c>
      <c r="H2186" t="s">
        <v>3493</v>
      </c>
      <c r="I2186">
        <v>1975</v>
      </c>
      <c r="J2186">
        <v>1975</v>
      </c>
      <c r="K2186" t="s">
        <v>4554</v>
      </c>
      <c r="L2186" t="s">
        <v>4555</v>
      </c>
      <c r="M2186" s="2">
        <v>1692</v>
      </c>
      <c r="N2186" t="s">
        <v>4048</v>
      </c>
      <c r="O2186">
        <v>3</v>
      </c>
      <c r="P2186">
        <v>2</v>
      </c>
      <c r="Q2186">
        <v>0</v>
      </c>
      <c r="R2186" t="s">
        <v>4557</v>
      </c>
      <c r="S2186" t="s">
        <v>4558</v>
      </c>
      <c r="T2186" t="s">
        <v>4559</v>
      </c>
      <c r="U2186" t="s">
        <v>4560</v>
      </c>
      <c r="V2186" s="2">
        <v>504</v>
      </c>
      <c r="W2186" t="s">
        <v>4655</v>
      </c>
      <c r="X2186" s="2">
        <v>0</v>
      </c>
      <c r="Y2186">
        <v>20</v>
      </c>
      <c r="Z2186" t="s">
        <v>5200</v>
      </c>
      <c r="AA2186" s="3">
        <v>0.13700643181800801</v>
      </c>
      <c r="AB2186" t="s">
        <v>14172</v>
      </c>
      <c r="AC2186" t="s">
        <v>4562</v>
      </c>
      <c r="AD2186" t="s">
        <v>14171</v>
      </c>
      <c r="AE2186" t="s">
        <v>4655</v>
      </c>
      <c r="AF2186" t="s">
        <v>5201</v>
      </c>
      <c r="AG2186" t="s">
        <v>4564</v>
      </c>
      <c r="AH2186" t="s">
        <v>5202</v>
      </c>
      <c r="AI2186" t="s">
        <v>14173</v>
      </c>
      <c r="AJ2186" t="s">
        <v>4655</v>
      </c>
      <c r="AK2186" t="s">
        <v>14174</v>
      </c>
      <c r="AL2186" s="13" t="s">
        <v>1886</v>
      </c>
      <c r="AM2186" s="14">
        <v>1</v>
      </c>
      <c r="AN2186" s="15" t="s">
        <v>1445</v>
      </c>
    </row>
    <row r="2187" spans="1:40" x14ac:dyDescent="0.3">
      <c r="A2187" s="10" t="str">
        <f>HYPERLINK("http://www.washoecounty.gov/assessor/cama/?parid=028-183-12&amp;CardNumber=1","028-183-12")</f>
        <v>028-183-12</v>
      </c>
      <c r="B2187" t="s">
        <v>4655</v>
      </c>
      <c r="C2187" t="s">
        <v>14175</v>
      </c>
      <c r="D2187" s="1">
        <v>40338</v>
      </c>
      <c r="E2187" s="2">
        <v>125000</v>
      </c>
      <c r="F2187" t="s">
        <v>4553</v>
      </c>
      <c r="G2187" s="17" t="str">
        <f>HYPERLINK("https://www.washoecounty.gov/assessor/cama/?command=sales&amp;parid=02818312","3889778")</f>
        <v>3889778</v>
      </c>
      <c r="H2187" t="s">
        <v>1295</v>
      </c>
      <c r="I2187">
        <v>1962</v>
      </c>
      <c r="J2187">
        <v>1962</v>
      </c>
      <c r="K2187" t="s">
        <v>4554</v>
      </c>
      <c r="L2187" t="s">
        <v>4555</v>
      </c>
      <c r="M2187" s="2">
        <v>1176</v>
      </c>
      <c r="N2187" t="s">
        <v>4556</v>
      </c>
      <c r="O2187">
        <v>3</v>
      </c>
      <c r="P2187">
        <v>2</v>
      </c>
      <c r="Q2187">
        <v>0</v>
      </c>
      <c r="R2187" t="s">
        <v>4557</v>
      </c>
      <c r="S2187" t="s">
        <v>4558</v>
      </c>
      <c r="T2187" t="s">
        <v>4559</v>
      </c>
      <c r="U2187" t="s">
        <v>4560</v>
      </c>
      <c r="V2187" s="2">
        <v>441</v>
      </c>
      <c r="W2187" t="s">
        <v>4655</v>
      </c>
      <c r="X2187" s="2">
        <v>0</v>
      </c>
      <c r="Y2187">
        <v>20</v>
      </c>
      <c r="Z2187" t="s">
        <v>5200</v>
      </c>
      <c r="AA2187" s="3">
        <v>0.17100550234317799</v>
      </c>
      <c r="AB2187" t="s">
        <v>14176</v>
      </c>
      <c r="AC2187" t="s">
        <v>4562</v>
      </c>
      <c r="AD2187" t="s">
        <v>14175</v>
      </c>
      <c r="AE2187" t="s">
        <v>4655</v>
      </c>
      <c r="AF2187" t="s">
        <v>5201</v>
      </c>
      <c r="AG2187" t="s">
        <v>4564</v>
      </c>
      <c r="AH2187" t="s">
        <v>5202</v>
      </c>
      <c r="AI2187" t="s">
        <v>949</v>
      </c>
      <c r="AJ2187" t="s">
        <v>4655</v>
      </c>
      <c r="AK2187" t="s">
        <v>14177</v>
      </c>
      <c r="AL2187" s="13" t="s">
        <v>1886</v>
      </c>
      <c r="AM2187" s="14">
        <v>1</v>
      </c>
      <c r="AN2187" s="15" t="s">
        <v>4904</v>
      </c>
    </row>
    <row r="2188" spans="1:40" x14ac:dyDescent="0.3">
      <c r="A2188" s="10" t="str">
        <f>HYPERLINK("http://www.washoecounty.gov/assessor/cama/?parid=028-184-11&amp;CardNumber=1","028-184-11")</f>
        <v>028-184-11</v>
      </c>
      <c r="B2188" t="s">
        <v>4655</v>
      </c>
      <c r="C2188" t="s">
        <v>14178</v>
      </c>
      <c r="D2188" s="1">
        <v>40233</v>
      </c>
      <c r="E2188" s="2">
        <v>120000</v>
      </c>
      <c r="F2188" t="s">
        <v>4553</v>
      </c>
      <c r="G2188" s="17" t="str">
        <f>HYPERLINK("https://www.washoecounty.gov/assessor/cama/?command=sales&amp;parid=02818411","3852385")</f>
        <v>3852385</v>
      </c>
      <c r="H2188" t="s">
        <v>1295</v>
      </c>
      <c r="I2188">
        <v>1962</v>
      </c>
      <c r="J2188">
        <v>1962</v>
      </c>
      <c r="K2188" t="s">
        <v>4554</v>
      </c>
      <c r="L2188" t="s">
        <v>4555</v>
      </c>
      <c r="M2188" s="2">
        <v>1176</v>
      </c>
      <c r="N2188" t="s">
        <v>4556</v>
      </c>
      <c r="O2188">
        <v>3</v>
      </c>
      <c r="P2188">
        <v>2</v>
      </c>
      <c r="Q2188">
        <v>0</v>
      </c>
      <c r="R2188" t="s">
        <v>4557</v>
      </c>
      <c r="S2188" t="s">
        <v>4135</v>
      </c>
      <c r="T2188" t="s">
        <v>4559</v>
      </c>
      <c r="U2188" t="s">
        <v>162</v>
      </c>
      <c r="V2188" s="2">
        <v>921</v>
      </c>
      <c r="W2188" t="s">
        <v>4655</v>
      </c>
      <c r="X2188" s="2">
        <v>0</v>
      </c>
      <c r="Y2188">
        <v>20</v>
      </c>
      <c r="Z2188" t="s">
        <v>5200</v>
      </c>
      <c r="AA2188" s="3">
        <v>0.17800734937191001</v>
      </c>
      <c r="AB2188" t="s">
        <v>14179</v>
      </c>
      <c r="AC2188" t="s">
        <v>4562</v>
      </c>
      <c r="AD2188" t="s">
        <v>14180</v>
      </c>
      <c r="AE2188" t="s">
        <v>4655</v>
      </c>
      <c r="AF2188" t="s">
        <v>4809</v>
      </c>
      <c r="AG2188" t="s">
        <v>4564</v>
      </c>
      <c r="AH2188" t="s">
        <v>5202</v>
      </c>
      <c r="AI2188" t="s">
        <v>4045</v>
      </c>
      <c r="AJ2188" t="s">
        <v>4655</v>
      </c>
      <c r="AK2188" t="s">
        <v>14181</v>
      </c>
      <c r="AL2188" s="13" t="s">
        <v>1886</v>
      </c>
      <c r="AM2188">
        <v>1</v>
      </c>
      <c r="AN2188" s="15" t="s">
        <v>4904</v>
      </c>
    </row>
    <row r="2189" spans="1:40" x14ac:dyDescent="0.3">
      <c r="A2189" s="10" t="str">
        <f>HYPERLINK("http://www.washoecounty.gov/assessor/cama/?parid=028-186-02&amp;CardNumber=1","028-186-02")</f>
        <v>028-186-02</v>
      </c>
      <c r="B2189" t="s">
        <v>4655</v>
      </c>
      <c r="C2189" t="s">
        <v>14182</v>
      </c>
      <c r="D2189" s="1">
        <v>40288</v>
      </c>
      <c r="E2189" s="2">
        <v>120000</v>
      </c>
      <c r="F2189" t="s">
        <v>4553</v>
      </c>
      <c r="G2189" s="17" t="str">
        <f>HYPERLINK("https://www.washoecounty.gov/assessor/cama/?command=sales&amp;parid=02818602","3872932")</f>
        <v>3872932</v>
      </c>
      <c r="H2189" t="s">
        <v>816</v>
      </c>
      <c r="I2189">
        <v>1962</v>
      </c>
      <c r="J2189">
        <v>1962</v>
      </c>
      <c r="K2189" t="s">
        <v>4554</v>
      </c>
      <c r="L2189" t="s">
        <v>4555</v>
      </c>
      <c r="M2189" s="2">
        <v>1344</v>
      </c>
      <c r="N2189" t="s">
        <v>4556</v>
      </c>
      <c r="O2189">
        <v>3</v>
      </c>
      <c r="P2189">
        <v>2</v>
      </c>
      <c r="Q2189">
        <v>0</v>
      </c>
      <c r="R2189" t="s">
        <v>4557</v>
      </c>
      <c r="S2189" t="s">
        <v>4558</v>
      </c>
      <c r="T2189" t="s">
        <v>4559</v>
      </c>
      <c r="U2189" t="s">
        <v>4560</v>
      </c>
      <c r="V2189" s="2">
        <v>273</v>
      </c>
      <c r="W2189" t="s">
        <v>4655</v>
      </c>
      <c r="X2189" s="2">
        <v>0</v>
      </c>
      <c r="Y2189">
        <v>20</v>
      </c>
      <c r="Z2189" t="s">
        <v>5200</v>
      </c>
      <c r="AA2189" s="3">
        <v>0.13999082148075101</v>
      </c>
      <c r="AB2189" t="s">
        <v>14183</v>
      </c>
      <c r="AC2189" t="s">
        <v>4562</v>
      </c>
      <c r="AD2189" t="s">
        <v>14184</v>
      </c>
      <c r="AE2189" t="s">
        <v>4655</v>
      </c>
      <c r="AF2189" t="s">
        <v>4809</v>
      </c>
      <c r="AG2189" t="s">
        <v>4564</v>
      </c>
      <c r="AH2189" t="s">
        <v>5202</v>
      </c>
      <c r="AI2189" t="s">
        <v>6198</v>
      </c>
      <c r="AJ2189" t="s">
        <v>4655</v>
      </c>
      <c r="AK2189" t="s">
        <v>14185</v>
      </c>
      <c r="AL2189" s="13" t="s">
        <v>1886</v>
      </c>
      <c r="AM2189" s="14">
        <v>1</v>
      </c>
      <c r="AN2189" s="15" t="s">
        <v>4904</v>
      </c>
    </row>
    <row r="2190" spans="1:40" x14ac:dyDescent="0.3">
      <c r="A2190" s="10" t="str">
        <f>HYPERLINK("http://www.washoecounty.gov/assessor/cama/?parid=028-186-04&amp;CardNumber=1","028-186-04")</f>
        <v>028-186-04</v>
      </c>
      <c r="B2190" t="s">
        <v>4655</v>
      </c>
      <c r="C2190" t="s">
        <v>14186</v>
      </c>
      <c r="D2190" s="1">
        <v>40375</v>
      </c>
      <c r="E2190" s="2">
        <v>87000</v>
      </c>
      <c r="F2190" t="s">
        <v>4567</v>
      </c>
      <c r="G2190" s="17" t="str">
        <f>HYPERLINK("https://www.washoecounty.gov/assessor/cama/?command=sales&amp;parid=02818604","3902382")</f>
        <v>3902382</v>
      </c>
      <c r="H2190" t="s">
        <v>816</v>
      </c>
      <c r="I2190">
        <v>1962</v>
      </c>
      <c r="J2190">
        <v>1962</v>
      </c>
      <c r="K2190" t="s">
        <v>4554</v>
      </c>
      <c r="L2190" t="s">
        <v>4555</v>
      </c>
      <c r="M2190" s="2">
        <v>988</v>
      </c>
      <c r="N2190" t="s">
        <v>4556</v>
      </c>
      <c r="O2190">
        <v>3</v>
      </c>
      <c r="P2190">
        <v>1</v>
      </c>
      <c r="Q2190">
        <v>0</v>
      </c>
      <c r="R2190" t="s">
        <v>4557</v>
      </c>
      <c r="S2190" t="s">
        <v>4135</v>
      </c>
      <c r="T2190" t="s">
        <v>4559</v>
      </c>
      <c r="U2190" t="s">
        <v>4655</v>
      </c>
      <c r="V2190" s="2">
        <v>0</v>
      </c>
      <c r="W2190" t="s">
        <v>4655</v>
      </c>
      <c r="X2190" s="2">
        <v>0</v>
      </c>
      <c r="Y2190">
        <v>20</v>
      </c>
      <c r="Z2190" t="s">
        <v>5200</v>
      </c>
      <c r="AA2190" s="3">
        <v>0.13900367915630299</v>
      </c>
      <c r="AB2190" t="s">
        <v>190</v>
      </c>
      <c r="AC2190" t="s">
        <v>4562</v>
      </c>
      <c r="AD2190" t="s">
        <v>1704</v>
      </c>
      <c r="AE2190" t="s">
        <v>4655</v>
      </c>
      <c r="AF2190" t="s">
        <v>5201</v>
      </c>
      <c r="AG2190" t="s">
        <v>4564</v>
      </c>
      <c r="AH2190" t="s">
        <v>1605</v>
      </c>
      <c r="AI2190" t="s">
        <v>4419</v>
      </c>
      <c r="AJ2190" t="s">
        <v>4655</v>
      </c>
      <c r="AK2190" t="s">
        <v>14187</v>
      </c>
      <c r="AL2190" s="13" t="s">
        <v>1886</v>
      </c>
      <c r="AM2190">
        <v>1</v>
      </c>
      <c r="AN2190" s="15" t="s">
        <v>4904</v>
      </c>
    </row>
    <row r="2191" spans="1:40" x14ac:dyDescent="0.3">
      <c r="A2191" s="10" t="str">
        <f>HYPERLINK("http://www.washoecounty.gov/assessor/cama/?parid=028-186-05&amp;CardNumber=1","028-186-05")</f>
        <v>028-186-05</v>
      </c>
      <c r="B2191" t="s">
        <v>4655</v>
      </c>
      <c r="C2191" t="s">
        <v>14188</v>
      </c>
      <c r="D2191" s="1">
        <v>40351</v>
      </c>
      <c r="E2191" s="2">
        <v>111500</v>
      </c>
      <c r="F2191" t="s">
        <v>4553</v>
      </c>
      <c r="G2191" s="17" t="str">
        <f>HYPERLINK("https://www.washoecounty.gov/assessor/cama/?command=sales&amp;parid=02818605","3894299")</f>
        <v>3894299</v>
      </c>
      <c r="H2191" t="s">
        <v>816</v>
      </c>
      <c r="I2191">
        <v>1962</v>
      </c>
      <c r="J2191">
        <v>1962</v>
      </c>
      <c r="K2191" t="s">
        <v>4554</v>
      </c>
      <c r="L2191" t="s">
        <v>4555</v>
      </c>
      <c r="M2191" s="2">
        <v>1176</v>
      </c>
      <c r="N2191" t="s">
        <v>4556</v>
      </c>
      <c r="O2191">
        <v>3</v>
      </c>
      <c r="P2191">
        <v>2</v>
      </c>
      <c r="Q2191">
        <v>0</v>
      </c>
      <c r="R2191" t="s">
        <v>4557</v>
      </c>
      <c r="S2191" t="s">
        <v>4135</v>
      </c>
      <c r="T2191" t="s">
        <v>4559</v>
      </c>
      <c r="U2191" t="s">
        <v>4655</v>
      </c>
      <c r="V2191" s="2">
        <v>0</v>
      </c>
      <c r="W2191" t="s">
        <v>4655</v>
      </c>
      <c r="X2191" s="2">
        <v>0</v>
      </c>
      <c r="Y2191">
        <v>20</v>
      </c>
      <c r="Z2191" t="s">
        <v>5200</v>
      </c>
      <c r="AA2191" s="3">
        <v>0.16799816489219666</v>
      </c>
      <c r="AB2191" t="s">
        <v>14189</v>
      </c>
      <c r="AC2191" t="s">
        <v>4562</v>
      </c>
      <c r="AD2191" t="s">
        <v>14190</v>
      </c>
      <c r="AE2191" t="s">
        <v>4655</v>
      </c>
      <c r="AF2191" t="s">
        <v>4809</v>
      </c>
      <c r="AG2191" t="s">
        <v>4564</v>
      </c>
      <c r="AH2191" t="s">
        <v>5202</v>
      </c>
      <c r="AI2191" t="s">
        <v>14191</v>
      </c>
      <c r="AJ2191" t="s">
        <v>4655</v>
      </c>
      <c r="AK2191" t="s">
        <v>14192</v>
      </c>
      <c r="AL2191" s="13" t="s">
        <v>1886</v>
      </c>
      <c r="AM2191">
        <v>1</v>
      </c>
      <c r="AN2191" s="15" t="s">
        <v>4904</v>
      </c>
    </row>
    <row r="2192" spans="1:40" x14ac:dyDescent="0.3">
      <c r="A2192" s="10" t="str">
        <f>HYPERLINK("http://www.washoecounty.gov/assessor/cama/?parid=028-187-08&amp;CardNumber=1","028-187-08")</f>
        <v>028-187-08</v>
      </c>
      <c r="B2192" t="s">
        <v>4655</v>
      </c>
      <c r="C2192" t="s">
        <v>14193</v>
      </c>
      <c r="D2192" s="1">
        <v>40277</v>
      </c>
      <c r="E2192" s="2">
        <v>120000</v>
      </c>
      <c r="F2192" t="s">
        <v>4567</v>
      </c>
      <c r="G2192" s="17" t="str">
        <f>HYPERLINK("https://www.washoecounty.gov/assessor/cama/?command=sales&amp;parid=02818708","3869638")</f>
        <v>3869638</v>
      </c>
      <c r="H2192" t="s">
        <v>14194</v>
      </c>
      <c r="I2192">
        <v>1962</v>
      </c>
      <c r="J2192">
        <v>1962</v>
      </c>
      <c r="K2192" t="s">
        <v>4554</v>
      </c>
      <c r="L2192" t="s">
        <v>4555</v>
      </c>
      <c r="M2192" s="2">
        <v>1344</v>
      </c>
      <c r="N2192" t="s">
        <v>4556</v>
      </c>
      <c r="O2192">
        <v>3</v>
      </c>
      <c r="P2192">
        <v>2</v>
      </c>
      <c r="Q2192">
        <v>0</v>
      </c>
      <c r="R2192" t="s">
        <v>5281</v>
      </c>
      <c r="S2192" t="s">
        <v>4135</v>
      </c>
      <c r="T2192" t="s">
        <v>4559</v>
      </c>
      <c r="U2192" t="s">
        <v>4560</v>
      </c>
      <c r="V2192" s="2">
        <v>273</v>
      </c>
      <c r="W2192" t="s">
        <v>4655</v>
      </c>
      <c r="X2192" s="2">
        <v>0</v>
      </c>
      <c r="Y2192">
        <v>20</v>
      </c>
      <c r="Z2192" t="s">
        <v>5200</v>
      </c>
      <c r="AA2192" s="3">
        <v>0.18399907648563399</v>
      </c>
      <c r="AB2192" t="s">
        <v>14195</v>
      </c>
      <c r="AC2192" t="s">
        <v>4562</v>
      </c>
      <c r="AD2192" t="s">
        <v>14193</v>
      </c>
      <c r="AE2192" t="s">
        <v>4655</v>
      </c>
      <c r="AF2192" t="s">
        <v>5201</v>
      </c>
      <c r="AG2192" t="s">
        <v>4564</v>
      </c>
      <c r="AH2192" t="s">
        <v>5202</v>
      </c>
      <c r="AI2192" t="s">
        <v>4655</v>
      </c>
      <c r="AJ2192" t="s">
        <v>4655</v>
      </c>
      <c r="AK2192" t="s">
        <v>14196</v>
      </c>
      <c r="AL2192" s="13" t="s">
        <v>1886</v>
      </c>
      <c r="AM2192">
        <v>1</v>
      </c>
      <c r="AN2192" s="15" t="s">
        <v>4904</v>
      </c>
    </row>
    <row r="2193" spans="1:40" x14ac:dyDescent="0.3">
      <c r="A2193" s="10" t="str">
        <f>HYPERLINK("http://www.washoecounty.gov/assessor/cama/?parid=028-191-14&amp;CardNumber=1","028-191-14")</f>
        <v>028-191-14</v>
      </c>
      <c r="B2193" t="s">
        <v>4655</v>
      </c>
      <c r="C2193" t="s">
        <v>14197</v>
      </c>
      <c r="D2193" s="1">
        <v>40268</v>
      </c>
      <c r="E2193" s="2">
        <v>99000</v>
      </c>
      <c r="F2193" t="s">
        <v>4567</v>
      </c>
      <c r="G2193" s="17" t="str">
        <f>HYPERLINK("https://www.washoecounty.gov/assessor/cama/?command=sales&amp;parid=02819114","3866648")</f>
        <v>3866648</v>
      </c>
      <c r="H2193" t="s">
        <v>4417</v>
      </c>
      <c r="I2193">
        <v>1981</v>
      </c>
      <c r="J2193">
        <v>1981</v>
      </c>
      <c r="K2193" t="s">
        <v>4554</v>
      </c>
      <c r="L2193" t="s">
        <v>4555</v>
      </c>
      <c r="M2193" s="2">
        <v>960</v>
      </c>
      <c r="N2193" t="s">
        <v>4048</v>
      </c>
      <c r="O2193">
        <v>2</v>
      </c>
      <c r="P2193">
        <v>1</v>
      </c>
      <c r="Q2193">
        <v>0</v>
      </c>
      <c r="R2193" t="s">
        <v>4557</v>
      </c>
      <c r="S2193" t="s">
        <v>4558</v>
      </c>
      <c r="T2193" t="s">
        <v>4559</v>
      </c>
      <c r="U2193" t="s">
        <v>4560</v>
      </c>
      <c r="V2193" s="2">
        <v>432</v>
      </c>
      <c r="W2193" t="s">
        <v>4655</v>
      </c>
      <c r="X2193" s="2">
        <v>0</v>
      </c>
      <c r="Y2193">
        <v>20</v>
      </c>
      <c r="Z2193" t="s">
        <v>5200</v>
      </c>
      <c r="AA2193" s="3">
        <v>0.13900367915630299</v>
      </c>
      <c r="AB2193" t="s">
        <v>14198</v>
      </c>
      <c r="AC2193" t="s">
        <v>4575</v>
      </c>
      <c r="AD2193" t="s">
        <v>14199</v>
      </c>
      <c r="AE2193" t="s">
        <v>4655</v>
      </c>
      <c r="AF2193" t="s">
        <v>5201</v>
      </c>
      <c r="AG2193" t="s">
        <v>4564</v>
      </c>
      <c r="AH2193" t="s">
        <v>5202</v>
      </c>
      <c r="AI2193" t="s">
        <v>14198</v>
      </c>
      <c r="AJ2193" t="s">
        <v>4655</v>
      </c>
      <c r="AK2193" t="s">
        <v>14200</v>
      </c>
      <c r="AL2193" s="13" t="s">
        <v>3425</v>
      </c>
      <c r="AM2193">
        <v>1</v>
      </c>
      <c r="AN2193" s="15" t="s">
        <v>1445</v>
      </c>
    </row>
    <row r="2194" spans="1:40" x14ac:dyDescent="0.3">
      <c r="A2194" s="10" t="str">
        <f>HYPERLINK("http://www.washoecounty.gov/assessor/cama/?parid=028-194-03&amp;CardNumber=1","028-194-03")</f>
        <v>028-194-03</v>
      </c>
      <c r="B2194" t="s">
        <v>4655</v>
      </c>
      <c r="C2194" t="s">
        <v>14201</v>
      </c>
      <c r="D2194" s="1">
        <v>40458</v>
      </c>
      <c r="E2194" s="2">
        <v>90000</v>
      </c>
      <c r="F2194" t="s">
        <v>4567</v>
      </c>
      <c r="G2194" s="17" t="str">
        <f>HYPERLINK("https://www.washoecounty.gov/assessor/cama/?command=sales&amp;parid=02819403","3930779")</f>
        <v>3930779</v>
      </c>
      <c r="H2194" t="s">
        <v>1981</v>
      </c>
      <c r="I2194">
        <v>1973</v>
      </c>
      <c r="J2194">
        <v>1973</v>
      </c>
      <c r="K2194" t="s">
        <v>4554</v>
      </c>
      <c r="L2194" t="s">
        <v>4555</v>
      </c>
      <c r="M2194" s="2">
        <v>1288</v>
      </c>
      <c r="N2194" t="s">
        <v>4048</v>
      </c>
      <c r="O2194">
        <v>3</v>
      </c>
      <c r="P2194">
        <v>2</v>
      </c>
      <c r="Q2194">
        <v>0</v>
      </c>
      <c r="R2194" t="s">
        <v>5281</v>
      </c>
      <c r="S2194" t="s">
        <v>4558</v>
      </c>
      <c r="T2194" t="s">
        <v>4559</v>
      </c>
      <c r="U2194" t="s">
        <v>4560</v>
      </c>
      <c r="V2194" s="2">
        <v>528</v>
      </c>
      <c r="W2194" t="s">
        <v>4655</v>
      </c>
      <c r="X2194" s="2">
        <v>0</v>
      </c>
      <c r="Y2194">
        <v>20</v>
      </c>
      <c r="Z2194" t="s">
        <v>5200</v>
      </c>
      <c r="AA2194" s="3">
        <v>0.15798898041248299</v>
      </c>
      <c r="AB2194" t="s">
        <v>405</v>
      </c>
      <c r="AC2194" t="s">
        <v>4562</v>
      </c>
      <c r="AD2194" t="s">
        <v>13750</v>
      </c>
      <c r="AE2194" t="s">
        <v>4655</v>
      </c>
      <c r="AF2194" t="s">
        <v>13751</v>
      </c>
      <c r="AG2194" t="s">
        <v>4584</v>
      </c>
      <c r="AH2194">
        <v>90291</v>
      </c>
      <c r="AI2194" t="s">
        <v>4655</v>
      </c>
      <c r="AJ2194" t="s">
        <v>4655</v>
      </c>
      <c r="AK2194" t="s">
        <v>14202</v>
      </c>
      <c r="AL2194" s="13" t="s">
        <v>1886</v>
      </c>
      <c r="AM2194">
        <v>1</v>
      </c>
      <c r="AN2194" s="15" t="s">
        <v>1445</v>
      </c>
    </row>
    <row r="2195" spans="1:40" x14ac:dyDescent="0.3">
      <c r="A2195" s="10" t="str">
        <f>HYPERLINK("http://www.washoecounty.gov/assessor/cama/?parid=028-194-15&amp;CardNumber=1","028-194-15")</f>
        <v>028-194-15</v>
      </c>
      <c r="B2195" t="s">
        <v>4655</v>
      </c>
      <c r="C2195" t="s">
        <v>14203</v>
      </c>
      <c r="D2195" s="1">
        <v>40297</v>
      </c>
      <c r="E2195" s="2">
        <v>155000</v>
      </c>
      <c r="F2195" t="s">
        <v>4567</v>
      </c>
      <c r="G2195" s="17" t="str">
        <f>HYPERLINK("https://www.washoecounty.gov/assessor/cama/?command=sales&amp;parid=02819415","3876213")</f>
        <v>3876213</v>
      </c>
      <c r="H2195" t="s">
        <v>14204</v>
      </c>
      <c r="I2195">
        <v>1981</v>
      </c>
      <c r="J2195">
        <v>1981</v>
      </c>
      <c r="K2195" t="s">
        <v>4554</v>
      </c>
      <c r="L2195" t="s">
        <v>4555</v>
      </c>
      <c r="M2195" s="2">
        <v>1156</v>
      </c>
      <c r="N2195" t="s">
        <v>4048</v>
      </c>
      <c r="O2195">
        <v>3</v>
      </c>
      <c r="P2195">
        <v>2</v>
      </c>
      <c r="Q2195">
        <v>0</v>
      </c>
      <c r="R2195" t="s">
        <v>4557</v>
      </c>
      <c r="S2195" t="s">
        <v>4558</v>
      </c>
      <c r="T2195" t="s">
        <v>4143</v>
      </c>
      <c r="U2195" t="s">
        <v>4560</v>
      </c>
      <c r="V2195" s="2">
        <v>720</v>
      </c>
      <c r="W2195" t="s">
        <v>4655</v>
      </c>
      <c r="X2195" s="2">
        <v>0</v>
      </c>
      <c r="Y2195">
        <v>20</v>
      </c>
      <c r="Z2195" t="s">
        <v>5200</v>
      </c>
      <c r="AA2195" s="3">
        <v>0.16799816489219666</v>
      </c>
      <c r="AB2195" t="s">
        <v>14205</v>
      </c>
      <c r="AC2195" t="s">
        <v>4562</v>
      </c>
      <c r="AD2195" t="s">
        <v>14206</v>
      </c>
      <c r="AE2195" t="s">
        <v>4655</v>
      </c>
      <c r="AF2195" t="s">
        <v>4563</v>
      </c>
      <c r="AG2195" t="s">
        <v>4564</v>
      </c>
      <c r="AH2195">
        <v>89503</v>
      </c>
      <c r="AI2195" t="s">
        <v>14207</v>
      </c>
      <c r="AJ2195" t="s">
        <v>4655</v>
      </c>
      <c r="AK2195" t="s">
        <v>14208</v>
      </c>
      <c r="AL2195" s="13" t="s">
        <v>1886</v>
      </c>
      <c r="AM2195" s="14">
        <v>1</v>
      </c>
      <c r="AN2195" s="15" t="s">
        <v>1445</v>
      </c>
    </row>
    <row r="2196" spans="1:40" x14ac:dyDescent="0.3">
      <c r="A2196" s="10" t="str">
        <f>HYPERLINK("http://www.washoecounty.gov/assessor/cama/?parid=028-194-16&amp;CardNumber=1","028-194-16")</f>
        <v>028-194-16</v>
      </c>
      <c r="B2196" t="s">
        <v>4655</v>
      </c>
      <c r="C2196" t="s">
        <v>14209</v>
      </c>
      <c r="D2196" s="1">
        <v>40308</v>
      </c>
      <c r="E2196" s="2">
        <v>138000</v>
      </c>
      <c r="F2196" t="s">
        <v>4567</v>
      </c>
      <c r="G2196" s="17" t="str">
        <f>HYPERLINK("https://www.washoecounty.gov/assessor/cama/?command=sales&amp;parid=02819416","3879941")</f>
        <v>3879941</v>
      </c>
      <c r="H2196" t="s">
        <v>4417</v>
      </c>
      <c r="I2196">
        <v>1981</v>
      </c>
      <c r="J2196">
        <v>1982</v>
      </c>
      <c r="K2196" t="s">
        <v>4554</v>
      </c>
      <c r="L2196" t="s">
        <v>4555</v>
      </c>
      <c r="M2196" s="2">
        <v>1348</v>
      </c>
      <c r="N2196" t="s">
        <v>4048</v>
      </c>
      <c r="O2196">
        <v>2</v>
      </c>
      <c r="P2196">
        <v>1</v>
      </c>
      <c r="Q2196">
        <v>0</v>
      </c>
      <c r="R2196" t="s">
        <v>5281</v>
      </c>
      <c r="S2196" t="s">
        <v>4558</v>
      </c>
      <c r="T2196" t="s">
        <v>4559</v>
      </c>
      <c r="U2196" t="s">
        <v>4560</v>
      </c>
      <c r="V2196" s="2">
        <v>432</v>
      </c>
      <c r="W2196" t="s">
        <v>4655</v>
      </c>
      <c r="X2196" s="2">
        <v>0</v>
      </c>
      <c r="Y2196">
        <v>20</v>
      </c>
      <c r="Z2196" t="s">
        <v>5200</v>
      </c>
      <c r="AA2196" s="3">
        <v>0.16799816489219666</v>
      </c>
      <c r="AB2196" t="s">
        <v>14210</v>
      </c>
      <c r="AC2196" t="s">
        <v>4562</v>
      </c>
      <c r="AD2196" t="s">
        <v>14209</v>
      </c>
      <c r="AE2196" t="s">
        <v>4655</v>
      </c>
      <c r="AF2196" t="s">
        <v>5201</v>
      </c>
      <c r="AG2196" t="s">
        <v>4564</v>
      </c>
      <c r="AH2196" t="s">
        <v>5202</v>
      </c>
      <c r="AI2196" t="s">
        <v>14211</v>
      </c>
      <c r="AJ2196" t="s">
        <v>4655</v>
      </c>
      <c r="AK2196" t="s">
        <v>14212</v>
      </c>
      <c r="AL2196" s="13" t="s">
        <v>1886</v>
      </c>
      <c r="AM2196" s="14">
        <v>1</v>
      </c>
      <c r="AN2196" s="15" t="s">
        <v>1445</v>
      </c>
    </row>
    <row r="2197" spans="1:40" x14ac:dyDescent="0.3">
      <c r="A2197" s="10" t="str">
        <f>HYPERLINK("http://www.washoecounty.gov/assessor/cama/?parid=028-204-12&amp;CardNumber=1","028-204-12")</f>
        <v>028-204-12</v>
      </c>
      <c r="B2197" t="s">
        <v>4655</v>
      </c>
      <c r="C2197" t="s">
        <v>14213</v>
      </c>
      <c r="D2197" s="1">
        <v>40521</v>
      </c>
      <c r="E2197" s="2">
        <v>105000</v>
      </c>
      <c r="F2197" t="s">
        <v>4553</v>
      </c>
      <c r="G2197" s="17" t="str">
        <f>HYPERLINK("https://www.washoecounty.gov/assessor/cama/?command=sales&amp;parid=02820412","3951813")</f>
        <v>3951813</v>
      </c>
      <c r="H2197" t="s">
        <v>5199</v>
      </c>
      <c r="I2197">
        <v>1961</v>
      </c>
      <c r="J2197">
        <v>1961</v>
      </c>
      <c r="K2197" t="s">
        <v>4554</v>
      </c>
      <c r="L2197" t="s">
        <v>4555</v>
      </c>
      <c r="M2197" s="2">
        <v>1044</v>
      </c>
      <c r="N2197" t="s">
        <v>4556</v>
      </c>
      <c r="O2197">
        <v>3</v>
      </c>
      <c r="P2197">
        <v>1</v>
      </c>
      <c r="Q2197">
        <v>0</v>
      </c>
      <c r="R2197" t="s">
        <v>4557</v>
      </c>
      <c r="S2197" t="s">
        <v>4558</v>
      </c>
      <c r="T2197" t="s">
        <v>4559</v>
      </c>
      <c r="U2197" t="s">
        <v>4560</v>
      </c>
      <c r="V2197" s="2">
        <v>300</v>
      </c>
      <c r="W2197" t="s">
        <v>4655</v>
      </c>
      <c r="X2197" s="2">
        <v>0</v>
      </c>
      <c r="Y2197">
        <v>20</v>
      </c>
      <c r="Z2197" t="s">
        <v>5200</v>
      </c>
      <c r="AA2197" s="3">
        <v>0.148002758622169</v>
      </c>
      <c r="AB2197" t="s">
        <v>14214</v>
      </c>
      <c r="AC2197" t="s">
        <v>4562</v>
      </c>
      <c r="AD2197" t="s">
        <v>14213</v>
      </c>
      <c r="AE2197" t="s">
        <v>4655</v>
      </c>
      <c r="AF2197" t="s">
        <v>5201</v>
      </c>
      <c r="AG2197" t="s">
        <v>4564</v>
      </c>
      <c r="AH2197" t="s">
        <v>5202</v>
      </c>
      <c r="AI2197" t="s">
        <v>4903</v>
      </c>
      <c r="AJ2197" t="s">
        <v>4655</v>
      </c>
      <c r="AK2197" t="s">
        <v>14215</v>
      </c>
      <c r="AL2197" s="13" t="s">
        <v>1886</v>
      </c>
      <c r="AM2197">
        <v>1</v>
      </c>
      <c r="AN2197" s="15" t="s">
        <v>4904</v>
      </c>
    </row>
    <row r="2198" spans="1:40" x14ac:dyDescent="0.3">
      <c r="A2198" s="10" t="str">
        <f>HYPERLINK("http://www.washoecounty.gov/assessor/cama/?parid=028-204-13&amp;CardNumber=1","028-204-13")</f>
        <v>028-204-13</v>
      </c>
      <c r="B2198" t="s">
        <v>4655</v>
      </c>
      <c r="C2198" t="s">
        <v>14216</v>
      </c>
      <c r="D2198" s="1">
        <v>40235</v>
      </c>
      <c r="E2198" s="2">
        <v>125000</v>
      </c>
      <c r="F2198" t="s">
        <v>4567</v>
      </c>
      <c r="G2198" s="17" t="str">
        <f>HYPERLINK("https://www.washoecounty.gov/assessor/cama/?command=sales&amp;parid=02820413","3853549")</f>
        <v>3853549</v>
      </c>
      <c r="H2198" t="s">
        <v>5199</v>
      </c>
      <c r="I2198">
        <v>1961</v>
      </c>
      <c r="J2198">
        <v>1961</v>
      </c>
      <c r="K2198" t="s">
        <v>4554</v>
      </c>
      <c r="L2198" t="s">
        <v>4555</v>
      </c>
      <c r="M2198" s="2">
        <v>1044</v>
      </c>
      <c r="N2198" t="s">
        <v>4556</v>
      </c>
      <c r="O2198">
        <v>3</v>
      </c>
      <c r="P2198">
        <v>1</v>
      </c>
      <c r="Q2198">
        <v>0</v>
      </c>
      <c r="R2198" t="s">
        <v>4557</v>
      </c>
      <c r="S2198" t="s">
        <v>4574</v>
      </c>
      <c r="T2198" t="s">
        <v>4143</v>
      </c>
      <c r="U2198" t="s">
        <v>4560</v>
      </c>
      <c r="V2198" s="2">
        <v>300</v>
      </c>
      <c r="W2198" t="s">
        <v>4655</v>
      </c>
      <c r="X2198" s="2">
        <v>0</v>
      </c>
      <c r="Y2198">
        <v>20</v>
      </c>
      <c r="Z2198" t="s">
        <v>5200</v>
      </c>
      <c r="AA2198" s="3">
        <v>0.13900367915630299</v>
      </c>
      <c r="AB2198" t="s">
        <v>14217</v>
      </c>
      <c r="AC2198" t="s">
        <v>4562</v>
      </c>
      <c r="AD2198" t="s">
        <v>14216</v>
      </c>
      <c r="AE2198" t="s">
        <v>4655</v>
      </c>
      <c r="AF2198" t="s">
        <v>5201</v>
      </c>
      <c r="AG2198" t="s">
        <v>4564</v>
      </c>
      <c r="AH2198" t="s">
        <v>5202</v>
      </c>
      <c r="AI2198" t="s">
        <v>13850</v>
      </c>
      <c r="AJ2198" t="s">
        <v>4655</v>
      </c>
      <c r="AK2198" t="s">
        <v>14218</v>
      </c>
      <c r="AL2198" s="13" t="s">
        <v>1886</v>
      </c>
      <c r="AM2198">
        <v>1</v>
      </c>
      <c r="AN2198" s="15" t="s">
        <v>4904</v>
      </c>
    </row>
    <row r="2199" spans="1:40" x14ac:dyDescent="0.3">
      <c r="A2199" s="10" t="str">
        <f>HYPERLINK("http://www.washoecounty.gov/assessor/cama/?parid=028-205-05&amp;CardNumber=1","028-205-05")</f>
        <v>028-205-05</v>
      </c>
      <c r="B2199" t="s">
        <v>4655</v>
      </c>
      <c r="C2199" t="s">
        <v>14219</v>
      </c>
      <c r="D2199" s="1">
        <v>40182</v>
      </c>
      <c r="E2199" s="2">
        <v>85000</v>
      </c>
      <c r="F2199" t="s">
        <v>4553</v>
      </c>
      <c r="G2199" s="17" t="str">
        <f>HYPERLINK("https://www.washoecounty.gov/assessor/cama/?command=sales&amp;parid=02820505","3836038")</f>
        <v>3836038</v>
      </c>
      <c r="H2199" t="s">
        <v>5199</v>
      </c>
      <c r="I2199">
        <v>1961</v>
      </c>
      <c r="J2199">
        <v>1961</v>
      </c>
      <c r="K2199" t="s">
        <v>4554</v>
      </c>
      <c r="L2199" t="s">
        <v>4555</v>
      </c>
      <c r="M2199" s="2">
        <v>1044</v>
      </c>
      <c r="N2199" t="s">
        <v>4556</v>
      </c>
      <c r="O2199">
        <v>3</v>
      </c>
      <c r="P2199">
        <v>1</v>
      </c>
      <c r="Q2199">
        <v>0</v>
      </c>
      <c r="R2199" t="s">
        <v>4557</v>
      </c>
      <c r="S2199" t="s">
        <v>4558</v>
      </c>
      <c r="T2199" t="s">
        <v>4559</v>
      </c>
      <c r="U2199" t="s">
        <v>4560</v>
      </c>
      <c r="V2199" s="2">
        <v>300</v>
      </c>
      <c r="W2199" t="s">
        <v>4655</v>
      </c>
      <c r="X2199" s="2">
        <v>0</v>
      </c>
      <c r="Y2199">
        <v>20</v>
      </c>
      <c r="Z2199" t="s">
        <v>5200</v>
      </c>
      <c r="AA2199" s="3">
        <v>0.13700643181800801</v>
      </c>
      <c r="AB2199" t="s">
        <v>14220</v>
      </c>
      <c r="AC2199" t="s">
        <v>4562</v>
      </c>
      <c r="AD2199" t="s">
        <v>14219</v>
      </c>
      <c r="AE2199" t="s">
        <v>4655</v>
      </c>
      <c r="AF2199" t="s">
        <v>5201</v>
      </c>
      <c r="AG2199" t="s">
        <v>4564</v>
      </c>
      <c r="AH2199" t="s">
        <v>5202</v>
      </c>
      <c r="AI2199" t="s">
        <v>4903</v>
      </c>
      <c r="AJ2199" t="s">
        <v>4655</v>
      </c>
      <c r="AK2199" t="s">
        <v>14221</v>
      </c>
      <c r="AL2199" s="13" t="s">
        <v>1886</v>
      </c>
      <c r="AM2199" s="14">
        <v>1</v>
      </c>
      <c r="AN2199" s="15" t="s">
        <v>4904</v>
      </c>
    </row>
    <row r="2200" spans="1:40" x14ac:dyDescent="0.3">
      <c r="A2200" s="10" t="str">
        <f>HYPERLINK("http://www.washoecounty.gov/assessor/cama/?parid=028-205-16&amp;CardNumber=1","028-205-16")</f>
        <v>028-205-16</v>
      </c>
      <c r="B2200" t="s">
        <v>4655</v>
      </c>
      <c r="C2200" t="s">
        <v>14222</v>
      </c>
      <c r="D2200" s="1">
        <v>40353</v>
      </c>
      <c r="E2200" s="2">
        <v>115000</v>
      </c>
      <c r="F2200" t="s">
        <v>4567</v>
      </c>
      <c r="G2200" s="17" t="str">
        <f>HYPERLINK("https://www.washoecounty.gov/assessor/cama/?command=sales&amp;parid=02820516","3895061")</f>
        <v>3895061</v>
      </c>
      <c r="H2200" t="s">
        <v>5199</v>
      </c>
      <c r="I2200">
        <v>1961</v>
      </c>
      <c r="J2200">
        <v>1961</v>
      </c>
      <c r="K2200" t="s">
        <v>4554</v>
      </c>
      <c r="L2200" t="s">
        <v>4555</v>
      </c>
      <c r="M2200" s="2">
        <v>1044</v>
      </c>
      <c r="N2200" t="s">
        <v>4556</v>
      </c>
      <c r="O2200">
        <v>3</v>
      </c>
      <c r="P2200">
        <v>1</v>
      </c>
      <c r="Q2200">
        <v>0</v>
      </c>
      <c r="R2200" t="s">
        <v>4557</v>
      </c>
      <c r="S2200" t="s">
        <v>4558</v>
      </c>
      <c r="T2200" t="s">
        <v>4559</v>
      </c>
      <c r="U2200" t="s">
        <v>4560</v>
      </c>
      <c r="V2200" s="2">
        <v>300</v>
      </c>
      <c r="W2200" t="s">
        <v>4655</v>
      </c>
      <c r="X2200" s="2">
        <v>0</v>
      </c>
      <c r="Y2200">
        <v>20</v>
      </c>
      <c r="Z2200" t="s">
        <v>5200</v>
      </c>
      <c r="AA2200" s="3">
        <v>0.13700643181800801</v>
      </c>
      <c r="AB2200" t="s">
        <v>14223</v>
      </c>
      <c r="AC2200" t="s">
        <v>4562</v>
      </c>
      <c r="AD2200" t="s">
        <v>14222</v>
      </c>
      <c r="AE2200" t="s">
        <v>4655</v>
      </c>
      <c r="AF2200" t="s">
        <v>5201</v>
      </c>
      <c r="AG2200" t="s">
        <v>4564</v>
      </c>
      <c r="AH2200" t="s">
        <v>5202</v>
      </c>
      <c r="AI2200" t="s">
        <v>4655</v>
      </c>
      <c r="AJ2200" t="s">
        <v>4655</v>
      </c>
      <c r="AK2200" t="s">
        <v>14224</v>
      </c>
      <c r="AL2200" s="13" t="s">
        <v>1886</v>
      </c>
      <c r="AM2200" s="14">
        <v>1</v>
      </c>
      <c r="AN2200" s="15" t="s">
        <v>4904</v>
      </c>
    </row>
    <row r="2201" spans="1:40" x14ac:dyDescent="0.3">
      <c r="A2201" s="10" t="str">
        <f>HYPERLINK("http://www.washoecounty.gov/assessor/cama/?parid=028-206-03&amp;CardNumber=1","028-206-03")</f>
        <v>028-206-03</v>
      </c>
      <c r="B2201" t="s">
        <v>4655</v>
      </c>
      <c r="C2201" t="s">
        <v>14225</v>
      </c>
      <c r="D2201" s="1">
        <v>40214</v>
      </c>
      <c r="E2201" s="2">
        <v>119500</v>
      </c>
      <c r="F2201" t="s">
        <v>4553</v>
      </c>
      <c r="G2201" s="17" t="str">
        <f>HYPERLINK("https://www.washoecounty.gov/assessor/cama/?command=sales&amp;parid=02820603","3846559")</f>
        <v>3846559</v>
      </c>
      <c r="H2201" t="s">
        <v>5199</v>
      </c>
      <c r="I2201">
        <v>1961</v>
      </c>
      <c r="J2201">
        <v>1965</v>
      </c>
      <c r="K2201" t="s">
        <v>4554</v>
      </c>
      <c r="L2201" t="s">
        <v>4555</v>
      </c>
      <c r="M2201" s="2">
        <v>1268</v>
      </c>
      <c r="N2201" t="s">
        <v>4556</v>
      </c>
      <c r="O2201">
        <v>3</v>
      </c>
      <c r="P2201">
        <v>1</v>
      </c>
      <c r="Q2201">
        <v>0</v>
      </c>
      <c r="R2201" t="s">
        <v>4557</v>
      </c>
      <c r="S2201" t="s">
        <v>4135</v>
      </c>
      <c r="T2201" t="s">
        <v>4559</v>
      </c>
      <c r="U2201" t="s">
        <v>4560</v>
      </c>
      <c r="V2201" s="2">
        <v>300</v>
      </c>
      <c r="W2201" t="s">
        <v>4655</v>
      </c>
      <c r="X2201" s="2">
        <v>0</v>
      </c>
      <c r="Y2201">
        <v>20</v>
      </c>
      <c r="Z2201" t="s">
        <v>5200</v>
      </c>
      <c r="AA2201" s="3">
        <v>0.13700643181800801</v>
      </c>
      <c r="AB2201" t="s">
        <v>14226</v>
      </c>
      <c r="AC2201" t="s">
        <v>4562</v>
      </c>
      <c r="AD2201" t="s">
        <v>14225</v>
      </c>
      <c r="AE2201" t="s">
        <v>4655</v>
      </c>
      <c r="AF2201" t="s">
        <v>5201</v>
      </c>
      <c r="AG2201" t="s">
        <v>4564</v>
      </c>
      <c r="AH2201" t="s">
        <v>5202</v>
      </c>
      <c r="AI2201" t="s">
        <v>14227</v>
      </c>
      <c r="AJ2201" t="s">
        <v>4655</v>
      </c>
      <c r="AK2201" t="s">
        <v>14228</v>
      </c>
      <c r="AL2201" s="13" t="s">
        <v>1886</v>
      </c>
      <c r="AM2201" s="14">
        <v>1</v>
      </c>
      <c r="AN2201" s="15" t="s">
        <v>4904</v>
      </c>
    </row>
    <row r="2202" spans="1:40" x14ac:dyDescent="0.3">
      <c r="A2202" s="10" t="str">
        <f>HYPERLINK("http://www.washoecounty.gov/assessor/cama/?parid=028-206-07&amp;CardNumber=1","028-206-07")</f>
        <v>028-206-07</v>
      </c>
      <c r="B2202" t="s">
        <v>4655</v>
      </c>
      <c r="C2202" t="s">
        <v>14229</v>
      </c>
      <c r="D2202" s="1">
        <v>40239</v>
      </c>
      <c r="E2202" s="2">
        <v>86500</v>
      </c>
      <c r="F2202" t="s">
        <v>4553</v>
      </c>
      <c r="G2202" s="17" t="str">
        <f>HYPERLINK("https://www.washoecounty.gov/assessor/cama/?command=sales&amp;parid=02820607","3854885")</f>
        <v>3854885</v>
      </c>
      <c r="H2202" t="s">
        <v>14230</v>
      </c>
      <c r="I2202">
        <v>1961</v>
      </c>
      <c r="J2202">
        <v>1961</v>
      </c>
      <c r="K2202" t="s">
        <v>4554</v>
      </c>
      <c r="L2202" t="s">
        <v>4555</v>
      </c>
      <c r="M2202" s="2">
        <v>1044</v>
      </c>
      <c r="N2202" t="s">
        <v>4556</v>
      </c>
      <c r="O2202">
        <v>3</v>
      </c>
      <c r="P2202">
        <v>1</v>
      </c>
      <c r="Q2202">
        <v>0</v>
      </c>
      <c r="R2202" t="s">
        <v>4557</v>
      </c>
      <c r="S2202" t="s">
        <v>4558</v>
      </c>
      <c r="T2202" t="s">
        <v>4559</v>
      </c>
      <c r="U2202" t="s">
        <v>4655</v>
      </c>
      <c r="V2202" s="2">
        <v>0</v>
      </c>
      <c r="W2202" t="s">
        <v>4655</v>
      </c>
      <c r="X2202" s="2">
        <v>0</v>
      </c>
      <c r="Y2202">
        <v>20</v>
      </c>
      <c r="Z2202" t="s">
        <v>5200</v>
      </c>
      <c r="AA2202" s="3">
        <v>0.13700643181800801</v>
      </c>
      <c r="AB2202" t="s">
        <v>1341</v>
      </c>
      <c r="AC2202" t="s">
        <v>4562</v>
      </c>
      <c r="AD2202" t="s">
        <v>14231</v>
      </c>
      <c r="AE2202" t="s">
        <v>4655</v>
      </c>
      <c r="AF2202" t="s">
        <v>5201</v>
      </c>
      <c r="AG2202" t="s">
        <v>4564</v>
      </c>
      <c r="AH2202" t="s">
        <v>3898</v>
      </c>
      <c r="AI2202" t="s">
        <v>1602</v>
      </c>
      <c r="AJ2202" t="s">
        <v>4655</v>
      </c>
      <c r="AK2202" t="s">
        <v>14232</v>
      </c>
      <c r="AL2202" s="13" t="s">
        <v>1886</v>
      </c>
      <c r="AM2202">
        <v>1</v>
      </c>
      <c r="AN2202" s="15" t="s">
        <v>4904</v>
      </c>
    </row>
    <row r="2203" spans="1:40" x14ac:dyDescent="0.3">
      <c r="A2203" s="10" t="str">
        <f>HYPERLINK("http://www.washoecounty.gov/assessor/cama/?parid=028-211-10&amp;CardNumber=1","028-211-10")</f>
        <v>028-211-10</v>
      </c>
      <c r="B2203" t="s">
        <v>4655</v>
      </c>
      <c r="C2203" t="s">
        <v>14233</v>
      </c>
      <c r="D2203" s="1">
        <v>40247</v>
      </c>
      <c r="E2203" s="2">
        <v>89350</v>
      </c>
      <c r="F2203" t="s">
        <v>4567</v>
      </c>
      <c r="G2203" s="17" t="str">
        <f>HYPERLINK("https://www.washoecounty.gov/assessor/cama/?command=sales&amp;parid=02821110","3858148")</f>
        <v>3858148</v>
      </c>
      <c r="H2203" t="s">
        <v>14234</v>
      </c>
      <c r="I2203">
        <v>1962</v>
      </c>
      <c r="J2203">
        <v>1962</v>
      </c>
      <c r="K2203" t="s">
        <v>4554</v>
      </c>
      <c r="L2203" t="s">
        <v>4555</v>
      </c>
      <c r="M2203" s="2">
        <v>1328</v>
      </c>
      <c r="N2203" t="s">
        <v>4556</v>
      </c>
      <c r="O2203">
        <v>4</v>
      </c>
      <c r="P2203">
        <v>2</v>
      </c>
      <c r="Q2203">
        <v>0</v>
      </c>
      <c r="R2203" t="s">
        <v>4557</v>
      </c>
      <c r="S2203" t="s">
        <v>4574</v>
      </c>
      <c r="T2203" t="s">
        <v>4559</v>
      </c>
      <c r="U2203" t="s">
        <v>4560</v>
      </c>
      <c r="V2203" s="2">
        <v>504</v>
      </c>
      <c r="W2203" t="s">
        <v>4655</v>
      </c>
      <c r="X2203" s="2">
        <v>0</v>
      </c>
      <c r="Y2203">
        <v>20</v>
      </c>
      <c r="Z2203" t="s">
        <v>5200</v>
      </c>
      <c r="AA2203" s="3">
        <v>0.151010096073151</v>
      </c>
      <c r="AB2203" t="s">
        <v>14235</v>
      </c>
      <c r="AC2203" t="s">
        <v>4562</v>
      </c>
      <c r="AD2203" t="s">
        <v>14236</v>
      </c>
      <c r="AE2203" t="s">
        <v>4655</v>
      </c>
      <c r="AF2203" t="s">
        <v>5201</v>
      </c>
      <c r="AG2203" t="s">
        <v>4564</v>
      </c>
      <c r="AH2203" t="s">
        <v>1605</v>
      </c>
      <c r="AI2203" t="s">
        <v>14237</v>
      </c>
      <c r="AJ2203" t="s">
        <v>4655</v>
      </c>
      <c r="AK2203" t="s">
        <v>14238</v>
      </c>
      <c r="AL2203" s="13" t="s">
        <v>1886</v>
      </c>
      <c r="AM2203">
        <v>1</v>
      </c>
      <c r="AN2203" s="15" t="s">
        <v>4904</v>
      </c>
    </row>
    <row r="2204" spans="1:40" x14ac:dyDescent="0.3">
      <c r="A2204" s="10" t="str">
        <f>HYPERLINK("http://www.washoecounty.gov/assessor/cama/?parid=028-211-11&amp;CardNumber=1","028-211-11")</f>
        <v>028-211-11</v>
      </c>
      <c r="B2204" t="s">
        <v>4655</v>
      </c>
      <c r="C2204" t="s">
        <v>14239</v>
      </c>
      <c r="D2204" s="1">
        <v>40408</v>
      </c>
      <c r="E2204" s="2">
        <v>128000</v>
      </c>
      <c r="F2204" t="s">
        <v>4553</v>
      </c>
      <c r="G2204" s="17" t="str">
        <f>HYPERLINK("https://www.washoecounty.gov/assessor/cama/?command=sales&amp;parid=02821111","3913335")</f>
        <v>3913335</v>
      </c>
      <c r="H2204" t="s">
        <v>14240</v>
      </c>
      <c r="I2204">
        <v>1962</v>
      </c>
      <c r="J2204">
        <v>1968</v>
      </c>
      <c r="K2204" t="s">
        <v>4554</v>
      </c>
      <c r="L2204" t="s">
        <v>4555</v>
      </c>
      <c r="M2204" s="2">
        <v>1492</v>
      </c>
      <c r="N2204" t="s">
        <v>4556</v>
      </c>
      <c r="O2204">
        <v>3</v>
      </c>
      <c r="P2204">
        <v>2</v>
      </c>
      <c r="Q2204">
        <v>0</v>
      </c>
      <c r="R2204" t="s">
        <v>4557</v>
      </c>
      <c r="S2204" t="s">
        <v>4574</v>
      </c>
      <c r="T2204" t="s">
        <v>4559</v>
      </c>
      <c r="U2204" t="s">
        <v>4560</v>
      </c>
      <c r="V2204" s="2">
        <v>504</v>
      </c>
      <c r="W2204" t="s">
        <v>4655</v>
      </c>
      <c r="X2204" s="2">
        <v>0</v>
      </c>
      <c r="Y2204">
        <v>20</v>
      </c>
      <c r="Z2204" t="s">
        <v>5200</v>
      </c>
      <c r="AA2204" s="3">
        <v>0.151010096073151</v>
      </c>
      <c r="AB2204" t="s">
        <v>14241</v>
      </c>
      <c r="AC2204" t="s">
        <v>4575</v>
      </c>
      <c r="AD2204" t="s">
        <v>14239</v>
      </c>
      <c r="AE2204" t="s">
        <v>4655</v>
      </c>
      <c r="AF2204" t="s">
        <v>5201</v>
      </c>
      <c r="AG2204" t="s">
        <v>4564</v>
      </c>
      <c r="AH2204" t="s">
        <v>5202</v>
      </c>
      <c r="AI2204" t="s">
        <v>14242</v>
      </c>
      <c r="AJ2204" t="s">
        <v>4655</v>
      </c>
      <c r="AK2204" t="s">
        <v>14243</v>
      </c>
      <c r="AL2204" s="13" t="s">
        <v>1886</v>
      </c>
      <c r="AM2204">
        <v>1</v>
      </c>
      <c r="AN2204" s="15" t="s">
        <v>4904</v>
      </c>
    </row>
    <row r="2205" spans="1:40" x14ac:dyDescent="0.3">
      <c r="A2205" s="10" t="str">
        <f>HYPERLINK("http://www.washoecounty.gov/assessor/cama/?parid=028-211-26&amp;CardNumber=1","028-211-26")</f>
        <v>028-211-26</v>
      </c>
      <c r="B2205" t="s">
        <v>4655</v>
      </c>
      <c r="C2205" t="s">
        <v>13053</v>
      </c>
      <c r="D2205" s="1">
        <v>40266</v>
      </c>
      <c r="E2205" s="2">
        <v>97000</v>
      </c>
      <c r="F2205" t="s">
        <v>4553</v>
      </c>
      <c r="G2205" s="17" t="str">
        <f>HYPERLINK("https://www.washoecounty.gov/assessor/cama/?command=sales&amp;parid=02821126","3865198")</f>
        <v>3865198</v>
      </c>
      <c r="H2205" t="s">
        <v>14244</v>
      </c>
      <c r="I2205">
        <v>1960</v>
      </c>
      <c r="J2205">
        <v>1960</v>
      </c>
      <c r="K2205" t="s">
        <v>4554</v>
      </c>
      <c r="L2205" t="s">
        <v>4555</v>
      </c>
      <c r="M2205" s="2">
        <v>1131</v>
      </c>
      <c r="N2205" t="s">
        <v>4556</v>
      </c>
      <c r="O2205">
        <v>3</v>
      </c>
      <c r="P2205">
        <v>1</v>
      </c>
      <c r="Q2205">
        <v>0</v>
      </c>
      <c r="R2205" t="s">
        <v>4557</v>
      </c>
      <c r="S2205" t="s">
        <v>4574</v>
      </c>
      <c r="T2205" t="s">
        <v>4559</v>
      </c>
      <c r="U2205" t="s">
        <v>4560</v>
      </c>
      <c r="V2205" s="2">
        <v>500</v>
      </c>
      <c r="W2205" t="s">
        <v>4655</v>
      </c>
      <c r="X2205" s="2">
        <v>0</v>
      </c>
      <c r="Y2205">
        <v>20</v>
      </c>
      <c r="Z2205" t="s">
        <v>5200</v>
      </c>
      <c r="AA2205" s="3">
        <v>0.21600091457366899</v>
      </c>
      <c r="AB2205" t="s">
        <v>13052</v>
      </c>
      <c r="AC2205" t="s">
        <v>4575</v>
      </c>
      <c r="AD2205" t="s">
        <v>13053</v>
      </c>
      <c r="AE2205" t="s">
        <v>4655</v>
      </c>
      <c r="AF2205" t="s">
        <v>5201</v>
      </c>
      <c r="AG2205" t="s">
        <v>4564</v>
      </c>
      <c r="AH2205" t="s">
        <v>5202</v>
      </c>
      <c r="AI2205" t="s">
        <v>14245</v>
      </c>
      <c r="AJ2205" t="s">
        <v>4655</v>
      </c>
      <c r="AK2205" t="s">
        <v>14246</v>
      </c>
      <c r="AL2205" s="13" t="s">
        <v>1886</v>
      </c>
      <c r="AM2205" s="14">
        <v>1</v>
      </c>
      <c r="AN2205" s="15" t="s">
        <v>4904</v>
      </c>
    </row>
    <row r="2206" spans="1:40" x14ac:dyDescent="0.3">
      <c r="A2206" s="10" t="str">
        <f>HYPERLINK("http://www.washoecounty.gov/assessor/cama/?parid=028-212-02&amp;CardNumber=1","028-212-02")</f>
        <v>028-212-02</v>
      </c>
      <c r="B2206" t="s">
        <v>4655</v>
      </c>
      <c r="C2206" t="s">
        <v>14247</v>
      </c>
      <c r="D2206" s="1">
        <v>40297</v>
      </c>
      <c r="E2206" s="2">
        <v>149500</v>
      </c>
      <c r="F2206" t="s">
        <v>4567</v>
      </c>
      <c r="G2206" s="17" t="str">
        <f>HYPERLINK("https://www.washoecounty.gov/assessor/cama/?command=sales&amp;parid=02821202","3876306")</f>
        <v>3876306</v>
      </c>
      <c r="H2206" t="s">
        <v>14234</v>
      </c>
      <c r="I2206">
        <v>1962</v>
      </c>
      <c r="J2206">
        <v>1962</v>
      </c>
      <c r="K2206" t="s">
        <v>4554</v>
      </c>
      <c r="L2206" t="s">
        <v>4555</v>
      </c>
      <c r="M2206" s="2">
        <v>1328</v>
      </c>
      <c r="N2206" t="s">
        <v>4556</v>
      </c>
      <c r="O2206">
        <v>4</v>
      </c>
      <c r="P2206">
        <v>2</v>
      </c>
      <c r="Q2206">
        <v>0</v>
      </c>
      <c r="R2206" t="s">
        <v>5281</v>
      </c>
      <c r="S2206" t="s">
        <v>4558</v>
      </c>
      <c r="T2206" t="s">
        <v>4559</v>
      </c>
      <c r="U2206" t="s">
        <v>4560</v>
      </c>
      <c r="V2206" s="2">
        <v>504</v>
      </c>
      <c r="W2206" t="s">
        <v>4655</v>
      </c>
      <c r="X2206" s="2">
        <v>0</v>
      </c>
      <c r="Y2206">
        <v>20</v>
      </c>
      <c r="Z2206" t="s">
        <v>5200</v>
      </c>
      <c r="AA2206" s="3">
        <v>0.13799357414245605</v>
      </c>
      <c r="AB2206" t="s">
        <v>14248</v>
      </c>
      <c r="AC2206" t="s">
        <v>4562</v>
      </c>
      <c r="AD2206" t="s">
        <v>14247</v>
      </c>
      <c r="AE2206" t="s">
        <v>4655</v>
      </c>
      <c r="AF2206" t="s">
        <v>5201</v>
      </c>
      <c r="AG2206" t="s">
        <v>4564</v>
      </c>
      <c r="AH2206" t="s">
        <v>5202</v>
      </c>
      <c r="AI2206" t="s">
        <v>14249</v>
      </c>
      <c r="AJ2206" t="s">
        <v>4655</v>
      </c>
      <c r="AK2206" t="s">
        <v>14250</v>
      </c>
      <c r="AL2206" s="13" t="s">
        <v>1886</v>
      </c>
      <c r="AM2206">
        <v>1</v>
      </c>
      <c r="AN2206" s="15" t="s">
        <v>4904</v>
      </c>
    </row>
    <row r="2207" spans="1:40" x14ac:dyDescent="0.3">
      <c r="A2207" s="10" t="str">
        <f>HYPERLINK("http://www.washoecounty.gov/assessor/cama/?parid=028-212-04&amp;CardNumber=1","028-212-04")</f>
        <v>028-212-04</v>
      </c>
      <c r="B2207" t="s">
        <v>4655</v>
      </c>
      <c r="C2207" t="s">
        <v>14251</v>
      </c>
      <c r="D2207" s="1">
        <v>40270</v>
      </c>
      <c r="E2207" s="2">
        <v>120000</v>
      </c>
      <c r="F2207" t="s">
        <v>4553</v>
      </c>
      <c r="G2207" s="17" t="str">
        <f>HYPERLINK("https://www.washoecounty.gov/assessor/cama/?command=sales&amp;parid=02821204","3867241")</f>
        <v>3867241</v>
      </c>
      <c r="H2207" t="s">
        <v>5019</v>
      </c>
      <c r="I2207">
        <v>1962</v>
      </c>
      <c r="J2207">
        <v>1962</v>
      </c>
      <c r="K2207" t="s">
        <v>4554</v>
      </c>
      <c r="L2207" t="s">
        <v>4555</v>
      </c>
      <c r="M2207" s="2">
        <v>1014</v>
      </c>
      <c r="N2207" t="s">
        <v>4556</v>
      </c>
      <c r="O2207">
        <v>3</v>
      </c>
      <c r="P2207">
        <v>2</v>
      </c>
      <c r="Q2207">
        <v>0</v>
      </c>
      <c r="R2207" t="s">
        <v>4557</v>
      </c>
      <c r="S2207" t="s">
        <v>4135</v>
      </c>
      <c r="T2207" t="s">
        <v>4559</v>
      </c>
      <c r="U2207" t="s">
        <v>4560</v>
      </c>
      <c r="V2207" s="2">
        <v>483</v>
      </c>
      <c r="W2207" t="s">
        <v>4655</v>
      </c>
      <c r="X2207" s="2">
        <v>0</v>
      </c>
      <c r="Y2207">
        <v>20</v>
      </c>
      <c r="Z2207" t="s">
        <v>5200</v>
      </c>
      <c r="AA2207" s="3">
        <v>0.135009184479713</v>
      </c>
      <c r="AB2207" t="s">
        <v>14252</v>
      </c>
      <c r="AC2207" t="s">
        <v>4562</v>
      </c>
      <c r="AD2207" t="s">
        <v>14253</v>
      </c>
      <c r="AE2207" t="s">
        <v>4655</v>
      </c>
      <c r="AF2207" t="s">
        <v>5201</v>
      </c>
      <c r="AG2207" t="s">
        <v>4564</v>
      </c>
      <c r="AH2207" t="s">
        <v>4126</v>
      </c>
      <c r="AI2207" t="s">
        <v>4655</v>
      </c>
      <c r="AJ2207" t="s">
        <v>4655</v>
      </c>
      <c r="AK2207" t="s">
        <v>14254</v>
      </c>
      <c r="AL2207" s="13" t="s">
        <v>1886</v>
      </c>
      <c r="AM2207">
        <v>1</v>
      </c>
      <c r="AN2207" s="15" t="s">
        <v>4904</v>
      </c>
    </row>
    <row r="2208" spans="1:40" x14ac:dyDescent="0.3">
      <c r="A2208" s="10" t="str">
        <f>HYPERLINK("http://www.washoecounty.gov/assessor/cama/?parid=028-212-05&amp;CardNumber=1","028-212-05")</f>
        <v>028-212-05</v>
      </c>
      <c r="B2208" t="s">
        <v>4655</v>
      </c>
      <c r="C2208" t="s">
        <v>14255</v>
      </c>
      <c r="D2208" s="1">
        <v>40420</v>
      </c>
      <c r="E2208" s="2">
        <v>110000</v>
      </c>
      <c r="F2208" t="s">
        <v>4567</v>
      </c>
      <c r="G2208" s="17" t="str">
        <f>HYPERLINK("https://www.washoecounty.gov/assessor/cama/?command=sales&amp;parid=02821205","3917014")</f>
        <v>3917014</v>
      </c>
      <c r="H2208" t="s">
        <v>14240</v>
      </c>
      <c r="I2208">
        <v>1962</v>
      </c>
      <c r="J2208">
        <v>1962</v>
      </c>
      <c r="K2208" t="s">
        <v>4554</v>
      </c>
      <c r="L2208" t="s">
        <v>4555</v>
      </c>
      <c r="M2208" s="2">
        <v>1203</v>
      </c>
      <c r="N2208" t="s">
        <v>4556</v>
      </c>
      <c r="O2208">
        <v>4</v>
      </c>
      <c r="P2208">
        <v>3</v>
      </c>
      <c r="Q2208">
        <v>0</v>
      </c>
      <c r="R2208" t="s">
        <v>4557</v>
      </c>
      <c r="S2208" t="s">
        <v>4135</v>
      </c>
      <c r="T2208" t="s">
        <v>4559</v>
      </c>
      <c r="U2208" t="s">
        <v>4655</v>
      </c>
      <c r="V2208" s="2">
        <v>0</v>
      </c>
      <c r="W2208" t="s">
        <v>4655</v>
      </c>
      <c r="X2208" s="2">
        <v>0</v>
      </c>
      <c r="Y2208">
        <v>20</v>
      </c>
      <c r="Z2208" t="s">
        <v>5200</v>
      </c>
      <c r="AA2208" s="3">
        <v>0.15199723839759827</v>
      </c>
      <c r="AB2208" t="s">
        <v>14256</v>
      </c>
      <c r="AC2208" t="s">
        <v>4562</v>
      </c>
      <c r="AD2208" t="s">
        <v>14255</v>
      </c>
      <c r="AE2208" t="s">
        <v>4655</v>
      </c>
      <c r="AF2208" t="s">
        <v>5201</v>
      </c>
      <c r="AG2208" t="s">
        <v>4564</v>
      </c>
      <c r="AH2208" t="s">
        <v>5202</v>
      </c>
      <c r="AI2208" t="s">
        <v>4655</v>
      </c>
      <c r="AJ2208" t="s">
        <v>4655</v>
      </c>
      <c r="AK2208" t="s">
        <v>14257</v>
      </c>
      <c r="AL2208" s="13" t="s">
        <v>1886</v>
      </c>
      <c r="AM2208" s="14">
        <v>1</v>
      </c>
      <c r="AN2208" s="15" t="s">
        <v>4904</v>
      </c>
    </row>
    <row r="2209" spans="1:40" x14ac:dyDescent="0.3">
      <c r="A2209" s="10" t="str">
        <f>HYPERLINK("http://www.washoecounty.gov/assessor/cama/?parid=028-212-15&amp;CardNumber=1","028-212-15")</f>
        <v>028-212-15</v>
      </c>
      <c r="B2209" t="s">
        <v>4655</v>
      </c>
      <c r="C2209" t="s">
        <v>14258</v>
      </c>
      <c r="D2209" s="1">
        <v>40346</v>
      </c>
      <c r="E2209" s="2">
        <v>145000</v>
      </c>
      <c r="F2209" t="s">
        <v>4567</v>
      </c>
      <c r="G2209" s="17" t="str">
        <f>HYPERLINK("https://www.washoecounty.gov/assessor/cama/?command=sales&amp;parid=02821215","3892921")</f>
        <v>3892921</v>
      </c>
      <c r="H2209" t="s">
        <v>5019</v>
      </c>
      <c r="I2209">
        <v>1962</v>
      </c>
      <c r="J2209">
        <v>1962</v>
      </c>
      <c r="K2209" t="s">
        <v>4554</v>
      </c>
      <c r="L2209" t="s">
        <v>4555</v>
      </c>
      <c r="M2209" s="2">
        <v>1328</v>
      </c>
      <c r="N2209" t="s">
        <v>4556</v>
      </c>
      <c r="O2209">
        <v>4</v>
      </c>
      <c r="P2209">
        <v>2</v>
      </c>
      <c r="Q2209">
        <v>0</v>
      </c>
      <c r="R2209" t="s">
        <v>5281</v>
      </c>
      <c r="S2209" t="s">
        <v>4558</v>
      </c>
      <c r="T2209" t="s">
        <v>4559</v>
      </c>
      <c r="U2209" t="s">
        <v>4560</v>
      </c>
      <c r="V2209" s="2">
        <v>441</v>
      </c>
      <c r="W2209" t="s">
        <v>4655</v>
      </c>
      <c r="X2209" s="2">
        <v>0</v>
      </c>
      <c r="Y2209">
        <v>20</v>
      </c>
      <c r="Z2209" t="s">
        <v>5200</v>
      </c>
      <c r="AA2209" s="3">
        <v>0.15199723839759827</v>
      </c>
      <c r="AB2209" t="s">
        <v>14259</v>
      </c>
      <c r="AC2209" t="s">
        <v>4562</v>
      </c>
      <c r="AD2209" t="s">
        <v>14258</v>
      </c>
      <c r="AE2209" t="s">
        <v>4655</v>
      </c>
      <c r="AF2209" t="s">
        <v>5201</v>
      </c>
      <c r="AG2209" t="s">
        <v>4564</v>
      </c>
      <c r="AH2209" t="s">
        <v>5202</v>
      </c>
      <c r="AI2209" t="s">
        <v>4673</v>
      </c>
      <c r="AJ2209" t="s">
        <v>4655</v>
      </c>
      <c r="AK2209" t="s">
        <v>14260</v>
      </c>
      <c r="AL2209" s="13" t="s">
        <v>1886</v>
      </c>
      <c r="AM2209">
        <v>1</v>
      </c>
      <c r="AN2209" s="15" t="s">
        <v>4904</v>
      </c>
    </row>
    <row r="2210" spans="1:40" x14ac:dyDescent="0.3">
      <c r="A2210" s="10" t="str">
        <f>HYPERLINK("http://www.washoecounty.gov/assessor/cama/?parid=028-212-44&amp;CardNumber=1","028-212-44")</f>
        <v>028-212-44</v>
      </c>
      <c r="B2210" t="s">
        <v>4655</v>
      </c>
      <c r="C2210" t="s">
        <v>14261</v>
      </c>
      <c r="D2210" s="1">
        <v>40445</v>
      </c>
      <c r="E2210" s="2">
        <v>130000</v>
      </c>
      <c r="F2210" t="s">
        <v>4553</v>
      </c>
      <c r="G2210" s="17" t="str">
        <f>HYPERLINK("https://www.washoecounty.gov/assessor/cama/?command=sales&amp;parid=02821244","3925963")</f>
        <v>3925963</v>
      </c>
      <c r="H2210" t="s">
        <v>14262</v>
      </c>
      <c r="I2210">
        <v>1962</v>
      </c>
      <c r="J2210">
        <v>1962</v>
      </c>
      <c r="K2210" t="s">
        <v>4554</v>
      </c>
      <c r="L2210" t="s">
        <v>4555</v>
      </c>
      <c r="M2210" s="2">
        <v>1328</v>
      </c>
      <c r="N2210" t="s">
        <v>4556</v>
      </c>
      <c r="O2210">
        <v>3</v>
      </c>
      <c r="P2210">
        <v>2</v>
      </c>
      <c r="Q2210">
        <v>0</v>
      </c>
      <c r="R2210" t="s">
        <v>4557</v>
      </c>
      <c r="S2210" t="s">
        <v>4558</v>
      </c>
      <c r="T2210" t="s">
        <v>4559</v>
      </c>
      <c r="U2210" t="s">
        <v>4560</v>
      </c>
      <c r="V2210" s="2">
        <v>504</v>
      </c>
      <c r="W2210" t="s">
        <v>4655</v>
      </c>
      <c r="X2210" s="2">
        <v>0</v>
      </c>
      <c r="Y2210">
        <v>20</v>
      </c>
      <c r="Z2210" t="s">
        <v>5200</v>
      </c>
      <c r="AA2210" s="3">
        <v>0.148002758622169</v>
      </c>
      <c r="AB2210" t="s">
        <v>14263</v>
      </c>
      <c r="AC2210" t="s">
        <v>4562</v>
      </c>
      <c r="AD2210" t="s">
        <v>14261</v>
      </c>
      <c r="AE2210" t="s">
        <v>4655</v>
      </c>
      <c r="AF2210" t="s">
        <v>4809</v>
      </c>
      <c r="AG2210" t="s">
        <v>4564</v>
      </c>
      <c r="AH2210" t="s">
        <v>5202</v>
      </c>
      <c r="AI2210" t="s">
        <v>14264</v>
      </c>
      <c r="AJ2210" t="s">
        <v>4655</v>
      </c>
      <c r="AK2210" t="s">
        <v>14265</v>
      </c>
      <c r="AL2210" s="13" t="s">
        <v>1886</v>
      </c>
      <c r="AM2210">
        <v>1</v>
      </c>
      <c r="AN2210" s="15" t="s">
        <v>4904</v>
      </c>
    </row>
    <row r="2211" spans="1:40" x14ac:dyDescent="0.3">
      <c r="A2211" s="10" t="str">
        <f>HYPERLINK("http://www.washoecounty.gov/assessor/cama/?parid=028-213-05&amp;CardNumber=1","028-213-05")</f>
        <v>028-213-05</v>
      </c>
      <c r="B2211" t="s">
        <v>4655</v>
      </c>
      <c r="C2211" t="s">
        <v>14266</v>
      </c>
      <c r="D2211" s="1">
        <v>40438</v>
      </c>
      <c r="E2211" s="2">
        <v>81950</v>
      </c>
      <c r="F2211" t="s">
        <v>4553</v>
      </c>
      <c r="G2211" s="17" t="str">
        <f>HYPERLINK("https://www.washoecounty.gov/assessor/cama/?command=sales&amp;parid=02821305","3923367")</f>
        <v>3923367</v>
      </c>
      <c r="H2211" t="s">
        <v>5019</v>
      </c>
      <c r="I2211">
        <v>1962</v>
      </c>
      <c r="J2211">
        <v>1962</v>
      </c>
      <c r="K2211" t="s">
        <v>4554</v>
      </c>
      <c r="L2211" t="s">
        <v>4555</v>
      </c>
      <c r="M2211" s="2">
        <v>1328</v>
      </c>
      <c r="N2211" t="s">
        <v>4556</v>
      </c>
      <c r="O2211">
        <v>4</v>
      </c>
      <c r="P2211">
        <v>2</v>
      </c>
      <c r="Q2211">
        <v>0</v>
      </c>
      <c r="R2211" t="s">
        <v>4557</v>
      </c>
      <c r="S2211" t="s">
        <v>4558</v>
      </c>
      <c r="T2211" t="s">
        <v>4559</v>
      </c>
      <c r="U2211" t="s">
        <v>4560</v>
      </c>
      <c r="V2211" s="2">
        <v>504</v>
      </c>
      <c r="W2211" t="s">
        <v>4655</v>
      </c>
      <c r="X2211" s="2">
        <v>0</v>
      </c>
      <c r="Y2211">
        <v>20</v>
      </c>
      <c r="Z2211" t="s">
        <v>5200</v>
      </c>
      <c r="AA2211" s="3">
        <v>0.15798898041248299</v>
      </c>
      <c r="AB2211" t="s">
        <v>4673</v>
      </c>
      <c r="AC2211" t="s">
        <v>4562</v>
      </c>
      <c r="AD2211" t="s">
        <v>3093</v>
      </c>
      <c r="AE2211" t="s">
        <v>4655</v>
      </c>
      <c r="AF2211" t="s">
        <v>4563</v>
      </c>
      <c r="AG2211" t="s">
        <v>4564</v>
      </c>
      <c r="AH2211">
        <v>89512</v>
      </c>
      <c r="AI2211" t="s">
        <v>4503</v>
      </c>
      <c r="AJ2211" t="s">
        <v>4655</v>
      </c>
      <c r="AK2211" t="s">
        <v>14267</v>
      </c>
      <c r="AL2211" s="13" t="s">
        <v>1886</v>
      </c>
      <c r="AM2211" s="14">
        <v>1</v>
      </c>
      <c r="AN2211" s="15" t="s">
        <v>4904</v>
      </c>
    </row>
    <row r="2212" spans="1:40" x14ac:dyDescent="0.3">
      <c r="A2212" s="10" t="str">
        <f>HYPERLINK("http://www.washoecounty.gov/assessor/cama/?parid=028-213-09&amp;CardNumber=1","028-213-09")</f>
        <v>028-213-09</v>
      </c>
      <c r="B2212" t="s">
        <v>4655</v>
      </c>
      <c r="C2212" t="s">
        <v>14268</v>
      </c>
      <c r="D2212" s="1">
        <v>40252</v>
      </c>
      <c r="E2212" s="2">
        <v>120000</v>
      </c>
      <c r="F2212" t="s">
        <v>4567</v>
      </c>
      <c r="G2212" s="17" t="str">
        <f>HYPERLINK("https://www.washoecounty.gov/assessor/cama/?command=sales&amp;parid=02821309","3859826")</f>
        <v>3859826</v>
      </c>
      <c r="H2212" t="s">
        <v>14234</v>
      </c>
      <c r="I2212">
        <v>1962</v>
      </c>
      <c r="J2212">
        <v>1962</v>
      </c>
      <c r="K2212" t="s">
        <v>4554</v>
      </c>
      <c r="L2212" t="s">
        <v>4555</v>
      </c>
      <c r="M2212" s="2">
        <v>1203</v>
      </c>
      <c r="N2212" t="s">
        <v>4556</v>
      </c>
      <c r="O2212">
        <v>3</v>
      </c>
      <c r="P2212">
        <v>2</v>
      </c>
      <c r="Q2212">
        <v>0</v>
      </c>
      <c r="R2212" t="s">
        <v>4557</v>
      </c>
      <c r="S2212" t="s">
        <v>4558</v>
      </c>
      <c r="T2212" t="s">
        <v>4559</v>
      </c>
      <c r="U2212" t="s">
        <v>4560</v>
      </c>
      <c r="V2212" s="2">
        <v>504</v>
      </c>
      <c r="W2212" t="s">
        <v>4655</v>
      </c>
      <c r="X2212" s="2">
        <v>0</v>
      </c>
      <c r="Y2212">
        <v>20</v>
      </c>
      <c r="Z2212" t="s">
        <v>5200</v>
      </c>
      <c r="AA2212" s="3">
        <v>0.15199723839759827</v>
      </c>
      <c r="AB2212" t="s">
        <v>14269</v>
      </c>
      <c r="AC2212" t="s">
        <v>4575</v>
      </c>
      <c r="AD2212" t="s">
        <v>2478</v>
      </c>
      <c r="AE2212" t="s">
        <v>4655</v>
      </c>
      <c r="AF2212" t="s">
        <v>4563</v>
      </c>
      <c r="AG2212" t="s">
        <v>4564</v>
      </c>
      <c r="AH2212">
        <v>89509</v>
      </c>
      <c r="AI2212" t="s">
        <v>14270</v>
      </c>
      <c r="AJ2212" t="s">
        <v>4655</v>
      </c>
      <c r="AK2212" t="s">
        <v>14271</v>
      </c>
      <c r="AL2212" s="13" t="s">
        <v>1886</v>
      </c>
      <c r="AM2212">
        <v>1</v>
      </c>
      <c r="AN2212" s="15" t="s">
        <v>4904</v>
      </c>
    </row>
    <row r="2213" spans="1:40" x14ac:dyDescent="0.3">
      <c r="A2213" s="10" t="str">
        <f>HYPERLINK("http://www.washoecounty.gov/assessor/cama/?parid=028-213-31&amp;CardNumber=1","028-213-31")</f>
        <v>028-213-31</v>
      </c>
      <c r="B2213" t="s">
        <v>4655</v>
      </c>
      <c r="C2213" t="s">
        <v>14272</v>
      </c>
      <c r="D2213" s="1">
        <v>40431</v>
      </c>
      <c r="E2213" s="2">
        <v>95000</v>
      </c>
      <c r="F2213" t="s">
        <v>4567</v>
      </c>
      <c r="G2213" s="17" t="str">
        <f>HYPERLINK("https://www.washoecounty.gov/assessor/cama/?command=sales&amp;parid=02821331","3920905")</f>
        <v>3920905</v>
      </c>
      <c r="H2213" t="s">
        <v>97</v>
      </c>
      <c r="I2213">
        <v>1962</v>
      </c>
      <c r="J2213">
        <v>1965</v>
      </c>
      <c r="K2213" t="s">
        <v>4554</v>
      </c>
      <c r="L2213" t="s">
        <v>4555</v>
      </c>
      <c r="M2213" s="2">
        <v>1617</v>
      </c>
      <c r="N2213" t="s">
        <v>4556</v>
      </c>
      <c r="O2213">
        <v>4</v>
      </c>
      <c r="P2213">
        <v>2</v>
      </c>
      <c r="Q2213">
        <v>0</v>
      </c>
      <c r="R2213" t="s">
        <v>4557</v>
      </c>
      <c r="S2213" t="s">
        <v>4558</v>
      </c>
      <c r="T2213" t="s">
        <v>4559</v>
      </c>
      <c r="U2213" t="s">
        <v>4560</v>
      </c>
      <c r="V2213" s="2">
        <v>504</v>
      </c>
      <c r="W2213" t="s">
        <v>4655</v>
      </c>
      <c r="X2213" s="2">
        <v>0</v>
      </c>
      <c r="Y2213">
        <v>20</v>
      </c>
      <c r="Z2213" t="s">
        <v>5200</v>
      </c>
      <c r="AA2213" s="3">
        <v>0.16400367021560699</v>
      </c>
      <c r="AB2213" t="s">
        <v>14273</v>
      </c>
      <c r="AC2213" t="s">
        <v>4562</v>
      </c>
      <c r="AD2213" t="s">
        <v>14274</v>
      </c>
      <c r="AE2213" t="s">
        <v>4655</v>
      </c>
      <c r="AF2213" t="s">
        <v>5201</v>
      </c>
      <c r="AG2213" t="s">
        <v>4564</v>
      </c>
      <c r="AH2213" t="s">
        <v>5202</v>
      </c>
      <c r="AI2213" t="s">
        <v>14275</v>
      </c>
      <c r="AJ2213" t="s">
        <v>4655</v>
      </c>
      <c r="AK2213" t="s">
        <v>14276</v>
      </c>
      <c r="AL2213" s="13" t="s">
        <v>1886</v>
      </c>
      <c r="AM2213">
        <v>1</v>
      </c>
      <c r="AN2213" s="15" t="s">
        <v>4904</v>
      </c>
    </row>
    <row r="2214" spans="1:40" x14ac:dyDescent="0.3">
      <c r="A2214" s="10" t="str">
        <f>HYPERLINK("http://www.washoecounty.gov/assessor/cama/?parid=028-213-35&amp;CardNumber=1","028-213-35")</f>
        <v>028-213-35</v>
      </c>
      <c r="B2214" t="s">
        <v>4655</v>
      </c>
      <c r="C2214" t="s">
        <v>14277</v>
      </c>
      <c r="D2214" s="1">
        <v>40351</v>
      </c>
      <c r="E2214" s="2">
        <v>120000</v>
      </c>
      <c r="F2214" t="s">
        <v>4567</v>
      </c>
      <c r="G2214" s="17" t="str">
        <f>HYPERLINK("https://www.washoecounty.gov/assessor/cama/?command=sales&amp;parid=02821335","3894082")</f>
        <v>3894082</v>
      </c>
      <c r="H2214" t="s">
        <v>97</v>
      </c>
      <c r="I2214">
        <v>1962</v>
      </c>
      <c r="J2214">
        <v>1962</v>
      </c>
      <c r="K2214" t="s">
        <v>4554</v>
      </c>
      <c r="L2214" t="s">
        <v>4555</v>
      </c>
      <c r="M2214" s="2">
        <v>1203</v>
      </c>
      <c r="N2214" t="s">
        <v>4556</v>
      </c>
      <c r="O2214">
        <v>3</v>
      </c>
      <c r="P2214">
        <v>2</v>
      </c>
      <c r="Q2214">
        <v>0</v>
      </c>
      <c r="R2214" t="s">
        <v>4557</v>
      </c>
      <c r="S2214" t="s">
        <v>4574</v>
      </c>
      <c r="T2214" t="s">
        <v>4559</v>
      </c>
      <c r="U2214" t="s">
        <v>4560</v>
      </c>
      <c r="V2214" s="2">
        <v>504</v>
      </c>
      <c r="W2214" t="s">
        <v>4655</v>
      </c>
      <c r="X2214" s="2">
        <v>0</v>
      </c>
      <c r="Y2214">
        <v>20</v>
      </c>
      <c r="Z2214" t="s">
        <v>5200</v>
      </c>
      <c r="AA2214" s="3">
        <v>0.16400367021560699</v>
      </c>
      <c r="AB2214" t="s">
        <v>14278</v>
      </c>
      <c r="AC2214" t="s">
        <v>4562</v>
      </c>
      <c r="AD2214" t="s">
        <v>14279</v>
      </c>
      <c r="AE2214" t="s">
        <v>4655</v>
      </c>
      <c r="AF2214" t="s">
        <v>5201</v>
      </c>
      <c r="AG2214" t="s">
        <v>4564</v>
      </c>
      <c r="AH2214" t="s">
        <v>3898</v>
      </c>
      <c r="AI2214" t="s">
        <v>14280</v>
      </c>
      <c r="AJ2214" t="s">
        <v>4655</v>
      </c>
      <c r="AK2214" t="s">
        <v>14281</v>
      </c>
      <c r="AL2214" s="13" t="s">
        <v>1886</v>
      </c>
      <c r="AM2214">
        <v>1</v>
      </c>
      <c r="AN2214" s="15" t="s">
        <v>4904</v>
      </c>
    </row>
    <row r="2215" spans="1:40" x14ac:dyDescent="0.3">
      <c r="A2215" s="10" t="str">
        <f>HYPERLINK("http://www.washoecounty.gov/assessor/cama/?parid=028-223-14&amp;CardNumber=1","028-223-14")</f>
        <v>028-223-14</v>
      </c>
      <c r="B2215" t="s">
        <v>4655</v>
      </c>
      <c r="C2215" t="s">
        <v>14282</v>
      </c>
      <c r="D2215" s="1">
        <v>40325</v>
      </c>
      <c r="E2215" s="2">
        <v>120000</v>
      </c>
      <c r="F2215" t="s">
        <v>4567</v>
      </c>
      <c r="G2215" s="17" t="str">
        <f>HYPERLINK("https://www.washoecounty.gov/assessor/cama/?command=sales&amp;parid=02822314","3886075")</f>
        <v>3886075</v>
      </c>
      <c r="H2215" t="s">
        <v>5199</v>
      </c>
      <c r="I2215">
        <v>1961</v>
      </c>
      <c r="J2215">
        <v>1964</v>
      </c>
      <c r="K2215" t="s">
        <v>4554</v>
      </c>
      <c r="L2215" t="s">
        <v>4555</v>
      </c>
      <c r="M2215" s="2">
        <v>1265</v>
      </c>
      <c r="N2215" t="s">
        <v>4556</v>
      </c>
      <c r="O2215">
        <v>3</v>
      </c>
      <c r="P2215">
        <v>2</v>
      </c>
      <c r="Q2215">
        <v>0</v>
      </c>
      <c r="R2215" t="s">
        <v>4557</v>
      </c>
      <c r="S2215" t="s">
        <v>4558</v>
      </c>
      <c r="T2215" t="s">
        <v>4559</v>
      </c>
      <c r="U2215" t="s">
        <v>4655</v>
      </c>
      <c r="V2215" s="2">
        <v>0</v>
      </c>
      <c r="W2215" t="s">
        <v>4655</v>
      </c>
      <c r="X2215" s="2">
        <v>0</v>
      </c>
      <c r="Y2215">
        <v>20</v>
      </c>
      <c r="Z2215" t="s">
        <v>5200</v>
      </c>
      <c r="AA2215" s="3">
        <v>0.16099633276462599</v>
      </c>
      <c r="AB2215" t="s">
        <v>14283</v>
      </c>
      <c r="AC2215" t="s">
        <v>4575</v>
      </c>
      <c r="AD2215" t="s">
        <v>14282</v>
      </c>
      <c r="AE2215" t="s">
        <v>4655</v>
      </c>
      <c r="AF2215" t="s">
        <v>5201</v>
      </c>
      <c r="AG2215" t="s">
        <v>4564</v>
      </c>
      <c r="AH2215" t="s">
        <v>3898</v>
      </c>
      <c r="AI2215" t="s">
        <v>14284</v>
      </c>
      <c r="AJ2215" t="s">
        <v>4655</v>
      </c>
      <c r="AK2215" t="s">
        <v>14285</v>
      </c>
      <c r="AL2215" s="13" t="s">
        <v>1886</v>
      </c>
      <c r="AM2215">
        <v>1</v>
      </c>
      <c r="AN2215" s="15" t="s">
        <v>4904</v>
      </c>
    </row>
    <row r="2216" spans="1:40" x14ac:dyDescent="0.3">
      <c r="A2216" s="10" t="str">
        <f>HYPERLINK("http://www.washoecounty.gov/assessor/cama/?parid=028-231-04&amp;CardNumber=1","028-231-04")</f>
        <v>028-231-04</v>
      </c>
      <c r="B2216" t="s">
        <v>4655</v>
      </c>
      <c r="C2216" t="s">
        <v>14286</v>
      </c>
      <c r="D2216" s="1">
        <v>40343</v>
      </c>
      <c r="E2216" s="2">
        <v>115000</v>
      </c>
      <c r="F2216" t="s">
        <v>4567</v>
      </c>
      <c r="G2216" s="17" t="str">
        <f>HYPERLINK("https://www.washoecounty.gov/assessor/cama/?command=sales&amp;parid=02823104","3891385")</f>
        <v>3891385</v>
      </c>
      <c r="H2216" t="s">
        <v>5276</v>
      </c>
      <c r="I2216">
        <v>1961</v>
      </c>
      <c r="J2216">
        <v>1966</v>
      </c>
      <c r="K2216" t="s">
        <v>4554</v>
      </c>
      <c r="L2216" t="s">
        <v>4555</v>
      </c>
      <c r="M2216" s="2">
        <v>1303</v>
      </c>
      <c r="N2216" t="s">
        <v>4556</v>
      </c>
      <c r="O2216">
        <v>3</v>
      </c>
      <c r="P2216">
        <v>1</v>
      </c>
      <c r="Q2216">
        <v>0</v>
      </c>
      <c r="R2216" t="s">
        <v>5281</v>
      </c>
      <c r="S2216" t="s">
        <v>4558</v>
      </c>
      <c r="T2216" t="s">
        <v>4559</v>
      </c>
      <c r="U2216" t="s">
        <v>4560</v>
      </c>
      <c r="V2216" s="2">
        <v>315</v>
      </c>
      <c r="W2216" t="s">
        <v>4655</v>
      </c>
      <c r="X2216" s="2">
        <v>0</v>
      </c>
      <c r="Y2216">
        <v>20</v>
      </c>
      <c r="Z2216" t="s">
        <v>5200</v>
      </c>
      <c r="AA2216" s="3">
        <v>0.15798898041248299</v>
      </c>
      <c r="AB2216" t="s">
        <v>14287</v>
      </c>
      <c r="AC2216" t="s">
        <v>4562</v>
      </c>
      <c r="AD2216" t="s">
        <v>14288</v>
      </c>
      <c r="AE2216" t="s">
        <v>4655</v>
      </c>
      <c r="AF2216" t="s">
        <v>5201</v>
      </c>
      <c r="AG2216" t="s">
        <v>4564</v>
      </c>
      <c r="AH2216" t="s">
        <v>5202</v>
      </c>
      <c r="AI2216" t="s">
        <v>14289</v>
      </c>
      <c r="AJ2216" t="s">
        <v>4655</v>
      </c>
      <c r="AK2216" t="s">
        <v>14290</v>
      </c>
      <c r="AL2216" s="13" t="s">
        <v>1886</v>
      </c>
      <c r="AM2216">
        <v>1</v>
      </c>
      <c r="AN2216" s="15" t="s">
        <v>4904</v>
      </c>
    </row>
    <row r="2217" spans="1:40" x14ac:dyDescent="0.3">
      <c r="A2217" s="10" t="str">
        <f>HYPERLINK("http://www.washoecounty.gov/assessor/cama/?parid=028-231-08&amp;CardNumber=1","028-231-08")</f>
        <v>028-231-08</v>
      </c>
      <c r="B2217" t="s">
        <v>4655</v>
      </c>
      <c r="C2217" t="s">
        <v>14291</v>
      </c>
      <c r="D2217" s="1">
        <v>40511</v>
      </c>
      <c r="E2217" s="2">
        <v>107900</v>
      </c>
      <c r="F2217" t="s">
        <v>4553</v>
      </c>
      <c r="G2217" s="17" t="str">
        <f>HYPERLINK("https://www.washoecounty.gov/assessor/cama/?command=sales&amp;parid=02823108","3947283")</f>
        <v>3947283</v>
      </c>
      <c r="H2217" t="s">
        <v>5276</v>
      </c>
      <c r="I2217">
        <v>1961</v>
      </c>
      <c r="J2217">
        <v>1961</v>
      </c>
      <c r="K2217" t="s">
        <v>4554</v>
      </c>
      <c r="L2217" t="s">
        <v>4555</v>
      </c>
      <c r="M2217" s="2">
        <v>1203</v>
      </c>
      <c r="N2217" t="s">
        <v>4556</v>
      </c>
      <c r="O2217">
        <v>3</v>
      </c>
      <c r="P2217">
        <v>2</v>
      </c>
      <c r="Q2217">
        <v>0</v>
      </c>
      <c r="R2217" t="s">
        <v>4557</v>
      </c>
      <c r="S2217" t="s">
        <v>4574</v>
      </c>
      <c r="T2217" t="s">
        <v>4559</v>
      </c>
      <c r="U2217" t="s">
        <v>4560</v>
      </c>
      <c r="V2217" s="2">
        <v>441</v>
      </c>
      <c r="W2217" t="s">
        <v>4655</v>
      </c>
      <c r="X2217" s="2">
        <v>0</v>
      </c>
      <c r="Y2217">
        <v>20</v>
      </c>
      <c r="Z2217" t="s">
        <v>5200</v>
      </c>
      <c r="AA2217" s="3">
        <v>0.16400367021560699</v>
      </c>
      <c r="AB2217" t="s">
        <v>4673</v>
      </c>
      <c r="AC2217" t="s">
        <v>4562</v>
      </c>
      <c r="AD2217" t="s">
        <v>3093</v>
      </c>
      <c r="AE2217" t="s">
        <v>4655</v>
      </c>
      <c r="AF2217" t="s">
        <v>4563</v>
      </c>
      <c r="AG2217" t="s">
        <v>4564</v>
      </c>
      <c r="AH2217">
        <v>89512</v>
      </c>
      <c r="AI2217" t="s">
        <v>4045</v>
      </c>
      <c r="AJ2217" t="s">
        <v>4655</v>
      </c>
      <c r="AK2217" t="s">
        <v>14292</v>
      </c>
      <c r="AL2217" s="13" t="s">
        <v>1886</v>
      </c>
      <c r="AM2217" s="14">
        <v>1</v>
      </c>
      <c r="AN2217" s="15" t="s">
        <v>4904</v>
      </c>
    </row>
    <row r="2218" spans="1:40" x14ac:dyDescent="0.3">
      <c r="A2218" s="10" t="str">
        <f>HYPERLINK("http://www.washoecounty.gov/assessor/cama/?parid=028-231-24&amp;CardNumber=1","028-231-24")</f>
        <v>028-231-24</v>
      </c>
      <c r="B2218" t="s">
        <v>4655</v>
      </c>
      <c r="C2218" t="s">
        <v>14293</v>
      </c>
      <c r="D2218" s="1">
        <v>40184</v>
      </c>
      <c r="E2218" s="2">
        <v>136900</v>
      </c>
      <c r="F2218" t="s">
        <v>4553</v>
      </c>
      <c r="G2218" s="17" t="str">
        <f>HYPERLINK("https://www.washoecounty.gov/assessor/cama/?command=sales&amp;parid=02823124","3836958")</f>
        <v>3836958</v>
      </c>
      <c r="H2218" t="s">
        <v>4905</v>
      </c>
      <c r="I2218">
        <v>1969</v>
      </c>
      <c r="J2218">
        <v>1969</v>
      </c>
      <c r="K2218" t="s">
        <v>4554</v>
      </c>
      <c r="L2218" t="s">
        <v>4555</v>
      </c>
      <c r="M2218" s="2">
        <v>1383</v>
      </c>
      <c r="N2218" t="s">
        <v>4556</v>
      </c>
      <c r="O2218">
        <v>3</v>
      </c>
      <c r="P2218">
        <v>2</v>
      </c>
      <c r="Q2218">
        <v>0</v>
      </c>
      <c r="R2218" t="s">
        <v>4557</v>
      </c>
      <c r="S2218" t="s">
        <v>4135</v>
      </c>
      <c r="T2218" t="s">
        <v>4559</v>
      </c>
      <c r="U2218" t="s">
        <v>4560</v>
      </c>
      <c r="V2218" s="2">
        <v>420</v>
      </c>
      <c r="W2218" t="s">
        <v>4655</v>
      </c>
      <c r="X2218" s="2">
        <v>0</v>
      </c>
      <c r="Y2218">
        <v>20</v>
      </c>
      <c r="Z2218" t="s">
        <v>5200</v>
      </c>
      <c r="AA2218" s="3">
        <v>0.18999081850051899</v>
      </c>
      <c r="AB2218" t="s">
        <v>14294</v>
      </c>
      <c r="AC2218" t="s">
        <v>4562</v>
      </c>
      <c r="AD2218" t="s">
        <v>14293</v>
      </c>
      <c r="AE2218" t="s">
        <v>4655</v>
      </c>
      <c r="AF2218" t="s">
        <v>5201</v>
      </c>
      <c r="AG2218" t="s">
        <v>4564</v>
      </c>
      <c r="AH2218" t="s">
        <v>5202</v>
      </c>
      <c r="AI2218" t="s">
        <v>4565</v>
      </c>
      <c r="AJ2218" t="s">
        <v>4655</v>
      </c>
      <c r="AK2218" t="s">
        <v>14295</v>
      </c>
      <c r="AL2218" s="13" t="s">
        <v>1886</v>
      </c>
      <c r="AM2218">
        <v>1</v>
      </c>
      <c r="AN2218" s="15" t="s">
        <v>4904</v>
      </c>
    </row>
    <row r="2219" spans="1:40" x14ac:dyDescent="0.3">
      <c r="A2219" s="10" t="str">
        <f>HYPERLINK("http://www.washoecounty.gov/assessor/cama/?parid=028-231-29&amp;CardNumber=1","028-231-29")</f>
        <v>028-231-29</v>
      </c>
      <c r="B2219" t="s">
        <v>4655</v>
      </c>
      <c r="C2219" t="s">
        <v>14296</v>
      </c>
      <c r="D2219" s="1">
        <v>40358</v>
      </c>
      <c r="E2219" s="2">
        <v>116000</v>
      </c>
      <c r="F2219" t="s">
        <v>4553</v>
      </c>
      <c r="G2219" s="17" t="str">
        <f>HYPERLINK("https://www.washoecounty.gov/assessor/cama/?command=sales&amp;parid=02823129","3896718")</f>
        <v>3896718</v>
      </c>
      <c r="H2219" t="s">
        <v>4905</v>
      </c>
      <c r="I2219">
        <v>1970</v>
      </c>
      <c r="J2219">
        <v>1971</v>
      </c>
      <c r="K2219" t="s">
        <v>4554</v>
      </c>
      <c r="L2219" t="s">
        <v>3886</v>
      </c>
      <c r="M2219" s="2">
        <v>1464</v>
      </c>
      <c r="N2219" t="s">
        <v>4556</v>
      </c>
      <c r="O2219">
        <v>4</v>
      </c>
      <c r="P2219">
        <v>2</v>
      </c>
      <c r="Q2219">
        <v>0</v>
      </c>
      <c r="R2219" t="s">
        <v>4557</v>
      </c>
      <c r="S2219" t="s">
        <v>4682</v>
      </c>
      <c r="T2219" t="s">
        <v>4559</v>
      </c>
      <c r="U2219" t="s">
        <v>4560</v>
      </c>
      <c r="V2219" s="2">
        <v>330</v>
      </c>
      <c r="W2219" t="s">
        <v>4655</v>
      </c>
      <c r="X2219" s="2">
        <v>0</v>
      </c>
      <c r="Y2219">
        <v>20</v>
      </c>
      <c r="Z2219" t="s">
        <v>5200</v>
      </c>
      <c r="AA2219" s="3">
        <v>0.15300734341144601</v>
      </c>
      <c r="AB2219" t="s">
        <v>14297</v>
      </c>
      <c r="AC2219" t="s">
        <v>4562</v>
      </c>
      <c r="AD2219" t="s">
        <v>14296</v>
      </c>
      <c r="AE2219" t="s">
        <v>4655</v>
      </c>
      <c r="AF2219" t="s">
        <v>5201</v>
      </c>
      <c r="AG2219" t="s">
        <v>4564</v>
      </c>
      <c r="AH2219" t="s">
        <v>5202</v>
      </c>
      <c r="AI2219" t="s">
        <v>4848</v>
      </c>
      <c r="AJ2219" t="s">
        <v>4655</v>
      </c>
      <c r="AK2219" t="s">
        <v>14298</v>
      </c>
      <c r="AL2219" s="13" t="s">
        <v>1886</v>
      </c>
      <c r="AM2219">
        <v>1</v>
      </c>
      <c r="AN2219" s="15" t="s">
        <v>4904</v>
      </c>
    </row>
    <row r="2220" spans="1:40" x14ac:dyDescent="0.3">
      <c r="A2220" s="10" t="str">
        <f>HYPERLINK("http://www.washoecounty.gov/assessor/cama/?parid=028-231-34&amp;CardNumber=1","028-231-34")</f>
        <v>028-231-34</v>
      </c>
      <c r="B2220" t="s">
        <v>4655</v>
      </c>
      <c r="C2220" t="s">
        <v>14299</v>
      </c>
      <c r="D2220" s="1">
        <v>40246</v>
      </c>
      <c r="E2220" s="2">
        <v>85000</v>
      </c>
      <c r="F2220" t="s">
        <v>4567</v>
      </c>
      <c r="G2220" s="17" t="str">
        <f>HYPERLINK("https://www.washoecounty.gov/assessor/cama/?command=sales&amp;parid=02823134","3857765")</f>
        <v>3857765</v>
      </c>
      <c r="H2220" t="s">
        <v>5276</v>
      </c>
      <c r="I2220">
        <v>1961</v>
      </c>
      <c r="J2220">
        <v>1961</v>
      </c>
      <c r="K2220" t="s">
        <v>4554</v>
      </c>
      <c r="L2220" t="s">
        <v>4555</v>
      </c>
      <c r="M2220" s="2">
        <v>875</v>
      </c>
      <c r="N2220" t="s">
        <v>4556</v>
      </c>
      <c r="O2220">
        <v>3</v>
      </c>
      <c r="P2220">
        <v>1</v>
      </c>
      <c r="Q2220">
        <v>0</v>
      </c>
      <c r="R2220" t="s">
        <v>4134</v>
      </c>
      <c r="S2220" t="s">
        <v>4135</v>
      </c>
      <c r="T2220" t="s">
        <v>4559</v>
      </c>
      <c r="U2220" t="s">
        <v>4560</v>
      </c>
      <c r="V2220" s="2">
        <v>315</v>
      </c>
      <c r="W2220" t="s">
        <v>4655</v>
      </c>
      <c r="X2220" s="2">
        <v>0</v>
      </c>
      <c r="Y2220">
        <v>20</v>
      </c>
      <c r="Z2220" t="s">
        <v>5200</v>
      </c>
      <c r="AA2220" s="3">
        <v>0.16400367021560699</v>
      </c>
      <c r="AB2220" t="s">
        <v>14300</v>
      </c>
      <c r="AC2220" t="s">
        <v>4575</v>
      </c>
      <c r="AD2220" t="s">
        <v>14299</v>
      </c>
      <c r="AE2220" t="s">
        <v>4655</v>
      </c>
      <c r="AF2220" t="s">
        <v>5201</v>
      </c>
      <c r="AG2220" t="s">
        <v>4564</v>
      </c>
      <c r="AH2220" t="s">
        <v>5202</v>
      </c>
      <c r="AI2220" t="s">
        <v>4655</v>
      </c>
      <c r="AJ2220" t="s">
        <v>4655</v>
      </c>
      <c r="AK2220" t="s">
        <v>14301</v>
      </c>
      <c r="AL2220" s="13" t="s">
        <v>1886</v>
      </c>
      <c r="AM2220">
        <v>1</v>
      </c>
      <c r="AN2220" s="15" t="s">
        <v>4904</v>
      </c>
    </row>
    <row r="2221" spans="1:40" x14ac:dyDescent="0.3">
      <c r="A2221" s="10" t="str">
        <f>HYPERLINK("http://www.washoecounty.gov/assessor/cama/?parid=028-231-36&amp;CardNumber=1","028-231-36")</f>
        <v>028-231-36</v>
      </c>
      <c r="B2221" t="s">
        <v>4655</v>
      </c>
      <c r="C2221" t="s">
        <v>14302</v>
      </c>
      <c r="D2221" s="1">
        <v>40186</v>
      </c>
      <c r="E2221" s="2">
        <v>106000</v>
      </c>
      <c r="F2221" t="s">
        <v>4553</v>
      </c>
      <c r="G2221" s="17" t="str">
        <f>HYPERLINK("https://www.washoecounty.gov/assessor/cama/?command=sales&amp;parid=02823136","3837559")</f>
        <v>3837559</v>
      </c>
      <c r="H2221" t="s">
        <v>5276</v>
      </c>
      <c r="I2221">
        <v>1961</v>
      </c>
      <c r="J2221">
        <v>1961</v>
      </c>
      <c r="K2221" t="s">
        <v>4554</v>
      </c>
      <c r="L2221" t="s">
        <v>4555</v>
      </c>
      <c r="M2221" s="2">
        <v>1203</v>
      </c>
      <c r="N2221" t="s">
        <v>4556</v>
      </c>
      <c r="O2221">
        <v>3</v>
      </c>
      <c r="P2221">
        <v>2</v>
      </c>
      <c r="Q2221">
        <v>0</v>
      </c>
      <c r="R2221" t="s">
        <v>4557</v>
      </c>
      <c r="S2221" t="s">
        <v>4574</v>
      </c>
      <c r="T2221" t="s">
        <v>4559</v>
      </c>
      <c r="U2221" t="s">
        <v>4560</v>
      </c>
      <c r="V2221" s="2">
        <v>441</v>
      </c>
      <c r="W2221" t="s">
        <v>4655</v>
      </c>
      <c r="X2221" s="2">
        <v>0</v>
      </c>
      <c r="Y2221">
        <v>20</v>
      </c>
      <c r="Z2221" t="s">
        <v>5200</v>
      </c>
      <c r="AA2221" s="3">
        <v>0.16400367021560699</v>
      </c>
      <c r="AB2221" t="s">
        <v>14303</v>
      </c>
      <c r="AC2221" t="s">
        <v>4562</v>
      </c>
      <c r="AD2221" t="s">
        <v>14304</v>
      </c>
      <c r="AE2221" t="s">
        <v>4655</v>
      </c>
      <c r="AF2221" t="s">
        <v>14305</v>
      </c>
      <c r="AG2221" t="s">
        <v>5277</v>
      </c>
      <c r="AH2221">
        <v>85122</v>
      </c>
      <c r="AI2221" t="s">
        <v>4503</v>
      </c>
      <c r="AJ2221" t="s">
        <v>4655</v>
      </c>
      <c r="AK2221" t="s">
        <v>14306</v>
      </c>
      <c r="AL2221" s="13" t="s">
        <v>1886</v>
      </c>
      <c r="AM2221">
        <v>1</v>
      </c>
      <c r="AN2221" s="15" t="s">
        <v>4904</v>
      </c>
    </row>
    <row r="2222" spans="1:40" x14ac:dyDescent="0.3">
      <c r="A2222" s="10" t="str">
        <f>HYPERLINK("http://www.washoecounty.gov/assessor/cama/?parid=028-232-10&amp;CardNumber=1","028-232-10")</f>
        <v>028-232-10</v>
      </c>
      <c r="B2222" t="s">
        <v>4655</v>
      </c>
      <c r="C2222" t="s">
        <v>14307</v>
      </c>
      <c r="D2222" s="1">
        <v>40441</v>
      </c>
      <c r="E2222" s="2">
        <v>95000</v>
      </c>
      <c r="F2222" t="s">
        <v>4553</v>
      </c>
      <c r="G2222" s="17" t="str">
        <f>HYPERLINK("https://www.washoecounty.gov/assessor/cama/?command=sales&amp;parid=02823210","3924004")</f>
        <v>3924004</v>
      </c>
      <c r="H2222" t="s">
        <v>4757</v>
      </c>
      <c r="I2222">
        <v>1962</v>
      </c>
      <c r="J2222">
        <v>1966</v>
      </c>
      <c r="K2222" t="s">
        <v>4554</v>
      </c>
      <c r="L2222" t="s">
        <v>4555</v>
      </c>
      <c r="M2222" s="2">
        <v>1488</v>
      </c>
      <c r="N2222" t="s">
        <v>4556</v>
      </c>
      <c r="O2222">
        <v>4</v>
      </c>
      <c r="P2222">
        <v>2</v>
      </c>
      <c r="Q2222">
        <v>0</v>
      </c>
      <c r="R2222" t="s">
        <v>4557</v>
      </c>
      <c r="S2222" t="s">
        <v>4558</v>
      </c>
      <c r="T2222" t="s">
        <v>4559</v>
      </c>
      <c r="U2222" t="s">
        <v>4560</v>
      </c>
      <c r="V2222" s="2">
        <v>504</v>
      </c>
      <c r="W2222" t="s">
        <v>4655</v>
      </c>
      <c r="X2222" s="2">
        <v>0</v>
      </c>
      <c r="Y2222">
        <v>20</v>
      </c>
      <c r="Z2222" t="s">
        <v>5200</v>
      </c>
      <c r="AA2222" s="3">
        <v>0.16400367021560699</v>
      </c>
      <c r="AB2222" t="s">
        <v>14308</v>
      </c>
      <c r="AC2222" t="s">
        <v>4562</v>
      </c>
      <c r="AD2222" t="s">
        <v>14309</v>
      </c>
      <c r="AE2222" t="s">
        <v>4655</v>
      </c>
      <c r="AF2222" t="s">
        <v>4809</v>
      </c>
      <c r="AG2222" t="s">
        <v>4564</v>
      </c>
      <c r="AH2222" t="s">
        <v>5202</v>
      </c>
      <c r="AI2222" t="s">
        <v>4903</v>
      </c>
      <c r="AJ2222" t="s">
        <v>4655</v>
      </c>
      <c r="AK2222" t="s">
        <v>14310</v>
      </c>
      <c r="AL2222" s="13" t="s">
        <v>1886</v>
      </c>
      <c r="AM2222">
        <v>1</v>
      </c>
      <c r="AN2222" s="15" t="s">
        <v>4904</v>
      </c>
    </row>
    <row r="2223" spans="1:40" x14ac:dyDescent="0.3">
      <c r="A2223" s="10" t="str">
        <f>HYPERLINK("http://www.washoecounty.gov/assessor/cama/?parid=028-232-23&amp;CardNumber=1","028-232-23")</f>
        <v>028-232-23</v>
      </c>
      <c r="B2223" t="s">
        <v>4655</v>
      </c>
      <c r="C2223" t="s">
        <v>14311</v>
      </c>
      <c r="D2223" s="1">
        <v>40436</v>
      </c>
      <c r="E2223" s="2">
        <v>99500</v>
      </c>
      <c r="F2223" t="s">
        <v>4553</v>
      </c>
      <c r="G2223" s="17" t="str">
        <f>HYPERLINK("https://www.washoecounty.gov/assessor/cama/?command=sales&amp;parid=02823223","3922494")</f>
        <v>3922494</v>
      </c>
      <c r="H2223" t="s">
        <v>4905</v>
      </c>
      <c r="I2223">
        <v>1965</v>
      </c>
      <c r="J2223">
        <v>1965</v>
      </c>
      <c r="K2223" t="s">
        <v>4554</v>
      </c>
      <c r="L2223" t="s">
        <v>4555</v>
      </c>
      <c r="M2223" s="2">
        <v>1120</v>
      </c>
      <c r="N2223" t="s">
        <v>4556</v>
      </c>
      <c r="O2223">
        <v>3</v>
      </c>
      <c r="P2223">
        <v>2</v>
      </c>
      <c r="Q2223">
        <v>0</v>
      </c>
      <c r="R2223" t="s">
        <v>4557</v>
      </c>
      <c r="S2223" t="s">
        <v>4574</v>
      </c>
      <c r="T2223" t="s">
        <v>4559</v>
      </c>
      <c r="U2223" t="s">
        <v>4560</v>
      </c>
      <c r="V2223" s="2">
        <v>504</v>
      </c>
      <c r="W2223" t="s">
        <v>4655</v>
      </c>
      <c r="X2223" s="2">
        <v>0</v>
      </c>
      <c r="Y2223">
        <v>20</v>
      </c>
      <c r="Z2223" t="s">
        <v>5200</v>
      </c>
      <c r="AA2223" s="3">
        <v>0.15300734341144601</v>
      </c>
      <c r="AB2223" t="s">
        <v>4673</v>
      </c>
      <c r="AC2223" t="s">
        <v>4562</v>
      </c>
      <c r="AD2223" t="s">
        <v>3093</v>
      </c>
      <c r="AE2223" t="s">
        <v>4655</v>
      </c>
      <c r="AF2223" t="s">
        <v>4563</v>
      </c>
      <c r="AG2223" t="s">
        <v>4564</v>
      </c>
      <c r="AH2223">
        <v>89512</v>
      </c>
      <c r="AI2223" t="s">
        <v>4585</v>
      </c>
      <c r="AJ2223" t="s">
        <v>4655</v>
      </c>
      <c r="AK2223" t="s">
        <v>14312</v>
      </c>
      <c r="AL2223" s="13" t="s">
        <v>1886</v>
      </c>
      <c r="AM2223">
        <v>1</v>
      </c>
      <c r="AN2223" s="15" t="s">
        <v>4904</v>
      </c>
    </row>
    <row r="2224" spans="1:40" x14ac:dyDescent="0.3">
      <c r="A2224" s="10" t="str">
        <f>HYPERLINK("http://www.washoecounty.gov/assessor/cama/?parid=028-232-25&amp;CardNumber=1","028-232-25")</f>
        <v>028-232-25</v>
      </c>
      <c r="B2224" t="s">
        <v>4655</v>
      </c>
      <c r="C2224" t="s">
        <v>14313</v>
      </c>
      <c r="D2224" s="1">
        <v>40526</v>
      </c>
      <c r="E2224" s="2">
        <v>97900</v>
      </c>
      <c r="F2224" t="s">
        <v>4567</v>
      </c>
      <c r="G2224" s="17" t="str">
        <f>HYPERLINK("https://www.washoecounty.gov/assessor/cama/?command=sales&amp;parid=02823225","3953290")</f>
        <v>3953290</v>
      </c>
      <c r="H2224" t="s">
        <v>14314</v>
      </c>
      <c r="I2224">
        <v>1965</v>
      </c>
      <c r="J2224">
        <v>1965</v>
      </c>
      <c r="K2224" t="s">
        <v>4554</v>
      </c>
      <c r="L2224" t="s">
        <v>4555</v>
      </c>
      <c r="M2224" s="2">
        <v>1120</v>
      </c>
      <c r="N2224" t="s">
        <v>4556</v>
      </c>
      <c r="O2224">
        <v>3</v>
      </c>
      <c r="P2224">
        <v>2</v>
      </c>
      <c r="Q2224">
        <v>0</v>
      </c>
      <c r="R2224" t="s">
        <v>4557</v>
      </c>
      <c r="S2224" t="s">
        <v>4558</v>
      </c>
      <c r="T2224" t="s">
        <v>4559</v>
      </c>
      <c r="U2224" t="s">
        <v>4560</v>
      </c>
      <c r="V2224" s="2">
        <v>504</v>
      </c>
      <c r="W2224" t="s">
        <v>4655</v>
      </c>
      <c r="X2224" s="2">
        <v>0</v>
      </c>
      <c r="Y2224">
        <v>20</v>
      </c>
      <c r="Z2224" t="s">
        <v>5200</v>
      </c>
      <c r="AA2224" s="3">
        <v>0.18700642883777599</v>
      </c>
      <c r="AB2224" t="s">
        <v>14315</v>
      </c>
      <c r="AC2224" t="s">
        <v>4562</v>
      </c>
      <c r="AD2224" t="s">
        <v>14313</v>
      </c>
      <c r="AE2224" t="s">
        <v>4655</v>
      </c>
      <c r="AF2224" t="s">
        <v>5201</v>
      </c>
      <c r="AG2224" t="s">
        <v>4564</v>
      </c>
      <c r="AH2224" t="s">
        <v>5202</v>
      </c>
      <c r="AI2224" t="s">
        <v>14316</v>
      </c>
      <c r="AJ2224" t="s">
        <v>4655</v>
      </c>
      <c r="AK2224" t="s">
        <v>14317</v>
      </c>
      <c r="AL2224" s="13" t="s">
        <v>1886</v>
      </c>
      <c r="AM2224" s="14">
        <v>1</v>
      </c>
      <c r="AN2224" s="15" t="s">
        <v>4904</v>
      </c>
    </row>
    <row r="2225" spans="1:40" x14ac:dyDescent="0.3">
      <c r="A2225" s="10" t="str">
        <f>HYPERLINK("http://www.washoecounty.gov/assessor/cama/?parid=028-241-10&amp;CardNumber=1","028-241-10")</f>
        <v>028-241-10</v>
      </c>
      <c r="B2225" t="s">
        <v>4655</v>
      </c>
      <c r="C2225" t="s">
        <v>14318</v>
      </c>
      <c r="D2225" s="1">
        <v>40410</v>
      </c>
      <c r="E2225" s="2">
        <v>159000</v>
      </c>
      <c r="F2225" t="s">
        <v>4567</v>
      </c>
      <c r="G2225" s="17" t="str">
        <f>HYPERLINK("https://www.washoecounty.gov/assessor/cama/?command=sales&amp;parid=02824110","3914321")</f>
        <v>3914321</v>
      </c>
      <c r="H2225" t="s">
        <v>1295</v>
      </c>
      <c r="I2225">
        <v>1962</v>
      </c>
      <c r="J2225">
        <v>1962</v>
      </c>
      <c r="K2225" t="s">
        <v>4554</v>
      </c>
      <c r="L2225" t="s">
        <v>4555</v>
      </c>
      <c r="M2225" s="2">
        <v>1176</v>
      </c>
      <c r="N2225" t="s">
        <v>4556</v>
      </c>
      <c r="O2225">
        <v>3</v>
      </c>
      <c r="P2225">
        <v>2</v>
      </c>
      <c r="Q2225">
        <v>0</v>
      </c>
      <c r="R2225" t="s">
        <v>4557</v>
      </c>
      <c r="S2225" t="s">
        <v>4558</v>
      </c>
      <c r="T2225" t="s">
        <v>4143</v>
      </c>
      <c r="U2225" t="s">
        <v>4560</v>
      </c>
      <c r="V2225" s="2">
        <v>441</v>
      </c>
      <c r="W2225" t="s">
        <v>4655</v>
      </c>
      <c r="X2225" s="2">
        <v>0</v>
      </c>
      <c r="Y2225">
        <v>20</v>
      </c>
      <c r="Z2225" t="s">
        <v>5200</v>
      </c>
      <c r="AA2225" s="3">
        <v>0.17800734937191001</v>
      </c>
      <c r="AB2225" t="s">
        <v>14319</v>
      </c>
      <c r="AC2225" t="s">
        <v>4562</v>
      </c>
      <c r="AD2225" t="s">
        <v>14320</v>
      </c>
      <c r="AE2225" t="s">
        <v>4655</v>
      </c>
      <c r="AF2225" t="s">
        <v>4563</v>
      </c>
      <c r="AG2225" t="s">
        <v>4564</v>
      </c>
      <c r="AH2225">
        <v>89502</v>
      </c>
      <c r="AI2225" t="s">
        <v>14321</v>
      </c>
      <c r="AJ2225" t="s">
        <v>4655</v>
      </c>
      <c r="AK2225" t="s">
        <v>14322</v>
      </c>
      <c r="AL2225" s="13" t="s">
        <v>1886</v>
      </c>
      <c r="AM2225">
        <v>1</v>
      </c>
      <c r="AN2225" s="15" t="s">
        <v>4904</v>
      </c>
    </row>
    <row r="2226" spans="1:40" x14ac:dyDescent="0.3">
      <c r="A2226" s="10" t="str">
        <f>HYPERLINK("http://www.washoecounty.gov/assessor/cama/?parid=028-242-11&amp;CardNumber=1","028-242-11")</f>
        <v>028-242-11</v>
      </c>
      <c r="B2226" t="s">
        <v>4655</v>
      </c>
      <c r="C2226" t="s">
        <v>14323</v>
      </c>
      <c r="D2226" s="1">
        <v>40282</v>
      </c>
      <c r="E2226" s="2">
        <v>105000</v>
      </c>
      <c r="F2226" t="s">
        <v>4553</v>
      </c>
      <c r="G2226" s="17" t="str">
        <f>HYPERLINK("https://www.washoecounty.gov/assessor/cama/?command=sales&amp;parid=02824211","3870811")</f>
        <v>3870811</v>
      </c>
      <c r="H2226" t="s">
        <v>816</v>
      </c>
      <c r="I2226">
        <v>1962</v>
      </c>
      <c r="J2226">
        <v>1962</v>
      </c>
      <c r="K2226" t="s">
        <v>4554</v>
      </c>
      <c r="L2226" t="s">
        <v>4555</v>
      </c>
      <c r="M2226" s="2">
        <v>1344</v>
      </c>
      <c r="N2226" t="s">
        <v>4556</v>
      </c>
      <c r="O2226">
        <v>3</v>
      </c>
      <c r="P2226">
        <v>2</v>
      </c>
      <c r="Q2226">
        <v>0</v>
      </c>
      <c r="R2226" t="s">
        <v>4557</v>
      </c>
      <c r="S2226" t="s">
        <v>4898</v>
      </c>
      <c r="T2226" t="s">
        <v>4559</v>
      </c>
      <c r="U2226" t="s">
        <v>4655</v>
      </c>
      <c r="V2226" s="2">
        <v>0</v>
      </c>
      <c r="W2226" t="s">
        <v>4655</v>
      </c>
      <c r="X2226" s="2">
        <v>0</v>
      </c>
      <c r="Y2226">
        <v>20</v>
      </c>
      <c r="Z2226" t="s">
        <v>5200</v>
      </c>
      <c r="AA2226" s="3">
        <v>0.13999082148075101</v>
      </c>
      <c r="AB2226" t="s">
        <v>14324</v>
      </c>
      <c r="AC2226" t="s">
        <v>4575</v>
      </c>
      <c r="AD2226" t="s">
        <v>14325</v>
      </c>
      <c r="AE2226" t="s">
        <v>4655</v>
      </c>
      <c r="AF2226" t="s">
        <v>5201</v>
      </c>
      <c r="AG2226" t="s">
        <v>4564</v>
      </c>
      <c r="AH2226" t="s">
        <v>3609</v>
      </c>
      <c r="AI2226" t="s">
        <v>4655</v>
      </c>
      <c r="AJ2226" t="s">
        <v>4655</v>
      </c>
      <c r="AK2226" t="s">
        <v>14326</v>
      </c>
      <c r="AL2226" s="13" t="s">
        <v>1886</v>
      </c>
      <c r="AM2226">
        <v>1</v>
      </c>
      <c r="AN2226" s="15" t="s">
        <v>4904</v>
      </c>
    </row>
    <row r="2227" spans="1:40" x14ac:dyDescent="0.3">
      <c r="A2227" s="10" t="str">
        <f>HYPERLINK("http://www.washoecounty.gov/assessor/cama/?parid=028-243-14&amp;CardNumber=1","028-243-14")</f>
        <v>028-243-14</v>
      </c>
      <c r="B2227" t="s">
        <v>4655</v>
      </c>
      <c r="C2227" t="s">
        <v>14327</v>
      </c>
      <c r="D2227" s="1">
        <v>40442</v>
      </c>
      <c r="E2227" s="2">
        <v>125000</v>
      </c>
      <c r="F2227" t="s">
        <v>4567</v>
      </c>
      <c r="G2227" s="17" t="str">
        <f>HYPERLINK("https://www.washoecounty.gov/assessor/cama/?command=sales&amp;parid=02824314","3924722")</f>
        <v>3924722</v>
      </c>
      <c r="H2227" t="s">
        <v>1295</v>
      </c>
      <c r="I2227">
        <v>1962</v>
      </c>
      <c r="J2227">
        <v>1962</v>
      </c>
      <c r="K2227" t="s">
        <v>4554</v>
      </c>
      <c r="L2227" t="s">
        <v>4555</v>
      </c>
      <c r="M2227" s="2">
        <v>1344</v>
      </c>
      <c r="N2227" t="s">
        <v>4556</v>
      </c>
      <c r="O2227">
        <v>3</v>
      </c>
      <c r="P2227">
        <v>2</v>
      </c>
      <c r="Q2227">
        <v>0</v>
      </c>
      <c r="R2227" t="s">
        <v>4557</v>
      </c>
      <c r="S2227" t="s">
        <v>4135</v>
      </c>
      <c r="T2227" t="s">
        <v>4559</v>
      </c>
      <c r="U2227" t="s">
        <v>4560</v>
      </c>
      <c r="V2227" s="2">
        <v>273</v>
      </c>
      <c r="W2227" t="s">
        <v>4655</v>
      </c>
      <c r="X2227" s="2">
        <v>0</v>
      </c>
      <c r="Y2227">
        <v>20</v>
      </c>
      <c r="Z2227" t="s">
        <v>5200</v>
      </c>
      <c r="AA2227" s="3">
        <v>0.13900367915630299</v>
      </c>
      <c r="AB2227" t="s">
        <v>14328</v>
      </c>
      <c r="AC2227" t="s">
        <v>4575</v>
      </c>
      <c r="AD2227" t="s">
        <v>14327</v>
      </c>
      <c r="AE2227" t="s">
        <v>4655</v>
      </c>
      <c r="AF2227" t="s">
        <v>5201</v>
      </c>
      <c r="AG2227" t="s">
        <v>4564</v>
      </c>
      <c r="AH2227" t="s">
        <v>5202</v>
      </c>
      <c r="AI2227" t="s">
        <v>14329</v>
      </c>
      <c r="AJ2227" t="s">
        <v>4655</v>
      </c>
      <c r="AK2227" t="s">
        <v>14330</v>
      </c>
      <c r="AL2227" s="13" t="s">
        <v>1886</v>
      </c>
      <c r="AM2227" s="14">
        <v>1</v>
      </c>
      <c r="AN2227" s="15" t="s">
        <v>4904</v>
      </c>
    </row>
    <row r="2228" spans="1:40" x14ac:dyDescent="0.3">
      <c r="A2228" s="10" t="str">
        <f>HYPERLINK("http://www.washoecounty.gov/assessor/cama/?parid=028-245-32&amp;CardNumber=1","028-245-32")</f>
        <v>028-245-32</v>
      </c>
      <c r="B2228" t="s">
        <v>4655</v>
      </c>
      <c r="C2228" t="s">
        <v>14331</v>
      </c>
      <c r="D2228" s="1">
        <v>40448</v>
      </c>
      <c r="E2228" s="2">
        <v>86000</v>
      </c>
      <c r="F2228" t="s">
        <v>4567</v>
      </c>
      <c r="G2228" s="17" t="str">
        <f>HYPERLINK("https://www.washoecounty.gov/assessor/cama/?command=sales&amp;parid=02824532","3926703")</f>
        <v>3926703</v>
      </c>
      <c r="H2228" t="s">
        <v>14332</v>
      </c>
      <c r="I2228">
        <v>1962</v>
      </c>
      <c r="J2228">
        <v>1962</v>
      </c>
      <c r="K2228" t="s">
        <v>4554</v>
      </c>
      <c r="L2228" t="s">
        <v>4555</v>
      </c>
      <c r="M2228" s="2">
        <v>988</v>
      </c>
      <c r="N2228" t="s">
        <v>4556</v>
      </c>
      <c r="O2228">
        <v>3</v>
      </c>
      <c r="P2228">
        <v>2</v>
      </c>
      <c r="Q2228">
        <v>0</v>
      </c>
      <c r="R2228" t="s">
        <v>4557</v>
      </c>
      <c r="S2228" t="s">
        <v>4574</v>
      </c>
      <c r="T2228" t="s">
        <v>4559</v>
      </c>
      <c r="U2228" t="s">
        <v>4560</v>
      </c>
      <c r="V2228" s="2">
        <v>286</v>
      </c>
      <c r="W2228" t="s">
        <v>4655</v>
      </c>
      <c r="X2228" s="2">
        <v>0</v>
      </c>
      <c r="Y2228">
        <v>20</v>
      </c>
      <c r="Z2228" t="s">
        <v>5200</v>
      </c>
      <c r="AA2228" s="3">
        <v>0.14898990094661699</v>
      </c>
      <c r="AB2228" t="s">
        <v>190</v>
      </c>
      <c r="AC2228" t="s">
        <v>4562</v>
      </c>
      <c r="AD2228" t="s">
        <v>1704</v>
      </c>
      <c r="AE2228" t="s">
        <v>4655</v>
      </c>
      <c r="AF2228" t="s">
        <v>5201</v>
      </c>
      <c r="AG2228" t="s">
        <v>4564</v>
      </c>
      <c r="AH2228" t="s">
        <v>1605</v>
      </c>
      <c r="AI2228" t="s">
        <v>4419</v>
      </c>
      <c r="AJ2228" t="s">
        <v>4655</v>
      </c>
      <c r="AK2228" t="s">
        <v>14333</v>
      </c>
      <c r="AL2228" s="13" t="s">
        <v>1886</v>
      </c>
      <c r="AM2228">
        <v>1</v>
      </c>
      <c r="AN2228" s="15" t="s">
        <v>4904</v>
      </c>
    </row>
    <row r="2229" spans="1:40" x14ac:dyDescent="0.3">
      <c r="A2229" s="10" t="str">
        <f>HYPERLINK("http://www.washoecounty.gov/assessor/cama/?parid=028-246-26&amp;CardNumber=1","028-246-26")</f>
        <v>028-246-26</v>
      </c>
      <c r="B2229" t="s">
        <v>4655</v>
      </c>
      <c r="C2229" t="s">
        <v>14334</v>
      </c>
      <c r="D2229" s="1">
        <v>40242</v>
      </c>
      <c r="E2229" s="2">
        <v>125000</v>
      </c>
      <c r="F2229" t="s">
        <v>4567</v>
      </c>
      <c r="G2229" s="17" t="str">
        <f>HYPERLINK("https://www.washoecounty.gov/assessor/cama/?command=sales&amp;parid=02824626","3856419")</f>
        <v>3856419</v>
      </c>
      <c r="H2229" t="s">
        <v>1295</v>
      </c>
      <c r="I2229">
        <v>1962</v>
      </c>
      <c r="J2229">
        <v>1962</v>
      </c>
      <c r="K2229" t="s">
        <v>4554</v>
      </c>
      <c r="L2229" t="s">
        <v>4555</v>
      </c>
      <c r="M2229" s="2">
        <v>988</v>
      </c>
      <c r="N2229" t="s">
        <v>4556</v>
      </c>
      <c r="O2229">
        <v>3</v>
      </c>
      <c r="P2229">
        <v>2</v>
      </c>
      <c r="Q2229">
        <v>0</v>
      </c>
      <c r="R2229" t="s">
        <v>4557</v>
      </c>
      <c r="S2229" t="s">
        <v>4558</v>
      </c>
      <c r="T2229" t="s">
        <v>4559</v>
      </c>
      <c r="U2229" t="s">
        <v>4655</v>
      </c>
      <c r="V2229" s="2">
        <v>0</v>
      </c>
      <c r="W2229" t="s">
        <v>4655</v>
      </c>
      <c r="X2229" s="2">
        <v>0</v>
      </c>
      <c r="Y2229">
        <v>20</v>
      </c>
      <c r="Z2229" t="s">
        <v>5200</v>
      </c>
      <c r="AA2229" s="3">
        <v>0.148002758622169</v>
      </c>
      <c r="AB2229" t="s">
        <v>14335</v>
      </c>
      <c r="AC2229" t="s">
        <v>4562</v>
      </c>
      <c r="AD2229" t="s">
        <v>14334</v>
      </c>
      <c r="AE2229" t="s">
        <v>4655</v>
      </c>
      <c r="AF2229" t="s">
        <v>5201</v>
      </c>
      <c r="AG2229" t="s">
        <v>4564</v>
      </c>
      <c r="AH2229" t="s">
        <v>5202</v>
      </c>
      <c r="AI2229" t="s">
        <v>14336</v>
      </c>
      <c r="AJ2229" t="s">
        <v>4655</v>
      </c>
      <c r="AK2229" t="s">
        <v>14337</v>
      </c>
      <c r="AL2229" s="13" t="s">
        <v>1886</v>
      </c>
      <c r="AM2229">
        <v>1</v>
      </c>
      <c r="AN2229" s="15" t="s">
        <v>4904</v>
      </c>
    </row>
    <row r="2230" spans="1:40" x14ac:dyDescent="0.3">
      <c r="A2230" s="10" t="str">
        <f>HYPERLINK("http://www.washoecounty.gov/assessor/cama/?parid=028-261-06&amp;CardNumber=1","028-261-06")</f>
        <v>028-261-06</v>
      </c>
      <c r="B2230" t="s">
        <v>4655</v>
      </c>
      <c r="C2230" t="s">
        <v>14338</v>
      </c>
      <c r="D2230" s="1">
        <v>40193</v>
      </c>
      <c r="E2230" s="2">
        <v>85000</v>
      </c>
      <c r="F2230" t="s">
        <v>4553</v>
      </c>
      <c r="G2230" s="17" t="str">
        <f>HYPERLINK("https://www.washoecounty.gov/assessor/cama/?command=sales&amp;parid=02826106","3840108")</f>
        <v>3840108</v>
      </c>
      <c r="H2230" t="s">
        <v>4411</v>
      </c>
      <c r="I2230">
        <v>1972</v>
      </c>
      <c r="J2230">
        <v>1972</v>
      </c>
      <c r="K2230" t="s">
        <v>4554</v>
      </c>
      <c r="L2230" t="s">
        <v>3974</v>
      </c>
      <c r="M2230" s="2">
        <v>1248</v>
      </c>
      <c r="N2230" t="s">
        <v>4556</v>
      </c>
      <c r="O2230">
        <v>4</v>
      </c>
      <c r="P2230">
        <v>1</v>
      </c>
      <c r="Q2230">
        <v>1</v>
      </c>
      <c r="R2230" t="s">
        <v>5281</v>
      </c>
      <c r="S2230" t="s">
        <v>4135</v>
      </c>
      <c r="T2230" t="s">
        <v>4559</v>
      </c>
      <c r="U2230" t="s">
        <v>4560</v>
      </c>
      <c r="V2230" s="2">
        <v>288</v>
      </c>
      <c r="W2230" t="s">
        <v>4655</v>
      </c>
      <c r="X2230" s="2">
        <v>0</v>
      </c>
      <c r="Y2230">
        <v>20</v>
      </c>
      <c r="Z2230" t="s">
        <v>5200</v>
      </c>
      <c r="AA2230" s="3">
        <v>0.16799816489219666</v>
      </c>
      <c r="AB2230" t="s">
        <v>14339</v>
      </c>
      <c r="AC2230" t="s">
        <v>4562</v>
      </c>
      <c r="AD2230" t="s">
        <v>14338</v>
      </c>
      <c r="AE2230" t="s">
        <v>4655</v>
      </c>
      <c r="AF2230" t="s">
        <v>5201</v>
      </c>
      <c r="AG2230" t="s">
        <v>4564</v>
      </c>
      <c r="AH2230" t="s">
        <v>5202</v>
      </c>
      <c r="AI2230" t="s">
        <v>4565</v>
      </c>
      <c r="AJ2230" t="s">
        <v>4655</v>
      </c>
      <c r="AK2230" t="s">
        <v>14340</v>
      </c>
      <c r="AL2230" s="13" t="s">
        <v>1886</v>
      </c>
      <c r="AM2230" s="14">
        <v>1</v>
      </c>
      <c r="AN2230" s="15" t="s">
        <v>4904</v>
      </c>
    </row>
    <row r="2231" spans="1:40" x14ac:dyDescent="0.3">
      <c r="A2231" s="10" t="str">
        <f>HYPERLINK("http://www.washoecounty.gov/assessor/cama/?parid=028-262-01&amp;CardNumber=1","028-262-01")</f>
        <v>028-262-01</v>
      </c>
      <c r="B2231" t="s">
        <v>4655</v>
      </c>
      <c r="C2231" t="s">
        <v>14341</v>
      </c>
      <c r="D2231" s="1">
        <v>40266</v>
      </c>
      <c r="E2231" s="2">
        <v>98000</v>
      </c>
      <c r="F2231" t="s">
        <v>4567</v>
      </c>
      <c r="G2231" s="17" t="str">
        <f>HYPERLINK("https://www.washoecounty.gov/assessor/cama/?command=sales&amp;parid=02826201","3865261")</f>
        <v>3865261</v>
      </c>
      <c r="H2231" t="s">
        <v>4411</v>
      </c>
      <c r="I2231">
        <v>1973</v>
      </c>
      <c r="J2231">
        <v>1973</v>
      </c>
      <c r="K2231" t="s">
        <v>4554</v>
      </c>
      <c r="L2231" t="s">
        <v>3974</v>
      </c>
      <c r="M2231" s="2">
        <v>1300</v>
      </c>
      <c r="N2231" t="s">
        <v>4556</v>
      </c>
      <c r="O2231">
        <v>4</v>
      </c>
      <c r="P2231">
        <v>1</v>
      </c>
      <c r="Q2231">
        <v>1</v>
      </c>
      <c r="R2231" t="s">
        <v>4557</v>
      </c>
      <c r="S2231" t="s">
        <v>4558</v>
      </c>
      <c r="T2231" t="s">
        <v>4559</v>
      </c>
      <c r="U2231" t="s">
        <v>4560</v>
      </c>
      <c r="V2231" s="2">
        <v>288</v>
      </c>
      <c r="W2231" t="s">
        <v>4655</v>
      </c>
      <c r="X2231" s="2">
        <v>0</v>
      </c>
      <c r="Y2231">
        <v>20</v>
      </c>
      <c r="Z2231" t="s">
        <v>5200</v>
      </c>
      <c r="AA2231" s="3">
        <v>0.14299815893173218</v>
      </c>
      <c r="AB2231" t="s">
        <v>14342</v>
      </c>
      <c r="AC2231" t="s">
        <v>4562</v>
      </c>
      <c r="AD2231" t="s">
        <v>14343</v>
      </c>
      <c r="AE2231" t="s">
        <v>4655</v>
      </c>
      <c r="AF2231" t="s">
        <v>5201</v>
      </c>
      <c r="AG2231" t="s">
        <v>4564</v>
      </c>
      <c r="AH2231" t="s">
        <v>5202</v>
      </c>
      <c r="AI2231" t="s">
        <v>14344</v>
      </c>
      <c r="AJ2231" t="s">
        <v>4655</v>
      </c>
      <c r="AK2231" t="s">
        <v>14345</v>
      </c>
      <c r="AL2231" s="13" t="s">
        <v>1886</v>
      </c>
      <c r="AM2231" s="14">
        <v>1</v>
      </c>
      <c r="AN2231" s="15" t="s">
        <v>4904</v>
      </c>
    </row>
    <row r="2232" spans="1:40" x14ac:dyDescent="0.3">
      <c r="A2232" s="10" t="str">
        <f>HYPERLINK("http://www.washoecounty.gov/assessor/cama/?parid=028-271-06&amp;CardNumber=1","028-271-06")</f>
        <v>028-271-06</v>
      </c>
      <c r="B2232" t="s">
        <v>4655</v>
      </c>
      <c r="C2232" t="s">
        <v>14346</v>
      </c>
      <c r="D2232" s="1">
        <v>40399</v>
      </c>
      <c r="E2232" s="2">
        <v>95000</v>
      </c>
      <c r="F2232" t="s">
        <v>4567</v>
      </c>
      <c r="G2232" s="17" t="str">
        <f>HYPERLINK("https://www.washoecounty.gov/assessor/cama/?command=sales&amp;parid=02827106","3910049")</f>
        <v>3910049</v>
      </c>
      <c r="H2232" t="s">
        <v>14347</v>
      </c>
      <c r="I2232">
        <v>1961</v>
      </c>
      <c r="J2232">
        <v>1961</v>
      </c>
      <c r="K2232" t="s">
        <v>4554</v>
      </c>
      <c r="L2232" t="s">
        <v>4555</v>
      </c>
      <c r="M2232" s="2">
        <v>1044</v>
      </c>
      <c r="N2232" t="s">
        <v>4556</v>
      </c>
      <c r="O2232">
        <v>3</v>
      </c>
      <c r="P2232">
        <v>1</v>
      </c>
      <c r="Q2232">
        <v>0</v>
      </c>
      <c r="R2232" t="s">
        <v>4557</v>
      </c>
      <c r="S2232" t="s">
        <v>4558</v>
      </c>
      <c r="T2232" t="s">
        <v>4559</v>
      </c>
      <c r="U2232" t="s">
        <v>4560</v>
      </c>
      <c r="V2232" s="2">
        <v>300</v>
      </c>
      <c r="W2232" t="s">
        <v>4655</v>
      </c>
      <c r="X2232" s="2">
        <v>0</v>
      </c>
      <c r="Y2232">
        <v>20</v>
      </c>
      <c r="Z2232" t="s">
        <v>5200</v>
      </c>
      <c r="AA2232" s="3">
        <v>0.16099633276462599</v>
      </c>
      <c r="AB2232" t="s">
        <v>14348</v>
      </c>
      <c r="AC2232" t="s">
        <v>4562</v>
      </c>
      <c r="AD2232" t="s">
        <v>14346</v>
      </c>
      <c r="AE2232" t="s">
        <v>4655</v>
      </c>
      <c r="AF2232" t="s">
        <v>5201</v>
      </c>
      <c r="AG2232" t="s">
        <v>4564</v>
      </c>
      <c r="AH2232" t="s">
        <v>5202</v>
      </c>
      <c r="AI2232" t="s">
        <v>14349</v>
      </c>
      <c r="AJ2232" t="s">
        <v>4655</v>
      </c>
      <c r="AK2232" t="s">
        <v>14350</v>
      </c>
      <c r="AL2232" s="13" t="s">
        <v>1886</v>
      </c>
      <c r="AM2232" s="14">
        <v>1</v>
      </c>
      <c r="AN2232" s="15" t="s">
        <v>4904</v>
      </c>
    </row>
    <row r="2233" spans="1:40" x14ac:dyDescent="0.3">
      <c r="A2233" s="10" t="str">
        <f>HYPERLINK("http://www.washoecounty.gov/assessor/cama/?parid=028-273-07&amp;CardNumber=1","028-273-07")</f>
        <v>028-273-07</v>
      </c>
      <c r="B2233" t="s">
        <v>4655</v>
      </c>
      <c r="C2233" t="s">
        <v>14351</v>
      </c>
      <c r="D2233" s="1">
        <v>40456</v>
      </c>
      <c r="E2233" s="2">
        <v>105000</v>
      </c>
      <c r="F2233" t="s">
        <v>4567</v>
      </c>
      <c r="G2233" s="17" t="str">
        <f>HYPERLINK("https://www.washoecounty.gov/assessor/cama/?command=sales&amp;parid=02827307","3929737")</f>
        <v>3929737</v>
      </c>
      <c r="H2233" t="s">
        <v>5099</v>
      </c>
      <c r="I2233">
        <v>1961</v>
      </c>
      <c r="J2233">
        <v>1961</v>
      </c>
      <c r="K2233" t="s">
        <v>4554</v>
      </c>
      <c r="L2233" t="s">
        <v>4555</v>
      </c>
      <c r="M2233" s="2">
        <v>1196</v>
      </c>
      <c r="N2233" t="s">
        <v>4556</v>
      </c>
      <c r="O2233">
        <v>4</v>
      </c>
      <c r="P2233">
        <v>1</v>
      </c>
      <c r="Q2233">
        <v>1</v>
      </c>
      <c r="R2233" t="s">
        <v>4557</v>
      </c>
      <c r="S2233" t="s">
        <v>4574</v>
      </c>
      <c r="T2233" t="s">
        <v>4559</v>
      </c>
      <c r="U2233" t="s">
        <v>4560</v>
      </c>
      <c r="V2233" s="2">
        <v>441</v>
      </c>
      <c r="W2233" t="s">
        <v>4655</v>
      </c>
      <c r="X2233" s="2">
        <v>0</v>
      </c>
      <c r="Y2233">
        <v>20</v>
      </c>
      <c r="Z2233" t="s">
        <v>5200</v>
      </c>
      <c r="AA2233" s="3">
        <v>0.14201101660728499</v>
      </c>
      <c r="AB2233" t="s">
        <v>14352</v>
      </c>
      <c r="AC2233" t="s">
        <v>4562</v>
      </c>
      <c r="AD2233" t="s">
        <v>14351</v>
      </c>
      <c r="AE2233" t="s">
        <v>4655</v>
      </c>
      <c r="AF2233" t="s">
        <v>5201</v>
      </c>
      <c r="AG2233" t="s">
        <v>4564</v>
      </c>
      <c r="AH2233" t="s">
        <v>5202</v>
      </c>
      <c r="AI2233" t="s">
        <v>14353</v>
      </c>
      <c r="AJ2233" t="s">
        <v>4655</v>
      </c>
      <c r="AK2233" t="s">
        <v>14354</v>
      </c>
      <c r="AL2233" s="13" t="s">
        <v>1886</v>
      </c>
      <c r="AM2233" s="14">
        <v>1</v>
      </c>
      <c r="AN2233" s="15" t="s">
        <v>4904</v>
      </c>
    </row>
    <row r="2234" spans="1:40" x14ac:dyDescent="0.3">
      <c r="A2234" s="10" t="str">
        <f>HYPERLINK("http://www.washoecounty.gov/assessor/cama/?parid=028-273-09&amp;CardNumber=1","028-273-09")</f>
        <v>028-273-09</v>
      </c>
      <c r="B2234" t="s">
        <v>4655</v>
      </c>
      <c r="C2234" t="s">
        <v>14355</v>
      </c>
      <c r="D2234" s="1">
        <v>40422</v>
      </c>
      <c r="E2234" s="2">
        <v>79000</v>
      </c>
      <c r="F2234" t="s">
        <v>4553</v>
      </c>
      <c r="G2234" s="17" t="str">
        <f>HYPERLINK("https://www.washoecounty.gov/assessor/cama/?command=sales&amp;parid=02827309","3917949")</f>
        <v>3917949</v>
      </c>
      <c r="H2234" t="s">
        <v>5099</v>
      </c>
      <c r="I2234">
        <v>1961</v>
      </c>
      <c r="J2234">
        <v>1961</v>
      </c>
      <c r="K2234" t="s">
        <v>4554</v>
      </c>
      <c r="L2234" t="s">
        <v>4555</v>
      </c>
      <c r="M2234" s="2">
        <v>1131</v>
      </c>
      <c r="N2234" t="s">
        <v>4556</v>
      </c>
      <c r="O2234">
        <v>3</v>
      </c>
      <c r="P2234">
        <v>1</v>
      </c>
      <c r="Q2234">
        <v>0</v>
      </c>
      <c r="R2234" t="s">
        <v>4557</v>
      </c>
      <c r="S2234" t="s">
        <v>4135</v>
      </c>
      <c r="T2234" t="s">
        <v>4559</v>
      </c>
      <c r="U2234" t="s">
        <v>4560</v>
      </c>
      <c r="V2234" s="2">
        <v>500</v>
      </c>
      <c r="W2234" t="s">
        <v>4655</v>
      </c>
      <c r="X2234" s="2">
        <v>0</v>
      </c>
      <c r="Y2234">
        <v>20</v>
      </c>
      <c r="Z2234" t="s">
        <v>5200</v>
      </c>
      <c r="AA2234" s="3">
        <v>0.15500459074974099</v>
      </c>
      <c r="AB2234" t="s">
        <v>14356</v>
      </c>
      <c r="AC2234" t="s">
        <v>4562</v>
      </c>
      <c r="AD2234" t="s">
        <v>14357</v>
      </c>
      <c r="AE2234" t="s">
        <v>4655</v>
      </c>
      <c r="AF2234" t="s">
        <v>4809</v>
      </c>
      <c r="AG2234" t="s">
        <v>4564</v>
      </c>
      <c r="AH2234" t="s">
        <v>5202</v>
      </c>
      <c r="AI2234" t="s">
        <v>2009</v>
      </c>
      <c r="AJ2234" t="s">
        <v>4655</v>
      </c>
      <c r="AK2234" t="s">
        <v>14358</v>
      </c>
      <c r="AL2234" s="13" t="s">
        <v>1886</v>
      </c>
      <c r="AM2234">
        <v>1</v>
      </c>
      <c r="AN2234" s="15" t="s">
        <v>4904</v>
      </c>
    </row>
    <row r="2235" spans="1:40" x14ac:dyDescent="0.3">
      <c r="A2235" s="10" t="str">
        <f>HYPERLINK("http://www.washoecounty.gov/assessor/cama/?parid=028-275-21&amp;CardNumber=1","028-275-21")</f>
        <v>028-275-21</v>
      </c>
      <c r="B2235" t="s">
        <v>4655</v>
      </c>
      <c r="C2235" t="s">
        <v>14359</v>
      </c>
      <c r="D2235" s="1">
        <v>40253</v>
      </c>
      <c r="E2235" s="2">
        <v>128000</v>
      </c>
      <c r="F2235" t="s">
        <v>4567</v>
      </c>
      <c r="G2235" s="17" t="str">
        <f>HYPERLINK("https://www.washoecounty.gov/assessor/cama/?command=sales&amp;parid=02827521","3860454")</f>
        <v>3860454</v>
      </c>
      <c r="H2235" t="s">
        <v>2904</v>
      </c>
      <c r="I2235">
        <v>1960</v>
      </c>
      <c r="J2235">
        <v>1967</v>
      </c>
      <c r="K2235" t="s">
        <v>4554</v>
      </c>
      <c r="L2235" t="s">
        <v>4555</v>
      </c>
      <c r="M2235" s="2">
        <v>1660</v>
      </c>
      <c r="N2235" t="s">
        <v>4556</v>
      </c>
      <c r="O2235">
        <v>3</v>
      </c>
      <c r="P2235">
        <v>2</v>
      </c>
      <c r="Q2235">
        <v>0</v>
      </c>
      <c r="R2235" t="s">
        <v>4557</v>
      </c>
      <c r="S2235" t="s">
        <v>4135</v>
      </c>
      <c r="T2235" t="s">
        <v>4559</v>
      </c>
      <c r="U2235" t="s">
        <v>4560</v>
      </c>
      <c r="V2235" s="2">
        <v>300</v>
      </c>
      <c r="W2235" t="s">
        <v>4655</v>
      </c>
      <c r="X2235" s="2">
        <v>0</v>
      </c>
      <c r="Y2235">
        <v>20</v>
      </c>
      <c r="Z2235" t="s">
        <v>5200</v>
      </c>
      <c r="AA2235" s="3">
        <v>0.14499540627002699</v>
      </c>
      <c r="AB2235" t="s">
        <v>14360</v>
      </c>
      <c r="AC2235" t="s">
        <v>4575</v>
      </c>
      <c r="AD2235" t="s">
        <v>14359</v>
      </c>
      <c r="AE2235" t="s">
        <v>4655</v>
      </c>
      <c r="AF2235" t="s">
        <v>5201</v>
      </c>
      <c r="AG2235" t="s">
        <v>4564</v>
      </c>
      <c r="AH2235" t="s">
        <v>5202</v>
      </c>
      <c r="AI2235" t="s">
        <v>4655</v>
      </c>
      <c r="AJ2235" t="s">
        <v>4655</v>
      </c>
      <c r="AK2235" t="s">
        <v>14361</v>
      </c>
      <c r="AL2235" s="13" t="s">
        <v>1886</v>
      </c>
      <c r="AM2235" s="14">
        <v>1</v>
      </c>
      <c r="AN2235" s="15" t="s">
        <v>4904</v>
      </c>
    </row>
    <row r="2236" spans="1:40" x14ac:dyDescent="0.3">
      <c r="A2236" s="10" t="str">
        <f>HYPERLINK("http://www.washoecounty.gov/assessor/cama/?parid=028-276-04&amp;CardNumber=1","028-276-04")</f>
        <v>028-276-04</v>
      </c>
      <c r="B2236" t="s">
        <v>4655</v>
      </c>
      <c r="C2236" t="s">
        <v>14362</v>
      </c>
      <c r="D2236" s="1">
        <v>40403</v>
      </c>
      <c r="E2236" s="2">
        <v>115000</v>
      </c>
      <c r="F2236" t="s">
        <v>4567</v>
      </c>
      <c r="G2236" s="17" t="str">
        <f>HYPERLINK("https://www.washoecounty.gov/assessor/cama/?command=sales&amp;parid=02827604","3911986")</f>
        <v>3911986</v>
      </c>
      <c r="H2236" t="s">
        <v>14363</v>
      </c>
      <c r="I2236">
        <v>1960</v>
      </c>
      <c r="J2236">
        <v>1967</v>
      </c>
      <c r="K2236" t="s">
        <v>4554</v>
      </c>
      <c r="L2236" t="s">
        <v>4555</v>
      </c>
      <c r="M2236" s="2">
        <v>1504</v>
      </c>
      <c r="N2236" t="s">
        <v>4556</v>
      </c>
      <c r="O2236">
        <v>4</v>
      </c>
      <c r="P2236">
        <v>2</v>
      </c>
      <c r="Q2236">
        <v>0</v>
      </c>
      <c r="R2236" t="s">
        <v>4557</v>
      </c>
      <c r="S2236" t="s">
        <v>4135</v>
      </c>
      <c r="T2236" t="s">
        <v>4559</v>
      </c>
      <c r="U2236" t="s">
        <v>4560</v>
      </c>
      <c r="V2236" s="2">
        <v>300</v>
      </c>
      <c r="W2236" t="s">
        <v>4655</v>
      </c>
      <c r="X2236" s="2">
        <v>0</v>
      </c>
      <c r="Y2236">
        <v>20</v>
      </c>
      <c r="Z2236" t="s">
        <v>5200</v>
      </c>
      <c r="AA2236" s="3">
        <v>0.13999082148075101</v>
      </c>
      <c r="AB2236" t="s">
        <v>14364</v>
      </c>
      <c r="AC2236" t="s">
        <v>4575</v>
      </c>
      <c r="AD2236" t="s">
        <v>14362</v>
      </c>
      <c r="AE2236" t="s">
        <v>4655</v>
      </c>
      <c r="AF2236" t="s">
        <v>5201</v>
      </c>
      <c r="AG2236" t="s">
        <v>4564</v>
      </c>
      <c r="AH2236" t="s">
        <v>5202</v>
      </c>
      <c r="AI2236" t="s">
        <v>14365</v>
      </c>
      <c r="AJ2236" t="s">
        <v>4655</v>
      </c>
      <c r="AK2236" t="s">
        <v>14366</v>
      </c>
      <c r="AL2236" s="13" t="s">
        <v>1886</v>
      </c>
      <c r="AM2236">
        <v>1</v>
      </c>
      <c r="AN2236" s="15" t="s">
        <v>4904</v>
      </c>
    </row>
    <row r="2237" spans="1:40" x14ac:dyDescent="0.3">
      <c r="A2237" s="10" t="str">
        <f>HYPERLINK("http://www.washoecounty.gov/assessor/cama/?parid=028-276-15&amp;CardNumber=1","028-276-15")</f>
        <v>028-276-15</v>
      </c>
      <c r="B2237" t="s">
        <v>4655</v>
      </c>
      <c r="C2237" t="s">
        <v>14367</v>
      </c>
      <c r="D2237" s="1">
        <v>40515</v>
      </c>
      <c r="E2237" s="2">
        <v>64050</v>
      </c>
      <c r="F2237" t="s">
        <v>4553</v>
      </c>
      <c r="G2237" s="17" t="str">
        <f>HYPERLINK("https://www.washoecounty.gov/assessor/cama/?command=sales&amp;parid=02827615","3949025")</f>
        <v>3949025</v>
      </c>
      <c r="H2237" t="s">
        <v>14347</v>
      </c>
      <c r="I2237">
        <v>1960</v>
      </c>
      <c r="J2237">
        <v>1960</v>
      </c>
      <c r="K2237" t="s">
        <v>4554</v>
      </c>
      <c r="L2237" t="s">
        <v>4555</v>
      </c>
      <c r="M2237" s="2">
        <v>1131</v>
      </c>
      <c r="N2237" t="s">
        <v>4556</v>
      </c>
      <c r="O2237">
        <v>3</v>
      </c>
      <c r="P2237">
        <v>1</v>
      </c>
      <c r="Q2237">
        <v>0</v>
      </c>
      <c r="R2237" t="s">
        <v>4557</v>
      </c>
      <c r="S2237" t="s">
        <v>4135</v>
      </c>
      <c r="T2237" t="s">
        <v>4559</v>
      </c>
      <c r="U2237" t="s">
        <v>4655</v>
      </c>
      <c r="V2237" s="2">
        <v>0</v>
      </c>
      <c r="W2237" t="s">
        <v>4655</v>
      </c>
      <c r="X2237" s="2">
        <v>0</v>
      </c>
      <c r="Y2237">
        <v>20</v>
      </c>
      <c r="Z2237" t="s">
        <v>5200</v>
      </c>
      <c r="AA2237" s="3">
        <v>0.16799816489219666</v>
      </c>
      <c r="AB2237" t="s">
        <v>14368</v>
      </c>
      <c r="AC2237" t="s">
        <v>4562</v>
      </c>
      <c r="AD2237" t="s">
        <v>14369</v>
      </c>
      <c r="AE2237" t="s">
        <v>4655</v>
      </c>
      <c r="AF2237" t="s">
        <v>4809</v>
      </c>
      <c r="AG2237" t="s">
        <v>4564</v>
      </c>
      <c r="AH2237" t="s">
        <v>1605</v>
      </c>
      <c r="AI2237" t="s">
        <v>4503</v>
      </c>
      <c r="AJ2237" t="s">
        <v>4655</v>
      </c>
      <c r="AK2237" t="s">
        <v>14370</v>
      </c>
      <c r="AL2237" s="13" t="s">
        <v>1886</v>
      </c>
      <c r="AM2237" s="14">
        <v>1</v>
      </c>
      <c r="AN2237" s="15" t="s">
        <v>4904</v>
      </c>
    </row>
    <row r="2238" spans="1:40" x14ac:dyDescent="0.3">
      <c r="A2238" s="10" t="str">
        <f>HYPERLINK("http://www.washoecounty.gov/assessor/cama/?parid=028-276-29&amp;CardNumber=1","028-276-29")</f>
        <v>028-276-29</v>
      </c>
      <c r="B2238" t="s">
        <v>4655</v>
      </c>
      <c r="C2238" t="s">
        <v>14371</v>
      </c>
      <c r="D2238" s="1">
        <v>40233</v>
      </c>
      <c r="E2238" s="2">
        <v>95000</v>
      </c>
      <c r="F2238" t="s">
        <v>4567</v>
      </c>
      <c r="G2238" s="17" t="str">
        <f>HYPERLINK("https://www.washoecounty.gov/assessor/cama/?command=sales&amp;parid=02827629","3852429")</f>
        <v>3852429</v>
      </c>
      <c r="H2238" t="s">
        <v>14347</v>
      </c>
      <c r="I2238">
        <v>1960</v>
      </c>
      <c r="J2238">
        <v>1960</v>
      </c>
      <c r="K2238" t="s">
        <v>4554</v>
      </c>
      <c r="L2238" t="s">
        <v>4555</v>
      </c>
      <c r="M2238" s="2">
        <v>1044</v>
      </c>
      <c r="N2238" t="s">
        <v>4556</v>
      </c>
      <c r="O2238">
        <v>3</v>
      </c>
      <c r="P2238">
        <v>1</v>
      </c>
      <c r="Q2238">
        <v>0</v>
      </c>
      <c r="R2238" t="s">
        <v>4557</v>
      </c>
      <c r="S2238" t="s">
        <v>4135</v>
      </c>
      <c r="T2238" t="s">
        <v>4559</v>
      </c>
      <c r="U2238" t="s">
        <v>4560</v>
      </c>
      <c r="V2238" s="2">
        <v>300</v>
      </c>
      <c r="W2238" t="s">
        <v>4655</v>
      </c>
      <c r="X2238" s="2">
        <v>0</v>
      </c>
      <c r="Y2238">
        <v>20</v>
      </c>
      <c r="Z2238" t="s">
        <v>5200</v>
      </c>
      <c r="AA2238" s="3">
        <v>0.13999082148075101</v>
      </c>
      <c r="AB2238" t="s">
        <v>14372</v>
      </c>
      <c r="AC2238" t="s">
        <v>4562</v>
      </c>
      <c r="AD2238" t="s">
        <v>14371</v>
      </c>
      <c r="AE2238" t="s">
        <v>4655</v>
      </c>
      <c r="AF2238" t="s">
        <v>4809</v>
      </c>
      <c r="AG2238" t="s">
        <v>4564</v>
      </c>
      <c r="AH2238" t="s">
        <v>5202</v>
      </c>
      <c r="AI2238" t="s">
        <v>4655</v>
      </c>
      <c r="AJ2238" t="s">
        <v>4655</v>
      </c>
      <c r="AK2238" t="s">
        <v>14373</v>
      </c>
      <c r="AL2238" s="13" t="s">
        <v>1886</v>
      </c>
      <c r="AM2238">
        <v>1</v>
      </c>
      <c r="AN2238" s="15" t="s">
        <v>4904</v>
      </c>
    </row>
    <row r="2239" spans="1:40" x14ac:dyDescent="0.3">
      <c r="A2239" s="10" t="str">
        <f>HYPERLINK("http://www.washoecounty.gov/assessor/cama/?parid=028-292-09&amp;CardNumber=1","028-292-09")</f>
        <v>028-292-09</v>
      </c>
      <c r="B2239" t="s">
        <v>4655</v>
      </c>
      <c r="C2239" t="s">
        <v>14374</v>
      </c>
      <c r="D2239" s="1">
        <v>40354</v>
      </c>
      <c r="E2239" s="2">
        <v>112000</v>
      </c>
      <c r="F2239" t="s">
        <v>4567</v>
      </c>
      <c r="G2239" s="17" t="str">
        <f>HYPERLINK("https://www.washoecounty.gov/assessor/cama/?command=sales&amp;parid=02829209","3895277")</f>
        <v>3895277</v>
      </c>
      <c r="H2239" t="s">
        <v>4736</v>
      </c>
      <c r="I2239">
        <v>1964</v>
      </c>
      <c r="J2239">
        <v>1964</v>
      </c>
      <c r="K2239" t="s">
        <v>4554</v>
      </c>
      <c r="L2239" t="s">
        <v>4555</v>
      </c>
      <c r="M2239" s="2">
        <v>1519</v>
      </c>
      <c r="N2239" t="s">
        <v>4048</v>
      </c>
      <c r="O2239">
        <v>3</v>
      </c>
      <c r="P2239">
        <v>2</v>
      </c>
      <c r="Q2239">
        <v>0</v>
      </c>
      <c r="R2239" t="s">
        <v>4557</v>
      </c>
      <c r="S2239" t="s">
        <v>4135</v>
      </c>
      <c r="T2239" t="s">
        <v>4559</v>
      </c>
      <c r="U2239" t="s">
        <v>4560</v>
      </c>
      <c r="V2239" s="2">
        <v>420</v>
      </c>
      <c r="W2239" t="s">
        <v>4655</v>
      </c>
      <c r="X2239" s="2">
        <v>0</v>
      </c>
      <c r="Y2239">
        <v>20</v>
      </c>
      <c r="Z2239" t="s">
        <v>5200</v>
      </c>
      <c r="AA2239" s="3">
        <v>0.23849862813949585</v>
      </c>
      <c r="AB2239" t="s">
        <v>14375</v>
      </c>
      <c r="AC2239" t="s">
        <v>4562</v>
      </c>
      <c r="AD2239" t="s">
        <v>14376</v>
      </c>
      <c r="AE2239" t="s">
        <v>4655</v>
      </c>
      <c r="AF2239" t="s">
        <v>5201</v>
      </c>
      <c r="AG2239" t="s">
        <v>4564</v>
      </c>
      <c r="AH2239" t="s">
        <v>5202</v>
      </c>
      <c r="AI2239" t="s">
        <v>14377</v>
      </c>
      <c r="AJ2239" t="s">
        <v>4655</v>
      </c>
      <c r="AK2239" t="s">
        <v>1955</v>
      </c>
      <c r="AL2239" s="13" t="s">
        <v>1886</v>
      </c>
      <c r="AM2239">
        <v>1</v>
      </c>
      <c r="AN2239" s="15" t="s">
        <v>1445</v>
      </c>
    </row>
    <row r="2240" spans="1:40" x14ac:dyDescent="0.3">
      <c r="A2240" s="10" t="str">
        <f>HYPERLINK("http://www.washoecounty.gov/assessor/cama/?parid=028-292-26&amp;CardNumber=1","028-292-26")</f>
        <v>028-292-26</v>
      </c>
      <c r="B2240" t="s">
        <v>4655</v>
      </c>
      <c r="C2240" t="s">
        <v>14378</v>
      </c>
      <c r="D2240" s="1">
        <v>40479</v>
      </c>
      <c r="E2240" s="2">
        <v>149000</v>
      </c>
      <c r="F2240" t="s">
        <v>4567</v>
      </c>
      <c r="G2240" s="17" t="str">
        <f>HYPERLINK("https://www.washoecounty.gov/assessor/cama/?command=sales&amp;parid=02829226","3937610")</f>
        <v>3937610</v>
      </c>
      <c r="H2240" t="s">
        <v>4736</v>
      </c>
      <c r="I2240">
        <v>1974</v>
      </c>
      <c r="J2240">
        <v>1975</v>
      </c>
      <c r="K2240" t="s">
        <v>4554</v>
      </c>
      <c r="L2240" t="s">
        <v>4555</v>
      </c>
      <c r="M2240" s="2">
        <v>1640</v>
      </c>
      <c r="N2240" t="s">
        <v>4048</v>
      </c>
      <c r="O2240">
        <v>5</v>
      </c>
      <c r="P2240">
        <v>2</v>
      </c>
      <c r="Q2240">
        <v>0</v>
      </c>
      <c r="R2240" t="s">
        <v>4557</v>
      </c>
      <c r="S2240" t="s">
        <v>4558</v>
      </c>
      <c r="T2240" t="s">
        <v>4559</v>
      </c>
      <c r="U2240" t="s">
        <v>4655</v>
      </c>
      <c r="V2240" s="2">
        <v>0</v>
      </c>
      <c r="W2240" t="s">
        <v>4655</v>
      </c>
      <c r="X2240" s="2">
        <v>0</v>
      </c>
      <c r="Y2240">
        <v>20</v>
      </c>
      <c r="Z2240" t="s">
        <v>5200</v>
      </c>
      <c r="AA2240" s="3">
        <v>0.137741044163704</v>
      </c>
      <c r="AB2240" t="s">
        <v>14379</v>
      </c>
      <c r="AC2240" t="s">
        <v>4562</v>
      </c>
      <c r="AD2240" t="s">
        <v>14380</v>
      </c>
      <c r="AE2240" t="s">
        <v>4655</v>
      </c>
      <c r="AF2240" t="s">
        <v>4563</v>
      </c>
      <c r="AG2240" t="s">
        <v>4564</v>
      </c>
      <c r="AH2240">
        <v>89503</v>
      </c>
      <c r="AI2240" t="s">
        <v>4756</v>
      </c>
      <c r="AJ2240" t="s">
        <v>4655</v>
      </c>
      <c r="AK2240" t="s">
        <v>1955</v>
      </c>
      <c r="AL2240" s="13" t="s">
        <v>3425</v>
      </c>
      <c r="AM2240" s="14">
        <v>1</v>
      </c>
      <c r="AN2240" s="15" t="s">
        <v>1445</v>
      </c>
    </row>
    <row r="2241" spans="1:40" x14ac:dyDescent="0.3">
      <c r="A2241" s="10" t="str">
        <f>HYPERLINK("http://www.washoecounty.gov/assessor/cama/?parid=028-292-27&amp;CardNumber=1","028-292-27")</f>
        <v>028-292-27</v>
      </c>
      <c r="B2241" t="s">
        <v>4655</v>
      </c>
      <c r="C2241" t="s">
        <v>14381</v>
      </c>
      <c r="D2241" s="1">
        <v>40192</v>
      </c>
      <c r="E2241" s="2">
        <v>112000</v>
      </c>
      <c r="F2241" t="s">
        <v>4553</v>
      </c>
      <c r="G2241" s="17" t="str">
        <f>HYPERLINK("https://www.washoecounty.gov/assessor/cama/?command=sales&amp;parid=02829227","3839091")</f>
        <v>3839091</v>
      </c>
      <c r="H2241" t="s">
        <v>4736</v>
      </c>
      <c r="I2241">
        <v>1974</v>
      </c>
      <c r="J2241">
        <v>1974</v>
      </c>
      <c r="K2241" t="s">
        <v>4554</v>
      </c>
      <c r="L2241" t="s">
        <v>4555</v>
      </c>
      <c r="M2241" s="2">
        <v>1480</v>
      </c>
      <c r="N2241" t="s">
        <v>4048</v>
      </c>
      <c r="O2241">
        <v>4</v>
      </c>
      <c r="P2241">
        <v>2</v>
      </c>
      <c r="Q2241">
        <v>0</v>
      </c>
      <c r="R2241" t="s">
        <v>5281</v>
      </c>
      <c r="S2241" t="s">
        <v>4558</v>
      </c>
      <c r="T2241" t="s">
        <v>4559</v>
      </c>
      <c r="U2241" t="s">
        <v>4560</v>
      </c>
      <c r="V2241" s="2">
        <v>437</v>
      </c>
      <c r="W2241" t="s">
        <v>4655</v>
      </c>
      <c r="X2241" s="2">
        <v>0</v>
      </c>
      <c r="Y2241">
        <v>20</v>
      </c>
      <c r="Z2241" t="s">
        <v>5200</v>
      </c>
      <c r="AA2241" s="3">
        <v>0.137741044163704</v>
      </c>
      <c r="AB2241" t="s">
        <v>13895</v>
      </c>
      <c r="AC2241" t="s">
        <v>4562</v>
      </c>
      <c r="AD2241" t="s">
        <v>13896</v>
      </c>
      <c r="AE2241" t="s">
        <v>4655</v>
      </c>
      <c r="AF2241" t="s">
        <v>5201</v>
      </c>
      <c r="AG2241" t="s">
        <v>4564</v>
      </c>
      <c r="AH2241" t="s">
        <v>5202</v>
      </c>
      <c r="AI2241" t="s">
        <v>4045</v>
      </c>
      <c r="AJ2241" t="s">
        <v>4655</v>
      </c>
      <c r="AK2241" t="s">
        <v>4412</v>
      </c>
      <c r="AL2241" s="13" t="s">
        <v>3425</v>
      </c>
      <c r="AM2241">
        <v>1</v>
      </c>
      <c r="AN2241" s="15" t="s">
        <v>1445</v>
      </c>
    </row>
    <row r="2242" spans="1:40" x14ac:dyDescent="0.3">
      <c r="A2242" s="10" t="str">
        <f>HYPERLINK("http://www.washoecounty.gov/assessor/cama/?parid=028-293-22&amp;CardNumber=1","028-293-22")</f>
        <v>028-293-22</v>
      </c>
      <c r="B2242" t="s">
        <v>4655</v>
      </c>
      <c r="C2242" t="s">
        <v>14382</v>
      </c>
      <c r="D2242" s="1">
        <v>40409</v>
      </c>
      <c r="E2242" s="2">
        <v>130000</v>
      </c>
      <c r="F2242" t="s">
        <v>4553</v>
      </c>
      <c r="G2242" s="17" t="str">
        <f>HYPERLINK("https://www.washoecounty.gov/assessor/cama/?command=sales&amp;parid=02829322","3913678")</f>
        <v>3913678</v>
      </c>
      <c r="H2242" t="s">
        <v>4736</v>
      </c>
      <c r="I2242">
        <v>1967</v>
      </c>
      <c r="J2242">
        <v>1967</v>
      </c>
      <c r="K2242" t="s">
        <v>4554</v>
      </c>
      <c r="L2242" t="s">
        <v>4555</v>
      </c>
      <c r="M2242" s="2">
        <v>1351</v>
      </c>
      <c r="N2242" t="s">
        <v>4048</v>
      </c>
      <c r="O2242">
        <v>3</v>
      </c>
      <c r="P2242">
        <v>2</v>
      </c>
      <c r="Q2242">
        <v>0</v>
      </c>
      <c r="R2242" t="s">
        <v>4557</v>
      </c>
      <c r="S2242" t="s">
        <v>4574</v>
      </c>
      <c r="T2242" t="s">
        <v>4559</v>
      </c>
      <c r="U2242" t="s">
        <v>4560</v>
      </c>
      <c r="V2242" s="2">
        <v>420</v>
      </c>
      <c r="W2242" t="s">
        <v>4655</v>
      </c>
      <c r="X2242" s="2">
        <v>0</v>
      </c>
      <c r="Y2242">
        <v>20</v>
      </c>
      <c r="Z2242" t="s">
        <v>5200</v>
      </c>
      <c r="AA2242" s="3">
        <v>0.14692378044128401</v>
      </c>
      <c r="AB2242" t="s">
        <v>4673</v>
      </c>
      <c r="AC2242" t="s">
        <v>4562</v>
      </c>
      <c r="AD2242" t="s">
        <v>3093</v>
      </c>
      <c r="AE2242" t="s">
        <v>4655</v>
      </c>
      <c r="AF2242" t="s">
        <v>4563</v>
      </c>
      <c r="AG2242" t="s">
        <v>4564</v>
      </c>
      <c r="AH2242">
        <v>89512</v>
      </c>
      <c r="AI2242" t="s">
        <v>4903</v>
      </c>
      <c r="AJ2242" t="s">
        <v>4655</v>
      </c>
      <c r="AK2242" t="s">
        <v>1955</v>
      </c>
      <c r="AL2242" s="13" t="s">
        <v>1886</v>
      </c>
      <c r="AM2242" s="14">
        <v>1</v>
      </c>
      <c r="AN2242" s="15" t="s">
        <v>1445</v>
      </c>
    </row>
    <row r="2243" spans="1:40" x14ac:dyDescent="0.3">
      <c r="A2243" s="10" t="str">
        <f>HYPERLINK("http://www.washoecounty.gov/assessor/cama/?parid=028-294-12&amp;CardNumber=1","028-294-12")</f>
        <v>028-294-12</v>
      </c>
      <c r="B2243" t="s">
        <v>4655</v>
      </c>
      <c r="C2243" t="s">
        <v>14383</v>
      </c>
      <c r="D2243" s="1">
        <v>40326</v>
      </c>
      <c r="E2243" s="2">
        <v>87000</v>
      </c>
      <c r="F2243" t="s">
        <v>4567</v>
      </c>
      <c r="G2243" s="17" t="str">
        <f>HYPERLINK("https://www.washoecounty.gov/assessor/cama/?command=sales&amp;parid=02829412","3886714")</f>
        <v>3886714</v>
      </c>
      <c r="H2243" t="s">
        <v>4736</v>
      </c>
      <c r="I2243">
        <v>1964</v>
      </c>
      <c r="J2243">
        <v>1964</v>
      </c>
      <c r="K2243" t="s">
        <v>4554</v>
      </c>
      <c r="L2243" t="s">
        <v>4555</v>
      </c>
      <c r="M2243" s="2">
        <v>1308</v>
      </c>
      <c r="N2243" t="s">
        <v>4048</v>
      </c>
      <c r="O2243">
        <v>2</v>
      </c>
      <c r="P2243">
        <v>2</v>
      </c>
      <c r="Q2243">
        <v>0</v>
      </c>
      <c r="R2243" t="s">
        <v>5281</v>
      </c>
      <c r="S2243" t="s">
        <v>4135</v>
      </c>
      <c r="T2243" t="s">
        <v>4143</v>
      </c>
      <c r="U2243" t="s">
        <v>4655</v>
      </c>
      <c r="V2243" s="2">
        <v>0</v>
      </c>
      <c r="W2243" t="s">
        <v>4655</v>
      </c>
      <c r="X2243" s="2">
        <v>0</v>
      </c>
      <c r="Y2243">
        <v>20</v>
      </c>
      <c r="Z2243" t="s">
        <v>5200</v>
      </c>
      <c r="AA2243" s="3">
        <v>0.27750229835510298</v>
      </c>
      <c r="AB2243" t="s">
        <v>14384</v>
      </c>
      <c r="AC2243" t="s">
        <v>4562</v>
      </c>
      <c r="AD2243" t="s">
        <v>14385</v>
      </c>
      <c r="AE2243" t="s">
        <v>4655</v>
      </c>
      <c r="AF2243" t="s">
        <v>4563</v>
      </c>
      <c r="AG2243" t="s">
        <v>4564</v>
      </c>
      <c r="AH2243">
        <v>89501</v>
      </c>
      <c r="AI2243" t="s">
        <v>14386</v>
      </c>
      <c r="AJ2243" t="s">
        <v>4655</v>
      </c>
      <c r="AK2243" t="s">
        <v>14387</v>
      </c>
      <c r="AL2243" s="13" t="s">
        <v>3425</v>
      </c>
      <c r="AM2243">
        <v>1</v>
      </c>
      <c r="AN2243" s="15" t="s">
        <v>1445</v>
      </c>
    </row>
    <row r="2244" spans="1:40" x14ac:dyDescent="0.3">
      <c r="A2244" s="10" t="str">
        <f>HYPERLINK("http://www.washoecounty.gov/assessor/cama/?parid=028-294-15&amp;CardNumber=1","028-294-15")</f>
        <v>028-294-15</v>
      </c>
      <c r="B2244" t="s">
        <v>4655</v>
      </c>
      <c r="C2244" t="s">
        <v>14388</v>
      </c>
      <c r="D2244" s="1">
        <v>40255</v>
      </c>
      <c r="E2244" s="2">
        <v>140000</v>
      </c>
      <c r="F2244" t="s">
        <v>4553</v>
      </c>
      <c r="G2244" s="17" t="str">
        <f>HYPERLINK("https://www.washoecounty.gov/assessor/cama/?command=sales&amp;parid=02829415","3861379")</f>
        <v>3861379</v>
      </c>
      <c r="H2244" t="s">
        <v>4736</v>
      </c>
      <c r="I2244">
        <v>1971</v>
      </c>
      <c r="J2244">
        <v>1971</v>
      </c>
      <c r="K2244" t="s">
        <v>4554</v>
      </c>
      <c r="L2244" t="s">
        <v>3974</v>
      </c>
      <c r="M2244" s="2">
        <v>2280</v>
      </c>
      <c r="N2244" t="s">
        <v>5280</v>
      </c>
      <c r="O2244">
        <v>3</v>
      </c>
      <c r="P2244">
        <v>3</v>
      </c>
      <c r="Q2244">
        <v>0</v>
      </c>
      <c r="R2244" t="s">
        <v>4557</v>
      </c>
      <c r="S2244" t="s">
        <v>4898</v>
      </c>
      <c r="T2244" t="s">
        <v>4143</v>
      </c>
      <c r="U2244" t="s">
        <v>5631</v>
      </c>
      <c r="V2244" s="2">
        <v>460</v>
      </c>
      <c r="W2244" t="s">
        <v>4655</v>
      </c>
      <c r="X2244" s="2">
        <v>0</v>
      </c>
      <c r="Y2244">
        <v>20</v>
      </c>
      <c r="Z2244" t="s">
        <v>5200</v>
      </c>
      <c r="AA2244" s="3">
        <v>0.16942149400711101</v>
      </c>
      <c r="AB2244" t="s">
        <v>14389</v>
      </c>
      <c r="AC2244" t="s">
        <v>4575</v>
      </c>
      <c r="AD2244" t="s">
        <v>14388</v>
      </c>
      <c r="AE2244" t="s">
        <v>4655</v>
      </c>
      <c r="AF2244" t="s">
        <v>5201</v>
      </c>
      <c r="AG2244" t="s">
        <v>4564</v>
      </c>
      <c r="AH2244" t="s">
        <v>5202</v>
      </c>
      <c r="AI2244" t="s">
        <v>4565</v>
      </c>
      <c r="AJ2244" t="s">
        <v>4655</v>
      </c>
      <c r="AK2244" t="s">
        <v>1955</v>
      </c>
      <c r="AL2244" s="13" t="s">
        <v>3425</v>
      </c>
      <c r="AM2244" s="14">
        <v>1</v>
      </c>
      <c r="AN2244" s="15" t="s">
        <v>1445</v>
      </c>
    </row>
    <row r="2245" spans="1:40" x14ac:dyDescent="0.3">
      <c r="A2245" s="10" t="str">
        <f>HYPERLINK("http://www.washoecounty.gov/assessor/cama/?parid=028-294-20&amp;CardNumber=1","028-294-20")</f>
        <v>028-294-20</v>
      </c>
      <c r="B2245" t="s">
        <v>4655</v>
      </c>
      <c r="C2245" t="s">
        <v>14390</v>
      </c>
      <c r="D2245" s="1">
        <v>40417</v>
      </c>
      <c r="E2245" s="2">
        <v>137500</v>
      </c>
      <c r="F2245" t="s">
        <v>4553</v>
      </c>
      <c r="G2245" s="17" t="str">
        <f>HYPERLINK("https://www.washoecounty.gov/assessor/cama/?command=sales&amp;parid=02829420","3916359")</f>
        <v>3916359</v>
      </c>
      <c r="H2245" t="s">
        <v>4736</v>
      </c>
      <c r="I2245">
        <v>1975</v>
      </c>
      <c r="J2245">
        <v>1975</v>
      </c>
      <c r="K2245" t="s">
        <v>4554</v>
      </c>
      <c r="L2245" t="s">
        <v>4555</v>
      </c>
      <c r="M2245" s="2">
        <v>1489</v>
      </c>
      <c r="N2245" t="s">
        <v>5280</v>
      </c>
      <c r="O2245">
        <v>2</v>
      </c>
      <c r="P2245">
        <v>2</v>
      </c>
      <c r="Q2245">
        <v>0</v>
      </c>
      <c r="R2245" t="s">
        <v>5281</v>
      </c>
      <c r="S2245" t="s">
        <v>4135</v>
      </c>
      <c r="T2245" t="s">
        <v>4559</v>
      </c>
      <c r="U2245" t="s">
        <v>4560</v>
      </c>
      <c r="V2245" s="2">
        <v>506</v>
      </c>
      <c r="W2245" t="s">
        <v>3149</v>
      </c>
      <c r="X2245" s="2">
        <v>744</v>
      </c>
      <c r="Y2245">
        <v>20</v>
      </c>
      <c r="Z2245" t="s">
        <v>5200</v>
      </c>
      <c r="AA2245" s="3">
        <v>0.21225894987583199</v>
      </c>
      <c r="AB2245" t="s">
        <v>14391</v>
      </c>
      <c r="AC2245" t="s">
        <v>4562</v>
      </c>
      <c r="AD2245" t="s">
        <v>14392</v>
      </c>
      <c r="AE2245" t="s">
        <v>4655</v>
      </c>
      <c r="AF2245" t="s">
        <v>3766</v>
      </c>
      <c r="AG2245" t="s">
        <v>4584</v>
      </c>
      <c r="AH2245" t="s">
        <v>3767</v>
      </c>
      <c r="AI2245" t="s">
        <v>4655</v>
      </c>
      <c r="AJ2245" t="s">
        <v>4655</v>
      </c>
      <c r="AK2245" t="s">
        <v>1955</v>
      </c>
      <c r="AL2245" s="13" t="s">
        <v>3425</v>
      </c>
      <c r="AM2245">
        <v>1</v>
      </c>
      <c r="AN2245" s="15" t="s">
        <v>1445</v>
      </c>
    </row>
    <row r="2246" spans="1:40" x14ac:dyDescent="0.3">
      <c r="A2246" s="10" t="str">
        <f>HYPERLINK("http://www.washoecounty.gov/assessor/cama/?parid=028-294-32&amp;CardNumber=1","028-294-32")</f>
        <v>028-294-32</v>
      </c>
      <c r="B2246" t="s">
        <v>4655</v>
      </c>
      <c r="C2246" t="s">
        <v>283</v>
      </c>
      <c r="D2246" s="1">
        <v>40298</v>
      </c>
      <c r="E2246" s="2">
        <v>90000</v>
      </c>
      <c r="F2246" t="s">
        <v>4553</v>
      </c>
      <c r="G2246" s="20" t="s">
        <v>282</v>
      </c>
      <c r="H2246" t="s">
        <v>4736</v>
      </c>
      <c r="I2246">
        <v>1975</v>
      </c>
      <c r="J2246">
        <v>1975</v>
      </c>
      <c r="K2246" t="s">
        <v>4554</v>
      </c>
      <c r="L2246" t="s">
        <v>4555</v>
      </c>
      <c r="M2246" s="2">
        <v>1142</v>
      </c>
      <c r="N2246" t="s">
        <v>4048</v>
      </c>
      <c r="O2246">
        <v>3</v>
      </c>
      <c r="P2246">
        <v>2</v>
      </c>
      <c r="Q2246">
        <v>0</v>
      </c>
      <c r="R2246" t="s">
        <v>4557</v>
      </c>
      <c r="S2246" t="s">
        <v>4558</v>
      </c>
      <c r="T2246" t="s">
        <v>4559</v>
      </c>
      <c r="U2246" t="s">
        <v>4560</v>
      </c>
      <c r="V2246" s="2">
        <v>480</v>
      </c>
      <c r="W2246" t="s">
        <v>4655</v>
      </c>
      <c r="X2246" s="2">
        <v>0</v>
      </c>
      <c r="Y2246">
        <v>20</v>
      </c>
      <c r="Z2246" t="s">
        <v>5200</v>
      </c>
      <c r="AA2246" s="3">
        <v>0.20052801072597501</v>
      </c>
      <c r="AB2246" s="20" t="s">
        <v>8865</v>
      </c>
      <c r="AD2246" t="s">
        <v>283</v>
      </c>
      <c r="AE2246" t="s">
        <v>283</v>
      </c>
      <c r="AF2246" t="s">
        <v>283</v>
      </c>
      <c r="AG2246" t="s">
        <v>4564</v>
      </c>
      <c r="AH2246">
        <v>0</v>
      </c>
      <c r="AI2246" t="s">
        <v>8865</v>
      </c>
      <c r="AJ2246" t="s">
        <v>4655</v>
      </c>
      <c r="AK2246" t="s">
        <v>1955</v>
      </c>
      <c r="AL2246" s="13" t="s">
        <v>1886</v>
      </c>
      <c r="AM2246" s="14">
        <v>1</v>
      </c>
      <c r="AN2246" s="15" t="s">
        <v>1445</v>
      </c>
    </row>
    <row r="2247" spans="1:40" x14ac:dyDescent="0.3">
      <c r="A2247" s="10" t="str">
        <f>HYPERLINK("http://www.washoecounty.gov/assessor/cama/?parid=028-294-57&amp;CardNumber=1","028-294-57")</f>
        <v>028-294-57</v>
      </c>
      <c r="B2247" t="s">
        <v>4655</v>
      </c>
      <c r="C2247" t="s">
        <v>14393</v>
      </c>
      <c r="D2247" s="1">
        <v>40416</v>
      </c>
      <c r="E2247" s="2">
        <v>122000</v>
      </c>
      <c r="F2247" t="s">
        <v>4567</v>
      </c>
      <c r="G2247" s="17" t="str">
        <f>HYPERLINK("https://www.washoecounty.gov/assessor/cama/?command=sales&amp;parid=02829457","3915948")</f>
        <v>3915948</v>
      </c>
      <c r="H2247" t="s">
        <v>14394</v>
      </c>
      <c r="I2247">
        <v>1979</v>
      </c>
      <c r="J2247">
        <v>1979</v>
      </c>
      <c r="K2247" t="s">
        <v>4554</v>
      </c>
      <c r="L2247" t="s">
        <v>4555</v>
      </c>
      <c r="M2247" s="2">
        <v>1470</v>
      </c>
      <c r="N2247" t="s">
        <v>4048</v>
      </c>
      <c r="O2247">
        <v>3</v>
      </c>
      <c r="P2247">
        <v>2</v>
      </c>
      <c r="Q2247">
        <v>0</v>
      </c>
      <c r="R2247" t="s">
        <v>4557</v>
      </c>
      <c r="S2247" t="s">
        <v>4135</v>
      </c>
      <c r="T2247" t="s">
        <v>4143</v>
      </c>
      <c r="U2247" t="s">
        <v>4560</v>
      </c>
      <c r="V2247" s="2">
        <v>440</v>
      </c>
      <c r="W2247" t="s">
        <v>4655</v>
      </c>
      <c r="X2247" s="2">
        <v>0</v>
      </c>
      <c r="Y2247">
        <v>20</v>
      </c>
      <c r="Z2247" t="s">
        <v>5200</v>
      </c>
      <c r="AA2247" s="3">
        <v>0.27121213078498801</v>
      </c>
      <c r="AB2247" t="s">
        <v>14395</v>
      </c>
      <c r="AC2247" t="s">
        <v>4562</v>
      </c>
      <c r="AD2247" t="s">
        <v>14393</v>
      </c>
      <c r="AE2247" t="s">
        <v>4655</v>
      </c>
      <c r="AF2247" t="s">
        <v>5201</v>
      </c>
      <c r="AG2247" t="s">
        <v>4564</v>
      </c>
      <c r="AH2247" t="s">
        <v>5202</v>
      </c>
      <c r="AI2247" t="s">
        <v>14396</v>
      </c>
      <c r="AJ2247" t="s">
        <v>4655</v>
      </c>
      <c r="AK2247" t="s">
        <v>14397</v>
      </c>
      <c r="AL2247" s="13" t="s">
        <v>3425</v>
      </c>
      <c r="AM2247">
        <v>1</v>
      </c>
      <c r="AN2247" s="15" t="s">
        <v>1445</v>
      </c>
    </row>
    <row r="2248" spans="1:40" x14ac:dyDescent="0.3">
      <c r="A2248" s="10" t="str">
        <f>HYPERLINK("http://www.washoecounty.gov/assessor/cama/?parid=028-342-36&amp;CardNumber=1","028-342-36")</f>
        <v>028-342-36</v>
      </c>
      <c r="B2248" t="s">
        <v>4655</v>
      </c>
      <c r="C2248" t="s">
        <v>14398</v>
      </c>
      <c r="D2248" s="1">
        <v>40359</v>
      </c>
      <c r="E2248" s="2">
        <v>145000</v>
      </c>
      <c r="F2248" t="s">
        <v>4567</v>
      </c>
      <c r="G2248" s="17" t="str">
        <f>HYPERLINK("https://www.washoecounty.gov/assessor/cama/?command=sales&amp;parid=02834236","3897476")</f>
        <v>3897476</v>
      </c>
      <c r="H2248" t="s">
        <v>14399</v>
      </c>
      <c r="I2248">
        <v>1986</v>
      </c>
      <c r="J2248">
        <v>1986</v>
      </c>
      <c r="K2248" t="s">
        <v>4554</v>
      </c>
      <c r="L2248" t="s">
        <v>4555</v>
      </c>
      <c r="M2248" s="2">
        <v>1250</v>
      </c>
      <c r="N2248" t="s">
        <v>4048</v>
      </c>
      <c r="O2248">
        <v>3</v>
      </c>
      <c r="P2248">
        <v>2</v>
      </c>
      <c r="Q2248">
        <v>0</v>
      </c>
      <c r="R2248" t="s">
        <v>4557</v>
      </c>
      <c r="S2248" t="s">
        <v>4558</v>
      </c>
      <c r="T2248" t="s">
        <v>4559</v>
      </c>
      <c r="U2248" t="s">
        <v>4560</v>
      </c>
      <c r="V2248" s="2">
        <v>440</v>
      </c>
      <c r="W2248" t="s">
        <v>4655</v>
      </c>
      <c r="X2248" s="2">
        <v>0</v>
      </c>
      <c r="Y2248">
        <v>20</v>
      </c>
      <c r="Z2248" t="s">
        <v>5200</v>
      </c>
      <c r="AA2248" s="3">
        <v>0.13799357414245605</v>
      </c>
      <c r="AB2248" t="s">
        <v>14400</v>
      </c>
      <c r="AC2248" t="s">
        <v>4562</v>
      </c>
      <c r="AD2248" t="s">
        <v>14401</v>
      </c>
      <c r="AE2248" t="s">
        <v>4655</v>
      </c>
      <c r="AF2248" t="s">
        <v>4563</v>
      </c>
      <c r="AG2248" t="s">
        <v>4564</v>
      </c>
      <c r="AH2248" t="s">
        <v>3821</v>
      </c>
      <c r="AI2248" t="s">
        <v>14402</v>
      </c>
      <c r="AJ2248" t="s">
        <v>4655</v>
      </c>
      <c r="AK2248" t="s">
        <v>14403</v>
      </c>
      <c r="AL2248" s="13" t="s">
        <v>1886</v>
      </c>
      <c r="AM2248">
        <v>1</v>
      </c>
      <c r="AN2248" s="15" t="s">
        <v>1445</v>
      </c>
    </row>
    <row r="2249" spans="1:40" x14ac:dyDescent="0.3">
      <c r="A2249" s="10" t="str">
        <f>HYPERLINK("http://www.washoecounty.gov/assessor/cama/?parid=028-371-09&amp;CardNumber=1","028-371-09")</f>
        <v>028-371-09</v>
      </c>
      <c r="B2249" t="s">
        <v>4655</v>
      </c>
      <c r="C2249" t="s">
        <v>14404</v>
      </c>
      <c r="D2249" s="1">
        <v>40515</v>
      </c>
      <c r="E2249" s="2">
        <v>85000</v>
      </c>
      <c r="F2249" t="s">
        <v>4553</v>
      </c>
      <c r="G2249" s="17" t="str">
        <f>HYPERLINK("https://www.washoecounty.gov/assessor/cama/?command=sales&amp;parid=02837109","3948937")</f>
        <v>3948937</v>
      </c>
      <c r="H2249" t="s">
        <v>5569</v>
      </c>
      <c r="I2249">
        <v>1956</v>
      </c>
      <c r="J2249">
        <v>1958</v>
      </c>
      <c r="K2249" t="s">
        <v>4554</v>
      </c>
      <c r="L2249" t="s">
        <v>4555</v>
      </c>
      <c r="M2249" s="2">
        <v>1211</v>
      </c>
      <c r="N2249" t="s">
        <v>4556</v>
      </c>
      <c r="O2249">
        <v>3</v>
      </c>
      <c r="P2249">
        <v>1</v>
      </c>
      <c r="Q2249">
        <v>0</v>
      </c>
      <c r="R2249" t="s">
        <v>4557</v>
      </c>
      <c r="S2249" t="s">
        <v>4135</v>
      </c>
      <c r="T2249" t="s">
        <v>4143</v>
      </c>
      <c r="U2249" t="s">
        <v>4655</v>
      </c>
      <c r="V2249" s="2">
        <v>0</v>
      </c>
      <c r="W2249" t="s">
        <v>4655</v>
      </c>
      <c r="X2249" s="2">
        <v>0</v>
      </c>
      <c r="Y2249">
        <v>20</v>
      </c>
      <c r="Z2249" t="s">
        <v>5200</v>
      </c>
      <c r="AA2249" s="3">
        <v>0.13900367915630299</v>
      </c>
      <c r="AB2249" t="s">
        <v>14405</v>
      </c>
      <c r="AC2249" t="s">
        <v>4562</v>
      </c>
      <c r="AD2249" t="s">
        <v>14406</v>
      </c>
      <c r="AE2249" t="s">
        <v>4655</v>
      </c>
      <c r="AF2249" t="s">
        <v>4809</v>
      </c>
      <c r="AG2249" t="s">
        <v>4564</v>
      </c>
      <c r="AH2249" t="s">
        <v>5202</v>
      </c>
      <c r="AI2249" t="s">
        <v>2351</v>
      </c>
      <c r="AJ2249" t="s">
        <v>4655</v>
      </c>
      <c r="AK2249" t="s">
        <v>14407</v>
      </c>
      <c r="AL2249" s="13" t="s">
        <v>1886</v>
      </c>
      <c r="AM2249" s="14">
        <v>1</v>
      </c>
      <c r="AN2249" s="15" t="s">
        <v>4904</v>
      </c>
    </row>
    <row r="2250" spans="1:40" x14ac:dyDescent="0.3">
      <c r="A2250" s="10" t="str">
        <f>HYPERLINK("http://www.washoecounty.gov/assessor/cama/?parid=028-371-17&amp;CardNumber=1","028-371-17")</f>
        <v>028-371-17</v>
      </c>
      <c r="B2250" t="s">
        <v>4655</v>
      </c>
      <c r="C2250" t="s">
        <v>14408</v>
      </c>
      <c r="D2250" s="1">
        <v>40268</v>
      </c>
      <c r="E2250" s="2">
        <v>100000</v>
      </c>
      <c r="F2250" t="s">
        <v>4567</v>
      </c>
      <c r="G2250" s="17" t="str">
        <f>HYPERLINK("https://www.washoecounty.gov/assessor/cama/?command=sales&amp;parid=02837117","3866527")</f>
        <v>3866527</v>
      </c>
      <c r="H2250" t="s">
        <v>2968</v>
      </c>
      <c r="I2250">
        <v>1958</v>
      </c>
      <c r="J2250">
        <v>1958</v>
      </c>
      <c r="K2250" t="s">
        <v>4554</v>
      </c>
      <c r="L2250" t="s">
        <v>4555</v>
      </c>
      <c r="M2250" s="2">
        <v>1242</v>
      </c>
      <c r="N2250" t="s">
        <v>4556</v>
      </c>
      <c r="O2250">
        <v>4</v>
      </c>
      <c r="P2250">
        <v>1</v>
      </c>
      <c r="Q2250">
        <v>1</v>
      </c>
      <c r="R2250" t="s">
        <v>4557</v>
      </c>
      <c r="S2250" t="s">
        <v>4558</v>
      </c>
      <c r="T2250" t="s">
        <v>4559</v>
      </c>
      <c r="U2250" t="s">
        <v>4560</v>
      </c>
      <c r="V2250" s="2">
        <v>441</v>
      </c>
      <c r="W2250" t="s">
        <v>4655</v>
      </c>
      <c r="X2250" s="2">
        <v>0</v>
      </c>
      <c r="Y2250">
        <v>20</v>
      </c>
      <c r="Z2250" t="s">
        <v>5200</v>
      </c>
      <c r="AA2250" s="3">
        <v>0.15798898041248299</v>
      </c>
      <c r="AB2250" t="s">
        <v>14409</v>
      </c>
      <c r="AC2250" t="s">
        <v>4562</v>
      </c>
      <c r="AD2250" t="s">
        <v>14410</v>
      </c>
      <c r="AE2250" t="s">
        <v>4655</v>
      </c>
      <c r="AF2250" t="s">
        <v>4809</v>
      </c>
      <c r="AG2250" t="s">
        <v>4564</v>
      </c>
      <c r="AH2250" t="s">
        <v>5202</v>
      </c>
      <c r="AI2250" t="s">
        <v>4655</v>
      </c>
      <c r="AJ2250" t="s">
        <v>4655</v>
      </c>
      <c r="AK2250" t="s">
        <v>14411</v>
      </c>
      <c r="AL2250" s="13" t="s">
        <v>1886</v>
      </c>
      <c r="AM2250">
        <v>1</v>
      </c>
      <c r="AN2250" s="15" t="s">
        <v>4904</v>
      </c>
    </row>
    <row r="2251" spans="1:40" x14ac:dyDescent="0.3">
      <c r="A2251" s="10" t="str">
        <f>HYPERLINK("http://www.washoecounty.gov/assessor/cama/?parid=028-372-08&amp;CardNumber=1","028-372-08")</f>
        <v>028-372-08</v>
      </c>
      <c r="B2251" t="s">
        <v>4655</v>
      </c>
      <c r="C2251" t="s">
        <v>14412</v>
      </c>
      <c r="D2251" s="1">
        <v>40240</v>
      </c>
      <c r="E2251" s="2">
        <v>127600</v>
      </c>
      <c r="F2251" t="s">
        <v>4567</v>
      </c>
      <c r="G2251" s="17" t="str">
        <f>HYPERLINK("https://www.washoecounty.gov/assessor/cama/?command=sales&amp;parid=02837208","3855418")</f>
        <v>3855418</v>
      </c>
      <c r="H2251" t="s">
        <v>2968</v>
      </c>
      <c r="I2251">
        <v>1956</v>
      </c>
      <c r="J2251">
        <v>1958</v>
      </c>
      <c r="K2251" t="s">
        <v>4554</v>
      </c>
      <c r="L2251" t="s">
        <v>4555</v>
      </c>
      <c r="M2251" s="2">
        <v>1463</v>
      </c>
      <c r="N2251" t="s">
        <v>4556</v>
      </c>
      <c r="O2251">
        <v>4</v>
      </c>
      <c r="P2251">
        <v>2</v>
      </c>
      <c r="Q2251">
        <v>0</v>
      </c>
      <c r="R2251" t="s">
        <v>4557</v>
      </c>
      <c r="S2251" t="s">
        <v>4558</v>
      </c>
      <c r="T2251" t="s">
        <v>4559</v>
      </c>
      <c r="U2251" t="s">
        <v>4560</v>
      </c>
      <c r="V2251" s="2">
        <v>300</v>
      </c>
      <c r="W2251" t="s">
        <v>4655</v>
      </c>
      <c r="X2251" s="2">
        <v>0</v>
      </c>
      <c r="Y2251">
        <v>20</v>
      </c>
      <c r="Z2251" t="s">
        <v>5200</v>
      </c>
      <c r="AA2251" s="3">
        <v>0.14201101660728499</v>
      </c>
      <c r="AB2251" t="s">
        <v>14413</v>
      </c>
      <c r="AC2251" t="s">
        <v>4562</v>
      </c>
      <c r="AD2251" t="s">
        <v>14412</v>
      </c>
      <c r="AE2251" t="s">
        <v>4655</v>
      </c>
      <c r="AF2251" t="s">
        <v>5201</v>
      </c>
      <c r="AG2251" t="s">
        <v>4564</v>
      </c>
      <c r="AH2251" t="s">
        <v>5202</v>
      </c>
      <c r="AI2251" t="s">
        <v>14414</v>
      </c>
      <c r="AJ2251" t="s">
        <v>4655</v>
      </c>
      <c r="AK2251" t="s">
        <v>14415</v>
      </c>
      <c r="AL2251" s="13" t="s">
        <v>1886</v>
      </c>
      <c r="AM2251" s="14">
        <v>1</v>
      </c>
      <c r="AN2251" s="15" t="s">
        <v>4904</v>
      </c>
    </row>
    <row r="2252" spans="1:40" x14ac:dyDescent="0.3">
      <c r="A2252" s="10" t="str">
        <f>HYPERLINK("http://www.washoecounty.gov/assessor/cama/?parid=028-383-12&amp;CardNumber=1","028-383-12")</f>
        <v>028-383-12</v>
      </c>
      <c r="B2252" t="s">
        <v>4655</v>
      </c>
      <c r="C2252" t="s">
        <v>2489</v>
      </c>
      <c r="D2252" s="1">
        <v>40303</v>
      </c>
      <c r="E2252" s="2">
        <v>89000</v>
      </c>
      <c r="F2252" t="s">
        <v>4567</v>
      </c>
      <c r="G2252" s="17" t="str">
        <f>HYPERLINK("https://www.washoecounty.gov/assessor/cama/?command=sales&amp;parid=02838312","3878458")</f>
        <v>3878458</v>
      </c>
      <c r="H2252" t="s">
        <v>2490</v>
      </c>
      <c r="I2252">
        <v>1956</v>
      </c>
      <c r="J2252">
        <v>1956</v>
      </c>
      <c r="K2252" t="s">
        <v>4554</v>
      </c>
      <c r="L2252" t="s">
        <v>4555</v>
      </c>
      <c r="M2252" s="2">
        <v>1067</v>
      </c>
      <c r="N2252" t="s">
        <v>4556</v>
      </c>
      <c r="O2252">
        <v>3</v>
      </c>
      <c r="P2252">
        <v>1</v>
      </c>
      <c r="Q2252">
        <v>0</v>
      </c>
      <c r="R2252" t="s">
        <v>4557</v>
      </c>
      <c r="S2252" t="s">
        <v>4558</v>
      </c>
      <c r="T2252" t="s">
        <v>4559</v>
      </c>
      <c r="U2252" t="s">
        <v>4560</v>
      </c>
      <c r="V2252" s="2">
        <v>300</v>
      </c>
      <c r="W2252" t="s">
        <v>4655</v>
      </c>
      <c r="X2252" s="2">
        <v>0</v>
      </c>
      <c r="Y2252">
        <v>20</v>
      </c>
      <c r="Z2252" t="s">
        <v>5200</v>
      </c>
      <c r="AA2252" s="3">
        <v>0.14201101660728499</v>
      </c>
      <c r="AB2252" t="s">
        <v>14416</v>
      </c>
      <c r="AC2252" t="s">
        <v>4575</v>
      </c>
      <c r="AD2252" t="s">
        <v>2489</v>
      </c>
      <c r="AE2252" t="s">
        <v>4655</v>
      </c>
      <c r="AF2252" t="s">
        <v>4809</v>
      </c>
      <c r="AG2252" t="s">
        <v>4564</v>
      </c>
      <c r="AH2252" t="s">
        <v>5202</v>
      </c>
      <c r="AI2252" t="s">
        <v>14416</v>
      </c>
      <c r="AJ2252" t="s">
        <v>4655</v>
      </c>
      <c r="AK2252" t="s">
        <v>14417</v>
      </c>
      <c r="AL2252" s="13" t="s">
        <v>1886</v>
      </c>
      <c r="AM2252">
        <v>1</v>
      </c>
      <c r="AN2252" s="15" t="s">
        <v>4904</v>
      </c>
    </row>
    <row r="2253" spans="1:40" x14ac:dyDescent="0.3">
      <c r="A2253" s="10" t="str">
        <f>HYPERLINK("http://www.washoecounty.gov/assessor/cama/?parid=028-383-12&amp;CardNumber=1","028-383-12")</f>
        <v>028-383-12</v>
      </c>
      <c r="B2253" t="s">
        <v>4655</v>
      </c>
      <c r="C2253" t="s">
        <v>2489</v>
      </c>
      <c r="D2253" s="1">
        <v>40389</v>
      </c>
      <c r="E2253" s="2">
        <v>117500</v>
      </c>
      <c r="F2253" t="s">
        <v>4567</v>
      </c>
      <c r="G2253" s="17" t="str">
        <f>HYPERLINK("https://www.washoecounty.gov/assessor/cama/?command=sales&amp;parid=02838312","3907277")</f>
        <v>3907277</v>
      </c>
      <c r="H2253" t="s">
        <v>2490</v>
      </c>
      <c r="I2253">
        <v>1956</v>
      </c>
      <c r="J2253">
        <v>1956</v>
      </c>
      <c r="K2253" t="s">
        <v>4554</v>
      </c>
      <c r="L2253" t="s">
        <v>4555</v>
      </c>
      <c r="M2253" s="2">
        <v>1067</v>
      </c>
      <c r="N2253" t="s">
        <v>4556</v>
      </c>
      <c r="O2253">
        <v>3</v>
      </c>
      <c r="P2253">
        <v>1</v>
      </c>
      <c r="Q2253">
        <v>0</v>
      </c>
      <c r="R2253" t="s">
        <v>4557</v>
      </c>
      <c r="S2253" t="s">
        <v>4558</v>
      </c>
      <c r="T2253" t="s">
        <v>4559</v>
      </c>
      <c r="U2253" t="s">
        <v>4560</v>
      </c>
      <c r="V2253" s="2">
        <v>300</v>
      </c>
      <c r="W2253" t="s">
        <v>4655</v>
      </c>
      <c r="X2253" s="2">
        <v>0</v>
      </c>
      <c r="Y2253">
        <v>20</v>
      </c>
      <c r="Z2253" t="s">
        <v>5200</v>
      </c>
      <c r="AA2253" s="3">
        <v>0.14201101660728499</v>
      </c>
      <c r="AB2253" t="s">
        <v>14416</v>
      </c>
      <c r="AC2253" t="s">
        <v>4575</v>
      </c>
      <c r="AD2253" t="s">
        <v>2489</v>
      </c>
      <c r="AE2253" t="s">
        <v>4655</v>
      </c>
      <c r="AF2253" t="s">
        <v>4809</v>
      </c>
      <c r="AG2253" t="s">
        <v>4564</v>
      </c>
      <c r="AH2253" t="s">
        <v>5202</v>
      </c>
      <c r="AI2253" t="s">
        <v>14416</v>
      </c>
      <c r="AJ2253" t="s">
        <v>4655</v>
      </c>
      <c r="AK2253" t="s">
        <v>14417</v>
      </c>
      <c r="AL2253" s="13" t="s">
        <v>1886</v>
      </c>
      <c r="AM2253">
        <v>1</v>
      </c>
      <c r="AN2253" s="15" t="s">
        <v>4904</v>
      </c>
    </row>
    <row r="2254" spans="1:40" x14ac:dyDescent="0.3">
      <c r="A2254" s="10" t="str">
        <f>HYPERLINK("http://www.washoecounty.gov/assessor/cama/?parid=028-383-24&amp;CardNumber=1","028-383-24")</f>
        <v>028-383-24</v>
      </c>
      <c r="B2254" t="s">
        <v>4655</v>
      </c>
      <c r="C2254" t="s">
        <v>3055</v>
      </c>
      <c r="D2254" s="1">
        <v>40409</v>
      </c>
      <c r="E2254" s="2">
        <v>68000</v>
      </c>
      <c r="F2254" t="s">
        <v>4553</v>
      </c>
      <c r="G2254" s="17" t="str">
        <f>HYPERLINK("https://www.washoecounty.gov/assessor/cama/?command=sales&amp;parid=02838324","3913713")</f>
        <v>3913713</v>
      </c>
      <c r="H2254" t="s">
        <v>2490</v>
      </c>
      <c r="I2254">
        <v>1956</v>
      </c>
      <c r="J2254">
        <v>1958</v>
      </c>
      <c r="K2254" t="s">
        <v>4554</v>
      </c>
      <c r="L2254" t="s">
        <v>4555</v>
      </c>
      <c r="M2254" s="2">
        <v>1250</v>
      </c>
      <c r="N2254" t="s">
        <v>4556</v>
      </c>
      <c r="O2254">
        <v>4</v>
      </c>
      <c r="P2254">
        <v>3</v>
      </c>
      <c r="Q2254">
        <v>1</v>
      </c>
      <c r="R2254" t="s">
        <v>4557</v>
      </c>
      <c r="S2254" t="s">
        <v>4558</v>
      </c>
      <c r="T2254" t="s">
        <v>4559</v>
      </c>
      <c r="U2254" t="s">
        <v>4655</v>
      </c>
      <c r="V2254" s="2">
        <v>0</v>
      </c>
      <c r="W2254" t="s">
        <v>4655</v>
      </c>
      <c r="X2254" s="2">
        <v>0</v>
      </c>
      <c r="Y2254">
        <v>20</v>
      </c>
      <c r="Z2254" t="s">
        <v>5200</v>
      </c>
      <c r="AA2254" s="3">
        <v>0.14201101660728499</v>
      </c>
      <c r="AB2254" t="s">
        <v>444</v>
      </c>
      <c r="AC2254" t="s">
        <v>4562</v>
      </c>
      <c r="AD2254" t="s">
        <v>3055</v>
      </c>
      <c r="AE2254" t="s">
        <v>4655</v>
      </c>
      <c r="AF2254" t="s">
        <v>4809</v>
      </c>
      <c r="AG2254" t="s">
        <v>4564</v>
      </c>
      <c r="AH2254" t="s">
        <v>5202</v>
      </c>
      <c r="AI2254" t="s">
        <v>3282</v>
      </c>
      <c r="AJ2254" t="s">
        <v>4655</v>
      </c>
      <c r="AK2254" t="s">
        <v>3056</v>
      </c>
      <c r="AL2254" s="13" t="s">
        <v>1886</v>
      </c>
      <c r="AM2254">
        <v>1</v>
      </c>
      <c r="AN2254" s="15" t="s">
        <v>4904</v>
      </c>
    </row>
    <row r="2255" spans="1:40" x14ac:dyDescent="0.3">
      <c r="A2255" s="10" t="str">
        <f>HYPERLINK("http://www.washoecounty.gov/assessor/cama/?parid=028-383-29&amp;CardNumber=1","028-383-29")</f>
        <v>028-383-29</v>
      </c>
      <c r="B2255" t="s">
        <v>4655</v>
      </c>
      <c r="C2255" t="s">
        <v>14418</v>
      </c>
      <c r="D2255" s="1">
        <v>40347</v>
      </c>
      <c r="E2255" s="2">
        <v>100000</v>
      </c>
      <c r="F2255" t="s">
        <v>4567</v>
      </c>
      <c r="G2255" s="17" t="str">
        <f>HYPERLINK("https://www.washoecounty.gov/assessor/cama/?command=sales&amp;parid=02838329","3893347")</f>
        <v>3893347</v>
      </c>
      <c r="H2255" t="s">
        <v>98</v>
      </c>
      <c r="I2255">
        <v>1956</v>
      </c>
      <c r="J2255">
        <v>1956</v>
      </c>
      <c r="K2255" t="s">
        <v>4554</v>
      </c>
      <c r="L2255" t="s">
        <v>4555</v>
      </c>
      <c r="M2255" s="2">
        <v>1067</v>
      </c>
      <c r="N2255" t="s">
        <v>4556</v>
      </c>
      <c r="O2255">
        <v>3</v>
      </c>
      <c r="P2255">
        <v>1</v>
      </c>
      <c r="Q2255">
        <v>0</v>
      </c>
      <c r="R2255" t="s">
        <v>4557</v>
      </c>
      <c r="S2255" t="s">
        <v>4558</v>
      </c>
      <c r="T2255" t="s">
        <v>4559</v>
      </c>
      <c r="U2255" t="s">
        <v>4560</v>
      </c>
      <c r="V2255" s="2">
        <v>300</v>
      </c>
      <c r="W2255" t="s">
        <v>4655</v>
      </c>
      <c r="X2255" s="2">
        <v>0</v>
      </c>
      <c r="Y2255">
        <v>20</v>
      </c>
      <c r="Z2255" t="s">
        <v>5200</v>
      </c>
      <c r="AA2255" s="3">
        <v>0.14201101660728499</v>
      </c>
      <c r="AB2255" t="s">
        <v>14419</v>
      </c>
      <c r="AC2255" t="s">
        <v>4562</v>
      </c>
      <c r="AD2255" t="s">
        <v>14420</v>
      </c>
      <c r="AE2255" t="s">
        <v>4655</v>
      </c>
      <c r="AF2255" t="s">
        <v>4563</v>
      </c>
      <c r="AG2255" t="s">
        <v>4564</v>
      </c>
      <c r="AH2255">
        <v>89510</v>
      </c>
      <c r="AI2255" t="s">
        <v>14421</v>
      </c>
      <c r="AJ2255" t="s">
        <v>4655</v>
      </c>
      <c r="AK2255" t="s">
        <v>14422</v>
      </c>
      <c r="AL2255" s="13" t="s">
        <v>1886</v>
      </c>
      <c r="AM2255" s="14">
        <v>1</v>
      </c>
      <c r="AN2255" s="15" t="s">
        <v>4904</v>
      </c>
    </row>
    <row r="2256" spans="1:40" x14ac:dyDescent="0.3">
      <c r="A2256" s="10" t="str">
        <f>HYPERLINK("http://www.washoecounty.gov/assessor/cama/?parid=028-402-24&amp;CardNumber=1","028-402-24")</f>
        <v>028-402-24</v>
      </c>
      <c r="B2256" t="s">
        <v>4655</v>
      </c>
      <c r="C2256" t="s">
        <v>14423</v>
      </c>
      <c r="D2256" s="1">
        <v>40428</v>
      </c>
      <c r="E2256" s="2">
        <v>132000</v>
      </c>
      <c r="F2256" t="s">
        <v>4567</v>
      </c>
      <c r="G2256" s="17" t="str">
        <f>HYPERLINK("https://www.washoecounty.gov/assessor/cama/?command=sales&amp;parid=02840224","3919468")</f>
        <v>3919468</v>
      </c>
      <c r="H2256" t="s">
        <v>216</v>
      </c>
      <c r="I2256">
        <v>1971</v>
      </c>
      <c r="J2256">
        <v>1976</v>
      </c>
      <c r="K2256" t="s">
        <v>4554</v>
      </c>
      <c r="L2256" t="s">
        <v>4555</v>
      </c>
      <c r="M2256" s="2">
        <v>1509</v>
      </c>
      <c r="N2256" t="s">
        <v>4556</v>
      </c>
      <c r="O2256">
        <v>4</v>
      </c>
      <c r="P2256">
        <v>2</v>
      </c>
      <c r="Q2256">
        <v>0</v>
      </c>
      <c r="R2256" t="s">
        <v>4557</v>
      </c>
      <c r="S2256" t="s">
        <v>4558</v>
      </c>
      <c r="T2256" t="s">
        <v>4559</v>
      </c>
      <c r="U2256" t="s">
        <v>4560</v>
      </c>
      <c r="V2256" s="2">
        <v>220</v>
      </c>
      <c r="W2256" t="s">
        <v>4655</v>
      </c>
      <c r="X2256" s="2">
        <v>0</v>
      </c>
      <c r="Y2256">
        <v>20</v>
      </c>
      <c r="Z2256" t="s">
        <v>5200</v>
      </c>
      <c r="AA2256" s="3">
        <v>0.15199723839759827</v>
      </c>
      <c r="AB2256" t="s">
        <v>14424</v>
      </c>
      <c r="AC2256" t="s">
        <v>4575</v>
      </c>
      <c r="AD2256" t="s">
        <v>14423</v>
      </c>
      <c r="AE2256" t="s">
        <v>4655</v>
      </c>
      <c r="AF2256" t="s">
        <v>5201</v>
      </c>
      <c r="AG2256" t="s">
        <v>4564</v>
      </c>
      <c r="AH2256" t="s">
        <v>5202</v>
      </c>
      <c r="AI2256" t="s">
        <v>4655</v>
      </c>
      <c r="AJ2256" t="s">
        <v>4655</v>
      </c>
      <c r="AK2256" t="s">
        <v>14425</v>
      </c>
      <c r="AL2256" s="13" t="s">
        <v>1886</v>
      </c>
      <c r="AM2256">
        <v>1</v>
      </c>
      <c r="AN2256" s="15" t="s">
        <v>4904</v>
      </c>
    </row>
    <row r="2257" spans="1:40" x14ac:dyDescent="0.3">
      <c r="A2257" s="10" t="str">
        <f>HYPERLINK("http://www.washoecounty.gov/assessor/cama/?parid=028-402-29&amp;CardNumber=1","028-402-29")</f>
        <v>028-402-29</v>
      </c>
      <c r="B2257" t="s">
        <v>4655</v>
      </c>
      <c r="C2257" t="s">
        <v>14426</v>
      </c>
      <c r="D2257" s="1">
        <v>40351</v>
      </c>
      <c r="E2257" s="2">
        <v>88000</v>
      </c>
      <c r="F2257" t="s">
        <v>4567</v>
      </c>
      <c r="G2257" s="17" t="str">
        <f>HYPERLINK("https://www.washoecounty.gov/assessor/cama/?command=sales&amp;parid=02840229","3894060")</f>
        <v>3894060</v>
      </c>
      <c r="H2257" t="s">
        <v>99</v>
      </c>
      <c r="I2257">
        <v>1963</v>
      </c>
      <c r="J2257">
        <v>1963</v>
      </c>
      <c r="K2257" t="s">
        <v>4554</v>
      </c>
      <c r="L2257" t="s">
        <v>4555</v>
      </c>
      <c r="M2257" s="2">
        <v>1044</v>
      </c>
      <c r="N2257" t="s">
        <v>4556</v>
      </c>
      <c r="O2257">
        <v>3</v>
      </c>
      <c r="P2257">
        <v>1</v>
      </c>
      <c r="Q2257">
        <v>0</v>
      </c>
      <c r="R2257" t="s">
        <v>4557</v>
      </c>
      <c r="S2257" t="s">
        <v>4558</v>
      </c>
      <c r="T2257" t="s">
        <v>4559</v>
      </c>
      <c r="U2257" t="s">
        <v>4560</v>
      </c>
      <c r="V2257" s="2">
        <v>300</v>
      </c>
      <c r="W2257" t="s">
        <v>4655</v>
      </c>
      <c r="X2257" s="2">
        <v>0</v>
      </c>
      <c r="Y2257">
        <v>20</v>
      </c>
      <c r="Z2257" t="s">
        <v>5200</v>
      </c>
      <c r="AA2257" s="3">
        <v>0.13799357414245605</v>
      </c>
      <c r="AB2257" t="s">
        <v>14427</v>
      </c>
      <c r="AC2257" t="s">
        <v>4562</v>
      </c>
      <c r="AD2257" t="s">
        <v>14428</v>
      </c>
      <c r="AE2257" t="s">
        <v>4655</v>
      </c>
      <c r="AF2257" t="s">
        <v>5201</v>
      </c>
      <c r="AG2257" t="s">
        <v>4564</v>
      </c>
      <c r="AH2257" t="s">
        <v>5202</v>
      </c>
      <c r="AI2257" t="s">
        <v>14429</v>
      </c>
      <c r="AJ2257" t="s">
        <v>4655</v>
      </c>
      <c r="AK2257" t="s">
        <v>14430</v>
      </c>
      <c r="AL2257" s="13" t="s">
        <v>1886</v>
      </c>
      <c r="AM2257" s="14">
        <v>1</v>
      </c>
      <c r="AN2257" s="15" t="s">
        <v>4904</v>
      </c>
    </row>
    <row r="2258" spans="1:40" x14ac:dyDescent="0.3">
      <c r="A2258" s="10" t="str">
        <f>HYPERLINK("http://www.washoecounty.gov/assessor/cama/?parid=028-403-18&amp;CardNumber=1","028-403-18")</f>
        <v>028-403-18</v>
      </c>
      <c r="B2258" t="s">
        <v>4655</v>
      </c>
      <c r="C2258" t="s">
        <v>14431</v>
      </c>
      <c r="D2258" s="1">
        <v>40466</v>
      </c>
      <c r="E2258" s="2">
        <v>135000</v>
      </c>
      <c r="F2258" t="s">
        <v>4553</v>
      </c>
      <c r="G2258" s="17" t="str">
        <f>HYPERLINK("https://www.washoecounty.gov/assessor/cama/?command=sales&amp;parid=02840318","3933795")</f>
        <v>3933795</v>
      </c>
      <c r="H2258" t="s">
        <v>216</v>
      </c>
      <c r="I2258">
        <v>1972</v>
      </c>
      <c r="J2258">
        <v>1972</v>
      </c>
      <c r="K2258" t="s">
        <v>4554</v>
      </c>
      <c r="L2258" t="s">
        <v>2170</v>
      </c>
      <c r="M2258" s="2">
        <v>1374</v>
      </c>
      <c r="N2258" t="s">
        <v>4556</v>
      </c>
      <c r="O2258">
        <v>3</v>
      </c>
      <c r="P2258">
        <v>1</v>
      </c>
      <c r="Q2258">
        <v>0</v>
      </c>
      <c r="R2258" t="s">
        <v>5281</v>
      </c>
      <c r="S2258" t="s">
        <v>4558</v>
      </c>
      <c r="T2258" t="s">
        <v>4559</v>
      </c>
      <c r="U2258" t="s">
        <v>4560</v>
      </c>
      <c r="V2258" s="2">
        <v>286</v>
      </c>
      <c r="W2258" t="s">
        <v>4655</v>
      </c>
      <c r="X2258" s="2">
        <v>0</v>
      </c>
      <c r="Y2258">
        <v>20</v>
      </c>
      <c r="Z2258" t="s">
        <v>5200</v>
      </c>
      <c r="AA2258" s="3">
        <v>0.13999082148075101</v>
      </c>
      <c r="AB2258" t="s">
        <v>14432</v>
      </c>
      <c r="AC2258" t="s">
        <v>4562</v>
      </c>
      <c r="AD2258" t="s">
        <v>14433</v>
      </c>
      <c r="AE2258" t="s">
        <v>4655</v>
      </c>
      <c r="AF2258" t="s">
        <v>4809</v>
      </c>
      <c r="AG2258" t="s">
        <v>4564</v>
      </c>
      <c r="AH2258" t="s">
        <v>5202</v>
      </c>
      <c r="AI2258" t="s">
        <v>14434</v>
      </c>
      <c r="AJ2258" t="s">
        <v>4655</v>
      </c>
      <c r="AK2258" t="s">
        <v>14435</v>
      </c>
      <c r="AL2258" s="13" t="s">
        <v>1886</v>
      </c>
      <c r="AM2258">
        <v>1</v>
      </c>
      <c r="AN2258" s="15" t="s">
        <v>4904</v>
      </c>
    </row>
    <row r="2259" spans="1:40" x14ac:dyDescent="0.3">
      <c r="A2259" s="10" t="str">
        <f>HYPERLINK("http://www.washoecounty.gov/assessor/cama/?parid=028-404-14&amp;CardNumber=1","028-404-14")</f>
        <v>028-404-14</v>
      </c>
      <c r="B2259" t="s">
        <v>4655</v>
      </c>
      <c r="C2259" t="s">
        <v>14436</v>
      </c>
      <c r="D2259" s="1">
        <v>40333</v>
      </c>
      <c r="E2259" s="2">
        <v>110500</v>
      </c>
      <c r="F2259" t="s">
        <v>4553</v>
      </c>
      <c r="G2259" s="17" t="str">
        <f>HYPERLINK("https://www.washoecounty.gov/assessor/cama/?command=sales&amp;parid=02840414","3888479")</f>
        <v>3888479</v>
      </c>
      <c r="H2259" t="s">
        <v>216</v>
      </c>
      <c r="I2259">
        <v>1972</v>
      </c>
      <c r="J2259">
        <v>1972</v>
      </c>
      <c r="K2259" t="s">
        <v>4554</v>
      </c>
      <c r="L2259" t="s">
        <v>3974</v>
      </c>
      <c r="M2259" s="2">
        <v>1344</v>
      </c>
      <c r="N2259" t="s">
        <v>4556</v>
      </c>
      <c r="O2259">
        <v>4</v>
      </c>
      <c r="P2259">
        <v>2</v>
      </c>
      <c r="Q2259">
        <v>0</v>
      </c>
      <c r="R2259" t="s">
        <v>4557</v>
      </c>
      <c r="S2259" t="s">
        <v>4558</v>
      </c>
      <c r="T2259" t="s">
        <v>4559</v>
      </c>
      <c r="U2259" t="s">
        <v>4560</v>
      </c>
      <c r="V2259" s="2">
        <v>288</v>
      </c>
      <c r="W2259" t="s">
        <v>4655</v>
      </c>
      <c r="X2259" s="2">
        <v>0</v>
      </c>
      <c r="Y2259">
        <v>20</v>
      </c>
      <c r="Z2259" t="s">
        <v>5200</v>
      </c>
      <c r="AA2259" s="3">
        <v>0.14201101660728499</v>
      </c>
      <c r="AB2259" t="s">
        <v>14437</v>
      </c>
      <c r="AC2259" t="s">
        <v>4562</v>
      </c>
      <c r="AD2259" t="s">
        <v>14438</v>
      </c>
      <c r="AE2259" t="s">
        <v>4655</v>
      </c>
      <c r="AF2259" t="s">
        <v>5201</v>
      </c>
      <c r="AG2259" t="s">
        <v>4564</v>
      </c>
      <c r="AH2259" t="s">
        <v>5202</v>
      </c>
      <c r="AI2259" t="s">
        <v>4848</v>
      </c>
      <c r="AJ2259" t="s">
        <v>4655</v>
      </c>
      <c r="AK2259" t="s">
        <v>14439</v>
      </c>
      <c r="AL2259" s="13" t="s">
        <v>1886</v>
      </c>
      <c r="AM2259">
        <v>1</v>
      </c>
      <c r="AN2259" s="15" t="s">
        <v>4904</v>
      </c>
    </row>
    <row r="2260" spans="1:40" x14ac:dyDescent="0.3">
      <c r="A2260" s="10" t="str">
        <f>HYPERLINK("http://www.washoecounty.gov/assessor/cama/?parid=028-404-21&amp;CardNumber=1","028-404-21")</f>
        <v>028-404-21</v>
      </c>
      <c r="B2260" t="s">
        <v>4655</v>
      </c>
      <c r="C2260" t="s">
        <v>14440</v>
      </c>
      <c r="D2260" s="1">
        <v>40360</v>
      </c>
      <c r="E2260" s="2">
        <v>110000</v>
      </c>
      <c r="F2260" t="s">
        <v>4567</v>
      </c>
      <c r="G2260" s="17" t="str">
        <f>HYPERLINK("https://www.washoecounty.gov/assessor/cama/?command=sales&amp;parid=02840421","3897624")</f>
        <v>3897624</v>
      </c>
      <c r="H2260" t="s">
        <v>216</v>
      </c>
      <c r="I2260">
        <v>1972</v>
      </c>
      <c r="J2260">
        <v>1972</v>
      </c>
      <c r="K2260" t="s">
        <v>4554</v>
      </c>
      <c r="L2260" t="s">
        <v>3974</v>
      </c>
      <c r="M2260" s="2">
        <v>1396</v>
      </c>
      <c r="N2260" t="s">
        <v>4556</v>
      </c>
      <c r="O2260">
        <v>3</v>
      </c>
      <c r="P2260">
        <v>1</v>
      </c>
      <c r="Q2260">
        <v>0</v>
      </c>
      <c r="R2260" t="s">
        <v>4557</v>
      </c>
      <c r="S2260" t="s">
        <v>4558</v>
      </c>
      <c r="T2260" t="s">
        <v>4559</v>
      </c>
      <c r="U2260" t="s">
        <v>5631</v>
      </c>
      <c r="V2260" s="2">
        <v>506</v>
      </c>
      <c r="W2260" t="s">
        <v>4655</v>
      </c>
      <c r="X2260" s="2">
        <v>0</v>
      </c>
      <c r="Y2260">
        <v>20</v>
      </c>
      <c r="Z2260" t="s">
        <v>5200</v>
      </c>
      <c r="AA2260" s="3">
        <v>0.17398989200591999</v>
      </c>
      <c r="AB2260" t="s">
        <v>14441</v>
      </c>
      <c r="AC2260" t="s">
        <v>4562</v>
      </c>
      <c r="AD2260" t="s">
        <v>14442</v>
      </c>
      <c r="AE2260" t="s">
        <v>4655</v>
      </c>
      <c r="AF2260" t="s">
        <v>5201</v>
      </c>
      <c r="AG2260" t="s">
        <v>4564</v>
      </c>
      <c r="AH2260" t="s">
        <v>5202</v>
      </c>
      <c r="AI2260" t="s">
        <v>14443</v>
      </c>
      <c r="AJ2260" t="s">
        <v>4655</v>
      </c>
      <c r="AK2260" t="s">
        <v>14444</v>
      </c>
      <c r="AL2260" s="13" t="s">
        <v>1886</v>
      </c>
      <c r="AM2260">
        <v>1</v>
      </c>
      <c r="AN2260" s="15" t="s">
        <v>4904</v>
      </c>
    </row>
    <row r="2261" spans="1:40" x14ac:dyDescent="0.3">
      <c r="A2261" s="10" t="str">
        <f>HYPERLINK("http://www.washoecounty.gov/assessor/cama/?parid=028-404-29&amp;CardNumber=1","028-404-29")</f>
        <v>028-404-29</v>
      </c>
      <c r="B2261" t="s">
        <v>4655</v>
      </c>
      <c r="C2261" t="s">
        <v>14445</v>
      </c>
      <c r="D2261" s="1">
        <v>40428</v>
      </c>
      <c r="E2261" s="2">
        <v>119496</v>
      </c>
      <c r="F2261" t="s">
        <v>4567</v>
      </c>
      <c r="G2261" s="17" t="str">
        <f>HYPERLINK("https://www.washoecounty.gov/assessor/cama/?command=sales&amp;parid=02840429","3919414")</f>
        <v>3919414</v>
      </c>
      <c r="H2261" t="s">
        <v>14446</v>
      </c>
      <c r="I2261">
        <v>1972</v>
      </c>
      <c r="J2261">
        <v>1972</v>
      </c>
      <c r="K2261" t="s">
        <v>4554</v>
      </c>
      <c r="L2261" t="s">
        <v>3886</v>
      </c>
      <c r="M2261" s="2">
        <v>1400</v>
      </c>
      <c r="N2261" t="s">
        <v>4556</v>
      </c>
      <c r="O2261">
        <v>4</v>
      </c>
      <c r="P2261">
        <v>2</v>
      </c>
      <c r="Q2261">
        <v>0</v>
      </c>
      <c r="R2261" t="s">
        <v>4557</v>
      </c>
      <c r="S2261" t="s">
        <v>4558</v>
      </c>
      <c r="T2261" t="s">
        <v>4559</v>
      </c>
      <c r="U2261" t="s">
        <v>4560</v>
      </c>
      <c r="V2261" s="2">
        <v>338</v>
      </c>
      <c r="W2261" t="s">
        <v>4655</v>
      </c>
      <c r="X2261" s="2">
        <v>0</v>
      </c>
      <c r="Y2261">
        <v>20</v>
      </c>
      <c r="Z2261" t="s">
        <v>5200</v>
      </c>
      <c r="AA2261" s="3">
        <v>0.14201101660728499</v>
      </c>
      <c r="AB2261" t="s">
        <v>14447</v>
      </c>
      <c r="AC2261" t="s">
        <v>4562</v>
      </c>
      <c r="AD2261" t="s">
        <v>14445</v>
      </c>
      <c r="AE2261" t="s">
        <v>4655</v>
      </c>
      <c r="AF2261" t="s">
        <v>5201</v>
      </c>
      <c r="AG2261" t="s">
        <v>4564</v>
      </c>
      <c r="AH2261" t="s">
        <v>3898</v>
      </c>
      <c r="AI2261" t="s">
        <v>14448</v>
      </c>
      <c r="AJ2261" t="s">
        <v>4655</v>
      </c>
      <c r="AK2261" t="s">
        <v>14449</v>
      </c>
      <c r="AL2261" s="13" t="s">
        <v>1886</v>
      </c>
      <c r="AM2261">
        <v>1</v>
      </c>
      <c r="AN2261" s="15" t="s">
        <v>4904</v>
      </c>
    </row>
    <row r="2262" spans="1:40" x14ac:dyDescent="0.3">
      <c r="A2262" s="10" t="str">
        <f>HYPERLINK("http://www.washoecounty.gov/assessor/cama/?parid=028-404-29&amp;CardNumber=1","028-404-29")</f>
        <v>028-404-29</v>
      </c>
      <c r="B2262" t="s">
        <v>4655</v>
      </c>
      <c r="C2262" t="s">
        <v>14445</v>
      </c>
      <c r="D2262" s="1">
        <v>40494</v>
      </c>
      <c r="E2262" s="2">
        <v>119496</v>
      </c>
      <c r="F2262" t="s">
        <v>4567</v>
      </c>
      <c r="G2262" s="17" t="str">
        <f>HYPERLINK("https://www.washoecounty.gov/assessor/cama/?command=sales&amp;parid=02840429","3942596")</f>
        <v>3942596</v>
      </c>
      <c r="H2262" t="s">
        <v>14446</v>
      </c>
      <c r="I2262">
        <v>1972</v>
      </c>
      <c r="J2262">
        <v>1972</v>
      </c>
      <c r="K2262" t="s">
        <v>4554</v>
      </c>
      <c r="L2262" t="s">
        <v>3886</v>
      </c>
      <c r="M2262" s="2">
        <v>1400</v>
      </c>
      <c r="N2262" t="s">
        <v>4556</v>
      </c>
      <c r="O2262">
        <v>4</v>
      </c>
      <c r="P2262">
        <v>2</v>
      </c>
      <c r="Q2262">
        <v>0</v>
      </c>
      <c r="R2262" t="s">
        <v>4557</v>
      </c>
      <c r="S2262" t="s">
        <v>4558</v>
      </c>
      <c r="T2262" t="s">
        <v>4559</v>
      </c>
      <c r="U2262" t="s">
        <v>4560</v>
      </c>
      <c r="V2262" s="2">
        <v>338</v>
      </c>
      <c r="W2262" t="s">
        <v>4655</v>
      </c>
      <c r="X2262" s="2">
        <v>0</v>
      </c>
      <c r="Y2262">
        <v>20</v>
      </c>
      <c r="Z2262" t="s">
        <v>5200</v>
      </c>
      <c r="AA2262" s="3">
        <v>0.14201101660728499</v>
      </c>
      <c r="AB2262" t="s">
        <v>14447</v>
      </c>
      <c r="AC2262" t="s">
        <v>4562</v>
      </c>
      <c r="AD2262" t="s">
        <v>14445</v>
      </c>
      <c r="AE2262" t="s">
        <v>4655</v>
      </c>
      <c r="AF2262" t="s">
        <v>5201</v>
      </c>
      <c r="AG2262" t="s">
        <v>4564</v>
      </c>
      <c r="AH2262" t="s">
        <v>3898</v>
      </c>
      <c r="AI2262" t="s">
        <v>14448</v>
      </c>
      <c r="AJ2262" t="s">
        <v>4655</v>
      </c>
      <c r="AK2262" t="s">
        <v>14449</v>
      </c>
      <c r="AL2262" s="13" t="s">
        <v>1886</v>
      </c>
      <c r="AM2262">
        <v>1</v>
      </c>
      <c r="AN2262" s="15" t="s">
        <v>4904</v>
      </c>
    </row>
    <row r="2263" spans="1:40" x14ac:dyDescent="0.3">
      <c r="A2263" s="10" t="str">
        <f>HYPERLINK("http://www.washoecounty.gov/assessor/cama/?parid=028-404-31&amp;CardNumber=1","028-404-31")</f>
        <v>028-404-31</v>
      </c>
      <c r="B2263" t="s">
        <v>4655</v>
      </c>
      <c r="C2263" t="s">
        <v>14450</v>
      </c>
      <c r="D2263" s="1">
        <v>40410</v>
      </c>
      <c r="E2263" s="2">
        <v>138500</v>
      </c>
      <c r="F2263" t="s">
        <v>4553</v>
      </c>
      <c r="G2263" s="17" t="str">
        <f>HYPERLINK("https://www.washoecounty.gov/assessor/cama/?command=sales&amp;parid=02840431","3914386")</f>
        <v>3914386</v>
      </c>
      <c r="H2263" t="s">
        <v>216</v>
      </c>
      <c r="I2263">
        <v>1972</v>
      </c>
      <c r="J2263">
        <v>1972</v>
      </c>
      <c r="K2263" t="s">
        <v>4554</v>
      </c>
      <c r="L2263" t="s">
        <v>3886</v>
      </c>
      <c r="M2263" s="2">
        <v>1490</v>
      </c>
      <c r="N2263" t="s">
        <v>4556</v>
      </c>
      <c r="O2263">
        <v>5</v>
      </c>
      <c r="P2263">
        <v>3</v>
      </c>
      <c r="Q2263">
        <v>0</v>
      </c>
      <c r="R2263" t="s">
        <v>4557</v>
      </c>
      <c r="S2263" t="s">
        <v>4558</v>
      </c>
      <c r="T2263" t="s">
        <v>4559</v>
      </c>
      <c r="U2263" t="s">
        <v>4560</v>
      </c>
      <c r="V2263" s="2">
        <v>260</v>
      </c>
      <c r="W2263" t="s">
        <v>4655</v>
      </c>
      <c r="X2263" s="2">
        <v>0</v>
      </c>
      <c r="Y2263">
        <v>20</v>
      </c>
      <c r="Z2263" t="s">
        <v>5200</v>
      </c>
      <c r="AA2263" s="3">
        <v>0.21600091457366899</v>
      </c>
      <c r="AB2263" t="s">
        <v>14451</v>
      </c>
      <c r="AC2263" t="s">
        <v>4562</v>
      </c>
      <c r="AD2263" t="s">
        <v>14450</v>
      </c>
      <c r="AE2263" t="s">
        <v>4655</v>
      </c>
      <c r="AF2263" t="s">
        <v>5201</v>
      </c>
      <c r="AG2263" t="s">
        <v>4564</v>
      </c>
      <c r="AH2263" t="s">
        <v>5202</v>
      </c>
      <c r="AI2263" t="s">
        <v>5359</v>
      </c>
      <c r="AJ2263" t="s">
        <v>4655</v>
      </c>
      <c r="AK2263" t="s">
        <v>14452</v>
      </c>
      <c r="AL2263" s="13" t="s">
        <v>1886</v>
      </c>
      <c r="AM2263">
        <v>1</v>
      </c>
      <c r="AN2263" s="15" t="s">
        <v>4904</v>
      </c>
    </row>
    <row r="2264" spans="1:40" x14ac:dyDescent="0.3">
      <c r="A2264" s="10" t="str">
        <f>HYPERLINK("http://www.washoecounty.gov/assessor/cama/?parid=028-412-07&amp;CardNumber=1","028-412-07")</f>
        <v>028-412-07</v>
      </c>
      <c r="B2264" t="s">
        <v>4655</v>
      </c>
      <c r="C2264" t="s">
        <v>14453</v>
      </c>
      <c r="D2264" s="1">
        <v>40421</v>
      </c>
      <c r="E2264" s="2">
        <v>115000</v>
      </c>
      <c r="F2264" t="s">
        <v>4567</v>
      </c>
      <c r="G2264" s="17" t="str">
        <f>HYPERLINK("https://www.washoecounty.gov/assessor/cama/?command=sales&amp;parid=02841207","3917374")</f>
        <v>3917374</v>
      </c>
      <c r="H2264" t="s">
        <v>2141</v>
      </c>
      <c r="I2264">
        <v>1970</v>
      </c>
      <c r="J2264">
        <v>1970</v>
      </c>
      <c r="K2264" t="s">
        <v>4554</v>
      </c>
      <c r="L2264" t="s">
        <v>4555</v>
      </c>
      <c r="M2264" s="2">
        <v>1249</v>
      </c>
      <c r="N2264" t="s">
        <v>4048</v>
      </c>
      <c r="O2264">
        <v>3</v>
      </c>
      <c r="P2264">
        <v>2</v>
      </c>
      <c r="Q2264">
        <v>0</v>
      </c>
      <c r="R2264" t="s">
        <v>5281</v>
      </c>
      <c r="S2264" t="s">
        <v>4135</v>
      </c>
      <c r="T2264" t="s">
        <v>4559</v>
      </c>
      <c r="U2264" t="s">
        <v>4560</v>
      </c>
      <c r="V2264" s="2">
        <v>400</v>
      </c>
      <c r="W2264" t="s">
        <v>4655</v>
      </c>
      <c r="X2264" s="2">
        <v>0</v>
      </c>
      <c r="Y2264">
        <v>20</v>
      </c>
      <c r="Z2264" t="s">
        <v>5200</v>
      </c>
      <c r="AA2264" s="3">
        <v>0.14201101660728499</v>
      </c>
      <c r="AB2264" t="s">
        <v>14454</v>
      </c>
      <c r="AC2264" t="s">
        <v>4575</v>
      </c>
      <c r="AD2264" t="s">
        <v>14453</v>
      </c>
      <c r="AE2264" t="s">
        <v>4655</v>
      </c>
      <c r="AF2264" t="s">
        <v>5201</v>
      </c>
      <c r="AG2264" t="s">
        <v>4564</v>
      </c>
      <c r="AH2264" t="s">
        <v>5202</v>
      </c>
      <c r="AI2264" t="s">
        <v>4655</v>
      </c>
      <c r="AJ2264" t="s">
        <v>4655</v>
      </c>
      <c r="AK2264" t="s">
        <v>14455</v>
      </c>
      <c r="AL2264" s="13" t="s">
        <v>1886</v>
      </c>
      <c r="AM2264" s="14">
        <v>1</v>
      </c>
      <c r="AN2264" s="15" t="s">
        <v>1445</v>
      </c>
    </row>
    <row r="2265" spans="1:40" x14ac:dyDescent="0.3">
      <c r="A2265" s="10" t="str">
        <f>HYPERLINK("http://www.washoecounty.gov/assessor/cama/?parid=028-413-09&amp;CardNumber=1","028-413-09")</f>
        <v>028-413-09</v>
      </c>
      <c r="B2265" t="s">
        <v>4655</v>
      </c>
      <c r="C2265" t="s">
        <v>14456</v>
      </c>
      <c r="D2265" s="1">
        <v>40533</v>
      </c>
      <c r="E2265" s="2">
        <v>92500</v>
      </c>
      <c r="F2265" t="s">
        <v>4553</v>
      </c>
      <c r="G2265" s="17" t="str">
        <f>HYPERLINK("https://www.washoecounty.gov/assessor/cama/?command=sales&amp;parid=02841309","3955961")</f>
        <v>3955961</v>
      </c>
      <c r="H2265" t="s">
        <v>2141</v>
      </c>
      <c r="I2265">
        <v>1970</v>
      </c>
      <c r="J2265">
        <v>1970</v>
      </c>
      <c r="K2265" t="s">
        <v>4554</v>
      </c>
      <c r="L2265" t="s">
        <v>4555</v>
      </c>
      <c r="M2265" s="2">
        <v>1362</v>
      </c>
      <c r="N2265" t="s">
        <v>4048</v>
      </c>
      <c r="O2265">
        <v>3</v>
      </c>
      <c r="P2265">
        <v>2</v>
      </c>
      <c r="Q2265">
        <v>0</v>
      </c>
      <c r="R2265" t="s">
        <v>5281</v>
      </c>
      <c r="S2265" t="s">
        <v>4558</v>
      </c>
      <c r="T2265" t="s">
        <v>4559</v>
      </c>
      <c r="U2265" t="s">
        <v>4560</v>
      </c>
      <c r="V2265" s="2">
        <v>460</v>
      </c>
      <c r="W2265" t="s">
        <v>4655</v>
      </c>
      <c r="X2265" s="2">
        <v>0</v>
      </c>
      <c r="Y2265">
        <v>20</v>
      </c>
      <c r="Z2265" t="s">
        <v>5200</v>
      </c>
      <c r="AA2265" s="3">
        <v>0.151010096073151</v>
      </c>
      <c r="AB2265" t="s">
        <v>14457</v>
      </c>
      <c r="AC2265" t="s">
        <v>4562</v>
      </c>
      <c r="AD2265" t="s">
        <v>14456</v>
      </c>
      <c r="AE2265" t="s">
        <v>4655</v>
      </c>
      <c r="AF2265" t="s">
        <v>5201</v>
      </c>
      <c r="AG2265" t="s">
        <v>4564</v>
      </c>
      <c r="AH2265" t="s">
        <v>5202</v>
      </c>
      <c r="AI2265" t="s">
        <v>1149</v>
      </c>
      <c r="AJ2265" t="s">
        <v>4655</v>
      </c>
      <c r="AK2265" t="s">
        <v>14458</v>
      </c>
      <c r="AL2265" s="13" t="s">
        <v>1886</v>
      </c>
      <c r="AM2265">
        <v>1</v>
      </c>
      <c r="AN2265" s="15" t="s">
        <v>1445</v>
      </c>
    </row>
    <row r="2266" spans="1:40" x14ac:dyDescent="0.3">
      <c r="A2266" s="10" t="str">
        <f>HYPERLINK("http://www.washoecounty.gov/assessor/cama/?parid=028-414-01&amp;CardNumber=1","028-414-01")</f>
        <v>028-414-01</v>
      </c>
      <c r="B2266" t="s">
        <v>4655</v>
      </c>
      <c r="C2266" t="s">
        <v>14459</v>
      </c>
      <c r="D2266" s="1">
        <v>40416</v>
      </c>
      <c r="E2266" s="2">
        <v>109000</v>
      </c>
      <c r="F2266" t="s">
        <v>4567</v>
      </c>
      <c r="G2266" s="17" t="str">
        <f>HYPERLINK("https://www.washoecounty.gov/assessor/cama/?command=sales&amp;parid=02841401","3916040")</f>
        <v>3916040</v>
      </c>
      <c r="H2266" t="s">
        <v>2141</v>
      </c>
      <c r="I2266">
        <v>1970</v>
      </c>
      <c r="J2266">
        <v>1970</v>
      </c>
      <c r="K2266" t="s">
        <v>4554</v>
      </c>
      <c r="L2266" t="s">
        <v>4555</v>
      </c>
      <c r="M2266" s="2">
        <v>1684</v>
      </c>
      <c r="N2266" t="s">
        <v>4048</v>
      </c>
      <c r="O2266">
        <v>4</v>
      </c>
      <c r="P2266">
        <v>2</v>
      </c>
      <c r="Q2266">
        <v>0</v>
      </c>
      <c r="R2266" t="s">
        <v>4557</v>
      </c>
      <c r="S2266" t="s">
        <v>4135</v>
      </c>
      <c r="T2266" t="s">
        <v>4559</v>
      </c>
      <c r="U2266" t="s">
        <v>4560</v>
      </c>
      <c r="V2266" s="2">
        <v>400</v>
      </c>
      <c r="W2266" t="s">
        <v>4655</v>
      </c>
      <c r="X2266" s="2">
        <v>0</v>
      </c>
      <c r="Y2266">
        <v>20</v>
      </c>
      <c r="Z2266" t="s">
        <v>5200</v>
      </c>
      <c r="AA2266" s="3">
        <v>0.176010102033615</v>
      </c>
      <c r="AB2266" t="s">
        <v>14460</v>
      </c>
      <c r="AC2266" t="s">
        <v>4562</v>
      </c>
      <c r="AD2266" t="s">
        <v>14461</v>
      </c>
      <c r="AE2266" t="s">
        <v>4655</v>
      </c>
      <c r="AF2266" t="s">
        <v>4563</v>
      </c>
      <c r="AG2266" t="s">
        <v>4564</v>
      </c>
      <c r="AH2266">
        <v>89511</v>
      </c>
      <c r="AI2266" t="s">
        <v>14462</v>
      </c>
      <c r="AJ2266" t="s">
        <v>4655</v>
      </c>
      <c r="AK2266" t="s">
        <v>14463</v>
      </c>
      <c r="AL2266" s="13" t="s">
        <v>1886</v>
      </c>
      <c r="AM2266">
        <v>1</v>
      </c>
      <c r="AN2266" s="15" t="s">
        <v>1445</v>
      </c>
    </row>
    <row r="2267" spans="1:40" x14ac:dyDescent="0.3">
      <c r="A2267" s="10" t="str">
        <f>HYPERLINK("http://www.washoecounty.gov/assessor/cama/?parid=028-414-03&amp;CardNumber=1","028-414-03")</f>
        <v>028-414-03</v>
      </c>
      <c r="B2267" t="s">
        <v>4655</v>
      </c>
      <c r="C2267" t="s">
        <v>14464</v>
      </c>
      <c r="D2267" s="1">
        <v>40471</v>
      </c>
      <c r="E2267" s="2">
        <v>140000</v>
      </c>
      <c r="F2267" t="s">
        <v>4567</v>
      </c>
      <c r="G2267" s="17" t="str">
        <f>HYPERLINK("https://www.washoecounty.gov/assessor/cama/?command=sales&amp;parid=02841403","3934830")</f>
        <v>3934830</v>
      </c>
      <c r="H2267" t="s">
        <v>2141</v>
      </c>
      <c r="I2267">
        <v>1970</v>
      </c>
      <c r="J2267">
        <v>1970</v>
      </c>
      <c r="K2267" t="s">
        <v>4554</v>
      </c>
      <c r="L2267" t="s">
        <v>3974</v>
      </c>
      <c r="M2267" s="2">
        <v>1994</v>
      </c>
      <c r="N2267" t="s">
        <v>4048</v>
      </c>
      <c r="O2267">
        <v>5</v>
      </c>
      <c r="P2267">
        <v>3</v>
      </c>
      <c r="Q2267">
        <v>0</v>
      </c>
      <c r="R2267" t="s">
        <v>4676</v>
      </c>
      <c r="S2267" t="s">
        <v>4558</v>
      </c>
      <c r="T2267" t="s">
        <v>4559</v>
      </c>
      <c r="U2267" t="s">
        <v>4560</v>
      </c>
      <c r="V2267" s="2">
        <v>447</v>
      </c>
      <c r="W2267" t="s">
        <v>4655</v>
      </c>
      <c r="X2267" s="2">
        <v>0</v>
      </c>
      <c r="Y2267">
        <v>20</v>
      </c>
      <c r="Z2267" t="s">
        <v>5200</v>
      </c>
      <c r="AA2267" s="3">
        <v>0.21999540925025901</v>
      </c>
      <c r="AB2267" t="s">
        <v>14465</v>
      </c>
      <c r="AC2267" t="s">
        <v>4562</v>
      </c>
      <c r="AD2267" t="s">
        <v>14466</v>
      </c>
      <c r="AE2267" t="s">
        <v>4655</v>
      </c>
      <c r="AF2267" t="s">
        <v>4809</v>
      </c>
      <c r="AG2267" t="s">
        <v>4564</v>
      </c>
      <c r="AH2267" t="s">
        <v>5202</v>
      </c>
      <c r="AI2267" t="s">
        <v>14467</v>
      </c>
      <c r="AJ2267" t="s">
        <v>4655</v>
      </c>
      <c r="AK2267" t="s">
        <v>14468</v>
      </c>
      <c r="AL2267" s="13" t="s">
        <v>1886</v>
      </c>
      <c r="AM2267" s="14">
        <v>1</v>
      </c>
      <c r="AN2267" s="15" t="s">
        <v>1445</v>
      </c>
    </row>
    <row r="2268" spans="1:40" x14ac:dyDescent="0.3">
      <c r="A2268" s="10" t="str">
        <f>HYPERLINK("http://www.washoecounty.gov/assessor/cama/?parid=028-432-18&amp;CardNumber=1","028-432-18")</f>
        <v>028-432-18</v>
      </c>
      <c r="B2268" t="s">
        <v>4655</v>
      </c>
      <c r="C2268" t="s">
        <v>14469</v>
      </c>
      <c r="D2268" s="1">
        <v>40289</v>
      </c>
      <c r="E2268" s="2">
        <v>145000</v>
      </c>
      <c r="F2268" t="s">
        <v>4567</v>
      </c>
      <c r="G2268" s="17" t="str">
        <f>HYPERLINK("https://www.washoecounty.gov/assessor/cama/?command=sales&amp;parid=02843218","3873397")</f>
        <v>3873397</v>
      </c>
      <c r="H2268" t="s">
        <v>2845</v>
      </c>
      <c r="I2268">
        <v>1976</v>
      </c>
      <c r="J2268">
        <v>1976</v>
      </c>
      <c r="K2268" t="s">
        <v>4554</v>
      </c>
      <c r="L2268" t="s">
        <v>3974</v>
      </c>
      <c r="M2268" s="2">
        <v>2128</v>
      </c>
      <c r="N2268" t="s">
        <v>4048</v>
      </c>
      <c r="O2268">
        <v>4</v>
      </c>
      <c r="P2268">
        <v>2</v>
      </c>
      <c r="Q2268">
        <v>1</v>
      </c>
      <c r="R2268" t="s">
        <v>4557</v>
      </c>
      <c r="S2268" t="s">
        <v>4135</v>
      </c>
      <c r="T2268" t="s">
        <v>4559</v>
      </c>
      <c r="U2268" t="s">
        <v>4560</v>
      </c>
      <c r="V2268" s="2">
        <v>484</v>
      </c>
      <c r="W2268" t="s">
        <v>4655</v>
      </c>
      <c r="X2268" s="2">
        <v>0</v>
      </c>
      <c r="Y2268">
        <v>20</v>
      </c>
      <c r="Z2268" t="s">
        <v>5200</v>
      </c>
      <c r="AA2268" s="3">
        <v>0.16499081254005399</v>
      </c>
      <c r="AB2268" t="s">
        <v>14470</v>
      </c>
      <c r="AC2268" t="s">
        <v>4562</v>
      </c>
      <c r="AD2268" t="s">
        <v>14469</v>
      </c>
      <c r="AE2268" t="s">
        <v>4655</v>
      </c>
      <c r="AF2268" t="s">
        <v>5201</v>
      </c>
      <c r="AG2268" t="s">
        <v>4564</v>
      </c>
      <c r="AH2268" t="s">
        <v>3898</v>
      </c>
      <c r="AI2268" t="s">
        <v>14471</v>
      </c>
      <c r="AJ2268" t="s">
        <v>4655</v>
      </c>
      <c r="AK2268" t="s">
        <v>14472</v>
      </c>
      <c r="AL2268" s="13" t="s">
        <v>3425</v>
      </c>
      <c r="AM2268">
        <v>1</v>
      </c>
      <c r="AN2268" s="15" t="s">
        <v>1445</v>
      </c>
    </row>
    <row r="2269" spans="1:40" x14ac:dyDescent="0.3">
      <c r="A2269" s="10" t="str">
        <f>HYPERLINK("http://www.washoecounty.gov/assessor/cama/?parid=028-432-25&amp;CardNumber=1","028-432-25")</f>
        <v>028-432-25</v>
      </c>
      <c r="B2269" t="s">
        <v>4655</v>
      </c>
      <c r="C2269" t="s">
        <v>14473</v>
      </c>
      <c r="D2269" s="1">
        <v>40326</v>
      </c>
      <c r="E2269" s="2">
        <v>136000</v>
      </c>
      <c r="F2269" t="s">
        <v>4567</v>
      </c>
      <c r="G2269" s="17" t="str">
        <f>HYPERLINK("https://www.washoecounty.gov/assessor/cama/?command=sales&amp;parid=02843225","3886426")</f>
        <v>3886426</v>
      </c>
      <c r="H2269" t="s">
        <v>3975</v>
      </c>
      <c r="I2269">
        <v>1975</v>
      </c>
      <c r="J2269">
        <v>1975</v>
      </c>
      <c r="K2269" t="s">
        <v>4554</v>
      </c>
      <c r="L2269" t="s">
        <v>4555</v>
      </c>
      <c r="M2269" s="2">
        <v>1256</v>
      </c>
      <c r="N2269" t="s">
        <v>4048</v>
      </c>
      <c r="O2269">
        <v>3</v>
      </c>
      <c r="P2269">
        <v>2</v>
      </c>
      <c r="Q2269">
        <v>0</v>
      </c>
      <c r="R2269" t="s">
        <v>4557</v>
      </c>
      <c r="S2269" t="s">
        <v>4558</v>
      </c>
      <c r="T2269" t="s">
        <v>4559</v>
      </c>
      <c r="U2269" t="s">
        <v>4560</v>
      </c>
      <c r="V2269" s="2">
        <v>462</v>
      </c>
      <c r="W2269" t="s">
        <v>4655</v>
      </c>
      <c r="X2269" s="2">
        <v>0</v>
      </c>
      <c r="Y2269">
        <v>20</v>
      </c>
      <c r="Z2269" t="s">
        <v>5200</v>
      </c>
      <c r="AA2269" s="3">
        <v>0.16099633276462599</v>
      </c>
      <c r="AB2269" t="s">
        <v>14474</v>
      </c>
      <c r="AC2269" t="s">
        <v>4575</v>
      </c>
      <c r="AD2269" t="s">
        <v>14473</v>
      </c>
      <c r="AE2269" t="s">
        <v>4655</v>
      </c>
      <c r="AF2269" t="s">
        <v>5201</v>
      </c>
      <c r="AG2269" t="s">
        <v>4564</v>
      </c>
      <c r="AH2269" t="s">
        <v>5202</v>
      </c>
      <c r="AI2269" t="s">
        <v>14475</v>
      </c>
      <c r="AJ2269" t="s">
        <v>4655</v>
      </c>
      <c r="AK2269" t="s">
        <v>14476</v>
      </c>
      <c r="AL2269" s="13" t="s">
        <v>3425</v>
      </c>
      <c r="AM2269">
        <v>1</v>
      </c>
      <c r="AN2269" s="15" t="s">
        <v>1445</v>
      </c>
    </row>
    <row r="2270" spans="1:40" x14ac:dyDescent="0.3">
      <c r="A2270" s="10" t="str">
        <f>HYPERLINK("http://www.washoecounty.gov/assessor/cama/?parid=028-441-09&amp;CardNumber=1","028-441-09")</f>
        <v>028-441-09</v>
      </c>
      <c r="B2270" t="s">
        <v>4655</v>
      </c>
      <c r="C2270" t="s">
        <v>14477</v>
      </c>
      <c r="D2270" s="1">
        <v>40466</v>
      </c>
      <c r="E2270" s="2">
        <v>120000</v>
      </c>
      <c r="F2270" t="s">
        <v>4553</v>
      </c>
      <c r="G2270" s="17" t="str">
        <f>HYPERLINK("https://www.washoecounty.gov/assessor/cama/?command=sales&amp;parid=02844109","3933634")</f>
        <v>3933634</v>
      </c>
      <c r="H2270" t="s">
        <v>3537</v>
      </c>
      <c r="I2270">
        <v>1976</v>
      </c>
      <c r="J2270">
        <v>1976</v>
      </c>
      <c r="K2270" t="s">
        <v>4554</v>
      </c>
      <c r="L2270" t="s">
        <v>4555</v>
      </c>
      <c r="M2270" s="2">
        <v>1256</v>
      </c>
      <c r="N2270" t="s">
        <v>4048</v>
      </c>
      <c r="O2270">
        <v>3</v>
      </c>
      <c r="P2270">
        <v>2</v>
      </c>
      <c r="Q2270">
        <v>0</v>
      </c>
      <c r="R2270" t="s">
        <v>4557</v>
      </c>
      <c r="S2270" t="s">
        <v>4558</v>
      </c>
      <c r="T2270" t="s">
        <v>4559</v>
      </c>
      <c r="U2270" t="s">
        <v>4560</v>
      </c>
      <c r="V2270" s="2">
        <v>462</v>
      </c>
      <c r="W2270" t="s">
        <v>4655</v>
      </c>
      <c r="X2270" s="2">
        <v>0</v>
      </c>
      <c r="Y2270">
        <v>20</v>
      </c>
      <c r="Z2270" t="s">
        <v>5200</v>
      </c>
      <c r="AA2270" s="3">
        <v>0.151010096073151</v>
      </c>
      <c r="AB2270" t="s">
        <v>14478</v>
      </c>
      <c r="AC2270" t="s">
        <v>4562</v>
      </c>
      <c r="AD2270" t="s">
        <v>14479</v>
      </c>
      <c r="AE2270" t="s">
        <v>4655</v>
      </c>
      <c r="AF2270" t="s">
        <v>4809</v>
      </c>
      <c r="AG2270" t="s">
        <v>4564</v>
      </c>
      <c r="AH2270" t="s">
        <v>5202</v>
      </c>
      <c r="AI2270" t="s">
        <v>4903</v>
      </c>
      <c r="AJ2270" t="s">
        <v>4655</v>
      </c>
      <c r="AK2270" t="s">
        <v>14480</v>
      </c>
      <c r="AL2270" s="13" t="s">
        <v>1886</v>
      </c>
      <c r="AM2270">
        <v>1</v>
      </c>
      <c r="AN2270" s="15" t="s">
        <v>1445</v>
      </c>
    </row>
    <row r="2271" spans="1:40" x14ac:dyDescent="0.3">
      <c r="A2271" s="10" t="str">
        <f>HYPERLINK("http://www.washoecounty.gov/assessor/cama/?parid=028-442-20&amp;CardNumber=1","028-442-20")</f>
        <v>028-442-20</v>
      </c>
      <c r="B2271" t="s">
        <v>4655</v>
      </c>
      <c r="C2271" t="s">
        <v>14481</v>
      </c>
      <c r="D2271" s="1">
        <v>40263</v>
      </c>
      <c r="E2271" s="2">
        <v>143000</v>
      </c>
      <c r="F2271" t="s">
        <v>4567</v>
      </c>
      <c r="G2271" s="17" t="str">
        <f>HYPERLINK("https://www.washoecounty.gov/assessor/cama/?command=sales&amp;parid=02844220","3864554")</f>
        <v>3864554</v>
      </c>
      <c r="H2271" t="s">
        <v>3537</v>
      </c>
      <c r="I2271">
        <v>1976</v>
      </c>
      <c r="J2271">
        <v>1976</v>
      </c>
      <c r="K2271" t="s">
        <v>4554</v>
      </c>
      <c r="L2271" t="s">
        <v>4555</v>
      </c>
      <c r="M2271" s="2">
        <v>1414</v>
      </c>
      <c r="N2271" t="s">
        <v>4048</v>
      </c>
      <c r="O2271">
        <v>3</v>
      </c>
      <c r="P2271">
        <v>2</v>
      </c>
      <c r="Q2271">
        <v>0</v>
      </c>
      <c r="R2271" t="s">
        <v>4557</v>
      </c>
      <c r="S2271" t="s">
        <v>4558</v>
      </c>
      <c r="T2271" t="s">
        <v>4559</v>
      </c>
      <c r="U2271" t="s">
        <v>4560</v>
      </c>
      <c r="V2271" s="2">
        <v>462</v>
      </c>
      <c r="W2271" t="s">
        <v>4655</v>
      </c>
      <c r="X2271" s="2">
        <v>0</v>
      </c>
      <c r="Y2271">
        <v>20</v>
      </c>
      <c r="Z2271" t="s">
        <v>5200</v>
      </c>
      <c r="AA2271" s="3">
        <v>0.13799357414245605</v>
      </c>
      <c r="AB2271" t="s">
        <v>14482</v>
      </c>
      <c r="AC2271" t="s">
        <v>4562</v>
      </c>
      <c r="AD2271" t="s">
        <v>14481</v>
      </c>
      <c r="AE2271" t="s">
        <v>4655</v>
      </c>
      <c r="AF2271" t="s">
        <v>5201</v>
      </c>
      <c r="AG2271" t="s">
        <v>4564</v>
      </c>
      <c r="AH2271" t="s">
        <v>5202</v>
      </c>
      <c r="AI2271" t="s">
        <v>14483</v>
      </c>
      <c r="AJ2271" t="s">
        <v>4655</v>
      </c>
      <c r="AK2271" t="s">
        <v>14484</v>
      </c>
      <c r="AL2271" s="13" t="s">
        <v>1886</v>
      </c>
      <c r="AM2271">
        <v>1</v>
      </c>
      <c r="AN2271" s="15" t="s">
        <v>1445</v>
      </c>
    </row>
    <row r="2272" spans="1:40" x14ac:dyDescent="0.3">
      <c r="A2272" s="10" t="str">
        <f>HYPERLINK("http://www.washoecounty.gov/assessor/cama/?parid=028-443-13&amp;CardNumber=1","028-443-13")</f>
        <v>028-443-13</v>
      </c>
      <c r="B2272" t="s">
        <v>4655</v>
      </c>
      <c r="C2272" t="s">
        <v>14485</v>
      </c>
      <c r="D2272" s="1">
        <v>40378</v>
      </c>
      <c r="E2272" s="2">
        <v>150000</v>
      </c>
      <c r="F2272" t="s">
        <v>4553</v>
      </c>
      <c r="G2272" s="17" t="str">
        <f>HYPERLINK("https://www.washoecounty.gov/assessor/cama/?command=sales&amp;parid=02844313","3902743")</f>
        <v>3902743</v>
      </c>
      <c r="H2272" t="s">
        <v>452</v>
      </c>
      <c r="I2272">
        <v>1977</v>
      </c>
      <c r="J2272">
        <v>1977</v>
      </c>
      <c r="K2272" t="s">
        <v>4554</v>
      </c>
      <c r="L2272" t="s">
        <v>4555</v>
      </c>
      <c r="M2272" s="2">
        <v>1692</v>
      </c>
      <c r="N2272" t="s">
        <v>4048</v>
      </c>
      <c r="O2272">
        <v>3</v>
      </c>
      <c r="P2272">
        <v>2</v>
      </c>
      <c r="Q2272">
        <v>0</v>
      </c>
      <c r="R2272" t="s">
        <v>4557</v>
      </c>
      <c r="S2272" t="s">
        <v>4558</v>
      </c>
      <c r="T2272" t="s">
        <v>4559</v>
      </c>
      <c r="U2272" t="s">
        <v>4560</v>
      </c>
      <c r="V2272" s="2">
        <v>504</v>
      </c>
      <c r="W2272" t="s">
        <v>4655</v>
      </c>
      <c r="X2272" s="2">
        <v>0</v>
      </c>
      <c r="Y2272">
        <v>20</v>
      </c>
      <c r="Z2272" t="s">
        <v>5200</v>
      </c>
      <c r="AA2272" s="3">
        <v>0.24600550532341001</v>
      </c>
      <c r="AB2272" t="s">
        <v>14486</v>
      </c>
      <c r="AC2272" t="s">
        <v>4562</v>
      </c>
      <c r="AD2272" t="s">
        <v>14485</v>
      </c>
      <c r="AE2272" t="s">
        <v>4655</v>
      </c>
      <c r="AF2272" t="s">
        <v>5201</v>
      </c>
      <c r="AG2272" t="s">
        <v>4564</v>
      </c>
      <c r="AH2272" t="s">
        <v>5202</v>
      </c>
      <c r="AI2272" t="s">
        <v>2351</v>
      </c>
      <c r="AJ2272" t="s">
        <v>4655</v>
      </c>
      <c r="AK2272" t="s">
        <v>14487</v>
      </c>
      <c r="AL2272" s="13" t="s">
        <v>1886</v>
      </c>
      <c r="AM2272">
        <v>1</v>
      </c>
      <c r="AN2272" s="15" t="s">
        <v>1445</v>
      </c>
    </row>
    <row r="2273" spans="1:40" x14ac:dyDescent="0.3">
      <c r="A2273" s="10" t="str">
        <f>HYPERLINK("http://www.washoecounty.gov/assessor/cama/?parid=028-444-03&amp;CardNumber=1","028-444-03")</f>
        <v>028-444-03</v>
      </c>
      <c r="B2273" t="s">
        <v>4655</v>
      </c>
      <c r="C2273" t="s">
        <v>14488</v>
      </c>
      <c r="D2273" s="1">
        <v>40200</v>
      </c>
      <c r="E2273" s="2">
        <v>145000</v>
      </c>
      <c r="F2273" t="s">
        <v>4553</v>
      </c>
      <c r="G2273" s="17" t="str">
        <f>HYPERLINK("https://www.washoecounty.gov/assessor/cama/?command=sales&amp;parid=02844403","3842046")</f>
        <v>3842046</v>
      </c>
      <c r="H2273" t="s">
        <v>4413</v>
      </c>
      <c r="I2273">
        <v>1977</v>
      </c>
      <c r="J2273">
        <v>1977</v>
      </c>
      <c r="K2273" t="s">
        <v>4554</v>
      </c>
      <c r="L2273" t="s">
        <v>4555</v>
      </c>
      <c r="M2273" s="2">
        <v>1692</v>
      </c>
      <c r="N2273" t="s">
        <v>4048</v>
      </c>
      <c r="O2273">
        <v>3</v>
      </c>
      <c r="P2273">
        <v>2</v>
      </c>
      <c r="Q2273">
        <v>0</v>
      </c>
      <c r="R2273" t="s">
        <v>4557</v>
      </c>
      <c r="S2273" t="s">
        <v>4558</v>
      </c>
      <c r="T2273" t="s">
        <v>4559</v>
      </c>
      <c r="U2273" t="s">
        <v>4560</v>
      </c>
      <c r="V2273" s="2">
        <v>504</v>
      </c>
      <c r="W2273" t="s">
        <v>4655</v>
      </c>
      <c r="X2273" s="2">
        <v>0</v>
      </c>
      <c r="Y2273">
        <v>20</v>
      </c>
      <c r="Z2273" t="s">
        <v>5200</v>
      </c>
      <c r="AA2273" s="3">
        <v>0.14201101660728499</v>
      </c>
      <c r="AB2273" t="s">
        <v>14489</v>
      </c>
      <c r="AC2273" t="s">
        <v>4562</v>
      </c>
      <c r="AD2273" t="s">
        <v>14488</v>
      </c>
      <c r="AE2273" t="s">
        <v>4655</v>
      </c>
      <c r="AF2273" t="s">
        <v>5201</v>
      </c>
      <c r="AG2273" t="s">
        <v>4564</v>
      </c>
      <c r="AH2273" t="s">
        <v>5202</v>
      </c>
      <c r="AI2273" t="s">
        <v>4903</v>
      </c>
      <c r="AJ2273" t="s">
        <v>4655</v>
      </c>
      <c r="AK2273" t="s">
        <v>14490</v>
      </c>
      <c r="AL2273" s="13" t="s">
        <v>1886</v>
      </c>
      <c r="AM2273">
        <v>1</v>
      </c>
      <c r="AN2273" s="15" t="s">
        <v>1445</v>
      </c>
    </row>
    <row r="2274" spans="1:40" x14ac:dyDescent="0.3">
      <c r="A2274" s="10" t="str">
        <f>HYPERLINK("http://www.washoecounty.gov/assessor/cama/?parid=028-444-07&amp;CardNumber=1","028-444-07")</f>
        <v>028-444-07</v>
      </c>
      <c r="B2274" t="s">
        <v>4655</v>
      </c>
      <c r="C2274" t="s">
        <v>14491</v>
      </c>
      <c r="D2274" s="1">
        <v>40417</v>
      </c>
      <c r="E2274" s="2">
        <v>137000</v>
      </c>
      <c r="F2274" t="s">
        <v>4553</v>
      </c>
      <c r="G2274" s="17" t="str">
        <f>HYPERLINK("https://www.washoecounty.gov/assessor/cama/?command=sales&amp;parid=02844407","3916515")</f>
        <v>3916515</v>
      </c>
      <c r="H2274" t="s">
        <v>4413</v>
      </c>
      <c r="I2274">
        <v>1977</v>
      </c>
      <c r="J2274">
        <v>1978</v>
      </c>
      <c r="K2274" t="s">
        <v>4554</v>
      </c>
      <c r="L2274" t="s">
        <v>4555</v>
      </c>
      <c r="M2274" s="2">
        <v>1599</v>
      </c>
      <c r="N2274" t="s">
        <v>4048</v>
      </c>
      <c r="O2274">
        <v>3</v>
      </c>
      <c r="P2274">
        <v>2</v>
      </c>
      <c r="Q2274">
        <v>0</v>
      </c>
      <c r="R2274" t="s">
        <v>4557</v>
      </c>
      <c r="S2274" t="s">
        <v>4558</v>
      </c>
      <c r="T2274" t="s">
        <v>4143</v>
      </c>
      <c r="U2274" t="s">
        <v>4560</v>
      </c>
      <c r="V2274" s="2">
        <v>462</v>
      </c>
      <c r="W2274" t="s">
        <v>4655</v>
      </c>
      <c r="X2274" s="2">
        <v>0</v>
      </c>
      <c r="Y2274">
        <v>20</v>
      </c>
      <c r="Z2274" t="s">
        <v>5200</v>
      </c>
      <c r="AA2274" s="3">
        <v>0.17899449169635773</v>
      </c>
      <c r="AB2274" t="s">
        <v>14492</v>
      </c>
      <c r="AC2274" t="s">
        <v>4575</v>
      </c>
      <c r="AD2274" t="s">
        <v>14491</v>
      </c>
      <c r="AE2274" t="s">
        <v>4655</v>
      </c>
      <c r="AF2274" t="s">
        <v>5201</v>
      </c>
      <c r="AG2274" t="s">
        <v>4564</v>
      </c>
      <c r="AH2274" t="s">
        <v>5202</v>
      </c>
      <c r="AI2274" t="s">
        <v>4565</v>
      </c>
      <c r="AJ2274" t="s">
        <v>4655</v>
      </c>
      <c r="AK2274" t="s">
        <v>14493</v>
      </c>
      <c r="AL2274" s="13" t="s">
        <v>1886</v>
      </c>
      <c r="AM2274">
        <v>1</v>
      </c>
      <c r="AN2274" s="15" t="s">
        <v>1445</v>
      </c>
    </row>
    <row r="2275" spans="1:40" x14ac:dyDescent="0.3">
      <c r="A2275" s="10" t="str">
        <f>HYPERLINK("http://www.washoecounty.gov/assessor/cama/?parid=028-444-11&amp;CardNumber=1","028-444-11")</f>
        <v>028-444-11</v>
      </c>
      <c r="B2275" t="s">
        <v>4655</v>
      </c>
      <c r="C2275" t="s">
        <v>14494</v>
      </c>
      <c r="D2275" s="1">
        <v>40380</v>
      </c>
      <c r="E2275" s="2">
        <v>140000</v>
      </c>
      <c r="F2275" t="s">
        <v>4553</v>
      </c>
      <c r="G2275" s="17" t="str">
        <f>HYPERLINK("https://www.washoecounty.gov/assessor/cama/?command=sales&amp;parid=02844411","3903509")</f>
        <v>3903509</v>
      </c>
      <c r="H2275" t="s">
        <v>14495</v>
      </c>
      <c r="I2275">
        <v>1977</v>
      </c>
      <c r="J2275">
        <v>1977</v>
      </c>
      <c r="K2275" t="s">
        <v>4554</v>
      </c>
      <c r="L2275" t="s">
        <v>4555</v>
      </c>
      <c r="M2275" s="2">
        <v>1692</v>
      </c>
      <c r="N2275" t="s">
        <v>4048</v>
      </c>
      <c r="O2275">
        <v>3</v>
      </c>
      <c r="P2275">
        <v>2</v>
      </c>
      <c r="Q2275">
        <v>0</v>
      </c>
      <c r="R2275" t="s">
        <v>4557</v>
      </c>
      <c r="S2275" t="s">
        <v>4558</v>
      </c>
      <c r="T2275" t="s">
        <v>4559</v>
      </c>
      <c r="U2275" t="s">
        <v>4560</v>
      </c>
      <c r="V2275" s="2">
        <v>504</v>
      </c>
      <c r="W2275" t="s">
        <v>4655</v>
      </c>
      <c r="X2275" s="2">
        <v>0</v>
      </c>
      <c r="Y2275">
        <v>20</v>
      </c>
      <c r="Z2275" t="s">
        <v>5200</v>
      </c>
      <c r="AA2275" s="3">
        <v>0.14499540627002699</v>
      </c>
      <c r="AB2275" t="s">
        <v>14496</v>
      </c>
      <c r="AC2275" t="s">
        <v>4562</v>
      </c>
      <c r="AD2275" t="s">
        <v>14497</v>
      </c>
      <c r="AE2275" t="s">
        <v>4655</v>
      </c>
      <c r="AF2275" t="s">
        <v>5201</v>
      </c>
      <c r="AG2275" t="s">
        <v>4564</v>
      </c>
      <c r="AH2275" t="s">
        <v>1350</v>
      </c>
      <c r="AI2275" t="s">
        <v>2351</v>
      </c>
      <c r="AJ2275" t="s">
        <v>4655</v>
      </c>
      <c r="AK2275" t="s">
        <v>14498</v>
      </c>
      <c r="AL2275" s="13" t="s">
        <v>1886</v>
      </c>
      <c r="AM2275">
        <v>1</v>
      </c>
      <c r="AN2275" s="15" t="s">
        <v>1445</v>
      </c>
    </row>
    <row r="2276" spans="1:40" x14ac:dyDescent="0.3">
      <c r="A2276" s="10" t="str">
        <f>HYPERLINK("http://www.washoecounty.gov/assessor/cama/?parid=030-071-07&amp;CardNumber=1","030-071-07")</f>
        <v>030-071-07</v>
      </c>
      <c r="B2276" t="s">
        <v>4655</v>
      </c>
      <c r="C2276" t="s">
        <v>14499</v>
      </c>
      <c r="D2276" s="1">
        <v>40305</v>
      </c>
      <c r="E2276" s="2">
        <v>159900</v>
      </c>
      <c r="F2276" t="s">
        <v>4567</v>
      </c>
      <c r="G2276" s="17" t="str">
        <f>HYPERLINK("https://www.washoecounty.gov/assessor/cama/?command=sales&amp;parid=03007107","3879519")</f>
        <v>3879519</v>
      </c>
      <c r="H2276" t="s">
        <v>5380</v>
      </c>
      <c r="I2276">
        <v>1976</v>
      </c>
      <c r="J2276">
        <v>1976</v>
      </c>
      <c r="K2276" t="s">
        <v>4554</v>
      </c>
      <c r="L2276" t="s">
        <v>4555</v>
      </c>
      <c r="M2276" s="2">
        <v>1616</v>
      </c>
      <c r="N2276" t="s">
        <v>4048</v>
      </c>
      <c r="O2276">
        <v>3</v>
      </c>
      <c r="P2276">
        <v>2</v>
      </c>
      <c r="Q2276">
        <v>0</v>
      </c>
      <c r="R2276" t="s">
        <v>4557</v>
      </c>
      <c r="S2276" t="s">
        <v>4135</v>
      </c>
      <c r="T2276" t="s">
        <v>4559</v>
      </c>
      <c r="U2276" t="s">
        <v>4560</v>
      </c>
      <c r="V2276" s="2">
        <v>496</v>
      </c>
      <c r="W2276" t="s">
        <v>4655</v>
      </c>
      <c r="X2276" s="2">
        <v>0</v>
      </c>
      <c r="Y2276">
        <v>20</v>
      </c>
      <c r="Z2276" t="s">
        <v>5200</v>
      </c>
      <c r="AA2276" s="3">
        <v>0.19699265062808999</v>
      </c>
      <c r="AB2276" t="s">
        <v>14500</v>
      </c>
      <c r="AC2276" t="s">
        <v>4575</v>
      </c>
      <c r="AD2276" t="s">
        <v>14499</v>
      </c>
      <c r="AE2276" t="s">
        <v>4655</v>
      </c>
      <c r="AF2276" t="s">
        <v>5201</v>
      </c>
      <c r="AG2276" t="s">
        <v>4564</v>
      </c>
      <c r="AH2276" t="s">
        <v>3898</v>
      </c>
      <c r="AI2276" t="s">
        <v>4655</v>
      </c>
      <c r="AJ2276" t="s">
        <v>4655</v>
      </c>
      <c r="AK2276" t="s">
        <v>14501</v>
      </c>
      <c r="AL2276" s="13" t="s">
        <v>3425</v>
      </c>
      <c r="AM2276">
        <v>1</v>
      </c>
      <c r="AN2276" s="15" t="s">
        <v>5531</v>
      </c>
    </row>
    <row r="2277" spans="1:40" x14ac:dyDescent="0.3">
      <c r="A2277" s="10" t="str">
        <f>HYPERLINK("http://www.washoecounty.gov/assessor/cama/?parid=030-074-02&amp;CardNumber=1","030-074-02")</f>
        <v>030-074-02</v>
      </c>
      <c r="B2277" t="s">
        <v>4655</v>
      </c>
      <c r="C2277" t="s">
        <v>14502</v>
      </c>
      <c r="D2277" s="1">
        <v>40275</v>
      </c>
      <c r="E2277" s="2">
        <v>175000</v>
      </c>
      <c r="F2277" t="s">
        <v>4567</v>
      </c>
      <c r="G2277" s="17" t="str">
        <f>HYPERLINK("https://www.washoecounty.gov/assessor/cama/?command=sales&amp;parid=03007402","3868645")</f>
        <v>3868645</v>
      </c>
      <c r="H2277" t="s">
        <v>14503</v>
      </c>
      <c r="I2277">
        <v>1976</v>
      </c>
      <c r="J2277">
        <v>1976</v>
      </c>
      <c r="K2277" t="s">
        <v>4554</v>
      </c>
      <c r="L2277" t="s">
        <v>4555</v>
      </c>
      <c r="M2277" s="2">
        <v>1826</v>
      </c>
      <c r="N2277" t="s">
        <v>4048</v>
      </c>
      <c r="O2277">
        <v>4</v>
      </c>
      <c r="P2277">
        <v>2</v>
      </c>
      <c r="Q2277">
        <v>0</v>
      </c>
      <c r="R2277" t="s">
        <v>4557</v>
      </c>
      <c r="S2277" t="s">
        <v>4558</v>
      </c>
      <c r="T2277" t="s">
        <v>4559</v>
      </c>
      <c r="U2277" t="s">
        <v>4560</v>
      </c>
      <c r="V2277" s="2">
        <v>495</v>
      </c>
      <c r="W2277" t="s">
        <v>4655</v>
      </c>
      <c r="X2277" s="2">
        <v>0</v>
      </c>
      <c r="Y2277">
        <v>20</v>
      </c>
      <c r="Z2277" t="s">
        <v>5200</v>
      </c>
      <c r="AA2277" s="3">
        <v>0.167011022567749</v>
      </c>
      <c r="AB2277" t="s">
        <v>14504</v>
      </c>
      <c r="AC2277" t="s">
        <v>4562</v>
      </c>
      <c r="AD2277" t="s">
        <v>14505</v>
      </c>
      <c r="AE2277" t="s">
        <v>4655</v>
      </c>
      <c r="AF2277" t="s">
        <v>4457</v>
      </c>
      <c r="AG2277" t="s">
        <v>3677</v>
      </c>
      <c r="AH2277">
        <v>87501</v>
      </c>
      <c r="AI2277" t="s">
        <v>4655</v>
      </c>
      <c r="AJ2277" t="s">
        <v>4655</v>
      </c>
      <c r="AK2277" t="s">
        <v>14506</v>
      </c>
      <c r="AL2277" s="13" t="s">
        <v>3425</v>
      </c>
      <c r="AM2277" s="14">
        <v>1</v>
      </c>
      <c r="AN2277" s="15" t="s">
        <v>5531</v>
      </c>
    </row>
    <row r="2278" spans="1:40" x14ac:dyDescent="0.3">
      <c r="A2278" s="10" t="str">
        <f>HYPERLINK("http://www.washoecounty.gov/assessor/cama/?parid=030-081-15&amp;CardNumber=1","030-081-15")</f>
        <v>030-081-15</v>
      </c>
      <c r="B2278" t="s">
        <v>4655</v>
      </c>
      <c r="C2278" t="s">
        <v>14507</v>
      </c>
      <c r="D2278" s="1">
        <v>40319</v>
      </c>
      <c r="E2278" s="2">
        <v>152000</v>
      </c>
      <c r="F2278" t="s">
        <v>4567</v>
      </c>
      <c r="G2278" s="17" t="str">
        <f>HYPERLINK("https://www.washoecounty.gov/assessor/cama/?command=sales&amp;parid=03008115","3883968")</f>
        <v>3883968</v>
      </c>
      <c r="H2278" t="s">
        <v>5380</v>
      </c>
      <c r="I2278">
        <v>1976</v>
      </c>
      <c r="J2278">
        <v>1976</v>
      </c>
      <c r="K2278" t="s">
        <v>4554</v>
      </c>
      <c r="L2278" t="s">
        <v>4555</v>
      </c>
      <c r="M2278" s="2">
        <v>1364</v>
      </c>
      <c r="N2278" t="s">
        <v>4048</v>
      </c>
      <c r="O2278">
        <v>3</v>
      </c>
      <c r="P2278">
        <v>2</v>
      </c>
      <c r="Q2278">
        <v>0</v>
      </c>
      <c r="R2278" t="s">
        <v>5281</v>
      </c>
      <c r="S2278" t="s">
        <v>4558</v>
      </c>
      <c r="T2278" t="s">
        <v>4559</v>
      </c>
      <c r="U2278" t="s">
        <v>4560</v>
      </c>
      <c r="V2278" s="2">
        <v>430</v>
      </c>
      <c r="W2278" t="s">
        <v>4655</v>
      </c>
      <c r="X2278" s="2">
        <v>0</v>
      </c>
      <c r="Y2278">
        <v>20</v>
      </c>
      <c r="Z2278" t="s">
        <v>5200</v>
      </c>
      <c r="AA2278" s="3">
        <v>0.15199723839759827</v>
      </c>
      <c r="AB2278" t="s">
        <v>14508</v>
      </c>
      <c r="AC2278" t="s">
        <v>4562</v>
      </c>
      <c r="AD2278" t="s">
        <v>14507</v>
      </c>
      <c r="AE2278" t="s">
        <v>4655</v>
      </c>
      <c r="AF2278" t="s">
        <v>5201</v>
      </c>
      <c r="AG2278" t="s">
        <v>4564</v>
      </c>
      <c r="AH2278" t="s">
        <v>3898</v>
      </c>
      <c r="AI2278" t="s">
        <v>14509</v>
      </c>
      <c r="AJ2278" t="s">
        <v>4655</v>
      </c>
      <c r="AK2278" t="s">
        <v>14510</v>
      </c>
      <c r="AL2278" s="13" t="s">
        <v>3425</v>
      </c>
      <c r="AM2278" s="14">
        <v>1</v>
      </c>
      <c r="AN2278" s="15" t="s">
        <v>5531</v>
      </c>
    </row>
    <row r="2279" spans="1:40" x14ac:dyDescent="0.3">
      <c r="A2279" s="10" t="str">
        <f>HYPERLINK("http://www.washoecounty.gov/assessor/cama/?parid=030-082-01&amp;CardNumber=1","030-082-01")</f>
        <v>030-082-01</v>
      </c>
      <c r="B2279" t="s">
        <v>4655</v>
      </c>
      <c r="C2279" t="s">
        <v>14511</v>
      </c>
      <c r="D2279" s="1">
        <v>40506</v>
      </c>
      <c r="E2279" s="2">
        <v>84900</v>
      </c>
      <c r="F2279" t="s">
        <v>4567</v>
      </c>
      <c r="G2279" s="17" t="str">
        <f>HYPERLINK("https://www.washoecounty.gov/assessor/cama/?command=sales&amp;parid=03008201","3946458")</f>
        <v>3946458</v>
      </c>
      <c r="H2279" t="s">
        <v>2263</v>
      </c>
      <c r="I2279">
        <v>1976</v>
      </c>
      <c r="J2279">
        <v>1976</v>
      </c>
      <c r="K2279" t="s">
        <v>4554</v>
      </c>
      <c r="L2279" t="s">
        <v>4555</v>
      </c>
      <c r="M2279" s="2">
        <v>1616</v>
      </c>
      <c r="N2279" t="s">
        <v>4048</v>
      </c>
      <c r="O2279">
        <v>3</v>
      </c>
      <c r="P2279">
        <v>2</v>
      </c>
      <c r="Q2279">
        <v>0</v>
      </c>
      <c r="R2279" t="s">
        <v>4557</v>
      </c>
      <c r="S2279" t="s">
        <v>4135</v>
      </c>
      <c r="T2279" t="s">
        <v>4559</v>
      </c>
      <c r="U2279" t="s">
        <v>4560</v>
      </c>
      <c r="V2279" s="2">
        <v>496</v>
      </c>
      <c r="W2279" t="s">
        <v>4655</v>
      </c>
      <c r="X2279" s="2">
        <v>0</v>
      </c>
      <c r="Y2279">
        <v>20</v>
      </c>
      <c r="Z2279" t="s">
        <v>5200</v>
      </c>
      <c r="AA2279" s="3">
        <v>0.16099633276462599</v>
      </c>
      <c r="AB2279" t="s">
        <v>14512</v>
      </c>
      <c r="AC2279" t="s">
        <v>4562</v>
      </c>
      <c r="AD2279" t="s">
        <v>14511</v>
      </c>
      <c r="AE2279" t="s">
        <v>4655</v>
      </c>
      <c r="AF2279" t="s">
        <v>5201</v>
      </c>
      <c r="AG2279" t="s">
        <v>4564</v>
      </c>
      <c r="AH2279" t="s">
        <v>3898</v>
      </c>
      <c r="AI2279" t="s">
        <v>14513</v>
      </c>
      <c r="AJ2279" t="s">
        <v>4655</v>
      </c>
      <c r="AK2279" t="s">
        <v>14514</v>
      </c>
      <c r="AL2279" s="13" t="s">
        <v>3425</v>
      </c>
      <c r="AM2279" s="14">
        <v>1</v>
      </c>
      <c r="AN2279" s="15" t="s">
        <v>5531</v>
      </c>
    </row>
    <row r="2280" spans="1:40" x14ac:dyDescent="0.3">
      <c r="A2280" s="10" t="str">
        <f>HYPERLINK("http://www.washoecounty.gov/assessor/cama/?parid=030-082-04&amp;CardNumber=1","030-082-04")</f>
        <v>030-082-04</v>
      </c>
      <c r="B2280" t="s">
        <v>4655</v>
      </c>
      <c r="C2280" t="s">
        <v>14515</v>
      </c>
      <c r="D2280" s="1">
        <v>40221</v>
      </c>
      <c r="E2280" s="2">
        <v>153000</v>
      </c>
      <c r="F2280" t="s">
        <v>4567</v>
      </c>
      <c r="G2280" s="17" t="str">
        <f>HYPERLINK("https://www.washoecounty.gov/assessor/cama/?command=sales&amp;parid=03008204","3849119")</f>
        <v>3849119</v>
      </c>
      <c r="H2280" t="s">
        <v>5380</v>
      </c>
      <c r="I2280">
        <v>1976</v>
      </c>
      <c r="J2280">
        <v>1976</v>
      </c>
      <c r="K2280" t="s">
        <v>4554</v>
      </c>
      <c r="L2280" t="s">
        <v>4555</v>
      </c>
      <c r="M2280" s="2">
        <v>1826</v>
      </c>
      <c r="N2280" t="s">
        <v>4048</v>
      </c>
      <c r="O2280">
        <v>4</v>
      </c>
      <c r="P2280">
        <v>2</v>
      </c>
      <c r="Q2280">
        <v>0</v>
      </c>
      <c r="R2280" t="s">
        <v>4557</v>
      </c>
      <c r="S2280" t="s">
        <v>4558</v>
      </c>
      <c r="T2280" t="s">
        <v>4559</v>
      </c>
      <c r="U2280" t="s">
        <v>4560</v>
      </c>
      <c r="V2280" s="2">
        <v>495</v>
      </c>
      <c r="W2280" t="s">
        <v>4655</v>
      </c>
      <c r="X2280" s="2">
        <v>0</v>
      </c>
      <c r="Y2280">
        <v>20</v>
      </c>
      <c r="Z2280" t="s">
        <v>5200</v>
      </c>
      <c r="AA2280" s="3">
        <v>0.23599632084369701</v>
      </c>
      <c r="AB2280" t="s">
        <v>14516</v>
      </c>
      <c r="AC2280" t="s">
        <v>4562</v>
      </c>
      <c r="AD2280" t="s">
        <v>14515</v>
      </c>
      <c r="AE2280" t="s">
        <v>4655</v>
      </c>
      <c r="AF2280" t="s">
        <v>5201</v>
      </c>
      <c r="AG2280" t="s">
        <v>4564</v>
      </c>
      <c r="AH2280" t="s">
        <v>3898</v>
      </c>
      <c r="AI2280" t="s">
        <v>14517</v>
      </c>
      <c r="AJ2280" t="s">
        <v>4655</v>
      </c>
      <c r="AK2280" t="s">
        <v>14518</v>
      </c>
      <c r="AL2280" s="13" t="s">
        <v>3425</v>
      </c>
      <c r="AM2280" s="14">
        <v>1</v>
      </c>
      <c r="AN2280" s="15" t="s">
        <v>5531</v>
      </c>
    </row>
    <row r="2281" spans="1:40" x14ac:dyDescent="0.3">
      <c r="A2281" s="10" t="str">
        <f>HYPERLINK("http://www.washoecounty.gov/assessor/cama/?parid=030-084-03&amp;CardNumber=1","030-084-03")</f>
        <v>030-084-03</v>
      </c>
      <c r="B2281" t="s">
        <v>4655</v>
      </c>
      <c r="C2281" t="s">
        <v>14519</v>
      </c>
      <c r="D2281" s="1">
        <v>40532</v>
      </c>
      <c r="E2281" s="2">
        <v>147000</v>
      </c>
      <c r="F2281" t="s">
        <v>4553</v>
      </c>
      <c r="G2281" s="17" t="str">
        <f>HYPERLINK("https://www.washoecounty.gov/assessor/cama/?command=sales&amp;parid=03008403","3955464")</f>
        <v>3955464</v>
      </c>
      <c r="H2281" t="s">
        <v>5380</v>
      </c>
      <c r="I2281">
        <v>1976</v>
      </c>
      <c r="J2281">
        <v>1976</v>
      </c>
      <c r="K2281" t="s">
        <v>4554</v>
      </c>
      <c r="L2281" t="s">
        <v>4555</v>
      </c>
      <c r="M2281" s="2">
        <v>1616</v>
      </c>
      <c r="N2281" t="s">
        <v>4048</v>
      </c>
      <c r="O2281">
        <v>3</v>
      </c>
      <c r="P2281">
        <v>2</v>
      </c>
      <c r="Q2281">
        <v>0</v>
      </c>
      <c r="R2281" t="s">
        <v>4557</v>
      </c>
      <c r="S2281" t="s">
        <v>4558</v>
      </c>
      <c r="T2281" t="s">
        <v>4559</v>
      </c>
      <c r="U2281" t="s">
        <v>4560</v>
      </c>
      <c r="V2281" s="2">
        <v>496</v>
      </c>
      <c r="W2281" t="s">
        <v>4655</v>
      </c>
      <c r="X2281" s="2">
        <v>0</v>
      </c>
      <c r="Y2281">
        <v>20</v>
      </c>
      <c r="Z2281" t="s">
        <v>5200</v>
      </c>
      <c r="AA2281" s="3">
        <v>0.14299815893173218</v>
      </c>
      <c r="AB2281" t="s">
        <v>14520</v>
      </c>
      <c r="AC2281" t="s">
        <v>4562</v>
      </c>
      <c r="AD2281" t="s">
        <v>14521</v>
      </c>
      <c r="AE2281" t="s">
        <v>4655</v>
      </c>
      <c r="AF2281" t="s">
        <v>5201</v>
      </c>
      <c r="AG2281" t="s">
        <v>4564</v>
      </c>
      <c r="AH2281" t="s">
        <v>3898</v>
      </c>
      <c r="AI2281" t="s">
        <v>4655</v>
      </c>
      <c r="AJ2281" t="s">
        <v>4655</v>
      </c>
      <c r="AK2281" t="s">
        <v>14522</v>
      </c>
      <c r="AL2281" s="13" t="s">
        <v>3425</v>
      </c>
      <c r="AM2281" s="14">
        <v>1</v>
      </c>
      <c r="AN2281" s="15" t="s">
        <v>5531</v>
      </c>
    </row>
    <row r="2282" spans="1:40" x14ac:dyDescent="0.3">
      <c r="A2282" s="10" t="str">
        <f>HYPERLINK("http://www.washoecounty.gov/assessor/cama/?parid=030-084-13&amp;CardNumber=1","030-084-13")</f>
        <v>030-084-13</v>
      </c>
      <c r="B2282" t="s">
        <v>4655</v>
      </c>
      <c r="C2282" t="s">
        <v>14523</v>
      </c>
      <c r="D2282" s="1">
        <v>40309</v>
      </c>
      <c r="E2282" s="2">
        <v>120000</v>
      </c>
      <c r="F2282" t="s">
        <v>4567</v>
      </c>
      <c r="G2282" s="17" t="str">
        <f>HYPERLINK("https://www.washoecounty.gov/assessor/cama/?command=sales&amp;parid=03008413","3880366")</f>
        <v>3880366</v>
      </c>
      <c r="H2282" t="s">
        <v>2263</v>
      </c>
      <c r="I2282">
        <v>1976</v>
      </c>
      <c r="J2282">
        <v>1976</v>
      </c>
      <c r="K2282" t="s">
        <v>4554</v>
      </c>
      <c r="L2282" t="s">
        <v>3974</v>
      </c>
      <c r="M2282" s="2">
        <v>2130</v>
      </c>
      <c r="N2282" t="s">
        <v>4048</v>
      </c>
      <c r="O2282">
        <v>4</v>
      </c>
      <c r="P2282">
        <v>2</v>
      </c>
      <c r="Q2282">
        <v>1</v>
      </c>
      <c r="R2282" t="s">
        <v>4557</v>
      </c>
      <c r="S2282" t="s">
        <v>4135</v>
      </c>
      <c r="T2282" t="s">
        <v>4559</v>
      </c>
      <c r="U2282" t="s">
        <v>4560</v>
      </c>
      <c r="V2282" s="2">
        <v>456</v>
      </c>
      <c r="W2282" t="s">
        <v>4655</v>
      </c>
      <c r="X2282" s="2">
        <v>0</v>
      </c>
      <c r="Y2282">
        <v>20</v>
      </c>
      <c r="Z2282" t="s">
        <v>5200</v>
      </c>
      <c r="AA2282" s="3">
        <v>0.16299356520175901</v>
      </c>
      <c r="AB2282" t="s">
        <v>2264</v>
      </c>
      <c r="AC2282" t="s">
        <v>4562</v>
      </c>
      <c r="AD2282" t="s">
        <v>2265</v>
      </c>
      <c r="AE2282" t="s">
        <v>4655</v>
      </c>
      <c r="AF2282" t="s">
        <v>2266</v>
      </c>
      <c r="AG2282" t="s">
        <v>4584</v>
      </c>
      <c r="AH2282" t="s">
        <v>2267</v>
      </c>
      <c r="AI2282" t="s">
        <v>14524</v>
      </c>
      <c r="AJ2282" t="s">
        <v>4655</v>
      </c>
      <c r="AK2282" t="s">
        <v>14525</v>
      </c>
      <c r="AL2282" s="13" t="s">
        <v>3425</v>
      </c>
      <c r="AM2282" s="14">
        <v>1</v>
      </c>
      <c r="AN2282" s="15" t="s">
        <v>5531</v>
      </c>
    </row>
    <row r="2283" spans="1:40" x14ac:dyDescent="0.3">
      <c r="A2283" s="10" t="str">
        <f>HYPERLINK("http://www.washoecounty.gov/assessor/cama/?parid=030-084-16&amp;CardNumber=1","030-084-16")</f>
        <v>030-084-16</v>
      </c>
      <c r="B2283" t="s">
        <v>4655</v>
      </c>
      <c r="C2283" t="s">
        <v>14526</v>
      </c>
      <c r="D2283" s="1">
        <v>40456</v>
      </c>
      <c r="E2283" s="2">
        <v>140000</v>
      </c>
      <c r="F2283" t="s">
        <v>4567</v>
      </c>
      <c r="G2283" s="17" t="str">
        <f>HYPERLINK("https://www.washoecounty.gov/assessor/cama/?command=sales&amp;parid=03008416","3929793")</f>
        <v>3929793</v>
      </c>
      <c r="H2283" t="s">
        <v>5380</v>
      </c>
      <c r="I2283">
        <v>1976</v>
      </c>
      <c r="J2283">
        <v>1976</v>
      </c>
      <c r="K2283" t="s">
        <v>4554</v>
      </c>
      <c r="L2283" t="s">
        <v>4555</v>
      </c>
      <c r="M2283" s="2">
        <v>1616</v>
      </c>
      <c r="N2283" t="s">
        <v>4048</v>
      </c>
      <c r="O2283">
        <v>3</v>
      </c>
      <c r="P2283">
        <v>2</v>
      </c>
      <c r="Q2283">
        <v>0</v>
      </c>
      <c r="R2283" t="s">
        <v>4557</v>
      </c>
      <c r="S2283" t="s">
        <v>4558</v>
      </c>
      <c r="T2283" t="s">
        <v>4559</v>
      </c>
      <c r="U2283" t="s">
        <v>4560</v>
      </c>
      <c r="V2283" s="2">
        <v>496</v>
      </c>
      <c r="W2283" t="s">
        <v>4655</v>
      </c>
      <c r="X2283" s="2">
        <v>0</v>
      </c>
      <c r="Y2283">
        <v>20</v>
      </c>
      <c r="Z2283" t="s">
        <v>5200</v>
      </c>
      <c r="AA2283" s="3">
        <v>0.16299356520175901</v>
      </c>
      <c r="AB2283" t="s">
        <v>14527</v>
      </c>
      <c r="AC2283" t="s">
        <v>4562</v>
      </c>
      <c r="AD2283" t="s">
        <v>14528</v>
      </c>
      <c r="AE2283" t="s">
        <v>4655</v>
      </c>
      <c r="AF2283" t="s">
        <v>4563</v>
      </c>
      <c r="AG2283" t="s">
        <v>4564</v>
      </c>
      <c r="AH2283">
        <v>89512</v>
      </c>
      <c r="AI2283" t="s">
        <v>14529</v>
      </c>
      <c r="AJ2283" t="s">
        <v>4655</v>
      </c>
      <c r="AK2283" t="s">
        <v>14530</v>
      </c>
      <c r="AL2283" s="13" t="s">
        <v>3425</v>
      </c>
      <c r="AM2283">
        <v>1</v>
      </c>
      <c r="AN2283" s="15" t="s">
        <v>5531</v>
      </c>
    </row>
    <row r="2284" spans="1:40" x14ac:dyDescent="0.3">
      <c r="A2284" s="10" t="str">
        <f>HYPERLINK("http://www.washoecounty.gov/assessor/cama/?parid=030-091-05&amp;CardNumber=1","030-091-05")</f>
        <v>030-091-05</v>
      </c>
      <c r="B2284" t="s">
        <v>4655</v>
      </c>
      <c r="C2284" t="s">
        <v>14531</v>
      </c>
      <c r="D2284" s="1">
        <v>40421</v>
      </c>
      <c r="E2284" s="2">
        <v>126000</v>
      </c>
      <c r="F2284" t="s">
        <v>4567</v>
      </c>
      <c r="G2284" s="17" t="str">
        <f>HYPERLINK("https://www.washoecounty.gov/assessor/cama/?command=sales&amp;parid=03009105","3917448")</f>
        <v>3917448</v>
      </c>
      <c r="H2284" t="s">
        <v>1923</v>
      </c>
      <c r="I2284">
        <v>1977</v>
      </c>
      <c r="J2284">
        <v>1977</v>
      </c>
      <c r="K2284" t="s">
        <v>4554</v>
      </c>
      <c r="L2284" t="s">
        <v>4555</v>
      </c>
      <c r="M2284" s="2">
        <v>1430</v>
      </c>
      <c r="N2284" t="s">
        <v>4048</v>
      </c>
      <c r="O2284">
        <v>3</v>
      </c>
      <c r="P2284">
        <v>2</v>
      </c>
      <c r="Q2284">
        <v>0</v>
      </c>
      <c r="R2284" t="s">
        <v>4557</v>
      </c>
      <c r="S2284" t="s">
        <v>4558</v>
      </c>
      <c r="T2284" t="s">
        <v>4559</v>
      </c>
      <c r="U2284" t="s">
        <v>4560</v>
      </c>
      <c r="V2284" s="2">
        <v>405</v>
      </c>
      <c r="W2284" t="s">
        <v>4655</v>
      </c>
      <c r="X2284" s="2">
        <v>0</v>
      </c>
      <c r="Y2284">
        <v>20</v>
      </c>
      <c r="Z2284" t="s">
        <v>5200</v>
      </c>
      <c r="AA2284" s="3">
        <v>0.151010096073151</v>
      </c>
      <c r="AB2284" t="s">
        <v>14532</v>
      </c>
      <c r="AC2284" t="s">
        <v>4562</v>
      </c>
      <c r="AD2284" t="s">
        <v>14533</v>
      </c>
      <c r="AE2284" t="s">
        <v>4655</v>
      </c>
      <c r="AF2284" t="s">
        <v>5201</v>
      </c>
      <c r="AG2284" t="s">
        <v>4564</v>
      </c>
      <c r="AH2284" t="s">
        <v>3898</v>
      </c>
      <c r="AI2284" t="s">
        <v>14534</v>
      </c>
      <c r="AJ2284" t="s">
        <v>4655</v>
      </c>
      <c r="AK2284" t="s">
        <v>14535</v>
      </c>
      <c r="AL2284" s="13" t="s">
        <v>3425</v>
      </c>
      <c r="AM2284">
        <v>1</v>
      </c>
      <c r="AN2284" s="15" t="s">
        <v>5531</v>
      </c>
    </row>
    <row r="2285" spans="1:40" x14ac:dyDescent="0.3">
      <c r="A2285" s="10" t="str">
        <f>HYPERLINK("http://www.washoecounty.gov/assessor/cama/?parid=030-094-01&amp;CardNumber=1","030-094-01")</f>
        <v>030-094-01</v>
      </c>
      <c r="B2285" t="s">
        <v>4655</v>
      </c>
      <c r="C2285" t="s">
        <v>14536</v>
      </c>
      <c r="D2285" s="1">
        <v>40315</v>
      </c>
      <c r="E2285" s="2">
        <v>120000</v>
      </c>
      <c r="F2285" t="s">
        <v>4567</v>
      </c>
      <c r="G2285" s="17" t="str">
        <f>HYPERLINK("https://www.washoecounty.gov/assessor/cama/?command=sales&amp;parid=03009401","3882309")</f>
        <v>3882309</v>
      </c>
      <c r="H2285" t="s">
        <v>14537</v>
      </c>
      <c r="I2285">
        <v>1983</v>
      </c>
      <c r="J2285">
        <v>1983</v>
      </c>
      <c r="K2285" t="s">
        <v>4554</v>
      </c>
      <c r="L2285" t="s">
        <v>4555</v>
      </c>
      <c r="M2285" s="2">
        <v>1292</v>
      </c>
      <c r="N2285" t="s">
        <v>4048</v>
      </c>
      <c r="O2285">
        <v>3</v>
      </c>
      <c r="P2285">
        <v>2</v>
      </c>
      <c r="Q2285">
        <v>0</v>
      </c>
      <c r="R2285" t="s">
        <v>4557</v>
      </c>
      <c r="S2285" t="s">
        <v>4558</v>
      </c>
      <c r="T2285" t="s">
        <v>4559</v>
      </c>
      <c r="U2285" t="s">
        <v>4560</v>
      </c>
      <c r="V2285" s="2">
        <v>468</v>
      </c>
      <c r="W2285" t="s">
        <v>4655</v>
      </c>
      <c r="X2285" s="2">
        <v>0</v>
      </c>
      <c r="Y2285">
        <v>20</v>
      </c>
      <c r="Z2285" t="s">
        <v>5200</v>
      </c>
      <c r="AA2285" s="3">
        <v>0.18399907648563399</v>
      </c>
      <c r="AB2285" t="s">
        <v>14538</v>
      </c>
      <c r="AC2285" t="s">
        <v>4562</v>
      </c>
      <c r="AD2285" t="s">
        <v>14536</v>
      </c>
      <c r="AE2285" t="s">
        <v>4655</v>
      </c>
      <c r="AF2285" t="s">
        <v>5201</v>
      </c>
      <c r="AG2285" t="s">
        <v>4564</v>
      </c>
      <c r="AH2285" t="s">
        <v>3898</v>
      </c>
      <c r="AI2285" t="s">
        <v>14539</v>
      </c>
      <c r="AJ2285" t="s">
        <v>4655</v>
      </c>
      <c r="AK2285" t="s">
        <v>14540</v>
      </c>
      <c r="AL2285" s="13" t="s">
        <v>3425</v>
      </c>
      <c r="AM2285">
        <v>1</v>
      </c>
      <c r="AN2285" s="15" t="s">
        <v>5531</v>
      </c>
    </row>
    <row r="2286" spans="1:40" x14ac:dyDescent="0.3">
      <c r="A2286" s="10" t="str">
        <f>HYPERLINK("http://www.washoecounty.gov/assessor/cama/?parid=030-101-06&amp;CardNumber=1","030-101-06")</f>
        <v>030-101-06</v>
      </c>
      <c r="B2286" t="s">
        <v>4655</v>
      </c>
      <c r="C2286" t="s">
        <v>2943</v>
      </c>
      <c r="D2286" s="1">
        <v>40470</v>
      </c>
      <c r="E2286" s="2">
        <v>123000</v>
      </c>
      <c r="F2286" t="s">
        <v>4567</v>
      </c>
      <c r="G2286" s="17" t="str">
        <f>HYPERLINK("https://www.washoecounty.gov/assessor/cama/?command=sales&amp;parid=03010106","3934289")</f>
        <v>3934289</v>
      </c>
      <c r="H2286" t="s">
        <v>131</v>
      </c>
      <c r="I2286">
        <v>1978</v>
      </c>
      <c r="J2286">
        <v>1982</v>
      </c>
      <c r="K2286" t="s">
        <v>4554</v>
      </c>
      <c r="L2286" t="s">
        <v>4555</v>
      </c>
      <c r="M2286" s="2">
        <v>1650</v>
      </c>
      <c r="N2286" t="s">
        <v>4048</v>
      </c>
      <c r="O2286">
        <v>3</v>
      </c>
      <c r="P2286">
        <v>2</v>
      </c>
      <c r="Q2286">
        <v>0</v>
      </c>
      <c r="R2286" t="s">
        <v>4557</v>
      </c>
      <c r="S2286" t="s">
        <v>4558</v>
      </c>
      <c r="T2286" t="s">
        <v>4559</v>
      </c>
      <c r="U2286" t="s">
        <v>4560</v>
      </c>
      <c r="V2286" s="2">
        <v>405</v>
      </c>
      <c r="W2286" t="s">
        <v>4655</v>
      </c>
      <c r="X2286" s="2">
        <v>0</v>
      </c>
      <c r="Y2286">
        <v>20</v>
      </c>
      <c r="Z2286" t="s">
        <v>5200</v>
      </c>
      <c r="AA2286" s="3">
        <v>0.19699265062808999</v>
      </c>
      <c r="AB2286" t="s">
        <v>65</v>
      </c>
      <c r="AC2286" t="s">
        <v>4562</v>
      </c>
      <c r="AD2286" t="s">
        <v>2943</v>
      </c>
      <c r="AE2286" t="s">
        <v>4655</v>
      </c>
      <c r="AF2286" t="s">
        <v>5201</v>
      </c>
      <c r="AG2286" t="s">
        <v>4564</v>
      </c>
      <c r="AH2286" t="s">
        <v>3898</v>
      </c>
      <c r="AI2286" t="s">
        <v>2944</v>
      </c>
      <c r="AJ2286" t="s">
        <v>4655</v>
      </c>
      <c r="AK2286" t="s">
        <v>2945</v>
      </c>
      <c r="AL2286" s="13" t="s">
        <v>3425</v>
      </c>
      <c r="AM2286">
        <v>1</v>
      </c>
      <c r="AN2286" s="15" t="s">
        <v>5531</v>
      </c>
    </row>
    <row r="2287" spans="1:40" x14ac:dyDescent="0.3">
      <c r="A2287" s="10" t="str">
        <f>HYPERLINK("http://www.washoecounty.gov/assessor/cama/?parid=030-102-03&amp;CardNumber=1","030-102-03")</f>
        <v>030-102-03</v>
      </c>
      <c r="B2287" t="s">
        <v>4655</v>
      </c>
      <c r="C2287" t="s">
        <v>14541</v>
      </c>
      <c r="D2287" s="1">
        <v>40354</v>
      </c>
      <c r="E2287" s="2">
        <v>135000</v>
      </c>
      <c r="F2287" t="s">
        <v>4567</v>
      </c>
      <c r="G2287" s="17" t="str">
        <f>HYPERLINK("https://www.washoecounty.gov/assessor/cama/?command=sales&amp;parid=03010203","3895375")</f>
        <v>3895375</v>
      </c>
      <c r="H2287" t="s">
        <v>2437</v>
      </c>
      <c r="I2287">
        <v>1977</v>
      </c>
      <c r="J2287">
        <v>1977</v>
      </c>
      <c r="K2287" t="s">
        <v>4554</v>
      </c>
      <c r="L2287" t="s">
        <v>3974</v>
      </c>
      <c r="M2287" s="2">
        <v>2174</v>
      </c>
      <c r="N2287" t="s">
        <v>4048</v>
      </c>
      <c r="O2287">
        <v>4</v>
      </c>
      <c r="P2287">
        <v>2</v>
      </c>
      <c r="Q2287">
        <v>1</v>
      </c>
      <c r="R2287" t="s">
        <v>5281</v>
      </c>
      <c r="S2287" t="s">
        <v>4558</v>
      </c>
      <c r="T2287" t="s">
        <v>4559</v>
      </c>
      <c r="U2287" t="s">
        <v>4560</v>
      </c>
      <c r="V2287" s="2">
        <v>655</v>
      </c>
      <c r="W2287" t="s">
        <v>4655</v>
      </c>
      <c r="X2287" s="2">
        <v>0</v>
      </c>
      <c r="Y2287">
        <v>20</v>
      </c>
      <c r="Z2287" t="s">
        <v>5200</v>
      </c>
      <c r="AA2287" s="3">
        <v>0.16099633276462599</v>
      </c>
      <c r="AB2287" t="s">
        <v>14542</v>
      </c>
      <c r="AC2287" t="s">
        <v>4562</v>
      </c>
      <c r="AD2287" t="s">
        <v>14541</v>
      </c>
      <c r="AE2287" t="s">
        <v>4655</v>
      </c>
      <c r="AF2287" t="s">
        <v>4809</v>
      </c>
      <c r="AG2287" t="s">
        <v>4564</v>
      </c>
      <c r="AH2287" t="s">
        <v>3898</v>
      </c>
      <c r="AI2287" t="s">
        <v>14543</v>
      </c>
      <c r="AJ2287" t="s">
        <v>4655</v>
      </c>
      <c r="AK2287" t="s">
        <v>14544</v>
      </c>
      <c r="AL2287" s="13" t="s">
        <v>3425</v>
      </c>
      <c r="AM2287">
        <v>1</v>
      </c>
      <c r="AN2287" s="15" t="s">
        <v>5531</v>
      </c>
    </row>
    <row r="2288" spans="1:40" x14ac:dyDescent="0.3">
      <c r="A2288" s="10" t="str">
        <f>HYPERLINK("http://www.washoecounty.gov/assessor/cama/?parid=030-103-01&amp;CardNumber=1","030-103-01")</f>
        <v>030-103-01</v>
      </c>
      <c r="B2288" t="s">
        <v>4655</v>
      </c>
      <c r="C2288" t="s">
        <v>14545</v>
      </c>
      <c r="D2288" s="1">
        <v>40403</v>
      </c>
      <c r="E2288" s="2">
        <v>173000</v>
      </c>
      <c r="F2288" t="s">
        <v>4553</v>
      </c>
      <c r="G2288" s="17" t="str">
        <f>HYPERLINK("https://www.washoecounty.gov/assessor/cama/?command=sales&amp;parid=03010301","3911975")</f>
        <v>3911975</v>
      </c>
      <c r="H2288" t="s">
        <v>14546</v>
      </c>
      <c r="I2288">
        <v>1977</v>
      </c>
      <c r="J2288">
        <v>1977</v>
      </c>
      <c r="K2288" t="s">
        <v>4554</v>
      </c>
      <c r="L2288" t="s">
        <v>3974</v>
      </c>
      <c r="M2288" s="2">
        <v>2174</v>
      </c>
      <c r="N2288" t="s">
        <v>4048</v>
      </c>
      <c r="O2288">
        <v>4</v>
      </c>
      <c r="P2288">
        <v>2</v>
      </c>
      <c r="Q2288">
        <v>1</v>
      </c>
      <c r="R2288" t="s">
        <v>4557</v>
      </c>
      <c r="S2288" t="s">
        <v>4558</v>
      </c>
      <c r="T2288" t="s">
        <v>4559</v>
      </c>
      <c r="U2288" t="s">
        <v>4560</v>
      </c>
      <c r="V2288" s="2">
        <v>655</v>
      </c>
      <c r="W2288" t="s">
        <v>4655</v>
      </c>
      <c r="X2288" s="2">
        <v>0</v>
      </c>
      <c r="Y2288">
        <v>20</v>
      </c>
      <c r="Z2288" t="s">
        <v>5200</v>
      </c>
      <c r="AA2288" s="3">
        <v>0.160009175539017</v>
      </c>
      <c r="AB2288" t="s">
        <v>14547</v>
      </c>
      <c r="AC2288" t="s">
        <v>4562</v>
      </c>
      <c r="AD2288" t="s">
        <v>14545</v>
      </c>
      <c r="AE2288" t="s">
        <v>4655</v>
      </c>
      <c r="AF2288" t="s">
        <v>5201</v>
      </c>
      <c r="AG2288" t="s">
        <v>4564</v>
      </c>
      <c r="AH2288" t="s">
        <v>3898</v>
      </c>
      <c r="AI2288" t="s">
        <v>11</v>
      </c>
      <c r="AJ2288" t="s">
        <v>4655</v>
      </c>
      <c r="AK2288" t="s">
        <v>14548</v>
      </c>
      <c r="AL2288" s="13" t="s">
        <v>3425</v>
      </c>
      <c r="AM2288">
        <v>1</v>
      </c>
      <c r="AN2288" s="15" t="s">
        <v>5531</v>
      </c>
    </row>
    <row r="2289" spans="1:40" x14ac:dyDescent="0.3">
      <c r="A2289" s="10" t="str">
        <f>HYPERLINK("http://www.washoecounty.gov/assessor/cama/?parid=030-122-01&amp;CardNumber=1","030-122-01")</f>
        <v>030-122-01</v>
      </c>
      <c r="B2289" t="s">
        <v>4655</v>
      </c>
      <c r="C2289" t="s">
        <v>14549</v>
      </c>
      <c r="D2289" s="1">
        <v>40542</v>
      </c>
      <c r="E2289" s="2">
        <v>135900</v>
      </c>
      <c r="F2289" t="s">
        <v>4567</v>
      </c>
      <c r="G2289" s="17" t="str">
        <f>HYPERLINK("https://www.washoecounty.gov/assessor/cama/?command=sales&amp;parid=03012201","3959145")</f>
        <v>3959145</v>
      </c>
      <c r="H2289" t="s">
        <v>4920</v>
      </c>
      <c r="I2289">
        <v>1977</v>
      </c>
      <c r="J2289">
        <v>1977</v>
      </c>
      <c r="K2289" t="s">
        <v>4554</v>
      </c>
      <c r="L2289" t="s">
        <v>4555</v>
      </c>
      <c r="M2289" s="2">
        <v>1767</v>
      </c>
      <c r="N2289" t="s">
        <v>4048</v>
      </c>
      <c r="O2289">
        <v>3</v>
      </c>
      <c r="P2289">
        <v>2</v>
      </c>
      <c r="Q2289">
        <v>0</v>
      </c>
      <c r="R2289" t="s">
        <v>4557</v>
      </c>
      <c r="S2289" t="s">
        <v>4558</v>
      </c>
      <c r="T2289" t="s">
        <v>4559</v>
      </c>
      <c r="U2289" t="s">
        <v>4560</v>
      </c>
      <c r="V2289" s="2">
        <v>525</v>
      </c>
      <c r="W2289" t="s">
        <v>4655</v>
      </c>
      <c r="X2289" s="2">
        <v>0</v>
      </c>
      <c r="Y2289">
        <v>20</v>
      </c>
      <c r="Z2289" t="s">
        <v>5200</v>
      </c>
      <c r="AA2289" s="3">
        <v>0.20000000298023199</v>
      </c>
      <c r="AB2289" t="s">
        <v>14550</v>
      </c>
      <c r="AC2289" t="s">
        <v>4562</v>
      </c>
      <c r="AD2289" t="s">
        <v>14549</v>
      </c>
      <c r="AE2289" t="s">
        <v>4655</v>
      </c>
      <c r="AF2289" t="s">
        <v>5201</v>
      </c>
      <c r="AG2289" t="s">
        <v>4564</v>
      </c>
      <c r="AH2289" t="s">
        <v>3898</v>
      </c>
      <c r="AI2289" t="s">
        <v>14551</v>
      </c>
      <c r="AJ2289" t="s">
        <v>4655</v>
      </c>
      <c r="AK2289" t="s">
        <v>14552</v>
      </c>
      <c r="AL2289" s="13" t="s">
        <v>3425</v>
      </c>
      <c r="AM2289">
        <v>1</v>
      </c>
      <c r="AN2289" s="15" t="s">
        <v>5531</v>
      </c>
    </row>
    <row r="2290" spans="1:40" x14ac:dyDescent="0.3">
      <c r="A2290" s="10" t="str">
        <f>HYPERLINK("http://www.washoecounty.gov/assessor/cama/?parid=030-124-33&amp;CardNumber=1","030-124-33")</f>
        <v>030-124-33</v>
      </c>
      <c r="B2290" t="s">
        <v>4655</v>
      </c>
      <c r="C2290" t="s">
        <v>14553</v>
      </c>
      <c r="D2290" s="1">
        <v>40478</v>
      </c>
      <c r="E2290" s="2">
        <v>175000</v>
      </c>
      <c r="F2290" t="s">
        <v>4567</v>
      </c>
      <c r="G2290" s="17" t="str">
        <f>HYPERLINK("https://www.washoecounty.gov/assessor/cama/?command=sales&amp;parid=03012433","3937230")</f>
        <v>3937230</v>
      </c>
      <c r="H2290" t="s">
        <v>1696</v>
      </c>
      <c r="I2290">
        <v>1978</v>
      </c>
      <c r="J2290">
        <v>1978</v>
      </c>
      <c r="K2290" t="s">
        <v>4554</v>
      </c>
      <c r="L2290" t="s">
        <v>4555</v>
      </c>
      <c r="M2290" s="2">
        <v>1414</v>
      </c>
      <c r="N2290" t="s">
        <v>4048</v>
      </c>
      <c r="O2290">
        <v>3</v>
      </c>
      <c r="P2290">
        <v>2</v>
      </c>
      <c r="Q2290">
        <v>0</v>
      </c>
      <c r="R2290" t="s">
        <v>4557</v>
      </c>
      <c r="S2290" t="s">
        <v>4558</v>
      </c>
      <c r="T2290" t="s">
        <v>4559</v>
      </c>
      <c r="U2290" t="s">
        <v>4560</v>
      </c>
      <c r="V2290" s="2">
        <v>462</v>
      </c>
      <c r="W2290" t="s">
        <v>4655</v>
      </c>
      <c r="X2290" s="2">
        <v>0</v>
      </c>
      <c r="Y2290">
        <v>20</v>
      </c>
      <c r="Z2290" t="s">
        <v>5200</v>
      </c>
      <c r="AA2290" s="3">
        <v>0.21600091457366899</v>
      </c>
      <c r="AB2290" t="s">
        <v>14554</v>
      </c>
      <c r="AC2290" t="s">
        <v>4562</v>
      </c>
      <c r="AD2290" t="s">
        <v>14553</v>
      </c>
      <c r="AE2290" t="s">
        <v>4655</v>
      </c>
      <c r="AF2290" t="s">
        <v>5201</v>
      </c>
      <c r="AG2290" t="s">
        <v>4564</v>
      </c>
      <c r="AH2290" t="s">
        <v>3898</v>
      </c>
      <c r="AI2290" t="s">
        <v>14555</v>
      </c>
      <c r="AJ2290" t="s">
        <v>4655</v>
      </c>
      <c r="AK2290" t="s">
        <v>14556</v>
      </c>
      <c r="AL2290" s="13" t="s">
        <v>3425</v>
      </c>
      <c r="AM2290" s="14">
        <v>1</v>
      </c>
      <c r="AN2290" s="15" t="s">
        <v>5531</v>
      </c>
    </row>
    <row r="2291" spans="1:40" x14ac:dyDescent="0.3">
      <c r="A2291" s="10" t="str">
        <f>HYPERLINK("http://www.washoecounty.gov/assessor/cama/?parid=030-124-36&amp;CardNumber=1","030-124-36")</f>
        <v>030-124-36</v>
      </c>
      <c r="B2291" t="s">
        <v>4655</v>
      </c>
      <c r="C2291" t="s">
        <v>14557</v>
      </c>
      <c r="D2291" s="1">
        <v>40245</v>
      </c>
      <c r="E2291" s="2">
        <v>134400</v>
      </c>
      <c r="F2291" t="s">
        <v>4553</v>
      </c>
      <c r="G2291" s="17" t="str">
        <f>HYPERLINK("https://www.washoecounty.gov/assessor/cama/?command=sales&amp;parid=03012436","3856797")</f>
        <v>3856797</v>
      </c>
      <c r="H2291" t="s">
        <v>1696</v>
      </c>
      <c r="I2291">
        <v>1978</v>
      </c>
      <c r="J2291">
        <v>1978</v>
      </c>
      <c r="K2291" t="s">
        <v>4554</v>
      </c>
      <c r="L2291" t="s">
        <v>4555</v>
      </c>
      <c r="M2291" s="2">
        <v>1256</v>
      </c>
      <c r="N2291" t="s">
        <v>4048</v>
      </c>
      <c r="O2291">
        <v>3</v>
      </c>
      <c r="P2291">
        <v>2</v>
      </c>
      <c r="Q2291">
        <v>0</v>
      </c>
      <c r="R2291" t="s">
        <v>4557</v>
      </c>
      <c r="S2291" t="s">
        <v>4558</v>
      </c>
      <c r="T2291" t="s">
        <v>4559</v>
      </c>
      <c r="U2291" t="s">
        <v>4655</v>
      </c>
      <c r="V2291" s="2">
        <v>0</v>
      </c>
      <c r="W2291" t="s">
        <v>4655</v>
      </c>
      <c r="X2291" s="2">
        <v>0</v>
      </c>
      <c r="Y2291">
        <v>20</v>
      </c>
      <c r="Z2291" t="s">
        <v>5200</v>
      </c>
      <c r="AA2291" s="3">
        <v>0.18599632382392883</v>
      </c>
      <c r="AB2291" t="s">
        <v>14558</v>
      </c>
      <c r="AC2291" t="s">
        <v>4562</v>
      </c>
      <c r="AD2291" t="s">
        <v>14557</v>
      </c>
      <c r="AE2291" t="s">
        <v>4655</v>
      </c>
      <c r="AF2291" t="s">
        <v>5201</v>
      </c>
      <c r="AG2291" t="s">
        <v>4564</v>
      </c>
      <c r="AH2291" t="s">
        <v>3898</v>
      </c>
      <c r="AI2291" t="s">
        <v>4655</v>
      </c>
      <c r="AJ2291" t="s">
        <v>4655</v>
      </c>
      <c r="AK2291" t="s">
        <v>14559</v>
      </c>
      <c r="AL2291" s="13" t="s">
        <v>3425</v>
      </c>
      <c r="AM2291">
        <v>1</v>
      </c>
      <c r="AN2291" s="15" t="s">
        <v>5531</v>
      </c>
    </row>
    <row r="2292" spans="1:40" x14ac:dyDescent="0.3">
      <c r="A2292" s="10" t="str">
        <f>HYPERLINK("http://www.washoecounty.gov/assessor/cama/?parid=030-126-06&amp;CardNumber=1","030-126-06")</f>
        <v>030-126-06</v>
      </c>
      <c r="B2292" t="s">
        <v>4655</v>
      </c>
      <c r="C2292" t="s">
        <v>14560</v>
      </c>
      <c r="D2292" s="1">
        <v>40298</v>
      </c>
      <c r="E2292" s="2">
        <v>190000</v>
      </c>
      <c r="F2292" t="s">
        <v>4553</v>
      </c>
      <c r="G2292" s="17" t="str">
        <f>HYPERLINK("https://www.washoecounty.gov/assessor/cama/?command=sales&amp;parid=03012606","3876952")</f>
        <v>3876952</v>
      </c>
      <c r="H2292" t="s">
        <v>1696</v>
      </c>
      <c r="I2292">
        <v>1978</v>
      </c>
      <c r="J2292">
        <v>1978</v>
      </c>
      <c r="K2292" t="s">
        <v>4554</v>
      </c>
      <c r="L2292" t="s">
        <v>3974</v>
      </c>
      <c r="M2292" s="2">
        <v>2018</v>
      </c>
      <c r="N2292" t="s">
        <v>4048</v>
      </c>
      <c r="O2292">
        <v>4</v>
      </c>
      <c r="P2292">
        <v>2</v>
      </c>
      <c r="Q2292">
        <v>1</v>
      </c>
      <c r="R2292" t="s">
        <v>4557</v>
      </c>
      <c r="S2292" t="s">
        <v>4558</v>
      </c>
      <c r="T2292" t="s">
        <v>4559</v>
      </c>
      <c r="U2292" t="s">
        <v>4560</v>
      </c>
      <c r="V2292" s="2">
        <v>484</v>
      </c>
      <c r="W2292" t="s">
        <v>4655</v>
      </c>
      <c r="X2292" s="2">
        <v>0</v>
      </c>
      <c r="Y2292">
        <v>20</v>
      </c>
      <c r="Z2292" t="s">
        <v>5200</v>
      </c>
      <c r="AA2292" s="3">
        <v>0.22601009905338301</v>
      </c>
      <c r="AB2292" t="s">
        <v>14561</v>
      </c>
      <c r="AC2292" t="s">
        <v>4575</v>
      </c>
      <c r="AD2292" t="s">
        <v>14560</v>
      </c>
      <c r="AE2292" t="s">
        <v>4655</v>
      </c>
      <c r="AF2292" t="s">
        <v>5201</v>
      </c>
      <c r="AG2292" t="s">
        <v>4564</v>
      </c>
      <c r="AH2292" t="s">
        <v>3898</v>
      </c>
      <c r="AI2292" t="s">
        <v>3625</v>
      </c>
      <c r="AJ2292" t="s">
        <v>4655</v>
      </c>
      <c r="AK2292" t="s">
        <v>14562</v>
      </c>
      <c r="AL2292" s="13" t="s">
        <v>3425</v>
      </c>
      <c r="AM2292">
        <v>1</v>
      </c>
      <c r="AN2292" s="15" t="s">
        <v>5531</v>
      </c>
    </row>
    <row r="2293" spans="1:40" x14ac:dyDescent="0.3">
      <c r="A2293" s="10" t="str">
        <f>HYPERLINK("http://www.washoecounty.gov/assessor/cama/?parid=030-126-16&amp;CardNumber=1","030-126-16")</f>
        <v>030-126-16</v>
      </c>
      <c r="B2293" t="s">
        <v>4655</v>
      </c>
      <c r="C2293" t="s">
        <v>14563</v>
      </c>
      <c r="D2293" s="1">
        <v>40324</v>
      </c>
      <c r="E2293" s="2">
        <v>124900</v>
      </c>
      <c r="F2293" t="s">
        <v>4567</v>
      </c>
      <c r="G2293" s="17" t="str">
        <f>HYPERLINK("https://www.washoecounty.gov/assessor/cama/?command=sales&amp;parid=03012616","3885675")</f>
        <v>3885675</v>
      </c>
      <c r="H2293" t="s">
        <v>4430</v>
      </c>
      <c r="I2293">
        <v>1977</v>
      </c>
      <c r="J2293">
        <v>1977</v>
      </c>
      <c r="K2293" t="s">
        <v>4554</v>
      </c>
      <c r="L2293" t="s">
        <v>4555</v>
      </c>
      <c r="M2293" s="2">
        <v>1767</v>
      </c>
      <c r="N2293" t="s">
        <v>4048</v>
      </c>
      <c r="O2293">
        <v>3</v>
      </c>
      <c r="P2293">
        <v>2</v>
      </c>
      <c r="Q2293">
        <v>0</v>
      </c>
      <c r="R2293" t="s">
        <v>4557</v>
      </c>
      <c r="S2293" t="s">
        <v>4558</v>
      </c>
      <c r="T2293" t="s">
        <v>4559</v>
      </c>
      <c r="U2293" t="s">
        <v>4560</v>
      </c>
      <c r="V2293" s="2">
        <v>525</v>
      </c>
      <c r="W2293" t="s">
        <v>4655</v>
      </c>
      <c r="X2293" s="2">
        <v>0</v>
      </c>
      <c r="Y2293">
        <v>20</v>
      </c>
      <c r="Z2293" t="s">
        <v>5200</v>
      </c>
      <c r="AA2293" s="3">
        <v>0.18399907648563399</v>
      </c>
      <c r="AB2293" t="s">
        <v>14564</v>
      </c>
      <c r="AC2293" t="s">
        <v>4562</v>
      </c>
      <c r="AD2293" t="s">
        <v>14565</v>
      </c>
      <c r="AE2293" t="s">
        <v>4655</v>
      </c>
      <c r="AF2293" t="s">
        <v>4563</v>
      </c>
      <c r="AG2293" t="s">
        <v>4564</v>
      </c>
      <c r="AH2293">
        <v>89503</v>
      </c>
      <c r="AI2293" t="s">
        <v>14566</v>
      </c>
      <c r="AJ2293" t="s">
        <v>4655</v>
      </c>
      <c r="AK2293" t="s">
        <v>14567</v>
      </c>
      <c r="AL2293" s="13" t="s">
        <v>3425</v>
      </c>
      <c r="AM2293">
        <v>1</v>
      </c>
      <c r="AN2293" s="15" t="s">
        <v>5531</v>
      </c>
    </row>
    <row r="2294" spans="1:40" x14ac:dyDescent="0.3">
      <c r="A2294" s="10" t="str">
        <f>HYPERLINK("http://www.washoecounty.gov/assessor/cama/?parid=030-132-01&amp;CardNumber=1","030-132-01")</f>
        <v>030-132-01</v>
      </c>
      <c r="B2294" t="s">
        <v>4655</v>
      </c>
      <c r="C2294" t="s">
        <v>14568</v>
      </c>
      <c r="D2294" s="1">
        <v>40221</v>
      </c>
      <c r="E2294" s="2">
        <v>123000</v>
      </c>
      <c r="F2294" t="s">
        <v>4567</v>
      </c>
      <c r="G2294" s="17" t="str">
        <f>HYPERLINK("https://www.washoecounty.gov/assessor/cama/?command=sales&amp;parid=03013201","3849238")</f>
        <v>3849238</v>
      </c>
      <c r="H2294" t="s">
        <v>5532</v>
      </c>
      <c r="I2294">
        <v>1979</v>
      </c>
      <c r="J2294">
        <v>1979</v>
      </c>
      <c r="K2294" t="s">
        <v>4554</v>
      </c>
      <c r="L2294" t="s">
        <v>4555</v>
      </c>
      <c r="M2294" s="2">
        <v>1256</v>
      </c>
      <c r="N2294" t="s">
        <v>4048</v>
      </c>
      <c r="O2294">
        <v>3</v>
      </c>
      <c r="P2294">
        <v>2</v>
      </c>
      <c r="Q2294">
        <v>0</v>
      </c>
      <c r="R2294" t="s">
        <v>4557</v>
      </c>
      <c r="S2294" t="s">
        <v>4558</v>
      </c>
      <c r="T2294" t="s">
        <v>4559</v>
      </c>
      <c r="U2294" t="s">
        <v>4560</v>
      </c>
      <c r="V2294" s="2">
        <v>462</v>
      </c>
      <c r="W2294" t="s">
        <v>4655</v>
      </c>
      <c r="X2294" s="2">
        <v>0</v>
      </c>
      <c r="Y2294">
        <v>20</v>
      </c>
      <c r="Z2294" t="s">
        <v>5200</v>
      </c>
      <c r="AA2294" s="3">
        <v>0.18399907648563399</v>
      </c>
      <c r="AB2294" t="s">
        <v>14569</v>
      </c>
      <c r="AC2294" t="s">
        <v>4575</v>
      </c>
      <c r="AD2294" t="s">
        <v>5533</v>
      </c>
      <c r="AE2294" t="s">
        <v>4655</v>
      </c>
      <c r="AF2294" t="s">
        <v>5534</v>
      </c>
      <c r="AG2294" t="s">
        <v>5535</v>
      </c>
      <c r="AH2294">
        <v>71909</v>
      </c>
      <c r="AI2294" t="s">
        <v>14570</v>
      </c>
      <c r="AJ2294" t="s">
        <v>4655</v>
      </c>
      <c r="AK2294" t="s">
        <v>14571</v>
      </c>
      <c r="AL2294" s="13" t="s">
        <v>3425</v>
      </c>
      <c r="AM2294" s="14">
        <v>1</v>
      </c>
      <c r="AN2294" s="15" t="s">
        <v>5531</v>
      </c>
    </row>
    <row r="2295" spans="1:40" x14ac:dyDescent="0.3">
      <c r="A2295" s="10" t="str">
        <f>HYPERLINK("http://www.washoecounty.gov/assessor/cama/?parid=030-132-06&amp;CardNumber=1","030-132-06")</f>
        <v>030-132-06</v>
      </c>
      <c r="B2295" t="s">
        <v>4655</v>
      </c>
      <c r="C2295" t="s">
        <v>14572</v>
      </c>
      <c r="D2295" s="1">
        <v>40448</v>
      </c>
      <c r="E2295" s="2">
        <v>150750</v>
      </c>
      <c r="F2295" t="s">
        <v>4567</v>
      </c>
      <c r="G2295" s="17" t="str">
        <f>HYPERLINK("https://www.washoecounty.gov/assessor/cama/?command=sales&amp;parid=03013206","3926591")</f>
        <v>3926591</v>
      </c>
      <c r="H2295" t="s">
        <v>5532</v>
      </c>
      <c r="I2295">
        <v>1979</v>
      </c>
      <c r="J2295">
        <v>1979</v>
      </c>
      <c r="K2295" t="s">
        <v>4554</v>
      </c>
      <c r="L2295" t="s">
        <v>3974</v>
      </c>
      <c r="M2295" s="2">
        <v>2018</v>
      </c>
      <c r="N2295" t="s">
        <v>4048</v>
      </c>
      <c r="O2295">
        <v>4</v>
      </c>
      <c r="P2295">
        <v>2</v>
      </c>
      <c r="Q2295">
        <v>1</v>
      </c>
      <c r="R2295" t="s">
        <v>4557</v>
      </c>
      <c r="S2295" t="s">
        <v>4558</v>
      </c>
      <c r="T2295" t="s">
        <v>4559</v>
      </c>
      <c r="U2295" t="s">
        <v>4560</v>
      </c>
      <c r="V2295" s="2">
        <v>484</v>
      </c>
      <c r="W2295" t="s">
        <v>4655</v>
      </c>
      <c r="X2295" s="2">
        <v>0</v>
      </c>
      <c r="Y2295">
        <v>20</v>
      </c>
      <c r="Z2295" t="s">
        <v>5200</v>
      </c>
      <c r="AA2295" s="3">
        <v>0.14201101660728499</v>
      </c>
      <c r="AB2295" t="s">
        <v>14573</v>
      </c>
      <c r="AC2295" t="s">
        <v>4562</v>
      </c>
      <c r="AD2295" t="s">
        <v>14572</v>
      </c>
      <c r="AE2295" t="s">
        <v>4655</v>
      </c>
      <c r="AF2295" t="s">
        <v>5201</v>
      </c>
      <c r="AG2295" t="s">
        <v>4564</v>
      </c>
      <c r="AH2295" t="s">
        <v>3898</v>
      </c>
      <c r="AI2295" t="s">
        <v>14574</v>
      </c>
      <c r="AJ2295" t="s">
        <v>4655</v>
      </c>
      <c r="AK2295" t="s">
        <v>14575</v>
      </c>
      <c r="AL2295" s="13" t="s">
        <v>3425</v>
      </c>
      <c r="AM2295" s="14">
        <v>1</v>
      </c>
      <c r="AN2295" s="15" t="s">
        <v>5531</v>
      </c>
    </row>
    <row r="2296" spans="1:40" x14ac:dyDescent="0.3">
      <c r="A2296" s="10" t="str">
        <f>HYPERLINK("http://www.washoecounty.gov/assessor/cama/?parid=030-132-18&amp;CardNumber=1","030-132-18")</f>
        <v>030-132-18</v>
      </c>
      <c r="B2296" t="s">
        <v>4655</v>
      </c>
      <c r="C2296" t="s">
        <v>14576</v>
      </c>
      <c r="D2296" s="1">
        <v>40283</v>
      </c>
      <c r="E2296" s="2">
        <v>139000</v>
      </c>
      <c r="F2296" t="s">
        <v>4553</v>
      </c>
      <c r="G2296" s="17" t="str">
        <f>HYPERLINK("https://www.washoecounty.gov/assessor/cama/?command=sales&amp;parid=03013218","3871365")</f>
        <v>3871365</v>
      </c>
      <c r="H2296" t="s">
        <v>5536</v>
      </c>
      <c r="I2296">
        <v>1979</v>
      </c>
      <c r="J2296">
        <v>1979</v>
      </c>
      <c r="K2296" t="s">
        <v>4554</v>
      </c>
      <c r="L2296" t="s">
        <v>4555</v>
      </c>
      <c r="M2296" s="2">
        <v>1767</v>
      </c>
      <c r="N2296" t="s">
        <v>4048</v>
      </c>
      <c r="O2296">
        <v>3</v>
      </c>
      <c r="P2296">
        <v>2</v>
      </c>
      <c r="Q2296">
        <v>0</v>
      </c>
      <c r="R2296" t="s">
        <v>4557</v>
      </c>
      <c r="S2296" t="s">
        <v>4558</v>
      </c>
      <c r="T2296" t="s">
        <v>4559</v>
      </c>
      <c r="U2296" t="s">
        <v>4560</v>
      </c>
      <c r="V2296" s="2">
        <v>525</v>
      </c>
      <c r="W2296" t="s">
        <v>4655</v>
      </c>
      <c r="X2296" s="2">
        <v>0</v>
      </c>
      <c r="Y2296">
        <v>20</v>
      </c>
      <c r="Z2296" t="s">
        <v>5200</v>
      </c>
      <c r="AA2296" s="3">
        <v>0.15798898041248299</v>
      </c>
      <c r="AB2296" t="s">
        <v>7755</v>
      </c>
      <c r="AC2296" t="s">
        <v>4562</v>
      </c>
      <c r="AD2296" t="s">
        <v>7756</v>
      </c>
      <c r="AE2296" t="s">
        <v>4655</v>
      </c>
      <c r="AF2296" t="s">
        <v>4809</v>
      </c>
      <c r="AG2296" t="s">
        <v>4564</v>
      </c>
      <c r="AH2296" t="s">
        <v>1350</v>
      </c>
      <c r="AI2296" t="s">
        <v>4045</v>
      </c>
      <c r="AJ2296" t="s">
        <v>4655</v>
      </c>
      <c r="AK2296" t="s">
        <v>14577</v>
      </c>
      <c r="AL2296" s="13" t="s">
        <v>1886</v>
      </c>
      <c r="AM2296" s="14">
        <v>1</v>
      </c>
      <c r="AN2296" s="15" t="s">
        <v>5531</v>
      </c>
    </row>
    <row r="2297" spans="1:40" x14ac:dyDescent="0.3">
      <c r="A2297" s="10" t="str">
        <f>HYPERLINK("http://www.washoecounty.gov/assessor/cama/?parid=030-134-11&amp;CardNumber=1","030-134-11")</f>
        <v>030-134-11</v>
      </c>
      <c r="B2297" t="s">
        <v>4655</v>
      </c>
      <c r="C2297" t="s">
        <v>14578</v>
      </c>
      <c r="D2297" s="1">
        <v>40459</v>
      </c>
      <c r="E2297" s="2">
        <v>145000</v>
      </c>
      <c r="F2297" t="s">
        <v>4553</v>
      </c>
      <c r="G2297" s="17" t="str">
        <f>HYPERLINK("https://www.washoecounty.gov/assessor/cama/?command=sales&amp;parid=03013411","3931099")</f>
        <v>3931099</v>
      </c>
      <c r="H2297" t="s">
        <v>14579</v>
      </c>
      <c r="I2297">
        <v>1978</v>
      </c>
      <c r="J2297">
        <v>1978</v>
      </c>
      <c r="K2297" t="s">
        <v>4554</v>
      </c>
      <c r="L2297" t="s">
        <v>4555</v>
      </c>
      <c r="M2297" s="2">
        <v>1767</v>
      </c>
      <c r="N2297" t="s">
        <v>4048</v>
      </c>
      <c r="O2297">
        <v>3</v>
      </c>
      <c r="P2297">
        <v>2</v>
      </c>
      <c r="Q2297">
        <v>0</v>
      </c>
      <c r="R2297" t="s">
        <v>5281</v>
      </c>
      <c r="S2297" t="s">
        <v>4558</v>
      </c>
      <c r="T2297" t="s">
        <v>4559</v>
      </c>
      <c r="U2297" t="s">
        <v>4560</v>
      </c>
      <c r="V2297" s="2">
        <v>525</v>
      </c>
      <c r="W2297" t="s">
        <v>4655</v>
      </c>
      <c r="X2297" s="2">
        <v>0</v>
      </c>
      <c r="Y2297">
        <v>20</v>
      </c>
      <c r="Z2297" t="s">
        <v>5200</v>
      </c>
      <c r="AA2297" s="3">
        <v>0.29100093245506298</v>
      </c>
      <c r="AB2297" t="s">
        <v>14580</v>
      </c>
      <c r="AC2297" t="s">
        <v>4575</v>
      </c>
      <c r="AD2297" t="s">
        <v>14581</v>
      </c>
      <c r="AE2297" t="s">
        <v>4655</v>
      </c>
      <c r="AF2297" t="s">
        <v>2157</v>
      </c>
      <c r="AG2297" t="s">
        <v>4584</v>
      </c>
      <c r="AH2297" t="s">
        <v>14582</v>
      </c>
      <c r="AI2297" t="s">
        <v>1673</v>
      </c>
      <c r="AJ2297" t="s">
        <v>4655</v>
      </c>
      <c r="AK2297" t="s">
        <v>14583</v>
      </c>
      <c r="AL2297" s="13" t="s">
        <v>3425</v>
      </c>
      <c r="AM2297" s="14">
        <v>1</v>
      </c>
      <c r="AN2297" s="15" t="s">
        <v>5531</v>
      </c>
    </row>
    <row r="2298" spans="1:40" x14ac:dyDescent="0.3">
      <c r="A2298" s="10" t="str">
        <f>HYPERLINK("http://www.washoecounty.gov/assessor/cama/?parid=030-134-18&amp;CardNumber=1","030-134-18")</f>
        <v>030-134-18</v>
      </c>
      <c r="B2298" t="s">
        <v>4655</v>
      </c>
      <c r="C2298" t="s">
        <v>14584</v>
      </c>
      <c r="D2298" s="1">
        <v>40487</v>
      </c>
      <c r="E2298" s="2">
        <v>105000</v>
      </c>
      <c r="F2298" t="s">
        <v>4567</v>
      </c>
      <c r="G2298" s="17" t="str">
        <f>HYPERLINK("https://www.washoecounty.gov/assessor/cama/?command=sales&amp;parid=03013418","3940342")</f>
        <v>3940342</v>
      </c>
      <c r="H2298" t="s">
        <v>5532</v>
      </c>
      <c r="I2298">
        <v>1978</v>
      </c>
      <c r="J2298">
        <v>1978</v>
      </c>
      <c r="K2298" t="s">
        <v>4554</v>
      </c>
      <c r="L2298" t="s">
        <v>4555</v>
      </c>
      <c r="M2298" s="2">
        <v>1256</v>
      </c>
      <c r="N2298" t="s">
        <v>4048</v>
      </c>
      <c r="O2298">
        <v>3</v>
      </c>
      <c r="P2298">
        <v>2</v>
      </c>
      <c r="Q2298">
        <v>0</v>
      </c>
      <c r="R2298" t="s">
        <v>5281</v>
      </c>
      <c r="S2298" t="s">
        <v>4558</v>
      </c>
      <c r="T2298" t="s">
        <v>4559</v>
      </c>
      <c r="U2298" t="s">
        <v>4560</v>
      </c>
      <c r="V2298" s="2">
        <v>462</v>
      </c>
      <c r="W2298" t="s">
        <v>4655</v>
      </c>
      <c r="X2298" s="2">
        <v>0</v>
      </c>
      <c r="Y2298">
        <v>20</v>
      </c>
      <c r="Z2298" t="s">
        <v>5200</v>
      </c>
      <c r="AA2298" s="3">
        <v>0.16799816489219666</v>
      </c>
      <c r="AB2298" t="s">
        <v>14585</v>
      </c>
      <c r="AC2298" t="s">
        <v>4575</v>
      </c>
      <c r="AD2298" t="s">
        <v>14584</v>
      </c>
      <c r="AE2298" t="s">
        <v>4655</v>
      </c>
      <c r="AF2298" t="s">
        <v>5201</v>
      </c>
      <c r="AG2298" t="s">
        <v>4564</v>
      </c>
      <c r="AH2298" t="s">
        <v>3898</v>
      </c>
      <c r="AI2298" t="s">
        <v>14586</v>
      </c>
      <c r="AJ2298" t="s">
        <v>4655</v>
      </c>
      <c r="AK2298" t="s">
        <v>14587</v>
      </c>
      <c r="AL2298" s="13" t="s">
        <v>3425</v>
      </c>
      <c r="AM2298" s="14">
        <v>1</v>
      </c>
      <c r="AN2298" s="15" t="s">
        <v>5531</v>
      </c>
    </row>
    <row r="2299" spans="1:40" x14ac:dyDescent="0.3">
      <c r="A2299" s="10" t="str">
        <f>HYPERLINK("http://www.washoecounty.gov/assessor/cama/?parid=030-137-01&amp;CardNumber=1","030-137-01")</f>
        <v>030-137-01</v>
      </c>
      <c r="B2299" t="s">
        <v>4655</v>
      </c>
      <c r="C2299" t="s">
        <v>14588</v>
      </c>
      <c r="D2299" s="1">
        <v>40471</v>
      </c>
      <c r="E2299" s="2">
        <v>153000</v>
      </c>
      <c r="F2299" t="s">
        <v>4567</v>
      </c>
      <c r="G2299" s="17" t="str">
        <f>HYPERLINK("https://www.washoecounty.gov/assessor/cama/?command=sales&amp;parid=03013701","3934879")</f>
        <v>3934879</v>
      </c>
      <c r="H2299" t="s">
        <v>5532</v>
      </c>
      <c r="I2299">
        <v>1978</v>
      </c>
      <c r="J2299">
        <v>1978</v>
      </c>
      <c r="K2299" t="s">
        <v>4554</v>
      </c>
      <c r="L2299" t="s">
        <v>3974</v>
      </c>
      <c r="M2299" s="2">
        <v>2018</v>
      </c>
      <c r="N2299" t="s">
        <v>4048</v>
      </c>
      <c r="O2299">
        <v>4</v>
      </c>
      <c r="P2299">
        <v>2</v>
      </c>
      <c r="Q2299">
        <v>1</v>
      </c>
      <c r="R2299" t="s">
        <v>4557</v>
      </c>
      <c r="S2299" t="s">
        <v>4558</v>
      </c>
      <c r="T2299" t="s">
        <v>4559</v>
      </c>
      <c r="U2299" t="s">
        <v>4560</v>
      </c>
      <c r="V2299" s="2">
        <v>484</v>
      </c>
      <c r="W2299" t="s">
        <v>4655</v>
      </c>
      <c r="X2299" s="2">
        <v>0</v>
      </c>
      <c r="Y2299">
        <v>20</v>
      </c>
      <c r="Z2299" t="s">
        <v>5200</v>
      </c>
      <c r="AA2299" s="3">
        <v>0.14201101660728499</v>
      </c>
      <c r="AB2299" t="s">
        <v>14589</v>
      </c>
      <c r="AC2299" t="s">
        <v>4562</v>
      </c>
      <c r="AD2299" t="s">
        <v>14588</v>
      </c>
      <c r="AE2299" t="s">
        <v>4655</v>
      </c>
      <c r="AF2299" t="s">
        <v>5201</v>
      </c>
      <c r="AG2299" t="s">
        <v>4564</v>
      </c>
      <c r="AH2299" t="s">
        <v>3898</v>
      </c>
      <c r="AI2299" t="s">
        <v>14590</v>
      </c>
      <c r="AJ2299" t="s">
        <v>4655</v>
      </c>
      <c r="AK2299" t="s">
        <v>14591</v>
      </c>
      <c r="AL2299" s="13" t="s">
        <v>3425</v>
      </c>
      <c r="AM2299" s="14">
        <v>1</v>
      </c>
      <c r="AN2299" s="15" t="s">
        <v>5531</v>
      </c>
    </row>
    <row r="2300" spans="1:40" x14ac:dyDescent="0.3">
      <c r="A2300" s="10" t="str">
        <f>HYPERLINK("http://www.washoecounty.gov/assessor/cama/?parid=030-137-02&amp;CardNumber=1","030-137-02")</f>
        <v>030-137-02</v>
      </c>
      <c r="B2300" t="s">
        <v>4655</v>
      </c>
      <c r="C2300" t="s">
        <v>14592</v>
      </c>
      <c r="D2300" s="1">
        <v>40262</v>
      </c>
      <c r="E2300" s="2">
        <v>140000</v>
      </c>
      <c r="F2300" t="s">
        <v>4567</v>
      </c>
      <c r="G2300" s="17" t="str">
        <f>HYPERLINK("https://www.washoecounty.gov/assessor/cama/?command=sales&amp;parid=03013702","3863843")</f>
        <v>3863843</v>
      </c>
      <c r="H2300" t="s">
        <v>14593</v>
      </c>
      <c r="I2300">
        <v>1978</v>
      </c>
      <c r="J2300">
        <v>1978</v>
      </c>
      <c r="K2300" t="s">
        <v>4554</v>
      </c>
      <c r="L2300" t="s">
        <v>4555</v>
      </c>
      <c r="M2300" s="2">
        <v>1256</v>
      </c>
      <c r="N2300" t="s">
        <v>4048</v>
      </c>
      <c r="O2300">
        <v>3</v>
      </c>
      <c r="P2300">
        <v>2</v>
      </c>
      <c r="Q2300">
        <v>0</v>
      </c>
      <c r="R2300" t="s">
        <v>5281</v>
      </c>
      <c r="S2300" t="s">
        <v>4558</v>
      </c>
      <c r="T2300" t="s">
        <v>4559</v>
      </c>
      <c r="U2300" t="s">
        <v>4560</v>
      </c>
      <c r="V2300" s="2">
        <v>462</v>
      </c>
      <c r="W2300" t="s">
        <v>4655</v>
      </c>
      <c r="X2300" s="2">
        <v>0</v>
      </c>
      <c r="Y2300">
        <v>20</v>
      </c>
      <c r="Z2300" t="s">
        <v>5200</v>
      </c>
      <c r="AA2300" s="3">
        <v>0.13700643181800801</v>
      </c>
      <c r="AB2300" t="s">
        <v>14594</v>
      </c>
      <c r="AC2300" t="s">
        <v>4562</v>
      </c>
      <c r="AD2300" t="s">
        <v>14592</v>
      </c>
      <c r="AE2300" t="s">
        <v>4655</v>
      </c>
      <c r="AF2300" t="s">
        <v>5201</v>
      </c>
      <c r="AG2300" t="s">
        <v>4564</v>
      </c>
      <c r="AH2300" t="s">
        <v>3898</v>
      </c>
      <c r="AI2300" t="s">
        <v>14595</v>
      </c>
      <c r="AJ2300" t="s">
        <v>4655</v>
      </c>
      <c r="AK2300" t="s">
        <v>14596</v>
      </c>
      <c r="AL2300" s="13" t="s">
        <v>3425</v>
      </c>
      <c r="AM2300">
        <v>1</v>
      </c>
      <c r="AN2300" s="15" t="s">
        <v>5531</v>
      </c>
    </row>
    <row r="2301" spans="1:40" x14ac:dyDescent="0.3">
      <c r="A2301" s="10" t="str">
        <f>HYPERLINK("http://www.washoecounty.gov/assessor/cama/?parid=030-142-05&amp;CardNumber=1","030-142-05")</f>
        <v>030-142-05</v>
      </c>
      <c r="B2301" t="s">
        <v>4655</v>
      </c>
      <c r="C2301" t="s">
        <v>14597</v>
      </c>
      <c r="D2301" s="1">
        <v>40515</v>
      </c>
      <c r="E2301" s="2">
        <v>124300</v>
      </c>
      <c r="F2301" t="s">
        <v>4553</v>
      </c>
      <c r="G2301" s="17" t="str">
        <f>HYPERLINK("https://www.washoecounty.gov/assessor/cama/?command=sales&amp;parid=03014205","3949307")</f>
        <v>3949307</v>
      </c>
      <c r="H2301" t="s">
        <v>5536</v>
      </c>
      <c r="I2301">
        <v>1979</v>
      </c>
      <c r="J2301">
        <v>1979</v>
      </c>
      <c r="K2301" t="s">
        <v>4554</v>
      </c>
      <c r="L2301" t="s">
        <v>3974</v>
      </c>
      <c r="M2301" s="2">
        <v>2018</v>
      </c>
      <c r="N2301" t="s">
        <v>4048</v>
      </c>
      <c r="O2301">
        <v>4</v>
      </c>
      <c r="P2301">
        <v>2</v>
      </c>
      <c r="Q2301">
        <v>1</v>
      </c>
      <c r="R2301" t="s">
        <v>5281</v>
      </c>
      <c r="S2301" t="s">
        <v>4558</v>
      </c>
      <c r="T2301" t="s">
        <v>4559</v>
      </c>
      <c r="U2301" t="s">
        <v>4560</v>
      </c>
      <c r="V2301" s="2">
        <v>484</v>
      </c>
      <c r="W2301" t="s">
        <v>4655</v>
      </c>
      <c r="X2301" s="2">
        <v>0</v>
      </c>
      <c r="Y2301">
        <v>20</v>
      </c>
      <c r="Z2301" t="s">
        <v>5200</v>
      </c>
      <c r="AA2301" s="3">
        <v>0.13799357414245605</v>
      </c>
      <c r="AB2301" t="s">
        <v>14598</v>
      </c>
      <c r="AC2301" t="s">
        <v>4562</v>
      </c>
      <c r="AD2301" t="s">
        <v>14599</v>
      </c>
      <c r="AE2301" t="s">
        <v>4655</v>
      </c>
      <c r="AF2301" t="s">
        <v>4809</v>
      </c>
      <c r="AG2301" t="s">
        <v>4564</v>
      </c>
      <c r="AH2301" t="s">
        <v>3898</v>
      </c>
      <c r="AI2301" t="s">
        <v>4045</v>
      </c>
      <c r="AJ2301" t="s">
        <v>4655</v>
      </c>
      <c r="AK2301" t="s">
        <v>14600</v>
      </c>
      <c r="AL2301" s="13" t="s">
        <v>3425</v>
      </c>
      <c r="AM2301">
        <v>1</v>
      </c>
      <c r="AN2301" s="15" t="s">
        <v>5531</v>
      </c>
    </row>
    <row r="2302" spans="1:40" x14ac:dyDescent="0.3">
      <c r="A2302" s="10" t="str">
        <f>HYPERLINK("http://www.washoecounty.gov/assessor/cama/?parid=030-145-10&amp;CardNumber=1","030-145-10")</f>
        <v>030-145-10</v>
      </c>
      <c r="B2302" t="s">
        <v>4655</v>
      </c>
      <c r="C2302" t="s">
        <v>14601</v>
      </c>
      <c r="D2302" s="1">
        <v>40438</v>
      </c>
      <c r="E2302" s="2">
        <v>160000</v>
      </c>
      <c r="F2302" t="s">
        <v>4553</v>
      </c>
      <c r="G2302" s="17" t="str">
        <f>HYPERLINK("https://www.washoecounty.gov/assessor/cama/?command=sales&amp;parid=03014510","3923618")</f>
        <v>3923618</v>
      </c>
      <c r="H2302" t="s">
        <v>5536</v>
      </c>
      <c r="I2302">
        <v>1979</v>
      </c>
      <c r="J2302">
        <v>1979</v>
      </c>
      <c r="K2302" t="s">
        <v>4554</v>
      </c>
      <c r="L2302" t="s">
        <v>3974</v>
      </c>
      <c r="M2302" s="2">
        <v>2018</v>
      </c>
      <c r="N2302" t="s">
        <v>4048</v>
      </c>
      <c r="O2302">
        <v>4</v>
      </c>
      <c r="P2302">
        <v>2</v>
      </c>
      <c r="Q2302">
        <v>1</v>
      </c>
      <c r="R2302" t="s">
        <v>4557</v>
      </c>
      <c r="S2302" t="s">
        <v>4558</v>
      </c>
      <c r="T2302" t="s">
        <v>4559</v>
      </c>
      <c r="U2302" t="s">
        <v>4560</v>
      </c>
      <c r="V2302" s="2">
        <v>484</v>
      </c>
      <c r="W2302" t="s">
        <v>4655</v>
      </c>
      <c r="X2302" s="2">
        <v>0</v>
      </c>
      <c r="Y2302">
        <v>20</v>
      </c>
      <c r="Z2302" t="s">
        <v>5200</v>
      </c>
      <c r="AA2302" s="3">
        <v>0.13799357414245605</v>
      </c>
      <c r="AB2302" t="s">
        <v>14602</v>
      </c>
      <c r="AC2302" t="s">
        <v>4562</v>
      </c>
      <c r="AD2302" t="s">
        <v>14601</v>
      </c>
      <c r="AE2302" t="s">
        <v>4655</v>
      </c>
      <c r="AF2302" t="s">
        <v>5201</v>
      </c>
      <c r="AG2302" t="s">
        <v>4564</v>
      </c>
      <c r="AH2302" t="s">
        <v>3898</v>
      </c>
      <c r="AI2302" t="s">
        <v>4903</v>
      </c>
      <c r="AJ2302" t="s">
        <v>4655</v>
      </c>
      <c r="AK2302" t="s">
        <v>14603</v>
      </c>
      <c r="AL2302" s="13" t="s">
        <v>3425</v>
      </c>
      <c r="AM2302">
        <v>1</v>
      </c>
      <c r="AN2302" s="15" t="s">
        <v>5531</v>
      </c>
    </row>
    <row r="2303" spans="1:40" x14ac:dyDescent="0.3">
      <c r="A2303" s="10" t="str">
        <f>HYPERLINK("http://www.washoecounty.gov/assessor/cama/?parid=030-152-24&amp;CardNumber=1","030-152-24")</f>
        <v>030-152-24</v>
      </c>
      <c r="B2303" t="s">
        <v>4655</v>
      </c>
      <c r="C2303" t="s">
        <v>14604</v>
      </c>
      <c r="D2303" s="1">
        <v>40235</v>
      </c>
      <c r="E2303" s="2">
        <v>96600</v>
      </c>
      <c r="F2303" t="s">
        <v>4553</v>
      </c>
      <c r="G2303" s="17" t="str">
        <f>HYPERLINK("https://www.washoecounty.gov/assessor/cama/?command=sales&amp;parid=03015224","3853207")</f>
        <v>3853207</v>
      </c>
      <c r="H2303" t="s">
        <v>5536</v>
      </c>
      <c r="I2303">
        <v>1980</v>
      </c>
      <c r="J2303">
        <v>1980</v>
      </c>
      <c r="K2303" t="s">
        <v>4554</v>
      </c>
      <c r="L2303" t="s">
        <v>4555</v>
      </c>
      <c r="M2303" s="2">
        <v>1160</v>
      </c>
      <c r="N2303" t="s">
        <v>4048</v>
      </c>
      <c r="O2303">
        <v>3</v>
      </c>
      <c r="P2303">
        <v>2</v>
      </c>
      <c r="Q2303">
        <v>0</v>
      </c>
      <c r="R2303" t="s">
        <v>4557</v>
      </c>
      <c r="S2303" t="s">
        <v>4558</v>
      </c>
      <c r="T2303" t="s">
        <v>4559</v>
      </c>
      <c r="U2303" t="s">
        <v>4560</v>
      </c>
      <c r="V2303" s="2">
        <v>420</v>
      </c>
      <c r="W2303" t="s">
        <v>4655</v>
      </c>
      <c r="X2303" s="2">
        <v>0</v>
      </c>
      <c r="Y2303">
        <v>20</v>
      </c>
      <c r="Z2303" t="s">
        <v>5200</v>
      </c>
      <c r="AA2303" s="3">
        <v>0.21600091457366899</v>
      </c>
      <c r="AB2303" t="s">
        <v>4901</v>
      </c>
      <c r="AC2303" t="s">
        <v>4575</v>
      </c>
      <c r="AD2303" t="s">
        <v>14605</v>
      </c>
      <c r="AE2303" t="s">
        <v>4655</v>
      </c>
      <c r="AF2303" t="s">
        <v>5201</v>
      </c>
      <c r="AG2303" t="s">
        <v>4564</v>
      </c>
      <c r="AH2303" t="s">
        <v>1350</v>
      </c>
      <c r="AI2303" t="s">
        <v>14606</v>
      </c>
      <c r="AJ2303" t="s">
        <v>4655</v>
      </c>
      <c r="AK2303" t="s">
        <v>14607</v>
      </c>
      <c r="AL2303" s="13" t="s">
        <v>3425</v>
      </c>
      <c r="AM2303" s="14">
        <v>1</v>
      </c>
      <c r="AN2303" s="15" t="s">
        <v>5531</v>
      </c>
    </row>
    <row r="2304" spans="1:40" x14ac:dyDescent="0.3">
      <c r="A2304" s="10" t="str">
        <f>HYPERLINK("http://www.washoecounty.gov/assessor/cama/?parid=030-153-02&amp;CardNumber=1","030-153-02")</f>
        <v>030-153-02</v>
      </c>
      <c r="B2304" t="s">
        <v>4655</v>
      </c>
      <c r="C2304" t="s">
        <v>14608</v>
      </c>
      <c r="D2304" s="1">
        <v>40214</v>
      </c>
      <c r="E2304" s="2">
        <v>169900</v>
      </c>
      <c r="F2304" t="s">
        <v>4567</v>
      </c>
      <c r="G2304" s="17" t="str">
        <f>HYPERLINK("https://www.washoecounty.gov/assessor/cama/?command=sales&amp;parid=03015302","3846491")</f>
        <v>3846491</v>
      </c>
      <c r="H2304" t="s">
        <v>5536</v>
      </c>
      <c r="I2304">
        <v>1980</v>
      </c>
      <c r="J2304">
        <v>1980</v>
      </c>
      <c r="K2304" t="s">
        <v>4554</v>
      </c>
      <c r="L2304" t="s">
        <v>3974</v>
      </c>
      <c r="M2304" s="2">
        <v>2018</v>
      </c>
      <c r="N2304" t="s">
        <v>4048</v>
      </c>
      <c r="O2304">
        <v>4</v>
      </c>
      <c r="P2304">
        <v>2</v>
      </c>
      <c r="Q2304">
        <v>1</v>
      </c>
      <c r="R2304" t="s">
        <v>4557</v>
      </c>
      <c r="S2304" t="s">
        <v>4558</v>
      </c>
      <c r="T2304" t="s">
        <v>4143</v>
      </c>
      <c r="U2304" t="s">
        <v>4560</v>
      </c>
      <c r="V2304" s="2">
        <v>484</v>
      </c>
      <c r="W2304" t="s">
        <v>4655</v>
      </c>
      <c r="X2304" s="2">
        <v>0</v>
      </c>
      <c r="Y2304">
        <v>20</v>
      </c>
      <c r="Z2304" t="s">
        <v>5200</v>
      </c>
      <c r="AA2304" s="3">
        <v>0.14499540627002699</v>
      </c>
      <c r="AB2304" t="s">
        <v>14609</v>
      </c>
      <c r="AC2304" t="s">
        <v>4562</v>
      </c>
      <c r="AD2304" t="s">
        <v>14608</v>
      </c>
      <c r="AE2304" t="s">
        <v>4655</v>
      </c>
      <c r="AF2304" t="s">
        <v>5201</v>
      </c>
      <c r="AG2304" t="s">
        <v>4564</v>
      </c>
      <c r="AH2304" t="s">
        <v>3898</v>
      </c>
      <c r="AI2304" t="s">
        <v>10141</v>
      </c>
      <c r="AJ2304" t="s">
        <v>4655</v>
      </c>
      <c r="AK2304" t="s">
        <v>14610</v>
      </c>
      <c r="AL2304" s="13" t="s">
        <v>3425</v>
      </c>
      <c r="AM2304" s="14">
        <v>1</v>
      </c>
      <c r="AN2304" s="15" t="s">
        <v>5531</v>
      </c>
    </row>
    <row r="2305" spans="1:40" x14ac:dyDescent="0.3">
      <c r="A2305" s="10" t="str">
        <f>HYPERLINK("http://www.washoecounty.gov/assessor/cama/?parid=030-153-13&amp;CardNumber=1","030-153-13")</f>
        <v>030-153-13</v>
      </c>
      <c r="B2305" t="s">
        <v>4655</v>
      </c>
      <c r="C2305" t="s">
        <v>14611</v>
      </c>
      <c r="D2305" s="1">
        <v>40249</v>
      </c>
      <c r="E2305" s="2">
        <v>158900</v>
      </c>
      <c r="F2305" t="s">
        <v>4553</v>
      </c>
      <c r="G2305" s="17" t="str">
        <f>HYPERLINK("https://www.washoecounty.gov/assessor/cama/?command=sales&amp;parid=03015313","3859540")</f>
        <v>3859540</v>
      </c>
      <c r="H2305" t="s">
        <v>5536</v>
      </c>
      <c r="I2305">
        <v>1980</v>
      </c>
      <c r="J2305">
        <v>1980</v>
      </c>
      <c r="K2305" t="s">
        <v>4554</v>
      </c>
      <c r="L2305" t="s">
        <v>3974</v>
      </c>
      <c r="M2305" s="2">
        <v>2018</v>
      </c>
      <c r="N2305" t="s">
        <v>4048</v>
      </c>
      <c r="O2305">
        <v>4</v>
      </c>
      <c r="P2305">
        <v>2</v>
      </c>
      <c r="Q2305">
        <v>1</v>
      </c>
      <c r="R2305" t="s">
        <v>4557</v>
      </c>
      <c r="S2305" t="s">
        <v>4558</v>
      </c>
      <c r="T2305" t="s">
        <v>4559</v>
      </c>
      <c r="U2305" t="s">
        <v>4560</v>
      </c>
      <c r="V2305" s="2">
        <v>484</v>
      </c>
      <c r="W2305" t="s">
        <v>4655</v>
      </c>
      <c r="X2305" s="2">
        <v>0</v>
      </c>
      <c r="Y2305">
        <v>20</v>
      </c>
      <c r="Z2305" t="s">
        <v>5200</v>
      </c>
      <c r="AA2305" s="3">
        <v>0.14499540627002699</v>
      </c>
      <c r="AB2305" t="s">
        <v>14612</v>
      </c>
      <c r="AC2305" t="s">
        <v>4575</v>
      </c>
      <c r="AD2305" t="s">
        <v>14611</v>
      </c>
      <c r="AE2305" t="s">
        <v>4655</v>
      </c>
      <c r="AF2305" t="s">
        <v>5201</v>
      </c>
      <c r="AG2305" t="s">
        <v>4564</v>
      </c>
      <c r="AH2305" t="s">
        <v>3898</v>
      </c>
      <c r="AI2305" t="s">
        <v>4655</v>
      </c>
      <c r="AJ2305" t="s">
        <v>4655</v>
      </c>
      <c r="AK2305" t="s">
        <v>14613</v>
      </c>
      <c r="AL2305" s="13" t="s">
        <v>3425</v>
      </c>
      <c r="AM2305">
        <v>1</v>
      </c>
      <c r="AN2305" s="15" t="s">
        <v>5531</v>
      </c>
    </row>
    <row r="2306" spans="1:40" x14ac:dyDescent="0.3">
      <c r="A2306" s="10" t="str">
        <f>HYPERLINK("http://www.washoecounty.gov/assessor/cama/?parid=030-161-01&amp;CardNumber=1","030-161-01")</f>
        <v>030-161-01</v>
      </c>
      <c r="B2306" t="s">
        <v>4655</v>
      </c>
      <c r="C2306" t="s">
        <v>14614</v>
      </c>
      <c r="D2306" s="1">
        <v>40385</v>
      </c>
      <c r="E2306" s="2">
        <v>149900</v>
      </c>
      <c r="F2306" t="s">
        <v>4567</v>
      </c>
      <c r="G2306" s="17" t="str">
        <f>HYPERLINK("https://www.washoecounty.gov/assessor/cama/?command=sales&amp;parid=03016101","3904903")</f>
        <v>3904903</v>
      </c>
      <c r="H2306" t="s">
        <v>5536</v>
      </c>
      <c r="I2306">
        <v>1981</v>
      </c>
      <c r="J2306">
        <v>1981</v>
      </c>
      <c r="K2306" t="s">
        <v>4554</v>
      </c>
      <c r="L2306" t="s">
        <v>4555</v>
      </c>
      <c r="M2306" s="2">
        <v>1642</v>
      </c>
      <c r="N2306" t="s">
        <v>4048</v>
      </c>
      <c r="O2306">
        <v>3</v>
      </c>
      <c r="P2306">
        <v>2</v>
      </c>
      <c r="Q2306">
        <v>0</v>
      </c>
      <c r="R2306" t="s">
        <v>4557</v>
      </c>
      <c r="S2306" t="s">
        <v>4558</v>
      </c>
      <c r="T2306" t="s">
        <v>4559</v>
      </c>
      <c r="U2306" t="s">
        <v>4560</v>
      </c>
      <c r="V2306" s="2">
        <v>472</v>
      </c>
      <c r="W2306" t="s">
        <v>4655</v>
      </c>
      <c r="X2306" s="2">
        <v>0</v>
      </c>
      <c r="Y2306">
        <v>20</v>
      </c>
      <c r="Z2306" t="s">
        <v>5200</v>
      </c>
      <c r="AA2306" s="3">
        <v>0.14400826394558</v>
      </c>
      <c r="AB2306" t="s">
        <v>14615</v>
      </c>
      <c r="AC2306" t="s">
        <v>4562</v>
      </c>
      <c r="AD2306" t="s">
        <v>3799</v>
      </c>
      <c r="AE2306" t="s">
        <v>4655</v>
      </c>
      <c r="AF2306" t="s">
        <v>4563</v>
      </c>
      <c r="AG2306" t="s">
        <v>4564</v>
      </c>
      <c r="AH2306">
        <v>89511</v>
      </c>
      <c r="AI2306" t="s">
        <v>14616</v>
      </c>
      <c r="AJ2306" t="s">
        <v>4655</v>
      </c>
      <c r="AK2306" t="s">
        <v>14617</v>
      </c>
      <c r="AL2306" s="13" t="s">
        <v>3425</v>
      </c>
      <c r="AM2306" s="14">
        <v>1</v>
      </c>
      <c r="AN2306" s="15" t="s">
        <v>5531</v>
      </c>
    </row>
    <row r="2307" spans="1:40" x14ac:dyDescent="0.3">
      <c r="A2307" s="10" t="str">
        <f>HYPERLINK("http://www.washoecounty.gov/assessor/cama/?parid=030-171-07&amp;CardNumber=1","030-171-07")</f>
        <v>030-171-07</v>
      </c>
      <c r="B2307" t="s">
        <v>4655</v>
      </c>
      <c r="C2307" t="s">
        <v>14618</v>
      </c>
      <c r="D2307" s="1">
        <v>40539</v>
      </c>
      <c r="E2307" s="2">
        <v>144900</v>
      </c>
      <c r="F2307" t="s">
        <v>4553</v>
      </c>
      <c r="G2307" s="17" t="str">
        <f>HYPERLINK("https://www.washoecounty.gov/assessor/cama/?command=sales&amp;parid=03017107","3957255")</f>
        <v>3957255</v>
      </c>
      <c r="H2307" t="s">
        <v>1962</v>
      </c>
      <c r="I2307">
        <v>1983</v>
      </c>
      <c r="J2307">
        <v>1983</v>
      </c>
      <c r="K2307" t="s">
        <v>4554</v>
      </c>
      <c r="L2307" t="s">
        <v>4555</v>
      </c>
      <c r="M2307" s="2">
        <v>1397</v>
      </c>
      <c r="N2307" t="s">
        <v>4048</v>
      </c>
      <c r="O2307">
        <v>3</v>
      </c>
      <c r="P2307">
        <v>2</v>
      </c>
      <c r="Q2307">
        <v>0</v>
      </c>
      <c r="R2307" t="s">
        <v>4557</v>
      </c>
      <c r="S2307" t="s">
        <v>4135</v>
      </c>
      <c r="T2307" t="s">
        <v>4559</v>
      </c>
      <c r="U2307" t="s">
        <v>4560</v>
      </c>
      <c r="V2307" s="2">
        <v>465</v>
      </c>
      <c r="W2307" t="s">
        <v>4655</v>
      </c>
      <c r="X2307" s="2">
        <v>0</v>
      </c>
      <c r="Y2307">
        <v>20</v>
      </c>
      <c r="Z2307" t="s">
        <v>4051</v>
      </c>
      <c r="AA2307" s="3">
        <v>0.16900826990604401</v>
      </c>
      <c r="AB2307" t="s">
        <v>14619</v>
      </c>
      <c r="AC2307" t="s">
        <v>4562</v>
      </c>
      <c r="AD2307" t="s">
        <v>14618</v>
      </c>
      <c r="AE2307" t="s">
        <v>4655</v>
      </c>
      <c r="AF2307" t="s">
        <v>5201</v>
      </c>
      <c r="AG2307" t="s">
        <v>4564</v>
      </c>
      <c r="AH2307" t="s">
        <v>3898</v>
      </c>
      <c r="AI2307" t="s">
        <v>4903</v>
      </c>
      <c r="AJ2307" t="s">
        <v>4655</v>
      </c>
      <c r="AK2307" t="s">
        <v>14620</v>
      </c>
      <c r="AL2307" s="13" t="s">
        <v>1886</v>
      </c>
      <c r="AM2307">
        <v>1</v>
      </c>
      <c r="AN2307" s="15" t="s">
        <v>5531</v>
      </c>
    </row>
    <row r="2308" spans="1:40" x14ac:dyDescent="0.3">
      <c r="A2308" s="10" t="str">
        <f>HYPERLINK("http://www.washoecounty.gov/assessor/cama/?parid=030-171-24&amp;CardNumber=1","030-171-24")</f>
        <v>030-171-24</v>
      </c>
      <c r="B2308" t="s">
        <v>4655</v>
      </c>
      <c r="C2308" t="s">
        <v>14621</v>
      </c>
      <c r="D2308" s="1">
        <v>40529</v>
      </c>
      <c r="E2308" s="2">
        <v>166000</v>
      </c>
      <c r="F2308" t="s">
        <v>4553</v>
      </c>
      <c r="G2308" s="17" t="str">
        <f>HYPERLINK("https://www.washoecounty.gov/assessor/cama/?command=sales&amp;parid=03017124","3955156")</f>
        <v>3955156</v>
      </c>
      <c r="H2308" t="s">
        <v>4431</v>
      </c>
      <c r="I2308">
        <v>1985</v>
      </c>
      <c r="J2308">
        <v>1986</v>
      </c>
      <c r="K2308" t="s">
        <v>4554</v>
      </c>
      <c r="L2308" t="s">
        <v>4555</v>
      </c>
      <c r="M2308" s="2">
        <v>2122</v>
      </c>
      <c r="N2308" t="s">
        <v>4048</v>
      </c>
      <c r="O2308">
        <v>4</v>
      </c>
      <c r="P2308">
        <v>3</v>
      </c>
      <c r="Q2308">
        <v>0</v>
      </c>
      <c r="R2308" t="s">
        <v>4557</v>
      </c>
      <c r="S2308" t="s">
        <v>4558</v>
      </c>
      <c r="T2308" t="s">
        <v>4559</v>
      </c>
      <c r="U2308" t="s">
        <v>5631</v>
      </c>
      <c r="V2308" s="2">
        <v>472</v>
      </c>
      <c r="W2308" t="s">
        <v>4655</v>
      </c>
      <c r="X2308" s="2">
        <v>0</v>
      </c>
      <c r="Y2308">
        <v>20</v>
      </c>
      <c r="Z2308" t="s">
        <v>4051</v>
      </c>
      <c r="AA2308" s="3">
        <v>0.15199723839759827</v>
      </c>
      <c r="AB2308" t="s">
        <v>14622</v>
      </c>
      <c r="AC2308" t="s">
        <v>4562</v>
      </c>
      <c r="AD2308" t="s">
        <v>14621</v>
      </c>
      <c r="AE2308" t="s">
        <v>4655</v>
      </c>
      <c r="AF2308" t="s">
        <v>5201</v>
      </c>
      <c r="AG2308" t="s">
        <v>4564</v>
      </c>
      <c r="AH2308" t="s">
        <v>3898</v>
      </c>
      <c r="AI2308" t="s">
        <v>14623</v>
      </c>
      <c r="AJ2308" t="s">
        <v>4655</v>
      </c>
      <c r="AK2308" t="s">
        <v>14624</v>
      </c>
      <c r="AL2308" s="13" t="s">
        <v>1886</v>
      </c>
      <c r="AM2308" s="14">
        <v>1</v>
      </c>
      <c r="AN2308" s="15" t="s">
        <v>5531</v>
      </c>
    </row>
    <row r="2309" spans="1:40" x14ac:dyDescent="0.3">
      <c r="A2309" s="10" t="str">
        <f>HYPERLINK("http://www.washoecounty.gov/assessor/cama/?parid=030-171-26&amp;CardNumber=1","030-171-26")</f>
        <v>030-171-26</v>
      </c>
      <c r="B2309" t="s">
        <v>4655</v>
      </c>
      <c r="C2309" t="s">
        <v>14625</v>
      </c>
      <c r="D2309" s="1">
        <v>40354</v>
      </c>
      <c r="E2309" s="2">
        <v>135000</v>
      </c>
      <c r="F2309" t="s">
        <v>4567</v>
      </c>
      <c r="G2309" s="17" t="str">
        <f>HYPERLINK("https://www.washoecounty.gov/assessor/cama/?command=sales&amp;parid=03017126","3895459")</f>
        <v>3895459</v>
      </c>
      <c r="H2309" t="s">
        <v>14626</v>
      </c>
      <c r="I2309">
        <v>1985</v>
      </c>
      <c r="J2309">
        <v>1985</v>
      </c>
      <c r="K2309" t="s">
        <v>4554</v>
      </c>
      <c r="L2309" t="s">
        <v>4555</v>
      </c>
      <c r="M2309" s="2">
        <v>1642</v>
      </c>
      <c r="N2309" t="s">
        <v>4048</v>
      </c>
      <c r="O2309">
        <v>3</v>
      </c>
      <c r="P2309">
        <v>2</v>
      </c>
      <c r="Q2309">
        <v>0</v>
      </c>
      <c r="R2309" t="s">
        <v>4557</v>
      </c>
      <c r="S2309" t="s">
        <v>4558</v>
      </c>
      <c r="T2309" t="s">
        <v>2947</v>
      </c>
      <c r="U2309" t="s">
        <v>4560</v>
      </c>
      <c r="V2309" s="2">
        <v>472</v>
      </c>
      <c r="W2309" t="s">
        <v>4655</v>
      </c>
      <c r="X2309" s="2">
        <v>0</v>
      </c>
      <c r="Y2309">
        <v>20</v>
      </c>
      <c r="Z2309" t="s">
        <v>4051</v>
      </c>
      <c r="AA2309" s="3">
        <v>0.17499999701976801</v>
      </c>
      <c r="AB2309" t="s">
        <v>14627</v>
      </c>
      <c r="AC2309" t="s">
        <v>4562</v>
      </c>
      <c r="AD2309" t="s">
        <v>14628</v>
      </c>
      <c r="AE2309" t="s">
        <v>4655</v>
      </c>
      <c r="AF2309" t="s">
        <v>5201</v>
      </c>
      <c r="AG2309" t="s">
        <v>4564</v>
      </c>
      <c r="AH2309" t="s">
        <v>1605</v>
      </c>
      <c r="AI2309" t="s">
        <v>14629</v>
      </c>
      <c r="AJ2309" t="s">
        <v>4655</v>
      </c>
      <c r="AK2309" t="s">
        <v>14630</v>
      </c>
      <c r="AL2309" s="13" t="s">
        <v>1886</v>
      </c>
      <c r="AM2309" s="14">
        <v>1</v>
      </c>
      <c r="AN2309" s="15" t="s">
        <v>5531</v>
      </c>
    </row>
    <row r="2310" spans="1:40" x14ac:dyDescent="0.3">
      <c r="A2310" s="10" t="str">
        <f>HYPERLINK("http://www.washoecounty.gov/assessor/cama/?parid=030-173-05&amp;CardNumber=1","030-173-05")</f>
        <v>030-173-05</v>
      </c>
      <c r="B2310" t="s">
        <v>4655</v>
      </c>
      <c r="C2310" t="s">
        <v>14631</v>
      </c>
      <c r="D2310" s="1">
        <v>40193</v>
      </c>
      <c r="E2310" s="2">
        <v>110500</v>
      </c>
      <c r="F2310" t="s">
        <v>4553</v>
      </c>
      <c r="G2310" s="17" t="str">
        <f>HYPERLINK("https://www.washoecounty.gov/assessor/cama/?command=sales&amp;parid=03017305","3840144")</f>
        <v>3840144</v>
      </c>
      <c r="H2310" t="s">
        <v>14632</v>
      </c>
      <c r="I2310">
        <v>1985</v>
      </c>
      <c r="J2310">
        <v>1985</v>
      </c>
      <c r="K2310" t="s">
        <v>4554</v>
      </c>
      <c r="L2310" t="s">
        <v>4555</v>
      </c>
      <c r="M2310" s="2">
        <v>1022</v>
      </c>
      <c r="N2310" t="s">
        <v>4048</v>
      </c>
      <c r="O2310">
        <v>2</v>
      </c>
      <c r="P2310">
        <v>2</v>
      </c>
      <c r="Q2310">
        <v>0</v>
      </c>
      <c r="R2310" t="s">
        <v>4557</v>
      </c>
      <c r="S2310" t="s">
        <v>4558</v>
      </c>
      <c r="T2310" t="s">
        <v>4559</v>
      </c>
      <c r="U2310" t="s">
        <v>4560</v>
      </c>
      <c r="V2310" s="2">
        <v>421</v>
      </c>
      <c r="W2310" t="s">
        <v>4655</v>
      </c>
      <c r="X2310" s="2">
        <v>0</v>
      </c>
      <c r="Y2310">
        <v>20</v>
      </c>
      <c r="Z2310" t="s">
        <v>4051</v>
      </c>
      <c r="AA2310" s="3">
        <v>0.107988983392715</v>
      </c>
      <c r="AB2310" t="s">
        <v>14633</v>
      </c>
      <c r="AC2310" t="s">
        <v>4562</v>
      </c>
      <c r="AD2310" t="s">
        <v>14631</v>
      </c>
      <c r="AE2310" t="s">
        <v>4655</v>
      </c>
      <c r="AF2310" t="s">
        <v>5201</v>
      </c>
      <c r="AG2310" t="s">
        <v>4564</v>
      </c>
      <c r="AH2310" t="s">
        <v>3898</v>
      </c>
      <c r="AI2310" t="s">
        <v>14634</v>
      </c>
      <c r="AJ2310" t="s">
        <v>4655</v>
      </c>
      <c r="AK2310" t="s">
        <v>14635</v>
      </c>
      <c r="AL2310" s="13" t="s">
        <v>3425</v>
      </c>
      <c r="AM2310">
        <v>1</v>
      </c>
      <c r="AN2310" s="15" t="s">
        <v>5531</v>
      </c>
    </row>
    <row r="2311" spans="1:40" x14ac:dyDescent="0.3">
      <c r="A2311" s="10" t="str">
        <f>HYPERLINK("http://www.washoecounty.gov/assessor/cama/?parid=030-174-03&amp;CardNumber=1","030-174-03")</f>
        <v>030-174-03</v>
      </c>
      <c r="B2311" t="s">
        <v>4655</v>
      </c>
      <c r="C2311" t="s">
        <v>14636</v>
      </c>
      <c r="D2311" s="1">
        <v>40494</v>
      </c>
      <c r="E2311" s="2">
        <v>129900</v>
      </c>
      <c r="F2311" t="s">
        <v>4553</v>
      </c>
      <c r="G2311" s="17" t="str">
        <f>HYPERLINK("https://www.washoecounty.gov/assessor/cama/?command=sales&amp;parid=03017403","3942534")</f>
        <v>3942534</v>
      </c>
      <c r="H2311" t="s">
        <v>14637</v>
      </c>
      <c r="I2311">
        <v>1986</v>
      </c>
      <c r="J2311">
        <v>1986</v>
      </c>
      <c r="K2311" t="s">
        <v>4554</v>
      </c>
      <c r="L2311" t="s">
        <v>3974</v>
      </c>
      <c r="M2311" s="2">
        <v>1454</v>
      </c>
      <c r="N2311" t="s">
        <v>4048</v>
      </c>
      <c r="O2311">
        <v>3</v>
      </c>
      <c r="P2311">
        <v>2</v>
      </c>
      <c r="Q2311">
        <v>1</v>
      </c>
      <c r="R2311" t="s">
        <v>4557</v>
      </c>
      <c r="S2311" t="s">
        <v>4558</v>
      </c>
      <c r="T2311" t="s">
        <v>4559</v>
      </c>
      <c r="U2311" t="s">
        <v>4560</v>
      </c>
      <c r="V2311" s="2">
        <v>448</v>
      </c>
      <c r="W2311" t="s">
        <v>4655</v>
      </c>
      <c r="X2311" s="2">
        <v>0</v>
      </c>
      <c r="Y2311">
        <v>20</v>
      </c>
      <c r="Z2311" t="s">
        <v>4051</v>
      </c>
      <c r="AA2311" s="3">
        <v>0.114990815520287</v>
      </c>
      <c r="AB2311" t="s">
        <v>14638</v>
      </c>
      <c r="AC2311" t="s">
        <v>4562</v>
      </c>
      <c r="AD2311" t="s">
        <v>14639</v>
      </c>
      <c r="AE2311" t="s">
        <v>4655</v>
      </c>
      <c r="AF2311" t="s">
        <v>4809</v>
      </c>
      <c r="AG2311" t="s">
        <v>4564</v>
      </c>
      <c r="AH2311" t="s">
        <v>3898</v>
      </c>
      <c r="AI2311" t="s">
        <v>2351</v>
      </c>
      <c r="AJ2311" t="s">
        <v>4655</v>
      </c>
      <c r="AK2311" t="s">
        <v>14640</v>
      </c>
      <c r="AL2311" s="13" t="s">
        <v>1886</v>
      </c>
      <c r="AM2311">
        <v>1</v>
      </c>
      <c r="AN2311" s="15" t="s">
        <v>5531</v>
      </c>
    </row>
    <row r="2312" spans="1:40" x14ac:dyDescent="0.3">
      <c r="A2312" s="10" t="str">
        <f>HYPERLINK("http://www.washoecounty.gov/assessor/cama/?parid=030-203-07&amp;CardNumber=1","030-203-07")</f>
        <v>030-203-07</v>
      </c>
      <c r="B2312" t="s">
        <v>4655</v>
      </c>
      <c r="C2312" t="s">
        <v>14641</v>
      </c>
      <c r="D2312" s="1">
        <v>40464</v>
      </c>
      <c r="E2312" s="2">
        <v>275000</v>
      </c>
      <c r="F2312" t="s">
        <v>4567</v>
      </c>
      <c r="G2312" s="17" t="str">
        <f>HYPERLINK("https://www.washoecounty.gov/assessor/cama/?command=sales&amp;parid=03020307","3932648")</f>
        <v>3932648</v>
      </c>
      <c r="H2312" t="s">
        <v>5109</v>
      </c>
      <c r="I2312">
        <v>1985</v>
      </c>
      <c r="J2312">
        <v>1985</v>
      </c>
      <c r="K2312" t="s">
        <v>4554</v>
      </c>
      <c r="L2312" t="s">
        <v>4555</v>
      </c>
      <c r="M2312" s="2">
        <v>2069</v>
      </c>
      <c r="N2312" t="s">
        <v>3147</v>
      </c>
      <c r="O2312">
        <v>3</v>
      </c>
      <c r="P2312">
        <v>2</v>
      </c>
      <c r="Q2312">
        <v>1</v>
      </c>
      <c r="R2312" t="s">
        <v>5281</v>
      </c>
      <c r="S2312" t="s">
        <v>4135</v>
      </c>
      <c r="T2312" t="s">
        <v>4143</v>
      </c>
      <c r="U2312" t="s">
        <v>4560</v>
      </c>
      <c r="V2312" s="2">
        <v>648</v>
      </c>
      <c r="W2312" t="s">
        <v>3149</v>
      </c>
      <c r="X2312" s="2">
        <v>578</v>
      </c>
      <c r="Y2312">
        <v>20</v>
      </c>
      <c r="Z2312" t="s">
        <v>3700</v>
      </c>
      <c r="AA2312" s="3">
        <v>1.1390036344528101</v>
      </c>
      <c r="AB2312" t="s">
        <v>14642</v>
      </c>
      <c r="AC2312" t="s">
        <v>4562</v>
      </c>
      <c r="AD2312" t="s">
        <v>14641</v>
      </c>
      <c r="AE2312" t="s">
        <v>4655</v>
      </c>
      <c r="AF2312" t="s">
        <v>5201</v>
      </c>
      <c r="AG2312" t="s">
        <v>4564</v>
      </c>
      <c r="AH2312" t="s">
        <v>3898</v>
      </c>
      <c r="AI2312" t="s">
        <v>14643</v>
      </c>
      <c r="AJ2312" t="s">
        <v>4655</v>
      </c>
      <c r="AK2312" t="s">
        <v>14644</v>
      </c>
      <c r="AL2312" s="13" t="s">
        <v>1889</v>
      </c>
      <c r="AM2312">
        <v>1</v>
      </c>
      <c r="AN2312" s="15" t="s">
        <v>5110</v>
      </c>
    </row>
    <row r="2313" spans="1:40" x14ac:dyDescent="0.3">
      <c r="A2313" s="10" t="str">
        <f>HYPERLINK("http://www.washoecounty.gov/assessor/cama/?parid=030-211-10&amp;CardNumber=1","030-211-10")</f>
        <v>030-211-10</v>
      </c>
      <c r="B2313" t="s">
        <v>4655</v>
      </c>
      <c r="C2313" t="s">
        <v>14645</v>
      </c>
      <c r="D2313" s="1">
        <v>40347</v>
      </c>
      <c r="E2313" s="2">
        <v>155000</v>
      </c>
      <c r="F2313" t="s">
        <v>4567</v>
      </c>
      <c r="G2313" s="17" t="str">
        <f>HYPERLINK("https://www.washoecounty.gov/assessor/cama/?command=sales&amp;parid=03021110","3893523")</f>
        <v>3893523</v>
      </c>
      <c r="H2313" t="s">
        <v>14646</v>
      </c>
      <c r="I2313">
        <v>1978</v>
      </c>
      <c r="J2313">
        <v>1978</v>
      </c>
      <c r="K2313" t="s">
        <v>4554</v>
      </c>
      <c r="L2313" t="s">
        <v>4555</v>
      </c>
      <c r="M2313" s="2">
        <v>1430</v>
      </c>
      <c r="N2313" t="s">
        <v>4048</v>
      </c>
      <c r="O2313">
        <v>3</v>
      </c>
      <c r="P2313">
        <v>2</v>
      </c>
      <c r="Q2313">
        <v>0</v>
      </c>
      <c r="R2313" t="s">
        <v>4557</v>
      </c>
      <c r="S2313" t="s">
        <v>4558</v>
      </c>
      <c r="T2313" t="s">
        <v>4559</v>
      </c>
      <c r="U2313" t="s">
        <v>4560</v>
      </c>
      <c r="V2313" s="2">
        <v>405</v>
      </c>
      <c r="W2313" t="s">
        <v>4655</v>
      </c>
      <c r="X2313" s="2">
        <v>0</v>
      </c>
      <c r="Y2313">
        <v>20</v>
      </c>
      <c r="Z2313" t="s">
        <v>5200</v>
      </c>
      <c r="AA2313" s="3">
        <v>0.15500459074974099</v>
      </c>
      <c r="AB2313" t="s">
        <v>14647</v>
      </c>
      <c r="AC2313" t="s">
        <v>4562</v>
      </c>
      <c r="AD2313" t="s">
        <v>14645</v>
      </c>
      <c r="AE2313" t="s">
        <v>4655</v>
      </c>
      <c r="AF2313" t="s">
        <v>5201</v>
      </c>
      <c r="AG2313" t="s">
        <v>4564</v>
      </c>
      <c r="AH2313" t="s">
        <v>3898</v>
      </c>
      <c r="AI2313" t="s">
        <v>14648</v>
      </c>
      <c r="AJ2313" t="s">
        <v>4655</v>
      </c>
      <c r="AK2313" t="s">
        <v>14649</v>
      </c>
      <c r="AL2313" s="13" t="s">
        <v>1886</v>
      </c>
      <c r="AM2313">
        <v>1</v>
      </c>
      <c r="AN2313" s="15" t="s">
        <v>5531</v>
      </c>
    </row>
    <row r="2314" spans="1:40" x14ac:dyDescent="0.3">
      <c r="A2314" s="10" t="str">
        <f>HYPERLINK("http://www.washoecounty.gov/assessor/cama/?parid=030-211-16&amp;CardNumber=1","030-211-16")</f>
        <v>030-211-16</v>
      </c>
      <c r="B2314" t="s">
        <v>4655</v>
      </c>
      <c r="C2314" t="s">
        <v>14650</v>
      </c>
      <c r="D2314" s="1">
        <v>40451</v>
      </c>
      <c r="E2314" s="2">
        <v>145000</v>
      </c>
      <c r="F2314" t="s">
        <v>4567</v>
      </c>
      <c r="G2314" s="17" t="str">
        <f>HYPERLINK("https://www.washoecounty.gov/assessor/cama/?command=sales&amp;parid=03021116","3928128")</f>
        <v>3928128</v>
      </c>
      <c r="H2314" t="s">
        <v>4420</v>
      </c>
      <c r="I2314">
        <v>1978</v>
      </c>
      <c r="J2314">
        <v>1978</v>
      </c>
      <c r="K2314" t="s">
        <v>4554</v>
      </c>
      <c r="L2314" t="s">
        <v>4555</v>
      </c>
      <c r="M2314" s="2">
        <v>1826</v>
      </c>
      <c r="N2314" t="s">
        <v>4048</v>
      </c>
      <c r="O2314">
        <v>4</v>
      </c>
      <c r="P2314">
        <v>2</v>
      </c>
      <c r="Q2314">
        <v>0</v>
      </c>
      <c r="R2314" t="s">
        <v>4557</v>
      </c>
      <c r="S2314" t="s">
        <v>4558</v>
      </c>
      <c r="T2314" t="s">
        <v>4559</v>
      </c>
      <c r="U2314" t="s">
        <v>4560</v>
      </c>
      <c r="V2314" s="2">
        <v>495</v>
      </c>
      <c r="W2314" t="s">
        <v>4655</v>
      </c>
      <c r="X2314" s="2">
        <v>0</v>
      </c>
      <c r="Y2314">
        <v>20</v>
      </c>
      <c r="Z2314" t="s">
        <v>5200</v>
      </c>
      <c r="AA2314" s="3">
        <v>0.18599632382392883</v>
      </c>
      <c r="AB2314" t="s">
        <v>14651</v>
      </c>
      <c r="AC2314" t="s">
        <v>4562</v>
      </c>
      <c r="AD2314" t="s">
        <v>14652</v>
      </c>
      <c r="AE2314" t="s">
        <v>4655</v>
      </c>
      <c r="AF2314" t="s">
        <v>5201</v>
      </c>
      <c r="AG2314" t="s">
        <v>4564</v>
      </c>
      <c r="AH2314" t="s">
        <v>3898</v>
      </c>
      <c r="AI2314" t="s">
        <v>14653</v>
      </c>
      <c r="AJ2314" t="s">
        <v>4655</v>
      </c>
      <c r="AK2314" t="s">
        <v>14654</v>
      </c>
      <c r="AL2314" s="13" t="s">
        <v>3425</v>
      </c>
      <c r="AM2314">
        <v>1</v>
      </c>
      <c r="AN2314" s="15" t="s">
        <v>5531</v>
      </c>
    </row>
    <row r="2315" spans="1:40" x14ac:dyDescent="0.3">
      <c r="A2315" s="10" t="str">
        <f>HYPERLINK("http://www.washoecounty.gov/assessor/cama/?parid=030-211-37&amp;CardNumber=1","030-211-37")</f>
        <v>030-211-37</v>
      </c>
      <c r="B2315" t="s">
        <v>4655</v>
      </c>
      <c r="C2315" t="s">
        <v>14655</v>
      </c>
      <c r="D2315" s="1">
        <v>40373</v>
      </c>
      <c r="E2315" s="2">
        <v>128000</v>
      </c>
      <c r="F2315" t="s">
        <v>4553</v>
      </c>
      <c r="G2315" s="17" t="str">
        <f>HYPERLINK("https://www.washoecounty.gov/assessor/cama/?command=sales&amp;parid=03021137","3901162")</f>
        <v>3901162</v>
      </c>
      <c r="H2315" t="s">
        <v>14656</v>
      </c>
      <c r="I2315">
        <v>1984</v>
      </c>
      <c r="J2315">
        <v>1984</v>
      </c>
      <c r="K2315" t="s">
        <v>4554</v>
      </c>
      <c r="L2315" t="s">
        <v>4555</v>
      </c>
      <c r="M2315" s="2">
        <v>1292</v>
      </c>
      <c r="N2315" t="s">
        <v>4048</v>
      </c>
      <c r="O2315">
        <v>3</v>
      </c>
      <c r="P2315">
        <v>2</v>
      </c>
      <c r="Q2315">
        <v>0</v>
      </c>
      <c r="R2315" t="s">
        <v>4557</v>
      </c>
      <c r="S2315" t="s">
        <v>4558</v>
      </c>
      <c r="T2315" t="s">
        <v>4559</v>
      </c>
      <c r="U2315" t="s">
        <v>4560</v>
      </c>
      <c r="V2315" s="2">
        <v>468</v>
      </c>
      <c r="W2315" t="s">
        <v>4655</v>
      </c>
      <c r="X2315" s="2">
        <v>0</v>
      </c>
      <c r="Y2315">
        <v>20</v>
      </c>
      <c r="Z2315" t="s">
        <v>5200</v>
      </c>
      <c r="AA2315" s="3">
        <v>0.14299815893173218</v>
      </c>
      <c r="AB2315" t="s">
        <v>14657</v>
      </c>
      <c r="AC2315" t="s">
        <v>4562</v>
      </c>
      <c r="AD2315" t="s">
        <v>14655</v>
      </c>
      <c r="AE2315" t="s">
        <v>4655</v>
      </c>
      <c r="AF2315" t="s">
        <v>5201</v>
      </c>
      <c r="AG2315" t="s">
        <v>4564</v>
      </c>
      <c r="AH2315" t="s">
        <v>3898</v>
      </c>
      <c r="AI2315" t="s">
        <v>1602</v>
      </c>
      <c r="AJ2315" t="s">
        <v>4655</v>
      </c>
      <c r="AK2315" t="s">
        <v>14658</v>
      </c>
      <c r="AL2315" s="13" t="s">
        <v>1886</v>
      </c>
      <c r="AM2315">
        <v>1</v>
      </c>
      <c r="AN2315" s="15" t="s">
        <v>5531</v>
      </c>
    </row>
    <row r="2316" spans="1:40" x14ac:dyDescent="0.3">
      <c r="A2316" s="10" t="str">
        <f>HYPERLINK("http://www.washoecounty.gov/assessor/cama/?parid=030-212-07&amp;CardNumber=1","030-212-07")</f>
        <v>030-212-07</v>
      </c>
      <c r="B2316" t="s">
        <v>4655</v>
      </c>
      <c r="C2316" t="s">
        <v>14659</v>
      </c>
      <c r="D2316" s="1">
        <v>40500</v>
      </c>
      <c r="E2316" s="2">
        <v>150000</v>
      </c>
      <c r="F2316" t="s">
        <v>4567</v>
      </c>
      <c r="G2316" s="17" t="str">
        <f>HYPERLINK("https://www.washoecounty.gov/assessor/cama/?command=sales&amp;parid=03021207","3944609")</f>
        <v>3944609</v>
      </c>
      <c r="H2316" t="s">
        <v>4420</v>
      </c>
      <c r="I2316">
        <v>1979</v>
      </c>
      <c r="J2316">
        <v>1979</v>
      </c>
      <c r="K2316" t="s">
        <v>4554</v>
      </c>
      <c r="L2316" t="s">
        <v>3974</v>
      </c>
      <c r="M2316" s="2">
        <v>2130</v>
      </c>
      <c r="N2316" t="s">
        <v>4048</v>
      </c>
      <c r="O2316">
        <v>4</v>
      </c>
      <c r="P2316">
        <v>2</v>
      </c>
      <c r="Q2316">
        <v>1</v>
      </c>
      <c r="R2316" t="s">
        <v>4557</v>
      </c>
      <c r="S2316" t="s">
        <v>4898</v>
      </c>
      <c r="T2316" t="s">
        <v>4559</v>
      </c>
      <c r="U2316" t="s">
        <v>4560</v>
      </c>
      <c r="V2316" s="2">
        <v>456</v>
      </c>
      <c r="W2316" t="s">
        <v>4655</v>
      </c>
      <c r="X2316" s="2">
        <v>0</v>
      </c>
      <c r="Y2316">
        <v>20</v>
      </c>
      <c r="Z2316" t="s">
        <v>5200</v>
      </c>
      <c r="AA2316" s="3">
        <v>0.15000000596046401</v>
      </c>
      <c r="AB2316" t="s">
        <v>14660</v>
      </c>
      <c r="AC2316" t="s">
        <v>4562</v>
      </c>
      <c r="AD2316" t="s">
        <v>14659</v>
      </c>
      <c r="AE2316" t="s">
        <v>4655</v>
      </c>
      <c r="AF2316" t="s">
        <v>5201</v>
      </c>
      <c r="AG2316" t="s">
        <v>4564</v>
      </c>
      <c r="AH2316" t="s">
        <v>3898</v>
      </c>
      <c r="AI2316" t="s">
        <v>14661</v>
      </c>
      <c r="AJ2316" t="s">
        <v>4655</v>
      </c>
      <c r="AK2316" t="s">
        <v>14662</v>
      </c>
      <c r="AL2316" s="13" t="s">
        <v>1886</v>
      </c>
      <c r="AM2316">
        <v>1</v>
      </c>
      <c r="AN2316" s="15" t="s">
        <v>5531</v>
      </c>
    </row>
    <row r="2317" spans="1:40" x14ac:dyDescent="0.3">
      <c r="A2317" s="10" t="str">
        <f>HYPERLINK("http://www.washoecounty.gov/assessor/cama/?parid=030-214-06&amp;CardNumber=1","030-214-06")</f>
        <v>030-214-06</v>
      </c>
      <c r="B2317" t="s">
        <v>4655</v>
      </c>
      <c r="C2317" t="s">
        <v>14663</v>
      </c>
      <c r="D2317" s="1">
        <v>40233</v>
      </c>
      <c r="E2317" s="2">
        <v>155000</v>
      </c>
      <c r="F2317" t="s">
        <v>4567</v>
      </c>
      <c r="G2317" s="17" t="str">
        <f>HYPERLINK("https://www.washoecounty.gov/assessor/cama/?command=sales&amp;parid=03021406","3852434")</f>
        <v>3852434</v>
      </c>
      <c r="H2317" t="s">
        <v>14664</v>
      </c>
      <c r="I2317">
        <v>1979</v>
      </c>
      <c r="J2317">
        <v>1979</v>
      </c>
      <c r="K2317" t="s">
        <v>4554</v>
      </c>
      <c r="L2317" t="s">
        <v>4555</v>
      </c>
      <c r="M2317" s="2">
        <v>1430</v>
      </c>
      <c r="N2317" t="s">
        <v>4048</v>
      </c>
      <c r="O2317">
        <v>3</v>
      </c>
      <c r="P2317">
        <v>2</v>
      </c>
      <c r="Q2317">
        <v>0</v>
      </c>
      <c r="R2317" t="s">
        <v>5281</v>
      </c>
      <c r="S2317" t="s">
        <v>4558</v>
      </c>
      <c r="T2317" t="s">
        <v>4559</v>
      </c>
      <c r="U2317" t="s">
        <v>4560</v>
      </c>
      <c r="V2317" s="2">
        <v>405</v>
      </c>
      <c r="W2317" t="s">
        <v>4655</v>
      </c>
      <c r="X2317" s="2">
        <v>0</v>
      </c>
      <c r="Y2317">
        <v>20</v>
      </c>
      <c r="Z2317" t="s">
        <v>5200</v>
      </c>
      <c r="AA2317" s="3">
        <v>0.14600551128387501</v>
      </c>
      <c r="AB2317" t="s">
        <v>14665</v>
      </c>
      <c r="AC2317" t="s">
        <v>4562</v>
      </c>
      <c r="AD2317" t="s">
        <v>14663</v>
      </c>
      <c r="AE2317" t="s">
        <v>4655</v>
      </c>
      <c r="AF2317" t="s">
        <v>5201</v>
      </c>
      <c r="AG2317" t="s">
        <v>4564</v>
      </c>
      <c r="AH2317" t="s">
        <v>3898</v>
      </c>
      <c r="AI2317" t="s">
        <v>14666</v>
      </c>
      <c r="AJ2317" t="s">
        <v>4655</v>
      </c>
      <c r="AK2317" t="s">
        <v>14667</v>
      </c>
      <c r="AL2317" s="13" t="s">
        <v>3425</v>
      </c>
      <c r="AM2317" s="14">
        <v>1</v>
      </c>
      <c r="AN2317" s="15" t="s">
        <v>5531</v>
      </c>
    </row>
    <row r="2318" spans="1:40" x14ac:dyDescent="0.3">
      <c r="A2318" s="10" t="str">
        <f>HYPERLINK("http://www.washoecounty.gov/assessor/cama/?parid=030-214-11&amp;CardNumber=1","030-214-11")</f>
        <v>030-214-11</v>
      </c>
      <c r="B2318" t="s">
        <v>4655</v>
      </c>
      <c r="C2318" t="s">
        <v>14668</v>
      </c>
      <c r="D2318" s="1">
        <v>40479</v>
      </c>
      <c r="E2318" s="2">
        <v>144000</v>
      </c>
      <c r="F2318" t="s">
        <v>4567</v>
      </c>
      <c r="G2318" s="17" t="str">
        <f>HYPERLINK("https://www.washoecounty.gov/assessor/cama/?command=sales&amp;parid=03021411","3937603")</f>
        <v>3937603</v>
      </c>
      <c r="H2318" t="s">
        <v>1957</v>
      </c>
      <c r="I2318">
        <v>1979</v>
      </c>
      <c r="J2318">
        <v>1979</v>
      </c>
      <c r="K2318" t="s">
        <v>4554</v>
      </c>
      <c r="L2318" t="s">
        <v>4555</v>
      </c>
      <c r="M2318" s="2">
        <v>1622</v>
      </c>
      <c r="N2318" t="s">
        <v>4048</v>
      </c>
      <c r="O2318">
        <v>3</v>
      </c>
      <c r="P2318">
        <v>2</v>
      </c>
      <c r="Q2318">
        <v>0</v>
      </c>
      <c r="R2318" t="s">
        <v>4557</v>
      </c>
      <c r="S2318" t="s">
        <v>4558</v>
      </c>
      <c r="T2318" t="s">
        <v>4559</v>
      </c>
      <c r="U2318" t="s">
        <v>4560</v>
      </c>
      <c r="V2318" s="2">
        <v>440</v>
      </c>
      <c r="W2318" t="s">
        <v>4655</v>
      </c>
      <c r="X2318" s="2">
        <v>0</v>
      </c>
      <c r="Y2318">
        <v>20</v>
      </c>
      <c r="Z2318" t="s">
        <v>5200</v>
      </c>
      <c r="AA2318" s="3">
        <v>0.16299356520175901</v>
      </c>
      <c r="AB2318" t="s">
        <v>14669</v>
      </c>
      <c r="AC2318" t="s">
        <v>4562</v>
      </c>
      <c r="AD2318" t="s">
        <v>14670</v>
      </c>
      <c r="AE2318" t="s">
        <v>14671</v>
      </c>
      <c r="AF2318" t="s">
        <v>5201</v>
      </c>
      <c r="AG2318" t="s">
        <v>4564</v>
      </c>
      <c r="AH2318" t="s">
        <v>1350</v>
      </c>
      <c r="AI2318" t="s">
        <v>14672</v>
      </c>
      <c r="AJ2318" t="s">
        <v>4655</v>
      </c>
      <c r="AK2318" t="s">
        <v>14673</v>
      </c>
      <c r="AL2318" s="13" t="s">
        <v>3425</v>
      </c>
      <c r="AM2318">
        <v>1</v>
      </c>
      <c r="AN2318" s="15" t="s">
        <v>5531</v>
      </c>
    </row>
    <row r="2319" spans="1:40" x14ac:dyDescent="0.3">
      <c r="A2319" s="10" t="str">
        <f>HYPERLINK("http://www.washoecounty.gov/assessor/cama/?parid=030-216-01&amp;CardNumber=1","030-216-01")</f>
        <v>030-216-01</v>
      </c>
      <c r="B2319" t="s">
        <v>4655</v>
      </c>
      <c r="C2319" t="s">
        <v>14674</v>
      </c>
      <c r="D2319" s="1">
        <v>40347</v>
      </c>
      <c r="E2319" s="2">
        <v>135000</v>
      </c>
      <c r="F2319" t="s">
        <v>4567</v>
      </c>
      <c r="G2319" s="17" t="str">
        <f>HYPERLINK("https://www.washoecounty.gov/assessor/cama/?command=sales&amp;parid=03021601","3893351")</f>
        <v>3893351</v>
      </c>
      <c r="H2319" t="s">
        <v>131</v>
      </c>
      <c r="I2319">
        <v>1978</v>
      </c>
      <c r="J2319">
        <v>1978</v>
      </c>
      <c r="K2319" t="s">
        <v>4554</v>
      </c>
      <c r="L2319" t="s">
        <v>4555</v>
      </c>
      <c r="M2319" s="2">
        <v>1430</v>
      </c>
      <c r="N2319" t="s">
        <v>4048</v>
      </c>
      <c r="O2319">
        <v>3</v>
      </c>
      <c r="P2319">
        <v>2</v>
      </c>
      <c r="Q2319">
        <v>0</v>
      </c>
      <c r="R2319" t="s">
        <v>4557</v>
      </c>
      <c r="S2319" t="s">
        <v>4558</v>
      </c>
      <c r="T2319" t="s">
        <v>4559</v>
      </c>
      <c r="U2319" t="s">
        <v>4560</v>
      </c>
      <c r="V2319" s="2">
        <v>405</v>
      </c>
      <c r="W2319" t="s">
        <v>4655</v>
      </c>
      <c r="X2319" s="2">
        <v>0</v>
      </c>
      <c r="Y2319">
        <v>20</v>
      </c>
      <c r="Z2319" t="s">
        <v>5200</v>
      </c>
      <c r="AA2319" s="3">
        <v>0.14499540627002699</v>
      </c>
      <c r="AB2319" t="s">
        <v>14675</v>
      </c>
      <c r="AC2319" t="s">
        <v>4575</v>
      </c>
      <c r="AD2319" t="s">
        <v>14674</v>
      </c>
      <c r="AE2319" t="s">
        <v>4655</v>
      </c>
      <c r="AF2319" t="s">
        <v>5201</v>
      </c>
      <c r="AG2319" t="s">
        <v>4564</v>
      </c>
      <c r="AH2319" t="s">
        <v>3898</v>
      </c>
      <c r="AI2319" t="s">
        <v>14676</v>
      </c>
      <c r="AJ2319" t="s">
        <v>4655</v>
      </c>
      <c r="AK2319" t="s">
        <v>14677</v>
      </c>
      <c r="AL2319" s="13" t="s">
        <v>3425</v>
      </c>
      <c r="AM2319">
        <v>1</v>
      </c>
      <c r="AN2319" s="15" t="s">
        <v>5531</v>
      </c>
    </row>
    <row r="2320" spans="1:40" x14ac:dyDescent="0.3">
      <c r="A2320" s="10" t="str">
        <f>HYPERLINK("http://www.washoecounty.gov/assessor/cama/?parid=030-231-29&amp;CardNumber=1","030-231-29")</f>
        <v>030-231-29</v>
      </c>
      <c r="B2320" t="s">
        <v>4655</v>
      </c>
      <c r="C2320" t="s">
        <v>14678</v>
      </c>
      <c r="D2320" s="1">
        <v>40445</v>
      </c>
      <c r="E2320" s="2">
        <v>169900</v>
      </c>
      <c r="F2320" t="s">
        <v>4553</v>
      </c>
      <c r="G2320" s="17" t="str">
        <f>HYPERLINK("https://www.washoecounty.gov/assessor/cama/?command=sales&amp;parid=03023129","3926217")</f>
        <v>3926217</v>
      </c>
      <c r="H2320" t="s">
        <v>4347</v>
      </c>
      <c r="I2320">
        <v>1980</v>
      </c>
      <c r="J2320">
        <v>1980</v>
      </c>
      <c r="K2320" t="s">
        <v>4554</v>
      </c>
      <c r="L2320" t="s">
        <v>4555</v>
      </c>
      <c r="M2320" s="2">
        <v>1473</v>
      </c>
      <c r="N2320" t="s">
        <v>4048</v>
      </c>
      <c r="O2320">
        <v>3</v>
      </c>
      <c r="P2320">
        <v>2</v>
      </c>
      <c r="Q2320">
        <v>0</v>
      </c>
      <c r="R2320" t="s">
        <v>5281</v>
      </c>
      <c r="S2320" t="s">
        <v>4558</v>
      </c>
      <c r="T2320" t="s">
        <v>4559</v>
      </c>
      <c r="U2320" t="s">
        <v>4560</v>
      </c>
      <c r="V2320" s="2">
        <v>462</v>
      </c>
      <c r="W2320" t="s">
        <v>4655</v>
      </c>
      <c r="X2320" s="2">
        <v>0</v>
      </c>
      <c r="Y2320">
        <v>20</v>
      </c>
      <c r="Z2320" t="s">
        <v>5200</v>
      </c>
      <c r="AA2320" s="3">
        <v>0.25798898935317993</v>
      </c>
      <c r="AB2320" t="s">
        <v>14679</v>
      </c>
      <c r="AC2320" t="s">
        <v>4562</v>
      </c>
      <c r="AD2320" t="s">
        <v>14680</v>
      </c>
      <c r="AE2320" t="s">
        <v>4655</v>
      </c>
      <c r="AF2320" t="s">
        <v>5201</v>
      </c>
      <c r="AG2320" t="s">
        <v>4564</v>
      </c>
      <c r="AH2320" t="s">
        <v>3898</v>
      </c>
      <c r="AI2320" t="s">
        <v>4903</v>
      </c>
      <c r="AJ2320" t="s">
        <v>4655</v>
      </c>
      <c r="AK2320" t="s">
        <v>14681</v>
      </c>
      <c r="AL2320" s="13" t="s">
        <v>3425</v>
      </c>
      <c r="AM2320">
        <v>1</v>
      </c>
      <c r="AN2320" s="15" t="s">
        <v>5531</v>
      </c>
    </row>
    <row r="2321" spans="1:40" x14ac:dyDescent="0.3">
      <c r="A2321" s="10" t="str">
        <f>HYPERLINK("http://www.washoecounty.gov/assessor/cama/?parid=030-231-40&amp;CardNumber=1","030-231-40")</f>
        <v>030-231-40</v>
      </c>
      <c r="B2321" t="s">
        <v>4655</v>
      </c>
      <c r="C2321" t="s">
        <v>14682</v>
      </c>
      <c r="D2321" s="1">
        <v>40486</v>
      </c>
      <c r="E2321" s="2">
        <v>127100</v>
      </c>
      <c r="F2321" t="s">
        <v>4553</v>
      </c>
      <c r="G2321" s="17" t="str">
        <f>HYPERLINK("https://www.washoecounty.gov/assessor/cama/?command=sales&amp;parid=03023140","3940096")</f>
        <v>3940096</v>
      </c>
      <c r="H2321" t="s">
        <v>5549</v>
      </c>
      <c r="I2321">
        <v>1980</v>
      </c>
      <c r="J2321">
        <v>1980</v>
      </c>
      <c r="K2321" t="s">
        <v>4554</v>
      </c>
      <c r="L2321" t="s">
        <v>4555</v>
      </c>
      <c r="M2321" s="2">
        <v>1378</v>
      </c>
      <c r="N2321" t="s">
        <v>4048</v>
      </c>
      <c r="O2321">
        <v>4</v>
      </c>
      <c r="P2321">
        <v>2</v>
      </c>
      <c r="Q2321">
        <v>0</v>
      </c>
      <c r="R2321" t="s">
        <v>4557</v>
      </c>
      <c r="S2321" t="s">
        <v>4558</v>
      </c>
      <c r="T2321" t="s">
        <v>4559</v>
      </c>
      <c r="U2321" t="s">
        <v>4560</v>
      </c>
      <c r="V2321" s="2">
        <v>440</v>
      </c>
      <c r="W2321" t="s">
        <v>4655</v>
      </c>
      <c r="X2321" s="2">
        <v>0</v>
      </c>
      <c r="Y2321">
        <v>20</v>
      </c>
      <c r="Z2321" t="s">
        <v>5200</v>
      </c>
      <c r="AA2321" s="3">
        <v>0.14898990094661699</v>
      </c>
      <c r="AB2321" t="s">
        <v>14683</v>
      </c>
      <c r="AC2321" t="s">
        <v>4562</v>
      </c>
      <c r="AD2321" t="s">
        <v>14684</v>
      </c>
      <c r="AE2321" t="s">
        <v>4655</v>
      </c>
      <c r="AF2321" t="s">
        <v>4809</v>
      </c>
      <c r="AG2321" t="s">
        <v>4564</v>
      </c>
      <c r="AH2321" t="s">
        <v>3898</v>
      </c>
      <c r="AI2321" t="s">
        <v>4565</v>
      </c>
      <c r="AJ2321" t="s">
        <v>4655</v>
      </c>
      <c r="AK2321" t="s">
        <v>14685</v>
      </c>
      <c r="AL2321" s="13" t="s">
        <v>3425</v>
      </c>
      <c r="AM2321">
        <v>1</v>
      </c>
      <c r="AN2321" s="15" t="s">
        <v>5531</v>
      </c>
    </row>
    <row r="2322" spans="1:40" x14ac:dyDescent="0.3">
      <c r="A2322" s="10" t="str">
        <f>HYPERLINK("http://www.washoecounty.gov/assessor/cama/?parid=030-250-12&amp;CardNumber=1","030-250-12")</f>
        <v>030-250-12</v>
      </c>
      <c r="B2322" t="s">
        <v>4655</v>
      </c>
      <c r="C2322" t="s">
        <v>14686</v>
      </c>
      <c r="D2322" s="1">
        <v>40504</v>
      </c>
      <c r="E2322" s="2">
        <v>80000</v>
      </c>
      <c r="F2322" t="s">
        <v>4567</v>
      </c>
      <c r="G2322" s="17" t="str">
        <f>HYPERLINK("https://www.washoecounty.gov/assessor/cama/?command=sales&amp;parid=03025012","3945726")</f>
        <v>3945726</v>
      </c>
      <c r="H2322" t="s">
        <v>14687</v>
      </c>
      <c r="I2322">
        <v>1980</v>
      </c>
      <c r="J2322">
        <v>1980</v>
      </c>
      <c r="K2322" t="s">
        <v>4897</v>
      </c>
      <c r="L2322" t="s">
        <v>4555</v>
      </c>
      <c r="M2322" s="2">
        <v>960</v>
      </c>
      <c r="N2322" t="s">
        <v>4048</v>
      </c>
      <c r="O2322">
        <v>2</v>
      </c>
      <c r="P2322">
        <v>1</v>
      </c>
      <c r="Q2322">
        <v>0</v>
      </c>
      <c r="R2322" t="s">
        <v>4557</v>
      </c>
      <c r="S2322" t="s">
        <v>4558</v>
      </c>
      <c r="T2322" t="s">
        <v>4559</v>
      </c>
      <c r="U2322" t="s">
        <v>4560</v>
      </c>
      <c r="V2322" s="2">
        <v>300</v>
      </c>
      <c r="W2322" t="s">
        <v>4655</v>
      </c>
      <c r="X2322" s="2">
        <v>0</v>
      </c>
      <c r="Y2322">
        <v>20</v>
      </c>
      <c r="Z2322" t="s">
        <v>4908</v>
      </c>
      <c r="AA2322" s="3">
        <v>9.8989896476268796E-2</v>
      </c>
      <c r="AB2322" t="s">
        <v>14688</v>
      </c>
      <c r="AC2322" t="s">
        <v>4562</v>
      </c>
      <c r="AD2322" t="s">
        <v>14686</v>
      </c>
      <c r="AE2322" t="s">
        <v>4655</v>
      </c>
      <c r="AF2322" t="s">
        <v>5201</v>
      </c>
      <c r="AG2322" t="s">
        <v>4564</v>
      </c>
      <c r="AH2322" t="s">
        <v>3898</v>
      </c>
      <c r="AI2322" t="s">
        <v>14689</v>
      </c>
      <c r="AJ2322" t="s">
        <v>4655</v>
      </c>
      <c r="AK2322" t="s">
        <v>14690</v>
      </c>
      <c r="AL2322" s="13" t="s">
        <v>1886</v>
      </c>
      <c r="AM2322" s="14">
        <v>1</v>
      </c>
      <c r="AN2322" s="15" t="s">
        <v>953</v>
      </c>
    </row>
    <row r="2323" spans="1:40" x14ac:dyDescent="0.3">
      <c r="A2323" s="10" t="str">
        <f>HYPERLINK("http://www.washoecounty.gov/assessor/cama/?parid=030-260-15&amp;CardNumber=1","030-260-15")</f>
        <v>030-260-15</v>
      </c>
      <c r="B2323" t="s">
        <v>4655</v>
      </c>
      <c r="C2323" t="s">
        <v>14691</v>
      </c>
      <c r="D2323" s="1">
        <v>40350</v>
      </c>
      <c r="E2323" s="2">
        <v>185000</v>
      </c>
      <c r="F2323" t="s">
        <v>4567</v>
      </c>
      <c r="G2323" s="17" t="str">
        <f>HYPERLINK("https://www.washoecounty.gov/assessor/cama/?command=sales&amp;parid=03026015","3893685")</f>
        <v>3893685</v>
      </c>
      <c r="H2323" t="s">
        <v>759</v>
      </c>
      <c r="I2323">
        <v>1981</v>
      </c>
      <c r="J2323">
        <v>1981</v>
      </c>
      <c r="K2323" t="s">
        <v>4554</v>
      </c>
      <c r="L2323" t="s">
        <v>4555</v>
      </c>
      <c r="M2323" s="2">
        <v>1924</v>
      </c>
      <c r="N2323" t="s">
        <v>4048</v>
      </c>
      <c r="O2323">
        <v>3</v>
      </c>
      <c r="P2323">
        <v>2</v>
      </c>
      <c r="Q2323">
        <v>0</v>
      </c>
      <c r="R2323" t="s">
        <v>4557</v>
      </c>
      <c r="S2323" t="s">
        <v>4558</v>
      </c>
      <c r="T2323" t="s">
        <v>4559</v>
      </c>
      <c r="U2323" t="s">
        <v>4560</v>
      </c>
      <c r="V2323" s="2">
        <v>504</v>
      </c>
      <c r="W2323" t="s">
        <v>4655</v>
      </c>
      <c r="X2323" s="2">
        <v>0</v>
      </c>
      <c r="Y2323">
        <v>20</v>
      </c>
      <c r="Z2323" t="s">
        <v>5200</v>
      </c>
      <c r="AA2323" s="3">
        <v>0.20000000298023199</v>
      </c>
      <c r="AB2323" t="s">
        <v>14692</v>
      </c>
      <c r="AC2323" t="s">
        <v>4562</v>
      </c>
      <c r="AD2323" t="s">
        <v>14693</v>
      </c>
      <c r="AE2323" t="s">
        <v>4655</v>
      </c>
      <c r="AF2323" t="s">
        <v>5201</v>
      </c>
      <c r="AG2323" t="s">
        <v>4564</v>
      </c>
      <c r="AH2323" t="s">
        <v>1605</v>
      </c>
      <c r="AI2323" t="s">
        <v>14694</v>
      </c>
      <c r="AJ2323" t="s">
        <v>4655</v>
      </c>
      <c r="AK2323" t="s">
        <v>14695</v>
      </c>
      <c r="AL2323" s="13" t="s">
        <v>3425</v>
      </c>
      <c r="AM2323" s="14">
        <v>1</v>
      </c>
      <c r="AN2323" s="15" t="s">
        <v>5531</v>
      </c>
    </row>
    <row r="2324" spans="1:40" x14ac:dyDescent="0.3">
      <c r="A2324" s="10" t="str">
        <f>HYPERLINK("http://www.washoecounty.gov/assessor/cama/?parid=030-271-21&amp;CardNumber=1","030-271-21")</f>
        <v>030-271-21</v>
      </c>
      <c r="B2324" t="s">
        <v>4655</v>
      </c>
      <c r="C2324" t="s">
        <v>14696</v>
      </c>
      <c r="D2324" s="1">
        <v>40445</v>
      </c>
      <c r="E2324" s="2">
        <v>150000</v>
      </c>
      <c r="F2324" t="s">
        <v>4567</v>
      </c>
      <c r="G2324" s="17" t="str">
        <f>HYPERLINK("https://www.washoecounty.gov/assessor/cama/?command=sales&amp;parid=03027121","3926202")</f>
        <v>3926202</v>
      </c>
      <c r="H2324" t="s">
        <v>3433</v>
      </c>
      <c r="I2324">
        <v>1983</v>
      </c>
      <c r="J2324">
        <v>1983</v>
      </c>
      <c r="K2324" t="s">
        <v>4554</v>
      </c>
      <c r="L2324" t="s">
        <v>4555</v>
      </c>
      <c r="M2324" s="2">
        <v>1483</v>
      </c>
      <c r="N2324" t="s">
        <v>4048</v>
      </c>
      <c r="O2324">
        <v>3</v>
      </c>
      <c r="P2324">
        <v>2</v>
      </c>
      <c r="Q2324">
        <v>0</v>
      </c>
      <c r="R2324" t="s">
        <v>5281</v>
      </c>
      <c r="S2324" t="s">
        <v>4558</v>
      </c>
      <c r="T2324" t="s">
        <v>4559</v>
      </c>
      <c r="U2324" t="s">
        <v>4560</v>
      </c>
      <c r="V2324" s="2">
        <v>462</v>
      </c>
      <c r="W2324" t="s">
        <v>4655</v>
      </c>
      <c r="X2324" s="2">
        <v>0</v>
      </c>
      <c r="Y2324">
        <v>20</v>
      </c>
      <c r="Z2324" t="s">
        <v>5200</v>
      </c>
      <c r="AA2324" s="3">
        <v>0.13999082148075101</v>
      </c>
      <c r="AB2324" t="s">
        <v>14697</v>
      </c>
      <c r="AC2324" t="s">
        <v>4562</v>
      </c>
      <c r="AD2324" t="s">
        <v>14698</v>
      </c>
      <c r="AE2324" t="s">
        <v>4655</v>
      </c>
      <c r="AF2324" t="s">
        <v>5201</v>
      </c>
      <c r="AG2324" t="s">
        <v>4564</v>
      </c>
      <c r="AH2324" t="s">
        <v>3898</v>
      </c>
      <c r="AI2324" t="s">
        <v>4348</v>
      </c>
      <c r="AJ2324" t="s">
        <v>4655</v>
      </c>
      <c r="AK2324" t="s">
        <v>14699</v>
      </c>
      <c r="AL2324" s="13" t="s">
        <v>1886</v>
      </c>
      <c r="AM2324">
        <v>1</v>
      </c>
      <c r="AN2324" s="15" t="s">
        <v>5531</v>
      </c>
    </row>
    <row r="2325" spans="1:40" x14ac:dyDescent="0.3">
      <c r="A2325" s="10" t="str">
        <f>HYPERLINK("http://www.washoecounty.gov/assessor/cama/?parid=030-272-15&amp;CardNumber=1","030-272-15")</f>
        <v>030-272-15</v>
      </c>
      <c r="B2325" t="s">
        <v>4655</v>
      </c>
      <c r="C2325" t="s">
        <v>14700</v>
      </c>
      <c r="D2325" s="1">
        <v>40319</v>
      </c>
      <c r="E2325" s="2">
        <v>175000</v>
      </c>
      <c r="F2325" t="s">
        <v>4553</v>
      </c>
      <c r="G2325" s="17" t="str">
        <f>HYPERLINK("https://www.washoecounty.gov/assessor/cama/?command=sales&amp;parid=03027215","3883666")</f>
        <v>3883666</v>
      </c>
      <c r="H2325" t="s">
        <v>3433</v>
      </c>
      <c r="I2325">
        <v>1983</v>
      </c>
      <c r="J2325">
        <v>1983</v>
      </c>
      <c r="K2325" t="s">
        <v>4554</v>
      </c>
      <c r="L2325" t="s">
        <v>4555</v>
      </c>
      <c r="M2325" s="2">
        <v>1924</v>
      </c>
      <c r="N2325" t="s">
        <v>4048</v>
      </c>
      <c r="O2325">
        <v>3</v>
      </c>
      <c r="P2325">
        <v>2</v>
      </c>
      <c r="Q2325">
        <v>0</v>
      </c>
      <c r="R2325" t="s">
        <v>4557</v>
      </c>
      <c r="S2325" t="s">
        <v>4558</v>
      </c>
      <c r="T2325" t="s">
        <v>4559</v>
      </c>
      <c r="U2325" t="s">
        <v>4560</v>
      </c>
      <c r="V2325" s="2">
        <v>504</v>
      </c>
      <c r="W2325" t="s">
        <v>4655</v>
      </c>
      <c r="X2325" s="2">
        <v>0</v>
      </c>
      <c r="Y2325">
        <v>20</v>
      </c>
      <c r="Z2325" t="s">
        <v>5200</v>
      </c>
      <c r="AA2325" s="3">
        <v>0.14201101660728499</v>
      </c>
      <c r="AB2325" t="s">
        <v>14701</v>
      </c>
      <c r="AC2325" t="s">
        <v>4562</v>
      </c>
      <c r="AD2325" t="s">
        <v>14700</v>
      </c>
      <c r="AE2325" t="s">
        <v>4655</v>
      </c>
      <c r="AF2325" t="s">
        <v>5201</v>
      </c>
      <c r="AG2325" t="s">
        <v>4564</v>
      </c>
      <c r="AH2325" t="s">
        <v>3898</v>
      </c>
      <c r="AI2325" t="s">
        <v>4903</v>
      </c>
      <c r="AJ2325" t="s">
        <v>4655</v>
      </c>
      <c r="AK2325" t="s">
        <v>14702</v>
      </c>
      <c r="AL2325" s="13" t="s">
        <v>1886</v>
      </c>
      <c r="AM2325" s="14">
        <v>1</v>
      </c>
      <c r="AN2325" s="15" t="s">
        <v>5531</v>
      </c>
    </row>
    <row r="2326" spans="1:40" x14ac:dyDescent="0.3">
      <c r="A2326" s="10" t="str">
        <f>HYPERLINK("http://www.washoecounty.gov/assessor/cama/?parid=030-273-20&amp;CardNumber=1","030-273-20")</f>
        <v>030-273-20</v>
      </c>
      <c r="B2326" t="s">
        <v>4655</v>
      </c>
      <c r="C2326" t="s">
        <v>14703</v>
      </c>
      <c r="D2326" s="1">
        <v>40431</v>
      </c>
      <c r="E2326" s="2">
        <v>126000</v>
      </c>
      <c r="F2326" t="s">
        <v>4553</v>
      </c>
      <c r="G2326" s="17" t="str">
        <f>HYPERLINK("https://www.washoecounty.gov/assessor/cama/?command=sales&amp;parid=03027320","3920957")</f>
        <v>3920957</v>
      </c>
      <c r="H2326" t="s">
        <v>14704</v>
      </c>
      <c r="I2326">
        <v>1993</v>
      </c>
      <c r="J2326">
        <v>1993</v>
      </c>
      <c r="K2326" t="s">
        <v>4554</v>
      </c>
      <c r="L2326" t="s">
        <v>4555</v>
      </c>
      <c r="M2326" s="2">
        <v>1292</v>
      </c>
      <c r="N2326" t="s">
        <v>4048</v>
      </c>
      <c r="O2326">
        <v>3</v>
      </c>
      <c r="P2326">
        <v>2</v>
      </c>
      <c r="Q2326">
        <v>0</v>
      </c>
      <c r="R2326" t="s">
        <v>5281</v>
      </c>
      <c r="S2326" t="s">
        <v>4558</v>
      </c>
      <c r="T2326" t="s">
        <v>4559</v>
      </c>
      <c r="U2326" t="s">
        <v>4560</v>
      </c>
      <c r="V2326" s="2">
        <v>468</v>
      </c>
      <c r="W2326" t="s">
        <v>4655</v>
      </c>
      <c r="X2326" s="2">
        <v>0</v>
      </c>
      <c r="Y2326">
        <v>20</v>
      </c>
      <c r="Z2326" t="s">
        <v>5200</v>
      </c>
      <c r="AA2326" s="3">
        <v>0.160009175539017</v>
      </c>
      <c r="AB2326" t="s">
        <v>14705</v>
      </c>
      <c r="AC2326" t="s">
        <v>4562</v>
      </c>
      <c r="AD2326" t="s">
        <v>14703</v>
      </c>
      <c r="AE2326" t="s">
        <v>4655</v>
      </c>
      <c r="AF2326" t="s">
        <v>5201</v>
      </c>
      <c r="AG2326" t="s">
        <v>4564</v>
      </c>
      <c r="AH2326" t="s">
        <v>3898</v>
      </c>
      <c r="AI2326" t="s">
        <v>378</v>
      </c>
      <c r="AJ2326" t="s">
        <v>4655</v>
      </c>
      <c r="AK2326" t="s">
        <v>14706</v>
      </c>
      <c r="AL2326" s="13" t="s">
        <v>1886</v>
      </c>
      <c r="AM2326">
        <v>1</v>
      </c>
      <c r="AN2326" s="15" t="s">
        <v>5531</v>
      </c>
    </row>
    <row r="2327" spans="1:40" x14ac:dyDescent="0.3">
      <c r="A2327" s="10" t="str">
        <f>HYPERLINK("http://www.washoecounty.gov/assessor/cama/?parid=030-274-11&amp;CardNumber=1","030-274-11")</f>
        <v>030-274-11</v>
      </c>
      <c r="B2327" t="s">
        <v>4655</v>
      </c>
      <c r="C2327" t="s">
        <v>14707</v>
      </c>
      <c r="D2327" s="1">
        <v>40506</v>
      </c>
      <c r="E2327" s="2">
        <v>165000</v>
      </c>
      <c r="F2327" t="s">
        <v>4567</v>
      </c>
      <c r="G2327" s="17" t="str">
        <f>HYPERLINK("https://www.washoecounty.gov/assessor/cama/?command=sales&amp;parid=03027411","3946821")</f>
        <v>3946821</v>
      </c>
      <c r="H2327" t="s">
        <v>3433</v>
      </c>
      <c r="I2327">
        <v>1981</v>
      </c>
      <c r="J2327">
        <v>1982</v>
      </c>
      <c r="K2327" t="s">
        <v>4554</v>
      </c>
      <c r="L2327" t="s">
        <v>3974</v>
      </c>
      <c r="M2327" s="2">
        <v>2394</v>
      </c>
      <c r="N2327" t="s">
        <v>4048</v>
      </c>
      <c r="O2327">
        <v>4</v>
      </c>
      <c r="P2327">
        <v>2</v>
      </c>
      <c r="Q2327">
        <v>1</v>
      </c>
      <c r="R2327" t="s">
        <v>4557</v>
      </c>
      <c r="S2327" t="s">
        <v>4558</v>
      </c>
      <c r="T2327" t="s">
        <v>4559</v>
      </c>
      <c r="U2327" t="s">
        <v>4560</v>
      </c>
      <c r="V2327" s="2">
        <v>655</v>
      </c>
      <c r="W2327" t="s">
        <v>4655</v>
      </c>
      <c r="X2327" s="2">
        <v>0</v>
      </c>
      <c r="Y2327">
        <v>20</v>
      </c>
      <c r="Z2327" t="s">
        <v>5200</v>
      </c>
      <c r="AA2327" s="3">
        <v>0.160009175539017</v>
      </c>
      <c r="AB2327" t="s">
        <v>14708</v>
      </c>
      <c r="AC2327" t="s">
        <v>4562</v>
      </c>
      <c r="AD2327" t="s">
        <v>14709</v>
      </c>
      <c r="AE2327" t="s">
        <v>4655</v>
      </c>
      <c r="AF2327" t="s">
        <v>14710</v>
      </c>
      <c r="AG2327" t="s">
        <v>1539</v>
      </c>
      <c r="AH2327">
        <v>98512</v>
      </c>
      <c r="AI2327" t="s">
        <v>14711</v>
      </c>
      <c r="AJ2327" t="s">
        <v>4655</v>
      </c>
      <c r="AK2327" t="s">
        <v>14712</v>
      </c>
      <c r="AL2327" s="13" t="s">
        <v>1886</v>
      </c>
      <c r="AM2327" s="14">
        <v>1</v>
      </c>
      <c r="AN2327" s="15" t="s">
        <v>5531</v>
      </c>
    </row>
    <row r="2328" spans="1:40" x14ac:dyDescent="0.3">
      <c r="A2328" s="10" t="str">
        <f>HYPERLINK("http://www.washoecounty.gov/assessor/cama/?parid=030-283-05&amp;CardNumber=1","030-283-05")</f>
        <v>030-283-05</v>
      </c>
      <c r="B2328" t="s">
        <v>4655</v>
      </c>
      <c r="C2328" t="s">
        <v>14713</v>
      </c>
      <c r="D2328" s="1">
        <v>40415</v>
      </c>
      <c r="E2328" s="2">
        <v>121000</v>
      </c>
      <c r="F2328" t="s">
        <v>4567</v>
      </c>
      <c r="G2328" s="17" t="str">
        <f>HYPERLINK("https://www.washoecounty.gov/assessor/cama/?command=sales&amp;parid=03028305","3915472")</f>
        <v>3915472</v>
      </c>
      <c r="H2328" t="s">
        <v>1723</v>
      </c>
      <c r="I2328">
        <v>1984</v>
      </c>
      <c r="J2328">
        <v>1984</v>
      </c>
      <c r="K2328" t="s">
        <v>4554</v>
      </c>
      <c r="L2328" t="s">
        <v>4555</v>
      </c>
      <c r="M2328" s="2">
        <v>1292</v>
      </c>
      <c r="N2328" t="s">
        <v>4048</v>
      </c>
      <c r="O2328">
        <v>3</v>
      </c>
      <c r="P2328">
        <v>2</v>
      </c>
      <c r="Q2328">
        <v>0</v>
      </c>
      <c r="R2328" t="s">
        <v>4557</v>
      </c>
      <c r="S2328" t="s">
        <v>3148</v>
      </c>
      <c r="T2328" t="s">
        <v>4559</v>
      </c>
      <c r="U2328" t="s">
        <v>4560</v>
      </c>
      <c r="V2328" s="2">
        <v>468</v>
      </c>
      <c r="W2328" t="s">
        <v>4655</v>
      </c>
      <c r="X2328" s="2">
        <v>0</v>
      </c>
      <c r="Y2328">
        <v>20</v>
      </c>
      <c r="Z2328" t="s">
        <v>5200</v>
      </c>
      <c r="AA2328" s="3">
        <v>0.15199723839759827</v>
      </c>
      <c r="AB2328" t="s">
        <v>14714</v>
      </c>
      <c r="AC2328" t="s">
        <v>4562</v>
      </c>
      <c r="AD2328" t="s">
        <v>14713</v>
      </c>
      <c r="AE2328" t="s">
        <v>4655</v>
      </c>
      <c r="AF2328" t="s">
        <v>4809</v>
      </c>
      <c r="AG2328" t="s">
        <v>4564</v>
      </c>
      <c r="AH2328" t="s">
        <v>3898</v>
      </c>
      <c r="AI2328" t="s">
        <v>4655</v>
      </c>
      <c r="AJ2328" t="s">
        <v>4655</v>
      </c>
      <c r="AK2328" t="s">
        <v>14715</v>
      </c>
      <c r="AL2328" s="13" t="s">
        <v>1886</v>
      </c>
      <c r="AM2328">
        <v>1</v>
      </c>
      <c r="AN2328" s="15" t="s">
        <v>5531</v>
      </c>
    </row>
    <row r="2329" spans="1:40" x14ac:dyDescent="0.3">
      <c r="A2329" s="10" t="str">
        <f>HYPERLINK("http://www.washoecounty.gov/assessor/cama/?parid=030-283-23&amp;CardNumber=1","030-283-23")</f>
        <v>030-283-23</v>
      </c>
      <c r="B2329" t="s">
        <v>4655</v>
      </c>
      <c r="C2329" t="s">
        <v>14716</v>
      </c>
      <c r="D2329" s="1">
        <v>40522</v>
      </c>
      <c r="E2329" s="2">
        <v>115000</v>
      </c>
      <c r="F2329" t="s">
        <v>4553</v>
      </c>
      <c r="G2329" s="17" t="str">
        <f>HYPERLINK("https://www.washoecounty.gov/assessor/cama/?command=sales&amp;parid=03028323","3952231")</f>
        <v>3952231</v>
      </c>
      <c r="H2329" t="s">
        <v>4720</v>
      </c>
      <c r="I2329">
        <v>1984</v>
      </c>
      <c r="J2329">
        <v>1984</v>
      </c>
      <c r="K2329" t="s">
        <v>4554</v>
      </c>
      <c r="L2329" t="s">
        <v>3974</v>
      </c>
      <c r="M2329" s="2">
        <v>2366</v>
      </c>
      <c r="N2329" t="s">
        <v>4048</v>
      </c>
      <c r="O2329">
        <v>4</v>
      </c>
      <c r="P2329">
        <v>2</v>
      </c>
      <c r="Q2329">
        <v>1</v>
      </c>
      <c r="R2329" t="s">
        <v>4557</v>
      </c>
      <c r="S2329" t="s">
        <v>4558</v>
      </c>
      <c r="T2329" t="s">
        <v>4559</v>
      </c>
      <c r="U2329" t="s">
        <v>4560</v>
      </c>
      <c r="V2329" s="2">
        <v>655</v>
      </c>
      <c r="W2329" t="s">
        <v>4655</v>
      </c>
      <c r="X2329" s="2">
        <v>0</v>
      </c>
      <c r="Y2329">
        <v>20</v>
      </c>
      <c r="Z2329" t="s">
        <v>5200</v>
      </c>
      <c r="AA2329" s="3">
        <v>0.20700183510780301</v>
      </c>
      <c r="AB2329" t="s">
        <v>14717</v>
      </c>
      <c r="AC2329" t="s">
        <v>4562</v>
      </c>
      <c r="AD2329" t="s">
        <v>14718</v>
      </c>
      <c r="AE2329" t="s">
        <v>4655</v>
      </c>
      <c r="AF2329" t="s">
        <v>4809</v>
      </c>
      <c r="AG2329" t="s">
        <v>4564</v>
      </c>
      <c r="AH2329" t="s">
        <v>3898</v>
      </c>
      <c r="AI2329" t="s">
        <v>4503</v>
      </c>
      <c r="AJ2329" t="s">
        <v>4655</v>
      </c>
      <c r="AK2329" t="s">
        <v>14719</v>
      </c>
      <c r="AL2329" s="13" t="s">
        <v>3425</v>
      </c>
      <c r="AM2329">
        <v>1</v>
      </c>
      <c r="AN2329" s="15" t="s">
        <v>5531</v>
      </c>
    </row>
    <row r="2330" spans="1:40" x14ac:dyDescent="0.3">
      <c r="A2330" s="10" t="str">
        <f>HYPERLINK("http://www.washoecounty.gov/assessor/cama/?parid=030-325-06&amp;CardNumber=1","030-325-06")</f>
        <v>030-325-06</v>
      </c>
      <c r="B2330" t="s">
        <v>4655</v>
      </c>
      <c r="C2330" t="s">
        <v>14720</v>
      </c>
      <c r="D2330" s="1">
        <v>40267</v>
      </c>
      <c r="E2330" s="2">
        <v>63000</v>
      </c>
      <c r="F2330" t="s">
        <v>4553</v>
      </c>
      <c r="G2330" s="17" t="str">
        <f>HYPERLINK("https://www.washoecounty.gov/assessor/cama/?command=sales&amp;parid=03032506","3865970")</f>
        <v>3865970</v>
      </c>
      <c r="H2330" t="s">
        <v>4418</v>
      </c>
      <c r="I2330">
        <v>1982</v>
      </c>
      <c r="J2330">
        <v>1982</v>
      </c>
      <c r="K2330" t="s">
        <v>4897</v>
      </c>
      <c r="L2330" t="s">
        <v>3974</v>
      </c>
      <c r="M2330" s="2">
        <v>1200</v>
      </c>
      <c r="N2330" t="s">
        <v>4048</v>
      </c>
      <c r="O2330">
        <v>3</v>
      </c>
      <c r="P2330">
        <v>2</v>
      </c>
      <c r="Q2330">
        <v>1</v>
      </c>
      <c r="R2330" t="s">
        <v>5281</v>
      </c>
      <c r="S2330" t="s">
        <v>4558</v>
      </c>
      <c r="T2330" t="s">
        <v>2704</v>
      </c>
      <c r="U2330" t="s">
        <v>5631</v>
      </c>
      <c r="V2330" s="2">
        <v>400</v>
      </c>
      <c r="W2330" t="s">
        <v>4655</v>
      </c>
      <c r="X2330" s="2">
        <v>0</v>
      </c>
      <c r="Y2330">
        <v>21</v>
      </c>
      <c r="Z2330" t="s">
        <v>5196</v>
      </c>
      <c r="AA2330" s="3">
        <v>1.00000004749745E-3</v>
      </c>
      <c r="AB2330" t="s">
        <v>14721</v>
      </c>
      <c r="AC2330" t="s">
        <v>4562</v>
      </c>
      <c r="AD2330" t="s">
        <v>14722</v>
      </c>
      <c r="AE2330" t="s">
        <v>4655</v>
      </c>
      <c r="AF2330" t="s">
        <v>5201</v>
      </c>
      <c r="AG2330" t="s">
        <v>4564</v>
      </c>
      <c r="AH2330" t="s">
        <v>3898</v>
      </c>
      <c r="AI2330" t="s">
        <v>14723</v>
      </c>
      <c r="AJ2330" t="s">
        <v>4655</v>
      </c>
      <c r="AK2330" t="s">
        <v>14724</v>
      </c>
      <c r="AL2330" s="13" t="s">
        <v>1886</v>
      </c>
      <c r="AM2330">
        <v>1</v>
      </c>
      <c r="AN2330" s="15" t="s">
        <v>4129</v>
      </c>
    </row>
    <row r="2331" spans="1:40" x14ac:dyDescent="0.3">
      <c r="A2331" s="10" t="str">
        <f>HYPERLINK("http://www.washoecounty.gov/assessor/cama/?parid=030-325-06&amp;CardNumber=1","030-325-06")</f>
        <v>030-325-06</v>
      </c>
      <c r="B2331" t="s">
        <v>4655</v>
      </c>
      <c r="C2331" t="s">
        <v>14720</v>
      </c>
      <c r="D2331" s="1">
        <v>40389</v>
      </c>
      <c r="E2331" s="2">
        <v>91000</v>
      </c>
      <c r="F2331" t="s">
        <v>4567</v>
      </c>
      <c r="G2331" s="17" t="str">
        <f>HYPERLINK("https://www.washoecounty.gov/assessor/cama/?command=sales&amp;parid=03032506","3907383")</f>
        <v>3907383</v>
      </c>
      <c r="H2331" t="s">
        <v>4418</v>
      </c>
      <c r="I2331">
        <v>1982</v>
      </c>
      <c r="J2331">
        <v>1982</v>
      </c>
      <c r="K2331" t="s">
        <v>4897</v>
      </c>
      <c r="L2331" t="s">
        <v>3974</v>
      </c>
      <c r="M2331" s="2">
        <v>1200</v>
      </c>
      <c r="N2331" t="s">
        <v>4048</v>
      </c>
      <c r="O2331">
        <v>3</v>
      </c>
      <c r="P2331">
        <v>2</v>
      </c>
      <c r="Q2331">
        <v>1</v>
      </c>
      <c r="R2331" t="s">
        <v>5281</v>
      </c>
      <c r="S2331" t="s">
        <v>4558</v>
      </c>
      <c r="T2331" t="s">
        <v>2704</v>
      </c>
      <c r="U2331" t="s">
        <v>5631</v>
      </c>
      <c r="V2331" s="2">
        <v>400</v>
      </c>
      <c r="W2331" t="s">
        <v>4655</v>
      </c>
      <c r="X2331" s="2">
        <v>0</v>
      </c>
      <c r="Y2331">
        <v>21</v>
      </c>
      <c r="Z2331" t="s">
        <v>5196</v>
      </c>
      <c r="AA2331" s="3">
        <v>1.00000004749745E-3</v>
      </c>
      <c r="AB2331" t="s">
        <v>14721</v>
      </c>
      <c r="AC2331" t="s">
        <v>4562</v>
      </c>
      <c r="AD2331" t="s">
        <v>14722</v>
      </c>
      <c r="AE2331" t="s">
        <v>4655</v>
      </c>
      <c r="AF2331" t="s">
        <v>5201</v>
      </c>
      <c r="AG2331" t="s">
        <v>4564</v>
      </c>
      <c r="AH2331" t="s">
        <v>3898</v>
      </c>
      <c r="AI2331" t="s">
        <v>14723</v>
      </c>
      <c r="AJ2331" t="s">
        <v>4655</v>
      </c>
      <c r="AK2331" t="s">
        <v>14724</v>
      </c>
      <c r="AL2331" s="13" t="s">
        <v>1886</v>
      </c>
      <c r="AM2331">
        <v>1</v>
      </c>
      <c r="AN2331" s="15" t="s">
        <v>4129</v>
      </c>
    </row>
    <row r="2332" spans="1:40" x14ac:dyDescent="0.3">
      <c r="A2332" s="10" t="str">
        <f>HYPERLINK("http://www.washoecounty.gov/assessor/cama/?parid=030-327-11&amp;CardNumber=1","030-327-11")</f>
        <v>030-327-11</v>
      </c>
      <c r="B2332" t="s">
        <v>4655</v>
      </c>
      <c r="C2332" t="s">
        <v>14725</v>
      </c>
      <c r="D2332" s="1">
        <v>40283</v>
      </c>
      <c r="E2332" s="2">
        <v>93000</v>
      </c>
      <c r="F2332" t="s">
        <v>4567</v>
      </c>
      <c r="G2332" s="17" t="str">
        <f>HYPERLINK("https://www.washoecounty.gov/assessor/cama/?command=sales&amp;parid=03032711","3871636")</f>
        <v>3871636</v>
      </c>
      <c r="H2332" t="s">
        <v>4418</v>
      </c>
      <c r="I2332">
        <v>1982</v>
      </c>
      <c r="J2332">
        <v>1982</v>
      </c>
      <c r="K2332" t="s">
        <v>4897</v>
      </c>
      <c r="L2332" t="s">
        <v>3974</v>
      </c>
      <c r="M2332" s="2">
        <v>1200</v>
      </c>
      <c r="N2332" t="s">
        <v>4048</v>
      </c>
      <c r="O2332">
        <v>3</v>
      </c>
      <c r="P2332">
        <v>2</v>
      </c>
      <c r="Q2332">
        <v>1</v>
      </c>
      <c r="R2332" t="s">
        <v>5281</v>
      </c>
      <c r="S2332" t="s">
        <v>4558</v>
      </c>
      <c r="T2332" t="s">
        <v>2704</v>
      </c>
      <c r="U2332" t="s">
        <v>5631</v>
      </c>
      <c r="V2332" s="2">
        <v>400</v>
      </c>
      <c r="W2332" t="s">
        <v>4655</v>
      </c>
      <c r="X2332" s="2">
        <v>0</v>
      </c>
      <c r="Y2332">
        <v>21</v>
      </c>
      <c r="Z2332" t="s">
        <v>5196</v>
      </c>
      <c r="AA2332" s="3">
        <v>1.00000004749745E-3</v>
      </c>
      <c r="AB2332" t="s">
        <v>14726</v>
      </c>
      <c r="AC2332" t="s">
        <v>4575</v>
      </c>
      <c r="AD2332" t="s">
        <v>14727</v>
      </c>
      <c r="AE2332" t="s">
        <v>4655</v>
      </c>
      <c r="AF2332" t="s">
        <v>5201</v>
      </c>
      <c r="AG2332" t="s">
        <v>4564</v>
      </c>
      <c r="AH2332" t="s">
        <v>1605</v>
      </c>
      <c r="AI2332" t="s">
        <v>7778</v>
      </c>
      <c r="AJ2332" t="s">
        <v>4655</v>
      </c>
      <c r="AK2332" t="s">
        <v>14728</v>
      </c>
      <c r="AL2332" s="13" t="s">
        <v>1886</v>
      </c>
      <c r="AM2332">
        <v>1</v>
      </c>
      <c r="AN2332" s="15" t="s">
        <v>4129</v>
      </c>
    </row>
    <row r="2333" spans="1:40" x14ac:dyDescent="0.3">
      <c r="A2333" s="10" t="str">
        <f>HYPERLINK("http://www.washoecounty.gov/assessor/cama/?parid=030-351-11&amp;CardNumber=1","030-351-11")</f>
        <v>030-351-11</v>
      </c>
      <c r="B2333" t="s">
        <v>4655</v>
      </c>
      <c r="C2333" t="s">
        <v>14729</v>
      </c>
      <c r="D2333" s="1">
        <v>40451</v>
      </c>
      <c r="E2333" s="2">
        <v>93000</v>
      </c>
      <c r="F2333" t="s">
        <v>4567</v>
      </c>
      <c r="G2333" s="17" t="str">
        <f>HYPERLINK("https://www.washoecounty.gov/assessor/cama/?command=sales&amp;parid=03035111","3927776")</f>
        <v>3927776</v>
      </c>
      <c r="H2333" t="s">
        <v>4295</v>
      </c>
      <c r="I2333">
        <v>1983</v>
      </c>
      <c r="J2333">
        <v>1983</v>
      </c>
      <c r="K2333" t="s">
        <v>4897</v>
      </c>
      <c r="L2333" t="s">
        <v>3974</v>
      </c>
      <c r="M2333" s="2">
        <v>1200</v>
      </c>
      <c r="N2333" t="s">
        <v>4048</v>
      </c>
      <c r="O2333">
        <v>3</v>
      </c>
      <c r="P2333">
        <v>2</v>
      </c>
      <c r="Q2333">
        <v>1</v>
      </c>
      <c r="R2333" t="s">
        <v>5281</v>
      </c>
      <c r="S2333" t="s">
        <v>4558</v>
      </c>
      <c r="T2333" t="s">
        <v>2704</v>
      </c>
      <c r="U2333" t="s">
        <v>5631</v>
      </c>
      <c r="V2333" s="2">
        <v>400</v>
      </c>
      <c r="W2333" t="s">
        <v>4655</v>
      </c>
      <c r="X2333" s="2">
        <v>0</v>
      </c>
      <c r="Y2333">
        <v>21</v>
      </c>
      <c r="Z2333" t="s">
        <v>5196</v>
      </c>
      <c r="AA2333" s="3">
        <v>1.00000004749745E-3</v>
      </c>
      <c r="AB2333" t="s">
        <v>14730</v>
      </c>
      <c r="AC2333" t="s">
        <v>4562</v>
      </c>
      <c r="AD2333" t="s">
        <v>14731</v>
      </c>
      <c r="AE2333" t="s">
        <v>4655</v>
      </c>
      <c r="AF2333" t="s">
        <v>5201</v>
      </c>
      <c r="AG2333" t="s">
        <v>4564</v>
      </c>
      <c r="AH2333" t="s">
        <v>3898</v>
      </c>
      <c r="AI2333" t="s">
        <v>14732</v>
      </c>
      <c r="AJ2333" t="s">
        <v>4655</v>
      </c>
      <c r="AK2333" t="s">
        <v>14733</v>
      </c>
      <c r="AL2333" s="13" t="s">
        <v>1886</v>
      </c>
      <c r="AM2333">
        <v>1</v>
      </c>
      <c r="AN2333" s="15" t="s">
        <v>4129</v>
      </c>
    </row>
    <row r="2334" spans="1:40" x14ac:dyDescent="0.3">
      <c r="A2334" s="10" t="str">
        <f>HYPERLINK("http://www.washoecounty.gov/assessor/cama/?parid=030-351-12&amp;CardNumber=1","030-351-12")</f>
        <v>030-351-12</v>
      </c>
      <c r="B2334" t="s">
        <v>4655</v>
      </c>
      <c r="C2334" t="s">
        <v>14729</v>
      </c>
      <c r="D2334" s="1">
        <v>40359</v>
      </c>
      <c r="E2334" s="2">
        <v>84500</v>
      </c>
      <c r="F2334" t="s">
        <v>4567</v>
      </c>
      <c r="G2334" s="17" t="str">
        <f>HYPERLINK("https://www.washoecounty.gov/assessor/cama/?command=sales&amp;parid=03035112","3897165")</f>
        <v>3897165</v>
      </c>
      <c r="H2334" t="s">
        <v>4295</v>
      </c>
      <c r="I2334">
        <v>1983</v>
      </c>
      <c r="J2334">
        <v>1983</v>
      </c>
      <c r="K2334" t="s">
        <v>4897</v>
      </c>
      <c r="L2334" t="s">
        <v>3974</v>
      </c>
      <c r="M2334" s="2">
        <v>1200</v>
      </c>
      <c r="N2334" t="s">
        <v>4048</v>
      </c>
      <c r="O2334">
        <v>3</v>
      </c>
      <c r="P2334">
        <v>2</v>
      </c>
      <c r="Q2334">
        <v>1</v>
      </c>
      <c r="R2334" t="s">
        <v>5281</v>
      </c>
      <c r="S2334" t="s">
        <v>4558</v>
      </c>
      <c r="T2334" t="s">
        <v>2704</v>
      </c>
      <c r="U2334" t="s">
        <v>5631</v>
      </c>
      <c r="V2334" s="2">
        <v>400</v>
      </c>
      <c r="W2334" t="s">
        <v>4655</v>
      </c>
      <c r="X2334" s="2">
        <v>0</v>
      </c>
      <c r="Y2334">
        <v>21</v>
      </c>
      <c r="Z2334" t="s">
        <v>5196</v>
      </c>
      <c r="AA2334" s="3">
        <v>1.00000004749745E-3</v>
      </c>
      <c r="AB2334" t="s">
        <v>14734</v>
      </c>
      <c r="AC2334" t="s">
        <v>4562</v>
      </c>
      <c r="AD2334" t="s">
        <v>14735</v>
      </c>
      <c r="AE2334" t="s">
        <v>4655</v>
      </c>
      <c r="AF2334" t="s">
        <v>5201</v>
      </c>
      <c r="AG2334" t="s">
        <v>4564</v>
      </c>
      <c r="AH2334" t="s">
        <v>3898</v>
      </c>
      <c r="AI2334" t="s">
        <v>4655</v>
      </c>
      <c r="AJ2334" t="s">
        <v>4655</v>
      </c>
      <c r="AK2334" t="s">
        <v>14736</v>
      </c>
      <c r="AL2334" s="13" t="s">
        <v>1886</v>
      </c>
      <c r="AM2334">
        <v>1</v>
      </c>
      <c r="AN2334" s="15" t="s">
        <v>4129</v>
      </c>
    </row>
    <row r="2335" spans="1:40" x14ac:dyDescent="0.3">
      <c r="A2335" s="10" t="str">
        <f>HYPERLINK("http://www.washoecounty.gov/assessor/cama/?parid=030-352-12&amp;CardNumber=1","030-352-12")</f>
        <v>030-352-12</v>
      </c>
      <c r="B2335" t="s">
        <v>4655</v>
      </c>
      <c r="C2335" t="s">
        <v>14737</v>
      </c>
      <c r="D2335" s="1">
        <v>40522</v>
      </c>
      <c r="E2335" s="2">
        <v>52500</v>
      </c>
      <c r="F2335" t="s">
        <v>4567</v>
      </c>
      <c r="G2335" s="17" t="str">
        <f>HYPERLINK("https://www.washoecounty.gov/assessor/cama/?command=sales&amp;parid=03035212","3952223")</f>
        <v>3952223</v>
      </c>
      <c r="H2335" t="s">
        <v>4295</v>
      </c>
      <c r="I2335">
        <v>1983</v>
      </c>
      <c r="J2335">
        <v>1983</v>
      </c>
      <c r="K2335" t="s">
        <v>4897</v>
      </c>
      <c r="L2335" t="s">
        <v>4555</v>
      </c>
      <c r="M2335" s="2">
        <v>684</v>
      </c>
      <c r="N2335" t="s">
        <v>4048</v>
      </c>
      <c r="O2335">
        <v>1</v>
      </c>
      <c r="P2335">
        <v>1</v>
      </c>
      <c r="Q2335">
        <v>0</v>
      </c>
      <c r="R2335" t="s">
        <v>5281</v>
      </c>
      <c r="S2335" t="s">
        <v>4558</v>
      </c>
      <c r="T2335" t="s">
        <v>2704</v>
      </c>
      <c r="U2335" t="s">
        <v>4655</v>
      </c>
      <c r="V2335" s="2">
        <v>0</v>
      </c>
      <c r="W2335" t="s">
        <v>4655</v>
      </c>
      <c r="X2335" s="2">
        <v>0</v>
      </c>
      <c r="Y2335">
        <v>21</v>
      </c>
      <c r="Z2335" t="s">
        <v>5196</v>
      </c>
      <c r="AA2335" s="3">
        <v>1.00000004749745E-3</v>
      </c>
      <c r="AB2335" t="s">
        <v>14738</v>
      </c>
      <c r="AC2335" t="s">
        <v>4562</v>
      </c>
      <c r="AD2335" t="s">
        <v>14739</v>
      </c>
      <c r="AE2335" t="s">
        <v>4655</v>
      </c>
      <c r="AF2335" t="s">
        <v>5201</v>
      </c>
      <c r="AG2335" t="s">
        <v>4564</v>
      </c>
      <c r="AH2335" t="s">
        <v>3898</v>
      </c>
      <c r="AI2335" t="s">
        <v>14740</v>
      </c>
      <c r="AJ2335" t="s">
        <v>4655</v>
      </c>
      <c r="AK2335" t="s">
        <v>14741</v>
      </c>
      <c r="AL2335" s="13" t="s">
        <v>1886</v>
      </c>
      <c r="AM2335" s="14">
        <v>1</v>
      </c>
      <c r="AN2335" s="15" t="s">
        <v>4129</v>
      </c>
    </row>
    <row r="2336" spans="1:40" x14ac:dyDescent="0.3">
      <c r="A2336" s="10" t="str">
        <f>HYPERLINK("http://www.washoecounty.gov/assessor/cama/?parid=030-352-32&amp;CardNumber=1","030-352-32")</f>
        <v>030-352-32</v>
      </c>
      <c r="B2336" t="s">
        <v>4655</v>
      </c>
      <c r="C2336" t="s">
        <v>14742</v>
      </c>
      <c r="D2336" s="1">
        <v>40277</v>
      </c>
      <c r="E2336" s="2">
        <v>84900</v>
      </c>
      <c r="F2336" t="s">
        <v>4553</v>
      </c>
      <c r="G2336" s="17" t="str">
        <f>HYPERLINK("https://www.washoecounty.gov/assessor/cama/?command=sales&amp;parid=03035232","3869551")</f>
        <v>3869551</v>
      </c>
      <c r="H2336" t="s">
        <v>4295</v>
      </c>
      <c r="I2336">
        <v>1983</v>
      </c>
      <c r="J2336">
        <v>1983</v>
      </c>
      <c r="K2336" t="s">
        <v>3144</v>
      </c>
      <c r="L2336" t="s">
        <v>3974</v>
      </c>
      <c r="M2336" s="2">
        <v>1068</v>
      </c>
      <c r="N2336" t="s">
        <v>4048</v>
      </c>
      <c r="O2336">
        <v>2</v>
      </c>
      <c r="P2336">
        <v>1</v>
      </c>
      <c r="Q2336">
        <v>1</v>
      </c>
      <c r="R2336" t="s">
        <v>5281</v>
      </c>
      <c r="S2336" t="s">
        <v>4558</v>
      </c>
      <c r="T2336" t="s">
        <v>2704</v>
      </c>
      <c r="U2336" t="s">
        <v>5631</v>
      </c>
      <c r="V2336" s="2">
        <v>400</v>
      </c>
      <c r="W2336" t="s">
        <v>4655</v>
      </c>
      <c r="X2336" s="2">
        <v>0</v>
      </c>
      <c r="Y2336">
        <v>21</v>
      </c>
      <c r="Z2336" t="s">
        <v>5196</v>
      </c>
      <c r="AA2336" s="3">
        <v>1.00000004749745E-3</v>
      </c>
      <c r="AB2336" t="s">
        <v>14743</v>
      </c>
      <c r="AC2336" t="s">
        <v>4562</v>
      </c>
      <c r="AD2336" t="s">
        <v>14744</v>
      </c>
      <c r="AE2336" t="s">
        <v>4655</v>
      </c>
      <c r="AF2336" t="s">
        <v>5201</v>
      </c>
      <c r="AG2336" t="s">
        <v>4564</v>
      </c>
      <c r="AH2336" t="s">
        <v>3898</v>
      </c>
      <c r="AI2336" t="s">
        <v>4903</v>
      </c>
      <c r="AJ2336" t="s">
        <v>4655</v>
      </c>
      <c r="AK2336" t="s">
        <v>14745</v>
      </c>
      <c r="AL2336" s="13" t="s">
        <v>1886</v>
      </c>
      <c r="AM2336">
        <v>1</v>
      </c>
      <c r="AN2336" s="15" t="s">
        <v>4129</v>
      </c>
    </row>
    <row r="2337" spans="1:40" x14ac:dyDescent="0.3">
      <c r="A2337" s="10" t="str">
        <f>HYPERLINK("http://www.washoecounty.gov/assessor/cama/?parid=030-361-11&amp;CardNumber=1","030-361-11")</f>
        <v>030-361-11</v>
      </c>
      <c r="B2337" t="s">
        <v>4655</v>
      </c>
      <c r="C2337" t="s">
        <v>14746</v>
      </c>
      <c r="D2337" s="1">
        <v>40337</v>
      </c>
      <c r="E2337" s="2">
        <v>150000</v>
      </c>
      <c r="F2337" t="s">
        <v>4553</v>
      </c>
      <c r="G2337" s="17" t="str">
        <f>HYPERLINK("https://www.washoecounty.gov/assessor/cama/?command=sales&amp;parid=03036111","3889217")</f>
        <v>3889217</v>
      </c>
      <c r="H2337" t="s">
        <v>2117</v>
      </c>
      <c r="I2337">
        <v>1984</v>
      </c>
      <c r="J2337">
        <v>1984</v>
      </c>
      <c r="K2337" t="s">
        <v>4554</v>
      </c>
      <c r="L2337" t="s">
        <v>3974</v>
      </c>
      <c r="M2337" s="2">
        <v>1454</v>
      </c>
      <c r="N2337" t="s">
        <v>4048</v>
      </c>
      <c r="O2337">
        <v>3</v>
      </c>
      <c r="P2337">
        <v>2</v>
      </c>
      <c r="Q2337">
        <v>1</v>
      </c>
      <c r="R2337" t="s">
        <v>4557</v>
      </c>
      <c r="S2337" t="s">
        <v>4558</v>
      </c>
      <c r="T2337" t="s">
        <v>4559</v>
      </c>
      <c r="U2337" t="s">
        <v>4560</v>
      </c>
      <c r="V2337" s="2">
        <v>448</v>
      </c>
      <c r="W2337" t="s">
        <v>4655</v>
      </c>
      <c r="X2337" s="2">
        <v>0</v>
      </c>
      <c r="Y2337">
        <v>20</v>
      </c>
      <c r="Z2337" t="s">
        <v>5200</v>
      </c>
      <c r="AA2337" s="3">
        <v>0.119995407760143</v>
      </c>
      <c r="AB2337" t="s">
        <v>14747</v>
      </c>
      <c r="AC2337" t="s">
        <v>4562</v>
      </c>
      <c r="AD2337" t="s">
        <v>14746</v>
      </c>
      <c r="AE2337" t="s">
        <v>4655</v>
      </c>
      <c r="AF2337" t="s">
        <v>5201</v>
      </c>
      <c r="AG2337" t="s">
        <v>4564</v>
      </c>
      <c r="AH2337" t="s">
        <v>3898</v>
      </c>
      <c r="AI2337" t="s">
        <v>4145</v>
      </c>
      <c r="AJ2337" t="s">
        <v>4655</v>
      </c>
      <c r="AK2337" t="s">
        <v>14748</v>
      </c>
      <c r="AL2337" s="13" t="s">
        <v>1886</v>
      </c>
      <c r="AM2337">
        <v>1</v>
      </c>
      <c r="AN2337" s="15" t="s">
        <v>5531</v>
      </c>
    </row>
    <row r="2338" spans="1:40" x14ac:dyDescent="0.3">
      <c r="A2338" s="10" t="str">
        <f>HYPERLINK("http://www.washoecounty.gov/assessor/cama/?parid=030-362-14&amp;CardNumber=1","030-362-14")</f>
        <v>030-362-14</v>
      </c>
      <c r="B2338" t="s">
        <v>4655</v>
      </c>
      <c r="C2338" t="s">
        <v>14749</v>
      </c>
      <c r="D2338" s="1">
        <v>40231</v>
      </c>
      <c r="E2338" s="2">
        <v>189900</v>
      </c>
      <c r="F2338" t="s">
        <v>4567</v>
      </c>
      <c r="G2338" s="17" t="str">
        <f>HYPERLINK("https://www.washoecounty.gov/assessor/cama/?command=sales&amp;parid=03036214","3851574")</f>
        <v>3851574</v>
      </c>
      <c r="H2338" t="s">
        <v>3578</v>
      </c>
      <c r="I2338">
        <v>1984</v>
      </c>
      <c r="J2338">
        <v>1984</v>
      </c>
      <c r="K2338" t="s">
        <v>4554</v>
      </c>
      <c r="L2338" t="s">
        <v>2170</v>
      </c>
      <c r="M2338" s="2">
        <v>2128</v>
      </c>
      <c r="N2338" t="s">
        <v>4048</v>
      </c>
      <c r="O2338">
        <v>4</v>
      </c>
      <c r="P2338">
        <v>3</v>
      </c>
      <c r="Q2338">
        <v>0</v>
      </c>
      <c r="R2338" t="s">
        <v>5281</v>
      </c>
      <c r="S2338" t="s">
        <v>4558</v>
      </c>
      <c r="T2338" t="s">
        <v>4559</v>
      </c>
      <c r="U2338" t="s">
        <v>4560</v>
      </c>
      <c r="V2338" s="2">
        <v>462</v>
      </c>
      <c r="W2338" t="s">
        <v>4655</v>
      </c>
      <c r="X2338" s="2">
        <v>0</v>
      </c>
      <c r="Y2338">
        <v>20</v>
      </c>
      <c r="Z2338" t="s">
        <v>5200</v>
      </c>
      <c r="AA2338" s="3">
        <v>0.16200642287731201</v>
      </c>
      <c r="AB2338" t="s">
        <v>14750</v>
      </c>
      <c r="AC2338" t="s">
        <v>4562</v>
      </c>
      <c r="AD2338" t="s">
        <v>14751</v>
      </c>
      <c r="AE2338" t="s">
        <v>4655</v>
      </c>
      <c r="AF2338" t="s">
        <v>4563</v>
      </c>
      <c r="AG2338" t="s">
        <v>4564</v>
      </c>
      <c r="AH2338" t="s">
        <v>5197</v>
      </c>
      <c r="AI2338" t="s">
        <v>14752</v>
      </c>
      <c r="AJ2338" t="s">
        <v>4655</v>
      </c>
      <c r="AK2338" t="s">
        <v>14753</v>
      </c>
      <c r="AL2338" s="13" t="s">
        <v>1886</v>
      </c>
      <c r="AM2338" s="14">
        <v>1</v>
      </c>
      <c r="AN2338" s="15" t="s">
        <v>5531</v>
      </c>
    </row>
    <row r="2339" spans="1:40" x14ac:dyDescent="0.3">
      <c r="A2339" s="10" t="str">
        <f>HYPERLINK("http://www.washoecounty.gov/assessor/cama/?parid=030-393-16&amp;CardNumber=1","030-393-16")</f>
        <v>030-393-16</v>
      </c>
      <c r="B2339" t="s">
        <v>4655</v>
      </c>
      <c r="C2339" t="s">
        <v>14754</v>
      </c>
      <c r="D2339" s="1">
        <v>40360</v>
      </c>
      <c r="E2339" s="2">
        <v>184000</v>
      </c>
      <c r="F2339" t="s">
        <v>4553</v>
      </c>
      <c r="G2339" s="17" t="str">
        <f>HYPERLINK("https://www.washoecounty.gov/assessor/cama/?command=sales&amp;parid=03039316","3897896")</f>
        <v>3897896</v>
      </c>
      <c r="H2339" t="s">
        <v>14755</v>
      </c>
      <c r="I2339">
        <v>1985</v>
      </c>
      <c r="J2339">
        <v>1985</v>
      </c>
      <c r="K2339" t="s">
        <v>4554</v>
      </c>
      <c r="L2339" t="s">
        <v>2170</v>
      </c>
      <c r="M2339" s="2">
        <v>2138</v>
      </c>
      <c r="N2339" t="s">
        <v>4048</v>
      </c>
      <c r="O2339">
        <v>4</v>
      </c>
      <c r="P2339">
        <v>3</v>
      </c>
      <c r="Q2339">
        <v>0</v>
      </c>
      <c r="R2339" t="s">
        <v>5281</v>
      </c>
      <c r="S2339" t="s">
        <v>4558</v>
      </c>
      <c r="T2339" t="s">
        <v>2704</v>
      </c>
      <c r="U2339" t="s">
        <v>4560</v>
      </c>
      <c r="V2339" s="2">
        <v>630</v>
      </c>
      <c r="W2339" t="s">
        <v>4655</v>
      </c>
      <c r="X2339" s="2">
        <v>0</v>
      </c>
      <c r="Y2339">
        <v>20</v>
      </c>
      <c r="Z2339" t="s">
        <v>4830</v>
      </c>
      <c r="AA2339" s="3">
        <v>0.39898988604545599</v>
      </c>
      <c r="AB2339" t="s">
        <v>14756</v>
      </c>
      <c r="AC2339" t="s">
        <v>4562</v>
      </c>
      <c r="AD2339" t="s">
        <v>14757</v>
      </c>
      <c r="AE2339" t="s">
        <v>4655</v>
      </c>
      <c r="AF2339" t="s">
        <v>4809</v>
      </c>
      <c r="AG2339" t="s">
        <v>4564</v>
      </c>
      <c r="AH2339" t="s">
        <v>5202</v>
      </c>
      <c r="AI2339" t="s">
        <v>2351</v>
      </c>
      <c r="AJ2339" t="s">
        <v>4655</v>
      </c>
      <c r="AK2339" t="s">
        <v>14758</v>
      </c>
      <c r="AL2339" s="13" t="s">
        <v>3425</v>
      </c>
      <c r="AM2339">
        <v>1</v>
      </c>
      <c r="AN2339" s="15" t="s">
        <v>5531</v>
      </c>
    </row>
    <row r="2340" spans="1:40" x14ac:dyDescent="0.3">
      <c r="A2340" s="10" t="str">
        <f>HYPERLINK("http://www.washoecounty.gov/assessor/cama/?parid=030-393-42&amp;CardNumber=1","030-393-42")</f>
        <v>030-393-42</v>
      </c>
      <c r="B2340" t="s">
        <v>4655</v>
      </c>
      <c r="C2340" t="s">
        <v>14759</v>
      </c>
      <c r="D2340" s="1">
        <v>40186</v>
      </c>
      <c r="E2340" s="2">
        <v>255000</v>
      </c>
      <c r="F2340" t="s">
        <v>4553</v>
      </c>
      <c r="G2340" s="17" t="str">
        <f>HYPERLINK("https://www.washoecounty.gov/assessor/cama/?command=sales&amp;parid=03039342","3837495")</f>
        <v>3837495</v>
      </c>
      <c r="H2340" t="s">
        <v>14760</v>
      </c>
      <c r="I2340">
        <v>2004</v>
      </c>
      <c r="J2340">
        <v>2005</v>
      </c>
      <c r="K2340" t="s">
        <v>4554</v>
      </c>
      <c r="L2340" t="s">
        <v>4555</v>
      </c>
      <c r="M2340" s="2">
        <v>2786</v>
      </c>
      <c r="N2340" t="s">
        <v>3887</v>
      </c>
      <c r="O2340">
        <v>4</v>
      </c>
      <c r="P2340">
        <v>3</v>
      </c>
      <c r="Q2340">
        <v>0</v>
      </c>
      <c r="R2340" t="s">
        <v>5281</v>
      </c>
      <c r="S2340" t="s">
        <v>4898</v>
      </c>
      <c r="T2340" t="s">
        <v>4559</v>
      </c>
      <c r="U2340" t="s">
        <v>4560</v>
      </c>
      <c r="V2340" s="2">
        <v>706</v>
      </c>
      <c r="W2340" t="s">
        <v>4655</v>
      </c>
      <c r="X2340" s="2">
        <v>0</v>
      </c>
      <c r="Y2340">
        <v>20</v>
      </c>
      <c r="Z2340" t="s">
        <v>4830</v>
      </c>
      <c r="AA2340" s="3">
        <v>0.5879935622215271</v>
      </c>
      <c r="AB2340" t="s">
        <v>14761</v>
      </c>
      <c r="AC2340" t="s">
        <v>4562</v>
      </c>
      <c r="AD2340" t="s">
        <v>14759</v>
      </c>
      <c r="AE2340" t="s">
        <v>4655</v>
      </c>
      <c r="AF2340" t="s">
        <v>5201</v>
      </c>
      <c r="AG2340" t="s">
        <v>4564</v>
      </c>
      <c r="AH2340" t="s">
        <v>1605</v>
      </c>
      <c r="AI2340" t="s">
        <v>4903</v>
      </c>
      <c r="AJ2340" t="s">
        <v>14762</v>
      </c>
      <c r="AK2340" t="s">
        <v>14763</v>
      </c>
      <c r="AL2340" s="13" t="s">
        <v>3425</v>
      </c>
      <c r="AM2340" s="14">
        <v>1</v>
      </c>
      <c r="AN2340" s="15" t="s">
        <v>4831</v>
      </c>
    </row>
    <row r="2341" spans="1:40" x14ac:dyDescent="0.3">
      <c r="A2341" s="10" t="str">
        <f>HYPERLINK("http://www.washoecounty.gov/assessor/cama/?parid=030-412-08&amp;CardNumber=1","030-412-08")</f>
        <v>030-412-08</v>
      </c>
      <c r="B2341" t="s">
        <v>4655</v>
      </c>
      <c r="C2341" t="s">
        <v>14764</v>
      </c>
      <c r="D2341" s="1">
        <v>40441</v>
      </c>
      <c r="E2341" s="2">
        <v>164000</v>
      </c>
      <c r="F2341" t="s">
        <v>4553</v>
      </c>
      <c r="G2341" s="17" t="str">
        <f>HYPERLINK("https://www.washoecounty.gov/assessor/cama/?command=sales&amp;parid=03041208","3924125")</f>
        <v>3924125</v>
      </c>
      <c r="H2341" t="s">
        <v>4431</v>
      </c>
      <c r="I2341">
        <v>1985</v>
      </c>
      <c r="J2341">
        <v>1985</v>
      </c>
      <c r="K2341" t="s">
        <v>4554</v>
      </c>
      <c r="L2341" t="s">
        <v>2170</v>
      </c>
      <c r="M2341" s="2">
        <v>2128</v>
      </c>
      <c r="N2341" t="s">
        <v>4048</v>
      </c>
      <c r="O2341">
        <v>4</v>
      </c>
      <c r="P2341">
        <v>3</v>
      </c>
      <c r="Q2341">
        <v>0</v>
      </c>
      <c r="R2341" t="s">
        <v>4557</v>
      </c>
      <c r="S2341" t="s">
        <v>4558</v>
      </c>
      <c r="T2341" t="s">
        <v>4559</v>
      </c>
      <c r="U2341" t="s">
        <v>4560</v>
      </c>
      <c r="V2341" s="2">
        <v>462</v>
      </c>
      <c r="W2341" t="s">
        <v>4655</v>
      </c>
      <c r="X2341" s="2">
        <v>0</v>
      </c>
      <c r="Y2341">
        <v>20</v>
      </c>
      <c r="Z2341" t="s">
        <v>5200</v>
      </c>
      <c r="AA2341" s="3">
        <v>0.18599632382392883</v>
      </c>
      <c r="AB2341" t="s">
        <v>14765</v>
      </c>
      <c r="AC2341" t="s">
        <v>4562</v>
      </c>
      <c r="AD2341" t="s">
        <v>14764</v>
      </c>
      <c r="AE2341" t="s">
        <v>4655</v>
      </c>
      <c r="AF2341" t="s">
        <v>4809</v>
      </c>
      <c r="AG2341" t="s">
        <v>4564</v>
      </c>
      <c r="AH2341" t="s">
        <v>3898</v>
      </c>
      <c r="AI2341" t="s">
        <v>2399</v>
      </c>
      <c r="AJ2341" t="s">
        <v>4655</v>
      </c>
      <c r="AK2341" t="s">
        <v>14766</v>
      </c>
      <c r="AL2341" s="13" t="s">
        <v>1886</v>
      </c>
      <c r="AM2341" s="14">
        <v>1</v>
      </c>
      <c r="AN2341" s="15" t="s">
        <v>5531</v>
      </c>
    </row>
    <row r="2342" spans="1:40" x14ac:dyDescent="0.3">
      <c r="A2342" s="10" t="str">
        <f>HYPERLINK("http://www.washoecounty.gov/assessor/cama/?parid=030-412-11&amp;CardNumber=1","030-412-11")</f>
        <v>030-412-11</v>
      </c>
      <c r="B2342" t="s">
        <v>4655</v>
      </c>
      <c r="C2342" t="s">
        <v>14767</v>
      </c>
      <c r="D2342" s="1">
        <v>40312</v>
      </c>
      <c r="E2342" s="2">
        <v>133000</v>
      </c>
      <c r="F2342" t="s">
        <v>4567</v>
      </c>
      <c r="G2342" s="17" t="str">
        <f>HYPERLINK("https://www.washoecounty.gov/assessor/cama/?command=sales&amp;parid=03041211","3881824")</f>
        <v>3881824</v>
      </c>
      <c r="H2342" t="s">
        <v>4431</v>
      </c>
      <c r="I2342">
        <v>1985</v>
      </c>
      <c r="J2342">
        <v>1985</v>
      </c>
      <c r="K2342" t="s">
        <v>4554</v>
      </c>
      <c r="L2342" t="s">
        <v>4555</v>
      </c>
      <c r="M2342" s="2">
        <v>1255</v>
      </c>
      <c r="N2342" t="s">
        <v>4048</v>
      </c>
      <c r="O2342">
        <v>2</v>
      </c>
      <c r="P2342">
        <v>2</v>
      </c>
      <c r="Q2342">
        <v>0</v>
      </c>
      <c r="R2342" t="s">
        <v>4557</v>
      </c>
      <c r="S2342" t="s">
        <v>4558</v>
      </c>
      <c r="T2342" t="s">
        <v>4559</v>
      </c>
      <c r="U2342" t="s">
        <v>4560</v>
      </c>
      <c r="V2342" s="2">
        <v>420</v>
      </c>
      <c r="W2342" t="s">
        <v>4655</v>
      </c>
      <c r="X2342" s="2">
        <v>0</v>
      </c>
      <c r="Y2342">
        <v>20</v>
      </c>
      <c r="Z2342" t="s">
        <v>5200</v>
      </c>
      <c r="AA2342" s="3">
        <v>0.119995407760143</v>
      </c>
      <c r="AB2342" t="s">
        <v>14768</v>
      </c>
      <c r="AC2342" t="s">
        <v>4562</v>
      </c>
      <c r="AD2342" t="s">
        <v>14767</v>
      </c>
      <c r="AE2342" t="s">
        <v>4655</v>
      </c>
      <c r="AF2342" t="s">
        <v>5201</v>
      </c>
      <c r="AG2342" t="s">
        <v>4564</v>
      </c>
      <c r="AH2342" t="s">
        <v>3898</v>
      </c>
      <c r="AI2342" t="s">
        <v>14769</v>
      </c>
      <c r="AJ2342" t="s">
        <v>4655</v>
      </c>
      <c r="AK2342" t="s">
        <v>14770</v>
      </c>
      <c r="AL2342" s="13" t="s">
        <v>1886</v>
      </c>
      <c r="AM2342">
        <v>1</v>
      </c>
      <c r="AN2342" s="15" t="s">
        <v>5531</v>
      </c>
    </row>
    <row r="2343" spans="1:40" x14ac:dyDescent="0.3">
      <c r="A2343" s="10" t="str">
        <f>HYPERLINK("http://www.washoecounty.gov/assessor/cama/?parid=030-413-24&amp;CardNumber=1","030-413-24")</f>
        <v>030-413-24</v>
      </c>
      <c r="B2343" t="s">
        <v>4655</v>
      </c>
      <c r="C2343" t="s">
        <v>14771</v>
      </c>
      <c r="D2343" s="1">
        <v>40266</v>
      </c>
      <c r="E2343" s="2">
        <v>134000</v>
      </c>
      <c r="F2343" t="s">
        <v>4553</v>
      </c>
      <c r="G2343" s="17" t="str">
        <f>HYPERLINK("https://www.washoecounty.gov/assessor/cama/?command=sales&amp;parid=03041324","3864985")</f>
        <v>3864985</v>
      </c>
      <c r="H2343" t="s">
        <v>14772</v>
      </c>
      <c r="I2343">
        <v>1985</v>
      </c>
      <c r="J2343">
        <v>1985</v>
      </c>
      <c r="K2343" t="s">
        <v>4554</v>
      </c>
      <c r="L2343" t="s">
        <v>4555</v>
      </c>
      <c r="M2343" s="2">
        <v>1206</v>
      </c>
      <c r="N2343" t="s">
        <v>4048</v>
      </c>
      <c r="O2343">
        <v>3</v>
      </c>
      <c r="P2343">
        <v>2</v>
      </c>
      <c r="Q2343">
        <v>0</v>
      </c>
      <c r="R2343" t="s">
        <v>4557</v>
      </c>
      <c r="S2343" t="s">
        <v>4558</v>
      </c>
      <c r="T2343" t="s">
        <v>4559</v>
      </c>
      <c r="U2343" t="s">
        <v>4560</v>
      </c>
      <c r="V2343" s="2">
        <v>441</v>
      </c>
      <c r="W2343" t="s">
        <v>4655</v>
      </c>
      <c r="X2343" s="2">
        <v>0</v>
      </c>
      <c r="Y2343">
        <v>20</v>
      </c>
      <c r="Z2343" t="s">
        <v>5200</v>
      </c>
      <c r="AA2343" s="3">
        <v>0.11299357563257199</v>
      </c>
      <c r="AB2343" t="s">
        <v>14773</v>
      </c>
      <c r="AC2343" t="s">
        <v>4562</v>
      </c>
      <c r="AD2343" t="s">
        <v>14774</v>
      </c>
      <c r="AE2343" t="s">
        <v>4655</v>
      </c>
      <c r="AF2343" t="s">
        <v>4809</v>
      </c>
      <c r="AG2343" t="s">
        <v>4564</v>
      </c>
      <c r="AH2343" t="s">
        <v>3898</v>
      </c>
      <c r="AI2343" t="s">
        <v>4903</v>
      </c>
      <c r="AJ2343" t="s">
        <v>4655</v>
      </c>
      <c r="AK2343" t="s">
        <v>14775</v>
      </c>
      <c r="AL2343" s="13" t="s">
        <v>1886</v>
      </c>
      <c r="AM2343" s="14">
        <v>1</v>
      </c>
      <c r="AN2343" s="15" t="s">
        <v>5531</v>
      </c>
    </row>
    <row r="2344" spans="1:40" x14ac:dyDescent="0.3">
      <c r="A2344" s="10" t="str">
        <f>HYPERLINK("http://www.washoecounty.gov/assessor/cama/?parid=030-421-30&amp;CardNumber=1","030-421-30")</f>
        <v>030-421-30</v>
      </c>
      <c r="B2344" t="s">
        <v>4655</v>
      </c>
      <c r="C2344" t="s">
        <v>14776</v>
      </c>
      <c r="D2344" s="1">
        <v>40396</v>
      </c>
      <c r="E2344" s="2">
        <v>165000</v>
      </c>
      <c r="F2344" t="s">
        <v>4567</v>
      </c>
      <c r="G2344" s="17" t="str">
        <f>HYPERLINK("https://www.washoecounty.gov/assessor/cama/?command=sales&amp;parid=03042130","3909383")</f>
        <v>3909383</v>
      </c>
      <c r="H2344" t="s">
        <v>14777</v>
      </c>
      <c r="I2344">
        <v>1985</v>
      </c>
      <c r="J2344">
        <v>1985</v>
      </c>
      <c r="K2344" t="s">
        <v>4554</v>
      </c>
      <c r="L2344" t="s">
        <v>2170</v>
      </c>
      <c r="M2344" s="2">
        <v>2152</v>
      </c>
      <c r="N2344" t="s">
        <v>4048</v>
      </c>
      <c r="O2344">
        <v>4</v>
      </c>
      <c r="P2344">
        <v>3</v>
      </c>
      <c r="Q2344">
        <v>0</v>
      </c>
      <c r="R2344" t="s">
        <v>4557</v>
      </c>
      <c r="S2344" t="s">
        <v>4558</v>
      </c>
      <c r="T2344" t="s">
        <v>4559</v>
      </c>
      <c r="U2344" t="s">
        <v>4560</v>
      </c>
      <c r="V2344" s="2">
        <v>451</v>
      </c>
      <c r="W2344" t="s">
        <v>4655</v>
      </c>
      <c r="X2344" s="2">
        <v>0</v>
      </c>
      <c r="Y2344">
        <v>20</v>
      </c>
      <c r="Z2344" t="s">
        <v>1687</v>
      </c>
      <c r="AA2344" s="3">
        <v>0.34499540925025901</v>
      </c>
      <c r="AB2344" t="s">
        <v>14778</v>
      </c>
      <c r="AC2344" t="s">
        <v>4562</v>
      </c>
      <c r="AD2344" t="s">
        <v>14776</v>
      </c>
      <c r="AE2344" t="s">
        <v>4655</v>
      </c>
      <c r="AF2344" t="s">
        <v>5201</v>
      </c>
      <c r="AG2344" t="s">
        <v>4564</v>
      </c>
      <c r="AH2344" t="s">
        <v>3898</v>
      </c>
      <c r="AI2344" t="s">
        <v>14779</v>
      </c>
      <c r="AJ2344" t="s">
        <v>4655</v>
      </c>
      <c r="AK2344" t="s">
        <v>14780</v>
      </c>
      <c r="AL2344" s="13" t="s">
        <v>3425</v>
      </c>
      <c r="AM2344" s="14">
        <v>1</v>
      </c>
      <c r="AN2344" s="15" t="s">
        <v>5531</v>
      </c>
    </row>
    <row r="2345" spans="1:40" x14ac:dyDescent="0.3">
      <c r="A2345" s="10" t="str">
        <f>HYPERLINK("http://www.washoecounty.gov/assessor/cama/?parid=030-433-05&amp;CardNumber=1","030-433-05")</f>
        <v>030-433-05</v>
      </c>
      <c r="B2345" t="s">
        <v>4655</v>
      </c>
      <c r="C2345" t="s">
        <v>14781</v>
      </c>
      <c r="D2345" s="1">
        <v>40308</v>
      </c>
      <c r="E2345" s="2">
        <v>73000</v>
      </c>
      <c r="F2345" t="s">
        <v>4567</v>
      </c>
      <c r="G2345" s="17" t="str">
        <f>HYPERLINK("https://www.washoecounty.gov/assessor/cama/?command=sales&amp;parid=03043305","3879624")</f>
        <v>3879624</v>
      </c>
      <c r="H2345" t="s">
        <v>2268</v>
      </c>
      <c r="I2345">
        <v>1987</v>
      </c>
      <c r="J2345">
        <v>1987</v>
      </c>
      <c r="K2345" t="s">
        <v>4897</v>
      </c>
      <c r="L2345" t="s">
        <v>4555</v>
      </c>
      <c r="M2345" s="2">
        <v>918</v>
      </c>
      <c r="N2345" t="s">
        <v>4048</v>
      </c>
      <c r="O2345">
        <v>2</v>
      </c>
      <c r="P2345">
        <v>2</v>
      </c>
      <c r="Q2345">
        <v>0</v>
      </c>
      <c r="R2345" t="s">
        <v>5281</v>
      </c>
      <c r="S2345" t="s">
        <v>4558</v>
      </c>
      <c r="T2345" t="s">
        <v>4899</v>
      </c>
      <c r="U2345" t="s">
        <v>5631</v>
      </c>
      <c r="V2345" s="2">
        <v>180</v>
      </c>
      <c r="W2345" t="s">
        <v>4655</v>
      </c>
      <c r="X2345" s="2">
        <v>0</v>
      </c>
      <c r="Y2345">
        <v>21</v>
      </c>
      <c r="Z2345" t="s">
        <v>5196</v>
      </c>
      <c r="AA2345" s="3">
        <v>1.00000004749745E-3</v>
      </c>
      <c r="AB2345" t="s">
        <v>14782</v>
      </c>
      <c r="AC2345" t="s">
        <v>4562</v>
      </c>
      <c r="AD2345" t="s">
        <v>14783</v>
      </c>
      <c r="AE2345" t="s">
        <v>4655</v>
      </c>
      <c r="AF2345" t="s">
        <v>5201</v>
      </c>
      <c r="AG2345" t="s">
        <v>4564</v>
      </c>
      <c r="AH2345" t="s">
        <v>3898</v>
      </c>
      <c r="AI2345" t="s">
        <v>14784</v>
      </c>
      <c r="AJ2345" t="s">
        <v>4655</v>
      </c>
      <c r="AK2345" t="s">
        <v>14785</v>
      </c>
      <c r="AL2345" s="13" t="s">
        <v>1886</v>
      </c>
      <c r="AM2345">
        <v>1</v>
      </c>
      <c r="AN2345" s="15" t="s">
        <v>4129</v>
      </c>
    </row>
    <row r="2346" spans="1:40" x14ac:dyDescent="0.3">
      <c r="A2346" s="10" t="str">
        <f>HYPERLINK("http://www.washoecounty.gov/assessor/cama/?parid=030-434-04&amp;CardNumber=1","030-434-04")</f>
        <v>030-434-04</v>
      </c>
      <c r="B2346" t="s">
        <v>4655</v>
      </c>
      <c r="C2346" t="s">
        <v>14786</v>
      </c>
      <c r="D2346" s="1">
        <v>40359</v>
      </c>
      <c r="E2346" s="2">
        <v>51000</v>
      </c>
      <c r="F2346" t="s">
        <v>4567</v>
      </c>
      <c r="G2346" s="17" t="str">
        <f>HYPERLINK("https://www.washoecounty.gov/assessor/cama/?command=sales&amp;parid=03043404","3896867")</f>
        <v>3896867</v>
      </c>
      <c r="H2346" t="s">
        <v>1072</v>
      </c>
      <c r="I2346">
        <v>1987</v>
      </c>
      <c r="J2346">
        <v>1987</v>
      </c>
      <c r="K2346" t="s">
        <v>4897</v>
      </c>
      <c r="L2346" t="s">
        <v>4555</v>
      </c>
      <c r="M2346" s="2">
        <v>824</v>
      </c>
      <c r="N2346" t="s">
        <v>4048</v>
      </c>
      <c r="O2346">
        <v>2</v>
      </c>
      <c r="P2346">
        <v>2</v>
      </c>
      <c r="Q2346">
        <v>0</v>
      </c>
      <c r="R2346" t="s">
        <v>5281</v>
      </c>
      <c r="S2346" t="s">
        <v>4558</v>
      </c>
      <c r="T2346" t="s">
        <v>4899</v>
      </c>
      <c r="U2346" t="s">
        <v>5631</v>
      </c>
      <c r="V2346" s="2">
        <v>180</v>
      </c>
      <c r="W2346" t="s">
        <v>4655</v>
      </c>
      <c r="X2346" s="2">
        <v>0</v>
      </c>
      <c r="Y2346">
        <v>21</v>
      </c>
      <c r="Z2346" t="s">
        <v>5196</v>
      </c>
      <c r="AA2346" s="3">
        <v>1.00000004749745E-3</v>
      </c>
      <c r="AB2346" t="s">
        <v>14787</v>
      </c>
      <c r="AC2346" t="s">
        <v>4562</v>
      </c>
      <c r="AD2346" t="s">
        <v>1073</v>
      </c>
      <c r="AE2346" t="s">
        <v>4655</v>
      </c>
      <c r="AF2346" t="s">
        <v>5201</v>
      </c>
      <c r="AG2346" t="s">
        <v>4564</v>
      </c>
      <c r="AH2346" t="s">
        <v>1350</v>
      </c>
      <c r="AI2346" t="s">
        <v>14788</v>
      </c>
      <c r="AJ2346" t="s">
        <v>4655</v>
      </c>
      <c r="AK2346" t="s">
        <v>14789</v>
      </c>
      <c r="AL2346" s="13" t="s">
        <v>1886</v>
      </c>
      <c r="AM2346">
        <v>1</v>
      </c>
      <c r="AN2346" s="15" t="s">
        <v>4129</v>
      </c>
    </row>
    <row r="2347" spans="1:40" x14ac:dyDescent="0.3">
      <c r="A2347" s="10" t="str">
        <f>HYPERLINK("http://www.washoecounty.gov/assessor/cama/?parid=030-434-09&amp;CardNumber=1","030-434-09")</f>
        <v>030-434-09</v>
      </c>
      <c r="B2347" t="s">
        <v>4655</v>
      </c>
      <c r="C2347" t="s">
        <v>14781</v>
      </c>
      <c r="D2347" s="1">
        <v>40268</v>
      </c>
      <c r="E2347" s="2">
        <v>49895</v>
      </c>
      <c r="F2347" t="s">
        <v>4567</v>
      </c>
      <c r="G2347" s="17" t="str">
        <f>HYPERLINK("https://www.washoecounty.gov/assessor/cama/?command=sales&amp;parid=03043409","3866314")</f>
        <v>3866314</v>
      </c>
      <c r="H2347" t="s">
        <v>4128</v>
      </c>
      <c r="I2347">
        <v>1987</v>
      </c>
      <c r="J2347">
        <v>1987</v>
      </c>
      <c r="K2347" t="s">
        <v>4897</v>
      </c>
      <c r="L2347" t="s">
        <v>4555</v>
      </c>
      <c r="M2347" s="2">
        <v>725</v>
      </c>
      <c r="N2347" t="s">
        <v>4048</v>
      </c>
      <c r="O2347">
        <v>1</v>
      </c>
      <c r="P2347">
        <v>1</v>
      </c>
      <c r="Q2347">
        <v>0</v>
      </c>
      <c r="R2347" t="s">
        <v>5281</v>
      </c>
      <c r="S2347" t="s">
        <v>4558</v>
      </c>
      <c r="T2347" t="s">
        <v>4899</v>
      </c>
      <c r="U2347" t="s">
        <v>5631</v>
      </c>
      <c r="V2347" s="2">
        <v>180</v>
      </c>
      <c r="W2347" t="s">
        <v>4655</v>
      </c>
      <c r="X2347" s="2">
        <v>0</v>
      </c>
      <c r="Y2347">
        <v>21</v>
      </c>
      <c r="Z2347" t="s">
        <v>5196</v>
      </c>
      <c r="AA2347" s="3">
        <v>1.00000004749745E-3</v>
      </c>
      <c r="AB2347" t="s">
        <v>14790</v>
      </c>
      <c r="AC2347" t="s">
        <v>4575</v>
      </c>
      <c r="AD2347" t="s">
        <v>14791</v>
      </c>
      <c r="AE2347" t="s">
        <v>4655</v>
      </c>
      <c r="AF2347" t="s">
        <v>5201</v>
      </c>
      <c r="AG2347" t="s">
        <v>4564</v>
      </c>
      <c r="AH2347" t="s">
        <v>3898</v>
      </c>
      <c r="AI2347" t="s">
        <v>14792</v>
      </c>
      <c r="AJ2347" t="s">
        <v>4655</v>
      </c>
      <c r="AK2347" t="s">
        <v>14793</v>
      </c>
      <c r="AL2347" s="13" t="s">
        <v>1886</v>
      </c>
      <c r="AM2347">
        <v>1</v>
      </c>
      <c r="AN2347" s="15" t="s">
        <v>4129</v>
      </c>
    </row>
    <row r="2348" spans="1:40" x14ac:dyDescent="0.3">
      <c r="A2348" s="10" t="str">
        <f>HYPERLINK("http://www.washoecounty.gov/assessor/cama/?parid=030-435-01&amp;CardNumber=1","030-435-01")</f>
        <v>030-435-01</v>
      </c>
      <c r="B2348" t="s">
        <v>4655</v>
      </c>
      <c r="C2348" t="s">
        <v>14794</v>
      </c>
      <c r="D2348" s="1">
        <v>40403</v>
      </c>
      <c r="E2348" s="2">
        <v>71000</v>
      </c>
      <c r="F2348" t="s">
        <v>4567</v>
      </c>
      <c r="G2348" s="17" t="str">
        <f>HYPERLINK("https://www.washoecounty.gov/assessor/cama/?command=sales&amp;parid=03043501","3911990")</f>
        <v>3911990</v>
      </c>
      <c r="H2348" t="s">
        <v>12</v>
      </c>
      <c r="I2348">
        <v>1986</v>
      </c>
      <c r="J2348">
        <v>1986</v>
      </c>
      <c r="K2348" t="s">
        <v>4897</v>
      </c>
      <c r="L2348" t="s">
        <v>4555</v>
      </c>
      <c r="M2348" s="2">
        <v>918</v>
      </c>
      <c r="N2348" t="s">
        <v>4048</v>
      </c>
      <c r="O2348">
        <v>2</v>
      </c>
      <c r="P2348">
        <v>2</v>
      </c>
      <c r="Q2348">
        <v>0</v>
      </c>
      <c r="R2348" t="s">
        <v>5281</v>
      </c>
      <c r="S2348" t="s">
        <v>4558</v>
      </c>
      <c r="T2348" t="s">
        <v>4899</v>
      </c>
      <c r="U2348" t="s">
        <v>5631</v>
      </c>
      <c r="V2348" s="2">
        <v>180</v>
      </c>
      <c r="W2348" t="s">
        <v>4655</v>
      </c>
      <c r="X2348" s="2">
        <v>0</v>
      </c>
      <c r="Y2348">
        <v>21</v>
      </c>
      <c r="Z2348" t="s">
        <v>5196</v>
      </c>
      <c r="AA2348" s="3">
        <v>1.00000004749745E-3</v>
      </c>
      <c r="AB2348" t="s">
        <v>14795</v>
      </c>
      <c r="AC2348" t="s">
        <v>4562</v>
      </c>
      <c r="AD2348" t="s">
        <v>14796</v>
      </c>
      <c r="AE2348" t="s">
        <v>4655</v>
      </c>
      <c r="AF2348" t="s">
        <v>4809</v>
      </c>
      <c r="AG2348" t="s">
        <v>4564</v>
      </c>
      <c r="AH2348" t="s">
        <v>1605</v>
      </c>
      <c r="AI2348" t="s">
        <v>14797</v>
      </c>
      <c r="AJ2348" t="s">
        <v>4655</v>
      </c>
      <c r="AK2348" t="s">
        <v>14798</v>
      </c>
      <c r="AL2348" s="13" t="s">
        <v>1886</v>
      </c>
      <c r="AM2348" s="14">
        <v>1</v>
      </c>
      <c r="AN2348" s="15" t="s">
        <v>4129</v>
      </c>
    </row>
    <row r="2349" spans="1:40" x14ac:dyDescent="0.3">
      <c r="A2349" s="10" t="str">
        <f>HYPERLINK("http://www.washoecounty.gov/assessor/cama/?parid=030-435-03&amp;CardNumber=1","030-435-03")</f>
        <v>030-435-03</v>
      </c>
      <c r="B2349" t="s">
        <v>4655</v>
      </c>
      <c r="C2349" t="s">
        <v>14799</v>
      </c>
      <c r="D2349" s="1">
        <v>40375</v>
      </c>
      <c r="E2349" s="2">
        <v>63500</v>
      </c>
      <c r="F2349" t="s">
        <v>4553</v>
      </c>
      <c r="G2349" s="17" t="str">
        <f>HYPERLINK("https://www.washoecounty.gov/assessor/cama/?command=sales&amp;parid=03043503","3902305")</f>
        <v>3902305</v>
      </c>
      <c r="H2349" t="s">
        <v>1072</v>
      </c>
      <c r="I2349">
        <v>1986</v>
      </c>
      <c r="J2349">
        <v>1986</v>
      </c>
      <c r="K2349" t="s">
        <v>4897</v>
      </c>
      <c r="L2349" t="s">
        <v>4555</v>
      </c>
      <c r="M2349" s="2">
        <v>824</v>
      </c>
      <c r="N2349" t="s">
        <v>4048</v>
      </c>
      <c r="O2349">
        <v>2</v>
      </c>
      <c r="P2349">
        <v>2</v>
      </c>
      <c r="Q2349">
        <v>0</v>
      </c>
      <c r="R2349" t="s">
        <v>5281</v>
      </c>
      <c r="S2349" t="s">
        <v>4558</v>
      </c>
      <c r="T2349" t="s">
        <v>4899</v>
      </c>
      <c r="U2349" t="s">
        <v>5631</v>
      </c>
      <c r="V2349" s="2">
        <v>180</v>
      </c>
      <c r="W2349" t="s">
        <v>4655</v>
      </c>
      <c r="X2349" s="2">
        <v>0</v>
      </c>
      <c r="Y2349">
        <v>21</v>
      </c>
      <c r="Z2349" t="s">
        <v>5196</v>
      </c>
      <c r="AA2349" s="3">
        <v>1.00000004749745E-3</v>
      </c>
      <c r="AB2349" t="s">
        <v>14800</v>
      </c>
      <c r="AC2349" t="s">
        <v>4562</v>
      </c>
      <c r="AD2349" t="s">
        <v>14801</v>
      </c>
      <c r="AE2349" t="s">
        <v>4655</v>
      </c>
      <c r="AF2349" t="s">
        <v>5201</v>
      </c>
      <c r="AG2349" t="s">
        <v>4564</v>
      </c>
      <c r="AH2349" t="s">
        <v>3898</v>
      </c>
      <c r="AI2349" t="s">
        <v>2351</v>
      </c>
      <c r="AJ2349" t="s">
        <v>4655</v>
      </c>
      <c r="AK2349" t="s">
        <v>14802</v>
      </c>
      <c r="AL2349" s="13" t="s">
        <v>1886</v>
      </c>
      <c r="AM2349" s="14">
        <v>1</v>
      </c>
      <c r="AN2349" s="15" t="s">
        <v>4129</v>
      </c>
    </row>
    <row r="2350" spans="1:40" x14ac:dyDescent="0.3">
      <c r="A2350" s="10" t="str">
        <f>HYPERLINK("http://www.washoecounty.gov/assessor/cama/?parid=030-442-15&amp;CardNumber=1","030-442-15")</f>
        <v>030-442-15</v>
      </c>
      <c r="B2350" t="s">
        <v>4655</v>
      </c>
      <c r="C2350" t="s">
        <v>14803</v>
      </c>
      <c r="D2350" s="1">
        <v>40476</v>
      </c>
      <c r="E2350" s="2">
        <v>66000</v>
      </c>
      <c r="F2350" t="s">
        <v>4567</v>
      </c>
      <c r="G2350" s="17" t="str">
        <f>HYPERLINK("https://www.washoecounty.gov/assessor/cama/?command=sales&amp;parid=03044215","3936094")</f>
        <v>3936094</v>
      </c>
      <c r="H2350" t="s">
        <v>4131</v>
      </c>
      <c r="I2350">
        <v>1988</v>
      </c>
      <c r="J2350">
        <v>1988</v>
      </c>
      <c r="K2350" t="s">
        <v>4897</v>
      </c>
      <c r="L2350" t="s">
        <v>4555</v>
      </c>
      <c r="M2350" s="2">
        <v>824</v>
      </c>
      <c r="N2350" t="s">
        <v>4048</v>
      </c>
      <c r="O2350">
        <v>2</v>
      </c>
      <c r="P2350">
        <v>2</v>
      </c>
      <c r="Q2350">
        <v>0</v>
      </c>
      <c r="R2350" t="s">
        <v>5281</v>
      </c>
      <c r="S2350" t="s">
        <v>4558</v>
      </c>
      <c r="T2350" t="s">
        <v>4899</v>
      </c>
      <c r="U2350" t="s">
        <v>5631</v>
      </c>
      <c r="V2350" s="2">
        <v>180</v>
      </c>
      <c r="W2350" t="s">
        <v>4655</v>
      </c>
      <c r="X2350" s="2">
        <v>0</v>
      </c>
      <c r="Y2350">
        <v>21</v>
      </c>
      <c r="Z2350" t="s">
        <v>5196</v>
      </c>
      <c r="AA2350" s="3">
        <v>1.00000004749745E-3</v>
      </c>
      <c r="AB2350" t="s">
        <v>14804</v>
      </c>
      <c r="AC2350" t="s">
        <v>4575</v>
      </c>
      <c r="AD2350" t="s">
        <v>14805</v>
      </c>
      <c r="AE2350" t="s">
        <v>4655</v>
      </c>
      <c r="AF2350" t="s">
        <v>5201</v>
      </c>
      <c r="AG2350" t="s">
        <v>4564</v>
      </c>
      <c r="AH2350" t="s">
        <v>3898</v>
      </c>
      <c r="AI2350" t="s">
        <v>14806</v>
      </c>
      <c r="AJ2350" t="s">
        <v>4655</v>
      </c>
      <c r="AK2350" t="s">
        <v>14807</v>
      </c>
      <c r="AL2350" s="13" t="s">
        <v>1886</v>
      </c>
      <c r="AM2350" s="14">
        <v>1</v>
      </c>
      <c r="AN2350" s="15" t="s">
        <v>4129</v>
      </c>
    </row>
    <row r="2351" spans="1:40" x14ac:dyDescent="0.3">
      <c r="A2351" s="10" t="str">
        <f>HYPERLINK("http://www.washoecounty.gov/assessor/cama/?parid=030-444-06&amp;CardNumber=1","030-444-06")</f>
        <v>030-444-06</v>
      </c>
      <c r="B2351" t="s">
        <v>4655</v>
      </c>
      <c r="C2351" t="s">
        <v>4130</v>
      </c>
      <c r="D2351" s="1">
        <v>40268</v>
      </c>
      <c r="E2351" s="2">
        <v>68000</v>
      </c>
      <c r="F2351" t="s">
        <v>4567</v>
      </c>
      <c r="G2351" s="17" t="str">
        <f>HYPERLINK("https://www.washoecounty.gov/assessor/cama/?command=sales&amp;parid=03044406","3866292")</f>
        <v>3866292</v>
      </c>
      <c r="H2351" t="s">
        <v>4131</v>
      </c>
      <c r="I2351">
        <v>1987</v>
      </c>
      <c r="J2351">
        <v>1987</v>
      </c>
      <c r="K2351" t="s">
        <v>4897</v>
      </c>
      <c r="L2351" t="s">
        <v>4555</v>
      </c>
      <c r="M2351" s="2">
        <v>824</v>
      </c>
      <c r="N2351" t="s">
        <v>4048</v>
      </c>
      <c r="O2351">
        <v>2</v>
      </c>
      <c r="P2351">
        <v>2</v>
      </c>
      <c r="Q2351">
        <v>0</v>
      </c>
      <c r="R2351" t="s">
        <v>5281</v>
      </c>
      <c r="S2351" t="s">
        <v>4558</v>
      </c>
      <c r="T2351" t="s">
        <v>4899</v>
      </c>
      <c r="U2351" t="s">
        <v>5631</v>
      </c>
      <c r="V2351" s="2">
        <v>180</v>
      </c>
      <c r="W2351" t="s">
        <v>4655</v>
      </c>
      <c r="X2351" s="2">
        <v>0</v>
      </c>
      <c r="Y2351">
        <v>21</v>
      </c>
      <c r="Z2351" t="s">
        <v>5196</v>
      </c>
      <c r="AA2351" s="3">
        <v>1.00000004749745E-3</v>
      </c>
      <c r="AB2351" t="s">
        <v>14808</v>
      </c>
      <c r="AC2351" t="s">
        <v>4575</v>
      </c>
      <c r="AD2351" t="s">
        <v>14809</v>
      </c>
      <c r="AE2351" t="s">
        <v>4655</v>
      </c>
      <c r="AF2351" t="s">
        <v>5201</v>
      </c>
      <c r="AG2351" t="s">
        <v>4564</v>
      </c>
      <c r="AH2351" t="s">
        <v>3898</v>
      </c>
      <c r="AI2351" t="s">
        <v>14810</v>
      </c>
      <c r="AJ2351" t="s">
        <v>4655</v>
      </c>
      <c r="AK2351" t="s">
        <v>14811</v>
      </c>
      <c r="AL2351" s="13" t="s">
        <v>1886</v>
      </c>
      <c r="AM2351">
        <v>1</v>
      </c>
      <c r="AN2351" s="15" t="s">
        <v>4129</v>
      </c>
    </row>
    <row r="2352" spans="1:40" x14ac:dyDescent="0.3">
      <c r="A2352" s="10" t="str">
        <f>HYPERLINK("http://www.washoecounty.gov/assessor/cama/?parid=030-451-04&amp;CardNumber=1","030-451-04")</f>
        <v>030-451-04</v>
      </c>
      <c r="B2352" t="s">
        <v>4655</v>
      </c>
      <c r="C2352" t="s">
        <v>14812</v>
      </c>
      <c r="D2352" s="1">
        <v>40282</v>
      </c>
      <c r="E2352" s="2">
        <v>68000</v>
      </c>
      <c r="F2352" t="s">
        <v>4567</v>
      </c>
      <c r="G2352" s="17" t="str">
        <f>HYPERLINK("https://www.washoecounty.gov/assessor/cama/?command=sales&amp;parid=03045104","3870750")</f>
        <v>3870750</v>
      </c>
      <c r="H2352" t="s">
        <v>1421</v>
      </c>
      <c r="I2352">
        <v>1995</v>
      </c>
      <c r="J2352">
        <v>1995</v>
      </c>
      <c r="K2352" t="s">
        <v>4897</v>
      </c>
      <c r="L2352" t="s">
        <v>4555</v>
      </c>
      <c r="M2352" s="2">
        <v>918</v>
      </c>
      <c r="N2352" t="s">
        <v>4048</v>
      </c>
      <c r="O2352">
        <v>2</v>
      </c>
      <c r="P2352">
        <v>2</v>
      </c>
      <c r="Q2352">
        <v>0</v>
      </c>
      <c r="R2352" t="s">
        <v>5281</v>
      </c>
      <c r="S2352" t="s">
        <v>4558</v>
      </c>
      <c r="T2352" t="s">
        <v>4899</v>
      </c>
      <c r="U2352" t="s">
        <v>5631</v>
      </c>
      <c r="V2352" s="2">
        <v>180</v>
      </c>
      <c r="W2352" t="s">
        <v>4655</v>
      </c>
      <c r="X2352" s="2">
        <v>0</v>
      </c>
      <c r="Y2352">
        <v>21</v>
      </c>
      <c r="Z2352" t="s">
        <v>5196</v>
      </c>
      <c r="AA2352" s="3">
        <v>1.00100003182888E-2</v>
      </c>
      <c r="AB2352" t="s">
        <v>14813</v>
      </c>
      <c r="AC2352" t="s">
        <v>4562</v>
      </c>
      <c r="AD2352" t="s">
        <v>14814</v>
      </c>
      <c r="AE2352" t="s">
        <v>4655</v>
      </c>
      <c r="AF2352" t="s">
        <v>1407</v>
      </c>
      <c r="AG2352" t="s">
        <v>4564</v>
      </c>
      <c r="AH2352">
        <v>89703</v>
      </c>
      <c r="AI2352" t="s">
        <v>14815</v>
      </c>
      <c r="AJ2352" t="s">
        <v>4655</v>
      </c>
      <c r="AK2352" t="s">
        <v>14816</v>
      </c>
      <c r="AL2352" s="13" t="s">
        <v>1886</v>
      </c>
      <c r="AM2352" s="14">
        <v>1</v>
      </c>
      <c r="AN2352" s="15" t="s">
        <v>4129</v>
      </c>
    </row>
    <row r="2353" spans="1:40" x14ac:dyDescent="0.3">
      <c r="A2353" s="10" t="str">
        <f>HYPERLINK("http://www.washoecounty.gov/assessor/cama/?parid=030-451-07&amp;CardNumber=1","030-451-07")</f>
        <v>030-451-07</v>
      </c>
      <c r="B2353" t="s">
        <v>4655</v>
      </c>
      <c r="C2353" t="s">
        <v>14817</v>
      </c>
      <c r="D2353" s="1">
        <v>40413</v>
      </c>
      <c r="E2353" s="2">
        <v>66500</v>
      </c>
      <c r="F2353" t="s">
        <v>4567</v>
      </c>
      <c r="G2353" s="17" t="str">
        <f>HYPERLINK("https://www.washoecounty.gov/assessor/cama/?command=sales&amp;parid=03045107","3914796")</f>
        <v>3914796</v>
      </c>
      <c r="H2353" t="s">
        <v>4489</v>
      </c>
      <c r="I2353">
        <v>1996</v>
      </c>
      <c r="J2353">
        <v>1996</v>
      </c>
      <c r="K2353" t="s">
        <v>4897</v>
      </c>
      <c r="L2353" t="s">
        <v>4555</v>
      </c>
      <c r="M2353" s="2">
        <v>824</v>
      </c>
      <c r="N2353" t="s">
        <v>4048</v>
      </c>
      <c r="O2353">
        <v>2</v>
      </c>
      <c r="P2353">
        <v>2</v>
      </c>
      <c r="Q2353">
        <v>0</v>
      </c>
      <c r="R2353" t="s">
        <v>5281</v>
      </c>
      <c r="S2353" t="s">
        <v>4558</v>
      </c>
      <c r="T2353" t="s">
        <v>4899</v>
      </c>
      <c r="U2353" t="s">
        <v>5631</v>
      </c>
      <c r="V2353" s="2">
        <v>180</v>
      </c>
      <c r="W2353" t="s">
        <v>4655</v>
      </c>
      <c r="X2353" s="2">
        <v>0</v>
      </c>
      <c r="Y2353">
        <v>21</v>
      </c>
      <c r="Z2353" t="s">
        <v>5196</v>
      </c>
      <c r="AA2353" s="3">
        <v>1.00100003182888E-2</v>
      </c>
      <c r="AB2353" t="s">
        <v>14818</v>
      </c>
      <c r="AC2353" t="s">
        <v>4562</v>
      </c>
      <c r="AD2353" t="s">
        <v>14819</v>
      </c>
      <c r="AE2353" t="s">
        <v>4655</v>
      </c>
      <c r="AF2353" t="s">
        <v>5201</v>
      </c>
      <c r="AG2353" t="s">
        <v>4564</v>
      </c>
      <c r="AH2353" t="s">
        <v>3898</v>
      </c>
      <c r="AI2353" t="s">
        <v>14820</v>
      </c>
      <c r="AJ2353" t="s">
        <v>4655</v>
      </c>
      <c r="AK2353" t="s">
        <v>14821</v>
      </c>
      <c r="AL2353" s="13" t="s">
        <v>1886</v>
      </c>
      <c r="AM2353">
        <v>1</v>
      </c>
      <c r="AN2353" s="15" t="s">
        <v>4129</v>
      </c>
    </row>
    <row r="2354" spans="1:40" x14ac:dyDescent="0.3">
      <c r="A2354" s="10" t="str">
        <f>HYPERLINK("http://www.washoecounty.gov/assessor/cama/?parid=030-452-03&amp;CardNumber=1","030-452-03")</f>
        <v>030-452-03</v>
      </c>
      <c r="B2354" t="s">
        <v>4655</v>
      </c>
      <c r="C2354" t="s">
        <v>14822</v>
      </c>
      <c r="D2354" s="1">
        <v>40326</v>
      </c>
      <c r="E2354" s="2">
        <v>66800</v>
      </c>
      <c r="F2354" t="s">
        <v>4567</v>
      </c>
      <c r="G2354" s="17" t="str">
        <f>HYPERLINK("https://www.washoecounty.gov/assessor/cama/?command=sales&amp;parid=03045203","3886864")</f>
        <v>3886864</v>
      </c>
      <c r="H2354" t="s">
        <v>4489</v>
      </c>
      <c r="I2354">
        <v>1995</v>
      </c>
      <c r="J2354">
        <v>1995</v>
      </c>
      <c r="K2354" t="s">
        <v>4897</v>
      </c>
      <c r="L2354" t="s">
        <v>4555</v>
      </c>
      <c r="M2354" s="2">
        <v>824</v>
      </c>
      <c r="N2354" t="s">
        <v>4048</v>
      </c>
      <c r="O2354">
        <v>2</v>
      </c>
      <c r="P2354">
        <v>2</v>
      </c>
      <c r="Q2354">
        <v>0</v>
      </c>
      <c r="R2354" t="s">
        <v>5281</v>
      </c>
      <c r="S2354" t="s">
        <v>4558</v>
      </c>
      <c r="T2354" t="s">
        <v>4899</v>
      </c>
      <c r="U2354" t="s">
        <v>5631</v>
      </c>
      <c r="V2354" s="2">
        <v>180</v>
      </c>
      <c r="W2354" t="s">
        <v>4655</v>
      </c>
      <c r="X2354" s="2">
        <v>0</v>
      </c>
      <c r="Y2354">
        <v>21</v>
      </c>
      <c r="Z2354" t="s">
        <v>5196</v>
      </c>
      <c r="AA2354" s="3">
        <v>1.0009182617068299E-2</v>
      </c>
      <c r="AB2354" t="s">
        <v>14823</v>
      </c>
      <c r="AC2354" t="s">
        <v>4562</v>
      </c>
      <c r="AD2354" t="s">
        <v>14824</v>
      </c>
      <c r="AE2354" t="s">
        <v>4655</v>
      </c>
      <c r="AF2354" t="s">
        <v>4809</v>
      </c>
      <c r="AG2354" t="s">
        <v>4564</v>
      </c>
      <c r="AH2354" t="s">
        <v>3898</v>
      </c>
      <c r="AI2354" t="s">
        <v>14825</v>
      </c>
      <c r="AJ2354" t="s">
        <v>4655</v>
      </c>
      <c r="AK2354" t="s">
        <v>14826</v>
      </c>
      <c r="AL2354" s="13" t="s">
        <v>1886</v>
      </c>
      <c r="AM2354">
        <v>1</v>
      </c>
      <c r="AN2354" s="15" t="s">
        <v>4129</v>
      </c>
    </row>
    <row r="2355" spans="1:40" x14ac:dyDescent="0.3">
      <c r="A2355" s="10" t="str">
        <f>HYPERLINK("http://www.washoecounty.gov/assessor/cama/?parid=030-461-22&amp;CardNumber=1","030-461-22")</f>
        <v>030-461-22</v>
      </c>
      <c r="B2355" t="s">
        <v>4655</v>
      </c>
      <c r="C2355" t="s">
        <v>5044</v>
      </c>
      <c r="D2355" s="1">
        <v>40500</v>
      </c>
      <c r="E2355" s="2">
        <v>131833</v>
      </c>
      <c r="F2355" t="s">
        <v>4567</v>
      </c>
      <c r="G2355" s="17" t="str">
        <f>HYPERLINK("https://www.washoecounty.gov/assessor/cama/?command=sales&amp;parid=03046122","3944314")</f>
        <v>3944314</v>
      </c>
      <c r="H2355" t="s">
        <v>2130</v>
      </c>
      <c r="I2355">
        <v>1986</v>
      </c>
      <c r="J2355">
        <v>1986</v>
      </c>
      <c r="K2355" t="s">
        <v>4554</v>
      </c>
      <c r="L2355" t="s">
        <v>4555</v>
      </c>
      <c r="M2355" s="2">
        <v>1642</v>
      </c>
      <c r="N2355" t="s">
        <v>4048</v>
      </c>
      <c r="O2355">
        <v>3</v>
      </c>
      <c r="P2355">
        <v>2</v>
      </c>
      <c r="Q2355">
        <v>0</v>
      </c>
      <c r="R2355" t="s">
        <v>5281</v>
      </c>
      <c r="S2355" t="s">
        <v>4135</v>
      </c>
      <c r="T2355" t="s">
        <v>4559</v>
      </c>
      <c r="U2355" t="s">
        <v>4560</v>
      </c>
      <c r="V2355" s="2">
        <v>472</v>
      </c>
      <c r="W2355" t="s">
        <v>4655</v>
      </c>
      <c r="X2355" s="2">
        <v>0</v>
      </c>
      <c r="Y2355">
        <v>20</v>
      </c>
      <c r="Z2355" t="s">
        <v>5200</v>
      </c>
      <c r="AA2355" s="3">
        <v>0.18200182914733901</v>
      </c>
      <c r="AB2355" t="s">
        <v>5550</v>
      </c>
      <c r="AC2355" t="s">
        <v>4575</v>
      </c>
      <c r="AD2355" t="s">
        <v>5044</v>
      </c>
      <c r="AE2355" t="s">
        <v>4655</v>
      </c>
      <c r="AF2355" t="s">
        <v>5201</v>
      </c>
      <c r="AG2355" t="s">
        <v>4564</v>
      </c>
      <c r="AH2355" t="s">
        <v>3898</v>
      </c>
      <c r="AI2355" t="s">
        <v>14827</v>
      </c>
      <c r="AJ2355" t="s">
        <v>4655</v>
      </c>
      <c r="AK2355" t="s">
        <v>5045</v>
      </c>
      <c r="AL2355" s="13" t="s">
        <v>1886</v>
      </c>
      <c r="AM2355">
        <v>1</v>
      </c>
      <c r="AN2355" s="15" t="s">
        <v>5531</v>
      </c>
    </row>
    <row r="2356" spans="1:40" x14ac:dyDescent="0.3">
      <c r="A2356" s="10" t="str">
        <f>HYPERLINK("http://www.washoecounty.gov/assessor/cama/?parid=030-468-02&amp;CardNumber=1","030-468-02")</f>
        <v>030-468-02</v>
      </c>
      <c r="B2356" t="s">
        <v>4655</v>
      </c>
      <c r="C2356" t="s">
        <v>14828</v>
      </c>
      <c r="D2356" s="1">
        <v>40373</v>
      </c>
      <c r="E2356" s="2">
        <v>175000</v>
      </c>
      <c r="F2356" t="s">
        <v>4553</v>
      </c>
      <c r="G2356" s="17" t="str">
        <f>HYPERLINK("https://www.washoecounty.gov/assessor/cama/?command=sales&amp;parid=03046802","3901442")</f>
        <v>3901442</v>
      </c>
      <c r="H2356" t="s">
        <v>2130</v>
      </c>
      <c r="I2356">
        <v>1987</v>
      </c>
      <c r="J2356">
        <v>1987</v>
      </c>
      <c r="K2356" t="s">
        <v>4554</v>
      </c>
      <c r="L2356" t="s">
        <v>2170</v>
      </c>
      <c r="M2356" s="2">
        <v>2128</v>
      </c>
      <c r="N2356" t="s">
        <v>4048</v>
      </c>
      <c r="O2356">
        <v>4</v>
      </c>
      <c r="P2356">
        <v>3</v>
      </c>
      <c r="Q2356">
        <v>0</v>
      </c>
      <c r="R2356" t="s">
        <v>5281</v>
      </c>
      <c r="S2356" t="s">
        <v>4558</v>
      </c>
      <c r="T2356" t="s">
        <v>4559</v>
      </c>
      <c r="U2356" t="s">
        <v>4560</v>
      </c>
      <c r="V2356" s="2">
        <v>462</v>
      </c>
      <c r="W2356" t="s">
        <v>4655</v>
      </c>
      <c r="X2356" s="2">
        <v>0</v>
      </c>
      <c r="Y2356">
        <v>20</v>
      </c>
      <c r="Z2356" t="s">
        <v>5200</v>
      </c>
      <c r="AA2356" s="3">
        <v>0.19100092351436601</v>
      </c>
      <c r="AB2356" t="s">
        <v>14829</v>
      </c>
      <c r="AC2356" t="s">
        <v>4562</v>
      </c>
      <c r="AD2356" t="s">
        <v>14828</v>
      </c>
      <c r="AE2356" t="s">
        <v>4655</v>
      </c>
      <c r="AF2356" t="s">
        <v>5201</v>
      </c>
      <c r="AG2356" t="s">
        <v>4564</v>
      </c>
      <c r="AH2356" t="s">
        <v>3898</v>
      </c>
      <c r="AI2356" t="s">
        <v>4655</v>
      </c>
      <c r="AJ2356" t="s">
        <v>4655</v>
      </c>
      <c r="AK2356" t="s">
        <v>14830</v>
      </c>
      <c r="AL2356" s="13" t="s">
        <v>3425</v>
      </c>
      <c r="AM2356" s="14">
        <v>1</v>
      </c>
      <c r="AN2356" s="15" t="s">
        <v>5531</v>
      </c>
    </row>
    <row r="2357" spans="1:40" x14ac:dyDescent="0.3">
      <c r="A2357" s="10" t="str">
        <f>HYPERLINK("http://www.washoecounty.gov/assessor/cama/?parid=030-471-04&amp;CardNumber=1","030-471-04")</f>
        <v>030-471-04</v>
      </c>
      <c r="B2357" t="s">
        <v>4655</v>
      </c>
      <c r="C2357" t="s">
        <v>14831</v>
      </c>
      <c r="D2357" s="1">
        <v>40515</v>
      </c>
      <c r="E2357" s="2">
        <v>100000</v>
      </c>
      <c r="F2357" t="s">
        <v>4567</v>
      </c>
      <c r="G2357" s="17" t="str">
        <f>HYPERLINK("https://www.washoecounty.gov/assessor/cama/?command=sales&amp;parid=03047104","3949318")</f>
        <v>3949318</v>
      </c>
      <c r="H2357" t="s">
        <v>5566</v>
      </c>
      <c r="I2357">
        <v>1987</v>
      </c>
      <c r="J2357">
        <v>1987</v>
      </c>
      <c r="K2357" t="s">
        <v>4554</v>
      </c>
      <c r="L2357" t="s">
        <v>3974</v>
      </c>
      <c r="M2357" s="2">
        <v>1392</v>
      </c>
      <c r="N2357" t="s">
        <v>4048</v>
      </c>
      <c r="O2357">
        <v>3</v>
      </c>
      <c r="P2357">
        <v>2</v>
      </c>
      <c r="Q2357">
        <v>1</v>
      </c>
      <c r="R2357" t="s">
        <v>4557</v>
      </c>
      <c r="S2357" t="s">
        <v>4558</v>
      </c>
      <c r="T2357" t="s">
        <v>4559</v>
      </c>
      <c r="U2357" t="s">
        <v>4560</v>
      </c>
      <c r="V2357" s="2">
        <v>464</v>
      </c>
      <c r="W2357" t="s">
        <v>4655</v>
      </c>
      <c r="X2357" s="2">
        <v>0</v>
      </c>
      <c r="Y2357">
        <v>20</v>
      </c>
      <c r="Z2357" t="s">
        <v>4908</v>
      </c>
      <c r="AA2357" s="3">
        <v>7.6010100543499007E-2</v>
      </c>
      <c r="AB2357" t="s">
        <v>405</v>
      </c>
      <c r="AC2357" t="s">
        <v>4562</v>
      </c>
      <c r="AD2357" t="s">
        <v>13750</v>
      </c>
      <c r="AE2357" t="s">
        <v>4655</v>
      </c>
      <c r="AF2357" t="s">
        <v>13751</v>
      </c>
      <c r="AG2357" t="s">
        <v>4584</v>
      </c>
      <c r="AH2357">
        <v>90291</v>
      </c>
      <c r="AI2357" t="s">
        <v>4655</v>
      </c>
      <c r="AJ2357" t="s">
        <v>4655</v>
      </c>
      <c r="AK2357" t="s">
        <v>14832</v>
      </c>
      <c r="AL2357" s="13" t="s">
        <v>3425</v>
      </c>
      <c r="AM2357" s="14">
        <v>1</v>
      </c>
      <c r="AN2357" s="15" t="s">
        <v>5531</v>
      </c>
    </row>
    <row r="2358" spans="1:40" x14ac:dyDescent="0.3">
      <c r="A2358" s="10" t="str">
        <f>HYPERLINK("http://www.washoecounty.gov/assessor/cama/?parid=030-473-08&amp;CardNumber=1","030-473-08")</f>
        <v>030-473-08</v>
      </c>
      <c r="B2358" t="s">
        <v>4655</v>
      </c>
      <c r="C2358" t="s">
        <v>14833</v>
      </c>
      <c r="D2358" s="1">
        <v>40494</v>
      </c>
      <c r="E2358" s="2">
        <v>114000</v>
      </c>
      <c r="F2358" t="s">
        <v>4567</v>
      </c>
      <c r="G2358" s="17" t="str">
        <f>HYPERLINK("https://www.washoecounty.gov/assessor/cama/?command=sales&amp;parid=03047308","3942544")</f>
        <v>3942544</v>
      </c>
      <c r="H2358" t="s">
        <v>14834</v>
      </c>
      <c r="I2358">
        <v>1990</v>
      </c>
      <c r="J2358">
        <v>1990</v>
      </c>
      <c r="K2358" t="s">
        <v>4554</v>
      </c>
      <c r="L2358" t="s">
        <v>3974</v>
      </c>
      <c r="M2358" s="2">
        <v>1270</v>
      </c>
      <c r="N2358" t="s">
        <v>4048</v>
      </c>
      <c r="O2358">
        <v>3</v>
      </c>
      <c r="P2358">
        <v>2</v>
      </c>
      <c r="Q2358">
        <v>1</v>
      </c>
      <c r="R2358" t="s">
        <v>4557</v>
      </c>
      <c r="S2358" t="s">
        <v>4558</v>
      </c>
      <c r="T2358" t="s">
        <v>4559</v>
      </c>
      <c r="U2358" t="s">
        <v>5631</v>
      </c>
      <c r="V2358" s="2">
        <v>460</v>
      </c>
      <c r="W2358" t="s">
        <v>4655</v>
      </c>
      <c r="X2358" s="2">
        <v>0</v>
      </c>
      <c r="Y2358">
        <v>20</v>
      </c>
      <c r="Z2358" t="s">
        <v>4908</v>
      </c>
      <c r="AA2358" s="3">
        <v>0.16200642287731201</v>
      </c>
      <c r="AB2358" t="s">
        <v>14835</v>
      </c>
      <c r="AC2358" t="s">
        <v>4562</v>
      </c>
      <c r="AD2358" t="s">
        <v>14836</v>
      </c>
      <c r="AE2358" t="s">
        <v>4655</v>
      </c>
      <c r="AF2358" t="s">
        <v>4809</v>
      </c>
      <c r="AG2358" t="s">
        <v>4564</v>
      </c>
      <c r="AH2358" t="s">
        <v>3898</v>
      </c>
      <c r="AI2358" t="s">
        <v>14837</v>
      </c>
      <c r="AJ2358" t="s">
        <v>4655</v>
      </c>
      <c r="AK2358" t="s">
        <v>14838</v>
      </c>
      <c r="AL2358" s="13" t="s">
        <v>3425</v>
      </c>
      <c r="AM2358" s="14">
        <v>1</v>
      </c>
      <c r="AN2358" s="15" t="s">
        <v>5531</v>
      </c>
    </row>
    <row r="2359" spans="1:40" x14ac:dyDescent="0.3">
      <c r="A2359" s="10" t="str">
        <f>HYPERLINK("http://www.washoecounty.gov/assessor/cama/?parid=030-481-19&amp;CardNumber=1","030-481-19")</f>
        <v>030-481-19</v>
      </c>
      <c r="B2359" t="s">
        <v>4655</v>
      </c>
      <c r="C2359" t="s">
        <v>14839</v>
      </c>
      <c r="D2359" s="1">
        <v>40326</v>
      </c>
      <c r="E2359" s="2">
        <v>150000</v>
      </c>
      <c r="F2359" t="s">
        <v>4567</v>
      </c>
      <c r="G2359" s="17" t="str">
        <f>HYPERLINK("https://www.washoecounty.gov/assessor/cama/?command=sales&amp;parid=03048119","3886335")</f>
        <v>3886335</v>
      </c>
      <c r="H2359" t="s">
        <v>14840</v>
      </c>
      <c r="I2359">
        <v>1987</v>
      </c>
      <c r="J2359">
        <v>1987</v>
      </c>
      <c r="K2359" t="s">
        <v>4554</v>
      </c>
      <c r="L2359" t="s">
        <v>2170</v>
      </c>
      <c r="M2359" s="2">
        <v>2128</v>
      </c>
      <c r="N2359" t="s">
        <v>4048</v>
      </c>
      <c r="O2359">
        <v>4</v>
      </c>
      <c r="P2359">
        <v>3</v>
      </c>
      <c r="Q2359">
        <v>0</v>
      </c>
      <c r="R2359" t="s">
        <v>4557</v>
      </c>
      <c r="S2359" t="s">
        <v>4558</v>
      </c>
      <c r="T2359" t="s">
        <v>4559</v>
      </c>
      <c r="U2359" t="s">
        <v>4560</v>
      </c>
      <c r="V2359" s="2">
        <v>462</v>
      </c>
      <c r="W2359" t="s">
        <v>4655</v>
      </c>
      <c r="X2359" s="2">
        <v>0</v>
      </c>
      <c r="Y2359">
        <v>20</v>
      </c>
      <c r="Z2359" t="s">
        <v>5200</v>
      </c>
      <c r="AA2359" s="3">
        <v>0.16099633276462599</v>
      </c>
      <c r="AB2359" t="s">
        <v>14841</v>
      </c>
      <c r="AC2359" t="s">
        <v>4562</v>
      </c>
      <c r="AD2359" t="s">
        <v>14839</v>
      </c>
      <c r="AE2359" t="s">
        <v>4655</v>
      </c>
      <c r="AF2359" t="s">
        <v>5201</v>
      </c>
      <c r="AG2359" t="s">
        <v>4564</v>
      </c>
      <c r="AH2359" t="s">
        <v>3898</v>
      </c>
      <c r="AI2359" t="s">
        <v>14842</v>
      </c>
      <c r="AJ2359" t="s">
        <v>4655</v>
      </c>
      <c r="AK2359" t="s">
        <v>14843</v>
      </c>
      <c r="AL2359" s="13" t="s">
        <v>1886</v>
      </c>
      <c r="AM2359">
        <v>1</v>
      </c>
      <c r="AN2359" s="15" t="s">
        <v>5531</v>
      </c>
    </row>
    <row r="2360" spans="1:40" x14ac:dyDescent="0.3">
      <c r="A2360" s="10" t="str">
        <f>HYPERLINK("http://www.washoecounty.gov/assessor/cama/?parid=030-482-01&amp;CardNumber=1","030-482-01")</f>
        <v>030-482-01</v>
      </c>
      <c r="B2360" t="s">
        <v>4655</v>
      </c>
      <c r="C2360" t="s">
        <v>14844</v>
      </c>
      <c r="D2360" s="1">
        <v>40317</v>
      </c>
      <c r="E2360" s="2">
        <v>175000</v>
      </c>
      <c r="F2360" t="s">
        <v>4553</v>
      </c>
      <c r="G2360" s="17" t="str">
        <f>HYPERLINK("https://www.washoecounty.gov/assessor/cama/?command=sales&amp;parid=03048201","3883101")</f>
        <v>3883101</v>
      </c>
      <c r="H2360" t="s">
        <v>14840</v>
      </c>
      <c r="I2360">
        <v>1987</v>
      </c>
      <c r="J2360">
        <v>1987</v>
      </c>
      <c r="K2360" t="s">
        <v>4554</v>
      </c>
      <c r="L2360" t="s">
        <v>4555</v>
      </c>
      <c r="M2360" s="2">
        <v>1642</v>
      </c>
      <c r="N2360" t="s">
        <v>4048</v>
      </c>
      <c r="O2360">
        <v>3</v>
      </c>
      <c r="P2360">
        <v>2</v>
      </c>
      <c r="Q2360">
        <v>0</v>
      </c>
      <c r="R2360" t="s">
        <v>5281</v>
      </c>
      <c r="S2360" t="s">
        <v>4558</v>
      </c>
      <c r="T2360" t="s">
        <v>4559</v>
      </c>
      <c r="U2360" t="s">
        <v>4560</v>
      </c>
      <c r="V2360" s="2">
        <v>472</v>
      </c>
      <c r="W2360" t="s">
        <v>4655</v>
      </c>
      <c r="X2360" s="2">
        <v>0</v>
      </c>
      <c r="Y2360">
        <v>20</v>
      </c>
      <c r="Z2360" t="s">
        <v>5200</v>
      </c>
      <c r="AA2360" s="3">
        <v>0.16900826990604401</v>
      </c>
      <c r="AB2360" t="s">
        <v>14845</v>
      </c>
      <c r="AC2360" t="s">
        <v>4562</v>
      </c>
      <c r="AD2360" t="s">
        <v>14844</v>
      </c>
      <c r="AE2360" t="s">
        <v>4655</v>
      </c>
      <c r="AF2360" t="s">
        <v>5201</v>
      </c>
      <c r="AG2360" t="s">
        <v>4564</v>
      </c>
      <c r="AH2360" t="s">
        <v>3898</v>
      </c>
      <c r="AI2360" t="s">
        <v>4565</v>
      </c>
      <c r="AJ2360" t="s">
        <v>4655</v>
      </c>
      <c r="AK2360" t="s">
        <v>14846</v>
      </c>
      <c r="AL2360" s="13" t="s">
        <v>1886</v>
      </c>
      <c r="AM2360" s="14">
        <v>1</v>
      </c>
      <c r="AN2360" s="15" t="s">
        <v>5531</v>
      </c>
    </row>
    <row r="2361" spans="1:40" x14ac:dyDescent="0.3">
      <c r="A2361" s="10" t="str">
        <f>HYPERLINK("http://www.washoecounty.gov/assessor/cama/?parid=030-482-13&amp;CardNumber=1","030-482-13")</f>
        <v>030-482-13</v>
      </c>
      <c r="B2361" t="s">
        <v>4655</v>
      </c>
      <c r="C2361" t="s">
        <v>14847</v>
      </c>
      <c r="D2361" s="1">
        <v>40471</v>
      </c>
      <c r="E2361" s="2">
        <v>130000</v>
      </c>
      <c r="F2361" t="s">
        <v>4567</v>
      </c>
      <c r="G2361" s="17" t="str">
        <f>HYPERLINK("https://www.washoecounty.gov/assessor/cama/?command=sales&amp;parid=03048213","3935107")</f>
        <v>3935107</v>
      </c>
      <c r="H2361" t="s">
        <v>14840</v>
      </c>
      <c r="I2361">
        <v>1987</v>
      </c>
      <c r="J2361">
        <v>1987</v>
      </c>
      <c r="K2361" t="s">
        <v>4554</v>
      </c>
      <c r="L2361" t="s">
        <v>4555</v>
      </c>
      <c r="M2361" s="2">
        <v>1206</v>
      </c>
      <c r="N2361" t="s">
        <v>4048</v>
      </c>
      <c r="O2361">
        <v>3</v>
      </c>
      <c r="P2361">
        <v>2</v>
      </c>
      <c r="Q2361">
        <v>0</v>
      </c>
      <c r="R2361" t="s">
        <v>5281</v>
      </c>
      <c r="S2361" t="s">
        <v>4558</v>
      </c>
      <c r="T2361" t="s">
        <v>4559</v>
      </c>
      <c r="U2361" t="s">
        <v>4560</v>
      </c>
      <c r="V2361" s="2">
        <v>441</v>
      </c>
      <c r="W2361" t="s">
        <v>4655</v>
      </c>
      <c r="X2361" s="2">
        <v>0</v>
      </c>
      <c r="Y2361">
        <v>20</v>
      </c>
      <c r="Z2361" t="s">
        <v>5200</v>
      </c>
      <c r="AA2361" s="3">
        <v>0.12100551277399101</v>
      </c>
      <c r="AB2361" t="s">
        <v>14848</v>
      </c>
      <c r="AC2361" t="s">
        <v>4562</v>
      </c>
      <c r="AD2361" t="s">
        <v>14849</v>
      </c>
      <c r="AE2361" t="s">
        <v>4655</v>
      </c>
      <c r="AF2361" t="s">
        <v>5201</v>
      </c>
      <c r="AG2361" t="s">
        <v>4564</v>
      </c>
      <c r="AH2361" t="s">
        <v>3898</v>
      </c>
      <c r="AI2361" t="s">
        <v>14850</v>
      </c>
      <c r="AJ2361" t="s">
        <v>4655</v>
      </c>
      <c r="AK2361" t="s">
        <v>14851</v>
      </c>
      <c r="AL2361" s="13" t="s">
        <v>1886</v>
      </c>
      <c r="AM2361" s="14">
        <v>1</v>
      </c>
      <c r="AN2361" s="15" t="s">
        <v>5531</v>
      </c>
    </row>
    <row r="2362" spans="1:40" x14ac:dyDescent="0.3">
      <c r="A2362" s="10" t="str">
        <f>HYPERLINK("http://www.washoecounty.gov/assessor/cama/?parid=030-491-16&amp;CardNumber=1","030-491-16")</f>
        <v>030-491-16</v>
      </c>
      <c r="B2362" t="s">
        <v>4655</v>
      </c>
      <c r="C2362" t="s">
        <v>14852</v>
      </c>
      <c r="D2362" s="1">
        <v>40227</v>
      </c>
      <c r="E2362" s="2">
        <v>135000</v>
      </c>
      <c r="F2362" t="s">
        <v>4553</v>
      </c>
      <c r="G2362" s="17" t="str">
        <f>HYPERLINK("https://www.washoecounty.gov/assessor/cama/?command=sales&amp;parid=03049116","3850479")</f>
        <v>3850479</v>
      </c>
      <c r="H2362" t="s">
        <v>4832</v>
      </c>
      <c r="I2362">
        <v>1987</v>
      </c>
      <c r="J2362">
        <v>1987</v>
      </c>
      <c r="K2362" t="s">
        <v>4554</v>
      </c>
      <c r="L2362" t="s">
        <v>3974</v>
      </c>
      <c r="M2362" s="2">
        <v>1270</v>
      </c>
      <c r="N2362" t="s">
        <v>4048</v>
      </c>
      <c r="O2362">
        <v>3</v>
      </c>
      <c r="P2362">
        <v>2</v>
      </c>
      <c r="Q2362">
        <v>1</v>
      </c>
      <c r="R2362" t="s">
        <v>5281</v>
      </c>
      <c r="S2362" t="s">
        <v>4558</v>
      </c>
      <c r="T2362" t="s">
        <v>4559</v>
      </c>
      <c r="U2362" t="s">
        <v>5631</v>
      </c>
      <c r="V2362" s="2">
        <v>460</v>
      </c>
      <c r="W2362" t="s">
        <v>4655</v>
      </c>
      <c r="X2362" s="2">
        <v>0</v>
      </c>
      <c r="Y2362">
        <v>20</v>
      </c>
      <c r="Z2362" t="s">
        <v>4908</v>
      </c>
      <c r="AA2362" s="3">
        <v>7.3989897966384902E-2</v>
      </c>
      <c r="AB2362" t="s">
        <v>2131</v>
      </c>
      <c r="AC2362" t="s">
        <v>4575</v>
      </c>
      <c r="AD2362" t="s">
        <v>4416</v>
      </c>
      <c r="AE2362" t="s">
        <v>4655</v>
      </c>
      <c r="AF2362" t="s">
        <v>4563</v>
      </c>
      <c r="AG2362" t="s">
        <v>4564</v>
      </c>
      <c r="AH2362" t="s">
        <v>2330</v>
      </c>
      <c r="AI2362" t="s">
        <v>4045</v>
      </c>
      <c r="AJ2362" t="s">
        <v>4655</v>
      </c>
      <c r="AK2362" t="s">
        <v>14853</v>
      </c>
      <c r="AL2362" s="13" t="s">
        <v>3425</v>
      </c>
      <c r="AM2362">
        <v>1</v>
      </c>
      <c r="AN2362" s="15" t="s">
        <v>5531</v>
      </c>
    </row>
    <row r="2363" spans="1:40" x14ac:dyDescent="0.3">
      <c r="A2363" s="10" t="str">
        <f>HYPERLINK("http://www.washoecounty.gov/assessor/cama/?parid=030-491-18&amp;CardNumber=1","030-491-18")</f>
        <v>030-491-18</v>
      </c>
      <c r="B2363" t="s">
        <v>4655</v>
      </c>
      <c r="C2363" t="s">
        <v>14854</v>
      </c>
      <c r="D2363" s="1">
        <v>40512</v>
      </c>
      <c r="E2363" s="2">
        <v>73500</v>
      </c>
      <c r="F2363" t="s">
        <v>4553</v>
      </c>
      <c r="G2363" s="17" t="str">
        <f>HYPERLINK("https://www.washoecounty.gov/assessor/cama/?command=sales&amp;parid=03049118","3947443")</f>
        <v>3947443</v>
      </c>
      <c r="H2363" t="s">
        <v>4832</v>
      </c>
      <c r="I2363">
        <v>1987</v>
      </c>
      <c r="J2363">
        <v>1987</v>
      </c>
      <c r="K2363" t="s">
        <v>4897</v>
      </c>
      <c r="L2363" t="s">
        <v>3974</v>
      </c>
      <c r="M2363" s="2">
        <v>1158</v>
      </c>
      <c r="N2363" t="s">
        <v>4048</v>
      </c>
      <c r="O2363">
        <v>2</v>
      </c>
      <c r="P2363">
        <v>2</v>
      </c>
      <c r="Q2363">
        <v>1</v>
      </c>
      <c r="R2363" t="s">
        <v>4557</v>
      </c>
      <c r="S2363" t="s">
        <v>4558</v>
      </c>
      <c r="T2363" t="s">
        <v>4559</v>
      </c>
      <c r="U2363" t="s">
        <v>5631</v>
      </c>
      <c r="V2363" s="2">
        <v>460</v>
      </c>
      <c r="W2363" t="s">
        <v>4655</v>
      </c>
      <c r="X2363" s="2">
        <v>0</v>
      </c>
      <c r="Y2363">
        <v>20</v>
      </c>
      <c r="Z2363" t="s">
        <v>4908</v>
      </c>
      <c r="AA2363" s="3">
        <v>6.4003676176071195E-2</v>
      </c>
      <c r="AB2363" t="s">
        <v>14855</v>
      </c>
      <c r="AC2363" t="s">
        <v>4562</v>
      </c>
      <c r="AD2363" t="s">
        <v>14854</v>
      </c>
      <c r="AE2363" t="s">
        <v>4655</v>
      </c>
      <c r="AF2363" t="s">
        <v>5201</v>
      </c>
      <c r="AG2363" t="s">
        <v>4564</v>
      </c>
      <c r="AH2363" t="s">
        <v>3898</v>
      </c>
      <c r="AI2363" t="s">
        <v>14856</v>
      </c>
      <c r="AJ2363" t="s">
        <v>4655</v>
      </c>
      <c r="AK2363" t="s">
        <v>14857</v>
      </c>
      <c r="AL2363" s="13" t="s">
        <v>3425</v>
      </c>
      <c r="AM2363">
        <v>1</v>
      </c>
      <c r="AN2363" s="15" t="s">
        <v>953</v>
      </c>
    </row>
    <row r="2364" spans="1:40" x14ac:dyDescent="0.3">
      <c r="A2364" s="10" t="str">
        <f>HYPERLINK("http://www.washoecounty.gov/assessor/cama/?parid=030-491-21&amp;CardNumber=1","030-491-21")</f>
        <v>030-491-21</v>
      </c>
      <c r="B2364" t="s">
        <v>4655</v>
      </c>
      <c r="C2364" t="s">
        <v>14858</v>
      </c>
      <c r="D2364" s="1">
        <v>40421</v>
      </c>
      <c r="E2364" s="2">
        <v>120000</v>
      </c>
      <c r="F2364" t="s">
        <v>4553</v>
      </c>
      <c r="G2364" s="17" t="str">
        <f>HYPERLINK("https://www.washoecounty.gov/assessor/cama/?command=sales&amp;parid=03049121","3917591")</f>
        <v>3917591</v>
      </c>
      <c r="H2364" t="s">
        <v>4832</v>
      </c>
      <c r="I2364">
        <v>1987</v>
      </c>
      <c r="J2364">
        <v>1987</v>
      </c>
      <c r="K2364" t="s">
        <v>4897</v>
      </c>
      <c r="L2364" t="s">
        <v>3974</v>
      </c>
      <c r="M2364" s="2">
        <v>1270</v>
      </c>
      <c r="N2364" t="s">
        <v>4048</v>
      </c>
      <c r="O2364">
        <v>3</v>
      </c>
      <c r="P2364">
        <v>2</v>
      </c>
      <c r="Q2364">
        <v>1</v>
      </c>
      <c r="R2364" t="s">
        <v>4557</v>
      </c>
      <c r="S2364" t="s">
        <v>4558</v>
      </c>
      <c r="T2364" t="s">
        <v>4559</v>
      </c>
      <c r="U2364" t="s">
        <v>5631</v>
      </c>
      <c r="V2364" s="2">
        <v>460</v>
      </c>
      <c r="W2364" t="s">
        <v>4655</v>
      </c>
      <c r="X2364" s="2">
        <v>0</v>
      </c>
      <c r="Y2364">
        <v>20</v>
      </c>
      <c r="Z2364" t="s">
        <v>4908</v>
      </c>
      <c r="AA2364" s="3">
        <v>6.4003676176071195E-2</v>
      </c>
      <c r="AB2364" t="s">
        <v>14859</v>
      </c>
      <c r="AC2364" t="s">
        <v>4575</v>
      </c>
      <c r="AD2364" t="s">
        <v>14858</v>
      </c>
      <c r="AE2364" t="s">
        <v>4655</v>
      </c>
      <c r="AF2364" t="s">
        <v>5201</v>
      </c>
      <c r="AG2364" t="s">
        <v>4564</v>
      </c>
      <c r="AH2364" t="s">
        <v>3898</v>
      </c>
      <c r="AI2364" t="s">
        <v>4903</v>
      </c>
      <c r="AJ2364" t="s">
        <v>4655</v>
      </c>
      <c r="AK2364" t="s">
        <v>14860</v>
      </c>
      <c r="AL2364" s="13" t="s">
        <v>3425</v>
      </c>
      <c r="AM2364" s="14">
        <v>1</v>
      </c>
      <c r="AN2364" s="15" t="s">
        <v>953</v>
      </c>
    </row>
    <row r="2365" spans="1:40" x14ac:dyDescent="0.3">
      <c r="A2365" s="10" t="str">
        <f>HYPERLINK("http://www.washoecounty.gov/assessor/cama/?parid=030-492-13&amp;CardNumber=1","030-492-13")</f>
        <v>030-492-13</v>
      </c>
      <c r="B2365" t="s">
        <v>4655</v>
      </c>
      <c r="C2365" t="s">
        <v>14861</v>
      </c>
      <c r="D2365" s="1">
        <v>40238</v>
      </c>
      <c r="E2365" s="2">
        <v>130000</v>
      </c>
      <c r="F2365" t="s">
        <v>4567</v>
      </c>
      <c r="G2365" s="17" t="str">
        <f>HYPERLINK("https://www.washoecounty.gov/assessor/cama/?command=sales&amp;parid=03049213","3853854")</f>
        <v>3853854</v>
      </c>
      <c r="H2365" t="s">
        <v>2955</v>
      </c>
      <c r="I2365">
        <v>1987</v>
      </c>
      <c r="J2365">
        <v>1987</v>
      </c>
      <c r="K2365" t="s">
        <v>4554</v>
      </c>
      <c r="L2365" t="s">
        <v>3974</v>
      </c>
      <c r="M2365" s="2">
        <v>1392</v>
      </c>
      <c r="N2365" t="s">
        <v>4048</v>
      </c>
      <c r="O2365">
        <v>3</v>
      </c>
      <c r="P2365">
        <v>2</v>
      </c>
      <c r="Q2365">
        <v>1</v>
      </c>
      <c r="R2365" t="s">
        <v>4557</v>
      </c>
      <c r="S2365" t="s">
        <v>4558</v>
      </c>
      <c r="T2365" t="s">
        <v>4559</v>
      </c>
      <c r="U2365" t="s">
        <v>4560</v>
      </c>
      <c r="V2365" s="2">
        <v>464</v>
      </c>
      <c r="W2365" t="s">
        <v>4655</v>
      </c>
      <c r="X2365" s="2">
        <v>0</v>
      </c>
      <c r="Y2365">
        <v>20</v>
      </c>
      <c r="Z2365" t="s">
        <v>4908</v>
      </c>
      <c r="AA2365" s="3">
        <v>7.3989897966384902E-2</v>
      </c>
      <c r="AB2365" t="s">
        <v>14862</v>
      </c>
      <c r="AC2365" t="s">
        <v>4562</v>
      </c>
      <c r="AD2365" t="s">
        <v>14863</v>
      </c>
      <c r="AE2365" t="s">
        <v>4655</v>
      </c>
      <c r="AF2365" t="s">
        <v>14864</v>
      </c>
      <c r="AG2365" t="s">
        <v>4584</v>
      </c>
      <c r="AH2365">
        <v>94501</v>
      </c>
      <c r="AI2365" t="s">
        <v>4655</v>
      </c>
      <c r="AJ2365" t="s">
        <v>4655</v>
      </c>
      <c r="AK2365" t="s">
        <v>14865</v>
      </c>
      <c r="AL2365" s="13" t="s">
        <v>3425</v>
      </c>
      <c r="AM2365" s="14">
        <v>1</v>
      </c>
      <c r="AN2365" s="15" t="s">
        <v>5531</v>
      </c>
    </row>
    <row r="2366" spans="1:40" x14ac:dyDescent="0.3">
      <c r="A2366" s="10" t="str">
        <f>HYPERLINK("http://www.washoecounty.gov/assessor/cama/?parid=030-504-03&amp;CardNumber=1","030-504-03")</f>
        <v>030-504-03</v>
      </c>
      <c r="B2366" t="s">
        <v>4655</v>
      </c>
      <c r="C2366" t="s">
        <v>14866</v>
      </c>
      <c r="D2366" s="1">
        <v>40400</v>
      </c>
      <c r="E2366" s="2">
        <v>110000</v>
      </c>
      <c r="F2366" t="s">
        <v>4567</v>
      </c>
      <c r="G2366" s="17" t="str">
        <f>HYPERLINK("https://www.washoecounty.gov/assessor/cama/?command=sales&amp;parid=03050403","3910212")</f>
        <v>3910212</v>
      </c>
      <c r="H2366" t="s">
        <v>14867</v>
      </c>
      <c r="I2366">
        <v>1988</v>
      </c>
      <c r="J2366">
        <v>1988</v>
      </c>
      <c r="K2366" t="s">
        <v>4897</v>
      </c>
      <c r="L2366" t="s">
        <v>3974</v>
      </c>
      <c r="M2366" s="2">
        <v>1270</v>
      </c>
      <c r="N2366" t="s">
        <v>4048</v>
      </c>
      <c r="O2366">
        <v>2</v>
      </c>
      <c r="P2366">
        <v>2</v>
      </c>
      <c r="Q2366">
        <v>1</v>
      </c>
      <c r="R2366" t="s">
        <v>4557</v>
      </c>
      <c r="S2366" t="s">
        <v>4558</v>
      </c>
      <c r="T2366" t="s">
        <v>4559</v>
      </c>
      <c r="U2366" t="s">
        <v>5631</v>
      </c>
      <c r="V2366" s="2">
        <v>460</v>
      </c>
      <c r="W2366" t="s">
        <v>4655</v>
      </c>
      <c r="X2366" s="2">
        <v>0</v>
      </c>
      <c r="Y2366">
        <v>20</v>
      </c>
      <c r="Z2366" t="s">
        <v>4908</v>
      </c>
      <c r="AA2366" s="3">
        <v>8.2988977432251004E-2</v>
      </c>
      <c r="AB2366" t="s">
        <v>14868</v>
      </c>
      <c r="AC2366" t="s">
        <v>4575</v>
      </c>
      <c r="AD2366" t="s">
        <v>14869</v>
      </c>
      <c r="AE2366" t="s">
        <v>4655</v>
      </c>
      <c r="AF2366" t="s">
        <v>5201</v>
      </c>
      <c r="AG2366" t="s">
        <v>4564</v>
      </c>
      <c r="AH2366" t="s">
        <v>3898</v>
      </c>
      <c r="AI2366" t="s">
        <v>14870</v>
      </c>
      <c r="AJ2366" t="s">
        <v>4655</v>
      </c>
      <c r="AK2366" t="s">
        <v>14871</v>
      </c>
      <c r="AL2366" s="13" t="s">
        <v>3425</v>
      </c>
      <c r="AM2366" s="14">
        <v>1</v>
      </c>
      <c r="AN2366" s="15" t="s">
        <v>953</v>
      </c>
    </row>
    <row r="2367" spans="1:40" x14ac:dyDescent="0.3">
      <c r="A2367" s="10" t="str">
        <f>HYPERLINK("http://www.washoecounty.gov/assessor/cama/?parid=030-504-17&amp;CardNumber=1","030-504-17")</f>
        <v>030-504-17</v>
      </c>
      <c r="B2367" t="s">
        <v>4655</v>
      </c>
      <c r="C2367" t="s">
        <v>14872</v>
      </c>
      <c r="D2367" s="1">
        <v>40234</v>
      </c>
      <c r="E2367" s="2">
        <v>130000</v>
      </c>
      <c r="F2367" t="s">
        <v>4567</v>
      </c>
      <c r="G2367" s="17" t="str">
        <f>HYPERLINK("https://www.washoecounty.gov/assessor/cama/?command=sales&amp;parid=03050417","3852889")</f>
        <v>3852889</v>
      </c>
      <c r="H2367" t="s">
        <v>2360</v>
      </c>
      <c r="I2367">
        <v>1988</v>
      </c>
      <c r="J2367">
        <v>1988</v>
      </c>
      <c r="K2367" t="s">
        <v>4554</v>
      </c>
      <c r="L2367" t="s">
        <v>3974</v>
      </c>
      <c r="M2367" s="2">
        <v>1392</v>
      </c>
      <c r="N2367" t="s">
        <v>4048</v>
      </c>
      <c r="O2367">
        <v>3</v>
      </c>
      <c r="P2367">
        <v>2</v>
      </c>
      <c r="Q2367">
        <v>1</v>
      </c>
      <c r="R2367" t="s">
        <v>4557</v>
      </c>
      <c r="S2367" t="s">
        <v>4558</v>
      </c>
      <c r="T2367" t="s">
        <v>4559</v>
      </c>
      <c r="U2367" t="s">
        <v>4560</v>
      </c>
      <c r="V2367" s="2">
        <v>464</v>
      </c>
      <c r="W2367" t="s">
        <v>4655</v>
      </c>
      <c r="X2367" s="2">
        <v>0</v>
      </c>
      <c r="Y2367">
        <v>20</v>
      </c>
      <c r="Z2367" t="s">
        <v>4908</v>
      </c>
      <c r="AA2367" s="3">
        <v>8.2988977432251004E-2</v>
      </c>
      <c r="AB2367" t="s">
        <v>14873</v>
      </c>
      <c r="AC2367" t="s">
        <v>4562</v>
      </c>
      <c r="AD2367" t="s">
        <v>14872</v>
      </c>
      <c r="AE2367" t="s">
        <v>4655</v>
      </c>
      <c r="AF2367" t="s">
        <v>5201</v>
      </c>
      <c r="AG2367" t="s">
        <v>4564</v>
      </c>
      <c r="AH2367" t="s">
        <v>3898</v>
      </c>
      <c r="AI2367" t="s">
        <v>14874</v>
      </c>
      <c r="AJ2367" t="s">
        <v>4655</v>
      </c>
      <c r="AK2367" t="s">
        <v>14875</v>
      </c>
      <c r="AL2367" s="13" t="s">
        <v>3425</v>
      </c>
      <c r="AM2367">
        <v>1</v>
      </c>
      <c r="AN2367" s="15" t="s">
        <v>5531</v>
      </c>
    </row>
    <row r="2368" spans="1:40" x14ac:dyDescent="0.3">
      <c r="A2368" s="10" t="str">
        <f>HYPERLINK("http://www.washoecounty.gov/assessor/cama/?parid=030-505-10&amp;CardNumber=1","030-505-10")</f>
        <v>030-505-10</v>
      </c>
      <c r="B2368" t="s">
        <v>4655</v>
      </c>
      <c r="C2368" t="s">
        <v>14876</v>
      </c>
      <c r="D2368" s="1">
        <v>40511</v>
      </c>
      <c r="E2368" s="2">
        <v>110000</v>
      </c>
      <c r="F2368" t="s">
        <v>4553</v>
      </c>
      <c r="G2368" s="17" t="str">
        <f>HYPERLINK("https://www.washoecounty.gov/assessor/cama/?command=sales&amp;parid=03050510","3947212")</f>
        <v>3947212</v>
      </c>
      <c r="H2368" t="s">
        <v>14877</v>
      </c>
      <c r="I2368">
        <v>1990</v>
      </c>
      <c r="J2368">
        <v>1990</v>
      </c>
      <c r="K2368" t="s">
        <v>4554</v>
      </c>
      <c r="L2368" t="s">
        <v>3974</v>
      </c>
      <c r="M2368" s="2">
        <v>1590</v>
      </c>
      <c r="N2368" t="s">
        <v>4048</v>
      </c>
      <c r="O2368">
        <v>3</v>
      </c>
      <c r="P2368">
        <v>2</v>
      </c>
      <c r="Q2368">
        <v>1</v>
      </c>
      <c r="R2368" t="s">
        <v>4557</v>
      </c>
      <c r="S2368" t="s">
        <v>4558</v>
      </c>
      <c r="T2368" t="s">
        <v>4559</v>
      </c>
      <c r="U2368" t="s">
        <v>4560</v>
      </c>
      <c r="V2368" s="2">
        <v>400</v>
      </c>
      <c r="W2368" t="s">
        <v>4655</v>
      </c>
      <c r="X2368" s="2">
        <v>0</v>
      </c>
      <c r="Y2368">
        <v>20</v>
      </c>
      <c r="Z2368" t="s">
        <v>4908</v>
      </c>
      <c r="AA2368" s="3">
        <v>9.8002754151821095E-2</v>
      </c>
      <c r="AB2368" t="s">
        <v>14878</v>
      </c>
      <c r="AC2368" t="s">
        <v>4562</v>
      </c>
      <c r="AD2368" t="s">
        <v>14879</v>
      </c>
      <c r="AE2368" t="s">
        <v>4655</v>
      </c>
      <c r="AF2368" t="s">
        <v>4809</v>
      </c>
      <c r="AG2368" t="s">
        <v>4564</v>
      </c>
      <c r="AH2368" t="s">
        <v>1605</v>
      </c>
      <c r="AI2368" t="s">
        <v>4503</v>
      </c>
      <c r="AJ2368" t="s">
        <v>4655</v>
      </c>
      <c r="AK2368" t="s">
        <v>14880</v>
      </c>
      <c r="AL2368" s="13" t="s">
        <v>3425</v>
      </c>
      <c r="AM2368">
        <v>1</v>
      </c>
      <c r="AN2368" s="15" t="s">
        <v>5531</v>
      </c>
    </row>
    <row r="2369" spans="1:40" x14ac:dyDescent="0.3">
      <c r="A2369" s="10" t="str">
        <f>HYPERLINK("http://www.washoecounty.gov/assessor/cama/?parid=030-512-10&amp;CardNumber=1","030-512-10")</f>
        <v>030-512-10</v>
      </c>
      <c r="B2369" t="s">
        <v>4655</v>
      </c>
      <c r="C2369" t="s">
        <v>14881</v>
      </c>
      <c r="D2369" s="1">
        <v>40470</v>
      </c>
      <c r="E2369" s="2">
        <v>122000</v>
      </c>
      <c r="F2369" t="s">
        <v>4567</v>
      </c>
      <c r="G2369" s="17" t="str">
        <f>HYPERLINK("https://www.washoecounty.gov/assessor/cama/?command=sales&amp;parid=03051210","3934463")</f>
        <v>3934463</v>
      </c>
      <c r="H2369" t="s">
        <v>14882</v>
      </c>
      <c r="I2369">
        <v>1987</v>
      </c>
      <c r="J2369">
        <v>1987</v>
      </c>
      <c r="K2369" t="s">
        <v>4554</v>
      </c>
      <c r="L2369" t="s">
        <v>4555</v>
      </c>
      <c r="M2369" s="2">
        <v>1206</v>
      </c>
      <c r="N2369" t="s">
        <v>4048</v>
      </c>
      <c r="O2369">
        <v>3</v>
      </c>
      <c r="P2369">
        <v>2</v>
      </c>
      <c r="Q2369">
        <v>0</v>
      </c>
      <c r="R2369" t="s">
        <v>4557</v>
      </c>
      <c r="S2369" t="s">
        <v>4558</v>
      </c>
      <c r="T2369" t="s">
        <v>4559</v>
      </c>
      <c r="U2369" t="s">
        <v>4560</v>
      </c>
      <c r="V2369" s="2">
        <v>441</v>
      </c>
      <c r="W2369" t="s">
        <v>4655</v>
      </c>
      <c r="X2369" s="2">
        <v>0</v>
      </c>
      <c r="Y2369">
        <v>20</v>
      </c>
      <c r="Z2369" t="s">
        <v>5200</v>
      </c>
      <c r="AA2369" s="3">
        <v>0.22300276160240201</v>
      </c>
      <c r="AB2369" t="s">
        <v>4925</v>
      </c>
      <c r="AC2369" t="s">
        <v>4562</v>
      </c>
      <c r="AD2369" t="s">
        <v>4926</v>
      </c>
      <c r="AE2369" t="s">
        <v>4655</v>
      </c>
      <c r="AF2369" t="s">
        <v>3114</v>
      </c>
      <c r="AG2369" t="s">
        <v>4564</v>
      </c>
      <c r="AH2369">
        <v>89502</v>
      </c>
      <c r="AI2369" t="s">
        <v>14883</v>
      </c>
      <c r="AJ2369" t="s">
        <v>4655</v>
      </c>
      <c r="AK2369" t="s">
        <v>14884</v>
      </c>
      <c r="AL2369" s="13" t="s">
        <v>3425</v>
      </c>
      <c r="AM2369">
        <v>1</v>
      </c>
      <c r="AN2369" s="15" t="s">
        <v>5531</v>
      </c>
    </row>
    <row r="2370" spans="1:40" x14ac:dyDescent="0.3">
      <c r="A2370" s="10" t="str">
        <f>HYPERLINK("http://www.washoecounty.gov/assessor/cama/?parid=030-512-13&amp;CardNumber=1","030-512-13")</f>
        <v>030-512-13</v>
      </c>
      <c r="B2370" t="s">
        <v>4655</v>
      </c>
      <c r="C2370" t="s">
        <v>14885</v>
      </c>
      <c r="D2370" s="1">
        <v>40431</v>
      </c>
      <c r="E2370" s="2">
        <v>135000</v>
      </c>
      <c r="F2370" t="s">
        <v>4553</v>
      </c>
      <c r="G2370" s="17" t="str">
        <f>HYPERLINK("https://www.washoecounty.gov/assessor/cama/?command=sales&amp;parid=03051213","3920995")</f>
        <v>3920995</v>
      </c>
      <c r="H2370" t="s">
        <v>2132</v>
      </c>
      <c r="I2370">
        <v>1987</v>
      </c>
      <c r="J2370">
        <v>1987</v>
      </c>
      <c r="K2370" t="s">
        <v>4554</v>
      </c>
      <c r="L2370" t="s">
        <v>4555</v>
      </c>
      <c r="M2370" s="2">
        <v>1206</v>
      </c>
      <c r="N2370" t="s">
        <v>4048</v>
      </c>
      <c r="O2370">
        <v>3</v>
      </c>
      <c r="P2370">
        <v>2</v>
      </c>
      <c r="Q2370">
        <v>0</v>
      </c>
      <c r="R2370" t="s">
        <v>4557</v>
      </c>
      <c r="S2370" t="s">
        <v>4558</v>
      </c>
      <c r="T2370" t="s">
        <v>4559</v>
      </c>
      <c r="U2370" t="s">
        <v>4560</v>
      </c>
      <c r="V2370" s="2">
        <v>441</v>
      </c>
      <c r="W2370" t="s">
        <v>4655</v>
      </c>
      <c r="X2370" s="2">
        <v>0</v>
      </c>
      <c r="Y2370">
        <v>20</v>
      </c>
      <c r="Z2370" t="s">
        <v>5200</v>
      </c>
      <c r="AA2370" s="3">
        <v>0.146992653608322</v>
      </c>
      <c r="AB2370" t="s">
        <v>14886</v>
      </c>
      <c r="AC2370" t="s">
        <v>4562</v>
      </c>
      <c r="AD2370" t="s">
        <v>14885</v>
      </c>
      <c r="AE2370" t="s">
        <v>4655</v>
      </c>
      <c r="AF2370" t="s">
        <v>5201</v>
      </c>
      <c r="AG2370" t="s">
        <v>4564</v>
      </c>
      <c r="AH2370" t="s">
        <v>3898</v>
      </c>
      <c r="AI2370" t="s">
        <v>4903</v>
      </c>
      <c r="AJ2370" t="s">
        <v>4655</v>
      </c>
      <c r="AK2370" t="s">
        <v>14887</v>
      </c>
      <c r="AL2370" s="13" t="s">
        <v>1886</v>
      </c>
      <c r="AM2370" s="14">
        <v>1</v>
      </c>
      <c r="AN2370" s="15" t="s">
        <v>5531</v>
      </c>
    </row>
    <row r="2371" spans="1:40" x14ac:dyDescent="0.3">
      <c r="A2371" s="10" t="str">
        <f>HYPERLINK("http://www.washoecounty.gov/assessor/cama/?parid=030-521-12&amp;CardNumber=1","030-521-12")</f>
        <v>030-521-12</v>
      </c>
      <c r="B2371" t="s">
        <v>4655</v>
      </c>
      <c r="C2371" t="s">
        <v>14888</v>
      </c>
      <c r="D2371" s="1">
        <v>40379</v>
      </c>
      <c r="E2371" s="2">
        <v>170000</v>
      </c>
      <c r="F2371" t="s">
        <v>4567</v>
      </c>
      <c r="G2371" s="17" t="str">
        <f>HYPERLINK("https://www.washoecounty.gov/assessor/cama/?command=sales&amp;parid=03052112","3903063")</f>
        <v>3903063</v>
      </c>
      <c r="H2371" t="s">
        <v>2132</v>
      </c>
      <c r="I2371">
        <v>1987</v>
      </c>
      <c r="J2371">
        <v>1987</v>
      </c>
      <c r="K2371" t="s">
        <v>4554</v>
      </c>
      <c r="L2371" t="s">
        <v>2170</v>
      </c>
      <c r="M2371" s="2">
        <v>2128</v>
      </c>
      <c r="N2371" t="s">
        <v>4048</v>
      </c>
      <c r="O2371">
        <v>4</v>
      </c>
      <c r="P2371">
        <v>3</v>
      </c>
      <c r="Q2371">
        <v>0</v>
      </c>
      <c r="R2371" t="s">
        <v>4557</v>
      </c>
      <c r="S2371" t="s">
        <v>4135</v>
      </c>
      <c r="T2371" t="s">
        <v>4559</v>
      </c>
      <c r="U2371" t="s">
        <v>4560</v>
      </c>
      <c r="V2371" s="2">
        <v>462</v>
      </c>
      <c r="W2371" t="s">
        <v>4655</v>
      </c>
      <c r="X2371" s="2">
        <v>0</v>
      </c>
      <c r="Y2371">
        <v>20</v>
      </c>
      <c r="Z2371" t="s">
        <v>5200</v>
      </c>
      <c r="AA2371" s="3">
        <v>0.18799357116222401</v>
      </c>
      <c r="AB2371" t="s">
        <v>14889</v>
      </c>
      <c r="AC2371" t="s">
        <v>4562</v>
      </c>
      <c r="AD2371" t="s">
        <v>14888</v>
      </c>
      <c r="AE2371" t="s">
        <v>4655</v>
      </c>
      <c r="AF2371" t="s">
        <v>5201</v>
      </c>
      <c r="AG2371" t="s">
        <v>4564</v>
      </c>
      <c r="AH2371" t="s">
        <v>3898</v>
      </c>
      <c r="AI2371" t="s">
        <v>14890</v>
      </c>
      <c r="AJ2371" t="s">
        <v>4655</v>
      </c>
      <c r="AK2371" t="s">
        <v>14891</v>
      </c>
      <c r="AL2371" s="13" t="s">
        <v>1886</v>
      </c>
      <c r="AM2371">
        <v>1</v>
      </c>
      <c r="AN2371" s="15" t="s">
        <v>5531</v>
      </c>
    </row>
    <row r="2372" spans="1:40" x14ac:dyDescent="0.3">
      <c r="A2372" s="10" t="str">
        <f>HYPERLINK("http://www.washoecounty.gov/assessor/cama/?parid=030-521-15&amp;CardNumber=1","030-521-15")</f>
        <v>030-521-15</v>
      </c>
      <c r="B2372" t="s">
        <v>4655</v>
      </c>
      <c r="C2372" t="s">
        <v>14892</v>
      </c>
      <c r="D2372" s="1">
        <v>40529</v>
      </c>
      <c r="E2372" s="2">
        <v>200000</v>
      </c>
      <c r="F2372" t="s">
        <v>4567</v>
      </c>
      <c r="G2372" s="17" t="str">
        <f>HYPERLINK("https://www.washoecounty.gov/assessor/cama/?command=sales&amp;parid=03052115","3954937")</f>
        <v>3954937</v>
      </c>
      <c r="H2372" t="s">
        <v>2132</v>
      </c>
      <c r="I2372">
        <v>1987</v>
      </c>
      <c r="J2372">
        <v>1987</v>
      </c>
      <c r="K2372" t="s">
        <v>4554</v>
      </c>
      <c r="L2372" t="s">
        <v>3974</v>
      </c>
      <c r="M2372" s="2">
        <v>2771</v>
      </c>
      <c r="N2372" t="s">
        <v>4048</v>
      </c>
      <c r="O2372">
        <v>5</v>
      </c>
      <c r="P2372">
        <v>3</v>
      </c>
      <c r="Q2372">
        <v>0</v>
      </c>
      <c r="R2372" t="s">
        <v>4557</v>
      </c>
      <c r="S2372" t="s">
        <v>4135</v>
      </c>
      <c r="T2372" t="s">
        <v>4559</v>
      </c>
      <c r="U2372" t="s">
        <v>5631</v>
      </c>
      <c r="V2372" s="2">
        <v>599</v>
      </c>
      <c r="W2372" t="s">
        <v>4655</v>
      </c>
      <c r="X2372" s="2">
        <v>0</v>
      </c>
      <c r="Y2372">
        <v>20</v>
      </c>
      <c r="Z2372" t="s">
        <v>5200</v>
      </c>
      <c r="AA2372" s="3">
        <v>0.17100550234317799</v>
      </c>
      <c r="AB2372" t="s">
        <v>14893</v>
      </c>
      <c r="AC2372" t="s">
        <v>4562</v>
      </c>
      <c r="AD2372" t="s">
        <v>14892</v>
      </c>
      <c r="AE2372" t="s">
        <v>4655</v>
      </c>
      <c r="AF2372" t="s">
        <v>5201</v>
      </c>
      <c r="AG2372" t="s">
        <v>4564</v>
      </c>
      <c r="AH2372" t="s">
        <v>3898</v>
      </c>
      <c r="AI2372" t="s">
        <v>14894</v>
      </c>
      <c r="AJ2372" t="s">
        <v>4655</v>
      </c>
      <c r="AK2372" t="s">
        <v>14895</v>
      </c>
      <c r="AL2372" s="13" t="s">
        <v>1886</v>
      </c>
      <c r="AM2372" s="14">
        <v>1</v>
      </c>
      <c r="AN2372" s="15" t="s">
        <v>5531</v>
      </c>
    </row>
    <row r="2373" spans="1:40" x14ac:dyDescent="0.3">
      <c r="A2373" s="10" t="str">
        <f>HYPERLINK("http://www.washoecounty.gov/assessor/cama/?parid=030-521-17&amp;CardNumber=1","030-521-17")</f>
        <v>030-521-17</v>
      </c>
      <c r="B2373" t="s">
        <v>4655</v>
      </c>
      <c r="C2373" t="s">
        <v>14896</v>
      </c>
      <c r="D2373" s="1">
        <v>40228</v>
      </c>
      <c r="E2373" s="2">
        <v>152500</v>
      </c>
      <c r="F2373" t="s">
        <v>4567</v>
      </c>
      <c r="G2373" s="17" t="str">
        <f>HYPERLINK("https://www.washoecounty.gov/assessor/cama/?command=sales&amp;parid=03052117","3851157")</f>
        <v>3851157</v>
      </c>
      <c r="H2373" t="s">
        <v>1659</v>
      </c>
      <c r="I2373">
        <v>1988</v>
      </c>
      <c r="J2373">
        <v>1988</v>
      </c>
      <c r="K2373" t="s">
        <v>4554</v>
      </c>
      <c r="L2373" t="s">
        <v>4555</v>
      </c>
      <c r="M2373" s="2">
        <v>1642</v>
      </c>
      <c r="N2373" t="s">
        <v>4048</v>
      </c>
      <c r="O2373">
        <v>3</v>
      </c>
      <c r="P2373">
        <v>2</v>
      </c>
      <c r="Q2373">
        <v>0</v>
      </c>
      <c r="R2373" t="s">
        <v>4557</v>
      </c>
      <c r="S2373" t="s">
        <v>4558</v>
      </c>
      <c r="T2373" t="s">
        <v>4559</v>
      </c>
      <c r="U2373" t="s">
        <v>4560</v>
      </c>
      <c r="V2373" s="2">
        <v>472</v>
      </c>
      <c r="W2373" t="s">
        <v>4655</v>
      </c>
      <c r="X2373" s="2">
        <v>0</v>
      </c>
      <c r="Y2373">
        <v>20</v>
      </c>
      <c r="Z2373" t="s">
        <v>5200</v>
      </c>
      <c r="AA2373" s="3">
        <v>0.16600091755390201</v>
      </c>
      <c r="AB2373" t="s">
        <v>7285</v>
      </c>
      <c r="AC2373" t="s">
        <v>4562</v>
      </c>
      <c r="AD2373" t="s">
        <v>14897</v>
      </c>
      <c r="AE2373" t="s">
        <v>4655</v>
      </c>
      <c r="AF2373" t="s">
        <v>2751</v>
      </c>
      <c r="AG2373" t="s">
        <v>4584</v>
      </c>
      <c r="AH2373">
        <v>90007</v>
      </c>
      <c r="AI2373" t="s">
        <v>4655</v>
      </c>
      <c r="AJ2373" t="s">
        <v>4655</v>
      </c>
      <c r="AK2373" t="s">
        <v>14898</v>
      </c>
      <c r="AL2373" s="13" t="s">
        <v>3425</v>
      </c>
      <c r="AM2373">
        <v>1</v>
      </c>
      <c r="AN2373" s="15" t="s">
        <v>5531</v>
      </c>
    </row>
    <row r="2374" spans="1:40" x14ac:dyDescent="0.3">
      <c r="A2374" s="10" t="str">
        <f>HYPERLINK("http://www.washoecounty.gov/assessor/cama/?parid=030-524-04&amp;CardNumber=1","030-524-04")</f>
        <v>030-524-04</v>
      </c>
      <c r="B2374" t="s">
        <v>4655</v>
      </c>
      <c r="C2374" t="s">
        <v>14899</v>
      </c>
      <c r="D2374" s="1">
        <v>40451</v>
      </c>
      <c r="E2374" s="2">
        <v>239000</v>
      </c>
      <c r="F2374" t="s">
        <v>4567</v>
      </c>
      <c r="G2374" s="17" t="str">
        <f>HYPERLINK("https://www.washoecounty.gov/assessor/cama/?command=sales&amp;parid=03052404","3927991")</f>
        <v>3927991</v>
      </c>
      <c r="H2374" t="s">
        <v>14900</v>
      </c>
      <c r="I2374">
        <v>1989</v>
      </c>
      <c r="J2374">
        <v>1989</v>
      </c>
      <c r="K2374" t="s">
        <v>4554</v>
      </c>
      <c r="L2374" t="s">
        <v>3974</v>
      </c>
      <c r="M2374" s="2">
        <v>2771</v>
      </c>
      <c r="N2374" t="s">
        <v>4048</v>
      </c>
      <c r="O2374">
        <v>5</v>
      </c>
      <c r="P2374">
        <v>3</v>
      </c>
      <c r="Q2374">
        <v>0</v>
      </c>
      <c r="R2374" t="s">
        <v>4557</v>
      </c>
      <c r="S2374" t="s">
        <v>4558</v>
      </c>
      <c r="T2374" t="s">
        <v>4559</v>
      </c>
      <c r="U2374" t="s">
        <v>5631</v>
      </c>
      <c r="V2374" s="2">
        <v>599</v>
      </c>
      <c r="W2374" t="s">
        <v>4655</v>
      </c>
      <c r="X2374" s="2">
        <v>0</v>
      </c>
      <c r="Y2374">
        <v>20</v>
      </c>
      <c r="Z2374" t="s">
        <v>5200</v>
      </c>
      <c r="AA2374" s="3">
        <v>0.21000918745994601</v>
      </c>
      <c r="AB2374" t="s">
        <v>14901</v>
      </c>
      <c r="AC2374" t="s">
        <v>4562</v>
      </c>
      <c r="AD2374" t="s">
        <v>14899</v>
      </c>
      <c r="AE2374" t="s">
        <v>4655</v>
      </c>
      <c r="AF2374" t="s">
        <v>5201</v>
      </c>
      <c r="AG2374" t="s">
        <v>4564</v>
      </c>
      <c r="AH2374" t="s">
        <v>3898</v>
      </c>
      <c r="AI2374" t="s">
        <v>14902</v>
      </c>
      <c r="AJ2374" t="s">
        <v>4655</v>
      </c>
      <c r="AK2374" t="s">
        <v>14903</v>
      </c>
      <c r="AL2374" s="13" t="s">
        <v>3425</v>
      </c>
      <c r="AM2374" s="14">
        <v>1</v>
      </c>
      <c r="AN2374" s="15" t="s">
        <v>5531</v>
      </c>
    </row>
    <row r="2375" spans="1:40" x14ac:dyDescent="0.3">
      <c r="A2375" s="10" t="str">
        <f>HYPERLINK("http://www.washoecounty.gov/assessor/cama/?parid=030-524-12&amp;CardNumber=1","030-524-12")</f>
        <v>030-524-12</v>
      </c>
      <c r="B2375" t="s">
        <v>4655</v>
      </c>
      <c r="C2375" t="s">
        <v>14904</v>
      </c>
      <c r="D2375" s="1">
        <v>40255</v>
      </c>
      <c r="E2375" s="2">
        <v>175000</v>
      </c>
      <c r="F2375" t="s">
        <v>4567</v>
      </c>
      <c r="G2375" s="17" t="str">
        <f>HYPERLINK("https://www.washoecounty.gov/assessor/cama/?command=sales&amp;parid=03052412","3861362")</f>
        <v>3861362</v>
      </c>
      <c r="H2375" t="s">
        <v>1268</v>
      </c>
      <c r="I2375">
        <v>1989</v>
      </c>
      <c r="J2375">
        <v>1989</v>
      </c>
      <c r="K2375" t="s">
        <v>4554</v>
      </c>
      <c r="L2375" t="s">
        <v>4555</v>
      </c>
      <c r="M2375" s="2">
        <v>1642</v>
      </c>
      <c r="N2375" t="s">
        <v>4048</v>
      </c>
      <c r="O2375">
        <v>3</v>
      </c>
      <c r="P2375">
        <v>2</v>
      </c>
      <c r="Q2375">
        <v>0</v>
      </c>
      <c r="R2375" t="s">
        <v>4557</v>
      </c>
      <c r="S2375" t="s">
        <v>4135</v>
      </c>
      <c r="T2375" t="s">
        <v>4559</v>
      </c>
      <c r="U2375" t="s">
        <v>4560</v>
      </c>
      <c r="V2375" s="2">
        <v>472</v>
      </c>
      <c r="W2375" t="s">
        <v>4655</v>
      </c>
      <c r="X2375" s="2">
        <v>0</v>
      </c>
      <c r="Y2375">
        <v>20</v>
      </c>
      <c r="Z2375" t="s">
        <v>5200</v>
      </c>
      <c r="AA2375" s="3">
        <v>0.19400826096534701</v>
      </c>
      <c r="AB2375" t="s">
        <v>14905</v>
      </c>
      <c r="AC2375" t="s">
        <v>4562</v>
      </c>
      <c r="AD2375" t="s">
        <v>14904</v>
      </c>
      <c r="AE2375" t="s">
        <v>4655</v>
      </c>
      <c r="AF2375" t="s">
        <v>5201</v>
      </c>
      <c r="AG2375" t="s">
        <v>4564</v>
      </c>
      <c r="AH2375" t="s">
        <v>3898</v>
      </c>
      <c r="AI2375" t="s">
        <v>14906</v>
      </c>
      <c r="AJ2375" t="s">
        <v>4655</v>
      </c>
      <c r="AK2375" t="s">
        <v>14907</v>
      </c>
      <c r="AL2375" s="13" t="s">
        <v>3425</v>
      </c>
      <c r="AM2375">
        <v>1</v>
      </c>
      <c r="AN2375" s="15" t="s">
        <v>5531</v>
      </c>
    </row>
    <row r="2376" spans="1:40" x14ac:dyDescent="0.3">
      <c r="A2376" s="10" t="str">
        <f>HYPERLINK("http://www.washoecounty.gov/assessor/cama/?parid=030-531-12&amp;CardNumber=1","030-531-12")</f>
        <v>030-531-12</v>
      </c>
      <c r="B2376" t="s">
        <v>4655</v>
      </c>
      <c r="C2376" t="s">
        <v>14908</v>
      </c>
      <c r="D2376" s="1">
        <v>40451</v>
      </c>
      <c r="E2376" s="2">
        <v>200000</v>
      </c>
      <c r="F2376" t="s">
        <v>4553</v>
      </c>
      <c r="G2376" s="17" t="str">
        <f>HYPERLINK("https://www.washoecounty.gov/assessor/cama/?command=sales&amp;parid=03053112","3928349")</f>
        <v>3928349</v>
      </c>
      <c r="H2376" t="s">
        <v>14909</v>
      </c>
      <c r="I2376">
        <v>1988</v>
      </c>
      <c r="J2376">
        <v>1988</v>
      </c>
      <c r="K2376" t="s">
        <v>4554</v>
      </c>
      <c r="L2376" t="s">
        <v>3974</v>
      </c>
      <c r="M2376" s="2">
        <v>1454</v>
      </c>
      <c r="N2376" t="s">
        <v>4048</v>
      </c>
      <c r="O2376">
        <v>3</v>
      </c>
      <c r="P2376">
        <v>2</v>
      </c>
      <c r="Q2376">
        <v>1</v>
      </c>
      <c r="R2376" t="s">
        <v>4557</v>
      </c>
      <c r="S2376" t="s">
        <v>4558</v>
      </c>
      <c r="T2376" t="s">
        <v>4559</v>
      </c>
      <c r="U2376" t="s">
        <v>4560</v>
      </c>
      <c r="V2376" s="2">
        <v>448</v>
      </c>
      <c r="W2376" t="s">
        <v>4655</v>
      </c>
      <c r="X2376" s="2">
        <v>0</v>
      </c>
      <c r="Y2376">
        <v>20</v>
      </c>
      <c r="Z2376" t="s">
        <v>5200</v>
      </c>
      <c r="AA2376" s="3">
        <v>0.12699724733829501</v>
      </c>
      <c r="AB2376" t="s">
        <v>14910</v>
      </c>
      <c r="AC2376" t="s">
        <v>4575</v>
      </c>
      <c r="AD2376" t="s">
        <v>14908</v>
      </c>
      <c r="AE2376" t="s">
        <v>4655</v>
      </c>
      <c r="AF2376" t="s">
        <v>5201</v>
      </c>
      <c r="AG2376" t="s">
        <v>4564</v>
      </c>
      <c r="AH2376" t="s">
        <v>5202</v>
      </c>
      <c r="AI2376" t="s">
        <v>14911</v>
      </c>
      <c r="AJ2376" t="s">
        <v>4655</v>
      </c>
      <c r="AK2376" t="s">
        <v>14912</v>
      </c>
      <c r="AL2376" s="13" t="s">
        <v>3425</v>
      </c>
      <c r="AM2376">
        <v>1</v>
      </c>
      <c r="AN2376" s="15" t="s">
        <v>5531</v>
      </c>
    </row>
    <row r="2377" spans="1:40" x14ac:dyDescent="0.3">
      <c r="A2377" s="10" t="str">
        <f>HYPERLINK("http://www.washoecounty.gov/assessor/cama/?parid=030-541-06&amp;CardNumber=1","030-541-06")</f>
        <v>030-541-06</v>
      </c>
      <c r="B2377" t="s">
        <v>4655</v>
      </c>
      <c r="C2377" t="s">
        <v>515</v>
      </c>
      <c r="D2377" s="1">
        <v>40408</v>
      </c>
      <c r="E2377" s="2">
        <v>127000</v>
      </c>
      <c r="F2377" t="s">
        <v>4553</v>
      </c>
      <c r="G2377" s="17" t="str">
        <f>HYPERLINK("https://www.washoecounty.gov/assessor/cama/?command=sales&amp;parid=03054106","3913096")</f>
        <v>3913096</v>
      </c>
      <c r="H2377" t="s">
        <v>2969</v>
      </c>
      <c r="I2377">
        <v>1991</v>
      </c>
      <c r="J2377">
        <v>1991</v>
      </c>
      <c r="K2377" t="s">
        <v>4554</v>
      </c>
      <c r="L2377" t="s">
        <v>3974</v>
      </c>
      <c r="M2377" s="2">
        <v>1590</v>
      </c>
      <c r="N2377" t="s">
        <v>4048</v>
      </c>
      <c r="O2377">
        <v>3</v>
      </c>
      <c r="P2377">
        <v>2</v>
      </c>
      <c r="Q2377">
        <v>1</v>
      </c>
      <c r="R2377" t="s">
        <v>5281</v>
      </c>
      <c r="S2377" t="s">
        <v>4558</v>
      </c>
      <c r="T2377" t="s">
        <v>4559</v>
      </c>
      <c r="U2377" t="s">
        <v>4560</v>
      </c>
      <c r="V2377" s="2">
        <v>400</v>
      </c>
      <c r="W2377" t="s">
        <v>4655</v>
      </c>
      <c r="X2377" s="2">
        <v>0</v>
      </c>
      <c r="Y2377">
        <v>20</v>
      </c>
      <c r="Z2377" t="s">
        <v>4908</v>
      </c>
      <c r="AA2377" s="3">
        <v>8.0004587769508403E-2</v>
      </c>
      <c r="AB2377" t="s">
        <v>516</v>
      </c>
      <c r="AC2377" t="s">
        <v>4562</v>
      </c>
      <c r="AD2377" t="s">
        <v>517</v>
      </c>
      <c r="AE2377" t="s">
        <v>4655</v>
      </c>
      <c r="AF2377" t="s">
        <v>4563</v>
      </c>
      <c r="AG2377" t="s">
        <v>4564</v>
      </c>
      <c r="AH2377" t="s">
        <v>2541</v>
      </c>
      <c r="AI2377" t="s">
        <v>4903</v>
      </c>
      <c r="AJ2377" t="s">
        <v>4655</v>
      </c>
      <c r="AK2377" t="s">
        <v>518</v>
      </c>
      <c r="AL2377" s="13" t="s">
        <v>3425</v>
      </c>
      <c r="AM2377">
        <v>1</v>
      </c>
      <c r="AN2377" s="15" t="s">
        <v>5531</v>
      </c>
    </row>
    <row r="2378" spans="1:40" x14ac:dyDescent="0.3">
      <c r="A2378" s="10" t="str">
        <f>HYPERLINK("http://www.washoecounty.gov/assessor/cama/?parid=030-541-07&amp;CardNumber=1","030-541-07")</f>
        <v>030-541-07</v>
      </c>
      <c r="B2378" t="s">
        <v>4655</v>
      </c>
      <c r="C2378" t="s">
        <v>14913</v>
      </c>
      <c r="D2378" s="1">
        <v>40469</v>
      </c>
      <c r="E2378" s="2">
        <v>117200</v>
      </c>
      <c r="F2378" t="s">
        <v>4553</v>
      </c>
      <c r="G2378" s="17" t="str">
        <f>HYPERLINK("https://www.washoecounty.gov/assessor/cama/?command=sales&amp;parid=03054107","3934188")</f>
        <v>3934188</v>
      </c>
      <c r="H2378" t="s">
        <v>2969</v>
      </c>
      <c r="I2378">
        <v>1991</v>
      </c>
      <c r="J2378">
        <v>1991</v>
      </c>
      <c r="K2378" t="s">
        <v>4554</v>
      </c>
      <c r="L2378" t="s">
        <v>3974</v>
      </c>
      <c r="M2378" s="2">
        <v>1590</v>
      </c>
      <c r="N2378" t="s">
        <v>4048</v>
      </c>
      <c r="O2378">
        <v>3</v>
      </c>
      <c r="P2378">
        <v>2</v>
      </c>
      <c r="Q2378">
        <v>1</v>
      </c>
      <c r="R2378" t="s">
        <v>4557</v>
      </c>
      <c r="S2378" t="s">
        <v>4558</v>
      </c>
      <c r="T2378" t="s">
        <v>4559</v>
      </c>
      <c r="U2378" t="s">
        <v>4560</v>
      </c>
      <c r="V2378" s="2">
        <v>400</v>
      </c>
      <c r="W2378" t="s">
        <v>4655</v>
      </c>
      <c r="X2378" s="2">
        <v>0</v>
      </c>
      <c r="Y2378">
        <v>20</v>
      </c>
      <c r="Z2378" t="s">
        <v>4908</v>
      </c>
      <c r="AA2378" s="3">
        <v>8.0991737544536604E-2</v>
      </c>
      <c r="AB2378" t="s">
        <v>2952</v>
      </c>
      <c r="AC2378" t="s">
        <v>4575</v>
      </c>
      <c r="AD2378" t="s">
        <v>4416</v>
      </c>
      <c r="AE2378" t="s">
        <v>4655</v>
      </c>
      <c r="AF2378" t="s">
        <v>4563</v>
      </c>
      <c r="AG2378" t="s">
        <v>4564</v>
      </c>
      <c r="AH2378" t="s">
        <v>2330</v>
      </c>
      <c r="AI2378" t="s">
        <v>1602</v>
      </c>
      <c r="AJ2378" t="s">
        <v>4655</v>
      </c>
      <c r="AK2378" t="s">
        <v>14914</v>
      </c>
      <c r="AL2378" s="13" t="s">
        <v>3425</v>
      </c>
      <c r="AM2378">
        <v>1</v>
      </c>
      <c r="AN2378" s="15" t="s">
        <v>5531</v>
      </c>
    </row>
    <row r="2379" spans="1:40" x14ac:dyDescent="0.3">
      <c r="A2379" s="10" t="str">
        <f>HYPERLINK("http://www.washoecounty.gov/assessor/cama/?parid=030-541-46&amp;CardNumber=1","030-541-46")</f>
        <v>030-541-46</v>
      </c>
      <c r="B2379" t="s">
        <v>4655</v>
      </c>
      <c r="C2379" t="s">
        <v>14915</v>
      </c>
      <c r="D2379" s="1">
        <v>40441</v>
      </c>
      <c r="E2379" s="2">
        <v>129000</v>
      </c>
      <c r="F2379" t="s">
        <v>4567</v>
      </c>
      <c r="G2379" s="17" t="str">
        <f>HYPERLINK("https://www.washoecounty.gov/assessor/cama/?command=sales&amp;parid=03054146","3924243")</f>
        <v>3924243</v>
      </c>
      <c r="H2379" t="s">
        <v>5145</v>
      </c>
      <c r="I2379">
        <v>1989</v>
      </c>
      <c r="J2379">
        <v>1989</v>
      </c>
      <c r="K2379" t="s">
        <v>4554</v>
      </c>
      <c r="L2379" t="s">
        <v>3974</v>
      </c>
      <c r="M2379" s="2">
        <v>1392</v>
      </c>
      <c r="N2379" t="s">
        <v>4048</v>
      </c>
      <c r="O2379">
        <v>3</v>
      </c>
      <c r="P2379">
        <v>2</v>
      </c>
      <c r="Q2379">
        <v>1</v>
      </c>
      <c r="R2379" t="s">
        <v>4557</v>
      </c>
      <c r="S2379" t="s">
        <v>4558</v>
      </c>
      <c r="T2379" t="s">
        <v>4559</v>
      </c>
      <c r="U2379" t="s">
        <v>4560</v>
      </c>
      <c r="V2379" s="2">
        <v>464</v>
      </c>
      <c r="W2379" t="s">
        <v>4655</v>
      </c>
      <c r="X2379" s="2">
        <v>0</v>
      </c>
      <c r="Y2379">
        <v>20</v>
      </c>
      <c r="Z2379" t="s">
        <v>4908</v>
      </c>
      <c r="AA2379" s="3">
        <v>8.2001835107803303E-2</v>
      </c>
      <c r="AB2379" t="s">
        <v>14916</v>
      </c>
      <c r="AC2379" t="s">
        <v>4562</v>
      </c>
      <c r="AD2379" t="s">
        <v>14917</v>
      </c>
      <c r="AE2379" t="s">
        <v>4655</v>
      </c>
      <c r="AF2379" t="s">
        <v>5201</v>
      </c>
      <c r="AG2379" t="s">
        <v>4564</v>
      </c>
      <c r="AH2379" t="s">
        <v>3898</v>
      </c>
      <c r="AI2379" t="s">
        <v>14918</v>
      </c>
      <c r="AJ2379" t="s">
        <v>4655</v>
      </c>
      <c r="AK2379" t="s">
        <v>14919</v>
      </c>
      <c r="AL2379" s="13" t="s">
        <v>3425</v>
      </c>
      <c r="AM2379" s="14">
        <v>1</v>
      </c>
      <c r="AN2379" s="15" t="s">
        <v>5531</v>
      </c>
    </row>
    <row r="2380" spans="1:40" x14ac:dyDescent="0.3">
      <c r="A2380" s="10" t="str">
        <f>HYPERLINK("http://www.washoecounty.gov/assessor/cama/?parid=030-542-01&amp;CardNumber=1","030-542-01")</f>
        <v>030-542-01</v>
      </c>
      <c r="B2380" t="s">
        <v>4655</v>
      </c>
      <c r="C2380" t="s">
        <v>14920</v>
      </c>
      <c r="D2380" s="1">
        <v>40322</v>
      </c>
      <c r="E2380" s="2">
        <v>120000</v>
      </c>
      <c r="F2380" t="s">
        <v>4567</v>
      </c>
      <c r="G2380" s="17" t="str">
        <f>HYPERLINK("https://www.washoecounty.gov/assessor/cama/?command=sales&amp;parid=03054201","3884233")</f>
        <v>3884233</v>
      </c>
      <c r="H2380" t="s">
        <v>14921</v>
      </c>
      <c r="I2380">
        <v>1990</v>
      </c>
      <c r="J2380">
        <v>1990</v>
      </c>
      <c r="K2380" t="s">
        <v>4554</v>
      </c>
      <c r="L2380" t="s">
        <v>3974</v>
      </c>
      <c r="M2380" s="2">
        <v>1270</v>
      </c>
      <c r="N2380" t="s">
        <v>4048</v>
      </c>
      <c r="O2380">
        <v>2</v>
      </c>
      <c r="P2380">
        <v>2</v>
      </c>
      <c r="Q2380">
        <v>1</v>
      </c>
      <c r="R2380" t="s">
        <v>4557</v>
      </c>
      <c r="S2380" t="s">
        <v>4558</v>
      </c>
      <c r="T2380" t="s">
        <v>4559</v>
      </c>
      <c r="U2380" t="s">
        <v>5631</v>
      </c>
      <c r="V2380" s="2">
        <v>460</v>
      </c>
      <c r="W2380" t="s">
        <v>4655</v>
      </c>
      <c r="X2380" s="2">
        <v>0</v>
      </c>
      <c r="Y2380">
        <v>20</v>
      </c>
      <c r="Z2380" t="s">
        <v>4908</v>
      </c>
      <c r="AA2380" s="3">
        <v>0.10199724882841101</v>
      </c>
      <c r="AB2380" t="s">
        <v>14922</v>
      </c>
      <c r="AC2380" t="s">
        <v>4562</v>
      </c>
      <c r="AD2380" t="s">
        <v>14920</v>
      </c>
      <c r="AE2380" t="s">
        <v>4655</v>
      </c>
      <c r="AF2380" t="s">
        <v>5201</v>
      </c>
      <c r="AG2380" t="s">
        <v>4564</v>
      </c>
      <c r="AH2380" t="s">
        <v>3898</v>
      </c>
      <c r="AI2380" t="s">
        <v>14923</v>
      </c>
      <c r="AJ2380" t="s">
        <v>4655</v>
      </c>
      <c r="AK2380" t="s">
        <v>14924</v>
      </c>
      <c r="AL2380" s="13" t="s">
        <v>3425</v>
      </c>
      <c r="AM2380" s="14">
        <v>1</v>
      </c>
      <c r="AN2380" s="15" t="s">
        <v>5531</v>
      </c>
    </row>
    <row r="2381" spans="1:40" x14ac:dyDescent="0.3">
      <c r="A2381" s="10" t="str">
        <f>HYPERLINK("http://www.washoecounty.gov/assessor/cama/?parid=030-543-10&amp;CardNumber=1","030-543-10")</f>
        <v>030-543-10</v>
      </c>
      <c r="B2381" t="s">
        <v>4655</v>
      </c>
      <c r="C2381" t="s">
        <v>14925</v>
      </c>
      <c r="D2381" s="1">
        <v>40242</v>
      </c>
      <c r="E2381" s="2">
        <v>149500</v>
      </c>
      <c r="F2381" t="s">
        <v>4553</v>
      </c>
      <c r="G2381" s="17" t="str">
        <f>HYPERLINK("https://www.washoecounty.gov/assessor/cama/?command=sales&amp;parid=03054310","3856457")</f>
        <v>3856457</v>
      </c>
      <c r="H2381" t="s">
        <v>2969</v>
      </c>
      <c r="I2381">
        <v>1990</v>
      </c>
      <c r="J2381">
        <v>1990</v>
      </c>
      <c r="K2381" t="s">
        <v>4554</v>
      </c>
      <c r="L2381" t="s">
        <v>3974</v>
      </c>
      <c r="M2381" s="2">
        <v>1876</v>
      </c>
      <c r="N2381" t="s">
        <v>4048</v>
      </c>
      <c r="O2381">
        <v>4</v>
      </c>
      <c r="P2381">
        <v>2</v>
      </c>
      <c r="Q2381">
        <v>1</v>
      </c>
      <c r="R2381" t="s">
        <v>5281</v>
      </c>
      <c r="S2381" t="s">
        <v>4558</v>
      </c>
      <c r="T2381" t="s">
        <v>4559</v>
      </c>
      <c r="U2381" t="s">
        <v>5631</v>
      </c>
      <c r="V2381" s="2">
        <v>400</v>
      </c>
      <c r="W2381" t="s">
        <v>4655</v>
      </c>
      <c r="X2381" s="2">
        <v>0</v>
      </c>
      <c r="Y2381">
        <v>20</v>
      </c>
      <c r="Z2381" t="s">
        <v>4908</v>
      </c>
      <c r="AA2381" s="3">
        <v>7.8007347881794004E-2</v>
      </c>
      <c r="AB2381" t="s">
        <v>14926</v>
      </c>
      <c r="AC2381" t="s">
        <v>4562</v>
      </c>
      <c r="AD2381" t="s">
        <v>14927</v>
      </c>
      <c r="AE2381" t="s">
        <v>4655</v>
      </c>
      <c r="AF2381" t="s">
        <v>5499</v>
      </c>
      <c r="AG2381" t="s">
        <v>4564</v>
      </c>
      <c r="AH2381" t="s">
        <v>3898</v>
      </c>
      <c r="AI2381" t="s">
        <v>4503</v>
      </c>
      <c r="AJ2381" t="s">
        <v>4655</v>
      </c>
      <c r="AK2381" t="s">
        <v>14928</v>
      </c>
      <c r="AL2381" s="13" t="s">
        <v>3425</v>
      </c>
      <c r="AM2381" s="14">
        <v>1</v>
      </c>
      <c r="AN2381" s="15" t="s">
        <v>5531</v>
      </c>
    </row>
    <row r="2382" spans="1:40" x14ac:dyDescent="0.3">
      <c r="A2382" s="10" t="str">
        <f>HYPERLINK("http://www.washoecounty.gov/assessor/cama/?parid=030-550-03&amp;CardNumber=1","030-550-03")</f>
        <v>030-550-03</v>
      </c>
      <c r="B2382" t="s">
        <v>4655</v>
      </c>
      <c r="C2382" t="s">
        <v>14929</v>
      </c>
      <c r="D2382" s="1">
        <v>40394</v>
      </c>
      <c r="E2382" s="2">
        <v>235000</v>
      </c>
      <c r="F2382" t="s">
        <v>4553</v>
      </c>
      <c r="G2382" s="17" t="str">
        <f>HYPERLINK("https://www.washoecounty.gov/assessor/cama/?command=sales&amp;parid=03055003","3908491")</f>
        <v>3908491</v>
      </c>
      <c r="H2382" t="s">
        <v>14930</v>
      </c>
      <c r="I2382">
        <v>1997</v>
      </c>
      <c r="J2382">
        <v>1997</v>
      </c>
      <c r="K2382" t="s">
        <v>4554</v>
      </c>
      <c r="L2382" t="s">
        <v>4555</v>
      </c>
      <c r="M2382" s="2">
        <v>2614</v>
      </c>
      <c r="N2382" t="s">
        <v>1245</v>
      </c>
      <c r="O2382">
        <v>3</v>
      </c>
      <c r="P2382">
        <v>2</v>
      </c>
      <c r="Q2382">
        <v>1</v>
      </c>
      <c r="R2382" t="s">
        <v>5281</v>
      </c>
      <c r="S2382" t="s">
        <v>4135</v>
      </c>
      <c r="T2382" t="s">
        <v>4559</v>
      </c>
      <c r="U2382" t="s">
        <v>4560</v>
      </c>
      <c r="V2382" s="2">
        <v>936</v>
      </c>
      <c r="W2382" t="s">
        <v>4655</v>
      </c>
      <c r="X2382" s="2">
        <v>0</v>
      </c>
      <c r="Y2382">
        <v>20</v>
      </c>
      <c r="Z2382" t="s">
        <v>5079</v>
      </c>
      <c r="AA2382" s="3">
        <v>0.98000460863113403</v>
      </c>
      <c r="AB2382" t="s">
        <v>14931</v>
      </c>
      <c r="AC2382" t="s">
        <v>4562</v>
      </c>
      <c r="AD2382" t="s">
        <v>14932</v>
      </c>
      <c r="AE2382" t="s">
        <v>4655</v>
      </c>
      <c r="AF2382" t="s">
        <v>4809</v>
      </c>
      <c r="AG2382" t="s">
        <v>4564</v>
      </c>
      <c r="AH2382" t="s">
        <v>3898</v>
      </c>
      <c r="AI2382" t="s">
        <v>687</v>
      </c>
      <c r="AJ2382" t="s">
        <v>4655</v>
      </c>
      <c r="AK2382" t="s">
        <v>14933</v>
      </c>
      <c r="AL2382" s="13" t="s">
        <v>3425</v>
      </c>
      <c r="AM2382">
        <v>1</v>
      </c>
      <c r="AN2382" s="15" t="s">
        <v>4831</v>
      </c>
    </row>
    <row r="2383" spans="1:40" x14ac:dyDescent="0.3">
      <c r="A2383" s="10" t="str">
        <f>HYPERLINK("http://www.washoecounty.gov/assessor/cama/?parid=030-550-11&amp;CardNumber=1","030-550-11")</f>
        <v>030-550-11</v>
      </c>
      <c r="B2383" t="s">
        <v>4655</v>
      </c>
      <c r="C2383" t="s">
        <v>14934</v>
      </c>
      <c r="D2383" s="1">
        <v>40207</v>
      </c>
      <c r="E2383" s="2">
        <v>230000</v>
      </c>
      <c r="F2383" t="s">
        <v>4553</v>
      </c>
      <c r="G2383" s="17" t="str">
        <f>HYPERLINK("https://www.washoecounty.gov/assessor/cama/?command=sales&amp;parid=03055011","3844391")</f>
        <v>3844391</v>
      </c>
      <c r="H2383" t="s">
        <v>14935</v>
      </c>
      <c r="I2383">
        <v>1993</v>
      </c>
      <c r="J2383">
        <v>1993</v>
      </c>
      <c r="K2383" t="s">
        <v>4554</v>
      </c>
      <c r="L2383" t="s">
        <v>3974</v>
      </c>
      <c r="M2383" s="2">
        <v>2934</v>
      </c>
      <c r="N2383" t="s">
        <v>3147</v>
      </c>
      <c r="O2383">
        <v>4</v>
      </c>
      <c r="P2383">
        <v>3</v>
      </c>
      <c r="Q2383">
        <v>1</v>
      </c>
      <c r="R2383" t="s">
        <v>5281</v>
      </c>
      <c r="S2383" t="s">
        <v>4397</v>
      </c>
      <c r="T2383" t="s">
        <v>4559</v>
      </c>
      <c r="U2383" t="s">
        <v>4560</v>
      </c>
      <c r="V2383" s="2">
        <v>660</v>
      </c>
      <c r="W2383" t="s">
        <v>4655</v>
      </c>
      <c r="X2383" s="2">
        <v>0</v>
      </c>
      <c r="Y2383">
        <v>20</v>
      </c>
      <c r="Z2383" t="s">
        <v>4398</v>
      </c>
      <c r="AA2383" s="3">
        <v>0.26299357414245605</v>
      </c>
      <c r="AB2383" t="s">
        <v>14936</v>
      </c>
      <c r="AC2383" t="s">
        <v>4562</v>
      </c>
      <c r="AD2383" t="s">
        <v>14934</v>
      </c>
      <c r="AE2383" t="s">
        <v>4655</v>
      </c>
      <c r="AF2383" t="s">
        <v>5201</v>
      </c>
      <c r="AG2383" t="s">
        <v>4564</v>
      </c>
      <c r="AH2383" t="s">
        <v>1605</v>
      </c>
      <c r="AI2383" t="s">
        <v>14020</v>
      </c>
      <c r="AJ2383" t="s">
        <v>14937</v>
      </c>
      <c r="AK2383" t="s">
        <v>14938</v>
      </c>
      <c r="AL2383" s="13" t="s">
        <v>1886</v>
      </c>
      <c r="AM2383">
        <v>1</v>
      </c>
      <c r="AN2383" s="15" t="s">
        <v>4831</v>
      </c>
    </row>
    <row r="2384" spans="1:40" x14ac:dyDescent="0.3">
      <c r="A2384" s="10" t="str">
        <f>HYPERLINK("http://www.washoecounty.gov/assessor/cama/?parid=030-561-02&amp;CardNumber=1","030-561-02")</f>
        <v>030-561-02</v>
      </c>
      <c r="B2384" t="s">
        <v>4655</v>
      </c>
      <c r="C2384" t="s">
        <v>14939</v>
      </c>
      <c r="D2384" s="1">
        <v>40284</v>
      </c>
      <c r="E2384" s="2">
        <v>130000</v>
      </c>
      <c r="F2384" t="s">
        <v>4567</v>
      </c>
      <c r="G2384" s="17" t="str">
        <f>HYPERLINK("https://www.washoecounty.gov/assessor/cama/?command=sales&amp;parid=03056102","3872062")</f>
        <v>3872062</v>
      </c>
      <c r="H2384" t="s">
        <v>14940</v>
      </c>
      <c r="I2384">
        <v>1991</v>
      </c>
      <c r="J2384">
        <v>1991</v>
      </c>
      <c r="K2384" t="s">
        <v>4554</v>
      </c>
      <c r="L2384" t="s">
        <v>4555</v>
      </c>
      <c r="M2384" s="2">
        <v>1876</v>
      </c>
      <c r="N2384" t="s">
        <v>4048</v>
      </c>
      <c r="O2384">
        <v>4</v>
      </c>
      <c r="P2384">
        <v>2</v>
      </c>
      <c r="Q2384">
        <v>1</v>
      </c>
      <c r="R2384" t="s">
        <v>4557</v>
      </c>
      <c r="S2384" t="s">
        <v>4558</v>
      </c>
      <c r="T2384" t="s">
        <v>4559</v>
      </c>
      <c r="U2384" t="s">
        <v>4560</v>
      </c>
      <c r="V2384" s="2">
        <v>437</v>
      </c>
      <c r="W2384" t="s">
        <v>4655</v>
      </c>
      <c r="X2384" s="2">
        <v>0</v>
      </c>
      <c r="Y2384">
        <v>20</v>
      </c>
      <c r="Z2384" t="s">
        <v>5200</v>
      </c>
      <c r="AA2384" s="3">
        <v>0.151010096073151</v>
      </c>
      <c r="AB2384" t="s">
        <v>14941</v>
      </c>
      <c r="AC2384" t="s">
        <v>4562</v>
      </c>
      <c r="AD2384" t="s">
        <v>14942</v>
      </c>
      <c r="AE2384" t="s">
        <v>4655</v>
      </c>
      <c r="AF2384" t="s">
        <v>5201</v>
      </c>
      <c r="AG2384" t="s">
        <v>4564</v>
      </c>
      <c r="AH2384" t="s">
        <v>1605</v>
      </c>
      <c r="AI2384" t="s">
        <v>14943</v>
      </c>
      <c r="AJ2384" t="s">
        <v>14944</v>
      </c>
      <c r="AK2384" t="s">
        <v>14945</v>
      </c>
      <c r="AL2384" s="13" t="s">
        <v>1886</v>
      </c>
      <c r="AM2384" s="14">
        <v>1</v>
      </c>
      <c r="AN2384" s="15" t="s">
        <v>5531</v>
      </c>
    </row>
    <row r="2385" spans="1:40" x14ac:dyDescent="0.3">
      <c r="A2385" s="10" t="str">
        <f>HYPERLINK("http://www.washoecounty.gov/assessor/cama/?parid=030-561-09&amp;CardNumber=1","030-561-09")</f>
        <v>030-561-09</v>
      </c>
      <c r="B2385" t="s">
        <v>4655</v>
      </c>
      <c r="C2385" t="s">
        <v>14946</v>
      </c>
      <c r="D2385" s="1">
        <v>40354</v>
      </c>
      <c r="E2385" s="2">
        <v>169000</v>
      </c>
      <c r="F2385" t="s">
        <v>4567</v>
      </c>
      <c r="G2385" s="17" t="str">
        <f>HYPERLINK("https://www.washoecounty.gov/assessor/cama/?command=sales&amp;parid=03056109","3895508")</f>
        <v>3895508</v>
      </c>
      <c r="H2385" t="s">
        <v>14940</v>
      </c>
      <c r="I2385">
        <v>1991</v>
      </c>
      <c r="J2385">
        <v>1991</v>
      </c>
      <c r="K2385" t="s">
        <v>4554</v>
      </c>
      <c r="L2385" t="s">
        <v>4555</v>
      </c>
      <c r="M2385" s="2">
        <v>1862</v>
      </c>
      <c r="N2385" t="s">
        <v>4048</v>
      </c>
      <c r="O2385">
        <v>4</v>
      </c>
      <c r="P2385">
        <v>2</v>
      </c>
      <c r="Q2385">
        <v>0</v>
      </c>
      <c r="R2385" t="s">
        <v>5281</v>
      </c>
      <c r="S2385" t="s">
        <v>4558</v>
      </c>
      <c r="T2385" t="s">
        <v>4559</v>
      </c>
      <c r="U2385" t="s">
        <v>4560</v>
      </c>
      <c r="V2385" s="2">
        <v>437</v>
      </c>
      <c r="W2385" t="s">
        <v>4655</v>
      </c>
      <c r="X2385" s="2">
        <v>0</v>
      </c>
      <c r="Y2385">
        <v>20</v>
      </c>
      <c r="Z2385" t="s">
        <v>5200</v>
      </c>
      <c r="AA2385" s="3">
        <v>0.15399448573589325</v>
      </c>
      <c r="AB2385" t="s">
        <v>14947</v>
      </c>
      <c r="AC2385" t="s">
        <v>4562</v>
      </c>
      <c r="AD2385" t="s">
        <v>14946</v>
      </c>
      <c r="AE2385" t="s">
        <v>4655</v>
      </c>
      <c r="AF2385" t="s">
        <v>5201</v>
      </c>
      <c r="AG2385" t="s">
        <v>4564</v>
      </c>
      <c r="AH2385" t="s">
        <v>3898</v>
      </c>
      <c r="AI2385" t="s">
        <v>14948</v>
      </c>
      <c r="AJ2385" t="s">
        <v>14944</v>
      </c>
      <c r="AK2385" t="s">
        <v>14949</v>
      </c>
      <c r="AL2385" s="13" t="s">
        <v>1886</v>
      </c>
      <c r="AM2385">
        <v>1</v>
      </c>
      <c r="AN2385" s="15" t="s">
        <v>5531</v>
      </c>
    </row>
    <row r="2386" spans="1:40" x14ac:dyDescent="0.3">
      <c r="A2386" s="10" t="str">
        <f>HYPERLINK("http://www.washoecounty.gov/assessor/cama/?parid=030-561-14&amp;CardNumber=1","030-561-14")</f>
        <v>030-561-14</v>
      </c>
      <c r="B2386" t="s">
        <v>4655</v>
      </c>
      <c r="C2386" t="s">
        <v>14950</v>
      </c>
      <c r="D2386" s="1">
        <v>40491</v>
      </c>
      <c r="E2386" s="2">
        <v>154500</v>
      </c>
      <c r="F2386" t="s">
        <v>4567</v>
      </c>
      <c r="G2386" s="17" t="str">
        <f>HYPERLINK("https://www.washoecounty.gov/assessor/cama/?command=sales&amp;parid=03056114","3941240")</f>
        <v>3941240</v>
      </c>
      <c r="H2386" t="s">
        <v>14951</v>
      </c>
      <c r="I2386">
        <v>1992</v>
      </c>
      <c r="J2386">
        <v>1992</v>
      </c>
      <c r="K2386" t="s">
        <v>4554</v>
      </c>
      <c r="L2386" t="s">
        <v>2170</v>
      </c>
      <c r="M2386" s="2">
        <v>2152</v>
      </c>
      <c r="N2386" t="s">
        <v>4048</v>
      </c>
      <c r="O2386">
        <v>4</v>
      </c>
      <c r="P2386">
        <v>3</v>
      </c>
      <c r="Q2386">
        <v>0</v>
      </c>
      <c r="R2386" t="s">
        <v>5281</v>
      </c>
      <c r="S2386" t="s">
        <v>4558</v>
      </c>
      <c r="T2386" t="s">
        <v>4559</v>
      </c>
      <c r="U2386" t="s">
        <v>4560</v>
      </c>
      <c r="V2386" s="2">
        <v>462</v>
      </c>
      <c r="W2386" t="s">
        <v>4655</v>
      </c>
      <c r="X2386" s="2">
        <v>0</v>
      </c>
      <c r="Y2386">
        <v>20</v>
      </c>
      <c r="Z2386" t="s">
        <v>5200</v>
      </c>
      <c r="AA2386" s="3">
        <v>0.24898989498615265</v>
      </c>
      <c r="AB2386" t="s">
        <v>14952</v>
      </c>
      <c r="AC2386" t="s">
        <v>4562</v>
      </c>
      <c r="AD2386" t="s">
        <v>14950</v>
      </c>
      <c r="AE2386" t="s">
        <v>4655</v>
      </c>
      <c r="AF2386" t="s">
        <v>5201</v>
      </c>
      <c r="AG2386" t="s">
        <v>5529</v>
      </c>
      <c r="AH2386" t="s">
        <v>3898</v>
      </c>
      <c r="AI2386" t="s">
        <v>14953</v>
      </c>
      <c r="AJ2386" t="s">
        <v>14944</v>
      </c>
      <c r="AK2386" t="s">
        <v>14954</v>
      </c>
      <c r="AL2386" s="13" t="s">
        <v>1886</v>
      </c>
      <c r="AM2386">
        <v>1</v>
      </c>
      <c r="AN2386" s="15" t="s">
        <v>5531</v>
      </c>
    </row>
    <row r="2387" spans="1:40" x14ac:dyDescent="0.3">
      <c r="A2387" s="10" t="str">
        <f>HYPERLINK("http://www.washoecounty.gov/assessor/cama/?parid=030-562-11&amp;CardNumber=1","030-562-11")</f>
        <v>030-562-11</v>
      </c>
      <c r="B2387" t="s">
        <v>4655</v>
      </c>
      <c r="C2387" t="s">
        <v>14955</v>
      </c>
      <c r="D2387" s="1">
        <v>40262</v>
      </c>
      <c r="E2387" s="2">
        <v>150000</v>
      </c>
      <c r="F2387" t="s">
        <v>4567</v>
      </c>
      <c r="G2387" s="17" t="str">
        <f>HYPERLINK("https://www.washoecounty.gov/assessor/cama/?command=sales&amp;parid=03056211","3864169")</f>
        <v>3864169</v>
      </c>
      <c r="H2387" t="s">
        <v>14951</v>
      </c>
      <c r="I2387">
        <v>1991</v>
      </c>
      <c r="J2387">
        <v>1991</v>
      </c>
      <c r="K2387" t="s">
        <v>4554</v>
      </c>
      <c r="L2387" t="s">
        <v>4555</v>
      </c>
      <c r="M2387" s="2">
        <v>1513</v>
      </c>
      <c r="N2387" t="s">
        <v>4048</v>
      </c>
      <c r="O2387">
        <v>3</v>
      </c>
      <c r="P2387">
        <v>2</v>
      </c>
      <c r="Q2387">
        <v>0</v>
      </c>
      <c r="R2387" t="s">
        <v>4557</v>
      </c>
      <c r="S2387" t="s">
        <v>4558</v>
      </c>
      <c r="T2387" t="s">
        <v>4559</v>
      </c>
      <c r="U2387" t="s">
        <v>4560</v>
      </c>
      <c r="V2387" s="2">
        <v>438</v>
      </c>
      <c r="W2387" t="s">
        <v>4655</v>
      </c>
      <c r="X2387" s="2">
        <v>0</v>
      </c>
      <c r="Y2387">
        <v>20</v>
      </c>
      <c r="Z2387" t="s">
        <v>5200</v>
      </c>
      <c r="AA2387" s="3">
        <v>0.17398989200591999</v>
      </c>
      <c r="AB2387" t="s">
        <v>14956</v>
      </c>
      <c r="AC2387" t="s">
        <v>4562</v>
      </c>
      <c r="AD2387" t="s">
        <v>14957</v>
      </c>
      <c r="AE2387" t="s">
        <v>4655</v>
      </c>
      <c r="AF2387" t="s">
        <v>5201</v>
      </c>
      <c r="AG2387" t="s">
        <v>4564</v>
      </c>
      <c r="AH2387" t="s">
        <v>3898</v>
      </c>
      <c r="AI2387" t="s">
        <v>14958</v>
      </c>
      <c r="AJ2387" t="s">
        <v>14944</v>
      </c>
      <c r="AK2387" t="s">
        <v>14959</v>
      </c>
      <c r="AL2387" s="13" t="s">
        <v>1886</v>
      </c>
      <c r="AM2387">
        <v>1</v>
      </c>
      <c r="AN2387" s="15" t="s">
        <v>5531</v>
      </c>
    </row>
    <row r="2388" spans="1:40" x14ac:dyDescent="0.3">
      <c r="A2388" s="10" t="str">
        <f>HYPERLINK("http://www.washoecounty.gov/assessor/cama/?parid=030-563-06&amp;CardNumber=1","030-563-06")</f>
        <v>030-563-06</v>
      </c>
      <c r="B2388" t="s">
        <v>4655</v>
      </c>
      <c r="C2388" t="s">
        <v>14960</v>
      </c>
      <c r="D2388" s="1">
        <v>40473</v>
      </c>
      <c r="E2388" s="2">
        <v>161000</v>
      </c>
      <c r="F2388" t="s">
        <v>4553</v>
      </c>
      <c r="G2388" s="17" t="str">
        <f>HYPERLINK("https://www.washoecounty.gov/assessor/cama/?command=sales&amp;parid=03056306","3935460")</f>
        <v>3935460</v>
      </c>
      <c r="H2388" t="s">
        <v>14961</v>
      </c>
      <c r="I2388">
        <v>1992</v>
      </c>
      <c r="J2388">
        <v>1992</v>
      </c>
      <c r="K2388" t="s">
        <v>4554</v>
      </c>
      <c r="L2388" t="s">
        <v>4555</v>
      </c>
      <c r="M2388" s="2">
        <v>1876</v>
      </c>
      <c r="N2388" t="s">
        <v>4048</v>
      </c>
      <c r="O2388">
        <v>3</v>
      </c>
      <c r="P2388">
        <v>2</v>
      </c>
      <c r="Q2388">
        <v>0</v>
      </c>
      <c r="R2388" t="s">
        <v>5281</v>
      </c>
      <c r="S2388" t="s">
        <v>4558</v>
      </c>
      <c r="T2388" t="s">
        <v>4559</v>
      </c>
      <c r="U2388" t="s">
        <v>4560</v>
      </c>
      <c r="V2388" s="2">
        <v>437</v>
      </c>
      <c r="W2388" t="s">
        <v>4655</v>
      </c>
      <c r="X2388" s="2">
        <v>0</v>
      </c>
      <c r="Y2388">
        <v>20</v>
      </c>
      <c r="Z2388" t="s">
        <v>5200</v>
      </c>
      <c r="AA2388" s="3">
        <v>0.29201102256774902</v>
      </c>
      <c r="AB2388" t="s">
        <v>14962</v>
      </c>
      <c r="AC2388" t="s">
        <v>4562</v>
      </c>
      <c r="AD2388" t="s">
        <v>14963</v>
      </c>
      <c r="AE2388" t="s">
        <v>4655</v>
      </c>
      <c r="AF2388" t="s">
        <v>5201</v>
      </c>
      <c r="AG2388" t="s">
        <v>4564</v>
      </c>
      <c r="AH2388" t="s">
        <v>3898</v>
      </c>
      <c r="AI2388" t="s">
        <v>601</v>
      </c>
      <c r="AJ2388" t="s">
        <v>14964</v>
      </c>
      <c r="AK2388" t="s">
        <v>14965</v>
      </c>
      <c r="AL2388" s="13" t="s">
        <v>1886</v>
      </c>
      <c r="AM2388" s="14">
        <v>1</v>
      </c>
      <c r="AN2388" s="15" t="s">
        <v>5531</v>
      </c>
    </row>
    <row r="2389" spans="1:40" x14ac:dyDescent="0.3">
      <c r="A2389" s="10" t="str">
        <f>HYPERLINK("http://www.washoecounty.gov/assessor/cama/?parid=030-571-02&amp;CardNumber=1","030-571-02")</f>
        <v>030-571-02</v>
      </c>
      <c r="B2389" t="s">
        <v>4655</v>
      </c>
      <c r="C2389" t="s">
        <v>14966</v>
      </c>
      <c r="D2389" s="1">
        <v>40541</v>
      </c>
      <c r="E2389" s="2">
        <v>80000</v>
      </c>
      <c r="F2389" t="s">
        <v>4187</v>
      </c>
      <c r="G2389" s="17" t="str">
        <f>HYPERLINK("https://www.washoecounty.gov/assessor/cama/?command=sales&amp;parid=03057102","3958782")</f>
        <v>3958782</v>
      </c>
      <c r="H2389" t="s">
        <v>14967</v>
      </c>
      <c r="I2389">
        <v>0</v>
      </c>
      <c r="J2389">
        <v>0</v>
      </c>
      <c r="K2389" t="s">
        <v>4655</v>
      </c>
      <c r="L2389" t="s">
        <v>4655</v>
      </c>
      <c r="M2389" s="2">
        <v>0</v>
      </c>
      <c r="N2389" t="s">
        <v>4655</v>
      </c>
      <c r="O2389">
        <v>0</v>
      </c>
      <c r="P2389">
        <v>0</v>
      </c>
      <c r="Q2389">
        <v>0</v>
      </c>
      <c r="R2389" t="s">
        <v>4655</v>
      </c>
      <c r="S2389" t="s">
        <v>4655</v>
      </c>
      <c r="T2389" t="s">
        <v>4655</v>
      </c>
      <c r="U2389" t="s">
        <v>4655</v>
      </c>
      <c r="V2389" s="2">
        <v>0</v>
      </c>
      <c r="W2389" t="s">
        <v>4655</v>
      </c>
      <c r="X2389" s="2">
        <v>0</v>
      </c>
      <c r="Y2389">
        <v>12</v>
      </c>
      <c r="Z2389" t="s">
        <v>4830</v>
      </c>
      <c r="AA2389" s="3">
        <v>0.64400827884673995</v>
      </c>
      <c r="AB2389" t="s">
        <v>14968</v>
      </c>
      <c r="AC2389" t="s">
        <v>4562</v>
      </c>
      <c r="AD2389" t="s">
        <v>14969</v>
      </c>
      <c r="AE2389" t="s">
        <v>4655</v>
      </c>
      <c r="AF2389" t="s">
        <v>4563</v>
      </c>
      <c r="AG2389" t="s">
        <v>4564</v>
      </c>
      <c r="AH2389">
        <v>89509</v>
      </c>
      <c r="AI2389" t="s">
        <v>14970</v>
      </c>
      <c r="AJ2389" t="s">
        <v>14971</v>
      </c>
      <c r="AK2389" t="s">
        <v>14972</v>
      </c>
      <c r="AL2389" s="13" t="s">
        <v>3425</v>
      </c>
      <c r="AM2389" s="14">
        <v>0</v>
      </c>
      <c r="AN2389" s="15" t="s">
        <v>14973</v>
      </c>
    </row>
    <row r="2390" spans="1:40" x14ac:dyDescent="0.3">
      <c r="A2390" s="10" t="str">
        <f>HYPERLINK("http://www.washoecounty.gov/assessor/cama/?parid=030-594-03&amp;CardNumber=1","030-594-03")</f>
        <v>030-594-03</v>
      </c>
      <c r="B2390" t="s">
        <v>4655</v>
      </c>
      <c r="C2390" t="s">
        <v>14974</v>
      </c>
      <c r="D2390" s="1">
        <v>40296</v>
      </c>
      <c r="E2390" s="2">
        <v>125000</v>
      </c>
      <c r="F2390" t="s">
        <v>4567</v>
      </c>
      <c r="G2390" s="17" t="str">
        <f>HYPERLINK("https://www.washoecounty.gov/assessor/cama/?command=sales&amp;parid=03059403","3875822")</f>
        <v>3875822</v>
      </c>
      <c r="H2390" t="s">
        <v>3626</v>
      </c>
      <c r="I2390">
        <v>1993</v>
      </c>
      <c r="J2390">
        <v>1993</v>
      </c>
      <c r="K2390" t="s">
        <v>4554</v>
      </c>
      <c r="L2390" t="s">
        <v>4555</v>
      </c>
      <c r="M2390" s="2">
        <v>1648</v>
      </c>
      <c r="N2390" t="s">
        <v>4048</v>
      </c>
      <c r="O2390">
        <v>3</v>
      </c>
      <c r="P2390">
        <v>2</v>
      </c>
      <c r="Q2390">
        <v>0</v>
      </c>
      <c r="R2390" t="s">
        <v>4557</v>
      </c>
      <c r="S2390" t="s">
        <v>4558</v>
      </c>
      <c r="T2390" t="s">
        <v>4559</v>
      </c>
      <c r="U2390" t="s">
        <v>4560</v>
      </c>
      <c r="V2390" s="2">
        <v>480</v>
      </c>
      <c r="W2390" t="s">
        <v>4655</v>
      </c>
      <c r="X2390" s="2">
        <v>0</v>
      </c>
      <c r="Y2390">
        <v>20</v>
      </c>
      <c r="Z2390" t="s">
        <v>5200</v>
      </c>
      <c r="AA2390" s="3">
        <v>0.15199723839759827</v>
      </c>
      <c r="AB2390" t="s">
        <v>14975</v>
      </c>
      <c r="AC2390" t="s">
        <v>4562</v>
      </c>
      <c r="AD2390" t="s">
        <v>14974</v>
      </c>
      <c r="AE2390" t="s">
        <v>4655</v>
      </c>
      <c r="AF2390" t="s">
        <v>5201</v>
      </c>
      <c r="AG2390" t="s">
        <v>4564</v>
      </c>
      <c r="AH2390" t="s">
        <v>1605</v>
      </c>
      <c r="AI2390" t="s">
        <v>4534</v>
      </c>
      <c r="AJ2390" t="s">
        <v>3627</v>
      </c>
      <c r="AK2390" t="s">
        <v>14976</v>
      </c>
      <c r="AL2390" s="13" t="s">
        <v>3425</v>
      </c>
      <c r="AM2390" s="14">
        <v>1</v>
      </c>
      <c r="AN2390" s="15" t="s">
        <v>5531</v>
      </c>
    </row>
    <row r="2391" spans="1:40" x14ac:dyDescent="0.3">
      <c r="A2391" s="10" t="str">
        <f>HYPERLINK("http://www.washoecounty.gov/assessor/cama/?parid=030-594-03&amp;CardNumber=1","030-594-03")</f>
        <v>030-594-03</v>
      </c>
      <c r="B2391" t="s">
        <v>4655</v>
      </c>
      <c r="C2391" t="s">
        <v>14974</v>
      </c>
      <c r="D2391" s="1">
        <v>40408</v>
      </c>
      <c r="E2391" s="2">
        <v>152900</v>
      </c>
      <c r="F2391" t="s">
        <v>4567</v>
      </c>
      <c r="G2391" s="17" t="str">
        <f>HYPERLINK("https://www.washoecounty.gov/assessor/cama/?command=sales&amp;parid=03059403","3913349")</f>
        <v>3913349</v>
      </c>
      <c r="H2391" t="s">
        <v>3626</v>
      </c>
      <c r="I2391">
        <v>1993</v>
      </c>
      <c r="J2391">
        <v>1993</v>
      </c>
      <c r="K2391" t="s">
        <v>4554</v>
      </c>
      <c r="L2391" t="s">
        <v>4555</v>
      </c>
      <c r="M2391" s="2">
        <v>1648</v>
      </c>
      <c r="N2391" t="s">
        <v>4048</v>
      </c>
      <c r="O2391">
        <v>3</v>
      </c>
      <c r="P2391">
        <v>2</v>
      </c>
      <c r="Q2391">
        <v>0</v>
      </c>
      <c r="R2391" t="s">
        <v>4557</v>
      </c>
      <c r="S2391" t="s">
        <v>4558</v>
      </c>
      <c r="T2391" t="s">
        <v>4559</v>
      </c>
      <c r="U2391" t="s">
        <v>4560</v>
      </c>
      <c r="V2391" s="2">
        <v>480</v>
      </c>
      <c r="W2391" t="s">
        <v>4655</v>
      </c>
      <c r="X2391" s="2">
        <v>0</v>
      </c>
      <c r="Y2391">
        <v>20</v>
      </c>
      <c r="Z2391" t="s">
        <v>5200</v>
      </c>
      <c r="AA2391" s="3">
        <v>0.15199723839759827</v>
      </c>
      <c r="AB2391" t="s">
        <v>14975</v>
      </c>
      <c r="AC2391" t="s">
        <v>4562</v>
      </c>
      <c r="AD2391" t="s">
        <v>14974</v>
      </c>
      <c r="AE2391" t="s">
        <v>4655</v>
      </c>
      <c r="AF2391" t="s">
        <v>5201</v>
      </c>
      <c r="AG2391" t="s">
        <v>4564</v>
      </c>
      <c r="AH2391" t="s">
        <v>1605</v>
      </c>
      <c r="AI2391" t="s">
        <v>4534</v>
      </c>
      <c r="AJ2391" t="s">
        <v>3627</v>
      </c>
      <c r="AK2391" t="s">
        <v>14976</v>
      </c>
      <c r="AL2391" s="13" t="s">
        <v>3425</v>
      </c>
      <c r="AM2391">
        <v>1</v>
      </c>
      <c r="AN2391" s="15" t="s">
        <v>5531</v>
      </c>
    </row>
    <row r="2392" spans="1:40" x14ac:dyDescent="0.3">
      <c r="A2392" s="10" t="str">
        <f>HYPERLINK("http://www.washoecounty.gov/assessor/cama/?parid=030-611-01&amp;CardNumber=1","030-611-01")</f>
        <v>030-611-01</v>
      </c>
      <c r="B2392" t="s">
        <v>4655</v>
      </c>
      <c r="C2392" t="s">
        <v>14977</v>
      </c>
      <c r="D2392" s="1">
        <v>40406</v>
      </c>
      <c r="E2392" s="2">
        <v>184000</v>
      </c>
      <c r="F2392" t="s">
        <v>4567</v>
      </c>
      <c r="G2392" s="17" t="str">
        <f>HYPERLINK("https://www.washoecounty.gov/assessor/cama/?command=sales&amp;parid=03061101","3912423")</f>
        <v>3912423</v>
      </c>
      <c r="H2392" t="s">
        <v>519</v>
      </c>
      <c r="I2392">
        <v>1993</v>
      </c>
      <c r="J2392">
        <v>1993</v>
      </c>
      <c r="K2392" t="s">
        <v>4554</v>
      </c>
      <c r="L2392" t="s">
        <v>2170</v>
      </c>
      <c r="M2392" s="2">
        <v>2222</v>
      </c>
      <c r="N2392" t="s">
        <v>4048</v>
      </c>
      <c r="O2392">
        <v>4</v>
      </c>
      <c r="P2392">
        <v>3</v>
      </c>
      <c r="Q2392">
        <v>0</v>
      </c>
      <c r="R2392" t="s">
        <v>4557</v>
      </c>
      <c r="S2392" t="s">
        <v>4558</v>
      </c>
      <c r="T2392" t="s">
        <v>4559</v>
      </c>
      <c r="U2392" t="s">
        <v>4560</v>
      </c>
      <c r="V2392" s="2">
        <v>462</v>
      </c>
      <c r="W2392" t="s">
        <v>4655</v>
      </c>
      <c r="X2392" s="2">
        <v>0</v>
      </c>
      <c r="Y2392">
        <v>20</v>
      </c>
      <c r="Z2392" t="s">
        <v>5200</v>
      </c>
      <c r="AA2392" s="3">
        <v>0.15798898041248299</v>
      </c>
      <c r="AB2392" t="s">
        <v>14978</v>
      </c>
      <c r="AC2392" t="s">
        <v>4562</v>
      </c>
      <c r="AD2392" t="s">
        <v>14979</v>
      </c>
      <c r="AE2392" t="s">
        <v>4655</v>
      </c>
      <c r="AF2392" t="s">
        <v>4809</v>
      </c>
      <c r="AG2392" t="s">
        <v>4564</v>
      </c>
      <c r="AH2392" t="s">
        <v>3898</v>
      </c>
      <c r="AI2392" t="s">
        <v>14980</v>
      </c>
      <c r="AJ2392" t="s">
        <v>1277</v>
      </c>
      <c r="AK2392" t="s">
        <v>14981</v>
      </c>
      <c r="AL2392" s="13" t="s">
        <v>3425</v>
      </c>
      <c r="AM2392">
        <v>1</v>
      </c>
      <c r="AN2392" s="15" t="s">
        <v>5531</v>
      </c>
    </row>
    <row r="2393" spans="1:40" x14ac:dyDescent="0.3">
      <c r="A2393" s="10" t="str">
        <f>HYPERLINK("http://www.washoecounty.gov/assessor/cama/?parid=030-611-13&amp;CardNumber=1","030-611-13")</f>
        <v>030-611-13</v>
      </c>
      <c r="B2393" t="s">
        <v>4655</v>
      </c>
      <c r="C2393" t="s">
        <v>14982</v>
      </c>
      <c r="D2393" s="1">
        <v>40498</v>
      </c>
      <c r="E2393" s="2">
        <v>175000</v>
      </c>
      <c r="F2393" t="s">
        <v>4553</v>
      </c>
      <c r="G2393" s="17" t="str">
        <f>HYPERLINK("https://www.washoecounty.gov/assessor/cama/?command=sales&amp;parid=03061113","3943348")</f>
        <v>3943348</v>
      </c>
      <c r="H2393" t="s">
        <v>1276</v>
      </c>
      <c r="I2393">
        <v>1993</v>
      </c>
      <c r="J2393">
        <v>1993</v>
      </c>
      <c r="K2393" t="s">
        <v>4554</v>
      </c>
      <c r="L2393" t="s">
        <v>2170</v>
      </c>
      <c r="M2393" s="2">
        <v>2222</v>
      </c>
      <c r="N2393" t="s">
        <v>4048</v>
      </c>
      <c r="O2393">
        <v>4</v>
      </c>
      <c r="P2393">
        <v>3</v>
      </c>
      <c r="Q2393">
        <v>0</v>
      </c>
      <c r="R2393" t="s">
        <v>5281</v>
      </c>
      <c r="S2393" t="s">
        <v>4558</v>
      </c>
      <c r="T2393" t="s">
        <v>4559</v>
      </c>
      <c r="U2393" t="s">
        <v>4560</v>
      </c>
      <c r="V2393" s="2">
        <v>462</v>
      </c>
      <c r="W2393" t="s">
        <v>4655</v>
      </c>
      <c r="X2393" s="2">
        <v>0</v>
      </c>
      <c r="Y2393">
        <v>20</v>
      </c>
      <c r="Z2393" t="s">
        <v>5200</v>
      </c>
      <c r="AA2393" s="3">
        <v>0.14201101660728499</v>
      </c>
      <c r="AB2393" t="s">
        <v>14983</v>
      </c>
      <c r="AC2393" t="s">
        <v>4562</v>
      </c>
      <c r="AD2393" t="s">
        <v>14984</v>
      </c>
      <c r="AE2393" t="s">
        <v>4655</v>
      </c>
      <c r="AF2393" t="s">
        <v>4809</v>
      </c>
      <c r="AG2393" t="s">
        <v>4564</v>
      </c>
      <c r="AH2393" t="s">
        <v>3898</v>
      </c>
      <c r="AI2393" t="s">
        <v>2555</v>
      </c>
      <c r="AJ2393" t="s">
        <v>1277</v>
      </c>
      <c r="AK2393" t="s">
        <v>14985</v>
      </c>
      <c r="AL2393" s="13" t="s">
        <v>3425</v>
      </c>
      <c r="AM2393" s="14">
        <v>1</v>
      </c>
      <c r="AN2393" s="15" t="s">
        <v>5531</v>
      </c>
    </row>
    <row r="2394" spans="1:40" x14ac:dyDescent="0.3">
      <c r="A2394" s="10" t="str">
        <f>HYPERLINK("http://www.washoecounty.gov/assessor/cama/?parid=030-611-16&amp;CardNumber=1","030-611-16")</f>
        <v>030-611-16</v>
      </c>
      <c r="B2394" t="s">
        <v>4655</v>
      </c>
      <c r="C2394" t="s">
        <v>14986</v>
      </c>
      <c r="D2394" s="1">
        <v>40372</v>
      </c>
      <c r="E2394" s="2">
        <v>152000</v>
      </c>
      <c r="F2394" t="s">
        <v>4567</v>
      </c>
      <c r="G2394" s="17" t="str">
        <f>HYPERLINK("https://www.washoecounty.gov/assessor/cama/?command=sales&amp;parid=03061116","3900756")</f>
        <v>3900756</v>
      </c>
      <c r="H2394" t="s">
        <v>1276</v>
      </c>
      <c r="I2394">
        <v>1993</v>
      </c>
      <c r="J2394">
        <v>1993</v>
      </c>
      <c r="K2394" t="s">
        <v>4554</v>
      </c>
      <c r="L2394" t="s">
        <v>4555</v>
      </c>
      <c r="M2394" s="2">
        <v>1513</v>
      </c>
      <c r="N2394" t="s">
        <v>4048</v>
      </c>
      <c r="O2394">
        <v>3</v>
      </c>
      <c r="P2394">
        <v>2</v>
      </c>
      <c r="Q2394">
        <v>0</v>
      </c>
      <c r="R2394" t="s">
        <v>4557</v>
      </c>
      <c r="S2394" t="s">
        <v>4558</v>
      </c>
      <c r="T2394" t="s">
        <v>4559</v>
      </c>
      <c r="U2394" t="s">
        <v>4560</v>
      </c>
      <c r="V2394" s="2">
        <v>438</v>
      </c>
      <c r="W2394" t="s">
        <v>4655</v>
      </c>
      <c r="X2394" s="2">
        <v>0</v>
      </c>
      <c r="Y2394">
        <v>20</v>
      </c>
      <c r="Z2394" t="s">
        <v>5200</v>
      </c>
      <c r="AA2394" s="3">
        <v>0.16200642287731201</v>
      </c>
      <c r="AB2394" t="s">
        <v>14987</v>
      </c>
      <c r="AC2394" t="s">
        <v>4562</v>
      </c>
      <c r="AD2394" t="s">
        <v>14986</v>
      </c>
      <c r="AE2394" t="s">
        <v>4655</v>
      </c>
      <c r="AF2394" t="s">
        <v>5201</v>
      </c>
      <c r="AG2394" t="s">
        <v>4564</v>
      </c>
      <c r="AH2394" t="s">
        <v>3898</v>
      </c>
      <c r="AI2394" t="s">
        <v>14988</v>
      </c>
      <c r="AJ2394" t="s">
        <v>1277</v>
      </c>
      <c r="AK2394" t="s">
        <v>14989</v>
      </c>
      <c r="AL2394" s="13" t="s">
        <v>3425</v>
      </c>
      <c r="AM2394" s="14">
        <v>1</v>
      </c>
      <c r="AN2394" s="15" t="s">
        <v>5531</v>
      </c>
    </row>
    <row r="2395" spans="1:40" x14ac:dyDescent="0.3">
      <c r="A2395" s="10" t="str">
        <f>HYPERLINK("http://www.washoecounty.gov/assessor/cama/?parid=030-613-02&amp;CardNumber=1","030-613-02")</f>
        <v>030-613-02</v>
      </c>
      <c r="B2395" t="s">
        <v>4655</v>
      </c>
      <c r="C2395" t="s">
        <v>14990</v>
      </c>
      <c r="D2395" s="1">
        <v>40389</v>
      </c>
      <c r="E2395" s="2">
        <v>125497</v>
      </c>
      <c r="F2395" t="s">
        <v>4567</v>
      </c>
      <c r="G2395" s="17" t="str">
        <f>HYPERLINK("https://www.washoecounty.gov/assessor/cama/?command=sales&amp;parid=03061302","3907532")</f>
        <v>3907532</v>
      </c>
      <c r="H2395" t="s">
        <v>14991</v>
      </c>
      <c r="I2395">
        <v>1994</v>
      </c>
      <c r="J2395">
        <v>1994</v>
      </c>
      <c r="K2395" t="s">
        <v>4554</v>
      </c>
      <c r="L2395" t="s">
        <v>4555</v>
      </c>
      <c r="M2395" s="2">
        <v>1648</v>
      </c>
      <c r="N2395" t="s">
        <v>4048</v>
      </c>
      <c r="O2395">
        <v>3</v>
      </c>
      <c r="P2395">
        <v>2</v>
      </c>
      <c r="Q2395">
        <v>0</v>
      </c>
      <c r="R2395" t="s">
        <v>4557</v>
      </c>
      <c r="S2395" t="s">
        <v>4558</v>
      </c>
      <c r="T2395" t="s">
        <v>4559</v>
      </c>
      <c r="U2395" t="s">
        <v>4560</v>
      </c>
      <c r="V2395" s="2">
        <v>480</v>
      </c>
      <c r="W2395" t="s">
        <v>4655</v>
      </c>
      <c r="X2395" s="2">
        <v>0</v>
      </c>
      <c r="Y2395">
        <v>20</v>
      </c>
      <c r="Z2395" t="s">
        <v>5200</v>
      </c>
      <c r="AA2395" s="3">
        <v>0.16499081254005399</v>
      </c>
      <c r="AB2395" t="s">
        <v>14992</v>
      </c>
      <c r="AC2395" t="s">
        <v>4562</v>
      </c>
      <c r="AD2395" t="s">
        <v>14990</v>
      </c>
      <c r="AE2395" t="s">
        <v>4655</v>
      </c>
      <c r="AF2395" t="s">
        <v>5201</v>
      </c>
      <c r="AG2395" t="s">
        <v>4564</v>
      </c>
      <c r="AH2395" t="s">
        <v>1605</v>
      </c>
      <c r="AI2395" t="s">
        <v>14993</v>
      </c>
      <c r="AJ2395" t="s">
        <v>954</v>
      </c>
      <c r="AK2395" t="s">
        <v>14994</v>
      </c>
      <c r="AL2395" s="13" t="s">
        <v>3425</v>
      </c>
      <c r="AM2395" s="14">
        <v>1</v>
      </c>
      <c r="AN2395" s="15" t="s">
        <v>5531</v>
      </c>
    </row>
    <row r="2396" spans="1:40" x14ac:dyDescent="0.3">
      <c r="A2396" s="10" t="str">
        <f>HYPERLINK("http://www.washoecounty.gov/assessor/cama/?parid=030-641-09&amp;CardNumber=1","030-641-09")</f>
        <v>030-641-09</v>
      </c>
      <c r="B2396" t="s">
        <v>4655</v>
      </c>
      <c r="C2396" t="s">
        <v>14995</v>
      </c>
      <c r="D2396" s="1">
        <v>40352</v>
      </c>
      <c r="E2396" s="2">
        <v>200000</v>
      </c>
      <c r="F2396" t="s">
        <v>4567</v>
      </c>
      <c r="G2396" s="17" t="str">
        <f>HYPERLINK("https://www.washoecounty.gov/assessor/cama/?command=sales&amp;parid=03064109","3894649")</f>
        <v>3894649</v>
      </c>
      <c r="H2396" t="s">
        <v>4399</v>
      </c>
      <c r="I2396">
        <v>1996</v>
      </c>
      <c r="J2396">
        <v>1996</v>
      </c>
      <c r="K2396" t="s">
        <v>4554</v>
      </c>
      <c r="L2396" t="s">
        <v>3974</v>
      </c>
      <c r="M2396" s="2">
        <v>2218</v>
      </c>
      <c r="N2396" t="s">
        <v>5280</v>
      </c>
      <c r="O2396">
        <v>4</v>
      </c>
      <c r="P2396">
        <v>3</v>
      </c>
      <c r="Q2396">
        <v>0</v>
      </c>
      <c r="R2396" t="s">
        <v>4557</v>
      </c>
      <c r="S2396" t="s">
        <v>4558</v>
      </c>
      <c r="T2396" t="s">
        <v>2704</v>
      </c>
      <c r="U2396" t="s">
        <v>5631</v>
      </c>
      <c r="V2396" s="2">
        <v>616</v>
      </c>
      <c r="W2396" t="s">
        <v>4655</v>
      </c>
      <c r="X2396" s="2">
        <v>0</v>
      </c>
      <c r="Y2396">
        <v>20</v>
      </c>
      <c r="Z2396" t="s">
        <v>5200</v>
      </c>
      <c r="AA2396" s="3">
        <v>0.22499999403953599</v>
      </c>
      <c r="AB2396" t="s">
        <v>14996</v>
      </c>
      <c r="AC2396" t="s">
        <v>4562</v>
      </c>
      <c r="AD2396" t="s">
        <v>14995</v>
      </c>
      <c r="AE2396" t="s">
        <v>4655</v>
      </c>
      <c r="AF2396" t="s">
        <v>5201</v>
      </c>
      <c r="AG2396" t="s">
        <v>4564</v>
      </c>
      <c r="AH2396" t="s">
        <v>3898</v>
      </c>
      <c r="AI2396" t="s">
        <v>14997</v>
      </c>
      <c r="AJ2396" t="s">
        <v>5423</v>
      </c>
      <c r="AK2396" t="s">
        <v>14998</v>
      </c>
      <c r="AL2396" s="13" t="s">
        <v>3425</v>
      </c>
      <c r="AM2396">
        <v>1</v>
      </c>
      <c r="AN2396" s="15" t="s">
        <v>5424</v>
      </c>
    </row>
    <row r="2397" spans="1:40" x14ac:dyDescent="0.3">
      <c r="A2397" s="10" t="str">
        <f>HYPERLINK("http://www.washoecounty.gov/assessor/cama/?parid=030-642-01&amp;CardNumber=1","030-642-01")</f>
        <v>030-642-01</v>
      </c>
      <c r="B2397" t="s">
        <v>4655</v>
      </c>
      <c r="C2397" t="s">
        <v>14999</v>
      </c>
      <c r="D2397" s="1">
        <v>40193</v>
      </c>
      <c r="E2397" s="2">
        <v>160000</v>
      </c>
      <c r="F2397" t="s">
        <v>4567</v>
      </c>
      <c r="G2397" s="17" t="str">
        <f>HYPERLINK("https://www.washoecounty.gov/assessor/cama/?command=sales&amp;parid=03064201","3840228")</f>
        <v>3840228</v>
      </c>
      <c r="H2397" t="s">
        <v>4399</v>
      </c>
      <c r="I2397">
        <v>1995</v>
      </c>
      <c r="J2397">
        <v>1995</v>
      </c>
      <c r="K2397" t="s">
        <v>4554</v>
      </c>
      <c r="L2397" t="s">
        <v>4555</v>
      </c>
      <c r="M2397" s="2">
        <v>1617</v>
      </c>
      <c r="N2397" t="s">
        <v>5280</v>
      </c>
      <c r="O2397">
        <v>3</v>
      </c>
      <c r="P2397">
        <v>2</v>
      </c>
      <c r="Q2397">
        <v>0</v>
      </c>
      <c r="R2397" t="s">
        <v>5281</v>
      </c>
      <c r="S2397" t="s">
        <v>4558</v>
      </c>
      <c r="T2397" t="s">
        <v>2704</v>
      </c>
      <c r="U2397" t="s">
        <v>4560</v>
      </c>
      <c r="V2397" s="2">
        <v>600</v>
      </c>
      <c r="W2397" t="s">
        <v>4655</v>
      </c>
      <c r="X2397" s="2">
        <v>0</v>
      </c>
      <c r="Y2397">
        <v>20</v>
      </c>
      <c r="Z2397" t="s">
        <v>5200</v>
      </c>
      <c r="AA2397" s="3">
        <v>0.14898990094661699</v>
      </c>
      <c r="AB2397" t="s">
        <v>15000</v>
      </c>
      <c r="AC2397" t="s">
        <v>4562</v>
      </c>
      <c r="AD2397" t="s">
        <v>14999</v>
      </c>
      <c r="AE2397" t="s">
        <v>4655</v>
      </c>
      <c r="AF2397" t="s">
        <v>5201</v>
      </c>
      <c r="AG2397" t="s">
        <v>4564</v>
      </c>
      <c r="AH2397" t="s">
        <v>3898</v>
      </c>
      <c r="AI2397" t="s">
        <v>15001</v>
      </c>
      <c r="AJ2397" t="s">
        <v>5423</v>
      </c>
      <c r="AK2397" t="s">
        <v>15002</v>
      </c>
      <c r="AL2397" s="13" t="s">
        <v>3425</v>
      </c>
      <c r="AM2397">
        <v>1</v>
      </c>
      <c r="AN2397" s="15" t="s">
        <v>5424</v>
      </c>
    </row>
    <row r="2398" spans="1:40" x14ac:dyDescent="0.3">
      <c r="A2398" s="10" t="str">
        <f>HYPERLINK("http://www.washoecounty.gov/assessor/cama/?parid=030-663-01&amp;CardNumber=1","030-663-01")</f>
        <v>030-663-01</v>
      </c>
      <c r="B2398" t="s">
        <v>4655</v>
      </c>
      <c r="C2398" t="s">
        <v>15003</v>
      </c>
      <c r="D2398" s="1">
        <v>40339</v>
      </c>
      <c r="E2398" s="2">
        <v>261000</v>
      </c>
      <c r="F2398" t="s">
        <v>4553</v>
      </c>
      <c r="G2398" s="17" t="str">
        <f>HYPERLINK("https://www.washoecounty.gov/assessor/cama/?command=sales&amp;parid=03066301","3890400")</f>
        <v>3890400</v>
      </c>
      <c r="H2398" t="s">
        <v>15004</v>
      </c>
      <c r="I2398">
        <v>1995</v>
      </c>
      <c r="J2398">
        <v>1995</v>
      </c>
      <c r="K2398" t="s">
        <v>4554</v>
      </c>
      <c r="L2398" t="s">
        <v>3974</v>
      </c>
      <c r="M2398" s="2">
        <v>2815</v>
      </c>
      <c r="N2398" t="s">
        <v>5280</v>
      </c>
      <c r="O2398">
        <v>4</v>
      </c>
      <c r="P2398">
        <v>3</v>
      </c>
      <c r="Q2398">
        <v>0</v>
      </c>
      <c r="R2398" t="s">
        <v>4557</v>
      </c>
      <c r="S2398" t="s">
        <v>4558</v>
      </c>
      <c r="T2398" t="s">
        <v>2704</v>
      </c>
      <c r="U2398" t="s">
        <v>5631</v>
      </c>
      <c r="V2398" s="2">
        <v>580</v>
      </c>
      <c r="W2398" t="s">
        <v>4655</v>
      </c>
      <c r="X2398" s="2">
        <v>0</v>
      </c>
      <c r="Y2398">
        <v>20</v>
      </c>
      <c r="Z2398" t="s">
        <v>5200</v>
      </c>
      <c r="AA2398" s="3">
        <v>0.19800275564193701</v>
      </c>
      <c r="AB2398" t="s">
        <v>15005</v>
      </c>
      <c r="AC2398" t="s">
        <v>4562</v>
      </c>
      <c r="AD2398" t="s">
        <v>15006</v>
      </c>
      <c r="AE2398" t="s">
        <v>4655</v>
      </c>
      <c r="AF2398" t="s">
        <v>4809</v>
      </c>
      <c r="AG2398" t="s">
        <v>4564</v>
      </c>
      <c r="AH2398" t="s">
        <v>3898</v>
      </c>
      <c r="AI2398" t="s">
        <v>4565</v>
      </c>
      <c r="AJ2398" t="s">
        <v>3458</v>
      </c>
      <c r="AK2398" t="s">
        <v>15007</v>
      </c>
      <c r="AL2398" s="13" t="s">
        <v>3425</v>
      </c>
      <c r="AM2398">
        <v>1</v>
      </c>
      <c r="AN2398" s="15" t="s">
        <v>5424</v>
      </c>
    </row>
    <row r="2399" spans="1:40" x14ac:dyDescent="0.3">
      <c r="A2399" s="10" t="str">
        <f>HYPERLINK("http://www.washoecounty.gov/assessor/cama/?parid=030-671-10&amp;CardNumber=1","030-671-10")</f>
        <v>030-671-10</v>
      </c>
      <c r="B2399" t="s">
        <v>4655</v>
      </c>
      <c r="C2399" t="s">
        <v>15008</v>
      </c>
      <c r="D2399" s="1">
        <v>40451</v>
      </c>
      <c r="E2399" s="2">
        <v>180000</v>
      </c>
      <c r="F2399" t="s">
        <v>4567</v>
      </c>
      <c r="G2399" s="17" t="str">
        <f>HYPERLINK("https://www.washoecounty.gov/assessor/cama/?command=sales&amp;parid=03067110","3928337")</f>
        <v>3928337</v>
      </c>
      <c r="H2399" t="s">
        <v>15004</v>
      </c>
      <c r="I2399">
        <v>1995</v>
      </c>
      <c r="J2399">
        <v>1995</v>
      </c>
      <c r="K2399" t="s">
        <v>4554</v>
      </c>
      <c r="L2399" t="s">
        <v>3974</v>
      </c>
      <c r="M2399" s="2">
        <v>2218</v>
      </c>
      <c r="N2399" t="s">
        <v>5280</v>
      </c>
      <c r="O2399">
        <v>4</v>
      </c>
      <c r="P2399">
        <v>3</v>
      </c>
      <c r="Q2399">
        <v>0</v>
      </c>
      <c r="R2399" t="s">
        <v>5281</v>
      </c>
      <c r="S2399" t="s">
        <v>4558</v>
      </c>
      <c r="T2399" t="s">
        <v>2704</v>
      </c>
      <c r="U2399" t="s">
        <v>5631</v>
      </c>
      <c r="V2399" s="2">
        <v>616</v>
      </c>
      <c r="W2399" t="s">
        <v>4655</v>
      </c>
      <c r="X2399" s="2">
        <v>0</v>
      </c>
      <c r="Y2399">
        <v>20</v>
      </c>
      <c r="Z2399" t="s">
        <v>5200</v>
      </c>
      <c r="AA2399" s="3">
        <v>0.13999082148075101</v>
      </c>
      <c r="AB2399" t="s">
        <v>1138</v>
      </c>
      <c r="AC2399" t="s">
        <v>4575</v>
      </c>
      <c r="AD2399" t="s">
        <v>15009</v>
      </c>
      <c r="AE2399" t="s">
        <v>15010</v>
      </c>
      <c r="AF2399" t="s">
        <v>5201</v>
      </c>
      <c r="AG2399" t="s">
        <v>4564</v>
      </c>
      <c r="AH2399" t="s">
        <v>3898</v>
      </c>
      <c r="AI2399" t="s">
        <v>15011</v>
      </c>
      <c r="AJ2399" t="s">
        <v>3458</v>
      </c>
      <c r="AK2399" t="s">
        <v>15012</v>
      </c>
      <c r="AL2399" s="13" t="s">
        <v>3425</v>
      </c>
      <c r="AM2399">
        <v>1</v>
      </c>
      <c r="AN2399" s="15" t="s">
        <v>5424</v>
      </c>
    </row>
    <row r="2400" spans="1:40" x14ac:dyDescent="0.3">
      <c r="A2400" s="10" t="str">
        <f>HYPERLINK("http://www.washoecounty.gov/assessor/cama/?parid=030-671-15&amp;CardNumber=1","030-671-15")</f>
        <v>030-671-15</v>
      </c>
      <c r="B2400" t="s">
        <v>4655</v>
      </c>
      <c r="C2400" t="s">
        <v>15013</v>
      </c>
      <c r="D2400" s="1">
        <v>40515</v>
      </c>
      <c r="E2400" s="2">
        <v>209000</v>
      </c>
      <c r="F2400" t="s">
        <v>4553</v>
      </c>
      <c r="G2400" s="17" t="str">
        <f>HYPERLINK("https://www.washoecounty.gov/assessor/cama/?command=sales&amp;parid=03067115","3949173")</f>
        <v>3949173</v>
      </c>
      <c r="H2400" t="s">
        <v>5567</v>
      </c>
      <c r="I2400">
        <v>1995</v>
      </c>
      <c r="J2400">
        <v>1995</v>
      </c>
      <c r="K2400" t="s">
        <v>4554</v>
      </c>
      <c r="L2400" t="s">
        <v>3974</v>
      </c>
      <c r="M2400" s="2">
        <v>2218</v>
      </c>
      <c r="N2400" t="s">
        <v>5280</v>
      </c>
      <c r="O2400">
        <v>4</v>
      </c>
      <c r="P2400">
        <v>3</v>
      </c>
      <c r="Q2400">
        <v>0</v>
      </c>
      <c r="R2400" t="s">
        <v>5281</v>
      </c>
      <c r="S2400" t="s">
        <v>4558</v>
      </c>
      <c r="T2400" t="s">
        <v>2704</v>
      </c>
      <c r="U2400" t="s">
        <v>5631</v>
      </c>
      <c r="V2400" s="2">
        <v>616</v>
      </c>
      <c r="W2400" t="s">
        <v>4655</v>
      </c>
      <c r="X2400" s="2">
        <v>0</v>
      </c>
      <c r="Y2400">
        <v>20</v>
      </c>
      <c r="Z2400" t="s">
        <v>5200</v>
      </c>
      <c r="AA2400" s="3">
        <v>0.17699724435806299</v>
      </c>
      <c r="AB2400" t="s">
        <v>15014</v>
      </c>
      <c r="AC2400" t="s">
        <v>4562</v>
      </c>
      <c r="AD2400" t="s">
        <v>15015</v>
      </c>
      <c r="AE2400" t="s">
        <v>4655</v>
      </c>
      <c r="AF2400" t="s">
        <v>4809</v>
      </c>
      <c r="AG2400" t="s">
        <v>4564</v>
      </c>
      <c r="AH2400" t="s">
        <v>3898</v>
      </c>
      <c r="AI2400" t="s">
        <v>4592</v>
      </c>
      <c r="AJ2400" t="s">
        <v>3458</v>
      </c>
      <c r="AK2400" t="s">
        <v>15016</v>
      </c>
      <c r="AL2400" s="13" t="s">
        <v>3425</v>
      </c>
      <c r="AM2400" s="14">
        <v>1</v>
      </c>
      <c r="AN2400" s="15" t="s">
        <v>5424</v>
      </c>
    </row>
    <row r="2401" spans="1:40" x14ac:dyDescent="0.3">
      <c r="A2401" s="10" t="str">
        <f>HYPERLINK("http://www.washoecounty.gov/assessor/cama/?parid=030-682-12&amp;CardNumber=1","030-682-12")</f>
        <v>030-682-12</v>
      </c>
      <c r="B2401" t="s">
        <v>4655</v>
      </c>
      <c r="C2401" t="s">
        <v>15017</v>
      </c>
      <c r="D2401" s="1">
        <v>40263</v>
      </c>
      <c r="E2401" s="2">
        <v>180000</v>
      </c>
      <c r="F2401" t="s">
        <v>4567</v>
      </c>
      <c r="G2401" s="17" t="str">
        <f>HYPERLINK("https://www.washoecounty.gov/assessor/cama/?command=sales&amp;parid=03068212","3864353")</f>
        <v>3864353</v>
      </c>
      <c r="H2401" t="s">
        <v>15018</v>
      </c>
      <c r="I2401">
        <v>1994</v>
      </c>
      <c r="J2401">
        <v>1994</v>
      </c>
      <c r="K2401" t="s">
        <v>4554</v>
      </c>
      <c r="L2401" t="s">
        <v>4555</v>
      </c>
      <c r="M2401" s="2">
        <v>1642</v>
      </c>
      <c r="N2401" t="s">
        <v>4048</v>
      </c>
      <c r="O2401">
        <v>3</v>
      </c>
      <c r="P2401">
        <v>2</v>
      </c>
      <c r="Q2401">
        <v>0</v>
      </c>
      <c r="R2401" t="s">
        <v>4557</v>
      </c>
      <c r="S2401" t="s">
        <v>4558</v>
      </c>
      <c r="T2401" t="s">
        <v>4559</v>
      </c>
      <c r="U2401" t="s">
        <v>4560</v>
      </c>
      <c r="V2401" s="2">
        <v>472</v>
      </c>
      <c r="W2401" t="s">
        <v>4655</v>
      </c>
      <c r="X2401" s="2">
        <v>0</v>
      </c>
      <c r="Y2401">
        <v>20</v>
      </c>
      <c r="Z2401" t="s">
        <v>5200</v>
      </c>
      <c r="AA2401" s="3">
        <v>0.24299816787242889</v>
      </c>
      <c r="AB2401" t="s">
        <v>15019</v>
      </c>
      <c r="AC2401" t="s">
        <v>4562</v>
      </c>
      <c r="AD2401" t="s">
        <v>15017</v>
      </c>
      <c r="AE2401" t="s">
        <v>4655</v>
      </c>
      <c r="AF2401" t="s">
        <v>5201</v>
      </c>
      <c r="AG2401" t="s">
        <v>4564</v>
      </c>
      <c r="AH2401" t="s">
        <v>3898</v>
      </c>
      <c r="AI2401" t="s">
        <v>15020</v>
      </c>
      <c r="AJ2401" t="s">
        <v>15021</v>
      </c>
      <c r="AK2401" t="s">
        <v>15022</v>
      </c>
      <c r="AL2401" s="13" t="s">
        <v>3425</v>
      </c>
      <c r="AM2401">
        <v>1</v>
      </c>
      <c r="AN2401" s="15" t="s">
        <v>5531</v>
      </c>
    </row>
    <row r="2402" spans="1:40" x14ac:dyDescent="0.3">
      <c r="A2402" s="10" t="str">
        <f>HYPERLINK("http://www.washoecounty.gov/assessor/cama/?parid=030-691-08&amp;CardNumber=1","030-691-08")</f>
        <v>030-691-08</v>
      </c>
      <c r="B2402" t="s">
        <v>4655</v>
      </c>
      <c r="C2402" t="s">
        <v>15023</v>
      </c>
      <c r="D2402" s="1">
        <v>40247</v>
      </c>
      <c r="E2402" s="2">
        <v>190000</v>
      </c>
      <c r="F2402" t="s">
        <v>4567</v>
      </c>
      <c r="G2402" s="17" t="str">
        <f>HYPERLINK("https://www.washoecounty.gov/assessor/cama/?command=sales&amp;parid=03069108","3858421")</f>
        <v>3858421</v>
      </c>
      <c r="H2402" t="s">
        <v>4980</v>
      </c>
      <c r="I2402">
        <v>1999</v>
      </c>
      <c r="J2402">
        <v>1999</v>
      </c>
      <c r="K2402" t="s">
        <v>4554</v>
      </c>
      <c r="L2402" t="s">
        <v>3974</v>
      </c>
      <c r="M2402" s="2">
        <v>1999</v>
      </c>
      <c r="N2402" t="s">
        <v>4048</v>
      </c>
      <c r="O2402">
        <v>4</v>
      </c>
      <c r="P2402">
        <v>2</v>
      </c>
      <c r="Q2402">
        <v>1</v>
      </c>
      <c r="R2402" t="s">
        <v>5281</v>
      </c>
      <c r="S2402" t="s">
        <v>4558</v>
      </c>
      <c r="T2402" t="s">
        <v>4559</v>
      </c>
      <c r="U2402" t="s">
        <v>5631</v>
      </c>
      <c r="V2402" s="2">
        <v>543</v>
      </c>
      <c r="W2402" t="s">
        <v>4655</v>
      </c>
      <c r="X2402" s="2">
        <v>0</v>
      </c>
      <c r="Y2402">
        <v>20</v>
      </c>
      <c r="Z2402" t="s">
        <v>5200</v>
      </c>
      <c r="AA2402" s="3">
        <v>0.14499540627002699</v>
      </c>
      <c r="AB2402" t="s">
        <v>15024</v>
      </c>
      <c r="AC2402" t="s">
        <v>4575</v>
      </c>
      <c r="AD2402" t="s">
        <v>15025</v>
      </c>
      <c r="AE2402" t="s">
        <v>15026</v>
      </c>
      <c r="AF2402" t="s">
        <v>5201</v>
      </c>
      <c r="AG2402" t="s">
        <v>4564</v>
      </c>
      <c r="AH2402" t="s">
        <v>3898</v>
      </c>
      <c r="AI2402" t="s">
        <v>15027</v>
      </c>
      <c r="AJ2402" t="s">
        <v>4981</v>
      </c>
      <c r="AK2402" t="s">
        <v>15028</v>
      </c>
      <c r="AL2402" s="13" t="s">
        <v>3425</v>
      </c>
      <c r="AM2402">
        <v>1</v>
      </c>
      <c r="AN2402" s="15" t="s">
        <v>5531</v>
      </c>
    </row>
    <row r="2403" spans="1:40" x14ac:dyDescent="0.3">
      <c r="A2403" s="10" t="str">
        <f>HYPERLINK("http://www.washoecounty.gov/assessor/cama/?parid=030-692-20&amp;CardNumber=1","030-692-20")</f>
        <v>030-692-20</v>
      </c>
      <c r="B2403" t="s">
        <v>4655</v>
      </c>
      <c r="C2403" t="s">
        <v>15029</v>
      </c>
      <c r="D2403" s="1">
        <v>40359</v>
      </c>
      <c r="E2403" s="2">
        <v>190000</v>
      </c>
      <c r="F2403" t="s">
        <v>4567</v>
      </c>
      <c r="G2403" s="17" t="str">
        <f>HYPERLINK("https://www.washoecounty.gov/assessor/cama/?command=sales&amp;parid=03069220","3897346")</f>
        <v>3897346</v>
      </c>
      <c r="H2403" t="s">
        <v>4980</v>
      </c>
      <c r="I2403">
        <v>1999</v>
      </c>
      <c r="J2403">
        <v>1999</v>
      </c>
      <c r="K2403" t="s">
        <v>4554</v>
      </c>
      <c r="L2403" t="s">
        <v>3974</v>
      </c>
      <c r="M2403" s="2">
        <v>1999</v>
      </c>
      <c r="N2403" t="s">
        <v>4048</v>
      </c>
      <c r="O2403">
        <v>3</v>
      </c>
      <c r="P2403">
        <v>2</v>
      </c>
      <c r="Q2403">
        <v>1</v>
      </c>
      <c r="R2403" t="s">
        <v>5281</v>
      </c>
      <c r="S2403" t="s">
        <v>4558</v>
      </c>
      <c r="T2403" t="s">
        <v>4559</v>
      </c>
      <c r="U2403" t="s">
        <v>5631</v>
      </c>
      <c r="V2403" s="2">
        <v>627</v>
      </c>
      <c r="W2403" t="s">
        <v>4655</v>
      </c>
      <c r="X2403" s="2">
        <v>0</v>
      </c>
      <c r="Y2403">
        <v>20</v>
      </c>
      <c r="Z2403" t="s">
        <v>5200</v>
      </c>
      <c r="AA2403" s="3">
        <v>0.146992653608322</v>
      </c>
      <c r="AB2403" t="s">
        <v>15030</v>
      </c>
      <c r="AC2403" t="s">
        <v>4562</v>
      </c>
      <c r="AD2403" t="s">
        <v>15029</v>
      </c>
      <c r="AE2403" t="s">
        <v>4655</v>
      </c>
      <c r="AF2403" t="s">
        <v>5201</v>
      </c>
      <c r="AG2403" t="s">
        <v>4564</v>
      </c>
      <c r="AH2403" t="s">
        <v>3898</v>
      </c>
      <c r="AI2403" t="s">
        <v>15031</v>
      </c>
      <c r="AJ2403" t="s">
        <v>4981</v>
      </c>
      <c r="AK2403" t="s">
        <v>15032</v>
      </c>
      <c r="AL2403" s="13" t="s">
        <v>3425</v>
      </c>
      <c r="AM2403">
        <v>1</v>
      </c>
      <c r="AN2403" s="15" t="s">
        <v>5531</v>
      </c>
    </row>
    <row r="2404" spans="1:40" x14ac:dyDescent="0.3">
      <c r="A2404" s="10" t="str">
        <f>HYPERLINK("http://www.washoecounty.gov/assessor/cama/?parid=030-692-40&amp;CardNumber=1","030-692-40")</f>
        <v>030-692-40</v>
      </c>
      <c r="B2404" t="s">
        <v>4655</v>
      </c>
      <c r="C2404" t="s">
        <v>15033</v>
      </c>
      <c r="D2404" s="1">
        <v>40282</v>
      </c>
      <c r="E2404" s="2">
        <v>177500</v>
      </c>
      <c r="F2404" t="s">
        <v>4553</v>
      </c>
      <c r="G2404" s="17" t="str">
        <f>HYPERLINK("https://www.washoecounty.gov/assessor/cama/?command=sales&amp;parid=03069240","3870727")</f>
        <v>3870727</v>
      </c>
      <c r="H2404" t="s">
        <v>4980</v>
      </c>
      <c r="I2404">
        <v>1999</v>
      </c>
      <c r="J2404">
        <v>1999</v>
      </c>
      <c r="K2404" t="s">
        <v>4554</v>
      </c>
      <c r="L2404" t="s">
        <v>4555</v>
      </c>
      <c r="M2404" s="2">
        <v>1513</v>
      </c>
      <c r="N2404" t="s">
        <v>4048</v>
      </c>
      <c r="O2404">
        <v>3</v>
      </c>
      <c r="P2404">
        <v>2</v>
      </c>
      <c r="Q2404">
        <v>0</v>
      </c>
      <c r="R2404" t="s">
        <v>5281</v>
      </c>
      <c r="S2404" t="s">
        <v>4558</v>
      </c>
      <c r="T2404" t="s">
        <v>4559</v>
      </c>
      <c r="U2404" t="s">
        <v>4560</v>
      </c>
      <c r="V2404" s="2">
        <v>440</v>
      </c>
      <c r="W2404" t="s">
        <v>4655</v>
      </c>
      <c r="X2404" s="2">
        <v>0</v>
      </c>
      <c r="Y2404">
        <v>20</v>
      </c>
      <c r="Z2404" t="s">
        <v>5200</v>
      </c>
      <c r="AA2404" s="3">
        <v>0.13799357414245605</v>
      </c>
      <c r="AB2404" t="s">
        <v>15034</v>
      </c>
      <c r="AC2404" t="s">
        <v>4562</v>
      </c>
      <c r="AD2404" t="s">
        <v>15033</v>
      </c>
      <c r="AE2404" t="s">
        <v>4655</v>
      </c>
      <c r="AF2404" t="s">
        <v>5201</v>
      </c>
      <c r="AG2404" t="s">
        <v>4564</v>
      </c>
      <c r="AH2404" t="s">
        <v>3898</v>
      </c>
      <c r="AI2404" t="s">
        <v>15035</v>
      </c>
      <c r="AJ2404" t="s">
        <v>4981</v>
      </c>
      <c r="AK2404" t="s">
        <v>15036</v>
      </c>
      <c r="AL2404" s="13" t="s">
        <v>3425</v>
      </c>
      <c r="AM2404">
        <v>1</v>
      </c>
      <c r="AN2404" s="15" t="s">
        <v>5531</v>
      </c>
    </row>
    <row r="2405" spans="1:40" x14ac:dyDescent="0.3">
      <c r="A2405" s="10" t="str">
        <f>HYPERLINK("http://www.washoecounty.gov/assessor/cama/?parid=030-702-05&amp;CardNumber=1","030-702-05")</f>
        <v>030-702-05</v>
      </c>
      <c r="B2405" t="s">
        <v>4655</v>
      </c>
      <c r="C2405" t="s">
        <v>15037</v>
      </c>
      <c r="D2405" s="1">
        <v>40325</v>
      </c>
      <c r="E2405" s="2">
        <v>172000</v>
      </c>
      <c r="F2405" t="s">
        <v>4567</v>
      </c>
      <c r="G2405" s="17" t="str">
        <f>HYPERLINK("https://www.washoecounty.gov/assessor/cama/?command=sales&amp;parid=03070205","3885753")</f>
        <v>3885753</v>
      </c>
      <c r="H2405" t="s">
        <v>5425</v>
      </c>
      <c r="I2405">
        <v>2003</v>
      </c>
      <c r="J2405">
        <v>2003</v>
      </c>
      <c r="K2405" t="s">
        <v>4554</v>
      </c>
      <c r="L2405" t="s">
        <v>4555</v>
      </c>
      <c r="M2405" s="2">
        <v>1668</v>
      </c>
      <c r="N2405" t="s">
        <v>4048</v>
      </c>
      <c r="O2405">
        <v>3</v>
      </c>
      <c r="P2405">
        <v>2</v>
      </c>
      <c r="Q2405">
        <v>0</v>
      </c>
      <c r="R2405" t="s">
        <v>5281</v>
      </c>
      <c r="S2405" t="s">
        <v>4558</v>
      </c>
      <c r="T2405" t="s">
        <v>4559</v>
      </c>
      <c r="U2405" t="s">
        <v>4560</v>
      </c>
      <c r="V2405" s="2">
        <v>441</v>
      </c>
      <c r="W2405" t="s">
        <v>4655</v>
      </c>
      <c r="X2405" s="2">
        <v>0</v>
      </c>
      <c r="Y2405">
        <v>20</v>
      </c>
      <c r="Z2405" t="s">
        <v>5200</v>
      </c>
      <c r="AA2405" s="3">
        <v>0.14924243092536901</v>
      </c>
      <c r="AB2405" t="s">
        <v>15038</v>
      </c>
      <c r="AC2405" t="s">
        <v>4575</v>
      </c>
      <c r="AD2405" t="s">
        <v>15037</v>
      </c>
      <c r="AE2405" t="s">
        <v>4655</v>
      </c>
      <c r="AF2405" t="s">
        <v>5201</v>
      </c>
      <c r="AG2405" t="s">
        <v>4564</v>
      </c>
      <c r="AH2405" t="s">
        <v>3898</v>
      </c>
      <c r="AI2405" t="s">
        <v>15039</v>
      </c>
      <c r="AJ2405" t="s">
        <v>5426</v>
      </c>
      <c r="AK2405" t="s">
        <v>15040</v>
      </c>
      <c r="AL2405" s="13" t="s">
        <v>3425</v>
      </c>
      <c r="AM2405" s="14">
        <v>1</v>
      </c>
      <c r="AN2405" s="15" t="s">
        <v>5531</v>
      </c>
    </row>
    <row r="2406" spans="1:40" x14ac:dyDescent="0.3">
      <c r="A2406" s="10" t="str">
        <f>HYPERLINK("http://www.washoecounty.gov/assessor/cama/?parid=030-702-21&amp;CardNumber=1","030-702-21")</f>
        <v>030-702-21</v>
      </c>
      <c r="B2406" t="s">
        <v>4655</v>
      </c>
      <c r="C2406" t="s">
        <v>15041</v>
      </c>
      <c r="D2406" s="1">
        <v>40205</v>
      </c>
      <c r="E2406" s="2">
        <v>150000</v>
      </c>
      <c r="F2406" t="s">
        <v>4567</v>
      </c>
      <c r="G2406" s="17" t="str">
        <f>HYPERLINK("https://www.washoecounty.gov/assessor/cama/?command=sales&amp;parid=03070221","3843169")</f>
        <v>3843169</v>
      </c>
      <c r="H2406" t="s">
        <v>5425</v>
      </c>
      <c r="I2406">
        <v>2001</v>
      </c>
      <c r="J2406">
        <v>2001</v>
      </c>
      <c r="K2406" t="s">
        <v>4554</v>
      </c>
      <c r="L2406" t="s">
        <v>4555</v>
      </c>
      <c r="M2406" s="2">
        <v>1536</v>
      </c>
      <c r="N2406" t="s">
        <v>4048</v>
      </c>
      <c r="O2406">
        <v>3</v>
      </c>
      <c r="P2406">
        <v>2</v>
      </c>
      <c r="Q2406">
        <v>0</v>
      </c>
      <c r="R2406" t="s">
        <v>4557</v>
      </c>
      <c r="S2406" t="s">
        <v>4558</v>
      </c>
      <c r="T2406" t="s">
        <v>4559</v>
      </c>
      <c r="U2406" t="s">
        <v>4560</v>
      </c>
      <c r="V2406" s="2">
        <v>650</v>
      </c>
      <c r="W2406" t="s">
        <v>4655</v>
      </c>
      <c r="X2406" s="2">
        <v>0</v>
      </c>
      <c r="Y2406">
        <v>20</v>
      </c>
      <c r="Z2406" t="s">
        <v>5200</v>
      </c>
      <c r="AA2406" s="3">
        <v>0.193686872720718</v>
      </c>
      <c r="AB2406" t="s">
        <v>15042</v>
      </c>
      <c r="AC2406" t="s">
        <v>4562</v>
      </c>
      <c r="AD2406" t="s">
        <v>15041</v>
      </c>
      <c r="AE2406" t="s">
        <v>4655</v>
      </c>
      <c r="AF2406" t="s">
        <v>5201</v>
      </c>
      <c r="AG2406" t="s">
        <v>4564</v>
      </c>
      <c r="AH2406" t="s">
        <v>3898</v>
      </c>
      <c r="AI2406" t="s">
        <v>15043</v>
      </c>
      <c r="AJ2406" t="s">
        <v>5426</v>
      </c>
      <c r="AK2406" t="s">
        <v>15044</v>
      </c>
      <c r="AL2406" s="13" t="s">
        <v>3425</v>
      </c>
      <c r="AM2406">
        <v>1</v>
      </c>
      <c r="AN2406" s="15" t="s">
        <v>5531</v>
      </c>
    </row>
    <row r="2407" spans="1:40" x14ac:dyDescent="0.3">
      <c r="A2407" s="10" t="str">
        <f>HYPERLINK("http://www.washoecounty.gov/assessor/cama/?parid=031-020-18&amp;CardNumber=1","031-020-18")</f>
        <v>031-020-18</v>
      </c>
      <c r="B2407" t="s">
        <v>5502</v>
      </c>
      <c r="C2407" t="s">
        <v>15045</v>
      </c>
      <c r="D2407" s="1">
        <v>40459</v>
      </c>
      <c r="E2407" s="2">
        <v>925000</v>
      </c>
      <c r="F2407" t="s">
        <v>4553</v>
      </c>
      <c r="G2407" s="17" t="str">
        <f>HYPERLINK("https://www.washoecounty.gov/assessor/cama/?command=sales&amp;parid=03102018","3931292")</f>
        <v>3931292</v>
      </c>
      <c r="H2407" t="s">
        <v>15046</v>
      </c>
      <c r="I2407">
        <v>1979</v>
      </c>
      <c r="J2407">
        <v>1979</v>
      </c>
      <c r="K2407" t="s">
        <v>3043</v>
      </c>
      <c r="L2407" t="s">
        <v>3974</v>
      </c>
      <c r="M2407" s="2">
        <v>16360</v>
      </c>
      <c r="N2407" t="s">
        <v>4556</v>
      </c>
      <c r="O2407">
        <v>120</v>
      </c>
      <c r="P2407">
        <v>20</v>
      </c>
      <c r="Q2407">
        <v>0</v>
      </c>
      <c r="R2407" t="s">
        <v>5281</v>
      </c>
      <c r="S2407" t="s">
        <v>3148</v>
      </c>
      <c r="T2407" t="s">
        <v>4899</v>
      </c>
      <c r="U2407" t="s">
        <v>4655</v>
      </c>
      <c r="V2407" s="2">
        <v>0</v>
      </c>
      <c r="W2407" t="s">
        <v>4655</v>
      </c>
      <c r="X2407" s="2">
        <v>0</v>
      </c>
      <c r="Y2407">
        <v>34</v>
      </c>
      <c r="Z2407" t="s">
        <v>2081</v>
      </c>
      <c r="AA2407" s="3">
        <v>1.5160008668899501</v>
      </c>
      <c r="AB2407" t="s">
        <v>15047</v>
      </c>
      <c r="AC2407" t="s">
        <v>4562</v>
      </c>
      <c r="AD2407" t="s">
        <v>15048</v>
      </c>
      <c r="AE2407" t="s">
        <v>4655</v>
      </c>
      <c r="AF2407" t="s">
        <v>4563</v>
      </c>
      <c r="AG2407" t="s">
        <v>4564</v>
      </c>
      <c r="AH2407">
        <v>89502</v>
      </c>
      <c r="AI2407" t="s">
        <v>15049</v>
      </c>
      <c r="AJ2407" t="s">
        <v>4655</v>
      </c>
      <c r="AK2407" t="s">
        <v>15050</v>
      </c>
      <c r="AL2407" s="13" t="s">
        <v>3367</v>
      </c>
      <c r="AM2407">
        <v>40</v>
      </c>
      <c r="AN2407" s="15" t="s">
        <v>1075</v>
      </c>
    </row>
    <row r="2408" spans="1:40" x14ac:dyDescent="0.3">
      <c r="A2408" s="10" t="str">
        <f>HYPERLINK("http://www.washoecounty.gov/assessor/cama/?parid=031-060-02&amp;CardNumber=1","031-060-02")</f>
        <v>031-060-02</v>
      </c>
      <c r="B2408" t="s">
        <v>4655</v>
      </c>
      <c r="C2408" t="s">
        <v>15051</v>
      </c>
      <c r="D2408" s="1">
        <v>40541</v>
      </c>
      <c r="E2408" s="2">
        <v>35000</v>
      </c>
      <c r="F2408" t="s">
        <v>4567</v>
      </c>
      <c r="G2408" s="17" t="str">
        <f>HYPERLINK("https://www.washoecounty.gov/assessor/cama/?command=sales&amp;parid=03106002","3958765")</f>
        <v>3958765</v>
      </c>
      <c r="H2408" t="s">
        <v>3261</v>
      </c>
      <c r="I2408">
        <v>1979</v>
      </c>
      <c r="J2408">
        <v>1979</v>
      </c>
      <c r="K2408" t="s">
        <v>3144</v>
      </c>
      <c r="L2408" t="s">
        <v>3974</v>
      </c>
      <c r="M2408" s="2">
        <v>1111</v>
      </c>
      <c r="N2408" t="s">
        <v>4556</v>
      </c>
      <c r="O2408">
        <v>2</v>
      </c>
      <c r="P2408">
        <v>1</v>
      </c>
      <c r="Q2408">
        <v>1</v>
      </c>
      <c r="R2408" t="s">
        <v>4557</v>
      </c>
      <c r="S2408" t="s">
        <v>4558</v>
      </c>
      <c r="T2408" t="s">
        <v>4559</v>
      </c>
      <c r="U2408" t="s">
        <v>4560</v>
      </c>
      <c r="V2408" s="2">
        <v>242</v>
      </c>
      <c r="W2408" t="s">
        <v>4655</v>
      </c>
      <c r="X2408" s="2">
        <v>0</v>
      </c>
      <c r="Y2408">
        <v>21</v>
      </c>
      <c r="Z2408" t="s">
        <v>2081</v>
      </c>
      <c r="AA2408" s="3">
        <v>1.00000004749745E-3</v>
      </c>
      <c r="AB2408" t="s">
        <v>5292</v>
      </c>
      <c r="AC2408" t="s">
        <v>4575</v>
      </c>
      <c r="AD2408" t="s">
        <v>5293</v>
      </c>
      <c r="AE2408" t="s">
        <v>4655</v>
      </c>
      <c r="AF2408" t="s">
        <v>5201</v>
      </c>
      <c r="AG2408" t="s">
        <v>4564</v>
      </c>
      <c r="AH2408" t="s">
        <v>1605</v>
      </c>
      <c r="AI2408" t="s">
        <v>5294</v>
      </c>
      <c r="AJ2408" t="s">
        <v>4655</v>
      </c>
      <c r="AK2408" t="s">
        <v>15052</v>
      </c>
      <c r="AL2408" s="13" t="s">
        <v>3425</v>
      </c>
      <c r="AM2408">
        <v>1</v>
      </c>
      <c r="AN2408" s="15" t="s">
        <v>5210</v>
      </c>
    </row>
    <row r="2409" spans="1:40" x14ac:dyDescent="0.3">
      <c r="A2409" s="10" t="str">
        <f>HYPERLINK("http://www.washoecounty.gov/assessor/cama/?parid=031-060-04&amp;CardNumber=1","031-060-04")</f>
        <v>031-060-04</v>
      </c>
      <c r="B2409" t="s">
        <v>4655</v>
      </c>
      <c r="C2409" t="s">
        <v>15053</v>
      </c>
      <c r="D2409" s="1">
        <v>40505</v>
      </c>
      <c r="E2409" s="2">
        <v>37000</v>
      </c>
      <c r="F2409" t="s">
        <v>4553</v>
      </c>
      <c r="G2409" s="17" t="str">
        <f>HYPERLINK("https://www.washoecounty.gov/assessor/cama/?command=sales&amp;parid=03106004","3946221")</f>
        <v>3946221</v>
      </c>
      <c r="H2409" t="s">
        <v>3261</v>
      </c>
      <c r="I2409">
        <v>1979</v>
      </c>
      <c r="J2409">
        <v>1979</v>
      </c>
      <c r="K2409" t="s">
        <v>3144</v>
      </c>
      <c r="L2409" t="s">
        <v>3974</v>
      </c>
      <c r="M2409" s="2">
        <v>1111</v>
      </c>
      <c r="N2409" t="s">
        <v>4556</v>
      </c>
      <c r="O2409">
        <v>2</v>
      </c>
      <c r="P2409">
        <v>1</v>
      </c>
      <c r="Q2409">
        <v>1</v>
      </c>
      <c r="R2409" t="s">
        <v>4557</v>
      </c>
      <c r="S2409" t="s">
        <v>4558</v>
      </c>
      <c r="T2409" t="s">
        <v>4559</v>
      </c>
      <c r="U2409" t="s">
        <v>4560</v>
      </c>
      <c r="V2409" s="2">
        <v>242</v>
      </c>
      <c r="W2409" t="s">
        <v>4655</v>
      </c>
      <c r="X2409" s="2">
        <v>0</v>
      </c>
      <c r="Y2409">
        <v>21</v>
      </c>
      <c r="Z2409" t="s">
        <v>2081</v>
      </c>
      <c r="AA2409" s="3">
        <v>1.00000004749745E-3</v>
      </c>
      <c r="AB2409" t="s">
        <v>15054</v>
      </c>
      <c r="AC2409" t="s">
        <v>4562</v>
      </c>
      <c r="AD2409" t="s">
        <v>15055</v>
      </c>
      <c r="AE2409" t="s">
        <v>4655</v>
      </c>
      <c r="AF2409" t="s">
        <v>4809</v>
      </c>
      <c r="AG2409" t="s">
        <v>4564</v>
      </c>
      <c r="AH2409" t="s">
        <v>5202</v>
      </c>
      <c r="AI2409" t="s">
        <v>4565</v>
      </c>
      <c r="AJ2409" t="s">
        <v>4655</v>
      </c>
      <c r="AK2409" t="s">
        <v>15056</v>
      </c>
      <c r="AL2409" s="13" t="s">
        <v>3425</v>
      </c>
      <c r="AM2409" s="14">
        <v>1</v>
      </c>
      <c r="AN2409" s="15" t="s">
        <v>5210</v>
      </c>
    </row>
    <row r="2410" spans="1:40" x14ac:dyDescent="0.3">
      <c r="A2410" s="10" t="str">
        <f>HYPERLINK("http://www.washoecounty.gov/assessor/cama/?parid=031-060-07&amp;CardNumber=1","031-060-07")</f>
        <v>031-060-07</v>
      </c>
      <c r="B2410" t="s">
        <v>4655</v>
      </c>
      <c r="C2410" t="s">
        <v>15057</v>
      </c>
      <c r="D2410" s="1">
        <v>40198</v>
      </c>
      <c r="E2410" s="2">
        <v>42000</v>
      </c>
      <c r="F2410" t="s">
        <v>4553</v>
      </c>
      <c r="G2410" s="17" t="str">
        <f>HYPERLINK("https://www.washoecounty.gov/assessor/cama/?command=sales&amp;parid=03106007","3841101")</f>
        <v>3841101</v>
      </c>
      <c r="H2410" t="s">
        <v>5427</v>
      </c>
      <c r="I2410">
        <v>1979</v>
      </c>
      <c r="J2410">
        <v>1979</v>
      </c>
      <c r="K2410" t="s">
        <v>4897</v>
      </c>
      <c r="L2410" t="s">
        <v>3974</v>
      </c>
      <c r="M2410" s="2">
        <v>1370</v>
      </c>
      <c r="N2410" t="s">
        <v>4556</v>
      </c>
      <c r="O2410">
        <v>3</v>
      </c>
      <c r="P2410">
        <v>1</v>
      </c>
      <c r="Q2410">
        <v>1</v>
      </c>
      <c r="R2410" t="s">
        <v>4557</v>
      </c>
      <c r="S2410" t="s">
        <v>4558</v>
      </c>
      <c r="T2410" t="s">
        <v>4559</v>
      </c>
      <c r="U2410" t="s">
        <v>4560</v>
      </c>
      <c r="V2410" s="2">
        <v>459</v>
      </c>
      <c r="W2410" t="s">
        <v>4655</v>
      </c>
      <c r="X2410" s="2">
        <v>0</v>
      </c>
      <c r="Y2410">
        <v>21</v>
      </c>
      <c r="Z2410" t="s">
        <v>2081</v>
      </c>
      <c r="AA2410" s="3">
        <v>1.00000004749745E-3</v>
      </c>
      <c r="AB2410" t="s">
        <v>15058</v>
      </c>
      <c r="AC2410" t="s">
        <v>4562</v>
      </c>
      <c r="AD2410" t="s">
        <v>15057</v>
      </c>
      <c r="AE2410" t="s">
        <v>4655</v>
      </c>
      <c r="AF2410" t="s">
        <v>5201</v>
      </c>
      <c r="AG2410" t="s">
        <v>4564</v>
      </c>
      <c r="AH2410" t="s">
        <v>5202</v>
      </c>
      <c r="AI2410" t="s">
        <v>5209</v>
      </c>
      <c r="AJ2410" t="s">
        <v>4655</v>
      </c>
      <c r="AK2410" t="s">
        <v>15059</v>
      </c>
      <c r="AL2410" s="13" t="s">
        <v>3425</v>
      </c>
      <c r="AM2410" s="14">
        <v>1</v>
      </c>
      <c r="AN2410" s="15" t="s">
        <v>5210</v>
      </c>
    </row>
    <row r="2411" spans="1:40" x14ac:dyDescent="0.3">
      <c r="A2411" s="10" t="str">
        <f>HYPERLINK("http://www.washoecounty.gov/assessor/cama/?parid=031-060-11&amp;CardNumber=1","031-060-11")</f>
        <v>031-060-11</v>
      </c>
      <c r="B2411" t="s">
        <v>4655</v>
      </c>
      <c r="C2411" t="s">
        <v>15060</v>
      </c>
      <c r="D2411" s="1">
        <v>40294</v>
      </c>
      <c r="E2411" s="2">
        <v>53000</v>
      </c>
      <c r="F2411" t="s">
        <v>4553</v>
      </c>
      <c r="G2411" s="17" t="str">
        <f>HYPERLINK("https://www.washoecounty.gov/assessor/cama/?command=sales&amp;parid=03106011","3874342")</f>
        <v>3874342</v>
      </c>
      <c r="H2411" t="s">
        <v>3261</v>
      </c>
      <c r="I2411">
        <v>1979</v>
      </c>
      <c r="J2411">
        <v>1979</v>
      </c>
      <c r="K2411" t="s">
        <v>3144</v>
      </c>
      <c r="L2411" t="s">
        <v>3974</v>
      </c>
      <c r="M2411" s="2">
        <v>1370</v>
      </c>
      <c r="N2411" t="s">
        <v>4556</v>
      </c>
      <c r="O2411">
        <v>3</v>
      </c>
      <c r="P2411">
        <v>1</v>
      </c>
      <c r="Q2411">
        <v>1</v>
      </c>
      <c r="R2411" t="s">
        <v>4557</v>
      </c>
      <c r="S2411" t="s">
        <v>4558</v>
      </c>
      <c r="T2411" t="s">
        <v>4559</v>
      </c>
      <c r="U2411" t="s">
        <v>4560</v>
      </c>
      <c r="V2411" s="2">
        <v>459</v>
      </c>
      <c r="W2411" t="s">
        <v>4655</v>
      </c>
      <c r="X2411" s="2">
        <v>0</v>
      </c>
      <c r="Y2411">
        <v>21</v>
      </c>
      <c r="Z2411" t="s">
        <v>2081</v>
      </c>
      <c r="AA2411" s="3">
        <v>1.00000004749745E-3</v>
      </c>
      <c r="AB2411" t="s">
        <v>15061</v>
      </c>
      <c r="AC2411" t="s">
        <v>4562</v>
      </c>
      <c r="AD2411" t="s">
        <v>15062</v>
      </c>
      <c r="AE2411" t="s">
        <v>4655</v>
      </c>
      <c r="AF2411" t="s">
        <v>5201</v>
      </c>
      <c r="AG2411" t="s">
        <v>4564</v>
      </c>
      <c r="AH2411" t="s">
        <v>3898</v>
      </c>
      <c r="AI2411" t="s">
        <v>2351</v>
      </c>
      <c r="AJ2411" t="s">
        <v>4655</v>
      </c>
      <c r="AK2411" t="s">
        <v>15063</v>
      </c>
      <c r="AL2411" s="13" t="s">
        <v>3425</v>
      </c>
      <c r="AM2411">
        <v>1</v>
      </c>
      <c r="AN2411" s="15" t="s">
        <v>5210</v>
      </c>
    </row>
    <row r="2412" spans="1:40" x14ac:dyDescent="0.3">
      <c r="A2412" s="10" t="str">
        <f>HYPERLINK("http://www.washoecounty.gov/assessor/cama/?parid=031-060-19&amp;CardNumber=1","031-060-19")</f>
        <v>031-060-19</v>
      </c>
      <c r="B2412" t="s">
        <v>4655</v>
      </c>
      <c r="C2412" t="s">
        <v>15064</v>
      </c>
      <c r="D2412" s="1">
        <v>40479</v>
      </c>
      <c r="E2412" s="2">
        <v>45000</v>
      </c>
      <c r="F2412" t="s">
        <v>4553</v>
      </c>
      <c r="G2412" s="17" t="str">
        <f>HYPERLINK("https://www.washoecounty.gov/assessor/cama/?command=sales&amp;parid=03106019","3937412")</f>
        <v>3937412</v>
      </c>
      <c r="H2412" t="s">
        <v>15065</v>
      </c>
      <c r="I2412">
        <v>1979</v>
      </c>
      <c r="J2412">
        <v>1979</v>
      </c>
      <c r="K2412" t="s">
        <v>3144</v>
      </c>
      <c r="L2412" t="s">
        <v>3974</v>
      </c>
      <c r="M2412" s="2">
        <v>1370</v>
      </c>
      <c r="N2412" t="s">
        <v>4556</v>
      </c>
      <c r="O2412">
        <v>3</v>
      </c>
      <c r="P2412">
        <v>1</v>
      </c>
      <c r="Q2412">
        <v>1</v>
      </c>
      <c r="R2412" t="s">
        <v>4557</v>
      </c>
      <c r="S2412" t="s">
        <v>4558</v>
      </c>
      <c r="T2412" t="s">
        <v>4559</v>
      </c>
      <c r="U2412" t="s">
        <v>4560</v>
      </c>
      <c r="V2412" s="2">
        <v>459</v>
      </c>
      <c r="W2412" t="s">
        <v>4655</v>
      </c>
      <c r="X2412" s="2">
        <v>0</v>
      </c>
      <c r="Y2412">
        <v>21</v>
      </c>
      <c r="Z2412" t="s">
        <v>2081</v>
      </c>
      <c r="AA2412" s="3">
        <v>1.00000004749745E-3</v>
      </c>
      <c r="AB2412" t="s">
        <v>15066</v>
      </c>
      <c r="AC2412" t="s">
        <v>4562</v>
      </c>
      <c r="AD2412" t="s">
        <v>15067</v>
      </c>
      <c r="AE2412" t="s">
        <v>4655</v>
      </c>
      <c r="AF2412" t="s">
        <v>4809</v>
      </c>
      <c r="AG2412" t="s">
        <v>4564</v>
      </c>
      <c r="AH2412" t="s">
        <v>5202</v>
      </c>
      <c r="AI2412" t="s">
        <v>15068</v>
      </c>
      <c r="AJ2412" t="s">
        <v>4655</v>
      </c>
      <c r="AK2412" t="s">
        <v>15069</v>
      </c>
      <c r="AL2412" s="13" t="s">
        <v>3425</v>
      </c>
      <c r="AM2412">
        <v>1</v>
      </c>
      <c r="AN2412" s="15" t="s">
        <v>5210</v>
      </c>
    </row>
    <row r="2413" spans="1:40" x14ac:dyDescent="0.3">
      <c r="A2413" s="10" t="str">
        <f>HYPERLINK("http://www.washoecounty.gov/assessor/cama/?parid=031-060-25&amp;CardNumber=1","031-060-25")</f>
        <v>031-060-25</v>
      </c>
      <c r="B2413" t="s">
        <v>4655</v>
      </c>
      <c r="C2413" t="s">
        <v>15070</v>
      </c>
      <c r="D2413" s="1">
        <v>40434</v>
      </c>
      <c r="E2413" s="2">
        <v>45000</v>
      </c>
      <c r="F2413" t="s">
        <v>4553</v>
      </c>
      <c r="G2413" s="17" t="str">
        <f>HYPERLINK("https://www.washoecounty.gov/assessor/cama/?command=sales&amp;parid=03106025","3921701")</f>
        <v>3921701</v>
      </c>
      <c r="H2413" t="s">
        <v>3261</v>
      </c>
      <c r="I2413">
        <v>1979</v>
      </c>
      <c r="J2413">
        <v>1979</v>
      </c>
      <c r="K2413" t="s">
        <v>3144</v>
      </c>
      <c r="L2413" t="s">
        <v>3974</v>
      </c>
      <c r="M2413" s="2">
        <v>1111</v>
      </c>
      <c r="N2413" t="s">
        <v>4556</v>
      </c>
      <c r="O2413">
        <v>2</v>
      </c>
      <c r="P2413">
        <v>1</v>
      </c>
      <c r="Q2413">
        <v>1</v>
      </c>
      <c r="R2413" t="s">
        <v>4557</v>
      </c>
      <c r="S2413" t="s">
        <v>4558</v>
      </c>
      <c r="T2413" t="s">
        <v>4559</v>
      </c>
      <c r="U2413" t="s">
        <v>4560</v>
      </c>
      <c r="V2413" s="2">
        <v>242</v>
      </c>
      <c r="W2413" t="s">
        <v>4655</v>
      </c>
      <c r="X2413" s="2">
        <v>0</v>
      </c>
      <c r="Y2413">
        <v>21</v>
      </c>
      <c r="Z2413" t="s">
        <v>2081</v>
      </c>
      <c r="AA2413" s="3">
        <v>1.00000004749745E-3</v>
      </c>
      <c r="AB2413" t="s">
        <v>15071</v>
      </c>
      <c r="AC2413" t="s">
        <v>4562</v>
      </c>
      <c r="AD2413" t="s">
        <v>15070</v>
      </c>
      <c r="AE2413" t="s">
        <v>4655</v>
      </c>
      <c r="AF2413" t="s">
        <v>4809</v>
      </c>
      <c r="AG2413" t="s">
        <v>4564</v>
      </c>
      <c r="AH2413" t="s">
        <v>5202</v>
      </c>
      <c r="AI2413" t="s">
        <v>1922</v>
      </c>
      <c r="AJ2413" t="s">
        <v>4655</v>
      </c>
      <c r="AK2413" t="s">
        <v>15072</v>
      </c>
      <c r="AL2413" s="13" t="s">
        <v>1886</v>
      </c>
      <c r="AM2413">
        <v>1</v>
      </c>
      <c r="AN2413" s="15" t="s">
        <v>5210</v>
      </c>
    </row>
    <row r="2414" spans="1:40" x14ac:dyDescent="0.3">
      <c r="A2414" s="10" t="str">
        <f>HYPERLINK("http://www.washoecounty.gov/assessor/cama/?parid=031-060-33&amp;CardNumber=1","031-060-33")</f>
        <v>031-060-33</v>
      </c>
      <c r="B2414" t="s">
        <v>4655</v>
      </c>
      <c r="C2414" t="s">
        <v>15073</v>
      </c>
      <c r="D2414" s="1">
        <v>40452</v>
      </c>
      <c r="E2414" s="2">
        <v>43500</v>
      </c>
      <c r="F2414" t="s">
        <v>4553</v>
      </c>
      <c r="G2414" s="17" t="str">
        <f>HYPERLINK("https://www.washoecounty.gov/assessor/cama/?command=sales&amp;parid=03106033","3928581")</f>
        <v>3928581</v>
      </c>
      <c r="H2414" t="s">
        <v>3261</v>
      </c>
      <c r="I2414">
        <v>1979</v>
      </c>
      <c r="J2414">
        <v>1979</v>
      </c>
      <c r="K2414" t="s">
        <v>4897</v>
      </c>
      <c r="L2414" t="s">
        <v>3974</v>
      </c>
      <c r="M2414" s="2">
        <v>1111</v>
      </c>
      <c r="N2414" t="s">
        <v>4556</v>
      </c>
      <c r="O2414">
        <v>2</v>
      </c>
      <c r="P2414">
        <v>1</v>
      </c>
      <c r="Q2414">
        <v>1</v>
      </c>
      <c r="R2414" t="s">
        <v>4557</v>
      </c>
      <c r="S2414" t="s">
        <v>4558</v>
      </c>
      <c r="T2414" t="s">
        <v>4559</v>
      </c>
      <c r="U2414" t="s">
        <v>4560</v>
      </c>
      <c r="V2414" s="2">
        <v>242</v>
      </c>
      <c r="W2414" t="s">
        <v>4655</v>
      </c>
      <c r="X2414" s="2">
        <v>0</v>
      </c>
      <c r="Y2414">
        <v>21</v>
      </c>
      <c r="Z2414" t="s">
        <v>2081</v>
      </c>
      <c r="AA2414" s="3">
        <v>1.00000004749745E-3</v>
      </c>
      <c r="AB2414" t="s">
        <v>15074</v>
      </c>
      <c r="AC2414" t="s">
        <v>4562</v>
      </c>
      <c r="AD2414" t="s">
        <v>15073</v>
      </c>
      <c r="AE2414" t="s">
        <v>4655</v>
      </c>
      <c r="AF2414" t="s">
        <v>5201</v>
      </c>
      <c r="AG2414" t="s">
        <v>4564</v>
      </c>
      <c r="AH2414" t="s">
        <v>5202</v>
      </c>
      <c r="AI2414" t="s">
        <v>2351</v>
      </c>
      <c r="AJ2414" t="s">
        <v>4655</v>
      </c>
      <c r="AK2414" t="s">
        <v>15075</v>
      </c>
      <c r="AL2414" s="13" t="s">
        <v>1886</v>
      </c>
      <c r="AM2414">
        <v>1</v>
      </c>
      <c r="AN2414" s="15" t="s">
        <v>5210</v>
      </c>
    </row>
    <row r="2415" spans="1:40" x14ac:dyDescent="0.3">
      <c r="A2415" s="10" t="str">
        <f>HYPERLINK("http://www.washoecounty.gov/assessor/cama/?parid=031-060-37&amp;CardNumber=1","031-060-37")</f>
        <v>031-060-37</v>
      </c>
      <c r="B2415" t="s">
        <v>4655</v>
      </c>
      <c r="C2415" t="s">
        <v>15076</v>
      </c>
      <c r="D2415" s="1">
        <v>40443</v>
      </c>
      <c r="E2415" s="2">
        <v>45000</v>
      </c>
      <c r="F2415" t="s">
        <v>4553</v>
      </c>
      <c r="G2415" s="17" t="str">
        <f>HYPERLINK("https://www.washoecounty.gov/assessor/cama/?command=sales&amp;parid=03106037","3925049")</f>
        <v>3925049</v>
      </c>
      <c r="H2415" t="s">
        <v>3261</v>
      </c>
      <c r="I2415">
        <v>1979</v>
      </c>
      <c r="J2415">
        <v>1979</v>
      </c>
      <c r="K2415" t="s">
        <v>3144</v>
      </c>
      <c r="L2415" t="s">
        <v>3974</v>
      </c>
      <c r="M2415" s="2">
        <v>1370</v>
      </c>
      <c r="N2415" t="s">
        <v>4556</v>
      </c>
      <c r="O2415">
        <v>3</v>
      </c>
      <c r="P2415">
        <v>1</v>
      </c>
      <c r="Q2415">
        <v>1</v>
      </c>
      <c r="R2415" t="s">
        <v>4557</v>
      </c>
      <c r="S2415" t="s">
        <v>4558</v>
      </c>
      <c r="T2415" t="s">
        <v>4559</v>
      </c>
      <c r="U2415" t="s">
        <v>4560</v>
      </c>
      <c r="V2415" s="2">
        <v>459</v>
      </c>
      <c r="W2415" t="s">
        <v>4655</v>
      </c>
      <c r="X2415" s="2">
        <v>0</v>
      </c>
      <c r="Y2415">
        <v>21</v>
      </c>
      <c r="Z2415" t="s">
        <v>2081</v>
      </c>
      <c r="AA2415" s="3">
        <v>1.00000004749745E-3</v>
      </c>
      <c r="AB2415" t="s">
        <v>15077</v>
      </c>
      <c r="AC2415" t="s">
        <v>4562</v>
      </c>
      <c r="AD2415" t="s">
        <v>15078</v>
      </c>
      <c r="AE2415" t="s">
        <v>4655</v>
      </c>
      <c r="AF2415" t="s">
        <v>5201</v>
      </c>
      <c r="AG2415" t="s">
        <v>4564</v>
      </c>
      <c r="AH2415" t="s">
        <v>5202</v>
      </c>
      <c r="AI2415" t="s">
        <v>2351</v>
      </c>
      <c r="AJ2415" t="s">
        <v>4655</v>
      </c>
      <c r="AK2415" t="s">
        <v>15079</v>
      </c>
      <c r="AL2415" s="13" t="s">
        <v>1886</v>
      </c>
      <c r="AM2415">
        <v>1</v>
      </c>
      <c r="AN2415" s="15" t="s">
        <v>5210</v>
      </c>
    </row>
    <row r="2416" spans="1:40" x14ac:dyDescent="0.3">
      <c r="A2416" s="10" t="str">
        <f>HYPERLINK("http://www.washoecounty.gov/assessor/cama/?parid=031-060-40&amp;CardNumber=1","031-060-40")</f>
        <v>031-060-40</v>
      </c>
      <c r="B2416" t="s">
        <v>4655</v>
      </c>
      <c r="C2416" t="s">
        <v>15080</v>
      </c>
      <c r="D2416" s="1">
        <v>40499</v>
      </c>
      <c r="E2416" s="2">
        <v>35500</v>
      </c>
      <c r="F2416" t="s">
        <v>4553</v>
      </c>
      <c r="G2416" s="17" t="str">
        <f>HYPERLINK("https://www.washoecounty.gov/assessor/cama/?command=sales&amp;parid=03106040","3944019")</f>
        <v>3944019</v>
      </c>
      <c r="H2416" t="s">
        <v>5427</v>
      </c>
      <c r="I2416">
        <v>1979</v>
      </c>
      <c r="J2416">
        <v>1979</v>
      </c>
      <c r="K2416" t="s">
        <v>3144</v>
      </c>
      <c r="L2416" t="s">
        <v>3974</v>
      </c>
      <c r="M2416" s="2">
        <v>1111</v>
      </c>
      <c r="N2416" t="s">
        <v>4556</v>
      </c>
      <c r="O2416">
        <v>2</v>
      </c>
      <c r="P2416">
        <v>1</v>
      </c>
      <c r="Q2416">
        <v>1</v>
      </c>
      <c r="R2416" t="s">
        <v>4557</v>
      </c>
      <c r="S2416" t="s">
        <v>4558</v>
      </c>
      <c r="T2416" t="s">
        <v>4559</v>
      </c>
      <c r="U2416" t="s">
        <v>4560</v>
      </c>
      <c r="V2416" s="2">
        <v>242</v>
      </c>
      <c r="W2416" t="s">
        <v>4655</v>
      </c>
      <c r="X2416" s="2">
        <v>0</v>
      </c>
      <c r="Y2416">
        <v>21</v>
      </c>
      <c r="Z2416" t="s">
        <v>2081</v>
      </c>
      <c r="AA2416" s="3">
        <v>1.00000004749745E-3</v>
      </c>
      <c r="AB2416" t="s">
        <v>15081</v>
      </c>
      <c r="AC2416" t="s">
        <v>4562</v>
      </c>
      <c r="AD2416" t="s">
        <v>15080</v>
      </c>
      <c r="AE2416" t="s">
        <v>4655</v>
      </c>
      <c r="AF2416" t="s">
        <v>5201</v>
      </c>
      <c r="AG2416" t="s">
        <v>4564</v>
      </c>
      <c r="AH2416" t="s">
        <v>5202</v>
      </c>
      <c r="AI2416" t="s">
        <v>4848</v>
      </c>
      <c r="AJ2416" t="s">
        <v>4655</v>
      </c>
      <c r="AK2416" t="s">
        <v>15082</v>
      </c>
      <c r="AL2416" s="13" t="s">
        <v>1886</v>
      </c>
      <c r="AM2416">
        <v>1</v>
      </c>
      <c r="AN2416" s="15" t="s">
        <v>5210</v>
      </c>
    </row>
    <row r="2417" spans="1:40" x14ac:dyDescent="0.3">
      <c r="A2417" s="10" t="str">
        <f>HYPERLINK("http://www.washoecounty.gov/assessor/cama/?parid=031-060-50&amp;CardNumber=1","031-060-50")</f>
        <v>031-060-50</v>
      </c>
      <c r="B2417" t="s">
        <v>4655</v>
      </c>
      <c r="C2417" t="s">
        <v>15083</v>
      </c>
      <c r="D2417" s="1">
        <v>40402</v>
      </c>
      <c r="E2417" s="2">
        <v>36900</v>
      </c>
      <c r="F2417" t="s">
        <v>4553</v>
      </c>
      <c r="G2417" s="17" t="str">
        <f>HYPERLINK("https://www.washoecounty.gov/assessor/cama/?command=sales&amp;parid=03106050","3911264")</f>
        <v>3911264</v>
      </c>
      <c r="H2417" t="s">
        <v>3261</v>
      </c>
      <c r="I2417">
        <v>1979</v>
      </c>
      <c r="J2417">
        <v>1979</v>
      </c>
      <c r="K2417" t="s">
        <v>4897</v>
      </c>
      <c r="L2417" t="s">
        <v>3974</v>
      </c>
      <c r="M2417" s="2">
        <v>1111</v>
      </c>
      <c r="N2417" t="s">
        <v>4556</v>
      </c>
      <c r="O2417">
        <v>2</v>
      </c>
      <c r="P2417">
        <v>1</v>
      </c>
      <c r="Q2417">
        <v>1</v>
      </c>
      <c r="R2417" t="s">
        <v>4557</v>
      </c>
      <c r="S2417" t="s">
        <v>4558</v>
      </c>
      <c r="T2417" t="s">
        <v>4559</v>
      </c>
      <c r="U2417" t="s">
        <v>4560</v>
      </c>
      <c r="V2417" s="2">
        <v>242</v>
      </c>
      <c r="W2417" t="s">
        <v>4655</v>
      </c>
      <c r="X2417" s="2">
        <v>0</v>
      </c>
      <c r="Y2417">
        <v>21</v>
      </c>
      <c r="Z2417" t="s">
        <v>2081</v>
      </c>
      <c r="AA2417" s="3">
        <v>1.00000004749745E-3</v>
      </c>
      <c r="AB2417" t="s">
        <v>15084</v>
      </c>
      <c r="AC2417" t="s">
        <v>4562</v>
      </c>
      <c r="AD2417" t="s">
        <v>15085</v>
      </c>
      <c r="AE2417" t="s">
        <v>4655</v>
      </c>
      <c r="AF2417" t="s">
        <v>4809</v>
      </c>
      <c r="AG2417" t="s">
        <v>4564</v>
      </c>
      <c r="AH2417" t="s">
        <v>5202</v>
      </c>
      <c r="AI2417" t="s">
        <v>4045</v>
      </c>
      <c r="AJ2417" t="s">
        <v>4655</v>
      </c>
      <c r="AK2417" t="s">
        <v>15086</v>
      </c>
      <c r="AL2417" s="13" t="s">
        <v>1886</v>
      </c>
      <c r="AM2417">
        <v>1</v>
      </c>
      <c r="AN2417" s="15" t="s">
        <v>5210</v>
      </c>
    </row>
    <row r="2418" spans="1:40" x14ac:dyDescent="0.3">
      <c r="A2418" s="10" t="str">
        <f>HYPERLINK("http://www.washoecounty.gov/assessor/cama/?parid=031-060-60&amp;CardNumber=1","031-060-60")</f>
        <v>031-060-60</v>
      </c>
      <c r="B2418" t="s">
        <v>4655</v>
      </c>
      <c r="C2418" t="s">
        <v>15087</v>
      </c>
      <c r="D2418" s="1">
        <v>40415</v>
      </c>
      <c r="E2418" s="2">
        <v>34000</v>
      </c>
      <c r="F2418" t="s">
        <v>4553</v>
      </c>
      <c r="G2418" s="17" t="str">
        <f>HYPERLINK("https://www.washoecounty.gov/assessor/cama/?command=sales&amp;parid=03106060","3915270")</f>
        <v>3915270</v>
      </c>
      <c r="H2418" t="s">
        <v>3261</v>
      </c>
      <c r="I2418">
        <v>1979</v>
      </c>
      <c r="J2418">
        <v>1979</v>
      </c>
      <c r="K2418" t="s">
        <v>3144</v>
      </c>
      <c r="L2418" t="s">
        <v>3974</v>
      </c>
      <c r="M2418" s="2">
        <v>1111</v>
      </c>
      <c r="N2418" t="s">
        <v>4556</v>
      </c>
      <c r="O2418">
        <v>2</v>
      </c>
      <c r="P2418">
        <v>1</v>
      </c>
      <c r="Q2418">
        <v>1</v>
      </c>
      <c r="R2418" t="s">
        <v>4557</v>
      </c>
      <c r="S2418" t="s">
        <v>4558</v>
      </c>
      <c r="T2418" t="s">
        <v>4559</v>
      </c>
      <c r="U2418" t="s">
        <v>4560</v>
      </c>
      <c r="V2418" s="2">
        <v>242</v>
      </c>
      <c r="W2418" t="s">
        <v>4655</v>
      </c>
      <c r="X2418" s="2">
        <v>0</v>
      </c>
      <c r="Y2418">
        <v>21</v>
      </c>
      <c r="Z2418" t="s">
        <v>2081</v>
      </c>
      <c r="AA2418" s="3">
        <v>1.00000004749745E-3</v>
      </c>
      <c r="AB2418" t="s">
        <v>15088</v>
      </c>
      <c r="AC2418" t="s">
        <v>4575</v>
      </c>
      <c r="AD2418" t="s">
        <v>15089</v>
      </c>
      <c r="AE2418" t="s">
        <v>15090</v>
      </c>
      <c r="AF2418" t="s">
        <v>4563</v>
      </c>
      <c r="AG2418" t="s">
        <v>4564</v>
      </c>
      <c r="AH2418">
        <v>89511</v>
      </c>
      <c r="AI2418" t="s">
        <v>4503</v>
      </c>
      <c r="AJ2418" t="s">
        <v>4655</v>
      </c>
      <c r="AK2418" t="s">
        <v>15091</v>
      </c>
      <c r="AL2418" s="13" t="s">
        <v>1886</v>
      </c>
      <c r="AM2418">
        <v>1</v>
      </c>
      <c r="AN2418" s="15" t="s">
        <v>5210</v>
      </c>
    </row>
    <row r="2419" spans="1:40" x14ac:dyDescent="0.3">
      <c r="A2419" s="10" t="str">
        <f>HYPERLINK("http://www.washoecounty.gov/assessor/cama/?parid=031-081-35&amp;CardNumber=1","031-081-35")</f>
        <v>031-081-35</v>
      </c>
      <c r="B2419" t="s">
        <v>4655</v>
      </c>
      <c r="C2419" t="s">
        <v>15092</v>
      </c>
      <c r="D2419" s="1">
        <v>40519</v>
      </c>
      <c r="E2419" s="2">
        <v>135000</v>
      </c>
      <c r="F2419" t="s">
        <v>4567</v>
      </c>
      <c r="G2419" s="17" t="str">
        <f>HYPERLINK("https://www.washoecounty.gov/assessor/cama/?command=sales&amp;parid=03108135","3950582")</f>
        <v>3950582</v>
      </c>
      <c r="H2419" t="s">
        <v>15093</v>
      </c>
      <c r="I2419">
        <v>1916</v>
      </c>
      <c r="J2419">
        <v>1916</v>
      </c>
      <c r="K2419" t="s">
        <v>4554</v>
      </c>
      <c r="L2419" t="s">
        <v>3886</v>
      </c>
      <c r="M2419" s="2">
        <v>1845</v>
      </c>
      <c r="N2419" t="s">
        <v>4556</v>
      </c>
      <c r="O2419">
        <v>3</v>
      </c>
      <c r="P2419">
        <v>1</v>
      </c>
      <c r="Q2419">
        <v>0</v>
      </c>
      <c r="R2419" t="s">
        <v>4557</v>
      </c>
      <c r="S2419" t="s">
        <v>4574</v>
      </c>
      <c r="T2419" t="s">
        <v>4559</v>
      </c>
      <c r="U2419" t="s">
        <v>4655</v>
      </c>
      <c r="V2419" s="2">
        <v>0</v>
      </c>
      <c r="W2419" t="s">
        <v>3149</v>
      </c>
      <c r="X2419" s="2">
        <v>1224</v>
      </c>
      <c r="Y2419">
        <v>20</v>
      </c>
      <c r="Z2419" t="s">
        <v>2081</v>
      </c>
      <c r="AA2419" s="3">
        <v>0.43999081850051902</v>
      </c>
      <c r="AB2419" t="s">
        <v>15094</v>
      </c>
      <c r="AC2419" t="s">
        <v>4562</v>
      </c>
      <c r="AD2419" t="s">
        <v>15092</v>
      </c>
      <c r="AE2419" t="s">
        <v>4655</v>
      </c>
      <c r="AF2419" t="s">
        <v>5201</v>
      </c>
      <c r="AG2419" t="s">
        <v>4564</v>
      </c>
      <c r="AH2419" t="s">
        <v>5202</v>
      </c>
      <c r="AI2419" t="s">
        <v>15095</v>
      </c>
      <c r="AJ2419" t="s">
        <v>4655</v>
      </c>
      <c r="AK2419" t="s">
        <v>15096</v>
      </c>
      <c r="AL2419" s="13" t="s">
        <v>3425</v>
      </c>
      <c r="AM2419" s="14">
        <v>1</v>
      </c>
      <c r="AN2419" s="15" t="s">
        <v>4396</v>
      </c>
    </row>
    <row r="2420" spans="1:40" x14ac:dyDescent="0.3">
      <c r="A2420" s="10" t="str">
        <f>HYPERLINK("http://www.washoecounty.gov/assessor/cama/?parid=031-100-10&amp;CardNumber=1","031-100-10")</f>
        <v>031-100-10</v>
      </c>
      <c r="B2420" t="s">
        <v>4655</v>
      </c>
      <c r="C2420" t="s">
        <v>15097</v>
      </c>
      <c r="D2420" s="1">
        <v>40541</v>
      </c>
      <c r="E2420" s="2">
        <v>44900</v>
      </c>
      <c r="F2420" t="s">
        <v>4553</v>
      </c>
      <c r="G2420" s="17" t="str">
        <f>HYPERLINK("https://www.washoecounty.gov/assessor/cama/?command=sales&amp;parid=03110010","3958502")</f>
        <v>3958502</v>
      </c>
      <c r="H2420" t="s">
        <v>3006</v>
      </c>
      <c r="I2420">
        <v>1978</v>
      </c>
      <c r="J2420">
        <v>1978</v>
      </c>
      <c r="K2420" t="s">
        <v>4897</v>
      </c>
      <c r="L2420" t="s">
        <v>3974</v>
      </c>
      <c r="M2420" s="2">
        <v>1080</v>
      </c>
      <c r="N2420" t="s">
        <v>4556</v>
      </c>
      <c r="O2420">
        <v>2</v>
      </c>
      <c r="P2420">
        <v>1</v>
      </c>
      <c r="Q2420">
        <v>1</v>
      </c>
      <c r="R2420" t="s">
        <v>5281</v>
      </c>
      <c r="S2420" t="s">
        <v>4558</v>
      </c>
      <c r="T2420" t="s">
        <v>4559</v>
      </c>
      <c r="U2420" t="s">
        <v>4655</v>
      </c>
      <c r="V2420" s="2">
        <v>0</v>
      </c>
      <c r="W2420" t="s">
        <v>4655</v>
      </c>
      <c r="X2420" s="2">
        <v>0</v>
      </c>
      <c r="Y2420">
        <v>21</v>
      </c>
      <c r="Z2420" t="s">
        <v>2081</v>
      </c>
      <c r="AA2420" s="3">
        <v>1.00000004749745E-3</v>
      </c>
      <c r="AB2420" t="s">
        <v>15098</v>
      </c>
      <c r="AC2420" t="s">
        <v>4562</v>
      </c>
      <c r="AD2420" t="s">
        <v>15097</v>
      </c>
      <c r="AE2420" t="s">
        <v>4655</v>
      </c>
      <c r="AF2420" t="s">
        <v>5201</v>
      </c>
      <c r="AG2420" t="s">
        <v>4564</v>
      </c>
      <c r="AH2420" t="s">
        <v>5202</v>
      </c>
      <c r="AI2420" t="s">
        <v>601</v>
      </c>
      <c r="AJ2420" t="s">
        <v>4655</v>
      </c>
      <c r="AK2420" t="s">
        <v>15099</v>
      </c>
      <c r="AL2420" s="13" t="s">
        <v>3426</v>
      </c>
      <c r="AM2420">
        <v>1</v>
      </c>
      <c r="AN2420" s="15" t="s">
        <v>3007</v>
      </c>
    </row>
    <row r="2421" spans="1:40" x14ac:dyDescent="0.3">
      <c r="A2421" s="10" t="str">
        <f>HYPERLINK("http://www.washoecounty.gov/assessor/cama/?parid=031-100-13&amp;CardNumber=1","031-100-13")</f>
        <v>031-100-13</v>
      </c>
      <c r="B2421" t="s">
        <v>4655</v>
      </c>
      <c r="C2421" t="s">
        <v>15100</v>
      </c>
      <c r="D2421" s="1">
        <v>40259</v>
      </c>
      <c r="E2421" s="2">
        <v>90000</v>
      </c>
      <c r="F2421" t="s">
        <v>4567</v>
      </c>
      <c r="G2421" s="17" t="str">
        <f>HYPERLINK("https://www.washoecounty.gov/assessor/cama/?command=sales&amp;parid=03110013","3862273")</f>
        <v>3862273</v>
      </c>
      <c r="H2421" t="s">
        <v>3006</v>
      </c>
      <c r="I2421">
        <v>1978</v>
      </c>
      <c r="J2421">
        <v>1978</v>
      </c>
      <c r="K2421" t="s">
        <v>4897</v>
      </c>
      <c r="L2421" t="s">
        <v>3974</v>
      </c>
      <c r="M2421" s="2">
        <v>1080</v>
      </c>
      <c r="N2421" t="s">
        <v>4556</v>
      </c>
      <c r="O2421">
        <v>2</v>
      </c>
      <c r="P2421">
        <v>1</v>
      </c>
      <c r="Q2421">
        <v>1</v>
      </c>
      <c r="R2421" t="s">
        <v>4557</v>
      </c>
      <c r="S2421" t="s">
        <v>4558</v>
      </c>
      <c r="T2421" t="s">
        <v>4559</v>
      </c>
      <c r="U2421" t="s">
        <v>4655</v>
      </c>
      <c r="V2421" s="2">
        <v>0</v>
      </c>
      <c r="W2421" t="s">
        <v>4655</v>
      </c>
      <c r="X2421" s="2">
        <v>0</v>
      </c>
      <c r="Y2421">
        <v>21</v>
      </c>
      <c r="Z2421" t="s">
        <v>2081</v>
      </c>
      <c r="AA2421" s="3">
        <v>1.00000004749745E-3</v>
      </c>
      <c r="AB2421" t="s">
        <v>15101</v>
      </c>
      <c r="AC2421" t="s">
        <v>4562</v>
      </c>
      <c r="AD2421" t="s">
        <v>15100</v>
      </c>
      <c r="AE2421" t="s">
        <v>4655</v>
      </c>
      <c r="AF2421" t="s">
        <v>5201</v>
      </c>
      <c r="AG2421" t="s">
        <v>4564</v>
      </c>
      <c r="AH2421" t="s">
        <v>5202</v>
      </c>
      <c r="AI2421" t="s">
        <v>15102</v>
      </c>
      <c r="AJ2421" t="s">
        <v>4655</v>
      </c>
      <c r="AK2421" t="s">
        <v>15103</v>
      </c>
      <c r="AL2421" s="13" t="s">
        <v>3426</v>
      </c>
      <c r="AM2421">
        <v>1</v>
      </c>
      <c r="AN2421" s="15" t="s">
        <v>3007</v>
      </c>
    </row>
    <row r="2422" spans="1:40" x14ac:dyDescent="0.3">
      <c r="A2422" s="10" t="str">
        <f>HYPERLINK("http://www.washoecounty.gov/assessor/cama/?parid=031-111-13&amp;CardNumber=1","031-111-13")</f>
        <v>031-111-13</v>
      </c>
      <c r="B2422" t="s">
        <v>4655</v>
      </c>
      <c r="C2422" t="s">
        <v>15104</v>
      </c>
      <c r="D2422" s="1">
        <v>40455</v>
      </c>
      <c r="E2422" s="2">
        <v>90000</v>
      </c>
      <c r="F2422" t="s">
        <v>4553</v>
      </c>
      <c r="G2422" s="17" t="str">
        <f>HYPERLINK("https://www.washoecounty.gov/assessor/cama/?command=sales&amp;parid=03111113","3929016")</f>
        <v>3929016</v>
      </c>
      <c r="H2422" t="s">
        <v>3971</v>
      </c>
      <c r="I2422">
        <v>1962</v>
      </c>
      <c r="J2422">
        <v>1962</v>
      </c>
      <c r="K2422" t="s">
        <v>4554</v>
      </c>
      <c r="L2422" t="s">
        <v>4555</v>
      </c>
      <c r="M2422" s="2">
        <v>1176</v>
      </c>
      <c r="N2422" t="s">
        <v>4556</v>
      </c>
      <c r="O2422">
        <v>3</v>
      </c>
      <c r="P2422">
        <v>2</v>
      </c>
      <c r="Q2422">
        <v>0</v>
      </c>
      <c r="R2422" t="s">
        <v>4557</v>
      </c>
      <c r="S2422" t="s">
        <v>4135</v>
      </c>
      <c r="T2422" t="s">
        <v>4559</v>
      </c>
      <c r="U2422" t="s">
        <v>4560</v>
      </c>
      <c r="V2422" s="2">
        <v>273</v>
      </c>
      <c r="W2422" t="s">
        <v>4655</v>
      </c>
      <c r="X2422" s="2">
        <v>0</v>
      </c>
      <c r="Y2422">
        <v>20</v>
      </c>
      <c r="Z2422" t="s">
        <v>5200</v>
      </c>
      <c r="AA2422" s="3">
        <v>0.13700643181800801</v>
      </c>
      <c r="AB2422" t="s">
        <v>15105</v>
      </c>
      <c r="AC2422" t="s">
        <v>4562</v>
      </c>
      <c r="AD2422" t="s">
        <v>15104</v>
      </c>
      <c r="AE2422" t="s">
        <v>4655</v>
      </c>
      <c r="AF2422" t="s">
        <v>4809</v>
      </c>
      <c r="AG2422" t="s">
        <v>4564</v>
      </c>
      <c r="AH2422" t="s">
        <v>5202</v>
      </c>
      <c r="AI2422" t="s">
        <v>15105</v>
      </c>
      <c r="AJ2422" t="s">
        <v>4655</v>
      </c>
      <c r="AK2422" t="s">
        <v>15106</v>
      </c>
      <c r="AL2422" s="13" t="s">
        <v>1886</v>
      </c>
      <c r="AM2422" s="14">
        <v>1</v>
      </c>
      <c r="AN2422" s="15" t="s">
        <v>2747</v>
      </c>
    </row>
    <row r="2423" spans="1:40" x14ac:dyDescent="0.3">
      <c r="A2423" s="10" t="str">
        <f>HYPERLINK("http://www.washoecounty.gov/assessor/cama/?parid=031-111-29&amp;CardNumber=1","031-111-29")</f>
        <v>031-111-29</v>
      </c>
      <c r="B2423" t="s">
        <v>4655</v>
      </c>
      <c r="C2423" t="s">
        <v>15107</v>
      </c>
      <c r="D2423" s="1">
        <v>40316</v>
      </c>
      <c r="E2423" s="2">
        <v>70000</v>
      </c>
      <c r="F2423" t="s">
        <v>4553</v>
      </c>
      <c r="G2423" s="17" t="str">
        <f>HYPERLINK("https://www.washoecounty.gov/assessor/cama/?command=sales&amp;parid=03111129","3882704")</f>
        <v>3882704</v>
      </c>
      <c r="H2423" t="s">
        <v>3971</v>
      </c>
      <c r="I2423">
        <v>1962</v>
      </c>
      <c r="J2423">
        <v>1962</v>
      </c>
      <c r="K2423" t="s">
        <v>4554</v>
      </c>
      <c r="L2423" t="s">
        <v>4555</v>
      </c>
      <c r="M2423" s="2">
        <v>988</v>
      </c>
      <c r="N2423" t="s">
        <v>4556</v>
      </c>
      <c r="O2423">
        <v>3</v>
      </c>
      <c r="P2423">
        <v>2</v>
      </c>
      <c r="Q2423">
        <v>0</v>
      </c>
      <c r="R2423" t="s">
        <v>4557</v>
      </c>
      <c r="S2423" t="s">
        <v>4574</v>
      </c>
      <c r="T2423" t="s">
        <v>4143</v>
      </c>
      <c r="U2423" t="s">
        <v>4560</v>
      </c>
      <c r="V2423" s="2">
        <v>286</v>
      </c>
      <c r="W2423" t="s">
        <v>4655</v>
      </c>
      <c r="X2423" s="2">
        <v>0</v>
      </c>
      <c r="Y2423">
        <v>20</v>
      </c>
      <c r="Z2423" t="s">
        <v>5200</v>
      </c>
      <c r="AA2423" s="3">
        <v>0.13700643181800801</v>
      </c>
      <c r="AB2423" t="s">
        <v>15108</v>
      </c>
      <c r="AC2423" t="s">
        <v>4562</v>
      </c>
      <c r="AD2423" t="s">
        <v>15107</v>
      </c>
      <c r="AE2423" t="s">
        <v>4655</v>
      </c>
      <c r="AF2423" t="s">
        <v>5201</v>
      </c>
      <c r="AG2423" t="s">
        <v>4564</v>
      </c>
      <c r="AH2423" t="s">
        <v>5202</v>
      </c>
      <c r="AI2423" t="s">
        <v>4145</v>
      </c>
      <c r="AJ2423" t="s">
        <v>4655</v>
      </c>
      <c r="AK2423" t="s">
        <v>15109</v>
      </c>
      <c r="AL2423" s="13" t="s">
        <v>1886</v>
      </c>
      <c r="AM2423">
        <v>1</v>
      </c>
      <c r="AN2423" s="15" t="s">
        <v>2747</v>
      </c>
    </row>
    <row r="2424" spans="1:40" x14ac:dyDescent="0.3">
      <c r="A2424" s="10" t="str">
        <f>HYPERLINK("http://www.washoecounty.gov/assessor/cama/?parid=031-113-04&amp;CardNumber=1","031-113-04")</f>
        <v>031-113-04</v>
      </c>
      <c r="B2424" t="s">
        <v>4655</v>
      </c>
      <c r="C2424" t="s">
        <v>15110</v>
      </c>
      <c r="D2424" s="1">
        <v>40375</v>
      </c>
      <c r="E2424" s="2">
        <v>54500</v>
      </c>
      <c r="F2424" t="s">
        <v>4553</v>
      </c>
      <c r="G2424" s="17" t="str">
        <f>HYPERLINK("https://www.washoecounty.gov/assessor/cama/?command=sales&amp;parid=03111304","3901942")</f>
        <v>3901942</v>
      </c>
      <c r="H2424" t="s">
        <v>4432</v>
      </c>
      <c r="I2424">
        <v>1962</v>
      </c>
      <c r="J2424">
        <v>1962</v>
      </c>
      <c r="K2424" t="s">
        <v>4554</v>
      </c>
      <c r="L2424" t="s">
        <v>4555</v>
      </c>
      <c r="M2424" s="2">
        <v>1176</v>
      </c>
      <c r="N2424" t="s">
        <v>4556</v>
      </c>
      <c r="O2424">
        <v>3</v>
      </c>
      <c r="P2424">
        <v>2</v>
      </c>
      <c r="Q2424">
        <v>0</v>
      </c>
      <c r="R2424" t="s">
        <v>4557</v>
      </c>
      <c r="S2424" t="s">
        <v>4135</v>
      </c>
      <c r="T2424" t="s">
        <v>4559</v>
      </c>
      <c r="U2424" t="s">
        <v>4655</v>
      </c>
      <c r="V2424" s="2">
        <v>0</v>
      </c>
      <c r="W2424" t="s">
        <v>4655</v>
      </c>
      <c r="X2424" s="2">
        <v>0</v>
      </c>
      <c r="Y2424">
        <v>20</v>
      </c>
      <c r="Z2424" t="s">
        <v>5200</v>
      </c>
      <c r="AA2424" s="3">
        <v>0.13900367915630299</v>
      </c>
      <c r="AB2424" t="s">
        <v>15111</v>
      </c>
      <c r="AC2424" t="s">
        <v>4562</v>
      </c>
      <c r="AD2424" t="s">
        <v>15112</v>
      </c>
      <c r="AE2424" t="s">
        <v>4655</v>
      </c>
      <c r="AF2424" t="s">
        <v>4809</v>
      </c>
      <c r="AG2424" t="s">
        <v>4564</v>
      </c>
      <c r="AH2424" t="s">
        <v>5202</v>
      </c>
      <c r="AI2424" t="s">
        <v>5359</v>
      </c>
      <c r="AJ2424" t="s">
        <v>4655</v>
      </c>
      <c r="AK2424" t="s">
        <v>15113</v>
      </c>
      <c r="AL2424" s="13" t="s">
        <v>1886</v>
      </c>
      <c r="AM2424" s="14">
        <v>1</v>
      </c>
      <c r="AN2424" s="15" t="s">
        <v>2747</v>
      </c>
    </row>
    <row r="2425" spans="1:40" x14ac:dyDescent="0.3">
      <c r="A2425" s="10" t="str">
        <f>HYPERLINK("http://www.washoecounty.gov/assessor/cama/?parid=031-113-04&amp;CardNumber=1","031-113-04")</f>
        <v>031-113-04</v>
      </c>
      <c r="B2425" t="s">
        <v>4655</v>
      </c>
      <c r="C2425" t="s">
        <v>15110</v>
      </c>
      <c r="D2425" s="1">
        <v>40479</v>
      </c>
      <c r="E2425" s="2">
        <v>109000</v>
      </c>
      <c r="F2425" t="s">
        <v>4567</v>
      </c>
      <c r="G2425" s="17" t="str">
        <f>HYPERLINK("https://www.washoecounty.gov/assessor/cama/?command=sales&amp;parid=03111304","3937941")</f>
        <v>3937941</v>
      </c>
      <c r="H2425" t="s">
        <v>4432</v>
      </c>
      <c r="I2425">
        <v>1962</v>
      </c>
      <c r="J2425">
        <v>1962</v>
      </c>
      <c r="K2425" t="s">
        <v>4554</v>
      </c>
      <c r="L2425" t="s">
        <v>4555</v>
      </c>
      <c r="M2425" s="2">
        <v>1176</v>
      </c>
      <c r="N2425" t="s">
        <v>4556</v>
      </c>
      <c r="O2425">
        <v>3</v>
      </c>
      <c r="P2425">
        <v>2</v>
      </c>
      <c r="Q2425">
        <v>0</v>
      </c>
      <c r="R2425" t="s">
        <v>4557</v>
      </c>
      <c r="S2425" t="s">
        <v>4135</v>
      </c>
      <c r="T2425" t="s">
        <v>4559</v>
      </c>
      <c r="U2425" t="s">
        <v>4655</v>
      </c>
      <c r="V2425" s="2">
        <v>0</v>
      </c>
      <c r="W2425" t="s">
        <v>4655</v>
      </c>
      <c r="X2425" s="2">
        <v>0</v>
      </c>
      <c r="Y2425">
        <v>20</v>
      </c>
      <c r="Z2425" t="s">
        <v>5200</v>
      </c>
      <c r="AA2425" s="3">
        <v>0.13900367915630299</v>
      </c>
      <c r="AB2425" t="s">
        <v>15111</v>
      </c>
      <c r="AC2425" t="s">
        <v>4562</v>
      </c>
      <c r="AD2425" t="s">
        <v>15112</v>
      </c>
      <c r="AE2425" t="s">
        <v>4655</v>
      </c>
      <c r="AF2425" t="s">
        <v>4809</v>
      </c>
      <c r="AG2425" t="s">
        <v>4564</v>
      </c>
      <c r="AH2425" t="s">
        <v>5202</v>
      </c>
      <c r="AI2425" t="s">
        <v>5359</v>
      </c>
      <c r="AJ2425" t="s">
        <v>4655</v>
      </c>
      <c r="AK2425" t="s">
        <v>15113</v>
      </c>
      <c r="AL2425" s="13" t="s">
        <v>1886</v>
      </c>
      <c r="AM2425">
        <v>1</v>
      </c>
      <c r="AN2425" s="15" t="s">
        <v>2747</v>
      </c>
    </row>
    <row r="2426" spans="1:40" x14ac:dyDescent="0.3">
      <c r="A2426" s="10" t="str">
        <f>HYPERLINK("http://www.washoecounty.gov/assessor/cama/?parid=031-113-14&amp;CardNumber=1","031-113-14")</f>
        <v>031-113-14</v>
      </c>
      <c r="B2426" t="s">
        <v>4655</v>
      </c>
      <c r="C2426" t="s">
        <v>15114</v>
      </c>
      <c r="D2426" s="1">
        <v>40319</v>
      </c>
      <c r="E2426" s="2">
        <v>98000</v>
      </c>
      <c r="F2426" t="s">
        <v>4567</v>
      </c>
      <c r="G2426" s="17" t="str">
        <f>HYPERLINK("https://www.washoecounty.gov/assessor/cama/?command=sales&amp;parid=03111314","3884491")</f>
        <v>3884491</v>
      </c>
      <c r="H2426" t="s">
        <v>4432</v>
      </c>
      <c r="I2426">
        <v>1962</v>
      </c>
      <c r="J2426">
        <v>1962</v>
      </c>
      <c r="K2426" t="s">
        <v>4554</v>
      </c>
      <c r="L2426" t="s">
        <v>4555</v>
      </c>
      <c r="M2426" s="2">
        <v>988</v>
      </c>
      <c r="N2426" t="s">
        <v>4556</v>
      </c>
      <c r="O2426">
        <v>3</v>
      </c>
      <c r="P2426">
        <v>2</v>
      </c>
      <c r="Q2426">
        <v>0</v>
      </c>
      <c r="R2426" t="s">
        <v>4557</v>
      </c>
      <c r="S2426" t="s">
        <v>4574</v>
      </c>
      <c r="T2426" t="s">
        <v>4559</v>
      </c>
      <c r="U2426" t="s">
        <v>4560</v>
      </c>
      <c r="V2426" s="2">
        <v>286</v>
      </c>
      <c r="W2426" t="s">
        <v>4655</v>
      </c>
      <c r="X2426" s="2">
        <v>0</v>
      </c>
      <c r="Y2426">
        <v>20</v>
      </c>
      <c r="Z2426" t="s">
        <v>5200</v>
      </c>
      <c r="AA2426" s="3">
        <v>0.13900367915630299</v>
      </c>
      <c r="AB2426" t="s">
        <v>15115</v>
      </c>
      <c r="AC2426" t="s">
        <v>4562</v>
      </c>
      <c r="AD2426" t="s">
        <v>15114</v>
      </c>
      <c r="AE2426" t="s">
        <v>4655</v>
      </c>
      <c r="AF2426" t="s">
        <v>5201</v>
      </c>
      <c r="AG2426" t="s">
        <v>4564</v>
      </c>
      <c r="AH2426" t="s">
        <v>5202</v>
      </c>
      <c r="AI2426" t="s">
        <v>15116</v>
      </c>
      <c r="AJ2426" t="s">
        <v>4655</v>
      </c>
      <c r="AK2426" t="s">
        <v>15117</v>
      </c>
      <c r="AL2426" s="13" t="s">
        <v>1886</v>
      </c>
      <c r="AM2426">
        <v>1</v>
      </c>
      <c r="AN2426" s="15" t="s">
        <v>2747</v>
      </c>
    </row>
    <row r="2427" spans="1:40" x14ac:dyDescent="0.3">
      <c r="A2427" s="10" t="str">
        <f>HYPERLINK("http://www.washoecounty.gov/assessor/cama/?parid=031-121-04&amp;CardNumber=1","031-121-04")</f>
        <v>031-121-04</v>
      </c>
      <c r="B2427" t="s">
        <v>4655</v>
      </c>
      <c r="C2427" t="s">
        <v>15118</v>
      </c>
      <c r="D2427" s="1">
        <v>40302</v>
      </c>
      <c r="E2427" s="2">
        <v>90000</v>
      </c>
      <c r="F2427" t="s">
        <v>4553</v>
      </c>
      <c r="G2427" s="17" t="str">
        <f>HYPERLINK("https://www.washoecounty.gov/assessor/cama/?command=sales&amp;parid=03112104","3877780")</f>
        <v>3877780</v>
      </c>
      <c r="H2427" t="s">
        <v>817</v>
      </c>
      <c r="I2427">
        <v>1959</v>
      </c>
      <c r="J2427">
        <v>1959</v>
      </c>
      <c r="K2427" t="s">
        <v>4554</v>
      </c>
      <c r="L2427" t="s">
        <v>4555</v>
      </c>
      <c r="M2427" s="2">
        <v>936</v>
      </c>
      <c r="N2427" t="s">
        <v>4556</v>
      </c>
      <c r="O2427">
        <v>2</v>
      </c>
      <c r="P2427">
        <v>2</v>
      </c>
      <c r="Q2427">
        <v>0</v>
      </c>
      <c r="R2427" t="s">
        <v>4557</v>
      </c>
      <c r="S2427" t="s">
        <v>4898</v>
      </c>
      <c r="T2427" t="s">
        <v>4559</v>
      </c>
      <c r="U2427" t="s">
        <v>4655</v>
      </c>
      <c r="V2427" s="2">
        <v>0</v>
      </c>
      <c r="W2427" t="s">
        <v>4655</v>
      </c>
      <c r="X2427" s="2">
        <v>0</v>
      </c>
      <c r="Y2427">
        <v>20</v>
      </c>
      <c r="Z2427" t="s">
        <v>5200</v>
      </c>
      <c r="AA2427" s="3">
        <v>0.14898990094661699</v>
      </c>
      <c r="AB2427" t="s">
        <v>15119</v>
      </c>
      <c r="AC2427" t="s">
        <v>4562</v>
      </c>
      <c r="AD2427" t="s">
        <v>15118</v>
      </c>
      <c r="AE2427" t="s">
        <v>4655</v>
      </c>
      <c r="AF2427" t="s">
        <v>5201</v>
      </c>
      <c r="AG2427" t="s">
        <v>4564</v>
      </c>
      <c r="AH2427" t="s">
        <v>5202</v>
      </c>
      <c r="AI2427" t="s">
        <v>4655</v>
      </c>
      <c r="AJ2427" t="s">
        <v>4655</v>
      </c>
      <c r="AK2427" t="s">
        <v>15120</v>
      </c>
      <c r="AL2427" s="13" t="s">
        <v>3425</v>
      </c>
      <c r="AM2427">
        <v>1</v>
      </c>
      <c r="AN2427" s="15" t="s">
        <v>2747</v>
      </c>
    </row>
    <row r="2428" spans="1:40" x14ac:dyDescent="0.3">
      <c r="A2428" s="10" t="str">
        <f>HYPERLINK("http://www.washoecounty.gov/assessor/cama/?parid=031-121-27&amp;CardNumber=1","031-121-27")</f>
        <v>031-121-27</v>
      </c>
      <c r="B2428" t="s">
        <v>4655</v>
      </c>
      <c r="C2428" t="s">
        <v>15121</v>
      </c>
      <c r="D2428" s="1">
        <v>40263</v>
      </c>
      <c r="E2428" s="2">
        <v>100000</v>
      </c>
      <c r="F2428" t="s">
        <v>4567</v>
      </c>
      <c r="G2428" s="17" t="str">
        <f>HYPERLINK("https://www.washoecounty.gov/assessor/cama/?command=sales&amp;parid=03112127","3864282")</f>
        <v>3864282</v>
      </c>
      <c r="H2428" t="s">
        <v>15122</v>
      </c>
      <c r="I2428">
        <v>1968</v>
      </c>
      <c r="J2428">
        <v>1968</v>
      </c>
      <c r="K2428" t="s">
        <v>4554</v>
      </c>
      <c r="L2428" t="s">
        <v>4555</v>
      </c>
      <c r="M2428" s="2">
        <v>1064</v>
      </c>
      <c r="N2428" t="s">
        <v>4556</v>
      </c>
      <c r="O2428">
        <v>3</v>
      </c>
      <c r="P2428">
        <v>1</v>
      </c>
      <c r="Q2428">
        <v>1</v>
      </c>
      <c r="R2428" t="s">
        <v>4134</v>
      </c>
      <c r="S2428" t="s">
        <v>3046</v>
      </c>
      <c r="T2428" t="s">
        <v>4559</v>
      </c>
      <c r="U2428" t="s">
        <v>4560</v>
      </c>
      <c r="V2428" s="2">
        <v>392</v>
      </c>
      <c r="W2428" t="s">
        <v>4655</v>
      </c>
      <c r="X2428" s="2">
        <v>0</v>
      </c>
      <c r="Y2428">
        <v>20</v>
      </c>
      <c r="Z2428" t="s">
        <v>5200</v>
      </c>
      <c r="AA2428" s="3">
        <v>0.13900367915630299</v>
      </c>
      <c r="AB2428" t="s">
        <v>15123</v>
      </c>
      <c r="AC2428" t="s">
        <v>4562</v>
      </c>
      <c r="AD2428" t="s">
        <v>15121</v>
      </c>
      <c r="AE2428" t="s">
        <v>4655</v>
      </c>
      <c r="AF2428" t="s">
        <v>5201</v>
      </c>
      <c r="AG2428" t="s">
        <v>4564</v>
      </c>
      <c r="AH2428" t="s">
        <v>5202</v>
      </c>
      <c r="AI2428" t="s">
        <v>15124</v>
      </c>
      <c r="AJ2428" t="s">
        <v>4655</v>
      </c>
      <c r="AK2428" t="s">
        <v>15125</v>
      </c>
      <c r="AL2428" s="13" t="s">
        <v>3425</v>
      </c>
      <c r="AM2428">
        <v>1</v>
      </c>
      <c r="AN2428" s="15" t="s">
        <v>2747</v>
      </c>
    </row>
    <row r="2429" spans="1:40" x14ac:dyDescent="0.3">
      <c r="A2429" s="10" t="str">
        <f>HYPERLINK("http://www.washoecounty.gov/assessor/cama/?parid=031-122-09&amp;CardNumber=1","031-122-09")</f>
        <v>031-122-09</v>
      </c>
      <c r="B2429" t="s">
        <v>4655</v>
      </c>
      <c r="C2429" t="s">
        <v>15126</v>
      </c>
      <c r="D2429" s="1">
        <v>40445</v>
      </c>
      <c r="E2429" s="2">
        <v>85000</v>
      </c>
      <c r="F2429" t="s">
        <v>4567</v>
      </c>
      <c r="G2429" s="17" t="str">
        <f>HYPERLINK("https://www.washoecounty.gov/assessor/cama/?command=sales&amp;parid=03112209","3926140")</f>
        <v>3926140</v>
      </c>
      <c r="H2429" t="s">
        <v>2746</v>
      </c>
      <c r="I2429">
        <v>1948</v>
      </c>
      <c r="J2429">
        <v>1953</v>
      </c>
      <c r="K2429" t="s">
        <v>4554</v>
      </c>
      <c r="L2429" t="s">
        <v>4555</v>
      </c>
      <c r="M2429" s="2">
        <v>1094</v>
      </c>
      <c r="N2429" t="s">
        <v>4556</v>
      </c>
      <c r="O2429">
        <v>2</v>
      </c>
      <c r="P2429">
        <v>1</v>
      </c>
      <c r="Q2429">
        <v>0</v>
      </c>
      <c r="R2429" t="s">
        <v>5281</v>
      </c>
      <c r="S2429" t="s">
        <v>4135</v>
      </c>
      <c r="T2429" t="s">
        <v>4559</v>
      </c>
      <c r="U2429" t="s">
        <v>4560</v>
      </c>
      <c r="V2429" s="2">
        <v>340</v>
      </c>
      <c r="W2429" t="s">
        <v>4655</v>
      </c>
      <c r="X2429" s="2">
        <v>0</v>
      </c>
      <c r="Y2429">
        <v>20</v>
      </c>
      <c r="Z2429" t="s">
        <v>5200</v>
      </c>
      <c r="AA2429" s="3">
        <v>0.13900367915630299</v>
      </c>
      <c r="AB2429" t="s">
        <v>15127</v>
      </c>
      <c r="AC2429" t="s">
        <v>4562</v>
      </c>
      <c r="AD2429" t="s">
        <v>15128</v>
      </c>
      <c r="AE2429" t="s">
        <v>4655</v>
      </c>
      <c r="AF2429" t="s">
        <v>5201</v>
      </c>
      <c r="AG2429" t="s">
        <v>4564</v>
      </c>
      <c r="AH2429" t="s">
        <v>5202</v>
      </c>
      <c r="AI2429" t="s">
        <v>15129</v>
      </c>
      <c r="AJ2429" t="s">
        <v>4655</v>
      </c>
      <c r="AK2429" t="s">
        <v>15130</v>
      </c>
      <c r="AL2429" s="13" t="s">
        <v>3425</v>
      </c>
      <c r="AM2429" s="14">
        <v>1</v>
      </c>
      <c r="AN2429" s="15" t="s">
        <v>2747</v>
      </c>
    </row>
    <row r="2430" spans="1:40" x14ac:dyDescent="0.3">
      <c r="A2430" s="10" t="str">
        <f>HYPERLINK("http://www.washoecounty.gov/assessor/cama/?parid=031-123-12&amp;CardNumber=1","031-123-12")</f>
        <v>031-123-12</v>
      </c>
      <c r="B2430" t="s">
        <v>4655</v>
      </c>
      <c r="C2430" t="s">
        <v>15131</v>
      </c>
      <c r="D2430" s="1">
        <v>40323</v>
      </c>
      <c r="E2430" s="2">
        <v>136000</v>
      </c>
      <c r="F2430" t="s">
        <v>4567</v>
      </c>
      <c r="G2430" s="17" t="str">
        <f>HYPERLINK("https://www.washoecounty.gov/assessor/cama/?command=sales&amp;parid=03112312","3884604")</f>
        <v>3884604</v>
      </c>
      <c r="H2430" t="s">
        <v>15132</v>
      </c>
      <c r="I2430">
        <v>1964</v>
      </c>
      <c r="J2430">
        <v>1964</v>
      </c>
      <c r="K2430" t="s">
        <v>4554</v>
      </c>
      <c r="L2430" t="s">
        <v>4555</v>
      </c>
      <c r="M2430" s="2">
        <v>1416</v>
      </c>
      <c r="N2430" t="s">
        <v>4048</v>
      </c>
      <c r="O2430">
        <v>0</v>
      </c>
      <c r="P2430">
        <v>2</v>
      </c>
      <c r="Q2430">
        <v>0</v>
      </c>
      <c r="R2430" t="s">
        <v>4557</v>
      </c>
      <c r="S2430" t="s">
        <v>4135</v>
      </c>
      <c r="T2430" t="s">
        <v>4559</v>
      </c>
      <c r="U2430" t="s">
        <v>4655</v>
      </c>
      <c r="V2430" s="2">
        <v>0</v>
      </c>
      <c r="W2430" t="s">
        <v>4655</v>
      </c>
      <c r="X2430" s="2">
        <v>0</v>
      </c>
      <c r="Y2430">
        <v>20</v>
      </c>
      <c r="Z2430" t="s">
        <v>5200</v>
      </c>
      <c r="AA2430" s="3">
        <v>0.17100550234317799</v>
      </c>
      <c r="AB2430" t="s">
        <v>15133</v>
      </c>
      <c r="AC2430" t="s">
        <v>4562</v>
      </c>
      <c r="AD2430" t="s">
        <v>15134</v>
      </c>
      <c r="AE2430" t="s">
        <v>4655</v>
      </c>
      <c r="AF2430" t="s">
        <v>4809</v>
      </c>
      <c r="AG2430" t="s">
        <v>4564</v>
      </c>
      <c r="AH2430" t="s">
        <v>5202</v>
      </c>
      <c r="AI2430" t="s">
        <v>4655</v>
      </c>
      <c r="AJ2430" t="s">
        <v>4655</v>
      </c>
      <c r="AK2430" t="s">
        <v>15135</v>
      </c>
      <c r="AL2430" s="13" t="s">
        <v>3425</v>
      </c>
      <c r="AM2430" s="14">
        <v>1</v>
      </c>
      <c r="AN2430" s="15" t="s">
        <v>2747</v>
      </c>
    </row>
    <row r="2431" spans="1:40" x14ac:dyDescent="0.3">
      <c r="A2431" s="10" t="str">
        <f>HYPERLINK("http://www.washoecounty.gov/assessor/cama/?parid=031-123-31&amp;CardNumber=1","031-123-31")</f>
        <v>031-123-31</v>
      </c>
      <c r="B2431" t="s">
        <v>4655</v>
      </c>
      <c r="C2431" t="s">
        <v>15136</v>
      </c>
      <c r="D2431" s="1">
        <v>40309</v>
      </c>
      <c r="E2431" s="2">
        <v>140400</v>
      </c>
      <c r="F2431" t="s">
        <v>4553</v>
      </c>
      <c r="G2431" s="17" t="str">
        <f>HYPERLINK("https://www.washoecounty.gov/assessor/cama/?command=sales&amp;parid=03112331","3880470")</f>
        <v>3880470</v>
      </c>
      <c r="H2431" t="s">
        <v>2664</v>
      </c>
      <c r="I2431">
        <v>1963</v>
      </c>
      <c r="J2431">
        <v>1963</v>
      </c>
      <c r="K2431" t="s">
        <v>4554</v>
      </c>
      <c r="L2431" t="s">
        <v>4555</v>
      </c>
      <c r="M2431" s="2">
        <v>1508</v>
      </c>
      <c r="N2431" t="s">
        <v>4048</v>
      </c>
      <c r="O2431">
        <v>3</v>
      </c>
      <c r="P2431">
        <v>2</v>
      </c>
      <c r="Q2431">
        <v>0</v>
      </c>
      <c r="R2431" t="s">
        <v>5281</v>
      </c>
      <c r="S2431" t="s">
        <v>4682</v>
      </c>
      <c r="T2431" t="s">
        <v>4559</v>
      </c>
      <c r="U2431" t="s">
        <v>4655</v>
      </c>
      <c r="V2431" s="2">
        <v>0</v>
      </c>
      <c r="W2431" t="s">
        <v>3201</v>
      </c>
      <c r="X2431" s="2">
        <v>494</v>
      </c>
      <c r="Y2431">
        <v>20</v>
      </c>
      <c r="Z2431" t="s">
        <v>5200</v>
      </c>
      <c r="AA2431" s="3">
        <v>0.17800734937191001</v>
      </c>
      <c r="AB2431" t="s">
        <v>15137</v>
      </c>
      <c r="AC2431" t="s">
        <v>4562</v>
      </c>
      <c r="AD2431" t="s">
        <v>15136</v>
      </c>
      <c r="AE2431" t="s">
        <v>4655</v>
      </c>
      <c r="AF2431" t="s">
        <v>4809</v>
      </c>
      <c r="AG2431" t="s">
        <v>4564</v>
      </c>
      <c r="AH2431" t="s">
        <v>5202</v>
      </c>
      <c r="AI2431" t="s">
        <v>6745</v>
      </c>
      <c r="AJ2431" t="s">
        <v>4655</v>
      </c>
      <c r="AK2431" t="s">
        <v>15138</v>
      </c>
      <c r="AL2431" s="13" t="s">
        <v>3425</v>
      </c>
      <c r="AM2431">
        <v>1</v>
      </c>
      <c r="AN2431" s="15" t="s">
        <v>2747</v>
      </c>
    </row>
    <row r="2432" spans="1:40" x14ac:dyDescent="0.3">
      <c r="A2432" s="10" t="str">
        <f>HYPERLINK("http://www.washoecounty.gov/assessor/cama/?parid=031-123-42&amp;CardNumber=1","031-123-42")</f>
        <v>031-123-42</v>
      </c>
      <c r="B2432" t="s">
        <v>4655</v>
      </c>
      <c r="C2432" t="s">
        <v>15139</v>
      </c>
      <c r="D2432" s="1">
        <v>40256</v>
      </c>
      <c r="E2432" s="2">
        <v>57000</v>
      </c>
      <c r="F2432" t="s">
        <v>4553</v>
      </c>
      <c r="G2432" s="17" t="str">
        <f>HYPERLINK("https://www.washoecounty.gov/assessor/cama/?command=sales&amp;parid=03112342","3861865")</f>
        <v>3861865</v>
      </c>
      <c r="H2432" t="s">
        <v>2746</v>
      </c>
      <c r="I2432">
        <v>1950</v>
      </c>
      <c r="J2432">
        <v>1954</v>
      </c>
      <c r="K2432" t="s">
        <v>4554</v>
      </c>
      <c r="L2432" t="s">
        <v>3886</v>
      </c>
      <c r="M2432" s="2">
        <v>1049</v>
      </c>
      <c r="N2432" t="s">
        <v>4556</v>
      </c>
      <c r="O2432">
        <v>2</v>
      </c>
      <c r="P2432">
        <v>1</v>
      </c>
      <c r="Q2432">
        <v>0</v>
      </c>
      <c r="R2432" t="s">
        <v>4557</v>
      </c>
      <c r="S2432" t="s">
        <v>4574</v>
      </c>
      <c r="T2432" t="s">
        <v>4559</v>
      </c>
      <c r="U2432" t="s">
        <v>5631</v>
      </c>
      <c r="V2432" s="2">
        <v>252</v>
      </c>
      <c r="W2432" t="s">
        <v>4655</v>
      </c>
      <c r="X2432" s="2">
        <v>0</v>
      </c>
      <c r="Y2432">
        <v>20</v>
      </c>
      <c r="Z2432" t="s">
        <v>5200</v>
      </c>
      <c r="AA2432" s="3">
        <v>0.13700643181800801</v>
      </c>
      <c r="AB2432" t="s">
        <v>15140</v>
      </c>
      <c r="AC2432" t="s">
        <v>4575</v>
      </c>
      <c r="AD2432" t="s">
        <v>15139</v>
      </c>
      <c r="AE2432" t="s">
        <v>4655</v>
      </c>
      <c r="AF2432" t="s">
        <v>4563</v>
      </c>
      <c r="AG2432" t="s">
        <v>4564</v>
      </c>
      <c r="AH2432" t="s">
        <v>5202</v>
      </c>
      <c r="AI2432" t="s">
        <v>5359</v>
      </c>
      <c r="AJ2432" t="s">
        <v>4655</v>
      </c>
      <c r="AK2432" t="s">
        <v>15141</v>
      </c>
      <c r="AL2432" s="13" t="s">
        <v>3425</v>
      </c>
      <c r="AM2432">
        <v>1</v>
      </c>
      <c r="AN2432" s="15" t="s">
        <v>2747</v>
      </c>
    </row>
    <row r="2433" spans="1:40" x14ac:dyDescent="0.3">
      <c r="A2433" s="10" t="str">
        <f>HYPERLINK("http://www.washoecounty.gov/assessor/cama/?parid=031-123-42&amp;CardNumber=1","031-123-42")</f>
        <v>031-123-42</v>
      </c>
      <c r="B2433" t="s">
        <v>4655</v>
      </c>
      <c r="C2433" t="s">
        <v>15139</v>
      </c>
      <c r="D2433" s="1">
        <v>40331</v>
      </c>
      <c r="E2433" s="2">
        <v>110000</v>
      </c>
      <c r="F2433" t="s">
        <v>4567</v>
      </c>
      <c r="G2433" s="17" t="str">
        <f>HYPERLINK("https://www.washoecounty.gov/assessor/cama/?command=sales&amp;parid=03112342","3887511")</f>
        <v>3887511</v>
      </c>
      <c r="H2433" t="s">
        <v>2746</v>
      </c>
      <c r="I2433">
        <v>1950</v>
      </c>
      <c r="J2433">
        <v>1954</v>
      </c>
      <c r="K2433" t="s">
        <v>4554</v>
      </c>
      <c r="L2433" t="s">
        <v>3886</v>
      </c>
      <c r="M2433" s="2">
        <v>1049</v>
      </c>
      <c r="N2433" t="s">
        <v>4556</v>
      </c>
      <c r="O2433">
        <v>2</v>
      </c>
      <c r="P2433">
        <v>1</v>
      </c>
      <c r="Q2433">
        <v>0</v>
      </c>
      <c r="R2433" t="s">
        <v>4557</v>
      </c>
      <c r="S2433" t="s">
        <v>4574</v>
      </c>
      <c r="T2433" t="s">
        <v>4559</v>
      </c>
      <c r="U2433" t="s">
        <v>5631</v>
      </c>
      <c r="V2433" s="2">
        <v>252</v>
      </c>
      <c r="W2433" t="s">
        <v>4655</v>
      </c>
      <c r="X2433" s="2">
        <v>0</v>
      </c>
      <c r="Y2433">
        <v>20</v>
      </c>
      <c r="Z2433" t="s">
        <v>5200</v>
      </c>
      <c r="AA2433" s="3">
        <v>0.13700643181800801</v>
      </c>
      <c r="AB2433" t="s">
        <v>15140</v>
      </c>
      <c r="AC2433" t="s">
        <v>4575</v>
      </c>
      <c r="AD2433" t="s">
        <v>15139</v>
      </c>
      <c r="AE2433" t="s">
        <v>4655</v>
      </c>
      <c r="AF2433" t="s">
        <v>4563</v>
      </c>
      <c r="AG2433" t="s">
        <v>4564</v>
      </c>
      <c r="AH2433" t="s">
        <v>5202</v>
      </c>
      <c r="AI2433" t="s">
        <v>5359</v>
      </c>
      <c r="AJ2433" t="s">
        <v>4655</v>
      </c>
      <c r="AK2433" t="s">
        <v>15141</v>
      </c>
      <c r="AL2433" s="13" t="s">
        <v>3425</v>
      </c>
      <c r="AM2433">
        <v>1</v>
      </c>
      <c r="AN2433" s="15" t="s">
        <v>2747</v>
      </c>
    </row>
    <row r="2434" spans="1:40" x14ac:dyDescent="0.3">
      <c r="A2434" s="10" t="str">
        <f>HYPERLINK("http://www.washoecounty.gov/assessor/cama/?parid=031-123-44&amp;CardNumber=1","031-123-44")</f>
        <v>031-123-44</v>
      </c>
      <c r="B2434" t="s">
        <v>4655</v>
      </c>
      <c r="C2434" t="s">
        <v>15142</v>
      </c>
      <c r="D2434" s="1">
        <v>40282</v>
      </c>
      <c r="E2434" s="2">
        <v>116500</v>
      </c>
      <c r="F2434" t="s">
        <v>4567</v>
      </c>
      <c r="G2434" s="17" t="str">
        <f>HYPERLINK("https://www.washoecounty.gov/assessor/cama/?command=sales&amp;parid=03112344","3870776")</f>
        <v>3870776</v>
      </c>
      <c r="H2434" t="s">
        <v>817</v>
      </c>
      <c r="I2434">
        <v>1957</v>
      </c>
      <c r="J2434">
        <v>1957</v>
      </c>
      <c r="K2434" t="s">
        <v>4554</v>
      </c>
      <c r="L2434" t="s">
        <v>4555</v>
      </c>
      <c r="M2434" s="2">
        <v>1036</v>
      </c>
      <c r="N2434" t="s">
        <v>4556</v>
      </c>
      <c r="O2434">
        <v>3</v>
      </c>
      <c r="P2434">
        <v>1</v>
      </c>
      <c r="Q2434">
        <v>0</v>
      </c>
      <c r="R2434" t="s">
        <v>4557</v>
      </c>
      <c r="S2434" t="s">
        <v>4135</v>
      </c>
      <c r="T2434" t="s">
        <v>4559</v>
      </c>
      <c r="U2434" t="s">
        <v>4560</v>
      </c>
      <c r="V2434" s="2">
        <v>480</v>
      </c>
      <c r="W2434" t="s">
        <v>4655</v>
      </c>
      <c r="X2434" s="2">
        <v>0</v>
      </c>
      <c r="Y2434">
        <v>20</v>
      </c>
      <c r="Z2434" t="s">
        <v>5200</v>
      </c>
      <c r="AA2434" s="3">
        <v>0.14898990094661699</v>
      </c>
      <c r="AB2434" t="s">
        <v>15143</v>
      </c>
      <c r="AC2434" t="s">
        <v>4562</v>
      </c>
      <c r="AD2434" t="s">
        <v>15142</v>
      </c>
      <c r="AE2434" t="s">
        <v>4655</v>
      </c>
      <c r="AF2434" t="s">
        <v>5201</v>
      </c>
      <c r="AG2434" t="s">
        <v>4564</v>
      </c>
      <c r="AH2434" t="s">
        <v>5202</v>
      </c>
      <c r="AI2434" t="s">
        <v>15144</v>
      </c>
      <c r="AJ2434" t="s">
        <v>4655</v>
      </c>
      <c r="AK2434" t="s">
        <v>15145</v>
      </c>
      <c r="AL2434" s="13" t="s">
        <v>3425</v>
      </c>
      <c r="AM2434" s="14">
        <v>1</v>
      </c>
      <c r="AN2434" s="15" t="s">
        <v>2747</v>
      </c>
    </row>
    <row r="2435" spans="1:40" x14ac:dyDescent="0.3">
      <c r="A2435" s="10" t="str">
        <f>HYPERLINK("http://www.washoecounty.gov/assessor/cama/?parid=031-123-50&amp;CardNumber=1","031-123-50")</f>
        <v>031-123-50</v>
      </c>
      <c r="B2435" t="s">
        <v>4655</v>
      </c>
      <c r="C2435" t="s">
        <v>15146</v>
      </c>
      <c r="D2435" s="1">
        <v>40469</v>
      </c>
      <c r="E2435" s="2">
        <v>149000</v>
      </c>
      <c r="F2435" t="s">
        <v>4567</v>
      </c>
      <c r="G2435" s="17" t="str">
        <f>HYPERLINK("https://www.washoecounty.gov/assessor/cama/?command=sales&amp;parid=03112350","3934062")</f>
        <v>3934062</v>
      </c>
      <c r="H2435" t="s">
        <v>817</v>
      </c>
      <c r="I2435">
        <v>1959</v>
      </c>
      <c r="J2435">
        <v>1959</v>
      </c>
      <c r="K2435" t="s">
        <v>4554</v>
      </c>
      <c r="L2435" t="s">
        <v>4555</v>
      </c>
      <c r="M2435" s="2">
        <v>1777</v>
      </c>
      <c r="N2435" t="s">
        <v>5280</v>
      </c>
      <c r="O2435">
        <v>3</v>
      </c>
      <c r="P2435">
        <v>3</v>
      </c>
      <c r="Q2435">
        <v>0</v>
      </c>
      <c r="R2435" t="s">
        <v>4557</v>
      </c>
      <c r="S2435" t="s">
        <v>4682</v>
      </c>
      <c r="T2435" t="s">
        <v>4559</v>
      </c>
      <c r="U2435" t="s">
        <v>4560</v>
      </c>
      <c r="V2435" s="2">
        <v>528</v>
      </c>
      <c r="W2435" t="s">
        <v>4655</v>
      </c>
      <c r="X2435" s="2">
        <v>0</v>
      </c>
      <c r="Y2435">
        <v>20</v>
      </c>
      <c r="Z2435" t="s">
        <v>5200</v>
      </c>
      <c r="AA2435" s="3">
        <v>0.18799357116222401</v>
      </c>
      <c r="AB2435" t="s">
        <v>15147</v>
      </c>
      <c r="AC2435" t="s">
        <v>4562</v>
      </c>
      <c r="AD2435" t="s">
        <v>15146</v>
      </c>
      <c r="AE2435" t="s">
        <v>4655</v>
      </c>
      <c r="AF2435" t="s">
        <v>5201</v>
      </c>
      <c r="AG2435" t="s">
        <v>4564</v>
      </c>
      <c r="AH2435" t="s">
        <v>5202</v>
      </c>
      <c r="AI2435" t="s">
        <v>15148</v>
      </c>
      <c r="AJ2435" t="s">
        <v>4655</v>
      </c>
      <c r="AK2435" t="s">
        <v>15149</v>
      </c>
      <c r="AL2435" s="13" t="s">
        <v>3425</v>
      </c>
      <c r="AM2435">
        <v>1</v>
      </c>
      <c r="AN2435" s="15" t="s">
        <v>2747</v>
      </c>
    </row>
    <row r="2436" spans="1:40" x14ac:dyDescent="0.3">
      <c r="A2436" s="10" t="str">
        <f>HYPERLINK("http://www.washoecounty.gov/assessor/cama/?parid=031-182-09&amp;CardNumber=1","031-182-09")</f>
        <v>031-182-09</v>
      </c>
      <c r="B2436" t="s">
        <v>4655</v>
      </c>
      <c r="C2436" t="s">
        <v>15150</v>
      </c>
      <c r="D2436" s="1">
        <v>40535</v>
      </c>
      <c r="E2436" s="2">
        <v>82000</v>
      </c>
      <c r="F2436" t="s">
        <v>4567</v>
      </c>
      <c r="G2436" s="17" t="str">
        <f>HYPERLINK("https://www.washoecounty.gov/assessor/cama/?command=sales&amp;parid=03118209","3956941")</f>
        <v>3956941</v>
      </c>
      <c r="H2436" t="s">
        <v>4854</v>
      </c>
      <c r="I2436">
        <v>1936</v>
      </c>
      <c r="J2436">
        <v>1936</v>
      </c>
      <c r="K2436" t="s">
        <v>4554</v>
      </c>
      <c r="L2436" t="s">
        <v>4555</v>
      </c>
      <c r="M2436" s="2">
        <v>1078</v>
      </c>
      <c r="N2436" t="s">
        <v>4556</v>
      </c>
      <c r="O2436">
        <v>3</v>
      </c>
      <c r="P2436">
        <v>1</v>
      </c>
      <c r="Q2436">
        <v>0</v>
      </c>
      <c r="R2436" t="s">
        <v>4134</v>
      </c>
      <c r="S2436" t="s">
        <v>4574</v>
      </c>
      <c r="T2436" t="s">
        <v>4559</v>
      </c>
      <c r="U2436" t="s">
        <v>4655</v>
      </c>
      <c r="V2436" s="2">
        <v>0</v>
      </c>
      <c r="W2436" t="s">
        <v>4655</v>
      </c>
      <c r="X2436" s="2">
        <v>0</v>
      </c>
      <c r="Y2436">
        <v>20</v>
      </c>
      <c r="Z2436" t="s">
        <v>2081</v>
      </c>
      <c r="AA2436" s="3">
        <v>0.23000459372997301</v>
      </c>
      <c r="AB2436" t="s">
        <v>15151</v>
      </c>
      <c r="AC2436" t="s">
        <v>4562</v>
      </c>
      <c r="AD2436" t="s">
        <v>15150</v>
      </c>
      <c r="AE2436" t="s">
        <v>4655</v>
      </c>
      <c r="AF2436" t="s">
        <v>5201</v>
      </c>
      <c r="AG2436" t="s">
        <v>4564</v>
      </c>
      <c r="AH2436" t="s">
        <v>5202</v>
      </c>
      <c r="AI2436" t="s">
        <v>15152</v>
      </c>
      <c r="AJ2436" t="s">
        <v>4655</v>
      </c>
      <c r="AK2436" t="s">
        <v>15153</v>
      </c>
      <c r="AL2436" s="13" t="s">
        <v>3426</v>
      </c>
      <c r="AM2436" s="14">
        <v>1</v>
      </c>
      <c r="AN2436" s="15" t="s">
        <v>4396</v>
      </c>
    </row>
    <row r="2437" spans="1:40" x14ac:dyDescent="0.3">
      <c r="A2437" s="10" t="str">
        <f>HYPERLINK("http://www.washoecounty.gov/assessor/cama/?parid=031-182-11&amp;CardNumber=1","031-182-11")</f>
        <v>031-182-11</v>
      </c>
      <c r="B2437" t="s">
        <v>4655</v>
      </c>
      <c r="C2437" t="s">
        <v>15154</v>
      </c>
      <c r="D2437" s="1">
        <v>40455</v>
      </c>
      <c r="E2437" s="2">
        <v>51000</v>
      </c>
      <c r="F2437" t="s">
        <v>4567</v>
      </c>
      <c r="G2437" s="17" t="str">
        <f>HYPERLINK("https://www.washoecounty.gov/assessor/cama/?command=sales&amp;parid=03118211","3937124")</f>
        <v>3937124</v>
      </c>
      <c r="H2437" t="s">
        <v>15155</v>
      </c>
      <c r="I2437">
        <v>1936</v>
      </c>
      <c r="J2437">
        <v>1936</v>
      </c>
      <c r="K2437" t="s">
        <v>4554</v>
      </c>
      <c r="L2437" t="s">
        <v>4555</v>
      </c>
      <c r="M2437" s="2">
        <v>878</v>
      </c>
      <c r="N2437" t="s">
        <v>4556</v>
      </c>
      <c r="O2437">
        <v>1</v>
      </c>
      <c r="P2437">
        <v>1</v>
      </c>
      <c r="Q2437">
        <v>0</v>
      </c>
      <c r="R2437" t="s">
        <v>4134</v>
      </c>
      <c r="S2437" t="s">
        <v>1927</v>
      </c>
      <c r="T2437" t="s">
        <v>4559</v>
      </c>
      <c r="U2437" t="s">
        <v>4560</v>
      </c>
      <c r="V2437" s="2">
        <v>238</v>
      </c>
      <c r="W2437" t="s">
        <v>4655</v>
      </c>
      <c r="X2437" s="2">
        <v>0</v>
      </c>
      <c r="Y2437">
        <v>20</v>
      </c>
      <c r="Z2437" t="s">
        <v>2081</v>
      </c>
      <c r="AA2437" s="3">
        <v>0.13799357414245605</v>
      </c>
      <c r="AB2437" t="s">
        <v>15156</v>
      </c>
      <c r="AC2437" t="s">
        <v>4562</v>
      </c>
      <c r="AD2437" t="s">
        <v>15154</v>
      </c>
      <c r="AE2437" t="s">
        <v>4655</v>
      </c>
      <c r="AF2437" t="s">
        <v>4809</v>
      </c>
      <c r="AG2437" t="s">
        <v>4564</v>
      </c>
      <c r="AH2437" t="s">
        <v>5202</v>
      </c>
      <c r="AI2437" t="s">
        <v>1511</v>
      </c>
      <c r="AJ2437" t="s">
        <v>4655</v>
      </c>
      <c r="AK2437" t="s">
        <v>15157</v>
      </c>
      <c r="AL2437" s="13" t="s">
        <v>3426</v>
      </c>
      <c r="AM2437">
        <v>1</v>
      </c>
      <c r="AN2437" s="15" t="s">
        <v>4396</v>
      </c>
    </row>
    <row r="2438" spans="1:40" x14ac:dyDescent="0.3">
      <c r="A2438" s="10" t="str">
        <f>HYPERLINK("http://www.washoecounty.gov/assessor/cama/?parid=031-183-01&amp;CardNumber=1","031-183-01")</f>
        <v>031-183-01</v>
      </c>
      <c r="B2438" t="s">
        <v>4655</v>
      </c>
      <c r="C2438" t="s">
        <v>15158</v>
      </c>
      <c r="D2438" s="1">
        <v>40407</v>
      </c>
      <c r="E2438" s="2">
        <v>59400</v>
      </c>
      <c r="F2438" t="s">
        <v>4553</v>
      </c>
      <c r="G2438" s="17" t="str">
        <f>HYPERLINK("https://www.washoecounty.gov/assessor/cama/?command=sales&amp;parid=03118301","3912604")</f>
        <v>3912604</v>
      </c>
      <c r="H2438" t="s">
        <v>2732</v>
      </c>
      <c r="I2438">
        <v>1946</v>
      </c>
      <c r="J2438">
        <v>1946</v>
      </c>
      <c r="K2438" t="s">
        <v>4554</v>
      </c>
      <c r="L2438" t="s">
        <v>4555</v>
      </c>
      <c r="M2438" s="2">
        <v>720</v>
      </c>
      <c r="N2438" t="s">
        <v>4133</v>
      </c>
      <c r="O2438">
        <v>2</v>
      </c>
      <c r="P2438">
        <v>1</v>
      </c>
      <c r="Q2438">
        <v>0</v>
      </c>
      <c r="R2438" t="s">
        <v>4557</v>
      </c>
      <c r="S2438" t="s">
        <v>4574</v>
      </c>
      <c r="T2438" t="s">
        <v>4559</v>
      </c>
      <c r="U2438" t="s">
        <v>4655</v>
      </c>
      <c r="V2438" s="2">
        <v>0</v>
      </c>
      <c r="W2438" t="s">
        <v>4655</v>
      </c>
      <c r="X2438" s="2">
        <v>0</v>
      </c>
      <c r="Y2438">
        <v>20</v>
      </c>
      <c r="Z2438" t="s">
        <v>2081</v>
      </c>
      <c r="AA2438" s="3">
        <v>5.1997244358062703E-2</v>
      </c>
      <c r="AB2438" t="s">
        <v>15159</v>
      </c>
      <c r="AC2438" t="s">
        <v>4575</v>
      </c>
      <c r="AD2438" t="s">
        <v>15160</v>
      </c>
      <c r="AE2438" t="s">
        <v>4655</v>
      </c>
      <c r="AF2438" t="s">
        <v>4809</v>
      </c>
      <c r="AG2438" t="s">
        <v>4564</v>
      </c>
      <c r="AH2438" t="s">
        <v>5202</v>
      </c>
      <c r="AI2438" t="s">
        <v>15161</v>
      </c>
      <c r="AJ2438" t="s">
        <v>4655</v>
      </c>
      <c r="AK2438" t="s">
        <v>15162</v>
      </c>
      <c r="AL2438" s="13" t="s">
        <v>3426</v>
      </c>
      <c r="AM2438" s="14">
        <v>1</v>
      </c>
      <c r="AN2438" s="15" t="s">
        <v>4396</v>
      </c>
    </row>
    <row r="2439" spans="1:40" x14ac:dyDescent="0.3">
      <c r="A2439" s="10" t="str">
        <f>HYPERLINK("http://www.washoecounty.gov/assessor/cama/?parid=031-191-03&amp;CardNumber=1","031-191-03")</f>
        <v>031-191-03</v>
      </c>
      <c r="B2439" t="s">
        <v>4655</v>
      </c>
      <c r="C2439" t="s">
        <v>15163</v>
      </c>
      <c r="D2439" s="1">
        <v>40417</v>
      </c>
      <c r="E2439" s="2">
        <v>63600</v>
      </c>
      <c r="F2439" t="s">
        <v>4553</v>
      </c>
      <c r="G2439" s="17" t="str">
        <f>HYPERLINK("https://www.washoecounty.gov/assessor/cama/?command=sales&amp;parid=03119103","3916320")</f>
        <v>3916320</v>
      </c>
      <c r="H2439" t="s">
        <v>15164</v>
      </c>
      <c r="I2439">
        <v>1908</v>
      </c>
      <c r="J2439">
        <v>1908</v>
      </c>
      <c r="K2439" t="s">
        <v>4554</v>
      </c>
      <c r="L2439" t="s">
        <v>4555</v>
      </c>
      <c r="M2439" s="2">
        <v>880</v>
      </c>
      <c r="N2439" t="s">
        <v>4133</v>
      </c>
      <c r="O2439">
        <v>2</v>
      </c>
      <c r="P2439">
        <v>1</v>
      </c>
      <c r="Q2439">
        <v>0</v>
      </c>
      <c r="R2439" t="s">
        <v>4134</v>
      </c>
      <c r="S2439" t="s">
        <v>4558</v>
      </c>
      <c r="T2439" t="s">
        <v>4559</v>
      </c>
      <c r="U2439" t="s">
        <v>4655</v>
      </c>
      <c r="V2439" s="2">
        <v>0</v>
      </c>
      <c r="W2439" t="s">
        <v>4655</v>
      </c>
      <c r="X2439" s="2">
        <v>0</v>
      </c>
      <c r="Y2439">
        <v>20</v>
      </c>
      <c r="Z2439" t="s">
        <v>2081</v>
      </c>
      <c r="AA2439" s="3">
        <v>0.13799357414245605</v>
      </c>
      <c r="AB2439" t="s">
        <v>15165</v>
      </c>
      <c r="AC2439" t="s">
        <v>4562</v>
      </c>
      <c r="AD2439" t="s">
        <v>15166</v>
      </c>
      <c r="AE2439" t="s">
        <v>4655</v>
      </c>
      <c r="AF2439" t="s">
        <v>5201</v>
      </c>
      <c r="AG2439" t="s">
        <v>4564</v>
      </c>
      <c r="AH2439" t="s">
        <v>5202</v>
      </c>
      <c r="AI2439" t="s">
        <v>4503</v>
      </c>
      <c r="AJ2439" t="s">
        <v>4655</v>
      </c>
      <c r="AK2439" t="s">
        <v>15167</v>
      </c>
      <c r="AL2439" s="13" t="s">
        <v>3426</v>
      </c>
      <c r="AM2439" s="14">
        <v>1</v>
      </c>
      <c r="AN2439" s="15" t="s">
        <v>4396</v>
      </c>
    </row>
    <row r="2440" spans="1:40" x14ac:dyDescent="0.3">
      <c r="A2440" s="10" t="str">
        <f>HYPERLINK("http://www.washoecounty.gov/assessor/cama/?parid=031-201-17&amp;CardNumber=1","031-201-17")</f>
        <v>031-201-17</v>
      </c>
      <c r="B2440" t="s">
        <v>4655</v>
      </c>
      <c r="C2440" t="s">
        <v>15168</v>
      </c>
      <c r="D2440" s="1">
        <v>40324</v>
      </c>
      <c r="E2440" s="2">
        <v>66900</v>
      </c>
      <c r="F2440" t="s">
        <v>4567</v>
      </c>
      <c r="G2440" s="17" t="str">
        <f>HYPERLINK("https://www.washoecounty.gov/assessor/cama/?command=sales&amp;parid=03120117","3885682")</f>
        <v>3885682</v>
      </c>
      <c r="H2440" t="s">
        <v>15169</v>
      </c>
      <c r="I2440">
        <v>1946</v>
      </c>
      <c r="J2440">
        <v>1951</v>
      </c>
      <c r="K2440" t="s">
        <v>4554</v>
      </c>
      <c r="L2440" t="s">
        <v>4555</v>
      </c>
      <c r="M2440" s="2">
        <v>936</v>
      </c>
      <c r="N2440" t="s">
        <v>4133</v>
      </c>
      <c r="O2440">
        <v>3</v>
      </c>
      <c r="P2440">
        <v>1</v>
      </c>
      <c r="Q2440">
        <v>0</v>
      </c>
      <c r="R2440" t="s">
        <v>4134</v>
      </c>
      <c r="S2440" t="s">
        <v>4574</v>
      </c>
      <c r="T2440" t="s">
        <v>4559</v>
      </c>
      <c r="U2440" t="s">
        <v>4655</v>
      </c>
      <c r="V2440" s="2">
        <v>0</v>
      </c>
      <c r="W2440" t="s">
        <v>4655</v>
      </c>
      <c r="X2440" s="2">
        <v>0</v>
      </c>
      <c r="Y2440">
        <v>20</v>
      </c>
      <c r="Z2440" t="s">
        <v>2081</v>
      </c>
      <c r="AA2440" s="3">
        <v>0.123966939747334</v>
      </c>
      <c r="AB2440" t="s">
        <v>15170</v>
      </c>
      <c r="AC2440" t="s">
        <v>4562</v>
      </c>
      <c r="AD2440" t="s">
        <v>15168</v>
      </c>
      <c r="AE2440" t="s">
        <v>4655</v>
      </c>
      <c r="AF2440" t="s">
        <v>5201</v>
      </c>
      <c r="AG2440" t="s">
        <v>4564</v>
      </c>
      <c r="AH2440" t="s">
        <v>5202</v>
      </c>
      <c r="AI2440" t="s">
        <v>15171</v>
      </c>
      <c r="AJ2440" t="s">
        <v>15172</v>
      </c>
      <c r="AK2440" t="s">
        <v>15173</v>
      </c>
      <c r="AL2440" s="13" t="s">
        <v>3426</v>
      </c>
      <c r="AM2440">
        <v>1</v>
      </c>
      <c r="AN2440" s="15" t="s">
        <v>4396</v>
      </c>
    </row>
    <row r="2441" spans="1:40" x14ac:dyDescent="0.3">
      <c r="A2441" s="10" t="str">
        <f>HYPERLINK("http://www.washoecounty.gov/assessor/cama/?parid=031-204-03&amp;CardNumber=1","031-204-03")</f>
        <v>031-204-03</v>
      </c>
      <c r="B2441" t="s">
        <v>4655</v>
      </c>
      <c r="C2441" t="s">
        <v>15174</v>
      </c>
      <c r="D2441" s="1">
        <v>40291</v>
      </c>
      <c r="E2441" s="2">
        <v>53000</v>
      </c>
      <c r="F2441" t="s">
        <v>4553</v>
      </c>
      <c r="G2441" s="17" t="str">
        <f>HYPERLINK("https://www.washoecounty.gov/assessor/cama/?command=sales&amp;parid=03120403","3873878")</f>
        <v>3873878</v>
      </c>
      <c r="H2441" t="s">
        <v>4854</v>
      </c>
      <c r="I2441">
        <v>1940</v>
      </c>
      <c r="J2441">
        <v>1940</v>
      </c>
      <c r="K2441" t="s">
        <v>4554</v>
      </c>
      <c r="L2441" t="s">
        <v>4555</v>
      </c>
      <c r="M2441" s="2">
        <v>1170</v>
      </c>
      <c r="N2441" t="s">
        <v>4556</v>
      </c>
      <c r="O2441">
        <v>3</v>
      </c>
      <c r="P2441">
        <v>1</v>
      </c>
      <c r="Q2441">
        <v>0</v>
      </c>
      <c r="R2441" t="s">
        <v>4557</v>
      </c>
      <c r="S2441" t="s">
        <v>4898</v>
      </c>
      <c r="T2441" t="s">
        <v>4559</v>
      </c>
      <c r="U2441" t="s">
        <v>4655</v>
      </c>
      <c r="V2441" s="2">
        <v>0</v>
      </c>
      <c r="W2441" t="s">
        <v>4655</v>
      </c>
      <c r="X2441" s="2">
        <v>0</v>
      </c>
      <c r="Y2441">
        <v>20</v>
      </c>
      <c r="Z2441" t="s">
        <v>2081</v>
      </c>
      <c r="AA2441" s="3">
        <v>0.13799357414245605</v>
      </c>
      <c r="AB2441" t="s">
        <v>15175</v>
      </c>
      <c r="AC2441" t="s">
        <v>4562</v>
      </c>
      <c r="AD2441" t="s">
        <v>15176</v>
      </c>
      <c r="AE2441" t="s">
        <v>4655</v>
      </c>
      <c r="AF2441" t="s">
        <v>5201</v>
      </c>
      <c r="AG2441" t="s">
        <v>4564</v>
      </c>
      <c r="AH2441" t="s">
        <v>1350</v>
      </c>
      <c r="AI2441" t="s">
        <v>4565</v>
      </c>
      <c r="AJ2441" t="s">
        <v>4655</v>
      </c>
      <c r="AK2441" t="s">
        <v>15177</v>
      </c>
      <c r="AL2441" s="13" t="s">
        <v>3426</v>
      </c>
      <c r="AM2441">
        <v>1</v>
      </c>
      <c r="AN2441" s="15" t="s">
        <v>4396</v>
      </c>
    </row>
    <row r="2442" spans="1:40" x14ac:dyDescent="0.3">
      <c r="A2442" s="10" t="str">
        <f>HYPERLINK("http://www.washoecounty.gov/assessor/cama/?parid=031-204-06&amp;CardNumber=1","031-204-06")</f>
        <v>031-204-06</v>
      </c>
      <c r="B2442" t="s">
        <v>5502</v>
      </c>
      <c r="C2442" t="s">
        <v>15178</v>
      </c>
      <c r="D2442" s="1">
        <v>40451</v>
      </c>
      <c r="E2442" s="2">
        <v>80000</v>
      </c>
      <c r="F2442" t="s">
        <v>3259</v>
      </c>
      <c r="G2442" s="17" t="str">
        <f>HYPERLINK("https://www.washoecounty.gov/assessor/cama/?command=sales&amp;parid=03120406","3928225")</f>
        <v>3928225</v>
      </c>
      <c r="H2442" t="s">
        <v>4854</v>
      </c>
      <c r="I2442">
        <v>1944</v>
      </c>
      <c r="J2442">
        <v>1944</v>
      </c>
      <c r="K2442" t="s">
        <v>4907</v>
      </c>
      <c r="L2442" t="s">
        <v>4555</v>
      </c>
      <c r="M2442" s="2">
        <v>820</v>
      </c>
      <c r="N2442" t="s">
        <v>4556</v>
      </c>
      <c r="O2442">
        <v>4</v>
      </c>
      <c r="P2442">
        <v>2</v>
      </c>
      <c r="Q2442">
        <v>0</v>
      </c>
      <c r="R2442" t="s">
        <v>4134</v>
      </c>
      <c r="S2442" t="s">
        <v>4682</v>
      </c>
      <c r="T2442" t="s">
        <v>4559</v>
      </c>
      <c r="U2442" t="s">
        <v>4655</v>
      </c>
      <c r="V2442" s="2">
        <v>0</v>
      </c>
      <c r="W2442" t="s">
        <v>4655</v>
      </c>
      <c r="X2442" s="2">
        <v>0</v>
      </c>
      <c r="Y2442">
        <v>32</v>
      </c>
      <c r="Z2442" t="s">
        <v>2081</v>
      </c>
      <c r="AA2442" s="3">
        <v>0.13799357414245605</v>
      </c>
      <c r="AB2442" t="s">
        <v>15179</v>
      </c>
      <c r="AC2442" t="s">
        <v>4562</v>
      </c>
      <c r="AD2442" t="s">
        <v>15180</v>
      </c>
      <c r="AE2442" t="s">
        <v>4655</v>
      </c>
      <c r="AF2442" t="s">
        <v>4563</v>
      </c>
      <c r="AG2442" t="s">
        <v>4564</v>
      </c>
      <c r="AH2442">
        <v>89509</v>
      </c>
      <c r="AI2442" t="s">
        <v>4565</v>
      </c>
      <c r="AJ2442" t="s">
        <v>4655</v>
      </c>
      <c r="AK2442" t="s">
        <v>15181</v>
      </c>
      <c r="AL2442" s="13" t="s">
        <v>3426</v>
      </c>
      <c r="AM2442">
        <v>3</v>
      </c>
      <c r="AN2442" s="15" t="s">
        <v>5501</v>
      </c>
    </row>
    <row r="2443" spans="1:40" x14ac:dyDescent="0.3">
      <c r="A2443" s="10" t="str">
        <f>HYPERLINK("http://www.washoecounty.gov/assessor/cama/?parid=031-221-07&amp;CardNumber=1","031-221-07")</f>
        <v>031-221-07</v>
      </c>
      <c r="B2443" t="s">
        <v>4655</v>
      </c>
      <c r="C2443" t="s">
        <v>15182</v>
      </c>
      <c r="D2443" s="1">
        <v>40322</v>
      </c>
      <c r="E2443" s="2">
        <v>111300</v>
      </c>
      <c r="F2443" t="s">
        <v>4553</v>
      </c>
      <c r="G2443" s="17" t="str">
        <f>HYPERLINK("https://www.washoecounty.gov/assessor/cama/?command=sales&amp;parid=03122107","3884499")</f>
        <v>3884499</v>
      </c>
      <c r="H2443" t="s">
        <v>4296</v>
      </c>
      <c r="I2443">
        <v>1998</v>
      </c>
      <c r="J2443">
        <v>1998</v>
      </c>
      <c r="K2443" t="s">
        <v>3043</v>
      </c>
      <c r="L2443" t="s">
        <v>3974</v>
      </c>
      <c r="M2443" s="2">
        <v>1976</v>
      </c>
      <c r="N2443" t="s">
        <v>4556</v>
      </c>
      <c r="O2443">
        <v>9</v>
      </c>
      <c r="P2443">
        <v>3</v>
      </c>
      <c r="Q2443">
        <v>0</v>
      </c>
      <c r="R2443" t="s">
        <v>4134</v>
      </c>
      <c r="S2443" t="s">
        <v>4135</v>
      </c>
      <c r="T2443" t="s">
        <v>4559</v>
      </c>
      <c r="U2443" t="s">
        <v>5631</v>
      </c>
      <c r="V2443" s="2">
        <v>680</v>
      </c>
      <c r="W2443" t="s">
        <v>4655</v>
      </c>
      <c r="X2443" s="2">
        <v>0</v>
      </c>
      <c r="Y2443">
        <v>32</v>
      </c>
      <c r="Z2443" t="s">
        <v>2081</v>
      </c>
      <c r="AA2443" s="3">
        <v>0.16099633276462599</v>
      </c>
      <c r="AB2443" t="s">
        <v>12955</v>
      </c>
      <c r="AC2443" t="s">
        <v>4562</v>
      </c>
      <c r="AD2443" t="s">
        <v>12956</v>
      </c>
      <c r="AE2443" t="s">
        <v>4655</v>
      </c>
      <c r="AF2443" t="s">
        <v>12957</v>
      </c>
      <c r="AG2443" t="s">
        <v>4584</v>
      </c>
      <c r="AH2443" t="s">
        <v>2485</v>
      </c>
      <c r="AI2443" t="s">
        <v>15183</v>
      </c>
      <c r="AJ2443" t="s">
        <v>4655</v>
      </c>
      <c r="AK2443" t="s">
        <v>15184</v>
      </c>
      <c r="AL2443" s="13" t="s">
        <v>1886</v>
      </c>
      <c r="AM2443">
        <v>3</v>
      </c>
      <c r="AN2443" s="15" t="s">
        <v>5501</v>
      </c>
    </row>
    <row r="2444" spans="1:40" x14ac:dyDescent="0.3">
      <c r="A2444" s="10" t="str">
        <f>HYPERLINK("http://www.washoecounty.gov/assessor/cama/?parid=031-221-08&amp;CardNumber=1","031-221-08")</f>
        <v>031-221-08</v>
      </c>
      <c r="B2444" t="s">
        <v>4655</v>
      </c>
      <c r="C2444" t="s">
        <v>15185</v>
      </c>
      <c r="D2444" s="1">
        <v>40277</v>
      </c>
      <c r="E2444" s="2">
        <v>156900</v>
      </c>
      <c r="F2444" t="s">
        <v>4553</v>
      </c>
      <c r="G2444" s="17" t="str">
        <f>HYPERLINK("https://www.washoecounty.gov/assessor/cama/?command=sales&amp;parid=03122108","3869627")</f>
        <v>3869627</v>
      </c>
      <c r="H2444" t="s">
        <v>4296</v>
      </c>
      <c r="I2444">
        <v>1996</v>
      </c>
      <c r="J2444">
        <v>1996</v>
      </c>
      <c r="K2444" t="s">
        <v>3043</v>
      </c>
      <c r="L2444" t="s">
        <v>3974</v>
      </c>
      <c r="M2444" s="2">
        <v>1940</v>
      </c>
      <c r="N2444" t="s">
        <v>4556</v>
      </c>
      <c r="O2444">
        <v>9</v>
      </c>
      <c r="P2444">
        <v>3</v>
      </c>
      <c r="Q2444">
        <v>0</v>
      </c>
      <c r="R2444" t="s">
        <v>4134</v>
      </c>
      <c r="S2444" t="s">
        <v>4135</v>
      </c>
      <c r="T2444" t="s">
        <v>4559</v>
      </c>
      <c r="U2444" t="s">
        <v>5631</v>
      </c>
      <c r="V2444" s="2">
        <v>640</v>
      </c>
      <c r="W2444" t="s">
        <v>4655</v>
      </c>
      <c r="X2444" s="2">
        <v>0</v>
      </c>
      <c r="Y2444">
        <v>32</v>
      </c>
      <c r="Z2444" t="s">
        <v>2081</v>
      </c>
      <c r="AA2444" s="3">
        <v>0.16099633276462599</v>
      </c>
      <c r="AB2444" t="s">
        <v>15186</v>
      </c>
      <c r="AC2444" t="s">
        <v>4562</v>
      </c>
      <c r="AD2444" t="s">
        <v>15187</v>
      </c>
      <c r="AE2444" t="s">
        <v>4655</v>
      </c>
      <c r="AF2444" t="s">
        <v>5201</v>
      </c>
      <c r="AG2444" t="s">
        <v>4564</v>
      </c>
      <c r="AH2444" t="s">
        <v>5202</v>
      </c>
      <c r="AI2444" t="s">
        <v>4903</v>
      </c>
      <c r="AJ2444" t="s">
        <v>4655</v>
      </c>
      <c r="AK2444" t="s">
        <v>15184</v>
      </c>
      <c r="AL2444" s="13" t="s">
        <v>3425</v>
      </c>
      <c r="AM2444">
        <v>3</v>
      </c>
      <c r="AN2444" s="15" t="s">
        <v>5501</v>
      </c>
    </row>
    <row r="2445" spans="1:40" x14ac:dyDescent="0.3">
      <c r="A2445" s="10" t="str">
        <f>HYPERLINK("http://www.washoecounty.gov/assessor/cama/?parid=031-222-09&amp;CardNumber=1","031-222-09")</f>
        <v>031-222-09</v>
      </c>
      <c r="B2445" t="s">
        <v>4655</v>
      </c>
      <c r="C2445" t="s">
        <v>15188</v>
      </c>
      <c r="D2445" s="1">
        <v>40298</v>
      </c>
      <c r="E2445" s="2">
        <v>127000</v>
      </c>
      <c r="F2445" t="s">
        <v>4567</v>
      </c>
      <c r="G2445" s="17" t="str">
        <f>HYPERLINK("https://www.washoecounty.gov/assessor/cama/?command=sales&amp;parid=03122209","3876940")</f>
        <v>3876940</v>
      </c>
      <c r="H2445" t="s">
        <v>15189</v>
      </c>
      <c r="I2445">
        <v>1950</v>
      </c>
      <c r="J2445">
        <v>1950</v>
      </c>
      <c r="K2445" t="s">
        <v>4554</v>
      </c>
      <c r="L2445" t="s">
        <v>4555</v>
      </c>
      <c r="M2445" s="2">
        <v>1202</v>
      </c>
      <c r="N2445" t="s">
        <v>4556</v>
      </c>
      <c r="O2445">
        <v>3</v>
      </c>
      <c r="P2445">
        <v>1</v>
      </c>
      <c r="Q2445">
        <v>0</v>
      </c>
      <c r="R2445" t="s">
        <v>4557</v>
      </c>
      <c r="S2445" t="s">
        <v>4135</v>
      </c>
      <c r="T2445" t="s">
        <v>4559</v>
      </c>
      <c r="U2445" t="s">
        <v>4560</v>
      </c>
      <c r="V2445" s="2">
        <v>350</v>
      </c>
      <c r="W2445" t="s">
        <v>4655</v>
      </c>
      <c r="X2445" s="2">
        <v>0</v>
      </c>
      <c r="Y2445">
        <v>20</v>
      </c>
      <c r="Z2445" t="s">
        <v>2081</v>
      </c>
      <c r="AA2445" s="3">
        <v>0.17899449169635773</v>
      </c>
      <c r="AB2445" t="s">
        <v>15190</v>
      </c>
      <c r="AC2445" t="s">
        <v>4562</v>
      </c>
      <c r="AD2445" t="s">
        <v>15188</v>
      </c>
      <c r="AE2445" t="s">
        <v>4655</v>
      </c>
      <c r="AF2445" t="s">
        <v>5201</v>
      </c>
      <c r="AG2445" t="s">
        <v>4564</v>
      </c>
      <c r="AH2445" t="s">
        <v>5202</v>
      </c>
      <c r="AI2445" t="s">
        <v>15191</v>
      </c>
      <c r="AJ2445" t="s">
        <v>4655</v>
      </c>
      <c r="AK2445" t="s">
        <v>15189</v>
      </c>
      <c r="AL2445" s="13" t="s">
        <v>1886</v>
      </c>
      <c r="AM2445">
        <v>1</v>
      </c>
      <c r="AN2445" s="15" t="s">
        <v>4396</v>
      </c>
    </row>
    <row r="2446" spans="1:40" x14ac:dyDescent="0.3">
      <c r="A2446" s="10" t="str">
        <f>HYPERLINK("http://www.washoecounty.gov/assessor/cama/?parid=031-231-03&amp;CardNumber=1","031-231-03")</f>
        <v>031-231-03</v>
      </c>
      <c r="B2446" t="s">
        <v>4655</v>
      </c>
      <c r="C2446" t="s">
        <v>15192</v>
      </c>
      <c r="D2446" s="1">
        <v>40420</v>
      </c>
      <c r="E2446" s="2">
        <v>56500</v>
      </c>
      <c r="F2446" t="s">
        <v>4553</v>
      </c>
      <c r="G2446" s="17" t="str">
        <f>HYPERLINK("https://www.washoecounty.gov/assessor/cama/?command=sales&amp;parid=03123103","3916907")</f>
        <v>3916907</v>
      </c>
      <c r="H2446" t="s">
        <v>4296</v>
      </c>
      <c r="I2446">
        <v>1947</v>
      </c>
      <c r="J2446">
        <v>1947</v>
      </c>
      <c r="K2446" t="s">
        <v>4554</v>
      </c>
      <c r="L2446" t="s">
        <v>4555</v>
      </c>
      <c r="M2446" s="2">
        <v>825</v>
      </c>
      <c r="N2446" t="s">
        <v>4133</v>
      </c>
      <c r="O2446">
        <v>2</v>
      </c>
      <c r="P2446">
        <v>1</v>
      </c>
      <c r="Q2446">
        <v>0</v>
      </c>
      <c r="R2446" t="s">
        <v>4134</v>
      </c>
      <c r="S2446" t="s">
        <v>4574</v>
      </c>
      <c r="T2446" t="s">
        <v>4559</v>
      </c>
      <c r="U2446" t="s">
        <v>4655</v>
      </c>
      <c r="V2446" s="2">
        <v>0</v>
      </c>
      <c r="W2446" t="s">
        <v>4655</v>
      </c>
      <c r="X2446" s="2">
        <v>0</v>
      </c>
      <c r="Y2446">
        <v>20</v>
      </c>
      <c r="Z2446" t="s">
        <v>2081</v>
      </c>
      <c r="AA2446" s="3">
        <v>0.17899449169635773</v>
      </c>
      <c r="AB2446" t="s">
        <v>15193</v>
      </c>
      <c r="AC2446" t="s">
        <v>4562</v>
      </c>
      <c r="AD2446" t="s">
        <v>15194</v>
      </c>
      <c r="AE2446" t="s">
        <v>4655</v>
      </c>
      <c r="AF2446" t="s">
        <v>4809</v>
      </c>
      <c r="AG2446" t="s">
        <v>4564</v>
      </c>
      <c r="AH2446" t="s">
        <v>5202</v>
      </c>
      <c r="AI2446" t="s">
        <v>4145</v>
      </c>
      <c r="AJ2446" t="s">
        <v>4655</v>
      </c>
      <c r="AK2446" t="s">
        <v>15195</v>
      </c>
      <c r="AL2446" s="13" t="s">
        <v>1886</v>
      </c>
      <c r="AM2446" s="14">
        <v>1</v>
      </c>
      <c r="AN2446" s="15" t="s">
        <v>4396</v>
      </c>
    </row>
    <row r="2447" spans="1:40" x14ac:dyDescent="0.3">
      <c r="A2447" s="10" t="str">
        <f>HYPERLINK("http://www.washoecounty.gov/assessor/cama/?parid=031-241-37&amp;CardNumber=1","031-241-37")</f>
        <v>031-241-37</v>
      </c>
      <c r="B2447" t="s">
        <v>4655</v>
      </c>
      <c r="C2447" t="s">
        <v>15196</v>
      </c>
      <c r="D2447" s="1">
        <v>40401</v>
      </c>
      <c r="E2447" s="2">
        <v>475000</v>
      </c>
      <c r="F2447" t="s">
        <v>3259</v>
      </c>
      <c r="G2447" s="17" t="str">
        <f>HYPERLINK("https://www.washoecounty.gov/assessor/cama/?command=sales&amp;parid=03124137","3910768")</f>
        <v>3910768</v>
      </c>
      <c r="H2447" t="s">
        <v>4655</v>
      </c>
      <c r="I2447">
        <v>1962</v>
      </c>
      <c r="J2447">
        <v>1974</v>
      </c>
      <c r="K2447" t="s">
        <v>207</v>
      </c>
      <c r="L2447" t="s">
        <v>1366</v>
      </c>
      <c r="M2447" s="2">
        <v>2880</v>
      </c>
      <c r="N2447" t="s">
        <v>4672</v>
      </c>
      <c r="O2447">
        <v>0</v>
      </c>
      <c r="P2447">
        <v>0</v>
      </c>
      <c r="Q2447">
        <v>0</v>
      </c>
      <c r="R2447" t="s">
        <v>1395</v>
      </c>
      <c r="S2447" t="s">
        <v>1369</v>
      </c>
      <c r="T2447" t="s">
        <v>4655</v>
      </c>
      <c r="U2447" t="s">
        <v>4655</v>
      </c>
      <c r="V2447" s="2">
        <v>0</v>
      </c>
      <c r="W2447" t="s">
        <v>4655</v>
      </c>
      <c r="X2447" s="2">
        <v>0</v>
      </c>
      <c r="Y2447">
        <v>40</v>
      </c>
      <c r="Z2447" t="s">
        <v>2081</v>
      </c>
      <c r="AA2447" s="3">
        <v>0.394008278846741</v>
      </c>
      <c r="AB2447" t="s">
        <v>15197</v>
      </c>
      <c r="AC2447" t="s">
        <v>4562</v>
      </c>
      <c r="AD2447" t="s">
        <v>15198</v>
      </c>
      <c r="AE2447" t="s">
        <v>4655</v>
      </c>
      <c r="AF2447" t="s">
        <v>2526</v>
      </c>
      <c r="AG2447" t="s">
        <v>4564</v>
      </c>
      <c r="AH2447">
        <v>89408</v>
      </c>
      <c r="AI2447" t="s">
        <v>15199</v>
      </c>
      <c r="AJ2447" t="s">
        <v>4655</v>
      </c>
      <c r="AK2447" t="s">
        <v>15200</v>
      </c>
      <c r="AL2447" s="13" t="s">
        <v>3426</v>
      </c>
      <c r="AM2447">
        <v>1</v>
      </c>
      <c r="AN2447" s="15" t="s">
        <v>4858</v>
      </c>
    </row>
    <row r="2448" spans="1:40" x14ac:dyDescent="0.3">
      <c r="A2448" s="10" t="str">
        <f>HYPERLINK("http://www.washoecounty.gov/assessor/cama/?parid=031-271-05&amp;CardNumber=1","031-271-05")</f>
        <v>031-271-05</v>
      </c>
      <c r="B2448" t="s">
        <v>4655</v>
      </c>
      <c r="C2448" t="s">
        <v>15201</v>
      </c>
      <c r="D2448" s="1">
        <v>40359</v>
      </c>
      <c r="E2448" s="2">
        <v>197000</v>
      </c>
      <c r="F2448" t="s">
        <v>4567</v>
      </c>
      <c r="G2448" s="17" t="str">
        <f>HYPERLINK("https://www.washoecounty.gov/assessor/cama/?command=sales&amp;parid=03127105","3897043")</f>
        <v>3897043</v>
      </c>
      <c r="H2448" t="s">
        <v>15202</v>
      </c>
      <c r="I2448">
        <v>2002</v>
      </c>
      <c r="J2448">
        <v>2002</v>
      </c>
      <c r="K2448" t="s">
        <v>4907</v>
      </c>
      <c r="L2448" t="s">
        <v>4555</v>
      </c>
      <c r="M2448" s="2">
        <v>2695</v>
      </c>
      <c r="N2448" t="s">
        <v>4048</v>
      </c>
      <c r="O2448">
        <v>6</v>
      </c>
      <c r="P2448">
        <v>4</v>
      </c>
      <c r="Q2448">
        <v>0</v>
      </c>
      <c r="R2448" t="s">
        <v>4557</v>
      </c>
      <c r="S2448" t="s">
        <v>4558</v>
      </c>
      <c r="T2448" t="s">
        <v>4559</v>
      </c>
      <c r="U2448" t="s">
        <v>4560</v>
      </c>
      <c r="V2448" s="2">
        <v>396</v>
      </c>
      <c r="W2448" t="s">
        <v>4655</v>
      </c>
      <c r="X2448" s="2">
        <v>0</v>
      </c>
      <c r="Y2448">
        <v>30</v>
      </c>
      <c r="Z2448" t="s">
        <v>2081</v>
      </c>
      <c r="AA2448" s="3">
        <v>0.13799357414245605</v>
      </c>
      <c r="AB2448" t="s">
        <v>15203</v>
      </c>
      <c r="AC2448" t="s">
        <v>4562</v>
      </c>
      <c r="AD2448" t="s">
        <v>15201</v>
      </c>
      <c r="AE2448" t="s">
        <v>4655</v>
      </c>
      <c r="AF2448" t="s">
        <v>5201</v>
      </c>
      <c r="AG2448" t="s">
        <v>4564</v>
      </c>
      <c r="AH2448" t="s">
        <v>5202</v>
      </c>
      <c r="AI2448" t="s">
        <v>15204</v>
      </c>
      <c r="AJ2448" t="s">
        <v>4655</v>
      </c>
      <c r="AK2448" t="s">
        <v>15205</v>
      </c>
      <c r="AL2448" s="13" t="s">
        <v>3426</v>
      </c>
      <c r="AM2448" s="14">
        <v>2</v>
      </c>
      <c r="AN2448" s="15" t="s">
        <v>5501</v>
      </c>
    </row>
    <row r="2449" spans="1:40" x14ac:dyDescent="0.3">
      <c r="A2449" s="10" t="str">
        <f>HYPERLINK("http://www.washoecounty.gov/assessor/cama/?parid=031-271-10&amp;CardNumber=1","031-271-10")</f>
        <v>031-271-10</v>
      </c>
      <c r="B2449" t="s">
        <v>4655</v>
      </c>
      <c r="C2449" t="s">
        <v>15206</v>
      </c>
      <c r="D2449" s="1">
        <v>40276</v>
      </c>
      <c r="E2449" s="2">
        <v>114500</v>
      </c>
      <c r="F2449" t="s">
        <v>4567</v>
      </c>
      <c r="G2449" s="17" t="str">
        <f>HYPERLINK("https://www.washoecounty.gov/assessor/cama/?command=sales&amp;parid=03127110","3868803")</f>
        <v>3868803</v>
      </c>
      <c r="H2449" t="s">
        <v>15207</v>
      </c>
      <c r="I2449">
        <v>1945</v>
      </c>
      <c r="J2449">
        <v>1945</v>
      </c>
      <c r="K2449" t="s">
        <v>4554</v>
      </c>
      <c r="L2449" t="s">
        <v>4555</v>
      </c>
      <c r="M2449" s="2">
        <v>1560</v>
      </c>
      <c r="N2449" t="s">
        <v>4556</v>
      </c>
      <c r="O2449">
        <v>3</v>
      </c>
      <c r="P2449">
        <v>2</v>
      </c>
      <c r="Q2449">
        <v>0</v>
      </c>
      <c r="R2449" t="s">
        <v>4557</v>
      </c>
      <c r="S2449" t="s">
        <v>4682</v>
      </c>
      <c r="T2449" t="s">
        <v>4559</v>
      </c>
      <c r="U2449" t="s">
        <v>4655</v>
      </c>
      <c r="V2449" s="2">
        <v>0</v>
      </c>
      <c r="W2449" t="s">
        <v>3149</v>
      </c>
      <c r="X2449" s="2">
        <v>900</v>
      </c>
      <c r="Y2449">
        <v>20</v>
      </c>
      <c r="Z2449" t="s">
        <v>2081</v>
      </c>
      <c r="AA2449" s="3">
        <v>0.13799357414245605</v>
      </c>
      <c r="AB2449" t="s">
        <v>15208</v>
      </c>
      <c r="AC2449" t="s">
        <v>4575</v>
      </c>
      <c r="AD2449" t="s">
        <v>15206</v>
      </c>
      <c r="AE2449" t="s">
        <v>4655</v>
      </c>
      <c r="AF2449" t="s">
        <v>5201</v>
      </c>
      <c r="AG2449" t="s">
        <v>4564</v>
      </c>
      <c r="AH2449" t="s">
        <v>5202</v>
      </c>
      <c r="AI2449" t="s">
        <v>4655</v>
      </c>
      <c r="AJ2449" t="s">
        <v>4655</v>
      </c>
      <c r="AK2449" t="s">
        <v>15209</v>
      </c>
      <c r="AL2449" s="13" t="s">
        <v>3426</v>
      </c>
      <c r="AM2449">
        <v>1</v>
      </c>
      <c r="AN2449" s="15" t="s">
        <v>4396</v>
      </c>
    </row>
    <row r="2450" spans="1:40" x14ac:dyDescent="0.3">
      <c r="A2450" s="10" t="str">
        <f>HYPERLINK("http://www.washoecounty.gov/assessor/cama/?parid=031-273-11&amp;CardNumber=1","031-273-11")</f>
        <v>031-273-11</v>
      </c>
      <c r="B2450" t="s">
        <v>5502</v>
      </c>
      <c r="C2450" t="s">
        <v>15210</v>
      </c>
      <c r="D2450" s="1">
        <v>40416</v>
      </c>
      <c r="E2450" s="2">
        <v>119000</v>
      </c>
      <c r="F2450" t="s">
        <v>4567</v>
      </c>
      <c r="G2450" s="17" t="str">
        <f>HYPERLINK("https://www.washoecounty.gov/assessor/cama/?command=sales&amp;parid=03127311","3915942")</f>
        <v>3915942</v>
      </c>
      <c r="H2450" t="s">
        <v>15211</v>
      </c>
      <c r="I2450">
        <v>1949</v>
      </c>
      <c r="J2450">
        <v>1957</v>
      </c>
      <c r="K2450" t="s">
        <v>4554</v>
      </c>
      <c r="L2450" t="s">
        <v>4555</v>
      </c>
      <c r="M2450" s="2">
        <v>877</v>
      </c>
      <c r="N2450" t="s">
        <v>4133</v>
      </c>
      <c r="O2450">
        <v>2</v>
      </c>
      <c r="P2450">
        <v>1</v>
      </c>
      <c r="Q2450">
        <v>0</v>
      </c>
      <c r="R2450" t="s">
        <v>4134</v>
      </c>
      <c r="S2450" t="s">
        <v>4558</v>
      </c>
      <c r="T2450" t="s">
        <v>4559</v>
      </c>
      <c r="U2450" t="s">
        <v>4655</v>
      </c>
      <c r="V2450" s="2">
        <v>0</v>
      </c>
      <c r="W2450" t="s">
        <v>3149</v>
      </c>
      <c r="X2450" s="2">
        <v>216</v>
      </c>
      <c r="Y2450">
        <v>32</v>
      </c>
      <c r="Z2450" t="s">
        <v>2081</v>
      </c>
      <c r="AA2450" s="3">
        <v>0.13799357414245605</v>
      </c>
      <c r="AB2450" t="s">
        <v>12955</v>
      </c>
      <c r="AC2450" t="s">
        <v>4562</v>
      </c>
      <c r="AD2450" t="s">
        <v>12956</v>
      </c>
      <c r="AE2450" t="s">
        <v>4655</v>
      </c>
      <c r="AF2450" t="s">
        <v>12957</v>
      </c>
      <c r="AG2450" t="s">
        <v>4584</v>
      </c>
      <c r="AH2450" t="s">
        <v>2485</v>
      </c>
      <c r="AI2450" t="s">
        <v>12958</v>
      </c>
      <c r="AJ2450" t="s">
        <v>4655</v>
      </c>
      <c r="AK2450" t="s">
        <v>15212</v>
      </c>
      <c r="AL2450" s="13" t="s">
        <v>3426</v>
      </c>
      <c r="AM2450" s="14">
        <v>3</v>
      </c>
      <c r="AN2450" s="15" t="s">
        <v>5501</v>
      </c>
    </row>
    <row r="2451" spans="1:40" x14ac:dyDescent="0.3">
      <c r="A2451" s="10" t="str">
        <f>HYPERLINK("http://www.washoecounty.gov/assessor/cama/?parid=031-274-14&amp;CardNumber=1","031-274-14")</f>
        <v>031-274-14</v>
      </c>
      <c r="B2451" t="s">
        <v>4655</v>
      </c>
      <c r="C2451" t="s">
        <v>15213</v>
      </c>
      <c r="D2451" s="1">
        <v>40326</v>
      </c>
      <c r="E2451" s="2">
        <v>127000</v>
      </c>
      <c r="F2451" t="s">
        <v>4567</v>
      </c>
      <c r="G2451" s="17" t="str">
        <f>HYPERLINK("https://www.washoecounty.gov/assessor/cama/?command=sales&amp;parid=03127414","3886784")</f>
        <v>3886784</v>
      </c>
      <c r="H2451" t="s">
        <v>15214</v>
      </c>
      <c r="I2451">
        <v>1938</v>
      </c>
      <c r="J2451">
        <v>1938</v>
      </c>
      <c r="K2451" t="s">
        <v>4554</v>
      </c>
      <c r="L2451" t="s">
        <v>4555</v>
      </c>
      <c r="M2451" s="2">
        <v>884</v>
      </c>
      <c r="N2451" t="s">
        <v>4556</v>
      </c>
      <c r="O2451">
        <v>2</v>
      </c>
      <c r="P2451">
        <v>2</v>
      </c>
      <c r="Q2451">
        <v>0</v>
      </c>
      <c r="R2451" t="s">
        <v>4557</v>
      </c>
      <c r="S2451" t="s">
        <v>4135</v>
      </c>
      <c r="T2451" t="s">
        <v>4559</v>
      </c>
      <c r="U2451" t="s">
        <v>4655</v>
      </c>
      <c r="V2451" s="2">
        <v>0</v>
      </c>
      <c r="W2451" t="s">
        <v>4571</v>
      </c>
      <c r="X2451" s="2">
        <v>884</v>
      </c>
      <c r="Y2451">
        <v>20</v>
      </c>
      <c r="Z2451" t="s">
        <v>2081</v>
      </c>
      <c r="AA2451" s="3">
        <v>5.5991735309362398E-2</v>
      </c>
      <c r="AB2451" t="s">
        <v>15215</v>
      </c>
      <c r="AC2451" t="s">
        <v>4562</v>
      </c>
      <c r="AD2451" t="s">
        <v>15216</v>
      </c>
      <c r="AE2451" t="s">
        <v>4655</v>
      </c>
      <c r="AF2451" t="s">
        <v>5201</v>
      </c>
      <c r="AG2451" t="s">
        <v>4564</v>
      </c>
      <c r="AH2451" t="s">
        <v>5202</v>
      </c>
      <c r="AI2451" t="s">
        <v>15217</v>
      </c>
      <c r="AJ2451" t="s">
        <v>4655</v>
      </c>
      <c r="AK2451" t="s">
        <v>15218</v>
      </c>
      <c r="AL2451" s="13" t="s">
        <v>3426</v>
      </c>
      <c r="AM2451">
        <v>1</v>
      </c>
      <c r="AN2451" s="15" t="s">
        <v>4396</v>
      </c>
    </row>
    <row r="2452" spans="1:40" x14ac:dyDescent="0.3">
      <c r="A2452" s="10" t="str">
        <f>HYPERLINK("http://www.washoecounty.gov/assessor/cama/?parid=031-281-23&amp;CardNumber=1","031-281-23")</f>
        <v>031-281-23</v>
      </c>
      <c r="B2452" t="s">
        <v>4655</v>
      </c>
      <c r="C2452" t="s">
        <v>15219</v>
      </c>
      <c r="D2452" s="1">
        <v>40506</v>
      </c>
      <c r="E2452" s="2">
        <v>62500</v>
      </c>
      <c r="F2452" t="s">
        <v>4553</v>
      </c>
      <c r="G2452" s="17" t="str">
        <f>HYPERLINK("https://www.washoecounty.gov/assessor/cama/?command=sales&amp;parid=03128123","3946814")</f>
        <v>3946814</v>
      </c>
      <c r="H2452" t="s">
        <v>15220</v>
      </c>
      <c r="I2452">
        <v>1930</v>
      </c>
      <c r="J2452">
        <v>1951</v>
      </c>
      <c r="K2452" t="s">
        <v>4554</v>
      </c>
      <c r="L2452" t="s">
        <v>4555</v>
      </c>
      <c r="M2452" s="2">
        <v>864</v>
      </c>
      <c r="N2452" t="s">
        <v>4133</v>
      </c>
      <c r="O2452">
        <v>2</v>
      </c>
      <c r="P2452">
        <v>2</v>
      </c>
      <c r="Q2452">
        <v>0</v>
      </c>
      <c r="R2452" t="s">
        <v>4134</v>
      </c>
      <c r="S2452" t="s">
        <v>4135</v>
      </c>
      <c r="T2452" t="s">
        <v>4559</v>
      </c>
      <c r="U2452" t="s">
        <v>4655</v>
      </c>
      <c r="V2452" s="2">
        <v>0</v>
      </c>
      <c r="W2452" t="s">
        <v>4655</v>
      </c>
      <c r="X2452" s="2">
        <v>0</v>
      </c>
      <c r="Y2452">
        <v>20</v>
      </c>
      <c r="Z2452" t="s">
        <v>2081</v>
      </c>
      <c r="AA2452" s="3">
        <v>6.4003676176071195E-2</v>
      </c>
      <c r="AB2452" t="s">
        <v>15221</v>
      </c>
      <c r="AC2452" t="s">
        <v>4562</v>
      </c>
      <c r="AD2452" t="s">
        <v>15222</v>
      </c>
      <c r="AE2452" t="s">
        <v>4655</v>
      </c>
      <c r="AF2452" t="s">
        <v>4563</v>
      </c>
      <c r="AG2452" t="s">
        <v>4564</v>
      </c>
      <c r="AH2452">
        <v>89502</v>
      </c>
      <c r="AI2452" t="s">
        <v>11</v>
      </c>
      <c r="AJ2452" t="s">
        <v>4655</v>
      </c>
      <c r="AK2452" t="s">
        <v>15223</v>
      </c>
      <c r="AL2452" s="13" t="s">
        <v>3426</v>
      </c>
      <c r="AM2452" s="14">
        <v>1</v>
      </c>
      <c r="AN2452" s="15" t="s">
        <v>4396</v>
      </c>
    </row>
    <row r="2453" spans="1:40" x14ac:dyDescent="0.3">
      <c r="A2453" s="10" t="str">
        <f>HYPERLINK("http://www.washoecounty.gov/assessor/cama/?parid=031-282-02&amp;CardNumber=1","031-282-02")</f>
        <v>031-282-02</v>
      </c>
      <c r="B2453" t="s">
        <v>4655</v>
      </c>
      <c r="C2453" t="s">
        <v>15224</v>
      </c>
      <c r="D2453" s="1">
        <v>40380</v>
      </c>
      <c r="E2453" s="2">
        <v>100000</v>
      </c>
      <c r="F2453" t="s">
        <v>4567</v>
      </c>
      <c r="G2453" s="17" t="str">
        <f>HYPERLINK("https://www.washoecounty.gov/assessor/cama/?command=sales&amp;parid=03128202","3903600")</f>
        <v>3903600</v>
      </c>
      <c r="H2453" t="s">
        <v>15225</v>
      </c>
      <c r="I2453">
        <v>1968</v>
      </c>
      <c r="J2453">
        <v>1968</v>
      </c>
      <c r="K2453" t="s">
        <v>4907</v>
      </c>
      <c r="L2453" t="s">
        <v>4555</v>
      </c>
      <c r="M2453" s="2">
        <v>1536</v>
      </c>
      <c r="N2453" t="s">
        <v>4048</v>
      </c>
      <c r="O2453">
        <v>4</v>
      </c>
      <c r="P2453">
        <v>2</v>
      </c>
      <c r="Q2453">
        <v>0</v>
      </c>
      <c r="R2453" t="s">
        <v>4557</v>
      </c>
      <c r="S2453" t="s">
        <v>3148</v>
      </c>
      <c r="T2453" t="s">
        <v>4559</v>
      </c>
      <c r="U2453" t="s">
        <v>4655</v>
      </c>
      <c r="V2453" s="2">
        <v>0</v>
      </c>
      <c r="W2453" t="s">
        <v>4655</v>
      </c>
      <c r="X2453" s="2">
        <v>0</v>
      </c>
      <c r="Y2453">
        <v>30</v>
      </c>
      <c r="Z2453" t="s">
        <v>2081</v>
      </c>
      <c r="AA2453" s="3">
        <v>0.13799357414245605</v>
      </c>
      <c r="AB2453" t="s">
        <v>15226</v>
      </c>
      <c r="AC2453" t="s">
        <v>4562</v>
      </c>
      <c r="AD2453" t="s">
        <v>15224</v>
      </c>
      <c r="AE2453" t="s">
        <v>4655</v>
      </c>
      <c r="AF2453" t="s">
        <v>5201</v>
      </c>
      <c r="AG2453" t="s">
        <v>4564</v>
      </c>
      <c r="AH2453" t="s">
        <v>5202</v>
      </c>
      <c r="AI2453" t="s">
        <v>15227</v>
      </c>
      <c r="AJ2453" t="s">
        <v>4655</v>
      </c>
      <c r="AK2453" t="s">
        <v>15228</v>
      </c>
      <c r="AL2453" s="13" t="s">
        <v>3426</v>
      </c>
      <c r="AM2453">
        <v>2</v>
      </c>
      <c r="AN2453" s="15" t="s">
        <v>5501</v>
      </c>
    </row>
    <row r="2454" spans="1:40" x14ac:dyDescent="0.3">
      <c r="A2454" s="10" t="str">
        <f>HYPERLINK("http://www.washoecounty.gov/assessor/cama/?parid=031-282-04&amp;CardNumber=1","031-282-04")</f>
        <v>031-282-04</v>
      </c>
      <c r="B2454" t="s">
        <v>4655</v>
      </c>
      <c r="C2454" t="s">
        <v>15229</v>
      </c>
      <c r="D2454" s="1">
        <v>40309</v>
      </c>
      <c r="E2454" s="2">
        <v>63600</v>
      </c>
      <c r="F2454" t="s">
        <v>4567</v>
      </c>
      <c r="G2454" s="17" t="str">
        <f>HYPERLINK("https://www.washoecounty.gov/assessor/cama/?command=sales&amp;parid=03128204","3880447")</f>
        <v>3880447</v>
      </c>
      <c r="H2454" t="s">
        <v>15230</v>
      </c>
      <c r="I2454">
        <v>1940</v>
      </c>
      <c r="J2454">
        <v>1940</v>
      </c>
      <c r="K2454" t="s">
        <v>4554</v>
      </c>
      <c r="L2454" t="s">
        <v>4555</v>
      </c>
      <c r="M2454" s="2">
        <v>768</v>
      </c>
      <c r="N2454" t="s">
        <v>4133</v>
      </c>
      <c r="O2454">
        <v>2</v>
      </c>
      <c r="P2454">
        <v>1</v>
      </c>
      <c r="Q2454">
        <v>0</v>
      </c>
      <c r="R2454" t="s">
        <v>4557</v>
      </c>
      <c r="S2454" t="s">
        <v>4558</v>
      </c>
      <c r="T2454" t="s">
        <v>4559</v>
      </c>
      <c r="U2454" t="s">
        <v>4655</v>
      </c>
      <c r="V2454" s="2">
        <v>0</v>
      </c>
      <c r="W2454" t="s">
        <v>4655</v>
      </c>
      <c r="X2454" s="2">
        <v>0</v>
      </c>
      <c r="Y2454">
        <v>20</v>
      </c>
      <c r="Z2454" t="s">
        <v>2081</v>
      </c>
      <c r="AA2454" s="3">
        <v>0.11799816042184801</v>
      </c>
      <c r="AB2454" t="s">
        <v>15231</v>
      </c>
      <c r="AC2454" t="s">
        <v>4562</v>
      </c>
      <c r="AD2454" t="s">
        <v>15229</v>
      </c>
      <c r="AE2454" t="s">
        <v>4655</v>
      </c>
      <c r="AF2454" t="s">
        <v>4809</v>
      </c>
      <c r="AG2454" t="s">
        <v>4564</v>
      </c>
      <c r="AH2454" t="s">
        <v>5202</v>
      </c>
      <c r="AI2454" t="s">
        <v>15232</v>
      </c>
      <c r="AJ2454" t="s">
        <v>4655</v>
      </c>
      <c r="AK2454" t="s">
        <v>15233</v>
      </c>
      <c r="AL2454" s="13" t="s">
        <v>3426</v>
      </c>
      <c r="AM2454" s="14">
        <v>1</v>
      </c>
      <c r="AN2454" s="15" t="s">
        <v>4396</v>
      </c>
    </row>
    <row r="2455" spans="1:40" x14ac:dyDescent="0.3">
      <c r="A2455" s="10" t="str">
        <f>HYPERLINK("http://www.washoecounty.gov/assessor/cama/?parid=031-282-14&amp;CardNumber=1","031-282-14")</f>
        <v>031-282-14</v>
      </c>
      <c r="B2455" t="s">
        <v>5502</v>
      </c>
      <c r="C2455" t="s">
        <v>15234</v>
      </c>
      <c r="D2455" s="1">
        <v>40326</v>
      </c>
      <c r="E2455" s="2">
        <v>235000</v>
      </c>
      <c r="F2455" t="s">
        <v>3259</v>
      </c>
      <c r="G2455" s="17" t="str">
        <f>HYPERLINK("https://www.washoecounty.gov/assessor/cama/?command=sales&amp;parid=03128214","3886648")</f>
        <v>3886648</v>
      </c>
      <c r="H2455" t="s">
        <v>4854</v>
      </c>
      <c r="I2455">
        <v>1945</v>
      </c>
      <c r="J2455">
        <v>1945</v>
      </c>
      <c r="K2455" t="s">
        <v>4554</v>
      </c>
      <c r="L2455" t="s">
        <v>3886</v>
      </c>
      <c r="M2455" s="2">
        <v>1300</v>
      </c>
      <c r="N2455" t="s">
        <v>4556</v>
      </c>
      <c r="O2455">
        <v>3</v>
      </c>
      <c r="P2455">
        <v>1</v>
      </c>
      <c r="Q2455">
        <v>0</v>
      </c>
      <c r="R2455" t="s">
        <v>4557</v>
      </c>
      <c r="S2455" t="s">
        <v>4135</v>
      </c>
      <c r="T2455" t="s">
        <v>2947</v>
      </c>
      <c r="U2455" t="s">
        <v>4655</v>
      </c>
      <c r="V2455" s="2">
        <v>0</v>
      </c>
      <c r="W2455" t="s">
        <v>4655</v>
      </c>
      <c r="X2455" s="2">
        <v>0</v>
      </c>
      <c r="Y2455">
        <v>32</v>
      </c>
      <c r="Z2455" t="s">
        <v>2081</v>
      </c>
      <c r="AA2455" s="3">
        <v>0.13799357414245605</v>
      </c>
      <c r="AB2455" t="s">
        <v>15235</v>
      </c>
      <c r="AC2455" t="s">
        <v>4575</v>
      </c>
      <c r="AD2455" t="s">
        <v>2665</v>
      </c>
      <c r="AE2455" t="s">
        <v>4655</v>
      </c>
      <c r="AF2455" t="s">
        <v>4563</v>
      </c>
      <c r="AG2455" t="s">
        <v>4564</v>
      </c>
      <c r="AH2455" t="s">
        <v>1147</v>
      </c>
      <c r="AI2455" t="s">
        <v>15236</v>
      </c>
      <c r="AJ2455" t="s">
        <v>4655</v>
      </c>
      <c r="AK2455" t="s">
        <v>15237</v>
      </c>
      <c r="AL2455" s="13" t="s">
        <v>3426</v>
      </c>
      <c r="AM2455">
        <v>4</v>
      </c>
      <c r="AN2455" s="15" t="s">
        <v>5501</v>
      </c>
    </row>
    <row r="2456" spans="1:40" x14ac:dyDescent="0.3">
      <c r="A2456" s="10" t="str">
        <f>HYPERLINK("http://www.washoecounty.gov/assessor/cama/?parid=031-292-48&amp;CardNumber=1","031-292-48")</f>
        <v>031-292-48</v>
      </c>
      <c r="B2456" t="s">
        <v>4655</v>
      </c>
      <c r="C2456" t="s">
        <v>15238</v>
      </c>
      <c r="D2456" s="1">
        <v>40421</v>
      </c>
      <c r="E2456" s="2">
        <v>140000</v>
      </c>
      <c r="F2456" t="s">
        <v>4567</v>
      </c>
      <c r="G2456" s="17" t="str">
        <f>HYPERLINK("https://www.washoecounty.gov/assessor/cama/?command=sales&amp;parid=03129248","3917242")</f>
        <v>3917242</v>
      </c>
      <c r="H2456" t="s">
        <v>4715</v>
      </c>
      <c r="I2456">
        <v>1973</v>
      </c>
      <c r="J2456">
        <v>1973</v>
      </c>
      <c r="K2456" t="s">
        <v>3043</v>
      </c>
      <c r="L2456" t="s">
        <v>4555</v>
      </c>
      <c r="M2456" s="2">
        <v>2640</v>
      </c>
      <c r="N2456" t="s">
        <v>4556</v>
      </c>
      <c r="O2456">
        <v>4</v>
      </c>
      <c r="P2456">
        <v>4</v>
      </c>
      <c r="Q2456">
        <v>0</v>
      </c>
      <c r="R2456" t="s">
        <v>4557</v>
      </c>
      <c r="S2456" t="s">
        <v>4558</v>
      </c>
      <c r="T2456" t="s">
        <v>4559</v>
      </c>
      <c r="U2456" t="s">
        <v>4655</v>
      </c>
      <c r="V2456" s="2">
        <v>0</v>
      </c>
      <c r="W2456" t="s">
        <v>4655</v>
      </c>
      <c r="X2456" s="2">
        <v>0</v>
      </c>
      <c r="Y2456">
        <v>32</v>
      </c>
      <c r="Z2456" t="s">
        <v>2081</v>
      </c>
      <c r="AA2456" s="3">
        <v>0.15798898041248299</v>
      </c>
      <c r="AB2456" t="s">
        <v>1506</v>
      </c>
      <c r="AC2456" t="s">
        <v>4562</v>
      </c>
      <c r="AD2456" t="s">
        <v>1912</v>
      </c>
      <c r="AE2456" t="s">
        <v>4655</v>
      </c>
      <c r="AF2456" t="s">
        <v>4563</v>
      </c>
      <c r="AG2456" t="s">
        <v>4564</v>
      </c>
      <c r="AH2456">
        <v>89511</v>
      </c>
      <c r="AI2456" t="s">
        <v>15239</v>
      </c>
      <c r="AJ2456" t="s">
        <v>4655</v>
      </c>
      <c r="AK2456" t="s">
        <v>2292</v>
      </c>
      <c r="AL2456" s="13" t="s">
        <v>3426</v>
      </c>
      <c r="AM2456">
        <v>4</v>
      </c>
      <c r="AN2456" s="15" t="s">
        <v>5501</v>
      </c>
    </row>
    <row r="2457" spans="1:40" x14ac:dyDescent="0.3">
      <c r="A2457" s="10" t="str">
        <f>HYPERLINK("http://www.washoecounty.gov/assessor/cama/?parid=031-330-11&amp;CardNumber=1","031-330-11")</f>
        <v>031-330-11</v>
      </c>
      <c r="B2457" t="s">
        <v>4655</v>
      </c>
      <c r="C2457" t="s">
        <v>15240</v>
      </c>
      <c r="D2457" s="1">
        <v>40221</v>
      </c>
      <c r="E2457" s="2">
        <v>39900</v>
      </c>
      <c r="F2457" t="s">
        <v>4553</v>
      </c>
      <c r="G2457" s="17" t="str">
        <f>HYPERLINK("https://www.washoecounty.gov/assessor/cama/?command=sales&amp;parid=03133011","3849203")</f>
        <v>3849203</v>
      </c>
      <c r="H2457" t="s">
        <v>15241</v>
      </c>
      <c r="I2457">
        <v>1949</v>
      </c>
      <c r="J2457">
        <v>1949</v>
      </c>
      <c r="K2457" t="s">
        <v>4554</v>
      </c>
      <c r="L2457" t="s">
        <v>4555</v>
      </c>
      <c r="M2457" s="2">
        <v>930</v>
      </c>
      <c r="N2457" t="s">
        <v>4133</v>
      </c>
      <c r="O2457">
        <v>1</v>
      </c>
      <c r="P2457">
        <v>1</v>
      </c>
      <c r="Q2457">
        <v>0</v>
      </c>
      <c r="R2457" t="s">
        <v>4134</v>
      </c>
      <c r="S2457" t="s">
        <v>4558</v>
      </c>
      <c r="T2457" t="s">
        <v>4559</v>
      </c>
      <c r="U2457" t="s">
        <v>4655</v>
      </c>
      <c r="V2457" s="2">
        <v>0</v>
      </c>
      <c r="W2457" t="s">
        <v>4655</v>
      </c>
      <c r="X2457" s="2">
        <v>0</v>
      </c>
      <c r="Y2457">
        <v>20</v>
      </c>
      <c r="Z2457" t="s">
        <v>2081</v>
      </c>
      <c r="AA2457" s="3">
        <v>0.18099173903465299</v>
      </c>
      <c r="AB2457" t="s">
        <v>15242</v>
      </c>
      <c r="AC2457" t="s">
        <v>4562</v>
      </c>
      <c r="AD2457" t="s">
        <v>4814</v>
      </c>
      <c r="AE2457" t="s">
        <v>4655</v>
      </c>
      <c r="AF2457" t="s">
        <v>5201</v>
      </c>
      <c r="AG2457" t="s">
        <v>4564</v>
      </c>
      <c r="AH2457" t="s">
        <v>5202</v>
      </c>
      <c r="AI2457" t="s">
        <v>15243</v>
      </c>
      <c r="AJ2457" t="s">
        <v>4655</v>
      </c>
      <c r="AK2457" t="s">
        <v>15244</v>
      </c>
      <c r="AL2457" s="13" t="s">
        <v>3426</v>
      </c>
      <c r="AM2457" s="14">
        <v>1</v>
      </c>
      <c r="AN2457" s="15" t="s">
        <v>4396</v>
      </c>
    </row>
    <row r="2458" spans="1:40" x14ac:dyDescent="0.3">
      <c r="A2458" s="10" t="str">
        <f>HYPERLINK("http://www.washoecounty.gov/assessor/cama/?parid=031-341-13&amp;CardNumber=1","031-341-13")</f>
        <v>031-341-13</v>
      </c>
      <c r="B2458" t="s">
        <v>4655</v>
      </c>
      <c r="C2458" t="s">
        <v>15245</v>
      </c>
      <c r="D2458" s="1">
        <v>40388</v>
      </c>
      <c r="E2458" s="2">
        <v>69000</v>
      </c>
      <c r="F2458" t="s">
        <v>4567</v>
      </c>
      <c r="G2458" s="17" t="str">
        <f>HYPERLINK("https://www.washoecounty.gov/assessor/cama/?command=sales&amp;parid=03134113","3906647")</f>
        <v>3906647</v>
      </c>
      <c r="H2458" t="s">
        <v>2732</v>
      </c>
      <c r="I2458">
        <v>1946</v>
      </c>
      <c r="J2458">
        <v>1946</v>
      </c>
      <c r="K2458" t="s">
        <v>4554</v>
      </c>
      <c r="L2458" t="s">
        <v>3886</v>
      </c>
      <c r="M2458" s="2">
        <v>1423</v>
      </c>
      <c r="N2458" t="s">
        <v>4133</v>
      </c>
      <c r="O2458">
        <v>4</v>
      </c>
      <c r="P2458">
        <v>1</v>
      </c>
      <c r="Q2458">
        <v>0</v>
      </c>
      <c r="R2458" t="s">
        <v>4134</v>
      </c>
      <c r="S2458" t="s">
        <v>4135</v>
      </c>
      <c r="T2458" t="s">
        <v>4559</v>
      </c>
      <c r="U2458" t="s">
        <v>4655</v>
      </c>
      <c r="V2458" s="2">
        <v>0</v>
      </c>
      <c r="W2458" t="s">
        <v>4655</v>
      </c>
      <c r="X2458" s="2">
        <v>0</v>
      </c>
      <c r="Y2458">
        <v>20</v>
      </c>
      <c r="Z2458" t="s">
        <v>2081</v>
      </c>
      <c r="AA2458" s="3">
        <v>0.13799357414245605</v>
      </c>
      <c r="AB2458" t="s">
        <v>12955</v>
      </c>
      <c r="AC2458" t="s">
        <v>4562</v>
      </c>
      <c r="AD2458" t="s">
        <v>12956</v>
      </c>
      <c r="AE2458" t="s">
        <v>4655</v>
      </c>
      <c r="AF2458" t="s">
        <v>12957</v>
      </c>
      <c r="AG2458" t="s">
        <v>4584</v>
      </c>
      <c r="AH2458" t="s">
        <v>2485</v>
      </c>
      <c r="AI2458" t="s">
        <v>15183</v>
      </c>
      <c r="AJ2458" t="s">
        <v>4655</v>
      </c>
      <c r="AK2458" t="s">
        <v>15246</v>
      </c>
      <c r="AL2458" s="13" t="s">
        <v>3426</v>
      </c>
      <c r="AM2458">
        <v>1</v>
      </c>
      <c r="AN2458" s="15" t="s">
        <v>4396</v>
      </c>
    </row>
    <row r="2459" spans="1:40" x14ac:dyDescent="0.3">
      <c r="A2459" s="10" t="str">
        <f>HYPERLINK("http://www.washoecounty.gov/assessor/cama/?parid=031-341-15&amp;CardNumber=1","031-341-15")</f>
        <v>031-341-15</v>
      </c>
      <c r="B2459" t="s">
        <v>4655</v>
      </c>
      <c r="C2459" t="s">
        <v>15247</v>
      </c>
      <c r="D2459" s="1">
        <v>40541</v>
      </c>
      <c r="E2459" s="2">
        <v>220000</v>
      </c>
      <c r="F2459" t="s">
        <v>4567</v>
      </c>
      <c r="G2459" s="17" t="str">
        <f>HYPERLINK("https://www.washoecounty.gov/assessor/cama/?command=sales&amp;parid=03134115","3958700")</f>
        <v>3958700</v>
      </c>
      <c r="H2459" t="s">
        <v>4854</v>
      </c>
      <c r="I2459">
        <v>1993</v>
      </c>
      <c r="J2459">
        <v>1993</v>
      </c>
      <c r="K2459" t="s">
        <v>3043</v>
      </c>
      <c r="L2459" t="s">
        <v>3974</v>
      </c>
      <c r="M2459" s="2">
        <v>4420</v>
      </c>
      <c r="N2459" t="s">
        <v>4048</v>
      </c>
      <c r="O2459">
        <v>8</v>
      </c>
      <c r="P2459">
        <v>8</v>
      </c>
      <c r="Q2459">
        <v>0</v>
      </c>
      <c r="R2459" t="s">
        <v>4557</v>
      </c>
      <c r="S2459" t="s">
        <v>4558</v>
      </c>
      <c r="T2459" t="s">
        <v>4559</v>
      </c>
      <c r="U2459" t="s">
        <v>4655</v>
      </c>
      <c r="V2459" s="2">
        <v>0</v>
      </c>
      <c r="W2459" t="s">
        <v>4655</v>
      </c>
      <c r="X2459" s="2">
        <v>0</v>
      </c>
      <c r="Y2459">
        <v>32</v>
      </c>
      <c r="Z2459" t="s">
        <v>2081</v>
      </c>
      <c r="AA2459" s="3">
        <v>0.13799357414245605</v>
      </c>
      <c r="AB2459" t="s">
        <v>1506</v>
      </c>
      <c r="AC2459" t="s">
        <v>4562</v>
      </c>
      <c r="AD2459" t="s">
        <v>15247</v>
      </c>
      <c r="AE2459" t="s">
        <v>4655</v>
      </c>
      <c r="AF2459" t="s">
        <v>5201</v>
      </c>
      <c r="AG2459" t="s">
        <v>4564</v>
      </c>
      <c r="AH2459" t="s">
        <v>5202</v>
      </c>
      <c r="AI2459" t="s">
        <v>15248</v>
      </c>
      <c r="AJ2459" t="s">
        <v>4655</v>
      </c>
      <c r="AK2459" t="s">
        <v>15249</v>
      </c>
      <c r="AL2459" s="13" t="s">
        <v>3426</v>
      </c>
      <c r="AM2459">
        <v>4</v>
      </c>
      <c r="AN2459" s="15" t="s">
        <v>5501</v>
      </c>
    </row>
    <row r="2460" spans="1:40" x14ac:dyDescent="0.3">
      <c r="A2460" s="10" t="str">
        <f>HYPERLINK("http://www.washoecounty.gov/assessor/cama/?parid=031-352-13&amp;CardNumber=1","031-352-13")</f>
        <v>031-352-13</v>
      </c>
      <c r="B2460" t="s">
        <v>5502</v>
      </c>
      <c r="C2460" t="s">
        <v>15250</v>
      </c>
      <c r="D2460" s="1">
        <v>40317</v>
      </c>
      <c r="E2460" s="2">
        <v>93000</v>
      </c>
      <c r="F2460" t="s">
        <v>4553</v>
      </c>
      <c r="G2460" s="17" t="str">
        <f>HYPERLINK("https://www.washoecounty.gov/assessor/cama/?command=sales&amp;parid=03135213","3882901")</f>
        <v>3882901</v>
      </c>
      <c r="H2460" t="s">
        <v>4854</v>
      </c>
      <c r="I2460">
        <v>1937</v>
      </c>
      <c r="J2460">
        <v>1937</v>
      </c>
      <c r="K2460" t="s">
        <v>4554</v>
      </c>
      <c r="L2460" t="s">
        <v>4555</v>
      </c>
      <c r="M2460" s="2">
        <v>1053</v>
      </c>
      <c r="N2460" t="s">
        <v>4556</v>
      </c>
      <c r="O2460">
        <v>3</v>
      </c>
      <c r="P2460">
        <v>2</v>
      </c>
      <c r="Q2460">
        <v>0</v>
      </c>
      <c r="R2460" t="s">
        <v>4557</v>
      </c>
      <c r="S2460" t="s">
        <v>4135</v>
      </c>
      <c r="T2460" t="s">
        <v>4559</v>
      </c>
      <c r="U2460" t="s">
        <v>4655</v>
      </c>
      <c r="V2460" s="2">
        <v>0</v>
      </c>
      <c r="W2460" t="s">
        <v>4655</v>
      </c>
      <c r="X2460" s="2">
        <v>0</v>
      </c>
      <c r="Y2460">
        <v>31</v>
      </c>
      <c r="Z2460" t="s">
        <v>2081</v>
      </c>
      <c r="AA2460" s="3">
        <v>0.13799357414245605</v>
      </c>
      <c r="AB2460" t="s">
        <v>15251</v>
      </c>
      <c r="AC2460" t="s">
        <v>4562</v>
      </c>
      <c r="AD2460" t="s">
        <v>15252</v>
      </c>
      <c r="AE2460" t="s">
        <v>15253</v>
      </c>
      <c r="AF2460" t="s">
        <v>3114</v>
      </c>
      <c r="AG2460" t="s">
        <v>4564</v>
      </c>
      <c r="AH2460">
        <v>89502</v>
      </c>
      <c r="AI2460" t="s">
        <v>4045</v>
      </c>
      <c r="AJ2460" t="s">
        <v>4655</v>
      </c>
      <c r="AK2460" t="s">
        <v>15254</v>
      </c>
      <c r="AL2460" s="13" t="s">
        <v>3426</v>
      </c>
      <c r="AM2460">
        <v>2</v>
      </c>
      <c r="AN2460" s="15" t="s">
        <v>5501</v>
      </c>
    </row>
    <row r="2461" spans="1:40" x14ac:dyDescent="0.3">
      <c r="A2461" s="10" t="str">
        <f>HYPERLINK("http://www.washoecounty.gov/assessor/cama/?parid=031-353-07&amp;CardNumber=1","031-353-07")</f>
        <v>031-353-07</v>
      </c>
      <c r="B2461" t="s">
        <v>4655</v>
      </c>
      <c r="C2461" t="s">
        <v>15255</v>
      </c>
      <c r="D2461" s="1">
        <v>40375</v>
      </c>
      <c r="E2461" s="2">
        <v>100000</v>
      </c>
      <c r="F2461" t="s">
        <v>3259</v>
      </c>
      <c r="G2461" s="17" t="str">
        <f>HYPERLINK("https://www.washoecounty.gov/assessor/cama/?command=sales&amp;parid=03135307","3902377")</f>
        <v>3902377</v>
      </c>
      <c r="H2461" t="s">
        <v>15256</v>
      </c>
      <c r="I2461">
        <v>1962</v>
      </c>
      <c r="J2461">
        <v>1962</v>
      </c>
      <c r="K2461" t="s">
        <v>1365</v>
      </c>
      <c r="L2461" t="s">
        <v>1366</v>
      </c>
      <c r="M2461" s="2">
        <v>1112</v>
      </c>
      <c r="N2461" t="s">
        <v>4672</v>
      </c>
      <c r="O2461">
        <v>0</v>
      </c>
      <c r="P2461">
        <v>0</v>
      </c>
      <c r="Q2461">
        <v>0</v>
      </c>
      <c r="R2461" t="s">
        <v>1368</v>
      </c>
      <c r="S2461" t="s">
        <v>15257</v>
      </c>
      <c r="T2461" t="s">
        <v>4655</v>
      </c>
      <c r="U2461" t="s">
        <v>4655</v>
      </c>
      <c r="V2461" s="2">
        <v>0</v>
      </c>
      <c r="W2461" t="s">
        <v>4655</v>
      </c>
      <c r="X2461" s="2">
        <v>0</v>
      </c>
      <c r="Y2461">
        <v>40</v>
      </c>
      <c r="Z2461" t="s">
        <v>2081</v>
      </c>
      <c r="AA2461" s="3">
        <v>0.24299816787242889</v>
      </c>
      <c r="AB2461" t="s">
        <v>15258</v>
      </c>
      <c r="AC2461" t="s">
        <v>4575</v>
      </c>
      <c r="AD2461" t="s">
        <v>15259</v>
      </c>
      <c r="AE2461" t="s">
        <v>1425</v>
      </c>
      <c r="AF2461" t="s">
        <v>4563</v>
      </c>
      <c r="AG2461" t="s">
        <v>4564</v>
      </c>
      <c r="AH2461">
        <v>89502</v>
      </c>
      <c r="AI2461" t="s">
        <v>15260</v>
      </c>
      <c r="AJ2461" t="s">
        <v>4655</v>
      </c>
      <c r="AK2461" t="s">
        <v>15261</v>
      </c>
      <c r="AL2461" s="13" t="s">
        <v>3426</v>
      </c>
      <c r="AM2461">
        <v>1</v>
      </c>
      <c r="AN2461" s="15" t="s">
        <v>4858</v>
      </c>
    </row>
    <row r="2462" spans="1:40" x14ac:dyDescent="0.3">
      <c r="A2462" s="10" t="str">
        <f>HYPERLINK("http://www.washoecounty.gov/assessor/cama/?parid=031-353-09&amp;CardNumber=1","031-353-09")</f>
        <v>031-353-09</v>
      </c>
      <c r="B2462" t="s">
        <v>5502</v>
      </c>
      <c r="C2462" t="s">
        <v>15262</v>
      </c>
      <c r="D2462" s="1">
        <v>40343</v>
      </c>
      <c r="E2462" s="2">
        <v>305000</v>
      </c>
      <c r="F2462" t="s">
        <v>4187</v>
      </c>
      <c r="G2462" s="17" t="str">
        <f>HYPERLINK("https://www.washoecounty.gov/assessor/cama/?command=sales&amp;parid=03135309","3891619")</f>
        <v>3891619</v>
      </c>
      <c r="H2462" t="s">
        <v>15263</v>
      </c>
      <c r="I2462">
        <v>1920</v>
      </c>
      <c r="J2462">
        <v>1920</v>
      </c>
      <c r="K2462" t="s">
        <v>4554</v>
      </c>
      <c r="L2462" t="s">
        <v>4555</v>
      </c>
      <c r="M2462" s="2">
        <v>882</v>
      </c>
      <c r="N2462" t="s">
        <v>4133</v>
      </c>
      <c r="O2462">
        <v>0</v>
      </c>
      <c r="P2462">
        <v>1</v>
      </c>
      <c r="Q2462">
        <v>0</v>
      </c>
      <c r="R2462" t="s">
        <v>4134</v>
      </c>
      <c r="S2462" t="s">
        <v>4558</v>
      </c>
      <c r="T2462" t="s">
        <v>4559</v>
      </c>
      <c r="U2462" t="s">
        <v>4655</v>
      </c>
      <c r="V2462" s="2">
        <v>0</v>
      </c>
      <c r="W2462" t="s">
        <v>4655</v>
      </c>
      <c r="X2462" s="2">
        <v>0</v>
      </c>
      <c r="Y2462">
        <v>40</v>
      </c>
      <c r="Z2462" t="s">
        <v>2081</v>
      </c>
      <c r="AA2462" s="3">
        <v>0.207988977432251</v>
      </c>
      <c r="AB2462" t="s">
        <v>15264</v>
      </c>
      <c r="AC2462" t="s">
        <v>4575</v>
      </c>
      <c r="AD2462" t="s">
        <v>15265</v>
      </c>
      <c r="AE2462" t="s">
        <v>15266</v>
      </c>
      <c r="AF2462" t="s">
        <v>4809</v>
      </c>
      <c r="AG2462" t="s">
        <v>4564</v>
      </c>
      <c r="AH2462" t="s">
        <v>5202</v>
      </c>
      <c r="AI2462" t="s">
        <v>4655</v>
      </c>
      <c r="AJ2462" t="s">
        <v>4655</v>
      </c>
      <c r="AK2462" t="s">
        <v>15267</v>
      </c>
      <c r="AL2462" s="13" t="s">
        <v>3426</v>
      </c>
      <c r="AM2462">
        <v>2</v>
      </c>
      <c r="AN2462" s="15" t="s">
        <v>4858</v>
      </c>
    </row>
    <row r="2463" spans="1:40" x14ac:dyDescent="0.3">
      <c r="A2463" s="10" t="str">
        <f>HYPERLINK("http://www.washoecounty.gov/assessor/cama/?parid=031-353-13&amp;CardNumber=1","031-353-13")</f>
        <v>031-353-13</v>
      </c>
      <c r="B2463" t="s">
        <v>4655</v>
      </c>
      <c r="C2463" t="s">
        <v>15262</v>
      </c>
      <c r="D2463" s="1">
        <v>40343</v>
      </c>
      <c r="E2463" s="2">
        <v>305000</v>
      </c>
      <c r="F2463" t="s">
        <v>4187</v>
      </c>
      <c r="G2463" s="17" t="str">
        <f>HYPERLINK("https://www.washoecounty.gov/assessor/cama/?command=sales&amp;parid=03135313","3891619")</f>
        <v>3891619</v>
      </c>
      <c r="H2463" t="s">
        <v>15268</v>
      </c>
      <c r="I2463">
        <v>0</v>
      </c>
      <c r="J2463">
        <v>0</v>
      </c>
      <c r="K2463" t="s">
        <v>4655</v>
      </c>
      <c r="L2463" t="s">
        <v>4655</v>
      </c>
      <c r="M2463" s="2">
        <v>0</v>
      </c>
      <c r="N2463" t="s">
        <v>4655</v>
      </c>
      <c r="O2463">
        <v>0</v>
      </c>
      <c r="P2463">
        <v>0</v>
      </c>
      <c r="Q2463">
        <v>0</v>
      </c>
      <c r="R2463" t="s">
        <v>4655</v>
      </c>
      <c r="S2463" t="s">
        <v>4655</v>
      </c>
      <c r="T2463" t="s">
        <v>4655</v>
      </c>
      <c r="U2463" t="s">
        <v>4655</v>
      </c>
      <c r="V2463" s="2">
        <v>0</v>
      </c>
      <c r="W2463" t="s">
        <v>4655</v>
      </c>
      <c r="X2463" s="2">
        <v>0</v>
      </c>
      <c r="Y2463">
        <v>14</v>
      </c>
      <c r="Z2463" t="s">
        <v>2081</v>
      </c>
      <c r="AA2463" s="3">
        <v>0.123002752661705</v>
      </c>
      <c r="AB2463" t="s">
        <v>15264</v>
      </c>
      <c r="AC2463" t="s">
        <v>4575</v>
      </c>
      <c r="AD2463" t="s">
        <v>15265</v>
      </c>
      <c r="AE2463" t="s">
        <v>15266</v>
      </c>
      <c r="AF2463" t="s">
        <v>4809</v>
      </c>
      <c r="AG2463" t="s">
        <v>4564</v>
      </c>
      <c r="AH2463" t="s">
        <v>5202</v>
      </c>
      <c r="AI2463" t="s">
        <v>4655</v>
      </c>
      <c r="AJ2463" t="s">
        <v>4655</v>
      </c>
      <c r="AK2463" t="s">
        <v>15269</v>
      </c>
      <c r="AL2463" s="13" t="s">
        <v>3426</v>
      </c>
      <c r="AM2463">
        <v>0</v>
      </c>
      <c r="AN2463" s="15" t="s">
        <v>4858</v>
      </c>
    </row>
    <row r="2464" spans="1:40" x14ac:dyDescent="0.3">
      <c r="A2464" s="10" t="str">
        <f>HYPERLINK("http://www.washoecounty.gov/assessor/cama/?parid=031-371-27&amp;CardNumber=1","031-371-27")</f>
        <v>031-371-27</v>
      </c>
      <c r="B2464" t="s">
        <v>4655</v>
      </c>
      <c r="C2464" t="s">
        <v>15270</v>
      </c>
      <c r="D2464" s="1">
        <v>40389</v>
      </c>
      <c r="E2464" s="2">
        <v>115000</v>
      </c>
      <c r="F2464" t="s">
        <v>4567</v>
      </c>
      <c r="G2464" s="17" t="str">
        <f>HYPERLINK("https://www.washoecounty.gov/assessor/cama/?command=sales&amp;parid=03137127","3907269")</f>
        <v>3907269</v>
      </c>
      <c r="H2464" t="s">
        <v>955</v>
      </c>
      <c r="I2464">
        <v>1959</v>
      </c>
      <c r="J2464">
        <v>1959</v>
      </c>
      <c r="K2464" t="s">
        <v>3043</v>
      </c>
      <c r="L2464" t="s">
        <v>4555</v>
      </c>
      <c r="M2464" s="2">
        <v>2520</v>
      </c>
      <c r="N2464" t="s">
        <v>4048</v>
      </c>
      <c r="O2464">
        <v>6</v>
      </c>
      <c r="P2464">
        <v>3</v>
      </c>
      <c r="Q2464">
        <v>0</v>
      </c>
      <c r="R2464" t="s">
        <v>4134</v>
      </c>
      <c r="S2464" t="s">
        <v>4682</v>
      </c>
      <c r="T2464" t="s">
        <v>4559</v>
      </c>
      <c r="U2464" t="s">
        <v>4655</v>
      </c>
      <c r="V2464" s="2">
        <v>0</v>
      </c>
      <c r="W2464" t="s">
        <v>4655</v>
      </c>
      <c r="X2464" s="2">
        <v>0</v>
      </c>
      <c r="Y2464">
        <v>32</v>
      </c>
      <c r="Z2464" t="s">
        <v>2081</v>
      </c>
      <c r="AA2464" s="3">
        <v>0.167906329035759</v>
      </c>
      <c r="AB2464" t="s">
        <v>15271</v>
      </c>
      <c r="AC2464" t="s">
        <v>4562</v>
      </c>
      <c r="AD2464" t="s">
        <v>15272</v>
      </c>
      <c r="AE2464" t="s">
        <v>4655</v>
      </c>
      <c r="AF2464" t="s">
        <v>3306</v>
      </c>
      <c r="AG2464" t="s">
        <v>4584</v>
      </c>
      <c r="AH2464" t="s">
        <v>1340</v>
      </c>
      <c r="AI2464" t="s">
        <v>15273</v>
      </c>
      <c r="AJ2464" t="s">
        <v>4655</v>
      </c>
      <c r="AK2464" t="s">
        <v>15274</v>
      </c>
      <c r="AL2464" s="13" t="s">
        <v>1886</v>
      </c>
      <c r="AM2464">
        <v>3</v>
      </c>
      <c r="AN2464" s="15" t="s">
        <v>5501</v>
      </c>
    </row>
    <row r="2465" spans="1:40" x14ac:dyDescent="0.3">
      <c r="A2465" s="10" t="str">
        <f>HYPERLINK("http://www.washoecounty.gov/assessor/cama/?parid=031-381-09&amp;CardNumber=1","031-381-09")</f>
        <v>031-381-09</v>
      </c>
      <c r="B2465" t="s">
        <v>4655</v>
      </c>
      <c r="C2465" t="s">
        <v>15275</v>
      </c>
      <c r="D2465" s="1">
        <v>40350</v>
      </c>
      <c r="E2465" s="2">
        <v>88500</v>
      </c>
      <c r="F2465" t="s">
        <v>4553</v>
      </c>
      <c r="G2465" s="17" t="str">
        <f>HYPERLINK("https://www.washoecounty.gov/assessor/cama/?command=sales&amp;parid=03138109","3893921")</f>
        <v>3893921</v>
      </c>
      <c r="H2465" t="s">
        <v>4296</v>
      </c>
      <c r="I2465">
        <v>1954</v>
      </c>
      <c r="J2465">
        <v>1954</v>
      </c>
      <c r="K2465" t="s">
        <v>4554</v>
      </c>
      <c r="L2465" t="s">
        <v>4555</v>
      </c>
      <c r="M2465" s="2">
        <v>1551</v>
      </c>
      <c r="N2465" t="s">
        <v>4048</v>
      </c>
      <c r="O2465">
        <v>3</v>
      </c>
      <c r="P2465">
        <v>2</v>
      </c>
      <c r="Q2465">
        <v>0</v>
      </c>
      <c r="R2465" t="s">
        <v>4557</v>
      </c>
      <c r="S2465" t="s">
        <v>4135</v>
      </c>
      <c r="T2465" t="s">
        <v>4559</v>
      </c>
      <c r="U2465" t="s">
        <v>4560</v>
      </c>
      <c r="V2465" s="2">
        <v>451</v>
      </c>
      <c r="W2465" t="s">
        <v>4655</v>
      </c>
      <c r="X2465" s="2">
        <v>0</v>
      </c>
      <c r="Y2465">
        <v>20</v>
      </c>
      <c r="Z2465" t="s">
        <v>2081</v>
      </c>
      <c r="AA2465" s="3">
        <v>0.21600091457366899</v>
      </c>
      <c r="AB2465" t="s">
        <v>15276</v>
      </c>
      <c r="AC2465" t="s">
        <v>4575</v>
      </c>
      <c r="AD2465" t="s">
        <v>15277</v>
      </c>
      <c r="AE2465" t="s">
        <v>15275</v>
      </c>
      <c r="AF2465" t="s">
        <v>5201</v>
      </c>
      <c r="AG2465" t="s">
        <v>4564</v>
      </c>
      <c r="AH2465" t="s">
        <v>5202</v>
      </c>
      <c r="AI2465" t="s">
        <v>4565</v>
      </c>
      <c r="AJ2465" t="s">
        <v>4655</v>
      </c>
      <c r="AK2465" t="s">
        <v>15278</v>
      </c>
      <c r="AL2465" s="13" t="s">
        <v>1886</v>
      </c>
      <c r="AM2465">
        <v>1</v>
      </c>
      <c r="AN2465" s="15" t="s">
        <v>4396</v>
      </c>
    </row>
    <row r="2466" spans="1:40" x14ac:dyDescent="0.3">
      <c r="A2466" s="10" t="str">
        <f>HYPERLINK("http://www.washoecounty.gov/assessor/cama/?parid=031-392-08&amp;CardNumber=1","031-392-08")</f>
        <v>031-392-08</v>
      </c>
      <c r="B2466" t="s">
        <v>4655</v>
      </c>
      <c r="C2466" t="s">
        <v>15279</v>
      </c>
      <c r="D2466" s="1">
        <v>40452</v>
      </c>
      <c r="E2466" s="2">
        <v>98000</v>
      </c>
      <c r="F2466" t="s">
        <v>4553</v>
      </c>
      <c r="G2466" s="17" t="str">
        <f>HYPERLINK("https://www.washoecounty.gov/assessor/cama/?command=sales&amp;parid=03139208","3928873")</f>
        <v>3928873</v>
      </c>
      <c r="H2466" t="s">
        <v>4906</v>
      </c>
      <c r="I2466">
        <v>1974</v>
      </c>
      <c r="J2466">
        <v>1974</v>
      </c>
      <c r="K2466" t="s">
        <v>4907</v>
      </c>
      <c r="L2466" t="s">
        <v>4555</v>
      </c>
      <c r="M2466" s="2">
        <v>1728</v>
      </c>
      <c r="N2466" t="s">
        <v>4556</v>
      </c>
      <c r="O2466">
        <v>4</v>
      </c>
      <c r="P2466">
        <v>2</v>
      </c>
      <c r="Q2466">
        <v>0</v>
      </c>
      <c r="R2466" t="s">
        <v>4557</v>
      </c>
      <c r="S2466" t="s">
        <v>4898</v>
      </c>
      <c r="T2466" t="s">
        <v>4559</v>
      </c>
      <c r="U2466" t="s">
        <v>4560</v>
      </c>
      <c r="V2466" s="2">
        <v>576</v>
      </c>
      <c r="W2466" t="s">
        <v>4655</v>
      </c>
      <c r="X2466" s="2">
        <v>0</v>
      </c>
      <c r="Y2466">
        <v>30</v>
      </c>
      <c r="Z2466" t="s">
        <v>4908</v>
      </c>
      <c r="AA2466" s="3">
        <v>0.16099633276462599</v>
      </c>
      <c r="AB2466" t="s">
        <v>2858</v>
      </c>
      <c r="AC2466" t="s">
        <v>4562</v>
      </c>
      <c r="AD2466" t="s">
        <v>1279</v>
      </c>
      <c r="AE2466" t="s">
        <v>4655</v>
      </c>
      <c r="AF2466" t="s">
        <v>5201</v>
      </c>
      <c r="AG2466" t="s">
        <v>4564</v>
      </c>
      <c r="AH2466" t="s">
        <v>5202</v>
      </c>
      <c r="AI2466" t="s">
        <v>15280</v>
      </c>
      <c r="AJ2466" t="s">
        <v>4655</v>
      </c>
      <c r="AK2466" t="s">
        <v>15281</v>
      </c>
      <c r="AL2466" s="13" t="s">
        <v>1886</v>
      </c>
      <c r="AM2466">
        <v>2</v>
      </c>
      <c r="AN2466" s="15" t="s">
        <v>5501</v>
      </c>
    </row>
    <row r="2467" spans="1:40" x14ac:dyDescent="0.3">
      <c r="A2467" s="10" t="str">
        <f>HYPERLINK("http://www.washoecounty.gov/assessor/cama/?parid=031-392-10&amp;CardNumber=1","031-392-10")</f>
        <v>031-392-10</v>
      </c>
      <c r="B2467" t="s">
        <v>4655</v>
      </c>
      <c r="C2467" t="s">
        <v>15282</v>
      </c>
      <c r="D2467" s="1">
        <v>40252</v>
      </c>
      <c r="E2467" s="2">
        <v>88500</v>
      </c>
      <c r="F2467" t="s">
        <v>4553</v>
      </c>
      <c r="G2467" s="17" t="str">
        <f>HYPERLINK("https://www.washoecounty.gov/assessor/cama/?command=sales&amp;parid=03139210","3860107")</f>
        <v>3860107</v>
      </c>
      <c r="H2467" t="s">
        <v>4906</v>
      </c>
      <c r="I2467">
        <v>1974</v>
      </c>
      <c r="J2467">
        <v>1974</v>
      </c>
      <c r="K2467" t="s">
        <v>4907</v>
      </c>
      <c r="L2467" t="s">
        <v>4555</v>
      </c>
      <c r="M2467" s="2">
        <v>1728</v>
      </c>
      <c r="N2467" t="s">
        <v>4556</v>
      </c>
      <c r="O2467">
        <v>4</v>
      </c>
      <c r="P2467">
        <v>2</v>
      </c>
      <c r="Q2467">
        <v>0</v>
      </c>
      <c r="R2467" t="s">
        <v>4557</v>
      </c>
      <c r="S2467" t="s">
        <v>4558</v>
      </c>
      <c r="T2467" t="s">
        <v>4559</v>
      </c>
      <c r="U2467" t="s">
        <v>4560</v>
      </c>
      <c r="V2467" s="2">
        <v>576</v>
      </c>
      <c r="W2467" t="s">
        <v>4655</v>
      </c>
      <c r="X2467" s="2">
        <v>0</v>
      </c>
      <c r="Y2467">
        <v>30</v>
      </c>
      <c r="Z2467" t="s">
        <v>4908</v>
      </c>
      <c r="AA2467" s="3">
        <v>0.15798898041248299</v>
      </c>
      <c r="AB2467" t="s">
        <v>4125</v>
      </c>
      <c r="AC2467" t="s">
        <v>4575</v>
      </c>
      <c r="AD2467" t="s">
        <v>1909</v>
      </c>
      <c r="AE2467" t="s">
        <v>4655</v>
      </c>
      <c r="AF2467" t="s">
        <v>4563</v>
      </c>
      <c r="AG2467" t="s">
        <v>4564</v>
      </c>
      <c r="AH2467" t="s">
        <v>1147</v>
      </c>
      <c r="AI2467" t="s">
        <v>1908</v>
      </c>
      <c r="AJ2467" t="s">
        <v>4655</v>
      </c>
      <c r="AK2467" t="s">
        <v>15283</v>
      </c>
      <c r="AL2467" s="13" t="s">
        <v>1886</v>
      </c>
      <c r="AM2467">
        <v>2</v>
      </c>
      <c r="AN2467" s="15" t="s">
        <v>5501</v>
      </c>
    </row>
    <row r="2468" spans="1:40" x14ac:dyDescent="0.3">
      <c r="A2468" s="10" t="str">
        <f>HYPERLINK("http://www.washoecounty.gov/assessor/cama/?parid=031-392-12&amp;CardNumber=1","031-392-12")</f>
        <v>031-392-12</v>
      </c>
      <c r="B2468" t="s">
        <v>4655</v>
      </c>
      <c r="C2468" t="s">
        <v>15284</v>
      </c>
      <c r="D2468" s="1">
        <v>40233</v>
      </c>
      <c r="E2468" s="2">
        <v>90000</v>
      </c>
      <c r="F2468" t="s">
        <v>4553</v>
      </c>
      <c r="G2468" s="17" t="str">
        <f>HYPERLINK("https://www.washoecounty.gov/assessor/cama/?command=sales&amp;parid=03139212","3852247")</f>
        <v>3852247</v>
      </c>
      <c r="H2468" t="s">
        <v>4906</v>
      </c>
      <c r="I2468">
        <v>1974</v>
      </c>
      <c r="J2468">
        <v>1974</v>
      </c>
      <c r="K2468" t="s">
        <v>4907</v>
      </c>
      <c r="L2468" t="s">
        <v>4555</v>
      </c>
      <c r="M2468" s="2">
        <v>1728</v>
      </c>
      <c r="N2468" t="s">
        <v>4556</v>
      </c>
      <c r="O2468">
        <v>4</v>
      </c>
      <c r="P2468">
        <v>2</v>
      </c>
      <c r="Q2468">
        <v>0</v>
      </c>
      <c r="R2468" t="s">
        <v>4557</v>
      </c>
      <c r="S2468" t="s">
        <v>4558</v>
      </c>
      <c r="T2468" t="s">
        <v>4559</v>
      </c>
      <c r="U2468" t="s">
        <v>4560</v>
      </c>
      <c r="V2468" s="2">
        <v>576</v>
      </c>
      <c r="W2468" t="s">
        <v>4655</v>
      </c>
      <c r="X2468" s="2">
        <v>0</v>
      </c>
      <c r="Y2468">
        <v>30</v>
      </c>
      <c r="Z2468" t="s">
        <v>4908</v>
      </c>
      <c r="AA2468" s="3">
        <v>0.21299357712268799</v>
      </c>
      <c r="AB2468" t="s">
        <v>2858</v>
      </c>
      <c r="AC2468" t="s">
        <v>4562</v>
      </c>
      <c r="AD2468" t="s">
        <v>1279</v>
      </c>
      <c r="AE2468" t="s">
        <v>4655</v>
      </c>
      <c r="AF2468" t="s">
        <v>5201</v>
      </c>
      <c r="AG2468" t="s">
        <v>4564</v>
      </c>
      <c r="AH2468" t="s">
        <v>5202</v>
      </c>
      <c r="AI2468" t="s">
        <v>4503</v>
      </c>
      <c r="AJ2468" t="s">
        <v>4655</v>
      </c>
      <c r="AK2468" t="s">
        <v>15285</v>
      </c>
      <c r="AL2468" s="13" t="s">
        <v>1886</v>
      </c>
      <c r="AM2468" s="14">
        <v>2</v>
      </c>
      <c r="AN2468" s="15" t="s">
        <v>5501</v>
      </c>
    </row>
    <row r="2469" spans="1:40" x14ac:dyDescent="0.3">
      <c r="A2469" s="10" t="str">
        <f>HYPERLINK("http://www.washoecounty.gov/assessor/cama/?parid=031-392-13&amp;CardNumber=1","031-392-13")</f>
        <v>031-392-13</v>
      </c>
      <c r="B2469" t="s">
        <v>4655</v>
      </c>
      <c r="C2469" t="s">
        <v>15286</v>
      </c>
      <c r="D2469" s="1">
        <v>40183</v>
      </c>
      <c r="E2469" s="2">
        <v>100000</v>
      </c>
      <c r="F2469" t="s">
        <v>4553</v>
      </c>
      <c r="G2469" s="17" t="str">
        <f>HYPERLINK("https://www.washoecounty.gov/assessor/cama/?command=sales&amp;parid=03139213","3836337")</f>
        <v>3836337</v>
      </c>
      <c r="H2469" t="s">
        <v>4906</v>
      </c>
      <c r="I2469">
        <v>1974</v>
      </c>
      <c r="J2469">
        <v>1974</v>
      </c>
      <c r="K2469" t="s">
        <v>4907</v>
      </c>
      <c r="L2469" t="s">
        <v>4555</v>
      </c>
      <c r="M2469" s="2">
        <v>1896</v>
      </c>
      <c r="N2469" t="s">
        <v>4556</v>
      </c>
      <c r="O2469">
        <v>5</v>
      </c>
      <c r="P2469">
        <v>2</v>
      </c>
      <c r="Q2469">
        <v>0</v>
      </c>
      <c r="R2469" t="s">
        <v>4557</v>
      </c>
      <c r="S2469" t="s">
        <v>4898</v>
      </c>
      <c r="T2469" t="s">
        <v>4559</v>
      </c>
      <c r="U2469" t="s">
        <v>4560</v>
      </c>
      <c r="V2469" s="2">
        <v>576</v>
      </c>
      <c r="W2469" t="s">
        <v>4655</v>
      </c>
      <c r="X2469" s="2">
        <v>0</v>
      </c>
      <c r="Y2469">
        <v>30</v>
      </c>
      <c r="Z2469" t="s">
        <v>4908</v>
      </c>
      <c r="AA2469" s="3">
        <v>0.15399448573589325</v>
      </c>
      <c r="AB2469" t="s">
        <v>15287</v>
      </c>
      <c r="AC2469" t="s">
        <v>4562</v>
      </c>
      <c r="AD2469" t="s">
        <v>13896</v>
      </c>
      <c r="AE2469" t="s">
        <v>4655</v>
      </c>
      <c r="AF2469" t="s">
        <v>5201</v>
      </c>
      <c r="AG2469" t="s">
        <v>4564</v>
      </c>
      <c r="AH2469" t="s">
        <v>5202</v>
      </c>
      <c r="AI2469" t="s">
        <v>15288</v>
      </c>
      <c r="AJ2469" t="s">
        <v>4655</v>
      </c>
      <c r="AK2469" t="s">
        <v>15289</v>
      </c>
      <c r="AL2469" s="13" t="s">
        <v>1886</v>
      </c>
      <c r="AM2469" s="14">
        <v>2</v>
      </c>
      <c r="AN2469" s="15" t="s">
        <v>5501</v>
      </c>
    </row>
    <row r="2470" spans="1:40" x14ac:dyDescent="0.3">
      <c r="A2470" s="10" t="str">
        <f>HYPERLINK("http://www.washoecounty.gov/assessor/cama/?parid=031-392-26&amp;CardNumber=1","031-392-26")</f>
        <v>031-392-26</v>
      </c>
      <c r="B2470" t="s">
        <v>4655</v>
      </c>
      <c r="C2470" t="s">
        <v>15290</v>
      </c>
      <c r="D2470" s="1">
        <v>40315</v>
      </c>
      <c r="E2470" s="2">
        <v>98000</v>
      </c>
      <c r="F2470" t="s">
        <v>4553</v>
      </c>
      <c r="G2470" s="17" t="str">
        <f>HYPERLINK("https://www.washoecounty.gov/assessor/cama/?command=sales&amp;parid=03139226","3882233")</f>
        <v>3882233</v>
      </c>
      <c r="H2470" t="s">
        <v>4906</v>
      </c>
      <c r="I2470">
        <v>1974</v>
      </c>
      <c r="J2470">
        <v>1974</v>
      </c>
      <c r="K2470" t="s">
        <v>4907</v>
      </c>
      <c r="L2470" t="s">
        <v>4555</v>
      </c>
      <c r="M2470" s="2">
        <v>1896</v>
      </c>
      <c r="N2470" t="s">
        <v>4556</v>
      </c>
      <c r="O2470">
        <v>5</v>
      </c>
      <c r="P2470">
        <v>2</v>
      </c>
      <c r="Q2470">
        <v>0</v>
      </c>
      <c r="R2470" t="s">
        <v>4557</v>
      </c>
      <c r="S2470" t="s">
        <v>4558</v>
      </c>
      <c r="T2470" t="s">
        <v>4559</v>
      </c>
      <c r="U2470" t="s">
        <v>4560</v>
      </c>
      <c r="V2470" s="2">
        <v>576</v>
      </c>
      <c r="W2470" t="s">
        <v>4655</v>
      </c>
      <c r="X2470" s="2">
        <v>0</v>
      </c>
      <c r="Y2470">
        <v>30</v>
      </c>
      <c r="Z2470" t="s">
        <v>4908</v>
      </c>
      <c r="AA2470" s="3">
        <v>0.16499081254005399</v>
      </c>
      <c r="AB2470" t="s">
        <v>2858</v>
      </c>
      <c r="AC2470" t="s">
        <v>4562</v>
      </c>
      <c r="AD2470" t="s">
        <v>15291</v>
      </c>
      <c r="AE2470" t="s">
        <v>1279</v>
      </c>
      <c r="AF2470" t="s">
        <v>5201</v>
      </c>
      <c r="AG2470" t="s">
        <v>4564</v>
      </c>
      <c r="AH2470" t="s">
        <v>5202</v>
      </c>
      <c r="AI2470" t="s">
        <v>4565</v>
      </c>
      <c r="AJ2470" t="s">
        <v>4655</v>
      </c>
      <c r="AK2470" t="s">
        <v>15292</v>
      </c>
      <c r="AL2470" s="13" t="s">
        <v>1886</v>
      </c>
      <c r="AM2470">
        <v>2</v>
      </c>
      <c r="AN2470" s="15" t="s">
        <v>5501</v>
      </c>
    </row>
    <row r="2471" spans="1:40" x14ac:dyDescent="0.3">
      <c r="A2471" s="10" t="str">
        <f>HYPERLINK("http://www.washoecounty.gov/assessor/cama/?parid=031-401-02&amp;CardNumber=1","031-401-02")</f>
        <v>031-401-02</v>
      </c>
      <c r="B2471" t="s">
        <v>4655</v>
      </c>
      <c r="C2471" t="s">
        <v>15293</v>
      </c>
      <c r="D2471" s="1">
        <v>40277</v>
      </c>
      <c r="E2471" s="2">
        <v>41000</v>
      </c>
      <c r="F2471" t="s">
        <v>4553</v>
      </c>
      <c r="G2471" s="17" t="str">
        <f>HYPERLINK("https://www.washoecounty.gov/assessor/cama/?command=sales&amp;parid=03140102","3869589")</f>
        <v>3869589</v>
      </c>
      <c r="H2471" t="s">
        <v>4297</v>
      </c>
      <c r="I2471">
        <v>1979</v>
      </c>
      <c r="J2471">
        <v>1979</v>
      </c>
      <c r="K2471" t="s">
        <v>4897</v>
      </c>
      <c r="L2471" t="s">
        <v>4555</v>
      </c>
      <c r="M2471" s="2">
        <v>1038</v>
      </c>
      <c r="N2471" t="s">
        <v>4048</v>
      </c>
      <c r="O2471">
        <v>2</v>
      </c>
      <c r="P2471">
        <v>1</v>
      </c>
      <c r="Q2471">
        <v>0</v>
      </c>
      <c r="R2471" t="s">
        <v>5281</v>
      </c>
      <c r="S2471" t="s">
        <v>4135</v>
      </c>
      <c r="T2471" t="s">
        <v>2704</v>
      </c>
      <c r="U2471" t="s">
        <v>4655</v>
      </c>
      <c r="V2471" s="2">
        <v>0</v>
      </c>
      <c r="W2471" t="s">
        <v>4655</v>
      </c>
      <c r="X2471" s="2">
        <v>0</v>
      </c>
      <c r="Y2471">
        <v>21</v>
      </c>
      <c r="Z2471" t="s">
        <v>2081</v>
      </c>
      <c r="AA2471" s="3">
        <v>1.00000004749745E-3</v>
      </c>
      <c r="AB2471" t="s">
        <v>4298</v>
      </c>
      <c r="AC2471" t="s">
        <v>4575</v>
      </c>
      <c r="AD2471" t="s">
        <v>15294</v>
      </c>
      <c r="AE2471" t="s">
        <v>11358</v>
      </c>
      <c r="AF2471" t="s">
        <v>4563</v>
      </c>
      <c r="AG2471" t="s">
        <v>4564</v>
      </c>
      <c r="AH2471" t="s">
        <v>5197</v>
      </c>
      <c r="AI2471" t="s">
        <v>2351</v>
      </c>
      <c r="AJ2471" t="s">
        <v>4655</v>
      </c>
      <c r="AK2471" t="s">
        <v>15295</v>
      </c>
      <c r="AL2471" s="13" t="s">
        <v>3426</v>
      </c>
      <c r="AM2471">
        <v>1</v>
      </c>
      <c r="AN2471" s="15" t="s">
        <v>3440</v>
      </c>
    </row>
    <row r="2472" spans="1:40" x14ac:dyDescent="0.3">
      <c r="A2472" s="10" t="str">
        <f>HYPERLINK("http://www.washoecounty.gov/assessor/cama/?parid=031-401-16&amp;CardNumber=1","031-401-16")</f>
        <v>031-401-16</v>
      </c>
      <c r="B2472" t="s">
        <v>4655</v>
      </c>
      <c r="C2472" t="s">
        <v>15296</v>
      </c>
      <c r="D2472" s="1">
        <v>40494</v>
      </c>
      <c r="E2472" s="2">
        <v>39000</v>
      </c>
      <c r="F2472" t="s">
        <v>4553</v>
      </c>
      <c r="G2472" s="17" t="str">
        <f>HYPERLINK("https://www.washoecounty.gov/assessor/cama/?command=sales&amp;parid=03140116","3942422")</f>
        <v>3942422</v>
      </c>
      <c r="H2472" t="s">
        <v>4297</v>
      </c>
      <c r="I2472">
        <v>1979</v>
      </c>
      <c r="J2472">
        <v>1979</v>
      </c>
      <c r="K2472" t="s">
        <v>4897</v>
      </c>
      <c r="L2472" t="s">
        <v>4555</v>
      </c>
      <c r="M2472" s="2">
        <v>1038</v>
      </c>
      <c r="N2472" t="s">
        <v>4048</v>
      </c>
      <c r="O2472">
        <v>2</v>
      </c>
      <c r="P2472">
        <v>1</v>
      </c>
      <c r="Q2472">
        <v>0</v>
      </c>
      <c r="R2472" t="s">
        <v>5281</v>
      </c>
      <c r="S2472" t="s">
        <v>4135</v>
      </c>
      <c r="T2472" t="s">
        <v>2704</v>
      </c>
      <c r="U2472" t="s">
        <v>4655</v>
      </c>
      <c r="V2472" s="2">
        <v>0</v>
      </c>
      <c r="W2472" t="s">
        <v>4655</v>
      </c>
      <c r="X2472" s="2">
        <v>0</v>
      </c>
      <c r="Y2472">
        <v>21</v>
      </c>
      <c r="Z2472" t="s">
        <v>2081</v>
      </c>
      <c r="AA2472" s="3">
        <v>1.00000004749745E-3</v>
      </c>
      <c r="AB2472" t="s">
        <v>15297</v>
      </c>
      <c r="AC2472" t="s">
        <v>4562</v>
      </c>
      <c r="AD2472" t="s">
        <v>15298</v>
      </c>
      <c r="AE2472" t="s">
        <v>4655</v>
      </c>
      <c r="AF2472" t="s">
        <v>15299</v>
      </c>
      <c r="AG2472" t="s">
        <v>4584</v>
      </c>
      <c r="AH2472">
        <v>95511</v>
      </c>
      <c r="AI2472" t="s">
        <v>4565</v>
      </c>
      <c r="AJ2472" t="s">
        <v>4655</v>
      </c>
      <c r="AK2472" t="s">
        <v>15300</v>
      </c>
      <c r="AL2472" s="13" t="s">
        <v>3426</v>
      </c>
      <c r="AM2472" s="14">
        <v>1</v>
      </c>
      <c r="AN2472" s="15" t="s">
        <v>3440</v>
      </c>
    </row>
    <row r="2473" spans="1:40" x14ac:dyDescent="0.3">
      <c r="A2473" s="10" t="str">
        <f>HYPERLINK("http://www.washoecounty.gov/assessor/cama/?parid=031-401-27&amp;CardNumber=1","031-401-27")</f>
        <v>031-401-27</v>
      </c>
      <c r="B2473" t="s">
        <v>4655</v>
      </c>
      <c r="C2473" t="s">
        <v>15301</v>
      </c>
      <c r="D2473" s="1">
        <v>40235</v>
      </c>
      <c r="E2473" s="2">
        <v>71766</v>
      </c>
      <c r="F2473" t="s">
        <v>4553</v>
      </c>
      <c r="G2473" s="17" t="str">
        <f>HYPERLINK("https://www.washoecounty.gov/assessor/cama/?command=sales&amp;parid=03140127","3853018")</f>
        <v>3853018</v>
      </c>
      <c r="H2473" t="s">
        <v>15302</v>
      </c>
      <c r="I2473">
        <v>1979</v>
      </c>
      <c r="J2473">
        <v>1979</v>
      </c>
      <c r="K2473" t="s">
        <v>4897</v>
      </c>
      <c r="L2473" t="s">
        <v>4555</v>
      </c>
      <c r="M2473" s="2">
        <v>948</v>
      </c>
      <c r="N2473" t="s">
        <v>4048</v>
      </c>
      <c r="O2473">
        <v>2</v>
      </c>
      <c r="P2473">
        <v>1</v>
      </c>
      <c r="Q2473">
        <v>0</v>
      </c>
      <c r="R2473" t="s">
        <v>5281</v>
      </c>
      <c r="S2473" t="s">
        <v>4135</v>
      </c>
      <c r="T2473" t="s">
        <v>2704</v>
      </c>
      <c r="U2473" t="s">
        <v>4655</v>
      </c>
      <c r="V2473" s="2">
        <v>0</v>
      </c>
      <c r="W2473" t="s">
        <v>4655</v>
      </c>
      <c r="X2473" s="2">
        <v>0</v>
      </c>
      <c r="Y2473">
        <v>21</v>
      </c>
      <c r="Z2473" t="s">
        <v>2081</v>
      </c>
      <c r="AA2473" s="3">
        <v>1.00000004749745E-3</v>
      </c>
      <c r="AB2473" t="s">
        <v>15303</v>
      </c>
      <c r="AC2473" t="s">
        <v>4562</v>
      </c>
      <c r="AD2473" t="s">
        <v>15304</v>
      </c>
      <c r="AE2473" t="s">
        <v>4655</v>
      </c>
      <c r="AF2473" t="s">
        <v>5201</v>
      </c>
      <c r="AG2473" t="s">
        <v>4564</v>
      </c>
      <c r="AH2473" t="s">
        <v>1605</v>
      </c>
      <c r="AI2473" t="s">
        <v>15305</v>
      </c>
      <c r="AJ2473" t="s">
        <v>4655</v>
      </c>
      <c r="AK2473" t="s">
        <v>15306</v>
      </c>
      <c r="AL2473" s="13" t="s">
        <v>3426</v>
      </c>
      <c r="AM2473" s="14">
        <v>1</v>
      </c>
      <c r="AN2473" s="15" t="s">
        <v>3440</v>
      </c>
    </row>
    <row r="2474" spans="1:40" x14ac:dyDescent="0.3">
      <c r="A2474" s="10" t="str">
        <f>HYPERLINK("http://www.washoecounty.gov/assessor/cama/?parid=031-401-29&amp;CardNumber=1","031-401-29")</f>
        <v>031-401-29</v>
      </c>
      <c r="B2474" t="s">
        <v>4655</v>
      </c>
      <c r="C2474" t="s">
        <v>4002</v>
      </c>
      <c r="D2474" s="1">
        <v>40317</v>
      </c>
      <c r="E2474" s="2">
        <v>39500</v>
      </c>
      <c r="F2474" t="s">
        <v>4553</v>
      </c>
      <c r="G2474" s="17" t="str">
        <f>HYPERLINK("https://www.washoecounty.gov/assessor/cama/?command=sales&amp;parid=03140129","3883112")</f>
        <v>3883112</v>
      </c>
      <c r="H2474" t="s">
        <v>4297</v>
      </c>
      <c r="I2474">
        <v>1979</v>
      </c>
      <c r="J2474">
        <v>1979</v>
      </c>
      <c r="K2474" t="s">
        <v>4897</v>
      </c>
      <c r="L2474" t="s">
        <v>4555</v>
      </c>
      <c r="M2474" s="2">
        <v>948</v>
      </c>
      <c r="N2474" t="s">
        <v>4048</v>
      </c>
      <c r="O2474">
        <v>2</v>
      </c>
      <c r="P2474">
        <v>1</v>
      </c>
      <c r="Q2474">
        <v>0</v>
      </c>
      <c r="R2474" t="s">
        <v>5281</v>
      </c>
      <c r="S2474" t="s">
        <v>4135</v>
      </c>
      <c r="T2474" t="s">
        <v>2704</v>
      </c>
      <c r="U2474" t="s">
        <v>4655</v>
      </c>
      <c r="V2474" s="2">
        <v>0</v>
      </c>
      <c r="W2474" t="s">
        <v>4655</v>
      </c>
      <c r="X2474" s="2">
        <v>0</v>
      </c>
      <c r="Y2474">
        <v>21</v>
      </c>
      <c r="Z2474" t="s">
        <v>2081</v>
      </c>
      <c r="AA2474" s="3">
        <v>1.00000004749745E-3</v>
      </c>
      <c r="AB2474" t="s">
        <v>4003</v>
      </c>
      <c r="AC2474" t="s">
        <v>4562</v>
      </c>
      <c r="AD2474" t="s">
        <v>15307</v>
      </c>
      <c r="AE2474" t="s">
        <v>4655</v>
      </c>
      <c r="AF2474" t="s">
        <v>15308</v>
      </c>
      <c r="AG2474" t="s">
        <v>4584</v>
      </c>
      <c r="AH2474" t="s">
        <v>15309</v>
      </c>
      <c r="AI2474" t="s">
        <v>4003</v>
      </c>
      <c r="AJ2474" t="s">
        <v>4655</v>
      </c>
      <c r="AK2474" t="s">
        <v>4004</v>
      </c>
      <c r="AL2474" s="13" t="s">
        <v>3426</v>
      </c>
      <c r="AM2474">
        <v>1</v>
      </c>
      <c r="AN2474" s="15" t="s">
        <v>3440</v>
      </c>
    </row>
    <row r="2475" spans="1:40" x14ac:dyDescent="0.3">
      <c r="A2475" s="10" t="str">
        <f>HYPERLINK("http://www.washoecounty.gov/assessor/cama/?parid=031-401-31&amp;CardNumber=1","031-401-31")</f>
        <v>031-401-31</v>
      </c>
      <c r="B2475" t="s">
        <v>4655</v>
      </c>
      <c r="C2475" t="s">
        <v>15310</v>
      </c>
      <c r="D2475" s="1">
        <v>40270</v>
      </c>
      <c r="E2475" s="2">
        <v>53000</v>
      </c>
      <c r="F2475" t="s">
        <v>4567</v>
      </c>
      <c r="G2475" s="17" t="str">
        <f>HYPERLINK("https://www.washoecounty.gov/assessor/cama/?command=sales&amp;parid=03140131","3867377")</f>
        <v>3867377</v>
      </c>
      <c r="H2475" t="s">
        <v>15311</v>
      </c>
      <c r="I2475">
        <v>1979</v>
      </c>
      <c r="J2475">
        <v>1979</v>
      </c>
      <c r="K2475" t="s">
        <v>4897</v>
      </c>
      <c r="L2475" t="s">
        <v>4555</v>
      </c>
      <c r="M2475" s="2">
        <v>1102</v>
      </c>
      <c r="N2475" t="s">
        <v>4048</v>
      </c>
      <c r="O2475">
        <v>2</v>
      </c>
      <c r="P2475">
        <v>2</v>
      </c>
      <c r="Q2475">
        <v>0</v>
      </c>
      <c r="R2475" t="s">
        <v>5281</v>
      </c>
      <c r="S2475" t="s">
        <v>4135</v>
      </c>
      <c r="T2475" t="s">
        <v>2704</v>
      </c>
      <c r="U2475" t="s">
        <v>4655</v>
      </c>
      <c r="V2475" s="2">
        <v>0</v>
      </c>
      <c r="W2475" t="s">
        <v>4655</v>
      </c>
      <c r="X2475" s="2">
        <v>0</v>
      </c>
      <c r="Y2475">
        <v>21</v>
      </c>
      <c r="Z2475" t="s">
        <v>2081</v>
      </c>
      <c r="AA2475" s="3">
        <v>1.00000004749745E-3</v>
      </c>
      <c r="AB2475" t="s">
        <v>2044</v>
      </c>
      <c r="AC2475" t="s">
        <v>4562</v>
      </c>
      <c r="AD2475" t="s">
        <v>2045</v>
      </c>
      <c r="AE2475" t="s">
        <v>4655</v>
      </c>
      <c r="AF2475" t="s">
        <v>4563</v>
      </c>
      <c r="AG2475" t="s">
        <v>4564</v>
      </c>
      <c r="AH2475" t="s">
        <v>5197</v>
      </c>
      <c r="AI2475" t="s">
        <v>15312</v>
      </c>
      <c r="AJ2475" t="s">
        <v>4655</v>
      </c>
      <c r="AK2475" t="s">
        <v>15313</v>
      </c>
      <c r="AL2475" s="13" t="s">
        <v>3426</v>
      </c>
      <c r="AM2475" s="14">
        <v>1</v>
      </c>
      <c r="AN2475" s="15" t="s">
        <v>3440</v>
      </c>
    </row>
    <row r="2476" spans="1:40" x14ac:dyDescent="0.3">
      <c r="A2476" s="10" t="str">
        <f>HYPERLINK("http://www.washoecounty.gov/assessor/cama/?parid=031-420-10&amp;CardNumber=1","031-420-10")</f>
        <v>031-420-10</v>
      </c>
      <c r="B2476" t="s">
        <v>4655</v>
      </c>
      <c r="C2476" t="s">
        <v>15314</v>
      </c>
      <c r="D2476" s="1">
        <v>40466</v>
      </c>
      <c r="E2476" s="2">
        <v>79900</v>
      </c>
      <c r="F2476" t="s">
        <v>4567</v>
      </c>
      <c r="G2476" s="17" t="str">
        <f>HYPERLINK("https://www.washoecounty.gov/assessor/cama/?command=sales&amp;parid=03142010","3933337")</f>
        <v>3933337</v>
      </c>
      <c r="H2476" t="s">
        <v>2293</v>
      </c>
      <c r="I2476">
        <v>1980</v>
      </c>
      <c r="J2476">
        <v>1980</v>
      </c>
      <c r="K2476" t="s">
        <v>3144</v>
      </c>
      <c r="L2476" t="s">
        <v>3974</v>
      </c>
      <c r="M2476" s="2">
        <v>1152</v>
      </c>
      <c r="N2476" t="s">
        <v>4556</v>
      </c>
      <c r="O2476">
        <v>2</v>
      </c>
      <c r="P2476">
        <v>1</v>
      </c>
      <c r="Q2476">
        <v>1</v>
      </c>
      <c r="R2476" t="s">
        <v>5281</v>
      </c>
      <c r="S2476" t="s">
        <v>4558</v>
      </c>
      <c r="T2476" t="s">
        <v>2704</v>
      </c>
      <c r="U2476" t="s">
        <v>4655</v>
      </c>
      <c r="V2476" s="2">
        <v>0</v>
      </c>
      <c r="W2476" t="s">
        <v>4655</v>
      </c>
      <c r="X2476" s="2">
        <v>0</v>
      </c>
      <c r="Y2476">
        <v>21</v>
      </c>
      <c r="Z2476" t="s">
        <v>2081</v>
      </c>
      <c r="AA2476" s="3">
        <v>1.00000004749745E-3</v>
      </c>
      <c r="AB2476" t="s">
        <v>15315</v>
      </c>
      <c r="AC2476" t="s">
        <v>4562</v>
      </c>
      <c r="AD2476" t="s">
        <v>15314</v>
      </c>
      <c r="AE2476" t="s">
        <v>4655</v>
      </c>
      <c r="AF2476" t="s">
        <v>5201</v>
      </c>
      <c r="AG2476" t="s">
        <v>4564</v>
      </c>
      <c r="AH2476" t="s">
        <v>5202</v>
      </c>
      <c r="AI2476" t="s">
        <v>15316</v>
      </c>
      <c r="AJ2476" t="s">
        <v>4655</v>
      </c>
      <c r="AK2476" t="s">
        <v>15317</v>
      </c>
      <c r="AL2476" s="13" t="s">
        <v>3426</v>
      </c>
      <c r="AM2476">
        <v>1</v>
      </c>
      <c r="AN2476" s="15" t="s">
        <v>3007</v>
      </c>
    </row>
    <row r="2477" spans="1:40" x14ac:dyDescent="0.3">
      <c r="A2477" s="10" t="str">
        <f>HYPERLINK("http://www.washoecounty.gov/assessor/cama/?parid=031-420-14&amp;CardNumber=1","031-420-14")</f>
        <v>031-420-14</v>
      </c>
      <c r="B2477" t="s">
        <v>4655</v>
      </c>
      <c r="C2477" t="s">
        <v>15318</v>
      </c>
      <c r="D2477" s="1">
        <v>40421</v>
      </c>
      <c r="E2477" s="2">
        <v>42000</v>
      </c>
      <c r="F2477" t="s">
        <v>4553</v>
      </c>
      <c r="G2477" s="17" t="str">
        <f>HYPERLINK("https://www.washoecounty.gov/assessor/cama/?command=sales&amp;parid=03142014","3917292")</f>
        <v>3917292</v>
      </c>
      <c r="H2477" t="s">
        <v>2293</v>
      </c>
      <c r="I2477">
        <v>1980</v>
      </c>
      <c r="J2477">
        <v>1980</v>
      </c>
      <c r="K2477" t="s">
        <v>3144</v>
      </c>
      <c r="L2477" t="s">
        <v>3974</v>
      </c>
      <c r="M2477" s="2">
        <v>1152</v>
      </c>
      <c r="N2477" t="s">
        <v>4556</v>
      </c>
      <c r="O2477">
        <v>2</v>
      </c>
      <c r="P2477">
        <v>1</v>
      </c>
      <c r="Q2477">
        <v>1</v>
      </c>
      <c r="R2477" t="s">
        <v>5281</v>
      </c>
      <c r="S2477" t="s">
        <v>4558</v>
      </c>
      <c r="T2477" t="s">
        <v>2704</v>
      </c>
      <c r="U2477" t="s">
        <v>4655</v>
      </c>
      <c r="V2477" s="2">
        <v>0</v>
      </c>
      <c r="W2477" t="s">
        <v>4655</v>
      </c>
      <c r="X2477" s="2">
        <v>0</v>
      </c>
      <c r="Y2477">
        <v>21</v>
      </c>
      <c r="Z2477" t="s">
        <v>2081</v>
      </c>
      <c r="AA2477" s="3">
        <v>1.00000004749745E-3</v>
      </c>
      <c r="AB2477" t="s">
        <v>15319</v>
      </c>
      <c r="AC2477" t="s">
        <v>4562</v>
      </c>
      <c r="AD2477" t="s">
        <v>15320</v>
      </c>
      <c r="AE2477" t="s">
        <v>4655</v>
      </c>
      <c r="AF2477" t="s">
        <v>3064</v>
      </c>
      <c r="AG2477" t="s">
        <v>1539</v>
      </c>
      <c r="AH2477" t="s">
        <v>3065</v>
      </c>
      <c r="AI2477" t="s">
        <v>4585</v>
      </c>
      <c r="AJ2477" t="s">
        <v>4655</v>
      </c>
      <c r="AK2477" t="s">
        <v>15321</v>
      </c>
      <c r="AL2477" s="13" t="s">
        <v>3426</v>
      </c>
      <c r="AM2477">
        <v>1</v>
      </c>
      <c r="AN2477" s="15" t="s">
        <v>3007</v>
      </c>
    </row>
    <row r="2478" spans="1:40" x14ac:dyDescent="0.3">
      <c r="A2478" s="10" t="str">
        <f>HYPERLINK("http://www.washoecounty.gov/assessor/cama/?parid=031-420-29&amp;CardNumber=1","031-420-29")</f>
        <v>031-420-29</v>
      </c>
      <c r="B2478" t="s">
        <v>4655</v>
      </c>
      <c r="C2478" t="s">
        <v>15322</v>
      </c>
      <c r="D2478" s="1">
        <v>40540</v>
      </c>
      <c r="E2478" s="2">
        <v>35000</v>
      </c>
      <c r="F2478" t="s">
        <v>4553</v>
      </c>
      <c r="G2478" s="17" t="str">
        <f>HYPERLINK("https://www.washoecounty.gov/assessor/cama/?command=sales&amp;parid=03142029","3957806")</f>
        <v>3957806</v>
      </c>
      <c r="H2478" t="s">
        <v>2293</v>
      </c>
      <c r="I2478">
        <v>1980</v>
      </c>
      <c r="J2478">
        <v>1980</v>
      </c>
      <c r="K2478" t="s">
        <v>3144</v>
      </c>
      <c r="L2478" t="s">
        <v>3974</v>
      </c>
      <c r="M2478" s="2">
        <v>1080</v>
      </c>
      <c r="N2478" t="s">
        <v>4556</v>
      </c>
      <c r="O2478">
        <v>2</v>
      </c>
      <c r="P2478">
        <v>1</v>
      </c>
      <c r="Q2478">
        <v>1</v>
      </c>
      <c r="R2478" t="s">
        <v>5281</v>
      </c>
      <c r="S2478" t="s">
        <v>4558</v>
      </c>
      <c r="T2478" t="s">
        <v>2704</v>
      </c>
      <c r="U2478" t="s">
        <v>4655</v>
      </c>
      <c r="V2478" s="2">
        <v>0</v>
      </c>
      <c r="W2478" t="s">
        <v>4655</v>
      </c>
      <c r="X2478" s="2">
        <v>0</v>
      </c>
      <c r="Y2478">
        <v>21</v>
      </c>
      <c r="Z2478" t="s">
        <v>2081</v>
      </c>
      <c r="AA2478" s="3">
        <v>1.00000004749745E-3</v>
      </c>
      <c r="AB2478" t="s">
        <v>15323</v>
      </c>
      <c r="AC2478" t="s">
        <v>4575</v>
      </c>
      <c r="AD2478" t="s">
        <v>15324</v>
      </c>
      <c r="AE2478" t="s">
        <v>4655</v>
      </c>
      <c r="AF2478" t="s">
        <v>4809</v>
      </c>
      <c r="AG2478" t="s">
        <v>4564</v>
      </c>
      <c r="AH2478" t="s">
        <v>5202</v>
      </c>
      <c r="AI2478" t="s">
        <v>4903</v>
      </c>
      <c r="AJ2478" t="s">
        <v>4655</v>
      </c>
      <c r="AK2478" t="s">
        <v>15325</v>
      </c>
      <c r="AL2478" s="13" t="s">
        <v>3426</v>
      </c>
      <c r="AM2478">
        <v>1</v>
      </c>
      <c r="AN2478" s="15" t="s">
        <v>3007</v>
      </c>
    </row>
    <row r="2479" spans="1:40" x14ac:dyDescent="0.3">
      <c r="A2479" s="10" t="str">
        <f>HYPERLINK("http://www.washoecounty.gov/assessor/cama/?parid=031-430-07&amp;CardNumber=1","031-430-07")</f>
        <v>031-430-07</v>
      </c>
      <c r="B2479" t="s">
        <v>4655</v>
      </c>
      <c r="C2479" t="s">
        <v>15326</v>
      </c>
      <c r="D2479" s="1">
        <v>40262</v>
      </c>
      <c r="E2479" s="2">
        <v>80500</v>
      </c>
      <c r="F2479" t="s">
        <v>4553</v>
      </c>
      <c r="G2479" s="17" t="str">
        <f>HYPERLINK("https://www.washoecounty.gov/assessor/cama/?command=sales&amp;parid=03143007","3864030")</f>
        <v>3864030</v>
      </c>
      <c r="H2479" t="s">
        <v>3008</v>
      </c>
      <c r="I2479">
        <v>1979</v>
      </c>
      <c r="J2479">
        <v>1979</v>
      </c>
      <c r="K2479" t="s">
        <v>4897</v>
      </c>
      <c r="L2479" t="s">
        <v>3974</v>
      </c>
      <c r="M2479" s="2">
        <v>1180</v>
      </c>
      <c r="N2479" t="s">
        <v>4048</v>
      </c>
      <c r="O2479">
        <v>3</v>
      </c>
      <c r="P2479">
        <v>2</v>
      </c>
      <c r="Q2479">
        <v>0</v>
      </c>
      <c r="R2479" t="s">
        <v>4557</v>
      </c>
      <c r="S2479" t="s">
        <v>4558</v>
      </c>
      <c r="T2479" t="s">
        <v>2704</v>
      </c>
      <c r="U2479" t="s">
        <v>5631</v>
      </c>
      <c r="V2479" s="2">
        <v>420</v>
      </c>
      <c r="W2479" t="s">
        <v>4655</v>
      </c>
      <c r="X2479" s="2">
        <v>0</v>
      </c>
      <c r="Y2479">
        <v>20</v>
      </c>
      <c r="Z2479" t="s">
        <v>2081</v>
      </c>
      <c r="AA2479" s="3">
        <v>8.9990817010402693E-2</v>
      </c>
      <c r="AB2479" t="s">
        <v>15327</v>
      </c>
      <c r="AC2479" t="s">
        <v>4575</v>
      </c>
      <c r="AD2479" t="s">
        <v>15326</v>
      </c>
      <c r="AE2479" t="s">
        <v>4655</v>
      </c>
      <c r="AF2479" t="s">
        <v>5201</v>
      </c>
      <c r="AG2479" t="s">
        <v>4564</v>
      </c>
      <c r="AH2479" t="s">
        <v>5202</v>
      </c>
      <c r="AI2479" t="s">
        <v>1602</v>
      </c>
      <c r="AJ2479" t="s">
        <v>4655</v>
      </c>
      <c r="AK2479" t="s">
        <v>15328</v>
      </c>
      <c r="AL2479" s="13" t="s">
        <v>3367</v>
      </c>
      <c r="AM2479" s="14">
        <v>1</v>
      </c>
      <c r="AN2479" s="15" t="s">
        <v>3009</v>
      </c>
    </row>
    <row r="2480" spans="1:40" x14ac:dyDescent="0.3">
      <c r="A2480" s="10" t="str">
        <f>HYPERLINK("http://www.washoecounty.gov/assessor/cama/?parid=031-430-11&amp;CardNumber=1","031-430-11")</f>
        <v>031-430-11</v>
      </c>
      <c r="B2480" t="s">
        <v>4655</v>
      </c>
      <c r="C2480" t="s">
        <v>15329</v>
      </c>
      <c r="D2480" s="1">
        <v>40522</v>
      </c>
      <c r="E2480" s="2">
        <v>83000</v>
      </c>
      <c r="F2480" t="s">
        <v>4553</v>
      </c>
      <c r="G2480" s="17" t="str">
        <f>HYPERLINK("https://www.washoecounty.gov/assessor/cama/?command=sales&amp;parid=03143011","3951989")</f>
        <v>3951989</v>
      </c>
      <c r="H2480" t="s">
        <v>3008</v>
      </c>
      <c r="I2480">
        <v>1979</v>
      </c>
      <c r="J2480">
        <v>1979</v>
      </c>
      <c r="K2480" t="s">
        <v>4897</v>
      </c>
      <c r="L2480" t="s">
        <v>3974</v>
      </c>
      <c r="M2480" s="2">
        <v>1371</v>
      </c>
      <c r="N2480" t="s">
        <v>4048</v>
      </c>
      <c r="O2480">
        <v>3</v>
      </c>
      <c r="P2480">
        <v>2</v>
      </c>
      <c r="Q2480">
        <v>1</v>
      </c>
      <c r="R2480" t="s">
        <v>5281</v>
      </c>
      <c r="S2480" t="s">
        <v>4558</v>
      </c>
      <c r="T2480" t="s">
        <v>2704</v>
      </c>
      <c r="U2480" t="s">
        <v>5631</v>
      </c>
      <c r="V2480" s="2">
        <v>420</v>
      </c>
      <c r="W2480" t="s">
        <v>4655</v>
      </c>
      <c r="X2480" s="2">
        <v>0</v>
      </c>
      <c r="Y2480">
        <v>20</v>
      </c>
      <c r="Z2480" t="s">
        <v>2081</v>
      </c>
      <c r="AA2480" s="3">
        <v>6.6000916063785595E-2</v>
      </c>
      <c r="AB2480" t="s">
        <v>15330</v>
      </c>
      <c r="AC2480" t="s">
        <v>4562</v>
      </c>
      <c r="AD2480" t="s">
        <v>15331</v>
      </c>
      <c r="AE2480" t="s">
        <v>4655</v>
      </c>
      <c r="AF2480" t="s">
        <v>4809</v>
      </c>
      <c r="AG2480" t="s">
        <v>4564</v>
      </c>
      <c r="AH2480" t="s">
        <v>5202</v>
      </c>
      <c r="AI2480" t="s">
        <v>4903</v>
      </c>
      <c r="AJ2480" t="s">
        <v>4655</v>
      </c>
      <c r="AK2480" t="s">
        <v>15332</v>
      </c>
      <c r="AL2480" s="13" t="s">
        <v>3367</v>
      </c>
      <c r="AM2480">
        <v>1</v>
      </c>
      <c r="AN2480" s="15" t="s">
        <v>3009</v>
      </c>
    </row>
    <row r="2481" spans="1:40" x14ac:dyDescent="0.3">
      <c r="A2481" s="10" t="str">
        <f>HYPERLINK("http://www.washoecounty.gov/assessor/cama/?parid=031-446-03&amp;CardNumber=1","031-446-03")</f>
        <v>031-446-03</v>
      </c>
      <c r="B2481" t="s">
        <v>4655</v>
      </c>
      <c r="C2481" t="s">
        <v>15333</v>
      </c>
      <c r="D2481" s="1">
        <v>40527</v>
      </c>
      <c r="E2481" s="2">
        <v>35000</v>
      </c>
      <c r="F2481" t="s">
        <v>4567</v>
      </c>
      <c r="G2481" s="17" t="str">
        <f>HYPERLINK("https://www.washoecounty.gov/assessor/cama/?command=sales&amp;parid=03144603","3953643")</f>
        <v>3953643</v>
      </c>
      <c r="H2481" t="s">
        <v>4695</v>
      </c>
      <c r="I2481">
        <v>1980</v>
      </c>
      <c r="J2481">
        <v>1980</v>
      </c>
      <c r="K2481" t="s">
        <v>4897</v>
      </c>
      <c r="L2481" t="s">
        <v>4555</v>
      </c>
      <c r="M2481" s="2">
        <v>974</v>
      </c>
      <c r="N2481" t="s">
        <v>4048</v>
      </c>
      <c r="O2481">
        <v>2</v>
      </c>
      <c r="P2481">
        <v>1</v>
      </c>
      <c r="Q2481">
        <v>0</v>
      </c>
      <c r="R2481" t="s">
        <v>5281</v>
      </c>
      <c r="S2481" t="s">
        <v>4135</v>
      </c>
      <c r="T2481" t="s">
        <v>2704</v>
      </c>
      <c r="U2481" t="s">
        <v>4655</v>
      </c>
      <c r="V2481" s="2">
        <v>0</v>
      </c>
      <c r="W2481" t="s">
        <v>4655</v>
      </c>
      <c r="X2481" s="2">
        <v>0</v>
      </c>
      <c r="Y2481">
        <v>21</v>
      </c>
      <c r="Z2481" t="s">
        <v>2081</v>
      </c>
      <c r="AA2481" s="3">
        <v>1.00000004749745E-3</v>
      </c>
      <c r="AB2481" t="s">
        <v>15334</v>
      </c>
      <c r="AC2481" t="s">
        <v>4562</v>
      </c>
      <c r="AD2481" t="s">
        <v>15335</v>
      </c>
      <c r="AE2481" t="s">
        <v>4655</v>
      </c>
      <c r="AF2481" t="s">
        <v>5201</v>
      </c>
      <c r="AG2481" t="s">
        <v>4564</v>
      </c>
      <c r="AH2481" t="s">
        <v>1605</v>
      </c>
      <c r="AI2481" t="s">
        <v>15336</v>
      </c>
      <c r="AJ2481" t="s">
        <v>4655</v>
      </c>
      <c r="AK2481" t="s">
        <v>15337</v>
      </c>
      <c r="AL2481" s="13" t="s">
        <v>3426</v>
      </c>
      <c r="AM2481">
        <v>1</v>
      </c>
      <c r="AN2481" s="15" t="s">
        <v>3440</v>
      </c>
    </row>
    <row r="2482" spans="1:40" x14ac:dyDescent="0.3">
      <c r="A2482" s="10" t="str">
        <f>HYPERLINK("http://www.washoecounty.gov/assessor/cama/?parid=031-461-06&amp;CardNumber=1","031-461-06")</f>
        <v>031-461-06</v>
      </c>
      <c r="B2482" t="s">
        <v>4655</v>
      </c>
      <c r="C2482" t="s">
        <v>15131</v>
      </c>
      <c r="D2482" s="1">
        <v>40323</v>
      </c>
      <c r="E2482" s="2">
        <v>136000</v>
      </c>
      <c r="F2482" t="s">
        <v>4567</v>
      </c>
      <c r="G2482" s="17" t="str">
        <f>HYPERLINK("https://www.washoecounty.gov/assessor/cama/?command=sales&amp;parid=03146106","3884604")</f>
        <v>3884604</v>
      </c>
      <c r="H2482" t="s">
        <v>15132</v>
      </c>
      <c r="I2482">
        <v>1964</v>
      </c>
      <c r="J2482">
        <v>1964</v>
      </c>
      <c r="K2482" t="s">
        <v>4554</v>
      </c>
      <c r="L2482" t="s">
        <v>4555</v>
      </c>
      <c r="M2482" s="2">
        <v>1416</v>
      </c>
      <c r="N2482" t="s">
        <v>4048</v>
      </c>
      <c r="O2482">
        <v>3</v>
      </c>
      <c r="P2482">
        <v>2</v>
      </c>
      <c r="Q2482">
        <v>0</v>
      </c>
      <c r="R2482" t="s">
        <v>4557</v>
      </c>
      <c r="S2482" t="s">
        <v>4135</v>
      </c>
      <c r="T2482" t="s">
        <v>4559</v>
      </c>
      <c r="U2482" t="s">
        <v>4560</v>
      </c>
      <c r="V2482" s="2">
        <v>480</v>
      </c>
      <c r="W2482" t="s">
        <v>4655</v>
      </c>
      <c r="X2482" s="2">
        <v>0</v>
      </c>
      <c r="Y2482">
        <v>20</v>
      </c>
      <c r="Z2482" t="s">
        <v>5200</v>
      </c>
      <c r="AA2482" s="3">
        <v>0.16354453563690199</v>
      </c>
      <c r="AB2482" t="s">
        <v>15133</v>
      </c>
      <c r="AC2482" t="s">
        <v>4562</v>
      </c>
      <c r="AD2482" t="s">
        <v>15134</v>
      </c>
      <c r="AE2482" t="s">
        <v>4655</v>
      </c>
      <c r="AF2482" t="s">
        <v>4809</v>
      </c>
      <c r="AG2482" t="s">
        <v>4564</v>
      </c>
      <c r="AH2482" t="s">
        <v>5202</v>
      </c>
      <c r="AI2482" t="s">
        <v>4655</v>
      </c>
      <c r="AJ2482" t="s">
        <v>15338</v>
      </c>
      <c r="AK2482" t="s">
        <v>15135</v>
      </c>
      <c r="AL2482" s="13" t="s">
        <v>3425</v>
      </c>
      <c r="AM2482">
        <v>1</v>
      </c>
      <c r="AN2482" s="15" t="s">
        <v>2747</v>
      </c>
    </row>
    <row r="2483" spans="1:40" x14ac:dyDescent="0.3">
      <c r="A2483" s="10" t="str">
        <f>HYPERLINK("http://www.washoecounty.gov/assessor/cama/?parid=032-022-40&amp;CardNumber=1","032-022-40")</f>
        <v>032-022-40</v>
      </c>
      <c r="B2483" t="s">
        <v>4655</v>
      </c>
      <c r="C2483" t="s">
        <v>15339</v>
      </c>
      <c r="D2483" s="1">
        <v>40501</v>
      </c>
      <c r="E2483" s="2">
        <v>1420000</v>
      </c>
      <c r="F2483" t="s">
        <v>4187</v>
      </c>
      <c r="G2483" s="17" t="str">
        <f>HYPERLINK("https://www.washoecounty.gov/assessor/cama/?command=sales&amp;parid=03202240","3945299")</f>
        <v>3945299</v>
      </c>
      <c r="H2483" t="s">
        <v>1374</v>
      </c>
      <c r="I2483">
        <v>1968</v>
      </c>
      <c r="J2483">
        <v>1968</v>
      </c>
      <c r="K2483" t="s">
        <v>207</v>
      </c>
      <c r="L2483" t="s">
        <v>1366</v>
      </c>
      <c r="M2483" s="2">
        <v>1512</v>
      </c>
      <c r="N2483" t="s">
        <v>1431</v>
      </c>
      <c r="O2483">
        <v>0</v>
      </c>
      <c r="P2483">
        <v>0</v>
      </c>
      <c r="Q2483">
        <v>0</v>
      </c>
      <c r="R2483" t="s">
        <v>1395</v>
      </c>
      <c r="S2483" t="s">
        <v>4039</v>
      </c>
      <c r="T2483" t="s">
        <v>4655</v>
      </c>
      <c r="U2483" t="s">
        <v>4655</v>
      </c>
      <c r="V2483" s="2">
        <v>0</v>
      </c>
      <c r="W2483" t="s">
        <v>4655</v>
      </c>
      <c r="X2483" s="2">
        <v>0</v>
      </c>
      <c r="Y2483">
        <v>40</v>
      </c>
      <c r="Z2483" t="s">
        <v>2081</v>
      </c>
      <c r="AA2483" s="3">
        <v>0.55693298578262329</v>
      </c>
      <c r="AB2483" t="s">
        <v>15340</v>
      </c>
      <c r="AC2483" t="s">
        <v>4562</v>
      </c>
      <c r="AD2483" t="s">
        <v>15341</v>
      </c>
      <c r="AE2483" t="s">
        <v>4655</v>
      </c>
      <c r="AF2483" t="s">
        <v>4563</v>
      </c>
      <c r="AG2483" t="s">
        <v>4564</v>
      </c>
      <c r="AH2483" t="s">
        <v>5197</v>
      </c>
      <c r="AI2483" t="s">
        <v>4655</v>
      </c>
      <c r="AJ2483" t="s">
        <v>4655</v>
      </c>
      <c r="AK2483" t="s">
        <v>15342</v>
      </c>
      <c r="AL2483" s="13" t="s">
        <v>3426</v>
      </c>
      <c r="AM2483">
        <v>1</v>
      </c>
      <c r="AN2483" s="15" t="s">
        <v>4858</v>
      </c>
    </row>
    <row r="2484" spans="1:40" x14ac:dyDescent="0.3">
      <c r="A2484" s="10" t="str">
        <f>HYPERLINK("http://www.washoecounty.gov/assessor/cama/?parid=032-064-04&amp;CardNumber=1","032-064-04")</f>
        <v>032-064-04</v>
      </c>
      <c r="B2484" t="s">
        <v>4655</v>
      </c>
      <c r="C2484" t="s">
        <v>15343</v>
      </c>
      <c r="D2484" s="1">
        <v>40186</v>
      </c>
      <c r="E2484" s="2">
        <v>270000</v>
      </c>
      <c r="F2484" t="s">
        <v>4187</v>
      </c>
      <c r="G2484" s="17" t="str">
        <f>HYPERLINK("https://www.washoecounty.gov/assessor/cama/?command=sales&amp;parid=03206404","3837667")</f>
        <v>3837667</v>
      </c>
      <c r="H2484" t="s">
        <v>4854</v>
      </c>
      <c r="I2484">
        <v>1945</v>
      </c>
      <c r="J2484">
        <v>1945</v>
      </c>
      <c r="K2484" t="s">
        <v>4855</v>
      </c>
      <c r="L2484" t="s">
        <v>1366</v>
      </c>
      <c r="M2484" s="2">
        <v>3558</v>
      </c>
      <c r="N2484" t="s">
        <v>1367</v>
      </c>
      <c r="O2484">
        <v>0</v>
      </c>
      <c r="P2484">
        <v>0</v>
      </c>
      <c r="Q2484">
        <v>0</v>
      </c>
      <c r="R2484" t="s">
        <v>1395</v>
      </c>
      <c r="S2484" t="s">
        <v>4856</v>
      </c>
      <c r="T2484" t="s">
        <v>4655</v>
      </c>
      <c r="U2484" t="s">
        <v>4655</v>
      </c>
      <c r="V2484" s="2">
        <v>0</v>
      </c>
      <c r="W2484" t="s">
        <v>4655</v>
      </c>
      <c r="X2484" s="2">
        <v>0</v>
      </c>
      <c r="Y2484">
        <v>40</v>
      </c>
      <c r="Z2484" t="s">
        <v>2081</v>
      </c>
      <c r="AA2484" s="3">
        <v>0.13999082148075101</v>
      </c>
      <c r="AB2484" t="s">
        <v>15344</v>
      </c>
      <c r="AC2484" t="s">
        <v>4575</v>
      </c>
      <c r="AD2484" t="s">
        <v>15345</v>
      </c>
      <c r="AE2484" t="s">
        <v>15346</v>
      </c>
      <c r="AF2484" t="s">
        <v>4563</v>
      </c>
      <c r="AG2484" t="s">
        <v>4564</v>
      </c>
      <c r="AH2484">
        <v>89502</v>
      </c>
      <c r="AI2484" t="s">
        <v>15347</v>
      </c>
      <c r="AJ2484" t="s">
        <v>4655</v>
      </c>
      <c r="AK2484" t="s">
        <v>15348</v>
      </c>
      <c r="AL2484" s="13" t="s">
        <v>3426</v>
      </c>
      <c r="AM2484">
        <v>1</v>
      </c>
      <c r="AN2484" s="15" t="s">
        <v>4858</v>
      </c>
    </row>
    <row r="2485" spans="1:40" x14ac:dyDescent="0.3">
      <c r="A2485" s="10" t="str">
        <f>HYPERLINK("http://www.washoecounty.gov/assessor/cama/?parid=032-065-06&amp;CardNumber=1","032-065-06")</f>
        <v>032-065-06</v>
      </c>
      <c r="B2485" t="s">
        <v>4655</v>
      </c>
      <c r="C2485" t="s">
        <v>15349</v>
      </c>
      <c r="D2485" s="1">
        <v>40330</v>
      </c>
      <c r="E2485" s="2">
        <v>59700</v>
      </c>
      <c r="F2485" t="s">
        <v>4567</v>
      </c>
      <c r="G2485" s="17" t="str">
        <f>HYPERLINK("https://www.washoecounty.gov/assessor/cama/?command=sales&amp;parid=03206506","3887207")</f>
        <v>3887207</v>
      </c>
      <c r="H2485" t="s">
        <v>2732</v>
      </c>
      <c r="I2485">
        <v>1951</v>
      </c>
      <c r="J2485">
        <v>1951</v>
      </c>
      <c r="K2485" t="s">
        <v>4554</v>
      </c>
      <c r="L2485" t="s">
        <v>4555</v>
      </c>
      <c r="M2485" s="2">
        <v>894</v>
      </c>
      <c r="N2485" t="s">
        <v>4133</v>
      </c>
      <c r="O2485">
        <v>1</v>
      </c>
      <c r="P2485">
        <v>1</v>
      </c>
      <c r="Q2485">
        <v>0</v>
      </c>
      <c r="R2485" t="s">
        <v>4134</v>
      </c>
      <c r="S2485" t="s">
        <v>4135</v>
      </c>
      <c r="T2485" t="s">
        <v>4559</v>
      </c>
      <c r="U2485" t="s">
        <v>4655</v>
      </c>
      <c r="V2485" s="2">
        <v>0</v>
      </c>
      <c r="W2485" t="s">
        <v>4655</v>
      </c>
      <c r="X2485" s="2">
        <v>0</v>
      </c>
      <c r="Y2485">
        <v>20</v>
      </c>
      <c r="Z2485" t="s">
        <v>2081</v>
      </c>
      <c r="AA2485" s="3">
        <v>6.9995410740375505E-2</v>
      </c>
      <c r="AB2485" t="s">
        <v>2733</v>
      </c>
      <c r="AC2485" t="s">
        <v>4562</v>
      </c>
      <c r="AD2485" t="s">
        <v>15350</v>
      </c>
      <c r="AE2485" t="s">
        <v>4655</v>
      </c>
      <c r="AF2485" t="s">
        <v>4752</v>
      </c>
      <c r="AG2485" t="s">
        <v>4564</v>
      </c>
      <c r="AH2485" t="s">
        <v>5197</v>
      </c>
      <c r="AI2485" t="s">
        <v>4655</v>
      </c>
      <c r="AJ2485" t="s">
        <v>4655</v>
      </c>
      <c r="AK2485" t="s">
        <v>15351</v>
      </c>
      <c r="AL2485" s="13" t="s">
        <v>3426</v>
      </c>
      <c r="AM2485">
        <v>1</v>
      </c>
      <c r="AN2485" s="15" t="s">
        <v>4396</v>
      </c>
    </row>
    <row r="2486" spans="1:40" x14ac:dyDescent="0.3">
      <c r="A2486" s="10" t="str">
        <f>HYPERLINK("http://www.washoecounty.gov/assessor/cama/?parid=032-065-14&amp;CardNumber=1","032-065-14")</f>
        <v>032-065-14</v>
      </c>
      <c r="B2486" t="s">
        <v>4655</v>
      </c>
      <c r="C2486" t="s">
        <v>15352</v>
      </c>
      <c r="D2486" s="1">
        <v>40518</v>
      </c>
      <c r="E2486" s="2">
        <v>110000</v>
      </c>
      <c r="F2486" t="s">
        <v>4553</v>
      </c>
      <c r="G2486" s="17" t="str">
        <f>HYPERLINK("https://www.washoecounty.gov/assessor/cama/?command=sales&amp;parid=03206514","3949571")</f>
        <v>3949571</v>
      </c>
      <c r="H2486" t="s">
        <v>4854</v>
      </c>
      <c r="I2486">
        <v>1960</v>
      </c>
      <c r="J2486">
        <v>1960</v>
      </c>
      <c r="K2486" t="s">
        <v>3043</v>
      </c>
      <c r="L2486" t="s">
        <v>4555</v>
      </c>
      <c r="M2486" s="2">
        <v>2736</v>
      </c>
      <c r="N2486" t="s">
        <v>4556</v>
      </c>
      <c r="O2486">
        <v>8</v>
      </c>
      <c r="P2486">
        <v>4</v>
      </c>
      <c r="Q2486">
        <v>0</v>
      </c>
      <c r="R2486" t="s">
        <v>4134</v>
      </c>
      <c r="S2486" t="s">
        <v>3046</v>
      </c>
      <c r="T2486" t="s">
        <v>4559</v>
      </c>
      <c r="U2486" t="s">
        <v>4655</v>
      </c>
      <c r="V2486" s="2">
        <v>0</v>
      </c>
      <c r="W2486" t="s">
        <v>4655</v>
      </c>
      <c r="X2486" s="2">
        <v>0</v>
      </c>
      <c r="Y2486">
        <v>32</v>
      </c>
      <c r="Z2486" t="s">
        <v>2081</v>
      </c>
      <c r="AA2486" s="3">
        <v>0.13999082148075101</v>
      </c>
      <c r="AB2486" t="s">
        <v>1506</v>
      </c>
      <c r="AC2486" t="s">
        <v>4562</v>
      </c>
      <c r="AD2486" t="s">
        <v>1912</v>
      </c>
      <c r="AE2486" t="s">
        <v>4655</v>
      </c>
      <c r="AF2486" t="s">
        <v>4563</v>
      </c>
      <c r="AG2486" t="s">
        <v>4564</v>
      </c>
      <c r="AH2486">
        <v>89511</v>
      </c>
      <c r="AI2486" t="s">
        <v>4903</v>
      </c>
      <c r="AJ2486" t="s">
        <v>4655</v>
      </c>
      <c r="AK2486" t="s">
        <v>15353</v>
      </c>
      <c r="AL2486" s="13" t="s">
        <v>3426</v>
      </c>
      <c r="AM2486">
        <v>4</v>
      </c>
      <c r="AN2486" s="15" t="s">
        <v>5501</v>
      </c>
    </row>
    <row r="2487" spans="1:40" x14ac:dyDescent="0.3">
      <c r="A2487" s="10" t="str">
        <f>HYPERLINK("http://www.washoecounty.gov/assessor/cama/?parid=032-066-03&amp;CardNumber=1","032-066-03")</f>
        <v>032-066-03</v>
      </c>
      <c r="B2487" t="s">
        <v>4655</v>
      </c>
      <c r="C2487" t="s">
        <v>15354</v>
      </c>
      <c r="D2487" s="1">
        <v>40373</v>
      </c>
      <c r="E2487" s="2">
        <v>35000</v>
      </c>
      <c r="F2487" t="s">
        <v>4567</v>
      </c>
      <c r="G2487" s="17" t="str">
        <f>HYPERLINK("https://www.washoecounty.gov/assessor/cama/?command=sales&amp;parid=03206603","3901515")</f>
        <v>3901515</v>
      </c>
      <c r="H2487" t="s">
        <v>545</v>
      </c>
      <c r="I2487">
        <v>1936</v>
      </c>
      <c r="J2487">
        <v>1936</v>
      </c>
      <c r="K2487" t="s">
        <v>4554</v>
      </c>
      <c r="L2487" t="s">
        <v>4555</v>
      </c>
      <c r="M2487" s="2">
        <v>570</v>
      </c>
      <c r="N2487" t="s">
        <v>4133</v>
      </c>
      <c r="O2487">
        <v>1</v>
      </c>
      <c r="P2487">
        <v>1</v>
      </c>
      <c r="Q2487">
        <v>0</v>
      </c>
      <c r="R2487" t="s">
        <v>4134</v>
      </c>
      <c r="S2487" t="s">
        <v>4898</v>
      </c>
      <c r="T2487" t="s">
        <v>4559</v>
      </c>
      <c r="U2487" t="s">
        <v>4655</v>
      </c>
      <c r="V2487" s="2">
        <v>0</v>
      </c>
      <c r="W2487" t="s">
        <v>4655</v>
      </c>
      <c r="X2487" s="2">
        <v>0</v>
      </c>
      <c r="Y2487">
        <v>20</v>
      </c>
      <c r="Z2487" t="s">
        <v>2081</v>
      </c>
      <c r="AA2487" s="3">
        <v>6.9995410740375505E-2</v>
      </c>
      <c r="AB2487" t="s">
        <v>15355</v>
      </c>
      <c r="AC2487" t="s">
        <v>4562</v>
      </c>
      <c r="AD2487" t="s">
        <v>15356</v>
      </c>
      <c r="AE2487" t="s">
        <v>4655</v>
      </c>
      <c r="AF2487" t="s">
        <v>4563</v>
      </c>
      <c r="AG2487" t="s">
        <v>4564</v>
      </c>
      <c r="AH2487">
        <v>89508</v>
      </c>
      <c r="AI2487" t="s">
        <v>6453</v>
      </c>
      <c r="AJ2487" t="s">
        <v>4655</v>
      </c>
      <c r="AK2487" t="s">
        <v>15357</v>
      </c>
      <c r="AL2487" s="13" t="s">
        <v>3426</v>
      </c>
      <c r="AM2487" s="14">
        <v>1</v>
      </c>
      <c r="AN2487" s="15" t="s">
        <v>4396</v>
      </c>
    </row>
    <row r="2488" spans="1:40" x14ac:dyDescent="0.3">
      <c r="A2488" s="10" t="str">
        <f>HYPERLINK("http://www.washoecounty.gov/assessor/cama/?parid=032-066-08&amp;CardNumber=1","032-066-08")</f>
        <v>032-066-08</v>
      </c>
      <c r="B2488" t="s">
        <v>4655</v>
      </c>
      <c r="C2488" t="s">
        <v>15358</v>
      </c>
      <c r="D2488" s="1">
        <v>40529</v>
      </c>
      <c r="E2488" s="2">
        <v>28000</v>
      </c>
      <c r="F2488" t="s">
        <v>4567</v>
      </c>
      <c r="G2488" s="17" t="str">
        <f>HYPERLINK("https://www.washoecounty.gov/assessor/cama/?command=sales&amp;parid=03206608","3954812")</f>
        <v>3954812</v>
      </c>
      <c r="H2488" t="s">
        <v>4854</v>
      </c>
      <c r="I2488">
        <v>1925</v>
      </c>
      <c r="J2488">
        <v>1925</v>
      </c>
      <c r="K2488" t="s">
        <v>4554</v>
      </c>
      <c r="L2488" t="s">
        <v>4555</v>
      </c>
      <c r="M2488" s="2">
        <v>525</v>
      </c>
      <c r="N2488" t="s">
        <v>4672</v>
      </c>
      <c r="O2488">
        <v>1</v>
      </c>
      <c r="P2488">
        <v>1</v>
      </c>
      <c r="Q2488">
        <v>0</v>
      </c>
      <c r="R2488" t="s">
        <v>4134</v>
      </c>
      <c r="S2488" t="s">
        <v>4135</v>
      </c>
      <c r="T2488" t="s">
        <v>4559</v>
      </c>
      <c r="U2488" t="s">
        <v>4655</v>
      </c>
      <c r="V2488" s="2">
        <v>0</v>
      </c>
      <c r="W2488" t="s">
        <v>4655</v>
      </c>
      <c r="X2488" s="2">
        <v>0</v>
      </c>
      <c r="Y2488">
        <v>20</v>
      </c>
      <c r="Z2488" t="s">
        <v>2081</v>
      </c>
      <c r="AA2488" s="3">
        <v>6.9995410740375505E-2</v>
      </c>
      <c r="AB2488" t="s">
        <v>15359</v>
      </c>
      <c r="AC2488" t="s">
        <v>4562</v>
      </c>
      <c r="AD2488" t="s">
        <v>5866</v>
      </c>
      <c r="AE2488" t="s">
        <v>4655</v>
      </c>
      <c r="AF2488" t="s">
        <v>4563</v>
      </c>
      <c r="AG2488" t="s">
        <v>4564</v>
      </c>
      <c r="AH2488">
        <v>89503</v>
      </c>
      <c r="AI2488" t="s">
        <v>4655</v>
      </c>
      <c r="AJ2488" t="s">
        <v>4655</v>
      </c>
      <c r="AK2488" t="s">
        <v>15360</v>
      </c>
      <c r="AL2488" s="13" t="s">
        <v>3426</v>
      </c>
      <c r="AM2488">
        <v>1</v>
      </c>
      <c r="AN2488" s="15" t="s">
        <v>4396</v>
      </c>
    </row>
    <row r="2489" spans="1:40" x14ac:dyDescent="0.3">
      <c r="A2489" s="10" t="str">
        <f>HYPERLINK("http://www.washoecounty.gov/assessor/cama/?parid=032-072-08&amp;CardNumber=1","032-072-08")</f>
        <v>032-072-08</v>
      </c>
      <c r="B2489" t="s">
        <v>5502</v>
      </c>
      <c r="C2489" t="s">
        <v>15361</v>
      </c>
      <c r="D2489" s="1">
        <v>40259</v>
      </c>
      <c r="E2489" s="2">
        <v>142900</v>
      </c>
      <c r="F2489" t="s">
        <v>4553</v>
      </c>
      <c r="G2489" s="17" t="str">
        <f>HYPERLINK("https://www.washoecounty.gov/assessor/cama/?command=sales&amp;parid=03207208","3862333")</f>
        <v>3862333</v>
      </c>
      <c r="H2489" t="s">
        <v>15362</v>
      </c>
      <c r="I2489">
        <v>1928</v>
      </c>
      <c r="J2489">
        <v>1928</v>
      </c>
      <c r="K2489" t="s">
        <v>4554</v>
      </c>
      <c r="L2489" t="s">
        <v>4555</v>
      </c>
      <c r="M2489" s="2">
        <v>984</v>
      </c>
      <c r="N2489" t="s">
        <v>4556</v>
      </c>
      <c r="O2489">
        <v>2</v>
      </c>
      <c r="P2489">
        <v>1</v>
      </c>
      <c r="Q2489">
        <v>0</v>
      </c>
      <c r="R2489" t="s">
        <v>4557</v>
      </c>
      <c r="S2489" t="s">
        <v>4574</v>
      </c>
      <c r="T2489" t="s">
        <v>4559</v>
      </c>
      <c r="U2489" t="s">
        <v>4655</v>
      </c>
      <c r="V2489" s="2">
        <v>0</v>
      </c>
      <c r="W2489" t="s">
        <v>3149</v>
      </c>
      <c r="X2489" s="2">
        <v>100</v>
      </c>
      <c r="Y2489">
        <v>32</v>
      </c>
      <c r="Z2489" t="s">
        <v>2081</v>
      </c>
      <c r="AA2489" s="3">
        <v>0.10000000149011599</v>
      </c>
      <c r="AB2489" t="s">
        <v>15363</v>
      </c>
      <c r="AC2489" t="s">
        <v>4562</v>
      </c>
      <c r="AD2489" t="s">
        <v>15364</v>
      </c>
      <c r="AE2489" t="s">
        <v>4655</v>
      </c>
      <c r="AF2489" t="s">
        <v>5201</v>
      </c>
      <c r="AG2489" t="s">
        <v>4564</v>
      </c>
      <c r="AH2489" t="s">
        <v>5202</v>
      </c>
      <c r="AI2489" t="s">
        <v>3010</v>
      </c>
      <c r="AJ2489" t="s">
        <v>4655</v>
      </c>
      <c r="AK2489" t="s">
        <v>15365</v>
      </c>
      <c r="AL2489" s="13" t="s">
        <v>3426</v>
      </c>
      <c r="AM2489">
        <v>3</v>
      </c>
      <c r="AN2489" s="15" t="s">
        <v>5501</v>
      </c>
    </row>
    <row r="2490" spans="1:40" x14ac:dyDescent="0.3">
      <c r="A2490" s="10" t="str">
        <f>HYPERLINK("http://www.washoecounty.gov/assessor/cama/?parid=032-084-05&amp;CardNumber=1","032-084-05")</f>
        <v>032-084-05</v>
      </c>
      <c r="B2490" t="s">
        <v>4655</v>
      </c>
      <c r="C2490" t="s">
        <v>15366</v>
      </c>
      <c r="D2490" s="1">
        <v>40352</v>
      </c>
      <c r="E2490" s="2">
        <v>90000</v>
      </c>
      <c r="F2490" t="s">
        <v>4567</v>
      </c>
      <c r="G2490" s="17" t="str">
        <f>HYPERLINK("https://www.washoecounty.gov/assessor/cama/?command=sales&amp;parid=03208405","3894841")</f>
        <v>3894841</v>
      </c>
      <c r="H2490" t="s">
        <v>15367</v>
      </c>
      <c r="I2490">
        <v>1914</v>
      </c>
      <c r="J2490">
        <v>1914</v>
      </c>
      <c r="K2490" t="s">
        <v>4554</v>
      </c>
      <c r="L2490" t="s">
        <v>4555</v>
      </c>
      <c r="M2490" s="2">
        <v>958</v>
      </c>
      <c r="N2490" t="s">
        <v>4556</v>
      </c>
      <c r="O2490">
        <v>2</v>
      </c>
      <c r="P2490">
        <v>1</v>
      </c>
      <c r="Q2490">
        <v>0</v>
      </c>
      <c r="R2490" t="s">
        <v>4557</v>
      </c>
      <c r="S2490" t="s">
        <v>4135</v>
      </c>
      <c r="T2490" t="s">
        <v>4559</v>
      </c>
      <c r="U2490" t="s">
        <v>4655</v>
      </c>
      <c r="V2490" s="2">
        <v>0</v>
      </c>
      <c r="W2490" t="s">
        <v>4655</v>
      </c>
      <c r="X2490" s="2">
        <v>0</v>
      </c>
      <c r="Y2490">
        <v>20</v>
      </c>
      <c r="Z2490" t="s">
        <v>2081</v>
      </c>
      <c r="AA2490" s="3">
        <v>8.0004587769508403E-2</v>
      </c>
      <c r="AB2490" t="s">
        <v>15368</v>
      </c>
      <c r="AC2490" t="s">
        <v>4562</v>
      </c>
      <c r="AD2490" t="s">
        <v>15366</v>
      </c>
      <c r="AE2490" t="s">
        <v>4655</v>
      </c>
      <c r="AF2490" t="s">
        <v>5201</v>
      </c>
      <c r="AG2490" t="s">
        <v>4564</v>
      </c>
      <c r="AH2490" t="s">
        <v>5202</v>
      </c>
      <c r="AI2490" t="s">
        <v>15369</v>
      </c>
      <c r="AJ2490" t="s">
        <v>4655</v>
      </c>
      <c r="AK2490" t="s">
        <v>15370</v>
      </c>
      <c r="AL2490" s="13" t="s">
        <v>3426</v>
      </c>
      <c r="AM2490" s="14">
        <v>1</v>
      </c>
      <c r="AN2490" s="15" t="s">
        <v>4396</v>
      </c>
    </row>
    <row r="2491" spans="1:40" x14ac:dyDescent="0.3">
      <c r="A2491" s="10" t="str">
        <f>HYPERLINK("http://www.washoecounty.gov/assessor/cama/?parid=032-087-07&amp;CardNumber=1","032-087-07")</f>
        <v>032-087-07</v>
      </c>
      <c r="B2491" t="s">
        <v>5502</v>
      </c>
      <c r="C2491" t="s">
        <v>15371</v>
      </c>
      <c r="D2491" s="1">
        <v>40389</v>
      </c>
      <c r="E2491" s="2">
        <v>145000</v>
      </c>
      <c r="F2491" t="s">
        <v>4567</v>
      </c>
      <c r="G2491" s="17" t="str">
        <f>HYPERLINK("https://www.washoecounty.gov/assessor/cama/?command=sales&amp;parid=03208707","3907407")</f>
        <v>3907407</v>
      </c>
      <c r="H2491" t="s">
        <v>15372</v>
      </c>
      <c r="I2491">
        <v>1935</v>
      </c>
      <c r="J2491">
        <v>1935</v>
      </c>
      <c r="K2491" t="s">
        <v>4554</v>
      </c>
      <c r="L2491" t="s">
        <v>4555</v>
      </c>
      <c r="M2491" s="2">
        <v>1148</v>
      </c>
      <c r="N2491" t="s">
        <v>4048</v>
      </c>
      <c r="O2491">
        <v>2</v>
      </c>
      <c r="P2491">
        <v>1</v>
      </c>
      <c r="Q2491">
        <v>0</v>
      </c>
      <c r="R2491" t="s">
        <v>4557</v>
      </c>
      <c r="S2491" t="s">
        <v>4135</v>
      </c>
      <c r="T2491" t="s">
        <v>4559</v>
      </c>
      <c r="U2491" t="s">
        <v>4560</v>
      </c>
      <c r="V2491" s="2">
        <v>198</v>
      </c>
      <c r="W2491" t="s">
        <v>3149</v>
      </c>
      <c r="X2491" s="2">
        <v>728</v>
      </c>
      <c r="Y2491">
        <v>31</v>
      </c>
      <c r="Z2491" t="s">
        <v>2081</v>
      </c>
      <c r="AA2491" s="3">
        <v>0.160009175539017</v>
      </c>
      <c r="AB2491" t="s">
        <v>15373</v>
      </c>
      <c r="AC2491" t="s">
        <v>4562</v>
      </c>
      <c r="AD2491" t="s">
        <v>15374</v>
      </c>
      <c r="AE2491" t="s">
        <v>4655</v>
      </c>
      <c r="AF2491" t="s">
        <v>5201</v>
      </c>
      <c r="AG2491" t="s">
        <v>4564</v>
      </c>
      <c r="AH2491" t="s">
        <v>1605</v>
      </c>
      <c r="AI2491" t="s">
        <v>4655</v>
      </c>
      <c r="AJ2491" t="s">
        <v>4655</v>
      </c>
      <c r="AK2491" t="s">
        <v>15375</v>
      </c>
      <c r="AL2491" s="13" t="s">
        <v>3426</v>
      </c>
      <c r="AM2491">
        <v>2</v>
      </c>
      <c r="AN2491" s="15" t="s">
        <v>5501</v>
      </c>
    </row>
    <row r="2492" spans="1:40" x14ac:dyDescent="0.3">
      <c r="A2492" s="10" t="str">
        <f>HYPERLINK("http://www.washoecounty.gov/assessor/cama/?parid=032-092-02&amp;CardNumber=1","032-092-02")</f>
        <v>032-092-02</v>
      </c>
      <c r="B2492" t="s">
        <v>4655</v>
      </c>
      <c r="C2492" t="s">
        <v>15376</v>
      </c>
      <c r="D2492" s="1">
        <v>40406</v>
      </c>
      <c r="E2492" s="2">
        <v>70000</v>
      </c>
      <c r="F2492" t="s">
        <v>4553</v>
      </c>
      <c r="G2492" s="17" t="str">
        <f>HYPERLINK("https://www.washoecounty.gov/assessor/cama/?command=sales&amp;parid=03209202","3912427")</f>
        <v>3912427</v>
      </c>
      <c r="H2492" t="s">
        <v>4296</v>
      </c>
      <c r="I2492">
        <v>1979</v>
      </c>
      <c r="J2492">
        <v>1979</v>
      </c>
      <c r="K2492" t="s">
        <v>4554</v>
      </c>
      <c r="L2492" t="s">
        <v>4555</v>
      </c>
      <c r="M2492" s="2">
        <v>1120</v>
      </c>
      <c r="N2492" t="s">
        <v>4556</v>
      </c>
      <c r="O2492">
        <v>2</v>
      </c>
      <c r="P2492">
        <v>1</v>
      </c>
      <c r="Q2492">
        <v>0</v>
      </c>
      <c r="R2492" t="s">
        <v>5281</v>
      </c>
      <c r="S2492" t="s">
        <v>4135</v>
      </c>
      <c r="T2492" t="s">
        <v>4559</v>
      </c>
      <c r="U2492" t="s">
        <v>4655</v>
      </c>
      <c r="V2492" s="2">
        <v>0</v>
      </c>
      <c r="W2492" t="s">
        <v>4655</v>
      </c>
      <c r="X2492" s="2">
        <v>0</v>
      </c>
      <c r="Y2492">
        <v>20</v>
      </c>
      <c r="Z2492" t="s">
        <v>2081</v>
      </c>
      <c r="AA2492" s="3">
        <v>8.0004587769508403E-2</v>
      </c>
      <c r="AB2492" t="s">
        <v>15377</v>
      </c>
      <c r="AC2492" t="s">
        <v>4562</v>
      </c>
      <c r="AD2492" t="s">
        <v>15376</v>
      </c>
      <c r="AE2492" t="s">
        <v>4655</v>
      </c>
      <c r="AF2492" t="s">
        <v>4809</v>
      </c>
      <c r="AG2492" t="s">
        <v>4564</v>
      </c>
      <c r="AH2492" t="s">
        <v>5202</v>
      </c>
      <c r="AI2492" t="s">
        <v>1602</v>
      </c>
      <c r="AJ2492" t="s">
        <v>4655</v>
      </c>
      <c r="AK2492" t="s">
        <v>15378</v>
      </c>
      <c r="AL2492" s="13" t="s">
        <v>3426</v>
      </c>
      <c r="AM2492" s="14">
        <v>1</v>
      </c>
      <c r="AN2492" s="15" t="s">
        <v>4396</v>
      </c>
    </row>
    <row r="2493" spans="1:40" x14ac:dyDescent="0.3">
      <c r="A2493" s="10" t="str">
        <f>HYPERLINK("http://www.washoecounty.gov/assessor/cama/?parid=032-093-11&amp;CardNumber=1","032-093-11")</f>
        <v>032-093-11</v>
      </c>
      <c r="B2493" t="s">
        <v>4655</v>
      </c>
      <c r="C2493" t="s">
        <v>15379</v>
      </c>
      <c r="D2493" s="1">
        <v>40431</v>
      </c>
      <c r="E2493" s="2">
        <v>69900</v>
      </c>
      <c r="F2493" t="s">
        <v>4553</v>
      </c>
      <c r="G2493" s="17" t="str">
        <f>HYPERLINK("https://www.washoecounty.gov/assessor/cama/?command=sales&amp;parid=03209311","3921015")</f>
        <v>3921015</v>
      </c>
      <c r="H2493" t="s">
        <v>15380</v>
      </c>
      <c r="I2493">
        <v>1904</v>
      </c>
      <c r="J2493">
        <v>1941</v>
      </c>
      <c r="K2493" t="s">
        <v>4554</v>
      </c>
      <c r="L2493" t="s">
        <v>4555</v>
      </c>
      <c r="M2493" s="2">
        <v>1322</v>
      </c>
      <c r="N2493" t="s">
        <v>4556</v>
      </c>
      <c r="O2493">
        <v>2</v>
      </c>
      <c r="P2493">
        <v>1</v>
      </c>
      <c r="Q2493">
        <v>0</v>
      </c>
      <c r="R2493" t="s">
        <v>5281</v>
      </c>
      <c r="S2493" t="s">
        <v>4135</v>
      </c>
      <c r="T2493" t="s">
        <v>4559</v>
      </c>
      <c r="U2493" t="s">
        <v>4655</v>
      </c>
      <c r="V2493" s="2">
        <v>0</v>
      </c>
      <c r="W2493" t="s">
        <v>4655</v>
      </c>
      <c r="X2493" s="2">
        <v>0</v>
      </c>
      <c r="Y2493">
        <v>20</v>
      </c>
      <c r="Z2493" t="s">
        <v>2081</v>
      </c>
      <c r="AA2493" s="3">
        <v>0.160009175539017</v>
      </c>
      <c r="AB2493" t="s">
        <v>15381</v>
      </c>
      <c r="AC2493" t="s">
        <v>4562</v>
      </c>
      <c r="AD2493" t="s">
        <v>15379</v>
      </c>
      <c r="AE2493" t="s">
        <v>4655</v>
      </c>
      <c r="AF2493" t="s">
        <v>5201</v>
      </c>
      <c r="AG2493" t="s">
        <v>4564</v>
      </c>
      <c r="AH2493" t="s">
        <v>5202</v>
      </c>
      <c r="AI2493" t="s">
        <v>4503</v>
      </c>
      <c r="AJ2493" t="s">
        <v>4655</v>
      </c>
      <c r="AK2493" t="s">
        <v>15382</v>
      </c>
      <c r="AL2493" s="13" t="s">
        <v>3426</v>
      </c>
      <c r="AM2493">
        <v>1</v>
      </c>
      <c r="AN2493" s="15" t="s">
        <v>4396</v>
      </c>
    </row>
    <row r="2494" spans="1:40" x14ac:dyDescent="0.3">
      <c r="A2494" s="10" t="str">
        <f>HYPERLINK("http://www.washoecounty.gov/assessor/cama/?parid=032-102-10&amp;CardNumber=1","032-102-10")</f>
        <v>032-102-10</v>
      </c>
      <c r="B2494" t="s">
        <v>4655</v>
      </c>
      <c r="C2494" t="s">
        <v>15383</v>
      </c>
      <c r="D2494" s="1">
        <v>40505</v>
      </c>
      <c r="E2494" s="2">
        <v>71000</v>
      </c>
      <c r="F2494" t="s">
        <v>4553</v>
      </c>
      <c r="G2494" s="17" t="str">
        <f>HYPERLINK("https://www.washoecounty.gov/assessor/cama/?command=sales&amp;parid=03210210","3946229")</f>
        <v>3946229</v>
      </c>
      <c r="H2494" t="s">
        <v>827</v>
      </c>
      <c r="I2494">
        <v>1905</v>
      </c>
      <c r="J2494">
        <v>1905</v>
      </c>
      <c r="K2494" t="s">
        <v>4554</v>
      </c>
      <c r="L2494" t="s">
        <v>4555</v>
      </c>
      <c r="M2494" s="2">
        <v>1064</v>
      </c>
      <c r="N2494" t="s">
        <v>4048</v>
      </c>
      <c r="O2494">
        <v>2</v>
      </c>
      <c r="P2494">
        <v>1</v>
      </c>
      <c r="Q2494">
        <v>0</v>
      </c>
      <c r="R2494" t="s">
        <v>4557</v>
      </c>
      <c r="S2494" t="s">
        <v>4135</v>
      </c>
      <c r="T2494" t="s">
        <v>4559</v>
      </c>
      <c r="U2494" t="s">
        <v>4655</v>
      </c>
      <c r="V2494" s="2">
        <v>0</v>
      </c>
      <c r="W2494" t="s">
        <v>4655</v>
      </c>
      <c r="X2494" s="2">
        <v>0</v>
      </c>
      <c r="Y2494">
        <v>20</v>
      </c>
      <c r="Z2494" t="s">
        <v>2081</v>
      </c>
      <c r="AA2494" s="3">
        <v>0.13000458478927601</v>
      </c>
      <c r="AB2494" t="s">
        <v>15384</v>
      </c>
      <c r="AC2494" t="s">
        <v>4575</v>
      </c>
      <c r="AD2494" t="s">
        <v>15385</v>
      </c>
      <c r="AE2494" t="s">
        <v>4655</v>
      </c>
      <c r="AF2494" t="s">
        <v>15386</v>
      </c>
      <c r="AG2494" t="s">
        <v>1539</v>
      </c>
      <c r="AH2494">
        <v>98126</v>
      </c>
      <c r="AI2494" t="s">
        <v>4565</v>
      </c>
      <c r="AJ2494" t="s">
        <v>4655</v>
      </c>
      <c r="AK2494" t="s">
        <v>15387</v>
      </c>
      <c r="AL2494" s="13" t="s">
        <v>3426</v>
      </c>
      <c r="AM2494">
        <v>1</v>
      </c>
      <c r="AN2494" s="15" t="s">
        <v>4396</v>
      </c>
    </row>
    <row r="2495" spans="1:40" x14ac:dyDescent="0.3">
      <c r="A2495" s="10" t="str">
        <f>HYPERLINK("http://www.washoecounty.gov/assessor/cama/?parid=032-112-09&amp;CardNumber=1","032-112-09")</f>
        <v>032-112-09</v>
      </c>
      <c r="B2495" t="s">
        <v>4655</v>
      </c>
      <c r="C2495" t="s">
        <v>15388</v>
      </c>
      <c r="D2495" s="1">
        <v>40303</v>
      </c>
      <c r="E2495" s="2">
        <v>25000</v>
      </c>
      <c r="F2495" t="s">
        <v>4567</v>
      </c>
      <c r="G2495" s="17" t="str">
        <f>HYPERLINK("https://www.washoecounty.gov/assessor/cama/?command=sales&amp;parid=03211209","3878354")</f>
        <v>3878354</v>
      </c>
      <c r="H2495" t="s">
        <v>15389</v>
      </c>
      <c r="I2495">
        <v>1947</v>
      </c>
      <c r="J2495">
        <v>1947</v>
      </c>
      <c r="K2495" t="s">
        <v>4554</v>
      </c>
      <c r="L2495" t="s">
        <v>4555</v>
      </c>
      <c r="M2495" s="2">
        <v>672</v>
      </c>
      <c r="N2495" t="s">
        <v>4672</v>
      </c>
      <c r="O2495">
        <v>2</v>
      </c>
      <c r="P2495">
        <v>1</v>
      </c>
      <c r="Q2495">
        <v>0</v>
      </c>
      <c r="R2495" t="s">
        <v>4134</v>
      </c>
      <c r="S2495" t="s">
        <v>4574</v>
      </c>
      <c r="T2495" t="s">
        <v>4559</v>
      </c>
      <c r="U2495" t="s">
        <v>4655</v>
      </c>
      <c r="V2495" s="2">
        <v>0</v>
      </c>
      <c r="W2495" t="s">
        <v>4655</v>
      </c>
      <c r="X2495" s="2">
        <v>0</v>
      </c>
      <c r="Y2495">
        <v>20</v>
      </c>
      <c r="Z2495" t="s">
        <v>2081</v>
      </c>
      <c r="AA2495" s="3">
        <v>0.214990824460983</v>
      </c>
      <c r="AB2495" t="s">
        <v>9434</v>
      </c>
      <c r="AC2495" t="s">
        <v>4575</v>
      </c>
      <c r="AD2495" t="s">
        <v>2491</v>
      </c>
      <c r="AE2495" t="s">
        <v>4655</v>
      </c>
      <c r="AF2495" t="s">
        <v>4563</v>
      </c>
      <c r="AG2495" t="s">
        <v>4564</v>
      </c>
      <c r="AH2495">
        <v>89501</v>
      </c>
      <c r="AI2495" t="s">
        <v>15390</v>
      </c>
      <c r="AJ2495" t="s">
        <v>4655</v>
      </c>
      <c r="AK2495" t="s">
        <v>15391</v>
      </c>
      <c r="AL2495" s="13" t="s">
        <v>3426</v>
      </c>
      <c r="AM2495">
        <v>1</v>
      </c>
      <c r="AN2495" s="15" t="s">
        <v>4396</v>
      </c>
    </row>
    <row r="2496" spans="1:40" x14ac:dyDescent="0.3">
      <c r="A2496" s="10" t="str">
        <f>HYPERLINK("http://www.washoecounty.gov/assessor/cama/?parid=032-121-05&amp;CardNumber=1","032-121-05")</f>
        <v>032-121-05</v>
      </c>
      <c r="B2496" t="s">
        <v>4655</v>
      </c>
      <c r="C2496" t="s">
        <v>15392</v>
      </c>
      <c r="D2496" s="1">
        <v>40506</v>
      </c>
      <c r="E2496" s="2">
        <v>39995</v>
      </c>
      <c r="F2496" t="s">
        <v>4553</v>
      </c>
      <c r="G2496" s="17" t="str">
        <f>HYPERLINK("https://www.washoecounty.gov/assessor/cama/?command=sales&amp;parid=03212105","3946379")</f>
        <v>3946379</v>
      </c>
      <c r="H2496" t="s">
        <v>545</v>
      </c>
      <c r="I2496">
        <v>1932</v>
      </c>
      <c r="J2496">
        <v>1932</v>
      </c>
      <c r="K2496" t="s">
        <v>4554</v>
      </c>
      <c r="L2496" t="s">
        <v>4555</v>
      </c>
      <c r="M2496" s="2">
        <v>780</v>
      </c>
      <c r="N2496" t="s">
        <v>4133</v>
      </c>
      <c r="O2496">
        <v>2</v>
      </c>
      <c r="P2496">
        <v>1</v>
      </c>
      <c r="Q2496">
        <v>0</v>
      </c>
      <c r="R2496" t="s">
        <v>1800</v>
      </c>
      <c r="S2496" t="s">
        <v>4135</v>
      </c>
      <c r="T2496" t="s">
        <v>4559</v>
      </c>
      <c r="U2496" t="s">
        <v>4655</v>
      </c>
      <c r="V2496" s="2">
        <v>0</v>
      </c>
      <c r="W2496" t="s">
        <v>4655</v>
      </c>
      <c r="X2496" s="2">
        <v>0</v>
      </c>
      <c r="Y2496">
        <v>20</v>
      </c>
      <c r="Z2496" t="s">
        <v>2081</v>
      </c>
      <c r="AA2496" s="3">
        <v>9.2998161911964403E-2</v>
      </c>
      <c r="AB2496" t="s">
        <v>15393</v>
      </c>
      <c r="AC2496" t="s">
        <v>4562</v>
      </c>
      <c r="AD2496" t="s">
        <v>15394</v>
      </c>
      <c r="AE2496" t="s">
        <v>4655</v>
      </c>
      <c r="AF2496" t="s">
        <v>5201</v>
      </c>
      <c r="AG2496" t="s">
        <v>4564</v>
      </c>
      <c r="AH2496" t="s">
        <v>1605</v>
      </c>
      <c r="AI2496" t="s">
        <v>4903</v>
      </c>
      <c r="AJ2496" t="s">
        <v>4655</v>
      </c>
      <c r="AK2496" t="s">
        <v>15395</v>
      </c>
      <c r="AL2496" s="13" t="s">
        <v>3426</v>
      </c>
      <c r="AM2496" s="14">
        <v>1</v>
      </c>
      <c r="AN2496" s="15" t="s">
        <v>4396</v>
      </c>
    </row>
    <row r="2497" spans="1:40" x14ac:dyDescent="0.3">
      <c r="A2497" s="10" t="str">
        <f>HYPERLINK("http://www.washoecounty.gov/assessor/cama/?parid=032-141-12&amp;CardNumber=1","032-141-12")</f>
        <v>032-141-12</v>
      </c>
      <c r="B2497" t="s">
        <v>5502</v>
      </c>
      <c r="C2497" t="s">
        <v>15396</v>
      </c>
      <c r="D2497" s="1">
        <v>40221</v>
      </c>
      <c r="E2497" s="2">
        <v>136000</v>
      </c>
      <c r="F2497" t="s">
        <v>4553</v>
      </c>
      <c r="G2497" s="17" t="str">
        <f>HYPERLINK("https://www.washoecounty.gov/assessor/cama/?command=sales&amp;parid=03214112","3848753")</f>
        <v>3848753</v>
      </c>
      <c r="H2497" t="s">
        <v>5195</v>
      </c>
      <c r="I2497">
        <v>1977</v>
      </c>
      <c r="J2497">
        <v>1978</v>
      </c>
      <c r="K2497" t="s">
        <v>3043</v>
      </c>
      <c r="L2497" t="s">
        <v>3974</v>
      </c>
      <c r="M2497" s="2">
        <v>1440</v>
      </c>
      <c r="N2497" t="s">
        <v>4556</v>
      </c>
      <c r="O2497">
        <v>5</v>
      </c>
      <c r="P2497">
        <v>4</v>
      </c>
      <c r="Q2497">
        <v>0</v>
      </c>
      <c r="R2497" t="s">
        <v>4134</v>
      </c>
      <c r="S2497" t="s">
        <v>4558</v>
      </c>
      <c r="T2497" t="s">
        <v>4559</v>
      </c>
      <c r="U2497" t="s">
        <v>5631</v>
      </c>
      <c r="V2497" s="2">
        <v>200</v>
      </c>
      <c r="W2497" t="s">
        <v>4655</v>
      </c>
      <c r="X2497" s="2">
        <v>0</v>
      </c>
      <c r="Y2497">
        <v>33</v>
      </c>
      <c r="Z2497" t="s">
        <v>2081</v>
      </c>
      <c r="AA2497" s="3">
        <v>0.160009175539017</v>
      </c>
      <c r="AB2497" t="s">
        <v>15397</v>
      </c>
      <c r="AC2497" t="s">
        <v>4562</v>
      </c>
      <c r="AD2497" t="s">
        <v>15398</v>
      </c>
      <c r="AE2497" t="s">
        <v>4655</v>
      </c>
      <c r="AF2497" t="s">
        <v>4563</v>
      </c>
      <c r="AG2497" t="s">
        <v>4564</v>
      </c>
      <c r="AH2497" t="s">
        <v>2330</v>
      </c>
      <c r="AI2497" t="s">
        <v>15399</v>
      </c>
      <c r="AJ2497" t="s">
        <v>4655</v>
      </c>
      <c r="AK2497" t="s">
        <v>15400</v>
      </c>
      <c r="AL2497" s="13" t="s">
        <v>3426</v>
      </c>
      <c r="AM2497">
        <v>5</v>
      </c>
      <c r="AN2497" s="15" t="s">
        <v>5501</v>
      </c>
    </row>
    <row r="2498" spans="1:40" x14ac:dyDescent="0.3">
      <c r="A2498" s="10" t="str">
        <f>HYPERLINK("http://www.washoecounty.gov/assessor/cama/?parid=032-151-05&amp;CardNumber=1","032-151-05")</f>
        <v>032-151-05</v>
      </c>
      <c r="B2498" t="s">
        <v>5502</v>
      </c>
      <c r="C2498" t="s">
        <v>15401</v>
      </c>
      <c r="D2498" s="1">
        <v>40298</v>
      </c>
      <c r="E2498" s="2">
        <v>109395</v>
      </c>
      <c r="F2498" t="s">
        <v>3259</v>
      </c>
      <c r="G2498" s="17" t="str">
        <f>HYPERLINK("https://www.washoecounty.gov/assessor/cama/?command=sales&amp;parid=03215105","3877010")</f>
        <v>3877010</v>
      </c>
      <c r="H2498" t="s">
        <v>4296</v>
      </c>
      <c r="I2498">
        <v>1907</v>
      </c>
      <c r="J2498">
        <v>1907</v>
      </c>
      <c r="K2498" t="s">
        <v>4554</v>
      </c>
      <c r="L2498" t="s">
        <v>4555</v>
      </c>
      <c r="M2498" s="2">
        <v>1080</v>
      </c>
      <c r="N2498" t="s">
        <v>4048</v>
      </c>
      <c r="O2498">
        <v>2</v>
      </c>
      <c r="P2498">
        <v>1</v>
      </c>
      <c r="Q2498">
        <v>0</v>
      </c>
      <c r="R2498" t="s">
        <v>1800</v>
      </c>
      <c r="S2498" t="s">
        <v>3046</v>
      </c>
      <c r="T2498" t="s">
        <v>4559</v>
      </c>
      <c r="U2498" t="s">
        <v>4655</v>
      </c>
      <c r="V2498" s="2">
        <v>0</v>
      </c>
      <c r="W2498" t="s">
        <v>4655</v>
      </c>
      <c r="X2498" s="2">
        <v>0</v>
      </c>
      <c r="Y2498">
        <v>31</v>
      </c>
      <c r="Z2498" t="s">
        <v>2081</v>
      </c>
      <c r="AA2498" s="3">
        <v>0.11000918596983</v>
      </c>
      <c r="AB2498" t="s">
        <v>15402</v>
      </c>
      <c r="AC2498" t="s">
        <v>4562</v>
      </c>
      <c r="AD2498" t="s">
        <v>15403</v>
      </c>
      <c r="AE2498" t="s">
        <v>4655</v>
      </c>
      <c r="AF2498" t="s">
        <v>4563</v>
      </c>
      <c r="AG2498" t="s">
        <v>4564</v>
      </c>
      <c r="AH2498" t="s">
        <v>5197</v>
      </c>
      <c r="AI2498" t="s">
        <v>15404</v>
      </c>
      <c r="AJ2498" t="s">
        <v>4655</v>
      </c>
      <c r="AK2498" t="s">
        <v>15405</v>
      </c>
      <c r="AL2498" s="13" t="s">
        <v>3426</v>
      </c>
      <c r="AM2498">
        <v>2</v>
      </c>
      <c r="AN2498" s="15" t="s">
        <v>5501</v>
      </c>
    </row>
    <row r="2499" spans="1:40" x14ac:dyDescent="0.3">
      <c r="A2499" s="10" t="str">
        <f>HYPERLINK("http://www.washoecounty.gov/assessor/cama/?parid=032-151-12&amp;CardNumber=1","032-151-12")</f>
        <v>032-151-12</v>
      </c>
      <c r="B2499" t="s">
        <v>4655</v>
      </c>
      <c r="C2499" t="s">
        <v>15406</v>
      </c>
      <c r="D2499" s="1">
        <v>40245</v>
      </c>
      <c r="E2499" s="2">
        <v>75000</v>
      </c>
      <c r="F2499" t="s">
        <v>4567</v>
      </c>
      <c r="G2499" s="17" t="str">
        <f>HYPERLINK("https://www.washoecounty.gov/assessor/cama/?command=sales&amp;parid=03215112","3856729")</f>
        <v>3856729</v>
      </c>
      <c r="H2499" t="s">
        <v>15380</v>
      </c>
      <c r="I2499">
        <v>1904</v>
      </c>
      <c r="J2499">
        <v>1904</v>
      </c>
      <c r="K2499" t="s">
        <v>4554</v>
      </c>
      <c r="L2499" t="s">
        <v>4555</v>
      </c>
      <c r="M2499" s="2">
        <v>1434</v>
      </c>
      <c r="N2499" t="s">
        <v>4048</v>
      </c>
      <c r="O2499">
        <v>3</v>
      </c>
      <c r="P2499">
        <v>1</v>
      </c>
      <c r="Q2499">
        <v>0</v>
      </c>
      <c r="R2499" t="s">
        <v>4134</v>
      </c>
      <c r="S2499" t="s">
        <v>4574</v>
      </c>
      <c r="T2499" t="s">
        <v>4559</v>
      </c>
      <c r="U2499" t="s">
        <v>4655</v>
      </c>
      <c r="V2499" s="2">
        <v>0</v>
      </c>
      <c r="W2499" t="s">
        <v>4655</v>
      </c>
      <c r="X2499" s="2">
        <v>0</v>
      </c>
      <c r="Y2499">
        <v>20</v>
      </c>
      <c r="Z2499" t="s">
        <v>2081</v>
      </c>
      <c r="AA2499" s="3">
        <v>0.160009175539017</v>
      </c>
      <c r="AB2499" t="s">
        <v>15407</v>
      </c>
      <c r="AC2499" t="s">
        <v>4575</v>
      </c>
      <c r="AD2499" t="s">
        <v>15408</v>
      </c>
      <c r="AE2499" t="s">
        <v>4655</v>
      </c>
      <c r="AF2499" t="s">
        <v>5201</v>
      </c>
      <c r="AG2499" t="s">
        <v>4564</v>
      </c>
      <c r="AH2499" t="s">
        <v>4126</v>
      </c>
      <c r="AI2499" t="s">
        <v>15409</v>
      </c>
      <c r="AJ2499" t="s">
        <v>4655</v>
      </c>
      <c r="AK2499" t="s">
        <v>15410</v>
      </c>
      <c r="AL2499" s="13" t="s">
        <v>3426</v>
      </c>
      <c r="AM2499" s="14">
        <v>1</v>
      </c>
      <c r="AN2499" s="15" t="s">
        <v>4396</v>
      </c>
    </row>
    <row r="2500" spans="1:40" x14ac:dyDescent="0.3">
      <c r="A2500" s="10" t="str">
        <f>HYPERLINK("http://www.washoecounty.gov/assessor/cama/?parid=032-154-04&amp;CardNumber=1","032-154-04")</f>
        <v>032-154-04</v>
      </c>
      <c r="B2500" t="s">
        <v>4655</v>
      </c>
      <c r="C2500" t="s">
        <v>15411</v>
      </c>
      <c r="D2500" s="1">
        <v>40303</v>
      </c>
      <c r="E2500" s="2">
        <v>750000</v>
      </c>
      <c r="F2500" t="s">
        <v>3584</v>
      </c>
      <c r="G2500" s="17" t="str">
        <f>HYPERLINK("https://www.washoecounty.gov/assessor/cama/?command=sales&amp;parid=03215404","3878187")</f>
        <v>3878187</v>
      </c>
      <c r="H2500" t="s">
        <v>15412</v>
      </c>
      <c r="I2500">
        <v>1960</v>
      </c>
      <c r="J2500">
        <v>1960</v>
      </c>
      <c r="K2500" t="s">
        <v>3043</v>
      </c>
      <c r="L2500" t="s">
        <v>3974</v>
      </c>
      <c r="M2500" s="2">
        <v>5728</v>
      </c>
      <c r="N2500" t="s">
        <v>5280</v>
      </c>
      <c r="O2500">
        <v>7</v>
      </c>
      <c r="P2500">
        <v>7</v>
      </c>
      <c r="Q2500">
        <v>0</v>
      </c>
      <c r="R2500" t="s">
        <v>4557</v>
      </c>
      <c r="S2500" t="s">
        <v>4558</v>
      </c>
      <c r="T2500" t="s">
        <v>4899</v>
      </c>
      <c r="U2500" t="s">
        <v>4655</v>
      </c>
      <c r="V2500" s="2">
        <v>0</v>
      </c>
      <c r="W2500" t="s">
        <v>4655</v>
      </c>
      <c r="X2500" s="2">
        <v>0</v>
      </c>
      <c r="Y2500">
        <v>40</v>
      </c>
      <c r="Z2500" t="s">
        <v>2081</v>
      </c>
      <c r="AA2500" s="3">
        <v>0.160009175539017</v>
      </c>
      <c r="AB2500" t="s">
        <v>1714</v>
      </c>
      <c r="AC2500" t="s">
        <v>4562</v>
      </c>
      <c r="AD2500" t="s">
        <v>1715</v>
      </c>
      <c r="AE2500" t="s">
        <v>4655</v>
      </c>
      <c r="AF2500" t="s">
        <v>1716</v>
      </c>
      <c r="AG2500" t="s">
        <v>4584</v>
      </c>
      <c r="AH2500">
        <v>91405</v>
      </c>
      <c r="AI2500" t="s">
        <v>1717</v>
      </c>
      <c r="AJ2500" t="s">
        <v>4655</v>
      </c>
      <c r="AK2500" t="s">
        <v>15413</v>
      </c>
      <c r="AL2500" s="13" t="s">
        <v>3426</v>
      </c>
      <c r="AM2500">
        <v>7</v>
      </c>
      <c r="AN2500" s="15" t="s">
        <v>4858</v>
      </c>
    </row>
    <row r="2501" spans="1:40" x14ac:dyDescent="0.3">
      <c r="A2501" s="10" t="str">
        <f>HYPERLINK("http://www.washoecounty.gov/assessor/cama/?parid=032-154-05&amp;CardNumber=1","032-154-05")</f>
        <v>032-154-05</v>
      </c>
      <c r="B2501" t="s">
        <v>4655</v>
      </c>
      <c r="C2501" t="s">
        <v>15414</v>
      </c>
      <c r="D2501" s="1">
        <v>40303</v>
      </c>
      <c r="E2501" s="2">
        <v>750000</v>
      </c>
      <c r="F2501" t="s">
        <v>3584</v>
      </c>
      <c r="G2501" s="17" t="str">
        <f>HYPERLINK("https://www.washoecounty.gov/assessor/cama/?command=sales&amp;parid=03215405","3878187")</f>
        <v>3878187</v>
      </c>
      <c r="H2501" t="s">
        <v>15415</v>
      </c>
      <c r="I2501">
        <v>1960</v>
      </c>
      <c r="J2501">
        <v>1960</v>
      </c>
      <c r="K2501" t="s">
        <v>3043</v>
      </c>
      <c r="L2501" t="s">
        <v>3974</v>
      </c>
      <c r="M2501" s="2">
        <v>4408</v>
      </c>
      <c r="N2501" t="s">
        <v>5280</v>
      </c>
      <c r="O2501">
        <v>6</v>
      </c>
      <c r="P2501">
        <v>8</v>
      </c>
      <c r="Q2501">
        <v>0</v>
      </c>
      <c r="R2501" t="s">
        <v>4557</v>
      </c>
      <c r="S2501" t="s">
        <v>4682</v>
      </c>
      <c r="T2501" t="s">
        <v>4143</v>
      </c>
      <c r="U2501" t="s">
        <v>4655</v>
      </c>
      <c r="V2501" s="2">
        <v>0</v>
      </c>
      <c r="W2501" t="s">
        <v>4655</v>
      </c>
      <c r="X2501" s="2">
        <v>0</v>
      </c>
      <c r="Y2501">
        <v>40</v>
      </c>
      <c r="Z2501" t="s">
        <v>2081</v>
      </c>
      <c r="AA2501" s="3">
        <v>0.160009175539017</v>
      </c>
      <c r="AB2501" t="s">
        <v>1714</v>
      </c>
      <c r="AC2501" t="s">
        <v>4562</v>
      </c>
      <c r="AD2501" t="s">
        <v>1715</v>
      </c>
      <c r="AE2501" t="s">
        <v>4655</v>
      </c>
      <c r="AF2501" t="s">
        <v>1716</v>
      </c>
      <c r="AG2501" t="s">
        <v>4584</v>
      </c>
      <c r="AH2501">
        <v>91405</v>
      </c>
      <c r="AI2501" t="s">
        <v>1717</v>
      </c>
      <c r="AJ2501" t="s">
        <v>4655</v>
      </c>
      <c r="AK2501" t="s">
        <v>15416</v>
      </c>
      <c r="AL2501" s="13" t="s">
        <v>3426</v>
      </c>
      <c r="AM2501">
        <v>7</v>
      </c>
      <c r="AN2501" s="15" t="s">
        <v>4858</v>
      </c>
    </row>
    <row r="2502" spans="1:40" x14ac:dyDescent="0.3">
      <c r="A2502" s="10" t="str">
        <f>HYPERLINK("http://www.washoecounty.gov/assessor/cama/?parid=032-154-06&amp;CardNumber=1","032-154-06")</f>
        <v>032-154-06</v>
      </c>
      <c r="B2502" t="s">
        <v>4655</v>
      </c>
      <c r="C2502" t="s">
        <v>15417</v>
      </c>
      <c r="D2502" s="1">
        <v>40303</v>
      </c>
      <c r="E2502" s="2">
        <v>750000</v>
      </c>
      <c r="F2502" t="s">
        <v>3584</v>
      </c>
      <c r="G2502" s="17" t="str">
        <f>HYPERLINK("https://www.washoecounty.gov/assessor/cama/?command=sales&amp;parid=03215406","3878187")</f>
        <v>3878187</v>
      </c>
      <c r="H2502" t="s">
        <v>15418</v>
      </c>
      <c r="I2502">
        <v>1964</v>
      </c>
      <c r="J2502">
        <v>1964</v>
      </c>
      <c r="K2502" t="s">
        <v>3043</v>
      </c>
      <c r="L2502" t="s">
        <v>3974</v>
      </c>
      <c r="M2502" s="2">
        <v>4408</v>
      </c>
      <c r="N2502" t="s">
        <v>5280</v>
      </c>
      <c r="O2502">
        <v>6</v>
      </c>
      <c r="P2502">
        <v>8</v>
      </c>
      <c r="Q2502">
        <v>0</v>
      </c>
      <c r="R2502" t="s">
        <v>4557</v>
      </c>
      <c r="S2502" t="s">
        <v>4682</v>
      </c>
      <c r="T2502" t="s">
        <v>4143</v>
      </c>
      <c r="U2502" t="s">
        <v>4655</v>
      </c>
      <c r="V2502" s="2">
        <v>0</v>
      </c>
      <c r="W2502" t="s">
        <v>4655</v>
      </c>
      <c r="X2502" s="2">
        <v>0</v>
      </c>
      <c r="Y2502">
        <v>40</v>
      </c>
      <c r="Z2502" t="s">
        <v>2081</v>
      </c>
      <c r="AA2502" s="3">
        <v>0.160009175539017</v>
      </c>
      <c r="AB2502" t="s">
        <v>1714</v>
      </c>
      <c r="AC2502" t="s">
        <v>4562</v>
      </c>
      <c r="AD2502" t="s">
        <v>1715</v>
      </c>
      <c r="AE2502" t="s">
        <v>4655</v>
      </c>
      <c r="AF2502" t="s">
        <v>1716</v>
      </c>
      <c r="AG2502" t="s">
        <v>4584</v>
      </c>
      <c r="AH2502">
        <v>91405</v>
      </c>
      <c r="AI2502" t="s">
        <v>1717</v>
      </c>
      <c r="AJ2502" t="s">
        <v>4655</v>
      </c>
      <c r="AK2502" t="s">
        <v>15419</v>
      </c>
      <c r="AL2502" s="13" t="s">
        <v>3426</v>
      </c>
      <c r="AM2502">
        <v>7</v>
      </c>
      <c r="AN2502" s="15" t="s">
        <v>4858</v>
      </c>
    </row>
    <row r="2503" spans="1:40" x14ac:dyDescent="0.3">
      <c r="A2503" s="10" t="str">
        <f>HYPERLINK("http://www.washoecounty.gov/assessor/cama/?parid=032-192-03&amp;CardNumber=1","032-192-03")</f>
        <v>032-192-03</v>
      </c>
      <c r="B2503" t="s">
        <v>4655</v>
      </c>
      <c r="C2503" t="s">
        <v>15420</v>
      </c>
      <c r="D2503" s="1">
        <v>40424</v>
      </c>
      <c r="E2503" s="2">
        <v>65000</v>
      </c>
      <c r="F2503" t="s">
        <v>4567</v>
      </c>
      <c r="G2503" s="17" t="str">
        <f>HYPERLINK("https://www.washoecounty.gov/assessor/cama/?command=sales&amp;parid=03219203","3918970")</f>
        <v>3918970</v>
      </c>
      <c r="H2503" t="s">
        <v>15421</v>
      </c>
      <c r="I2503">
        <v>1920</v>
      </c>
      <c r="J2503">
        <v>1920</v>
      </c>
      <c r="K2503" t="s">
        <v>4554</v>
      </c>
      <c r="L2503" t="s">
        <v>4555</v>
      </c>
      <c r="M2503" s="2">
        <v>957</v>
      </c>
      <c r="N2503" t="s">
        <v>4556</v>
      </c>
      <c r="O2503">
        <v>2</v>
      </c>
      <c r="P2503">
        <v>1</v>
      </c>
      <c r="Q2503">
        <v>0</v>
      </c>
      <c r="R2503" t="s">
        <v>4557</v>
      </c>
      <c r="S2503" t="s">
        <v>4558</v>
      </c>
      <c r="T2503" t="s">
        <v>4559</v>
      </c>
      <c r="U2503" t="s">
        <v>4655</v>
      </c>
      <c r="V2503" s="2">
        <v>0</v>
      </c>
      <c r="W2503" t="s">
        <v>3149</v>
      </c>
      <c r="X2503" s="2">
        <v>682</v>
      </c>
      <c r="Y2503">
        <v>20</v>
      </c>
      <c r="Z2503" t="s">
        <v>2081</v>
      </c>
      <c r="AA2503" s="3">
        <v>6.7998163402080494E-2</v>
      </c>
      <c r="AB2503" t="s">
        <v>15422</v>
      </c>
      <c r="AC2503" t="s">
        <v>4562</v>
      </c>
      <c r="AD2503" t="s">
        <v>15423</v>
      </c>
      <c r="AE2503" t="s">
        <v>4655</v>
      </c>
      <c r="AF2503" t="s">
        <v>4809</v>
      </c>
      <c r="AG2503" t="s">
        <v>4564</v>
      </c>
      <c r="AH2503" t="s">
        <v>5202</v>
      </c>
      <c r="AI2503" t="s">
        <v>15424</v>
      </c>
      <c r="AJ2503" t="s">
        <v>4655</v>
      </c>
      <c r="AK2503" t="s">
        <v>15425</v>
      </c>
      <c r="AL2503" s="13" t="s">
        <v>3426</v>
      </c>
      <c r="AM2503">
        <v>1</v>
      </c>
      <c r="AN2503" s="15" t="s">
        <v>4396</v>
      </c>
    </row>
    <row r="2504" spans="1:40" x14ac:dyDescent="0.3">
      <c r="A2504" s="10" t="str">
        <f>HYPERLINK("http://www.washoecounty.gov/assessor/cama/?parid=032-193-08&amp;CardNumber=1","032-193-08")</f>
        <v>032-193-08</v>
      </c>
      <c r="B2504" t="s">
        <v>4655</v>
      </c>
      <c r="C2504" t="s">
        <v>15426</v>
      </c>
      <c r="D2504" s="1">
        <v>40375</v>
      </c>
      <c r="E2504" s="2">
        <v>230000</v>
      </c>
      <c r="F2504" t="s">
        <v>4567</v>
      </c>
      <c r="G2504" s="17" t="str">
        <f>HYPERLINK("https://www.washoecounty.gov/assessor/cama/?command=sales&amp;parid=03219308","3902322")</f>
        <v>3902322</v>
      </c>
      <c r="H2504" t="s">
        <v>15380</v>
      </c>
      <c r="I2504">
        <v>1920</v>
      </c>
      <c r="J2504">
        <v>1920</v>
      </c>
      <c r="K2504" t="s">
        <v>755</v>
      </c>
      <c r="L2504" t="s">
        <v>1366</v>
      </c>
      <c r="M2504" s="2">
        <v>2354</v>
      </c>
      <c r="N2504" t="s">
        <v>4672</v>
      </c>
      <c r="O2504">
        <v>0</v>
      </c>
      <c r="P2504">
        <v>0</v>
      </c>
      <c r="Q2504">
        <v>0</v>
      </c>
      <c r="R2504" t="s">
        <v>1395</v>
      </c>
      <c r="S2504" t="s">
        <v>4932</v>
      </c>
      <c r="T2504" t="s">
        <v>4655</v>
      </c>
      <c r="U2504" t="s">
        <v>4655</v>
      </c>
      <c r="V2504" s="2">
        <v>0</v>
      </c>
      <c r="W2504" t="s">
        <v>4655</v>
      </c>
      <c r="X2504" s="2">
        <v>0</v>
      </c>
      <c r="Y2504">
        <v>40</v>
      </c>
      <c r="Z2504" t="s">
        <v>2081</v>
      </c>
      <c r="AA2504" s="3">
        <v>8.0004587769508403E-2</v>
      </c>
      <c r="AB2504" t="s">
        <v>15427</v>
      </c>
      <c r="AC2504" t="s">
        <v>4562</v>
      </c>
      <c r="AD2504" t="s">
        <v>15428</v>
      </c>
      <c r="AE2504" t="s">
        <v>4655</v>
      </c>
      <c r="AF2504" t="s">
        <v>4563</v>
      </c>
      <c r="AG2504" t="s">
        <v>4564</v>
      </c>
      <c r="AH2504" t="s">
        <v>5197</v>
      </c>
      <c r="AI2504" t="s">
        <v>15429</v>
      </c>
      <c r="AJ2504" t="s">
        <v>4655</v>
      </c>
      <c r="AK2504" t="s">
        <v>15430</v>
      </c>
      <c r="AL2504" s="13" t="s">
        <v>3426</v>
      </c>
      <c r="AM2504" s="14">
        <v>1</v>
      </c>
      <c r="AN2504" s="15" t="s">
        <v>4858</v>
      </c>
    </row>
    <row r="2505" spans="1:40" x14ac:dyDescent="0.3">
      <c r="A2505" s="10" t="str">
        <f>HYPERLINK("http://www.washoecounty.gov/assessor/cama/?parid=032-250-32&amp;CardNumber=1","032-250-32")</f>
        <v>032-250-32</v>
      </c>
      <c r="B2505" t="s">
        <v>4655</v>
      </c>
      <c r="C2505" t="s">
        <v>15431</v>
      </c>
      <c r="D2505" s="1">
        <v>40485</v>
      </c>
      <c r="E2505" s="2">
        <v>506385</v>
      </c>
      <c r="F2505" t="s">
        <v>4187</v>
      </c>
      <c r="G2505" s="17" t="str">
        <f>HYPERLINK("https://www.washoecounty.gov/assessor/cama/?command=sales&amp;parid=03225032","3939411")</f>
        <v>3939411</v>
      </c>
      <c r="H2505" t="s">
        <v>5474</v>
      </c>
      <c r="I2505">
        <v>0</v>
      </c>
      <c r="J2505">
        <v>0</v>
      </c>
      <c r="K2505" t="s">
        <v>4655</v>
      </c>
      <c r="L2505" t="s">
        <v>4655</v>
      </c>
      <c r="M2505" s="2">
        <v>0</v>
      </c>
      <c r="N2505" t="s">
        <v>4655</v>
      </c>
      <c r="O2505">
        <v>0</v>
      </c>
      <c r="P2505">
        <v>0</v>
      </c>
      <c r="Q2505">
        <v>0</v>
      </c>
      <c r="R2505" t="s">
        <v>4655</v>
      </c>
      <c r="S2505" t="s">
        <v>4655</v>
      </c>
      <c r="T2505" t="s">
        <v>4655</v>
      </c>
      <c r="U2505" t="s">
        <v>4655</v>
      </c>
      <c r="V2505" s="2">
        <v>0</v>
      </c>
      <c r="W2505" t="s">
        <v>4655</v>
      </c>
      <c r="X2505" s="2">
        <v>0</v>
      </c>
      <c r="Y2505">
        <v>15</v>
      </c>
      <c r="Z2505" t="s">
        <v>4843</v>
      </c>
      <c r="AA2505" s="3">
        <v>1.5499999523162842</v>
      </c>
      <c r="AB2505" t="s">
        <v>15432</v>
      </c>
      <c r="AC2505" t="s">
        <v>4562</v>
      </c>
      <c r="AD2505" t="s">
        <v>15433</v>
      </c>
      <c r="AE2505" t="s">
        <v>4655</v>
      </c>
      <c r="AF2505" t="s">
        <v>15434</v>
      </c>
      <c r="AG2505" t="s">
        <v>4584</v>
      </c>
      <c r="AH2505" t="s">
        <v>5475</v>
      </c>
      <c r="AI2505" t="s">
        <v>5476</v>
      </c>
      <c r="AJ2505" t="s">
        <v>4655</v>
      </c>
      <c r="AK2505" t="s">
        <v>15435</v>
      </c>
      <c r="AL2505" s="13" t="s">
        <v>1887</v>
      </c>
      <c r="AM2505" s="14">
        <v>0</v>
      </c>
      <c r="AN2505" s="15" t="s">
        <v>989</v>
      </c>
    </row>
    <row r="2506" spans="1:40" x14ac:dyDescent="0.3">
      <c r="A2506" s="10" t="str">
        <f>HYPERLINK("http://www.washoecounty.gov/assessor/cama/?parid=032-261-01&amp;CardNumber=1","032-261-01")</f>
        <v>032-261-01</v>
      </c>
      <c r="B2506" t="s">
        <v>5502</v>
      </c>
      <c r="C2506" t="s">
        <v>15436</v>
      </c>
      <c r="D2506" s="1">
        <v>40182</v>
      </c>
      <c r="E2506" s="2">
        <v>83000</v>
      </c>
      <c r="F2506" t="s">
        <v>4567</v>
      </c>
      <c r="G2506" s="17" t="str">
        <f>HYPERLINK("https://www.washoecounty.gov/assessor/cama/?command=sales&amp;parid=03226101","3836151")</f>
        <v>3836151</v>
      </c>
      <c r="H2506" t="s">
        <v>15437</v>
      </c>
      <c r="I2506">
        <v>1956</v>
      </c>
      <c r="J2506">
        <v>1956</v>
      </c>
      <c r="K2506" t="s">
        <v>4554</v>
      </c>
      <c r="L2506" t="s">
        <v>4555</v>
      </c>
      <c r="M2506" s="2">
        <v>1371</v>
      </c>
      <c r="N2506" t="s">
        <v>4556</v>
      </c>
      <c r="O2506">
        <v>2</v>
      </c>
      <c r="P2506">
        <v>1</v>
      </c>
      <c r="Q2506">
        <v>0</v>
      </c>
      <c r="R2506" t="s">
        <v>4557</v>
      </c>
      <c r="S2506" t="s">
        <v>4558</v>
      </c>
      <c r="T2506" t="s">
        <v>4559</v>
      </c>
      <c r="U2506" t="s">
        <v>4655</v>
      </c>
      <c r="V2506" s="2">
        <v>0</v>
      </c>
      <c r="W2506" t="s">
        <v>3149</v>
      </c>
      <c r="X2506" s="2">
        <v>486</v>
      </c>
      <c r="Y2506">
        <v>31</v>
      </c>
      <c r="Z2506" t="s">
        <v>4051</v>
      </c>
      <c r="AA2506" s="3">
        <v>0.17800734937191001</v>
      </c>
      <c r="AB2506" t="s">
        <v>15438</v>
      </c>
      <c r="AC2506" t="s">
        <v>4562</v>
      </c>
      <c r="AD2506" t="s">
        <v>15439</v>
      </c>
      <c r="AE2506" t="s">
        <v>4655</v>
      </c>
      <c r="AF2506" t="s">
        <v>4563</v>
      </c>
      <c r="AG2506" t="s">
        <v>4564</v>
      </c>
      <c r="AH2506">
        <v>89508</v>
      </c>
      <c r="AI2506" t="s">
        <v>15440</v>
      </c>
      <c r="AJ2506" t="s">
        <v>4655</v>
      </c>
      <c r="AK2506" t="s">
        <v>15441</v>
      </c>
      <c r="AL2506" s="13" t="s">
        <v>1887</v>
      </c>
      <c r="AM2506">
        <v>2</v>
      </c>
      <c r="AN2506" s="15" t="s">
        <v>15442</v>
      </c>
    </row>
    <row r="2507" spans="1:40" x14ac:dyDescent="0.3">
      <c r="A2507" s="10" t="str">
        <f>HYPERLINK("http://www.washoecounty.gov/assessor/cama/?parid=032-273-01&amp;CardNumber=1","032-273-01")</f>
        <v>032-273-01</v>
      </c>
      <c r="B2507" t="s">
        <v>4655</v>
      </c>
      <c r="C2507" t="s">
        <v>15443</v>
      </c>
      <c r="D2507" s="1">
        <v>40359</v>
      </c>
      <c r="E2507" s="2">
        <v>50000</v>
      </c>
      <c r="F2507" t="s">
        <v>4567</v>
      </c>
      <c r="G2507" s="17" t="str">
        <f>HYPERLINK("https://www.washoecounty.gov/assessor/cama/?command=sales&amp;parid=03227301","3897288")</f>
        <v>3897288</v>
      </c>
      <c r="H2507" t="s">
        <v>15444</v>
      </c>
      <c r="I2507">
        <v>1950</v>
      </c>
      <c r="J2507">
        <v>1950</v>
      </c>
      <c r="K2507" t="s">
        <v>4554</v>
      </c>
      <c r="L2507" t="s">
        <v>4555</v>
      </c>
      <c r="M2507" s="2">
        <v>1073</v>
      </c>
      <c r="N2507" t="s">
        <v>4133</v>
      </c>
      <c r="O2507">
        <v>2</v>
      </c>
      <c r="P2507">
        <v>1</v>
      </c>
      <c r="Q2507">
        <v>0</v>
      </c>
      <c r="R2507" t="s">
        <v>5343</v>
      </c>
      <c r="S2507" t="s">
        <v>4135</v>
      </c>
      <c r="T2507" t="s">
        <v>4559</v>
      </c>
      <c r="U2507" t="s">
        <v>4655</v>
      </c>
      <c r="V2507" s="2">
        <v>0</v>
      </c>
      <c r="W2507" t="s">
        <v>4655</v>
      </c>
      <c r="X2507" s="2">
        <v>0</v>
      </c>
      <c r="Y2507">
        <v>20</v>
      </c>
      <c r="Z2507" t="s">
        <v>4843</v>
      </c>
      <c r="AA2507" s="3">
        <v>0.10000000149011599</v>
      </c>
      <c r="AB2507" t="s">
        <v>15445</v>
      </c>
      <c r="AC2507" t="s">
        <v>4562</v>
      </c>
      <c r="AD2507" t="s">
        <v>15446</v>
      </c>
      <c r="AE2507" t="s">
        <v>4655</v>
      </c>
      <c r="AF2507" t="s">
        <v>15447</v>
      </c>
      <c r="AG2507" t="s">
        <v>4584</v>
      </c>
      <c r="AH2507" t="s">
        <v>15448</v>
      </c>
      <c r="AI2507" t="s">
        <v>15449</v>
      </c>
      <c r="AJ2507" t="s">
        <v>4655</v>
      </c>
      <c r="AK2507" t="s">
        <v>15450</v>
      </c>
      <c r="AL2507" s="13" t="s">
        <v>1887</v>
      </c>
      <c r="AM2507">
        <v>1</v>
      </c>
      <c r="AN2507" s="15" t="s">
        <v>2140</v>
      </c>
    </row>
    <row r="2508" spans="1:40" x14ac:dyDescent="0.3">
      <c r="A2508" s="10" t="str">
        <f>HYPERLINK("http://www.washoecounty.gov/assessor/cama/?parid=033-011-13&amp;CardNumber=1","033-011-13")</f>
        <v>033-011-13</v>
      </c>
      <c r="B2508" t="s">
        <v>4655</v>
      </c>
      <c r="C2508" t="s">
        <v>15451</v>
      </c>
      <c r="D2508" s="1">
        <v>40428</v>
      </c>
      <c r="E2508" s="2">
        <v>80000</v>
      </c>
      <c r="F2508" t="s">
        <v>4567</v>
      </c>
      <c r="G2508" s="17" t="str">
        <f>HYPERLINK("https://www.washoecounty.gov/assessor/cama/?command=sales&amp;parid=03301113","3919167")</f>
        <v>3919167</v>
      </c>
      <c r="H2508" t="s">
        <v>4816</v>
      </c>
      <c r="I2508">
        <v>1953</v>
      </c>
      <c r="J2508">
        <v>1953</v>
      </c>
      <c r="K2508" t="s">
        <v>4554</v>
      </c>
      <c r="L2508" t="s">
        <v>4555</v>
      </c>
      <c r="M2508" s="2">
        <v>850</v>
      </c>
      <c r="N2508" t="s">
        <v>4556</v>
      </c>
      <c r="O2508">
        <v>2</v>
      </c>
      <c r="P2508">
        <v>1</v>
      </c>
      <c r="Q2508">
        <v>0</v>
      </c>
      <c r="R2508" t="s">
        <v>4134</v>
      </c>
      <c r="S2508" t="s">
        <v>4574</v>
      </c>
      <c r="T2508" t="s">
        <v>4559</v>
      </c>
      <c r="U2508" t="s">
        <v>4560</v>
      </c>
      <c r="V2508" s="2">
        <v>452</v>
      </c>
      <c r="W2508" t="s">
        <v>4655</v>
      </c>
      <c r="X2508" s="2">
        <v>0</v>
      </c>
      <c r="Y2508">
        <v>20</v>
      </c>
      <c r="Z2508" t="s">
        <v>5200</v>
      </c>
      <c r="AA2508" s="3">
        <v>0.14499540627002699</v>
      </c>
      <c r="AB2508" t="s">
        <v>15452</v>
      </c>
      <c r="AC2508" t="s">
        <v>4562</v>
      </c>
      <c r="AD2508" t="s">
        <v>15453</v>
      </c>
      <c r="AE2508" t="s">
        <v>4655</v>
      </c>
      <c r="AF2508" t="s">
        <v>4563</v>
      </c>
      <c r="AG2508" t="s">
        <v>4564</v>
      </c>
      <c r="AH2508">
        <v>89502</v>
      </c>
      <c r="AI2508" t="s">
        <v>4655</v>
      </c>
      <c r="AJ2508" t="s">
        <v>4655</v>
      </c>
      <c r="AK2508" t="s">
        <v>15454</v>
      </c>
      <c r="AL2508" s="13" t="s">
        <v>3425</v>
      </c>
      <c r="AM2508">
        <v>1</v>
      </c>
      <c r="AN2508" s="15" t="s">
        <v>4904</v>
      </c>
    </row>
    <row r="2509" spans="1:40" x14ac:dyDescent="0.3">
      <c r="A2509" s="10" t="str">
        <f>HYPERLINK("http://www.washoecounty.gov/assessor/cama/?parid=033-011-17&amp;CardNumber=1","033-011-17")</f>
        <v>033-011-17</v>
      </c>
      <c r="B2509" t="s">
        <v>4655</v>
      </c>
      <c r="C2509" t="s">
        <v>15455</v>
      </c>
      <c r="D2509" s="1">
        <v>40485</v>
      </c>
      <c r="E2509" s="2">
        <v>55000</v>
      </c>
      <c r="F2509" t="s">
        <v>4553</v>
      </c>
      <c r="G2509" s="17" t="str">
        <f>HYPERLINK("https://www.washoecounty.gov/assessor/cama/?command=sales&amp;parid=03301117","3939427")</f>
        <v>3939427</v>
      </c>
      <c r="H2509" t="s">
        <v>4816</v>
      </c>
      <c r="I2509">
        <v>1953</v>
      </c>
      <c r="J2509">
        <v>1953</v>
      </c>
      <c r="K2509" t="s">
        <v>4554</v>
      </c>
      <c r="L2509" t="s">
        <v>4555</v>
      </c>
      <c r="M2509" s="2">
        <v>850</v>
      </c>
      <c r="N2509" t="s">
        <v>4556</v>
      </c>
      <c r="O2509">
        <v>2</v>
      </c>
      <c r="P2509">
        <v>1</v>
      </c>
      <c r="Q2509">
        <v>0</v>
      </c>
      <c r="R2509" t="s">
        <v>4134</v>
      </c>
      <c r="S2509" t="s">
        <v>4574</v>
      </c>
      <c r="T2509" t="s">
        <v>4559</v>
      </c>
      <c r="U2509" t="s">
        <v>4655</v>
      </c>
      <c r="V2509" s="2">
        <v>0</v>
      </c>
      <c r="W2509" t="s">
        <v>4655</v>
      </c>
      <c r="X2509" s="2">
        <v>0</v>
      </c>
      <c r="Y2509">
        <v>20</v>
      </c>
      <c r="Z2509" t="s">
        <v>5200</v>
      </c>
      <c r="AA2509" s="3">
        <v>0.14499540627002699</v>
      </c>
      <c r="AB2509" t="s">
        <v>15456</v>
      </c>
      <c r="AC2509" t="s">
        <v>4562</v>
      </c>
      <c r="AD2509" t="s">
        <v>15457</v>
      </c>
      <c r="AE2509" t="s">
        <v>4655</v>
      </c>
      <c r="AF2509" t="s">
        <v>4563</v>
      </c>
      <c r="AG2509" t="s">
        <v>4564</v>
      </c>
      <c r="AH2509">
        <v>89502</v>
      </c>
      <c r="AI2509" t="s">
        <v>4848</v>
      </c>
      <c r="AJ2509" t="s">
        <v>4655</v>
      </c>
      <c r="AK2509" t="s">
        <v>15458</v>
      </c>
      <c r="AL2509" s="13" t="s">
        <v>3425</v>
      </c>
      <c r="AM2509" s="14">
        <v>1</v>
      </c>
      <c r="AN2509" s="15" t="s">
        <v>4904</v>
      </c>
    </row>
    <row r="2510" spans="1:40" x14ac:dyDescent="0.3">
      <c r="A2510" s="10" t="str">
        <f>HYPERLINK("http://www.washoecounty.gov/assessor/cama/?parid=033-012-09&amp;CardNumber=1","033-012-09")</f>
        <v>033-012-09</v>
      </c>
      <c r="B2510" t="s">
        <v>4655</v>
      </c>
      <c r="C2510" t="s">
        <v>5598</v>
      </c>
      <c r="D2510" s="1">
        <v>40512</v>
      </c>
      <c r="E2510" s="2">
        <v>65700</v>
      </c>
      <c r="F2510" t="s">
        <v>4553</v>
      </c>
      <c r="G2510" s="17" t="str">
        <f>HYPERLINK("https://www.washoecounty.gov/assessor/cama/?command=sales&amp;parid=03301209","3947636")</f>
        <v>3947636</v>
      </c>
      <c r="H2510" t="s">
        <v>5599</v>
      </c>
      <c r="I2510">
        <v>1953</v>
      </c>
      <c r="J2510">
        <v>1959</v>
      </c>
      <c r="K2510" t="s">
        <v>4554</v>
      </c>
      <c r="L2510" t="s">
        <v>2170</v>
      </c>
      <c r="M2510" s="2">
        <v>1729</v>
      </c>
      <c r="N2510" t="s">
        <v>4048</v>
      </c>
      <c r="O2510">
        <v>4</v>
      </c>
      <c r="P2510">
        <v>2</v>
      </c>
      <c r="Q2510">
        <v>0</v>
      </c>
      <c r="R2510" t="s">
        <v>4557</v>
      </c>
      <c r="S2510" t="s">
        <v>4135</v>
      </c>
      <c r="T2510" t="s">
        <v>4559</v>
      </c>
      <c r="U2510" t="s">
        <v>4655</v>
      </c>
      <c r="V2510" s="2">
        <v>0</v>
      </c>
      <c r="W2510" t="s">
        <v>4655</v>
      </c>
      <c r="X2510" s="2">
        <v>0</v>
      </c>
      <c r="Y2510">
        <v>20</v>
      </c>
      <c r="Z2510" t="s">
        <v>5200</v>
      </c>
      <c r="AA2510" s="3">
        <v>0.15399448573589325</v>
      </c>
      <c r="AB2510" t="s">
        <v>5359</v>
      </c>
      <c r="AC2510" t="s">
        <v>4562</v>
      </c>
      <c r="AD2510" t="s">
        <v>5059</v>
      </c>
      <c r="AE2510" t="s">
        <v>4655</v>
      </c>
      <c r="AF2510" t="s">
        <v>4752</v>
      </c>
      <c r="AG2510" t="s">
        <v>4564</v>
      </c>
      <c r="AH2510" t="s">
        <v>1147</v>
      </c>
      <c r="AI2510" t="s">
        <v>2351</v>
      </c>
      <c r="AJ2510" t="s">
        <v>4655</v>
      </c>
      <c r="AK2510" t="s">
        <v>5600</v>
      </c>
      <c r="AL2510" s="13" t="s">
        <v>3425</v>
      </c>
      <c r="AM2510" s="14">
        <v>1</v>
      </c>
      <c r="AN2510" s="15" t="s">
        <v>4904</v>
      </c>
    </row>
    <row r="2511" spans="1:40" x14ac:dyDescent="0.3">
      <c r="A2511" s="10" t="str">
        <f>HYPERLINK("http://www.washoecounty.gov/assessor/cama/?parid=033-021-28&amp;CardNumber=1","033-021-28")</f>
        <v>033-021-28</v>
      </c>
      <c r="B2511" t="s">
        <v>4655</v>
      </c>
      <c r="C2511" t="s">
        <v>15459</v>
      </c>
      <c r="D2511" s="1">
        <v>40476</v>
      </c>
      <c r="E2511" s="2">
        <v>85000</v>
      </c>
      <c r="F2511" t="s">
        <v>4553</v>
      </c>
      <c r="G2511" s="17" t="str">
        <f>HYPERLINK("https://www.washoecounty.gov/assessor/cama/?command=sales&amp;parid=03302128","3936219")</f>
        <v>3936219</v>
      </c>
      <c r="H2511" t="s">
        <v>15460</v>
      </c>
      <c r="I2511">
        <v>1954</v>
      </c>
      <c r="J2511">
        <v>1954</v>
      </c>
      <c r="K2511" t="s">
        <v>4554</v>
      </c>
      <c r="L2511" t="s">
        <v>4555</v>
      </c>
      <c r="M2511" s="2">
        <v>900</v>
      </c>
      <c r="N2511" t="s">
        <v>4556</v>
      </c>
      <c r="O2511">
        <v>2</v>
      </c>
      <c r="P2511">
        <v>1</v>
      </c>
      <c r="Q2511">
        <v>0</v>
      </c>
      <c r="R2511" t="s">
        <v>4134</v>
      </c>
      <c r="S2511" t="s">
        <v>4135</v>
      </c>
      <c r="T2511" t="s">
        <v>4559</v>
      </c>
      <c r="U2511" t="s">
        <v>4655</v>
      </c>
      <c r="V2511" s="2">
        <v>0</v>
      </c>
      <c r="W2511" t="s">
        <v>4655</v>
      </c>
      <c r="X2511" s="2">
        <v>0</v>
      </c>
      <c r="Y2511">
        <v>20</v>
      </c>
      <c r="Z2511" t="s">
        <v>5200</v>
      </c>
      <c r="AA2511" s="3">
        <v>0.14499540627002699</v>
      </c>
      <c r="AB2511" t="s">
        <v>15461</v>
      </c>
      <c r="AC2511" t="s">
        <v>4562</v>
      </c>
      <c r="AD2511" t="s">
        <v>15459</v>
      </c>
      <c r="AE2511" t="s">
        <v>4655</v>
      </c>
      <c r="AF2511" t="s">
        <v>5201</v>
      </c>
      <c r="AG2511" t="s">
        <v>4564</v>
      </c>
      <c r="AH2511" t="s">
        <v>5202</v>
      </c>
      <c r="AI2511" t="s">
        <v>15462</v>
      </c>
      <c r="AJ2511" t="s">
        <v>4655</v>
      </c>
      <c r="AK2511" t="s">
        <v>15463</v>
      </c>
      <c r="AL2511" s="13" t="s">
        <v>1886</v>
      </c>
      <c r="AM2511" s="14">
        <v>1</v>
      </c>
      <c r="AN2511" s="15" t="s">
        <v>4904</v>
      </c>
    </row>
    <row r="2512" spans="1:40" x14ac:dyDescent="0.3">
      <c r="A2512" s="10" t="str">
        <f>HYPERLINK("http://www.washoecounty.gov/assessor/cama/?parid=033-021-32&amp;CardNumber=1","033-021-32")</f>
        <v>033-021-32</v>
      </c>
      <c r="B2512" t="s">
        <v>4655</v>
      </c>
      <c r="C2512" t="s">
        <v>15464</v>
      </c>
      <c r="D2512" s="1">
        <v>40192</v>
      </c>
      <c r="E2512" s="2">
        <v>85000</v>
      </c>
      <c r="F2512" t="s">
        <v>4553</v>
      </c>
      <c r="G2512" s="17" t="str">
        <f>HYPERLINK("https://www.washoecounty.gov/assessor/cama/?command=sales&amp;parid=03302132","3839193")</f>
        <v>3839193</v>
      </c>
      <c r="H2512" t="s">
        <v>4815</v>
      </c>
      <c r="I2512">
        <v>1954</v>
      </c>
      <c r="J2512">
        <v>1954</v>
      </c>
      <c r="K2512" t="s">
        <v>4554</v>
      </c>
      <c r="L2512" t="s">
        <v>4555</v>
      </c>
      <c r="M2512" s="2">
        <v>900</v>
      </c>
      <c r="N2512" t="s">
        <v>4556</v>
      </c>
      <c r="O2512">
        <v>2</v>
      </c>
      <c r="P2512">
        <v>1</v>
      </c>
      <c r="Q2512">
        <v>0</v>
      </c>
      <c r="R2512" t="s">
        <v>4134</v>
      </c>
      <c r="S2512" t="s">
        <v>4135</v>
      </c>
      <c r="T2512" t="s">
        <v>4559</v>
      </c>
      <c r="U2512" t="s">
        <v>4560</v>
      </c>
      <c r="V2512" s="2">
        <v>300</v>
      </c>
      <c r="W2512" t="s">
        <v>4655</v>
      </c>
      <c r="X2512" s="2">
        <v>0</v>
      </c>
      <c r="Y2512">
        <v>20</v>
      </c>
      <c r="Z2512" t="s">
        <v>5200</v>
      </c>
      <c r="AA2512" s="3">
        <v>0.14499540627002699</v>
      </c>
      <c r="AB2512" t="s">
        <v>15465</v>
      </c>
      <c r="AC2512" t="s">
        <v>4575</v>
      </c>
      <c r="AD2512" t="s">
        <v>15464</v>
      </c>
      <c r="AE2512" t="s">
        <v>4655</v>
      </c>
      <c r="AF2512" t="s">
        <v>5201</v>
      </c>
      <c r="AG2512" t="s">
        <v>4564</v>
      </c>
      <c r="AH2512" t="s">
        <v>5202</v>
      </c>
      <c r="AI2512" t="s">
        <v>4655</v>
      </c>
      <c r="AJ2512" t="s">
        <v>4655</v>
      </c>
      <c r="AK2512" t="s">
        <v>15466</v>
      </c>
      <c r="AL2512" s="13" t="s">
        <v>1886</v>
      </c>
      <c r="AM2512">
        <v>1</v>
      </c>
      <c r="AN2512" s="15" t="s">
        <v>4904</v>
      </c>
    </row>
    <row r="2513" spans="1:40" x14ac:dyDescent="0.3">
      <c r="A2513" s="10" t="str">
        <f>HYPERLINK("http://www.washoecounty.gov/assessor/cama/?parid=033-022-05&amp;CardNumber=1","033-022-05")</f>
        <v>033-022-05</v>
      </c>
      <c r="B2513" t="s">
        <v>4655</v>
      </c>
      <c r="C2513" t="s">
        <v>15467</v>
      </c>
      <c r="D2513" s="1">
        <v>40375</v>
      </c>
      <c r="E2513" s="2">
        <v>85000</v>
      </c>
      <c r="F2513" t="s">
        <v>4567</v>
      </c>
      <c r="G2513" s="17" t="str">
        <f>HYPERLINK("https://www.washoecounty.gov/assessor/cama/?command=sales&amp;parid=03302205","3902225")</f>
        <v>3902225</v>
      </c>
      <c r="H2513" t="s">
        <v>4815</v>
      </c>
      <c r="I2513">
        <v>1954</v>
      </c>
      <c r="J2513">
        <v>1957</v>
      </c>
      <c r="K2513" t="s">
        <v>4554</v>
      </c>
      <c r="L2513" t="s">
        <v>4555</v>
      </c>
      <c r="M2513" s="2">
        <v>1200</v>
      </c>
      <c r="N2513" t="s">
        <v>4556</v>
      </c>
      <c r="O2513">
        <v>2</v>
      </c>
      <c r="P2513">
        <v>1</v>
      </c>
      <c r="Q2513">
        <v>0</v>
      </c>
      <c r="R2513" t="s">
        <v>4134</v>
      </c>
      <c r="S2513" t="s">
        <v>4135</v>
      </c>
      <c r="T2513" t="s">
        <v>4143</v>
      </c>
      <c r="U2513" t="s">
        <v>4655</v>
      </c>
      <c r="V2513" s="2">
        <v>0</v>
      </c>
      <c r="W2513" t="s">
        <v>4655</v>
      </c>
      <c r="X2513" s="2">
        <v>0</v>
      </c>
      <c r="Y2513">
        <v>20</v>
      </c>
      <c r="Z2513" t="s">
        <v>5200</v>
      </c>
      <c r="AA2513" s="3">
        <v>0.14499540627002699</v>
      </c>
      <c r="AB2513" t="s">
        <v>405</v>
      </c>
      <c r="AC2513" t="s">
        <v>4562</v>
      </c>
      <c r="AD2513" t="s">
        <v>13750</v>
      </c>
      <c r="AE2513" t="s">
        <v>4655</v>
      </c>
      <c r="AF2513" t="s">
        <v>13751</v>
      </c>
      <c r="AG2513" t="s">
        <v>4584</v>
      </c>
      <c r="AH2513">
        <v>90291</v>
      </c>
      <c r="AI2513" t="s">
        <v>4655</v>
      </c>
      <c r="AJ2513" t="s">
        <v>4655</v>
      </c>
      <c r="AK2513" t="s">
        <v>15468</v>
      </c>
      <c r="AL2513" s="13" t="s">
        <v>1886</v>
      </c>
      <c r="AM2513" s="14">
        <v>1</v>
      </c>
      <c r="AN2513" s="15" t="s">
        <v>4904</v>
      </c>
    </row>
    <row r="2514" spans="1:40" x14ac:dyDescent="0.3">
      <c r="A2514" s="10" t="str">
        <f>HYPERLINK("http://www.washoecounty.gov/assessor/cama/?parid=033-022-12&amp;CardNumber=1","033-022-12")</f>
        <v>033-022-12</v>
      </c>
      <c r="B2514" t="s">
        <v>4655</v>
      </c>
      <c r="C2514" t="s">
        <v>15469</v>
      </c>
      <c r="D2514" s="1">
        <v>40295</v>
      </c>
      <c r="E2514" s="2">
        <v>90000</v>
      </c>
      <c r="F2514" t="s">
        <v>4567</v>
      </c>
      <c r="G2514" s="17" t="str">
        <f>HYPERLINK("https://www.washoecounty.gov/assessor/cama/?command=sales&amp;parid=03302212","3875100")</f>
        <v>3875100</v>
      </c>
      <c r="H2514" t="s">
        <v>4815</v>
      </c>
      <c r="I2514">
        <v>1954</v>
      </c>
      <c r="J2514">
        <v>1954</v>
      </c>
      <c r="K2514" t="s">
        <v>4554</v>
      </c>
      <c r="L2514" t="s">
        <v>4555</v>
      </c>
      <c r="M2514" s="2">
        <v>900</v>
      </c>
      <c r="N2514" t="s">
        <v>4556</v>
      </c>
      <c r="O2514">
        <v>2</v>
      </c>
      <c r="P2514">
        <v>1</v>
      </c>
      <c r="Q2514">
        <v>0</v>
      </c>
      <c r="R2514" t="s">
        <v>4134</v>
      </c>
      <c r="S2514" t="s">
        <v>4574</v>
      </c>
      <c r="T2514" t="s">
        <v>4559</v>
      </c>
      <c r="U2514" t="s">
        <v>4655</v>
      </c>
      <c r="V2514" s="2">
        <v>0</v>
      </c>
      <c r="W2514" t="s">
        <v>4655</v>
      </c>
      <c r="X2514" s="2">
        <v>0</v>
      </c>
      <c r="Y2514">
        <v>20</v>
      </c>
      <c r="Z2514" t="s">
        <v>5200</v>
      </c>
      <c r="AA2514" s="3">
        <v>0.14499540627002699</v>
      </c>
      <c r="AB2514" t="s">
        <v>15470</v>
      </c>
      <c r="AC2514" t="s">
        <v>4562</v>
      </c>
      <c r="AD2514" t="s">
        <v>15471</v>
      </c>
      <c r="AE2514" t="s">
        <v>4655</v>
      </c>
      <c r="AF2514" t="s">
        <v>5201</v>
      </c>
      <c r="AG2514" t="s">
        <v>4564</v>
      </c>
      <c r="AH2514" t="s">
        <v>3609</v>
      </c>
      <c r="AI2514" t="s">
        <v>8066</v>
      </c>
      <c r="AJ2514" t="s">
        <v>4655</v>
      </c>
      <c r="AK2514" t="s">
        <v>15472</v>
      </c>
      <c r="AL2514" s="13" t="s">
        <v>1886</v>
      </c>
      <c r="AM2514">
        <v>1</v>
      </c>
      <c r="AN2514" s="15" t="s">
        <v>4904</v>
      </c>
    </row>
    <row r="2515" spans="1:40" x14ac:dyDescent="0.3">
      <c r="A2515" s="10" t="str">
        <f>HYPERLINK("http://www.washoecounty.gov/assessor/cama/?parid=033-022-33&amp;CardNumber=1","033-022-33")</f>
        <v>033-022-33</v>
      </c>
      <c r="B2515" t="s">
        <v>4655</v>
      </c>
      <c r="C2515" t="s">
        <v>15473</v>
      </c>
      <c r="D2515" s="1">
        <v>40535</v>
      </c>
      <c r="E2515" s="2">
        <v>87000</v>
      </c>
      <c r="F2515" t="s">
        <v>4567</v>
      </c>
      <c r="G2515" s="17" t="str">
        <f>HYPERLINK("https://www.washoecounty.gov/assessor/cama/?command=sales&amp;parid=03302233","3957042")</f>
        <v>3957042</v>
      </c>
      <c r="H2515" t="s">
        <v>4816</v>
      </c>
      <c r="I2515">
        <v>1952</v>
      </c>
      <c r="J2515">
        <v>1954</v>
      </c>
      <c r="K2515" t="s">
        <v>4554</v>
      </c>
      <c r="L2515" t="s">
        <v>4555</v>
      </c>
      <c r="M2515" s="2">
        <v>1088</v>
      </c>
      <c r="N2515" t="s">
        <v>4556</v>
      </c>
      <c r="O2515">
        <v>3</v>
      </c>
      <c r="P2515">
        <v>2</v>
      </c>
      <c r="Q2515">
        <v>0</v>
      </c>
      <c r="R2515" t="s">
        <v>4134</v>
      </c>
      <c r="S2515" t="s">
        <v>4574</v>
      </c>
      <c r="T2515" t="s">
        <v>4559</v>
      </c>
      <c r="U2515" t="s">
        <v>4655</v>
      </c>
      <c r="V2515" s="2">
        <v>0</v>
      </c>
      <c r="W2515" t="s">
        <v>4655</v>
      </c>
      <c r="X2515" s="2">
        <v>0</v>
      </c>
      <c r="Y2515">
        <v>20</v>
      </c>
      <c r="Z2515" t="s">
        <v>5200</v>
      </c>
      <c r="AA2515" s="3">
        <v>0.14499540627002699</v>
      </c>
      <c r="AB2515" t="s">
        <v>15474</v>
      </c>
      <c r="AC2515" t="s">
        <v>4562</v>
      </c>
      <c r="AD2515" t="s">
        <v>15475</v>
      </c>
      <c r="AE2515" t="s">
        <v>4655</v>
      </c>
      <c r="AF2515" t="s">
        <v>5201</v>
      </c>
      <c r="AG2515" t="s">
        <v>4564</v>
      </c>
      <c r="AH2515" t="s">
        <v>5202</v>
      </c>
      <c r="AI2515" t="s">
        <v>15476</v>
      </c>
      <c r="AJ2515" t="s">
        <v>4655</v>
      </c>
      <c r="AK2515" t="s">
        <v>15477</v>
      </c>
      <c r="AL2515" s="13" t="s">
        <v>3425</v>
      </c>
      <c r="AM2515" s="14">
        <v>1</v>
      </c>
      <c r="AN2515" s="15" t="s">
        <v>4904</v>
      </c>
    </row>
    <row r="2516" spans="1:40" x14ac:dyDescent="0.3">
      <c r="A2516" s="10" t="str">
        <f>HYPERLINK("http://www.washoecounty.gov/assessor/cama/?parid=033-033-14&amp;CardNumber=1","033-033-14")</f>
        <v>033-033-14</v>
      </c>
      <c r="B2516" t="s">
        <v>4655</v>
      </c>
      <c r="C2516" t="s">
        <v>15478</v>
      </c>
      <c r="D2516" s="1">
        <v>40200</v>
      </c>
      <c r="E2516" s="2">
        <v>98000</v>
      </c>
      <c r="F2516" t="s">
        <v>4567</v>
      </c>
      <c r="G2516" s="17" t="str">
        <f>HYPERLINK("https://www.washoecounty.gov/assessor/cama/?command=sales&amp;parid=03303314","3842028")</f>
        <v>3842028</v>
      </c>
      <c r="H2516" t="s">
        <v>15479</v>
      </c>
      <c r="I2516">
        <v>1956</v>
      </c>
      <c r="J2516">
        <v>1956</v>
      </c>
      <c r="K2516" t="s">
        <v>4554</v>
      </c>
      <c r="L2516" t="s">
        <v>4555</v>
      </c>
      <c r="M2516" s="2">
        <v>1067</v>
      </c>
      <c r="N2516" t="s">
        <v>4556</v>
      </c>
      <c r="O2516">
        <v>3</v>
      </c>
      <c r="P2516">
        <v>1</v>
      </c>
      <c r="Q2516">
        <v>0</v>
      </c>
      <c r="R2516" t="s">
        <v>4557</v>
      </c>
      <c r="S2516" t="s">
        <v>4574</v>
      </c>
      <c r="T2516" t="s">
        <v>4559</v>
      </c>
      <c r="U2516" t="s">
        <v>4560</v>
      </c>
      <c r="V2516" s="2">
        <v>300</v>
      </c>
      <c r="W2516" t="s">
        <v>4655</v>
      </c>
      <c r="X2516" s="2">
        <v>0</v>
      </c>
      <c r="Y2516">
        <v>20</v>
      </c>
      <c r="Z2516" t="s">
        <v>5200</v>
      </c>
      <c r="AA2516" s="3">
        <v>0.18099173903465299</v>
      </c>
      <c r="AB2516" t="s">
        <v>15480</v>
      </c>
      <c r="AC2516" t="s">
        <v>4575</v>
      </c>
      <c r="AD2516" t="s">
        <v>15478</v>
      </c>
      <c r="AE2516" t="s">
        <v>4655</v>
      </c>
      <c r="AF2516" t="s">
        <v>5201</v>
      </c>
      <c r="AG2516" t="s">
        <v>4564</v>
      </c>
      <c r="AH2516" t="s">
        <v>5202</v>
      </c>
      <c r="AI2516" t="s">
        <v>15481</v>
      </c>
      <c r="AJ2516" t="s">
        <v>4655</v>
      </c>
      <c r="AK2516" t="s">
        <v>15482</v>
      </c>
      <c r="AL2516" s="13" t="s">
        <v>1886</v>
      </c>
      <c r="AM2516" s="14">
        <v>1</v>
      </c>
      <c r="AN2516" s="15" t="s">
        <v>4904</v>
      </c>
    </row>
    <row r="2517" spans="1:40" x14ac:dyDescent="0.3">
      <c r="A2517" s="10" t="str">
        <f>HYPERLINK("http://www.washoecounty.gov/assessor/cama/?parid=033-042-07&amp;CardNumber=1","033-042-07")</f>
        <v>033-042-07</v>
      </c>
      <c r="B2517" t="s">
        <v>4655</v>
      </c>
      <c r="C2517" t="s">
        <v>15483</v>
      </c>
      <c r="D2517" s="1">
        <v>40213</v>
      </c>
      <c r="E2517" s="2">
        <v>114000</v>
      </c>
      <c r="F2517" t="s">
        <v>4567</v>
      </c>
      <c r="G2517" s="17" t="str">
        <f>HYPERLINK("https://www.washoecounty.gov/assessor/cama/?command=sales&amp;parid=03304207","3846185")</f>
        <v>3846185</v>
      </c>
      <c r="H2517" t="s">
        <v>15484</v>
      </c>
      <c r="I2517">
        <v>1961</v>
      </c>
      <c r="J2517">
        <v>1961</v>
      </c>
      <c r="K2517" t="s">
        <v>4554</v>
      </c>
      <c r="L2517" t="s">
        <v>4555</v>
      </c>
      <c r="M2517" s="2">
        <v>1218</v>
      </c>
      <c r="N2517" t="s">
        <v>4048</v>
      </c>
      <c r="O2517">
        <v>3</v>
      </c>
      <c r="P2517">
        <v>2</v>
      </c>
      <c r="Q2517">
        <v>0</v>
      </c>
      <c r="R2517" t="s">
        <v>4557</v>
      </c>
      <c r="S2517" t="s">
        <v>4135</v>
      </c>
      <c r="T2517" t="s">
        <v>4559</v>
      </c>
      <c r="U2517" t="s">
        <v>4560</v>
      </c>
      <c r="V2517" s="2">
        <v>420</v>
      </c>
      <c r="W2517" t="s">
        <v>4655</v>
      </c>
      <c r="X2517" s="2">
        <v>0</v>
      </c>
      <c r="Y2517">
        <v>20</v>
      </c>
      <c r="Z2517" t="s">
        <v>5200</v>
      </c>
      <c r="AA2517" s="3">
        <v>0.176010102033615</v>
      </c>
      <c r="AB2517" t="s">
        <v>15485</v>
      </c>
      <c r="AC2517" t="s">
        <v>4562</v>
      </c>
      <c r="AD2517" t="s">
        <v>15486</v>
      </c>
      <c r="AE2517" t="s">
        <v>4655</v>
      </c>
      <c r="AF2517" t="s">
        <v>5201</v>
      </c>
      <c r="AG2517" t="s">
        <v>4564</v>
      </c>
      <c r="AH2517" t="s">
        <v>5202</v>
      </c>
      <c r="AI2517" t="s">
        <v>15487</v>
      </c>
      <c r="AJ2517" t="s">
        <v>4655</v>
      </c>
      <c r="AK2517" t="s">
        <v>15488</v>
      </c>
      <c r="AL2517" s="13" t="s">
        <v>1886</v>
      </c>
      <c r="AM2517">
        <v>1</v>
      </c>
      <c r="AN2517" s="15" t="s">
        <v>4904</v>
      </c>
    </row>
    <row r="2518" spans="1:40" x14ac:dyDescent="0.3">
      <c r="A2518" s="10" t="str">
        <f>HYPERLINK("http://www.washoecounty.gov/assessor/cama/?parid=033-061-09&amp;CardNumber=1","033-061-09")</f>
        <v>033-061-09</v>
      </c>
      <c r="B2518" t="s">
        <v>4655</v>
      </c>
      <c r="C2518" t="s">
        <v>15489</v>
      </c>
      <c r="D2518" s="1">
        <v>40415</v>
      </c>
      <c r="E2518" s="2">
        <v>78750</v>
      </c>
      <c r="F2518" t="s">
        <v>4567</v>
      </c>
      <c r="G2518" s="17" t="str">
        <f>HYPERLINK("https://www.washoecounty.gov/assessor/cama/?command=sales&amp;parid=03306109","3915373")</f>
        <v>3915373</v>
      </c>
      <c r="H2518" t="s">
        <v>4816</v>
      </c>
      <c r="I2518">
        <v>1953</v>
      </c>
      <c r="J2518">
        <v>1953</v>
      </c>
      <c r="K2518" t="s">
        <v>4554</v>
      </c>
      <c r="L2518" t="s">
        <v>4555</v>
      </c>
      <c r="M2518" s="2">
        <v>850</v>
      </c>
      <c r="N2518" t="s">
        <v>4556</v>
      </c>
      <c r="O2518">
        <v>2</v>
      </c>
      <c r="P2518">
        <v>1</v>
      </c>
      <c r="Q2518">
        <v>0</v>
      </c>
      <c r="R2518" t="s">
        <v>4134</v>
      </c>
      <c r="S2518" t="s">
        <v>4574</v>
      </c>
      <c r="T2518" t="s">
        <v>4559</v>
      </c>
      <c r="U2518" t="s">
        <v>4655</v>
      </c>
      <c r="V2518" s="2">
        <v>0</v>
      </c>
      <c r="W2518" t="s">
        <v>4655</v>
      </c>
      <c r="X2518" s="2">
        <v>0</v>
      </c>
      <c r="Y2518">
        <v>20</v>
      </c>
      <c r="Z2518" t="s">
        <v>5200</v>
      </c>
      <c r="AA2518" s="3">
        <v>0.14499540627002699</v>
      </c>
      <c r="AB2518" t="s">
        <v>15490</v>
      </c>
      <c r="AC2518" t="s">
        <v>4575</v>
      </c>
      <c r="AD2518" t="s">
        <v>15491</v>
      </c>
      <c r="AE2518" t="s">
        <v>4655</v>
      </c>
      <c r="AF2518" t="s">
        <v>4809</v>
      </c>
      <c r="AG2518" t="s">
        <v>4564</v>
      </c>
      <c r="AH2518" t="s">
        <v>5202</v>
      </c>
      <c r="AI2518" t="s">
        <v>15492</v>
      </c>
      <c r="AJ2518" t="s">
        <v>4655</v>
      </c>
      <c r="AK2518" t="s">
        <v>15493</v>
      </c>
      <c r="AL2518" s="13" t="s">
        <v>3425</v>
      </c>
      <c r="AM2518" s="14">
        <v>1</v>
      </c>
      <c r="AN2518" s="15" t="s">
        <v>4904</v>
      </c>
    </row>
    <row r="2519" spans="1:40" x14ac:dyDescent="0.3">
      <c r="A2519" s="10" t="str">
        <f>HYPERLINK("http://www.washoecounty.gov/assessor/cama/?parid=033-061-15&amp;CardNumber=1","033-061-15")</f>
        <v>033-061-15</v>
      </c>
      <c r="B2519" t="s">
        <v>4655</v>
      </c>
      <c r="C2519" t="s">
        <v>15494</v>
      </c>
      <c r="D2519" s="1">
        <v>40515</v>
      </c>
      <c r="E2519" s="2">
        <v>92000</v>
      </c>
      <c r="F2519" t="s">
        <v>4553</v>
      </c>
      <c r="G2519" s="17" t="str">
        <f>HYPERLINK("https://www.washoecounty.gov/assessor/cama/?command=sales&amp;parid=03306115","3949272")</f>
        <v>3949272</v>
      </c>
      <c r="H2519" t="s">
        <v>4816</v>
      </c>
      <c r="I2519">
        <v>1953</v>
      </c>
      <c r="J2519">
        <v>1959</v>
      </c>
      <c r="K2519" t="s">
        <v>4554</v>
      </c>
      <c r="L2519" t="s">
        <v>4555</v>
      </c>
      <c r="M2519" s="2">
        <v>1278</v>
      </c>
      <c r="N2519" t="s">
        <v>4556</v>
      </c>
      <c r="O2519">
        <v>3</v>
      </c>
      <c r="P2519">
        <v>2</v>
      </c>
      <c r="Q2519">
        <v>0</v>
      </c>
      <c r="R2519" t="s">
        <v>4134</v>
      </c>
      <c r="S2519" t="s">
        <v>4135</v>
      </c>
      <c r="T2519" t="s">
        <v>4559</v>
      </c>
      <c r="U2519" t="s">
        <v>4560</v>
      </c>
      <c r="V2519" s="2">
        <v>300</v>
      </c>
      <c r="W2519" t="s">
        <v>4655</v>
      </c>
      <c r="X2519" s="2">
        <v>0</v>
      </c>
      <c r="Y2519">
        <v>20</v>
      </c>
      <c r="Z2519" t="s">
        <v>5200</v>
      </c>
      <c r="AA2519" s="3">
        <v>0.14499540627002699</v>
      </c>
      <c r="AB2519" t="s">
        <v>15495</v>
      </c>
      <c r="AC2519" t="s">
        <v>4562</v>
      </c>
      <c r="AD2519" t="s">
        <v>15496</v>
      </c>
      <c r="AE2519" t="s">
        <v>4655</v>
      </c>
      <c r="AF2519" t="s">
        <v>4809</v>
      </c>
      <c r="AG2519" t="s">
        <v>4564</v>
      </c>
      <c r="AH2519" t="s">
        <v>5202</v>
      </c>
      <c r="AI2519" t="s">
        <v>4903</v>
      </c>
      <c r="AJ2519" t="s">
        <v>4655</v>
      </c>
      <c r="AK2519" t="s">
        <v>15497</v>
      </c>
      <c r="AL2519" s="13" t="s">
        <v>3425</v>
      </c>
      <c r="AM2519">
        <v>1</v>
      </c>
      <c r="AN2519" s="15" t="s">
        <v>4904</v>
      </c>
    </row>
    <row r="2520" spans="1:40" x14ac:dyDescent="0.3">
      <c r="A2520" s="10" t="str">
        <f>HYPERLINK("http://www.washoecounty.gov/assessor/cama/?parid=033-062-08&amp;CardNumber=1","033-062-08")</f>
        <v>033-062-08</v>
      </c>
      <c r="B2520" t="s">
        <v>4655</v>
      </c>
      <c r="C2520" t="s">
        <v>15498</v>
      </c>
      <c r="D2520" s="1">
        <v>40406</v>
      </c>
      <c r="E2520" s="2">
        <v>94900</v>
      </c>
      <c r="F2520" t="s">
        <v>4567</v>
      </c>
      <c r="G2520" s="17" t="str">
        <f>HYPERLINK("https://www.washoecounty.gov/assessor/cama/?command=sales&amp;parid=03306208","3912415")</f>
        <v>3912415</v>
      </c>
      <c r="H2520" t="s">
        <v>4816</v>
      </c>
      <c r="I2520">
        <v>1953</v>
      </c>
      <c r="J2520">
        <v>1954</v>
      </c>
      <c r="K2520" t="s">
        <v>4554</v>
      </c>
      <c r="L2520" t="s">
        <v>4555</v>
      </c>
      <c r="M2520" s="2">
        <v>1058</v>
      </c>
      <c r="N2520" t="s">
        <v>4556</v>
      </c>
      <c r="O2520">
        <v>3</v>
      </c>
      <c r="P2520">
        <v>1</v>
      </c>
      <c r="Q2520">
        <v>0</v>
      </c>
      <c r="R2520" t="s">
        <v>4134</v>
      </c>
      <c r="S2520" t="s">
        <v>4135</v>
      </c>
      <c r="T2520" t="s">
        <v>4559</v>
      </c>
      <c r="U2520" t="s">
        <v>4655</v>
      </c>
      <c r="V2520" s="2">
        <v>0</v>
      </c>
      <c r="W2520" t="s">
        <v>4655</v>
      </c>
      <c r="X2520" s="2">
        <v>0</v>
      </c>
      <c r="Y2520">
        <v>20</v>
      </c>
      <c r="Z2520" t="s">
        <v>5200</v>
      </c>
      <c r="AA2520" s="3">
        <v>0.14499540627002699</v>
      </c>
      <c r="AB2520" t="s">
        <v>15499</v>
      </c>
      <c r="AC2520" t="s">
        <v>4562</v>
      </c>
      <c r="AD2520" t="s">
        <v>15498</v>
      </c>
      <c r="AE2520" t="s">
        <v>4655</v>
      </c>
      <c r="AF2520" t="s">
        <v>5201</v>
      </c>
      <c r="AG2520" t="s">
        <v>4564</v>
      </c>
      <c r="AH2520" t="s">
        <v>5202</v>
      </c>
      <c r="AI2520" t="s">
        <v>15500</v>
      </c>
      <c r="AJ2520" t="s">
        <v>4655</v>
      </c>
      <c r="AK2520" t="s">
        <v>15501</v>
      </c>
      <c r="AL2520" s="13" t="s">
        <v>3425</v>
      </c>
      <c r="AM2520">
        <v>1</v>
      </c>
      <c r="AN2520" s="15" t="s">
        <v>4904</v>
      </c>
    </row>
    <row r="2521" spans="1:40" x14ac:dyDescent="0.3">
      <c r="A2521" s="10" t="str">
        <f>HYPERLINK("http://www.washoecounty.gov/assessor/cama/?parid=033-062-13&amp;CardNumber=1","033-062-13")</f>
        <v>033-062-13</v>
      </c>
      <c r="B2521" t="s">
        <v>4655</v>
      </c>
      <c r="C2521" t="s">
        <v>15502</v>
      </c>
      <c r="D2521" s="1">
        <v>40221</v>
      </c>
      <c r="E2521" s="2">
        <v>81300</v>
      </c>
      <c r="F2521" t="s">
        <v>4553</v>
      </c>
      <c r="G2521" s="17" t="str">
        <f>HYPERLINK("https://www.washoecounty.gov/assessor/cama/?command=sales&amp;parid=03306213","3849011")</f>
        <v>3849011</v>
      </c>
      <c r="H2521" t="s">
        <v>4816</v>
      </c>
      <c r="I2521">
        <v>1953</v>
      </c>
      <c r="J2521">
        <v>1953</v>
      </c>
      <c r="K2521" t="s">
        <v>4554</v>
      </c>
      <c r="L2521" t="s">
        <v>4555</v>
      </c>
      <c r="M2521" s="2">
        <v>850</v>
      </c>
      <c r="N2521" t="s">
        <v>4556</v>
      </c>
      <c r="O2521">
        <v>2</v>
      </c>
      <c r="P2521">
        <v>1</v>
      </c>
      <c r="Q2521">
        <v>0</v>
      </c>
      <c r="R2521" t="s">
        <v>4557</v>
      </c>
      <c r="S2521" t="s">
        <v>4135</v>
      </c>
      <c r="T2521" t="s">
        <v>4559</v>
      </c>
      <c r="U2521" t="s">
        <v>4655</v>
      </c>
      <c r="V2521" s="2">
        <v>0</v>
      </c>
      <c r="W2521" t="s">
        <v>4655</v>
      </c>
      <c r="X2521" s="2">
        <v>0</v>
      </c>
      <c r="Y2521">
        <v>20</v>
      </c>
      <c r="Z2521" t="s">
        <v>5200</v>
      </c>
      <c r="AA2521" s="3">
        <v>0.14499540627002699</v>
      </c>
      <c r="AB2521" t="s">
        <v>15503</v>
      </c>
      <c r="AC2521" t="s">
        <v>4575</v>
      </c>
      <c r="AD2521" t="s">
        <v>15502</v>
      </c>
      <c r="AE2521" t="s">
        <v>4655</v>
      </c>
      <c r="AF2521" t="s">
        <v>5201</v>
      </c>
      <c r="AG2521" t="s">
        <v>4564</v>
      </c>
      <c r="AH2521" t="s">
        <v>5202</v>
      </c>
      <c r="AI2521" t="s">
        <v>4903</v>
      </c>
      <c r="AJ2521" t="s">
        <v>4655</v>
      </c>
      <c r="AK2521" t="s">
        <v>15504</v>
      </c>
      <c r="AL2521" s="13" t="s">
        <v>3425</v>
      </c>
      <c r="AM2521">
        <v>1</v>
      </c>
      <c r="AN2521" s="15" t="s">
        <v>4904</v>
      </c>
    </row>
    <row r="2522" spans="1:40" x14ac:dyDescent="0.3">
      <c r="A2522" s="10" t="str">
        <f>HYPERLINK("http://www.washoecounty.gov/assessor/cama/?parid=033-062-31&amp;CardNumber=1","033-062-31")</f>
        <v>033-062-31</v>
      </c>
      <c r="B2522" t="s">
        <v>4655</v>
      </c>
      <c r="C2522" t="s">
        <v>15505</v>
      </c>
      <c r="D2522" s="1">
        <v>40227</v>
      </c>
      <c r="E2522" s="2">
        <v>80000</v>
      </c>
      <c r="F2522" t="s">
        <v>4553</v>
      </c>
      <c r="G2522" s="17" t="str">
        <f>HYPERLINK("https://www.washoecounty.gov/assessor/cama/?command=sales&amp;parid=03306231","3850809")</f>
        <v>3850809</v>
      </c>
      <c r="H2522" t="s">
        <v>15506</v>
      </c>
      <c r="I2522">
        <v>1951</v>
      </c>
      <c r="J2522">
        <v>1951</v>
      </c>
      <c r="K2522" t="s">
        <v>4554</v>
      </c>
      <c r="L2522" t="s">
        <v>4555</v>
      </c>
      <c r="M2522" s="2">
        <v>925</v>
      </c>
      <c r="N2522" t="s">
        <v>4556</v>
      </c>
      <c r="O2522">
        <v>3</v>
      </c>
      <c r="P2522">
        <v>1</v>
      </c>
      <c r="Q2522">
        <v>0</v>
      </c>
      <c r="R2522" t="s">
        <v>4134</v>
      </c>
      <c r="S2522" t="s">
        <v>4135</v>
      </c>
      <c r="T2522" t="s">
        <v>4559</v>
      </c>
      <c r="U2522" t="s">
        <v>4560</v>
      </c>
      <c r="V2522" s="2">
        <v>275</v>
      </c>
      <c r="W2522" t="s">
        <v>4655</v>
      </c>
      <c r="X2522" s="2">
        <v>0</v>
      </c>
      <c r="Y2522">
        <v>20</v>
      </c>
      <c r="Z2522" t="s">
        <v>5200</v>
      </c>
      <c r="AA2522" s="3">
        <v>0.14499540627002699</v>
      </c>
      <c r="AB2522" t="s">
        <v>15507</v>
      </c>
      <c r="AC2522" t="s">
        <v>4575</v>
      </c>
      <c r="AD2522" t="s">
        <v>15505</v>
      </c>
      <c r="AE2522" t="s">
        <v>4655</v>
      </c>
      <c r="AF2522" t="s">
        <v>5201</v>
      </c>
      <c r="AG2522" t="s">
        <v>4564</v>
      </c>
      <c r="AH2522" t="s">
        <v>5202</v>
      </c>
      <c r="AI2522" t="s">
        <v>4565</v>
      </c>
      <c r="AJ2522" t="s">
        <v>4655</v>
      </c>
      <c r="AK2522" t="s">
        <v>15508</v>
      </c>
      <c r="AL2522" s="13" t="s">
        <v>3425</v>
      </c>
      <c r="AM2522" s="14">
        <v>1</v>
      </c>
      <c r="AN2522" s="15" t="s">
        <v>4904</v>
      </c>
    </row>
    <row r="2523" spans="1:40" x14ac:dyDescent="0.3">
      <c r="A2523" s="10" t="str">
        <f>HYPERLINK("http://www.washoecounty.gov/assessor/cama/?parid=033-071-15&amp;CardNumber=1","033-071-15")</f>
        <v>033-071-15</v>
      </c>
      <c r="B2523" t="s">
        <v>4655</v>
      </c>
      <c r="C2523" t="s">
        <v>15509</v>
      </c>
      <c r="D2523" s="1">
        <v>40416</v>
      </c>
      <c r="E2523" s="2">
        <v>115000</v>
      </c>
      <c r="F2523" t="s">
        <v>4553</v>
      </c>
      <c r="G2523" s="17" t="str">
        <f>HYPERLINK("https://www.washoecounty.gov/assessor/cama/?command=sales&amp;parid=03307115","3915917")</f>
        <v>3915917</v>
      </c>
      <c r="H2523" t="s">
        <v>4816</v>
      </c>
      <c r="I2523">
        <v>1953</v>
      </c>
      <c r="J2523">
        <v>1964</v>
      </c>
      <c r="K2523" t="s">
        <v>4554</v>
      </c>
      <c r="L2523" t="s">
        <v>4555</v>
      </c>
      <c r="M2523" s="2">
        <v>1258</v>
      </c>
      <c r="N2523" t="s">
        <v>4556</v>
      </c>
      <c r="O2523">
        <v>3</v>
      </c>
      <c r="P2523">
        <v>2</v>
      </c>
      <c r="Q2523">
        <v>0</v>
      </c>
      <c r="R2523" t="s">
        <v>4134</v>
      </c>
      <c r="S2523" t="s">
        <v>3148</v>
      </c>
      <c r="T2523" t="s">
        <v>4559</v>
      </c>
      <c r="U2523" t="s">
        <v>4655</v>
      </c>
      <c r="V2523" s="2">
        <v>0</v>
      </c>
      <c r="W2523" t="s">
        <v>4655</v>
      </c>
      <c r="X2523" s="2">
        <v>0</v>
      </c>
      <c r="Y2523">
        <v>20</v>
      </c>
      <c r="Z2523" t="s">
        <v>5200</v>
      </c>
      <c r="AA2523" s="3">
        <v>0.14499540627002699</v>
      </c>
      <c r="AB2523" t="s">
        <v>15510</v>
      </c>
      <c r="AC2523" t="s">
        <v>4562</v>
      </c>
      <c r="AD2523" t="s">
        <v>15509</v>
      </c>
      <c r="AE2523" t="s">
        <v>4655</v>
      </c>
      <c r="AF2523" t="s">
        <v>5201</v>
      </c>
      <c r="AG2523" t="s">
        <v>4564</v>
      </c>
      <c r="AH2523" t="s">
        <v>5202</v>
      </c>
      <c r="AI2523" t="s">
        <v>13834</v>
      </c>
      <c r="AJ2523" t="s">
        <v>4655</v>
      </c>
      <c r="AK2523" t="s">
        <v>15511</v>
      </c>
      <c r="AL2523" s="13" t="s">
        <v>3425</v>
      </c>
      <c r="AM2523" s="14">
        <v>1</v>
      </c>
      <c r="AN2523" s="15" t="s">
        <v>4904</v>
      </c>
    </row>
    <row r="2524" spans="1:40" x14ac:dyDescent="0.3">
      <c r="A2524" s="10" t="str">
        <f>HYPERLINK("http://www.washoecounty.gov/assessor/cama/?parid=033-071-17&amp;CardNumber=1","033-071-17")</f>
        <v>033-071-17</v>
      </c>
      <c r="B2524" t="s">
        <v>4655</v>
      </c>
      <c r="C2524" t="s">
        <v>15512</v>
      </c>
      <c r="D2524" s="1">
        <v>40429</v>
      </c>
      <c r="E2524" s="2">
        <v>39000</v>
      </c>
      <c r="F2524" t="s">
        <v>4567</v>
      </c>
      <c r="G2524" s="17" t="str">
        <f>HYPERLINK("https://www.washoecounty.gov/assessor/cama/?command=sales&amp;parid=03307117","3919690")</f>
        <v>3919690</v>
      </c>
      <c r="H2524" t="s">
        <v>4816</v>
      </c>
      <c r="I2524">
        <v>1953</v>
      </c>
      <c r="J2524">
        <v>1953</v>
      </c>
      <c r="K2524" t="s">
        <v>4554</v>
      </c>
      <c r="L2524" t="s">
        <v>4555</v>
      </c>
      <c r="M2524" s="2">
        <v>850</v>
      </c>
      <c r="N2524" t="s">
        <v>4556</v>
      </c>
      <c r="O2524">
        <v>2</v>
      </c>
      <c r="P2524">
        <v>1</v>
      </c>
      <c r="Q2524">
        <v>0</v>
      </c>
      <c r="R2524" t="s">
        <v>4134</v>
      </c>
      <c r="S2524" t="s">
        <v>4574</v>
      </c>
      <c r="T2524" t="s">
        <v>4559</v>
      </c>
      <c r="U2524" t="s">
        <v>4560</v>
      </c>
      <c r="V2524" s="2">
        <v>350</v>
      </c>
      <c r="W2524" t="s">
        <v>4655</v>
      </c>
      <c r="X2524" s="2">
        <v>0</v>
      </c>
      <c r="Y2524">
        <v>20</v>
      </c>
      <c r="Z2524" t="s">
        <v>5200</v>
      </c>
      <c r="AA2524" s="3">
        <v>0.18399907648563399</v>
      </c>
      <c r="AB2524" t="s">
        <v>1799</v>
      </c>
      <c r="AC2524" t="s">
        <v>4562</v>
      </c>
      <c r="AD2524" t="s">
        <v>7894</v>
      </c>
      <c r="AE2524" t="s">
        <v>4655</v>
      </c>
      <c r="AF2524" t="s">
        <v>4563</v>
      </c>
      <c r="AG2524" t="s">
        <v>4564</v>
      </c>
      <c r="AH2524">
        <v>89509</v>
      </c>
      <c r="AI2524" t="s">
        <v>4655</v>
      </c>
      <c r="AJ2524" t="s">
        <v>4655</v>
      </c>
      <c r="AK2524" t="s">
        <v>15513</v>
      </c>
      <c r="AL2524" s="13" t="s">
        <v>3425</v>
      </c>
      <c r="AM2524" s="14">
        <v>1</v>
      </c>
      <c r="AN2524" s="15" t="s">
        <v>4904</v>
      </c>
    </row>
    <row r="2525" spans="1:40" x14ac:dyDescent="0.3">
      <c r="A2525" s="10" t="str">
        <f>HYPERLINK("http://www.washoecounty.gov/assessor/cama/?parid=033-072-03&amp;CardNumber=1","033-072-03")</f>
        <v>033-072-03</v>
      </c>
      <c r="B2525" t="s">
        <v>4655</v>
      </c>
      <c r="C2525" t="s">
        <v>15514</v>
      </c>
      <c r="D2525" s="1">
        <v>40353</v>
      </c>
      <c r="E2525" s="2">
        <v>134900</v>
      </c>
      <c r="F2525" t="s">
        <v>4567</v>
      </c>
      <c r="G2525" s="17" t="str">
        <f>HYPERLINK("https://www.washoecounty.gov/assessor/cama/?command=sales&amp;parid=03307203","3895110")</f>
        <v>3895110</v>
      </c>
      <c r="H2525" t="s">
        <v>4816</v>
      </c>
      <c r="I2525">
        <v>1953</v>
      </c>
      <c r="J2525">
        <v>1970</v>
      </c>
      <c r="K2525" t="s">
        <v>4554</v>
      </c>
      <c r="L2525" t="s">
        <v>4555</v>
      </c>
      <c r="M2525" s="2">
        <v>1900</v>
      </c>
      <c r="N2525" t="s">
        <v>4556</v>
      </c>
      <c r="O2525">
        <v>3</v>
      </c>
      <c r="P2525">
        <v>2</v>
      </c>
      <c r="Q2525">
        <v>0</v>
      </c>
      <c r="R2525" t="s">
        <v>4134</v>
      </c>
      <c r="S2525" t="s">
        <v>3148</v>
      </c>
      <c r="T2525" t="s">
        <v>4559</v>
      </c>
      <c r="U2525" t="s">
        <v>4655</v>
      </c>
      <c r="V2525" s="2">
        <v>0</v>
      </c>
      <c r="W2525" t="s">
        <v>4655</v>
      </c>
      <c r="X2525" s="2">
        <v>0</v>
      </c>
      <c r="Y2525">
        <v>20</v>
      </c>
      <c r="Z2525" t="s">
        <v>5200</v>
      </c>
      <c r="AA2525" s="3">
        <v>0.148002758622169</v>
      </c>
      <c r="AB2525" t="s">
        <v>15515</v>
      </c>
      <c r="AC2525" t="s">
        <v>4562</v>
      </c>
      <c r="AD2525" t="s">
        <v>15514</v>
      </c>
      <c r="AE2525" t="s">
        <v>4655</v>
      </c>
      <c r="AF2525" t="s">
        <v>5201</v>
      </c>
      <c r="AG2525" t="s">
        <v>4564</v>
      </c>
      <c r="AH2525" t="s">
        <v>5202</v>
      </c>
      <c r="AI2525" t="s">
        <v>15516</v>
      </c>
      <c r="AJ2525" t="s">
        <v>4655</v>
      </c>
      <c r="AK2525" t="s">
        <v>15517</v>
      </c>
      <c r="AL2525" s="13" t="s">
        <v>3425</v>
      </c>
      <c r="AM2525" s="14">
        <v>1</v>
      </c>
      <c r="AN2525" s="15" t="s">
        <v>4904</v>
      </c>
    </row>
    <row r="2526" spans="1:40" x14ac:dyDescent="0.3">
      <c r="A2526" s="10" t="str">
        <f>HYPERLINK("http://www.washoecounty.gov/assessor/cama/?parid=033-072-09&amp;CardNumber=1","033-072-09")</f>
        <v>033-072-09</v>
      </c>
      <c r="B2526" t="s">
        <v>4655</v>
      </c>
      <c r="C2526" t="s">
        <v>15518</v>
      </c>
      <c r="D2526" s="1">
        <v>40392</v>
      </c>
      <c r="E2526" s="2">
        <v>80000</v>
      </c>
      <c r="F2526" t="s">
        <v>4553</v>
      </c>
      <c r="G2526" s="17" t="str">
        <f>HYPERLINK("https://www.washoecounty.gov/assessor/cama/?command=sales&amp;parid=03307209","3907966")</f>
        <v>3907966</v>
      </c>
      <c r="H2526" t="s">
        <v>4816</v>
      </c>
      <c r="I2526">
        <v>1953</v>
      </c>
      <c r="J2526">
        <v>1953</v>
      </c>
      <c r="K2526" t="s">
        <v>4554</v>
      </c>
      <c r="L2526" t="s">
        <v>4555</v>
      </c>
      <c r="M2526" s="2">
        <v>850</v>
      </c>
      <c r="N2526" t="s">
        <v>4556</v>
      </c>
      <c r="O2526">
        <v>2</v>
      </c>
      <c r="P2526">
        <v>1</v>
      </c>
      <c r="Q2526">
        <v>0</v>
      </c>
      <c r="R2526" t="s">
        <v>4134</v>
      </c>
      <c r="S2526" t="s">
        <v>4574</v>
      </c>
      <c r="T2526" t="s">
        <v>4559</v>
      </c>
      <c r="U2526" t="s">
        <v>4655</v>
      </c>
      <c r="V2526" s="2">
        <v>0</v>
      </c>
      <c r="W2526" t="s">
        <v>4655</v>
      </c>
      <c r="X2526" s="2">
        <v>0</v>
      </c>
      <c r="Y2526">
        <v>20</v>
      </c>
      <c r="Z2526" t="s">
        <v>5200</v>
      </c>
      <c r="AA2526" s="3">
        <v>0.148002758622169</v>
      </c>
      <c r="AB2526" t="s">
        <v>15519</v>
      </c>
      <c r="AC2526" t="s">
        <v>4562</v>
      </c>
      <c r="AD2526" t="s">
        <v>15518</v>
      </c>
      <c r="AE2526" t="s">
        <v>4655</v>
      </c>
      <c r="AF2526" t="s">
        <v>5201</v>
      </c>
      <c r="AG2526" t="s">
        <v>4564</v>
      </c>
      <c r="AH2526" t="s">
        <v>5202</v>
      </c>
      <c r="AI2526" t="s">
        <v>4903</v>
      </c>
      <c r="AJ2526" t="s">
        <v>4655</v>
      </c>
      <c r="AK2526" t="s">
        <v>15520</v>
      </c>
      <c r="AL2526" s="13" t="s">
        <v>3425</v>
      </c>
      <c r="AM2526" s="14">
        <v>1</v>
      </c>
      <c r="AN2526" s="15" t="s">
        <v>4904</v>
      </c>
    </row>
    <row r="2527" spans="1:40" x14ac:dyDescent="0.3">
      <c r="A2527" s="10" t="str">
        <f>HYPERLINK("http://www.washoecounty.gov/assessor/cama/?parid=033-072-17&amp;CardNumber=1","033-072-17")</f>
        <v>033-072-17</v>
      </c>
      <c r="B2527" t="s">
        <v>4655</v>
      </c>
      <c r="C2527" t="s">
        <v>15521</v>
      </c>
      <c r="D2527" s="1">
        <v>40235</v>
      </c>
      <c r="E2527" s="2">
        <v>90000</v>
      </c>
      <c r="F2527" t="s">
        <v>4567</v>
      </c>
      <c r="G2527" s="17" t="str">
        <f>HYPERLINK("https://www.washoecounty.gov/assessor/cama/?command=sales&amp;parid=03307217","3853173")</f>
        <v>3853173</v>
      </c>
      <c r="H2527" t="s">
        <v>4816</v>
      </c>
      <c r="I2527">
        <v>1953</v>
      </c>
      <c r="J2527">
        <v>1959</v>
      </c>
      <c r="K2527" t="s">
        <v>4554</v>
      </c>
      <c r="L2527" t="s">
        <v>4555</v>
      </c>
      <c r="M2527" s="2">
        <v>1170</v>
      </c>
      <c r="N2527" t="s">
        <v>4556</v>
      </c>
      <c r="O2527">
        <v>2</v>
      </c>
      <c r="P2527">
        <v>1</v>
      </c>
      <c r="Q2527">
        <v>0</v>
      </c>
      <c r="R2527" t="s">
        <v>4134</v>
      </c>
      <c r="S2527" t="s">
        <v>4135</v>
      </c>
      <c r="T2527" t="s">
        <v>4559</v>
      </c>
      <c r="U2527" t="s">
        <v>4655</v>
      </c>
      <c r="V2527" s="2">
        <v>0</v>
      </c>
      <c r="W2527" t="s">
        <v>4655</v>
      </c>
      <c r="X2527" s="2">
        <v>0</v>
      </c>
      <c r="Y2527">
        <v>20</v>
      </c>
      <c r="Z2527" t="s">
        <v>5200</v>
      </c>
      <c r="AA2527" s="3">
        <v>0.17199265956878662</v>
      </c>
      <c r="AB2527" t="s">
        <v>15522</v>
      </c>
      <c r="AC2527" t="s">
        <v>4575</v>
      </c>
      <c r="AD2527" t="s">
        <v>15521</v>
      </c>
      <c r="AE2527" t="s">
        <v>4655</v>
      </c>
      <c r="AF2527" t="s">
        <v>5201</v>
      </c>
      <c r="AG2527" t="s">
        <v>4564</v>
      </c>
      <c r="AH2527" t="s">
        <v>5202</v>
      </c>
      <c r="AI2527" t="s">
        <v>4655</v>
      </c>
      <c r="AJ2527" t="s">
        <v>4655</v>
      </c>
      <c r="AK2527" t="s">
        <v>15523</v>
      </c>
      <c r="AL2527" s="13" t="s">
        <v>3425</v>
      </c>
      <c r="AM2527" s="14">
        <v>1</v>
      </c>
      <c r="AN2527" s="15" t="s">
        <v>4904</v>
      </c>
    </row>
    <row r="2528" spans="1:40" x14ac:dyDescent="0.3">
      <c r="A2528" s="10" t="str">
        <f>HYPERLINK("http://www.washoecounty.gov/assessor/cama/?parid=033-072-22&amp;CardNumber=1","033-072-22")</f>
        <v>033-072-22</v>
      </c>
      <c r="B2528" t="s">
        <v>4655</v>
      </c>
      <c r="C2528" t="s">
        <v>15524</v>
      </c>
      <c r="D2528" s="1">
        <v>40382</v>
      </c>
      <c r="E2528" s="2">
        <v>71000</v>
      </c>
      <c r="F2528" t="s">
        <v>4553</v>
      </c>
      <c r="G2528" s="17" t="str">
        <f>HYPERLINK("https://www.washoecounty.gov/assessor/cama/?command=sales&amp;parid=03307222","3904240")</f>
        <v>3904240</v>
      </c>
      <c r="H2528" t="s">
        <v>3800</v>
      </c>
      <c r="I2528">
        <v>1953</v>
      </c>
      <c r="J2528">
        <v>1957</v>
      </c>
      <c r="K2528" t="s">
        <v>4554</v>
      </c>
      <c r="L2528" t="s">
        <v>4555</v>
      </c>
      <c r="M2528" s="2">
        <v>1018</v>
      </c>
      <c r="N2528" t="s">
        <v>4556</v>
      </c>
      <c r="O2528">
        <v>2</v>
      </c>
      <c r="P2528">
        <v>1</v>
      </c>
      <c r="Q2528">
        <v>0</v>
      </c>
      <c r="R2528" t="s">
        <v>4134</v>
      </c>
      <c r="S2528" t="s">
        <v>4135</v>
      </c>
      <c r="T2528" t="s">
        <v>4559</v>
      </c>
      <c r="U2528" t="s">
        <v>4560</v>
      </c>
      <c r="V2528" s="2">
        <v>315</v>
      </c>
      <c r="W2528" t="s">
        <v>4655</v>
      </c>
      <c r="X2528" s="2">
        <v>0</v>
      </c>
      <c r="Y2528">
        <v>20</v>
      </c>
      <c r="Z2528" t="s">
        <v>5200</v>
      </c>
      <c r="AA2528" s="3">
        <v>0.148002758622169</v>
      </c>
      <c r="AB2528" t="s">
        <v>15525</v>
      </c>
      <c r="AC2528" t="s">
        <v>4562</v>
      </c>
      <c r="AD2528" t="s">
        <v>15524</v>
      </c>
      <c r="AE2528" t="s">
        <v>4655</v>
      </c>
      <c r="AF2528" t="s">
        <v>5201</v>
      </c>
      <c r="AG2528" t="s">
        <v>4564</v>
      </c>
      <c r="AH2528" t="s">
        <v>5202</v>
      </c>
      <c r="AI2528" t="s">
        <v>4503</v>
      </c>
      <c r="AJ2528" t="s">
        <v>4655</v>
      </c>
      <c r="AK2528" t="s">
        <v>15526</v>
      </c>
      <c r="AL2528" s="13" t="s">
        <v>3425</v>
      </c>
      <c r="AM2528">
        <v>1</v>
      </c>
      <c r="AN2528" s="15" t="s">
        <v>4904</v>
      </c>
    </row>
    <row r="2529" spans="1:40" x14ac:dyDescent="0.3">
      <c r="A2529" s="10" t="str">
        <f>HYPERLINK("http://www.washoecounty.gov/assessor/cama/?parid=033-082-06&amp;CardNumber=1","033-082-06")</f>
        <v>033-082-06</v>
      </c>
      <c r="B2529" t="s">
        <v>4655</v>
      </c>
      <c r="C2529" t="s">
        <v>3330</v>
      </c>
      <c r="D2529" s="1">
        <v>40340</v>
      </c>
      <c r="E2529" s="2">
        <v>86000</v>
      </c>
      <c r="F2529" t="s">
        <v>4553</v>
      </c>
      <c r="G2529" s="17" t="str">
        <f>HYPERLINK("https://www.washoecounty.gov/assessor/cama/?command=sales&amp;parid=03308206","3890779")</f>
        <v>3890779</v>
      </c>
      <c r="H2529" t="s">
        <v>3331</v>
      </c>
      <c r="I2529">
        <v>1957</v>
      </c>
      <c r="J2529">
        <v>1957</v>
      </c>
      <c r="K2529" t="s">
        <v>4554</v>
      </c>
      <c r="L2529" t="s">
        <v>4555</v>
      </c>
      <c r="M2529" s="2">
        <v>1067</v>
      </c>
      <c r="N2529" t="s">
        <v>4556</v>
      </c>
      <c r="O2529">
        <v>3</v>
      </c>
      <c r="P2529">
        <v>1</v>
      </c>
      <c r="Q2529">
        <v>0</v>
      </c>
      <c r="R2529" t="s">
        <v>4557</v>
      </c>
      <c r="S2529" t="s">
        <v>4135</v>
      </c>
      <c r="T2529" t="s">
        <v>4559</v>
      </c>
      <c r="U2529" t="s">
        <v>4560</v>
      </c>
      <c r="V2529" s="2">
        <v>300</v>
      </c>
      <c r="W2529" t="s">
        <v>4655</v>
      </c>
      <c r="X2529" s="2">
        <v>0</v>
      </c>
      <c r="Y2529">
        <v>20</v>
      </c>
      <c r="Z2529" t="s">
        <v>5200</v>
      </c>
      <c r="AA2529" s="3">
        <v>0.14898990094661699</v>
      </c>
      <c r="AB2529" t="s">
        <v>3332</v>
      </c>
      <c r="AC2529" t="s">
        <v>4562</v>
      </c>
      <c r="AD2529" t="s">
        <v>15527</v>
      </c>
      <c r="AE2529" t="s">
        <v>4655</v>
      </c>
      <c r="AF2529" t="s">
        <v>5151</v>
      </c>
      <c r="AG2529" t="s">
        <v>4564</v>
      </c>
      <c r="AH2529">
        <v>89706</v>
      </c>
      <c r="AI2529" t="s">
        <v>4655</v>
      </c>
      <c r="AJ2529" t="s">
        <v>4655</v>
      </c>
      <c r="AK2529" t="s">
        <v>3333</v>
      </c>
      <c r="AL2529" s="13" t="s">
        <v>1886</v>
      </c>
      <c r="AM2529" s="14">
        <v>1</v>
      </c>
      <c r="AN2529" s="15" t="s">
        <v>4904</v>
      </c>
    </row>
    <row r="2530" spans="1:40" x14ac:dyDescent="0.3">
      <c r="A2530" s="10" t="str">
        <f>HYPERLINK("http://www.washoecounty.gov/assessor/cama/?parid=033-082-10&amp;CardNumber=1","033-082-10")</f>
        <v>033-082-10</v>
      </c>
      <c r="B2530" t="s">
        <v>4655</v>
      </c>
      <c r="C2530" t="s">
        <v>15528</v>
      </c>
      <c r="D2530" s="1">
        <v>40456</v>
      </c>
      <c r="E2530" s="2">
        <v>63000</v>
      </c>
      <c r="F2530" t="s">
        <v>4553</v>
      </c>
      <c r="G2530" s="17" t="str">
        <f>HYPERLINK("https://www.washoecounty.gov/assessor/cama/?command=sales&amp;parid=03308210","3929897")</f>
        <v>3929897</v>
      </c>
      <c r="H2530" t="s">
        <v>15529</v>
      </c>
      <c r="I2530">
        <v>1957</v>
      </c>
      <c r="J2530">
        <v>1957</v>
      </c>
      <c r="K2530" t="s">
        <v>4554</v>
      </c>
      <c r="L2530" t="s">
        <v>4555</v>
      </c>
      <c r="M2530" s="2">
        <v>1196</v>
      </c>
      <c r="N2530" t="s">
        <v>4556</v>
      </c>
      <c r="O2530">
        <v>4</v>
      </c>
      <c r="P2530">
        <v>1</v>
      </c>
      <c r="Q2530">
        <v>1</v>
      </c>
      <c r="R2530" t="s">
        <v>4557</v>
      </c>
      <c r="S2530" t="s">
        <v>4574</v>
      </c>
      <c r="T2530" t="s">
        <v>4559</v>
      </c>
      <c r="U2530" t="s">
        <v>4560</v>
      </c>
      <c r="V2530" s="2">
        <v>441</v>
      </c>
      <c r="W2530" t="s">
        <v>4655</v>
      </c>
      <c r="X2530" s="2">
        <v>0</v>
      </c>
      <c r="Y2530">
        <v>20</v>
      </c>
      <c r="Z2530" t="s">
        <v>5200</v>
      </c>
      <c r="AA2530" s="3">
        <v>0.146992653608322</v>
      </c>
      <c r="AB2530" t="s">
        <v>1506</v>
      </c>
      <c r="AC2530" t="s">
        <v>4562</v>
      </c>
      <c r="AD2530" t="s">
        <v>1912</v>
      </c>
      <c r="AE2530" t="s">
        <v>4655</v>
      </c>
      <c r="AF2530" t="s">
        <v>4563</v>
      </c>
      <c r="AG2530" t="s">
        <v>1766</v>
      </c>
      <c r="AH2530">
        <v>89511</v>
      </c>
      <c r="AI2530" t="s">
        <v>4565</v>
      </c>
      <c r="AJ2530" t="s">
        <v>4655</v>
      </c>
      <c r="AK2530" t="s">
        <v>15530</v>
      </c>
      <c r="AL2530" s="13" t="s">
        <v>1886</v>
      </c>
      <c r="AM2530">
        <v>1</v>
      </c>
      <c r="AN2530" s="15" t="s">
        <v>4904</v>
      </c>
    </row>
    <row r="2531" spans="1:40" x14ac:dyDescent="0.3">
      <c r="A2531" s="10" t="str">
        <f>HYPERLINK("http://www.washoecounty.gov/assessor/cama/?parid=033-082-16&amp;CardNumber=1","033-082-16")</f>
        <v>033-082-16</v>
      </c>
      <c r="B2531" t="s">
        <v>4655</v>
      </c>
      <c r="C2531" t="s">
        <v>15531</v>
      </c>
      <c r="D2531" s="1">
        <v>40374</v>
      </c>
      <c r="E2531" s="2">
        <v>76000</v>
      </c>
      <c r="F2531" t="s">
        <v>4567</v>
      </c>
      <c r="G2531" s="17" t="str">
        <f>HYPERLINK("https://www.washoecounty.gov/assessor/cama/?command=sales&amp;parid=03308216","3901747")</f>
        <v>3901747</v>
      </c>
      <c r="H2531" t="s">
        <v>4817</v>
      </c>
      <c r="I2531">
        <v>1957</v>
      </c>
      <c r="J2531">
        <v>1957</v>
      </c>
      <c r="K2531" t="s">
        <v>4554</v>
      </c>
      <c r="L2531" t="s">
        <v>4555</v>
      </c>
      <c r="M2531" s="2">
        <v>1067</v>
      </c>
      <c r="N2531" t="s">
        <v>4556</v>
      </c>
      <c r="O2531">
        <v>3</v>
      </c>
      <c r="P2531">
        <v>1</v>
      </c>
      <c r="Q2531">
        <v>0</v>
      </c>
      <c r="R2531" t="s">
        <v>4557</v>
      </c>
      <c r="S2531" t="s">
        <v>4574</v>
      </c>
      <c r="T2531" t="s">
        <v>4559</v>
      </c>
      <c r="U2531" t="s">
        <v>4560</v>
      </c>
      <c r="V2531" s="2">
        <v>300</v>
      </c>
      <c r="W2531" t="s">
        <v>4655</v>
      </c>
      <c r="X2531" s="2">
        <v>0</v>
      </c>
      <c r="Y2531">
        <v>20</v>
      </c>
      <c r="Z2531" t="s">
        <v>5200</v>
      </c>
      <c r="AA2531" s="3">
        <v>0.146992653608322</v>
      </c>
      <c r="AB2531" t="s">
        <v>3805</v>
      </c>
      <c r="AC2531" t="s">
        <v>4575</v>
      </c>
      <c r="AD2531" t="s">
        <v>15532</v>
      </c>
      <c r="AE2531" t="s">
        <v>1911</v>
      </c>
      <c r="AF2531" t="s">
        <v>4563</v>
      </c>
      <c r="AG2531" t="s">
        <v>4564</v>
      </c>
      <c r="AH2531" t="s">
        <v>2330</v>
      </c>
      <c r="AI2531" t="s">
        <v>15533</v>
      </c>
      <c r="AJ2531" t="s">
        <v>4655</v>
      </c>
      <c r="AK2531" t="s">
        <v>15534</v>
      </c>
      <c r="AL2531" s="13" t="s">
        <v>1886</v>
      </c>
      <c r="AM2531" s="14">
        <v>1</v>
      </c>
      <c r="AN2531" s="15" t="s">
        <v>4904</v>
      </c>
    </row>
    <row r="2532" spans="1:40" x14ac:dyDescent="0.3">
      <c r="A2532" s="10" t="str">
        <f>HYPERLINK("http://www.washoecounty.gov/assessor/cama/?parid=033-083-07&amp;CardNumber=1","033-083-07")</f>
        <v>033-083-07</v>
      </c>
      <c r="B2532" t="s">
        <v>4655</v>
      </c>
      <c r="C2532" t="s">
        <v>15535</v>
      </c>
      <c r="D2532" s="1">
        <v>40206</v>
      </c>
      <c r="E2532" s="2">
        <v>103000</v>
      </c>
      <c r="F2532" t="s">
        <v>4567</v>
      </c>
      <c r="G2532" s="17" t="str">
        <f>HYPERLINK("https://www.washoecounty.gov/assessor/cama/?command=sales&amp;parid=03308307","3843783")</f>
        <v>3843783</v>
      </c>
      <c r="H2532" t="s">
        <v>4817</v>
      </c>
      <c r="I2532">
        <v>1957</v>
      </c>
      <c r="J2532">
        <v>1957</v>
      </c>
      <c r="K2532" t="s">
        <v>4554</v>
      </c>
      <c r="L2532" t="s">
        <v>4555</v>
      </c>
      <c r="M2532" s="2">
        <v>1092</v>
      </c>
      <c r="N2532" t="s">
        <v>4556</v>
      </c>
      <c r="O2532">
        <v>3</v>
      </c>
      <c r="P2532">
        <v>1</v>
      </c>
      <c r="Q2532">
        <v>0</v>
      </c>
      <c r="R2532" t="s">
        <v>4557</v>
      </c>
      <c r="S2532" t="s">
        <v>4574</v>
      </c>
      <c r="T2532" t="s">
        <v>4559</v>
      </c>
      <c r="U2532" t="s">
        <v>4560</v>
      </c>
      <c r="V2532" s="2">
        <v>300</v>
      </c>
      <c r="W2532" t="s">
        <v>4655</v>
      </c>
      <c r="X2532" s="2">
        <v>0</v>
      </c>
      <c r="Y2532">
        <v>20</v>
      </c>
      <c r="Z2532" t="s">
        <v>5200</v>
      </c>
      <c r="AA2532" s="3">
        <v>0.14898990094661699</v>
      </c>
      <c r="AB2532" t="s">
        <v>15536</v>
      </c>
      <c r="AC2532" t="s">
        <v>4562</v>
      </c>
      <c r="AD2532" t="s">
        <v>15535</v>
      </c>
      <c r="AE2532" t="s">
        <v>4655</v>
      </c>
      <c r="AF2532" t="s">
        <v>5201</v>
      </c>
      <c r="AG2532" t="s">
        <v>4564</v>
      </c>
      <c r="AH2532" t="s">
        <v>5202</v>
      </c>
      <c r="AI2532" t="s">
        <v>4655</v>
      </c>
      <c r="AJ2532" t="s">
        <v>4655</v>
      </c>
      <c r="AK2532" t="s">
        <v>15537</v>
      </c>
      <c r="AL2532" s="13" t="s">
        <v>1886</v>
      </c>
      <c r="AM2532">
        <v>1</v>
      </c>
      <c r="AN2532" s="15" t="s">
        <v>4904</v>
      </c>
    </row>
    <row r="2533" spans="1:40" x14ac:dyDescent="0.3">
      <c r="A2533" s="10" t="str">
        <f>HYPERLINK("http://www.washoecounty.gov/assessor/cama/?parid=033-084-07&amp;CardNumber=1","033-084-07")</f>
        <v>033-084-07</v>
      </c>
      <c r="B2533" t="s">
        <v>4655</v>
      </c>
      <c r="C2533" t="s">
        <v>15538</v>
      </c>
      <c r="D2533" s="1">
        <v>40186</v>
      </c>
      <c r="E2533" s="2">
        <v>89000</v>
      </c>
      <c r="F2533" t="s">
        <v>4553</v>
      </c>
      <c r="G2533" s="17" t="str">
        <f>HYPERLINK("https://www.washoecounty.gov/assessor/cama/?command=sales&amp;parid=03308407","3837566")</f>
        <v>3837566</v>
      </c>
      <c r="H2533" t="s">
        <v>4817</v>
      </c>
      <c r="I2533">
        <v>1957</v>
      </c>
      <c r="J2533">
        <v>1957</v>
      </c>
      <c r="K2533" t="s">
        <v>4554</v>
      </c>
      <c r="L2533" t="s">
        <v>4555</v>
      </c>
      <c r="M2533" s="2">
        <v>1092</v>
      </c>
      <c r="N2533" t="s">
        <v>4556</v>
      </c>
      <c r="O2533">
        <v>3</v>
      </c>
      <c r="P2533">
        <v>1</v>
      </c>
      <c r="Q2533">
        <v>0</v>
      </c>
      <c r="R2533" t="s">
        <v>4557</v>
      </c>
      <c r="S2533" t="s">
        <v>4135</v>
      </c>
      <c r="T2533" t="s">
        <v>4559</v>
      </c>
      <c r="U2533" t="s">
        <v>4560</v>
      </c>
      <c r="V2533" s="2">
        <v>300</v>
      </c>
      <c r="W2533" t="s">
        <v>4655</v>
      </c>
      <c r="X2533" s="2">
        <v>0</v>
      </c>
      <c r="Y2533">
        <v>20</v>
      </c>
      <c r="Z2533" t="s">
        <v>5200</v>
      </c>
      <c r="AA2533" s="3">
        <v>0.14499540627002699</v>
      </c>
      <c r="AB2533" t="s">
        <v>15539</v>
      </c>
      <c r="AC2533" t="s">
        <v>4562</v>
      </c>
      <c r="AD2533" t="s">
        <v>15540</v>
      </c>
      <c r="AE2533" t="s">
        <v>4655</v>
      </c>
      <c r="AF2533" t="s">
        <v>5201</v>
      </c>
      <c r="AG2533" t="s">
        <v>4564</v>
      </c>
      <c r="AH2533" t="s">
        <v>5202</v>
      </c>
      <c r="AI2533" t="s">
        <v>2351</v>
      </c>
      <c r="AJ2533" t="s">
        <v>4655</v>
      </c>
      <c r="AK2533" t="s">
        <v>15541</v>
      </c>
      <c r="AL2533" s="13" t="s">
        <v>1886</v>
      </c>
      <c r="AM2533">
        <v>1</v>
      </c>
      <c r="AN2533" s="15" t="s">
        <v>4904</v>
      </c>
    </row>
    <row r="2534" spans="1:40" x14ac:dyDescent="0.3">
      <c r="A2534" s="10" t="str">
        <f>HYPERLINK("http://www.washoecounty.gov/assessor/cama/?parid=033-091-15&amp;CardNumber=1","033-091-15")</f>
        <v>033-091-15</v>
      </c>
      <c r="B2534" t="s">
        <v>4655</v>
      </c>
      <c r="C2534" t="s">
        <v>15542</v>
      </c>
      <c r="D2534" s="1">
        <v>40413</v>
      </c>
      <c r="E2534" s="2">
        <v>72500</v>
      </c>
      <c r="F2534" t="s">
        <v>4553</v>
      </c>
      <c r="G2534" s="17" t="str">
        <f>HYPERLINK("https://www.washoecounty.gov/assessor/cama/?command=sales&amp;parid=03309115","3914788")</f>
        <v>3914788</v>
      </c>
      <c r="H2534" t="s">
        <v>4817</v>
      </c>
      <c r="I2534">
        <v>1957</v>
      </c>
      <c r="J2534">
        <v>1957</v>
      </c>
      <c r="K2534" t="s">
        <v>4554</v>
      </c>
      <c r="L2534" t="s">
        <v>4555</v>
      </c>
      <c r="M2534" s="2">
        <v>1196</v>
      </c>
      <c r="N2534" t="s">
        <v>4556</v>
      </c>
      <c r="O2534">
        <v>4</v>
      </c>
      <c r="P2534">
        <v>1</v>
      </c>
      <c r="Q2534">
        <v>1</v>
      </c>
      <c r="R2534" t="s">
        <v>4557</v>
      </c>
      <c r="S2534" t="s">
        <v>4574</v>
      </c>
      <c r="T2534" t="s">
        <v>4559</v>
      </c>
      <c r="U2534" t="s">
        <v>4560</v>
      </c>
      <c r="V2534" s="2">
        <v>441</v>
      </c>
      <c r="W2534" t="s">
        <v>4655</v>
      </c>
      <c r="X2534" s="2">
        <v>0</v>
      </c>
      <c r="Y2534">
        <v>20</v>
      </c>
      <c r="Z2534" t="s">
        <v>5200</v>
      </c>
      <c r="AA2534" s="3">
        <v>0.15399448573589325</v>
      </c>
      <c r="AB2534" t="s">
        <v>15543</v>
      </c>
      <c r="AC2534" t="s">
        <v>4562</v>
      </c>
      <c r="AD2534" t="s">
        <v>15542</v>
      </c>
      <c r="AE2534" t="s">
        <v>4655</v>
      </c>
      <c r="AF2534" t="s">
        <v>5201</v>
      </c>
      <c r="AG2534" t="s">
        <v>4564</v>
      </c>
      <c r="AH2534" t="s">
        <v>5202</v>
      </c>
      <c r="AI2534" t="s">
        <v>15544</v>
      </c>
      <c r="AJ2534" t="s">
        <v>4655</v>
      </c>
      <c r="AK2534" t="s">
        <v>15545</v>
      </c>
      <c r="AL2534" s="13" t="s">
        <v>1886</v>
      </c>
      <c r="AM2534">
        <v>1</v>
      </c>
      <c r="AN2534" s="15" t="s">
        <v>4904</v>
      </c>
    </row>
    <row r="2535" spans="1:40" x14ac:dyDescent="0.3">
      <c r="A2535" s="10" t="str">
        <f>HYPERLINK("http://www.washoecounty.gov/assessor/cama/?parid=033-091-15&amp;CardNumber=1","033-091-15")</f>
        <v>033-091-15</v>
      </c>
      <c r="B2535" t="s">
        <v>4655</v>
      </c>
      <c r="C2535" t="s">
        <v>15542</v>
      </c>
      <c r="D2535" s="1">
        <v>40512</v>
      </c>
      <c r="E2535" s="2">
        <v>122500</v>
      </c>
      <c r="F2535" t="s">
        <v>4567</v>
      </c>
      <c r="G2535" s="17" t="str">
        <f>HYPERLINK("https://www.washoecounty.gov/assessor/cama/?command=sales&amp;parid=03309115","3948008")</f>
        <v>3948008</v>
      </c>
      <c r="H2535" t="s">
        <v>4817</v>
      </c>
      <c r="I2535">
        <v>1957</v>
      </c>
      <c r="J2535">
        <v>1957</v>
      </c>
      <c r="K2535" t="s">
        <v>4554</v>
      </c>
      <c r="L2535" t="s">
        <v>4555</v>
      </c>
      <c r="M2535" s="2">
        <v>1196</v>
      </c>
      <c r="N2535" t="s">
        <v>4556</v>
      </c>
      <c r="O2535">
        <v>4</v>
      </c>
      <c r="P2535">
        <v>1</v>
      </c>
      <c r="Q2535">
        <v>1</v>
      </c>
      <c r="R2535" t="s">
        <v>4557</v>
      </c>
      <c r="S2535" t="s">
        <v>4574</v>
      </c>
      <c r="T2535" t="s">
        <v>4559</v>
      </c>
      <c r="U2535" t="s">
        <v>4560</v>
      </c>
      <c r="V2535" s="2">
        <v>441</v>
      </c>
      <c r="W2535" t="s">
        <v>4655</v>
      </c>
      <c r="X2535" s="2">
        <v>0</v>
      </c>
      <c r="Y2535">
        <v>20</v>
      </c>
      <c r="Z2535" t="s">
        <v>5200</v>
      </c>
      <c r="AA2535" s="3">
        <v>0.15399448573589325</v>
      </c>
      <c r="AB2535" t="s">
        <v>15543</v>
      </c>
      <c r="AC2535" t="s">
        <v>4562</v>
      </c>
      <c r="AD2535" t="s">
        <v>15542</v>
      </c>
      <c r="AE2535" t="s">
        <v>4655</v>
      </c>
      <c r="AF2535" t="s">
        <v>5201</v>
      </c>
      <c r="AG2535" t="s">
        <v>4564</v>
      </c>
      <c r="AH2535" t="s">
        <v>5202</v>
      </c>
      <c r="AI2535" t="s">
        <v>15544</v>
      </c>
      <c r="AJ2535" t="s">
        <v>4655</v>
      </c>
      <c r="AK2535" t="s">
        <v>15545</v>
      </c>
      <c r="AL2535" s="13" t="s">
        <v>1886</v>
      </c>
      <c r="AM2535" s="14">
        <v>1</v>
      </c>
      <c r="AN2535" s="15" t="s">
        <v>4904</v>
      </c>
    </row>
    <row r="2536" spans="1:40" x14ac:dyDescent="0.3">
      <c r="A2536" s="10" t="str">
        <f>HYPERLINK("http://www.washoecounty.gov/assessor/cama/?parid=033-091-36&amp;CardNumber=1","033-091-36")</f>
        <v>033-091-36</v>
      </c>
      <c r="B2536" t="s">
        <v>4655</v>
      </c>
      <c r="C2536" t="s">
        <v>15546</v>
      </c>
      <c r="D2536" s="1">
        <v>40420</v>
      </c>
      <c r="E2536" s="2">
        <v>145000</v>
      </c>
      <c r="F2536" t="s">
        <v>4553</v>
      </c>
      <c r="G2536" s="17" t="str">
        <f>HYPERLINK("https://www.washoecounty.gov/assessor/cama/?command=sales&amp;parid=03309136","3916989")</f>
        <v>3916989</v>
      </c>
      <c r="H2536" t="s">
        <v>3237</v>
      </c>
      <c r="I2536">
        <v>1979</v>
      </c>
      <c r="J2536">
        <v>1979</v>
      </c>
      <c r="K2536" t="s">
        <v>4554</v>
      </c>
      <c r="L2536" t="s">
        <v>4555</v>
      </c>
      <c r="M2536" s="2">
        <v>1616</v>
      </c>
      <c r="N2536" t="s">
        <v>4048</v>
      </c>
      <c r="O2536">
        <v>3</v>
      </c>
      <c r="P2536">
        <v>2</v>
      </c>
      <c r="Q2536">
        <v>0</v>
      </c>
      <c r="R2536" t="s">
        <v>4557</v>
      </c>
      <c r="S2536" t="s">
        <v>4558</v>
      </c>
      <c r="T2536" t="s">
        <v>4559</v>
      </c>
      <c r="U2536" t="s">
        <v>4560</v>
      </c>
      <c r="V2536" s="2">
        <v>508</v>
      </c>
      <c r="W2536" t="s">
        <v>4655</v>
      </c>
      <c r="X2536" s="2">
        <v>0</v>
      </c>
      <c r="Y2536">
        <v>20</v>
      </c>
      <c r="Z2536" t="s">
        <v>5200</v>
      </c>
      <c r="AA2536" s="3">
        <v>0.13799357414245605</v>
      </c>
      <c r="AB2536" t="s">
        <v>15547</v>
      </c>
      <c r="AC2536" t="s">
        <v>4562</v>
      </c>
      <c r="AD2536" t="s">
        <v>15548</v>
      </c>
      <c r="AE2536" t="s">
        <v>4655</v>
      </c>
      <c r="AF2536" t="s">
        <v>4809</v>
      </c>
      <c r="AG2536" t="s">
        <v>4564</v>
      </c>
      <c r="AH2536" t="s">
        <v>5202</v>
      </c>
      <c r="AI2536" t="s">
        <v>15549</v>
      </c>
      <c r="AJ2536" t="s">
        <v>4655</v>
      </c>
      <c r="AK2536" t="s">
        <v>15550</v>
      </c>
      <c r="AL2536" s="13" t="s">
        <v>1886</v>
      </c>
      <c r="AM2536">
        <v>1</v>
      </c>
      <c r="AN2536" s="15" t="s">
        <v>4904</v>
      </c>
    </row>
    <row r="2537" spans="1:40" x14ac:dyDescent="0.3">
      <c r="A2537" s="10" t="str">
        <f>HYPERLINK("http://www.washoecounty.gov/assessor/cama/?parid=033-092-04&amp;CardNumber=1","033-092-04")</f>
        <v>033-092-04</v>
      </c>
      <c r="B2537" t="s">
        <v>4655</v>
      </c>
      <c r="C2537" t="s">
        <v>15551</v>
      </c>
      <c r="D2537" s="1">
        <v>40275</v>
      </c>
      <c r="E2537" s="2">
        <v>120000</v>
      </c>
      <c r="F2537" t="s">
        <v>4553</v>
      </c>
      <c r="G2537" s="17" t="str">
        <f>HYPERLINK("https://www.washoecounty.gov/assessor/cama/?command=sales&amp;parid=03309204","3868711")</f>
        <v>3868711</v>
      </c>
      <c r="H2537" t="s">
        <v>15552</v>
      </c>
      <c r="I2537">
        <v>1978</v>
      </c>
      <c r="J2537">
        <v>1978</v>
      </c>
      <c r="K2537" t="s">
        <v>4554</v>
      </c>
      <c r="L2537" t="s">
        <v>4555</v>
      </c>
      <c r="M2537" s="2">
        <v>1562</v>
      </c>
      <c r="N2537" t="s">
        <v>4048</v>
      </c>
      <c r="O2537">
        <v>3</v>
      </c>
      <c r="P2537">
        <v>2</v>
      </c>
      <c r="Q2537">
        <v>0</v>
      </c>
      <c r="R2537" t="s">
        <v>4557</v>
      </c>
      <c r="S2537" t="s">
        <v>4558</v>
      </c>
      <c r="T2537" t="s">
        <v>4559</v>
      </c>
      <c r="U2537" t="s">
        <v>4560</v>
      </c>
      <c r="V2537" s="2">
        <v>484</v>
      </c>
      <c r="W2537" t="s">
        <v>4655</v>
      </c>
      <c r="X2537" s="2">
        <v>0</v>
      </c>
      <c r="Y2537">
        <v>20</v>
      </c>
      <c r="Z2537" t="s">
        <v>5200</v>
      </c>
      <c r="AA2537" s="3">
        <v>0.20300734043121299</v>
      </c>
      <c r="AB2537" t="s">
        <v>15553</v>
      </c>
      <c r="AC2537" t="s">
        <v>4562</v>
      </c>
      <c r="AD2537" t="s">
        <v>15551</v>
      </c>
      <c r="AE2537" t="s">
        <v>4655</v>
      </c>
      <c r="AF2537" t="s">
        <v>4809</v>
      </c>
      <c r="AG2537" t="s">
        <v>4564</v>
      </c>
      <c r="AH2537" t="s">
        <v>5202</v>
      </c>
      <c r="AI2537" t="s">
        <v>4045</v>
      </c>
      <c r="AJ2537" t="s">
        <v>4655</v>
      </c>
      <c r="AK2537" t="s">
        <v>15554</v>
      </c>
      <c r="AL2537" s="13" t="s">
        <v>1886</v>
      </c>
      <c r="AM2537">
        <v>1</v>
      </c>
      <c r="AN2537" s="15" t="s">
        <v>4904</v>
      </c>
    </row>
    <row r="2538" spans="1:40" x14ac:dyDescent="0.3">
      <c r="A2538" s="10" t="str">
        <f>HYPERLINK("http://www.washoecounty.gov/assessor/cama/?parid=033-093-10&amp;CardNumber=1","033-093-10")</f>
        <v>033-093-10</v>
      </c>
      <c r="B2538" t="s">
        <v>4655</v>
      </c>
      <c r="C2538" t="s">
        <v>15555</v>
      </c>
      <c r="D2538" s="1">
        <v>40249</v>
      </c>
      <c r="E2538" s="2">
        <v>152000</v>
      </c>
      <c r="F2538" t="s">
        <v>4553</v>
      </c>
      <c r="G2538" s="17" t="str">
        <f>HYPERLINK("https://www.washoecounty.gov/assessor/cama/?command=sales&amp;parid=03309310","3859550")</f>
        <v>3859550</v>
      </c>
      <c r="H2538" t="s">
        <v>3237</v>
      </c>
      <c r="I2538">
        <v>1980</v>
      </c>
      <c r="J2538">
        <v>1980</v>
      </c>
      <c r="K2538" t="s">
        <v>4554</v>
      </c>
      <c r="L2538" t="s">
        <v>3886</v>
      </c>
      <c r="M2538" s="2">
        <v>1896</v>
      </c>
      <c r="N2538" t="s">
        <v>4048</v>
      </c>
      <c r="O2538">
        <v>4</v>
      </c>
      <c r="P2538">
        <v>2</v>
      </c>
      <c r="Q2538">
        <v>0</v>
      </c>
      <c r="R2538" t="s">
        <v>4557</v>
      </c>
      <c r="S2538" t="s">
        <v>4135</v>
      </c>
      <c r="T2538" t="s">
        <v>4559</v>
      </c>
      <c r="U2538" t="s">
        <v>4560</v>
      </c>
      <c r="V2538" s="2">
        <v>448</v>
      </c>
      <c r="W2538" t="s">
        <v>4655</v>
      </c>
      <c r="X2538" s="2">
        <v>0</v>
      </c>
      <c r="Y2538">
        <v>20</v>
      </c>
      <c r="Z2538" t="s">
        <v>5200</v>
      </c>
      <c r="AA2538" s="3">
        <v>0.16499081254005399</v>
      </c>
      <c r="AB2538" t="s">
        <v>15556</v>
      </c>
      <c r="AC2538" t="s">
        <v>4562</v>
      </c>
      <c r="AD2538" t="s">
        <v>15555</v>
      </c>
      <c r="AE2538" t="s">
        <v>4655</v>
      </c>
      <c r="AF2538" t="s">
        <v>5201</v>
      </c>
      <c r="AG2538" t="s">
        <v>4564</v>
      </c>
      <c r="AH2538" t="s">
        <v>5202</v>
      </c>
      <c r="AI2538" t="s">
        <v>4655</v>
      </c>
      <c r="AJ2538" t="s">
        <v>4655</v>
      </c>
      <c r="AK2538" t="s">
        <v>15557</v>
      </c>
      <c r="AL2538" s="13" t="s">
        <v>1886</v>
      </c>
      <c r="AM2538" s="14">
        <v>1</v>
      </c>
      <c r="AN2538" s="15" t="s">
        <v>4904</v>
      </c>
    </row>
    <row r="2539" spans="1:40" x14ac:dyDescent="0.3">
      <c r="A2539" s="10" t="str">
        <f>HYPERLINK("http://www.washoecounty.gov/assessor/cama/?parid=033-102-03&amp;CardNumber=1","033-102-03")</f>
        <v>033-102-03</v>
      </c>
      <c r="B2539" t="s">
        <v>4655</v>
      </c>
      <c r="C2539" t="s">
        <v>15558</v>
      </c>
      <c r="D2539" s="1">
        <v>40386</v>
      </c>
      <c r="E2539" s="2">
        <v>120000</v>
      </c>
      <c r="F2539" t="s">
        <v>4567</v>
      </c>
      <c r="G2539" s="17" t="str">
        <f>HYPERLINK("https://www.washoecounty.gov/assessor/cama/?command=sales&amp;parid=03310203","3905414")</f>
        <v>3905414</v>
      </c>
      <c r="H2539" t="s">
        <v>1280</v>
      </c>
      <c r="I2539">
        <v>1966</v>
      </c>
      <c r="J2539">
        <v>1966</v>
      </c>
      <c r="K2539" t="s">
        <v>4554</v>
      </c>
      <c r="L2539" t="s">
        <v>4555</v>
      </c>
      <c r="M2539" s="2">
        <v>1413</v>
      </c>
      <c r="N2539" t="s">
        <v>4048</v>
      </c>
      <c r="O2539">
        <v>3</v>
      </c>
      <c r="P2539">
        <v>2</v>
      </c>
      <c r="Q2539">
        <v>0</v>
      </c>
      <c r="R2539" t="s">
        <v>4557</v>
      </c>
      <c r="S2539" t="s">
        <v>4558</v>
      </c>
      <c r="T2539" t="s">
        <v>4559</v>
      </c>
      <c r="U2539" t="s">
        <v>4560</v>
      </c>
      <c r="V2539" s="2">
        <v>346</v>
      </c>
      <c r="W2539" t="s">
        <v>4655</v>
      </c>
      <c r="X2539" s="2">
        <v>0</v>
      </c>
      <c r="Y2539">
        <v>20</v>
      </c>
      <c r="Z2539" t="s">
        <v>5200</v>
      </c>
      <c r="AA2539" s="3">
        <v>0.151010096073151</v>
      </c>
      <c r="AB2539" t="s">
        <v>15559</v>
      </c>
      <c r="AC2539" t="s">
        <v>4562</v>
      </c>
      <c r="AD2539" t="s">
        <v>15560</v>
      </c>
      <c r="AE2539" t="s">
        <v>4655</v>
      </c>
      <c r="AF2539" t="s">
        <v>5201</v>
      </c>
      <c r="AG2539" t="s">
        <v>4564</v>
      </c>
      <c r="AH2539" t="s">
        <v>5202</v>
      </c>
      <c r="AI2539" t="s">
        <v>15561</v>
      </c>
      <c r="AJ2539" t="s">
        <v>4655</v>
      </c>
      <c r="AK2539" t="s">
        <v>15562</v>
      </c>
      <c r="AL2539" s="13" t="s">
        <v>1886</v>
      </c>
      <c r="AM2539">
        <v>1</v>
      </c>
      <c r="AN2539" s="15" t="s">
        <v>4904</v>
      </c>
    </row>
    <row r="2540" spans="1:40" x14ac:dyDescent="0.3">
      <c r="A2540" s="10" t="str">
        <f>HYPERLINK("http://www.washoecounty.gov/assessor/cama/?parid=033-102-13&amp;CardNumber=1","033-102-13")</f>
        <v>033-102-13</v>
      </c>
      <c r="B2540" t="s">
        <v>4655</v>
      </c>
      <c r="C2540" t="s">
        <v>15563</v>
      </c>
      <c r="D2540" s="1">
        <v>40254</v>
      </c>
      <c r="E2540" s="2">
        <v>123500</v>
      </c>
      <c r="F2540" t="s">
        <v>4567</v>
      </c>
      <c r="G2540" s="17" t="str">
        <f>HYPERLINK("https://www.washoecounty.gov/assessor/cama/?command=sales&amp;parid=03310213","3860579")</f>
        <v>3860579</v>
      </c>
      <c r="H2540" t="s">
        <v>1269</v>
      </c>
      <c r="I2540">
        <v>1966</v>
      </c>
      <c r="J2540">
        <v>1967</v>
      </c>
      <c r="K2540" t="s">
        <v>4554</v>
      </c>
      <c r="L2540" t="s">
        <v>4555</v>
      </c>
      <c r="M2540" s="2">
        <v>1157</v>
      </c>
      <c r="N2540" t="s">
        <v>4048</v>
      </c>
      <c r="O2540">
        <v>3</v>
      </c>
      <c r="P2540">
        <v>2</v>
      </c>
      <c r="Q2540">
        <v>0</v>
      </c>
      <c r="R2540" t="s">
        <v>4557</v>
      </c>
      <c r="S2540" t="s">
        <v>4135</v>
      </c>
      <c r="T2540" t="s">
        <v>4559</v>
      </c>
      <c r="U2540" t="s">
        <v>4560</v>
      </c>
      <c r="V2540" s="2">
        <v>598</v>
      </c>
      <c r="W2540" t="s">
        <v>4655</v>
      </c>
      <c r="X2540" s="2">
        <v>0</v>
      </c>
      <c r="Y2540">
        <v>20</v>
      </c>
      <c r="Z2540" t="s">
        <v>5200</v>
      </c>
      <c r="AA2540" s="3">
        <v>0.223989903926849</v>
      </c>
      <c r="AB2540" t="s">
        <v>15564</v>
      </c>
      <c r="AC2540" t="s">
        <v>4562</v>
      </c>
      <c r="AD2540" t="s">
        <v>15563</v>
      </c>
      <c r="AE2540" t="s">
        <v>4655</v>
      </c>
      <c r="AF2540" t="s">
        <v>5201</v>
      </c>
      <c r="AG2540" t="s">
        <v>4564</v>
      </c>
      <c r="AH2540" t="s">
        <v>5202</v>
      </c>
      <c r="AI2540" t="s">
        <v>15565</v>
      </c>
      <c r="AJ2540" t="s">
        <v>4655</v>
      </c>
      <c r="AK2540" t="s">
        <v>15566</v>
      </c>
      <c r="AL2540" s="13" t="s">
        <v>1886</v>
      </c>
      <c r="AM2540" s="14">
        <v>1</v>
      </c>
      <c r="AN2540" s="15" t="s">
        <v>4904</v>
      </c>
    </row>
    <row r="2541" spans="1:40" x14ac:dyDescent="0.3">
      <c r="A2541" s="10" t="str">
        <f>HYPERLINK("http://www.washoecounty.gov/assessor/cama/?parid=033-111-07&amp;CardNumber=1","033-111-07")</f>
        <v>033-111-07</v>
      </c>
      <c r="B2541" t="s">
        <v>4655</v>
      </c>
      <c r="C2541" t="s">
        <v>4371</v>
      </c>
      <c r="D2541" s="1">
        <v>40220</v>
      </c>
      <c r="E2541" s="2">
        <v>48900</v>
      </c>
      <c r="F2541" t="s">
        <v>4553</v>
      </c>
      <c r="G2541" s="17" t="str">
        <f>HYPERLINK("https://www.washoecounty.gov/assessor/cama/?command=sales&amp;parid=03311107","3848548")</f>
        <v>3848548</v>
      </c>
      <c r="H2541" t="s">
        <v>15506</v>
      </c>
      <c r="I2541">
        <v>1951</v>
      </c>
      <c r="J2541">
        <v>1951</v>
      </c>
      <c r="K2541" t="s">
        <v>4554</v>
      </c>
      <c r="L2541" t="s">
        <v>4555</v>
      </c>
      <c r="M2541" s="2">
        <v>900</v>
      </c>
      <c r="N2541" t="s">
        <v>4556</v>
      </c>
      <c r="O2541">
        <v>3</v>
      </c>
      <c r="P2541">
        <v>1</v>
      </c>
      <c r="Q2541">
        <v>0</v>
      </c>
      <c r="R2541" t="s">
        <v>4134</v>
      </c>
      <c r="S2541" t="s">
        <v>4570</v>
      </c>
      <c r="T2541" t="s">
        <v>4143</v>
      </c>
      <c r="U2541" t="s">
        <v>4560</v>
      </c>
      <c r="V2541" s="2">
        <v>300</v>
      </c>
      <c r="W2541" t="s">
        <v>4655</v>
      </c>
      <c r="X2541" s="2">
        <v>0</v>
      </c>
      <c r="Y2541">
        <v>20</v>
      </c>
      <c r="Z2541" t="s">
        <v>5200</v>
      </c>
      <c r="AA2541" s="3">
        <v>0.14600551128387501</v>
      </c>
      <c r="AB2541" t="s">
        <v>15567</v>
      </c>
      <c r="AC2541" t="s">
        <v>4562</v>
      </c>
      <c r="AD2541" t="s">
        <v>4371</v>
      </c>
      <c r="AE2541" t="s">
        <v>4655</v>
      </c>
      <c r="AF2541" t="s">
        <v>5201</v>
      </c>
      <c r="AG2541" t="s">
        <v>4564</v>
      </c>
      <c r="AH2541" t="s">
        <v>5202</v>
      </c>
      <c r="AI2541" t="s">
        <v>2271</v>
      </c>
      <c r="AJ2541" t="s">
        <v>4655</v>
      </c>
      <c r="AK2541" t="s">
        <v>15568</v>
      </c>
      <c r="AL2541" s="13" t="s">
        <v>1886</v>
      </c>
      <c r="AM2541" s="14">
        <v>1</v>
      </c>
      <c r="AN2541" s="15" t="s">
        <v>4904</v>
      </c>
    </row>
    <row r="2542" spans="1:40" x14ac:dyDescent="0.3">
      <c r="A2542" s="10" t="str">
        <f>HYPERLINK("http://www.washoecounty.gov/assessor/cama/?parid=033-111-07&amp;CardNumber=1","033-111-07")</f>
        <v>033-111-07</v>
      </c>
      <c r="B2542" t="s">
        <v>4655</v>
      </c>
      <c r="C2542" t="s">
        <v>4371</v>
      </c>
      <c r="D2542" s="1">
        <v>40359</v>
      </c>
      <c r="E2542" s="2">
        <v>110000</v>
      </c>
      <c r="F2542" t="s">
        <v>4567</v>
      </c>
      <c r="G2542" s="17" t="str">
        <f>HYPERLINK("https://www.washoecounty.gov/assessor/cama/?command=sales&amp;parid=03311107","3897459")</f>
        <v>3897459</v>
      </c>
      <c r="H2542" t="s">
        <v>15506</v>
      </c>
      <c r="I2542">
        <v>1951</v>
      </c>
      <c r="J2542">
        <v>1951</v>
      </c>
      <c r="K2542" t="s">
        <v>4554</v>
      </c>
      <c r="L2542" t="s">
        <v>4555</v>
      </c>
      <c r="M2542" s="2">
        <v>900</v>
      </c>
      <c r="N2542" t="s">
        <v>4556</v>
      </c>
      <c r="O2542">
        <v>3</v>
      </c>
      <c r="P2542">
        <v>1</v>
      </c>
      <c r="Q2542">
        <v>0</v>
      </c>
      <c r="R2542" t="s">
        <v>4134</v>
      </c>
      <c r="S2542" t="s">
        <v>4570</v>
      </c>
      <c r="T2542" t="s">
        <v>4143</v>
      </c>
      <c r="U2542" t="s">
        <v>4560</v>
      </c>
      <c r="V2542" s="2">
        <v>300</v>
      </c>
      <c r="W2542" t="s">
        <v>4655</v>
      </c>
      <c r="X2542" s="2">
        <v>0</v>
      </c>
      <c r="Y2542">
        <v>20</v>
      </c>
      <c r="Z2542" t="s">
        <v>5200</v>
      </c>
      <c r="AA2542" s="3">
        <v>0.14600551128387501</v>
      </c>
      <c r="AB2542" t="s">
        <v>15567</v>
      </c>
      <c r="AC2542" t="s">
        <v>4562</v>
      </c>
      <c r="AD2542" t="s">
        <v>4371</v>
      </c>
      <c r="AE2542" t="s">
        <v>4655</v>
      </c>
      <c r="AF2542" t="s">
        <v>5201</v>
      </c>
      <c r="AG2542" t="s">
        <v>4564</v>
      </c>
      <c r="AH2542" t="s">
        <v>5202</v>
      </c>
      <c r="AI2542" t="s">
        <v>2271</v>
      </c>
      <c r="AJ2542" t="s">
        <v>4655</v>
      </c>
      <c r="AK2542" t="s">
        <v>15568</v>
      </c>
      <c r="AL2542" s="13" t="s">
        <v>1886</v>
      </c>
      <c r="AM2542">
        <v>1</v>
      </c>
      <c r="AN2542" s="15" t="s">
        <v>4904</v>
      </c>
    </row>
    <row r="2543" spans="1:40" x14ac:dyDescent="0.3">
      <c r="A2543" s="10" t="str">
        <f>HYPERLINK("http://www.washoecounty.gov/assessor/cama/?parid=033-111-09&amp;CardNumber=1","033-111-09")</f>
        <v>033-111-09</v>
      </c>
      <c r="B2543" t="s">
        <v>4655</v>
      </c>
      <c r="C2543" t="s">
        <v>15569</v>
      </c>
      <c r="D2543" s="1">
        <v>40233</v>
      </c>
      <c r="E2543" s="2">
        <v>55000</v>
      </c>
      <c r="F2543" t="s">
        <v>4567</v>
      </c>
      <c r="G2543" s="17" t="str">
        <f>HYPERLINK("https://www.washoecounty.gov/assessor/cama/?command=sales&amp;parid=03311109","3852455")</f>
        <v>3852455</v>
      </c>
      <c r="H2543" t="s">
        <v>15506</v>
      </c>
      <c r="I2543">
        <v>1951</v>
      </c>
      <c r="J2543">
        <v>1951</v>
      </c>
      <c r="K2543" t="s">
        <v>4554</v>
      </c>
      <c r="L2543" t="s">
        <v>4555</v>
      </c>
      <c r="M2543" s="2">
        <v>900</v>
      </c>
      <c r="N2543" t="s">
        <v>4556</v>
      </c>
      <c r="O2543">
        <v>2</v>
      </c>
      <c r="P2543">
        <v>1</v>
      </c>
      <c r="Q2543">
        <v>0</v>
      </c>
      <c r="R2543" t="s">
        <v>4134</v>
      </c>
      <c r="S2543" t="s">
        <v>4570</v>
      </c>
      <c r="T2543" t="s">
        <v>4559</v>
      </c>
      <c r="U2543" t="s">
        <v>4655</v>
      </c>
      <c r="V2543" s="2">
        <v>0</v>
      </c>
      <c r="W2543" t="s">
        <v>4655</v>
      </c>
      <c r="X2543" s="2">
        <v>0</v>
      </c>
      <c r="Y2543">
        <v>20</v>
      </c>
      <c r="Z2543" t="s">
        <v>5200</v>
      </c>
      <c r="AA2543" s="3">
        <v>0.14600551128387501</v>
      </c>
      <c r="AB2543" t="s">
        <v>15570</v>
      </c>
      <c r="AC2543" t="s">
        <v>4562</v>
      </c>
      <c r="AD2543" t="s">
        <v>15569</v>
      </c>
      <c r="AE2543" t="s">
        <v>4655</v>
      </c>
      <c r="AF2543" t="s">
        <v>5201</v>
      </c>
      <c r="AG2543" t="s">
        <v>4564</v>
      </c>
      <c r="AH2543" t="s">
        <v>5202</v>
      </c>
      <c r="AI2543" t="s">
        <v>2859</v>
      </c>
      <c r="AJ2543" t="s">
        <v>4655</v>
      </c>
      <c r="AK2543" t="s">
        <v>15571</v>
      </c>
      <c r="AL2543" s="13" t="s">
        <v>1886</v>
      </c>
      <c r="AM2543">
        <v>1</v>
      </c>
      <c r="AN2543" s="15" t="s">
        <v>4904</v>
      </c>
    </row>
    <row r="2544" spans="1:40" x14ac:dyDescent="0.3">
      <c r="A2544" s="10" t="str">
        <f>HYPERLINK("http://www.washoecounty.gov/assessor/cama/?parid=033-111-09&amp;CardNumber=1","033-111-09")</f>
        <v>033-111-09</v>
      </c>
      <c r="B2544" t="s">
        <v>4655</v>
      </c>
      <c r="C2544" t="s">
        <v>15569</v>
      </c>
      <c r="D2544" s="1">
        <v>40326</v>
      </c>
      <c r="E2544" s="2">
        <v>119900</v>
      </c>
      <c r="F2544" t="s">
        <v>4567</v>
      </c>
      <c r="G2544" s="17" t="str">
        <f>HYPERLINK("https://www.washoecounty.gov/assessor/cama/?command=sales&amp;parid=03311109","3886462")</f>
        <v>3886462</v>
      </c>
      <c r="H2544" t="s">
        <v>15506</v>
      </c>
      <c r="I2544">
        <v>1951</v>
      </c>
      <c r="J2544">
        <v>1951</v>
      </c>
      <c r="K2544" t="s">
        <v>4554</v>
      </c>
      <c r="L2544" t="s">
        <v>4555</v>
      </c>
      <c r="M2544" s="2">
        <v>900</v>
      </c>
      <c r="N2544" t="s">
        <v>4556</v>
      </c>
      <c r="O2544">
        <v>2</v>
      </c>
      <c r="P2544">
        <v>1</v>
      </c>
      <c r="Q2544">
        <v>0</v>
      </c>
      <c r="R2544" t="s">
        <v>4134</v>
      </c>
      <c r="S2544" t="s">
        <v>4570</v>
      </c>
      <c r="T2544" t="s">
        <v>4559</v>
      </c>
      <c r="U2544" t="s">
        <v>4655</v>
      </c>
      <c r="V2544" s="2">
        <v>0</v>
      </c>
      <c r="W2544" t="s">
        <v>4655</v>
      </c>
      <c r="X2544" s="2">
        <v>0</v>
      </c>
      <c r="Y2544">
        <v>20</v>
      </c>
      <c r="Z2544" t="s">
        <v>5200</v>
      </c>
      <c r="AA2544" s="3">
        <v>0.14600551128387501</v>
      </c>
      <c r="AB2544" t="s">
        <v>15570</v>
      </c>
      <c r="AC2544" t="s">
        <v>4562</v>
      </c>
      <c r="AD2544" t="s">
        <v>15569</v>
      </c>
      <c r="AE2544" t="s">
        <v>4655</v>
      </c>
      <c r="AF2544" t="s">
        <v>5201</v>
      </c>
      <c r="AG2544" t="s">
        <v>4564</v>
      </c>
      <c r="AH2544" t="s">
        <v>5202</v>
      </c>
      <c r="AI2544" t="s">
        <v>2859</v>
      </c>
      <c r="AJ2544" t="s">
        <v>4655</v>
      </c>
      <c r="AK2544" t="s">
        <v>15571</v>
      </c>
      <c r="AL2544" s="13" t="s">
        <v>1886</v>
      </c>
      <c r="AM2544" s="14">
        <v>1</v>
      </c>
      <c r="AN2544" s="15" t="s">
        <v>4904</v>
      </c>
    </row>
    <row r="2545" spans="1:40" x14ac:dyDescent="0.3">
      <c r="A2545" s="10" t="str">
        <f>HYPERLINK("http://www.washoecounty.gov/assessor/cama/?parid=033-111-11&amp;CardNumber=1","033-111-11")</f>
        <v>033-111-11</v>
      </c>
      <c r="B2545" t="s">
        <v>4655</v>
      </c>
      <c r="C2545" t="s">
        <v>15572</v>
      </c>
      <c r="D2545" s="1">
        <v>40207</v>
      </c>
      <c r="E2545" s="2">
        <v>120000</v>
      </c>
      <c r="F2545" t="s">
        <v>4553</v>
      </c>
      <c r="G2545" s="17" t="str">
        <f>HYPERLINK("https://www.washoecounty.gov/assessor/cama/?command=sales&amp;parid=03311111","3844250")</f>
        <v>3844250</v>
      </c>
      <c r="H2545" t="s">
        <v>15506</v>
      </c>
      <c r="I2545">
        <v>1951</v>
      </c>
      <c r="J2545">
        <v>1957</v>
      </c>
      <c r="K2545" t="s">
        <v>4554</v>
      </c>
      <c r="L2545" t="s">
        <v>4555</v>
      </c>
      <c r="M2545" s="2">
        <v>1415</v>
      </c>
      <c r="N2545" t="s">
        <v>4556</v>
      </c>
      <c r="O2545">
        <v>4</v>
      </c>
      <c r="P2545">
        <v>2</v>
      </c>
      <c r="Q2545">
        <v>0</v>
      </c>
      <c r="R2545" t="s">
        <v>4134</v>
      </c>
      <c r="S2545" t="s">
        <v>4135</v>
      </c>
      <c r="T2545" t="s">
        <v>4559</v>
      </c>
      <c r="U2545" t="s">
        <v>4655</v>
      </c>
      <c r="V2545" s="2">
        <v>0</v>
      </c>
      <c r="W2545" t="s">
        <v>4655</v>
      </c>
      <c r="X2545" s="2">
        <v>0</v>
      </c>
      <c r="Y2545">
        <v>20</v>
      </c>
      <c r="Z2545" t="s">
        <v>5200</v>
      </c>
      <c r="AA2545" s="3">
        <v>0.14600551128387501</v>
      </c>
      <c r="AB2545" t="s">
        <v>15573</v>
      </c>
      <c r="AC2545" t="s">
        <v>4562</v>
      </c>
      <c r="AD2545" t="s">
        <v>15574</v>
      </c>
      <c r="AE2545" t="s">
        <v>4655</v>
      </c>
      <c r="AF2545" t="s">
        <v>4809</v>
      </c>
      <c r="AG2545" t="s">
        <v>4564</v>
      </c>
      <c r="AH2545" t="s">
        <v>5202</v>
      </c>
      <c r="AI2545" t="s">
        <v>4145</v>
      </c>
      <c r="AJ2545" t="s">
        <v>4655</v>
      </c>
      <c r="AK2545" t="s">
        <v>15575</v>
      </c>
      <c r="AL2545" s="13" t="s">
        <v>1886</v>
      </c>
      <c r="AM2545" s="14">
        <v>1</v>
      </c>
      <c r="AN2545" s="15" t="s">
        <v>4904</v>
      </c>
    </row>
    <row r="2546" spans="1:40" x14ac:dyDescent="0.3">
      <c r="A2546" s="10" t="str">
        <f>HYPERLINK("http://www.washoecounty.gov/assessor/cama/?parid=033-121-02&amp;CardNumber=1","033-121-02")</f>
        <v>033-121-02</v>
      </c>
      <c r="B2546" t="s">
        <v>4655</v>
      </c>
      <c r="C2546" t="s">
        <v>15576</v>
      </c>
      <c r="D2546" s="1">
        <v>40542</v>
      </c>
      <c r="E2546" s="2">
        <v>98000</v>
      </c>
      <c r="F2546" t="s">
        <v>4553</v>
      </c>
      <c r="G2546" s="17" t="str">
        <f>HYPERLINK("https://www.washoecounty.gov/assessor/cama/?command=sales&amp;parid=03312102","3959381")</f>
        <v>3959381</v>
      </c>
      <c r="H2546" t="s">
        <v>3800</v>
      </c>
      <c r="I2546">
        <v>1953</v>
      </c>
      <c r="J2546">
        <v>1953</v>
      </c>
      <c r="K2546" t="s">
        <v>4554</v>
      </c>
      <c r="L2546" t="s">
        <v>4555</v>
      </c>
      <c r="M2546" s="2">
        <v>973</v>
      </c>
      <c r="N2546" t="s">
        <v>4556</v>
      </c>
      <c r="O2546">
        <v>3</v>
      </c>
      <c r="P2546">
        <v>1</v>
      </c>
      <c r="Q2546">
        <v>0</v>
      </c>
      <c r="R2546" t="s">
        <v>4134</v>
      </c>
      <c r="S2546" t="s">
        <v>4558</v>
      </c>
      <c r="T2546" t="s">
        <v>4559</v>
      </c>
      <c r="U2546" t="s">
        <v>4560</v>
      </c>
      <c r="V2546" s="2">
        <v>312</v>
      </c>
      <c r="W2546" t="s">
        <v>4655</v>
      </c>
      <c r="X2546" s="2">
        <v>0</v>
      </c>
      <c r="Y2546">
        <v>20</v>
      </c>
      <c r="Z2546" t="s">
        <v>5200</v>
      </c>
      <c r="AA2546" s="3">
        <v>0.146992653608322</v>
      </c>
      <c r="AB2546" t="s">
        <v>15577</v>
      </c>
      <c r="AC2546" t="s">
        <v>4562</v>
      </c>
      <c r="AD2546" t="s">
        <v>15576</v>
      </c>
      <c r="AE2546" t="s">
        <v>4655</v>
      </c>
      <c r="AF2546" t="s">
        <v>5201</v>
      </c>
      <c r="AG2546" t="s">
        <v>4564</v>
      </c>
      <c r="AH2546" t="s">
        <v>5202</v>
      </c>
      <c r="AI2546" t="s">
        <v>4903</v>
      </c>
      <c r="AJ2546" t="s">
        <v>4655</v>
      </c>
      <c r="AK2546" t="s">
        <v>15578</v>
      </c>
      <c r="AL2546" s="13" t="s">
        <v>3425</v>
      </c>
      <c r="AM2546">
        <v>1</v>
      </c>
      <c r="AN2546" s="15" t="s">
        <v>4904</v>
      </c>
    </row>
    <row r="2547" spans="1:40" x14ac:dyDescent="0.3">
      <c r="A2547" s="10" t="str">
        <f>HYPERLINK("http://www.washoecounty.gov/assessor/cama/?parid=033-122-20&amp;CardNumber=1","033-122-20")</f>
        <v>033-122-20</v>
      </c>
      <c r="B2547" t="s">
        <v>4655</v>
      </c>
      <c r="C2547" t="s">
        <v>15579</v>
      </c>
      <c r="D2547" s="1">
        <v>40308</v>
      </c>
      <c r="E2547" s="2">
        <v>63000</v>
      </c>
      <c r="F2547" t="s">
        <v>4553</v>
      </c>
      <c r="G2547" s="17" t="str">
        <f>HYPERLINK("https://www.washoecounty.gov/assessor/cama/?command=sales&amp;parid=03312220","3879591")</f>
        <v>3879591</v>
      </c>
      <c r="H2547" t="s">
        <v>4810</v>
      </c>
      <c r="I2547">
        <v>1948</v>
      </c>
      <c r="J2547">
        <v>1949</v>
      </c>
      <c r="K2547" t="s">
        <v>4554</v>
      </c>
      <c r="L2547" t="s">
        <v>4555</v>
      </c>
      <c r="M2547" s="2">
        <v>830</v>
      </c>
      <c r="N2547" t="s">
        <v>4556</v>
      </c>
      <c r="O2547">
        <v>3</v>
      </c>
      <c r="P2547">
        <v>1</v>
      </c>
      <c r="Q2547">
        <v>0</v>
      </c>
      <c r="R2547" t="s">
        <v>4134</v>
      </c>
      <c r="S2547" t="s">
        <v>4135</v>
      </c>
      <c r="T2547" t="s">
        <v>4559</v>
      </c>
      <c r="U2547" t="s">
        <v>4655</v>
      </c>
      <c r="V2547" s="2">
        <v>0</v>
      </c>
      <c r="W2547" t="s">
        <v>4655</v>
      </c>
      <c r="X2547" s="2">
        <v>0</v>
      </c>
      <c r="Y2547">
        <v>20</v>
      </c>
      <c r="Z2547" t="s">
        <v>5200</v>
      </c>
      <c r="AA2547" s="3">
        <v>0.19100092351436601</v>
      </c>
      <c r="AB2547" t="s">
        <v>15580</v>
      </c>
      <c r="AC2547" t="s">
        <v>4575</v>
      </c>
      <c r="AD2547" t="s">
        <v>15579</v>
      </c>
      <c r="AE2547" t="s">
        <v>4655</v>
      </c>
      <c r="AF2547" t="s">
        <v>5201</v>
      </c>
      <c r="AG2547" t="s">
        <v>4564</v>
      </c>
      <c r="AH2547" t="s">
        <v>5202</v>
      </c>
      <c r="AI2547" t="s">
        <v>1149</v>
      </c>
      <c r="AJ2547" t="s">
        <v>4655</v>
      </c>
      <c r="AK2547" t="s">
        <v>15581</v>
      </c>
      <c r="AL2547" s="13" t="s">
        <v>1886</v>
      </c>
      <c r="AM2547" s="14">
        <v>1</v>
      </c>
      <c r="AN2547" s="15" t="s">
        <v>4904</v>
      </c>
    </row>
    <row r="2548" spans="1:40" x14ac:dyDescent="0.3">
      <c r="A2548" s="10" t="str">
        <f>HYPERLINK("http://www.washoecounty.gov/assessor/cama/?parid=033-122-23&amp;CardNumber=1","033-122-23")</f>
        <v>033-122-23</v>
      </c>
      <c r="B2548" t="s">
        <v>4655</v>
      </c>
      <c r="C2548" t="s">
        <v>15582</v>
      </c>
      <c r="D2548" s="1">
        <v>40311</v>
      </c>
      <c r="E2548" s="2">
        <v>130000</v>
      </c>
      <c r="F2548" t="s">
        <v>4567</v>
      </c>
      <c r="G2548" s="17" t="str">
        <f>HYPERLINK("https://www.washoecounty.gov/assessor/cama/?command=sales&amp;parid=03312223","3881238")</f>
        <v>3881238</v>
      </c>
      <c r="H2548" t="s">
        <v>4810</v>
      </c>
      <c r="I2548">
        <v>1949</v>
      </c>
      <c r="J2548">
        <v>1950</v>
      </c>
      <c r="K2548" t="s">
        <v>4554</v>
      </c>
      <c r="L2548" t="s">
        <v>4555</v>
      </c>
      <c r="M2548" s="2">
        <v>885</v>
      </c>
      <c r="N2548" t="s">
        <v>4556</v>
      </c>
      <c r="O2548">
        <v>3</v>
      </c>
      <c r="P2548">
        <v>1</v>
      </c>
      <c r="Q2548">
        <v>1</v>
      </c>
      <c r="R2548" t="s">
        <v>4557</v>
      </c>
      <c r="S2548" t="s">
        <v>4135</v>
      </c>
      <c r="T2548" t="s">
        <v>4559</v>
      </c>
      <c r="U2548" t="s">
        <v>4655</v>
      </c>
      <c r="V2548" s="2">
        <v>0</v>
      </c>
      <c r="W2548" t="s">
        <v>4655</v>
      </c>
      <c r="X2548" s="2">
        <v>0</v>
      </c>
      <c r="Y2548">
        <v>20</v>
      </c>
      <c r="Z2548" t="s">
        <v>5200</v>
      </c>
      <c r="AA2548" s="3">
        <v>0.15199723839759827</v>
      </c>
      <c r="AB2548" t="s">
        <v>15583</v>
      </c>
      <c r="AC2548" t="s">
        <v>4575</v>
      </c>
      <c r="AD2548" t="s">
        <v>15582</v>
      </c>
      <c r="AE2548" t="s">
        <v>4655</v>
      </c>
      <c r="AF2548" t="s">
        <v>5201</v>
      </c>
      <c r="AG2548" t="s">
        <v>4564</v>
      </c>
      <c r="AH2548" t="s">
        <v>5202</v>
      </c>
      <c r="AI2548" t="s">
        <v>15584</v>
      </c>
      <c r="AJ2548" t="s">
        <v>4655</v>
      </c>
      <c r="AK2548" t="s">
        <v>15585</v>
      </c>
      <c r="AL2548" s="13" t="s">
        <v>1886</v>
      </c>
      <c r="AM2548" s="14">
        <v>1</v>
      </c>
      <c r="AN2548" s="15" t="s">
        <v>4904</v>
      </c>
    </row>
    <row r="2549" spans="1:40" x14ac:dyDescent="0.3">
      <c r="A2549" s="10" t="str">
        <f>HYPERLINK("http://www.washoecounty.gov/assessor/cama/?parid=033-122-26&amp;CardNumber=1","033-122-26")</f>
        <v>033-122-26</v>
      </c>
      <c r="B2549" t="s">
        <v>4655</v>
      </c>
      <c r="C2549" t="s">
        <v>15586</v>
      </c>
      <c r="D2549" s="1">
        <v>40359</v>
      </c>
      <c r="E2549" s="2">
        <v>129000</v>
      </c>
      <c r="F2549" t="s">
        <v>4567</v>
      </c>
      <c r="G2549" s="17" t="str">
        <f>HYPERLINK("https://www.washoecounty.gov/assessor/cama/?command=sales&amp;parid=03312226","3897312")</f>
        <v>3897312</v>
      </c>
      <c r="H2549" t="s">
        <v>4810</v>
      </c>
      <c r="I2549">
        <v>1951</v>
      </c>
      <c r="J2549">
        <v>1951</v>
      </c>
      <c r="K2549" t="s">
        <v>4554</v>
      </c>
      <c r="L2549" t="s">
        <v>3886</v>
      </c>
      <c r="M2549" s="2">
        <v>1686</v>
      </c>
      <c r="N2549" t="s">
        <v>4556</v>
      </c>
      <c r="O2549">
        <v>3</v>
      </c>
      <c r="P2549">
        <v>1</v>
      </c>
      <c r="Q2549">
        <v>1</v>
      </c>
      <c r="R2549" t="s">
        <v>4557</v>
      </c>
      <c r="S2549" t="s">
        <v>4135</v>
      </c>
      <c r="T2549" t="s">
        <v>4559</v>
      </c>
      <c r="U2549" t="s">
        <v>4560</v>
      </c>
      <c r="V2549" s="2">
        <v>345</v>
      </c>
      <c r="W2549" t="s">
        <v>4655</v>
      </c>
      <c r="X2549" s="2">
        <v>0</v>
      </c>
      <c r="Y2549">
        <v>20</v>
      </c>
      <c r="Z2549" t="s">
        <v>5200</v>
      </c>
      <c r="AA2549" s="3">
        <v>0.15199723839759827</v>
      </c>
      <c r="AB2549" t="s">
        <v>15587</v>
      </c>
      <c r="AC2549" t="s">
        <v>4575</v>
      </c>
      <c r="AD2549" t="s">
        <v>15586</v>
      </c>
      <c r="AE2549" t="s">
        <v>4655</v>
      </c>
      <c r="AF2549" t="s">
        <v>5201</v>
      </c>
      <c r="AG2549" t="s">
        <v>4564</v>
      </c>
      <c r="AH2549" t="s">
        <v>5202</v>
      </c>
      <c r="AI2549" t="s">
        <v>15588</v>
      </c>
      <c r="AJ2549" t="s">
        <v>4655</v>
      </c>
      <c r="AK2549" t="s">
        <v>15589</v>
      </c>
      <c r="AL2549" s="13" t="s">
        <v>3425</v>
      </c>
      <c r="AM2549" s="14">
        <v>1</v>
      </c>
      <c r="AN2549" s="15" t="s">
        <v>4904</v>
      </c>
    </row>
    <row r="2550" spans="1:40" x14ac:dyDescent="0.3">
      <c r="A2550" s="10" t="str">
        <f>HYPERLINK("http://www.washoecounty.gov/assessor/cama/?parid=033-123-05&amp;CardNumber=1","033-123-05")</f>
        <v>033-123-05</v>
      </c>
      <c r="B2550" t="s">
        <v>4655</v>
      </c>
      <c r="C2550" t="s">
        <v>15590</v>
      </c>
      <c r="D2550" s="1">
        <v>40359</v>
      </c>
      <c r="E2550" s="2">
        <v>103000</v>
      </c>
      <c r="F2550" t="s">
        <v>4553</v>
      </c>
      <c r="G2550" s="17" t="str">
        <f>HYPERLINK("https://www.washoecounty.gov/assessor/cama/?command=sales&amp;parid=03312305","3896944")</f>
        <v>3896944</v>
      </c>
      <c r="H2550" t="s">
        <v>15591</v>
      </c>
      <c r="I2550">
        <v>1949</v>
      </c>
      <c r="J2550">
        <v>1949</v>
      </c>
      <c r="K2550" t="s">
        <v>4554</v>
      </c>
      <c r="L2550" t="s">
        <v>4555</v>
      </c>
      <c r="M2550" s="2">
        <v>875</v>
      </c>
      <c r="N2550" t="s">
        <v>4556</v>
      </c>
      <c r="O2550">
        <v>3</v>
      </c>
      <c r="P2550">
        <v>2</v>
      </c>
      <c r="Q2550">
        <v>0</v>
      </c>
      <c r="R2550" t="s">
        <v>4134</v>
      </c>
      <c r="S2550" t="s">
        <v>4135</v>
      </c>
      <c r="T2550" t="s">
        <v>4559</v>
      </c>
      <c r="U2550" t="s">
        <v>4655</v>
      </c>
      <c r="V2550" s="2">
        <v>0</v>
      </c>
      <c r="W2550" t="s">
        <v>4655</v>
      </c>
      <c r="X2550" s="2">
        <v>0</v>
      </c>
      <c r="Y2550">
        <v>20</v>
      </c>
      <c r="Z2550" t="s">
        <v>5200</v>
      </c>
      <c r="AA2550" s="3">
        <v>0.13999082148075101</v>
      </c>
      <c r="AB2550" t="s">
        <v>15592</v>
      </c>
      <c r="AC2550" t="s">
        <v>4562</v>
      </c>
      <c r="AD2550" t="s">
        <v>15590</v>
      </c>
      <c r="AE2550" t="s">
        <v>4655</v>
      </c>
      <c r="AF2550" t="s">
        <v>5201</v>
      </c>
      <c r="AG2550" t="s">
        <v>4564</v>
      </c>
      <c r="AH2550" t="s">
        <v>5202</v>
      </c>
      <c r="AI2550" t="s">
        <v>1922</v>
      </c>
      <c r="AJ2550" t="s">
        <v>4655</v>
      </c>
      <c r="AK2550" t="s">
        <v>15593</v>
      </c>
      <c r="AL2550" s="13" t="s">
        <v>3425</v>
      </c>
      <c r="AM2550">
        <v>1</v>
      </c>
      <c r="AN2550" s="15" t="s">
        <v>4904</v>
      </c>
    </row>
    <row r="2551" spans="1:40" x14ac:dyDescent="0.3">
      <c r="A2551" s="10" t="str">
        <f>HYPERLINK("http://www.washoecounty.gov/assessor/cama/?parid=033-133-24&amp;CardNumber=1","033-133-24")</f>
        <v>033-133-24</v>
      </c>
      <c r="B2551" t="s">
        <v>4655</v>
      </c>
      <c r="C2551" t="s">
        <v>15594</v>
      </c>
      <c r="D2551" s="1">
        <v>40476</v>
      </c>
      <c r="E2551" s="2">
        <v>60000</v>
      </c>
      <c r="F2551" t="s">
        <v>4553</v>
      </c>
      <c r="G2551" s="17" t="str">
        <f>HYPERLINK("https://www.washoecounty.gov/assessor/cama/?command=sales&amp;parid=03313324","3936301")</f>
        <v>3936301</v>
      </c>
      <c r="H2551" t="s">
        <v>1408</v>
      </c>
      <c r="I2551">
        <v>1957</v>
      </c>
      <c r="J2551">
        <v>1957</v>
      </c>
      <c r="K2551" t="s">
        <v>4554</v>
      </c>
      <c r="L2551" t="s">
        <v>4555</v>
      </c>
      <c r="M2551" s="2">
        <v>1092</v>
      </c>
      <c r="N2551" t="s">
        <v>4556</v>
      </c>
      <c r="O2551">
        <v>3</v>
      </c>
      <c r="P2551">
        <v>1</v>
      </c>
      <c r="Q2551">
        <v>0</v>
      </c>
      <c r="R2551" t="s">
        <v>4557</v>
      </c>
      <c r="S2551" t="s">
        <v>4135</v>
      </c>
      <c r="T2551" t="s">
        <v>4559</v>
      </c>
      <c r="U2551" t="s">
        <v>4560</v>
      </c>
      <c r="V2551" s="2">
        <v>300</v>
      </c>
      <c r="W2551" t="s">
        <v>4655</v>
      </c>
      <c r="X2551" s="2">
        <v>0</v>
      </c>
      <c r="Y2551">
        <v>20</v>
      </c>
      <c r="Z2551" t="s">
        <v>5200</v>
      </c>
      <c r="AA2551" s="3">
        <v>0.17899449169635773</v>
      </c>
      <c r="AB2551" t="s">
        <v>15595</v>
      </c>
      <c r="AC2551" t="s">
        <v>4562</v>
      </c>
      <c r="AD2551" t="s">
        <v>1409</v>
      </c>
      <c r="AE2551" t="s">
        <v>4655</v>
      </c>
      <c r="AF2551" t="s">
        <v>5201</v>
      </c>
      <c r="AG2551" t="s">
        <v>4564</v>
      </c>
      <c r="AH2551" t="s">
        <v>5202</v>
      </c>
      <c r="AI2551" t="s">
        <v>4655</v>
      </c>
      <c r="AJ2551" t="s">
        <v>4655</v>
      </c>
      <c r="AK2551" t="s">
        <v>15596</v>
      </c>
      <c r="AL2551" s="13" t="s">
        <v>1886</v>
      </c>
      <c r="AM2551">
        <v>1</v>
      </c>
      <c r="AN2551" s="15" t="s">
        <v>4904</v>
      </c>
    </row>
    <row r="2552" spans="1:40" x14ac:dyDescent="0.3">
      <c r="A2552" s="10" t="str">
        <f>HYPERLINK("http://www.washoecounty.gov/assessor/cama/?parid=033-141-37&amp;CardNumber=1","033-141-37")</f>
        <v>033-141-37</v>
      </c>
      <c r="B2552" t="s">
        <v>4655</v>
      </c>
      <c r="C2552" t="s">
        <v>15597</v>
      </c>
      <c r="D2552" s="1">
        <v>40413</v>
      </c>
      <c r="E2552" s="2">
        <v>80000</v>
      </c>
      <c r="F2552" t="s">
        <v>4567</v>
      </c>
      <c r="G2552" s="17" t="str">
        <f>HYPERLINK("https://www.washoecounty.gov/assessor/cama/?command=sales&amp;parid=03314137","3914758")</f>
        <v>3914758</v>
      </c>
      <c r="H2552" t="s">
        <v>15598</v>
      </c>
      <c r="I2552">
        <v>1957</v>
      </c>
      <c r="J2552">
        <v>1957</v>
      </c>
      <c r="K2552" t="s">
        <v>4554</v>
      </c>
      <c r="L2552" t="s">
        <v>4555</v>
      </c>
      <c r="M2552" s="2">
        <v>1196</v>
      </c>
      <c r="N2552" t="s">
        <v>4556</v>
      </c>
      <c r="O2552">
        <v>4</v>
      </c>
      <c r="P2552">
        <v>1</v>
      </c>
      <c r="Q2552">
        <v>1</v>
      </c>
      <c r="R2552" t="s">
        <v>4557</v>
      </c>
      <c r="S2552" t="s">
        <v>4574</v>
      </c>
      <c r="T2552" t="s">
        <v>4559</v>
      </c>
      <c r="U2552" t="s">
        <v>4560</v>
      </c>
      <c r="V2552" s="2">
        <v>441</v>
      </c>
      <c r="W2552" t="s">
        <v>4655</v>
      </c>
      <c r="X2552" s="2">
        <v>0</v>
      </c>
      <c r="Y2552">
        <v>20</v>
      </c>
      <c r="Z2552" t="s">
        <v>5200</v>
      </c>
      <c r="AA2552" s="3">
        <v>0.17630854249000499</v>
      </c>
      <c r="AB2552" t="s">
        <v>15599</v>
      </c>
      <c r="AC2552" t="s">
        <v>4562</v>
      </c>
      <c r="AD2552" t="s">
        <v>15597</v>
      </c>
      <c r="AE2552" t="s">
        <v>4655</v>
      </c>
      <c r="AF2552" t="s">
        <v>5201</v>
      </c>
      <c r="AG2552" t="s">
        <v>4564</v>
      </c>
      <c r="AH2552" t="s">
        <v>5202</v>
      </c>
      <c r="AI2552" t="s">
        <v>4655</v>
      </c>
      <c r="AJ2552" t="s">
        <v>4655</v>
      </c>
      <c r="AK2552" t="s">
        <v>15600</v>
      </c>
      <c r="AL2552" s="13" t="s">
        <v>1886</v>
      </c>
      <c r="AM2552">
        <v>1</v>
      </c>
      <c r="AN2552" s="15" t="s">
        <v>4904</v>
      </c>
    </row>
    <row r="2553" spans="1:40" x14ac:dyDescent="0.3">
      <c r="A2553" s="10" t="str">
        <f>HYPERLINK("http://www.washoecounty.gov/assessor/cama/?parid=033-152-09&amp;CardNumber=1","033-152-09")</f>
        <v>033-152-09</v>
      </c>
      <c r="B2553" t="s">
        <v>4655</v>
      </c>
      <c r="C2553" t="s">
        <v>15601</v>
      </c>
      <c r="D2553" s="1">
        <v>40501</v>
      </c>
      <c r="E2553" s="2">
        <v>1050000</v>
      </c>
      <c r="F2553" t="s">
        <v>4201</v>
      </c>
      <c r="G2553" s="17" t="str">
        <f>HYPERLINK("https://www.washoecounty.gov/assessor/cama/?command=sales&amp;parid=03315209","3945039")</f>
        <v>3945039</v>
      </c>
      <c r="H2553" t="s">
        <v>15602</v>
      </c>
      <c r="I2553">
        <v>1994</v>
      </c>
      <c r="J2553">
        <v>1994</v>
      </c>
      <c r="K2553" t="s">
        <v>5412</v>
      </c>
      <c r="L2553" t="s">
        <v>1366</v>
      </c>
      <c r="M2553" s="2">
        <v>1401</v>
      </c>
      <c r="N2553" t="s">
        <v>1431</v>
      </c>
      <c r="O2553">
        <v>0</v>
      </c>
      <c r="P2553">
        <v>0</v>
      </c>
      <c r="Q2553">
        <v>0</v>
      </c>
      <c r="R2553" t="s">
        <v>1395</v>
      </c>
      <c r="S2553" t="s">
        <v>1819</v>
      </c>
      <c r="T2553" t="s">
        <v>4655</v>
      </c>
      <c r="U2553" t="s">
        <v>4655</v>
      </c>
      <c r="V2553" s="2">
        <v>0</v>
      </c>
      <c r="W2553" t="s">
        <v>3041</v>
      </c>
      <c r="X2553" s="2">
        <v>1008</v>
      </c>
      <c r="Y2553">
        <v>40</v>
      </c>
      <c r="Z2553" t="s">
        <v>2081</v>
      </c>
      <c r="AA2553" s="3">
        <v>0.41600093245506298</v>
      </c>
      <c r="AB2553" t="s">
        <v>15603</v>
      </c>
      <c r="AC2553" t="s">
        <v>4562</v>
      </c>
      <c r="AD2553" t="s">
        <v>15604</v>
      </c>
      <c r="AE2553" t="s">
        <v>4655</v>
      </c>
      <c r="AF2553" t="s">
        <v>2108</v>
      </c>
      <c r="AG2553" t="s">
        <v>2109</v>
      </c>
      <c r="AH2553" t="s">
        <v>5510</v>
      </c>
      <c r="AI2553" t="s">
        <v>15605</v>
      </c>
      <c r="AJ2553" t="s">
        <v>4655</v>
      </c>
      <c r="AK2553" t="s">
        <v>15606</v>
      </c>
      <c r="AL2553" s="13" t="s">
        <v>1886</v>
      </c>
      <c r="AM2553">
        <v>1</v>
      </c>
      <c r="AN2553" s="15" t="s">
        <v>15607</v>
      </c>
    </row>
    <row r="2554" spans="1:40" x14ac:dyDescent="0.3">
      <c r="A2554" s="10" t="str">
        <f>HYPERLINK("http://www.washoecounty.gov/assessor/cama/?parid=033-152-15&amp;CardNumber=1","033-152-15")</f>
        <v>033-152-15</v>
      </c>
      <c r="B2554" t="s">
        <v>5502</v>
      </c>
      <c r="C2554" t="s">
        <v>15608</v>
      </c>
      <c r="D2554" s="1">
        <v>40234</v>
      </c>
      <c r="E2554" s="2">
        <v>2100000</v>
      </c>
      <c r="F2554" t="s">
        <v>4201</v>
      </c>
      <c r="G2554" s="17" t="str">
        <f>HYPERLINK("https://www.washoecounty.gov/assessor/cama/?command=sales&amp;parid=03315215","3852761")</f>
        <v>3852761</v>
      </c>
      <c r="H2554" t="s">
        <v>15609</v>
      </c>
      <c r="I2554">
        <v>1990</v>
      </c>
      <c r="J2554">
        <v>1990</v>
      </c>
      <c r="K2554" t="s">
        <v>2860</v>
      </c>
      <c r="L2554" t="s">
        <v>1366</v>
      </c>
      <c r="M2554" s="2">
        <v>7500</v>
      </c>
      <c r="N2554" t="s">
        <v>1367</v>
      </c>
      <c r="O2554">
        <v>0</v>
      </c>
      <c r="P2554">
        <v>0</v>
      </c>
      <c r="Q2554">
        <v>0</v>
      </c>
      <c r="R2554" t="s">
        <v>2861</v>
      </c>
      <c r="S2554" t="s">
        <v>1819</v>
      </c>
      <c r="T2554" t="s">
        <v>4655</v>
      </c>
      <c r="U2554" t="s">
        <v>4655</v>
      </c>
      <c r="V2554" s="2">
        <v>0</v>
      </c>
      <c r="W2554" t="s">
        <v>4655</v>
      </c>
      <c r="X2554" s="2">
        <v>0</v>
      </c>
      <c r="Y2554">
        <v>51</v>
      </c>
      <c r="Z2554" t="s">
        <v>2081</v>
      </c>
      <c r="AA2554" s="3">
        <v>2.35199999809265</v>
      </c>
      <c r="AB2554" t="s">
        <v>15610</v>
      </c>
      <c r="AC2554" t="s">
        <v>4562</v>
      </c>
      <c r="AD2554" t="s">
        <v>15611</v>
      </c>
      <c r="AE2554" t="s">
        <v>4655</v>
      </c>
      <c r="AF2554" t="s">
        <v>15612</v>
      </c>
      <c r="AG2554" t="s">
        <v>1539</v>
      </c>
      <c r="AH2554" t="s">
        <v>15613</v>
      </c>
      <c r="AI2554" t="s">
        <v>15614</v>
      </c>
      <c r="AJ2554" t="s">
        <v>4655</v>
      </c>
      <c r="AK2554" t="s">
        <v>15615</v>
      </c>
      <c r="AL2554" s="13" t="s">
        <v>1886</v>
      </c>
      <c r="AM2554" s="14">
        <v>7</v>
      </c>
      <c r="AN2554" s="15" t="s">
        <v>15607</v>
      </c>
    </row>
    <row r="2555" spans="1:40" x14ac:dyDescent="0.3">
      <c r="A2555" s="10" t="str">
        <f>HYPERLINK("http://www.washoecounty.gov/assessor/cama/?parid=033-165-18&amp;CardNumber=1","033-165-18")</f>
        <v>033-165-18</v>
      </c>
      <c r="B2555" t="s">
        <v>4655</v>
      </c>
      <c r="C2555" t="s">
        <v>15616</v>
      </c>
      <c r="D2555" s="1">
        <v>40317</v>
      </c>
      <c r="E2555" s="2">
        <v>109000</v>
      </c>
      <c r="F2555" t="s">
        <v>4553</v>
      </c>
      <c r="G2555" s="17" t="str">
        <f>HYPERLINK("https://www.washoecounty.gov/assessor/cama/?command=sales&amp;parid=03316518","3882966")</f>
        <v>3882966</v>
      </c>
      <c r="H2555" t="s">
        <v>4810</v>
      </c>
      <c r="I2555">
        <v>1947</v>
      </c>
      <c r="J2555">
        <v>1954</v>
      </c>
      <c r="K2555" t="s">
        <v>4554</v>
      </c>
      <c r="L2555" t="s">
        <v>4555</v>
      </c>
      <c r="M2555" s="2">
        <v>1456</v>
      </c>
      <c r="N2555" t="s">
        <v>4556</v>
      </c>
      <c r="O2555">
        <v>3</v>
      </c>
      <c r="P2555">
        <v>2</v>
      </c>
      <c r="Q2555">
        <v>0</v>
      </c>
      <c r="R2555" t="s">
        <v>4557</v>
      </c>
      <c r="S2555" t="s">
        <v>4570</v>
      </c>
      <c r="T2555" t="s">
        <v>4559</v>
      </c>
      <c r="U2555" t="s">
        <v>4560</v>
      </c>
      <c r="V2555" s="2">
        <v>242</v>
      </c>
      <c r="W2555" t="s">
        <v>4655</v>
      </c>
      <c r="X2555" s="2">
        <v>0</v>
      </c>
      <c r="Y2555">
        <v>20</v>
      </c>
      <c r="Z2555" t="s">
        <v>5200</v>
      </c>
      <c r="AA2555" s="3">
        <v>0.15199723839759827</v>
      </c>
      <c r="AB2555" t="s">
        <v>15617</v>
      </c>
      <c r="AC2555" t="s">
        <v>4562</v>
      </c>
      <c r="AD2555" t="s">
        <v>15618</v>
      </c>
      <c r="AE2555" t="s">
        <v>4655</v>
      </c>
      <c r="AF2555" t="s">
        <v>4809</v>
      </c>
      <c r="AG2555" t="s">
        <v>4564</v>
      </c>
      <c r="AH2555" t="s">
        <v>5202</v>
      </c>
      <c r="AI2555" t="s">
        <v>1602</v>
      </c>
      <c r="AJ2555" t="s">
        <v>4655</v>
      </c>
      <c r="AK2555" t="s">
        <v>15619</v>
      </c>
      <c r="AL2555" s="13" t="s">
        <v>1886</v>
      </c>
      <c r="AM2555" s="14">
        <v>1</v>
      </c>
      <c r="AN2555" s="15" t="s">
        <v>4904</v>
      </c>
    </row>
    <row r="2556" spans="1:40" x14ac:dyDescent="0.3">
      <c r="A2556" s="10" t="str">
        <f>HYPERLINK("http://www.washoecounty.gov/assessor/cama/?parid=033-165-20&amp;CardNumber=1","033-165-20")</f>
        <v>033-165-20</v>
      </c>
      <c r="B2556" t="s">
        <v>4655</v>
      </c>
      <c r="C2556" t="s">
        <v>15620</v>
      </c>
      <c r="D2556" s="1">
        <v>40200</v>
      </c>
      <c r="E2556" s="2">
        <v>119000</v>
      </c>
      <c r="F2556" t="s">
        <v>4567</v>
      </c>
      <c r="G2556" s="17" t="str">
        <f>HYPERLINK("https://www.washoecounty.gov/assessor/cama/?command=sales&amp;parid=03316520","3842025")</f>
        <v>3842025</v>
      </c>
      <c r="H2556" t="s">
        <v>4810</v>
      </c>
      <c r="I2556">
        <v>1947</v>
      </c>
      <c r="J2556">
        <v>1950</v>
      </c>
      <c r="K2556" t="s">
        <v>4554</v>
      </c>
      <c r="L2556" t="s">
        <v>4555</v>
      </c>
      <c r="M2556" s="2">
        <v>881</v>
      </c>
      <c r="N2556" t="s">
        <v>4556</v>
      </c>
      <c r="O2556">
        <v>2</v>
      </c>
      <c r="P2556">
        <v>1</v>
      </c>
      <c r="Q2556">
        <v>0</v>
      </c>
      <c r="R2556" t="s">
        <v>4557</v>
      </c>
      <c r="S2556" t="s">
        <v>4574</v>
      </c>
      <c r="T2556" t="s">
        <v>4559</v>
      </c>
      <c r="U2556" t="s">
        <v>4655</v>
      </c>
      <c r="V2556" s="2">
        <v>0</v>
      </c>
      <c r="W2556" t="s">
        <v>4655</v>
      </c>
      <c r="X2556" s="2">
        <v>0</v>
      </c>
      <c r="Y2556">
        <v>20</v>
      </c>
      <c r="Z2556" t="s">
        <v>5200</v>
      </c>
      <c r="AA2556" s="3">
        <v>0.189003676176071</v>
      </c>
      <c r="AB2556" t="s">
        <v>15621</v>
      </c>
      <c r="AC2556" t="s">
        <v>4562</v>
      </c>
      <c r="AD2556" t="s">
        <v>15620</v>
      </c>
      <c r="AE2556" t="s">
        <v>4655</v>
      </c>
      <c r="AF2556" t="s">
        <v>5201</v>
      </c>
      <c r="AG2556" t="s">
        <v>4564</v>
      </c>
      <c r="AH2556" t="s">
        <v>5202</v>
      </c>
      <c r="AI2556" t="s">
        <v>15622</v>
      </c>
      <c r="AJ2556" t="s">
        <v>4655</v>
      </c>
      <c r="AK2556" t="s">
        <v>15623</v>
      </c>
      <c r="AL2556" s="13" t="s">
        <v>1886</v>
      </c>
      <c r="AM2556" s="14">
        <v>1</v>
      </c>
      <c r="AN2556" s="15" t="s">
        <v>4904</v>
      </c>
    </row>
    <row r="2557" spans="1:40" x14ac:dyDescent="0.3">
      <c r="A2557" s="10" t="str">
        <f>HYPERLINK("http://www.washoecounty.gov/assessor/cama/?parid=033-171-01&amp;CardNumber=1","033-171-01")</f>
        <v>033-171-01</v>
      </c>
      <c r="B2557" t="s">
        <v>4655</v>
      </c>
      <c r="C2557" t="s">
        <v>15624</v>
      </c>
      <c r="D2557" s="1">
        <v>40533</v>
      </c>
      <c r="E2557" s="2">
        <v>77000</v>
      </c>
      <c r="F2557" t="s">
        <v>4553</v>
      </c>
      <c r="G2557" s="17" t="str">
        <f>HYPERLINK("https://www.washoecounty.gov/assessor/cama/?command=sales&amp;parid=03317101","3956057")</f>
        <v>3956057</v>
      </c>
      <c r="H2557" t="s">
        <v>15625</v>
      </c>
      <c r="I2557">
        <v>1948</v>
      </c>
      <c r="J2557">
        <v>1954</v>
      </c>
      <c r="K2557" t="s">
        <v>4554</v>
      </c>
      <c r="L2557" t="s">
        <v>4555</v>
      </c>
      <c r="M2557" s="2">
        <v>1346</v>
      </c>
      <c r="N2557" t="s">
        <v>4556</v>
      </c>
      <c r="O2557">
        <v>3</v>
      </c>
      <c r="P2557">
        <v>1</v>
      </c>
      <c r="Q2557">
        <v>0</v>
      </c>
      <c r="R2557" t="s">
        <v>4134</v>
      </c>
      <c r="S2557" t="s">
        <v>4574</v>
      </c>
      <c r="T2557" t="s">
        <v>4559</v>
      </c>
      <c r="U2557" t="s">
        <v>4655</v>
      </c>
      <c r="V2557" s="2">
        <v>0</v>
      </c>
      <c r="W2557" t="s">
        <v>4655</v>
      </c>
      <c r="X2557" s="2">
        <v>0</v>
      </c>
      <c r="Y2557">
        <v>20</v>
      </c>
      <c r="Z2557" t="s">
        <v>5200</v>
      </c>
      <c r="AA2557" s="3">
        <v>0.176010102033615</v>
      </c>
      <c r="AB2557" t="s">
        <v>15626</v>
      </c>
      <c r="AC2557" t="s">
        <v>4562</v>
      </c>
      <c r="AD2557" t="s">
        <v>15624</v>
      </c>
      <c r="AE2557" t="s">
        <v>4655</v>
      </c>
      <c r="AF2557" t="s">
        <v>4809</v>
      </c>
      <c r="AG2557" t="s">
        <v>4564</v>
      </c>
      <c r="AH2557" t="s">
        <v>5202</v>
      </c>
      <c r="AI2557" t="s">
        <v>4794</v>
      </c>
      <c r="AJ2557" t="s">
        <v>4655</v>
      </c>
      <c r="AK2557" t="s">
        <v>15627</v>
      </c>
      <c r="AL2557" s="13" t="s">
        <v>3425</v>
      </c>
      <c r="AM2557">
        <v>1</v>
      </c>
      <c r="AN2557" s="15" t="s">
        <v>4904</v>
      </c>
    </row>
    <row r="2558" spans="1:40" x14ac:dyDescent="0.3">
      <c r="A2558" s="10" t="str">
        <f>HYPERLINK("http://www.washoecounty.gov/assessor/cama/?parid=033-171-02&amp;CardNumber=1","033-171-02")</f>
        <v>033-171-02</v>
      </c>
      <c r="B2558" t="s">
        <v>4655</v>
      </c>
      <c r="C2558" t="s">
        <v>15628</v>
      </c>
      <c r="D2558" s="1">
        <v>40284</v>
      </c>
      <c r="E2558" s="2">
        <v>85000</v>
      </c>
      <c r="F2558" t="s">
        <v>4553</v>
      </c>
      <c r="G2558" s="17" t="str">
        <f>HYPERLINK("https://www.washoecounty.gov/assessor/cama/?command=sales&amp;parid=03317102","3871762")</f>
        <v>3871762</v>
      </c>
      <c r="H2558" t="s">
        <v>4810</v>
      </c>
      <c r="I2558">
        <v>1948</v>
      </c>
      <c r="J2558">
        <v>1948</v>
      </c>
      <c r="K2558" t="s">
        <v>4554</v>
      </c>
      <c r="L2558" t="s">
        <v>4555</v>
      </c>
      <c r="M2558" s="2">
        <v>885</v>
      </c>
      <c r="N2558" t="s">
        <v>4556</v>
      </c>
      <c r="O2558">
        <v>2</v>
      </c>
      <c r="P2558">
        <v>1</v>
      </c>
      <c r="Q2558">
        <v>0</v>
      </c>
      <c r="R2558" t="s">
        <v>4557</v>
      </c>
      <c r="S2558" t="s">
        <v>4574</v>
      </c>
      <c r="T2558" t="s">
        <v>4559</v>
      </c>
      <c r="U2558" t="s">
        <v>4655</v>
      </c>
      <c r="V2558" s="2">
        <v>0</v>
      </c>
      <c r="W2558" t="s">
        <v>4655</v>
      </c>
      <c r="X2558" s="2">
        <v>0</v>
      </c>
      <c r="Y2558">
        <v>20</v>
      </c>
      <c r="Z2558" t="s">
        <v>5200</v>
      </c>
      <c r="AA2558" s="3">
        <v>0.148002758622169</v>
      </c>
      <c r="AB2558" t="s">
        <v>15629</v>
      </c>
      <c r="AC2558" t="s">
        <v>4562</v>
      </c>
      <c r="AD2558" t="s">
        <v>15628</v>
      </c>
      <c r="AE2558" t="s">
        <v>4655</v>
      </c>
      <c r="AF2558" t="s">
        <v>4809</v>
      </c>
      <c r="AG2558" t="s">
        <v>4564</v>
      </c>
      <c r="AH2558" t="s">
        <v>5202</v>
      </c>
      <c r="AI2558" t="s">
        <v>359</v>
      </c>
      <c r="AJ2558" t="s">
        <v>4655</v>
      </c>
      <c r="AK2558" t="s">
        <v>15630</v>
      </c>
      <c r="AL2558" s="13" t="s">
        <v>3425</v>
      </c>
      <c r="AM2558">
        <v>1</v>
      </c>
      <c r="AN2558" s="15" t="s">
        <v>4904</v>
      </c>
    </row>
    <row r="2559" spans="1:40" x14ac:dyDescent="0.3">
      <c r="A2559" s="10" t="str">
        <f>HYPERLINK("http://www.washoecounty.gov/assessor/cama/?parid=033-173-02&amp;CardNumber=1","033-173-02")</f>
        <v>033-173-02</v>
      </c>
      <c r="B2559" t="s">
        <v>4655</v>
      </c>
      <c r="C2559" t="s">
        <v>15631</v>
      </c>
      <c r="D2559" s="1">
        <v>40235</v>
      </c>
      <c r="E2559" s="2">
        <v>82500</v>
      </c>
      <c r="F2559" t="s">
        <v>4567</v>
      </c>
      <c r="G2559" s="17" t="str">
        <f>HYPERLINK("https://www.washoecounty.gov/assessor/cama/?command=sales&amp;parid=03317302","3852997")</f>
        <v>3852997</v>
      </c>
      <c r="H2559" t="s">
        <v>15632</v>
      </c>
      <c r="I2559">
        <v>1949</v>
      </c>
      <c r="J2559">
        <v>1949</v>
      </c>
      <c r="K2559" t="s">
        <v>4554</v>
      </c>
      <c r="L2559" t="s">
        <v>4555</v>
      </c>
      <c r="M2559" s="2">
        <v>885</v>
      </c>
      <c r="N2559" t="s">
        <v>4556</v>
      </c>
      <c r="O2559">
        <v>2</v>
      </c>
      <c r="P2559">
        <v>1</v>
      </c>
      <c r="Q2559">
        <v>0</v>
      </c>
      <c r="R2559" t="s">
        <v>4557</v>
      </c>
      <c r="S2559" t="s">
        <v>4574</v>
      </c>
      <c r="T2559" t="s">
        <v>4559</v>
      </c>
      <c r="U2559" t="s">
        <v>4655</v>
      </c>
      <c r="V2559" s="2">
        <v>0</v>
      </c>
      <c r="W2559" t="s">
        <v>4655</v>
      </c>
      <c r="X2559" s="2">
        <v>0</v>
      </c>
      <c r="Y2559">
        <v>20</v>
      </c>
      <c r="Z2559" t="s">
        <v>5200</v>
      </c>
      <c r="AA2559" s="3">
        <v>0.151010096073151</v>
      </c>
      <c r="AB2559" t="s">
        <v>15633</v>
      </c>
      <c r="AC2559" t="s">
        <v>4575</v>
      </c>
      <c r="AD2559" t="s">
        <v>15634</v>
      </c>
      <c r="AE2559" t="s">
        <v>15635</v>
      </c>
      <c r="AF2559" t="s">
        <v>5201</v>
      </c>
      <c r="AG2559" t="s">
        <v>4564</v>
      </c>
      <c r="AH2559" t="s">
        <v>5202</v>
      </c>
      <c r="AI2559" t="s">
        <v>15636</v>
      </c>
      <c r="AJ2559" t="s">
        <v>4655</v>
      </c>
      <c r="AK2559" t="s">
        <v>15637</v>
      </c>
      <c r="AL2559" s="13" t="s">
        <v>1886</v>
      </c>
      <c r="AM2559" s="14">
        <v>1</v>
      </c>
      <c r="AN2559" s="15" t="s">
        <v>4904</v>
      </c>
    </row>
    <row r="2560" spans="1:40" x14ac:dyDescent="0.3">
      <c r="A2560" s="10" t="str">
        <f>HYPERLINK("http://www.washoecounty.gov/assessor/cama/?parid=033-184-14&amp;CardNumber=1","033-184-14")</f>
        <v>033-184-14</v>
      </c>
      <c r="B2560" t="s">
        <v>5502</v>
      </c>
      <c r="C2560" t="s">
        <v>2931</v>
      </c>
      <c r="D2560" s="1">
        <v>40417</v>
      </c>
      <c r="E2560" s="2">
        <v>40000</v>
      </c>
      <c r="F2560" t="s">
        <v>4553</v>
      </c>
      <c r="G2560" s="17" t="str">
        <f>HYPERLINK("https://www.washoecounty.gov/assessor/cama/?command=sales&amp;parid=03318414","3916158")</f>
        <v>3916158</v>
      </c>
      <c r="H2560" t="s">
        <v>2932</v>
      </c>
      <c r="I2560">
        <v>1943</v>
      </c>
      <c r="J2560">
        <v>1943</v>
      </c>
      <c r="K2560" t="s">
        <v>4554</v>
      </c>
      <c r="L2560" t="s">
        <v>4555</v>
      </c>
      <c r="M2560" s="2">
        <v>688</v>
      </c>
      <c r="N2560" t="s">
        <v>4133</v>
      </c>
      <c r="O2560">
        <v>2</v>
      </c>
      <c r="P2560">
        <v>1</v>
      </c>
      <c r="Q2560">
        <v>0</v>
      </c>
      <c r="R2560" t="s">
        <v>4134</v>
      </c>
      <c r="S2560" t="s">
        <v>4397</v>
      </c>
      <c r="T2560" t="s">
        <v>4559</v>
      </c>
      <c r="U2560" t="s">
        <v>4655</v>
      </c>
      <c r="V2560" s="2">
        <v>0</v>
      </c>
      <c r="W2560" t="s">
        <v>4655</v>
      </c>
      <c r="X2560" s="2">
        <v>0</v>
      </c>
      <c r="Y2560">
        <v>31</v>
      </c>
      <c r="Z2560" t="s">
        <v>2081</v>
      </c>
      <c r="AA2560" s="3">
        <v>0.130991742014885</v>
      </c>
      <c r="AB2560" t="s">
        <v>409</v>
      </c>
      <c r="AC2560" t="s">
        <v>4562</v>
      </c>
      <c r="AD2560" t="s">
        <v>410</v>
      </c>
      <c r="AE2560" t="s">
        <v>4655</v>
      </c>
      <c r="AF2560" t="s">
        <v>4563</v>
      </c>
      <c r="AG2560" t="s">
        <v>4564</v>
      </c>
      <c r="AH2560" t="s">
        <v>5197</v>
      </c>
      <c r="AI2560" t="s">
        <v>771</v>
      </c>
      <c r="AJ2560" t="s">
        <v>4655</v>
      </c>
      <c r="AK2560" t="s">
        <v>2933</v>
      </c>
      <c r="AL2560" s="13" t="s">
        <v>3426</v>
      </c>
      <c r="AM2560" s="14">
        <v>2</v>
      </c>
      <c r="AN2560" s="15" t="s">
        <v>5501</v>
      </c>
    </row>
    <row r="2561" spans="1:40" x14ac:dyDescent="0.3">
      <c r="A2561" s="10" t="str">
        <f>HYPERLINK("http://www.washoecounty.gov/assessor/cama/?parid=033-185-22&amp;CardNumber=1","033-185-22")</f>
        <v>033-185-22</v>
      </c>
      <c r="B2561" t="s">
        <v>4655</v>
      </c>
      <c r="C2561" t="s">
        <v>15638</v>
      </c>
      <c r="D2561" s="1">
        <v>40408</v>
      </c>
      <c r="E2561" s="2">
        <v>60000</v>
      </c>
      <c r="F2561" t="s">
        <v>4567</v>
      </c>
      <c r="G2561" s="17" t="str">
        <f>HYPERLINK("https://www.washoecounty.gov/assessor/cama/?command=sales&amp;parid=03318522","3913186")</f>
        <v>3913186</v>
      </c>
      <c r="H2561" t="s">
        <v>15639</v>
      </c>
      <c r="I2561">
        <v>1915</v>
      </c>
      <c r="J2561">
        <v>1915</v>
      </c>
      <c r="K2561" t="s">
        <v>4554</v>
      </c>
      <c r="L2561" t="s">
        <v>4555</v>
      </c>
      <c r="M2561" s="2">
        <v>623</v>
      </c>
      <c r="N2561" t="s">
        <v>4133</v>
      </c>
      <c r="O2561">
        <v>2</v>
      </c>
      <c r="P2561">
        <v>1</v>
      </c>
      <c r="Q2561">
        <v>0</v>
      </c>
      <c r="R2561" t="s">
        <v>4134</v>
      </c>
      <c r="S2561" t="s">
        <v>4574</v>
      </c>
      <c r="T2561" t="s">
        <v>4559</v>
      </c>
      <c r="U2561" t="s">
        <v>4655</v>
      </c>
      <c r="V2561" s="2">
        <v>0</v>
      </c>
      <c r="W2561" t="s">
        <v>4655</v>
      </c>
      <c r="X2561" s="2">
        <v>0</v>
      </c>
      <c r="Y2561">
        <v>20</v>
      </c>
      <c r="Z2561" t="s">
        <v>2081</v>
      </c>
      <c r="AA2561" s="3">
        <v>3.9990816265344599E-2</v>
      </c>
      <c r="AB2561" t="s">
        <v>15640</v>
      </c>
      <c r="AC2561" t="s">
        <v>4562</v>
      </c>
      <c r="AD2561" t="s">
        <v>15641</v>
      </c>
      <c r="AE2561" t="s">
        <v>4655</v>
      </c>
      <c r="AF2561" t="s">
        <v>5201</v>
      </c>
      <c r="AG2561" t="s">
        <v>4564</v>
      </c>
      <c r="AH2561" t="s">
        <v>5202</v>
      </c>
      <c r="AI2561" t="s">
        <v>15642</v>
      </c>
      <c r="AJ2561" t="s">
        <v>4655</v>
      </c>
      <c r="AK2561" t="s">
        <v>15643</v>
      </c>
      <c r="AL2561" s="13" t="s">
        <v>3426</v>
      </c>
      <c r="AM2561">
        <v>1</v>
      </c>
      <c r="AN2561" s="15" t="s">
        <v>4396</v>
      </c>
    </row>
    <row r="2562" spans="1:40" x14ac:dyDescent="0.3">
      <c r="A2562" s="10" t="str">
        <f>HYPERLINK("http://www.washoecounty.gov/assessor/cama/?parid=033-201-02&amp;CardNumber=1","033-201-02")</f>
        <v>033-201-02</v>
      </c>
      <c r="B2562" t="s">
        <v>4655</v>
      </c>
      <c r="C2562" t="s">
        <v>15644</v>
      </c>
      <c r="D2562" s="1">
        <v>40542</v>
      </c>
      <c r="E2562" s="2">
        <v>73000</v>
      </c>
      <c r="F2562" t="s">
        <v>4553</v>
      </c>
      <c r="G2562" s="17" t="str">
        <f>HYPERLINK("https://www.washoecounty.gov/assessor/cama/?command=sales&amp;parid=03320102","3958862")</f>
        <v>3958862</v>
      </c>
      <c r="H2562" t="s">
        <v>15645</v>
      </c>
      <c r="I2562">
        <v>1963</v>
      </c>
      <c r="J2562">
        <v>1963</v>
      </c>
      <c r="K2562" t="s">
        <v>4554</v>
      </c>
      <c r="L2562" t="s">
        <v>4555</v>
      </c>
      <c r="M2562" s="2">
        <v>1188</v>
      </c>
      <c r="N2562" t="s">
        <v>4048</v>
      </c>
      <c r="O2562">
        <v>3</v>
      </c>
      <c r="P2562">
        <v>1</v>
      </c>
      <c r="Q2562">
        <v>1</v>
      </c>
      <c r="R2562" t="s">
        <v>4557</v>
      </c>
      <c r="S2562" t="s">
        <v>4135</v>
      </c>
      <c r="T2562" t="s">
        <v>4559</v>
      </c>
      <c r="U2562" t="s">
        <v>4655</v>
      </c>
      <c r="V2562" s="2">
        <v>0</v>
      </c>
      <c r="W2562" t="s">
        <v>4655</v>
      </c>
      <c r="X2562" s="2">
        <v>0</v>
      </c>
      <c r="Y2562">
        <v>20</v>
      </c>
      <c r="Z2562" t="s">
        <v>5200</v>
      </c>
      <c r="AA2562" s="3">
        <v>0.23298898339271545</v>
      </c>
      <c r="AB2562" t="s">
        <v>15646</v>
      </c>
      <c r="AC2562" t="s">
        <v>4562</v>
      </c>
      <c r="AD2562" t="s">
        <v>15644</v>
      </c>
      <c r="AE2562" t="s">
        <v>4655</v>
      </c>
      <c r="AF2562" t="s">
        <v>5201</v>
      </c>
      <c r="AG2562" t="s">
        <v>4564</v>
      </c>
      <c r="AH2562" t="s">
        <v>5202</v>
      </c>
      <c r="AI2562" t="s">
        <v>4585</v>
      </c>
      <c r="AJ2562" t="s">
        <v>4655</v>
      </c>
      <c r="AK2562" t="s">
        <v>15647</v>
      </c>
      <c r="AL2562" s="13" t="s">
        <v>1886</v>
      </c>
      <c r="AM2562" s="14">
        <v>1</v>
      </c>
      <c r="AN2562" s="15" t="s">
        <v>4904</v>
      </c>
    </row>
    <row r="2563" spans="1:40" x14ac:dyDescent="0.3">
      <c r="A2563" s="10" t="str">
        <f>HYPERLINK("http://www.washoecounty.gov/assessor/cama/?parid=033-201-17&amp;CardNumber=1","033-201-17")</f>
        <v>033-201-17</v>
      </c>
      <c r="B2563" t="s">
        <v>4655</v>
      </c>
      <c r="C2563" t="s">
        <v>15648</v>
      </c>
      <c r="D2563" s="1">
        <v>40207</v>
      </c>
      <c r="E2563" s="2">
        <v>75000</v>
      </c>
      <c r="F2563" t="s">
        <v>4553</v>
      </c>
      <c r="G2563" s="17" t="str">
        <f>HYPERLINK("https://www.washoecounty.gov/assessor/cama/?command=sales&amp;parid=03320117","3844523")</f>
        <v>3844523</v>
      </c>
      <c r="H2563" t="s">
        <v>15649</v>
      </c>
      <c r="I2563">
        <v>1948</v>
      </c>
      <c r="J2563">
        <v>1948</v>
      </c>
      <c r="K2563" t="s">
        <v>4554</v>
      </c>
      <c r="L2563" t="s">
        <v>4555</v>
      </c>
      <c r="M2563" s="2">
        <v>840</v>
      </c>
      <c r="N2563" t="s">
        <v>4556</v>
      </c>
      <c r="O2563">
        <v>2</v>
      </c>
      <c r="P2563">
        <v>1</v>
      </c>
      <c r="Q2563">
        <v>0</v>
      </c>
      <c r="R2563" t="s">
        <v>4557</v>
      </c>
      <c r="S2563" t="s">
        <v>4574</v>
      </c>
      <c r="T2563" t="s">
        <v>4559</v>
      </c>
      <c r="U2563" t="s">
        <v>4655</v>
      </c>
      <c r="V2563" s="2">
        <v>0</v>
      </c>
      <c r="W2563" t="s">
        <v>4655</v>
      </c>
      <c r="X2563" s="2">
        <v>0</v>
      </c>
      <c r="Y2563">
        <v>20</v>
      </c>
      <c r="Z2563" t="s">
        <v>5200</v>
      </c>
      <c r="AA2563" s="3">
        <v>0.14898990094661699</v>
      </c>
      <c r="AB2563" t="s">
        <v>15650</v>
      </c>
      <c r="AC2563" t="s">
        <v>4562</v>
      </c>
      <c r="AD2563" t="s">
        <v>15651</v>
      </c>
      <c r="AE2563" t="s">
        <v>4655</v>
      </c>
      <c r="AF2563" t="s">
        <v>4809</v>
      </c>
      <c r="AG2563" t="s">
        <v>4564</v>
      </c>
      <c r="AH2563" t="s">
        <v>5202</v>
      </c>
      <c r="AI2563" t="s">
        <v>4045</v>
      </c>
      <c r="AJ2563" t="s">
        <v>4655</v>
      </c>
      <c r="AK2563" t="s">
        <v>15652</v>
      </c>
      <c r="AL2563" s="13" t="s">
        <v>3425</v>
      </c>
      <c r="AM2563">
        <v>1</v>
      </c>
      <c r="AN2563" s="15" t="s">
        <v>4904</v>
      </c>
    </row>
    <row r="2564" spans="1:40" x14ac:dyDescent="0.3">
      <c r="A2564" s="10" t="str">
        <f>HYPERLINK("http://www.washoecounty.gov/assessor/cama/?parid=033-201-27&amp;CardNumber=1","033-201-27")</f>
        <v>033-201-27</v>
      </c>
      <c r="B2564" t="s">
        <v>4655</v>
      </c>
      <c r="C2564" t="s">
        <v>15653</v>
      </c>
      <c r="D2564" s="1">
        <v>40197</v>
      </c>
      <c r="E2564" s="2">
        <v>59356</v>
      </c>
      <c r="F2564" t="s">
        <v>4567</v>
      </c>
      <c r="G2564" s="17" t="str">
        <f>HYPERLINK("https://www.washoecounty.gov/assessor/cama/?command=sales&amp;parid=03320127","3840647")</f>
        <v>3840647</v>
      </c>
      <c r="H2564" t="s">
        <v>15654</v>
      </c>
      <c r="I2564">
        <v>1943</v>
      </c>
      <c r="J2564">
        <v>1943</v>
      </c>
      <c r="K2564" t="s">
        <v>4554</v>
      </c>
      <c r="L2564" t="s">
        <v>4555</v>
      </c>
      <c r="M2564" s="2">
        <v>858</v>
      </c>
      <c r="N2564" t="s">
        <v>4556</v>
      </c>
      <c r="O2564">
        <v>2</v>
      </c>
      <c r="P2564">
        <v>1</v>
      </c>
      <c r="Q2564">
        <v>0</v>
      </c>
      <c r="R2564" t="s">
        <v>4557</v>
      </c>
      <c r="S2564" t="s">
        <v>4135</v>
      </c>
      <c r="T2564" t="s">
        <v>4559</v>
      </c>
      <c r="U2564" t="s">
        <v>4655</v>
      </c>
      <c r="V2564" s="2">
        <v>0</v>
      </c>
      <c r="W2564" t="s">
        <v>4655</v>
      </c>
      <c r="X2564" s="2">
        <v>0</v>
      </c>
      <c r="Y2564">
        <v>20</v>
      </c>
      <c r="Z2564" t="s">
        <v>5200</v>
      </c>
      <c r="AA2564" s="3">
        <v>0.11799816042184801</v>
      </c>
      <c r="AB2564" t="s">
        <v>15655</v>
      </c>
      <c r="AC2564" t="s">
        <v>4575</v>
      </c>
      <c r="AD2564" t="s">
        <v>15656</v>
      </c>
      <c r="AE2564" t="s">
        <v>4655</v>
      </c>
      <c r="AF2564" t="s">
        <v>5201</v>
      </c>
      <c r="AG2564" t="s">
        <v>4564</v>
      </c>
      <c r="AH2564" t="s">
        <v>5202</v>
      </c>
      <c r="AI2564" t="s">
        <v>15657</v>
      </c>
      <c r="AJ2564" t="s">
        <v>4655</v>
      </c>
      <c r="AK2564" t="s">
        <v>15658</v>
      </c>
      <c r="AL2564" s="13" t="s">
        <v>1886</v>
      </c>
      <c r="AM2564">
        <v>1</v>
      </c>
      <c r="AN2564" s="15" t="s">
        <v>4904</v>
      </c>
    </row>
    <row r="2565" spans="1:40" x14ac:dyDescent="0.3">
      <c r="A2565" s="10" t="str">
        <f>HYPERLINK("http://www.washoecounty.gov/assessor/cama/?parid=033-201-31&amp;CardNumber=1","033-201-31")</f>
        <v>033-201-31</v>
      </c>
      <c r="B2565" t="s">
        <v>4655</v>
      </c>
      <c r="C2565" t="s">
        <v>15659</v>
      </c>
      <c r="D2565" s="1">
        <v>40191</v>
      </c>
      <c r="E2565" s="2">
        <v>99500</v>
      </c>
      <c r="F2565" t="s">
        <v>4553</v>
      </c>
      <c r="G2565" s="17" t="str">
        <f>HYPERLINK("https://www.washoecounty.gov/assessor/cama/?command=sales&amp;parid=03320131","3838944")</f>
        <v>3838944</v>
      </c>
      <c r="H2565" t="s">
        <v>4818</v>
      </c>
      <c r="I2565">
        <v>1947</v>
      </c>
      <c r="J2565">
        <v>1960</v>
      </c>
      <c r="K2565" t="s">
        <v>4554</v>
      </c>
      <c r="L2565" t="s">
        <v>4555</v>
      </c>
      <c r="M2565" s="2">
        <v>1096</v>
      </c>
      <c r="N2565" t="s">
        <v>4556</v>
      </c>
      <c r="O2565">
        <v>3</v>
      </c>
      <c r="P2565">
        <v>1</v>
      </c>
      <c r="Q2565">
        <v>0</v>
      </c>
      <c r="R2565" t="s">
        <v>4557</v>
      </c>
      <c r="S2565" t="s">
        <v>4135</v>
      </c>
      <c r="T2565" t="s">
        <v>4559</v>
      </c>
      <c r="U2565" t="s">
        <v>4655</v>
      </c>
      <c r="V2565" s="2">
        <v>0</v>
      </c>
      <c r="W2565" t="s">
        <v>4655</v>
      </c>
      <c r="X2565" s="2">
        <v>0</v>
      </c>
      <c r="Y2565">
        <v>20</v>
      </c>
      <c r="Z2565" t="s">
        <v>5200</v>
      </c>
      <c r="AA2565" s="3">
        <v>0.123002752661705</v>
      </c>
      <c r="AB2565" t="s">
        <v>15660</v>
      </c>
      <c r="AC2565" t="s">
        <v>4575</v>
      </c>
      <c r="AD2565" t="s">
        <v>15661</v>
      </c>
      <c r="AE2565" t="s">
        <v>15662</v>
      </c>
      <c r="AF2565" t="s">
        <v>4563</v>
      </c>
      <c r="AG2565" t="s">
        <v>4564</v>
      </c>
      <c r="AH2565">
        <v>89511</v>
      </c>
      <c r="AI2565" t="s">
        <v>4565</v>
      </c>
      <c r="AJ2565" t="s">
        <v>4655</v>
      </c>
      <c r="AK2565" t="s">
        <v>15663</v>
      </c>
      <c r="AL2565" s="13" t="s">
        <v>1886</v>
      </c>
      <c r="AM2565">
        <v>1</v>
      </c>
      <c r="AN2565" s="15" t="s">
        <v>4904</v>
      </c>
    </row>
    <row r="2566" spans="1:40" x14ac:dyDescent="0.3">
      <c r="A2566" s="10" t="str">
        <f>HYPERLINK("http://www.washoecounty.gov/assessor/cama/?parid=033-201-37&amp;CardNumber=1","033-201-37")</f>
        <v>033-201-37</v>
      </c>
      <c r="B2566" t="s">
        <v>4655</v>
      </c>
      <c r="C2566" t="s">
        <v>15664</v>
      </c>
      <c r="D2566" s="1">
        <v>40406</v>
      </c>
      <c r="E2566" s="2">
        <v>119000</v>
      </c>
      <c r="F2566" t="s">
        <v>4567</v>
      </c>
      <c r="G2566" s="17" t="str">
        <f>HYPERLINK("https://www.washoecounty.gov/assessor/cama/?command=sales&amp;parid=03320137","3912403")</f>
        <v>3912403</v>
      </c>
      <c r="H2566" t="s">
        <v>15665</v>
      </c>
      <c r="I2566">
        <v>1978</v>
      </c>
      <c r="J2566">
        <v>1978</v>
      </c>
      <c r="K2566" t="s">
        <v>4554</v>
      </c>
      <c r="L2566" t="s">
        <v>4555</v>
      </c>
      <c r="M2566" s="2">
        <v>1296</v>
      </c>
      <c r="N2566" t="s">
        <v>4048</v>
      </c>
      <c r="O2566">
        <v>3</v>
      </c>
      <c r="P2566">
        <v>2</v>
      </c>
      <c r="Q2566">
        <v>0</v>
      </c>
      <c r="R2566" t="s">
        <v>4557</v>
      </c>
      <c r="S2566" t="s">
        <v>4898</v>
      </c>
      <c r="T2566" t="s">
        <v>4559</v>
      </c>
      <c r="U2566" t="s">
        <v>4560</v>
      </c>
      <c r="V2566" s="2">
        <v>440</v>
      </c>
      <c r="W2566" t="s">
        <v>4655</v>
      </c>
      <c r="X2566" s="2">
        <v>0</v>
      </c>
      <c r="Y2566">
        <v>20</v>
      </c>
      <c r="Z2566" t="s">
        <v>5200</v>
      </c>
      <c r="AA2566" s="3">
        <v>0.160009175539017</v>
      </c>
      <c r="AB2566" t="s">
        <v>15666</v>
      </c>
      <c r="AC2566" t="s">
        <v>4562</v>
      </c>
      <c r="AD2566" t="s">
        <v>15664</v>
      </c>
      <c r="AE2566" t="s">
        <v>4655</v>
      </c>
      <c r="AF2566" t="s">
        <v>5201</v>
      </c>
      <c r="AG2566" t="s">
        <v>4564</v>
      </c>
      <c r="AH2566" t="s">
        <v>5202</v>
      </c>
      <c r="AI2566" t="s">
        <v>15667</v>
      </c>
      <c r="AJ2566" t="s">
        <v>4655</v>
      </c>
      <c r="AK2566" t="s">
        <v>15668</v>
      </c>
      <c r="AL2566" s="13" t="s">
        <v>1886</v>
      </c>
      <c r="AM2566">
        <v>1</v>
      </c>
      <c r="AN2566" s="15" t="s">
        <v>4904</v>
      </c>
    </row>
    <row r="2567" spans="1:40" x14ac:dyDescent="0.3">
      <c r="A2567" s="10" t="str">
        <f>HYPERLINK("http://www.washoecounty.gov/assessor/cama/?parid=033-212-07&amp;CardNumber=1","033-212-07")</f>
        <v>033-212-07</v>
      </c>
      <c r="B2567" t="s">
        <v>4655</v>
      </c>
      <c r="C2567" t="s">
        <v>15669</v>
      </c>
      <c r="D2567" s="1">
        <v>40438</v>
      </c>
      <c r="E2567" s="2">
        <v>88000</v>
      </c>
      <c r="F2567" t="s">
        <v>4567</v>
      </c>
      <c r="G2567" s="17" t="str">
        <f>HYPERLINK("https://www.washoecounty.gov/assessor/cama/?command=sales&amp;parid=03321207","3923601")</f>
        <v>3923601</v>
      </c>
      <c r="H2567" t="s">
        <v>5453</v>
      </c>
      <c r="I2567">
        <v>1964</v>
      </c>
      <c r="J2567">
        <v>1964</v>
      </c>
      <c r="K2567" t="s">
        <v>4554</v>
      </c>
      <c r="L2567" t="s">
        <v>4555</v>
      </c>
      <c r="M2567" s="2">
        <v>1206</v>
      </c>
      <c r="N2567" t="s">
        <v>4048</v>
      </c>
      <c r="O2567">
        <v>0</v>
      </c>
      <c r="P2567">
        <v>2</v>
      </c>
      <c r="Q2567">
        <v>0</v>
      </c>
      <c r="R2567" t="s">
        <v>4557</v>
      </c>
      <c r="S2567" t="s">
        <v>4558</v>
      </c>
      <c r="T2567" t="s">
        <v>4559</v>
      </c>
      <c r="U2567" t="s">
        <v>4655</v>
      </c>
      <c r="V2567" s="2">
        <v>0</v>
      </c>
      <c r="W2567" t="s">
        <v>4655</v>
      </c>
      <c r="X2567" s="2">
        <v>0</v>
      </c>
      <c r="Y2567">
        <v>20</v>
      </c>
      <c r="Z2567" t="s">
        <v>5200</v>
      </c>
      <c r="AA2567" s="3">
        <v>0.13799357414245605</v>
      </c>
      <c r="AB2567" t="s">
        <v>1856</v>
      </c>
      <c r="AC2567" t="s">
        <v>4562</v>
      </c>
      <c r="AD2567" t="s">
        <v>1857</v>
      </c>
      <c r="AE2567" t="s">
        <v>4655</v>
      </c>
      <c r="AF2567" t="s">
        <v>3890</v>
      </c>
      <c r="AG2567" t="s">
        <v>4564</v>
      </c>
      <c r="AH2567" t="s">
        <v>3891</v>
      </c>
      <c r="AI2567" t="s">
        <v>4655</v>
      </c>
      <c r="AJ2567" t="s">
        <v>4655</v>
      </c>
      <c r="AK2567" t="s">
        <v>15670</v>
      </c>
      <c r="AL2567" s="13" t="s">
        <v>1886</v>
      </c>
      <c r="AM2567" s="14">
        <v>1</v>
      </c>
      <c r="AN2567" s="15" t="s">
        <v>4904</v>
      </c>
    </row>
    <row r="2568" spans="1:40" x14ac:dyDescent="0.3">
      <c r="A2568" s="10" t="str">
        <f>HYPERLINK("http://www.washoecounty.gov/assessor/cama/?parid=033-213-09&amp;CardNumber=1","033-213-09")</f>
        <v>033-213-09</v>
      </c>
      <c r="B2568" t="s">
        <v>4655</v>
      </c>
      <c r="C2568" t="s">
        <v>15671</v>
      </c>
      <c r="D2568" s="1">
        <v>40269</v>
      </c>
      <c r="E2568" s="2">
        <v>135000</v>
      </c>
      <c r="F2568" t="s">
        <v>4567</v>
      </c>
      <c r="G2568" s="17" t="str">
        <f>HYPERLINK("https://www.washoecounty.gov/assessor/cama/?command=sales&amp;parid=03321309","3866839")</f>
        <v>3866839</v>
      </c>
      <c r="H2568" t="s">
        <v>4819</v>
      </c>
      <c r="I2568">
        <v>1965</v>
      </c>
      <c r="J2568">
        <v>1965</v>
      </c>
      <c r="K2568" t="s">
        <v>4554</v>
      </c>
      <c r="L2568" t="s">
        <v>4555</v>
      </c>
      <c r="M2568" s="2">
        <v>1206</v>
      </c>
      <c r="N2568" t="s">
        <v>4048</v>
      </c>
      <c r="O2568">
        <v>3</v>
      </c>
      <c r="P2568">
        <v>2</v>
      </c>
      <c r="Q2568">
        <v>0</v>
      </c>
      <c r="R2568" t="s">
        <v>5281</v>
      </c>
      <c r="S2568" t="s">
        <v>4558</v>
      </c>
      <c r="T2568" t="s">
        <v>4559</v>
      </c>
      <c r="U2568" t="s">
        <v>4560</v>
      </c>
      <c r="V2568" s="2">
        <v>400</v>
      </c>
      <c r="W2568" t="s">
        <v>4655</v>
      </c>
      <c r="X2568" s="2">
        <v>0</v>
      </c>
      <c r="Y2568">
        <v>20</v>
      </c>
      <c r="Z2568" t="s">
        <v>5200</v>
      </c>
      <c r="AA2568" s="3">
        <v>0.13799357414245605</v>
      </c>
      <c r="AB2568" t="s">
        <v>15672</v>
      </c>
      <c r="AC2568" t="s">
        <v>4562</v>
      </c>
      <c r="AD2568" t="s">
        <v>15673</v>
      </c>
      <c r="AE2568" t="s">
        <v>4655</v>
      </c>
      <c r="AF2568" t="s">
        <v>5201</v>
      </c>
      <c r="AG2568" t="s">
        <v>4564</v>
      </c>
      <c r="AH2568" t="s">
        <v>5202</v>
      </c>
      <c r="AI2568" t="s">
        <v>15674</v>
      </c>
      <c r="AJ2568" t="s">
        <v>4655</v>
      </c>
      <c r="AK2568" t="s">
        <v>15675</v>
      </c>
      <c r="AL2568" s="13" t="s">
        <v>1886</v>
      </c>
      <c r="AM2568">
        <v>1</v>
      </c>
      <c r="AN2568" s="15" t="s">
        <v>4904</v>
      </c>
    </row>
    <row r="2569" spans="1:40" x14ac:dyDescent="0.3">
      <c r="A2569" s="10" t="str">
        <f>HYPERLINK("http://www.washoecounty.gov/assessor/cama/?parid=033-213-22&amp;CardNumber=1","033-213-22")</f>
        <v>033-213-22</v>
      </c>
      <c r="B2569" t="s">
        <v>4655</v>
      </c>
      <c r="C2569" t="s">
        <v>15676</v>
      </c>
      <c r="D2569" s="1">
        <v>40193</v>
      </c>
      <c r="E2569" s="2">
        <v>130000</v>
      </c>
      <c r="F2569" t="s">
        <v>4553</v>
      </c>
      <c r="G2569" s="17" t="str">
        <f>HYPERLINK("https://www.washoecounty.gov/assessor/cama/?command=sales&amp;parid=03321322","3840046")</f>
        <v>3840046</v>
      </c>
      <c r="H2569" t="s">
        <v>4819</v>
      </c>
      <c r="I2569">
        <v>1965</v>
      </c>
      <c r="J2569">
        <v>1970</v>
      </c>
      <c r="K2569" t="s">
        <v>4554</v>
      </c>
      <c r="L2569" t="s">
        <v>4555</v>
      </c>
      <c r="M2569" s="2">
        <v>1701</v>
      </c>
      <c r="N2569" t="s">
        <v>4048</v>
      </c>
      <c r="O2569">
        <v>3</v>
      </c>
      <c r="P2569">
        <v>2</v>
      </c>
      <c r="Q2569">
        <v>0</v>
      </c>
      <c r="R2569" t="s">
        <v>4557</v>
      </c>
      <c r="S2569" t="s">
        <v>4135</v>
      </c>
      <c r="T2569" t="s">
        <v>4559</v>
      </c>
      <c r="U2569" t="s">
        <v>4560</v>
      </c>
      <c r="V2569" s="2">
        <v>400</v>
      </c>
      <c r="W2569" t="s">
        <v>4655</v>
      </c>
      <c r="X2569" s="2">
        <v>0</v>
      </c>
      <c r="Y2569">
        <v>20</v>
      </c>
      <c r="Z2569" t="s">
        <v>5200</v>
      </c>
      <c r="AA2569" s="3">
        <v>0.13799357414245605</v>
      </c>
      <c r="AB2569" t="s">
        <v>15677</v>
      </c>
      <c r="AC2569" t="s">
        <v>4575</v>
      </c>
      <c r="AD2569" t="s">
        <v>15676</v>
      </c>
      <c r="AE2569" t="s">
        <v>4655</v>
      </c>
      <c r="AF2569" t="s">
        <v>5201</v>
      </c>
      <c r="AG2569" t="s">
        <v>4564</v>
      </c>
      <c r="AH2569" t="s">
        <v>5202</v>
      </c>
      <c r="AI2569" t="s">
        <v>4655</v>
      </c>
      <c r="AJ2569" t="s">
        <v>4655</v>
      </c>
      <c r="AK2569" t="s">
        <v>15678</v>
      </c>
      <c r="AL2569" s="13" t="s">
        <v>1886</v>
      </c>
      <c r="AM2569" s="14">
        <v>1</v>
      </c>
      <c r="AN2569" s="15" t="s">
        <v>4904</v>
      </c>
    </row>
    <row r="2570" spans="1:40" x14ac:dyDescent="0.3">
      <c r="A2570" s="10" t="str">
        <f>HYPERLINK("http://www.washoecounty.gov/assessor/cama/?parid=033-213-27&amp;CardNumber=1","033-213-27")</f>
        <v>033-213-27</v>
      </c>
      <c r="B2570" t="s">
        <v>4655</v>
      </c>
      <c r="C2570" t="s">
        <v>15679</v>
      </c>
      <c r="D2570" s="1">
        <v>40389</v>
      </c>
      <c r="E2570" s="2">
        <v>74000</v>
      </c>
      <c r="F2570" t="s">
        <v>4567</v>
      </c>
      <c r="G2570" s="17" t="str">
        <f>HYPERLINK("https://www.washoecounty.gov/assessor/cama/?command=sales&amp;parid=03321327","3907218")</f>
        <v>3907218</v>
      </c>
      <c r="H2570" t="s">
        <v>4819</v>
      </c>
      <c r="I2570">
        <v>1965</v>
      </c>
      <c r="J2570">
        <v>1965</v>
      </c>
      <c r="K2570" t="s">
        <v>4554</v>
      </c>
      <c r="L2570" t="s">
        <v>4555</v>
      </c>
      <c r="M2570" s="2">
        <v>1347</v>
      </c>
      <c r="N2570" t="s">
        <v>4048</v>
      </c>
      <c r="O2570">
        <v>3</v>
      </c>
      <c r="P2570">
        <v>2</v>
      </c>
      <c r="Q2570">
        <v>0</v>
      </c>
      <c r="R2570" t="s">
        <v>4557</v>
      </c>
      <c r="S2570" t="s">
        <v>4135</v>
      </c>
      <c r="T2570" t="s">
        <v>4559</v>
      </c>
      <c r="U2570" t="s">
        <v>4560</v>
      </c>
      <c r="V2570" s="2">
        <v>459</v>
      </c>
      <c r="W2570" t="s">
        <v>4655</v>
      </c>
      <c r="X2570" s="2">
        <v>0</v>
      </c>
      <c r="Y2570">
        <v>20</v>
      </c>
      <c r="Z2570" t="s">
        <v>5200</v>
      </c>
      <c r="AA2570" s="3">
        <v>0.13799357414245605</v>
      </c>
      <c r="AB2570" t="s">
        <v>15680</v>
      </c>
      <c r="AC2570" t="s">
        <v>4562</v>
      </c>
      <c r="AD2570" t="s">
        <v>15679</v>
      </c>
      <c r="AE2570" t="s">
        <v>4655</v>
      </c>
      <c r="AF2570" t="s">
        <v>5201</v>
      </c>
      <c r="AG2570" t="s">
        <v>4564</v>
      </c>
      <c r="AH2570" t="s">
        <v>5202</v>
      </c>
      <c r="AI2570" t="s">
        <v>5359</v>
      </c>
      <c r="AJ2570" t="s">
        <v>4655</v>
      </c>
      <c r="AK2570" t="s">
        <v>15681</v>
      </c>
      <c r="AL2570" s="13" t="s">
        <v>1886</v>
      </c>
      <c r="AM2570">
        <v>1</v>
      </c>
      <c r="AN2570" s="15" t="s">
        <v>4904</v>
      </c>
    </row>
    <row r="2571" spans="1:40" x14ac:dyDescent="0.3">
      <c r="A2571" s="10" t="str">
        <f>HYPERLINK("http://www.washoecounty.gov/assessor/cama/?parid=033-213-27&amp;CardNumber=1","033-213-27")</f>
        <v>033-213-27</v>
      </c>
      <c r="B2571" t="s">
        <v>4655</v>
      </c>
      <c r="C2571" t="s">
        <v>15679</v>
      </c>
      <c r="D2571" s="1">
        <v>40441</v>
      </c>
      <c r="E2571" s="2">
        <v>118000</v>
      </c>
      <c r="F2571" t="s">
        <v>4567</v>
      </c>
      <c r="G2571" s="17" t="str">
        <f>HYPERLINK("https://www.washoecounty.gov/assessor/cama/?command=sales&amp;parid=03321327","3924247")</f>
        <v>3924247</v>
      </c>
      <c r="H2571" t="s">
        <v>4819</v>
      </c>
      <c r="I2571">
        <v>1965</v>
      </c>
      <c r="J2571">
        <v>1965</v>
      </c>
      <c r="K2571" t="s">
        <v>4554</v>
      </c>
      <c r="L2571" t="s">
        <v>4555</v>
      </c>
      <c r="M2571" s="2">
        <v>1347</v>
      </c>
      <c r="N2571" t="s">
        <v>4048</v>
      </c>
      <c r="O2571">
        <v>3</v>
      </c>
      <c r="P2571">
        <v>2</v>
      </c>
      <c r="Q2571">
        <v>0</v>
      </c>
      <c r="R2571" t="s">
        <v>4557</v>
      </c>
      <c r="S2571" t="s">
        <v>4135</v>
      </c>
      <c r="T2571" t="s">
        <v>4559</v>
      </c>
      <c r="U2571" t="s">
        <v>4560</v>
      </c>
      <c r="V2571" s="2">
        <v>459</v>
      </c>
      <c r="W2571" t="s">
        <v>4655</v>
      </c>
      <c r="X2571" s="2">
        <v>0</v>
      </c>
      <c r="Y2571">
        <v>20</v>
      </c>
      <c r="Z2571" t="s">
        <v>5200</v>
      </c>
      <c r="AA2571" s="3">
        <v>0.13799357414245605</v>
      </c>
      <c r="AB2571" t="s">
        <v>15680</v>
      </c>
      <c r="AC2571" t="s">
        <v>4562</v>
      </c>
      <c r="AD2571" t="s">
        <v>15679</v>
      </c>
      <c r="AE2571" t="s">
        <v>4655</v>
      </c>
      <c r="AF2571" t="s">
        <v>5201</v>
      </c>
      <c r="AG2571" t="s">
        <v>4564</v>
      </c>
      <c r="AH2571" t="s">
        <v>5202</v>
      </c>
      <c r="AI2571" t="s">
        <v>5359</v>
      </c>
      <c r="AJ2571" t="s">
        <v>4655</v>
      </c>
      <c r="AK2571" t="s">
        <v>15681</v>
      </c>
      <c r="AL2571" s="13" t="s">
        <v>1886</v>
      </c>
      <c r="AM2571">
        <v>1</v>
      </c>
      <c r="AN2571" s="15" t="s">
        <v>4904</v>
      </c>
    </row>
    <row r="2572" spans="1:40" x14ac:dyDescent="0.3">
      <c r="A2572" s="10" t="str">
        <f>HYPERLINK("http://www.washoecounty.gov/assessor/cama/?parid=033-213-28&amp;CardNumber=1","033-213-28")</f>
        <v>033-213-28</v>
      </c>
      <c r="B2572" t="s">
        <v>4655</v>
      </c>
      <c r="C2572" t="s">
        <v>15682</v>
      </c>
      <c r="D2572" s="1">
        <v>40374</v>
      </c>
      <c r="E2572" s="2">
        <v>86500</v>
      </c>
      <c r="F2572" t="s">
        <v>4553</v>
      </c>
      <c r="G2572" s="17" t="str">
        <f>HYPERLINK("https://www.washoecounty.gov/assessor/cama/?command=sales&amp;parid=03321328","3901749")</f>
        <v>3901749</v>
      </c>
      <c r="H2572" t="s">
        <v>4819</v>
      </c>
      <c r="I2572">
        <v>1965</v>
      </c>
      <c r="J2572">
        <v>1969</v>
      </c>
      <c r="K2572" t="s">
        <v>4554</v>
      </c>
      <c r="L2572" t="s">
        <v>4555</v>
      </c>
      <c r="M2572" s="2">
        <v>1781</v>
      </c>
      <c r="N2572" t="s">
        <v>4048</v>
      </c>
      <c r="O2572">
        <v>3</v>
      </c>
      <c r="P2572">
        <v>2</v>
      </c>
      <c r="Q2572">
        <v>0</v>
      </c>
      <c r="R2572" t="s">
        <v>4557</v>
      </c>
      <c r="S2572" t="s">
        <v>4558</v>
      </c>
      <c r="T2572" t="s">
        <v>4559</v>
      </c>
      <c r="U2572" t="s">
        <v>4560</v>
      </c>
      <c r="V2572" s="2">
        <v>400</v>
      </c>
      <c r="W2572" t="s">
        <v>4655</v>
      </c>
      <c r="X2572" s="2">
        <v>0</v>
      </c>
      <c r="Y2572">
        <v>20</v>
      </c>
      <c r="Z2572" t="s">
        <v>5200</v>
      </c>
      <c r="AA2572" s="3">
        <v>0.13799357414245605</v>
      </c>
      <c r="AB2572" t="s">
        <v>7645</v>
      </c>
      <c r="AC2572" t="s">
        <v>4562</v>
      </c>
      <c r="AD2572" t="s">
        <v>1912</v>
      </c>
      <c r="AE2572" t="s">
        <v>4655</v>
      </c>
      <c r="AF2572" t="s">
        <v>4563</v>
      </c>
      <c r="AG2572" t="s">
        <v>4564</v>
      </c>
      <c r="AH2572">
        <v>89511</v>
      </c>
      <c r="AI2572" t="s">
        <v>2351</v>
      </c>
      <c r="AJ2572" t="s">
        <v>4655</v>
      </c>
      <c r="AK2572" t="s">
        <v>15683</v>
      </c>
      <c r="AL2572" s="13" t="s">
        <v>1886</v>
      </c>
      <c r="AM2572">
        <v>1</v>
      </c>
      <c r="AN2572" s="15" t="s">
        <v>4904</v>
      </c>
    </row>
    <row r="2573" spans="1:40" x14ac:dyDescent="0.3">
      <c r="A2573" s="10" t="str">
        <f>HYPERLINK("http://www.washoecounty.gov/assessor/cama/?parid=033-215-13&amp;CardNumber=1","033-215-13")</f>
        <v>033-215-13</v>
      </c>
      <c r="B2573" t="s">
        <v>4655</v>
      </c>
      <c r="C2573" t="s">
        <v>15684</v>
      </c>
      <c r="D2573" s="1">
        <v>40354</v>
      </c>
      <c r="E2573" s="2">
        <v>122000</v>
      </c>
      <c r="F2573" t="s">
        <v>4553</v>
      </c>
      <c r="G2573" s="17" t="str">
        <f>HYPERLINK("https://www.washoecounty.gov/assessor/cama/?command=sales&amp;parid=03321513","3895285")</f>
        <v>3895285</v>
      </c>
      <c r="H2573" t="s">
        <v>4819</v>
      </c>
      <c r="I2573">
        <v>1965</v>
      </c>
      <c r="J2573">
        <v>1965</v>
      </c>
      <c r="K2573" t="s">
        <v>4554</v>
      </c>
      <c r="L2573" t="s">
        <v>4555</v>
      </c>
      <c r="M2573" s="2">
        <v>1347</v>
      </c>
      <c r="N2573" t="s">
        <v>4048</v>
      </c>
      <c r="O2573">
        <v>3</v>
      </c>
      <c r="P2573">
        <v>2</v>
      </c>
      <c r="Q2573">
        <v>0</v>
      </c>
      <c r="R2573" t="s">
        <v>4557</v>
      </c>
      <c r="S2573" t="s">
        <v>3148</v>
      </c>
      <c r="T2573" t="s">
        <v>4559</v>
      </c>
      <c r="U2573" t="s">
        <v>4560</v>
      </c>
      <c r="V2573" s="2">
        <v>459</v>
      </c>
      <c r="W2573" t="s">
        <v>4655</v>
      </c>
      <c r="X2573" s="2">
        <v>0</v>
      </c>
      <c r="Y2573">
        <v>20</v>
      </c>
      <c r="Z2573" t="s">
        <v>5200</v>
      </c>
      <c r="AA2573" s="3">
        <v>0.13799357414245605</v>
      </c>
      <c r="AB2573" t="s">
        <v>4673</v>
      </c>
      <c r="AC2573" t="s">
        <v>4562</v>
      </c>
      <c r="AD2573" t="s">
        <v>3093</v>
      </c>
      <c r="AE2573" t="s">
        <v>4655</v>
      </c>
      <c r="AF2573" t="s">
        <v>4563</v>
      </c>
      <c r="AG2573" t="s">
        <v>4564</v>
      </c>
      <c r="AH2573">
        <v>89512</v>
      </c>
      <c r="AI2573" t="s">
        <v>1602</v>
      </c>
      <c r="AJ2573" t="s">
        <v>4655</v>
      </c>
      <c r="AK2573" t="s">
        <v>15685</v>
      </c>
      <c r="AL2573" s="13" t="s">
        <v>1886</v>
      </c>
      <c r="AM2573">
        <v>1</v>
      </c>
      <c r="AN2573" s="15" t="s">
        <v>4904</v>
      </c>
    </row>
    <row r="2574" spans="1:40" x14ac:dyDescent="0.3">
      <c r="A2574" s="10" t="str">
        <f>HYPERLINK("http://www.washoecounty.gov/assessor/cama/?parid=033-215-14&amp;CardNumber=1","033-215-14")</f>
        <v>033-215-14</v>
      </c>
      <c r="B2574" t="s">
        <v>4655</v>
      </c>
      <c r="C2574" t="s">
        <v>15686</v>
      </c>
      <c r="D2574" s="1">
        <v>40534</v>
      </c>
      <c r="E2574" s="2">
        <v>101000</v>
      </c>
      <c r="F2574" t="s">
        <v>4553</v>
      </c>
      <c r="G2574" s="17" t="str">
        <f>HYPERLINK("https://www.washoecounty.gov/assessor/cama/?command=sales&amp;parid=03321514","3956418")</f>
        <v>3956418</v>
      </c>
      <c r="H2574" t="s">
        <v>4819</v>
      </c>
      <c r="I2574">
        <v>1965</v>
      </c>
      <c r="J2574">
        <v>1965</v>
      </c>
      <c r="K2574" t="s">
        <v>4554</v>
      </c>
      <c r="L2574" t="s">
        <v>4555</v>
      </c>
      <c r="M2574" s="2">
        <v>1347</v>
      </c>
      <c r="N2574" t="s">
        <v>4048</v>
      </c>
      <c r="O2574">
        <v>3</v>
      </c>
      <c r="P2574">
        <v>2</v>
      </c>
      <c r="Q2574">
        <v>0</v>
      </c>
      <c r="R2574" t="s">
        <v>4557</v>
      </c>
      <c r="S2574" t="s">
        <v>4558</v>
      </c>
      <c r="T2574" t="s">
        <v>4559</v>
      </c>
      <c r="U2574" t="s">
        <v>4560</v>
      </c>
      <c r="V2574" s="2">
        <v>459</v>
      </c>
      <c r="W2574" t="s">
        <v>4655</v>
      </c>
      <c r="X2574" s="2">
        <v>0</v>
      </c>
      <c r="Y2574">
        <v>20</v>
      </c>
      <c r="Z2574" t="s">
        <v>5200</v>
      </c>
      <c r="AA2574" s="3">
        <v>0.13799357414245605</v>
      </c>
      <c r="AB2574" t="s">
        <v>15687</v>
      </c>
      <c r="AC2574" t="s">
        <v>4562</v>
      </c>
      <c r="AD2574" t="s">
        <v>15688</v>
      </c>
      <c r="AE2574" t="s">
        <v>4655</v>
      </c>
      <c r="AF2574" t="s">
        <v>4809</v>
      </c>
      <c r="AG2574" t="s">
        <v>4564</v>
      </c>
      <c r="AH2574" t="s">
        <v>5202</v>
      </c>
      <c r="AI2574" t="s">
        <v>2399</v>
      </c>
      <c r="AJ2574" t="s">
        <v>4655</v>
      </c>
      <c r="AK2574" t="s">
        <v>15689</v>
      </c>
      <c r="AL2574" s="13" t="s">
        <v>1886</v>
      </c>
      <c r="AM2574" s="14">
        <v>1</v>
      </c>
      <c r="AN2574" s="15" t="s">
        <v>4904</v>
      </c>
    </row>
    <row r="2575" spans="1:40" x14ac:dyDescent="0.3">
      <c r="A2575" s="10" t="str">
        <f>HYPERLINK("http://www.washoecounty.gov/assessor/cama/?parid=033-221-02&amp;CardNumber=1","033-221-02")</f>
        <v>033-221-02</v>
      </c>
      <c r="B2575" t="s">
        <v>4655</v>
      </c>
      <c r="C2575" t="s">
        <v>15690</v>
      </c>
      <c r="D2575" s="1">
        <v>40449</v>
      </c>
      <c r="E2575" s="2">
        <v>131000</v>
      </c>
      <c r="F2575" t="s">
        <v>4567</v>
      </c>
      <c r="G2575" s="17" t="str">
        <f>HYPERLINK("https://www.washoecounty.gov/assessor/cama/?command=sales&amp;parid=03322102","3927121")</f>
        <v>3927121</v>
      </c>
      <c r="H2575" t="s">
        <v>15691</v>
      </c>
      <c r="I2575">
        <v>1966</v>
      </c>
      <c r="J2575">
        <v>1968</v>
      </c>
      <c r="K2575" t="s">
        <v>4554</v>
      </c>
      <c r="L2575" t="s">
        <v>4555</v>
      </c>
      <c r="M2575" s="2">
        <v>1501</v>
      </c>
      <c r="N2575" t="s">
        <v>4048</v>
      </c>
      <c r="O2575">
        <v>3</v>
      </c>
      <c r="P2575">
        <v>1</v>
      </c>
      <c r="Q2575">
        <v>1</v>
      </c>
      <c r="R2575" t="s">
        <v>4557</v>
      </c>
      <c r="S2575" t="s">
        <v>4558</v>
      </c>
      <c r="T2575" t="s">
        <v>4559</v>
      </c>
      <c r="U2575" t="s">
        <v>4560</v>
      </c>
      <c r="V2575" s="2">
        <v>418</v>
      </c>
      <c r="W2575" t="s">
        <v>4655</v>
      </c>
      <c r="X2575" s="2">
        <v>0</v>
      </c>
      <c r="Y2575">
        <v>20</v>
      </c>
      <c r="Z2575" t="s">
        <v>5200</v>
      </c>
      <c r="AA2575" s="3">
        <v>0.15000000596046401</v>
      </c>
      <c r="AB2575" t="s">
        <v>15692</v>
      </c>
      <c r="AC2575" t="s">
        <v>4575</v>
      </c>
      <c r="AD2575" t="s">
        <v>15693</v>
      </c>
      <c r="AE2575" t="s">
        <v>15690</v>
      </c>
      <c r="AF2575" t="s">
        <v>5201</v>
      </c>
      <c r="AG2575" t="s">
        <v>4564</v>
      </c>
      <c r="AH2575" t="s">
        <v>5202</v>
      </c>
      <c r="AI2575" t="s">
        <v>15694</v>
      </c>
      <c r="AJ2575" t="s">
        <v>4655</v>
      </c>
      <c r="AK2575" t="s">
        <v>15695</v>
      </c>
      <c r="AL2575" s="13" t="s">
        <v>1886</v>
      </c>
      <c r="AM2575">
        <v>1</v>
      </c>
      <c r="AN2575" s="15" t="s">
        <v>4904</v>
      </c>
    </row>
    <row r="2576" spans="1:40" x14ac:dyDescent="0.3">
      <c r="A2576" s="10" t="str">
        <f>HYPERLINK("http://www.washoecounty.gov/assessor/cama/?parid=033-231-01&amp;CardNumber=1","033-231-01")</f>
        <v>033-231-01</v>
      </c>
      <c r="B2576" t="s">
        <v>4655</v>
      </c>
      <c r="C2576" t="s">
        <v>15696</v>
      </c>
      <c r="D2576" s="1">
        <v>40217</v>
      </c>
      <c r="E2576" s="2">
        <v>120000</v>
      </c>
      <c r="F2576" t="s">
        <v>4553</v>
      </c>
      <c r="G2576" s="17" t="str">
        <f>HYPERLINK("https://www.washoecounty.gov/assessor/cama/?command=sales&amp;parid=03323101","3847024")</f>
        <v>3847024</v>
      </c>
      <c r="H2576" t="s">
        <v>15697</v>
      </c>
      <c r="I2576">
        <v>1965</v>
      </c>
      <c r="J2576">
        <v>1970</v>
      </c>
      <c r="K2576" t="s">
        <v>4554</v>
      </c>
      <c r="L2576" t="s">
        <v>3974</v>
      </c>
      <c r="M2576" s="2">
        <v>1787</v>
      </c>
      <c r="N2576" t="s">
        <v>4048</v>
      </c>
      <c r="O2576">
        <v>3</v>
      </c>
      <c r="P2576">
        <v>2</v>
      </c>
      <c r="Q2576">
        <v>0</v>
      </c>
      <c r="R2576" t="s">
        <v>4557</v>
      </c>
      <c r="S2576" t="s">
        <v>3148</v>
      </c>
      <c r="T2576" t="s">
        <v>4559</v>
      </c>
      <c r="U2576" t="s">
        <v>4560</v>
      </c>
      <c r="V2576" s="2">
        <v>459</v>
      </c>
      <c r="W2576" t="s">
        <v>4655</v>
      </c>
      <c r="X2576" s="2">
        <v>0</v>
      </c>
      <c r="Y2576">
        <v>20</v>
      </c>
      <c r="Z2576" t="s">
        <v>5200</v>
      </c>
      <c r="AA2576" s="3">
        <v>0.16200642287731201</v>
      </c>
      <c r="AB2576" t="s">
        <v>15698</v>
      </c>
      <c r="AC2576" t="s">
        <v>4562</v>
      </c>
      <c r="AD2576" t="s">
        <v>15696</v>
      </c>
      <c r="AE2576" t="s">
        <v>4655</v>
      </c>
      <c r="AF2576" t="s">
        <v>5201</v>
      </c>
      <c r="AG2576" t="s">
        <v>4564</v>
      </c>
      <c r="AH2576" t="s">
        <v>5202</v>
      </c>
      <c r="AI2576" t="s">
        <v>4045</v>
      </c>
      <c r="AJ2576" t="s">
        <v>4655</v>
      </c>
      <c r="AK2576" t="s">
        <v>15699</v>
      </c>
      <c r="AL2576" s="13" t="s">
        <v>1886</v>
      </c>
      <c r="AM2576">
        <v>1</v>
      </c>
      <c r="AN2576" s="15" t="s">
        <v>4904</v>
      </c>
    </row>
    <row r="2577" spans="1:40" x14ac:dyDescent="0.3">
      <c r="A2577" s="10" t="str">
        <f>HYPERLINK("http://www.washoecounty.gov/assessor/cama/?parid=033-231-02&amp;CardNumber=1","033-231-02")</f>
        <v>033-231-02</v>
      </c>
      <c r="B2577" t="s">
        <v>4655</v>
      </c>
      <c r="C2577" t="s">
        <v>15700</v>
      </c>
      <c r="D2577" s="1">
        <v>40326</v>
      </c>
      <c r="E2577" s="2">
        <v>121000</v>
      </c>
      <c r="F2577" t="s">
        <v>4553</v>
      </c>
      <c r="G2577" s="17" t="str">
        <f>HYPERLINK("https://www.washoecounty.gov/assessor/cama/?command=sales&amp;parid=03323102","3886495")</f>
        <v>3886495</v>
      </c>
      <c r="H2577" t="s">
        <v>3871</v>
      </c>
      <c r="I2577">
        <v>1965</v>
      </c>
      <c r="J2577">
        <v>1965</v>
      </c>
      <c r="K2577" t="s">
        <v>4554</v>
      </c>
      <c r="L2577" t="s">
        <v>4555</v>
      </c>
      <c r="M2577" s="2">
        <v>1404</v>
      </c>
      <c r="N2577" t="s">
        <v>4048</v>
      </c>
      <c r="O2577">
        <v>4</v>
      </c>
      <c r="P2577">
        <v>2</v>
      </c>
      <c r="Q2577">
        <v>0</v>
      </c>
      <c r="R2577" t="s">
        <v>4557</v>
      </c>
      <c r="S2577" t="s">
        <v>4135</v>
      </c>
      <c r="T2577" t="s">
        <v>4559</v>
      </c>
      <c r="U2577" t="s">
        <v>4560</v>
      </c>
      <c r="V2577" s="2">
        <v>450</v>
      </c>
      <c r="W2577" t="s">
        <v>4655</v>
      </c>
      <c r="X2577" s="2">
        <v>0</v>
      </c>
      <c r="Y2577">
        <v>20</v>
      </c>
      <c r="Z2577" t="s">
        <v>5200</v>
      </c>
      <c r="AA2577" s="3">
        <v>0.14201101660728499</v>
      </c>
      <c r="AB2577" t="s">
        <v>15701</v>
      </c>
      <c r="AC2577" t="s">
        <v>4562</v>
      </c>
      <c r="AD2577" t="s">
        <v>15700</v>
      </c>
      <c r="AE2577" t="s">
        <v>4655</v>
      </c>
      <c r="AF2577" t="s">
        <v>5201</v>
      </c>
      <c r="AG2577" t="s">
        <v>4564</v>
      </c>
      <c r="AH2577" t="s">
        <v>5202</v>
      </c>
      <c r="AI2577" t="s">
        <v>1602</v>
      </c>
      <c r="AJ2577" t="s">
        <v>4655</v>
      </c>
      <c r="AK2577" t="s">
        <v>15702</v>
      </c>
      <c r="AL2577" s="13" t="s">
        <v>1886</v>
      </c>
      <c r="AM2577" s="14">
        <v>1</v>
      </c>
      <c r="AN2577" s="15" t="s">
        <v>4904</v>
      </c>
    </row>
    <row r="2578" spans="1:40" x14ac:dyDescent="0.3">
      <c r="A2578" s="10" t="str">
        <f>HYPERLINK("http://www.washoecounty.gov/assessor/cama/?parid=033-231-04&amp;CardNumber=1","033-231-04")</f>
        <v>033-231-04</v>
      </c>
      <c r="B2578" t="s">
        <v>4655</v>
      </c>
      <c r="C2578" t="s">
        <v>15703</v>
      </c>
      <c r="D2578" s="1">
        <v>40470</v>
      </c>
      <c r="E2578" s="2">
        <v>142000</v>
      </c>
      <c r="F2578" t="s">
        <v>4567</v>
      </c>
      <c r="G2578" s="17" t="str">
        <f>HYPERLINK("https://www.washoecounty.gov/assessor/cama/?command=sales&amp;parid=03323104","3934358")</f>
        <v>3934358</v>
      </c>
      <c r="H2578" t="s">
        <v>15697</v>
      </c>
      <c r="I2578">
        <v>1965</v>
      </c>
      <c r="J2578">
        <v>1965</v>
      </c>
      <c r="K2578" t="s">
        <v>4554</v>
      </c>
      <c r="L2578" t="s">
        <v>4555</v>
      </c>
      <c r="M2578" s="2">
        <v>1406</v>
      </c>
      <c r="N2578" t="s">
        <v>4048</v>
      </c>
      <c r="O2578">
        <v>4</v>
      </c>
      <c r="P2578">
        <v>2</v>
      </c>
      <c r="Q2578">
        <v>0</v>
      </c>
      <c r="R2578" t="s">
        <v>4557</v>
      </c>
      <c r="S2578" t="s">
        <v>4135</v>
      </c>
      <c r="T2578" t="s">
        <v>4559</v>
      </c>
      <c r="U2578" t="s">
        <v>4560</v>
      </c>
      <c r="V2578" s="2">
        <v>416</v>
      </c>
      <c r="W2578" t="s">
        <v>4655</v>
      </c>
      <c r="X2578" s="2">
        <v>0</v>
      </c>
      <c r="Y2578">
        <v>20</v>
      </c>
      <c r="Z2578" t="s">
        <v>5200</v>
      </c>
      <c r="AA2578" s="3">
        <v>0.13799357414245605</v>
      </c>
      <c r="AB2578" t="s">
        <v>15704</v>
      </c>
      <c r="AC2578" t="s">
        <v>4562</v>
      </c>
      <c r="AD2578" t="s">
        <v>15703</v>
      </c>
      <c r="AE2578" t="s">
        <v>4655</v>
      </c>
      <c r="AF2578" t="s">
        <v>5201</v>
      </c>
      <c r="AG2578" t="s">
        <v>4564</v>
      </c>
      <c r="AH2578" t="s">
        <v>5202</v>
      </c>
      <c r="AI2578" t="s">
        <v>15705</v>
      </c>
      <c r="AJ2578" t="s">
        <v>4655</v>
      </c>
      <c r="AK2578" t="s">
        <v>15706</v>
      </c>
      <c r="AL2578" s="13" t="s">
        <v>1886</v>
      </c>
      <c r="AM2578">
        <v>1</v>
      </c>
      <c r="AN2578" s="15" t="s">
        <v>4904</v>
      </c>
    </row>
    <row r="2579" spans="1:40" x14ac:dyDescent="0.3">
      <c r="A2579" s="10" t="str">
        <f>HYPERLINK("http://www.washoecounty.gov/assessor/cama/?parid=033-232-11&amp;CardNumber=1","033-232-11")</f>
        <v>033-232-11</v>
      </c>
      <c r="B2579" t="s">
        <v>4655</v>
      </c>
      <c r="C2579" t="s">
        <v>15707</v>
      </c>
      <c r="D2579" s="1">
        <v>40199</v>
      </c>
      <c r="E2579" s="2">
        <v>131000</v>
      </c>
      <c r="F2579" t="s">
        <v>4553</v>
      </c>
      <c r="G2579" s="17" t="str">
        <f>HYPERLINK("https://www.washoecounty.gov/assessor/cama/?command=sales&amp;parid=03323211","3841504")</f>
        <v>3841504</v>
      </c>
      <c r="H2579" t="s">
        <v>15697</v>
      </c>
      <c r="I2579">
        <v>1965</v>
      </c>
      <c r="J2579">
        <v>1965</v>
      </c>
      <c r="K2579" t="s">
        <v>4554</v>
      </c>
      <c r="L2579" t="s">
        <v>4555</v>
      </c>
      <c r="M2579" s="2">
        <v>1347</v>
      </c>
      <c r="N2579" t="s">
        <v>4048</v>
      </c>
      <c r="O2579">
        <v>3</v>
      </c>
      <c r="P2579">
        <v>2</v>
      </c>
      <c r="Q2579">
        <v>0</v>
      </c>
      <c r="R2579" t="s">
        <v>4557</v>
      </c>
      <c r="S2579" t="s">
        <v>4135</v>
      </c>
      <c r="T2579" t="s">
        <v>4559</v>
      </c>
      <c r="U2579" t="s">
        <v>4560</v>
      </c>
      <c r="V2579" s="2">
        <v>459</v>
      </c>
      <c r="W2579" t="s">
        <v>4655</v>
      </c>
      <c r="X2579" s="2">
        <v>0</v>
      </c>
      <c r="Y2579">
        <v>20</v>
      </c>
      <c r="Z2579" t="s">
        <v>5200</v>
      </c>
      <c r="AA2579" s="3">
        <v>0.13799357414245605</v>
      </c>
      <c r="AB2579" t="s">
        <v>15708</v>
      </c>
      <c r="AC2579" t="s">
        <v>4562</v>
      </c>
      <c r="AD2579" t="s">
        <v>15709</v>
      </c>
      <c r="AE2579" t="s">
        <v>4655</v>
      </c>
      <c r="AF2579" t="s">
        <v>4809</v>
      </c>
      <c r="AG2579" t="s">
        <v>4564</v>
      </c>
      <c r="AH2579" t="s">
        <v>5202</v>
      </c>
      <c r="AI2579" t="s">
        <v>4903</v>
      </c>
      <c r="AJ2579" t="s">
        <v>4655</v>
      </c>
      <c r="AK2579" t="s">
        <v>15710</v>
      </c>
      <c r="AL2579" s="13" t="s">
        <v>1886</v>
      </c>
      <c r="AM2579">
        <v>1</v>
      </c>
      <c r="AN2579" s="15" t="s">
        <v>4904</v>
      </c>
    </row>
    <row r="2580" spans="1:40" x14ac:dyDescent="0.3">
      <c r="A2580" s="10" t="str">
        <f>HYPERLINK("http://www.washoecounty.gov/assessor/cama/?parid=033-233-06&amp;CardNumber=1","033-233-06")</f>
        <v>033-233-06</v>
      </c>
      <c r="B2580" t="s">
        <v>4655</v>
      </c>
      <c r="C2580" t="s">
        <v>15711</v>
      </c>
      <c r="D2580" s="1">
        <v>40214</v>
      </c>
      <c r="E2580" s="2">
        <v>140000</v>
      </c>
      <c r="F2580" t="s">
        <v>4567</v>
      </c>
      <c r="G2580" s="17" t="str">
        <f>HYPERLINK("https://www.washoecounty.gov/assessor/cama/?command=sales&amp;parid=03323306","3846448")</f>
        <v>3846448</v>
      </c>
      <c r="H2580" t="s">
        <v>3871</v>
      </c>
      <c r="I2580">
        <v>1965</v>
      </c>
      <c r="J2580">
        <v>1965</v>
      </c>
      <c r="K2580" t="s">
        <v>4554</v>
      </c>
      <c r="L2580" t="s">
        <v>4555</v>
      </c>
      <c r="M2580" s="2">
        <v>1406</v>
      </c>
      <c r="N2580" t="s">
        <v>4048</v>
      </c>
      <c r="O2580">
        <v>4</v>
      </c>
      <c r="P2580">
        <v>2</v>
      </c>
      <c r="Q2580">
        <v>0</v>
      </c>
      <c r="R2580" t="s">
        <v>4557</v>
      </c>
      <c r="S2580" t="s">
        <v>4558</v>
      </c>
      <c r="T2580" t="s">
        <v>4559</v>
      </c>
      <c r="U2580" t="s">
        <v>4560</v>
      </c>
      <c r="V2580" s="2">
        <v>416</v>
      </c>
      <c r="W2580" t="s">
        <v>4655</v>
      </c>
      <c r="X2580" s="2">
        <v>0</v>
      </c>
      <c r="Y2580">
        <v>20</v>
      </c>
      <c r="Z2580" t="s">
        <v>5200</v>
      </c>
      <c r="AA2580" s="3">
        <v>0.13799357414245605</v>
      </c>
      <c r="AB2580" t="s">
        <v>15712</v>
      </c>
      <c r="AC2580" t="s">
        <v>4562</v>
      </c>
      <c r="AD2580" t="s">
        <v>15711</v>
      </c>
      <c r="AE2580" t="s">
        <v>4655</v>
      </c>
      <c r="AF2580" t="s">
        <v>5201</v>
      </c>
      <c r="AG2580" t="s">
        <v>4564</v>
      </c>
      <c r="AH2580" t="s">
        <v>5202</v>
      </c>
      <c r="AI2580" t="s">
        <v>15713</v>
      </c>
      <c r="AJ2580" t="s">
        <v>4655</v>
      </c>
      <c r="AK2580" t="s">
        <v>15714</v>
      </c>
      <c r="AL2580" s="13" t="s">
        <v>1886</v>
      </c>
      <c r="AM2580">
        <v>1</v>
      </c>
      <c r="AN2580" s="15" t="s">
        <v>4904</v>
      </c>
    </row>
    <row r="2581" spans="1:40" x14ac:dyDescent="0.3">
      <c r="A2581" s="10" t="str">
        <f>HYPERLINK("http://www.washoecounty.gov/assessor/cama/?parid=033-234-05&amp;CardNumber=1","033-234-05")</f>
        <v>033-234-05</v>
      </c>
      <c r="B2581" t="s">
        <v>4655</v>
      </c>
      <c r="C2581" t="s">
        <v>15715</v>
      </c>
      <c r="D2581" s="1">
        <v>40319</v>
      </c>
      <c r="E2581" s="2">
        <v>104343</v>
      </c>
      <c r="F2581" t="s">
        <v>4553</v>
      </c>
      <c r="G2581" s="17" t="str">
        <f>HYPERLINK("https://www.washoecounty.gov/assessor/cama/?command=sales&amp;parid=03323405","3883654")</f>
        <v>3883654</v>
      </c>
      <c r="H2581" t="s">
        <v>3871</v>
      </c>
      <c r="I2581">
        <v>1965</v>
      </c>
      <c r="J2581">
        <v>1965</v>
      </c>
      <c r="K2581" t="s">
        <v>4554</v>
      </c>
      <c r="L2581" t="s">
        <v>4555</v>
      </c>
      <c r="M2581" s="2">
        <v>1347</v>
      </c>
      <c r="N2581" t="s">
        <v>4048</v>
      </c>
      <c r="O2581">
        <v>3</v>
      </c>
      <c r="P2581">
        <v>2</v>
      </c>
      <c r="Q2581">
        <v>0</v>
      </c>
      <c r="R2581" t="s">
        <v>4557</v>
      </c>
      <c r="S2581" t="s">
        <v>4135</v>
      </c>
      <c r="T2581" t="s">
        <v>4559</v>
      </c>
      <c r="U2581" t="s">
        <v>4560</v>
      </c>
      <c r="V2581" s="2">
        <v>459</v>
      </c>
      <c r="W2581" t="s">
        <v>4655</v>
      </c>
      <c r="X2581" s="2">
        <v>0</v>
      </c>
      <c r="Y2581">
        <v>20</v>
      </c>
      <c r="Z2581" t="s">
        <v>5200</v>
      </c>
      <c r="AA2581" s="3">
        <v>0.13799357414245605</v>
      </c>
      <c r="AB2581" t="s">
        <v>4673</v>
      </c>
      <c r="AC2581" t="s">
        <v>4562</v>
      </c>
      <c r="AD2581" t="s">
        <v>3093</v>
      </c>
      <c r="AE2581" t="s">
        <v>4655</v>
      </c>
      <c r="AF2581" t="s">
        <v>4563</v>
      </c>
      <c r="AG2581" t="s">
        <v>4564</v>
      </c>
      <c r="AH2581">
        <v>89512</v>
      </c>
      <c r="AI2581" t="s">
        <v>4503</v>
      </c>
      <c r="AJ2581" t="s">
        <v>4655</v>
      </c>
      <c r="AK2581" t="s">
        <v>15716</v>
      </c>
      <c r="AL2581" s="13" t="s">
        <v>1886</v>
      </c>
      <c r="AM2581">
        <v>1</v>
      </c>
      <c r="AN2581" s="15" t="s">
        <v>4904</v>
      </c>
    </row>
    <row r="2582" spans="1:40" x14ac:dyDescent="0.3">
      <c r="A2582" s="10" t="str">
        <f>HYPERLINK("http://www.washoecounty.gov/assessor/cama/?parid=033-242-02&amp;CardNumber=1","033-242-02")</f>
        <v>033-242-02</v>
      </c>
      <c r="B2582" t="s">
        <v>4655</v>
      </c>
      <c r="C2582" t="s">
        <v>15717</v>
      </c>
      <c r="D2582" s="1">
        <v>40305</v>
      </c>
      <c r="E2582" s="2">
        <v>105000</v>
      </c>
      <c r="F2582" t="s">
        <v>4567</v>
      </c>
      <c r="G2582" s="17" t="str">
        <f>HYPERLINK("https://www.washoecounty.gov/assessor/cama/?command=sales&amp;parid=03324202","3879396")</f>
        <v>3879396</v>
      </c>
      <c r="H2582" t="s">
        <v>15718</v>
      </c>
      <c r="I2582">
        <v>1925</v>
      </c>
      <c r="J2582">
        <v>1925</v>
      </c>
      <c r="K2582" t="s">
        <v>4554</v>
      </c>
      <c r="L2582" t="s">
        <v>4555</v>
      </c>
      <c r="M2582" s="2">
        <v>1301</v>
      </c>
      <c r="N2582" t="s">
        <v>4556</v>
      </c>
      <c r="O2582">
        <v>2</v>
      </c>
      <c r="P2582">
        <v>1</v>
      </c>
      <c r="Q2582">
        <v>0</v>
      </c>
      <c r="R2582" t="s">
        <v>4134</v>
      </c>
      <c r="S2582" t="s">
        <v>4135</v>
      </c>
      <c r="T2582" t="s">
        <v>4559</v>
      </c>
      <c r="U2582" t="s">
        <v>4655</v>
      </c>
      <c r="V2582" s="2">
        <v>0</v>
      </c>
      <c r="W2582" t="s">
        <v>4655</v>
      </c>
      <c r="X2582" s="2">
        <v>0</v>
      </c>
      <c r="Y2582">
        <v>20</v>
      </c>
      <c r="Z2582" t="s">
        <v>2081</v>
      </c>
      <c r="AA2582" s="3">
        <v>0.13799357414245605</v>
      </c>
      <c r="AB2582" t="s">
        <v>12955</v>
      </c>
      <c r="AC2582" t="s">
        <v>4562</v>
      </c>
      <c r="AD2582" t="s">
        <v>12956</v>
      </c>
      <c r="AE2582" t="s">
        <v>4655</v>
      </c>
      <c r="AF2582" t="s">
        <v>12957</v>
      </c>
      <c r="AG2582" t="s">
        <v>4584</v>
      </c>
      <c r="AH2582" t="s">
        <v>2485</v>
      </c>
      <c r="AI2582" t="s">
        <v>12958</v>
      </c>
      <c r="AJ2582" t="s">
        <v>4655</v>
      </c>
      <c r="AK2582" t="s">
        <v>15719</v>
      </c>
      <c r="AL2582" s="13" t="s">
        <v>3426</v>
      </c>
      <c r="AM2582">
        <v>1</v>
      </c>
      <c r="AN2582" s="15" t="s">
        <v>4396</v>
      </c>
    </row>
    <row r="2583" spans="1:40" x14ac:dyDescent="0.3">
      <c r="A2583" s="10" t="str">
        <f>HYPERLINK("http://www.washoecounty.gov/assessor/cama/?parid=033-243-09&amp;CardNumber=1","033-243-09")</f>
        <v>033-243-09</v>
      </c>
      <c r="B2583" t="s">
        <v>5502</v>
      </c>
      <c r="C2583" t="s">
        <v>15720</v>
      </c>
      <c r="D2583" s="1">
        <v>40367</v>
      </c>
      <c r="E2583" s="2">
        <v>132500</v>
      </c>
      <c r="F2583" t="s">
        <v>4553</v>
      </c>
      <c r="G2583" s="17" t="str">
        <f>HYPERLINK("https://www.washoecounty.gov/assessor/cama/?command=sales&amp;parid=03324309","3899517")</f>
        <v>3899517</v>
      </c>
      <c r="H2583" t="s">
        <v>2270</v>
      </c>
      <c r="I2583">
        <v>1904</v>
      </c>
      <c r="J2583">
        <v>1904</v>
      </c>
      <c r="K2583" t="s">
        <v>4554</v>
      </c>
      <c r="L2583" t="s">
        <v>4555</v>
      </c>
      <c r="M2583" s="2">
        <v>1233</v>
      </c>
      <c r="N2583" t="s">
        <v>4556</v>
      </c>
      <c r="O2583">
        <v>2</v>
      </c>
      <c r="P2583">
        <v>1</v>
      </c>
      <c r="Q2583">
        <v>0</v>
      </c>
      <c r="R2583" t="s">
        <v>4557</v>
      </c>
      <c r="S2583" t="s">
        <v>4574</v>
      </c>
      <c r="T2583" t="s">
        <v>3888</v>
      </c>
      <c r="U2583" t="s">
        <v>4655</v>
      </c>
      <c r="V2583" s="2">
        <v>0</v>
      </c>
      <c r="W2583" t="s">
        <v>4655</v>
      </c>
      <c r="X2583" s="2">
        <v>0</v>
      </c>
      <c r="Y2583">
        <v>31</v>
      </c>
      <c r="Z2583" t="s">
        <v>2081</v>
      </c>
      <c r="AA2583" s="3">
        <v>0.13799357414245605</v>
      </c>
      <c r="AB2583" t="s">
        <v>15721</v>
      </c>
      <c r="AC2583" t="s">
        <v>4575</v>
      </c>
      <c r="AD2583" t="s">
        <v>15722</v>
      </c>
      <c r="AE2583" t="s">
        <v>4655</v>
      </c>
      <c r="AF2583" t="s">
        <v>2855</v>
      </c>
      <c r="AG2583" t="s">
        <v>4564</v>
      </c>
      <c r="AH2583" t="s">
        <v>4290</v>
      </c>
      <c r="AI2583" t="s">
        <v>4655</v>
      </c>
      <c r="AJ2583" t="s">
        <v>4655</v>
      </c>
      <c r="AK2583" t="s">
        <v>15723</v>
      </c>
      <c r="AL2583" s="13" t="s">
        <v>3426</v>
      </c>
      <c r="AM2583">
        <v>2</v>
      </c>
      <c r="AN2583" s="15" t="s">
        <v>5501</v>
      </c>
    </row>
    <row r="2584" spans="1:40" x14ac:dyDescent="0.3">
      <c r="A2584" s="10" t="str">
        <f>HYPERLINK("http://www.washoecounty.gov/assessor/cama/?parid=033-245-01&amp;CardNumber=1","033-245-01")</f>
        <v>033-245-01</v>
      </c>
      <c r="B2584" t="s">
        <v>4655</v>
      </c>
      <c r="C2584" t="s">
        <v>15724</v>
      </c>
      <c r="D2584" s="1">
        <v>40374</v>
      </c>
      <c r="E2584" s="2">
        <v>228500</v>
      </c>
      <c r="F2584" t="s">
        <v>3259</v>
      </c>
      <c r="G2584" s="17" t="str">
        <f>HYPERLINK("https://www.washoecounty.gov/assessor/cama/?command=sales&amp;parid=03324501","3901627")</f>
        <v>3901627</v>
      </c>
      <c r="H2584" t="s">
        <v>15725</v>
      </c>
      <c r="I2584">
        <v>1938</v>
      </c>
      <c r="J2584">
        <v>1938</v>
      </c>
      <c r="K2584" t="s">
        <v>1391</v>
      </c>
      <c r="L2584" t="s">
        <v>3886</v>
      </c>
      <c r="M2584" s="2">
        <v>1669</v>
      </c>
      <c r="N2584" t="s">
        <v>4048</v>
      </c>
      <c r="O2584">
        <v>0</v>
      </c>
      <c r="P2584">
        <v>2</v>
      </c>
      <c r="Q2584">
        <v>0</v>
      </c>
      <c r="R2584" t="s">
        <v>5281</v>
      </c>
      <c r="S2584" t="s">
        <v>4682</v>
      </c>
      <c r="T2584" t="s">
        <v>4559</v>
      </c>
      <c r="U2584" t="s">
        <v>4655</v>
      </c>
      <c r="V2584" s="2">
        <v>0</v>
      </c>
      <c r="W2584" t="s">
        <v>4655</v>
      </c>
      <c r="X2584" s="2">
        <v>0</v>
      </c>
      <c r="Y2584">
        <v>41</v>
      </c>
      <c r="Z2584" t="s">
        <v>2081</v>
      </c>
      <c r="AA2584" s="3">
        <v>0.146992653608322</v>
      </c>
      <c r="AB2584" t="s">
        <v>15726</v>
      </c>
      <c r="AC2584" t="s">
        <v>4562</v>
      </c>
      <c r="AD2584" t="s">
        <v>15724</v>
      </c>
      <c r="AE2584" t="s">
        <v>4655</v>
      </c>
      <c r="AF2584" t="s">
        <v>5201</v>
      </c>
      <c r="AG2584" t="s">
        <v>4564</v>
      </c>
      <c r="AH2584" t="s">
        <v>5202</v>
      </c>
      <c r="AI2584" t="s">
        <v>15727</v>
      </c>
      <c r="AJ2584" t="s">
        <v>4655</v>
      </c>
      <c r="AK2584" t="s">
        <v>15728</v>
      </c>
      <c r="AL2584" s="13" t="s">
        <v>3426</v>
      </c>
      <c r="AM2584" s="14">
        <v>1</v>
      </c>
      <c r="AN2584" s="15" t="s">
        <v>4858</v>
      </c>
    </row>
    <row r="2585" spans="1:40" x14ac:dyDescent="0.3">
      <c r="A2585" s="10" t="str">
        <f>HYPERLINK("http://www.washoecounty.gov/assessor/cama/?parid=033-245-08&amp;CardNumber=1","033-245-08")</f>
        <v>033-245-08</v>
      </c>
      <c r="B2585" t="s">
        <v>4655</v>
      </c>
      <c r="C2585" t="s">
        <v>15729</v>
      </c>
      <c r="D2585" s="1">
        <v>40386</v>
      </c>
      <c r="E2585" s="2">
        <v>57500</v>
      </c>
      <c r="F2585" t="s">
        <v>4567</v>
      </c>
      <c r="G2585" s="17" t="str">
        <f>HYPERLINK("https://www.washoecounty.gov/assessor/cama/?command=sales&amp;parid=03324508","3905307")</f>
        <v>3905307</v>
      </c>
      <c r="H2585" t="s">
        <v>1281</v>
      </c>
      <c r="I2585">
        <v>1930</v>
      </c>
      <c r="J2585">
        <v>1980</v>
      </c>
      <c r="K2585" t="s">
        <v>4554</v>
      </c>
      <c r="L2585" t="s">
        <v>4555</v>
      </c>
      <c r="M2585" s="2">
        <v>732</v>
      </c>
      <c r="N2585" t="s">
        <v>4133</v>
      </c>
      <c r="O2585">
        <v>2</v>
      </c>
      <c r="P2585">
        <v>1</v>
      </c>
      <c r="Q2585">
        <v>0</v>
      </c>
      <c r="R2585" t="s">
        <v>4134</v>
      </c>
      <c r="S2585" t="s">
        <v>4558</v>
      </c>
      <c r="T2585" t="s">
        <v>4559</v>
      </c>
      <c r="U2585" t="s">
        <v>4655</v>
      </c>
      <c r="V2585" s="2">
        <v>0</v>
      </c>
      <c r="W2585" t="s">
        <v>4655</v>
      </c>
      <c r="X2585" s="2">
        <v>0</v>
      </c>
      <c r="Y2585">
        <v>20</v>
      </c>
      <c r="Z2585" t="s">
        <v>2081</v>
      </c>
      <c r="AA2585" s="3">
        <v>5.1010102033615098E-2</v>
      </c>
      <c r="AB2585" t="s">
        <v>1282</v>
      </c>
      <c r="AC2585" t="s">
        <v>4575</v>
      </c>
      <c r="AD2585" t="s">
        <v>15730</v>
      </c>
      <c r="AE2585" t="s">
        <v>4655</v>
      </c>
      <c r="AF2585" t="s">
        <v>1928</v>
      </c>
      <c r="AG2585" t="s">
        <v>4584</v>
      </c>
      <c r="AH2585">
        <v>94607</v>
      </c>
      <c r="AI2585" t="s">
        <v>15731</v>
      </c>
      <c r="AJ2585" t="s">
        <v>4655</v>
      </c>
      <c r="AK2585" t="s">
        <v>15732</v>
      </c>
      <c r="AL2585" s="13" t="s">
        <v>3426</v>
      </c>
      <c r="AM2585" s="14">
        <v>1</v>
      </c>
      <c r="AN2585" s="15" t="s">
        <v>4396</v>
      </c>
    </row>
    <row r="2586" spans="1:40" x14ac:dyDescent="0.3">
      <c r="A2586" s="10" t="str">
        <f>HYPERLINK("http://www.washoecounty.gov/assessor/cama/?parid=033-247-05&amp;CardNumber=1","033-247-05")</f>
        <v>033-247-05</v>
      </c>
      <c r="B2586" t="s">
        <v>4655</v>
      </c>
      <c r="C2586" t="s">
        <v>15733</v>
      </c>
      <c r="D2586" s="1">
        <v>40379</v>
      </c>
      <c r="E2586" s="2">
        <v>55000</v>
      </c>
      <c r="F2586" t="s">
        <v>4553</v>
      </c>
      <c r="G2586" s="17" t="str">
        <f>HYPERLINK("https://www.washoecounty.gov/assessor/cama/?command=sales&amp;parid=03324705","3902904")</f>
        <v>3902904</v>
      </c>
      <c r="H2586" t="s">
        <v>15734</v>
      </c>
      <c r="I2586">
        <v>1925</v>
      </c>
      <c r="J2586">
        <v>1925</v>
      </c>
      <c r="K2586" t="s">
        <v>4554</v>
      </c>
      <c r="L2586" t="s">
        <v>4555</v>
      </c>
      <c r="M2586" s="2">
        <v>696</v>
      </c>
      <c r="N2586" t="s">
        <v>4133</v>
      </c>
      <c r="O2586">
        <v>2</v>
      </c>
      <c r="P2586">
        <v>1</v>
      </c>
      <c r="Q2586">
        <v>0</v>
      </c>
      <c r="R2586" t="s">
        <v>4134</v>
      </c>
      <c r="S2586" t="s">
        <v>4574</v>
      </c>
      <c r="T2586" t="s">
        <v>4559</v>
      </c>
      <c r="U2586" t="s">
        <v>4560</v>
      </c>
      <c r="V2586" s="2">
        <v>200</v>
      </c>
      <c r="W2586" t="s">
        <v>4655</v>
      </c>
      <c r="X2586" s="2">
        <v>0</v>
      </c>
      <c r="Y2586">
        <v>20</v>
      </c>
      <c r="Z2586" t="s">
        <v>2081</v>
      </c>
      <c r="AA2586" s="3">
        <v>0.103007346391678</v>
      </c>
      <c r="AB2586" t="s">
        <v>15735</v>
      </c>
      <c r="AC2586" t="s">
        <v>4562</v>
      </c>
      <c r="AD2586" t="s">
        <v>15736</v>
      </c>
      <c r="AE2586" t="s">
        <v>4655</v>
      </c>
      <c r="AF2586" t="s">
        <v>1812</v>
      </c>
      <c r="AG2586" t="s">
        <v>4584</v>
      </c>
      <c r="AH2586" t="s">
        <v>15737</v>
      </c>
      <c r="AI2586" t="s">
        <v>4903</v>
      </c>
      <c r="AJ2586" t="s">
        <v>4655</v>
      </c>
      <c r="AK2586" t="s">
        <v>15738</v>
      </c>
      <c r="AL2586" s="13" t="s">
        <v>3426</v>
      </c>
      <c r="AM2586" s="14">
        <v>1</v>
      </c>
      <c r="AN2586" s="15" t="s">
        <v>4396</v>
      </c>
    </row>
    <row r="2587" spans="1:40" x14ac:dyDescent="0.3">
      <c r="A2587" s="10" t="str">
        <f>HYPERLINK("http://www.washoecounty.gov/assessor/cama/?parid=033-261-01&amp;CardNumber=1","033-261-01")</f>
        <v>033-261-01</v>
      </c>
      <c r="B2587" t="s">
        <v>4655</v>
      </c>
      <c r="C2587" t="s">
        <v>15739</v>
      </c>
      <c r="D2587" s="1">
        <v>40511</v>
      </c>
      <c r="E2587" s="2">
        <v>48100</v>
      </c>
      <c r="F2587" t="s">
        <v>4553</v>
      </c>
      <c r="G2587" s="17" t="str">
        <f>HYPERLINK("https://www.washoecounty.gov/assessor/cama/?command=sales&amp;parid=03326101","3947072")</f>
        <v>3947072</v>
      </c>
      <c r="H2587" t="s">
        <v>4818</v>
      </c>
      <c r="I2587">
        <v>1943</v>
      </c>
      <c r="J2587">
        <v>1943</v>
      </c>
      <c r="K2587" t="s">
        <v>4554</v>
      </c>
      <c r="L2587" t="s">
        <v>4555</v>
      </c>
      <c r="M2587" s="2">
        <v>800</v>
      </c>
      <c r="N2587" t="s">
        <v>4556</v>
      </c>
      <c r="O2587">
        <v>2</v>
      </c>
      <c r="P2587">
        <v>1</v>
      </c>
      <c r="Q2587">
        <v>0</v>
      </c>
      <c r="R2587" t="s">
        <v>1800</v>
      </c>
      <c r="S2587" t="s">
        <v>4135</v>
      </c>
      <c r="T2587" t="s">
        <v>4559</v>
      </c>
      <c r="U2587" t="s">
        <v>4655</v>
      </c>
      <c r="V2587" s="2">
        <v>0</v>
      </c>
      <c r="W2587" t="s">
        <v>4655</v>
      </c>
      <c r="X2587" s="2">
        <v>0</v>
      </c>
      <c r="Y2587">
        <v>20</v>
      </c>
      <c r="Z2587" t="s">
        <v>5200</v>
      </c>
      <c r="AA2587" s="3">
        <v>0.13298897445201899</v>
      </c>
      <c r="AB2587" t="s">
        <v>15740</v>
      </c>
      <c r="AC2587" t="s">
        <v>4562</v>
      </c>
      <c r="AD2587" t="s">
        <v>15741</v>
      </c>
      <c r="AE2587" t="s">
        <v>4655</v>
      </c>
      <c r="AF2587" t="s">
        <v>4809</v>
      </c>
      <c r="AG2587" t="s">
        <v>4564</v>
      </c>
      <c r="AH2587" t="s">
        <v>1605</v>
      </c>
      <c r="AI2587" t="s">
        <v>4045</v>
      </c>
      <c r="AJ2587" t="s">
        <v>4655</v>
      </c>
      <c r="AK2587" t="s">
        <v>15742</v>
      </c>
      <c r="AL2587" s="13" t="s">
        <v>1886</v>
      </c>
      <c r="AM2587">
        <v>1</v>
      </c>
      <c r="AN2587" s="15" t="s">
        <v>4904</v>
      </c>
    </row>
    <row r="2588" spans="1:40" x14ac:dyDescent="0.3">
      <c r="A2588" s="10" t="str">
        <f>HYPERLINK("http://www.washoecounty.gov/assessor/cama/?parid=033-262-02&amp;CardNumber=1","033-262-02")</f>
        <v>033-262-02</v>
      </c>
      <c r="B2588" t="s">
        <v>4655</v>
      </c>
      <c r="C2588" t="s">
        <v>15743</v>
      </c>
      <c r="D2588" s="1">
        <v>40491</v>
      </c>
      <c r="E2588" s="2">
        <v>85900</v>
      </c>
      <c r="F2588" t="s">
        <v>4553</v>
      </c>
      <c r="G2588" s="17" t="str">
        <f>HYPERLINK("https://www.washoecounty.gov/assessor/cama/?command=sales&amp;parid=03326202","3941389")</f>
        <v>3941389</v>
      </c>
      <c r="H2588" t="s">
        <v>4818</v>
      </c>
      <c r="I2588">
        <v>1943</v>
      </c>
      <c r="J2588">
        <v>1945</v>
      </c>
      <c r="K2588" t="s">
        <v>4554</v>
      </c>
      <c r="L2588" t="s">
        <v>4555</v>
      </c>
      <c r="M2588" s="2">
        <v>999</v>
      </c>
      <c r="N2588" t="s">
        <v>4556</v>
      </c>
      <c r="O2588">
        <v>3</v>
      </c>
      <c r="P2588">
        <v>2</v>
      </c>
      <c r="Q2588">
        <v>0</v>
      </c>
      <c r="R2588" t="s">
        <v>1800</v>
      </c>
      <c r="S2588" t="s">
        <v>4135</v>
      </c>
      <c r="T2588" t="s">
        <v>4143</v>
      </c>
      <c r="U2588" t="s">
        <v>4560</v>
      </c>
      <c r="V2588" s="2">
        <v>230</v>
      </c>
      <c r="W2588" t="s">
        <v>4655</v>
      </c>
      <c r="X2588" s="2">
        <v>0</v>
      </c>
      <c r="Y2588">
        <v>20</v>
      </c>
      <c r="Z2588" t="s">
        <v>5200</v>
      </c>
      <c r="AA2588" s="3">
        <v>0.13799357414245605</v>
      </c>
      <c r="AB2588" t="s">
        <v>7151</v>
      </c>
      <c r="AC2588" t="s">
        <v>4562</v>
      </c>
      <c r="AD2588" t="s">
        <v>7152</v>
      </c>
      <c r="AE2588" t="s">
        <v>4655</v>
      </c>
      <c r="AF2588" t="s">
        <v>4752</v>
      </c>
      <c r="AG2588" t="s">
        <v>4564</v>
      </c>
      <c r="AH2588">
        <v>89511</v>
      </c>
      <c r="AI2588" t="s">
        <v>15744</v>
      </c>
      <c r="AJ2588" t="s">
        <v>4655</v>
      </c>
      <c r="AK2588" t="s">
        <v>15745</v>
      </c>
      <c r="AL2588" s="13" t="s">
        <v>1886</v>
      </c>
      <c r="AM2588" s="14">
        <v>1</v>
      </c>
      <c r="AN2588" s="15" t="s">
        <v>4904</v>
      </c>
    </row>
    <row r="2589" spans="1:40" x14ac:dyDescent="0.3">
      <c r="A2589" s="10" t="str">
        <f>HYPERLINK("http://www.washoecounty.gov/assessor/cama/?parid=033-291-04&amp;CardNumber=1","033-291-04")</f>
        <v>033-291-04</v>
      </c>
      <c r="B2589" t="s">
        <v>4655</v>
      </c>
      <c r="C2589" t="s">
        <v>15746</v>
      </c>
      <c r="D2589" s="1">
        <v>40451</v>
      </c>
      <c r="E2589" s="2">
        <v>59900</v>
      </c>
      <c r="F2589" t="s">
        <v>4553</v>
      </c>
      <c r="G2589" s="17" t="str">
        <f>HYPERLINK("https://www.washoecounty.gov/assessor/cama/?command=sales&amp;parid=03329104","3927795")</f>
        <v>3927795</v>
      </c>
      <c r="H2589" t="s">
        <v>15747</v>
      </c>
      <c r="I2589">
        <v>1972</v>
      </c>
      <c r="J2589">
        <v>1972</v>
      </c>
      <c r="K2589" t="s">
        <v>3144</v>
      </c>
      <c r="L2589" t="s">
        <v>3974</v>
      </c>
      <c r="M2589" s="2">
        <v>1344</v>
      </c>
      <c r="N2589" t="s">
        <v>4048</v>
      </c>
      <c r="O2589">
        <v>3</v>
      </c>
      <c r="P2589">
        <v>1</v>
      </c>
      <c r="Q2589">
        <v>1</v>
      </c>
      <c r="R2589" t="s">
        <v>4676</v>
      </c>
      <c r="S2589" t="s">
        <v>4135</v>
      </c>
      <c r="T2589" t="s">
        <v>4559</v>
      </c>
      <c r="U2589" t="s">
        <v>4655</v>
      </c>
      <c r="V2589" s="2">
        <v>0</v>
      </c>
      <c r="W2589" t="s">
        <v>4655</v>
      </c>
      <c r="X2589" s="2">
        <v>0</v>
      </c>
      <c r="Y2589">
        <v>21</v>
      </c>
      <c r="Z2589" t="s">
        <v>2081</v>
      </c>
      <c r="AA2589" s="3">
        <v>1.00000004749745E-3</v>
      </c>
      <c r="AB2589" t="s">
        <v>15748</v>
      </c>
      <c r="AC2589" t="s">
        <v>4562</v>
      </c>
      <c r="AD2589" t="s">
        <v>15749</v>
      </c>
      <c r="AE2589" t="s">
        <v>4655</v>
      </c>
      <c r="AF2589" t="s">
        <v>4809</v>
      </c>
      <c r="AG2589" t="s">
        <v>4564</v>
      </c>
      <c r="AH2589" t="s">
        <v>5202</v>
      </c>
      <c r="AI2589" t="s">
        <v>4655</v>
      </c>
      <c r="AJ2589" t="s">
        <v>4655</v>
      </c>
      <c r="AK2589" t="s">
        <v>15750</v>
      </c>
      <c r="AL2589" s="13" t="s">
        <v>1886</v>
      </c>
      <c r="AM2589">
        <v>1</v>
      </c>
      <c r="AN2589" s="15" t="s">
        <v>4289</v>
      </c>
    </row>
    <row r="2590" spans="1:40" x14ac:dyDescent="0.3">
      <c r="A2590" s="10" t="str">
        <f>HYPERLINK("http://www.washoecounty.gov/assessor/cama/?parid=033-291-36&amp;CardNumber=1","033-291-36")</f>
        <v>033-291-36</v>
      </c>
      <c r="B2590" t="s">
        <v>4655</v>
      </c>
      <c r="C2590" t="s">
        <v>5602</v>
      </c>
      <c r="D2590" s="1">
        <v>40534</v>
      </c>
      <c r="E2590" s="2">
        <v>48000</v>
      </c>
      <c r="F2590" t="s">
        <v>4553</v>
      </c>
      <c r="G2590" s="17" t="str">
        <f>HYPERLINK("https://www.washoecounty.gov/assessor/cama/?command=sales&amp;parid=03329136","3956229")</f>
        <v>3956229</v>
      </c>
      <c r="H2590" t="s">
        <v>5603</v>
      </c>
      <c r="I2590">
        <v>1972</v>
      </c>
      <c r="J2590">
        <v>1972</v>
      </c>
      <c r="K2590" t="s">
        <v>3144</v>
      </c>
      <c r="L2590" t="s">
        <v>3974</v>
      </c>
      <c r="M2590" s="2">
        <v>1323</v>
      </c>
      <c r="N2590" t="s">
        <v>4048</v>
      </c>
      <c r="O2590">
        <v>3</v>
      </c>
      <c r="P2590">
        <v>1</v>
      </c>
      <c r="Q2590">
        <v>1</v>
      </c>
      <c r="R2590" t="s">
        <v>4676</v>
      </c>
      <c r="S2590" t="s">
        <v>4135</v>
      </c>
      <c r="T2590" t="s">
        <v>4559</v>
      </c>
      <c r="U2590" t="s">
        <v>4655</v>
      </c>
      <c r="V2590" s="2">
        <v>0</v>
      </c>
      <c r="W2590" t="s">
        <v>4655</v>
      </c>
      <c r="X2590" s="2">
        <v>0</v>
      </c>
      <c r="Y2590">
        <v>21</v>
      </c>
      <c r="Z2590" t="s">
        <v>2081</v>
      </c>
      <c r="AA2590" s="3">
        <v>1.00000004749745E-3</v>
      </c>
      <c r="AB2590" t="s">
        <v>1960</v>
      </c>
      <c r="AC2590" t="s">
        <v>4562</v>
      </c>
      <c r="AD2590" t="s">
        <v>1961</v>
      </c>
      <c r="AE2590" t="s">
        <v>4655</v>
      </c>
      <c r="AF2590" t="s">
        <v>4809</v>
      </c>
      <c r="AG2590" t="s">
        <v>4564</v>
      </c>
      <c r="AH2590" t="s">
        <v>5202</v>
      </c>
      <c r="AI2590" t="s">
        <v>1278</v>
      </c>
      <c r="AJ2590" t="s">
        <v>4655</v>
      </c>
      <c r="AK2590" t="s">
        <v>5419</v>
      </c>
      <c r="AL2590" s="13" t="s">
        <v>1886</v>
      </c>
      <c r="AM2590" s="14">
        <v>1</v>
      </c>
      <c r="AN2590" s="15" t="s">
        <v>4289</v>
      </c>
    </row>
    <row r="2591" spans="1:40" x14ac:dyDescent="0.3">
      <c r="A2591" s="10" t="str">
        <f>HYPERLINK("http://www.washoecounty.gov/assessor/cama/?parid=033-304-10&amp;CardNumber=1","033-304-10")</f>
        <v>033-304-10</v>
      </c>
      <c r="B2591" t="s">
        <v>4655</v>
      </c>
      <c r="C2591" t="s">
        <v>15751</v>
      </c>
      <c r="D2591" s="1">
        <v>40343</v>
      </c>
      <c r="E2591" s="2">
        <v>99500</v>
      </c>
      <c r="F2591" t="s">
        <v>4553</v>
      </c>
      <c r="G2591" s="17" t="str">
        <f>HYPERLINK("https://www.washoecounty.gov/assessor/cama/?command=sales&amp;parid=03330410","3891244")</f>
        <v>3891244</v>
      </c>
      <c r="H2591" t="s">
        <v>1641</v>
      </c>
      <c r="I2591">
        <v>1936</v>
      </c>
      <c r="J2591">
        <v>1976</v>
      </c>
      <c r="K2591" t="s">
        <v>4907</v>
      </c>
      <c r="L2591" t="s">
        <v>4555</v>
      </c>
      <c r="M2591" s="2">
        <v>1312</v>
      </c>
      <c r="N2591" t="s">
        <v>4556</v>
      </c>
      <c r="O2591">
        <v>4</v>
      </c>
      <c r="P2591">
        <v>2</v>
      </c>
      <c r="Q2591">
        <v>0</v>
      </c>
      <c r="R2591" t="s">
        <v>4557</v>
      </c>
      <c r="S2591" t="s">
        <v>4558</v>
      </c>
      <c r="T2591" t="s">
        <v>4559</v>
      </c>
      <c r="U2591" t="s">
        <v>4655</v>
      </c>
      <c r="V2591" s="2">
        <v>0</v>
      </c>
      <c r="W2591" t="s">
        <v>4655</v>
      </c>
      <c r="X2591" s="2">
        <v>0</v>
      </c>
      <c r="Y2591">
        <v>30</v>
      </c>
      <c r="Z2591" t="s">
        <v>2081</v>
      </c>
      <c r="AA2591" s="3">
        <v>6.8870522081852001E-2</v>
      </c>
      <c r="AB2591" t="s">
        <v>15752</v>
      </c>
      <c r="AC2591" t="s">
        <v>4575</v>
      </c>
      <c r="AD2591" t="s">
        <v>15753</v>
      </c>
      <c r="AE2591" t="s">
        <v>4655</v>
      </c>
      <c r="AF2591" t="s">
        <v>5201</v>
      </c>
      <c r="AG2591" t="s">
        <v>4564</v>
      </c>
      <c r="AH2591" t="s">
        <v>3609</v>
      </c>
      <c r="AI2591" t="s">
        <v>15752</v>
      </c>
      <c r="AJ2591" t="s">
        <v>4655</v>
      </c>
      <c r="AK2591" t="s">
        <v>15754</v>
      </c>
      <c r="AL2591" s="13" t="s">
        <v>3426</v>
      </c>
      <c r="AM2591" s="14">
        <v>2</v>
      </c>
      <c r="AN2591" s="15" t="s">
        <v>5501</v>
      </c>
    </row>
    <row r="2592" spans="1:40" x14ac:dyDescent="0.3">
      <c r="A2592" s="10" t="str">
        <f>HYPERLINK("http://www.washoecounty.gov/assessor/cama/?parid=033-321-05&amp;CardNumber=1","033-321-05")</f>
        <v>033-321-05</v>
      </c>
      <c r="B2592" t="s">
        <v>4655</v>
      </c>
      <c r="C2592" t="s">
        <v>3719</v>
      </c>
      <c r="D2592" s="1">
        <v>40333</v>
      </c>
      <c r="E2592" s="2">
        <v>27000</v>
      </c>
      <c r="F2592" t="s">
        <v>4553</v>
      </c>
      <c r="G2592" s="17" t="str">
        <f>HYPERLINK("https://www.washoecounty.gov/assessor/cama/?command=sales&amp;parid=03332105","3888406")</f>
        <v>3888406</v>
      </c>
      <c r="H2592" t="s">
        <v>3720</v>
      </c>
      <c r="I2592">
        <v>1972</v>
      </c>
      <c r="J2592">
        <v>1972</v>
      </c>
      <c r="K2592" t="s">
        <v>4897</v>
      </c>
      <c r="L2592" t="s">
        <v>4555</v>
      </c>
      <c r="M2592" s="2">
        <v>780</v>
      </c>
      <c r="N2592" t="s">
        <v>4048</v>
      </c>
      <c r="O2592">
        <v>2</v>
      </c>
      <c r="P2592">
        <v>1</v>
      </c>
      <c r="Q2592">
        <v>0</v>
      </c>
      <c r="R2592" t="s">
        <v>4676</v>
      </c>
      <c r="S2592" t="s">
        <v>4135</v>
      </c>
      <c r="T2592" t="s">
        <v>4559</v>
      </c>
      <c r="U2592" t="s">
        <v>5631</v>
      </c>
      <c r="V2592" s="2">
        <v>231</v>
      </c>
      <c r="W2592" t="s">
        <v>4655</v>
      </c>
      <c r="X2592" s="2">
        <v>0</v>
      </c>
      <c r="Y2592">
        <v>21</v>
      </c>
      <c r="Z2592" t="s">
        <v>2081</v>
      </c>
      <c r="AA2592" s="3">
        <v>1.00000004749745E-3</v>
      </c>
      <c r="AB2592" t="s">
        <v>15755</v>
      </c>
      <c r="AC2592" t="s">
        <v>4562</v>
      </c>
      <c r="AD2592" t="s">
        <v>15756</v>
      </c>
      <c r="AE2592" t="s">
        <v>4655</v>
      </c>
      <c r="AF2592" t="s">
        <v>4809</v>
      </c>
      <c r="AG2592" t="s">
        <v>4564</v>
      </c>
      <c r="AH2592" t="s">
        <v>5202</v>
      </c>
      <c r="AI2592" t="s">
        <v>15757</v>
      </c>
      <c r="AJ2592" t="s">
        <v>4655</v>
      </c>
      <c r="AK2592" t="s">
        <v>15758</v>
      </c>
      <c r="AL2592" s="13" t="s">
        <v>1886</v>
      </c>
      <c r="AM2592" s="14">
        <v>1</v>
      </c>
      <c r="AN2592" s="15" t="s">
        <v>4289</v>
      </c>
    </row>
    <row r="2593" spans="1:40" x14ac:dyDescent="0.3">
      <c r="A2593" s="10" t="str">
        <f>HYPERLINK("http://www.washoecounty.gov/assessor/cama/?parid=033-321-15&amp;CardNumber=1","033-321-15")</f>
        <v>033-321-15</v>
      </c>
      <c r="B2593" t="s">
        <v>4655</v>
      </c>
      <c r="C2593" t="s">
        <v>3761</v>
      </c>
      <c r="D2593" s="1">
        <v>40494</v>
      </c>
      <c r="E2593" s="2">
        <v>26000</v>
      </c>
      <c r="F2593" t="s">
        <v>4567</v>
      </c>
      <c r="G2593" s="17" t="str">
        <f>HYPERLINK("https://www.washoecounty.gov/assessor/cama/?command=sales&amp;parid=03332115","3942700")</f>
        <v>3942700</v>
      </c>
      <c r="H2593" t="s">
        <v>3762</v>
      </c>
      <c r="I2593">
        <v>1972</v>
      </c>
      <c r="J2593">
        <v>1972</v>
      </c>
      <c r="K2593" t="s">
        <v>4897</v>
      </c>
      <c r="L2593" t="s">
        <v>4555</v>
      </c>
      <c r="M2593" s="2">
        <v>898</v>
      </c>
      <c r="N2593" t="s">
        <v>4048</v>
      </c>
      <c r="O2593">
        <v>2</v>
      </c>
      <c r="P2593">
        <v>1</v>
      </c>
      <c r="Q2593">
        <v>0</v>
      </c>
      <c r="R2593" t="s">
        <v>4676</v>
      </c>
      <c r="S2593" t="s">
        <v>4135</v>
      </c>
      <c r="T2593" t="s">
        <v>4559</v>
      </c>
      <c r="U2593" t="s">
        <v>5631</v>
      </c>
      <c r="V2593" s="2">
        <v>231</v>
      </c>
      <c r="W2593" t="s">
        <v>4655</v>
      </c>
      <c r="X2593" s="2">
        <v>0</v>
      </c>
      <c r="Y2593">
        <v>21</v>
      </c>
      <c r="Z2593" t="s">
        <v>2081</v>
      </c>
      <c r="AA2593" s="3">
        <v>1.00000004749745E-3</v>
      </c>
      <c r="AB2593" t="s">
        <v>3763</v>
      </c>
      <c r="AC2593" t="s">
        <v>4562</v>
      </c>
      <c r="AD2593" t="s">
        <v>15759</v>
      </c>
      <c r="AE2593" t="s">
        <v>4655</v>
      </c>
      <c r="AF2593" t="s">
        <v>5201</v>
      </c>
      <c r="AG2593" t="s">
        <v>4564</v>
      </c>
      <c r="AH2593" t="s">
        <v>5202</v>
      </c>
      <c r="AI2593" t="s">
        <v>15760</v>
      </c>
      <c r="AJ2593" t="s">
        <v>4655</v>
      </c>
      <c r="AK2593" t="s">
        <v>3764</v>
      </c>
      <c r="AL2593" s="13" t="s">
        <v>1886</v>
      </c>
      <c r="AM2593" s="14">
        <v>1</v>
      </c>
      <c r="AN2593" s="15" t="s">
        <v>4289</v>
      </c>
    </row>
    <row r="2594" spans="1:40" x14ac:dyDescent="0.3">
      <c r="A2594" s="10" t="str">
        <f>HYPERLINK("http://www.washoecounty.gov/assessor/cama/?parid=033-321-23&amp;CardNumber=1","033-321-23")</f>
        <v>033-321-23</v>
      </c>
      <c r="B2594" t="s">
        <v>4655</v>
      </c>
      <c r="C2594" t="s">
        <v>15761</v>
      </c>
      <c r="D2594" s="1">
        <v>40513</v>
      </c>
      <c r="E2594" s="2">
        <v>35000</v>
      </c>
      <c r="F2594" t="s">
        <v>4553</v>
      </c>
      <c r="G2594" s="17" t="str">
        <f>HYPERLINK("https://www.washoecounty.gov/assessor/cama/?command=sales&amp;parid=03332123","3948490")</f>
        <v>3948490</v>
      </c>
      <c r="H2594" t="s">
        <v>15762</v>
      </c>
      <c r="I2594">
        <v>1972</v>
      </c>
      <c r="J2594">
        <v>1972</v>
      </c>
      <c r="K2594" t="s">
        <v>4897</v>
      </c>
      <c r="L2594" t="s">
        <v>4555</v>
      </c>
      <c r="M2594" s="2">
        <v>898</v>
      </c>
      <c r="N2594" t="s">
        <v>4048</v>
      </c>
      <c r="O2594">
        <v>2</v>
      </c>
      <c r="P2594">
        <v>1</v>
      </c>
      <c r="Q2594">
        <v>0</v>
      </c>
      <c r="R2594" t="s">
        <v>4676</v>
      </c>
      <c r="S2594" t="s">
        <v>4135</v>
      </c>
      <c r="T2594" t="s">
        <v>4559</v>
      </c>
      <c r="U2594" t="s">
        <v>5631</v>
      </c>
      <c r="V2594" s="2">
        <v>231</v>
      </c>
      <c r="W2594" t="s">
        <v>4655</v>
      </c>
      <c r="X2594" s="2">
        <v>0</v>
      </c>
      <c r="Y2594">
        <v>21</v>
      </c>
      <c r="Z2594" t="s">
        <v>2081</v>
      </c>
      <c r="AA2594" s="3">
        <v>1.00000004749745E-3</v>
      </c>
      <c r="AB2594" t="s">
        <v>15763</v>
      </c>
      <c r="AC2594" t="s">
        <v>4562</v>
      </c>
      <c r="AD2594" t="s">
        <v>15764</v>
      </c>
      <c r="AE2594" t="s">
        <v>4655</v>
      </c>
      <c r="AF2594" t="s">
        <v>5201</v>
      </c>
      <c r="AG2594" t="s">
        <v>4564</v>
      </c>
      <c r="AH2594" t="s">
        <v>5202</v>
      </c>
      <c r="AI2594" t="s">
        <v>514</v>
      </c>
      <c r="AJ2594" t="s">
        <v>4655</v>
      </c>
      <c r="AK2594" t="s">
        <v>15765</v>
      </c>
      <c r="AL2594" s="13" t="s">
        <v>1886</v>
      </c>
      <c r="AM2594">
        <v>1</v>
      </c>
      <c r="AN2594" s="15" t="s">
        <v>4289</v>
      </c>
    </row>
    <row r="2595" spans="1:40" x14ac:dyDescent="0.3">
      <c r="A2595" s="10" t="str">
        <f>HYPERLINK("http://www.washoecounty.gov/assessor/cama/?parid=033-321-47&amp;CardNumber=1","033-321-47")</f>
        <v>033-321-47</v>
      </c>
      <c r="B2595" t="s">
        <v>4655</v>
      </c>
      <c r="C2595" t="s">
        <v>15766</v>
      </c>
      <c r="D2595" s="1">
        <v>40504</v>
      </c>
      <c r="E2595" s="2">
        <v>29000</v>
      </c>
      <c r="F2595" t="s">
        <v>4553</v>
      </c>
      <c r="G2595" s="17" t="str">
        <f>HYPERLINK("https://www.washoecounty.gov/assessor/cama/?command=sales&amp;parid=03332147","3945517")</f>
        <v>3945517</v>
      </c>
      <c r="H2595" t="s">
        <v>3317</v>
      </c>
      <c r="I2595">
        <v>1972</v>
      </c>
      <c r="J2595">
        <v>1972</v>
      </c>
      <c r="K2595" t="s">
        <v>4897</v>
      </c>
      <c r="L2595" t="s">
        <v>4555</v>
      </c>
      <c r="M2595" s="2">
        <v>898</v>
      </c>
      <c r="N2595" t="s">
        <v>4048</v>
      </c>
      <c r="O2595">
        <v>2</v>
      </c>
      <c r="P2595">
        <v>1</v>
      </c>
      <c r="Q2595">
        <v>0</v>
      </c>
      <c r="R2595" t="s">
        <v>4676</v>
      </c>
      <c r="S2595" t="s">
        <v>4135</v>
      </c>
      <c r="T2595" t="s">
        <v>4559</v>
      </c>
      <c r="U2595" t="s">
        <v>5631</v>
      </c>
      <c r="V2595" s="2">
        <v>231</v>
      </c>
      <c r="W2595" t="s">
        <v>4655</v>
      </c>
      <c r="X2595" s="2">
        <v>0</v>
      </c>
      <c r="Y2595">
        <v>21</v>
      </c>
      <c r="Z2595" t="s">
        <v>2081</v>
      </c>
      <c r="AA2595" s="3">
        <v>1.00000004749745E-3</v>
      </c>
      <c r="AB2595" t="s">
        <v>15767</v>
      </c>
      <c r="AC2595" t="s">
        <v>4575</v>
      </c>
      <c r="AD2595" t="s">
        <v>15768</v>
      </c>
      <c r="AE2595" t="s">
        <v>15769</v>
      </c>
      <c r="AF2595" t="s">
        <v>2526</v>
      </c>
      <c r="AG2595" t="s">
        <v>4564</v>
      </c>
      <c r="AH2595">
        <v>89408</v>
      </c>
      <c r="AI2595" t="s">
        <v>1602</v>
      </c>
      <c r="AJ2595" t="s">
        <v>4655</v>
      </c>
      <c r="AK2595" t="s">
        <v>15770</v>
      </c>
      <c r="AL2595" s="13" t="s">
        <v>1886</v>
      </c>
      <c r="AM2595" s="14">
        <v>1</v>
      </c>
      <c r="AN2595" s="15" t="s">
        <v>4289</v>
      </c>
    </row>
    <row r="2596" spans="1:40" x14ac:dyDescent="0.3">
      <c r="A2596" s="10" t="str">
        <f>HYPERLINK("http://www.washoecounty.gov/assessor/cama/?parid=033-321-48&amp;CardNumber=1","033-321-48")</f>
        <v>033-321-48</v>
      </c>
      <c r="B2596" t="s">
        <v>4655</v>
      </c>
      <c r="C2596" t="s">
        <v>15766</v>
      </c>
      <c r="D2596" s="1">
        <v>40281</v>
      </c>
      <c r="E2596" s="2">
        <v>38500</v>
      </c>
      <c r="F2596" t="s">
        <v>4553</v>
      </c>
      <c r="G2596" s="17" t="str">
        <f>HYPERLINK("https://www.washoecounty.gov/assessor/cama/?command=sales&amp;parid=03332148","3870592")</f>
        <v>3870592</v>
      </c>
      <c r="H2596" t="s">
        <v>4593</v>
      </c>
      <c r="I2596">
        <v>1972</v>
      </c>
      <c r="J2596">
        <v>1972</v>
      </c>
      <c r="K2596" t="s">
        <v>3144</v>
      </c>
      <c r="L2596" t="s">
        <v>3974</v>
      </c>
      <c r="M2596" s="2">
        <v>882</v>
      </c>
      <c r="N2596" t="s">
        <v>4048</v>
      </c>
      <c r="O2596">
        <v>2</v>
      </c>
      <c r="P2596">
        <v>1</v>
      </c>
      <c r="Q2596">
        <v>0</v>
      </c>
      <c r="R2596" t="s">
        <v>4676</v>
      </c>
      <c r="S2596" t="s">
        <v>4135</v>
      </c>
      <c r="T2596" t="s">
        <v>4559</v>
      </c>
      <c r="U2596" t="s">
        <v>5631</v>
      </c>
      <c r="V2596" s="2">
        <v>231</v>
      </c>
      <c r="W2596" t="s">
        <v>4655</v>
      </c>
      <c r="X2596" s="2">
        <v>0</v>
      </c>
      <c r="Y2596">
        <v>21</v>
      </c>
      <c r="Z2596" t="s">
        <v>2081</v>
      </c>
      <c r="AA2596" s="3">
        <v>1.00000004749745E-3</v>
      </c>
      <c r="AB2596" t="s">
        <v>1260</v>
      </c>
      <c r="AC2596" t="s">
        <v>4562</v>
      </c>
      <c r="AD2596" t="s">
        <v>7012</v>
      </c>
      <c r="AE2596" t="s">
        <v>4655</v>
      </c>
      <c r="AF2596" t="s">
        <v>4563</v>
      </c>
      <c r="AG2596" t="s">
        <v>4564</v>
      </c>
      <c r="AH2596">
        <v>89503</v>
      </c>
      <c r="AI2596" t="s">
        <v>4903</v>
      </c>
      <c r="AJ2596" t="s">
        <v>4655</v>
      </c>
      <c r="AK2596" t="s">
        <v>15771</v>
      </c>
      <c r="AL2596" s="13" t="s">
        <v>1886</v>
      </c>
      <c r="AM2596">
        <v>1</v>
      </c>
      <c r="AN2596" s="15" t="s">
        <v>4289</v>
      </c>
    </row>
    <row r="2597" spans="1:40" x14ac:dyDescent="0.3">
      <c r="A2597" s="10" t="str">
        <f>HYPERLINK("http://www.washoecounty.gov/assessor/cama/?parid=033-321-75&amp;CardNumber=1","033-321-75")</f>
        <v>033-321-75</v>
      </c>
      <c r="B2597" t="s">
        <v>4655</v>
      </c>
      <c r="C2597" t="s">
        <v>833</v>
      </c>
      <c r="D2597" s="1">
        <v>40532</v>
      </c>
      <c r="E2597" s="2">
        <v>23000</v>
      </c>
      <c r="F2597" t="s">
        <v>4553</v>
      </c>
      <c r="G2597" s="17" t="str">
        <f>HYPERLINK("https://www.washoecounty.gov/assessor/cama/?command=sales&amp;parid=03332175","3955586")</f>
        <v>3955586</v>
      </c>
      <c r="H2597" t="s">
        <v>834</v>
      </c>
      <c r="I2597">
        <v>1972</v>
      </c>
      <c r="J2597">
        <v>1972</v>
      </c>
      <c r="K2597" t="s">
        <v>4897</v>
      </c>
      <c r="L2597" t="s">
        <v>4555</v>
      </c>
      <c r="M2597" s="2">
        <v>898</v>
      </c>
      <c r="N2597" t="s">
        <v>4048</v>
      </c>
      <c r="O2597">
        <v>2</v>
      </c>
      <c r="P2597">
        <v>1</v>
      </c>
      <c r="Q2597">
        <v>0</v>
      </c>
      <c r="R2597" t="s">
        <v>4676</v>
      </c>
      <c r="S2597" t="s">
        <v>4135</v>
      </c>
      <c r="T2597" t="s">
        <v>4559</v>
      </c>
      <c r="U2597" t="s">
        <v>5631</v>
      </c>
      <c r="V2597" s="2">
        <v>231</v>
      </c>
      <c r="W2597" t="s">
        <v>4655</v>
      </c>
      <c r="X2597" s="2">
        <v>0</v>
      </c>
      <c r="Y2597">
        <v>21</v>
      </c>
      <c r="Z2597" t="s">
        <v>2081</v>
      </c>
      <c r="AA2597" s="3">
        <v>1.00000004749745E-3</v>
      </c>
      <c r="AB2597" t="s">
        <v>1799</v>
      </c>
      <c r="AC2597" t="s">
        <v>4562</v>
      </c>
      <c r="AD2597" t="s">
        <v>10040</v>
      </c>
      <c r="AE2597" t="s">
        <v>4655</v>
      </c>
      <c r="AF2597" t="s">
        <v>4563</v>
      </c>
      <c r="AG2597" t="s">
        <v>4564</v>
      </c>
      <c r="AH2597">
        <v>89510</v>
      </c>
      <c r="AI2597" t="s">
        <v>835</v>
      </c>
      <c r="AJ2597" t="s">
        <v>4655</v>
      </c>
      <c r="AK2597" t="s">
        <v>836</v>
      </c>
      <c r="AL2597" s="13" t="s">
        <v>1886</v>
      </c>
      <c r="AM2597" s="14">
        <v>1</v>
      </c>
      <c r="AN2597" s="15" t="s">
        <v>4289</v>
      </c>
    </row>
    <row r="2598" spans="1:40" x14ac:dyDescent="0.3">
      <c r="A2598" s="10" t="str">
        <f>HYPERLINK("http://www.washoecounty.gov/assessor/cama/?parid=033-321-92&amp;CardNumber=1","033-321-92")</f>
        <v>033-321-92</v>
      </c>
      <c r="B2598" t="s">
        <v>4655</v>
      </c>
      <c r="C2598" t="s">
        <v>15772</v>
      </c>
      <c r="D2598" s="1">
        <v>40200</v>
      </c>
      <c r="E2598" s="2">
        <v>42950</v>
      </c>
      <c r="F2598" t="s">
        <v>4553</v>
      </c>
      <c r="G2598" s="17" t="str">
        <f>HYPERLINK("https://www.washoecounty.gov/assessor/cama/?command=sales&amp;parid=03332192","3841719")</f>
        <v>3841719</v>
      </c>
      <c r="H2598" t="s">
        <v>15773</v>
      </c>
      <c r="I2598">
        <v>1972</v>
      </c>
      <c r="J2598">
        <v>1972</v>
      </c>
      <c r="K2598" t="s">
        <v>3144</v>
      </c>
      <c r="L2598" t="s">
        <v>3974</v>
      </c>
      <c r="M2598" s="2">
        <v>882</v>
      </c>
      <c r="N2598" t="s">
        <v>4048</v>
      </c>
      <c r="O2598">
        <v>2</v>
      </c>
      <c r="P2598">
        <v>1</v>
      </c>
      <c r="Q2598">
        <v>0</v>
      </c>
      <c r="R2598" t="s">
        <v>4676</v>
      </c>
      <c r="S2598" t="s">
        <v>4135</v>
      </c>
      <c r="T2598" t="s">
        <v>4559</v>
      </c>
      <c r="U2598" t="s">
        <v>5631</v>
      </c>
      <c r="V2598" s="2">
        <v>231</v>
      </c>
      <c r="W2598" t="s">
        <v>4655</v>
      </c>
      <c r="X2598" s="2">
        <v>0</v>
      </c>
      <c r="Y2598">
        <v>21</v>
      </c>
      <c r="Z2598" t="s">
        <v>2081</v>
      </c>
      <c r="AA2598" s="3">
        <v>1.00000004749745E-3</v>
      </c>
      <c r="AB2598" t="s">
        <v>15774</v>
      </c>
      <c r="AC2598" t="s">
        <v>4575</v>
      </c>
      <c r="AD2598" t="s">
        <v>15775</v>
      </c>
      <c r="AE2598" t="s">
        <v>4655</v>
      </c>
      <c r="AF2598" t="s">
        <v>4563</v>
      </c>
      <c r="AG2598" t="s">
        <v>4564</v>
      </c>
      <c r="AH2598" t="s">
        <v>2541</v>
      </c>
      <c r="AI2598" t="s">
        <v>15776</v>
      </c>
      <c r="AJ2598" t="s">
        <v>4655</v>
      </c>
      <c r="AK2598" t="s">
        <v>15777</v>
      </c>
      <c r="AL2598" s="13" t="s">
        <v>1886</v>
      </c>
      <c r="AM2598">
        <v>1</v>
      </c>
      <c r="AN2598" s="15" t="s">
        <v>4289</v>
      </c>
    </row>
    <row r="2599" spans="1:40" x14ac:dyDescent="0.3">
      <c r="A2599" s="10" t="str">
        <f>HYPERLINK("http://www.washoecounty.gov/assessor/cama/?parid=033-322-10&amp;CardNumber=1","033-322-10")</f>
        <v>033-322-10</v>
      </c>
      <c r="B2599" t="s">
        <v>4655</v>
      </c>
      <c r="C2599" t="s">
        <v>15778</v>
      </c>
      <c r="D2599" s="1">
        <v>40451</v>
      </c>
      <c r="E2599" s="2">
        <v>34000</v>
      </c>
      <c r="F2599" t="s">
        <v>4567</v>
      </c>
      <c r="G2599" s="17" t="str">
        <f>HYPERLINK("https://www.washoecounty.gov/assessor/cama/?command=sales&amp;parid=03332210","3928413")</f>
        <v>3928413</v>
      </c>
      <c r="H2599" t="s">
        <v>4090</v>
      </c>
      <c r="I2599">
        <v>1972</v>
      </c>
      <c r="J2599">
        <v>1972</v>
      </c>
      <c r="K2599" t="s">
        <v>3144</v>
      </c>
      <c r="L2599" t="s">
        <v>3974</v>
      </c>
      <c r="M2599" s="2">
        <v>882</v>
      </c>
      <c r="N2599" t="s">
        <v>4048</v>
      </c>
      <c r="O2599">
        <v>2</v>
      </c>
      <c r="P2599">
        <v>1</v>
      </c>
      <c r="Q2599">
        <v>0</v>
      </c>
      <c r="R2599" t="s">
        <v>4676</v>
      </c>
      <c r="S2599" t="s">
        <v>4135</v>
      </c>
      <c r="T2599" t="s">
        <v>4559</v>
      </c>
      <c r="U2599" t="s">
        <v>5631</v>
      </c>
      <c r="V2599" s="2">
        <v>231</v>
      </c>
      <c r="W2599" t="s">
        <v>4655</v>
      </c>
      <c r="X2599" s="2">
        <v>0</v>
      </c>
      <c r="Y2599">
        <v>21</v>
      </c>
      <c r="Z2599" t="s">
        <v>2081</v>
      </c>
      <c r="AA2599" s="3">
        <v>1.00000004749745E-3</v>
      </c>
      <c r="AB2599" t="s">
        <v>15779</v>
      </c>
      <c r="AC2599" t="s">
        <v>4575</v>
      </c>
      <c r="AD2599" t="s">
        <v>15780</v>
      </c>
      <c r="AE2599" t="s">
        <v>15781</v>
      </c>
      <c r="AF2599" t="s">
        <v>4563</v>
      </c>
      <c r="AG2599" t="s">
        <v>4564</v>
      </c>
      <c r="AH2599">
        <v>89511</v>
      </c>
      <c r="AI2599" t="s">
        <v>15782</v>
      </c>
      <c r="AJ2599" t="s">
        <v>4655</v>
      </c>
      <c r="AK2599" t="s">
        <v>15783</v>
      </c>
      <c r="AL2599" s="13" t="s">
        <v>1886</v>
      </c>
      <c r="AM2599" s="14">
        <v>1</v>
      </c>
      <c r="AN2599" s="15" t="s">
        <v>4289</v>
      </c>
    </row>
    <row r="2600" spans="1:40" x14ac:dyDescent="0.3">
      <c r="A2600" s="10" t="str">
        <f>HYPERLINK("http://www.washoecounty.gov/assessor/cama/?parid=033-322-48&amp;CardNumber=1","033-322-48")</f>
        <v>033-322-48</v>
      </c>
      <c r="B2600" t="s">
        <v>4655</v>
      </c>
      <c r="C2600" t="s">
        <v>15784</v>
      </c>
      <c r="D2600" s="1">
        <v>40256</v>
      </c>
      <c r="E2600" s="2">
        <v>43000</v>
      </c>
      <c r="F2600" t="s">
        <v>4567</v>
      </c>
      <c r="G2600" s="17" t="str">
        <f>HYPERLINK("https://www.washoecounty.gov/assessor/cama/?command=sales&amp;parid=03332248","3861768")</f>
        <v>3861768</v>
      </c>
      <c r="H2600" t="s">
        <v>4593</v>
      </c>
      <c r="I2600">
        <v>1972</v>
      </c>
      <c r="J2600">
        <v>1972</v>
      </c>
      <c r="K2600" t="s">
        <v>3144</v>
      </c>
      <c r="L2600" t="s">
        <v>3974</v>
      </c>
      <c r="M2600" s="2">
        <v>882</v>
      </c>
      <c r="N2600" t="s">
        <v>4048</v>
      </c>
      <c r="O2600">
        <v>2</v>
      </c>
      <c r="P2600">
        <v>1</v>
      </c>
      <c r="Q2600">
        <v>0</v>
      </c>
      <c r="R2600" t="s">
        <v>4676</v>
      </c>
      <c r="S2600" t="s">
        <v>4135</v>
      </c>
      <c r="T2600" t="s">
        <v>4559</v>
      </c>
      <c r="U2600" t="s">
        <v>5631</v>
      </c>
      <c r="V2600" s="2">
        <v>231</v>
      </c>
      <c r="W2600" t="s">
        <v>4655</v>
      </c>
      <c r="X2600" s="2">
        <v>0</v>
      </c>
      <c r="Y2600">
        <v>21</v>
      </c>
      <c r="Z2600" t="s">
        <v>2081</v>
      </c>
      <c r="AA2600" s="3">
        <v>1.00000004749745E-3</v>
      </c>
      <c r="AB2600" t="s">
        <v>15785</v>
      </c>
      <c r="AC2600" t="s">
        <v>4562</v>
      </c>
      <c r="AD2600" t="s">
        <v>15786</v>
      </c>
      <c r="AE2600" t="s">
        <v>4655</v>
      </c>
      <c r="AF2600" t="s">
        <v>5201</v>
      </c>
      <c r="AG2600" t="s">
        <v>4564</v>
      </c>
      <c r="AH2600" t="s">
        <v>5202</v>
      </c>
      <c r="AI2600" t="s">
        <v>15787</v>
      </c>
      <c r="AJ2600" t="s">
        <v>4655</v>
      </c>
      <c r="AK2600" t="s">
        <v>15788</v>
      </c>
      <c r="AL2600" s="13" t="s">
        <v>1886</v>
      </c>
      <c r="AM2600" s="14">
        <v>1</v>
      </c>
      <c r="AN2600" s="15" t="s">
        <v>4289</v>
      </c>
    </row>
    <row r="2601" spans="1:40" x14ac:dyDescent="0.3">
      <c r="A2601" s="10" t="str">
        <f>HYPERLINK("http://www.washoecounty.gov/assessor/cama/?parid=033-322-54&amp;CardNumber=1","033-322-54")</f>
        <v>033-322-54</v>
      </c>
      <c r="B2601" t="s">
        <v>4655</v>
      </c>
      <c r="C2601" t="s">
        <v>3316</v>
      </c>
      <c r="D2601" s="1">
        <v>40521</v>
      </c>
      <c r="E2601" s="2">
        <v>30976</v>
      </c>
      <c r="F2601" t="s">
        <v>4553</v>
      </c>
      <c r="G2601" s="17" t="str">
        <f>HYPERLINK("https://www.washoecounty.gov/assessor/cama/?command=sales&amp;parid=03332254","3951408")</f>
        <v>3951408</v>
      </c>
      <c r="H2601" t="s">
        <v>3758</v>
      </c>
      <c r="I2601">
        <v>1972</v>
      </c>
      <c r="J2601">
        <v>1972</v>
      </c>
      <c r="K2601" t="s">
        <v>3144</v>
      </c>
      <c r="L2601" t="s">
        <v>3974</v>
      </c>
      <c r="M2601" s="2">
        <v>882</v>
      </c>
      <c r="N2601" t="s">
        <v>4048</v>
      </c>
      <c r="O2601">
        <v>2</v>
      </c>
      <c r="P2601">
        <v>1</v>
      </c>
      <c r="Q2601">
        <v>0</v>
      </c>
      <c r="R2601" t="s">
        <v>4676</v>
      </c>
      <c r="S2601" t="s">
        <v>4135</v>
      </c>
      <c r="T2601" t="s">
        <v>4559</v>
      </c>
      <c r="U2601" t="s">
        <v>5631</v>
      </c>
      <c r="V2601" s="2">
        <v>231</v>
      </c>
      <c r="W2601" t="s">
        <v>4655</v>
      </c>
      <c r="X2601" s="2">
        <v>0</v>
      </c>
      <c r="Y2601">
        <v>21</v>
      </c>
      <c r="Z2601" t="s">
        <v>2081</v>
      </c>
      <c r="AA2601" s="3">
        <v>1.00000004749745E-3</v>
      </c>
      <c r="AB2601" t="s">
        <v>4883</v>
      </c>
      <c r="AC2601" t="s">
        <v>4562</v>
      </c>
      <c r="AD2601" t="s">
        <v>4884</v>
      </c>
      <c r="AE2601" t="s">
        <v>4655</v>
      </c>
      <c r="AF2601" t="s">
        <v>4885</v>
      </c>
      <c r="AG2601" t="s">
        <v>4564</v>
      </c>
      <c r="AH2601" t="s">
        <v>4886</v>
      </c>
      <c r="AI2601" t="s">
        <v>5405</v>
      </c>
      <c r="AJ2601" t="s">
        <v>4655</v>
      </c>
      <c r="AK2601" t="s">
        <v>3759</v>
      </c>
      <c r="AL2601" s="13" t="s">
        <v>1886</v>
      </c>
      <c r="AM2601">
        <v>1</v>
      </c>
      <c r="AN2601" s="15" t="s">
        <v>4289</v>
      </c>
    </row>
    <row r="2602" spans="1:40" x14ac:dyDescent="0.3">
      <c r="A2602" s="10" t="str">
        <f>HYPERLINK("http://www.washoecounty.gov/assessor/cama/?parid=033-322-55&amp;CardNumber=1","033-322-55")</f>
        <v>033-322-55</v>
      </c>
      <c r="B2602" t="s">
        <v>4655</v>
      </c>
      <c r="C2602" t="s">
        <v>3316</v>
      </c>
      <c r="D2602" s="1">
        <v>40436</v>
      </c>
      <c r="E2602" s="2">
        <v>42000</v>
      </c>
      <c r="F2602" t="s">
        <v>4567</v>
      </c>
      <c r="G2602" s="17" t="str">
        <f>HYPERLINK("https://www.washoecounty.gov/assessor/cama/?command=sales&amp;parid=03332255","3922702")</f>
        <v>3922702</v>
      </c>
      <c r="H2602" t="s">
        <v>3317</v>
      </c>
      <c r="I2602">
        <v>1972</v>
      </c>
      <c r="J2602">
        <v>1972</v>
      </c>
      <c r="K2602" t="s">
        <v>4897</v>
      </c>
      <c r="L2602" t="s">
        <v>4555</v>
      </c>
      <c r="M2602" s="2">
        <v>898</v>
      </c>
      <c r="N2602" t="s">
        <v>4048</v>
      </c>
      <c r="O2602">
        <v>2</v>
      </c>
      <c r="P2602">
        <v>1</v>
      </c>
      <c r="Q2602">
        <v>0</v>
      </c>
      <c r="R2602" t="s">
        <v>4676</v>
      </c>
      <c r="S2602" t="s">
        <v>4135</v>
      </c>
      <c r="T2602" t="s">
        <v>4559</v>
      </c>
      <c r="U2602" t="s">
        <v>5631</v>
      </c>
      <c r="V2602" s="2">
        <v>231</v>
      </c>
      <c r="W2602" t="s">
        <v>4655</v>
      </c>
      <c r="X2602" s="2">
        <v>0</v>
      </c>
      <c r="Y2602">
        <v>21</v>
      </c>
      <c r="Z2602" t="s">
        <v>2081</v>
      </c>
      <c r="AA2602" s="3">
        <v>1.00000004749745E-3</v>
      </c>
      <c r="AB2602" t="s">
        <v>15789</v>
      </c>
      <c r="AC2602" t="s">
        <v>4562</v>
      </c>
      <c r="AD2602" t="s">
        <v>15790</v>
      </c>
      <c r="AE2602" t="s">
        <v>4655</v>
      </c>
      <c r="AF2602" t="s">
        <v>4563</v>
      </c>
      <c r="AG2602" t="s">
        <v>4564</v>
      </c>
      <c r="AH2602">
        <v>89503</v>
      </c>
      <c r="AI2602" t="s">
        <v>12708</v>
      </c>
      <c r="AJ2602" t="s">
        <v>4655</v>
      </c>
      <c r="AK2602" t="s">
        <v>15791</v>
      </c>
      <c r="AL2602" s="13" t="s">
        <v>1886</v>
      </c>
      <c r="AM2602">
        <v>1</v>
      </c>
      <c r="AN2602" s="15" t="s">
        <v>4289</v>
      </c>
    </row>
    <row r="2603" spans="1:40" x14ac:dyDescent="0.3">
      <c r="A2603" s="10" t="str">
        <f>HYPERLINK("http://www.washoecounty.gov/assessor/cama/?parid=033-322-60&amp;CardNumber=1","033-322-60")</f>
        <v>033-322-60</v>
      </c>
      <c r="B2603" t="s">
        <v>4655</v>
      </c>
      <c r="C2603" t="s">
        <v>15792</v>
      </c>
      <c r="D2603" s="1">
        <v>40445</v>
      </c>
      <c r="E2603" s="2">
        <v>29900</v>
      </c>
      <c r="F2603" t="s">
        <v>4567</v>
      </c>
      <c r="G2603" s="17" t="str">
        <f>HYPERLINK("https://www.washoecounty.gov/assessor/cama/?command=sales&amp;parid=03332260","3926248")</f>
        <v>3926248</v>
      </c>
      <c r="H2603" t="s">
        <v>15793</v>
      </c>
      <c r="I2603">
        <v>1972</v>
      </c>
      <c r="J2603">
        <v>1972</v>
      </c>
      <c r="K2603" t="s">
        <v>3144</v>
      </c>
      <c r="L2603" t="s">
        <v>3974</v>
      </c>
      <c r="M2603" s="2">
        <v>882</v>
      </c>
      <c r="N2603" t="s">
        <v>4048</v>
      </c>
      <c r="O2603">
        <v>2</v>
      </c>
      <c r="P2603">
        <v>1</v>
      </c>
      <c r="Q2603">
        <v>0</v>
      </c>
      <c r="R2603" t="s">
        <v>4676</v>
      </c>
      <c r="S2603" t="s">
        <v>4135</v>
      </c>
      <c r="T2603" t="s">
        <v>4559</v>
      </c>
      <c r="U2603" t="s">
        <v>5631</v>
      </c>
      <c r="V2603" s="2">
        <v>231</v>
      </c>
      <c r="W2603" t="s">
        <v>4655</v>
      </c>
      <c r="X2603" s="2">
        <v>0</v>
      </c>
      <c r="Y2603">
        <v>21</v>
      </c>
      <c r="Z2603" t="s">
        <v>2081</v>
      </c>
      <c r="AA2603" s="3">
        <v>1.00000004749745E-3</v>
      </c>
      <c r="AB2603" t="s">
        <v>15794</v>
      </c>
      <c r="AC2603" t="s">
        <v>4575</v>
      </c>
      <c r="AD2603" t="s">
        <v>15795</v>
      </c>
      <c r="AE2603" t="s">
        <v>4655</v>
      </c>
      <c r="AF2603" t="s">
        <v>5201</v>
      </c>
      <c r="AG2603" t="s">
        <v>4564</v>
      </c>
      <c r="AH2603" t="s">
        <v>5202</v>
      </c>
      <c r="AI2603" t="s">
        <v>15796</v>
      </c>
      <c r="AJ2603" t="s">
        <v>4655</v>
      </c>
      <c r="AK2603" t="s">
        <v>15797</v>
      </c>
      <c r="AL2603" s="13" t="s">
        <v>1886</v>
      </c>
      <c r="AM2603">
        <v>1</v>
      </c>
      <c r="AN2603" s="15" t="s">
        <v>4289</v>
      </c>
    </row>
    <row r="2604" spans="1:40" x14ac:dyDescent="0.3">
      <c r="A2604" s="10" t="str">
        <f>HYPERLINK("http://www.washoecounty.gov/assessor/cama/?parid=033-411-02&amp;CardNumber=1","033-411-02")</f>
        <v>033-411-02</v>
      </c>
      <c r="B2604" t="s">
        <v>4655</v>
      </c>
      <c r="C2604" t="s">
        <v>15798</v>
      </c>
      <c r="D2604" s="1">
        <v>40515</v>
      </c>
      <c r="E2604" s="2">
        <v>39000</v>
      </c>
      <c r="F2604" t="s">
        <v>4567</v>
      </c>
      <c r="G2604" s="17" t="str">
        <f>HYPERLINK("https://www.washoecounty.gov/assessor/cama/?command=sales&amp;parid=03341102","3948985")</f>
        <v>3948985</v>
      </c>
      <c r="H2604" t="s">
        <v>15799</v>
      </c>
      <c r="I2604">
        <v>1985</v>
      </c>
      <c r="J2604">
        <v>1985</v>
      </c>
      <c r="K2604" t="s">
        <v>3144</v>
      </c>
      <c r="L2604" t="s">
        <v>4555</v>
      </c>
      <c r="M2604" s="2">
        <v>810</v>
      </c>
      <c r="N2604" t="s">
        <v>4048</v>
      </c>
      <c r="O2604">
        <v>2</v>
      </c>
      <c r="P2604">
        <v>1</v>
      </c>
      <c r="Q2604">
        <v>0</v>
      </c>
      <c r="R2604" t="s">
        <v>5281</v>
      </c>
      <c r="S2604" t="s">
        <v>4558</v>
      </c>
      <c r="T2604" t="s">
        <v>2704</v>
      </c>
      <c r="U2604" t="s">
        <v>4655</v>
      </c>
      <c r="V2604" s="2">
        <v>0</v>
      </c>
      <c r="W2604" t="s">
        <v>4655</v>
      </c>
      <c r="X2604" s="2">
        <v>0</v>
      </c>
      <c r="Y2604">
        <v>21</v>
      </c>
      <c r="Z2604" t="s">
        <v>2081</v>
      </c>
      <c r="AA2604" s="3">
        <v>1.00000004749745E-3</v>
      </c>
      <c r="AB2604" t="s">
        <v>15800</v>
      </c>
      <c r="AC2604" t="s">
        <v>4562</v>
      </c>
      <c r="AD2604" t="s">
        <v>15801</v>
      </c>
      <c r="AE2604" t="s">
        <v>4655</v>
      </c>
      <c r="AF2604" t="s">
        <v>5201</v>
      </c>
      <c r="AG2604" t="s">
        <v>4564</v>
      </c>
      <c r="AH2604" t="s">
        <v>5202</v>
      </c>
      <c r="AI2604" t="s">
        <v>15802</v>
      </c>
      <c r="AJ2604" t="s">
        <v>4655</v>
      </c>
      <c r="AK2604" t="s">
        <v>15803</v>
      </c>
      <c r="AL2604" s="13" t="s">
        <v>1886</v>
      </c>
      <c r="AM2604">
        <v>1</v>
      </c>
      <c r="AN2604" s="15" t="s">
        <v>15804</v>
      </c>
    </row>
    <row r="2605" spans="1:40" x14ac:dyDescent="0.3">
      <c r="A2605" s="10" t="str">
        <f>HYPERLINK("http://www.washoecounty.gov/assessor/cama/?parid=033-411-04&amp;CardNumber=1","033-411-04")</f>
        <v>033-411-04</v>
      </c>
      <c r="B2605" t="s">
        <v>4655</v>
      </c>
      <c r="C2605" t="s">
        <v>15805</v>
      </c>
      <c r="D2605" s="1">
        <v>40359</v>
      </c>
      <c r="E2605" s="2">
        <v>50000</v>
      </c>
      <c r="F2605" t="s">
        <v>4553</v>
      </c>
      <c r="G2605" s="17" t="str">
        <f>HYPERLINK("https://www.washoecounty.gov/assessor/cama/?command=sales&amp;parid=03341104","3897201")</f>
        <v>3897201</v>
      </c>
      <c r="H2605" t="s">
        <v>15799</v>
      </c>
      <c r="I2605">
        <v>1985</v>
      </c>
      <c r="J2605">
        <v>1985</v>
      </c>
      <c r="K2605" t="s">
        <v>4897</v>
      </c>
      <c r="L2605" t="s">
        <v>4555</v>
      </c>
      <c r="M2605" s="2">
        <v>810</v>
      </c>
      <c r="N2605" t="s">
        <v>4048</v>
      </c>
      <c r="O2605">
        <v>2</v>
      </c>
      <c r="P2605">
        <v>1</v>
      </c>
      <c r="Q2605">
        <v>0</v>
      </c>
      <c r="R2605" t="s">
        <v>5281</v>
      </c>
      <c r="S2605" t="s">
        <v>4558</v>
      </c>
      <c r="T2605" t="s">
        <v>2704</v>
      </c>
      <c r="U2605" t="s">
        <v>4655</v>
      </c>
      <c r="V2605" s="2">
        <v>0</v>
      </c>
      <c r="W2605" t="s">
        <v>4655</v>
      </c>
      <c r="X2605" s="2">
        <v>0</v>
      </c>
      <c r="Y2605">
        <v>21</v>
      </c>
      <c r="Z2605" t="s">
        <v>2081</v>
      </c>
      <c r="AA2605" s="3">
        <v>1.00000004749745E-3</v>
      </c>
      <c r="AB2605" t="s">
        <v>15806</v>
      </c>
      <c r="AC2605" t="s">
        <v>4575</v>
      </c>
      <c r="AD2605" t="s">
        <v>15807</v>
      </c>
      <c r="AE2605" t="s">
        <v>4655</v>
      </c>
      <c r="AF2605" t="s">
        <v>5201</v>
      </c>
      <c r="AG2605" t="s">
        <v>4564</v>
      </c>
      <c r="AH2605" t="s">
        <v>1605</v>
      </c>
      <c r="AI2605" t="s">
        <v>4655</v>
      </c>
      <c r="AJ2605" t="s">
        <v>4655</v>
      </c>
      <c r="AK2605" t="s">
        <v>15808</v>
      </c>
      <c r="AL2605" s="13" t="s">
        <v>1886</v>
      </c>
      <c r="AM2605">
        <v>1</v>
      </c>
      <c r="AN2605" s="15" t="s">
        <v>15804</v>
      </c>
    </row>
    <row r="2606" spans="1:40" x14ac:dyDescent="0.3">
      <c r="A2606" s="10" t="str">
        <f>HYPERLINK("http://www.washoecounty.gov/assessor/cama/?parid=033-412-01&amp;CardNumber=1","033-412-01")</f>
        <v>033-412-01</v>
      </c>
      <c r="B2606" t="s">
        <v>4655</v>
      </c>
      <c r="C2606" t="s">
        <v>15809</v>
      </c>
      <c r="D2606" s="1">
        <v>40513</v>
      </c>
      <c r="E2606" s="2">
        <v>48000</v>
      </c>
      <c r="F2606" t="s">
        <v>4553</v>
      </c>
      <c r="G2606" s="17" t="str">
        <f>HYPERLINK("https://www.washoecounty.gov/assessor/cama/?command=sales&amp;parid=03341201","3948104")</f>
        <v>3948104</v>
      </c>
      <c r="H2606" t="s">
        <v>15799</v>
      </c>
      <c r="I2606">
        <v>1985</v>
      </c>
      <c r="J2606">
        <v>1985</v>
      </c>
      <c r="K2606" t="s">
        <v>4897</v>
      </c>
      <c r="L2606" t="s">
        <v>4555</v>
      </c>
      <c r="M2606" s="2">
        <v>810</v>
      </c>
      <c r="N2606" t="s">
        <v>4048</v>
      </c>
      <c r="O2606">
        <v>2</v>
      </c>
      <c r="P2606">
        <v>1</v>
      </c>
      <c r="Q2606">
        <v>0</v>
      </c>
      <c r="R2606" t="s">
        <v>5281</v>
      </c>
      <c r="S2606" t="s">
        <v>4558</v>
      </c>
      <c r="T2606" t="s">
        <v>2704</v>
      </c>
      <c r="U2606" t="s">
        <v>4655</v>
      </c>
      <c r="V2606" s="2">
        <v>0</v>
      </c>
      <c r="W2606" t="s">
        <v>4655</v>
      </c>
      <c r="X2606" s="2">
        <v>0</v>
      </c>
      <c r="Y2606">
        <v>21</v>
      </c>
      <c r="Z2606" t="s">
        <v>2081</v>
      </c>
      <c r="AA2606" s="3">
        <v>1.00000004749745E-3</v>
      </c>
      <c r="AB2606" t="s">
        <v>15810</v>
      </c>
      <c r="AC2606" t="s">
        <v>4575</v>
      </c>
      <c r="AD2606" t="s">
        <v>15809</v>
      </c>
      <c r="AE2606" t="s">
        <v>4655</v>
      </c>
      <c r="AF2606" t="s">
        <v>3114</v>
      </c>
      <c r="AG2606" t="s">
        <v>4564</v>
      </c>
      <c r="AH2606" t="s">
        <v>5202</v>
      </c>
      <c r="AI2606" t="s">
        <v>4903</v>
      </c>
      <c r="AJ2606" t="s">
        <v>4655</v>
      </c>
      <c r="AK2606" t="s">
        <v>15811</v>
      </c>
      <c r="AL2606" s="13" t="s">
        <v>1886</v>
      </c>
      <c r="AM2606" s="14">
        <v>1</v>
      </c>
      <c r="AN2606" s="15" t="s">
        <v>15804</v>
      </c>
    </row>
    <row r="2607" spans="1:40" x14ac:dyDescent="0.3">
      <c r="A2607" s="10" t="str">
        <f>HYPERLINK("http://www.washoecounty.gov/assessor/cama/?parid=033-421-01&amp;CardNumber=1","033-421-01")</f>
        <v>033-421-01</v>
      </c>
      <c r="B2607" t="s">
        <v>4655</v>
      </c>
      <c r="C2607" t="s">
        <v>15669</v>
      </c>
      <c r="D2607" s="1">
        <v>40438</v>
      </c>
      <c r="E2607" s="2">
        <v>88000</v>
      </c>
      <c r="F2607" t="s">
        <v>4567</v>
      </c>
      <c r="G2607" s="17" t="str">
        <f>HYPERLINK("https://www.washoecounty.gov/assessor/cama/?command=sales&amp;parid=03342101","3923601")</f>
        <v>3923601</v>
      </c>
      <c r="H2607" t="s">
        <v>5453</v>
      </c>
      <c r="I2607">
        <v>1964</v>
      </c>
      <c r="J2607">
        <v>1964</v>
      </c>
      <c r="K2607" t="s">
        <v>4554</v>
      </c>
      <c r="L2607" t="s">
        <v>4555</v>
      </c>
      <c r="M2607" s="2">
        <v>1206</v>
      </c>
      <c r="N2607" t="s">
        <v>4048</v>
      </c>
      <c r="O2607">
        <v>3</v>
      </c>
      <c r="P2607">
        <v>2</v>
      </c>
      <c r="Q2607">
        <v>0</v>
      </c>
      <c r="R2607" t="s">
        <v>4557</v>
      </c>
      <c r="S2607" t="s">
        <v>4558</v>
      </c>
      <c r="T2607" t="s">
        <v>4559</v>
      </c>
      <c r="U2607" t="s">
        <v>4560</v>
      </c>
      <c r="V2607" s="2">
        <v>400</v>
      </c>
      <c r="W2607" t="s">
        <v>4655</v>
      </c>
      <c r="X2607" s="2">
        <v>0</v>
      </c>
      <c r="Y2607">
        <v>20</v>
      </c>
      <c r="Z2607" t="s">
        <v>5200</v>
      </c>
      <c r="AA2607" s="3">
        <v>0.137741044163704</v>
      </c>
      <c r="AB2607" t="s">
        <v>1856</v>
      </c>
      <c r="AC2607" t="s">
        <v>4562</v>
      </c>
      <c r="AD2607" t="s">
        <v>1857</v>
      </c>
      <c r="AE2607" t="s">
        <v>4655</v>
      </c>
      <c r="AF2607" t="s">
        <v>3890</v>
      </c>
      <c r="AG2607" t="s">
        <v>4564</v>
      </c>
      <c r="AH2607" t="s">
        <v>3891</v>
      </c>
      <c r="AI2607" t="s">
        <v>4655</v>
      </c>
      <c r="AJ2607" t="s">
        <v>15812</v>
      </c>
      <c r="AK2607" t="s">
        <v>15670</v>
      </c>
      <c r="AL2607" s="13" t="s">
        <v>1886</v>
      </c>
      <c r="AM2607" s="14">
        <v>1</v>
      </c>
      <c r="AN2607" s="15" t="s">
        <v>4904</v>
      </c>
    </row>
    <row r="2608" spans="1:40" x14ac:dyDescent="0.3">
      <c r="A2608" s="10" t="str">
        <f>HYPERLINK("http://www.washoecounty.gov/assessor/cama/?parid=034-060-31&amp;CardNumber=1","034-060-31")</f>
        <v>034-060-31</v>
      </c>
      <c r="B2608" t="s">
        <v>4655</v>
      </c>
      <c r="C2608" t="s">
        <v>15813</v>
      </c>
      <c r="D2608" s="1">
        <v>40396</v>
      </c>
      <c r="E2608" s="2">
        <v>1350000</v>
      </c>
      <c r="F2608" t="s">
        <v>3528</v>
      </c>
      <c r="G2608" s="17" t="str">
        <f>HYPERLINK("https://www.washoecounty.gov/assessor/cama/?command=sales&amp;parid=03406031","3909593")</f>
        <v>3909593</v>
      </c>
      <c r="H2608" t="s">
        <v>15814</v>
      </c>
      <c r="I2608">
        <v>1988</v>
      </c>
      <c r="J2608">
        <v>1988</v>
      </c>
      <c r="K2608" t="s">
        <v>1365</v>
      </c>
      <c r="L2608" t="s">
        <v>1366</v>
      </c>
      <c r="M2608" s="2">
        <v>14140</v>
      </c>
      <c r="N2608" t="s">
        <v>1367</v>
      </c>
      <c r="O2608">
        <v>0</v>
      </c>
      <c r="P2608">
        <v>0</v>
      </c>
      <c r="Q2608">
        <v>0</v>
      </c>
      <c r="R2608" t="s">
        <v>1395</v>
      </c>
      <c r="S2608" t="s">
        <v>1369</v>
      </c>
      <c r="T2608" t="s">
        <v>4655</v>
      </c>
      <c r="U2608" t="s">
        <v>4655</v>
      </c>
      <c r="V2608" s="2">
        <v>0</v>
      </c>
      <c r="W2608" t="s">
        <v>4655</v>
      </c>
      <c r="X2608" s="2">
        <v>0</v>
      </c>
      <c r="Y2608">
        <v>50</v>
      </c>
      <c r="Z2608" t="s">
        <v>4843</v>
      </c>
      <c r="AA2608" s="3">
        <v>1.3910008668899501</v>
      </c>
      <c r="AB2608" t="s">
        <v>15815</v>
      </c>
      <c r="AC2608" t="s">
        <v>4562</v>
      </c>
      <c r="AD2608" t="s">
        <v>15816</v>
      </c>
      <c r="AE2608" t="s">
        <v>4655</v>
      </c>
      <c r="AF2608" t="s">
        <v>4563</v>
      </c>
      <c r="AG2608" t="s">
        <v>4564</v>
      </c>
      <c r="AH2608" t="s">
        <v>1147</v>
      </c>
      <c r="AI2608" t="s">
        <v>15817</v>
      </c>
      <c r="AJ2608" t="s">
        <v>4655</v>
      </c>
      <c r="AK2608" t="s">
        <v>15818</v>
      </c>
      <c r="AL2608" s="13" t="s">
        <v>3425</v>
      </c>
      <c r="AM2608" s="14">
        <v>1</v>
      </c>
      <c r="AN2608" s="15" t="s">
        <v>989</v>
      </c>
    </row>
    <row r="2609" spans="1:40" x14ac:dyDescent="0.3">
      <c r="A2609" s="10" t="str">
        <f>HYPERLINK("http://www.washoecounty.gov/assessor/cama/?parid=034-112-25&amp;CardNumber=1","034-112-25")</f>
        <v>034-112-25</v>
      </c>
      <c r="B2609" t="s">
        <v>5502</v>
      </c>
      <c r="C2609" t="s">
        <v>15819</v>
      </c>
      <c r="D2609" s="1">
        <v>40423</v>
      </c>
      <c r="E2609" s="2">
        <v>6645000</v>
      </c>
      <c r="F2609" t="s">
        <v>4187</v>
      </c>
      <c r="G2609" s="17" t="str">
        <f>HYPERLINK("https://www.washoecounty.gov/assessor/cama/?command=sales&amp;parid=03411225","3918289")</f>
        <v>3918289</v>
      </c>
      <c r="H2609" t="s">
        <v>4655</v>
      </c>
      <c r="I2609">
        <v>1980</v>
      </c>
      <c r="J2609">
        <v>1980</v>
      </c>
      <c r="K2609" t="s">
        <v>15820</v>
      </c>
      <c r="L2609" t="s">
        <v>1366</v>
      </c>
      <c r="M2609" s="2">
        <v>13578</v>
      </c>
      <c r="N2609" t="s">
        <v>1367</v>
      </c>
      <c r="O2609">
        <v>0</v>
      </c>
      <c r="P2609">
        <v>0</v>
      </c>
      <c r="Q2609">
        <v>0</v>
      </c>
      <c r="R2609" t="s">
        <v>1395</v>
      </c>
      <c r="S2609" t="s">
        <v>1369</v>
      </c>
      <c r="T2609" t="s">
        <v>4655</v>
      </c>
      <c r="U2609" t="s">
        <v>4655</v>
      </c>
      <c r="V2609" s="2">
        <v>0</v>
      </c>
      <c r="W2609" t="s">
        <v>4655</v>
      </c>
      <c r="X2609" s="2">
        <v>0</v>
      </c>
      <c r="Y2609">
        <v>50</v>
      </c>
      <c r="Z2609" t="s">
        <v>4843</v>
      </c>
      <c r="AA2609" s="3">
        <v>10.1210002899169</v>
      </c>
      <c r="AB2609" t="s">
        <v>15821</v>
      </c>
      <c r="AC2609" t="s">
        <v>4562</v>
      </c>
      <c r="AD2609" t="s">
        <v>15822</v>
      </c>
      <c r="AE2609" t="s">
        <v>15823</v>
      </c>
      <c r="AF2609" t="s">
        <v>3869</v>
      </c>
      <c r="AG2609" t="s">
        <v>2567</v>
      </c>
      <c r="AH2609" t="s">
        <v>15824</v>
      </c>
      <c r="AI2609" t="s">
        <v>15825</v>
      </c>
      <c r="AJ2609" t="s">
        <v>4655</v>
      </c>
      <c r="AK2609" t="s">
        <v>15826</v>
      </c>
      <c r="AL2609" s="13" t="s">
        <v>3425</v>
      </c>
      <c r="AM2609">
        <v>2</v>
      </c>
      <c r="AN2609" s="15" t="s">
        <v>989</v>
      </c>
    </row>
    <row r="2610" spans="1:40" x14ac:dyDescent="0.3">
      <c r="A2610" s="10" t="str">
        <f>HYPERLINK("http://www.washoecounty.gov/assessor/cama/?parid=034-131-21&amp;CardNumber=1","034-131-21")</f>
        <v>034-131-21</v>
      </c>
      <c r="B2610" t="s">
        <v>5502</v>
      </c>
      <c r="C2610" t="s">
        <v>15827</v>
      </c>
      <c r="D2610" s="1">
        <v>40479</v>
      </c>
      <c r="E2610" s="2">
        <v>1200000</v>
      </c>
      <c r="F2610" t="s">
        <v>3259</v>
      </c>
      <c r="G2610" s="17" t="str">
        <f>HYPERLINK("https://www.washoecounty.gov/assessor/cama/?command=sales&amp;parid=03413121","3937725")</f>
        <v>3937725</v>
      </c>
      <c r="H2610" t="s">
        <v>4827</v>
      </c>
      <c r="I2610">
        <v>1976</v>
      </c>
      <c r="J2610">
        <v>1976</v>
      </c>
      <c r="K2610" t="s">
        <v>3919</v>
      </c>
      <c r="L2610" t="s">
        <v>1366</v>
      </c>
      <c r="M2610" s="2">
        <v>6250</v>
      </c>
      <c r="N2610" t="s">
        <v>4672</v>
      </c>
      <c r="O2610">
        <v>0</v>
      </c>
      <c r="P2610">
        <v>0</v>
      </c>
      <c r="Q2610">
        <v>0</v>
      </c>
      <c r="R2610" t="s">
        <v>429</v>
      </c>
      <c r="S2610" t="s">
        <v>430</v>
      </c>
      <c r="T2610" t="s">
        <v>4655</v>
      </c>
      <c r="U2610" t="s">
        <v>4655</v>
      </c>
      <c r="V2610" s="2">
        <v>0</v>
      </c>
      <c r="W2610" t="s">
        <v>4655</v>
      </c>
      <c r="X2610" s="2">
        <v>0</v>
      </c>
      <c r="Y2610">
        <v>40</v>
      </c>
      <c r="Z2610" t="s">
        <v>4843</v>
      </c>
      <c r="AA2610" s="3">
        <v>2.2929999828338623</v>
      </c>
      <c r="AB2610" t="s">
        <v>15828</v>
      </c>
      <c r="AC2610" t="s">
        <v>4562</v>
      </c>
      <c r="AD2610" t="s">
        <v>15829</v>
      </c>
      <c r="AE2610" t="s">
        <v>4655</v>
      </c>
      <c r="AF2610" t="s">
        <v>4545</v>
      </c>
      <c r="AG2610" t="s">
        <v>4584</v>
      </c>
      <c r="AH2610">
        <v>95206</v>
      </c>
      <c r="AI2610" t="s">
        <v>15830</v>
      </c>
      <c r="AJ2610" t="s">
        <v>15831</v>
      </c>
      <c r="AK2610" t="s">
        <v>15832</v>
      </c>
      <c r="AL2610" s="13" t="s">
        <v>1886</v>
      </c>
      <c r="AM2610">
        <v>2</v>
      </c>
      <c r="AN2610" s="15" t="s">
        <v>989</v>
      </c>
    </row>
    <row r="2611" spans="1:40" x14ac:dyDescent="0.3">
      <c r="A2611" s="10" t="str">
        <f>HYPERLINK("http://www.washoecounty.gov/assessor/cama/?parid=034-133-03&amp;CardNumber=1","034-133-03")</f>
        <v>034-133-03</v>
      </c>
      <c r="B2611" t="s">
        <v>4655</v>
      </c>
      <c r="C2611" t="s">
        <v>15833</v>
      </c>
      <c r="D2611" s="1">
        <v>40413</v>
      </c>
      <c r="E2611" s="2">
        <v>2200000</v>
      </c>
      <c r="F2611" t="s">
        <v>3259</v>
      </c>
      <c r="G2611" s="17" t="str">
        <f>HYPERLINK("https://www.washoecounty.gov/assessor/cama/?command=sales&amp;parid=03413303","3914456")</f>
        <v>3914456</v>
      </c>
      <c r="H2611" t="s">
        <v>15834</v>
      </c>
      <c r="I2611">
        <v>1995</v>
      </c>
      <c r="J2611">
        <v>1995</v>
      </c>
      <c r="K2611" t="s">
        <v>1365</v>
      </c>
      <c r="L2611" t="s">
        <v>1366</v>
      </c>
      <c r="M2611" s="2">
        <v>25520</v>
      </c>
      <c r="N2611" t="s">
        <v>4672</v>
      </c>
      <c r="O2611">
        <v>0</v>
      </c>
      <c r="P2611">
        <v>0</v>
      </c>
      <c r="Q2611">
        <v>0</v>
      </c>
      <c r="R2611" t="s">
        <v>1395</v>
      </c>
      <c r="S2611" t="s">
        <v>4599</v>
      </c>
      <c r="T2611" t="s">
        <v>4655</v>
      </c>
      <c r="U2611" t="s">
        <v>4655</v>
      </c>
      <c r="V2611" s="2">
        <v>0</v>
      </c>
      <c r="W2611" t="s">
        <v>4655</v>
      </c>
      <c r="X2611" s="2">
        <v>0</v>
      </c>
      <c r="Y2611">
        <v>50</v>
      </c>
      <c r="Z2611" t="s">
        <v>4843</v>
      </c>
      <c r="AA2611" s="3">
        <v>2.6519999504089302</v>
      </c>
      <c r="AB2611" t="s">
        <v>15835</v>
      </c>
      <c r="AC2611" t="s">
        <v>4562</v>
      </c>
      <c r="AD2611" t="s">
        <v>15836</v>
      </c>
      <c r="AE2611" t="s">
        <v>4655</v>
      </c>
      <c r="AF2611" t="s">
        <v>4619</v>
      </c>
      <c r="AG2611" t="s">
        <v>4584</v>
      </c>
      <c r="AH2611" t="s">
        <v>4620</v>
      </c>
      <c r="AI2611" t="s">
        <v>15837</v>
      </c>
      <c r="AJ2611" t="s">
        <v>15838</v>
      </c>
      <c r="AK2611" t="s">
        <v>15839</v>
      </c>
      <c r="AL2611" s="13" t="s">
        <v>1886</v>
      </c>
      <c r="AM2611" s="14">
        <v>1</v>
      </c>
      <c r="AN2611" s="15" t="s">
        <v>989</v>
      </c>
    </row>
    <row r="2612" spans="1:40" x14ac:dyDescent="0.3">
      <c r="A2612" s="10" t="str">
        <f>HYPERLINK("http://www.washoecounty.gov/assessor/cama/?parid=034-151-01&amp;CardNumber=1","034-151-01")</f>
        <v>034-151-01</v>
      </c>
      <c r="B2612" t="s">
        <v>4655</v>
      </c>
      <c r="C2612" t="s">
        <v>15840</v>
      </c>
      <c r="D2612" s="1">
        <v>40511</v>
      </c>
      <c r="E2612" s="2">
        <v>4501381</v>
      </c>
      <c r="F2612" t="s">
        <v>3528</v>
      </c>
      <c r="G2612" s="17" t="str">
        <f>HYPERLINK("https://www.washoecounty.gov/assessor/cama/?command=sales&amp;parid=03415101","3947327")</f>
        <v>3947327</v>
      </c>
      <c r="H2612" t="s">
        <v>15841</v>
      </c>
      <c r="I2612">
        <v>1977</v>
      </c>
      <c r="J2612">
        <v>1977</v>
      </c>
      <c r="K2612" t="s">
        <v>1375</v>
      </c>
      <c r="L2612" t="s">
        <v>1366</v>
      </c>
      <c r="M2612" s="2">
        <v>129600</v>
      </c>
      <c r="N2612" t="s">
        <v>1367</v>
      </c>
      <c r="O2612">
        <v>0</v>
      </c>
      <c r="P2612">
        <v>0</v>
      </c>
      <c r="Q2612">
        <v>0</v>
      </c>
      <c r="R2612" t="s">
        <v>1368</v>
      </c>
      <c r="S2612" t="s">
        <v>4599</v>
      </c>
      <c r="T2612" t="s">
        <v>4655</v>
      </c>
      <c r="U2612" t="s">
        <v>4655</v>
      </c>
      <c r="V2612" s="2">
        <v>0</v>
      </c>
      <c r="W2612" t="s">
        <v>4655</v>
      </c>
      <c r="X2612" s="2">
        <v>0</v>
      </c>
      <c r="Y2612">
        <v>50</v>
      </c>
      <c r="Z2612" t="s">
        <v>4843</v>
      </c>
      <c r="AA2612" s="3">
        <v>9.4589996337890607</v>
      </c>
      <c r="AB2612" t="s">
        <v>15842</v>
      </c>
      <c r="AC2612" t="s">
        <v>4562</v>
      </c>
      <c r="AD2612" t="s">
        <v>15843</v>
      </c>
      <c r="AE2612" t="s">
        <v>15844</v>
      </c>
      <c r="AF2612" t="s">
        <v>3110</v>
      </c>
      <c r="AG2612" t="s">
        <v>4584</v>
      </c>
      <c r="AH2612">
        <v>92008</v>
      </c>
      <c r="AI2612" t="s">
        <v>15845</v>
      </c>
      <c r="AJ2612" t="s">
        <v>4655</v>
      </c>
      <c r="AK2612" t="s">
        <v>15846</v>
      </c>
      <c r="AL2612" s="13" t="s">
        <v>1886</v>
      </c>
      <c r="AM2612">
        <v>1</v>
      </c>
      <c r="AN2612" s="15" t="s">
        <v>989</v>
      </c>
    </row>
    <row r="2613" spans="1:40" x14ac:dyDescent="0.3">
      <c r="A2613" s="10" t="str">
        <f>HYPERLINK("http://www.washoecounty.gov/assessor/cama/?parid=034-164-05&amp;CardNumber=1","034-164-05")</f>
        <v>034-164-05</v>
      </c>
      <c r="B2613" t="s">
        <v>4655</v>
      </c>
      <c r="C2613" t="s">
        <v>15847</v>
      </c>
      <c r="D2613" s="1">
        <v>40367</v>
      </c>
      <c r="E2613" s="2">
        <v>350000</v>
      </c>
      <c r="F2613" t="s">
        <v>3259</v>
      </c>
      <c r="G2613" s="17" t="str">
        <f>HYPERLINK("https://www.washoecounty.gov/assessor/cama/?command=sales&amp;parid=03416405","3899653")</f>
        <v>3899653</v>
      </c>
      <c r="H2613" t="s">
        <v>15848</v>
      </c>
      <c r="I2613">
        <v>1970</v>
      </c>
      <c r="J2613">
        <v>1970</v>
      </c>
      <c r="K2613" t="s">
        <v>1365</v>
      </c>
      <c r="L2613" t="s">
        <v>1366</v>
      </c>
      <c r="M2613" s="2">
        <v>5000</v>
      </c>
      <c r="N2613" t="s">
        <v>4672</v>
      </c>
      <c r="O2613">
        <v>0</v>
      </c>
      <c r="P2613">
        <v>0</v>
      </c>
      <c r="Q2613">
        <v>0</v>
      </c>
      <c r="R2613" t="s">
        <v>429</v>
      </c>
      <c r="S2613" t="s">
        <v>4856</v>
      </c>
      <c r="T2613" t="s">
        <v>4655</v>
      </c>
      <c r="U2613" t="s">
        <v>4655</v>
      </c>
      <c r="V2613" s="2">
        <v>0</v>
      </c>
      <c r="W2613" t="s">
        <v>4655</v>
      </c>
      <c r="X2613" s="2">
        <v>0</v>
      </c>
      <c r="Y2613">
        <v>40</v>
      </c>
      <c r="Z2613" t="s">
        <v>4843</v>
      </c>
      <c r="AA2613" s="3">
        <v>1.5469926595687866</v>
      </c>
      <c r="AB2613" t="s">
        <v>15849</v>
      </c>
      <c r="AC2613" t="s">
        <v>4575</v>
      </c>
      <c r="AD2613" t="s">
        <v>15850</v>
      </c>
      <c r="AE2613" t="s">
        <v>4655</v>
      </c>
      <c r="AF2613" t="s">
        <v>4563</v>
      </c>
      <c r="AG2613" t="s">
        <v>4564</v>
      </c>
      <c r="AH2613" t="s">
        <v>5197</v>
      </c>
      <c r="AI2613" t="s">
        <v>15851</v>
      </c>
      <c r="AJ2613" t="s">
        <v>15852</v>
      </c>
      <c r="AK2613" t="s">
        <v>15853</v>
      </c>
      <c r="AL2613" s="13" t="s">
        <v>3425</v>
      </c>
      <c r="AM2613">
        <v>1</v>
      </c>
      <c r="AN2613" s="15" t="s">
        <v>989</v>
      </c>
    </row>
    <row r="2614" spans="1:40" x14ac:dyDescent="0.3">
      <c r="A2614" s="10" t="str">
        <f>HYPERLINK("http://www.washoecounty.gov/assessor/cama/?parid=034-171-40&amp;CardNumber=1","034-171-40")</f>
        <v>034-171-40</v>
      </c>
      <c r="B2614" t="s">
        <v>4655</v>
      </c>
      <c r="C2614" t="s">
        <v>15854</v>
      </c>
      <c r="D2614" s="1">
        <v>40452</v>
      </c>
      <c r="E2614" s="2">
        <v>2350000</v>
      </c>
      <c r="F2614" t="s">
        <v>4187</v>
      </c>
      <c r="G2614" s="17" t="str">
        <f>HYPERLINK("https://www.washoecounty.gov/assessor/cama/?command=sales&amp;parid=03417140","3928624")</f>
        <v>3928624</v>
      </c>
      <c r="H2614" t="s">
        <v>15855</v>
      </c>
      <c r="I2614">
        <v>1992</v>
      </c>
      <c r="J2614">
        <v>1992</v>
      </c>
      <c r="K2614" t="s">
        <v>15820</v>
      </c>
      <c r="L2614" t="s">
        <v>1366</v>
      </c>
      <c r="M2614" s="2">
        <v>15350</v>
      </c>
      <c r="N2614" t="s">
        <v>1367</v>
      </c>
      <c r="O2614">
        <v>0</v>
      </c>
      <c r="P2614">
        <v>0</v>
      </c>
      <c r="Q2614">
        <v>0</v>
      </c>
      <c r="R2614" t="s">
        <v>1395</v>
      </c>
      <c r="S2614" t="s">
        <v>4856</v>
      </c>
      <c r="T2614" t="s">
        <v>4655</v>
      </c>
      <c r="U2614" t="s">
        <v>4655</v>
      </c>
      <c r="V2614" s="2">
        <v>0</v>
      </c>
      <c r="W2614" t="s">
        <v>4655</v>
      </c>
      <c r="X2614" s="2">
        <v>0</v>
      </c>
      <c r="Y2614">
        <v>50</v>
      </c>
      <c r="Z2614" t="s">
        <v>4843</v>
      </c>
      <c r="AA2614" s="3">
        <v>4.9699997901916504</v>
      </c>
      <c r="AB2614" t="s">
        <v>15856</v>
      </c>
      <c r="AC2614" t="s">
        <v>4562</v>
      </c>
      <c r="AD2614" t="s">
        <v>15857</v>
      </c>
      <c r="AE2614" t="s">
        <v>4655</v>
      </c>
      <c r="AF2614" t="s">
        <v>4958</v>
      </c>
      <c r="AG2614" t="s">
        <v>4584</v>
      </c>
      <c r="AH2614">
        <v>90508</v>
      </c>
      <c r="AI2614" t="s">
        <v>15858</v>
      </c>
      <c r="AJ2614" t="s">
        <v>15859</v>
      </c>
      <c r="AK2614" t="s">
        <v>15860</v>
      </c>
      <c r="AL2614" s="13" t="s">
        <v>1886</v>
      </c>
      <c r="AM2614">
        <v>1</v>
      </c>
      <c r="AN2614" s="15" t="s">
        <v>989</v>
      </c>
    </row>
    <row r="2615" spans="1:40" x14ac:dyDescent="0.3">
      <c r="A2615" s="10" t="str">
        <f>HYPERLINK("http://www.washoecounty.gov/assessor/cama/?parid=034-171-45&amp;CardNumber=1","034-171-45")</f>
        <v>034-171-45</v>
      </c>
      <c r="B2615" t="s">
        <v>4655</v>
      </c>
      <c r="C2615" t="s">
        <v>15861</v>
      </c>
      <c r="D2615" s="1">
        <v>40515</v>
      </c>
      <c r="E2615" s="2">
        <v>700000</v>
      </c>
      <c r="F2615" t="s">
        <v>3259</v>
      </c>
      <c r="G2615" s="17" t="str">
        <f>HYPERLINK("https://www.washoecounty.gov/assessor/cama/?command=sales&amp;parid=03417145","3949244")</f>
        <v>3949244</v>
      </c>
      <c r="H2615" t="s">
        <v>15862</v>
      </c>
      <c r="I2615">
        <v>1989</v>
      </c>
      <c r="J2615">
        <v>1989</v>
      </c>
      <c r="K2615" t="s">
        <v>1375</v>
      </c>
      <c r="L2615" t="s">
        <v>1366</v>
      </c>
      <c r="M2615" s="2">
        <v>9815</v>
      </c>
      <c r="N2615" t="s">
        <v>1367</v>
      </c>
      <c r="O2615">
        <v>0</v>
      </c>
      <c r="P2615">
        <v>0</v>
      </c>
      <c r="Q2615">
        <v>0</v>
      </c>
      <c r="R2615" t="s">
        <v>1395</v>
      </c>
      <c r="S2615" t="s">
        <v>4599</v>
      </c>
      <c r="T2615" t="s">
        <v>4655</v>
      </c>
      <c r="U2615" t="s">
        <v>4655</v>
      </c>
      <c r="V2615" s="2">
        <v>0</v>
      </c>
      <c r="W2615" t="s">
        <v>4655</v>
      </c>
      <c r="X2615" s="2">
        <v>0</v>
      </c>
      <c r="Y2615">
        <v>50</v>
      </c>
      <c r="Z2615" t="s">
        <v>4843</v>
      </c>
      <c r="AA2615" s="3">
        <v>1.0969926118850699</v>
      </c>
      <c r="AB2615" t="s">
        <v>15863</v>
      </c>
      <c r="AC2615" t="s">
        <v>4562</v>
      </c>
      <c r="AD2615" t="s">
        <v>15864</v>
      </c>
      <c r="AE2615" t="s">
        <v>4655</v>
      </c>
      <c r="AF2615" t="s">
        <v>4563</v>
      </c>
      <c r="AG2615" t="s">
        <v>4564</v>
      </c>
      <c r="AH2615" t="s">
        <v>3821</v>
      </c>
      <c r="AI2615" t="s">
        <v>15863</v>
      </c>
      <c r="AJ2615" t="s">
        <v>15865</v>
      </c>
      <c r="AK2615" t="s">
        <v>15866</v>
      </c>
      <c r="AL2615" s="13" t="s">
        <v>1886</v>
      </c>
      <c r="AM2615">
        <v>1</v>
      </c>
      <c r="AN2615" s="15" t="s">
        <v>989</v>
      </c>
    </row>
    <row r="2616" spans="1:40" x14ac:dyDescent="0.3">
      <c r="A2616" s="10" t="str">
        <f>HYPERLINK("http://www.washoecounty.gov/assessor/cama/?parid=034-263-26&amp;CardNumber=1","034-263-26")</f>
        <v>034-263-26</v>
      </c>
      <c r="B2616" t="s">
        <v>4655</v>
      </c>
      <c r="C2616" t="s">
        <v>15867</v>
      </c>
      <c r="D2616" s="1">
        <v>40539</v>
      </c>
      <c r="E2616" s="2">
        <v>674000</v>
      </c>
      <c r="F2616" t="s">
        <v>4187</v>
      </c>
      <c r="G2616" s="17" t="str">
        <f>HYPERLINK("https://www.washoecounty.gov/assessor/cama/?command=sales&amp;parid=03426326","3957724")</f>
        <v>3957724</v>
      </c>
      <c r="H2616" t="s">
        <v>15868</v>
      </c>
      <c r="I2616">
        <v>1988</v>
      </c>
      <c r="J2616">
        <v>1988</v>
      </c>
      <c r="K2616" t="s">
        <v>1394</v>
      </c>
      <c r="L2616" t="s">
        <v>1366</v>
      </c>
      <c r="M2616" s="2">
        <v>14200</v>
      </c>
      <c r="N2616" t="s">
        <v>1431</v>
      </c>
      <c r="O2616">
        <v>0</v>
      </c>
      <c r="P2616">
        <v>0</v>
      </c>
      <c r="Q2616">
        <v>0</v>
      </c>
      <c r="R2616" t="s">
        <v>1395</v>
      </c>
      <c r="S2616" t="s">
        <v>4599</v>
      </c>
      <c r="T2616" t="s">
        <v>4655</v>
      </c>
      <c r="U2616" t="s">
        <v>4655</v>
      </c>
      <c r="V2616" s="2">
        <v>0</v>
      </c>
      <c r="W2616" t="s">
        <v>4655</v>
      </c>
      <c r="X2616" s="2">
        <v>0</v>
      </c>
      <c r="Y2616">
        <v>50</v>
      </c>
      <c r="Z2616" t="s">
        <v>4843</v>
      </c>
      <c r="AA2616" s="3">
        <v>1</v>
      </c>
      <c r="AB2616" t="s">
        <v>13060</v>
      </c>
      <c r="AC2616" t="s">
        <v>4575</v>
      </c>
      <c r="AD2616" t="s">
        <v>15869</v>
      </c>
      <c r="AE2616" t="s">
        <v>4655</v>
      </c>
      <c r="AF2616" t="s">
        <v>4563</v>
      </c>
      <c r="AG2616" t="s">
        <v>4564</v>
      </c>
      <c r="AH2616">
        <v>89510</v>
      </c>
      <c r="AI2616" t="s">
        <v>15870</v>
      </c>
      <c r="AJ2616" t="s">
        <v>4655</v>
      </c>
      <c r="AK2616" t="s">
        <v>15871</v>
      </c>
      <c r="AL2616" s="13" t="s">
        <v>1886</v>
      </c>
      <c r="AM2616" s="14">
        <v>1</v>
      </c>
      <c r="AN2616" s="15" t="s">
        <v>989</v>
      </c>
    </row>
    <row r="2617" spans="1:40" x14ac:dyDescent="0.3">
      <c r="A2617" s="10" t="str">
        <f>HYPERLINK("http://www.washoecounty.gov/assessor/cama/?parid=034-430-00&amp;CardNumber=1","034-430-00")</f>
        <v>034-430-00</v>
      </c>
      <c r="B2617" t="s">
        <v>4655</v>
      </c>
      <c r="C2617" t="s">
        <v>15872</v>
      </c>
      <c r="D2617" s="1">
        <v>40305</v>
      </c>
      <c r="E2617" s="2">
        <v>625000</v>
      </c>
      <c r="F2617" t="s">
        <v>2900</v>
      </c>
      <c r="G2617" s="17" t="str">
        <f>HYPERLINK("https://www.washoecounty.gov/assessor/cama/?command=sales&amp;parid=03443000","3879225")</f>
        <v>3879225</v>
      </c>
      <c r="H2617" t="s">
        <v>15873</v>
      </c>
      <c r="I2617">
        <v>0</v>
      </c>
      <c r="J2617">
        <v>0</v>
      </c>
      <c r="K2617" t="s">
        <v>4655</v>
      </c>
      <c r="L2617" t="s">
        <v>4655</v>
      </c>
      <c r="M2617" s="2">
        <v>0</v>
      </c>
      <c r="N2617" t="s">
        <v>4655</v>
      </c>
      <c r="O2617">
        <v>0</v>
      </c>
      <c r="P2617">
        <v>0</v>
      </c>
      <c r="Q2617">
        <v>0</v>
      </c>
      <c r="R2617" t="s">
        <v>4655</v>
      </c>
      <c r="S2617" t="s">
        <v>4655</v>
      </c>
      <c r="T2617" t="s">
        <v>4655</v>
      </c>
      <c r="U2617" t="s">
        <v>4655</v>
      </c>
      <c r="V2617" s="2">
        <v>0</v>
      </c>
      <c r="W2617" t="s">
        <v>4655</v>
      </c>
      <c r="X2617" s="2">
        <v>0</v>
      </c>
      <c r="Y2617">
        <v>24</v>
      </c>
      <c r="Z2617" t="s">
        <v>4843</v>
      </c>
      <c r="AA2617" s="3">
        <v>0.907506883144378</v>
      </c>
      <c r="AB2617" t="s">
        <v>15874</v>
      </c>
      <c r="AC2617" t="s">
        <v>4575</v>
      </c>
      <c r="AD2617" t="s">
        <v>4655</v>
      </c>
      <c r="AE2617" t="s">
        <v>4655</v>
      </c>
      <c r="AF2617" t="s">
        <v>4655</v>
      </c>
      <c r="AG2617" t="s">
        <v>4655</v>
      </c>
      <c r="AH2617" t="s">
        <v>4655</v>
      </c>
      <c r="AI2617" t="s">
        <v>4655</v>
      </c>
      <c r="AJ2617" t="s">
        <v>4655</v>
      </c>
      <c r="AK2617" t="s">
        <v>15875</v>
      </c>
      <c r="AL2617" s="13" t="s">
        <v>3425</v>
      </c>
      <c r="AM2617">
        <v>0</v>
      </c>
      <c r="AN2617" s="15" t="s">
        <v>2718</v>
      </c>
    </row>
    <row r="2618" spans="1:40" x14ac:dyDescent="0.3">
      <c r="A2618" s="10" t="str">
        <f>HYPERLINK("http://www.washoecounty.gov/assessor/cama/?parid=034-430-01&amp;CardNumber=1","034-430-01")</f>
        <v>034-430-01</v>
      </c>
      <c r="B2618" t="s">
        <v>4655</v>
      </c>
      <c r="C2618" t="s">
        <v>15876</v>
      </c>
      <c r="D2618" s="1">
        <v>40305</v>
      </c>
      <c r="E2618" s="2">
        <v>625000</v>
      </c>
      <c r="F2618" t="s">
        <v>2900</v>
      </c>
      <c r="G2618" s="17" t="str">
        <f>HYPERLINK("https://www.washoecounty.gov/assessor/cama/?command=sales&amp;parid=03443001","3879225")</f>
        <v>3879225</v>
      </c>
      <c r="H2618" t="s">
        <v>15873</v>
      </c>
      <c r="I2618">
        <v>1985</v>
      </c>
      <c r="J2618">
        <v>1985</v>
      </c>
      <c r="K2618" t="s">
        <v>1375</v>
      </c>
      <c r="L2618" t="s">
        <v>1366</v>
      </c>
      <c r="M2618" s="2">
        <v>7656</v>
      </c>
      <c r="N2618" t="s">
        <v>1431</v>
      </c>
      <c r="O2618">
        <v>0</v>
      </c>
      <c r="P2618">
        <v>0</v>
      </c>
      <c r="Q2618">
        <v>0</v>
      </c>
      <c r="R2618" t="s">
        <v>1368</v>
      </c>
      <c r="S2618" t="s">
        <v>430</v>
      </c>
      <c r="T2618" t="s">
        <v>4655</v>
      </c>
      <c r="U2618" t="s">
        <v>4655</v>
      </c>
      <c r="V2618" s="2">
        <v>0</v>
      </c>
      <c r="W2618" t="s">
        <v>4655</v>
      </c>
      <c r="X2618" s="2">
        <v>0</v>
      </c>
      <c r="Y2618">
        <v>50</v>
      </c>
      <c r="Z2618" t="s">
        <v>4843</v>
      </c>
      <c r="AA2618" s="3">
        <v>0.175757572054863</v>
      </c>
      <c r="AB2618" t="s">
        <v>15877</v>
      </c>
      <c r="AC2618" t="s">
        <v>4562</v>
      </c>
      <c r="AD2618" t="s">
        <v>15878</v>
      </c>
      <c r="AE2618" t="s">
        <v>4655</v>
      </c>
      <c r="AF2618" t="s">
        <v>4563</v>
      </c>
      <c r="AG2618" t="s">
        <v>4564</v>
      </c>
      <c r="AH2618">
        <v>89510</v>
      </c>
      <c r="AI2618" t="s">
        <v>4655</v>
      </c>
      <c r="AJ2618" t="s">
        <v>4655</v>
      </c>
      <c r="AK2618" t="s">
        <v>15879</v>
      </c>
      <c r="AL2618" s="13" t="s">
        <v>3425</v>
      </c>
      <c r="AM2618" s="14">
        <v>1</v>
      </c>
      <c r="AN2618" s="15" t="s">
        <v>15880</v>
      </c>
    </row>
    <row r="2619" spans="1:40" x14ac:dyDescent="0.3">
      <c r="A2619" s="10" t="str">
        <f>HYPERLINK("http://www.washoecounty.gov/assessor/cama/?parid=034-430-02&amp;CardNumber=1","034-430-02")</f>
        <v>034-430-02</v>
      </c>
      <c r="B2619" t="s">
        <v>4655</v>
      </c>
      <c r="C2619" t="s">
        <v>15872</v>
      </c>
      <c r="D2619" s="1">
        <v>40305</v>
      </c>
      <c r="E2619" s="2">
        <v>625000</v>
      </c>
      <c r="F2619" t="s">
        <v>2900</v>
      </c>
      <c r="G2619" s="17" t="str">
        <f>HYPERLINK("https://www.washoecounty.gov/assessor/cama/?command=sales&amp;parid=03443002","3879225")</f>
        <v>3879225</v>
      </c>
      <c r="H2619" t="s">
        <v>15873</v>
      </c>
      <c r="I2619">
        <v>0</v>
      </c>
      <c r="J2619">
        <v>0</v>
      </c>
      <c r="K2619" t="s">
        <v>4655</v>
      </c>
      <c r="L2619" t="s">
        <v>4655</v>
      </c>
      <c r="M2619" s="2">
        <v>0</v>
      </c>
      <c r="N2619" t="s">
        <v>4655</v>
      </c>
      <c r="O2619">
        <v>0</v>
      </c>
      <c r="P2619">
        <v>0</v>
      </c>
      <c r="Q2619">
        <v>0</v>
      </c>
      <c r="R2619" t="s">
        <v>4655</v>
      </c>
      <c r="S2619" t="s">
        <v>4655</v>
      </c>
      <c r="T2619" t="s">
        <v>4655</v>
      </c>
      <c r="U2619" t="s">
        <v>4655</v>
      </c>
      <c r="V2619" s="2">
        <v>0</v>
      </c>
      <c r="W2619" t="s">
        <v>4655</v>
      </c>
      <c r="X2619" s="2">
        <v>0</v>
      </c>
      <c r="Y2619">
        <v>50</v>
      </c>
      <c r="Z2619" t="s">
        <v>4843</v>
      </c>
      <c r="AA2619" s="3">
        <v>8.0348946154117598E-2</v>
      </c>
      <c r="AB2619" t="s">
        <v>15877</v>
      </c>
      <c r="AC2619" t="s">
        <v>4562</v>
      </c>
      <c r="AD2619" t="s">
        <v>15878</v>
      </c>
      <c r="AE2619" t="s">
        <v>4655</v>
      </c>
      <c r="AF2619" t="s">
        <v>4563</v>
      </c>
      <c r="AG2619" t="s">
        <v>4564</v>
      </c>
      <c r="AH2619">
        <v>89510</v>
      </c>
      <c r="AI2619" t="s">
        <v>4655</v>
      </c>
      <c r="AJ2619" t="s">
        <v>4655</v>
      </c>
      <c r="AK2619" t="s">
        <v>15881</v>
      </c>
      <c r="AL2619" s="13" t="s">
        <v>3425</v>
      </c>
      <c r="AM2619" s="14">
        <v>0</v>
      </c>
      <c r="AN2619" s="15" t="s">
        <v>15880</v>
      </c>
    </row>
    <row r="2620" spans="1:40" x14ac:dyDescent="0.3">
      <c r="A2620" s="10" t="str">
        <f>HYPERLINK("http://www.washoecounty.gov/assessor/cama/?parid=034-430-03&amp;CardNumber=1","034-430-03")</f>
        <v>034-430-03</v>
      </c>
      <c r="B2620" t="s">
        <v>4655</v>
      </c>
      <c r="C2620" t="s">
        <v>15872</v>
      </c>
      <c r="D2620" s="1">
        <v>40305</v>
      </c>
      <c r="E2620" s="2">
        <v>625000</v>
      </c>
      <c r="F2620" t="s">
        <v>2900</v>
      </c>
      <c r="G2620" s="17" t="str">
        <f>HYPERLINK("https://www.washoecounty.gov/assessor/cama/?command=sales&amp;parid=03443003","3879225")</f>
        <v>3879225</v>
      </c>
      <c r="H2620" t="s">
        <v>15873</v>
      </c>
      <c r="I2620">
        <v>0</v>
      </c>
      <c r="J2620">
        <v>0</v>
      </c>
      <c r="K2620" t="s">
        <v>4655</v>
      </c>
      <c r="L2620" t="s">
        <v>4655</v>
      </c>
      <c r="M2620" s="2">
        <v>0</v>
      </c>
      <c r="N2620" t="s">
        <v>4655</v>
      </c>
      <c r="O2620">
        <v>0</v>
      </c>
      <c r="P2620">
        <v>0</v>
      </c>
      <c r="Q2620">
        <v>0</v>
      </c>
      <c r="R2620" t="s">
        <v>4655</v>
      </c>
      <c r="S2620" t="s">
        <v>4655</v>
      </c>
      <c r="T2620" t="s">
        <v>4655</v>
      </c>
      <c r="U2620" t="s">
        <v>4655</v>
      </c>
      <c r="V2620" s="2">
        <v>0</v>
      </c>
      <c r="W2620" t="s">
        <v>4655</v>
      </c>
      <c r="X2620" s="2">
        <v>0</v>
      </c>
      <c r="Y2620">
        <v>50</v>
      </c>
      <c r="Z2620" t="s">
        <v>4843</v>
      </c>
      <c r="AA2620" s="3">
        <v>8.6409546434879303E-2</v>
      </c>
      <c r="AB2620" t="s">
        <v>15877</v>
      </c>
      <c r="AC2620" t="s">
        <v>4562</v>
      </c>
      <c r="AD2620" t="s">
        <v>15878</v>
      </c>
      <c r="AE2620" t="s">
        <v>4655</v>
      </c>
      <c r="AF2620" t="s">
        <v>4563</v>
      </c>
      <c r="AG2620" t="s">
        <v>4564</v>
      </c>
      <c r="AH2620">
        <v>89510</v>
      </c>
      <c r="AI2620" t="s">
        <v>4655</v>
      </c>
      <c r="AJ2620" t="s">
        <v>4655</v>
      </c>
      <c r="AK2620" t="s">
        <v>15882</v>
      </c>
      <c r="AL2620" s="13" t="s">
        <v>3425</v>
      </c>
      <c r="AM2620">
        <v>0</v>
      </c>
      <c r="AN2620" s="15" t="s">
        <v>15880</v>
      </c>
    </row>
    <row r="2621" spans="1:40" x14ac:dyDescent="0.3">
      <c r="A2621" s="10" t="str">
        <f>HYPERLINK("http://www.washoecounty.gov/assessor/cama/?parid=034-430-04&amp;CardNumber=1","034-430-04")</f>
        <v>034-430-04</v>
      </c>
      <c r="B2621" t="s">
        <v>4655</v>
      </c>
      <c r="C2621" t="s">
        <v>15872</v>
      </c>
      <c r="D2621" s="1">
        <v>40305</v>
      </c>
      <c r="E2621" s="2">
        <v>625000</v>
      </c>
      <c r="F2621" t="s">
        <v>2900</v>
      </c>
      <c r="G2621" s="17" t="str">
        <f>HYPERLINK("https://www.washoecounty.gov/assessor/cama/?command=sales&amp;parid=03443004","3879225")</f>
        <v>3879225</v>
      </c>
      <c r="H2621" t="s">
        <v>15873</v>
      </c>
      <c r="I2621">
        <v>0</v>
      </c>
      <c r="J2621">
        <v>0</v>
      </c>
      <c r="K2621" t="s">
        <v>4655</v>
      </c>
      <c r="L2621" t="s">
        <v>4655</v>
      </c>
      <c r="M2621" s="2">
        <v>0</v>
      </c>
      <c r="N2621" t="s">
        <v>4655</v>
      </c>
      <c r="O2621">
        <v>0</v>
      </c>
      <c r="P2621">
        <v>0</v>
      </c>
      <c r="Q2621">
        <v>0</v>
      </c>
      <c r="R2621" t="s">
        <v>4655</v>
      </c>
      <c r="S2621" t="s">
        <v>4655</v>
      </c>
      <c r="T2621" t="s">
        <v>4655</v>
      </c>
      <c r="U2621" t="s">
        <v>4655</v>
      </c>
      <c r="V2621" s="2">
        <v>0</v>
      </c>
      <c r="W2621" t="s">
        <v>4655</v>
      </c>
      <c r="X2621" s="2">
        <v>0</v>
      </c>
      <c r="Y2621">
        <v>15</v>
      </c>
      <c r="Z2621" t="s">
        <v>4843</v>
      </c>
      <c r="AA2621" s="3">
        <v>3.9026629179716103E-2</v>
      </c>
      <c r="AB2621" t="s">
        <v>15877</v>
      </c>
      <c r="AC2621" t="s">
        <v>4562</v>
      </c>
      <c r="AD2621" t="s">
        <v>15878</v>
      </c>
      <c r="AE2621" t="s">
        <v>4655</v>
      </c>
      <c r="AF2621" t="s">
        <v>4563</v>
      </c>
      <c r="AG2621" t="s">
        <v>4564</v>
      </c>
      <c r="AH2621">
        <v>89510</v>
      </c>
      <c r="AI2621" t="s">
        <v>4655</v>
      </c>
      <c r="AJ2621" t="s">
        <v>4655</v>
      </c>
      <c r="AK2621" t="s">
        <v>15883</v>
      </c>
      <c r="AL2621" s="13" t="s">
        <v>3425</v>
      </c>
      <c r="AM2621" s="14">
        <v>0</v>
      </c>
      <c r="AN2621" s="15" t="s">
        <v>15880</v>
      </c>
    </row>
    <row r="2622" spans="1:40" x14ac:dyDescent="0.3">
      <c r="A2622" s="10" t="str">
        <f>HYPERLINK("http://www.washoecounty.gov/assessor/cama/?parid=034-450-26&amp;CardNumber=1","034-450-26")</f>
        <v>034-450-26</v>
      </c>
      <c r="B2622" t="s">
        <v>4655</v>
      </c>
      <c r="C2622" t="s">
        <v>15884</v>
      </c>
      <c r="D2622" s="1">
        <v>40483</v>
      </c>
      <c r="E2622" s="2">
        <v>200000</v>
      </c>
      <c r="F2622" t="s">
        <v>3259</v>
      </c>
      <c r="G2622" s="17" t="str">
        <f>HYPERLINK("https://www.washoecounty.gov/assessor/cama/?command=sales&amp;parid=03445026","3938262")</f>
        <v>3938262</v>
      </c>
      <c r="H2622" t="s">
        <v>15885</v>
      </c>
      <c r="I2622">
        <v>1979</v>
      </c>
      <c r="J2622">
        <v>1979</v>
      </c>
      <c r="K2622" t="s">
        <v>1394</v>
      </c>
      <c r="L2622" t="s">
        <v>1366</v>
      </c>
      <c r="M2622" s="2">
        <v>4000</v>
      </c>
      <c r="N2622" t="s">
        <v>1367</v>
      </c>
      <c r="O2622">
        <v>0</v>
      </c>
      <c r="P2622">
        <v>0</v>
      </c>
      <c r="Q2622">
        <v>0</v>
      </c>
      <c r="R2622" t="s">
        <v>1368</v>
      </c>
      <c r="S2622" t="s">
        <v>4599</v>
      </c>
      <c r="T2622" t="s">
        <v>4655</v>
      </c>
      <c r="U2622" t="s">
        <v>4655</v>
      </c>
      <c r="V2622" s="2">
        <v>0</v>
      </c>
      <c r="W2622" t="s">
        <v>4655</v>
      </c>
      <c r="X2622" s="2">
        <v>0</v>
      </c>
      <c r="Y2622">
        <v>50</v>
      </c>
      <c r="Z2622" t="s">
        <v>1604</v>
      </c>
      <c r="AA2622" s="3">
        <v>9.1827362775802598E-2</v>
      </c>
      <c r="AB2622" t="s">
        <v>15886</v>
      </c>
      <c r="AC2622" t="s">
        <v>4562</v>
      </c>
      <c r="AD2622" t="s">
        <v>15887</v>
      </c>
      <c r="AE2622" t="s">
        <v>4655</v>
      </c>
      <c r="AF2622" t="s">
        <v>3876</v>
      </c>
      <c r="AG2622" t="s">
        <v>4564</v>
      </c>
      <c r="AH2622" t="s">
        <v>3877</v>
      </c>
      <c r="AI2622" t="s">
        <v>15888</v>
      </c>
      <c r="AJ2622" t="s">
        <v>15889</v>
      </c>
      <c r="AK2622" t="s">
        <v>15890</v>
      </c>
      <c r="AL2622" s="13" t="s">
        <v>3425</v>
      </c>
      <c r="AM2622" s="14">
        <v>1</v>
      </c>
      <c r="AN2622" s="15" t="s">
        <v>15880</v>
      </c>
    </row>
    <row r="2623" spans="1:40" x14ac:dyDescent="0.3">
      <c r="A2623" s="10" t="str">
        <f>HYPERLINK("http://www.washoecounty.gov/assessor/cama/?parid=034-460-04&amp;CardNumber=1","034-460-04")</f>
        <v>034-460-04</v>
      </c>
      <c r="B2623" t="s">
        <v>4655</v>
      </c>
      <c r="C2623" t="s">
        <v>15891</v>
      </c>
      <c r="D2623" s="1">
        <v>40235</v>
      </c>
      <c r="E2623" s="2">
        <v>365200</v>
      </c>
      <c r="F2623" t="s">
        <v>4187</v>
      </c>
      <c r="G2623" s="17" t="str">
        <f>HYPERLINK("https://www.washoecounty.gov/assessor/cama/?command=sales&amp;parid=03446004","3853215")</f>
        <v>3853215</v>
      </c>
      <c r="H2623" t="s">
        <v>15892</v>
      </c>
      <c r="I2623">
        <v>2004</v>
      </c>
      <c r="J2623">
        <v>2004</v>
      </c>
      <c r="K2623" t="s">
        <v>1394</v>
      </c>
      <c r="L2623" t="s">
        <v>1366</v>
      </c>
      <c r="M2623" s="2">
        <v>5040</v>
      </c>
      <c r="N2623" t="s">
        <v>3531</v>
      </c>
      <c r="O2623">
        <v>0</v>
      </c>
      <c r="P2623">
        <v>0</v>
      </c>
      <c r="Q2623">
        <v>0</v>
      </c>
      <c r="R2623" t="s">
        <v>1395</v>
      </c>
      <c r="S2623" t="s">
        <v>4599</v>
      </c>
      <c r="T2623" t="s">
        <v>4655</v>
      </c>
      <c r="U2623" t="s">
        <v>4655</v>
      </c>
      <c r="V2623" s="2">
        <v>0</v>
      </c>
      <c r="W2623" t="s">
        <v>4655</v>
      </c>
      <c r="X2623" s="2">
        <v>0</v>
      </c>
      <c r="Y2623">
        <v>51</v>
      </c>
      <c r="Z2623" t="s">
        <v>4843</v>
      </c>
      <c r="AA2623" s="3">
        <v>0.115702480077744</v>
      </c>
      <c r="AB2623" t="s">
        <v>15893</v>
      </c>
      <c r="AC2623" t="s">
        <v>4562</v>
      </c>
      <c r="AD2623" t="s">
        <v>15894</v>
      </c>
      <c r="AE2623" t="s">
        <v>15895</v>
      </c>
      <c r="AF2623" t="s">
        <v>4563</v>
      </c>
      <c r="AG2623" t="s">
        <v>4564</v>
      </c>
      <c r="AH2623">
        <v>89511</v>
      </c>
      <c r="AI2623" t="s">
        <v>15896</v>
      </c>
      <c r="AJ2623" t="s">
        <v>15897</v>
      </c>
      <c r="AK2623" t="s">
        <v>15898</v>
      </c>
      <c r="AL2623" s="13" t="s">
        <v>1886</v>
      </c>
      <c r="AM2623">
        <v>1</v>
      </c>
      <c r="AN2623" s="15" t="s">
        <v>15880</v>
      </c>
    </row>
    <row r="2624" spans="1:40" x14ac:dyDescent="0.3">
      <c r="A2624" s="10" t="str">
        <f>HYPERLINK("http://www.washoecounty.gov/assessor/cama/?parid=035-061-06&amp;CardNumber=1","035-061-06")</f>
        <v>035-061-06</v>
      </c>
      <c r="B2624" t="s">
        <v>4655</v>
      </c>
      <c r="C2624" t="s">
        <v>15899</v>
      </c>
      <c r="D2624" s="1">
        <v>40323</v>
      </c>
      <c r="E2624" s="2">
        <v>65000</v>
      </c>
      <c r="F2624" t="s">
        <v>4567</v>
      </c>
      <c r="G2624" s="17" t="str">
        <f>HYPERLINK("https://www.washoecounty.gov/assessor/cama/?command=sales&amp;parid=03506106","3885073")</f>
        <v>3885073</v>
      </c>
      <c r="H2624" t="s">
        <v>3806</v>
      </c>
      <c r="I2624">
        <v>1990</v>
      </c>
      <c r="J2624">
        <v>1990</v>
      </c>
      <c r="K2624" t="s">
        <v>4847</v>
      </c>
      <c r="L2624" t="s">
        <v>4555</v>
      </c>
      <c r="M2624" s="2">
        <v>1809</v>
      </c>
      <c r="N2624" t="s">
        <v>4048</v>
      </c>
      <c r="O2624">
        <v>4</v>
      </c>
      <c r="P2624">
        <v>2</v>
      </c>
      <c r="Q2624">
        <v>0</v>
      </c>
      <c r="R2624" t="s">
        <v>5281</v>
      </c>
      <c r="S2624" t="s">
        <v>4558</v>
      </c>
      <c r="T2624" t="s">
        <v>4559</v>
      </c>
      <c r="U2624" t="s">
        <v>4655</v>
      </c>
      <c r="V2624" s="2">
        <v>0</v>
      </c>
      <c r="W2624" t="s">
        <v>4655</v>
      </c>
      <c r="X2624" s="2">
        <v>0</v>
      </c>
      <c r="Y2624">
        <v>22</v>
      </c>
      <c r="Z2624" t="s">
        <v>5508</v>
      </c>
      <c r="AA2624" s="3">
        <v>0.355991721153259</v>
      </c>
      <c r="AB2624" t="s">
        <v>15900</v>
      </c>
      <c r="AC2624" t="s">
        <v>4562</v>
      </c>
      <c r="AD2624" t="s">
        <v>15901</v>
      </c>
      <c r="AE2624" t="s">
        <v>4655</v>
      </c>
      <c r="AF2624" t="s">
        <v>1600</v>
      </c>
      <c r="AG2624" t="s">
        <v>4564</v>
      </c>
      <c r="AH2624" t="s">
        <v>1601</v>
      </c>
      <c r="AI2624" t="s">
        <v>15902</v>
      </c>
      <c r="AJ2624" t="s">
        <v>4655</v>
      </c>
      <c r="AK2624" t="s">
        <v>15903</v>
      </c>
      <c r="AL2624" s="13" t="s">
        <v>1889</v>
      </c>
      <c r="AM2624" s="14">
        <v>1</v>
      </c>
      <c r="AN2624" s="15" t="s">
        <v>2528</v>
      </c>
    </row>
    <row r="2625" spans="1:40" x14ac:dyDescent="0.3">
      <c r="A2625" s="10" t="str">
        <f>HYPERLINK("http://www.washoecounty.gov/assessor/cama/?parid=035-062-01&amp;CardNumber=1","035-062-01")</f>
        <v>035-062-01</v>
      </c>
      <c r="B2625" t="s">
        <v>4655</v>
      </c>
      <c r="C2625" t="s">
        <v>15904</v>
      </c>
      <c r="D2625" s="1">
        <v>40347</v>
      </c>
      <c r="E2625" s="2">
        <v>52000</v>
      </c>
      <c r="F2625" t="s">
        <v>4553</v>
      </c>
      <c r="G2625" s="17" t="str">
        <f>HYPERLINK("https://www.washoecounty.gov/assessor/cama/?command=sales&amp;parid=03506201","3893357")</f>
        <v>3893357</v>
      </c>
      <c r="H2625" t="s">
        <v>3806</v>
      </c>
      <c r="I2625">
        <v>1999</v>
      </c>
      <c r="J2625">
        <v>1999</v>
      </c>
      <c r="K2625" t="s">
        <v>4847</v>
      </c>
      <c r="L2625" t="s">
        <v>4555</v>
      </c>
      <c r="M2625" s="2">
        <v>1157</v>
      </c>
      <c r="N2625" t="s">
        <v>5280</v>
      </c>
      <c r="O2625">
        <v>3</v>
      </c>
      <c r="P2625">
        <v>2</v>
      </c>
      <c r="Q2625">
        <v>0</v>
      </c>
      <c r="R2625" t="s">
        <v>4557</v>
      </c>
      <c r="S2625" t="s">
        <v>4558</v>
      </c>
      <c r="T2625" t="s">
        <v>4559</v>
      </c>
      <c r="U2625" t="s">
        <v>4655</v>
      </c>
      <c r="V2625" s="2">
        <v>0</v>
      </c>
      <c r="W2625" t="s">
        <v>4655</v>
      </c>
      <c r="X2625" s="2">
        <v>0</v>
      </c>
      <c r="Y2625">
        <v>22</v>
      </c>
      <c r="Z2625" t="s">
        <v>5508</v>
      </c>
      <c r="AA2625" s="3">
        <v>0.47899448871612499</v>
      </c>
      <c r="AB2625" t="s">
        <v>15905</v>
      </c>
      <c r="AC2625" t="s">
        <v>4562</v>
      </c>
      <c r="AD2625" t="s">
        <v>15904</v>
      </c>
      <c r="AE2625" t="s">
        <v>4655</v>
      </c>
      <c r="AF2625" t="s">
        <v>1600</v>
      </c>
      <c r="AG2625" t="s">
        <v>4564</v>
      </c>
      <c r="AH2625" t="s">
        <v>1601</v>
      </c>
      <c r="AI2625" t="s">
        <v>4848</v>
      </c>
      <c r="AJ2625" t="s">
        <v>4655</v>
      </c>
      <c r="AK2625" t="s">
        <v>15906</v>
      </c>
      <c r="AL2625" s="13" t="s">
        <v>1889</v>
      </c>
      <c r="AM2625" s="14">
        <v>1</v>
      </c>
      <c r="AN2625" s="15" t="s">
        <v>2528</v>
      </c>
    </row>
    <row r="2626" spans="1:40" x14ac:dyDescent="0.3">
      <c r="A2626" s="10" t="str">
        <f>HYPERLINK("http://www.washoecounty.gov/assessor/cama/?parid=035-062-04&amp;CardNumber=1","035-062-04")</f>
        <v>035-062-04</v>
      </c>
      <c r="B2626" t="s">
        <v>4655</v>
      </c>
      <c r="C2626" t="s">
        <v>15907</v>
      </c>
      <c r="D2626" s="1">
        <v>40234</v>
      </c>
      <c r="E2626" s="2">
        <v>55000</v>
      </c>
      <c r="F2626" t="s">
        <v>4553</v>
      </c>
      <c r="G2626" s="17" t="str">
        <f>HYPERLINK("https://www.washoecounty.gov/assessor/cama/?command=sales&amp;parid=03506204","3852779")</f>
        <v>3852779</v>
      </c>
      <c r="H2626" t="s">
        <v>3806</v>
      </c>
      <c r="I2626">
        <v>1998</v>
      </c>
      <c r="J2626">
        <v>1998</v>
      </c>
      <c r="K2626" t="s">
        <v>4847</v>
      </c>
      <c r="L2626" t="s">
        <v>4555</v>
      </c>
      <c r="M2626" s="2">
        <v>1378</v>
      </c>
      <c r="N2626" t="s">
        <v>5280</v>
      </c>
      <c r="O2626">
        <v>3</v>
      </c>
      <c r="P2626">
        <v>2</v>
      </c>
      <c r="Q2626">
        <v>0</v>
      </c>
      <c r="R2626" t="s">
        <v>4557</v>
      </c>
      <c r="S2626" t="s">
        <v>4558</v>
      </c>
      <c r="T2626" t="s">
        <v>4559</v>
      </c>
      <c r="U2626" t="s">
        <v>4655</v>
      </c>
      <c r="V2626" s="2">
        <v>0</v>
      </c>
      <c r="W2626" t="s">
        <v>4655</v>
      </c>
      <c r="X2626" s="2">
        <v>0</v>
      </c>
      <c r="Y2626">
        <v>22</v>
      </c>
      <c r="Z2626" t="s">
        <v>5508</v>
      </c>
      <c r="AA2626" s="3">
        <v>0.403994500637054</v>
      </c>
      <c r="AB2626" t="s">
        <v>15908</v>
      </c>
      <c r="AC2626" t="s">
        <v>4562</v>
      </c>
      <c r="AD2626" t="s">
        <v>15907</v>
      </c>
      <c r="AE2626" t="s">
        <v>4655</v>
      </c>
      <c r="AF2626" t="s">
        <v>1570</v>
      </c>
      <c r="AG2626" t="s">
        <v>4564</v>
      </c>
      <c r="AH2626" t="s">
        <v>1601</v>
      </c>
      <c r="AI2626" t="s">
        <v>4565</v>
      </c>
      <c r="AJ2626" t="s">
        <v>4655</v>
      </c>
      <c r="AK2626" t="s">
        <v>15909</v>
      </c>
      <c r="AL2626" s="13" t="s">
        <v>1889</v>
      </c>
      <c r="AM2626">
        <v>1</v>
      </c>
      <c r="AN2626" s="15" t="s">
        <v>2528</v>
      </c>
    </row>
    <row r="2627" spans="1:40" x14ac:dyDescent="0.3">
      <c r="A2627" s="10" t="str">
        <f>HYPERLINK("http://www.washoecounty.gov/assessor/cama/?parid=035-063-09&amp;CardNumber=1","035-063-09")</f>
        <v>035-063-09</v>
      </c>
      <c r="B2627" t="s">
        <v>4655</v>
      </c>
      <c r="C2627" t="s">
        <v>15910</v>
      </c>
      <c r="D2627" s="1">
        <v>40298</v>
      </c>
      <c r="E2627" s="2">
        <v>90000</v>
      </c>
      <c r="F2627" t="s">
        <v>4553</v>
      </c>
      <c r="G2627" s="17" t="str">
        <f>HYPERLINK("https://www.washoecounty.gov/assessor/cama/?command=sales&amp;parid=03506309","3876871")</f>
        <v>3876871</v>
      </c>
      <c r="H2627" t="s">
        <v>15911</v>
      </c>
      <c r="I2627">
        <v>1975</v>
      </c>
      <c r="J2627">
        <v>1975</v>
      </c>
      <c r="K2627" t="s">
        <v>1243</v>
      </c>
      <c r="L2627" t="s">
        <v>4655</v>
      </c>
      <c r="M2627" s="2">
        <v>0</v>
      </c>
      <c r="N2627" t="s">
        <v>4655</v>
      </c>
      <c r="O2627">
        <v>0</v>
      </c>
      <c r="P2627">
        <v>0</v>
      </c>
      <c r="Q2627">
        <v>0</v>
      </c>
      <c r="R2627" t="s">
        <v>4655</v>
      </c>
      <c r="S2627" t="s">
        <v>4655</v>
      </c>
      <c r="T2627" t="s">
        <v>4655</v>
      </c>
      <c r="U2627" t="s">
        <v>4655</v>
      </c>
      <c r="V2627" s="2">
        <v>0</v>
      </c>
      <c r="W2627" t="s">
        <v>4655</v>
      </c>
      <c r="X2627" s="2">
        <v>0</v>
      </c>
      <c r="Y2627">
        <v>23</v>
      </c>
      <c r="Z2627" t="s">
        <v>5508</v>
      </c>
      <c r="AA2627" s="3">
        <v>0.56600093841552701</v>
      </c>
      <c r="AB2627" t="s">
        <v>15912</v>
      </c>
      <c r="AC2627" t="s">
        <v>4562</v>
      </c>
      <c r="AD2627" t="s">
        <v>15910</v>
      </c>
      <c r="AE2627" t="s">
        <v>4655</v>
      </c>
      <c r="AF2627" t="s">
        <v>1600</v>
      </c>
      <c r="AG2627" t="s">
        <v>4564</v>
      </c>
      <c r="AH2627" t="s">
        <v>1601</v>
      </c>
      <c r="AI2627" t="s">
        <v>15913</v>
      </c>
      <c r="AJ2627" t="s">
        <v>4655</v>
      </c>
      <c r="AK2627" t="s">
        <v>15914</v>
      </c>
      <c r="AL2627" s="13" t="s">
        <v>1889</v>
      </c>
      <c r="AM2627">
        <v>1</v>
      </c>
      <c r="AN2627" s="15" t="s">
        <v>2528</v>
      </c>
    </row>
    <row r="2628" spans="1:40" x14ac:dyDescent="0.3">
      <c r="A2628" s="10" t="str">
        <f>HYPERLINK("http://www.washoecounty.gov/assessor/cama/?parid=035-064-01&amp;CardNumber=1","035-064-01")</f>
        <v>035-064-01</v>
      </c>
      <c r="B2628" t="s">
        <v>4655</v>
      </c>
      <c r="C2628" t="s">
        <v>15915</v>
      </c>
      <c r="D2628" s="1">
        <v>40248</v>
      </c>
      <c r="E2628" s="2">
        <v>88000</v>
      </c>
      <c r="F2628" t="s">
        <v>4553</v>
      </c>
      <c r="G2628" s="17" t="str">
        <f>HYPERLINK("https://www.washoecounty.gov/assessor/cama/?command=sales&amp;parid=03506401","3858754")</f>
        <v>3858754</v>
      </c>
      <c r="H2628" t="s">
        <v>3806</v>
      </c>
      <c r="I2628">
        <v>2004</v>
      </c>
      <c r="J2628">
        <v>2004</v>
      </c>
      <c r="K2628" t="s">
        <v>4847</v>
      </c>
      <c r="L2628" t="s">
        <v>4555</v>
      </c>
      <c r="M2628" s="2">
        <v>1512</v>
      </c>
      <c r="N2628" t="s">
        <v>3147</v>
      </c>
      <c r="O2628">
        <v>3</v>
      </c>
      <c r="P2628">
        <v>2</v>
      </c>
      <c r="Q2628">
        <v>0</v>
      </c>
      <c r="R2628" t="s">
        <v>4557</v>
      </c>
      <c r="S2628" t="s">
        <v>4558</v>
      </c>
      <c r="T2628" t="s">
        <v>4559</v>
      </c>
      <c r="U2628" t="s">
        <v>4655</v>
      </c>
      <c r="V2628" s="2">
        <v>0</v>
      </c>
      <c r="W2628" t="s">
        <v>4655</v>
      </c>
      <c r="X2628" s="2">
        <v>0</v>
      </c>
      <c r="Y2628">
        <v>22</v>
      </c>
      <c r="Z2628" t="s">
        <v>5508</v>
      </c>
      <c r="AA2628" s="3">
        <v>0.346005499362946</v>
      </c>
      <c r="AB2628" t="s">
        <v>15916</v>
      </c>
      <c r="AC2628" t="s">
        <v>4562</v>
      </c>
      <c r="AD2628" t="s">
        <v>15915</v>
      </c>
      <c r="AE2628" t="s">
        <v>4655</v>
      </c>
      <c r="AF2628" t="s">
        <v>1600</v>
      </c>
      <c r="AG2628" t="s">
        <v>4564</v>
      </c>
      <c r="AH2628" t="s">
        <v>1601</v>
      </c>
      <c r="AI2628" t="s">
        <v>4655</v>
      </c>
      <c r="AJ2628" t="s">
        <v>4655</v>
      </c>
      <c r="AK2628" t="s">
        <v>15917</v>
      </c>
      <c r="AL2628" s="13" t="s">
        <v>1889</v>
      </c>
      <c r="AM2628">
        <v>1</v>
      </c>
      <c r="AN2628" s="15" t="s">
        <v>2528</v>
      </c>
    </row>
    <row r="2629" spans="1:40" x14ac:dyDescent="0.3">
      <c r="A2629" s="10" t="str">
        <f>HYPERLINK("http://www.washoecounty.gov/assessor/cama/?parid=035-072-03&amp;CardNumber=1","035-072-03")</f>
        <v>035-072-03</v>
      </c>
      <c r="B2629" t="s">
        <v>4655</v>
      </c>
      <c r="C2629" t="s">
        <v>15918</v>
      </c>
      <c r="D2629" s="1">
        <v>40494</v>
      </c>
      <c r="E2629" s="2">
        <v>44000</v>
      </c>
      <c r="F2629" t="s">
        <v>4553</v>
      </c>
      <c r="G2629" s="17" t="str">
        <f>HYPERLINK("https://www.washoecounty.gov/assessor/cama/?command=sales&amp;parid=03507203","3942459")</f>
        <v>3942459</v>
      </c>
      <c r="H2629" t="s">
        <v>3806</v>
      </c>
      <c r="I2629">
        <v>1976</v>
      </c>
      <c r="J2629">
        <v>1976</v>
      </c>
      <c r="K2629" t="s">
        <v>4847</v>
      </c>
      <c r="L2629" t="s">
        <v>4555</v>
      </c>
      <c r="M2629" s="2">
        <v>1686</v>
      </c>
      <c r="N2629" t="s">
        <v>4556</v>
      </c>
      <c r="O2629">
        <v>3</v>
      </c>
      <c r="P2629">
        <v>2</v>
      </c>
      <c r="Q2629">
        <v>0</v>
      </c>
      <c r="R2629" t="s">
        <v>4557</v>
      </c>
      <c r="S2629" t="s">
        <v>4135</v>
      </c>
      <c r="T2629" t="s">
        <v>4559</v>
      </c>
      <c r="U2629" t="s">
        <v>4655</v>
      </c>
      <c r="V2629" s="2">
        <v>0</v>
      </c>
      <c r="W2629" t="s">
        <v>4655</v>
      </c>
      <c r="X2629" s="2">
        <v>0</v>
      </c>
      <c r="Y2629">
        <v>22</v>
      </c>
      <c r="Z2629" t="s">
        <v>5508</v>
      </c>
      <c r="AA2629" s="3">
        <v>0.39800274372100802</v>
      </c>
      <c r="AB2629" t="s">
        <v>15919</v>
      </c>
      <c r="AC2629" t="s">
        <v>4562</v>
      </c>
      <c r="AD2629" t="s">
        <v>15920</v>
      </c>
      <c r="AE2629" t="s">
        <v>4655</v>
      </c>
      <c r="AF2629" t="s">
        <v>1570</v>
      </c>
      <c r="AG2629" t="s">
        <v>4564</v>
      </c>
      <c r="AH2629" t="s">
        <v>1601</v>
      </c>
      <c r="AI2629" t="s">
        <v>1149</v>
      </c>
      <c r="AJ2629" t="s">
        <v>4655</v>
      </c>
      <c r="AK2629" t="s">
        <v>15921</v>
      </c>
      <c r="AL2629" s="13" t="s">
        <v>1889</v>
      </c>
      <c r="AM2629">
        <v>1</v>
      </c>
      <c r="AN2629" s="15" t="s">
        <v>2528</v>
      </c>
    </row>
    <row r="2630" spans="1:40" x14ac:dyDescent="0.3">
      <c r="A2630" s="10" t="str">
        <f>HYPERLINK("http://www.washoecounty.gov/assessor/cama/?parid=035-103-03&amp;CardNumber=1","035-103-03")</f>
        <v>035-103-03</v>
      </c>
      <c r="B2630" t="s">
        <v>4655</v>
      </c>
      <c r="C2630" t="s">
        <v>15922</v>
      </c>
      <c r="D2630" s="1">
        <v>40497</v>
      </c>
      <c r="E2630" s="2">
        <v>35000</v>
      </c>
      <c r="F2630" t="s">
        <v>4567</v>
      </c>
      <c r="G2630" s="17" t="str">
        <f>HYPERLINK("https://www.washoecounty.gov/assessor/cama/?command=sales&amp;parid=03510303","3943103")</f>
        <v>3943103</v>
      </c>
      <c r="H2630" t="s">
        <v>15923</v>
      </c>
      <c r="I2630">
        <v>1976</v>
      </c>
      <c r="J2630">
        <v>1976</v>
      </c>
      <c r="K2630" t="s">
        <v>1243</v>
      </c>
      <c r="L2630" t="s">
        <v>4655</v>
      </c>
      <c r="M2630" s="2">
        <v>0</v>
      </c>
      <c r="N2630" t="s">
        <v>4655</v>
      </c>
      <c r="O2630">
        <v>0</v>
      </c>
      <c r="P2630">
        <v>0</v>
      </c>
      <c r="Q2630">
        <v>0</v>
      </c>
      <c r="R2630" t="s">
        <v>4655</v>
      </c>
      <c r="S2630" t="s">
        <v>4655</v>
      </c>
      <c r="T2630" t="s">
        <v>4655</v>
      </c>
      <c r="U2630" t="s">
        <v>4655</v>
      </c>
      <c r="V2630" s="2">
        <v>0</v>
      </c>
      <c r="W2630" t="s">
        <v>4655</v>
      </c>
      <c r="X2630" s="2">
        <v>0</v>
      </c>
      <c r="Y2630">
        <v>23</v>
      </c>
      <c r="Z2630" t="s">
        <v>5508</v>
      </c>
      <c r="AA2630" s="3">
        <v>0.362006425857544</v>
      </c>
      <c r="AB2630" t="s">
        <v>15924</v>
      </c>
      <c r="AC2630" t="s">
        <v>4575</v>
      </c>
      <c r="AD2630" t="s">
        <v>15925</v>
      </c>
      <c r="AE2630" t="s">
        <v>4655</v>
      </c>
      <c r="AF2630" t="s">
        <v>5201</v>
      </c>
      <c r="AG2630" t="s">
        <v>4564</v>
      </c>
      <c r="AH2630" t="s">
        <v>3609</v>
      </c>
      <c r="AI2630" t="s">
        <v>15926</v>
      </c>
      <c r="AJ2630" t="s">
        <v>4655</v>
      </c>
      <c r="AK2630" t="s">
        <v>15927</v>
      </c>
      <c r="AL2630" s="13" t="s">
        <v>1889</v>
      </c>
      <c r="AM2630">
        <v>1</v>
      </c>
      <c r="AN2630" s="15" t="s">
        <v>2528</v>
      </c>
    </row>
    <row r="2631" spans="1:40" x14ac:dyDescent="0.3">
      <c r="A2631" s="10" t="str">
        <f>HYPERLINK("http://www.washoecounty.gov/assessor/cama/?parid=035-104-01&amp;CardNumber=1","035-104-01")</f>
        <v>035-104-01</v>
      </c>
      <c r="B2631" t="s">
        <v>4655</v>
      </c>
      <c r="C2631" t="s">
        <v>15928</v>
      </c>
      <c r="D2631" s="1">
        <v>40406</v>
      </c>
      <c r="E2631" s="2">
        <v>145000</v>
      </c>
      <c r="F2631" t="s">
        <v>4567</v>
      </c>
      <c r="G2631" s="17" t="str">
        <f>HYPERLINK("https://www.washoecounty.gov/assessor/cama/?command=sales&amp;parid=03510401","3912378")</f>
        <v>3912378</v>
      </c>
      <c r="H2631" t="s">
        <v>748</v>
      </c>
      <c r="I2631">
        <v>1984</v>
      </c>
      <c r="J2631">
        <v>1984</v>
      </c>
      <c r="K2631" t="s">
        <v>1243</v>
      </c>
      <c r="L2631" t="s">
        <v>4655</v>
      </c>
      <c r="M2631" s="2">
        <v>208</v>
      </c>
      <c r="N2631" t="s">
        <v>4655</v>
      </c>
      <c r="O2631">
        <v>0</v>
      </c>
      <c r="P2631">
        <v>0</v>
      </c>
      <c r="Q2631">
        <v>0</v>
      </c>
      <c r="R2631" t="s">
        <v>4655</v>
      </c>
      <c r="S2631" t="s">
        <v>4655</v>
      </c>
      <c r="T2631" t="s">
        <v>4655</v>
      </c>
      <c r="U2631" t="s">
        <v>4655</v>
      </c>
      <c r="V2631" s="2">
        <v>0</v>
      </c>
      <c r="W2631" t="s">
        <v>4655</v>
      </c>
      <c r="X2631" s="2">
        <v>0</v>
      </c>
      <c r="Y2631">
        <v>23</v>
      </c>
      <c r="Z2631" t="s">
        <v>5508</v>
      </c>
      <c r="AA2631" s="3">
        <v>0.34800276160240201</v>
      </c>
      <c r="AB2631" t="s">
        <v>15929</v>
      </c>
      <c r="AC2631" t="s">
        <v>4575</v>
      </c>
      <c r="AD2631" t="s">
        <v>15928</v>
      </c>
      <c r="AE2631" t="s">
        <v>4655</v>
      </c>
      <c r="AF2631" t="s">
        <v>1600</v>
      </c>
      <c r="AG2631" t="s">
        <v>4564</v>
      </c>
      <c r="AH2631" t="s">
        <v>1601</v>
      </c>
      <c r="AI2631" t="s">
        <v>15930</v>
      </c>
      <c r="AJ2631" t="s">
        <v>4655</v>
      </c>
      <c r="AK2631" t="s">
        <v>15931</v>
      </c>
      <c r="AL2631" s="13" t="s">
        <v>1889</v>
      </c>
      <c r="AM2631">
        <v>1</v>
      </c>
      <c r="AN2631" s="15" t="s">
        <v>2528</v>
      </c>
    </row>
    <row r="2632" spans="1:40" x14ac:dyDescent="0.3">
      <c r="A2632" s="10" t="str">
        <f>HYPERLINK("http://www.washoecounty.gov/assessor/cama/?parid=035-113-12&amp;CardNumber=1","035-113-12")</f>
        <v>035-113-12</v>
      </c>
      <c r="B2632" t="s">
        <v>4655</v>
      </c>
      <c r="C2632" t="s">
        <v>15932</v>
      </c>
      <c r="D2632" s="1">
        <v>40207</v>
      </c>
      <c r="E2632" s="2">
        <v>45000</v>
      </c>
      <c r="F2632" t="s">
        <v>4553</v>
      </c>
      <c r="G2632" s="17" t="str">
        <f>HYPERLINK("https://www.washoecounty.gov/assessor/cama/?command=sales&amp;parid=03511312","3844231")</f>
        <v>3844231</v>
      </c>
      <c r="H2632" t="s">
        <v>4291</v>
      </c>
      <c r="I2632">
        <v>1976</v>
      </c>
      <c r="J2632">
        <v>1976</v>
      </c>
      <c r="K2632" t="s">
        <v>1243</v>
      </c>
      <c r="L2632" t="s">
        <v>4655</v>
      </c>
      <c r="M2632" s="2">
        <v>0</v>
      </c>
      <c r="N2632" t="s">
        <v>4655</v>
      </c>
      <c r="O2632">
        <v>0</v>
      </c>
      <c r="P2632">
        <v>0</v>
      </c>
      <c r="Q2632">
        <v>0</v>
      </c>
      <c r="R2632" t="s">
        <v>4655</v>
      </c>
      <c r="S2632" t="s">
        <v>4655</v>
      </c>
      <c r="T2632" t="s">
        <v>4655</v>
      </c>
      <c r="U2632" t="s">
        <v>4655</v>
      </c>
      <c r="V2632" s="2">
        <v>0</v>
      </c>
      <c r="W2632" t="s">
        <v>4655</v>
      </c>
      <c r="X2632" s="2">
        <v>0</v>
      </c>
      <c r="Y2632">
        <v>23</v>
      </c>
      <c r="Z2632" t="s">
        <v>5508</v>
      </c>
      <c r="AA2632" s="3">
        <v>0.45300734043121299</v>
      </c>
      <c r="AB2632" t="s">
        <v>15933</v>
      </c>
      <c r="AC2632" t="s">
        <v>4575</v>
      </c>
      <c r="AD2632" t="s">
        <v>15934</v>
      </c>
      <c r="AE2632" t="s">
        <v>4655</v>
      </c>
      <c r="AF2632" t="s">
        <v>3809</v>
      </c>
      <c r="AG2632" t="s">
        <v>15935</v>
      </c>
      <c r="AH2632">
        <v>29506</v>
      </c>
      <c r="AI2632" t="s">
        <v>3810</v>
      </c>
      <c r="AJ2632" t="s">
        <v>4655</v>
      </c>
      <c r="AK2632" t="s">
        <v>15936</v>
      </c>
      <c r="AL2632" s="13" t="s">
        <v>1889</v>
      </c>
      <c r="AM2632" s="14">
        <v>1</v>
      </c>
      <c r="AN2632" s="15" t="s">
        <v>2528</v>
      </c>
    </row>
    <row r="2633" spans="1:40" x14ac:dyDescent="0.3">
      <c r="A2633" s="10" t="str">
        <f>HYPERLINK("http://www.washoecounty.gov/assessor/cama/?parid=035-120-29&amp;CardNumber=1","035-120-29")</f>
        <v>035-120-29</v>
      </c>
      <c r="B2633" t="s">
        <v>4655</v>
      </c>
      <c r="C2633" t="s">
        <v>15937</v>
      </c>
      <c r="D2633" s="1">
        <v>40424</v>
      </c>
      <c r="E2633" s="2">
        <v>59000</v>
      </c>
      <c r="F2633" t="s">
        <v>4567</v>
      </c>
      <c r="G2633" s="17" t="str">
        <f>HYPERLINK("https://www.washoecounty.gov/assessor/cama/?command=sales&amp;parid=03512029","3918694")</f>
        <v>3918694</v>
      </c>
      <c r="H2633" t="s">
        <v>15938</v>
      </c>
      <c r="I2633">
        <v>1991</v>
      </c>
      <c r="J2633">
        <v>1991</v>
      </c>
      <c r="K2633" t="s">
        <v>4847</v>
      </c>
      <c r="L2633" t="s">
        <v>4555</v>
      </c>
      <c r="M2633" s="2">
        <v>1716</v>
      </c>
      <c r="N2633" t="s">
        <v>4556</v>
      </c>
      <c r="O2633">
        <v>5</v>
      </c>
      <c r="P2633">
        <v>2</v>
      </c>
      <c r="Q2633">
        <v>0</v>
      </c>
      <c r="R2633" t="s">
        <v>4557</v>
      </c>
      <c r="S2633" t="s">
        <v>4558</v>
      </c>
      <c r="T2633" t="s">
        <v>4559</v>
      </c>
      <c r="U2633" t="s">
        <v>4655</v>
      </c>
      <c r="V2633" s="2">
        <v>0</v>
      </c>
      <c r="W2633" t="s">
        <v>4655</v>
      </c>
      <c r="X2633" s="2">
        <v>0</v>
      </c>
      <c r="Y2633">
        <v>22</v>
      </c>
      <c r="Z2633" t="s">
        <v>5508</v>
      </c>
      <c r="AA2633" s="3">
        <v>0.45800000429153398</v>
      </c>
      <c r="AB2633" t="s">
        <v>15939</v>
      </c>
      <c r="AC2633" t="s">
        <v>4562</v>
      </c>
      <c r="AD2633" t="s">
        <v>15937</v>
      </c>
      <c r="AE2633" t="s">
        <v>4655</v>
      </c>
      <c r="AF2633" t="s">
        <v>1600</v>
      </c>
      <c r="AG2633" t="s">
        <v>4564</v>
      </c>
      <c r="AH2633" t="s">
        <v>1601</v>
      </c>
      <c r="AI2633" t="s">
        <v>4655</v>
      </c>
      <c r="AJ2633" t="s">
        <v>4571</v>
      </c>
      <c r="AK2633" t="s">
        <v>15940</v>
      </c>
      <c r="AL2633" s="13" t="s">
        <v>1889</v>
      </c>
      <c r="AM2633">
        <v>1</v>
      </c>
      <c r="AN2633" s="15" t="s">
        <v>2528</v>
      </c>
    </row>
    <row r="2634" spans="1:40" x14ac:dyDescent="0.3">
      <c r="A2634" s="10" t="str">
        <f>HYPERLINK("http://www.washoecounty.gov/assessor/cama/?parid=035-132-07&amp;CardNumber=1","035-132-07")</f>
        <v>035-132-07</v>
      </c>
      <c r="B2634" t="s">
        <v>4655</v>
      </c>
      <c r="C2634" t="s">
        <v>3807</v>
      </c>
      <c r="D2634" s="1">
        <v>40232</v>
      </c>
      <c r="E2634" s="2">
        <v>29900</v>
      </c>
      <c r="F2634" t="s">
        <v>4553</v>
      </c>
      <c r="G2634" s="17" t="str">
        <f>HYPERLINK("https://www.washoecounty.gov/assessor/cama/?command=sales&amp;parid=03513207","3851837")</f>
        <v>3851837</v>
      </c>
      <c r="H2634" t="s">
        <v>3808</v>
      </c>
      <c r="I2634">
        <v>1987</v>
      </c>
      <c r="J2634">
        <v>1987</v>
      </c>
      <c r="K2634" t="s">
        <v>3144</v>
      </c>
      <c r="L2634" t="s">
        <v>4555</v>
      </c>
      <c r="M2634" s="2">
        <v>960</v>
      </c>
      <c r="N2634" t="s">
        <v>4556</v>
      </c>
      <c r="O2634">
        <v>2</v>
      </c>
      <c r="P2634">
        <v>1</v>
      </c>
      <c r="Q2634">
        <v>0</v>
      </c>
      <c r="R2634" t="s">
        <v>4134</v>
      </c>
      <c r="S2634" t="s">
        <v>3148</v>
      </c>
      <c r="T2634" t="s">
        <v>4559</v>
      </c>
      <c r="U2634" t="s">
        <v>4655</v>
      </c>
      <c r="V2634" s="2">
        <v>0</v>
      </c>
      <c r="W2634" t="s">
        <v>4655</v>
      </c>
      <c r="X2634" s="2">
        <v>0</v>
      </c>
      <c r="Y2634">
        <v>21</v>
      </c>
      <c r="Z2634" t="s">
        <v>2705</v>
      </c>
      <c r="AA2634" s="3">
        <v>1.00000004749745E-3</v>
      </c>
      <c r="AB2634" t="s">
        <v>15941</v>
      </c>
      <c r="AC2634" t="s">
        <v>4562</v>
      </c>
      <c r="AD2634" t="s">
        <v>15942</v>
      </c>
      <c r="AE2634" t="s">
        <v>4655</v>
      </c>
      <c r="AF2634" t="s">
        <v>4563</v>
      </c>
      <c r="AG2634" t="s">
        <v>4564</v>
      </c>
      <c r="AH2634">
        <v>89512</v>
      </c>
      <c r="AI2634" t="s">
        <v>4903</v>
      </c>
      <c r="AJ2634" t="s">
        <v>4655</v>
      </c>
      <c r="AK2634" t="s">
        <v>15943</v>
      </c>
      <c r="AL2634" s="13" t="s">
        <v>2255</v>
      </c>
      <c r="AM2634" s="14">
        <v>1</v>
      </c>
      <c r="AN2634" s="15" t="s">
        <v>2748</v>
      </c>
    </row>
    <row r="2635" spans="1:40" x14ac:dyDescent="0.3">
      <c r="A2635" s="10" t="str">
        <f>HYPERLINK("http://www.washoecounty.gov/assessor/cama/?parid=035-135-04&amp;CardNumber=1","035-135-04")</f>
        <v>035-135-04</v>
      </c>
      <c r="B2635" t="s">
        <v>4655</v>
      </c>
      <c r="C2635" t="s">
        <v>5625</v>
      </c>
      <c r="D2635" s="1">
        <v>40266</v>
      </c>
      <c r="E2635" s="2">
        <v>36000</v>
      </c>
      <c r="F2635" t="s">
        <v>4567</v>
      </c>
      <c r="G2635" s="17" t="str">
        <f>HYPERLINK("https://www.washoecounty.gov/assessor/cama/?command=sales&amp;parid=03513504","3865108")</f>
        <v>3865108</v>
      </c>
      <c r="H2635" t="s">
        <v>3808</v>
      </c>
      <c r="I2635">
        <v>1984</v>
      </c>
      <c r="J2635">
        <v>1984</v>
      </c>
      <c r="K2635" t="s">
        <v>4897</v>
      </c>
      <c r="L2635" t="s">
        <v>4555</v>
      </c>
      <c r="M2635" s="2">
        <v>960</v>
      </c>
      <c r="N2635" t="s">
        <v>4556</v>
      </c>
      <c r="O2635">
        <v>2</v>
      </c>
      <c r="P2635">
        <v>1</v>
      </c>
      <c r="Q2635">
        <v>0</v>
      </c>
      <c r="R2635" t="s">
        <v>4134</v>
      </c>
      <c r="S2635" t="s">
        <v>3148</v>
      </c>
      <c r="T2635" t="s">
        <v>4559</v>
      </c>
      <c r="U2635" t="s">
        <v>4655</v>
      </c>
      <c r="V2635" s="2">
        <v>0</v>
      </c>
      <c r="W2635" t="s">
        <v>4655</v>
      </c>
      <c r="X2635" s="2">
        <v>0</v>
      </c>
      <c r="Y2635">
        <v>21</v>
      </c>
      <c r="Z2635" t="s">
        <v>2705</v>
      </c>
      <c r="AA2635" s="3">
        <v>1.00000004749745E-3</v>
      </c>
      <c r="AB2635" t="s">
        <v>5626</v>
      </c>
      <c r="AC2635" t="s">
        <v>4562</v>
      </c>
      <c r="AD2635" t="s">
        <v>5627</v>
      </c>
      <c r="AE2635" t="s">
        <v>4655</v>
      </c>
      <c r="AF2635" t="s">
        <v>4563</v>
      </c>
      <c r="AG2635" t="s">
        <v>4564</v>
      </c>
      <c r="AH2635">
        <v>89512</v>
      </c>
      <c r="AI2635" t="s">
        <v>15944</v>
      </c>
      <c r="AJ2635" t="s">
        <v>4655</v>
      </c>
      <c r="AK2635" t="s">
        <v>15945</v>
      </c>
      <c r="AL2635" s="13" t="s">
        <v>2255</v>
      </c>
      <c r="AM2635" s="14">
        <v>1</v>
      </c>
      <c r="AN2635" s="15" t="s">
        <v>2748</v>
      </c>
    </row>
    <row r="2636" spans="1:40" x14ac:dyDescent="0.3">
      <c r="A2636" s="10" t="str">
        <f>HYPERLINK("http://www.washoecounty.gov/assessor/cama/?parid=035-136-04&amp;CardNumber=1","035-136-04")</f>
        <v>035-136-04</v>
      </c>
      <c r="B2636" t="s">
        <v>4655</v>
      </c>
      <c r="C2636" t="s">
        <v>826</v>
      </c>
      <c r="D2636" s="1">
        <v>40497</v>
      </c>
      <c r="E2636" s="2">
        <v>26500</v>
      </c>
      <c r="F2636" t="s">
        <v>4567</v>
      </c>
      <c r="G2636" s="17" t="str">
        <f>HYPERLINK("https://www.washoecounty.gov/assessor/cama/?command=sales&amp;parid=03513604","3942903")</f>
        <v>3942903</v>
      </c>
      <c r="H2636" t="s">
        <v>3808</v>
      </c>
      <c r="I2636">
        <v>1987</v>
      </c>
      <c r="J2636">
        <v>1987</v>
      </c>
      <c r="K2636" t="s">
        <v>3144</v>
      </c>
      <c r="L2636" t="s">
        <v>4555</v>
      </c>
      <c r="M2636" s="2">
        <v>960</v>
      </c>
      <c r="N2636" t="s">
        <v>4556</v>
      </c>
      <c r="O2636">
        <v>2</v>
      </c>
      <c r="P2636">
        <v>1</v>
      </c>
      <c r="Q2636">
        <v>0</v>
      </c>
      <c r="R2636" t="s">
        <v>4134</v>
      </c>
      <c r="S2636" t="s">
        <v>3148</v>
      </c>
      <c r="T2636" t="s">
        <v>4559</v>
      </c>
      <c r="U2636" t="s">
        <v>4655</v>
      </c>
      <c r="V2636" s="2">
        <v>0</v>
      </c>
      <c r="W2636" t="s">
        <v>4655</v>
      </c>
      <c r="X2636" s="2">
        <v>0</v>
      </c>
      <c r="Y2636">
        <v>21</v>
      </c>
      <c r="Z2636" t="s">
        <v>2705</v>
      </c>
      <c r="AA2636" s="3">
        <v>1.00000004749745E-3</v>
      </c>
      <c r="AB2636" t="s">
        <v>15946</v>
      </c>
      <c r="AC2636" t="s">
        <v>4562</v>
      </c>
      <c r="AD2636" t="s">
        <v>15947</v>
      </c>
      <c r="AE2636" t="s">
        <v>4655</v>
      </c>
      <c r="AF2636" t="s">
        <v>1407</v>
      </c>
      <c r="AG2636" t="s">
        <v>4564</v>
      </c>
      <c r="AH2636">
        <v>89703</v>
      </c>
      <c r="AI2636" t="s">
        <v>15948</v>
      </c>
      <c r="AJ2636" t="s">
        <v>4655</v>
      </c>
      <c r="AK2636" t="s">
        <v>15949</v>
      </c>
      <c r="AL2636" s="13" t="s">
        <v>2255</v>
      </c>
      <c r="AM2636">
        <v>1</v>
      </c>
      <c r="AN2636" s="15" t="s">
        <v>2748</v>
      </c>
    </row>
    <row r="2637" spans="1:40" x14ac:dyDescent="0.3">
      <c r="A2637" s="10" t="str">
        <f>HYPERLINK("http://www.washoecounty.gov/assessor/cama/?parid=035-141-06&amp;CardNumber=1","035-141-06")</f>
        <v>035-141-06</v>
      </c>
      <c r="B2637" t="s">
        <v>4655</v>
      </c>
      <c r="C2637" t="s">
        <v>2046</v>
      </c>
      <c r="D2637" s="1">
        <v>40267</v>
      </c>
      <c r="E2637" s="2">
        <v>32000</v>
      </c>
      <c r="F2637" t="s">
        <v>4567</v>
      </c>
      <c r="G2637" s="17" t="str">
        <f>HYPERLINK("https://www.washoecounty.gov/assessor/cama/?command=sales&amp;parid=03514106","3865418")</f>
        <v>3865418</v>
      </c>
      <c r="H2637" t="s">
        <v>3808</v>
      </c>
      <c r="I2637">
        <v>1983</v>
      </c>
      <c r="J2637">
        <v>1983</v>
      </c>
      <c r="K2637" t="s">
        <v>3144</v>
      </c>
      <c r="L2637" t="s">
        <v>4555</v>
      </c>
      <c r="M2637" s="2">
        <v>960</v>
      </c>
      <c r="N2637" t="s">
        <v>4556</v>
      </c>
      <c r="O2637">
        <v>2</v>
      </c>
      <c r="P2637">
        <v>1</v>
      </c>
      <c r="Q2637">
        <v>0</v>
      </c>
      <c r="R2637" t="s">
        <v>4134</v>
      </c>
      <c r="S2637" t="s">
        <v>3148</v>
      </c>
      <c r="T2637" t="s">
        <v>4559</v>
      </c>
      <c r="U2637" t="s">
        <v>4655</v>
      </c>
      <c r="V2637" s="2">
        <v>0</v>
      </c>
      <c r="W2637" t="s">
        <v>4655</v>
      </c>
      <c r="X2637" s="2">
        <v>0</v>
      </c>
      <c r="Y2637">
        <v>21</v>
      </c>
      <c r="Z2637" t="s">
        <v>2705</v>
      </c>
      <c r="AA2637" s="3">
        <v>1.00000004749745E-3</v>
      </c>
      <c r="AB2637" t="s">
        <v>15950</v>
      </c>
      <c r="AC2637" t="s">
        <v>4575</v>
      </c>
      <c r="AD2637" t="s">
        <v>4229</v>
      </c>
      <c r="AE2637" t="s">
        <v>4655</v>
      </c>
      <c r="AF2637" t="s">
        <v>3114</v>
      </c>
      <c r="AG2637" t="s">
        <v>4564</v>
      </c>
      <c r="AH2637">
        <v>89509</v>
      </c>
      <c r="AI2637" t="s">
        <v>15951</v>
      </c>
      <c r="AJ2637" t="s">
        <v>4655</v>
      </c>
      <c r="AK2637" t="s">
        <v>15952</v>
      </c>
      <c r="AL2637" s="13" t="s">
        <v>2255</v>
      </c>
      <c r="AM2637">
        <v>1</v>
      </c>
      <c r="AN2637" s="15" t="s">
        <v>2748</v>
      </c>
    </row>
    <row r="2638" spans="1:40" x14ac:dyDescent="0.3">
      <c r="A2638" s="10" t="str">
        <f>HYPERLINK("http://www.washoecounty.gov/assessor/cama/?parid=035-143-09&amp;CardNumber=1","035-143-09")</f>
        <v>035-143-09</v>
      </c>
      <c r="B2638" t="s">
        <v>4655</v>
      </c>
      <c r="C2638" t="s">
        <v>15953</v>
      </c>
      <c r="D2638" s="1">
        <v>40395</v>
      </c>
      <c r="E2638" s="2">
        <v>26000</v>
      </c>
      <c r="F2638" t="s">
        <v>4567</v>
      </c>
      <c r="G2638" s="17" t="str">
        <f>HYPERLINK("https://www.washoecounty.gov/assessor/cama/?command=sales&amp;parid=03514309","3909046")</f>
        <v>3909046</v>
      </c>
      <c r="H2638" t="s">
        <v>297</v>
      </c>
      <c r="I2638">
        <v>1983</v>
      </c>
      <c r="J2638">
        <v>1983</v>
      </c>
      <c r="K2638" t="s">
        <v>4897</v>
      </c>
      <c r="L2638" t="s">
        <v>4555</v>
      </c>
      <c r="M2638" s="2">
        <v>696</v>
      </c>
      <c r="N2638" t="s">
        <v>4556</v>
      </c>
      <c r="O2638">
        <v>1</v>
      </c>
      <c r="P2638">
        <v>1</v>
      </c>
      <c r="Q2638">
        <v>0</v>
      </c>
      <c r="R2638" t="s">
        <v>4134</v>
      </c>
      <c r="S2638" t="s">
        <v>3148</v>
      </c>
      <c r="T2638" t="s">
        <v>4559</v>
      </c>
      <c r="U2638" t="s">
        <v>4655</v>
      </c>
      <c r="V2638" s="2">
        <v>0</v>
      </c>
      <c r="W2638" t="s">
        <v>4655</v>
      </c>
      <c r="X2638" s="2">
        <v>0</v>
      </c>
      <c r="Y2638">
        <v>21</v>
      </c>
      <c r="Z2638" t="s">
        <v>2705</v>
      </c>
      <c r="AA2638" s="3">
        <v>1.00000004749745E-3</v>
      </c>
      <c r="AB2638" t="s">
        <v>15954</v>
      </c>
      <c r="AC2638" t="s">
        <v>4575</v>
      </c>
      <c r="AD2638" t="s">
        <v>15955</v>
      </c>
      <c r="AE2638" t="s">
        <v>4655</v>
      </c>
      <c r="AF2638" t="s">
        <v>4563</v>
      </c>
      <c r="AG2638" t="s">
        <v>4564</v>
      </c>
      <c r="AH2638">
        <v>89502</v>
      </c>
      <c r="AI2638" t="s">
        <v>15956</v>
      </c>
      <c r="AJ2638" t="s">
        <v>4655</v>
      </c>
      <c r="AK2638" t="s">
        <v>15957</v>
      </c>
      <c r="AL2638" s="13" t="s">
        <v>2255</v>
      </c>
      <c r="AM2638">
        <v>1</v>
      </c>
      <c r="AN2638" s="15" t="s">
        <v>2748</v>
      </c>
    </row>
    <row r="2639" spans="1:40" x14ac:dyDescent="0.3">
      <c r="A2639" s="10" t="str">
        <f>HYPERLINK("http://www.washoecounty.gov/assessor/cama/?parid=035-144-07&amp;CardNumber=1","035-144-07")</f>
        <v>035-144-07</v>
      </c>
      <c r="B2639" t="s">
        <v>4655</v>
      </c>
      <c r="C2639" t="s">
        <v>2468</v>
      </c>
      <c r="D2639" s="1">
        <v>40379</v>
      </c>
      <c r="E2639" s="2">
        <v>23000</v>
      </c>
      <c r="F2639" t="s">
        <v>4553</v>
      </c>
      <c r="G2639" s="17" t="str">
        <f>HYPERLINK("https://www.washoecounty.gov/assessor/cama/?command=sales&amp;parid=03514407","3902957")</f>
        <v>3902957</v>
      </c>
      <c r="H2639" t="s">
        <v>297</v>
      </c>
      <c r="I2639">
        <v>1983</v>
      </c>
      <c r="J2639">
        <v>1983</v>
      </c>
      <c r="K2639" t="s">
        <v>4897</v>
      </c>
      <c r="L2639" t="s">
        <v>4555</v>
      </c>
      <c r="M2639" s="2">
        <v>696</v>
      </c>
      <c r="N2639" t="s">
        <v>4556</v>
      </c>
      <c r="O2639">
        <v>1</v>
      </c>
      <c r="P2639">
        <v>1</v>
      </c>
      <c r="Q2639">
        <v>0</v>
      </c>
      <c r="R2639" t="s">
        <v>4134</v>
      </c>
      <c r="S2639" t="s">
        <v>3148</v>
      </c>
      <c r="T2639" t="s">
        <v>4559</v>
      </c>
      <c r="U2639" t="s">
        <v>4655</v>
      </c>
      <c r="V2639" s="2">
        <v>0</v>
      </c>
      <c r="W2639" t="s">
        <v>4655</v>
      </c>
      <c r="X2639" s="2">
        <v>0</v>
      </c>
      <c r="Y2639">
        <v>21</v>
      </c>
      <c r="Z2639" t="s">
        <v>2705</v>
      </c>
      <c r="AA2639" s="3">
        <v>1.00000004749745E-3</v>
      </c>
      <c r="AB2639" t="s">
        <v>15958</v>
      </c>
      <c r="AC2639" t="s">
        <v>4562</v>
      </c>
      <c r="AD2639" t="s">
        <v>15959</v>
      </c>
      <c r="AE2639" t="s">
        <v>4655</v>
      </c>
      <c r="AF2639" t="s">
        <v>4563</v>
      </c>
      <c r="AG2639" t="s">
        <v>4564</v>
      </c>
      <c r="AH2639">
        <v>89512</v>
      </c>
      <c r="AI2639" t="s">
        <v>4045</v>
      </c>
      <c r="AJ2639" t="s">
        <v>4655</v>
      </c>
      <c r="AK2639" t="s">
        <v>15960</v>
      </c>
      <c r="AL2639" s="13" t="s">
        <v>2255</v>
      </c>
      <c r="AM2639" s="14">
        <v>1</v>
      </c>
      <c r="AN2639" s="15" t="s">
        <v>2748</v>
      </c>
    </row>
    <row r="2640" spans="1:40" x14ac:dyDescent="0.3">
      <c r="A2640" s="10" t="str">
        <f>HYPERLINK("http://www.washoecounty.gov/assessor/cama/?parid=035-144-08&amp;CardNumber=1","035-144-08")</f>
        <v>035-144-08</v>
      </c>
      <c r="B2640" t="s">
        <v>4655</v>
      </c>
      <c r="C2640" t="s">
        <v>2468</v>
      </c>
      <c r="D2640" s="1">
        <v>40358</v>
      </c>
      <c r="E2640" s="2">
        <v>23650</v>
      </c>
      <c r="F2640" t="s">
        <v>4567</v>
      </c>
      <c r="G2640" s="17" t="str">
        <f>HYPERLINK("https://www.washoecounty.gov/assessor/cama/?command=sales&amp;parid=03514408","3896159")</f>
        <v>3896159</v>
      </c>
      <c r="H2640" t="s">
        <v>3808</v>
      </c>
      <c r="I2640">
        <v>1983</v>
      </c>
      <c r="J2640">
        <v>1983</v>
      </c>
      <c r="K2640" t="s">
        <v>4897</v>
      </c>
      <c r="L2640" t="s">
        <v>4555</v>
      </c>
      <c r="M2640" s="2">
        <v>696</v>
      </c>
      <c r="N2640" t="s">
        <v>4556</v>
      </c>
      <c r="O2640">
        <v>1</v>
      </c>
      <c r="P2640">
        <v>1</v>
      </c>
      <c r="Q2640">
        <v>0</v>
      </c>
      <c r="R2640" t="s">
        <v>4134</v>
      </c>
      <c r="S2640" t="s">
        <v>3148</v>
      </c>
      <c r="T2640" t="s">
        <v>4559</v>
      </c>
      <c r="U2640" t="s">
        <v>4655</v>
      </c>
      <c r="V2640" s="2">
        <v>0</v>
      </c>
      <c r="W2640" t="s">
        <v>4655</v>
      </c>
      <c r="X2640" s="2">
        <v>0</v>
      </c>
      <c r="Y2640">
        <v>21</v>
      </c>
      <c r="Z2640" t="s">
        <v>2705</v>
      </c>
      <c r="AA2640" s="3">
        <v>1.00000004749745E-3</v>
      </c>
      <c r="AB2640" t="s">
        <v>15961</v>
      </c>
      <c r="AC2640" t="s">
        <v>4562</v>
      </c>
      <c r="AD2640" t="s">
        <v>15962</v>
      </c>
      <c r="AE2640" t="s">
        <v>4655</v>
      </c>
      <c r="AF2640" t="s">
        <v>4563</v>
      </c>
      <c r="AG2640" t="s">
        <v>4564</v>
      </c>
      <c r="AH2640">
        <v>89502</v>
      </c>
      <c r="AI2640" t="s">
        <v>4655</v>
      </c>
      <c r="AJ2640" t="s">
        <v>4655</v>
      </c>
      <c r="AK2640" t="s">
        <v>15963</v>
      </c>
      <c r="AL2640" s="13" t="s">
        <v>2255</v>
      </c>
      <c r="AM2640">
        <v>1</v>
      </c>
      <c r="AN2640" s="15" t="s">
        <v>2748</v>
      </c>
    </row>
    <row r="2641" spans="1:40" x14ac:dyDescent="0.3">
      <c r="A2641" s="10" t="str">
        <f>HYPERLINK("http://www.washoecounty.gov/assessor/cama/?parid=035-144-12&amp;CardNumber=1","035-144-12")</f>
        <v>035-144-12</v>
      </c>
      <c r="B2641" t="s">
        <v>4655</v>
      </c>
      <c r="C2641" t="s">
        <v>15964</v>
      </c>
      <c r="D2641" s="1">
        <v>40267</v>
      </c>
      <c r="E2641" s="2">
        <v>29000</v>
      </c>
      <c r="F2641" t="s">
        <v>4553</v>
      </c>
      <c r="G2641" s="17" t="str">
        <f>HYPERLINK("https://www.washoecounty.gov/assessor/cama/?command=sales&amp;parid=03514412","3865514")</f>
        <v>3865514</v>
      </c>
      <c r="H2641" t="s">
        <v>3808</v>
      </c>
      <c r="I2641">
        <v>1987</v>
      </c>
      <c r="J2641">
        <v>1987</v>
      </c>
      <c r="K2641" t="s">
        <v>3144</v>
      </c>
      <c r="L2641" t="s">
        <v>4555</v>
      </c>
      <c r="M2641" s="2">
        <v>960</v>
      </c>
      <c r="N2641" t="s">
        <v>4556</v>
      </c>
      <c r="O2641">
        <v>2</v>
      </c>
      <c r="P2641">
        <v>1</v>
      </c>
      <c r="Q2641">
        <v>0</v>
      </c>
      <c r="R2641" t="s">
        <v>4134</v>
      </c>
      <c r="S2641" t="s">
        <v>3148</v>
      </c>
      <c r="T2641" t="s">
        <v>4559</v>
      </c>
      <c r="U2641" t="s">
        <v>4655</v>
      </c>
      <c r="V2641" s="2">
        <v>0</v>
      </c>
      <c r="W2641" t="s">
        <v>4655</v>
      </c>
      <c r="X2641" s="2">
        <v>0</v>
      </c>
      <c r="Y2641">
        <v>21</v>
      </c>
      <c r="Z2641" t="s">
        <v>2705</v>
      </c>
      <c r="AA2641" s="3">
        <v>1.00000004749745E-3</v>
      </c>
      <c r="AB2641" t="s">
        <v>13049</v>
      </c>
      <c r="AC2641" t="s">
        <v>4562</v>
      </c>
      <c r="AD2641" t="s">
        <v>7241</v>
      </c>
      <c r="AE2641" t="s">
        <v>4655</v>
      </c>
      <c r="AF2641" t="s">
        <v>3680</v>
      </c>
      <c r="AG2641" t="s">
        <v>4584</v>
      </c>
      <c r="AH2641">
        <v>95032</v>
      </c>
      <c r="AI2641" t="s">
        <v>4655</v>
      </c>
      <c r="AJ2641" t="s">
        <v>4655</v>
      </c>
      <c r="AK2641" t="s">
        <v>15965</v>
      </c>
      <c r="AL2641" s="13" t="s">
        <v>2255</v>
      </c>
      <c r="AM2641">
        <v>1</v>
      </c>
      <c r="AN2641" s="15" t="s">
        <v>2748</v>
      </c>
    </row>
    <row r="2642" spans="1:40" x14ac:dyDescent="0.3">
      <c r="A2642" s="10" t="str">
        <f>HYPERLINK("http://www.washoecounty.gov/assessor/cama/?parid=035-301-53&amp;CardNumber=1","035-301-53")</f>
        <v>035-301-53</v>
      </c>
      <c r="B2642" t="s">
        <v>4655</v>
      </c>
      <c r="C2642" t="s">
        <v>15966</v>
      </c>
      <c r="D2642" s="1">
        <v>40420</v>
      </c>
      <c r="E2642" s="2">
        <v>42000</v>
      </c>
      <c r="F2642" t="s">
        <v>4567</v>
      </c>
      <c r="G2642" s="17" t="str">
        <f>HYPERLINK("https://www.washoecounty.gov/assessor/cama/?command=sales&amp;parid=03530153","3917085")</f>
        <v>3917085</v>
      </c>
      <c r="H2642" t="s">
        <v>15967</v>
      </c>
      <c r="I2642">
        <v>0</v>
      </c>
      <c r="J2642">
        <v>0</v>
      </c>
      <c r="K2642" t="s">
        <v>4655</v>
      </c>
      <c r="L2642" t="s">
        <v>4655</v>
      </c>
      <c r="M2642" s="2">
        <v>0</v>
      </c>
      <c r="N2642" t="s">
        <v>4655</v>
      </c>
      <c r="O2642">
        <v>0</v>
      </c>
      <c r="P2642">
        <v>0</v>
      </c>
      <c r="Q2642">
        <v>0</v>
      </c>
      <c r="R2642" t="s">
        <v>4655</v>
      </c>
      <c r="S2642" t="s">
        <v>4655</v>
      </c>
      <c r="T2642" t="s">
        <v>4655</v>
      </c>
      <c r="U2642" t="s">
        <v>4655</v>
      </c>
      <c r="V2642" s="2">
        <v>0</v>
      </c>
      <c r="W2642" t="s">
        <v>4655</v>
      </c>
      <c r="X2642" s="2">
        <v>0</v>
      </c>
      <c r="Y2642">
        <v>12</v>
      </c>
      <c r="Z2642" t="s">
        <v>3700</v>
      </c>
      <c r="AA2642" s="3">
        <v>1.1460055112838701</v>
      </c>
      <c r="AB2642" t="s">
        <v>15968</v>
      </c>
      <c r="AC2642" t="s">
        <v>4575</v>
      </c>
      <c r="AD2642" t="s">
        <v>15969</v>
      </c>
      <c r="AE2642" t="s">
        <v>15970</v>
      </c>
      <c r="AF2642" t="s">
        <v>4809</v>
      </c>
      <c r="AG2642" t="s">
        <v>4564</v>
      </c>
      <c r="AH2642" t="s">
        <v>1605</v>
      </c>
      <c r="AI2642" t="s">
        <v>15971</v>
      </c>
      <c r="AJ2642" t="s">
        <v>15972</v>
      </c>
      <c r="AK2642" t="s">
        <v>15973</v>
      </c>
      <c r="AL2642" s="13" t="s">
        <v>3425</v>
      </c>
      <c r="AM2642" s="14">
        <v>0</v>
      </c>
      <c r="AN2642" s="15" t="s">
        <v>4831</v>
      </c>
    </row>
    <row r="2643" spans="1:40" x14ac:dyDescent="0.3">
      <c r="A2643" s="10" t="str">
        <f>HYPERLINK("http://www.washoecounty.gov/assessor/cama/?parid=035-322-14&amp;CardNumber=1","035-322-14")</f>
        <v>035-322-14</v>
      </c>
      <c r="B2643" t="s">
        <v>4655</v>
      </c>
      <c r="C2643" t="s">
        <v>15974</v>
      </c>
      <c r="D2643" s="1">
        <v>40455</v>
      </c>
      <c r="E2643" s="2">
        <v>151000</v>
      </c>
      <c r="F2643" t="s">
        <v>4553</v>
      </c>
      <c r="G2643" s="17" t="str">
        <f>HYPERLINK("https://www.washoecounty.gov/assessor/cama/?command=sales&amp;parid=03532214","3929380")</f>
        <v>3929380</v>
      </c>
      <c r="H2643" t="s">
        <v>15975</v>
      </c>
      <c r="I2643">
        <v>1990</v>
      </c>
      <c r="J2643">
        <v>1990</v>
      </c>
      <c r="K2643" t="s">
        <v>4554</v>
      </c>
      <c r="L2643" t="s">
        <v>4555</v>
      </c>
      <c r="M2643" s="2">
        <v>1849</v>
      </c>
      <c r="N2643" t="s">
        <v>4048</v>
      </c>
      <c r="O2643">
        <v>4</v>
      </c>
      <c r="P2643">
        <v>2</v>
      </c>
      <c r="Q2643">
        <v>0</v>
      </c>
      <c r="R2643" t="s">
        <v>4557</v>
      </c>
      <c r="S2643" t="s">
        <v>4558</v>
      </c>
      <c r="T2643" t="s">
        <v>4559</v>
      </c>
      <c r="U2643" t="s">
        <v>4560</v>
      </c>
      <c r="V2643" s="2">
        <v>420</v>
      </c>
      <c r="W2643" t="s">
        <v>4655</v>
      </c>
      <c r="X2643" s="2">
        <v>0</v>
      </c>
      <c r="Y2643">
        <v>20</v>
      </c>
      <c r="Z2643" t="s">
        <v>5200</v>
      </c>
      <c r="AA2643" s="3">
        <v>0.14898990094661699</v>
      </c>
      <c r="AB2643" t="s">
        <v>15976</v>
      </c>
      <c r="AC2643" t="s">
        <v>4562</v>
      </c>
      <c r="AD2643" t="s">
        <v>15977</v>
      </c>
      <c r="AE2643" t="s">
        <v>4655</v>
      </c>
      <c r="AF2643" t="s">
        <v>4809</v>
      </c>
      <c r="AG2643" t="s">
        <v>4564</v>
      </c>
      <c r="AH2643" t="s">
        <v>1605</v>
      </c>
      <c r="AI2643" t="s">
        <v>4503</v>
      </c>
      <c r="AJ2643" t="s">
        <v>4655</v>
      </c>
      <c r="AK2643" t="s">
        <v>15978</v>
      </c>
      <c r="AL2643" s="13" t="s">
        <v>1899</v>
      </c>
      <c r="AM2643">
        <v>1</v>
      </c>
      <c r="AN2643" s="15" t="s">
        <v>5531</v>
      </c>
    </row>
    <row r="2644" spans="1:40" x14ac:dyDescent="0.3">
      <c r="A2644" s="10" t="str">
        <f>HYPERLINK("http://www.washoecounty.gov/assessor/cama/?parid=035-342-05&amp;CardNumber=1","035-342-05")</f>
        <v>035-342-05</v>
      </c>
      <c r="B2644" t="s">
        <v>4655</v>
      </c>
      <c r="C2644" t="s">
        <v>15979</v>
      </c>
      <c r="D2644" s="1">
        <v>40214</v>
      </c>
      <c r="E2644" s="2">
        <v>64000</v>
      </c>
      <c r="F2644" t="s">
        <v>4553</v>
      </c>
      <c r="G2644" s="17" t="str">
        <f>HYPERLINK("https://www.washoecounty.gov/assessor/cama/?command=sales&amp;parid=03534205","3846530")</f>
        <v>3846530</v>
      </c>
      <c r="H2644" t="s">
        <v>1141</v>
      </c>
      <c r="I2644">
        <v>2004</v>
      </c>
      <c r="J2644">
        <v>2004</v>
      </c>
      <c r="K2644" t="s">
        <v>4847</v>
      </c>
      <c r="L2644" t="s">
        <v>4555</v>
      </c>
      <c r="M2644" s="2">
        <v>1512</v>
      </c>
      <c r="N2644" t="s">
        <v>5280</v>
      </c>
      <c r="O2644">
        <v>4</v>
      </c>
      <c r="P2644">
        <v>2</v>
      </c>
      <c r="Q2644">
        <v>0</v>
      </c>
      <c r="R2644" t="s">
        <v>4557</v>
      </c>
      <c r="S2644" t="s">
        <v>4558</v>
      </c>
      <c r="T2644" t="s">
        <v>4559</v>
      </c>
      <c r="U2644" t="s">
        <v>4655</v>
      </c>
      <c r="V2644" s="2">
        <v>0</v>
      </c>
      <c r="W2644" t="s">
        <v>4655</v>
      </c>
      <c r="X2644" s="2">
        <v>0</v>
      </c>
      <c r="Y2644">
        <v>22</v>
      </c>
      <c r="Z2644" t="s">
        <v>5508</v>
      </c>
      <c r="AA2644" s="3">
        <v>0.41400367021560702</v>
      </c>
      <c r="AB2644" t="s">
        <v>15980</v>
      </c>
      <c r="AC2644" t="s">
        <v>4562</v>
      </c>
      <c r="AD2644" t="s">
        <v>15979</v>
      </c>
      <c r="AE2644" t="s">
        <v>4655</v>
      </c>
      <c r="AF2644" t="s">
        <v>1600</v>
      </c>
      <c r="AG2644" t="s">
        <v>4564</v>
      </c>
      <c r="AH2644" t="s">
        <v>1601</v>
      </c>
      <c r="AI2644" t="s">
        <v>2009</v>
      </c>
      <c r="AJ2644" t="s">
        <v>4655</v>
      </c>
      <c r="AK2644" t="s">
        <v>15981</v>
      </c>
      <c r="AL2644" s="13" t="s">
        <v>1889</v>
      </c>
      <c r="AM2644" s="14">
        <v>1</v>
      </c>
      <c r="AN2644" s="15" t="s">
        <v>2528</v>
      </c>
    </row>
    <row r="2645" spans="1:40" x14ac:dyDescent="0.3">
      <c r="A2645" s="10" t="str">
        <f>HYPERLINK("http://www.washoecounty.gov/assessor/cama/?parid=035-355-02&amp;CardNumber=1","035-355-02")</f>
        <v>035-355-02</v>
      </c>
      <c r="B2645" t="s">
        <v>4655</v>
      </c>
      <c r="C2645" t="s">
        <v>1142</v>
      </c>
      <c r="D2645" s="1">
        <v>40231</v>
      </c>
      <c r="E2645" s="2">
        <v>94000</v>
      </c>
      <c r="F2645" t="s">
        <v>4567</v>
      </c>
      <c r="G2645" s="17" t="str">
        <f>HYPERLINK("https://www.washoecounty.gov/assessor/cama/?command=sales&amp;parid=03535502","3851446")</f>
        <v>3851446</v>
      </c>
      <c r="H2645" t="s">
        <v>1141</v>
      </c>
      <c r="I2645">
        <v>1980</v>
      </c>
      <c r="J2645">
        <v>1980</v>
      </c>
      <c r="K2645" t="s">
        <v>1243</v>
      </c>
      <c r="L2645" t="s">
        <v>4655</v>
      </c>
      <c r="M2645" s="2">
        <v>0</v>
      </c>
      <c r="N2645" t="s">
        <v>4655</v>
      </c>
      <c r="O2645">
        <v>0</v>
      </c>
      <c r="P2645">
        <v>0</v>
      </c>
      <c r="Q2645">
        <v>0</v>
      </c>
      <c r="R2645" t="s">
        <v>4655</v>
      </c>
      <c r="S2645" t="s">
        <v>4655</v>
      </c>
      <c r="T2645" t="s">
        <v>4655</v>
      </c>
      <c r="U2645" t="s">
        <v>4655</v>
      </c>
      <c r="V2645" s="2">
        <v>0</v>
      </c>
      <c r="W2645" t="s">
        <v>4655</v>
      </c>
      <c r="X2645" s="2">
        <v>0</v>
      </c>
      <c r="Y2645">
        <v>23</v>
      </c>
      <c r="Z2645" t="s">
        <v>5508</v>
      </c>
      <c r="AA2645" s="3">
        <v>0.30700182914733898</v>
      </c>
      <c r="AB2645" t="s">
        <v>1143</v>
      </c>
      <c r="AC2645" t="s">
        <v>4575</v>
      </c>
      <c r="AD2645" t="s">
        <v>234</v>
      </c>
      <c r="AE2645" t="s">
        <v>4655</v>
      </c>
      <c r="AF2645" t="s">
        <v>4563</v>
      </c>
      <c r="AG2645" t="s">
        <v>4564</v>
      </c>
      <c r="AH2645">
        <v>89510</v>
      </c>
      <c r="AI2645" t="s">
        <v>2884</v>
      </c>
      <c r="AJ2645" t="s">
        <v>4655</v>
      </c>
      <c r="AK2645" t="s">
        <v>1144</v>
      </c>
      <c r="AL2645" s="13" t="s">
        <v>1889</v>
      </c>
      <c r="AM2645" s="14">
        <v>1</v>
      </c>
      <c r="AN2645" s="15" t="s">
        <v>2528</v>
      </c>
    </row>
    <row r="2646" spans="1:40" x14ac:dyDescent="0.3">
      <c r="A2646" s="10" t="str">
        <f>HYPERLINK("http://www.washoecounty.gov/assessor/cama/?parid=035-364-10&amp;CardNumber=1","035-364-10")</f>
        <v>035-364-10</v>
      </c>
      <c r="B2646" t="s">
        <v>4655</v>
      </c>
      <c r="C2646" t="s">
        <v>15982</v>
      </c>
      <c r="D2646" s="1">
        <v>40290</v>
      </c>
      <c r="E2646" s="2">
        <v>73900</v>
      </c>
      <c r="F2646" t="s">
        <v>4553</v>
      </c>
      <c r="G2646" s="17" t="str">
        <f>HYPERLINK("https://www.washoecounty.gov/assessor/cama/?command=sales&amp;parid=03536410","3873685")</f>
        <v>3873685</v>
      </c>
      <c r="H2646" t="s">
        <v>1569</v>
      </c>
      <c r="I2646">
        <v>1986</v>
      </c>
      <c r="J2646">
        <v>1986</v>
      </c>
      <c r="K2646" t="s">
        <v>4554</v>
      </c>
      <c r="L2646" t="s">
        <v>4555</v>
      </c>
      <c r="M2646" s="2">
        <v>1212</v>
      </c>
      <c r="N2646" t="s">
        <v>4133</v>
      </c>
      <c r="O2646">
        <v>3</v>
      </c>
      <c r="P2646">
        <v>2</v>
      </c>
      <c r="Q2646">
        <v>0</v>
      </c>
      <c r="R2646" t="s">
        <v>4557</v>
      </c>
      <c r="S2646" t="s">
        <v>4558</v>
      </c>
      <c r="T2646" t="s">
        <v>4559</v>
      </c>
      <c r="U2646" t="s">
        <v>4655</v>
      </c>
      <c r="V2646" s="2">
        <v>0</v>
      </c>
      <c r="W2646" t="s">
        <v>4655</v>
      </c>
      <c r="X2646" s="2">
        <v>0</v>
      </c>
      <c r="Y2646">
        <v>20</v>
      </c>
      <c r="Z2646" t="s">
        <v>1776</v>
      </c>
      <c r="AA2646" s="3">
        <v>0.14898990094661699</v>
      </c>
      <c r="AB2646" t="s">
        <v>15983</v>
      </c>
      <c r="AC2646" t="s">
        <v>4575</v>
      </c>
      <c r="AD2646" t="s">
        <v>15982</v>
      </c>
      <c r="AE2646" t="s">
        <v>4655</v>
      </c>
      <c r="AF2646" t="s">
        <v>1600</v>
      </c>
      <c r="AG2646" t="s">
        <v>4564</v>
      </c>
      <c r="AH2646" t="s">
        <v>1601</v>
      </c>
      <c r="AI2646" t="s">
        <v>4848</v>
      </c>
      <c r="AJ2646" t="s">
        <v>4655</v>
      </c>
      <c r="AK2646" t="s">
        <v>15984</v>
      </c>
      <c r="AL2646" s="13" t="s">
        <v>1889</v>
      </c>
      <c r="AM2646">
        <v>1</v>
      </c>
      <c r="AN2646" s="15" t="s">
        <v>2528</v>
      </c>
    </row>
    <row r="2647" spans="1:40" x14ac:dyDescent="0.3">
      <c r="A2647" s="10" t="str">
        <f>HYPERLINK("http://www.washoecounty.gov/assessor/cama/?parid=035-364-13&amp;CardNumber=1","035-364-13")</f>
        <v>035-364-13</v>
      </c>
      <c r="B2647" t="s">
        <v>4655</v>
      </c>
      <c r="C2647" t="s">
        <v>15985</v>
      </c>
      <c r="D2647" s="1">
        <v>40204</v>
      </c>
      <c r="E2647" s="2">
        <v>85000</v>
      </c>
      <c r="F2647" t="s">
        <v>4553</v>
      </c>
      <c r="G2647" s="17" t="str">
        <f>HYPERLINK("https://www.washoecounty.gov/assessor/cama/?command=sales&amp;parid=03536413","3842774")</f>
        <v>3842774</v>
      </c>
      <c r="H2647" t="s">
        <v>1569</v>
      </c>
      <c r="I2647">
        <v>1986</v>
      </c>
      <c r="J2647">
        <v>1986</v>
      </c>
      <c r="K2647" t="s">
        <v>4554</v>
      </c>
      <c r="L2647" t="s">
        <v>4555</v>
      </c>
      <c r="M2647" s="2">
        <v>1212</v>
      </c>
      <c r="N2647" t="s">
        <v>4133</v>
      </c>
      <c r="O2647">
        <v>3</v>
      </c>
      <c r="P2647">
        <v>2</v>
      </c>
      <c r="Q2647">
        <v>0</v>
      </c>
      <c r="R2647" t="s">
        <v>4557</v>
      </c>
      <c r="S2647" t="s">
        <v>4558</v>
      </c>
      <c r="T2647" t="s">
        <v>4559</v>
      </c>
      <c r="U2647" t="s">
        <v>4560</v>
      </c>
      <c r="V2647" s="2">
        <v>250</v>
      </c>
      <c r="W2647" t="s">
        <v>4655</v>
      </c>
      <c r="X2647" s="2">
        <v>0</v>
      </c>
      <c r="Y2647">
        <v>20</v>
      </c>
      <c r="Z2647" t="s">
        <v>1776</v>
      </c>
      <c r="AA2647" s="3">
        <v>0.14201101660728499</v>
      </c>
      <c r="AB2647" t="s">
        <v>15986</v>
      </c>
      <c r="AC2647" t="s">
        <v>4562</v>
      </c>
      <c r="AD2647" t="s">
        <v>15987</v>
      </c>
      <c r="AE2647" t="s">
        <v>4655</v>
      </c>
      <c r="AF2647" t="s">
        <v>1570</v>
      </c>
      <c r="AG2647" t="s">
        <v>4564</v>
      </c>
      <c r="AH2647" t="s">
        <v>1601</v>
      </c>
      <c r="AI2647" t="s">
        <v>4848</v>
      </c>
      <c r="AJ2647" t="s">
        <v>4655</v>
      </c>
      <c r="AK2647" t="s">
        <v>15988</v>
      </c>
      <c r="AL2647" s="13" t="s">
        <v>1889</v>
      </c>
      <c r="AM2647" s="14">
        <v>1</v>
      </c>
      <c r="AN2647" s="15" t="s">
        <v>2528</v>
      </c>
    </row>
    <row r="2648" spans="1:40" x14ac:dyDescent="0.3">
      <c r="A2648" s="10" t="str">
        <f>HYPERLINK("http://www.washoecounty.gov/assessor/cama/?parid=035-364-21&amp;CardNumber=1","035-364-21")</f>
        <v>035-364-21</v>
      </c>
      <c r="B2648" t="s">
        <v>4655</v>
      </c>
      <c r="C2648" t="s">
        <v>15989</v>
      </c>
      <c r="D2648" s="1">
        <v>40204</v>
      </c>
      <c r="E2648" s="2">
        <v>47000</v>
      </c>
      <c r="F2648" t="s">
        <v>4553</v>
      </c>
      <c r="G2648" s="17" t="str">
        <f>HYPERLINK("https://www.washoecounty.gov/assessor/cama/?command=sales&amp;parid=03536421","3842724")</f>
        <v>3842724</v>
      </c>
      <c r="H2648" t="s">
        <v>1569</v>
      </c>
      <c r="I2648">
        <v>1988</v>
      </c>
      <c r="J2648">
        <v>1988</v>
      </c>
      <c r="K2648" t="s">
        <v>4847</v>
      </c>
      <c r="L2648" t="s">
        <v>4555</v>
      </c>
      <c r="M2648" s="2">
        <v>1236</v>
      </c>
      <c r="N2648" t="s">
        <v>4048</v>
      </c>
      <c r="O2648">
        <v>2</v>
      </c>
      <c r="P2648">
        <v>2</v>
      </c>
      <c r="Q2648">
        <v>0</v>
      </c>
      <c r="R2648" t="s">
        <v>4557</v>
      </c>
      <c r="S2648" t="s">
        <v>4558</v>
      </c>
      <c r="T2648" t="s">
        <v>4559</v>
      </c>
      <c r="U2648" t="s">
        <v>4560</v>
      </c>
      <c r="V2648" s="2">
        <v>400</v>
      </c>
      <c r="W2648" t="s">
        <v>4655</v>
      </c>
      <c r="X2648" s="2">
        <v>0</v>
      </c>
      <c r="Y2648">
        <v>22</v>
      </c>
      <c r="Z2648" t="s">
        <v>1776</v>
      </c>
      <c r="AA2648" s="3">
        <v>0.13599632680416099</v>
      </c>
      <c r="AB2648" t="s">
        <v>1571</v>
      </c>
      <c r="AC2648" t="s">
        <v>4562</v>
      </c>
      <c r="AD2648" t="s">
        <v>1572</v>
      </c>
      <c r="AE2648" t="s">
        <v>4655</v>
      </c>
      <c r="AF2648" t="s">
        <v>1570</v>
      </c>
      <c r="AG2648" t="s">
        <v>4564</v>
      </c>
      <c r="AH2648" t="s">
        <v>1601</v>
      </c>
      <c r="AI2648" t="s">
        <v>1149</v>
      </c>
      <c r="AJ2648" t="s">
        <v>4655</v>
      </c>
      <c r="AK2648" t="s">
        <v>15990</v>
      </c>
      <c r="AL2648" s="13" t="s">
        <v>1889</v>
      </c>
      <c r="AM2648" s="14">
        <v>1</v>
      </c>
      <c r="AN2648" s="15" t="s">
        <v>2528</v>
      </c>
    </row>
    <row r="2649" spans="1:40" x14ac:dyDescent="0.3">
      <c r="A2649" s="10" t="str">
        <f>HYPERLINK("http://www.washoecounty.gov/assessor/cama/?parid=035-364-26&amp;CardNumber=1","035-364-26")</f>
        <v>035-364-26</v>
      </c>
      <c r="B2649" t="s">
        <v>4655</v>
      </c>
      <c r="C2649" t="s">
        <v>15991</v>
      </c>
      <c r="D2649" s="1">
        <v>40417</v>
      </c>
      <c r="E2649" s="2">
        <v>42000</v>
      </c>
      <c r="F2649" t="s">
        <v>4553</v>
      </c>
      <c r="G2649" s="17" t="str">
        <f>HYPERLINK("https://www.washoecounty.gov/assessor/cama/?command=sales&amp;parid=03536426","3916148")</f>
        <v>3916148</v>
      </c>
      <c r="H2649" t="s">
        <v>5428</v>
      </c>
      <c r="I2649">
        <v>1984</v>
      </c>
      <c r="J2649">
        <v>1984</v>
      </c>
      <c r="K2649" t="s">
        <v>4847</v>
      </c>
      <c r="L2649" t="s">
        <v>4555</v>
      </c>
      <c r="M2649" s="2">
        <v>1152</v>
      </c>
      <c r="N2649" t="s">
        <v>4048</v>
      </c>
      <c r="O2649">
        <v>3</v>
      </c>
      <c r="P2649">
        <v>2</v>
      </c>
      <c r="Q2649">
        <v>0</v>
      </c>
      <c r="R2649" t="s">
        <v>4557</v>
      </c>
      <c r="S2649" t="s">
        <v>4558</v>
      </c>
      <c r="T2649" t="s">
        <v>4559</v>
      </c>
      <c r="U2649" t="s">
        <v>4655</v>
      </c>
      <c r="V2649" s="2">
        <v>0</v>
      </c>
      <c r="W2649" t="s">
        <v>4655</v>
      </c>
      <c r="X2649" s="2">
        <v>0</v>
      </c>
      <c r="Y2649">
        <v>22</v>
      </c>
      <c r="Z2649" t="s">
        <v>1776</v>
      </c>
      <c r="AA2649" s="3">
        <v>0.15199723839759827</v>
      </c>
      <c r="AB2649" t="s">
        <v>15992</v>
      </c>
      <c r="AC2649" t="s">
        <v>4562</v>
      </c>
      <c r="AD2649" t="s">
        <v>15993</v>
      </c>
      <c r="AE2649" t="s">
        <v>4655</v>
      </c>
      <c r="AF2649" t="s">
        <v>1570</v>
      </c>
      <c r="AG2649" t="s">
        <v>4564</v>
      </c>
      <c r="AH2649" t="s">
        <v>1601</v>
      </c>
      <c r="AI2649" t="s">
        <v>15994</v>
      </c>
      <c r="AJ2649" t="s">
        <v>4655</v>
      </c>
      <c r="AK2649" t="s">
        <v>15995</v>
      </c>
      <c r="AL2649" s="13" t="s">
        <v>1889</v>
      </c>
      <c r="AM2649">
        <v>1</v>
      </c>
      <c r="AN2649" s="15" t="s">
        <v>2528</v>
      </c>
    </row>
    <row r="2650" spans="1:40" x14ac:dyDescent="0.3">
      <c r="A2650" s="10" t="str">
        <f>HYPERLINK("http://www.washoecounty.gov/assessor/cama/?parid=035-365-02&amp;CardNumber=1","035-365-02")</f>
        <v>035-365-02</v>
      </c>
      <c r="B2650" t="s">
        <v>4655</v>
      </c>
      <c r="C2650" t="s">
        <v>15996</v>
      </c>
      <c r="D2650" s="1">
        <v>40521</v>
      </c>
      <c r="E2650" s="2">
        <v>49000</v>
      </c>
      <c r="F2650" t="s">
        <v>4553</v>
      </c>
      <c r="G2650" s="17" t="str">
        <f>HYPERLINK("https://www.washoecounty.gov/assessor/cama/?command=sales&amp;parid=03536502","3951578")</f>
        <v>3951578</v>
      </c>
      <c r="H2650" t="s">
        <v>1569</v>
      </c>
      <c r="I2650">
        <v>1984</v>
      </c>
      <c r="J2650">
        <v>1984</v>
      </c>
      <c r="K2650" t="s">
        <v>4847</v>
      </c>
      <c r="L2650" t="s">
        <v>4555</v>
      </c>
      <c r="M2650" s="2">
        <v>1152</v>
      </c>
      <c r="N2650" t="s">
        <v>4048</v>
      </c>
      <c r="O2650">
        <v>3</v>
      </c>
      <c r="P2650">
        <v>2</v>
      </c>
      <c r="Q2650">
        <v>0</v>
      </c>
      <c r="R2650" t="s">
        <v>4557</v>
      </c>
      <c r="S2650" t="s">
        <v>4558</v>
      </c>
      <c r="T2650" t="s">
        <v>4559</v>
      </c>
      <c r="U2650" t="s">
        <v>4560</v>
      </c>
      <c r="V2650" s="2">
        <v>400</v>
      </c>
      <c r="W2650" t="s">
        <v>4655</v>
      </c>
      <c r="X2650" s="2">
        <v>0</v>
      </c>
      <c r="Y2650">
        <v>22</v>
      </c>
      <c r="Z2650" t="s">
        <v>1776</v>
      </c>
      <c r="AA2650" s="3">
        <v>0.25599172711372398</v>
      </c>
      <c r="AB2650" t="s">
        <v>1571</v>
      </c>
      <c r="AC2650" t="s">
        <v>4562</v>
      </c>
      <c r="AD2650" t="s">
        <v>1572</v>
      </c>
      <c r="AE2650" t="s">
        <v>4655</v>
      </c>
      <c r="AF2650" t="s">
        <v>1600</v>
      </c>
      <c r="AG2650" t="s">
        <v>4564</v>
      </c>
      <c r="AH2650" t="s">
        <v>1601</v>
      </c>
      <c r="AI2650" t="s">
        <v>4848</v>
      </c>
      <c r="AJ2650" t="s">
        <v>4655</v>
      </c>
      <c r="AK2650" t="s">
        <v>15997</v>
      </c>
      <c r="AL2650" s="13" t="s">
        <v>1889</v>
      </c>
      <c r="AM2650" s="14">
        <v>1</v>
      </c>
      <c r="AN2650" s="15" t="s">
        <v>2528</v>
      </c>
    </row>
    <row r="2651" spans="1:40" x14ac:dyDescent="0.3">
      <c r="A2651" s="10" t="str">
        <f>HYPERLINK("http://www.washoecounty.gov/assessor/cama/?parid=035-365-06&amp;CardNumber=1","035-365-06")</f>
        <v>035-365-06</v>
      </c>
      <c r="B2651" t="s">
        <v>4655</v>
      </c>
      <c r="C2651" t="s">
        <v>15998</v>
      </c>
      <c r="D2651" s="1">
        <v>40322</v>
      </c>
      <c r="E2651" s="2">
        <v>45100</v>
      </c>
      <c r="F2651" t="s">
        <v>4567</v>
      </c>
      <c r="G2651" s="17" t="str">
        <f>HYPERLINK("https://www.washoecounty.gov/assessor/cama/?command=sales&amp;parid=03536506","3884492")</f>
        <v>3884492</v>
      </c>
      <c r="H2651" t="s">
        <v>1569</v>
      </c>
      <c r="I2651">
        <v>1984</v>
      </c>
      <c r="J2651">
        <v>1984</v>
      </c>
      <c r="K2651" t="s">
        <v>4847</v>
      </c>
      <c r="L2651" t="s">
        <v>4555</v>
      </c>
      <c r="M2651" s="2">
        <v>1153</v>
      </c>
      <c r="N2651" t="s">
        <v>4048</v>
      </c>
      <c r="O2651">
        <v>3</v>
      </c>
      <c r="P2651">
        <v>2</v>
      </c>
      <c r="Q2651">
        <v>0</v>
      </c>
      <c r="R2651" t="s">
        <v>4557</v>
      </c>
      <c r="S2651" t="s">
        <v>4558</v>
      </c>
      <c r="T2651" t="s">
        <v>4559</v>
      </c>
      <c r="U2651" t="s">
        <v>4655</v>
      </c>
      <c r="V2651" s="2">
        <v>0</v>
      </c>
      <c r="W2651" t="s">
        <v>4655</v>
      </c>
      <c r="X2651" s="2">
        <v>0</v>
      </c>
      <c r="Y2651">
        <v>22</v>
      </c>
      <c r="Z2651" t="s">
        <v>1776</v>
      </c>
      <c r="AA2651" s="3">
        <v>0.16200642287731201</v>
      </c>
      <c r="AB2651" t="s">
        <v>15999</v>
      </c>
      <c r="AC2651" t="s">
        <v>4575</v>
      </c>
      <c r="AD2651" t="s">
        <v>15998</v>
      </c>
      <c r="AE2651" t="s">
        <v>4655</v>
      </c>
      <c r="AF2651" t="s">
        <v>1600</v>
      </c>
      <c r="AG2651" t="s">
        <v>4564</v>
      </c>
      <c r="AH2651" t="s">
        <v>1601</v>
      </c>
      <c r="AI2651" t="s">
        <v>16000</v>
      </c>
      <c r="AJ2651" t="s">
        <v>4655</v>
      </c>
      <c r="AK2651" t="s">
        <v>16001</v>
      </c>
      <c r="AL2651" s="13" t="s">
        <v>1889</v>
      </c>
      <c r="AM2651">
        <v>1</v>
      </c>
      <c r="AN2651" s="15" t="s">
        <v>2528</v>
      </c>
    </row>
    <row r="2652" spans="1:40" x14ac:dyDescent="0.3">
      <c r="A2652" s="10" t="str">
        <f>HYPERLINK("http://www.washoecounty.gov/assessor/cama/?parid=035-365-12&amp;CardNumber=1","035-365-12")</f>
        <v>035-365-12</v>
      </c>
      <c r="B2652" t="s">
        <v>4655</v>
      </c>
      <c r="C2652" t="s">
        <v>16002</v>
      </c>
      <c r="D2652" s="1">
        <v>40269</v>
      </c>
      <c r="E2652" s="2">
        <v>43000</v>
      </c>
      <c r="F2652" t="s">
        <v>4553</v>
      </c>
      <c r="G2652" s="17" t="str">
        <f>HYPERLINK("https://www.washoecounty.gov/assessor/cama/?command=sales&amp;parid=03536512","3864479")</f>
        <v>3864479</v>
      </c>
      <c r="H2652" t="s">
        <v>1569</v>
      </c>
      <c r="I2652">
        <v>1982</v>
      </c>
      <c r="J2652">
        <v>1982</v>
      </c>
      <c r="K2652" t="s">
        <v>4847</v>
      </c>
      <c r="L2652" t="s">
        <v>4555</v>
      </c>
      <c r="M2652" s="2">
        <v>1055</v>
      </c>
      <c r="N2652" t="s">
        <v>4048</v>
      </c>
      <c r="O2652">
        <v>3</v>
      </c>
      <c r="P2652">
        <v>2</v>
      </c>
      <c r="Q2652">
        <v>0</v>
      </c>
      <c r="R2652" t="s">
        <v>4557</v>
      </c>
      <c r="S2652" t="s">
        <v>4558</v>
      </c>
      <c r="T2652" t="s">
        <v>4559</v>
      </c>
      <c r="U2652" t="s">
        <v>4655</v>
      </c>
      <c r="V2652" s="2">
        <v>0</v>
      </c>
      <c r="W2652" t="s">
        <v>4655</v>
      </c>
      <c r="X2652" s="2">
        <v>0</v>
      </c>
      <c r="Y2652">
        <v>22</v>
      </c>
      <c r="Z2652" t="s">
        <v>1776</v>
      </c>
      <c r="AA2652" s="3">
        <v>0.14898990094661699</v>
      </c>
      <c r="AB2652" t="s">
        <v>16003</v>
      </c>
      <c r="AC2652" t="s">
        <v>4562</v>
      </c>
      <c r="AD2652" t="s">
        <v>16002</v>
      </c>
      <c r="AE2652" t="s">
        <v>4655</v>
      </c>
      <c r="AF2652" t="s">
        <v>1600</v>
      </c>
      <c r="AG2652" t="s">
        <v>4564</v>
      </c>
      <c r="AH2652" t="s">
        <v>1601</v>
      </c>
      <c r="AI2652" t="s">
        <v>4848</v>
      </c>
      <c r="AJ2652" t="s">
        <v>4655</v>
      </c>
      <c r="AK2652" t="s">
        <v>16004</v>
      </c>
      <c r="AL2652" s="13" t="s">
        <v>1889</v>
      </c>
      <c r="AM2652">
        <v>1</v>
      </c>
      <c r="AN2652" s="15" t="s">
        <v>2528</v>
      </c>
    </row>
    <row r="2653" spans="1:40" x14ac:dyDescent="0.3">
      <c r="A2653" s="10" t="str">
        <f>HYPERLINK("http://www.washoecounty.gov/assessor/cama/?parid=035-366-02&amp;CardNumber=1","035-366-02")</f>
        <v>035-366-02</v>
      </c>
      <c r="B2653" t="s">
        <v>4655</v>
      </c>
      <c r="C2653" t="s">
        <v>16005</v>
      </c>
      <c r="D2653" s="1">
        <v>40261</v>
      </c>
      <c r="E2653" s="2">
        <v>46640</v>
      </c>
      <c r="F2653" t="s">
        <v>4553</v>
      </c>
      <c r="G2653" s="17" t="str">
        <f>HYPERLINK("https://www.washoecounty.gov/assessor/cama/?command=sales&amp;parid=03536602","3863448")</f>
        <v>3863448</v>
      </c>
      <c r="H2653" t="s">
        <v>5428</v>
      </c>
      <c r="I2653">
        <v>1983</v>
      </c>
      <c r="J2653">
        <v>1983</v>
      </c>
      <c r="K2653" t="s">
        <v>4847</v>
      </c>
      <c r="L2653" t="s">
        <v>4555</v>
      </c>
      <c r="M2653" s="2">
        <v>1104</v>
      </c>
      <c r="N2653" t="s">
        <v>4048</v>
      </c>
      <c r="O2653">
        <v>3</v>
      </c>
      <c r="P2653">
        <v>2</v>
      </c>
      <c r="Q2653">
        <v>0</v>
      </c>
      <c r="R2653" t="s">
        <v>4557</v>
      </c>
      <c r="S2653" t="s">
        <v>4558</v>
      </c>
      <c r="T2653" t="s">
        <v>4559</v>
      </c>
      <c r="U2653" t="s">
        <v>4560</v>
      </c>
      <c r="V2653" s="2">
        <v>400</v>
      </c>
      <c r="W2653" t="s">
        <v>4655</v>
      </c>
      <c r="X2653" s="2">
        <v>0</v>
      </c>
      <c r="Y2653">
        <v>22</v>
      </c>
      <c r="Z2653" t="s">
        <v>1776</v>
      </c>
      <c r="AA2653" s="3">
        <v>0.15199723839759827</v>
      </c>
      <c r="AB2653" t="s">
        <v>16006</v>
      </c>
      <c r="AC2653" t="s">
        <v>4562</v>
      </c>
      <c r="AD2653" t="s">
        <v>16007</v>
      </c>
      <c r="AE2653" t="s">
        <v>4655</v>
      </c>
      <c r="AF2653" t="s">
        <v>1600</v>
      </c>
      <c r="AG2653" t="s">
        <v>4564</v>
      </c>
      <c r="AH2653" t="s">
        <v>1601</v>
      </c>
      <c r="AI2653" t="s">
        <v>4848</v>
      </c>
      <c r="AJ2653" t="s">
        <v>4655</v>
      </c>
      <c r="AK2653" t="s">
        <v>16008</v>
      </c>
      <c r="AL2653" s="13" t="s">
        <v>1889</v>
      </c>
      <c r="AM2653">
        <v>1</v>
      </c>
      <c r="AN2653" s="15" t="s">
        <v>2528</v>
      </c>
    </row>
    <row r="2654" spans="1:40" x14ac:dyDescent="0.3">
      <c r="A2654" s="10" t="str">
        <f>HYPERLINK("http://www.washoecounty.gov/assessor/cama/?parid=035-366-04&amp;CardNumber=1","035-366-04")</f>
        <v>035-366-04</v>
      </c>
      <c r="B2654" t="s">
        <v>4655</v>
      </c>
      <c r="C2654" t="s">
        <v>2337</v>
      </c>
      <c r="D2654" s="1">
        <v>40312</v>
      </c>
      <c r="E2654" s="2">
        <v>45500</v>
      </c>
      <c r="F2654" t="s">
        <v>4567</v>
      </c>
      <c r="G2654" s="17" t="str">
        <f>HYPERLINK("https://www.washoecounty.gov/assessor/cama/?command=sales&amp;parid=03536604","3881754")</f>
        <v>3881754</v>
      </c>
      <c r="H2654" t="s">
        <v>5428</v>
      </c>
      <c r="I2654">
        <v>1983</v>
      </c>
      <c r="J2654">
        <v>1983</v>
      </c>
      <c r="K2654" t="s">
        <v>4847</v>
      </c>
      <c r="L2654" t="s">
        <v>4555</v>
      </c>
      <c r="M2654" s="2">
        <v>1152</v>
      </c>
      <c r="N2654" t="s">
        <v>4048</v>
      </c>
      <c r="O2654">
        <v>3</v>
      </c>
      <c r="P2654">
        <v>2</v>
      </c>
      <c r="Q2654">
        <v>0</v>
      </c>
      <c r="R2654" t="s">
        <v>4557</v>
      </c>
      <c r="S2654" t="s">
        <v>4558</v>
      </c>
      <c r="T2654" t="s">
        <v>4559</v>
      </c>
      <c r="U2654" t="s">
        <v>4655</v>
      </c>
      <c r="V2654" s="2">
        <v>0</v>
      </c>
      <c r="W2654" t="s">
        <v>4655</v>
      </c>
      <c r="X2654" s="2">
        <v>0</v>
      </c>
      <c r="Y2654">
        <v>22</v>
      </c>
      <c r="Z2654" t="s">
        <v>1776</v>
      </c>
      <c r="AA2654" s="3">
        <v>0.123002752661705</v>
      </c>
      <c r="AB2654" t="s">
        <v>4922</v>
      </c>
      <c r="AC2654" t="s">
        <v>4562</v>
      </c>
      <c r="AD2654" t="s">
        <v>2337</v>
      </c>
      <c r="AE2654" t="s">
        <v>4655</v>
      </c>
      <c r="AF2654" t="s">
        <v>1600</v>
      </c>
      <c r="AG2654" t="s">
        <v>4564</v>
      </c>
      <c r="AH2654" t="s">
        <v>1601</v>
      </c>
      <c r="AI2654" t="s">
        <v>2338</v>
      </c>
      <c r="AJ2654" t="s">
        <v>4655</v>
      </c>
      <c r="AK2654" t="s">
        <v>2339</v>
      </c>
      <c r="AL2654" s="13" t="s">
        <v>1889</v>
      </c>
      <c r="AM2654" s="14">
        <v>1</v>
      </c>
      <c r="AN2654" s="15" t="s">
        <v>2528</v>
      </c>
    </row>
    <row r="2655" spans="1:40" x14ac:dyDescent="0.3">
      <c r="A2655" s="10" t="str">
        <f>HYPERLINK("http://www.washoecounty.gov/assessor/cama/?parid=035-366-08&amp;CardNumber=1","035-366-08")</f>
        <v>035-366-08</v>
      </c>
      <c r="B2655" t="s">
        <v>4655</v>
      </c>
      <c r="C2655" t="s">
        <v>16009</v>
      </c>
      <c r="D2655" s="1">
        <v>40186</v>
      </c>
      <c r="E2655" s="2">
        <v>59000</v>
      </c>
      <c r="F2655" t="s">
        <v>4553</v>
      </c>
      <c r="G2655" s="17" t="str">
        <f>HYPERLINK("https://www.washoecounty.gov/assessor/cama/?command=sales&amp;parid=03536608","3837770")</f>
        <v>3837770</v>
      </c>
      <c r="H2655" t="s">
        <v>1569</v>
      </c>
      <c r="I2655">
        <v>1982</v>
      </c>
      <c r="J2655">
        <v>1982</v>
      </c>
      <c r="K2655" t="s">
        <v>4847</v>
      </c>
      <c r="L2655" t="s">
        <v>4555</v>
      </c>
      <c r="M2655" s="2">
        <v>1057</v>
      </c>
      <c r="N2655" t="s">
        <v>4048</v>
      </c>
      <c r="O2655">
        <v>3</v>
      </c>
      <c r="P2655">
        <v>2</v>
      </c>
      <c r="Q2655">
        <v>0</v>
      </c>
      <c r="R2655" t="s">
        <v>4557</v>
      </c>
      <c r="S2655" t="s">
        <v>3148</v>
      </c>
      <c r="T2655" t="s">
        <v>4559</v>
      </c>
      <c r="U2655" t="s">
        <v>4560</v>
      </c>
      <c r="V2655" s="2">
        <v>320</v>
      </c>
      <c r="W2655" t="s">
        <v>4655</v>
      </c>
      <c r="X2655" s="2">
        <v>0</v>
      </c>
      <c r="Y2655">
        <v>22</v>
      </c>
      <c r="Z2655" t="s">
        <v>1776</v>
      </c>
      <c r="AA2655" s="3">
        <v>0.107988983392715</v>
      </c>
      <c r="AB2655" t="s">
        <v>16010</v>
      </c>
      <c r="AC2655" t="s">
        <v>4562</v>
      </c>
      <c r="AD2655" t="s">
        <v>16009</v>
      </c>
      <c r="AE2655" t="s">
        <v>4655</v>
      </c>
      <c r="AF2655" t="s">
        <v>1600</v>
      </c>
      <c r="AG2655" t="s">
        <v>4564</v>
      </c>
      <c r="AH2655" t="s">
        <v>1601</v>
      </c>
      <c r="AI2655" t="s">
        <v>4655</v>
      </c>
      <c r="AJ2655" t="s">
        <v>4655</v>
      </c>
      <c r="AK2655" t="s">
        <v>16011</v>
      </c>
      <c r="AL2655" s="13" t="s">
        <v>1889</v>
      </c>
      <c r="AM2655">
        <v>1</v>
      </c>
      <c r="AN2655" s="15" t="s">
        <v>2528</v>
      </c>
    </row>
    <row r="2656" spans="1:40" x14ac:dyDescent="0.3">
      <c r="A2656" s="10" t="str">
        <f>HYPERLINK("http://www.washoecounty.gov/assessor/cama/?parid=035-366-13&amp;CardNumber=1","035-366-13")</f>
        <v>035-366-13</v>
      </c>
      <c r="B2656" t="s">
        <v>4655</v>
      </c>
      <c r="C2656" t="s">
        <v>16012</v>
      </c>
      <c r="D2656" s="1">
        <v>40325</v>
      </c>
      <c r="E2656" s="2">
        <v>50000</v>
      </c>
      <c r="F2656" t="s">
        <v>4567</v>
      </c>
      <c r="G2656" s="17" t="str">
        <f>HYPERLINK("https://www.washoecounty.gov/assessor/cama/?command=sales&amp;parid=03536613","3886162")</f>
        <v>3886162</v>
      </c>
      <c r="H2656" t="s">
        <v>1569</v>
      </c>
      <c r="I2656">
        <v>1984</v>
      </c>
      <c r="J2656">
        <v>1984</v>
      </c>
      <c r="K2656" t="s">
        <v>4847</v>
      </c>
      <c r="L2656" t="s">
        <v>4555</v>
      </c>
      <c r="M2656" s="2">
        <v>1248</v>
      </c>
      <c r="N2656" t="s">
        <v>4048</v>
      </c>
      <c r="O2656">
        <v>3</v>
      </c>
      <c r="P2656">
        <v>2</v>
      </c>
      <c r="Q2656">
        <v>0</v>
      </c>
      <c r="R2656" t="s">
        <v>4557</v>
      </c>
      <c r="S2656" t="s">
        <v>4574</v>
      </c>
      <c r="T2656" t="s">
        <v>4559</v>
      </c>
      <c r="U2656" t="s">
        <v>4655</v>
      </c>
      <c r="V2656" s="2">
        <v>0</v>
      </c>
      <c r="W2656" t="s">
        <v>4655</v>
      </c>
      <c r="X2656" s="2">
        <v>0</v>
      </c>
      <c r="Y2656">
        <v>22</v>
      </c>
      <c r="Z2656" t="s">
        <v>1776</v>
      </c>
      <c r="AA2656" s="3">
        <v>0.13900367915630299</v>
      </c>
      <c r="AB2656" t="s">
        <v>16013</v>
      </c>
      <c r="AC2656" t="s">
        <v>4575</v>
      </c>
      <c r="AD2656" t="s">
        <v>16012</v>
      </c>
      <c r="AE2656" t="s">
        <v>4655</v>
      </c>
      <c r="AF2656" t="s">
        <v>1600</v>
      </c>
      <c r="AG2656" t="s">
        <v>4564</v>
      </c>
      <c r="AH2656" t="s">
        <v>1601</v>
      </c>
      <c r="AI2656" t="s">
        <v>16014</v>
      </c>
      <c r="AJ2656" t="s">
        <v>4655</v>
      </c>
      <c r="AK2656" t="s">
        <v>16015</v>
      </c>
      <c r="AL2656" s="13" t="s">
        <v>1889</v>
      </c>
      <c r="AM2656">
        <v>1</v>
      </c>
      <c r="AN2656" s="15" t="s">
        <v>2528</v>
      </c>
    </row>
    <row r="2657" spans="1:40" x14ac:dyDescent="0.3">
      <c r="A2657" s="10" t="str">
        <f>HYPERLINK("http://www.washoecounty.gov/assessor/cama/?parid=035-366-18&amp;CardNumber=1","035-366-18")</f>
        <v>035-366-18</v>
      </c>
      <c r="B2657" t="s">
        <v>4655</v>
      </c>
      <c r="C2657" t="s">
        <v>16016</v>
      </c>
      <c r="D2657" s="1">
        <v>40283</v>
      </c>
      <c r="E2657" s="2">
        <v>40000</v>
      </c>
      <c r="F2657" t="s">
        <v>4553</v>
      </c>
      <c r="G2657" s="17" t="str">
        <f>HYPERLINK("https://www.washoecounty.gov/assessor/cama/?command=sales&amp;parid=03536618","3871460")</f>
        <v>3871460</v>
      </c>
      <c r="H2657" t="s">
        <v>1569</v>
      </c>
      <c r="I2657">
        <v>1984</v>
      </c>
      <c r="J2657">
        <v>1984</v>
      </c>
      <c r="K2657" t="s">
        <v>4847</v>
      </c>
      <c r="L2657" t="s">
        <v>4555</v>
      </c>
      <c r="M2657" s="2">
        <v>1152</v>
      </c>
      <c r="N2657" t="s">
        <v>4048</v>
      </c>
      <c r="O2657">
        <v>3</v>
      </c>
      <c r="P2657">
        <v>2</v>
      </c>
      <c r="Q2657">
        <v>0</v>
      </c>
      <c r="R2657" t="s">
        <v>4557</v>
      </c>
      <c r="S2657" t="s">
        <v>4558</v>
      </c>
      <c r="T2657" t="s">
        <v>4559</v>
      </c>
      <c r="U2657" t="s">
        <v>4655</v>
      </c>
      <c r="V2657" s="2">
        <v>0</v>
      </c>
      <c r="W2657" t="s">
        <v>4655</v>
      </c>
      <c r="X2657" s="2">
        <v>0</v>
      </c>
      <c r="Y2657">
        <v>22</v>
      </c>
      <c r="Z2657" t="s">
        <v>1776</v>
      </c>
      <c r="AA2657" s="3">
        <v>0.13900367915630299</v>
      </c>
      <c r="AB2657" t="s">
        <v>1571</v>
      </c>
      <c r="AC2657" t="s">
        <v>4562</v>
      </c>
      <c r="AD2657" t="s">
        <v>15993</v>
      </c>
      <c r="AE2657" t="s">
        <v>4655</v>
      </c>
      <c r="AF2657" t="s">
        <v>1570</v>
      </c>
      <c r="AG2657" t="s">
        <v>4564</v>
      </c>
      <c r="AH2657" t="s">
        <v>1601</v>
      </c>
      <c r="AI2657" t="s">
        <v>4655</v>
      </c>
      <c r="AJ2657" t="s">
        <v>4655</v>
      </c>
      <c r="AK2657" t="s">
        <v>16017</v>
      </c>
      <c r="AL2657" s="13" t="s">
        <v>1889</v>
      </c>
      <c r="AM2657">
        <v>1</v>
      </c>
      <c r="AN2657" s="15" t="s">
        <v>2528</v>
      </c>
    </row>
    <row r="2658" spans="1:40" x14ac:dyDescent="0.3">
      <c r="A2658" s="10" t="str">
        <f>HYPERLINK("http://www.washoecounty.gov/assessor/cama/?parid=035-422-73&amp;CardNumber=1","035-422-73")</f>
        <v>035-422-73</v>
      </c>
      <c r="B2658" t="s">
        <v>4655</v>
      </c>
      <c r="C2658" t="s">
        <v>16018</v>
      </c>
      <c r="D2658" s="1">
        <v>40431</v>
      </c>
      <c r="E2658" s="2">
        <v>55000</v>
      </c>
      <c r="F2658" t="s">
        <v>4553</v>
      </c>
      <c r="G2658" s="17" t="str">
        <f>HYPERLINK("https://www.washoecounty.gov/assessor/cama/?command=sales&amp;parid=03542273","3921074")</f>
        <v>3921074</v>
      </c>
      <c r="H2658" t="s">
        <v>16019</v>
      </c>
      <c r="I2658">
        <v>1983</v>
      </c>
      <c r="J2658">
        <v>1983</v>
      </c>
      <c r="K2658" t="s">
        <v>4897</v>
      </c>
      <c r="L2658" t="s">
        <v>4555</v>
      </c>
      <c r="M2658" s="2">
        <v>840</v>
      </c>
      <c r="N2658" t="s">
        <v>4556</v>
      </c>
      <c r="O2658">
        <v>2</v>
      </c>
      <c r="P2658">
        <v>1</v>
      </c>
      <c r="Q2658">
        <v>0</v>
      </c>
      <c r="R2658" t="s">
        <v>4676</v>
      </c>
      <c r="S2658" t="s">
        <v>3148</v>
      </c>
      <c r="T2658" t="s">
        <v>4559</v>
      </c>
      <c r="U2658" t="s">
        <v>4655</v>
      </c>
      <c r="V2658" s="2">
        <v>0</v>
      </c>
      <c r="W2658" t="s">
        <v>4655</v>
      </c>
      <c r="X2658" s="2">
        <v>0</v>
      </c>
      <c r="Y2658">
        <v>25</v>
      </c>
      <c r="Z2658" t="s">
        <v>2705</v>
      </c>
      <c r="AA2658" s="3">
        <v>1.00000004749745E-3</v>
      </c>
      <c r="AB2658" t="s">
        <v>16020</v>
      </c>
      <c r="AC2658" t="s">
        <v>4562</v>
      </c>
      <c r="AD2658" t="s">
        <v>16021</v>
      </c>
      <c r="AE2658" t="s">
        <v>729</v>
      </c>
      <c r="AF2658" t="s">
        <v>686</v>
      </c>
      <c r="AG2658" t="s">
        <v>4584</v>
      </c>
      <c r="AH2658">
        <v>94123</v>
      </c>
      <c r="AI2658" t="s">
        <v>16020</v>
      </c>
      <c r="AJ2658" t="s">
        <v>4655</v>
      </c>
      <c r="AK2658" t="s">
        <v>16022</v>
      </c>
      <c r="AL2658" s="13" t="s">
        <v>2255</v>
      </c>
      <c r="AM2658" s="14">
        <v>1</v>
      </c>
      <c r="AN2658" s="15" t="s">
        <v>1233</v>
      </c>
    </row>
    <row r="2659" spans="1:40" x14ac:dyDescent="0.3">
      <c r="A2659" s="10" t="str">
        <f>HYPERLINK("http://www.washoecounty.gov/assessor/cama/?parid=035-451-04&amp;CardNumber=1","035-451-04")</f>
        <v>035-451-04</v>
      </c>
      <c r="B2659" t="s">
        <v>4655</v>
      </c>
      <c r="C2659" t="s">
        <v>16023</v>
      </c>
      <c r="D2659" s="1">
        <v>40485</v>
      </c>
      <c r="E2659" s="2">
        <v>170000</v>
      </c>
      <c r="F2659" t="s">
        <v>4567</v>
      </c>
      <c r="G2659" s="17" t="str">
        <f>HYPERLINK("https://www.washoecounty.gov/assessor/cama/?command=sales&amp;parid=03545104","3939474")</f>
        <v>3939474</v>
      </c>
      <c r="H2659" t="s">
        <v>16024</v>
      </c>
      <c r="I2659">
        <v>1987</v>
      </c>
      <c r="J2659">
        <v>1987</v>
      </c>
      <c r="K2659" t="s">
        <v>4554</v>
      </c>
      <c r="L2659" t="s">
        <v>4555</v>
      </c>
      <c r="M2659" s="2">
        <v>1598</v>
      </c>
      <c r="N2659" t="s">
        <v>4048</v>
      </c>
      <c r="O2659">
        <v>3</v>
      </c>
      <c r="P2659">
        <v>2</v>
      </c>
      <c r="Q2659">
        <v>0</v>
      </c>
      <c r="R2659" t="s">
        <v>5281</v>
      </c>
      <c r="S2659" t="s">
        <v>4558</v>
      </c>
      <c r="T2659" t="s">
        <v>4559</v>
      </c>
      <c r="U2659" t="s">
        <v>4560</v>
      </c>
      <c r="V2659" s="2">
        <v>440</v>
      </c>
      <c r="W2659" t="s">
        <v>4655</v>
      </c>
      <c r="X2659" s="2">
        <v>0</v>
      </c>
      <c r="Y2659">
        <v>20</v>
      </c>
      <c r="Z2659" t="s">
        <v>4051</v>
      </c>
      <c r="AA2659" s="3">
        <v>0.26299357414245605</v>
      </c>
      <c r="AB2659" t="s">
        <v>16025</v>
      </c>
      <c r="AC2659" t="s">
        <v>4562</v>
      </c>
      <c r="AD2659" t="s">
        <v>16023</v>
      </c>
      <c r="AE2659" t="s">
        <v>4655</v>
      </c>
      <c r="AF2659" t="s">
        <v>5201</v>
      </c>
      <c r="AG2659" t="s">
        <v>4564</v>
      </c>
      <c r="AH2659" t="s">
        <v>1605</v>
      </c>
      <c r="AI2659" t="s">
        <v>16026</v>
      </c>
      <c r="AJ2659" t="s">
        <v>4655</v>
      </c>
      <c r="AK2659" t="s">
        <v>16027</v>
      </c>
      <c r="AL2659" s="13" t="s">
        <v>1899</v>
      </c>
      <c r="AM2659">
        <v>1</v>
      </c>
      <c r="AN2659" s="15" t="s">
        <v>5531</v>
      </c>
    </row>
    <row r="2660" spans="1:40" x14ac:dyDescent="0.3">
      <c r="A2660" s="10" t="str">
        <f>HYPERLINK("http://www.washoecounty.gov/assessor/cama/?parid=035-451-15&amp;CardNumber=1","035-451-15")</f>
        <v>035-451-15</v>
      </c>
      <c r="B2660" t="s">
        <v>4655</v>
      </c>
      <c r="C2660" t="s">
        <v>16028</v>
      </c>
      <c r="D2660" s="1">
        <v>40191</v>
      </c>
      <c r="E2660" s="2">
        <v>127000</v>
      </c>
      <c r="F2660" t="s">
        <v>4567</v>
      </c>
      <c r="G2660" s="17" t="str">
        <f>HYPERLINK("https://www.washoecounty.gov/assessor/cama/?command=sales&amp;parid=03545115","3838738")</f>
        <v>3838738</v>
      </c>
      <c r="H2660" t="s">
        <v>4804</v>
      </c>
      <c r="I2660">
        <v>1987</v>
      </c>
      <c r="J2660">
        <v>1987</v>
      </c>
      <c r="K2660" t="s">
        <v>4554</v>
      </c>
      <c r="L2660" t="s">
        <v>4555</v>
      </c>
      <c r="M2660" s="2">
        <v>1344</v>
      </c>
      <c r="N2660" t="s">
        <v>4048</v>
      </c>
      <c r="O2660">
        <v>3</v>
      </c>
      <c r="P2660">
        <v>2</v>
      </c>
      <c r="Q2660">
        <v>0</v>
      </c>
      <c r="R2660" t="s">
        <v>4557</v>
      </c>
      <c r="S2660" t="s">
        <v>4558</v>
      </c>
      <c r="T2660" t="s">
        <v>4559</v>
      </c>
      <c r="U2660" t="s">
        <v>4560</v>
      </c>
      <c r="V2660" s="2">
        <v>440</v>
      </c>
      <c r="W2660" t="s">
        <v>4655</v>
      </c>
      <c r="X2660" s="2">
        <v>0</v>
      </c>
      <c r="Y2660">
        <v>20</v>
      </c>
      <c r="Z2660" t="s">
        <v>4051</v>
      </c>
      <c r="AA2660" s="3">
        <v>0.18599632382392883</v>
      </c>
      <c r="AB2660" t="s">
        <v>16029</v>
      </c>
      <c r="AC2660" t="s">
        <v>4562</v>
      </c>
      <c r="AD2660" t="s">
        <v>16028</v>
      </c>
      <c r="AE2660" t="s">
        <v>4655</v>
      </c>
      <c r="AF2660" t="s">
        <v>5201</v>
      </c>
      <c r="AG2660" t="s">
        <v>4564</v>
      </c>
      <c r="AH2660" t="s">
        <v>1605</v>
      </c>
      <c r="AI2660" t="s">
        <v>16030</v>
      </c>
      <c r="AJ2660" t="s">
        <v>4655</v>
      </c>
      <c r="AK2660" t="s">
        <v>16031</v>
      </c>
      <c r="AL2660" s="13" t="s">
        <v>1899</v>
      </c>
      <c r="AM2660">
        <v>1</v>
      </c>
      <c r="AN2660" s="15" t="s">
        <v>5531</v>
      </c>
    </row>
    <row r="2661" spans="1:40" x14ac:dyDescent="0.3">
      <c r="A2661" s="10" t="str">
        <f>HYPERLINK("http://www.washoecounty.gov/assessor/cama/?parid=035-452-06&amp;CardNumber=1","035-452-06")</f>
        <v>035-452-06</v>
      </c>
      <c r="B2661" t="s">
        <v>4655</v>
      </c>
      <c r="C2661" t="s">
        <v>16032</v>
      </c>
      <c r="D2661" s="1">
        <v>40512</v>
      </c>
      <c r="E2661" s="2">
        <v>155000</v>
      </c>
      <c r="F2661" t="s">
        <v>4567</v>
      </c>
      <c r="G2661" s="17" t="str">
        <f>HYPERLINK("https://www.washoecounty.gov/assessor/cama/?command=sales&amp;parid=03545206","3948018")</f>
        <v>3948018</v>
      </c>
      <c r="H2661" t="s">
        <v>4804</v>
      </c>
      <c r="I2661">
        <v>1988</v>
      </c>
      <c r="J2661">
        <v>1988</v>
      </c>
      <c r="K2661" t="s">
        <v>4554</v>
      </c>
      <c r="L2661" t="s">
        <v>4555</v>
      </c>
      <c r="M2661" s="2">
        <v>1598</v>
      </c>
      <c r="N2661" t="s">
        <v>4048</v>
      </c>
      <c r="O2661">
        <v>3</v>
      </c>
      <c r="P2661">
        <v>2</v>
      </c>
      <c r="Q2661">
        <v>0</v>
      </c>
      <c r="R2661" t="s">
        <v>5281</v>
      </c>
      <c r="S2661" t="s">
        <v>4558</v>
      </c>
      <c r="T2661" t="s">
        <v>4559</v>
      </c>
      <c r="U2661" t="s">
        <v>4560</v>
      </c>
      <c r="V2661" s="2">
        <v>440</v>
      </c>
      <c r="W2661" t="s">
        <v>4655</v>
      </c>
      <c r="X2661" s="2">
        <v>0</v>
      </c>
      <c r="Y2661">
        <v>20</v>
      </c>
      <c r="Z2661" t="s">
        <v>4051</v>
      </c>
      <c r="AA2661" s="3">
        <v>0.18700642883777599</v>
      </c>
      <c r="AB2661" t="s">
        <v>16033</v>
      </c>
      <c r="AC2661" t="s">
        <v>4562</v>
      </c>
      <c r="AD2661" t="s">
        <v>16034</v>
      </c>
      <c r="AE2661" t="s">
        <v>4655</v>
      </c>
      <c r="AF2661" t="s">
        <v>5201</v>
      </c>
      <c r="AG2661" t="s">
        <v>4564</v>
      </c>
      <c r="AH2661" t="s">
        <v>1605</v>
      </c>
      <c r="AI2661" t="s">
        <v>16035</v>
      </c>
      <c r="AJ2661" t="s">
        <v>4655</v>
      </c>
      <c r="AK2661" t="s">
        <v>16036</v>
      </c>
      <c r="AL2661" s="13" t="s">
        <v>1899</v>
      </c>
      <c r="AM2661">
        <v>1</v>
      </c>
      <c r="AN2661" s="15" t="s">
        <v>5531</v>
      </c>
    </row>
    <row r="2662" spans="1:40" x14ac:dyDescent="0.3">
      <c r="A2662" s="10" t="str">
        <f>HYPERLINK("http://www.washoecounty.gov/assessor/cama/?parid=035-452-09&amp;CardNumber=1","035-452-09")</f>
        <v>035-452-09</v>
      </c>
      <c r="B2662" t="s">
        <v>4655</v>
      </c>
      <c r="C2662" t="s">
        <v>16037</v>
      </c>
      <c r="D2662" s="1">
        <v>40455</v>
      </c>
      <c r="E2662" s="2">
        <v>179900</v>
      </c>
      <c r="F2662" t="s">
        <v>4567</v>
      </c>
      <c r="G2662" s="17" t="str">
        <f>HYPERLINK("https://www.washoecounty.gov/assessor/cama/?command=sales&amp;parid=03545209","3929435")</f>
        <v>3929435</v>
      </c>
      <c r="H2662" t="s">
        <v>4804</v>
      </c>
      <c r="I2662">
        <v>1988</v>
      </c>
      <c r="J2662">
        <v>1988</v>
      </c>
      <c r="K2662" t="s">
        <v>4554</v>
      </c>
      <c r="L2662" t="s">
        <v>4555</v>
      </c>
      <c r="M2662" s="2">
        <v>1848</v>
      </c>
      <c r="N2662" t="s">
        <v>4048</v>
      </c>
      <c r="O2662">
        <v>4</v>
      </c>
      <c r="P2662">
        <v>2</v>
      </c>
      <c r="Q2662">
        <v>0</v>
      </c>
      <c r="R2662" t="s">
        <v>4557</v>
      </c>
      <c r="S2662" t="s">
        <v>4558</v>
      </c>
      <c r="T2662" t="s">
        <v>4559</v>
      </c>
      <c r="U2662" t="s">
        <v>4560</v>
      </c>
      <c r="V2662" s="2">
        <v>440</v>
      </c>
      <c r="W2662" t="s">
        <v>4655</v>
      </c>
      <c r="X2662" s="2">
        <v>0</v>
      </c>
      <c r="Y2662">
        <v>20</v>
      </c>
      <c r="Z2662" t="s">
        <v>4051</v>
      </c>
      <c r="AA2662" s="3">
        <v>0.20101010799408001</v>
      </c>
      <c r="AB2662" t="s">
        <v>16038</v>
      </c>
      <c r="AC2662" t="s">
        <v>4562</v>
      </c>
      <c r="AD2662" t="s">
        <v>16037</v>
      </c>
      <c r="AE2662" t="s">
        <v>4655</v>
      </c>
      <c r="AF2662" t="s">
        <v>5201</v>
      </c>
      <c r="AG2662" t="s">
        <v>4564</v>
      </c>
      <c r="AH2662" t="s">
        <v>1605</v>
      </c>
      <c r="AI2662" t="s">
        <v>16039</v>
      </c>
      <c r="AJ2662" t="s">
        <v>4655</v>
      </c>
      <c r="AK2662" t="s">
        <v>16040</v>
      </c>
      <c r="AL2662" s="13" t="s">
        <v>1899</v>
      </c>
      <c r="AM2662" s="14">
        <v>1</v>
      </c>
      <c r="AN2662" s="15" t="s">
        <v>5531</v>
      </c>
    </row>
    <row r="2663" spans="1:40" x14ac:dyDescent="0.3">
      <c r="A2663" s="10" t="str">
        <f>HYPERLINK("http://www.washoecounty.gov/assessor/cama/?parid=035-523-18&amp;CardNumber=1","035-523-18")</f>
        <v>035-523-18</v>
      </c>
      <c r="B2663" t="s">
        <v>4655</v>
      </c>
      <c r="C2663" t="s">
        <v>16041</v>
      </c>
      <c r="D2663" s="1">
        <v>40392</v>
      </c>
      <c r="E2663" s="2">
        <v>187000</v>
      </c>
      <c r="F2663" t="s">
        <v>4567</v>
      </c>
      <c r="G2663" s="17" t="str">
        <f>HYPERLINK("https://www.washoecounty.gov/assessor/cama/?command=sales&amp;parid=03552318","3907873")</f>
        <v>3907873</v>
      </c>
      <c r="H2663" t="s">
        <v>4805</v>
      </c>
      <c r="I2663">
        <v>1990</v>
      </c>
      <c r="J2663">
        <v>1990</v>
      </c>
      <c r="K2663" t="s">
        <v>4554</v>
      </c>
      <c r="L2663" t="s">
        <v>3974</v>
      </c>
      <c r="M2663" s="2">
        <v>2325</v>
      </c>
      <c r="N2663" t="s">
        <v>5280</v>
      </c>
      <c r="O2663">
        <v>4</v>
      </c>
      <c r="P2663">
        <v>3</v>
      </c>
      <c r="Q2663">
        <v>0</v>
      </c>
      <c r="R2663" t="s">
        <v>5281</v>
      </c>
      <c r="S2663" t="s">
        <v>4558</v>
      </c>
      <c r="T2663" t="s">
        <v>4559</v>
      </c>
      <c r="U2663" t="s">
        <v>5631</v>
      </c>
      <c r="V2663" s="2">
        <v>622</v>
      </c>
      <c r="W2663" t="s">
        <v>4655</v>
      </c>
      <c r="X2663" s="2">
        <v>0</v>
      </c>
      <c r="Y2663">
        <v>20</v>
      </c>
      <c r="Z2663" t="s">
        <v>5200</v>
      </c>
      <c r="AA2663" s="3">
        <v>0.14400826394558</v>
      </c>
      <c r="AB2663" t="s">
        <v>16042</v>
      </c>
      <c r="AC2663" t="s">
        <v>4562</v>
      </c>
      <c r="AD2663" t="s">
        <v>16041</v>
      </c>
      <c r="AE2663" t="s">
        <v>4655</v>
      </c>
      <c r="AF2663" t="s">
        <v>5201</v>
      </c>
      <c r="AG2663" t="s">
        <v>4564</v>
      </c>
      <c r="AH2663" t="s">
        <v>1605</v>
      </c>
      <c r="AI2663" t="s">
        <v>16043</v>
      </c>
      <c r="AJ2663" t="s">
        <v>4655</v>
      </c>
      <c r="AK2663" t="s">
        <v>16044</v>
      </c>
      <c r="AL2663" s="13" t="s">
        <v>1899</v>
      </c>
      <c r="AM2663">
        <v>1</v>
      </c>
      <c r="AN2663" s="15" t="s">
        <v>1984</v>
      </c>
    </row>
    <row r="2664" spans="1:40" x14ac:dyDescent="0.3">
      <c r="A2664" s="10" t="str">
        <f>HYPERLINK("http://www.washoecounty.gov/assessor/cama/?parid=035-532-07&amp;CardNumber=1","035-532-07")</f>
        <v>035-532-07</v>
      </c>
      <c r="B2664" t="s">
        <v>4655</v>
      </c>
      <c r="C2664" t="s">
        <v>16045</v>
      </c>
      <c r="D2664" s="1">
        <v>40501</v>
      </c>
      <c r="E2664" s="2">
        <v>220000</v>
      </c>
      <c r="F2664" t="s">
        <v>4567</v>
      </c>
      <c r="G2664" s="17" t="str">
        <f>HYPERLINK("https://www.washoecounty.gov/assessor/cama/?command=sales&amp;parid=03553207","3945108")</f>
        <v>3945108</v>
      </c>
      <c r="H2664" t="s">
        <v>4805</v>
      </c>
      <c r="I2664">
        <v>1990</v>
      </c>
      <c r="J2664">
        <v>1990</v>
      </c>
      <c r="K2664" t="s">
        <v>4554</v>
      </c>
      <c r="L2664" t="s">
        <v>3974</v>
      </c>
      <c r="M2664" s="2">
        <v>2771</v>
      </c>
      <c r="N2664" t="s">
        <v>5280</v>
      </c>
      <c r="O2664">
        <v>4</v>
      </c>
      <c r="P2664">
        <v>3</v>
      </c>
      <c r="Q2664">
        <v>0</v>
      </c>
      <c r="R2664" t="s">
        <v>5281</v>
      </c>
      <c r="S2664" t="s">
        <v>4558</v>
      </c>
      <c r="T2664" t="s">
        <v>4559</v>
      </c>
      <c r="U2664" t="s">
        <v>5631</v>
      </c>
      <c r="V2664" s="2">
        <v>599</v>
      </c>
      <c r="W2664" t="s">
        <v>4655</v>
      </c>
      <c r="X2664" s="2">
        <v>0</v>
      </c>
      <c r="Y2664">
        <v>20</v>
      </c>
      <c r="Z2664" t="s">
        <v>5200</v>
      </c>
      <c r="AA2664" s="3">
        <v>0.20599173009395599</v>
      </c>
      <c r="AB2664" t="s">
        <v>16046</v>
      </c>
      <c r="AC2664" t="s">
        <v>4562</v>
      </c>
      <c r="AD2664" t="s">
        <v>16045</v>
      </c>
      <c r="AE2664" t="s">
        <v>4655</v>
      </c>
      <c r="AF2664" t="s">
        <v>5201</v>
      </c>
      <c r="AG2664" t="s">
        <v>4564</v>
      </c>
      <c r="AH2664" t="s">
        <v>1605</v>
      </c>
      <c r="AI2664" t="s">
        <v>16047</v>
      </c>
      <c r="AJ2664" t="s">
        <v>4655</v>
      </c>
      <c r="AK2664" t="s">
        <v>16048</v>
      </c>
      <c r="AL2664" s="13" t="s">
        <v>1899</v>
      </c>
      <c r="AM2664">
        <v>1</v>
      </c>
      <c r="AN2664" s="15" t="s">
        <v>1984</v>
      </c>
    </row>
    <row r="2665" spans="1:40" x14ac:dyDescent="0.3">
      <c r="A2665" s="10" t="str">
        <f>HYPERLINK("http://www.washoecounty.gov/assessor/cama/?parid=035-533-05&amp;CardNumber=1","035-533-05")</f>
        <v>035-533-05</v>
      </c>
      <c r="B2665" t="s">
        <v>4655</v>
      </c>
      <c r="C2665" t="s">
        <v>16049</v>
      </c>
      <c r="D2665" s="1">
        <v>40197</v>
      </c>
      <c r="E2665" s="2">
        <v>227000</v>
      </c>
      <c r="F2665" t="s">
        <v>4567</v>
      </c>
      <c r="G2665" s="17" t="str">
        <f>HYPERLINK("https://www.washoecounty.gov/assessor/cama/?command=sales&amp;parid=03553305","3840396")</f>
        <v>3840396</v>
      </c>
      <c r="H2665" t="s">
        <v>4805</v>
      </c>
      <c r="I2665">
        <v>1990</v>
      </c>
      <c r="J2665">
        <v>1990</v>
      </c>
      <c r="K2665" t="s">
        <v>4554</v>
      </c>
      <c r="L2665" t="s">
        <v>3974</v>
      </c>
      <c r="M2665" s="2">
        <v>2771</v>
      </c>
      <c r="N2665" t="s">
        <v>5280</v>
      </c>
      <c r="O2665">
        <v>4</v>
      </c>
      <c r="P2665">
        <v>3</v>
      </c>
      <c r="Q2665">
        <v>0</v>
      </c>
      <c r="R2665" t="s">
        <v>4557</v>
      </c>
      <c r="S2665" t="s">
        <v>4558</v>
      </c>
      <c r="T2665" t="s">
        <v>4559</v>
      </c>
      <c r="U2665" t="s">
        <v>5631</v>
      </c>
      <c r="V2665" s="2">
        <v>599</v>
      </c>
      <c r="W2665" t="s">
        <v>4655</v>
      </c>
      <c r="X2665" s="2">
        <v>0</v>
      </c>
      <c r="Y2665">
        <v>20</v>
      </c>
      <c r="Z2665" t="s">
        <v>5200</v>
      </c>
      <c r="AA2665" s="3">
        <v>0.13799357414245605</v>
      </c>
      <c r="AB2665" t="s">
        <v>16050</v>
      </c>
      <c r="AC2665" t="s">
        <v>4562</v>
      </c>
      <c r="AD2665" t="s">
        <v>16049</v>
      </c>
      <c r="AE2665" t="s">
        <v>4655</v>
      </c>
      <c r="AF2665" t="s">
        <v>5201</v>
      </c>
      <c r="AG2665" t="s">
        <v>4564</v>
      </c>
      <c r="AH2665" t="s">
        <v>1605</v>
      </c>
      <c r="AI2665" t="s">
        <v>16051</v>
      </c>
      <c r="AJ2665" t="s">
        <v>4655</v>
      </c>
      <c r="AK2665" t="s">
        <v>16052</v>
      </c>
      <c r="AL2665" s="13" t="s">
        <v>1899</v>
      </c>
      <c r="AM2665">
        <v>1</v>
      </c>
      <c r="AN2665" s="15" t="s">
        <v>1984</v>
      </c>
    </row>
    <row r="2666" spans="1:40" x14ac:dyDescent="0.3">
      <c r="A2666" s="10" t="str">
        <f>HYPERLINK("http://www.washoecounty.gov/assessor/cama/?parid=035-544-10&amp;CardNumber=1","035-544-10")</f>
        <v>035-544-10</v>
      </c>
      <c r="B2666" t="s">
        <v>4655</v>
      </c>
      <c r="C2666" t="s">
        <v>16053</v>
      </c>
      <c r="D2666" s="1">
        <v>40449</v>
      </c>
      <c r="E2666" s="2">
        <v>184000</v>
      </c>
      <c r="F2666" t="s">
        <v>4553</v>
      </c>
      <c r="G2666" s="17" t="str">
        <f>HYPERLINK("https://www.washoecounty.gov/assessor/cama/?command=sales&amp;parid=03554410","3926992")</f>
        <v>3926992</v>
      </c>
      <c r="H2666" t="s">
        <v>16054</v>
      </c>
      <c r="I2666">
        <v>1992</v>
      </c>
      <c r="J2666">
        <v>1992</v>
      </c>
      <c r="K2666" t="s">
        <v>4554</v>
      </c>
      <c r="L2666" t="s">
        <v>3974</v>
      </c>
      <c r="M2666" s="2">
        <v>2771</v>
      </c>
      <c r="N2666" t="s">
        <v>5280</v>
      </c>
      <c r="O2666">
        <v>4</v>
      </c>
      <c r="P2666">
        <v>3</v>
      </c>
      <c r="Q2666">
        <v>0</v>
      </c>
      <c r="R2666" t="s">
        <v>4557</v>
      </c>
      <c r="S2666" t="s">
        <v>4558</v>
      </c>
      <c r="T2666" t="s">
        <v>4559</v>
      </c>
      <c r="U2666" t="s">
        <v>5631</v>
      </c>
      <c r="V2666" s="2">
        <v>599</v>
      </c>
      <c r="W2666" t="s">
        <v>4655</v>
      </c>
      <c r="X2666" s="2">
        <v>0</v>
      </c>
      <c r="Y2666">
        <v>20</v>
      </c>
      <c r="Z2666" t="s">
        <v>5200</v>
      </c>
      <c r="AA2666" s="3">
        <v>0.15199723839759827</v>
      </c>
      <c r="AB2666" t="s">
        <v>16055</v>
      </c>
      <c r="AC2666" t="s">
        <v>4562</v>
      </c>
      <c r="AD2666" t="s">
        <v>16056</v>
      </c>
      <c r="AE2666" t="s">
        <v>4655</v>
      </c>
      <c r="AF2666" t="s">
        <v>4809</v>
      </c>
      <c r="AG2666" t="s">
        <v>4564</v>
      </c>
      <c r="AH2666" t="s">
        <v>1605</v>
      </c>
      <c r="AI2666" t="s">
        <v>4045</v>
      </c>
      <c r="AJ2666" t="s">
        <v>4655</v>
      </c>
      <c r="AK2666" t="s">
        <v>16057</v>
      </c>
      <c r="AL2666" s="13" t="s">
        <v>1899</v>
      </c>
      <c r="AM2666">
        <v>1</v>
      </c>
      <c r="AN2666" s="15" t="s">
        <v>1984</v>
      </c>
    </row>
    <row r="2667" spans="1:40" x14ac:dyDescent="0.3">
      <c r="A2667" s="10" t="str">
        <f>HYPERLINK("http://www.washoecounty.gov/assessor/cama/?parid=035-571-23&amp;CardNumber=1","035-571-23")</f>
        <v>035-571-23</v>
      </c>
      <c r="B2667" t="s">
        <v>4655</v>
      </c>
      <c r="C2667" t="s">
        <v>16058</v>
      </c>
      <c r="D2667" s="1">
        <v>40235</v>
      </c>
      <c r="E2667" s="2">
        <v>184500</v>
      </c>
      <c r="F2667" t="s">
        <v>4567</v>
      </c>
      <c r="G2667" s="17" t="str">
        <f>HYPERLINK("https://www.washoecounty.gov/assessor/cama/?command=sales&amp;parid=03557123","3853252")</f>
        <v>3853252</v>
      </c>
      <c r="H2667" t="s">
        <v>2394</v>
      </c>
      <c r="I2667">
        <v>1993</v>
      </c>
      <c r="J2667">
        <v>1993</v>
      </c>
      <c r="K2667" t="s">
        <v>4554</v>
      </c>
      <c r="L2667" t="s">
        <v>4555</v>
      </c>
      <c r="M2667" s="2">
        <v>1660</v>
      </c>
      <c r="N2667" t="s">
        <v>4048</v>
      </c>
      <c r="O2667">
        <v>3</v>
      </c>
      <c r="P2667">
        <v>2</v>
      </c>
      <c r="Q2667">
        <v>0</v>
      </c>
      <c r="R2667" t="s">
        <v>4557</v>
      </c>
      <c r="S2667" t="s">
        <v>4558</v>
      </c>
      <c r="T2667" t="s">
        <v>4559</v>
      </c>
      <c r="U2667" t="s">
        <v>4560</v>
      </c>
      <c r="V2667" s="2">
        <v>446</v>
      </c>
      <c r="W2667" t="s">
        <v>4655</v>
      </c>
      <c r="X2667" s="2">
        <v>0</v>
      </c>
      <c r="Y2667">
        <v>20</v>
      </c>
      <c r="Z2667" t="s">
        <v>5200</v>
      </c>
      <c r="AA2667" s="3">
        <v>0.30000001192092901</v>
      </c>
      <c r="AB2667" t="s">
        <v>16059</v>
      </c>
      <c r="AC2667" t="s">
        <v>4562</v>
      </c>
      <c r="AD2667" t="s">
        <v>16058</v>
      </c>
      <c r="AE2667" t="s">
        <v>4655</v>
      </c>
      <c r="AF2667" t="s">
        <v>5201</v>
      </c>
      <c r="AG2667" t="s">
        <v>4564</v>
      </c>
      <c r="AH2667" t="s">
        <v>1605</v>
      </c>
      <c r="AI2667" t="s">
        <v>16060</v>
      </c>
      <c r="AJ2667" t="s">
        <v>2395</v>
      </c>
      <c r="AK2667" t="s">
        <v>16061</v>
      </c>
      <c r="AL2667" s="13" t="s">
        <v>1899</v>
      </c>
      <c r="AM2667" s="14">
        <v>1</v>
      </c>
      <c r="AN2667" s="15" t="s">
        <v>5531</v>
      </c>
    </row>
    <row r="2668" spans="1:40" x14ac:dyDescent="0.3">
      <c r="A2668" s="10" t="str">
        <f>HYPERLINK("http://www.washoecounty.gov/assessor/cama/?parid=035-613-11&amp;CardNumber=1","035-613-11")</f>
        <v>035-613-11</v>
      </c>
      <c r="B2668" t="s">
        <v>4655</v>
      </c>
      <c r="C2668" t="s">
        <v>16062</v>
      </c>
      <c r="D2668" s="1">
        <v>40483</v>
      </c>
      <c r="E2668" s="2">
        <v>180000</v>
      </c>
      <c r="F2668" t="s">
        <v>4567</v>
      </c>
      <c r="G2668" s="17" t="str">
        <f>HYPERLINK("https://www.washoecounty.gov/assessor/cama/?command=sales&amp;parid=03561311","3938755")</f>
        <v>3938755</v>
      </c>
      <c r="H2668" t="s">
        <v>5477</v>
      </c>
      <c r="I2668">
        <v>1993</v>
      </c>
      <c r="J2668">
        <v>1993</v>
      </c>
      <c r="K2668" t="s">
        <v>4554</v>
      </c>
      <c r="L2668" t="s">
        <v>3974</v>
      </c>
      <c r="M2668" s="2">
        <v>1901</v>
      </c>
      <c r="N2668" t="s">
        <v>3147</v>
      </c>
      <c r="O2668">
        <v>3</v>
      </c>
      <c r="P2668">
        <v>2</v>
      </c>
      <c r="Q2668">
        <v>1</v>
      </c>
      <c r="R2668" t="s">
        <v>4557</v>
      </c>
      <c r="S2668" t="s">
        <v>4558</v>
      </c>
      <c r="T2668" t="s">
        <v>4559</v>
      </c>
      <c r="U2668" t="s">
        <v>4560</v>
      </c>
      <c r="V2668" s="2">
        <v>442</v>
      </c>
      <c r="W2668" t="s">
        <v>4655</v>
      </c>
      <c r="X2668" s="2">
        <v>0</v>
      </c>
      <c r="Y2668">
        <v>20</v>
      </c>
      <c r="Z2668" t="s">
        <v>5200</v>
      </c>
      <c r="AA2668" s="3">
        <v>0.28147381544113198</v>
      </c>
      <c r="AB2668" t="s">
        <v>16063</v>
      </c>
      <c r="AC2668" t="s">
        <v>4575</v>
      </c>
      <c r="AD2668" t="s">
        <v>16062</v>
      </c>
      <c r="AE2668" t="s">
        <v>4655</v>
      </c>
      <c r="AF2668" t="s">
        <v>5201</v>
      </c>
      <c r="AG2668" t="s">
        <v>4564</v>
      </c>
      <c r="AH2668" t="s">
        <v>1605</v>
      </c>
      <c r="AI2668" t="s">
        <v>16064</v>
      </c>
      <c r="AJ2668" t="s">
        <v>5738</v>
      </c>
      <c r="AK2668" t="s">
        <v>16065</v>
      </c>
      <c r="AL2668" s="13" t="s">
        <v>3425</v>
      </c>
      <c r="AM2668" s="14">
        <v>1</v>
      </c>
      <c r="AN2668" s="15" t="s">
        <v>5007</v>
      </c>
    </row>
    <row r="2669" spans="1:40" x14ac:dyDescent="0.3">
      <c r="A2669" s="10" t="str">
        <f>HYPERLINK("http://www.washoecounty.gov/assessor/cama/?parid=035-623-08&amp;CardNumber=1","035-623-08")</f>
        <v>035-623-08</v>
      </c>
      <c r="B2669" t="s">
        <v>4655</v>
      </c>
      <c r="C2669" t="s">
        <v>16066</v>
      </c>
      <c r="D2669" s="1">
        <v>40235</v>
      </c>
      <c r="E2669" s="2">
        <v>189900</v>
      </c>
      <c r="F2669" t="s">
        <v>4553</v>
      </c>
      <c r="G2669" s="17" t="str">
        <f>HYPERLINK("https://www.washoecounty.gov/assessor/cama/?command=sales&amp;parid=03562308","3853293")</f>
        <v>3853293</v>
      </c>
      <c r="H2669" t="s">
        <v>3184</v>
      </c>
      <c r="I2669">
        <v>1995</v>
      </c>
      <c r="J2669">
        <v>1995</v>
      </c>
      <c r="K2669" t="s">
        <v>4554</v>
      </c>
      <c r="L2669" t="s">
        <v>3974</v>
      </c>
      <c r="M2669" s="2">
        <v>1901</v>
      </c>
      <c r="N2669" t="s">
        <v>3147</v>
      </c>
      <c r="O2669">
        <v>3</v>
      </c>
      <c r="P2669">
        <v>2</v>
      </c>
      <c r="Q2669">
        <v>1</v>
      </c>
      <c r="R2669" t="s">
        <v>4557</v>
      </c>
      <c r="S2669" t="s">
        <v>4558</v>
      </c>
      <c r="T2669" t="s">
        <v>4559</v>
      </c>
      <c r="U2669" t="s">
        <v>4560</v>
      </c>
      <c r="V2669" s="2">
        <v>442</v>
      </c>
      <c r="W2669" t="s">
        <v>4655</v>
      </c>
      <c r="X2669" s="2">
        <v>0</v>
      </c>
      <c r="Y2669">
        <v>20</v>
      </c>
      <c r="Z2669" t="s">
        <v>5200</v>
      </c>
      <c r="AA2669" s="3">
        <v>0.205004587769508</v>
      </c>
      <c r="AB2669" t="s">
        <v>16067</v>
      </c>
      <c r="AC2669" t="s">
        <v>4562</v>
      </c>
      <c r="AD2669" t="s">
        <v>16066</v>
      </c>
      <c r="AE2669" t="s">
        <v>4655</v>
      </c>
      <c r="AF2669" t="s">
        <v>5201</v>
      </c>
      <c r="AG2669" t="s">
        <v>4564</v>
      </c>
      <c r="AH2669" t="s">
        <v>1605</v>
      </c>
      <c r="AI2669" t="s">
        <v>16068</v>
      </c>
      <c r="AJ2669" t="s">
        <v>5006</v>
      </c>
      <c r="AK2669" t="s">
        <v>16069</v>
      </c>
      <c r="AL2669" s="13" t="s">
        <v>3425</v>
      </c>
      <c r="AM2669" s="14">
        <v>1</v>
      </c>
      <c r="AN2669" s="15" t="s">
        <v>5007</v>
      </c>
    </row>
    <row r="2670" spans="1:40" x14ac:dyDescent="0.3">
      <c r="A2670" s="10" t="str">
        <f>HYPERLINK("http://www.washoecounty.gov/assessor/cama/?parid=035-651-01&amp;CardNumber=1","035-651-01")</f>
        <v>035-651-01</v>
      </c>
      <c r="B2670" t="s">
        <v>4655</v>
      </c>
      <c r="C2670" t="s">
        <v>16070</v>
      </c>
      <c r="D2670" s="1">
        <v>40345</v>
      </c>
      <c r="E2670" s="2">
        <v>280000</v>
      </c>
      <c r="F2670" t="s">
        <v>2900</v>
      </c>
      <c r="G2670" s="17" t="str">
        <f>HYPERLINK("https://www.washoecounty.gov/assessor/cama/?command=sales&amp;parid=03565101","3892641")</f>
        <v>3892641</v>
      </c>
      <c r="H2670" t="s">
        <v>3922</v>
      </c>
      <c r="I2670">
        <v>0</v>
      </c>
      <c r="J2670">
        <v>0</v>
      </c>
      <c r="K2670" t="s">
        <v>4655</v>
      </c>
      <c r="L2670" t="s">
        <v>4655</v>
      </c>
      <c r="M2670" s="2">
        <v>0</v>
      </c>
      <c r="N2670" t="s">
        <v>4655</v>
      </c>
      <c r="O2670">
        <v>0</v>
      </c>
      <c r="P2670">
        <v>0</v>
      </c>
      <c r="Q2670">
        <v>0</v>
      </c>
      <c r="R2670" t="s">
        <v>4655</v>
      </c>
      <c r="S2670" t="s">
        <v>4655</v>
      </c>
      <c r="T2670" t="s">
        <v>4655</v>
      </c>
      <c r="U2670" t="s">
        <v>4655</v>
      </c>
      <c r="V2670" s="2">
        <v>0</v>
      </c>
      <c r="W2670" t="s">
        <v>4655</v>
      </c>
      <c r="X2670" s="2">
        <v>0</v>
      </c>
      <c r="Y2670">
        <v>12</v>
      </c>
      <c r="Z2670" t="s">
        <v>4830</v>
      </c>
      <c r="AA2670" s="3">
        <v>0.35553258657455444</v>
      </c>
      <c r="AB2670" t="s">
        <v>16071</v>
      </c>
      <c r="AC2670" t="s">
        <v>4562</v>
      </c>
      <c r="AD2670" t="s">
        <v>16072</v>
      </c>
      <c r="AE2670" t="s">
        <v>4655</v>
      </c>
      <c r="AF2670" t="s">
        <v>5201</v>
      </c>
      <c r="AG2670" t="s">
        <v>4564</v>
      </c>
      <c r="AH2670" t="s">
        <v>3609</v>
      </c>
      <c r="AI2670" t="s">
        <v>3923</v>
      </c>
      <c r="AJ2670" t="s">
        <v>3924</v>
      </c>
      <c r="AK2670" t="s">
        <v>16073</v>
      </c>
      <c r="AL2670" s="13" t="s">
        <v>1900</v>
      </c>
      <c r="AM2670">
        <v>0</v>
      </c>
      <c r="AN2670" s="15" t="s">
        <v>4831</v>
      </c>
    </row>
    <row r="2671" spans="1:40" x14ac:dyDescent="0.3">
      <c r="A2671" s="10" t="str">
        <f>HYPERLINK("http://www.washoecounty.gov/assessor/cama/?parid=035-651-05&amp;CardNumber=1","035-651-05")</f>
        <v>035-651-05</v>
      </c>
      <c r="B2671" t="s">
        <v>4655</v>
      </c>
      <c r="C2671" t="s">
        <v>16074</v>
      </c>
      <c r="D2671" s="1">
        <v>40345</v>
      </c>
      <c r="E2671" s="2">
        <v>280000</v>
      </c>
      <c r="F2671" t="s">
        <v>2900</v>
      </c>
      <c r="G2671" s="17" t="str">
        <f>HYPERLINK("https://www.washoecounty.gov/assessor/cama/?command=sales&amp;parid=03565105","3892641")</f>
        <v>3892641</v>
      </c>
      <c r="H2671" t="s">
        <v>3922</v>
      </c>
      <c r="I2671">
        <v>0</v>
      </c>
      <c r="J2671">
        <v>0</v>
      </c>
      <c r="K2671" t="s">
        <v>4655</v>
      </c>
      <c r="L2671" t="s">
        <v>4655</v>
      </c>
      <c r="M2671" s="2">
        <v>0</v>
      </c>
      <c r="N2671" t="s">
        <v>4655</v>
      </c>
      <c r="O2671">
        <v>0</v>
      </c>
      <c r="P2671">
        <v>0</v>
      </c>
      <c r="Q2671">
        <v>0</v>
      </c>
      <c r="R2671" t="s">
        <v>4655</v>
      </c>
      <c r="S2671" t="s">
        <v>4655</v>
      </c>
      <c r="T2671" t="s">
        <v>4655</v>
      </c>
      <c r="U2671" t="s">
        <v>4655</v>
      </c>
      <c r="V2671" s="2">
        <v>0</v>
      </c>
      <c r="W2671" t="s">
        <v>4655</v>
      </c>
      <c r="X2671" s="2">
        <v>0</v>
      </c>
      <c r="Y2671">
        <v>12</v>
      </c>
      <c r="Z2671" t="s">
        <v>4830</v>
      </c>
      <c r="AA2671" s="3">
        <v>0.34696969389915466</v>
      </c>
      <c r="AB2671" t="s">
        <v>16071</v>
      </c>
      <c r="AC2671" t="s">
        <v>4562</v>
      </c>
      <c r="AD2671" t="s">
        <v>16072</v>
      </c>
      <c r="AE2671" t="s">
        <v>4655</v>
      </c>
      <c r="AF2671" t="s">
        <v>5201</v>
      </c>
      <c r="AG2671" t="s">
        <v>4564</v>
      </c>
      <c r="AH2671" t="s">
        <v>3609</v>
      </c>
      <c r="AI2671" t="s">
        <v>3923</v>
      </c>
      <c r="AJ2671" t="s">
        <v>3924</v>
      </c>
      <c r="AK2671" t="s">
        <v>16075</v>
      </c>
      <c r="AL2671" s="13" t="s">
        <v>1900</v>
      </c>
      <c r="AM2671">
        <v>0</v>
      </c>
      <c r="AN2671" s="15" t="s">
        <v>4831</v>
      </c>
    </row>
    <row r="2672" spans="1:40" x14ac:dyDescent="0.3">
      <c r="A2672" s="10" t="str">
        <f>HYPERLINK("http://www.washoecounty.gov/assessor/cama/?parid=035-651-06&amp;CardNumber=1","035-651-06")</f>
        <v>035-651-06</v>
      </c>
      <c r="B2672" t="s">
        <v>4655</v>
      </c>
      <c r="C2672" t="s">
        <v>16076</v>
      </c>
      <c r="D2672" s="1">
        <v>40345</v>
      </c>
      <c r="E2672" s="2">
        <v>280000</v>
      </c>
      <c r="F2672" t="s">
        <v>2900</v>
      </c>
      <c r="G2672" s="17" t="str">
        <f>HYPERLINK("https://www.washoecounty.gov/assessor/cama/?command=sales&amp;parid=03565106","3892641")</f>
        <v>3892641</v>
      </c>
      <c r="H2672" t="s">
        <v>3922</v>
      </c>
      <c r="I2672">
        <v>0</v>
      </c>
      <c r="J2672">
        <v>0</v>
      </c>
      <c r="K2672" t="s">
        <v>4655</v>
      </c>
      <c r="L2672" t="s">
        <v>4655</v>
      </c>
      <c r="M2672" s="2">
        <v>0</v>
      </c>
      <c r="N2672" t="s">
        <v>4655</v>
      </c>
      <c r="O2672">
        <v>0</v>
      </c>
      <c r="P2672">
        <v>0</v>
      </c>
      <c r="Q2672">
        <v>0</v>
      </c>
      <c r="R2672" t="s">
        <v>4655</v>
      </c>
      <c r="S2672" t="s">
        <v>4655</v>
      </c>
      <c r="T2672" t="s">
        <v>4655</v>
      </c>
      <c r="U2672" t="s">
        <v>4655</v>
      </c>
      <c r="V2672" s="2">
        <v>0</v>
      </c>
      <c r="W2672" t="s">
        <v>4655</v>
      </c>
      <c r="X2672" s="2">
        <v>0</v>
      </c>
      <c r="Y2672">
        <v>12</v>
      </c>
      <c r="Z2672" t="s">
        <v>4830</v>
      </c>
      <c r="AA2672" s="3">
        <v>0.36285582184791565</v>
      </c>
      <c r="AB2672" t="s">
        <v>16071</v>
      </c>
      <c r="AC2672" t="s">
        <v>4562</v>
      </c>
      <c r="AD2672" t="s">
        <v>16072</v>
      </c>
      <c r="AE2672" t="s">
        <v>4655</v>
      </c>
      <c r="AF2672" t="s">
        <v>5201</v>
      </c>
      <c r="AG2672" t="s">
        <v>4564</v>
      </c>
      <c r="AH2672" t="s">
        <v>3609</v>
      </c>
      <c r="AI2672" t="s">
        <v>3923</v>
      </c>
      <c r="AJ2672" t="s">
        <v>3924</v>
      </c>
      <c r="AK2672" t="s">
        <v>16077</v>
      </c>
      <c r="AL2672" s="13" t="s">
        <v>1900</v>
      </c>
      <c r="AM2672">
        <v>0</v>
      </c>
      <c r="AN2672" s="15" t="s">
        <v>4831</v>
      </c>
    </row>
    <row r="2673" spans="1:40" x14ac:dyDescent="0.3">
      <c r="A2673" s="10" t="str">
        <f>HYPERLINK("http://www.washoecounty.gov/assessor/cama/?parid=035-651-07&amp;CardNumber=1","035-651-07")</f>
        <v>035-651-07</v>
      </c>
      <c r="B2673" t="s">
        <v>4655</v>
      </c>
      <c r="C2673" t="s">
        <v>16078</v>
      </c>
      <c r="D2673" s="1">
        <v>40345</v>
      </c>
      <c r="E2673" s="2">
        <v>280000</v>
      </c>
      <c r="F2673" t="s">
        <v>2900</v>
      </c>
      <c r="G2673" s="17" t="str">
        <f>HYPERLINK("https://www.washoecounty.gov/assessor/cama/?command=sales&amp;parid=03565107","3892641")</f>
        <v>3892641</v>
      </c>
      <c r="H2673" t="s">
        <v>3922</v>
      </c>
      <c r="I2673">
        <v>0</v>
      </c>
      <c r="J2673">
        <v>0</v>
      </c>
      <c r="K2673" t="s">
        <v>4655</v>
      </c>
      <c r="L2673" t="s">
        <v>4655</v>
      </c>
      <c r="M2673" s="2">
        <v>0</v>
      </c>
      <c r="N2673" t="s">
        <v>4655</v>
      </c>
      <c r="O2673">
        <v>0</v>
      </c>
      <c r="P2673">
        <v>0</v>
      </c>
      <c r="Q2673">
        <v>0</v>
      </c>
      <c r="R2673" t="s">
        <v>4655</v>
      </c>
      <c r="S2673" t="s">
        <v>4655</v>
      </c>
      <c r="T2673" t="s">
        <v>4655</v>
      </c>
      <c r="U2673" t="s">
        <v>4655</v>
      </c>
      <c r="V2673" s="2">
        <v>0</v>
      </c>
      <c r="W2673" t="s">
        <v>4655</v>
      </c>
      <c r="X2673" s="2">
        <v>0</v>
      </c>
      <c r="Y2673">
        <v>12</v>
      </c>
      <c r="Z2673" t="s">
        <v>4830</v>
      </c>
      <c r="AA2673" s="3">
        <v>0.401652902364731</v>
      </c>
      <c r="AB2673" t="s">
        <v>16071</v>
      </c>
      <c r="AC2673" t="s">
        <v>4562</v>
      </c>
      <c r="AD2673" t="s">
        <v>16072</v>
      </c>
      <c r="AE2673" t="s">
        <v>4655</v>
      </c>
      <c r="AF2673" t="s">
        <v>5201</v>
      </c>
      <c r="AG2673" t="s">
        <v>4564</v>
      </c>
      <c r="AH2673" t="s">
        <v>3609</v>
      </c>
      <c r="AI2673" t="s">
        <v>3923</v>
      </c>
      <c r="AJ2673" t="s">
        <v>3924</v>
      </c>
      <c r="AK2673" t="s">
        <v>16079</v>
      </c>
      <c r="AL2673" s="13" t="s">
        <v>1900</v>
      </c>
      <c r="AM2673">
        <v>0</v>
      </c>
      <c r="AN2673" s="15" t="s">
        <v>4831</v>
      </c>
    </row>
    <row r="2674" spans="1:40" x14ac:dyDescent="0.3">
      <c r="A2674" s="10" t="str">
        <f>HYPERLINK("http://www.washoecounty.gov/assessor/cama/?parid=035-651-08&amp;CardNumber=1","035-651-08")</f>
        <v>035-651-08</v>
      </c>
      <c r="B2674" t="s">
        <v>4655</v>
      </c>
      <c r="C2674" t="s">
        <v>16080</v>
      </c>
      <c r="D2674" s="1">
        <v>40345</v>
      </c>
      <c r="E2674" s="2">
        <v>280000</v>
      </c>
      <c r="F2674" t="s">
        <v>2900</v>
      </c>
      <c r="G2674" s="17" t="str">
        <f>HYPERLINK("https://www.washoecounty.gov/assessor/cama/?command=sales&amp;parid=03565108","3892641")</f>
        <v>3892641</v>
      </c>
      <c r="H2674" t="s">
        <v>3922</v>
      </c>
      <c r="I2674">
        <v>0</v>
      </c>
      <c r="J2674">
        <v>0</v>
      </c>
      <c r="K2674" t="s">
        <v>4655</v>
      </c>
      <c r="L2674" t="s">
        <v>4655</v>
      </c>
      <c r="M2674" s="2">
        <v>0</v>
      </c>
      <c r="N2674" t="s">
        <v>4655</v>
      </c>
      <c r="O2674">
        <v>0</v>
      </c>
      <c r="P2674">
        <v>0</v>
      </c>
      <c r="Q2674">
        <v>0</v>
      </c>
      <c r="R2674" t="s">
        <v>4655</v>
      </c>
      <c r="S2674" t="s">
        <v>4655</v>
      </c>
      <c r="T2674" t="s">
        <v>4655</v>
      </c>
      <c r="U2674" t="s">
        <v>4655</v>
      </c>
      <c r="V2674" s="2">
        <v>0</v>
      </c>
      <c r="W2674" t="s">
        <v>4655</v>
      </c>
      <c r="X2674" s="2">
        <v>0</v>
      </c>
      <c r="Y2674">
        <v>12</v>
      </c>
      <c r="Z2674" t="s">
        <v>4830</v>
      </c>
      <c r="AA2674" s="3">
        <v>0.35812672972679099</v>
      </c>
      <c r="AB2674" t="s">
        <v>16071</v>
      </c>
      <c r="AC2674" t="s">
        <v>4562</v>
      </c>
      <c r="AD2674" t="s">
        <v>16072</v>
      </c>
      <c r="AE2674" t="s">
        <v>4655</v>
      </c>
      <c r="AF2674" t="s">
        <v>5201</v>
      </c>
      <c r="AG2674" t="s">
        <v>4564</v>
      </c>
      <c r="AH2674" t="s">
        <v>3609</v>
      </c>
      <c r="AI2674" t="s">
        <v>3923</v>
      </c>
      <c r="AJ2674" t="s">
        <v>3924</v>
      </c>
      <c r="AK2674" t="s">
        <v>16081</v>
      </c>
      <c r="AL2674" s="13" t="s">
        <v>1900</v>
      </c>
      <c r="AM2674">
        <v>0</v>
      </c>
      <c r="AN2674" s="15" t="s">
        <v>4831</v>
      </c>
    </row>
    <row r="2675" spans="1:40" x14ac:dyDescent="0.3">
      <c r="A2675" s="10" t="str">
        <f>HYPERLINK("http://www.washoecounty.gov/assessor/cama/?parid=035-651-09&amp;CardNumber=1","035-651-09")</f>
        <v>035-651-09</v>
      </c>
      <c r="B2675" t="s">
        <v>4655</v>
      </c>
      <c r="C2675" t="s">
        <v>16082</v>
      </c>
      <c r="D2675" s="1">
        <v>40345</v>
      </c>
      <c r="E2675" s="2">
        <v>280000</v>
      </c>
      <c r="F2675" t="s">
        <v>2900</v>
      </c>
      <c r="G2675" s="17" t="str">
        <f>HYPERLINK("https://www.washoecounty.gov/assessor/cama/?command=sales&amp;parid=03565109","3892641")</f>
        <v>3892641</v>
      </c>
      <c r="H2675" t="s">
        <v>3922</v>
      </c>
      <c r="I2675">
        <v>0</v>
      </c>
      <c r="J2675">
        <v>0</v>
      </c>
      <c r="K2675" t="s">
        <v>4655</v>
      </c>
      <c r="L2675" t="s">
        <v>4655</v>
      </c>
      <c r="M2675" s="2">
        <v>0</v>
      </c>
      <c r="N2675" t="s">
        <v>4655</v>
      </c>
      <c r="O2675">
        <v>0</v>
      </c>
      <c r="P2675">
        <v>0</v>
      </c>
      <c r="Q2675">
        <v>0</v>
      </c>
      <c r="R2675" t="s">
        <v>4655</v>
      </c>
      <c r="S2675" t="s">
        <v>4655</v>
      </c>
      <c r="T2675" t="s">
        <v>4655</v>
      </c>
      <c r="U2675" t="s">
        <v>4655</v>
      </c>
      <c r="V2675" s="2">
        <v>0</v>
      </c>
      <c r="W2675" t="s">
        <v>4655</v>
      </c>
      <c r="X2675" s="2">
        <v>0</v>
      </c>
      <c r="Y2675">
        <v>12</v>
      </c>
      <c r="Z2675" t="s">
        <v>4830</v>
      </c>
      <c r="AA2675" s="3">
        <v>0.34536272287368774</v>
      </c>
      <c r="AB2675" t="s">
        <v>16071</v>
      </c>
      <c r="AC2675" t="s">
        <v>4562</v>
      </c>
      <c r="AD2675" t="s">
        <v>16072</v>
      </c>
      <c r="AE2675" t="s">
        <v>4655</v>
      </c>
      <c r="AF2675" t="s">
        <v>5201</v>
      </c>
      <c r="AG2675" t="s">
        <v>4564</v>
      </c>
      <c r="AH2675" t="s">
        <v>3609</v>
      </c>
      <c r="AI2675" t="s">
        <v>3923</v>
      </c>
      <c r="AJ2675" t="s">
        <v>3924</v>
      </c>
      <c r="AK2675" t="s">
        <v>16083</v>
      </c>
      <c r="AL2675" s="13" t="s">
        <v>1900</v>
      </c>
      <c r="AM2675" s="14">
        <v>0</v>
      </c>
      <c r="AN2675" s="15" t="s">
        <v>4831</v>
      </c>
    </row>
    <row r="2676" spans="1:40" x14ac:dyDescent="0.3">
      <c r="A2676" s="10" t="str">
        <f>HYPERLINK("http://www.washoecounty.gov/assessor/cama/?parid=035-651-10&amp;CardNumber=1","035-651-10")</f>
        <v>035-651-10</v>
      </c>
      <c r="B2676" t="s">
        <v>4655</v>
      </c>
      <c r="C2676" t="s">
        <v>16084</v>
      </c>
      <c r="D2676" s="1">
        <v>40291</v>
      </c>
      <c r="E2676" s="2">
        <v>40000</v>
      </c>
      <c r="F2676" t="s">
        <v>4187</v>
      </c>
      <c r="G2676" s="17" t="str">
        <f>HYPERLINK("https://www.washoecounty.gov/assessor/cama/?command=sales&amp;parid=03565110","3874023")</f>
        <v>3874023</v>
      </c>
      <c r="H2676" t="s">
        <v>3922</v>
      </c>
      <c r="I2676">
        <v>0</v>
      </c>
      <c r="J2676">
        <v>0</v>
      </c>
      <c r="K2676" t="s">
        <v>4655</v>
      </c>
      <c r="L2676" t="s">
        <v>4655</v>
      </c>
      <c r="M2676" s="2">
        <v>0</v>
      </c>
      <c r="N2676" t="s">
        <v>4655</v>
      </c>
      <c r="O2676">
        <v>0</v>
      </c>
      <c r="P2676">
        <v>0</v>
      </c>
      <c r="Q2676">
        <v>0</v>
      </c>
      <c r="R2676" t="s">
        <v>4655</v>
      </c>
      <c r="S2676" t="s">
        <v>4655</v>
      </c>
      <c r="T2676" t="s">
        <v>4655</v>
      </c>
      <c r="U2676" t="s">
        <v>4655</v>
      </c>
      <c r="V2676" s="2">
        <v>0</v>
      </c>
      <c r="W2676" t="s">
        <v>4655</v>
      </c>
      <c r="X2676" s="2">
        <v>0</v>
      </c>
      <c r="Y2676">
        <v>12</v>
      </c>
      <c r="Z2676" t="s">
        <v>4830</v>
      </c>
      <c r="AA2676" s="3">
        <v>0.344628095626831</v>
      </c>
      <c r="AB2676" t="s">
        <v>16085</v>
      </c>
      <c r="AC2676" t="s">
        <v>4562</v>
      </c>
      <c r="AD2676" t="s">
        <v>16086</v>
      </c>
      <c r="AE2676" t="s">
        <v>4655</v>
      </c>
      <c r="AF2676" t="s">
        <v>5201</v>
      </c>
      <c r="AG2676" t="s">
        <v>4564</v>
      </c>
      <c r="AH2676" t="s">
        <v>1605</v>
      </c>
      <c r="AI2676" t="s">
        <v>3923</v>
      </c>
      <c r="AJ2676" t="s">
        <v>3924</v>
      </c>
      <c r="AK2676" t="s">
        <v>16087</v>
      </c>
      <c r="AL2676" s="13" t="s">
        <v>1900</v>
      </c>
      <c r="AM2676" s="14">
        <v>0</v>
      </c>
      <c r="AN2676" s="15" t="s">
        <v>4831</v>
      </c>
    </row>
    <row r="2677" spans="1:40" x14ac:dyDescent="0.3">
      <c r="A2677" s="10" t="str">
        <f>HYPERLINK("http://www.washoecounty.gov/assessor/cama/?parid=035-651-13&amp;CardNumber=1","035-651-13")</f>
        <v>035-651-13</v>
      </c>
      <c r="B2677" t="s">
        <v>4655</v>
      </c>
      <c r="C2677" t="s">
        <v>16088</v>
      </c>
      <c r="D2677" s="1">
        <v>40345</v>
      </c>
      <c r="E2677" s="2">
        <v>280000</v>
      </c>
      <c r="F2677" t="s">
        <v>2900</v>
      </c>
      <c r="G2677" s="17" t="str">
        <f>HYPERLINK("https://www.washoecounty.gov/assessor/cama/?command=sales&amp;parid=03565113","3892641")</f>
        <v>3892641</v>
      </c>
      <c r="H2677" t="s">
        <v>3922</v>
      </c>
      <c r="I2677">
        <v>0</v>
      </c>
      <c r="J2677">
        <v>0</v>
      </c>
      <c r="K2677" t="s">
        <v>4655</v>
      </c>
      <c r="L2677" t="s">
        <v>4655</v>
      </c>
      <c r="M2677" s="2">
        <v>0</v>
      </c>
      <c r="N2677" t="s">
        <v>4655</v>
      </c>
      <c r="O2677">
        <v>0</v>
      </c>
      <c r="P2677">
        <v>0</v>
      </c>
      <c r="Q2677">
        <v>0</v>
      </c>
      <c r="R2677" t="s">
        <v>4655</v>
      </c>
      <c r="S2677" t="s">
        <v>4655</v>
      </c>
      <c r="T2677" t="s">
        <v>4655</v>
      </c>
      <c r="U2677" t="s">
        <v>4655</v>
      </c>
      <c r="V2677" s="2">
        <v>0</v>
      </c>
      <c r="W2677" t="s">
        <v>4655</v>
      </c>
      <c r="X2677" s="2">
        <v>0</v>
      </c>
      <c r="Y2677">
        <v>12</v>
      </c>
      <c r="Z2677" t="s">
        <v>4830</v>
      </c>
      <c r="AA2677" s="3">
        <v>0.34499540925025901</v>
      </c>
      <c r="AB2677" t="s">
        <v>16071</v>
      </c>
      <c r="AC2677" t="s">
        <v>4562</v>
      </c>
      <c r="AD2677" t="s">
        <v>16072</v>
      </c>
      <c r="AE2677" t="s">
        <v>4655</v>
      </c>
      <c r="AF2677" t="s">
        <v>5201</v>
      </c>
      <c r="AG2677" t="s">
        <v>4564</v>
      </c>
      <c r="AH2677" t="s">
        <v>3609</v>
      </c>
      <c r="AI2677" t="s">
        <v>3923</v>
      </c>
      <c r="AJ2677" t="s">
        <v>3924</v>
      </c>
      <c r="AK2677" t="s">
        <v>16089</v>
      </c>
      <c r="AL2677" s="13" t="s">
        <v>1900</v>
      </c>
      <c r="AM2677">
        <v>0</v>
      </c>
      <c r="AN2677" s="15" t="s">
        <v>4831</v>
      </c>
    </row>
    <row r="2678" spans="1:40" x14ac:dyDescent="0.3">
      <c r="A2678" s="10" t="str">
        <f>HYPERLINK("http://www.washoecounty.gov/assessor/cama/?parid=035-651-14&amp;CardNumber=1","035-651-14")</f>
        <v>035-651-14</v>
      </c>
      <c r="B2678" t="s">
        <v>4655</v>
      </c>
      <c r="C2678" t="s">
        <v>16090</v>
      </c>
      <c r="D2678" s="1">
        <v>40345</v>
      </c>
      <c r="E2678" s="2">
        <v>280000</v>
      </c>
      <c r="F2678" t="s">
        <v>2900</v>
      </c>
      <c r="G2678" s="17" t="str">
        <f>HYPERLINK("https://www.washoecounty.gov/assessor/cama/?command=sales&amp;parid=03565114","3892641")</f>
        <v>3892641</v>
      </c>
      <c r="H2678" t="s">
        <v>3922</v>
      </c>
      <c r="I2678">
        <v>0</v>
      </c>
      <c r="J2678">
        <v>0</v>
      </c>
      <c r="K2678" t="s">
        <v>4655</v>
      </c>
      <c r="L2678" t="s">
        <v>4655</v>
      </c>
      <c r="M2678" s="2">
        <v>0</v>
      </c>
      <c r="N2678" t="s">
        <v>4655</v>
      </c>
      <c r="O2678">
        <v>0</v>
      </c>
      <c r="P2678">
        <v>0</v>
      </c>
      <c r="Q2678">
        <v>0</v>
      </c>
      <c r="R2678" t="s">
        <v>4655</v>
      </c>
      <c r="S2678" t="s">
        <v>4655</v>
      </c>
      <c r="T2678" t="s">
        <v>4655</v>
      </c>
      <c r="U2678" t="s">
        <v>4655</v>
      </c>
      <c r="V2678" s="2">
        <v>0</v>
      </c>
      <c r="W2678" t="s">
        <v>4655</v>
      </c>
      <c r="X2678" s="2">
        <v>0</v>
      </c>
      <c r="Y2678">
        <v>12</v>
      </c>
      <c r="Z2678" t="s">
        <v>4830</v>
      </c>
      <c r="AA2678" s="3">
        <v>0.38438934087753301</v>
      </c>
      <c r="AB2678" t="s">
        <v>16071</v>
      </c>
      <c r="AC2678" t="s">
        <v>4562</v>
      </c>
      <c r="AD2678" t="s">
        <v>16072</v>
      </c>
      <c r="AE2678" t="s">
        <v>4655</v>
      </c>
      <c r="AF2678" t="s">
        <v>5201</v>
      </c>
      <c r="AG2678" t="s">
        <v>4564</v>
      </c>
      <c r="AH2678" t="s">
        <v>3609</v>
      </c>
      <c r="AI2678" t="s">
        <v>3923</v>
      </c>
      <c r="AJ2678" t="s">
        <v>3924</v>
      </c>
      <c r="AK2678" t="s">
        <v>16091</v>
      </c>
      <c r="AL2678" s="13" t="s">
        <v>1900</v>
      </c>
      <c r="AM2678">
        <v>0</v>
      </c>
      <c r="AN2678" s="15" t="s">
        <v>4831</v>
      </c>
    </row>
    <row r="2679" spans="1:40" x14ac:dyDescent="0.3">
      <c r="A2679" s="10" t="str">
        <f>HYPERLINK("http://www.washoecounty.gov/assessor/cama/?parid=036-041-05&amp;CardNumber=1","036-041-05")</f>
        <v>036-041-05</v>
      </c>
      <c r="B2679" t="s">
        <v>4655</v>
      </c>
      <c r="C2679" t="s">
        <v>16092</v>
      </c>
      <c r="D2679" s="1">
        <v>40322</v>
      </c>
      <c r="E2679" s="2">
        <v>120000</v>
      </c>
      <c r="F2679" t="s">
        <v>4553</v>
      </c>
      <c r="G2679" s="17" t="str">
        <f>HYPERLINK("https://www.washoecounty.gov/assessor/cama/?command=sales&amp;parid=03604105","3884146")</f>
        <v>3884146</v>
      </c>
      <c r="H2679" t="s">
        <v>4660</v>
      </c>
      <c r="I2679">
        <v>1973</v>
      </c>
      <c r="J2679">
        <v>1973</v>
      </c>
      <c r="K2679" t="s">
        <v>4554</v>
      </c>
      <c r="L2679" t="s">
        <v>2170</v>
      </c>
      <c r="M2679" s="2">
        <v>1902</v>
      </c>
      <c r="N2679" t="s">
        <v>4048</v>
      </c>
      <c r="O2679">
        <v>3</v>
      </c>
      <c r="P2679">
        <v>2</v>
      </c>
      <c r="Q2679">
        <v>1</v>
      </c>
      <c r="R2679" t="s">
        <v>4557</v>
      </c>
      <c r="S2679" t="s">
        <v>4574</v>
      </c>
      <c r="T2679" t="s">
        <v>4559</v>
      </c>
      <c r="U2679" t="s">
        <v>5631</v>
      </c>
      <c r="V2679" s="2">
        <v>504</v>
      </c>
      <c r="W2679" t="s">
        <v>4655</v>
      </c>
      <c r="X2679" s="2">
        <v>0</v>
      </c>
      <c r="Y2679">
        <v>20</v>
      </c>
      <c r="Z2679" t="s">
        <v>5200</v>
      </c>
      <c r="AA2679" s="3">
        <v>0.14400826394558</v>
      </c>
      <c r="AB2679" t="s">
        <v>16093</v>
      </c>
      <c r="AC2679" t="s">
        <v>4562</v>
      </c>
      <c r="AD2679" t="s">
        <v>16094</v>
      </c>
      <c r="AE2679" t="s">
        <v>4655</v>
      </c>
      <c r="AF2679" t="s">
        <v>5201</v>
      </c>
      <c r="AG2679" t="s">
        <v>4564</v>
      </c>
      <c r="AH2679" t="s">
        <v>3898</v>
      </c>
      <c r="AI2679" t="s">
        <v>4585</v>
      </c>
      <c r="AJ2679" t="s">
        <v>4655</v>
      </c>
      <c r="AK2679" t="s">
        <v>16095</v>
      </c>
      <c r="AL2679" s="13" t="s">
        <v>1886</v>
      </c>
      <c r="AM2679" s="14">
        <v>1</v>
      </c>
      <c r="AN2679" s="15" t="s">
        <v>3439</v>
      </c>
    </row>
    <row r="2680" spans="1:40" x14ac:dyDescent="0.3">
      <c r="A2680" s="10" t="str">
        <f>HYPERLINK("http://www.washoecounty.gov/assessor/cama/?parid=036-044-26&amp;CardNumber=1","036-044-26")</f>
        <v>036-044-26</v>
      </c>
      <c r="B2680" t="s">
        <v>4655</v>
      </c>
      <c r="C2680" t="s">
        <v>16096</v>
      </c>
      <c r="D2680" s="1">
        <v>40409</v>
      </c>
      <c r="E2680" s="2">
        <v>132500</v>
      </c>
      <c r="F2680" t="s">
        <v>4553</v>
      </c>
      <c r="G2680" s="17" t="str">
        <f>HYPERLINK("https://www.washoecounty.gov/assessor/cama/?command=sales&amp;parid=03604426","3913588")</f>
        <v>3913588</v>
      </c>
      <c r="H2680" t="s">
        <v>4660</v>
      </c>
      <c r="I2680">
        <v>1973</v>
      </c>
      <c r="J2680">
        <v>1973</v>
      </c>
      <c r="K2680" t="s">
        <v>4554</v>
      </c>
      <c r="L2680" t="s">
        <v>4555</v>
      </c>
      <c r="M2680" s="2">
        <v>1361</v>
      </c>
      <c r="N2680" t="s">
        <v>4048</v>
      </c>
      <c r="O2680">
        <v>4</v>
      </c>
      <c r="P2680">
        <v>2</v>
      </c>
      <c r="Q2680">
        <v>0</v>
      </c>
      <c r="R2680" t="s">
        <v>4557</v>
      </c>
      <c r="S2680" t="s">
        <v>4135</v>
      </c>
      <c r="T2680" t="s">
        <v>4559</v>
      </c>
      <c r="U2680" t="s">
        <v>4560</v>
      </c>
      <c r="V2680" s="2">
        <v>547</v>
      </c>
      <c r="W2680" t="s">
        <v>4655</v>
      </c>
      <c r="X2680" s="2">
        <v>0</v>
      </c>
      <c r="Y2680">
        <v>20</v>
      </c>
      <c r="Z2680" t="s">
        <v>5200</v>
      </c>
      <c r="AA2680" s="3">
        <v>0.20300734043121299</v>
      </c>
      <c r="AB2680" t="s">
        <v>4673</v>
      </c>
      <c r="AC2680" t="s">
        <v>4562</v>
      </c>
      <c r="AD2680" t="s">
        <v>3093</v>
      </c>
      <c r="AE2680" t="s">
        <v>4655</v>
      </c>
      <c r="AF2680" t="s">
        <v>4563</v>
      </c>
      <c r="AG2680" t="s">
        <v>4564</v>
      </c>
      <c r="AH2680">
        <v>89512</v>
      </c>
      <c r="AI2680" t="s">
        <v>4565</v>
      </c>
      <c r="AJ2680" t="s">
        <v>4655</v>
      </c>
      <c r="AK2680" t="s">
        <v>16097</v>
      </c>
      <c r="AL2680" s="13" t="s">
        <v>1886</v>
      </c>
      <c r="AM2680" s="14">
        <v>1</v>
      </c>
      <c r="AN2680" s="15" t="s">
        <v>3439</v>
      </c>
    </row>
    <row r="2681" spans="1:40" x14ac:dyDescent="0.3">
      <c r="A2681" s="10" t="str">
        <f>HYPERLINK("http://www.washoecounty.gov/assessor/cama/?parid=036-045-10&amp;CardNumber=1","036-045-10")</f>
        <v>036-045-10</v>
      </c>
      <c r="B2681" t="s">
        <v>4655</v>
      </c>
      <c r="C2681" t="s">
        <v>16098</v>
      </c>
      <c r="D2681" s="1">
        <v>40402</v>
      </c>
      <c r="E2681" s="2">
        <v>125000</v>
      </c>
      <c r="F2681" t="s">
        <v>4553</v>
      </c>
      <c r="G2681" s="17" t="str">
        <f>HYPERLINK("https://www.washoecounty.gov/assessor/cama/?command=sales&amp;parid=03604510","3911045")</f>
        <v>3911045</v>
      </c>
      <c r="H2681" t="s">
        <v>4660</v>
      </c>
      <c r="I2681">
        <v>1973</v>
      </c>
      <c r="J2681">
        <v>1973</v>
      </c>
      <c r="K2681" t="s">
        <v>4554</v>
      </c>
      <c r="L2681" t="s">
        <v>4555</v>
      </c>
      <c r="M2681" s="2">
        <v>1333</v>
      </c>
      <c r="N2681" t="s">
        <v>4048</v>
      </c>
      <c r="O2681">
        <v>3</v>
      </c>
      <c r="P2681">
        <v>2</v>
      </c>
      <c r="Q2681">
        <v>0</v>
      </c>
      <c r="R2681" t="s">
        <v>5281</v>
      </c>
      <c r="S2681" t="s">
        <v>4135</v>
      </c>
      <c r="T2681" t="s">
        <v>4559</v>
      </c>
      <c r="U2681" t="s">
        <v>4560</v>
      </c>
      <c r="V2681" s="2">
        <v>483</v>
      </c>
      <c r="W2681" t="s">
        <v>4655</v>
      </c>
      <c r="X2681" s="2">
        <v>0</v>
      </c>
      <c r="Y2681">
        <v>20</v>
      </c>
      <c r="Z2681" t="s">
        <v>5200</v>
      </c>
      <c r="AA2681" s="3">
        <v>0.14400826394558</v>
      </c>
      <c r="AB2681" t="s">
        <v>4673</v>
      </c>
      <c r="AC2681" t="s">
        <v>4562</v>
      </c>
      <c r="AD2681" t="s">
        <v>3093</v>
      </c>
      <c r="AE2681" t="s">
        <v>4655</v>
      </c>
      <c r="AF2681" t="s">
        <v>4563</v>
      </c>
      <c r="AG2681" t="s">
        <v>4564</v>
      </c>
      <c r="AH2681">
        <v>89512</v>
      </c>
      <c r="AI2681" t="s">
        <v>4848</v>
      </c>
      <c r="AJ2681" t="s">
        <v>4655</v>
      </c>
      <c r="AK2681" t="s">
        <v>16099</v>
      </c>
      <c r="AL2681" s="13" t="s">
        <v>1886</v>
      </c>
      <c r="AM2681">
        <v>1</v>
      </c>
      <c r="AN2681" s="15" t="s">
        <v>3439</v>
      </c>
    </row>
    <row r="2682" spans="1:40" x14ac:dyDescent="0.3">
      <c r="A2682" s="10" t="str">
        <f>HYPERLINK("http://www.washoecounty.gov/assessor/cama/?parid=036-047-10&amp;CardNumber=1","036-047-10")</f>
        <v>036-047-10</v>
      </c>
      <c r="B2682" t="s">
        <v>4655</v>
      </c>
      <c r="C2682" t="s">
        <v>16100</v>
      </c>
      <c r="D2682" s="1">
        <v>40479</v>
      </c>
      <c r="E2682" s="2">
        <v>152000</v>
      </c>
      <c r="F2682" t="s">
        <v>4567</v>
      </c>
      <c r="G2682" s="17" t="str">
        <f>HYPERLINK("https://www.washoecounty.gov/assessor/cama/?command=sales&amp;parid=03604710","3937714")</f>
        <v>3937714</v>
      </c>
      <c r="H2682" t="s">
        <v>4660</v>
      </c>
      <c r="I2682">
        <v>1973</v>
      </c>
      <c r="J2682">
        <v>1973</v>
      </c>
      <c r="K2682" t="s">
        <v>4554</v>
      </c>
      <c r="L2682" t="s">
        <v>2170</v>
      </c>
      <c r="M2682" s="2">
        <v>1902</v>
      </c>
      <c r="N2682" t="s">
        <v>4048</v>
      </c>
      <c r="O2682">
        <v>3</v>
      </c>
      <c r="P2682">
        <v>2</v>
      </c>
      <c r="Q2682">
        <v>1</v>
      </c>
      <c r="R2682" t="s">
        <v>4557</v>
      </c>
      <c r="S2682" t="s">
        <v>4135</v>
      </c>
      <c r="T2682" t="s">
        <v>4559</v>
      </c>
      <c r="U2682" t="s">
        <v>5631</v>
      </c>
      <c r="V2682" s="2">
        <v>504</v>
      </c>
      <c r="W2682" t="s">
        <v>4655</v>
      </c>
      <c r="X2682" s="2">
        <v>0</v>
      </c>
      <c r="Y2682">
        <v>20</v>
      </c>
      <c r="Z2682" t="s">
        <v>5200</v>
      </c>
      <c r="AA2682" s="3">
        <v>0.14499540627002699</v>
      </c>
      <c r="AB2682" t="s">
        <v>16101</v>
      </c>
      <c r="AC2682" t="s">
        <v>4562</v>
      </c>
      <c r="AD2682" t="s">
        <v>16100</v>
      </c>
      <c r="AE2682" t="s">
        <v>4655</v>
      </c>
      <c r="AF2682" t="s">
        <v>5201</v>
      </c>
      <c r="AG2682" t="s">
        <v>4564</v>
      </c>
      <c r="AH2682" t="s">
        <v>3898</v>
      </c>
      <c r="AI2682" t="s">
        <v>16102</v>
      </c>
      <c r="AJ2682" t="s">
        <v>4655</v>
      </c>
      <c r="AK2682" t="s">
        <v>16103</v>
      </c>
      <c r="AL2682" s="13" t="s">
        <v>1886</v>
      </c>
      <c r="AM2682">
        <v>1</v>
      </c>
      <c r="AN2682" s="15" t="s">
        <v>3439</v>
      </c>
    </row>
    <row r="2683" spans="1:40" x14ac:dyDescent="0.3">
      <c r="A2683" s="10" t="str">
        <f>HYPERLINK("http://www.washoecounty.gov/assessor/cama/?parid=036-052-09&amp;CardNumber=1","036-052-09")</f>
        <v>036-052-09</v>
      </c>
      <c r="B2683" t="s">
        <v>4655</v>
      </c>
      <c r="C2683" t="s">
        <v>16104</v>
      </c>
      <c r="D2683" s="1">
        <v>40526</v>
      </c>
      <c r="E2683" s="2">
        <v>120000</v>
      </c>
      <c r="F2683" t="s">
        <v>4567</v>
      </c>
      <c r="G2683" s="17" t="str">
        <f>HYPERLINK("https://www.washoecounty.gov/assessor/cama/?command=sales&amp;parid=03605209","3953327")</f>
        <v>3953327</v>
      </c>
      <c r="H2683" t="s">
        <v>3787</v>
      </c>
      <c r="I2683">
        <v>1972</v>
      </c>
      <c r="J2683">
        <v>1972</v>
      </c>
      <c r="K2683" t="s">
        <v>4554</v>
      </c>
      <c r="L2683" t="s">
        <v>2170</v>
      </c>
      <c r="M2683" s="2">
        <v>1650</v>
      </c>
      <c r="N2683" t="s">
        <v>4048</v>
      </c>
      <c r="O2683">
        <v>4</v>
      </c>
      <c r="P2683">
        <v>2</v>
      </c>
      <c r="Q2683">
        <v>0</v>
      </c>
      <c r="R2683" t="s">
        <v>4557</v>
      </c>
      <c r="S2683" t="s">
        <v>4135</v>
      </c>
      <c r="T2683" t="s">
        <v>4559</v>
      </c>
      <c r="U2683" t="s">
        <v>4560</v>
      </c>
      <c r="V2683" s="2">
        <v>455</v>
      </c>
      <c r="W2683" t="s">
        <v>4655</v>
      </c>
      <c r="X2683" s="2">
        <v>0</v>
      </c>
      <c r="Y2683">
        <v>20</v>
      </c>
      <c r="Z2683" t="s">
        <v>5200</v>
      </c>
      <c r="AA2683" s="3">
        <v>0.16499081254005399</v>
      </c>
      <c r="AB2683" t="s">
        <v>16105</v>
      </c>
      <c r="AC2683" t="s">
        <v>4575</v>
      </c>
      <c r="AD2683" t="s">
        <v>16104</v>
      </c>
      <c r="AE2683" t="s">
        <v>4655</v>
      </c>
      <c r="AF2683" t="s">
        <v>5201</v>
      </c>
      <c r="AG2683" t="s">
        <v>4564</v>
      </c>
      <c r="AH2683" t="s">
        <v>3898</v>
      </c>
      <c r="AI2683" t="s">
        <v>16106</v>
      </c>
      <c r="AJ2683" t="s">
        <v>4655</v>
      </c>
      <c r="AK2683" t="s">
        <v>16107</v>
      </c>
      <c r="AL2683" s="13" t="s">
        <v>1886</v>
      </c>
      <c r="AM2683">
        <v>1</v>
      </c>
      <c r="AN2683" s="15" t="s">
        <v>3439</v>
      </c>
    </row>
    <row r="2684" spans="1:40" x14ac:dyDescent="0.3">
      <c r="A2684" s="10" t="str">
        <f>HYPERLINK("http://www.washoecounty.gov/assessor/cama/?parid=036-061-06&amp;CardNumber=1","036-061-06")</f>
        <v>036-061-06</v>
      </c>
      <c r="B2684" t="s">
        <v>4655</v>
      </c>
      <c r="C2684" t="s">
        <v>16108</v>
      </c>
      <c r="D2684" s="1">
        <v>40492</v>
      </c>
      <c r="E2684" s="2">
        <v>135500</v>
      </c>
      <c r="F2684" t="s">
        <v>4567</v>
      </c>
      <c r="G2684" s="17" t="str">
        <f>HYPERLINK("https://www.washoecounty.gov/assessor/cama/?command=sales&amp;parid=03606106","3941956")</f>
        <v>3941956</v>
      </c>
      <c r="H2684" t="s">
        <v>4806</v>
      </c>
      <c r="I2684">
        <v>1972</v>
      </c>
      <c r="J2684">
        <v>1972</v>
      </c>
      <c r="K2684" t="s">
        <v>4554</v>
      </c>
      <c r="L2684" t="s">
        <v>4555</v>
      </c>
      <c r="M2684" s="2">
        <v>1403</v>
      </c>
      <c r="N2684" t="s">
        <v>4048</v>
      </c>
      <c r="O2684">
        <v>4</v>
      </c>
      <c r="P2684">
        <v>2</v>
      </c>
      <c r="Q2684">
        <v>0</v>
      </c>
      <c r="R2684" t="s">
        <v>4557</v>
      </c>
      <c r="S2684" t="s">
        <v>4558</v>
      </c>
      <c r="T2684" t="s">
        <v>4559</v>
      </c>
      <c r="U2684" t="s">
        <v>4560</v>
      </c>
      <c r="V2684" s="2">
        <v>412</v>
      </c>
      <c r="W2684" t="s">
        <v>4655</v>
      </c>
      <c r="X2684" s="2">
        <v>0</v>
      </c>
      <c r="Y2684">
        <v>20</v>
      </c>
      <c r="Z2684" t="s">
        <v>5200</v>
      </c>
      <c r="AA2684" s="3">
        <v>0.13700643181800801</v>
      </c>
      <c r="AB2684" t="s">
        <v>4673</v>
      </c>
      <c r="AC2684" t="s">
        <v>4562</v>
      </c>
      <c r="AD2684" t="s">
        <v>3093</v>
      </c>
      <c r="AE2684" t="s">
        <v>4655</v>
      </c>
      <c r="AF2684" t="s">
        <v>4563</v>
      </c>
      <c r="AG2684" t="s">
        <v>4564</v>
      </c>
      <c r="AH2684">
        <v>89512</v>
      </c>
      <c r="AI2684" t="s">
        <v>16109</v>
      </c>
      <c r="AJ2684" t="s">
        <v>4655</v>
      </c>
      <c r="AK2684" t="s">
        <v>16110</v>
      </c>
      <c r="AL2684" s="13" t="s">
        <v>1886</v>
      </c>
      <c r="AM2684">
        <v>1</v>
      </c>
      <c r="AN2684" s="15" t="s">
        <v>3439</v>
      </c>
    </row>
    <row r="2685" spans="1:40" x14ac:dyDescent="0.3">
      <c r="A2685" s="10" t="str">
        <f>HYPERLINK("http://www.washoecounty.gov/assessor/cama/?parid=036-062-02&amp;CardNumber=1","036-062-02")</f>
        <v>036-062-02</v>
      </c>
      <c r="B2685" t="s">
        <v>4655</v>
      </c>
      <c r="C2685" t="s">
        <v>16111</v>
      </c>
      <c r="D2685" s="1">
        <v>40514</v>
      </c>
      <c r="E2685" s="2">
        <v>115000</v>
      </c>
      <c r="F2685" t="s">
        <v>4553</v>
      </c>
      <c r="G2685" s="17" t="str">
        <f>HYPERLINK("https://www.washoecounty.gov/assessor/cama/?command=sales&amp;parid=03606202","3948825")</f>
        <v>3948825</v>
      </c>
      <c r="H2685" t="s">
        <v>4806</v>
      </c>
      <c r="I2685">
        <v>1972</v>
      </c>
      <c r="J2685">
        <v>1972</v>
      </c>
      <c r="K2685" t="s">
        <v>4554</v>
      </c>
      <c r="L2685" t="s">
        <v>4555</v>
      </c>
      <c r="M2685" s="2">
        <v>1403</v>
      </c>
      <c r="N2685" t="s">
        <v>4048</v>
      </c>
      <c r="O2685">
        <v>4</v>
      </c>
      <c r="P2685">
        <v>2</v>
      </c>
      <c r="Q2685">
        <v>0</v>
      </c>
      <c r="R2685" t="s">
        <v>4557</v>
      </c>
      <c r="S2685" t="s">
        <v>4558</v>
      </c>
      <c r="T2685" t="s">
        <v>4559</v>
      </c>
      <c r="U2685" t="s">
        <v>4560</v>
      </c>
      <c r="V2685" s="2">
        <v>412</v>
      </c>
      <c r="W2685" t="s">
        <v>4655</v>
      </c>
      <c r="X2685" s="2">
        <v>0</v>
      </c>
      <c r="Y2685">
        <v>20</v>
      </c>
      <c r="Z2685" t="s">
        <v>5200</v>
      </c>
      <c r="AA2685" s="3">
        <v>0.13700643181800801</v>
      </c>
      <c r="AB2685" t="s">
        <v>16112</v>
      </c>
      <c r="AC2685" t="s">
        <v>4562</v>
      </c>
      <c r="AD2685" t="s">
        <v>16113</v>
      </c>
      <c r="AE2685" t="s">
        <v>4655</v>
      </c>
      <c r="AF2685" t="s">
        <v>4809</v>
      </c>
      <c r="AG2685" t="s">
        <v>4564</v>
      </c>
      <c r="AH2685" t="s">
        <v>3898</v>
      </c>
      <c r="AI2685" t="s">
        <v>2351</v>
      </c>
      <c r="AJ2685" t="s">
        <v>4655</v>
      </c>
      <c r="AK2685" t="s">
        <v>16114</v>
      </c>
      <c r="AL2685" s="13" t="s">
        <v>1886</v>
      </c>
      <c r="AM2685" s="14">
        <v>1</v>
      </c>
      <c r="AN2685" s="15" t="s">
        <v>3439</v>
      </c>
    </row>
    <row r="2686" spans="1:40" x14ac:dyDescent="0.3">
      <c r="A2686" s="10" t="str">
        <f>HYPERLINK("http://www.washoecounty.gov/assessor/cama/?parid=036-062-06&amp;CardNumber=1","036-062-06")</f>
        <v>036-062-06</v>
      </c>
      <c r="B2686" t="s">
        <v>4655</v>
      </c>
      <c r="C2686" t="s">
        <v>16115</v>
      </c>
      <c r="D2686" s="1">
        <v>40297</v>
      </c>
      <c r="E2686" s="2">
        <v>100000</v>
      </c>
      <c r="F2686" t="s">
        <v>4553</v>
      </c>
      <c r="G2686" s="17" t="str">
        <f>HYPERLINK("https://www.washoecounty.gov/assessor/cama/?command=sales&amp;parid=03606206","3875903")</f>
        <v>3875903</v>
      </c>
      <c r="H2686" t="s">
        <v>4806</v>
      </c>
      <c r="I2686">
        <v>1972</v>
      </c>
      <c r="J2686">
        <v>1972</v>
      </c>
      <c r="K2686" t="s">
        <v>4554</v>
      </c>
      <c r="L2686" t="s">
        <v>4555</v>
      </c>
      <c r="M2686" s="2">
        <v>985</v>
      </c>
      <c r="N2686" t="s">
        <v>4048</v>
      </c>
      <c r="O2686">
        <v>2</v>
      </c>
      <c r="P2686">
        <v>1</v>
      </c>
      <c r="Q2686">
        <v>0</v>
      </c>
      <c r="R2686" t="s">
        <v>4557</v>
      </c>
      <c r="S2686" t="s">
        <v>4558</v>
      </c>
      <c r="T2686" t="s">
        <v>4559</v>
      </c>
      <c r="U2686" t="s">
        <v>4560</v>
      </c>
      <c r="V2686" s="2">
        <v>425</v>
      </c>
      <c r="W2686" t="s">
        <v>4655</v>
      </c>
      <c r="X2686" s="2">
        <v>0</v>
      </c>
      <c r="Y2686">
        <v>20</v>
      </c>
      <c r="Z2686" t="s">
        <v>5200</v>
      </c>
      <c r="AA2686" s="3">
        <v>0.13700643181800801</v>
      </c>
      <c r="AB2686" t="s">
        <v>16116</v>
      </c>
      <c r="AC2686" t="s">
        <v>4562</v>
      </c>
      <c r="AD2686" t="s">
        <v>16117</v>
      </c>
      <c r="AE2686" t="s">
        <v>4655</v>
      </c>
      <c r="AF2686" t="s">
        <v>4809</v>
      </c>
      <c r="AG2686" t="s">
        <v>4564</v>
      </c>
      <c r="AH2686" t="s">
        <v>3898</v>
      </c>
      <c r="AI2686" t="s">
        <v>4565</v>
      </c>
      <c r="AJ2686" t="s">
        <v>4655</v>
      </c>
      <c r="AK2686" t="s">
        <v>16118</v>
      </c>
      <c r="AL2686" s="13" t="s">
        <v>1886</v>
      </c>
      <c r="AM2686">
        <v>1</v>
      </c>
      <c r="AN2686" s="15" t="s">
        <v>3439</v>
      </c>
    </row>
    <row r="2687" spans="1:40" x14ac:dyDescent="0.3">
      <c r="A2687" s="10" t="str">
        <f>HYPERLINK("http://www.washoecounty.gov/assessor/cama/?parid=036-062-19&amp;CardNumber=1","036-062-19")</f>
        <v>036-062-19</v>
      </c>
      <c r="B2687" t="s">
        <v>4655</v>
      </c>
      <c r="C2687" t="s">
        <v>4923</v>
      </c>
      <c r="D2687" s="1">
        <v>40542</v>
      </c>
      <c r="E2687" s="2">
        <v>81000</v>
      </c>
      <c r="F2687" t="s">
        <v>4553</v>
      </c>
      <c r="G2687" s="17" t="str">
        <f>HYPERLINK("https://www.washoecounty.gov/assessor/cama/?command=sales&amp;parid=03606219","3959336")</f>
        <v>3959336</v>
      </c>
      <c r="H2687" t="s">
        <v>4806</v>
      </c>
      <c r="I2687">
        <v>1972</v>
      </c>
      <c r="J2687">
        <v>1972</v>
      </c>
      <c r="K2687" t="s">
        <v>4554</v>
      </c>
      <c r="L2687" t="s">
        <v>2170</v>
      </c>
      <c r="M2687" s="2">
        <v>1650</v>
      </c>
      <c r="N2687" t="s">
        <v>4048</v>
      </c>
      <c r="O2687">
        <v>4</v>
      </c>
      <c r="P2687">
        <v>2</v>
      </c>
      <c r="Q2687">
        <v>0</v>
      </c>
      <c r="R2687" t="s">
        <v>4557</v>
      </c>
      <c r="S2687" t="s">
        <v>4558</v>
      </c>
      <c r="T2687" t="s">
        <v>4559</v>
      </c>
      <c r="U2687" t="s">
        <v>4560</v>
      </c>
      <c r="V2687" s="2">
        <v>455</v>
      </c>
      <c r="W2687" t="s">
        <v>4655</v>
      </c>
      <c r="X2687" s="2">
        <v>0</v>
      </c>
      <c r="Y2687">
        <v>20</v>
      </c>
      <c r="Z2687" t="s">
        <v>5200</v>
      </c>
      <c r="AA2687" s="3">
        <v>0.13700643181800801</v>
      </c>
      <c r="AB2687" t="s">
        <v>660</v>
      </c>
      <c r="AC2687" t="s">
        <v>4562</v>
      </c>
      <c r="AD2687" t="s">
        <v>661</v>
      </c>
      <c r="AE2687" t="s">
        <v>4655</v>
      </c>
      <c r="AF2687" t="s">
        <v>4809</v>
      </c>
      <c r="AG2687" t="s">
        <v>4564</v>
      </c>
      <c r="AH2687" t="s">
        <v>3898</v>
      </c>
      <c r="AI2687" t="s">
        <v>793</v>
      </c>
      <c r="AJ2687" t="s">
        <v>4655</v>
      </c>
      <c r="AK2687" t="s">
        <v>4924</v>
      </c>
      <c r="AL2687" s="13" t="s">
        <v>1886</v>
      </c>
      <c r="AM2687" s="14">
        <v>1</v>
      </c>
      <c r="AN2687" s="15" t="s">
        <v>3439</v>
      </c>
    </row>
    <row r="2688" spans="1:40" x14ac:dyDescent="0.3">
      <c r="A2688" s="10" t="str">
        <f>HYPERLINK("http://www.washoecounty.gov/assessor/cama/?parid=036-063-06&amp;CardNumber=1","036-063-06")</f>
        <v>036-063-06</v>
      </c>
      <c r="B2688" t="s">
        <v>4655</v>
      </c>
      <c r="C2688" t="s">
        <v>16119</v>
      </c>
      <c r="D2688" s="1">
        <v>40276</v>
      </c>
      <c r="E2688" s="2">
        <v>108000</v>
      </c>
      <c r="F2688" t="s">
        <v>4553</v>
      </c>
      <c r="G2688" s="17" t="str">
        <f>HYPERLINK("https://www.washoecounty.gov/assessor/cama/?command=sales&amp;parid=03606306","3868919")</f>
        <v>3868919</v>
      </c>
      <c r="H2688" t="s">
        <v>4806</v>
      </c>
      <c r="I2688">
        <v>1972</v>
      </c>
      <c r="J2688">
        <v>1972</v>
      </c>
      <c r="K2688" t="s">
        <v>4554</v>
      </c>
      <c r="L2688" t="s">
        <v>4555</v>
      </c>
      <c r="M2688" s="2">
        <v>1403</v>
      </c>
      <c r="N2688" t="s">
        <v>4048</v>
      </c>
      <c r="O2688">
        <v>4</v>
      </c>
      <c r="P2688">
        <v>2</v>
      </c>
      <c r="Q2688">
        <v>0</v>
      </c>
      <c r="R2688" t="s">
        <v>5281</v>
      </c>
      <c r="S2688" t="s">
        <v>4558</v>
      </c>
      <c r="T2688" t="s">
        <v>4559</v>
      </c>
      <c r="U2688" t="s">
        <v>4560</v>
      </c>
      <c r="V2688" s="2">
        <v>412</v>
      </c>
      <c r="W2688" t="s">
        <v>4655</v>
      </c>
      <c r="X2688" s="2">
        <v>0</v>
      </c>
      <c r="Y2688">
        <v>20</v>
      </c>
      <c r="Z2688" t="s">
        <v>5200</v>
      </c>
      <c r="AA2688" s="3">
        <v>0.13700643181800801</v>
      </c>
      <c r="AB2688" t="s">
        <v>16120</v>
      </c>
      <c r="AC2688" t="s">
        <v>4562</v>
      </c>
      <c r="AD2688" t="s">
        <v>16121</v>
      </c>
      <c r="AE2688" t="s">
        <v>4655</v>
      </c>
      <c r="AF2688" t="s">
        <v>4809</v>
      </c>
      <c r="AG2688" t="s">
        <v>4564</v>
      </c>
      <c r="AH2688" t="s">
        <v>3898</v>
      </c>
      <c r="AI2688" t="s">
        <v>4655</v>
      </c>
      <c r="AJ2688" t="s">
        <v>4655</v>
      </c>
      <c r="AK2688" t="s">
        <v>16122</v>
      </c>
      <c r="AL2688" s="13" t="s">
        <v>1886</v>
      </c>
      <c r="AM2688">
        <v>1</v>
      </c>
      <c r="AN2688" s="15" t="s">
        <v>3439</v>
      </c>
    </row>
    <row r="2689" spans="1:40" x14ac:dyDescent="0.3">
      <c r="A2689" s="10" t="str">
        <f>HYPERLINK("http://www.washoecounty.gov/assessor/cama/?parid=036-063-09&amp;CardNumber=1","036-063-09")</f>
        <v>036-063-09</v>
      </c>
      <c r="B2689" t="s">
        <v>4655</v>
      </c>
      <c r="C2689" t="s">
        <v>16123</v>
      </c>
      <c r="D2689" s="1">
        <v>40424</v>
      </c>
      <c r="E2689" s="2">
        <v>125000</v>
      </c>
      <c r="F2689" t="s">
        <v>4553</v>
      </c>
      <c r="G2689" s="17" t="str">
        <f>HYPERLINK("https://www.washoecounty.gov/assessor/cama/?command=sales&amp;parid=03606309","3918734")</f>
        <v>3918734</v>
      </c>
      <c r="H2689" t="s">
        <v>3787</v>
      </c>
      <c r="I2689">
        <v>1972</v>
      </c>
      <c r="J2689">
        <v>1972</v>
      </c>
      <c r="K2689" t="s">
        <v>4554</v>
      </c>
      <c r="L2689" t="s">
        <v>4555</v>
      </c>
      <c r="M2689" s="2">
        <v>1403</v>
      </c>
      <c r="N2689" t="s">
        <v>4048</v>
      </c>
      <c r="O2689">
        <v>4</v>
      </c>
      <c r="P2689">
        <v>2</v>
      </c>
      <c r="Q2689">
        <v>0</v>
      </c>
      <c r="R2689" t="s">
        <v>4557</v>
      </c>
      <c r="S2689" t="s">
        <v>4558</v>
      </c>
      <c r="T2689" t="s">
        <v>4559</v>
      </c>
      <c r="U2689" t="s">
        <v>4560</v>
      </c>
      <c r="V2689" s="2">
        <v>412</v>
      </c>
      <c r="W2689" t="s">
        <v>4655</v>
      </c>
      <c r="X2689" s="2">
        <v>0</v>
      </c>
      <c r="Y2689">
        <v>20</v>
      </c>
      <c r="Z2689" t="s">
        <v>5200</v>
      </c>
      <c r="AA2689" s="3">
        <v>0.13700643181800801</v>
      </c>
      <c r="AB2689" t="s">
        <v>4673</v>
      </c>
      <c r="AC2689" t="s">
        <v>4562</v>
      </c>
      <c r="AD2689" t="s">
        <v>3093</v>
      </c>
      <c r="AE2689" t="s">
        <v>4655</v>
      </c>
      <c r="AF2689" t="s">
        <v>4563</v>
      </c>
      <c r="AG2689" t="s">
        <v>4564</v>
      </c>
      <c r="AH2689">
        <v>89512</v>
      </c>
      <c r="AI2689" t="s">
        <v>4145</v>
      </c>
      <c r="AJ2689" t="s">
        <v>4655</v>
      </c>
      <c r="AK2689" t="s">
        <v>16124</v>
      </c>
      <c r="AL2689" s="13" t="s">
        <v>1886</v>
      </c>
      <c r="AM2689">
        <v>1</v>
      </c>
      <c r="AN2689" s="15" t="s">
        <v>3439</v>
      </c>
    </row>
    <row r="2690" spans="1:40" x14ac:dyDescent="0.3">
      <c r="A2690" s="10" t="str">
        <f>HYPERLINK("http://www.washoecounty.gov/assessor/cama/?parid=036-063-12&amp;CardNumber=1","036-063-12")</f>
        <v>036-063-12</v>
      </c>
      <c r="B2690" t="s">
        <v>4655</v>
      </c>
      <c r="C2690" t="s">
        <v>16125</v>
      </c>
      <c r="D2690" s="1">
        <v>40220</v>
      </c>
      <c r="E2690" s="2">
        <v>145000</v>
      </c>
      <c r="F2690" t="s">
        <v>4567</v>
      </c>
      <c r="G2690" s="17" t="str">
        <f>HYPERLINK("https://www.washoecounty.gov/assessor/cama/?command=sales&amp;parid=03606312","3848163")</f>
        <v>3848163</v>
      </c>
      <c r="H2690" t="s">
        <v>4806</v>
      </c>
      <c r="I2690">
        <v>1972</v>
      </c>
      <c r="J2690">
        <v>1972</v>
      </c>
      <c r="K2690" t="s">
        <v>4554</v>
      </c>
      <c r="L2690" t="s">
        <v>4555</v>
      </c>
      <c r="M2690" s="2">
        <v>1403</v>
      </c>
      <c r="N2690" t="s">
        <v>4048</v>
      </c>
      <c r="O2690">
        <v>4</v>
      </c>
      <c r="P2690">
        <v>2</v>
      </c>
      <c r="Q2690">
        <v>0</v>
      </c>
      <c r="R2690" t="s">
        <v>5281</v>
      </c>
      <c r="S2690" t="s">
        <v>4558</v>
      </c>
      <c r="T2690" t="s">
        <v>4559</v>
      </c>
      <c r="U2690" t="s">
        <v>4560</v>
      </c>
      <c r="V2690" s="2">
        <v>412</v>
      </c>
      <c r="W2690" t="s">
        <v>4655</v>
      </c>
      <c r="X2690" s="2">
        <v>0</v>
      </c>
      <c r="Y2690">
        <v>20</v>
      </c>
      <c r="Z2690" t="s">
        <v>5200</v>
      </c>
      <c r="AA2690" s="3">
        <v>0.13700643181800801</v>
      </c>
      <c r="AB2690" t="s">
        <v>16126</v>
      </c>
      <c r="AC2690" t="s">
        <v>4562</v>
      </c>
      <c r="AD2690" t="s">
        <v>16125</v>
      </c>
      <c r="AE2690" t="s">
        <v>4655</v>
      </c>
      <c r="AF2690" t="s">
        <v>5201</v>
      </c>
      <c r="AG2690" t="s">
        <v>4564</v>
      </c>
      <c r="AH2690" t="s">
        <v>3898</v>
      </c>
      <c r="AI2690" t="s">
        <v>16127</v>
      </c>
      <c r="AJ2690" t="s">
        <v>4655</v>
      </c>
      <c r="AK2690" t="s">
        <v>16128</v>
      </c>
      <c r="AL2690" s="13" t="s">
        <v>1886</v>
      </c>
      <c r="AM2690">
        <v>1</v>
      </c>
      <c r="AN2690" s="15" t="s">
        <v>3439</v>
      </c>
    </row>
    <row r="2691" spans="1:40" x14ac:dyDescent="0.3">
      <c r="A2691" s="10" t="str">
        <f>HYPERLINK("http://www.washoecounty.gov/assessor/cama/?parid=036-063-13&amp;CardNumber=1","036-063-13")</f>
        <v>036-063-13</v>
      </c>
      <c r="B2691" t="s">
        <v>4655</v>
      </c>
      <c r="C2691" t="s">
        <v>16129</v>
      </c>
      <c r="D2691" s="1">
        <v>40268</v>
      </c>
      <c r="E2691" s="2">
        <v>125000</v>
      </c>
      <c r="F2691" t="s">
        <v>4567</v>
      </c>
      <c r="G2691" s="17" t="str">
        <f>HYPERLINK("https://www.washoecounty.gov/assessor/cama/?command=sales&amp;parid=03606313","3866101")</f>
        <v>3866101</v>
      </c>
      <c r="H2691" t="s">
        <v>4806</v>
      </c>
      <c r="I2691">
        <v>1972</v>
      </c>
      <c r="J2691">
        <v>1972</v>
      </c>
      <c r="K2691" t="s">
        <v>4554</v>
      </c>
      <c r="L2691" t="s">
        <v>2170</v>
      </c>
      <c r="M2691" s="2">
        <v>1650</v>
      </c>
      <c r="N2691" t="s">
        <v>4048</v>
      </c>
      <c r="O2691">
        <v>4</v>
      </c>
      <c r="P2691">
        <v>2</v>
      </c>
      <c r="Q2691">
        <v>0</v>
      </c>
      <c r="R2691" t="s">
        <v>4557</v>
      </c>
      <c r="S2691" t="s">
        <v>4558</v>
      </c>
      <c r="T2691" t="s">
        <v>4559</v>
      </c>
      <c r="U2691" t="s">
        <v>4655</v>
      </c>
      <c r="V2691" s="2">
        <v>0</v>
      </c>
      <c r="W2691" t="s">
        <v>4655</v>
      </c>
      <c r="X2691" s="2">
        <v>0</v>
      </c>
      <c r="Y2691">
        <v>20</v>
      </c>
      <c r="Z2691" t="s">
        <v>5200</v>
      </c>
      <c r="AA2691" s="3">
        <v>0.13700643181800801</v>
      </c>
      <c r="AB2691" t="s">
        <v>16130</v>
      </c>
      <c r="AC2691" t="s">
        <v>4562</v>
      </c>
      <c r="AD2691" t="s">
        <v>16131</v>
      </c>
      <c r="AE2691" t="s">
        <v>4655</v>
      </c>
      <c r="AF2691" t="s">
        <v>4809</v>
      </c>
      <c r="AG2691" t="s">
        <v>4564</v>
      </c>
      <c r="AH2691" t="s">
        <v>3898</v>
      </c>
      <c r="AI2691" t="s">
        <v>4655</v>
      </c>
      <c r="AJ2691" t="s">
        <v>4655</v>
      </c>
      <c r="AK2691" t="s">
        <v>16132</v>
      </c>
      <c r="AL2691" s="13" t="s">
        <v>1886</v>
      </c>
      <c r="AM2691" s="14">
        <v>1</v>
      </c>
      <c r="AN2691" s="15" t="s">
        <v>3439</v>
      </c>
    </row>
    <row r="2692" spans="1:40" x14ac:dyDescent="0.3">
      <c r="A2692" s="10" t="str">
        <f>HYPERLINK("http://www.washoecounty.gov/assessor/cama/?parid=036-072-27&amp;CardNumber=1","036-072-27")</f>
        <v>036-072-27</v>
      </c>
      <c r="B2692" t="s">
        <v>4655</v>
      </c>
      <c r="C2692" t="s">
        <v>16133</v>
      </c>
      <c r="D2692" s="1">
        <v>40273</v>
      </c>
      <c r="E2692" s="2">
        <v>160000</v>
      </c>
      <c r="F2692" t="s">
        <v>4567</v>
      </c>
      <c r="G2692" s="17" t="str">
        <f>HYPERLINK("https://www.washoecounty.gov/assessor/cama/?command=sales&amp;parid=03607227","3867640")</f>
        <v>3867640</v>
      </c>
      <c r="H2692" t="s">
        <v>4660</v>
      </c>
      <c r="I2692">
        <v>1973</v>
      </c>
      <c r="J2692">
        <v>1973</v>
      </c>
      <c r="K2692" t="s">
        <v>4554</v>
      </c>
      <c r="L2692" t="s">
        <v>4555</v>
      </c>
      <c r="M2692" s="2">
        <v>1361</v>
      </c>
      <c r="N2692" t="s">
        <v>4048</v>
      </c>
      <c r="O2692">
        <v>4</v>
      </c>
      <c r="P2692">
        <v>2</v>
      </c>
      <c r="Q2692">
        <v>0</v>
      </c>
      <c r="R2692" t="s">
        <v>4557</v>
      </c>
      <c r="S2692" t="s">
        <v>4135</v>
      </c>
      <c r="T2692" t="s">
        <v>4559</v>
      </c>
      <c r="U2692" t="s">
        <v>4560</v>
      </c>
      <c r="V2692" s="2">
        <v>547</v>
      </c>
      <c r="W2692" t="s">
        <v>4655</v>
      </c>
      <c r="X2692" s="2">
        <v>0</v>
      </c>
      <c r="Y2692">
        <v>20</v>
      </c>
      <c r="Z2692" t="s">
        <v>5200</v>
      </c>
      <c r="AA2692" s="3">
        <v>0.22300276160240201</v>
      </c>
      <c r="AB2692" t="s">
        <v>16134</v>
      </c>
      <c r="AC2692" t="s">
        <v>4575</v>
      </c>
      <c r="AD2692" t="s">
        <v>16133</v>
      </c>
      <c r="AE2692" t="s">
        <v>4655</v>
      </c>
      <c r="AF2692" t="s">
        <v>5201</v>
      </c>
      <c r="AG2692" t="s">
        <v>4564</v>
      </c>
      <c r="AH2692" t="s">
        <v>3898</v>
      </c>
      <c r="AI2692" t="s">
        <v>4655</v>
      </c>
      <c r="AJ2692" t="s">
        <v>4655</v>
      </c>
      <c r="AK2692" t="s">
        <v>16135</v>
      </c>
      <c r="AL2692" s="13" t="s">
        <v>1886</v>
      </c>
      <c r="AM2692" s="14">
        <v>1</v>
      </c>
      <c r="AN2692" s="15" t="s">
        <v>3439</v>
      </c>
    </row>
    <row r="2693" spans="1:40" x14ac:dyDescent="0.3">
      <c r="A2693" s="10" t="str">
        <f>HYPERLINK("http://www.washoecounty.gov/assessor/cama/?parid=036-073-05&amp;CardNumber=1","036-073-05")</f>
        <v>036-073-05</v>
      </c>
      <c r="B2693" t="s">
        <v>4655</v>
      </c>
      <c r="C2693" t="s">
        <v>16136</v>
      </c>
      <c r="D2693" s="1">
        <v>40420</v>
      </c>
      <c r="E2693" s="2">
        <v>127000</v>
      </c>
      <c r="F2693" t="s">
        <v>4553</v>
      </c>
      <c r="G2693" s="17" t="str">
        <f>HYPERLINK("https://www.washoecounty.gov/assessor/cama/?command=sales&amp;parid=03607305","3917021")</f>
        <v>3917021</v>
      </c>
      <c r="H2693" t="s">
        <v>3972</v>
      </c>
      <c r="I2693">
        <v>1972</v>
      </c>
      <c r="J2693">
        <v>1972</v>
      </c>
      <c r="K2693" t="s">
        <v>4554</v>
      </c>
      <c r="L2693" t="s">
        <v>4555</v>
      </c>
      <c r="M2693" s="2">
        <v>1172</v>
      </c>
      <c r="N2693" t="s">
        <v>4048</v>
      </c>
      <c r="O2693">
        <v>3</v>
      </c>
      <c r="P2693">
        <v>2</v>
      </c>
      <c r="Q2693">
        <v>0</v>
      </c>
      <c r="R2693" t="s">
        <v>4557</v>
      </c>
      <c r="S2693" t="s">
        <v>4558</v>
      </c>
      <c r="T2693" t="s">
        <v>4559</v>
      </c>
      <c r="U2693" t="s">
        <v>4560</v>
      </c>
      <c r="V2693" s="2">
        <v>456</v>
      </c>
      <c r="W2693" t="s">
        <v>4655</v>
      </c>
      <c r="X2693" s="2">
        <v>0</v>
      </c>
      <c r="Y2693">
        <v>20</v>
      </c>
      <c r="Z2693" t="s">
        <v>5200</v>
      </c>
      <c r="AA2693" s="3">
        <v>0.14201101660728499</v>
      </c>
      <c r="AB2693" t="s">
        <v>4673</v>
      </c>
      <c r="AC2693" t="s">
        <v>4562</v>
      </c>
      <c r="AD2693" t="s">
        <v>3093</v>
      </c>
      <c r="AE2693" t="s">
        <v>4655</v>
      </c>
      <c r="AF2693" t="s">
        <v>4563</v>
      </c>
      <c r="AG2693" t="s">
        <v>4564</v>
      </c>
      <c r="AH2693">
        <v>89512</v>
      </c>
      <c r="AI2693" t="s">
        <v>4903</v>
      </c>
      <c r="AJ2693" t="s">
        <v>4655</v>
      </c>
      <c r="AK2693" t="s">
        <v>16137</v>
      </c>
      <c r="AL2693" s="13" t="s">
        <v>1886</v>
      </c>
      <c r="AM2693">
        <v>1</v>
      </c>
      <c r="AN2693" s="15" t="s">
        <v>3439</v>
      </c>
    </row>
    <row r="2694" spans="1:40" x14ac:dyDescent="0.3">
      <c r="A2694" s="10" t="str">
        <f>HYPERLINK("http://www.washoecounty.gov/assessor/cama/?parid=036-073-06&amp;CardNumber=1","036-073-06")</f>
        <v>036-073-06</v>
      </c>
      <c r="B2694" t="s">
        <v>4655</v>
      </c>
      <c r="C2694" t="s">
        <v>16138</v>
      </c>
      <c r="D2694" s="1">
        <v>40436</v>
      </c>
      <c r="E2694" s="2">
        <v>146000</v>
      </c>
      <c r="F2694" t="s">
        <v>4553</v>
      </c>
      <c r="G2694" s="17" t="str">
        <f>HYPERLINK("https://www.washoecounty.gov/assessor/cama/?command=sales&amp;parid=03607306","3922571")</f>
        <v>3922571</v>
      </c>
      <c r="H2694" t="s">
        <v>3972</v>
      </c>
      <c r="I2694">
        <v>1972</v>
      </c>
      <c r="J2694">
        <v>1972</v>
      </c>
      <c r="K2694" t="s">
        <v>4554</v>
      </c>
      <c r="L2694" t="s">
        <v>4555</v>
      </c>
      <c r="M2694" s="2">
        <v>1403</v>
      </c>
      <c r="N2694" t="s">
        <v>4048</v>
      </c>
      <c r="O2694">
        <v>4</v>
      </c>
      <c r="P2694">
        <v>2</v>
      </c>
      <c r="Q2694">
        <v>0</v>
      </c>
      <c r="R2694" t="s">
        <v>5281</v>
      </c>
      <c r="S2694" t="s">
        <v>4558</v>
      </c>
      <c r="T2694" t="s">
        <v>4559</v>
      </c>
      <c r="U2694" t="s">
        <v>4560</v>
      </c>
      <c r="V2694" s="2">
        <v>412</v>
      </c>
      <c r="W2694" t="s">
        <v>4655</v>
      </c>
      <c r="X2694" s="2">
        <v>0</v>
      </c>
      <c r="Y2694">
        <v>20</v>
      </c>
      <c r="Z2694" t="s">
        <v>5200</v>
      </c>
      <c r="AA2694" s="3">
        <v>0.135009184479713</v>
      </c>
      <c r="AB2694" t="s">
        <v>16139</v>
      </c>
      <c r="AC2694" t="s">
        <v>4562</v>
      </c>
      <c r="AD2694" t="s">
        <v>16138</v>
      </c>
      <c r="AE2694" t="s">
        <v>4655</v>
      </c>
      <c r="AF2694" t="s">
        <v>5201</v>
      </c>
      <c r="AG2694" t="s">
        <v>4564</v>
      </c>
      <c r="AH2694" t="s">
        <v>3898</v>
      </c>
      <c r="AI2694" t="s">
        <v>4655</v>
      </c>
      <c r="AJ2694" t="s">
        <v>4655</v>
      </c>
      <c r="AK2694" t="s">
        <v>16140</v>
      </c>
      <c r="AL2694" s="13" t="s">
        <v>1886</v>
      </c>
      <c r="AM2694">
        <v>1</v>
      </c>
      <c r="AN2694" s="15" t="s">
        <v>3439</v>
      </c>
    </row>
    <row r="2695" spans="1:40" x14ac:dyDescent="0.3">
      <c r="A2695" s="10" t="str">
        <f>HYPERLINK("http://www.washoecounty.gov/assessor/cama/?parid=036-074-06&amp;CardNumber=1","036-074-06")</f>
        <v>036-074-06</v>
      </c>
      <c r="B2695" t="s">
        <v>4655</v>
      </c>
      <c r="C2695" t="s">
        <v>16141</v>
      </c>
      <c r="D2695" s="1">
        <v>40214</v>
      </c>
      <c r="E2695" s="2">
        <v>120000</v>
      </c>
      <c r="F2695" t="s">
        <v>4567</v>
      </c>
      <c r="G2695" s="17" t="str">
        <f>HYPERLINK("https://www.washoecounty.gov/assessor/cama/?command=sales&amp;parid=03607406","3846652")</f>
        <v>3846652</v>
      </c>
      <c r="H2695" t="s">
        <v>3972</v>
      </c>
      <c r="I2695">
        <v>1972</v>
      </c>
      <c r="J2695">
        <v>1972</v>
      </c>
      <c r="K2695" t="s">
        <v>4554</v>
      </c>
      <c r="L2695" t="s">
        <v>4555</v>
      </c>
      <c r="M2695" s="2">
        <v>1172</v>
      </c>
      <c r="N2695" t="s">
        <v>4048</v>
      </c>
      <c r="O2695">
        <v>3</v>
      </c>
      <c r="P2695">
        <v>2</v>
      </c>
      <c r="Q2695">
        <v>0</v>
      </c>
      <c r="R2695" t="s">
        <v>4557</v>
      </c>
      <c r="S2695" t="s">
        <v>4135</v>
      </c>
      <c r="T2695" t="s">
        <v>4559</v>
      </c>
      <c r="U2695" t="s">
        <v>4560</v>
      </c>
      <c r="V2695" s="2">
        <v>456</v>
      </c>
      <c r="W2695" t="s">
        <v>4655</v>
      </c>
      <c r="X2695" s="2">
        <v>0</v>
      </c>
      <c r="Y2695">
        <v>20</v>
      </c>
      <c r="Z2695" t="s">
        <v>5200</v>
      </c>
      <c r="AA2695" s="3">
        <v>0.15500459074974099</v>
      </c>
      <c r="AB2695" t="s">
        <v>16142</v>
      </c>
      <c r="AC2695" t="s">
        <v>4562</v>
      </c>
      <c r="AD2695" t="s">
        <v>16141</v>
      </c>
      <c r="AE2695" t="s">
        <v>4655</v>
      </c>
      <c r="AF2695" t="s">
        <v>5201</v>
      </c>
      <c r="AG2695" t="s">
        <v>4564</v>
      </c>
      <c r="AH2695" t="s">
        <v>3898</v>
      </c>
      <c r="AI2695" t="s">
        <v>4655</v>
      </c>
      <c r="AJ2695" t="s">
        <v>4655</v>
      </c>
      <c r="AK2695" t="s">
        <v>16143</v>
      </c>
      <c r="AL2695" s="13" t="s">
        <v>1886</v>
      </c>
      <c r="AM2695">
        <v>1</v>
      </c>
      <c r="AN2695" s="15" t="s">
        <v>3439</v>
      </c>
    </row>
    <row r="2696" spans="1:40" x14ac:dyDescent="0.3">
      <c r="A2696" s="10" t="str">
        <f>HYPERLINK("http://www.washoecounty.gov/assessor/cama/?parid=036-081-03&amp;CardNumber=1","036-081-03")</f>
        <v>036-081-03</v>
      </c>
      <c r="B2696" t="s">
        <v>4655</v>
      </c>
      <c r="C2696" t="s">
        <v>16144</v>
      </c>
      <c r="D2696" s="1">
        <v>40282</v>
      </c>
      <c r="E2696" s="2">
        <v>184000</v>
      </c>
      <c r="F2696" t="s">
        <v>4567</v>
      </c>
      <c r="G2696" s="17" t="str">
        <f>HYPERLINK("https://www.washoecounty.gov/assessor/cama/?command=sales&amp;parid=03608103","3870725")</f>
        <v>3870725</v>
      </c>
      <c r="H2696" t="s">
        <v>3972</v>
      </c>
      <c r="I2696">
        <v>1972</v>
      </c>
      <c r="J2696">
        <v>1972</v>
      </c>
      <c r="K2696" t="s">
        <v>4554</v>
      </c>
      <c r="L2696" t="s">
        <v>4555</v>
      </c>
      <c r="M2696" s="2">
        <v>1403</v>
      </c>
      <c r="N2696" t="s">
        <v>4048</v>
      </c>
      <c r="O2696">
        <v>4</v>
      </c>
      <c r="P2696">
        <v>2</v>
      </c>
      <c r="Q2696">
        <v>0</v>
      </c>
      <c r="R2696" t="s">
        <v>4557</v>
      </c>
      <c r="S2696" t="s">
        <v>4135</v>
      </c>
      <c r="T2696" t="s">
        <v>4559</v>
      </c>
      <c r="U2696" t="s">
        <v>4560</v>
      </c>
      <c r="V2696" s="2">
        <v>412</v>
      </c>
      <c r="W2696" t="s">
        <v>4655</v>
      </c>
      <c r="X2696" s="2">
        <v>0</v>
      </c>
      <c r="Y2696">
        <v>20</v>
      </c>
      <c r="Z2696" t="s">
        <v>5200</v>
      </c>
      <c r="AA2696" s="3">
        <v>0.14201101660728499</v>
      </c>
      <c r="AB2696" t="s">
        <v>16145</v>
      </c>
      <c r="AC2696" t="s">
        <v>4562</v>
      </c>
      <c r="AD2696" t="s">
        <v>16144</v>
      </c>
      <c r="AE2696" t="s">
        <v>4655</v>
      </c>
      <c r="AF2696" t="s">
        <v>5201</v>
      </c>
      <c r="AG2696" t="s">
        <v>4564</v>
      </c>
      <c r="AH2696" t="s">
        <v>3898</v>
      </c>
      <c r="AI2696" t="s">
        <v>16146</v>
      </c>
      <c r="AJ2696" t="s">
        <v>4655</v>
      </c>
      <c r="AK2696" t="s">
        <v>16147</v>
      </c>
      <c r="AL2696" s="13" t="s">
        <v>1886</v>
      </c>
      <c r="AM2696" s="14">
        <v>1</v>
      </c>
      <c r="AN2696" s="15" t="s">
        <v>3439</v>
      </c>
    </row>
    <row r="2697" spans="1:40" x14ac:dyDescent="0.3">
      <c r="A2697" s="10" t="str">
        <f>HYPERLINK("http://www.washoecounty.gov/assessor/cama/?parid=036-081-07&amp;CardNumber=1","036-081-07")</f>
        <v>036-081-07</v>
      </c>
      <c r="B2697" t="s">
        <v>4655</v>
      </c>
      <c r="C2697" t="s">
        <v>16148</v>
      </c>
      <c r="D2697" s="1">
        <v>40416</v>
      </c>
      <c r="E2697" s="2">
        <v>152000</v>
      </c>
      <c r="F2697" t="s">
        <v>4553</v>
      </c>
      <c r="G2697" s="17" t="str">
        <f>HYPERLINK("https://www.washoecounty.gov/assessor/cama/?command=sales&amp;parid=03608107","3915944")</f>
        <v>3915944</v>
      </c>
      <c r="H2697" t="s">
        <v>16149</v>
      </c>
      <c r="I2697">
        <v>1972</v>
      </c>
      <c r="J2697">
        <v>1973</v>
      </c>
      <c r="K2697" t="s">
        <v>4554</v>
      </c>
      <c r="L2697" t="s">
        <v>4555</v>
      </c>
      <c r="M2697" s="2">
        <v>1763</v>
      </c>
      <c r="N2697" t="s">
        <v>4048</v>
      </c>
      <c r="O2697">
        <v>4</v>
      </c>
      <c r="P2697">
        <v>2</v>
      </c>
      <c r="Q2697">
        <v>0</v>
      </c>
      <c r="R2697" t="s">
        <v>4557</v>
      </c>
      <c r="S2697" t="s">
        <v>4135</v>
      </c>
      <c r="T2697" t="s">
        <v>4559</v>
      </c>
      <c r="U2697" t="s">
        <v>4560</v>
      </c>
      <c r="V2697" s="2">
        <v>412</v>
      </c>
      <c r="W2697" t="s">
        <v>4655</v>
      </c>
      <c r="X2697" s="2">
        <v>0</v>
      </c>
      <c r="Y2697">
        <v>20</v>
      </c>
      <c r="Z2697" t="s">
        <v>5200</v>
      </c>
      <c r="AA2697" s="3">
        <v>0.14201101660728499</v>
      </c>
      <c r="AB2697" t="s">
        <v>16150</v>
      </c>
      <c r="AC2697" t="s">
        <v>4575</v>
      </c>
      <c r="AD2697" t="s">
        <v>16148</v>
      </c>
      <c r="AE2697" t="s">
        <v>4655</v>
      </c>
      <c r="AF2697" t="s">
        <v>5201</v>
      </c>
      <c r="AG2697" t="s">
        <v>4564</v>
      </c>
      <c r="AH2697" t="s">
        <v>3898</v>
      </c>
      <c r="AI2697" t="s">
        <v>16151</v>
      </c>
      <c r="AJ2697" t="s">
        <v>4655</v>
      </c>
      <c r="AK2697" t="s">
        <v>16152</v>
      </c>
      <c r="AL2697" s="13" t="s">
        <v>1886</v>
      </c>
      <c r="AM2697">
        <v>1</v>
      </c>
      <c r="AN2697" s="15" t="s">
        <v>3439</v>
      </c>
    </row>
    <row r="2698" spans="1:40" x14ac:dyDescent="0.3">
      <c r="A2698" s="10" t="str">
        <f>HYPERLINK("http://www.washoecounty.gov/assessor/cama/?parid=036-082-02&amp;CardNumber=1","036-082-02")</f>
        <v>036-082-02</v>
      </c>
      <c r="B2698" t="s">
        <v>4655</v>
      </c>
      <c r="C2698" t="s">
        <v>16153</v>
      </c>
      <c r="D2698" s="1">
        <v>40400</v>
      </c>
      <c r="E2698" s="2">
        <v>124000</v>
      </c>
      <c r="F2698" t="s">
        <v>4567</v>
      </c>
      <c r="G2698" s="17" t="str">
        <f>HYPERLINK("https://www.washoecounty.gov/assessor/cama/?command=sales&amp;parid=03608202","3910401")</f>
        <v>3910401</v>
      </c>
      <c r="H2698" t="s">
        <v>3972</v>
      </c>
      <c r="I2698">
        <v>1972</v>
      </c>
      <c r="J2698">
        <v>1972</v>
      </c>
      <c r="K2698" t="s">
        <v>4554</v>
      </c>
      <c r="L2698" t="s">
        <v>4555</v>
      </c>
      <c r="M2698" s="2">
        <v>1403</v>
      </c>
      <c r="N2698" t="s">
        <v>4048</v>
      </c>
      <c r="O2698">
        <v>4</v>
      </c>
      <c r="P2698">
        <v>2</v>
      </c>
      <c r="Q2698">
        <v>0</v>
      </c>
      <c r="R2698" t="s">
        <v>4557</v>
      </c>
      <c r="S2698" t="s">
        <v>4135</v>
      </c>
      <c r="T2698" t="s">
        <v>4559</v>
      </c>
      <c r="U2698" t="s">
        <v>4560</v>
      </c>
      <c r="V2698" s="2">
        <v>412</v>
      </c>
      <c r="W2698" t="s">
        <v>4655</v>
      </c>
      <c r="X2698" s="2">
        <v>0</v>
      </c>
      <c r="Y2698">
        <v>20</v>
      </c>
      <c r="Z2698" t="s">
        <v>5200</v>
      </c>
      <c r="AA2698" s="3">
        <v>0.13900367915630299</v>
      </c>
      <c r="AB2698" t="s">
        <v>16154</v>
      </c>
      <c r="AC2698" t="s">
        <v>4575</v>
      </c>
      <c r="AD2698" t="s">
        <v>16153</v>
      </c>
      <c r="AE2698" t="s">
        <v>4655</v>
      </c>
      <c r="AF2698" t="s">
        <v>5201</v>
      </c>
      <c r="AG2698" t="s">
        <v>4564</v>
      </c>
      <c r="AH2698" t="s">
        <v>3898</v>
      </c>
      <c r="AI2698" t="s">
        <v>16155</v>
      </c>
      <c r="AJ2698" t="s">
        <v>4655</v>
      </c>
      <c r="AK2698" t="s">
        <v>16156</v>
      </c>
      <c r="AL2698" s="13" t="s">
        <v>1886</v>
      </c>
      <c r="AM2698" s="14">
        <v>1</v>
      </c>
      <c r="AN2698" s="15" t="s">
        <v>3439</v>
      </c>
    </row>
    <row r="2699" spans="1:40" x14ac:dyDescent="0.3">
      <c r="A2699" s="10" t="str">
        <f>HYPERLINK("http://www.washoecounty.gov/assessor/cama/?parid=036-092-13&amp;CardNumber=1","036-092-13")</f>
        <v>036-092-13</v>
      </c>
      <c r="B2699" t="s">
        <v>4655</v>
      </c>
      <c r="C2699" t="s">
        <v>16157</v>
      </c>
      <c r="D2699" s="1">
        <v>40203</v>
      </c>
      <c r="E2699" s="2">
        <v>129900</v>
      </c>
      <c r="F2699" t="s">
        <v>4553</v>
      </c>
      <c r="G2699" s="17" t="str">
        <f>HYPERLINK("https://www.washoecounty.gov/assessor/cama/?command=sales&amp;parid=03609213","3842211")</f>
        <v>3842211</v>
      </c>
      <c r="H2699" t="s">
        <v>3376</v>
      </c>
      <c r="I2699">
        <v>1974</v>
      </c>
      <c r="J2699">
        <v>1974</v>
      </c>
      <c r="K2699" t="s">
        <v>4554</v>
      </c>
      <c r="L2699" t="s">
        <v>3886</v>
      </c>
      <c r="M2699" s="2">
        <v>1984</v>
      </c>
      <c r="N2699" t="s">
        <v>4048</v>
      </c>
      <c r="O2699">
        <v>4</v>
      </c>
      <c r="P2699">
        <v>2</v>
      </c>
      <c r="Q2699">
        <v>0</v>
      </c>
      <c r="R2699" t="s">
        <v>4557</v>
      </c>
      <c r="S2699" t="s">
        <v>4558</v>
      </c>
      <c r="T2699" t="s">
        <v>4559</v>
      </c>
      <c r="U2699" t="s">
        <v>4560</v>
      </c>
      <c r="V2699" s="2">
        <v>460</v>
      </c>
      <c r="W2699" t="s">
        <v>4655</v>
      </c>
      <c r="X2699" s="2">
        <v>0</v>
      </c>
      <c r="Y2699">
        <v>20</v>
      </c>
      <c r="Z2699" t="s">
        <v>5200</v>
      </c>
      <c r="AA2699" s="3">
        <v>0.135009184479713</v>
      </c>
      <c r="AB2699" t="s">
        <v>3377</v>
      </c>
      <c r="AC2699" t="s">
        <v>4575</v>
      </c>
      <c r="AD2699" t="s">
        <v>16158</v>
      </c>
      <c r="AE2699" t="s">
        <v>4655</v>
      </c>
      <c r="AF2699" t="s">
        <v>4563</v>
      </c>
      <c r="AG2699" t="s">
        <v>4564</v>
      </c>
      <c r="AH2699">
        <v>89502</v>
      </c>
      <c r="AI2699" t="s">
        <v>4503</v>
      </c>
      <c r="AJ2699" t="s">
        <v>4655</v>
      </c>
      <c r="AK2699" t="s">
        <v>16159</v>
      </c>
      <c r="AL2699" s="13" t="s">
        <v>1886</v>
      </c>
      <c r="AM2699">
        <v>1</v>
      </c>
      <c r="AN2699" s="15" t="s">
        <v>3439</v>
      </c>
    </row>
    <row r="2700" spans="1:40" x14ac:dyDescent="0.3">
      <c r="A2700" s="10" t="str">
        <f>HYPERLINK("http://www.washoecounty.gov/assessor/cama/?parid=036-093-07&amp;CardNumber=1","036-093-07")</f>
        <v>036-093-07</v>
      </c>
      <c r="B2700" t="s">
        <v>4655</v>
      </c>
      <c r="C2700" t="s">
        <v>16160</v>
      </c>
      <c r="D2700" s="1">
        <v>40486</v>
      </c>
      <c r="E2700" s="2">
        <v>135100</v>
      </c>
      <c r="F2700" t="s">
        <v>4567</v>
      </c>
      <c r="G2700" s="17" t="str">
        <f>HYPERLINK("https://www.washoecounty.gov/assessor/cama/?command=sales&amp;parid=03609307","3939904")</f>
        <v>3939904</v>
      </c>
      <c r="H2700" t="s">
        <v>3376</v>
      </c>
      <c r="I2700">
        <v>1973</v>
      </c>
      <c r="J2700">
        <v>1973</v>
      </c>
      <c r="K2700" t="s">
        <v>4554</v>
      </c>
      <c r="L2700" t="s">
        <v>2170</v>
      </c>
      <c r="M2700" s="2">
        <v>1650</v>
      </c>
      <c r="N2700" t="s">
        <v>4048</v>
      </c>
      <c r="O2700">
        <v>4</v>
      </c>
      <c r="P2700">
        <v>2</v>
      </c>
      <c r="Q2700">
        <v>0</v>
      </c>
      <c r="R2700" t="s">
        <v>5281</v>
      </c>
      <c r="S2700" t="s">
        <v>4135</v>
      </c>
      <c r="T2700" t="s">
        <v>4559</v>
      </c>
      <c r="U2700" t="s">
        <v>4560</v>
      </c>
      <c r="V2700" s="2">
        <v>455</v>
      </c>
      <c r="W2700" t="s">
        <v>4655</v>
      </c>
      <c r="X2700" s="2">
        <v>0</v>
      </c>
      <c r="Y2700">
        <v>20</v>
      </c>
      <c r="Z2700" t="s">
        <v>5200</v>
      </c>
      <c r="AA2700" s="3">
        <v>0.13700643181800801</v>
      </c>
      <c r="AB2700" t="s">
        <v>16161</v>
      </c>
      <c r="AC2700" t="s">
        <v>4575</v>
      </c>
      <c r="AD2700" t="s">
        <v>16160</v>
      </c>
      <c r="AE2700" t="s">
        <v>4655</v>
      </c>
      <c r="AF2700" t="s">
        <v>5201</v>
      </c>
      <c r="AG2700" t="s">
        <v>4564</v>
      </c>
      <c r="AH2700" t="s">
        <v>3898</v>
      </c>
      <c r="AI2700" t="s">
        <v>4655</v>
      </c>
      <c r="AJ2700" t="s">
        <v>4655</v>
      </c>
      <c r="AK2700" t="s">
        <v>16162</v>
      </c>
      <c r="AL2700" s="13" t="s">
        <v>1886</v>
      </c>
      <c r="AM2700" s="14">
        <v>1</v>
      </c>
      <c r="AN2700" s="15" t="s">
        <v>3439</v>
      </c>
    </row>
    <row r="2701" spans="1:40" x14ac:dyDescent="0.3">
      <c r="A2701" s="10" t="str">
        <f>HYPERLINK("http://www.washoecounty.gov/assessor/cama/?parid=036-102-05&amp;CardNumber=1","036-102-05")</f>
        <v>036-102-05</v>
      </c>
      <c r="B2701" t="s">
        <v>4655</v>
      </c>
      <c r="C2701" t="s">
        <v>16163</v>
      </c>
      <c r="D2701" s="1">
        <v>40284</v>
      </c>
      <c r="E2701" s="2">
        <v>110000</v>
      </c>
      <c r="F2701" t="s">
        <v>4553</v>
      </c>
      <c r="G2701" s="17" t="str">
        <f>HYPERLINK("https://www.washoecounty.gov/assessor/cama/?command=sales&amp;parid=03610205","3871939")</f>
        <v>3871939</v>
      </c>
      <c r="H2701" t="s">
        <v>3412</v>
      </c>
      <c r="I2701">
        <v>1971</v>
      </c>
      <c r="J2701">
        <v>1972</v>
      </c>
      <c r="K2701" t="s">
        <v>4554</v>
      </c>
      <c r="L2701" t="s">
        <v>4555</v>
      </c>
      <c r="M2701" s="2">
        <v>2134</v>
      </c>
      <c r="N2701" t="s">
        <v>4048</v>
      </c>
      <c r="O2701">
        <v>4</v>
      </c>
      <c r="P2701">
        <v>2</v>
      </c>
      <c r="Q2701">
        <v>0</v>
      </c>
      <c r="R2701" t="s">
        <v>5281</v>
      </c>
      <c r="S2701" t="s">
        <v>4135</v>
      </c>
      <c r="T2701" t="s">
        <v>4559</v>
      </c>
      <c r="U2701" t="s">
        <v>4560</v>
      </c>
      <c r="V2701" s="2">
        <v>547</v>
      </c>
      <c r="W2701" t="s">
        <v>4655</v>
      </c>
      <c r="X2701" s="2">
        <v>0</v>
      </c>
      <c r="Y2701">
        <v>20</v>
      </c>
      <c r="Z2701" t="s">
        <v>5200</v>
      </c>
      <c r="AA2701" s="3">
        <v>0.29100093245506298</v>
      </c>
      <c r="AB2701" t="s">
        <v>16164</v>
      </c>
      <c r="AC2701" t="s">
        <v>4562</v>
      </c>
      <c r="AD2701" t="s">
        <v>16165</v>
      </c>
      <c r="AE2701" t="s">
        <v>4655</v>
      </c>
      <c r="AF2701" t="s">
        <v>4809</v>
      </c>
      <c r="AG2701" t="s">
        <v>4564</v>
      </c>
      <c r="AH2701" t="s">
        <v>3898</v>
      </c>
      <c r="AI2701" t="s">
        <v>16164</v>
      </c>
      <c r="AJ2701" t="s">
        <v>4655</v>
      </c>
      <c r="AK2701" t="s">
        <v>16166</v>
      </c>
      <c r="AL2701" s="13" t="s">
        <v>1886</v>
      </c>
      <c r="AM2701" s="14">
        <v>1</v>
      </c>
      <c r="AN2701" s="15" t="s">
        <v>3439</v>
      </c>
    </row>
    <row r="2702" spans="1:40" x14ac:dyDescent="0.3">
      <c r="A2702" s="10" t="str">
        <f>HYPERLINK("http://www.washoecounty.gov/assessor/cama/?parid=036-102-05&amp;CardNumber=1","036-102-05")</f>
        <v>036-102-05</v>
      </c>
      <c r="B2702" t="s">
        <v>4655</v>
      </c>
      <c r="C2702" t="s">
        <v>16163</v>
      </c>
      <c r="D2702" s="1">
        <v>40310</v>
      </c>
      <c r="E2702" s="2">
        <v>125000</v>
      </c>
      <c r="F2702" t="s">
        <v>4567</v>
      </c>
      <c r="G2702" s="17" t="str">
        <f>HYPERLINK("https://www.washoecounty.gov/assessor/cama/?command=sales&amp;parid=03610205","3880563")</f>
        <v>3880563</v>
      </c>
      <c r="H2702" t="s">
        <v>3412</v>
      </c>
      <c r="I2702">
        <v>1971</v>
      </c>
      <c r="J2702">
        <v>1972</v>
      </c>
      <c r="K2702" t="s">
        <v>4554</v>
      </c>
      <c r="L2702" t="s">
        <v>4555</v>
      </c>
      <c r="M2702" s="2">
        <v>2134</v>
      </c>
      <c r="N2702" t="s">
        <v>4048</v>
      </c>
      <c r="O2702">
        <v>4</v>
      </c>
      <c r="P2702">
        <v>2</v>
      </c>
      <c r="Q2702">
        <v>0</v>
      </c>
      <c r="R2702" t="s">
        <v>5281</v>
      </c>
      <c r="S2702" t="s">
        <v>4135</v>
      </c>
      <c r="T2702" t="s">
        <v>4559</v>
      </c>
      <c r="U2702" t="s">
        <v>4560</v>
      </c>
      <c r="V2702" s="2">
        <v>547</v>
      </c>
      <c r="W2702" t="s">
        <v>4655</v>
      </c>
      <c r="X2702" s="2">
        <v>0</v>
      </c>
      <c r="Y2702">
        <v>20</v>
      </c>
      <c r="Z2702" t="s">
        <v>5200</v>
      </c>
      <c r="AA2702" s="3">
        <v>0.29100093245506298</v>
      </c>
      <c r="AB2702" t="s">
        <v>16164</v>
      </c>
      <c r="AC2702" t="s">
        <v>4562</v>
      </c>
      <c r="AD2702" t="s">
        <v>16165</v>
      </c>
      <c r="AE2702" t="s">
        <v>4655</v>
      </c>
      <c r="AF2702" t="s">
        <v>4809</v>
      </c>
      <c r="AG2702" t="s">
        <v>4564</v>
      </c>
      <c r="AH2702" t="s">
        <v>3898</v>
      </c>
      <c r="AI2702" t="s">
        <v>16164</v>
      </c>
      <c r="AJ2702" t="s">
        <v>4655</v>
      </c>
      <c r="AK2702" t="s">
        <v>16166</v>
      </c>
      <c r="AL2702" s="13" t="s">
        <v>1886</v>
      </c>
      <c r="AM2702">
        <v>1</v>
      </c>
      <c r="AN2702" s="15" t="s">
        <v>3439</v>
      </c>
    </row>
    <row r="2703" spans="1:40" x14ac:dyDescent="0.3">
      <c r="A2703" s="10" t="str">
        <f>HYPERLINK("http://www.washoecounty.gov/assessor/cama/?parid=036-102-05&amp;CardNumber=1","036-102-05")</f>
        <v>036-102-05</v>
      </c>
      <c r="B2703" t="s">
        <v>4655</v>
      </c>
      <c r="C2703" t="s">
        <v>16163</v>
      </c>
      <c r="D2703" s="1">
        <v>40520</v>
      </c>
      <c r="E2703" s="2">
        <v>185000</v>
      </c>
      <c r="F2703" t="s">
        <v>4567</v>
      </c>
      <c r="G2703" s="17" t="str">
        <f>HYPERLINK("https://www.washoecounty.gov/assessor/cama/?command=sales&amp;parid=03610205","3951035")</f>
        <v>3951035</v>
      </c>
      <c r="H2703" t="s">
        <v>3412</v>
      </c>
      <c r="I2703">
        <v>1971</v>
      </c>
      <c r="J2703">
        <v>1972</v>
      </c>
      <c r="K2703" t="s">
        <v>4554</v>
      </c>
      <c r="L2703" t="s">
        <v>4555</v>
      </c>
      <c r="M2703" s="2">
        <v>2134</v>
      </c>
      <c r="N2703" t="s">
        <v>4048</v>
      </c>
      <c r="O2703">
        <v>4</v>
      </c>
      <c r="P2703">
        <v>2</v>
      </c>
      <c r="Q2703">
        <v>0</v>
      </c>
      <c r="R2703" t="s">
        <v>5281</v>
      </c>
      <c r="S2703" t="s">
        <v>4135</v>
      </c>
      <c r="T2703" t="s">
        <v>4559</v>
      </c>
      <c r="U2703" t="s">
        <v>4560</v>
      </c>
      <c r="V2703" s="2">
        <v>547</v>
      </c>
      <c r="W2703" t="s">
        <v>4655</v>
      </c>
      <c r="X2703" s="2">
        <v>0</v>
      </c>
      <c r="Y2703">
        <v>20</v>
      </c>
      <c r="Z2703" t="s">
        <v>5200</v>
      </c>
      <c r="AA2703" s="3">
        <v>0.29100093245506298</v>
      </c>
      <c r="AB2703" t="s">
        <v>16164</v>
      </c>
      <c r="AC2703" t="s">
        <v>4562</v>
      </c>
      <c r="AD2703" t="s">
        <v>16165</v>
      </c>
      <c r="AE2703" t="s">
        <v>4655</v>
      </c>
      <c r="AF2703" t="s">
        <v>4809</v>
      </c>
      <c r="AG2703" t="s">
        <v>4564</v>
      </c>
      <c r="AH2703" t="s">
        <v>3898</v>
      </c>
      <c r="AI2703" t="s">
        <v>16164</v>
      </c>
      <c r="AJ2703" t="s">
        <v>4655</v>
      </c>
      <c r="AK2703" t="s">
        <v>16166</v>
      </c>
      <c r="AL2703" s="13" t="s">
        <v>1886</v>
      </c>
      <c r="AM2703">
        <v>1</v>
      </c>
      <c r="AN2703" s="15" t="s">
        <v>3439</v>
      </c>
    </row>
    <row r="2704" spans="1:40" x14ac:dyDescent="0.3">
      <c r="A2704" s="10" t="str">
        <f>HYPERLINK("http://www.washoecounty.gov/assessor/cama/?parid=036-103-01&amp;CardNumber=1","036-103-01")</f>
        <v>036-103-01</v>
      </c>
      <c r="B2704" t="s">
        <v>4655</v>
      </c>
      <c r="C2704" t="s">
        <v>16167</v>
      </c>
      <c r="D2704" s="1">
        <v>40354</v>
      </c>
      <c r="E2704" s="2">
        <v>150000</v>
      </c>
      <c r="F2704" t="s">
        <v>4553</v>
      </c>
      <c r="G2704" s="17" t="str">
        <f>HYPERLINK("https://www.washoecounty.gov/assessor/cama/?command=sales&amp;parid=03610301","3895472")</f>
        <v>3895472</v>
      </c>
      <c r="H2704" t="s">
        <v>3412</v>
      </c>
      <c r="I2704">
        <v>1971</v>
      </c>
      <c r="J2704">
        <v>1971</v>
      </c>
      <c r="K2704" t="s">
        <v>4554</v>
      </c>
      <c r="L2704" t="s">
        <v>2170</v>
      </c>
      <c r="M2704" s="2">
        <v>1902</v>
      </c>
      <c r="N2704" t="s">
        <v>4048</v>
      </c>
      <c r="O2704">
        <v>3</v>
      </c>
      <c r="P2704">
        <v>2</v>
      </c>
      <c r="Q2704">
        <v>1</v>
      </c>
      <c r="R2704" t="s">
        <v>5281</v>
      </c>
      <c r="S2704" t="s">
        <v>4135</v>
      </c>
      <c r="T2704" t="s">
        <v>4559</v>
      </c>
      <c r="U2704" t="s">
        <v>5631</v>
      </c>
      <c r="V2704" s="2">
        <v>504</v>
      </c>
      <c r="W2704" t="s">
        <v>4655</v>
      </c>
      <c r="X2704" s="2">
        <v>0</v>
      </c>
      <c r="Y2704">
        <v>20</v>
      </c>
      <c r="Z2704" t="s">
        <v>5200</v>
      </c>
      <c r="AA2704" s="3">
        <v>0.16499081254005399</v>
      </c>
      <c r="AB2704" t="s">
        <v>16168</v>
      </c>
      <c r="AC2704" t="s">
        <v>4562</v>
      </c>
      <c r="AD2704" t="s">
        <v>16169</v>
      </c>
      <c r="AE2704" t="s">
        <v>4655</v>
      </c>
      <c r="AF2704" t="s">
        <v>4809</v>
      </c>
      <c r="AG2704" t="s">
        <v>4564</v>
      </c>
      <c r="AH2704" t="s">
        <v>3898</v>
      </c>
      <c r="AI2704" t="s">
        <v>4045</v>
      </c>
      <c r="AJ2704" t="s">
        <v>4655</v>
      </c>
      <c r="AK2704" t="s">
        <v>16170</v>
      </c>
      <c r="AL2704" s="13" t="s">
        <v>1886</v>
      </c>
      <c r="AM2704" s="14">
        <v>1</v>
      </c>
      <c r="AN2704" s="15" t="s">
        <v>3439</v>
      </c>
    </row>
    <row r="2705" spans="1:40" x14ac:dyDescent="0.3">
      <c r="A2705" s="10" t="str">
        <f>HYPERLINK("http://www.washoecounty.gov/assessor/cama/?parid=036-106-01&amp;CardNumber=1","036-106-01")</f>
        <v>036-106-01</v>
      </c>
      <c r="B2705" t="s">
        <v>4655</v>
      </c>
      <c r="C2705" t="s">
        <v>16171</v>
      </c>
      <c r="D2705" s="1">
        <v>40387</v>
      </c>
      <c r="E2705" s="2">
        <v>135000</v>
      </c>
      <c r="F2705" t="s">
        <v>4553</v>
      </c>
      <c r="G2705" s="17" t="str">
        <f>HYPERLINK("https://www.washoecounty.gov/assessor/cama/?command=sales&amp;parid=03610601","3906189")</f>
        <v>3906189</v>
      </c>
      <c r="H2705" t="s">
        <v>3412</v>
      </c>
      <c r="I2705">
        <v>1972</v>
      </c>
      <c r="J2705">
        <v>1972</v>
      </c>
      <c r="K2705" t="s">
        <v>4554</v>
      </c>
      <c r="L2705" t="s">
        <v>4555</v>
      </c>
      <c r="M2705" s="2">
        <v>1210</v>
      </c>
      <c r="N2705" t="s">
        <v>4048</v>
      </c>
      <c r="O2705">
        <v>3</v>
      </c>
      <c r="P2705">
        <v>2</v>
      </c>
      <c r="Q2705">
        <v>0</v>
      </c>
      <c r="R2705" t="s">
        <v>4557</v>
      </c>
      <c r="S2705" t="s">
        <v>4558</v>
      </c>
      <c r="T2705" t="s">
        <v>4559</v>
      </c>
      <c r="U2705" t="s">
        <v>4560</v>
      </c>
      <c r="V2705" s="2">
        <v>516</v>
      </c>
      <c r="W2705" t="s">
        <v>4655</v>
      </c>
      <c r="X2705" s="2">
        <v>0</v>
      </c>
      <c r="Y2705">
        <v>20</v>
      </c>
      <c r="Z2705" t="s">
        <v>5200</v>
      </c>
      <c r="AA2705" s="3">
        <v>0.17100550234317799</v>
      </c>
      <c r="AB2705" t="s">
        <v>16172</v>
      </c>
      <c r="AC2705" t="s">
        <v>4562</v>
      </c>
      <c r="AD2705" t="s">
        <v>16173</v>
      </c>
      <c r="AE2705" t="s">
        <v>4655</v>
      </c>
      <c r="AF2705" t="s">
        <v>4809</v>
      </c>
      <c r="AG2705" t="s">
        <v>4564</v>
      </c>
      <c r="AH2705" t="s">
        <v>5202</v>
      </c>
      <c r="AI2705" t="s">
        <v>1283</v>
      </c>
      <c r="AJ2705" t="s">
        <v>4655</v>
      </c>
      <c r="AK2705" t="s">
        <v>16174</v>
      </c>
      <c r="AL2705" s="13" t="s">
        <v>1886</v>
      </c>
      <c r="AM2705">
        <v>1</v>
      </c>
      <c r="AN2705" s="15" t="s">
        <v>3439</v>
      </c>
    </row>
    <row r="2706" spans="1:40" x14ac:dyDescent="0.3">
      <c r="A2706" s="10" t="str">
        <f>HYPERLINK("http://www.washoecounty.gov/assessor/cama/?parid=036-111-12&amp;CardNumber=1","036-111-12")</f>
        <v>036-111-12</v>
      </c>
      <c r="B2706" t="s">
        <v>4655</v>
      </c>
      <c r="C2706" t="s">
        <v>16175</v>
      </c>
      <c r="D2706" s="1">
        <v>40442</v>
      </c>
      <c r="E2706" s="2">
        <v>115000</v>
      </c>
      <c r="F2706" t="s">
        <v>4553</v>
      </c>
      <c r="G2706" s="17" t="str">
        <f>HYPERLINK("https://www.washoecounty.gov/assessor/cama/?command=sales&amp;parid=03611112","3924572")</f>
        <v>3924572</v>
      </c>
      <c r="H2706" t="s">
        <v>4755</v>
      </c>
      <c r="I2706">
        <v>1976</v>
      </c>
      <c r="J2706">
        <v>1977</v>
      </c>
      <c r="K2706" t="s">
        <v>4554</v>
      </c>
      <c r="L2706" t="s">
        <v>2170</v>
      </c>
      <c r="M2706" s="2">
        <v>1620</v>
      </c>
      <c r="N2706" t="s">
        <v>4048</v>
      </c>
      <c r="O2706">
        <v>3</v>
      </c>
      <c r="P2706">
        <v>2</v>
      </c>
      <c r="Q2706">
        <v>0</v>
      </c>
      <c r="R2706" t="s">
        <v>5281</v>
      </c>
      <c r="S2706" t="s">
        <v>4558</v>
      </c>
      <c r="T2706" t="s">
        <v>4559</v>
      </c>
      <c r="U2706" t="s">
        <v>4560</v>
      </c>
      <c r="V2706" s="2">
        <v>528</v>
      </c>
      <c r="W2706" t="s">
        <v>4655</v>
      </c>
      <c r="X2706" s="2">
        <v>0</v>
      </c>
      <c r="Y2706">
        <v>20</v>
      </c>
      <c r="Z2706" t="s">
        <v>4398</v>
      </c>
      <c r="AA2706" s="3">
        <v>0.20300734043121299</v>
      </c>
      <c r="AB2706" t="s">
        <v>16176</v>
      </c>
      <c r="AC2706" t="s">
        <v>4562</v>
      </c>
      <c r="AD2706" t="s">
        <v>16175</v>
      </c>
      <c r="AE2706" t="s">
        <v>4655</v>
      </c>
      <c r="AF2706" t="s">
        <v>5201</v>
      </c>
      <c r="AG2706" t="s">
        <v>4564</v>
      </c>
      <c r="AH2706" t="s">
        <v>3898</v>
      </c>
      <c r="AI2706" t="s">
        <v>4655</v>
      </c>
      <c r="AJ2706" t="s">
        <v>4655</v>
      </c>
      <c r="AK2706" t="s">
        <v>16177</v>
      </c>
      <c r="AL2706" s="13" t="s">
        <v>1886</v>
      </c>
      <c r="AM2706">
        <v>1</v>
      </c>
      <c r="AN2706" s="15" t="s">
        <v>3439</v>
      </c>
    </row>
    <row r="2707" spans="1:40" x14ac:dyDescent="0.3">
      <c r="A2707" s="10" t="str">
        <f>HYPERLINK("http://www.washoecounty.gov/assessor/cama/?parid=036-112-03&amp;CardNumber=1","036-112-03")</f>
        <v>036-112-03</v>
      </c>
      <c r="B2707" t="s">
        <v>4655</v>
      </c>
      <c r="C2707" t="s">
        <v>16178</v>
      </c>
      <c r="D2707" s="1">
        <v>40218</v>
      </c>
      <c r="E2707" s="2">
        <v>93000</v>
      </c>
      <c r="F2707" t="s">
        <v>4553</v>
      </c>
      <c r="G2707" s="17" t="str">
        <f>HYPERLINK("https://www.washoecounty.gov/assessor/cama/?command=sales&amp;parid=03611203","3847453")</f>
        <v>3847453</v>
      </c>
      <c r="H2707" t="s">
        <v>3412</v>
      </c>
      <c r="I2707">
        <v>1972</v>
      </c>
      <c r="J2707">
        <v>1972</v>
      </c>
      <c r="K2707" t="s">
        <v>4554</v>
      </c>
      <c r="L2707" t="s">
        <v>4555</v>
      </c>
      <c r="M2707" s="2">
        <v>989</v>
      </c>
      <c r="N2707" t="s">
        <v>4048</v>
      </c>
      <c r="O2707">
        <v>2</v>
      </c>
      <c r="P2707">
        <v>1</v>
      </c>
      <c r="Q2707">
        <v>0</v>
      </c>
      <c r="R2707" t="s">
        <v>4557</v>
      </c>
      <c r="S2707" t="s">
        <v>4135</v>
      </c>
      <c r="T2707" t="s">
        <v>4559</v>
      </c>
      <c r="U2707" t="s">
        <v>4560</v>
      </c>
      <c r="V2707" s="2">
        <v>506</v>
      </c>
      <c r="W2707" t="s">
        <v>4655</v>
      </c>
      <c r="X2707" s="2">
        <v>0</v>
      </c>
      <c r="Y2707">
        <v>20</v>
      </c>
      <c r="Z2707" t="s">
        <v>5200</v>
      </c>
      <c r="AA2707" s="3">
        <v>0.14600551128387501</v>
      </c>
      <c r="AB2707" t="s">
        <v>16179</v>
      </c>
      <c r="AC2707" t="s">
        <v>4562</v>
      </c>
      <c r="AD2707" t="s">
        <v>16178</v>
      </c>
      <c r="AE2707" t="s">
        <v>4655</v>
      </c>
      <c r="AF2707" t="s">
        <v>5201</v>
      </c>
      <c r="AG2707" t="s">
        <v>4564</v>
      </c>
      <c r="AH2707" t="s">
        <v>3898</v>
      </c>
      <c r="AI2707" t="s">
        <v>4565</v>
      </c>
      <c r="AJ2707" t="s">
        <v>4655</v>
      </c>
      <c r="AK2707" t="s">
        <v>16180</v>
      </c>
      <c r="AL2707" s="13" t="s">
        <v>1886</v>
      </c>
      <c r="AM2707">
        <v>1</v>
      </c>
      <c r="AN2707" s="15" t="s">
        <v>3439</v>
      </c>
    </row>
    <row r="2708" spans="1:40" x14ac:dyDescent="0.3">
      <c r="A2708" s="10" t="str">
        <f>HYPERLINK("http://www.washoecounty.gov/assessor/cama/?parid=036-114-05&amp;CardNumber=1","036-114-05")</f>
        <v>036-114-05</v>
      </c>
      <c r="B2708" t="s">
        <v>4655</v>
      </c>
      <c r="C2708" t="s">
        <v>16181</v>
      </c>
      <c r="D2708" s="1">
        <v>40310</v>
      </c>
      <c r="E2708" s="2">
        <v>139000</v>
      </c>
      <c r="F2708" t="s">
        <v>4567</v>
      </c>
      <c r="G2708" s="17" t="str">
        <f>HYPERLINK("https://www.washoecounty.gov/assessor/cama/?command=sales&amp;parid=03611405","3880576")</f>
        <v>3880576</v>
      </c>
      <c r="H2708" t="s">
        <v>4835</v>
      </c>
      <c r="I2708">
        <v>1972</v>
      </c>
      <c r="J2708">
        <v>1972</v>
      </c>
      <c r="K2708" t="s">
        <v>4554</v>
      </c>
      <c r="L2708" t="s">
        <v>2170</v>
      </c>
      <c r="M2708" s="2">
        <v>1928</v>
      </c>
      <c r="N2708" t="s">
        <v>4048</v>
      </c>
      <c r="O2708">
        <v>4</v>
      </c>
      <c r="P2708">
        <v>2</v>
      </c>
      <c r="Q2708">
        <v>0</v>
      </c>
      <c r="R2708" t="s">
        <v>4557</v>
      </c>
      <c r="S2708" t="s">
        <v>4574</v>
      </c>
      <c r="T2708" t="s">
        <v>4559</v>
      </c>
      <c r="U2708" t="s">
        <v>5631</v>
      </c>
      <c r="V2708" s="2">
        <v>526</v>
      </c>
      <c r="W2708" t="s">
        <v>4655</v>
      </c>
      <c r="X2708" s="2">
        <v>0</v>
      </c>
      <c r="Y2708">
        <v>20</v>
      </c>
      <c r="Z2708" t="s">
        <v>5200</v>
      </c>
      <c r="AA2708" s="3">
        <v>0.24600550532341001</v>
      </c>
      <c r="AB2708" t="s">
        <v>16182</v>
      </c>
      <c r="AC2708" t="s">
        <v>4562</v>
      </c>
      <c r="AD2708" t="s">
        <v>16183</v>
      </c>
      <c r="AE2708" t="s">
        <v>4655</v>
      </c>
      <c r="AF2708" t="s">
        <v>5201</v>
      </c>
      <c r="AG2708" t="s">
        <v>4564</v>
      </c>
      <c r="AH2708" t="s">
        <v>3898</v>
      </c>
      <c r="AI2708" t="s">
        <v>16184</v>
      </c>
      <c r="AJ2708" t="s">
        <v>4655</v>
      </c>
      <c r="AK2708" t="s">
        <v>16185</v>
      </c>
      <c r="AL2708" s="13" t="s">
        <v>1886</v>
      </c>
      <c r="AM2708">
        <v>1</v>
      </c>
      <c r="AN2708" s="15" t="s">
        <v>3439</v>
      </c>
    </row>
    <row r="2709" spans="1:40" x14ac:dyDescent="0.3">
      <c r="A2709" s="10" t="str">
        <f>HYPERLINK("http://www.washoecounty.gov/assessor/cama/?parid=036-114-12&amp;CardNumber=1","036-114-12")</f>
        <v>036-114-12</v>
      </c>
      <c r="B2709" t="s">
        <v>4655</v>
      </c>
      <c r="C2709" t="s">
        <v>16186</v>
      </c>
      <c r="D2709" s="1">
        <v>40193</v>
      </c>
      <c r="E2709" s="2">
        <v>132000</v>
      </c>
      <c r="F2709" t="s">
        <v>4567</v>
      </c>
      <c r="G2709" s="17" t="str">
        <f>HYPERLINK("https://www.washoecounty.gov/assessor/cama/?command=sales&amp;parid=03611412","3840090")</f>
        <v>3840090</v>
      </c>
      <c r="H2709" t="s">
        <v>3412</v>
      </c>
      <c r="I2709">
        <v>1972</v>
      </c>
      <c r="J2709">
        <v>1972</v>
      </c>
      <c r="K2709" t="s">
        <v>4554</v>
      </c>
      <c r="L2709" t="s">
        <v>2170</v>
      </c>
      <c r="M2709" s="2">
        <v>1902</v>
      </c>
      <c r="N2709" t="s">
        <v>4048</v>
      </c>
      <c r="O2709">
        <v>3</v>
      </c>
      <c r="P2709">
        <v>2</v>
      </c>
      <c r="Q2709">
        <v>1</v>
      </c>
      <c r="R2709" t="s">
        <v>4557</v>
      </c>
      <c r="S2709" t="s">
        <v>4574</v>
      </c>
      <c r="T2709" t="s">
        <v>4559</v>
      </c>
      <c r="U2709" t="s">
        <v>5631</v>
      </c>
      <c r="V2709" s="2">
        <v>504</v>
      </c>
      <c r="W2709" t="s">
        <v>4655</v>
      </c>
      <c r="X2709" s="2">
        <v>0</v>
      </c>
      <c r="Y2709">
        <v>20</v>
      </c>
      <c r="Z2709" t="s">
        <v>5200</v>
      </c>
      <c r="AA2709" s="3">
        <v>0.15199723839759827</v>
      </c>
      <c r="AB2709" t="s">
        <v>16187</v>
      </c>
      <c r="AC2709" t="s">
        <v>4575</v>
      </c>
      <c r="AD2709" t="s">
        <v>16186</v>
      </c>
      <c r="AE2709" t="s">
        <v>4655</v>
      </c>
      <c r="AF2709" t="s">
        <v>5201</v>
      </c>
      <c r="AG2709" t="s">
        <v>4564</v>
      </c>
      <c r="AH2709" t="s">
        <v>3898</v>
      </c>
      <c r="AI2709" t="s">
        <v>16188</v>
      </c>
      <c r="AJ2709" t="s">
        <v>4655</v>
      </c>
      <c r="AK2709" t="s">
        <v>16189</v>
      </c>
      <c r="AL2709" s="13" t="s">
        <v>1886</v>
      </c>
      <c r="AM2709">
        <v>1</v>
      </c>
      <c r="AN2709" s="15" t="s">
        <v>3439</v>
      </c>
    </row>
    <row r="2710" spans="1:40" x14ac:dyDescent="0.3">
      <c r="A2710" s="10" t="str">
        <f>HYPERLINK("http://www.washoecounty.gov/assessor/cama/?parid=036-114-16&amp;CardNumber=1","036-114-16")</f>
        <v>036-114-16</v>
      </c>
      <c r="B2710" t="s">
        <v>4655</v>
      </c>
      <c r="C2710" t="s">
        <v>16190</v>
      </c>
      <c r="D2710" s="1">
        <v>40518</v>
      </c>
      <c r="E2710" s="2">
        <v>103000</v>
      </c>
      <c r="F2710" t="s">
        <v>4553</v>
      </c>
      <c r="G2710" s="17" t="str">
        <f>HYPERLINK("https://www.washoecounty.gov/assessor/cama/?command=sales&amp;parid=03611416","3949668")</f>
        <v>3949668</v>
      </c>
      <c r="H2710" t="s">
        <v>3412</v>
      </c>
      <c r="I2710">
        <v>1972</v>
      </c>
      <c r="J2710">
        <v>1972</v>
      </c>
      <c r="K2710" t="s">
        <v>4554</v>
      </c>
      <c r="L2710" t="s">
        <v>4555</v>
      </c>
      <c r="M2710" s="2">
        <v>1210</v>
      </c>
      <c r="N2710" t="s">
        <v>4048</v>
      </c>
      <c r="O2710">
        <v>3</v>
      </c>
      <c r="P2710">
        <v>2</v>
      </c>
      <c r="Q2710">
        <v>0</v>
      </c>
      <c r="R2710" t="s">
        <v>4557</v>
      </c>
      <c r="S2710" t="s">
        <v>4135</v>
      </c>
      <c r="T2710" t="s">
        <v>4559</v>
      </c>
      <c r="U2710" t="s">
        <v>4560</v>
      </c>
      <c r="V2710" s="2">
        <v>516</v>
      </c>
      <c r="W2710" t="s">
        <v>4655</v>
      </c>
      <c r="X2710" s="2">
        <v>0</v>
      </c>
      <c r="Y2710">
        <v>20</v>
      </c>
      <c r="Z2710" t="s">
        <v>5200</v>
      </c>
      <c r="AA2710" s="3">
        <v>0.15899908542633101</v>
      </c>
      <c r="AB2710" t="s">
        <v>16191</v>
      </c>
      <c r="AC2710" t="s">
        <v>4562</v>
      </c>
      <c r="AD2710" t="s">
        <v>16192</v>
      </c>
      <c r="AE2710" t="s">
        <v>4655</v>
      </c>
      <c r="AF2710" t="s">
        <v>4563</v>
      </c>
      <c r="AG2710" t="s">
        <v>4564</v>
      </c>
      <c r="AH2710">
        <v>89505</v>
      </c>
      <c r="AI2710" t="s">
        <v>3129</v>
      </c>
      <c r="AJ2710" t="s">
        <v>4655</v>
      </c>
      <c r="AK2710" t="s">
        <v>16193</v>
      </c>
      <c r="AL2710" s="13" t="s">
        <v>1886</v>
      </c>
      <c r="AM2710">
        <v>1</v>
      </c>
      <c r="AN2710" s="15" t="s">
        <v>3439</v>
      </c>
    </row>
    <row r="2711" spans="1:40" x14ac:dyDescent="0.3">
      <c r="A2711" s="10" t="str">
        <f>HYPERLINK("http://www.washoecounty.gov/assessor/cama/?parid=036-122-02&amp;CardNumber=1","036-122-02")</f>
        <v>036-122-02</v>
      </c>
      <c r="B2711" t="s">
        <v>4655</v>
      </c>
      <c r="C2711" t="s">
        <v>16194</v>
      </c>
      <c r="D2711" s="1">
        <v>40395</v>
      </c>
      <c r="E2711" s="2">
        <v>105000</v>
      </c>
      <c r="F2711" t="s">
        <v>4567</v>
      </c>
      <c r="G2711" s="17" t="str">
        <f>HYPERLINK("https://www.washoecounty.gov/assessor/cama/?command=sales&amp;parid=03612202","3909212")</f>
        <v>3909212</v>
      </c>
      <c r="H2711" t="s">
        <v>2152</v>
      </c>
      <c r="I2711">
        <v>1972</v>
      </c>
      <c r="J2711">
        <v>1972</v>
      </c>
      <c r="K2711" t="s">
        <v>4554</v>
      </c>
      <c r="L2711" t="s">
        <v>4555</v>
      </c>
      <c r="M2711" s="2">
        <v>1333</v>
      </c>
      <c r="N2711" t="s">
        <v>4048</v>
      </c>
      <c r="O2711">
        <v>3</v>
      </c>
      <c r="P2711">
        <v>2</v>
      </c>
      <c r="Q2711">
        <v>0</v>
      </c>
      <c r="R2711" t="s">
        <v>5281</v>
      </c>
      <c r="S2711" t="s">
        <v>4135</v>
      </c>
      <c r="T2711" t="s">
        <v>4559</v>
      </c>
      <c r="U2711" t="s">
        <v>4560</v>
      </c>
      <c r="V2711" s="2">
        <v>483</v>
      </c>
      <c r="W2711" t="s">
        <v>4655</v>
      </c>
      <c r="X2711" s="2">
        <v>0</v>
      </c>
      <c r="Y2711">
        <v>20</v>
      </c>
      <c r="Z2711" t="s">
        <v>5200</v>
      </c>
      <c r="AA2711" s="3">
        <v>0.16499081254005399</v>
      </c>
      <c r="AB2711" t="s">
        <v>16195</v>
      </c>
      <c r="AC2711" t="s">
        <v>4562</v>
      </c>
      <c r="AD2711" t="s">
        <v>16196</v>
      </c>
      <c r="AE2711" t="s">
        <v>4655</v>
      </c>
      <c r="AF2711" t="s">
        <v>4563</v>
      </c>
      <c r="AG2711" t="s">
        <v>4564</v>
      </c>
      <c r="AH2711">
        <v>89510</v>
      </c>
      <c r="AI2711" t="s">
        <v>16197</v>
      </c>
      <c r="AJ2711" t="s">
        <v>4655</v>
      </c>
      <c r="AK2711" t="s">
        <v>16198</v>
      </c>
      <c r="AL2711" s="13" t="s">
        <v>1886</v>
      </c>
      <c r="AM2711">
        <v>1</v>
      </c>
      <c r="AN2711" s="15" t="s">
        <v>3439</v>
      </c>
    </row>
    <row r="2712" spans="1:40" x14ac:dyDescent="0.3">
      <c r="A2712" s="10" t="str">
        <f>HYPERLINK("http://www.washoecounty.gov/assessor/cama/?parid=036-122-03&amp;CardNumber=1","036-122-03")</f>
        <v>036-122-03</v>
      </c>
      <c r="B2712" t="s">
        <v>4655</v>
      </c>
      <c r="C2712" t="s">
        <v>16199</v>
      </c>
      <c r="D2712" s="1">
        <v>40451</v>
      </c>
      <c r="E2712" s="2">
        <v>154900</v>
      </c>
      <c r="F2712" t="s">
        <v>4553</v>
      </c>
      <c r="G2712" s="17" t="str">
        <f>HYPERLINK("https://www.washoecounty.gov/assessor/cama/?command=sales&amp;parid=03612203","3927971")</f>
        <v>3927971</v>
      </c>
      <c r="H2712" t="s">
        <v>2152</v>
      </c>
      <c r="I2712">
        <v>1972</v>
      </c>
      <c r="J2712">
        <v>1972</v>
      </c>
      <c r="K2712" t="s">
        <v>4554</v>
      </c>
      <c r="L2712" t="s">
        <v>2170</v>
      </c>
      <c r="M2712" s="2">
        <v>1902</v>
      </c>
      <c r="N2712" t="s">
        <v>4048</v>
      </c>
      <c r="O2712">
        <v>3</v>
      </c>
      <c r="P2712">
        <v>2</v>
      </c>
      <c r="Q2712">
        <v>1</v>
      </c>
      <c r="R2712" t="s">
        <v>4557</v>
      </c>
      <c r="S2712" t="s">
        <v>4574</v>
      </c>
      <c r="T2712" t="s">
        <v>4559</v>
      </c>
      <c r="U2712" t="s">
        <v>5631</v>
      </c>
      <c r="V2712" s="2">
        <v>504</v>
      </c>
      <c r="W2712" t="s">
        <v>4655</v>
      </c>
      <c r="X2712" s="2">
        <v>0</v>
      </c>
      <c r="Y2712">
        <v>20</v>
      </c>
      <c r="Z2712" t="s">
        <v>5200</v>
      </c>
      <c r="AA2712" s="3">
        <v>0.16799816489219666</v>
      </c>
      <c r="AB2712" t="s">
        <v>16200</v>
      </c>
      <c r="AC2712" t="s">
        <v>4562</v>
      </c>
      <c r="AD2712" t="s">
        <v>16201</v>
      </c>
      <c r="AE2712" t="s">
        <v>4655</v>
      </c>
      <c r="AF2712" t="s">
        <v>4809</v>
      </c>
      <c r="AG2712" t="s">
        <v>4564</v>
      </c>
      <c r="AH2712" t="s">
        <v>3898</v>
      </c>
      <c r="AI2712" t="s">
        <v>4534</v>
      </c>
      <c r="AJ2712" t="s">
        <v>4655</v>
      </c>
      <c r="AK2712" t="s">
        <v>16202</v>
      </c>
      <c r="AL2712" s="13" t="s">
        <v>1886</v>
      </c>
      <c r="AM2712">
        <v>1</v>
      </c>
      <c r="AN2712" s="15" t="s">
        <v>3439</v>
      </c>
    </row>
    <row r="2713" spans="1:40" x14ac:dyDescent="0.3">
      <c r="A2713" s="10" t="str">
        <f>HYPERLINK("http://www.washoecounty.gov/assessor/cama/?parid=036-122-04&amp;CardNumber=1","036-122-04")</f>
        <v>036-122-04</v>
      </c>
      <c r="B2713" t="s">
        <v>4655</v>
      </c>
      <c r="C2713" t="s">
        <v>16203</v>
      </c>
      <c r="D2713" s="1">
        <v>40535</v>
      </c>
      <c r="E2713" s="2">
        <v>63000</v>
      </c>
      <c r="F2713" t="s">
        <v>4553</v>
      </c>
      <c r="G2713" s="17" t="str">
        <f>HYPERLINK("https://www.washoecounty.gov/assessor/cama/?command=sales&amp;parid=03612204","3956816")</f>
        <v>3956816</v>
      </c>
      <c r="H2713" t="s">
        <v>2152</v>
      </c>
      <c r="I2713">
        <v>1972</v>
      </c>
      <c r="J2713">
        <v>1973</v>
      </c>
      <c r="K2713" t="s">
        <v>4554</v>
      </c>
      <c r="L2713" t="s">
        <v>4555</v>
      </c>
      <c r="M2713" s="2">
        <v>1400</v>
      </c>
      <c r="N2713" t="s">
        <v>4048</v>
      </c>
      <c r="O2713">
        <v>3</v>
      </c>
      <c r="P2713">
        <v>2</v>
      </c>
      <c r="Q2713">
        <v>0</v>
      </c>
      <c r="R2713" t="s">
        <v>4557</v>
      </c>
      <c r="S2713" t="s">
        <v>4574</v>
      </c>
      <c r="T2713" t="s">
        <v>4559</v>
      </c>
      <c r="U2713" t="s">
        <v>4655</v>
      </c>
      <c r="V2713" s="2">
        <v>0</v>
      </c>
      <c r="W2713" t="s">
        <v>4655</v>
      </c>
      <c r="X2713" s="2">
        <v>0</v>
      </c>
      <c r="Y2713">
        <v>20</v>
      </c>
      <c r="Z2713" t="s">
        <v>5200</v>
      </c>
      <c r="AA2713" s="3">
        <v>0.15500459074974099</v>
      </c>
      <c r="AB2713" t="s">
        <v>16204</v>
      </c>
      <c r="AC2713" t="s">
        <v>4562</v>
      </c>
      <c r="AD2713" t="s">
        <v>16205</v>
      </c>
      <c r="AE2713" t="s">
        <v>4655</v>
      </c>
      <c r="AF2713" t="s">
        <v>4563</v>
      </c>
      <c r="AG2713" t="s">
        <v>4564</v>
      </c>
      <c r="AH2713" t="s">
        <v>1147</v>
      </c>
      <c r="AI2713" t="s">
        <v>4503</v>
      </c>
      <c r="AJ2713" t="s">
        <v>4655</v>
      </c>
      <c r="AK2713" t="s">
        <v>16206</v>
      </c>
      <c r="AL2713" s="13" t="s">
        <v>1886</v>
      </c>
      <c r="AM2713">
        <v>1</v>
      </c>
      <c r="AN2713" s="15" t="s">
        <v>3439</v>
      </c>
    </row>
    <row r="2714" spans="1:40" x14ac:dyDescent="0.3">
      <c r="A2714" s="10" t="str">
        <f>HYPERLINK("http://www.washoecounty.gov/assessor/cama/?parid=036-123-27&amp;CardNumber=1","036-123-27")</f>
        <v>036-123-27</v>
      </c>
      <c r="B2714" t="s">
        <v>4655</v>
      </c>
      <c r="C2714" t="s">
        <v>16207</v>
      </c>
      <c r="D2714" s="1">
        <v>40497</v>
      </c>
      <c r="E2714" s="2">
        <v>128000</v>
      </c>
      <c r="F2714" t="s">
        <v>4567</v>
      </c>
      <c r="G2714" s="17" t="str">
        <f>HYPERLINK("https://www.washoecounty.gov/assessor/cama/?command=sales&amp;parid=03612327","3942859")</f>
        <v>3942859</v>
      </c>
      <c r="H2714" t="s">
        <v>2152</v>
      </c>
      <c r="I2714">
        <v>1972</v>
      </c>
      <c r="J2714">
        <v>1972</v>
      </c>
      <c r="K2714" t="s">
        <v>4554</v>
      </c>
      <c r="L2714" t="s">
        <v>4555</v>
      </c>
      <c r="M2714" s="2">
        <v>1333</v>
      </c>
      <c r="N2714" t="s">
        <v>4048</v>
      </c>
      <c r="O2714">
        <v>3</v>
      </c>
      <c r="P2714">
        <v>2</v>
      </c>
      <c r="Q2714">
        <v>0</v>
      </c>
      <c r="R2714" t="s">
        <v>4557</v>
      </c>
      <c r="S2714" t="s">
        <v>4135</v>
      </c>
      <c r="T2714" t="s">
        <v>4559</v>
      </c>
      <c r="U2714" t="s">
        <v>4560</v>
      </c>
      <c r="V2714" s="2">
        <v>483</v>
      </c>
      <c r="W2714" t="s">
        <v>4655</v>
      </c>
      <c r="X2714" s="2">
        <v>0</v>
      </c>
      <c r="Y2714">
        <v>20</v>
      </c>
      <c r="Z2714" t="s">
        <v>5200</v>
      </c>
      <c r="AA2714" s="3">
        <v>0.141000911593437</v>
      </c>
      <c r="AB2714" t="s">
        <v>16208</v>
      </c>
      <c r="AC2714" t="s">
        <v>4575</v>
      </c>
      <c r="AD2714" t="s">
        <v>16209</v>
      </c>
      <c r="AE2714" t="s">
        <v>4655</v>
      </c>
      <c r="AF2714" t="s">
        <v>5201</v>
      </c>
      <c r="AG2714" t="s">
        <v>4564</v>
      </c>
      <c r="AH2714" t="s">
        <v>5202</v>
      </c>
      <c r="AI2714" t="s">
        <v>16210</v>
      </c>
      <c r="AJ2714" t="s">
        <v>4655</v>
      </c>
      <c r="AK2714" t="s">
        <v>16211</v>
      </c>
      <c r="AL2714" s="13" t="s">
        <v>1886</v>
      </c>
      <c r="AM2714" s="14">
        <v>1</v>
      </c>
      <c r="AN2714" s="15" t="s">
        <v>3439</v>
      </c>
    </row>
    <row r="2715" spans="1:40" x14ac:dyDescent="0.3">
      <c r="A2715" s="10" t="str">
        <f>HYPERLINK("http://www.washoecounty.gov/assessor/cama/?parid=036-131-10&amp;CardNumber=1","036-131-10")</f>
        <v>036-131-10</v>
      </c>
      <c r="B2715" t="s">
        <v>4655</v>
      </c>
      <c r="C2715" t="s">
        <v>16212</v>
      </c>
      <c r="D2715" s="1">
        <v>40266</v>
      </c>
      <c r="E2715" s="2">
        <v>37500</v>
      </c>
      <c r="F2715" t="s">
        <v>4553</v>
      </c>
      <c r="G2715" s="17" t="str">
        <f>HYPERLINK("https://www.washoecounty.gov/assessor/cama/?command=sales&amp;parid=03613110","3864967")</f>
        <v>3864967</v>
      </c>
      <c r="H2715" t="s">
        <v>5429</v>
      </c>
      <c r="I2715">
        <v>1973</v>
      </c>
      <c r="J2715">
        <v>1973</v>
      </c>
      <c r="K2715" t="s">
        <v>4897</v>
      </c>
      <c r="L2715" t="s">
        <v>4555</v>
      </c>
      <c r="M2715" s="2">
        <v>936</v>
      </c>
      <c r="N2715" t="s">
        <v>4048</v>
      </c>
      <c r="O2715">
        <v>2</v>
      </c>
      <c r="P2715">
        <v>1</v>
      </c>
      <c r="Q2715">
        <v>0</v>
      </c>
      <c r="R2715" t="s">
        <v>5281</v>
      </c>
      <c r="S2715" t="s">
        <v>4558</v>
      </c>
      <c r="T2715" t="s">
        <v>4559</v>
      </c>
      <c r="U2715" t="s">
        <v>4655</v>
      </c>
      <c r="V2715" s="2">
        <v>0</v>
      </c>
      <c r="W2715" t="s">
        <v>4655</v>
      </c>
      <c r="X2715" s="2">
        <v>0</v>
      </c>
      <c r="Y2715">
        <v>21</v>
      </c>
      <c r="Z2715" t="s">
        <v>2081</v>
      </c>
      <c r="AA2715" s="3">
        <v>1.00000004749745E-3</v>
      </c>
      <c r="AB2715" t="s">
        <v>16213</v>
      </c>
      <c r="AC2715" t="s">
        <v>4562</v>
      </c>
      <c r="AD2715" t="s">
        <v>16214</v>
      </c>
      <c r="AE2715" t="s">
        <v>4655</v>
      </c>
      <c r="AF2715" t="s">
        <v>4809</v>
      </c>
      <c r="AG2715" t="s">
        <v>4564</v>
      </c>
      <c r="AH2715" t="s">
        <v>3898</v>
      </c>
      <c r="AI2715" t="s">
        <v>5430</v>
      </c>
      <c r="AJ2715" t="s">
        <v>4655</v>
      </c>
      <c r="AK2715" t="s">
        <v>16215</v>
      </c>
      <c r="AL2715" s="13" t="s">
        <v>1886</v>
      </c>
      <c r="AM2715">
        <v>1</v>
      </c>
      <c r="AN2715" s="15" t="s">
        <v>5431</v>
      </c>
    </row>
    <row r="2716" spans="1:40" x14ac:dyDescent="0.3">
      <c r="A2716" s="10" t="str">
        <f>HYPERLINK("http://www.washoecounty.gov/assessor/cama/?parid=036-131-10&amp;CardNumber=1","036-131-10")</f>
        <v>036-131-10</v>
      </c>
      <c r="B2716" t="s">
        <v>4655</v>
      </c>
      <c r="C2716" t="s">
        <v>16212</v>
      </c>
      <c r="D2716" s="1">
        <v>40471</v>
      </c>
      <c r="E2716" s="2">
        <v>64500</v>
      </c>
      <c r="F2716" t="s">
        <v>4567</v>
      </c>
      <c r="G2716" s="17" t="str">
        <f>HYPERLINK("https://www.washoecounty.gov/assessor/cama/?command=sales&amp;parid=03613110","3935056")</f>
        <v>3935056</v>
      </c>
      <c r="H2716" t="s">
        <v>5429</v>
      </c>
      <c r="I2716">
        <v>1973</v>
      </c>
      <c r="J2716">
        <v>1973</v>
      </c>
      <c r="K2716" t="s">
        <v>4897</v>
      </c>
      <c r="L2716" t="s">
        <v>4555</v>
      </c>
      <c r="M2716" s="2">
        <v>936</v>
      </c>
      <c r="N2716" t="s">
        <v>4048</v>
      </c>
      <c r="O2716">
        <v>2</v>
      </c>
      <c r="P2716">
        <v>1</v>
      </c>
      <c r="Q2716">
        <v>0</v>
      </c>
      <c r="R2716" t="s">
        <v>5281</v>
      </c>
      <c r="S2716" t="s">
        <v>4558</v>
      </c>
      <c r="T2716" t="s">
        <v>4559</v>
      </c>
      <c r="U2716" t="s">
        <v>4655</v>
      </c>
      <c r="V2716" s="2">
        <v>0</v>
      </c>
      <c r="W2716" t="s">
        <v>4655</v>
      </c>
      <c r="X2716" s="2">
        <v>0</v>
      </c>
      <c r="Y2716">
        <v>21</v>
      </c>
      <c r="Z2716" t="s">
        <v>2081</v>
      </c>
      <c r="AA2716" s="3">
        <v>1.00000004749745E-3</v>
      </c>
      <c r="AB2716" t="s">
        <v>16213</v>
      </c>
      <c r="AC2716" t="s">
        <v>4562</v>
      </c>
      <c r="AD2716" t="s">
        <v>16214</v>
      </c>
      <c r="AE2716" t="s">
        <v>4655</v>
      </c>
      <c r="AF2716" t="s">
        <v>4809</v>
      </c>
      <c r="AG2716" t="s">
        <v>4564</v>
      </c>
      <c r="AH2716" t="s">
        <v>3898</v>
      </c>
      <c r="AI2716" t="s">
        <v>5430</v>
      </c>
      <c r="AJ2716" t="s">
        <v>4655</v>
      </c>
      <c r="AK2716" t="s">
        <v>16215</v>
      </c>
      <c r="AL2716" s="13" t="s">
        <v>1886</v>
      </c>
      <c r="AM2716" s="14">
        <v>1</v>
      </c>
      <c r="AN2716" s="15" t="s">
        <v>5431</v>
      </c>
    </row>
    <row r="2717" spans="1:40" x14ac:dyDescent="0.3">
      <c r="A2717" s="10" t="str">
        <f>HYPERLINK("http://www.washoecounty.gov/assessor/cama/?parid=036-131-17&amp;CardNumber=1","036-131-17")</f>
        <v>036-131-17</v>
      </c>
      <c r="B2717" t="s">
        <v>4655</v>
      </c>
      <c r="C2717" t="s">
        <v>16216</v>
      </c>
      <c r="D2717" s="1">
        <v>40373</v>
      </c>
      <c r="E2717" s="2">
        <v>76500</v>
      </c>
      <c r="F2717" t="s">
        <v>4553</v>
      </c>
      <c r="G2717" s="17" t="str">
        <f>HYPERLINK("https://www.washoecounty.gov/assessor/cama/?command=sales&amp;parid=03613117","3901428")</f>
        <v>3901428</v>
      </c>
      <c r="H2717" t="s">
        <v>5429</v>
      </c>
      <c r="I2717">
        <v>1973</v>
      </c>
      <c r="J2717">
        <v>1973</v>
      </c>
      <c r="K2717" t="s">
        <v>3144</v>
      </c>
      <c r="L2717" t="s">
        <v>3974</v>
      </c>
      <c r="M2717" s="2">
        <v>1276</v>
      </c>
      <c r="N2717" t="s">
        <v>4048</v>
      </c>
      <c r="O2717">
        <v>3</v>
      </c>
      <c r="P2717">
        <v>2</v>
      </c>
      <c r="Q2717">
        <v>0</v>
      </c>
      <c r="R2717" t="s">
        <v>4557</v>
      </c>
      <c r="S2717" t="s">
        <v>4558</v>
      </c>
      <c r="T2717" t="s">
        <v>4559</v>
      </c>
      <c r="U2717" t="s">
        <v>4655</v>
      </c>
      <c r="V2717" s="2">
        <v>0</v>
      </c>
      <c r="W2717" t="s">
        <v>4655</v>
      </c>
      <c r="X2717" s="2">
        <v>0</v>
      </c>
      <c r="Y2717">
        <v>21</v>
      </c>
      <c r="Z2717" t="s">
        <v>2081</v>
      </c>
      <c r="AA2717" s="3">
        <v>1.00000004749745E-3</v>
      </c>
      <c r="AB2717" t="s">
        <v>16217</v>
      </c>
      <c r="AC2717" t="s">
        <v>4562</v>
      </c>
      <c r="AD2717" t="s">
        <v>16218</v>
      </c>
      <c r="AE2717" t="s">
        <v>4655</v>
      </c>
      <c r="AF2717" t="s">
        <v>5201</v>
      </c>
      <c r="AG2717" t="s">
        <v>4564</v>
      </c>
      <c r="AH2717" t="s">
        <v>3898</v>
      </c>
      <c r="AI2717" t="s">
        <v>16219</v>
      </c>
      <c r="AJ2717" t="s">
        <v>4655</v>
      </c>
      <c r="AK2717" t="s">
        <v>16220</v>
      </c>
      <c r="AL2717" s="13" t="s">
        <v>1886</v>
      </c>
      <c r="AM2717">
        <v>1</v>
      </c>
      <c r="AN2717" s="15" t="s">
        <v>5431</v>
      </c>
    </row>
    <row r="2718" spans="1:40" x14ac:dyDescent="0.3">
      <c r="A2718" s="10" t="str">
        <f>HYPERLINK("http://www.washoecounty.gov/assessor/cama/?parid=036-132-05&amp;CardNumber=1","036-132-05")</f>
        <v>036-132-05</v>
      </c>
      <c r="B2718" t="s">
        <v>4655</v>
      </c>
      <c r="C2718" t="s">
        <v>16221</v>
      </c>
      <c r="D2718" s="1">
        <v>40528</v>
      </c>
      <c r="E2718" s="2">
        <v>71000</v>
      </c>
      <c r="F2718" t="s">
        <v>4567</v>
      </c>
      <c r="G2718" s="17" t="str">
        <f>HYPERLINK("https://www.washoecounty.gov/assessor/cama/?command=sales&amp;parid=03613205","3954022")</f>
        <v>3954022</v>
      </c>
      <c r="H2718" t="s">
        <v>5429</v>
      </c>
      <c r="I2718">
        <v>1973</v>
      </c>
      <c r="J2718">
        <v>1973</v>
      </c>
      <c r="K2718" t="s">
        <v>4897</v>
      </c>
      <c r="L2718" t="s">
        <v>4555</v>
      </c>
      <c r="M2718" s="2">
        <v>1225</v>
      </c>
      <c r="N2718" t="s">
        <v>4048</v>
      </c>
      <c r="O2718">
        <v>3</v>
      </c>
      <c r="P2718">
        <v>2</v>
      </c>
      <c r="Q2718">
        <v>0</v>
      </c>
      <c r="R2718" t="s">
        <v>5281</v>
      </c>
      <c r="S2718" t="s">
        <v>4135</v>
      </c>
      <c r="T2718" t="s">
        <v>4559</v>
      </c>
      <c r="U2718" t="s">
        <v>4655</v>
      </c>
      <c r="V2718" s="2">
        <v>0</v>
      </c>
      <c r="W2718" t="s">
        <v>4655</v>
      </c>
      <c r="X2718" s="2">
        <v>0</v>
      </c>
      <c r="Y2718">
        <v>21</v>
      </c>
      <c r="Z2718" t="s">
        <v>2081</v>
      </c>
      <c r="AA2718" s="3">
        <v>1.00000004749745E-3</v>
      </c>
      <c r="AB2718" t="s">
        <v>16222</v>
      </c>
      <c r="AC2718" t="s">
        <v>4562</v>
      </c>
      <c r="AD2718" t="s">
        <v>16223</v>
      </c>
      <c r="AE2718" t="s">
        <v>4655</v>
      </c>
      <c r="AF2718" t="s">
        <v>5201</v>
      </c>
      <c r="AG2718" t="s">
        <v>4564</v>
      </c>
      <c r="AH2718" t="s">
        <v>3898</v>
      </c>
      <c r="AI2718" t="s">
        <v>4655</v>
      </c>
      <c r="AJ2718" t="s">
        <v>4655</v>
      </c>
      <c r="AK2718" t="s">
        <v>16224</v>
      </c>
      <c r="AL2718" s="13" t="s">
        <v>1886</v>
      </c>
      <c r="AM2718">
        <v>1</v>
      </c>
      <c r="AN2718" s="15" t="s">
        <v>5431</v>
      </c>
    </row>
    <row r="2719" spans="1:40" x14ac:dyDescent="0.3">
      <c r="A2719" s="10" t="str">
        <f>HYPERLINK("http://www.washoecounty.gov/assessor/cama/?parid=036-132-18&amp;CardNumber=1","036-132-18")</f>
        <v>036-132-18</v>
      </c>
      <c r="B2719" t="s">
        <v>4655</v>
      </c>
      <c r="C2719" t="s">
        <v>16225</v>
      </c>
      <c r="D2719" s="1">
        <v>40319</v>
      </c>
      <c r="E2719" s="2">
        <v>49900</v>
      </c>
      <c r="F2719" t="s">
        <v>4553</v>
      </c>
      <c r="G2719" s="17" t="str">
        <f>HYPERLINK("https://www.washoecounty.gov/assessor/cama/?command=sales&amp;parid=03613218","3883830")</f>
        <v>3883830</v>
      </c>
      <c r="H2719" t="s">
        <v>5429</v>
      </c>
      <c r="I2719">
        <v>1973</v>
      </c>
      <c r="J2719">
        <v>1973</v>
      </c>
      <c r="K2719" t="s">
        <v>3144</v>
      </c>
      <c r="L2719" t="s">
        <v>3974</v>
      </c>
      <c r="M2719" s="2">
        <v>988</v>
      </c>
      <c r="N2719" t="s">
        <v>4048</v>
      </c>
      <c r="O2719">
        <v>2</v>
      </c>
      <c r="P2719">
        <v>1</v>
      </c>
      <c r="Q2719">
        <v>1</v>
      </c>
      <c r="R2719" t="s">
        <v>4557</v>
      </c>
      <c r="S2719" t="s">
        <v>4558</v>
      </c>
      <c r="T2719" t="s">
        <v>4559</v>
      </c>
      <c r="U2719" t="s">
        <v>4655</v>
      </c>
      <c r="V2719" s="2">
        <v>0</v>
      </c>
      <c r="W2719" t="s">
        <v>4655</v>
      </c>
      <c r="X2719" s="2">
        <v>0</v>
      </c>
      <c r="Y2719">
        <v>21</v>
      </c>
      <c r="Z2719" t="s">
        <v>2081</v>
      </c>
      <c r="AA2719" s="3">
        <v>1.00000004749745E-3</v>
      </c>
      <c r="AB2719" t="s">
        <v>16226</v>
      </c>
      <c r="AC2719" t="s">
        <v>4575</v>
      </c>
      <c r="AD2719" t="s">
        <v>16227</v>
      </c>
      <c r="AE2719" t="s">
        <v>16228</v>
      </c>
      <c r="AF2719" t="s">
        <v>5201</v>
      </c>
      <c r="AG2719" t="s">
        <v>4564</v>
      </c>
      <c r="AH2719" t="s">
        <v>3898</v>
      </c>
      <c r="AI2719" t="s">
        <v>4045</v>
      </c>
      <c r="AJ2719" t="s">
        <v>4655</v>
      </c>
      <c r="AK2719" t="s">
        <v>16229</v>
      </c>
      <c r="AL2719" s="13" t="s">
        <v>1886</v>
      </c>
      <c r="AM2719">
        <v>1</v>
      </c>
      <c r="AN2719" s="15" t="s">
        <v>5431</v>
      </c>
    </row>
    <row r="2720" spans="1:40" x14ac:dyDescent="0.3">
      <c r="A2720" s="10" t="str">
        <f>HYPERLINK("http://www.washoecounty.gov/assessor/cama/?parid=036-132-38&amp;CardNumber=1","036-132-38")</f>
        <v>036-132-38</v>
      </c>
      <c r="B2720" t="s">
        <v>4655</v>
      </c>
      <c r="C2720" t="s">
        <v>16230</v>
      </c>
      <c r="D2720" s="1">
        <v>40458</v>
      </c>
      <c r="E2720" s="2">
        <v>44900</v>
      </c>
      <c r="F2720" t="s">
        <v>4553</v>
      </c>
      <c r="G2720" s="17" t="str">
        <f>HYPERLINK("https://www.washoecounty.gov/assessor/cama/?command=sales&amp;parid=03613238","3930756")</f>
        <v>3930756</v>
      </c>
      <c r="H2720" t="s">
        <v>5429</v>
      </c>
      <c r="I2720">
        <v>1973</v>
      </c>
      <c r="J2720">
        <v>1973</v>
      </c>
      <c r="K2720" t="s">
        <v>3144</v>
      </c>
      <c r="L2720" t="s">
        <v>3974</v>
      </c>
      <c r="M2720" s="2">
        <v>988</v>
      </c>
      <c r="N2720" t="s">
        <v>4048</v>
      </c>
      <c r="O2720">
        <v>2</v>
      </c>
      <c r="P2720">
        <v>1</v>
      </c>
      <c r="Q2720">
        <v>1</v>
      </c>
      <c r="R2720" t="s">
        <v>4557</v>
      </c>
      <c r="S2720" t="s">
        <v>4558</v>
      </c>
      <c r="T2720" t="s">
        <v>4559</v>
      </c>
      <c r="U2720" t="s">
        <v>4655</v>
      </c>
      <c r="V2720" s="2">
        <v>0</v>
      </c>
      <c r="W2720" t="s">
        <v>4655</v>
      </c>
      <c r="X2720" s="2">
        <v>0</v>
      </c>
      <c r="Y2720">
        <v>21</v>
      </c>
      <c r="Z2720" t="s">
        <v>2081</v>
      </c>
      <c r="AA2720" s="3">
        <v>1.00000004749745E-3</v>
      </c>
      <c r="AB2720" t="s">
        <v>16231</v>
      </c>
      <c r="AC2720" t="s">
        <v>4562</v>
      </c>
      <c r="AD2720" t="s">
        <v>16232</v>
      </c>
      <c r="AE2720" t="s">
        <v>4655</v>
      </c>
      <c r="AF2720" t="s">
        <v>5201</v>
      </c>
      <c r="AG2720" t="s">
        <v>4564</v>
      </c>
      <c r="AH2720" t="s">
        <v>1605</v>
      </c>
      <c r="AI2720" t="s">
        <v>4903</v>
      </c>
      <c r="AJ2720" t="s">
        <v>4655</v>
      </c>
      <c r="AK2720" t="s">
        <v>16233</v>
      </c>
      <c r="AL2720" s="13" t="s">
        <v>1886</v>
      </c>
      <c r="AM2720" s="14">
        <v>1</v>
      </c>
      <c r="AN2720" s="15" t="s">
        <v>5431</v>
      </c>
    </row>
    <row r="2721" spans="1:40" x14ac:dyDescent="0.3">
      <c r="A2721" s="10" t="str">
        <f>HYPERLINK("http://www.washoecounty.gov/assessor/cama/?parid=036-132-49&amp;CardNumber=1","036-132-49")</f>
        <v>036-132-49</v>
      </c>
      <c r="B2721" t="s">
        <v>4655</v>
      </c>
      <c r="C2721" t="s">
        <v>16234</v>
      </c>
      <c r="D2721" s="1">
        <v>40527</v>
      </c>
      <c r="E2721" s="2">
        <v>43500</v>
      </c>
      <c r="F2721" t="s">
        <v>4553</v>
      </c>
      <c r="G2721" s="17" t="str">
        <f>HYPERLINK("https://www.washoecounty.gov/assessor/cama/?command=sales&amp;parid=03613249","3953556")</f>
        <v>3953556</v>
      </c>
      <c r="H2721" t="s">
        <v>5429</v>
      </c>
      <c r="I2721">
        <v>1973</v>
      </c>
      <c r="J2721">
        <v>1973</v>
      </c>
      <c r="K2721" t="s">
        <v>3144</v>
      </c>
      <c r="L2721" t="s">
        <v>3974</v>
      </c>
      <c r="M2721" s="2">
        <v>1276</v>
      </c>
      <c r="N2721" t="s">
        <v>4048</v>
      </c>
      <c r="O2721">
        <v>3</v>
      </c>
      <c r="P2721">
        <v>2</v>
      </c>
      <c r="Q2721">
        <v>0</v>
      </c>
      <c r="R2721" t="s">
        <v>4557</v>
      </c>
      <c r="S2721" t="s">
        <v>4558</v>
      </c>
      <c r="T2721" t="s">
        <v>4559</v>
      </c>
      <c r="U2721" t="s">
        <v>4655</v>
      </c>
      <c r="V2721" s="2">
        <v>0</v>
      </c>
      <c r="W2721" t="s">
        <v>4655</v>
      </c>
      <c r="X2721" s="2">
        <v>0</v>
      </c>
      <c r="Y2721">
        <v>21</v>
      </c>
      <c r="Z2721" t="s">
        <v>2081</v>
      </c>
      <c r="AA2721" s="3">
        <v>1.00000004749745E-3</v>
      </c>
      <c r="AB2721" t="s">
        <v>16235</v>
      </c>
      <c r="AC2721" t="s">
        <v>4562</v>
      </c>
      <c r="AD2721" t="s">
        <v>16236</v>
      </c>
      <c r="AE2721" t="s">
        <v>4655</v>
      </c>
      <c r="AF2721" t="s">
        <v>4809</v>
      </c>
      <c r="AG2721" t="s">
        <v>4564</v>
      </c>
      <c r="AH2721" t="s">
        <v>1605</v>
      </c>
      <c r="AI2721" t="s">
        <v>3916</v>
      </c>
      <c r="AJ2721" t="s">
        <v>4655</v>
      </c>
      <c r="AK2721" t="s">
        <v>16237</v>
      </c>
      <c r="AL2721" s="13" t="s">
        <v>1886</v>
      </c>
      <c r="AM2721" s="14">
        <v>1</v>
      </c>
      <c r="AN2721" s="15" t="s">
        <v>5431</v>
      </c>
    </row>
    <row r="2722" spans="1:40" x14ac:dyDescent="0.3">
      <c r="A2722" s="10" t="str">
        <f>HYPERLINK("http://www.washoecounty.gov/assessor/cama/?parid=036-142-08&amp;CardNumber=1","036-142-08")</f>
        <v>036-142-08</v>
      </c>
      <c r="B2722" t="s">
        <v>4655</v>
      </c>
      <c r="C2722" t="s">
        <v>16238</v>
      </c>
      <c r="D2722" s="1">
        <v>40280</v>
      </c>
      <c r="E2722" s="2">
        <v>130000</v>
      </c>
      <c r="F2722" t="s">
        <v>4567</v>
      </c>
      <c r="G2722" s="17" t="str">
        <f>HYPERLINK("https://www.washoecounty.gov/assessor/cama/?command=sales&amp;parid=03614208","3869880")</f>
        <v>3869880</v>
      </c>
      <c r="H2722" t="s">
        <v>960</v>
      </c>
      <c r="I2722">
        <v>1972</v>
      </c>
      <c r="J2722">
        <v>1972</v>
      </c>
      <c r="K2722" t="s">
        <v>4554</v>
      </c>
      <c r="L2722" t="s">
        <v>4555</v>
      </c>
      <c r="M2722" s="2">
        <v>1333</v>
      </c>
      <c r="N2722" t="s">
        <v>4048</v>
      </c>
      <c r="O2722">
        <v>3</v>
      </c>
      <c r="P2722">
        <v>2</v>
      </c>
      <c r="Q2722">
        <v>0</v>
      </c>
      <c r="R2722" t="s">
        <v>4557</v>
      </c>
      <c r="S2722" t="s">
        <v>4574</v>
      </c>
      <c r="T2722" t="s">
        <v>4559</v>
      </c>
      <c r="U2722" t="s">
        <v>4560</v>
      </c>
      <c r="V2722" s="2">
        <v>483</v>
      </c>
      <c r="W2722" t="s">
        <v>4655</v>
      </c>
      <c r="X2722" s="2">
        <v>0</v>
      </c>
      <c r="Y2722">
        <v>20</v>
      </c>
      <c r="Z2722" t="s">
        <v>5200</v>
      </c>
      <c r="AA2722" s="3">
        <v>0.15399448573589325</v>
      </c>
      <c r="AB2722" t="s">
        <v>16239</v>
      </c>
      <c r="AC2722" t="s">
        <v>4562</v>
      </c>
      <c r="AD2722" t="s">
        <v>16238</v>
      </c>
      <c r="AE2722" t="s">
        <v>4655</v>
      </c>
      <c r="AF2722" t="s">
        <v>5201</v>
      </c>
      <c r="AG2722" t="s">
        <v>4564</v>
      </c>
      <c r="AH2722" t="s">
        <v>3898</v>
      </c>
      <c r="AI2722" t="s">
        <v>16240</v>
      </c>
      <c r="AJ2722" t="s">
        <v>4655</v>
      </c>
      <c r="AK2722" t="s">
        <v>16241</v>
      </c>
      <c r="AL2722" s="13" t="s">
        <v>1886</v>
      </c>
      <c r="AM2722" s="14">
        <v>1</v>
      </c>
      <c r="AN2722" s="15" t="s">
        <v>3439</v>
      </c>
    </row>
    <row r="2723" spans="1:40" x14ac:dyDescent="0.3">
      <c r="A2723" s="10" t="str">
        <f>HYPERLINK("http://www.washoecounty.gov/assessor/cama/?parid=036-145-01&amp;CardNumber=1","036-145-01")</f>
        <v>036-145-01</v>
      </c>
      <c r="B2723" t="s">
        <v>4655</v>
      </c>
      <c r="C2723" t="s">
        <v>16242</v>
      </c>
      <c r="D2723" s="1">
        <v>40249</v>
      </c>
      <c r="E2723" s="2">
        <v>97500</v>
      </c>
      <c r="F2723" t="s">
        <v>4567</v>
      </c>
      <c r="G2723" s="17" t="str">
        <f>HYPERLINK("https://www.washoecounty.gov/assessor/cama/?command=sales&amp;parid=03614501","3858906")</f>
        <v>3858906</v>
      </c>
      <c r="H2723" t="s">
        <v>960</v>
      </c>
      <c r="I2723">
        <v>1972</v>
      </c>
      <c r="J2723">
        <v>1972</v>
      </c>
      <c r="K2723" t="s">
        <v>4554</v>
      </c>
      <c r="L2723" t="s">
        <v>4555</v>
      </c>
      <c r="M2723" s="2">
        <v>1210</v>
      </c>
      <c r="N2723" t="s">
        <v>4048</v>
      </c>
      <c r="O2723">
        <v>3</v>
      </c>
      <c r="P2723">
        <v>2</v>
      </c>
      <c r="Q2723">
        <v>0</v>
      </c>
      <c r="R2723" t="s">
        <v>4557</v>
      </c>
      <c r="S2723" t="s">
        <v>4135</v>
      </c>
      <c r="T2723" t="s">
        <v>4559</v>
      </c>
      <c r="U2723" t="s">
        <v>4560</v>
      </c>
      <c r="V2723" s="2">
        <v>516</v>
      </c>
      <c r="W2723" t="s">
        <v>4655</v>
      </c>
      <c r="X2723" s="2">
        <v>0</v>
      </c>
      <c r="Y2723">
        <v>20</v>
      </c>
      <c r="Z2723" t="s">
        <v>5200</v>
      </c>
      <c r="AA2723" s="3">
        <v>0.16099633276462599</v>
      </c>
      <c r="AB2723" t="s">
        <v>16243</v>
      </c>
      <c r="AC2723" t="s">
        <v>4562</v>
      </c>
      <c r="AD2723" t="s">
        <v>16244</v>
      </c>
      <c r="AE2723" t="s">
        <v>4655</v>
      </c>
      <c r="AF2723" t="s">
        <v>5025</v>
      </c>
      <c r="AG2723" t="s">
        <v>4564</v>
      </c>
      <c r="AH2723">
        <v>89406</v>
      </c>
      <c r="AI2723" t="s">
        <v>961</v>
      </c>
      <c r="AJ2723" t="s">
        <v>4655</v>
      </c>
      <c r="AK2723" t="s">
        <v>16245</v>
      </c>
      <c r="AL2723" s="13" t="s">
        <v>1886</v>
      </c>
      <c r="AM2723" s="14">
        <v>1</v>
      </c>
      <c r="AN2723" s="15" t="s">
        <v>3439</v>
      </c>
    </row>
    <row r="2724" spans="1:40" x14ac:dyDescent="0.3">
      <c r="A2724" s="10" t="str">
        <f>HYPERLINK("http://www.washoecounty.gov/assessor/cama/?parid=036-146-04&amp;CardNumber=1","036-146-04")</f>
        <v>036-146-04</v>
      </c>
      <c r="B2724" t="s">
        <v>4655</v>
      </c>
      <c r="C2724" t="s">
        <v>16246</v>
      </c>
      <c r="D2724" s="1">
        <v>40256</v>
      </c>
      <c r="E2724" s="2">
        <v>150000</v>
      </c>
      <c r="F2724" t="s">
        <v>4567</v>
      </c>
      <c r="G2724" s="17" t="str">
        <f>HYPERLINK("https://www.washoecounty.gov/assessor/cama/?command=sales&amp;parid=03614604","3861904")</f>
        <v>3861904</v>
      </c>
      <c r="H2724" t="s">
        <v>960</v>
      </c>
      <c r="I2724">
        <v>1972</v>
      </c>
      <c r="J2724">
        <v>1972</v>
      </c>
      <c r="K2724" t="s">
        <v>4554</v>
      </c>
      <c r="L2724" t="s">
        <v>2170</v>
      </c>
      <c r="M2724" s="2">
        <v>1902</v>
      </c>
      <c r="N2724" t="s">
        <v>4048</v>
      </c>
      <c r="O2724">
        <v>3</v>
      </c>
      <c r="P2724">
        <v>2</v>
      </c>
      <c r="Q2724">
        <v>1</v>
      </c>
      <c r="R2724" t="s">
        <v>4557</v>
      </c>
      <c r="S2724" t="s">
        <v>4135</v>
      </c>
      <c r="T2724" t="s">
        <v>4559</v>
      </c>
      <c r="U2724" t="s">
        <v>5631</v>
      </c>
      <c r="V2724" s="2">
        <v>504</v>
      </c>
      <c r="W2724" t="s">
        <v>4655</v>
      </c>
      <c r="X2724" s="2">
        <v>0</v>
      </c>
      <c r="Y2724">
        <v>20</v>
      </c>
      <c r="Z2724" t="s">
        <v>5200</v>
      </c>
      <c r="AA2724" s="3">
        <v>0.160009175539017</v>
      </c>
      <c r="AB2724" t="s">
        <v>16247</v>
      </c>
      <c r="AC2724" t="s">
        <v>4562</v>
      </c>
      <c r="AD2724" t="s">
        <v>16246</v>
      </c>
      <c r="AE2724" t="s">
        <v>4655</v>
      </c>
      <c r="AF2724" t="s">
        <v>5201</v>
      </c>
      <c r="AG2724" t="s">
        <v>4564</v>
      </c>
      <c r="AH2724" t="s">
        <v>3898</v>
      </c>
      <c r="AI2724" t="s">
        <v>16248</v>
      </c>
      <c r="AJ2724" t="s">
        <v>4655</v>
      </c>
      <c r="AK2724" t="s">
        <v>16249</v>
      </c>
      <c r="AL2724" s="13" t="s">
        <v>1886</v>
      </c>
      <c r="AM2724" s="14">
        <v>1</v>
      </c>
      <c r="AN2724" s="15" t="s">
        <v>3439</v>
      </c>
    </row>
    <row r="2725" spans="1:40" x14ac:dyDescent="0.3">
      <c r="A2725" s="10" t="str">
        <f>HYPERLINK("http://www.washoecounty.gov/assessor/cama/?parid=036-146-08&amp;CardNumber=1","036-146-08")</f>
        <v>036-146-08</v>
      </c>
      <c r="B2725" t="s">
        <v>4655</v>
      </c>
      <c r="C2725" t="s">
        <v>16250</v>
      </c>
      <c r="D2725" s="1">
        <v>40249</v>
      </c>
      <c r="E2725" s="2">
        <v>164900</v>
      </c>
      <c r="F2725" t="s">
        <v>4553</v>
      </c>
      <c r="G2725" s="17" t="str">
        <f>HYPERLINK("https://www.washoecounty.gov/assessor/cama/?command=sales&amp;parid=03614608","3859369")</f>
        <v>3859369</v>
      </c>
      <c r="H2725" t="s">
        <v>960</v>
      </c>
      <c r="I2725">
        <v>1972</v>
      </c>
      <c r="J2725">
        <v>1972</v>
      </c>
      <c r="K2725" t="s">
        <v>4554</v>
      </c>
      <c r="L2725" t="s">
        <v>2170</v>
      </c>
      <c r="M2725" s="2">
        <v>1902</v>
      </c>
      <c r="N2725" t="s">
        <v>4048</v>
      </c>
      <c r="O2725">
        <v>3</v>
      </c>
      <c r="P2725">
        <v>2</v>
      </c>
      <c r="Q2725">
        <v>1</v>
      </c>
      <c r="R2725" t="s">
        <v>5281</v>
      </c>
      <c r="S2725" t="s">
        <v>4135</v>
      </c>
      <c r="T2725" t="s">
        <v>4559</v>
      </c>
      <c r="U2725" t="s">
        <v>5631</v>
      </c>
      <c r="V2725" s="2">
        <v>504</v>
      </c>
      <c r="W2725" t="s">
        <v>4655</v>
      </c>
      <c r="X2725" s="2">
        <v>0</v>
      </c>
      <c r="Y2725">
        <v>20</v>
      </c>
      <c r="Z2725" t="s">
        <v>5200</v>
      </c>
      <c r="AA2725" s="3">
        <v>0.16799816489219666</v>
      </c>
      <c r="AB2725" t="s">
        <v>16251</v>
      </c>
      <c r="AC2725" t="s">
        <v>4562</v>
      </c>
      <c r="AD2725" t="s">
        <v>16250</v>
      </c>
      <c r="AE2725" t="s">
        <v>4655</v>
      </c>
      <c r="AF2725" t="s">
        <v>5201</v>
      </c>
      <c r="AG2725" t="s">
        <v>4564</v>
      </c>
      <c r="AH2725" t="s">
        <v>3898</v>
      </c>
      <c r="AI2725" t="s">
        <v>359</v>
      </c>
      <c r="AJ2725" t="s">
        <v>4655</v>
      </c>
      <c r="AK2725" t="s">
        <v>16252</v>
      </c>
      <c r="AL2725" s="13" t="s">
        <v>1886</v>
      </c>
      <c r="AM2725" s="14">
        <v>1</v>
      </c>
      <c r="AN2725" s="15" t="s">
        <v>3439</v>
      </c>
    </row>
    <row r="2726" spans="1:40" x14ac:dyDescent="0.3">
      <c r="A2726" s="10" t="str">
        <f>HYPERLINK("http://www.washoecounty.gov/assessor/cama/?parid=036-161-02&amp;CardNumber=1","036-161-02")</f>
        <v>036-161-02</v>
      </c>
      <c r="B2726" t="s">
        <v>4655</v>
      </c>
      <c r="C2726" t="s">
        <v>16253</v>
      </c>
      <c r="D2726" s="1">
        <v>40326</v>
      </c>
      <c r="E2726" s="2">
        <v>141000</v>
      </c>
      <c r="F2726" t="s">
        <v>4567</v>
      </c>
      <c r="G2726" s="17" t="str">
        <f>HYPERLINK("https://www.washoecounty.gov/assessor/cama/?command=sales&amp;parid=03616102","3886867")</f>
        <v>3886867</v>
      </c>
      <c r="H2726" t="s">
        <v>759</v>
      </c>
      <c r="I2726">
        <v>1973</v>
      </c>
      <c r="J2726">
        <v>1973</v>
      </c>
      <c r="K2726" t="s">
        <v>4554</v>
      </c>
      <c r="L2726" t="s">
        <v>3974</v>
      </c>
      <c r="M2726" s="2">
        <v>2008</v>
      </c>
      <c r="N2726" t="s">
        <v>4048</v>
      </c>
      <c r="O2726">
        <v>4</v>
      </c>
      <c r="P2726">
        <v>2</v>
      </c>
      <c r="Q2726">
        <v>1</v>
      </c>
      <c r="R2726" t="s">
        <v>4557</v>
      </c>
      <c r="S2726" t="s">
        <v>4558</v>
      </c>
      <c r="T2726" t="s">
        <v>4559</v>
      </c>
      <c r="U2726" t="s">
        <v>4560</v>
      </c>
      <c r="V2726" s="2">
        <v>468</v>
      </c>
      <c r="W2726" t="s">
        <v>4655</v>
      </c>
      <c r="X2726" s="2">
        <v>0</v>
      </c>
      <c r="Y2726">
        <v>20</v>
      </c>
      <c r="Z2726" t="s">
        <v>5200</v>
      </c>
      <c r="AA2726" s="3">
        <v>0.15199723839759827</v>
      </c>
      <c r="AB2726" t="s">
        <v>16254</v>
      </c>
      <c r="AC2726" t="s">
        <v>4575</v>
      </c>
      <c r="AD2726" t="s">
        <v>16255</v>
      </c>
      <c r="AE2726" t="s">
        <v>4655</v>
      </c>
      <c r="AF2726" t="s">
        <v>5201</v>
      </c>
      <c r="AG2726" t="s">
        <v>4564</v>
      </c>
      <c r="AH2726" t="s">
        <v>3898</v>
      </c>
      <c r="AI2726" t="s">
        <v>16256</v>
      </c>
      <c r="AJ2726" t="s">
        <v>4655</v>
      </c>
      <c r="AK2726" t="s">
        <v>16257</v>
      </c>
      <c r="AL2726" s="13" t="s">
        <v>1886</v>
      </c>
      <c r="AM2726" s="14">
        <v>1</v>
      </c>
      <c r="AN2726" s="15" t="s">
        <v>3439</v>
      </c>
    </row>
    <row r="2727" spans="1:40" x14ac:dyDescent="0.3">
      <c r="A2727" s="10" t="str">
        <f>HYPERLINK("http://www.washoecounty.gov/assessor/cama/?parid=036-162-19&amp;CardNumber=1","036-162-19")</f>
        <v>036-162-19</v>
      </c>
      <c r="B2727" t="s">
        <v>4655</v>
      </c>
      <c r="C2727" t="s">
        <v>16258</v>
      </c>
      <c r="D2727" s="1">
        <v>40520</v>
      </c>
      <c r="E2727" s="2">
        <v>167000</v>
      </c>
      <c r="F2727" t="s">
        <v>4553</v>
      </c>
      <c r="G2727" s="17" t="str">
        <f>HYPERLINK("https://www.washoecounty.gov/assessor/cama/?command=sales&amp;parid=03616219","3951084")</f>
        <v>3951084</v>
      </c>
      <c r="H2727" t="s">
        <v>759</v>
      </c>
      <c r="I2727">
        <v>1973</v>
      </c>
      <c r="J2727">
        <v>1973</v>
      </c>
      <c r="K2727" t="s">
        <v>4554</v>
      </c>
      <c r="L2727" t="s">
        <v>3974</v>
      </c>
      <c r="M2727" s="2">
        <v>2008</v>
      </c>
      <c r="N2727" t="s">
        <v>4048</v>
      </c>
      <c r="O2727">
        <v>4</v>
      </c>
      <c r="P2727">
        <v>2</v>
      </c>
      <c r="Q2727">
        <v>1</v>
      </c>
      <c r="R2727" t="s">
        <v>5281</v>
      </c>
      <c r="S2727" t="s">
        <v>4135</v>
      </c>
      <c r="T2727" t="s">
        <v>4559</v>
      </c>
      <c r="U2727" t="s">
        <v>4560</v>
      </c>
      <c r="V2727" s="2">
        <v>468</v>
      </c>
      <c r="W2727" t="s">
        <v>4655</v>
      </c>
      <c r="X2727" s="2">
        <v>0</v>
      </c>
      <c r="Y2727">
        <v>20</v>
      </c>
      <c r="Z2727" t="s">
        <v>5200</v>
      </c>
      <c r="AA2727" s="3">
        <v>0.15500459074974099</v>
      </c>
      <c r="AB2727" t="s">
        <v>16259</v>
      </c>
      <c r="AC2727" t="s">
        <v>4562</v>
      </c>
      <c r="AD2727" t="s">
        <v>16258</v>
      </c>
      <c r="AE2727" t="s">
        <v>4655</v>
      </c>
      <c r="AF2727" t="s">
        <v>5201</v>
      </c>
      <c r="AG2727" t="s">
        <v>4564</v>
      </c>
      <c r="AH2727" t="s">
        <v>3898</v>
      </c>
      <c r="AI2727" t="s">
        <v>949</v>
      </c>
      <c r="AJ2727" t="s">
        <v>4655</v>
      </c>
      <c r="AK2727" t="s">
        <v>16260</v>
      </c>
      <c r="AL2727" s="13" t="s">
        <v>1886</v>
      </c>
      <c r="AM2727" s="14">
        <v>1</v>
      </c>
      <c r="AN2727" s="15" t="s">
        <v>3439</v>
      </c>
    </row>
    <row r="2728" spans="1:40" x14ac:dyDescent="0.3">
      <c r="A2728" s="10" t="str">
        <f>HYPERLINK("http://www.washoecounty.gov/assessor/cama/?parid=036-171-02&amp;CardNumber=1","036-171-02")</f>
        <v>036-171-02</v>
      </c>
      <c r="B2728" t="s">
        <v>4655</v>
      </c>
      <c r="C2728" t="s">
        <v>16261</v>
      </c>
      <c r="D2728" s="1">
        <v>40504</v>
      </c>
      <c r="E2728" s="2">
        <v>145000</v>
      </c>
      <c r="F2728" t="s">
        <v>4567</v>
      </c>
      <c r="G2728" s="17" t="str">
        <f>HYPERLINK("https://www.washoecounty.gov/assessor/cama/?command=sales&amp;parid=03617102","3945683")</f>
        <v>3945683</v>
      </c>
      <c r="H2728" t="s">
        <v>759</v>
      </c>
      <c r="I2728">
        <v>1973</v>
      </c>
      <c r="J2728">
        <v>1973</v>
      </c>
      <c r="K2728" t="s">
        <v>4554</v>
      </c>
      <c r="L2728" t="s">
        <v>3974</v>
      </c>
      <c r="M2728" s="2">
        <v>2008</v>
      </c>
      <c r="N2728" t="s">
        <v>4048</v>
      </c>
      <c r="O2728">
        <v>4</v>
      </c>
      <c r="P2728">
        <v>2</v>
      </c>
      <c r="Q2728">
        <v>1</v>
      </c>
      <c r="R2728" t="s">
        <v>5281</v>
      </c>
      <c r="S2728" t="s">
        <v>4558</v>
      </c>
      <c r="T2728" t="s">
        <v>4559</v>
      </c>
      <c r="U2728" t="s">
        <v>4655</v>
      </c>
      <c r="V2728" s="2">
        <v>0</v>
      </c>
      <c r="W2728" t="s">
        <v>4655</v>
      </c>
      <c r="X2728" s="2">
        <v>0</v>
      </c>
      <c r="Y2728">
        <v>20</v>
      </c>
      <c r="Z2728" t="s">
        <v>5200</v>
      </c>
      <c r="AA2728" s="3">
        <v>0.13700643181800801</v>
      </c>
      <c r="AB2728" t="s">
        <v>16262</v>
      </c>
      <c r="AC2728" t="s">
        <v>4562</v>
      </c>
      <c r="AD2728" t="s">
        <v>16261</v>
      </c>
      <c r="AE2728" t="s">
        <v>4655</v>
      </c>
      <c r="AF2728" t="s">
        <v>5201</v>
      </c>
      <c r="AG2728" t="s">
        <v>4564</v>
      </c>
      <c r="AH2728" t="s">
        <v>3898</v>
      </c>
      <c r="AI2728" t="s">
        <v>4655</v>
      </c>
      <c r="AJ2728" t="s">
        <v>4655</v>
      </c>
      <c r="AK2728" t="s">
        <v>16263</v>
      </c>
      <c r="AL2728" s="13" t="s">
        <v>1886</v>
      </c>
      <c r="AM2728">
        <v>1</v>
      </c>
      <c r="AN2728" s="15" t="s">
        <v>3439</v>
      </c>
    </row>
    <row r="2729" spans="1:40" x14ac:dyDescent="0.3">
      <c r="A2729" s="10" t="str">
        <f>HYPERLINK("http://www.washoecounty.gov/assessor/cama/?parid=036-172-12&amp;CardNumber=1","036-172-12")</f>
        <v>036-172-12</v>
      </c>
      <c r="B2729" t="s">
        <v>4655</v>
      </c>
      <c r="C2729" t="s">
        <v>16264</v>
      </c>
      <c r="D2729" s="1">
        <v>40212</v>
      </c>
      <c r="E2729" s="2">
        <v>157500</v>
      </c>
      <c r="F2729" t="s">
        <v>4553</v>
      </c>
      <c r="G2729" s="17" t="str">
        <f>HYPERLINK("https://www.washoecounty.gov/assessor/cama/?command=sales&amp;parid=03617212","3845707")</f>
        <v>3845707</v>
      </c>
      <c r="H2729" t="s">
        <v>759</v>
      </c>
      <c r="I2729">
        <v>1973</v>
      </c>
      <c r="J2729">
        <v>1973</v>
      </c>
      <c r="K2729" t="s">
        <v>4554</v>
      </c>
      <c r="L2729" t="s">
        <v>4555</v>
      </c>
      <c r="M2729" s="2">
        <v>1786</v>
      </c>
      <c r="N2729" t="s">
        <v>4048</v>
      </c>
      <c r="O2729">
        <v>4</v>
      </c>
      <c r="P2729">
        <v>2</v>
      </c>
      <c r="Q2729">
        <v>0</v>
      </c>
      <c r="R2729" t="s">
        <v>5281</v>
      </c>
      <c r="S2729" t="s">
        <v>4135</v>
      </c>
      <c r="T2729" t="s">
        <v>4559</v>
      </c>
      <c r="U2729" t="s">
        <v>4560</v>
      </c>
      <c r="V2729" s="2">
        <v>513</v>
      </c>
      <c r="W2729" t="s">
        <v>4655</v>
      </c>
      <c r="X2729" s="2">
        <v>0</v>
      </c>
      <c r="Y2729">
        <v>20</v>
      </c>
      <c r="Z2729" t="s">
        <v>5200</v>
      </c>
      <c r="AA2729" s="3">
        <v>0.17800734937191001</v>
      </c>
      <c r="AB2729" t="s">
        <v>16265</v>
      </c>
      <c r="AC2729" t="s">
        <v>4562</v>
      </c>
      <c r="AD2729" t="s">
        <v>16264</v>
      </c>
      <c r="AE2729" t="s">
        <v>4655</v>
      </c>
      <c r="AF2729" t="s">
        <v>5201</v>
      </c>
      <c r="AG2729" t="s">
        <v>4564</v>
      </c>
      <c r="AH2729" t="s">
        <v>3898</v>
      </c>
      <c r="AI2729" t="s">
        <v>14020</v>
      </c>
      <c r="AJ2729" t="s">
        <v>4655</v>
      </c>
      <c r="AK2729" t="s">
        <v>16266</v>
      </c>
      <c r="AL2729" s="13" t="s">
        <v>1886</v>
      </c>
      <c r="AM2729">
        <v>1</v>
      </c>
      <c r="AN2729" s="15" t="s">
        <v>3439</v>
      </c>
    </row>
    <row r="2730" spans="1:40" x14ac:dyDescent="0.3">
      <c r="A2730" s="10" t="str">
        <f>HYPERLINK("http://www.washoecounty.gov/assessor/cama/?parid=036-172-16&amp;CardNumber=1","036-172-16")</f>
        <v>036-172-16</v>
      </c>
      <c r="B2730" t="s">
        <v>4655</v>
      </c>
      <c r="C2730" t="s">
        <v>16267</v>
      </c>
      <c r="D2730" s="1">
        <v>40345</v>
      </c>
      <c r="E2730" s="2">
        <v>137000</v>
      </c>
      <c r="F2730" t="s">
        <v>4567</v>
      </c>
      <c r="G2730" s="17" t="str">
        <f>HYPERLINK("https://www.washoecounty.gov/assessor/cama/?command=sales&amp;parid=03617216","3892491")</f>
        <v>3892491</v>
      </c>
      <c r="H2730" t="s">
        <v>3988</v>
      </c>
      <c r="I2730">
        <v>1973</v>
      </c>
      <c r="J2730">
        <v>1973</v>
      </c>
      <c r="K2730" t="s">
        <v>4554</v>
      </c>
      <c r="L2730" t="s">
        <v>4555</v>
      </c>
      <c r="M2730" s="2">
        <v>1822</v>
      </c>
      <c r="N2730" t="s">
        <v>4048</v>
      </c>
      <c r="O2730">
        <v>4</v>
      </c>
      <c r="P2730">
        <v>2</v>
      </c>
      <c r="Q2730">
        <v>0</v>
      </c>
      <c r="R2730" t="s">
        <v>4557</v>
      </c>
      <c r="S2730" t="s">
        <v>4558</v>
      </c>
      <c r="T2730" t="s">
        <v>4559</v>
      </c>
      <c r="U2730" t="s">
        <v>4560</v>
      </c>
      <c r="V2730" s="2">
        <v>441</v>
      </c>
      <c r="W2730" t="s">
        <v>4655</v>
      </c>
      <c r="X2730" s="2">
        <v>0</v>
      </c>
      <c r="Y2730">
        <v>20</v>
      </c>
      <c r="Z2730" t="s">
        <v>5200</v>
      </c>
      <c r="AA2730" s="3">
        <v>0.13700643181800801</v>
      </c>
      <c r="AB2730" t="s">
        <v>16268</v>
      </c>
      <c r="AC2730" t="s">
        <v>4562</v>
      </c>
      <c r="AD2730" t="s">
        <v>16269</v>
      </c>
      <c r="AE2730" t="s">
        <v>4655</v>
      </c>
      <c r="AF2730" t="s">
        <v>5201</v>
      </c>
      <c r="AG2730" t="s">
        <v>4564</v>
      </c>
      <c r="AH2730" t="s">
        <v>3898</v>
      </c>
      <c r="AI2730" t="s">
        <v>3625</v>
      </c>
      <c r="AJ2730" t="s">
        <v>4655</v>
      </c>
      <c r="AK2730" t="s">
        <v>16270</v>
      </c>
      <c r="AL2730" s="13" t="s">
        <v>1886</v>
      </c>
      <c r="AM2730" s="14">
        <v>1</v>
      </c>
      <c r="AN2730" s="15" t="s">
        <v>3439</v>
      </c>
    </row>
    <row r="2731" spans="1:40" x14ac:dyDescent="0.3">
      <c r="A2731" s="10" t="str">
        <f>HYPERLINK("http://www.washoecounty.gov/assessor/cama/?parid=036-172-16&amp;CardNumber=1","036-172-16")</f>
        <v>036-172-16</v>
      </c>
      <c r="B2731" t="s">
        <v>4655</v>
      </c>
      <c r="C2731" t="s">
        <v>16267</v>
      </c>
      <c r="D2731" s="1">
        <v>40389</v>
      </c>
      <c r="E2731" s="2">
        <v>162000</v>
      </c>
      <c r="F2731" t="s">
        <v>4567</v>
      </c>
      <c r="G2731" s="17" t="str">
        <f>HYPERLINK("https://www.washoecounty.gov/assessor/cama/?command=sales&amp;parid=03617216","3907326")</f>
        <v>3907326</v>
      </c>
      <c r="H2731" t="s">
        <v>3988</v>
      </c>
      <c r="I2731">
        <v>1973</v>
      </c>
      <c r="J2731">
        <v>1973</v>
      </c>
      <c r="K2731" t="s">
        <v>4554</v>
      </c>
      <c r="L2731" t="s">
        <v>4555</v>
      </c>
      <c r="M2731" s="2">
        <v>1822</v>
      </c>
      <c r="N2731" t="s">
        <v>4048</v>
      </c>
      <c r="O2731">
        <v>4</v>
      </c>
      <c r="P2731">
        <v>2</v>
      </c>
      <c r="Q2731">
        <v>0</v>
      </c>
      <c r="R2731" t="s">
        <v>4557</v>
      </c>
      <c r="S2731" t="s">
        <v>4558</v>
      </c>
      <c r="T2731" t="s">
        <v>4559</v>
      </c>
      <c r="U2731" t="s">
        <v>4560</v>
      </c>
      <c r="V2731" s="2">
        <v>441</v>
      </c>
      <c r="W2731" t="s">
        <v>4655</v>
      </c>
      <c r="X2731" s="2">
        <v>0</v>
      </c>
      <c r="Y2731">
        <v>20</v>
      </c>
      <c r="Z2731" t="s">
        <v>5200</v>
      </c>
      <c r="AA2731" s="3">
        <v>0.13700643181800801</v>
      </c>
      <c r="AB2731" t="s">
        <v>16268</v>
      </c>
      <c r="AC2731" t="s">
        <v>4562</v>
      </c>
      <c r="AD2731" t="s">
        <v>16269</v>
      </c>
      <c r="AE2731" t="s">
        <v>4655</v>
      </c>
      <c r="AF2731" t="s">
        <v>5201</v>
      </c>
      <c r="AG2731" t="s">
        <v>4564</v>
      </c>
      <c r="AH2731" t="s">
        <v>3898</v>
      </c>
      <c r="AI2731" t="s">
        <v>3625</v>
      </c>
      <c r="AJ2731" t="s">
        <v>4655</v>
      </c>
      <c r="AK2731" t="s">
        <v>16270</v>
      </c>
      <c r="AL2731" s="13" t="s">
        <v>1886</v>
      </c>
      <c r="AM2731" s="14">
        <v>1</v>
      </c>
      <c r="AN2731" s="15" t="s">
        <v>3439</v>
      </c>
    </row>
    <row r="2732" spans="1:40" x14ac:dyDescent="0.3">
      <c r="A2732" s="10" t="str">
        <f>HYPERLINK("http://www.washoecounty.gov/assessor/cama/?parid=036-182-11&amp;CardNumber=1","036-182-11")</f>
        <v>036-182-11</v>
      </c>
      <c r="B2732" t="s">
        <v>4655</v>
      </c>
      <c r="C2732" t="s">
        <v>16271</v>
      </c>
      <c r="D2732" s="1">
        <v>40506</v>
      </c>
      <c r="E2732" s="2">
        <v>110000</v>
      </c>
      <c r="F2732" t="s">
        <v>4567</v>
      </c>
      <c r="G2732" s="17" t="str">
        <f>HYPERLINK("https://www.washoecounty.gov/assessor/cama/?command=sales&amp;parid=03618211","3946406")</f>
        <v>3946406</v>
      </c>
      <c r="H2732" t="s">
        <v>760</v>
      </c>
      <c r="I2732">
        <v>1975</v>
      </c>
      <c r="J2732">
        <v>1975</v>
      </c>
      <c r="K2732" t="s">
        <v>4554</v>
      </c>
      <c r="L2732" t="s">
        <v>4555</v>
      </c>
      <c r="M2732" s="2">
        <v>1212</v>
      </c>
      <c r="N2732" t="s">
        <v>4048</v>
      </c>
      <c r="O2732">
        <v>3</v>
      </c>
      <c r="P2732">
        <v>2</v>
      </c>
      <c r="Q2732">
        <v>0</v>
      </c>
      <c r="R2732" t="s">
        <v>4557</v>
      </c>
      <c r="S2732" t="s">
        <v>4558</v>
      </c>
      <c r="T2732" t="s">
        <v>4559</v>
      </c>
      <c r="U2732" t="s">
        <v>4560</v>
      </c>
      <c r="V2732" s="2">
        <v>440</v>
      </c>
      <c r="W2732" t="s">
        <v>4655</v>
      </c>
      <c r="X2732" s="2">
        <v>0</v>
      </c>
      <c r="Y2732">
        <v>20</v>
      </c>
      <c r="Z2732" t="s">
        <v>5200</v>
      </c>
      <c r="AA2732" s="3">
        <v>0.15500459074974099</v>
      </c>
      <c r="AB2732" t="s">
        <v>16272</v>
      </c>
      <c r="AC2732" t="s">
        <v>4562</v>
      </c>
      <c r="AD2732" t="s">
        <v>16271</v>
      </c>
      <c r="AE2732" t="s">
        <v>4655</v>
      </c>
      <c r="AF2732" t="s">
        <v>5201</v>
      </c>
      <c r="AG2732" t="s">
        <v>4564</v>
      </c>
      <c r="AH2732" t="s">
        <v>3898</v>
      </c>
      <c r="AI2732" t="s">
        <v>16240</v>
      </c>
      <c r="AJ2732" t="s">
        <v>4655</v>
      </c>
      <c r="AK2732" t="s">
        <v>16273</v>
      </c>
      <c r="AL2732" s="13" t="s">
        <v>1886</v>
      </c>
      <c r="AM2732">
        <v>1</v>
      </c>
      <c r="AN2732" s="15" t="s">
        <v>3439</v>
      </c>
    </row>
    <row r="2733" spans="1:40" x14ac:dyDescent="0.3">
      <c r="A2733" s="10" t="str">
        <f>HYPERLINK("http://www.washoecounty.gov/assessor/cama/?parid=036-182-17&amp;CardNumber=1","036-182-17")</f>
        <v>036-182-17</v>
      </c>
      <c r="B2733" t="s">
        <v>4655</v>
      </c>
      <c r="C2733" t="s">
        <v>16274</v>
      </c>
      <c r="D2733" s="1">
        <v>40295</v>
      </c>
      <c r="E2733" s="2">
        <v>130000</v>
      </c>
      <c r="F2733" t="s">
        <v>4553</v>
      </c>
      <c r="G2733" s="17" t="str">
        <f>HYPERLINK("https://www.washoecounty.gov/assessor/cama/?command=sales&amp;parid=03618217","3875090")</f>
        <v>3875090</v>
      </c>
      <c r="H2733" t="s">
        <v>760</v>
      </c>
      <c r="I2733">
        <v>1975</v>
      </c>
      <c r="J2733">
        <v>1975</v>
      </c>
      <c r="K2733" t="s">
        <v>4554</v>
      </c>
      <c r="L2733" t="s">
        <v>4555</v>
      </c>
      <c r="M2733" s="2">
        <v>1415</v>
      </c>
      <c r="N2733" t="s">
        <v>4048</v>
      </c>
      <c r="O2733">
        <v>3</v>
      </c>
      <c r="P2733">
        <v>2</v>
      </c>
      <c r="Q2733">
        <v>0</v>
      </c>
      <c r="R2733" t="s">
        <v>5281</v>
      </c>
      <c r="S2733" t="s">
        <v>4558</v>
      </c>
      <c r="T2733" t="s">
        <v>4559</v>
      </c>
      <c r="U2733" t="s">
        <v>4560</v>
      </c>
      <c r="V2733" s="2">
        <v>429</v>
      </c>
      <c r="W2733" t="s">
        <v>4655</v>
      </c>
      <c r="X2733" s="2">
        <v>0</v>
      </c>
      <c r="Y2733">
        <v>20</v>
      </c>
      <c r="Z2733" t="s">
        <v>5200</v>
      </c>
      <c r="AA2733" s="3">
        <v>0.15199723839759827</v>
      </c>
      <c r="AB2733" t="s">
        <v>16275</v>
      </c>
      <c r="AC2733" t="s">
        <v>4562</v>
      </c>
      <c r="AD2733" t="s">
        <v>16276</v>
      </c>
      <c r="AE2733" t="s">
        <v>4655</v>
      </c>
      <c r="AF2733" t="s">
        <v>5201</v>
      </c>
      <c r="AG2733" t="s">
        <v>4564</v>
      </c>
      <c r="AH2733" t="s">
        <v>3609</v>
      </c>
      <c r="AI2733" t="s">
        <v>2351</v>
      </c>
      <c r="AJ2733" t="s">
        <v>4655</v>
      </c>
      <c r="AK2733" t="s">
        <v>16277</v>
      </c>
      <c r="AL2733" s="13" t="s">
        <v>1886</v>
      </c>
      <c r="AM2733">
        <v>1</v>
      </c>
      <c r="AN2733" s="15" t="s">
        <v>3439</v>
      </c>
    </row>
    <row r="2734" spans="1:40" x14ac:dyDescent="0.3">
      <c r="A2734" s="10" t="str">
        <f>HYPERLINK("http://www.washoecounty.gov/assessor/cama/?parid=036-192-04&amp;CardNumber=1","036-192-04")</f>
        <v>036-192-04</v>
      </c>
      <c r="B2734" t="s">
        <v>4655</v>
      </c>
      <c r="C2734" t="s">
        <v>16278</v>
      </c>
      <c r="D2734" s="1">
        <v>40521</v>
      </c>
      <c r="E2734" s="2">
        <v>123500</v>
      </c>
      <c r="F2734" t="s">
        <v>4553</v>
      </c>
      <c r="G2734" s="17" t="str">
        <f>HYPERLINK("https://www.washoecounty.gov/assessor/cama/?command=sales&amp;parid=03619204","3951450")</f>
        <v>3951450</v>
      </c>
      <c r="H2734" t="s">
        <v>3760</v>
      </c>
      <c r="I2734">
        <v>1973</v>
      </c>
      <c r="J2734">
        <v>1973</v>
      </c>
      <c r="K2734" t="s">
        <v>4554</v>
      </c>
      <c r="L2734" t="s">
        <v>4555</v>
      </c>
      <c r="M2734" s="2">
        <v>1415</v>
      </c>
      <c r="N2734" t="s">
        <v>4048</v>
      </c>
      <c r="O2734">
        <v>3</v>
      </c>
      <c r="P2734">
        <v>2</v>
      </c>
      <c r="Q2734">
        <v>0</v>
      </c>
      <c r="R2734" t="s">
        <v>4557</v>
      </c>
      <c r="S2734" t="s">
        <v>4558</v>
      </c>
      <c r="T2734" t="s">
        <v>4559</v>
      </c>
      <c r="U2734" t="s">
        <v>4560</v>
      </c>
      <c r="V2734" s="2">
        <v>429</v>
      </c>
      <c r="W2734" t="s">
        <v>4655</v>
      </c>
      <c r="X2734" s="2">
        <v>0</v>
      </c>
      <c r="Y2734">
        <v>20</v>
      </c>
      <c r="Z2734" t="s">
        <v>5200</v>
      </c>
      <c r="AA2734" s="3">
        <v>0.16499081254005399</v>
      </c>
      <c r="AB2734" t="s">
        <v>16279</v>
      </c>
      <c r="AC2734" t="s">
        <v>4562</v>
      </c>
      <c r="AD2734" t="s">
        <v>16280</v>
      </c>
      <c r="AE2734" t="s">
        <v>4655</v>
      </c>
      <c r="AF2734" t="s">
        <v>4809</v>
      </c>
      <c r="AG2734" t="s">
        <v>4564</v>
      </c>
      <c r="AH2734" t="s">
        <v>3898</v>
      </c>
      <c r="AI2734" t="s">
        <v>4565</v>
      </c>
      <c r="AJ2734" t="s">
        <v>4655</v>
      </c>
      <c r="AK2734" t="s">
        <v>16281</v>
      </c>
      <c r="AL2734" s="13" t="s">
        <v>1886</v>
      </c>
      <c r="AM2734" s="14">
        <v>1</v>
      </c>
      <c r="AN2734" s="15" t="s">
        <v>3439</v>
      </c>
    </row>
    <row r="2735" spans="1:40" x14ac:dyDescent="0.3">
      <c r="A2735" s="10" t="str">
        <f>HYPERLINK("http://www.washoecounty.gov/assessor/cama/?parid=036-195-06&amp;CardNumber=1","036-195-06")</f>
        <v>036-195-06</v>
      </c>
      <c r="B2735" t="s">
        <v>4655</v>
      </c>
      <c r="C2735" t="s">
        <v>16282</v>
      </c>
      <c r="D2735" s="1">
        <v>40298</v>
      </c>
      <c r="E2735" s="2">
        <v>211000</v>
      </c>
      <c r="F2735" t="s">
        <v>4567</v>
      </c>
      <c r="G2735" s="17" t="str">
        <f>HYPERLINK("https://www.washoecounty.gov/assessor/cama/?command=sales&amp;parid=03619506","3877008")</f>
        <v>3877008</v>
      </c>
      <c r="H2735" t="s">
        <v>760</v>
      </c>
      <c r="I2735">
        <v>1973</v>
      </c>
      <c r="J2735">
        <v>1973</v>
      </c>
      <c r="K2735" t="s">
        <v>4554</v>
      </c>
      <c r="L2735" t="s">
        <v>2170</v>
      </c>
      <c r="M2735" s="2">
        <v>2116</v>
      </c>
      <c r="N2735" t="s">
        <v>4048</v>
      </c>
      <c r="O2735">
        <v>4</v>
      </c>
      <c r="P2735">
        <v>3</v>
      </c>
      <c r="Q2735">
        <v>0</v>
      </c>
      <c r="R2735" t="s">
        <v>4557</v>
      </c>
      <c r="S2735" t="s">
        <v>4135</v>
      </c>
      <c r="T2735" t="s">
        <v>4559</v>
      </c>
      <c r="U2735" t="s">
        <v>4560</v>
      </c>
      <c r="V2735" s="2">
        <v>440</v>
      </c>
      <c r="W2735" t="s">
        <v>4655</v>
      </c>
      <c r="X2735" s="2">
        <v>0</v>
      </c>
      <c r="Y2735">
        <v>20</v>
      </c>
      <c r="Z2735" t="s">
        <v>5200</v>
      </c>
      <c r="AA2735" s="3">
        <v>0.14400826394558</v>
      </c>
      <c r="AB2735" t="s">
        <v>16283</v>
      </c>
      <c r="AC2735" t="s">
        <v>4562</v>
      </c>
      <c r="AD2735" t="s">
        <v>16282</v>
      </c>
      <c r="AE2735" t="s">
        <v>4655</v>
      </c>
      <c r="AF2735" t="s">
        <v>5201</v>
      </c>
      <c r="AG2735" t="s">
        <v>4564</v>
      </c>
      <c r="AH2735" t="s">
        <v>3898</v>
      </c>
      <c r="AI2735" t="s">
        <v>16284</v>
      </c>
      <c r="AJ2735" t="s">
        <v>4655</v>
      </c>
      <c r="AK2735" t="s">
        <v>16285</v>
      </c>
      <c r="AL2735" s="13" t="s">
        <v>1886</v>
      </c>
      <c r="AM2735" s="14">
        <v>1</v>
      </c>
      <c r="AN2735" s="15" t="s">
        <v>3439</v>
      </c>
    </row>
    <row r="2736" spans="1:40" x14ac:dyDescent="0.3">
      <c r="A2736" s="10" t="str">
        <f>HYPERLINK("http://www.washoecounty.gov/assessor/cama/?parid=036-195-10&amp;CardNumber=1","036-195-10")</f>
        <v>036-195-10</v>
      </c>
      <c r="B2736" t="s">
        <v>4655</v>
      </c>
      <c r="C2736" t="s">
        <v>16286</v>
      </c>
      <c r="D2736" s="1">
        <v>40221</v>
      </c>
      <c r="E2736" s="2">
        <v>136000</v>
      </c>
      <c r="F2736" t="s">
        <v>4553</v>
      </c>
      <c r="G2736" s="17" t="str">
        <f>HYPERLINK("https://www.washoecounty.gov/assessor/cama/?command=sales&amp;parid=03619510","3848988")</f>
        <v>3848988</v>
      </c>
      <c r="H2736" t="s">
        <v>760</v>
      </c>
      <c r="I2736">
        <v>1973</v>
      </c>
      <c r="J2736">
        <v>1973</v>
      </c>
      <c r="K2736" t="s">
        <v>4554</v>
      </c>
      <c r="L2736" t="s">
        <v>4555</v>
      </c>
      <c r="M2736" s="2">
        <v>1536</v>
      </c>
      <c r="N2736" t="s">
        <v>4048</v>
      </c>
      <c r="O2736">
        <v>4</v>
      </c>
      <c r="P2736">
        <v>2</v>
      </c>
      <c r="Q2736">
        <v>0</v>
      </c>
      <c r="R2736" t="s">
        <v>5281</v>
      </c>
      <c r="S2736" t="s">
        <v>4558</v>
      </c>
      <c r="T2736" t="s">
        <v>4559</v>
      </c>
      <c r="U2736" t="s">
        <v>4560</v>
      </c>
      <c r="V2736" s="2">
        <v>432</v>
      </c>
      <c r="W2736" t="s">
        <v>4655</v>
      </c>
      <c r="X2736" s="2">
        <v>0</v>
      </c>
      <c r="Y2736">
        <v>20</v>
      </c>
      <c r="Z2736" t="s">
        <v>5200</v>
      </c>
      <c r="AA2736" s="3">
        <v>0.22601009905338301</v>
      </c>
      <c r="AB2736" t="s">
        <v>16287</v>
      </c>
      <c r="AC2736" t="s">
        <v>4562</v>
      </c>
      <c r="AD2736" t="s">
        <v>16286</v>
      </c>
      <c r="AE2736" t="s">
        <v>4655</v>
      </c>
      <c r="AF2736" t="s">
        <v>5201</v>
      </c>
      <c r="AG2736" t="s">
        <v>4564</v>
      </c>
      <c r="AH2736" t="s">
        <v>3898</v>
      </c>
      <c r="AI2736" t="s">
        <v>4655</v>
      </c>
      <c r="AJ2736" t="s">
        <v>4655</v>
      </c>
      <c r="AK2736" t="s">
        <v>16288</v>
      </c>
      <c r="AL2736" s="13" t="s">
        <v>1886</v>
      </c>
      <c r="AM2736">
        <v>1</v>
      </c>
      <c r="AN2736" s="15" t="s">
        <v>3439</v>
      </c>
    </row>
    <row r="2737" spans="1:40" x14ac:dyDescent="0.3">
      <c r="A2737" s="10" t="str">
        <f>HYPERLINK("http://www.washoecounty.gov/assessor/cama/?parid=036-195-16&amp;CardNumber=1","036-195-16")</f>
        <v>036-195-16</v>
      </c>
      <c r="B2737" t="s">
        <v>4655</v>
      </c>
      <c r="C2737" t="s">
        <v>16289</v>
      </c>
      <c r="D2737" s="1">
        <v>40366</v>
      </c>
      <c r="E2737" s="2">
        <v>122000</v>
      </c>
      <c r="F2737" t="s">
        <v>4553</v>
      </c>
      <c r="G2737" s="17" t="str">
        <f>HYPERLINK("https://www.washoecounty.gov/assessor/cama/?command=sales&amp;parid=03619516","3899101")</f>
        <v>3899101</v>
      </c>
      <c r="H2737" t="s">
        <v>760</v>
      </c>
      <c r="I2737">
        <v>1973</v>
      </c>
      <c r="J2737">
        <v>1973</v>
      </c>
      <c r="K2737" t="s">
        <v>4554</v>
      </c>
      <c r="L2737" t="s">
        <v>4555</v>
      </c>
      <c r="M2737" s="2">
        <v>1536</v>
      </c>
      <c r="N2737" t="s">
        <v>4048</v>
      </c>
      <c r="O2737">
        <v>4</v>
      </c>
      <c r="P2737">
        <v>2</v>
      </c>
      <c r="Q2737">
        <v>0</v>
      </c>
      <c r="R2737" t="s">
        <v>5281</v>
      </c>
      <c r="S2737" t="s">
        <v>4135</v>
      </c>
      <c r="T2737" t="s">
        <v>4559</v>
      </c>
      <c r="U2737" t="s">
        <v>4560</v>
      </c>
      <c r="V2737" s="2">
        <v>432</v>
      </c>
      <c r="W2737" t="s">
        <v>4655</v>
      </c>
      <c r="X2737" s="2">
        <v>0</v>
      </c>
      <c r="Y2737">
        <v>20</v>
      </c>
      <c r="Z2737" t="s">
        <v>5200</v>
      </c>
      <c r="AA2737" s="3">
        <v>0.15000000596046401</v>
      </c>
      <c r="AB2737" t="s">
        <v>16290</v>
      </c>
      <c r="AC2737" t="s">
        <v>4575</v>
      </c>
      <c r="AD2737" t="s">
        <v>16291</v>
      </c>
      <c r="AE2737" t="s">
        <v>16292</v>
      </c>
      <c r="AF2737" t="s">
        <v>4809</v>
      </c>
      <c r="AG2737" t="s">
        <v>4564</v>
      </c>
      <c r="AH2737" t="s">
        <v>3898</v>
      </c>
      <c r="AI2737" t="s">
        <v>2351</v>
      </c>
      <c r="AJ2737" t="s">
        <v>4655</v>
      </c>
      <c r="AK2737" t="s">
        <v>16293</v>
      </c>
      <c r="AL2737" s="13" t="s">
        <v>1886</v>
      </c>
      <c r="AM2737" s="14">
        <v>1</v>
      </c>
      <c r="AN2737" s="15" t="s">
        <v>3439</v>
      </c>
    </row>
    <row r="2738" spans="1:40" x14ac:dyDescent="0.3">
      <c r="A2738" s="10" t="str">
        <f>HYPERLINK("http://www.washoecounty.gov/assessor/cama/?parid=036-196-29&amp;CardNumber=1","036-196-29")</f>
        <v>036-196-29</v>
      </c>
      <c r="B2738" t="s">
        <v>4655</v>
      </c>
      <c r="C2738" t="s">
        <v>16294</v>
      </c>
      <c r="D2738" s="1">
        <v>40231</v>
      </c>
      <c r="E2738" s="2">
        <v>142000</v>
      </c>
      <c r="F2738" t="s">
        <v>4567</v>
      </c>
      <c r="G2738" s="17" t="str">
        <f>HYPERLINK("https://www.washoecounty.gov/assessor/cama/?command=sales&amp;parid=03619629","3851400")</f>
        <v>3851400</v>
      </c>
      <c r="H2738" t="s">
        <v>760</v>
      </c>
      <c r="I2738">
        <v>1973</v>
      </c>
      <c r="J2738">
        <v>1974</v>
      </c>
      <c r="K2738" t="s">
        <v>4554</v>
      </c>
      <c r="L2738" t="s">
        <v>4555</v>
      </c>
      <c r="M2738" s="2">
        <v>1695</v>
      </c>
      <c r="N2738" t="s">
        <v>4048</v>
      </c>
      <c r="O2738">
        <v>3</v>
      </c>
      <c r="P2738">
        <v>2</v>
      </c>
      <c r="Q2738">
        <v>0</v>
      </c>
      <c r="R2738" t="s">
        <v>5281</v>
      </c>
      <c r="S2738" t="s">
        <v>4135</v>
      </c>
      <c r="T2738" t="s">
        <v>4559</v>
      </c>
      <c r="U2738" t="s">
        <v>4560</v>
      </c>
      <c r="V2738" s="2">
        <v>429</v>
      </c>
      <c r="W2738" t="s">
        <v>4655</v>
      </c>
      <c r="X2738" s="2">
        <v>0</v>
      </c>
      <c r="Y2738">
        <v>20</v>
      </c>
      <c r="Z2738" t="s">
        <v>5200</v>
      </c>
      <c r="AA2738" s="3">
        <v>0.146992653608322</v>
      </c>
      <c r="AB2738" t="s">
        <v>16295</v>
      </c>
      <c r="AC2738" t="s">
        <v>4575</v>
      </c>
      <c r="AD2738" t="s">
        <v>16296</v>
      </c>
      <c r="AE2738" t="s">
        <v>16294</v>
      </c>
      <c r="AF2738" t="s">
        <v>5201</v>
      </c>
      <c r="AG2738" t="s">
        <v>4564</v>
      </c>
      <c r="AH2738" t="s">
        <v>3898</v>
      </c>
      <c r="AI2738" t="s">
        <v>16297</v>
      </c>
      <c r="AJ2738" t="s">
        <v>4655</v>
      </c>
      <c r="AK2738" t="s">
        <v>16298</v>
      </c>
      <c r="AL2738" s="13" t="s">
        <v>1886</v>
      </c>
      <c r="AM2738" s="14">
        <v>1</v>
      </c>
      <c r="AN2738" s="15" t="s">
        <v>3439</v>
      </c>
    </row>
    <row r="2739" spans="1:40" x14ac:dyDescent="0.3">
      <c r="A2739" s="10" t="str">
        <f>HYPERLINK("http://www.washoecounty.gov/assessor/cama/?parid=036-197-08&amp;CardNumber=1","036-197-08")</f>
        <v>036-197-08</v>
      </c>
      <c r="B2739" t="s">
        <v>4655</v>
      </c>
      <c r="C2739" t="s">
        <v>16299</v>
      </c>
      <c r="D2739" s="1">
        <v>40375</v>
      </c>
      <c r="E2739" s="2">
        <v>135000</v>
      </c>
      <c r="F2739" t="s">
        <v>4567</v>
      </c>
      <c r="G2739" s="17" t="str">
        <f>HYPERLINK("https://www.washoecounty.gov/assessor/cama/?command=sales&amp;parid=03619708","3902333")</f>
        <v>3902333</v>
      </c>
      <c r="H2739" t="s">
        <v>44</v>
      </c>
      <c r="I2739">
        <v>1973</v>
      </c>
      <c r="J2739">
        <v>1973</v>
      </c>
      <c r="K2739" t="s">
        <v>4554</v>
      </c>
      <c r="L2739" t="s">
        <v>4555</v>
      </c>
      <c r="M2739" s="2">
        <v>1536</v>
      </c>
      <c r="N2739" t="s">
        <v>4048</v>
      </c>
      <c r="O2739">
        <v>4</v>
      </c>
      <c r="P2739">
        <v>2</v>
      </c>
      <c r="Q2739">
        <v>0</v>
      </c>
      <c r="R2739" t="s">
        <v>5281</v>
      </c>
      <c r="S2739" t="s">
        <v>4135</v>
      </c>
      <c r="T2739" t="s">
        <v>4559</v>
      </c>
      <c r="U2739" t="s">
        <v>4560</v>
      </c>
      <c r="V2739" s="2">
        <v>432</v>
      </c>
      <c r="W2739" t="s">
        <v>4655</v>
      </c>
      <c r="X2739" s="2">
        <v>0</v>
      </c>
      <c r="Y2739">
        <v>20</v>
      </c>
      <c r="Z2739" t="s">
        <v>5200</v>
      </c>
      <c r="AA2739" s="3">
        <v>0.13999082148075101</v>
      </c>
      <c r="AB2739" t="s">
        <v>16300</v>
      </c>
      <c r="AC2739" t="s">
        <v>4562</v>
      </c>
      <c r="AD2739" t="s">
        <v>16299</v>
      </c>
      <c r="AE2739" t="s">
        <v>4655</v>
      </c>
      <c r="AF2739" t="s">
        <v>5201</v>
      </c>
      <c r="AG2739" t="s">
        <v>4564</v>
      </c>
      <c r="AH2739" t="s">
        <v>3898</v>
      </c>
      <c r="AI2739" t="s">
        <v>16301</v>
      </c>
      <c r="AJ2739" t="s">
        <v>4655</v>
      </c>
      <c r="AK2739" t="s">
        <v>16302</v>
      </c>
      <c r="AL2739" s="13" t="s">
        <v>1886</v>
      </c>
      <c r="AM2739" s="14">
        <v>1</v>
      </c>
      <c r="AN2739" s="15" t="s">
        <v>3439</v>
      </c>
    </row>
    <row r="2740" spans="1:40" x14ac:dyDescent="0.3">
      <c r="A2740" s="10" t="str">
        <f>HYPERLINK("http://www.washoecounty.gov/assessor/cama/?parid=036-197-16&amp;CardNumber=1","036-197-16")</f>
        <v>036-197-16</v>
      </c>
      <c r="B2740" t="s">
        <v>4655</v>
      </c>
      <c r="C2740" t="s">
        <v>16303</v>
      </c>
      <c r="D2740" s="1">
        <v>40217</v>
      </c>
      <c r="E2740" s="2">
        <v>165000</v>
      </c>
      <c r="F2740" t="s">
        <v>4567</v>
      </c>
      <c r="G2740" s="17" t="str">
        <f>HYPERLINK("https://www.washoecounty.gov/assessor/cama/?command=sales&amp;parid=03619716","3847005")</f>
        <v>3847005</v>
      </c>
      <c r="H2740" t="s">
        <v>761</v>
      </c>
      <c r="I2740">
        <v>1976</v>
      </c>
      <c r="J2740">
        <v>1976</v>
      </c>
      <c r="K2740" t="s">
        <v>4554</v>
      </c>
      <c r="L2740" t="s">
        <v>2170</v>
      </c>
      <c r="M2740" s="2">
        <v>2128</v>
      </c>
      <c r="N2740" t="s">
        <v>4048</v>
      </c>
      <c r="O2740">
        <v>4</v>
      </c>
      <c r="P2740">
        <v>3</v>
      </c>
      <c r="Q2740">
        <v>0</v>
      </c>
      <c r="R2740" t="s">
        <v>5281</v>
      </c>
      <c r="S2740" t="s">
        <v>4558</v>
      </c>
      <c r="T2740" t="s">
        <v>4559</v>
      </c>
      <c r="U2740" t="s">
        <v>4560</v>
      </c>
      <c r="V2740" s="2">
        <v>440</v>
      </c>
      <c r="W2740" t="s">
        <v>4655</v>
      </c>
      <c r="X2740" s="2">
        <v>0</v>
      </c>
      <c r="Y2740">
        <v>20</v>
      </c>
      <c r="Z2740" t="s">
        <v>5200</v>
      </c>
      <c r="AA2740" s="3">
        <v>0.18099173903465299</v>
      </c>
      <c r="AB2740" t="s">
        <v>16304</v>
      </c>
      <c r="AC2740" t="s">
        <v>4562</v>
      </c>
      <c r="AD2740" t="s">
        <v>16303</v>
      </c>
      <c r="AE2740" t="s">
        <v>4655</v>
      </c>
      <c r="AF2740" t="s">
        <v>5201</v>
      </c>
      <c r="AG2740" t="s">
        <v>4564</v>
      </c>
      <c r="AH2740" t="s">
        <v>3898</v>
      </c>
      <c r="AI2740" t="s">
        <v>16305</v>
      </c>
      <c r="AJ2740" t="s">
        <v>4655</v>
      </c>
      <c r="AK2740" t="s">
        <v>16306</v>
      </c>
      <c r="AL2740" s="13" t="s">
        <v>1886</v>
      </c>
      <c r="AM2740" s="14">
        <v>1</v>
      </c>
      <c r="AN2740" s="15" t="s">
        <v>3439</v>
      </c>
    </row>
    <row r="2741" spans="1:40" x14ac:dyDescent="0.3">
      <c r="A2741" s="10" t="str">
        <f>HYPERLINK("http://www.washoecounty.gov/assessor/cama/?parid=036-198-11&amp;CardNumber=1","036-198-11")</f>
        <v>036-198-11</v>
      </c>
      <c r="B2741" t="s">
        <v>4655</v>
      </c>
      <c r="C2741" t="s">
        <v>16307</v>
      </c>
      <c r="D2741" s="1">
        <v>40305</v>
      </c>
      <c r="E2741" s="2">
        <v>127000</v>
      </c>
      <c r="F2741" t="s">
        <v>4553</v>
      </c>
      <c r="G2741" s="17" t="str">
        <f>HYPERLINK("https://www.washoecounty.gov/assessor/cama/?command=sales&amp;parid=03619811","3879453")</f>
        <v>3879453</v>
      </c>
      <c r="H2741" t="s">
        <v>1261</v>
      </c>
      <c r="I2741">
        <v>1976</v>
      </c>
      <c r="J2741">
        <v>1976</v>
      </c>
      <c r="K2741" t="s">
        <v>4554</v>
      </c>
      <c r="L2741" t="s">
        <v>4555</v>
      </c>
      <c r="M2741" s="2">
        <v>1375</v>
      </c>
      <c r="N2741" t="s">
        <v>4048</v>
      </c>
      <c r="O2741">
        <v>3</v>
      </c>
      <c r="P2741">
        <v>2</v>
      </c>
      <c r="Q2741">
        <v>0</v>
      </c>
      <c r="R2741" t="s">
        <v>4557</v>
      </c>
      <c r="S2741" t="s">
        <v>4558</v>
      </c>
      <c r="T2741" t="s">
        <v>4559</v>
      </c>
      <c r="U2741" t="s">
        <v>4560</v>
      </c>
      <c r="V2741" s="2">
        <v>480</v>
      </c>
      <c r="W2741" t="s">
        <v>4655</v>
      </c>
      <c r="X2741" s="2">
        <v>0</v>
      </c>
      <c r="Y2741">
        <v>20</v>
      </c>
      <c r="Z2741" t="s">
        <v>5200</v>
      </c>
      <c r="AA2741" s="3">
        <v>0.23599632084369701</v>
      </c>
      <c r="AB2741" t="s">
        <v>16308</v>
      </c>
      <c r="AC2741" t="s">
        <v>4562</v>
      </c>
      <c r="AD2741" t="s">
        <v>16307</v>
      </c>
      <c r="AE2741" t="s">
        <v>4655</v>
      </c>
      <c r="AF2741" t="s">
        <v>5201</v>
      </c>
      <c r="AG2741" t="s">
        <v>4564</v>
      </c>
      <c r="AH2741" t="s">
        <v>3898</v>
      </c>
      <c r="AI2741" t="s">
        <v>4565</v>
      </c>
      <c r="AJ2741" t="s">
        <v>4655</v>
      </c>
      <c r="AK2741" t="s">
        <v>16309</v>
      </c>
      <c r="AL2741" s="13" t="s">
        <v>1886</v>
      </c>
      <c r="AM2741" s="14">
        <v>1</v>
      </c>
      <c r="AN2741" s="15" t="s">
        <v>3439</v>
      </c>
    </row>
    <row r="2742" spans="1:40" x14ac:dyDescent="0.3">
      <c r="A2742" s="10" t="str">
        <f>HYPERLINK("http://www.washoecounty.gov/assessor/cama/?parid=036-221-13&amp;CardNumber=1","036-221-13")</f>
        <v>036-221-13</v>
      </c>
      <c r="B2742" t="s">
        <v>4655</v>
      </c>
      <c r="C2742" t="s">
        <v>16310</v>
      </c>
      <c r="D2742" s="1">
        <v>40259</v>
      </c>
      <c r="E2742" s="2">
        <v>149000</v>
      </c>
      <c r="F2742" t="s">
        <v>4553</v>
      </c>
      <c r="G2742" s="17" t="str">
        <f>HYPERLINK("https://www.washoecounty.gov/assessor/cama/?command=sales&amp;parid=03622113","3862269")</f>
        <v>3862269</v>
      </c>
      <c r="H2742" t="s">
        <v>16311</v>
      </c>
      <c r="I2742">
        <v>1973</v>
      </c>
      <c r="J2742">
        <v>1973</v>
      </c>
      <c r="K2742" t="s">
        <v>4554</v>
      </c>
      <c r="L2742" t="s">
        <v>4555</v>
      </c>
      <c r="M2742" s="2">
        <v>1450</v>
      </c>
      <c r="N2742" t="s">
        <v>4048</v>
      </c>
      <c r="O2742">
        <v>3</v>
      </c>
      <c r="P2742">
        <v>2</v>
      </c>
      <c r="Q2742">
        <v>0</v>
      </c>
      <c r="R2742" t="s">
        <v>5281</v>
      </c>
      <c r="S2742" t="s">
        <v>4558</v>
      </c>
      <c r="T2742" t="s">
        <v>4559</v>
      </c>
      <c r="U2742" t="s">
        <v>4560</v>
      </c>
      <c r="V2742" s="2">
        <v>430</v>
      </c>
      <c r="W2742" t="s">
        <v>4655</v>
      </c>
      <c r="X2742" s="2">
        <v>0</v>
      </c>
      <c r="Y2742">
        <v>20</v>
      </c>
      <c r="Z2742" t="s">
        <v>5200</v>
      </c>
      <c r="AA2742" s="3">
        <v>0.15199723839759827</v>
      </c>
      <c r="AB2742" t="s">
        <v>16312</v>
      </c>
      <c r="AC2742" t="s">
        <v>4562</v>
      </c>
      <c r="AD2742" t="s">
        <v>16310</v>
      </c>
      <c r="AE2742" t="s">
        <v>4655</v>
      </c>
      <c r="AF2742" t="s">
        <v>5201</v>
      </c>
      <c r="AG2742" t="s">
        <v>4564</v>
      </c>
      <c r="AH2742" t="s">
        <v>3898</v>
      </c>
      <c r="AI2742" t="s">
        <v>4903</v>
      </c>
      <c r="AJ2742" t="s">
        <v>4655</v>
      </c>
      <c r="AK2742" t="s">
        <v>16313</v>
      </c>
      <c r="AL2742" s="13" t="s">
        <v>1886</v>
      </c>
      <c r="AM2742">
        <v>1</v>
      </c>
      <c r="AN2742" s="15" t="s">
        <v>3439</v>
      </c>
    </row>
    <row r="2743" spans="1:40" x14ac:dyDescent="0.3">
      <c r="A2743" s="10" t="str">
        <f>HYPERLINK("http://www.washoecounty.gov/assessor/cama/?parid=036-222-03&amp;CardNumber=1","036-222-03")</f>
        <v>036-222-03</v>
      </c>
      <c r="B2743" t="s">
        <v>4655</v>
      </c>
      <c r="C2743" t="s">
        <v>16314</v>
      </c>
      <c r="D2743" s="1">
        <v>40408</v>
      </c>
      <c r="E2743" s="2">
        <v>150000</v>
      </c>
      <c r="F2743" t="s">
        <v>4567</v>
      </c>
      <c r="G2743" s="17" t="str">
        <f>HYPERLINK("https://www.washoecounty.gov/assessor/cama/?command=sales&amp;parid=03622203","3913354")</f>
        <v>3913354</v>
      </c>
      <c r="H2743" t="s">
        <v>3988</v>
      </c>
      <c r="I2743">
        <v>1973</v>
      </c>
      <c r="J2743">
        <v>1973</v>
      </c>
      <c r="K2743" t="s">
        <v>4554</v>
      </c>
      <c r="L2743" t="s">
        <v>4555</v>
      </c>
      <c r="M2743" s="2">
        <v>1822</v>
      </c>
      <c r="N2743" t="s">
        <v>4048</v>
      </c>
      <c r="O2743">
        <v>4</v>
      </c>
      <c r="P2743">
        <v>2</v>
      </c>
      <c r="Q2743">
        <v>0</v>
      </c>
      <c r="R2743" t="s">
        <v>4557</v>
      </c>
      <c r="S2743" t="s">
        <v>4558</v>
      </c>
      <c r="T2743" t="s">
        <v>4559</v>
      </c>
      <c r="U2743" t="s">
        <v>4560</v>
      </c>
      <c r="V2743" s="2">
        <v>441</v>
      </c>
      <c r="W2743" t="s">
        <v>4655</v>
      </c>
      <c r="X2743" s="2">
        <v>0</v>
      </c>
      <c r="Y2743">
        <v>20</v>
      </c>
      <c r="Z2743" t="s">
        <v>5200</v>
      </c>
      <c r="AA2743" s="3">
        <v>0.13700643181800801</v>
      </c>
      <c r="AB2743" t="s">
        <v>16315</v>
      </c>
      <c r="AC2743" t="s">
        <v>4575</v>
      </c>
      <c r="AD2743" t="s">
        <v>16314</v>
      </c>
      <c r="AE2743" t="s">
        <v>4655</v>
      </c>
      <c r="AF2743" t="s">
        <v>5201</v>
      </c>
      <c r="AG2743" t="s">
        <v>4564</v>
      </c>
      <c r="AH2743" t="s">
        <v>3898</v>
      </c>
      <c r="AI2743" t="s">
        <v>2281</v>
      </c>
      <c r="AJ2743" t="s">
        <v>4655</v>
      </c>
      <c r="AK2743" t="s">
        <v>16316</v>
      </c>
      <c r="AL2743" s="13" t="s">
        <v>1886</v>
      </c>
      <c r="AM2743">
        <v>1</v>
      </c>
      <c r="AN2743" s="15" t="s">
        <v>3439</v>
      </c>
    </row>
    <row r="2744" spans="1:40" x14ac:dyDescent="0.3">
      <c r="A2744" s="10" t="str">
        <f>HYPERLINK("http://www.washoecounty.gov/assessor/cama/?parid=036-222-06&amp;CardNumber=1","036-222-06")</f>
        <v>036-222-06</v>
      </c>
      <c r="B2744" t="s">
        <v>4655</v>
      </c>
      <c r="C2744" t="s">
        <v>16317</v>
      </c>
      <c r="D2744" s="1">
        <v>40512</v>
      </c>
      <c r="E2744" s="2">
        <v>147000</v>
      </c>
      <c r="F2744" t="s">
        <v>4553</v>
      </c>
      <c r="G2744" s="17" t="str">
        <f>HYPERLINK("https://www.washoecounty.gov/assessor/cama/?command=sales&amp;parid=03622206","3947554")</f>
        <v>3947554</v>
      </c>
      <c r="H2744" t="s">
        <v>16311</v>
      </c>
      <c r="I2744">
        <v>1973</v>
      </c>
      <c r="J2744">
        <v>1973</v>
      </c>
      <c r="K2744" t="s">
        <v>4554</v>
      </c>
      <c r="L2744" t="s">
        <v>4555</v>
      </c>
      <c r="M2744" s="2">
        <v>1643</v>
      </c>
      <c r="N2744" t="s">
        <v>4048</v>
      </c>
      <c r="O2744">
        <v>3</v>
      </c>
      <c r="P2744">
        <v>2</v>
      </c>
      <c r="Q2744">
        <v>0</v>
      </c>
      <c r="R2744" t="s">
        <v>5281</v>
      </c>
      <c r="S2744" t="s">
        <v>4558</v>
      </c>
      <c r="T2744" t="s">
        <v>4559</v>
      </c>
      <c r="U2744" t="s">
        <v>4560</v>
      </c>
      <c r="V2744" s="2">
        <v>460</v>
      </c>
      <c r="W2744" t="s">
        <v>4655</v>
      </c>
      <c r="X2744" s="2">
        <v>0</v>
      </c>
      <c r="Y2744">
        <v>20</v>
      </c>
      <c r="Z2744" t="s">
        <v>5200</v>
      </c>
      <c r="AA2744" s="3">
        <v>0.16799816489219666</v>
      </c>
      <c r="AB2744" t="s">
        <v>3069</v>
      </c>
      <c r="AC2744" t="s">
        <v>4575</v>
      </c>
      <c r="AD2744" t="s">
        <v>16317</v>
      </c>
      <c r="AE2744" t="s">
        <v>4655</v>
      </c>
      <c r="AF2744" t="s">
        <v>5201</v>
      </c>
      <c r="AG2744" t="s">
        <v>4564</v>
      </c>
      <c r="AH2744" t="s">
        <v>5202</v>
      </c>
      <c r="AI2744" t="s">
        <v>949</v>
      </c>
      <c r="AJ2744" t="s">
        <v>4655</v>
      </c>
      <c r="AK2744" t="s">
        <v>16318</v>
      </c>
      <c r="AL2744" s="13" t="s">
        <v>1886</v>
      </c>
      <c r="AM2744">
        <v>1</v>
      </c>
      <c r="AN2744" s="15" t="s">
        <v>3439</v>
      </c>
    </row>
    <row r="2745" spans="1:40" x14ac:dyDescent="0.3">
      <c r="A2745" s="10" t="str">
        <f>HYPERLINK("http://www.washoecounty.gov/assessor/cama/?parid=036-223-02&amp;CardNumber=1","036-223-02")</f>
        <v>036-223-02</v>
      </c>
      <c r="B2745" t="s">
        <v>4655</v>
      </c>
      <c r="C2745" t="s">
        <v>16319</v>
      </c>
      <c r="D2745" s="1">
        <v>40442</v>
      </c>
      <c r="E2745" s="2">
        <v>139000</v>
      </c>
      <c r="F2745" t="s">
        <v>4567</v>
      </c>
      <c r="G2745" s="17" t="str">
        <f>HYPERLINK("https://www.washoecounty.gov/assessor/cama/?command=sales&amp;parid=03622302","3924756")</f>
        <v>3924756</v>
      </c>
      <c r="H2745" t="s">
        <v>3988</v>
      </c>
      <c r="I2745">
        <v>1973</v>
      </c>
      <c r="J2745">
        <v>1973</v>
      </c>
      <c r="K2745" t="s">
        <v>4554</v>
      </c>
      <c r="L2745" t="s">
        <v>4555</v>
      </c>
      <c r="M2745" s="2">
        <v>1822</v>
      </c>
      <c r="N2745" t="s">
        <v>4048</v>
      </c>
      <c r="O2745">
        <v>4</v>
      </c>
      <c r="P2745">
        <v>2</v>
      </c>
      <c r="Q2745">
        <v>0</v>
      </c>
      <c r="R2745" t="s">
        <v>4557</v>
      </c>
      <c r="S2745" t="s">
        <v>4558</v>
      </c>
      <c r="T2745" t="s">
        <v>4559</v>
      </c>
      <c r="U2745" t="s">
        <v>4560</v>
      </c>
      <c r="V2745" s="2">
        <v>441</v>
      </c>
      <c r="W2745" t="s">
        <v>4655</v>
      </c>
      <c r="X2745" s="2">
        <v>0</v>
      </c>
      <c r="Y2745">
        <v>20</v>
      </c>
      <c r="Z2745" t="s">
        <v>5200</v>
      </c>
      <c r="AA2745" s="3">
        <v>0.13799357414245605</v>
      </c>
      <c r="AB2745" t="s">
        <v>16320</v>
      </c>
      <c r="AC2745" t="s">
        <v>4575</v>
      </c>
      <c r="AD2745" t="s">
        <v>16321</v>
      </c>
      <c r="AE2745" t="s">
        <v>16319</v>
      </c>
      <c r="AF2745" t="s">
        <v>5201</v>
      </c>
      <c r="AG2745" t="s">
        <v>4564</v>
      </c>
      <c r="AH2745" t="s">
        <v>3898</v>
      </c>
      <c r="AI2745" t="s">
        <v>4756</v>
      </c>
      <c r="AJ2745" t="s">
        <v>4655</v>
      </c>
      <c r="AK2745" t="s">
        <v>16322</v>
      </c>
      <c r="AL2745" s="13" t="s">
        <v>1886</v>
      </c>
      <c r="AM2745" s="14">
        <v>1</v>
      </c>
      <c r="AN2745" s="15" t="s">
        <v>3439</v>
      </c>
    </row>
    <row r="2746" spans="1:40" x14ac:dyDescent="0.3">
      <c r="A2746" s="10" t="str">
        <f>HYPERLINK("http://www.washoecounty.gov/assessor/cama/?parid=036-231-30&amp;CardNumber=1","036-231-30")</f>
        <v>036-231-30</v>
      </c>
      <c r="B2746" t="s">
        <v>4655</v>
      </c>
      <c r="C2746" t="s">
        <v>2719</v>
      </c>
      <c r="D2746" s="1">
        <v>40309</v>
      </c>
      <c r="E2746" s="2">
        <v>76000</v>
      </c>
      <c r="F2746" t="s">
        <v>4553</v>
      </c>
      <c r="G2746" s="17" t="str">
        <f>HYPERLINK("https://www.washoecounty.gov/assessor/cama/?command=sales&amp;parid=03623130","3880438")</f>
        <v>3880438</v>
      </c>
      <c r="H2746" t="s">
        <v>5555</v>
      </c>
      <c r="I2746">
        <v>1973</v>
      </c>
      <c r="J2746">
        <v>1973</v>
      </c>
      <c r="K2746" t="s">
        <v>3144</v>
      </c>
      <c r="L2746" t="s">
        <v>3974</v>
      </c>
      <c r="M2746" s="2">
        <v>1276</v>
      </c>
      <c r="N2746" t="s">
        <v>4048</v>
      </c>
      <c r="O2746">
        <v>3</v>
      </c>
      <c r="P2746">
        <v>2</v>
      </c>
      <c r="Q2746">
        <v>0</v>
      </c>
      <c r="R2746" t="s">
        <v>5281</v>
      </c>
      <c r="S2746" t="s">
        <v>4558</v>
      </c>
      <c r="T2746" t="s">
        <v>4559</v>
      </c>
      <c r="U2746" t="s">
        <v>4655</v>
      </c>
      <c r="V2746" s="2">
        <v>0</v>
      </c>
      <c r="W2746" t="s">
        <v>4655</v>
      </c>
      <c r="X2746" s="2">
        <v>0</v>
      </c>
      <c r="Y2746">
        <v>21</v>
      </c>
      <c r="Z2746" t="s">
        <v>2081</v>
      </c>
      <c r="AA2746" s="3">
        <v>1.00000004749745E-3</v>
      </c>
      <c r="AB2746" t="s">
        <v>16323</v>
      </c>
      <c r="AC2746" t="s">
        <v>4562</v>
      </c>
      <c r="AD2746" t="s">
        <v>16324</v>
      </c>
      <c r="AE2746" t="s">
        <v>4655</v>
      </c>
      <c r="AF2746" t="s">
        <v>4809</v>
      </c>
      <c r="AG2746" t="s">
        <v>4564</v>
      </c>
      <c r="AH2746" t="s">
        <v>3898</v>
      </c>
      <c r="AI2746" t="s">
        <v>4045</v>
      </c>
      <c r="AJ2746" t="s">
        <v>4655</v>
      </c>
      <c r="AK2746" t="s">
        <v>16325</v>
      </c>
      <c r="AL2746" s="13" t="s">
        <v>1886</v>
      </c>
      <c r="AM2746">
        <v>1</v>
      </c>
      <c r="AN2746" s="15" t="s">
        <v>5431</v>
      </c>
    </row>
    <row r="2747" spans="1:40" x14ac:dyDescent="0.3">
      <c r="A2747" s="10" t="str">
        <f>HYPERLINK("http://www.washoecounty.gov/assessor/cama/?parid=036-232-16&amp;CardNumber=1","036-232-16")</f>
        <v>036-232-16</v>
      </c>
      <c r="B2747" t="s">
        <v>4655</v>
      </c>
      <c r="C2747" t="s">
        <v>16326</v>
      </c>
      <c r="D2747" s="1">
        <v>40434</v>
      </c>
      <c r="E2747" s="2">
        <v>87000</v>
      </c>
      <c r="F2747" t="s">
        <v>4553</v>
      </c>
      <c r="G2747" s="17" t="str">
        <f>HYPERLINK("https://www.washoecounty.gov/assessor/cama/?command=sales&amp;parid=03623216","3921483")</f>
        <v>3921483</v>
      </c>
      <c r="H2747" t="s">
        <v>5555</v>
      </c>
      <c r="I2747">
        <v>1973</v>
      </c>
      <c r="J2747">
        <v>1973</v>
      </c>
      <c r="K2747" t="s">
        <v>4897</v>
      </c>
      <c r="L2747" t="s">
        <v>4555</v>
      </c>
      <c r="M2747" s="2">
        <v>1225</v>
      </c>
      <c r="N2747" t="s">
        <v>4048</v>
      </c>
      <c r="O2747">
        <v>3</v>
      </c>
      <c r="P2747">
        <v>2</v>
      </c>
      <c r="Q2747">
        <v>0</v>
      </c>
      <c r="R2747" t="s">
        <v>4557</v>
      </c>
      <c r="S2747" t="s">
        <v>4558</v>
      </c>
      <c r="T2747" t="s">
        <v>4559</v>
      </c>
      <c r="U2747" t="s">
        <v>4655</v>
      </c>
      <c r="V2747" s="2">
        <v>0</v>
      </c>
      <c r="W2747" t="s">
        <v>4655</v>
      </c>
      <c r="X2747" s="2">
        <v>0</v>
      </c>
      <c r="Y2747">
        <v>21</v>
      </c>
      <c r="Z2747" t="s">
        <v>2081</v>
      </c>
      <c r="AA2747" s="3">
        <v>1.00000004749745E-3</v>
      </c>
      <c r="AB2747" t="s">
        <v>16327</v>
      </c>
      <c r="AC2747" t="s">
        <v>4575</v>
      </c>
      <c r="AD2747" t="s">
        <v>16328</v>
      </c>
      <c r="AE2747" t="s">
        <v>4655</v>
      </c>
      <c r="AF2747" t="s">
        <v>4809</v>
      </c>
      <c r="AG2747" t="s">
        <v>4564</v>
      </c>
      <c r="AH2747" t="s">
        <v>3898</v>
      </c>
      <c r="AI2747" t="s">
        <v>4565</v>
      </c>
      <c r="AJ2747" t="s">
        <v>4655</v>
      </c>
      <c r="AK2747" t="s">
        <v>16329</v>
      </c>
      <c r="AL2747" s="13" t="s">
        <v>1886</v>
      </c>
      <c r="AM2747" s="14">
        <v>1</v>
      </c>
      <c r="AN2747" s="15" t="s">
        <v>5431</v>
      </c>
    </row>
    <row r="2748" spans="1:40" x14ac:dyDescent="0.3">
      <c r="A2748" s="10" t="str">
        <f>HYPERLINK("http://www.washoecounty.gov/assessor/cama/?parid=036-232-21&amp;CardNumber=1","036-232-21")</f>
        <v>036-232-21</v>
      </c>
      <c r="B2748" t="s">
        <v>4655</v>
      </c>
      <c r="C2748" t="s">
        <v>5570</v>
      </c>
      <c r="D2748" s="1">
        <v>40297</v>
      </c>
      <c r="E2748" s="2">
        <v>41500</v>
      </c>
      <c r="F2748" t="s">
        <v>4553</v>
      </c>
      <c r="G2748" s="17" t="str">
        <f>HYPERLINK("https://www.washoecounty.gov/assessor/cama/?command=sales&amp;parid=03623221","3876000")</f>
        <v>3876000</v>
      </c>
      <c r="H2748" t="s">
        <v>5555</v>
      </c>
      <c r="I2748">
        <v>1973</v>
      </c>
      <c r="J2748">
        <v>1973</v>
      </c>
      <c r="K2748" t="s">
        <v>3144</v>
      </c>
      <c r="L2748" t="s">
        <v>3974</v>
      </c>
      <c r="M2748" s="2">
        <v>988</v>
      </c>
      <c r="N2748" t="s">
        <v>4048</v>
      </c>
      <c r="O2748">
        <v>2</v>
      </c>
      <c r="P2748">
        <v>1</v>
      </c>
      <c r="Q2748">
        <v>1</v>
      </c>
      <c r="R2748" t="s">
        <v>4557</v>
      </c>
      <c r="S2748" t="s">
        <v>4558</v>
      </c>
      <c r="T2748" t="s">
        <v>4559</v>
      </c>
      <c r="U2748" t="s">
        <v>4655</v>
      </c>
      <c r="V2748" s="2">
        <v>0</v>
      </c>
      <c r="W2748" t="s">
        <v>4655</v>
      </c>
      <c r="X2748" s="2">
        <v>0</v>
      </c>
      <c r="Y2748">
        <v>21</v>
      </c>
      <c r="Z2748" t="s">
        <v>2081</v>
      </c>
      <c r="AA2748" s="3">
        <v>1.00000004749745E-3</v>
      </c>
      <c r="AB2748" t="s">
        <v>16330</v>
      </c>
      <c r="AC2748" t="s">
        <v>4575</v>
      </c>
      <c r="AD2748" t="s">
        <v>16331</v>
      </c>
      <c r="AE2748" t="s">
        <v>4655</v>
      </c>
      <c r="AF2748" t="s">
        <v>4563</v>
      </c>
      <c r="AG2748" t="s">
        <v>4564</v>
      </c>
      <c r="AH2748" t="s">
        <v>2330</v>
      </c>
      <c r="AI2748" t="s">
        <v>16332</v>
      </c>
      <c r="AJ2748" t="s">
        <v>4655</v>
      </c>
      <c r="AK2748" t="s">
        <v>16333</v>
      </c>
      <c r="AL2748" s="13" t="s">
        <v>1886</v>
      </c>
      <c r="AM2748" s="14">
        <v>1</v>
      </c>
      <c r="AN2748" s="15" t="s">
        <v>5431</v>
      </c>
    </row>
    <row r="2749" spans="1:40" x14ac:dyDescent="0.3">
      <c r="A2749" s="10" t="str">
        <f>HYPERLINK("http://www.washoecounty.gov/assessor/cama/?parid=036-232-27&amp;CardNumber=1","036-232-27")</f>
        <v>036-232-27</v>
      </c>
      <c r="B2749" t="s">
        <v>4655</v>
      </c>
      <c r="C2749" t="s">
        <v>4836</v>
      </c>
      <c r="D2749" s="1">
        <v>40322</v>
      </c>
      <c r="E2749" s="2">
        <v>45000</v>
      </c>
      <c r="F2749" t="s">
        <v>4567</v>
      </c>
      <c r="G2749" s="17" t="str">
        <f>HYPERLINK("https://www.washoecounty.gov/assessor/cama/?command=sales&amp;parid=03623227","3884314")</f>
        <v>3884314</v>
      </c>
      <c r="H2749" t="s">
        <v>5555</v>
      </c>
      <c r="I2749">
        <v>1973</v>
      </c>
      <c r="J2749">
        <v>1973</v>
      </c>
      <c r="K2749" t="s">
        <v>4897</v>
      </c>
      <c r="L2749" t="s">
        <v>4555</v>
      </c>
      <c r="M2749" s="2">
        <v>936</v>
      </c>
      <c r="N2749" t="s">
        <v>4048</v>
      </c>
      <c r="O2749">
        <v>2</v>
      </c>
      <c r="P2749">
        <v>1</v>
      </c>
      <c r="Q2749">
        <v>0</v>
      </c>
      <c r="R2749" t="s">
        <v>5281</v>
      </c>
      <c r="S2749" t="s">
        <v>4558</v>
      </c>
      <c r="T2749" t="s">
        <v>4559</v>
      </c>
      <c r="U2749" t="s">
        <v>4655</v>
      </c>
      <c r="V2749" s="2">
        <v>0</v>
      </c>
      <c r="W2749" t="s">
        <v>4655</v>
      </c>
      <c r="X2749" s="2">
        <v>0</v>
      </c>
      <c r="Y2749">
        <v>21</v>
      </c>
      <c r="Z2749" t="s">
        <v>2081</v>
      </c>
      <c r="AA2749" s="3">
        <v>1.00000004749745E-3</v>
      </c>
      <c r="AB2749" t="s">
        <v>16334</v>
      </c>
      <c r="AC2749" t="s">
        <v>4575</v>
      </c>
      <c r="AD2749" t="s">
        <v>16335</v>
      </c>
      <c r="AE2749" t="s">
        <v>16336</v>
      </c>
      <c r="AF2749" t="s">
        <v>4563</v>
      </c>
      <c r="AG2749" t="s">
        <v>4564</v>
      </c>
      <c r="AH2749" t="s">
        <v>5197</v>
      </c>
      <c r="AI2749" t="s">
        <v>16337</v>
      </c>
      <c r="AJ2749" t="s">
        <v>4655</v>
      </c>
      <c r="AK2749" t="s">
        <v>16338</v>
      </c>
      <c r="AL2749" s="13" t="s">
        <v>1886</v>
      </c>
      <c r="AM2749" s="14">
        <v>1</v>
      </c>
      <c r="AN2749" s="15" t="s">
        <v>5431</v>
      </c>
    </row>
    <row r="2750" spans="1:40" x14ac:dyDescent="0.3">
      <c r="A2750" s="10" t="str">
        <f>HYPERLINK("http://www.washoecounty.gov/assessor/cama/?parid=036-274-19&amp;CardNumber=1","036-274-19")</f>
        <v>036-274-19</v>
      </c>
      <c r="B2750" t="s">
        <v>4655</v>
      </c>
      <c r="C2750" t="s">
        <v>16339</v>
      </c>
      <c r="D2750" s="1">
        <v>40359</v>
      </c>
      <c r="E2750" s="2">
        <v>133500</v>
      </c>
      <c r="F2750" t="s">
        <v>4553</v>
      </c>
      <c r="G2750" s="17" t="str">
        <f>HYPERLINK("https://www.washoecounty.gov/assessor/cama/?command=sales&amp;parid=03627419","3896995")</f>
        <v>3896995</v>
      </c>
      <c r="H2750" t="s">
        <v>16340</v>
      </c>
      <c r="I2750">
        <v>1975</v>
      </c>
      <c r="J2750">
        <v>1975</v>
      </c>
      <c r="K2750" t="s">
        <v>4554</v>
      </c>
      <c r="L2750" t="s">
        <v>4555</v>
      </c>
      <c r="M2750" s="2">
        <v>1403</v>
      </c>
      <c r="N2750" t="s">
        <v>4048</v>
      </c>
      <c r="O2750">
        <v>4</v>
      </c>
      <c r="P2750">
        <v>2</v>
      </c>
      <c r="Q2750">
        <v>0</v>
      </c>
      <c r="R2750" t="s">
        <v>4557</v>
      </c>
      <c r="S2750" t="s">
        <v>4558</v>
      </c>
      <c r="T2750" t="s">
        <v>4559</v>
      </c>
      <c r="U2750" t="s">
        <v>4560</v>
      </c>
      <c r="V2750" s="2">
        <v>412</v>
      </c>
      <c r="W2750" t="s">
        <v>4655</v>
      </c>
      <c r="X2750" s="2">
        <v>0</v>
      </c>
      <c r="Y2750">
        <v>20</v>
      </c>
      <c r="Z2750" t="s">
        <v>5200</v>
      </c>
      <c r="AA2750" s="3">
        <v>0.14499540627002699</v>
      </c>
      <c r="AB2750" t="s">
        <v>4673</v>
      </c>
      <c r="AC2750" t="s">
        <v>4562</v>
      </c>
      <c r="AD2750" t="s">
        <v>3093</v>
      </c>
      <c r="AE2750" t="s">
        <v>4655</v>
      </c>
      <c r="AF2750" t="s">
        <v>4563</v>
      </c>
      <c r="AG2750" t="s">
        <v>4564</v>
      </c>
      <c r="AH2750">
        <v>89512</v>
      </c>
      <c r="AI2750" t="s">
        <v>4848</v>
      </c>
      <c r="AJ2750" t="s">
        <v>4655</v>
      </c>
      <c r="AK2750" t="s">
        <v>16341</v>
      </c>
      <c r="AL2750" s="13" t="s">
        <v>1886</v>
      </c>
      <c r="AM2750" s="14">
        <v>1</v>
      </c>
      <c r="AN2750" s="15" t="s">
        <v>3439</v>
      </c>
    </row>
    <row r="2751" spans="1:40" x14ac:dyDescent="0.3">
      <c r="A2751" s="10" t="str">
        <f>HYPERLINK("http://www.washoecounty.gov/assessor/cama/?parid=036-281-05&amp;CardNumber=1","036-281-05")</f>
        <v>036-281-05</v>
      </c>
      <c r="B2751" t="s">
        <v>4655</v>
      </c>
      <c r="C2751" t="s">
        <v>16342</v>
      </c>
      <c r="D2751" s="1">
        <v>40354</v>
      </c>
      <c r="E2751" s="2">
        <v>124000</v>
      </c>
      <c r="F2751" t="s">
        <v>4553</v>
      </c>
      <c r="G2751" s="17" t="str">
        <f>HYPERLINK("https://www.washoecounty.gov/assessor/cama/?command=sales&amp;parid=03628105","3895358")</f>
        <v>3895358</v>
      </c>
      <c r="H2751" t="s">
        <v>5556</v>
      </c>
      <c r="I2751">
        <v>1976</v>
      </c>
      <c r="J2751">
        <v>1976</v>
      </c>
      <c r="K2751" t="s">
        <v>4554</v>
      </c>
      <c r="L2751" t="s">
        <v>4555</v>
      </c>
      <c r="M2751" s="2">
        <v>1490</v>
      </c>
      <c r="N2751" t="s">
        <v>4048</v>
      </c>
      <c r="O2751">
        <v>4</v>
      </c>
      <c r="P2751">
        <v>2</v>
      </c>
      <c r="Q2751">
        <v>0</v>
      </c>
      <c r="R2751" t="s">
        <v>4557</v>
      </c>
      <c r="S2751" t="s">
        <v>4135</v>
      </c>
      <c r="T2751" t="s">
        <v>4559</v>
      </c>
      <c r="U2751" t="s">
        <v>4560</v>
      </c>
      <c r="V2751" s="2">
        <v>456</v>
      </c>
      <c r="W2751" t="s">
        <v>4655</v>
      </c>
      <c r="X2751" s="2">
        <v>0</v>
      </c>
      <c r="Y2751">
        <v>20</v>
      </c>
      <c r="Z2751" t="s">
        <v>5200</v>
      </c>
      <c r="AA2751" s="3">
        <v>0.135009184479713</v>
      </c>
      <c r="AB2751" t="s">
        <v>2469</v>
      </c>
      <c r="AC2751" t="s">
        <v>4562</v>
      </c>
      <c r="AD2751" t="s">
        <v>16343</v>
      </c>
      <c r="AE2751" t="s">
        <v>4655</v>
      </c>
      <c r="AF2751" t="s">
        <v>4809</v>
      </c>
      <c r="AG2751" t="s">
        <v>4564</v>
      </c>
      <c r="AH2751" t="s">
        <v>3898</v>
      </c>
      <c r="AI2751" t="s">
        <v>4503</v>
      </c>
      <c r="AJ2751" t="s">
        <v>4655</v>
      </c>
      <c r="AK2751" t="s">
        <v>16344</v>
      </c>
      <c r="AL2751" s="13" t="s">
        <v>3425</v>
      </c>
      <c r="AM2751">
        <v>1</v>
      </c>
      <c r="AN2751" s="15" t="s">
        <v>5531</v>
      </c>
    </row>
    <row r="2752" spans="1:40" x14ac:dyDescent="0.3">
      <c r="A2752" s="10" t="str">
        <f>HYPERLINK("http://www.washoecounty.gov/assessor/cama/?parid=036-283-06&amp;CardNumber=1","036-283-06")</f>
        <v>036-283-06</v>
      </c>
      <c r="B2752" t="s">
        <v>4655</v>
      </c>
      <c r="C2752" t="s">
        <v>16345</v>
      </c>
      <c r="D2752" s="1">
        <v>40297</v>
      </c>
      <c r="E2752" s="2">
        <v>145000</v>
      </c>
      <c r="F2752" t="s">
        <v>4553</v>
      </c>
      <c r="G2752" s="17" t="str">
        <f>HYPERLINK("https://www.washoecounty.gov/assessor/cama/?command=sales&amp;parid=03628306","3875983")</f>
        <v>3875983</v>
      </c>
      <c r="H2752" t="s">
        <v>5556</v>
      </c>
      <c r="I2752">
        <v>1977</v>
      </c>
      <c r="J2752">
        <v>1977</v>
      </c>
      <c r="K2752" t="s">
        <v>4554</v>
      </c>
      <c r="L2752" t="s">
        <v>4555</v>
      </c>
      <c r="M2752" s="2">
        <v>1452</v>
      </c>
      <c r="N2752" t="s">
        <v>4048</v>
      </c>
      <c r="O2752">
        <v>3</v>
      </c>
      <c r="P2752">
        <v>2</v>
      </c>
      <c r="Q2752">
        <v>0</v>
      </c>
      <c r="R2752" t="s">
        <v>5281</v>
      </c>
      <c r="S2752" t="s">
        <v>4558</v>
      </c>
      <c r="T2752" t="s">
        <v>4559</v>
      </c>
      <c r="U2752" t="s">
        <v>4560</v>
      </c>
      <c r="V2752" s="2">
        <v>434</v>
      </c>
      <c r="W2752" t="s">
        <v>4655</v>
      </c>
      <c r="X2752" s="2">
        <v>0</v>
      </c>
      <c r="Y2752">
        <v>20</v>
      </c>
      <c r="Z2752" t="s">
        <v>5200</v>
      </c>
      <c r="AA2752" s="3">
        <v>0.13900367915630299</v>
      </c>
      <c r="AB2752" t="s">
        <v>16346</v>
      </c>
      <c r="AC2752" t="s">
        <v>4562</v>
      </c>
      <c r="AD2752" t="s">
        <v>16347</v>
      </c>
      <c r="AE2752" t="s">
        <v>4655</v>
      </c>
      <c r="AF2752" t="s">
        <v>4809</v>
      </c>
      <c r="AG2752" t="s">
        <v>4564</v>
      </c>
      <c r="AH2752" t="s">
        <v>3898</v>
      </c>
      <c r="AI2752" t="s">
        <v>4903</v>
      </c>
      <c r="AJ2752" t="s">
        <v>4655</v>
      </c>
      <c r="AK2752" t="s">
        <v>16348</v>
      </c>
      <c r="AL2752" s="13" t="s">
        <v>3425</v>
      </c>
      <c r="AM2752">
        <v>1</v>
      </c>
      <c r="AN2752" s="15" t="s">
        <v>5531</v>
      </c>
    </row>
    <row r="2753" spans="1:40" x14ac:dyDescent="0.3">
      <c r="A2753" s="10" t="str">
        <f>HYPERLINK("http://www.washoecounty.gov/assessor/cama/?parid=036-283-12&amp;CardNumber=1","036-283-12")</f>
        <v>036-283-12</v>
      </c>
      <c r="B2753" t="s">
        <v>4655</v>
      </c>
      <c r="C2753" t="s">
        <v>16349</v>
      </c>
      <c r="D2753" s="1">
        <v>40400</v>
      </c>
      <c r="E2753" s="2">
        <v>130000</v>
      </c>
      <c r="F2753" t="s">
        <v>4567</v>
      </c>
      <c r="G2753" s="17" t="str">
        <f>HYPERLINK("https://www.washoecounty.gov/assessor/cama/?command=sales&amp;parid=03628312","3910443")</f>
        <v>3910443</v>
      </c>
      <c r="H2753" t="s">
        <v>5556</v>
      </c>
      <c r="I2753">
        <v>1978</v>
      </c>
      <c r="J2753">
        <v>1978</v>
      </c>
      <c r="K2753" t="s">
        <v>4554</v>
      </c>
      <c r="L2753" t="s">
        <v>4555</v>
      </c>
      <c r="M2753" s="2">
        <v>1452</v>
      </c>
      <c r="N2753" t="s">
        <v>4048</v>
      </c>
      <c r="O2753">
        <v>3</v>
      </c>
      <c r="P2753">
        <v>2</v>
      </c>
      <c r="Q2753">
        <v>0</v>
      </c>
      <c r="R2753" t="s">
        <v>4557</v>
      </c>
      <c r="S2753" t="s">
        <v>4558</v>
      </c>
      <c r="T2753" t="s">
        <v>4559</v>
      </c>
      <c r="U2753" t="s">
        <v>4560</v>
      </c>
      <c r="V2753" s="2">
        <v>434</v>
      </c>
      <c r="W2753" t="s">
        <v>4655</v>
      </c>
      <c r="X2753" s="2">
        <v>0</v>
      </c>
      <c r="Y2753">
        <v>20</v>
      </c>
      <c r="Z2753" t="s">
        <v>5200</v>
      </c>
      <c r="AA2753" s="3">
        <v>0.23298898339271545</v>
      </c>
      <c r="AB2753" t="s">
        <v>16350</v>
      </c>
      <c r="AC2753" t="s">
        <v>4562</v>
      </c>
      <c r="AD2753" t="s">
        <v>16349</v>
      </c>
      <c r="AE2753" t="s">
        <v>4655</v>
      </c>
      <c r="AF2753" t="s">
        <v>4809</v>
      </c>
      <c r="AG2753" t="s">
        <v>4564</v>
      </c>
      <c r="AH2753" t="s">
        <v>3898</v>
      </c>
      <c r="AI2753" t="s">
        <v>16351</v>
      </c>
      <c r="AJ2753" t="s">
        <v>4655</v>
      </c>
      <c r="AK2753" t="s">
        <v>16352</v>
      </c>
      <c r="AL2753" s="13" t="s">
        <v>3425</v>
      </c>
      <c r="AM2753">
        <v>1</v>
      </c>
      <c r="AN2753" s="15" t="s">
        <v>5531</v>
      </c>
    </row>
    <row r="2754" spans="1:40" x14ac:dyDescent="0.3">
      <c r="A2754" s="10" t="str">
        <f>HYPERLINK("http://www.washoecounty.gov/assessor/cama/?parid=036-301-11&amp;CardNumber=1","036-301-11")</f>
        <v>036-301-11</v>
      </c>
      <c r="B2754" t="s">
        <v>4655</v>
      </c>
      <c r="C2754" t="s">
        <v>16353</v>
      </c>
      <c r="D2754" s="1">
        <v>40296</v>
      </c>
      <c r="E2754" s="2">
        <v>144000</v>
      </c>
      <c r="F2754" t="s">
        <v>4553</v>
      </c>
      <c r="G2754" s="17" t="str">
        <f>HYPERLINK("https://www.washoecounty.gov/assessor/cama/?command=sales&amp;parid=03630111","3875562")</f>
        <v>3875562</v>
      </c>
      <c r="H2754" t="s">
        <v>3826</v>
      </c>
      <c r="I2754">
        <v>1975</v>
      </c>
      <c r="J2754">
        <v>1975</v>
      </c>
      <c r="K2754" t="s">
        <v>4554</v>
      </c>
      <c r="L2754" t="s">
        <v>4555</v>
      </c>
      <c r="M2754" s="2">
        <v>1800</v>
      </c>
      <c r="N2754" t="s">
        <v>4048</v>
      </c>
      <c r="O2754">
        <v>4</v>
      </c>
      <c r="P2754">
        <v>2</v>
      </c>
      <c r="Q2754">
        <v>0</v>
      </c>
      <c r="R2754" t="s">
        <v>4557</v>
      </c>
      <c r="S2754" t="s">
        <v>4558</v>
      </c>
      <c r="T2754" t="s">
        <v>4559</v>
      </c>
      <c r="U2754" t="s">
        <v>4560</v>
      </c>
      <c r="V2754" s="2">
        <v>519</v>
      </c>
      <c r="W2754" t="s">
        <v>4655</v>
      </c>
      <c r="X2754" s="2">
        <v>0</v>
      </c>
      <c r="Y2754">
        <v>20</v>
      </c>
      <c r="Z2754" t="s">
        <v>5200</v>
      </c>
      <c r="AA2754" s="3">
        <v>0.15000000596046401</v>
      </c>
      <c r="AB2754" t="s">
        <v>16354</v>
      </c>
      <c r="AC2754" t="s">
        <v>4575</v>
      </c>
      <c r="AD2754" t="s">
        <v>16353</v>
      </c>
      <c r="AE2754" t="s">
        <v>4655</v>
      </c>
      <c r="AF2754" t="s">
        <v>5201</v>
      </c>
      <c r="AG2754" t="s">
        <v>4564</v>
      </c>
      <c r="AH2754" t="s">
        <v>3898</v>
      </c>
      <c r="AI2754" t="s">
        <v>4655</v>
      </c>
      <c r="AJ2754" t="s">
        <v>4655</v>
      </c>
      <c r="AK2754" t="s">
        <v>16355</v>
      </c>
      <c r="AL2754" s="13" t="s">
        <v>1886</v>
      </c>
      <c r="AM2754">
        <v>1</v>
      </c>
      <c r="AN2754" s="15" t="s">
        <v>3439</v>
      </c>
    </row>
    <row r="2755" spans="1:40" x14ac:dyDescent="0.3">
      <c r="A2755" s="10" t="str">
        <f>HYPERLINK("http://www.washoecounty.gov/assessor/cama/?parid=036-301-13&amp;CardNumber=1","036-301-13")</f>
        <v>036-301-13</v>
      </c>
      <c r="B2755" t="s">
        <v>4655</v>
      </c>
      <c r="C2755" t="s">
        <v>16356</v>
      </c>
      <c r="D2755" s="1">
        <v>40325</v>
      </c>
      <c r="E2755" s="2">
        <v>147900</v>
      </c>
      <c r="F2755" t="s">
        <v>4553</v>
      </c>
      <c r="G2755" s="17" t="str">
        <f>HYPERLINK("https://www.washoecounty.gov/assessor/cama/?command=sales&amp;parid=03630113","3885809")</f>
        <v>3885809</v>
      </c>
      <c r="H2755" t="s">
        <v>3826</v>
      </c>
      <c r="I2755">
        <v>1975</v>
      </c>
      <c r="J2755">
        <v>1975</v>
      </c>
      <c r="K2755" t="s">
        <v>4554</v>
      </c>
      <c r="L2755" t="s">
        <v>4555</v>
      </c>
      <c r="M2755" s="2">
        <v>1800</v>
      </c>
      <c r="N2755" t="s">
        <v>4048</v>
      </c>
      <c r="O2755">
        <v>4</v>
      </c>
      <c r="P2755">
        <v>2</v>
      </c>
      <c r="Q2755">
        <v>0</v>
      </c>
      <c r="R2755" t="s">
        <v>4557</v>
      </c>
      <c r="S2755" t="s">
        <v>4558</v>
      </c>
      <c r="T2755" t="s">
        <v>4559</v>
      </c>
      <c r="U2755" t="s">
        <v>4560</v>
      </c>
      <c r="V2755" s="2">
        <v>519</v>
      </c>
      <c r="W2755" t="s">
        <v>4655</v>
      </c>
      <c r="X2755" s="2">
        <v>0</v>
      </c>
      <c r="Y2755">
        <v>20</v>
      </c>
      <c r="Z2755" t="s">
        <v>5200</v>
      </c>
      <c r="AA2755" s="3">
        <v>0.148002758622169</v>
      </c>
      <c r="AB2755" t="s">
        <v>16357</v>
      </c>
      <c r="AC2755" t="s">
        <v>4562</v>
      </c>
      <c r="AD2755" t="s">
        <v>16356</v>
      </c>
      <c r="AE2755" t="s">
        <v>4655</v>
      </c>
      <c r="AF2755" t="s">
        <v>5201</v>
      </c>
      <c r="AG2755" t="s">
        <v>4564</v>
      </c>
      <c r="AH2755" t="s">
        <v>3898</v>
      </c>
      <c r="AI2755" t="s">
        <v>4503</v>
      </c>
      <c r="AJ2755" t="s">
        <v>4655</v>
      </c>
      <c r="AK2755" t="s">
        <v>16358</v>
      </c>
      <c r="AL2755" s="13" t="s">
        <v>1886</v>
      </c>
      <c r="AM2755" s="14">
        <v>1</v>
      </c>
      <c r="AN2755" s="15" t="s">
        <v>3439</v>
      </c>
    </row>
    <row r="2756" spans="1:40" x14ac:dyDescent="0.3">
      <c r="A2756" s="10" t="str">
        <f>HYPERLINK("http://www.washoecounty.gov/assessor/cama/?parid=036-301-16&amp;CardNumber=1","036-301-16")</f>
        <v>036-301-16</v>
      </c>
      <c r="B2756" t="s">
        <v>4655</v>
      </c>
      <c r="C2756" t="s">
        <v>16359</v>
      </c>
      <c r="D2756" s="1">
        <v>40459</v>
      </c>
      <c r="E2756" s="2">
        <v>141000</v>
      </c>
      <c r="F2756" t="s">
        <v>4567</v>
      </c>
      <c r="G2756" s="17" t="str">
        <f>HYPERLINK("https://www.washoecounty.gov/assessor/cama/?command=sales&amp;parid=03630116","3931198")</f>
        <v>3931198</v>
      </c>
      <c r="H2756" t="s">
        <v>3826</v>
      </c>
      <c r="I2756">
        <v>1975</v>
      </c>
      <c r="J2756">
        <v>1975</v>
      </c>
      <c r="K2756" t="s">
        <v>4554</v>
      </c>
      <c r="L2756" t="s">
        <v>4555</v>
      </c>
      <c r="M2756" s="2">
        <v>1800</v>
      </c>
      <c r="N2756" t="s">
        <v>4048</v>
      </c>
      <c r="O2756">
        <v>5</v>
      </c>
      <c r="P2756">
        <v>2</v>
      </c>
      <c r="Q2756">
        <v>1</v>
      </c>
      <c r="R2756" t="s">
        <v>4557</v>
      </c>
      <c r="S2756" t="s">
        <v>4558</v>
      </c>
      <c r="T2756" t="s">
        <v>4559</v>
      </c>
      <c r="U2756" t="s">
        <v>4655</v>
      </c>
      <c r="V2756" s="2">
        <v>0</v>
      </c>
      <c r="W2756" t="s">
        <v>4655</v>
      </c>
      <c r="X2756" s="2">
        <v>0</v>
      </c>
      <c r="Y2756">
        <v>20</v>
      </c>
      <c r="Z2756" t="s">
        <v>5200</v>
      </c>
      <c r="AA2756" s="3">
        <v>0.146992653608322</v>
      </c>
      <c r="AB2756" t="s">
        <v>2156</v>
      </c>
      <c r="AC2756" t="s">
        <v>4562</v>
      </c>
      <c r="AD2756" t="s">
        <v>16359</v>
      </c>
      <c r="AE2756" t="s">
        <v>4655</v>
      </c>
      <c r="AF2756" t="s">
        <v>5201</v>
      </c>
      <c r="AG2756" t="s">
        <v>4564</v>
      </c>
      <c r="AH2756" t="s">
        <v>3898</v>
      </c>
      <c r="AI2756" t="s">
        <v>16360</v>
      </c>
      <c r="AJ2756" t="s">
        <v>4655</v>
      </c>
      <c r="AK2756" t="s">
        <v>16361</v>
      </c>
      <c r="AL2756" s="13" t="s">
        <v>1886</v>
      </c>
      <c r="AM2756" s="14">
        <v>1</v>
      </c>
      <c r="AN2756" s="15" t="s">
        <v>3439</v>
      </c>
    </row>
    <row r="2757" spans="1:40" x14ac:dyDescent="0.3">
      <c r="A2757" s="10" t="str">
        <f>HYPERLINK("http://www.washoecounty.gov/assessor/cama/?parid=036-301-28&amp;CardNumber=1","036-301-28")</f>
        <v>036-301-28</v>
      </c>
      <c r="B2757" t="s">
        <v>4655</v>
      </c>
      <c r="C2757" t="s">
        <v>16362</v>
      </c>
      <c r="D2757" s="1">
        <v>40541</v>
      </c>
      <c r="E2757" s="2">
        <v>150000</v>
      </c>
      <c r="F2757" t="s">
        <v>4567</v>
      </c>
      <c r="G2757" s="17" t="str">
        <f>HYPERLINK("https://www.washoecounty.gov/assessor/cama/?command=sales&amp;parid=03630128","3958593")</f>
        <v>3958593</v>
      </c>
      <c r="H2757" t="s">
        <v>16363</v>
      </c>
      <c r="I2757">
        <v>1975</v>
      </c>
      <c r="J2757">
        <v>1975</v>
      </c>
      <c r="K2757" t="s">
        <v>4554</v>
      </c>
      <c r="L2757" t="s">
        <v>3886</v>
      </c>
      <c r="M2757" s="2">
        <v>1815</v>
      </c>
      <c r="N2757" t="s">
        <v>4048</v>
      </c>
      <c r="O2757">
        <v>4</v>
      </c>
      <c r="P2757">
        <v>2</v>
      </c>
      <c r="Q2757">
        <v>0</v>
      </c>
      <c r="R2757" t="s">
        <v>5281</v>
      </c>
      <c r="S2757" t="s">
        <v>4558</v>
      </c>
      <c r="T2757" t="s">
        <v>4559</v>
      </c>
      <c r="U2757" t="s">
        <v>4560</v>
      </c>
      <c r="V2757" s="2">
        <v>453</v>
      </c>
      <c r="W2757" t="s">
        <v>4655</v>
      </c>
      <c r="X2757" s="2">
        <v>0</v>
      </c>
      <c r="Y2757">
        <v>20</v>
      </c>
      <c r="Z2757" t="s">
        <v>5200</v>
      </c>
      <c r="AA2757" s="3">
        <v>0.16799816489219666</v>
      </c>
      <c r="AB2757" t="s">
        <v>16364</v>
      </c>
      <c r="AC2757" t="s">
        <v>4562</v>
      </c>
      <c r="AD2757" t="s">
        <v>16362</v>
      </c>
      <c r="AE2757" t="s">
        <v>4655</v>
      </c>
      <c r="AF2757" t="s">
        <v>5201</v>
      </c>
      <c r="AG2757" t="s">
        <v>4564</v>
      </c>
      <c r="AH2757" t="s">
        <v>3898</v>
      </c>
      <c r="AI2757" t="s">
        <v>16365</v>
      </c>
      <c r="AJ2757" t="s">
        <v>4655</v>
      </c>
      <c r="AK2757" t="s">
        <v>16366</v>
      </c>
      <c r="AL2757" s="13" t="s">
        <v>1886</v>
      </c>
      <c r="AM2757">
        <v>1</v>
      </c>
      <c r="AN2757" s="15" t="s">
        <v>3439</v>
      </c>
    </row>
    <row r="2758" spans="1:40" x14ac:dyDescent="0.3">
      <c r="A2758" s="10" t="str">
        <f>HYPERLINK("http://www.washoecounty.gov/assessor/cama/?parid=036-301-30&amp;CardNumber=1","036-301-30")</f>
        <v>036-301-30</v>
      </c>
      <c r="B2758" t="s">
        <v>4655</v>
      </c>
      <c r="C2758" t="s">
        <v>16367</v>
      </c>
      <c r="D2758" s="1">
        <v>40431</v>
      </c>
      <c r="E2758" s="2">
        <v>142000</v>
      </c>
      <c r="F2758" t="s">
        <v>4567</v>
      </c>
      <c r="G2758" s="17" t="str">
        <f>HYPERLINK("https://www.washoecounty.gov/assessor/cama/?command=sales&amp;parid=03630130","3921013")</f>
        <v>3921013</v>
      </c>
      <c r="H2758" t="s">
        <v>3826</v>
      </c>
      <c r="I2758">
        <v>1975</v>
      </c>
      <c r="J2758">
        <v>1975</v>
      </c>
      <c r="K2758" t="s">
        <v>4554</v>
      </c>
      <c r="L2758" t="s">
        <v>3974</v>
      </c>
      <c r="M2758" s="2">
        <v>2096</v>
      </c>
      <c r="N2758" t="s">
        <v>4048</v>
      </c>
      <c r="O2758">
        <v>4</v>
      </c>
      <c r="P2758">
        <v>2</v>
      </c>
      <c r="Q2758">
        <v>1</v>
      </c>
      <c r="R2758" t="s">
        <v>4557</v>
      </c>
      <c r="S2758" t="s">
        <v>4135</v>
      </c>
      <c r="T2758" t="s">
        <v>4559</v>
      </c>
      <c r="U2758" t="s">
        <v>4560</v>
      </c>
      <c r="V2758" s="2">
        <v>468</v>
      </c>
      <c r="W2758" t="s">
        <v>4655</v>
      </c>
      <c r="X2758" s="2">
        <v>0</v>
      </c>
      <c r="Y2758">
        <v>20</v>
      </c>
      <c r="Z2758" t="s">
        <v>5200</v>
      </c>
      <c r="AA2758" s="3">
        <v>0.17899449169635773</v>
      </c>
      <c r="AB2758" t="s">
        <v>16368</v>
      </c>
      <c r="AC2758" t="s">
        <v>4575</v>
      </c>
      <c r="AD2758" t="s">
        <v>16367</v>
      </c>
      <c r="AE2758" t="s">
        <v>4655</v>
      </c>
      <c r="AF2758" t="s">
        <v>5201</v>
      </c>
      <c r="AG2758" t="s">
        <v>4564</v>
      </c>
      <c r="AH2758" t="s">
        <v>3898</v>
      </c>
      <c r="AI2758" t="s">
        <v>16369</v>
      </c>
      <c r="AJ2758" t="s">
        <v>4655</v>
      </c>
      <c r="AK2758" t="s">
        <v>16370</v>
      </c>
      <c r="AL2758" s="13" t="s">
        <v>1886</v>
      </c>
      <c r="AM2758">
        <v>1</v>
      </c>
      <c r="AN2758" s="15" t="s">
        <v>3439</v>
      </c>
    </row>
    <row r="2759" spans="1:40" x14ac:dyDescent="0.3">
      <c r="A2759" s="10" t="str">
        <f>HYPERLINK("http://www.washoecounty.gov/assessor/cama/?parid=036-301-31&amp;CardNumber=1","036-301-31")</f>
        <v>036-301-31</v>
      </c>
      <c r="B2759" t="s">
        <v>4655</v>
      </c>
      <c r="C2759" t="s">
        <v>16371</v>
      </c>
      <c r="D2759" s="1">
        <v>40400</v>
      </c>
      <c r="E2759" s="2">
        <v>161000</v>
      </c>
      <c r="F2759" t="s">
        <v>4567</v>
      </c>
      <c r="G2759" s="17" t="str">
        <f>HYPERLINK("https://www.washoecounty.gov/assessor/cama/?command=sales&amp;parid=03630131","3910196")</f>
        <v>3910196</v>
      </c>
      <c r="H2759" t="s">
        <v>3826</v>
      </c>
      <c r="I2759">
        <v>1975</v>
      </c>
      <c r="J2759">
        <v>1975</v>
      </c>
      <c r="K2759" t="s">
        <v>4554</v>
      </c>
      <c r="L2759" t="s">
        <v>4555</v>
      </c>
      <c r="M2759" s="2">
        <v>1800</v>
      </c>
      <c r="N2759" t="s">
        <v>4048</v>
      </c>
      <c r="O2759">
        <v>4</v>
      </c>
      <c r="P2759">
        <v>2</v>
      </c>
      <c r="Q2759">
        <v>0</v>
      </c>
      <c r="R2759" t="s">
        <v>4557</v>
      </c>
      <c r="S2759" t="s">
        <v>4558</v>
      </c>
      <c r="T2759" t="s">
        <v>4559</v>
      </c>
      <c r="U2759" t="s">
        <v>4560</v>
      </c>
      <c r="V2759" s="2">
        <v>519</v>
      </c>
      <c r="W2759" t="s">
        <v>4655</v>
      </c>
      <c r="X2759" s="2">
        <v>0</v>
      </c>
      <c r="Y2759">
        <v>20</v>
      </c>
      <c r="Z2759" t="s">
        <v>5200</v>
      </c>
      <c r="AA2759" s="3">
        <v>0.19299817085266099</v>
      </c>
      <c r="AB2759" t="s">
        <v>16372</v>
      </c>
      <c r="AC2759" t="s">
        <v>4575</v>
      </c>
      <c r="AD2759" t="s">
        <v>16371</v>
      </c>
      <c r="AE2759" t="s">
        <v>4655</v>
      </c>
      <c r="AF2759" t="s">
        <v>5201</v>
      </c>
      <c r="AG2759" t="s">
        <v>4564</v>
      </c>
      <c r="AH2759" t="s">
        <v>3898</v>
      </c>
      <c r="AI2759" t="s">
        <v>16373</v>
      </c>
      <c r="AJ2759" t="s">
        <v>4655</v>
      </c>
      <c r="AK2759" t="s">
        <v>16374</v>
      </c>
      <c r="AL2759" s="13" t="s">
        <v>1886</v>
      </c>
      <c r="AM2759">
        <v>1</v>
      </c>
      <c r="AN2759" s="15" t="s">
        <v>3439</v>
      </c>
    </row>
    <row r="2760" spans="1:40" x14ac:dyDescent="0.3">
      <c r="A2760" s="10" t="str">
        <f>HYPERLINK("http://www.washoecounty.gov/assessor/cama/?parid=036-302-02&amp;CardNumber=1","036-302-02")</f>
        <v>036-302-02</v>
      </c>
      <c r="B2760" t="s">
        <v>4655</v>
      </c>
      <c r="C2760" t="s">
        <v>16375</v>
      </c>
      <c r="D2760" s="1">
        <v>40416</v>
      </c>
      <c r="E2760" s="2">
        <v>139900</v>
      </c>
      <c r="F2760" t="s">
        <v>4553</v>
      </c>
      <c r="G2760" s="17" t="str">
        <f>HYPERLINK("https://www.washoecounty.gov/assessor/cama/?command=sales&amp;parid=03630202","3916075")</f>
        <v>3916075</v>
      </c>
      <c r="H2760" t="s">
        <v>3826</v>
      </c>
      <c r="I2760">
        <v>1975</v>
      </c>
      <c r="J2760">
        <v>1975</v>
      </c>
      <c r="K2760" t="s">
        <v>4554</v>
      </c>
      <c r="L2760" t="s">
        <v>4555</v>
      </c>
      <c r="M2760" s="2">
        <v>1616</v>
      </c>
      <c r="N2760" t="s">
        <v>4048</v>
      </c>
      <c r="O2760">
        <v>3</v>
      </c>
      <c r="P2760">
        <v>2</v>
      </c>
      <c r="Q2760">
        <v>0</v>
      </c>
      <c r="R2760" t="s">
        <v>4557</v>
      </c>
      <c r="S2760" t="s">
        <v>4135</v>
      </c>
      <c r="T2760" t="s">
        <v>4559</v>
      </c>
      <c r="U2760" t="s">
        <v>4560</v>
      </c>
      <c r="V2760" s="2">
        <v>496</v>
      </c>
      <c r="W2760" t="s">
        <v>4655</v>
      </c>
      <c r="X2760" s="2">
        <v>0</v>
      </c>
      <c r="Y2760">
        <v>20</v>
      </c>
      <c r="Z2760" t="s">
        <v>5200</v>
      </c>
      <c r="AA2760" s="3">
        <v>0.17800734937191001</v>
      </c>
      <c r="AB2760" t="s">
        <v>16376</v>
      </c>
      <c r="AC2760" t="s">
        <v>4575</v>
      </c>
      <c r="AD2760" t="s">
        <v>16377</v>
      </c>
      <c r="AE2760" t="s">
        <v>16375</v>
      </c>
      <c r="AF2760" t="s">
        <v>5201</v>
      </c>
      <c r="AG2760" t="s">
        <v>4564</v>
      </c>
      <c r="AH2760" t="s">
        <v>3898</v>
      </c>
      <c r="AI2760" t="s">
        <v>359</v>
      </c>
      <c r="AJ2760" t="s">
        <v>4655</v>
      </c>
      <c r="AK2760" t="s">
        <v>16378</v>
      </c>
      <c r="AL2760" s="13" t="s">
        <v>1886</v>
      </c>
      <c r="AM2760" s="14">
        <v>1</v>
      </c>
      <c r="AN2760" s="15" t="s">
        <v>3439</v>
      </c>
    </row>
    <row r="2761" spans="1:40" x14ac:dyDescent="0.3">
      <c r="A2761" s="10" t="str">
        <f>HYPERLINK("http://www.washoecounty.gov/assessor/cama/?parid=036-341-06&amp;CardNumber=1","036-341-06")</f>
        <v>036-341-06</v>
      </c>
      <c r="B2761" t="s">
        <v>4655</v>
      </c>
      <c r="C2761" t="s">
        <v>16379</v>
      </c>
      <c r="D2761" s="1">
        <v>40281</v>
      </c>
      <c r="E2761" s="2">
        <v>160900</v>
      </c>
      <c r="F2761" t="s">
        <v>4553</v>
      </c>
      <c r="G2761" s="17" t="str">
        <f>HYPERLINK("https://www.washoecounty.gov/assessor/cama/?command=sales&amp;parid=03634106","3870571")</f>
        <v>3870571</v>
      </c>
      <c r="H2761" t="s">
        <v>1261</v>
      </c>
      <c r="I2761">
        <v>1976</v>
      </c>
      <c r="J2761">
        <v>1976</v>
      </c>
      <c r="K2761" t="s">
        <v>4554</v>
      </c>
      <c r="L2761" t="s">
        <v>2170</v>
      </c>
      <c r="M2761" s="2">
        <v>2128</v>
      </c>
      <c r="N2761" t="s">
        <v>4048</v>
      </c>
      <c r="O2761">
        <v>4</v>
      </c>
      <c r="P2761">
        <v>3</v>
      </c>
      <c r="Q2761">
        <v>0</v>
      </c>
      <c r="R2761" t="s">
        <v>4557</v>
      </c>
      <c r="S2761" t="s">
        <v>4558</v>
      </c>
      <c r="T2761" t="s">
        <v>4559</v>
      </c>
      <c r="U2761" t="s">
        <v>4560</v>
      </c>
      <c r="V2761" s="2">
        <v>440</v>
      </c>
      <c r="W2761" t="s">
        <v>4655</v>
      </c>
      <c r="X2761" s="2">
        <v>0</v>
      </c>
      <c r="Y2761">
        <v>20</v>
      </c>
      <c r="Z2761" t="s">
        <v>5200</v>
      </c>
      <c r="AA2761" s="3">
        <v>0.22300276160240201</v>
      </c>
      <c r="AB2761" t="s">
        <v>16380</v>
      </c>
      <c r="AC2761" t="s">
        <v>4562</v>
      </c>
      <c r="AD2761" t="s">
        <v>16379</v>
      </c>
      <c r="AE2761" t="s">
        <v>4655</v>
      </c>
      <c r="AF2761" t="s">
        <v>5201</v>
      </c>
      <c r="AG2761" t="s">
        <v>4564</v>
      </c>
      <c r="AH2761" t="s">
        <v>3898</v>
      </c>
      <c r="AI2761" t="s">
        <v>4903</v>
      </c>
      <c r="AJ2761" t="s">
        <v>4655</v>
      </c>
      <c r="AK2761" t="s">
        <v>16381</v>
      </c>
      <c r="AL2761" s="13" t="s">
        <v>1886</v>
      </c>
      <c r="AM2761" s="14">
        <v>1</v>
      </c>
      <c r="AN2761" s="15" t="s">
        <v>3439</v>
      </c>
    </row>
    <row r="2762" spans="1:40" x14ac:dyDescent="0.3">
      <c r="A2762" s="10" t="str">
        <f>HYPERLINK("http://www.washoecounty.gov/assessor/cama/?parid=036-341-07&amp;CardNumber=1","036-341-07")</f>
        <v>036-341-07</v>
      </c>
      <c r="B2762" t="s">
        <v>4655</v>
      </c>
      <c r="C2762" t="s">
        <v>16382</v>
      </c>
      <c r="D2762" s="1">
        <v>40298</v>
      </c>
      <c r="E2762" s="2">
        <v>120000</v>
      </c>
      <c r="F2762" t="s">
        <v>4567</v>
      </c>
      <c r="G2762" s="17" t="str">
        <f>HYPERLINK("https://www.washoecounty.gov/assessor/cama/?command=sales&amp;parid=03634107","3876764")</f>
        <v>3876764</v>
      </c>
      <c r="H2762" t="s">
        <v>1261</v>
      </c>
      <c r="I2762">
        <v>1976</v>
      </c>
      <c r="J2762">
        <v>1976</v>
      </c>
      <c r="K2762" t="s">
        <v>4554</v>
      </c>
      <c r="L2762" t="s">
        <v>4555</v>
      </c>
      <c r="M2762" s="2">
        <v>1375</v>
      </c>
      <c r="N2762" t="s">
        <v>4048</v>
      </c>
      <c r="O2762">
        <v>3</v>
      </c>
      <c r="P2762">
        <v>2</v>
      </c>
      <c r="Q2762">
        <v>0</v>
      </c>
      <c r="R2762" t="s">
        <v>4557</v>
      </c>
      <c r="S2762" t="s">
        <v>4558</v>
      </c>
      <c r="T2762" t="s">
        <v>4559</v>
      </c>
      <c r="U2762" t="s">
        <v>4560</v>
      </c>
      <c r="V2762" s="2">
        <v>480</v>
      </c>
      <c r="W2762" t="s">
        <v>4655</v>
      </c>
      <c r="X2762" s="2">
        <v>0</v>
      </c>
      <c r="Y2762">
        <v>20</v>
      </c>
      <c r="Z2762" t="s">
        <v>5200</v>
      </c>
      <c r="AA2762" s="3">
        <v>0.20000000298023199</v>
      </c>
      <c r="AB2762" t="s">
        <v>16383</v>
      </c>
      <c r="AC2762" t="s">
        <v>4575</v>
      </c>
      <c r="AD2762" t="s">
        <v>16384</v>
      </c>
      <c r="AE2762" t="s">
        <v>4655</v>
      </c>
      <c r="AF2762" t="s">
        <v>5201</v>
      </c>
      <c r="AG2762" t="s">
        <v>4564</v>
      </c>
      <c r="AH2762" t="s">
        <v>3898</v>
      </c>
      <c r="AI2762" t="s">
        <v>16385</v>
      </c>
      <c r="AJ2762" t="s">
        <v>4655</v>
      </c>
      <c r="AK2762" t="s">
        <v>16386</v>
      </c>
      <c r="AL2762" s="13" t="s">
        <v>1886</v>
      </c>
      <c r="AM2762">
        <v>1</v>
      </c>
      <c r="AN2762" s="15" t="s">
        <v>3439</v>
      </c>
    </row>
    <row r="2763" spans="1:40" x14ac:dyDescent="0.3">
      <c r="A2763" s="10" t="str">
        <f>HYPERLINK("http://www.washoecounty.gov/assessor/cama/?parid=036-341-08&amp;CardNumber=1","036-341-08")</f>
        <v>036-341-08</v>
      </c>
      <c r="B2763" t="s">
        <v>4655</v>
      </c>
      <c r="C2763" t="s">
        <v>16387</v>
      </c>
      <c r="D2763" s="1">
        <v>40542</v>
      </c>
      <c r="E2763" s="2">
        <v>225000</v>
      </c>
      <c r="F2763" t="s">
        <v>4567</v>
      </c>
      <c r="G2763" s="17" t="str">
        <f>HYPERLINK("https://www.washoecounty.gov/assessor/cama/?command=sales&amp;parid=03634108","3959393")</f>
        <v>3959393</v>
      </c>
      <c r="H2763" t="s">
        <v>761</v>
      </c>
      <c r="I2763">
        <v>1976</v>
      </c>
      <c r="J2763">
        <v>1977</v>
      </c>
      <c r="K2763" t="s">
        <v>4554</v>
      </c>
      <c r="L2763" t="s">
        <v>2170</v>
      </c>
      <c r="M2763" s="2">
        <v>2434</v>
      </c>
      <c r="N2763" t="s">
        <v>4048</v>
      </c>
      <c r="O2763">
        <v>4</v>
      </c>
      <c r="P2763">
        <v>3</v>
      </c>
      <c r="Q2763">
        <v>0</v>
      </c>
      <c r="R2763" t="s">
        <v>4557</v>
      </c>
      <c r="S2763" t="s">
        <v>4558</v>
      </c>
      <c r="T2763" t="s">
        <v>4559</v>
      </c>
      <c r="U2763" t="s">
        <v>4560</v>
      </c>
      <c r="V2763" s="2">
        <v>440</v>
      </c>
      <c r="W2763" t="s">
        <v>4655</v>
      </c>
      <c r="X2763" s="2">
        <v>0</v>
      </c>
      <c r="Y2763">
        <v>20</v>
      </c>
      <c r="Z2763" t="s">
        <v>5200</v>
      </c>
      <c r="AA2763" s="3">
        <v>0.30700182914733898</v>
      </c>
      <c r="AB2763" t="s">
        <v>16388</v>
      </c>
      <c r="AC2763" t="s">
        <v>4562</v>
      </c>
      <c r="AD2763" t="s">
        <v>16387</v>
      </c>
      <c r="AE2763" t="s">
        <v>4655</v>
      </c>
      <c r="AF2763" t="s">
        <v>5201</v>
      </c>
      <c r="AG2763" t="s">
        <v>4564</v>
      </c>
      <c r="AH2763" t="s">
        <v>3898</v>
      </c>
      <c r="AI2763" t="s">
        <v>16389</v>
      </c>
      <c r="AJ2763" t="s">
        <v>4655</v>
      </c>
      <c r="AK2763" t="s">
        <v>16390</v>
      </c>
      <c r="AL2763" s="13" t="s">
        <v>1886</v>
      </c>
      <c r="AM2763" s="14">
        <v>1</v>
      </c>
      <c r="AN2763" s="15" t="s">
        <v>3439</v>
      </c>
    </row>
    <row r="2764" spans="1:40" x14ac:dyDescent="0.3">
      <c r="A2764" s="10" t="str">
        <f>HYPERLINK("http://www.washoecounty.gov/assessor/cama/?parid=036-342-16&amp;CardNumber=1","036-342-16")</f>
        <v>036-342-16</v>
      </c>
      <c r="B2764" t="s">
        <v>4655</v>
      </c>
      <c r="C2764" t="s">
        <v>16391</v>
      </c>
      <c r="D2764" s="1">
        <v>40298</v>
      </c>
      <c r="E2764" s="2">
        <v>135000</v>
      </c>
      <c r="F2764" t="s">
        <v>4567</v>
      </c>
      <c r="G2764" s="17" t="str">
        <f>HYPERLINK("https://www.washoecounty.gov/assessor/cama/?command=sales&amp;parid=03634216","3876614")</f>
        <v>3876614</v>
      </c>
      <c r="H2764" t="s">
        <v>1261</v>
      </c>
      <c r="I2764">
        <v>1975</v>
      </c>
      <c r="J2764">
        <v>1975</v>
      </c>
      <c r="K2764" t="s">
        <v>4554</v>
      </c>
      <c r="L2764" t="s">
        <v>4555</v>
      </c>
      <c r="M2764" s="2">
        <v>1375</v>
      </c>
      <c r="N2764" t="s">
        <v>4048</v>
      </c>
      <c r="O2764">
        <v>3</v>
      </c>
      <c r="P2764">
        <v>2</v>
      </c>
      <c r="Q2764">
        <v>0</v>
      </c>
      <c r="R2764" t="s">
        <v>4557</v>
      </c>
      <c r="S2764" t="s">
        <v>4558</v>
      </c>
      <c r="T2764" t="s">
        <v>4559</v>
      </c>
      <c r="U2764" t="s">
        <v>4560</v>
      </c>
      <c r="V2764" s="2">
        <v>462</v>
      </c>
      <c r="W2764" t="s">
        <v>4655</v>
      </c>
      <c r="X2764" s="2">
        <v>0</v>
      </c>
      <c r="Y2764">
        <v>20</v>
      </c>
      <c r="Z2764" t="s">
        <v>5200</v>
      </c>
      <c r="AA2764" s="3">
        <v>0.14400826394558</v>
      </c>
      <c r="AB2764" t="s">
        <v>16392</v>
      </c>
      <c r="AC2764" t="s">
        <v>4562</v>
      </c>
      <c r="AD2764" t="s">
        <v>16391</v>
      </c>
      <c r="AE2764" t="s">
        <v>4655</v>
      </c>
      <c r="AF2764" t="s">
        <v>5201</v>
      </c>
      <c r="AG2764" t="s">
        <v>4564</v>
      </c>
      <c r="AH2764" t="s">
        <v>3898</v>
      </c>
      <c r="AI2764" t="s">
        <v>16393</v>
      </c>
      <c r="AJ2764" t="s">
        <v>4655</v>
      </c>
      <c r="AK2764" t="s">
        <v>16394</v>
      </c>
      <c r="AL2764" s="13" t="s">
        <v>1886</v>
      </c>
      <c r="AM2764" s="14">
        <v>1</v>
      </c>
      <c r="AN2764" s="15" t="s">
        <v>3439</v>
      </c>
    </row>
    <row r="2765" spans="1:40" x14ac:dyDescent="0.3">
      <c r="A2765" s="10" t="str">
        <f>HYPERLINK("http://www.washoecounty.gov/assessor/cama/?parid=036-342-30&amp;CardNumber=1","036-342-30")</f>
        <v>036-342-30</v>
      </c>
      <c r="B2765" t="s">
        <v>4655</v>
      </c>
      <c r="C2765" t="s">
        <v>16395</v>
      </c>
      <c r="D2765" s="1">
        <v>40472</v>
      </c>
      <c r="E2765" s="2">
        <v>164700</v>
      </c>
      <c r="F2765" t="s">
        <v>4553</v>
      </c>
      <c r="G2765" s="17" t="str">
        <f>HYPERLINK("https://www.washoecounty.gov/assessor/cama/?command=sales&amp;parid=03634230","3935303")</f>
        <v>3935303</v>
      </c>
      <c r="H2765" t="s">
        <v>1261</v>
      </c>
      <c r="I2765">
        <v>1976</v>
      </c>
      <c r="J2765">
        <v>1976</v>
      </c>
      <c r="K2765" t="s">
        <v>4554</v>
      </c>
      <c r="L2765" t="s">
        <v>2170</v>
      </c>
      <c r="M2765" s="2">
        <v>2128</v>
      </c>
      <c r="N2765" t="s">
        <v>4048</v>
      </c>
      <c r="O2765">
        <v>4</v>
      </c>
      <c r="P2765">
        <v>3</v>
      </c>
      <c r="Q2765">
        <v>0</v>
      </c>
      <c r="R2765" t="s">
        <v>4557</v>
      </c>
      <c r="S2765" t="s">
        <v>4558</v>
      </c>
      <c r="T2765" t="s">
        <v>4559</v>
      </c>
      <c r="U2765" t="s">
        <v>4560</v>
      </c>
      <c r="V2765" s="2">
        <v>440</v>
      </c>
      <c r="W2765" t="s">
        <v>4655</v>
      </c>
      <c r="X2765" s="2">
        <v>0</v>
      </c>
      <c r="Y2765">
        <v>20</v>
      </c>
      <c r="Z2765" t="s">
        <v>5200</v>
      </c>
      <c r="AA2765" s="3">
        <v>0.14201101660728499</v>
      </c>
      <c r="AB2765" t="s">
        <v>16396</v>
      </c>
      <c r="AC2765" t="s">
        <v>4562</v>
      </c>
      <c r="AD2765" t="s">
        <v>16397</v>
      </c>
      <c r="AE2765" t="s">
        <v>4655</v>
      </c>
      <c r="AF2765" t="s">
        <v>4809</v>
      </c>
      <c r="AG2765" t="s">
        <v>4564</v>
      </c>
      <c r="AH2765" t="s">
        <v>3898</v>
      </c>
      <c r="AI2765" t="s">
        <v>4565</v>
      </c>
      <c r="AJ2765" t="s">
        <v>4655</v>
      </c>
      <c r="AK2765" t="s">
        <v>16398</v>
      </c>
      <c r="AL2765" s="13" t="s">
        <v>1886</v>
      </c>
      <c r="AM2765">
        <v>1</v>
      </c>
      <c r="AN2765" s="15" t="s">
        <v>3439</v>
      </c>
    </row>
    <row r="2766" spans="1:40" x14ac:dyDescent="0.3">
      <c r="A2766" s="10" t="str">
        <f>HYPERLINK("http://www.washoecounty.gov/assessor/cama/?parid=036-360-10&amp;CardNumber=1","036-360-10")</f>
        <v>036-360-10</v>
      </c>
      <c r="B2766" t="s">
        <v>4655</v>
      </c>
      <c r="C2766" t="s">
        <v>16399</v>
      </c>
      <c r="D2766" s="1">
        <v>40336</v>
      </c>
      <c r="E2766" s="2">
        <v>178000</v>
      </c>
      <c r="F2766" t="s">
        <v>4567</v>
      </c>
      <c r="G2766" s="17" t="str">
        <f>HYPERLINK("https://www.washoecounty.gov/assessor/cama/?command=sales&amp;parid=03636010","3888963")</f>
        <v>3888963</v>
      </c>
      <c r="H2766" t="s">
        <v>16400</v>
      </c>
      <c r="I2766">
        <v>1978</v>
      </c>
      <c r="J2766">
        <v>1978</v>
      </c>
      <c r="K2766" t="s">
        <v>4554</v>
      </c>
      <c r="L2766" t="s">
        <v>2170</v>
      </c>
      <c r="M2766" s="2">
        <v>2128</v>
      </c>
      <c r="N2766" t="s">
        <v>4048</v>
      </c>
      <c r="O2766">
        <v>4</v>
      </c>
      <c r="P2766">
        <v>3</v>
      </c>
      <c r="Q2766">
        <v>0</v>
      </c>
      <c r="R2766" t="s">
        <v>5281</v>
      </c>
      <c r="S2766" t="s">
        <v>4558</v>
      </c>
      <c r="T2766" t="s">
        <v>4559</v>
      </c>
      <c r="U2766" t="s">
        <v>4560</v>
      </c>
      <c r="V2766" s="2">
        <v>440</v>
      </c>
      <c r="W2766" t="s">
        <v>4655</v>
      </c>
      <c r="X2766" s="2">
        <v>0</v>
      </c>
      <c r="Y2766">
        <v>20</v>
      </c>
      <c r="Z2766" t="s">
        <v>5200</v>
      </c>
      <c r="AA2766" s="3">
        <v>0.22601009905338301</v>
      </c>
      <c r="AB2766" t="s">
        <v>16401</v>
      </c>
      <c r="AC2766" t="s">
        <v>4562</v>
      </c>
      <c r="AD2766" t="s">
        <v>16402</v>
      </c>
      <c r="AE2766" t="s">
        <v>4655</v>
      </c>
      <c r="AF2766" t="s">
        <v>5201</v>
      </c>
      <c r="AG2766" t="s">
        <v>4564</v>
      </c>
      <c r="AH2766" t="s">
        <v>3898</v>
      </c>
      <c r="AI2766" t="s">
        <v>16403</v>
      </c>
      <c r="AJ2766" t="s">
        <v>4655</v>
      </c>
      <c r="AK2766" t="s">
        <v>16404</v>
      </c>
      <c r="AL2766" s="13" t="s">
        <v>3425</v>
      </c>
      <c r="AM2766" s="14">
        <v>1</v>
      </c>
      <c r="AN2766" s="15" t="s">
        <v>5531</v>
      </c>
    </row>
    <row r="2767" spans="1:40" x14ac:dyDescent="0.3">
      <c r="A2767" s="10" t="str">
        <f>HYPERLINK("http://www.washoecounty.gov/assessor/cama/?parid=036-371-08&amp;CardNumber=1","036-371-08")</f>
        <v>036-371-08</v>
      </c>
      <c r="B2767" t="s">
        <v>4655</v>
      </c>
      <c r="C2767" t="s">
        <v>3868</v>
      </c>
      <c r="D2767" s="1">
        <v>40296</v>
      </c>
      <c r="E2767" s="2">
        <v>36000</v>
      </c>
      <c r="F2767" t="s">
        <v>4553</v>
      </c>
      <c r="G2767" s="17" t="str">
        <f>HYPERLINK("https://www.washoecounty.gov/assessor/cama/?command=sales&amp;parid=03637108","3875590")</f>
        <v>3875590</v>
      </c>
      <c r="H2767" t="s">
        <v>764</v>
      </c>
      <c r="I2767">
        <v>1976</v>
      </c>
      <c r="J2767">
        <v>1976</v>
      </c>
      <c r="K2767" t="s">
        <v>4897</v>
      </c>
      <c r="L2767" t="s">
        <v>4555</v>
      </c>
      <c r="M2767" s="2">
        <v>823</v>
      </c>
      <c r="N2767" t="s">
        <v>4048</v>
      </c>
      <c r="O2767">
        <v>2</v>
      </c>
      <c r="P2767">
        <v>1</v>
      </c>
      <c r="Q2767">
        <v>0</v>
      </c>
      <c r="R2767" t="s">
        <v>4557</v>
      </c>
      <c r="S2767" t="s">
        <v>4898</v>
      </c>
      <c r="T2767" t="s">
        <v>4899</v>
      </c>
      <c r="U2767" t="s">
        <v>4655</v>
      </c>
      <c r="V2767" s="2">
        <v>0</v>
      </c>
      <c r="W2767" t="s">
        <v>4655</v>
      </c>
      <c r="X2767" s="2">
        <v>0</v>
      </c>
      <c r="Y2767">
        <v>21</v>
      </c>
      <c r="Z2767" t="s">
        <v>5196</v>
      </c>
      <c r="AA2767" s="3">
        <v>1.00000004749745E-3</v>
      </c>
      <c r="AB2767" t="s">
        <v>16405</v>
      </c>
      <c r="AC2767" t="s">
        <v>4575</v>
      </c>
      <c r="AD2767" t="s">
        <v>16406</v>
      </c>
      <c r="AE2767" t="s">
        <v>4655</v>
      </c>
      <c r="AF2767" t="s">
        <v>5201</v>
      </c>
      <c r="AG2767" t="s">
        <v>4564</v>
      </c>
      <c r="AH2767" t="s">
        <v>1605</v>
      </c>
      <c r="AI2767" t="s">
        <v>4565</v>
      </c>
      <c r="AJ2767" t="s">
        <v>4655</v>
      </c>
      <c r="AK2767" t="s">
        <v>16407</v>
      </c>
      <c r="AL2767" s="13" t="s">
        <v>3425</v>
      </c>
      <c r="AM2767" s="14">
        <v>1</v>
      </c>
      <c r="AN2767" s="15" t="s">
        <v>684</v>
      </c>
    </row>
    <row r="2768" spans="1:40" x14ac:dyDescent="0.3">
      <c r="A2768" s="10" t="str">
        <f>HYPERLINK("http://www.washoecounty.gov/assessor/cama/?parid=036-371-24&amp;CardNumber=1","036-371-24")</f>
        <v>036-371-24</v>
      </c>
      <c r="B2768" t="s">
        <v>4655</v>
      </c>
      <c r="C2768" t="s">
        <v>16408</v>
      </c>
      <c r="D2768" s="1">
        <v>40352</v>
      </c>
      <c r="E2768" s="2">
        <v>42000</v>
      </c>
      <c r="F2768" t="s">
        <v>4567</v>
      </c>
      <c r="G2768" s="17" t="str">
        <f>HYPERLINK("https://www.washoecounty.gov/assessor/cama/?command=sales&amp;parid=03637124","3894768")</f>
        <v>3894768</v>
      </c>
      <c r="H2768" t="s">
        <v>764</v>
      </c>
      <c r="I2768">
        <v>1976</v>
      </c>
      <c r="J2768">
        <v>1976</v>
      </c>
      <c r="K2768" t="s">
        <v>3144</v>
      </c>
      <c r="L2768" t="s">
        <v>4555</v>
      </c>
      <c r="M2768" s="2">
        <v>823</v>
      </c>
      <c r="N2768" t="s">
        <v>4048</v>
      </c>
      <c r="O2768">
        <v>2</v>
      </c>
      <c r="P2768">
        <v>1</v>
      </c>
      <c r="Q2768">
        <v>0</v>
      </c>
      <c r="R2768" t="s">
        <v>4557</v>
      </c>
      <c r="S2768" t="s">
        <v>4898</v>
      </c>
      <c r="T2768" t="s">
        <v>4899</v>
      </c>
      <c r="U2768" t="s">
        <v>4655</v>
      </c>
      <c r="V2768" s="2">
        <v>0</v>
      </c>
      <c r="W2768" t="s">
        <v>4655</v>
      </c>
      <c r="X2768" s="2">
        <v>0</v>
      </c>
      <c r="Y2768">
        <v>21</v>
      </c>
      <c r="Z2768" t="s">
        <v>5196</v>
      </c>
      <c r="AA2768" s="3">
        <v>1.00000004749745E-3</v>
      </c>
      <c r="AB2768" t="s">
        <v>16409</v>
      </c>
      <c r="AC2768" t="s">
        <v>4562</v>
      </c>
      <c r="AD2768" t="s">
        <v>16410</v>
      </c>
      <c r="AE2768" t="s">
        <v>4655</v>
      </c>
      <c r="AF2768" t="s">
        <v>4563</v>
      </c>
      <c r="AG2768" t="s">
        <v>4564</v>
      </c>
      <c r="AH2768">
        <v>89508</v>
      </c>
      <c r="AI2768" t="s">
        <v>16411</v>
      </c>
      <c r="AJ2768" t="s">
        <v>4655</v>
      </c>
      <c r="AK2768" t="s">
        <v>16412</v>
      </c>
      <c r="AL2768" s="13" t="s">
        <v>3425</v>
      </c>
      <c r="AM2768">
        <v>1</v>
      </c>
      <c r="AN2768" s="15" t="s">
        <v>684</v>
      </c>
    </row>
    <row r="2769" spans="1:40" x14ac:dyDescent="0.3">
      <c r="A2769" s="10" t="str">
        <f>HYPERLINK("http://www.washoecounty.gov/assessor/cama/?parid=036-371-44&amp;CardNumber=1","036-371-44")</f>
        <v>036-371-44</v>
      </c>
      <c r="B2769" t="s">
        <v>4655</v>
      </c>
      <c r="C2769" t="s">
        <v>763</v>
      </c>
      <c r="D2769" s="1">
        <v>40190</v>
      </c>
      <c r="E2769" s="2">
        <v>32000</v>
      </c>
      <c r="F2769" t="s">
        <v>4553</v>
      </c>
      <c r="G2769" s="17" t="str">
        <f>HYPERLINK("https://www.washoecounty.gov/assessor/cama/?command=sales&amp;parid=03637144","3838512")</f>
        <v>3838512</v>
      </c>
      <c r="H2769" t="s">
        <v>764</v>
      </c>
      <c r="I2769">
        <v>1976</v>
      </c>
      <c r="J2769">
        <v>1976</v>
      </c>
      <c r="K2769" t="s">
        <v>4897</v>
      </c>
      <c r="L2769" t="s">
        <v>4555</v>
      </c>
      <c r="M2769" s="2">
        <v>823</v>
      </c>
      <c r="N2769" t="s">
        <v>4048</v>
      </c>
      <c r="O2769">
        <v>2</v>
      </c>
      <c r="P2769">
        <v>1</v>
      </c>
      <c r="Q2769">
        <v>0</v>
      </c>
      <c r="R2769" t="s">
        <v>4557</v>
      </c>
      <c r="S2769" t="s">
        <v>4898</v>
      </c>
      <c r="T2769" t="s">
        <v>4899</v>
      </c>
      <c r="U2769" t="s">
        <v>4655</v>
      </c>
      <c r="V2769" s="2">
        <v>0</v>
      </c>
      <c r="W2769" t="s">
        <v>4655</v>
      </c>
      <c r="X2769" s="2">
        <v>0</v>
      </c>
      <c r="Y2769">
        <v>21</v>
      </c>
      <c r="Z2769" t="s">
        <v>5196</v>
      </c>
      <c r="AA2769" s="3">
        <v>1.00000004749745E-3</v>
      </c>
      <c r="AB2769" t="s">
        <v>765</v>
      </c>
      <c r="AC2769" t="s">
        <v>4562</v>
      </c>
      <c r="AD2769" t="s">
        <v>16413</v>
      </c>
      <c r="AE2769" t="s">
        <v>4655</v>
      </c>
      <c r="AF2769" t="s">
        <v>4563</v>
      </c>
      <c r="AG2769" t="s">
        <v>4564</v>
      </c>
      <c r="AH2769">
        <v>89510</v>
      </c>
      <c r="AI2769" t="s">
        <v>4565</v>
      </c>
      <c r="AJ2769" t="s">
        <v>4655</v>
      </c>
      <c r="AK2769" t="s">
        <v>16414</v>
      </c>
      <c r="AL2769" s="13" t="s">
        <v>3425</v>
      </c>
      <c r="AM2769">
        <v>1</v>
      </c>
      <c r="AN2769" s="15" t="s">
        <v>684</v>
      </c>
    </row>
    <row r="2770" spans="1:40" x14ac:dyDescent="0.3">
      <c r="A2770" s="10" t="str">
        <f>HYPERLINK("http://www.washoecounty.gov/assessor/cama/?parid=036-372-18&amp;CardNumber=1","036-372-18")</f>
        <v>036-372-18</v>
      </c>
      <c r="B2770" t="s">
        <v>4655</v>
      </c>
      <c r="C2770" t="s">
        <v>16415</v>
      </c>
      <c r="D2770" s="1">
        <v>40357</v>
      </c>
      <c r="E2770" s="2">
        <v>25000</v>
      </c>
      <c r="F2770" t="s">
        <v>4553</v>
      </c>
      <c r="G2770" s="17" t="str">
        <f>HYPERLINK("https://www.washoecounty.gov/assessor/cama/?command=sales&amp;parid=03637218","3896107")</f>
        <v>3896107</v>
      </c>
      <c r="H2770" t="s">
        <v>764</v>
      </c>
      <c r="I2770">
        <v>1976</v>
      </c>
      <c r="J2770">
        <v>1976</v>
      </c>
      <c r="K2770" t="s">
        <v>3144</v>
      </c>
      <c r="L2770" t="s">
        <v>4555</v>
      </c>
      <c r="M2770" s="2">
        <v>630</v>
      </c>
      <c r="N2770" t="s">
        <v>4048</v>
      </c>
      <c r="O2770">
        <v>1</v>
      </c>
      <c r="P2770">
        <v>1</v>
      </c>
      <c r="Q2770">
        <v>0</v>
      </c>
      <c r="R2770" t="s">
        <v>4557</v>
      </c>
      <c r="S2770" t="s">
        <v>4898</v>
      </c>
      <c r="T2770" t="s">
        <v>4899</v>
      </c>
      <c r="U2770" t="s">
        <v>4655</v>
      </c>
      <c r="V2770" s="2">
        <v>0</v>
      </c>
      <c r="W2770" t="s">
        <v>4655</v>
      </c>
      <c r="X2770" s="2">
        <v>0</v>
      </c>
      <c r="Y2770">
        <v>21</v>
      </c>
      <c r="Z2770" t="s">
        <v>5196</v>
      </c>
      <c r="AA2770" s="3">
        <v>1.00000004749745E-3</v>
      </c>
      <c r="AB2770" t="s">
        <v>16416</v>
      </c>
      <c r="AC2770" t="s">
        <v>4562</v>
      </c>
      <c r="AD2770" t="s">
        <v>16417</v>
      </c>
      <c r="AE2770" t="s">
        <v>4655</v>
      </c>
      <c r="AF2770" t="s">
        <v>4563</v>
      </c>
      <c r="AG2770" t="s">
        <v>4564</v>
      </c>
      <c r="AH2770">
        <v>89509</v>
      </c>
      <c r="AI2770" t="s">
        <v>4565</v>
      </c>
      <c r="AJ2770" t="s">
        <v>4655</v>
      </c>
      <c r="AK2770" t="s">
        <v>16418</v>
      </c>
      <c r="AL2770" s="13" t="s">
        <v>3425</v>
      </c>
      <c r="AM2770" s="14">
        <v>1</v>
      </c>
      <c r="AN2770" s="15" t="s">
        <v>684</v>
      </c>
    </row>
    <row r="2771" spans="1:40" x14ac:dyDescent="0.3">
      <c r="A2771" s="10" t="str">
        <f>HYPERLINK("http://www.washoecounty.gov/assessor/cama/?parid=036-372-20&amp;CardNumber=1","036-372-20")</f>
        <v>036-372-20</v>
      </c>
      <c r="B2771" t="s">
        <v>4655</v>
      </c>
      <c r="C2771" t="s">
        <v>16415</v>
      </c>
      <c r="D2771" s="1">
        <v>40464</v>
      </c>
      <c r="E2771" s="2">
        <v>25000</v>
      </c>
      <c r="F2771" t="s">
        <v>4567</v>
      </c>
      <c r="G2771" s="17" t="str">
        <f>HYPERLINK("https://www.washoecounty.gov/assessor/cama/?command=sales&amp;parid=03637220","3932171")</f>
        <v>3932171</v>
      </c>
      <c r="H2771" t="s">
        <v>764</v>
      </c>
      <c r="I2771">
        <v>1976</v>
      </c>
      <c r="J2771">
        <v>1976</v>
      </c>
      <c r="K2771" t="s">
        <v>4897</v>
      </c>
      <c r="L2771" t="s">
        <v>4555</v>
      </c>
      <c r="M2771" s="2">
        <v>630</v>
      </c>
      <c r="N2771" t="s">
        <v>4048</v>
      </c>
      <c r="O2771">
        <v>1</v>
      </c>
      <c r="P2771">
        <v>1</v>
      </c>
      <c r="Q2771">
        <v>0</v>
      </c>
      <c r="R2771" t="s">
        <v>4557</v>
      </c>
      <c r="S2771" t="s">
        <v>4898</v>
      </c>
      <c r="T2771" t="s">
        <v>4899</v>
      </c>
      <c r="U2771" t="s">
        <v>4655</v>
      </c>
      <c r="V2771" s="2">
        <v>0</v>
      </c>
      <c r="W2771" t="s">
        <v>4655</v>
      </c>
      <c r="X2771" s="2">
        <v>0</v>
      </c>
      <c r="Y2771">
        <v>21</v>
      </c>
      <c r="Z2771" t="s">
        <v>5196</v>
      </c>
      <c r="AA2771" s="3">
        <v>1.00000004749745E-3</v>
      </c>
      <c r="AB2771" t="s">
        <v>16419</v>
      </c>
      <c r="AC2771" t="s">
        <v>4562</v>
      </c>
      <c r="AD2771" t="s">
        <v>16420</v>
      </c>
      <c r="AE2771" t="s">
        <v>4655</v>
      </c>
      <c r="AF2771" t="s">
        <v>5201</v>
      </c>
      <c r="AG2771" t="s">
        <v>4564</v>
      </c>
      <c r="AH2771" t="s">
        <v>3609</v>
      </c>
      <c r="AI2771" t="s">
        <v>16419</v>
      </c>
      <c r="AJ2771" t="s">
        <v>4655</v>
      </c>
      <c r="AK2771" t="s">
        <v>16421</v>
      </c>
      <c r="AL2771" s="13" t="s">
        <v>3425</v>
      </c>
      <c r="AM2771">
        <v>1</v>
      </c>
      <c r="AN2771" s="15" t="s">
        <v>684</v>
      </c>
    </row>
    <row r="2772" spans="1:40" x14ac:dyDescent="0.3">
      <c r="A2772" s="10" t="str">
        <f>HYPERLINK("http://www.washoecounty.gov/assessor/cama/?parid=036-372-26&amp;CardNumber=1","036-372-26")</f>
        <v>036-372-26</v>
      </c>
      <c r="B2772" t="s">
        <v>4655</v>
      </c>
      <c r="C2772" t="s">
        <v>16422</v>
      </c>
      <c r="D2772" s="1">
        <v>40203</v>
      </c>
      <c r="E2772" s="2">
        <v>42500</v>
      </c>
      <c r="F2772" t="s">
        <v>4553</v>
      </c>
      <c r="G2772" s="17" t="str">
        <f>HYPERLINK("https://www.washoecounty.gov/assessor/cama/?command=sales&amp;parid=03637226","3842209")</f>
        <v>3842209</v>
      </c>
      <c r="H2772" t="s">
        <v>764</v>
      </c>
      <c r="I2772">
        <v>1976</v>
      </c>
      <c r="J2772">
        <v>1976</v>
      </c>
      <c r="K2772" t="s">
        <v>4897</v>
      </c>
      <c r="L2772" t="s">
        <v>4555</v>
      </c>
      <c r="M2772" s="2">
        <v>823</v>
      </c>
      <c r="N2772" t="s">
        <v>4048</v>
      </c>
      <c r="O2772">
        <v>2</v>
      </c>
      <c r="P2772">
        <v>1</v>
      </c>
      <c r="Q2772">
        <v>0</v>
      </c>
      <c r="R2772" t="s">
        <v>4557</v>
      </c>
      <c r="S2772" t="s">
        <v>4898</v>
      </c>
      <c r="T2772" t="s">
        <v>4899</v>
      </c>
      <c r="U2772" t="s">
        <v>4655</v>
      </c>
      <c r="V2772" s="2">
        <v>0</v>
      </c>
      <c r="W2772" t="s">
        <v>4655</v>
      </c>
      <c r="X2772" s="2">
        <v>0</v>
      </c>
      <c r="Y2772">
        <v>21</v>
      </c>
      <c r="Z2772" t="s">
        <v>5196</v>
      </c>
      <c r="AA2772" s="3">
        <v>1.00000004749745E-3</v>
      </c>
      <c r="AB2772" t="s">
        <v>685</v>
      </c>
      <c r="AC2772" t="s">
        <v>4575</v>
      </c>
      <c r="AD2772" t="s">
        <v>16423</v>
      </c>
      <c r="AE2772" t="s">
        <v>4655</v>
      </c>
      <c r="AF2772" t="s">
        <v>1916</v>
      </c>
      <c r="AG2772" t="s">
        <v>4584</v>
      </c>
      <c r="AH2772" t="s">
        <v>5031</v>
      </c>
      <c r="AI2772" t="s">
        <v>687</v>
      </c>
      <c r="AJ2772" t="s">
        <v>4655</v>
      </c>
      <c r="AK2772" t="s">
        <v>16424</v>
      </c>
      <c r="AL2772" s="13" t="s">
        <v>3425</v>
      </c>
      <c r="AM2772">
        <v>1</v>
      </c>
      <c r="AN2772" s="15" t="s">
        <v>684</v>
      </c>
    </row>
    <row r="2773" spans="1:40" x14ac:dyDescent="0.3">
      <c r="A2773" s="10" t="str">
        <f>HYPERLINK("http://www.washoecounty.gov/assessor/cama/?parid=036-372-28&amp;CardNumber=1","036-372-28")</f>
        <v>036-372-28</v>
      </c>
      <c r="B2773" t="s">
        <v>4655</v>
      </c>
      <c r="C2773" t="s">
        <v>16422</v>
      </c>
      <c r="D2773" s="1">
        <v>40368</v>
      </c>
      <c r="E2773" s="2">
        <v>43000</v>
      </c>
      <c r="F2773" t="s">
        <v>4553</v>
      </c>
      <c r="G2773" s="17" t="str">
        <f>HYPERLINK("https://www.washoecounty.gov/assessor/cama/?command=sales&amp;parid=03637228","3900070")</f>
        <v>3900070</v>
      </c>
      <c r="H2773" t="s">
        <v>764</v>
      </c>
      <c r="I2773">
        <v>1976</v>
      </c>
      <c r="J2773">
        <v>1976</v>
      </c>
      <c r="K2773" t="s">
        <v>4897</v>
      </c>
      <c r="L2773" t="s">
        <v>4555</v>
      </c>
      <c r="M2773" s="2">
        <v>823</v>
      </c>
      <c r="N2773" t="s">
        <v>4048</v>
      </c>
      <c r="O2773">
        <v>2</v>
      </c>
      <c r="P2773">
        <v>1</v>
      </c>
      <c r="Q2773">
        <v>0</v>
      </c>
      <c r="R2773" t="s">
        <v>4557</v>
      </c>
      <c r="S2773" t="s">
        <v>4898</v>
      </c>
      <c r="T2773" t="s">
        <v>4899</v>
      </c>
      <c r="U2773" t="s">
        <v>4655</v>
      </c>
      <c r="V2773" s="2">
        <v>0</v>
      </c>
      <c r="W2773" t="s">
        <v>4655</v>
      </c>
      <c r="X2773" s="2">
        <v>0</v>
      </c>
      <c r="Y2773">
        <v>21</v>
      </c>
      <c r="Z2773" t="s">
        <v>5196</v>
      </c>
      <c r="AA2773" s="3">
        <v>1.00000004749745E-3</v>
      </c>
      <c r="AB2773" t="s">
        <v>16425</v>
      </c>
      <c r="AC2773" t="s">
        <v>4562</v>
      </c>
      <c r="AD2773" t="s">
        <v>16426</v>
      </c>
      <c r="AE2773" t="s">
        <v>4655</v>
      </c>
      <c r="AF2773" t="s">
        <v>5201</v>
      </c>
      <c r="AG2773" t="s">
        <v>4564</v>
      </c>
      <c r="AH2773" t="s">
        <v>3898</v>
      </c>
      <c r="AI2773" t="s">
        <v>4903</v>
      </c>
      <c r="AJ2773" t="s">
        <v>4655</v>
      </c>
      <c r="AK2773" t="s">
        <v>16427</v>
      </c>
      <c r="AL2773" s="13" t="s">
        <v>3425</v>
      </c>
      <c r="AM2773">
        <v>1</v>
      </c>
      <c r="AN2773" s="15" t="s">
        <v>684</v>
      </c>
    </row>
    <row r="2774" spans="1:40" x14ac:dyDescent="0.3">
      <c r="A2774" s="10" t="str">
        <f>HYPERLINK("http://www.washoecounty.gov/assessor/cama/?parid=036-373-05&amp;CardNumber=1","036-373-05")</f>
        <v>036-373-05</v>
      </c>
      <c r="B2774" t="s">
        <v>4655</v>
      </c>
      <c r="C2774" t="s">
        <v>16428</v>
      </c>
      <c r="D2774" s="1">
        <v>40442</v>
      </c>
      <c r="E2774" s="2">
        <v>43500</v>
      </c>
      <c r="F2774" t="s">
        <v>4553</v>
      </c>
      <c r="G2774" s="17" t="str">
        <f>HYPERLINK("https://www.washoecounty.gov/assessor/cama/?command=sales&amp;parid=03637305","3924697")</f>
        <v>3924697</v>
      </c>
      <c r="H2774" t="s">
        <v>764</v>
      </c>
      <c r="I2774">
        <v>1976</v>
      </c>
      <c r="J2774">
        <v>1976</v>
      </c>
      <c r="K2774" t="s">
        <v>4897</v>
      </c>
      <c r="L2774" t="s">
        <v>4555</v>
      </c>
      <c r="M2774" s="2">
        <v>1026</v>
      </c>
      <c r="N2774" t="s">
        <v>4048</v>
      </c>
      <c r="O2774">
        <v>3</v>
      </c>
      <c r="P2774">
        <v>1</v>
      </c>
      <c r="Q2774">
        <v>0</v>
      </c>
      <c r="R2774" t="s">
        <v>4557</v>
      </c>
      <c r="S2774" t="s">
        <v>4898</v>
      </c>
      <c r="T2774" t="s">
        <v>4899</v>
      </c>
      <c r="U2774" t="s">
        <v>4655</v>
      </c>
      <c r="V2774" s="2">
        <v>0</v>
      </c>
      <c r="W2774" t="s">
        <v>4655</v>
      </c>
      <c r="X2774" s="2">
        <v>0</v>
      </c>
      <c r="Y2774">
        <v>21</v>
      </c>
      <c r="Z2774" t="s">
        <v>5196</v>
      </c>
      <c r="AA2774" s="3">
        <v>1.00000004749745E-3</v>
      </c>
      <c r="AB2774" t="s">
        <v>16429</v>
      </c>
      <c r="AC2774" t="s">
        <v>4575</v>
      </c>
      <c r="AD2774" t="s">
        <v>16430</v>
      </c>
      <c r="AE2774" t="s">
        <v>16431</v>
      </c>
      <c r="AF2774" t="s">
        <v>5201</v>
      </c>
      <c r="AG2774" t="s">
        <v>4564</v>
      </c>
      <c r="AH2774" t="s">
        <v>3898</v>
      </c>
      <c r="AI2774" t="s">
        <v>16432</v>
      </c>
      <c r="AJ2774" t="s">
        <v>4655</v>
      </c>
      <c r="AK2774" t="s">
        <v>16433</v>
      </c>
      <c r="AL2774" s="13" t="s">
        <v>3425</v>
      </c>
      <c r="AM2774">
        <v>1</v>
      </c>
      <c r="AN2774" s="15" t="s">
        <v>684</v>
      </c>
    </row>
    <row r="2775" spans="1:40" x14ac:dyDescent="0.3">
      <c r="A2775" s="10" t="str">
        <f>HYPERLINK("http://www.washoecounty.gov/assessor/cama/?parid=036-373-06&amp;CardNumber=1","036-373-06")</f>
        <v>036-373-06</v>
      </c>
      <c r="B2775" t="s">
        <v>4655</v>
      </c>
      <c r="C2775" t="s">
        <v>16428</v>
      </c>
      <c r="D2775" s="1">
        <v>40325</v>
      </c>
      <c r="E2775" s="2">
        <v>55900</v>
      </c>
      <c r="F2775" t="s">
        <v>4553</v>
      </c>
      <c r="G2775" s="17" t="str">
        <f>HYPERLINK("https://www.washoecounty.gov/assessor/cama/?command=sales&amp;parid=03637306","3885765")</f>
        <v>3885765</v>
      </c>
      <c r="H2775" t="s">
        <v>764</v>
      </c>
      <c r="I2775">
        <v>1976</v>
      </c>
      <c r="J2775">
        <v>1976</v>
      </c>
      <c r="K2775" t="s">
        <v>4897</v>
      </c>
      <c r="L2775" t="s">
        <v>4555</v>
      </c>
      <c r="M2775" s="2">
        <v>1026</v>
      </c>
      <c r="N2775" t="s">
        <v>4048</v>
      </c>
      <c r="O2775">
        <v>3</v>
      </c>
      <c r="P2775">
        <v>1</v>
      </c>
      <c r="Q2775">
        <v>0</v>
      </c>
      <c r="R2775" t="s">
        <v>4557</v>
      </c>
      <c r="S2775" t="s">
        <v>4898</v>
      </c>
      <c r="T2775" t="s">
        <v>4899</v>
      </c>
      <c r="U2775" t="s">
        <v>4655</v>
      </c>
      <c r="V2775" s="2">
        <v>0</v>
      </c>
      <c r="W2775" t="s">
        <v>4655</v>
      </c>
      <c r="X2775" s="2">
        <v>0</v>
      </c>
      <c r="Y2775">
        <v>21</v>
      </c>
      <c r="Z2775" t="s">
        <v>5196</v>
      </c>
      <c r="AA2775" s="3">
        <v>1.00000004749745E-3</v>
      </c>
      <c r="AB2775" t="s">
        <v>16434</v>
      </c>
      <c r="AC2775" t="s">
        <v>4562</v>
      </c>
      <c r="AD2775" t="s">
        <v>16435</v>
      </c>
      <c r="AE2775" t="s">
        <v>4655</v>
      </c>
      <c r="AF2775" t="s">
        <v>5201</v>
      </c>
      <c r="AG2775" t="s">
        <v>4564</v>
      </c>
      <c r="AH2775" t="s">
        <v>3898</v>
      </c>
      <c r="AI2775" t="s">
        <v>4903</v>
      </c>
      <c r="AJ2775" t="s">
        <v>4655</v>
      </c>
      <c r="AK2775" t="s">
        <v>16436</v>
      </c>
      <c r="AL2775" s="13" t="s">
        <v>3425</v>
      </c>
      <c r="AM2775">
        <v>1</v>
      </c>
      <c r="AN2775" s="15" t="s">
        <v>684</v>
      </c>
    </row>
    <row r="2776" spans="1:40" x14ac:dyDescent="0.3">
      <c r="A2776" s="10" t="str">
        <f>HYPERLINK("http://www.washoecounty.gov/assessor/cama/?parid=036-373-11&amp;CardNumber=1","036-373-11")</f>
        <v>036-373-11</v>
      </c>
      <c r="B2776" t="s">
        <v>4655</v>
      </c>
      <c r="C2776" t="s">
        <v>16437</v>
      </c>
      <c r="D2776" s="1">
        <v>40326</v>
      </c>
      <c r="E2776" s="2">
        <v>75000</v>
      </c>
      <c r="F2776" t="s">
        <v>4567</v>
      </c>
      <c r="G2776" s="17" t="str">
        <f>HYPERLINK("https://www.washoecounty.gov/assessor/cama/?command=sales&amp;parid=03637311","3886727")</f>
        <v>3886727</v>
      </c>
      <c r="H2776" t="s">
        <v>764</v>
      </c>
      <c r="I2776">
        <v>1976</v>
      </c>
      <c r="J2776">
        <v>1976</v>
      </c>
      <c r="K2776" t="s">
        <v>4897</v>
      </c>
      <c r="L2776" t="s">
        <v>4555</v>
      </c>
      <c r="M2776" s="2">
        <v>1026</v>
      </c>
      <c r="N2776" t="s">
        <v>4048</v>
      </c>
      <c r="O2776">
        <v>3</v>
      </c>
      <c r="P2776">
        <v>1</v>
      </c>
      <c r="Q2776">
        <v>0</v>
      </c>
      <c r="R2776" t="s">
        <v>4557</v>
      </c>
      <c r="S2776" t="s">
        <v>4898</v>
      </c>
      <c r="T2776" t="s">
        <v>4899</v>
      </c>
      <c r="U2776" t="s">
        <v>4655</v>
      </c>
      <c r="V2776" s="2">
        <v>0</v>
      </c>
      <c r="W2776" t="s">
        <v>4655</v>
      </c>
      <c r="X2776" s="2">
        <v>0</v>
      </c>
      <c r="Y2776">
        <v>21</v>
      </c>
      <c r="Z2776" t="s">
        <v>5196</v>
      </c>
      <c r="AA2776" s="3">
        <v>1.00000004749745E-3</v>
      </c>
      <c r="AB2776" t="s">
        <v>16438</v>
      </c>
      <c r="AC2776" t="s">
        <v>4562</v>
      </c>
      <c r="AD2776" t="s">
        <v>16439</v>
      </c>
      <c r="AE2776" t="s">
        <v>4655</v>
      </c>
      <c r="AF2776" t="s">
        <v>5201</v>
      </c>
      <c r="AG2776" t="s">
        <v>4564</v>
      </c>
      <c r="AH2776" t="s">
        <v>3898</v>
      </c>
      <c r="AI2776" t="s">
        <v>16440</v>
      </c>
      <c r="AJ2776" t="s">
        <v>4655</v>
      </c>
      <c r="AK2776" t="s">
        <v>16441</v>
      </c>
      <c r="AL2776" s="13" t="s">
        <v>3425</v>
      </c>
      <c r="AM2776" s="14">
        <v>1</v>
      </c>
      <c r="AN2776" s="15" t="s">
        <v>684</v>
      </c>
    </row>
    <row r="2777" spans="1:40" x14ac:dyDescent="0.3">
      <c r="A2777" s="10" t="str">
        <f>HYPERLINK("http://www.washoecounty.gov/assessor/cama/?parid=036-373-22&amp;CardNumber=1","036-373-22")</f>
        <v>036-373-22</v>
      </c>
      <c r="B2777" t="s">
        <v>4655</v>
      </c>
      <c r="C2777" t="s">
        <v>53</v>
      </c>
      <c r="D2777" s="1">
        <v>40357</v>
      </c>
      <c r="E2777" s="2">
        <v>47000</v>
      </c>
      <c r="F2777" t="s">
        <v>4567</v>
      </c>
      <c r="G2777" s="17" t="str">
        <f>HYPERLINK("https://www.washoecounty.gov/assessor/cama/?command=sales&amp;parid=03637322","3895981")</f>
        <v>3895981</v>
      </c>
      <c r="H2777" t="s">
        <v>16442</v>
      </c>
      <c r="I2777">
        <v>1976</v>
      </c>
      <c r="J2777">
        <v>1976</v>
      </c>
      <c r="K2777" t="s">
        <v>4897</v>
      </c>
      <c r="L2777" t="s">
        <v>4555</v>
      </c>
      <c r="M2777" s="2">
        <v>1026</v>
      </c>
      <c r="N2777" t="s">
        <v>4048</v>
      </c>
      <c r="O2777">
        <v>3</v>
      </c>
      <c r="P2777">
        <v>1</v>
      </c>
      <c r="Q2777">
        <v>0</v>
      </c>
      <c r="R2777" t="s">
        <v>4557</v>
      </c>
      <c r="S2777" t="s">
        <v>4898</v>
      </c>
      <c r="T2777" t="s">
        <v>4899</v>
      </c>
      <c r="U2777" t="s">
        <v>4655</v>
      </c>
      <c r="V2777" s="2">
        <v>0</v>
      </c>
      <c r="W2777" t="s">
        <v>4655</v>
      </c>
      <c r="X2777" s="2">
        <v>0</v>
      </c>
      <c r="Y2777">
        <v>21</v>
      </c>
      <c r="Z2777" t="s">
        <v>5196</v>
      </c>
      <c r="AA2777" s="3">
        <v>1.00000004749745E-3</v>
      </c>
      <c r="AB2777" t="s">
        <v>16443</v>
      </c>
      <c r="AC2777" t="s">
        <v>4562</v>
      </c>
      <c r="AD2777" t="s">
        <v>16444</v>
      </c>
      <c r="AE2777" t="s">
        <v>4655</v>
      </c>
      <c r="AF2777" t="s">
        <v>4809</v>
      </c>
      <c r="AG2777" t="s">
        <v>4564</v>
      </c>
      <c r="AH2777" t="s">
        <v>3898</v>
      </c>
      <c r="AI2777" t="s">
        <v>16445</v>
      </c>
      <c r="AJ2777" t="s">
        <v>4655</v>
      </c>
      <c r="AK2777" t="s">
        <v>16446</v>
      </c>
      <c r="AL2777" s="13" t="s">
        <v>3425</v>
      </c>
      <c r="AM2777">
        <v>1</v>
      </c>
      <c r="AN2777" s="15" t="s">
        <v>684</v>
      </c>
    </row>
    <row r="2778" spans="1:40" x14ac:dyDescent="0.3">
      <c r="A2778" s="10" t="str">
        <f>HYPERLINK("http://www.washoecounty.gov/assessor/cama/?parid=036-380-20&amp;CardNumber=1","036-380-20")</f>
        <v>036-380-20</v>
      </c>
      <c r="B2778" t="s">
        <v>4655</v>
      </c>
      <c r="C2778" t="s">
        <v>16447</v>
      </c>
      <c r="D2778" s="1">
        <v>40289</v>
      </c>
      <c r="E2778" s="2">
        <v>65000</v>
      </c>
      <c r="F2778" t="s">
        <v>4553</v>
      </c>
      <c r="G2778" s="17" t="str">
        <f>HYPERLINK("https://www.washoecounty.gov/assessor/cama/?command=sales&amp;parid=03638020","3873379")</f>
        <v>3873379</v>
      </c>
      <c r="H2778" t="s">
        <v>2846</v>
      </c>
      <c r="I2778">
        <v>1979</v>
      </c>
      <c r="J2778">
        <v>1979</v>
      </c>
      <c r="K2778" t="s">
        <v>3144</v>
      </c>
      <c r="L2778" t="s">
        <v>4555</v>
      </c>
      <c r="M2778" s="2">
        <v>952</v>
      </c>
      <c r="N2778" t="s">
        <v>4048</v>
      </c>
      <c r="O2778">
        <v>2</v>
      </c>
      <c r="P2778">
        <v>1</v>
      </c>
      <c r="Q2778">
        <v>0</v>
      </c>
      <c r="R2778" t="s">
        <v>4557</v>
      </c>
      <c r="S2778" t="s">
        <v>4558</v>
      </c>
      <c r="T2778" t="s">
        <v>2704</v>
      </c>
      <c r="U2778" t="s">
        <v>4560</v>
      </c>
      <c r="V2778" s="2">
        <v>288</v>
      </c>
      <c r="W2778" t="s">
        <v>4655</v>
      </c>
      <c r="X2778" s="2">
        <v>0</v>
      </c>
      <c r="Y2778">
        <v>21</v>
      </c>
      <c r="Z2778" t="s">
        <v>4908</v>
      </c>
      <c r="AA2778" s="3">
        <v>1.00000004749745E-3</v>
      </c>
      <c r="AB2778" t="s">
        <v>16448</v>
      </c>
      <c r="AC2778" t="s">
        <v>4575</v>
      </c>
      <c r="AD2778" t="s">
        <v>16449</v>
      </c>
      <c r="AE2778" t="s">
        <v>4655</v>
      </c>
      <c r="AF2778" t="s">
        <v>5201</v>
      </c>
      <c r="AG2778" t="s">
        <v>4564</v>
      </c>
      <c r="AH2778" t="s">
        <v>1605</v>
      </c>
      <c r="AI2778" t="s">
        <v>1602</v>
      </c>
      <c r="AJ2778" t="s">
        <v>4655</v>
      </c>
      <c r="AK2778" t="s">
        <v>16450</v>
      </c>
      <c r="AL2778" s="13" t="s">
        <v>3425</v>
      </c>
      <c r="AM2778">
        <v>1</v>
      </c>
      <c r="AN2778" s="15" t="s">
        <v>2454</v>
      </c>
    </row>
    <row r="2779" spans="1:40" x14ac:dyDescent="0.3">
      <c r="A2779" s="10" t="str">
        <f>HYPERLINK("http://www.washoecounty.gov/assessor/cama/?parid=036-380-38&amp;CardNumber=1","036-380-38")</f>
        <v>036-380-38</v>
      </c>
      <c r="B2779" t="s">
        <v>4655</v>
      </c>
      <c r="C2779" t="s">
        <v>16451</v>
      </c>
      <c r="D2779" s="1">
        <v>40381</v>
      </c>
      <c r="E2779" s="2">
        <v>73500</v>
      </c>
      <c r="F2779" t="s">
        <v>4567</v>
      </c>
      <c r="G2779" s="17" t="str">
        <f>HYPERLINK("https://www.washoecounty.gov/assessor/cama/?command=sales&amp;parid=03638038","3904070")</f>
        <v>3904070</v>
      </c>
      <c r="H2779" t="s">
        <v>2846</v>
      </c>
      <c r="I2779">
        <v>1979</v>
      </c>
      <c r="J2779">
        <v>1979</v>
      </c>
      <c r="K2779" t="s">
        <v>3144</v>
      </c>
      <c r="L2779" t="s">
        <v>3974</v>
      </c>
      <c r="M2779" s="2">
        <v>1380</v>
      </c>
      <c r="N2779" t="s">
        <v>4048</v>
      </c>
      <c r="O2779">
        <v>3</v>
      </c>
      <c r="P2779">
        <v>1</v>
      </c>
      <c r="Q2779">
        <v>1</v>
      </c>
      <c r="R2779" t="s">
        <v>5281</v>
      </c>
      <c r="S2779" t="s">
        <v>4558</v>
      </c>
      <c r="T2779" t="s">
        <v>2704</v>
      </c>
      <c r="U2779" t="s">
        <v>4655</v>
      </c>
      <c r="V2779" s="2">
        <v>0</v>
      </c>
      <c r="W2779" t="s">
        <v>4655</v>
      </c>
      <c r="X2779" s="2">
        <v>0</v>
      </c>
      <c r="Y2779">
        <v>21</v>
      </c>
      <c r="Z2779" t="s">
        <v>4908</v>
      </c>
      <c r="AA2779" s="3">
        <v>1.00000004749745E-3</v>
      </c>
      <c r="AB2779" t="s">
        <v>16452</v>
      </c>
      <c r="AC2779" t="s">
        <v>4562</v>
      </c>
      <c r="AD2779" t="s">
        <v>16453</v>
      </c>
      <c r="AE2779" t="s">
        <v>4655</v>
      </c>
      <c r="AF2779" t="s">
        <v>4563</v>
      </c>
      <c r="AG2779" t="s">
        <v>4564</v>
      </c>
      <c r="AH2779" t="s">
        <v>16454</v>
      </c>
      <c r="AI2779" t="s">
        <v>16455</v>
      </c>
      <c r="AJ2779" t="s">
        <v>4655</v>
      </c>
      <c r="AK2779" t="s">
        <v>16456</v>
      </c>
      <c r="AL2779" s="13" t="s">
        <v>3425</v>
      </c>
      <c r="AM2779" s="14">
        <v>1</v>
      </c>
      <c r="AN2779" s="15" t="s">
        <v>2454</v>
      </c>
    </row>
    <row r="2780" spans="1:40" x14ac:dyDescent="0.3">
      <c r="A2780" s="10" t="str">
        <f>HYPERLINK("http://www.washoecounty.gov/assessor/cama/?parid=036-380-51&amp;CardNumber=1","036-380-51")</f>
        <v>036-380-51</v>
      </c>
      <c r="B2780" t="s">
        <v>4655</v>
      </c>
      <c r="C2780" t="s">
        <v>16457</v>
      </c>
      <c r="D2780" s="1">
        <v>40295</v>
      </c>
      <c r="E2780" s="2">
        <v>83900</v>
      </c>
      <c r="F2780" t="s">
        <v>4553</v>
      </c>
      <c r="G2780" s="17" t="str">
        <f>HYPERLINK("https://www.washoecounty.gov/assessor/cama/?command=sales&amp;parid=03638051","3875239")</f>
        <v>3875239</v>
      </c>
      <c r="H2780" t="s">
        <v>2846</v>
      </c>
      <c r="I2780">
        <v>1979</v>
      </c>
      <c r="J2780">
        <v>1979</v>
      </c>
      <c r="K2780" t="s">
        <v>3144</v>
      </c>
      <c r="L2780" t="s">
        <v>3974</v>
      </c>
      <c r="M2780" s="2">
        <v>1380</v>
      </c>
      <c r="N2780" t="s">
        <v>4048</v>
      </c>
      <c r="O2780">
        <v>3</v>
      </c>
      <c r="P2780">
        <v>1</v>
      </c>
      <c r="Q2780">
        <v>1</v>
      </c>
      <c r="R2780" t="s">
        <v>4557</v>
      </c>
      <c r="S2780" t="s">
        <v>4558</v>
      </c>
      <c r="T2780" t="s">
        <v>2704</v>
      </c>
      <c r="U2780" t="s">
        <v>4655</v>
      </c>
      <c r="V2780" s="2">
        <v>0</v>
      </c>
      <c r="W2780" t="s">
        <v>4655</v>
      </c>
      <c r="X2780" s="2">
        <v>0</v>
      </c>
      <c r="Y2780">
        <v>21</v>
      </c>
      <c r="Z2780" t="s">
        <v>4908</v>
      </c>
      <c r="AA2780" s="3">
        <v>1.00000004749745E-3</v>
      </c>
      <c r="AB2780" t="s">
        <v>16458</v>
      </c>
      <c r="AC2780" t="s">
        <v>4575</v>
      </c>
      <c r="AD2780" t="s">
        <v>16459</v>
      </c>
      <c r="AE2780" t="s">
        <v>4655</v>
      </c>
      <c r="AF2780" t="s">
        <v>5201</v>
      </c>
      <c r="AG2780" t="s">
        <v>4564</v>
      </c>
      <c r="AH2780" t="s">
        <v>1605</v>
      </c>
      <c r="AI2780" t="s">
        <v>4565</v>
      </c>
      <c r="AJ2780" t="s">
        <v>4655</v>
      </c>
      <c r="AK2780" t="s">
        <v>16460</v>
      </c>
      <c r="AL2780" s="13" t="s">
        <v>3425</v>
      </c>
      <c r="AM2780" s="14">
        <v>1</v>
      </c>
      <c r="AN2780" s="15" t="s">
        <v>2454</v>
      </c>
    </row>
    <row r="2781" spans="1:40" x14ac:dyDescent="0.3">
      <c r="A2781" s="10" t="str">
        <f>HYPERLINK("http://www.washoecounty.gov/assessor/cama/?parid=036-380-55&amp;CardNumber=1","036-380-55")</f>
        <v>036-380-55</v>
      </c>
      <c r="B2781" t="s">
        <v>4655</v>
      </c>
      <c r="C2781" t="s">
        <v>16461</v>
      </c>
      <c r="D2781" s="1">
        <v>40303</v>
      </c>
      <c r="E2781" s="2">
        <v>65000</v>
      </c>
      <c r="F2781" t="s">
        <v>4567</v>
      </c>
      <c r="G2781" s="17" t="str">
        <f>HYPERLINK("https://www.washoecounty.gov/assessor/cama/?command=sales&amp;parid=03638055","3878227")</f>
        <v>3878227</v>
      </c>
      <c r="H2781" t="s">
        <v>2846</v>
      </c>
      <c r="I2781">
        <v>1979</v>
      </c>
      <c r="J2781">
        <v>1979</v>
      </c>
      <c r="K2781" t="s">
        <v>3144</v>
      </c>
      <c r="L2781" t="s">
        <v>4555</v>
      </c>
      <c r="M2781" s="2">
        <v>952</v>
      </c>
      <c r="N2781" t="s">
        <v>4048</v>
      </c>
      <c r="O2781">
        <v>2</v>
      </c>
      <c r="P2781">
        <v>1</v>
      </c>
      <c r="Q2781">
        <v>0</v>
      </c>
      <c r="R2781" t="s">
        <v>4557</v>
      </c>
      <c r="S2781" t="s">
        <v>4558</v>
      </c>
      <c r="T2781" t="s">
        <v>2704</v>
      </c>
      <c r="U2781" t="s">
        <v>4560</v>
      </c>
      <c r="V2781" s="2">
        <v>288</v>
      </c>
      <c r="W2781" t="s">
        <v>4655</v>
      </c>
      <c r="X2781" s="2">
        <v>0</v>
      </c>
      <c r="Y2781">
        <v>21</v>
      </c>
      <c r="Z2781" t="s">
        <v>4908</v>
      </c>
      <c r="AA2781" s="3">
        <v>1.00000004749745E-3</v>
      </c>
      <c r="AB2781" t="s">
        <v>16462</v>
      </c>
      <c r="AC2781" t="s">
        <v>4575</v>
      </c>
      <c r="AD2781" t="s">
        <v>16463</v>
      </c>
      <c r="AE2781" t="s">
        <v>4655</v>
      </c>
      <c r="AF2781" t="s">
        <v>4563</v>
      </c>
      <c r="AG2781" t="s">
        <v>4564</v>
      </c>
      <c r="AH2781">
        <v>89509</v>
      </c>
      <c r="AI2781" t="s">
        <v>16464</v>
      </c>
      <c r="AJ2781" t="s">
        <v>4655</v>
      </c>
      <c r="AK2781" t="s">
        <v>16465</v>
      </c>
      <c r="AL2781" s="13" t="s">
        <v>3425</v>
      </c>
      <c r="AM2781">
        <v>1</v>
      </c>
      <c r="AN2781" s="15" t="s">
        <v>2454</v>
      </c>
    </row>
    <row r="2782" spans="1:40" x14ac:dyDescent="0.3">
      <c r="A2782" s="10" t="str">
        <f>HYPERLINK("http://www.washoecounty.gov/assessor/cama/?parid=036-380-76&amp;CardNumber=1","036-380-76")</f>
        <v>036-380-76</v>
      </c>
      <c r="B2782" t="s">
        <v>4655</v>
      </c>
      <c r="C2782" t="s">
        <v>16466</v>
      </c>
      <c r="D2782" s="1">
        <v>40436</v>
      </c>
      <c r="E2782" s="2">
        <v>78000</v>
      </c>
      <c r="F2782" t="s">
        <v>4553</v>
      </c>
      <c r="G2782" s="17" t="str">
        <f>HYPERLINK("https://www.washoecounty.gov/assessor/cama/?command=sales&amp;parid=03638076","3922534")</f>
        <v>3922534</v>
      </c>
      <c r="H2782" t="s">
        <v>2846</v>
      </c>
      <c r="I2782">
        <v>1979</v>
      </c>
      <c r="J2782">
        <v>1979</v>
      </c>
      <c r="K2782" t="s">
        <v>3144</v>
      </c>
      <c r="L2782" t="s">
        <v>3974</v>
      </c>
      <c r="M2782" s="2">
        <v>1380</v>
      </c>
      <c r="N2782" t="s">
        <v>4048</v>
      </c>
      <c r="O2782">
        <v>3</v>
      </c>
      <c r="P2782">
        <v>1</v>
      </c>
      <c r="Q2782">
        <v>1</v>
      </c>
      <c r="R2782" t="s">
        <v>4557</v>
      </c>
      <c r="S2782" t="s">
        <v>4135</v>
      </c>
      <c r="T2782" t="s">
        <v>2704</v>
      </c>
      <c r="U2782" t="s">
        <v>4655</v>
      </c>
      <c r="V2782" s="2">
        <v>0</v>
      </c>
      <c r="W2782" t="s">
        <v>4655</v>
      </c>
      <c r="X2782" s="2">
        <v>0</v>
      </c>
      <c r="Y2782">
        <v>21</v>
      </c>
      <c r="Z2782" t="s">
        <v>4908</v>
      </c>
      <c r="AA2782" s="3">
        <v>1.00000004749745E-3</v>
      </c>
      <c r="AB2782" t="s">
        <v>16467</v>
      </c>
      <c r="AC2782" t="s">
        <v>4562</v>
      </c>
      <c r="AD2782" t="s">
        <v>16468</v>
      </c>
      <c r="AE2782" t="s">
        <v>4655</v>
      </c>
      <c r="AF2782" t="s">
        <v>5499</v>
      </c>
      <c r="AG2782" t="s">
        <v>4564</v>
      </c>
      <c r="AH2782" t="s">
        <v>3898</v>
      </c>
      <c r="AI2782" t="s">
        <v>4045</v>
      </c>
      <c r="AJ2782" t="s">
        <v>4655</v>
      </c>
      <c r="AK2782" t="s">
        <v>16469</v>
      </c>
      <c r="AL2782" s="13" t="s">
        <v>3425</v>
      </c>
      <c r="AM2782">
        <v>1</v>
      </c>
      <c r="AN2782" s="15" t="s">
        <v>2454</v>
      </c>
    </row>
    <row r="2783" spans="1:40" x14ac:dyDescent="0.3">
      <c r="A2783" s="10" t="str">
        <f>HYPERLINK("http://www.washoecounty.gov/assessor/cama/?parid=036-380-77&amp;CardNumber=1","036-380-77")</f>
        <v>036-380-77</v>
      </c>
      <c r="B2783" t="s">
        <v>4655</v>
      </c>
      <c r="C2783" t="s">
        <v>16470</v>
      </c>
      <c r="D2783" s="1">
        <v>40359</v>
      </c>
      <c r="E2783" s="2">
        <v>75000</v>
      </c>
      <c r="F2783" t="s">
        <v>4553</v>
      </c>
      <c r="G2783" s="17" t="str">
        <f>HYPERLINK("https://www.washoecounty.gov/assessor/cama/?command=sales&amp;parid=03638077","3896868")</f>
        <v>3896868</v>
      </c>
      <c r="H2783" t="s">
        <v>2846</v>
      </c>
      <c r="I2783">
        <v>1979</v>
      </c>
      <c r="J2783">
        <v>1979</v>
      </c>
      <c r="K2783" t="s">
        <v>3144</v>
      </c>
      <c r="L2783" t="s">
        <v>3974</v>
      </c>
      <c r="M2783" s="2">
        <v>1380</v>
      </c>
      <c r="N2783" t="s">
        <v>4048</v>
      </c>
      <c r="O2783">
        <v>3</v>
      </c>
      <c r="P2783">
        <v>1</v>
      </c>
      <c r="Q2783">
        <v>1</v>
      </c>
      <c r="R2783" t="s">
        <v>4557</v>
      </c>
      <c r="S2783" t="s">
        <v>4135</v>
      </c>
      <c r="T2783" t="s">
        <v>2704</v>
      </c>
      <c r="U2783" t="s">
        <v>4655</v>
      </c>
      <c r="V2783" s="2">
        <v>0</v>
      </c>
      <c r="W2783" t="s">
        <v>4655</v>
      </c>
      <c r="X2783" s="2">
        <v>0</v>
      </c>
      <c r="Y2783">
        <v>21</v>
      </c>
      <c r="Z2783" t="s">
        <v>4908</v>
      </c>
      <c r="AA2783" s="3">
        <v>1.00000004749745E-3</v>
      </c>
      <c r="AB2783" t="s">
        <v>16471</v>
      </c>
      <c r="AC2783" t="s">
        <v>4562</v>
      </c>
      <c r="AD2783" t="s">
        <v>16470</v>
      </c>
      <c r="AE2783" t="s">
        <v>4655</v>
      </c>
      <c r="AF2783" t="s">
        <v>5201</v>
      </c>
      <c r="AG2783" t="s">
        <v>4564</v>
      </c>
      <c r="AH2783" t="s">
        <v>5202</v>
      </c>
      <c r="AI2783" t="s">
        <v>4503</v>
      </c>
      <c r="AJ2783" t="s">
        <v>4655</v>
      </c>
      <c r="AK2783" t="s">
        <v>16472</v>
      </c>
      <c r="AL2783" s="13" t="s">
        <v>3425</v>
      </c>
      <c r="AM2783">
        <v>1</v>
      </c>
      <c r="AN2783" s="15" t="s">
        <v>2454</v>
      </c>
    </row>
    <row r="2784" spans="1:40" x14ac:dyDescent="0.3">
      <c r="A2784" s="10" t="str">
        <f>HYPERLINK("http://www.washoecounty.gov/assessor/cama/?parid=036-380-89&amp;CardNumber=1","036-380-89")</f>
        <v>036-380-89</v>
      </c>
      <c r="B2784" t="s">
        <v>4655</v>
      </c>
      <c r="C2784" t="s">
        <v>16473</v>
      </c>
      <c r="D2784" s="1">
        <v>40386</v>
      </c>
      <c r="E2784" s="2">
        <v>73352</v>
      </c>
      <c r="F2784" t="s">
        <v>4567</v>
      </c>
      <c r="G2784" s="17" t="str">
        <f>HYPERLINK("https://www.washoecounty.gov/assessor/cama/?command=sales&amp;parid=03638089","3905043")</f>
        <v>3905043</v>
      </c>
      <c r="H2784" t="s">
        <v>2846</v>
      </c>
      <c r="I2784">
        <v>1979</v>
      </c>
      <c r="J2784">
        <v>1979</v>
      </c>
      <c r="K2784" t="s">
        <v>3144</v>
      </c>
      <c r="L2784" t="s">
        <v>3974</v>
      </c>
      <c r="M2784" s="2">
        <v>1380</v>
      </c>
      <c r="N2784" t="s">
        <v>4048</v>
      </c>
      <c r="O2784">
        <v>2</v>
      </c>
      <c r="P2784">
        <v>1</v>
      </c>
      <c r="Q2784">
        <v>1</v>
      </c>
      <c r="R2784" t="s">
        <v>5281</v>
      </c>
      <c r="S2784" t="s">
        <v>4135</v>
      </c>
      <c r="T2784" t="s">
        <v>2704</v>
      </c>
      <c r="U2784" t="s">
        <v>4655</v>
      </c>
      <c r="V2784" s="2">
        <v>0</v>
      </c>
      <c r="W2784" t="s">
        <v>4655</v>
      </c>
      <c r="X2784" s="2">
        <v>0</v>
      </c>
      <c r="Y2784">
        <v>21</v>
      </c>
      <c r="Z2784" t="s">
        <v>4908</v>
      </c>
      <c r="AA2784" s="3">
        <v>1.00000004749745E-3</v>
      </c>
      <c r="AB2784" t="s">
        <v>16474</v>
      </c>
      <c r="AC2784" t="s">
        <v>4562</v>
      </c>
      <c r="AD2784" t="s">
        <v>16473</v>
      </c>
      <c r="AE2784" t="s">
        <v>4655</v>
      </c>
      <c r="AF2784" t="s">
        <v>5201</v>
      </c>
      <c r="AG2784" t="s">
        <v>4564</v>
      </c>
      <c r="AH2784" t="s">
        <v>3898</v>
      </c>
      <c r="AI2784" t="s">
        <v>4655</v>
      </c>
      <c r="AJ2784" t="s">
        <v>4655</v>
      </c>
      <c r="AK2784" t="s">
        <v>16475</v>
      </c>
      <c r="AL2784" s="13" t="s">
        <v>3425</v>
      </c>
      <c r="AM2784" s="14">
        <v>1</v>
      </c>
      <c r="AN2784" s="15" t="s">
        <v>2454</v>
      </c>
    </row>
    <row r="2785" spans="1:40" x14ac:dyDescent="0.3">
      <c r="A2785" s="10" t="str">
        <f>HYPERLINK("http://www.washoecounty.gov/assessor/cama/?parid=036-390-06&amp;CardNumber=1","036-390-06")</f>
        <v>036-390-06</v>
      </c>
      <c r="B2785" t="s">
        <v>4655</v>
      </c>
      <c r="C2785" t="s">
        <v>16476</v>
      </c>
      <c r="D2785" s="1">
        <v>40477</v>
      </c>
      <c r="E2785" s="2">
        <v>28750</v>
      </c>
      <c r="F2785" t="s">
        <v>4567</v>
      </c>
      <c r="G2785" s="17" t="str">
        <f>HYPERLINK("https://www.washoecounty.gov/assessor/cama/?command=sales&amp;parid=03639006","3936598")</f>
        <v>3936598</v>
      </c>
      <c r="H2785" t="s">
        <v>16477</v>
      </c>
      <c r="I2785">
        <v>1979</v>
      </c>
      <c r="J2785">
        <v>1979</v>
      </c>
      <c r="K2785" t="s">
        <v>3144</v>
      </c>
      <c r="L2785" t="s">
        <v>4555</v>
      </c>
      <c r="M2785" s="2">
        <v>672</v>
      </c>
      <c r="N2785" t="s">
        <v>4048</v>
      </c>
      <c r="O2785">
        <v>1</v>
      </c>
      <c r="P2785">
        <v>1</v>
      </c>
      <c r="Q2785">
        <v>0</v>
      </c>
      <c r="R2785" t="s">
        <v>5281</v>
      </c>
      <c r="S2785" t="s">
        <v>4558</v>
      </c>
      <c r="T2785" t="s">
        <v>4559</v>
      </c>
      <c r="U2785" t="s">
        <v>4655</v>
      </c>
      <c r="V2785" s="2">
        <v>0</v>
      </c>
      <c r="W2785" t="s">
        <v>4655</v>
      </c>
      <c r="X2785" s="2">
        <v>0</v>
      </c>
      <c r="Y2785">
        <v>21</v>
      </c>
      <c r="Z2785" t="s">
        <v>3691</v>
      </c>
      <c r="AA2785" s="3">
        <v>1.00000004749745E-3</v>
      </c>
      <c r="AB2785" t="s">
        <v>16478</v>
      </c>
      <c r="AC2785" t="s">
        <v>4575</v>
      </c>
      <c r="AD2785" t="s">
        <v>16476</v>
      </c>
      <c r="AE2785" t="s">
        <v>4655</v>
      </c>
      <c r="AF2785" t="s">
        <v>5201</v>
      </c>
      <c r="AG2785" t="s">
        <v>4564</v>
      </c>
      <c r="AH2785" t="s">
        <v>3898</v>
      </c>
      <c r="AI2785" t="s">
        <v>16479</v>
      </c>
      <c r="AJ2785" t="s">
        <v>4655</v>
      </c>
      <c r="AK2785" t="s">
        <v>16480</v>
      </c>
      <c r="AL2785" s="13" t="s">
        <v>3425</v>
      </c>
      <c r="AM2785">
        <v>1</v>
      </c>
      <c r="AN2785" s="15" t="s">
        <v>1690</v>
      </c>
    </row>
    <row r="2786" spans="1:40" x14ac:dyDescent="0.3">
      <c r="A2786" s="10" t="str">
        <f>HYPERLINK("http://www.washoecounty.gov/assessor/cama/?parid=036-390-20&amp;CardNumber=1","036-390-20")</f>
        <v>036-390-20</v>
      </c>
      <c r="B2786" t="s">
        <v>4655</v>
      </c>
      <c r="C2786" t="s">
        <v>16481</v>
      </c>
      <c r="D2786" s="1">
        <v>40457</v>
      </c>
      <c r="E2786" s="2">
        <v>56500</v>
      </c>
      <c r="F2786" t="s">
        <v>4567</v>
      </c>
      <c r="G2786" s="17" t="str">
        <f>HYPERLINK("https://www.washoecounty.gov/assessor/cama/?command=sales&amp;parid=03639020","3930030")</f>
        <v>3930030</v>
      </c>
      <c r="H2786" t="s">
        <v>4838</v>
      </c>
      <c r="I2786">
        <v>1979</v>
      </c>
      <c r="J2786">
        <v>1979</v>
      </c>
      <c r="K2786" t="s">
        <v>4897</v>
      </c>
      <c r="L2786" t="s">
        <v>3974</v>
      </c>
      <c r="M2786" s="2">
        <v>945</v>
      </c>
      <c r="N2786" t="s">
        <v>4048</v>
      </c>
      <c r="O2786">
        <v>2</v>
      </c>
      <c r="P2786">
        <v>2</v>
      </c>
      <c r="Q2786">
        <v>0</v>
      </c>
      <c r="R2786" t="s">
        <v>5281</v>
      </c>
      <c r="S2786" t="s">
        <v>4558</v>
      </c>
      <c r="T2786" t="s">
        <v>4559</v>
      </c>
      <c r="U2786" t="s">
        <v>4655</v>
      </c>
      <c r="V2786" s="2">
        <v>0</v>
      </c>
      <c r="W2786" t="s">
        <v>4655</v>
      </c>
      <c r="X2786" s="2">
        <v>0</v>
      </c>
      <c r="Y2786">
        <v>21</v>
      </c>
      <c r="Z2786" t="s">
        <v>3691</v>
      </c>
      <c r="AA2786" s="3">
        <v>1.00000004749745E-3</v>
      </c>
      <c r="AB2786" t="s">
        <v>16482</v>
      </c>
      <c r="AC2786" t="s">
        <v>4562</v>
      </c>
      <c r="AD2786" t="s">
        <v>16481</v>
      </c>
      <c r="AE2786" t="s">
        <v>4655</v>
      </c>
      <c r="AF2786" t="s">
        <v>5201</v>
      </c>
      <c r="AG2786" t="s">
        <v>4564</v>
      </c>
      <c r="AH2786" t="s">
        <v>3898</v>
      </c>
      <c r="AI2786" t="s">
        <v>16483</v>
      </c>
      <c r="AJ2786" t="s">
        <v>4655</v>
      </c>
      <c r="AK2786" t="s">
        <v>16484</v>
      </c>
      <c r="AL2786" s="13" t="s">
        <v>3425</v>
      </c>
      <c r="AM2786">
        <v>1</v>
      </c>
      <c r="AN2786" s="15" t="s">
        <v>1690</v>
      </c>
    </row>
    <row r="2787" spans="1:40" x14ac:dyDescent="0.3">
      <c r="A2787" s="10" t="str">
        <f>HYPERLINK("http://www.washoecounty.gov/assessor/cama/?parid=036-390-72&amp;CardNumber=1","036-390-72")</f>
        <v>036-390-72</v>
      </c>
      <c r="B2787" t="s">
        <v>4655</v>
      </c>
      <c r="C2787" t="s">
        <v>16485</v>
      </c>
      <c r="D2787" s="1">
        <v>40274</v>
      </c>
      <c r="E2787" s="2">
        <v>35000</v>
      </c>
      <c r="F2787" t="s">
        <v>4567</v>
      </c>
      <c r="G2787" s="17" t="str">
        <f>HYPERLINK("https://www.washoecounty.gov/assessor/cama/?command=sales&amp;parid=03639072","3868220")</f>
        <v>3868220</v>
      </c>
      <c r="H2787" t="s">
        <v>1689</v>
      </c>
      <c r="I2787">
        <v>1979</v>
      </c>
      <c r="J2787">
        <v>1979</v>
      </c>
      <c r="K2787" t="s">
        <v>3144</v>
      </c>
      <c r="L2787" t="s">
        <v>4555</v>
      </c>
      <c r="M2787" s="2">
        <v>672</v>
      </c>
      <c r="N2787" t="s">
        <v>4048</v>
      </c>
      <c r="O2787">
        <v>1</v>
      </c>
      <c r="P2787">
        <v>1</v>
      </c>
      <c r="Q2787">
        <v>0</v>
      </c>
      <c r="R2787" t="s">
        <v>5281</v>
      </c>
      <c r="S2787" t="s">
        <v>4558</v>
      </c>
      <c r="T2787" t="s">
        <v>4559</v>
      </c>
      <c r="U2787" t="s">
        <v>4655</v>
      </c>
      <c r="V2787" s="2">
        <v>0</v>
      </c>
      <c r="W2787" t="s">
        <v>4655</v>
      </c>
      <c r="X2787" s="2">
        <v>0</v>
      </c>
      <c r="Y2787">
        <v>21</v>
      </c>
      <c r="Z2787" t="s">
        <v>3691</v>
      </c>
      <c r="AA2787" s="3">
        <v>1.00000004749745E-3</v>
      </c>
      <c r="AB2787" t="s">
        <v>16486</v>
      </c>
      <c r="AC2787" t="s">
        <v>4562</v>
      </c>
      <c r="AD2787" t="s">
        <v>16487</v>
      </c>
      <c r="AE2787" t="s">
        <v>4655</v>
      </c>
      <c r="AF2787" t="s">
        <v>16488</v>
      </c>
      <c r="AG2787" t="s">
        <v>4584</v>
      </c>
      <c r="AH2787" t="s">
        <v>16489</v>
      </c>
      <c r="AI2787" t="s">
        <v>16490</v>
      </c>
      <c r="AJ2787" t="s">
        <v>4655</v>
      </c>
      <c r="AK2787" t="s">
        <v>16491</v>
      </c>
      <c r="AL2787" s="13" t="s">
        <v>3425</v>
      </c>
      <c r="AM2787" s="14">
        <v>1</v>
      </c>
      <c r="AN2787" s="15" t="s">
        <v>1690</v>
      </c>
    </row>
    <row r="2788" spans="1:40" x14ac:dyDescent="0.3">
      <c r="A2788" s="10" t="str">
        <f>HYPERLINK("http://www.washoecounty.gov/assessor/cama/?parid=036-390-82&amp;CardNumber=1","036-390-82")</f>
        <v>036-390-82</v>
      </c>
      <c r="B2788" t="s">
        <v>4655</v>
      </c>
      <c r="C2788" t="s">
        <v>16492</v>
      </c>
      <c r="D2788" s="1">
        <v>40473</v>
      </c>
      <c r="E2788" s="2">
        <v>35000</v>
      </c>
      <c r="F2788" t="s">
        <v>4567</v>
      </c>
      <c r="G2788" s="17" t="str">
        <f>HYPERLINK("https://www.washoecounty.gov/assessor/cama/?command=sales&amp;parid=03639082","3935827")</f>
        <v>3935827</v>
      </c>
      <c r="H2788" t="s">
        <v>4838</v>
      </c>
      <c r="I2788">
        <v>1979</v>
      </c>
      <c r="J2788">
        <v>1979</v>
      </c>
      <c r="K2788" t="s">
        <v>3144</v>
      </c>
      <c r="L2788" t="s">
        <v>4555</v>
      </c>
      <c r="M2788" s="2">
        <v>672</v>
      </c>
      <c r="N2788" t="s">
        <v>4048</v>
      </c>
      <c r="O2788">
        <v>1</v>
      </c>
      <c r="P2788">
        <v>1</v>
      </c>
      <c r="Q2788">
        <v>0</v>
      </c>
      <c r="R2788" t="s">
        <v>5281</v>
      </c>
      <c r="S2788" t="s">
        <v>4558</v>
      </c>
      <c r="T2788" t="s">
        <v>4559</v>
      </c>
      <c r="U2788" t="s">
        <v>4655</v>
      </c>
      <c r="V2788" s="2">
        <v>0</v>
      </c>
      <c r="W2788" t="s">
        <v>4655</v>
      </c>
      <c r="X2788" s="2">
        <v>0</v>
      </c>
      <c r="Y2788">
        <v>21</v>
      </c>
      <c r="Z2788" t="s">
        <v>3691</v>
      </c>
      <c r="AA2788" s="3">
        <v>1.00000004749745E-3</v>
      </c>
      <c r="AB2788" t="s">
        <v>16493</v>
      </c>
      <c r="AC2788" t="s">
        <v>4562</v>
      </c>
      <c r="AD2788" t="s">
        <v>16492</v>
      </c>
      <c r="AE2788" t="s">
        <v>4655</v>
      </c>
      <c r="AF2788" t="s">
        <v>5201</v>
      </c>
      <c r="AG2788" t="s">
        <v>4564</v>
      </c>
      <c r="AH2788" t="s">
        <v>3898</v>
      </c>
      <c r="AI2788" t="s">
        <v>16494</v>
      </c>
      <c r="AJ2788" t="s">
        <v>4655</v>
      </c>
      <c r="AK2788" t="s">
        <v>16495</v>
      </c>
      <c r="AL2788" s="13" t="s">
        <v>3425</v>
      </c>
      <c r="AM2788" s="14">
        <v>1</v>
      </c>
      <c r="AN2788" s="15" t="s">
        <v>1690</v>
      </c>
    </row>
    <row r="2789" spans="1:40" x14ac:dyDescent="0.3">
      <c r="A2789" s="10" t="str">
        <f>HYPERLINK("http://www.washoecounty.gov/assessor/cama/?parid=036-390-87&amp;CardNumber=1","036-390-87")</f>
        <v>036-390-87</v>
      </c>
      <c r="B2789" t="s">
        <v>4655</v>
      </c>
      <c r="C2789" t="s">
        <v>16496</v>
      </c>
      <c r="D2789" s="1">
        <v>40318</v>
      </c>
      <c r="E2789" s="2">
        <v>33000</v>
      </c>
      <c r="F2789" t="s">
        <v>4553</v>
      </c>
      <c r="G2789" s="17" t="str">
        <f>HYPERLINK("https://www.washoecounty.gov/assessor/cama/?command=sales&amp;parid=03639087","3883251")</f>
        <v>3883251</v>
      </c>
      <c r="H2789" t="s">
        <v>4838</v>
      </c>
      <c r="I2789">
        <v>1979</v>
      </c>
      <c r="J2789">
        <v>1979</v>
      </c>
      <c r="K2789" t="s">
        <v>4897</v>
      </c>
      <c r="L2789" t="s">
        <v>4555</v>
      </c>
      <c r="M2789" s="2">
        <v>672</v>
      </c>
      <c r="N2789" t="s">
        <v>4048</v>
      </c>
      <c r="O2789">
        <v>1</v>
      </c>
      <c r="P2789">
        <v>1</v>
      </c>
      <c r="Q2789">
        <v>0</v>
      </c>
      <c r="R2789" t="s">
        <v>5281</v>
      </c>
      <c r="S2789" t="s">
        <v>4558</v>
      </c>
      <c r="T2789" t="s">
        <v>4559</v>
      </c>
      <c r="U2789" t="s">
        <v>4655</v>
      </c>
      <c r="V2789" s="2">
        <v>0</v>
      </c>
      <c r="W2789" t="s">
        <v>4655</v>
      </c>
      <c r="X2789" s="2">
        <v>0</v>
      </c>
      <c r="Y2789">
        <v>21</v>
      </c>
      <c r="Z2789" t="s">
        <v>3691</v>
      </c>
      <c r="AA2789" s="3">
        <v>1.00000004749745E-3</v>
      </c>
      <c r="AB2789" t="s">
        <v>16409</v>
      </c>
      <c r="AC2789" t="s">
        <v>4562</v>
      </c>
      <c r="AD2789" t="s">
        <v>16410</v>
      </c>
      <c r="AE2789" t="s">
        <v>4655</v>
      </c>
      <c r="AF2789" t="s">
        <v>4563</v>
      </c>
      <c r="AG2789" t="s">
        <v>4564</v>
      </c>
      <c r="AH2789">
        <v>89508</v>
      </c>
      <c r="AI2789" t="s">
        <v>4655</v>
      </c>
      <c r="AJ2789" t="s">
        <v>4655</v>
      </c>
      <c r="AK2789" t="s">
        <v>16497</v>
      </c>
      <c r="AL2789" s="13" t="s">
        <v>3425</v>
      </c>
      <c r="AM2789">
        <v>1</v>
      </c>
      <c r="AN2789" s="15" t="s">
        <v>1690</v>
      </c>
    </row>
    <row r="2790" spans="1:40" x14ac:dyDescent="0.3">
      <c r="A2790" s="10" t="str">
        <f>HYPERLINK("http://www.washoecounty.gov/assessor/cama/?parid=036-390-90&amp;CardNumber=1","036-390-90")</f>
        <v>036-390-90</v>
      </c>
      <c r="B2790" t="s">
        <v>4655</v>
      </c>
      <c r="C2790" t="s">
        <v>16498</v>
      </c>
      <c r="D2790" s="1">
        <v>40385</v>
      </c>
      <c r="E2790" s="2">
        <v>27000</v>
      </c>
      <c r="F2790" t="s">
        <v>4553</v>
      </c>
      <c r="G2790" s="17" t="str">
        <f>HYPERLINK("https://www.washoecounty.gov/assessor/cama/?command=sales&amp;parid=03639090","3904622")</f>
        <v>3904622</v>
      </c>
      <c r="H2790" t="s">
        <v>4838</v>
      </c>
      <c r="I2790">
        <v>1979</v>
      </c>
      <c r="J2790">
        <v>1979</v>
      </c>
      <c r="K2790" t="s">
        <v>3144</v>
      </c>
      <c r="L2790" t="s">
        <v>4555</v>
      </c>
      <c r="M2790" s="2">
        <v>672</v>
      </c>
      <c r="N2790" t="s">
        <v>4048</v>
      </c>
      <c r="O2790">
        <v>1</v>
      </c>
      <c r="P2790">
        <v>1</v>
      </c>
      <c r="Q2790">
        <v>0</v>
      </c>
      <c r="R2790" t="s">
        <v>5281</v>
      </c>
      <c r="S2790" t="s">
        <v>4558</v>
      </c>
      <c r="T2790" t="s">
        <v>4559</v>
      </c>
      <c r="U2790" t="s">
        <v>4655</v>
      </c>
      <c r="V2790" s="2">
        <v>0</v>
      </c>
      <c r="W2790" t="s">
        <v>4655</v>
      </c>
      <c r="X2790" s="2">
        <v>0</v>
      </c>
      <c r="Y2790">
        <v>21</v>
      </c>
      <c r="Z2790" t="s">
        <v>3691</v>
      </c>
      <c r="AA2790" s="3">
        <v>1.00000004749745E-3</v>
      </c>
      <c r="AB2790" t="s">
        <v>16499</v>
      </c>
      <c r="AC2790" t="s">
        <v>4562</v>
      </c>
      <c r="AD2790" t="s">
        <v>16498</v>
      </c>
      <c r="AE2790" t="s">
        <v>4655</v>
      </c>
      <c r="AF2790" t="s">
        <v>5201</v>
      </c>
      <c r="AG2790" t="s">
        <v>4564</v>
      </c>
      <c r="AH2790" t="s">
        <v>3898</v>
      </c>
      <c r="AI2790" t="s">
        <v>4903</v>
      </c>
      <c r="AJ2790" t="s">
        <v>4655</v>
      </c>
      <c r="AK2790" t="s">
        <v>16500</v>
      </c>
      <c r="AL2790" s="13" t="s">
        <v>3425</v>
      </c>
      <c r="AM2790">
        <v>1</v>
      </c>
      <c r="AN2790" s="15" t="s">
        <v>1690</v>
      </c>
    </row>
    <row r="2791" spans="1:40" x14ac:dyDescent="0.3">
      <c r="A2791" s="10" t="str">
        <f>HYPERLINK("http://www.washoecounty.gov/assessor/cama/?parid=036-400-02&amp;CardNumber=1","036-400-02")</f>
        <v>036-400-02</v>
      </c>
      <c r="B2791" t="s">
        <v>4655</v>
      </c>
      <c r="C2791" t="s">
        <v>16501</v>
      </c>
      <c r="D2791" s="1">
        <v>40512</v>
      </c>
      <c r="E2791" s="2">
        <v>136000</v>
      </c>
      <c r="F2791" t="s">
        <v>4553</v>
      </c>
      <c r="G2791" s="17" t="str">
        <f>HYPERLINK("https://www.washoecounty.gov/assessor/cama/?command=sales&amp;parid=03640002","3947724")</f>
        <v>3947724</v>
      </c>
      <c r="H2791" t="s">
        <v>16502</v>
      </c>
      <c r="I2791">
        <v>1979</v>
      </c>
      <c r="J2791">
        <v>1979</v>
      </c>
      <c r="K2791" t="s">
        <v>4554</v>
      </c>
      <c r="L2791" t="s">
        <v>4555</v>
      </c>
      <c r="M2791" s="2">
        <v>1584</v>
      </c>
      <c r="N2791" t="s">
        <v>4048</v>
      </c>
      <c r="O2791">
        <v>3</v>
      </c>
      <c r="P2791">
        <v>2</v>
      </c>
      <c r="Q2791">
        <v>0</v>
      </c>
      <c r="R2791" t="s">
        <v>4557</v>
      </c>
      <c r="S2791" t="s">
        <v>4558</v>
      </c>
      <c r="T2791" t="s">
        <v>4559</v>
      </c>
      <c r="U2791" t="s">
        <v>4560</v>
      </c>
      <c r="V2791" s="2">
        <v>440</v>
      </c>
      <c r="W2791" t="s">
        <v>4655</v>
      </c>
      <c r="X2791" s="2">
        <v>0</v>
      </c>
      <c r="Y2791">
        <v>20</v>
      </c>
      <c r="Z2791" t="s">
        <v>5200</v>
      </c>
      <c r="AA2791" s="3">
        <v>0.14400826394558</v>
      </c>
      <c r="AB2791" t="s">
        <v>16503</v>
      </c>
      <c r="AC2791" t="s">
        <v>4575</v>
      </c>
      <c r="AD2791" t="s">
        <v>16501</v>
      </c>
      <c r="AE2791" t="s">
        <v>4655</v>
      </c>
      <c r="AF2791" t="s">
        <v>5201</v>
      </c>
      <c r="AG2791" t="s">
        <v>4564</v>
      </c>
      <c r="AH2791" t="s">
        <v>3898</v>
      </c>
      <c r="AI2791" t="s">
        <v>4903</v>
      </c>
      <c r="AJ2791" t="s">
        <v>4655</v>
      </c>
      <c r="AK2791" t="s">
        <v>16504</v>
      </c>
      <c r="AL2791" s="13" t="s">
        <v>3425</v>
      </c>
      <c r="AM2791">
        <v>1</v>
      </c>
      <c r="AN2791" s="15" t="s">
        <v>5531</v>
      </c>
    </row>
    <row r="2792" spans="1:40" x14ac:dyDescent="0.3">
      <c r="A2792" s="10" t="str">
        <f>HYPERLINK("http://www.washoecounty.gov/assessor/cama/?parid=036-411-05&amp;CardNumber=1","036-411-05")</f>
        <v>036-411-05</v>
      </c>
      <c r="B2792" t="s">
        <v>4655</v>
      </c>
      <c r="C2792" t="s">
        <v>16505</v>
      </c>
      <c r="D2792" s="1">
        <v>40211</v>
      </c>
      <c r="E2792" s="2">
        <v>117500</v>
      </c>
      <c r="F2792" t="s">
        <v>4567</v>
      </c>
      <c r="G2792" s="17" t="str">
        <f>HYPERLINK("https://www.washoecounty.gov/assessor/cama/?command=sales&amp;parid=03641105","3845411")</f>
        <v>3845411</v>
      </c>
      <c r="H2792" t="s">
        <v>16506</v>
      </c>
      <c r="I2792">
        <v>1980</v>
      </c>
      <c r="J2792">
        <v>1980</v>
      </c>
      <c r="K2792" t="s">
        <v>4897</v>
      </c>
      <c r="L2792" t="s">
        <v>4555</v>
      </c>
      <c r="M2792" s="2">
        <v>1206</v>
      </c>
      <c r="N2792" t="s">
        <v>4048</v>
      </c>
      <c r="O2792">
        <v>2</v>
      </c>
      <c r="P2792">
        <v>2</v>
      </c>
      <c r="Q2792">
        <v>0</v>
      </c>
      <c r="R2792" t="s">
        <v>4557</v>
      </c>
      <c r="S2792" t="s">
        <v>4558</v>
      </c>
      <c r="T2792" t="s">
        <v>4559</v>
      </c>
      <c r="U2792" t="s">
        <v>4560</v>
      </c>
      <c r="V2792" s="2">
        <v>441</v>
      </c>
      <c r="W2792" t="s">
        <v>4655</v>
      </c>
      <c r="X2792" s="2">
        <v>0</v>
      </c>
      <c r="Y2792">
        <v>20</v>
      </c>
      <c r="Z2792" t="s">
        <v>5200</v>
      </c>
      <c r="AA2792" s="3">
        <v>0.123002752661705</v>
      </c>
      <c r="AB2792" t="s">
        <v>16507</v>
      </c>
      <c r="AC2792" t="s">
        <v>4562</v>
      </c>
      <c r="AD2792" t="s">
        <v>16505</v>
      </c>
      <c r="AE2792" t="s">
        <v>4655</v>
      </c>
      <c r="AF2792" t="s">
        <v>5201</v>
      </c>
      <c r="AG2792" t="s">
        <v>4564</v>
      </c>
      <c r="AH2792" t="s">
        <v>3898</v>
      </c>
      <c r="AI2792" t="s">
        <v>16508</v>
      </c>
      <c r="AJ2792" t="s">
        <v>4655</v>
      </c>
      <c r="AK2792" t="s">
        <v>16509</v>
      </c>
      <c r="AL2792" s="13" t="s">
        <v>3425</v>
      </c>
      <c r="AM2792" s="14">
        <v>1</v>
      </c>
      <c r="AN2792" s="15" t="s">
        <v>1219</v>
      </c>
    </row>
    <row r="2793" spans="1:40" x14ac:dyDescent="0.3">
      <c r="A2793" s="10" t="str">
        <f>HYPERLINK("http://www.washoecounty.gov/assessor/cama/?parid=036-412-03&amp;CardNumber=1","036-412-03")</f>
        <v>036-412-03</v>
      </c>
      <c r="B2793" t="s">
        <v>4655</v>
      </c>
      <c r="C2793" t="s">
        <v>16510</v>
      </c>
      <c r="D2793" s="1">
        <v>40359</v>
      </c>
      <c r="E2793" s="2">
        <v>155000</v>
      </c>
      <c r="F2793" t="s">
        <v>4567</v>
      </c>
      <c r="G2793" s="17" t="str">
        <f>HYPERLINK("https://www.washoecounty.gov/assessor/cama/?command=sales&amp;parid=03641203","3896579")</f>
        <v>3896579</v>
      </c>
      <c r="H2793" t="s">
        <v>54</v>
      </c>
      <c r="I2793">
        <v>1980</v>
      </c>
      <c r="J2793">
        <v>1980</v>
      </c>
      <c r="K2793" t="s">
        <v>4554</v>
      </c>
      <c r="L2793" t="s">
        <v>4555</v>
      </c>
      <c r="M2793" s="2">
        <v>1397</v>
      </c>
      <c r="N2793" t="s">
        <v>4048</v>
      </c>
      <c r="O2793">
        <v>3</v>
      </c>
      <c r="P2793">
        <v>2</v>
      </c>
      <c r="Q2793">
        <v>0</v>
      </c>
      <c r="R2793" t="s">
        <v>5281</v>
      </c>
      <c r="S2793" t="s">
        <v>4135</v>
      </c>
      <c r="T2793" t="s">
        <v>4559</v>
      </c>
      <c r="U2793" t="s">
        <v>4560</v>
      </c>
      <c r="V2793" s="2">
        <v>465</v>
      </c>
      <c r="W2793" t="s">
        <v>4655</v>
      </c>
      <c r="X2793" s="2">
        <v>0</v>
      </c>
      <c r="Y2793">
        <v>20</v>
      </c>
      <c r="Z2793" t="s">
        <v>5200</v>
      </c>
      <c r="AA2793" s="3">
        <v>0.16900826990604401</v>
      </c>
      <c r="AB2793" t="s">
        <v>16511</v>
      </c>
      <c r="AC2793" t="s">
        <v>4575</v>
      </c>
      <c r="AD2793" t="s">
        <v>16512</v>
      </c>
      <c r="AE2793" t="s">
        <v>16510</v>
      </c>
      <c r="AF2793" t="s">
        <v>5201</v>
      </c>
      <c r="AG2793" t="s">
        <v>4564</v>
      </c>
      <c r="AH2793" t="s">
        <v>3898</v>
      </c>
      <c r="AI2793" t="s">
        <v>16513</v>
      </c>
      <c r="AJ2793" t="s">
        <v>4655</v>
      </c>
      <c r="AK2793" t="s">
        <v>16514</v>
      </c>
      <c r="AL2793" s="13" t="s">
        <v>3425</v>
      </c>
      <c r="AM2793" s="14">
        <v>1</v>
      </c>
      <c r="AN2793" s="15" t="s">
        <v>3885</v>
      </c>
    </row>
    <row r="2794" spans="1:40" x14ac:dyDescent="0.3">
      <c r="A2794" s="10" t="str">
        <f>HYPERLINK("http://www.washoecounty.gov/assessor/cama/?parid=036-412-15&amp;CardNumber=1","036-412-15")</f>
        <v>036-412-15</v>
      </c>
      <c r="B2794" t="s">
        <v>4655</v>
      </c>
      <c r="C2794" t="s">
        <v>16515</v>
      </c>
      <c r="D2794" s="1">
        <v>40435</v>
      </c>
      <c r="E2794" s="2">
        <v>140000</v>
      </c>
      <c r="F2794" t="s">
        <v>4567</v>
      </c>
      <c r="G2794" s="17" t="str">
        <f>HYPERLINK("https://www.washoecounty.gov/assessor/cama/?command=sales&amp;parid=03641215","3922167")</f>
        <v>3922167</v>
      </c>
      <c r="H2794" t="s">
        <v>2150</v>
      </c>
      <c r="I2794">
        <v>1980</v>
      </c>
      <c r="J2794">
        <v>1980</v>
      </c>
      <c r="K2794" t="s">
        <v>4554</v>
      </c>
      <c r="L2794" t="s">
        <v>4555</v>
      </c>
      <c r="M2794" s="2">
        <v>1642</v>
      </c>
      <c r="N2794" t="s">
        <v>4048</v>
      </c>
      <c r="O2794">
        <v>3</v>
      </c>
      <c r="P2794">
        <v>2</v>
      </c>
      <c r="Q2794">
        <v>0</v>
      </c>
      <c r="R2794" t="s">
        <v>4557</v>
      </c>
      <c r="S2794" t="s">
        <v>4135</v>
      </c>
      <c r="T2794" t="s">
        <v>4559</v>
      </c>
      <c r="U2794" t="s">
        <v>4560</v>
      </c>
      <c r="V2794" s="2">
        <v>472</v>
      </c>
      <c r="W2794" t="s">
        <v>4655</v>
      </c>
      <c r="X2794" s="2">
        <v>0</v>
      </c>
      <c r="Y2794">
        <v>20</v>
      </c>
      <c r="Z2794" t="s">
        <v>5200</v>
      </c>
      <c r="AA2794" s="3">
        <v>0.18700642883777599</v>
      </c>
      <c r="AB2794" t="s">
        <v>16516</v>
      </c>
      <c r="AC2794" t="s">
        <v>4575</v>
      </c>
      <c r="AD2794" t="s">
        <v>16515</v>
      </c>
      <c r="AE2794" t="s">
        <v>4655</v>
      </c>
      <c r="AF2794" t="s">
        <v>5201</v>
      </c>
      <c r="AG2794" t="s">
        <v>4564</v>
      </c>
      <c r="AH2794" t="s">
        <v>3898</v>
      </c>
      <c r="AI2794" t="s">
        <v>16517</v>
      </c>
      <c r="AJ2794" t="s">
        <v>4655</v>
      </c>
      <c r="AK2794" t="s">
        <v>16518</v>
      </c>
      <c r="AL2794" s="13" t="s">
        <v>3425</v>
      </c>
      <c r="AM2794" s="14">
        <v>1</v>
      </c>
      <c r="AN2794" s="15" t="s">
        <v>3885</v>
      </c>
    </row>
    <row r="2795" spans="1:40" x14ac:dyDescent="0.3">
      <c r="A2795" s="10" t="str">
        <f>HYPERLINK("http://www.washoecounty.gov/assessor/cama/?parid=036-423-15&amp;CardNumber=1","036-423-15")</f>
        <v>036-423-15</v>
      </c>
      <c r="B2795" t="s">
        <v>4655</v>
      </c>
      <c r="C2795" t="s">
        <v>16519</v>
      </c>
      <c r="D2795" s="1">
        <v>40389</v>
      </c>
      <c r="E2795" s="2">
        <v>113500</v>
      </c>
      <c r="F2795" t="s">
        <v>4567</v>
      </c>
      <c r="G2795" s="17" t="str">
        <f>HYPERLINK("https://www.washoecounty.gov/assessor/cama/?command=sales&amp;parid=03642315","3907234")</f>
        <v>3907234</v>
      </c>
      <c r="H2795" t="s">
        <v>2150</v>
      </c>
      <c r="I2795">
        <v>1980</v>
      </c>
      <c r="J2795">
        <v>1980</v>
      </c>
      <c r="K2795" t="s">
        <v>4897</v>
      </c>
      <c r="L2795" t="s">
        <v>3974</v>
      </c>
      <c r="M2795" s="2">
        <v>1454</v>
      </c>
      <c r="N2795" t="s">
        <v>4048</v>
      </c>
      <c r="O2795">
        <v>3</v>
      </c>
      <c r="P2795">
        <v>2</v>
      </c>
      <c r="Q2795">
        <v>1</v>
      </c>
      <c r="R2795" t="s">
        <v>4557</v>
      </c>
      <c r="S2795" t="s">
        <v>4558</v>
      </c>
      <c r="T2795" t="s">
        <v>4559</v>
      </c>
      <c r="U2795" t="s">
        <v>4560</v>
      </c>
      <c r="V2795" s="2">
        <v>448</v>
      </c>
      <c r="W2795" t="s">
        <v>4655</v>
      </c>
      <c r="X2795" s="2">
        <v>0</v>
      </c>
      <c r="Y2795">
        <v>20</v>
      </c>
      <c r="Z2795" t="s">
        <v>5200</v>
      </c>
      <c r="AA2795" s="3">
        <v>0.19400826096534701</v>
      </c>
      <c r="AB2795" t="s">
        <v>16520</v>
      </c>
      <c r="AC2795" t="s">
        <v>4562</v>
      </c>
      <c r="AD2795" t="s">
        <v>16519</v>
      </c>
      <c r="AE2795" t="s">
        <v>4655</v>
      </c>
      <c r="AF2795" t="s">
        <v>5201</v>
      </c>
      <c r="AG2795" t="s">
        <v>4564</v>
      </c>
      <c r="AH2795" t="s">
        <v>5202</v>
      </c>
      <c r="AI2795" t="s">
        <v>2151</v>
      </c>
      <c r="AJ2795" t="s">
        <v>4655</v>
      </c>
      <c r="AK2795" t="s">
        <v>16521</v>
      </c>
      <c r="AL2795" s="13" t="s">
        <v>3425</v>
      </c>
      <c r="AM2795">
        <v>1</v>
      </c>
      <c r="AN2795" s="15" t="s">
        <v>1219</v>
      </c>
    </row>
    <row r="2796" spans="1:40" x14ac:dyDescent="0.3">
      <c r="A2796" s="10" t="str">
        <f>HYPERLINK("http://www.washoecounty.gov/assessor/cama/?parid=036-431-20&amp;CardNumber=1","036-431-20")</f>
        <v>036-431-20</v>
      </c>
      <c r="B2796" t="s">
        <v>4655</v>
      </c>
      <c r="C2796" t="s">
        <v>16522</v>
      </c>
      <c r="D2796" s="1">
        <v>40417</v>
      </c>
      <c r="E2796" s="2">
        <v>150000</v>
      </c>
      <c r="F2796" t="s">
        <v>4567</v>
      </c>
      <c r="G2796" s="17" t="str">
        <f>HYPERLINK("https://www.washoecounty.gov/assessor/cama/?command=sales&amp;parid=03643120","3916586")</f>
        <v>3916586</v>
      </c>
      <c r="H2796" t="s">
        <v>3786</v>
      </c>
      <c r="I2796">
        <v>1982</v>
      </c>
      <c r="J2796">
        <v>1982</v>
      </c>
      <c r="K2796" t="s">
        <v>4554</v>
      </c>
      <c r="L2796" t="s">
        <v>2170</v>
      </c>
      <c r="M2796" s="2">
        <v>2128</v>
      </c>
      <c r="N2796" t="s">
        <v>4048</v>
      </c>
      <c r="O2796">
        <v>3</v>
      </c>
      <c r="P2796">
        <v>2</v>
      </c>
      <c r="Q2796">
        <v>0</v>
      </c>
      <c r="R2796" t="s">
        <v>4557</v>
      </c>
      <c r="S2796" t="s">
        <v>4558</v>
      </c>
      <c r="T2796" t="s">
        <v>4559</v>
      </c>
      <c r="U2796" t="s">
        <v>4560</v>
      </c>
      <c r="V2796" s="2">
        <v>462</v>
      </c>
      <c r="W2796" t="s">
        <v>4655</v>
      </c>
      <c r="X2796" s="2">
        <v>0</v>
      </c>
      <c r="Y2796">
        <v>20</v>
      </c>
      <c r="Z2796" t="s">
        <v>5200</v>
      </c>
      <c r="AA2796" s="3">
        <v>0.16299356520175901</v>
      </c>
      <c r="AB2796" t="s">
        <v>16523</v>
      </c>
      <c r="AC2796" t="s">
        <v>4562</v>
      </c>
      <c r="AD2796" t="s">
        <v>16522</v>
      </c>
      <c r="AE2796" t="s">
        <v>4655</v>
      </c>
      <c r="AF2796" t="s">
        <v>5201</v>
      </c>
      <c r="AG2796" t="s">
        <v>4564</v>
      </c>
      <c r="AH2796" t="s">
        <v>3898</v>
      </c>
      <c r="AI2796" t="s">
        <v>4655</v>
      </c>
      <c r="AJ2796" t="s">
        <v>4655</v>
      </c>
      <c r="AK2796" t="s">
        <v>16524</v>
      </c>
      <c r="AL2796" s="13" t="s">
        <v>3425</v>
      </c>
      <c r="AM2796">
        <v>1</v>
      </c>
      <c r="AN2796" s="15" t="s">
        <v>3885</v>
      </c>
    </row>
    <row r="2797" spans="1:40" x14ac:dyDescent="0.3">
      <c r="A2797" s="10" t="str">
        <f>HYPERLINK("http://www.washoecounty.gov/assessor/cama/?parid=036-450-17&amp;CardNumber=1","036-450-17")</f>
        <v>036-450-17</v>
      </c>
      <c r="B2797" t="s">
        <v>4655</v>
      </c>
      <c r="C2797" t="s">
        <v>16525</v>
      </c>
      <c r="D2797" s="1">
        <v>40483</v>
      </c>
      <c r="E2797" s="2">
        <v>143900</v>
      </c>
      <c r="F2797" t="s">
        <v>4553</v>
      </c>
      <c r="G2797" s="17" t="str">
        <f>HYPERLINK("https://www.washoecounty.gov/assessor/cama/?command=sales&amp;parid=03645017","3938297")</f>
        <v>3938297</v>
      </c>
      <c r="H2797" t="s">
        <v>16526</v>
      </c>
      <c r="I2797">
        <v>1981</v>
      </c>
      <c r="J2797">
        <v>1981</v>
      </c>
      <c r="K2797" t="s">
        <v>4554</v>
      </c>
      <c r="L2797" t="s">
        <v>4555</v>
      </c>
      <c r="M2797" s="2">
        <v>1642</v>
      </c>
      <c r="N2797" t="s">
        <v>4048</v>
      </c>
      <c r="O2797">
        <v>3</v>
      </c>
      <c r="P2797">
        <v>2</v>
      </c>
      <c r="Q2797">
        <v>0</v>
      </c>
      <c r="R2797" t="s">
        <v>4557</v>
      </c>
      <c r="S2797" t="s">
        <v>4135</v>
      </c>
      <c r="T2797" t="s">
        <v>4559</v>
      </c>
      <c r="U2797" t="s">
        <v>4560</v>
      </c>
      <c r="V2797" s="2">
        <v>472</v>
      </c>
      <c r="W2797" t="s">
        <v>4655</v>
      </c>
      <c r="X2797" s="2">
        <v>0</v>
      </c>
      <c r="Y2797">
        <v>20</v>
      </c>
      <c r="Z2797" t="s">
        <v>5200</v>
      </c>
      <c r="AA2797" s="3">
        <v>0.28399908542633101</v>
      </c>
      <c r="AB2797" t="s">
        <v>16527</v>
      </c>
      <c r="AC2797" t="s">
        <v>4562</v>
      </c>
      <c r="AD2797" t="s">
        <v>16525</v>
      </c>
      <c r="AE2797" t="s">
        <v>4655</v>
      </c>
      <c r="AF2797" t="s">
        <v>4809</v>
      </c>
      <c r="AG2797" t="s">
        <v>4564</v>
      </c>
      <c r="AH2797" t="s">
        <v>3898</v>
      </c>
      <c r="AI2797" t="s">
        <v>4903</v>
      </c>
      <c r="AJ2797" t="s">
        <v>4655</v>
      </c>
      <c r="AK2797" t="s">
        <v>16528</v>
      </c>
      <c r="AL2797" s="13" t="s">
        <v>3425</v>
      </c>
      <c r="AM2797" s="14">
        <v>1</v>
      </c>
      <c r="AN2797" s="15" t="s">
        <v>3885</v>
      </c>
    </row>
    <row r="2798" spans="1:40" x14ac:dyDescent="0.3">
      <c r="A2798" s="10" t="str">
        <f>HYPERLINK("http://www.washoecounty.gov/assessor/cama/?parid=036-471-03&amp;CardNumber=1","036-471-03")</f>
        <v>036-471-03</v>
      </c>
      <c r="B2798" t="s">
        <v>4655</v>
      </c>
      <c r="C2798" t="s">
        <v>16529</v>
      </c>
      <c r="D2798" s="1">
        <v>40336</v>
      </c>
      <c r="E2798" s="2">
        <v>150000</v>
      </c>
      <c r="F2798" t="s">
        <v>4567</v>
      </c>
      <c r="G2798" s="17" t="str">
        <f>HYPERLINK("https://www.washoecounty.gov/assessor/cama/?command=sales&amp;parid=03647103","3888880")</f>
        <v>3888880</v>
      </c>
      <c r="H2798" t="s">
        <v>4127</v>
      </c>
      <c r="I2798">
        <v>1984</v>
      </c>
      <c r="J2798">
        <v>1984</v>
      </c>
      <c r="K2798" t="s">
        <v>4554</v>
      </c>
      <c r="L2798" t="s">
        <v>3974</v>
      </c>
      <c r="M2798" s="2">
        <v>1508</v>
      </c>
      <c r="N2798" t="s">
        <v>4048</v>
      </c>
      <c r="O2798">
        <v>3</v>
      </c>
      <c r="P2798">
        <v>2</v>
      </c>
      <c r="Q2798">
        <v>1</v>
      </c>
      <c r="R2798" t="s">
        <v>4557</v>
      </c>
      <c r="S2798" t="s">
        <v>4135</v>
      </c>
      <c r="T2798" t="s">
        <v>4559</v>
      </c>
      <c r="U2798" t="s">
        <v>4560</v>
      </c>
      <c r="V2798" s="2">
        <v>484</v>
      </c>
      <c r="W2798" t="s">
        <v>4655</v>
      </c>
      <c r="X2798" s="2">
        <v>0</v>
      </c>
      <c r="Y2798">
        <v>20</v>
      </c>
      <c r="Z2798" t="s">
        <v>5200</v>
      </c>
      <c r="AA2798" s="3">
        <v>0.103994488716125</v>
      </c>
      <c r="AB2798" t="s">
        <v>16530</v>
      </c>
      <c r="AC2798" t="s">
        <v>4562</v>
      </c>
      <c r="AD2798" t="s">
        <v>16531</v>
      </c>
      <c r="AE2798" t="s">
        <v>4655</v>
      </c>
      <c r="AF2798" t="s">
        <v>5201</v>
      </c>
      <c r="AG2798" t="s">
        <v>4564</v>
      </c>
      <c r="AH2798" t="s">
        <v>3898</v>
      </c>
      <c r="AI2798" t="s">
        <v>16532</v>
      </c>
      <c r="AJ2798" t="s">
        <v>4655</v>
      </c>
      <c r="AK2798" t="s">
        <v>16533</v>
      </c>
      <c r="AL2798" s="13" t="s">
        <v>1886</v>
      </c>
      <c r="AM2798">
        <v>1</v>
      </c>
      <c r="AN2798" s="15" t="s">
        <v>3885</v>
      </c>
    </row>
    <row r="2799" spans="1:40" x14ac:dyDescent="0.3">
      <c r="A2799" s="10" t="str">
        <f>HYPERLINK("http://www.washoecounty.gov/assessor/cama/?parid=036-472-06&amp;CardNumber=1","036-472-06")</f>
        <v>036-472-06</v>
      </c>
      <c r="B2799" t="s">
        <v>4655</v>
      </c>
      <c r="C2799" t="s">
        <v>16534</v>
      </c>
      <c r="D2799" s="1">
        <v>40529</v>
      </c>
      <c r="E2799" s="2">
        <v>120000</v>
      </c>
      <c r="F2799" t="s">
        <v>4553</v>
      </c>
      <c r="G2799" s="17" t="str">
        <f>HYPERLINK("https://www.washoecounty.gov/assessor/cama/?command=sales&amp;parid=03647206","3954945")</f>
        <v>3954945</v>
      </c>
      <c r="H2799" t="s">
        <v>4127</v>
      </c>
      <c r="I2799">
        <v>1984</v>
      </c>
      <c r="J2799">
        <v>1984</v>
      </c>
      <c r="K2799" t="s">
        <v>4554</v>
      </c>
      <c r="L2799" t="s">
        <v>3974</v>
      </c>
      <c r="M2799" s="2">
        <v>1508</v>
      </c>
      <c r="N2799" t="s">
        <v>4048</v>
      </c>
      <c r="O2799">
        <v>3</v>
      </c>
      <c r="P2799">
        <v>2</v>
      </c>
      <c r="Q2799">
        <v>1</v>
      </c>
      <c r="R2799" t="s">
        <v>4557</v>
      </c>
      <c r="S2799" t="s">
        <v>4558</v>
      </c>
      <c r="T2799" t="s">
        <v>4559</v>
      </c>
      <c r="U2799" t="s">
        <v>4560</v>
      </c>
      <c r="V2799" s="2">
        <v>484</v>
      </c>
      <c r="W2799" t="s">
        <v>4655</v>
      </c>
      <c r="X2799" s="2">
        <v>0</v>
      </c>
      <c r="Y2799">
        <v>20</v>
      </c>
      <c r="Z2799" t="s">
        <v>5200</v>
      </c>
      <c r="AA2799" s="3">
        <v>0.107001833617687</v>
      </c>
      <c r="AB2799" t="s">
        <v>16535</v>
      </c>
      <c r="AC2799" t="s">
        <v>4562</v>
      </c>
      <c r="AD2799" t="s">
        <v>16534</v>
      </c>
      <c r="AE2799" t="s">
        <v>4655</v>
      </c>
      <c r="AF2799" t="s">
        <v>5201</v>
      </c>
      <c r="AG2799" t="s">
        <v>4564</v>
      </c>
      <c r="AH2799" t="s">
        <v>3898</v>
      </c>
      <c r="AI2799" t="s">
        <v>4655</v>
      </c>
      <c r="AJ2799" t="s">
        <v>4655</v>
      </c>
      <c r="AK2799" t="s">
        <v>16536</v>
      </c>
      <c r="AL2799" s="13" t="s">
        <v>1886</v>
      </c>
      <c r="AM2799" s="14">
        <v>1</v>
      </c>
      <c r="AN2799" s="15" t="s">
        <v>3885</v>
      </c>
    </row>
    <row r="2800" spans="1:40" x14ac:dyDescent="0.3">
      <c r="A2800" s="10" t="str">
        <f>HYPERLINK("http://www.washoecounty.gov/assessor/cama/?parid=036-475-01&amp;CardNumber=1","036-475-01")</f>
        <v>036-475-01</v>
      </c>
      <c r="B2800" t="s">
        <v>4655</v>
      </c>
      <c r="C2800" t="s">
        <v>16537</v>
      </c>
      <c r="D2800" s="1">
        <v>40182</v>
      </c>
      <c r="E2800" s="2">
        <v>179500</v>
      </c>
      <c r="F2800" t="s">
        <v>4567</v>
      </c>
      <c r="G2800" s="17" t="str">
        <f>HYPERLINK("https://www.washoecounty.gov/assessor/cama/?command=sales&amp;parid=03647501","3836165")</f>
        <v>3836165</v>
      </c>
      <c r="H2800" t="s">
        <v>3973</v>
      </c>
      <c r="I2800">
        <v>1984</v>
      </c>
      <c r="J2800">
        <v>1984</v>
      </c>
      <c r="K2800" t="s">
        <v>4554</v>
      </c>
      <c r="L2800" t="s">
        <v>3974</v>
      </c>
      <c r="M2800" s="2">
        <v>1508</v>
      </c>
      <c r="N2800" t="s">
        <v>4048</v>
      </c>
      <c r="O2800">
        <v>3</v>
      </c>
      <c r="P2800">
        <v>2</v>
      </c>
      <c r="Q2800">
        <v>1</v>
      </c>
      <c r="R2800" t="s">
        <v>4557</v>
      </c>
      <c r="S2800" t="s">
        <v>4558</v>
      </c>
      <c r="T2800" t="s">
        <v>4559</v>
      </c>
      <c r="U2800" t="s">
        <v>4560</v>
      </c>
      <c r="V2800" s="2">
        <v>484</v>
      </c>
      <c r="W2800" t="s">
        <v>4655</v>
      </c>
      <c r="X2800" s="2">
        <v>0</v>
      </c>
      <c r="Y2800">
        <v>20</v>
      </c>
      <c r="Z2800" t="s">
        <v>5200</v>
      </c>
      <c r="AA2800" s="3">
        <v>0.14299815893173218</v>
      </c>
      <c r="AB2800" t="s">
        <v>16538</v>
      </c>
      <c r="AC2800" t="s">
        <v>4562</v>
      </c>
      <c r="AD2800" t="s">
        <v>16537</v>
      </c>
      <c r="AE2800" t="s">
        <v>4655</v>
      </c>
      <c r="AF2800" t="s">
        <v>5201</v>
      </c>
      <c r="AG2800" t="s">
        <v>4564</v>
      </c>
      <c r="AH2800" t="s">
        <v>3898</v>
      </c>
      <c r="AI2800" t="s">
        <v>16539</v>
      </c>
      <c r="AJ2800" t="s">
        <v>4655</v>
      </c>
      <c r="AK2800" t="s">
        <v>16540</v>
      </c>
      <c r="AL2800" s="13" t="s">
        <v>1886</v>
      </c>
      <c r="AM2800" s="14">
        <v>1</v>
      </c>
      <c r="AN2800" s="15" t="s">
        <v>3885</v>
      </c>
    </row>
    <row r="2801" spans="1:40" x14ac:dyDescent="0.3">
      <c r="A2801" s="10" t="str">
        <f>HYPERLINK("http://www.washoecounty.gov/assessor/cama/?parid=036-475-09&amp;CardNumber=1","036-475-09")</f>
        <v>036-475-09</v>
      </c>
      <c r="B2801" t="s">
        <v>4655</v>
      </c>
      <c r="C2801" t="s">
        <v>16541</v>
      </c>
      <c r="D2801" s="1">
        <v>40374</v>
      </c>
      <c r="E2801" s="2">
        <v>140000</v>
      </c>
      <c r="F2801" t="s">
        <v>4567</v>
      </c>
      <c r="G2801" s="17" t="str">
        <f>HYPERLINK("https://www.washoecounty.gov/assessor/cama/?command=sales&amp;parid=03647509","3901771")</f>
        <v>3901771</v>
      </c>
      <c r="H2801" t="s">
        <v>3973</v>
      </c>
      <c r="I2801">
        <v>1984</v>
      </c>
      <c r="J2801">
        <v>1984</v>
      </c>
      <c r="K2801" t="s">
        <v>4554</v>
      </c>
      <c r="L2801" t="s">
        <v>3974</v>
      </c>
      <c r="M2801" s="2">
        <v>1508</v>
      </c>
      <c r="N2801" t="s">
        <v>4048</v>
      </c>
      <c r="O2801">
        <v>3</v>
      </c>
      <c r="P2801">
        <v>2</v>
      </c>
      <c r="Q2801">
        <v>1</v>
      </c>
      <c r="R2801" t="s">
        <v>4557</v>
      </c>
      <c r="S2801" t="s">
        <v>4558</v>
      </c>
      <c r="T2801" t="s">
        <v>4559</v>
      </c>
      <c r="U2801" t="s">
        <v>4560</v>
      </c>
      <c r="V2801" s="2">
        <v>484</v>
      </c>
      <c r="W2801" t="s">
        <v>4655</v>
      </c>
      <c r="X2801" s="2">
        <v>0</v>
      </c>
      <c r="Y2801">
        <v>20</v>
      </c>
      <c r="Z2801" t="s">
        <v>5200</v>
      </c>
      <c r="AA2801" s="3">
        <v>0.12699724733829501</v>
      </c>
      <c r="AB2801" t="s">
        <v>16542</v>
      </c>
      <c r="AC2801" t="s">
        <v>4562</v>
      </c>
      <c r="AD2801" t="s">
        <v>16541</v>
      </c>
      <c r="AE2801" t="s">
        <v>4655</v>
      </c>
      <c r="AF2801" t="s">
        <v>5201</v>
      </c>
      <c r="AG2801" t="s">
        <v>4564</v>
      </c>
      <c r="AH2801" t="s">
        <v>1605</v>
      </c>
      <c r="AI2801" t="s">
        <v>16543</v>
      </c>
      <c r="AJ2801" t="s">
        <v>4655</v>
      </c>
      <c r="AK2801" t="s">
        <v>16544</v>
      </c>
      <c r="AL2801" s="13" t="s">
        <v>1886</v>
      </c>
      <c r="AM2801">
        <v>1</v>
      </c>
      <c r="AN2801" s="15" t="s">
        <v>3885</v>
      </c>
    </row>
    <row r="2802" spans="1:40" x14ac:dyDescent="0.3">
      <c r="A2802" s="10" t="str">
        <f>HYPERLINK("http://www.washoecounty.gov/assessor/cama/?parid=036-477-12&amp;CardNumber=1","036-477-12")</f>
        <v>036-477-12</v>
      </c>
      <c r="B2802" t="s">
        <v>4655</v>
      </c>
      <c r="C2802" t="s">
        <v>16545</v>
      </c>
      <c r="D2802" s="1">
        <v>40206</v>
      </c>
      <c r="E2802" s="2">
        <v>121000</v>
      </c>
      <c r="F2802" t="s">
        <v>4567</v>
      </c>
      <c r="G2802" s="17" t="str">
        <f>HYPERLINK("https://www.washoecounty.gov/assessor/cama/?command=sales&amp;parid=03647712","3843756")</f>
        <v>3843756</v>
      </c>
      <c r="H2802" t="s">
        <v>16546</v>
      </c>
      <c r="I2802">
        <v>1984</v>
      </c>
      <c r="J2802">
        <v>1984</v>
      </c>
      <c r="K2802" t="s">
        <v>4554</v>
      </c>
      <c r="L2802" t="s">
        <v>4555</v>
      </c>
      <c r="M2802" s="2">
        <v>1164</v>
      </c>
      <c r="N2802" t="s">
        <v>4048</v>
      </c>
      <c r="O2802">
        <v>2</v>
      </c>
      <c r="P2802">
        <v>2</v>
      </c>
      <c r="Q2802">
        <v>0</v>
      </c>
      <c r="R2802" t="s">
        <v>5281</v>
      </c>
      <c r="S2802" t="s">
        <v>4558</v>
      </c>
      <c r="T2802" t="s">
        <v>4559</v>
      </c>
      <c r="U2802" t="s">
        <v>4560</v>
      </c>
      <c r="V2802" s="2">
        <v>420</v>
      </c>
      <c r="W2802" t="s">
        <v>4655</v>
      </c>
      <c r="X2802" s="2">
        <v>0</v>
      </c>
      <c r="Y2802">
        <v>20</v>
      </c>
      <c r="Z2802" t="s">
        <v>5200</v>
      </c>
      <c r="AA2802" s="3">
        <v>0.101010099053383</v>
      </c>
      <c r="AB2802" t="s">
        <v>16547</v>
      </c>
      <c r="AC2802" t="s">
        <v>4575</v>
      </c>
      <c r="AD2802" t="s">
        <v>16548</v>
      </c>
      <c r="AE2802" t="s">
        <v>4655</v>
      </c>
      <c r="AF2802" t="s">
        <v>4809</v>
      </c>
      <c r="AG2802" t="s">
        <v>4564</v>
      </c>
      <c r="AH2802" t="s">
        <v>4126</v>
      </c>
      <c r="AI2802" t="s">
        <v>16549</v>
      </c>
      <c r="AJ2802" t="s">
        <v>4655</v>
      </c>
      <c r="AK2802" t="s">
        <v>16550</v>
      </c>
      <c r="AL2802" s="13" t="s">
        <v>1886</v>
      </c>
      <c r="AM2802">
        <v>1</v>
      </c>
      <c r="AN2802" s="15" t="s">
        <v>3885</v>
      </c>
    </row>
    <row r="2803" spans="1:40" x14ac:dyDescent="0.3">
      <c r="A2803" s="10" t="str">
        <f>HYPERLINK("http://www.washoecounty.gov/assessor/cama/?parid=036-478-01&amp;CardNumber=1","036-478-01")</f>
        <v>036-478-01</v>
      </c>
      <c r="B2803" t="s">
        <v>4655</v>
      </c>
      <c r="C2803" t="s">
        <v>16551</v>
      </c>
      <c r="D2803" s="1">
        <v>40402</v>
      </c>
      <c r="E2803" s="2">
        <v>150000</v>
      </c>
      <c r="F2803" t="s">
        <v>4567</v>
      </c>
      <c r="G2803" s="17" t="str">
        <f>HYPERLINK("https://www.washoecounty.gov/assessor/cama/?command=sales&amp;parid=03647801","3911247")</f>
        <v>3911247</v>
      </c>
      <c r="H2803" t="s">
        <v>2438</v>
      </c>
      <c r="I2803">
        <v>1984</v>
      </c>
      <c r="J2803">
        <v>1984</v>
      </c>
      <c r="K2803" t="s">
        <v>4554</v>
      </c>
      <c r="L2803" t="s">
        <v>4555</v>
      </c>
      <c r="M2803" s="2">
        <v>1574</v>
      </c>
      <c r="N2803" t="s">
        <v>4048</v>
      </c>
      <c r="O2803">
        <v>3</v>
      </c>
      <c r="P2803">
        <v>2</v>
      </c>
      <c r="Q2803">
        <v>0</v>
      </c>
      <c r="R2803" t="s">
        <v>4557</v>
      </c>
      <c r="S2803" t="s">
        <v>4558</v>
      </c>
      <c r="T2803" t="s">
        <v>4559</v>
      </c>
      <c r="U2803" t="s">
        <v>4560</v>
      </c>
      <c r="V2803" s="2">
        <v>630</v>
      </c>
      <c r="W2803" t="s">
        <v>4655</v>
      </c>
      <c r="X2803" s="2">
        <v>0</v>
      </c>
      <c r="Y2803">
        <v>20</v>
      </c>
      <c r="Z2803" t="s">
        <v>5200</v>
      </c>
      <c r="AA2803" s="3">
        <v>0.15000000596046401</v>
      </c>
      <c r="AB2803" t="s">
        <v>16552</v>
      </c>
      <c r="AC2803" t="s">
        <v>4562</v>
      </c>
      <c r="AD2803" t="s">
        <v>16553</v>
      </c>
      <c r="AE2803" t="s">
        <v>4655</v>
      </c>
      <c r="AF2803" t="s">
        <v>4809</v>
      </c>
      <c r="AG2803" t="s">
        <v>4564</v>
      </c>
      <c r="AH2803" t="s">
        <v>3898</v>
      </c>
      <c r="AI2803" t="s">
        <v>16554</v>
      </c>
      <c r="AJ2803" t="s">
        <v>4655</v>
      </c>
      <c r="AK2803" t="s">
        <v>16555</v>
      </c>
      <c r="AL2803" s="13" t="s">
        <v>1886</v>
      </c>
      <c r="AM2803" s="14">
        <v>1</v>
      </c>
      <c r="AN2803" s="15" t="s">
        <v>3885</v>
      </c>
    </row>
    <row r="2804" spans="1:40" x14ac:dyDescent="0.3">
      <c r="A2804" s="10" t="str">
        <f>HYPERLINK("http://www.washoecounty.gov/assessor/cama/?parid=036-494-04&amp;CardNumber=1","036-494-04")</f>
        <v>036-494-04</v>
      </c>
      <c r="B2804" t="s">
        <v>4655</v>
      </c>
      <c r="C2804" t="s">
        <v>16556</v>
      </c>
      <c r="D2804" s="1">
        <v>40387</v>
      </c>
      <c r="E2804" s="2">
        <v>131500</v>
      </c>
      <c r="F2804" t="s">
        <v>4553</v>
      </c>
      <c r="G2804" s="17" t="str">
        <f>HYPERLINK("https://www.washoecounty.gov/assessor/cama/?command=sales&amp;parid=03649404","3905636")</f>
        <v>3905636</v>
      </c>
      <c r="H2804" t="s">
        <v>16557</v>
      </c>
      <c r="I2804">
        <v>1984</v>
      </c>
      <c r="J2804">
        <v>1984</v>
      </c>
      <c r="K2804" t="s">
        <v>4554</v>
      </c>
      <c r="L2804" t="s">
        <v>4555</v>
      </c>
      <c r="M2804" s="2">
        <v>1250</v>
      </c>
      <c r="N2804" t="s">
        <v>4048</v>
      </c>
      <c r="O2804">
        <v>3</v>
      </c>
      <c r="P2804">
        <v>2</v>
      </c>
      <c r="Q2804">
        <v>0</v>
      </c>
      <c r="R2804" t="s">
        <v>4557</v>
      </c>
      <c r="S2804" t="s">
        <v>4558</v>
      </c>
      <c r="T2804" t="s">
        <v>4559</v>
      </c>
      <c r="U2804" t="s">
        <v>4560</v>
      </c>
      <c r="V2804" s="2">
        <v>430</v>
      </c>
      <c r="W2804" t="s">
        <v>4655</v>
      </c>
      <c r="X2804" s="2">
        <v>0</v>
      </c>
      <c r="Y2804">
        <v>20</v>
      </c>
      <c r="Z2804" t="s">
        <v>5200</v>
      </c>
      <c r="AA2804" s="3">
        <v>0.103994488716125</v>
      </c>
      <c r="AB2804" t="s">
        <v>4673</v>
      </c>
      <c r="AC2804" t="s">
        <v>4562</v>
      </c>
      <c r="AD2804" t="s">
        <v>3093</v>
      </c>
      <c r="AE2804" t="s">
        <v>4655</v>
      </c>
      <c r="AF2804" t="s">
        <v>4563</v>
      </c>
      <c r="AG2804" t="s">
        <v>4564</v>
      </c>
      <c r="AH2804">
        <v>89512</v>
      </c>
      <c r="AI2804" t="s">
        <v>4903</v>
      </c>
      <c r="AJ2804" t="s">
        <v>4655</v>
      </c>
      <c r="AK2804" t="s">
        <v>16558</v>
      </c>
      <c r="AL2804" s="13" t="s">
        <v>1886</v>
      </c>
      <c r="AM2804">
        <v>1</v>
      </c>
      <c r="AN2804" s="15" t="s">
        <v>3885</v>
      </c>
    </row>
    <row r="2805" spans="1:40" x14ac:dyDescent="0.3">
      <c r="A2805" s="10" t="str">
        <f>HYPERLINK("http://www.washoecounty.gov/assessor/cama/?parid=036-494-11&amp;CardNumber=1","036-494-11")</f>
        <v>036-494-11</v>
      </c>
      <c r="B2805" t="s">
        <v>4655</v>
      </c>
      <c r="C2805" t="s">
        <v>16559</v>
      </c>
      <c r="D2805" s="1">
        <v>40437</v>
      </c>
      <c r="E2805" s="2">
        <v>147000</v>
      </c>
      <c r="F2805" t="s">
        <v>4553</v>
      </c>
      <c r="G2805" s="17" t="str">
        <f>HYPERLINK("https://www.washoecounty.gov/assessor/cama/?command=sales&amp;parid=03649411","3922855")</f>
        <v>3922855</v>
      </c>
      <c r="H2805" t="s">
        <v>1128</v>
      </c>
      <c r="I2805">
        <v>1988</v>
      </c>
      <c r="J2805">
        <v>1988</v>
      </c>
      <c r="K2805" t="s">
        <v>4554</v>
      </c>
      <c r="L2805" t="s">
        <v>3974</v>
      </c>
      <c r="M2805" s="2">
        <v>1508</v>
      </c>
      <c r="N2805" t="s">
        <v>4048</v>
      </c>
      <c r="O2805">
        <v>3</v>
      </c>
      <c r="P2805">
        <v>2</v>
      </c>
      <c r="Q2805">
        <v>1</v>
      </c>
      <c r="R2805" t="s">
        <v>4557</v>
      </c>
      <c r="S2805" t="s">
        <v>4558</v>
      </c>
      <c r="T2805" t="s">
        <v>4559</v>
      </c>
      <c r="U2805" t="s">
        <v>4560</v>
      </c>
      <c r="V2805" s="2">
        <v>684</v>
      </c>
      <c r="W2805" t="s">
        <v>4655</v>
      </c>
      <c r="X2805" s="2">
        <v>0</v>
      </c>
      <c r="Y2805">
        <v>20</v>
      </c>
      <c r="Z2805" t="s">
        <v>5200</v>
      </c>
      <c r="AA2805" s="3">
        <v>0.14499540627002699</v>
      </c>
      <c r="AB2805" t="s">
        <v>16560</v>
      </c>
      <c r="AC2805" t="s">
        <v>4562</v>
      </c>
      <c r="AD2805" t="s">
        <v>16559</v>
      </c>
      <c r="AE2805" t="s">
        <v>4655</v>
      </c>
      <c r="AF2805" t="s">
        <v>5201</v>
      </c>
      <c r="AG2805" t="s">
        <v>4564</v>
      </c>
      <c r="AH2805" t="s">
        <v>3898</v>
      </c>
      <c r="AI2805" t="s">
        <v>5203</v>
      </c>
      <c r="AJ2805" t="s">
        <v>4655</v>
      </c>
      <c r="AK2805" t="s">
        <v>16561</v>
      </c>
      <c r="AL2805" s="13" t="s">
        <v>1886</v>
      </c>
      <c r="AM2805">
        <v>1</v>
      </c>
      <c r="AN2805" s="15" t="s">
        <v>3885</v>
      </c>
    </row>
    <row r="2806" spans="1:40" x14ac:dyDescent="0.3">
      <c r="A2806" s="10" t="str">
        <f>HYPERLINK("http://www.washoecounty.gov/assessor/cama/?parid=036-495-16&amp;CardNumber=1","036-495-16")</f>
        <v>036-495-16</v>
      </c>
      <c r="B2806" t="s">
        <v>4655</v>
      </c>
      <c r="C2806" t="s">
        <v>16562</v>
      </c>
      <c r="D2806" s="1">
        <v>40225</v>
      </c>
      <c r="E2806" s="2">
        <v>135000</v>
      </c>
      <c r="F2806" t="s">
        <v>4553</v>
      </c>
      <c r="G2806" s="17" t="str">
        <f>HYPERLINK("https://www.washoecounty.gov/assessor/cama/?command=sales&amp;parid=03649516","3849612")</f>
        <v>3849612</v>
      </c>
      <c r="H2806" t="s">
        <v>2905</v>
      </c>
      <c r="I2806">
        <v>1985</v>
      </c>
      <c r="J2806">
        <v>1985</v>
      </c>
      <c r="K2806" t="s">
        <v>4554</v>
      </c>
      <c r="L2806" t="s">
        <v>4555</v>
      </c>
      <c r="M2806" s="2">
        <v>1704</v>
      </c>
      <c r="N2806" t="s">
        <v>4048</v>
      </c>
      <c r="O2806">
        <v>4</v>
      </c>
      <c r="P2806">
        <v>2</v>
      </c>
      <c r="Q2806">
        <v>0</v>
      </c>
      <c r="R2806" t="s">
        <v>4557</v>
      </c>
      <c r="S2806" t="s">
        <v>4135</v>
      </c>
      <c r="T2806" t="s">
        <v>4559</v>
      </c>
      <c r="U2806" t="s">
        <v>4560</v>
      </c>
      <c r="V2806" s="2">
        <v>445</v>
      </c>
      <c r="W2806" t="s">
        <v>4655</v>
      </c>
      <c r="X2806" s="2">
        <v>0</v>
      </c>
      <c r="Y2806">
        <v>20</v>
      </c>
      <c r="Z2806" t="s">
        <v>5200</v>
      </c>
      <c r="AA2806" s="3">
        <v>0.13799357414245605</v>
      </c>
      <c r="AB2806" t="s">
        <v>16563</v>
      </c>
      <c r="AC2806" t="s">
        <v>4562</v>
      </c>
      <c r="AD2806" t="s">
        <v>16562</v>
      </c>
      <c r="AE2806" t="s">
        <v>4655</v>
      </c>
      <c r="AF2806" t="s">
        <v>5201</v>
      </c>
      <c r="AG2806" t="s">
        <v>4564</v>
      </c>
      <c r="AH2806" t="s">
        <v>3898</v>
      </c>
      <c r="AI2806" t="s">
        <v>4655</v>
      </c>
      <c r="AJ2806" t="s">
        <v>4655</v>
      </c>
      <c r="AK2806" t="s">
        <v>16564</v>
      </c>
      <c r="AL2806" s="13" t="s">
        <v>1886</v>
      </c>
      <c r="AM2806" s="14">
        <v>1</v>
      </c>
      <c r="AN2806" s="15" t="s">
        <v>3885</v>
      </c>
    </row>
    <row r="2807" spans="1:40" x14ac:dyDescent="0.3">
      <c r="A2807" s="10" t="str">
        <f>HYPERLINK("http://www.washoecounty.gov/assessor/cama/?parid=036-496-02&amp;CardNumber=1","036-496-02")</f>
        <v>036-496-02</v>
      </c>
      <c r="B2807" t="s">
        <v>4655</v>
      </c>
      <c r="C2807" t="s">
        <v>16565</v>
      </c>
      <c r="D2807" s="1">
        <v>40267</v>
      </c>
      <c r="E2807" s="2">
        <v>145000</v>
      </c>
      <c r="F2807" t="s">
        <v>4567</v>
      </c>
      <c r="G2807" s="17" t="str">
        <f>HYPERLINK("https://www.washoecounty.gov/assessor/cama/?command=sales&amp;parid=03649602","3865968")</f>
        <v>3865968</v>
      </c>
      <c r="H2807" t="s">
        <v>16566</v>
      </c>
      <c r="I2807">
        <v>1984</v>
      </c>
      <c r="J2807">
        <v>1984</v>
      </c>
      <c r="K2807" t="s">
        <v>4554</v>
      </c>
      <c r="L2807" t="s">
        <v>4555</v>
      </c>
      <c r="M2807" s="2">
        <v>1376</v>
      </c>
      <c r="N2807" t="s">
        <v>4048</v>
      </c>
      <c r="O2807">
        <v>3</v>
      </c>
      <c r="P2807">
        <v>2</v>
      </c>
      <c r="Q2807">
        <v>0</v>
      </c>
      <c r="R2807" t="s">
        <v>4557</v>
      </c>
      <c r="S2807" t="s">
        <v>4135</v>
      </c>
      <c r="T2807" t="s">
        <v>4559</v>
      </c>
      <c r="U2807" t="s">
        <v>4560</v>
      </c>
      <c r="V2807" s="2">
        <v>416</v>
      </c>
      <c r="W2807" t="s">
        <v>4655</v>
      </c>
      <c r="X2807" s="2">
        <v>0</v>
      </c>
      <c r="Y2807">
        <v>20</v>
      </c>
      <c r="Z2807" t="s">
        <v>5200</v>
      </c>
      <c r="AA2807" s="3">
        <v>0.13000458478927601</v>
      </c>
      <c r="AB2807" t="s">
        <v>16567</v>
      </c>
      <c r="AC2807" t="s">
        <v>4562</v>
      </c>
      <c r="AD2807" t="s">
        <v>16565</v>
      </c>
      <c r="AE2807" t="s">
        <v>4655</v>
      </c>
      <c r="AF2807" t="s">
        <v>5201</v>
      </c>
      <c r="AG2807" t="s">
        <v>4564</v>
      </c>
      <c r="AH2807" t="s">
        <v>3898</v>
      </c>
      <c r="AI2807" t="s">
        <v>16568</v>
      </c>
      <c r="AJ2807" t="s">
        <v>4655</v>
      </c>
      <c r="AK2807" t="s">
        <v>16569</v>
      </c>
      <c r="AL2807" s="13" t="s">
        <v>1886</v>
      </c>
      <c r="AM2807">
        <v>1</v>
      </c>
      <c r="AN2807" s="15" t="s">
        <v>3885</v>
      </c>
    </row>
    <row r="2808" spans="1:40" x14ac:dyDescent="0.3">
      <c r="A2808" s="10" t="str">
        <f>HYPERLINK("http://www.washoecounty.gov/assessor/cama/?parid=036-496-06&amp;CardNumber=1","036-496-06")</f>
        <v>036-496-06</v>
      </c>
      <c r="B2808" t="s">
        <v>4655</v>
      </c>
      <c r="C2808" t="s">
        <v>16570</v>
      </c>
      <c r="D2808" s="1">
        <v>40345</v>
      </c>
      <c r="E2808" s="2">
        <v>140000</v>
      </c>
      <c r="F2808" t="s">
        <v>4567</v>
      </c>
      <c r="G2808" s="17" t="str">
        <f>HYPERLINK("https://www.washoecounty.gov/assessor/cama/?command=sales&amp;parid=03649606","3892652")</f>
        <v>3892652</v>
      </c>
      <c r="H2808" t="s">
        <v>16557</v>
      </c>
      <c r="I2808">
        <v>1984</v>
      </c>
      <c r="J2808">
        <v>1984</v>
      </c>
      <c r="K2808" t="s">
        <v>4554</v>
      </c>
      <c r="L2808" t="s">
        <v>4555</v>
      </c>
      <c r="M2808" s="2">
        <v>1376</v>
      </c>
      <c r="N2808" t="s">
        <v>4048</v>
      </c>
      <c r="O2808">
        <v>3</v>
      </c>
      <c r="P2808">
        <v>2</v>
      </c>
      <c r="Q2808">
        <v>0</v>
      </c>
      <c r="R2808" t="s">
        <v>4557</v>
      </c>
      <c r="S2808" t="s">
        <v>4558</v>
      </c>
      <c r="T2808" t="s">
        <v>4559</v>
      </c>
      <c r="U2808" t="s">
        <v>4560</v>
      </c>
      <c r="V2808" s="2">
        <v>416</v>
      </c>
      <c r="W2808" t="s">
        <v>4655</v>
      </c>
      <c r="X2808" s="2">
        <v>0</v>
      </c>
      <c r="Y2808">
        <v>20</v>
      </c>
      <c r="Z2808" t="s">
        <v>5200</v>
      </c>
      <c r="AA2808" s="3">
        <v>0.107001833617687</v>
      </c>
      <c r="AB2808" t="s">
        <v>16571</v>
      </c>
      <c r="AC2808" t="s">
        <v>4575</v>
      </c>
      <c r="AD2808" t="s">
        <v>16572</v>
      </c>
      <c r="AE2808" t="s">
        <v>4655</v>
      </c>
      <c r="AF2808" t="s">
        <v>5201</v>
      </c>
      <c r="AG2808" t="s">
        <v>4564</v>
      </c>
      <c r="AH2808" t="s">
        <v>3898</v>
      </c>
      <c r="AI2808" t="s">
        <v>16573</v>
      </c>
      <c r="AJ2808" t="s">
        <v>4655</v>
      </c>
      <c r="AK2808" t="s">
        <v>16574</v>
      </c>
      <c r="AL2808" s="13" t="s">
        <v>1886</v>
      </c>
      <c r="AM2808">
        <v>1</v>
      </c>
      <c r="AN2808" s="15" t="s">
        <v>3885</v>
      </c>
    </row>
    <row r="2809" spans="1:40" x14ac:dyDescent="0.3">
      <c r="A2809" s="10" t="str">
        <f>HYPERLINK("http://www.washoecounty.gov/assessor/cama/?parid=036-496-17&amp;CardNumber=1","036-496-17")</f>
        <v>036-496-17</v>
      </c>
      <c r="B2809" t="s">
        <v>4655</v>
      </c>
      <c r="C2809" t="s">
        <v>16575</v>
      </c>
      <c r="D2809" s="1">
        <v>40291</v>
      </c>
      <c r="E2809" s="2">
        <v>160000</v>
      </c>
      <c r="F2809" t="s">
        <v>4567</v>
      </c>
      <c r="G2809" s="17" t="str">
        <f>HYPERLINK("https://www.washoecounty.gov/assessor/cama/?command=sales&amp;parid=03649617","3874116")</f>
        <v>3874116</v>
      </c>
      <c r="H2809" t="s">
        <v>16576</v>
      </c>
      <c r="I2809">
        <v>1985</v>
      </c>
      <c r="J2809">
        <v>1985</v>
      </c>
      <c r="K2809" t="s">
        <v>4554</v>
      </c>
      <c r="L2809" t="s">
        <v>2170</v>
      </c>
      <c r="M2809" s="2">
        <v>1595</v>
      </c>
      <c r="N2809" t="s">
        <v>4048</v>
      </c>
      <c r="O2809">
        <v>3</v>
      </c>
      <c r="P2809">
        <v>2</v>
      </c>
      <c r="Q2809">
        <v>1</v>
      </c>
      <c r="R2809" t="s">
        <v>5281</v>
      </c>
      <c r="S2809" t="s">
        <v>4135</v>
      </c>
      <c r="T2809" t="s">
        <v>4559</v>
      </c>
      <c r="U2809" t="s">
        <v>4560</v>
      </c>
      <c r="V2809" s="2">
        <v>711</v>
      </c>
      <c r="W2809" t="s">
        <v>4655</v>
      </c>
      <c r="X2809" s="2">
        <v>0</v>
      </c>
      <c r="Y2809">
        <v>20</v>
      </c>
      <c r="Z2809" t="s">
        <v>5200</v>
      </c>
      <c r="AA2809" s="3">
        <v>0.13900367915630299</v>
      </c>
      <c r="AB2809" t="s">
        <v>16577</v>
      </c>
      <c r="AC2809" t="s">
        <v>4562</v>
      </c>
      <c r="AD2809" t="s">
        <v>16575</v>
      </c>
      <c r="AE2809" t="s">
        <v>4655</v>
      </c>
      <c r="AF2809" t="s">
        <v>5201</v>
      </c>
      <c r="AG2809" t="s">
        <v>4564</v>
      </c>
      <c r="AH2809" t="s">
        <v>3898</v>
      </c>
      <c r="AI2809" t="s">
        <v>16578</v>
      </c>
      <c r="AJ2809" t="s">
        <v>4655</v>
      </c>
      <c r="AK2809" t="s">
        <v>16579</v>
      </c>
      <c r="AL2809" s="13" t="s">
        <v>1886</v>
      </c>
      <c r="AM2809">
        <v>1</v>
      </c>
      <c r="AN2809" s="15" t="s">
        <v>3885</v>
      </c>
    </row>
    <row r="2810" spans="1:40" x14ac:dyDescent="0.3">
      <c r="A2810" s="10" t="str">
        <f>HYPERLINK("http://www.washoecounty.gov/assessor/cama/?parid=036-501-02&amp;CardNumber=1","036-501-02")</f>
        <v>036-501-02</v>
      </c>
      <c r="B2810" t="s">
        <v>4655</v>
      </c>
      <c r="C2810" t="s">
        <v>16580</v>
      </c>
      <c r="D2810" s="1">
        <v>40402</v>
      </c>
      <c r="E2810" s="2">
        <v>165600</v>
      </c>
      <c r="F2810" t="s">
        <v>4567</v>
      </c>
      <c r="G2810" s="17" t="str">
        <f>HYPERLINK("https://www.washoecounty.gov/assessor/cama/?command=sales&amp;parid=03650102","3911199")</f>
        <v>3911199</v>
      </c>
      <c r="H2810" t="s">
        <v>1220</v>
      </c>
      <c r="I2810">
        <v>1985</v>
      </c>
      <c r="J2810">
        <v>1985</v>
      </c>
      <c r="K2810" t="s">
        <v>4554</v>
      </c>
      <c r="L2810" t="s">
        <v>3974</v>
      </c>
      <c r="M2810" s="2">
        <v>1784</v>
      </c>
      <c r="N2810" t="s">
        <v>4048</v>
      </c>
      <c r="O2810">
        <v>4</v>
      </c>
      <c r="P2810">
        <v>2</v>
      </c>
      <c r="Q2810">
        <v>1</v>
      </c>
      <c r="R2810" t="s">
        <v>4557</v>
      </c>
      <c r="S2810" t="s">
        <v>4558</v>
      </c>
      <c r="T2810" t="s">
        <v>4559</v>
      </c>
      <c r="U2810" t="s">
        <v>4560</v>
      </c>
      <c r="V2810" s="2">
        <v>448</v>
      </c>
      <c r="W2810" t="s">
        <v>4655</v>
      </c>
      <c r="X2810" s="2">
        <v>0</v>
      </c>
      <c r="Y2810">
        <v>20</v>
      </c>
      <c r="Z2810" t="s">
        <v>5200</v>
      </c>
      <c r="AA2810" s="3">
        <v>0.101010099053383</v>
      </c>
      <c r="AB2810" t="s">
        <v>16581</v>
      </c>
      <c r="AC2810" t="s">
        <v>4562</v>
      </c>
      <c r="AD2810" t="s">
        <v>16582</v>
      </c>
      <c r="AE2810" t="s">
        <v>4655</v>
      </c>
      <c r="AF2810" t="s">
        <v>4809</v>
      </c>
      <c r="AG2810" t="s">
        <v>4564</v>
      </c>
      <c r="AH2810" t="s">
        <v>3898</v>
      </c>
      <c r="AI2810" t="s">
        <v>4673</v>
      </c>
      <c r="AJ2810" t="s">
        <v>4655</v>
      </c>
      <c r="AK2810" t="s">
        <v>16583</v>
      </c>
      <c r="AL2810" s="13" t="s">
        <v>3425</v>
      </c>
      <c r="AM2810">
        <v>1</v>
      </c>
      <c r="AN2810" s="15" t="s">
        <v>3885</v>
      </c>
    </row>
    <row r="2811" spans="1:40" x14ac:dyDescent="0.3">
      <c r="A2811" s="10" t="str">
        <f>HYPERLINK("http://www.washoecounty.gov/assessor/cama/?parid=036-501-19&amp;CardNumber=1","036-501-19")</f>
        <v>036-501-19</v>
      </c>
      <c r="B2811" t="s">
        <v>4655</v>
      </c>
      <c r="C2811" t="s">
        <v>16584</v>
      </c>
      <c r="D2811" s="1">
        <v>40430</v>
      </c>
      <c r="E2811" s="2">
        <v>133650</v>
      </c>
      <c r="F2811" t="s">
        <v>4567</v>
      </c>
      <c r="G2811" s="17" t="str">
        <f>HYPERLINK("https://www.washoecounty.gov/assessor/cama/?command=sales&amp;parid=03650119","3920769")</f>
        <v>3920769</v>
      </c>
      <c r="H2811" t="s">
        <v>3238</v>
      </c>
      <c r="I2811">
        <v>1985</v>
      </c>
      <c r="J2811">
        <v>1985</v>
      </c>
      <c r="K2811" t="s">
        <v>4554</v>
      </c>
      <c r="L2811" t="s">
        <v>4555</v>
      </c>
      <c r="M2811" s="2">
        <v>1250</v>
      </c>
      <c r="N2811" t="s">
        <v>4048</v>
      </c>
      <c r="O2811">
        <v>3</v>
      </c>
      <c r="P2811">
        <v>2</v>
      </c>
      <c r="Q2811">
        <v>0</v>
      </c>
      <c r="R2811" t="s">
        <v>4557</v>
      </c>
      <c r="S2811" t="s">
        <v>4558</v>
      </c>
      <c r="T2811" t="s">
        <v>4559</v>
      </c>
      <c r="U2811" t="s">
        <v>4560</v>
      </c>
      <c r="V2811" s="2">
        <v>430</v>
      </c>
      <c r="W2811" t="s">
        <v>4655</v>
      </c>
      <c r="X2811" s="2">
        <v>0</v>
      </c>
      <c r="Y2811">
        <v>20</v>
      </c>
      <c r="Z2811" t="s">
        <v>5200</v>
      </c>
      <c r="AA2811" s="3">
        <v>9.6005506813526195E-2</v>
      </c>
      <c r="AB2811" t="s">
        <v>4673</v>
      </c>
      <c r="AC2811" t="s">
        <v>4562</v>
      </c>
      <c r="AD2811" t="s">
        <v>3093</v>
      </c>
      <c r="AE2811" t="s">
        <v>4655</v>
      </c>
      <c r="AF2811" t="s">
        <v>4563</v>
      </c>
      <c r="AG2811" t="s">
        <v>4564</v>
      </c>
      <c r="AH2811">
        <v>89512</v>
      </c>
      <c r="AI2811" t="s">
        <v>16585</v>
      </c>
      <c r="AJ2811" t="s">
        <v>4655</v>
      </c>
      <c r="AK2811" t="s">
        <v>16586</v>
      </c>
      <c r="AL2811" s="13" t="s">
        <v>3425</v>
      </c>
      <c r="AM2811" s="14">
        <v>1</v>
      </c>
      <c r="AN2811" s="15" t="s">
        <v>3885</v>
      </c>
    </row>
    <row r="2812" spans="1:40" x14ac:dyDescent="0.3">
      <c r="A2812" s="10" t="str">
        <f>HYPERLINK("http://www.washoecounty.gov/assessor/cama/?parid=036-501-21&amp;CardNumber=1","036-501-21")</f>
        <v>036-501-21</v>
      </c>
      <c r="B2812" t="s">
        <v>4655</v>
      </c>
      <c r="C2812" t="s">
        <v>16587</v>
      </c>
      <c r="D2812" s="1">
        <v>40283</v>
      </c>
      <c r="E2812" s="2">
        <v>113000</v>
      </c>
      <c r="F2812" t="s">
        <v>4553</v>
      </c>
      <c r="G2812" s="17" t="str">
        <f>HYPERLINK("https://www.washoecounty.gov/assessor/cama/?command=sales&amp;parid=03650121","3871630")</f>
        <v>3871630</v>
      </c>
      <c r="H2812" t="s">
        <v>3238</v>
      </c>
      <c r="I2812">
        <v>1985</v>
      </c>
      <c r="J2812">
        <v>1985</v>
      </c>
      <c r="K2812" t="s">
        <v>4554</v>
      </c>
      <c r="L2812" t="s">
        <v>4555</v>
      </c>
      <c r="M2812" s="2">
        <v>1376</v>
      </c>
      <c r="N2812" t="s">
        <v>4048</v>
      </c>
      <c r="O2812">
        <v>3</v>
      </c>
      <c r="P2812">
        <v>2</v>
      </c>
      <c r="Q2812">
        <v>0</v>
      </c>
      <c r="R2812" t="s">
        <v>4557</v>
      </c>
      <c r="S2812" t="s">
        <v>4135</v>
      </c>
      <c r="T2812" t="s">
        <v>4559</v>
      </c>
      <c r="U2812" t="s">
        <v>4560</v>
      </c>
      <c r="V2812" s="2">
        <v>416</v>
      </c>
      <c r="W2812" t="s">
        <v>4655</v>
      </c>
      <c r="X2812" s="2">
        <v>0</v>
      </c>
      <c r="Y2812">
        <v>20</v>
      </c>
      <c r="Z2812" t="s">
        <v>5200</v>
      </c>
      <c r="AA2812" s="3">
        <v>0.10599173605442</v>
      </c>
      <c r="AB2812" t="s">
        <v>16588</v>
      </c>
      <c r="AC2812" t="s">
        <v>4562</v>
      </c>
      <c r="AD2812" t="s">
        <v>16589</v>
      </c>
      <c r="AE2812" t="s">
        <v>4655</v>
      </c>
      <c r="AF2812" t="s">
        <v>4809</v>
      </c>
      <c r="AG2812" t="s">
        <v>4564</v>
      </c>
      <c r="AH2812" t="s">
        <v>3898</v>
      </c>
      <c r="AI2812" t="s">
        <v>359</v>
      </c>
      <c r="AJ2812" t="s">
        <v>4655</v>
      </c>
      <c r="AK2812" t="s">
        <v>16590</v>
      </c>
      <c r="AL2812" s="13" t="s">
        <v>3425</v>
      </c>
      <c r="AM2812">
        <v>1</v>
      </c>
      <c r="AN2812" s="15" t="s">
        <v>3885</v>
      </c>
    </row>
    <row r="2813" spans="1:40" x14ac:dyDescent="0.3">
      <c r="A2813" s="10" t="str">
        <f>HYPERLINK("http://www.washoecounty.gov/assessor/cama/?parid=036-501-21&amp;CardNumber=1","036-501-21")</f>
        <v>036-501-21</v>
      </c>
      <c r="B2813" t="s">
        <v>4655</v>
      </c>
      <c r="C2813" t="s">
        <v>16587</v>
      </c>
      <c r="D2813" s="1">
        <v>40326</v>
      </c>
      <c r="E2813" s="2">
        <v>145000</v>
      </c>
      <c r="F2813" t="s">
        <v>4567</v>
      </c>
      <c r="G2813" s="17" t="str">
        <f>HYPERLINK("https://www.washoecounty.gov/assessor/cama/?command=sales&amp;parid=03650121","3886720")</f>
        <v>3886720</v>
      </c>
      <c r="H2813" t="s">
        <v>3238</v>
      </c>
      <c r="I2813">
        <v>1985</v>
      </c>
      <c r="J2813">
        <v>1985</v>
      </c>
      <c r="K2813" t="s">
        <v>4554</v>
      </c>
      <c r="L2813" t="s">
        <v>4555</v>
      </c>
      <c r="M2813" s="2">
        <v>1376</v>
      </c>
      <c r="N2813" t="s">
        <v>4048</v>
      </c>
      <c r="O2813">
        <v>3</v>
      </c>
      <c r="P2813">
        <v>2</v>
      </c>
      <c r="Q2813">
        <v>0</v>
      </c>
      <c r="R2813" t="s">
        <v>4557</v>
      </c>
      <c r="S2813" t="s">
        <v>4135</v>
      </c>
      <c r="T2813" t="s">
        <v>4559</v>
      </c>
      <c r="U2813" t="s">
        <v>4560</v>
      </c>
      <c r="V2813" s="2">
        <v>416</v>
      </c>
      <c r="W2813" t="s">
        <v>4655</v>
      </c>
      <c r="X2813" s="2">
        <v>0</v>
      </c>
      <c r="Y2813">
        <v>20</v>
      </c>
      <c r="Z2813" t="s">
        <v>5200</v>
      </c>
      <c r="AA2813" s="3">
        <v>0.10599173605442</v>
      </c>
      <c r="AB2813" t="s">
        <v>16588</v>
      </c>
      <c r="AC2813" t="s">
        <v>4562</v>
      </c>
      <c r="AD2813" t="s">
        <v>16589</v>
      </c>
      <c r="AE2813" t="s">
        <v>4655</v>
      </c>
      <c r="AF2813" t="s">
        <v>4809</v>
      </c>
      <c r="AG2813" t="s">
        <v>4564</v>
      </c>
      <c r="AH2813" t="s">
        <v>3898</v>
      </c>
      <c r="AI2813" t="s">
        <v>359</v>
      </c>
      <c r="AJ2813" t="s">
        <v>4655</v>
      </c>
      <c r="AK2813" t="s">
        <v>16590</v>
      </c>
      <c r="AL2813" s="13" t="s">
        <v>3425</v>
      </c>
      <c r="AM2813">
        <v>1</v>
      </c>
      <c r="AN2813" s="15" t="s">
        <v>3885</v>
      </c>
    </row>
    <row r="2814" spans="1:40" x14ac:dyDescent="0.3">
      <c r="A2814" s="10" t="str">
        <f>HYPERLINK("http://www.washoecounty.gov/assessor/cama/?parid=036-502-05&amp;CardNumber=1","036-502-05")</f>
        <v>036-502-05</v>
      </c>
      <c r="B2814" t="s">
        <v>4655</v>
      </c>
      <c r="C2814" t="s">
        <v>16591</v>
      </c>
      <c r="D2814" s="1">
        <v>40207</v>
      </c>
      <c r="E2814" s="2">
        <v>156900</v>
      </c>
      <c r="F2814" t="s">
        <v>4553</v>
      </c>
      <c r="G2814" s="17" t="str">
        <f>HYPERLINK("https://www.washoecounty.gov/assessor/cama/?command=sales&amp;parid=03650205","3844494")</f>
        <v>3844494</v>
      </c>
      <c r="H2814" t="s">
        <v>1220</v>
      </c>
      <c r="I2814">
        <v>1985</v>
      </c>
      <c r="J2814">
        <v>1985</v>
      </c>
      <c r="K2814" t="s">
        <v>4554</v>
      </c>
      <c r="L2814" t="s">
        <v>3974</v>
      </c>
      <c r="M2814" s="2">
        <v>1508</v>
      </c>
      <c r="N2814" t="s">
        <v>4048</v>
      </c>
      <c r="O2814">
        <v>3</v>
      </c>
      <c r="P2814">
        <v>2</v>
      </c>
      <c r="Q2814">
        <v>1</v>
      </c>
      <c r="R2814" t="s">
        <v>5281</v>
      </c>
      <c r="S2814" t="s">
        <v>4558</v>
      </c>
      <c r="T2814" t="s">
        <v>4559</v>
      </c>
      <c r="U2814" t="s">
        <v>4560</v>
      </c>
      <c r="V2814" s="2">
        <v>484</v>
      </c>
      <c r="W2814" t="s">
        <v>4655</v>
      </c>
      <c r="X2814" s="2">
        <v>0</v>
      </c>
      <c r="Y2814">
        <v>20</v>
      </c>
      <c r="Z2814" t="s">
        <v>5200</v>
      </c>
      <c r="AA2814" s="3">
        <v>0.10199724882841101</v>
      </c>
      <c r="AB2814" t="s">
        <v>16592</v>
      </c>
      <c r="AC2814" t="s">
        <v>4562</v>
      </c>
      <c r="AD2814" t="s">
        <v>16593</v>
      </c>
      <c r="AE2814" t="s">
        <v>4655</v>
      </c>
      <c r="AF2814" t="s">
        <v>5201</v>
      </c>
      <c r="AG2814" t="s">
        <v>4564</v>
      </c>
      <c r="AH2814" t="s">
        <v>3898</v>
      </c>
      <c r="AI2814" t="s">
        <v>4045</v>
      </c>
      <c r="AJ2814" t="s">
        <v>4655</v>
      </c>
      <c r="AK2814" t="s">
        <v>16594</v>
      </c>
      <c r="AL2814" s="13" t="s">
        <v>3425</v>
      </c>
      <c r="AM2814">
        <v>1</v>
      </c>
      <c r="AN2814" s="15" t="s">
        <v>3885</v>
      </c>
    </row>
    <row r="2815" spans="1:40" x14ac:dyDescent="0.3">
      <c r="A2815" s="10" t="str">
        <f>HYPERLINK("http://www.washoecounty.gov/assessor/cama/?parid=036-511-08&amp;CardNumber=1","036-511-08")</f>
        <v>036-511-08</v>
      </c>
      <c r="B2815" t="s">
        <v>4655</v>
      </c>
      <c r="C2815" t="s">
        <v>16595</v>
      </c>
      <c r="D2815" s="1">
        <v>40317</v>
      </c>
      <c r="E2815" s="2">
        <v>129000</v>
      </c>
      <c r="F2815" t="s">
        <v>4553</v>
      </c>
      <c r="G2815" s="17" t="str">
        <f>HYPERLINK("https://www.washoecounty.gov/assessor/cama/?command=sales&amp;parid=03651108","3883037")</f>
        <v>3883037</v>
      </c>
      <c r="H2815" t="s">
        <v>1220</v>
      </c>
      <c r="I2815">
        <v>1985</v>
      </c>
      <c r="J2815">
        <v>1985</v>
      </c>
      <c r="K2815" t="s">
        <v>4554</v>
      </c>
      <c r="L2815" t="s">
        <v>4555</v>
      </c>
      <c r="M2815" s="2">
        <v>1250</v>
      </c>
      <c r="N2815" t="s">
        <v>4048</v>
      </c>
      <c r="O2815">
        <v>3</v>
      </c>
      <c r="P2815">
        <v>2</v>
      </c>
      <c r="Q2815">
        <v>0</v>
      </c>
      <c r="R2815" t="s">
        <v>4557</v>
      </c>
      <c r="S2815" t="s">
        <v>4558</v>
      </c>
      <c r="T2815" t="s">
        <v>4559</v>
      </c>
      <c r="U2815" t="s">
        <v>4560</v>
      </c>
      <c r="V2815" s="2">
        <v>430</v>
      </c>
      <c r="W2815" t="s">
        <v>4655</v>
      </c>
      <c r="X2815" s="2">
        <v>0</v>
      </c>
      <c r="Y2815">
        <v>20</v>
      </c>
      <c r="Z2815" t="s">
        <v>5200</v>
      </c>
      <c r="AA2815" s="3">
        <v>0.107001833617687</v>
      </c>
      <c r="AB2815" t="s">
        <v>16596</v>
      </c>
      <c r="AC2815" t="s">
        <v>4562</v>
      </c>
      <c r="AD2815" t="s">
        <v>16595</v>
      </c>
      <c r="AE2815" t="s">
        <v>4655</v>
      </c>
      <c r="AF2815" t="s">
        <v>5201</v>
      </c>
      <c r="AG2815" t="s">
        <v>4564</v>
      </c>
      <c r="AH2815" t="s">
        <v>3898</v>
      </c>
      <c r="AI2815" t="s">
        <v>4655</v>
      </c>
      <c r="AJ2815" t="s">
        <v>4655</v>
      </c>
      <c r="AK2815" t="s">
        <v>16597</v>
      </c>
      <c r="AL2815" s="13" t="s">
        <v>1886</v>
      </c>
      <c r="AM2815">
        <v>1</v>
      </c>
      <c r="AN2815" s="15" t="s">
        <v>3885</v>
      </c>
    </row>
    <row r="2816" spans="1:40" x14ac:dyDescent="0.3">
      <c r="A2816" s="10" t="str">
        <f>HYPERLINK("http://www.washoecounty.gov/assessor/cama/?parid=036-511-13&amp;CardNumber=1","036-511-13")</f>
        <v>036-511-13</v>
      </c>
      <c r="B2816" t="s">
        <v>4655</v>
      </c>
      <c r="C2816" t="s">
        <v>16598</v>
      </c>
      <c r="D2816" s="1">
        <v>40484</v>
      </c>
      <c r="E2816" s="2">
        <v>121000</v>
      </c>
      <c r="F2816" t="s">
        <v>4553</v>
      </c>
      <c r="G2816" s="17" t="str">
        <f>HYPERLINK("https://www.washoecounty.gov/assessor/cama/?command=sales&amp;parid=03651113","3938941")</f>
        <v>3938941</v>
      </c>
      <c r="H2816" t="s">
        <v>4696</v>
      </c>
      <c r="I2816">
        <v>1985</v>
      </c>
      <c r="J2816">
        <v>1985</v>
      </c>
      <c r="K2816" t="s">
        <v>4554</v>
      </c>
      <c r="L2816" t="s">
        <v>4555</v>
      </c>
      <c r="M2816" s="2">
        <v>1164</v>
      </c>
      <c r="N2816" t="s">
        <v>4048</v>
      </c>
      <c r="O2816">
        <v>2</v>
      </c>
      <c r="P2816">
        <v>2</v>
      </c>
      <c r="Q2816">
        <v>0</v>
      </c>
      <c r="R2816" t="s">
        <v>4557</v>
      </c>
      <c r="S2816" t="s">
        <v>4898</v>
      </c>
      <c r="T2816" t="s">
        <v>4559</v>
      </c>
      <c r="U2816" t="s">
        <v>4560</v>
      </c>
      <c r="V2816" s="2">
        <v>420</v>
      </c>
      <c r="W2816" t="s">
        <v>4655</v>
      </c>
      <c r="X2816" s="2">
        <v>0</v>
      </c>
      <c r="Y2816">
        <v>20</v>
      </c>
      <c r="Z2816" t="s">
        <v>5200</v>
      </c>
      <c r="AA2816" s="3">
        <v>0.10000000149011599</v>
      </c>
      <c r="AB2816" t="s">
        <v>16599</v>
      </c>
      <c r="AC2816" t="s">
        <v>4562</v>
      </c>
      <c r="AD2816" t="s">
        <v>16598</v>
      </c>
      <c r="AE2816" t="s">
        <v>4655</v>
      </c>
      <c r="AF2816" t="s">
        <v>5201</v>
      </c>
      <c r="AG2816" t="s">
        <v>4564</v>
      </c>
      <c r="AH2816" t="s">
        <v>3898</v>
      </c>
      <c r="AI2816" t="s">
        <v>4655</v>
      </c>
      <c r="AJ2816" t="s">
        <v>4655</v>
      </c>
      <c r="AK2816" t="s">
        <v>16600</v>
      </c>
      <c r="AL2816" s="13" t="s">
        <v>1886</v>
      </c>
      <c r="AM2816">
        <v>1</v>
      </c>
      <c r="AN2816" s="15" t="s">
        <v>3885</v>
      </c>
    </row>
    <row r="2817" spans="1:40" x14ac:dyDescent="0.3">
      <c r="A2817" s="10" t="str">
        <f>HYPERLINK("http://www.washoecounty.gov/assessor/cama/?parid=036-512-19&amp;CardNumber=1","036-512-19")</f>
        <v>036-512-19</v>
      </c>
      <c r="B2817" t="s">
        <v>4655</v>
      </c>
      <c r="C2817" t="s">
        <v>16601</v>
      </c>
      <c r="D2817" s="1">
        <v>40247</v>
      </c>
      <c r="E2817" s="2">
        <v>156000</v>
      </c>
      <c r="F2817" t="s">
        <v>4553</v>
      </c>
      <c r="G2817" s="17" t="str">
        <f>HYPERLINK("https://www.washoecounty.gov/assessor/cama/?command=sales&amp;parid=03651219","3858218")</f>
        <v>3858218</v>
      </c>
      <c r="H2817" t="s">
        <v>3238</v>
      </c>
      <c r="I2817">
        <v>1985</v>
      </c>
      <c r="J2817">
        <v>1985</v>
      </c>
      <c r="K2817" t="s">
        <v>4554</v>
      </c>
      <c r="L2817" t="s">
        <v>3974</v>
      </c>
      <c r="M2817" s="2">
        <v>1508</v>
      </c>
      <c r="N2817" t="s">
        <v>4048</v>
      </c>
      <c r="O2817">
        <v>3</v>
      </c>
      <c r="P2817">
        <v>2</v>
      </c>
      <c r="Q2817">
        <v>1</v>
      </c>
      <c r="R2817" t="s">
        <v>4557</v>
      </c>
      <c r="S2817" t="s">
        <v>4558</v>
      </c>
      <c r="T2817" t="s">
        <v>4559</v>
      </c>
      <c r="U2817" t="s">
        <v>4560</v>
      </c>
      <c r="V2817" s="2">
        <v>484</v>
      </c>
      <c r="W2817" t="s">
        <v>4655</v>
      </c>
      <c r="X2817" s="2">
        <v>0</v>
      </c>
      <c r="Y2817">
        <v>20</v>
      </c>
      <c r="Z2817" t="s">
        <v>5200</v>
      </c>
      <c r="AA2817" s="3">
        <v>0.10500459372997301</v>
      </c>
      <c r="AB2817" t="s">
        <v>16602</v>
      </c>
      <c r="AC2817" t="s">
        <v>4562</v>
      </c>
      <c r="AD2817" t="s">
        <v>16601</v>
      </c>
      <c r="AE2817" t="s">
        <v>4655</v>
      </c>
      <c r="AF2817" t="s">
        <v>5201</v>
      </c>
      <c r="AG2817" t="s">
        <v>4564</v>
      </c>
      <c r="AH2817" t="s">
        <v>3898</v>
      </c>
      <c r="AI2817" t="s">
        <v>359</v>
      </c>
      <c r="AJ2817" t="s">
        <v>4655</v>
      </c>
      <c r="AK2817" t="s">
        <v>16603</v>
      </c>
      <c r="AL2817" s="13" t="s">
        <v>1886</v>
      </c>
      <c r="AM2817" s="14">
        <v>1</v>
      </c>
      <c r="AN2817" s="15" t="s">
        <v>3885</v>
      </c>
    </row>
    <row r="2818" spans="1:40" x14ac:dyDescent="0.3">
      <c r="A2818" s="10" t="str">
        <f>HYPERLINK("http://www.washoecounty.gov/assessor/cama/?parid=036-513-07&amp;CardNumber=1","036-513-07")</f>
        <v>036-513-07</v>
      </c>
      <c r="B2818" t="s">
        <v>4655</v>
      </c>
      <c r="C2818" t="s">
        <v>16604</v>
      </c>
      <c r="D2818" s="1">
        <v>40420</v>
      </c>
      <c r="E2818" s="2">
        <v>158900</v>
      </c>
      <c r="F2818" t="s">
        <v>4567</v>
      </c>
      <c r="G2818" s="17" t="str">
        <f>HYPERLINK("https://www.washoecounty.gov/assessor/cama/?command=sales&amp;parid=03651307","3916704")</f>
        <v>3916704</v>
      </c>
      <c r="H2818" t="s">
        <v>3238</v>
      </c>
      <c r="I2818">
        <v>1985</v>
      </c>
      <c r="J2818">
        <v>1985</v>
      </c>
      <c r="K2818" t="s">
        <v>4554</v>
      </c>
      <c r="L2818" t="s">
        <v>3974</v>
      </c>
      <c r="M2818" s="2">
        <v>1784</v>
      </c>
      <c r="N2818" t="s">
        <v>4048</v>
      </c>
      <c r="O2818">
        <v>3</v>
      </c>
      <c r="P2818">
        <v>2</v>
      </c>
      <c r="Q2818">
        <v>1</v>
      </c>
      <c r="R2818" t="s">
        <v>4557</v>
      </c>
      <c r="S2818" t="s">
        <v>4898</v>
      </c>
      <c r="T2818" t="s">
        <v>4559</v>
      </c>
      <c r="U2818" t="s">
        <v>4560</v>
      </c>
      <c r="V2818" s="2">
        <v>471</v>
      </c>
      <c r="W2818" t="s">
        <v>4655</v>
      </c>
      <c r="X2818" s="2">
        <v>0</v>
      </c>
      <c r="Y2818">
        <v>20</v>
      </c>
      <c r="Z2818" t="s">
        <v>5200</v>
      </c>
      <c r="AA2818" s="3">
        <v>0.101010099053383</v>
      </c>
      <c r="AB2818" t="s">
        <v>16605</v>
      </c>
      <c r="AC2818" t="s">
        <v>4575</v>
      </c>
      <c r="AD2818" t="s">
        <v>16604</v>
      </c>
      <c r="AE2818" t="s">
        <v>4655</v>
      </c>
      <c r="AF2818" t="s">
        <v>5201</v>
      </c>
      <c r="AG2818" t="s">
        <v>4564</v>
      </c>
      <c r="AH2818" t="s">
        <v>3898</v>
      </c>
      <c r="AI2818" t="s">
        <v>16606</v>
      </c>
      <c r="AJ2818" t="s">
        <v>4655</v>
      </c>
      <c r="AK2818" t="s">
        <v>16607</v>
      </c>
      <c r="AL2818" s="13" t="s">
        <v>3425</v>
      </c>
      <c r="AM2818">
        <v>1</v>
      </c>
      <c r="AN2818" s="15" t="s">
        <v>3885</v>
      </c>
    </row>
    <row r="2819" spans="1:40" x14ac:dyDescent="0.3">
      <c r="A2819" s="10" t="str">
        <f>HYPERLINK("http://www.washoecounty.gov/assessor/cama/?parid=036-514-14&amp;CardNumber=1","036-514-14")</f>
        <v>036-514-14</v>
      </c>
      <c r="B2819" t="s">
        <v>4655</v>
      </c>
      <c r="C2819" t="s">
        <v>16608</v>
      </c>
      <c r="D2819" s="1">
        <v>40305</v>
      </c>
      <c r="E2819" s="2">
        <v>135000</v>
      </c>
      <c r="F2819" t="s">
        <v>4567</v>
      </c>
      <c r="G2819" s="17" t="str">
        <f>HYPERLINK("https://www.washoecounty.gov/assessor/cama/?command=sales&amp;parid=03651414","3879439")</f>
        <v>3879439</v>
      </c>
      <c r="H2819" t="s">
        <v>5132</v>
      </c>
      <c r="I2819">
        <v>1986</v>
      </c>
      <c r="J2819">
        <v>1986</v>
      </c>
      <c r="K2819" t="s">
        <v>4554</v>
      </c>
      <c r="L2819" t="s">
        <v>3974</v>
      </c>
      <c r="M2819" s="2">
        <v>1508</v>
      </c>
      <c r="N2819" t="s">
        <v>4048</v>
      </c>
      <c r="O2819">
        <v>3</v>
      </c>
      <c r="P2819">
        <v>2</v>
      </c>
      <c r="Q2819">
        <v>0</v>
      </c>
      <c r="R2819" t="s">
        <v>4557</v>
      </c>
      <c r="S2819" t="s">
        <v>4558</v>
      </c>
      <c r="T2819" t="s">
        <v>4559</v>
      </c>
      <c r="U2819" t="s">
        <v>4560</v>
      </c>
      <c r="V2819" s="2">
        <v>484</v>
      </c>
      <c r="W2819" t="s">
        <v>4655</v>
      </c>
      <c r="X2819" s="2">
        <v>0</v>
      </c>
      <c r="Y2819">
        <v>20</v>
      </c>
      <c r="Z2819" t="s">
        <v>5200</v>
      </c>
      <c r="AA2819" s="3">
        <v>0.10000000149011599</v>
      </c>
      <c r="AB2819" t="s">
        <v>16609</v>
      </c>
      <c r="AC2819" t="s">
        <v>4562</v>
      </c>
      <c r="AD2819" t="s">
        <v>16608</v>
      </c>
      <c r="AE2819" t="s">
        <v>4655</v>
      </c>
      <c r="AF2819" t="s">
        <v>5201</v>
      </c>
      <c r="AG2819" t="s">
        <v>4564</v>
      </c>
      <c r="AH2819" t="s">
        <v>3898</v>
      </c>
      <c r="AI2819" t="s">
        <v>4655</v>
      </c>
      <c r="AJ2819" t="s">
        <v>4655</v>
      </c>
      <c r="AK2819" t="s">
        <v>16610</v>
      </c>
      <c r="AL2819" s="13" t="s">
        <v>3425</v>
      </c>
      <c r="AM2819">
        <v>1</v>
      </c>
      <c r="AN2819" s="15" t="s">
        <v>3885</v>
      </c>
    </row>
    <row r="2820" spans="1:40" x14ac:dyDescent="0.3">
      <c r="A2820" s="10" t="str">
        <f>HYPERLINK("http://www.washoecounty.gov/assessor/cama/?parid=036-514-17&amp;CardNumber=1","036-514-17")</f>
        <v>036-514-17</v>
      </c>
      <c r="B2820" t="s">
        <v>4655</v>
      </c>
      <c r="C2820" t="s">
        <v>16611</v>
      </c>
      <c r="D2820" s="1">
        <v>40297</v>
      </c>
      <c r="E2820" s="2">
        <v>169900</v>
      </c>
      <c r="F2820" t="s">
        <v>4567</v>
      </c>
      <c r="G2820" s="17" t="str">
        <f>HYPERLINK("https://www.washoecounty.gov/assessor/cama/?command=sales&amp;parid=03651417","3876304")</f>
        <v>3876304</v>
      </c>
      <c r="H2820" t="s">
        <v>5132</v>
      </c>
      <c r="I2820">
        <v>1986</v>
      </c>
      <c r="J2820">
        <v>1986</v>
      </c>
      <c r="K2820" t="s">
        <v>4554</v>
      </c>
      <c r="L2820" t="s">
        <v>3974</v>
      </c>
      <c r="M2820" s="2">
        <v>1784</v>
      </c>
      <c r="N2820" t="s">
        <v>4048</v>
      </c>
      <c r="O2820">
        <v>4</v>
      </c>
      <c r="P2820">
        <v>2</v>
      </c>
      <c r="Q2820">
        <v>0</v>
      </c>
      <c r="R2820" t="s">
        <v>4557</v>
      </c>
      <c r="S2820" t="s">
        <v>4558</v>
      </c>
      <c r="T2820" t="s">
        <v>4559</v>
      </c>
      <c r="U2820" t="s">
        <v>4560</v>
      </c>
      <c r="V2820" s="2">
        <v>471</v>
      </c>
      <c r="W2820" t="s">
        <v>4655</v>
      </c>
      <c r="X2820" s="2">
        <v>0</v>
      </c>
      <c r="Y2820">
        <v>20</v>
      </c>
      <c r="Z2820" t="s">
        <v>5200</v>
      </c>
      <c r="AA2820" s="3">
        <v>0.101010099053383</v>
      </c>
      <c r="AB2820" t="s">
        <v>16612</v>
      </c>
      <c r="AC2820" t="s">
        <v>4575</v>
      </c>
      <c r="AD2820" t="s">
        <v>16613</v>
      </c>
      <c r="AE2820" t="s">
        <v>4655</v>
      </c>
      <c r="AF2820" t="s">
        <v>5201</v>
      </c>
      <c r="AG2820" t="s">
        <v>4564</v>
      </c>
      <c r="AH2820" t="s">
        <v>3898</v>
      </c>
      <c r="AI2820" t="s">
        <v>16614</v>
      </c>
      <c r="AJ2820" t="s">
        <v>4655</v>
      </c>
      <c r="AK2820" t="s">
        <v>16615</v>
      </c>
      <c r="AL2820" s="13" t="s">
        <v>3425</v>
      </c>
      <c r="AM2820">
        <v>1</v>
      </c>
      <c r="AN2820" s="15" t="s">
        <v>3885</v>
      </c>
    </row>
    <row r="2821" spans="1:40" x14ac:dyDescent="0.3">
      <c r="A2821" s="10" t="str">
        <f>HYPERLINK("http://www.washoecounty.gov/assessor/cama/?parid=036-520-04&amp;CardNumber=1","036-520-04")</f>
        <v>036-520-04</v>
      </c>
      <c r="B2821" t="s">
        <v>4655</v>
      </c>
      <c r="C2821" t="s">
        <v>16616</v>
      </c>
      <c r="D2821" s="1">
        <v>40330</v>
      </c>
      <c r="E2821" s="2">
        <v>55000</v>
      </c>
      <c r="F2821" t="s">
        <v>4553</v>
      </c>
      <c r="G2821" s="17" t="str">
        <f>HYPERLINK("https://www.washoecounty.gov/assessor/cama/?command=sales&amp;parid=03652004","3887184")</f>
        <v>3887184</v>
      </c>
      <c r="H2821" t="s">
        <v>2698</v>
      </c>
      <c r="I2821">
        <v>1985</v>
      </c>
      <c r="J2821">
        <v>1985</v>
      </c>
      <c r="K2821" t="s">
        <v>3144</v>
      </c>
      <c r="L2821" t="s">
        <v>3974</v>
      </c>
      <c r="M2821" s="2">
        <v>973</v>
      </c>
      <c r="N2821" t="s">
        <v>4048</v>
      </c>
      <c r="O2821">
        <v>2</v>
      </c>
      <c r="P2821">
        <v>1</v>
      </c>
      <c r="Q2821">
        <v>1</v>
      </c>
      <c r="R2821" t="s">
        <v>5281</v>
      </c>
      <c r="S2821" t="s">
        <v>4558</v>
      </c>
      <c r="T2821" t="s">
        <v>2704</v>
      </c>
      <c r="U2821" t="s">
        <v>4655</v>
      </c>
      <c r="V2821" s="2">
        <v>0</v>
      </c>
      <c r="W2821" t="s">
        <v>4655</v>
      </c>
      <c r="X2821" s="2">
        <v>0</v>
      </c>
      <c r="Y2821">
        <v>21</v>
      </c>
      <c r="Z2821" t="s">
        <v>4051</v>
      </c>
      <c r="AA2821" s="3">
        <v>1.7011018469929699E-2</v>
      </c>
      <c r="AB2821" t="s">
        <v>16617</v>
      </c>
      <c r="AC2821" t="s">
        <v>4562</v>
      </c>
      <c r="AD2821" t="s">
        <v>16618</v>
      </c>
      <c r="AE2821" t="s">
        <v>4655</v>
      </c>
      <c r="AF2821" t="s">
        <v>4809</v>
      </c>
      <c r="AG2821" t="s">
        <v>4564</v>
      </c>
      <c r="AH2821" t="s">
        <v>3898</v>
      </c>
      <c r="AI2821" t="s">
        <v>4848</v>
      </c>
      <c r="AJ2821" t="s">
        <v>4655</v>
      </c>
      <c r="AK2821" t="s">
        <v>16619</v>
      </c>
      <c r="AL2821" s="13" t="s">
        <v>3425</v>
      </c>
      <c r="AM2821">
        <v>1</v>
      </c>
      <c r="AN2821" s="15" t="s">
        <v>2699</v>
      </c>
    </row>
    <row r="2822" spans="1:40" x14ac:dyDescent="0.3">
      <c r="A2822" s="10" t="str">
        <f>HYPERLINK("http://www.washoecounty.gov/assessor/cama/?parid=036-552-02&amp;CardNumber=1","036-552-02")</f>
        <v>036-552-02</v>
      </c>
      <c r="B2822" t="s">
        <v>4655</v>
      </c>
      <c r="C2822" t="s">
        <v>16620</v>
      </c>
      <c r="D2822" s="1">
        <v>40485</v>
      </c>
      <c r="E2822" s="2">
        <v>151000</v>
      </c>
      <c r="F2822" t="s">
        <v>4567</v>
      </c>
      <c r="G2822" s="17" t="str">
        <f>HYPERLINK("https://www.washoecounty.gov/assessor/cama/?command=sales&amp;parid=03655202","3939322")</f>
        <v>3939322</v>
      </c>
      <c r="H2822" t="s">
        <v>2906</v>
      </c>
      <c r="I2822">
        <v>1986</v>
      </c>
      <c r="J2822">
        <v>1986</v>
      </c>
      <c r="K2822" t="s">
        <v>4554</v>
      </c>
      <c r="L2822" t="s">
        <v>3974</v>
      </c>
      <c r="M2822" s="2">
        <v>2218</v>
      </c>
      <c r="N2822" t="s">
        <v>4048</v>
      </c>
      <c r="O2822">
        <v>4</v>
      </c>
      <c r="P2822">
        <v>3</v>
      </c>
      <c r="Q2822">
        <v>0</v>
      </c>
      <c r="R2822" t="s">
        <v>4557</v>
      </c>
      <c r="S2822" t="s">
        <v>4135</v>
      </c>
      <c r="T2822" t="s">
        <v>4559</v>
      </c>
      <c r="U2822" t="s">
        <v>4560</v>
      </c>
      <c r="V2822" s="2">
        <v>626</v>
      </c>
      <c r="W2822" t="s">
        <v>4655</v>
      </c>
      <c r="X2822" s="2">
        <v>0</v>
      </c>
      <c r="Y2822">
        <v>20</v>
      </c>
      <c r="Z2822" t="s">
        <v>5200</v>
      </c>
      <c r="AA2822" s="3">
        <v>0.15599173307418801</v>
      </c>
      <c r="AB2822" t="s">
        <v>16621</v>
      </c>
      <c r="AC2822" t="s">
        <v>4575</v>
      </c>
      <c r="AD2822" t="s">
        <v>16620</v>
      </c>
      <c r="AE2822" t="s">
        <v>4655</v>
      </c>
      <c r="AF2822" t="s">
        <v>5201</v>
      </c>
      <c r="AG2822" t="s">
        <v>4564</v>
      </c>
      <c r="AH2822" t="s">
        <v>3898</v>
      </c>
      <c r="AI2822" t="s">
        <v>4655</v>
      </c>
      <c r="AJ2822" t="s">
        <v>4655</v>
      </c>
      <c r="AK2822" t="s">
        <v>16622</v>
      </c>
      <c r="AL2822" s="13" t="s">
        <v>3425</v>
      </c>
      <c r="AM2822">
        <v>1</v>
      </c>
      <c r="AN2822" s="15" t="s">
        <v>3885</v>
      </c>
    </row>
    <row r="2823" spans="1:40" x14ac:dyDescent="0.3">
      <c r="A2823" s="10" t="str">
        <f>HYPERLINK("http://www.washoecounty.gov/assessor/cama/?parid=036-553-01&amp;CardNumber=1","036-553-01")</f>
        <v>036-553-01</v>
      </c>
      <c r="B2823" t="s">
        <v>4655</v>
      </c>
      <c r="C2823" t="s">
        <v>16623</v>
      </c>
      <c r="D2823" s="1">
        <v>40451</v>
      </c>
      <c r="E2823" s="2">
        <v>145000</v>
      </c>
      <c r="F2823" t="s">
        <v>4567</v>
      </c>
      <c r="G2823" s="17" t="str">
        <f>HYPERLINK("https://www.washoecounty.gov/assessor/cama/?command=sales&amp;parid=03655301","3928266")</f>
        <v>3928266</v>
      </c>
      <c r="H2823" t="s">
        <v>2906</v>
      </c>
      <c r="I2823">
        <v>1986</v>
      </c>
      <c r="J2823">
        <v>1986</v>
      </c>
      <c r="K2823" t="s">
        <v>4554</v>
      </c>
      <c r="L2823" t="s">
        <v>4555</v>
      </c>
      <c r="M2823" s="2">
        <v>1704</v>
      </c>
      <c r="N2823" t="s">
        <v>4048</v>
      </c>
      <c r="O2823">
        <v>4</v>
      </c>
      <c r="P2823">
        <v>2</v>
      </c>
      <c r="Q2823">
        <v>0</v>
      </c>
      <c r="R2823" t="s">
        <v>4557</v>
      </c>
      <c r="S2823" t="s">
        <v>4558</v>
      </c>
      <c r="T2823" t="s">
        <v>4559</v>
      </c>
      <c r="U2823" t="s">
        <v>4560</v>
      </c>
      <c r="V2823" s="2">
        <v>445</v>
      </c>
      <c r="W2823" t="s">
        <v>4655</v>
      </c>
      <c r="X2823" s="2">
        <v>0</v>
      </c>
      <c r="Y2823">
        <v>20</v>
      </c>
      <c r="Z2823" t="s">
        <v>5200</v>
      </c>
      <c r="AA2823" s="3">
        <v>0.16600091755390201</v>
      </c>
      <c r="AB2823" t="s">
        <v>16624</v>
      </c>
      <c r="AC2823" t="s">
        <v>4575</v>
      </c>
      <c r="AD2823" t="s">
        <v>16625</v>
      </c>
      <c r="AE2823" t="s">
        <v>16623</v>
      </c>
      <c r="AF2823" t="s">
        <v>5201</v>
      </c>
      <c r="AG2823" t="s">
        <v>4564</v>
      </c>
      <c r="AH2823" t="s">
        <v>3898</v>
      </c>
      <c r="AI2823" t="s">
        <v>16626</v>
      </c>
      <c r="AJ2823" t="s">
        <v>4655</v>
      </c>
      <c r="AK2823" t="s">
        <v>16627</v>
      </c>
      <c r="AL2823" s="13" t="s">
        <v>3425</v>
      </c>
      <c r="AM2823">
        <v>1</v>
      </c>
      <c r="AN2823" s="15" t="s">
        <v>3885</v>
      </c>
    </row>
    <row r="2824" spans="1:40" x14ac:dyDescent="0.3">
      <c r="A2824" s="10" t="str">
        <f>HYPERLINK("http://www.washoecounty.gov/assessor/cama/?parid=036-553-02&amp;CardNumber=1","036-553-02")</f>
        <v>036-553-02</v>
      </c>
      <c r="B2824" t="s">
        <v>4655</v>
      </c>
      <c r="C2824" t="s">
        <v>16628</v>
      </c>
      <c r="D2824" s="1">
        <v>40235</v>
      </c>
      <c r="E2824" s="2">
        <v>178000</v>
      </c>
      <c r="F2824" t="s">
        <v>4553</v>
      </c>
      <c r="G2824" s="17" t="str">
        <f>HYPERLINK("https://www.washoecounty.gov/assessor/cama/?command=sales&amp;parid=03655302","3853080")</f>
        <v>3853080</v>
      </c>
      <c r="H2824" t="s">
        <v>2906</v>
      </c>
      <c r="I2824">
        <v>1986</v>
      </c>
      <c r="J2824">
        <v>1986</v>
      </c>
      <c r="K2824" t="s">
        <v>4554</v>
      </c>
      <c r="L2824" t="s">
        <v>3974</v>
      </c>
      <c r="M2824" s="2">
        <v>2218</v>
      </c>
      <c r="N2824" t="s">
        <v>4048</v>
      </c>
      <c r="O2824">
        <v>4</v>
      </c>
      <c r="P2824">
        <v>3</v>
      </c>
      <c r="Q2824">
        <v>0</v>
      </c>
      <c r="R2824" t="s">
        <v>4557</v>
      </c>
      <c r="S2824" t="s">
        <v>4135</v>
      </c>
      <c r="T2824" t="s">
        <v>4559</v>
      </c>
      <c r="U2824" t="s">
        <v>4560</v>
      </c>
      <c r="V2824" s="2">
        <v>626</v>
      </c>
      <c r="W2824" t="s">
        <v>4655</v>
      </c>
      <c r="X2824" s="2">
        <v>0</v>
      </c>
      <c r="Y2824">
        <v>20</v>
      </c>
      <c r="Z2824" t="s">
        <v>5200</v>
      </c>
      <c r="AA2824" s="3">
        <v>0.15599173307418801</v>
      </c>
      <c r="AB2824" t="s">
        <v>16629</v>
      </c>
      <c r="AC2824" t="s">
        <v>4562</v>
      </c>
      <c r="AD2824" t="s">
        <v>16628</v>
      </c>
      <c r="AE2824" t="s">
        <v>4655</v>
      </c>
      <c r="AF2824" t="s">
        <v>5201</v>
      </c>
      <c r="AG2824" t="s">
        <v>4564</v>
      </c>
      <c r="AH2824" t="s">
        <v>3898</v>
      </c>
      <c r="AI2824" t="s">
        <v>4903</v>
      </c>
      <c r="AJ2824" t="s">
        <v>4655</v>
      </c>
      <c r="AK2824" t="s">
        <v>16630</v>
      </c>
      <c r="AL2824" s="13" t="s">
        <v>3425</v>
      </c>
      <c r="AM2824">
        <v>1</v>
      </c>
      <c r="AN2824" s="15" t="s">
        <v>3885</v>
      </c>
    </row>
    <row r="2825" spans="1:40" x14ac:dyDescent="0.3">
      <c r="A2825" s="10" t="str">
        <f>HYPERLINK("http://www.washoecounty.gov/assessor/cama/?parid=036-553-16&amp;CardNumber=1","036-553-16")</f>
        <v>036-553-16</v>
      </c>
      <c r="B2825" t="s">
        <v>4655</v>
      </c>
      <c r="C2825" t="s">
        <v>16631</v>
      </c>
      <c r="D2825" s="1">
        <v>40221</v>
      </c>
      <c r="E2825" s="2">
        <v>143000</v>
      </c>
      <c r="F2825" t="s">
        <v>4567</v>
      </c>
      <c r="G2825" s="17" t="str">
        <f>HYPERLINK("https://www.washoecounty.gov/assessor/cama/?command=sales&amp;parid=03655316","3848986")</f>
        <v>3848986</v>
      </c>
      <c r="H2825" t="s">
        <v>1221</v>
      </c>
      <c r="I2825">
        <v>1986</v>
      </c>
      <c r="J2825">
        <v>1986</v>
      </c>
      <c r="K2825" t="s">
        <v>4554</v>
      </c>
      <c r="L2825" t="s">
        <v>4555</v>
      </c>
      <c r="M2825" s="2">
        <v>1266</v>
      </c>
      <c r="N2825" t="s">
        <v>4048</v>
      </c>
      <c r="O2825">
        <v>3</v>
      </c>
      <c r="P2825">
        <v>2</v>
      </c>
      <c r="Q2825">
        <v>0</v>
      </c>
      <c r="R2825" t="s">
        <v>4557</v>
      </c>
      <c r="S2825" t="s">
        <v>4558</v>
      </c>
      <c r="T2825" t="s">
        <v>4559</v>
      </c>
      <c r="U2825" t="s">
        <v>4560</v>
      </c>
      <c r="V2825" s="2">
        <v>411</v>
      </c>
      <c r="W2825" t="s">
        <v>4655</v>
      </c>
      <c r="X2825" s="2">
        <v>0</v>
      </c>
      <c r="Y2825">
        <v>20</v>
      </c>
      <c r="Z2825" t="s">
        <v>5200</v>
      </c>
      <c r="AA2825" s="3">
        <v>0.119008265435696</v>
      </c>
      <c r="AB2825" t="s">
        <v>16632</v>
      </c>
      <c r="AC2825" t="s">
        <v>4562</v>
      </c>
      <c r="AD2825" t="s">
        <v>16631</v>
      </c>
      <c r="AE2825" t="s">
        <v>4655</v>
      </c>
      <c r="AF2825" t="s">
        <v>5201</v>
      </c>
      <c r="AG2825" t="s">
        <v>4564</v>
      </c>
      <c r="AH2825" t="s">
        <v>3898</v>
      </c>
      <c r="AI2825" t="s">
        <v>16633</v>
      </c>
      <c r="AJ2825" t="s">
        <v>4655</v>
      </c>
      <c r="AK2825" t="s">
        <v>16634</v>
      </c>
      <c r="AL2825" s="13" t="s">
        <v>3425</v>
      </c>
      <c r="AM2825" s="14">
        <v>1</v>
      </c>
      <c r="AN2825" s="15" t="s">
        <v>3885</v>
      </c>
    </row>
    <row r="2826" spans="1:40" x14ac:dyDescent="0.3">
      <c r="A2826" s="10" t="str">
        <f>HYPERLINK("http://www.washoecounty.gov/assessor/cama/?parid=036-553-21&amp;CardNumber=1","036-553-21")</f>
        <v>036-553-21</v>
      </c>
      <c r="B2826" t="s">
        <v>4655</v>
      </c>
      <c r="C2826" t="s">
        <v>16635</v>
      </c>
      <c r="D2826" s="1">
        <v>40389</v>
      </c>
      <c r="E2826" s="2">
        <v>129000</v>
      </c>
      <c r="F2826" t="s">
        <v>4567</v>
      </c>
      <c r="G2826" s="17" t="str">
        <f>HYPERLINK("https://www.washoecounty.gov/assessor/cama/?command=sales&amp;parid=03655321","3907361")</f>
        <v>3907361</v>
      </c>
      <c r="H2826" t="s">
        <v>16636</v>
      </c>
      <c r="I2826">
        <v>1986</v>
      </c>
      <c r="J2826">
        <v>1986</v>
      </c>
      <c r="K2826" t="s">
        <v>4554</v>
      </c>
      <c r="L2826" t="s">
        <v>4555</v>
      </c>
      <c r="M2826" s="2">
        <v>1376</v>
      </c>
      <c r="N2826" t="s">
        <v>4048</v>
      </c>
      <c r="O2826">
        <v>3</v>
      </c>
      <c r="P2826">
        <v>2</v>
      </c>
      <c r="Q2826">
        <v>0</v>
      </c>
      <c r="R2826" t="s">
        <v>4557</v>
      </c>
      <c r="S2826" t="s">
        <v>4558</v>
      </c>
      <c r="T2826" t="s">
        <v>4559</v>
      </c>
      <c r="U2826" t="s">
        <v>4560</v>
      </c>
      <c r="V2826" s="2">
        <v>416</v>
      </c>
      <c r="W2826" t="s">
        <v>4655</v>
      </c>
      <c r="X2826" s="2">
        <v>0</v>
      </c>
      <c r="Y2826">
        <v>20</v>
      </c>
      <c r="Z2826" t="s">
        <v>5200</v>
      </c>
      <c r="AA2826" s="3">
        <v>0.110996328294277</v>
      </c>
      <c r="AB2826" t="s">
        <v>16637</v>
      </c>
      <c r="AC2826" t="s">
        <v>4562</v>
      </c>
      <c r="AD2826" t="s">
        <v>16635</v>
      </c>
      <c r="AE2826" t="s">
        <v>4655</v>
      </c>
      <c r="AF2826" t="s">
        <v>5201</v>
      </c>
      <c r="AG2826" t="s">
        <v>4564</v>
      </c>
      <c r="AH2826" t="s">
        <v>3898</v>
      </c>
      <c r="AI2826" t="s">
        <v>4655</v>
      </c>
      <c r="AJ2826" t="s">
        <v>4655</v>
      </c>
      <c r="AK2826" t="s">
        <v>16638</v>
      </c>
      <c r="AL2826" s="13" t="s">
        <v>3425</v>
      </c>
      <c r="AM2826">
        <v>1</v>
      </c>
      <c r="AN2826" s="15" t="s">
        <v>3885</v>
      </c>
    </row>
    <row r="2827" spans="1:40" x14ac:dyDescent="0.3">
      <c r="A2827" s="10" t="str">
        <f>HYPERLINK("http://www.washoecounty.gov/assessor/cama/?parid=036-554-07&amp;CardNumber=1","036-554-07")</f>
        <v>036-554-07</v>
      </c>
      <c r="B2827" t="s">
        <v>4655</v>
      </c>
      <c r="C2827" t="s">
        <v>16639</v>
      </c>
      <c r="D2827" s="1">
        <v>40388</v>
      </c>
      <c r="E2827" s="2">
        <v>147000</v>
      </c>
      <c r="F2827" t="s">
        <v>4567</v>
      </c>
      <c r="G2827" s="17" t="str">
        <f>HYPERLINK("https://www.washoecounty.gov/assessor/cama/?command=sales&amp;parid=03655407","3906640")</f>
        <v>3906640</v>
      </c>
      <c r="H2827" t="s">
        <v>1221</v>
      </c>
      <c r="I2827">
        <v>1986</v>
      </c>
      <c r="J2827">
        <v>1986</v>
      </c>
      <c r="K2827" t="s">
        <v>4554</v>
      </c>
      <c r="L2827" t="s">
        <v>4555</v>
      </c>
      <c r="M2827" s="2">
        <v>1376</v>
      </c>
      <c r="N2827" t="s">
        <v>4048</v>
      </c>
      <c r="O2827">
        <v>3</v>
      </c>
      <c r="P2827">
        <v>2</v>
      </c>
      <c r="Q2827">
        <v>0</v>
      </c>
      <c r="R2827" t="s">
        <v>5281</v>
      </c>
      <c r="S2827" t="s">
        <v>4558</v>
      </c>
      <c r="T2827" t="s">
        <v>4559</v>
      </c>
      <c r="U2827" t="s">
        <v>4560</v>
      </c>
      <c r="V2827" s="2">
        <v>416</v>
      </c>
      <c r="W2827" t="s">
        <v>4655</v>
      </c>
      <c r="X2827" s="2">
        <v>0</v>
      </c>
      <c r="Y2827">
        <v>20</v>
      </c>
      <c r="Z2827" t="s">
        <v>5200</v>
      </c>
      <c r="AA2827" s="3">
        <v>0.110996328294277</v>
      </c>
      <c r="AB2827" t="s">
        <v>16640</v>
      </c>
      <c r="AC2827" t="s">
        <v>4562</v>
      </c>
      <c r="AD2827" t="s">
        <v>16639</v>
      </c>
      <c r="AE2827" t="s">
        <v>4655</v>
      </c>
      <c r="AF2827" t="s">
        <v>5201</v>
      </c>
      <c r="AG2827" t="s">
        <v>4564</v>
      </c>
      <c r="AH2827" t="s">
        <v>3898</v>
      </c>
      <c r="AI2827" t="s">
        <v>16641</v>
      </c>
      <c r="AJ2827" t="s">
        <v>4655</v>
      </c>
      <c r="AK2827" t="s">
        <v>16642</v>
      </c>
      <c r="AL2827" s="13" t="s">
        <v>3425</v>
      </c>
      <c r="AM2827">
        <v>1</v>
      </c>
      <c r="AN2827" s="15" t="s">
        <v>3885</v>
      </c>
    </row>
    <row r="2828" spans="1:40" x14ac:dyDescent="0.3">
      <c r="A2828" s="10" t="str">
        <f>HYPERLINK("http://www.washoecounty.gov/assessor/cama/?parid=036-554-16&amp;CardNumber=1","036-554-16")</f>
        <v>036-554-16</v>
      </c>
      <c r="B2828" t="s">
        <v>4655</v>
      </c>
      <c r="C2828" t="s">
        <v>16643</v>
      </c>
      <c r="D2828" s="1">
        <v>40207</v>
      </c>
      <c r="E2828" s="2">
        <v>137000</v>
      </c>
      <c r="F2828" t="s">
        <v>4567</v>
      </c>
      <c r="G2828" s="17" t="str">
        <f>HYPERLINK("https://www.washoecounty.gov/assessor/cama/?command=sales&amp;parid=03655416","3844445")</f>
        <v>3844445</v>
      </c>
      <c r="H2828" t="s">
        <v>1222</v>
      </c>
      <c r="I2828">
        <v>1986</v>
      </c>
      <c r="J2828">
        <v>1986</v>
      </c>
      <c r="K2828" t="s">
        <v>4554</v>
      </c>
      <c r="L2828" t="s">
        <v>4555</v>
      </c>
      <c r="M2828" s="2">
        <v>1376</v>
      </c>
      <c r="N2828" t="s">
        <v>4048</v>
      </c>
      <c r="O2828">
        <v>3</v>
      </c>
      <c r="P2828">
        <v>2</v>
      </c>
      <c r="Q2828">
        <v>0</v>
      </c>
      <c r="R2828" t="s">
        <v>4557</v>
      </c>
      <c r="S2828" t="s">
        <v>4558</v>
      </c>
      <c r="T2828" t="s">
        <v>4559</v>
      </c>
      <c r="U2828" t="s">
        <v>4560</v>
      </c>
      <c r="V2828" s="2">
        <v>416</v>
      </c>
      <c r="W2828" t="s">
        <v>4655</v>
      </c>
      <c r="X2828" s="2">
        <v>0</v>
      </c>
      <c r="Y2828">
        <v>20</v>
      </c>
      <c r="Z2828" t="s">
        <v>5200</v>
      </c>
      <c r="AA2828" s="3">
        <v>0.114990815520287</v>
      </c>
      <c r="AB2828" t="s">
        <v>16644</v>
      </c>
      <c r="AC2828" t="s">
        <v>4562</v>
      </c>
      <c r="AD2828" t="s">
        <v>16645</v>
      </c>
      <c r="AE2828" t="s">
        <v>4655</v>
      </c>
      <c r="AF2828" t="s">
        <v>4809</v>
      </c>
      <c r="AG2828" t="s">
        <v>4564</v>
      </c>
      <c r="AH2828" t="s">
        <v>1605</v>
      </c>
      <c r="AI2828" t="s">
        <v>16646</v>
      </c>
      <c r="AJ2828" t="s">
        <v>4655</v>
      </c>
      <c r="AK2828" t="s">
        <v>16647</v>
      </c>
      <c r="AL2828" s="13" t="s">
        <v>3425</v>
      </c>
      <c r="AM2828" s="14">
        <v>1</v>
      </c>
      <c r="AN2828" s="15" t="s">
        <v>3885</v>
      </c>
    </row>
    <row r="2829" spans="1:40" x14ac:dyDescent="0.3">
      <c r="A2829" s="10" t="str">
        <f>HYPERLINK("http://www.washoecounty.gov/assessor/cama/?parid=036-554-17&amp;CardNumber=1","036-554-17")</f>
        <v>036-554-17</v>
      </c>
      <c r="B2829" t="s">
        <v>4655</v>
      </c>
      <c r="C2829" t="s">
        <v>16648</v>
      </c>
      <c r="D2829" s="1">
        <v>40423</v>
      </c>
      <c r="E2829" s="2">
        <v>152000</v>
      </c>
      <c r="F2829" t="s">
        <v>4567</v>
      </c>
      <c r="G2829" s="17" t="str">
        <f>HYPERLINK("https://www.washoecounty.gov/assessor/cama/?command=sales&amp;parid=03655417","3918425")</f>
        <v>3918425</v>
      </c>
      <c r="H2829" t="s">
        <v>1221</v>
      </c>
      <c r="I2829">
        <v>1986</v>
      </c>
      <c r="J2829">
        <v>1986</v>
      </c>
      <c r="K2829" t="s">
        <v>4554</v>
      </c>
      <c r="L2829" t="s">
        <v>3974</v>
      </c>
      <c r="M2829" s="2">
        <v>1732</v>
      </c>
      <c r="N2829" t="s">
        <v>4048</v>
      </c>
      <c r="O2829">
        <v>3</v>
      </c>
      <c r="P2829">
        <v>2</v>
      </c>
      <c r="Q2829">
        <v>1</v>
      </c>
      <c r="R2829" t="s">
        <v>4557</v>
      </c>
      <c r="S2829" t="s">
        <v>4558</v>
      </c>
      <c r="T2829" t="s">
        <v>4559</v>
      </c>
      <c r="U2829" t="s">
        <v>5631</v>
      </c>
      <c r="V2829" s="2">
        <v>432</v>
      </c>
      <c r="W2829" t="s">
        <v>4655</v>
      </c>
      <c r="X2829" s="2">
        <v>0</v>
      </c>
      <c r="Y2829">
        <v>20</v>
      </c>
      <c r="Z2829" t="s">
        <v>5200</v>
      </c>
      <c r="AA2829" s="3">
        <v>0.10599173605442</v>
      </c>
      <c r="AB2829" t="s">
        <v>16649</v>
      </c>
      <c r="AC2829" t="s">
        <v>4562</v>
      </c>
      <c r="AD2829" t="s">
        <v>16648</v>
      </c>
      <c r="AE2829" t="s">
        <v>4655</v>
      </c>
      <c r="AF2829" t="s">
        <v>5201</v>
      </c>
      <c r="AG2829" t="s">
        <v>4564</v>
      </c>
      <c r="AH2829" t="s">
        <v>3898</v>
      </c>
      <c r="AI2829" t="s">
        <v>16650</v>
      </c>
      <c r="AJ2829" t="s">
        <v>4655</v>
      </c>
      <c r="AK2829" t="s">
        <v>16651</v>
      </c>
      <c r="AL2829" s="13" t="s">
        <v>3425</v>
      </c>
      <c r="AM2829">
        <v>1</v>
      </c>
      <c r="AN2829" s="15" t="s">
        <v>3885</v>
      </c>
    </row>
    <row r="2830" spans="1:40" x14ac:dyDescent="0.3">
      <c r="A2830" s="10" t="str">
        <f>HYPERLINK("http://www.washoecounty.gov/assessor/cama/?parid=036-571-05&amp;CardNumber=1","036-571-05")</f>
        <v>036-571-05</v>
      </c>
      <c r="B2830" t="s">
        <v>4655</v>
      </c>
      <c r="C2830" t="s">
        <v>16652</v>
      </c>
      <c r="D2830" s="1">
        <v>40359</v>
      </c>
      <c r="E2830" s="2">
        <v>149000</v>
      </c>
      <c r="F2830" t="s">
        <v>4567</v>
      </c>
      <c r="G2830" s="17" t="str">
        <f>HYPERLINK("https://www.washoecounty.gov/assessor/cama/?command=sales&amp;parid=03657105","3897032")</f>
        <v>3897032</v>
      </c>
      <c r="H2830" t="s">
        <v>55</v>
      </c>
      <c r="I2830">
        <v>1986</v>
      </c>
      <c r="J2830">
        <v>1986</v>
      </c>
      <c r="K2830" t="s">
        <v>4554</v>
      </c>
      <c r="L2830" t="s">
        <v>3974</v>
      </c>
      <c r="M2830" s="2">
        <v>1784</v>
      </c>
      <c r="N2830" t="s">
        <v>4048</v>
      </c>
      <c r="O2830">
        <v>4</v>
      </c>
      <c r="P2830">
        <v>2</v>
      </c>
      <c r="Q2830">
        <v>1</v>
      </c>
      <c r="R2830" t="s">
        <v>4557</v>
      </c>
      <c r="S2830" t="s">
        <v>4135</v>
      </c>
      <c r="T2830" t="s">
        <v>4559</v>
      </c>
      <c r="U2830" t="s">
        <v>4560</v>
      </c>
      <c r="V2830" s="2">
        <v>471</v>
      </c>
      <c r="W2830" t="s">
        <v>4655</v>
      </c>
      <c r="X2830" s="2">
        <v>0</v>
      </c>
      <c r="Y2830">
        <v>20</v>
      </c>
      <c r="Z2830" t="s">
        <v>5200</v>
      </c>
      <c r="AA2830" s="3">
        <v>0.119995407760143</v>
      </c>
      <c r="AB2830" t="s">
        <v>16653</v>
      </c>
      <c r="AC2830" t="s">
        <v>4562</v>
      </c>
      <c r="AD2830" t="s">
        <v>16652</v>
      </c>
      <c r="AE2830" t="s">
        <v>4655</v>
      </c>
      <c r="AF2830" t="s">
        <v>5201</v>
      </c>
      <c r="AG2830" t="s">
        <v>4564</v>
      </c>
      <c r="AH2830" t="s">
        <v>3898</v>
      </c>
      <c r="AI2830" t="s">
        <v>16654</v>
      </c>
      <c r="AJ2830" t="s">
        <v>4655</v>
      </c>
      <c r="AK2830" t="s">
        <v>16655</v>
      </c>
      <c r="AL2830" s="13" t="s">
        <v>3425</v>
      </c>
      <c r="AM2830">
        <v>1</v>
      </c>
      <c r="AN2830" s="15" t="s">
        <v>3885</v>
      </c>
    </row>
    <row r="2831" spans="1:40" x14ac:dyDescent="0.3">
      <c r="A2831" s="10" t="str">
        <f>HYPERLINK("http://www.washoecounty.gov/assessor/cama/?parid=036-572-07&amp;CardNumber=1","036-572-07")</f>
        <v>036-572-07</v>
      </c>
      <c r="B2831" t="s">
        <v>4655</v>
      </c>
      <c r="C2831" t="s">
        <v>16656</v>
      </c>
      <c r="D2831" s="1">
        <v>40445</v>
      </c>
      <c r="E2831" s="2">
        <v>114900</v>
      </c>
      <c r="F2831" t="s">
        <v>4553</v>
      </c>
      <c r="G2831" s="17" t="str">
        <f>HYPERLINK("https://www.washoecounty.gov/assessor/cama/?command=sales&amp;parid=03657207","3926096")</f>
        <v>3926096</v>
      </c>
      <c r="H2831" t="s">
        <v>55</v>
      </c>
      <c r="I2831">
        <v>1986</v>
      </c>
      <c r="J2831">
        <v>1986</v>
      </c>
      <c r="K2831" t="s">
        <v>4554</v>
      </c>
      <c r="L2831" t="s">
        <v>3974</v>
      </c>
      <c r="M2831" s="2">
        <v>1508</v>
      </c>
      <c r="N2831" t="s">
        <v>4048</v>
      </c>
      <c r="O2831">
        <v>3</v>
      </c>
      <c r="P2831">
        <v>2</v>
      </c>
      <c r="Q2831">
        <v>1</v>
      </c>
      <c r="R2831" t="s">
        <v>4557</v>
      </c>
      <c r="S2831" t="s">
        <v>4558</v>
      </c>
      <c r="T2831" t="s">
        <v>4559</v>
      </c>
      <c r="U2831" t="s">
        <v>4560</v>
      </c>
      <c r="V2831" s="2">
        <v>684</v>
      </c>
      <c r="W2831" t="s">
        <v>4655</v>
      </c>
      <c r="X2831" s="2">
        <v>0</v>
      </c>
      <c r="Y2831">
        <v>20</v>
      </c>
      <c r="Z2831" t="s">
        <v>5200</v>
      </c>
      <c r="AA2831" s="3">
        <v>0.13799357414245605</v>
      </c>
      <c r="AB2831" t="s">
        <v>16657</v>
      </c>
      <c r="AC2831" t="s">
        <v>4562</v>
      </c>
      <c r="AD2831" t="s">
        <v>16658</v>
      </c>
      <c r="AE2831" t="s">
        <v>4655</v>
      </c>
      <c r="AF2831" t="s">
        <v>5168</v>
      </c>
      <c r="AG2831" t="s">
        <v>5277</v>
      </c>
      <c r="AH2831" t="s">
        <v>5169</v>
      </c>
      <c r="AI2831" t="s">
        <v>1673</v>
      </c>
      <c r="AJ2831" t="s">
        <v>4655</v>
      </c>
      <c r="AK2831" t="s">
        <v>16659</v>
      </c>
      <c r="AL2831" s="13" t="s">
        <v>3425</v>
      </c>
      <c r="AM2831" s="14">
        <v>1</v>
      </c>
      <c r="AN2831" s="15" t="s">
        <v>3885</v>
      </c>
    </row>
    <row r="2832" spans="1:40" x14ac:dyDescent="0.3">
      <c r="A2832" s="10" t="str">
        <f>HYPERLINK("http://www.washoecounty.gov/assessor/cama/?parid=036-601-22&amp;CardNumber=1","036-601-22")</f>
        <v>036-601-22</v>
      </c>
      <c r="B2832" t="s">
        <v>4655</v>
      </c>
      <c r="C2832" t="s">
        <v>16660</v>
      </c>
      <c r="D2832" s="1">
        <v>40270</v>
      </c>
      <c r="E2832" s="2">
        <v>138000</v>
      </c>
      <c r="F2832" t="s">
        <v>4567</v>
      </c>
      <c r="G2832" s="17" t="str">
        <f>HYPERLINK("https://www.washoecounty.gov/assessor/cama/?command=sales&amp;parid=03660122","3867053")</f>
        <v>3867053</v>
      </c>
      <c r="H2832" t="s">
        <v>5020</v>
      </c>
      <c r="I2832">
        <v>1987</v>
      </c>
      <c r="J2832">
        <v>1987</v>
      </c>
      <c r="K2832" t="s">
        <v>4554</v>
      </c>
      <c r="L2832" t="s">
        <v>4555</v>
      </c>
      <c r="M2832" s="2">
        <v>1266</v>
      </c>
      <c r="N2832" t="s">
        <v>4048</v>
      </c>
      <c r="O2832">
        <v>3</v>
      </c>
      <c r="P2832">
        <v>2</v>
      </c>
      <c r="Q2832">
        <v>0</v>
      </c>
      <c r="R2832" t="s">
        <v>4557</v>
      </c>
      <c r="S2832" t="s">
        <v>4558</v>
      </c>
      <c r="T2832" t="s">
        <v>4559</v>
      </c>
      <c r="U2832" t="s">
        <v>4560</v>
      </c>
      <c r="V2832" s="2">
        <v>411</v>
      </c>
      <c r="W2832" t="s">
        <v>4655</v>
      </c>
      <c r="X2832" s="2">
        <v>0</v>
      </c>
      <c r="Y2832">
        <v>20</v>
      </c>
      <c r="Z2832" t="s">
        <v>5200</v>
      </c>
      <c r="AA2832" s="3">
        <v>9.6005506813526195E-2</v>
      </c>
      <c r="AB2832" t="s">
        <v>11611</v>
      </c>
      <c r="AC2832" t="s">
        <v>4575</v>
      </c>
      <c r="AD2832" t="s">
        <v>11612</v>
      </c>
      <c r="AE2832" t="s">
        <v>4416</v>
      </c>
      <c r="AF2832" t="s">
        <v>4563</v>
      </c>
      <c r="AG2832" t="s">
        <v>4564</v>
      </c>
      <c r="AH2832" t="s">
        <v>2330</v>
      </c>
      <c r="AI2832" t="s">
        <v>16661</v>
      </c>
      <c r="AJ2832" t="s">
        <v>4655</v>
      </c>
      <c r="AK2832" t="s">
        <v>16662</v>
      </c>
      <c r="AL2832" s="13" t="s">
        <v>1886</v>
      </c>
      <c r="AM2832">
        <v>1</v>
      </c>
      <c r="AN2832" s="15" t="s">
        <v>3885</v>
      </c>
    </row>
    <row r="2833" spans="1:40" x14ac:dyDescent="0.3">
      <c r="A2833" s="10" t="str">
        <f>HYPERLINK("http://www.washoecounty.gov/assessor/cama/?parid=036-602-18&amp;CardNumber=1","036-602-18")</f>
        <v>036-602-18</v>
      </c>
      <c r="B2833" t="s">
        <v>4655</v>
      </c>
      <c r="C2833" t="s">
        <v>16663</v>
      </c>
      <c r="D2833" s="1">
        <v>40326</v>
      </c>
      <c r="E2833" s="2">
        <v>138000</v>
      </c>
      <c r="F2833" t="s">
        <v>4553</v>
      </c>
      <c r="G2833" s="17" t="str">
        <f>HYPERLINK("https://www.washoecounty.gov/assessor/cama/?command=sales&amp;parid=03660218","3886577")</f>
        <v>3886577</v>
      </c>
      <c r="H2833" t="s">
        <v>4837</v>
      </c>
      <c r="I2833">
        <v>1987</v>
      </c>
      <c r="J2833">
        <v>1987</v>
      </c>
      <c r="K2833" t="s">
        <v>4554</v>
      </c>
      <c r="L2833" t="s">
        <v>4555</v>
      </c>
      <c r="M2833" s="2">
        <v>1164</v>
      </c>
      <c r="N2833" t="s">
        <v>4048</v>
      </c>
      <c r="O2833">
        <v>2</v>
      </c>
      <c r="P2833">
        <v>2</v>
      </c>
      <c r="Q2833">
        <v>0</v>
      </c>
      <c r="R2833" t="s">
        <v>5281</v>
      </c>
      <c r="S2833" t="s">
        <v>4135</v>
      </c>
      <c r="T2833" t="s">
        <v>4559</v>
      </c>
      <c r="U2833" t="s">
        <v>4560</v>
      </c>
      <c r="V2833" s="2">
        <v>420</v>
      </c>
      <c r="W2833" t="s">
        <v>4655</v>
      </c>
      <c r="X2833" s="2">
        <v>0</v>
      </c>
      <c r="Y2833">
        <v>20</v>
      </c>
      <c r="Z2833" t="s">
        <v>5200</v>
      </c>
      <c r="AA2833" s="3">
        <v>9.6005506813526195E-2</v>
      </c>
      <c r="AB2833" t="s">
        <v>16664</v>
      </c>
      <c r="AC2833" t="s">
        <v>4562</v>
      </c>
      <c r="AD2833" t="s">
        <v>16663</v>
      </c>
      <c r="AE2833" t="s">
        <v>4655</v>
      </c>
      <c r="AF2833" t="s">
        <v>5201</v>
      </c>
      <c r="AG2833" t="s">
        <v>4564</v>
      </c>
      <c r="AH2833" t="s">
        <v>3898</v>
      </c>
      <c r="AI2833" t="s">
        <v>4903</v>
      </c>
      <c r="AJ2833" t="s">
        <v>4655</v>
      </c>
      <c r="AK2833" t="s">
        <v>16665</v>
      </c>
      <c r="AL2833" s="13" t="s">
        <v>1886</v>
      </c>
      <c r="AM2833" s="14">
        <v>1</v>
      </c>
      <c r="AN2833" s="15" t="s">
        <v>3885</v>
      </c>
    </row>
    <row r="2834" spans="1:40" x14ac:dyDescent="0.3">
      <c r="A2834" s="10" t="str">
        <f>HYPERLINK("http://www.washoecounty.gov/assessor/cama/?parid=036-604-26&amp;CardNumber=1","036-604-26")</f>
        <v>036-604-26</v>
      </c>
      <c r="B2834" t="s">
        <v>4655</v>
      </c>
      <c r="C2834" t="s">
        <v>16666</v>
      </c>
      <c r="D2834" s="1">
        <v>40476</v>
      </c>
      <c r="E2834" s="2">
        <v>125000</v>
      </c>
      <c r="F2834" t="s">
        <v>4553</v>
      </c>
      <c r="G2834" s="17" t="str">
        <f>HYPERLINK("https://www.washoecounty.gov/assessor/cama/?command=sales&amp;parid=03660426","3936142")</f>
        <v>3936142</v>
      </c>
      <c r="H2834" t="s">
        <v>5020</v>
      </c>
      <c r="I2834">
        <v>1987</v>
      </c>
      <c r="J2834">
        <v>1987</v>
      </c>
      <c r="K2834" t="s">
        <v>4554</v>
      </c>
      <c r="L2834" t="s">
        <v>3974</v>
      </c>
      <c r="M2834" s="2">
        <v>1508</v>
      </c>
      <c r="N2834" t="s">
        <v>4048</v>
      </c>
      <c r="O2834">
        <v>3</v>
      </c>
      <c r="P2834">
        <v>2</v>
      </c>
      <c r="Q2834">
        <v>1</v>
      </c>
      <c r="R2834" t="s">
        <v>4557</v>
      </c>
      <c r="S2834" t="s">
        <v>4135</v>
      </c>
      <c r="T2834" t="s">
        <v>4559</v>
      </c>
      <c r="U2834" t="s">
        <v>4560</v>
      </c>
      <c r="V2834" s="2">
        <v>484</v>
      </c>
      <c r="W2834" t="s">
        <v>4655</v>
      </c>
      <c r="X2834" s="2">
        <v>0</v>
      </c>
      <c r="Y2834">
        <v>20</v>
      </c>
      <c r="Z2834" t="s">
        <v>5200</v>
      </c>
      <c r="AA2834" s="3">
        <v>9.2011019587516799E-2</v>
      </c>
      <c r="AB2834" t="s">
        <v>16667</v>
      </c>
      <c r="AC2834" t="s">
        <v>4562</v>
      </c>
      <c r="AD2834" t="s">
        <v>16666</v>
      </c>
      <c r="AE2834" t="s">
        <v>4655</v>
      </c>
      <c r="AF2834" t="s">
        <v>5201</v>
      </c>
      <c r="AG2834" t="s">
        <v>4564</v>
      </c>
      <c r="AH2834" t="s">
        <v>3898</v>
      </c>
      <c r="AI2834" t="s">
        <v>4045</v>
      </c>
      <c r="AJ2834" t="s">
        <v>4655</v>
      </c>
      <c r="AK2834" t="s">
        <v>16668</v>
      </c>
      <c r="AL2834" s="13" t="s">
        <v>1886</v>
      </c>
      <c r="AM2834" s="14">
        <v>1</v>
      </c>
      <c r="AN2834" s="15" t="s">
        <v>3885</v>
      </c>
    </row>
    <row r="2835" spans="1:40" x14ac:dyDescent="0.3">
      <c r="A2835" s="10" t="str">
        <f>HYPERLINK("http://www.washoecounty.gov/assessor/cama/?parid=036-622-01&amp;CardNumber=1","036-622-01")</f>
        <v>036-622-01</v>
      </c>
      <c r="B2835" t="s">
        <v>4655</v>
      </c>
      <c r="C2835" t="s">
        <v>16669</v>
      </c>
      <c r="D2835" s="1">
        <v>40351</v>
      </c>
      <c r="E2835" s="2">
        <v>145000</v>
      </c>
      <c r="F2835" t="s">
        <v>4567</v>
      </c>
      <c r="G2835" s="17" t="str">
        <f>HYPERLINK("https://www.washoecounty.gov/assessor/cama/?command=sales&amp;parid=03662201","3894318")</f>
        <v>3894318</v>
      </c>
      <c r="H2835" t="s">
        <v>230</v>
      </c>
      <c r="I2835">
        <v>1990</v>
      </c>
      <c r="J2835">
        <v>1990</v>
      </c>
      <c r="K2835" t="s">
        <v>4554</v>
      </c>
      <c r="L2835" t="s">
        <v>4555</v>
      </c>
      <c r="M2835" s="2">
        <v>1266</v>
      </c>
      <c r="N2835" t="s">
        <v>4048</v>
      </c>
      <c r="O2835">
        <v>3</v>
      </c>
      <c r="P2835">
        <v>2</v>
      </c>
      <c r="Q2835">
        <v>0</v>
      </c>
      <c r="R2835" t="s">
        <v>4557</v>
      </c>
      <c r="S2835" t="s">
        <v>4558</v>
      </c>
      <c r="T2835" t="s">
        <v>4559</v>
      </c>
      <c r="U2835" t="s">
        <v>4560</v>
      </c>
      <c r="V2835" s="2">
        <v>411</v>
      </c>
      <c r="W2835" t="s">
        <v>4655</v>
      </c>
      <c r="X2835" s="2">
        <v>0</v>
      </c>
      <c r="Y2835">
        <v>20</v>
      </c>
      <c r="Z2835" t="s">
        <v>4908</v>
      </c>
      <c r="AA2835" s="3">
        <v>0.11799816042184801</v>
      </c>
      <c r="AB2835" t="s">
        <v>16670</v>
      </c>
      <c r="AC2835" t="s">
        <v>4562</v>
      </c>
      <c r="AD2835" t="s">
        <v>16671</v>
      </c>
      <c r="AE2835" t="s">
        <v>4655</v>
      </c>
      <c r="AF2835" t="s">
        <v>5201</v>
      </c>
      <c r="AG2835" t="s">
        <v>4564</v>
      </c>
      <c r="AH2835" t="s">
        <v>3898</v>
      </c>
      <c r="AI2835" t="s">
        <v>16672</v>
      </c>
      <c r="AJ2835" t="s">
        <v>4655</v>
      </c>
      <c r="AK2835" t="s">
        <v>16673</v>
      </c>
      <c r="AL2835" s="13" t="s">
        <v>3425</v>
      </c>
      <c r="AM2835">
        <v>1</v>
      </c>
      <c r="AN2835" s="15" t="s">
        <v>3885</v>
      </c>
    </row>
    <row r="2836" spans="1:40" x14ac:dyDescent="0.3">
      <c r="A2836" s="10" t="str">
        <f>HYPERLINK("http://www.washoecounty.gov/assessor/cama/?parid=036-632-03&amp;CardNumber=1","036-632-03")</f>
        <v>036-632-03</v>
      </c>
      <c r="B2836" t="s">
        <v>4655</v>
      </c>
      <c r="C2836" t="s">
        <v>16674</v>
      </c>
      <c r="D2836" s="1">
        <v>40303</v>
      </c>
      <c r="E2836" s="2">
        <v>120000</v>
      </c>
      <c r="F2836" t="s">
        <v>4567</v>
      </c>
      <c r="G2836" s="17" t="str">
        <f>HYPERLINK("https://www.washoecounty.gov/assessor/cama/?command=sales&amp;parid=03663203","3878163")</f>
        <v>3878163</v>
      </c>
      <c r="H2836" t="s">
        <v>277</v>
      </c>
      <c r="I2836">
        <v>1989</v>
      </c>
      <c r="J2836">
        <v>1989</v>
      </c>
      <c r="K2836" t="s">
        <v>4554</v>
      </c>
      <c r="L2836" t="s">
        <v>4555</v>
      </c>
      <c r="M2836" s="2">
        <v>1266</v>
      </c>
      <c r="N2836" t="s">
        <v>4048</v>
      </c>
      <c r="O2836">
        <v>3</v>
      </c>
      <c r="P2836">
        <v>2</v>
      </c>
      <c r="Q2836">
        <v>0</v>
      </c>
      <c r="R2836" t="s">
        <v>4557</v>
      </c>
      <c r="S2836" t="s">
        <v>4135</v>
      </c>
      <c r="T2836" t="s">
        <v>4559</v>
      </c>
      <c r="U2836" t="s">
        <v>4560</v>
      </c>
      <c r="V2836" s="2">
        <v>411</v>
      </c>
      <c r="W2836" t="s">
        <v>4655</v>
      </c>
      <c r="X2836" s="2">
        <v>0</v>
      </c>
      <c r="Y2836">
        <v>20</v>
      </c>
      <c r="Z2836" t="s">
        <v>4908</v>
      </c>
      <c r="AA2836" s="3">
        <v>9.6992656588554396E-2</v>
      </c>
      <c r="AB2836" t="s">
        <v>16675</v>
      </c>
      <c r="AC2836" t="s">
        <v>4562</v>
      </c>
      <c r="AD2836" t="s">
        <v>16674</v>
      </c>
      <c r="AE2836" t="s">
        <v>4655</v>
      </c>
      <c r="AF2836" t="s">
        <v>5201</v>
      </c>
      <c r="AG2836" t="s">
        <v>4564</v>
      </c>
      <c r="AH2836" t="s">
        <v>3898</v>
      </c>
      <c r="AI2836" t="s">
        <v>16676</v>
      </c>
      <c r="AJ2836" t="s">
        <v>4655</v>
      </c>
      <c r="AK2836" t="s">
        <v>16677</v>
      </c>
      <c r="AL2836" s="13" t="s">
        <v>3425</v>
      </c>
      <c r="AM2836">
        <v>1</v>
      </c>
      <c r="AN2836" s="15" t="s">
        <v>3885</v>
      </c>
    </row>
    <row r="2837" spans="1:40" x14ac:dyDescent="0.3">
      <c r="A2837" s="10" t="str">
        <f>HYPERLINK("http://www.washoecounty.gov/assessor/cama/?parid=036-632-04&amp;CardNumber=1","036-632-04")</f>
        <v>036-632-04</v>
      </c>
      <c r="B2837" t="s">
        <v>4655</v>
      </c>
      <c r="C2837" t="s">
        <v>16678</v>
      </c>
      <c r="D2837" s="1">
        <v>40415</v>
      </c>
      <c r="E2837" s="2">
        <v>125000</v>
      </c>
      <c r="F2837" t="s">
        <v>4567</v>
      </c>
      <c r="G2837" s="17" t="str">
        <f>HYPERLINK("https://www.washoecounty.gov/assessor/cama/?command=sales&amp;parid=03663204","3915324")</f>
        <v>3915324</v>
      </c>
      <c r="H2837" t="s">
        <v>16679</v>
      </c>
      <c r="I2837">
        <v>1989</v>
      </c>
      <c r="J2837">
        <v>1989</v>
      </c>
      <c r="K2837" t="s">
        <v>4554</v>
      </c>
      <c r="L2837" t="s">
        <v>4555</v>
      </c>
      <c r="M2837" s="2">
        <v>1164</v>
      </c>
      <c r="N2837" t="s">
        <v>4048</v>
      </c>
      <c r="O2837">
        <v>2</v>
      </c>
      <c r="P2837">
        <v>2</v>
      </c>
      <c r="Q2837">
        <v>0</v>
      </c>
      <c r="R2837" t="s">
        <v>4557</v>
      </c>
      <c r="S2837" t="s">
        <v>4898</v>
      </c>
      <c r="T2837" t="s">
        <v>4559</v>
      </c>
      <c r="U2837" t="s">
        <v>4560</v>
      </c>
      <c r="V2837" s="2">
        <v>420</v>
      </c>
      <c r="W2837" t="s">
        <v>4655</v>
      </c>
      <c r="X2837" s="2">
        <v>0</v>
      </c>
      <c r="Y2837">
        <v>20</v>
      </c>
      <c r="Z2837" t="s">
        <v>4908</v>
      </c>
      <c r="AA2837" s="3">
        <v>9.6992656588554396E-2</v>
      </c>
      <c r="AB2837" t="s">
        <v>16680</v>
      </c>
      <c r="AC2837" t="s">
        <v>4562</v>
      </c>
      <c r="AD2837" t="s">
        <v>16678</v>
      </c>
      <c r="AE2837" t="s">
        <v>4655</v>
      </c>
      <c r="AF2837" t="s">
        <v>5201</v>
      </c>
      <c r="AG2837" t="s">
        <v>4564</v>
      </c>
      <c r="AH2837" t="s">
        <v>3898</v>
      </c>
      <c r="AI2837" t="s">
        <v>16681</v>
      </c>
      <c r="AJ2837" t="s">
        <v>4655</v>
      </c>
      <c r="AK2837" t="s">
        <v>16682</v>
      </c>
      <c r="AL2837" s="13" t="s">
        <v>3425</v>
      </c>
      <c r="AM2837">
        <v>1</v>
      </c>
      <c r="AN2837" s="15" t="s">
        <v>3885</v>
      </c>
    </row>
    <row r="2838" spans="1:40" x14ac:dyDescent="0.3">
      <c r="A2838" s="10" t="str">
        <f>HYPERLINK("http://www.washoecounty.gov/assessor/cama/?parid=036-632-09&amp;CardNumber=1","036-632-09")</f>
        <v>036-632-09</v>
      </c>
      <c r="B2838" t="s">
        <v>4655</v>
      </c>
      <c r="C2838" t="s">
        <v>16683</v>
      </c>
      <c r="D2838" s="1">
        <v>40256</v>
      </c>
      <c r="E2838" s="2">
        <v>169000</v>
      </c>
      <c r="F2838" t="s">
        <v>4567</v>
      </c>
      <c r="G2838" s="17" t="str">
        <f>HYPERLINK("https://www.washoecounty.gov/assessor/cama/?command=sales&amp;parid=03663209","3861745")</f>
        <v>3861745</v>
      </c>
      <c r="H2838" t="s">
        <v>4594</v>
      </c>
      <c r="I2838">
        <v>1989</v>
      </c>
      <c r="J2838">
        <v>1989</v>
      </c>
      <c r="K2838" t="s">
        <v>4554</v>
      </c>
      <c r="L2838" t="s">
        <v>3974</v>
      </c>
      <c r="M2838" s="2">
        <v>1790</v>
      </c>
      <c r="N2838" t="s">
        <v>4048</v>
      </c>
      <c r="O2838">
        <v>3</v>
      </c>
      <c r="P2838">
        <v>2</v>
      </c>
      <c r="Q2838">
        <v>1</v>
      </c>
      <c r="R2838" t="s">
        <v>5281</v>
      </c>
      <c r="S2838" t="s">
        <v>4135</v>
      </c>
      <c r="T2838" t="s">
        <v>4559</v>
      </c>
      <c r="U2838" t="s">
        <v>5631</v>
      </c>
      <c r="V2838" s="2">
        <v>432</v>
      </c>
      <c r="W2838" t="s">
        <v>4655</v>
      </c>
      <c r="X2838" s="2">
        <v>0</v>
      </c>
      <c r="Y2838">
        <v>20</v>
      </c>
      <c r="Z2838" t="s">
        <v>4908</v>
      </c>
      <c r="AA2838" s="3">
        <v>0.123989902436733</v>
      </c>
      <c r="AB2838" t="s">
        <v>16684</v>
      </c>
      <c r="AC2838" t="s">
        <v>4575</v>
      </c>
      <c r="AD2838" t="s">
        <v>16683</v>
      </c>
      <c r="AE2838" t="s">
        <v>4655</v>
      </c>
      <c r="AF2838" t="s">
        <v>5201</v>
      </c>
      <c r="AG2838" t="s">
        <v>4564</v>
      </c>
      <c r="AH2838" t="s">
        <v>3898</v>
      </c>
      <c r="AI2838" t="s">
        <v>10396</v>
      </c>
      <c r="AJ2838" t="s">
        <v>4655</v>
      </c>
      <c r="AK2838" t="s">
        <v>16685</v>
      </c>
      <c r="AL2838" s="13" t="s">
        <v>3425</v>
      </c>
      <c r="AM2838">
        <v>1</v>
      </c>
      <c r="AN2838" s="15" t="s">
        <v>3885</v>
      </c>
    </row>
    <row r="2839" spans="1:40" x14ac:dyDescent="0.3">
      <c r="A2839" s="10" t="str">
        <f>HYPERLINK("http://www.washoecounty.gov/assessor/cama/?parid=036-632-10&amp;CardNumber=1","036-632-10")</f>
        <v>036-632-10</v>
      </c>
      <c r="B2839" t="s">
        <v>4655</v>
      </c>
      <c r="C2839" t="s">
        <v>16686</v>
      </c>
      <c r="D2839" s="1">
        <v>40466</v>
      </c>
      <c r="E2839" s="2">
        <v>130000</v>
      </c>
      <c r="F2839" t="s">
        <v>4567</v>
      </c>
      <c r="G2839" s="17" t="str">
        <f>HYPERLINK("https://www.washoecounty.gov/assessor/cama/?command=sales&amp;parid=03663210","3933781")</f>
        <v>3933781</v>
      </c>
      <c r="H2839" t="s">
        <v>277</v>
      </c>
      <c r="I2839">
        <v>1989</v>
      </c>
      <c r="J2839">
        <v>1989</v>
      </c>
      <c r="K2839" t="s">
        <v>4554</v>
      </c>
      <c r="L2839" t="s">
        <v>3974</v>
      </c>
      <c r="M2839" s="2">
        <v>1416</v>
      </c>
      <c r="N2839" t="s">
        <v>4048</v>
      </c>
      <c r="O2839">
        <v>2</v>
      </c>
      <c r="P2839">
        <v>2</v>
      </c>
      <c r="Q2839">
        <v>1</v>
      </c>
      <c r="R2839" t="s">
        <v>4557</v>
      </c>
      <c r="S2839" t="s">
        <v>4898</v>
      </c>
      <c r="T2839" t="s">
        <v>4559</v>
      </c>
      <c r="U2839" t="s">
        <v>5631</v>
      </c>
      <c r="V2839" s="2">
        <v>440</v>
      </c>
      <c r="W2839" t="s">
        <v>4655</v>
      </c>
      <c r="X2839" s="2">
        <v>0</v>
      </c>
      <c r="Y2839">
        <v>20</v>
      </c>
      <c r="Z2839" t="s">
        <v>4908</v>
      </c>
      <c r="AA2839" s="3">
        <v>8.9990817010402693E-2</v>
      </c>
      <c r="AB2839" t="s">
        <v>16687</v>
      </c>
      <c r="AC2839" t="s">
        <v>4562</v>
      </c>
      <c r="AD2839" t="s">
        <v>16688</v>
      </c>
      <c r="AE2839" t="s">
        <v>4655</v>
      </c>
      <c r="AF2839" t="s">
        <v>4563</v>
      </c>
      <c r="AG2839" t="s">
        <v>4564</v>
      </c>
      <c r="AH2839">
        <v>89502</v>
      </c>
      <c r="AI2839" t="s">
        <v>16689</v>
      </c>
      <c r="AJ2839" t="s">
        <v>4655</v>
      </c>
      <c r="AK2839" t="s">
        <v>16690</v>
      </c>
      <c r="AL2839" s="13" t="s">
        <v>3425</v>
      </c>
      <c r="AM2839">
        <v>1</v>
      </c>
      <c r="AN2839" s="15" t="s">
        <v>3885</v>
      </c>
    </row>
    <row r="2840" spans="1:40" x14ac:dyDescent="0.3">
      <c r="A2840" s="10" t="str">
        <f>HYPERLINK("http://www.washoecounty.gov/assessor/cama/?parid=036-633-01&amp;CardNumber=1","036-633-01")</f>
        <v>036-633-01</v>
      </c>
      <c r="B2840" t="s">
        <v>4655</v>
      </c>
      <c r="C2840" t="s">
        <v>16691</v>
      </c>
      <c r="D2840" s="1">
        <v>40206</v>
      </c>
      <c r="E2840" s="2">
        <v>135000</v>
      </c>
      <c r="F2840" t="s">
        <v>4567</v>
      </c>
      <c r="G2840" s="17" t="str">
        <f>HYPERLINK("https://www.washoecounty.gov/assessor/cama/?command=sales&amp;parid=03663301","3843823")</f>
        <v>3843823</v>
      </c>
      <c r="H2840" t="s">
        <v>277</v>
      </c>
      <c r="I2840">
        <v>1990</v>
      </c>
      <c r="J2840">
        <v>1990</v>
      </c>
      <c r="K2840" t="s">
        <v>4554</v>
      </c>
      <c r="L2840" t="s">
        <v>4555</v>
      </c>
      <c r="M2840" s="2">
        <v>1266</v>
      </c>
      <c r="N2840" t="s">
        <v>4048</v>
      </c>
      <c r="O2840">
        <v>3</v>
      </c>
      <c r="P2840">
        <v>2</v>
      </c>
      <c r="Q2840">
        <v>0</v>
      </c>
      <c r="R2840" t="s">
        <v>5281</v>
      </c>
      <c r="S2840" t="s">
        <v>4135</v>
      </c>
      <c r="T2840" t="s">
        <v>4559</v>
      </c>
      <c r="U2840" t="s">
        <v>4560</v>
      </c>
      <c r="V2840" s="2">
        <v>411</v>
      </c>
      <c r="W2840" t="s">
        <v>4655</v>
      </c>
      <c r="X2840" s="2">
        <v>0</v>
      </c>
      <c r="Y2840">
        <v>20</v>
      </c>
      <c r="Z2840" t="s">
        <v>4908</v>
      </c>
      <c r="AA2840" s="3">
        <v>9.8989896476268796E-2</v>
      </c>
      <c r="AB2840" t="s">
        <v>16692</v>
      </c>
      <c r="AC2840" t="s">
        <v>4575</v>
      </c>
      <c r="AD2840" t="s">
        <v>16691</v>
      </c>
      <c r="AE2840" t="s">
        <v>4655</v>
      </c>
      <c r="AF2840" t="s">
        <v>5201</v>
      </c>
      <c r="AG2840" t="s">
        <v>4564</v>
      </c>
      <c r="AH2840" t="s">
        <v>3898</v>
      </c>
      <c r="AI2840" t="s">
        <v>16693</v>
      </c>
      <c r="AJ2840" t="s">
        <v>4655</v>
      </c>
      <c r="AK2840" t="s">
        <v>16694</v>
      </c>
      <c r="AL2840" s="13" t="s">
        <v>3425</v>
      </c>
      <c r="AM2840">
        <v>1</v>
      </c>
      <c r="AN2840" s="15" t="s">
        <v>3885</v>
      </c>
    </row>
    <row r="2841" spans="1:40" x14ac:dyDescent="0.3">
      <c r="A2841" s="10" t="str">
        <f>HYPERLINK("http://www.washoecounty.gov/assessor/cama/?parid=036-633-18&amp;CardNumber=1","036-633-18")</f>
        <v>036-633-18</v>
      </c>
      <c r="B2841" t="s">
        <v>4655</v>
      </c>
      <c r="C2841" t="s">
        <v>16695</v>
      </c>
      <c r="D2841" s="1">
        <v>40226</v>
      </c>
      <c r="E2841" s="2">
        <v>175000</v>
      </c>
      <c r="F2841" t="s">
        <v>4553</v>
      </c>
      <c r="G2841" s="17" t="str">
        <f>HYPERLINK("https://www.washoecounty.gov/assessor/cama/?command=sales&amp;parid=03663318","3850238")</f>
        <v>3850238</v>
      </c>
      <c r="H2841" t="s">
        <v>277</v>
      </c>
      <c r="I2841">
        <v>1989</v>
      </c>
      <c r="J2841">
        <v>1989</v>
      </c>
      <c r="K2841" t="s">
        <v>4554</v>
      </c>
      <c r="L2841" t="s">
        <v>3974</v>
      </c>
      <c r="M2841" s="2">
        <v>1784</v>
      </c>
      <c r="N2841" t="s">
        <v>4048</v>
      </c>
      <c r="O2841">
        <v>4</v>
      </c>
      <c r="P2841">
        <v>2</v>
      </c>
      <c r="Q2841">
        <v>1</v>
      </c>
      <c r="R2841" t="s">
        <v>4557</v>
      </c>
      <c r="S2841" t="s">
        <v>4135</v>
      </c>
      <c r="T2841" t="s">
        <v>4559</v>
      </c>
      <c r="U2841" t="s">
        <v>4560</v>
      </c>
      <c r="V2841" s="2">
        <v>471</v>
      </c>
      <c r="W2841" t="s">
        <v>4655</v>
      </c>
      <c r="X2841" s="2">
        <v>0</v>
      </c>
      <c r="Y2841">
        <v>20</v>
      </c>
      <c r="Z2841" t="s">
        <v>4908</v>
      </c>
      <c r="AA2841" s="3">
        <v>0.10599173605442</v>
      </c>
      <c r="AB2841" t="s">
        <v>16696</v>
      </c>
      <c r="AC2841" t="s">
        <v>4562</v>
      </c>
      <c r="AD2841" t="s">
        <v>16697</v>
      </c>
      <c r="AE2841" t="s">
        <v>4655</v>
      </c>
      <c r="AF2841" t="s">
        <v>5201</v>
      </c>
      <c r="AG2841" t="s">
        <v>4564</v>
      </c>
      <c r="AH2841" t="s">
        <v>1605</v>
      </c>
      <c r="AI2841" t="s">
        <v>359</v>
      </c>
      <c r="AJ2841" t="s">
        <v>4655</v>
      </c>
      <c r="AK2841" t="s">
        <v>16698</v>
      </c>
      <c r="AL2841" s="13" t="s">
        <v>3425</v>
      </c>
      <c r="AM2841" s="14">
        <v>1</v>
      </c>
      <c r="AN2841" s="15" t="s">
        <v>3885</v>
      </c>
    </row>
    <row r="2842" spans="1:40" x14ac:dyDescent="0.3">
      <c r="A2842" s="10" t="str">
        <f>HYPERLINK("http://www.washoecounty.gov/assessor/cama/?parid=036-660-09&amp;CardNumber=1","036-660-09")</f>
        <v>036-660-09</v>
      </c>
      <c r="B2842" t="s">
        <v>4655</v>
      </c>
      <c r="C2842" t="s">
        <v>16699</v>
      </c>
      <c r="D2842" s="1">
        <v>40288</v>
      </c>
      <c r="E2842" s="2">
        <v>168000</v>
      </c>
      <c r="F2842" t="s">
        <v>4567</v>
      </c>
      <c r="G2842" s="17" t="str">
        <f>HYPERLINK("https://www.washoecounty.gov/assessor/cama/?command=sales&amp;parid=03666009","3872830")</f>
        <v>3872830</v>
      </c>
      <c r="H2842" t="s">
        <v>2519</v>
      </c>
      <c r="I2842">
        <v>1996</v>
      </c>
      <c r="J2842">
        <v>1996</v>
      </c>
      <c r="K2842" t="s">
        <v>4554</v>
      </c>
      <c r="L2842" t="s">
        <v>3974</v>
      </c>
      <c r="M2842" s="2">
        <v>1648</v>
      </c>
      <c r="N2842" t="s">
        <v>5280</v>
      </c>
      <c r="O2842">
        <v>3</v>
      </c>
      <c r="P2842">
        <v>2</v>
      </c>
      <c r="Q2842">
        <v>1</v>
      </c>
      <c r="R2842" t="s">
        <v>5281</v>
      </c>
      <c r="S2842" t="s">
        <v>4558</v>
      </c>
      <c r="T2842" t="s">
        <v>4559</v>
      </c>
      <c r="U2842" t="s">
        <v>5631</v>
      </c>
      <c r="V2842" s="2">
        <v>586</v>
      </c>
      <c r="W2842" t="s">
        <v>4655</v>
      </c>
      <c r="X2842" s="2">
        <v>0</v>
      </c>
      <c r="Y2842">
        <v>20</v>
      </c>
      <c r="Z2842" t="s">
        <v>5200</v>
      </c>
      <c r="AA2842" s="3">
        <v>0.15798898041248299</v>
      </c>
      <c r="AB2842" t="s">
        <v>16700</v>
      </c>
      <c r="AC2842" t="s">
        <v>4562</v>
      </c>
      <c r="AD2842" t="s">
        <v>16701</v>
      </c>
      <c r="AE2842" t="s">
        <v>4655</v>
      </c>
      <c r="AF2842" t="s">
        <v>5201</v>
      </c>
      <c r="AG2842" t="s">
        <v>4564</v>
      </c>
      <c r="AH2842" t="s">
        <v>3898</v>
      </c>
      <c r="AI2842" t="s">
        <v>16702</v>
      </c>
      <c r="AJ2842" t="s">
        <v>2953</v>
      </c>
      <c r="AK2842" t="s">
        <v>16703</v>
      </c>
      <c r="AL2842" s="13" t="s">
        <v>1886</v>
      </c>
      <c r="AM2842" s="14">
        <v>1</v>
      </c>
      <c r="AN2842" s="15" t="s">
        <v>3885</v>
      </c>
    </row>
    <row r="2843" spans="1:40" x14ac:dyDescent="0.3">
      <c r="A2843" s="10" t="str">
        <f>HYPERLINK("http://www.washoecounty.gov/assessor/cama/?parid=037-041-03&amp;CardNumber=1","037-041-03")</f>
        <v>037-041-03</v>
      </c>
      <c r="B2843" t="s">
        <v>4655</v>
      </c>
      <c r="C2843" t="s">
        <v>16704</v>
      </c>
      <c r="D2843" s="1">
        <v>40501</v>
      </c>
      <c r="E2843" s="2">
        <v>156378</v>
      </c>
      <c r="F2843" t="s">
        <v>4567</v>
      </c>
      <c r="G2843" s="17" t="str">
        <f>HYPERLINK("https://www.washoecounty.gov/assessor/cama/?command=sales&amp;parid=03704103","3945074")</f>
        <v>3945074</v>
      </c>
      <c r="H2843" t="s">
        <v>1678</v>
      </c>
      <c r="I2843">
        <v>1973</v>
      </c>
      <c r="J2843">
        <v>1973</v>
      </c>
      <c r="K2843" t="s">
        <v>4554</v>
      </c>
      <c r="L2843" t="s">
        <v>3974</v>
      </c>
      <c r="M2843" s="2">
        <v>1902</v>
      </c>
      <c r="N2843" t="s">
        <v>4048</v>
      </c>
      <c r="O2843">
        <v>3</v>
      </c>
      <c r="P2843">
        <v>2</v>
      </c>
      <c r="Q2843">
        <v>1</v>
      </c>
      <c r="R2843" t="s">
        <v>4557</v>
      </c>
      <c r="S2843" t="s">
        <v>4135</v>
      </c>
      <c r="T2843" t="s">
        <v>4559</v>
      </c>
      <c r="U2843" t="s">
        <v>5631</v>
      </c>
      <c r="V2843" s="2">
        <v>504</v>
      </c>
      <c r="W2843" t="s">
        <v>4655</v>
      </c>
      <c r="X2843" s="2">
        <v>0</v>
      </c>
      <c r="Y2843">
        <v>20</v>
      </c>
      <c r="Z2843" t="s">
        <v>5200</v>
      </c>
      <c r="AA2843" s="3">
        <v>0.14499540627002699</v>
      </c>
      <c r="AB2843" t="s">
        <v>16705</v>
      </c>
      <c r="AC2843" t="s">
        <v>4562</v>
      </c>
      <c r="AD2843" t="s">
        <v>16706</v>
      </c>
      <c r="AE2843" t="s">
        <v>4655</v>
      </c>
      <c r="AF2843" t="s">
        <v>5201</v>
      </c>
      <c r="AG2843" t="s">
        <v>4564</v>
      </c>
      <c r="AH2843" t="s">
        <v>3898</v>
      </c>
      <c r="AI2843" t="s">
        <v>16707</v>
      </c>
      <c r="AJ2843" t="s">
        <v>4655</v>
      </c>
      <c r="AK2843" t="s">
        <v>16708</v>
      </c>
      <c r="AL2843" s="13" t="s">
        <v>1886</v>
      </c>
      <c r="AM2843">
        <v>1</v>
      </c>
      <c r="AN2843" s="15" t="s">
        <v>3439</v>
      </c>
    </row>
    <row r="2844" spans="1:40" x14ac:dyDescent="0.3">
      <c r="A2844" s="10" t="str">
        <f>HYPERLINK("http://www.washoecounty.gov/assessor/cama/?parid=037-042-05&amp;CardNumber=1","037-042-05")</f>
        <v>037-042-05</v>
      </c>
      <c r="B2844" t="s">
        <v>4655</v>
      </c>
      <c r="C2844" t="s">
        <v>16709</v>
      </c>
      <c r="D2844" s="1">
        <v>40221</v>
      </c>
      <c r="E2844" s="2">
        <v>135000</v>
      </c>
      <c r="F2844" t="s">
        <v>4567</v>
      </c>
      <c r="G2844" s="17" t="str">
        <f>HYPERLINK("https://www.washoecounty.gov/assessor/cama/?command=sales&amp;parid=03704205","3848969")</f>
        <v>3848969</v>
      </c>
      <c r="H2844" t="s">
        <v>1678</v>
      </c>
      <c r="I2844">
        <v>1973</v>
      </c>
      <c r="J2844">
        <v>1973</v>
      </c>
      <c r="K2844" t="s">
        <v>4554</v>
      </c>
      <c r="L2844" t="s">
        <v>4555</v>
      </c>
      <c r="M2844" s="2">
        <v>1499</v>
      </c>
      <c r="N2844" t="s">
        <v>4048</v>
      </c>
      <c r="O2844">
        <v>3</v>
      </c>
      <c r="P2844">
        <v>2</v>
      </c>
      <c r="Q2844">
        <v>0</v>
      </c>
      <c r="R2844" t="s">
        <v>4557</v>
      </c>
      <c r="S2844" t="s">
        <v>4135</v>
      </c>
      <c r="T2844" t="s">
        <v>4559</v>
      </c>
      <c r="U2844" t="s">
        <v>4560</v>
      </c>
      <c r="V2844" s="2">
        <v>462</v>
      </c>
      <c r="W2844" t="s">
        <v>4655</v>
      </c>
      <c r="X2844" s="2">
        <v>0</v>
      </c>
      <c r="Y2844">
        <v>20</v>
      </c>
      <c r="Z2844" t="s">
        <v>5200</v>
      </c>
      <c r="AA2844" s="3">
        <v>0.14499540627002699</v>
      </c>
      <c r="AB2844" t="s">
        <v>16710</v>
      </c>
      <c r="AC2844" t="s">
        <v>4562</v>
      </c>
      <c r="AD2844" t="s">
        <v>16709</v>
      </c>
      <c r="AE2844" t="s">
        <v>4655</v>
      </c>
      <c r="AF2844" t="s">
        <v>5201</v>
      </c>
      <c r="AG2844" t="s">
        <v>4564</v>
      </c>
      <c r="AH2844" t="s">
        <v>3898</v>
      </c>
      <c r="AI2844" t="s">
        <v>16711</v>
      </c>
      <c r="AJ2844" t="s">
        <v>4655</v>
      </c>
      <c r="AK2844" t="s">
        <v>16712</v>
      </c>
      <c r="AL2844" s="13" t="s">
        <v>1886</v>
      </c>
      <c r="AM2844">
        <v>1</v>
      </c>
      <c r="AN2844" s="15" t="s">
        <v>3439</v>
      </c>
    </row>
    <row r="2845" spans="1:40" x14ac:dyDescent="0.3">
      <c r="A2845" s="10" t="str">
        <f>HYPERLINK("http://www.washoecounty.gov/assessor/cama/?parid=037-042-16&amp;CardNumber=1","037-042-16")</f>
        <v>037-042-16</v>
      </c>
      <c r="B2845" t="s">
        <v>4655</v>
      </c>
      <c r="C2845" t="s">
        <v>16713</v>
      </c>
      <c r="D2845" s="1">
        <v>40259</v>
      </c>
      <c r="E2845" s="2">
        <v>117500</v>
      </c>
      <c r="F2845" t="s">
        <v>4553</v>
      </c>
      <c r="G2845" s="17" t="str">
        <f>HYPERLINK("https://www.washoecounty.gov/assessor/cama/?command=sales&amp;parid=03704216","3862495")</f>
        <v>3862495</v>
      </c>
      <c r="H2845" t="s">
        <v>1678</v>
      </c>
      <c r="I2845">
        <v>1973</v>
      </c>
      <c r="J2845">
        <v>1975</v>
      </c>
      <c r="K2845" t="s">
        <v>4554</v>
      </c>
      <c r="L2845" t="s">
        <v>3974</v>
      </c>
      <c r="M2845" s="2">
        <v>2227</v>
      </c>
      <c r="N2845" t="s">
        <v>4048</v>
      </c>
      <c r="O2845">
        <v>3</v>
      </c>
      <c r="P2845">
        <v>2</v>
      </c>
      <c r="Q2845">
        <v>1</v>
      </c>
      <c r="R2845" t="s">
        <v>4557</v>
      </c>
      <c r="S2845" t="s">
        <v>4574</v>
      </c>
      <c r="T2845" t="s">
        <v>4559</v>
      </c>
      <c r="U2845" t="s">
        <v>5631</v>
      </c>
      <c r="V2845" s="2">
        <v>504</v>
      </c>
      <c r="W2845" t="s">
        <v>4655</v>
      </c>
      <c r="X2845" s="2">
        <v>0</v>
      </c>
      <c r="Y2845">
        <v>20</v>
      </c>
      <c r="Z2845" t="s">
        <v>5200</v>
      </c>
      <c r="AA2845" s="3">
        <v>0.14499540627002699</v>
      </c>
      <c r="AB2845" t="s">
        <v>16714</v>
      </c>
      <c r="AC2845" t="s">
        <v>4575</v>
      </c>
      <c r="AD2845" t="s">
        <v>16713</v>
      </c>
      <c r="AE2845" t="s">
        <v>4655</v>
      </c>
      <c r="AF2845" t="s">
        <v>5201</v>
      </c>
      <c r="AG2845" t="s">
        <v>4564</v>
      </c>
      <c r="AH2845" t="s">
        <v>5202</v>
      </c>
      <c r="AI2845" t="s">
        <v>10141</v>
      </c>
      <c r="AJ2845" t="s">
        <v>4655</v>
      </c>
      <c r="AK2845" t="s">
        <v>16715</v>
      </c>
      <c r="AL2845" s="13" t="s">
        <v>1886</v>
      </c>
      <c r="AM2845">
        <v>1</v>
      </c>
      <c r="AN2845" s="15" t="s">
        <v>3439</v>
      </c>
    </row>
    <row r="2846" spans="1:40" x14ac:dyDescent="0.3">
      <c r="A2846" s="10" t="str">
        <f>HYPERLINK("http://www.washoecounty.gov/assessor/cama/?parid=037-042-16&amp;CardNumber=1","037-042-16")</f>
        <v>037-042-16</v>
      </c>
      <c r="B2846" t="s">
        <v>4655</v>
      </c>
      <c r="C2846" t="s">
        <v>16713</v>
      </c>
      <c r="D2846" s="1">
        <v>40478</v>
      </c>
      <c r="E2846" s="2">
        <v>171600</v>
      </c>
      <c r="F2846" t="s">
        <v>4567</v>
      </c>
      <c r="G2846" s="17" t="str">
        <f>HYPERLINK("https://www.washoecounty.gov/assessor/cama/?command=sales&amp;parid=03704216","3937018")</f>
        <v>3937018</v>
      </c>
      <c r="H2846" t="s">
        <v>1678</v>
      </c>
      <c r="I2846">
        <v>1973</v>
      </c>
      <c r="J2846">
        <v>1975</v>
      </c>
      <c r="K2846" t="s">
        <v>4554</v>
      </c>
      <c r="L2846" t="s">
        <v>3974</v>
      </c>
      <c r="M2846" s="2">
        <v>2227</v>
      </c>
      <c r="N2846" t="s">
        <v>4048</v>
      </c>
      <c r="O2846">
        <v>3</v>
      </c>
      <c r="P2846">
        <v>2</v>
      </c>
      <c r="Q2846">
        <v>1</v>
      </c>
      <c r="R2846" t="s">
        <v>4557</v>
      </c>
      <c r="S2846" t="s">
        <v>4574</v>
      </c>
      <c r="T2846" t="s">
        <v>4559</v>
      </c>
      <c r="U2846" t="s">
        <v>5631</v>
      </c>
      <c r="V2846" s="2">
        <v>504</v>
      </c>
      <c r="W2846" t="s">
        <v>4655</v>
      </c>
      <c r="X2846" s="2">
        <v>0</v>
      </c>
      <c r="Y2846">
        <v>20</v>
      </c>
      <c r="Z2846" t="s">
        <v>5200</v>
      </c>
      <c r="AA2846" s="3">
        <v>0.14499540627002699</v>
      </c>
      <c r="AB2846" t="s">
        <v>16714</v>
      </c>
      <c r="AC2846" t="s">
        <v>4575</v>
      </c>
      <c r="AD2846" t="s">
        <v>16713</v>
      </c>
      <c r="AE2846" t="s">
        <v>4655</v>
      </c>
      <c r="AF2846" t="s">
        <v>5201</v>
      </c>
      <c r="AG2846" t="s">
        <v>4564</v>
      </c>
      <c r="AH2846" t="s">
        <v>5202</v>
      </c>
      <c r="AI2846" t="s">
        <v>10141</v>
      </c>
      <c r="AJ2846" t="s">
        <v>4655</v>
      </c>
      <c r="AK2846" t="s">
        <v>16715</v>
      </c>
      <c r="AL2846" s="13" t="s">
        <v>1886</v>
      </c>
      <c r="AM2846" s="14">
        <v>1</v>
      </c>
      <c r="AN2846" s="15" t="s">
        <v>3439</v>
      </c>
    </row>
    <row r="2847" spans="1:40" x14ac:dyDescent="0.3">
      <c r="A2847" s="10" t="str">
        <f>HYPERLINK("http://www.washoecounty.gov/assessor/cama/?parid=037-251-16&amp;CardNumber=1","037-251-16")</f>
        <v>037-251-16</v>
      </c>
      <c r="B2847" t="s">
        <v>4655</v>
      </c>
      <c r="C2847" t="s">
        <v>16716</v>
      </c>
      <c r="D2847" s="1">
        <v>40511</v>
      </c>
      <c r="E2847" s="2">
        <v>11360417</v>
      </c>
      <c r="F2847" t="s">
        <v>4201</v>
      </c>
      <c r="G2847" s="17" t="str">
        <f>HYPERLINK("https://www.washoecounty.gov/assessor/cama/?command=sales&amp;parid=03725116","3947369")</f>
        <v>3947369</v>
      </c>
      <c r="H2847" t="s">
        <v>1430</v>
      </c>
      <c r="I2847">
        <v>1995</v>
      </c>
      <c r="J2847">
        <v>1995</v>
      </c>
      <c r="K2847" t="s">
        <v>1086</v>
      </c>
      <c r="L2847" t="s">
        <v>1366</v>
      </c>
      <c r="M2847" s="2">
        <v>259656</v>
      </c>
      <c r="N2847" t="s">
        <v>4672</v>
      </c>
      <c r="O2847">
        <v>0</v>
      </c>
      <c r="P2847">
        <v>0</v>
      </c>
      <c r="Q2847">
        <v>0</v>
      </c>
      <c r="R2847" t="s">
        <v>1368</v>
      </c>
      <c r="S2847" t="s">
        <v>4599</v>
      </c>
      <c r="T2847" t="s">
        <v>4655</v>
      </c>
      <c r="U2847" t="s">
        <v>4655</v>
      </c>
      <c r="V2847" s="2">
        <v>0</v>
      </c>
      <c r="W2847" t="s">
        <v>4655</v>
      </c>
      <c r="X2847" s="2">
        <v>0</v>
      </c>
      <c r="Y2847">
        <v>50</v>
      </c>
      <c r="Z2847" t="s">
        <v>2081</v>
      </c>
      <c r="AA2847" s="3">
        <v>11.173000335693301</v>
      </c>
      <c r="AB2847" t="s">
        <v>16717</v>
      </c>
      <c r="AC2847" t="s">
        <v>4562</v>
      </c>
      <c r="AD2847" t="s">
        <v>16718</v>
      </c>
      <c r="AE2847" t="s">
        <v>16719</v>
      </c>
      <c r="AF2847" t="s">
        <v>2576</v>
      </c>
      <c r="AG2847" t="s">
        <v>4584</v>
      </c>
      <c r="AH2847">
        <v>92008</v>
      </c>
      <c r="AI2847" t="s">
        <v>16720</v>
      </c>
      <c r="AJ2847" t="s">
        <v>16721</v>
      </c>
      <c r="AK2847" t="s">
        <v>16722</v>
      </c>
      <c r="AL2847" s="13" t="s">
        <v>3425</v>
      </c>
      <c r="AM2847" s="14">
        <v>1</v>
      </c>
      <c r="AN2847" s="15" t="s">
        <v>4262</v>
      </c>
    </row>
    <row r="2848" spans="1:40" x14ac:dyDescent="0.3">
      <c r="A2848" s="10" t="str">
        <f>HYPERLINK("http://www.washoecounty.gov/assessor/cama/?parid=037-272-37&amp;CardNumber=1","037-272-37")</f>
        <v>037-272-37</v>
      </c>
      <c r="B2848" t="s">
        <v>5502</v>
      </c>
      <c r="C2848" t="s">
        <v>16723</v>
      </c>
      <c r="D2848" s="1">
        <v>40511</v>
      </c>
      <c r="E2848" s="2">
        <v>9773383</v>
      </c>
      <c r="F2848" t="s">
        <v>4201</v>
      </c>
      <c r="G2848" s="17" t="str">
        <f>HYPERLINK("https://www.washoecounty.gov/assessor/cama/?command=sales&amp;parid=03727237","3947368")</f>
        <v>3947368</v>
      </c>
      <c r="H2848" t="s">
        <v>16724</v>
      </c>
      <c r="I2848">
        <v>1995</v>
      </c>
      <c r="J2848">
        <v>1995</v>
      </c>
      <c r="K2848" t="s">
        <v>1375</v>
      </c>
      <c r="L2848" t="s">
        <v>1366</v>
      </c>
      <c r="M2848" s="2">
        <v>127600</v>
      </c>
      <c r="N2848" t="s">
        <v>4672</v>
      </c>
      <c r="O2848">
        <v>0</v>
      </c>
      <c r="P2848">
        <v>0</v>
      </c>
      <c r="Q2848">
        <v>0</v>
      </c>
      <c r="R2848" t="s">
        <v>1368</v>
      </c>
      <c r="S2848" t="s">
        <v>4599</v>
      </c>
      <c r="T2848" t="s">
        <v>4655</v>
      </c>
      <c r="U2848" t="s">
        <v>4655</v>
      </c>
      <c r="V2848" s="2">
        <v>0</v>
      </c>
      <c r="W2848" t="s">
        <v>4655</v>
      </c>
      <c r="X2848" s="2">
        <v>0</v>
      </c>
      <c r="Y2848">
        <v>51</v>
      </c>
      <c r="Z2848" t="s">
        <v>2081</v>
      </c>
      <c r="AA2848" s="3">
        <v>18.485000610351499</v>
      </c>
      <c r="AB2848" t="s">
        <v>16717</v>
      </c>
      <c r="AC2848" t="s">
        <v>4562</v>
      </c>
      <c r="AD2848" t="s">
        <v>16718</v>
      </c>
      <c r="AE2848" t="s">
        <v>16719</v>
      </c>
      <c r="AF2848" t="s">
        <v>2576</v>
      </c>
      <c r="AG2848" t="s">
        <v>4584</v>
      </c>
      <c r="AH2848">
        <v>92008</v>
      </c>
      <c r="AI2848" t="s">
        <v>16725</v>
      </c>
      <c r="AJ2848" t="s">
        <v>16726</v>
      </c>
      <c r="AK2848" t="s">
        <v>16727</v>
      </c>
      <c r="AL2848" s="13" t="s">
        <v>1886</v>
      </c>
      <c r="AM2848" s="14">
        <v>2</v>
      </c>
      <c r="AN2848" s="15" t="s">
        <v>4262</v>
      </c>
    </row>
    <row r="2849" spans="1:40" x14ac:dyDescent="0.3">
      <c r="A2849" s="10" t="str">
        <f>HYPERLINK("http://www.washoecounty.gov/assessor/cama/?parid=037-278-06&amp;CardNumber=1","037-278-06")</f>
        <v>037-278-06</v>
      </c>
      <c r="B2849" t="s">
        <v>4655</v>
      </c>
      <c r="C2849" t="s">
        <v>16728</v>
      </c>
      <c r="D2849" s="1">
        <v>40511</v>
      </c>
      <c r="E2849" s="2">
        <v>5885080</v>
      </c>
      <c r="F2849" t="s">
        <v>4201</v>
      </c>
      <c r="G2849" s="17" t="str">
        <f>HYPERLINK("https://www.washoecounty.gov/assessor/cama/?command=sales&amp;parid=03727806","3947370")</f>
        <v>3947370</v>
      </c>
      <c r="H2849" t="s">
        <v>16729</v>
      </c>
      <c r="I2849">
        <v>1994</v>
      </c>
      <c r="J2849">
        <v>1995</v>
      </c>
      <c r="K2849" t="s">
        <v>491</v>
      </c>
      <c r="L2849" t="s">
        <v>1366</v>
      </c>
      <c r="M2849" s="2">
        <v>65600</v>
      </c>
      <c r="N2849" t="s">
        <v>1431</v>
      </c>
      <c r="O2849">
        <v>0</v>
      </c>
      <c r="P2849">
        <v>0</v>
      </c>
      <c r="Q2849">
        <v>0</v>
      </c>
      <c r="R2849" t="s">
        <v>1368</v>
      </c>
      <c r="S2849" t="s">
        <v>4599</v>
      </c>
      <c r="T2849" t="s">
        <v>4655</v>
      </c>
      <c r="U2849" t="s">
        <v>4655</v>
      </c>
      <c r="V2849" s="2">
        <v>0</v>
      </c>
      <c r="W2849" t="s">
        <v>4655</v>
      </c>
      <c r="X2849" s="2">
        <v>0</v>
      </c>
      <c r="Y2849">
        <v>50</v>
      </c>
      <c r="Z2849" t="s">
        <v>2081</v>
      </c>
      <c r="AA2849" s="3">
        <v>5.2449998855590803</v>
      </c>
      <c r="AB2849" t="s">
        <v>16717</v>
      </c>
      <c r="AC2849" t="s">
        <v>4562</v>
      </c>
      <c r="AD2849" t="s">
        <v>16718</v>
      </c>
      <c r="AE2849" t="s">
        <v>16719</v>
      </c>
      <c r="AF2849" t="s">
        <v>2576</v>
      </c>
      <c r="AG2849" t="s">
        <v>4584</v>
      </c>
      <c r="AH2849">
        <v>92008</v>
      </c>
      <c r="AI2849" t="s">
        <v>15845</v>
      </c>
      <c r="AJ2849" t="s">
        <v>16730</v>
      </c>
      <c r="AK2849" t="s">
        <v>16731</v>
      </c>
      <c r="AL2849" s="13" t="s">
        <v>1886</v>
      </c>
      <c r="AM2849">
        <v>1</v>
      </c>
      <c r="AN2849" s="15" t="s">
        <v>4262</v>
      </c>
    </row>
    <row r="2850" spans="1:40" x14ac:dyDescent="0.3">
      <c r="A2850" s="10" t="str">
        <f>HYPERLINK("http://www.washoecounty.gov/assessor/cama/?parid=037-331-08&amp;CardNumber=1","037-331-08")</f>
        <v>037-331-08</v>
      </c>
      <c r="B2850" t="s">
        <v>4655</v>
      </c>
      <c r="C2850" t="s">
        <v>317</v>
      </c>
      <c r="D2850" s="1">
        <v>40296</v>
      </c>
      <c r="E2850" s="2">
        <v>327000</v>
      </c>
      <c r="F2850" t="s">
        <v>3512</v>
      </c>
      <c r="G2850" s="17" t="str">
        <f>HYPERLINK("https://www.washoecounty.gov/assessor/cama/?command=sales&amp;parid=03733108","3875621")</f>
        <v>3875621</v>
      </c>
      <c r="H2850" t="s">
        <v>16732</v>
      </c>
      <c r="I2850">
        <v>0</v>
      </c>
      <c r="J2850">
        <v>0</v>
      </c>
      <c r="K2850" t="s">
        <v>4655</v>
      </c>
      <c r="L2850" t="s">
        <v>4655</v>
      </c>
      <c r="M2850" s="2">
        <v>0</v>
      </c>
      <c r="N2850" t="s">
        <v>4655</v>
      </c>
      <c r="O2850">
        <v>0</v>
      </c>
      <c r="P2850">
        <v>0</v>
      </c>
      <c r="Q2850">
        <v>0</v>
      </c>
      <c r="R2850" t="s">
        <v>4655</v>
      </c>
      <c r="S2850" t="s">
        <v>4655</v>
      </c>
      <c r="T2850" t="s">
        <v>4655</v>
      </c>
      <c r="U2850" t="s">
        <v>4655</v>
      </c>
      <c r="V2850" s="2">
        <v>0</v>
      </c>
      <c r="W2850" t="s">
        <v>4655</v>
      </c>
      <c r="X2850" s="2">
        <v>0</v>
      </c>
      <c r="Y2850">
        <v>15</v>
      </c>
      <c r="Z2850" t="s">
        <v>2081</v>
      </c>
      <c r="AA2850" s="3">
        <v>5.0199999809265101</v>
      </c>
      <c r="AB2850" t="s">
        <v>16733</v>
      </c>
      <c r="AC2850" t="s">
        <v>4562</v>
      </c>
      <c r="AD2850" t="s">
        <v>16734</v>
      </c>
      <c r="AE2850" t="s">
        <v>4655</v>
      </c>
      <c r="AF2850" t="s">
        <v>5201</v>
      </c>
      <c r="AG2850" t="s">
        <v>4564</v>
      </c>
      <c r="AH2850" t="s">
        <v>3898</v>
      </c>
      <c r="AI2850" t="s">
        <v>16735</v>
      </c>
      <c r="AJ2850" t="s">
        <v>16736</v>
      </c>
      <c r="AK2850" t="s">
        <v>16737</v>
      </c>
      <c r="AL2850" s="13" t="s">
        <v>1886</v>
      </c>
      <c r="AM2850">
        <v>0</v>
      </c>
      <c r="AN2850" s="15" t="s">
        <v>4262</v>
      </c>
    </row>
    <row r="2851" spans="1:40" x14ac:dyDescent="0.3">
      <c r="A2851" s="10" t="str">
        <f>HYPERLINK("http://www.washoecounty.gov/assessor/cama/?parid=037-341-08&amp;CardNumber=1","037-341-08")</f>
        <v>037-341-08</v>
      </c>
      <c r="B2851" t="s">
        <v>4655</v>
      </c>
      <c r="C2851" t="s">
        <v>16738</v>
      </c>
      <c r="D2851" s="1">
        <v>40527</v>
      </c>
      <c r="E2851" s="2">
        <v>279950</v>
      </c>
      <c r="F2851" t="s">
        <v>4567</v>
      </c>
      <c r="G2851" s="17" t="str">
        <f>HYPERLINK("https://www.washoecounty.gov/assessor/cama/?command=sales&amp;parid=03734108","3953845")</f>
        <v>3953845</v>
      </c>
      <c r="H2851" t="s">
        <v>3968</v>
      </c>
      <c r="I2851">
        <v>2003</v>
      </c>
      <c r="J2851">
        <v>2003</v>
      </c>
      <c r="K2851" t="s">
        <v>4554</v>
      </c>
      <c r="L2851" t="s">
        <v>3974</v>
      </c>
      <c r="M2851" s="2">
        <v>2381</v>
      </c>
      <c r="N2851" t="s">
        <v>3147</v>
      </c>
      <c r="O2851">
        <v>4</v>
      </c>
      <c r="P2851">
        <v>3</v>
      </c>
      <c r="Q2851">
        <v>1</v>
      </c>
      <c r="R2851" t="s">
        <v>5281</v>
      </c>
      <c r="S2851" t="s">
        <v>4898</v>
      </c>
      <c r="T2851" t="s">
        <v>2704</v>
      </c>
      <c r="U2851" t="s">
        <v>5631</v>
      </c>
      <c r="V2851" s="2">
        <v>463</v>
      </c>
      <c r="W2851" t="s">
        <v>3201</v>
      </c>
      <c r="X2851" s="2">
        <v>715</v>
      </c>
      <c r="Y2851">
        <v>20</v>
      </c>
      <c r="Z2851" t="s">
        <v>2081</v>
      </c>
      <c r="AA2851" s="3">
        <v>8.60881507396698E-2</v>
      </c>
      <c r="AB2851" t="s">
        <v>4467</v>
      </c>
      <c r="AC2851" t="s">
        <v>4562</v>
      </c>
      <c r="AD2851" t="s">
        <v>16739</v>
      </c>
      <c r="AE2851" t="s">
        <v>339</v>
      </c>
      <c r="AF2851" t="s">
        <v>3660</v>
      </c>
      <c r="AG2851" t="s">
        <v>4584</v>
      </c>
      <c r="AH2851" t="s">
        <v>3307</v>
      </c>
      <c r="AI2851" t="s">
        <v>16740</v>
      </c>
      <c r="AJ2851" t="s">
        <v>3969</v>
      </c>
      <c r="AK2851" t="s">
        <v>16741</v>
      </c>
      <c r="AL2851" s="13" t="s">
        <v>1887</v>
      </c>
      <c r="AM2851">
        <v>1</v>
      </c>
      <c r="AN2851" s="15" t="s">
        <v>3970</v>
      </c>
    </row>
    <row r="2852" spans="1:40" x14ac:dyDescent="0.3">
      <c r="A2852" s="10" t="str">
        <f>HYPERLINK("http://www.washoecounty.gov/assessor/cama/?parid=037-341-13&amp;CardNumber=1","037-341-13")</f>
        <v>037-341-13</v>
      </c>
      <c r="B2852" t="s">
        <v>4655</v>
      </c>
      <c r="C2852" t="s">
        <v>16742</v>
      </c>
      <c r="D2852" s="1">
        <v>40340</v>
      </c>
      <c r="E2852" s="2">
        <v>200000</v>
      </c>
      <c r="F2852" t="s">
        <v>4553</v>
      </c>
      <c r="G2852" s="17" t="str">
        <f>HYPERLINK("https://www.washoecounty.gov/assessor/cama/?command=sales&amp;parid=03734113","3890991")</f>
        <v>3890991</v>
      </c>
      <c r="H2852" t="s">
        <v>3968</v>
      </c>
      <c r="I2852">
        <v>2003</v>
      </c>
      <c r="J2852">
        <v>2003</v>
      </c>
      <c r="K2852" t="s">
        <v>4554</v>
      </c>
      <c r="L2852" t="s">
        <v>3974</v>
      </c>
      <c r="M2852" s="2">
        <v>2448</v>
      </c>
      <c r="N2852" t="s">
        <v>3147</v>
      </c>
      <c r="O2852">
        <v>3</v>
      </c>
      <c r="P2852">
        <v>2</v>
      </c>
      <c r="Q2852">
        <v>1</v>
      </c>
      <c r="R2852" t="s">
        <v>5281</v>
      </c>
      <c r="S2852" t="s">
        <v>4898</v>
      </c>
      <c r="T2852" t="s">
        <v>2704</v>
      </c>
      <c r="U2852" t="s">
        <v>5631</v>
      </c>
      <c r="V2852" s="2">
        <v>432</v>
      </c>
      <c r="W2852" t="s">
        <v>4655</v>
      </c>
      <c r="X2852" s="2">
        <v>0</v>
      </c>
      <c r="Y2852">
        <v>20</v>
      </c>
      <c r="Z2852" t="s">
        <v>2081</v>
      </c>
      <c r="AA2852" s="3">
        <v>7.5160697102546706E-2</v>
      </c>
      <c r="AB2852" t="s">
        <v>16743</v>
      </c>
      <c r="AC2852" t="s">
        <v>4562</v>
      </c>
      <c r="AD2852" t="s">
        <v>16744</v>
      </c>
      <c r="AE2852" t="s">
        <v>4655</v>
      </c>
      <c r="AF2852" t="s">
        <v>16745</v>
      </c>
      <c r="AG2852" t="s">
        <v>4564</v>
      </c>
      <c r="AH2852">
        <v>89506</v>
      </c>
      <c r="AI2852" t="s">
        <v>2351</v>
      </c>
      <c r="AJ2852" t="s">
        <v>3969</v>
      </c>
      <c r="AK2852" t="s">
        <v>16746</v>
      </c>
      <c r="AL2852" s="13" t="s">
        <v>1887</v>
      </c>
      <c r="AM2852">
        <v>1</v>
      </c>
      <c r="AN2852" s="15" t="s">
        <v>3970</v>
      </c>
    </row>
    <row r="2853" spans="1:40" x14ac:dyDescent="0.3">
      <c r="A2853" s="10" t="str">
        <f>HYPERLINK("http://www.washoecounty.gov/assessor/cama/?parid=037-342-34&amp;CardNumber=1","037-342-34")</f>
        <v>037-342-34</v>
      </c>
      <c r="B2853" t="s">
        <v>4655</v>
      </c>
      <c r="C2853" t="s">
        <v>16747</v>
      </c>
      <c r="D2853" s="1">
        <v>40326</v>
      </c>
      <c r="E2853" s="2">
        <v>254000</v>
      </c>
      <c r="F2853" t="s">
        <v>4553</v>
      </c>
      <c r="G2853" s="17" t="str">
        <f>HYPERLINK("https://www.washoecounty.gov/assessor/cama/?command=sales&amp;parid=03734234","3886582")</f>
        <v>3886582</v>
      </c>
      <c r="H2853" t="s">
        <v>3968</v>
      </c>
      <c r="I2853">
        <v>2004</v>
      </c>
      <c r="J2853">
        <v>2004</v>
      </c>
      <c r="K2853" t="s">
        <v>4554</v>
      </c>
      <c r="L2853" t="s">
        <v>3974</v>
      </c>
      <c r="M2853" s="2">
        <v>2381</v>
      </c>
      <c r="N2853" t="s">
        <v>3147</v>
      </c>
      <c r="O2853">
        <v>5</v>
      </c>
      <c r="P2853">
        <v>3</v>
      </c>
      <c r="Q2853">
        <v>1</v>
      </c>
      <c r="R2853" t="s">
        <v>5281</v>
      </c>
      <c r="S2853" t="s">
        <v>4898</v>
      </c>
      <c r="T2853" t="s">
        <v>2704</v>
      </c>
      <c r="U2853" t="s">
        <v>5631</v>
      </c>
      <c r="V2853" s="2">
        <v>463</v>
      </c>
      <c r="W2853" t="s">
        <v>3201</v>
      </c>
      <c r="X2853" s="2">
        <v>715</v>
      </c>
      <c r="Y2853">
        <v>20</v>
      </c>
      <c r="Z2853" t="s">
        <v>2081</v>
      </c>
      <c r="AA2853" s="3">
        <v>7.1212120354175595E-2</v>
      </c>
      <c r="AB2853" t="s">
        <v>16748</v>
      </c>
      <c r="AC2853" t="s">
        <v>4562</v>
      </c>
      <c r="AD2853" t="s">
        <v>16749</v>
      </c>
      <c r="AE2853" t="s">
        <v>4655</v>
      </c>
      <c r="AF2853" t="s">
        <v>5264</v>
      </c>
      <c r="AG2853" t="s">
        <v>4584</v>
      </c>
      <c r="AH2853">
        <v>93105</v>
      </c>
      <c r="AI2853" t="s">
        <v>4903</v>
      </c>
      <c r="AJ2853" t="s">
        <v>3969</v>
      </c>
      <c r="AK2853" t="s">
        <v>16750</v>
      </c>
      <c r="AL2853" s="13" t="s">
        <v>1887</v>
      </c>
      <c r="AM2853">
        <v>1</v>
      </c>
      <c r="AN2853" s="15" t="s">
        <v>3970</v>
      </c>
    </row>
    <row r="2854" spans="1:40" x14ac:dyDescent="0.3">
      <c r="A2854" s="10" t="str">
        <f>HYPERLINK("http://www.washoecounty.gov/assessor/cama/?parid=037-382-08&amp;CardNumber=1","037-382-08")</f>
        <v>037-382-08</v>
      </c>
      <c r="B2854" t="s">
        <v>4655</v>
      </c>
      <c r="C2854" t="s">
        <v>878</v>
      </c>
      <c r="D2854" s="1">
        <v>40220</v>
      </c>
      <c r="E2854" s="2">
        <v>680000</v>
      </c>
      <c r="F2854" t="s">
        <v>4567</v>
      </c>
      <c r="G2854" s="17" t="str">
        <f>HYPERLINK("https://www.washoecounty.gov/assessor/cama/?command=sales&amp;parid=03738208","3848469")</f>
        <v>3848469</v>
      </c>
      <c r="H2854" t="s">
        <v>879</v>
      </c>
      <c r="I2854">
        <v>2002</v>
      </c>
      <c r="J2854">
        <v>2002</v>
      </c>
      <c r="K2854" t="s">
        <v>880</v>
      </c>
      <c r="L2854" t="s">
        <v>3530</v>
      </c>
      <c r="M2854" s="2">
        <v>3049</v>
      </c>
      <c r="N2854" t="s">
        <v>3531</v>
      </c>
      <c r="O2854">
        <v>0</v>
      </c>
      <c r="P2854">
        <v>0</v>
      </c>
      <c r="Q2854">
        <v>0</v>
      </c>
      <c r="R2854" t="s">
        <v>3039</v>
      </c>
      <c r="S2854" t="s">
        <v>881</v>
      </c>
      <c r="T2854" t="s">
        <v>4655</v>
      </c>
      <c r="U2854" t="s">
        <v>4655</v>
      </c>
      <c r="V2854" s="2">
        <v>0</v>
      </c>
      <c r="W2854" t="s">
        <v>4655</v>
      </c>
      <c r="X2854" s="2">
        <v>0</v>
      </c>
      <c r="Y2854">
        <v>40</v>
      </c>
      <c r="Z2854" t="s">
        <v>2081</v>
      </c>
      <c r="AA2854" s="3">
        <v>6.7814506590366405E-2</v>
      </c>
      <c r="AB2854" t="s">
        <v>16751</v>
      </c>
      <c r="AC2854" t="s">
        <v>4562</v>
      </c>
      <c r="AD2854" t="s">
        <v>16752</v>
      </c>
      <c r="AE2854" t="s">
        <v>4655</v>
      </c>
      <c r="AF2854" t="s">
        <v>5201</v>
      </c>
      <c r="AG2854" t="s">
        <v>4564</v>
      </c>
      <c r="AH2854" t="s">
        <v>3898</v>
      </c>
      <c r="AI2854" t="s">
        <v>16753</v>
      </c>
      <c r="AJ2854" t="s">
        <v>1286</v>
      </c>
      <c r="AK2854" t="s">
        <v>16754</v>
      </c>
      <c r="AL2854" s="13" t="s">
        <v>1887</v>
      </c>
      <c r="AM2854" s="14">
        <v>1</v>
      </c>
      <c r="AN2854" s="15" t="s">
        <v>16755</v>
      </c>
    </row>
    <row r="2855" spans="1:40" x14ac:dyDescent="0.3">
      <c r="A2855" s="10" t="str">
        <f>HYPERLINK("http://www.washoecounty.gov/assessor/cama/?parid=037-400-13&amp;CardNumber=1","037-400-13")</f>
        <v>037-400-13</v>
      </c>
      <c r="B2855" t="s">
        <v>4655</v>
      </c>
      <c r="C2855" t="s">
        <v>16756</v>
      </c>
      <c r="D2855" s="1">
        <v>40288</v>
      </c>
      <c r="E2855" s="2">
        <v>1350000</v>
      </c>
      <c r="F2855" t="s">
        <v>4187</v>
      </c>
      <c r="G2855" s="17" t="str">
        <f>HYPERLINK("https://www.washoecounty.gov/assessor/cama/?command=sales&amp;parid=03740013","3872901")</f>
        <v>3872901</v>
      </c>
      <c r="H2855" t="s">
        <v>16757</v>
      </c>
      <c r="I2855">
        <v>2006</v>
      </c>
      <c r="J2855">
        <v>2006</v>
      </c>
      <c r="K2855" t="s">
        <v>3037</v>
      </c>
      <c r="L2855" t="s">
        <v>1366</v>
      </c>
      <c r="M2855" s="2">
        <v>8554</v>
      </c>
      <c r="N2855" t="s">
        <v>4580</v>
      </c>
      <c r="O2855">
        <v>0</v>
      </c>
      <c r="P2855">
        <v>0</v>
      </c>
      <c r="Q2855">
        <v>0</v>
      </c>
      <c r="R2855" t="s">
        <v>1395</v>
      </c>
      <c r="S2855" t="s">
        <v>1819</v>
      </c>
      <c r="T2855" t="s">
        <v>4655</v>
      </c>
      <c r="U2855" t="s">
        <v>4655</v>
      </c>
      <c r="V2855" s="2">
        <v>0</v>
      </c>
      <c r="W2855" t="s">
        <v>4655</v>
      </c>
      <c r="X2855" s="2">
        <v>0</v>
      </c>
      <c r="Y2855">
        <v>18</v>
      </c>
      <c r="Z2855" t="s">
        <v>2081</v>
      </c>
      <c r="AA2855" s="3">
        <v>1.38657021522521</v>
      </c>
      <c r="AB2855" t="s">
        <v>16758</v>
      </c>
      <c r="AC2855" t="s">
        <v>4562</v>
      </c>
      <c r="AD2855" t="s">
        <v>16759</v>
      </c>
      <c r="AE2855" t="s">
        <v>16760</v>
      </c>
      <c r="AF2855" t="s">
        <v>16761</v>
      </c>
      <c r="AG2855" t="s">
        <v>4584</v>
      </c>
      <c r="AH2855" t="s">
        <v>10451</v>
      </c>
      <c r="AI2855" t="s">
        <v>16762</v>
      </c>
      <c r="AJ2855" t="s">
        <v>16763</v>
      </c>
      <c r="AK2855" t="s">
        <v>16764</v>
      </c>
      <c r="AL2855" s="13" t="s">
        <v>1887</v>
      </c>
      <c r="AM2855">
        <v>1</v>
      </c>
      <c r="AN2855" s="15" t="s">
        <v>15607</v>
      </c>
    </row>
    <row r="2856" spans="1:40" x14ac:dyDescent="0.3">
      <c r="A2856" s="10" t="str">
        <f>HYPERLINK("http://www.washoecounty.gov/assessor/cama/?parid=038-081-09&amp;CardNumber=1","038-081-09")</f>
        <v>038-081-09</v>
      </c>
      <c r="B2856" t="s">
        <v>4655</v>
      </c>
      <c r="C2856" t="s">
        <v>16765</v>
      </c>
      <c r="D2856" s="1">
        <v>40452</v>
      </c>
      <c r="E2856" s="2">
        <v>437000</v>
      </c>
      <c r="F2856" t="s">
        <v>4567</v>
      </c>
      <c r="G2856" s="17" t="str">
        <f>HYPERLINK("https://www.washoecounty.gov/assessor/cama/?command=sales&amp;parid=03808109","3928783")</f>
        <v>3928783</v>
      </c>
      <c r="H2856" t="s">
        <v>16766</v>
      </c>
      <c r="I2856">
        <v>2009</v>
      </c>
      <c r="J2856">
        <v>2009</v>
      </c>
      <c r="K2856" t="s">
        <v>4554</v>
      </c>
      <c r="L2856" t="s">
        <v>4555</v>
      </c>
      <c r="M2856" s="2">
        <v>2672</v>
      </c>
      <c r="N2856" t="s">
        <v>3147</v>
      </c>
      <c r="O2856">
        <v>3</v>
      </c>
      <c r="P2856">
        <v>2</v>
      </c>
      <c r="Q2856">
        <v>1</v>
      </c>
      <c r="R2856" t="s">
        <v>5281</v>
      </c>
      <c r="S2856" t="s">
        <v>4135</v>
      </c>
      <c r="T2856" t="s">
        <v>4559</v>
      </c>
      <c r="U2856" t="s">
        <v>4560</v>
      </c>
      <c r="V2856" s="2">
        <v>726</v>
      </c>
      <c r="W2856" t="s">
        <v>4655</v>
      </c>
      <c r="X2856" s="2">
        <v>0</v>
      </c>
      <c r="Y2856">
        <v>20</v>
      </c>
      <c r="Z2856" t="s">
        <v>5508</v>
      </c>
      <c r="AA2856" s="3">
        <v>0.68999081850051802</v>
      </c>
      <c r="AB2856" t="s">
        <v>16767</v>
      </c>
      <c r="AC2856" t="s">
        <v>4562</v>
      </c>
      <c r="AD2856" t="s">
        <v>16768</v>
      </c>
      <c r="AE2856" t="s">
        <v>4655</v>
      </c>
      <c r="AF2856" t="s">
        <v>3890</v>
      </c>
      <c r="AG2856" t="s">
        <v>4564</v>
      </c>
      <c r="AH2856" t="s">
        <v>3891</v>
      </c>
      <c r="AI2856" t="s">
        <v>5049</v>
      </c>
      <c r="AJ2856" t="s">
        <v>4655</v>
      </c>
      <c r="AK2856" t="s">
        <v>16769</v>
      </c>
      <c r="AL2856" s="13" t="s">
        <v>1888</v>
      </c>
      <c r="AM2856" s="14">
        <v>1</v>
      </c>
      <c r="AN2856" s="15" t="s">
        <v>16770</v>
      </c>
    </row>
    <row r="2857" spans="1:40" x14ac:dyDescent="0.3">
      <c r="A2857" s="10" t="str">
        <f>HYPERLINK("http://www.washoecounty.gov/assessor/cama/?parid=038-083-02&amp;CardNumber=1","038-083-02")</f>
        <v>038-083-02</v>
      </c>
      <c r="B2857" t="s">
        <v>4655</v>
      </c>
      <c r="C2857" t="s">
        <v>16771</v>
      </c>
      <c r="D2857" s="1">
        <v>40389</v>
      </c>
      <c r="E2857" s="2">
        <v>379000</v>
      </c>
      <c r="F2857" t="s">
        <v>4567</v>
      </c>
      <c r="G2857" s="17" t="str">
        <f>HYPERLINK("https://www.washoecounty.gov/assessor/cama/?command=sales&amp;parid=03808302","3907500")</f>
        <v>3907500</v>
      </c>
      <c r="H2857" t="s">
        <v>16772</v>
      </c>
      <c r="I2857">
        <v>1978</v>
      </c>
      <c r="J2857">
        <v>1978</v>
      </c>
      <c r="K2857" t="s">
        <v>4554</v>
      </c>
      <c r="L2857" t="s">
        <v>4555</v>
      </c>
      <c r="M2857" s="2">
        <v>2151</v>
      </c>
      <c r="N2857" t="s">
        <v>3887</v>
      </c>
      <c r="O2857">
        <v>3</v>
      </c>
      <c r="P2857">
        <v>3</v>
      </c>
      <c r="Q2857">
        <v>1</v>
      </c>
      <c r="R2857" t="s">
        <v>4676</v>
      </c>
      <c r="S2857" t="s">
        <v>4135</v>
      </c>
      <c r="T2857" t="s">
        <v>4559</v>
      </c>
      <c r="U2857" t="s">
        <v>4560</v>
      </c>
      <c r="V2857" s="2">
        <v>1227</v>
      </c>
      <c r="W2857" t="s">
        <v>3149</v>
      </c>
      <c r="X2857" s="2">
        <v>1431</v>
      </c>
      <c r="Y2857">
        <v>20</v>
      </c>
      <c r="Z2857" t="s">
        <v>3884</v>
      </c>
      <c r="AA2857" s="3">
        <v>1</v>
      </c>
      <c r="AB2857" t="s">
        <v>16773</v>
      </c>
      <c r="AC2857" t="s">
        <v>4562</v>
      </c>
      <c r="AD2857" t="s">
        <v>16774</v>
      </c>
      <c r="AE2857" t="s">
        <v>4655</v>
      </c>
      <c r="AF2857" t="s">
        <v>4563</v>
      </c>
      <c r="AG2857" t="s">
        <v>4564</v>
      </c>
      <c r="AH2857">
        <v>89502</v>
      </c>
      <c r="AI2857" t="s">
        <v>16775</v>
      </c>
      <c r="AJ2857" t="s">
        <v>4655</v>
      </c>
      <c r="AK2857" t="s">
        <v>16776</v>
      </c>
      <c r="AL2857" s="13" t="s">
        <v>1888</v>
      </c>
      <c r="AM2857" s="14">
        <v>1</v>
      </c>
      <c r="AN2857" s="15" t="s">
        <v>4375</v>
      </c>
    </row>
    <row r="2858" spans="1:40" x14ac:dyDescent="0.3">
      <c r="A2858" s="10" t="str">
        <f>HYPERLINK("http://www.washoecounty.gov/assessor/cama/?parid=038-084-06&amp;CardNumber=1","038-084-06")</f>
        <v>038-084-06</v>
      </c>
      <c r="B2858" t="s">
        <v>4655</v>
      </c>
      <c r="C2858" t="s">
        <v>16777</v>
      </c>
      <c r="D2858" s="1">
        <v>40501</v>
      </c>
      <c r="E2858" s="2">
        <v>318500</v>
      </c>
      <c r="F2858" t="s">
        <v>4553</v>
      </c>
      <c r="G2858" s="17" t="str">
        <f>HYPERLINK("https://www.washoecounty.gov/assessor/cama/?command=sales&amp;parid=03808406","3945217")</f>
        <v>3945217</v>
      </c>
      <c r="H2858" t="s">
        <v>16778</v>
      </c>
      <c r="I2858">
        <v>1987</v>
      </c>
      <c r="J2858">
        <v>1987</v>
      </c>
      <c r="K2858" t="s">
        <v>4554</v>
      </c>
      <c r="L2858" t="s">
        <v>4555</v>
      </c>
      <c r="M2858" s="2">
        <v>2045</v>
      </c>
      <c r="N2858" t="s">
        <v>3887</v>
      </c>
      <c r="O2858">
        <v>3</v>
      </c>
      <c r="P2858">
        <v>2</v>
      </c>
      <c r="Q2858">
        <v>0</v>
      </c>
      <c r="R2858" t="s">
        <v>5281</v>
      </c>
      <c r="S2858" t="s">
        <v>4135</v>
      </c>
      <c r="T2858" t="s">
        <v>2704</v>
      </c>
      <c r="U2858" t="s">
        <v>4560</v>
      </c>
      <c r="V2858" s="2">
        <v>788</v>
      </c>
      <c r="W2858" t="s">
        <v>4655</v>
      </c>
      <c r="X2858" s="2">
        <v>0</v>
      </c>
      <c r="Y2858">
        <v>20</v>
      </c>
      <c r="Z2858" t="s">
        <v>3884</v>
      </c>
      <c r="AA2858" s="3">
        <v>1</v>
      </c>
      <c r="AB2858" t="s">
        <v>5446</v>
      </c>
      <c r="AC2858" t="s">
        <v>4562</v>
      </c>
      <c r="AD2858" t="s">
        <v>248</v>
      </c>
      <c r="AE2858" t="s">
        <v>4655</v>
      </c>
      <c r="AF2858" t="s">
        <v>4563</v>
      </c>
      <c r="AG2858" t="s">
        <v>4564</v>
      </c>
      <c r="AH2858" t="s">
        <v>1147</v>
      </c>
      <c r="AI2858" t="s">
        <v>4145</v>
      </c>
      <c r="AJ2858" t="s">
        <v>4655</v>
      </c>
      <c r="AK2858" t="s">
        <v>16779</v>
      </c>
      <c r="AL2858" s="13" t="s">
        <v>1888</v>
      </c>
      <c r="AM2858" s="14">
        <v>1</v>
      </c>
      <c r="AN2858" s="15" t="s">
        <v>4375</v>
      </c>
    </row>
    <row r="2859" spans="1:40" x14ac:dyDescent="0.3">
      <c r="A2859" s="10" t="str">
        <f>HYPERLINK("http://www.washoecounty.gov/assessor/cama/?parid=038-213-06&amp;CardNumber=1","038-213-06")</f>
        <v>038-213-06</v>
      </c>
      <c r="B2859" t="s">
        <v>4655</v>
      </c>
      <c r="C2859" t="s">
        <v>16780</v>
      </c>
      <c r="D2859" s="1">
        <v>40339</v>
      </c>
      <c r="E2859" s="2">
        <v>435000</v>
      </c>
      <c r="F2859" t="s">
        <v>4567</v>
      </c>
      <c r="G2859" s="17" t="str">
        <f>HYPERLINK("https://www.washoecounty.gov/assessor/cama/?command=sales&amp;parid=03821306","3890159")</f>
        <v>3890159</v>
      </c>
      <c r="H2859" t="s">
        <v>4655</v>
      </c>
      <c r="I2859">
        <v>1976</v>
      </c>
      <c r="J2859">
        <v>1979</v>
      </c>
      <c r="K2859" t="s">
        <v>4554</v>
      </c>
      <c r="L2859" t="s">
        <v>2170</v>
      </c>
      <c r="M2859" s="2">
        <v>3144</v>
      </c>
      <c r="N2859" t="s">
        <v>3887</v>
      </c>
      <c r="O2859">
        <v>4</v>
      </c>
      <c r="P2859">
        <v>3</v>
      </c>
      <c r="Q2859">
        <v>0</v>
      </c>
      <c r="R2859" t="s">
        <v>5205</v>
      </c>
      <c r="S2859" t="s">
        <v>3148</v>
      </c>
      <c r="T2859" t="s">
        <v>4559</v>
      </c>
      <c r="U2859" t="s">
        <v>4560</v>
      </c>
      <c r="V2859" s="2">
        <v>672</v>
      </c>
      <c r="W2859" t="s">
        <v>3149</v>
      </c>
      <c r="X2859" s="2">
        <v>576</v>
      </c>
      <c r="Y2859">
        <v>20</v>
      </c>
      <c r="Z2859" t="s">
        <v>3884</v>
      </c>
      <c r="AA2859" s="3">
        <v>1.1000000238418499</v>
      </c>
      <c r="AB2859" t="s">
        <v>16781</v>
      </c>
      <c r="AC2859" t="s">
        <v>4575</v>
      </c>
      <c r="AD2859" t="s">
        <v>16782</v>
      </c>
      <c r="AE2859" t="s">
        <v>16783</v>
      </c>
      <c r="AF2859" t="s">
        <v>1262</v>
      </c>
      <c r="AG2859" t="s">
        <v>4564</v>
      </c>
      <c r="AH2859" t="s">
        <v>3898</v>
      </c>
      <c r="AI2859" t="s">
        <v>16784</v>
      </c>
      <c r="AJ2859" t="s">
        <v>4655</v>
      </c>
      <c r="AK2859" t="s">
        <v>16785</v>
      </c>
      <c r="AL2859" s="13" t="s">
        <v>1888</v>
      </c>
      <c r="AM2859">
        <v>1</v>
      </c>
      <c r="AN2859" s="15" t="s">
        <v>4375</v>
      </c>
    </row>
    <row r="2860" spans="1:40" x14ac:dyDescent="0.3">
      <c r="A2860" s="10" t="str">
        <f>HYPERLINK("http://www.washoecounty.gov/assessor/cama/?parid=038-230-17&amp;CardNumber=1","038-230-17")</f>
        <v>038-230-17</v>
      </c>
      <c r="B2860" t="s">
        <v>4655</v>
      </c>
      <c r="C2860" t="s">
        <v>16786</v>
      </c>
      <c r="D2860" s="1">
        <v>40535</v>
      </c>
      <c r="E2860" s="2">
        <v>562000</v>
      </c>
      <c r="F2860" t="s">
        <v>4567</v>
      </c>
      <c r="G2860" s="17" t="str">
        <f>HYPERLINK("https://www.washoecounty.gov/assessor/cama/?command=sales&amp;parid=03823017","3956851")</f>
        <v>3956851</v>
      </c>
      <c r="H2860" t="s">
        <v>2833</v>
      </c>
      <c r="I2860">
        <v>2002</v>
      </c>
      <c r="J2860">
        <v>2002</v>
      </c>
      <c r="K2860" t="s">
        <v>4554</v>
      </c>
      <c r="L2860" t="s">
        <v>4555</v>
      </c>
      <c r="M2860" s="2">
        <v>2119</v>
      </c>
      <c r="N2860" t="s">
        <v>3887</v>
      </c>
      <c r="O2860">
        <v>5</v>
      </c>
      <c r="P2860">
        <v>3</v>
      </c>
      <c r="Q2860">
        <v>2</v>
      </c>
      <c r="R2860" t="s">
        <v>5281</v>
      </c>
      <c r="S2860" t="s">
        <v>4898</v>
      </c>
      <c r="T2860" t="s">
        <v>4559</v>
      </c>
      <c r="U2860" t="s">
        <v>4560</v>
      </c>
      <c r="V2860" s="2">
        <v>851</v>
      </c>
      <c r="W2860" t="s">
        <v>3201</v>
      </c>
      <c r="X2860" s="2">
        <v>2013</v>
      </c>
      <c r="Y2860">
        <v>20</v>
      </c>
      <c r="Z2860" t="s">
        <v>3668</v>
      </c>
      <c r="AA2860" s="3">
        <v>1.3595041036605799</v>
      </c>
      <c r="AB2860" t="s">
        <v>16787</v>
      </c>
      <c r="AC2860" t="s">
        <v>4562</v>
      </c>
      <c r="AD2860" t="s">
        <v>16786</v>
      </c>
      <c r="AE2860" t="s">
        <v>4655</v>
      </c>
      <c r="AF2860" t="s">
        <v>3890</v>
      </c>
      <c r="AG2860" t="s">
        <v>4564</v>
      </c>
      <c r="AH2860" t="s">
        <v>3891</v>
      </c>
      <c r="AI2860" t="s">
        <v>16788</v>
      </c>
      <c r="AJ2860" t="s">
        <v>4655</v>
      </c>
      <c r="AK2860" t="s">
        <v>16789</v>
      </c>
      <c r="AL2860" s="13" t="s">
        <v>1888</v>
      </c>
      <c r="AM2860" s="14">
        <v>1</v>
      </c>
      <c r="AN2860" s="15" t="s">
        <v>3892</v>
      </c>
    </row>
    <row r="2861" spans="1:40" x14ac:dyDescent="0.3">
      <c r="A2861" s="10" t="str">
        <f>HYPERLINK("http://www.washoecounty.gov/assessor/cama/?parid=038-242-13&amp;CardNumber=1","038-242-13")</f>
        <v>038-242-13</v>
      </c>
      <c r="B2861" t="s">
        <v>4655</v>
      </c>
      <c r="C2861" t="s">
        <v>16790</v>
      </c>
      <c r="D2861" s="1">
        <v>40182</v>
      </c>
      <c r="E2861" s="2">
        <v>950000</v>
      </c>
      <c r="F2861" t="s">
        <v>4567</v>
      </c>
      <c r="G2861" s="17" t="str">
        <f>HYPERLINK("https://www.washoecounty.gov/assessor/cama/?command=sales&amp;parid=03824213","3836145")</f>
        <v>3836145</v>
      </c>
      <c r="H2861" t="s">
        <v>16791</v>
      </c>
      <c r="I2861">
        <v>1976</v>
      </c>
      <c r="J2861">
        <v>2002</v>
      </c>
      <c r="K2861" t="s">
        <v>4554</v>
      </c>
      <c r="L2861" t="s">
        <v>3974</v>
      </c>
      <c r="M2861" s="2">
        <v>4248</v>
      </c>
      <c r="N2861" t="s">
        <v>2631</v>
      </c>
      <c r="O2861">
        <v>3</v>
      </c>
      <c r="P2861">
        <v>5</v>
      </c>
      <c r="Q2861">
        <v>0</v>
      </c>
      <c r="R2861" t="s">
        <v>2632</v>
      </c>
      <c r="S2861" t="s">
        <v>4135</v>
      </c>
      <c r="T2861" t="s">
        <v>3888</v>
      </c>
      <c r="U2861" t="s">
        <v>4655</v>
      </c>
      <c r="V2861" s="2">
        <v>0</v>
      </c>
      <c r="W2861" t="s">
        <v>4571</v>
      </c>
      <c r="X2861" s="2">
        <v>1776</v>
      </c>
      <c r="Y2861">
        <v>20</v>
      </c>
      <c r="Z2861" t="s">
        <v>3889</v>
      </c>
      <c r="AA2861" s="3">
        <v>3.4679999351501398</v>
      </c>
      <c r="AB2861" t="s">
        <v>16792</v>
      </c>
      <c r="AC2861" t="s">
        <v>4562</v>
      </c>
      <c r="AD2861" t="s">
        <v>16793</v>
      </c>
      <c r="AE2861" t="s">
        <v>4655</v>
      </c>
      <c r="AF2861" t="s">
        <v>4563</v>
      </c>
      <c r="AG2861" t="s">
        <v>4564</v>
      </c>
      <c r="AH2861">
        <v>89502</v>
      </c>
      <c r="AI2861" t="s">
        <v>4655</v>
      </c>
      <c r="AJ2861" t="s">
        <v>16794</v>
      </c>
      <c r="AK2861" t="s">
        <v>16795</v>
      </c>
      <c r="AL2861" s="13" t="s">
        <v>1888</v>
      </c>
      <c r="AM2861">
        <v>1</v>
      </c>
      <c r="AN2861" s="15" t="s">
        <v>3892</v>
      </c>
    </row>
    <row r="2862" spans="1:40" x14ac:dyDescent="0.3">
      <c r="A2862" s="10" t="str">
        <f>HYPERLINK("http://www.washoecounty.gov/assessor/cama/?parid=038-441-08&amp;CardNumber=1","038-441-08")</f>
        <v>038-441-08</v>
      </c>
      <c r="B2862" t="s">
        <v>4655</v>
      </c>
      <c r="C2862" t="s">
        <v>16796</v>
      </c>
      <c r="D2862" s="1">
        <v>40354</v>
      </c>
      <c r="E2862" s="2">
        <v>175000</v>
      </c>
      <c r="F2862" t="s">
        <v>4567</v>
      </c>
      <c r="G2862" s="17" t="str">
        <f>HYPERLINK("https://www.washoecounty.gov/assessor/cama/?command=sales&amp;parid=03844108","3895538")</f>
        <v>3895538</v>
      </c>
      <c r="H2862" t="s">
        <v>56</v>
      </c>
      <c r="I2862">
        <v>1984</v>
      </c>
      <c r="J2862">
        <v>1984</v>
      </c>
      <c r="K2862" t="s">
        <v>4554</v>
      </c>
      <c r="L2862" t="s">
        <v>4555</v>
      </c>
      <c r="M2862" s="2">
        <v>1550</v>
      </c>
      <c r="N2862" t="s">
        <v>4048</v>
      </c>
      <c r="O2862">
        <v>3</v>
      </c>
      <c r="P2862">
        <v>2</v>
      </c>
      <c r="Q2862">
        <v>0</v>
      </c>
      <c r="R2862" t="s">
        <v>4557</v>
      </c>
      <c r="S2862" t="s">
        <v>3148</v>
      </c>
      <c r="T2862" t="s">
        <v>4559</v>
      </c>
      <c r="U2862" t="s">
        <v>4560</v>
      </c>
      <c r="V2862" s="2">
        <v>458</v>
      </c>
      <c r="W2862" t="s">
        <v>4655</v>
      </c>
      <c r="X2862" s="2">
        <v>0</v>
      </c>
      <c r="Y2862">
        <v>20</v>
      </c>
      <c r="Z2862" t="s">
        <v>3884</v>
      </c>
      <c r="AA2862" s="3">
        <v>0.69898992776870705</v>
      </c>
      <c r="AB2862" t="s">
        <v>16797</v>
      </c>
      <c r="AC2862" t="s">
        <v>4562</v>
      </c>
      <c r="AD2862" t="s">
        <v>16796</v>
      </c>
      <c r="AE2862" t="s">
        <v>4655</v>
      </c>
      <c r="AF2862" t="s">
        <v>4563</v>
      </c>
      <c r="AG2862" t="s">
        <v>4564</v>
      </c>
      <c r="AH2862" t="s">
        <v>1147</v>
      </c>
      <c r="AI2862" t="s">
        <v>16798</v>
      </c>
      <c r="AJ2862" t="s">
        <v>4655</v>
      </c>
      <c r="AK2862" t="s">
        <v>16799</v>
      </c>
      <c r="AL2862" s="13" t="s">
        <v>1888</v>
      </c>
      <c r="AM2862">
        <v>1</v>
      </c>
      <c r="AN2862" s="15" t="s">
        <v>1467</v>
      </c>
    </row>
    <row r="2863" spans="1:40" x14ac:dyDescent="0.3">
      <c r="A2863" s="10" t="str">
        <f>HYPERLINK("http://www.washoecounty.gov/assessor/cama/?parid=038-442-24&amp;CardNumber=1","038-442-24")</f>
        <v>038-442-24</v>
      </c>
      <c r="B2863" t="s">
        <v>4655</v>
      </c>
      <c r="C2863" t="s">
        <v>1466</v>
      </c>
      <c r="D2863" s="1">
        <v>40228</v>
      </c>
      <c r="E2863" s="2">
        <v>226650</v>
      </c>
      <c r="F2863" t="s">
        <v>4567</v>
      </c>
      <c r="G2863" s="17" t="str">
        <f>HYPERLINK("https://www.washoecounty.gov/assessor/cama/?command=sales&amp;parid=03844224","3851023")</f>
        <v>3851023</v>
      </c>
      <c r="H2863" t="s">
        <v>16800</v>
      </c>
      <c r="I2863">
        <v>1980</v>
      </c>
      <c r="J2863">
        <v>1980</v>
      </c>
      <c r="K2863" t="s">
        <v>4554</v>
      </c>
      <c r="L2863" t="s">
        <v>4555</v>
      </c>
      <c r="M2863" s="2">
        <v>1896</v>
      </c>
      <c r="N2863" t="s">
        <v>5280</v>
      </c>
      <c r="O2863">
        <v>3</v>
      </c>
      <c r="P2863">
        <v>2</v>
      </c>
      <c r="Q2863">
        <v>1</v>
      </c>
      <c r="R2863" t="s">
        <v>4557</v>
      </c>
      <c r="S2863" t="s">
        <v>4558</v>
      </c>
      <c r="T2863" t="s">
        <v>4559</v>
      </c>
      <c r="U2863" t="s">
        <v>4560</v>
      </c>
      <c r="V2863" s="2">
        <v>713</v>
      </c>
      <c r="W2863" t="s">
        <v>4655</v>
      </c>
      <c r="X2863" s="2">
        <v>0</v>
      </c>
      <c r="Y2863">
        <v>20</v>
      </c>
      <c r="Z2863" t="s">
        <v>3884</v>
      </c>
      <c r="AA2863" s="3">
        <v>0.48199999332427979</v>
      </c>
      <c r="AB2863" t="s">
        <v>16801</v>
      </c>
      <c r="AC2863" t="s">
        <v>4575</v>
      </c>
      <c r="AD2863" t="s">
        <v>1466</v>
      </c>
      <c r="AE2863" t="s">
        <v>4655</v>
      </c>
      <c r="AF2863" t="s">
        <v>4563</v>
      </c>
      <c r="AG2863" t="s">
        <v>4564</v>
      </c>
      <c r="AH2863" t="s">
        <v>2541</v>
      </c>
      <c r="AI2863" t="s">
        <v>16802</v>
      </c>
      <c r="AJ2863" t="s">
        <v>4655</v>
      </c>
      <c r="AK2863" t="s">
        <v>16803</v>
      </c>
      <c r="AL2863" s="13" t="s">
        <v>1888</v>
      </c>
      <c r="AM2863">
        <v>1</v>
      </c>
      <c r="AN2863" s="15" t="s">
        <v>1467</v>
      </c>
    </row>
    <row r="2864" spans="1:40" x14ac:dyDescent="0.3">
      <c r="A2864" s="10" t="str">
        <f>HYPERLINK("http://www.washoecounty.gov/assessor/cama/?parid=038-451-07&amp;CardNumber=1","038-451-07")</f>
        <v>038-451-07</v>
      </c>
      <c r="B2864" t="s">
        <v>4655</v>
      </c>
      <c r="C2864" t="s">
        <v>16804</v>
      </c>
      <c r="D2864" s="1">
        <v>40269</v>
      </c>
      <c r="E2864" s="2">
        <v>272000</v>
      </c>
      <c r="F2864" t="s">
        <v>4553</v>
      </c>
      <c r="G2864" s="17" t="str">
        <f>HYPERLINK("https://www.washoecounty.gov/assessor/cama/?command=sales&amp;parid=03845107","3866883")</f>
        <v>3866883</v>
      </c>
      <c r="H2864" t="s">
        <v>16805</v>
      </c>
      <c r="I2864">
        <v>1986</v>
      </c>
      <c r="J2864">
        <v>1988</v>
      </c>
      <c r="K2864" t="s">
        <v>4554</v>
      </c>
      <c r="L2864" t="s">
        <v>2170</v>
      </c>
      <c r="M2864" s="2">
        <v>2867</v>
      </c>
      <c r="N2864" t="s">
        <v>5280</v>
      </c>
      <c r="O2864">
        <v>3</v>
      </c>
      <c r="P2864">
        <v>2</v>
      </c>
      <c r="Q2864">
        <v>0</v>
      </c>
      <c r="R2864" t="s">
        <v>4557</v>
      </c>
      <c r="S2864" t="s">
        <v>3148</v>
      </c>
      <c r="T2864" t="s">
        <v>4559</v>
      </c>
      <c r="U2864" t="s">
        <v>162</v>
      </c>
      <c r="V2864" s="2">
        <v>2031</v>
      </c>
      <c r="W2864" t="s">
        <v>4655</v>
      </c>
      <c r="X2864" s="2">
        <v>0</v>
      </c>
      <c r="Y2864">
        <v>20</v>
      </c>
      <c r="Z2864" t="s">
        <v>3884</v>
      </c>
      <c r="AA2864" s="3">
        <v>0.57601010799407903</v>
      </c>
      <c r="AB2864" t="s">
        <v>16806</v>
      </c>
      <c r="AC2864" t="s">
        <v>4562</v>
      </c>
      <c r="AD2864" t="s">
        <v>16807</v>
      </c>
      <c r="AE2864" t="s">
        <v>4655</v>
      </c>
      <c r="AF2864" t="s">
        <v>4563</v>
      </c>
      <c r="AG2864" t="s">
        <v>4564</v>
      </c>
      <c r="AH2864" t="s">
        <v>1147</v>
      </c>
      <c r="AI2864" t="s">
        <v>4045</v>
      </c>
      <c r="AJ2864" t="s">
        <v>4655</v>
      </c>
      <c r="AK2864" t="s">
        <v>16808</v>
      </c>
      <c r="AL2864" s="13" t="s">
        <v>1888</v>
      </c>
      <c r="AM2864" s="14">
        <v>1</v>
      </c>
      <c r="AN2864" s="15" t="s">
        <v>1467</v>
      </c>
    </row>
    <row r="2865" spans="1:40" x14ac:dyDescent="0.3">
      <c r="A2865" s="10" t="str">
        <f>HYPERLINK("http://www.washoecounty.gov/assessor/cama/?parid=038-452-10&amp;CardNumber=1","038-452-10")</f>
        <v>038-452-10</v>
      </c>
      <c r="B2865" t="s">
        <v>4655</v>
      </c>
      <c r="C2865" t="s">
        <v>16809</v>
      </c>
      <c r="D2865" s="1">
        <v>40277</v>
      </c>
      <c r="E2865" s="2">
        <v>310000</v>
      </c>
      <c r="F2865" t="s">
        <v>4567</v>
      </c>
      <c r="G2865" s="17" t="str">
        <f>HYPERLINK("https://www.washoecounty.gov/assessor/cama/?command=sales&amp;parid=03845210","3869362")</f>
        <v>3869362</v>
      </c>
      <c r="H2865" t="s">
        <v>16810</v>
      </c>
      <c r="I2865">
        <v>1999</v>
      </c>
      <c r="J2865">
        <v>1999</v>
      </c>
      <c r="K2865" t="s">
        <v>4554</v>
      </c>
      <c r="L2865" t="s">
        <v>4555</v>
      </c>
      <c r="M2865" s="2">
        <v>2359</v>
      </c>
      <c r="N2865" t="s">
        <v>5280</v>
      </c>
      <c r="O2865">
        <v>4</v>
      </c>
      <c r="P2865">
        <v>3</v>
      </c>
      <c r="Q2865">
        <v>0</v>
      </c>
      <c r="R2865" t="s">
        <v>4557</v>
      </c>
      <c r="S2865" t="s">
        <v>4558</v>
      </c>
      <c r="T2865" t="s">
        <v>4559</v>
      </c>
      <c r="U2865" t="s">
        <v>4560</v>
      </c>
      <c r="V2865" s="2">
        <v>824</v>
      </c>
      <c r="W2865" t="s">
        <v>4655</v>
      </c>
      <c r="X2865" s="2">
        <v>0</v>
      </c>
      <c r="Y2865">
        <v>20</v>
      </c>
      <c r="Z2865" t="s">
        <v>3884</v>
      </c>
      <c r="AA2865" s="3">
        <v>0.50500458478927601</v>
      </c>
      <c r="AB2865" t="s">
        <v>16811</v>
      </c>
      <c r="AC2865" t="s">
        <v>4562</v>
      </c>
      <c r="AD2865" t="s">
        <v>16809</v>
      </c>
      <c r="AE2865" t="s">
        <v>4655</v>
      </c>
      <c r="AF2865" t="s">
        <v>4563</v>
      </c>
      <c r="AG2865" t="s">
        <v>4564</v>
      </c>
      <c r="AH2865" t="s">
        <v>1147</v>
      </c>
      <c r="AI2865" t="s">
        <v>4655</v>
      </c>
      <c r="AJ2865" t="s">
        <v>4655</v>
      </c>
      <c r="AK2865" t="s">
        <v>16812</v>
      </c>
      <c r="AL2865" s="13" t="s">
        <v>1888</v>
      </c>
      <c r="AM2865">
        <v>1</v>
      </c>
      <c r="AN2865" s="15" t="s">
        <v>1467</v>
      </c>
    </row>
    <row r="2866" spans="1:40" x14ac:dyDescent="0.3">
      <c r="A2866" s="10" t="str">
        <f>HYPERLINK("http://www.washoecounty.gov/assessor/cama/?parid=038-453-10&amp;CardNumber=1","038-453-10")</f>
        <v>038-453-10</v>
      </c>
      <c r="B2866" t="s">
        <v>4655</v>
      </c>
      <c r="C2866" t="s">
        <v>16813</v>
      </c>
      <c r="D2866" s="1">
        <v>40463</v>
      </c>
      <c r="E2866" s="2">
        <v>192000</v>
      </c>
      <c r="F2866" t="s">
        <v>3259</v>
      </c>
      <c r="G2866" s="17" t="str">
        <f>HYPERLINK("https://www.washoecounty.gov/assessor/cama/?command=sales&amp;parid=03845310","3932024")</f>
        <v>3932024</v>
      </c>
      <c r="H2866" t="s">
        <v>16810</v>
      </c>
      <c r="I2866">
        <v>1985</v>
      </c>
      <c r="J2866">
        <v>1985</v>
      </c>
      <c r="K2866" t="s">
        <v>4554</v>
      </c>
      <c r="L2866" t="s">
        <v>4555</v>
      </c>
      <c r="M2866" s="2">
        <v>1639</v>
      </c>
      <c r="N2866" t="s">
        <v>4048</v>
      </c>
      <c r="O2866">
        <v>3</v>
      </c>
      <c r="P2866">
        <v>2</v>
      </c>
      <c r="Q2866">
        <v>0</v>
      </c>
      <c r="R2866" t="s">
        <v>4557</v>
      </c>
      <c r="S2866" t="s">
        <v>3148</v>
      </c>
      <c r="T2866" t="s">
        <v>4559</v>
      </c>
      <c r="U2866" t="s">
        <v>4560</v>
      </c>
      <c r="V2866" s="2">
        <v>368</v>
      </c>
      <c r="W2866" t="s">
        <v>4655</v>
      </c>
      <c r="X2866" s="2">
        <v>0</v>
      </c>
      <c r="Y2866">
        <v>20</v>
      </c>
      <c r="Z2866" t="s">
        <v>3884</v>
      </c>
      <c r="AA2866" s="3">
        <v>0.45399448275566101</v>
      </c>
      <c r="AB2866" t="s">
        <v>16814</v>
      </c>
      <c r="AC2866" t="s">
        <v>4575</v>
      </c>
      <c r="AD2866" t="s">
        <v>16813</v>
      </c>
      <c r="AE2866" t="s">
        <v>4655</v>
      </c>
      <c r="AF2866" t="s">
        <v>4563</v>
      </c>
      <c r="AG2866" t="s">
        <v>4564</v>
      </c>
      <c r="AH2866" t="s">
        <v>1147</v>
      </c>
      <c r="AI2866" t="s">
        <v>16815</v>
      </c>
      <c r="AJ2866" t="s">
        <v>4655</v>
      </c>
      <c r="AK2866" t="s">
        <v>16816</v>
      </c>
      <c r="AL2866" s="13" t="s">
        <v>1888</v>
      </c>
      <c r="AM2866">
        <v>1</v>
      </c>
      <c r="AN2866" s="15" t="s">
        <v>1467</v>
      </c>
    </row>
    <row r="2867" spans="1:40" x14ac:dyDescent="0.3">
      <c r="A2867" s="10" t="str">
        <f>HYPERLINK("http://www.washoecounty.gov/assessor/cama/?parid=038-461-01&amp;CardNumber=1","038-461-01")</f>
        <v>038-461-01</v>
      </c>
      <c r="B2867" t="s">
        <v>4655</v>
      </c>
      <c r="C2867" t="s">
        <v>16817</v>
      </c>
      <c r="D2867" s="1">
        <v>40242</v>
      </c>
      <c r="E2867" s="2">
        <v>232000</v>
      </c>
      <c r="F2867" t="s">
        <v>4553</v>
      </c>
      <c r="G2867" s="17" t="str">
        <f>HYPERLINK("https://www.washoecounty.gov/assessor/cama/?command=sales&amp;parid=03846101","3856400")</f>
        <v>3856400</v>
      </c>
      <c r="H2867" t="s">
        <v>16818</v>
      </c>
      <c r="I2867">
        <v>1984</v>
      </c>
      <c r="J2867">
        <v>1984</v>
      </c>
      <c r="K2867" t="s">
        <v>4554</v>
      </c>
      <c r="L2867" t="s">
        <v>4555</v>
      </c>
      <c r="M2867" s="2">
        <v>1452</v>
      </c>
      <c r="N2867" t="s">
        <v>5280</v>
      </c>
      <c r="O2867">
        <v>3</v>
      </c>
      <c r="P2867">
        <v>2</v>
      </c>
      <c r="Q2867">
        <v>0</v>
      </c>
      <c r="R2867" t="s">
        <v>5281</v>
      </c>
      <c r="S2867" t="s">
        <v>3148</v>
      </c>
      <c r="T2867" t="s">
        <v>4559</v>
      </c>
      <c r="U2867" t="s">
        <v>4560</v>
      </c>
      <c r="V2867" s="2">
        <v>480</v>
      </c>
      <c r="W2867" t="s">
        <v>4655</v>
      </c>
      <c r="X2867" s="2">
        <v>0</v>
      </c>
      <c r="Y2867">
        <v>20</v>
      </c>
      <c r="Z2867" t="s">
        <v>5508</v>
      </c>
      <c r="AA2867" s="3">
        <v>0.59899997711181596</v>
      </c>
      <c r="AB2867" t="s">
        <v>16819</v>
      </c>
      <c r="AC2867" t="s">
        <v>4575</v>
      </c>
      <c r="AD2867" t="s">
        <v>16817</v>
      </c>
      <c r="AE2867" t="s">
        <v>4655</v>
      </c>
      <c r="AF2867" t="s">
        <v>4563</v>
      </c>
      <c r="AG2867" t="s">
        <v>4564</v>
      </c>
      <c r="AH2867" t="s">
        <v>1147</v>
      </c>
      <c r="AI2867" t="s">
        <v>16820</v>
      </c>
      <c r="AJ2867" t="s">
        <v>4655</v>
      </c>
      <c r="AK2867" t="s">
        <v>16821</v>
      </c>
      <c r="AL2867" s="13" t="s">
        <v>3427</v>
      </c>
      <c r="AM2867">
        <v>1</v>
      </c>
      <c r="AN2867" s="15" t="s">
        <v>2744</v>
      </c>
    </row>
    <row r="2868" spans="1:40" x14ac:dyDescent="0.3">
      <c r="A2868" s="10" t="str">
        <f>HYPERLINK("http://www.washoecounty.gov/assessor/cama/?parid=038-463-16&amp;CardNumber=1","038-463-16")</f>
        <v>038-463-16</v>
      </c>
      <c r="B2868" t="s">
        <v>4655</v>
      </c>
      <c r="C2868" t="s">
        <v>16822</v>
      </c>
      <c r="D2868" s="1">
        <v>40347</v>
      </c>
      <c r="E2868" s="2">
        <v>273000</v>
      </c>
      <c r="F2868" t="s">
        <v>4553</v>
      </c>
      <c r="G2868" s="17" t="str">
        <f>HYPERLINK("https://www.washoecounty.gov/assessor/cama/?command=sales&amp;parid=03846316","3893405")</f>
        <v>3893405</v>
      </c>
      <c r="H2868" t="s">
        <v>5008</v>
      </c>
      <c r="I2868">
        <v>1984</v>
      </c>
      <c r="J2868">
        <v>1984</v>
      </c>
      <c r="K2868" t="s">
        <v>4554</v>
      </c>
      <c r="L2868" t="s">
        <v>3974</v>
      </c>
      <c r="M2868" s="2">
        <v>2276</v>
      </c>
      <c r="N2868" t="s">
        <v>5280</v>
      </c>
      <c r="O2868">
        <v>4</v>
      </c>
      <c r="P2868">
        <v>2</v>
      </c>
      <c r="Q2868">
        <v>1</v>
      </c>
      <c r="R2868" t="s">
        <v>4557</v>
      </c>
      <c r="S2868" t="s">
        <v>3148</v>
      </c>
      <c r="T2868" t="s">
        <v>4559</v>
      </c>
      <c r="U2868" t="s">
        <v>162</v>
      </c>
      <c r="V2868" s="2">
        <v>810</v>
      </c>
      <c r="W2868" t="s">
        <v>4655</v>
      </c>
      <c r="X2868" s="2">
        <v>0</v>
      </c>
      <c r="Y2868">
        <v>20</v>
      </c>
      <c r="Z2868" t="s">
        <v>5508</v>
      </c>
      <c r="AA2868" s="3">
        <v>0.41800001263618503</v>
      </c>
      <c r="AB2868" t="s">
        <v>16823</v>
      </c>
      <c r="AC2868" t="s">
        <v>4562</v>
      </c>
      <c r="AD2868" t="s">
        <v>16822</v>
      </c>
      <c r="AE2868" t="s">
        <v>4655</v>
      </c>
      <c r="AF2868" t="s">
        <v>4563</v>
      </c>
      <c r="AG2868" t="s">
        <v>4564</v>
      </c>
      <c r="AH2868" t="s">
        <v>1147</v>
      </c>
      <c r="AI2868" t="s">
        <v>4903</v>
      </c>
      <c r="AJ2868" t="s">
        <v>4655</v>
      </c>
      <c r="AK2868" t="s">
        <v>16824</v>
      </c>
      <c r="AL2868" s="13" t="s">
        <v>3427</v>
      </c>
      <c r="AM2868" s="14">
        <v>1</v>
      </c>
      <c r="AN2868" s="15" t="s">
        <v>2744</v>
      </c>
    </row>
    <row r="2869" spans="1:40" x14ac:dyDescent="0.3">
      <c r="A2869" s="10" t="str">
        <f>HYPERLINK("http://www.washoecounty.gov/assessor/cama/?parid=038-472-02&amp;CardNumber=1","038-472-02")</f>
        <v>038-472-02</v>
      </c>
      <c r="B2869" t="s">
        <v>4655</v>
      </c>
      <c r="C2869" t="s">
        <v>16825</v>
      </c>
      <c r="D2869" s="1">
        <v>40303</v>
      </c>
      <c r="E2869" s="2">
        <v>270000</v>
      </c>
      <c r="F2869" t="s">
        <v>4567</v>
      </c>
      <c r="G2869" s="17" t="str">
        <f>HYPERLINK("https://www.washoecounty.gov/assessor/cama/?command=sales&amp;parid=03847202","3878216")</f>
        <v>3878216</v>
      </c>
      <c r="H2869" t="s">
        <v>5008</v>
      </c>
      <c r="I2869">
        <v>1985</v>
      </c>
      <c r="J2869">
        <v>1985</v>
      </c>
      <c r="K2869" t="s">
        <v>4554</v>
      </c>
      <c r="L2869" t="s">
        <v>4555</v>
      </c>
      <c r="M2869" s="2">
        <v>2104</v>
      </c>
      <c r="N2869" t="s">
        <v>5280</v>
      </c>
      <c r="O2869">
        <v>4</v>
      </c>
      <c r="P2869">
        <v>2</v>
      </c>
      <c r="Q2869">
        <v>1</v>
      </c>
      <c r="R2869" t="s">
        <v>4557</v>
      </c>
      <c r="S2869" t="s">
        <v>3148</v>
      </c>
      <c r="T2869" t="s">
        <v>4559</v>
      </c>
      <c r="U2869" t="s">
        <v>4560</v>
      </c>
      <c r="V2869" s="2">
        <v>506</v>
      </c>
      <c r="W2869" t="s">
        <v>4655</v>
      </c>
      <c r="X2869" s="2">
        <v>0</v>
      </c>
      <c r="Y2869">
        <v>20</v>
      </c>
      <c r="Z2869" t="s">
        <v>5508</v>
      </c>
      <c r="AA2869" s="3">
        <v>0.337000012397766</v>
      </c>
      <c r="AB2869" t="s">
        <v>16826</v>
      </c>
      <c r="AC2869" t="s">
        <v>4562</v>
      </c>
      <c r="AD2869" t="s">
        <v>16825</v>
      </c>
      <c r="AE2869" t="s">
        <v>4655</v>
      </c>
      <c r="AF2869" t="s">
        <v>4563</v>
      </c>
      <c r="AG2869" t="s">
        <v>4564</v>
      </c>
      <c r="AH2869" t="s">
        <v>1147</v>
      </c>
      <c r="AI2869" t="s">
        <v>16827</v>
      </c>
      <c r="AJ2869" t="s">
        <v>4655</v>
      </c>
      <c r="AK2869" t="s">
        <v>16828</v>
      </c>
      <c r="AL2869" s="13" t="s">
        <v>3427</v>
      </c>
      <c r="AM2869">
        <v>1</v>
      </c>
      <c r="AN2869" s="15" t="s">
        <v>2744</v>
      </c>
    </row>
    <row r="2870" spans="1:40" x14ac:dyDescent="0.3">
      <c r="A2870" s="10" t="str">
        <f>HYPERLINK("http://www.washoecounty.gov/assessor/cama/?parid=038-472-06&amp;CardNumber=1","038-472-06")</f>
        <v>038-472-06</v>
      </c>
      <c r="B2870" t="s">
        <v>4655</v>
      </c>
      <c r="C2870" t="s">
        <v>16829</v>
      </c>
      <c r="D2870" s="1">
        <v>40501</v>
      </c>
      <c r="E2870" s="2">
        <v>268000</v>
      </c>
      <c r="F2870" t="s">
        <v>4553</v>
      </c>
      <c r="G2870" s="17" t="str">
        <f>HYPERLINK("https://www.washoecounty.gov/assessor/cama/?command=sales&amp;parid=03847206","3945148")</f>
        <v>3945148</v>
      </c>
      <c r="H2870" t="s">
        <v>16818</v>
      </c>
      <c r="I2870">
        <v>1984</v>
      </c>
      <c r="J2870">
        <v>1984</v>
      </c>
      <c r="K2870" t="s">
        <v>4554</v>
      </c>
      <c r="L2870" t="s">
        <v>3974</v>
      </c>
      <c r="M2870" s="2">
        <v>2094</v>
      </c>
      <c r="N2870" t="s">
        <v>5280</v>
      </c>
      <c r="O2870">
        <v>3</v>
      </c>
      <c r="P2870">
        <v>2</v>
      </c>
      <c r="Q2870">
        <v>1</v>
      </c>
      <c r="R2870" t="s">
        <v>5281</v>
      </c>
      <c r="S2870" t="s">
        <v>3148</v>
      </c>
      <c r="T2870" t="s">
        <v>4559</v>
      </c>
      <c r="U2870" t="s">
        <v>4560</v>
      </c>
      <c r="V2870" s="2">
        <v>440</v>
      </c>
      <c r="W2870" t="s">
        <v>4655</v>
      </c>
      <c r="X2870" s="2">
        <v>0</v>
      </c>
      <c r="Y2870">
        <v>20</v>
      </c>
      <c r="Z2870" t="s">
        <v>5508</v>
      </c>
      <c r="AA2870" s="3">
        <v>0.37900000810623202</v>
      </c>
      <c r="AB2870" t="s">
        <v>16830</v>
      </c>
      <c r="AC2870" t="s">
        <v>4562</v>
      </c>
      <c r="AD2870" t="s">
        <v>16829</v>
      </c>
      <c r="AE2870" t="s">
        <v>4655</v>
      </c>
      <c r="AF2870" t="s">
        <v>4563</v>
      </c>
      <c r="AG2870" t="s">
        <v>4564</v>
      </c>
      <c r="AH2870" t="s">
        <v>1147</v>
      </c>
      <c r="AI2870" t="s">
        <v>4903</v>
      </c>
      <c r="AJ2870" t="s">
        <v>4655</v>
      </c>
      <c r="AK2870" t="s">
        <v>16831</v>
      </c>
      <c r="AL2870" s="13" t="s">
        <v>3427</v>
      </c>
      <c r="AM2870">
        <v>1</v>
      </c>
      <c r="AN2870" s="15" t="s">
        <v>2744</v>
      </c>
    </row>
    <row r="2871" spans="1:40" x14ac:dyDescent="0.3">
      <c r="A2871" s="10" t="str">
        <f>HYPERLINK("http://www.washoecounty.gov/assessor/cama/?parid=038-482-03&amp;CardNumber=1","038-482-03")</f>
        <v>038-482-03</v>
      </c>
      <c r="B2871" t="s">
        <v>4655</v>
      </c>
      <c r="C2871" t="s">
        <v>16832</v>
      </c>
      <c r="D2871" s="1">
        <v>40235</v>
      </c>
      <c r="E2871" s="2">
        <v>230000</v>
      </c>
      <c r="F2871" t="s">
        <v>4567</v>
      </c>
      <c r="G2871" s="17" t="str">
        <f>HYPERLINK("https://www.washoecounty.gov/assessor/cama/?command=sales&amp;parid=03848203","3853281")</f>
        <v>3853281</v>
      </c>
      <c r="H2871" t="s">
        <v>5008</v>
      </c>
      <c r="I2871">
        <v>1984</v>
      </c>
      <c r="J2871">
        <v>1984</v>
      </c>
      <c r="K2871" t="s">
        <v>4554</v>
      </c>
      <c r="L2871" t="s">
        <v>4555</v>
      </c>
      <c r="M2871" s="2">
        <v>1452</v>
      </c>
      <c r="N2871" t="s">
        <v>5280</v>
      </c>
      <c r="O2871">
        <v>3</v>
      </c>
      <c r="P2871">
        <v>2</v>
      </c>
      <c r="Q2871">
        <v>0</v>
      </c>
      <c r="R2871" t="s">
        <v>4557</v>
      </c>
      <c r="S2871" t="s">
        <v>3148</v>
      </c>
      <c r="T2871" t="s">
        <v>4559</v>
      </c>
      <c r="U2871" t="s">
        <v>4560</v>
      </c>
      <c r="V2871" s="2">
        <v>480</v>
      </c>
      <c r="W2871" t="s">
        <v>4655</v>
      </c>
      <c r="X2871" s="2">
        <v>0</v>
      </c>
      <c r="Y2871">
        <v>20</v>
      </c>
      <c r="Z2871" t="s">
        <v>5508</v>
      </c>
      <c r="AA2871" s="3">
        <v>0.34850779175758401</v>
      </c>
      <c r="AB2871" t="s">
        <v>16833</v>
      </c>
      <c r="AC2871" t="s">
        <v>4562</v>
      </c>
      <c r="AD2871" t="s">
        <v>16832</v>
      </c>
      <c r="AE2871" t="s">
        <v>4655</v>
      </c>
      <c r="AF2871" t="s">
        <v>4563</v>
      </c>
      <c r="AG2871" t="s">
        <v>4564</v>
      </c>
      <c r="AH2871" t="s">
        <v>1147</v>
      </c>
      <c r="AI2871" t="s">
        <v>16834</v>
      </c>
      <c r="AJ2871" t="s">
        <v>4655</v>
      </c>
      <c r="AK2871" t="s">
        <v>16835</v>
      </c>
      <c r="AL2871" s="13" t="s">
        <v>3427</v>
      </c>
      <c r="AM2871">
        <v>1</v>
      </c>
      <c r="AN2871" s="15" t="s">
        <v>2744</v>
      </c>
    </row>
    <row r="2872" spans="1:40" x14ac:dyDescent="0.3">
      <c r="A2872" s="10" t="str">
        <f>HYPERLINK("http://www.washoecounty.gov/assessor/cama/?parid=038-582-07&amp;CardNumber=1","038-582-07")</f>
        <v>038-582-07</v>
      </c>
      <c r="B2872" t="s">
        <v>4655</v>
      </c>
      <c r="C2872" t="s">
        <v>16836</v>
      </c>
      <c r="D2872" s="1">
        <v>40469</v>
      </c>
      <c r="E2872" s="2">
        <v>235000</v>
      </c>
      <c r="F2872" t="s">
        <v>4553</v>
      </c>
      <c r="G2872" s="17" t="str">
        <f>HYPERLINK("https://www.washoecounty.gov/assessor/cama/?command=sales&amp;parid=03858207","3934022")</f>
        <v>3934022</v>
      </c>
      <c r="H2872" t="s">
        <v>2603</v>
      </c>
      <c r="I2872">
        <v>1988</v>
      </c>
      <c r="J2872">
        <v>1988</v>
      </c>
      <c r="K2872" t="s">
        <v>4554</v>
      </c>
      <c r="L2872" t="s">
        <v>3974</v>
      </c>
      <c r="M2872" s="2">
        <v>2015</v>
      </c>
      <c r="N2872" t="s">
        <v>5280</v>
      </c>
      <c r="O2872">
        <v>3</v>
      </c>
      <c r="P2872">
        <v>3</v>
      </c>
      <c r="Q2872">
        <v>0</v>
      </c>
      <c r="R2872" t="s">
        <v>4557</v>
      </c>
      <c r="S2872" t="s">
        <v>4558</v>
      </c>
      <c r="T2872" t="s">
        <v>4559</v>
      </c>
      <c r="U2872" t="s">
        <v>4560</v>
      </c>
      <c r="V2872" s="2">
        <v>483</v>
      </c>
      <c r="W2872" t="s">
        <v>4655</v>
      </c>
      <c r="X2872" s="2">
        <v>0</v>
      </c>
      <c r="Y2872">
        <v>20</v>
      </c>
      <c r="Z2872" t="s">
        <v>5508</v>
      </c>
      <c r="AA2872" s="3">
        <v>0.43443524837493896</v>
      </c>
      <c r="AB2872" t="s">
        <v>16837</v>
      </c>
      <c r="AC2872" t="s">
        <v>4575</v>
      </c>
      <c r="AD2872" t="s">
        <v>16836</v>
      </c>
      <c r="AE2872" t="s">
        <v>4655</v>
      </c>
      <c r="AF2872" t="s">
        <v>3114</v>
      </c>
      <c r="AG2872" t="s">
        <v>4564</v>
      </c>
      <c r="AH2872" t="s">
        <v>1147</v>
      </c>
      <c r="AI2872" t="s">
        <v>4903</v>
      </c>
      <c r="AJ2872" t="s">
        <v>4655</v>
      </c>
      <c r="AK2872" t="s">
        <v>16838</v>
      </c>
      <c r="AL2872" s="13" t="s">
        <v>3427</v>
      </c>
      <c r="AM2872">
        <v>1</v>
      </c>
      <c r="AN2872" s="15" t="s">
        <v>2744</v>
      </c>
    </row>
    <row r="2873" spans="1:40" x14ac:dyDescent="0.3">
      <c r="A2873" s="10" t="str">
        <f>HYPERLINK("http://www.washoecounty.gov/assessor/cama/?parid=038-582-13&amp;CardNumber=1","038-582-13")</f>
        <v>038-582-13</v>
      </c>
      <c r="B2873" t="s">
        <v>4655</v>
      </c>
      <c r="C2873" t="s">
        <v>16839</v>
      </c>
      <c r="D2873" s="1">
        <v>40424</v>
      </c>
      <c r="E2873" s="2">
        <v>292000</v>
      </c>
      <c r="F2873" t="s">
        <v>4567</v>
      </c>
      <c r="G2873" s="17" t="str">
        <f>HYPERLINK("https://www.washoecounty.gov/assessor/cama/?command=sales&amp;parid=03858213","3918922")</f>
        <v>3918922</v>
      </c>
      <c r="H2873" t="s">
        <v>2603</v>
      </c>
      <c r="I2873">
        <v>1987</v>
      </c>
      <c r="J2873">
        <v>1987</v>
      </c>
      <c r="K2873" t="s">
        <v>4554</v>
      </c>
      <c r="L2873" t="s">
        <v>4555</v>
      </c>
      <c r="M2873" s="2">
        <v>2225</v>
      </c>
      <c r="N2873" t="s">
        <v>5280</v>
      </c>
      <c r="O2873">
        <v>4</v>
      </c>
      <c r="P2873">
        <v>2</v>
      </c>
      <c r="Q2873">
        <v>1</v>
      </c>
      <c r="R2873" t="s">
        <v>4557</v>
      </c>
      <c r="S2873" t="s">
        <v>4558</v>
      </c>
      <c r="T2873" t="s">
        <v>4559</v>
      </c>
      <c r="U2873" t="s">
        <v>4560</v>
      </c>
      <c r="V2873" s="2">
        <v>620</v>
      </c>
      <c r="W2873" t="s">
        <v>4655</v>
      </c>
      <c r="X2873" s="2">
        <v>0</v>
      </c>
      <c r="Y2873">
        <v>20</v>
      </c>
      <c r="Z2873" t="s">
        <v>5508</v>
      </c>
      <c r="AA2873" s="3">
        <v>0.38634067773818997</v>
      </c>
      <c r="AB2873" t="s">
        <v>16840</v>
      </c>
      <c r="AC2873" t="s">
        <v>4575</v>
      </c>
      <c r="AD2873" t="s">
        <v>16841</v>
      </c>
      <c r="AE2873" t="s">
        <v>16839</v>
      </c>
      <c r="AF2873" t="s">
        <v>4563</v>
      </c>
      <c r="AG2873" t="s">
        <v>4564</v>
      </c>
      <c r="AH2873" t="s">
        <v>1147</v>
      </c>
      <c r="AI2873" t="s">
        <v>16842</v>
      </c>
      <c r="AJ2873" t="s">
        <v>4655</v>
      </c>
      <c r="AK2873" t="s">
        <v>16843</v>
      </c>
      <c r="AL2873" s="13" t="s">
        <v>3427</v>
      </c>
      <c r="AM2873" s="14">
        <v>1</v>
      </c>
      <c r="AN2873" s="15" t="s">
        <v>2744</v>
      </c>
    </row>
    <row r="2874" spans="1:40" x14ac:dyDescent="0.3">
      <c r="A2874" s="10" t="str">
        <f>HYPERLINK("http://www.washoecounty.gov/assessor/cama/?parid=038-591-13&amp;CardNumber=1","038-591-13")</f>
        <v>038-591-13</v>
      </c>
      <c r="B2874" t="s">
        <v>4655</v>
      </c>
      <c r="C2874" t="s">
        <v>16844</v>
      </c>
      <c r="D2874" s="1">
        <v>40233</v>
      </c>
      <c r="E2874" s="2">
        <v>270000</v>
      </c>
      <c r="F2874" t="s">
        <v>4567</v>
      </c>
      <c r="G2874" s="17" t="str">
        <f>HYPERLINK("https://www.washoecounty.gov/assessor/cama/?command=sales&amp;parid=03859113","3852374")</f>
        <v>3852374</v>
      </c>
      <c r="H2874" t="s">
        <v>2745</v>
      </c>
      <c r="I2874">
        <v>1986</v>
      </c>
      <c r="J2874">
        <v>1986</v>
      </c>
      <c r="K2874" t="s">
        <v>4554</v>
      </c>
      <c r="L2874" t="s">
        <v>4555</v>
      </c>
      <c r="M2874" s="2">
        <v>2096</v>
      </c>
      <c r="N2874" t="s">
        <v>5280</v>
      </c>
      <c r="O2874">
        <v>4</v>
      </c>
      <c r="P2874">
        <v>2</v>
      </c>
      <c r="Q2874">
        <v>1</v>
      </c>
      <c r="R2874" t="s">
        <v>5281</v>
      </c>
      <c r="S2874" t="s">
        <v>4558</v>
      </c>
      <c r="T2874" t="s">
        <v>4559</v>
      </c>
      <c r="U2874" t="s">
        <v>4560</v>
      </c>
      <c r="V2874" s="2">
        <v>544</v>
      </c>
      <c r="W2874" t="s">
        <v>4655</v>
      </c>
      <c r="X2874" s="2">
        <v>0</v>
      </c>
      <c r="Y2874">
        <v>20</v>
      </c>
      <c r="Z2874" t="s">
        <v>5508</v>
      </c>
      <c r="AA2874" s="3">
        <v>0.34400001168250999</v>
      </c>
      <c r="AB2874" t="s">
        <v>16845</v>
      </c>
      <c r="AC2874" t="s">
        <v>4562</v>
      </c>
      <c r="AD2874" t="s">
        <v>16844</v>
      </c>
      <c r="AE2874" t="s">
        <v>4655</v>
      </c>
      <c r="AF2874" t="s">
        <v>4563</v>
      </c>
      <c r="AG2874" t="s">
        <v>4564</v>
      </c>
      <c r="AH2874" t="s">
        <v>1147</v>
      </c>
      <c r="AI2874" t="s">
        <v>16846</v>
      </c>
      <c r="AJ2874" t="s">
        <v>4655</v>
      </c>
      <c r="AK2874" t="s">
        <v>16847</v>
      </c>
      <c r="AL2874" s="13" t="s">
        <v>3427</v>
      </c>
      <c r="AM2874">
        <v>1</v>
      </c>
      <c r="AN2874" s="15" t="s">
        <v>2744</v>
      </c>
    </row>
    <row r="2875" spans="1:40" x14ac:dyDescent="0.3">
      <c r="A2875" s="10" t="str">
        <f>HYPERLINK("http://www.washoecounty.gov/assessor/cama/?parid=038-592-03&amp;CardNumber=1","038-592-03")</f>
        <v>038-592-03</v>
      </c>
      <c r="B2875" t="s">
        <v>4655</v>
      </c>
      <c r="C2875" t="s">
        <v>16848</v>
      </c>
      <c r="D2875" s="1">
        <v>40368</v>
      </c>
      <c r="E2875" s="2">
        <v>190000</v>
      </c>
      <c r="F2875" t="s">
        <v>4553</v>
      </c>
      <c r="G2875" s="17" t="str">
        <f>HYPERLINK("https://www.washoecounty.gov/assessor/cama/?command=sales&amp;parid=03859203","3900011")</f>
        <v>3900011</v>
      </c>
      <c r="H2875" t="s">
        <v>2745</v>
      </c>
      <c r="I2875">
        <v>1986</v>
      </c>
      <c r="J2875">
        <v>1986</v>
      </c>
      <c r="K2875" t="s">
        <v>4554</v>
      </c>
      <c r="L2875" t="s">
        <v>4555</v>
      </c>
      <c r="M2875" s="2">
        <v>2096</v>
      </c>
      <c r="N2875" t="s">
        <v>5280</v>
      </c>
      <c r="O2875">
        <v>4</v>
      </c>
      <c r="P2875">
        <v>2</v>
      </c>
      <c r="Q2875">
        <v>1</v>
      </c>
      <c r="R2875" t="s">
        <v>4557</v>
      </c>
      <c r="S2875" t="s">
        <v>3148</v>
      </c>
      <c r="T2875" t="s">
        <v>4559</v>
      </c>
      <c r="U2875" t="s">
        <v>4560</v>
      </c>
      <c r="V2875" s="2">
        <v>548</v>
      </c>
      <c r="W2875" t="s">
        <v>4655</v>
      </c>
      <c r="X2875" s="2">
        <v>0</v>
      </c>
      <c r="Y2875">
        <v>20</v>
      </c>
      <c r="Z2875" t="s">
        <v>5508</v>
      </c>
      <c r="AA2875" s="3">
        <v>0.34400001168250999</v>
      </c>
      <c r="AB2875" t="s">
        <v>16849</v>
      </c>
      <c r="AC2875" t="s">
        <v>4562</v>
      </c>
      <c r="AD2875" t="s">
        <v>16850</v>
      </c>
      <c r="AE2875" t="s">
        <v>4655</v>
      </c>
      <c r="AF2875" t="s">
        <v>1262</v>
      </c>
      <c r="AG2875" t="s">
        <v>4564</v>
      </c>
      <c r="AH2875" t="s">
        <v>3891</v>
      </c>
      <c r="AI2875" t="s">
        <v>4655</v>
      </c>
      <c r="AJ2875" t="s">
        <v>4655</v>
      </c>
      <c r="AK2875" t="s">
        <v>16851</v>
      </c>
      <c r="AL2875" s="13" t="s">
        <v>3427</v>
      </c>
      <c r="AM2875" s="14">
        <v>1</v>
      </c>
      <c r="AN2875" s="15" t="s">
        <v>2744</v>
      </c>
    </row>
    <row r="2876" spans="1:40" x14ac:dyDescent="0.3">
      <c r="A2876" s="10" t="str">
        <f>HYPERLINK("http://www.washoecounty.gov/assessor/cama/?parid=038-592-04&amp;CardNumber=1","038-592-04")</f>
        <v>038-592-04</v>
      </c>
      <c r="B2876" t="s">
        <v>4655</v>
      </c>
      <c r="C2876" t="s">
        <v>16852</v>
      </c>
      <c r="D2876" s="1">
        <v>40311</v>
      </c>
      <c r="E2876" s="2">
        <v>200000</v>
      </c>
      <c r="F2876" t="s">
        <v>4553</v>
      </c>
      <c r="G2876" s="17" t="str">
        <f>HYPERLINK("https://www.washoecounty.gov/assessor/cama/?command=sales&amp;parid=03859204","3881285")</f>
        <v>3881285</v>
      </c>
      <c r="H2876" t="s">
        <v>2603</v>
      </c>
      <c r="I2876">
        <v>1986</v>
      </c>
      <c r="J2876">
        <v>1986</v>
      </c>
      <c r="K2876" t="s">
        <v>4554</v>
      </c>
      <c r="L2876" t="s">
        <v>4555</v>
      </c>
      <c r="M2876" s="2">
        <v>1647</v>
      </c>
      <c r="N2876" t="s">
        <v>5280</v>
      </c>
      <c r="O2876">
        <v>3</v>
      </c>
      <c r="P2876">
        <v>2</v>
      </c>
      <c r="Q2876">
        <v>0</v>
      </c>
      <c r="R2876" t="s">
        <v>4557</v>
      </c>
      <c r="S2876" t="s">
        <v>3148</v>
      </c>
      <c r="T2876" t="s">
        <v>4559</v>
      </c>
      <c r="U2876" t="s">
        <v>4560</v>
      </c>
      <c r="V2876" s="2">
        <v>452</v>
      </c>
      <c r="W2876" t="s">
        <v>4655</v>
      </c>
      <c r="X2876" s="2">
        <v>0</v>
      </c>
      <c r="Y2876">
        <v>20</v>
      </c>
      <c r="Z2876" t="s">
        <v>5508</v>
      </c>
      <c r="AA2876" s="3">
        <v>0.347000002861023</v>
      </c>
      <c r="AB2876" t="s">
        <v>16853</v>
      </c>
      <c r="AC2876" t="s">
        <v>4575</v>
      </c>
      <c r="AD2876" t="s">
        <v>16854</v>
      </c>
      <c r="AE2876" t="s">
        <v>4655</v>
      </c>
      <c r="AF2876" t="s">
        <v>4563</v>
      </c>
      <c r="AG2876" t="s">
        <v>4564</v>
      </c>
      <c r="AH2876" t="s">
        <v>1147</v>
      </c>
      <c r="AI2876" t="s">
        <v>4565</v>
      </c>
      <c r="AJ2876" t="s">
        <v>4655</v>
      </c>
      <c r="AK2876" t="s">
        <v>16855</v>
      </c>
      <c r="AL2876" s="13" t="s">
        <v>3427</v>
      </c>
      <c r="AM2876">
        <v>1</v>
      </c>
      <c r="AN2876" s="15" t="s">
        <v>2744</v>
      </c>
    </row>
    <row r="2877" spans="1:40" x14ac:dyDescent="0.3">
      <c r="A2877" s="10" t="str">
        <f>HYPERLINK("http://www.washoecounty.gov/assessor/cama/?parid=038-601-07&amp;CardNumber=1","038-601-07")</f>
        <v>038-601-07</v>
      </c>
      <c r="B2877" t="s">
        <v>4655</v>
      </c>
      <c r="C2877" t="s">
        <v>16856</v>
      </c>
      <c r="D2877" s="1">
        <v>40267</v>
      </c>
      <c r="E2877" s="2">
        <v>215000</v>
      </c>
      <c r="F2877" t="s">
        <v>4567</v>
      </c>
      <c r="G2877" s="17" t="str">
        <f>HYPERLINK("https://www.washoecounty.gov/assessor/cama/?command=sales&amp;parid=03860107","3866012")</f>
        <v>3866012</v>
      </c>
      <c r="H2877" t="s">
        <v>2745</v>
      </c>
      <c r="I2877">
        <v>1988</v>
      </c>
      <c r="J2877">
        <v>1988</v>
      </c>
      <c r="K2877" t="s">
        <v>4554</v>
      </c>
      <c r="L2877" t="s">
        <v>4555</v>
      </c>
      <c r="M2877" s="2">
        <v>1728</v>
      </c>
      <c r="N2877" t="s">
        <v>5280</v>
      </c>
      <c r="O2877">
        <v>3</v>
      </c>
      <c r="P2877">
        <v>2</v>
      </c>
      <c r="Q2877">
        <v>0</v>
      </c>
      <c r="R2877" t="s">
        <v>4557</v>
      </c>
      <c r="S2877" t="s">
        <v>4558</v>
      </c>
      <c r="T2877" t="s">
        <v>4559</v>
      </c>
      <c r="U2877" t="s">
        <v>4560</v>
      </c>
      <c r="V2877" s="2">
        <v>461</v>
      </c>
      <c r="W2877" t="s">
        <v>4655</v>
      </c>
      <c r="X2877" s="2">
        <v>0</v>
      </c>
      <c r="Y2877">
        <v>20</v>
      </c>
      <c r="Z2877" t="s">
        <v>5508</v>
      </c>
      <c r="AA2877" s="3">
        <v>0.40200001001357999</v>
      </c>
      <c r="AB2877" t="s">
        <v>16857</v>
      </c>
      <c r="AC2877" t="s">
        <v>4562</v>
      </c>
      <c r="AD2877" t="s">
        <v>16856</v>
      </c>
      <c r="AE2877" t="s">
        <v>4655</v>
      </c>
      <c r="AF2877" t="s">
        <v>4563</v>
      </c>
      <c r="AG2877" t="s">
        <v>4564</v>
      </c>
      <c r="AH2877" t="s">
        <v>1147</v>
      </c>
      <c r="AI2877" t="s">
        <v>16858</v>
      </c>
      <c r="AJ2877" t="s">
        <v>4655</v>
      </c>
      <c r="AK2877" t="s">
        <v>16859</v>
      </c>
      <c r="AL2877" s="13" t="s">
        <v>3427</v>
      </c>
      <c r="AM2877">
        <v>1</v>
      </c>
      <c r="AN2877" s="15" t="s">
        <v>2744</v>
      </c>
    </row>
    <row r="2878" spans="1:40" x14ac:dyDescent="0.3">
      <c r="A2878" s="10" t="str">
        <f>HYPERLINK("http://www.washoecounty.gov/assessor/cama/?parid=038-621-51&amp;CardNumber=1","038-621-51")</f>
        <v>038-621-51</v>
      </c>
      <c r="B2878" t="s">
        <v>4655</v>
      </c>
      <c r="C2878" t="s">
        <v>16860</v>
      </c>
      <c r="D2878" s="1">
        <v>40340</v>
      </c>
      <c r="E2878" s="2">
        <v>180000</v>
      </c>
      <c r="F2878" t="s">
        <v>4567</v>
      </c>
      <c r="G2878" s="17" t="str">
        <f>HYPERLINK("https://www.washoecounty.gov/assessor/cama/?command=sales&amp;parid=03862151","3890902")</f>
        <v>3890902</v>
      </c>
      <c r="H2878" t="s">
        <v>467</v>
      </c>
      <c r="I2878">
        <v>2001</v>
      </c>
      <c r="J2878">
        <v>2001</v>
      </c>
      <c r="K2878" t="s">
        <v>4554</v>
      </c>
      <c r="L2878" t="s">
        <v>4555</v>
      </c>
      <c r="M2878" s="2">
        <v>1437</v>
      </c>
      <c r="N2878" t="s">
        <v>4048</v>
      </c>
      <c r="O2878">
        <v>3</v>
      </c>
      <c r="P2878">
        <v>2</v>
      </c>
      <c r="Q2878">
        <v>0</v>
      </c>
      <c r="R2878" t="s">
        <v>5281</v>
      </c>
      <c r="S2878" t="s">
        <v>4558</v>
      </c>
      <c r="T2878" t="s">
        <v>4559</v>
      </c>
      <c r="U2878" t="s">
        <v>4560</v>
      </c>
      <c r="V2878" s="2">
        <v>590</v>
      </c>
      <c r="W2878" t="s">
        <v>4655</v>
      </c>
      <c r="X2878" s="2">
        <v>0</v>
      </c>
      <c r="Y2878">
        <v>20</v>
      </c>
      <c r="Z2878" t="s">
        <v>718</v>
      </c>
      <c r="AA2878" s="3">
        <v>0.14400826394558</v>
      </c>
      <c r="AB2878" t="s">
        <v>16861</v>
      </c>
      <c r="AC2878" t="s">
        <v>4562</v>
      </c>
      <c r="AD2878" t="s">
        <v>16860</v>
      </c>
      <c r="AE2878" t="s">
        <v>4655</v>
      </c>
      <c r="AF2878" t="s">
        <v>3890</v>
      </c>
      <c r="AG2878" t="s">
        <v>4564</v>
      </c>
      <c r="AH2878" t="s">
        <v>16862</v>
      </c>
      <c r="AI2878" t="s">
        <v>16863</v>
      </c>
      <c r="AJ2878" t="s">
        <v>16864</v>
      </c>
      <c r="AK2878" t="s">
        <v>16865</v>
      </c>
      <c r="AL2878" s="13" t="s">
        <v>3427</v>
      </c>
      <c r="AM2878" s="14">
        <v>1</v>
      </c>
      <c r="AN2878" s="15" t="s">
        <v>719</v>
      </c>
    </row>
    <row r="2879" spans="1:40" x14ac:dyDescent="0.3">
      <c r="A2879" s="10" t="str">
        <f>HYPERLINK("http://www.washoecounty.gov/assessor/cama/?parid=038-622-30&amp;CardNumber=1","038-622-30")</f>
        <v>038-622-30</v>
      </c>
      <c r="B2879" t="s">
        <v>4655</v>
      </c>
      <c r="C2879" t="s">
        <v>16866</v>
      </c>
      <c r="D2879" s="1">
        <v>40324</v>
      </c>
      <c r="E2879" s="2">
        <v>158000</v>
      </c>
      <c r="F2879" t="s">
        <v>4553</v>
      </c>
      <c r="G2879" s="17" t="str">
        <f>HYPERLINK("https://www.washoecounty.gov/assessor/cama/?command=sales&amp;parid=03862230","3885562")</f>
        <v>3885562</v>
      </c>
      <c r="H2879" t="s">
        <v>1079</v>
      </c>
      <c r="I2879">
        <v>2001</v>
      </c>
      <c r="J2879">
        <v>2001</v>
      </c>
      <c r="K2879" t="s">
        <v>4554</v>
      </c>
      <c r="L2879" t="s">
        <v>4555</v>
      </c>
      <c r="M2879" s="2">
        <v>1281</v>
      </c>
      <c r="N2879" t="s">
        <v>4048</v>
      </c>
      <c r="O2879">
        <v>3</v>
      </c>
      <c r="P2879">
        <v>2</v>
      </c>
      <c r="Q2879">
        <v>0</v>
      </c>
      <c r="R2879" t="s">
        <v>4557</v>
      </c>
      <c r="S2879" t="s">
        <v>4558</v>
      </c>
      <c r="T2879" t="s">
        <v>4559</v>
      </c>
      <c r="U2879" t="s">
        <v>4560</v>
      </c>
      <c r="V2879" s="2">
        <v>579</v>
      </c>
      <c r="W2879" t="s">
        <v>4655</v>
      </c>
      <c r="X2879" s="2">
        <v>0</v>
      </c>
      <c r="Y2879">
        <v>20</v>
      </c>
      <c r="Z2879" t="s">
        <v>718</v>
      </c>
      <c r="AA2879" s="3">
        <v>0.16200642287731201</v>
      </c>
      <c r="AB2879" t="s">
        <v>16867</v>
      </c>
      <c r="AC2879" t="s">
        <v>4562</v>
      </c>
      <c r="AD2879" t="s">
        <v>16866</v>
      </c>
      <c r="AE2879" t="s">
        <v>4655</v>
      </c>
      <c r="AF2879" t="s">
        <v>3890</v>
      </c>
      <c r="AG2879" t="s">
        <v>4564</v>
      </c>
      <c r="AH2879" t="s">
        <v>3891</v>
      </c>
      <c r="AI2879" t="s">
        <v>2351</v>
      </c>
      <c r="AJ2879" t="s">
        <v>2340</v>
      </c>
      <c r="AK2879" t="s">
        <v>16868</v>
      </c>
      <c r="AL2879" s="13" t="s">
        <v>3427</v>
      </c>
      <c r="AM2879">
        <v>1</v>
      </c>
      <c r="AN2879" s="15" t="s">
        <v>719</v>
      </c>
    </row>
    <row r="2880" spans="1:40" x14ac:dyDescent="0.3">
      <c r="A2880" s="10" t="str">
        <f>HYPERLINK("http://www.washoecounty.gov/assessor/cama/?parid=038-625-16&amp;CardNumber=1","038-625-16")</f>
        <v>038-625-16</v>
      </c>
      <c r="B2880" t="s">
        <v>4655</v>
      </c>
      <c r="C2880" t="s">
        <v>16869</v>
      </c>
      <c r="D2880" s="1">
        <v>40312</v>
      </c>
      <c r="E2880" s="2">
        <v>198000</v>
      </c>
      <c r="F2880" t="s">
        <v>4567</v>
      </c>
      <c r="G2880" s="17" t="str">
        <f>HYPERLINK("https://www.washoecounty.gov/assessor/cama/?command=sales&amp;parid=03862516","3881582")</f>
        <v>3881582</v>
      </c>
      <c r="H2880" t="s">
        <v>467</v>
      </c>
      <c r="I2880">
        <v>2000</v>
      </c>
      <c r="J2880">
        <v>2000</v>
      </c>
      <c r="K2880" t="s">
        <v>4554</v>
      </c>
      <c r="L2880" t="s">
        <v>4555</v>
      </c>
      <c r="M2880" s="2">
        <v>1437</v>
      </c>
      <c r="N2880" t="s">
        <v>4048</v>
      </c>
      <c r="O2880">
        <v>3</v>
      </c>
      <c r="P2880">
        <v>2</v>
      </c>
      <c r="Q2880">
        <v>0</v>
      </c>
      <c r="R2880" t="s">
        <v>4557</v>
      </c>
      <c r="S2880" t="s">
        <v>4558</v>
      </c>
      <c r="T2880" t="s">
        <v>4559</v>
      </c>
      <c r="U2880" t="s">
        <v>4560</v>
      </c>
      <c r="V2880" s="2">
        <v>400</v>
      </c>
      <c r="W2880" t="s">
        <v>4655</v>
      </c>
      <c r="X2880" s="2">
        <v>0</v>
      </c>
      <c r="Y2880">
        <v>20</v>
      </c>
      <c r="Z2880" t="s">
        <v>718</v>
      </c>
      <c r="AA2880" s="3">
        <v>0.13799357414245605</v>
      </c>
      <c r="AB2880" t="s">
        <v>16870</v>
      </c>
      <c r="AC2880" t="s">
        <v>4575</v>
      </c>
      <c r="AD2880" t="s">
        <v>16871</v>
      </c>
      <c r="AE2880" t="s">
        <v>4655</v>
      </c>
      <c r="AF2880" t="s">
        <v>2514</v>
      </c>
      <c r="AG2880" t="s">
        <v>4584</v>
      </c>
      <c r="AH2880">
        <v>94022</v>
      </c>
      <c r="AI2880" t="s">
        <v>16872</v>
      </c>
      <c r="AJ2880" t="s">
        <v>16873</v>
      </c>
      <c r="AK2880" t="s">
        <v>16874</v>
      </c>
      <c r="AL2880" s="13" t="s">
        <v>3427</v>
      </c>
      <c r="AM2880" s="14">
        <v>1</v>
      </c>
      <c r="AN2880" s="15" t="s">
        <v>719</v>
      </c>
    </row>
    <row r="2881" spans="1:40" x14ac:dyDescent="0.3">
      <c r="A2881" s="10" t="str">
        <f>HYPERLINK("http://www.washoecounty.gov/assessor/cama/?parid=038-626-04&amp;CardNumber=1","038-626-04")</f>
        <v>038-626-04</v>
      </c>
      <c r="B2881" t="s">
        <v>4655</v>
      </c>
      <c r="C2881" t="s">
        <v>16875</v>
      </c>
      <c r="D2881" s="1">
        <v>40529</v>
      </c>
      <c r="E2881" s="2">
        <v>165000</v>
      </c>
      <c r="F2881" t="s">
        <v>4567</v>
      </c>
      <c r="G2881" s="17" t="str">
        <f>HYPERLINK("https://www.washoecounty.gov/assessor/cama/?command=sales&amp;parid=03862604","3954860")</f>
        <v>3954860</v>
      </c>
      <c r="H2881" t="s">
        <v>467</v>
      </c>
      <c r="I2881">
        <v>2000</v>
      </c>
      <c r="J2881">
        <v>2000</v>
      </c>
      <c r="K2881" t="s">
        <v>4554</v>
      </c>
      <c r="L2881" t="s">
        <v>4555</v>
      </c>
      <c r="M2881" s="2">
        <v>1281</v>
      </c>
      <c r="N2881" t="s">
        <v>4048</v>
      </c>
      <c r="O2881">
        <v>3</v>
      </c>
      <c r="P2881">
        <v>2</v>
      </c>
      <c r="Q2881">
        <v>0</v>
      </c>
      <c r="R2881" t="s">
        <v>5281</v>
      </c>
      <c r="S2881" t="s">
        <v>4558</v>
      </c>
      <c r="T2881" t="s">
        <v>4559</v>
      </c>
      <c r="U2881" t="s">
        <v>4560</v>
      </c>
      <c r="V2881" s="2">
        <v>579</v>
      </c>
      <c r="W2881" t="s">
        <v>4655</v>
      </c>
      <c r="X2881" s="2">
        <v>0</v>
      </c>
      <c r="Y2881">
        <v>20</v>
      </c>
      <c r="Z2881" t="s">
        <v>718</v>
      </c>
      <c r="AA2881" s="3">
        <v>0.13900367915630299</v>
      </c>
      <c r="AB2881" t="s">
        <v>16876</v>
      </c>
      <c r="AC2881" t="s">
        <v>4562</v>
      </c>
      <c r="AD2881" t="s">
        <v>16877</v>
      </c>
      <c r="AE2881" t="s">
        <v>4655</v>
      </c>
      <c r="AF2881" t="s">
        <v>3890</v>
      </c>
      <c r="AG2881" t="s">
        <v>4564</v>
      </c>
      <c r="AH2881" t="s">
        <v>3891</v>
      </c>
      <c r="AI2881" t="s">
        <v>16878</v>
      </c>
      <c r="AJ2881" t="s">
        <v>16879</v>
      </c>
      <c r="AK2881" t="s">
        <v>16880</v>
      </c>
      <c r="AL2881" s="13" t="s">
        <v>3427</v>
      </c>
      <c r="AM2881">
        <v>1</v>
      </c>
      <c r="AN2881" s="15" t="s">
        <v>719</v>
      </c>
    </row>
    <row r="2882" spans="1:40" x14ac:dyDescent="0.3">
      <c r="A2882" s="10" t="str">
        <f>HYPERLINK("http://www.washoecounty.gov/assessor/cama/?parid=038-626-06&amp;CardNumber=1","038-626-06")</f>
        <v>038-626-06</v>
      </c>
      <c r="B2882" t="s">
        <v>4655</v>
      </c>
      <c r="C2882" t="s">
        <v>16881</v>
      </c>
      <c r="D2882" s="1">
        <v>40280</v>
      </c>
      <c r="E2882" s="2">
        <v>230000</v>
      </c>
      <c r="F2882" t="s">
        <v>4553</v>
      </c>
      <c r="G2882" s="17" t="str">
        <f>HYPERLINK("https://www.washoecounty.gov/assessor/cama/?command=sales&amp;parid=03862606","3869904")</f>
        <v>3869904</v>
      </c>
      <c r="H2882" t="s">
        <v>467</v>
      </c>
      <c r="I2882">
        <v>1998</v>
      </c>
      <c r="J2882">
        <v>1998</v>
      </c>
      <c r="K2882" t="s">
        <v>4554</v>
      </c>
      <c r="L2882" t="s">
        <v>3974</v>
      </c>
      <c r="M2882" s="2">
        <v>2735</v>
      </c>
      <c r="N2882" t="s">
        <v>5280</v>
      </c>
      <c r="O2882">
        <v>3</v>
      </c>
      <c r="P2882">
        <v>2</v>
      </c>
      <c r="Q2882">
        <v>1</v>
      </c>
      <c r="R2882" t="s">
        <v>5281</v>
      </c>
      <c r="S2882" t="s">
        <v>4558</v>
      </c>
      <c r="T2882" t="s">
        <v>4559</v>
      </c>
      <c r="U2882" t="s">
        <v>4560</v>
      </c>
      <c r="V2882" s="2">
        <v>639</v>
      </c>
      <c r="W2882" t="s">
        <v>4655</v>
      </c>
      <c r="X2882" s="2">
        <v>0</v>
      </c>
      <c r="Y2882">
        <v>20</v>
      </c>
      <c r="Z2882" t="s">
        <v>718</v>
      </c>
      <c r="AA2882" s="3">
        <v>0.16299356520175901</v>
      </c>
      <c r="AB2882" t="s">
        <v>16882</v>
      </c>
      <c r="AC2882" t="s">
        <v>4575</v>
      </c>
      <c r="AD2882" t="s">
        <v>16883</v>
      </c>
      <c r="AE2882" t="s">
        <v>4655</v>
      </c>
      <c r="AF2882" t="s">
        <v>3660</v>
      </c>
      <c r="AG2882" t="s">
        <v>4584</v>
      </c>
      <c r="AH2882" t="s">
        <v>3307</v>
      </c>
      <c r="AI2882" t="s">
        <v>4585</v>
      </c>
      <c r="AJ2882" t="s">
        <v>16879</v>
      </c>
      <c r="AK2882" t="s">
        <v>16884</v>
      </c>
      <c r="AL2882" s="13" t="s">
        <v>3427</v>
      </c>
      <c r="AM2882">
        <v>1</v>
      </c>
      <c r="AN2882" s="15" t="s">
        <v>719</v>
      </c>
    </row>
    <row r="2883" spans="1:40" x14ac:dyDescent="0.3">
      <c r="A2883" s="10" t="str">
        <f>HYPERLINK("http://www.washoecounty.gov/assessor/cama/?parid=038-628-06&amp;CardNumber=1","038-628-06")</f>
        <v>038-628-06</v>
      </c>
      <c r="B2883" t="s">
        <v>4655</v>
      </c>
      <c r="C2883" t="s">
        <v>16885</v>
      </c>
      <c r="D2883" s="1">
        <v>40283</v>
      </c>
      <c r="E2883" s="2">
        <v>197000</v>
      </c>
      <c r="F2883" t="s">
        <v>4567</v>
      </c>
      <c r="G2883" s="17" t="str">
        <f>HYPERLINK("https://www.washoecounty.gov/assessor/cama/?command=sales&amp;parid=03862806","3871490")</f>
        <v>3871490</v>
      </c>
      <c r="H2883" t="s">
        <v>1079</v>
      </c>
      <c r="I2883">
        <v>2001</v>
      </c>
      <c r="J2883">
        <v>2001</v>
      </c>
      <c r="K2883" t="s">
        <v>4554</v>
      </c>
      <c r="L2883" t="s">
        <v>4555</v>
      </c>
      <c r="M2883" s="2">
        <v>1437</v>
      </c>
      <c r="N2883" t="s">
        <v>4048</v>
      </c>
      <c r="O2883">
        <v>3</v>
      </c>
      <c r="P2883">
        <v>2</v>
      </c>
      <c r="Q2883">
        <v>0</v>
      </c>
      <c r="R2883" t="s">
        <v>4557</v>
      </c>
      <c r="S2883" t="s">
        <v>4558</v>
      </c>
      <c r="T2883" t="s">
        <v>4559</v>
      </c>
      <c r="U2883" t="s">
        <v>4560</v>
      </c>
      <c r="V2883" s="2">
        <v>590</v>
      </c>
      <c r="W2883" t="s">
        <v>4655</v>
      </c>
      <c r="X2883" s="2">
        <v>0</v>
      </c>
      <c r="Y2883">
        <v>20</v>
      </c>
      <c r="Z2883" t="s">
        <v>718</v>
      </c>
      <c r="AA2883" s="3">
        <v>0.15399448573589325</v>
      </c>
      <c r="AB2883" t="s">
        <v>16886</v>
      </c>
      <c r="AC2883" t="s">
        <v>4575</v>
      </c>
      <c r="AD2883" t="s">
        <v>16887</v>
      </c>
      <c r="AE2883" t="s">
        <v>4655</v>
      </c>
      <c r="AF2883" t="s">
        <v>1262</v>
      </c>
      <c r="AG2883" t="s">
        <v>4564</v>
      </c>
      <c r="AH2883" t="s">
        <v>3891</v>
      </c>
      <c r="AI2883" t="s">
        <v>16888</v>
      </c>
      <c r="AJ2883" t="s">
        <v>16889</v>
      </c>
      <c r="AK2883" t="s">
        <v>16890</v>
      </c>
      <c r="AL2883" s="13" t="s">
        <v>3427</v>
      </c>
      <c r="AM2883">
        <v>1</v>
      </c>
      <c r="AN2883" s="15" t="s">
        <v>719</v>
      </c>
    </row>
    <row r="2884" spans="1:40" x14ac:dyDescent="0.3">
      <c r="A2884" s="10" t="str">
        <f>HYPERLINK("http://www.washoecounty.gov/assessor/cama/?parid=038-634-15&amp;CardNumber=1","038-634-15")</f>
        <v>038-634-15</v>
      </c>
      <c r="B2884" t="s">
        <v>4655</v>
      </c>
      <c r="C2884" t="s">
        <v>16891</v>
      </c>
      <c r="D2884" s="1">
        <v>40220</v>
      </c>
      <c r="E2884" s="2">
        <v>185000</v>
      </c>
      <c r="F2884" t="s">
        <v>4567</v>
      </c>
      <c r="G2884" s="17" t="str">
        <f>HYPERLINK("https://www.washoecounty.gov/assessor/cama/?command=sales&amp;parid=03863415","3848125")</f>
        <v>3848125</v>
      </c>
      <c r="H2884" t="s">
        <v>1079</v>
      </c>
      <c r="I2884">
        <v>2001</v>
      </c>
      <c r="J2884">
        <v>2001</v>
      </c>
      <c r="K2884" t="s">
        <v>4554</v>
      </c>
      <c r="L2884" t="s">
        <v>4555</v>
      </c>
      <c r="M2884" s="2">
        <v>1437</v>
      </c>
      <c r="N2884" t="s">
        <v>4048</v>
      </c>
      <c r="O2884">
        <v>3</v>
      </c>
      <c r="P2884">
        <v>2</v>
      </c>
      <c r="Q2884">
        <v>0</v>
      </c>
      <c r="R2884" t="s">
        <v>5281</v>
      </c>
      <c r="S2884" t="s">
        <v>4558</v>
      </c>
      <c r="T2884" t="s">
        <v>4559</v>
      </c>
      <c r="U2884" t="s">
        <v>4560</v>
      </c>
      <c r="V2884" s="2">
        <v>400</v>
      </c>
      <c r="W2884" t="s">
        <v>4655</v>
      </c>
      <c r="X2884" s="2">
        <v>0</v>
      </c>
      <c r="Y2884">
        <v>20</v>
      </c>
      <c r="Z2884" t="s">
        <v>718</v>
      </c>
      <c r="AA2884" s="3">
        <v>0.114990815520287</v>
      </c>
      <c r="AB2884" t="s">
        <v>16892</v>
      </c>
      <c r="AC2884" t="s">
        <v>4562</v>
      </c>
      <c r="AD2884" t="s">
        <v>16893</v>
      </c>
      <c r="AE2884" t="s">
        <v>4655</v>
      </c>
      <c r="AF2884" t="s">
        <v>3890</v>
      </c>
      <c r="AG2884" t="s">
        <v>4564</v>
      </c>
      <c r="AH2884" t="s">
        <v>3891</v>
      </c>
      <c r="AI2884" t="s">
        <v>16894</v>
      </c>
      <c r="AJ2884" t="s">
        <v>16895</v>
      </c>
      <c r="AK2884" t="s">
        <v>16896</v>
      </c>
      <c r="AL2884" s="13" t="s">
        <v>3427</v>
      </c>
      <c r="AM2884" s="14">
        <v>1</v>
      </c>
      <c r="AN2884" s="15" t="s">
        <v>719</v>
      </c>
    </row>
    <row r="2885" spans="1:40" x14ac:dyDescent="0.3">
      <c r="A2885" s="10" t="str">
        <f>HYPERLINK("http://www.washoecounty.gov/assessor/cama/?parid=038-642-03&amp;CardNumber=1","038-642-03")</f>
        <v>038-642-03</v>
      </c>
      <c r="B2885" t="s">
        <v>4655</v>
      </c>
      <c r="C2885" t="s">
        <v>16897</v>
      </c>
      <c r="D2885" s="1">
        <v>40343</v>
      </c>
      <c r="E2885" s="2">
        <v>180000</v>
      </c>
      <c r="F2885" t="s">
        <v>4553</v>
      </c>
      <c r="G2885" s="17" t="str">
        <f>HYPERLINK("https://www.washoecounty.gov/assessor/cama/?command=sales&amp;parid=03864203","3891274")</f>
        <v>3891274</v>
      </c>
      <c r="H2885" t="s">
        <v>16898</v>
      </c>
      <c r="I2885">
        <v>1986</v>
      </c>
      <c r="J2885">
        <v>1986</v>
      </c>
      <c r="K2885" t="s">
        <v>4554</v>
      </c>
      <c r="L2885" t="s">
        <v>4555</v>
      </c>
      <c r="M2885" s="2">
        <v>1452</v>
      </c>
      <c r="N2885" t="s">
        <v>5280</v>
      </c>
      <c r="O2885">
        <v>3</v>
      </c>
      <c r="P2885">
        <v>2</v>
      </c>
      <c r="Q2885">
        <v>0</v>
      </c>
      <c r="R2885" t="s">
        <v>4557</v>
      </c>
      <c r="S2885" t="s">
        <v>3148</v>
      </c>
      <c r="T2885" t="s">
        <v>4559</v>
      </c>
      <c r="U2885" t="s">
        <v>4560</v>
      </c>
      <c r="V2885" s="2">
        <v>480</v>
      </c>
      <c r="W2885" t="s">
        <v>4655</v>
      </c>
      <c r="X2885" s="2">
        <v>0</v>
      </c>
      <c r="Y2885">
        <v>20</v>
      </c>
      <c r="Z2885" t="s">
        <v>5508</v>
      </c>
      <c r="AA2885" s="3">
        <v>0.48507806658744801</v>
      </c>
      <c r="AB2885" t="s">
        <v>16899</v>
      </c>
      <c r="AC2885" t="s">
        <v>4562</v>
      </c>
      <c r="AD2885" t="s">
        <v>16900</v>
      </c>
      <c r="AE2885" t="s">
        <v>4655</v>
      </c>
      <c r="AF2885" t="s">
        <v>4563</v>
      </c>
      <c r="AG2885" t="s">
        <v>4564</v>
      </c>
      <c r="AH2885" t="s">
        <v>1147</v>
      </c>
      <c r="AI2885" t="s">
        <v>4903</v>
      </c>
      <c r="AJ2885" t="s">
        <v>4655</v>
      </c>
      <c r="AK2885" t="s">
        <v>16901</v>
      </c>
      <c r="AL2885" s="13" t="s">
        <v>3427</v>
      </c>
      <c r="AM2885">
        <v>1</v>
      </c>
      <c r="AN2885" s="15" t="s">
        <v>2744</v>
      </c>
    </row>
    <row r="2886" spans="1:40" x14ac:dyDescent="0.3">
      <c r="A2886" s="10" t="str">
        <f>HYPERLINK("http://www.washoecounty.gov/assessor/cama/?parid=038-652-03&amp;CardNumber=1","038-652-03")</f>
        <v>038-652-03</v>
      </c>
      <c r="B2886" t="s">
        <v>4655</v>
      </c>
      <c r="C2886" t="s">
        <v>16902</v>
      </c>
      <c r="D2886" s="1">
        <v>40438</v>
      </c>
      <c r="E2886" s="2">
        <v>455000</v>
      </c>
      <c r="F2886" t="s">
        <v>4553</v>
      </c>
      <c r="G2886" s="17" t="str">
        <f>HYPERLINK("https://www.washoecounty.gov/assessor/cama/?command=sales&amp;parid=03865203","3923604")</f>
        <v>3923604</v>
      </c>
      <c r="H2886" t="s">
        <v>5170</v>
      </c>
      <c r="I2886">
        <v>2005</v>
      </c>
      <c r="J2886">
        <v>2005</v>
      </c>
      <c r="K2886" t="s">
        <v>4554</v>
      </c>
      <c r="L2886" t="s">
        <v>3974</v>
      </c>
      <c r="M2886" s="2">
        <v>3178</v>
      </c>
      <c r="N2886" t="s">
        <v>3887</v>
      </c>
      <c r="O2886">
        <v>4</v>
      </c>
      <c r="P2886">
        <v>3</v>
      </c>
      <c r="Q2886">
        <v>1</v>
      </c>
      <c r="R2886" t="s">
        <v>5281</v>
      </c>
      <c r="S2886" t="s">
        <v>5048</v>
      </c>
      <c r="T2886" t="s">
        <v>4559</v>
      </c>
      <c r="U2886" t="s">
        <v>4655</v>
      </c>
      <c r="V2886" s="2">
        <v>0</v>
      </c>
      <c r="W2886" t="s">
        <v>4655</v>
      </c>
      <c r="X2886" s="2">
        <v>0</v>
      </c>
      <c r="Y2886">
        <v>20</v>
      </c>
      <c r="Z2886" t="s">
        <v>3884</v>
      </c>
      <c r="AA2886" s="3">
        <v>2.2520000934600799</v>
      </c>
      <c r="AB2886" t="s">
        <v>8927</v>
      </c>
      <c r="AC2886" t="s">
        <v>4575</v>
      </c>
      <c r="AD2886" t="s">
        <v>8928</v>
      </c>
      <c r="AE2886" t="s">
        <v>5171</v>
      </c>
      <c r="AF2886" t="s">
        <v>4563</v>
      </c>
      <c r="AG2886" t="s">
        <v>4564</v>
      </c>
      <c r="AH2886">
        <v>89511</v>
      </c>
      <c r="AI2886" t="s">
        <v>4045</v>
      </c>
      <c r="AJ2886" t="s">
        <v>4655</v>
      </c>
      <c r="AK2886" t="s">
        <v>16903</v>
      </c>
      <c r="AL2886" s="13" t="s">
        <v>2474</v>
      </c>
      <c r="AM2886">
        <v>1</v>
      </c>
      <c r="AN2886" s="15" t="s">
        <v>992</v>
      </c>
    </row>
    <row r="2887" spans="1:40" x14ac:dyDescent="0.3">
      <c r="A2887" s="10" t="str">
        <f>HYPERLINK("http://www.washoecounty.gov/assessor/cama/?parid=038-673-03&amp;CardNumber=1","038-673-03")</f>
        <v>038-673-03</v>
      </c>
      <c r="B2887" t="s">
        <v>4655</v>
      </c>
      <c r="C2887" t="s">
        <v>16904</v>
      </c>
      <c r="D2887" s="1">
        <v>40359</v>
      </c>
      <c r="E2887" s="2">
        <v>570000</v>
      </c>
      <c r="F2887" t="s">
        <v>4567</v>
      </c>
      <c r="G2887" s="17" t="str">
        <f>HYPERLINK("https://www.washoecounty.gov/assessor/cama/?command=sales&amp;parid=03867303","3897384")</f>
        <v>3897384</v>
      </c>
      <c r="H2887" t="s">
        <v>16905</v>
      </c>
      <c r="I2887">
        <v>1991</v>
      </c>
      <c r="J2887">
        <v>1991</v>
      </c>
      <c r="K2887" t="s">
        <v>4554</v>
      </c>
      <c r="L2887" t="s">
        <v>4555</v>
      </c>
      <c r="M2887" s="2">
        <v>3246</v>
      </c>
      <c r="N2887" t="s">
        <v>5106</v>
      </c>
      <c r="O2887">
        <v>3</v>
      </c>
      <c r="P2887">
        <v>3</v>
      </c>
      <c r="Q2887">
        <v>0</v>
      </c>
      <c r="R2887" t="s">
        <v>4557</v>
      </c>
      <c r="S2887" t="s">
        <v>4135</v>
      </c>
      <c r="T2887" t="s">
        <v>2704</v>
      </c>
      <c r="U2887" t="s">
        <v>162</v>
      </c>
      <c r="V2887" s="2">
        <v>1704</v>
      </c>
      <c r="W2887" t="s">
        <v>3149</v>
      </c>
      <c r="X2887" s="2">
        <v>792</v>
      </c>
      <c r="Y2887">
        <v>20</v>
      </c>
      <c r="Z2887" t="s">
        <v>3884</v>
      </c>
      <c r="AA2887" s="3">
        <v>1.5704315900802599</v>
      </c>
      <c r="AB2887" t="s">
        <v>16906</v>
      </c>
      <c r="AC2887" t="s">
        <v>4562</v>
      </c>
      <c r="AD2887" t="s">
        <v>16904</v>
      </c>
      <c r="AE2887" t="s">
        <v>4655</v>
      </c>
      <c r="AF2887" t="s">
        <v>4563</v>
      </c>
      <c r="AG2887" t="s">
        <v>4564</v>
      </c>
      <c r="AH2887" t="s">
        <v>1147</v>
      </c>
      <c r="AI2887" t="s">
        <v>16907</v>
      </c>
      <c r="AJ2887" t="s">
        <v>4655</v>
      </c>
      <c r="AK2887" t="s">
        <v>16908</v>
      </c>
      <c r="AL2887" s="13" t="s">
        <v>2474</v>
      </c>
      <c r="AM2887">
        <v>1</v>
      </c>
      <c r="AN2887" s="15" t="s">
        <v>992</v>
      </c>
    </row>
    <row r="2888" spans="1:40" x14ac:dyDescent="0.3">
      <c r="A2888" s="10" t="str">
        <f>HYPERLINK("http://www.washoecounty.gov/assessor/cama/?parid=038-701-14&amp;CardNumber=1","038-701-14")</f>
        <v>038-701-14</v>
      </c>
      <c r="B2888" t="s">
        <v>4655</v>
      </c>
      <c r="C2888" t="s">
        <v>16909</v>
      </c>
      <c r="D2888" s="1">
        <v>40263</v>
      </c>
      <c r="E2888" s="2">
        <v>230000</v>
      </c>
      <c r="F2888" t="s">
        <v>4567</v>
      </c>
      <c r="G2888" s="17" t="str">
        <f>HYPERLINK("https://www.washoecounty.gov/assessor/cama/?command=sales&amp;parid=03870114","3864473")</f>
        <v>3864473</v>
      </c>
      <c r="H2888" t="s">
        <v>16910</v>
      </c>
      <c r="I2888">
        <v>1989</v>
      </c>
      <c r="J2888">
        <v>1990</v>
      </c>
      <c r="K2888" t="s">
        <v>4554</v>
      </c>
      <c r="L2888" t="s">
        <v>4555</v>
      </c>
      <c r="M2888" s="2">
        <v>2638</v>
      </c>
      <c r="N2888" t="s">
        <v>5280</v>
      </c>
      <c r="O2888">
        <v>4</v>
      </c>
      <c r="P2888">
        <v>3</v>
      </c>
      <c r="Q2888">
        <v>1</v>
      </c>
      <c r="R2888" t="s">
        <v>5281</v>
      </c>
      <c r="S2888" t="s">
        <v>4558</v>
      </c>
      <c r="T2888" t="s">
        <v>4559</v>
      </c>
      <c r="U2888" t="s">
        <v>4560</v>
      </c>
      <c r="V2888" s="2">
        <v>469</v>
      </c>
      <c r="W2888" t="s">
        <v>4655</v>
      </c>
      <c r="X2888" s="2">
        <v>0</v>
      </c>
      <c r="Y2888">
        <v>20</v>
      </c>
      <c r="Z2888" t="s">
        <v>5508</v>
      </c>
      <c r="AA2888" s="3">
        <v>0.44400000572204601</v>
      </c>
      <c r="AB2888" t="s">
        <v>16911</v>
      </c>
      <c r="AC2888" t="s">
        <v>4562</v>
      </c>
      <c r="AD2888" t="s">
        <v>16909</v>
      </c>
      <c r="AE2888" t="s">
        <v>4655</v>
      </c>
      <c r="AF2888" t="s">
        <v>4563</v>
      </c>
      <c r="AG2888" t="s">
        <v>4564</v>
      </c>
      <c r="AH2888" t="s">
        <v>1147</v>
      </c>
      <c r="AI2888" t="s">
        <v>16912</v>
      </c>
      <c r="AJ2888" t="s">
        <v>16913</v>
      </c>
      <c r="AK2888" t="s">
        <v>16910</v>
      </c>
      <c r="AL2888" s="13" t="s">
        <v>3427</v>
      </c>
      <c r="AM2888" s="14">
        <v>1</v>
      </c>
      <c r="AN2888" s="15" t="s">
        <v>2744</v>
      </c>
    </row>
    <row r="2889" spans="1:40" x14ac:dyDescent="0.3">
      <c r="A2889" s="10" t="str">
        <f>HYPERLINK("http://www.washoecounty.gov/assessor/cama/?parid=038-701-23&amp;CardNumber=1","038-701-23")</f>
        <v>038-701-23</v>
      </c>
      <c r="B2889" t="s">
        <v>4655</v>
      </c>
      <c r="C2889" t="s">
        <v>16914</v>
      </c>
      <c r="D2889" s="1">
        <v>40410</v>
      </c>
      <c r="E2889" s="2">
        <v>245000</v>
      </c>
      <c r="F2889" t="s">
        <v>4553</v>
      </c>
      <c r="G2889" s="17" t="str">
        <f>HYPERLINK("https://www.washoecounty.gov/assessor/cama/?command=sales&amp;parid=03870123","3914347")</f>
        <v>3914347</v>
      </c>
      <c r="H2889" t="s">
        <v>16915</v>
      </c>
      <c r="I2889">
        <v>1990</v>
      </c>
      <c r="J2889">
        <v>1990</v>
      </c>
      <c r="K2889" t="s">
        <v>4554</v>
      </c>
      <c r="L2889" t="s">
        <v>3974</v>
      </c>
      <c r="M2889" s="2">
        <v>2040</v>
      </c>
      <c r="N2889" t="s">
        <v>5280</v>
      </c>
      <c r="O2889">
        <v>3</v>
      </c>
      <c r="P2889">
        <v>2</v>
      </c>
      <c r="Q2889">
        <v>1</v>
      </c>
      <c r="R2889" t="s">
        <v>4557</v>
      </c>
      <c r="S2889" t="s">
        <v>4558</v>
      </c>
      <c r="T2889" t="s">
        <v>4559</v>
      </c>
      <c r="U2889" t="s">
        <v>4560</v>
      </c>
      <c r="V2889" s="2">
        <v>713</v>
      </c>
      <c r="W2889" t="s">
        <v>4655</v>
      </c>
      <c r="X2889" s="2">
        <v>0</v>
      </c>
      <c r="Y2889">
        <v>20</v>
      </c>
      <c r="Z2889" t="s">
        <v>5508</v>
      </c>
      <c r="AA2889" s="3">
        <v>0.35100001096725503</v>
      </c>
      <c r="AB2889" t="s">
        <v>16916</v>
      </c>
      <c r="AC2889" t="s">
        <v>4562</v>
      </c>
      <c r="AD2889" t="s">
        <v>16914</v>
      </c>
      <c r="AE2889" t="s">
        <v>4655</v>
      </c>
      <c r="AF2889" t="s">
        <v>4563</v>
      </c>
      <c r="AG2889" t="s">
        <v>4564</v>
      </c>
      <c r="AH2889" t="s">
        <v>1147</v>
      </c>
      <c r="AI2889" t="s">
        <v>4565</v>
      </c>
      <c r="AJ2889" t="s">
        <v>16917</v>
      </c>
      <c r="AK2889" t="s">
        <v>16918</v>
      </c>
      <c r="AL2889" s="13" t="s">
        <v>3427</v>
      </c>
      <c r="AM2889">
        <v>1</v>
      </c>
      <c r="AN2889" s="15" t="s">
        <v>2744</v>
      </c>
    </row>
    <row r="2890" spans="1:40" x14ac:dyDescent="0.3">
      <c r="A2890" s="10" t="str">
        <f>HYPERLINK("http://www.washoecounty.gov/assessor/cama/?parid=038-730-24&amp;CardNumber=1","038-730-24")</f>
        <v>038-730-24</v>
      </c>
      <c r="B2890" t="s">
        <v>4655</v>
      </c>
      <c r="C2890" t="s">
        <v>16919</v>
      </c>
      <c r="D2890" s="1">
        <v>40463</v>
      </c>
      <c r="E2890" s="2">
        <v>290000</v>
      </c>
      <c r="F2890" t="s">
        <v>4567</v>
      </c>
      <c r="G2890" s="17" t="str">
        <f>HYPERLINK("https://www.washoecounty.gov/assessor/cama/?command=sales&amp;parid=03873024","3932097")</f>
        <v>3932097</v>
      </c>
      <c r="H2890" t="s">
        <v>2137</v>
      </c>
      <c r="I2890">
        <v>1996</v>
      </c>
      <c r="J2890">
        <v>1996</v>
      </c>
      <c r="K2890" t="s">
        <v>4554</v>
      </c>
      <c r="L2890" t="s">
        <v>3974</v>
      </c>
      <c r="M2890" s="2">
        <v>2810</v>
      </c>
      <c r="N2890" t="s">
        <v>3147</v>
      </c>
      <c r="O2890">
        <v>4</v>
      </c>
      <c r="P2890">
        <v>2</v>
      </c>
      <c r="Q2890">
        <v>1</v>
      </c>
      <c r="R2890" t="s">
        <v>5281</v>
      </c>
      <c r="S2890" t="s">
        <v>4558</v>
      </c>
      <c r="T2890" t="s">
        <v>4559</v>
      </c>
      <c r="U2890" t="s">
        <v>4560</v>
      </c>
      <c r="V2890" s="2">
        <v>664</v>
      </c>
      <c r="W2890" t="s">
        <v>4655</v>
      </c>
      <c r="X2890" s="2">
        <v>0</v>
      </c>
      <c r="Y2890">
        <v>20</v>
      </c>
      <c r="Z2890" t="s">
        <v>4051</v>
      </c>
      <c r="AA2890" s="3">
        <v>1.3920110464096001</v>
      </c>
      <c r="AB2890" t="s">
        <v>16920</v>
      </c>
      <c r="AC2890" t="s">
        <v>4562</v>
      </c>
      <c r="AD2890" t="s">
        <v>16919</v>
      </c>
      <c r="AE2890" t="s">
        <v>4655</v>
      </c>
      <c r="AF2890" t="s">
        <v>4563</v>
      </c>
      <c r="AG2890" t="s">
        <v>4564</v>
      </c>
      <c r="AH2890" t="s">
        <v>1147</v>
      </c>
      <c r="AI2890" t="s">
        <v>16921</v>
      </c>
      <c r="AJ2890" t="s">
        <v>2138</v>
      </c>
      <c r="AK2890" t="s">
        <v>16922</v>
      </c>
      <c r="AL2890" s="13" t="s">
        <v>1888</v>
      </c>
      <c r="AM2890">
        <v>1</v>
      </c>
      <c r="AN2890" s="15" t="s">
        <v>2139</v>
      </c>
    </row>
    <row r="2891" spans="1:40" x14ac:dyDescent="0.3">
      <c r="A2891" s="10" t="str">
        <f>HYPERLINK("http://www.washoecounty.gov/assessor/cama/?parid=038-761-06&amp;CardNumber=1","038-761-06")</f>
        <v>038-761-06</v>
      </c>
      <c r="B2891" t="s">
        <v>4655</v>
      </c>
      <c r="C2891" t="s">
        <v>16923</v>
      </c>
      <c r="D2891" s="1">
        <v>40298</v>
      </c>
      <c r="E2891" s="2">
        <v>340000</v>
      </c>
      <c r="F2891" t="s">
        <v>4567</v>
      </c>
      <c r="G2891" s="17" t="str">
        <f>HYPERLINK("https://www.washoecounty.gov/assessor/cama/?command=sales&amp;parid=03876106","3876616")</f>
        <v>3876616</v>
      </c>
      <c r="H2891" t="s">
        <v>4263</v>
      </c>
      <c r="I2891">
        <v>1995</v>
      </c>
      <c r="J2891">
        <v>1995</v>
      </c>
      <c r="K2891" t="s">
        <v>4554</v>
      </c>
      <c r="L2891" t="s">
        <v>3974</v>
      </c>
      <c r="M2891" s="2">
        <v>2832</v>
      </c>
      <c r="N2891" t="s">
        <v>3147</v>
      </c>
      <c r="O2891">
        <v>5</v>
      </c>
      <c r="P2891">
        <v>3</v>
      </c>
      <c r="Q2891">
        <v>0</v>
      </c>
      <c r="R2891" t="s">
        <v>4557</v>
      </c>
      <c r="S2891" t="s">
        <v>4558</v>
      </c>
      <c r="T2891" t="s">
        <v>2704</v>
      </c>
      <c r="U2891" t="s">
        <v>4560</v>
      </c>
      <c r="V2891" s="2">
        <v>680</v>
      </c>
      <c r="W2891" t="s">
        <v>4655</v>
      </c>
      <c r="X2891" s="2">
        <v>0</v>
      </c>
      <c r="Y2891">
        <v>20</v>
      </c>
      <c r="Z2891" t="s">
        <v>4561</v>
      </c>
      <c r="AA2891" s="3">
        <v>0.15945822000503501</v>
      </c>
      <c r="AB2891" t="s">
        <v>16924</v>
      </c>
      <c r="AC2891" t="s">
        <v>4562</v>
      </c>
      <c r="AD2891" t="s">
        <v>16923</v>
      </c>
      <c r="AE2891" t="s">
        <v>4655</v>
      </c>
      <c r="AF2891" t="s">
        <v>4563</v>
      </c>
      <c r="AG2891" t="s">
        <v>4564</v>
      </c>
      <c r="AH2891" t="s">
        <v>1147</v>
      </c>
      <c r="AI2891" t="s">
        <v>16925</v>
      </c>
      <c r="AJ2891" t="s">
        <v>4435</v>
      </c>
      <c r="AK2891" t="s">
        <v>16926</v>
      </c>
      <c r="AL2891" s="13" t="s">
        <v>1896</v>
      </c>
      <c r="AM2891">
        <v>1</v>
      </c>
      <c r="AN2891" s="15" t="s">
        <v>2182</v>
      </c>
    </row>
    <row r="2892" spans="1:40" x14ac:dyDescent="0.3">
      <c r="A2892" s="10" t="str">
        <f>HYPERLINK("http://www.washoecounty.gov/assessor/cama/?parid=038-781-06&amp;CardNumber=1","038-781-06")</f>
        <v>038-781-06</v>
      </c>
      <c r="B2892" t="s">
        <v>4655</v>
      </c>
      <c r="C2892" t="s">
        <v>16927</v>
      </c>
      <c r="D2892" s="1">
        <v>40478</v>
      </c>
      <c r="E2892" s="2">
        <v>300000</v>
      </c>
      <c r="F2892" t="s">
        <v>4567</v>
      </c>
      <c r="G2892" s="17" t="str">
        <f>HYPERLINK("https://www.washoecounty.gov/assessor/cama/?command=sales&amp;parid=03878106","3937166")</f>
        <v>3937166</v>
      </c>
      <c r="H2892" t="s">
        <v>1980</v>
      </c>
      <c r="I2892">
        <v>1998</v>
      </c>
      <c r="J2892">
        <v>1998</v>
      </c>
      <c r="K2892" t="s">
        <v>4554</v>
      </c>
      <c r="L2892" t="s">
        <v>3974</v>
      </c>
      <c r="M2892" s="2">
        <v>2275</v>
      </c>
      <c r="N2892" t="s">
        <v>3147</v>
      </c>
      <c r="O2892">
        <v>4</v>
      </c>
      <c r="P2892">
        <v>2</v>
      </c>
      <c r="Q2892">
        <v>1</v>
      </c>
      <c r="R2892" t="s">
        <v>4557</v>
      </c>
      <c r="S2892" t="s">
        <v>4898</v>
      </c>
      <c r="T2892" t="s">
        <v>2704</v>
      </c>
      <c r="U2892" t="s">
        <v>5631</v>
      </c>
      <c r="V2892" s="2">
        <v>632</v>
      </c>
      <c r="W2892" t="s">
        <v>4655</v>
      </c>
      <c r="X2892" s="2">
        <v>0</v>
      </c>
      <c r="Y2892">
        <v>20</v>
      </c>
      <c r="Z2892" t="s">
        <v>4561</v>
      </c>
      <c r="AA2892" s="3">
        <v>0.25355830788612399</v>
      </c>
      <c r="AB2892" t="s">
        <v>16928</v>
      </c>
      <c r="AC2892" t="s">
        <v>4562</v>
      </c>
      <c r="AD2892" t="s">
        <v>16927</v>
      </c>
      <c r="AE2892" t="s">
        <v>4655</v>
      </c>
      <c r="AF2892" t="s">
        <v>4563</v>
      </c>
      <c r="AG2892" t="s">
        <v>4564</v>
      </c>
      <c r="AH2892" t="s">
        <v>1147</v>
      </c>
      <c r="AI2892" t="s">
        <v>16929</v>
      </c>
      <c r="AJ2892" t="s">
        <v>16930</v>
      </c>
      <c r="AK2892" t="s">
        <v>16931</v>
      </c>
      <c r="AL2892" s="13" t="s">
        <v>1896</v>
      </c>
      <c r="AM2892">
        <v>1</v>
      </c>
      <c r="AN2892" s="15" t="s">
        <v>2182</v>
      </c>
    </row>
    <row r="2893" spans="1:40" x14ac:dyDescent="0.3">
      <c r="A2893" s="10" t="str">
        <f>HYPERLINK("http://www.washoecounty.gov/assessor/cama/?parid=038-842-05&amp;CardNumber=1","038-842-05")</f>
        <v>038-842-05</v>
      </c>
      <c r="B2893" t="s">
        <v>4655</v>
      </c>
      <c r="C2893" t="s">
        <v>16932</v>
      </c>
      <c r="D2893" s="1">
        <v>40354</v>
      </c>
      <c r="E2893" s="2">
        <v>1295000</v>
      </c>
      <c r="F2893" t="s">
        <v>4567</v>
      </c>
      <c r="G2893" s="17" t="str">
        <f>HYPERLINK("https://www.washoecounty.gov/assessor/cama/?command=sales&amp;parid=03884205","3895382")</f>
        <v>3895382</v>
      </c>
      <c r="H2893" t="s">
        <v>2005</v>
      </c>
      <c r="I2893">
        <v>1994</v>
      </c>
      <c r="J2893">
        <v>1994</v>
      </c>
      <c r="K2893" t="s">
        <v>4554</v>
      </c>
      <c r="L2893" t="s">
        <v>3974</v>
      </c>
      <c r="M2893" s="2">
        <v>5938</v>
      </c>
      <c r="N2893" t="s">
        <v>3457</v>
      </c>
      <c r="O2893">
        <v>5</v>
      </c>
      <c r="P2893">
        <v>5</v>
      </c>
      <c r="Q2893">
        <v>0</v>
      </c>
      <c r="R2893" t="s">
        <v>2632</v>
      </c>
      <c r="S2893" t="s">
        <v>4135</v>
      </c>
      <c r="T2893" t="s">
        <v>2704</v>
      </c>
      <c r="U2893" t="s">
        <v>4560</v>
      </c>
      <c r="V2893" s="2">
        <v>1434</v>
      </c>
      <c r="W2893" t="s">
        <v>4655</v>
      </c>
      <c r="X2893" s="2">
        <v>0</v>
      </c>
      <c r="Y2893">
        <v>20</v>
      </c>
      <c r="Z2893" t="s">
        <v>3884</v>
      </c>
      <c r="AA2893" s="3">
        <v>1.6883838176727295</v>
      </c>
      <c r="AB2893" t="s">
        <v>2006</v>
      </c>
      <c r="AC2893" t="s">
        <v>4575</v>
      </c>
      <c r="AD2893" t="s">
        <v>624</v>
      </c>
      <c r="AE2893" t="s">
        <v>4655</v>
      </c>
      <c r="AF2893" t="s">
        <v>3890</v>
      </c>
      <c r="AG2893" t="s">
        <v>4564</v>
      </c>
      <c r="AH2893" t="s">
        <v>3891</v>
      </c>
      <c r="AI2893" t="s">
        <v>16933</v>
      </c>
      <c r="AJ2893" t="s">
        <v>4655</v>
      </c>
      <c r="AK2893" t="s">
        <v>16934</v>
      </c>
      <c r="AL2893" s="13" t="s">
        <v>3427</v>
      </c>
      <c r="AM2893">
        <v>1</v>
      </c>
      <c r="AN2893" s="15" t="s">
        <v>2007</v>
      </c>
    </row>
    <row r="2894" spans="1:40" x14ac:dyDescent="0.3">
      <c r="A2894" s="10" t="str">
        <f>HYPERLINK("http://www.washoecounty.gov/assessor/cama/?parid=039-043-01&amp;CardNumber=1","039-043-01")</f>
        <v>039-043-01</v>
      </c>
      <c r="B2894" t="s">
        <v>4655</v>
      </c>
      <c r="C2894" t="s">
        <v>16935</v>
      </c>
      <c r="D2894" s="1">
        <v>40512</v>
      </c>
      <c r="E2894" s="2">
        <v>102500</v>
      </c>
      <c r="F2894" t="s">
        <v>4567</v>
      </c>
      <c r="G2894" s="17" t="str">
        <f>HYPERLINK("https://www.washoecounty.gov/assessor/cama/?command=sales&amp;parid=03904301","3947646")</f>
        <v>3947646</v>
      </c>
      <c r="H2894" t="s">
        <v>720</v>
      </c>
      <c r="I2894">
        <v>1986</v>
      </c>
      <c r="J2894">
        <v>1986</v>
      </c>
      <c r="K2894" t="s">
        <v>4554</v>
      </c>
      <c r="L2894" t="s">
        <v>4555</v>
      </c>
      <c r="M2894" s="2">
        <v>1082</v>
      </c>
      <c r="N2894" t="s">
        <v>5280</v>
      </c>
      <c r="O2894">
        <v>3</v>
      </c>
      <c r="P2894">
        <v>2</v>
      </c>
      <c r="Q2894">
        <v>0</v>
      </c>
      <c r="R2894" t="s">
        <v>4557</v>
      </c>
      <c r="S2894" t="s">
        <v>4558</v>
      </c>
      <c r="T2894" t="s">
        <v>4143</v>
      </c>
      <c r="U2894" t="s">
        <v>4560</v>
      </c>
      <c r="V2894" s="2">
        <v>427</v>
      </c>
      <c r="W2894" t="s">
        <v>4655</v>
      </c>
      <c r="X2894" s="2">
        <v>0</v>
      </c>
      <c r="Y2894">
        <v>20</v>
      </c>
      <c r="Z2894" t="s">
        <v>4144</v>
      </c>
      <c r="AA2894" s="3">
        <v>0.19699265062808999</v>
      </c>
      <c r="AB2894" t="s">
        <v>16936</v>
      </c>
      <c r="AC2894" t="s">
        <v>4562</v>
      </c>
      <c r="AD2894" t="s">
        <v>16937</v>
      </c>
      <c r="AE2894" t="s">
        <v>4655</v>
      </c>
      <c r="AF2894" t="s">
        <v>4563</v>
      </c>
      <c r="AG2894" t="s">
        <v>4564</v>
      </c>
      <c r="AH2894" t="s">
        <v>1147</v>
      </c>
      <c r="AI2894" t="s">
        <v>16938</v>
      </c>
      <c r="AJ2894" t="s">
        <v>4655</v>
      </c>
      <c r="AK2894" t="s">
        <v>16939</v>
      </c>
      <c r="AL2894" s="13" t="s">
        <v>2255</v>
      </c>
      <c r="AM2894">
        <v>1</v>
      </c>
      <c r="AN2894" s="15" t="s">
        <v>721</v>
      </c>
    </row>
    <row r="2895" spans="1:40" x14ac:dyDescent="0.3">
      <c r="A2895" s="10" t="str">
        <f>HYPERLINK("http://www.washoecounty.gov/assessor/cama/?parid=039-043-21&amp;CardNumber=1","039-043-21")</f>
        <v>039-043-21</v>
      </c>
      <c r="B2895" t="s">
        <v>4655</v>
      </c>
      <c r="C2895" t="s">
        <v>16940</v>
      </c>
      <c r="D2895" s="1">
        <v>40228</v>
      </c>
      <c r="E2895" s="2">
        <v>110000</v>
      </c>
      <c r="F2895" t="s">
        <v>4567</v>
      </c>
      <c r="G2895" s="17" t="str">
        <f>HYPERLINK("https://www.washoecounty.gov/assessor/cama/?command=sales&amp;parid=03904321","3851225")</f>
        <v>3851225</v>
      </c>
      <c r="H2895" t="s">
        <v>720</v>
      </c>
      <c r="I2895">
        <v>1985</v>
      </c>
      <c r="J2895">
        <v>1985</v>
      </c>
      <c r="K2895" t="s">
        <v>4554</v>
      </c>
      <c r="L2895" t="s">
        <v>4555</v>
      </c>
      <c r="M2895" s="2">
        <v>1082</v>
      </c>
      <c r="N2895" t="s">
        <v>5280</v>
      </c>
      <c r="O2895">
        <v>3</v>
      </c>
      <c r="P2895">
        <v>2</v>
      </c>
      <c r="Q2895">
        <v>0</v>
      </c>
      <c r="R2895" t="s">
        <v>4557</v>
      </c>
      <c r="S2895" t="s">
        <v>4558</v>
      </c>
      <c r="T2895" t="s">
        <v>4143</v>
      </c>
      <c r="U2895" t="s">
        <v>4560</v>
      </c>
      <c r="V2895" s="2">
        <v>427</v>
      </c>
      <c r="W2895" t="s">
        <v>4655</v>
      </c>
      <c r="X2895" s="2">
        <v>0</v>
      </c>
      <c r="Y2895">
        <v>20</v>
      </c>
      <c r="Z2895" t="s">
        <v>4561</v>
      </c>
      <c r="AA2895" s="3">
        <v>0.13999082148075101</v>
      </c>
      <c r="AB2895" t="s">
        <v>16941</v>
      </c>
      <c r="AC2895" t="s">
        <v>4562</v>
      </c>
      <c r="AD2895" t="s">
        <v>16942</v>
      </c>
      <c r="AE2895" t="s">
        <v>4655</v>
      </c>
      <c r="AF2895" t="s">
        <v>4809</v>
      </c>
      <c r="AG2895" t="s">
        <v>4564</v>
      </c>
      <c r="AH2895" t="s">
        <v>4126</v>
      </c>
      <c r="AI2895" t="s">
        <v>5390</v>
      </c>
      <c r="AJ2895" t="s">
        <v>4655</v>
      </c>
      <c r="AK2895" t="s">
        <v>16943</v>
      </c>
      <c r="AL2895" s="13" t="s">
        <v>2255</v>
      </c>
      <c r="AM2895">
        <v>1</v>
      </c>
      <c r="AN2895" s="15" t="s">
        <v>721</v>
      </c>
    </row>
    <row r="2896" spans="1:40" x14ac:dyDescent="0.3">
      <c r="A2896" s="10" t="str">
        <f>HYPERLINK("http://www.washoecounty.gov/assessor/cama/?parid=039-043-21&amp;CardNumber=1","039-043-21")</f>
        <v>039-043-21</v>
      </c>
      <c r="B2896" t="s">
        <v>4655</v>
      </c>
      <c r="C2896" t="s">
        <v>16940</v>
      </c>
      <c r="D2896" s="1">
        <v>40297</v>
      </c>
      <c r="E2896" s="2">
        <v>155000</v>
      </c>
      <c r="F2896" t="s">
        <v>4567</v>
      </c>
      <c r="G2896" s="17" t="str">
        <f>HYPERLINK("https://www.washoecounty.gov/assessor/cama/?command=sales&amp;parid=03904321","3876106")</f>
        <v>3876106</v>
      </c>
      <c r="H2896" t="s">
        <v>720</v>
      </c>
      <c r="I2896">
        <v>1985</v>
      </c>
      <c r="J2896">
        <v>1985</v>
      </c>
      <c r="K2896" t="s">
        <v>4554</v>
      </c>
      <c r="L2896" t="s">
        <v>4555</v>
      </c>
      <c r="M2896" s="2">
        <v>1082</v>
      </c>
      <c r="N2896" t="s">
        <v>5280</v>
      </c>
      <c r="O2896">
        <v>3</v>
      </c>
      <c r="P2896">
        <v>2</v>
      </c>
      <c r="Q2896">
        <v>0</v>
      </c>
      <c r="R2896" t="s">
        <v>4557</v>
      </c>
      <c r="S2896" t="s">
        <v>4558</v>
      </c>
      <c r="T2896" t="s">
        <v>4143</v>
      </c>
      <c r="U2896" t="s">
        <v>4560</v>
      </c>
      <c r="V2896" s="2">
        <v>427</v>
      </c>
      <c r="W2896" t="s">
        <v>4655</v>
      </c>
      <c r="X2896" s="2">
        <v>0</v>
      </c>
      <c r="Y2896">
        <v>20</v>
      </c>
      <c r="Z2896" t="s">
        <v>4561</v>
      </c>
      <c r="AA2896" s="3">
        <v>0.13999082148075101</v>
      </c>
      <c r="AB2896" t="s">
        <v>16941</v>
      </c>
      <c r="AC2896" t="s">
        <v>4562</v>
      </c>
      <c r="AD2896" t="s">
        <v>16942</v>
      </c>
      <c r="AE2896" t="s">
        <v>4655</v>
      </c>
      <c r="AF2896" t="s">
        <v>4809</v>
      </c>
      <c r="AG2896" t="s">
        <v>4564</v>
      </c>
      <c r="AH2896" t="s">
        <v>4126</v>
      </c>
      <c r="AI2896" t="s">
        <v>5390</v>
      </c>
      <c r="AJ2896" t="s">
        <v>4655</v>
      </c>
      <c r="AK2896" t="s">
        <v>16943</v>
      </c>
      <c r="AL2896" s="13" t="s">
        <v>2255</v>
      </c>
      <c r="AM2896">
        <v>1</v>
      </c>
      <c r="AN2896" s="15" t="s">
        <v>721</v>
      </c>
    </row>
    <row r="2897" spans="1:40" x14ac:dyDescent="0.3">
      <c r="A2897" s="10" t="str">
        <f>HYPERLINK("http://www.washoecounty.gov/assessor/cama/?parid=039-044-03&amp;CardNumber=1","039-044-03")</f>
        <v>039-044-03</v>
      </c>
      <c r="B2897" t="s">
        <v>4655</v>
      </c>
      <c r="C2897" t="s">
        <v>16944</v>
      </c>
      <c r="D2897" s="1">
        <v>40211</v>
      </c>
      <c r="E2897" s="2">
        <v>135000</v>
      </c>
      <c r="F2897" t="s">
        <v>4553</v>
      </c>
      <c r="G2897" s="17" t="str">
        <f>HYPERLINK("https://www.washoecounty.gov/assessor/cama/?command=sales&amp;parid=03904403","3845392")</f>
        <v>3845392</v>
      </c>
      <c r="H2897" t="s">
        <v>720</v>
      </c>
      <c r="I2897">
        <v>1985</v>
      </c>
      <c r="J2897">
        <v>1985</v>
      </c>
      <c r="K2897" t="s">
        <v>4554</v>
      </c>
      <c r="L2897" t="s">
        <v>4555</v>
      </c>
      <c r="M2897" s="2">
        <v>1152</v>
      </c>
      <c r="N2897" t="s">
        <v>5280</v>
      </c>
      <c r="O2897">
        <v>3</v>
      </c>
      <c r="P2897">
        <v>2</v>
      </c>
      <c r="Q2897">
        <v>0</v>
      </c>
      <c r="R2897" t="s">
        <v>4557</v>
      </c>
      <c r="S2897" t="s">
        <v>4558</v>
      </c>
      <c r="T2897" t="s">
        <v>4559</v>
      </c>
      <c r="U2897" t="s">
        <v>4560</v>
      </c>
      <c r="V2897" s="2">
        <v>437</v>
      </c>
      <c r="W2897" t="s">
        <v>4655</v>
      </c>
      <c r="X2897" s="2">
        <v>0</v>
      </c>
      <c r="Y2897">
        <v>20</v>
      </c>
      <c r="Z2897" t="s">
        <v>4561</v>
      </c>
      <c r="AA2897" s="3">
        <v>0.15599173307418801</v>
      </c>
      <c r="AB2897" t="s">
        <v>16941</v>
      </c>
      <c r="AC2897" t="s">
        <v>4562</v>
      </c>
      <c r="AD2897" t="s">
        <v>16942</v>
      </c>
      <c r="AE2897" t="s">
        <v>4655</v>
      </c>
      <c r="AF2897" t="s">
        <v>4809</v>
      </c>
      <c r="AG2897" t="s">
        <v>4564</v>
      </c>
      <c r="AH2897" t="s">
        <v>4126</v>
      </c>
      <c r="AI2897" t="s">
        <v>2113</v>
      </c>
      <c r="AJ2897" t="s">
        <v>4655</v>
      </c>
      <c r="AK2897" t="s">
        <v>16945</v>
      </c>
      <c r="AL2897" s="13" t="s">
        <v>2255</v>
      </c>
      <c r="AM2897" s="14">
        <v>1</v>
      </c>
      <c r="AN2897" s="15" t="s">
        <v>721</v>
      </c>
    </row>
    <row r="2898" spans="1:40" x14ac:dyDescent="0.3">
      <c r="A2898" s="10" t="str">
        <f>HYPERLINK("http://www.washoecounty.gov/assessor/cama/?parid=039-044-03&amp;CardNumber=1","039-044-03")</f>
        <v>039-044-03</v>
      </c>
      <c r="B2898" t="s">
        <v>4655</v>
      </c>
      <c r="C2898" t="s">
        <v>16944</v>
      </c>
      <c r="D2898" s="1">
        <v>40268</v>
      </c>
      <c r="E2898" s="2">
        <v>165000</v>
      </c>
      <c r="F2898" t="s">
        <v>4567</v>
      </c>
      <c r="G2898" s="17" t="str">
        <f>HYPERLINK("https://www.washoecounty.gov/assessor/cama/?command=sales&amp;parid=03904403","3866258")</f>
        <v>3866258</v>
      </c>
      <c r="H2898" t="s">
        <v>720</v>
      </c>
      <c r="I2898">
        <v>1985</v>
      </c>
      <c r="J2898">
        <v>1985</v>
      </c>
      <c r="K2898" t="s">
        <v>4554</v>
      </c>
      <c r="L2898" t="s">
        <v>4555</v>
      </c>
      <c r="M2898" s="2">
        <v>1152</v>
      </c>
      <c r="N2898" t="s">
        <v>5280</v>
      </c>
      <c r="O2898">
        <v>3</v>
      </c>
      <c r="P2898">
        <v>2</v>
      </c>
      <c r="Q2898">
        <v>0</v>
      </c>
      <c r="R2898" t="s">
        <v>4557</v>
      </c>
      <c r="S2898" t="s">
        <v>4558</v>
      </c>
      <c r="T2898" t="s">
        <v>4559</v>
      </c>
      <c r="U2898" t="s">
        <v>4560</v>
      </c>
      <c r="V2898" s="2">
        <v>437</v>
      </c>
      <c r="W2898" t="s">
        <v>4655</v>
      </c>
      <c r="X2898" s="2">
        <v>0</v>
      </c>
      <c r="Y2898">
        <v>20</v>
      </c>
      <c r="Z2898" t="s">
        <v>4561</v>
      </c>
      <c r="AA2898" s="3">
        <v>0.15599173307418801</v>
      </c>
      <c r="AB2898" t="s">
        <v>16941</v>
      </c>
      <c r="AC2898" t="s">
        <v>4562</v>
      </c>
      <c r="AD2898" t="s">
        <v>16942</v>
      </c>
      <c r="AE2898" t="s">
        <v>4655</v>
      </c>
      <c r="AF2898" t="s">
        <v>4809</v>
      </c>
      <c r="AG2898" t="s">
        <v>4564</v>
      </c>
      <c r="AH2898" t="s">
        <v>4126</v>
      </c>
      <c r="AI2898" t="s">
        <v>2113</v>
      </c>
      <c r="AJ2898" t="s">
        <v>4655</v>
      </c>
      <c r="AK2898" t="s">
        <v>16945</v>
      </c>
      <c r="AL2898" s="13" t="s">
        <v>2255</v>
      </c>
      <c r="AM2898">
        <v>1</v>
      </c>
      <c r="AN2898" s="15" t="s">
        <v>721</v>
      </c>
    </row>
    <row r="2899" spans="1:40" x14ac:dyDescent="0.3">
      <c r="A2899" s="10" t="str">
        <f>HYPERLINK("http://www.washoecounty.gov/assessor/cama/?parid=039-044-09&amp;CardNumber=1","039-044-09")</f>
        <v>039-044-09</v>
      </c>
      <c r="B2899" t="s">
        <v>4655</v>
      </c>
      <c r="C2899" t="s">
        <v>16946</v>
      </c>
      <c r="D2899" s="1">
        <v>40368</v>
      </c>
      <c r="E2899" s="2">
        <v>179000</v>
      </c>
      <c r="F2899" t="s">
        <v>4567</v>
      </c>
      <c r="G2899" s="17" t="str">
        <f>HYPERLINK("https://www.washoecounty.gov/assessor/cama/?command=sales&amp;parid=03904409","3899793")</f>
        <v>3899793</v>
      </c>
      <c r="H2899" t="s">
        <v>16947</v>
      </c>
      <c r="I2899">
        <v>1985</v>
      </c>
      <c r="J2899">
        <v>1985</v>
      </c>
      <c r="K2899" t="s">
        <v>4554</v>
      </c>
      <c r="L2899" t="s">
        <v>4555</v>
      </c>
      <c r="M2899" s="2">
        <v>1152</v>
      </c>
      <c r="N2899" t="s">
        <v>5280</v>
      </c>
      <c r="O2899">
        <v>3</v>
      </c>
      <c r="P2899">
        <v>2</v>
      </c>
      <c r="Q2899">
        <v>0</v>
      </c>
      <c r="R2899" t="s">
        <v>4557</v>
      </c>
      <c r="S2899" t="s">
        <v>4558</v>
      </c>
      <c r="T2899" t="s">
        <v>4143</v>
      </c>
      <c r="U2899" t="s">
        <v>4560</v>
      </c>
      <c r="V2899" s="2">
        <v>437</v>
      </c>
      <c r="W2899" t="s">
        <v>4655</v>
      </c>
      <c r="X2899" s="2">
        <v>0</v>
      </c>
      <c r="Y2899">
        <v>20</v>
      </c>
      <c r="Z2899" t="s">
        <v>4561</v>
      </c>
      <c r="AA2899" s="3">
        <v>0.14299815893173218</v>
      </c>
      <c r="AB2899" t="s">
        <v>16948</v>
      </c>
      <c r="AC2899" t="s">
        <v>4562</v>
      </c>
      <c r="AD2899" t="s">
        <v>16946</v>
      </c>
      <c r="AE2899" t="s">
        <v>4655</v>
      </c>
      <c r="AF2899" t="s">
        <v>4563</v>
      </c>
      <c r="AG2899" t="s">
        <v>4564</v>
      </c>
      <c r="AH2899" t="s">
        <v>1147</v>
      </c>
      <c r="AI2899" t="s">
        <v>16949</v>
      </c>
      <c r="AJ2899" t="s">
        <v>4655</v>
      </c>
      <c r="AK2899" t="s">
        <v>16950</v>
      </c>
      <c r="AL2899" s="13" t="s">
        <v>2255</v>
      </c>
      <c r="AM2899">
        <v>1</v>
      </c>
      <c r="AN2899" s="15" t="s">
        <v>721</v>
      </c>
    </row>
    <row r="2900" spans="1:40" x14ac:dyDescent="0.3">
      <c r="A2900" s="10" t="str">
        <f>HYPERLINK("http://www.washoecounty.gov/assessor/cama/?parid=039-045-05&amp;CardNumber=1","039-045-05")</f>
        <v>039-045-05</v>
      </c>
      <c r="B2900" t="s">
        <v>4655</v>
      </c>
      <c r="C2900" t="s">
        <v>16951</v>
      </c>
      <c r="D2900" s="1">
        <v>40347</v>
      </c>
      <c r="E2900" s="2">
        <v>128000</v>
      </c>
      <c r="F2900" t="s">
        <v>4567</v>
      </c>
      <c r="G2900" s="17" t="str">
        <f>HYPERLINK("https://www.washoecounty.gov/assessor/cama/?command=sales&amp;parid=03904505","3893165")</f>
        <v>3893165</v>
      </c>
      <c r="H2900" t="s">
        <v>212</v>
      </c>
      <c r="I2900">
        <v>1989</v>
      </c>
      <c r="J2900">
        <v>1989</v>
      </c>
      <c r="K2900" t="s">
        <v>4897</v>
      </c>
      <c r="L2900" t="s">
        <v>3974</v>
      </c>
      <c r="M2900" s="2">
        <v>1300</v>
      </c>
      <c r="N2900" t="s">
        <v>5280</v>
      </c>
      <c r="O2900">
        <v>3</v>
      </c>
      <c r="P2900">
        <v>2</v>
      </c>
      <c r="Q2900">
        <v>1</v>
      </c>
      <c r="R2900" t="s">
        <v>5281</v>
      </c>
      <c r="S2900" t="s">
        <v>4558</v>
      </c>
      <c r="T2900" t="s">
        <v>4559</v>
      </c>
      <c r="U2900" t="s">
        <v>5631</v>
      </c>
      <c r="V2900" s="2">
        <v>361</v>
      </c>
      <c r="W2900" t="s">
        <v>4655</v>
      </c>
      <c r="X2900" s="2">
        <v>0</v>
      </c>
      <c r="Y2900">
        <v>20</v>
      </c>
      <c r="Z2900" t="s">
        <v>4144</v>
      </c>
      <c r="AA2900" s="3">
        <v>7.3002755641937297E-2</v>
      </c>
      <c r="AB2900" t="s">
        <v>16952</v>
      </c>
      <c r="AC2900" t="s">
        <v>4562</v>
      </c>
      <c r="AD2900" t="s">
        <v>16953</v>
      </c>
      <c r="AE2900" t="s">
        <v>4655</v>
      </c>
      <c r="AF2900" t="s">
        <v>4563</v>
      </c>
      <c r="AG2900" t="s">
        <v>4564</v>
      </c>
      <c r="AH2900">
        <v>89503</v>
      </c>
      <c r="AI2900" t="s">
        <v>16954</v>
      </c>
      <c r="AJ2900" t="s">
        <v>4655</v>
      </c>
      <c r="AK2900" t="s">
        <v>16955</v>
      </c>
      <c r="AL2900" s="13" t="s">
        <v>2255</v>
      </c>
      <c r="AM2900">
        <v>1</v>
      </c>
      <c r="AN2900" s="15" t="s">
        <v>213</v>
      </c>
    </row>
    <row r="2901" spans="1:40" x14ac:dyDescent="0.3">
      <c r="A2901" s="10" t="str">
        <f>HYPERLINK("http://www.washoecounty.gov/assessor/cama/?parid=039-101-02&amp;CardNumber=1","039-101-02")</f>
        <v>039-101-02</v>
      </c>
      <c r="B2901" t="s">
        <v>4655</v>
      </c>
      <c r="C2901" t="s">
        <v>16956</v>
      </c>
      <c r="D2901" s="1">
        <v>40451</v>
      </c>
      <c r="E2901" s="2">
        <v>153000</v>
      </c>
      <c r="F2901" t="s">
        <v>4567</v>
      </c>
      <c r="G2901" s="17" t="str">
        <f>HYPERLINK("https://www.washoecounty.gov/assessor/cama/?command=sales&amp;parid=03910102","3928400")</f>
        <v>3928400</v>
      </c>
      <c r="H2901" t="s">
        <v>16957</v>
      </c>
      <c r="I2901">
        <v>1986</v>
      </c>
      <c r="J2901">
        <v>1986</v>
      </c>
      <c r="K2901" t="s">
        <v>4554</v>
      </c>
      <c r="L2901" t="s">
        <v>4555</v>
      </c>
      <c r="M2901" s="2">
        <v>1209</v>
      </c>
      <c r="N2901" t="s">
        <v>5280</v>
      </c>
      <c r="O2901">
        <v>3</v>
      </c>
      <c r="P2901">
        <v>2</v>
      </c>
      <c r="Q2901">
        <v>0</v>
      </c>
      <c r="R2901" t="s">
        <v>4557</v>
      </c>
      <c r="S2901" t="s">
        <v>4558</v>
      </c>
      <c r="T2901" t="s">
        <v>2704</v>
      </c>
      <c r="U2901" t="s">
        <v>4560</v>
      </c>
      <c r="V2901" s="2">
        <v>460</v>
      </c>
      <c r="W2901" t="s">
        <v>4655</v>
      </c>
      <c r="X2901" s="2">
        <v>0</v>
      </c>
      <c r="Y2901">
        <v>20</v>
      </c>
      <c r="Z2901" t="s">
        <v>4561</v>
      </c>
      <c r="AA2901" s="3">
        <v>0.13799357414245605</v>
      </c>
      <c r="AB2901" t="s">
        <v>16958</v>
      </c>
      <c r="AC2901" t="s">
        <v>4562</v>
      </c>
      <c r="AD2901" t="s">
        <v>16956</v>
      </c>
      <c r="AE2901" t="s">
        <v>4655</v>
      </c>
      <c r="AF2901" t="s">
        <v>4563</v>
      </c>
      <c r="AG2901" t="s">
        <v>4564</v>
      </c>
      <c r="AH2901" t="s">
        <v>1147</v>
      </c>
      <c r="AI2901" t="s">
        <v>16959</v>
      </c>
      <c r="AJ2901" t="s">
        <v>4655</v>
      </c>
      <c r="AK2901" t="s">
        <v>16960</v>
      </c>
      <c r="AL2901" s="13" t="s">
        <v>2255</v>
      </c>
      <c r="AM2901" s="14">
        <v>1</v>
      </c>
      <c r="AN2901" s="15" t="s">
        <v>2115</v>
      </c>
    </row>
    <row r="2902" spans="1:40" x14ac:dyDescent="0.3">
      <c r="A2902" s="10" t="str">
        <f>HYPERLINK("http://www.washoecounty.gov/assessor/cama/?parid=039-122-33&amp;CardNumber=1","039-122-33")</f>
        <v>039-122-33</v>
      </c>
      <c r="B2902" t="s">
        <v>4655</v>
      </c>
      <c r="C2902" t="s">
        <v>16961</v>
      </c>
      <c r="D2902" s="1">
        <v>40228</v>
      </c>
      <c r="E2902" s="2">
        <v>183000</v>
      </c>
      <c r="F2902" t="s">
        <v>4553</v>
      </c>
      <c r="G2902" s="17" t="str">
        <f>HYPERLINK("https://www.washoecounty.gov/assessor/cama/?command=sales&amp;parid=03912233","3850943")</f>
        <v>3850943</v>
      </c>
      <c r="H2902" t="s">
        <v>1468</v>
      </c>
      <c r="I2902">
        <v>1988</v>
      </c>
      <c r="J2902">
        <v>1988</v>
      </c>
      <c r="K2902" t="s">
        <v>4554</v>
      </c>
      <c r="L2902" t="s">
        <v>4555</v>
      </c>
      <c r="M2902" s="2">
        <v>1896</v>
      </c>
      <c r="N2902" t="s">
        <v>5280</v>
      </c>
      <c r="O2902">
        <v>4</v>
      </c>
      <c r="P2902">
        <v>2</v>
      </c>
      <c r="Q2902">
        <v>1</v>
      </c>
      <c r="R2902" t="s">
        <v>4557</v>
      </c>
      <c r="S2902" t="s">
        <v>4558</v>
      </c>
      <c r="T2902" t="s">
        <v>4559</v>
      </c>
      <c r="U2902" t="s">
        <v>4560</v>
      </c>
      <c r="V2902" s="2">
        <v>600</v>
      </c>
      <c r="W2902" t="s">
        <v>4655</v>
      </c>
      <c r="X2902" s="2">
        <v>0</v>
      </c>
      <c r="Y2902">
        <v>20</v>
      </c>
      <c r="Z2902" t="s">
        <v>4561</v>
      </c>
      <c r="AA2902" s="3">
        <v>0.40798899531364402</v>
      </c>
      <c r="AB2902" t="s">
        <v>16962</v>
      </c>
      <c r="AC2902" t="s">
        <v>4562</v>
      </c>
      <c r="AD2902" t="s">
        <v>16961</v>
      </c>
      <c r="AE2902" t="s">
        <v>4655</v>
      </c>
      <c r="AF2902" t="s">
        <v>4563</v>
      </c>
      <c r="AG2902" t="s">
        <v>4564</v>
      </c>
      <c r="AH2902" t="s">
        <v>1147</v>
      </c>
      <c r="AI2902" t="s">
        <v>4903</v>
      </c>
      <c r="AJ2902" t="s">
        <v>4655</v>
      </c>
      <c r="AK2902" t="s">
        <v>16963</v>
      </c>
      <c r="AL2902" s="13" t="s">
        <v>2255</v>
      </c>
      <c r="AM2902">
        <v>1</v>
      </c>
      <c r="AN2902" s="15" t="s">
        <v>2115</v>
      </c>
    </row>
    <row r="2903" spans="1:40" x14ac:dyDescent="0.3">
      <c r="A2903" s="10" t="str">
        <f>HYPERLINK("http://www.washoecounty.gov/assessor/cama/?parid=039-122-35&amp;CardNumber=1","039-122-35")</f>
        <v>039-122-35</v>
      </c>
      <c r="B2903" t="s">
        <v>4655</v>
      </c>
      <c r="C2903" t="s">
        <v>16964</v>
      </c>
      <c r="D2903" s="1">
        <v>40252</v>
      </c>
      <c r="E2903" s="2">
        <v>215000</v>
      </c>
      <c r="F2903" t="s">
        <v>4553</v>
      </c>
      <c r="G2903" s="17" t="str">
        <f>HYPERLINK("https://www.washoecounty.gov/assessor/cama/?command=sales&amp;parid=03912235","3859665")</f>
        <v>3859665</v>
      </c>
      <c r="H2903" t="s">
        <v>1937</v>
      </c>
      <c r="I2903">
        <v>1988</v>
      </c>
      <c r="J2903">
        <v>1988</v>
      </c>
      <c r="K2903" t="s">
        <v>4554</v>
      </c>
      <c r="L2903" t="s">
        <v>3974</v>
      </c>
      <c r="M2903" s="2">
        <v>2272</v>
      </c>
      <c r="N2903" t="s">
        <v>5280</v>
      </c>
      <c r="O2903">
        <v>4</v>
      </c>
      <c r="P2903">
        <v>3</v>
      </c>
      <c r="Q2903">
        <v>0</v>
      </c>
      <c r="R2903" t="s">
        <v>5281</v>
      </c>
      <c r="S2903" t="s">
        <v>4558</v>
      </c>
      <c r="T2903" t="s">
        <v>4559</v>
      </c>
      <c r="U2903" t="s">
        <v>4560</v>
      </c>
      <c r="V2903" s="2">
        <v>464</v>
      </c>
      <c r="W2903" t="s">
        <v>4655</v>
      </c>
      <c r="X2903" s="2">
        <v>0</v>
      </c>
      <c r="Y2903">
        <v>20</v>
      </c>
      <c r="Z2903" t="s">
        <v>4561</v>
      </c>
      <c r="AA2903" s="3">
        <v>0.27300274372100802</v>
      </c>
      <c r="AB2903" t="s">
        <v>16965</v>
      </c>
      <c r="AC2903" t="s">
        <v>4562</v>
      </c>
      <c r="AD2903" t="s">
        <v>16964</v>
      </c>
      <c r="AE2903" t="s">
        <v>4655</v>
      </c>
      <c r="AF2903" t="s">
        <v>4563</v>
      </c>
      <c r="AG2903" t="s">
        <v>4564</v>
      </c>
      <c r="AH2903" t="s">
        <v>1147</v>
      </c>
      <c r="AI2903" t="s">
        <v>4903</v>
      </c>
      <c r="AJ2903" t="s">
        <v>4655</v>
      </c>
      <c r="AK2903" t="s">
        <v>16966</v>
      </c>
      <c r="AL2903" s="13" t="s">
        <v>2255</v>
      </c>
      <c r="AM2903" s="14">
        <v>1</v>
      </c>
      <c r="AN2903" s="15" t="s">
        <v>2115</v>
      </c>
    </row>
    <row r="2904" spans="1:40" x14ac:dyDescent="0.3">
      <c r="A2904" s="10" t="str">
        <f>HYPERLINK("http://www.washoecounty.gov/assessor/cama/?parid=039-122-37&amp;CardNumber=1","039-122-37")</f>
        <v>039-122-37</v>
      </c>
      <c r="B2904" t="s">
        <v>4655</v>
      </c>
      <c r="C2904" t="s">
        <v>16967</v>
      </c>
      <c r="D2904" s="1">
        <v>40296</v>
      </c>
      <c r="E2904" s="2">
        <v>200000</v>
      </c>
      <c r="F2904" t="s">
        <v>4567</v>
      </c>
      <c r="G2904" s="17" t="str">
        <f>HYPERLINK("https://www.washoecounty.gov/assessor/cama/?command=sales&amp;parid=03912237","3875737")</f>
        <v>3875737</v>
      </c>
      <c r="H2904" t="s">
        <v>16968</v>
      </c>
      <c r="I2904">
        <v>1988</v>
      </c>
      <c r="J2904">
        <v>1988</v>
      </c>
      <c r="K2904" t="s">
        <v>4554</v>
      </c>
      <c r="L2904" t="s">
        <v>4555</v>
      </c>
      <c r="M2904" s="2">
        <v>1670</v>
      </c>
      <c r="N2904" t="s">
        <v>5280</v>
      </c>
      <c r="O2904">
        <v>3</v>
      </c>
      <c r="P2904">
        <v>2</v>
      </c>
      <c r="Q2904">
        <v>0</v>
      </c>
      <c r="R2904" t="s">
        <v>4557</v>
      </c>
      <c r="S2904" t="s">
        <v>4558</v>
      </c>
      <c r="T2904" t="s">
        <v>4559</v>
      </c>
      <c r="U2904" t="s">
        <v>4560</v>
      </c>
      <c r="V2904" s="2">
        <v>457</v>
      </c>
      <c r="W2904" t="s">
        <v>4655</v>
      </c>
      <c r="X2904" s="2">
        <v>0</v>
      </c>
      <c r="Y2904">
        <v>20</v>
      </c>
      <c r="Z2904" t="s">
        <v>4561</v>
      </c>
      <c r="AA2904" s="3">
        <v>0.19400826096534701</v>
      </c>
      <c r="AB2904" t="s">
        <v>16969</v>
      </c>
      <c r="AC2904" t="s">
        <v>4562</v>
      </c>
      <c r="AD2904" t="s">
        <v>16967</v>
      </c>
      <c r="AE2904" t="s">
        <v>4655</v>
      </c>
      <c r="AF2904" t="s">
        <v>4563</v>
      </c>
      <c r="AG2904" t="s">
        <v>4564</v>
      </c>
      <c r="AH2904" t="s">
        <v>1147</v>
      </c>
      <c r="AI2904" t="s">
        <v>16970</v>
      </c>
      <c r="AJ2904" t="s">
        <v>4655</v>
      </c>
      <c r="AK2904" t="s">
        <v>16971</v>
      </c>
      <c r="AL2904" s="13" t="s">
        <v>2255</v>
      </c>
      <c r="AM2904" s="14">
        <v>1</v>
      </c>
      <c r="AN2904" s="15" t="s">
        <v>2115</v>
      </c>
    </row>
    <row r="2905" spans="1:40" x14ac:dyDescent="0.3">
      <c r="A2905" s="10" t="str">
        <f>HYPERLINK("http://www.washoecounty.gov/assessor/cama/?parid=039-141-31&amp;CardNumber=1","039-141-31")</f>
        <v>039-141-31</v>
      </c>
      <c r="B2905" t="s">
        <v>4655</v>
      </c>
      <c r="C2905" t="s">
        <v>16972</v>
      </c>
      <c r="D2905" s="1">
        <v>40451</v>
      </c>
      <c r="E2905" s="2">
        <v>180000</v>
      </c>
      <c r="F2905" t="s">
        <v>4553</v>
      </c>
      <c r="G2905" s="17" t="str">
        <f>HYPERLINK("https://www.washoecounty.gov/assessor/cama/?command=sales&amp;parid=03914131","3928386")</f>
        <v>3928386</v>
      </c>
      <c r="H2905" t="s">
        <v>4827</v>
      </c>
      <c r="I2905">
        <v>1979</v>
      </c>
      <c r="J2905">
        <v>1979</v>
      </c>
      <c r="K2905" t="s">
        <v>4554</v>
      </c>
      <c r="L2905" t="s">
        <v>4555</v>
      </c>
      <c r="M2905" s="2">
        <v>1327</v>
      </c>
      <c r="N2905" t="s">
        <v>4048</v>
      </c>
      <c r="O2905">
        <v>2</v>
      </c>
      <c r="P2905">
        <v>1</v>
      </c>
      <c r="Q2905">
        <v>0</v>
      </c>
      <c r="R2905" t="s">
        <v>4557</v>
      </c>
      <c r="S2905" t="s">
        <v>4558</v>
      </c>
      <c r="T2905" t="s">
        <v>4559</v>
      </c>
      <c r="U2905" t="s">
        <v>4560</v>
      </c>
      <c r="V2905" s="2">
        <v>575</v>
      </c>
      <c r="W2905" t="s">
        <v>3201</v>
      </c>
      <c r="X2905" s="2">
        <v>1327</v>
      </c>
      <c r="Y2905">
        <v>20</v>
      </c>
      <c r="Z2905" t="s">
        <v>1077</v>
      </c>
      <c r="AA2905" s="3">
        <v>1.0800045728683401</v>
      </c>
      <c r="AB2905" t="s">
        <v>16973</v>
      </c>
      <c r="AC2905" t="s">
        <v>4562</v>
      </c>
      <c r="AD2905" t="s">
        <v>16974</v>
      </c>
      <c r="AE2905" t="s">
        <v>4655</v>
      </c>
      <c r="AF2905" t="s">
        <v>4563</v>
      </c>
      <c r="AG2905" t="s">
        <v>4564</v>
      </c>
      <c r="AH2905" t="s">
        <v>1147</v>
      </c>
      <c r="AI2905" t="s">
        <v>4903</v>
      </c>
      <c r="AJ2905" t="s">
        <v>4655</v>
      </c>
      <c r="AK2905" t="s">
        <v>16975</v>
      </c>
      <c r="AL2905" s="13" t="s">
        <v>3420</v>
      </c>
      <c r="AM2905">
        <v>1</v>
      </c>
      <c r="AN2905" s="15" t="s">
        <v>2770</v>
      </c>
    </row>
    <row r="2906" spans="1:40" x14ac:dyDescent="0.3">
      <c r="A2906" s="10" t="str">
        <f>HYPERLINK("http://www.washoecounty.gov/assessor/cama/?parid=039-141-45&amp;CardNumber=1","039-141-45")</f>
        <v>039-141-45</v>
      </c>
      <c r="B2906" t="s">
        <v>4655</v>
      </c>
      <c r="C2906" t="s">
        <v>2895</v>
      </c>
      <c r="D2906" s="1">
        <v>40494</v>
      </c>
      <c r="E2906" s="2">
        <v>200000</v>
      </c>
      <c r="F2906" t="s">
        <v>4567</v>
      </c>
      <c r="G2906" s="17" t="str">
        <f>HYPERLINK("https://www.washoecounty.gov/assessor/cama/?command=sales&amp;parid=03914145","3942424")</f>
        <v>3942424</v>
      </c>
      <c r="H2906" t="s">
        <v>2896</v>
      </c>
      <c r="I2906">
        <v>1969</v>
      </c>
      <c r="J2906">
        <v>1969</v>
      </c>
      <c r="K2906" t="s">
        <v>4554</v>
      </c>
      <c r="L2906" t="s">
        <v>4555</v>
      </c>
      <c r="M2906" s="2">
        <v>2380</v>
      </c>
      <c r="N2906" t="s">
        <v>5280</v>
      </c>
      <c r="O2906">
        <v>5</v>
      </c>
      <c r="P2906">
        <v>3</v>
      </c>
      <c r="Q2906">
        <v>1</v>
      </c>
      <c r="R2906" t="s">
        <v>5205</v>
      </c>
      <c r="S2906" t="s">
        <v>3148</v>
      </c>
      <c r="T2906" t="s">
        <v>4559</v>
      </c>
      <c r="U2906" t="s">
        <v>4655</v>
      </c>
      <c r="V2906" s="2">
        <v>0</v>
      </c>
      <c r="W2906" t="s">
        <v>3149</v>
      </c>
      <c r="X2906" s="2">
        <v>2398</v>
      </c>
      <c r="Y2906">
        <v>20</v>
      </c>
      <c r="Z2906" t="s">
        <v>3700</v>
      </c>
      <c r="AA2906" s="3">
        <v>3.7669999599456787</v>
      </c>
      <c r="AB2906" t="s">
        <v>5695</v>
      </c>
      <c r="AC2906" t="s">
        <v>4562</v>
      </c>
      <c r="AD2906" t="s">
        <v>5696</v>
      </c>
      <c r="AE2906" t="s">
        <v>4655</v>
      </c>
      <c r="AF2906" t="s">
        <v>4563</v>
      </c>
      <c r="AG2906" t="s">
        <v>4564</v>
      </c>
      <c r="AH2906">
        <v>89511</v>
      </c>
      <c r="AI2906" t="s">
        <v>5359</v>
      </c>
      <c r="AJ2906" t="s">
        <v>2897</v>
      </c>
      <c r="AK2906" t="s">
        <v>2898</v>
      </c>
      <c r="AL2906" s="13" t="s">
        <v>1889</v>
      </c>
      <c r="AM2906" s="14">
        <v>1</v>
      </c>
      <c r="AN2906" s="15" t="s">
        <v>2770</v>
      </c>
    </row>
    <row r="2907" spans="1:40" x14ac:dyDescent="0.3">
      <c r="A2907" s="10" t="str">
        <f>HYPERLINK("http://www.washoecounty.gov/assessor/cama/?parid=039-232-22&amp;CardNumber=1","039-232-22")</f>
        <v>039-232-22</v>
      </c>
      <c r="B2907" t="s">
        <v>4655</v>
      </c>
      <c r="C2907" t="s">
        <v>16976</v>
      </c>
      <c r="D2907" s="1">
        <v>40190</v>
      </c>
      <c r="E2907" s="2">
        <v>167000</v>
      </c>
      <c r="F2907" t="s">
        <v>4553</v>
      </c>
      <c r="G2907" s="17" t="str">
        <f>HYPERLINK("https://www.washoecounty.gov/assessor/cama/?command=sales&amp;parid=03923222","3838447")</f>
        <v>3838447</v>
      </c>
      <c r="H2907" t="s">
        <v>16977</v>
      </c>
      <c r="I2907">
        <v>1988</v>
      </c>
      <c r="J2907">
        <v>1988</v>
      </c>
      <c r="K2907" t="s">
        <v>4554</v>
      </c>
      <c r="L2907" t="s">
        <v>4555</v>
      </c>
      <c r="M2907" s="2">
        <v>1332</v>
      </c>
      <c r="N2907" t="s">
        <v>5280</v>
      </c>
      <c r="O2907">
        <v>2</v>
      </c>
      <c r="P2907">
        <v>2</v>
      </c>
      <c r="Q2907">
        <v>0</v>
      </c>
      <c r="R2907" t="s">
        <v>5281</v>
      </c>
      <c r="S2907" t="s">
        <v>4558</v>
      </c>
      <c r="T2907" t="s">
        <v>4559</v>
      </c>
      <c r="U2907" t="s">
        <v>4560</v>
      </c>
      <c r="V2907" s="2">
        <v>440</v>
      </c>
      <c r="W2907" t="s">
        <v>4655</v>
      </c>
      <c r="X2907" s="2">
        <v>0</v>
      </c>
      <c r="Y2907">
        <v>20</v>
      </c>
      <c r="Z2907" t="s">
        <v>4561</v>
      </c>
      <c r="AA2907" s="3">
        <v>0.28799358010292098</v>
      </c>
      <c r="AB2907" t="s">
        <v>16978</v>
      </c>
      <c r="AC2907" t="s">
        <v>4562</v>
      </c>
      <c r="AD2907" t="s">
        <v>16976</v>
      </c>
      <c r="AE2907" t="s">
        <v>4655</v>
      </c>
      <c r="AF2907" t="s">
        <v>4563</v>
      </c>
      <c r="AG2907" t="s">
        <v>4564</v>
      </c>
      <c r="AH2907" t="s">
        <v>1147</v>
      </c>
      <c r="AI2907" t="s">
        <v>4045</v>
      </c>
      <c r="AJ2907" t="s">
        <v>4655</v>
      </c>
      <c r="AK2907" t="s">
        <v>16979</v>
      </c>
      <c r="AL2907" s="13" t="s">
        <v>2255</v>
      </c>
      <c r="AM2907" s="14">
        <v>1</v>
      </c>
      <c r="AN2907" s="15" t="s">
        <v>2115</v>
      </c>
    </row>
    <row r="2908" spans="1:40" x14ac:dyDescent="0.3">
      <c r="A2908" s="10" t="str">
        <f>HYPERLINK("http://www.washoecounty.gov/assessor/cama/?parid=039-232-28&amp;CardNumber=1","039-232-28")</f>
        <v>039-232-28</v>
      </c>
      <c r="B2908" t="s">
        <v>4655</v>
      </c>
      <c r="C2908" t="s">
        <v>16980</v>
      </c>
      <c r="D2908" s="1">
        <v>40490</v>
      </c>
      <c r="E2908" s="2">
        <v>160000</v>
      </c>
      <c r="F2908" t="s">
        <v>4567</v>
      </c>
      <c r="G2908" s="17" t="str">
        <f>HYPERLINK("https://www.washoecounty.gov/assessor/cama/?command=sales&amp;parid=03923228","3940982")</f>
        <v>3940982</v>
      </c>
      <c r="H2908" t="s">
        <v>16977</v>
      </c>
      <c r="I2908">
        <v>1988</v>
      </c>
      <c r="J2908">
        <v>1988</v>
      </c>
      <c r="K2908" t="s">
        <v>4554</v>
      </c>
      <c r="L2908" t="s">
        <v>3974</v>
      </c>
      <c r="M2908" s="2">
        <v>1367</v>
      </c>
      <c r="N2908" t="s">
        <v>5280</v>
      </c>
      <c r="O2908">
        <v>3</v>
      </c>
      <c r="P2908">
        <v>2</v>
      </c>
      <c r="Q2908">
        <v>1</v>
      </c>
      <c r="R2908" t="s">
        <v>4557</v>
      </c>
      <c r="S2908" t="s">
        <v>4558</v>
      </c>
      <c r="T2908" t="s">
        <v>4559</v>
      </c>
      <c r="U2908" t="s">
        <v>4560</v>
      </c>
      <c r="V2908" s="2">
        <v>440</v>
      </c>
      <c r="W2908" t="s">
        <v>4655</v>
      </c>
      <c r="X2908" s="2">
        <v>0</v>
      </c>
      <c r="Y2908">
        <v>20</v>
      </c>
      <c r="Z2908" t="s">
        <v>4561</v>
      </c>
      <c r="AA2908" s="3">
        <v>0.13700643181800801</v>
      </c>
      <c r="AB2908" t="s">
        <v>16981</v>
      </c>
      <c r="AC2908" t="s">
        <v>4562</v>
      </c>
      <c r="AD2908" t="s">
        <v>16982</v>
      </c>
      <c r="AE2908" t="s">
        <v>4655</v>
      </c>
      <c r="AF2908" t="s">
        <v>4563</v>
      </c>
      <c r="AG2908" t="s">
        <v>4564</v>
      </c>
      <c r="AH2908" t="s">
        <v>1147</v>
      </c>
      <c r="AI2908" t="s">
        <v>16351</v>
      </c>
      <c r="AJ2908" t="s">
        <v>4655</v>
      </c>
      <c r="AK2908" t="s">
        <v>16983</v>
      </c>
      <c r="AL2908" s="13" t="s">
        <v>2255</v>
      </c>
      <c r="AM2908">
        <v>1</v>
      </c>
      <c r="AN2908" s="15" t="s">
        <v>2115</v>
      </c>
    </row>
    <row r="2909" spans="1:40" x14ac:dyDescent="0.3">
      <c r="A2909" s="10" t="str">
        <f>HYPERLINK("http://www.washoecounty.gov/assessor/cama/?parid=039-332-09&amp;CardNumber=1","039-332-09")</f>
        <v>039-332-09</v>
      </c>
      <c r="B2909" t="s">
        <v>4655</v>
      </c>
      <c r="C2909" t="s">
        <v>16984</v>
      </c>
      <c r="D2909" s="1">
        <v>40382</v>
      </c>
      <c r="E2909" s="2">
        <v>185500</v>
      </c>
      <c r="F2909" t="s">
        <v>4567</v>
      </c>
      <c r="G2909" s="17" t="str">
        <f>HYPERLINK("https://www.washoecounty.gov/assessor/cama/?command=sales&amp;parid=03933209","3904330")</f>
        <v>3904330</v>
      </c>
      <c r="H2909" t="s">
        <v>64</v>
      </c>
      <c r="I2909">
        <v>1987</v>
      </c>
      <c r="J2909">
        <v>1987</v>
      </c>
      <c r="K2909" t="s">
        <v>4554</v>
      </c>
      <c r="L2909" t="s">
        <v>4555</v>
      </c>
      <c r="M2909" s="2">
        <v>1896</v>
      </c>
      <c r="N2909" t="s">
        <v>5280</v>
      </c>
      <c r="O2909">
        <v>3</v>
      </c>
      <c r="P2909">
        <v>2</v>
      </c>
      <c r="Q2909">
        <v>1</v>
      </c>
      <c r="R2909" t="s">
        <v>5281</v>
      </c>
      <c r="S2909" t="s">
        <v>4558</v>
      </c>
      <c r="T2909" t="s">
        <v>4559</v>
      </c>
      <c r="U2909" t="s">
        <v>4560</v>
      </c>
      <c r="V2909" s="2">
        <v>460</v>
      </c>
      <c r="W2909" t="s">
        <v>4655</v>
      </c>
      <c r="X2909" s="2">
        <v>0</v>
      </c>
      <c r="Y2909">
        <v>20</v>
      </c>
      <c r="Z2909" t="s">
        <v>4561</v>
      </c>
      <c r="AA2909" s="3">
        <v>0.375</v>
      </c>
      <c r="AB2909" t="s">
        <v>16985</v>
      </c>
      <c r="AC2909" t="s">
        <v>4575</v>
      </c>
      <c r="AD2909" t="s">
        <v>16984</v>
      </c>
      <c r="AE2909" t="s">
        <v>4655</v>
      </c>
      <c r="AF2909" t="s">
        <v>4563</v>
      </c>
      <c r="AG2909" t="s">
        <v>4564</v>
      </c>
      <c r="AH2909" t="s">
        <v>1147</v>
      </c>
      <c r="AI2909" t="s">
        <v>16986</v>
      </c>
      <c r="AJ2909" t="s">
        <v>4655</v>
      </c>
      <c r="AK2909" t="s">
        <v>16987</v>
      </c>
      <c r="AL2909" s="13" t="s">
        <v>2255</v>
      </c>
      <c r="AM2909">
        <v>1</v>
      </c>
      <c r="AN2909" s="15" t="s">
        <v>2115</v>
      </c>
    </row>
    <row r="2910" spans="1:40" x14ac:dyDescent="0.3">
      <c r="A2910" s="10" t="str">
        <f>HYPERLINK("http://www.washoecounty.gov/assessor/cama/?parid=039-332-10&amp;CardNumber=1","039-332-10")</f>
        <v>039-332-10</v>
      </c>
      <c r="B2910" t="s">
        <v>4655</v>
      </c>
      <c r="C2910" t="s">
        <v>16988</v>
      </c>
      <c r="D2910" s="1">
        <v>40277</v>
      </c>
      <c r="E2910" s="2">
        <v>250000</v>
      </c>
      <c r="F2910" t="s">
        <v>4567</v>
      </c>
      <c r="G2910" s="17" t="str">
        <f>HYPERLINK("https://www.washoecounty.gov/assessor/cama/?command=sales&amp;parid=03933210","3869366")</f>
        <v>3869366</v>
      </c>
      <c r="H2910" t="s">
        <v>64</v>
      </c>
      <c r="I2910">
        <v>1987</v>
      </c>
      <c r="J2910">
        <v>1987</v>
      </c>
      <c r="K2910" t="s">
        <v>4554</v>
      </c>
      <c r="L2910" t="s">
        <v>3974</v>
      </c>
      <c r="M2910" s="2">
        <v>2272</v>
      </c>
      <c r="N2910" t="s">
        <v>5280</v>
      </c>
      <c r="O2910">
        <v>4</v>
      </c>
      <c r="P2910">
        <v>3</v>
      </c>
      <c r="Q2910">
        <v>0</v>
      </c>
      <c r="R2910" t="s">
        <v>5281</v>
      </c>
      <c r="S2910" t="s">
        <v>4558</v>
      </c>
      <c r="T2910" t="s">
        <v>4559</v>
      </c>
      <c r="U2910" t="s">
        <v>4560</v>
      </c>
      <c r="V2910" s="2">
        <v>464</v>
      </c>
      <c r="W2910" t="s">
        <v>4655</v>
      </c>
      <c r="X2910" s="2">
        <v>0</v>
      </c>
      <c r="Y2910">
        <v>20</v>
      </c>
      <c r="Z2910" t="s">
        <v>4561</v>
      </c>
      <c r="AA2910" s="3">
        <v>0.42500001192092901</v>
      </c>
      <c r="AB2910" t="s">
        <v>16989</v>
      </c>
      <c r="AC2910" t="s">
        <v>4575</v>
      </c>
      <c r="AD2910" t="s">
        <v>16990</v>
      </c>
      <c r="AE2910" t="s">
        <v>16988</v>
      </c>
      <c r="AF2910" t="s">
        <v>4563</v>
      </c>
      <c r="AG2910" t="s">
        <v>4564</v>
      </c>
      <c r="AH2910" t="s">
        <v>1147</v>
      </c>
      <c r="AI2910" t="s">
        <v>16991</v>
      </c>
      <c r="AJ2910" t="s">
        <v>4655</v>
      </c>
      <c r="AK2910" t="s">
        <v>16992</v>
      </c>
      <c r="AL2910" s="13" t="s">
        <v>2255</v>
      </c>
      <c r="AM2910">
        <v>1</v>
      </c>
      <c r="AN2910" s="15" t="s">
        <v>2115</v>
      </c>
    </row>
    <row r="2911" spans="1:40" x14ac:dyDescent="0.3">
      <c r="A2911" s="10" t="str">
        <f>HYPERLINK("http://www.washoecounty.gov/assessor/cama/?parid=039-332-15&amp;CardNumber=1","039-332-15")</f>
        <v>039-332-15</v>
      </c>
      <c r="B2911" t="s">
        <v>4655</v>
      </c>
      <c r="C2911" t="s">
        <v>16993</v>
      </c>
      <c r="D2911" s="1">
        <v>40504</v>
      </c>
      <c r="E2911" s="2">
        <v>192920</v>
      </c>
      <c r="F2911" t="s">
        <v>4567</v>
      </c>
      <c r="G2911" s="17" t="str">
        <f>HYPERLINK("https://www.washoecounty.gov/assessor/cama/?command=sales&amp;parid=03933215","3945749")</f>
        <v>3945749</v>
      </c>
      <c r="H2911" t="s">
        <v>64</v>
      </c>
      <c r="I2911">
        <v>1986</v>
      </c>
      <c r="J2911">
        <v>1986</v>
      </c>
      <c r="K2911" t="s">
        <v>4554</v>
      </c>
      <c r="L2911" t="s">
        <v>4555</v>
      </c>
      <c r="M2911" s="2">
        <v>1670</v>
      </c>
      <c r="N2911" t="s">
        <v>5280</v>
      </c>
      <c r="O2911">
        <v>3</v>
      </c>
      <c r="P2911">
        <v>2</v>
      </c>
      <c r="Q2911">
        <v>0</v>
      </c>
      <c r="R2911" t="s">
        <v>5281</v>
      </c>
      <c r="S2911" t="s">
        <v>4558</v>
      </c>
      <c r="T2911" t="s">
        <v>4559</v>
      </c>
      <c r="U2911" t="s">
        <v>4560</v>
      </c>
      <c r="V2911" s="2">
        <v>457</v>
      </c>
      <c r="W2911" t="s">
        <v>4655</v>
      </c>
      <c r="X2911" s="2">
        <v>0</v>
      </c>
      <c r="Y2911">
        <v>20</v>
      </c>
      <c r="Z2911" t="s">
        <v>4561</v>
      </c>
      <c r="AA2911" s="3">
        <v>0.239990815520287</v>
      </c>
      <c r="AB2911" t="s">
        <v>16994</v>
      </c>
      <c r="AC2911" t="s">
        <v>4562</v>
      </c>
      <c r="AD2911" t="s">
        <v>16993</v>
      </c>
      <c r="AE2911" t="s">
        <v>4655</v>
      </c>
      <c r="AF2911" t="s">
        <v>4563</v>
      </c>
      <c r="AG2911" t="s">
        <v>4564</v>
      </c>
      <c r="AH2911" t="s">
        <v>1147</v>
      </c>
      <c r="AI2911" t="s">
        <v>16995</v>
      </c>
      <c r="AJ2911" t="s">
        <v>4655</v>
      </c>
      <c r="AK2911" t="s">
        <v>16996</v>
      </c>
      <c r="AL2911" s="13" t="s">
        <v>2255</v>
      </c>
      <c r="AM2911" s="14">
        <v>1</v>
      </c>
      <c r="AN2911" s="15" t="s">
        <v>2115</v>
      </c>
    </row>
    <row r="2912" spans="1:40" x14ac:dyDescent="0.3">
      <c r="A2912" s="10" t="str">
        <f>HYPERLINK("http://www.washoecounty.gov/assessor/cama/?parid=039-341-01&amp;CardNumber=1","039-341-01")</f>
        <v>039-341-01</v>
      </c>
      <c r="B2912" t="s">
        <v>4655</v>
      </c>
      <c r="C2912" t="s">
        <v>16997</v>
      </c>
      <c r="D2912" s="1">
        <v>40535</v>
      </c>
      <c r="E2912" s="2">
        <v>154000</v>
      </c>
      <c r="F2912" t="s">
        <v>4567</v>
      </c>
      <c r="G2912" s="17" t="str">
        <f>HYPERLINK("https://www.washoecounty.gov/assessor/cama/?command=sales&amp;parid=03934101","3956915")</f>
        <v>3956915</v>
      </c>
      <c r="H2912" t="s">
        <v>64</v>
      </c>
      <c r="I2912">
        <v>1987</v>
      </c>
      <c r="J2912">
        <v>1987</v>
      </c>
      <c r="K2912" t="s">
        <v>4554</v>
      </c>
      <c r="L2912" t="s">
        <v>4555</v>
      </c>
      <c r="M2912" s="2">
        <v>1896</v>
      </c>
      <c r="N2912" t="s">
        <v>5280</v>
      </c>
      <c r="O2912">
        <v>4</v>
      </c>
      <c r="P2912">
        <v>2</v>
      </c>
      <c r="Q2912">
        <v>1</v>
      </c>
      <c r="R2912" t="s">
        <v>4557</v>
      </c>
      <c r="S2912" t="s">
        <v>4558</v>
      </c>
      <c r="T2912" t="s">
        <v>4559</v>
      </c>
      <c r="U2912" t="s">
        <v>4560</v>
      </c>
      <c r="V2912" s="2">
        <v>400</v>
      </c>
      <c r="W2912" t="s">
        <v>4655</v>
      </c>
      <c r="X2912" s="2">
        <v>0</v>
      </c>
      <c r="Y2912">
        <v>20</v>
      </c>
      <c r="Z2912" t="s">
        <v>4561</v>
      </c>
      <c r="AA2912" s="3">
        <v>0.28799358010292098</v>
      </c>
      <c r="AB2912" t="s">
        <v>16998</v>
      </c>
      <c r="AC2912" t="s">
        <v>4575</v>
      </c>
      <c r="AD2912" t="s">
        <v>16999</v>
      </c>
      <c r="AE2912" t="s">
        <v>4655</v>
      </c>
      <c r="AF2912" t="s">
        <v>5201</v>
      </c>
      <c r="AG2912" t="s">
        <v>4564</v>
      </c>
      <c r="AH2912" t="s">
        <v>1350</v>
      </c>
      <c r="AI2912" t="s">
        <v>17000</v>
      </c>
      <c r="AJ2912" t="s">
        <v>4655</v>
      </c>
      <c r="AK2912" t="s">
        <v>17001</v>
      </c>
      <c r="AL2912" s="13" t="s">
        <v>2255</v>
      </c>
      <c r="AM2912">
        <v>1</v>
      </c>
      <c r="AN2912" s="15" t="s">
        <v>2115</v>
      </c>
    </row>
    <row r="2913" spans="1:40" x14ac:dyDescent="0.3">
      <c r="A2913" s="10" t="str">
        <f>HYPERLINK("http://www.washoecounty.gov/assessor/cama/?parid=039-342-09&amp;CardNumber=1","039-342-09")</f>
        <v>039-342-09</v>
      </c>
      <c r="B2913" t="s">
        <v>4655</v>
      </c>
      <c r="C2913" t="s">
        <v>17002</v>
      </c>
      <c r="D2913" s="1">
        <v>40193</v>
      </c>
      <c r="E2913" s="2">
        <v>234900</v>
      </c>
      <c r="F2913" t="s">
        <v>4553</v>
      </c>
      <c r="G2913" s="17" t="str">
        <f>HYPERLINK("https://www.washoecounty.gov/assessor/cama/?command=sales&amp;parid=03934209","3840052")</f>
        <v>3840052</v>
      </c>
      <c r="H2913" t="s">
        <v>64</v>
      </c>
      <c r="I2913">
        <v>1987</v>
      </c>
      <c r="J2913">
        <v>1987</v>
      </c>
      <c r="K2913" t="s">
        <v>4554</v>
      </c>
      <c r="L2913" t="s">
        <v>3974</v>
      </c>
      <c r="M2913" s="2">
        <v>2272</v>
      </c>
      <c r="N2913" t="s">
        <v>5280</v>
      </c>
      <c r="O2913">
        <v>4</v>
      </c>
      <c r="P2913">
        <v>3</v>
      </c>
      <c r="Q2913">
        <v>0</v>
      </c>
      <c r="R2913" t="s">
        <v>5281</v>
      </c>
      <c r="S2913" t="s">
        <v>4558</v>
      </c>
      <c r="T2913" t="s">
        <v>4559</v>
      </c>
      <c r="U2913" t="s">
        <v>4560</v>
      </c>
      <c r="V2913" s="2">
        <v>464</v>
      </c>
      <c r="W2913" t="s">
        <v>4655</v>
      </c>
      <c r="X2913" s="2">
        <v>0</v>
      </c>
      <c r="Y2913">
        <v>20</v>
      </c>
      <c r="Z2913" t="s">
        <v>4561</v>
      </c>
      <c r="AA2913" s="3">
        <v>0.146992653608322</v>
      </c>
      <c r="AB2913" t="s">
        <v>17003</v>
      </c>
      <c r="AC2913" t="s">
        <v>4575</v>
      </c>
      <c r="AD2913" t="s">
        <v>17004</v>
      </c>
      <c r="AE2913" t="s">
        <v>17002</v>
      </c>
      <c r="AF2913" t="s">
        <v>3114</v>
      </c>
      <c r="AG2913" t="s">
        <v>4564</v>
      </c>
      <c r="AH2913" t="s">
        <v>1147</v>
      </c>
      <c r="AI2913" t="s">
        <v>14020</v>
      </c>
      <c r="AJ2913" t="s">
        <v>4655</v>
      </c>
      <c r="AK2913" t="s">
        <v>17005</v>
      </c>
      <c r="AL2913" s="13" t="s">
        <v>2255</v>
      </c>
      <c r="AM2913" s="14">
        <v>1</v>
      </c>
      <c r="AN2913" s="15" t="s">
        <v>2115</v>
      </c>
    </row>
    <row r="2914" spans="1:40" x14ac:dyDescent="0.3">
      <c r="A2914" s="10" t="str">
        <f>HYPERLINK("http://www.washoecounty.gov/assessor/cama/?parid=039-344-15&amp;CardNumber=1","039-344-15")</f>
        <v>039-344-15</v>
      </c>
      <c r="B2914" t="s">
        <v>4655</v>
      </c>
      <c r="C2914" t="s">
        <v>17006</v>
      </c>
      <c r="D2914" s="1">
        <v>40233</v>
      </c>
      <c r="E2914" s="2">
        <v>211000</v>
      </c>
      <c r="F2914" t="s">
        <v>4567</v>
      </c>
      <c r="G2914" s="17" t="str">
        <f>HYPERLINK("https://www.washoecounty.gov/assessor/cama/?command=sales&amp;parid=03934415","3852357")</f>
        <v>3852357</v>
      </c>
      <c r="H2914" t="s">
        <v>64</v>
      </c>
      <c r="I2914">
        <v>1987</v>
      </c>
      <c r="J2914">
        <v>1987</v>
      </c>
      <c r="K2914" t="s">
        <v>4554</v>
      </c>
      <c r="L2914" t="s">
        <v>4555</v>
      </c>
      <c r="M2914" s="2">
        <v>1670</v>
      </c>
      <c r="N2914" t="s">
        <v>5280</v>
      </c>
      <c r="O2914">
        <v>3</v>
      </c>
      <c r="P2914">
        <v>2</v>
      </c>
      <c r="Q2914">
        <v>0</v>
      </c>
      <c r="R2914" t="s">
        <v>5281</v>
      </c>
      <c r="S2914" t="s">
        <v>4558</v>
      </c>
      <c r="T2914" t="s">
        <v>4559</v>
      </c>
      <c r="U2914" t="s">
        <v>4560</v>
      </c>
      <c r="V2914" s="2">
        <v>457</v>
      </c>
      <c r="W2914" t="s">
        <v>4655</v>
      </c>
      <c r="X2914" s="2">
        <v>0</v>
      </c>
      <c r="Y2914">
        <v>20</v>
      </c>
      <c r="Z2914" t="s">
        <v>4561</v>
      </c>
      <c r="AA2914" s="3">
        <v>0.14600551128387501</v>
      </c>
      <c r="AB2914" t="s">
        <v>17007</v>
      </c>
      <c r="AC2914" t="s">
        <v>4562</v>
      </c>
      <c r="AD2914" t="s">
        <v>17006</v>
      </c>
      <c r="AE2914" t="s">
        <v>4655</v>
      </c>
      <c r="AF2914" t="s">
        <v>4563</v>
      </c>
      <c r="AG2914" t="s">
        <v>4564</v>
      </c>
      <c r="AH2914" t="s">
        <v>1147</v>
      </c>
      <c r="AI2914" t="s">
        <v>17008</v>
      </c>
      <c r="AJ2914" t="s">
        <v>4655</v>
      </c>
      <c r="AK2914" t="s">
        <v>17009</v>
      </c>
      <c r="AL2914" s="13" t="s">
        <v>2255</v>
      </c>
      <c r="AM2914" s="14">
        <v>1</v>
      </c>
      <c r="AN2914" s="15" t="s">
        <v>2115</v>
      </c>
    </row>
    <row r="2915" spans="1:40" x14ac:dyDescent="0.3">
      <c r="A2915" s="10" t="str">
        <f>HYPERLINK("http://www.washoecounty.gov/assessor/cama/?parid=039-345-04&amp;CardNumber=1","039-345-04")</f>
        <v>039-345-04</v>
      </c>
      <c r="B2915" t="s">
        <v>4655</v>
      </c>
      <c r="C2915" t="s">
        <v>17010</v>
      </c>
      <c r="D2915" s="1">
        <v>40386</v>
      </c>
      <c r="E2915" s="2">
        <v>160000</v>
      </c>
      <c r="F2915" t="s">
        <v>4567</v>
      </c>
      <c r="G2915" s="17" t="str">
        <f>HYPERLINK("https://www.washoecounty.gov/assessor/cama/?command=sales&amp;parid=03934504","3905472")</f>
        <v>3905472</v>
      </c>
      <c r="H2915" t="s">
        <v>17011</v>
      </c>
      <c r="I2915">
        <v>1989</v>
      </c>
      <c r="J2915">
        <v>1989</v>
      </c>
      <c r="K2915" t="s">
        <v>4554</v>
      </c>
      <c r="L2915" t="s">
        <v>3974</v>
      </c>
      <c r="M2915" s="2">
        <v>1449</v>
      </c>
      <c r="N2915" t="s">
        <v>5280</v>
      </c>
      <c r="O2915">
        <v>3</v>
      </c>
      <c r="P2915">
        <v>2</v>
      </c>
      <c r="Q2915">
        <v>1</v>
      </c>
      <c r="R2915" t="s">
        <v>5281</v>
      </c>
      <c r="S2915" t="s">
        <v>4135</v>
      </c>
      <c r="T2915" t="s">
        <v>4559</v>
      </c>
      <c r="U2915" t="s">
        <v>5631</v>
      </c>
      <c r="V2915" s="2">
        <v>477</v>
      </c>
      <c r="W2915" t="s">
        <v>4655</v>
      </c>
      <c r="X2915" s="2">
        <v>0</v>
      </c>
      <c r="Y2915">
        <v>20</v>
      </c>
      <c r="Z2915" t="s">
        <v>4561</v>
      </c>
      <c r="AA2915" s="3">
        <v>0.18700642883777599</v>
      </c>
      <c r="AB2915" t="s">
        <v>17012</v>
      </c>
      <c r="AC2915" t="s">
        <v>4562</v>
      </c>
      <c r="AD2915" t="s">
        <v>17010</v>
      </c>
      <c r="AE2915" t="s">
        <v>4655</v>
      </c>
      <c r="AF2915" t="s">
        <v>4563</v>
      </c>
      <c r="AG2915" t="s">
        <v>4564</v>
      </c>
      <c r="AH2915" t="s">
        <v>1147</v>
      </c>
      <c r="AI2915" t="s">
        <v>17013</v>
      </c>
      <c r="AJ2915" t="s">
        <v>4655</v>
      </c>
      <c r="AK2915" t="s">
        <v>17014</v>
      </c>
      <c r="AL2915" s="13" t="s">
        <v>2255</v>
      </c>
      <c r="AM2915">
        <v>1</v>
      </c>
      <c r="AN2915" s="15" t="s">
        <v>2115</v>
      </c>
    </row>
    <row r="2916" spans="1:40" x14ac:dyDescent="0.3">
      <c r="A2916" s="10" t="str">
        <f>HYPERLINK("http://www.washoecounty.gov/assessor/cama/?parid=039-353-02&amp;CardNumber=1","039-353-02")</f>
        <v>039-353-02</v>
      </c>
      <c r="B2916" t="s">
        <v>4655</v>
      </c>
      <c r="C2916" t="s">
        <v>17015</v>
      </c>
      <c r="D2916" s="1">
        <v>40504</v>
      </c>
      <c r="E2916" s="2">
        <v>165000</v>
      </c>
      <c r="F2916" t="s">
        <v>4567</v>
      </c>
      <c r="G2916" s="17" t="str">
        <f>HYPERLINK("https://www.washoecounty.gov/assessor/cama/?command=sales&amp;parid=03935302","3945729")</f>
        <v>3945729</v>
      </c>
      <c r="H2916" t="s">
        <v>17016</v>
      </c>
      <c r="I2916">
        <v>1987</v>
      </c>
      <c r="J2916">
        <v>1987</v>
      </c>
      <c r="K2916" t="s">
        <v>4554</v>
      </c>
      <c r="L2916" t="s">
        <v>4555</v>
      </c>
      <c r="M2916" s="2">
        <v>1292</v>
      </c>
      <c r="N2916" t="s">
        <v>5280</v>
      </c>
      <c r="O2916">
        <v>3</v>
      </c>
      <c r="P2916">
        <v>2</v>
      </c>
      <c r="Q2916">
        <v>0</v>
      </c>
      <c r="R2916" t="s">
        <v>4557</v>
      </c>
      <c r="S2916" t="s">
        <v>4558</v>
      </c>
      <c r="T2916" t="s">
        <v>4559</v>
      </c>
      <c r="U2916" t="s">
        <v>4560</v>
      </c>
      <c r="V2916" s="2">
        <v>420</v>
      </c>
      <c r="W2916" t="s">
        <v>4655</v>
      </c>
      <c r="X2916" s="2">
        <v>0</v>
      </c>
      <c r="Y2916">
        <v>20</v>
      </c>
      <c r="Z2916" t="s">
        <v>4561</v>
      </c>
      <c r="AA2916" s="3">
        <v>0.10500459372997301</v>
      </c>
      <c r="AB2916" t="s">
        <v>17017</v>
      </c>
      <c r="AC2916" t="s">
        <v>4562</v>
      </c>
      <c r="AD2916" t="s">
        <v>17015</v>
      </c>
      <c r="AE2916" t="s">
        <v>4655</v>
      </c>
      <c r="AF2916" t="s">
        <v>4563</v>
      </c>
      <c r="AG2916" t="s">
        <v>4564</v>
      </c>
      <c r="AH2916" t="s">
        <v>1147</v>
      </c>
      <c r="AI2916" t="s">
        <v>17018</v>
      </c>
      <c r="AJ2916" t="s">
        <v>4655</v>
      </c>
      <c r="AK2916" t="s">
        <v>17019</v>
      </c>
      <c r="AL2916" s="13" t="s">
        <v>2255</v>
      </c>
      <c r="AM2916" s="14">
        <v>1</v>
      </c>
      <c r="AN2916" s="15" t="s">
        <v>2115</v>
      </c>
    </row>
    <row r="2917" spans="1:40" x14ac:dyDescent="0.3">
      <c r="A2917" s="10" t="str">
        <f>HYPERLINK("http://www.washoecounty.gov/assessor/cama/?parid=039-353-04&amp;CardNumber=1","039-353-04")</f>
        <v>039-353-04</v>
      </c>
      <c r="B2917" t="s">
        <v>4655</v>
      </c>
      <c r="C2917" t="s">
        <v>17020</v>
      </c>
      <c r="D2917" s="1">
        <v>40413</v>
      </c>
      <c r="E2917" s="2">
        <v>152000</v>
      </c>
      <c r="F2917" t="s">
        <v>4567</v>
      </c>
      <c r="G2917" s="17" t="str">
        <f>HYPERLINK("https://www.washoecounty.gov/assessor/cama/?command=sales&amp;parid=03935304","3914519")</f>
        <v>3914519</v>
      </c>
      <c r="H2917" t="s">
        <v>4108</v>
      </c>
      <c r="I2917">
        <v>1987</v>
      </c>
      <c r="J2917">
        <v>1987</v>
      </c>
      <c r="K2917" t="s">
        <v>4554</v>
      </c>
      <c r="L2917" t="s">
        <v>3974</v>
      </c>
      <c r="M2917" s="2">
        <v>1391</v>
      </c>
      <c r="N2917" t="s">
        <v>5280</v>
      </c>
      <c r="O2917">
        <v>2</v>
      </c>
      <c r="P2917">
        <v>2</v>
      </c>
      <c r="Q2917">
        <v>1</v>
      </c>
      <c r="R2917" t="s">
        <v>4557</v>
      </c>
      <c r="S2917" t="s">
        <v>4558</v>
      </c>
      <c r="T2917" t="s">
        <v>4559</v>
      </c>
      <c r="U2917" t="s">
        <v>5631</v>
      </c>
      <c r="V2917" s="2">
        <v>450</v>
      </c>
      <c r="W2917" t="s">
        <v>4655</v>
      </c>
      <c r="X2917" s="2">
        <v>0</v>
      </c>
      <c r="Y2917">
        <v>20</v>
      </c>
      <c r="Z2917" t="s">
        <v>4561</v>
      </c>
      <c r="AA2917" s="3">
        <v>0.107988983392715</v>
      </c>
      <c r="AB2917" t="s">
        <v>17021</v>
      </c>
      <c r="AC2917" t="s">
        <v>4575</v>
      </c>
      <c r="AD2917" t="s">
        <v>17022</v>
      </c>
      <c r="AE2917" t="s">
        <v>17023</v>
      </c>
      <c r="AF2917" t="s">
        <v>3680</v>
      </c>
      <c r="AG2917" t="s">
        <v>4584</v>
      </c>
      <c r="AH2917" t="s">
        <v>17024</v>
      </c>
      <c r="AI2917" t="s">
        <v>17025</v>
      </c>
      <c r="AJ2917" t="s">
        <v>4655</v>
      </c>
      <c r="AK2917" t="s">
        <v>17026</v>
      </c>
      <c r="AL2917" s="13" t="s">
        <v>2255</v>
      </c>
      <c r="AM2917" s="14">
        <v>1</v>
      </c>
      <c r="AN2917" s="15" t="s">
        <v>2115</v>
      </c>
    </row>
    <row r="2918" spans="1:40" x14ac:dyDescent="0.3">
      <c r="A2918" s="10" t="str">
        <f>HYPERLINK("http://www.washoecounty.gov/assessor/cama/?parid=039-353-09&amp;CardNumber=1","039-353-09")</f>
        <v>039-353-09</v>
      </c>
      <c r="B2918" t="s">
        <v>4655</v>
      </c>
      <c r="C2918" t="s">
        <v>17027</v>
      </c>
      <c r="D2918" s="1">
        <v>40297</v>
      </c>
      <c r="E2918" s="2">
        <v>155000</v>
      </c>
      <c r="F2918" t="s">
        <v>4567</v>
      </c>
      <c r="G2918" s="17" t="str">
        <f>HYPERLINK("https://www.washoecounty.gov/assessor/cama/?command=sales&amp;parid=03935309","3876112")</f>
        <v>3876112</v>
      </c>
      <c r="H2918" t="s">
        <v>17028</v>
      </c>
      <c r="I2918">
        <v>1987</v>
      </c>
      <c r="J2918">
        <v>1987</v>
      </c>
      <c r="K2918" t="s">
        <v>4554</v>
      </c>
      <c r="L2918" t="s">
        <v>4555</v>
      </c>
      <c r="M2918" s="2">
        <v>1016</v>
      </c>
      <c r="N2918" t="s">
        <v>5280</v>
      </c>
      <c r="O2918">
        <v>2</v>
      </c>
      <c r="P2918">
        <v>1</v>
      </c>
      <c r="Q2918">
        <v>0</v>
      </c>
      <c r="R2918" t="s">
        <v>5281</v>
      </c>
      <c r="S2918" t="s">
        <v>4558</v>
      </c>
      <c r="T2918" t="s">
        <v>4559</v>
      </c>
      <c r="U2918" t="s">
        <v>4560</v>
      </c>
      <c r="V2918" s="2">
        <v>436</v>
      </c>
      <c r="W2918" t="s">
        <v>4655</v>
      </c>
      <c r="X2918" s="2">
        <v>0</v>
      </c>
      <c r="Y2918">
        <v>20</v>
      </c>
      <c r="Z2918" t="s">
        <v>4561</v>
      </c>
      <c r="AA2918" s="3">
        <v>0.107988983392715</v>
      </c>
      <c r="AB2918" t="s">
        <v>17029</v>
      </c>
      <c r="AC2918" t="s">
        <v>4562</v>
      </c>
      <c r="AD2918" t="s">
        <v>17030</v>
      </c>
      <c r="AE2918" t="s">
        <v>4655</v>
      </c>
      <c r="AF2918" t="s">
        <v>4563</v>
      </c>
      <c r="AG2918" t="s">
        <v>4564</v>
      </c>
      <c r="AH2918" t="s">
        <v>1147</v>
      </c>
      <c r="AI2918" t="s">
        <v>17031</v>
      </c>
      <c r="AJ2918" t="s">
        <v>4655</v>
      </c>
      <c r="AK2918" t="s">
        <v>17032</v>
      </c>
      <c r="AL2918" s="13" t="s">
        <v>2255</v>
      </c>
      <c r="AM2918">
        <v>1</v>
      </c>
      <c r="AN2918" s="15" t="s">
        <v>2115</v>
      </c>
    </row>
    <row r="2919" spans="1:40" x14ac:dyDescent="0.3">
      <c r="A2919" s="10" t="str">
        <f>HYPERLINK("http://www.washoecounty.gov/assessor/cama/?parid=039-354-08&amp;CardNumber=1","039-354-08")</f>
        <v>039-354-08</v>
      </c>
      <c r="B2919" t="s">
        <v>4655</v>
      </c>
      <c r="C2919" t="s">
        <v>17033</v>
      </c>
      <c r="D2919" s="1">
        <v>40290</v>
      </c>
      <c r="E2919" s="2">
        <v>185000</v>
      </c>
      <c r="F2919" t="s">
        <v>4567</v>
      </c>
      <c r="G2919" s="17" t="str">
        <f>HYPERLINK("https://www.washoecounty.gov/assessor/cama/?command=sales&amp;parid=03935408","3873766")</f>
        <v>3873766</v>
      </c>
      <c r="H2919" t="s">
        <v>2844</v>
      </c>
      <c r="I2919">
        <v>1989</v>
      </c>
      <c r="J2919">
        <v>1989</v>
      </c>
      <c r="K2919" t="s">
        <v>4554</v>
      </c>
      <c r="L2919" t="s">
        <v>4555</v>
      </c>
      <c r="M2919" s="2">
        <v>1292</v>
      </c>
      <c r="N2919" t="s">
        <v>5280</v>
      </c>
      <c r="O2919">
        <v>3</v>
      </c>
      <c r="P2919">
        <v>2</v>
      </c>
      <c r="Q2919">
        <v>0</v>
      </c>
      <c r="R2919" t="s">
        <v>4557</v>
      </c>
      <c r="S2919" t="s">
        <v>4558</v>
      </c>
      <c r="T2919" t="s">
        <v>4559</v>
      </c>
      <c r="U2919" t="s">
        <v>4560</v>
      </c>
      <c r="V2919" s="2">
        <v>419</v>
      </c>
      <c r="W2919" t="s">
        <v>4655</v>
      </c>
      <c r="X2919" s="2">
        <v>0</v>
      </c>
      <c r="Y2919">
        <v>20</v>
      </c>
      <c r="Z2919" t="s">
        <v>4561</v>
      </c>
      <c r="AA2919" s="3">
        <v>0.103007346391678</v>
      </c>
      <c r="AB2919" t="s">
        <v>17034</v>
      </c>
      <c r="AC2919" t="s">
        <v>4562</v>
      </c>
      <c r="AD2919" t="s">
        <v>17033</v>
      </c>
      <c r="AE2919" t="s">
        <v>4655</v>
      </c>
      <c r="AF2919" t="s">
        <v>4563</v>
      </c>
      <c r="AG2919" t="s">
        <v>4564</v>
      </c>
      <c r="AH2919" t="s">
        <v>1147</v>
      </c>
      <c r="AI2919" t="s">
        <v>4655</v>
      </c>
      <c r="AJ2919" t="s">
        <v>4655</v>
      </c>
      <c r="AK2919" t="s">
        <v>17035</v>
      </c>
      <c r="AL2919" s="13" t="s">
        <v>2255</v>
      </c>
      <c r="AM2919" s="14">
        <v>1</v>
      </c>
      <c r="AN2919" s="15" t="s">
        <v>2115</v>
      </c>
    </row>
    <row r="2920" spans="1:40" x14ac:dyDescent="0.3">
      <c r="A2920" s="10" t="str">
        <f>HYPERLINK("http://www.washoecounty.gov/assessor/cama/?parid=039-361-11&amp;CardNumber=1","039-361-11")</f>
        <v>039-361-11</v>
      </c>
      <c r="B2920" t="s">
        <v>4655</v>
      </c>
      <c r="C2920" t="s">
        <v>17036</v>
      </c>
      <c r="D2920" s="1">
        <v>40332</v>
      </c>
      <c r="E2920" s="2">
        <v>150000</v>
      </c>
      <c r="F2920" t="s">
        <v>4567</v>
      </c>
      <c r="G2920" s="17" t="str">
        <f>HYPERLINK("https://www.washoecounty.gov/assessor/cama/?command=sales&amp;parid=03936111","3888175")</f>
        <v>3888175</v>
      </c>
      <c r="H2920" t="s">
        <v>4108</v>
      </c>
      <c r="I2920">
        <v>1987</v>
      </c>
      <c r="J2920">
        <v>1987</v>
      </c>
      <c r="K2920" t="s">
        <v>4554</v>
      </c>
      <c r="L2920" t="s">
        <v>4555</v>
      </c>
      <c r="M2920" s="2">
        <v>1016</v>
      </c>
      <c r="N2920" t="s">
        <v>5280</v>
      </c>
      <c r="O2920">
        <v>2</v>
      </c>
      <c r="P2920">
        <v>1</v>
      </c>
      <c r="Q2920">
        <v>0</v>
      </c>
      <c r="R2920" t="s">
        <v>4557</v>
      </c>
      <c r="S2920" t="s">
        <v>4558</v>
      </c>
      <c r="T2920" t="s">
        <v>4559</v>
      </c>
      <c r="U2920" t="s">
        <v>4560</v>
      </c>
      <c r="V2920" s="2">
        <v>436</v>
      </c>
      <c r="W2920" t="s">
        <v>4655</v>
      </c>
      <c r="X2920" s="2">
        <v>0</v>
      </c>
      <c r="Y2920">
        <v>20</v>
      </c>
      <c r="Z2920" t="s">
        <v>4561</v>
      </c>
      <c r="AA2920" s="3">
        <v>0.12601010501384699</v>
      </c>
      <c r="AB2920" t="s">
        <v>17037</v>
      </c>
      <c r="AC2920" t="s">
        <v>4575</v>
      </c>
      <c r="AD2920" t="s">
        <v>17038</v>
      </c>
      <c r="AE2920" t="s">
        <v>4655</v>
      </c>
      <c r="AF2920" t="s">
        <v>4563</v>
      </c>
      <c r="AG2920" t="s">
        <v>4564</v>
      </c>
      <c r="AH2920">
        <v>89503</v>
      </c>
      <c r="AI2920" t="s">
        <v>17039</v>
      </c>
      <c r="AJ2920" t="s">
        <v>4655</v>
      </c>
      <c r="AK2920" t="s">
        <v>17040</v>
      </c>
      <c r="AL2920" s="13" t="s">
        <v>2255</v>
      </c>
      <c r="AM2920" s="14">
        <v>1</v>
      </c>
      <c r="AN2920" s="15" t="s">
        <v>2115</v>
      </c>
    </row>
    <row r="2921" spans="1:40" x14ac:dyDescent="0.3">
      <c r="A2921" s="10" t="str">
        <f>HYPERLINK("http://www.washoecounty.gov/assessor/cama/?parid=039-382-11&amp;CardNumber=1","039-382-11")</f>
        <v>039-382-11</v>
      </c>
      <c r="B2921" t="s">
        <v>4655</v>
      </c>
      <c r="C2921" t="s">
        <v>17041</v>
      </c>
      <c r="D2921" s="1">
        <v>40235</v>
      </c>
      <c r="E2921" s="2">
        <v>165000</v>
      </c>
      <c r="F2921" t="s">
        <v>4567</v>
      </c>
      <c r="G2921" s="17" t="str">
        <f>HYPERLINK("https://www.washoecounty.gov/assessor/cama/?command=sales&amp;parid=03938211","3853198")</f>
        <v>3853198</v>
      </c>
      <c r="H2921" t="s">
        <v>4361</v>
      </c>
      <c r="I2921">
        <v>1987</v>
      </c>
      <c r="J2921">
        <v>1987</v>
      </c>
      <c r="K2921" t="s">
        <v>4554</v>
      </c>
      <c r="L2921" t="s">
        <v>4555</v>
      </c>
      <c r="M2921" s="2">
        <v>1324</v>
      </c>
      <c r="N2921" t="s">
        <v>5280</v>
      </c>
      <c r="O2921">
        <v>3</v>
      </c>
      <c r="P2921">
        <v>2</v>
      </c>
      <c r="Q2921">
        <v>0</v>
      </c>
      <c r="R2921" t="s">
        <v>4557</v>
      </c>
      <c r="S2921" t="s">
        <v>4558</v>
      </c>
      <c r="T2921" t="s">
        <v>4559</v>
      </c>
      <c r="U2921" t="s">
        <v>4560</v>
      </c>
      <c r="V2921" s="2">
        <v>420</v>
      </c>
      <c r="W2921" t="s">
        <v>4655</v>
      </c>
      <c r="X2921" s="2">
        <v>0</v>
      </c>
      <c r="Y2921">
        <v>20</v>
      </c>
      <c r="Z2921" t="s">
        <v>4561</v>
      </c>
      <c r="AA2921" s="3">
        <v>0.18000459671020499</v>
      </c>
      <c r="AB2921" t="s">
        <v>17042</v>
      </c>
      <c r="AC2921" t="s">
        <v>4575</v>
      </c>
      <c r="AD2921" t="s">
        <v>17041</v>
      </c>
      <c r="AE2921" t="s">
        <v>4655</v>
      </c>
      <c r="AF2921" t="s">
        <v>4563</v>
      </c>
      <c r="AG2921" t="s">
        <v>4564</v>
      </c>
      <c r="AH2921" t="s">
        <v>1147</v>
      </c>
      <c r="AI2921" t="s">
        <v>4655</v>
      </c>
      <c r="AJ2921" t="s">
        <v>4655</v>
      </c>
      <c r="AK2921" t="s">
        <v>17043</v>
      </c>
      <c r="AL2921" s="13" t="s">
        <v>2255</v>
      </c>
      <c r="AM2921" s="14">
        <v>1</v>
      </c>
      <c r="AN2921" s="15" t="s">
        <v>721</v>
      </c>
    </row>
    <row r="2922" spans="1:40" x14ac:dyDescent="0.3">
      <c r="A2922" s="10" t="str">
        <f>HYPERLINK("http://www.washoecounty.gov/assessor/cama/?parid=039-382-17&amp;CardNumber=1","039-382-17")</f>
        <v>039-382-17</v>
      </c>
      <c r="B2922" t="s">
        <v>4655</v>
      </c>
      <c r="C2922" t="s">
        <v>17044</v>
      </c>
      <c r="D2922" s="1">
        <v>40220</v>
      </c>
      <c r="E2922" s="2">
        <v>170000</v>
      </c>
      <c r="F2922" t="s">
        <v>4567</v>
      </c>
      <c r="G2922" s="17" t="str">
        <f>HYPERLINK("https://www.washoecounty.gov/assessor/cama/?command=sales&amp;parid=03938217","3848401")</f>
        <v>3848401</v>
      </c>
      <c r="H2922" t="s">
        <v>17045</v>
      </c>
      <c r="I2922">
        <v>1987</v>
      </c>
      <c r="J2922">
        <v>1987</v>
      </c>
      <c r="K2922" t="s">
        <v>4554</v>
      </c>
      <c r="L2922" t="s">
        <v>3974</v>
      </c>
      <c r="M2922" s="2">
        <v>1388</v>
      </c>
      <c r="N2922" t="s">
        <v>5280</v>
      </c>
      <c r="O2922">
        <v>3</v>
      </c>
      <c r="P2922">
        <v>2</v>
      </c>
      <c r="Q2922">
        <v>1</v>
      </c>
      <c r="R2922" t="s">
        <v>4557</v>
      </c>
      <c r="S2922" t="s">
        <v>4558</v>
      </c>
      <c r="T2922" t="s">
        <v>4559</v>
      </c>
      <c r="U2922" t="s">
        <v>4560</v>
      </c>
      <c r="V2922" s="2">
        <v>500</v>
      </c>
      <c r="W2922" t="s">
        <v>4655</v>
      </c>
      <c r="X2922" s="2">
        <v>0</v>
      </c>
      <c r="Y2922">
        <v>20</v>
      </c>
      <c r="Z2922" t="s">
        <v>4561</v>
      </c>
      <c r="AA2922" s="3">
        <v>0.13999082148075101</v>
      </c>
      <c r="AB2922" t="s">
        <v>17046</v>
      </c>
      <c r="AC2922" t="s">
        <v>4562</v>
      </c>
      <c r="AD2922" t="s">
        <v>17044</v>
      </c>
      <c r="AE2922" t="s">
        <v>4655</v>
      </c>
      <c r="AF2922" t="s">
        <v>4563</v>
      </c>
      <c r="AG2922" t="s">
        <v>4564</v>
      </c>
      <c r="AH2922" t="s">
        <v>1147</v>
      </c>
      <c r="AI2922" t="s">
        <v>17047</v>
      </c>
      <c r="AJ2922" t="s">
        <v>4655</v>
      </c>
      <c r="AK2922" t="s">
        <v>17048</v>
      </c>
      <c r="AL2922" s="13" t="s">
        <v>2255</v>
      </c>
      <c r="AM2922">
        <v>1</v>
      </c>
      <c r="AN2922" s="15" t="s">
        <v>721</v>
      </c>
    </row>
    <row r="2923" spans="1:40" x14ac:dyDescent="0.3">
      <c r="A2923" s="10" t="str">
        <f>HYPERLINK("http://www.washoecounty.gov/assessor/cama/?parid=039-403-20&amp;CardNumber=1","039-403-20")</f>
        <v>039-403-20</v>
      </c>
      <c r="B2923" t="s">
        <v>4655</v>
      </c>
      <c r="C2923" t="s">
        <v>17049</v>
      </c>
      <c r="D2923" s="1">
        <v>40542</v>
      </c>
      <c r="E2923" s="2">
        <v>160000</v>
      </c>
      <c r="F2923" t="s">
        <v>4567</v>
      </c>
      <c r="G2923" s="17" t="str">
        <f>HYPERLINK("https://www.washoecounty.gov/assessor/cama/?command=sales&amp;parid=03940320","3959333")</f>
        <v>3959333</v>
      </c>
      <c r="H2923" t="s">
        <v>17050</v>
      </c>
      <c r="I2923">
        <v>1988</v>
      </c>
      <c r="J2923">
        <v>1988</v>
      </c>
      <c r="K2923" t="s">
        <v>4554</v>
      </c>
      <c r="L2923" t="s">
        <v>3974</v>
      </c>
      <c r="M2923" s="2">
        <v>1240</v>
      </c>
      <c r="N2923" t="s">
        <v>5280</v>
      </c>
      <c r="O2923">
        <v>2</v>
      </c>
      <c r="P2923">
        <v>2</v>
      </c>
      <c r="Q2923">
        <v>1</v>
      </c>
      <c r="R2923" t="s">
        <v>5281</v>
      </c>
      <c r="S2923" t="s">
        <v>4558</v>
      </c>
      <c r="T2923" t="s">
        <v>4559</v>
      </c>
      <c r="U2923" t="s">
        <v>5631</v>
      </c>
      <c r="V2923" s="2">
        <v>460</v>
      </c>
      <c r="W2923" t="s">
        <v>4655</v>
      </c>
      <c r="X2923" s="2">
        <v>0</v>
      </c>
      <c r="Y2923">
        <v>20</v>
      </c>
      <c r="Z2923" t="s">
        <v>4561</v>
      </c>
      <c r="AA2923" s="3">
        <v>0.119995407760143</v>
      </c>
      <c r="AB2923" t="s">
        <v>4709</v>
      </c>
      <c r="AC2923" t="s">
        <v>4562</v>
      </c>
      <c r="AD2923" t="s">
        <v>17051</v>
      </c>
      <c r="AE2923" t="s">
        <v>4655</v>
      </c>
      <c r="AF2923" t="s">
        <v>4563</v>
      </c>
      <c r="AG2923" t="s">
        <v>4564</v>
      </c>
      <c r="AH2923">
        <v>89510</v>
      </c>
      <c r="AI2923" t="s">
        <v>17052</v>
      </c>
      <c r="AJ2923" t="s">
        <v>4655</v>
      </c>
      <c r="AK2923" t="s">
        <v>17053</v>
      </c>
      <c r="AL2923" s="13" t="s">
        <v>2255</v>
      </c>
      <c r="AM2923">
        <v>1</v>
      </c>
      <c r="AN2923" s="15" t="s">
        <v>721</v>
      </c>
    </row>
    <row r="2924" spans="1:40" x14ac:dyDescent="0.3">
      <c r="A2924" s="10" t="str">
        <f>HYPERLINK("http://www.washoecounty.gov/assessor/cama/?parid=039-414-02&amp;CardNumber=1","039-414-02")</f>
        <v>039-414-02</v>
      </c>
      <c r="B2924" t="s">
        <v>4655</v>
      </c>
      <c r="C2924" t="s">
        <v>17054</v>
      </c>
      <c r="D2924" s="1">
        <v>40512</v>
      </c>
      <c r="E2924" s="2">
        <v>160000</v>
      </c>
      <c r="F2924" t="s">
        <v>4567</v>
      </c>
      <c r="G2924" s="17" t="str">
        <f>HYPERLINK("https://www.washoecounty.gov/assessor/cama/?command=sales&amp;parid=03941402","3947593")</f>
        <v>3947593</v>
      </c>
      <c r="H2924" t="s">
        <v>5297</v>
      </c>
      <c r="I2924">
        <v>1989</v>
      </c>
      <c r="J2924">
        <v>1989</v>
      </c>
      <c r="K2924" t="s">
        <v>4554</v>
      </c>
      <c r="L2924" t="s">
        <v>4555</v>
      </c>
      <c r="M2924" s="2">
        <v>1439</v>
      </c>
      <c r="N2924" t="s">
        <v>5280</v>
      </c>
      <c r="O2924">
        <v>3</v>
      </c>
      <c r="P2924">
        <v>2</v>
      </c>
      <c r="Q2924">
        <v>0</v>
      </c>
      <c r="R2924" t="s">
        <v>4557</v>
      </c>
      <c r="S2924" t="s">
        <v>4558</v>
      </c>
      <c r="T2924" t="s">
        <v>4559</v>
      </c>
      <c r="U2924" t="s">
        <v>4560</v>
      </c>
      <c r="V2924" s="2">
        <v>484</v>
      </c>
      <c r="W2924" t="s">
        <v>4655</v>
      </c>
      <c r="X2924" s="2">
        <v>0</v>
      </c>
      <c r="Y2924">
        <v>20</v>
      </c>
      <c r="Z2924" t="s">
        <v>4561</v>
      </c>
      <c r="AA2924" s="3">
        <v>0.20000000298023199</v>
      </c>
      <c r="AB2924" t="s">
        <v>17055</v>
      </c>
      <c r="AC2924" t="s">
        <v>4575</v>
      </c>
      <c r="AD2924" t="s">
        <v>17056</v>
      </c>
      <c r="AE2924" t="s">
        <v>4655</v>
      </c>
      <c r="AF2924" t="s">
        <v>4563</v>
      </c>
      <c r="AG2924" t="s">
        <v>4564</v>
      </c>
      <c r="AH2924" t="s">
        <v>1147</v>
      </c>
      <c r="AI2924" t="s">
        <v>17057</v>
      </c>
      <c r="AJ2924" t="s">
        <v>4655</v>
      </c>
      <c r="AK2924" t="s">
        <v>17058</v>
      </c>
      <c r="AL2924" s="13" t="s">
        <v>2255</v>
      </c>
      <c r="AM2924" s="14">
        <v>1</v>
      </c>
      <c r="AN2924" s="15" t="s">
        <v>2115</v>
      </c>
    </row>
    <row r="2925" spans="1:40" x14ac:dyDescent="0.3">
      <c r="A2925" s="10" t="str">
        <f>HYPERLINK("http://www.washoecounty.gov/assessor/cama/?parid=039-414-11&amp;CardNumber=1","039-414-11")</f>
        <v>039-414-11</v>
      </c>
      <c r="B2925" t="s">
        <v>4655</v>
      </c>
      <c r="C2925" t="s">
        <v>17059</v>
      </c>
      <c r="D2925" s="1">
        <v>40464</v>
      </c>
      <c r="E2925" s="2">
        <v>170000</v>
      </c>
      <c r="F2925" t="s">
        <v>4567</v>
      </c>
      <c r="G2925" s="17" t="str">
        <f>HYPERLINK("https://www.washoecounty.gov/assessor/cama/?command=sales&amp;parid=03941411","3932230")</f>
        <v>3932230</v>
      </c>
      <c r="H2925" t="s">
        <v>5297</v>
      </c>
      <c r="I2925">
        <v>1988</v>
      </c>
      <c r="J2925">
        <v>1988</v>
      </c>
      <c r="K2925" t="s">
        <v>4554</v>
      </c>
      <c r="L2925" t="s">
        <v>4555</v>
      </c>
      <c r="M2925" s="2">
        <v>1439</v>
      </c>
      <c r="N2925" t="s">
        <v>5280</v>
      </c>
      <c r="O2925">
        <v>3</v>
      </c>
      <c r="P2925">
        <v>2</v>
      </c>
      <c r="Q2925">
        <v>0</v>
      </c>
      <c r="R2925" t="s">
        <v>4557</v>
      </c>
      <c r="S2925" t="s">
        <v>4558</v>
      </c>
      <c r="T2925" t="s">
        <v>4559</v>
      </c>
      <c r="U2925" t="s">
        <v>4560</v>
      </c>
      <c r="V2925" s="2">
        <v>484</v>
      </c>
      <c r="W2925" t="s">
        <v>4655</v>
      </c>
      <c r="X2925" s="2">
        <v>0</v>
      </c>
      <c r="Y2925">
        <v>20</v>
      </c>
      <c r="Z2925" t="s">
        <v>4561</v>
      </c>
      <c r="AA2925" s="3">
        <v>0.14499540627002699</v>
      </c>
      <c r="AB2925" t="s">
        <v>17060</v>
      </c>
      <c r="AC2925" t="s">
        <v>4562</v>
      </c>
      <c r="AD2925" t="s">
        <v>17061</v>
      </c>
      <c r="AE2925" t="s">
        <v>4655</v>
      </c>
      <c r="AF2925" t="s">
        <v>4563</v>
      </c>
      <c r="AG2925" t="s">
        <v>4564</v>
      </c>
      <c r="AH2925" t="s">
        <v>1147</v>
      </c>
      <c r="AI2925" t="s">
        <v>17062</v>
      </c>
      <c r="AJ2925" t="s">
        <v>4655</v>
      </c>
      <c r="AK2925" t="s">
        <v>17063</v>
      </c>
      <c r="AL2925" s="13" t="s">
        <v>2255</v>
      </c>
      <c r="AM2925" s="14">
        <v>1</v>
      </c>
      <c r="AN2925" s="15" t="s">
        <v>2115</v>
      </c>
    </row>
    <row r="2926" spans="1:40" x14ac:dyDescent="0.3">
      <c r="A2926" s="10" t="str">
        <f>HYPERLINK("http://www.washoecounty.gov/assessor/cama/?parid=039-452-23&amp;CardNumber=1","039-452-23")</f>
        <v>039-452-23</v>
      </c>
      <c r="B2926" t="s">
        <v>4655</v>
      </c>
      <c r="C2926" t="s">
        <v>17064</v>
      </c>
      <c r="D2926" s="1">
        <v>40445</v>
      </c>
      <c r="E2926" s="2">
        <v>134900</v>
      </c>
      <c r="F2926" t="s">
        <v>4567</v>
      </c>
      <c r="G2926" s="17" t="str">
        <f>HYPERLINK("https://www.washoecounty.gov/assessor/cama/?command=sales&amp;parid=03945223","3926074")</f>
        <v>3926074</v>
      </c>
      <c r="H2926" t="s">
        <v>2430</v>
      </c>
      <c r="I2926">
        <v>1988</v>
      </c>
      <c r="J2926">
        <v>1988</v>
      </c>
      <c r="K2926" t="s">
        <v>4554</v>
      </c>
      <c r="L2926" t="s">
        <v>3974</v>
      </c>
      <c r="M2926" s="2">
        <v>1240</v>
      </c>
      <c r="N2926" t="s">
        <v>5280</v>
      </c>
      <c r="O2926">
        <v>2</v>
      </c>
      <c r="P2926">
        <v>2</v>
      </c>
      <c r="Q2926">
        <v>1</v>
      </c>
      <c r="R2926" t="s">
        <v>4557</v>
      </c>
      <c r="S2926" t="s">
        <v>4558</v>
      </c>
      <c r="T2926" t="s">
        <v>4559</v>
      </c>
      <c r="U2926" t="s">
        <v>4560</v>
      </c>
      <c r="V2926" s="2">
        <v>460</v>
      </c>
      <c r="W2926" t="s">
        <v>4655</v>
      </c>
      <c r="X2926" s="2">
        <v>0</v>
      </c>
      <c r="Y2926">
        <v>20</v>
      </c>
      <c r="Z2926" t="s">
        <v>4561</v>
      </c>
      <c r="AA2926" s="3">
        <v>0.34999999403953602</v>
      </c>
      <c r="AB2926" t="s">
        <v>17065</v>
      </c>
      <c r="AC2926" t="s">
        <v>4562</v>
      </c>
      <c r="AD2926" t="s">
        <v>17064</v>
      </c>
      <c r="AE2926" t="s">
        <v>4655</v>
      </c>
      <c r="AF2926" t="s">
        <v>4563</v>
      </c>
      <c r="AG2926" t="s">
        <v>4564</v>
      </c>
      <c r="AH2926" t="s">
        <v>1147</v>
      </c>
      <c r="AI2926" t="s">
        <v>17066</v>
      </c>
      <c r="AJ2926" t="s">
        <v>4655</v>
      </c>
      <c r="AK2926" t="s">
        <v>17067</v>
      </c>
      <c r="AL2926" s="13" t="s">
        <v>2255</v>
      </c>
      <c r="AM2926">
        <v>1</v>
      </c>
      <c r="AN2926" s="15" t="s">
        <v>721</v>
      </c>
    </row>
    <row r="2927" spans="1:40" x14ac:dyDescent="0.3">
      <c r="A2927" s="10" t="str">
        <f>HYPERLINK("http://www.washoecounty.gov/assessor/cama/?parid=039-471-15&amp;CardNumber=1","039-471-15")</f>
        <v>039-471-15</v>
      </c>
      <c r="B2927" t="s">
        <v>4655</v>
      </c>
      <c r="C2927" t="s">
        <v>17068</v>
      </c>
      <c r="D2927" s="1">
        <v>40504</v>
      </c>
      <c r="E2927" s="2">
        <v>128000</v>
      </c>
      <c r="F2927" t="s">
        <v>4553</v>
      </c>
      <c r="G2927" s="17" t="str">
        <f>HYPERLINK("https://www.washoecounty.gov/assessor/cama/?command=sales&amp;parid=03947115","3945454")</f>
        <v>3945454</v>
      </c>
      <c r="H2927" t="s">
        <v>2430</v>
      </c>
      <c r="I2927">
        <v>1988</v>
      </c>
      <c r="J2927">
        <v>1988</v>
      </c>
      <c r="K2927" t="s">
        <v>4554</v>
      </c>
      <c r="L2927" t="s">
        <v>3974</v>
      </c>
      <c r="M2927" s="2">
        <v>1384</v>
      </c>
      <c r="N2927" t="s">
        <v>5280</v>
      </c>
      <c r="O2927">
        <v>3</v>
      </c>
      <c r="P2927">
        <v>2</v>
      </c>
      <c r="Q2927">
        <v>1</v>
      </c>
      <c r="R2927" t="s">
        <v>4557</v>
      </c>
      <c r="S2927" t="s">
        <v>4558</v>
      </c>
      <c r="T2927" t="s">
        <v>4559</v>
      </c>
      <c r="U2927" t="s">
        <v>5631</v>
      </c>
      <c r="V2927" s="2">
        <v>500</v>
      </c>
      <c r="W2927" t="s">
        <v>4655</v>
      </c>
      <c r="X2927" s="2">
        <v>0</v>
      </c>
      <c r="Y2927">
        <v>20</v>
      </c>
      <c r="Z2927" t="s">
        <v>4561</v>
      </c>
      <c r="AA2927" s="3">
        <v>0.114990815520287</v>
      </c>
      <c r="AB2927" t="s">
        <v>17069</v>
      </c>
      <c r="AC2927" t="s">
        <v>4562</v>
      </c>
      <c r="AD2927" t="s">
        <v>17070</v>
      </c>
      <c r="AE2927" t="s">
        <v>4655</v>
      </c>
      <c r="AF2927" t="s">
        <v>3114</v>
      </c>
      <c r="AG2927" t="s">
        <v>4564</v>
      </c>
      <c r="AH2927" t="s">
        <v>1147</v>
      </c>
      <c r="AI2927" t="s">
        <v>2351</v>
      </c>
      <c r="AJ2927" t="s">
        <v>4655</v>
      </c>
      <c r="AK2927" t="s">
        <v>17071</v>
      </c>
      <c r="AL2927" s="13" t="s">
        <v>2255</v>
      </c>
      <c r="AM2927">
        <v>1</v>
      </c>
      <c r="AN2927" s="15" t="s">
        <v>721</v>
      </c>
    </row>
    <row r="2928" spans="1:40" x14ac:dyDescent="0.3">
      <c r="A2928" s="10" t="str">
        <f>HYPERLINK("http://www.washoecounty.gov/assessor/cama/?parid=039-472-08&amp;CardNumber=1","039-472-08")</f>
        <v>039-472-08</v>
      </c>
      <c r="B2928" t="s">
        <v>4655</v>
      </c>
      <c r="C2928" t="s">
        <v>17072</v>
      </c>
      <c r="D2928" s="1">
        <v>40343</v>
      </c>
      <c r="E2928" s="2">
        <v>165000</v>
      </c>
      <c r="F2928" t="s">
        <v>4567</v>
      </c>
      <c r="G2928" s="17" t="str">
        <f>HYPERLINK("https://www.washoecounty.gov/assessor/cama/?command=sales&amp;parid=03947208","3891272")</f>
        <v>3891272</v>
      </c>
      <c r="H2928" t="s">
        <v>2430</v>
      </c>
      <c r="I2928">
        <v>1989</v>
      </c>
      <c r="J2928">
        <v>1989</v>
      </c>
      <c r="K2928" t="s">
        <v>4554</v>
      </c>
      <c r="L2928" t="s">
        <v>4555</v>
      </c>
      <c r="M2928" s="2">
        <v>1324</v>
      </c>
      <c r="N2928" t="s">
        <v>5280</v>
      </c>
      <c r="O2928">
        <v>3</v>
      </c>
      <c r="P2928">
        <v>2</v>
      </c>
      <c r="Q2928">
        <v>0</v>
      </c>
      <c r="R2928" t="s">
        <v>4557</v>
      </c>
      <c r="S2928" t="s">
        <v>4558</v>
      </c>
      <c r="T2928" t="s">
        <v>4559</v>
      </c>
      <c r="U2928" t="s">
        <v>4560</v>
      </c>
      <c r="V2928" s="2">
        <v>420</v>
      </c>
      <c r="W2928" t="s">
        <v>4655</v>
      </c>
      <c r="X2928" s="2">
        <v>0</v>
      </c>
      <c r="Y2928">
        <v>20</v>
      </c>
      <c r="Z2928" t="s">
        <v>4561</v>
      </c>
      <c r="AA2928" s="3">
        <v>0.25</v>
      </c>
      <c r="AB2928" t="s">
        <v>17073</v>
      </c>
      <c r="AC2928" t="s">
        <v>4562</v>
      </c>
      <c r="AD2928" t="s">
        <v>17074</v>
      </c>
      <c r="AE2928" t="s">
        <v>4655</v>
      </c>
      <c r="AF2928" t="s">
        <v>17075</v>
      </c>
      <c r="AG2928" t="s">
        <v>4584</v>
      </c>
      <c r="AH2928">
        <v>94025</v>
      </c>
      <c r="AI2928" t="s">
        <v>17076</v>
      </c>
      <c r="AJ2928" t="s">
        <v>4655</v>
      </c>
      <c r="AK2928" t="s">
        <v>17077</v>
      </c>
      <c r="AL2928" s="13" t="s">
        <v>2255</v>
      </c>
      <c r="AM2928">
        <v>1</v>
      </c>
      <c r="AN2928" s="15" t="s">
        <v>721</v>
      </c>
    </row>
    <row r="2929" spans="1:40" x14ac:dyDescent="0.3">
      <c r="A2929" s="10" t="str">
        <f>HYPERLINK("http://www.washoecounty.gov/assessor/cama/?parid=039-472-11&amp;CardNumber=1","039-472-11")</f>
        <v>039-472-11</v>
      </c>
      <c r="B2929" t="s">
        <v>4655</v>
      </c>
      <c r="C2929" t="s">
        <v>2883</v>
      </c>
      <c r="D2929" s="1">
        <v>40466</v>
      </c>
      <c r="E2929" s="2">
        <v>160000</v>
      </c>
      <c r="F2929" t="s">
        <v>4567</v>
      </c>
      <c r="G2929" s="17" t="str">
        <f>HYPERLINK("https://www.washoecounty.gov/assessor/cama/?command=sales&amp;parid=03947211","3933443")</f>
        <v>3933443</v>
      </c>
      <c r="H2929" t="s">
        <v>2430</v>
      </c>
      <c r="I2929">
        <v>1989</v>
      </c>
      <c r="J2929">
        <v>1989</v>
      </c>
      <c r="K2929" t="s">
        <v>4554</v>
      </c>
      <c r="L2929" t="s">
        <v>3974</v>
      </c>
      <c r="M2929" s="2">
        <v>1552</v>
      </c>
      <c r="N2929" t="s">
        <v>5280</v>
      </c>
      <c r="O2929">
        <v>3</v>
      </c>
      <c r="P2929">
        <v>2</v>
      </c>
      <c r="Q2929">
        <v>1</v>
      </c>
      <c r="R2929" t="s">
        <v>5281</v>
      </c>
      <c r="S2929" t="s">
        <v>4558</v>
      </c>
      <c r="T2929" t="s">
        <v>4559</v>
      </c>
      <c r="U2929" t="s">
        <v>4560</v>
      </c>
      <c r="V2929" s="2">
        <v>445</v>
      </c>
      <c r="W2929" t="s">
        <v>4655</v>
      </c>
      <c r="X2929" s="2">
        <v>0</v>
      </c>
      <c r="Y2929">
        <v>20</v>
      </c>
      <c r="Z2929" t="s">
        <v>4561</v>
      </c>
      <c r="AA2929" s="3">
        <v>0.36999541521072399</v>
      </c>
      <c r="AB2929" t="s">
        <v>17078</v>
      </c>
      <c r="AC2929" t="s">
        <v>4562</v>
      </c>
      <c r="AD2929" t="s">
        <v>2883</v>
      </c>
      <c r="AE2929" t="s">
        <v>4655</v>
      </c>
      <c r="AF2929" t="s">
        <v>4563</v>
      </c>
      <c r="AG2929" t="s">
        <v>4564</v>
      </c>
      <c r="AH2929" t="s">
        <v>1147</v>
      </c>
      <c r="AI2929" t="s">
        <v>17079</v>
      </c>
      <c r="AJ2929" t="s">
        <v>4655</v>
      </c>
      <c r="AK2929" t="s">
        <v>17080</v>
      </c>
      <c r="AL2929" s="13" t="s">
        <v>2255</v>
      </c>
      <c r="AM2929">
        <v>1</v>
      </c>
      <c r="AN2929" s="15" t="s">
        <v>721</v>
      </c>
    </row>
    <row r="2930" spans="1:40" x14ac:dyDescent="0.3">
      <c r="A2930" s="10" t="str">
        <f>HYPERLINK("http://www.washoecounty.gov/assessor/cama/?parid=039-472-17&amp;CardNumber=1","039-472-17")</f>
        <v>039-472-17</v>
      </c>
      <c r="B2930" t="s">
        <v>4655</v>
      </c>
      <c r="C2930" t="s">
        <v>17081</v>
      </c>
      <c r="D2930" s="1">
        <v>40234</v>
      </c>
      <c r="E2930" s="2">
        <v>167000</v>
      </c>
      <c r="F2930" t="s">
        <v>4567</v>
      </c>
      <c r="G2930" s="17" t="str">
        <f>HYPERLINK("https://www.washoecounty.gov/assessor/cama/?command=sales&amp;parid=03947217","3852753")</f>
        <v>3852753</v>
      </c>
      <c r="H2930" t="s">
        <v>17082</v>
      </c>
      <c r="I2930">
        <v>1989</v>
      </c>
      <c r="J2930">
        <v>1989</v>
      </c>
      <c r="K2930" t="s">
        <v>4554</v>
      </c>
      <c r="L2930" t="s">
        <v>3974</v>
      </c>
      <c r="M2930" s="2">
        <v>1384</v>
      </c>
      <c r="N2930" t="s">
        <v>5280</v>
      </c>
      <c r="O2930">
        <v>3</v>
      </c>
      <c r="P2930">
        <v>2</v>
      </c>
      <c r="Q2930">
        <v>1</v>
      </c>
      <c r="R2930" t="s">
        <v>5281</v>
      </c>
      <c r="S2930" t="s">
        <v>4558</v>
      </c>
      <c r="T2930" t="s">
        <v>4559</v>
      </c>
      <c r="U2930" t="s">
        <v>5631</v>
      </c>
      <c r="V2930" s="2">
        <v>500</v>
      </c>
      <c r="W2930" t="s">
        <v>4655</v>
      </c>
      <c r="X2930" s="2">
        <v>0</v>
      </c>
      <c r="Y2930">
        <v>20</v>
      </c>
      <c r="Z2930" t="s">
        <v>4561</v>
      </c>
      <c r="AA2930" s="3">
        <v>0.114990815520287</v>
      </c>
      <c r="AB2930" t="s">
        <v>17083</v>
      </c>
      <c r="AC2930" t="s">
        <v>4562</v>
      </c>
      <c r="AD2930" t="s">
        <v>17081</v>
      </c>
      <c r="AE2930" t="s">
        <v>4655</v>
      </c>
      <c r="AF2930" t="s">
        <v>4563</v>
      </c>
      <c r="AG2930" t="s">
        <v>4564</v>
      </c>
      <c r="AH2930" t="s">
        <v>1147</v>
      </c>
      <c r="AI2930" t="s">
        <v>17084</v>
      </c>
      <c r="AJ2930" t="s">
        <v>4655</v>
      </c>
      <c r="AK2930" t="s">
        <v>17085</v>
      </c>
      <c r="AL2930" s="13" t="s">
        <v>2255</v>
      </c>
      <c r="AM2930">
        <v>1</v>
      </c>
      <c r="AN2930" s="15" t="s">
        <v>721</v>
      </c>
    </row>
    <row r="2931" spans="1:40" x14ac:dyDescent="0.3">
      <c r="A2931" s="10" t="str">
        <f>HYPERLINK("http://www.washoecounty.gov/assessor/cama/?parid=039-473-01&amp;CardNumber=1","039-473-01")</f>
        <v>039-473-01</v>
      </c>
      <c r="B2931" t="s">
        <v>4655</v>
      </c>
      <c r="C2931" t="s">
        <v>17086</v>
      </c>
      <c r="D2931" s="1">
        <v>40298</v>
      </c>
      <c r="E2931" s="2">
        <v>160000</v>
      </c>
      <c r="F2931" t="s">
        <v>4553</v>
      </c>
      <c r="G2931" s="17" t="str">
        <f>HYPERLINK("https://www.washoecounty.gov/assessor/cama/?command=sales&amp;parid=03947301","3876619")</f>
        <v>3876619</v>
      </c>
      <c r="H2931" t="s">
        <v>17082</v>
      </c>
      <c r="I2931">
        <v>1989</v>
      </c>
      <c r="J2931">
        <v>1989</v>
      </c>
      <c r="K2931" t="s">
        <v>4554</v>
      </c>
      <c r="L2931" t="s">
        <v>3974</v>
      </c>
      <c r="M2931" s="2">
        <v>1552</v>
      </c>
      <c r="N2931" t="s">
        <v>5280</v>
      </c>
      <c r="O2931">
        <v>3</v>
      </c>
      <c r="P2931">
        <v>2</v>
      </c>
      <c r="Q2931">
        <v>1</v>
      </c>
      <c r="R2931" t="s">
        <v>4557</v>
      </c>
      <c r="S2931" t="s">
        <v>4558</v>
      </c>
      <c r="T2931" t="s">
        <v>4559</v>
      </c>
      <c r="U2931" t="s">
        <v>4560</v>
      </c>
      <c r="V2931" s="2">
        <v>445</v>
      </c>
      <c r="W2931" t="s">
        <v>4655</v>
      </c>
      <c r="X2931" s="2">
        <v>0</v>
      </c>
      <c r="Y2931">
        <v>20</v>
      </c>
      <c r="Z2931" t="s">
        <v>4561</v>
      </c>
      <c r="AA2931" s="3">
        <v>0.18999081850051899</v>
      </c>
      <c r="AB2931" t="s">
        <v>17087</v>
      </c>
      <c r="AC2931" t="s">
        <v>4562</v>
      </c>
      <c r="AD2931" t="s">
        <v>4487</v>
      </c>
      <c r="AE2931" t="s">
        <v>4655</v>
      </c>
      <c r="AF2931" t="s">
        <v>3660</v>
      </c>
      <c r="AG2931" t="s">
        <v>4584</v>
      </c>
      <c r="AH2931" t="s">
        <v>3307</v>
      </c>
      <c r="AI2931" t="s">
        <v>2009</v>
      </c>
      <c r="AJ2931" t="s">
        <v>4655</v>
      </c>
      <c r="AK2931" t="s">
        <v>17088</v>
      </c>
      <c r="AL2931" s="13" t="s">
        <v>2255</v>
      </c>
      <c r="AM2931" s="14">
        <v>1</v>
      </c>
      <c r="AN2931" s="15" t="s">
        <v>721</v>
      </c>
    </row>
    <row r="2932" spans="1:40" x14ac:dyDescent="0.3">
      <c r="A2932" s="10" t="str">
        <f>HYPERLINK("http://www.washoecounty.gov/assessor/cama/?parid=039-502-03&amp;CardNumber=1","039-502-03")</f>
        <v>039-502-03</v>
      </c>
      <c r="B2932" t="s">
        <v>4655</v>
      </c>
      <c r="C2932" t="s">
        <v>17089</v>
      </c>
      <c r="D2932" s="1">
        <v>40479</v>
      </c>
      <c r="E2932" s="2">
        <v>167200</v>
      </c>
      <c r="F2932" t="s">
        <v>4553</v>
      </c>
      <c r="G2932" s="17" t="str">
        <f>HYPERLINK("https://www.washoecounty.gov/assessor/cama/?command=sales&amp;parid=03950203","3937433")</f>
        <v>3937433</v>
      </c>
      <c r="H2932" t="s">
        <v>17090</v>
      </c>
      <c r="I2932">
        <v>1989</v>
      </c>
      <c r="J2932">
        <v>1989</v>
      </c>
      <c r="K2932" t="s">
        <v>4554</v>
      </c>
      <c r="L2932" t="s">
        <v>4555</v>
      </c>
      <c r="M2932" s="2">
        <v>1896</v>
      </c>
      <c r="N2932" t="s">
        <v>5280</v>
      </c>
      <c r="O2932">
        <v>4</v>
      </c>
      <c r="P2932">
        <v>2</v>
      </c>
      <c r="Q2932">
        <v>1</v>
      </c>
      <c r="R2932" t="s">
        <v>4557</v>
      </c>
      <c r="S2932" t="s">
        <v>4558</v>
      </c>
      <c r="T2932" t="s">
        <v>4559</v>
      </c>
      <c r="U2932" t="s">
        <v>4560</v>
      </c>
      <c r="V2932" s="2">
        <v>600</v>
      </c>
      <c r="W2932" t="s">
        <v>4655</v>
      </c>
      <c r="X2932" s="2">
        <v>0</v>
      </c>
      <c r="Y2932">
        <v>20</v>
      </c>
      <c r="Z2932" t="s">
        <v>4561</v>
      </c>
      <c r="AA2932" s="3">
        <v>0.28000459074974099</v>
      </c>
      <c r="AB2932" t="s">
        <v>17091</v>
      </c>
      <c r="AC2932" t="s">
        <v>4562</v>
      </c>
      <c r="AD2932" t="s">
        <v>17092</v>
      </c>
      <c r="AE2932" t="s">
        <v>4655</v>
      </c>
      <c r="AF2932" t="s">
        <v>4563</v>
      </c>
      <c r="AG2932" t="s">
        <v>4564</v>
      </c>
      <c r="AH2932" t="s">
        <v>1147</v>
      </c>
      <c r="AI2932" t="s">
        <v>4045</v>
      </c>
      <c r="AJ2932" t="s">
        <v>4655</v>
      </c>
      <c r="AK2932" t="s">
        <v>17093</v>
      </c>
      <c r="AL2932" s="13" t="s">
        <v>2255</v>
      </c>
      <c r="AM2932" s="14">
        <v>1</v>
      </c>
      <c r="AN2932" s="15" t="s">
        <v>2115</v>
      </c>
    </row>
    <row r="2933" spans="1:40" x14ac:dyDescent="0.3">
      <c r="A2933" s="10" t="str">
        <f>HYPERLINK("http://www.washoecounty.gov/assessor/cama/?parid=039-502-06&amp;CardNumber=1","039-502-06")</f>
        <v>039-502-06</v>
      </c>
      <c r="B2933" t="s">
        <v>4655</v>
      </c>
      <c r="C2933" t="s">
        <v>17094</v>
      </c>
      <c r="D2933" s="1">
        <v>40458</v>
      </c>
      <c r="E2933" s="2">
        <v>250000</v>
      </c>
      <c r="F2933" t="s">
        <v>4553</v>
      </c>
      <c r="G2933" s="17" t="str">
        <f>HYPERLINK("https://www.washoecounty.gov/assessor/cama/?command=sales&amp;parid=03950206","3930783")</f>
        <v>3930783</v>
      </c>
      <c r="H2933" t="s">
        <v>17095</v>
      </c>
      <c r="I2933">
        <v>1989</v>
      </c>
      <c r="J2933">
        <v>1989</v>
      </c>
      <c r="K2933" t="s">
        <v>4554</v>
      </c>
      <c r="L2933" t="s">
        <v>3974</v>
      </c>
      <c r="M2933" s="2">
        <v>2561</v>
      </c>
      <c r="N2933" t="s">
        <v>5280</v>
      </c>
      <c r="O2933">
        <v>4</v>
      </c>
      <c r="P2933">
        <v>3</v>
      </c>
      <c r="Q2933">
        <v>0</v>
      </c>
      <c r="R2933" t="s">
        <v>5281</v>
      </c>
      <c r="S2933" t="s">
        <v>4558</v>
      </c>
      <c r="T2933" t="s">
        <v>4559</v>
      </c>
      <c r="U2933" t="s">
        <v>4560</v>
      </c>
      <c r="V2933" s="2">
        <v>667</v>
      </c>
      <c r="W2933" t="s">
        <v>4655</v>
      </c>
      <c r="X2933" s="2">
        <v>0</v>
      </c>
      <c r="Y2933">
        <v>20</v>
      </c>
      <c r="Z2933" t="s">
        <v>4561</v>
      </c>
      <c r="AA2933" s="3">
        <v>0.63000458478927601</v>
      </c>
      <c r="AB2933" t="s">
        <v>17096</v>
      </c>
      <c r="AC2933" t="s">
        <v>4575</v>
      </c>
      <c r="AD2933" t="s">
        <v>17097</v>
      </c>
      <c r="AE2933" t="s">
        <v>17098</v>
      </c>
      <c r="AF2933" t="s">
        <v>4563</v>
      </c>
      <c r="AG2933" t="s">
        <v>4564</v>
      </c>
      <c r="AH2933">
        <v>89503</v>
      </c>
      <c r="AI2933" t="s">
        <v>4565</v>
      </c>
      <c r="AJ2933" t="s">
        <v>4655</v>
      </c>
      <c r="AK2933" t="s">
        <v>17099</v>
      </c>
      <c r="AL2933" s="13" t="s">
        <v>2255</v>
      </c>
      <c r="AM2933" s="14">
        <v>1</v>
      </c>
      <c r="AN2933" s="15" t="s">
        <v>2115</v>
      </c>
    </row>
    <row r="2934" spans="1:40" x14ac:dyDescent="0.3">
      <c r="A2934" s="10" t="str">
        <f>HYPERLINK("http://www.washoecounty.gov/assessor/cama/?parid=039-511-02&amp;CardNumber=1","039-511-02")</f>
        <v>039-511-02</v>
      </c>
      <c r="B2934" t="s">
        <v>4655</v>
      </c>
      <c r="C2934" t="s">
        <v>17100</v>
      </c>
      <c r="D2934" s="1">
        <v>40197</v>
      </c>
      <c r="E2934" s="2">
        <v>170000</v>
      </c>
      <c r="F2934" t="s">
        <v>4567</v>
      </c>
      <c r="G2934" s="17" t="str">
        <f>HYPERLINK("https://www.washoecounty.gov/assessor/cama/?command=sales&amp;parid=03951102","3840755")</f>
        <v>3840755</v>
      </c>
      <c r="H2934" t="s">
        <v>17101</v>
      </c>
      <c r="I2934">
        <v>1990</v>
      </c>
      <c r="J2934">
        <v>1990</v>
      </c>
      <c r="K2934" t="s">
        <v>4554</v>
      </c>
      <c r="L2934" t="s">
        <v>3974</v>
      </c>
      <c r="M2934" s="2">
        <v>1384</v>
      </c>
      <c r="N2934" t="s">
        <v>5280</v>
      </c>
      <c r="O2934">
        <v>3</v>
      </c>
      <c r="P2934">
        <v>2</v>
      </c>
      <c r="Q2934">
        <v>1</v>
      </c>
      <c r="R2934" t="s">
        <v>4557</v>
      </c>
      <c r="S2934" t="s">
        <v>4558</v>
      </c>
      <c r="T2934" t="s">
        <v>4559</v>
      </c>
      <c r="U2934" t="s">
        <v>5631</v>
      </c>
      <c r="V2934" s="2">
        <v>500</v>
      </c>
      <c r="W2934" t="s">
        <v>4655</v>
      </c>
      <c r="X2934" s="2">
        <v>0</v>
      </c>
      <c r="Y2934">
        <v>20</v>
      </c>
      <c r="Z2934" t="s">
        <v>4561</v>
      </c>
      <c r="AA2934" s="3">
        <v>0.13000458478927601</v>
      </c>
      <c r="AB2934" t="s">
        <v>17102</v>
      </c>
      <c r="AC2934" t="s">
        <v>4562</v>
      </c>
      <c r="AD2934" t="s">
        <v>17100</v>
      </c>
      <c r="AE2934" t="s">
        <v>4655</v>
      </c>
      <c r="AF2934" t="s">
        <v>4563</v>
      </c>
      <c r="AG2934" t="s">
        <v>4564</v>
      </c>
      <c r="AH2934" t="s">
        <v>1147</v>
      </c>
      <c r="AI2934" t="s">
        <v>17103</v>
      </c>
      <c r="AJ2934" t="s">
        <v>4655</v>
      </c>
      <c r="AK2934" t="s">
        <v>17104</v>
      </c>
      <c r="AL2934" s="13" t="s">
        <v>2255</v>
      </c>
      <c r="AM2934">
        <v>1</v>
      </c>
      <c r="AN2934" s="15" t="s">
        <v>721</v>
      </c>
    </row>
    <row r="2935" spans="1:40" x14ac:dyDescent="0.3">
      <c r="A2935" s="10" t="str">
        <f>HYPERLINK("http://www.washoecounty.gov/assessor/cama/?parid=039-561-05&amp;CardNumber=1","039-561-05")</f>
        <v>039-561-05</v>
      </c>
      <c r="B2935" t="s">
        <v>4655</v>
      </c>
      <c r="C2935" t="s">
        <v>17105</v>
      </c>
      <c r="D2935" s="1">
        <v>40270</v>
      </c>
      <c r="E2935" s="2">
        <v>160000</v>
      </c>
      <c r="F2935" t="s">
        <v>4567</v>
      </c>
      <c r="G2935" s="17" t="str">
        <f>HYPERLINK("https://www.washoecounty.gov/assessor/cama/?command=sales&amp;parid=03956105","3867367")</f>
        <v>3867367</v>
      </c>
      <c r="H2935" t="s">
        <v>17106</v>
      </c>
      <c r="I2935">
        <v>1989</v>
      </c>
      <c r="J2935">
        <v>1989</v>
      </c>
      <c r="K2935" t="s">
        <v>4554</v>
      </c>
      <c r="L2935" t="s">
        <v>4555</v>
      </c>
      <c r="M2935" s="2">
        <v>1292</v>
      </c>
      <c r="N2935" t="s">
        <v>5280</v>
      </c>
      <c r="O2935">
        <v>3</v>
      </c>
      <c r="P2935">
        <v>2</v>
      </c>
      <c r="Q2935">
        <v>0</v>
      </c>
      <c r="R2935" t="s">
        <v>4557</v>
      </c>
      <c r="S2935" t="s">
        <v>4558</v>
      </c>
      <c r="T2935" t="s">
        <v>4559</v>
      </c>
      <c r="U2935" t="s">
        <v>4560</v>
      </c>
      <c r="V2935" s="2">
        <v>419</v>
      </c>
      <c r="W2935" t="s">
        <v>4655</v>
      </c>
      <c r="X2935" s="2">
        <v>0</v>
      </c>
      <c r="Y2935">
        <v>20</v>
      </c>
      <c r="Z2935" t="s">
        <v>4561</v>
      </c>
      <c r="AA2935" s="3">
        <v>0.14299815893173218</v>
      </c>
      <c r="AB2935" t="s">
        <v>17107</v>
      </c>
      <c r="AC2935" t="s">
        <v>4562</v>
      </c>
      <c r="AD2935" t="s">
        <v>17105</v>
      </c>
      <c r="AE2935" t="s">
        <v>4655</v>
      </c>
      <c r="AF2935" t="s">
        <v>4563</v>
      </c>
      <c r="AG2935" t="s">
        <v>4564</v>
      </c>
      <c r="AH2935" t="s">
        <v>1147</v>
      </c>
      <c r="AI2935" t="s">
        <v>17108</v>
      </c>
      <c r="AJ2935" t="s">
        <v>4655</v>
      </c>
      <c r="AK2935" t="s">
        <v>17109</v>
      </c>
      <c r="AL2935" s="13" t="s">
        <v>2255</v>
      </c>
      <c r="AM2935" s="14">
        <v>1</v>
      </c>
      <c r="AN2935" s="15" t="s">
        <v>2115</v>
      </c>
    </row>
    <row r="2936" spans="1:40" x14ac:dyDescent="0.3">
      <c r="A2936" s="10" t="str">
        <f>HYPERLINK("http://www.washoecounty.gov/assessor/cama/?parid=039-582-03&amp;CardNumber=1","039-582-03")</f>
        <v>039-582-03</v>
      </c>
      <c r="B2936" t="s">
        <v>4655</v>
      </c>
      <c r="C2936" t="s">
        <v>17110</v>
      </c>
      <c r="D2936" s="1">
        <v>40473</v>
      </c>
      <c r="E2936" s="2">
        <v>239900</v>
      </c>
      <c r="F2936" t="s">
        <v>4553</v>
      </c>
      <c r="G2936" s="17" t="str">
        <f>HYPERLINK("https://www.washoecounty.gov/assessor/cama/?command=sales&amp;parid=03958203","3935716")</f>
        <v>3935716</v>
      </c>
      <c r="H2936" t="s">
        <v>473</v>
      </c>
      <c r="I2936">
        <v>1991</v>
      </c>
      <c r="J2936">
        <v>1991</v>
      </c>
      <c r="K2936" t="s">
        <v>4554</v>
      </c>
      <c r="L2936" t="s">
        <v>3974</v>
      </c>
      <c r="M2936" s="2">
        <v>2516</v>
      </c>
      <c r="N2936" t="s">
        <v>5280</v>
      </c>
      <c r="O2936">
        <v>4</v>
      </c>
      <c r="P2936">
        <v>3</v>
      </c>
      <c r="Q2936">
        <v>0</v>
      </c>
      <c r="R2936" t="s">
        <v>4557</v>
      </c>
      <c r="S2936" t="s">
        <v>4558</v>
      </c>
      <c r="T2936" t="s">
        <v>4559</v>
      </c>
      <c r="U2936" t="s">
        <v>4560</v>
      </c>
      <c r="V2936" s="2">
        <v>668</v>
      </c>
      <c r="W2936" t="s">
        <v>4655</v>
      </c>
      <c r="X2936" s="2">
        <v>0</v>
      </c>
      <c r="Y2936">
        <v>20</v>
      </c>
      <c r="Z2936" t="s">
        <v>4561</v>
      </c>
      <c r="AA2936" s="3">
        <v>0.25798898935317993</v>
      </c>
      <c r="AB2936" t="s">
        <v>17111</v>
      </c>
      <c r="AC2936" t="s">
        <v>4562</v>
      </c>
      <c r="AD2936" t="s">
        <v>17110</v>
      </c>
      <c r="AE2936" t="s">
        <v>4655</v>
      </c>
      <c r="AF2936" t="s">
        <v>4563</v>
      </c>
      <c r="AG2936" t="s">
        <v>4564</v>
      </c>
      <c r="AH2936" t="s">
        <v>1147</v>
      </c>
      <c r="AI2936" t="s">
        <v>4903</v>
      </c>
      <c r="AJ2936" t="s">
        <v>4655</v>
      </c>
      <c r="AK2936" t="s">
        <v>17112</v>
      </c>
      <c r="AL2936" s="13" t="s">
        <v>2255</v>
      </c>
      <c r="AM2936" s="14">
        <v>1</v>
      </c>
      <c r="AN2936" s="15" t="s">
        <v>2115</v>
      </c>
    </row>
    <row r="2937" spans="1:40" x14ac:dyDescent="0.3">
      <c r="A2937" s="10" t="str">
        <f>HYPERLINK("http://www.washoecounty.gov/assessor/cama/?parid=039-582-08&amp;CardNumber=1","039-582-08")</f>
        <v>039-582-08</v>
      </c>
      <c r="B2937" t="s">
        <v>4655</v>
      </c>
      <c r="C2937" t="s">
        <v>17113</v>
      </c>
      <c r="D2937" s="1">
        <v>40535</v>
      </c>
      <c r="E2937" s="2">
        <v>200000</v>
      </c>
      <c r="F2937" t="s">
        <v>4567</v>
      </c>
      <c r="G2937" s="17" t="str">
        <f>HYPERLINK("https://www.washoecounty.gov/assessor/cama/?command=sales&amp;parid=03958208","3956913")</f>
        <v>3956913</v>
      </c>
      <c r="H2937" t="s">
        <v>473</v>
      </c>
      <c r="I2937">
        <v>1991</v>
      </c>
      <c r="J2937">
        <v>1991</v>
      </c>
      <c r="K2937" t="s">
        <v>4554</v>
      </c>
      <c r="L2937" t="s">
        <v>3974</v>
      </c>
      <c r="M2937" s="2">
        <v>2529</v>
      </c>
      <c r="N2937" t="s">
        <v>5280</v>
      </c>
      <c r="O2937">
        <v>4</v>
      </c>
      <c r="P2937">
        <v>3</v>
      </c>
      <c r="Q2937">
        <v>0</v>
      </c>
      <c r="R2937" t="s">
        <v>4557</v>
      </c>
      <c r="S2937" t="s">
        <v>4558</v>
      </c>
      <c r="T2937" t="s">
        <v>4559</v>
      </c>
      <c r="U2937" t="s">
        <v>4560</v>
      </c>
      <c r="V2937" s="2">
        <v>667</v>
      </c>
      <c r="W2937" t="s">
        <v>4655</v>
      </c>
      <c r="X2937" s="2">
        <v>0</v>
      </c>
      <c r="Y2937">
        <v>20</v>
      </c>
      <c r="Z2937" t="s">
        <v>4561</v>
      </c>
      <c r="AA2937" s="3">
        <v>0.20000000298023199</v>
      </c>
      <c r="AB2937" t="s">
        <v>17114</v>
      </c>
      <c r="AC2937" t="s">
        <v>4562</v>
      </c>
      <c r="AD2937" t="s">
        <v>17115</v>
      </c>
      <c r="AE2937" t="s">
        <v>4655</v>
      </c>
      <c r="AF2937" t="s">
        <v>4563</v>
      </c>
      <c r="AG2937" t="s">
        <v>4564</v>
      </c>
      <c r="AH2937" t="s">
        <v>1147</v>
      </c>
      <c r="AI2937" t="s">
        <v>17000</v>
      </c>
      <c r="AJ2937" t="s">
        <v>4655</v>
      </c>
      <c r="AK2937" t="s">
        <v>17116</v>
      </c>
      <c r="AL2937" s="13" t="s">
        <v>2255</v>
      </c>
      <c r="AM2937">
        <v>1</v>
      </c>
      <c r="AN2937" s="15" t="s">
        <v>2115</v>
      </c>
    </row>
    <row r="2938" spans="1:40" x14ac:dyDescent="0.3">
      <c r="A2938" s="10" t="str">
        <f>HYPERLINK("http://www.washoecounty.gov/assessor/cama/?parid=039-582-14&amp;CardNumber=1","039-582-14")</f>
        <v>039-582-14</v>
      </c>
      <c r="B2938" t="s">
        <v>4655</v>
      </c>
      <c r="C2938" t="s">
        <v>17117</v>
      </c>
      <c r="D2938" s="1">
        <v>40415</v>
      </c>
      <c r="E2938" s="2">
        <v>125000</v>
      </c>
      <c r="F2938" t="s">
        <v>4567</v>
      </c>
      <c r="G2938" s="17" t="str">
        <f>HYPERLINK("https://www.washoecounty.gov/assessor/cama/?command=sales&amp;parid=03958214","3915443")</f>
        <v>3915443</v>
      </c>
      <c r="H2938" t="s">
        <v>17118</v>
      </c>
      <c r="I2938">
        <v>1990</v>
      </c>
      <c r="J2938">
        <v>1990</v>
      </c>
      <c r="K2938" t="s">
        <v>4554</v>
      </c>
      <c r="L2938" t="s">
        <v>4555</v>
      </c>
      <c r="M2938" s="2">
        <v>1078</v>
      </c>
      <c r="N2938" t="s">
        <v>5280</v>
      </c>
      <c r="O2938">
        <v>2</v>
      </c>
      <c r="P2938">
        <v>2</v>
      </c>
      <c r="Q2938">
        <v>0</v>
      </c>
      <c r="R2938" t="s">
        <v>5281</v>
      </c>
      <c r="S2938" t="s">
        <v>4558</v>
      </c>
      <c r="T2938" t="s">
        <v>4559</v>
      </c>
      <c r="U2938" t="s">
        <v>4655</v>
      </c>
      <c r="V2938" s="2">
        <v>0</v>
      </c>
      <c r="W2938" t="s">
        <v>4655</v>
      </c>
      <c r="X2938" s="2">
        <v>0</v>
      </c>
      <c r="Y2938">
        <v>20</v>
      </c>
      <c r="Z2938" t="s">
        <v>4561</v>
      </c>
      <c r="AA2938" s="3">
        <v>0.160009175539017</v>
      </c>
      <c r="AB2938" t="s">
        <v>17119</v>
      </c>
      <c r="AC2938" t="s">
        <v>4562</v>
      </c>
      <c r="AD2938" t="s">
        <v>17120</v>
      </c>
      <c r="AE2938" t="s">
        <v>4655</v>
      </c>
      <c r="AF2938" t="s">
        <v>4563</v>
      </c>
      <c r="AG2938" t="s">
        <v>4564</v>
      </c>
      <c r="AH2938" t="s">
        <v>1147</v>
      </c>
      <c r="AI2938" t="s">
        <v>17121</v>
      </c>
      <c r="AJ2938" t="s">
        <v>17122</v>
      </c>
      <c r="AK2938" t="s">
        <v>17123</v>
      </c>
      <c r="AL2938" s="13" t="s">
        <v>2255</v>
      </c>
      <c r="AM2938">
        <v>1</v>
      </c>
      <c r="AN2938" s="15" t="s">
        <v>2115</v>
      </c>
    </row>
    <row r="2939" spans="1:40" x14ac:dyDescent="0.3">
      <c r="A2939" s="10" t="str">
        <f>HYPERLINK("http://www.washoecounty.gov/assessor/cama/?parid=039-583-08&amp;CardNumber=1","039-583-08")</f>
        <v>039-583-08</v>
      </c>
      <c r="B2939" t="s">
        <v>4655</v>
      </c>
      <c r="C2939" s="20" t="s">
        <v>283</v>
      </c>
      <c r="D2939" s="1">
        <v>40382</v>
      </c>
      <c r="E2939" s="2">
        <v>207500</v>
      </c>
      <c r="F2939" t="s">
        <v>4567</v>
      </c>
      <c r="G2939" s="20" t="s">
        <v>282</v>
      </c>
      <c r="H2939" t="s">
        <v>473</v>
      </c>
      <c r="I2939">
        <v>1990</v>
      </c>
      <c r="J2939">
        <v>1990</v>
      </c>
      <c r="K2939" t="s">
        <v>4554</v>
      </c>
      <c r="L2939" t="s">
        <v>3974</v>
      </c>
      <c r="M2939" s="2">
        <v>2272</v>
      </c>
      <c r="N2939" t="s">
        <v>5280</v>
      </c>
      <c r="O2939">
        <v>4</v>
      </c>
      <c r="P2939">
        <v>3</v>
      </c>
      <c r="Q2939">
        <v>0</v>
      </c>
      <c r="R2939" t="s">
        <v>5281</v>
      </c>
      <c r="S2939" t="s">
        <v>4558</v>
      </c>
      <c r="T2939" t="s">
        <v>4559</v>
      </c>
      <c r="U2939" t="s">
        <v>4560</v>
      </c>
      <c r="V2939" s="2">
        <v>464</v>
      </c>
      <c r="W2939" t="s">
        <v>4655</v>
      </c>
      <c r="X2939" s="2">
        <v>0</v>
      </c>
      <c r="Y2939">
        <v>20</v>
      </c>
      <c r="Z2939" t="s">
        <v>4561</v>
      </c>
      <c r="AA2939" s="3">
        <v>0.169995412230492</v>
      </c>
      <c r="AB2939" s="20" t="s">
        <v>8865</v>
      </c>
      <c r="AD2939" t="s">
        <v>283</v>
      </c>
      <c r="AE2939" t="s">
        <v>283</v>
      </c>
      <c r="AF2939" t="s">
        <v>283</v>
      </c>
      <c r="AG2939" t="s">
        <v>4564</v>
      </c>
      <c r="AH2939" t="s">
        <v>3101</v>
      </c>
      <c r="AI2939" t="s">
        <v>8865</v>
      </c>
      <c r="AJ2939" t="s">
        <v>4655</v>
      </c>
      <c r="AK2939" t="s">
        <v>17124</v>
      </c>
      <c r="AL2939" s="13" t="s">
        <v>2255</v>
      </c>
      <c r="AM2939">
        <v>1</v>
      </c>
      <c r="AN2939" s="15" t="s">
        <v>2115</v>
      </c>
    </row>
    <row r="2940" spans="1:40" x14ac:dyDescent="0.3">
      <c r="A2940" s="10" t="str">
        <f>HYPERLINK("http://www.washoecounty.gov/assessor/cama/?parid=039-594-03&amp;CardNumber=1","039-594-03")</f>
        <v>039-594-03</v>
      </c>
      <c r="B2940" t="s">
        <v>4655</v>
      </c>
      <c r="C2940" t="s">
        <v>17125</v>
      </c>
      <c r="D2940" s="1">
        <v>40347</v>
      </c>
      <c r="E2940" s="2">
        <v>240000</v>
      </c>
      <c r="F2940" t="s">
        <v>4567</v>
      </c>
      <c r="G2940" s="17" t="str">
        <f>HYPERLINK("https://www.washoecounty.gov/assessor/cama/?command=sales&amp;parid=03959403","3893553")</f>
        <v>3893553</v>
      </c>
      <c r="H2940" t="s">
        <v>57</v>
      </c>
      <c r="I2940">
        <v>1990</v>
      </c>
      <c r="J2940">
        <v>1990</v>
      </c>
      <c r="K2940" t="s">
        <v>4554</v>
      </c>
      <c r="L2940" t="s">
        <v>3974</v>
      </c>
      <c r="M2940" s="2">
        <v>2549</v>
      </c>
      <c r="N2940" t="s">
        <v>5280</v>
      </c>
      <c r="O2940">
        <v>3</v>
      </c>
      <c r="P2940">
        <v>2</v>
      </c>
      <c r="Q2940">
        <v>1</v>
      </c>
      <c r="R2940" t="s">
        <v>4557</v>
      </c>
      <c r="S2940" t="s">
        <v>4558</v>
      </c>
      <c r="T2940" t="s">
        <v>4559</v>
      </c>
      <c r="U2940" t="s">
        <v>4560</v>
      </c>
      <c r="V2940" s="2">
        <v>667</v>
      </c>
      <c r="W2940" t="s">
        <v>4655</v>
      </c>
      <c r="X2940" s="2">
        <v>0</v>
      </c>
      <c r="Y2940">
        <v>20</v>
      </c>
      <c r="Z2940" t="s">
        <v>4561</v>
      </c>
      <c r="AA2940" s="3">
        <v>0.47601011395454401</v>
      </c>
      <c r="AB2940" t="s">
        <v>17126</v>
      </c>
      <c r="AC2940" t="s">
        <v>4562</v>
      </c>
      <c r="AD2940" t="s">
        <v>17125</v>
      </c>
      <c r="AE2940" t="s">
        <v>4655</v>
      </c>
      <c r="AF2940" t="s">
        <v>4563</v>
      </c>
      <c r="AG2940" t="s">
        <v>4564</v>
      </c>
      <c r="AH2940" t="s">
        <v>1147</v>
      </c>
      <c r="AI2940" t="s">
        <v>17127</v>
      </c>
      <c r="AJ2940" t="s">
        <v>4655</v>
      </c>
      <c r="AK2940" t="s">
        <v>17128</v>
      </c>
      <c r="AL2940" s="13" t="s">
        <v>2255</v>
      </c>
      <c r="AM2940" s="14">
        <v>1</v>
      </c>
      <c r="AN2940" s="15" t="s">
        <v>2115</v>
      </c>
    </row>
    <row r="2941" spans="1:40" x14ac:dyDescent="0.3">
      <c r="A2941" s="10" t="str">
        <f>HYPERLINK("http://www.washoecounty.gov/assessor/cama/?parid=039-623-11&amp;CardNumber=1","039-623-11")</f>
        <v>039-623-11</v>
      </c>
      <c r="B2941" t="s">
        <v>4655</v>
      </c>
      <c r="C2941" t="s">
        <v>17129</v>
      </c>
      <c r="D2941" s="1">
        <v>40217</v>
      </c>
      <c r="E2941" s="2">
        <v>141000</v>
      </c>
      <c r="F2941" t="s">
        <v>4567</v>
      </c>
      <c r="G2941" s="17" t="str">
        <f>HYPERLINK("https://www.washoecounty.gov/assessor/cama/?command=sales&amp;parid=03962311","3846783")</f>
        <v>3846783</v>
      </c>
      <c r="H2941" t="s">
        <v>499</v>
      </c>
      <c r="I2941">
        <v>1990</v>
      </c>
      <c r="J2941">
        <v>1990</v>
      </c>
      <c r="K2941" t="s">
        <v>4554</v>
      </c>
      <c r="L2941" t="s">
        <v>4555</v>
      </c>
      <c r="M2941" s="2">
        <v>1202</v>
      </c>
      <c r="N2941" t="s">
        <v>5280</v>
      </c>
      <c r="O2941">
        <v>3</v>
      </c>
      <c r="P2941">
        <v>2</v>
      </c>
      <c r="Q2941">
        <v>0</v>
      </c>
      <c r="R2941" t="s">
        <v>4557</v>
      </c>
      <c r="S2941" t="s">
        <v>4558</v>
      </c>
      <c r="T2941" t="s">
        <v>4559</v>
      </c>
      <c r="U2941" t="s">
        <v>4560</v>
      </c>
      <c r="V2941" s="2">
        <v>432</v>
      </c>
      <c r="W2941" t="s">
        <v>4655</v>
      </c>
      <c r="X2941" s="2">
        <v>0</v>
      </c>
      <c r="Y2941">
        <v>20</v>
      </c>
      <c r="Z2941" t="s">
        <v>4561</v>
      </c>
      <c r="AA2941" s="3">
        <v>0.151010096073151</v>
      </c>
      <c r="AB2941" t="s">
        <v>17130</v>
      </c>
      <c r="AC2941" t="s">
        <v>4562</v>
      </c>
      <c r="AD2941" t="s">
        <v>17131</v>
      </c>
      <c r="AE2941" t="s">
        <v>4655</v>
      </c>
      <c r="AF2941" t="s">
        <v>4563</v>
      </c>
      <c r="AG2941" t="s">
        <v>4564</v>
      </c>
      <c r="AH2941" t="s">
        <v>1147</v>
      </c>
      <c r="AI2941" t="s">
        <v>17132</v>
      </c>
      <c r="AJ2941" t="s">
        <v>4655</v>
      </c>
      <c r="AK2941" t="s">
        <v>17133</v>
      </c>
      <c r="AL2941" s="13" t="s">
        <v>2255</v>
      </c>
      <c r="AM2941" s="14">
        <v>1</v>
      </c>
      <c r="AN2941" s="15" t="s">
        <v>721</v>
      </c>
    </row>
    <row r="2942" spans="1:40" x14ac:dyDescent="0.3">
      <c r="A2942" s="10" t="str">
        <f>HYPERLINK("http://www.washoecounty.gov/assessor/cama/?parid=039-623-11&amp;CardNumber=1","039-623-11")</f>
        <v>039-623-11</v>
      </c>
      <c r="B2942" t="s">
        <v>4655</v>
      </c>
      <c r="C2942" t="s">
        <v>17129</v>
      </c>
      <c r="D2942" s="1">
        <v>40252</v>
      </c>
      <c r="E2942" s="2">
        <v>147000</v>
      </c>
      <c r="F2942" t="s">
        <v>4567</v>
      </c>
      <c r="G2942" s="17" t="str">
        <f>HYPERLINK("https://www.washoecounty.gov/assessor/cama/?command=sales&amp;parid=03962311","3859623")</f>
        <v>3859623</v>
      </c>
      <c r="H2942" t="s">
        <v>499</v>
      </c>
      <c r="I2942">
        <v>1990</v>
      </c>
      <c r="J2942">
        <v>1990</v>
      </c>
      <c r="K2942" t="s">
        <v>4554</v>
      </c>
      <c r="L2942" t="s">
        <v>4555</v>
      </c>
      <c r="M2942" s="2">
        <v>1202</v>
      </c>
      <c r="N2942" t="s">
        <v>5280</v>
      </c>
      <c r="O2942">
        <v>3</v>
      </c>
      <c r="P2942">
        <v>2</v>
      </c>
      <c r="Q2942">
        <v>0</v>
      </c>
      <c r="R2942" t="s">
        <v>4557</v>
      </c>
      <c r="S2942" t="s">
        <v>4558</v>
      </c>
      <c r="T2942" t="s">
        <v>4559</v>
      </c>
      <c r="U2942" t="s">
        <v>4560</v>
      </c>
      <c r="V2942" s="2">
        <v>432</v>
      </c>
      <c r="W2942" t="s">
        <v>4655</v>
      </c>
      <c r="X2942" s="2">
        <v>0</v>
      </c>
      <c r="Y2942">
        <v>20</v>
      </c>
      <c r="Z2942" t="s">
        <v>4561</v>
      </c>
      <c r="AA2942" s="3">
        <v>0.151010096073151</v>
      </c>
      <c r="AB2942" t="s">
        <v>17130</v>
      </c>
      <c r="AC2942" t="s">
        <v>4562</v>
      </c>
      <c r="AD2942" t="s">
        <v>17131</v>
      </c>
      <c r="AE2942" t="s">
        <v>4655</v>
      </c>
      <c r="AF2942" t="s">
        <v>4563</v>
      </c>
      <c r="AG2942" t="s">
        <v>4564</v>
      </c>
      <c r="AH2942" t="s">
        <v>1147</v>
      </c>
      <c r="AI2942" t="s">
        <v>17132</v>
      </c>
      <c r="AJ2942" t="s">
        <v>4655</v>
      </c>
      <c r="AK2942" t="s">
        <v>17133</v>
      </c>
      <c r="AL2942" s="13" t="s">
        <v>2255</v>
      </c>
      <c r="AM2942">
        <v>1</v>
      </c>
      <c r="AN2942" s="15" t="s">
        <v>721</v>
      </c>
    </row>
    <row r="2943" spans="1:40" x14ac:dyDescent="0.3">
      <c r="A2943" s="10" t="str">
        <f>HYPERLINK("http://www.washoecounty.gov/assessor/cama/?parid=039-623-28&amp;CardNumber=1","039-623-28")</f>
        <v>039-623-28</v>
      </c>
      <c r="B2943" t="s">
        <v>4655</v>
      </c>
      <c r="C2943" t="s">
        <v>17134</v>
      </c>
      <c r="D2943" s="1">
        <v>40359</v>
      </c>
      <c r="E2943" s="2">
        <v>165200</v>
      </c>
      <c r="F2943" t="s">
        <v>4553</v>
      </c>
      <c r="G2943" s="17" t="str">
        <f>HYPERLINK("https://www.washoecounty.gov/assessor/cama/?command=sales&amp;parid=03962328","3897057")</f>
        <v>3897057</v>
      </c>
      <c r="H2943" t="s">
        <v>499</v>
      </c>
      <c r="I2943">
        <v>1990</v>
      </c>
      <c r="J2943">
        <v>1990</v>
      </c>
      <c r="K2943" t="s">
        <v>4554</v>
      </c>
      <c r="L2943" t="s">
        <v>4555</v>
      </c>
      <c r="M2943" s="2">
        <v>1202</v>
      </c>
      <c r="N2943" t="s">
        <v>5280</v>
      </c>
      <c r="O2943">
        <v>3</v>
      </c>
      <c r="P2943">
        <v>2</v>
      </c>
      <c r="Q2943">
        <v>0</v>
      </c>
      <c r="R2943" t="s">
        <v>4557</v>
      </c>
      <c r="S2943" t="s">
        <v>4558</v>
      </c>
      <c r="T2943" t="s">
        <v>4559</v>
      </c>
      <c r="U2943" t="s">
        <v>4560</v>
      </c>
      <c r="V2943" s="2">
        <v>432</v>
      </c>
      <c r="W2943" t="s">
        <v>4655</v>
      </c>
      <c r="X2943" s="2">
        <v>0</v>
      </c>
      <c r="Y2943">
        <v>20</v>
      </c>
      <c r="Z2943" t="s">
        <v>4561</v>
      </c>
      <c r="AA2943" s="3">
        <v>0.135009184479713</v>
      </c>
      <c r="AB2943" t="s">
        <v>17135</v>
      </c>
      <c r="AC2943" t="s">
        <v>4575</v>
      </c>
      <c r="AD2943" t="s">
        <v>17136</v>
      </c>
      <c r="AE2943" t="s">
        <v>4655</v>
      </c>
      <c r="AF2943" t="s">
        <v>4563</v>
      </c>
      <c r="AG2943" t="s">
        <v>4564</v>
      </c>
      <c r="AH2943" t="s">
        <v>1147</v>
      </c>
      <c r="AI2943" t="s">
        <v>17137</v>
      </c>
      <c r="AJ2943" t="s">
        <v>4655</v>
      </c>
      <c r="AK2943" t="s">
        <v>17138</v>
      </c>
      <c r="AL2943" s="13" t="s">
        <v>2255</v>
      </c>
      <c r="AM2943">
        <v>1</v>
      </c>
      <c r="AN2943" s="15" t="s">
        <v>721</v>
      </c>
    </row>
    <row r="2944" spans="1:40" x14ac:dyDescent="0.3">
      <c r="A2944" s="10" t="str">
        <f>HYPERLINK("http://www.washoecounty.gov/assessor/cama/?parid=039-625-01&amp;CardNumber=1","039-625-01")</f>
        <v>039-625-01</v>
      </c>
      <c r="B2944" t="s">
        <v>4655</v>
      </c>
      <c r="C2944" t="s">
        <v>17139</v>
      </c>
      <c r="D2944" s="1">
        <v>40463</v>
      </c>
      <c r="E2944" s="2">
        <v>140000</v>
      </c>
      <c r="F2944" t="s">
        <v>4567</v>
      </c>
      <c r="G2944" s="17" t="str">
        <f>HYPERLINK("https://www.washoecounty.gov/assessor/cama/?command=sales&amp;parid=03962501","3931797")</f>
        <v>3931797</v>
      </c>
      <c r="H2944" t="s">
        <v>499</v>
      </c>
      <c r="I2944">
        <v>1991</v>
      </c>
      <c r="J2944">
        <v>1991</v>
      </c>
      <c r="K2944" t="s">
        <v>4554</v>
      </c>
      <c r="L2944" t="s">
        <v>3974</v>
      </c>
      <c r="M2944" s="2">
        <v>1601</v>
      </c>
      <c r="N2944" t="s">
        <v>5280</v>
      </c>
      <c r="O2944">
        <v>3</v>
      </c>
      <c r="P2944">
        <v>2</v>
      </c>
      <c r="Q2944">
        <v>1</v>
      </c>
      <c r="R2944" t="s">
        <v>5281</v>
      </c>
      <c r="S2944" t="s">
        <v>4558</v>
      </c>
      <c r="T2944" t="s">
        <v>4559</v>
      </c>
      <c r="U2944" t="s">
        <v>5631</v>
      </c>
      <c r="V2944" s="2">
        <v>450</v>
      </c>
      <c r="W2944" t="s">
        <v>4655</v>
      </c>
      <c r="X2944" s="2">
        <v>0</v>
      </c>
      <c r="Y2944">
        <v>20</v>
      </c>
      <c r="Z2944" t="s">
        <v>4561</v>
      </c>
      <c r="AA2944" s="3">
        <v>0.112006425857544</v>
      </c>
      <c r="AB2944" t="s">
        <v>17140</v>
      </c>
      <c r="AC2944" t="s">
        <v>4575</v>
      </c>
      <c r="AD2944" t="s">
        <v>17139</v>
      </c>
      <c r="AE2944" t="s">
        <v>4655</v>
      </c>
      <c r="AF2944" t="s">
        <v>4563</v>
      </c>
      <c r="AG2944" t="s">
        <v>4564</v>
      </c>
      <c r="AH2944" t="s">
        <v>1147</v>
      </c>
      <c r="AI2944" t="s">
        <v>17141</v>
      </c>
      <c r="AJ2944" t="s">
        <v>4655</v>
      </c>
      <c r="AK2944" t="s">
        <v>17142</v>
      </c>
      <c r="AL2944" s="13" t="s">
        <v>2255</v>
      </c>
      <c r="AM2944">
        <v>1</v>
      </c>
      <c r="AN2944" s="15" t="s">
        <v>721</v>
      </c>
    </row>
    <row r="2945" spans="1:40" x14ac:dyDescent="0.3">
      <c r="A2945" s="10" t="str">
        <f>HYPERLINK("http://www.washoecounty.gov/assessor/cama/?parid=039-625-05&amp;CardNumber=1","039-625-05")</f>
        <v>039-625-05</v>
      </c>
      <c r="B2945" t="s">
        <v>4655</v>
      </c>
      <c r="C2945" t="s">
        <v>17143</v>
      </c>
      <c r="D2945" s="1">
        <v>40193</v>
      </c>
      <c r="E2945" s="2">
        <v>180000</v>
      </c>
      <c r="F2945" t="s">
        <v>4553</v>
      </c>
      <c r="G2945" s="17" t="str">
        <f>HYPERLINK("https://www.washoecounty.gov/assessor/cama/?command=sales&amp;parid=03962505","3839406")</f>
        <v>3839406</v>
      </c>
      <c r="H2945" t="s">
        <v>499</v>
      </c>
      <c r="I2945">
        <v>1991</v>
      </c>
      <c r="J2945">
        <v>1991</v>
      </c>
      <c r="K2945" t="s">
        <v>4554</v>
      </c>
      <c r="L2945" t="s">
        <v>3974</v>
      </c>
      <c r="M2945" s="2">
        <v>1601</v>
      </c>
      <c r="N2945" t="s">
        <v>5280</v>
      </c>
      <c r="O2945">
        <v>3</v>
      </c>
      <c r="P2945">
        <v>2</v>
      </c>
      <c r="Q2945">
        <v>1</v>
      </c>
      <c r="R2945" t="s">
        <v>4557</v>
      </c>
      <c r="S2945" t="s">
        <v>4558</v>
      </c>
      <c r="T2945" t="s">
        <v>4559</v>
      </c>
      <c r="U2945" t="s">
        <v>5631</v>
      </c>
      <c r="V2945" s="2">
        <v>450</v>
      </c>
      <c r="W2945" t="s">
        <v>4655</v>
      </c>
      <c r="X2945" s="2">
        <v>0</v>
      </c>
      <c r="Y2945">
        <v>20</v>
      </c>
      <c r="Z2945" t="s">
        <v>4561</v>
      </c>
      <c r="AA2945" s="3">
        <v>0.14898990094661699</v>
      </c>
      <c r="AB2945" t="s">
        <v>17144</v>
      </c>
      <c r="AC2945" t="s">
        <v>4575</v>
      </c>
      <c r="AD2945" t="s">
        <v>17145</v>
      </c>
      <c r="AE2945" t="s">
        <v>17143</v>
      </c>
      <c r="AF2945" t="s">
        <v>4563</v>
      </c>
      <c r="AG2945" t="s">
        <v>4564</v>
      </c>
      <c r="AH2945" t="s">
        <v>1147</v>
      </c>
      <c r="AI2945" t="s">
        <v>17146</v>
      </c>
      <c r="AJ2945" t="s">
        <v>4655</v>
      </c>
      <c r="AK2945" t="s">
        <v>17147</v>
      </c>
      <c r="AL2945" s="13" t="s">
        <v>2255</v>
      </c>
      <c r="AM2945">
        <v>1</v>
      </c>
      <c r="AN2945" s="15" t="s">
        <v>721</v>
      </c>
    </row>
    <row r="2946" spans="1:40" x14ac:dyDescent="0.3">
      <c r="A2946" s="10" t="str">
        <f>HYPERLINK("http://www.washoecounty.gov/assessor/cama/?parid=039-693-38&amp;CardNumber=1","039-693-38")</f>
        <v>039-693-38</v>
      </c>
      <c r="B2946" t="s">
        <v>4655</v>
      </c>
      <c r="C2946" t="s">
        <v>17148</v>
      </c>
      <c r="D2946" s="1">
        <v>40351</v>
      </c>
      <c r="E2946" s="2">
        <v>180000</v>
      </c>
      <c r="F2946" t="s">
        <v>4567</v>
      </c>
      <c r="G2946" s="17" t="str">
        <f>HYPERLINK("https://www.washoecounty.gov/assessor/cama/?command=sales&amp;parid=03969338","3894222")</f>
        <v>3894222</v>
      </c>
      <c r="H2946" t="s">
        <v>4362</v>
      </c>
      <c r="I2946">
        <v>1992</v>
      </c>
      <c r="J2946">
        <v>1992</v>
      </c>
      <c r="K2946" t="s">
        <v>4554</v>
      </c>
      <c r="L2946" t="s">
        <v>3974</v>
      </c>
      <c r="M2946" s="2">
        <v>1707</v>
      </c>
      <c r="N2946" t="s">
        <v>5280</v>
      </c>
      <c r="O2946">
        <v>3</v>
      </c>
      <c r="P2946">
        <v>2</v>
      </c>
      <c r="Q2946">
        <v>1</v>
      </c>
      <c r="R2946" t="s">
        <v>5281</v>
      </c>
      <c r="S2946" t="s">
        <v>4558</v>
      </c>
      <c r="T2946" t="s">
        <v>4559</v>
      </c>
      <c r="U2946" t="s">
        <v>5631</v>
      </c>
      <c r="V2946" s="2">
        <v>459</v>
      </c>
      <c r="W2946" t="s">
        <v>4655</v>
      </c>
      <c r="X2946" s="2">
        <v>0</v>
      </c>
      <c r="Y2946">
        <v>20</v>
      </c>
      <c r="Z2946" t="s">
        <v>4144</v>
      </c>
      <c r="AA2946" s="3">
        <v>0.12699724733829501</v>
      </c>
      <c r="AB2946" t="s">
        <v>17149</v>
      </c>
      <c r="AC2946" t="s">
        <v>4562</v>
      </c>
      <c r="AD2946" t="s">
        <v>17148</v>
      </c>
      <c r="AE2946" t="s">
        <v>4655</v>
      </c>
      <c r="AF2946" t="s">
        <v>4563</v>
      </c>
      <c r="AG2946" t="s">
        <v>4564</v>
      </c>
      <c r="AH2946" t="s">
        <v>1147</v>
      </c>
      <c r="AI2946" t="s">
        <v>17150</v>
      </c>
      <c r="AJ2946" t="s">
        <v>4363</v>
      </c>
      <c r="AK2946" t="s">
        <v>17151</v>
      </c>
      <c r="AL2946" s="13" t="s">
        <v>2255</v>
      </c>
      <c r="AM2946" s="14">
        <v>1</v>
      </c>
      <c r="AN2946" s="15" t="s">
        <v>2115</v>
      </c>
    </row>
    <row r="2947" spans="1:40" x14ac:dyDescent="0.3">
      <c r="A2947" s="10" t="str">
        <f>HYPERLINK("http://www.washoecounty.gov/assessor/cama/?parid=039-700-25&amp;CardNumber=1","039-700-25")</f>
        <v>039-700-25</v>
      </c>
      <c r="B2947" t="s">
        <v>4655</v>
      </c>
      <c r="C2947" t="s">
        <v>17152</v>
      </c>
      <c r="D2947" s="1">
        <v>40305</v>
      </c>
      <c r="E2947" s="2">
        <v>170000</v>
      </c>
      <c r="F2947" t="s">
        <v>4567</v>
      </c>
      <c r="G2947" s="17" t="str">
        <f>HYPERLINK("https://www.washoecounty.gov/assessor/cama/?command=sales&amp;parid=03970025","3879418")</f>
        <v>3879418</v>
      </c>
      <c r="H2947" t="s">
        <v>4362</v>
      </c>
      <c r="I2947">
        <v>1993</v>
      </c>
      <c r="J2947">
        <v>1993</v>
      </c>
      <c r="K2947" t="s">
        <v>4554</v>
      </c>
      <c r="L2947" t="s">
        <v>3974</v>
      </c>
      <c r="M2947" s="2">
        <v>1553</v>
      </c>
      <c r="N2947" t="s">
        <v>5280</v>
      </c>
      <c r="O2947">
        <v>3</v>
      </c>
      <c r="P2947">
        <v>2</v>
      </c>
      <c r="Q2947">
        <v>1</v>
      </c>
      <c r="R2947" t="s">
        <v>4557</v>
      </c>
      <c r="S2947" t="s">
        <v>4558</v>
      </c>
      <c r="T2947" t="s">
        <v>4559</v>
      </c>
      <c r="U2947" t="s">
        <v>5631</v>
      </c>
      <c r="V2947" s="2">
        <v>459</v>
      </c>
      <c r="W2947" t="s">
        <v>4655</v>
      </c>
      <c r="X2947" s="2">
        <v>0</v>
      </c>
      <c r="Y2947">
        <v>20</v>
      </c>
      <c r="Z2947" t="s">
        <v>4144</v>
      </c>
      <c r="AA2947" s="3">
        <v>0.16600091755390201</v>
      </c>
      <c r="AB2947" t="s">
        <v>2604</v>
      </c>
      <c r="AC2947" t="s">
        <v>4562</v>
      </c>
      <c r="AD2947" t="s">
        <v>2605</v>
      </c>
      <c r="AE2947" t="s">
        <v>4655</v>
      </c>
      <c r="AF2947" t="s">
        <v>4563</v>
      </c>
      <c r="AG2947" t="s">
        <v>4564</v>
      </c>
      <c r="AH2947" t="s">
        <v>1147</v>
      </c>
      <c r="AI2947" t="s">
        <v>17153</v>
      </c>
      <c r="AJ2947" t="s">
        <v>4363</v>
      </c>
      <c r="AK2947" t="s">
        <v>17154</v>
      </c>
      <c r="AL2947" s="13" t="s">
        <v>2255</v>
      </c>
      <c r="AM2947">
        <v>1</v>
      </c>
      <c r="AN2947" s="15" t="s">
        <v>2115</v>
      </c>
    </row>
    <row r="2948" spans="1:40" x14ac:dyDescent="0.3">
      <c r="A2948" s="10" t="str">
        <f>HYPERLINK("http://www.washoecounty.gov/assessor/cama/?parid=039-711-20&amp;CardNumber=1","039-711-20")</f>
        <v>039-711-20</v>
      </c>
      <c r="B2948" t="s">
        <v>4655</v>
      </c>
      <c r="C2948" t="s">
        <v>17155</v>
      </c>
      <c r="D2948" s="1">
        <v>40238</v>
      </c>
      <c r="E2948" s="2">
        <v>180000</v>
      </c>
      <c r="F2948" t="s">
        <v>4553</v>
      </c>
      <c r="G2948" s="17" t="str">
        <f>HYPERLINK("https://www.washoecounty.gov/assessor/cama/?command=sales&amp;parid=03971120","3853986")</f>
        <v>3853986</v>
      </c>
      <c r="H2948" t="s">
        <v>4362</v>
      </c>
      <c r="I2948">
        <v>1992</v>
      </c>
      <c r="J2948">
        <v>1992</v>
      </c>
      <c r="K2948" t="s">
        <v>4554</v>
      </c>
      <c r="L2948" t="s">
        <v>3974</v>
      </c>
      <c r="M2948" s="2">
        <v>1553</v>
      </c>
      <c r="N2948" t="s">
        <v>5280</v>
      </c>
      <c r="O2948">
        <v>3</v>
      </c>
      <c r="P2948">
        <v>2</v>
      </c>
      <c r="Q2948">
        <v>1</v>
      </c>
      <c r="R2948" t="s">
        <v>4557</v>
      </c>
      <c r="S2948" t="s">
        <v>4558</v>
      </c>
      <c r="T2948" t="s">
        <v>4559</v>
      </c>
      <c r="U2948" t="s">
        <v>5631</v>
      </c>
      <c r="V2948" s="2">
        <v>459</v>
      </c>
      <c r="W2948" t="s">
        <v>4655</v>
      </c>
      <c r="X2948" s="2">
        <v>0</v>
      </c>
      <c r="Y2948">
        <v>20</v>
      </c>
      <c r="Z2948" t="s">
        <v>4144</v>
      </c>
      <c r="AA2948" s="3">
        <v>0.12100551277399101</v>
      </c>
      <c r="AB2948" t="s">
        <v>17156</v>
      </c>
      <c r="AC2948" t="s">
        <v>4575</v>
      </c>
      <c r="AD2948" t="s">
        <v>17157</v>
      </c>
      <c r="AE2948" t="s">
        <v>4655</v>
      </c>
      <c r="AF2948" t="s">
        <v>4563</v>
      </c>
      <c r="AG2948" t="s">
        <v>4564</v>
      </c>
      <c r="AH2948" t="s">
        <v>1147</v>
      </c>
      <c r="AI2948" t="s">
        <v>17158</v>
      </c>
      <c r="AJ2948" t="s">
        <v>4363</v>
      </c>
      <c r="AK2948" t="s">
        <v>17159</v>
      </c>
      <c r="AL2948" s="13" t="s">
        <v>2255</v>
      </c>
      <c r="AM2948">
        <v>1</v>
      </c>
      <c r="AN2948" s="15" t="s">
        <v>2115</v>
      </c>
    </row>
    <row r="2949" spans="1:40" x14ac:dyDescent="0.3">
      <c r="A2949" s="10" t="str">
        <f>HYPERLINK("http://www.washoecounty.gov/assessor/cama/?parid=040-141-36&amp;CardNumber=1","040-141-36")</f>
        <v>040-141-36</v>
      </c>
      <c r="B2949" t="s">
        <v>4655</v>
      </c>
      <c r="C2949" t="s">
        <v>17160</v>
      </c>
      <c r="D2949" s="1">
        <v>40533</v>
      </c>
      <c r="E2949" s="2">
        <v>787679</v>
      </c>
      <c r="F2949" t="s">
        <v>4553</v>
      </c>
      <c r="G2949" s="17" t="str">
        <f>HYPERLINK("https://www.washoecounty.gov/assessor/cama/?command=sales&amp;parid=04014136","3957940")</f>
        <v>3957940</v>
      </c>
      <c r="H2949" t="s">
        <v>17161</v>
      </c>
      <c r="I2949">
        <v>1994</v>
      </c>
      <c r="J2949">
        <v>1994</v>
      </c>
      <c r="K2949" t="s">
        <v>3037</v>
      </c>
      <c r="L2949" t="s">
        <v>3038</v>
      </c>
      <c r="M2949" s="2">
        <v>10458</v>
      </c>
      <c r="N2949" t="s">
        <v>3531</v>
      </c>
      <c r="O2949">
        <v>0</v>
      </c>
      <c r="P2949">
        <v>0</v>
      </c>
      <c r="Q2949">
        <v>0</v>
      </c>
      <c r="R2949" t="s">
        <v>1395</v>
      </c>
      <c r="S2949" t="s">
        <v>4856</v>
      </c>
      <c r="T2949" t="s">
        <v>4655</v>
      </c>
      <c r="U2949" t="s">
        <v>4655</v>
      </c>
      <c r="V2949" s="2">
        <v>0</v>
      </c>
      <c r="W2949" t="s">
        <v>4655</v>
      </c>
      <c r="X2949" s="2">
        <v>0</v>
      </c>
      <c r="Y2949">
        <v>40</v>
      </c>
      <c r="Z2949" t="s">
        <v>1370</v>
      </c>
      <c r="AA2949" s="3">
        <v>0.36701101064682001</v>
      </c>
      <c r="AB2949" t="s">
        <v>17162</v>
      </c>
      <c r="AC2949" t="s">
        <v>4562</v>
      </c>
      <c r="AD2949" t="s">
        <v>17163</v>
      </c>
      <c r="AE2949" t="s">
        <v>4655</v>
      </c>
      <c r="AF2949" t="s">
        <v>4563</v>
      </c>
      <c r="AG2949" t="s">
        <v>4564</v>
      </c>
      <c r="AH2949">
        <v>89502</v>
      </c>
      <c r="AI2949" t="s">
        <v>1787</v>
      </c>
      <c r="AJ2949" t="s">
        <v>17164</v>
      </c>
      <c r="AK2949" t="s">
        <v>17165</v>
      </c>
      <c r="AL2949" s="13" t="s">
        <v>2257</v>
      </c>
      <c r="AM2949" s="14">
        <v>1</v>
      </c>
      <c r="AN2949" s="15" t="s">
        <v>3534</v>
      </c>
    </row>
    <row r="2950" spans="1:40" x14ac:dyDescent="0.3">
      <c r="A2950" s="10" t="str">
        <f>HYPERLINK("http://www.washoecounty.gov/assessor/cama/?parid=040-181-02&amp;CardNumber=1","040-181-02")</f>
        <v>040-181-02</v>
      </c>
      <c r="B2950" t="s">
        <v>4655</v>
      </c>
      <c r="C2950" t="s">
        <v>17166</v>
      </c>
      <c r="D2950" s="1">
        <v>40477</v>
      </c>
      <c r="E2950" s="2">
        <v>175000</v>
      </c>
      <c r="F2950" t="s">
        <v>4567</v>
      </c>
      <c r="G2950" s="17" t="str">
        <f>HYPERLINK("https://www.washoecounty.gov/assessor/cama/?command=sales&amp;parid=04018102","3936366")</f>
        <v>3936366</v>
      </c>
      <c r="H2950" t="s">
        <v>17167</v>
      </c>
      <c r="I2950">
        <v>1991</v>
      </c>
      <c r="J2950">
        <v>1991</v>
      </c>
      <c r="K2950" t="s">
        <v>4554</v>
      </c>
      <c r="L2950" t="s">
        <v>4555</v>
      </c>
      <c r="M2950" s="2">
        <v>1678</v>
      </c>
      <c r="N2950" t="s">
        <v>3147</v>
      </c>
      <c r="O2950">
        <v>3</v>
      </c>
      <c r="P2950">
        <v>2</v>
      </c>
      <c r="Q2950">
        <v>0</v>
      </c>
      <c r="R2950" t="s">
        <v>4557</v>
      </c>
      <c r="S2950" t="s">
        <v>4558</v>
      </c>
      <c r="T2950" t="s">
        <v>2704</v>
      </c>
      <c r="U2950" t="s">
        <v>4560</v>
      </c>
      <c r="V2950" s="2">
        <v>606</v>
      </c>
      <c r="W2950" t="s">
        <v>4655</v>
      </c>
      <c r="X2950" s="2">
        <v>0</v>
      </c>
      <c r="Y2950">
        <v>20</v>
      </c>
      <c r="Z2950" t="s">
        <v>4561</v>
      </c>
      <c r="AA2950" s="3">
        <v>0.13700643181800801</v>
      </c>
      <c r="AB2950" t="s">
        <v>5144</v>
      </c>
      <c r="AC2950" t="s">
        <v>4562</v>
      </c>
      <c r="AD2950" t="s">
        <v>17168</v>
      </c>
      <c r="AE2950" t="s">
        <v>4655</v>
      </c>
      <c r="AF2950" t="s">
        <v>4563</v>
      </c>
      <c r="AG2950" t="s">
        <v>4564</v>
      </c>
      <c r="AH2950">
        <v>89509</v>
      </c>
      <c r="AI2950" t="s">
        <v>2453</v>
      </c>
      <c r="AJ2950" t="s">
        <v>4655</v>
      </c>
      <c r="AK2950" t="s">
        <v>17169</v>
      </c>
      <c r="AL2950" s="13" t="s">
        <v>2257</v>
      </c>
      <c r="AM2950" s="14">
        <v>1</v>
      </c>
      <c r="AN2950" s="15" t="s">
        <v>3027</v>
      </c>
    </row>
    <row r="2951" spans="1:40" x14ac:dyDescent="0.3">
      <c r="A2951" s="10" t="str">
        <f>HYPERLINK("http://www.washoecounty.gov/assessor/cama/?parid=040-181-02&amp;CardNumber=1","040-181-02")</f>
        <v>040-181-02</v>
      </c>
      <c r="B2951" t="s">
        <v>4655</v>
      </c>
      <c r="C2951" t="s">
        <v>17166</v>
      </c>
      <c r="D2951" s="1">
        <v>40513</v>
      </c>
      <c r="E2951" s="2">
        <v>212000</v>
      </c>
      <c r="F2951" t="s">
        <v>4567</v>
      </c>
      <c r="G2951" s="17" t="str">
        <f>HYPERLINK("https://www.washoecounty.gov/assessor/cama/?command=sales&amp;parid=04018102","3948334")</f>
        <v>3948334</v>
      </c>
      <c r="H2951" t="s">
        <v>17167</v>
      </c>
      <c r="I2951">
        <v>1991</v>
      </c>
      <c r="J2951">
        <v>1991</v>
      </c>
      <c r="K2951" t="s">
        <v>4554</v>
      </c>
      <c r="L2951" t="s">
        <v>4555</v>
      </c>
      <c r="M2951" s="2">
        <v>1678</v>
      </c>
      <c r="N2951" t="s">
        <v>3147</v>
      </c>
      <c r="O2951">
        <v>3</v>
      </c>
      <c r="P2951">
        <v>2</v>
      </c>
      <c r="Q2951">
        <v>0</v>
      </c>
      <c r="R2951" t="s">
        <v>4557</v>
      </c>
      <c r="S2951" t="s">
        <v>4558</v>
      </c>
      <c r="T2951" t="s">
        <v>2704</v>
      </c>
      <c r="U2951" t="s">
        <v>4560</v>
      </c>
      <c r="V2951" s="2">
        <v>606</v>
      </c>
      <c r="W2951" t="s">
        <v>4655</v>
      </c>
      <c r="X2951" s="2">
        <v>0</v>
      </c>
      <c r="Y2951">
        <v>20</v>
      </c>
      <c r="Z2951" t="s">
        <v>4561</v>
      </c>
      <c r="AA2951" s="3">
        <v>0.13700643181800801</v>
      </c>
      <c r="AB2951" t="s">
        <v>5144</v>
      </c>
      <c r="AC2951" t="s">
        <v>4562</v>
      </c>
      <c r="AD2951" t="s">
        <v>17168</v>
      </c>
      <c r="AE2951" t="s">
        <v>4655</v>
      </c>
      <c r="AF2951" t="s">
        <v>4563</v>
      </c>
      <c r="AG2951" t="s">
        <v>4564</v>
      </c>
      <c r="AH2951">
        <v>89509</v>
      </c>
      <c r="AI2951" t="s">
        <v>2453</v>
      </c>
      <c r="AJ2951" t="s">
        <v>4655</v>
      </c>
      <c r="AK2951" t="s">
        <v>17169</v>
      </c>
      <c r="AL2951" s="13" t="s">
        <v>2257</v>
      </c>
      <c r="AM2951" s="14">
        <v>1</v>
      </c>
      <c r="AN2951" s="15" t="s">
        <v>3027</v>
      </c>
    </row>
    <row r="2952" spans="1:40" x14ac:dyDescent="0.3">
      <c r="A2952" s="10" t="str">
        <f>HYPERLINK("http://www.washoecounty.gov/assessor/cama/?parid=040-181-16&amp;CardNumber=1","040-181-16")</f>
        <v>040-181-16</v>
      </c>
      <c r="B2952" t="s">
        <v>4655</v>
      </c>
      <c r="C2952" t="s">
        <v>17170</v>
      </c>
      <c r="D2952" s="1">
        <v>40315</v>
      </c>
      <c r="E2952" s="2">
        <v>225000</v>
      </c>
      <c r="F2952" t="s">
        <v>4567</v>
      </c>
      <c r="G2952" s="17" t="str">
        <f>HYPERLINK("https://www.washoecounty.gov/assessor/cama/?command=sales&amp;parid=04018116","3881910")</f>
        <v>3881910</v>
      </c>
      <c r="H2952" t="s">
        <v>17167</v>
      </c>
      <c r="I2952">
        <v>1991</v>
      </c>
      <c r="J2952">
        <v>1991</v>
      </c>
      <c r="K2952" t="s">
        <v>4554</v>
      </c>
      <c r="L2952" t="s">
        <v>3974</v>
      </c>
      <c r="M2952" s="2">
        <v>2249</v>
      </c>
      <c r="N2952" t="s">
        <v>3147</v>
      </c>
      <c r="O2952">
        <v>4</v>
      </c>
      <c r="P2952">
        <v>2</v>
      </c>
      <c r="Q2952">
        <v>1</v>
      </c>
      <c r="R2952" t="s">
        <v>5281</v>
      </c>
      <c r="S2952" t="s">
        <v>4558</v>
      </c>
      <c r="T2952" t="s">
        <v>2704</v>
      </c>
      <c r="U2952" t="s">
        <v>4560</v>
      </c>
      <c r="V2952" s="2">
        <v>533</v>
      </c>
      <c r="W2952" t="s">
        <v>4655</v>
      </c>
      <c r="X2952" s="2">
        <v>0</v>
      </c>
      <c r="Y2952">
        <v>20</v>
      </c>
      <c r="Z2952" t="s">
        <v>4561</v>
      </c>
      <c r="AA2952" s="3">
        <v>0.13700643181800801</v>
      </c>
      <c r="AB2952" t="s">
        <v>17171</v>
      </c>
      <c r="AC2952" t="s">
        <v>4562</v>
      </c>
      <c r="AD2952" t="s">
        <v>17170</v>
      </c>
      <c r="AE2952" t="s">
        <v>4655</v>
      </c>
      <c r="AF2952" t="s">
        <v>4563</v>
      </c>
      <c r="AG2952" t="s">
        <v>4564</v>
      </c>
      <c r="AH2952">
        <v>89511</v>
      </c>
      <c r="AI2952" t="s">
        <v>4655</v>
      </c>
      <c r="AJ2952" t="s">
        <v>4655</v>
      </c>
      <c r="AK2952" t="s">
        <v>17172</v>
      </c>
      <c r="AL2952" s="13" t="s">
        <v>2257</v>
      </c>
      <c r="AM2952">
        <v>1</v>
      </c>
      <c r="AN2952" s="15" t="s">
        <v>3027</v>
      </c>
    </row>
    <row r="2953" spans="1:40" x14ac:dyDescent="0.3">
      <c r="A2953" s="10" t="str">
        <f>HYPERLINK("http://www.washoecounty.gov/assessor/cama/?parid=040-181-16&amp;CardNumber=1","040-181-16")</f>
        <v>040-181-16</v>
      </c>
      <c r="B2953" t="s">
        <v>4655</v>
      </c>
      <c r="C2953" t="s">
        <v>17170</v>
      </c>
      <c r="D2953" s="1">
        <v>40417</v>
      </c>
      <c r="E2953" s="2">
        <v>275000</v>
      </c>
      <c r="F2953" t="s">
        <v>4567</v>
      </c>
      <c r="G2953" s="17" t="str">
        <f>HYPERLINK("https://www.washoecounty.gov/assessor/cama/?command=sales&amp;parid=04018116","3916395")</f>
        <v>3916395</v>
      </c>
      <c r="H2953" t="s">
        <v>17167</v>
      </c>
      <c r="I2953">
        <v>1991</v>
      </c>
      <c r="J2953">
        <v>1991</v>
      </c>
      <c r="K2953" t="s">
        <v>4554</v>
      </c>
      <c r="L2953" t="s">
        <v>3974</v>
      </c>
      <c r="M2953" s="2">
        <v>2249</v>
      </c>
      <c r="N2953" t="s">
        <v>3147</v>
      </c>
      <c r="O2953">
        <v>4</v>
      </c>
      <c r="P2953">
        <v>2</v>
      </c>
      <c r="Q2953">
        <v>1</v>
      </c>
      <c r="R2953" t="s">
        <v>5281</v>
      </c>
      <c r="S2953" t="s">
        <v>4558</v>
      </c>
      <c r="T2953" t="s">
        <v>2704</v>
      </c>
      <c r="U2953" t="s">
        <v>4560</v>
      </c>
      <c r="V2953" s="2">
        <v>533</v>
      </c>
      <c r="W2953" t="s">
        <v>4655</v>
      </c>
      <c r="X2953" s="2">
        <v>0</v>
      </c>
      <c r="Y2953">
        <v>20</v>
      </c>
      <c r="Z2953" t="s">
        <v>4561</v>
      </c>
      <c r="AA2953" s="3">
        <v>0.13700643181800801</v>
      </c>
      <c r="AB2953" t="s">
        <v>17171</v>
      </c>
      <c r="AC2953" t="s">
        <v>4562</v>
      </c>
      <c r="AD2953" t="s">
        <v>17170</v>
      </c>
      <c r="AE2953" t="s">
        <v>4655</v>
      </c>
      <c r="AF2953" t="s">
        <v>4563</v>
      </c>
      <c r="AG2953" t="s">
        <v>4564</v>
      </c>
      <c r="AH2953">
        <v>89511</v>
      </c>
      <c r="AI2953" t="s">
        <v>4655</v>
      </c>
      <c r="AJ2953" t="s">
        <v>4655</v>
      </c>
      <c r="AK2953" t="s">
        <v>17172</v>
      </c>
      <c r="AL2953" s="13" t="s">
        <v>2257</v>
      </c>
      <c r="AM2953" s="14">
        <v>1</v>
      </c>
      <c r="AN2953" s="15" t="s">
        <v>3027</v>
      </c>
    </row>
    <row r="2954" spans="1:40" x14ac:dyDescent="0.3">
      <c r="A2954" s="10" t="str">
        <f>HYPERLINK("http://www.washoecounty.gov/assessor/cama/?parid=040-181-21&amp;CardNumber=1","040-181-21")</f>
        <v>040-181-21</v>
      </c>
      <c r="B2954" t="s">
        <v>4655</v>
      </c>
      <c r="C2954" t="s">
        <v>17173</v>
      </c>
      <c r="D2954" s="1">
        <v>40284</v>
      </c>
      <c r="E2954" s="2">
        <v>246000</v>
      </c>
      <c r="F2954" t="s">
        <v>4567</v>
      </c>
      <c r="G2954" s="17" t="str">
        <f>HYPERLINK("https://www.washoecounty.gov/assessor/cama/?command=sales&amp;parid=04018121","3871788")</f>
        <v>3871788</v>
      </c>
      <c r="H2954" t="s">
        <v>17167</v>
      </c>
      <c r="I2954">
        <v>1992</v>
      </c>
      <c r="J2954">
        <v>1992</v>
      </c>
      <c r="K2954" t="s">
        <v>4554</v>
      </c>
      <c r="L2954" t="s">
        <v>2170</v>
      </c>
      <c r="M2954" s="2">
        <v>1742</v>
      </c>
      <c r="N2954" t="s">
        <v>3147</v>
      </c>
      <c r="O2954">
        <v>3</v>
      </c>
      <c r="P2954">
        <v>2</v>
      </c>
      <c r="Q2954">
        <v>1</v>
      </c>
      <c r="R2954" t="s">
        <v>5281</v>
      </c>
      <c r="S2954" t="s">
        <v>4558</v>
      </c>
      <c r="T2954" t="s">
        <v>2704</v>
      </c>
      <c r="U2954" t="s">
        <v>4560</v>
      </c>
      <c r="V2954" s="2">
        <v>592</v>
      </c>
      <c r="W2954" t="s">
        <v>4655</v>
      </c>
      <c r="X2954" s="2">
        <v>0</v>
      </c>
      <c r="Y2954">
        <v>20</v>
      </c>
      <c r="Z2954" t="s">
        <v>4561</v>
      </c>
      <c r="AA2954" s="3">
        <v>0.16799816489219666</v>
      </c>
      <c r="AB2954" t="s">
        <v>17174</v>
      </c>
      <c r="AC2954" t="s">
        <v>4562</v>
      </c>
      <c r="AD2954" t="s">
        <v>17173</v>
      </c>
      <c r="AE2954" t="s">
        <v>4655</v>
      </c>
      <c r="AF2954" t="s">
        <v>4563</v>
      </c>
      <c r="AG2954" t="s">
        <v>4564</v>
      </c>
      <c r="AH2954">
        <v>89511</v>
      </c>
      <c r="AI2954" t="s">
        <v>17175</v>
      </c>
      <c r="AJ2954" t="s">
        <v>4655</v>
      </c>
      <c r="AK2954" t="s">
        <v>17176</v>
      </c>
      <c r="AL2954" s="13" t="s">
        <v>2257</v>
      </c>
      <c r="AM2954">
        <v>1</v>
      </c>
      <c r="AN2954" s="15" t="s">
        <v>3027</v>
      </c>
    </row>
    <row r="2955" spans="1:40" x14ac:dyDescent="0.3">
      <c r="A2955" s="10" t="str">
        <f>HYPERLINK("http://www.washoecounty.gov/assessor/cama/?parid=040-181-26&amp;CardNumber=1","040-181-26")</f>
        <v>040-181-26</v>
      </c>
      <c r="B2955" t="s">
        <v>4655</v>
      </c>
      <c r="C2955" t="s">
        <v>17177</v>
      </c>
      <c r="D2955" s="1">
        <v>40325</v>
      </c>
      <c r="E2955" s="2">
        <v>259000</v>
      </c>
      <c r="F2955" t="s">
        <v>4567</v>
      </c>
      <c r="G2955" s="17" t="str">
        <f>HYPERLINK("https://www.washoecounty.gov/assessor/cama/?command=sales&amp;parid=04018126","3886214")</f>
        <v>3886214</v>
      </c>
      <c r="H2955" t="s">
        <v>17167</v>
      </c>
      <c r="I2955">
        <v>1993</v>
      </c>
      <c r="J2955">
        <v>1993</v>
      </c>
      <c r="K2955" t="s">
        <v>4554</v>
      </c>
      <c r="L2955" t="s">
        <v>3974</v>
      </c>
      <c r="M2955" s="2">
        <v>2249</v>
      </c>
      <c r="N2955" t="s">
        <v>3147</v>
      </c>
      <c r="O2955">
        <v>4</v>
      </c>
      <c r="P2955">
        <v>2</v>
      </c>
      <c r="Q2955">
        <v>1</v>
      </c>
      <c r="R2955" t="s">
        <v>4557</v>
      </c>
      <c r="S2955" t="s">
        <v>4558</v>
      </c>
      <c r="T2955" t="s">
        <v>2704</v>
      </c>
      <c r="U2955" t="s">
        <v>4560</v>
      </c>
      <c r="V2955" s="2">
        <v>617</v>
      </c>
      <c r="W2955" t="s">
        <v>4655</v>
      </c>
      <c r="X2955" s="2">
        <v>0</v>
      </c>
      <c r="Y2955">
        <v>20</v>
      </c>
      <c r="Z2955" t="s">
        <v>4561</v>
      </c>
      <c r="AA2955" s="3">
        <v>0.13999082148075101</v>
      </c>
      <c r="AB2955" t="s">
        <v>17178</v>
      </c>
      <c r="AC2955" t="s">
        <v>4575</v>
      </c>
      <c r="AD2955" t="s">
        <v>17177</v>
      </c>
      <c r="AE2955" t="s">
        <v>4655</v>
      </c>
      <c r="AF2955" t="s">
        <v>4563</v>
      </c>
      <c r="AG2955" t="s">
        <v>4564</v>
      </c>
      <c r="AH2955">
        <v>89511</v>
      </c>
      <c r="AI2955" t="s">
        <v>17179</v>
      </c>
      <c r="AJ2955" t="s">
        <v>4655</v>
      </c>
      <c r="AK2955" t="s">
        <v>17180</v>
      </c>
      <c r="AL2955" s="13" t="s">
        <v>2257</v>
      </c>
      <c r="AM2955" s="14">
        <v>1</v>
      </c>
      <c r="AN2955" s="15" t="s">
        <v>3027</v>
      </c>
    </row>
    <row r="2956" spans="1:40" x14ac:dyDescent="0.3">
      <c r="A2956" s="10" t="str">
        <f>HYPERLINK("http://www.washoecounty.gov/assessor/cama/?parid=040-182-14&amp;CardNumber=1","040-182-14")</f>
        <v>040-182-14</v>
      </c>
      <c r="B2956" t="s">
        <v>4655</v>
      </c>
      <c r="C2956" t="s">
        <v>17181</v>
      </c>
      <c r="D2956" s="1">
        <v>40193</v>
      </c>
      <c r="E2956" s="2">
        <v>238000</v>
      </c>
      <c r="F2956" t="s">
        <v>4567</v>
      </c>
      <c r="G2956" s="17" t="str">
        <f>HYPERLINK("https://www.washoecounty.gov/assessor/cama/?command=sales&amp;parid=04018214","3839447")</f>
        <v>3839447</v>
      </c>
      <c r="H2956" t="s">
        <v>17167</v>
      </c>
      <c r="I2956">
        <v>1991</v>
      </c>
      <c r="J2956">
        <v>1991</v>
      </c>
      <c r="K2956" t="s">
        <v>4554</v>
      </c>
      <c r="L2956" t="s">
        <v>2170</v>
      </c>
      <c r="M2956" s="2">
        <v>1726</v>
      </c>
      <c r="N2956" t="s">
        <v>3147</v>
      </c>
      <c r="O2956">
        <v>3</v>
      </c>
      <c r="P2956">
        <v>2</v>
      </c>
      <c r="Q2956">
        <v>1</v>
      </c>
      <c r="R2956" t="s">
        <v>5281</v>
      </c>
      <c r="S2956" t="s">
        <v>4558</v>
      </c>
      <c r="T2956" t="s">
        <v>2704</v>
      </c>
      <c r="U2956" t="s">
        <v>4560</v>
      </c>
      <c r="V2956" s="2">
        <v>592</v>
      </c>
      <c r="W2956" t="s">
        <v>4655</v>
      </c>
      <c r="X2956" s="2">
        <v>0</v>
      </c>
      <c r="Y2956">
        <v>20</v>
      </c>
      <c r="Z2956" t="s">
        <v>4561</v>
      </c>
      <c r="AA2956" s="3">
        <v>0.169995412230492</v>
      </c>
      <c r="AB2956" t="s">
        <v>17182</v>
      </c>
      <c r="AC2956" t="s">
        <v>4562</v>
      </c>
      <c r="AD2956" t="s">
        <v>17181</v>
      </c>
      <c r="AE2956" t="s">
        <v>4655</v>
      </c>
      <c r="AF2956" t="s">
        <v>4563</v>
      </c>
      <c r="AG2956" t="s">
        <v>4564</v>
      </c>
      <c r="AH2956">
        <v>89511</v>
      </c>
      <c r="AI2956" t="s">
        <v>17183</v>
      </c>
      <c r="AJ2956" t="s">
        <v>4655</v>
      </c>
      <c r="AK2956" t="s">
        <v>17184</v>
      </c>
      <c r="AL2956" s="13" t="s">
        <v>2257</v>
      </c>
      <c r="AM2956">
        <v>1</v>
      </c>
      <c r="AN2956" s="15" t="s">
        <v>3027</v>
      </c>
    </row>
    <row r="2957" spans="1:40" x14ac:dyDescent="0.3">
      <c r="A2957" s="10" t="str">
        <f>HYPERLINK("http://www.washoecounty.gov/assessor/cama/?parid=040-183-09&amp;CardNumber=1","040-183-09")</f>
        <v>040-183-09</v>
      </c>
      <c r="B2957" t="s">
        <v>4655</v>
      </c>
      <c r="C2957" t="s">
        <v>17185</v>
      </c>
      <c r="D2957" s="1">
        <v>40473</v>
      </c>
      <c r="E2957" s="2">
        <v>288000</v>
      </c>
      <c r="F2957" t="s">
        <v>4567</v>
      </c>
      <c r="G2957" s="17" t="str">
        <f>HYPERLINK("https://www.washoecounty.gov/assessor/cama/?command=sales&amp;parid=04018309","3935829")</f>
        <v>3935829</v>
      </c>
      <c r="H2957" t="s">
        <v>17186</v>
      </c>
      <c r="I2957">
        <v>1992</v>
      </c>
      <c r="J2957">
        <v>1992</v>
      </c>
      <c r="K2957" t="s">
        <v>4554</v>
      </c>
      <c r="L2957" t="s">
        <v>3974</v>
      </c>
      <c r="M2957" s="2">
        <v>2249</v>
      </c>
      <c r="N2957" t="s">
        <v>3147</v>
      </c>
      <c r="O2957">
        <v>4</v>
      </c>
      <c r="P2957">
        <v>2</v>
      </c>
      <c r="Q2957">
        <v>1</v>
      </c>
      <c r="R2957" t="s">
        <v>4557</v>
      </c>
      <c r="S2957" t="s">
        <v>4558</v>
      </c>
      <c r="T2957" t="s">
        <v>2704</v>
      </c>
      <c r="U2957" t="s">
        <v>4560</v>
      </c>
      <c r="V2957" s="2">
        <v>617</v>
      </c>
      <c r="W2957" t="s">
        <v>4655</v>
      </c>
      <c r="X2957" s="2">
        <v>0</v>
      </c>
      <c r="Y2957">
        <v>20</v>
      </c>
      <c r="Z2957" t="s">
        <v>4561</v>
      </c>
      <c r="AA2957" s="3">
        <v>0.21000918745994601</v>
      </c>
      <c r="AB2957" t="s">
        <v>17187</v>
      </c>
      <c r="AC2957" t="s">
        <v>4562</v>
      </c>
      <c r="AD2957" t="s">
        <v>17188</v>
      </c>
      <c r="AE2957" t="s">
        <v>4655</v>
      </c>
      <c r="AF2957" t="s">
        <v>5473</v>
      </c>
      <c r="AG2957" t="s">
        <v>4564</v>
      </c>
      <c r="AH2957">
        <v>89511</v>
      </c>
      <c r="AI2957" t="s">
        <v>17189</v>
      </c>
      <c r="AJ2957" t="s">
        <v>4655</v>
      </c>
      <c r="AK2957" t="s">
        <v>17190</v>
      </c>
      <c r="AL2957" s="13" t="s">
        <v>2257</v>
      </c>
      <c r="AM2957">
        <v>1</v>
      </c>
      <c r="AN2957" s="15" t="s">
        <v>3027</v>
      </c>
    </row>
    <row r="2958" spans="1:40" x14ac:dyDescent="0.3">
      <c r="A2958" s="10" t="str">
        <f>HYPERLINK("http://www.washoecounty.gov/assessor/cama/?parid=040-401-14&amp;CardNumber=1","040-401-14")</f>
        <v>040-401-14</v>
      </c>
      <c r="B2958" t="s">
        <v>5502</v>
      </c>
      <c r="C2958" t="s">
        <v>17191</v>
      </c>
      <c r="D2958" s="1">
        <v>40268</v>
      </c>
      <c r="E2958" s="2">
        <v>1200000</v>
      </c>
      <c r="F2958" t="s">
        <v>4567</v>
      </c>
      <c r="G2958" s="17" t="str">
        <f>HYPERLINK("https://www.washoecounty.gov/assessor/cama/?command=sales&amp;parid=04040114","3866681")</f>
        <v>3866681</v>
      </c>
      <c r="H2958" t="s">
        <v>4655</v>
      </c>
      <c r="I2958">
        <v>1969</v>
      </c>
      <c r="J2958">
        <v>1969</v>
      </c>
      <c r="K2958" t="s">
        <v>4554</v>
      </c>
      <c r="L2958" t="s">
        <v>4555</v>
      </c>
      <c r="M2958" s="2">
        <v>3033</v>
      </c>
      <c r="N2958" t="s">
        <v>5106</v>
      </c>
      <c r="O2958">
        <v>3</v>
      </c>
      <c r="P2958">
        <v>2</v>
      </c>
      <c r="Q2958">
        <v>1</v>
      </c>
      <c r="R2958" t="s">
        <v>5205</v>
      </c>
      <c r="S2958" t="s">
        <v>4682</v>
      </c>
      <c r="T2958" t="s">
        <v>4899</v>
      </c>
      <c r="U2958" t="s">
        <v>4560</v>
      </c>
      <c r="V2958" s="2">
        <v>1205</v>
      </c>
      <c r="W2958" t="s">
        <v>4655</v>
      </c>
      <c r="X2958" s="2">
        <v>0</v>
      </c>
      <c r="Y2958">
        <v>20</v>
      </c>
      <c r="Z2958" t="s">
        <v>1376</v>
      </c>
      <c r="AA2958" s="3">
        <v>4.2350001335143999</v>
      </c>
      <c r="AB2958" t="s">
        <v>17192</v>
      </c>
      <c r="AC2958" t="s">
        <v>4562</v>
      </c>
      <c r="AD2958" t="s">
        <v>17193</v>
      </c>
      <c r="AE2958" t="s">
        <v>4655</v>
      </c>
      <c r="AF2958" t="s">
        <v>4563</v>
      </c>
      <c r="AG2958" t="s">
        <v>4564</v>
      </c>
      <c r="AH2958">
        <v>89511</v>
      </c>
      <c r="AI2958" t="s">
        <v>17194</v>
      </c>
      <c r="AJ2958" t="s">
        <v>4655</v>
      </c>
      <c r="AK2958" t="s">
        <v>17195</v>
      </c>
      <c r="AL2958" s="13" t="s">
        <v>3420</v>
      </c>
      <c r="AM2958">
        <v>2</v>
      </c>
      <c r="AN2958" s="15" t="s">
        <v>1584</v>
      </c>
    </row>
    <row r="2959" spans="1:40" x14ac:dyDescent="0.3">
      <c r="A2959" s="10" t="str">
        <f>HYPERLINK("http://www.washoecounty.gov/assessor/cama/?parid=040-421-09&amp;CardNumber=1","040-421-09")</f>
        <v>040-421-09</v>
      </c>
      <c r="B2959" t="s">
        <v>4655</v>
      </c>
      <c r="C2959" t="s">
        <v>17196</v>
      </c>
      <c r="D2959" s="1">
        <v>40445</v>
      </c>
      <c r="E2959" s="2">
        <v>251000</v>
      </c>
      <c r="F2959" t="s">
        <v>4567</v>
      </c>
      <c r="G2959" s="17" t="str">
        <f>HYPERLINK("https://www.washoecounty.gov/assessor/cama/?command=sales&amp;parid=04042109","3925983")</f>
        <v>3925983</v>
      </c>
      <c r="H2959" t="s">
        <v>222</v>
      </c>
      <c r="I2959">
        <v>1989</v>
      </c>
      <c r="J2959">
        <v>1989</v>
      </c>
      <c r="K2959" t="s">
        <v>4554</v>
      </c>
      <c r="L2959" t="s">
        <v>2170</v>
      </c>
      <c r="M2959" s="2">
        <v>1943</v>
      </c>
      <c r="N2959" t="s">
        <v>3147</v>
      </c>
      <c r="O2959">
        <v>4</v>
      </c>
      <c r="P2959">
        <v>3</v>
      </c>
      <c r="Q2959">
        <v>0</v>
      </c>
      <c r="R2959" t="s">
        <v>4557</v>
      </c>
      <c r="S2959" t="s">
        <v>4558</v>
      </c>
      <c r="T2959" t="s">
        <v>2704</v>
      </c>
      <c r="U2959" t="s">
        <v>4560</v>
      </c>
      <c r="V2959" s="2">
        <v>626</v>
      </c>
      <c r="W2959" t="s">
        <v>4655</v>
      </c>
      <c r="X2959" s="2">
        <v>0</v>
      </c>
      <c r="Y2959">
        <v>20</v>
      </c>
      <c r="Z2959" t="s">
        <v>4561</v>
      </c>
      <c r="AA2959" s="3">
        <v>0.13700643181800801</v>
      </c>
      <c r="AB2959" t="s">
        <v>17197</v>
      </c>
      <c r="AC2959" t="s">
        <v>4562</v>
      </c>
      <c r="AD2959" t="s">
        <v>17198</v>
      </c>
      <c r="AE2959" t="s">
        <v>4655</v>
      </c>
      <c r="AF2959" t="s">
        <v>4563</v>
      </c>
      <c r="AG2959" t="s">
        <v>4564</v>
      </c>
      <c r="AH2959">
        <v>89511</v>
      </c>
      <c r="AI2959" t="s">
        <v>17199</v>
      </c>
      <c r="AJ2959" t="s">
        <v>4655</v>
      </c>
      <c r="AK2959" t="s">
        <v>17200</v>
      </c>
      <c r="AL2959" s="13" t="s">
        <v>2257</v>
      </c>
      <c r="AM2959">
        <v>1</v>
      </c>
      <c r="AN2959" s="15" t="s">
        <v>3027</v>
      </c>
    </row>
    <row r="2960" spans="1:40" x14ac:dyDescent="0.3">
      <c r="A2960" s="10" t="str">
        <f>HYPERLINK("http://www.washoecounty.gov/assessor/cama/?parid=040-422-09&amp;CardNumber=1","040-422-09")</f>
        <v>040-422-09</v>
      </c>
      <c r="B2960" t="s">
        <v>4655</v>
      </c>
      <c r="C2960" t="s">
        <v>17201</v>
      </c>
      <c r="D2960" s="1">
        <v>40358</v>
      </c>
      <c r="E2960" s="2">
        <v>262500</v>
      </c>
      <c r="F2960" t="s">
        <v>4567</v>
      </c>
      <c r="G2960" s="17" t="str">
        <f>HYPERLINK("https://www.washoecounty.gov/assessor/cama/?command=sales&amp;parid=04042209","3896852")</f>
        <v>3896852</v>
      </c>
      <c r="H2960" t="s">
        <v>222</v>
      </c>
      <c r="I2960">
        <v>1990</v>
      </c>
      <c r="J2960">
        <v>1990</v>
      </c>
      <c r="K2960" t="s">
        <v>4554</v>
      </c>
      <c r="L2960" t="s">
        <v>4555</v>
      </c>
      <c r="M2960" s="2">
        <v>1828</v>
      </c>
      <c r="N2960" t="s">
        <v>3147</v>
      </c>
      <c r="O2960">
        <v>3</v>
      </c>
      <c r="P2960">
        <v>2</v>
      </c>
      <c r="Q2960">
        <v>0</v>
      </c>
      <c r="R2960" t="s">
        <v>5281</v>
      </c>
      <c r="S2960" t="s">
        <v>4558</v>
      </c>
      <c r="T2960" t="s">
        <v>2704</v>
      </c>
      <c r="U2960" t="s">
        <v>4560</v>
      </c>
      <c r="V2960" s="2">
        <v>606</v>
      </c>
      <c r="W2960" t="s">
        <v>4655</v>
      </c>
      <c r="X2960" s="2">
        <v>0</v>
      </c>
      <c r="Y2960">
        <v>20</v>
      </c>
      <c r="Z2960" t="s">
        <v>4561</v>
      </c>
      <c r="AA2960" s="3">
        <v>0.17100550234317799</v>
      </c>
      <c r="AB2960" t="s">
        <v>17202</v>
      </c>
      <c r="AC2960" t="s">
        <v>4562</v>
      </c>
      <c r="AD2960" t="s">
        <v>17201</v>
      </c>
      <c r="AE2960" t="s">
        <v>4655</v>
      </c>
      <c r="AF2960" t="s">
        <v>4563</v>
      </c>
      <c r="AG2960" t="s">
        <v>4564</v>
      </c>
      <c r="AH2960">
        <v>89511</v>
      </c>
      <c r="AI2960" t="s">
        <v>17203</v>
      </c>
      <c r="AJ2960" t="s">
        <v>4655</v>
      </c>
      <c r="AK2960" t="s">
        <v>17204</v>
      </c>
      <c r="AL2960" s="13" t="s">
        <v>2257</v>
      </c>
      <c r="AM2960">
        <v>1</v>
      </c>
      <c r="AN2960" s="15" t="s">
        <v>3027</v>
      </c>
    </row>
    <row r="2961" spans="1:40" x14ac:dyDescent="0.3">
      <c r="A2961" s="10" t="str">
        <f>HYPERLINK("http://www.washoecounty.gov/assessor/cama/?parid=040-424-11&amp;CardNumber=1","040-424-11")</f>
        <v>040-424-11</v>
      </c>
      <c r="B2961" t="s">
        <v>4655</v>
      </c>
      <c r="C2961" t="s">
        <v>17205</v>
      </c>
      <c r="D2961" s="1">
        <v>40380</v>
      </c>
      <c r="E2961" s="2">
        <v>320700</v>
      </c>
      <c r="F2961" t="s">
        <v>4567</v>
      </c>
      <c r="G2961" s="17" t="str">
        <f>HYPERLINK("https://www.washoecounty.gov/assessor/cama/?command=sales&amp;parid=04042411","3903688")</f>
        <v>3903688</v>
      </c>
      <c r="H2961" t="s">
        <v>222</v>
      </c>
      <c r="I2961">
        <v>1989</v>
      </c>
      <c r="J2961">
        <v>1989</v>
      </c>
      <c r="K2961" t="s">
        <v>4554</v>
      </c>
      <c r="L2961" t="s">
        <v>4555</v>
      </c>
      <c r="M2961" s="2">
        <v>1828</v>
      </c>
      <c r="N2961" t="s">
        <v>3147</v>
      </c>
      <c r="O2961">
        <v>3</v>
      </c>
      <c r="P2961">
        <v>2</v>
      </c>
      <c r="Q2961">
        <v>0</v>
      </c>
      <c r="R2961" t="s">
        <v>4557</v>
      </c>
      <c r="S2961" t="s">
        <v>4558</v>
      </c>
      <c r="T2961" t="s">
        <v>2704</v>
      </c>
      <c r="U2961" t="s">
        <v>4560</v>
      </c>
      <c r="V2961" s="2">
        <v>606</v>
      </c>
      <c r="W2961" t="s">
        <v>4655</v>
      </c>
      <c r="X2961" s="2">
        <v>0</v>
      </c>
      <c r="Y2961">
        <v>20</v>
      </c>
      <c r="Z2961" t="s">
        <v>4561</v>
      </c>
      <c r="AA2961" s="3">
        <v>0.23200184106826799</v>
      </c>
      <c r="AB2961" t="s">
        <v>17206</v>
      </c>
      <c r="AC2961" t="s">
        <v>4562</v>
      </c>
      <c r="AD2961" t="s">
        <v>17205</v>
      </c>
      <c r="AE2961" t="s">
        <v>4655</v>
      </c>
      <c r="AF2961" t="s">
        <v>4563</v>
      </c>
      <c r="AG2961" t="s">
        <v>4564</v>
      </c>
      <c r="AH2961">
        <v>89511</v>
      </c>
      <c r="AI2961" t="s">
        <v>17207</v>
      </c>
      <c r="AJ2961" t="s">
        <v>4655</v>
      </c>
      <c r="AK2961" t="s">
        <v>17208</v>
      </c>
      <c r="AL2961" s="13" t="s">
        <v>2257</v>
      </c>
      <c r="AM2961" s="14">
        <v>1</v>
      </c>
      <c r="AN2961" s="15" t="s">
        <v>3027</v>
      </c>
    </row>
    <row r="2962" spans="1:40" x14ac:dyDescent="0.3">
      <c r="A2962" s="10" t="str">
        <f>HYPERLINK("http://www.washoecounty.gov/assessor/cama/?parid=040-424-20&amp;CardNumber=1","040-424-20")</f>
        <v>040-424-20</v>
      </c>
      <c r="B2962" t="s">
        <v>4655</v>
      </c>
      <c r="C2962" t="s">
        <v>17209</v>
      </c>
      <c r="D2962" s="1">
        <v>40437</v>
      </c>
      <c r="E2962" s="2">
        <v>240000</v>
      </c>
      <c r="F2962" t="s">
        <v>4567</v>
      </c>
      <c r="G2962" s="17" t="str">
        <f>HYPERLINK("https://www.washoecounty.gov/assessor/cama/?command=sales&amp;parid=04042420","3923186")</f>
        <v>3923186</v>
      </c>
      <c r="H2962" t="s">
        <v>222</v>
      </c>
      <c r="I2962">
        <v>1989</v>
      </c>
      <c r="J2962">
        <v>1989</v>
      </c>
      <c r="K2962" t="s">
        <v>4554</v>
      </c>
      <c r="L2962" t="s">
        <v>2170</v>
      </c>
      <c r="M2962" s="2">
        <v>1726</v>
      </c>
      <c r="N2962" t="s">
        <v>3147</v>
      </c>
      <c r="O2962">
        <v>3</v>
      </c>
      <c r="P2962">
        <v>2</v>
      </c>
      <c r="Q2962">
        <v>1</v>
      </c>
      <c r="R2962" t="s">
        <v>4557</v>
      </c>
      <c r="S2962" t="s">
        <v>4558</v>
      </c>
      <c r="T2962" t="s">
        <v>2704</v>
      </c>
      <c r="U2962" t="s">
        <v>4560</v>
      </c>
      <c r="V2962" s="2">
        <v>592</v>
      </c>
      <c r="W2962" t="s">
        <v>4655</v>
      </c>
      <c r="X2962" s="2">
        <v>0</v>
      </c>
      <c r="Y2962">
        <v>20</v>
      </c>
      <c r="Z2962" t="s">
        <v>4561</v>
      </c>
      <c r="AA2962" s="3">
        <v>0.15798898041248299</v>
      </c>
      <c r="AB2962" t="s">
        <v>17210</v>
      </c>
      <c r="AC2962" t="s">
        <v>4562</v>
      </c>
      <c r="AD2962" t="s">
        <v>17209</v>
      </c>
      <c r="AE2962" t="s">
        <v>4655</v>
      </c>
      <c r="AF2962" t="s">
        <v>4563</v>
      </c>
      <c r="AG2962" t="s">
        <v>4564</v>
      </c>
      <c r="AH2962">
        <v>89511</v>
      </c>
      <c r="AI2962" t="s">
        <v>17211</v>
      </c>
      <c r="AJ2962" t="s">
        <v>4655</v>
      </c>
      <c r="AK2962" t="s">
        <v>17212</v>
      </c>
      <c r="AL2962" s="13" t="s">
        <v>2257</v>
      </c>
      <c r="AM2962" s="14">
        <v>1</v>
      </c>
      <c r="AN2962" s="15" t="s">
        <v>3027</v>
      </c>
    </row>
    <row r="2963" spans="1:40" x14ac:dyDescent="0.3">
      <c r="A2963" s="10" t="str">
        <f>HYPERLINK("http://www.washoecounty.gov/assessor/cama/?parid=040-433-04&amp;CardNumber=1","040-433-04")</f>
        <v>040-433-04</v>
      </c>
      <c r="B2963" t="s">
        <v>4655</v>
      </c>
      <c r="C2963" t="s">
        <v>17213</v>
      </c>
      <c r="D2963" s="1">
        <v>40512</v>
      </c>
      <c r="E2963" s="2">
        <v>285000</v>
      </c>
      <c r="F2963" t="s">
        <v>4567</v>
      </c>
      <c r="G2963" s="17" t="str">
        <f>HYPERLINK("https://www.washoecounty.gov/assessor/cama/?command=sales&amp;parid=04043304","3947775")</f>
        <v>3947775</v>
      </c>
      <c r="H2963" t="s">
        <v>17214</v>
      </c>
      <c r="I2963">
        <v>1991</v>
      </c>
      <c r="J2963">
        <v>1991</v>
      </c>
      <c r="K2963" t="s">
        <v>4554</v>
      </c>
      <c r="L2963" t="s">
        <v>3974</v>
      </c>
      <c r="M2963" s="2">
        <v>2249</v>
      </c>
      <c r="N2963" t="s">
        <v>3147</v>
      </c>
      <c r="O2963">
        <v>4</v>
      </c>
      <c r="P2963">
        <v>2</v>
      </c>
      <c r="Q2963">
        <v>1</v>
      </c>
      <c r="R2963" t="s">
        <v>5281</v>
      </c>
      <c r="S2963" t="s">
        <v>4558</v>
      </c>
      <c r="T2963" t="s">
        <v>2704</v>
      </c>
      <c r="U2963" t="s">
        <v>4560</v>
      </c>
      <c r="V2963" s="2">
        <v>617</v>
      </c>
      <c r="W2963" t="s">
        <v>4655</v>
      </c>
      <c r="X2963" s="2">
        <v>0</v>
      </c>
      <c r="Y2963">
        <v>20</v>
      </c>
      <c r="Z2963" t="s">
        <v>4561</v>
      </c>
      <c r="AA2963" s="3">
        <v>0.25399449467658997</v>
      </c>
      <c r="AB2963" t="s">
        <v>17215</v>
      </c>
      <c r="AC2963" t="s">
        <v>4562</v>
      </c>
      <c r="AD2963" t="s">
        <v>17213</v>
      </c>
      <c r="AE2963" t="s">
        <v>4655</v>
      </c>
      <c r="AF2963" t="s">
        <v>4563</v>
      </c>
      <c r="AG2963" t="s">
        <v>4564</v>
      </c>
      <c r="AH2963">
        <v>89511</v>
      </c>
      <c r="AI2963" t="s">
        <v>17216</v>
      </c>
      <c r="AJ2963" t="s">
        <v>4655</v>
      </c>
      <c r="AK2963" t="s">
        <v>17217</v>
      </c>
      <c r="AL2963" s="13" t="s">
        <v>2257</v>
      </c>
      <c r="AM2963" s="14">
        <v>1</v>
      </c>
      <c r="AN2963" s="15" t="s">
        <v>3027</v>
      </c>
    </row>
    <row r="2964" spans="1:40" x14ac:dyDescent="0.3">
      <c r="A2964" s="10" t="str">
        <f>HYPERLINK("http://www.washoecounty.gov/assessor/cama/?parid=040-572-14&amp;CardNumber=1","040-572-14")</f>
        <v>040-572-14</v>
      </c>
      <c r="B2964" t="s">
        <v>4655</v>
      </c>
      <c r="C2964" t="s">
        <v>17218</v>
      </c>
      <c r="D2964" s="1">
        <v>40310</v>
      </c>
      <c r="E2964" s="2">
        <v>681318</v>
      </c>
      <c r="F2964" t="s">
        <v>4567</v>
      </c>
      <c r="G2964" s="17" t="str">
        <f>HYPERLINK("https://www.washoecounty.gov/assessor/cama/?command=sales&amp;parid=04057214","3880706")</f>
        <v>3880706</v>
      </c>
      <c r="H2964" t="s">
        <v>4006</v>
      </c>
      <c r="I2964">
        <v>1967</v>
      </c>
      <c r="J2964">
        <v>1967</v>
      </c>
      <c r="K2964" t="s">
        <v>4554</v>
      </c>
      <c r="L2964" t="s">
        <v>4555</v>
      </c>
      <c r="M2964" s="2">
        <v>2365</v>
      </c>
      <c r="N2964" t="s">
        <v>3147</v>
      </c>
      <c r="O2964">
        <v>4</v>
      </c>
      <c r="P2964">
        <v>2</v>
      </c>
      <c r="Q2964">
        <v>1</v>
      </c>
      <c r="R2964" t="s">
        <v>4557</v>
      </c>
      <c r="S2964" t="s">
        <v>4682</v>
      </c>
      <c r="T2964" t="s">
        <v>4559</v>
      </c>
      <c r="U2964" t="s">
        <v>4560</v>
      </c>
      <c r="V2964" s="2">
        <v>748</v>
      </c>
      <c r="W2964" t="s">
        <v>3149</v>
      </c>
      <c r="X2964" s="2">
        <v>352</v>
      </c>
      <c r="Y2964">
        <v>20</v>
      </c>
      <c r="Z2964" t="s">
        <v>1376</v>
      </c>
      <c r="AA2964" s="3">
        <v>2.7449998855590798</v>
      </c>
      <c r="AB2964" t="s">
        <v>17219</v>
      </c>
      <c r="AC2964" t="s">
        <v>4575</v>
      </c>
      <c r="AD2964" t="s">
        <v>17220</v>
      </c>
      <c r="AE2964" t="s">
        <v>4655</v>
      </c>
      <c r="AF2964" t="s">
        <v>4563</v>
      </c>
      <c r="AG2964" t="s">
        <v>4564</v>
      </c>
      <c r="AH2964">
        <v>89509</v>
      </c>
      <c r="AI2964" t="s">
        <v>17221</v>
      </c>
      <c r="AJ2964" t="s">
        <v>4655</v>
      </c>
      <c r="AK2964" t="s">
        <v>17222</v>
      </c>
      <c r="AL2964" s="13" t="s">
        <v>3420</v>
      </c>
      <c r="AM2964" s="14">
        <v>1</v>
      </c>
      <c r="AN2964" s="15" t="s">
        <v>1584</v>
      </c>
    </row>
    <row r="2965" spans="1:40" x14ac:dyDescent="0.3">
      <c r="A2965" s="10" t="str">
        <f>HYPERLINK("http://www.washoecounty.gov/assessor/cama/?parid=040-632-11&amp;CardNumber=1","040-632-11")</f>
        <v>040-632-11</v>
      </c>
      <c r="B2965" t="s">
        <v>5502</v>
      </c>
      <c r="C2965" t="s">
        <v>17223</v>
      </c>
      <c r="D2965" s="1">
        <v>40347</v>
      </c>
      <c r="E2965" s="2">
        <v>1350000</v>
      </c>
      <c r="F2965" t="s">
        <v>4567</v>
      </c>
      <c r="G2965" s="17" t="str">
        <f>HYPERLINK("https://www.washoecounty.gov/assessor/cama/?command=sales&amp;parid=04063211","3893330")</f>
        <v>3893330</v>
      </c>
      <c r="H2965" t="s">
        <v>4802</v>
      </c>
      <c r="I2965">
        <v>1949</v>
      </c>
      <c r="J2965">
        <v>1967</v>
      </c>
      <c r="K2965" t="s">
        <v>4554</v>
      </c>
      <c r="L2965" t="s">
        <v>4555</v>
      </c>
      <c r="M2965" s="2">
        <v>3392</v>
      </c>
      <c r="N2965" t="s">
        <v>1245</v>
      </c>
      <c r="O2965">
        <v>4</v>
      </c>
      <c r="P2965">
        <v>2</v>
      </c>
      <c r="Q2965">
        <v>1</v>
      </c>
      <c r="R2965" t="s">
        <v>4557</v>
      </c>
      <c r="S2965" t="s">
        <v>4558</v>
      </c>
      <c r="T2965" t="s">
        <v>4559</v>
      </c>
      <c r="U2965" t="s">
        <v>4560</v>
      </c>
      <c r="V2965" s="2">
        <v>644</v>
      </c>
      <c r="W2965" t="s">
        <v>3149</v>
      </c>
      <c r="X2965" s="2">
        <v>510</v>
      </c>
      <c r="Y2965">
        <v>31</v>
      </c>
      <c r="Z2965" t="s">
        <v>1376</v>
      </c>
      <c r="AA2965" s="3">
        <v>9.8420000076293892</v>
      </c>
      <c r="AB2965" t="s">
        <v>17224</v>
      </c>
      <c r="AC2965" t="s">
        <v>4575</v>
      </c>
      <c r="AD2965" t="s">
        <v>17225</v>
      </c>
      <c r="AE2965" t="s">
        <v>4655</v>
      </c>
      <c r="AF2965" t="s">
        <v>5206</v>
      </c>
      <c r="AG2965" t="s">
        <v>4564</v>
      </c>
      <c r="AH2965" t="s">
        <v>5202</v>
      </c>
      <c r="AI2965" t="s">
        <v>58</v>
      </c>
      <c r="AJ2965" t="s">
        <v>4655</v>
      </c>
      <c r="AK2965" t="s">
        <v>17226</v>
      </c>
      <c r="AL2965" s="13" t="s">
        <v>3420</v>
      </c>
      <c r="AM2965">
        <v>2</v>
      </c>
      <c r="AN2965" s="15" t="s">
        <v>1584</v>
      </c>
    </row>
    <row r="2966" spans="1:40" x14ac:dyDescent="0.3">
      <c r="A2966" s="10" t="str">
        <f>HYPERLINK("http://www.washoecounty.gov/assessor/cama/?parid=040-650-25&amp;CardNumber=1","040-650-25")</f>
        <v>040-650-25</v>
      </c>
      <c r="B2966" t="s">
        <v>4655</v>
      </c>
      <c r="C2966" t="s">
        <v>17227</v>
      </c>
      <c r="D2966" s="1">
        <v>40323</v>
      </c>
      <c r="E2966" s="2">
        <v>470724</v>
      </c>
      <c r="F2966" t="s">
        <v>3512</v>
      </c>
      <c r="G2966" s="17" t="str">
        <f>HYPERLINK("https://www.washoecounty.gov/assessor/cama/?command=sales&amp;parid=04065025","3884775")</f>
        <v>3884775</v>
      </c>
      <c r="H2966" t="s">
        <v>17228</v>
      </c>
      <c r="I2966">
        <v>1950</v>
      </c>
      <c r="J2966">
        <v>1950</v>
      </c>
      <c r="K2966" t="s">
        <v>4554</v>
      </c>
      <c r="L2966" t="s">
        <v>4555</v>
      </c>
      <c r="M2966" s="2">
        <v>1350</v>
      </c>
      <c r="N2966" t="s">
        <v>4048</v>
      </c>
      <c r="O2966">
        <v>2</v>
      </c>
      <c r="P2966">
        <v>1</v>
      </c>
      <c r="Q2966">
        <v>0</v>
      </c>
      <c r="R2966" t="s">
        <v>4557</v>
      </c>
      <c r="S2966" t="s">
        <v>4574</v>
      </c>
      <c r="T2966" t="s">
        <v>4143</v>
      </c>
      <c r="U2966" t="s">
        <v>162</v>
      </c>
      <c r="V2966" s="2">
        <v>1728</v>
      </c>
      <c r="W2966" t="s">
        <v>4655</v>
      </c>
      <c r="X2966" s="2">
        <v>0</v>
      </c>
      <c r="Y2966">
        <v>20</v>
      </c>
      <c r="Z2966" t="s">
        <v>1376</v>
      </c>
      <c r="AA2966" s="3">
        <v>3.4679999351501398</v>
      </c>
      <c r="AB2966" t="s">
        <v>17229</v>
      </c>
      <c r="AC2966" t="s">
        <v>4575</v>
      </c>
      <c r="AD2966" t="s">
        <v>17230</v>
      </c>
      <c r="AE2966" t="s">
        <v>4655</v>
      </c>
      <c r="AF2966" t="s">
        <v>4563</v>
      </c>
      <c r="AG2966" t="s">
        <v>4564</v>
      </c>
      <c r="AH2966">
        <v>89509</v>
      </c>
      <c r="AI2966" t="s">
        <v>4655</v>
      </c>
      <c r="AJ2966" t="s">
        <v>17231</v>
      </c>
      <c r="AK2966" t="s">
        <v>17232</v>
      </c>
      <c r="AL2966" s="13" t="s">
        <v>3420</v>
      </c>
      <c r="AM2966">
        <v>1</v>
      </c>
      <c r="AN2966" s="15" t="s">
        <v>1584</v>
      </c>
    </row>
    <row r="2967" spans="1:40" x14ac:dyDescent="0.3">
      <c r="A2967" s="10" t="str">
        <f>HYPERLINK("http://www.washoecounty.gov/assessor/cama/?parid=040-660-07&amp;CardNumber=1","040-660-07")</f>
        <v>040-660-07</v>
      </c>
      <c r="B2967" t="s">
        <v>4655</v>
      </c>
      <c r="C2967" t="s">
        <v>17233</v>
      </c>
      <c r="D2967" s="1">
        <v>40374</v>
      </c>
      <c r="E2967" s="2">
        <v>1150000</v>
      </c>
      <c r="F2967" t="s">
        <v>4567</v>
      </c>
      <c r="G2967" s="17" t="str">
        <f>HYPERLINK("https://www.washoecounty.gov/assessor/cama/?command=sales&amp;parid=04066007","3901596")</f>
        <v>3901596</v>
      </c>
      <c r="H2967" t="s">
        <v>17234</v>
      </c>
      <c r="I2967">
        <v>1979</v>
      </c>
      <c r="J2967">
        <v>1979</v>
      </c>
      <c r="K2967" t="s">
        <v>4554</v>
      </c>
      <c r="L2967" t="s">
        <v>3886</v>
      </c>
      <c r="M2967" s="2">
        <v>4342</v>
      </c>
      <c r="N2967" t="s">
        <v>2631</v>
      </c>
      <c r="O2967">
        <v>4</v>
      </c>
      <c r="P2967">
        <v>4</v>
      </c>
      <c r="Q2967">
        <v>1</v>
      </c>
      <c r="R2967" t="s">
        <v>5630</v>
      </c>
      <c r="S2967" t="s">
        <v>4682</v>
      </c>
      <c r="T2967" t="s">
        <v>2947</v>
      </c>
      <c r="U2967" t="s">
        <v>4655</v>
      </c>
      <c r="V2967" s="2">
        <v>0</v>
      </c>
      <c r="W2967" t="s">
        <v>1500</v>
      </c>
      <c r="X2967" s="2">
        <v>378</v>
      </c>
      <c r="Y2967">
        <v>20</v>
      </c>
      <c r="Z2967" t="s">
        <v>1376</v>
      </c>
      <c r="AA2967" s="3">
        <v>5.0300002098083398</v>
      </c>
      <c r="AB2967" t="s">
        <v>17235</v>
      </c>
      <c r="AC2967" t="s">
        <v>4562</v>
      </c>
      <c r="AD2967" t="s">
        <v>17233</v>
      </c>
      <c r="AE2967" t="s">
        <v>4655</v>
      </c>
      <c r="AF2967" t="s">
        <v>4563</v>
      </c>
      <c r="AG2967" t="s">
        <v>4564</v>
      </c>
      <c r="AH2967">
        <v>89511</v>
      </c>
      <c r="AI2967" t="s">
        <v>17236</v>
      </c>
      <c r="AJ2967" t="s">
        <v>4655</v>
      </c>
      <c r="AK2967" t="s">
        <v>17237</v>
      </c>
      <c r="AL2967" s="13" t="s">
        <v>3420</v>
      </c>
      <c r="AM2967">
        <v>1</v>
      </c>
      <c r="AN2967" s="15" t="s">
        <v>1584</v>
      </c>
    </row>
    <row r="2968" spans="1:40" x14ac:dyDescent="0.3">
      <c r="A2968" s="10" t="str">
        <f>HYPERLINK("http://www.washoecounty.gov/assessor/cama/?parid=040-692-03&amp;CardNumber=1","040-692-03")</f>
        <v>040-692-03</v>
      </c>
      <c r="B2968" t="s">
        <v>4655</v>
      </c>
      <c r="C2968" t="s">
        <v>17238</v>
      </c>
      <c r="D2968" s="1">
        <v>40472</v>
      </c>
      <c r="E2968" s="2">
        <v>355000</v>
      </c>
      <c r="F2968" t="s">
        <v>4567</v>
      </c>
      <c r="G2968" s="17" t="str">
        <f>HYPERLINK("https://www.washoecounty.gov/assessor/cama/?command=sales&amp;parid=04069203","3935150")</f>
        <v>3935150</v>
      </c>
      <c r="H2968" t="s">
        <v>17239</v>
      </c>
      <c r="I2968">
        <v>1964</v>
      </c>
      <c r="J2968">
        <v>1964</v>
      </c>
      <c r="K2968" t="s">
        <v>4554</v>
      </c>
      <c r="L2968" t="s">
        <v>3974</v>
      </c>
      <c r="M2968" s="2">
        <v>1972</v>
      </c>
      <c r="N2968" t="s">
        <v>3147</v>
      </c>
      <c r="O2968">
        <v>4</v>
      </c>
      <c r="P2968">
        <v>2</v>
      </c>
      <c r="Q2968">
        <v>0</v>
      </c>
      <c r="R2968" t="s">
        <v>5205</v>
      </c>
      <c r="S2968" t="s">
        <v>364</v>
      </c>
      <c r="T2968" t="s">
        <v>4143</v>
      </c>
      <c r="U2968" t="s">
        <v>4655</v>
      </c>
      <c r="V2968" s="2">
        <v>0</v>
      </c>
      <c r="W2968" t="s">
        <v>4655</v>
      </c>
      <c r="X2968" s="2">
        <v>0</v>
      </c>
      <c r="Y2968">
        <v>20</v>
      </c>
      <c r="Z2968" t="s">
        <v>3884</v>
      </c>
      <c r="AA2968" s="3">
        <v>2.08500003814697</v>
      </c>
      <c r="AB2968" t="s">
        <v>17240</v>
      </c>
      <c r="AC2968" t="s">
        <v>4562</v>
      </c>
      <c r="AD2968" t="s">
        <v>17241</v>
      </c>
      <c r="AE2968" t="s">
        <v>4655</v>
      </c>
      <c r="AF2968" t="s">
        <v>4563</v>
      </c>
      <c r="AG2968" t="s">
        <v>4564</v>
      </c>
      <c r="AH2968">
        <v>89511</v>
      </c>
      <c r="AI2968" t="s">
        <v>17242</v>
      </c>
      <c r="AJ2968" t="s">
        <v>4655</v>
      </c>
      <c r="AK2968" t="s">
        <v>17243</v>
      </c>
      <c r="AL2968" s="13" t="s">
        <v>3420</v>
      </c>
      <c r="AM2968">
        <v>1</v>
      </c>
      <c r="AN2968" s="15" t="s">
        <v>1580</v>
      </c>
    </row>
    <row r="2969" spans="1:40" x14ac:dyDescent="0.3">
      <c r="A2969" s="10" t="str">
        <f>HYPERLINK("http://www.washoecounty.gov/assessor/cama/?parid=040-760-14&amp;CardNumber=1","040-760-14")</f>
        <v>040-760-14</v>
      </c>
      <c r="B2969" t="s">
        <v>4655</v>
      </c>
      <c r="C2969" t="s">
        <v>17244</v>
      </c>
      <c r="D2969" s="1">
        <v>40225</v>
      </c>
      <c r="E2969" s="2">
        <v>575000</v>
      </c>
      <c r="F2969" t="s">
        <v>4553</v>
      </c>
      <c r="G2969" s="17" t="str">
        <f>HYPERLINK("https://www.washoecounty.gov/assessor/cama/?command=sales&amp;parid=04076014","3849679")</f>
        <v>3849679</v>
      </c>
      <c r="H2969" t="s">
        <v>17245</v>
      </c>
      <c r="I2969">
        <v>2007</v>
      </c>
      <c r="J2969">
        <v>2007</v>
      </c>
      <c r="K2969" t="s">
        <v>4554</v>
      </c>
      <c r="L2969" t="s">
        <v>3974</v>
      </c>
      <c r="M2969" s="2">
        <v>3370</v>
      </c>
      <c r="N2969" t="s">
        <v>1245</v>
      </c>
      <c r="O2969">
        <v>4</v>
      </c>
      <c r="P2969">
        <v>3</v>
      </c>
      <c r="Q2969">
        <v>1</v>
      </c>
      <c r="R2969" t="s">
        <v>5281</v>
      </c>
      <c r="S2969" t="s">
        <v>4898</v>
      </c>
      <c r="T2969" t="s">
        <v>4559</v>
      </c>
      <c r="U2969" t="s">
        <v>5631</v>
      </c>
      <c r="V2969" s="2">
        <v>838</v>
      </c>
      <c r="W2969" t="s">
        <v>4655</v>
      </c>
      <c r="X2969" s="2">
        <v>0</v>
      </c>
      <c r="Y2969">
        <v>20</v>
      </c>
      <c r="Z2969" t="s">
        <v>3668</v>
      </c>
      <c r="AA2969" s="3">
        <v>2.07699990272521</v>
      </c>
      <c r="AB2969" t="s">
        <v>17246</v>
      </c>
      <c r="AC2969" t="s">
        <v>4575</v>
      </c>
      <c r="AD2969" t="s">
        <v>17244</v>
      </c>
      <c r="AE2969" t="s">
        <v>4655</v>
      </c>
      <c r="AF2969" t="s">
        <v>4563</v>
      </c>
      <c r="AG2969" t="s">
        <v>4564</v>
      </c>
      <c r="AH2969">
        <v>89511</v>
      </c>
      <c r="AI2969" t="s">
        <v>17247</v>
      </c>
      <c r="AJ2969" t="s">
        <v>4571</v>
      </c>
      <c r="AK2969" t="s">
        <v>17248</v>
      </c>
      <c r="AL2969" s="13" t="s">
        <v>3420</v>
      </c>
      <c r="AM2969" s="14">
        <v>1</v>
      </c>
      <c r="AN2969" s="15" t="s">
        <v>1580</v>
      </c>
    </row>
    <row r="2970" spans="1:40" x14ac:dyDescent="0.3">
      <c r="A2970" s="10" t="str">
        <f>HYPERLINK("http://www.washoecounty.gov/assessor/cama/?parid=040-861-08&amp;CardNumber=1","040-861-08")</f>
        <v>040-861-08</v>
      </c>
      <c r="B2970" t="s">
        <v>4655</v>
      </c>
      <c r="C2970" t="s">
        <v>17249</v>
      </c>
      <c r="D2970" s="1">
        <v>40527</v>
      </c>
      <c r="E2970" s="2">
        <v>242000</v>
      </c>
      <c r="F2970" t="s">
        <v>4553</v>
      </c>
      <c r="G2970" s="17" t="str">
        <f>HYPERLINK("https://www.washoecounty.gov/assessor/cama/?command=sales&amp;parid=04086108","3953613")</f>
        <v>3953613</v>
      </c>
      <c r="H2970" t="s">
        <v>17250</v>
      </c>
      <c r="I2970">
        <v>1993</v>
      </c>
      <c r="J2970">
        <v>1993</v>
      </c>
      <c r="K2970" t="s">
        <v>4554</v>
      </c>
      <c r="L2970" t="s">
        <v>3974</v>
      </c>
      <c r="M2970" s="2">
        <v>2176</v>
      </c>
      <c r="N2970" t="s">
        <v>3147</v>
      </c>
      <c r="O2970">
        <v>4</v>
      </c>
      <c r="P2970">
        <v>2</v>
      </c>
      <c r="Q2970">
        <v>1</v>
      </c>
      <c r="R2970" t="s">
        <v>4557</v>
      </c>
      <c r="S2970" t="s">
        <v>4558</v>
      </c>
      <c r="T2970" t="s">
        <v>2704</v>
      </c>
      <c r="U2970" t="s">
        <v>4560</v>
      </c>
      <c r="V2970" s="2">
        <v>500</v>
      </c>
      <c r="W2970" t="s">
        <v>4655</v>
      </c>
      <c r="X2970" s="2">
        <v>0</v>
      </c>
      <c r="Y2970">
        <v>20</v>
      </c>
      <c r="Z2970" t="s">
        <v>4561</v>
      </c>
      <c r="AA2970" s="3">
        <v>0.13799357414245605</v>
      </c>
      <c r="AB2970" t="s">
        <v>17251</v>
      </c>
      <c r="AC2970" t="s">
        <v>4562</v>
      </c>
      <c r="AD2970" t="s">
        <v>17252</v>
      </c>
      <c r="AE2970" t="s">
        <v>4655</v>
      </c>
      <c r="AF2970" t="s">
        <v>4563</v>
      </c>
      <c r="AG2970" t="s">
        <v>4564</v>
      </c>
      <c r="AH2970">
        <v>89509</v>
      </c>
      <c r="AI2970" t="s">
        <v>17253</v>
      </c>
      <c r="AJ2970" t="s">
        <v>4655</v>
      </c>
      <c r="AK2970" t="s">
        <v>17254</v>
      </c>
      <c r="AL2970" s="13" t="s">
        <v>2257</v>
      </c>
      <c r="AM2970">
        <v>1</v>
      </c>
      <c r="AN2970" s="15" t="s">
        <v>3027</v>
      </c>
    </row>
    <row r="2971" spans="1:40" x14ac:dyDescent="0.3">
      <c r="A2971" s="10" t="str">
        <f>HYPERLINK("http://www.washoecounty.gov/assessor/cama/?parid=040-862-04&amp;CardNumber=1","040-862-04")</f>
        <v>040-862-04</v>
      </c>
      <c r="B2971" t="s">
        <v>4655</v>
      </c>
      <c r="C2971" t="s">
        <v>17255</v>
      </c>
      <c r="D2971" s="1">
        <v>40277</v>
      </c>
      <c r="E2971" s="2">
        <v>190000</v>
      </c>
      <c r="F2971" t="s">
        <v>4567</v>
      </c>
      <c r="G2971" s="17" t="str">
        <f>HYPERLINK("https://www.washoecounty.gov/assessor/cama/?command=sales&amp;parid=04086204","3869410")</f>
        <v>3869410</v>
      </c>
      <c r="H2971" t="s">
        <v>17250</v>
      </c>
      <c r="I2971">
        <v>1993</v>
      </c>
      <c r="J2971">
        <v>1993</v>
      </c>
      <c r="K2971" t="s">
        <v>4554</v>
      </c>
      <c r="L2971" t="s">
        <v>4555</v>
      </c>
      <c r="M2971" s="2">
        <v>1382</v>
      </c>
      <c r="N2971" t="s">
        <v>3147</v>
      </c>
      <c r="O2971">
        <v>3</v>
      </c>
      <c r="P2971">
        <v>2</v>
      </c>
      <c r="Q2971">
        <v>0</v>
      </c>
      <c r="R2971" t="s">
        <v>4557</v>
      </c>
      <c r="S2971" t="s">
        <v>4558</v>
      </c>
      <c r="T2971" t="s">
        <v>2704</v>
      </c>
      <c r="U2971" t="s">
        <v>4560</v>
      </c>
      <c r="V2971" s="2">
        <v>464</v>
      </c>
      <c r="W2971" t="s">
        <v>4655</v>
      </c>
      <c r="X2971" s="2">
        <v>0</v>
      </c>
      <c r="Y2971">
        <v>20</v>
      </c>
      <c r="Z2971" t="s">
        <v>4561</v>
      </c>
      <c r="AA2971" s="3">
        <v>0.15300734341144601</v>
      </c>
      <c r="AB2971" t="s">
        <v>17256</v>
      </c>
      <c r="AC2971" t="s">
        <v>4575</v>
      </c>
      <c r="AD2971" t="s">
        <v>189</v>
      </c>
      <c r="AE2971" t="s">
        <v>4655</v>
      </c>
      <c r="AF2971" t="s">
        <v>4563</v>
      </c>
      <c r="AG2971" t="s">
        <v>4564</v>
      </c>
      <c r="AH2971">
        <v>89511</v>
      </c>
      <c r="AI2971" t="s">
        <v>17257</v>
      </c>
      <c r="AJ2971" t="s">
        <v>4655</v>
      </c>
      <c r="AK2971" t="s">
        <v>17258</v>
      </c>
      <c r="AL2971" s="13" t="s">
        <v>2257</v>
      </c>
      <c r="AM2971" s="14">
        <v>1</v>
      </c>
      <c r="AN2971" s="15" t="s">
        <v>3027</v>
      </c>
    </row>
    <row r="2972" spans="1:40" x14ac:dyDescent="0.3">
      <c r="A2972" s="10" t="str">
        <f>HYPERLINK("http://www.washoecounty.gov/assessor/cama/?parid=040-890-04&amp;CardNumber=1","040-890-04")</f>
        <v>040-890-04</v>
      </c>
      <c r="B2972" t="s">
        <v>4655</v>
      </c>
      <c r="C2972" t="s">
        <v>17259</v>
      </c>
      <c r="D2972" s="1">
        <v>40308</v>
      </c>
      <c r="E2972" s="2">
        <v>450000</v>
      </c>
      <c r="F2972" t="s">
        <v>4567</v>
      </c>
      <c r="G2972" s="17" t="str">
        <f>HYPERLINK("https://www.washoecounty.gov/assessor/cama/?command=sales&amp;parid=04089004","3880080")</f>
        <v>3880080</v>
      </c>
      <c r="H2972" t="s">
        <v>2606</v>
      </c>
      <c r="I2972">
        <v>1940</v>
      </c>
      <c r="J2972">
        <v>1940</v>
      </c>
      <c r="K2972" t="s">
        <v>4554</v>
      </c>
      <c r="L2972" t="s">
        <v>4555</v>
      </c>
      <c r="M2972" s="2">
        <v>3574</v>
      </c>
      <c r="N2972" t="s">
        <v>1245</v>
      </c>
      <c r="O2972">
        <v>4</v>
      </c>
      <c r="P2972">
        <v>4</v>
      </c>
      <c r="Q2972">
        <v>0</v>
      </c>
      <c r="R2972" t="s">
        <v>4557</v>
      </c>
      <c r="S2972" t="s">
        <v>4558</v>
      </c>
      <c r="T2972" t="s">
        <v>4143</v>
      </c>
      <c r="U2972" t="s">
        <v>4655</v>
      </c>
      <c r="V2972" s="2">
        <v>0</v>
      </c>
      <c r="W2972" t="s">
        <v>4655</v>
      </c>
      <c r="X2972" s="2">
        <v>0</v>
      </c>
      <c r="Y2972">
        <v>20</v>
      </c>
      <c r="Z2972" t="s">
        <v>1376</v>
      </c>
      <c r="AA2972" s="3">
        <v>2.5460000038146902</v>
      </c>
      <c r="AB2972" t="s">
        <v>17260</v>
      </c>
      <c r="AC2972" t="s">
        <v>4562</v>
      </c>
      <c r="AD2972" t="s">
        <v>17259</v>
      </c>
      <c r="AE2972" t="s">
        <v>4655</v>
      </c>
      <c r="AF2972" t="s">
        <v>4563</v>
      </c>
      <c r="AG2972" t="s">
        <v>4564</v>
      </c>
      <c r="AH2972">
        <v>89511</v>
      </c>
      <c r="AI2972" t="s">
        <v>17261</v>
      </c>
      <c r="AJ2972" t="s">
        <v>17262</v>
      </c>
      <c r="AK2972" t="s">
        <v>17263</v>
      </c>
      <c r="AL2972" s="13" t="s">
        <v>3420</v>
      </c>
      <c r="AM2972" s="14">
        <v>1</v>
      </c>
      <c r="AN2972" s="15" t="s">
        <v>1584</v>
      </c>
    </row>
    <row r="2973" spans="1:40" x14ac:dyDescent="0.3">
      <c r="A2973" s="10" t="str">
        <f>HYPERLINK("http://www.washoecounty.gov/assessor/cama/?parid=040-920-31&amp;CardNumber=1","040-920-31")</f>
        <v>040-920-31</v>
      </c>
      <c r="B2973" t="s">
        <v>4655</v>
      </c>
      <c r="C2973" t="s">
        <v>1938</v>
      </c>
      <c r="D2973" s="1">
        <v>40228</v>
      </c>
      <c r="E2973" s="2">
        <v>660000</v>
      </c>
      <c r="F2973" t="s">
        <v>4187</v>
      </c>
      <c r="G2973" s="17" t="str">
        <f>HYPERLINK("https://www.washoecounty.gov/assessor/cama/?command=sales&amp;parid=04092031","3851067")</f>
        <v>3851067</v>
      </c>
      <c r="H2973" t="s">
        <v>1939</v>
      </c>
      <c r="I2973">
        <v>1999</v>
      </c>
      <c r="J2973">
        <v>1999</v>
      </c>
      <c r="K2973" t="s">
        <v>3919</v>
      </c>
      <c r="L2973" t="s">
        <v>1366</v>
      </c>
      <c r="M2973" s="2">
        <v>3485</v>
      </c>
      <c r="N2973" t="s">
        <v>4580</v>
      </c>
      <c r="O2973">
        <v>0</v>
      </c>
      <c r="P2973">
        <v>0</v>
      </c>
      <c r="Q2973">
        <v>0</v>
      </c>
      <c r="R2973" t="s">
        <v>1395</v>
      </c>
      <c r="S2973" t="s">
        <v>1819</v>
      </c>
      <c r="T2973" t="s">
        <v>4655</v>
      </c>
      <c r="U2973" t="s">
        <v>4655</v>
      </c>
      <c r="V2973" s="2">
        <v>0</v>
      </c>
      <c r="W2973" t="s">
        <v>4655</v>
      </c>
      <c r="X2973" s="2">
        <v>0</v>
      </c>
      <c r="Y2973">
        <v>41</v>
      </c>
      <c r="Z2973" t="s">
        <v>1491</v>
      </c>
      <c r="AA2973" s="3">
        <v>8.0004587769508403E-2</v>
      </c>
      <c r="AB2973" t="s">
        <v>17264</v>
      </c>
      <c r="AC2973" t="s">
        <v>4575</v>
      </c>
      <c r="AD2973" t="s">
        <v>7722</v>
      </c>
      <c r="AE2973" t="s">
        <v>4655</v>
      </c>
      <c r="AF2973" t="s">
        <v>1189</v>
      </c>
      <c r="AG2973" t="s">
        <v>4564</v>
      </c>
      <c r="AH2973">
        <v>89103</v>
      </c>
      <c r="AI2973" t="s">
        <v>4655</v>
      </c>
      <c r="AJ2973" t="s">
        <v>1940</v>
      </c>
      <c r="AK2973" t="s">
        <v>17265</v>
      </c>
      <c r="AL2973" s="13" t="s">
        <v>2257</v>
      </c>
      <c r="AM2973">
        <v>1</v>
      </c>
      <c r="AN2973" s="15" t="s">
        <v>2275</v>
      </c>
    </row>
    <row r="2974" spans="1:40" x14ac:dyDescent="0.3">
      <c r="A2974" s="10" t="str">
        <f>HYPERLINK("http://www.washoecounty.gov/assessor/cama/?parid=040-930-12&amp;CardNumber=1","040-930-12")</f>
        <v>040-930-12</v>
      </c>
      <c r="B2974" t="s">
        <v>4655</v>
      </c>
      <c r="C2974" t="s">
        <v>17266</v>
      </c>
      <c r="D2974" s="1">
        <v>40256</v>
      </c>
      <c r="E2974" s="2">
        <v>2500000</v>
      </c>
      <c r="F2974" t="s">
        <v>4567</v>
      </c>
      <c r="G2974" s="17" t="str">
        <f>HYPERLINK("https://www.washoecounty.gov/assessor/cama/?command=sales&amp;parid=04093012","3861546")</f>
        <v>3861546</v>
      </c>
      <c r="H2974" t="s">
        <v>1488</v>
      </c>
      <c r="I2974">
        <v>2005</v>
      </c>
      <c r="J2974">
        <v>2005</v>
      </c>
      <c r="K2974" t="s">
        <v>4554</v>
      </c>
      <c r="L2974" t="s">
        <v>4555</v>
      </c>
      <c r="M2974" s="2">
        <v>6931</v>
      </c>
      <c r="N2974" t="s">
        <v>4588</v>
      </c>
      <c r="O2974">
        <v>3</v>
      </c>
      <c r="P2974">
        <v>3</v>
      </c>
      <c r="Q2974">
        <v>1</v>
      </c>
      <c r="R2974" t="s">
        <v>2632</v>
      </c>
      <c r="S2974" t="s">
        <v>4898</v>
      </c>
      <c r="T2974" t="s">
        <v>2704</v>
      </c>
      <c r="U2974" t="s">
        <v>4560</v>
      </c>
      <c r="V2974" s="2">
        <v>3271</v>
      </c>
      <c r="W2974" t="s">
        <v>4655</v>
      </c>
      <c r="X2974" s="2">
        <v>0</v>
      </c>
      <c r="Y2974">
        <v>20</v>
      </c>
      <c r="Z2974" t="s">
        <v>1376</v>
      </c>
      <c r="AA2974" s="3">
        <v>2.4579999446868896</v>
      </c>
      <c r="AB2974" t="s">
        <v>1489</v>
      </c>
      <c r="AC2974" t="s">
        <v>4575</v>
      </c>
      <c r="AD2974" t="s">
        <v>17267</v>
      </c>
      <c r="AE2974" t="s">
        <v>4655</v>
      </c>
      <c r="AF2974" t="s">
        <v>4563</v>
      </c>
      <c r="AG2974" t="s">
        <v>4564</v>
      </c>
      <c r="AH2974">
        <v>89511</v>
      </c>
      <c r="AI2974" t="s">
        <v>17268</v>
      </c>
      <c r="AJ2974" t="s">
        <v>1470</v>
      </c>
      <c r="AK2974" t="s">
        <v>17269</v>
      </c>
      <c r="AL2974" s="13" t="s">
        <v>3420</v>
      </c>
      <c r="AM2974">
        <v>1</v>
      </c>
      <c r="AN2974" s="15" t="s">
        <v>1584</v>
      </c>
    </row>
    <row r="2975" spans="1:40" x14ac:dyDescent="0.3">
      <c r="A2975" s="10" t="str">
        <f>HYPERLINK("http://www.washoecounty.gov/assessor/cama/?parid=040-930-26&amp;CardNumber=1","040-930-26")</f>
        <v>040-930-26</v>
      </c>
      <c r="B2975" t="s">
        <v>4655</v>
      </c>
      <c r="C2975" t="s">
        <v>17270</v>
      </c>
      <c r="D2975" s="1">
        <v>40247</v>
      </c>
      <c r="E2975" s="2">
        <v>497100</v>
      </c>
      <c r="F2975" t="s">
        <v>3512</v>
      </c>
      <c r="G2975" s="17" t="str">
        <f>HYPERLINK("https://www.washoecounty.gov/assessor/cama/?command=sales&amp;parid=04093026","3858390")</f>
        <v>3858390</v>
      </c>
      <c r="H2975" t="s">
        <v>17271</v>
      </c>
      <c r="I2975">
        <v>0</v>
      </c>
      <c r="J2975">
        <v>0</v>
      </c>
      <c r="K2975" t="s">
        <v>4655</v>
      </c>
      <c r="L2975" t="s">
        <v>4655</v>
      </c>
      <c r="M2975" s="2">
        <v>0</v>
      </c>
      <c r="N2975" t="s">
        <v>4655</v>
      </c>
      <c r="O2975">
        <v>0</v>
      </c>
      <c r="P2975">
        <v>0</v>
      </c>
      <c r="Q2975">
        <v>0</v>
      </c>
      <c r="R2975" t="s">
        <v>4655</v>
      </c>
      <c r="S2975" t="s">
        <v>4655</v>
      </c>
      <c r="T2975" t="s">
        <v>4655</v>
      </c>
      <c r="U2975" t="s">
        <v>4655</v>
      </c>
      <c r="V2975" s="2">
        <v>0</v>
      </c>
      <c r="W2975" t="s">
        <v>4655</v>
      </c>
      <c r="X2975" s="2">
        <v>0</v>
      </c>
      <c r="Y2975">
        <v>18</v>
      </c>
      <c r="Z2975" t="s">
        <v>1376</v>
      </c>
      <c r="AA2975" s="3">
        <v>2.49600005149841</v>
      </c>
      <c r="AB2975" t="s">
        <v>17272</v>
      </c>
      <c r="AC2975" t="s">
        <v>4575</v>
      </c>
      <c r="AD2975" t="s">
        <v>17273</v>
      </c>
      <c r="AE2975" t="s">
        <v>17274</v>
      </c>
      <c r="AF2975" t="s">
        <v>1189</v>
      </c>
      <c r="AG2975" t="s">
        <v>4564</v>
      </c>
      <c r="AH2975">
        <v>89117</v>
      </c>
      <c r="AI2975" t="s">
        <v>17275</v>
      </c>
      <c r="AJ2975" t="s">
        <v>17276</v>
      </c>
      <c r="AK2975" t="s">
        <v>17277</v>
      </c>
      <c r="AL2975" s="13" t="s">
        <v>3420</v>
      </c>
      <c r="AM2975">
        <v>0</v>
      </c>
      <c r="AN2975" s="15" t="s">
        <v>1584</v>
      </c>
    </row>
    <row r="2976" spans="1:40" x14ac:dyDescent="0.3">
      <c r="A2976" s="10" t="str">
        <f>HYPERLINK("http://www.washoecounty.gov/assessor/cama/?parid=041-051-26&amp;CardNumber=1","041-051-26")</f>
        <v>041-051-26</v>
      </c>
      <c r="B2976" t="s">
        <v>4655</v>
      </c>
      <c r="C2976" t="s">
        <v>4122</v>
      </c>
      <c r="D2976" s="1">
        <v>40305</v>
      </c>
      <c r="E2976" s="2">
        <v>800000</v>
      </c>
      <c r="F2976" t="s">
        <v>4567</v>
      </c>
      <c r="G2976" s="17" t="str">
        <f>HYPERLINK("https://www.washoecounty.gov/assessor/cama/?command=sales&amp;parid=04105126","3879312")</f>
        <v>3879312</v>
      </c>
      <c r="H2976" t="s">
        <v>4123</v>
      </c>
      <c r="I2976">
        <v>1983</v>
      </c>
      <c r="J2976">
        <v>1983</v>
      </c>
      <c r="K2976" t="s">
        <v>4554</v>
      </c>
      <c r="L2976" t="s">
        <v>4555</v>
      </c>
      <c r="M2976" s="2">
        <v>4834</v>
      </c>
      <c r="N2976" t="s">
        <v>2012</v>
      </c>
      <c r="O2976">
        <v>3</v>
      </c>
      <c r="P2976">
        <v>2</v>
      </c>
      <c r="Q2976">
        <v>1</v>
      </c>
      <c r="R2976" t="s">
        <v>4557</v>
      </c>
      <c r="S2976" t="s">
        <v>4135</v>
      </c>
      <c r="T2976" t="s">
        <v>2704</v>
      </c>
      <c r="U2976" t="s">
        <v>4560</v>
      </c>
      <c r="V2976" s="2">
        <v>2106</v>
      </c>
      <c r="W2976" t="s">
        <v>4655</v>
      </c>
      <c r="X2976" s="2">
        <v>0</v>
      </c>
      <c r="Y2976">
        <v>20</v>
      </c>
      <c r="Z2976" t="s">
        <v>4051</v>
      </c>
      <c r="AA2976" s="3">
        <v>2.6040000915527299</v>
      </c>
      <c r="AB2976" t="s">
        <v>3635</v>
      </c>
      <c r="AC2976" t="s">
        <v>4575</v>
      </c>
      <c r="AD2976" t="s">
        <v>4122</v>
      </c>
      <c r="AE2976" t="s">
        <v>4655</v>
      </c>
      <c r="AF2976" t="s">
        <v>4563</v>
      </c>
      <c r="AG2976" t="s">
        <v>4564</v>
      </c>
      <c r="AH2976">
        <v>89509</v>
      </c>
      <c r="AI2976" t="s">
        <v>17278</v>
      </c>
      <c r="AJ2976" t="s">
        <v>4655</v>
      </c>
      <c r="AK2976" t="s">
        <v>3636</v>
      </c>
      <c r="AL2976" s="13" t="s">
        <v>1889</v>
      </c>
      <c r="AM2976">
        <v>1</v>
      </c>
      <c r="AN2976" s="15" t="s">
        <v>3637</v>
      </c>
    </row>
    <row r="2977" spans="1:40" x14ac:dyDescent="0.3">
      <c r="A2977" s="10" t="str">
        <f>HYPERLINK("http://www.washoecounty.gov/assessor/cama/?parid=041-051-33&amp;CardNumber=1","041-051-33")</f>
        <v>041-051-33</v>
      </c>
      <c r="B2977" t="s">
        <v>4655</v>
      </c>
      <c r="C2977" t="s">
        <v>93</v>
      </c>
      <c r="D2977" s="1">
        <v>40522</v>
      </c>
      <c r="E2977" s="2">
        <v>500000</v>
      </c>
      <c r="F2977" t="s">
        <v>4567</v>
      </c>
      <c r="G2977" s="17" t="str">
        <f>HYPERLINK("https://www.washoecounty.gov/assessor/cama/?command=sales&amp;parid=04105133","3952351")</f>
        <v>3952351</v>
      </c>
      <c r="H2977" t="s">
        <v>17279</v>
      </c>
      <c r="I2977">
        <v>1985</v>
      </c>
      <c r="J2977">
        <v>1985</v>
      </c>
      <c r="K2977" t="s">
        <v>4554</v>
      </c>
      <c r="L2977" t="s">
        <v>4555</v>
      </c>
      <c r="M2977" s="2">
        <v>2709</v>
      </c>
      <c r="N2977" t="s">
        <v>3887</v>
      </c>
      <c r="O2977">
        <v>4</v>
      </c>
      <c r="P2977">
        <v>3</v>
      </c>
      <c r="Q2977">
        <v>1</v>
      </c>
      <c r="R2977" t="s">
        <v>2015</v>
      </c>
      <c r="S2977" t="s">
        <v>3148</v>
      </c>
      <c r="T2977" t="s">
        <v>2704</v>
      </c>
      <c r="U2977" t="s">
        <v>162</v>
      </c>
      <c r="V2977" s="2">
        <v>1674</v>
      </c>
      <c r="W2977" t="s">
        <v>3201</v>
      </c>
      <c r="X2977" s="2">
        <v>2476</v>
      </c>
      <c r="Y2977">
        <v>20</v>
      </c>
      <c r="Z2977" t="s">
        <v>4051</v>
      </c>
      <c r="AA2977" s="3">
        <v>1.56000924110412</v>
      </c>
      <c r="AB2977" t="s">
        <v>4694</v>
      </c>
      <c r="AC2977" t="s">
        <v>4562</v>
      </c>
      <c r="AD2977" t="s">
        <v>93</v>
      </c>
      <c r="AE2977" t="s">
        <v>4655</v>
      </c>
      <c r="AF2977" t="s">
        <v>4563</v>
      </c>
      <c r="AG2977" t="s">
        <v>4564</v>
      </c>
      <c r="AH2977" t="s">
        <v>2330</v>
      </c>
      <c r="AI2977" t="s">
        <v>17280</v>
      </c>
      <c r="AJ2977" t="s">
        <v>4655</v>
      </c>
      <c r="AK2977" t="s">
        <v>17281</v>
      </c>
      <c r="AL2977" s="13" t="s">
        <v>1889</v>
      </c>
      <c r="AM2977">
        <v>1</v>
      </c>
      <c r="AN2977" s="15" t="s">
        <v>3637</v>
      </c>
    </row>
    <row r="2978" spans="1:40" x14ac:dyDescent="0.3">
      <c r="A2978" s="10" t="str">
        <f>HYPERLINK("http://www.washoecounty.gov/assessor/cama/?parid=041-061-03&amp;CardNumber=1","041-061-03")</f>
        <v>041-061-03</v>
      </c>
      <c r="B2978" t="s">
        <v>4655</v>
      </c>
      <c r="C2978" t="s">
        <v>17282</v>
      </c>
      <c r="D2978" s="1">
        <v>40371</v>
      </c>
      <c r="E2978" s="2">
        <v>600000</v>
      </c>
      <c r="F2978" t="s">
        <v>4567</v>
      </c>
      <c r="G2978" s="17" t="str">
        <f>HYPERLINK("https://www.washoecounty.gov/assessor/cama/?command=sales&amp;parid=04106103","3900465")</f>
        <v>3900465</v>
      </c>
      <c r="H2978" t="s">
        <v>2195</v>
      </c>
      <c r="I2978">
        <v>1986</v>
      </c>
      <c r="J2978">
        <v>1986</v>
      </c>
      <c r="K2978" t="s">
        <v>4554</v>
      </c>
      <c r="L2978" t="s">
        <v>4555</v>
      </c>
      <c r="M2978" s="2">
        <v>2170</v>
      </c>
      <c r="N2978" t="s">
        <v>1245</v>
      </c>
      <c r="O2978">
        <v>2</v>
      </c>
      <c r="P2978">
        <v>2</v>
      </c>
      <c r="Q2978">
        <v>1</v>
      </c>
      <c r="R2978" t="s">
        <v>1826</v>
      </c>
      <c r="S2978" t="s">
        <v>4898</v>
      </c>
      <c r="T2978" t="s">
        <v>2704</v>
      </c>
      <c r="U2978" t="s">
        <v>162</v>
      </c>
      <c r="V2978" s="2">
        <v>2666</v>
      </c>
      <c r="W2978" t="s">
        <v>3201</v>
      </c>
      <c r="X2978" s="2">
        <v>3189</v>
      </c>
      <c r="Y2978">
        <v>20</v>
      </c>
      <c r="Z2978" t="s">
        <v>3884</v>
      </c>
      <c r="AA2978" s="3">
        <v>1.01000916957855</v>
      </c>
      <c r="AB2978" t="s">
        <v>17283</v>
      </c>
      <c r="AC2978" t="s">
        <v>4562</v>
      </c>
      <c r="AD2978" t="s">
        <v>17284</v>
      </c>
      <c r="AE2978" t="s">
        <v>4655</v>
      </c>
      <c r="AF2978" t="s">
        <v>4563</v>
      </c>
      <c r="AG2978" t="s">
        <v>4564</v>
      </c>
      <c r="AH2978">
        <v>89509</v>
      </c>
      <c r="AI2978" t="s">
        <v>2196</v>
      </c>
      <c r="AJ2978" t="s">
        <v>4655</v>
      </c>
      <c r="AK2978" t="s">
        <v>17285</v>
      </c>
      <c r="AL2978" s="13" t="s">
        <v>1889</v>
      </c>
      <c r="AM2978" s="14">
        <v>1</v>
      </c>
      <c r="AN2978" s="15" t="s">
        <v>3637</v>
      </c>
    </row>
    <row r="2979" spans="1:40" x14ac:dyDescent="0.3">
      <c r="A2979" s="10" t="str">
        <f>HYPERLINK("http://www.washoecounty.gov/assessor/cama/?parid=041-062-11&amp;CardNumber=1","041-062-11")</f>
        <v>041-062-11</v>
      </c>
      <c r="B2979" t="s">
        <v>4655</v>
      </c>
      <c r="C2979" t="s">
        <v>17286</v>
      </c>
      <c r="D2979" s="1">
        <v>40438</v>
      </c>
      <c r="E2979" s="2">
        <v>487120</v>
      </c>
      <c r="F2979" t="s">
        <v>4553</v>
      </c>
      <c r="G2979" s="17" t="str">
        <f>HYPERLINK("https://www.washoecounty.gov/assessor/cama/?command=sales&amp;parid=04106211","3923758")</f>
        <v>3923758</v>
      </c>
      <c r="H2979" t="s">
        <v>2195</v>
      </c>
      <c r="I2979">
        <v>1981</v>
      </c>
      <c r="J2979">
        <v>1986</v>
      </c>
      <c r="K2979" t="s">
        <v>4554</v>
      </c>
      <c r="L2979" t="s">
        <v>3974</v>
      </c>
      <c r="M2979" s="2">
        <v>5213</v>
      </c>
      <c r="N2979" t="s">
        <v>5106</v>
      </c>
      <c r="O2979">
        <v>4</v>
      </c>
      <c r="P2979">
        <v>3</v>
      </c>
      <c r="Q2979">
        <v>1</v>
      </c>
      <c r="R2979" t="s">
        <v>5205</v>
      </c>
      <c r="S2979" t="s">
        <v>4135</v>
      </c>
      <c r="T2979" t="s">
        <v>4143</v>
      </c>
      <c r="U2979" t="s">
        <v>162</v>
      </c>
      <c r="V2979" s="2">
        <v>1505</v>
      </c>
      <c r="W2979" t="s">
        <v>4655</v>
      </c>
      <c r="X2979" s="2">
        <v>0</v>
      </c>
      <c r="Y2979">
        <v>20</v>
      </c>
      <c r="Z2979" t="s">
        <v>3884</v>
      </c>
      <c r="AA2979" s="3">
        <v>1.2559916973114</v>
      </c>
      <c r="AB2979" t="s">
        <v>17287</v>
      </c>
      <c r="AC2979" t="s">
        <v>4562</v>
      </c>
      <c r="AD2979" t="s">
        <v>17286</v>
      </c>
      <c r="AE2979" t="s">
        <v>4655</v>
      </c>
      <c r="AF2979" t="s">
        <v>4563</v>
      </c>
      <c r="AG2979" t="s">
        <v>4564</v>
      </c>
      <c r="AH2979" t="s">
        <v>2330</v>
      </c>
      <c r="AI2979" t="s">
        <v>17288</v>
      </c>
      <c r="AJ2979" t="s">
        <v>4655</v>
      </c>
      <c r="AK2979" t="s">
        <v>17289</v>
      </c>
      <c r="AL2979" s="13" t="s">
        <v>1889</v>
      </c>
      <c r="AM2979">
        <v>1</v>
      </c>
      <c r="AN2979" s="15" t="s">
        <v>3637</v>
      </c>
    </row>
    <row r="2980" spans="1:40" x14ac:dyDescent="0.3">
      <c r="A2980" s="10" t="str">
        <f>HYPERLINK("http://www.washoecounty.gov/assessor/cama/?parid=041-062-72&amp;CardNumber=1","041-062-72")</f>
        <v>041-062-72</v>
      </c>
      <c r="B2980" t="s">
        <v>4655</v>
      </c>
      <c r="C2980" t="s">
        <v>17290</v>
      </c>
      <c r="D2980" s="1">
        <v>40359</v>
      </c>
      <c r="E2980" s="2">
        <v>1300000</v>
      </c>
      <c r="F2980" t="s">
        <v>4567</v>
      </c>
      <c r="G2980" s="17" t="str">
        <f>HYPERLINK("https://www.washoecounty.gov/assessor/cama/?command=sales&amp;parid=04106272","3897364")</f>
        <v>3897364</v>
      </c>
      <c r="H2980" t="s">
        <v>17291</v>
      </c>
      <c r="I2980">
        <v>2007</v>
      </c>
      <c r="J2980">
        <v>2007</v>
      </c>
      <c r="K2980" t="s">
        <v>4554</v>
      </c>
      <c r="L2980" t="s">
        <v>3886</v>
      </c>
      <c r="M2980" s="2">
        <v>5431</v>
      </c>
      <c r="N2980" t="s">
        <v>2967</v>
      </c>
      <c r="O2980">
        <v>5</v>
      </c>
      <c r="P2980">
        <v>6</v>
      </c>
      <c r="Q2980">
        <v>1</v>
      </c>
      <c r="R2980" t="s">
        <v>2632</v>
      </c>
      <c r="S2980" t="s">
        <v>4898</v>
      </c>
      <c r="T2980" t="s">
        <v>2704</v>
      </c>
      <c r="U2980" t="s">
        <v>4560</v>
      </c>
      <c r="V2980" s="2">
        <v>2173</v>
      </c>
      <c r="W2980" t="s">
        <v>4655</v>
      </c>
      <c r="X2980" s="2">
        <v>0</v>
      </c>
      <c r="Y2980">
        <v>20</v>
      </c>
      <c r="Z2980" t="s">
        <v>3884</v>
      </c>
      <c r="AA2980" s="3">
        <v>1</v>
      </c>
      <c r="AB2980" t="s">
        <v>17292</v>
      </c>
      <c r="AC2980" t="s">
        <v>4575</v>
      </c>
      <c r="AD2980" t="s">
        <v>17290</v>
      </c>
      <c r="AE2980" t="s">
        <v>4655</v>
      </c>
      <c r="AF2980" t="s">
        <v>4563</v>
      </c>
      <c r="AG2980" t="s">
        <v>4564</v>
      </c>
      <c r="AH2980" t="s">
        <v>2330</v>
      </c>
      <c r="AI2980" t="s">
        <v>17292</v>
      </c>
      <c r="AJ2980" t="s">
        <v>17293</v>
      </c>
      <c r="AK2980" t="s">
        <v>17294</v>
      </c>
      <c r="AL2980" s="13" t="s">
        <v>1889</v>
      </c>
      <c r="AM2980">
        <v>1</v>
      </c>
      <c r="AN2980" s="15" t="s">
        <v>3637</v>
      </c>
    </row>
    <row r="2981" spans="1:40" x14ac:dyDescent="0.3">
      <c r="A2981" s="10" t="str">
        <f>HYPERLINK("http://www.washoecounty.gov/assessor/cama/?parid=041-081-01&amp;CardNumber=1","041-081-01")</f>
        <v>041-081-01</v>
      </c>
      <c r="B2981" t="s">
        <v>4655</v>
      </c>
      <c r="C2981" t="s">
        <v>17295</v>
      </c>
      <c r="D2981" s="1">
        <v>40315</v>
      </c>
      <c r="E2981" s="2">
        <v>415000</v>
      </c>
      <c r="F2981" t="s">
        <v>4567</v>
      </c>
      <c r="G2981" s="17" t="str">
        <f>HYPERLINK("https://www.washoecounty.gov/assessor/cama/?command=sales&amp;parid=04108101","3882128")</f>
        <v>3882128</v>
      </c>
      <c r="H2981" t="s">
        <v>4007</v>
      </c>
      <c r="I2981">
        <v>1988</v>
      </c>
      <c r="J2981">
        <v>1988</v>
      </c>
      <c r="K2981" t="s">
        <v>4554</v>
      </c>
      <c r="L2981" t="s">
        <v>2170</v>
      </c>
      <c r="M2981" s="2">
        <v>1808</v>
      </c>
      <c r="N2981" t="s">
        <v>3147</v>
      </c>
      <c r="O2981">
        <v>2</v>
      </c>
      <c r="P2981">
        <v>2</v>
      </c>
      <c r="Q2981">
        <v>1</v>
      </c>
      <c r="R2981" t="s">
        <v>5281</v>
      </c>
      <c r="S2981" t="s">
        <v>4135</v>
      </c>
      <c r="T2981" t="s">
        <v>4559</v>
      </c>
      <c r="U2981" t="s">
        <v>4560</v>
      </c>
      <c r="V2981" s="2">
        <v>528</v>
      </c>
      <c r="W2981" t="s">
        <v>3201</v>
      </c>
      <c r="X2981" s="2">
        <v>720</v>
      </c>
      <c r="Y2981">
        <v>20</v>
      </c>
      <c r="Z2981" t="s">
        <v>5282</v>
      </c>
      <c r="AA2981" s="3">
        <v>0.46000918745994601</v>
      </c>
      <c r="AB2981" t="s">
        <v>17296</v>
      </c>
      <c r="AC2981" t="s">
        <v>4562</v>
      </c>
      <c r="AD2981" t="s">
        <v>17295</v>
      </c>
      <c r="AE2981" t="s">
        <v>4655</v>
      </c>
      <c r="AF2981" t="s">
        <v>4563</v>
      </c>
      <c r="AG2981" t="s">
        <v>4564</v>
      </c>
      <c r="AH2981">
        <v>89509</v>
      </c>
      <c r="AI2981" t="s">
        <v>17297</v>
      </c>
      <c r="AJ2981" t="s">
        <v>4655</v>
      </c>
      <c r="AK2981" t="s">
        <v>17298</v>
      </c>
      <c r="AL2981" s="13" t="s">
        <v>2255</v>
      </c>
      <c r="AM2981" s="14">
        <v>1</v>
      </c>
      <c r="AN2981" s="15" t="s">
        <v>3104</v>
      </c>
    </row>
    <row r="2982" spans="1:40" x14ac:dyDescent="0.3">
      <c r="A2982" s="10" t="str">
        <f>HYPERLINK("http://www.washoecounty.gov/assessor/cama/?parid=041-081-06&amp;CardNumber=1","041-081-06")</f>
        <v>041-081-06</v>
      </c>
      <c r="B2982" t="s">
        <v>4655</v>
      </c>
      <c r="C2982" t="s">
        <v>17299</v>
      </c>
      <c r="D2982" s="1">
        <v>40354</v>
      </c>
      <c r="E2982" s="2">
        <v>220000</v>
      </c>
      <c r="F2982" t="s">
        <v>4553</v>
      </c>
      <c r="G2982" s="17" t="str">
        <f>HYPERLINK("https://www.washoecounty.gov/assessor/cama/?command=sales&amp;parid=04108106","3895457")</f>
        <v>3895457</v>
      </c>
      <c r="H2982" t="s">
        <v>4007</v>
      </c>
      <c r="I2982">
        <v>1981</v>
      </c>
      <c r="J2982">
        <v>1981</v>
      </c>
      <c r="K2982" t="s">
        <v>4554</v>
      </c>
      <c r="L2982" t="s">
        <v>2170</v>
      </c>
      <c r="M2982" s="2">
        <v>2254</v>
      </c>
      <c r="N2982" t="s">
        <v>1245</v>
      </c>
      <c r="O2982">
        <v>3</v>
      </c>
      <c r="P2982">
        <v>2</v>
      </c>
      <c r="Q2982">
        <v>0</v>
      </c>
      <c r="R2982" t="s">
        <v>4557</v>
      </c>
      <c r="S2982" t="s">
        <v>4135</v>
      </c>
      <c r="T2982" t="s">
        <v>2704</v>
      </c>
      <c r="U2982" t="s">
        <v>4560</v>
      </c>
      <c r="V2982" s="2">
        <v>528</v>
      </c>
      <c r="W2982" t="s">
        <v>4655</v>
      </c>
      <c r="X2982" s="2">
        <v>0</v>
      </c>
      <c r="Y2982">
        <v>20</v>
      </c>
      <c r="Z2982" t="s">
        <v>5282</v>
      </c>
      <c r="AA2982" s="3">
        <v>0.34499540925025901</v>
      </c>
      <c r="AB2982" t="s">
        <v>17300</v>
      </c>
      <c r="AC2982" t="s">
        <v>4562</v>
      </c>
      <c r="AD2982" t="s">
        <v>17301</v>
      </c>
      <c r="AE2982" t="s">
        <v>4655</v>
      </c>
      <c r="AF2982" t="s">
        <v>4563</v>
      </c>
      <c r="AG2982" t="s">
        <v>4564</v>
      </c>
      <c r="AH2982">
        <v>89509</v>
      </c>
      <c r="AI2982" t="s">
        <v>4565</v>
      </c>
      <c r="AJ2982" t="s">
        <v>4655</v>
      </c>
      <c r="AK2982" t="s">
        <v>17302</v>
      </c>
      <c r="AL2982" s="13" t="s">
        <v>2255</v>
      </c>
      <c r="AM2982">
        <v>1</v>
      </c>
      <c r="AN2982" s="15" t="s">
        <v>3104</v>
      </c>
    </row>
    <row r="2983" spans="1:40" x14ac:dyDescent="0.3">
      <c r="A2983" s="10" t="str">
        <f>HYPERLINK("http://www.washoecounty.gov/assessor/cama/?parid=041-170-16&amp;CardNumber=1","041-170-16")</f>
        <v>041-170-16</v>
      </c>
      <c r="B2983" t="s">
        <v>4655</v>
      </c>
      <c r="C2983" t="s">
        <v>17303</v>
      </c>
      <c r="D2983" s="1">
        <v>40267</v>
      </c>
      <c r="E2983" s="2">
        <v>240000</v>
      </c>
      <c r="F2983" t="s">
        <v>4567</v>
      </c>
      <c r="G2983" s="17" t="str">
        <f>HYPERLINK("https://www.washoecounty.gov/assessor/cama/?command=sales&amp;parid=04117016","3866027")</f>
        <v>3866027</v>
      </c>
      <c r="H2983" t="s">
        <v>4253</v>
      </c>
      <c r="I2983">
        <v>1978</v>
      </c>
      <c r="J2983">
        <v>1978</v>
      </c>
      <c r="K2983" t="s">
        <v>4554</v>
      </c>
      <c r="L2983" t="s">
        <v>2170</v>
      </c>
      <c r="M2983" s="2">
        <v>2151</v>
      </c>
      <c r="N2983" t="s">
        <v>3147</v>
      </c>
      <c r="O2983">
        <v>2</v>
      </c>
      <c r="P2983">
        <v>2</v>
      </c>
      <c r="Q2983">
        <v>0</v>
      </c>
      <c r="R2983" t="s">
        <v>4557</v>
      </c>
      <c r="S2983" t="s">
        <v>3148</v>
      </c>
      <c r="T2983" t="s">
        <v>4559</v>
      </c>
      <c r="U2983" t="s">
        <v>4560</v>
      </c>
      <c r="V2983" s="2">
        <v>476</v>
      </c>
      <c r="W2983" t="s">
        <v>4655</v>
      </c>
      <c r="X2983" s="2">
        <v>0</v>
      </c>
      <c r="Y2983">
        <v>20</v>
      </c>
      <c r="Z2983" t="s">
        <v>385</v>
      </c>
      <c r="AA2983" s="3">
        <v>0.10000000149011599</v>
      </c>
      <c r="AB2983" t="s">
        <v>17304</v>
      </c>
      <c r="AC2983" t="s">
        <v>4562</v>
      </c>
      <c r="AD2983" t="s">
        <v>17305</v>
      </c>
      <c r="AE2983" t="s">
        <v>4655</v>
      </c>
      <c r="AF2983" t="s">
        <v>4563</v>
      </c>
      <c r="AG2983" t="s">
        <v>4564</v>
      </c>
      <c r="AH2983" t="s">
        <v>5197</v>
      </c>
      <c r="AI2983" t="s">
        <v>17306</v>
      </c>
      <c r="AJ2983" t="s">
        <v>4655</v>
      </c>
      <c r="AK2983" t="s">
        <v>17307</v>
      </c>
      <c r="AL2983" s="13" t="s">
        <v>2257</v>
      </c>
      <c r="AM2983">
        <v>1</v>
      </c>
      <c r="AN2983" s="15" t="s">
        <v>4254</v>
      </c>
    </row>
    <row r="2984" spans="1:40" x14ac:dyDescent="0.3">
      <c r="A2984" s="10" t="str">
        <f>HYPERLINK("http://www.washoecounty.gov/assessor/cama/?parid=041-200-02&amp;CardNumber=1","041-200-02")</f>
        <v>041-200-02</v>
      </c>
      <c r="B2984" t="s">
        <v>4655</v>
      </c>
      <c r="C2984" t="s">
        <v>17308</v>
      </c>
      <c r="D2984" s="1">
        <v>40466</v>
      </c>
      <c r="E2984" s="2">
        <v>269000</v>
      </c>
      <c r="F2984" t="s">
        <v>4567</v>
      </c>
      <c r="G2984" s="17" t="str">
        <f>HYPERLINK("https://www.washoecounty.gov/assessor/cama/?command=sales&amp;parid=04120002","3933788")</f>
        <v>3933788</v>
      </c>
      <c r="H2984" t="s">
        <v>1616</v>
      </c>
      <c r="I2984">
        <v>1986</v>
      </c>
      <c r="J2984">
        <v>1986</v>
      </c>
      <c r="K2984" t="s">
        <v>4554</v>
      </c>
      <c r="L2984" t="s">
        <v>2170</v>
      </c>
      <c r="M2984" s="2">
        <v>2379</v>
      </c>
      <c r="N2984" t="s">
        <v>5280</v>
      </c>
      <c r="O2984">
        <v>4</v>
      </c>
      <c r="P2984">
        <v>2</v>
      </c>
      <c r="Q2984">
        <v>1</v>
      </c>
      <c r="R2984" t="s">
        <v>4557</v>
      </c>
      <c r="S2984" t="s">
        <v>4558</v>
      </c>
      <c r="T2984" t="s">
        <v>4143</v>
      </c>
      <c r="U2984" t="s">
        <v>4560</v>
      </c>
      <c r="V2984" s="2">
        <v>486</v>
      </c>
      <c r="W2984" t="s">
        <v>4655</v>
      </c>
      <c r="X2984" s="2">
        <v>0</v>
      </c>
      <c r="Y2984">
        <v>20</v>
      </c>
      <c r="Z2984" t="s">
        <v>385</v>
      </c>
      <c r="AA2984" s="3">
        <v>0.15000000596046401</v>
      </c>
      <c r="AB2984" t="s">
        <v>17309</v>
      </c>
      <c r="AC2984" t="s">
        <v>4562</v>
      </c>
      <c r="AD2984" t="s">
        <v>17308</v>
      </c>
      <c r="AE2984" t="s">
        <v>4655</v>
      </c>
      <c r="AF2984" t="s">
        <v>4563</v>
      </c>
      <c r="AG2984" t="s">
        <v>4564</v>
      </c>
      <c r="AH2984" t="s">
        <v>2330</v>
      </c>
      <c r="AI2984" t="s">
        <v>17310</v>
      </c>
      <c r="AJ2984" t="s">
        <v>4655</v>
      </c>
      <c r="AK2984" t="s">
        <v>17311</v>
      </c>
      <c r="AL2984" s="13" t="s">
        <v>2255</v>
      </c>
      <c r="AM2984">
        <v>1</v>
      </c>
      <c r="AN2984" s="15" t="s">
        <v>811</v>
      </c>
    </row>
    <row r="2985" spans="1:40" x14ac:dyDescent="0.3">
      <c r="A2985" s="10" t="str">
        <f>HYPERLINK("http://www.washoecounty.gov/assessor/cama/?parid=041-213-02&amp;CardNumber=1","041-213-02")</f>
        <v>041-213-02</v>
      </c>
      <c r="B2985" t="s">
        <v>4655</v>
      </c>
      <c r="C2985" t="s">
        <v>17312</v>
      </c>
      <c r="D2985" s="1">
        <v>40534</v>
      </c>
      <c r="E2985" s="2">
        <v>630000</v>
      </c>
      <c r="F2985" t="s">
        <v>4553</v>
      </c>
      <c r="G2985" s="17" t="str">
        <f>HYPERLINK("https://www.washoecounty.gov/assessor/cama/?command=sales&amp;parid=04121302","3956487")</f>
        <v>3956487</v>
      </c>
      <c r="H2985" t="s">
        <v>1959</v>
      </c>
      <c r="I2985">
        <v>1989</v>
      </c>
      <c r="J2985">
        <v>1989</v>
      </c>
      <c r="K2985" t="s">
        <v>4554</v>
      </c>
      <c r="L2985" t="s">
        <v>4555</v>
      </c>
      <c r="M2985" s="2">
        <v>3752</v>
      </c>
      <c r="N2985" t="s">
        <v>3887</v>
      </c>
      <c r="O2985">
        <v>5</v>
      </c>
      <c r="P2985">
        <v>2</v>
      </c>
      <c r="Q2985">
        <v>1</v>
      </c>
      <c r="R2985" t="s">
        <v>5281</v>
      </c>
      <c r="S2985" t="s">
        <v>4135</v>
      </c>
      <c r="T2985" t="s">
        <v>2704</v>
      </c>
      <c r="U2985" t="s">
        <v>162</v>
      </c>
      <c r="V2985" s="2">
        <v>2848</v>
      </c>
      <c r="W2985" t="s">
        <v>3149</v>
      </c>
      <c r="X2985" s="2">
        <v>1400</v>
      </c>
      <c r="Y2985">
        <v>20</v>
      </c>
      <c r="Z2985" t="s">
        <v>818</v>
      </c>
      <c r="AA2985" s="3">
        <v>2.6549999713897705</v>
      </c>
      <c r="AB2985" t="s">
        <v>17313</v>
      </c>
      <c r="AC2985" t="s">
        <v>4562</v>
      </c>
      <c r="AD2985" t="s">
        <v>17314</v>
      </c>
      <c r="AE2985" t="s">
        <v>4655</v>
      </c>
      <c r="AF2985" t="s">
        <v>4563</v>
      </c>
      <c r="AG2985" t="s">
        <v>4564</v>
      </c>
      <c r="AH2985">
        <v>89511</v>
      </c>
      <c r="AI2985" t="s">
        <v>2399</v>
      </c>
      <c r="AJ2985" t="s">
        <v>4655</v>
      </c>
      <c r="AK2985" t="s">
        <v>17315</v>
      </c>
      <c r="AL2985" s="13" t="s">
        <v>1889</v>
      </c>
      <c r="AM2985" s="14">
        <v>1</v>
      </c>
      <c r="AN2985" s="15" t="s">
        <v>1580</v>
      </c>
    </row>
    <row r="2986" spans="1:40" x14ac:dyDescent="0.3">
      <c r="A2986" s="10" t="str">
        <f>HYPERLINK("http://www.washoecounty.gov/assessor/cama/?parid=041-261-01&amp;CardNumber=1","041-261-01")</f>
        <v>041-261-01</v>
      </c>
      <c r="B2986" t="s">
        <v>4655</v>
      </c>
      <c r="C2986" t="s">
        <v>17316</v>
      </c>
      <c r="D2986" s="1">
        <v>40512</v>
      </c>
      <c r="E2986" s="2">
        <v>275000</v>
      </c>
      <c r="F2986" t="s">
        <v>4567</v>
      </c>
      <c r="G2986" s="17" t="str">
        <f>HYPERLINK("https://www.washoecounty.gov/assessor/cama/?command=sales&amp;parid=04126101","3947951")</f>
        <v>3947951</v>
      </c>
      <c r="H2986" t="s">
        <v>1581</v>
      </c>
      <c r="I2986">
        <v>1992</v>
      </c>
      <c r="J2986">
        <v>1992</v>
      </c>
      <c r="K2986" t="s">
        <v>4554</v>
      </c>
      <c r="L2986" t="s">
        <v>3974</v>
      </c>
      <c r="M2986" s="2">
        <v>2806</v>
      </c>
      <c r="N2986" t="s">
        <v>3147</v>
      </c>
      <c r="O2986">
        <v>3</v>
      </c>
      <c r="P2986">
        <v>3</v>
      </c>
      <c r="Q2986">
        <v>0</v>
      </c>
      <c r="R2986" t="s">
        <v>4557</v>
      </c>
      <c r="S2986" t="s">
        <v>3148</v>
      </c>
      <c r="T2986" t="s">
        <v>4559</v>
      </c>
      <c r="U2986" t="s">
        <v>4560</v>
      </c>
      <c r="V2986" s="2">
        <v>592</v>
      </c>
      <c r="W2986" t="s">
        <v>4655</v>
      </c>
      <c r="X2986" s="2">
        <v>0</v>
      </c>
      <c r="Y2986">
        <v>20</v>
      </c>
      <c r="Z2986" t="s">
        <v>385</v>
      </c>
      <c r="AA2986" s="3">
        <v>0.221005514264107</v>
      </c>
      <c r="AB2986" t="s">
        <v>17317</v>
      </c>
      <c r="AC2986" t="s">
        <v>4562</v>
      </c>
      <c r="AD2986" t="s">
        <v>17316</v>
      </c>
      <c r="AE2986" t="s">
        <v>4655</v>
      </c>
      <c r="AF2986" t="s">
        <v>4563</v>
      </c>
      <c r="AG2986" t="s">
        <v>4564</v>
      </c>
      <c r="AH2986">
        <v>89509</v>
      </c>
      <c r="AI2986" t="s">
        <v>17318</v>
      </c>
      <c r="AJ2986" t="s">
        <v>4655</v>
      </c>
      <c r="AK2986" t="s">
        <v>17319</v>
      </c>
      <c r="AL2986" s="13" t="s">
        <v>2255</v>
      </c>
      <c r="AM2986">
        <v>1</v>
      </c>
      <c r="AN2986" s="15" t="s">
        <v>1582</v>
      </c>
    </row>
    <row r="2987" spans="1:40" x14ac:dyDescent="0.3">
      <c r="A2987" s="10" t="str">
        <f>HYPERLINK("http://www.washoecounty.gov/assessor/cama/?parid=041-261-05&amp;CardNumber=1","041-261-05")</f>
        <v>041-261-05</v>
      </c>
      <c r="B2987" t="s">
        <v>4655</v>
      </c>
      <c r="C2987" t="s">
        <v>17320</v>
      </c>
      <c r="D2987" s="1">
        <v>40297</v>
      </c>
      <c r="E2987" s="2">
        <v>345000</v>
      </c>
      <c r="F2987" t="s">
        <v>4567</v>
      </c>
      <c r="G2987" s="17" t="str">
        <f>HYPERLINK("https://www.washoecounty.gov/assessor/cama/?command=sales&amp;parid=04126105","3876178")</f>
        <v>3876178</v>
      </c>
      <c r="H2987" t="s">
        <v>1581</v>
      </c>
      <c r="I2987">
        <v>1986</v>
      </c>
      <c r="J2987">
        <v>1986</v>
      </c>
      <c r="K2987" t="s">
        <v>4554</v>
      </c>
      <c r="L2987" t="s">
        <v>2170</v>
      </c>
      <c r="M2987" s="2">
        <v>2077</v>
      </c>
      <c r="N2987" t="s">
        <v>3147</v>
      </c>
      <c r="O2987">
        <v>3</v>
      </c>
      <c r="P2987">
        <v>2</v>
      </c>
      <c r="Q2987">
        <v>1</v>
      </c>
      <c r="R2987" t="s">
        <v>4557</v>
      </c>
      <c r="S2987" t="s">
        <v>4135</v>
      </c>
      <c r="T2987" t="s">
        <v>2704</v>
      </c>
      <c r="U2987" t="s">
        <v>4560</v>
      </c>
      <c r="V2987" s="2">
        <v>491</v>
      </c>
      <c r="W2987" t="s">
        <v>4655</v>
      </c>
      <c r="X2987" s="2">
        <v>0</v>
      </c>
      <c r="Y2987">
        <v>20</v>
      </c>
      <c r="Z2987" t="s">
        <v>385</v>
      </c>
      <c r="AA2987" s="3">
        <v>0.23099173605442</v>
      </c>
      <c r="AB2987" t="s">
        <v>17321</v>
      </c>
      <c r="AC2987" t="s">
        <v>4562</v>
      </c>
      <c r="AD2987" t="s">
        <v>17320</v>
      </c>
      <c r="AE2987" t="s">
        <v>4655</v>
      </c>
      <c r="AF2987" t="s">
        <v>4563</v>
      </c>
      <c r="AG2987" t="s">
        <v>4564</v>
      </c>
      <c r="AH2987">
        <v>89509</v>
      </c>
      <c r="AI2987" t="s">
        <v>17322</v>
      </c>
      <c r="AJ2987" t="s">
        <v>4655</v>
      </c>
      <c r="AK2987" t="s">
        <v>17323</v>
      </c>
      <c r="AL2987" s="13" t="s">
        <v>2255</v>
      </c>
      <c r="AM2987">
        <v>1</v>
      </c>
      <c r="AN2987" s="15" t="s">
        <v>1582</v>
      </c>
    </row>
    <row r="2988" spans="1:40" x14ac:dyDescent="0.3">
      <c r="A2988" s="10" t="str">
        <f>HYPERLINK("http://www.washoecounty.gov/assessor/cama/?parid=041-263-02&amp;CardNumber=1","041-263-02")</f>
        <v>041-263-02</v>
      </c>
      <c r="B2988" t="s">
        <v>4655</v>
      </c>
      <c r="C2988" t="s">
        <v>17324</v>
      </c>
      <c r="D2988" s="1">
        <v>40238</v>
      </c>
      <c r="E2988" s="2">
        <v>362000</v>
      </c>
      <c r="F2988" t="s">
        <v>4567</v>
      </c>
      <c r="G2988" s="17" t="str">
        <f>HYPERLINK("https://www.washoecounty.gov/assessor/cama/?command=sales&amp;parid=04126302","3854042")</f>
        <v>3854042</v>
      </c>
      <c r="H2988" t="s">
        <v>1581</v>
      </c>
      <c r="I2988">
        <v>1986</v>
      </c>
      <c r="J2988">
        <v>1986</v>
      </c>
      <c r="K2988" t="s">
        <v>4554</v>
      </c>
      <c r="L2988" t="s">
        <v>4555</v>
      </c>
      <c r="M2988" s="2">
        <v>2384</v>
      </c>
      <c r="N2988" t="s">
        <v>3887</v>
      </c>
      <c r="O2988">
        <v>3</v>
      </c>
      <c r="P2988">
        <v>3</v>
      </c>
      <c r="Q2988">
        <v>0</v>
      </c>
      <c r="R2988" t="s">
        <v>4557</v>
      </c>
      <c r="S2988" t="s">
        <v>4135</v>
      </c>
      <c r="T2988" t="s">
        <v>4559</v>
      </c>
      <c r="U2988" t="s">
        <v>4560</v>
      </c>
      <c r="V2988" s="2">
        <v>822</v>
      </c>
      <c r="W2988" t="s">
        <v>3149</v>
      </c>
      <c r="X2988" s="2">
        <v>1232</v>
      </c>
      <c r="Y2988">
        <v>20</v>
      </c>
      <c r="Z2988" t="s">
        <v>385</v>
      </c>
      <c r="AA2988" s="3">
        <v>0.33298897743225098</v>
      </c>
      <c r="AB2988" t="s">
        <v>17325</v>
      </c>
      <c r="AC2988" t="s">
        <v>4575</v>
      </c>
      <c r="AD2988" t="s">
        <v>17324</v>
      </c>
      <c r="AE2988" t="s">
        <v>4655</v>
      </c>
      <c r="AF2988" t="s">
        <v>4563</v>
      </c>
      <c r="AG2988" t="s">
        <v>4564</v>
      </c>
      <c r="AH2988">
        <v>89509</v>
      </c>
      <c r="AI2988" t="s">
        <v>17326</v>
      </c>
      <c r="AJ2988" t="s">
        <v>4655</v>
      </c>
      <c r="AK2988" t="s">
        <v>17327</v>
      </c>
      <c r="AL2988" s="13" t="s">
        <v>2255</v>
      </c>
      <c r="AM2988">
        <v>1</v>
      </c>
      <c r="AN2988" s="15" t="s">
        <v>1582</v>
      </c>
    </row>
    <row r="2989" spans="1:40" x14ac:dyDescent="0.3">
      <c r="A2989" s="10" t="str">
        <f>HYPERLINK("http://www.washoecounty.gov/assessor/cama/?parid=041-271-04&amp;CardNumber=1","041-271-04")</f>
        <v>041-271-04</v>
      </c>
      <c r="B2989" t="s">
        <v>4655</v>
      </c>
      <c r="C2989" t="s">
        <v>17328</v>
      </c>
      <c r="D2989" s="1">
        <v>40532</v>
      </c>
      <c r="E2989" s="2">
        <v>229000</v>
      </c>
      <c r="F2989" t="s">
        <v>4567</v>
      </c>
      <c r="G2989" s="17" t="str">
        <f>HYPERLINK("https://www.washoecounty.gov/assessor/cama/?command=sales&amp;parid=04127104","3955610")</f>
        <v>3955610</v>
      </c>
      <c r="H2989" t="s">
        <v>1581</v>
      </c>
      <c r="I2989">
        <v>1986</v>
      </c>
      <c r="J2989">
        <v>1986</v>
      </c>
      <c r="K2989" t="s">
        <v>4554</v>
      </c>
      <c r="L2989" t="s">
        <v>4555</v>
      </c>
      <c r="M2989" s="2">
        <v>1978</v>
      </c>
      <c r="N2989" t="s">
        <v>3147</v>
      </c>
      <c r="O2989">
        <v>3</v>
      </c>
      <c r="P2989">
        <v>3</v>
      </c>
      <c r="Q2989">
        <v>0</v>
      </c>
      <c r="R2989" t="s">
        <v>4557</v>
      </c>
      <c r="S2989" t="s">
        <v>3148</v>
      </c>
      <c r="T2989" t="s">
        <v>2704</v>
      </c>
      <c r="U2989" t="s">
        <v>4560</v>
      </c>
      <c r="V2989" s="2">
        <v>546</v>
      </c>
      <c r="W2989" t="s">
        <v>4655</v>
      </c>
      <c r="X2989" s="2">
        <v>0</v>
      </c>
      <c r="Y2989">
        <v>20</v>
      </c>
      <c r="Z2989" t="s">
        <v>385</v>
      </c>
      <c r="AA2989" s="3">
        <v>0.346005499362946</v>
      </c>
      <c r="AB2989" t="s">
        <v>17329</v>
      </c>
      <c r="AC2989" t="s">
        <v>4562</v>
      </c>
      <c r="AD2989" t="s">
        <v>17330</v>
      </c>
      <c r="AE2989" t="s">
        <v>4655</v>
      </c>
      <c r="AF2989" t="s">
        <v>1189</v>
      </c>
      <c r="AG2989" t="s">
        <v>4564</v>
      </c>
      <c r="AH2989" t="s">
        <v>1621</v>
      </c>
      <c r="AI2989" t="s">
        <v>17331</v>
      </c>
      <c r="AJ2989" t="s">
        <v>4655</v>
      </c>
      <c r="AK2989" t="s">
        <v>17332</v>
      </c>
      <c r="AL2989" s="13" t="s">
        <v>2255</v>
      </c>
      <c r="AM2989">
        <v>1</v>
      </c>
      <c r="AN2989" s="15" t="s">
        <v>1582</v>
      </c>
    </row>
    <row r="2990" spans="1:40" x14ac:dyDescent="0.3">
      <c r="A2990" s="10" t="str">
        <f>HYPERLINK("http://www.washoecounty.gov/assessor/cama/?parid=041-272-01&amp;CardNumber=1","041-272-01")</f>
        <v>041-272-01</v>
      </c>
      <c r="B2990" t="s">
        <v>4655</v>
      </c>
      <c r="C2990" t="s">
        <v>17333</v>
      </c>
      <c r="D2990" s="1">
        <v>40235</v>
      </c>
      <c r="E2990" s="2">
        <v>255000</v>
      </c>
      <c r="F2990" t="s">
        <v>4553</v>
      </c>
      <c r="G2990" s="17" t="str">
        <f>HYPERLINK("https://www.washoecounty.gov/assessor/cama/?command=sales&amp;parid=04127201","3853435")</f>
        <v>3853435</v>
      </c>
      <c r="H2990" t="s">
        <v>1581</v>
      </c>
      <c r="I2990">
        <v>1986</v>
      </c>
      <c r="J2990">
        <v>1986</v>
      </c>
      <c r="K2990" t="s">
        <v>4554</v>
      </c>
      <c r="L2990" t="s">
        <v>4555</v>
      </c>
      <c r="M2990" s="2">
        <v>2224</v>
      </c>
      <c r="N2990" t="s">
        <v>3147</v>
      </c>
      <c r="O2990">
        <v>3</v>
      </c>
      <c r="P2990">
        <v>2</v>
      </c>
      <c r="Q2990">
        <v>1</v>
      </c>
      <c r="R2990" t="s">
        <v>4557</v>
      </c>
      <c r="S2990" t="s">
        <v>3148</v>
      </c>
      <c r="T2990" t="s">
        <v>4143</v>
      </c>
      <c r="U2990" t="s">
        <v>4560</v>
      </c>
      <c r="V2990" s="2">
        <v>460</v>
      </c>
      <c r="W2990" t="s">
        <v>4655</v>
      </c>
      <c r="X2990" s="2">
        <v>0</v>
      </c>
      <c r="Y2990">
        <v>20</v>
      </c>
      <c r="Z2990" t="s">
        <v>385</v>
      </c>
      <c r="AA2990" s="3">
        <v>0.54100090265274003</v>
      </c>
      <c r="AB2990" t="s">
        <v>17334</v>
      </c>
      <c r="AC2990" t="s">
        <v>4575</v>
      </c>
      <c r="AD2990" t="s">
        <v>17333</v>
      </c>
      <c r="AE2990" t="s">
        <v>4655</v>
      </c>
      <c r="AF2990" t="s">
        <v>4563</v>
      </c>
      <c r="AG2990" t="s">
        <v>4564</v>
      </c>
      <c r="AH2990">
        <v>89509</v>
      </c>
      <c r="AI2990" t="s">
        <v>1602</v>
      </c>
      <c r="AJ2990" t="s">
        <v>4655</v>
      </c>
      <c r="AK2990" t="s">
        <v>17335</v>
      </c>
      <c r="AL2990" s="13" t="s">
        <v>2255</v>
      </c>
      <c r="AM2990" s="14">
        <v>1</v>
      </c>
      <c r="AN2990" s="15" t="s">
        <v>1582</v>
      </c>
    </row>
    <row r="2991" spans="1:40" x14ac:dyDescent="0.3">
      <c r="A2991" s="10" t="str">
        <f>HYPERLINK("http://www.washoecounty.gov/assessor/cama/?parid=041-290-03&amp;CardNumber=1","041-290-03")</f>
        <v>041-290-03</v>
      </c>
      <c r="B2991" t="s">
        <v>4655</v>
      </c>
      <c r="C2991" t="s">
        <v>17336</v>
      </c>
      <c r="D2991" s="1">
        <v>40535</v>
      </c>
      <c r="E2991" s="2">
        <v>900000</v>
      </c>
      <c r="F2991" t="s">
        <v>4567</v>
      </c>
      <c r="G2991" s="17" t="str">
        <f>HYPERLINK("https://www.washoecounty.gov/assessor/cama/?command=sales&amp;parid=04129003","3957003")</f>
        <v>3957003</v>
      </c>
      <c r="H2991" t="s">
        <v>17337</v>
      </c>
      <c r="I2991">
        <v>1986</v>
      </c>
      <c r="J2991">
        <v>1991</v>
      </c>
      <c r="K2991" t="s">
        <v>4554</v>
      </c>
      <c r="L2991" t="s">
        <v>4555</v>
      </c>
      <c r="M2991" s="2">
        <v>5135</v>
      </c>
      <c r="N2991" t="s">
        <v>2008</v>
      </c>
      <c r="O2991">
        <v>4</v>
      </c>
      <c r="P2991">
        <v>4</v>
      </c>
      <c r="Q2991">
        <v>1</v>
      </c>
      <c r="R2991" t="s">
        <v>4557</v>
      </c>
      <c r="S2991" t="s">
        <v>3148</v>
      </c>
      <c r="T2991" t="s">
        <v>4559</v>
      </c>
      <c r="U2991" t="s">
        <v>162</v>
      </c>
      <c r="V2991" s="2">
        <v>1364</v>
      </c>
      <c r="W2991" t="s">
        <v>4655</v>
      </c>
      <c r="X2991" s="2">
        <v>0</v>
      </c>
      <c r="Y2991">
        <v>20</v>
      </c>
      <c r="Z2991" t="s">
        <v>1376</v>
      </c>
      <c r="AA2991" s="3">
        <v>2.9719998836517334</v>
      </c>
      <c r="AB2991" t="s">
        <v>17338</v>
      </c>
      <c r="AC2991" t="s">
        <v>4562</v>
      </c>
      <c r="AD2991" t="s">
        <v>17339</v>
      </c>
      <c r="AE2991" t="s">
        <v>4655</v>
      </c>
      <c r="AF2991" t="s">
        <v>4563</v>
      </c>
      <c r="AG2991" t="s">
        <v>4564</v>
      </c>
      <c r="AH2991">
        <v>89511</v>
      </c>
      <c r="AI2991" t="s">
        <v>17340</v>
      </c>
      <c r="AJ2991" t="s">
        <v>4655</v>
      </c>
      <c r="AK2991" t="s">
        <v>17341</v>
      </c>
      <c r="AL2991" s="13" t="s">
        <v>1889</v>
      </c>
      <c r="AM2991" s="14">
        <v>1</v>
      </c>
      <c r="AN2991" s="15" t="s">
        <v>1584</v>
      </c>
    </row>
    <row r="2992" spans="1:40" x14ac:dyDescent="0.3">
      <c r="A2992" s="10" t="str">
        <f>HYPERLINK("http://www.washoecounty.gov/assessor/cama/?parid=041-311-13&amp;CardNumber=1","041-311-13")</f>
        <v>041-311-13</v>
      </c>
      <c r="B2992" t="s">
        <v>4655</v>
      </c>
      <c r="C2992" t="s">
        <v>17342</v>
      </c>
      <c r="D2992" s="1">
        <v>40368</v>
      </c>
      <c r="E2992" s="2">
        <v>320000</v>
      </c>
      <c r="F2992" t="s">
        <v>4567</v>
      </c>
      <c r="G2992" s="17" t="str">
        <f>HYPERLINK("https://www.washoecounty.gov/assessor/cama/?command=sales&amp;parid=04131113","3899983")</f>
        <v>3899983</v>
      </c>
      <c r="H2992" t="s">
        <v>1642</v>
      </c>
      <c r="I2992">
        <v>1988</v>
      </c>
      <c r="J2992">
        <v>1988</v>
      </c>
      <c r="K2992" t="s">
        <v>4554</v>
      </c>
      <c r="L2992" t="s">
        <v>4555</v>
      </c>
      <c r="M2992" s="2">
        <v>2145</v>
      </c>
      <c r="N2992" t="s">
        <v>3147</v>
      </c>
      <c r="O2992">
        <v>3</v>
      </c>
      <c r="P2992">
        <v>2</v>
      </c>
      <c r="Q2992">
        <v>0</v>
      </c>
      <c r="R2992" t="s">
        <v>5281</v>
      </c>
      <c r="S2992" t="s">
        <v>4135</v>
      </c>
      <c r="T2992" t="s">
        <v>4559</v>
      </c>
      <c r="U2992" t="s">
        <v>4560</v>
      </c>
      <c r="V2992" s="2">
        <v>462</v>
      </c>
      <c r="W2992" t="s">
        <v>4655</v>
      </c>
      <c r="X2992" s="2">
        <v>0</v>
      </c>
      <c r="Y2992">
        <v>20</v>
      </c>
      <c r="Z2992" t="s">
        <v>1491</v>
      </c>
      <c r="AA2992" s="3">
        <v>0.18500918149948101</v>
      </c>
      <c r="AB2992" t="s">
        <v>17343</v>
      </c>
      <c r="AC2992" t="s">
        <v>4575</v>
      </c>
      <c r="AD2992" t="s">
        <v>17342</v>
      </c>
      <c r="AE2992" t="s">
        <v>4655</v>
      </c>
      <c r="AF2992" t="s">
        <v>4563</v>
      </c>
      <c r="AG2992" t="s">
        <v>4564</v>
      </c>
      <c r="AH2992">
        <v>89509</v>
      </c>
      <c r="AI2992" t="s">
        <v>17344</v>
      </c>
      <c r="AJ2992" t="s">
        <v>4655</v>
      </c>
      <c r="AK2992" t="s">
        <v>17345</v>
      </c>
      <c r="AL2992" s="13" t="s">
        <v>2255</v>
      </c>
      <c r="AM2992">
        <v>1</v>
      </c>
      <c r="AN2992" s="15" t="s">
        <v>2891</v>
      </c>
    </row>
    <row r="2993" spans="1:40" x14ac:dyDescent="0.3">
      <c r="A2993" s="10" t="str">
        <f>HYPERLINK("http://www.washoecounty.gov/assessor/cama/?parid=041-354-22&amp;CardNumber=1","041-354-22")</f>
        <v>041-354-22</v>
      </c>
      <c r="B2993" t="s">
        <v>4655</v>
      </c>
      <c r="C2993" t="s">
        <v>17346</v>
      </c>
      <c r="D2993" s="1">
        <v>40205</v>
      </c>
      <c r="E2993" s="2">
        <v>397000</v>
      </c>
      <c r="F2993" t="s">
        <v>4567</v>
      </c>
      <c r="G2993" s="17" t="str">
        <f>HYPERLINK("https://www.washoecounty.gov/assessor/cama/?command=sales&amp;parid=04135422","3843239")</f>
        <v>3843239</v>
      </c>
      <c r="H2993" t="s">
        <v>3028</v>
      </c>
      <c r="I2993">
        <v>1989</v>
      </c>
      <c r="J2993">
        <v>1989</v>
      </c>
      <c r="K2993" t="s">
        <v>4554</v>
      </c>
      <c r="L2993" t="s">
        <v>2170</v>
      </c>
      <c r="M2993" s="2">
        <v>2294</v>
      </c>
      <c r="N2993" t="s">
        <v>1245</v>
      </c>
      <c r="O2993">
        <v>3</v>
      </c>
      <c r="P2993">
        <v>2</v>
      </c>
      <c r="Q2993">
        <v>1</v>
      </c>
      <c r="R2993" t="s">
        <v>4557</v>
      </c>
      <c r="S2993" t="s">
        <v>3148</v>
      </c>
      <c r="T2993" t="s">
        <v>2704</v>
      </c>
      <c r="U2993" t="s">
        <v>4560</v>
      </c>
      <c r="V2993" s="2">
        <v>420</v>
      </c>
      <c r="W2993" t="s">
        <v>4655</v>
      </c>
      <c r="X2993" s="2">
        <v>0</v>
      </c>
      <c r="Y2993">
        <v>20</v>
      </c>
      <c r="Z2993" t="s">
        <v>385</v>
      </c>
      <c r="AA2993" s="3">
        <v>0.15000000596046401</v>
      </c>
      <c r="AB2993" t="s">
        <v>17347</v>
      </c>
      <c r="AC2993" t="s">
        <v>4575</v>
      </c>
      <c r="AD2993" t="s">
        <v>17346</v>
      </c>
      <c r="AE2993" t="s">
        <v>4655</v>
      </c>
      <c r="AF2993" t="s">
        <v>4563</v>
      </c>
      <c r="AG2993" t="s">
        <v>4564</v>
      </c>
      <c r="AH2993">
        <v>89509</v>
      </c>
      <c r="AI2993" t="s">
        <v>17348</v>
      </c>
      <c r="AJ2993" t="s">
        <v>4655</v>
      </c>
      <c r="AK2993" t="s">
        <v>17349</v>
      </c>
      <c r="AL2993" s="13" t="s">
        <v>2255</v>
      </c>
      <c r="AM2993">
        <v>1</v>
      </c>
      <c r="AN2993" s="15" t="s">
        <v>3029</v>
      </c>
    </row>
    <row r="2994" spans="1:40" x14ac:dyDescent="0.3">
      <c r="A2994" s="10" t="str">
        <f>HYPERLINK("http://www.washoecounty.gov/assessor/cama/?parid=041-366-10&amp;CardNumber=1","041-366-10")</f>
        <v>041-366-10</v>
      </c>
      <c r="B2994" t="s">
        <v>4655</v>
      </c>
      <c r="C2994" t="s">
        <v>17350</v>
      </c>
      <c r="D2994" s="1">
        <v>40365</v>
      </c>
      <c r="E2994" s="2">
        <v>318000</v>
      </c>
      <c r="F2994" t="s">
        <v>4567</v>
      </c>
      <c r="G2994" s="17" t="str">
        <f>HYPERLINK("https://www.washoecounty.gov/assessor/cama/?command=sales&amp;parid=04136610","3898349")</f>
        <v>3898349</v>
      </c>
      <c r="H2994" t="s">
        <v>3028</v>
      </c>
      <c r="I2994">
        <v>1989</v>
      </c>
      <c r="J2994">
        <v>1989</v>
      </c>
      <c r="K2994" t="s">
        <v>4554</v>
      </c>
      <c r="L2994" t="s">
        <v>3974</v>
      </c>
      <c r="M2994" s="2">
        <v>2217</v>
      </c>
      <c r="N2994" t="s">
        <v>3147</v>
      </c>
      <c r="O2994">
        <v>4</v>
      </c>
      <c r="P2994">
        <v>2</v>
      </c>
      <c r="Q2994">
        <v>1</v>
      </c>
      <c r="R2994" t="s">
        <v>4557</v>
      </c>
      <c r="S2994" t="s">
        <v>4558</v>
      </c>
      <c r="T2994" t="s">
        <v>4559</v>
      </c>
      <c r="U2994" t="s">
        <v>4560</v>
      </c>
      <c r="V2994" s="2">
        <v>483</v>
      </c>
      <c r="W2994" t="s">
        <v>4655</v>
      </c>
      <c r="X2994" s="2">
        <v>0</v>
      </c>
      <c r="Y2994">
        <v>20</v>
      </c>
      <c r="Z2994" t="s">
        <v>385</v>
      </c>
      <c r="AA2994" s="3">
        <v>0.169995412230492</v>
      </c>
      <c r="AB2994" t="s">
        <v>17351</v>
      </c>
      <c r="AC2994" t="s">
        <v>4562</v>
      </c>
      <c r="AD2994" t="s">
        <v>17352</v>
      </c>
      <c r="AE2994" t="s">
        <v>4655</v>
      </c>
      <c r="AF2994" t="s">
        <v>4563</v>
      </c>
      <c r="AG2994" t="s">
        <v>4564</v>
      </c>
      <c r="AH2994" t="s">
        <v>2330</v>
      </c>
      <c r="AI2994" t="s">
        <v>17353</v>
      </c>
      <c r="AJ2994" t="s">
        <v>4655</v>
      </c>
      <c r="AK2994" t="s">
        <v>17354</v>
      </c>
      <c r="AL2994" s="13" t="s">
        <v>2255</v>
      </c>
      <c r="AM2994" s="14">
        <v>1</v>
      </c>
      <c r="AN2994" s="15" t="s">
        <v>3029</v>
      </c>
    </row>
    <row r="2995" spans="1:40" x14ac:dyDescent="0.3">
      <c r="A2995" s="10" t="str">
        <f>HYPERLINK("http://www.washoecounty.gov/assessor/cama/?parid=041-391-38&amp;CardNumber=1","041-391-38")</f>
        <v>041-391-38</v>
      </c>
      <c r="B2995" t="s">
        <v>4655</v>
      </c>
      <c r="C2995" t="s">
        <v>17355</v>
      </c>
      <c r="D2995" s="1">
        <v>40336</v>
      </c>
      <c r="E2995" s="2">
        <v>282000</v>
      </c>
      <c r="F2995" t="s">
        <v>4567</v>
      </c>
      <c r="G2995" s="17" t="str">
        <f>HYPERLINK("https://www.washoecounty.gov/assessor/cama/?command=sales&amp;parid=04139138","3889003")</f>
        <v>3889003</v>
      </c>
      <c r="H2995" t="s">
        <v>387</v>
      </c>
      <c r="I2995">
        <v>1993</v>
      </c>
      <c r="J2995">
        <v>1993</v>
      </c>
      <c r="K2995" t="s">
        <v>4554</v>
      </c>
      <c r="L2995" t="s">
        <v>4555</v>
      </c>
      <c r="M2995" s="2">
        <v>1963</v>
      </c>
      <c r="N2995" t="s">
        <v>1245</v>
      </c>
      <c r="O2995">
        <v>3</v>
      </c>
      <c r="P2995">
        <v>2</v>
      </c>
      <c r="Q2995">
        <v>0</v>
      </c>
      <c r="R2995" t="s">
        <v>5281</v>
      </c>
      <c r="S2995" t="s">
        <v>4558</v>
      </c>
      <c r="T2995" t="s">
        <v>2704</v>
      </c>
      <c r="U2995" t="s">
        <v>4560</v>
      </c>
      <c r="V2995" s="2">
        <v>544</v>
      </c>
      <c r="W2995" t="s">
        <v>4655</v>
      </c>
      <c r="X2995" s="2">
        <v>0</v>
      </c>
      <c r="Y2995">
        <v>20</v>
      </c>
      <c r="Z2995" t="s">
        <v>1491</v>
      </c>
      <c r="AA2995" s="3">
        <v>0.148002758622169</v>
      </c>
      <c r="AB2995" t="s">
        <v>17356</v>
      </c>
      <c r="AC2995" t="s">
        <v>4575</v>
      </c>
      <c r="AD2995" t="s">
        <v>17357</v>
      </c>
      <c r="AE2995" t="s">
        <v>17358</v>
      </c>
      <c r="AF2995" t="s">
        <v>4563</v>
      </c>
      <c r="AG2995" t="s">
        <v>4564</v>
      </c>
      <c r="AH2995" t="s">
        <v>2330</v>
      </c>
      <c r="AI2995" t="s">
        <v>17359</v>
      </c>
      <c r="AJ2995" t="s">
        <v>4655</v>
      </c>
      <c r="AK2995" t="s">
        <v>17360</v>
      </c>
      <c r="AL2995" s="13" t="s">
        <v>2255</v>
      </c>
      <c r="AM2995">
        <v>1</v>
      </c>
      <c r="AN2995" s="15" t="s">
        <v>1388</v>
      </c>
    </row>
    <row r="2996" spans="1:40" x14ac:dyDescent="0.3">
      <c r="A2996" s="10" t="str">
        <f>HYPERLINK("http://www.washoecounty.gov/assessor/cama/?parid=041-391-59&amp;CardNumber=1","041-391-59")</f>
        <v>041-391-59</v>
      </c>
      <c r="B2996" t="s">
        <v>4655</v>
      </c>
      <c r="C2996" t="s">
        <v>17361</v>
      </c>
      <c r="D2996" s="1">
        <v>40415</v>
      </c>
      <c r="E2996" s="2">
        <v>382500</v>
      </c>
      <c r="F2996" t="s">
        <v>4567</v>
      </c>
      <c r="G2996" s="17" t="str">
        <f>HYPERLINK("https://www.washoecounty.gov/assessor/cama/?command=sales&amp;parid=04139159","3915261")</f>
        <v>3915261</v>
      </c>
      <c r="H2996" t="s">
        <v>387</v>
      </c>
      <c r="I2996">
        <v>1992</v>
      </c>
      <c r="J2996">
        <v>1992</v>
      </c>
      <c r="K2996" t="s">
        <v>4554</v>
      </c>
      <c r="L2996" t="s">
        <v>3974</v>
      </c>
      <c r="M2996" s="2">
        <v>2668</v>
      </c>
      <c r="N2996" t="s">
        <v>1245</v>
      </c>
      <c r="O2996">
        <v>3</v>
      </c>
      <c r="P2996">
        <v>2</v>
      </c>
      <c r="Q2996">
        <v>1</v>
      </c>
      <c r="R2996" t="s">
        <v>5281</v>
      </c>
      <c r="S2996" t="s">
        <v>4558</v>
      </c>
      <c r="T2996" t="s">
        <v>2704</v>
      </c>
      <c r="U2996" t="s">
        <v>5631</v>
      </c>
      <c r="V2996" s="2">
        <v>703</v>
      </c>
      <c r="W2996" t="s">
        <v>4655</v>
      </c>
      <c r="X2996" s="2">
        <v>0</v>
      </c>
      <c r="Y2996">
        <v>20</v>
      </c>
      <c r="Z2996" t="s">
        <v>1491</v>
      </c>
      <c r="AA2996" s="3">
        <v>0.18500918149948101</v>
      </c>
      <c r="AB2996" t="s">
        <v>17362</v>
      </c>
      <c r="AC2996" t="s">
        <v>4562</v>
      </c>
      <c r="AD2996" t="s">
        <v>17363</v>
      </c>
      <c r="AE2996" t="s">
        <v>4655</v>
      </c>
      <c r="AF2996" t="s">
        <v>4563</v>
      </c>
      <c r="AG2996" t="s">
        <v>4564</v>
      </c>
      <c r="AH2996" t="s">
        <v>2330</v>
      </c>
      <c r="AI2996" t="s">
        <v>1328</v>
      </c>
      <c r="AJ2996" t="s">
        <v>4655</v>
      </c>
      <c r="AK2996" t="s">
        <v>17364</v>
      </c>
      <c r="AL2996" s="13" t="s">
        <v>2255</v>
      </c>
      <c r="AM2996">
        <v>1</v>
      </c>
      <c r="AN2996" s="15" t="s">
        <v>1388</v>
      </c>
    </row>
    <row r="2997" spans="1:40" x14ac:dyDescent="0.3">
      <c r="A2997" s="10" t="str">
        <f>HYPERLINK("http://www.washoecounty.gov/assessor/cama/?parid=041-392-11&amp;CardNumber=1","041-392-11")</f>
        <v>041-392-11</v>
      </c>
      <c r="B2997" t="s">
        <v>4655</v>
      </c>
      <c r="C2997" t="s">
        <v>17365</v>
      </c>
      <c r="D2997" s="1">
        <v>40386</v>
      </c>
      <c r="E2997" s="2">
        <v>365000</v>
      </c>
      <c r="F2997" t="s">
        <v>4567</v>
      </c>
      <c r="G2997" s="17" t="str">
        <f>HYPERLINK("https://www.washoecounty.gov/assessor/cama/?command=sales&amp;parid=04139211","3905404")</f>
        <v>3905404</v>
      </c>
      <c r="H2997" t="s">
        <v>387</v>
      </c>
      <c r="I2997">
        <v>1991</v>
      </c>
      <c r="J2997">
        <v>1991</v>
      </c>
      <c r="K2997" t="s">
        <v>4554</v>
      </c>
      <c r="L2997" t="s">
        <v>4555</v>
      </c>
      <c r="M2997" s="2">
        <v>2246</v>
      </c>
      <c r="N2997" t="s">
        <v>1245</v>
      </c>
      <c r="O2997">
        <v>4</v>
      </c>
      <c r="P2997">
        <v>2</v>
      </c>
      <c r="Q2997">
        <v>0</v>
      </c>
      <c r="R2997" t="s">
        <v>5281</v>
      </c>
      <c r="S2997" t="s">
        <v>4558</v>
      </c>
      <c r="T2997" t="s">
        <v>2704</v>
      </c>
      <c r="U2997" t="s">
        <v>4560</v>
      </c>
      <c r="V2997" s="2">
        <v>461</v>
      </c>
      <c r="W2997" t="s">
        <v>4655</v>
      </c>
      <c r="X2997" s="2">
        <v>0</v>
      </c>
      <c r="Y2997">
        <v>20</v>
      </c>
      <c r="Z2997" t="s">
        <v>1491</v>
      </c>
      <c r="AA2997" s="3">
        <v>0.15000000596046401</v>
      </c>
      <c r="AB2997" t="s">
        <v>17366</v>
      </c>
      <c r="AC2997" t="s">
        <v>4575</v>
      </c>
      <c r="AD2997" t="s">
        <v>17365</v>
      </c>
      <c r="AE2997" t="s">
        <v>4655</v>
      </c>
      <c r="AF2997" t="s">
        <v>4563</v>
      </c>
      <c r="AG2997" t="s">
        <v>4564</v>
      </c>
      <c r="AH2997">
        <v>89509</v>
      </c>
      <c r="AI2997" t="s">
        <v>17367</v>
      </c>
      <c r="AJ2997" t="s">
        <v>4655</v>
      </c>
      <c r="AK2997" t="s">
        <v>17368</v>
      </c>
      <c r="AL2997" s="13" t="s">
        <v>2255</v>
      </c>
      <c r="AM2997">
        <v>1</v>
      </c>
      <c r="AN2997" s="15" t="s">
        <v>1388</v>
      </c>
    </row>
    <row r="2998" spans="1:40" x14ac:dyDescent="0.3">
      <c r="A2998" s="10" t="str">
        <f>HYPERLINK("http://www.washoecounty.gov/assessor/cama/?parid=041-392-15&amp;CardNumber=1","041-392-15")</f>
        <v>041-392-15</v>
      </c>
      <c r="B2998" t="s">
        <v>4655</v>
      </c>
      <c r="C2998" t="s">
        <v>17369</v>
      </c>
      <c r="D2998" s="1">
        <v>40239</v>
      </c>
      <c r="E2998" s="2">
        <v>356000</v>
      </c>
      <c r="F2998" t="s">
        <v>4567</v>
      </c>
      <c r="G2998" s="17" t="str">
        <f>HYPERLINK("https://www.washoecounty.gov/assessor/cama/?command=sales&amp;parid=04139215","3854200")</f>
        <v>3854200</v>
      </c>
      <c r="H2998" t="s">
        <v>387</v>
      </c>
      <c r="I2998">
        <v>1990</v>
      </c>
      <c r="J2998">
        <v>1990</v>
      </c>
      <c r="K2998" t="s">
        <v>4554</v>
      </c>
      <c r="L2998" t="s">
        <v>3974</v>
      </c>
      <c r="M2998" s="2">
        <v>2709</v>
      </c>
      <c r="N2998" t="s">
        <v>1245</v>
      </c>
      <c r="O2998">
        <v>4</v>
      </c>
      <c r="P2998">
        <v>3</v>
      </c>
      <c r="Q2998">
        <v>0</v>
      </c>
      <c r="R2998" t="s">
        <v>5281</v>
      </c>
      <c r="S2998" t="s">
        <v>4558</v>
      </c>
      <c r="T2998" t="s">
        <v>2704</v>
      </c>
      <c r="U2998" t="s">
        <v>5631</v>
      </c>
      <c r="V2998" s="2">
        <v>657</v>
      </c>
      <c r="W2998" t="s">
        <v>4655</v>
      </c>
      <c r="X2998" s="2">
        <v>0</v>
      </c>
      <c r="Y2998">
        <v>20</v>
      </c>
      <c r="Z2998" t="s">
        <v>1491</v>
      </c>
      <c r="AA2998" s="3">
        <v>0.148002758622169</v>
      </c>
      <c r="AB2998" t="s">
        <v>17370</v>
      </c>
      <c r="AC2998" t="s">
        <v>4575</v>
      </c>
      <c r="AD2998" t="s">
        <v>17369</v>
      </c>
      <c r="AE2998" t="s">
        <v>4655</v>
      </c>
      <c r="AF2998" t="s">
        <v>4563</v>
      </c>
      <c r="AG2998" t="s">
        <v>4564</v>
      </c>
      <c r="AH2998" t="s">
        <v>2330</v>
      </c>
      <c r="AI2998" t="s">
        <v>17371</v>
      </c>
      <c r="AJ2998" t="s">
        <v>4655</v>
      </c>
      <c r="AK2998" t="s">
        <v>17372</v>
      </c>
      <c r="AL2998" s="13" t="s">
        <v>2255</v>
      </c>
      <c r="AM2998">
        <v>1</v>
      </c>
      <c r="AN2998" s="15" t="s">
        <v>1388</v>
      </c>
    </row>
    <row r="2999" spans="1:40" x14ac:dyDescent="0.3">
      <c r="A2999" s="10" t="str">
        <f>HYPERLINK("http://www.washoecounty.gov/assessor/cama/?parid=041-481-09&amp;CardNumber=1","041-481-09")</f>
        <v>041-481-09</v>
      </c>
      <c r="B2999" t="s">
        <v>4655</v>
      </c>
      <c r="C2999" t="s">
        <v>17373</v>
      </c>
      <c r="D2999" s="1">
        <v>40497</v>
      </c>
      <c r="E2999" s="2">
        <v>382000</v>
      </c>
      <c r="F2999" t="s">
        <v>4567</v>
      </c>
      <c r="G2999" s="17" t="str">
        <f>HYPERLINK("https://www.washoecounty.gov/assessor/cama/?command=sales&amp;parid=04148109","3943048")</f>
        <v>3943048</v>
      </c>
      <c r="H2999" t="s">
        <v>5470</v>
      </c>
      <c r="I2999">
        <v>1993</v>
      </c>
      <c r="J2999">
        <v>1993</v>
      </c>
      <c r="K2999" t="s">
        <v>4554</v>
      </c>
      <c r="L2999" t="s">
        <v>4555</v>
      </c>
      <c r="M2999" s="2">
        <v>1730</v>
      </c>
      <c r="N2999" t="s">
        <v>3887</v>
      </c>
      <c r="O2999">
        <v>4</v>
      </c>
      <c r="P2999">
        <v>3</v>
      </c>
      <c r="Q2999">
        <v>1</v>
      </c>
      <c r="R2999" t="s">
        <v>4557</v>
      </c>
      <c r="S2999" t="s">
        <v>4898</v>
      </c>
      <c r="T2999" t="s">
        <v>2704</v>
      </c>
      <c r="U2999" t="s">
        <v>4560</v>
      </c>
      <c r="V2999" s="2">
        <v>590</v>
      </c>
      <c r="W2999" t="s">
        <v>3201</v>
      </c>
      <c r="X2999" s="2">
        <v>1356</v>
      </c>
      <c r="Y2999">
        <v>20</v>
      </c>
      <c r="Z2999" t="s">
        <v>1491</v>
      </c>
      <c r="AA2999" s="3">
        <v>0.15798898041248299</v>
      </c>
      <c r="AB2999" t="s">
        <v>17374</v>
      </c>
      <c r="AC2999" t="s">
        <v>4562</v>
      </c>
      <c r="AD2999" t="s">
        <v>17373</v>
      </c>
      <c r="AE2999" t="s">
        <v>4655</v>
      </c>
      <c r="AF2999" t="s">
        <v>4563</v>
      </c>
      <c r="AG2999" t="s">
        <v>4564</v>
      </c>
      <c r="AH2999">
        <v>89509</v>
      </c>
      <c r="AI2999" t="s">
        <v>17375</v>
      </c>
      <c r="AJ2999" t="s">
        <v>5471</v>
      </c>
      <c r="AK2999" t="s">
        <v>17376</v>
      </c>
      <c r="AL2999" s="13" t="s">
        <v>2255</v>
      </c>
      <c r="AM2999">
        <v>1</v>
      </c>
      <c r="AN2999" s="15" t="s">
        <v>76</v>
      </c>
    </row>
    <row r="3000" spans="1:40" x14ac:dyDescent="0.3">
      <c r="A3000" s="10" t="str">
        <f>HYPERLINK("http://www.washoecounty.gov/assessor/cama/?parid=041-482-01&amp;CardNumber=1","041-482-01")</f>
        <v>041-482-01</v>
      </c>
      <c r="B3000" t="s">
        <v>4655</v>
      </c>
      <c r="C3000" t="s">
        <v>17377</v>
      </c>
      <c r="D3000" s="1">
        <v>40473</v>
      </c>
      <c r="E3000" s="2">
        <v>241000</v>
      </c>
      <c r="F3000" t="s">
        <v>4567</v>
      </c>
      <c r="G3000" s="17" t="str">
        <f>HYPERLINK("https://www.washoecounty.gov/assessor/cama/?command=sales&amp;parid=04148201","3935805")</f>
        <v>3935805</v>
      </c>
      <c r="H3000" t="s">
        <v>5470</v>
      </c>
      <c r="I3000">
        <v>1993</v>
      </c>
      <c r="J3000">
        <v>1993</v>
      </c>
      <c r="K3000" t="s">
        <v>4554</v>
      </c>
      <c r="L3000" t="s">
        <v>4555</v>
      </c>
      <c r="M3000" s="2">
        <v>1864</v>
      </c>
      <c r="N3000" t="s">
        <v>3887</v>
      </c>
      <c r="O3000">
        <v>3</v>
      </c>
      <c r="P3000">
        <v>2</v>
      </c>
      <c r="Q3000">
        <v>0</v>
      </c>
      <c r="R3000" t="s">
        <v>4557</v>
      </c>
      <c r="S3000" t="s">
        <v>4898</v>
      </c>
      <c r="T3000" t="s">
        <v>2704</v>
      </c>
      <c r="U3000" t="s">
        <v>4560</v>
      </c>
      <c r="V3000" s="2">
        <v>404</v>
      </c>
      <c r="W3000" t="s">
        <v>4655</v>
      </c>
      <c r="X3000" s="2">
        <v>0</v>
      </c>
      <c r="Y3000">
        <v>20</v>
      </c>
      <c r="Z3000" t="s">
        <v>1491</v>
      </c>
      <c r="AA3000" s="3">
        <v>0.16099633276462599</v>
      </c>
      <c r="AB3000" t="s">
        <v>17378</v>
      </c>
      <c r="AC3000" t="s">
        <v>4562</v>
      </c>
      <c r="AD3000" t="s">
        <v>17377</v>
      </c>
      <c r="AE3000" t="s">
        <v>4655</v>
      </c>
      <c r="AF3000" t="s">
        <v>4563</v>
      </c>
      <c r="AG3000" t="s">
        <v>4564</v>
      </c>
      <c r="AH3000" t="s">
        <v>2330</v>
      </c>
      <c r="AI3000" t="s">
        <v>17379</v>
      </c>
      <c r="AJ3000" t="s">
        <v>5471</v>
      </c>
      <c r="AK3000" t="s">
        <v>17380</v>
      </c>
      <c r="AL3000" s="13" t="s">
        <v>2255</v>
      </c>
      <c r="AM3000">
        <v>1</v>
      </c>
      <c r="AN3000" s="15" t="s">
        <v>76</v>
      </c>
    </row>
    <row r="3001" spans="1:40" x14ac:dyDescent="0.3">
      <c r="A3001" s="10" t="str">
        <f>HYPERLINK("http://www.washoecounty.gov/assessor/cama/?parid=041-482-09&amp;CardNumber=1","041-482-09")</f>
        <v>041-482-09</v>
      </c>
      <c r="B3001" t="s">
        <v>4655</v>
      </c>
      <c r="C3001" t="s">
        <v>17381</v>
      </c>
      <c r="D3001" s="1">
        <v>40206</v>
      </c>
      <c r="E3001" s="2">
        <v>365000</v>
      </c>
      <c r="F3001" t="s">
        <v>4567</v>
      </c>
      <c r="G3001" s="17" t="str">
        <f>HYPERLINK("https://www.washoecounty.gov/assessor/cama/?command=sales&amp;parid=04148209","3843689")</f>
        <v>3843689</v>
      </c>
      <c r="H3001" t="s">
        <v>17382</v>
      </c>
      <c r="I3001">
        <v>1994</v>
      </c>
      <c r="J3001">
        <v>1994</v>
      </c>
      <c r="K3001" t="s">
        <v>4554</v>
      </c>
      <c r="L3001" t="s">
        <v>4555</v>
      </c>
      <c r="M3001" s="2">
        <v>1356</v>
      </c>
      <c r="N3001" t="s">
        <v>3887</v>
      </c>
      <c r="O3001">
        <v>4</v>
      </c>
      <c r="P3001">
        <v>2</v>
      </c>
      <c r="Q3001">
        <v>1</v>
      </c>
      <c r="R3001" t="s">
        <v>4557</v>
      </c>
      <c r="S3001" t="s">
        <v>4898</v>
      </c>
      <c r="T3001" t="s">
        <v>2704</v>
      </c>
      <c r="U3001" t="s">
        <v>4560</v>
      </c>
      <c r="V3001" s="2">
        <v>451</v>
      </c>
      <c r="W3001" t="s">
        <v>3149</v>
      </c>
      <c r="X3001" s="2">
        <v>1424</v>
      </c>
      <c r="Y3001">
        <v>20</v>
      </c>
      <c r="Z3001" t="s">
        <v>1491</v>
      </c>
      <c r="AA3001" s="3">
        <v>0.160009175539017</v>
      </c>
      <c r="AB3001" t="s">
        <v>17383</v>
      </c>
      <c r="AC3001" t="s">
        <v>4562</v>
      </c>
      <c r="AD3001" t="s">
        <v>17381</v>
      </c>
      <c r="AE3001" t="s">
        <v>4655</v>
      </c>
      <c r="AF3001" t="s">
        <v>4563</v>
      </c>
      <c r="AG3001" t="s">
        <v>4564</v>
      </c>
      <c r="AH3001">
        <v>89509</v>
      </c>
      <c r="AI3001" t="s">
        <v>17384</v>
      </c>
      <c r="AJ3001" t="s">
        <v>17385</v>
      </c>
      <c r="AK3001" t="s">
        <v>17386</v>
      </c>
      <c r="AL3001" s="13" t="s">
        <v>2255</v>
      </c>
      <c r="AM3001" s="14">
        <v>1</v>
      </c>
      <c r="AN3001" s="15" t="s">
        <v>76</v>
      </c>
    </row>
    <row r="3002" spans="1:40" x14ac:dyDescent="0.3">
      <c r="A3002" s="10" t="str">
        <f>HYPERLINK("http://www.washoecounty.gov/assessor/cama/?parid=041-482-14&amp;CardNumber=1","041-482-14")</f>
        <v>041-482-14</v>
      </c>
      <c r="B3002" t="s">
        <v>4655</v>
      </c>
      <c r="C3002" t="s">
        <v>17387</v>
      </c>
      <c r="D3002" s="1">
        <v>40457</v>
      </c>
      <c r="E3002" s="2">
        <v>340000</v>
      </c>
      <c r="F3002" t="s">
        <v>4567</v>
      </c>
      <c r="G3002" s="17" t="str">
        <f>HYPERLINK("https://www.washoecounty.gov/assessor/cama/?command=sales&amp;parid=04148214","3930313")</f>
        <v>3930313</v>
      </c>
      <c r="H3002" t="s">
        <v>17382</v>
      </c>
      <c r="I3002">
        <v>1993</v>
      </c>
      <c r="J3002">
        <v>1993</v>
      </c>
      <c r="K3002" t="s">
        <v>4554</v>
      </c>
      <c r="L3002" t="s">
        <v>4555</v>
      </c>
      <c r="M3002" s="2">
        <v>1730</v>
      </c>
      <c r="N3002" t="s">
        <v>3887</v>
      </c>
      <c r="O3002">
        <v>4</v>
      </c>
      <c r="P3002">
        <v>3</v>
      </c>
      <c r="Q3002">
        <v>1</v>
      </c>
      <c r="R3002" t="s">
        <v>5281</v>
      </c>
      <c r="S3002" t="s">
        <v>4898</v>
      </c>
      <c r="T3002" t="s">
        <v>2704</v>
      </c>
      <c r="U3002" t="s">
        <v>4560</v>
      </c>
      <c r="V3002" s="2">
        <v>590</v>
      </c>
      <c r="W3002" t="s">
        <v>3201</v>
      </c>
      <c r="X3002" s="2">
        <v>1356</v>
      </c>
      <c r="Y3002">
        <v>20</v>
      </c>
      <c r="Z3002" t="s">
        <v>1491</v>
      </c>
      <c r="AA3002" s="3">
        <v>0.160009175539017</v>
      </c>
      <c r="AB3002" t="s">
        <v>17388</v>
      </c>
      <c r="AC3002" t="s">
        <v>4575</v>
      </c>
      <c r="AD3002" t="s">
        <v>17387</v>
      </c>
      <c r="AE3002" t="s">
        <v>4655</v>
      </c>
      <c r="AF3002" t="s">
        <v>4563</v>
      </c>
      <c r="AG3002" t="s">
        <v>4564</v>
      </c>
      <c r="AH3002">
        <v>89509</v>
      </c>
      <c r="AI3002" t="s">
        <v>17389</v>
      </c>
      <c r="AJ3002" t="s">
        <v>17385</v>
      </c>
      <c r="AK3002" t="s">
        <v>17390</v>
      </c>
      <c r="AL3002" s="13" t="s">
        <v>2255</v>
      </c>
      <c r="AM3002" s="14">
        <v>1</v>
      </c>
      <c r="AN3002" s="15" t="s">
        <v>76</v>
      </c>
    </row>
    <row r="3003" spans="1:40" x14ac:dyDescent="0.3">
      <c r="A3003" s="10" t="str">
        <f>HYPERLINK("http://www.washoecounty.gov/assessor/cama/?parid=041-490-23&amp;CardNumber=1","041-490-23")</f>
        <v>041-490-23</v>
      </c>
      <c r="B3003" t="s">
        <v>4655</v>
      </c>
      <c r="C3003" t="s">
        <v>17391</v>
      </c>
      <c r="D3003" s="1">
        <v>40512</v>
      </c>
      <c r="E3003" s="2">
        <v>2600000</v>
      </c>
      <c r="F3003" t="s">
        <v>3528</v>
      </c>
      <c r="G3003" s="17" t="str">
        <f>HYPERLINK("https://www.washoecounty.gov/assessor/cama/?command=sales&amp;parid=04149023","3947635")</f>
        <v>3947635</v>
      </c>
      <c r="H3003" t="s">
        <v>17392</v>
      </c>
      <c r="I3003">
        <v>2005</v>
      </c>
      <c r="J3003">
        <v>2005</v>
      </c>
      <c r="K3003" t="s">
        <v>3919</v>
      </c>
      <c r="L3003" t="s">
        <v>3038</v>
      </c>
      <c r="M3003" s="2">
        <v>9317</v>
      </c>
      <c r="N3003" t="s">
        <v>3531</v>
      </c>
      <c r="O3003">
        <v>0</v>
      </c>
      <c r="P3003">
        <v>0</v>
      </c>
      <c r="Q3003">
        <v>0</v>
      </c>
      <c r="R3003" t="s">
        <v>1395</v>
      </c>
      <c r="S3003" t="s">
        <v>1819</v>
      </c>
      <c r="T3003" t="s">
        <v>4655</v>
      </c>
      <c r="U3003" t="s">
        <v>4655</v>
      </c>
      <c r="V3003" s="2">
        <v>0</v>
      </c>
      <c r="W3003" t="s">
        <v>4571</v>
      </c>
      <c r="X3003" s="2">
        <v>5176</v>
      </c>
      <c r="Y3003">
        <v>41</v>
      </c>
      <c r="Z3003" t="s">
        <v>1491</v>
      </c>
      <c r="AA3003" s="3">
        <v>0.67800736427307096</v>
      </c>
      <c r="AB3003" t="s">
        <v>17393</v>
      </c>
      <c r="AC3003" t="s">
        <v>4562</v>
      </c>
      <c r="AD3003" t="s">
        <v>17394</v>
      </c>
      <c r="AE3003" t="s">
        <v>4655</v>
      </c>
      <c r="AF3003" t="s">
        <v>4563</v>
      </c>
      <c r="AG3003" t="s">
        <v>4564</v>
      </c>
      <c r="AH3003">
        <v>89511</v>
      </c>
      <c r="AI3003" t="s">
        <v>17395</v>
      </c>
      <c r="AJ3003" t="s">
        <v>17396</v>
      </c>
      <c r="AK3003" t="s">
        <v>17397</v>
      </c>
      <c r="AL3003" s="13" t="s">
        <v>2255</v>
      </c>
      <c r="AM3003">
        <v>1</v>
      </c>
      <c r="AN3003" s="15" t="s">
        <v>17398</v>
      </c>
    </row>
    <row r="3004" spans="1:40" x14ac:dyDescent="0.3">
      <c r="A3004" s="10" t="str">
        <f>HYPERLINK("http://www.washoecounty.gov/assessor/cama/?parid=041-511-17&amp;CardNumber=1","041-511-17")</f>
        <v>041-511-17</v>
      </c>
      <c r="B3004" t="s">
        <v>4655</v>
      </c>
      <c r="C3004" t="s">
        <v>17399</v>
      </c>
      <c r="D3004" s="1">
        <v>40367</v>
      </c>
      <c r="E3004" s="2">
        <v>190000</v>
      </c>
      <c r="F3004" t="s">
        <v>4553</v>
      </c>
      <c r="G3004" s="17" t="str">
        <f>HYPERLINK("https://www.washoecounty.gov/assessor/cama/?command=sales&amp;parid=04151117","3899641")</f>
        <v>3899641</v>
      </c>
      <c r="H3004" t="s">
        <v>604</v>
      </c>
      <c r="I3004">
        <v>1994</v>
      </c>
      <c r="J3004">
        <v>1994</v>
      </c>
      <c r="K3004" t="s">
        <v>4554</v>
      </c>
      <c r="L3004" t="s">
        <v>4555</v>
      </c>
      <c r="M3004" s="2">
        <v>1377</v>
      </c>
      <c r="N3004" t="s">
        <v>3147</v>
      </c>
      <c r="O3004">
        <v>4</v>
      </c>
      <c r="P3004">
        <v>2</v>
      </c>
      <c r="Q3004">
        <v>0</v>
      </c>
      <c r="R3004" t="s">
        <v>4557</v>
      </c>
      <c r="S3004" t="s">
        <v>4558</v>
      </c>
      <c r="T3004" t="s">
        <v>4559</v>
      </c>
      <c r="U3004" t="s">
        <v>4560</v>
      </c>
      <c r="V3004" s="2">
        <v>465</v>
      </c>
      <c r="W3004" t="s">
        <v>3201</v>
      </c>
      <c r="X3004" s="2">
        <v>544</v>
      </c>
      <c r="Y3004">
        <v>20</v>
      </c>
      <c r="Z3004" t="s">
        <v>1491</v>
      </c>
      <c r="AA3004" s="3">
        <v>0.11600092053413399</v>
      </c>
      <c r="AB3004" t="s">
        <v>11611</v>
      </c>
      <c r="AC3004" t="s">
        <v>4575</v>
      </c>
      <c r="AD3004" t="s">
        <v>11612</v>
      </c>
      <c r="AE3004" t="s">
        <v>4416</v>
      </c>
      <c r="AF3004" t="s">
        <v>4563</v>
      </c>
      <c r="AG3004" t="s">
        <v>4564</v>
      </c>
      <c r="AH3004" t="s">
        <v>2330</v>
      </c>
      <c r="AI3004" t="s">
        <v>2351</v>
      </c>
      <c r="AJ3004" t="s">
        <v>605</v>
      </c>
      <c r="AK3004" t="s">
        <v>17400</v>
      </c>
      <c r="AL3004" s="13" t="s">
        <v>2255</v>
      </c>
      <c r="AM3004" s="14">
        <v>1</v>
      </c>
      <c r="AN3004" s="15" t="s">
        <v>470</v>
      </c>
    </row>
    <row r="3005" spans="1:40" x14ac:dyDescent="0.3">
      <c r="A3005" s="10" t="str">
        <f>HYPERLINK("http://www.washoecounty.gov/assessor/cama/?parid=041-512-01&amp;CardNumber=1","041-512-01")</f>
        <v>041-512-01</v>
      </c>
      <c r="B3005" t="s">
        <v>4655</v>
      </c>
      <c r="C3005" t="s">
        <v>17401</v>
      </c>
      <c r="D3005" s="1">
        <v>40535</v>
      </c>
      <c r="E3005" s="2">
        <v>175000</v>
      </c>
      <c r="F3005" t="s">
        <v>4567</v>
      </c>
      <c r="G3005" s="17" t="str">
        <f>HYPERLINK("https://www.washoecounty.gov/assessor/cama/?command=sales&amp;parid=04151201","3957011")</f>
        <v>3957011</v>
      </c>
      <c r="H3005" t="s">
        <v>604</v>
      </c>
      <c r="I3005">
        <v>1994</v>
      </c>
      <c r="J3005">
        <v>1994</v>
      </c>
      <c r="K3005" t="s">
        <v>4554</v>
      </c>
      <c r="L3005" t="s">
        <v>4555</v>
      </c>
      <c r="M3005" s="2">
        <v>1377</v>
      </c>
      <c r="N3005" t="s">
        <v>3147</v>
      </c>
      <c r="O3005">
        <v>3</v>
      </c>
      <c r="P3005">
        <v>2</v>
      </c>
      <c r="Q3005">
        <v>0</v>
      </c>
      <c r="R3005" t="s">
        <v>5281</v>
      </c>
      <c r="S3005" t="s">
        <v>4558</v>
      </c>
      <c r="T3005" t="s">
        <v>4559</v>
      </c>
      <c r="U3005" t="s">
        <v>4560</v>
      </c>
      <c r="V3005" s="2">
        <v>465</v>
      </c>
      <c r="W3005" t="s">
        <v>4655</v>
      </c>
      <c r="X3005" s="2">
        <v>0</v>
      </c>
      <c r="Y3005">
        <v>20</v>
      </c>
      <c r="Z3005" t="s">
        <v>1491</v>
      </c>
      <c r="AA3005" s="3">
        <v>0.10599173605442</v>
      </c>
      <c r="AB3005" t="s">
        <v>17402</v>
      </c>
      <c r="AC3005" t="s">
        <v>4562</v>
      </c>
      <c r="AD3005" t="s">
        <v>17403</v>
      </c>
      <c r="AE3005" t="s">
        <v>4655</v>
      </c>
      <c r="AF3005" t="s">
        <v>4563</v>
      </c>
      <c r="AG3005" t="s">
        <v>4564</v>
      </c>
      <c r="AH3005">
        <v>89509</v>
      </c>
      <c r="AI3005" t="s">
        <v>17404</v>
      </c>
      <c r="AJ3005" t="s">
        <v>605</v>
      </c>
      <c r="AK3005" t="s">
        <v>17405</v>
      </c>
      <c r="AL3005" s="13" t="s">
        <v>2255</v>
      </c>
      <c r="AM3005" s="14">
        <v>1</v>
      </c>
      <c r="AN3005" s="15" t="s">
        <v>470</v>
      </c>
    </row>
    <row r="3006" spans="1:40" x14ac:dyDescent="0.3">
      <c r="A3006" s="10" t="str">
        <f>HYPERLINK("http://www.washoecounty.gov/assessor/cama/?parid=041-522-20&amp;CardNumber=1","041-522-20")</f>
        <v>041-522-20</v>
      </c>
      <c r="B3006" t="s">
        <v>4655</v>
      </c>
      <c r="C3006" t="s">
        <v>17406</v>
      </c>
      <c r="D3006" s="1">
        <v>40340</v>
      </c>
      <c r="E3006" s="2">
        <v>205000</v>
      </c>
      <c r="F3006" t="s">
        <v>4553</v>
      </c>
      <c r="G3006" s="17" t="str">
        <f>HYPERLINK("https://www.washoecounty.gov/assessor/cama/?command=sales&amp;parid=04152220","3890936")</f>
        <v>3890936</v>
      </c>
      <c r="H3006" t="s">
        <v>468</v>
      </c>
      <c r="I3006">
        <v>1994</v>
      </c>
      <c r="J3006">
        <v>1994</v>
      </c>
      <c r="K3006" t="s">
        <v>4554</v>
      </c>
      <c r="L3006" t="s">
        <v>3974</v>
      </c>
      <c r="M3006" s="2">
        <v>1870</v>
      </c>
      <c r="N3006" t="s">
        <v>3147</v>
      </c>
      <c r="O3006">
        <v>3</v>
      </c>
      <c r="P3006">
        <v>2</v>
      </c>
      <c r="Q3006">
        <v>1</v>
      </c>
      <c r="R3006" t="s">
        <v>5281</v>
      </c>
      <c r="S3006" t="s">
        <v>4558</v>
      </c>
      <c r="T3006" t="s">
        <v>4559</v>
      </c>
      <c r="U3006" t="s">
        <v>5631</v>
      </c>
      <c r="V3006" s="2">
        <v>482</v>
      </c>
      <c r="W3006" t="s">
        <v>4655</v>
      </c>
      <c r="X3006" s="2">
        <v>0</v>
      </c>
      <c r="Y3006">
        <v>20</v>
      </c>
      <c r="Z3006" t="s">
        <v>1491</v>
      </c>
      <c r="AA3006" s="3">
        <v>0.14299815893173218</v>
      </c>
      <c r="AB3006" t="s">
        <v>17407</v>
      </c>
      <c r="AC3006" t="s">
        <v>4562</v>
      </c>
      <c r="AD3006" t="s">
        <v>17408</v>
      </c>
      <c r="AE3006" t="s">
        <v>4655</v>
      </c>
      <c r="AF3006" t="s">
        <v>9298</v>
      </c>
      <c r="AG3006" t="s">
        <v>4584</v>
      </c>
      <c r="AH3006">
        <v>96122</v>
      </c>
      <c r="AI3006" t="s">
        <v>4045</v>
      </c>
      <c r="AJ3006" t="s">
        <v>469</v>
      </c>
      <c r="AK3006" t="s">
        <v>17409</v>
      </c>
      <c r="AL3006" s="13" t="s">
        <v>2255</v>
      </c>
      <c r="AM3006">
        <v>1</v>
      </c>
      <c r="AN3006" s="15" t="s">
        <v>470</v>
      </c>
    </row>
    <row r="3007" spans="1:40" x14ac:dyDescent="0.3">
      <c r="A3007" s="10" t="str">
        <f>HYPERLINK("http://www.washoecounty.gov/assessor/cama/?parid=041-523-25&amp;CardNumber=1","041-523-25")</f>
        <v>041-523-25</v>
      </c>
      <c r="B3007" t="s">
        <v>4655</v>
      </c>
      <c r="C3007" t="s">
        <v>17410</v>
      </c>
      <c r="D3007" s="1">
        <v>40277</v>
      </c>
      <c r="E3007" s="2">
        <v>220000</v>
      </c>
      <c r="F3007" t="s">
        <v>4567</v>
      </c>
      <c r="G3007" s="17" t="str">
        <f>HYPERLINK("https://www.washoecounty.gov/assessor/cama/?command=sales&amp;parid=04152325","3869319")</f>
        <v>3869319</v>
      </c>
      <c r="H3007" t="s">
        <v>468</v>
      </c>
      <c r="I3007">
        <v>1994</v>
      </c>
      <c r="J3007">
        <v>1994</v>
      </c>
      <c r="K3007" t="s">
        <v>4554</v>
      </c>
      <c r="L3007" t="s">
        <v>4555</v>
      </c>
      <c r="M3007" s="2">
        <v>1150</v>
      </c>
      <c r="N3007" t="s">
        <v>3147</v>
      </c>
      <c r="O3007">
        <v>2</v>
      </c>
      <c r="P3007">
        <v>2</v>
      </c>
      <c r="Q3007">
        <v>0</v>
      </c>
      <c r="R3007" t="s">
        <v>4557</v>
      </c>
      <c r="S3007" t="s">
        <v>4558</v>
      </c>
      <c r="T3007" t="s">
        <v>4559</v>
      </c>
      <c r="U3007" t="s">
        <v>4560</v>
      </c>
      <c r="V3007" s="2">
        <v>472</v>
      </c>
      <c r="W3007" t="s">
        <v>4655</v>
      </c>
      <c r="X3007" s="2">
        <v>0</v>
      </c>
      <c r="Y3007">
        <v>20</v>
      </c>
      <c r="Z3007" t="s">
        <v>1491</v>
      </c>
      <c r="AA3007" s="3">
        <v>0.12899449467658999</v>
      </c>
      <c r="AB3007" t="s">
        <v>17411</v>
      </c>
      <c r="AC3007" t="s">
        <v>4562</v>
      </c>
      <c r="AD3007" t="s">
        <v>17412</v>
      </c>
      <c r="AE3007" t="s">
        <v>4655</v>
      </c>
      <c r="AF3007" t="s">
        <v>4563</v>
      </c>
      <c r="AG3007" t="s">
        <v>4564</v>
      </c>
      <c r="AH3007" t="s">
        <v>2330</v>
      </c>
      <c r="AI3007" t="s">
        <v>17411</v>
      </c>
      <c r="AJ3007" t="s">
        <v>469</v>
      </c>
      <c r="AK3007" t="s">
        <v>17413</v>
      </c>
      <c r="AL3007" s="13" t="s">
        <v>2255</v>
      </c>
      <c r="AM3007" s="14">
        <v>1</v>
      </c>
      <c r="AN3007" s="15" t="s">
        <v>470</v>
      </c>
    </row>
    <row r="3008" spans="1:40" x14ac:dyDescent="0.3">
      <c r="A3008" s="10" t="str">
        <f>HYPERLINK("http://www.washoecounty.gov/assessor/cama/?parid=041-533-03&amp;CardNumber=1","041-533-03")</f>
        <v>041-533-03</v>
      </c>
      <c r="B3008" t="s">
        <v>4655</v>
      </c>
      <c r="C3008" t="s">
        <v>17414</v>
      </c>
      <c r="D3008" s="1">
        <v>40186</v>
      </c>
      <c r="E3008" s="2">
        <v>525000</v>
      </c>
      <c r="F3008" t="s">
        <v>4567</v>
      </c>
      <c r="G3008" s="17" t="str">
        <f>HYPERLINK("https://www.washoecounty.gov/assessor/cama/?command=sales&amp;parid=04153303","3837586")</f>
        <v>3837586</v>
      </c>
      <c r="H3008" t="s">
        <v>77</v>
      </c>
      <c r="I3008">
        <v>1998</v>
      </c>
      <c r="J3008">
        <v>1998</v>
      </c>
      <c r="K3008" t="s">
        <v>4554</v>
      </c>
      <c r="L3008" t="s">
        <v>3974</v>
      </c>
      <c r="M3008" s="2">
        <v>3009</v>
      </c>
      <c r="N3008" t="s">
        <v>3147</v>
      </c>
      <c r="O3008">
        <v>4</v>
      </c>
      <c r="P3008">
        <v>2</v>
      </c>
      <c r="Q3008">
        <v>1</v>
      </c>
      <c r="R3008" t="s">
        <v>5281</v>
      </c>
      <c r="S3008" t="s">
        <v>4898</v>
      </c>
      <c r="T3008" t="s">
        <v>2704</v>
      </c>
      <c r="U3008" t="s">
        <v>5631</v>
      </c>
      <c r="V3008" s="2">
        <v>677</v>
      </c>
      <c r="W3008" t="s">
        <v>4655</v>
      </c>
      <c r="X3008" s="2">
        <v>0</v>
      </c>
      <c r="Y3008">
        <v>20</v>
      </c>
      <c r="Z3008" t="s">
        <v>385</v>
      </c>
      <c r="AA3008" s="3">
        <v>0.21999540925025901</v>
      </c>
      <c r="AB3008" t="s">
        <v>17415</v>
      </c>
      <c r="AC3008" t="s">
        <v>4562</v>
      </c>
      <c r="AD3008" t="s">
        <v>17414</v>
      </c>
      <c r="AE3008" t="s">
        <v>4655</v>
      </c>
      <c r="AF3008" t="s">
        <v>4563</v>
      </c>
      <c r="AG3008" t="s">
        <v>4564</v>
      </c>
      <c r="AH3008" t="s">
        <v>2330</v>
      </c>
      <c r="AI3008" t="s">
        <v>78</v>
      </c>
      <c r="AJ3008" t="s">
        <v>79</v>
      </c>
      <c r="AK3008" t="s">
        <v>17416</v>
      </c>
      <c r="AL3008" s="13" t="s">
        <v>2257</v>
      </c>
      <c r="AM3008" s="14">
        <v>1</v>
      </c>
      <c r="AN3008" s="15" t="s">
        <v>80</v>
      </c>
    </row>
    <row r="3009" spans="1:40" x14ac:dyDescent="0.3">
      <c r="A3009" s="10" t="str">
        <f>HYPERLINK("http://www.washoecounty.gov/assessor/cama/?parid=041-542-03&amp;CardNumber=1","041-542-03")</f>
        <v>041-542-03</v>
      </c>
      <c r="B3009" t="s">
        <v>4655</v>
      </c>
      <c r="C3009" t="s">
        <v>17417</v>
      </c>
      <c r="D3009" s="1">
        <v>40198</v>
      </c>
      <c r="E3009" s="2">
        <v>426000</v>
      </c>
      <c r="F3009" t="s">
        <v>4553</v>
      </c>
      <c r="G3009" s="17" t="str">
        <f>HYPERLINK("https://www.washoecounty.gov/assessor/cama/?command=sales&amp;parid=04154203","3840931")</f>
        <v>3840931</v>
      </c>
      <c r="H3009" t="s">
        <v>77</v>
      </c>
      <c r="I3009">
        <v>1998</v>
      </c>
      <c r="J3009">
        <v>1998</v>
      </c>
      <c r="K3009" t="s">
        <v>4554</v>
      </c>
      <c r="L3009" t="s">
        <v>3974</v>
      </c>
      <c r="M3009" s="2">
        <v>2960</v>
      </c>
      <c r="N3009" t="s">
        <v>3147</v>
      </c>
      <c r="O3009">
        <v>4</v>
      </c>
      <c r="P3009">
        <v>3</v>
      </c>
      <c r="Q3009">
        <v>1</v>
      </c>
      <c r="R3009" t="s">
        <v>5281</v>
      </c>
      <c r="S3009" t="s">
        <v>4898</v>
      </c>
      <c r="T3009" t="s">
        <v>2704</v>
      </c>
      <c r="U3009" t="s">
        <v>5631</v>
      </c>
      <c r="V3009" s="2">
        <v>724</v>
      </c>
      <c r="W3009" t="s">
        <v>4655</v>
      </c>
      <c r="X3009" s="2">
        <v>0</v>
      </c>
      <c r="Y3009">
        <v>20</v>
      </c>
      <c r="Z3009" t="s">
        <v>385</v>
      </c>
      <c r="AA3009" s="3">
        <v>0.657001852989196</v>
      </c>
      <c r="AB3009" t="s">
        <v>17418</v>
      </c>
      <c r="AC3009" t="s">
        <v>4562</v>
      </c>
      <c r="AD3009" t="s">
        <v>17417</v>
      </c>
      <c r="AE3009" t="s">
        <v>4655</v>
      </c>
      <c r="AF3009" t="s">
        <v>4563</v>
      </c>
      <c r="AG3009" t="s">
        <v>4564</v>
      </c>
      <c r="AH3009" t="s">
        <v>2330</v>
      </c>
      <c r="AI3009" t="s">
        <v>4655</v>
      </c>
      <c r="AJ3009" t="s">
        <v>79</v>
      </c>
      <c r="AK3009" t="s">
        <v>17419</v>
      </c>
      <c r="AL3009" s="13" t="s">
        <v>2257</v>
      </c>
      <c r="AM3009">
        <v>1</v>
      </c>
      <c r="AN3009" s="15" t="s">
        <v>80</v>
      </c>
    </row>
    <row r="3010" spans="1:40" x14ac:dyDescent="0.3">
      <c r="A3010" s="10" t="str">
        <f>HYPERLINK("http://www.washoecounty.gov/assessor/cama/?parid=041-542-06&amp;CardNumber=1","041-542-06")</f>
        <v>041-542-06</v>
      </c>
      <c r="B3010" t="s">
        <v>4655</v>
      </c>
      <c r="C3010" t="s">
        <v>17420</v>
      </c>
      <c r="D3010" s="1">
        <v>40452</v>
      </c>
      <c r="E3010" s="2">
        <v>735000</v>
      </c>
      <c r="F3010" t="s">
        <v>4567</v>
      </c>
      <c r="G3010" s="17" t="str">
        <f>HYPERLINK("https://www.washoecounty.gov/assessor/cama/?command=sales&amp;parid=04154206","3928693")</f>
        <v>3928693</v>
      </c>
      <c r="H3010" t="s">
        <v>77</v>
      </c>
      <c r="I3010">
        <v>1998</v>
      </c>
      <c r="J3010">
        <v>2000</v>
      </c>
      <c r="K3010" t="s">
        <v>4554</v>
      </c>
      <c r="L3010" t="s">
        <v>3974</v>
      </c>
      <c r="M3010" s="2">
        <v>4282</v>
      </c>
      <c r="N3010" t="s">
        <v>1245</v>
      </c>
      <c r="O3010">
        <v>5</v>
      </c>
      <c r="P3010">
        <v>4</v>
      </c>
      <c r="Q3010">
        <v>1</v>
      </c>
      <c r="R3010" t="s">
        <v>5281</v>
      </c>
      <c r="S3010" t="s">
        <v>4898</v>
      </c>
      <c r="T3010" t="s">
        <v>2704</v>
      </c>
      <c r="U3010" t="s">
        <v>162</v>
      </c>
      <c r="V3010" s="2">
        <v>1018</v>
      </c>
      <c r="W3010" t="s">
        <v>4655</v>
      </c>
      <c r="X3010" s="2">
        <v>0</v>
      </c>
      <c r="Y3010">
        <v>20</v>
      </c>
      <c r="Z3010" t="s">
        <v>385</v>
      </c>
      <c r="AA3010" s="3">
        <v>0.69999998807907104</v>
      </c>
      <c r="AB3010" t="s">
        <v>17421</v>
      </c>
      <c r="AC3010" t="s">
        <v>4562</v>
      </c>
      <c r="AD3010" t="s">
        <v>17422</v>
      </c>
      <c r="AE3010" t="s">
        <v>4655</v>
      </c>
      <c r="AF3010" t="s">
        <v>4563</v>
      </c>
      <c r="AG3010" t="s">
        <v>4564</v>
      </c>
      <c r="AH3010" t="s">
        <v>2330</v>
      </c>
      <c r="AI3010" t="s">
        <v>17423</v>
      </c>
      <c r="AJ3010" t="s">
        <v>79</v>
      </c>
      <c r="AK3010" t="s">
        <v>17424</v>
      </c>
      <c r="AL3010" s="13" t="s">
        <v>2257</v>
      </c>
      <c r="AM3010">
        <v>1</v>
      </c>
      <c r="AN3010" s="15" t="s">
        <v>80</v>
      </c>
    </row>
    <row r="3011" spans="1:40" x14ac:dyDescent="0.3">
      <c r="A3011" s="10" t="str">
        <f>HYPERLINK("http://www.washoecounty.gov/assessor/cama/?parid=041-561-07&amp;CardNumber=1","041-561-07")</f>
        <v>041-561-07</v>
      </c>
      <c r="B3011" t="s">
        <v>4655</v>
      </c>
      <c r="C3011" t="s">
        <v>17425</v>
      </c>
      <c r="D3011" s="1">
        <v>40498</v>
      </c>
      <c r="E3011" s="2">
        <v>200000</v>
      </c>
      <c r="F3011" t="s">
        <v>4567</v>
      </c>
      <c r="G3011" s="17" t="str">
        <f>HYPERLINK("https://www.washoecounty.gov/assessor/cama/?command=sales&amp;parid=04156107","3943429")</f>
        <v>3943429</v>
      </c>
      <c r="H3011" t="s">
        <v>1501</v>
      </c>
      <c r="I3011">
        <v>1993</v>
      </c>
      <c r="J3011">
        <v>1993</v>
      </c>
      <c r="K3011" t="s">
        <v>4554</v>
      </c>
      <c r="L3011" t="s">
        <v>4555</v>
      </c>
      <c r="M3011" s="2">
        <v>1675</v>
      </c>
      <c r="N3011" t="s">
        <v>3887</v>
      </c>
      <c r="O3011">
        <v>3</v>
      </c>
      <c r="P3011">
        <v>2</v>
      </c>
      <c r="Q3011">
        <v>0</v>
      </c>
      <c r="R3011" t="s">
        <v>4557</v>
      </c>
      <c r="S3011" t="s">
        <v>4558</v>
      </c>
      <c r="T3011" t="s">
        <v>4559</v>
      </c>
      <c r="U3011" t="s">
        <v>4560</v>
      </c>
      <c r="V3011" s="2">
        <v>509</v>
      </c>
      <c r="W3011" t="s">
        <v>4655</v>
      </c>
      <c r="X3011" s="2">
        <v>0</v>
      </c>
      <c r="Y3011">
        <v>20</v>
      </c>
      <c r="Z3011" t="s">
        <v>1491</v>
      </c>
      <c r="AA3011" s="3">
        <v>0.15000000596046401</v>
      </c>
      <c r="AB3011" t="s">
        <v>17426</v>
      </c>
      <c r="AC3011" t="s">
        <v>4575</v>
      </c>
      <c r="AD3011" t="s">
        <v>17425</v>
      </c>
      <c r="AE3011" t="s">
        <v>4655</v>
      </c>
      <c r="AF3011" t="s">
        <v>4563</v>
      </c>
      <c r="AG3011" t="s">
        <v>4564</v>
      </c>
      <c r="AH3011" t="s">
        <v>2330</v>
      </c>
      <c r="AI3011" t="s">
        <v>17427</v>
      </c>
      <c r="AJ3011" t="s">
        <v>17428</v>
      </c>
      <c r="AK3011" t="s">
        <v>17429</v>
      </c>
      <c r="AL3011" s="13" t="s">
        <v>2255</v>
      </c>
      <c r="AM3011" s="14">
        <v>1</v>
      </c>
      <c r="AN3011" s="15" t="s">
        <v>1388</v>
      </c>
    </row>
    <row r="3012" spans="1:40" x14ac:dyDescent="0.3">
      <c r="A3012" s="10" t="str">
        <f>HYPERLINK("http://www.washoecounty.gov/assessor/cama/?parid=041-601-09&amp;CardNumber=1","041-601-09")</f>
        <v>041-601-09</v>
      </c>
      <c r="B3012" t="s">
        <v>4655</v>
      </c>
      <c r="C3012" t="s">
        <v>17430</v>
      </c>
      <c r="D3012" s="1">
        <v>40186</v>
      </c>
      <c r="E3012" s="2">
        <v>360000</v>
      </c>
      <c r="F3012" t="s">
        <v>4567</v>
      </c>
      <c r="G3012" s="17" t="str">
        <f>HYPERLINK("https://www.washoecounty.gov/assessor/cama/?command=sales&amp;parid=04160109","3837585")</f>
        <v>3837585</v>
      </c>
      <c r="H3012" t="s">
        <v>68</v>
      </c>
      <c r="I3012">
        <v>1996</v>
      </c>
      <c r="J3012">
        <v>1996</v>
      </c>
      <c r="K3012" t="s">
        <v>4554</v>
      </c>
      <c r="L3012" t="s">
        <v>4555</v>
      </c>
      <c r="M3012" s="2">
        <v>2264</v>
      </c>
      <c r="N3012" t="s">
        <v>1245</v>
      </c>
      <c r="O3012">
        <v>3</v>
      </c>
      <c r="P3012">
        <v>2</v>
      </c>
      <c r="Q3012">
        <v>1</v>
      </c>
      <c r="R3012" t="s">
        <v>4557</v>
      </c>
      <c r="S3012" t="s">
        <v>4898</v>
      </c>
      <c r="T3012" t="s">
        <v>4559</v>
      </c>
      <c r="U3012" t="s">
        <v>4560</v>
      </c>
      <c r="V3012" s="2">
        <v>623</v>
      </c>
      <c r="W3012" t="s">
        <v>4655</v>
      </c>
      <c r="X3012" s="2">
        <v>0</v>
      </c>
      <c r="Y3012">
        <v>20</v>
      </c>
      <c r="Z3012" t="s">
        <v>1491</v>
      </c>
      <c r="AA3012" s="3">
        <v>0.18700642883777599</v>
      </c>
      <c r="AB3012" t="s">
        <v>17431</v>
      </c>
      <c r="AC3012" t="s">
        <v>4575</v>
      </c>
      <c r="AD3012" t="s">
        <v>17432</v>
      </c>
      <c r="AE3012" t="s">
        <v>4655</v>
      </c>
      <c r="AF3012" t="s">
        <v>4563</v>
      </c>
      <c r="AG3012" t="s">
        <v>4564</v>
      </c>
      <c r="AH3012" t="s">
        <v>2330</v>
      </c>
      <c r="AI3012" t="s">
        <v>17433</v>
      </c>
      <c r="AJ3012" t="s">
        <v>69</v>
      </c>
      <c r="AK3012" t="s">
        <v>17434</v>
      </c>
      <c r="AL3012" s="13" t="s">
        <v>2255</v>
      </c>
      <c r="AM3012" s="14">
        <v>1</v>
      </c>
      <c r="AN3012" s="15" t="s">
        <v>3018</v>
      </c>
    </row>
    <row r="3013" spans="1:40" x14ac:dyDescent="0.3">
      <c r="A3013" s="10" t="str">
        <f>HYPERLINK("http://www.washoecounty.gov/assessor/cama/?parid=042-050-03&amp;CardNumber=1","042-050-03")</f>
        <v>042-050-03</v>
      </c>
      <c r="B3013" t="s">
        <v>4655</v>
      </c>
      <c r="C3013" t="s">
        <v>17435</v>
      </c>
      <c r="D3013" s="1">
        <v>40431</v>
      </c>
      <c r="E3013" s="2">
        <v>1400000</v>
      </c>
      <c r="F3013" t="s">
        <v>4567</v>
      </c>
      <c r="G3013" s="17" t="str">
        <f>HYPERLINK("https://www.washoecounty.gov/assessor/cama/?command=sales&amp;parid=04205003","3920935")</f>
        <v>3920935</v>
      </c>
      <c r="H3013" t="s">
        <v>805</v>
      </c>
      <c r="I3013">
        <v>1997</v>
      </c>
      <c r="J3013">
        <v>1997</v>
      </c>
      <c r="K3013" t="s">
        <v>4554</v>
      </c>
      <c r="L3013" t="s">
        <v>4555</v>
      </c>
      <c r="M3013" s="2">
        <v>3346</v>
      </c>
      <c r="N3013" t="s">
        <v>8283</v>
      </c>
      <c r="O3013">
        <v>3</v>
      </c>
      <c r="P3013">
        <v>3</v>
      </c>
      <c r="Q3013">
        <v>1</v>
      </c>
      <c r="R3013" t="s">
        <v>5281</v>
      </c>
      <c r="S3013" t="s">
        <v>4898</v>
      </c>
      <c r="T3013" t="s">
        <v>2704</v>
      </c>
      <c r="U3013" t="s">
        <v>4560</v>
      </c>
      <c r="V3013" s="2">
        <v>950</v>
      </c>
      <c r="W3013" t="s">
        <v>3201</v>
      </c>
      <c r="X3013" s="2">
        <v>1220</v>
      </c>
      <c r="Y3013">
        <v>20</v>
      </c>
      <c r="Z3013" t="s">
        <v>5282</v>
      </c>
      <c r="AA3013" s="3">
        <v>0.58298897743225098</v>
      </c>
      <c r="AB3013" t="s">
        <v>17436</v>
      </c>
      <c r="AC3013" t="s">
        <v>4562</v>
      </c>
      <c r="AD3013" t="s">
        <v>17437</v>
      </c>
      <c r="AE3013" t="s">
        <v>4655</v>
      </c>
      <c r="AF3013" t="s">
        <v>4563</v>
      </c>
      <c r="AG3013" t="s">
        <v>4564</v>
      </c>
      <c r="AH3013">
        <v>89511</v>
      </c>
      <c r="AI3013" t="s">
        <v>17438</v>
      </c>
      <c r="AJ3013" t="s">
        <v>4655</v>
      </c>
      <c r="AK3013" t="s">
        <v>17439</v>
      </c>
      <c r="AL3013" s="13" t="s">
        <v>2257</v>
      </c>
      <c r="AM3013" s="14">
        <v>1</v>
      </c>
      <c r="AN3013" s="15" t="s">
        <v>3030</v>
      </c>
    </row>
    <row r="3014" spans="1:40" x14ac:dyDescent="0.3">
      <c r="A3014" s="10" t="str">
        <f>HYPERLINK("http://www.washoecounty.gov/assessor/cama/?parid=042-071-02&amp;CardNumber=1","042-071-02")</f>
        <v>042-071-02</v>
      </c>
      <c r="B3014" t="s">
        <v>4655</v>
      </c>
      <c r="C3014" t="s">
        <v>17440</v>
      </c>
      <c r="D3014" s="1">
        <v>40388</v>
      </c>
      <c r="E3014" s="2">
        <v>450000</v>
      </c>
      <c r="F3014" t="s">
        <v>4567</v>
      </c>
      <c r="G3014" s="17" t="str">
        <f>HYPERLINK("https://www.washoecounty.gov/assessor/cama/?command=sales&amp;parid=04207102","3906600")</f>
        <v>3906600</v>
      </c>
      <c r="H3014" t="s">
        <v>17441</v>
      </c>
      <c r="I3014">
        <v>1975</v>
      </c>
      <c r="J3014">
        <v>1975</v>
      </c>
      <c r="K3014" t="s">
        <v>4554</v>
      </c>
      <c r="L3014" t="s">
        <v>4555</v>
      </c>
      <c r="M3014" s="2">
        <v>5032</v>
      </c>
      <c r="N3014" t="s">
        <v>2008</v>
      </c>
      <c r="O3014">
        <v>4</v>
      </c>
      <c r="P3014">
        <v>3</v>
      </c>
      <c r="Q3014">
        <v>1</v>
      </c>
      <c r="R3014" t="s">
        <v>5281</v>
      </c>
      <c r="S3014" t="s">
        <v>3148</v>
      </c>
      <c r="T3014" t="s">
        <v>4143</v>
      </c>
      <c r="U3014" t="s">
        <v>4560</v>
      </c>
      <c r="V3014" s="2">
        <v>816</v>
      </c>
      <c r="W3014" t="s">
        <v>4655</v>
      </c>
      <c r="X3014" s="2">
        <v>0</v>
      </c>
      <c r="Y3014">
        <v>20</v>
      </c>
      <c r="Z3014" t="s">
        <v>5282</v>
      </c>
      <c r="AA3014" s="3">
        <v>0.51200640201568604</v>
      </c>
      <c r="AB3014" t="s">
        <v>17442</v>
      </c>
      <c r="AC3014" t="s">
        <v>4575</v>
      </c>
      <c r="AD3014" t="s">
        <v>17443</v>
      </c>
      <c r="AE3014" t="s">
        <v>4655</v>
      </c>
      <c r="AF3014" t="s">
        <v>4563</v>
      </c>
      <c r="AG3014" t="s">
        <v>4564</v>
      </c>
      <c r="AH3014">
        <v>89510</v>
      </c>
      <c r="AI3014" t="s">
        <v>17444</v>
      </c>
      <c r="AJ3014" t="s">
        <v>4655</v>
      </c>
      <c r="AK3014" t="s">
        <v>17445</v>
      </c>
      <c r="AL3014" s="13" t="s">
        <v>2257</v>
      </c>
      <c r="AM3014">
        <v>1</v>
      </c>
      <c r="AN3014" s="15" t="s">
        <v>3030</v>
      </c>
    </row>
    <row r="3015" spans="1:40" x14ac:dyDescent="0.3">
      <c r="A3015" s="10" t="str">
        <f>HYPERLINK("http://www.washoecounty.gov/assessor/cama/?parid=042-071-12&amp;CardNumber=1","042-071-12")</f>
        <v>042-071-12</v>
      </c>
      <c r="B3015" t="s">
        <v>4655</v>
      </c>
      <c r="C3015" t="s">
        <v>17446</v>
      </c>
      <c r="D3015" s="1">
        <v>40227</v>
      </c>
      <c r="E3015" s="2">
        <v>427500</v>
      </c>
      <c r="F3015" t="s">
        <v>4553</v>
      </c>
      <c r="G3015" s="17" t="str">
        <f>HYPERLINK("https://www.washoecounty.gov/assessor/cama/?command=sales&amp;parid=04207112","3850476")</f>
        <v>3850476</v>
      </c>
      <c r="H3015" t="s">
        <v>17447</v>
      </c>
      <c r="I3015">
        <v>1977</v>
      </c>
      <c r="J3015">
        <v>1977</v>
      </c>
      <c r="K3015" t="s">
        <v>4554</v>
      </c>
      <c r="L3015" t="s">
        <v>4555</v>
      </c>
      <c r="M3015" s="2">
        <v>3475</v>
      </c>
      <c r="N3015" t="s">
        <v>5106</v>
      </c>
      <c r="O3015">
        <v>3</v>
      </c>
      <c r="P3015">
        <v>2</v>
      </c>
      <c r="Q3015">
        <v>1</v>
      </c>
      <c r="R3015" t="s">
        <v>5281</v>
      </c>
      <c r="S3015" t="s">
        <v>3148</v>
      </c>
      <c r="T3015" t="s">
        <v>4143</v>
      </c>
      <c r="U3015" t="s">
        <v>4655</v>
      </c>
      <c r="V3015" s="2">
        <v>0</v>
      </c>
      <c r="W3015" t="s">
        <v>3149</v>
      </c>
      <c r="X3015" s="2">
        <v>432</v>
      </c>
      <c r="Y3015">
        <v>20</v>
      </c>
      <c r="Z3015" t="s">
        <v>5282</v>
      </c>
      <c r="AA3015" s="3">
        <v>0.47601011395454401</v>
      </c>
      <c r="AB3015" t="s">
        <v>17448</v>
      </c>
      <c r="AC3015" t="s">
        <v>4575</v>
      </c>
      <c r="AD3015" t="s">
        <v>17449</v>
      </c>
      <c r="AE3015" t="s">
        <v>17450</v>
      </c>
      <c r="AF3015" t="s">
        <v>4563</v>
      </c>
      <c r="AG3015" t="s">
        <v>4564</v>
      </c>
      <c r="AH3015" t="s">
        <v>2330</v>
      </c>
      <c r="AI3015" t="s">
        <v>1267</v>
      </c>
      <c r="AJ3015" t="s">
        <v>4655</v>
      </c>
      <c r="AK3015" t="s">
        <v>17451</v>
      </c>
      <c r="AL3015" s="13" t="s">
        <v>2257</v>
      </c>
      <c r="AM3015">
        <v>1</v>
      </c>
      <c r="AN3015" s="15" t="s">
        <v>3030</v>
      </c>
    </row>
    <row r="3016" spans="1:40" x14ac:dyDescent="0.3">
      <c r="A3016" s="10" t="str">
        <f>HYPERLINK("http://www.washoecounty.gov/assessor/cama/?parid=042-080-08&amp;CardNumber=1","042-080-08")</f>
        <v>042-080-08</v>
      </c>
      <c r="B3016" t="s">
        <v>4655</v>
      </c>
      <c r="C3016" t="s">
        <v>17452</v>
      </c>
      <c r="D3016" s="1">
        <v>40477</v>
      </c>
      <c r="E3016" s="2">
        <v>705000</v>
      </c>
      <c r="F3016" t="s">
        <v>4567</v>
      </c>
      <c r="G3016" s="17" t="str">
        <f>HYPERLINK("https://www.washoecounty.gov/assessor/cama/?command=sales&amp;parid=04208008","3936512")</f>
        <v>3936512</v>
      </c>
      <c r="H3016" t="s">
        <v>3727</v>
      </c>
      <c r="I3016">
        <v>1995</v>
      </c>
      <c r="J3016">
        <v>1995</v>
      </c>
      <c r="K3016" t="s">
        <v>4554</v>
      </c>
      <c r="L3016" t="s">
        <v>3974</v>
      </c>
      <c r="M3016" s="2">
        <v>3865</v>
      </c>
      <c r="N3016" t="s">
        <v>2012</v>
      </c>
      <c r="O3016">
        <v>4</v>
      </c>
      <c r="P3016">
        <v>3</v>
      </c>
      <c r="Q3016">
        <v>1</v>
      </c>
      <c r="R3016" t="s">
        <v>4557</v>
      </c>
      <c r="S3016" t="s">
        <v>4898</v>
      </c>
      <c r="T3016" t="s">
        <v>2704</v>
      </c>
      <c r="U3016" t="s">
        <v>4560</v>
      </c>
      <c r="V3016" s="2">
        <v>864</v>
      </c>
      <c r="W3016" t="s">
        <v>4655</v>
      </c>
      <c r="X3016" s="2">
        <v>0</v>
      </c>
      <c r="Y3016">
        <v>20</v>
      </c>
      <c r="Z3016" t="s">
        <v>5282</v>
      </c>
      <c r="AA3016" s="3">
        <v>0.51200640201568604</v>
      </c>
      <c r="AB3016" t="s">
        <v>17453</v>
      </c>
      <c r="AC3016" t="s">
        <v>4575</v>
      </c>
      <c r="AD3016" t="s">
        <v>17452</v>
      </c>
      <c r="AE3016" t="s">
        <v>4655</v>
      </c>
      <c r="AF3016" t="s">
        <v>4563</v>
      </c>
      <c r="AG3016" t="s">
        <v>4564</v>
      </c>
      <c r="AH3016" t="s">
        <v>2330</v>
      </c>
      <c r="AI3016" t="s">
        <v>17454</v>
      </c>
      <c r="AJ3016" t="s">
        <v>4655</v>
      </c>
      <c r="AK3016" t="s">
        <v>17455</v>
      </c>
      <c r="AL3016" s="13" t="s">
        <v>2257</v>
      </c>
      <c r="AM3016" s="14">
        <v>1</v>
      </c>
      <c r="AN3016" s="15" t="s">
        <v>3030</v>
      </c>
    </row>
    <row r="3017" spans="1:40" x14ac:dyDescent="0.3">
      <c r="A3017" s="10" t="str">
        <f>HYPERLINK("http://www.washoecounty.gov/assessor/cama/?parid=042-080-28&amp;CardNumber=1","042-080-28")</f>
        <v>042-080-28</v>
      </c>
      <c r="B3017" t="s">
        <v>4655</v>
      </c>
      <c r="C3017" t="s">
        <v>17456</v>
      </c>
      <c r="D3017" s="1">
        <v>40431</v>
      </c>
      <c r="E3017" s="2">
        <v>400000</v>
      </c>
      <c r="F3017" t="s">
        <v>4553</v>
      </c>
      <c r="G3017" s="17" t="str">
        <f>HYPERLINK("https://www.washoecounty.gov/assessor/cama/?command=sales&amp;parid=04208028","3921240")</f>
        <v>3921240</v>
      </c>
      <c r="H3017" t="s">
        <v>3727</v>
      </c>
      <c r="I3017">
        <v>1978</v>
      </c>
      <c r="J3017">
        <v>1980</v>
      </c>
      <c r="K3017" t="s">
        <v>4554</v>
      </c>
      <c r="L3017" t="s">
        <v>4555</v>
      </c>
      <c r="M3017" s="2">
        <v>2932</v>
      </c>
      <c r="N3017" t="s">
        <v>5106</v>
      </c>
      <c r="O3017">
        <v>3</v>
      </c>
      <c r="P3017">
        <v>3</v>
      </c>
      <c r="Q3017">
        <v>0</v>
      </c>
      <c r="R3017" t="s">
        <v>5281</v>
      </c>
      <c r="S3017" t="s">
        <v>4570</v>
      </c>
      <c r="T3017" t="s">
        <v>4899</v>
      </c>
      <c r="U3017" t="s">
        <v>4655</v>
      </c>
      <c r="V3017" s="2">
        <v>0</v>
      </c>
      <c r="W3017" t="s">
        <v>4571</v>
      </c>
      <c r="X3017" s="2">
        <v>2488</v>
      </c>
      <c r="Y3017">
        <v>20</v>
      </c>
      <c r="Z3017" t="s">
        <v>5282</v>
      </c>
      <c r="AA3017" s="3">
        <v>0.4629935622215271</v>
      </c>
      <c r="AB3017" t="s">
        <v>17457</v>
      </c>
      <c r="AC3017" t="s">
        <v>4575</v>
      </c>
      <c r="AD3017" t="s">
        <v>17458</v>
      </c>
      <c r="AE3017" t="s">
        <v>17459</v>
      </c>
      <c r="AF3017" t="s">
        <v>4563</v>
      </c>
      <c r="AG3017" t="s">
        <v>4564</v>
      </c>
      <c r="AH3017">
        <v>89509</v>
      </c>
      <c r="AI3017" t="s">
        <v>4977</v>
      </c>
      <c r="AJ3017" t="s">
        <v>4655</v>
      </c>
      <c r="AK3017" t="s">
        <v>17460</v>
      </c>
      <c r="AL3017" s="13" t="s">
        <v>2257</v>
      </c>
      <c r="AM3017" s="14">
        <v>1</v>
      </c>
      <c r="AN3017" s="15" t="s">
        <v>3030</v>
      </c>
    </row>
    <row r="3018" spans="1:40" x14ac:dyDescent="0.3">
      <c r="A3018" s="10" t="str">
        <f>HYPERLINK("http://www.washoecounty.gov/assessor/cama/?parid=042-080-34&amp;CardNumber=1","042-080-34")</f>
        <v>042-080-34</v>
      </c>
      <c r="B3018" t="s">
        <v>4655</v>
      </c>
      <c r="C3018" t="s">
        <v>17461</v>
      </c>
      <c r="D3018" s="1">
        <v>40506</v>
      </c>
      <c r="E3018" s="2">
        <v>422000</v>
      </c>
      <c r="F3018" t="s">
        <v>4567</v>
      </c>
      <c r="G3018" s="17" t="str">
        <f>HYPERLINK("https://www.washoecounty.gov/assessor/cama/?command=sales&amp;parid=04208034","3946636")</f>
        <v>3946636</v>
      </c>
      <c r="H3018" t="s">
        <v>17462</v>
      </c>
      <c r="I3018">
        <v>1983</v>
      </c>
      <c r="J3018">
        <v>1983</v>
      </c>
      <c r="K3018" t="s">
        <v>4554</v>
      </c>
      <c r="L3018" t="s">
        <v>4555</v>
      </c>
      <c r="M3018" s="2">
        <v>2440</v>
      </c>
      <c r="N3018" t="s">
        <v>5106</v>
      </c>
      <c r="O3018">
        <v>4</v>
      </c>
      <c r="P3018">
        <v>3</v>
      </c>
      <c r="Q3018">
        <v>1</v>
      </c>
      <c r="R3018" t="s">
        <v>4557</v>
      </c>
      <c r="S3018" t="s">
        <v>3148</v>
      </c>
      <c r="T3018" t="s">
        <v>2704</v>
      </c>
      <c r="U3018" t="s">
        <v>4560</v>
      </c>
      <c r="V3018" s="2">
        <v>884</v>
      </c>
      <c r="W3018" t="s">
        <v>3201</v>
      </c>
      <c r="X3018" s="2">
        <v>1536</v>
      </c>
      <c r="Y3018">
        <v>20</v>
      </c>
      <c r="Z3018" t="s">
        <v>5282</v>
      </c>
      <c r="AA3018" s="3">
        <v>0.34999999403953602</v>
      </c>
      <c r="AB3018" t="s">
        <v>17463</v>
      </c>
      <c r="AC3018" t="s">
        <v>4562</v>
      </c>
      <c r="AD3018" t="s">
        <v>17464</v>
      </c>
      <c r="AE3018" t="s">
        <v>4655</v>
      </c>
      <c r="AF3018" t="s">
        <v>4563</v>
      </c>
      <c r="AG3018" t="s">
        <v>4564</v>
      </c>
      <c r="AH3018">
        <v>89509</v>
      </c>
      <c r="AI3018" t="s">
        <v>17465</v>
      </c>
      <c r="AJ3018" t="s">
        <v>4655</v>
      </c>
      <c r="AK3018" t="s">
        <v>17466</v>
      </c>
      <c r="AL3018" s="13" t="s">
        <v>2257</v>
      </c>
      <c r="AM3018">
        <v>1</v>
      </c>
      <c r="AN3018" s="15" t="s">
        <v>3030</v>
      </c>
    </row>
    <row r="3019" spans="1:40" x14ac:dyDescent="0.3">
      <c r="A3019" s="10" t="str">
        <f>HYPERLINK("http://www.washoecounty.gov/assessor/cama/?parid=042-090-27&amp;CardNumber=1","042-090-27")</f>
        <v>042-090-27</v>
      </c>
      <c r="B3019" t="s">
        <v>4655</v>
      </c>
      <c r="C3019" t="s">
        <v>17467</v>
      </c>
      <c r="D3019" s="1">
        <v>40389</v>
      </c>
      <c r="E3019" s="2">
        <v>492000</v>
      </c>
      <c r="F3019" t="s">
        <v>4567</v>
      </c>
      <c r="G3019" s="17" t="str">
        <f>HYPERLINK("https://www.washoecounty.gov/assessor/cama/?command=sales&amp;parid=04209027","3907116")</f>
        <v>3907116</v>
      </c>
      <c r="H3019" t="s">
        <v>722</v>
      </c>
      <c r="I3019">
        <v>1981</v>
      </c>
      <c r="J3019">
        <v>1981</v>
      </c>
      <c r="K3019" t="s">
        <v>4554</v>
      </c>
      <c r="L3019" t="s">
        <v>2170</v>
      </c>
      <c r="M3019" s="2">
        <v>3181</v>
      </c>
      <c r="N3019" t="s">
        <v>5106</v>
      </c>
      <c r="O3019">
        <v>5</v>
      </c>
      <c r="P3019">
        <v>3</v>
      </c>
      <c r="Q3019">
        <v>1</v>
      </c>
      <c r="R3019" t="s">
        <v>5281</v>
      </c>
      <c r="S3019" t="s">
        <v>3148</v>
      </c>
      <c r="T3019" t="s">
        <v>2704</v>
      </c>
      <c r="U3019" t="s">
        <v>4560</v>
      </c>
      <c r="V3019" s="2">
        <v>643</v>
      </c>
      <c r="W3019" t="s">
        <v>4655</v>
      </c>
      <c r="X3019" s="2">
        <v>0</v>
      </c>
      <c r="Y3019">
        <v>20</v>
      </c>
      <c r="Z3019" t="s">
        <v>5282</v>
      </c>
      <c r="AA3019" s="3">
        <v>0.33700641989707902</v>
      </c>
      <c r="AB3019" t="s">
        <v>17468</v>
      </c>
      <c r="AC3019" t="s">
        <v>4575</v>
      </c>
      <c r="AD3019" t="s">
        <v>17469</v>
      </c>
      <c r="AE3019" t="s">
        <v>4655</v>
      </c>
      <c r="AF3019" t="s">
        <v>4563</v>
      </c>
      <c r="AG3019" t="s">
        <v>4564</v>
      </c>
      <c r="AH3019">
        <v>89509</v>
      </c>
      <c r="AI3019" t="s">
        <v>17470</v>
      </c>
      <c r="AJ3019" t="s">
        <v>4655</v>
      </c>
      <c r="AK3019" t="s">
        <v>17471</v>
      </c>
      <c r="AL3019" s="13" t="s">
        <v>2257</v>
      </c>
      <c r="AM3019" s="14">
        <v>1</v>
      </c>
      <c r="AN3019" s="15" t="s">
        <v>3030</v>
      </c>
    </row>
    <row r="3020" spans="1:40" x14ac:dyDescent="0.3">
      <c r="A3020" s="10" t="str">
        <f>HYPERLINK("http://www.washoecounty.gov/assessor/cama/?parid=042-190-13&amp;CardNumber=1","042-190-13")</f>
        <v>042-190-13</v>
      </c>
      <c r="B3020" t="s">
        <v>4655</v>
      </c>
      <c r="C3020" t="s">
        <v>17472</v>
      </c>
      <c r="D3020" s="1">
        <v>40231</v>
      </c>
      <c r="E3020" s="2">
        <v>775000</v>
      </c>
      <c r="F3020" t="s">
        <v>4553</v>
      </c>
      <c r="G3020" s="17" t="str">
        <f>HYPERLINK("https://www.washoecounty.gov/assessor/cama/?command=sales&amp;parid=04219013","3851390")</f>
        <v>3851390</v>
      </c>
      <c r="H3020" t="s">
        <v>17473</v>
      </c>
      <c r="I3020">
        <v>1987</v>
      </c>
      <c r="J3020">
        <v>1987</v>
      </c>
      <c r="K3020" t="s">
        <v>4554</v>
      </c>
      <c r="L3020" t="s">
        <v>3886</v>
      </c>
      <c r="M3020" s="2">
        <v>5350</v>
      </c>
      <c r="N3020" t="s">
        <v>3457</v>
      </c>
      <c r="O3020">
        <v>6</v>
      </c>
      <c r="P3020">
        <v>5</v>
      </c>
      <c r="Q3020">
        <v>1</v>
      </c>
      <c r="R3020" t="s">
        <v>5630</v>
      </c>
      <c r="S3020" t="s">
        <v>4558</v>
      </c>
      <c r="T3020" t="s">
        <v>4143</v>
      </c>
      <c r="U3020" t="s">
        <v>4560</v>
      </c>
      <c r="V3020" s="2">
        <v>792</v>
      </c>
      <c r="W3020" t="s">
        <v>1500</v>
      </c>
      <c r="X3020" s="2">
        <v>2317</v>
      </c>
      <c r="Y3020">
        <v>20</v>
      </c>
      <c r="Z3020" t="s">
        <v>5282</v>
      </c>
      <c r="AA3020" s="3">
        <v>0.346005499362946</v>
      </c>
      <c r="AB3020" t="s">
        <v>17474</v>
      </c>
      <c r="AC3020" t="s">
        <v>4562</v>
      </c>
      <c r="AD3020" t="s">
        <v>17475</v>
      </c>
      <c r="AE3020" t="s">
        <v>4655</v>
      </c>
      <c r="AF3020" t="s">
        <v>3114</v>
      </c>
      <c r="AG3020" t="s">
        <v>4564</v>
      </c>
      <c r="AH3020">
        <v>89509</v>
      </c>
      <c r="AI3020" t="s">
        <v>2351</v>
      </c>
      <c r="AJ3020" t="s">
        <v>4655</v>
      </c>
      <c r="AK3020" t="s">
        <v>17476</v>
      </c>
      <c r="AL3020" s="13" t="s">
        <v>2257</v>
      </c>
      <c r="AM3020">
        <v>1</v>
      </c>
      <c r="AN3020" s="15" t="s">
        <v>3030</v>
      </c>
    </row>
    <row r="3021" spans="1:40" x14ac:dyDescent="0.3">
      <c r="A3021" s="10" t="str">
        <f>HYPERLINK("http://www.washoecounty.gov/assessor/cama/?parid=042-230-31&amp;CardNumber=1","042-230-31")</f>
        <v>042-230-31</v>
      </c>
      <c r="B3021" t="s">
        <v>4655</v>
      </c>
      <c r="C3021" t="s">
        <v>17477</v>
      </c>
      <c r="D3021" s="1">
        <v>40308</v>
      </c>
      <c r="E3021" s="2">
        <v>435000</v>
      </c>
      <c r="F3021" t="s">
        <v>4567</v>
      </c>
      <c r="G3021" s="17" t="str">
        <f>HYPERLINK("https://www.washoecounty.gov/assessor/cama/?command=sales&amp;parid=04223031","3879927")</f>
        <v>3879927</v>
      </c>
      <c r="H3021" t="s">
        <v>3638</v>
      </c>
      <c r="I3021">
        <v>2004</v>
      </c>
      <c r="J3021">
        <v>2004</v>
      </c>
      <c r="K3021" t="s">
        <v>3144</v>
      </c>
      <c r="L3021" t="s">
        <v>4555</v>
      </c>
      <c r="M3021" s="2">
        <v>2506</v>
      </c>
      <c r="N3021" t="s">
        <v>1245</v>
      </c>
      <c r="O3021">
        <v>3</v>
      </c>
      <c r="P3021">
        <v>3</v>
      </c>
      <c r="Q3021">
        <v>0</v>
      </c>
      <c r="R3021" t="s">
        <v>5281</v>
      </c>
      <c r="S3021" t="s">
        <v>4898</v>
      </c>
      <c r="T3021" t="s">
        <v>2704</v>
      </c>
      <c r="U3021" t="s">
        <v>4560</v>
      </c>
      <c r="V3021" s="2">
        <v>600</v>
      </c>
      <c r="W3021" t="s">
        <v>4655</v>
      </c>
      <c r="X3021" s="2">
        <v>0</v>
      </c>
      <c r="Y3021">
        <v>21</v>
      </c>
      <c r="Z3021" t="s">
        <v>385</v>
      </c>
      <c r="AA3021" s="3">
        <v>0.10000000149011599</v>
      </c>
      <c r="AB3021" t="s">
        <v>17478</v>
      </c>
      <c r="AC3021" t="s">
        <v>4575</v>
      </c>
      <c r="AD3021" t="s">
        <v>17479</v>
      </c>
      <c r="AE3021" t="s">
        <v>4655</v>
      </c>
      <c r="AF3021" t="s">
        <v>4961</v>
      </c>
      <c r="AG3021" t="s">
        <v>2782</v>
      </c>
      <c r="AH3021">
        <v>43017</v>
      </c>
      <c r="AI3021" t="s">
        <v>17480</v>
      </c>
      <c r="AJ3021" t="s">
        <v>4655</v>
      </c>
      <c r="AK3021" t="s">
        <v>17481</v>
      </c>
      <c r="AL3021" s="13" t="s">
        <v>2257</v>
      </c>
      <c r="AM3021">
        <v>1</v>
      </c>
      <c r="AN3021" s="15" t="s">
        <v>3639</v>
      </c>
    </row>
    <row r="3022" spans="1:40" x14ac:dyDescent="0.3">
      <c r="A3022" s="10" t="str">
        <f>HYPERLINK("http://www.washoecounty.gov/assessor/cama/?parid=042-230-51&amp;CardNumber=1","042-230-51")</f>
        <v>042-230-51</v>
      </c>
      <c r="B3022" t="s">
        <v>4655</v>
      </c>
      <c r="C3022" t="s">
        <v>318</v>
      </c>
      <c r="D3022" s="1">
        <v>40528</v>
      </c>
      <c r="E3022" s="2">
        <v>500</v>
      </c>
      <c r="F3022" t="s">
        <v>4567</v>
      </c>
      <c r="G3022" s="17" t="str">
        <f>HYPERLINK("https://www.washoecounty.gov/assessor/cama/?command=sales&amp;parid=04223051","3954004")</f>
        <v>3954004</v>
      </c>
      <c r="H3022" t="s">
        <v>17482</v>
      </c>
      <c r="I3022">
        <v>0</v>
      </c>
      <c r="J3022">
        <v>0</v>
      </c>
      <c r="K3022" t="s">
        <v>4655</v>
      </c>
      <c r="L3022" t="s">
        <v>4655</v>
      </c>
      <c r="M3022" s="2">
        <v>0</v>
      </c>
      <c r="N3022" t="s">
        <v>4655</v>
      </c>
      <c r="O3022">
        <v>0</v>
      </c>
      <c r="P3022">
        <v>0</v>
      </c>
      <c r="Q3022">
        <v>0</v>
      </c>
      <c r="R3022" t="s">
        <v>4655</v>
      </c>
      <c r="S3022" t="s">
        <v>4655</v>
      </c>
      <c r="T3022" t="s">
        <v>4655</v>
      </c>
      <c r="U3022" t="s">
        <v>4655</v>
      </c>
      <c r="V3022" s="2">
        <v>0</v>
      </c>
      <c r="W3022" t="s">
        <v>4655</v>
      </c>
      <c r="X3022" s="2">
        <v>0</v>
      </c>
      <c r="Y3022">
        <v>24</v>
      </c>
      <c r="Z3022" t="s">
        <v>2705</v>
      </c>
      <c r="AA3022" s="3">
        <v>5.5300002098083398</v>
      </c>
      <c r="AB3022" t="s">
        <v>17483</v>
      </c>
      <c r="AC3022" t="s">
        <v>4562</v>
      </c>
      <c r="AD3022" t="s">
        <v>17484</v>
      </c>
      <c r="AE3022" t="s">
        <v>17485</v>
      </c>
      <c r="AF3022" t="s">
        <v>4563</v>
      </c>
      <c r="AG3022" t="s">
        <v>4564</v>
      </c>
      <c r="AH3022" t="s">
        <v>2330</v>
      </c>
      <c r="AI3022" t="s">
        <v>17486</v>
      </c>
      <c r="AJ3022" t="s">
        <v>4655</v>
      </c>
      <c r="AK3022" t="s">
        <v>17487</v>
      </c>
      <c r="AL3022" s="13" t="s">
        <v>2255</v>
      </c>
      <c r="AM3022">
        <v>0</v>
      </c>
      <c r="AN3022" s="15" t="s">
        <v>4758</v>
      </c>
    </row>
    <row r="3023" spans="1:40" x14ac:dyDescent="0.3">
      <c r="A3023" s="10" t="str">
        <f>HYPERLINK("http://www.washoecounty.gov/assessor/cama/?parid=042-272-07&amp;CardNumber=1","042-272-07")</f>
        <v>042-272-07</v>
      </c>
      <c r="B3023" t="s">
        <v>4655</v>
      </c>
      <c r="C3023" t="s">
        <v>17488</v>
      </c>
      <c r="D3023" s="1">
        <v>40492</v>
      </c>
      <c r="E3023" s="2">
        <v>215000</v>
      </c>
      <c r="F3023" t="s">
        <v>4567</v>
      </c>
      <c r="G3023" s="17" t="str">
        <f>HYPERLINK("https://www.washoecounty.gov/assessor/cama/?command=sales&amp;parid=04227207","3941992")</f>
        <v>3941992</v>
      </c>
      <c r="H3023" t="s">
        <v>299</v>
      </c>
      <c r="I3023">
        <v>1993</v>
      </c>
      <c r="J3023">
        <v>1993</v>
      </c>
      <c r="K3023" t="s">
        <v>4554</v>
      </c>
      <c r="L3023" t="s">
        <v>3974</v>
      </c>
      <c r="M3023" s="2">
        <v>1753</v>
      </c>
      <c r="N3023" t="s">
        <v>5280</v>
      </c>
      <c r="O3023">
        <v>3</v>
      </c>
      <c r="P3023">
        <v>3</v>
      </c>
      <c r="Q3023">
        <v>0</v>
      </c>
      <c r="R3023" t="s">
        <v>4557</v>
      </c>
      <c r="S3023" t="s">
        <v>4558</v>
      </c>
      <c r="T3023" t="s">
        <v>4143</v>
      </c>
      <c r="U3023" t="s">
        <v>5631</v>
      </c>
      <c r="V3023" s="2">
        <v>421</v>
      </c>
      <c r="W3023" t="s">
        <v>4655</v>
      </c>
      <c r="X3023" s="2">
        <v>0</v>
      </c>
      <c r="Y3023">
        <v>20</v>
      </c>
      <c r="Z3023" t="s">
        <v>385</v>
      </c>
      <c r="AA3023" s="3">
        <v>9.3296602368354797E-2</v>
      </c>
      <c r="AB3023" t="s">
        <v>17489</v>
      </c>
      <c r="AC3023" t="s">
        <v>4562</v>
      </c>
      <c r="AD3023" t="s">
        <v>17488</v>
      </c>
      <c r="AE3023" t="s">
        <v>4655</v>
      </c>
      <c r="AF3023" t="s">
        <v>4563</v>
      </c>
      <c r="AG3023" t="s">
        <v>4564</v>
      </c>
      <c r="AH3023" t="s">
        <v>2330</v>
      </c>
      <c r="AI3023" t="s">
        <v>17490</v>
      </c>
      <c r="AJ3023" t="s">
        <v>4655</v>
      </c>
      <c r="AK3023" t="s">
        <v>17491</v>
      </c>
      <c r="AL3023" s="13" t="s">
        <v>2255</v>
      </c>
      <c r="AM3023">
        <v>1</v>
      </c>
      <c r="AN3023" s="15" t="s">
        <v>724</v>
      </c>
    </row>
    <row r="3024" spans="1:40" x14ac:dyDescent="0.3">
      <c r="A3024" s="10" t="str">
        <f>HYPERLINK("http://www.washoecounty.gov/assessor/cama/?parid=042-290-03&amp;CardNumber=1","042-290-03")</f>
        <v>042-290-03</v>
      </c>
      <c r="B3024" t="s">
        <v>4655</v>
      </c>
      <c r="C3024" t="s">
        <v>17492</v>
      </c>
      <c r="D3024" s="1">
        <v>40303</v>
      </c>
      <c r="E3024" s="2">
        <v>417788</v>
      </c>
      <c r="F3024" t="s">
        <v>4567</v>
      </c>
      <c r="G3024" s="17" t="str">
        <f>HYPERLINK("https://www.washoecounty.gov/assessor/cama/?command=sales&amp;parid=04229003","3878389")</f>
        <v>3878389</v>
      </c>
      <c r="H3024" t="s">
        <v>208</v>
      </c>
      <c r="I3024">
        <v>1991</v>
      </c>
      <c r="J3024">
        <v>1991</v>
      </c>
      <c r="K3024" t="s">
        <v>4554</v>
      </c>
      <c r="L3024" t="s">
        <v>3974</v>
      </c>
      <c r="M3024" s="2">
        <v>2669</v>
      </c>
      <c r="N3024" t="s">
        <v>3887</v>
      </c>
      <c r="O3024">
        <v>3</v>
      </c>
      <c r="P3024">
        <v>2</v>
      </c>
      <c r="Q3024">
        <v>1</v>
      </c>
      <c r="R3024" t="s">
        <v>5281</v>
      </c>
      <c r="S3024" t="s">
        <v>4558</v>
      </c>
      <c r="T3024" t="s">
        <v>4559</v>
      </c>
      <c r="U3024" t="s">
        <v>4560</v>
      </c>
      <c r="V3024" s="2">
        <v>568</v>
      </c>
      <c r="W3024" t="s">
        <v>4655</v>
      </c>
      <c r="X3024" s="2">
        <v>0</v>
      </c>
      <c r="Y3024">
        <v>20</v>
      </c>
      <c r="Z3024" t="s">
        <v>385</v>
      </c>
      <c r="AA3024" s="3">
        <v>0.217998161911964</v>
      </c>
      <c r="AB3024" t="s">
        <v>8580</v>
      </c>
      <c r="AC3024" t="s">
        <v>4575</v>
      </c>
      <c r="AD3024" t="s">
        <v>17492</v>
      </c>
      <c r="AE3024" t="s">
        <v>4655</v>
      </c>
      <c r="AF3024" t="s">
        <v>4563</v>
      </c>
      <c r="AG3024" t="s">
        <v>4564</v>
      </c>
      <c r="AH3024" t="s">
        <v>2330</v>
      </c>
      <c r="AI3024" t="s">
        <v>17493</v>
      </c>
      <c r="AJ3024" t="s">
        <v>4655</v>
      </c>
      <c r="AK3024" t="s">
        <v>17494</v>
      </c>
      <c r="AL3024" s="13" t="s">
        <v>2257</v>
      </c>
      <c r="AM3024" s="14">
        <v>1</v>
      </c>
      <c r="AN3024" s="15" t="s">
        <v>3360</v>
      </c>
    </row>
    <row r="3025" spans="1:40" x14ac:dyDescent="0.3">
      <c r="A3025" s="10" t="str">
        <f>HYPERLINK("http://www.washoecounty.gov/assessor/cama/?parid=042-290-54&amp;CardNumber=1","042-290-54")</f>
        <v>042-290-54</v>
      </c>
      <c r="B3025" t="s">
        <v>4655</v>
      </c>
      <c r="C3025" t="s">
        <v>17495</v>
      </c>
      <c r="D3025" s="1">
        <v>40281</v>
      </c>
      <c r="E3025" s="2">
        <v>335000</v>
      </c>
      <c r="F3025" t="s">
        <v>4567</v>
      </c>
      <c r="G3025" s="17" t="str">
        <f>HYPERLINK("https://www.washoecounty.gov/assessor/cama/?command=sales&amp;parid=04229054","3870475")</f>
        <v>3870475</v>
      </c>
      <c r="H3025" t="s">
        <v>17496</v>
      </c>
      <c r="I3025">
        <v>1995</v>
      </c>
      <c r="J3025">
        <v>1995</v>
      </c>
      <c r="K3025" t="s">
        <v>4554</v>
      </c>
      <c r="L3025" t="s">
        <v>4555</v>
      </c>
      <c r="M3025" s="2">
        <v>2101</v>
      </c>
      <c r="N3025" t="s">
        <v>3887</v>
      </c>
      <c r="O3025">
        <v>3</v>
      </c>
      <c r="P3025">
        <v>2</v>
      </c>
      <c r="Q3025">
        <v>0</v>
      </c>
      <c r="R3025" t="s">
        <v>5281</v>
      </c>
      <c r="S3025" t="s">
        <v>4558</v>
      </c>
      <c r="T3025" t="s">
        <v>4143</v>
      </c>
      <c r="U3025" t="s">
        <v>4560</v>
      </c>
      <c r="V3025" s="2">
        <v>420</v>
      </c>
      <c r="W3025" t="s">
        <v>4655</v>
      </c>
      <c r="X3025" s="2">
        <v>0</v>
      </c>
      <c r="Y3025">
        <v>20</v>
      </c>
      <c r="Z3025" t="s">
        <v>385</v>
      </c>
      <c r="AA3025" s="3">
        <v>0.16499081254005399</v>
      </c>
      <c r="AB3025" t="s">
        <v>17497</v>
      </c>
      <c r="AC3025" t="s">
        <v>4575</v>
      </c>
      <c r="AD3025" t="s">
        <v>17495</v>
      </c>
      <c r="AE3025" t="s">
        <v>4655</v>
      </c>
      <c r="AF3025" t="s">
        <v>4563</v>
      </c>
      <c r="AG3025" t="s">
        <v>4564</v>
      </c>
      <c r="AH3025" t="s">
        <v>2330</v>
      </c>
      <c r="AI3025" t="s">
        <v>17498</v>
      </c>
      <c r="AJ3025" t="s">
        <v>4655</v>
      </c>
      <c r="AK3025" t="s">
        <v>17499</v>
      </c>
      <c r="AL3025" s="13" t="s">
        <v>2257</v>
      </c>
      <c r="AM3025" s="14">
        <v>1</v>
      </c>
      <c r="AN3025" s="15" t="s">
        <v>3360</v>
      </c>
    </row>
    <row r="3026" spans="1:40" x14ac:dyDescent="0.3">
      <c r="A3026" s="10" t="str">
        <f>HYPERLINK("http://www.washoecounty.gov/assessor/cama/?parid=042-313-01&amp;CardNumber=1","042-313-01")</f>
        <v>042-313-01</v>
      </c>
      <c r="B3026" t="s">
        <v>4655</v>
      </c>
      <c r="C3026" t="s">
        <v>17500</v>
      </c>
      <c r="D3026" s="1">
        <v>40449</v>
      </c>
      <c r="E3026" s="2">
        <v>249900</v>
      </c>
      <c r="F3026" t="s">
        <v>4567</v>
      </c>
      <c r="G3026" s="17" t="str">
        <f>HYPERLINK("https://www.washoecounty.gov/assessor/cama/?command=sales&amp;parid=04231301","3926790")</f>
        <v>3926790</v>
      </c>
      <c r="H3026" t="s">
        <v>2129</v>
      </c>
      <c r="I3026">
        <v>1993</v>
      </c>
      <c r="J3026">
        <v>1993</v>
      </c>
      <c r="K3026" t="s">
        <v>4554</v>
      </c>
      <c r="L3026" t="s">
        <v>4555</v>
      </c>
      <c r="M3026" s="2">
        <v>1654</v>
      </c>
      <c r="N3026" t="s">
        <v>3147</v>
      </c>
      <c r="O3026">
        <v>3</v>
      </c>
      <c r="P3026">
        <v>2</v>
      </c>
      <c r="Q3026">
        <v>0</v>
      </c>
      <c r="R3026" t="s">
        <v>4557</v>
      </c>
      <c r="S3026" t="s">
        <v>4558</v>
      </c>
      <c r="T3026" t="s">
        <v>4559</v>
      </c>
      <c r="U3026" t="s">
        <v>4560</v>
      </c>
      <c r="V3026" s="2">
        <v>420</v>
      </c>
      <c r="W3026" t="s">
        <v>4655</v>
      </c>
      <c r="X3026" s="2">
        <v>0</v>
      </c>
      <c r="Y3026">
        <v>20</v>
      </c>
      <c r="Z3026" t="s">
        <v>385</v>
      </c>
      <c r="AA3026" s="3">
        <v>0.12899449467658999</v>
      </c>
      <c r="AB3026" t="s">
        <v>17501</v>
      </c>
      <c r="AC3026" t="s">
        <v>4575</v>
      </c>
      <c r="AD3026" t="s">
        <v>17500</v>
      </c>
      <c r="AE3026" t="s">
        <v>4655</v>
      </c>
      <c r="AF3026" t="s">
        <v>4563</v>
      </c>
      <c r="AG3026" t="s">
        <v>4564</v>
      </c>
      <c r="AH3026" t="s">
        <v>2330</v>
      </c>
      <c r="AI3026" t="s">
        <v>17502</v>
      </c>
      <c r="AJ3026" t="s">
        <v>4655</v>
      </c>
      <c r="AK3026" t="s">
        <v>17503</v>
      </c>
      <c r="AL3026" s="13" t="s">
        <v>2255</v>
      </c>
      <c r="AM3026">
        <v>1</v>
      </c>
      <c r="AN3026" s="15" t="s">
        <v>2536</v>
      </c>
    </row>
    <row r="3027" spans="1:40" x14ac:dyDescent="0.3">
      <c r="A3027" s="10" t="str">
        <f>HYPERLINK("http://www.washoecounty.gov/assessor/cama/?parid=042-313-47&amp;CardNumber=1","042-313-47")</f>
        <v>042-313-47</v>
      </c>
      <c r="B3027" t="s">
        <v>4655</v>
      </c>
      <c r="C3027" t="s">
        <v>17504</v>
      </c>
      <c r="D3027" s="1">
        <v>40372</v>
      </c>
      <c r="E3027" s="2">
        <v>370000</v>
      </c>
      <c r="F3027" t="s">
        <v>4567</v>
      </c>
      <c r="G3027" s="17" t="str">
        <f>HYPERLINK("https://www.washoecounty.gov/assessor/cama/?command=sales&amp;parid=04231347","3900815")</f>
        <v>3900815</v>
      </c>
      <c r="H3027" t="s">
        <v>2129</v>
      </c>
      <c r="I3027">
        <v>1992</v>
      </c>
      <c r="J3027">
        <v>1992</v>
      </c>
      <c r="K3027" t="s">
        <v>4554</v>
      </c>
      <c r="L3027" t="s">
        <v>3974</v>
      </c>
      <c r="M3027" s="2">
        <v>2159</v>
      </c>
      <c r="N3027" t="s">
        <v>3147</v>
      </c>
      <c r="O3027">
        <v>4</v>
      </c>
      <c r="P3027">
        <v>2</v>
      </c>
      <c r="Q3027">
        <v>1</v>
      </c>
      <c r="R3027" t="s">
        <v>5281</v>
      </c>
      <c r="S3027" t="s">
        <v>3148</v>
      </c>
      <c r="T3027" t="s">
        <v>4143</v>
      </c>
      <c r="U3027" t="s">
        <v>5631</v>
      </c>
      <c r="V3027" s="2">
        <v>623</v>
      </c>
      <c r="W3027" t="s">
        <v>4655</v>
      </c>
      <c r="X3027" s="2">
        <v>0</v>
      </c>
      <c r="Y3027">
        <v>20</v>
      </c>
      <c r="Z3027" t="s">
        <v>385</v>
      </c>
      <c r="AA3027" s="3">
        <v>0.157001838088036</v>
      </c>
      <c r="AB3027" t="s">
        <v>17505</v>
      </c>
      <c r="AC3027" t="s">
        <v>4562</v>
      </c>
      <c r="AD3027" t="s">
        <v>17506</v>
      </c>
      <c r="AE3027" t="s">
        <v>4655</v>
      </c>
      <c r="AF3027" t="s">
        <v>4563</v>
      </c>
      <c r="AG3027" t="s">
        <v>4564</v>
      </c>
      <c r="AH3027" t="s">
        <v>2330</v>
      </c>
      <c r="AI3027" t="s">
        <v>17507</v>
      </c>
      <c r="AJ3027" t="s">
        <v>4655</v>
      </c>
      <c r="AK3027" t="s">
        <v>17508</v>
      </c>
      <c r="AL3027" s="13" t="s">
        <v>2255</v>
      </c>
      <c r="AM3027">
        <v>1</v>
      </c>
      <c r="AN3027" s="15" t="s">
        <v>2536</v>
      </c>
    </row>
    <row r="3028" spans="1:40" x14ac:dyDescent="0.3">
      <c r="A3028" s="10" t="str">
        <f>HYPERLINK("http://www.washoecounty.gov/assessor/cama/?parid=042-314-17&amp;CardNumber=1","042-314-17")</f>
        <v>042-314-17</v>
      </c>
      <c r="B3028" t="s">
        <v>4655</v>
      </c>
      <c r="C3028" t="s">
        <v>17509</v>
      </c>
      <c r="D3028" s="1">
        <v>40494</v>
      </c>
      <c r="E3028" s="2">
        <v>164000</v>
      </c>
      <c r="F3028" t="s">
        <v>4567</v>
      </c>
      <c r="G3028" s="17" t="str">
        <f>HYPERLINK("https://www.washoecounty.gov/assessor/cama/?command=sales&amp;parid=04231417","3942453")</f>
        <v>3942453</v>
      </c>
      <c r="H3028" t="s">
        <v>2129</v>
      </c>
      <c r="I3028">
        <v>1989</v>
      </c>
      <c r="J3028">
        <v>1989</v>
      </c>
      <c r="K3028" t="s">
        <v>4554</v>
      </c>
      <c r="L3028" t="s">
        <v>3974</v>
      </c>
      <c r="M3028" s="2">
        <v>1515</v>
      </c>
      <c r="N3028" t="s">
        <v>5280</v>
      </c>
      <c r="O3028">
        <v>3</v>
      </c>
      <c r="P3028">
        <v>2</v>
      </c>
      <c r="Q3028">
        <v>1</v>
      </c>
      <c r="R3028" t="s">
        <v>4557</v>
      </c>
      <c r="S3028" t="s">
        <v>3148</v>
      </c>
      <c r="T3028" t="s">
        <v>4143</v>
      </c>
      <c r="U3028" t="s">
        <v>5631</v>
      </c>
      <c r="V3028" s="2">
        <v>448</v>
      </c>
      <c r="W3028" t="s">
        <v>4655</v>
      </c>
      <c r="X3028" s="2">
        <v>0</v>
      </c>
      <c r="Y3028">
        <v>20</v>
      </c>
      <c r="Z3028" t="s">
        <v>385</v>
      </c>
      <c r="AA3028" s="3">
        <v>0.10199724882841101</v>
      </c>
      <c r="AB3028" t="s">
        <v>17510</v>
      </c>
      <c r="AC3028" t="s">
        <v>4562</v>
      </c>
      <c r="AD3028" t="s">
        <v>17509</v>
      </c>
      <c r="AE3028" t="s">
        <v>4655</v>
      </c>
      <c r="AF3028" t="s">
        <v>4563</v>
      </c>
      <c r="AG3028" t="s">
        <v>4564</v>
      </c>
      <c r="AH3028" t="s">
        <v>2330</v>
      </c>
      <c r="AI3028" t="s">
        <v>17511</v>
      </c>
      <c r="AJ3028" t="s">
        <v>4655</v>
      </c>
      <c r="AK3028" t="s">
        <v>17512</v>
      </c>
      <c r="AL3028" s="13" t="s">
        <v>2255</v>
      </c>
      <c r="AM3028">
        <v>1</v>
      </c>
      <c r="AN3028" s="15" t="s">
        <v>2287</v>
      </c>
    </row>
    <row r="3029" spans="1:40" x14ac:dyDescent="0.3">
      <c r="A3029" s="10" t="str">
        <f>HYPERLINK("http://www.washoecounty.gov/assessor/cama/?parid=042-322-14&amp;CardNumber=1","042-322-14")</f>
        <v>042-322-14</v>
      </c>
      <c r="B3029" t="s">
        <v>4655</v>
      </c>
      <c r="C3029" t="s">
        <v>17513</v>
      </c>
      <c r="D3029" s="1">
        <v>40452</v>
      </c>
      <c r="E3029" s="2">
        <v>355000</v>
      </c>
      <c r="F3029" t="s">
        <v>4553</v>
      </c>
      <c r="G3029" s="17" t="str">
        <f>HYPERLINK("https://www.washoecounty.gov/assessor/cama/?command=sales&amp;parid=04232214","3928678")</f>
        <v>3928678</v>
      </c>
      <c r="H3029" t="s">
        <v>17514</v>
      </c>
      <c r="I3029">
        <v>1990</v>
      </c>
      <c r="J3029">
        <v>1990</v>
      </c>
      <c r="K3029" t="s">
        <v>4554</v>
      </c>
      <c r="L3029" t="s">
        <v>4555</v>
      </c>
      <c r="M3029" s="2">
        <v>1459</v>
      </c>
      <c r="N3029" t="s">
        <v>3147</v>
      </c>
      <c r="O3029">
        <v>3</v>
      </c>
      <c r="P3029">
        <v>2</v>
      </c>
      <c r="Q3029">
        <v>1</v>
      </c>
      <c r="R3029" t="s">
        <v>5281</v>
      </c>
      <c r="S3029" t="s">
        <v>4135</v>
      </c>
      <c r="T3029" t="s">
        <v>2704</v>
      </c>
      <c r="U3029" t="s">
        <v>4560</v>
      </c>
      <c r="V3029" s="2">
        <v>420</v>
      </c>
      <c r="W3029" t="s">
        <v>3201</v>
      </c>
      <c r="X3029" s="2">
        <v>562</v>
      </c>
      <c r="Y3029">
        <v>20</v>
      </c>
      <c r="Z3029" t="s">
        <v>385</v>
      </c>
      <c r="AA3029" s="3">
        <v>0.14201101660728499</v>
      </c>
      <c r="AB3029" t="s">
        <v>17515</v>
      </c>
      <c r="AC3029" t="s">
        <v>4562</v>
      </c>
      <c r="AD3029" t="s">
        <v>17513</v>
      </c>
      <c r="AE3029" t="s">
        <v>4655</v>
      </c>
      <c r="AF3029" t="s">
        <v>4563</v>
      </c>
      <c r="AG3029" t="s">
        <v>4564</v>
      </c>
      <c r="AH3029" t="s">
        <v>2330</v>
      </c>
      <c r="AI3029" t="s">
        <v>4202</v>
      </c>
      <c r="AJ3029" t="s">
        <v>4655</v>
      </c>
      <c r="AK3029" t="s">
        <v>17516</v>
      </c>
      <c r="AL3029" s="13" t="s">
        <v>2255</v>
      </c>
      <c r="AM3029">
        <v>1</v>
      </c>
      <c r="AN3029" s="15" t="s">
        <v>2536</v>
      </c>
    </row>
    <row r="3030" spans="1:40" x14ac:dyDescent="0.3">
      <c r="A3030" s="10" t="str">
        <f>HYPERLINK("http://www.washoecounty.gov/assessor/cama/?parid=042-322-33&amp;CardNumber=1","042-322-33")</f>
        <v>042-322-33</v>
      </c>
      <c r="B3030" t="s">
        <v>4655</v>
      </c>
      <c r="C3030" t="s">
        <v>17517</v>
      </c>
      <c r="D3030" s="1">
        <v>40410</v>
      </c>
      <c r="E3030" s="2">
        <v>200000</v>
      </c>
      <c r="F3030" t="s">
        <v>4567</v>
      </c>
      <c r="G3030" s="17" t="str">
        <f>HYPERLINK("https://www.washoecounty.gov/assessor/cama/?command=sales&amp;parid=04232233","3914218")</f>
        <v>3914218</v>
      </c>
      <c r="H3030" t="s">
        <v>1316</v>
      </c>
      <c r="I3030">
        <v>0</v>
      </c>
      <c r="J3030">
        <v>0</v>
      </c>
      <c r="K3030" t="s">
        <v>4655</v>
      </c>
      <c r="L3030" t="s">
        <v>4655</v>
      </c>
      <c r="M3030" s="2">
        <v>0</v>
      </c>
      <c r="N3030" t="s">
        <v>4655</v>
      </c>
      <c r="O3030">
        <v>0</v>
      </c>
      <c r="P3030">
        <v>0</v>
      </c>
      <c r="Q3030">
        <v>0</v>
      </c>
      <c r="R3030" t="s">
        <v>4655</v>
      </c>
      <c r="S3030" t="s">
        <v>4655</v>
      </c>
      <c r="T3030" t="s">
        <v>4655</v>
      </c>
      <c r="U3030" t="s">
        <v>4655</v>
      </c>
      <c r="V3030" s="2">
        <v>0</v>
      </c>
      <c r="W3030" t="s">
        <v>4655</v>
      </c>
      <c r="X3030" s="2">
        <v>0</v>
      </c>
      <c r="Y3030">
        <v>18</v>
      </c>
      <c r="Z3030" t="s">
        <v>385</v>
      </c>
      <c r="AA3030" s="3">
        <v>0.13900367915630299</v>
      </c>
      <c r="AB3030" t="s">
        <v>17518</v>
      </c>
      <c r="AC3030" t="s">
        <v>4562</v>
      </c>
      <c r="AD3030" t="s">
        <v>17519</v>
      </c>
      <c r="AE3030" t="s">
        <v>4655</v>
      </c>
      <c r="AF3030" t="s">
        <v>4563</v>
      </c>
      <c r="AG3030" t="s">
        <v>4564</v>
      </c>
      <c r="AH3030" t="s">
        <v>2330</v>
      </c>
      <c r="AI3030" t="s">
        <v>17520</v>
      </c>
      <c r="AJ3030" t="s">
        <v>17521</v>
      </c>
      <c r="AK3030" t="s">
        <v>17522</v>
      </c>
      <c r="AL3030" s="13" t="s">
        <v>2255</v>
      </c>
      <c r="AM3030">
        <v>0</v>
      </c>
      <c r="AN3030" s="15" t="s">
        <v>2536</v>
      </c>
    </row>
    <row r="3031" spans="1:40" x14ac:dyDescent="0.3">
      <c r="A3031" s="10" t="str">
        <f>HYPERLINK("http://www.washoecounty.gov/assessor/cama/?parid=042-330-20&amp;CardNumber=1","042-330-20")</f>
        <v>042-330-20</v>
      </c>
      <c r="B3031" t="s">
        <v>4655</v>
      </c>
      <c r="C3031" t="s">
        <v>17523</v>
      </c>
      <c r="D3031" s="1">
        <v>40513</v>
      </c>
      <c r="E3031" s="2">
        <v>215000</v>
      </c>
      <c r="F3031" t="s">
        <v>4553</v>
      </c>
      <c r="G3031" s="17" t="str">
        <f>HYPERLINK("https://www.washoecounty.gov/assessor/cama/?command=sales&amp;parid=04233020","3948428")</f>
        <v>3948428</v>
      </c>
      <c r="H3031" t="s">
        <v>2629</v>
      </c>
      <c r="I3031">
        <v>1998</v>
      </c>
      <c r="J3031">
        <v>1998</v>
      </c>
      <c r="K3031" t="s">
        <v>4554</v>
      </c>
      <c r="L3031" t="s">
        <v>3974</v>
      </c>
      <c r="M3031" s="2">
        <v>1913</v>
      </c>
      <c r="N3031" t="s">
        <v>5280</v>
      </c>
      <c r="O3031">
        <v>4</v>
      </c>
      <c r="P3031">
        <v>3</v>
      </c>
      <c r="Q3031">
        <v>1</v>
      </c>
      <c r="R3031" t="s">
        <v>4557</v>
      </c>
      <c r="S3031" t="s">
        <v>4558</v>
      </c>
      <c r="T3031" t="s">
        <v>2704</v>
      </c>
      <c r="U3031" t="s">
        <v>5631</v>
      </c>
      <c r="V3031" s="2">
        <v>667</v>
      </c>
      <c r="W3031" t="s">
        <v>3201</v>
      </c>
      <c r="X3031" s="2">
        <v>536</v>
      </c>
      <c r="Y3031">
        <v>20</v>
      </c>
      <c r="Z3031" t="s">
        <v>385</v>
      </c>
      <c r="AA3031" s="3">
        <v>9.1000914573669406E-2</v>
      </c>
      <c r="AB3031" t="s">
        <v>17524</v>
      </c>
      <c r="AC3031" t="s">
        <v>4562</v>
      </c>
      <c r="AD3031" t="s">
        <v>17523</v>
      </c>
      <c r="AE3031" t="s">
        <v>4655</v>
      </c>
      <c r="AF3031" t="s">
        <v>4563</v>
      </c>
      <c r="AG3031" t="s">
        <v>4564</v>
      </c>
      <c r="AH3031">
        <v>89509</v>
      </c>
      <c r="AI3031" t="s">
        <v>17525</v>
      </c>
      <c r="AJ3031" t="s">
        <v>4655</v>
      </c>
      <c r="AK3031" t="s">
        <v>17526</v>
      </c>
      <c r="AL3031" s="13" t="s">
        <v>2255</v>
      </c>
      <c r="AM3031">
        <v>1</v>
      </c>
      <c r="AN3031" s="15" t="s">
        <v>2287</v>
      </c>
    </row>
    <row r="3032" spans="1:40" x14ac:dyDescent="0.3">
      <c r="A3032" s="10" t="str">
        <f>HYPERLINK("http://www.washoecounty.gov/assessor/cama/?parid=042-330-28&amp;CardNumber=1","042-330-28")</f>
        <v>042-330-28</v>
      </c>
      <c r="B3032" t="s">
        <v>4655</v>
      </c>
      <c r="C3032" t="s">
        <v>17527</v>
      </c>
      <c r="D3032" s="1">
        <v>40358</v>
      </c>
      <c r="E3032" s="2">
        <v>265000</v>
      </c>
      <c r="F3032" t="s">
        <v>4567</v>
      </c>
      <c r="G3032" s="17" t="str">
        <f>HYPERLINK("https://www.washoecounty.gov/assessor/cama/?command=sales&amp;parid=04233028","3896177")</f>
        <v>3896177</v>
      </c>
      <c r="H3032" t="s">
        <v>2629</v>
      </c>
      <c r="I3032">
        <v>1995</v>
      </c>
      <c r="J3032">
        <v>1995</v>
      </c>
      <c r="K3032" t="s">
        <v>4554</v>
      </c>
      <c r="L3032" t="s">
        <v>3974</v>
      </c>
      <c r="M3032" s="2">
        <v>1916</v>
      </c>
      <c r="N3032" t="s">
        <v>5280</v>
      </c>
      <c r="O3032">
        <v>4</v>
      </c>
      <c r="P3032">
        <v>3</v>
      </c>
      <c r="Q3032">
        <v>1</v>
      </c>
      <c r="R3032" t="s">
        <v>5281</v>
      </c>
      <c r="S3032" t="s">
        <v>4558</v>
      </c>
      <c r="T3032" t="s">
        <v>2704</v>
      </c>
      <c r="U3032" t="s">
        <v>5631</v>
      </c>
      <c r="V3032" s="2">
        <v>667</v>
      </c>
      <c r="W3032" t="s">
        <v>3201</v>
      </c>
      <c r="X3032" s="2">
        <v>536</v>
      </c>
      <c r="Y3032">
        <v>20</v>
      </c>
      <c r="Z3032" t="s">
        <v>385</v>
      </c>
      <c r="AA3032" s="3">
        <v>0.101010099053383</v>
      </c>
      <c r="AB3032" t="s">
        <v>17528</v>
      </c>
      <c r="AC3032" t="s">
        <v>4575</v>
      </c>
      <c r="AD3032" t="s">
        <v>17529</v>
      </c>
      <c r="AE3032" t="s">
        <v>17527</v>
      </c>
      <c r="AF3032" t="s">
        <v>4563</v>
      </c>
      <c r="AG3032" t="s">
        <v>4564</v>
      </c>
      <c r="AH3032" t="s">
        <v>2330</v>
      </c>
      <c r="AI3032" t="s">
        <v>17530</v>
      </c>
      <c r="AJ3032" t="s">
        <v>4655</v>
      </c>
      <c r="AK3032" t="s">
        <v>17531</v>
      </c>
      <c r="AL3032" s="13" t="s">
        <v>2255</v>
      </c>
      <c r="AM3032">
        <v>1</v>
      </c>
      <c r="AN3032" s="15" t="s">
        <v>2287</v>
      </c>
    </row>
    <row r="3033" spans="1:40" x14ac:dyDescent="0.3">
      <c r="A3033" s="10" t="str">
        <f>HYPERLINK("http://www.washoecounty.gov/assessor/cama/?parid=042-330-29&amp;CardNumber=1","042-330-29")</f>
        <v>042-330-29</v>
      </c>
      <c r="B3033" t="s">
        <v>4655</v>
      </c>
      <c r="C3033" t="s">
        <v>17532</v>
      </c>
      <c r="D3033" s="1">
        <v>40221</v>
      </c>
      <c r="E3033" s="2">
        <v>240000</v>
      </c>
      <c r="F3033" t="s">
        <v>4567</v>
      </c>
      <c r="G3033" s="17" t="str">
        <f>HYPERLINK("https://www.washoecounty.gov/assessor/cama/?command=sales&amp;parid=04233029","3848830")</f>
        <v>3848830</v>
      </c>
      <c r="H3033" t="s">
        <v>2629</v>
      </c>
      <c r="I3033">
        <v>1995</v>
      </c>
      <c r="J3033">
        <v>1995</v>
      </c>
      <c r="K3033" t="s">
        <v>4554</v>
      </c>
      <c r="L3033" t="s">
        <v>3974</v>
      </c>
      <c r="M3033" s="2">
        <v>1825</v>
      </c>
      <c r="N3033" t="s">
        <v>5280</v>
      </c>
      <c r="O3033">
        <v>3</v>
      </c>
      <c r="P3033">
        <v>2</v>
      </c>
      <c r="Q3033">
        <v>1</v>
      </c>
      <c r="R3033" t="s">
        <v>4557</v>
      </c>
      <c r="S3033" t="s">
        <v>4558</v>
      </c>
      <c r="T3033" t="s">
        <v>2704</v>
      </c>
      <c r="U3033" t="s">
        <v>4560</v>
      </c>
      <c r="V3033" s="2">
        <v>447</v>
      </c>
      <c r="W3033" t="s">
        <v>3201</v>
      </c>
      <c r="X3033" s="2">
        <v>617</v>
      </c>
      <c r="Y3033">
        <v>20</v>
      </c>
      <c r="Z3033" t="s">
        <v>385</v>
      </c>
      <c r="AA3033" s="3">
        <v>0.103994488716125</v>
      </c>
      <c r="AB3033" t="s">
        <v>17533</v>
      </c>
      <c r="AC3033" t="s">
        <v>4575</v>
      </c>
      <c r="AD3033" t="s">
        <v>17534</v>
      </c>
      <c r="AE3033" t="s">
        <v>4655</v>
      </c>
      <c r="AF3033" t="s">
        <v>4563</v>
      </c>
      <c r="AG3033" t="s">
        <v>4564</v>
      </c>
      <c r="AH3033">
        <v>89509</v>
      </c>
      <c r="AI3033" t="s">
        <v>17530</v>
      </c>
      <c r="AJ3033" t="s">
        <v>4655</v>
      </c>
      <c r="AK3033" t="s">
        <v>17535</v>
      </c>
      <c r="AL3033" s="13" t="s">
        <v>2255</v>
      </c>
      <c r="AM3033">
        <v>1</v>
      </c>
      <c r="AN3033" s="15" t="s">
        <v>2287</v>
      </c>
    </row>
    <row r="3034" spans="1:40" x14ac:dyDescent="0.3">
      <c r="A3034" s="10" t="str">
        <f>HYPERLINK("http://www.washoecounty.gov/assessor/cama/?parid=042-330-37&amp;CardNumber=1","042-330-37")</f>
        <v>042-330-37</v>
      </c>
      <c r="B3034" t="s">
        <v>4655</v>
      </c>
      <c r="C3034" t="s">
        <v>17536</v>
      </c>
      <c r="D3034" s="1">
        <v>40445</v>
      </c>
      <c r="E3034" s="2">
        <v>195000</v>
      </c>
      <c r="F3034" t="s">
        <v>4567</v>
      </c>
      <c r="G3034" s="17" t="str">
        <f>HYPERLINK("https://www.washoecounty.gov/assessor/cama/?command=sales&amp;parid=04233037","3926078")</f>
        <v>3926078</v>
      </c>
      <c r="H3034" t="s">
        <v>2629</v>
      </c>
      <c r="I3034">
        <v>1994</v>
      </c>
      <c r="J3034">
        <v>1994</v>
      </c>
      <c r="K3034" t="s">
        <v>4554</v>
      </c>
      <c r="L3034" t="s">
        <v>3974</v>
      </c>
      <c r="M3034" s="2">
        <v>1819</v>
      </c>
      <c r="N3034" t="s">
        <v>5280</v>
      </c>
      <c r="O3034">
        <v>3</v>
      </c>
      <c r="P3034">
        <v>2</v>
      </c>
      <c r="Q3034">
        <v>1</v>
      </c>
      <c r="R3034" t="s">
        <v>4557</v>
      </c>
      <c r="S3034" t="s">
        <v>4558</v>
      </c>
      <c r="T3034" t="s">
        <v>2704</v>
      </c>
      <c r="U3034" t="s">
        <v>4560</v>
      </c>
      <c r="V3034" s="2">
        <v>464</v>
      </c>
      <c r="W3034" t="s">
        <v>4655</v>
      </c>
      <c r="X3034" s="2">
        <v>0</v>
      </c>
      <c r="Y3034">
        <v>20</v>
      </c>
      <c r="Z3034" t="s">
        <v>385</v>
      </c>
      <c r="AA3034" s="3">
        <v>9.2998161911964403E-2</v>
      </c>
      <c r="AB3034" t="s">
        <v>17537</v>
      </c>
      <c r="AC3034" t="s">
        <v>4562</v>
      </c>
      <c r="AD3034" t="s">
        <v>17538</v>
      </c>
      <c r="AE3034" t="s">
        <v>4655</v>
      </c>
      <c r="AF3034" t="s">
        <v>4563</v>
      </c>
      <c r="AG3034" t="s">
        <v>4564</v>
      </c>
      <c r="AH3034">
        <v>89511</v>
      </c>
      <c r="AI3034" t="s">
        <v>17539</v>
      </c>
      <c r="AJ3034" t="s">
        <v>4655</v>
      </c>
      <c r="AK3034" t="s">
        <v>17540</v>
      </c>
      <c r="AL3034" s="13" t="s">
        <v>2255</v>
      </c>
      <c r="AM3034">
        <v>1</v>
      </c>
      <c r="AN3034" s="15" t="s">
        <v>2287</v>
      </c>
    </row>
    <row r="3035" spans="1:40" x14ac:dyDescent="0.3">
      <c r="A3035" s="10" t="str">
        <f>HYPERLINK("http://www.washoecounty.gov/assessor/cama/?parid=042-330-40&amp;CardNumber=1","042-330-40")</f>
        <v>042-330-40</v>
      </c>
      <c r="B3035" t="s">
        <v>4655</v>
      </c>
      <c r="C3035" t="s">
        <v>17541</v>
      </c>
      <c r="D3035" s="1">
        <v>40527</v>
      </c>
      <c r="E3035" s="2">
        <v>150000</v>
      </c>
      <c r="F3035" t="s">
        <v>4567</v>
      </c>
      <c r="G3035" s="17" t="str">
        <f>HYPERLINK("https://www.washoecounty.gov/assessor/cama/?command=sales&amp;parid=04233040","3953789")</f>
        <v>3953789</v>
      </c>
      <c r="H3035" t="s">
        <v>2629</v>
      </c>
      <c r="I3035">
        <v>1994</v>
      </c>
      <c r="J3035">
        <v>1994</v>
      </c>
      <c r="K3035" t="s">
        <v>4554</v>
      </c>
      <c r="L3035" t="s">
        <v>4555</v>
      </c>
      <c r="M3035" s="2">
        <v>1463</v>
      </c>
      <c r="N3035" t="s">
        <v>5280</v>
      </c>
      <c r="O3035">
        <v>2</v>
      </c>
      <c r="P3035">
        <v>2</v>
      </c>
      <c r="Q3035">
        <v>0</v>
      </c>
      <c r="R3035" t="s">
        <v>4557</v>
      </c>
      <c r="S3035" t="s">
        <v>4558</v>
      </c>
      <c r="T3035" t="s">
        <v>2704</v>
      </c>
      <c r="U3035" t="s">
        <v>4560</v>
      </c>
      <c r="V3035" s="2">
        <v>427</v>
      </c>
      <c r="W3035" t="s">
        <v>4655</v>
      </c>
      <c r="X3035" s="2">
        <v>0</v>
      </c>
      <c r="Y3035">
        <v>20</v>
      </c>
      <c r="Z3035" t="s">
        <v>385</v>
      </c>
      <c r="AA3035" s="3">
        <v>9.2998161911964403E-2</v>
      </c>
      <c r="AB3035" t="s">
        <v>17542</v>
      </c>
      <c r="AC3035" t="s">
        <v>4562</v>
      </c>
      <c r="AD3035" t="s">
        <v>17541</v>
      </c>
      <c r="AE3035" t="s">
        <v>4655</v>
      </c>
      <c r="AF3035" t="s">
        <v>4563</v>
      </c>
      <c r="AG3035" t="s">
        <v>4564</v>
      </c>
      <c r="AH3035" t="s">
        <v>2330</v>
      </c>
      <c r="AI3035" t="s">
        <v>17543</v>
      </c>
      <c r="AJ3035" t="s">
        <v>4655</v>
      </c>
      <c r="AK3035" t="s">
        <v>17544</v>
      </c>
      <c r="AL3035" s="13" t="s">
        <v>2255</v>
      </c>
      <c r="AM3035">
        <v>1</v>
      </c>
      <c r="AN3035" s="15" t="s">
        <v>2287</v>
      </c>
    </row>
    <row r="3036" spans="1:40" x14ac:dyDescent="0.3">
      <c r="A3036" s="10" t="str">
        <f>HYPERLINK("http://www.washoecounty.gov/assessor/cama/?parid=042-330-47&amp;CardNumber=1","042-330-47")</f>
        <v>042-330-47</v>
      </c>
      <c r="B3036" t="s">
        <v>4655</v>
      </c>
      <c r="C3036" t="s">
        <v>17545</v>
      </c>
      <c r="D3036" s="1">
        <v>40416</v>
      </c>
      <c r="E3036" s="2">
        <v>148000</v>
      </c>
      <c r="F3036" t="s">
        <v>4553</v>
      </c>
      <c r="G3036" s="17" t="str">
        <f>HYPERLINK("https://www.washoecounty.gov/assessor/cama/?command=sales&amp;parid=04233047","3915892")</f>
        <v>3915892</v>
      </c>
      <c r="H3036" t="s">
        <v>2629</v>
      </c>
      <c r="I3036">
        <v>1994</v>
      </c>
      <c r="J3036">
        <v>1994</v>
      </c>
      <c r="K3036" t="s">
        <v>4554</v>
      </c>
      <c r="L3036" t="s">
        <v>3974</v>
      </c>
      <c r="M3036" s="2">
        <v>1819</v>
      </c>
      <c r="N3036" t="s">
        <v>5280</v>
      </c>
      <c r="O3036">
        <v>3</v>
      </c>
      <c r="P3036">
        <v>2</v>
      </c>
      <c r="Q3036">
        <v>1</v>
      </c>
      <c r="R3036" t="s">
        <v>4557</v>
      </c>
      <c r="S3036" t="s">
        <v>4558</v>
      </c>
      <c r="T3036" t="s">
        <v>2704</v>
      </c>
      <c r="U3036" t="s">
        <v>4560</v>
      </c>
      <c r="V3036" s="2">
        <v>464</v>
      </c>
      <c r="W3036" t="s">
        <v>4655</v>
      </c>
      <c r="X3036" s="2">
        <v>0</v>
      </c>
      <c r="Y3036">
        <v>20</v>
      </c>
      <c r="Z3036" t="s">
        <v>385</v>
      </c>
      <c r="AA3036" s="3">
        <v>9.1000914573669406E-2</v>
      </c>
      <c r="AB3036" t="s">
        <v>17546</v>
      </c>
      <c r="AC3036" t="s">
        <v>4562</v>
      </c>
      <c r="AD3036" t="s">
        <v>17547</v>
      </c>
      <c r="AE3036" t="s">
        <v>4655</v>
      </c>
      <c r="AF3036" t="s">
        <v>4563</v>
      </c>
      <c r="AG3036" t="s">
        <v>4564</v>
      </c>
      <c r="AH3036">
        <v>89509</v>
      </c>
      <c r="AI3036" t="s">
        <v>4045</v>
      </c>
      <c r="AJ3036" t="s">
        <v>4655</v>
      </c>
      <c r="AK3036" t="s">
        <v>17548</v>
      </c>
      <c r="AL3036" s="13" t="s">
        <v>2255</v>
      </c>
      <c r="AM3036">
        <v>1</v>
      </c>
      <c r="AN3036" s="15" t="s">
        <v>2287</v>
      </c>
    </row>
    <row r="3037" spans="1:40" x14ac:dyDescent="0.3">
      <c r="A3037" s="10" t="str">
        <f>HYPERLINK("http://www.washoecounty.gov/assessor/cama/?parid=042-364-11&amp;CardNumber=1","042-364-11")</f>
        <v>042-364-11</v>
      </c>
      <c r="B3037" t="s">
        <v>4655</v>
      </c>
      <c r="C3037" t="s">
        <v>17549</v>
      </c>
      <c r="D3037" s="1">
        <v>40501</v>
      </c>
      <c r="E3037" s="2">
        <v>349000</v>
      </c>
      <c r="F3037" t="s">
        <v>4567</v>
      </c>
      <c r="G3037" s="17" t="str">
        <f>HYPERLINK("https://www.washoecounty.gov/assessor/cama/?command=sales&amp;parid=04236411","3945176")</f>
        <v>3945176</v>
      </c>
      <c r="H3037" t="s">
        <v>5126</v>
      </c>
      <c r="I3037">
        <v>1999</v>
      </c>
      <c r="J3037">
        <v>1999</v>
      </c>
      <c r="K3037" t="s">
        <v>4554</v>
      </c>
      <c r="L3037" t="s">
        <v>4555</v>
      </c>
      <c r="M3037" s="2">
        <v>2645</v>
      </c>
      <c r="N3037" t="s">
        <v>3147</v>
      </c>
      <c r="O3037">
        <v>4</v>
      </c>
      <c r="P3037">
        <v>3</v>
      </c>
      <c r="Q3037">
        <v>0</v>
      </c>
      <c r="R3037" t="s">
        <v>4557</v>
      </c>
      <c r="S3037" t="s">
        <v>4898</v>
      </c>
      <c r="T3037" t="s">
        <v>2704</v>
      </c>
      <c r="U3037" t="s">
        <v>5631</v>
      </c>
      <c r="V3037" s="2">
        <v>704</v>
      </c>
      <c r="W3037" t="s">
        <v>4655</v>
      </c>
      <c r="X3037" s="2">
        <v>0</v>
      </c>
      <c r="Y3037">
        <v>20</v>
      </c>
      <c r="Z3037" t="s">
        <v>385</v>
      </c>
      <c r="AA3037" s="3">
        <v>0.13700643181800801</v>
      </c>
      <c r="AB3037" t="s">
        <v>17550</v>
      </c>
      <c r="AC3037" t="s">
        <v>4562</v>
      </c>
      <c r="AD3037" t="s">
        <v>17549</v>
      </c>
      <c r="AE3037" t="s">
        <v>4655</v>
      </c>
      <c r="AF3037" t="s">
        <v>4563</v>
      </c>
      <c r="AG3037" t="s">
        <v>4564</v>
      </c>
      <c r="AH3037" t="s">
        <v>2330</v>
      </c>
      <c r="AI3037" t="s">
        <v>17551</v>
      </c>
      <c r="AJ3037" t="s">
        <v>5127</v>
      </c>
      <c r="AK3037" t="s">
        <v>17552</v>
      </c>
      <c r="AL3037" s="13" t="s">
        <v>2255</v>
      </c>
      <c r="AM3037">
        <v>1</v>
      </c>
      <c r="AN3037" s="15" t="s">
        <v>2536</v>
      </c>
    </row>
    <row r="3038" spans="1:40" x14ac:dyDescent="0.3">
      <c r="A3038" s="10" t="str">
        <f>HYPERLINK("http://www.washoecounty.gov/assessor/cama/?parid=042-382-10&amp;CardNumber=1","042-382-10")</f>
        <v>042-382-10</v>
      </c>
      <c r="B3038" t="s">
        <v>4655</v>
      </c>
      <c r="C3038" t="s">
        <v>17553</v>
      </c>
      <c r="D3038" s="1">
        <v>40459</v>
      </c>
      <c r="E3038" s="2">
        <v>257000</v>
      </c>
      <c r="F3038" t="s">
        <v>4567</v>
      </c>
      <c r="G3038" s="17" t="str">
        <f>HYPERLINK("https://www.washoecounty.gov/assessor/cama/?command=sales&amp;parid=04238210","3931314")</f>
        <v>3931314</v>
      </c>
      <c r="H3038" t="s">
        <v>1915</v>
      </c>
      <c r="I3038">
        <v>1997</v>
      </c>
      <c r="J3038">
        <v>1997</v>
      </c>
      <c r="K3038" t="s">
        <v>4554</v>
      </c>
      <c r="L3038" t="s">
        <v>4555</v>
      </c>
      <c r="M3038" s="2">
        <v>1714</v>
      </c>
      <c r="N3038" t="s">
        <v>3147</v>
      </c>
      <c r="O3038">
        <v>3</v>
      </c>
      <c r="P3038">
        <v>2</v>
      </c>
      <c r="Q3038">
        <v>0</v>
      </c>
      <c r="R3038" t="s">
        <v>4557</v>
      </c>
      <c r="S3038" t="s">
        <v>4898</v>
      </c>
      <c r="T3038" t="s">
        <v>2704</v>
      </c>
      <c r="U3038" t="s">
        <v>4560</v>
      </c>
      <c r="V3038" s="2">
        <v>468</v>
      </c>
      <c r="W3038" t="s">
        <v>4655</v>
      </c>
      <c r="X3038" s="2">
        <v>0</v>
      </c>
      <c r="Y3038">
        <v>20</v>
      </c>
      <c r="Z3038" t="s">
        <v>385</v>
      </c>
      <c r="AA3038" s="3">
        <v>0.13200183212757099</v>
      </c>
      <c r="AB3038" t="s">
        <v>12465</v>
      </c>
      <c r="AC3038" t="s">
        <v>4562</v>
      </c>
      <c r="AD3038" t="s">
        <v>17553</v>
      </c>
      <c r="AE3038" t="s">
        <v>4655</v>
      </c>
      <c r="AF3038" t="s">
        <v>4563</v>
      </c>
      <c r="AG3038" t="s">
        <v>4564</v>
      </c>
      <c r="AH3038" t="s">
        <v>2330</v>
      </c>
      <c r="AI3038" t="s">
        <v>17554</v>
      </c>
      <c r="AJ3038" t="s">
        <v>1074</v>
      </c>
      <c r="AK3038" t="s">
        <v>17555</v>
      </c>
      <c r="AL3038" s="13" t="s">
        <v>2255</v>
      </c>
      <c r="AM3038">
        <v>1</v>
      </c>
      <c r="AN3038" s="15" t="s">
        <v>2536</v>
      </c>
    </row>
    <row r="3039" spans="1:40" x14ac:dyDescent="0.3">
      <c r="A3039" s="10" t="str">
        <f>HYPERLINK("http://www.washoecounty.gov/assessor/cama/?parid=042-422-03&amp;CardNumber=1","042-422-03")</f>
        <v>042-422-03</v>
      </c>
      <c r="B3039" t="s">
        <v>4655</v>
      </c>
      <c r="C3039" t="s">
        <v>17556</v>
      </c>
      <c r="D3039" s="1">
        <v>40203</v>
      </c>
      <c r="E3039" s="2">
        <v>410000</v>
      </c>
      <c r="F3039" t="s">
        <v>4567</v>
      </c>
      <c r="G3039" s="17" t="str">
        <f>HYPERLINK("https://www.washoecounty.gov/assessor/cama/?command=sales&amp;parid=04242203","3842453")</f>
        <v>3842453</v>
      </c>
      <c r="H3039" t="s">
        <v>2288</v>
      </c>
      <c r="I3039">
        <v>2006</v>
      </c>
      <c r="J3039">
        <v>2006</v>
      </c>
      <c r="K3039" t="s">
        <v>4554</v>
      </c>
      <c r="L3039" t="s">
        <v>3974</v>
      </c>
      <c r="M3039" s="2">
        <v>3593</v>
      </c>
      <c r="N3039" t="s">
        <v>2012</v>
      </c>
      <c r="O3039">
        <v>4</v>
      </c>
      <c r="P3039">
        <v>4</v>
      </c>
      <c r="Q3039">
        <v>0</v>
      </c>
      <c r="R3039" t="s">
        <v>5281</v>
      </c>
      <c r="S3039" t="s">
        <v>4898</v>
      </c>
      <c r="T3039" t="s">
        <v>2704</v>
      </c>
      <c r="U3039" t="s">
        <v>4560</v>
      </c>
      <c r="V3039" s="2">
        <v>781</v>
      </c>
      <c r="W3039" t="s">
        <v>4655</v>
      </c>
      <c r="X3039" s="2">
        <v>0</v>
      </c>
      <c r="Y3039">
        <v>20</v>
      </c>
      <c r="Z3039" t="s">
        <v>5107</v>
      </c>
      <c r="AA3039" s="3">
        <v>0.170247927308083</v>
      </c>
      <c r="AB3039" t="s">
        <v>17557</v>
      </c>
      <c r="AC3039" t="s">
        <v>4562</v>
      </c>
      <c r="AD3039" t="s">
        <v>17556</v>
      </c>
      <c r="AE3039" t="s">
        <v>4655</v>
      </c>
      <c r="AF3039" t="s">
        <v>4563</v>
      </c>
      <c r="AG3039" t="s">
        <v>4564</v>
      </c>
      <c r="AH3039" t="s">
        <v>2330</v>
      </c>
      <c r="AI3039" t="s">
        <v>17558</v>
      </c>
      <c r="AJ3039" t="s">
        <v>2289</v>
      </c>
      <c r="AK3039" t="s">
        <v>17559</v>
      </c>
      <c r="AL3039" s="13" t="s">
        <v>2255</v>
      </c>
      <c r="AM3039">
        <v>1</v>
      </c>
      <c r="AN3039" s="15" t="s">
        <v>2290</v>
      </c>
    </row>
    <row r="3040" spans="1:40" x14ac:dyDescent="0.3">
      <c r="A3040" s="10" t="str">
        <f>HYPERLINK("http://www.washoecounty.gov/assessor/cama/?parid=042-431-03&amp;CardNumber=1","042-431-03")</f>
        <v>042-431-03</v>
      </c>
      <c r="B3040" t="s">
        <v>4655</v>
      </c>
      <c r="C3040" t="s">
        <v>17560</v>
      </c>
      <c r="D3040" s="1">
        <v>40290</v>
      </c>
      <c r="E3040" s="2">
        <v>525000</v>
      </c>
      <c r="F3040" t="s">
        <v>4553</v>
      </c>
      <c r="G3040" s="17" t="str">
        <f>HYPERLINK("https://www.washoecounty.gov/assessor/cama/?command=sales&amp;parid=04243103","3873488")</f>
        <v>3873488</v>
      </c>
      <c r="H3040" t="s">
        <v>2288</v>
      </c>
      <c r="I3040">
        <v>2006</v>
      </c>
      <c r="J3040">
        <v>2006</v>
      </c>
      <c r="K3040" t="s">
        <v>4554</v>
      </c>
      <c r="L3040" t="s">
        <v>3974</v>
      </c>
      <c r="M3040" s="2">
        <v>3385</v>
      </c>
      <c r="N3040" t="s">
        <v>2012</v>
      </c>
      <c r="O3040">
        <v>6</v>
      </c>
      <c r="P3040">
        <v>6</v>
      </c>
      <c r="Q3040">
        <v>0</v>
      </c>
      <c r="R3040" t="s">
        <v>5281</v>
      </c>
      <c r="S3040" t="s">
        <v>4898</v>
      </c>
      <c r="T3040" t="s">
        <v>2704</v>
      </c>
      <c r="U3040" t="s">
        <v>4560</v>
      </c>
      <c r="V3040" s="2">
        <v>781</v>
      </c>
      <c r="W3040" t="s">
        <v>3201</v>
      </c>
      <c r="X3040" s="2">
        <v>995</v>
      </c>
      <c r="Y3040">
        <v>20</v>
      </c>
      <c r="Z3040" t="s">
        <v>5107</v>
      </c>
      <c r="AA3040" s="3">
        <v>0.18617998063564301</v>
      </c>
      <c r="AB3040" t="s">
        <v>17561</v>
      </c>
      <c r="AC3040" t="s">
        <v>4575</v>
      </c>
      <c r="AD3040" t="s">
        <v>17562</v>
      </c>
      <c r="AE3040" t="s">
        <v>4655</v>
      </c>
      <c r="AF3040" t="s">
        <v>4563</v>
      </c>
      <c r="AG3040" t="s">
        <v>4564</v>
      </c>
      <c r="AH3040" t="s">
        <v>2330</v>
      </c>
      <c r="AI3040" t="s">
        <v>4045</v>
      </c>
      <c r="AJ3040" t="s">
        <v>2289</v>
      </c>
      <c r="AK3040" t="s">
        <v>17563</v>
      </c>
      <c r="AL3040" s="13" t="s">
        <v>2255</v>
      </c>
      <c r="AM3040">
        <v>1</v>
      </c>
      <c r="AN3040" s="15" t="s">
        <v>2290</v>
      </c>
    </row>
    <row r="3041" spans="1:40" x14ac:dyDescent="0.3">
      <c r="A3041" s="10" t="str">
        <f>HYPERLINK("http://www.washoecounty.gov/assessor/cama/?parid=042-453-01&amp;CardNumber=1","042-453-01")</f>
        <v>042-453-01</v>
      </c>
      <c r="B3041" t="s">
        <v>4655</v>
      </c>
      <c r="C3041" t="s">
        <v>17564</v>
      </c>
      <c r="D3041" s="1">
        <v>40406</v>
      </c>
      <c r="E3041" s="2">
        <v>1225000</v>
      </c>
      <c r="F3041" t="s">
        <v>3174</v>
      </c>
      <c r="G3041" s="17" t="str">
        <f>HYPERLINK("https://www.washoecounty.gov/assessor/cama/?command=sales&amp;parid=04245301","3912411")</f>
        <v>3912411</v>
      </c>
      <c r="H3041" t="s">
        <v>2291</v>
      </c>
      <c r="I3041">
        <v>2008</v>
      </c>
      <c r="J3041">
        <v>2008</v>
      </c>
      <c r="K3041" t="s">
        <v>4554</v>
      </c>
      <c r="L3041" t="s">
        <v>4555</v>
      </c>
      <c r="M3041" s="2">
        <v>2916</v>
      </c>
      <c r="N3041" t="s">
        <v>2631</v>
      </c>
      <c r="O3041">
        <v>3</v>
      </c>
      <c r="P3041">
        <v>3</v>
      </c>
      <c r="Q3041">
        <v>1</v>
      </c>
      <c r="R3041" t="s">
        <v>2632</v>
      </c>
      <c r="S3041" t="s">
        <v>4898</v>
      </c>
      <c r="T3041" t="s">
        <v>2704</v>
      </c>
      <c r="U3041" t="s">
        <v>4655</v>
      </c>
      <c r="V3041" s="2">
        <v>0</v>
      </c>
      <c r="W3041" t="s">
        <v>4571</v>
      </c>
      <c r="X3041" s="2">
        <v>1758</v>
      </c>
      <c r="Y3041">
        <v>20</v>
      </c>
      <c r="Z3041" t="s">
        <v>5107</v>
      </c>
      <c r="AA3041" s="3">
        <v>0.28530761599540699</v>
      </c>
      <c r="AB3041" t="s">
        <v>17565</v>
      </c>
      <c r="AC3041" t="s">
        <v>4562</v>
      </c>
      <c r="AD3041" t="s">
        <v>17566</v>
      </c>
      <c r="AE3041" t="s">
        <v>4655</v>
      </c>
      <c r="AF3041" t="s">
        <v>4563</v>
      </c>
      <c r="AG3041" t="s">
        <v>4564</v>
      </c>
      <c r="AH3041" t="s">
        <v>5197</v>
      </c>
      <c r="AI3041" t="s">
        <v>17567</v>
      </c>
      <c r="AJ3041" t="s">
        <v>2633</v>
      </c>
      <c r="AK3041" t="s">
        <v>17568</v>
      </c>
      <c r="AL3041" s="13" t="s">
        <v>2255</v>
      </c>
      <c r="AM3041">
        <v>1</v>
      </c>
      <c r="AN3041" s="15" t="s">
        <v>2596</v>
      </c>
    </row>
    <row r="3042" spans="1:40" x14ac:dyDescent="0.3">
      <c r="A3042" s="10" t="str">
        <f>HYPERLINK("http://www.washoecounty.gov/assessor/cama/?parid=042-453-02&amp;CardNumber=1","042-453-02")</f>
        <v>042-453-02</v>
      </c>
      <c r="B3042" t="s">
        <v>4655</v>
      </c>
      <c r="C3042" t="s">
        <v>17569</v>
      </c>
      <c r="D3042" s="1">
        <v>40221</v>
      </c>
      <c r="E3042" s="2">
        <v>1100000</v>
      </c>
      <c r="F3042" t="s">
        <v>3259</v>
      </c>
      <c r="G3042" s="17" t="str">
        <f>HYPERLINK("https://www.washoecounty.gov/assessor/cama/?command=sales&amp;parid=04245302","3848931")</f>
        <v>3848931</v>
      </c>
      <c r="H3042" t="s">
        <v>2291</v>
      </c>
      <c r="I3042">
        <v>2008</v>
      </c>
      <c r="J3042">
        <v>2008</v>
      </c>
      <c r="K3042" t="s">
        <v>4554</v>
      </c>
      <c r="L3042" t="s">
        <v>4555</v>
      </c>
      <c r="M3042" s="2">
        <v>2738</v>
      </c>
      <c r="N3042" t="s">
        <v>2631</v>
      </c>
      <c r="O3042">
        <v>4</v>
      </c>
      <c r="P3042">
        <v>4</v>
      </c>
      <c r="Q3042">
        <v>1</v>
      </c>
      <c r="R3042" t="s">
        <v>2632</v>
      </c>
      <c r="S3042" t="s">
        <v>4898</v>
      </c>
      <c r="T3042" t="s">
        <v>2704</v>
      </c>
      <c r="U3042" t="s">
        <v>4560</v>
      </c>
      <c r="V3042" s="2">
        <v>1072</v>
      </c>
      <c r="W3042" t="s">
        <v>1500</v>
      </c>
      <c r="X3042" s="2">
        <v>1761</v>
      </c>
      <c r="Y3042">
        <v>20</v>
      </c>
      <c r="Z3042" t="s">
        <v>5107</v>
      </c>
      <c r="AA3042" s="3">
        <v>0.28278237581253102</v>
      </c>
      <c r="AB3042" t="s">
        <v>17570</v>
      </c>
      <c r="AC3042" t="s">
        <v>4575</v>
      </c>
      <c r="AD3042" t="s">
        <v>17571</v>
      </c>
      <c r="AE3042" t="s">
        <v>4655</v>
      </c>
      <c r="AF3042" t="s">
        <v>4563</v>
      </c>
      <c r="AG3042" t="s">
        <v>4564</v>
      </c>
      <c r="AH3042">
        <v>89509</v>
      </c>
      <c r="AI3042" t="s">
        <v>17567</v>
      </c>
      <c r="AJ3042" t="s">
        <v>2633</v>
      </c>
      <c r="AK3042" t="s">
        <v>17572</v>
      </c>
      <c r="AL3042" s="13" t="s">
        <v>2255</v>
      </c>
      <c r="AM3042">
        <v>1</v>
      </c>
      <c r="AN3042" s="15" t="s">
        <v>2596</v>
      </c>
    </row>
    <row r="3043" spans="1:40" x14ac:dyDescent="0.3">
      <c r="A3043" s="10" t="str">
        <f>HYPERLINK("http://www.washoecounty.gov/assessor/cama/?parid=042-453-03&amp;CardNumber=1","042-453-03")</f>
        <v>042-453-03</v>
      </c>
      <c r="B3043" t="s">
        <v>4655</v>
      </c>
      <c r="C3043" t="s">
        <v>17573</v>
      </c>
      <c r="D3043" s="1">
        <v>40268</v>
      </c>
      <c r="E3043" s="2">
        <v>900000</v>
      </c>
      <c r="F3043" t="s">
        <v>4567</v>
      </c>
      <c r="G3043" s="17" t="str">
        <f>HYPERLINK("https://www.washoecounty.gov/assessor/cama/?command=sales&amp;parid=04245303","3866130")</f>
        <v>3866130</v>
      </c>
      <c r="H3043" t="s">
        <v>2291</v>
      </c>
      <c r="I3043">
        <v>2008</v>
      </c>
      <c r="J3043">
        <v>2008</v>
      </c>
      <c r="K3043" t="s">
        <v>4554</v>
      </c>
      <c r="L3043" t="s">
        <v>4555</v>
      </c>
      <c r="M3043" s="2">
        <v>2643</v>
      </c>
      <c r="N3043" t="s">
        <v>2631</v>
      </c>
      <c r="O3043">
        <v>4</v>
      </c>
      <c r="P3043">
        <v>4</v>
      </c>
      <c r="Q3043">
        <v>1</v>
      </c>
      <c r="R3043" t="s">
        <v>2632</v>
      </c>
      <c r="S3043" t="s">
        <v>4898</v>
      </c>
      <c r="T3043" t="s">
        <v>2704</v>
      </c>
      <c r="U3043" t="s">
        <v>4560</v>
      </c>
      <c r="V3043" s="2">
        <v>899</v>
      </c>
      <c r="W3043" t="s">
        <v>1500</v>
      </c>
      <c r="X3043" s="2">
        <v>1584</v>
      </c>
      <c r="Y3043">
        <v>20</v>
      </c>
      <c r="Z3043" t="s">
        <v>5107</v>
      </c>
      <c r="AA3043" s="3">
        <v>0.32107436656951899</v>
      </c>
      <c r="AB3043" t="s">
        <v>17574</v>
      </c>
      <c r="AC3043" t="s">
        <v>4562</v>
      </c>
      <c r="AD3043" t="s">
        <v>17573</v>
      </c>
      <c r="AE3043" t="s">
        <v>4655</v>
      </c>
      <c r="AF3043" t="s">
        <v>4563</v>
      </c>
      <c r="AG3043" t="s">
        <v>4564</v>
      </c>
      <c r="AH3043" t="s">
        <v>2330</v>
      </c>
      <c r="AI3043" t="s">
        <v>17567</v>
      </c>
      <c r="AJ3043" t="s">
        <v>2633</v>
      </c>
      <c r="AK3043" t="s">
        <v>17575</v>
      </c>
      <c r="AL3043" s="13" t="s">
        <v>2255</v>
      </c>
      <c r="AM3043">
        <v>1</v>
      </c>
      <c r="AN3043" s="15" t="s">
        <v>2596</v>
      </c>
    </row>
    <row r="3044" spans="1:40" x14ac:dyDescent="0.3">
      <c r="A3044" s="10" t="str">
        <f>HYPERLINK("http://www.washoecounty.gov/assessor/cama/?parid=042-461-10&amp;CardNumber=1","042-461-10")</f>
        <v>042-461-10</v>
      </c>
      <c r="B3044" t="s">
        <v>4655</v>
      </c>
      <c r="C3044" t="s">
        <v>316</v>
      </c>
      <c r="D3044" s="1">
        <v>40406</v>
      </c>
      <c r="E3044" s="2">
        <v>1225000</v>
      </c>
      <c r="F3044" t="s">
        <v>3174</v>
      </c>
      <c r="G3044" s="17" t="str">
        <f>HYPERLINK("https://www.washoecounty.gov/assessor/cama/?command=sales&amp;parid=04246110","3912411")</f>
        <v>3912411</v>
      </c>
      <c r="H3044" t="s">
        <v>2291</v>
      </c>
      <c r="I3044">
        <v>0</v>
      </c>
      <c r="J3044">
        <v>0</v>
      </c>
      <c r="K3044" t="s">
        <v>4655</v>
      </c>
      <c r="L3044" t="s">
        <v>4655</v>
      </c>
      <c r="M3044" s="2">
        <v>0</v>
      </c>
      <c r="N3044" t="s">
        <v>4655</v>
      </c>
      <c r="O3044">
        <v>0</v>
      </c>
      <c r="P3044">
        <v>0</v>
      </c>
      <c r="Q3044">
        <v>0</v>
      </c>
      <c r="R3044" t="s">
        <v>4655</v>
      </c>
      <c r="S3044" t="s">
        <v>4655</v>
      </c>
      <c r="T3044" t="s">
        <v>4655</v>
      </c>
      <c r="U3044" t="s">
        <v>4655</v>
      </c>
      <c r="V3044" s="2">
        <v>0</v>
      </c>
      <c r="W3044" t="s">
        <v>4655</v>
      </c>
      <c r="X3044" s="2">
        <v>0</v>
      </c>
      <c r="Y3044">
        <v>12</v>
      </c>
      <c r="Z3044" t="s">
        <v>5107</v>
      </c>
      <c r="AA3044" s="3">
        <v>0.29368686676025402</v>
      </c>
      <c r="AB3044" t="s">
        <v>17565</v>
      </c>
      <c r="AC3044" t="s">
        <v>4562</v>
      </c>
      <c r="AD3044" t="s">
        <v>17566</v>
      </c>
      <c r="AE3044" t="s">
        <v>4655</v>
      </c>
      <c r="AF3044" t="s">
        <v>4563</v>
      </c>
      <c r="AG3044" t="s">
        <v>4564</v>
      </c>
      <c r="AH3044" t="s">
        <v>5197</v>
      </c>
      <c r="AI3044" t="s">
        <v>17567</v>
      </c>
      <c r="AJ3044" t="s">
        <v>2633</v>
      </c>
      <c r="AK3044" t="s">
        <v>17576</v>
      </c>
      <c r="AL3044" s="13" t="s">
        <v>2255</v>
      </c>
      <c r="AM3044">
        <v>0</v>
      </c>
      <c r="AN3044" s="15" t="s">
        <v>2596</v>
      </c>
    </row>
    <row r="3045" spans="1:40" x14ac:dyDescent="0.3">
      <c r="A3045" s="10" t="str">
        <f>HYPERLINK("http://www.washoecounty.gov/assessor/cama/?parid=043-052-01&amp;CardNumber=1","043-052-01")</f>
        <v>043-052-01</v>
      </c>
      <c r="B3045" t="s">
        <v>4655</v>
      </c>
      <c r="C3045" t="s">
        <v>17577</v>
      </c>
      <c r="D3045" s="1">
        <v>40315</v>
      </c>
      <c r="E3045" s="2">
        <v>650000</v>
      </c>
      <c r="F3045" t="s">
        <v>4567</v>
      </c>
      <c r="G3045" s="17" t="str">
        <f>HYPERLINK("https://www.washoecounty.gov/assessor/cama/?command=sales&amp;parid=04305201","3882377")</f>
        <v>3882377</v>
      </c>
      <c r="H3045" t="s">
        <v>17578</v>
      </c>
      <c r="I3045">
        <v>1980</v>
      </c>
      <c r="J3045">
        <v>1980</v>
      </c>
      <c r="K3045" t="s">
        <v>4554</v>
      </c>
      <c r="L3045" t="s">
        <v>3886</v>
      </c>
      <c r="M3045" s="2">
        <v>2128</v>
      </c>
      <c r="N3045" t="s">
        <v>3887</v>
      </c>
      <c r="O3045">
        <v>3</v>
      </c>
      <c r="P3045">
        <v>3</v>
      </c>
      <c r="Q3045">
        <v>0</v>
      </c>
      <c r="R3045" t="s">
        <v>4557</v>
      </c>
      <c r="S3045" t="s">
        <v>1927</v>
      </c>
      <c r="T3045" t="s">
        <v>4559</v>
      </c>
      <c r="U3045" t="s">
        <v>4560</v>
      </c>
      <c r="V3045" s="2">
        <v>480</v>
      </c>
      <c r="W3045" t="s">
        <v>3149</v>
      </c>
      <c r="X3045" s="2">
        <v>640</v>
      </c>
      <c r="Y3045">
        <v>20</v>
      </c>
      <c r="Z3045" t="s">
        <v>1376</v>
      </c>
      <c r="AA3045" s="3">
        <v>5.5500001907348597</v>
      </c>
      <c r="AB3045" t="s">
        <v>17579</v>
      </c>
      <c r="AC3045" t="s">
        <v>4562</v>
      </c>
      <c r="AD3045" t="s">
        <v>17580</v>
      </c>
      <c r="AE3045" t="s">
        <v>4655</v>
      </c>
      <c r="AF3045" t="s">
        <v>4563</v>
      </c>
      <c r="AG3045" t="s">
        <v>4564</v>
      </c>
      <c r="AH3045" t="s">
        <v>2330</v>
      </c>
      <c r="AI3045" t="s">
        <v>4655</v>
      </c>
      <c r="AJ3045" t="s">
        <v>4655</v>
      </c>
      <c r="AK3045" t="s">
        <v>17581</v>
      </c>
      <c r="AL3045" s="13" t="s">
        <v>3420</v>
      </c>
      <c r="AM3045" s="14">
        <v>1</v>
      </c>
      <c r="AN3045" s="15" t="s">
        <v>1584</v>
      </c>
    </row>
    <row r="3046" spans="1:40" x14ac:dyDescent="0.3">
      <c r="A3046" s="10" t="str">
        <f>HYPERLINK("http://www.washoecounty.gov/assessor/cama/?parid=043-061-08&amp;CardNumber=1","043-061-08")</f>
        <v>043-061-08</v>
      </c>
      <c r="B3046" t="s">
        <v>4655</v>
      </c>
      <c r="C3046" t="s">
        <v>17582</v>
      </c>
      <c r="D3046" s="1">
        <v>40261</v>
      </c>
      <c r="E3046" s="2">
        <v>700000</v>
      </c>
      <c r="F3046" t="s">
        <v>4567</v>
      </c>
      <c r="G3046" s="17" t="str">
        <f>HYPERLINK("https://www.washoecounty.gov/assessor/cama/?command=sales&amp;parid=04306108","3863740")</f>
        <v>3863740</v>
      </c>
      <c r="H3046" t="s">
        <v>17583</v>
      </c>
      <c r="I3046">
        <v>1987</v>
      </c>
      <c r="J3046">
        <v>1987</v>
      </c>
      <c r="K3046" t="s">
        <v>4554</v>
      </c>
      <c r="L3046" t="s">
        <v>4555</v>
      </c>
      <c r="M3046" s="2">
        <v>3010</v>
      </c>
      <c r="N3046" t="s">
        <v>5106</v>
      </c>
      <c r="O3046">
        <v>3</v>
      </c>
      <c r="P3046">
        <v>3</v>
      </c>
      <c r="Q3046">
        <v>0</v>
      </c>
      <c r="R3046" t="s">
        <v>4557</v>
      </c>
      <c r="S3046" t="s">
        <v>4682</v>
      </c>
      <c r="T3046" t="s">
        <v>1583</v>
      </c>
      <c r="U3046" t="s">
        <v>4560</v>
      </c>
      <c r="V3046" s="2">
        <v>1134</v>
      </c>
      <c r="W3046" t="s">
        <v>4655</v>
      </c>
      <c r="X3046" s="2">
        <v>0</v>
      </c>
      <c r="Y3046">
        <v>20</v>
      </c>
      <c r="Z3046" t="s">
        <v>1376</v>
      </c>
      <c r="AA3046" s="3">
        <v>2.4000000953674299</v>
      </c>
      <c r="AB3046" t="s">
        <v>17584</v>
      </c>
      <c r="AC3046" t="s">
        <v>4562</v>
      </c>
      <c r="AD3046" t="s">
        <v>17582</v>
      </c>
      <c r="AE3046" t="s">
        <v>4655</v>
      </c>
      <c r="AF3046" t="s">
        <v>4563</v>
      </c>
      <c r="AG3046" t="s">
        <v>4564</v>
      </c>
      <c r="AH3046">
        <v>89511</v>
      </c>
      <c r="AI3046" t="s">
        <v>17585</v>
      </c>
      <c r="AJ3046" t="s">
        <v>4655</v>
      </c>
      <c r="AK3046" t="s">
        <v>17586</v>
      </c>
      <c r="AL3046" s="13" t="s">
        <v>3420</v>
      </c>
      <c r="AM3046" s="14">
        <v>1</v>
      </c>
      <c r="AN3046" s="15" t="s">
        <v>1584</v>
      </c>
    </row>
    <row r="3047" spans="1:40" x14ac:dyDescent="0.3">
      <c r="A3047" s="10" t="str">
        <f>HYPERLINK("http://www.washoecounty.gov/assessor/cama/?parid=043-062-09&amp;CardNumber=1","043-062-09")</f>
        <v>043-062-09</v>
      </c>
      <c r="B3047" t="s">
        <v>4655</v>
      </c>
      <c r="C3047" t="s">
        <v>17587</v>
      </c>
      <c r="D3047" s="1">
        <v>40504</v>
      </c>
      <c r="E3047" s="2">
        <v>350000</v>
      </c>
      <c r="F3047" t="s">
        <v>3528</v>
      </c>
      <c r="G3047" s="17" t="str">
        <f>HYPERLINK("https://www.washoecounty.gov/assessor/cama/?command=sales&amp;parid=04306209","3945767")</f>
        <v>3945767</v>
      </c>
      <c r="H3047" t="s">
        <v>17588</v>
      </c>
      <c r="I3047">
        <v>0</v>
      </c>
      <c r="J3047">
        <v>0</v>
      </c>
      <c r="K3047" t="s">
        <v>4655</v>
      </c>
      <c r="L3047" t="s">
        <v>4655</v>
      </c>
      <c r="M3047" s="2">
        <v>0</v>
      </c>
      <c r="N3047" t="s">
        <v>4655</v>
      </c>
      <c r="O3047">
        <v>0</v>
      </c>
      <c r="P3047">
        <v>0</v>
      </c>
      <c r="Q3047">
        <v>0</v>
      </c>
      <c r="R3047" t="s">
        <v>4655</v>
      </c>
      <c r="S3047" t="s">
        <v>4655</v>
      </c>
      <c r="T3047" t="s">
        <v>4655</v>
      </c>
      <c r="U3047" t="s">
        <v>4655</v>
      </c>
      <c r="V3047" s="2">
        <v>0</v>
      </c>
      <c r="W3047" t="s">
        <v>4655</v>
      </c>
      <c r="X3047" s="2">
        <v>0</v>
      </c>
      <c r="Y3047">
        <v>18</v>
      </c>
      <c r="Z3047" t="s">
        <v>1376</v>
      </c>
      <c r="AA3047" s="3">
        <v>2.50500011444091</v>
      </c>
      <c r="AB3047" t="s">
        <v>17589</v>
      </c>
      <c r="AC3047" t="s">
        <v>4575</v>
      </c>
      <c r="AD3047" t="s">
        <v>17590</v>
      </c>
      <c r="AE3047" t="s">
        <v>4655</v>
      </c>
      <c r="AF3047" t="s">
        <v>1189</v>
      </c>
      <c r="AG3047" t="s">
        <v>4564</v>
      </c>
      <c r="AH3047">
        <v>89129</v>
      </c>
      <c r="AI3047" t="s">
        <v>17589</v>
      </c>
      <c r="AJ3047" t="s">
        <v>4655</v>
      </c>
      <c r="AK3047" t="s">
        <v>17591</v>
      </c>
      <c r="AL3047" s="13" t="s">
        <v>3420</v>
      </c>
      <c r="AM3047">
        <v>0</v>
      </c>
      <c r="AN3047" s="15" t="s">
        <v>1584</v>
      </c>
    </row>
    <row r="3048" spans="1:40" x14ac:dyDescent="0.3">
      <c r="A3048" s="10" t="str">
        <f>HYPERLINK("http://www.washoecounty.gov/assessor/cama/?parid=043-070-25&amp;CardNumber=1","043-070-25")</f>
        <v>043-070-25</v>
      </c>
      <c r="B3048" t="s">
        <v>5502</v>
      </c>
      <c r="C3048" t="s">
        <v>17592</v>
      </c>
      <c r="D3048" s="1">
        <v>40401</v>
      </c>
      <c r="E3048" s="2">
        <v>500000</v>
      </c>
      <c r="F3048" t="s">
        <v>3259</v>
      </c>
      <c r="G3048" s="17" t="str">
        <f>HYPERLINK("https://www.washoecounty.gov/assessor/cama/?command=sales&amp;parid=04307025","3910607")</f>
        <v>3910607</v>
      </c>
      <c r="H3048" t="s">
        <v>4802</v>
      </c>
      <c r="I3048">
        <v>1954</v>
      </c>
      <c r="J3048">
        <v>1954</v>
      </c>
      <c r="K3048" t="s">
        <v>4554</v>
      </c>
      <c r="L3048" t="s">
        <v>4555</v>
      </c>
      <c r="M3048" s="2">
        <v>2750</v>
      </c>
      <c r="N3048" t="s">
        <v>3147</v>
      </c>
      <c r="O3048">
        <v>2</v>
      </c>
      <c r="P3048">
        <v>2</v>
      </c>
      <c r="Q3048">
        <v>0</v>
      </c>
      <c r="R3048" t="s">
        <v>4557</v>
      </c>
      <c r="S3048" t="s">
        <v>4135</v>
      </c>
      <c r="T3048" t="s">
        <v>4143</v>
      </c>
      <c r="U3048" t="s">
        <v>4560</v>
      </c>
      <c r="V3048" s="2">
        <v>462</v>
      </c>
      <c r="W3048" t="s">
        <v>3149</v>
      </c>
      <c r="X3048" s="2">
        <v>775</v>
      </c>
      <c r="Y3048">
        <v>20</v>
      </c>
      <c r="Z3048" t="s">
        <v>1376</v>
      </c>
      <c r="AA3048" s="3">
        <v>2.5999999046325599</v>
      </c>
      <c r="AB3048" t="s">
        <v>17593</v>
      </c>
      <c r="AC3048" t="s">
        <v>4562</v>
      </c>
      <c r="AD3048" t="s">
        <v>1212</v>
      </c>
      <c r="AE3048" t="s">
        <v>4655</v>
      </c>
      <c r="AF3048" t="s">
        <v>4563</v>
      </c>
      <c r="AG3048" t="s">
        <v>4564</v>
      </c>
      <c r="AH3048">
        <v>89511</v>
      </c>
      <c r="AI3048" t="s">
        <v>4655</v>
      </c>
      <c r="AJ3048" t="s">
        <v>4655</v>
      </c>
      <c r="AK3048" t="s">
        <v>17594</v>
      </c>
      <c r="AL3048" s="13" t="s">
        <v>3420</v>
      </c>
      <c r="AM3048" s="14">
        <v>2</v>
      </c>
      <c r="AN3048" s="15" t="s">
        <v>1584</v>
      </c>
    </row>
    <row r="3049" spans="1:40" x14ac:dyDescent="0.3">
      <c r="A3049" s="10" t="str">
        <f>HYPERLINK("http://www.washoecounty.gov/assessor/cama/?parid=043-070-25&amp;CardNumber=1","043-070-25")</f>
        <v>043-070-25</v>
      </c>
      <c r="B3049" t="s">
        <v>5502</v>
      </c>
      <c r="C3049" t="s">
        <v>17592</v>
      </c>
      <c r="D3049" s="1">
        <v>40469</v>
      </c>
      <c r="E3049" s="2">
        <v>550000</v>
      </c>
      <c r="F3049" t="s">
        <v>4567</v>
      </c>
      <c r="G3049" s="17" t="str">
        <f>HYPERLINK("https://www.washoecounty.gov/assessor/cama/?command=sales&amp;parid=04307025","3934117")</f>
        <v>3934117</v>
      </c>
      <c r="H3049" t="s">
        <v>4802</v>
      </c>
      <c r="I3049">
        <v>1954</v>
      </c>
      <c r="J3049">
        <v>1954</v>
      </c>
      <c r="K3049" t="s">
        <v>4554</v>
      </c>
      <c r="L3049" t="s">
        <v>4555</v>
      </c>
      <c r="M3049" s="2">
        <v>2750</v>
      </c>
      <c r="N3049" t="s">
        <v>3147</v>
      </c>
      <c r="O3049">
        <v>2</v>
      </c>
      <c r="P3049">
        <v>2</v>
      </c>
      <c r="Q3049">
        <v>0</v>
      </c>
      <c r="R3049" t="s">
        <v>4557</v>
      </c>
      <c r="S3049" t="s">
        <v>4135</v>
      </c>
      <c r="T3049" t="s">
        <v>4143</v>
      </c>
      <c r="U3049" t="s">
        <v>4560</v>
      </c>
      <c r="V3049" s="2">
        <v>462</v>
      </c>
      <c r="W3049" t="s">
        <v>3149</v>
      </c>
      <c r="X3049" s="2">
        <v>775</v>
      </c>
      <c r="Y3049">
        <v>20</v>
      </c>
      <c r="Z3049" t="s">
        <v>1376</v>
      </c>
      <c r="AA3049" s="3">
        <v>2.5999999046325599</v>
      </c>
      <c r="AB3049" t="s">
        <v>17593</v>
      </c>
      <c r="AC3049" t="s">
        <v>4562</v>
      </c>
      <c r="AD3049" t="s">
        <v>1212</v>
      </c>
      <c r="AE3049" t="s">
        <v>4655</v>
      </c>
      <c r="AF3049" t="s">
        <v>4563</v>
      </c>
      <c r="AG3049" t="s">
        <v>4564</v>
      </c>
      <c r="AH3049">
        <v>89511</v>
      </c>
      <c r="AI3049" t="s">
        <v>4655</v>
      </c>
      <c r="AJ3049" t="s">
        <v>4655</v>
      </c>
      <c r="AK3049" t="s">
        <v>17594</v>
      </c>
      <c r="AL3049" s="13" t="s">
        <v>3420</v>
      </c>
      <c r="AM3049">
        <v>2</v>
      </c>
      <c r="AN3049" s="15" t="s">
        <v>1584</v>
      </c>
    </row>
    <row r="3050" spans="1:40" x14ac:dyDescent="0.3">
      <c r="A3050" s="10" t="str">
        <f>HYPERLINK("http://www.washoecounty.gov/assessor/cama/?parid=043-070-38&amp;CardNumber=1","043-070-38")</f>
        <v>043-070-38</v>
      </c>
      <c r="B3050" t="s">
        <v>4655</v>
      </c>
      <c r="C3050" t="s">
        <v>17595</v>
      </c>
      <c r="D3050" s="1">
        <v>40465</v>
      </c>
      <c r="E3050" s="2">
        <v>183000</v>
      </c>
      <c r="F3050" t="s">
        <v>4567</v>
      </c>
      <c r="G3050" s="17" t="str">
        <f>HYPERLINK("https://www.washoecounty.gov/assessor/cama/?command=sales&amp;parid=04307038","3932961")</f>
        <v>3932961</v>
      </c>
      <c r="H3050" t="s">
        <v>17596</v>
      </c>
      <c r="I3050">
        <v>1969</v>
      </c>
      <c r="J3050">
        <v>1969</v>
      </c>
      <c r="K3050" t="s">
        <v>4554</v>
      </c>
      <c r="L3050" t="s">
        <v>4555</v>
      </c>
      <c r="M3050" s="2">
        <v>2514</v>
      </c>
      <c r="N3050" t="s">
        <v>3147</v>
      </c>
      <c r="O3050">
        <v>3</v>
      </c>
      <c r="P3050">
        <v>2</v>
      </c>
      <c r="Q3050">
        <v>1</v>
      </c>
      <c r="R3050" t="s">
        <v>5205</v>
      </c>
      <c r="S3050" t="s">
        <v>4682</v>
      </c>
      <c r="T3050" t="s">
        <v>4559</v>
      </c>
      <c r="U3050" t="s">
        <v>4560</v>
      </c>
      <c r="V3050" s="2">
        <v>1200</v>
      </c>
      <c r="W3050" t="s">
        <v>4655</v>
      </c>
      <c r="X3050" s="2">
        <v>0</v>
      </c>
      <c r="Y3050">
        <v>20</v>
      </c>
      <c r="Z3050" t="s">
        <v>3884</v>
      </c>
      <c r="AA3050" s="3">
        <v>1.01000916957855</v>
      </c>
      <c r="AB3050" t="s">
        <v>17597</v>
      </c>
      <c r="AC3050" t="s">
        <v>4575</v>
      </c>
      <c r="AD3050" t="s">
        <v>17595</v>
      </c>
      <c r="AE3050" t="s">
        <v>4655</v>
      </c>
      <c r="AF3050" t="s">
        <v>4563</v>
      </c>
      <c r="AG3050" t="s">
        <v>4564</v>
      </c>
      <c r="AH3050">
        <v>89511</v>
      </c>
      <c r="AI3050" t="s">
        <v>17597</v>
      </c>
      <c r="AJ3050" t="s">
        <v>17598</v>
      </c>
      <c r="AK3050" t="s">
        <v>17599</v>
      </c>
      <c r="AL3050" s="13" t="s">
        <v>3420</v>
      </c>
      <c r="AM3050" s="14">
        <v>1</v>
      </c>
      <c r="AN3050" s="15" t="s">
        <v>1584</v>
      </c>
    </row>
    <row r="3051" spans="1:40" x14ac:dyDescent="0.3">
      <c r="A3051" s="10" t="str">
        <f>HYPERLINK("http://www.washoecounty.gov/assessor/cama/?parid=043-070-38&amp;CardNumber=1","043-070-38")</f>
        <v>043-070-38</v>
      </c>
      <c r="B3051" t="s">
        <v>4655</v>
      </c>
      <c r="C3051" t="s">
        <v>17595</v>
      </c>
      <c r="D3051" s="1">
        <v>40504</v>
      </c>
      <c r="E3051" s="2">
        <v>280000</v>
      </c>
      <c r="F3051" t="s">
        <v>4567</v>
      </c>
      <c r="G3051" s="17" t="str">
        <f>HYPERLINK("https://www.washoecounty.gov/assessor/cama/?command=sales&amp;parid=04307038","3945508")</f>
        <v>3945508</v>
      </c>
      <c r="H3051" t="s">
        <v>17596</v>
      </c>
      <c r="I3051">
        <v>1969</v>
      </c>
      <c r="J3051">
        <v>1969</v>
      </c>
      <c r="K3051" t="s">
        <v>4554</v>
      </c>
      <c r="L3051" t="s">
        <v>4555</v>
      </c>
      <c r="M3051" s="2">
        <v>2514</v>
      </c>
      <c r="N3051" t="s">
        <v>3147</v>
      </c>
      <c r="O3051">
        <v>3</v>
      </c>
      <c r="P3051">
        <v>2</v>
      </c>
      <c r="Q3051">
        <v>1</v>
      </c>
      <c r="R3051" t="s">
        <v>5205</v>
      </c>
      <c r="S3051" t="s">
        <v>4682</v>
      </c>
      <c r="T3051" t="s">
        <v>4559</v>
      </c>
      <c r="U3051" t="s">
        <v>4560</v>
      </c>
      <c r="V3051" s="2">
        <v>1200</v>
      </c>
      <c r="W3051" t="s">
        <v>4655</v>
      </c>
      <c r="X3051" s="2">
        <v>0</v>
      </c>
      <c r="Y3051">
        <v>20</v>
      </c>
      <c r="Z3051" t="s">
        <v>3884</v>
      </c>
      <c r="AA3051" s="3">
        <v>1.01000916957855</v>
      </c>
      <c r="AB3051" t="s">
        <v>17597</v>
      </c>
      <c r="AC3051" t="s">
        <v>4575</v>
      </c>
      <c r="AD3051" t="s">
        <v>17595</v>
      </c>
      <c r="AE3051" t="s">
        <v>4655</v>
      </c>
      <c r="AF3051" t="s">
        <v>4563</v>
      </c>
      <c r="AG3051" t="s">
        <v>4564</v>
      </c>
      <c r="AH3051">
        <v>89511</v>
      </c>
      <c r="AI3051" t="s">
        <v>17597</v>
      </c>
      <c r="AJ3051" t="s">
        <v>17598</v>
      </c>
      <c r="AK3051" t="s">
        <v>17599</v>
      </c>
      <c r="AL3051" s="13" t="s">
        <v>3420</v>
      </c>
      <c r="AM3051">
        <v>1</v>
      </c>
      <c r="AN3051" s="15" t="s">
        <v>1584</v>
      </c>
    </row>
    <row r="3052" spans="1:40" x14ac:dyDescent="0.3">
      <c r="A3052" s="10" t="str">
        <f>HYPERLINK("http://www.washoecounty.gov/assessor/cama/?parid=043-101-02&amp;CardNumber=1","043-101-02")</f>
        <v>043-101-02</v>
      </c>
      <c r="B3052" t="s">
        <v>4655</v>
      </c>
      <c r="C3052" t="s">
        <v>17600</v>
      </c>
      <c r="D3052" s="1">
        <v>40542</v>
      </c>
      <c r="E3052" s="2">
        <v>78000</v>
      </c>
      <c r="F3052" t="s">
        <v>4553</v>
      </c>
      <c r="G3052" s="17" t="str">
        <f>HYPERLINK("https://www.washoecounty.gov/assessor/cama/?command=sales&amp;parid=04310102","3959326")</f>
        <v>3959326</v>
      </c>
      <c r="H3052" t="s">
        <v>2145</v>
      </c>
      <c r="I3052">
        <v>1984</v>
      </c>
      <c r="J3052">
        <v>1984</v>
      </c>
      <c r="K3052" t="s">
        <v>3144</v>
      </c>
      <c r="L3052" t="s">
        <v>3974</v>
      </c>
      <c r="M3052" s="2">
        <v>1149</v>
      </c>
      <c r="N3052" t="s">
        <v>3147</v>
      </c>
      <c r="O3052">
        <v>3</v>
      </c>
      <c r="P3052">
        <v>2</v>
      </c>
      <c r="Q3052">
        <v>0</v>
      </c>
      <c r="R3052" t="s">
        <v>2015</v>
      </c>
      <c r="S3052" t="s">
        <v>4898</v>
      </c>
      <c r="T3052" t="s">
        <v>2704</v>
      </c>
      <c r="U3052" t="s">
        <v>162</v>
      </c>
      <c r="V3052" s="2">
        <v>440</v>
      </c>
      <c r="W3052" t="s">
        <v>4655</v>
      </c>
      <c r="X3052" s="2">
        <v>0</v>
      </c>
      <c r="Y3052">
        <v>21</v>
      </c>
      <c r="Z3052" t="s">
        <v>4144</v>
      </c>
      <c r="AA3052" s="3">
        <v>1.00000004749745E-3</v>
      </c>
      <c r="AB3052" t="s">
        <v>17601</v>
      </c>
      <c r="AC3052" t="s">
        <v>4562</v>
      </c>
      <c r="AD3052" t="s">
        <v>17600</v>
      </c>
      <c r="AE3052" t="s">
        <v>4655</v>
      </c>
      <c r="AF3052" t="s">
        <v>4563</v>
      </c>
      <c r="AG3052" t="s">
        <v>4564</v>
      </c>
      <c r="AH3052">
        <v>89511</v>
      </c>
      <c r="AI3052" t="s">
        <v>17601</v>
      </c>
      <c r="AJ3052" t="s">
        <v>4655</v>
      </c>
      <c r="AK3052" t="s">
        <v>17602</v>
      </c>
      <c r="AL3052" s="13" t="s">
        <v>2257</v>
      </c>
      <c r="AM3052">
        <v>1</v>
      </c>
      <c r="AN3052" s="15" t="s">
        <v>2146</v>
      </c>
    </row>
    <row r="3053" spans="1:40" x14ac:dyDescent="0.3">
      <c r="A3053" s="10" t="str">
        <f>HYPERLINK("http://www.washoecounty.gov/assessor/cama/?parid=043-101-10&amp;CardNumber=1","043-101-10")</f>
        <v>043-101-10</v>
      </c>
      <c r="B3053" t="s">
        <v>4655</v>
      </c>
      <c r="C3053" t="s">
        <v>17603</v>
      </c>
      <c r="D3053" s="1">
        <v>40374</v>
      </c>
      <c r="E3053" s="2">
        <v>80000</v>
      </c>
      <c r="F3053" t="s">
        <v>4553</v>
      </c>
      <c r="G3053" s="17" t="str">
        <f>HYPERLINK("https://www.washoecounty.gov/assessor/cama/?command=sales&amp;parid=04310110","3901797")</f>
        <v>3901797</v>
      </c>
      <c r="H3053" t="s">
        <v>2145</v>
      </c>
      <c r="I3053">
        <v>1984</v>
      </c>
      <c r="J3053">
        <v>1984</v>
      </c>
      <c r="K3053" t="s">
        <v>4897</v>
      </c>
      <c r="L3053" t="s">
        <v>3974</v>
      </c>
      <c r="M3053" s="2">
        <v>1149</v>
      </c>
      <c r="N3053" t="s">
        <v>3147</v>
      </c>
      <c r="O3053">
        <v>3</v>
      </c>
      <c r="P3053">
        <v>2</v>
      </c>
      <c r="Q3053">
        <v>0</v>
      </c>
      <c r="R3053" t="s">
        <v>2015</v>
      </c>
      <c r="S3053" t="s">
        <v>4898</v>
      </c>
      <c r="T3053" t="s">
        <v>2704</v>
      </c>
      <c r="U3053" t="s">
        <v>4560</v>
      </c>
      <c r="V3053" s="2">
        <v>220</v>
      </c>
      <c r="W3053" t="s">
        <v>4655</v>
      </c>
      <c r="X3053" s="2">
        <v>0</v>
      </c>
      <c r="Y3053">
        <v>21</v>
      </c>
      <c r="Z3053" t="s">
        <v>4144</v>
      </c>
      <c r="AA3053" s="3">
        <v>1.00000004749745E-3</v>
      </c>
      <c r="AB3053" t="s">
        <v>17604</v>
      </c>
      <c r="AC3053" t="s">
        <v>4562</v>
      </c>
      <c r="AD3053" t="s">
        <v>17603</v>
      </c>
      <c r="AE3053" t="s">
        <v>4655</v>
      </c>
      <c r="AF3053" t="s">
        <v>4563</v>
      </c>
      <c r="AG3053" t="s">
        <v>4564</v>
      </c>
      <c r="AH3053">
        <v>89511</v>
      </c>
      <c r="AI3053" t="s">
        <v>4045</v>
      </c>
      <c r="AJ3053" t="s">
        <v>4655</v>
      </c>
      <c r="AK3053" t="s">
        <v>17605</v>
      </c>
      <c r="AL3053" s="13" t="s">
        <v>2257</v>
      </c>
      <c r="AM3053">
        <v>1</v>
      </c>
      <c r="AN3053" s="15" t="s">
        <v>2146</v>
      </c>
    </row>
    <row r="3054" spans="1:40" x14ac:dyDescent="0.3">
      <c r="A3054" s="10" t="str">
        <f>HYPERLINK("http://www.washoecounty.gov/assessor/cama/?parid=043-102-03&amp;CardNumber=1","043-102-03")</f>
        <v>043-102-03</v>
      </c>
      <c r="B3054" t="s">
        <v>4655</v>
      </c>
      <c r="C3054" t="s">
        <v>17606</v>
      </c>
      <c r="D3054" s="1">
        <v>40462</v>
      </c>
      <c r="E3054" s="2">
        <v>95000</v>
      </c>
      <c r="F3054" t="s">
        <v>4567</v>
      </c>
      <c r="G3054" s="17" t="str">
        <f>HYPERLINK("https://www.washoecounty.gov/assessor/cama/?command=sales&amp;parid=04310203","3931694")</f>
        <v>3931694</v>
      </c>
      <c r="H3054" t="s">
        <v>2145</v>
      </c>
      <c r="I3054">
        <v>1984</v>
      </c>
      <c r="J3054">
        <v>1984</v>
      </c>
      <c r="K3054" t="s">
        <v>3144</v>
      </c>
      <c r="L3054" t="s">
        <v>3974</v>
      </c>
      <c r="M3054" s="2">
        <v>1149</v>
      </c>
      <c r="N3054" t="s">
        <v>3147</v>
      </c>
      <c r="O3054">
        <v>3</v>
      </c>
      <c r="P3054">
        <v>2</v>
      </c>
      <c r="Q3054">
        <v>0</v>
      </c>
      <c r="R3054" t="s">
        <v>2015</v>
      </c>
      <c r="S3054" t="s">
        <v>4898</v>
      </c>
      <c r="T3054" t="s">
        <v>2704</v>
      </c>
      <c r="U3054" t="s">
        <v>4560</v>
      </c>
      <c r="V3054" s="2">
        <v>220</v>
      </c>
      <c r="W3054" t="s">
        <v>4655</v>
      </c>
      <c r="X3054" s="2">
        <v>0</v>
      </c>
      <c r="Y3054">
        <v>21</v>
      </c>
      <c r="Z3054" t="s">
        <v>4144</v>
      </c>
      <c r="AA3054" s="3">
        <v>1.00000004749745E-3</v>
      </c>
      <c r="AB3054" t="s">
        <v>17607</v>
      </c>
      <c r="AC3054" t="s">
        <v>4575</v>
      </c>
      <c r="AD3054" t="s">
        <v>17608</v>
      </c>
      <c r="AE3054" t="s">
        <v>17609</v>
      </c>
      <c r="AF3054" t="s">
        <v>4563</v>
      </c>
      <c r="AG3054" t="s">
        <v>4564</v>
      </c>
      <c r="AH3054">
        <v>89509</v>
      </c>
      <c r="AI3054" t="s">
        <v>17610</v>
      </c>
      <c r="AJ3054" t="s">
        <v>4655</v>
      </c>
      <c r="AK3054" t="s">
        <v>17611</v>
      </c>
      <c r="AL3054" s="13" t="s">
        <v>2257</v>
      </c>
      <c r="AM3054">
        <v>1</v>
      </c>
      <c r="AN3054" s="15" t="s">
        <v>2146</v>
      </c>
    </row>
    <row r="3055" spans="1:40" x14ac:dyDescent="0.3">
      <c r="A3055" s="10" t="str">
        <f>HYPERLINK("http://www.washoecounty.gov/assessor/cama/?parid=043-133-11&amp;CardNumber=1","043-133-11")</f>
        <v>043-133-11</v>
      </c>
      <c r="B3055" t="s">
        <v>4655</v>
      </c>
      <c r="C3055" t="s">
        <v>17612</v>
      </c>
      <c r="D3055" s="1">
        <v>40269</v>
      </c>
      <c r="E3055" s="2">
        <v>207000</v>
      </c>
      <c r="F3055" t="s">
        <v>4567</v>
      </c>
      <c r="G3055" s="17" t="str">
        <f>HYPERLINK("https://www.washoecounty.gov/assessor/cama/?command=sales&amp;parid=04313311","3866881")</f>
        <v>3866881</v>
      </c>
      <c r="H3055" t="s">
        <v>17613</v>
      </c>
      <c r="I3055">
        <v>1985</v>
      </c>
      <c r="J3055">
        <v>1985</v>
      </c>
      <c r="K3055" t="s">
        <v>4554</v>
      </c>
      <c r="L3055" t="s">
        <v>4555</v>
      </c>
      <c r="M3055" s="2">
        <v>2135</v>
      </c>
      <c r="N3055" t="s">
        <v>3147</v>
      </c>
      <c r="O3055">
        <v>4</v>
      </c>
      <c r="P3055">
        <v>2</v>
      </c>
      <c r="Q3055">
        <v>0</v>
      </c>
      <c r="R3055" t="s">
        <v>5281</v>
      </c>
      <c r="S3055" t="s">
        <v>4135</v>
      </c>
      <c r="T3055" t="s">
        <v>2704</v>
      </c>
      <c r="U3055" t="s">
        <v>4560</v>
      </c>
      <c r="V3055" s="2">
        <v>630</v>
      </c>
      <c r="W3055" t="s">
        <v>4655</v>
      </c>
      <c r="X3055" s="2">
        <v>0</v>
      </c>
      <c r="Y3055">
        <v>20</v>
      </c>
      <c r="Z3055" t="s">
        <v>5282</v>
      </c>
      <c r="AA3055" s="3">
        <v>0.45300734043121299</v>
      </c>
      <c r="AB3055" t="s">
        <v>17614</v>
      </c>
      <c r="AC3055" t="s">
        <v>4575</v>
      </c>
      <c r="AD3055" t="s">
        <v>17615</v>
      </c>
      <c r="AE3055" t="s">
        <v>4655</v>
      </c>
      <c r="AF3055" t="s">
        <v>4563</v>
      </c>
      <c r="AG3055" t="s">
        <v>4564</v>
      </c>
      <c r="AH3055">
        <v>89511</v>
      </c>
      <c r="AI3055" t="s">
        <v>17616</v>
      </c>
      <c r="AJ3055" t="s">
        <v>4655</v>
      </c>
      <c r="AK3055" t="s">
        <v>17617</v>
      </c>
      <c r="AL3055" s="13" t="s">
        <v>2255</v>
      </c>
      <c r="AM3055" s="14">
        <v>1</v>
      </c>
      <c r="AN3055" s="15" t="s">
        <v>4255</v>
      </c>
    </row>
    <row r="3056" spans="1:40" x14ac:dyDescent="0.3">
      <c r="A3056" s="10" t="str">
        <f>HYPERLINK("http://www.washoecounty.gov/assessor/cama/?parid=043-133-20&amp;CardNumber=1","043-133-20")</f>
        <v>043-133-20</v>
      </c>
      <c r="B3056" t="s">
        <v>4655</v>
      </c>
      <c r="C3056" t="s">
        <v>17618</v>
      </c>
      <c r="D3056" s="1">
        <v>40351</v>
      </c>
      <c r="E3056" s="2">
        <v>360000</v>
      </c>
      <c r="F3056" t="s">
        <v>4567</v>
      </c>
      <c r="G3056" s="17" t="str">
        <f>HYPERLINK("https://www.washoecounty.gov/assessor/cama/?command=sales&amp;parid=04313320","3894323")</f>
        <v>3894323</v>
      </c>
      <c r="H3056" t="s">
        <v>5141</v>
      </c>
      <c r="I3056">
        <v>1988</v>
      </c>
      <c r="J3056">
        <v>1988</v>
      </c>
      <c r="K3056" t="s">
        <v>4554</v>
      </c>
      <c r="L3056" t="s">
        <v>4555</v>
      </c>
      <c r="M3056" s="2">
        <v>2656</v>
      </c>
      <c r="N3056" t="s">
        <v>3147</v>
      </c>
      <c r="O3056">
        <v>5</v>
      </c>
      <c r="P3056">
        <v>3</v>
      </c>
      <c r="Q3056">
        <v>0</v>
      </c>
      <c r="R3056" t="s">
        <v>5281</v>
      </c>
      <c r="S3056" t="s">
        <v>4135</v>
      </c>
      <c r="T3056" t="s">
        <v>2704</v>
      </c>
      <c r="U3056" t="s">
        <v>4560</v>
      </c>
      <c r="V3056" s="2">
        <v>630</v>
      </c>
      <c r="W3056" t="s">
        <v>4655</v>
      </c>
      <c r="X3056" s="2">
        <v>0</v>
      </c>
      <c r="Y3056">
        <v>20</v>
      </c>
      <c r="Z3056" t="s">
        <v>5282</v>
      </c>
      <c r="AA3056" s="3">
        <v>0.43700641393661499</v>
      </c>
      <c r="AB3056" t="s">
        <v>12485</v>
      </c>
      <c r="AC3056" t="s">
        <v>4575</v>
      </c>
      <c r="AD3056" t="s">
        <v>17619</v>
      </c>
      <c r="AE3056" t="s">
        <v>4655</v>
      </c>
      <c r="AF3056" t="s">
        <v>4563</v>
      </c>
      <c r="AG3056" t="s">
        <v>4564</v>
      </c>
      <c r="AH3056">
        <v>89511</v>
      </c>
      <c r="AI3056" t="s">
        <v>17620</v>
      </c>
      <c r="AJ3056" t="s">
        <v>4655</v>
      </c>
      <c r="AK3056" t="s">
        <v>17621</v>
      </c>
      <c r="AL3056" s="13" t="s">
        <v>2255</v>
      </c>
      <c r="AM3056">
        <v>1</v>
      </c>
      <c r="AN3056" s="15" t="s">
        <v>4255</v>
      </c>
    </row>
    <row r="3057" spans="1:40" x14ac:dyDescent="0.3">
      <c r="A3057" s="10" t="str">
        <f>HYPERLINK("http://www.washoecounty.gov/assessor/cama/?parid=043-133-23&amp;CardNumber=1","043-133-23")</f>
        <v>043-133-23</v>
      </c>
      <c r="B3057" t="s">
        <v>4655</v>
      </c>
      <c r="C3057" t="s">
        <v>17622</v>
      </c>
      <c r="D3057" s="1">
        <v>40302</v>
      </c>
      <c r="E3057" s="2">
        <v>358000</v>
      </c>
      <c r="F3057" t="s">
        <v>4567</v>
      </c>
      <c r="G3057" s="17" t="str">
        <f>HYPERLINK("https://www.washoecounty.gov/assessor/cama/?command=sales&amp;parid=04313323","3877649")</f>
        <v>3877649</v>
      </c>
      <c r="H3057" t="s">
        <v>5141</v>
      </c>
      <c r="I3057">
        <v>1988</v>
      </c>
      <c r="J3057">
        <v>1988</v>
      </c>
      <c r="K3057" t="s">
        <v>4554</v>
      </c>
      <c r="L3057" t="s">
        <v>4555</v>
      </c>
      <c r="M3057" s="2">
        <v>2338</v>
      </c>
      <c r="N3057" t="s">
        <v>3147</v>
      </c>
      <c r="O3057">
        <v>4</v>
      </c>
      <c r="P3057">
        <v>2</v>
      </c>
      <c r="Q3057">
        <v>0</v>
      </c>
      <c r="R3057" t="s">
        <v>5281</v>
      </c>
      <c r="S3057" t="s">
        <v>4135</v>
      </c>
      <c r="T3057" t="s">
        <v>2704</v>
      </c>
      <c r="U3057" t="s">
        <v>4560</v>
      </c>
      <c r="V3057" s="2">
        <v>630</v>
      </c>
      <c r="W3057" t="s">
        <v>4655</v>
      </c>
      <c r="X3057" s="2">
        <v>0</v>
      </c>
      <c r="Y3057">
        <v>20</v>
      </c>
      <c r="Z3057" t="s">
        <v>5282</v>
      </c>
      <c r="AA3057" s="3">
        <v>0.46600091457366899</v>
      </c>
      <c r="AB3057" t="s">
        <v>17623</v>
      </c>
      <c r="AC3057" t="s">
        <v>4575</v>
      </c>
      <c r="AD3057" t="s">
        <v>17624</v>
      </c>
      <c r="AE3057" t="s">
        <v>17622</v>
      </c>
      <c r="AF3057" t="s">
        <v>4563</v>
      </c>
      <c r="AG3057" t="s">
        <v>4564</v>
      </c>
      <c r="AH3057">
        <v>89511</v>
      </c>
      <c r="AI3057" t="s">
        <v>17625</v>
      </c>
      <c r="AJ3057" t="s">
        <v>4655</v>
      </c>
      <c r="AK3057" t="s">
        <v>17626</v>
      </c>
      <c r="AL3057" s="13" t="s">
        <v>2255</v>
      </c>
      <c r="AM3057" s="14">
        <v>1</v>
      </c>
      <c r="AN3057" s="15" t="s">
        <v>4255</v>
      </c>
    </row>
    <row r="3058" spans="1:40" x14ac:dyDescent="0.3">
      <c r="A3058" s="10" t="str">
        <f>HYPERLINK("http://www.washoecounty.gov/assessor/cama/?parid=043-190-03&amp;CardNumber=1","043-190-03")</f>
        <v>043-190-03</v>
      </c>
      <c r="B3058" t="s">
        <v>4655</v>
      </c>
      <c r="C3058" t="s">
        <v>17627</v>
      </c>
      <c r="D3058" s="1">
        <v>40347</v>
      </c>
      <c r="E3058" s="2">
        <v>180000</v>
      </c>
      <c r="F3058" t="s">
        <v>4567</v>
      </c>
      <c r="G3058" s="17" t="str">
        <f>HYPERLINK("https://www.washoecounty.gov/assessor/cama/?command=sales&amp;parid=04319003","3893317")</f>
        <v>3893317</v>
      </c>
      <c r="H3058" t="s">
        <v>17628</v>
      </c>
      <c r="I3058">
        <v>1985</v>
      </c>
      <c r="J3058">
        <v>1985</v>
      </c>
      <c r="K3058" t="s">
        <v>4554</v>
      </c>
      <c r="L3058" t="s">
        <v>3886</v>
      </c>
      <c r="M3058" s="2">
        <v>2422</v>
      </c>
      <c r="N3058" t="s">
        <v>5280</v>
      </c>
      <c r="O3058">
        <v>4</v>
      </c>
      <c r="P3058">
        <v>3</v>
      </c>
      <c r="Q3058">
        <v>0</v>
      </c>
      <c r="R3058" t="s">
        <v>5281</v>
      </c>
      <c r="S3058" t="s">
        <v>4558</v>
      </c>
      <c r="T3058" t="s">
        <v>2704</v>
      </c>
      <c r="U3058" t="s">
        <v>4560</v>
      </c>
      <c r="V3058" s="2">
        <v>450</v>
      </c>
      <c r="W3058" t="s">
        <v>4655</v>
      </c>
      <c r="X3058" s="2">
        <v>0</v>
      </c>
      <c r="Y3058">
        <v>21</v>
      </c>
      <c r="Z3058" t="s">
        <v>5282</v>
      </c>
      <c r="AA3058" s="3">
        <v>1.00000004749745E-3</v>
      </c>
      <c r="AB3058" t="s">
        <v>17629</v>
      </c>
      <c r="AC3058" t="s">
        <v>4562</v>
      </c>
      <c r="AD3058" t="s">
        <v>17630</v>
      </c>
      <c r="AE3058" t="s">
        <v>4655</v>
      </c>
      <c r="AF3058" t="s">
        <v>1189</v>
      </c>
      <c r="AG3058" t="s">
        <v>4564</v>
      </c>
      <c r="AH3058">
        <v>89101</v>
      </c>
      <c r="AI3058" t="s">
        <v>17631</v>
      </c>
      <c r="AJ3058" t="s">
        <v>4655</v>
      </c>
      <c r="AK3058" t="s">
        <v>17632</v>
      </c>
      <c r="AL3058" s="13" t="s">
        <v>2257</v>
      </c>
      <c r="AM3058">
        <v>1</v>
      </c>
      <c r="AN3058" s="15" t="s">
        <v>5506</v>
      </c>
    </row>
    <row r="3059" spans="1:40" x14ac:dyDescent="0.3">
      <c r="A3059" s="10" t="str">
        <f>HYPERLINK("http://www.washoecounty.gov/assessor/cama/?parid=043-190-08&amp;CardNumber=1","043-190-08")</f>
        <v>043-190-08</v>
      </c>
      <c r="B3059" t="s">
        <v>4655</v>
      </c>
      <c r="C3059" t="s">
        <v>17633</v>
      </c>
      <c r="D3059" s="1">
        <v>40380</v>
      </c>
      <c r="E3059" s="2">
        <v>219500</v>
      </c>
      <c r="F3059" t="s">
        <v>4553</v>
      </c>
      <c r="G3059" s="17" t="str">
        <f>HYPERLINK("https://www.washoecounty.gov/assessor/cama/?command=sales&amp;parid=04319008","3903628")</f>
        <v>3903628</v>
      </c>
      <c r="H3059" t="s">
        <v>3937</v>
      </c>
      <c r="I3059">
        <v>1985</v>
      </c>
      <c r="J3059">
        <v>1985</v>
      </c>
      <c r="K3059" t="s">
        <v>4554</v>
      </c>
      <c r="L3059" t="s">
        <v>3886</v>
      </c>
      <c r="M3059" s="2">
        <v>2260</v>
      </c>
      <c r="N3059" t="s">
        <v>5280</v>
      </c>
      <c r="O3059">
        <v>4</v>
      </c>
      <c r="P3059">
        <v>3</v>
      </c>
      <c r="Q3059">
        <v>0</v>
      </c>
      <c r="R3059" t="s">
        <v>5281</v>
      </c>
      <c r="S3059" t="s">
        <v>4558</v>
      </c>
      <c r="T3059" t="s">
        <v>2704</v>
      </c>
      <c r="U3059" t="s">
        <v>4560</v>
      </c>
      <c r="V3059" s="2">
        <v>462</v>
      </c>
      <c r="W3059" t="s">
        <v>4655</v>
      </c>
      <c r="X3059" s="2">
        <v>0</v>
      </c>
      <c r="Y3059">
        <v>21</v>
      </c>
      <c r="Z3059" t="s">
        <v>5282</v>
      </c>
      <c r="AA3059" s="3">
        <v>1.00000004749745E-3</v>
      </c>
      <c r="AB3059" t="s">
        <v>17634</v>
      </c>
      <c r="AC3059" t="s">
        <v>4575</v>
      </c>
      <c r="AD3059" t="s">
        <v>17635</v>
      </c>
      <c r="AE3059" t="s">
        <v>17633</v>
      </c>
      <c r="AF3059" t="s">
        <v>4563</v>
      </c>
      <c r="AG3059" t="s">
        <v>4564</v>
      </c>
      <c r="AH3059">
        <v>89511</v>
      </c>
      <c r="AI3059" t="s">
        <v>17636</v>
      </c>
      <c r="AJ3059" t="s">
        <v>4655</v>
      </c>
      <c r="AK3059" t="s">
        <v>17637</v>
      </c>
      <c r="AL3059" s="13" t="s">
        <v>2257</v>
      </c>
      <c r="AM3059">
        <v>1</v>
      </c>
      <c r="AN3059" s="15" t="s">
        <v>5506</v>
      </c>
    </row>
    <row r="3060" spans="1:40" x14ac:dyDescent="0.3">
      <c r="A3060" s="10" t="str">
        <f>HYPERLINK("http://www.washoecounty.gov/assessor/cama/?parid=043-190-22&amp;CardNumber=1","043-190-22")</f>
        <v>043-190-22</v>
      </c>
      <c r="B3060" t="s">
        <v>4655</v>
      </c>
      <c r="C3060" t="s">
        <v>17638</v>
      </c>
      <c r="D3060" s="1">
        <v>40501</v>
      </c>
      <c r="E3060" s="2">
        <v>172500</v>
      </c>
      <c r="F3060" t="s">
        <v>4567</v>
      </c>
      <c r="G3060" s="17" t="str">
        <f>HYPERLINK("https://www.washoecounty.gov/assessor/cama/?command=sales&amp;parid=04319022","3945222")</f>
        <v>3945222</v>
      </c>
      <c r="H3060" t="s">
        <v>3937</v>
      </c>
      <c r="I3060">
        <v>1985</v>
      </c>
      <c r="J3060">
        <v>1985</v>
      </c>
      <c r="K3060" t="s">
        <v>4554</v>
      </c>
      <c r="L3060" t="s">
        <v>3886</v>
      </c>
      <c r="M3060" s="2">
        <v>2260</v>
      </c>
      <c r="N3060" t="s">
        <v>5280</v>
      </c>
      <c r="O3060">
        <v>4</v>
      </c>
      <c r="P3060">
        <v>3</v>
      </c>
      <c r="Q3060">
        <v>0</v>
      </c>
      <c r="R3060" t="s">
        <v>5281</v>
      </c>
      <c r="S3060" t="s">
        <v>4558</v>
      </c>
      <c r="T3060" t="s">
        <v>2704</v>
      </c>
      <c r="U3060" t="s">
        <v>4560</v>
      </c>
      <c r="V3060" s="2">
        <v>462</v>
      </c>
      <c r="W3060" t="s">
        <v>4655</v>
      </c>
      <c r="X3060" s="2">
        <v>0</v>
      </c>
      <c r="Y3060">
        <v>21</v>
      </c>
      <c r="Z3060" t="s">
        <v>5282</v>
      </c>
      <c r="AA3060" s="3">
        <v>1.00000004749745E-3</v>
      </c>
      <c r="AB3060" t="s">
        <v>17639</v>
      </c>
      <c r="AC3060" t="s">
        <v>4575</v>
      </c>
      <c r="AD3060" t="s">
        <v>17640</v>
      </c>
      <c r="AE3060" t="s">
        <v>4655</v>
      </c>
      <c r="AF3060" t="s">
        <v>4563</v>
      </c>
      <c r="AG3060" t="s">
        <v>4564</v>
      </c>
      <c r="AH3060">
        <v>89511</v>
      </c>
      <c r="AI3060" t="s">
        <v>17641</v>
      </c>
      <c r="AJ3060" t="s">
        <v>4655</v>
      </c>
      <c r="AK3060" t="s">
        <v>17642</v>
      </c>
      <c r="AL3060" s="13" t="s">
        <v>2257</v>
      </c>
      <c r="AM3060">
        <v>1</v>
      </c>
      <c r="AN3060" s="15" t="s">
        <v>5506</v>
      </c>
    </row>
    <row r="3061" spans="1:40" x14ac:dyDescent="0.3">
      <c r="A3061" s="10" t="str">
        <f>HYPERLINK("http://www.washoecounty.gov/assessor/cama/?parid=043-190-33&amp;CardNumber=1","043-190-33")</f>
        <v>043-190-33</v>
      </c>
      <c r="B3061" t="s">
        <v>4655</v>
      </c>
      <c r="C3061" t="s">
        <v>4655</v>
      </c>
      <c r="D3061" s="1">
        <v>40214</v>
      </c>
      <c r="E3061" s="2">
        <v>170000</v>
      </c>
      <c r="F3061" t="s">
        <v>4553</v>
      </c>
      <c r="G3061" s="17" t="str">
        <f>HYPERLINK("https://www.washoecounty.gov/assessor/cama/?command=sales&amp;parid=04319033","NOT AVAILABLE ")</f>
        <v xml:space="preserve">NOT AVAILABLE </v>
      </c>
      <c r="H3061" t="s">
        <v>4655</v>
      </c>
      <c r="I3061">
        <v>1985</v>
      </c>
      <c r="J3061">
        <v>1985</v>
      </c>
      <c r="K3061" t="s">
        <v>4554</v>
      </c>
      <c r="L3061" t="s">
        <v>3886</v>
      </c>
      <c r="M3061" s="2">
        <v>2090</v>
      </c>
      <c r="N3061" t="s">
        <v>5280</v>
      </c>
      <c r="O3061">
        <v>4</v>
      </c>
      <c r="P3061">
        <v>2</v>
      </c>
      <c r="Q3061">
        <v>0</v>
      </c>
      <c r="R3061" t="s">
        <v>5281</v>
      </c>
      <c r="S3061" t="s">
        <v>4558</v>
      </c>
      <c r="T3061" t="s">
        <v>2704</v>
      </c>
      <c r="U3061" t="s">
        <v>4560</v>
      </c>
      <c r="V3061" s="2">
        <v>441</v>
      </c>
      <c r="W3061" t="s">
        <v>4655</v>
      </c>
      <c r="X3061" s="2">
        <v>0</v>
      </c>
      <c r="Y3061">
        <v>21</v>
      </c>
      <c r="Z3061" t="s">
        <v>5282</v>
      </c>
      <c r="AA3061" s="3">
        <v>1.00000004749745E-3</v>
      </c>
      <c r="AB3061" t="s">
        <v>282</v>
      </c>
      <c r="AC3061" t="s">
        <v>4562</v>
      </c>
      <c r="AD3061" t="s">
        <v>283</v>
      </c>
      <c r="AE3061" t="s">
        <v>4655</v>
      </c>
      <c r="AF3061" t="s">
        <v>283</v>
      </c>
      <c r="AG3061" t="s">
        <v>4564</v>
      </c>
      <c r="AH3061" t="s">
        <v>8417</v>
      </c>
      <c r="AI3061" t="s">
        <v>4655</v>
      </c>
      <c r="AJ3061" t="s">
        <v>4655</v>
      </c>
      <c r="AK3061" t="s">
        <v>4655</v>
      </c>
      <c r="AL3061" s="13" t="s">
        <v>2257</v>
      </c>
      <c r="AM3061">
        <v>1</v>
      </c>
      <c r="AN3061" s="15" t="s">
        <v>5506</v>
      </c>
    </row>
    <row r="3062" spans="1:40" x14ac:dyDescent="0.3">
      <c r="A3062" s="10" t="str">
        <f>HYPERLINK("http://www.washoecounty.gov/assessor/cama/?parid=043-190-36&amp;CardNumber=1","043-190-36")</f>
        <v>043-190-36</v>
      </c>
      <c r="B3062" t="s">
        <v>4655</v>
      </c>
      <c r="C3062" t="s">
        <v>17643</v>
      </c>
      <c r="D3062" s="1">
        <v>40416</v>
      </c>
      <c r="E3062" s="2">
        <v>179900</v>
      </c>
      <c r="F3062" t="s">
        <v>4567</v>
      </c>
      <c r="G3062" s="17" t="str">
        <f>HYPERLINK("https://www.washoecounty.gov/assessor/cama/?command=sales&amp;parid=04319036","3915854")</f>
        <v>3915854</v>
      </c>
      <c r="H3062" t="s">
        <v>3937</v>
      </c>
      <c r="I3062">
        <v>1985</v>
      </c>
      <c r="J3062">
        <v>1985</v>
      </c>
      <c r="K3062" t="s">
        <v>4554</v>
      </c>
      <c r="L3062" t="s">
        <v>3886</v>
      </c>
      <c r="M3062" s="2">
        <v>2260</v>
      </c>
      <c r="N3062" t="s">
        <v>5280</v>
      </c>
      <c r="O3062">
        <v>4</v>
      </c>
      <c r="P3062">
        <v>3</v>
      </c>
      <c r="Q3062">
        <v>0</v>
      </c>
      <c r="R3062" t="s">
        <v>5281</v>
      </c>
      <c r="S3062" t="s">
        <v>4558</v>
      </c>
      <c r="T3062" t="s">
        <v>2704</v>
      </c>
      <c r="U3062" t="s">
        <v>4560</v>
      </c>
      <c r="V3062" s="2">
        <v>462</v>
      </c>
      <c r="W3062" t="s">
        <v>4655</v>
      </c>
      <c r="X3062" s="2">
        <v>0</v>
      </c>
      <c r="Y3062">
        <v>21</v>
      </c>
      <c r="Z3062" t="s">
        <v>5282</v>
      </c>
      <c r="AA3062" s="3">
        <v>1.00000004749745E-3</v>
      </c>
      <c r="AB3062" t="s">
        <v>17644</v>
      </c>
      <c r="AC3062" t="s">
        <v>4562</v>
      </c>
      <c r="AD3062" t="s">
        <v>17643</v>
      </c>
      <c r="AE3062" t="s">
        <v>4655</v>
      </c>
      <c r="AF3062" t="s">
        <v>4563</v>
      </c>
      <c r="AG3062" t="s">
        <v>4564</v>
      </c>
      <c r="AH3062" t="s">
        <v>17645</v>
      </c>
      <c r="AI3062" t="s">
        <v>17646</v>
      </c>
      <c r="AJ3062" t="s">
        <v>4655</v>
      </c>
      <c r="AK3062" t="s">
        <v>17647</v>
      </c>
      <c r="AL3062" s="13" t="s">
        <v>2257</v>
      </c>
      <c r="AM3062">
        <v>1</v>
      </c>
      <c r="AN3062" s="15" t="s">
        <v>5506</v>
      </c>
    </row>
    <row r="3063" spans="1:40" x14ac:dyDescent="0.3">
      <c r="A3063" s="10" t="str">
        <f>HYPERLINK("http://www.washoecounty.gov/assessor/cama/?parid=043-190-44&amp;CardNumber=1","043-190-44")</f>
        <v>043-190-44</v>
      </c>
      <c r="B3063" t="s">
        <v>4655</v>
      </c>
      <c r="C3063" t="s">
        <v>17648</v>
      </c>
      <c r="D3063" s="1">
        <v>40259</v>
      </c>
      <c r="E3063" s="2">
        <v>185000</v>
      </c>
      <c r="F3063" t="s">
        <v>4553</v>
      </c>
      <c r="G3063" s="17" t="str">
        <f>HYPERLINK("https://www.washoecounty.gov/assessor/cama/?command=sales&amp;parid=04319044","3862016")</f>
        <v>3862016</v>
      </c>
      <c r="H3063" t="s">
        <v>3937</v>
      </c>
      <c r="I3063">
        <v>1985</v>
      </c>
      <c r="J3063">
        <v>1985</v>
      </c>
      <c r="K3063" t="s">
        <v>4554</v>
      </c>
      <c r="L3063" t="s">
        <v>3886</v>
      </c>
      <c r="M3063" s="2">
        <v>1868</v>
      </c>
      <c r="N3063" t="s">
        <v>5280</v>
      </c>
      <c r="O3063">
        <v>3</v>
      </c>
      <c r="P3063">
        <v>3</v>
      </c>
      <c r="Q3063">
        <v>0</v>
      </c>
      <c r="R3063" t="s">
        <v>5281</v>
      </c>
      <c r="S3063" t="s">
        <v>4558</v>
      </c>
      <c r="T3063" t="s">
        <v>2704</v>
      </c>
      <c r="U3063" t="s">
        <v>4560</v>
      </c>
      <c r="V3063" s="2">
        <v>399</v>
      </c>
      <c r="W3063" t="s">
        <v>4655</v>
      </c>
      <c r="X3063" s="2">
        <v>0</v>
      </c>
      <c r="Y3063">
        <v>21</v>
      </c>
      <c r="Z3063" t="s">
        <v>5282</v>
      </c>
      <c r="AA3063" s="3">
        <v>1.00000004749745E-3</v>
      </c>
      <c r="AB3063" t="s">
        <v>17649</v>
      </c>
      <c r="AC3063" t="s">
        <v>4562</v>
      </c>
      <c r="AD3063" t="s">
        <v>17650</v>
      </c>
      <c r="AE3063" t="s">
        <v>4655</v>
      </c>
      <c r="AF3063" t="s">
        <v>4234</v>
      </c>
      <c r="AG3063" t="s">
        <v>4584</v>
      </c>
      <c r="AH3063" t="s">
        <v>4235</v>
      </c>
      <c r="AI3063" t="s">
        <v>4045</v>
      </c>
      <c r="AJ3063" t="s">
        <v>4655</v>
      </c>
      <c r="AK3063" t="s">
        <v>17651</v>
      </c>
      <c r="AL3063" s="13" t="s">
        <v>2257</v>
      </c>
      <c r="AM3063" s="14">
        <v>1</v>
      </c>
      <c r="AN3063" s="15" t="s">
        <v>5506</v>
      </c>
    </row>
    <row r="3064" spans="1:40" x14ac:dyDescent="0.3">
      <c r="A3064" s="10" t="str">
        <f>HYPERLINK("http://www.washoecounty.gov/assessor/cama/?parid=043-190-48&amp;CardNumber=1","043-190-48")</f>
        <v>043-190-48</v>
      </c>
      <c r="B3064" t="s">
        <v>4655</v>
      </c>
      <c r="C3064" t="s">
        <v>1317</v>
      </c>
      <c r="D3064" s="1">
        <v>40410</v>
      </c>
      <c r="E3064" s="2">
        <v>120000</v>
      </c>
      <c r="F3064" t="s">
        <v>4567</v>
      </c>
      <c r="G3064" s="17" t="str">
        <f>HYPERLINK("https://www.washoecounty.gov/assessor/cama/?command=sales&amp;parid=04319048","3914191")</f>
        <v>3914191</v>
      </c>
      <c r="H3064" t="s">
        <v>3937</v>
      </c>
      <c r="I3064">
        <v>1985</v>
      </c>
      <c r="J3064">
        <v>1985</v>
      </c>
      <c r="K3064" t="s">
        <v>4554</v>
      </c>
      <c r="L3064" t="s">
        <v>3886</v>
      </c>
      <c r="M3064" s="2">
        <v>2260</v>
      </c>
      <c r="N3064" t="s">
        <v>5280</v>
      </c>
      <c r="O3064">
        <v>4</v>
      </c>
      <c r="P3064">
        <v>3</v>
      </c>
      <c r="Q3064">
        <v>0</v>
      </c>
      <c r="R3064" t="s">
        <v>5281</v>
      </c>
      <c r="S3064" t="s">
        <v>4558</v>
      </c>
      <c r="T3064" t="s">
        <v>4559</v>
      </c>
      <c r="U3064" t="s">
        <v>4560</v>
      </c>
      <c r="V3064" s="2">
        <v>462</v>
      </c>
      <c r="W3064" t="s">
        <v>4655</v>
      </c>
      <c r="X3064" s="2">
        <v>0</v>
      </c>
      <c r="Y3064">
        <v>21</v>
      </c>
      <c r="Z3064" t="s">
        <v>5282</v>
      </c>
      <c r="AA3064" s="3">
        <v>1.00000004749745E-3</v>
      </c>
      <c r="AB3064" t="s">
        <v>46</v>
      </c>
      <c r="AC3064" t="s">
        <v>4562</v>
      </c>
      <c r="AD3064" t="s">
        <v>1317</v>
      </c>
      <c r="AE3064" t="s">
        <v>4655</v>
      </c>
      <c r="AF3064" t="s">
        <v>4563</v>
      </c>
      <c r="AG3064" t="s">
        <v>4564</v>
      </c>
      <c r="AH3064">
        <v>89511</v>
      </c>
      <c r="AI3064" t="s">
        <v>4202</v>
      </c>
      <c r="AJ3064" t="s">
        <v>4655</v>
      </c>
      <c r="AK3064" t="s">
        <v>1319</v>
      </c>
      <c r="AL3064" s="13" t="s">
        <v>2257</v>
      </c>
      <c r="AM3064" s="14">
        <v>1</v>
      </c>
      <c r="AN3064" s="15" t="s">
        <v>5506</v>
      </c>
    </row>
    <row r="3065" spans="1:40" x14ac:dyDescent="0.3">
      <c r="A3065" s="10" t="str">
        <f>HYPERLINK("http://www.washoecounty.gov/assessor/cama/?parid=043-190-51&amp;CardNumber=1","043-190-51")</f>
        <v>043-190-51</v>
      </c>
      <c r="B3065" t="s">
        <v>4655</v>
      </c>
      <c r="C3065" t="s">
        <v>17652</v>
      </c>
      <c r="D3065" s="1">
        <v>40387</v>
      </c>
      <c r="E3065" s="2">
        <v>167900</v>
      </c>
      <c r="F3065" t="s">
        <v>4553</v>
      </c>
      <c r="G3065" s="17" t="str">
        <f>HYPERLINK("https://www.washoecounty.gov/assessor/cama/?command=sales&amp;parid=04319051","3906182")</f>
        <v>3906182</v>
      </c>
      <c r="H3065" t="s">
        <v>3937</v>
      </c>
      <c r="I3065">
        <v>1985</v>
      </c>
      <c r="J3065">
        <v>1985</v>
      </c>
      <c r="K3065" t="s">
        <v>4554</v>
      </c>
      <c r="L3065" t="s">
        <v>3886</v>
      </c>
      <c r="M3065" s="2">
        <v>1868</v>
      </c>
      <c r="N3065" t="s">
        <v>5280</v>
      </c>
      <c r="O3065">
        <v>3</v>
      </c>
      <c r="P3065">
        <v>3</v>
      </c>
      <c r="Q3065">
        <v>0</v>
      </c>
      <c r="R3065" t="s">
        <v>5281</v>
      </c>
      <c r="S3065" t="s">
        <v>4558</v>
      </c>
      <c r="T3065" t="s">
        <v>2704</v>
      </c>
      <c r="U3065" t="s">
        <v>4560</v>
      </c>
      <c r="V3065" s="2">
        <v>399</v>
      </c>
      <c r="W3065" t="s">
        <v>4655</v>
      </c>
      <c r="X3065" s="2">
        <v>0</v>
      </c>
      <c r="Y3065">
        <v>21</v>
      </c>
      <c r="Z3065" t="s">
        <v>5282</v>
      </c>
      <c r="AA3065" s="3">
        <v>1.00000004749745E-3</v>
      </c>
      <c r="AB3065" t="s">
        <v>17653</v>
      </c>
      <c r="AC3065" t="s">
        <v>4562</v>
      </c>
      <c r="AD3065" t="s">
        <v>17654</v>
      </c>
      <c r="AE3065" t="s">
        <v>4655</v>
      </c>
      <c r="AF3065" t="s">
        <v>4563</v>
      </c>
      <c r="AG3065" t="s">
        <v>4564</v>
      </c>
      <c r="AH3065">
        <v>89511</v>
      </c>
      <c r="AI3065" t="s">
        <v>1602</v>
      </c>
      <c r="AJ3065" t="s">
        <v>4655</v>
      </c>
      <c r="AK3065" t="s">
        <v>17655</v>
      </c>
      <c r="AL3065" s="13" t="s">
        <v>2257</v>
      </c>
      <c r="AM3065">
        <v>1</v>
      </c>
      <c r="AN3065" s="15" t="s">
        <v>5506</v>
      </c>
    </row>
    <row r="3066" spans="1:40" x14ac:dyDescent="0.3">
      <c r="A3066" s="10" t="str">
        <f>HYPERLINK("http://www.washoecounty.gov/assessor/cama/?parid=043-201-07&amp;CardNumber=1","043-201-07")</f>
        <v>043-201-07</v>
      </c>
      <c r="B3066" t="s">
        <v>4655</v>
      </c>
      <c r="C3066" t="s">
        <v>17656</v>
      </c>
      <c r="D3066" s="1">
        <v>40221</v>
      </c>
      <c r="E3066" s="2">
        <v>132000</v>
      </c>
      <c r="F3066" t="s">
        <v>4553</v>
      </c>
      <c r="G3066" s="17" t="str">
        <f>HYPERLINK("https://www.washoecounty.gov/assessor/cama/?command=sales&amp;parid=04320107","3848858")</f>
        <v>3848858</v>
      </c>
      <c r="H3066" t="s">
        <v>3938</v>
      </c>
      <c r="I3066">
        <v>1993</v>
      </c>
      <c r="J3066">
        <v>1993</v>
      </c>
      <c r="K3066" t="s">
        <v>4554</v>
      </c>
      <c r="L3066" t="s">
        <v>4555</v>
      </c>
      <c r="M3066" s="2">
        <v>1049</v>
      </c>
      <c r="N3066" t="s">
        <v>4048</v>
      </c>
      <c r="O3066">
        <v>3</v>
      </c>
      <c r="P3066">
        <v>2</v>
      </c>
      <c r="Q3066">
        <v>0</v>
      </c>
      <c r="R3066" t="s">
        <v>5281</v>
      </c>
      <c r="S3066" t="s">
        <v>4558</v>
      </c>
      <c r="T3066" t="s">
        <v>4559</v>
      </c>
      <c r="U3066" t="s">
        <v>4560</v>
      </c>
      <c r="V3066" s="2">
        <v>400</v>
      </c>
      <c r="W3066" t="s">
        <v>4655</v>
      </c>
      <c r="X3066" s="2">
        <v>0</v>
      </c>
      <c r="Y3066">
        <v>21</v>
      </c>
      <c r="Z3066" t="s">
        <v>5282</v>
      </c>
      <c r="AA3066" s="3">
        <v>5.7001836597919499E-2</v>
      </c>
      <c r="AB3066" t="s">
        <v>17657</v>
      </c>
      <c r="AC3066" t="s">
        <v>4562</v>
      </c>
      <c r="AD3066" t="s">
        <v>17656</v>
      </c>
      <c r="AE3066" t="s">
        <v>4655</v>
      </c>
      <c r="AF3066" t="s">
        <v>4563</v>
      </c>
      <c r="AG3066" t="s">
        <v>4564</v>
      </c>
      <c r="AH3066">
        <v>89511</v>
      </c>
      <c r="AI3066" t="s">
        <v>2351</v>
      </c>
      <c r="AJ3066">
        <v>43200</v>
      </c>
      <c r="AK3066" t="s">
        <v>17658</v>
      </c>
      <c r="AL3066" s="13" t="s">
        <v>2257</v>
      </c>
      <c r="AM3066" s="14">
        <v>1</v>
      </c>
      <c r="AN3066" s="15" t="s">
        <v>5506</v>
      </c>
    </row>
    <row r="3067" spans="1:40" x14ac:dyDescent="0.3">
      <c r="A3067" s="10" t="str">
        <f>HYPERLINK("http://www.washoecounty.gov/assessor/cama/?parid=043-201-11&amp;CardNumber=1","043-201-11")</f>
        <v>043-201-11</v>
      </c>
      <c r="B3067" t="s">
        <v>4655</v>
      </c>
      <c r="C3067" t="s">
        <v>17659</v>
      </c>
      <c r="D3067" s="1">
        <v>40207</v>
      </c>
      <c r="E3067" s="2">
        <v>155000</v>
      </c>
      <c r="F3067" t="s">
        <v>4567</v>
      </c>
      <c r="G3067" s="17" t="str">
        <f>HYPERLINK("https://www.washoecounty.gov/assessor/cama/?command=sales&amp;parid=04320111","3844467")</f>
        <v>3844467</v>
      </c>
      <c r="H3067" t="s">
        <v>3938</v>
      </c>
      <c r="I3067">
        <v>1994</v>
      </c>
      <c r="J3067">
        <v>1994</v>
      </c>
      <c r="K3067" t="s">
        <v>4554</v>
      </c>
      <c r="L3067" t="s">
        <v>4555</v>
      </c>
      <c r="M3067" s="2">
        <v>1288</v>
      </c>
      <c r="N3067" t="s">
        <v>4048</v>
      </c>
      <c r="O3067">
        <v>3</v>
      </c>
      <c r="P3067">
        <v>2</v>
      </c>
      <c r="Q3067">
        <v>0</v>
      </c>
      <c r="R3067" t="s">
        <v>5281</v>
      </c>
      <c r="S3067" t="s">
        <v>4558</v>
      </c>
      <c r="T3067" t="s">
        <v>4559</v>
      </c>
      <c r="U3067" t="s">
        <v>4560</v>
      </c>
      <c r="V3067" s="2">
        <v>441</v>
      </c>
      <c r="W3067" t="s">
        <v>4655</v>
      </c>
      <c r="X3067" s="2">
        <v>0</v>
      </c>
      <c r="Y3067">
        <v>21</v>
      </c>
      <c r="Z3067" t="s">
        <v>5282</v>
      </c>
      <c r="AA3067" s="3">
        <v>5.7001836597919499E-2</v>
      </c>
      <c r="AB3067" t="s">
        <v>17660</v>
      </c>
      <c r="AC3067" t="s">
        <v>4562</v>
      </c>
      <c r="AD3067" t="s">
        <v>17659</v>
      </c>
      <c r="AE3067" t="s">
        <v>4655</v>
      </c>
      <c r="AF3067" t="s">
        <v>4563</v>
      </c>
      <c r="AG3067" t="s">
        <v>4564</v>
      </c>
      <c r="AH3067">
        <v>89511</v>
      </c>
      <c r="AI3067" t="s">
        <v>17661</v>
      </c>
      <c r="AJ3067">
        <v>43200</v>
      </c>
      <c r="AK3067" t="s">
        <v>17662</v>
      </c>
      <c r="AL3067" s="13" t="s">
        <v>2257</v>
      </c>
      <c r="AM3067" s="14">
        <v>1</v>
      </c>
      <c r="AN3067" s="15" t="s">
        <v>5506</v>
      </c>
    </row>
    <row r="3068" spans="1:40" x14ac:dyDescent="0.3">
      <c r="A3068" s="10" t="str">
        <f>HYPERLINK("http://www.washoecounty.gov/assessor/cama/?parid=043-213-04&amp;CardNumber=1","043-213-04")</f>
        <v>043-213-04</v>
      </c>
      <c r="B3068" t="s">
        <v>4655</v>
      </c>
      <c r="C3068" t="s">
        <v>17663</v>
      </c>
      <c r="D3068" s="1">
        <v>40437</v>
      </c>
      <c r="E3068" s="2">
        <v>164900</v>
      </c>
      <c r="F3068" t="s">
        <v>4553</v>
      </c>
      <c r="G3068" s="17" t="str">
        <f>HYPERLINK("https://www.washoecounty.gov/assessor/cama/?command=sales&amp;parid=04321304","3923106")</f>
        <v>3923106</v>
      </c>
      <c r="H3068" t="s">
        <v>17664</v>
      </c>
      <c r="I3068">
        <v>1993</v>
      </c>
      <c r="J3068">
        <v>1993</v>
      </c>
      <c r="K3068" t="s">
        <v>4554</v>
      </c>
      <c r="L3068" t="s">
        <v>3974</v>
      </c>
      <c r="M3068" s="2">
        <v>1684</v>
      </c>
      <c r="N3068" t="s">
        <v>4048</v>
      </c>
      <c r="O3068">
        <v>3</v>
      </c>
      <c r="P3068">
        <v>2</v>
      </c>
      <c r="Q3068">
        <v>1</v>
      </c>
      <c r="R3068" t="s">
        <v>4557</v>
      </c>
      <c r="S3068" t="s">
        <v>4558</v>
      </c>
      <c r="T3068" t="s">
        <v>4559</v>
      </c>
      <c r="U3068" t="s">
        <v>4560</v>
      </c>
      <c r="V3068" s="2">
        <v>441</v>
      </c>
      <c r="W3068" t="s">
        <v>4655</v>
      </c>
      <c r="X3068" s="2">
        <v>0</v>
      </c>
      <c r="Y3068">
        <v>21</v>
      </c>
      <c r="Z3068" t="s">
        <v>5282</v>
      </c>
      <c r="AA3068" s="3">
        <v>5.8149676769971799E-2</v>
      </c>
      <c r="AB3068" t="s">
        <v>17665</v>
      </c>
      <c r="AC3068" t="s">
        <v>4562</v>
      </c>
      <c r="AD3068" t="s">
        <v>17666</v>
      </c>
      <c r="AE3068" t="s">
        <v>4655</v>
      </c>
      <c r="AF3068" t="s">
        <v>4563</v>
      </c>
      <c r="AG3068" t="s">
        <v>4564</v>
      </c>
      <c r="AH3068">
        <v>89511</v>
      </c>
      <c r="AI3068" t="s">
        <v>4903</v>
      </c>
      <c r="AJ3068" t="s">
        <v>4655</v>
      </c>
      <c r="AK3068" t="s">
        <v>17667</v>
      </c>
      <c r="AL3068" s="13" t="s">
        <v>2257</v>
      </c>
      <c r="AM3068" s="14">
        <v>1</v>
      </c>
      <c r="AN3068" s="15" t="s">
        <v>5506</v>
      </c>
    </row>
    <row r="3069" spans="1:40" x14ac:dyDescent="0.3">
      <c r="A3069" s="10" t="str">
        <f>HYPERLINK("http://www.washoecounty.gov/assessor/cama/?parid=043-213-14&amp;CardNumber=1","043-213-14")</f>
        <v>043-213-14</v>
      </c>
      <c r="B3069" t="s">
        <v>4655</v>
      </c>
      <c r="C3069" t="s">
        <v>17668</v>
      </c>
      <c r="D3069" s="1">
        <v>40225</v>
      </c>
      <c r="E3069" s="2">
        <v>160000</v>
      </c>
      <c r="F3069" t="s">
        <v>4567</v>
      </c>
      <c r="G3069" s="17" t="str">
        <f>HYPERLINK("https://www.washoecounty.gov/assessor/cama/?command=sales&amp;parid=04321314","3849587")</f>
        <v>3849587</v>
      </c>
      <c r="H3069" t="s">
        <v>17669</v>
      </c>
      <c r="I3069">
        <v>1993</v>
      </c>
      <c r="J3069">
        <v>1993</v>
      </c>
      <c r="K3069" t="s">
        <v>4554</v>
      </c>
      <c r="L3069" t="s">
        <v>3974</v>
      </c>
      <c r="M3069" s="2">
        <v>1654</v>
      </c>
      <c r="N3069" t="s">
        <v>4048</v>
      </c>
      <c r="O3069">
        <v>3</v>
      </c>
      <c r="P3069">
        <v>2</v>
      </c>
      <c r="Q3069">
        <v>1</v>
      </c>
      <c r="R3069" t="s">
        <v>4557</v>
      </c>
      <c r="S3069" t="s">
        <v>4558</v>
      </c>
      <c r="T3069" t="s">
        <v>4559</v>
      </c>
      <c r="U3069" t="s">
        <v>4560</v>
      </c>
      <c r="V3069" s="2">
        <v>483</v>
      </c>
      <c r="W3069" t="s">
        <v>4655</v>
      </c>
      <c r="X3069" s="2">
        <v>0</v>
      </c>
      <c r="Y3069">
        <v>21</v>
      </c>
      <c r="Z3069" t="s">
        <v>5282</v>
      </c>
      <c r="AA3069" s="3">
        <v>6.0422405600547797E-2</v>
      </c>
      <c r="AB3069" t="s">
        <v>17670</v>
      </c>
      <c r="AC3069" t="s">
        <v>4575</v>
      </c>
      <c r="AD3069" t="s">
        <v>17671</v>
      </c>
      <c r="AE3069" t="s">
        <v>4655</v>
      </c>
      <c r="AF3069" t="s">
        <v>17672</v>
      </c>
      <c r="AG3069" t="s">
        <v>4584</v>
      </c>
      <c r="AH3069" t="s">
        <v>17673</v>
      </c>
      <c r="AI3069" t="s">
        <v>17674</v>
      </c>
      <c r="AJ3069" t="s">
        <v>4655</v>
      </c>
      <c r="AK3069" t="s">
        <v>17675</v>
      </c>
      <c r="AL3069" s="13" t="s">
        <v>2257</v>
      </c>
      <c r="AM3069" s="14">
        <v>1</v>
      </c>
      <c r="AN3069" s="15" t="s">
        <v>5506</v>
      </c>
    </row>
    <row r="3070" spans="1:40" x14ac:dyDescent="0.3">
      <c r="A3070" s="10" t="str">
        <f>HYPERLINK("http://www.washoecounty.gov/assessor/cama/?parid=043-214-03&amp;CardNumber=1","043-214-03")</f>
        <v>043-214-03</v>
      </c>
      <c r="B3070" t="s">
        <v>4655</v>
      </c>
      <c r="C3070" t="s">
        <v>17676</v>
      </c>
      <c r="D3070" s="1">
        <v>40437</v>
      </c>
      <c r="E3070" s="2">
        <v>120000</v>
      </c>
      <c r="F3070" t="s">
        <v>4567</v>
      </c>
      <c r="G3070" s="17" t="str">
        <f>HYPERLINK("https://www.washoecounty.gov/assessor/cama/?command=sales&amp;parid=04321403","3923134")</f>
        <v>3923134</v>
      </c>
      <c r="H3070" t="s">
        <v>17677</v>
      </c>
      <c r="I3070">
        <v>1994</v>
      </c>
      <c r="J3070">
        <v>1994</v>
      </c>
      <c r="K3070" t="s">
        <v>4554</v>
      </c>
      <c r="L3070" t="s">
        <v>4555</v>
      </c>
      <c r="M3070" s="2">
        <v>833</v>
      </c>
      <c r="N3070" t="s">
        <v>4048</v>
      </c>
      <c r="O3070">
        <v>2</v>
      </c>
      <c r="P3070">
        <v>2</v>
      </c>
      <c r="Q3070">
        <v>0</v>
      </c>
      <c r="R3070" t="s">
        <v>4557</v>
      </c>
      <c r="S3070" t="s">
        <v>4558</v>
      </c>
      <c r="T3070" t="s">
        <v>4559</v>
      </c>
      <c r="U3070" t="s">
        <v>4560</v>
      </c>
      <c r="V3070" s="2">
        <v>436</v>
      </c>
      <c r="W3070" t="s">
        <v>4655</v>
      </c>
      <c r="X3070" s="2">
        <v>0</v>
      </c>
      <c r="Y3070">
        <v>21</v>
      </c>
      <c r="Z3070" t="s">
        <v>5282</v>
      </c>
      <c r="AA3070" s="3">
        <v>5.6932967156171799E-2</v>
      </c>
      <c r="AB3070" t="s">
        <v>17678</v>
      </c>
      <c r="AC3070" t="s">
        <v>4562</v>
      </c>
      <c r="AD3070" t="s">
        <v>17676</v>
      </c>
      <c r="AE3070" t="s">
        <v>4655</v>
      </c>
      <c r="AF3070" t="s">
        <v>4563</v>
      </c>
      <c r="AG3070" t="s">
        <v>4564</v>
      </c>
      <c r="AH3070">
        <v>89511</v>
      </c>
      <c r="AI3070" t="s">
        <v>17679</v>
      </c>
      <c r="AJ3070" t="s">
        <v>17680</v>
      </c>
      <c r="AK3070" t="s">
        <v>17681</v>
      </c>
      <c r="AL3070" s="13" t="s">
        <v>2257</v>
      </c>
      <c r="AM3070" s="14">
        <v>1</v>
      </c>
      <c r="AN3070" s="15" t="s">
        <v>5506</v>
      </c>
    </row>
    <row r="3071" spans="1:40" x14ac:dyDescent="0.3">
      <c r="A3071" s="10" t="str">
        <f>HYPERLINK("http://www.washoecounty.gov/assessor/cama/?parid=043-214-05&amp;CardNumber=1","043-214-05")</f>
        <v>043-214-05</v>
      </c>
      <c r="B3071" t="s">
        <v>4655</v>
      </c>
      <c r="C3071" t="s">
        <v>17682</v>
      </c>
      <c r="D3071" s="1">
        <v>40417</v>
      </c>
      <c r="E3071" s="2">
        <v>121000</v>
      </c>
      <c r="F3071" t="s">
        <v>4567</v>
      </c>
      <c r="G3071" s="17" t="str">
        <f>HYPERLINK("https://www.washoecounty.gov/assessor/cama/?command=sales&amp;parid=04321405","3916157")</f>
        <v>3916157</v>
      </c>
      <c r="H3071" t="s">
        <v>17677</v>
      </c>
      <c r="I3071">
        <v>1994</v>
      </c>
      <c r="J3071">
        <v>1994</v>
      </c>
      <c r="K3071" t="s">
        <v>4554</v>
      </c>
      <c r="L3071" t="s">
        <v>4555</v>
      </c>
      <c r="M3071" s="2">
        <v>1049</v>
      </c>
      <c r="N3071" t="s">
        <v>4048</v>
      </c>
      <c r="O3071">
        <v>3</v>
      </c>
      <c r="P3071">
        <v>2</v>
      </c>
      <c r="Q3071">
        <v>0</v>
      </c>
      <c r="R3071" t="s">
        <v>5281</v>
      </c>
      <c r="S3071" t="s">
        <v>4558</v>
      </c>
      <c r="T3071" t="s">
        <v>4559</v>
      </c>
      <c r="U3071" t="s">
        <v>4560</v>
      </c>
      <c r="V3071" s="2">
        <v>400</v>
      </c>
      <c r="W3071" t="s">
        <v>4655</v>
      </c>
      <c r="X3071" s="2">
        <v>0</v>
      </c>
      <c r="Y3071">
        <v>21</v>
      </c>
      <c r="Z3071" t="s">
        <v>5282</v>
      </c>
      <c r="AA3071" s="3">
        <v>5.6932967156171799E-2</v>
      </c>
      <c r="AB3071" t="s">
        <v>17683</v>
      </c>
      <c r="AC3071" t="s">
        <v>4575</v>
      </c>
      <c r="AD3071" t="s">
        <v>17684</v>
      </c>
      <c r="AE3071" t="s">
        <v>17685</v>
      </c>
      <c r="AF3071" t="s">
        <v>1189</v>
      </c>
      <c r="AG3071" t="s">
        <v>4564</v>
      </c>
      <c r="AH3071" t="s">
        <v>17686</v>
      </c>
      <c r="AI3071" t="s">
        <v>17687</v>
      </c>
      <c r="AJ3071" t="s">
        <v>17688</v>
      </c>
      <c r="AK3071" t="s">
        <v>17689</v>
      </c>
      <c r="AL3071" s="13" t="s">
        <v>2257</v>
      </c>
      <c r="AM3071" s="14">
        <v>1</v>
      </c>
      <c r="AN3071" s="15" t="s">
        <v>5506</v>
      </c>
    </row>
    <row r="3072" spans="1:40" x14ac:dyDescent="0.3">
      <c r="A3072" s="10" t="str">
        <f>HYPERLINK("http://www.washoecounty.gov/assessor/cama/?parid=043-214-16&amp;CardNumber=1","043-214-16")</f>
        <v>043-214-16</v>
      </c>
      <c r="B3072" t="s">
        <v>4655</v>
      </c>
      <c r="C3072" t="s">
        <v>17690</v>
      </c>
      <c r="D3072" s="1">
        <v>40263</v>
      </c>
      <c r="E3072" s="2">
        <v>140000</v>
      </c>
      <c r="F3072" t="s">
        <v>4567</v>
      </c>
      <c r="G3072" s="17" t="str">
        <f>HYPERLINK("https://www.washoecounty.gov/assessor/cama/?command=sales&amp;parid=04321416","3864511")</f>
        <v>3864511</v>
      </c>
      <c r="H3072" t="s">
        <v>17677</v>
      </c>
      <c r="I3072">
        <v>1994</v>
      </c>
      <c r="J3072">
        <v>1994</v>
      </c>
      <c r="K3072" t="s">
        <v>4554</v>
      </c>
      <c r="L3072" t="s">
        <v>4555</v>
      </c>
      <c r="M3072" s="2">
        <v>1288</v>
      </c>
      <c r="N3072" t="s">
        <v>4048</v>
      </c>
      <c r="O3072">
        <v>3</v>
      </c>
      <c r="P3072">
        <v>2</v>
      </c>
      <c r="Q3072">
        <v>0</v>
      </c>
      <c r="R3072" t="s">
        <v>4557</v>
      </c>
      <c r="S3072" t="s">
        <v>4558</v>
      </c>
      <c r="T3072" t="s">
        <v>4559</v>
      </c>
      <c r="U3072" t="s">
        <v>4560</v>
      </c>
      <c r="V3072" s="2">
        <v>441</v>
      </c>
      <c r="W3072" t="s">
        <v>4655</v>
      </c>
      <c r="X3072" s="2">
        <v>0</v>
      </c>
      <c r="Y3072">
        <v>21</v>
      </c>
      <c r="Z3072" t="s">
        <v>5282</v>
      </c>
      <c r="AA3072" s="3">
        <v>6.7148759961128193E-2</v>
      </c>
      <c r="AB3072" t="s">
        <v>17691</v>
      </c>
      <c r="AC3072" t="s">
        <v>4562</v>
      </c>
      <c r="AD3072" t="s">
        <v>17690</v>
      </c>
      <c r="AE3072" t="s">
        <v>4655</v>
      </c>
      <c r="AF3072" t="s">
        <v>4563</v>
      </c>
      <c r="AG3072" t="s">
        <v>4564</v>
      </c>
      <c r="AH3072">
        <v>89511</v>
      </c>
      <c r="AI3072" t="s">
        <v>17692</v>
      </c>
      <c r="AJ3072" t="s">
        <v>17693</v>
      </c>
      <c r="AK3072" t="s">
        <v>17694</v>
      </c>
      <c r="AL3072" s="13" t="s">
        <v>2257</v>
      </c>
      <c r="AM3072" s="14">
        <v>1</v>
      </c>
      <c r="AN3072" s="15" t="s">
        <v>5506</v>
      </c>
    </row>
    <row r="3073" spans="1:40" x14ac:dyDescent="0.3">
      <c r="A3073" s="10" t="str">
        <f>HYPERLINK("http://www.washoecounty.gov/assessor/cama/?parid=043-214-32&amp;CardNumber=1","043-214-32")</f>
        <v>043-214-32</v>
      </c>
      <c r="B3073" t="s">
        <v>4655</v>
      </c>
      <c r="C3073" t="s">
        <v>17695</v>
      </c>
      <c r="D3073" s="1">
        <v>40254</v>
      </c>
      <c r="E3073" s="2">
        <v>130000</v>
      </c>
      <c r="F3073" t="s">
        <v>4553</v>
      </c>
      <c r="G3073" s="17" t="str">
        <f>HYPERLINK("https://www.washoecounty.gov/assessor/cama/?command=sales&amp;parid=04321432","3860850")</f>
        <v>3860850</v>
      </c>
      <c r="H3073" t="s">
        <v>17677</v>
      </c>
      <c r="I3073">
        <v>1994</v>
      </c>
      <c r="J3073">
        <v>1994</v>
      </c>
      <c r="K3073" t="s">
        <v>4554</v>
      </c>
      <c r="L3073" t="s">
        <v>4555</v>
      </c>
      <c r="M3073" s="2">
        <v>1049</v>
      </c>
      <c r="N3073" t="s">
        <v>4048</v>
      </c>
      <c r="O3073">
        <v>3</v>
      </c>
      <c r="P3073">
        <v>2</v>
      </c>
      <c r="Q3073">
        <v>0</v>
      </c>
      <c r="R3073" t="s">
        <v>4557</v>
      </c>
      <c r="S3073" t="s">
        <v>4558</v>
      </c>
      <c r="T3073" t="s">
        <v>4559</v>
      </c>
      <c r="U3073" t="s">
        <v>4560</v>
      </c>
      <c r="V3073" s="2">
        <v>400</v>
      </c>
      <c r="W3073" t="s">
        <v>4655</v>
      </c>
      <c r="X3073" s="2">
        <v>0</v>
      </c>
      <c r="Y3073">
        <v>21</v>
      </c>
      <c r="Z3073" t="s">
        <v>5282</v>
      </c>
      <c r="AA3073" s="3">
        <v>5.6932967156171799E-2</v>
      </c>
      <c r="AB3073" t="s">
        <v>17696</v>
      </c>
      <c r="AC3073" t="s">
        <v>4575</v>
      </c>
      <c r="AD3073" t="s">
        <v>17695</v>
      </c>
      <c r="AE3073" t="s">
        <v>4655</v>
      </c>
      <c r="AF3073" t="s">
        <v>4563</v>
      </c>
      <c r="AG3073" t="s">
        <v>4564</v>
      </c>
      <c r="AH3073">
        <v>89511</v>
      </c>
      <c r="AI3073" t="s">
        <v>17697</v>
      </c>
      <c r="AJ3073">
        <v>43211</v>
      </c>
      <c r="AK3073" t="s">
        <v>17698</v>
      </c>
      <c r="AL3073" s="13" t="s">
        <v>2257</v>
      </c>
      <c r="AM3073">
        <v>1</v>
      </c>
      <c r="AN3073" s="15" t="s">
        <v>5506</v>
      </c>
    </row>
    <row r="3074" spans="1:40" x14ac:dyDescent="0.3">
      <c r="A3074" s="10" t="str">
        <f>HYPERLINK("http://www.washoecounty.gov/assessor/cama/?parid=043-221-14&amp;CardNumber=1","043-221-14")</f>
        <v>043-221-14</v>
      </c>
      <c r="B3074" t="s">
        <v>4655</v>
      </c>
      <c r="C3074" t="s">
        <v>17699</v>
      </c>
      <c r="D3074" s="1">
        <v>40182</v>
      </c>
      <c r="E3074" s="2">
        <v>170000</v>
      </c>
      <c r="F3074" t="s">
        <v>4567</v>
      </c>
      <c r="G3074" s="17" t="str">
        <f>HYPERLINK("https://www.washoecounty.gov/assessor/cama/?command=sales&amp;parid=04322114","3836203")</f>
        <v>3836203</v>
      </c>
      <c r="H3074" t="s">
        <v>17700</v>
      </c>
      <c r="I3074">
        <v>1987</v>
      </c>
      <c r="J3074">
        <v>1987</v>
      </c>
      <c r="K3074" t="s">
        <v>4554</v>
      </c>
      <c r="L3074" t="s">
        <v>3974</v>
      </c>
      <c r="M3074" s="2">
        <v>1900</v>
      </c>
      <c r="N3074" t="s">
        <v>4048</v>
      </c>
      <c r="O3074">
        <v>3</v>
      </c>
      <c r="P3074">
        <v>2</v>
      </c>
      <c r="Q3074">
        <v>1</v>
      </c>
      <c r="R3074" t="s">
        <v>5281</v>
      </c>
      <c r="S3074" t="s">
        <v>4558</v>
      </c>
      <c r="T3074" t="s">
        <v>4559</v>
      </c>
      <c r="U3074" t="s">
        <v>4560</v>
      </c>
      <c r="V3074" s="2">
        <v>447</v>
      </c>
      <c r="W3074" t="s">
        <v>4655</v>
      </c>
      <c r="X3074" s="2">
        <v>0</v>
      </c>
      <c r="Y3074">
        <v>21</v>
      </c>
      <c r="Z3074" t="s">
        <v>5282</v>
      </c>
      <c r="AA3074" s="3">
        <v>1.00000004749745E-3</v>
      </c>
      <c r="AB3074" t="s">
        <v>17701</v>
      </c>
      <c r="AC3074" t="s">
        <v>4562</v>
      </c>
      <c r="AD3074" t="s">
        <v>17699</v>
      </c>
      <c r="AE3074" t="s">
        <v>4655</v>
      </c>
      <c r="AF3074" t="s">
        <v>4563</v>
      </c>
      <c r="AG3074" t="s">
        <v>4564</v>
      </c>
      <c r="AH3074">
        <v>89511</v>
      </c>
      <c r="AI3074" t="s">
        <v>17702</v>
      </c>
      <c r="AJ3074" t="s">
        <v>4655</v>
      </c>
      <c r="AK3074" t="s">
        <v>17703</v>
      </c>
      <c r="AL3074" s="13" t="s">
        <v>2257</v>
      </c>
      <c r="AM3074" s="14">
        <v>1</v>
      </c>
      <c r="AN3074" s="15" t="s">
        <v>5506</v>
      </c>
    </row>
    <row r="3075" spans="1:40" x14ac:dyDescent="0.3">
      <c r="A3075" s="10" t="str">
        <f>HYPERLINK("http://www.washoecounty.gov/assessor/cama/?parid=043-221-18&amp;CardNumber=1","043-221-18")</f>
        <v>043-221-18</v>
      </c>
      <c r="B3075" t="s">
        <v>4655</v>
      </c>
      <c r="C3075" t="s">
        <v>17704</v>
      </c>
      <c r="D3075" s="1">
        <v>40256</v>
      </c>
      <c r="E3075" s="2">
        <v>175000</v>
      </c>
      <c r="F3075" t="s">
        <v>4553</v>
      </c>
      <c r="G3075" s="17" t="str">
        <f>HYPERLINK("https://www.washoecounty.gov/assessor/cama/?command=sales&amp;parid=04322118","3861560")</f>
        <v>3861560</v>
      </c>
      <c r="H3075" t="s">
        <v>17700</v>
      </c>
      <c r="I3075">
        <v>1987</v>
      </c>
      <c r="J3075">
        <v>1987</v>
      </c>
      <c r="K3075" t="s">
        <v>4554</v>
      </c>
      <c r="L3075" t="s">
        <v>3974</v>
      </c>
      <c r="M3075" s="2">
        <v>1802</v>
      </c>
      <c r="N3075" t="s">
        <v>4048</v>
      </c>
      <c r="O3075">
        <v>3</v>
      </c>
      <c r="P3075">
        <v>3</v>
      </c>
      <c r="Q3075">
        <v>0</v>
      </c>
      <c r="R3075" t="s">
        <v>4557</v>
      </c>
      <c r="S3075" t="s">
        <v>4558</v>
      </c>
      <c r="T3075" t="s">
        <v>4559</v>
      </c>
      <c r="U3075" t="s">
        <v>4560</v>
      </c>
      <c r="V3075" s="2">
        <v>450</v>
      </c>
      <c r="W3075" t="s">
        <v>4655</v>
      </c>
      <c r="X3075" s="2">
        <v>0</v>
      </c>
      <c r="Y3075">
        <v>21</v>
      </c>
      <c r="Z3075" t="s">
        <v>5282</v>
      </c>
      <c r="AA3075" s="3">
        <v>1.00000004749745E-3</v>
      </c>
      <c r="AB3075" t="s">
        <v>17705</v>
      </c>
      <c r="AC3075" t="s">
        <v>4562</v>
      </c>
      <c r="AD3075" t="s">
        <v>17706</v>
      </c>
      <c r="AE3075" t="s">
        <v>17707</v>
      </c>
      <c r="AF3075" t="s">
        <v>17708</v>
      </c>
      <c r="AG3075" t="s">
        <v>4584</v>
      </c>
      <c r="AH3075" t="s">
        <v>17709</v>
      </c>
      <c r="AI3075" t="s">
        <v>17710</v>
      </c>
      <c r="AJ3075" t="s">
        <v>4655</v>
      </c>
      <c r="AK3075" t="s">
        <v>17711</v>
      </c>
      <c r="AL3075" s="13" t="s">
        <v>2257</v>
      </c>
      <c r="AM3075">
        <v>1</v>
      </c>
      <c r="AN3075" s="15" t="s">
        <v>5506</v>
      </c>
    </row>
    <row r="3076" spans="1:40" x14ac:dyDescent="0.3">
      <c r="A3076" s="10" t="str">
        <f>HYPERLINK("http://www.washoecounty.gov/assessor/cama/?parid=043-221-35&amp;CardNumber=1","043-221-35")</f>
        <v>043-221-35</v>
      </c>
      <c r="B3076" t="s">
        <v>4655</v>
      </c>
      <c r="C3076" t="s">
        <v>17712</v>
      </c>
      <c r="D3076" s="1">
        <v>40305</v>
      </c>
      <c r="E3076" s="2">
        <v>138000</v>
      </c>
      <c r="F3076" t="s">
        <v>4553</v>
      </c>
      <c r="G3076" s="17" t="str">
        <f>HYPERLINK("https://www.washoecounty.gov/assessor/cama/?command=sales&amp;parid=04322135","3879246")</f>
        <v>3879246</v>
      </c>
      <c r="H3076" t="s">
        <v>17713</v>
      </c>
      <c r="I3076">
        <v>1987</v>
      </c>
      <c r="J3076">
        <v>1987</v>
      </c>
      <c r="K3076" t="s">
        <v>4554</v>
      </c>
      <c r="L3076" t="s">
        <v>3974</v>
      </c>
      <c r="M3076" s="2">
        <v>1608</v>
      </c>
      <c r="N3076" t="s">
        <v>4048</v>
      </c>
      <c r="O3076">
        <v>3</v>
      </c>
      <c r="P3076">
        <v>2</v>
      </c>
      <c r="Q3076">
        <v>1</v>
      </c>
      <c r="R3076" t="s">
        <v>5281</v>
      </c>
      <c r="S3076" t="s">
        <v>4558</v>
      </c>
      <c r="T3076" t="s">
        <v>4559</v>
      </c>
      <c r="U3076" t="s">
        <v>4560</v>
      </c>
      <c r="V3076" s="2">
        <v>460</v>
      </c>
      <c r="W3076" t="s">
        <v>4655</v>
      </c>
      <c r="X3076" s="2">
        <v>0</v>
      </c>
      <c r="Y3076">
        <v>21</v>
      </c>
      <c r="Z3076" t="s">
        <v>5282</v>
      </c>
      <c r="AA3076" s="3">
        <v>1.00000004749745E-3</v>
      </c>
      <c r="AB3076" t="s">
        <v>17714</v>
      </c>
      <c r="AC3076" t="s">
        <v>4575</v>
      </c>
      <c r="AD3076" t="s">
        <v>17715</v>
      </c>
      <c r="AE3076" t="s">
        <v>17712</v>
      </c>
      <c r="AF3076" t="s">
        <v>4563</v>
      </c>
      <c r="AG3076" t="s">
        <v>4564</v>
      </c>
      <c r="AH3076">
        <v>89511</v>
      </c>
      <c r="AI3076" t="s">
        <v>4655</v>
      </c>
      <c r="AJ3076" t="s">
        <v>4655</v>
      </c>
      <c r="AK3076" t="s">
        <v>17716</v>
      </c>
      <c r="AL3076" s="13" t="s">
        <v>2257</v>
      </c>
      <c r="AM3076" s="14">
        <v>1</v>
      </c>
      <c r="AN3076" s="15" t="s">
        <v>5506</v>
      </c>
    </row>
    <row r="3077" spans="1:40" x14ac:dyDescent="0.3">
      <c r="A3077" s="10" t="str">
        <f>HYPERLINK("http://www.washoecounty.gov/assessor/cama/?parid=043-221-51&amp;CardNumber=1","043-221-51")</f>
        <v>043-221-51</v>
      </c>
      <c r="B3077" t="s">
        <v>4655</v>
      </c>
      <c r="C3077" t="s">
        <v>17717</v>
      </c>
      <c r="D3077" s="1">
        <v>40421</v>
      </c>
      <c r="E3077" s="2">
        <v>150000</v>
      </c>
      <c r="F3077" t="s">
        <v>4553</v>
      </c>
      <c r="G3077" s="17" t="str">
        <f>HYPERLINK("https://www.washoecounty.gov/assessor/cama/?command=sales&amp;parid=04322151","3917461")</f>
        <v>3917461</v>
      </c>
      <c r="H3077" t="s">
        <v>17713</v>
      </c>
      <c r="I3077">
        <v>1991</v>
      </c>
      <c r="J3077">
        <v>1991</v>
      </c>
      <c r="K3077" t="s">
        <v>4554</v>
      </c>
      <c r="L3077" t="s">
        <v>3974</v>
      </c>
      <c r="M3077" s="2">
        <v>1654</v>
      </c>
      <c r="N3077" t="s">
        <v>4048</v>
      </c>
      <c r="O3077">
        <v>3</v>
      </c>
      <c r="P3077">
        <v>2</v>
      </c>
      <c r="Q3077">
        <v>1</v>
      </c>
      <c r="R3077" t="s">
        <v>4557</v>
      </c>
      <c r="S3077" t="s">
        <v>4558</v>
      </c>
      <c r="T3077" t="s">
        <v>4559</v>
      </c>
      <c r="U3077" t="s">
        <v>4560</v>
      </c>
      <c r="V3077" s="2">
        <v>483</v>
      </c>
      <c r="W3077" t="s">
        <v>4655</v>
      </c>
      <c r="X3077" s="2">
        <v>0</v>
      </c>
      <c r="Y3077">
        <v>21</v>
      </c>
      <c r="Z3077" t="s">
        <v>5282</v>
      </c>
      <c r="AA3077" s="3">
        <v>1.00000004749745E-3</v>
      </c>
      <c r="AB3077" t="s">
        <v>17718</v>
      </c>
      <c r="AC3077" t="s">
        <v>4575</v>
      </c>
      <c r="AD3077" t="s">
        <v>17717</v>
      </c>
      <c r="AE3077" t="s">
        <v>4655</v>
      </c>
      <c r="AF3077" t="s">
        <v>4563</v>
      </c>
      <c r="AG3077" t="s">
        <v>4564</v>
      </c>
      <c r="AH3077">
        <v>89511</v>
      </c>
      <c r="AI3077" t="s">
        <v>4655</v>
      </c>
      <c r="AJ3077" t="s">
        <v>4655</v>
      </c>
      <c r="AK3077" t="s">
        <v>17719</v>
      </c>
      <c r="AL3077" s="13" t="s">
        <v>2257</v>
      </c>
      <c r="AM3077">
        <v>1</v>
      </c>
      <c r="AN3077" s="15" t="s">
        <v>5506</v>
      </c>
    </row>
    <row r="3078" spans="1:40" x14ac:dyDescent="0.3">
      <c r="A3078" s="10" t="str">
        <f>HYPERLINK("http://www.washoecounty.gov/assessor/cama/?parid=043-221-57&amp;CardNumber=1","043-221-57")</f>
        <v>043-221-57</v>
      </c>
      <c r="B3078" t="s">
        <v>4655</v>
      </c>
      <c r="C3078" t="s">
        <v>17720</v>
      </c>
      <c r="D3078" s="1">
        <v>40436</v>
      </c>
      <c r="E3078" s="2">
        <v>158750</v>
      </c>
      <c r="F3078" t="s">
        <v>4553</v>
      </c>
      <c r="G3078" s="17" t="str">
        <f>HYPERLINK("https://www.washoecounty.gov/assessor/cama/?command=sales&amp;parid=04322157","3922432")</f>
        <v>3922432</v>
      </c>
      <c r="H3078" t="s">
        <v>17713</v>
      </c>
      <c r="I3078">
        <v>1991</v>
      </c>
      <c r="J3078">
        <v>1991</v>
      </c>
      <c r="K3078" t="s">
        <v>4554</v>
      </c>
      <c r="L3078" t="s">
        <v>3974</v>
      </c>
      <c r="M3078" s="2">
        <v>1581</v>
      </c>
      <c r="N3078" t="s">
        <v>4048</v>
      </c>
      <c r="O3078">
        <v>3</v>
      </c>
      <c r="P3078">
        <v>2</v>
      </c>
      <c r="Q3078">
        <v>1</v>
      </c>
      <c r="R3078" t="s">
        <v>4557</v>
      </c>
      <c r="S3078" t="s">
        <v>4558</v>
      </c>
      <c r="T3078" t="s">
        <v>4559</v>
      </c>
      <c r="U3078" t="s">
        <v>4560</v>
      </c>
      <c r="V3078" s="2">
        <v>441</v>
      </c>
      <c r="W3078" t="s">
        <v>4655</v>
      </c>
      <c r="X3078" s="2">
        <v>0</v>
      </c>
      <c r="Y3078">
        <v>21</v>
      </c>
      <c r="Z3078" t="s">
        <v>5282</v>
      </c>
      <c r="AA3078" s="3">
        <v>1.00000004749745E-3</v>
      </c>
      <c r="AB3078" t="s">
        <v>17721</v>
      </c>
      <c r="AC3078" t="s">
        <v>4562</v>
      </c>
      <c r="AD3078" t="s">
        <v>17720</v>
      </c>
      <c r="AE3078" t="s">
        <v>4655</v>
      </c>
      <c r="AF3078" t="s">
        <v>4563</v>
      </c>
      <c r="AG3078" t="s">
        <v>4564</v>
      </c>
      <c r="AH3078">
        <v>89511</v>
      </c>
      <c r="AI3078" t="s">
        <v>2351</v>
      </c>
      <c r="AJ3078" t="s">
        <v>4655</v>
      </c>
      <c r="AK3078" t="s">
        <v>17722</v>
      </c>
      <c r="AL3078" s="13" t="s">
        <v>2257</v>
      </c>
      <c r="AM3078" s="14">
        <v>1</v>
      </c>
      <c r="AN3078" s="15" t="s">
        <v>5506</v>
      </c>
    </row>
    <row r="3079" spans="1:40" x14ac:dyDescent="0.3">
      <c r="A3079" s="10" t="str">
        <f>HYPERLINK("http://www.washoecounty.gov/assessor/cama/?parid=043-221-76&amp;CardNumber=1","043-221-76")</f>
        <v>043-221-76</v>
      </c>
      <c r="B3079" t="s">
        <v>4655</v>
      </c>
      <c r="C3079" t="s">
        <v>17723</v>
      </c>
      <c r="D3079" s="1">
        <v>40375</v>
      </c>
      <c r="E3079" s="2">
        <v>146000</v>
      </c>
      <c r="F3079" t="s">
        <v>4567</v>
      </c>
      <c r="G3079" s="17" t="str">
        <f>HYPERLINK("https://www.washoecounty.gov/assessor/cama/?command=sales&amp;parid=04322176","3902050")</f>
        <v>3902050</v>
      </c>
      <c r="H3079" t="s">
        <v>17713</v>
      </c>
      <c r="I3079">
        <v>1990</v>
      </c>
      <c r="J3079">
        <v>1990</v>
      </c>
      <c r="K3079" t="s">
        <v>4554</v>
      </c>
      <c r="L3079" t="s">
        <v>3974</v>
      </c>
      <c r="M3079" s="2">
        <v>1498</v>
      </c>
      <c r="N3079" t="s">
        <v>4048</v>
      </c>
      <c r="O3079">
        <v>3</v>
      </c>
      <c r="P3079">
        <v>2</v>
      </c>
      <c r="Q3079">
        <v>1</v>
      </c>
      <c r="R3079" t="s">
        <v>4557</v>
      </c>
      <c r="S3079" t="s">
        <v>4558</v>
      </c>
      <c r="T3079" t="s">
        <v>4559</v>
      </c>
      <c r="U3079" t="s">
        <v>4560</v>
      </c>
      <c r="V3079" s="2">
        <v>441</v>
      </c>
      <c r="W3079" t="s">
        <v>4655</v>
      </c>
      <c r="X3079" s="2">
        <v>0</v>
      </c>
      <c r="Y3079">
        <v>21</v>
      </c>
      <c r="Z3079" t="s">
        <v>5282</v>
      </c>
      <c r="AA3079" s="3">
        <v>1.00000004749745E-3</v>
      </c>
      <c r="AB3079" t="s">
        <v>17724</v>
      </c>
      <c r="AC3079" t="s">
        <v>4562</v>
      </c>
      <c r="AD3079" t="s">
        <v>17723</v>
      </c>
      <c r="AE3079" t="s">
        <v>4655</v>
      </c>
      <c r="AF3079" t="s">
        <v>4563</v>
      </c>
      <c r="AG3079" t="s">
        <v>4564</v>
      </c>
      <c r="AH3079">
        <v>89511</v>
      </c>
      <c r="AI3079" t="s">
        <v>17725</v>
      </c>
      <c r="AJ3079" t="s">
        <v>4655</v>
      </c>
      <c r="AK3079" t="s">
        <v>17726</v>
      </c>
      <c r="AL3079" s="13" t="s">
        <v>2257</v>
      </c>
      <c r="AM3079" s="14">
        <v>1</v>
      </c>
      <c r="AN3079" s="15" t="s">
        <v>5506</v>
      </c>
    </row>
    <row r="3080" spans="1:40" x14ac:dyDescent="0.3">
      <c r="A3080" s="10" t="str">
        <f>HYPERLINK("http://www.washoecounty.gov/assessor/cama/?parid=043-271-13&amp;CardNumber=1","043-271-13")</f>
        <v>043-271-13</v>
      </c>
      <c r="B3080" t="s">
        <v>4655</v>
      </c>
      <c r="C3080" t="s">
        <v>17727</v>
      </c>
      <c r="D3080" s="1">
        <v>40479</v>
      </c>
      <c r="E3080" s="2">
        <v>136000</v>
      </c>
      <c r="F3080" t="s">
        <v>4567</v>
      </c>
      <c r="G3080" s="17" t="str">
        <f>HYPERLINK("https://www.washoecounty.gov/assessor/cama/?command=sales&amp;parid=04327113","3937996")</f>
        <v>3937996</v>
      </c>
      <c r="H3080" t="s">
        <v>3361</v>
      </c>
      <c r="I3080">
        <v>1994</v>
      </c>
      <c r="J3080">
        <v>1994</v>
      </c>
      <c r="K3080" t="s">
        <v>4554</v>
      </c>
      <c r="L3080" t="s">
        <v>4555</v>
      </c>
      <c r="M3080" s="2">
        <v>1049</v>
      </c>
      <c r="N3080" t="s">
        <v>4048</v>
      </c>
      <c r="O3080">
        <v>3</v>
      </c>
      <c r="P3080">
        <v>2</v>
      </c>
      <c r="Q3080">
        <v>0</v>
      </c>
      <c r="R3080" t="s">
        <v>4557</v>
      </c>
      <c r="S3080" t="s">
        <v>4558</v>
      </c>
      <c r="T3080" t="s">
        <v>4559</v>
      </c>
      <c r="U3080" t="s">
        <v>4560</v>
      </c>
      <c r="V3080" s="2">
        <v>400</v>
      </c>
      <c r="W3080" t="s">
        <v>4655</v>
      </c>
      <c r="X3080" s="2">
        <v>0</v>
      </c>
      <c r="Y3080">
        <v>21</v>
      </c>
      <c r="Z3080" t="s">
        <v>5282</v>
      </c>
      <c r="AA3080" s="3">
        <v>5.7001836597919499E-2</v>
      </c>
      <c r="AB3080" t="s">
        <v>17728</v>
      </c>
      <c r="AC3080" t="s">
        <v>4562</v>
      </c>
      <c r="AD3080" t="s">
        <v>17727</v>
      </c>
      <c r="AE3080" t="s">
        <v>4655</v>
      </c>
      <c r="AF3080" t="s">
        <v>4563</v>
      </c>
      <c r="AG3080" t="s">
        <v>4564</v>
      </c>
      <c r="AH3080">
        <v>89511</v>
      </c>
      <c r="AI3080" t="s">
        <v>17729</v>
      </c>
      <c r="AJ3080">
        <v>43270</v>
      </c>
      <c r="AK3080" t="s">
        <v>17730</v>
      </c>
      <c r="AL3080" s="13" t="s">
        <v>2257</v>
      </c>
      <c r="AM3080">
        <v>1</v>
      </c>
      <c r="AN3080" s="15" t="s">
        <v>5506</v>
      </c>
    </row>
    <row r="3081" spans="1:40" x14ac:dyDescent="0.3">
      <c r="A3081" s="10" t="str">
        <f>HYPERLINK("http://www.washoecounty.gov/assessor/cama/?parid=043-271-21&amp;CardNumber=1","043-271-21")</f>
        <v>043-271-21</v>
      </c>
      <c r="B3081" t="s">
        <v>4655</v>
      </c>
      <c r="C3081" t="s">
        <v>17731</v>
      </c>
      <c r="D3081" s="1">
        <v>40283</v>
      </c>
      <c r="E3081" s="2">
        <v>139000</v>
      </c>
      <c r="F3081" t="s">
        <v>4567</v>
      </c>
      <c r="G3081" s="17" t="str">
        <f>HYPERLINK("https://www.washoecounty.gov/assessor/cama/?command=sales&amp;parid=04327121","3871383")</f>
        <v>3871383</v>
      </c>
      <c r="H3081" t="s">
        <v>3361</v>
      </c>
      <c r="I3081">
        <v>1993</v>
      </c>
      <c r="J3081">
        <v>1993</v>
      </c>
      <c r="K3081" t="s">
        <v>4554</v>
      </c>
      <c r="L3081" t="s">
        <v>4555</v>
      </c>
      <c r="M3081" s="2">
        <v>1049</v>
      </c>
      <c r="N3081" t="s">
        <v>4048</v>
      </c>
      <c r="O3081">
        <v>3</v>
      </c>
      <c r="P3081">
        <v>2</v>
      </c>
      <c r="Q3081">
        <v>0</v>
      </c>
      <c r="R3081" t="s">
        <v>4557</v>
      </c>
      <c r="S3081" t="s">
        <v>4558</v>
      </c>
      <c r="T3081" t="s">
        <v>4559</v>
      </c>
      <c r="U3081" t="s">
        <v>4560</v>
      </c>
      <c r="V3081" s="2">
        <v>400</v>
      </c>
      <c r="W3081" t="s">
        <v>4655</v>
      </c>
      <c r="X3081" s="2">
        <v>0</v>
      </c>
      <c r="Y3081">
        <v>21</v>
      </c>
      <c r="Z3081" t="s">
        <v>5282</v>
      </c>
      <c r="AA3081" s="3">
        <v>5.7001836597919499E-2</v>
      </c>
      <c r="AB3081" t="s">
        <v>17732</v>
      </c>
      <c r="AC3081" t="s">
        <v>4575</v>
      </c>
      <c r="AD3081" t="s">
        <v>17731</v>
      </c>
      <c r="AE3081" t="s">
        <v>4655</v>
      </c>
      <c r="AF3081" t="s">
        <v>4563</v>
      </c>
      <c r="AG3081" t="s">
        <v>4564</v>
      </c>
      <c r="AH3081">
        <v>89511</v>
      </c>
      <c r="AI3081" t="s">
        <v>17733</v>
      </c>
      <c r="AJ3081">
        <v>43270</v>
      </c>
      <c r="AK3081" t="s">
        <v>17734</v>
      </c>
      <c r="AL3081" s="13" t="s">
        <v>2257</v>
      </c>
      <c r="AM3081" s="14">
        <v>1</v>
      </c>
      <c r="AN3081" s="15" t="s">
        <v>5506</v>
      </c>
    </row>
    <row r="3082" spans="1:40" x14ac:dyDescent="0.3">
      <c r="A3082" s="10" t="str">
        <f>HYPERLINK("http://www.washoecounty.gov/assessor/cama/?parid=043-271-31&amp;CardNumber=1","043-271-31")</f>
        <v>043-271-31</v>
      </c>
      <c r="B3082" t="s">
        <v>4655</v>
      </c>
      <c r="C3082" t="s">
        <v>17735</v>
      </c>
      <c r="D3082" s="1">
        <v>40213</v>
      </c>
      <c r="E3082" s="2">
        <v>139000</v>
      </c>
      <c r="F3082" t="s">
        <v>4567</v>
      </c>
      <c r="G3082" s="17" t="str">
        <f>HYPERLINK("https://www.washoecounty.gov/assessor/cama/?command=sales&amp;parid=04327131","3845901")</f>
        <v>3845901</v>
      </c>
      <c r="H3082" t="s">
        <v>17736</v>
      </c>
      <c r="I3082">
        <v>1993</v>
      </c>
      <c r="J3082">
        <v>1993</v>
      </c>
      <c r="K3082" t="s">
        <v>4554</v>
      </c>
      <c r="L3082" t="s">
        <v>4555</v>
      </c>
      <c r="M3082" s="2">
        <v>1288</v>
      </c>
      <c r="N3082" t="s">
        <v>4048</v>
      </c>
      <c r="O3082">
        <v>3</v>
      </c>
      <c r="P3082">
        <v>2</v>
      </c>
      <c r="Q3082">
        <v>0</v>
      </c>
      <c r="R3082" t="s">
        <v>4557</v>
      </c>
      <c r="S3082" t="s">
        <v>4558</v>
      </c>
      <c r="T3082" t="s">
        <v>4559</v>
      </c>
      <c r="U3082" t="s">
        <v>4560</v>
      </c>
      <c r="V3082" s="2">
        <v>441</v>
      </c>
      <c r="W3082" t="s">
        <v>4655</v>
      </c>
      <c r="X3082" s="2">
        <v>0</v>
      </c>
      <c r="Y3082">
        <v>21</v>
      </c>
      <c r="Z3082" t="s">
        <v>5282</v>
      </c>
      <c r="AA3082" s="3">
        <v>6.7011021077632904E-2</v>
      </c>
      <c r="AB3082" t="s">
        <v>17737</v>
      </c>
      <c r="AC3082" t="s">
        <v>4562</v>
      </c>
      <c r="AD3082" t="s">
        <v>17735</v>
      </c>
      <c r="AE3082" t="s">
        <v>4655</v>
      </c>
      <c r="AF3082" t="s">
        <v>4563</v>
      </c>
      <c r="AG3082" t="s">
        <v>4564</v>
      </c>
      <c r="AH3082">
        <v>89511</v>
      </c>
      <c r="AI3082" t="s">
        <v>17738</v>
      </c>
      <c r="AJ3082">
        <v>43270</v>
      </c>
      <c r="AK3082" t="s">
        <v>17739</v>
      </c>
      <c r="AL3082" s="13" t="s">
        <v>2257</v>
      </c>
      <c r="AM3082">
        <v>1</v>
      </c>
      <c r="AN3082" s="15" t="s">
        <v>5506</v>
      </c>
    </row>
    <row r="3083" spans="1:40" x14ac:dyDescent="0.3">
      <c r="A3083" s="10" t="str">
        <f>HYPERLINK("http://www.washoecounty.gov/assessor/cama/?parid=043-311-04&amp;CardNumber=1","043-311-04")</f>
        <v>043-311-04</v>
      </c>
      <c r="B3083" t="s">
        <v>4655</v>
      </c>
      <c r="C3083" t="s">
        <v>17740</v>
      </c>
      <c r="D3083" s="1">
        <v>40388</v>
      </c>
      <c r="E3083" s="2">
        <v>195000</v>
      </c>
      <c r="F3083" t="s">
        <v>4567</v>
      </c>
      <c r="G3083" s="17" t="str">
        <f>HYPERLINK("https://www.washoecounty.gov/assessor/cama/?command=sales&amp;parid=04331104","3906452")</f>
        <v>3906452</v>
      </c>
      <c r="H3083" t="s">
        <v>5340</v>
      </c>
      <c r="I3083">
        <v>1999</v>
      </c>
      <c r="J3083">
        <v>1999</v>
      </c>
      <c r="K3083" t="s">
        <v>4554</v>
      </c>
      <c r="L3083" t="s">
        <v>4555</v>
      </c>
      <c r="M3083" s="2">
        <v>1308</v>
      </c>
      <c r="N3083" t="s">
        <v>5280</v>
      </c>
      <c r="O3083">
        <v>2</v>
      </c>
      <c r="P3083">
        <v>2</v>
      </c>
      <c r="Q3083">
        <v>0</v>
      </c>
      <c r="R3083" t="s">
        <v>5281</v>
      </c>
      <c r="S3083" t="s">
        <v>4898</v>
      </c>
      <c r="T3083" t="s">
        <v>2704</v>
      </c>
      <c r="U3083" t="s">
        <v>4560</v>
      </c>
      <c r="V3083" s="2">
        <v>428</v>
      </c>
      <c r="W3083" t="s">
        <v>4655</v>
      </c>
      <c r="X3083" s="2">
        <v>0</v>
      </c>
      <c r="Y3083">
        <v>20</v>
      </c>
      <c r="Z3083" t="s">
        <v>4561</v>
      </c>
      <c r="AA3083" s="3">
        <v>9.2011019587516799E-2</v>
      </c>
      <c r="AB3083" t="s">
        <v>17741</v>
      </c>
      <c r="AC3083" t="s">
        <v>4575</v>
      </c>
      <c r="AD3083" t="s">
        <v>17740</v>
      </c>
      <c r="AE3083" t="s">
        <v>4655</v>
      </c>
      <c r="AF3083" t="s">
        <v>4563</v>
      </c>
      <c r="AG3083" t="s">
        <v>4564</v>
      </c>
      <c r="AH3083">
        <v>89511</v>
      </c>
      <c r="AI3083" t="s">
        <v>17742</v>
      </c>
      <c r="AJ3083" t="s">
        <v>5341</v>
      </c>
      <c r="AK3083" t="s">
        <v>17743</v>
      </c>
      <c r="AL3083" s="13" t="s">
        <v>2255</v>
      </c>
      <c r="AM3083">
        <v>1</v>
      </c>
      <c r="AN3083" s="15" t="s">
        <v>5342</v>
      </c>
    </row>
    <row r="3084" spans="1:40" x14ac:dyDescent="0.3">
      <c r="A3084" s="10" t="str">
        <f>HYPERLINK("http://www.washoecounty.gov/assessor/cama/?parid=043-311-39&amp;CardNumber=1","043-311-39")</f>
        <v>043-311-39</v>
      </c>
      <c r="B3084" t="s">
        <v>4655</v>
      </c>
      <c r="C3084" t="s">
        <v>17744</v>
      </c>
      <c r="D3084" s="1">
        <v>40466</v>
      </c>
      <c r="E3084" s="2">
        <v>187500</v>
      </c>
      <c r="F3084" t="s">
        <v>4567</v>
      </c>
      <c r="G3084" s="17" t="str">
        <f>HYPERLINK("https://www.washoecounty.gov/assessor/cama/?command=sales&amp;parid=04331139","3933618")</f>
        <v>3933618</v>
      </c>
      <c r="H3084" t="s">
        <v>5340</v>
      </c>
      <c r="I3084">
        <v>2001</v>
      </c>
      <c r="J3084">
        <v>2001</v>
      </c>
      <c r="K3084" t="s">
        <v>4554</v>
      </c>
      <c r="L3084" t="s">
        <v>4555</v>
      </c>
      <c r="M3084" s="2">
        <v>1309</v>
      </c>
      <c r="N3084" t="s">
        <v>5280</v>
      </c>
      <c r="O3084">
        <v>2</v>
      </c>
      <c r="P3084">
        <v>2</v>
      </c>
      <c r="Q3084">
        <v>0</v>
      </c>
      <c r="R3084" t="s">
        <v>5281</v>
      </c>
      <c r="S3084" t="s">
        <v>4898</v>
      </c>
      <c r="T3084" t="s">
        <v>2704</v>
      </c>
      <c r="U3084" t="s">
        <v>4560</v>
      </c>
      <c r="V3084" s="2">
        <v>428</v>
      </c>
      <c r="W3084" t="s">
        <v>4655</v>
      </c>
      <c r="X3084" s="2">
        <v>0</v>
      </c>
      <c r="Y3084">
        <v>20</v>
      </c>
      <c r="Z3084" t="s">
        <v>4561</v>
      </c>
      <c r="AA3084" s="3">
        <v>0.12601010501384699</v>
      </c>
      <c r="AB3084" t="s">
        <v>3</v>
      </c>
      <c r="AC3084" t="s">
        <v>4575</v>
      </c>
      <c r="AD3084" t="s">
        <v>17744</v>
      </c>
      <c r="AE3084" t="s">
        <v>4655</v>
      </c>
      <c r="AF3084" t="s">
        <v>4563</v>
      </c>
      <c r="AG3084" t="s">
        <v>4564</v>
      </c>
      <c r="AH3084">
        <v>89511</v>
      </c>
      <c r="AI3084" t="s">
        <v>17745</v>
      </c>
      <c r="AJ3084" t="s">
        <v>5341</v>
      </c>
      <c r="AK3084" t="s">
        <v>17746</v>
      </c>
      <c r="AL3084" s="13" t="s">
        <v>2255</v>
      </c>
      <c r="AM3084" s="14">
        <v>1</v>
      </c>
      <c r="AN3084" s="15" t="s">
        <v>5342</v>
      </c>
    </row>
    <row r="3085" spans="1:40" x14ac:dyDescent="0.3">
      <c r="A3085" s="10" t="str">
        <f>HYPERLINK("http://www.washoecounty.gov/assessor/cama/?parid=043-313-01&amp;CardNumber=1","043-313-01")</f>
        <v>043-313-01</v>
      </c>
      <c r="B3085" t="s">
        <v>4655</v>
      </c>
      <c r="C3085" t="s">
        <v>17747</v>
      </c>
      <c r="D3085" s="1">
        <v>40357</v>
      </c>
      <c r="E3085" s="2">
        <v>249000</v>
      </c>
      <c r="F3085" t="s">
        <v>4567</v>
      </c>
      <c r="G3085" s="17" t="str">
        <f>HYPERLINK("https://www.washoecounty.gov/assessor/cama/?command=sales&amp;parid=04331301","3896090")</f>
        <v>3896090</v>
      </c>
      <c r="H3085" t="s">
        <v>5340</v>
      </c>
      <c r="I3085">
        <v>2000</v>
      </c>
      <c r="J3085">
        <v>2000</v>
      </c>
      <c r="K3085" t="s">
        <v>4554</v>
      </c>
      <c r="L3085" t="s">
        <v>4555</v>
      </c>
      <c r="M3085" s="2">
        <v>1729</v>
      </c>
      <c r="N3085" t="s">
        <v>5280</v>
      </c>
      <c r="O3085">
        <v>2</v>
      </c>
      <c r="P3085">
        <v>2</v>
      </c>
      <c r="Q3085">
        <v>0</v>
      </c>
      <c r="R3085" t="s">
        <v>5281</v>
      </c>
      <c r="S3085" t="s">
        <v>4898</v>
      </c>
      <c r="T3085" t="s">
        <v>2704</v>
      </c>
      <c r="U3085" t="s">
        <v>4560</v>
      </c>
      <c r="V3085" s="2">
        <v>380</v>
      </c>
      <c r="W3085" t="s">
        <v>4655</v>
      </c>
      <c r="X3085" s="2">
        <v>0</v>
      </c>
      <c r="Y3085">
        <v>20</v>
      </c>
      <c r="Z3085" t="s">
        <v>4561</v>
      </c>
      <c r="AA3085" s="3">
        <v>9.4995409250259399E-2</v>
      </c>
      <c r="AB3085" t="s">
        <v>17748</v>
      </c>
      <c r="AC3085" t="s">
        <v>4562</v>
      </c>
      <c r="AD3085" t="s">
        <v>5478</v>
      </c>
      <c r="AE3085" t="s">
        <v>4655</v>
      </c>
      <c r="AF3085" t="s">
        <v>5479</v>
      </c>
      <c r="AG3085" t="s">
        <v>1539</v>
      </c>
      <c r="AH3085">
        <v>98004</v>
      </c>
      <c r="AI3085" t="s">
        <v>17749</v>
      </c>
      <c r="AJ3085" t="s">
        <v>5341</v>
      </c>
      <c r="AK3085" t="s">
        <v>17750</v>
      </c>
      <c r="AL3085" s="13" t="s">
        <v>2255</v>
      </c>
      <c r="AM3085">
        <v>1</v>
      </c>
      <c r="AN3085" s="15" t="s">
        <v>5342</v>
      </c>
    </row>
    <row r="3086" spans="1:40" x14ac:dyDescent="0.3">
      <c r="A3086" s="10" t="str">
        <f>HYPERLINK("http://www.washoecounty.gov/assessor/cama/?parid=043-313-09&amp;CardNumber=1","043-313-09")</f>
        <v>043-313-09</v>
      </c>
      <c r="B3086" t="s">
        <v>4655</v>
      </c>
      <c r="C3086" t="s">
        <v>17751</v>
      </c>
      <c r="D3086" s="1">
        <v>40378</v>
      </c>
      <c r="E3086" s="2">
        <v>199000</v>
      </c>
      <c r="F3086" t="s">
        <v>4567</v>
      </c>
      <c r="G3086" s="17" t="str">
        <f>HYPERLINK("https://www.washoecounty.gov/assessor/cama/?command=sales&amp;parid=04331309","3902601")</f>
        <v>3902601</v>
      </c>
      <c r="H3086" t="s">
        <v>5340</v>
      </c>
      <c r="I3086">
        <v>2000</v>
      </c>
      <c r="J3086">
        <v>2000</v>
      </c>
      <c r="K3086" t="s">
        <v>4554</v>
      </c>
      <c r="L3086" t="s">
        <v>4555</v>
      </c>
      <c r="M3086" s="2">
        <v>1308</v>
      </c>
      <c r="N3086" t="s">
        <v>5280</v>
      </c>
      <c r="O3086">
        <v>2</v>
      </c>
      <c r="P3086">
        <v>2</v>
      </c>
      <c r="Q3086">
        <v>0</v>
      </c>
      <c r="R3086" t="s">
        <v>5281</v>
      </c>
      <c r="S3086" t="s">
        <v>4898</v>
      </c>
      <c r="T3086" t="s">
        <v>2704</v>
      </c>
      <c r="U3086" t="s">
        <v>4560</v>
      </c>
      <c r="V3086" s="2">
        <v>428</v>
      </c>
      <c r="W3086" t="s">
        <v>4655</v>
      </c>
      <c r="X3086" s="2">
        <v>0</v>
      </c>
      <c r="Y3086">
        <v>20</v>
      </c>
      <c r="Z3086" t="s">
        <v>4561</v>
      </c>
      <c r="AA3086" s="3">
        <v>0.15500459074974099</v>
      </c>
      <c r="AB3086" t="s">
        <v>606</v>
      </c>
      <c r="AC3086" t="s">
        <v>4575</v>
      </c>
      <c r="AD3086" t="s">
        <v>17751</v>
      </c>
      <c r="AE3086" t="s">
        <v>4655</v>
      </c>
      <c r="AF3086" t="s">
        <v>4563</v>
      </c>
      <c r="AG3086" t="s">
        <v>4564</v>
      </c>
      <c r="AH3086">
        <v>89511</v>
      </c>
      <c r="AI3086" t="s">
        <v>17752</v>
      </c>
      <c r="AJ3086" t="s">
        <v>5341</v>
      </c>
      <c r="AK3086" t="s">
        <v>17753</v>
      </c>
      <c r="AL3086" s="13" t="s">
        <v>2255</v>
      </c>
      <c r="AM3086" s="14">
        <v>1</v>
      </c>
      <c r="AN3086" s="15" t="s">
        <v>5342</v>
      </c>
    </row>
    <row r="3087" spans="1:40" x14ac:dyDescent="0.3">
      <c r="A3087" s="10" t="str">
        <f>HYPERLINK("http://www.washoecounty.gov/assessor/cama/?parid=043-313-11&amp;CardNumber=1","043-313-11")</f>
        <v>043-313-11</v>
      </c>
      <c r="B3087" t="s">
        <v>4655</v>
      </c>
      <c r="C3087" t="s">
        <v>17754</v>
      </c>
      <c r="D3087" s="1">
        <v>40312</v>
      </c>
      <c r="E3087" s="2">
        <v>210000</v>
      </c>
      <c r="F3087" t="s">
        <v>4567</v>
      </c>
      <c r="G3087" s="17" t="str">
        <f>HYPERLINK("https://www.washoecounty.gov/assessor/cama/?command=sales&amp;parid=04331311","3881757")</f>
        <v>3881757</v>
      </c>
      <c r="H3087" t="s">
        <v>5340</v>
      </c>
      <c r="I3087">
        <v>2000</v>
      </c>
      <c r="J3087">
        <v>2000</v>
      </c>
      <c r="K3087" t="s">
        <v>4554</v>
      </c>
      <c r="L3087" t="s">
        <v>4555</v>
      </c>
      <c r="M3087" s="2">
        <v>1521</v>
      </c>
      <c r="N3087" t="s">
        <v>5280</v>
      </c>
      <c r="O3087">
        <v>3</v>
      </c>
      <c r="P3087">
        <v>2</v>
      </c>
      <c r="Q3087">
        <v>0</v>
      </c>
      <c r="R3087" t="s">
        <v>5281</v>
      </c>
      <c r="S3087" t="s">
        <v>4898</v>
      </c>
      <c r="T3087" t="s">
        <v>2704</v>
      </c>
      <c r="U3087" t="s">
        <v>4560</v>
      </c>
      <c r="V3087" s="2">
        <v>380</v>
      </c>
      <c r="W3087" t="s">
        <v>4655</v>
      </c>
      <c r="X3087" s="2">
        <v>0</v>
      </c>
      <c r="Y3087">
        <v>20</v>
      </c>
      <c r="Z3087" t="s">
        <v>4561</v>
      </c>
      <c r="AA3087" s="3">
        <v>9.2998161911964403E-2</v>
      </c>
      <c r="AB3087" t="s">
        <v>17755</v>
      </c>
      <c r="AC3087" t="s">
        <v>4562</v>
      </c>
      <c r="AD3087" t="s">
        <v>17756</v>
      </c>
      <c r="AE3087" t="s">
        <v>4655</v>
      </c>
      <c r="AF3087" t="s">
        <v>4563</v>
      </c>
      <c r="AG3087" t="s">
        <v>4564</v>
      </c>
      <c r="AH3087">
        <v>89511</v>
      </c>
      <c r="AI3087" t="s">
        <v>4655</v>
      </c>
      <c r="AJ3087" t="s">
        <v>5341</v>
      </c>
      <c r="AK3087" t="s">
        <v>17757</v>
      </c>
      <c r="AL3087" s="13" t="s">
        <v>2255</v>
      </c>
      <c r="AM3087" s="14">
        <v>1</v>
      </c>
      <c r="AN3087" s="15" t="s">
        <v>5342</v>
      </c>
    </row>
    <row r="3088" spans="1:40" x14ac:dyDescent="0.3">
      <c r="A3088" s="10" t="str">
        <f>HYPERLINK("http://www.washoecounty.gov/assessor/cama/?parid=043-313-15&amp;CardNumber=1","043-313-15")</f>
        <v>043-313-15</v>
      </c>
      <c r="B3088" t="s">
        <v>4655</v>
      </c>
      <c r="C3088" t="s">
        <v>17758</v>
      </c>
      <c r="D3088" s="1">
        <v>40353</v>
      </c>
      <c r="E3088" s="2">
        <v>289000</v>
      </c>
      <c r="F3088" t="s">
        <v>4567</v>
      </c>
      <c r="G3088" s="17" t="str">
        <f>HYPERLINK("https://www.washoecounty.gov/assessor/cama/?command=sales&amp;parid=04331315","3895123")</f>
        <v>3895123</v>
      </c>
      <c r="H3088" t="s">
        <v>5340</v>
      </c>
      <c r="I3088">
        <v>2000</v>
      </c>
      <c r="J3088">
        <v>2000</v>
      </c>
      <c r="K3088" t="s">
        <v>4554</v>
      </c>
      <c r="L3088" t="s">
        <v>4555</v>
      </c>
      <c r="M3088" s="2">
        <v>1729</v>
      </c>
      <c r="N3088" t="s">
        <v>5280</v>
      </c>
      <c r="O3088">
        <v>2</v>
      </c>
      <c r="P3088">
        <v>2</v>
      </c>
      <c r="Q3088">
        <v>0</v>
      </c>
      <c r="R3088" t="s">
        <v>5281</v>
      </c>
      <c r="S3088" t="s">
        <v>4898</v>
      </c>
      <c r="T3088" t="s">
        <v>2704</v>
      </c>
      <c r="U3088" t="s">
        <v>4560</v>
      </c>
      <c r="V3088" s="2">
        <v>380</v>
      </c>
      <c r="W3088" t="s">
        <v>4655</v>
      </c>
      <c r="X3088" s="2">
        <v>0</v>
      </c>
      <c r="Y3088">
        <v>20</v>
      </c>
      <c r="Z3088" t="s">
        <v>4561</v>
      </c>
      <c r="AA3088" s="3">
        <v>9.2998161911964403E-2</v>
      </c>
      <c r="AB3088" t="s">
        <v>17759</v>
      </c>
      <c r="AC3088" t="s">
        <v>4575</v>
      </c>
      <c r="AD3088" t="s">
        <v>17758</v>
      </c>
      <c r="AE3088" t="s">
        <v>4655</v>
      </c>
      <c r="AF3088" t="s">
        <v>4563</v>
      </c>
      <c r="AG3088" t="s">
        <v>4564</v>
      </c>
      <c r="AH3088">
        <v>89511</v>
      </c>
      <c r="AI3088" t="s">
        <v>17760</v>
      </c>
      <c r="AJ3088" t="s">
        <v>5341</v>
      </c>
      <c r="AK3088" t="s">
        <v>17761</v>
      </c>
      <c r="AL3088" s="13" t="s">
        <v>2255</v>
      </c>
      <c r="AM3088">
        <v>1</v>
      </c>
      <c r="AN3088" s="15" t="s">
        <v>5342</v>
      </c>
    </row>
    <row r="3089" spans="1:40" x14ac:dyDescent="0.3">
      <c r="A3089" s="10" t="str">
        <f>HYPERLINK("http://www.washoecounty.gov/assessor/cama/?parid=043-322-01&amp;CardNumber=1","043-322-01")</f>
        <v>043-322-01</v>
      </c>
      <c r="B3089" t="s">
        <v>4655</v>
      </c>
      <c r="C3089" t="s">
        <v>17762</v>
      </c>
      <c r="D3089" s="1">
        <v>40298</v>
      </c>
      <c r="E3089" s="2">
        <v>245000</v>
      </c>
      <c r="F3089" t="s">
        <v>4187</v>
      </c>
      <c r="G3089" s="17" t="str">
        <f>HYPERLINK("https://www.washoecounty.gov/assessor/cama/?command=sales&amp;parid=04332201","3876554")</f>
        <v>3876554</v>
      </c>
      <c r="H3089" t="s">
        <v>17763</v>
      </c>
      <c r="I3089">
        <v>2004</v>
      </c>
      <c r="J3089">
        <v>2004</v>
      </c>
      <c r="K3089" t="s">
        <v>3919</v>
      </c>
      <c r="L3089" t="s">
        <v>1366</v>
      </c>
      <c r="M3089" s="2">
        <v>1532</v>
      </c>
      <c r="N3089" t="s">
        <v>4580</v>
      </c>
      <c r="O3089">
        <v>0</v>
      </c>
      <c r="P3089">
        <v>0</v>
      </c>
      <c r="Q3089">
        <v>0</v>
      </c>
      <c r="R3089" t="s">
        <v>1395</v>
      </c>
      <c r="S3089" t="s">
        <v>1819</v>
      </c>
      <c r="T3089" t="s">
        <v>4655</v>
      </c>
      <c r="U3089" t="s">
        <v>4655</v>
      </c>
      <c r="V3089" s="2">
        <v>0</v>
      </c>
      <c r="W3089" t="s">
        <v>4655</v>
      </c>
      <c r="X3089" s="2">
        <v>0</v>
      </c>
      <c r="Y3089">
        <v>41</v>
      </c>
      <c r="Z3089" t="s">
        <v>4900</v>
      </c>
      <c r="AA3089" s="3">
        <v>3.43434326350689E-2</v>
      </c>
      <c r="AB3089" t="s">
        <v>17764</v>
      </c>
      <c r="AC3089" t="s">
        <v>4562</v>
      </c>
      <c r="AD3089" t="s">
        <v>17765</v>
      </c>
      <c r="AE3089" t="s">
        <v>4655</v>
      </c>
      <c r="AF3089" t="s">
        <v>4563</v>
      </c>
      <c r="AG3089" t="s">
        <v>4564</v>
      </c>
      <c r="AH3089">
        <v>89511</v>
      </c>
      <c r="AI3089" t="s">
        <v>17766</v>
      </c>
      <c r="AJ3089" t="s">
        <v>17767</v>
      </c>
      <c r="AK3089" t="s">
        <v>17768</v>
      </c>
      <c r="AL3089" s="13" t="s">
        <v>2257</v>
      </c>
      <c r="AM3089" s="14">
        <v>0</v>
      </c>
      <c r="AN3089" s="15" t="s">
        <v>2275</v>
      </c>
    </row>
    <row r="3090" spans="1:40" x14ac:dyDescent="0.3">
      <c r="A3090" s="10" t="str">
        <f>HYPERLINK("http://www.washoecounty.gov/assessor/cama/?parid=043-324-10&amp;CardNumber=1","043-324-10")</f>
        <v>043-324-10</v>
      </c>
      <c r="B3090" t="s">
        <v>4655</v>
      </c>
      <c r="C3090" t="s">
        <v>17769</v>
      </c>
      <c r="D3090" s="1">
        <v>40512</v>
      </c>
      <c r="E3090" s="2">
        <v>455000</v>
      </c>
      <c r="F3090" t="s">
        <v>3174</v>
      </c>
      <c r="G3090" s="17" t="str">
        <f>HYPERLINK("https://www.washoecounty.gov/assessor/cama/?command=sales&amp;parid=04332410","3948001")</f>
        <v>3948001</v>
      </c>
      <c r="H3090" t="s">
        <v>17763</v>
      </c>
      <c r="I3090">
        <v>2004</v>
      </c>
      <c r="J3090">
        <v>2004</v>
      </c>
      <c r="K3090" t="s">
        <v>3919</v>
      </c>
      <c r="L3090" t="s">
        <v>1366</v>
      </c>
      <c r="M3090" s="2">
        <v>1473</v>
      </c>
      <c r="N3090" t="s">
        <v>4580</v>
      </c>
      <c r="O3090">
        <v>0</v>
      </c>
      <c r="P3090">
        <v>0</v>
      </c>
      <c r="Q3090">
        <v>0</v>
      </c>
      <c r="R3090" t="s">
        <v>1395</v>
      </c>
      <c r="S3090" t="s">
        <v>1819</v>
      </c>
      <c r="T3090" t="s">
        <v>4655</v>
      </c>
      <c r="U3090" t="s">
        <v>4655</v>
      </c>
      <c r="V3090" s="2">
        <v>0</v>
      </c>
      <c r="W3090" t="s">
        <v>4655</v>
      </c>
      <c r="X3090" s="2">
        <v>0</v>
      </c>
      <c r="Y3090">
        <v>41</v>
      </c>
      <c r="Z3090" t="s">
        <v>4900</v>
      </c>
      <c r="AA3090" s="3">
        <v>3.4090910106897403E-2</v>
      </c>
      <c r="AB3090" t="s">
        <v>17770</v>
      </c>
      <c r="AC3090" t="s">
        <v>4562</v>
      </c>
      <c r="AD3090" t="s">
        <v>17771</v>
      </c>
      <c r="AE3090" t="s">
        <v>4655</v>
      </c>
      <c r="AF3090" t="s">
        <v>4563</v>
      </c>
      <c r="AG3090" t="s">
        <v>4564</v>
      </c>
      <c r="AH3090">
        <v>89509</v>
      </c>
      <c r="AI3090" t="s">
        <v>4655</v>
      </c>
      <c r="AJ3090" t="s">
        <v>17772</v>
      </c>
      <c r="AK3090" t="s">
        <v>17773</v>
      </c>
      <c r="AL3090" s="13" t="s">
        <v>2257</v>
      </c>
      <c r="AM3090" s="14">
        <v>1</v>
      </c>
      <c r="AN3090" s="15" t="s">
        <v>2275</v>
      </c>
    </row>
    <row r="3091" spans="1:40" x14ac:dyDescent="0.3">
      <c r="A3091" s="10" t="str">
        <f>HYPERLINK("http://www.washoecounty.gov/assessor/cama/?parid=043-324-11&amp;CardNumber=1","043-324-11")</f>
        <v>043-324-11</v>
      </c>
      <c r="B3091" t="s">
        <v>4655</v>
      </c>
      <c r="C3091" t="s">
        <v>17769</v>
      </c>
      <c r="D3091" s="1">
        <v>40512</v>
      </c>
      <c r="E3091" s="2">
        <v>455000</v>
      </c>
      <c r="F3091" t="s">
        <v>3174</v>
      </c>
      <c r="G3091" s="17" t="str">
        <f>HYPERLINK("https://www.washoecounty.gov/assessor/cama/?command=sales&amp;parid=04332411","3948001")</f>
        <v>3948001</v>
      </c>
      <c r="H3091" t="s">
        <v>17763</v>
      </c>
      <c r="I3091">
        <v>2004</v>
      </c>
      <c r="J3091">
        <v>2004</v>
      </c>
      <c r="K3091" t="s">
        <v>3919</v>
      </c>
      <c r="L3091" t="s">
        <v>1366</v>
      </c>
      <c r="M3091" s="2">
        <v>1568</v>
      </c>
      <c r="N3091" t="s">
        <v>4580</v>
      </c>
      <c r="O3091">
        <v>0</v>
      </c>
      <c r="P3091">
        <v>0</v>
      </c>
      <c r="Q3091">
        <v>0</v>
      </c>
      <c r="R3091" t="s">
        <v>1395</v>
      </c>
      <c r="S3091" t="s">
        <v>1819</v>
      </c>
      <c r="T3091" t="s">
        <v>4655</v>
      </c>
      <c r="U3091" t="s">
        <v>4655</v>
      </c>
      <c r="V3091" s="2">
        <v>0</v>
      </c>
      <c r="W3091" t="s">
        <v>4655</v>
      </c>
      <c r="X3091" s="2">
        <v>0</v>
      </c>
      <c r="Y3091">
        <v>41</v>
      </c>
      <c r="Z3091" t="s">
        <v>4900</v>
      </c>
      <c r="AA3091" s="3">
        <v>3.4044995903968797E-2</v>
      </c>
      <c r="AB3091" t="s">
        <v>17770</v>
      </c>
      <c r="AC3091" t="s">
        <v>4562</v>
      </c>
      <c r="AD3091" t="s">
        <v>17771</v>
      </c>
      <c r="AE3091" t="s">
        <v>4655</v>
      </c>
      <c r="AF3091" t="s">
        <v>4563</v>
      </c>
      <c r="AG3091" t="s">
        <v>4564</v>
      </c>
      <c r="AH3091">
        <v>89509</v>
      </c>
      <c r="AI3091" t="s">
        <v>4655</v>
      </c>
      <c r="AJ3091" t="s">
        <v>17772</v>
      </c>
      <c r="AK3091" t="s">
        <v>17774</v>
      </c>
      <c r="AL3091" s="13" t="s">
        <v>2257</v>
      </c>
      <c r="AM3091">
        <v>1</v>
      </c>
      <c r="AN3091" s="15" t="s">
        <v>2275</v>
      </c>
    </row>
    <row r="3092" spans="1:40" x14ac:dyDescent="0.3">
      <c r="A3092" s="10" t="str">
        <f>HYPERLINK("http://www.washoecounty.gov/assessor/cama/?parid=044-102-11&amp;CardNumber=1","044-102-11")</f>
        <v>044-102-11</v>
      </c>
      <c r="B3092" t="s">
        <v>4655</v>
      </c>
      <c r="C3092" t="s">
        <v>17775</v>
      </c>
      <c r="D3092" s="1">
        <v>40182</v>
      </c>
      <c r="E3092" s="2">
        <v>220000</v>
      </c>
      <c r="F3092" t="s">
        <v>4553</v>
      </c>
      <c r="G3092" s="17" t="str">
        <f>HYPERLINK("https://www.washoecounty.gov/assessor/cama/?command=sales&amp;parid=04410211","3836098")</f>
        <v>3836098</v>
      </c>
      <c r="H3092" t="s">
        <v>5507</v>
      </c>
      <c r="I3092">
        <v>1966</v>
      </c>
      <c r="J3092">
        <v>1966</v>
      </c>
      <c r="K3092" t="s">
        <v>4554</v>
      </c>
      <c r="L3092" t="s">
        <v>4555</v>
      </c>
      <c r="M3092" s="2">
        <v>1248</v>
      </c>
      <c r="N3092" t="s">
        <v>3147</v>
      </c>
      <c r="O3092">
        <v>4</v>
      </c>
      <c r="P3092">
        <v>3</v>
      </c>
      <c r="Q3092">
        <v>0</v>
      </c>
      <c r="R3092" t="s">
        <v>4557</v>
      </c>
      <c r="S3092" t="s">
        <v>4135</v>
      </c>
      <c r="T3092" t="s">
        <v>4559</v>
      </c>
      <c r="U3092" t="s">
        <v>4560</v>
      </c>
      <c r="V3092" s="2">
        <v>552</v>
      </c>
      <c r="W3092" t="s">
        <v>3149</v>
      </c>
      <c r="X3092" s="2">
        <v>1248</v>
      </c>
      <c r="Y3092">
        <v>20</v>
      </c>
      <c r="Z3092" t="s">
        <v>5508</v>
      </c>
      <c r="AA3092" s="3">
        <v>0.30399447679519698</v>
      </c>
      <c r="AB3092" t="s">
        <v>17776</v>
      </c>
      <c r="AC3092" t="s">
        <v>4562</v>
      </c>
      <c r="AD3092" t="s">
        <v>17777</v>
      </c>
      <c r="AE3092" t="s">
        <v>4655</v>
      </c>
      <c r="AF3092" t="s">
        <v>17778</v>
      </c>
      <c r="AG3092" t="s">
        <v>4584</v>
      </c>
      <c r="AH3092" t="s">
        <v>5509</v>
      </c>
      <c r="AI3092" t="s">
        <v>4045</v>
      </c>
      <c r="AJ3092" t="s">
        <v>4655</v>
      </c>
      <c r="AK3092" t="s">
        <v>17779</v>
      </c>
      <c r="AL3092" s="13" t="s">
        <v>1889</v>
      </c>
      <c r="AM3092">
        <v>1</v>
      </c>
      <c r="AN3092" s="15" t="s">
        <v>5222</v>
      </c>
    </row>
    <row r="3093" spans="1:40" x14ac:dyDescent="0.3">
      <c r="A3093" s="10" t="str">
        <f>HYPERLINK("http://www.washoecounty.gov/assessor/cama/?parid=044-122-07&amp;CardNumber=1","044-122-07")</f>
        <v>044-122-07</v>
      </c>
      <c r="B3093" t="s">
        <v>4655</v>
      </c>
      <c r="C3093" t="s">
        <v>17780</v>
      </c>
      <c r="D3093" s="1">
        <v>40359</v>
      </c>
      <c r="E3093" s="2">
        <v>230000</v>
      </c>
      <c r="F3093" t="s">
        <v>4567</v>
      </c>
      <c r="G3093" s="17" t="str">
        <f>HYPERLINK("https://www.washoecounty.gov/assessor/cama/?command=sales&amp;parid=04412207","3897189")</f>
        <v>3897189</v>
      </c>
      <c r="H3093" t="s">
        <v>2554</v>
      </c>
      <c r="I3093">
        <v>1972</v>
      </c>
      <c r="J3093">
        <v>1972</v>
      </c>
      <c r="K3093" t="s">
        <v>4554</v>
      </c>
      <c r="L3093" t="s">
        <v>2170</v>
      </c>
      <c r="M3093" s="2">
        <v>2056</v>
      </c>
      <c r="N3093" t="s">
        <v>3147</v>
      </c>
      <c r="O3093">
        <v>3</v>
      </c>
      <c r="P3093">
        <v>2</v>
      </c>
      <c r="Q3093">
        <v>1</v>
      </c>
      <c r="R3093" t="s">
        <v>5205</v>
      </c>
      <c r="S3093" t="s">
        <v>4558</v>
      </c>
      <c r="T3093" t="s">
        <v>4559</v>
      </c>
      <c r="U3093" t="s">
        <v>5631</v>
      </c>
      <c r="V3093" s="2">
        <v>480</v>
      </c>
      <c r="W3093" t="s">
        <v>4655</v>
      </c>
      <c r="X3093" s="2">
        <v>0</v>
      </c>
      <c r="Y3093">
        <v>20</v>
      </c>
      <c r="Z3093" t="s">
        <v>5508</v>
      </c>
      <c r="AA3093" s="3">
        <v>0.403994500637054</v>
      </c>
      <c r="AB3093" t="s">
        <v>17781</v>
      </c>
      <c r="AC3093" t="s">
        <v>4562</v>
      </c>
      <c r="AD3093" t="s">
        <v>17780</v>
      </c>
      <c r="AE3093" t="s">
        <v>4655</v>
      </c>
      <c r="AF3093" t="s">
        <v>4563</v>
      </c>
      <c r="AG3093" t="s">
        <v>4564</v>
      </c>
      <c r="AH3093">
        <v>89511</v>
      </c>
      <c r="AI3093" t="s">
        <v>17782</v>
      </c>
      <c r="AJ3093" t="s">
        <v>4655</v>
      </c>
      <c r="AK3093" t="s">
        <v>17783</v>
      </c>
      <c r="AL3093" s="13" t="s">
        <v>1889</v>
      </c>
      <c r="AM3093">
        <v>1</v>
      </c>
      <c r="AN3093" s="15" t="s">
        <v>5222</v>
      </c>
    </row>
    <row r="3094" spans="1:40" x14ac:dyDescent="0.3">
      <c r="A3094" s="10" t="str">
        <f>HYPERLINK("http://www.washoecounty.gov/assessor/cama/?parid=044-124-04&amp;CardNumber=1","044-124-04")</f>
        <v>044-124-04</v>
      </c>
      <c r="B3094" t="s">
        <v>4655</v>
      </c>
      <c r="C3094" t="s">
        <v>17784</v>
      </c>
      <c r="D3094" s="1">
        <v>40247</v>
      </c>
      <c r="E3094" s="2">
        <v>210000</v>
      </c>
      <c r="F3094" t="s">
        <v>4567</v>
      </c>
      <c r="G3094" s="17" t="str">
        <f>HYPERLINK("https://www.washoecounty.gov/assessor/cama/?command=sales&amp;parid=04412404","3858266")</f>
        <v>3858266</v>
      </c>
      <c r="H3094" t="s">
        <v>17785</v>
      </c>
      <c r="I3094">
        <v>1973</v>
      </c>
      <c r="J3094">
        <v>1973</v>
      </c>
      <c r="K3094" t="s">
        <v>4554</v>
      </c>
      <c r="L3094" t="s">
        <v>4555</v>
      </c>
      <c r="M3094" s="2">
        <v>1776</v>
      </c>
      <c r="N3094" t="s">
        <v>3147</v>
      </c>
      <c r="O3094">
        <v>3</v>
      </c>
      <c r="P3094">
        <v>2</v>
      </c>
      <c r="Q3094">
        <v>0</v>
      </c>
      <c r="R3094" t="s">
        <v>4557</v>
      </c>
      <c r="S3094" t="s">
        <v>4135</v>
      </c>
      <c r="T3094" t="s">
        <v>4559</v>
      </c>
      <c r="U3094" t="s">
        <v>4560</v>
      </c>
      <c r="V3094" s="2">
        <v>598</v>
      </c>
      <c r="W3094" t="s">
        <v>4655</v>
      </c>
      <c r="X3094" s="2">
        <v>0</v>
      </c>
      <c r="Y3094">
        <v>20</v>
      </c>
      <c r="Z3094" t="s">
        <v>5508</v>
      </c>
      <c r="AA3094" s="3">
        <v>0.31999540328979498</v>
      </c>
      <c r="AB3094" t="s">
        <v>17786</v>
      </c>
      <c r="AC3094" t="s">
        <v>4562</v>
      </c>
      <c r="AD3094" t="s">
        <v>17784</v>
      </c>
      <c r="AE3094" t="s">
        <v>4655</v>
      </c>
      <c r="AF3094" t="s">
        <v>4563</v>
      </c>
      <c r="AG3094" t="s">
        <v>4564</v>
      </c>
      <c r="AH3094">
        <v>89511</v>
      </c>
      <c r="AI3094" t="s">
        <v>17787</v>
      </c>
      <c r="AJ3094" t="s">
        <v>4655</v>
      </c>
      <c r="AK3094" t="s">
        <v>17788</v>
      </c>
      <c r="AL3094" s="13" t="s">
        <v>1889</v>
      </c>
      <c r="AM3094" s="14">
        <v>1</v>
      </c>
      <c r="AN3094" s="15" t="s">
        <v>5222</v>
      </c>
    </row>
    <row r="3095" spans="1:40" x14ac:dyDescent="0.3">
      <c r="A3095" s="10" t="str">
        <f>HYPERLINK("http://www.washoecounty.gov/assessor/cama/?parid=044-132-08&amp;CardNumber=1","044-132-08")</f>
        <v>044-132-08</v>
      </c>
      <c r="B3095" t="s">
        <v>4655</v>
      </c>
      <c r="C3095" t="s">
        <v>17789</v>
      </c>
      <c r="D3095" s="1">
        <v>40375</v>
      </c>
      <c r="E3095" s="2">
        <v>205000</v>
      </c>
      <c r="F3095" t="s">
        <v>4567</v>
      </c>
      <c r="G3095" s="17" t="str">
        <f>HYPERLINK("https://www.washoecounty.gov/assessor/cama/?command=sales&amp;parid=04413208","3902299")</f>
        <v>3902299</v>
      </c>
      <c r="H3095" t="s">
        <v>17790</v>
      </c>
      <c r="I3095">
        <v>1969</v>
      </c>
      <c r="J3095">
        <v>1969</v>
      </c>
      <c r="K3095" t="s">
        <v>4554</v>
      </c>
      <c r="L3095" t="s">
        <v>4555</v>
      </c>
      <c r="M3095" s="2">
        <v>1573</v>
      </c>
      <c r="N3095" t="s">
        <v>3147</v>
      </c>
      <c r="O3095">
        <v>3</v>
      </c>
      <c r="P3095">
        <v>2</v>
      </c>
      <c r="Q3095">
        <v>1</v>
      </c>
      <c r="R3095" t="s">
        <v>4557</v>
      </c>
      <c r="S3095" t="s">
        <v>4558</v>
      </c>
      <c r="T3095" t="s">
        <v>4559</v>
      </c>
      <c r="U3095" t="s">
        <v>4560</v>
      </c>
      <c r="V3095" s="2">
        <v>528</v>
      </c>
      <c r="W3095" t="s">
        <v>4655</v>
      </c>
      <c r="X3095" s="2">
        <v>0</v>
      </c>
      <c r="Y3095">
        <v>20</v>
      </c>
      <c r="Z3095" t="s">
        <v>5508</v>
      </c>
      <c r="AA3095" s="3">
        <v>0.32300275564193698</v>
      </c>
      <c r="AB3095" t="s">
        <v>17791</v>
      </c>
      <c r="AC3095" t="s">
        <v>4575</v>
      </c>
      <c r="AD3095" t="s">
        <v>17792</v>
      </c>
      <c r="AE3095" t="s">
        <v>17789</v>
      </c>
      <c r="AF3095" t="s">
        <v>4563</v>
      </c>
      <c r="AG3095" t="s">
        <v>4564</v>
      </c>
      <c r="AH3095">
        <v>89511</v>
      </c>
      <c r="AI3095" t="s">
        <v>17793</v>
      </c>
      <c r="AJ3095" t="s">
        <v>4655</v>
      </c>
      <c r="AK3095" t="s">
        <v>17794</v>
      </c>
      <c r="AL3095" s="13" t="s">
        <v>1889</v>
      </c>
      <c r="AM3095" s="14">
        <v>1</v>
      </c>
      <c r="AN3095" s="15" t="s">
        <v>5222</v>
      </c>
    </row>
    <row r="3096" spans="1:40" x14ac:dyDescent="0.3">
      <c r="A3096" s="10" t="str">
        <f>HYPERLINK("http://www.washoecounty.gov/assessor/cama/?parid=044-132-09&amp;CardNumber=1","044-132-09")</f>
        <v>044-132-09</v>
      </c>
      <c r="B3096" t="s">
        <v>4655</v>
      </c>
      <c r="C3096" t="s">
        <v>17795</v>
      </c>
      <c r="D3096" s="1">
        <v>40319</v>
      </c>
      <c r="E3096" s="2">
        <v>208500</v>
      </c>
      <c r="F3096" t="s">
        <v>4553</v>
      </c>
      <c r="G3096" s="17" t="str">
        <f>HYPERLINK("https://www.washoecounty.gov/assessor/cama/?command=sales&amp;parid=04413209","3884032")</f>
        <v>3884032</v>
      </c>
      <c r="H3096" t="s">
        <v>17796</v>
      </c>
      <c r="I3096">
        <v>1970</v>
      </c>
      <c r="J3096">
        <v>1970</v>
      </c>
      <c r="K3096" t="s">
        <v>4554</v>
      </c>
      <c r="L3096" t="s">
        <v>2170</v>
      </c>
      <c r="M3096" s="2">
        <v>1624</v>
      </c>
      <c r="N3096" t="s">
        <v>3147</v>
      </c>
      <c r="O3096">
        <v>4</v>
      </c>
      <c r="P3096">
        <v>3</v>
      </c>
      <c r="Q3096">
        <v>0</v>
      </c>
      <c r="R3096" t="s">
        <v>4557</v>
      </c>
      <c r="S3096" t="s">
        <v>4558</v>
      </c>
      <c r="T3096" t="s">
        <v>4143</v>
      </c>
      <c r="U3096" t="s">
        <v>4560</v>
      </c>
      <c r="V3096" s="2">
        <v>480</v>
      </c>
      <c r="W3096" t="s">
        <v>4655</v>
      </c>
      <c r="X3096" s="2">
        <v>0</v>
      </c>
      <c r="Y3096">
        <v>20</v>
      </c>
      <c r="Z3096" t="s">
        <v>5508</v>
      </c>
      <c r="AA3096" s="3">
        <v>0.39800274372100802</v>
      </c>
      <c r="AB3096" t="s">
        <v>17797</v>
      </c>
      <c r="AC3096" t="s">
        <v>4562</v>
      </c>
      <c r="AD3096" t="s">
        <v>17798</v>
      </c>
      <c r="AE3096" t="s">
        <v>4655</v>
      </c>
      <c r="AF3096" t="s">
        <v>4563</v>
      </c>
      <c r="AG3096" t="s">
        <v>4564</v>
      </c>
      <c r="AH3096">
        <v>89511</v>
      </c>
      <c r="AI3096" t="s">
        <v>2009</v>
      </c>
      <c r="AJ3096" t="s">
        <v>4655</v>
      </c>
      <c r="AK3096" t="s">
        <v>17799</v>
      </c>
      <c r="AL3096" s="13" t="s">
        <v>1889</v>
      </c>
      <c r="AM3096">
        <v>1</v>
      </c>
      <c r="AN3096" s="15" t="s">
        <v>5222</v>
      </c>
    </row>
    <row r="3097" spans="1:40" x14ac:dyDescent="0.3">
      <c r="A3097" s="10" t="str">
        <f>HYPERLINK("http://www.washoecounty.gov/assessor/cama/?parid=044-132-10&amp;CardNumber=1","044-132-10")</f>
        <v>044-132-10</v>
      </c>
      <c r="B3097" t="s">
        <v>4655</v>
      </c>
      <c r="C3097" t="s">
        <v>17800</v>
      </c>
      <c r="D3097" s="1">
        <v>40437</v>
      </c>
      <c r="E3097" s="2">
        <v>270000</v>
      </c>
      <c r="F3097" t="s">
        <v>4567</v>
      </c>
      <c r="G3097" s="17" t="str">
        <f>HYPERLINK("https://www.washoecounty.gov/assessor/cama/?command=sales&amp;parid=04413210","3923032")</f>
        <v>3923032</v>
      </c>
      <c r="H3097" t="s">
        <v>17801</v>
      </c>
      <c r="I3097">
        <v>1973</v>
      </c>
      <c r="J3097">
        <v>1973</v>
      </c>
      <c r="K3097" t="s">
        <v>4554</v>
      </c>
      <c r="L3097" t="s">
        <v>4555</v>
      </c>
      <c r="M3097" s="2">
        <v>1742</v>
      </c>
      <c r="N3097" t="s">
        <v>3147</v>
      </c>
      <c r="O3097">
        <v>5</v>
      </c>
      <c r="P3097">
        <v>3</v>
      </c>
      <c r="Q3097">
        <v>0</v>
      </c>
      <c r="R3097" t="s">
        <v>4557</v>
      </c>
      <c r="S3097" t="s">
        <v>4558</v>
      </c>
      <c r="T3097" t="s">
        <v>4559</v>
      </c>
      <c r="U3097" t="s">
        <v>4560</v>
      </c>
      <c r="V3097" s="2">
        <v>576</v>
      </c>
      <c r="W3097" t="s">
        <v>3149</v>
      </c>
      <c r="X3097" s="2">
        <v>1742</v>
      </c>
      <c r="Y3097">
        <v>20</v>
      </c>
      <c r="Z3097" t="s">
        <v>5508</v>
      </c>
      <c r="AA3097" s="3">
        <v>0.378007352352142</v>
      </c>
      <c r="AB3097" t="s">
        <v>17802</v>
      </c>
      <c r="AC3097" t="s">
        <v>4562</v>
      </c>
      <c r="AD3097" t="s">
        <v>17800</v>
      </c>
      <c r="AE3097" t="s">
        <v>4655</v>
      </c>
      <c r="AF3097" t="s">
        <v>4563</v>
      </c>
      <c r="AG3097" t="s">
        <v>4564</v>
      </c>
      <c r="AH3097">
        <v>89511</v>
      </c>
      <c r="AI3097" t="s">
        <v>17803</v>
      </c>
      <c r="AJ3097" t="s">
        <v>4655</v>
      </c>
      <c r="AK3097" t="s">
        <v>17804</v>
      </c>
      <c r="AL3097" s="13" t="s">
        <v>1889</v>
      </c>
      <c r="AM3097">
        <v>1</v>
      </c>
      <c r="AN3097" s="15" t="s">
        <v>5222</v>
      </c>
    </row>
    <row r="3098" spans="1:40" x14ac:dyDescent="0.3">
      <c r="A3098" s="10" t="str">
        <f>HYPERLINK("http://www.washoecounty.gov/assessor/cama/?parid=044-132-15&amp;CardNumber=1","044-132-15")</f>
        <v>044-132-15</v>
      </c>
      <c r="B3098" t="s">
        <v>4655</v>
      </c>
      <c r="C3098" t="s">
        <v>17805</v>
      </c>
      <c r="D3098" s="1">
        <v>40514</v>
      </c>
      <c r="E3098" s="2">
        <v>245000</v>
      </c>
      <c r="F3098" t="s">
        <v>4567</v>
      </c>
      <c r="G3098" s="17" t="str">
        <f>HYPERLINK("https://www.washoecounty.gov/assessor/cama/?command=sales&amp;parid=04413215","3948720")</f>
        <v>3948720</v>
      </c>
      <c r="H3098" t="s">
        <v>17796</v>
      </c>
      <c r="I3098">
        <v>1969</v>
      </c>
      <c r="J3098">
        <v>1969</v>
      </c>
      <c r="K3098" t="s">
        <v>4554</v>
      </c>
      <c r="L3098" t="s">
        <v>4555</v>
      </c>
      <c r="M3098" s="2">
        <v>2446</v>
      </c>
      <c r="N3098" t="s">
        <v>3147</v>
      </c>
      <c r="O3098">
        <v>5</v>
      </c>
      <c r="P3098">
        <v>2</v>
      </c>
      <c r="Q3098">
        <v>1</v>
      </c>
      <c r="R3098" t="s">
        <v>4557</v>
      </c>
      <c r="S3098" t="s">
        <v>4558</v>
      </c>
      <c r="T3098" t="s">
        <v>4559</v>
      </c>
      <c r="U3098" t="s">
        <v>4560</v>
      </c>
      <c r="V3098" s="2">
        <v>462</v>
      </c>
      <c r="W3098" t="s">
        <v>4655</v>
      </c>
      <c r="X3098" s="2">
        <v>0</v>
      </c>
      <c r="Y3098">
        <v>20</v>
      </c>
      <c r="Z3098" t="s">
        <v>5508</v>
      </c>
      <c r="AA3098" s="3">
        <v>0.3519972562789917</v>
      </c>
      <c r="AB3098" t="s">
        <v>17806</v>
      </c>
      <c r="AC3098" t="s">
        <v>4575</v>
      </c>
      <c r="AD3098" t="s">
        <v>17807</v>
      </c>
      <c r="AE3098" t="s">
        <v>4655</v>
      </c>
      <c r="AF3098" t="s">
        <v>4563</v>
      </c>
      <c r="AG3098" t="s">
        <v>4564</v>
      </c>
      <c r="AH3098">
        <v>89511</v>
      </c>
      <c r="AI3098" t="s">
        <v>1085</v>
      </c>
      <c r="AJ3098" t="s">
        <v>4655</v>
      </c>
      <c r="AK3098" t="s">
        <v>17808</v>
      </c>
      <c r="AL3098" s="13" t="s">
        <v>1889</v>
      </c>
      <c r="AM3098" s="14">
        <v>1</v>
      </c>
      <c r="AN3098" s="15" t="s">
        <v>5222</v>
      </c>
    </row>
    <row r="3099" spans="1:40" x14ac:dyDescent="0.3">
      <c r="A3099" s="10" t="str">
        <f>HYPERLINK("http://www.washoecounty.gov/assessor/cama/?parid=044-154-11&amp;CardNumber=1","044-154-11")</f>
        <v>044-154-11</v>
      </c>
      <c r="B3099" t="s">
        <v>4655</v>
      </c>
      <c r="C3099" t="s">
        <v>17809</v>
      </c>
      <c r="D3099" s="1">
        <v>40298</v>
      </c>
      <c r="E3099" s="2">
        <v>232000</v>
      </c>
      <c r="F3099" t="s">
        <v>4553</v>
      </c>
      <c r="G3099" s="17" t="str">
        <f>HYPERLINK("https://www.washoecounty.gov/assessor/cama/?command=sales&amp;parid=04415411","3877132")</f>
        <v>3877132</v>
      </c>
      <c r="H3099" t="s">
        <v>17810</v>
      </c>
      <c r="I3099">
        <v>1979</v>
      </c>
      <c r="J3099">
        <v>1979</v>
      </c>
      <c r="K3099" t="s">
        <v>4554</v>
      </c>
      <c r="L3099" t="s">
        <v>2170</v>
      </c>
      <c r="M3099" s="2">
        <v>1958</v>
      </c>
      <c r="N3099" t="s">
        <v>5280</v>
      </c>
      <c r="O3099">
        <v>4</v>
      </c>
      <c r="P3099">
        <v>2</v>
      </c>
      <c r="Q3099">
        <v>1</v>
      </c>
      <c r="R3099" t="s">
        <v>5281</v>
      </c>
      <c r="S3099" t="s">
        <v>4558</v>
      </c>
      <c r="T3099" t="s">
        <v>4559</v>
      </c>
      <c r="U3099" t="s">
        <v>5631</v>
      </c>
      <c r="V3099" s="2">
        <v>462</v>
      </c>
      <c r="W3099" t="s">
        <v>4655</v>
      </c>
      <c r="X3099" s="2">
        <v>0</v>
      </c>
      <c r="Y3099">
        <v>20</v>
      </c>
      <c r="Z3099" t="s">
        <v>5508</v>
      </c>
      <c r="AA3099" s="3">
        <v>0.37699723243713379</v>
      </c>
      <c r="AB3099" t="s">
        <v>17811</v>
      </c>
      <c r="AC3099" t="s">
        <v>4562</v>
      </c>
      <c r="AD3099" t="s">
        <v>17809</v>
      </c>
      <c r="AE3099" t="s">
        <v>4655</v>
      </c>
      <c r="AF3099" t="s">
        <v>4563</v>
      </c>
      <c r="AG3099" t="s">
        <v>4564</v>
      </c>
      <c r="AH3099">
        <v>89511</v>
      </c>
      <c r="AI3099" t="s">
        <v>4903</v>
      </c>
      <c r="AJ3099" t="s">
        <v>4655</v>
      </c>
      <c r="AK3099" t="s">
        <v>17812</v>
      </c>
      <c r="AL3099" s="13" t="s">
        <v>3420</v>
      </c>
      <c r="AM3099" s="14">
        <v>1</v>
      </c>
      <c r="AN3099" s="15" t="s">
        <v>5222</v>
      </c>
    </row>
    <row r="3100" spans="1:40" x14ac:dyDescent="0.3">
      <c r="A3100" s="10" t="str">
        <f>HYPERLINK("http://www.washoecounty.gov/assessor/cama/?parid=044-154-12&amp;CardNumber=1","044-154-12")</f>
        <v>044-154-12</v>
      </c>
      <c r="B3100" t="s">
        <v>4655</v>
      </c>
      <c r="C3100" t="s">
        <v>17813</v>
      </c>
      <c r="D3100" s="1">
        <v>40449</v>
      </c>
      <c r="E3100" s="2">
        <v>305000</v>
      </c>
      <c r="F3100" t="s">
        <v>4553</v>
      </c>
      <c r="G3100" s="17" t="str">
        <f>HYPERLINK("https://www.washoecounty.gov/assessor/cama/?command=sales&amp;parid=04415412","3927056")</f>
        <v>3927056</v>
      </c>
      <c r="H3100" t="s">
        <v>17810</v>
      </c>
      <c r="I3100">
        <v>1979</v>
      </c>
      <c r="J3100">
        <v>1981</v>
      </c>
      <c r="K3100" t="s">
        <v>4554</v>
      </c>
      <c r="L3100" t="s">
        <v>4555</v>
      </c>
      <c r="M3100" s="2">
        <v>3032</v>
      </c>
      <c r="N3100" t="s">
        <v>5280</v>
      </c>
      <c r="O3100">
        <v>5</v>
      </c>
      <c r="P3100">
        <v>3</v>
      </c>
      <c r="Q3100">
        <v>0</v>
      </c>
      <c r="R3100" t="s">
        <v>4557</v>
      </c>
      <c r="S3100" t="s">
        <v>4558</v>
      </c>
      <c r="T3100" t="s">
        <v>4559</v>
      </c>
      <c r="U3100" t="s">
        <v>4560</v>
      </c>
      <c r="V3100" s="2">
        <v>460</v>
      </c>
      <c r="W3100" t="s">
        <v>4655</v>
      </c>
      <c r="X3100" s="2">
        <v>0</v>
      </c>
      <c r="Y3100">
        <v>20</v>
      </c>
      <c r="Z3100" t="s">
        <v>5508</v>
      </c>
      <c r="AA3100" s="3">
        <v>0.36999541521072399</v>
      </c>
      <c r="AB3100" t="s">
        <v>17814</v>
      </c>
      <c r="AC3100" t="s">
        <v>4562</v>
      </c>
      <c r="AD3100" t="s">
        <v>17815</v>
      </c>
      <c r="AE3100" t="s">
        <v>4655</v>
      </c>
      <c r="AF3100" t="s">
        <v>4563</v>
      </c>
      <c r="AG3100" t="s">
        <v>4564</v>
      </c>
      <c r="AH3100">
        <v>89511</v>
      </c>
      <c r="AI3100" t="s">
        <v>4565</v>
      </c>
      <c r="AJ3100" t="s">
        <v>4655</v>
      </c>
      <c r="AK3100" t="s">
        <v>17816</v>
      </c>
      <c r="AL3100" s="13" t="s">
        <v>3420</v>
      </c>
      <c r="AM3100">
        <v>1</v>
      </c>
      <c r="AN3100" s="15" t="s">
        <v>5222</v>
      </c>
    </row>
    <row r="3101" spans="1:40" x14ac:dyDescent="0.3">
      <c r="A3101" s="10" t="str">
        <f>HYPERLINK("http://www.washoecounty.gov/assessor/cama/?parid=044-163-10&amp;CardNumber=1","044-163-10")</f>
        <v>044-163-10</v>
      </c>
      <c r="B3101" t="s">
        <v>4655</v>
      </c>
      <c r="C3101" t="s">
        <v>17817</v>
      </c>
      <c r="D3101" s="1">
        <v>40267</v>
      </c>
      <c r="E3101" s="2">
        <v>230000</v>
      </c>
      <c r="F3101" t="s">
        <v>4567</v>
      </c>
      <c r="G3101" s="17" t="str">
        <f>HYPERLINK("https://www.washoecounty.gov/assessor/cama/?command=sales&amp;parid=04416310","3865978")</f>
        <v>3865978</v>
      </c>
      <c r="H3101" t="s">
        <v>17810</v>
      </c>
      <c r="I3101">
        <v>1979</v>
      </c>
      <c r="J3101">
        <v>1979</v>
      </c>
      <c r="K3101" t="s">
        <v>4554</v>
      </c>
      <c r="L3101" t="s">
        <v>2170</v>
      </c>
      <c r="M3101" s="2">
        <v>1958</v>
      </c>
      <c r="N3101" t="s">
        <v>5280</v>
      </c>
      <c r="O3101">
        <v>3</v>
      </c>
      <c r="P3101">
        <v>2</v>
      </c>
      <c r="Q3101">
        <v>0</v>
      </c>
      <c r="R3101" t="s">
        <v>4557</v>
      </c>
      <c r="S3101" t="s">
        <v>4558</v>
      </c>
      <c r="T3101" t="s">
        <v>4559</v>
      </c>
      <c r="U3101" t="s">
        <v>5631</v>
      </c>
      <c r="V3101" s="2">
        <v>462</v>
      </c>
      <c r="W3101" t="s">
        <v>4655</v>
      </c>
      <c r="X3101" s="2">
        <v>0</v>
      </c>
      <c r="Y3101">
        <v>20</v>
      </c>
      <c r="Z3101" t="s">
        <v>5508</v>
      </c>
      <c r="AA3101" s="3">
        <v>0.36499083042144798</v>
      </c>
      <c r="AB3101" t="s">
        <v>17818</v>
      </c>
      <c r="AC3101" t="s">
        <v>4575</v>
      </c>
      <c r="AD3101" t="s">
        <v>17817</v>
      </c>
      <c r="AE3101" t="s">
        <v>4655</v>
      </c>
      <c r="AF3101" t="s">
        <v>4563</v>
      </c>
      <c r="AG3101" t="s">
        <v>4564</v>
      </c>
      <c r="AH3101">
        <v>89511</v>
      </c>
      <c r="AI3101" t="s">
        <v>17819</v>
      </c>
      <c r="AJ3101" t="s">
        <v>4655</v>
      </c>
      <c r="AK3101" t="s">
        <v>17820</v>
      </c>
      <c r="AL3101" s="13" t="s">
        <v>3420</v>
      </c>
      <c r="AM3101" s="14">
        <v>1</v>
      </c>
      <c r="AN3101" s="15" t="s">
        <v>5222</v>
      </c>
    </row>
    <row r="3102" spans="1:40" x14ac:dyDescent="0.3">
      <c r="A3102" s="10" t="str">
        <f>HYPERLINK("http://www.washoecounty.gov/assessor/cama/?parid=044-250-04&amp;CardNumber=1","044-250-04")</f>
        <v>044-250-04</v>
      </c>
      <c r="B3102" t="s">
        <v>4655</v>
      </c>
      <c r="C3102" t="s">
        <v>17821</v>
      </c>
      <c r="D3102" s="1">
        <v>40385</v>
      </c>
      <c r="E3102" s="2">
        <v>354500</v>
      </c>
      <c r="F3102" t="s">
        <v>4567</v>
      </c>
      <c r="G3102" s="17" t="str">
        <f>HYPERLINK("https://www.washoecounty.gov/assessor/cama/?command=sales&amp;parid=04425004","3904800")</f>
        <v>3904800</v>
      </c>
      <c r="H3102" t="s">
        <v>17822</v>
      </c>
      <c r="I3102">
        <v>1987</v>
      </c>
      <c r="J3102">
        <v>1987</v>
      </c>
      <c r="K3102" t="s">
        <v>4554</v>
      </c>
      <c r="L3102" t="s">
        <v>2170</v>
      </c>
      <c r="M3102" s="2">
        <v>2392</v>
      </c>
      <c r="N3102" t="s">
        <v>1245</v>
      </c>
      <c r="O3102">
        <v>3</v>
      </c>
      <c r="P3102">
        <v>2</v>
      </c>
      <c r="Q3102">
        <v>1</v>
      </c>
      <c r="R3102" t="s">
        <v>4557</v>
      </c>
      <c r="S3102" t="s">
        <v>4135</v>
      </c>
      <c r="T3102" t="s">
        <v>4559</v>
      </c>
      <c r="U3102" t="s">
        <v>4560</v>
      </c>
      <c r="V3102" s="2">
        <v>864</v>
      </c>
      <c r="W3102" t="s">
        <v>4655</v>
      </c>
      <c r="X3102" s="2">
        <v>0</v>
      </c>
      <c r="Y3102">
        <v>20</v>
      </c>
      <c r="Z3102" t="s">
        <v>3884</v>
      </c>
      <c r="AA3102" s="3">
        <v>0.68200182914733798</v>
      </c>
      <c r="AB3102" t="s">
        <v>17823</v>
      </c>
      <c r="AC3102" t="s">
        <v>4562</v>
      </c>
      <c r="AD3102" t="s">
        <v>17821</v>
      </c>
      <c r="AE3102" t="s">
        <v>4655</v>
      </c>
      <c r="AF3102" t="s">
        <v>4563</v>
      </c>
      <c r="AG3102" t="s">
        <v>4564</v>
      </c>
      <c r="AH3102">
        <v>89511</v>
      </c>
      <c r="AI3102" t="s">
        <v>17824</v>
      </c>
      <c r="AJ3102" t="s">
        <v>4655</v>
      </c>
      <c r="AK3102" t="s">
        <v>17825</v>
      </c>
      <c r="AL3102" s="13" t="s">
        <v>3420</v>
      </c>
      <c r="AM3102">
        <v>1</v>
      </c>
      <c r="AN3102" s="15" t="s">
        <v>4323</v>
      </c>
    </row>
    <row r="3103" spans="1:40" x14ac:dyDescent="0.3">
      <c r="A3103" s="10" t="str">
        <f>HYPERLINK("http://www.washoecounty.gov/assessor/cama/?parid=044-281-03&amp;CardNumber=1","044-281-03")</f>
        <v>044-281-03</v>
      </c>
      <c r="B3103" t="s">
        <v>4655</v>
      </c>
      <c r="C3103" t="s">
        <v>17826</v>
      </c>
      <c r="D3103" s="1">
        <v>40529</v>
      </c>
      <c r="E3103" s="2">
        <v>495000</v>
      </c>
      <c r="F3103" t="s">
        <v>4567</v>
      </c>
      <c r="G3103" s="17" t="str">
        <f>HYPERLINK("https://www.washoecounty.gov/assessor/cama/?command=sales&amp;parid=04428103","3955129")</f>
        <v>3955129</v>
      </c>
      <c r="H3103" t="s">
        <v>17827</v>
      </c>
      <c r="I3103">
        <v>1988</v>
      </c>
      <c r="J3103">
        <v>1988</v>
      </c>
      <c r="K3103" t="s">
        <v>4554</v>
      </c>
      <c r="L3103" t="s">
        <v>4555</v>
      </c>
      <c r="M3103" s="2">
        <v>3472</v>
      </c>
      <c r="N3103" t="s">
        <v>3147</v>
      </c>
      <c r="O3103">
        <v>4</v>
      </c>
      <c r="P3103">
        <v>2</v>
      </c>
      <c r="Q3103">
        <v>1</v>
      </c>
      <c r="R3103" t="s">
        <v>4557</v>
      </c>
      <c r="S3103" t="s">
        <v>3148</v>
      </c>
      <c r="T3103" t="s">
        <v>4559</v>
      </c>
      <c r="U3103" t="s">
        <v>4560</v>
      </c>
      <c r="V3103" s="2">
        <v>720</v>
      </c>
      <c r="W3103" t="s">
        <v>4655</v>
      </c>
      <c r="X3103" s="2">
        <v>0</v>
      </c>
      <c r="Y3103">
        <v>20</v>
      </c>
      <c r="Z3103" t="s">
        <v>1376</v>
      </c>
      <c r="AA3103" s="3">
        <v>2.5030000209808301</v>
      </c>
      <c r="AB3103" t="s">
        <v>17828</v>
      </c>
      <c r="AC3103" t="s">
        <v>4562</v>
      </c>
      <c r="AD3103" t="s">
        <v>17826</v>
      </c>
      <c r="AE3103" t="s">
        <v>4655</v>
      </c>
      <c r="AF3103" t="s">
        <v>4563</v>
      </c>
      <c r="AG3103" t="s">
        <v>4564</v>
      </c>
      <c r="AH3103">
        <v>89511</v>
      </c>
      <c r="AI3103" t="s">
        <v>17829</v>
      </c>
      <c r="AJ3103" t="s">
        <v>4655</v>
      </c>
      <c r="AK3103" t="s">
        <v>17830</v>
      </c>
      <c r="AL3103" s="13" t="s">
        <v>3420</v>
      </c>
      <c r="AM3103">
        <v>1</v>
      </c>
      <c r="AN3103" s="15" t="s">
        <v>831</v>
      </c>
    </row>
    <row r="3104" spans="1:40" x14ac:dyDescent="0.3">
      <c r="A3104" s="10" t="str">
        <f>HYPERLINK("http://www.washoecounty.gov/assessor/cama/?parid=044-320-19&amp;CardNumber=1","044-320-19")</f>
        <v>044-320-19</v>
      </c>
      <c r="B3104" t="s">
        <v>4655</v>
      </c>
      <c r="C3104" t="s">
        <v>17831</v>
      </c>
      <c r="D3104" s="1">
        <v>40519</v>
      </c>
      <c r="E3104" s="2">
        <v>88000</v>
      </c>
      <c r="F3104" t="s">
        <v>4567</v>
      </c>
      <c r="G3104" s="17" t="str">
        <f>HYPERLINK("https://www.washoecounty.gov/assessor/cama/?command=sales&amp;parid=04432019","3950612")</f>
        <v>3950612</v>
      </c>
      <c r="H3104" t="s">
        <v>4827</v>
      </c>
      <c r="I3104">
        <v>0</v>
      </c>
      <c r="J3104">
        <v>0</v>
      </c>
      <c r="K3104" t="s">
        <v>4655</v>
      </c>
      <c r="L3104" t="s">
        <v>4655</v>
      </c>
      <c r="M3104" s="2">
        <v>0</v>
      </c>
      <c r="N3104" t="s">
        <v>4655</v>
      </c>
      <c r="O3104">
        <v>0</v>
      </c>
      <c r="P3104">
        <v>0</v>
      </c>
      <c r="Q3104">
        <v>0</v>
      </c>
      <c r="R3104" t="s">
        <v>4655</v>
      </c>
      <c r="S3104" t="s">
        <v>4655</v>
      </c>
      <c r="T3104" t="s">
        <v>4655</v>
      </c>
      <c r="U3104" t="s">
        <v>4655</v>
      </c>
      <c r="V3104" s="2">
        <v>0</v>
      </c>
      <c r="W3104" t="s">
        <v>4655</v>
      </c>
      <c r="X3104" s="2">
        <v>0</v>
      </c>
      <c r="Y3104">
        <v>23</v>
      </c>
      <c r="Z3104" t="s">
        <v>5508</v>
      </c>
      <c r="AA3104" s="3">
        <v>0.66597795486450095</v>
      </c>
      <c r="AB3104" t="s">
        <v>17832</v>
      </c>
      <c r="AC3104" t="s">
        <v>4575</v>
      </c>
      <c r="AD3104" t="s">
        <v>17833</v>
      </c>
      <c r="AE3104" t="s">
        <v>4655</v>
      </c>
      <c r="AF3104" t="s">
        <v>4563</v>
      </c>
      <c r="AG3104" t="s">
        <v>4564</v>
      </c>
      <c r="AH3104">
        <v>89511</v>
      </c>
      <c r="AI3104" t="s">
        <v>17834</v>
      </c>
      <c r="AJ3104" t="s">
        <v>4655</v>
      </c>
      <c r="AK3104" t="s">
        <v>17835</v>
      </c>
      <c r="AL3104" s="13" t="s">
        <v>1889</v>
      </c>
      <c r="AM3104" s="14">
        <v>0</v>
      </c>
      <c r="AN3104" s="15" t="s">
        <v>17836</v>
      </c>
    </row>
    <row r="3105" spans="1:40" x14ac:dyDescent="0.3">
      <c r="A3105" s="10" t="str">
        <f>HYPERLINK("http://www.washoecounty.gov/assessor/cama/?parid=044-320-32&amp;CardNumber=1","044-320-32")</f>
        <v>044-320-32</v>
      </c>
      <c r="B3105" t="s">
        <v>4655</v>
      </c>
      <c r="C3105" t="s">
        <v>17837</v>
      </c>
      <c r="D3105" s="1">
        <v>40221</v>
      </c>
      <c r="E3105" s="2">
        <v>110000</v>
      </c>
      <c r="F3105" t="s">
        <v>4553</v>
      </c>
      <c r="G3105" s="17" t="str">
        <f>HYPERLINK("https://www.washoecounty.gov/assessor/cama/?command=sales&amp;parid=04432032","3848866")</f>
        <v>3848866</v>
      </c>
      <c r="H3105" t="s">
        <v>4736</v>
      </c>
      <c r="I3105">
        <v>1963</v>
      </c>
      <c r="J3105">
        <v>1963</v>
      </c>
      <c r="K3105" t="s">
        <v>4554</v>
      </c>
      <c r="L3105" t="s">
        <v>4555</v>
      </c>
      <c r="M3105" s="2">
        <v>988</v>
      </c>
      <c r="N3105" t="s">
        <v>4556</v>
      </c>
      <c r="O3105">
        <v>3</v>
      </c>
      <c r="P3105">
        <v>1</v>
      </c>
      <c r="Q3105">
        <v>0</v>
      </c>
      <c r="R3105" t="s">
        <v>4134</v>
      </c>
      <c r="S3105" t="s">
        <v>4135</v>
      </c>
      <c r="T3105" t="s">
        <v>4143</v>
      </c>
      <c r="U3105" t="s">
        <v>4560</v>
      </c>
      <c r="V3105" s="2">
        <v>384</v>
      </c>
      <c r="W3105" t="s">
        <v>4655</v>
      </c>
      <c r="X3105" s="2">
        <v>0</v>
      </c>
      <c r="Y3105">
        <v>20</v>
      </c>
      <c r="Z3105" t="s">
        <v>5508</v>
      </c>
      <c r="AA3105" s="3">
        <v>0.46666666865348816</v>
      </c>
      <c r="AB3105" t="s">
        <v>17838</v>
      </c>
      <c r="AC3105" t="s">
        <v>4562</v>
      </c>
      <c r="AD3105" t="s">
        <v>17837</v>
      </c>
      <c r="AE3105" t="s">
        <v>4655</v>
      </c>
      <c r="AF3105" t="s">
        <v>4563</v>
      </c>
      <c r="AG3105" t="s">
        <v>4564</v>
      </c>
      <c r="AH3105">
        <v>89511</v>
      </c>
      <c r="AI3105" t="s">
        <v>4503</v>
      </c>
      <c r="AJ3105" t="s">
        <v>4655</v>
      </c>
      <c r="AK3105" t="s">
        <v>17839</v>
      </c>
      <c r="AL3105" s="13" t="s">
        <v>1889</v>
      </c>
      <c r="AM3105" s="14">
        <v>1</v>
      </c>
      <c r="AN3105" s="15" t="s">
        <v>17836</v>
      </c>
    </row>
    <row r="3106" spans="1:40" x14ac:dyDescent="0.3">
      <c r="A3106" s="10" t="str">
        <f>HYPERLINK("http://www.washoecounty.gov/assessor/cama/?parid=044-320-48&amp;CardNumber=1","044-320-48")</f>
        <v>044-320-48</v>
      </c>
      <c r="B3106" t="s">
        <v>4655</v>
      </c>
      <c r="C3106" t="s">
        <v>17840</v>
      </c>
      <c r="D3106" s="1">
        <v>40435</v>
      </c>
      <c r="E3106" s="2">
        <v>580000</v>
      </c>
      <c r="F3106" t="s">
        <v>4553</v>
      </c>
      <c r="G3106" s="17" t="str">
        <f>HYPERLINK("https://www.washoecounty.gov/assessor/cama/?command=sales&amp;parid=04432048","3921863")</f>
        <v>3921863</v>
      </c>
      <c r="H3106" t="s">
        <v>4802</v>
      </c>
      <c r="I3106">
        <v>0</v>
      </c>
      <c r="J3106">
        <v>0</v>
      </c>
      <c r="K3106" t="s">
        <v>4655</v>
      </c>
      <c r="L3106" t="s">
        <v>4655</v>
      </c>
      <c r="M3106" s="2">
        <v>0</v>
      </c>
      <c r="N3106" t="s">
        <v>4655</v>
      </c>
      <c r="O3106">
        <v>0</v>
      </c>
      <c r="P3106">
        <v>0</v>
      </c>
      <c r="Q3106">
        <v>0</v>
      </c>
      <c r="R3106" t="s">
        <v>4655</v>
      </c>
      <c r="S3106" t="s">
        <v>4655</v>
      </c>
      <c r="T3106" t="s">
        <v>4655</v>
      </c>
      <c r="U3106" t="s">
        <v>4655</v>
      </c>
      <c r="V3106" s="2">
        <v>0</v>
      </c>
      <c r="W3106" t="s">
        <v>4655</v>
      </c>
      <c r="X3106" s="2">
        <v>0</v>
      </c>
      <c r="Y3106">
        <v>11</v>
      </c>
      <c r="Z3106" t="s">
        <v>718</v>
      </c>
      <c r="AA3106" s="3">
        <v>4.7459998130798304</v>
      </c>
      <c r="AB3106" t="s">
        <v>17841</v>
      </c>
      <c r="AC3106" t="s">
        <v>4562</v>
      </c>
      <c r="AD3106" t="s">
        <v>3269</v>
      </c>
      <c r="AE3106" t="s">
        <v>4655</v>
      </c>
      <c r="AF3106" t="s">
        <v>4563</v>
      </c>
      <c r="AG3106" t="s">
        <v>4564</v>
      </c>
      <c r="AH3106">
        <v>89511</v>
      </c>
      <c r="AI3106" t="s">
        <v>153</v>
      </c>
      <c r="AJ3106" t="s">
        <v>17842</v>
      </c>
      <c r="AK3106" t="s">
        <v>17843</v>
      </c>
      <c r="AL3106" s="13" t="s">
        <v>3420</v>
      </c>
      <c r="AM3106" s="14">
        <v>0</v>
      </c>
      <c r="AN3106" s="15" t="s">
        <v>17844</v>
      </c>
    </row>
    <row r="3107" spans="1:40" x14ac:dyDescent="0.3">
      <c r="A3107" s="10" t="str">
        <f>HYPERLINK("http://www.washoecounty.gov/assessor/cama/?parid=044-341-04&amp;CardNumber=1","044-341-04")</f>
        <v>044-341-04</v>
      </c>
      <c r="B3107" t="s">
        <v>4655</v>
      </c>
      <c r="C3107" t="s">
        <v>17845</v>
      </c>
      <c r="D3107" s="1">
        <v>40354</v>
      </c>
      <c r="E3107" s="2">
        <v>331000</v>
      </c>
      <c r="F3107" t="s">
        <v>4567</v>
      </c>
      <c r="G3107" s="17" t="str">
        <f>HYPERLINK("https://www.washoecounty.gov/assessor/cama/?command=sales&amp;parid=04434104","3895517")</f>
        <v>3895517</v>
      </c>
      <c r="H3107" t="s">
        <v>17846</v>
      </c>
      <c r="I3107">
        <v>1986</v>
      </c>
      <c r="J3107">
        <v>1987</v>
      </c>
      <c r="K3107" t="s">
        <v>4554</v>
      </c>
      <c r="L3107" t="s">
        <v>4555</v>
      </c>
      <c r="M3107" s="2">
        <v>2400</v>
      </c>
      <c r="N3107" t="s">
        <v>3147</v>
      </c>
      <c r="O3107">
        <v>3</v>
      </c>
      <c r="P3107">
        <v>2</v>
      </c>
      <c r="Q3107">
        <v>0</v>
      </c>
      <c r="R3107" t="s">
        <v>4557</v>
      </c>
      <c r="S3107" t="s">
        <v>4558</v>
      </c>
      <c r="T3107" t="s">
        <v>4559</v>
      </c>
      <c r="U3107" t="s">
        <v>4560</v>
      </c>
      <c r="V3107" s="2">
        <v>640</v>
      </c>
      <c r="W3107" t="s">
        <v>4655</v>
      </c>
      <c r="X3107" s="2">
        <v>0</v>
      </c>
      <c r="Y3107">
        <v>20</v>
      </c>
      <c r="Z3107" t="s">
        <v>5508</v>
      </c>
      <c r="AA3107" s="3">
        <v>0.362006425857544</v>
      </c>
      <c r="AB3107" t="s">
        <v>17847</v>
      </c>
      <c r="AC3107" t="s">
        <v>4562</v>
      </c>
      <c r="AD3107" t="s">
        <v>17848</v>
      </c>
      <c r="AE3107" t="s">
        <v>4655</v>
      </c>
      <c r="AF3107" t="s">
        <v>4563</v>
      </c>
      <c r="AG3107" t="s">
        <v>4564</v>
      </c>
      <c r="AH3107">
        <v>89511</v>
      </c>
      <c r="AI3107" t="s">
        <v>1328</v>
      </c>
      <c r="AJ3107" t="s">
        <v>4655</v>
      </c>
      <c r="AK3107" t="s">
        <v>17849</v>
      </c>
      <c r="AL3107" s="13" t="s">
        <v>3420</v>
      </c>
      <c r="AM3107">
        <v>1</v>
      </c>
      <c r="AN3107" s="15" t="s">
        <v>5222</v>
      </c>
    </row>
    <row r="3108" spans="1:40" x14ac:dyDescent="0.3">
      <c r="A3108" s="10" t="str">
        <f>HYPERLINK("http://www.washoecounty.gov/assessor/cama/?parid=044-361-10&amp;CardNumber=1","044-361-10")</f>
        <v>044-361-10</v>
      </c>
      <c r="B3108" t="s">
        <v>4655</v>
      </c>
      <c r="C3108" t="s">
        <v>17850</v>
      </c>
      <c r="D3108" s="1">
        <v>40529</v>
      </c>
      <c r="E3108" s="2">
        <v>110000</v>
      </c>
      <c r="F3108" t="s">
        <v>3528</v>
      </c>
      <c r="G3108" s="17" t="str">
        <f>HYPERLINK("https://www.washoecounty.gov/assessor/cama/?command=sales&amp;parid=04436110","3955158")</f>
        <v>3955158</v>
      </c>
      <c r="H3108" t="s">
        <v>17851</v>
      </c>
      <c r="I3108">
        <v>1997</v>
      </c>
      <c r="J3108">
        <v>1997</v>
      </c>
      <c r="K3108" t="s">
        <v>1243</v>
      </c>
      <c r="L3108" t="s">
        <v>4655</v>
      </c>
      <c r="M3108" s="2">
        <v>0</v>
      </c>
      <c r="N3108" t="s">
        <v>4655</v>
      </c>
      <c r="O3108">
        <v>0</v>
      </c>
      <c r="P3108">
        <v>0</v>
      </c>
      <c r="Q3108">
        <v>0</v>
      </c>
      <c r="R3108" t="s">
        <v>4655</v>
      </c>
      <c r="S3108" t="s">
        <v>4655</v>
      </c>
      <c r="T3108" t="s">
        <v>4655</v>
      </c>
      <c r="U3108" t="s">
        <v>4655</v>
      </c>
      <c r="V3108" s="2">
        <v>0</v>
      </c>
      <c r="W3108" t="s">
        <v>4655</v>
      </c>
      <c r="X3108" s="2">
        <v>0</v>
      </c>
      <c r="Y3108">
        <v>18</v>
      </c>
      <c r="Z3108" t="s">
        <v>3884</v>
      </c>
      <c r="AA3108" s="3">
        <v>1.00399446487426</v>
      </c>
      <c r="AB3108" t="s">
        <v>17852</v>
      </c>
      <c r="AC3108" t="s">
        <v>4562</v>
      </c>
      <c r="AD3108" t="s">
        <v>17853</v>
      </c>
      <c r="AE3108" t="s">
        <v>4655</v>
      </c>
      <c r="AF3108" t="s">
        <v>4563</v>
      </c>
      <c r="AG3108" t="s">
        <v>4564</v>
      </c>
      <c r="AH3108">
        <v>89511</v>
      </c>
      <c r="AI3108" t="s">
        <v>4655</v>
      </c>
      <c r="AJ3108" t="s">
        <v>17854</v>
      </c>
      <c r="AK3108" t="s">
        <v>17855</v>
      </c>
      <c r="AL3108" s="13" t="s">
        <v>3420</v>
      </c>
      <c r="AM3108">
        <v>1</v>
      </c>
      <c r="AN3108" s="15" t="s">
        <v>1416</v>
      </c>
    </row>
    <row r="3109" spans="1:40" x14ac:dyDescent="0.3">
      <c r="A3109" s="10" t="str">
        <f>HYPERLINK("http://www.washoecounty.gov/assessor/cama/?parid=044-363-16&amp;CardNumber=1","044-363-16")</f>
        <v>044-363-16</v>
      </c>
      <c r="B3109" t="s">
        <v>4655</v>
      </c>
      <c r="C3109" t="s">
        <v>17856</v>
      </c>
      <c r="D3109" s="1">
        <v>40357</v>
      </c>
      <c r="E3109" s="2">
        <v>120000</v>
      </c>
      <c r="F3109" t="s">
        <v>3528</v>
      </c>
      <c r="G3109" s="17" t="str">
        <f>HYPERLINK("https://www.washoecounty.gov/assessor/cama/?command=sales&amp;parid=04436316","3895937")</f>
        <v>3895937</v>
      </c>
      <c r="H3109" t="s">
        <v>17857</v>
      </c>
      <c r="I3109">
        <v>0</v>
      </c>
      <c r="J3109">
        <v>0</v>
      </c>
      <c r="K3109" t="s">
        <v>4655</v>
      </c>
      <c r="L3109" t="s">
        <v>4655</v>
      </c>
      <c r="M3109" s="2">
        <v>0</v>
      </c>
      <c r="N3109" t="s">
        <v>4655</v>
      </c>
      <c r="O3109">
        <v>0</v>
      </c>
      <c r="P3109">
        <v>0</v>
      </c>
      <c r="Q3109">
        <v>0</v>
      </c>
      <c r="R3109" t="s">
        <v>4655</v>
      </c>
      <c r="S3109" t="s">
        <v>4655</v>
      </c>
      <c r="T3109" t="s">
        <v>4655</v>
      </c>
      <c r="U3109" t="s">
        <v>4655</v>
      </c>
      <c r="V3109" s="2">
        <v>0</v>
      </c>
      <c r="W3109" t="s">
        <v>4655</v>
      </c>
      <c r="X3109" s="2">
        <v>0</v>
      </c>
      <c r="Y3109">
        <v>12</v>
      </c>
      <c r="Z3109" t="s">
        <v>3884</v>
      </c>
      <c r="AA3109" s="3">
        <v>1.1002066135406401</v>
      </c>
      <c r="AB3109" t="s">
        <v>17858</v>
      </c>
      <c r="AC3109" t="s">
        <v>4562</v>
      </c>
      <c r="AD3109" t="s">
        <v>17859</v>
      </c>
      <c r="AE3109" t="s">
        <v>4655</v>
      </c>
      <c r="AF3109" t="s">
        <v>4563</v>
      </c>
      <c r="AG3109" t="s">
        <v>4564</v>
      </c>
      <c r="AH3109">
        <v>89509</v>
      </c>
      <c r="AI3109" t="s">
        <v>17860</v>
      </c>
      <c r="AJ3109" t="s">
        <v>17861</v>
      </c>
      <c r="AK3109" t="s">
        <v>17862</v>
      </c>
      <c r="AL3109" s="13" t="s">
        <v>3420</v>
      </c>
      <c r="AM3109">
        <v>0</v>
      </c>
      <c r="AN3109" s="15" t="s">
        <v>1416</v>
      </c>
    </row>
    <row r="3110" spans="1:40" x14ac:dyDescent="0.3">
      <c r="A3110" s="10" t="str">
        <f>HYPERLINK("http://www.washoecounty.gov/assessor/cama/?parid=044-391-07&amp;CardNumber=1","044-391-07")</f>
        <v>044-391-07</v>
      </c>
      <c r="B3110" t="s">
        <v>4655</v>
      </c>
      <c r="C3110" t="s">
        <v>17863</v>
      </c>
      <c r="D3110" s="1">
        <v>40410</v>
      </c>
      <c r="E3110" s="2">
        <v>241000</v>
      </c>
      <c r="F3110" t="s">
        <v>4553</v>
      </c>
      <c r="G3110" s="17" t="str">
        <f>HYPERLINK("https://www.washoecounty.gov/assessor/cama/?command=sales&amp;parid=04439107","3913981")</f>
        <v>3913981</v>
      </c>
      <c r="H3110" t="s">
        <v>17864</v>
      </c>
      <c r="I3110">
        <v>1950</v>
      </c>
      <c r="J3110">
        <v>1953</v>
      </c>
      <c r="K3110" t="s">
        <v>4554</v>
      </c>
      <c r="L3110" t="s">
        <v>4555</v>
      </c>
      <c r="M3110" s="2">
        <v>2379</v>
      </c>
      <c r="N3110" t="s">
        <v>4048</v>
      </c>
      <c r="O3110">
        <v>2</v>
      </c>
      <c r="P3110">
        <v>2</v>
      </c>
      <c r="Q3110">
        <v>0</v>
      </c>
      <c r="R3110" t="s">
        <v>1186</v>
      </c>
      <c r="S3110" t="s">
        <v>364</v>
      </c>
      <c r="T3110" t="s">
        <v>4899</v>
      </c>
      <c r="U3110" t="s">
        <v>4655</v>
      </c>
      <c r="V3110" s="2">
        <v>0</v>
      </c>
      <c r="W3110" t="s">
        <v>4655</v>
      </c>
      <c r="X3110" s="2">
        <v>0</v>
      </c>
      <c r="Y3110">
        <v>20</v>
      </c>
      <c r="Z3110" t="s">
        <v>3884</v>
      </c>
      <c r="AA3110" s="3">
        <v>2</v>
      </c>
      <c r="AB3110" t="s">
        <v>17865</v>
      </c>
      <c r="AC3110" t="s">
        <v>4562</v>
      </c>
      <c r="AD3110" t="s">
        <v>17866</v>
      </c>
      <c r="AE3110" t="s">
        <v>4655</v>
      </c>
      <c r="AF3110" t="s">
        <v>4563</v>
      </c>
      <c r="AG3110" t="s">
        <v>4564</v>
      </c>
      <c r="AH3110">
        <v>89511</v>
      </c>
      <c r="AI3110" t="s">
        <v>4655</v>
      </c>
      <c r="AJ3110" t="s">
        <v>4655</v>
      </c>
      <c r="AK3110" t="s">
        <v>17867</v>
      </c>
      <c r="AL3110" s="13" t="s">
        <v>1889</v>
      </c>
      <c r="AM3110" s="14">
        <v>1</v>
      </c>
      <c r="AN3110" s="15" t="s">
        <v>4323</v>
      </c>
    </row>
    <row r="3111" spans="1:40" x14ac:dyDescent="0.3">
      <c r="A3111" s="10" t="str">
        <f>HYPERLINK("http://www.washoecounty.gov/assessor/cama/?parid=045-322-08&amp;CardNumber=1","045-322-08")</f>
        <v>045-322-08</v>
      </c>
      <c r="B3111" t="s">
        <v>4655</v>
      </c>
      <c r="C3111" t="s">
        <v>17868</v>
      </c>
      <c r="D3111" s="1">
        <v>40336</v>
      </c>
      <c r="E3111" s="2">
        <v>130000</v>
      </c>
      <c r="F3111" t="s">
        <v>4567</v>
      </c>
      <c r="G3111" s="17" t="str">
        <f>HYPERLINK("https://www.washoecounty.gov/assessor/cama/?command=sales&amp;parid=04532208","3888973")</f>
        <v>3888973</v>
      </c>
      <c r="H3111" t="s">
        <v>17869</v>
      </c>
      <c r="I3111">
        <v>0</v>
      </c>
      <c r="J3111">
        <v>0</v>
      </c>
      <c r="K3111" t="s">
        <v>4655</v>
      </c>
      <c r="L3111" t="s">
        <v>4655</v>
      </c>
      <c r="M3111" s="2">
        <v>0</v>
      </c>
      <c r="N3111" t="s">
        <v>4655</v>
      </c>
      <c r="O3111">
        <v>0</v>
      </c>
      <c r="P3111">
        <v>0</v>
      </c>
      <c r="Q3111">
        <v>0</v>
      </c>
      <c r="R3111" t="s">
        <v>4655</v>
      </c>
      <c r="S3111" t="s">
        <v>4655</v>
      </c>
      <c r="T3111" t="s">
        <v>4655</v>
      </c>
      <c r="U3111" t="s">
        <v>4655</v>
      </c>
      <c r="V3111" s="2">
        <v>0</v>
      </c>
      <c r="W3111" t="s">
        <v>4655</v>
      </c>
      <c r="X3111" s="2">
        <v>0</v>
      </c>
      <c r="Y3111">
        <v>18</v>
      </c>
      <c r="Z3111" t="s">
        <v>3884</v>
      </c>
      <c r="AA3111" s="3">
        <v>1</v>
      </c>
      <c r="AB3111" t="s">
        <v>17870</v>
      </c>
      <c r="AC3111" t="s">
        <v>4575</v>
      </c>
      <c r="AD3111" t="s">
        <v>17871</v>
      </c>
      <c r="AE3111" t="s">
        <v>17872</v>
      </c>
      <c r="AF3111" t="s">
        <v>3150</v>
      </c>
      <c r="AG3111" t="s">
        <v>4584</v>
      </c>
      <c r="AH3111" t="s">
        <v>3151</v>
      </c>
      <c r="AI3111" t="s">
        <v>17873</v>
      </c>
      <c r="AJ3111" t="s">
        <v>17874</v>
      </c>
      <c r="AK3111" t="s">
        <v>17875</v>
      </c>
      <c r="AL3111" s="13" t="s">
        <v>1892</v>
      </c>
      <c r="AM3111">
        <v>0</v>
      </c>
      <c r="AN3111" s="15" t="s">
        <v>388</v>
      </c>
    </row>
    <row r="3112" spans="1:40" x14ac:dyDescent="0.3">
      <c r="A3112" s="10" t="str">
        <f>HYPERLINK("http://www.washoecounty.gov/assessor/cama/?parid=045-333-05&amp;CardNumber=1","045-333-05")</f>
        <v>045-333-05</v>
      </c>
      <c r="B3112" t="s">
        <v>4655</v>
      </c>
      <c r="C3112" t="s">
        <v>17876</v>
      </c>
      <c r="D3112" s="1">
        <v>40417</v>
      </c>
      <c r="E3112" s="2">
        <v>283000</v>
      </c>
      <c r="F3112" t="s">
        <v>4567</v>
      </c>
      <c r="G3112" s="17" t="str">
        <f>HYPERLINK("https://www.washoecounty.gov/assessor/cama/?command=sales&amp;parid=04533305","3916325")</f>
        <v>3916325</v>
      </c>
      <c r="H3112" t="s">
        <v>17877</v>
      </c>
      <c r="I3112">
        <v>1961</v>
      </c>
      <c r="J3112">
        <v>1961</v>
      </c>
      <c r="K3112" t="s">
        <v>4554</v>
      </c>
      <c r="L3112" t="s">
        <v>4555</v>
      </c>
      <c r="M3112" s="2">
        <v>2210</v>
      </c>
      <c r="N3112" t="s">
        <v>3887</v>
      </c>
      <c r="O3112">
        <v>3</v>
      </c>
      <c r="P3112">
        <v>2</v>
      </c>
      <c r="Q3112">
        <v>1</v>
      </c>
      <c r="R3112" t="s">
        <v>4557</v>
      </c>
      <c r="S3112" t="s">
        <v>4682</v>
      </c>
      <c r="T3112" t="s">
        <v>4559</v>
      </c>
      <c r="U3112" t="s">
        <v>4560</v>
      </c>
      <c r="V3112" s="2">
        <v>672</v>
      </c>
      <c r="W3112" t="s">
        <v>3149</v>
      </c>
      <c r="X3112" s="2">
        <v>1068</v>
      </c>
      <c r="Y3112">
        <v>20</v>
      </c>
      <c r="Z3112" t="s">
        <v>3884</v>
      </c>
      <c r="AA3112" s="3">
        <v>2.6800000667571999</v>
      </c>
      <c r="AB3112" t="s">
        <v>17878</v>
      </c>
      <c r="AC3112" t="s">
        <v>4562</v>
      </c>
      <c r="AD3112" t="s">
        <v>17876</v>
      </c>
      <c r="AE3112" t="s">
        <v>4655</v>
      </c>
      <c r="AF3112" t="s">
        <v>4563</v>
      </c>
      <c r="AG3112" t="s">
        <v>4564</v>
      </c>
      <c r="AH3112" t="s">
        <v>5197</v>
      </c>
      <c r="AI3112" t="s">
        <v>3513</v>
      </c>
      <c r="AJ3112" t="s">
        <v>4655</v>
      </c>
      <c r="AK3112" t="s">
        <v>17879</v>
      </c>
      <c r="AL3112" s="13" t="s">
        <v>1892</v>
      </c>
      <c r="AM3112" s="14">
        <v>1</v>
      </c>
      <c r="AN3112" s="15" t="s">
        <v>388</v>
      </c>
    </row>
    <row r="3113" spans="1:40" x14ac:dyDescent="0.3">
      <c r="A3113" s="10" t="str">
        <f>HYPERLINK("http://www.washoecounty.gov/assessor/cama/?parid=045-337-10&amp;CardNumber=1","045-337-10")</f>
        <v>045-337-10</v>
      </c>
      <c r="B3113" t="s">
        <v>4655</v>
      </c>
      <c r="C3113" t="s">
        <v>17880</v>
      </c>
      <c r="D3113" s="1">
        <v>40239</v>
      </c>
      <c r="E3113" s="2">
        <v>250000</v>
      </c>
      <c r="F3113" t="s">
        <v>4553</v>
      </c>
      <c r="G3113" s="17" t="str">
        <f>HYPERLINK("https://www.washoecounty.gov/assessor/cama/?command=sales&amp;parid=04533710","3854647")</f>
        <v>3854647</v>
      </c>
      <c r="H3113" t="s">
        <v>17881</v>
      </c>
      <c r="I3113">
        <v>1975</v>
      </c>
      <c r="J3113">
        <v>1975</v>
      </c>
      <c r="K3113" t="s">
        <v>4554</v>
      </c>
      <c r="L3113" t="s">
        <v>4555</v>
      </c>
      <c r="M3113" s="2">
        <v>2128</v>
      </c>
      <c r="N3113" t="s">
        <v>4048</v>
      </c>
      <c r="O3113">
        <v>4</v>
      </c>
      <c r="P3113">
        <v>2</v>
      </c>
      <c r="Q3113">
        <v>0</v>
      </c>
      <c r="R3113" t="s">
        <v>4557</v>
      </c>
      <c r="S3113" t="s">
        <v>3148</v>
      </c>
      <c r="T3113" t="s">
        <v>4143</v>
      </c>
      <c r="U3113" t="s">
        <v>4655</v>
      </c>
      <c r="V3113" s="2">
        <v>0</v>
      </c>
      <c r="W3113" t="s">
        <v>4655</v>
      </c>
      <c r="X3113" s="2">
        <v>0</v>
      </c>
      <c r="Y3113">
        <v>20</v>
      </c>
      <c r="Z3113" t="s">
        <v>3884</v>
      </c>
      <c r="AA3113" s="3">
        <v>1.0841138362884499</v>
      </c>
      <c r="AB3113" t="s">
        <v>17882</v>
      </c>
      <c r="AC3113" t="s">
        <v>4562</v>
      </c>
      <c r="AD3113" t="s">
        <v>17880</v>
      </c>
      <c r="AE3113" t="s">
        <v>4655</v>
      </c>
      <c r="AF3113" t="s">
        <v>4563</v>
      </c>
      <c r="AG3113" t="s">
        <v>4564</v>
      </c>
      <c r="AH3113" t="s">
        <v>5197</v>
      </c>
      <c r="AI3113" t="s">
        <v>4655</v>
      </c>
      <c r="AJ3113" t="s">
        <v>4655</v>
      </c>
      <c r="AK3113" t="s">
        <v>17883</v>
      </c>
      <c r="AL3113" s="13" t="s">
        <v>1892</v>
      </c>
      <c r="AM3113">
        <v>1</v>
      </c>
      <c r="AN3113" s="15" t="s">
        <v>388</v>
      </c>
    </row>
    <row r="3114" spans="1:40" x14ac:dyDescent="0.3">
      <c r="A3114" s="10" t="str">
        <f>HYPERLINK("http://www.washoecounty.gov/assessor/cama/?parid=045-344-03&amp;CardNumber=1","045-344-03")</f>
        <v>045-344-03</v>
      </c>
      <c r="B3114" t="s">
        <v>5502</v>
      </c>
      <c r="C3114" t="s">
        <v>17884</v>
      </c>
      <c r="D3114" s="1">
        <v>40305</v>
      </c>
      <c r="E3114" s="2">
        <v>400000</v>
      </c>
      <c r="F3114" t="s">
        <v>4567</v>
      </c>
      <c r="G3114" s="17" t="str">
        <f>HYPERLINK("https://www.washoecounty.gov/assessor/cama/?command=sales&amp;parid=04534403","3879393")</f>
        <v>3879393</v>
      </c>
      <c r="H3114" t="s">
        <v>17885</v>
      </c>
      <c r="I3114">
        <v>1982</v>
      </c>
      <c r="J3114">
        <v>1983</v>
      </c>
      <c r="K3114" t="s">
        <v>4554</v>
      </c>
      <c r="L3114" t="s">
        <v>3974</v>
      </c>
      <c r="M3114" s="2">
        <v>2398</v>
      </c>
      <c r="N3114" t="s">
        <v>4048</v>
      </c>
      <c r="O3114">
        <v>2</v>
      </c>
      <c r="P3114">
        <v>2</v>
      </c>
      <c r="Q3114">
        <v>0</v>
      </c>
      <c r="R3114" t="s">
        <v>5281</v>
      </c>
      <c r="S3114" t="s">
        <v>4135</v>
      </c>
      <c r="T3114" t="s">
        <v>4143</v>
      </c>
      <c r="U3114" t="s">
        <v>4655</v>
      </c>
      <c r="V3114" s="2">
        <v>0</v>
      </c>
      <c r="W3114" t="s">
        <v>3149</v>
      </c>
      <c r="X3114" s="2">
        <v>1107</v>
      </c>
      <c r="Y3114">
        <v>20</v>
      </c>
      <c r="Z3114" t="s">
        <v>3884</v>
      </c>
      <c r="AA3114" s="3">
        <v>1.3399908542632999</v>
      </c>
      <c r="AB3114" t="s">
        <v>17886</v>
      </c>
      <c r="AC3114" t="s">
        <v>4562</v>
      </c>
      <c r="AD3114" t="s">
        <v>17887</v>
      </c>
      <c r="AE3114" t="s">
        <v>4655</v>
      </c>
      <c r="AF3114" t="s">
        <v>4752</v>
      </c>
      <c r="AG3114" t="s">
        <v>4564</v>
      </c>
      <c r="AH3114" t="s">
        <v>5197</v>
      </c>
      <c r="AI3114" t="s">
        <v>4655</v>
      </c>
      <c r="AJ3114" t="s">
        <v>4655</v>
      </c>
      <c r="AK3114" t="s">
        <v>17888</v>
      </c>
      <c r="AL3114" s="13" t="s">
        <v>1892</v>
      </c>
      <c r="AM3114" s="14">
        <v>2</v>
      </c>
      <c r="AN3114" s="15" t="s">
        <v>388</v>
      </c>
    </row>
    <row r="3115" spans="1:40" x14ac:dyDescent="0.3">
      <c r="A3115" s="10" t="str">
        <f>HYPERLINK("http://www.washoecounty.gov/assessor/cama/?parid=045-532-01&amp;CardNumber=1","045-532-01")</f>
        <v>045-532-01</v>
      </c>
      <c r="B3115" t="s">
        <v>4655</v>
      </c>
      <c r="C3115" t="s">
        <v>17889</v>
      </c>
      <c r="D3115" s="1">
        <v>40528</v>
      </c>
      <c r="E3115" s="2">
        <v>315000</v>
      </c>
      <c r="F3115" t="s">
        <v>4567</v>
      </c>
      <c r="G3115" s="17" t="str">
        <f>HYPERLINK("https://www.washoecounty.gov/assessor/cama/?command=sales&amp;parid=04553201","3954647")</f>
        <v>3954647</v>
      </c>
      <c r="H3115" t="s">
        <v>4759</v>
      </c>
      <c r="I3115">
        <v>1980</v>
      </c>
      <c r="J3115">
        <v>1980</v>
      </c>
      <c r="K3115" t="s">
        <v>4554</v>
      </c>
      <c r="L3115" t="s">
        <v>4555</v>
      </c>
      <c r="M3115" s="2">
        <v>1940</v>
      </c>
      <c r="N3115" t="s">
        <v>5280</v>
      </c>
      <c r="O3115">
        <v>3</v>
      </c>
      <c r="P3115">
        <v>2</v>
      </c>
      <c r="Q3115">
        <v>0</v>
      </c>
      <c r="R3115" t="s">
        <v>4557</v>
      </c>
      <c r="S3115" t="s">
        <v>4558</v>
      </c>
      <c r="T3115" t="s">
        <v>2704</v>
      </c>
      <c r="U3115" t="s">
        <v>4560</v>
      </c>
      <c r="V3115" s="2">
        <v>768</v>
      </c>
      <c r="W3115" t="s">
        <v>4655</v>
      </c>
      <c r="X3115" s="2">
        <v>0</v>
      </c>
      <c r="Y3115">
        <v>20</v>
      </c>
      <c r="Z3115" t="s">
        <v>3884</v>
      </c>
      <c r="AA3115" s="3">
        <v>0.95798897743225098</v>
      </c>
      <c r="AB3115" t="s">
        <v>17890</v>
      </c>
      <c r="AC3115" t="s">
        <v>4562</v>
      </c>
      <c r="AD3115" t="s">
        <v>17891</v>
      </c>
      <c r="AE3115" t="s">
        <v>4655</v>
      </c>
      <c r="AF3115" t="s">
        <v>4563</v>
      </c>
      <c r="AG3115" t="s">
        <v>4564</v>
      </c>
      <c r="AH3115">
        <v>89511</v>
      </c>
      <c r="AI3115" t="s">
        <v>17892</v>
      </c>
      <c r="AJ3115" t="s">
        <v>4655</v>
      </c>
      <c r="AK3115" t="s">
        <v>17893</v>
      </c>
      <c r="AL3115" s="13" t="s">
        <v>3428</v>
      </c>
      <c r="AM3115" s="14">
        <v>1</v>
      </c>
      <c r="AN3115" s="15" t="s">
        <v>889</v>
      </c>
    </row>
    <row r="3116" spans="1:40" x14ac:dyDescent="0.3">
      <c r="A3116" s="10" t="str">
        <f>HYPERLINK("http://www.washoecounty.gov/assessor/cama/?parid=045-536-06&amp;CardNumber=1","045-536-06")</f>
        <v>045-536-06</v>
      </c>
      <c r="B3116" t="s">
        <v>4655</v>
      </c>
      <c r="C3116" t="s">
        <v>17894</v>
      </c>
      <c r="D3116" s="1">
        <v>40534</v>
      </c>
      <c r="E3116" s="2">
        <v>365000</v>
      </c>
      <c r="F3116" t="s">
        <v>4567</v>
      </c>
      <c r="G3116" s="17" t="str">
        <f>HYPERLINK("https://www.washoecounty.gov/assessor/cama/?command=sales&amp;parid=04553606","3956170")</f>
        <v>3956170</v>
      </c>
      <c r="H3116" t="s">
        <v>832</v>
      </c>
      <c r="I3116">
        <v>1977</v>
      </c>
      <c r="J3116">
        <v>1977</v>
      </c>
      <c r="K3116" t="s">
        <v>4554</v>
      </c>
      <c r="L3116" t="s">
        <v>3886</v>
      </c>
      <c r="M3116" s="2">
        <v>2010</v>
      </c>
      <c r="N3116" t="s">
        <v>3887</v>
      </c>
      <c r="O3116">
        <v>3</v>
      </c>
      <c r="P3116">
        <v>2</v>
      </c>
      <c r="Q3116">
        <v>0</v>
      </c>
      <c r="R3116" t="s">
        <v>4557</v>
      </c>
      <c r="S3116" t="s">
        <v>3148</v>
      </c>
      <c r="T3116" t="s">
        <v>2704</v>
      </c>
      <c r="U3116" t="s">
        <v>4560</v>
      </c>
      <c r="V3116" s="2">
        <v>858</v>
      </c>
      <c r="W3116" t="s">
        <v>4655</v>
      </c>
      <c r="X3116" s="2">
        <v>0</v>
      </c>
      <c r="Y3116">
        <v>20</v>
      </c>
      <c r="Z3116" t="s">
        <v>3884</v>
      </c>
      <c r="AA3116" s="3">
        <v>1.2940082550048799</v>
      </c>
      <c r="AB3116" t="s">
        <v>17895</v>
      </c>
      <c r="AC3116" t="s">
        <v>4575</v>
      </c>
      <c r="AD3116" t="s">
        <v>17896</v>
      </c>
      <c r="AE3116" t="s">
        <v>4655</v>
      </c>
      <c r="AF3116" t="s">
        <v>4563</v>
      </c>
      <c r="AG3116" t="s">
        <v>4564</v>
      </c>
      <c r="AH3116">
        <v>89511</v>
      </c>
      <c r="AI3116" t="s">
        <v>17897</v>
      </c>
      <c r="AJ3116" t="s">
        <v>4655</v>
      </c>
      <c r="AK3116" t="s">
        <v>17898</v>
      </c>
      <c r="AL3116" s="13" t="s">
        <v>3428</v>
      </c>
      <c r="AM3116">
        <v>1</v>
      </c>
      <c r="AN3116" s="15" t="s">
        <v>889</v>
      </c>
    </row>
    <row r="3117" spans="1:40" x14ac:dyDescent="0.3">
      <c r="A3117" s="10" t="str">
        <f>HYPERLINK("http://www.washoecounty.gov/assessor/cama/?parid=045-541-21&amp;CardNumber=1","045-541-21")</f>
        <v>045-541-21</v>
      </c>
      <c r="B3117" t="s">
        <v>4655</v>
      </c>
      <c r="C3117" s="20" t="s">
        <v>283</v>
      </c>
      <c r="D3117" s="1">
        <v>40354</v>
      </c>
      <c r="E3117" s="2">
        <v>280000</v>
      </c>
      <c r="F3117" t="s">
        <v>4553</v>
      </c>
      <c r="G3117" s="20" t="s">
        <v>282</v>
      </c>
      <c r="H3117" t="s">
        <v>214</v>
      </c>
      <c r="I3117">
        <v>1981</v>
      </c>
      <c r="J3117">
        <v>1981</v>
      </c>
      <c r="K3117" t="s">
        <v>4554</v>
      </c>
      <c r="L3117" t="s">
        <v>4555</v>
      </c>
      <c r="M3117" s="2">
        <v>2124</v>
      </c>
      <c r="N3117" t="s">
        <v>3147</v>
      </c>
      <c r="O3117">
        <v>4</v>
      </c>
      <c r="P3117">
        <v>2</v>
      </c>
      <c r="Q3117">
        <v>0</v>
      </c>
      <c r="R3117" t="s">
        <v>4557</v>
      </c>
      <c r="S3117" t="s">
        <v>3148</v>
      </c>
      <c r="T3117" t="s">
        <v>2704</v>
      </c>
      <c r="U3117" t="s">
        <v>4560</v>
      </c>
      <c r="V3117" s="2">
        <v>598</v>
      </c>
      <c r="W3117" t="s">
        <v>4655</v>
      </c>
      <c r="X3117" s="2">
        <v>0</v>
      </c>
      <c r="Y3117">
        <v>20</v>
      </c>
      <c r="Z3117" t="s">
        <v>3884</v>
      </c>
      <c r="AA3117" s="3">
        <v>1.0440082550048799</v>
      </c>
      <c r="AB3117" s="20" t="s">
        <v>8865</v>
      </c>
      <c r="AD3117" t="s">
        <v>283</v>
      </c>
      <c r="AE3117" t="s">
        <v>283</v>
      </c>
      <c r="AF3117" t="s">
        <v>283</v>
      </c>
      <c r="AG3117" t="s">
        <v>4564</v>
      </c>
      <c r="AH3117" t="s">
        <v>3101</v>
      </c>
      <c r="AI3117" t="s">
        <v>8865</v>
      </c>
      <c r="AJ3117" t="s">
        <v>17899</v>
      </c>
      <c r="AK3117" t="s">
        <v>8865</v>
      </c>
      <c r="AL3117" s="13" t="s">
        <v>3428</v>
      </c>
      <c r="AM3117">
        <v>1</v>
      </c>
      <c r="AN3117" s="15" t="s">
        <v>889</v>
      </c>
    </row>
    <row r="3118" spans="1:40" x14ac:dyDescent="0.3">
      <c r="A3118" s="10" t="str">
        <f>HYPERLINK("http://www.washoecounty.gov/assessor/cama/?parid=045-542-04&amp;CardNumber=1","045-542-04")</f>
        <v>045-542-04</v>
      </c>
      <c r="B3118" t="s">
        <v>4655</v>
      </c>
      <c r="C3118" t="s">
        <v>2550</v>
      </c>
      <c r="D3118" s="1">
        <v>40283</v>
      </c>
      <c r="E3118" s="2">
        <v>245000</v>
      </c>
      <c r="F3118" t="s">
        <v>4567</v>
      </c>
      <c r="G3118" s="17" t="str">
        <f>HYPERLINK("https://www.washoecounty.gov/assessor/cama/?command=sales&amp;parid=04554204","3871337")</f>
        <v>3871337</v>
      </c>
      <c r="H3118" t="s">
        <v>17900</v>
      </c>
      <c r="I3118">
        <v>1977</v>
      </c>
      <c r="J3118">
        <v>1977</v>
      </c>
      <c r="K3118" t="s">
        <v>4554</v>
      </c>
      <c r="L3118" t="s">
        <v>3974</v>
      </c>
      <c r="M3118" s="2">
        <v>2304</v>
      </c>
      <c r="N3118" t="s">
        <v>5280</v>
      </c>
      <c r="O3118">
        <v>3</v>
      </c>
      <c r="P3118">
        <v>3</v>
      </c>
      <c r="Q3118">
        <v>0</v>
      </c>
      <c r="R3118" t="s">
        <v>5281</v>
      </c>
      <c r="S3118" t="s">
        <v>4558</v>
      </c>
      <c r="T3118" t="s">
        <v>4559</v>
      </c>
      <c r="U3118" t="s">
        <v>4560</v>
      </c>
      <c r="V3118" s="2">
        <v>400</v>
      </c>
      <c r="W3118" t="s">
        <v>4655</v>
      </c>
      <c r="X3118" s="2">
        <v>0</v>
      </c>
      <c r="Y3118">
        <v>20</v>
      </c>
      <c r="Z3118" t="s">
        <v>3884</v>
      </c>
      <c r="AA3118" s="3">
        <v>1.0480027198791499</v>
      </c>
      <c r="AB3118" t="s">
        <v>17901</v>
      </c>
      <c r="AC3118" t="s">
        <v>4575</v>
      </c>
      <c r="AD3118" t="s">
        <v>17902</v>
      </c>
      <c r="AE3118" t="s">
        <v>2550</v>
      </c>
      <c r="AF3118" t="s">
        <v>4563</v>
      </c>
      <c r="AG3118" t="s">
        <v>4564</v>
      </c>
      <c r="AH3118">
        <v>89511</v>
      </c>
      <c r="AI3118" t="s">
        <v>17903</v>
      </c>
      <c r="AJ3118" t="s">
        <v>4655</v>
      </c>
      <c r="AK3118" t="s">
        <v>17904</v>
      </c>
      <c r="AL3118" s="13" t="s">
        <v>3428</v>
      </c>
      <c r="AM3118" s="14">
        <v>1</v>
      </c>
      <c r="AN3118" s="15" t="s">
        <v>889</v>
      </c>
    </row>
    <row r="3119" spans="1:40" x14ac:dyDescent="0.3">
      <c r="A3119" s="10" t="str">
        <f>HYPERLINK("http://www.washoecounty.gov/assessor/cama/?parid=045-551-07&amp;CardNumber=1","045-551-07")</f>
        <v>045-551-07</v>
      </c>
      <c r="B3119" t="s">
        <v>4655</v>
      </c>
      <c r="C3119" t="s">
        <v>17905</v>
      </c>
      <c r="D3119" s="1">
        <v>40351</v>
      </c>
      <c r="E3119" s="2">
        <v>295000</v>
      </c>
      <c r="F3119" t="s">
        <v>4567</v>
      </c>
      <c r="G3119" s="17" t="str">
        <f>HYPERLINK("https://www.washoecounty.gov/assessor/cama/?command=sales&amp;parid=04555107","3894408")</f>
        <v>3894408</v>
      </c>
      <c r="H3119" t="s">
        <v>214</v>
      </c>
      <c r="I3119">
        <v>1975</v>
      </c>
      <c r="J3119">
        <v>1987</v>
      </c>
      <c r="K3119" t="s">
        <v>4554</v>
      </c>
      <c r="L3119" t="s">
        <v>2170</v>
      </c>
      <c r="M3119" s="2">
        <v>2798</v>
      </c>
      <c r="N3119" t="s">
        <v>3147</v>
      </c>
      <c r="O3119">
        <v>3</v>
      </c>
      <c r="P3119">
        <v>2</v>
      </c>
      <c r="Q3119">
        <v>0</v>
      </c>
      <c r="R3119" t="s">
        <v>5205</v>
      </c>
      <c r="S3119" t="s">
        <v>4898</v>
      </c>
      <c r="T3119" t="s">
        <v>2704</v>
      </c>
      <c r="U3119" t="s">
        <v>4560</v>
      </c>
      <c r="V3119" s="2">
        <v>440</v>
      </c>
      <c r="W3119" t="s">
        <v>4655</v>
      </c>
      <c r="X3119" s="2">
        <v>0</v>
      </c>
      <c r="Y3119">
        <v>20</v>
      </c>
      <c r="Z3119" t="s">
        <v>3884</v>
      </c>
      <c r="AA3119" s="3">
        <v>1.0449954271316499</v>
      </c>
      <c r="AB3119" t="s">
        <v>17906</v>
      </c>
      <c r="AC3119" t="s">
        <v>4562</v>
      </c>
      <c r="AD3119" t="s">
        <v>17905</v>
      </c>
      <c r="AE3119" t="s">
        <v>4655</v>
      </c>
      <c r="AF3119" t="s">
        <v>4563</v>
      </c>
      <c r="AG3119" t="s">
        <v>4564</v>
      </c>
      <c r="AH3119">
        <v>89511</v>
      </c>
      <c r="AI3119" t="s">
        <v>4655</v>
      </c>
      <c r="AJ3119" t="s">
        <v>17907</v>
      </c>
      <c r="AK3119" t="s">
        <v>17908</v>
      </c>
      <c r="AL3119" s="13" t="s">
        <v>3428</v>
      </c>
      <c r="AM3119">
        <v>1</v>
      </c>
      <c r="AN3119" s="15" t="s">
        <v>889</v>
      </c>
    </row>
    <row r="3120" spans="1:40" x14ac:dyDescent="0.3">
      <c r="A3120" s="10" t="str">
        <f>HYPERLINK("http://www.washoecounty.gov/assessor/cama/?parid=045-552-20&amp;CardNumber=1","045-552-20")</f>
        <v>045-552-20</v>
      </c>
      <c r="B3120" t="s">
        <v>4655</v>
      </c>
      <c r="C3120" t="s">
        <v>17909</v>
      </c>
      <c r="D3120" s="1">
        <v>40275</v>
      </c>
      <c r="E3120" s="2">
        <v>250000</v>
      </c>
      <c r="F3120" t="s">
        <v>4567</v>
      </c>
      <c r="G3120" s="17" t="str">
        <f>HYPERLINK("https://www.washoecounty.gov/assessor/cama/?command=sales&amp;parid=04555220","3868686")</f>
        <v>3868686</v>
      </c>
      <c r="H3120" t="s">
        <v>17910</v>
      </c>
      <c r="I3120">
        <v>1976</v>
      </c>
      <c r="J3120">
        <v>1976</v>
      </c>
      <c r="K3120" t="s">
        <v>4554</v>
      </c>
      <c r="L3120" t="s">
        <v>4555</v>
      </c>
      <c r="M3120" s="2">
        <v>1425</v>
      </c>
      <c r="N3120" t="s">
        <v>5280</v>
      </c>
      <c r="O3120">
        <v>3</v>
      </c>
      <c r="P3120">
        <v>3</v>
      </c>
      <c r="Q3120">
        <v>0</v>
      </c>
      <c r="R3120" t="s">
        <v>4557</v>
      </c>
      <c r="S3120" t="s">
        <v>4570</v>
      </c>
      <c r="T3120" t="s">
        <v>4559</v>
      </c>
      <c r="U3120" t="s">
        <v>4655</v>
      </c>
      <c r="V3120" s="2">
        <v>0</v>
      </c>
      <c r="W3120" t="s">
        <v>4655</v>
      </c>
      <c r="X3120" s="2">
        <v>0</v>
      </c>
      <c r="Y3120">
        <v>20</v>
      </c>
      <c r="Z3120" t="s">
        <v>3884</v>
      </c>
      <c r="AA3120" s="3">
        <v>0.99898988008499101</v>
      </c>
      <c r="AB3120" t="s">
        <v>17911</v>
      </c>
      <c r="AC3120" t="s">
        <v>4575</v>
      </c>
      <c r="AD3120" t="s">
        <v>17912</v>
      </c>
      <c r="AE3120" t="s">
        <v>4655</v>
      </c>
      <c r="AF3120" t="s">
        <v>4563</v>
      </c>
      <c r="AG3120" t="s">
        <v>4564</v>
      </c>
      <c r="AH3120">
        <v>89509</v>
      </c>
      <c r="AI3120" t="s">
        <v>17913</v>
      </c>
      <c r="AJ3120" t="s">
        <v>888</v>
      </c>
      <c r="AK3120" t="s">
        <v>17914</v>
      </c>
      <c r="AL3120" s="13" t="s">
        <v>3428</v>
      </c>
      <c r="AM3120">
        <v>1</v>
      </c>
      <c r="AN3120" s="15" t="s">
        <v>889</v>
      </c>
    </row>
    <row r="3121" spans="1:40" x14ac:dyDescent="0.3">
      <c r="A3121" s="10" t="str">
        <f>HYPERLINK("http://www.washoecounty.gov/assessor/cama/?parid=045-571-30&amp;CardNumber=1","045-571-30")</f>
        <v>045-571-30</v>
      </c>
      <c r="B3121" t="s">
        <v>4655</v>
      </c>
      <c r="C3121" t="s">
        <v>17915</v>
      </c>
      <c r="D3121" s="1">
        <v>40519</v>
      </c>
      <c r="E3121" s="2">
        <v>372500</v>
      </c>
      <c r="F3121" t="s">
        <v>4567</v>
      </c>
      <c r="G3121" s="17" t="str">
        <f>HYPERLINK("https://www.washoecounty.gov/assessor/cama/?command=sales&amp;parid=04557130","3950475")</f>
        <v>3950475</v>
      </c>
      <c r="H3121" t="s">
        <v>17916</v>
      </c>
      <c r="I3121">
        <v>1992</v>
      </c>
      <c r="J3121">
        <v>1992</v>
      </c>
      <c r="K3121" t="s">
        <v>4554</v>
      </c>
      <c r="L3121" t="s">
        <v>3974</v>
      </c>
      <c r="M3121" s="2">
        <v>2090</v>
      </c>
      <c r="N3121" t="s">
        <v>5280</v>
      </c>
      <c r="O3121">
        <v>3</v>
      </c>
      <c r="P3121">
        <v>3</v>
      </c>
      <c r="Q3121">
        <v>0</v>
      </c>
      <c r="R3121" t="s">
        <v>4557</v>
      </c>
      <c r="S3121" t="s">
        <v>4135</v>
      </c>
      <c r="T3121" t="s">
        <v>2704</v>
      </c>
      <c r="U3121" t="s">
        <v>4560</v>
      </c>
      <c r="V3121" s="2">
        <v>528</v>
      </c>
      <c r="W3121" t="s">
        <v>4655</v>
      </c>
      <c r="X3121" s="2">
        <v>0</v>
      </c>
      <c r="Y3121">
        <v>20</v>
      </c>
      <c r="Z3121" t="s">
        <v>3884</v>
      </c>
      <c r="AA3121" s="3">
        <v>1.2039945125579801</v>
      </c>
      <c r="AB3121" t="s">
        <v>17917</v>
      </c>
      <c r="AC3121" t="s">
        <v>4575</v>
      </c>
      <c r="AD3121" t="s">
        <v>17915</v>
      </c>
      <c r="AE3121" t="s">
        <v>4655</v>
      </c>
      <c r="AF3121" t="s">
        <v>4563</v>
      </c>
      <c r="AG3121" t="s">
        <v>4564</v>
      </c>
      <c r="AH3121">
        <v>89511</v>
      </c>
      <c r="AI3121" t="s">
        <v>3755</v>
      </c>
      <c r="AJ3121" t="s">
        <v>17918</v>
      </c>
      <c r="AK3121" t="s">
        <v>17919</v>
      </c>
      <c r="AL3121" s="13" t="s">
        <v>3428</v>
      </c>
      <c r="AM3121" s="14">
        <v>1</v>
      </c>
      <c r="AN3121" s="15" t="s">
        <v>889</v>
      </c>
    </row>
    <row r="3122" spans="1:40" x14ac:dyDescent="0.3">
      <c r="A3122" s="10" t="str">
        <f>HYPERLINK("http://www.washoecounty.gov/assessor/cama/?parid=045-573-16&amp;CardNumber=1","045-573-16")</f>
        <v>045-573-16</v>
      </c>
      <c r="B3122" t="s">
        <v>4655</v>
      </c>
      <c r="C3122" t="s">
        <v>17920</v>
      </c>
      <c r="D3122" s="1">
        <v>40297</v>
      </c>
      <c r="E3122" s="2">
        <v>240000</v>
      </c>
      <c r="F3122" t="s">
        <v>4567</v>
      </c>
      <c r="G3122" s="17" t="str">
        <f>HYPERLINK("https://www.washoecounty.gov/assessor/cama/?command=sales&amp;parid=04557316","3876205")</f>
        <v>3876205</v>
      </c>
      <c r="H3122" t="s">
        <v>17921</v>
      </c>
      <c r="I3122">
        <v>1976</v>
      </c>
      <c r="J3122">
        <v>1976</v>
      </c>
      <c r="K3122" t="s">
        <v>4554</v>
      </c>
      <c r="L3122" t="s">
        <v>4555</v>
      </c>
      <c r="M3122" s="2">
        <v>1812</v>
      </c>
      <c r="N3122" t="s">
        <v>5280</v>
      </c>
      <c r="O3122">
        <v>3</v>
      </c>
      <c r="P3122">
        <v>2</v>
      </c>
      <c r="Q3122">
        <v>0</v>
      </c>
      <c r="R3122" t="s">
        <v>4557</v>
      </c>
      <c r="S3122" t="s">
        <v>3148</v>
      </c>
      <c r="T3122" t="s">
        <v>4559</v>
      </c>
      <c r="U3122" t="s">
        <v>4560</v>
      </c>
      <c r="V3122" s="2">
        <v>529</v>
      </c>
      <c r="W3122" t="s">
        <v>4655</v>
      </c>
      <c r="X3122" s="2">
        <v>0</v>
      </c>
      <c r="Y3122">
        <v>20</v>
      </c>
      <c r="Z3122" t="s">
        <v>3884</v>
      </c>
      <c r="AA3122" s="3">
        <v>0.96999537944793701</v>
      </c>
      <c r="AB3122" t="s">
        <v>17922</v>
      </c>
      <c r="AC3122" t="s">
        <v>4562</v>
      </c>
      <c r="AD3122" t="s">
        <v>17923</v>
      </c>
      <c r="AE3122" t="s">
        <v>4655</v>
      </c>
      <c r="AF3122" t="s">
        <v>4563</v>
      </c>
      <c r="AG3122" t="s">
        <v>4564</v>
      </c>
      <c r="AH3122">
        <v>89511</v>
      </c>
      <c r="AI3122" t="s">
        <v>17924</v>
      </c>
      <c r="AJ3122" t="s">
        <v>4655</v>
      </c>
      <c r="AK3122" t="s">
        <v>17925</v>
      </c>
      <c r="AL3122" s="13" t="s">
        <v>3428</v>
      </c>
      <c r="AM3122">
        <v>1</v>
      </c>
      <c r="AN3122" s="15" t="s">
        <v>889</v>
      </c>
    </row>
    <row r="3123" spans="1:40" x14ac:dyDescent="0.3">
      <c r="A3123" s="10" t="str">
        <f>HYPERLINK("http://www.washoecounty.gov/assessor/cama/?parid=046-031-09&amp;CardNumber=1","046-031-09")</f>
        <v>046-031-09</v>
      </c>
      <c r="B3123" t="s">
        <v>4655</v>
      </c>
      <c r="C3123" t="s">
        <v>17926</v>
      </c>
      <c r="D3123" s="1">
        <v>40532</v>
      </c>
      <c r="E3123" s="2">
        <v>485978</v>
      </c>
      <c r="F3123" t="s">
        <v>4567</v>
      </c>
      <c r="G3123" s="17" t="str">
        <f>HYPERLINK("https://www.washoecounty.gov/assessor/cama/?command=sales&amp;parid=04603109","3955581")</f>
        <v>3955581</v>
      </c>
      <c r="H3123" t="s">
        <v>17927</v>
      </c>
      <c r="I3123">
        <v>1978</v>
      </c>
      <c r="J3123">
        <v>1985</v>
      </c>
      <c r="K3123" t="s">
        <v>4554</v>
      </c>
      <c r="L3123" t="s">
        <v>3974</v>
      </c>
      <c r="M3123" s="2">
        <v>4498</v>
      </c>
      <c r="N3123" t="s">
        <v>3887</v>
      </c>
      <c r="O3123">
        <v>3</v>
      </c>
      <c r="P3123">
        <v>4</v>
      </c>
      <c r="Q3123">
        <v>0</v>
      </c>
      <c r="R3123" t="s">
        <v>4557</v>
      </c>
      <c r="S3123" t="s">
        <v>5048</v>
      </c>
      <c r="T3123" t="s">
        <v>4559</v>
      </c>
      <c r="U3123" t="s">
        <v>4655</v>
      </c>
      <c r="V3123" s="2">
        <v>0</v>
      </c>
      <c r="W3123" t="s">
        <v>4655</v>
      </c>
      <c r="X3123" s="2">
        <v>0</v>
      </c>
      <c r="Y3123">
        <v>20</v>
      </c>
      <c r="Z3123" t="s">
        <v>1376</v>
      </c>
      <c r="AA3123" s="3">
        <v>2.5</v>
      </c>
      <c r="AB3123" t="s">
        <v>17928</v>
      </c>
      <c r="AC3123" t="s">
        <v>4562</v>
      </c>
      <c r="AD3123" t="s">
        <v>17929</v>
      </c>
      <c r="AE3123" t="s">
        <v>4655</v>
      </c>
      <c r="AF3123" t="s">
        <v>2487</v>
      </c>
      <c r="AG3123" t="s">
        <v>4564</v>
      </c>
      <c r="AH3123">
        <v>89704</v>
      </c>
      <c r="AI3123" t="s">
        <v>4655</v>
      </c>
      <c r="AJ3123" t="s">
        <v>4655</v>
      </c>
      <c r="AK3123" t="s">
        <v>17930</v>
      </c>
      <c r="AL3123" s="13" t="s">
        <v>3428</v>
      </c>
      <c r="AM3123" s="14">
        <v>1</v>
      </c>
      <c r="AN3123" s="15" t="s">
        <v>5472</v>
      </c>
    </row>
    <row r="3124" spans="1:40" x14ac:dyDescent="0.3">
      <c r="A3124" s="10" t="str">
        <f>HYPERLINK("http://www.washoecounty.gov/assessor/cama/?parid=046-031-36&amp;CardNumber=1","046-031-36")</f>
        <v>046-031-36</v>
      </c>
      <c r="B3124" t="s">
        <v>4655</v>
      </c>
      <c r="C3124" t="s">
        <v>4655</v>
      </c>
      <c r="D3124" s="1">
        <v>40486</v>
      </c>
      <c r="E3124" s="2">
        <v>412500</v>
      </c>
      <c r="F3124" t="s">
        <v>4567</v>
      </c>
      <c r="G3124" s="17" t="str">
        <f>HYPERLINK("https://www.washoecounty.gov/assessor/cama/?command=sales&amp;parid=04603136","NOT AVAILABLE ")</f>
        <v xml:space="preserve">NOT AVAILABLE </v>
      </c>
      <c r="H3124" t="s">
        <v>4655</v>
      </c>
      <c r="I3124">
        <v>1987</v>
      </c>
      <c r="J3124">
        <v>1987</v>
      </c>
      <c r="K3124" t="s">
        <v>4554</v>
      </c>
      <c r="L3124" t="s">
        <v>4555</v>
      </c>
      <c r="M3124" s="2">
        <v>2090</v>
      </c>
      <c r="N3124" t="s">
        <v>4048</v>
      </c>
      <c r="O3124">
        <v>2</v>
      </c>
      <c r="P3124">
        <v>2</v>
      </c>
      <c r="Q3124">
        <v>0</v>
      </c>
      <c r="R3124" t="s">
        <v>4557</v>
      </c>
      <c r="S3124" t="s">
        <v>3148</v>
      </c>
      <c r="T3124" t="s">
        <v>4559</v>
      </c>
      <c r="U3124" t="s">
        <v>4560</v>
      </c>
      <c r="V3124" s="2">
        <v>600</v>
      </c>
      <c r="W3124" t="s">
        <v>4655</v>
      </c>
      <c r="X3124" s="2">
        <v>0</v>
      </c>
      <c r="Y3124">
        <v>20</v>
      </c>
      <c r="Z3124" t="s">
        <v>1376</v>
      </c>
      <c r="AA3124" s="3">
        <v>3.25</v>
      </c>
      <c r="AB3124" t="s">
        <v>282</v>
      </c>
      <c r="AC3124" t="s">
        <v>4562</v>
      </c>
      <c r="AD3124" t="s">
        <v>283</v>
      </c>
      <c r="AE3124" t="s">
        <v>4655</v>
      </c>
      <c r="AF3124" t="s">
        <v>283</v>
      </c>
      <c r="AG3124" t="s">
        <v>4564</v>
      </c>
      <c r="AH3124" t="s">
        <v>8417</v>
      </c>
      <c r="AI3124" t="s">
        <v>4655</v>
      </c>
      <c r="AJ3124" t="s">
        <v>4655</v>
      </c>
      <c r="AK3124" t="s">
        <v>4655</v>
      </c>
      <c r="AL3124" s="13" t="s">
        <v>3428</v>
      </c>
      <c r="AM3124">
        <v>1</v>
      </c>
      <c r="AN3124" s="15" t="s">
        <v>5472</v>
      </c>
    </row>
    <row r="3125" spans="1:40" x14ac:dyDescent="0.3">
      <c r="A3125" s="10" t="str">
        <f>HYPERLINK("http://www.washoecounty.gov/assessor/cama/?parid=046-133-04&amp;CardNumber=1","046-133-04")</f>
        <v>046-133-04</v>
      </c>
      <c r="B3125" t="s">
        <v>4655</v>
      </c>
      <c r="C3125" t="s">
        <v>17931</v>
      </c>
      <c r="D3125" s="1">
        <v>40539</v>
      </c>
      <c r="E3125" s="2">
        <v>550000</v>
      </c>
      <c r="F3125" t="s">
        <v>4567</v>
      </c>
      <c r="G3125" s="17" t="str">
        <f>HYPERLINK("https://www.washoecounty.gov/assessor/cama/?command=sales&amp;parid=04613304","3957714")</f>
        <v>3957714</v>
      </c>
      <c r="H3125" t="s">
        <v>17932</v>
      </c>
      <c r="I3125">
        <v>1997</v>
      </c>
      <c r="J3125">
        <v>1997</v>
      </c>
      <c r="K3125" t="s">
        <v>4554</v>
      </c>
      <c r="L3125" t="s">
        <v>3974</v>
      </c>
      <c r="M3125" s="2">
        <v>5315</v>
      </c>
      <c r="N3125" t="s">
        <v>8283</v>
      </c>
      <c r="O3125">
        <v>4</v>
      </c>
      <c r="P3125">
        <v>3</v>
      </c>
      <c r="Q3125">
        <v>1</v>
      </c>
      <c r="R3125" t="s">
        <v>1186</v>
      </c>
      <c r="S3125" t="s">
        <v>4898</v>
      </c>
      <c r="T3125" t="s">
        <v>4559</v>
      </c>
      <c r="U3125" t="s">
        <v>4560</v>
      </c>
      <c r="V3125" s="2">
        <v>1200</v>
      </c>
      <c r="W3125" t="s">
        <v>4655</v>
      </c>
      <c r="X3125" s="2">
        <v>0</v>
      </c>
      <c r="Y3125">
        <v>20</v>
      </c>
      <c r="Z3125" t="s">
        <v>3884</v>
      </c>
      <c r="AA3125" s="3">
        <v>1.04699265956878</v>
      </c>
      <c r="AB3125" t="s">
        <v>17933</v>
      </c>
      <c r="AC3125" t="s">
        <v>4562</v>
      </c>
      <c r="AD3125" t="s">
        <v>672</v>
      </c>
      <c r="AE3125" t="s">
        <v>4655</v>
      </c>
      <c r="AF3125" t="s">
        <v>2576</v>
      </c>
      <c r="AG3125" t="s">
        <v>4584</v>
      </c>
      <c r="AH3125">
        <v>92011</v>
      </c>
      <c r="AI3125" t="s">
        <v>17934</v>
      </c>
      <c r="AJ3125" t="s">
        <v>17935</v>
      </c>
      <c r="AK3125" t="s">
        <v>17936</v>
      </c>
      <c r="AL3125" s="13" t="s">
        <v>3428</v>
      </c>
      <c r="AM3125">
        <v>1</v>
      </c>
      <c r="AN3125" s="15" t="s">
        <v>5284</v>
      </c>
    </row>
    <row r="3126" spans="1:40" x14ac:dyDescent="0.3">
      <c r="A3126" s="10" t="str">
        <f>HYPERLINK("http://www.washoecounty.gov/assessor/cama/?parid=046-142-02&amp;CardNumber=1","046-142-02")</f>
        <v>046-142-02</v>
      </c>
      <c r="B3126" t="s">
        <v>4655</v>
      </c>
      <c r="C3126" t="s">
        <v>17937</v>
      </c>
      <c r="D3126" s="1">
        <v>40358</v>
      </c>
      <c r="E3126" s="2">
        <v>590016</v>
      </c>
      <c r="F3126" t="s">
        <v>4553</v>
      </c>
      <c r="G3126" s="17" t="str">
        <f>HYPERLINK("https://www.washoecounty.gov/assessor/cama/?command=sales&amp;parid=04614202","3896793")</f>
        <v>3896793</v>
      </c>
      <c r="H3126" t="s">
        <v>227</v>
      </c>
      <c r="I3126">
        <v>2005</v>
      </c>
      <c r="J3126">
        <v>2005</v>
      </c>
      <c r="K3126" t="s">
        <v>4554</v>
      </c>
      <c r="L3126" t="s">
        <v>4555</v>
      </c>
      <c r="M3126" s="2">
        <v>3513</v>
      </c>
      <c r="N3126" t="s">
        <v>2631</v>
      </c>
      <c r="O3126">
        <v>4</v>
      </c>
      <c r="P3126">
        <v>4</v>
      </c>
      <c r="Q3126">
        <v>2</v>
      </c>
      <c r="R3126" t="s">
        <v>2632</v>
      </c>
      <c r="S3126" t="s">
        <v>4898</v>
      </c>
      <c r="T3126" t="s">
        <v>2704</v>
      </c>
      <c r="U3126" t="s">
        <v>4560</v>
      </c>
      <c r="V3126" s="2">
        <v>1068</v>
      </c>
      <c r="W3126" t="s">
        <v>1500</v>
      </c>
      <c r="X3126" s="2">
        <v>1410</v>
      </c>
      <c r="Y3126">
        <v>20</v>
      </c>
      <c r="Z3126" t="s">
        <v>3884</v>
      </c>
      <c r="AA3126" s="3">
        <v>1.04699265956878</v>
      </c>
      <c r="AB3126" t="s">
        <v>17938</v>
      </c>
      <c r="AC3126" t="s">
        <v>4562</v>
      </c>
      <c r="AD3126" t="s">
        <v>17937</v>
      </c>
      <c r="AE3126" t="s">
        <v>4655</v>
      </c>
      <c r="AF3126" t="s">
        <v>4563</v>
      </c>
      <c r="AG3126" t="s">
        <v>4564</v>
      </c>
      <c r="AH3126">
        <v>89511</v>
      </c>
      <c r="AI3126" t="s">
        <v>4655</v>
      </c>
      <c r="AJ3126" t="s">
        <v>228</v>
      </c>
      <c r="AK3126" t="s">
        <v>17939</v>
      </c>
      <c r="AL3126" s="13" t="s">
        <v>3428</v>
      </c>
      <c r="AM3126">
        <v>1</v>
      </c>
      <c r="AN3126" s="15" t="s">
        <v>5284</v>
      </c>
    </row>
    <row r="3127" spans="1:40" x14ac:dyDescent="0.3">
      <c r="A3127" s="10" t="str">
        <f>HYPERLINK("http://www.washoecounty.gov/assessor/cama/?parid=046-142-02&amp;CardNumber=1","046-142-02")</f>
        <v>046-142-02</v>
      </c>
      <c r="B3127" t="s">
        <v>4655</v>
      </c>
      <c r="C3127" t="s">
        <v>17937</v>
      </c>
      <c r="D3127" s="1">
        <v>40389</v>
      </c>
      <c r="E3127" s="2">
        <v>774000</v>
      </c>
      <c r="F3127" t="s">
        <v>4187</v>
      </c>
      <c r="G3127" s="17" t="str">
        <f>HYPERLINK("https://www.washoecounty.gov/assessor/cama/?command=sales&amp;parid=04614202","3907251")</f>
        <v>3907251</v>
      </c>
      <c r="H3127" t="s">
        <v>227</v>
      </c>
      <c r="I3127">
        <v>2005</v>
      </c>
      <c r="J3127">
        <v>2005</v>
      </c>
      <c r="K3127" t="s">
        <v>4554</v>
      </c>
      <c r="L3127" t="s">
        <v>4555</v>
      </c>
      <c r="M3127" s="2">
        <v>3513</v>
      </c>
      <c r="N3127" t="s">
        <v>2631</v>
      </c>
      <c r="O3127">
        <v>4</v>
      </c>
      <c r="P3127">
        <v>4</v>
      </c>
      <c r="Q3127">
        <v>2</v>
      </c>
      <c r="R3127" t="s">
        <v>2632</v>
      </c>
      <c r="S3127" t="s">
        <v>4898</v>
      </c>
      <c r="T3127" t="s">
        <v>2704</v>
      </c>
      <c r="U3127" t="s">
        <v>4560</v>
      </c>
      <c r="V3127" s="2">
        <v>1068</v>
      </c>
      <c r="W3127" t="s">
        <v>1500</v>
      </c>
      <c r="X3127" s="2">
        <v>1410</v>
      </c>
      <c r="Y3127">
        <v>20</v>
      </c>
      <c r="Z3127" t="s">
        <v>3884</v>
      </c>
      <c r="AA3127" s="3">
        <v>1.04699265956878</v>
      </c>
      <c r="AB3127" t="s">
        <v>17938</v>
      </c>
      <c r="AC3127" t="s">
        <v>4562</v>
      </c>
      <c r="AD3127" t="s">
        <v>17937</v>
      </c>
      <c r="AE3127" t="s">
        <v>4655</v>
      </c>
      <c r="AF3127" t="s">
        <v>4563</v>
      </c>
      <c r="AG3127" t="s">
        <v>4564</v>
      </c>
      <c r="AH3127">
        <v>89511</v>
      </c>
      <c r="AI3127" t="s">
        <v>4655</v>
      </c>
      <c r="AJ3127" t="s">
        <v>228</v>
      </c>
      <c r="AK3127" t="s">
        <v>17939</v>
      </c>
      <c r="AL3127" s="13" t="s">
        <v>3428</v>
      </c>
      <c r="AM3127">
        <v>1</v>
      </c>
      <c r="AN3127" s="15" t="s">
        <v>5284</v>
      </c>
    </row>
    <row r="3128" spans="1:40" x14ac:dyDescent="0.3">
      <c r="A3128" s="10" t="str">
        <f>HYPERLINK("http://www.washoecounty.gov/assessor/cama/?parid=046-143-03&amp;CardNumber=1","046-143-03")</f>
        <v>046-143-03</v>
      </c>
      <c r="B3128" t="s">
        <v>4655</v>
      </c>
      <c r="C3128" t="s">
        <v>17940</v>
      </c>
      <c r="D3128" s="1">
        <v>40472</v>
      </c>
      <c r="E3128" s="2">
        <v>75000</v>
      </c>
      <c r="F3128" t="s">
        <v>3259</v>
      </c>
      <c r="G3128" s="17" t="str">
        <f>HYPERLINK("https://www.washoecounty.gov/assessor/cama/?command=sales&amp;parid=04614303","3935293")</f>
        <v>3935293</v>
      </c>
      <c r="H3128" t="s">
        <v>227</v>
      </c>
      <c r="I3128">
        <v>0</v>
      </c>
      <c r="J3128">
        <v>0</v>
      </c>
      <c r="K3128" t="s">
        <v>4655</v>
      </c>
      <c r="L3128" t="s">
        <v>4655</v>
      </c>
      <c r="M3128" s="2">
        <v>0</v>
      </c>
      <c r="N3128" t="s">
        <v>4655</v>
      </c>
      <c r="O3128">
        <v>0</v>
      </c>
      <c r="P3128">
        <v>0</v>
      </c>
      <c r="Q3128">
        <v>0</v>
      </c>
      <c r="R3128" t="s">
        <v>4655</v>
      </c>
      <c r="S3128" t="s">
        <v>4655</v>
      </c>
      <c r="T3128" t="s">
        <v>4655</v>
      </c>
      <c r="U3128" t="s">
        <v>4655</v>
      </c>
      <c r="V3128" s="2">
        <v>0</v>
      </c>
      <c r="W3128" t="s">
        <v>4655</v>
      </c>
      <c r="X3128" s="2">
        <v>0</v>
      </c>
      <c r="Y3128">
        <v>12</v>
      </c>
      <c r="Z3128" t="s">
        <v>3884</v>
      </c>
      <c r="AA3128" s="3">
        <v>1.00899910926818</v>
      </c>
      <c r="AB3128" t="s">
        <v>5414</v>
      </c>
      <c r="AC3128" t="s">
        <v>4575</v>
      </c>
      <c r="AD3128" t="s">
        <v>1615</v>
      </c>
      <c r="AE3128" t="s">
        <v>4655</v>
      </c>
      <c r="AF3128" t="s">
        <v>4563</v>
      </c>
      <c r="AG3128" t="s">
        <v>4564</v>
      </c>
      <c r="AH3128">
        <v>89511</v>
      </c>
      <c r="AI3128" t="s">
        <v>17941</v>
      </c>
      <c r="AJ3128" t="s">
        <v>228</v>
      </c>
      <c r="AK3128" t="s">
        <v>17942</v>
      </c>
      <c r="AL3128" s="13" t="s">
        <v>3428</v>
      </c>
      <c r="AM3128">
        <v>0</v>
      </c>
      <c r="AN3128" s="15" t="s">
        <v>5284</v>
      </c>
    </row>
    <row r="3129" spans="1:40" x14ac:dyDescent="0.3">
      <c r="A3129" s="10" t="str">
        <f>HYPERLINK("http://www.washoecounty.gov/assessor/cama/?parid=046-153-01&amp;CardNumber=1","046-153-01")</f>
        <v>046-153-01</v>
      </c>
      <c r="B3129" t="s">
        <v>4655</v>
      </c>
      <c r="C3129" t="s">
        <v>17943</v>
      </c>
      <c r="D3129" s="1">
        <v>40396</v>
      </c>
      <c r="E3129" s="2">
        <v>81900</v>
      </c>
      <c r="F3129" t="s">
        <v>4553</v>
      </c>
      <c r="G3129" s="17" t="str">
        <f>HYPERLINK("https://www.washoecounty.gov/assessor/cama/?command=sales&amp;parid=04615301","3909560")</f>
        <v>3909560</v>
      </c>
      <c r="H3129" t="s">
        <v>723</v>
      </c>
      <c r="I3129">
        <v>0</v>
      </c>
      <c r="J3129">
        <v>0</v>
      </c>
      <c r="K3129" t="s">
        <v>4655</v>
      </c>
      <c r="L3129" t="s">
        <v>4655</v>
      </c>
      <c r="M3129" s="2">
        <v>0</v>
      </c>
      <c r="N3129" t="s">
        <v>4655</v>
      </c>
      <c r="O3129">
        <v>0</v>
      </c>
      <c r="P3129">
        <v>0</v>
      </c>
      <c r="Q3129">
        <v>0</v>
      </c>
      <c r="R3129" t="s">
        <v>4655</v>
      </c>
      <c r="S3129" t="s">
        <v>4655</v>
      </c>
      <c r="T3129" t="s">
        <v>4655</v>
      </c>
      <c r="U3129" t="s">
        <v>4655</v>
      </c>
      <c r="V3129" s="2">
        <v>0</v>
      </c>
      <c r="W3129" t="s">
        <v>4655</v>
      </c>
      <c r="X3129" s="2">
        <v>0</v>
      </c>
      <c r="Y3129">
        <v>12</v>
      </c>
      <c r="Z3129" t="s">
        <v>3884</v>
      </c>
      <c r="AA3129" s="3">
        <v>1.6019972562789899</v>
      </c>
      <c r="AB3129" t="s">
        <v>17944</v>
      </c>
      <c r="AC3129" t="s">
        <v>4575</v>
      </c>
      <c r="AD3129" t="s">
        <v>17945</v>
      </c>
      <c r="AE3129" t="s">
        <v>17946</v>
      </c>
      <c r="AF3129" t="s">
        <v>4563</v>
      </c>
      <c r="AG3129" t="s">
        <v>4564</v>
      </c>
      <c r="AH3129">
        <v>89511</v>
      </c>
      <c r="AI3129" t="s">
        <v>4655</v>
      </c>
      <c r="AJ3129" t="s">
        <v>3019</v>
      </c>
      <c r="AK3129" t="s">
        <v>17947</v>
      </c>
      <c r="AL3129" s="13" t="s">
        <v>3428</v>
      </c>
      <c r="AM3129" s="14">
        <v>0</v>
      </c>
      <c r="AN3129" s="15" t="s">
        <v>626</v>
      </c>
    </row>
    <row r="3130" spans="1:40" x14ac:dyDescent="0.3">
      <c r="A3130" s="10" t="str">
        <f>HYPERLINK("http://www.washoecounty.gov/assessor/cama/?parid=047-020-26&amp;CardNumber=1","047-020-26")</f>
        <v>047-020-26</v>
      </c>
      <c r="B3130" t="s">
        <v>4655</v>
      </c>
      <c r="C3130" t="s">
        <v>17948</v>
      </c>
      <c r="D3130" s="1">
        <v>40512</v>
      </c>
      <c r="E3130" s="2">
        <v>449000</v>
      </c>
      <c r="F3130" t="s">
        <v>4567</v>
      </c>
      <c r="G3130" s="17" t="str">
        <f>HYPERLINK("https://www.washoecounty.gov/assessor/cama/?command=sales&amp;parid=04702026","3948035")</f>
        <v>3948035</v>
      </c>
      <c r="H3130" t="s">
        <v>492</v>
      </c>
      <c r="I3130">
        <v>1992</v>
      </c>
      <c r="J3130">
        <v>1992</v>
      </c>
      <c r="K3130" t="s">
        <v>4554</v>
      </c>
      <c r="L3130" t="s">
        <v>3974</v>
      </c>
      <c r="M3130" s="2">
        <v>2628</v>
      </c>
      <c r="N3130" t="s">
        <v>1245</v>
      </c>
      <c r="O3130">
        <v>3</v>
      </c>
      <c r="P3130">
        <v>3</v>
      </c>
      <c r="Q3130">
        <v>0</v>
      </c>
      <c r="R3130" t="s">
        <v>4557</v>
      </c>
      <c r="S3130" t="s">
        <v>4135</v>
      </c>
      <c r="T3130" t="s">
        <v>4559</v>
      </c>
      <c r="U3130" t="s">
        <v>4560</v>
      </c>
      <c r="V3130" s="2">
        <v>814</v>
      </c>
      <c r="W3130" t="s">
        <v>3201</v>
      </c>
      <c r="X3130" s="2">
        <v>690</v>
      </c>
      <c r="Y3130">
        <v>20</v>
      </c>
      <c r="Z3130" t="s">
        <v>3884</v>
      </c>
      <c r="AA3130" s="3">
        <v>1</v>
      </c>
      <c r="AB3130" t="s">
        <v>17949</v>
      </c>
      <c r="AC3130" t="s">
        <v>4562</v>
      </c>
      <c r="AD3130" t="s">
        <v>17948</v>
      </c>
      <c r="AE3130" t="s">
        <v>4655</v>
      </c>
      <c r="AF3130" t="s">
        <v>4563</v>
      </c>
      <c r="AG3130" t="s">
        <v>4564</v>
      </c>
      <c r="AH3130">
        <v>89511</v>
      </c>
      <c r="AI3130" t="s">
        <v>17950</v>
      </c>
      <c r="AJ3130" t="s">
        <v>4655</v>
      </c>
      <c r="AK3130" t="s">
        <v>17951</v>
      </c>
      <c r="AL3130" s="13" t="s">
        <v>3428</v>
      </c>
      <c r="AM3130">
        <v>1</v>
      </c>
      <c r="AN3130" s="15" t="s">
        <v>645</v>
      </c>
    </row>
    <row r="3131" spans="1:40" x14ac:dyDescent="0.3">
      <c r="A3131" s="10" t="str">
        <f>HYPERLINK("http://www.washoecounty.gov/assessor/cama/?parid=047-020-46&amp;CardNumber=1","047-020-46")</f>
        <v>047-020-46</v>
      </c>
      <c r="B3131" t="s">
        <v>4655</v>
      </c>
      <c r="C3131" t="s">
        <v>17952</v>
      </c>
      <c r="D3131" s="1">
        <v>40431</v>
      </c>
      <c r="E3131" s="2">
        <v>370000</v>
      </c>
      <c r="F3131" t="s">
        <v>4567</v>
      </c>
      <c r="G3131" s="17" t="str">
        <f>HYPERLINK("https://www.washoecounty.gov/assessor/cama/?command=sales&amp;parid=04702046","3920930")</f>
        <v>3920930</v>
      </c>
      <c r="H3131" t="s">
        <v>806</v>
      </c>
      <c r="I3131">
        <v>1992</v>
      </c>
      <c r="J3131">
        <v>1992</v>
      </c>
      <c r="K3131" t="s">
        <v>4554</v>
      </c>
      <c r="L3131" t="s">
        <v>3974</v>
      </c>
      <c r="M3131" s="2">
        <v>2620</v>
      </c>
      <c r="N3131" t="s">
        <v>3147</v>
      </c>
      <c r="O3131">
        <v>4</v>
      </c>
      <c r="P3131">
        <v>3</v>
      </c>
      <c r="Q3131">
        <v>0</v>
      </c>
      <c r="R3131" t="s">
        <v>4557</v>
      </c>
      <c r="S3131" t="s">
        <v>3148</v>
      </c>
      <c r="T3131" t="s">
        <v>4559</v>
      </c>
      <c r="U3131" t="s">
        <v>5631</v>
      </c>
      <c r="V3131" s="2">
        <v>624</v>
      </c>
      <c r="W3131" t="s">
        <v>4655</v>
      </c>
      <c r="X3131" s="2">
        <v>0</v>
      </c>
      <c r="Y3131">
        <v>20</v>
      </c>
      <c r="Z3131" t="s">
        <v>3884</v>
      </c>
      <c r="AA3131" s="3">
        <v>0.66900825500488204</v>
      </c>
      <c r="AB3131" t="s">
        <v>17953</v>
      </c>
      <c r="AC3131" t="s">
        <v>4575</v>
      </c>
      <c r="AD3131" t="s">
        <v>17954</v>
      </c>
      <c r="AE3131" t="s">
        <v>4655</v>
      </c>
      <c r="AF3131" t="s">
        <v>4563</v>
      </c>
      <c r="AG3131" t="s">
        <v>4564</v>
      </c>
      <c r="AH3131">
        <v>89511</v>
      </c>
      <c r="AI3131" t="s">
        <v>17955</v>
      </c>
      <c r="AJ3131" t="s">
        <v>4655</v>
      </c>
      <c r="AK3131" t="s">
        <v>17956</v>
      </c>
      <c r="AL3131" s="13" t="s">
        <v>3428</v>
      </c>
      <c r="AM3131" s="14">
        <v>1</v>
      </c>
      <c r="AN3131" s="15" t="s">
        <v>645</v>
      </c>
    </row>
    <row r="3132" spans="1:40" x14ac:dyDescent="0.3">
      <c r="A3132" s="10" t="str">
        <f>HYPERLINK("http://www.washoecounty.gov/assessor/cama/?parid=047-020-48&amp;CardNumber=1","047-020-48")</f>
        <v>047-020-48</v>
      </c>
      <c r="B3132" t="s">
        <v>4655</v>
      </c>
      <c r="C3132" t="s">
        <v>17957</v>
      </c>
      <c r="D3132" s="1">
        <v>40465</v>
      </c>
      <c r="E3132" s="2">
        <v>425000</v>
      </c>
      <c r="F3132" t="s">
        <v>4567</v>
      </c>
      <c r="G3132" s="17" t="str">
        <f>HYPERLINK("https://www.washoecounty.gov/assessor/cama/?command=sales&amp;parid=04702048","3933023")</f>
        <v>3933023</v>
      </c>
      <c r="H3132" t="s">
        <v>4827</v>
      </c>
      <c r="I3132">
        <v>1995</v>
      </c>
      <c r="J3132">
        <v>1995</v>
      </c>
      <c r="K3132" t="s">
        <v>4554</v>
      </c>
      <c r="L3132" t="s">
        <v>4555</v>
      </c>
      <c r="M3132" s="2">
        <v>2214</v>
      </c>
      <c r="N3132" t="s">
        <v>5106</v>
      </c>
      <c r="O3132">
        <v>2</v>
      </c>
      <c r="P3132">
        <v>2</v>
      </c>
      <c r="Q3132">
        <v>0</v>
      </c>
      <c r="R3132" t="s">
        <v>5205</v>
      </c>
      <c r="S3132" t="s">
        <v>4898</v>
      </c>
      <c r="T3132" t="s">
        <v>2704</v>
      </c>
      <c r="U3132" t="s">
        <v>4560</v>
      </c>
      <c r="V3132" s="2">
        <v>1260</v>
      </c>
      <c r="W3132" t="s">
        <v>4655</v>
      </c>
      <c r="X3132" s="2">
        <v>0</v>
      </c>
      <c r="Y3132">
        <v>20</v>
      </c>
      <c r="Z3132" t="s">
        <v>3884</v>
      </c>
      <c r="AA3132" s="3">
        <v>0.99600553512573198</v>
      </c>
      <c r="AB3132" t="s">
        <v>17958</v>
      </c>
      <c r="AC3132" t="s">
        <v>4562</v>
      </c>
      <c r="AD3132" t="s">
        <v>17957</v>
      </c>
      <c r="AE3132" t="s">
        <v>4655</v>
      </c>
      <c r="AF3132" t="s">
        <v>4563</v>
      </c>
      <c r="AG3132" t="s">
        <v>4564</v>
      </c>
      <c r="AH3132">
        <v>89511</v>
      </c>
      <c r="AI3132" t="s">
        <v>17959</v>
      </c>
      <c r="AJ3132" t="s">
        <v>4655</v>
      </c>
      <c r="AK3132" t="s">
        <v>644</v>
      </c>
      <c r="AL3132" s="13" t="s">
        <v>3428</v>
      </c>
      <c r="AM3132">
        <v>1</v>
      </c>
      <c r="AN3132" s="15" t="s">
        <v>645</v>
      </c>
    </row>
    <row r="3133" spans="1:40" x14ac:dyDescent="0.3">
      <c r="A3133" s="10" t="str">
        <f>HYPERLINK("http://www.washoecounty.gov/assessor/cama/?parid=047-031-12&amp;CardNumber=1","047-031-12")</f>
        <v>047-031-12</v>
      </c>
      <c r="B3133" t="s">
        <v>4655</v>
      </c>
      <c r="C3133" t="s">
        <v>17960</v>
      </c>
      <c r="D3133" s="1">
        <v>40226</v>
      </c>
      <c r="E3133" s="2">
        <v>535000</v>
      </c>
      <c r="F3133" t="s">
        <v>4567</v>
      </c>
      <c r="G3133" s="17" t="str">
        <f>HYPERLINK("https://www.washoecounty.gov/assessor/cama/?command=sales&amp;parid=04703112","3850273")</f>
        <v>3850273</v>
      </c>
      <c r="H3133" t="s">
        <v>643</v>
      </c>
      <c r="I3133">
        <v>1993</v>
      </c>
      <c r="J3133">
        <v>1993</v>
      </c>
      <c r="K3133" t="s">
        <v>4554</v>
      </c>
      <c r="L3133" t="s">
        <v>4555</v>
      </c>
      <c r="M3133" s="2">
        <v>1855</v>
      </c>
      <c r="N3133" t="s">
        <v>3887</v>
      </c>
      <c r="O3133">
        <v>2</v>
      </c>
      <c r="P3133">
        <v>2</v>
      </c>
      <c r="Q3133">
        <v>1</v>
      </c>
      <c r="R3133" t="s">
        <v>4557</v>
      </c>
      <c r="S3133" t="s">
        <v>4135</v>
      </c>
      <c r="T3133" t="s">
        <v>2704</v>
      </c>
      <c r="U3133" t="s">
        <v>4560</v>
      </c>
      <c r="V3133" s="2">
        <v>1056</v>
      </c>
      <c r="W3133" t="s">
        <v>4571</v>
      </c>
      <c r="X3133" s="2">
        <v>1848</v>
      </c>
      <c r="Y3133">
        <v>20</v>
      </c>
      <c r="Z3133" t="s">
        <v>3884</v>
      </c>
      <c r="AA3133" s="3">
        <v>1.01000916957855</v>
      </c>
      <c r="AB3133" t="s">
        <v>17961</v>
      </c>
      <c r="AC3133" t="s">
        <v>4562</v>
      </c>
      <c r="AD3133" t="s">
        <v>17960</v>
      </c>
      <c r="AE3133" t="s">
        <v>4655</v>
      </c>
      <c r="AF3133" t="s">
        <v>4563</v>
      </c>
      <c r="AG3133" t="s">
        <v>4564</v>
      </c>
      <c r="AH3133">
        <v>89511</v>
      </c>
      <c r="AI3133" t="s">
        <v>17962</v>
      </c>
      <c r="AJ3133" t="s">
        <v>4655</v>
      </c>
      <c r="AK3133" t="s">
        <v>644</v>
      </c>
      <c r="AL3133" s="13" t="s">
        <v>3428</v>
      </c>
      <c r="AM3133" s="14">
        <v>1</v>
      </c>
      <c r="AN3133" s="15" t="s">
        <v>645</v>
      </c>
    </row>
    <row r="3134" spans="1:40" x14ac:dyDescent="0.3">
      <c r="A3134" s="10" t="str">
        <f>HYPERLINK("http://www.washoecounty.gov/assessor/cama/?parid=047-031-22&amp;CardNumber=1","047-031-22")</f>
        <v>047-031-22</v>
      </c>
      <c r="B3134" t="s">
        <v>4655</v>
      </c>
      <c r="C3134" t="s">
        <v>17963</v>
      </c>
      <c r="D3134" s="1">
        <v>40438</v>
      </c>
      <c r="E3134" s="2">
        <v>566500</v>
      </c>
      <c r="F3134" t="s">
        <v>4567</v>
      </c>
      <c r="G3134" s="17" t="str">
        <f>HYPERLINK("https://www.washoecounty.gov/assessor/cama/?command=sales&amp;parid=04703122","3923752")</f>
        <v>3923752</v>
      </c>
      <c r="H3134" t="s">
        <v>1430</v>
      </c>
      <c r="I3134">
        <v>1995</v>
      </c>
      <c r="J3134">
        <v>1995</v>
      </c>
      <c r="K3134" t="s">
        <v>4554</v>
      </c>
      <c r="L3134" t="s">
        <v>3974</v>
      </c>
      <c r="M3134" s="2">
        <v>2734</v>
      </c>
      <c r="N3134" t="s">
        <v>5106</v>
      </c>
      <c r="O3134">
        <v>4</v>
      </c>
      <c r="P3134">
        <v>3</v>
      </c>
      <c r="Q3134">
        <v>1</v>
      </c>
      <c r="R3134" t="s">
        <v>5281</v>
      </c>
      <c r="S3134" t="s">
        <v>4898</v>
      </c>
      <c r="T3134" t="s">
        <v>2704</v>
      </c>
      <c r="U3134" t="s">
        <v>5631</v>
      </c>
      <c r="V3134" s="2">
        <v>666</v>
      </c>
      <c r="W3134" t="s">
        <v>3201</v>
      </c>
      <c r="X3134" s="2">
        <v>830</v>
      </c>
      <c r="Y3134">
        <v>20</v>
      </c>
      <c r="Z3134" t="s">
        <v>3884</v>
      </c>
      <c r="AA3134" s="3">
        <v>1.0239899158477701</v>
      </c>
      <c r="AB3134" t="s">
        <v>17964</v>
      </c>
      <c r="AC3134" t="s">
        <v>4562</v>
      </c>
      <c r="AD3134" t="s">
        <v>17963</v>
      </c>
      <c r="AE3134" t="s">
        <v>4655</v>
      </c>
      <c r="AF3134" t="s">
        <v>4563</v>
      </c>
      <c r="AG3134" t="s">
        <v>4564</v>
      </c>
      <c r="AH3134">
        <v>89511</v>
      </c>
      <c r="AI3134" t="s">
        <v>17965</v>
      </c>
      <c r="AJ3134" t="s">
        <v>4655</v>
      </c>
      <c r="AK3134" t="s">
        <v>17966</v>
      </c>
      <c r="AL3134" s="13" t="s">
        <v>3428</v>
      </c>
      <c r="AM3134">
        <v>1</v>
      </c>
      <c r="AN3134" s="15" t="s">
        <v>645</v>
      </c>
    </row>
    <row r="3135" spans="1:40" x14ac:dyDescent="0.3">
      <c r="A3135" s="10" t="str">
        <f>HYPERLINK("http://www.washoecounty.gov/assessor/cama/?parid=047-032-10&amp;CardNumber=1","047-032-10")</f>
        <v>047-032-10</v>
      </c>
      <c r="B3135" t="s">
        <v>4655</v>
      </c>
      <c r="C3135" t="s">
        <v>318</v>
      </c>
      <c r="D3135" s="1">
        <v>40228</v>
      </c>
      <c r="E3135" s="2">
        <v>725000</v>
      </c>
      <c r="F3135" t="s">
        <v>4201</v>
      </c>
      <c r="G3135" s="17" t="str">
        <f>HYPERLINK("https://www.washoecounty.gov/assessor/cama/?command=sales&amp;parid=04703210","3850921")</f>
        <v>3850921</v>
      </c>
      <c r="H3135" t="s">
        <v>17967</v>
      </c>
      <c r="I3135">
        <v>0</v>
      </c>
      <c r="J3135">
        <v>0</v>
      </c>
      <c r="K3135" t="s">
        <v>4655</v>
      </c>
      <c r="L3135" t="s">
        <v>4655</v>
      </c>
      <c r="M3135" s="2">
        <v>0</v>
      </c>
      <c r="N3135" t="s">
        <v>4655</v>
      </c>
      <c r="O3135">
        <v>0</v>
      </c>
      <c r="P3135">
        <v>0</v>
      </c>
      <c r="Q3135">
        <v>0</v>
      </c>
      <c r="R3135" t="s">
        <v>4655</v>
      </c>
      <c r="S3135" t="s">
        <v>4655</v>
      </c>
      <c r="T3135" t="s">
        <v>4655</v>
      </c>
      <c r="U3135" t="s">
        <v>4655</v>
      </c>
      <c r="V3135" s="2">
        <v>0</v>
      </c>
      <c r="W3135" t="s">
        <v>4655</v>
      </c>
      <c r="X3135" s="2">
        <v>0</v>
      </c>
      <c r="Y3135">
        <v>11</v>
      </c>
      <c r="Z3135" t="s">
        <v>3884</v>
      </c>
      <c r="AA3135" s="3">
        <v>10</v>
      </c>
      <c r="AB3135" t="s">
        <v>17968</v>
      </c>
      <c r="AC3135" t="s">
        <v>4562</v>
      </c>
      <c r="AD3135" t="s">
        <v>17969</v>
      </c>
      <c r="AE3135" t="s">
        <v>4655</v>
      </c>
      <c r="AF3135" t="s">
        <v>4563</v>
      </c>
      <c r="AG3135" t="s">
        <v>4564</v>
      </c>
      <c r="AH3135">
        <v>89511</v>
      </c>
      <c r="AI3135" t="s">
        <v>17970</v>
      </c>
      <c r="AJ3135" t="s">
        <v>4655</v>
      </c>
      <c r="AK3135" t="s">
        <v>17971</v>
      </c>
      <c r="AL3135" s="13" t="s">
        <v>3428</v>
      </c>
      <c r="AM3135">
        <v>0</v>
      </c>
      <c r="AN3135" s="15" t="s">
        <v>645</v>
      </c>
    </row>
    <row r="3136" spans="1:40" x14ac:dyDescent="0.3">
      <c r="A3136" s="10" t="str">
        <f>HYPERLINK("http://www.washoecounty.gov/assessor/cama/?parid=047-033-01&amp;CardNumber=1","047-033-01")</f>
        <v>047-033-01</v>
      </c>
      <c r="B3136" t="s">
        <v>4655</v>
      </c>
      <c r="C3136" t="s">
        <v>17972</v>
      </c>
      <c r="D3136" s="1">
        <v>40323</v>
      </c>
      <c r="E3136" s="2">
        <v>235000</v>
      </c>
      <c r="F3136" t="s">
        <v>4567</v>
      </c>
      <c r="G3136" s="17" t="str">
        <f>HYPERLINK("https://www.washoecounty.gov/assessor/cama/?command=sales&amp;parid=04703301","3885080")</f>
        <v>3885080</v>
      </c>
      <c r="H3136" t="s">
        <v>17973</v>
      </c>
      <c r="I3136">
        <v>1990</v>
      </c>
      <c r="J3136">
        <v>1990</v>
      </c>
      <c r="K3136" t="s">
        <v>4554</v>
      </c>
      <c r="L3136" t="s">
        <v>3886</v>
      </c>
      <c r="M3136" s="2">
        <v>1546</v>
      </c>
      <c r="N3136" t="s">
        <v>5280</v>
      </c>
      <c r="O3136">
        <v>2</v>
      </c>
      <c r="P3136">
        <v>2</v>
      </c>
      <c r="Q3136">
        <v>0</v>
      </c>
      <c r="R3136" t="s">
        <v>5343</v>
      </c>
      <c r="S3136" t="s">
        <v>4135</v>
      </c>
      <c r="T3136" t="s">
        <v>4559</v>
      </c>
      <c r="U3136" t="s">
        <v>4655</v>
      </c>
      <c r="V3136" s="2">
        <v>0</v>
      </c>
      <c r="W3136" t="s">
        <v>4655</v>
      </c>
      <c r="X3136" s="2">
        <v>0</v>
      </c>
      <c r="Y3136">
        <v>20</v>
      </c>
      <c r="Z3136" t="s">
        <v>3884</v>
      </c>
      <c r="AA3136" s="3">
        <v>0.78399908542633001</v>
      </c>
      <c r="AB3136" t="s">
        <v>17974</v>
      </c>
      <c r="AC3136" t="s">
        <v>4562</v>
      </c>
      <c r="AD3136" t="s">
        <v>17975</v>
      </c>
      <c r="AE3136" t="s">
        <v>4655</v>
      </c>
      <c r="AF3136" t="s">
        <v>3628</v>
      </c>
      <c r="AG3136" t="s">
        <v>4584</v>
      </c>
      <c r="AH3136" t="s">
        <v>3629</v>
      </c>
      <c r="AI3136" t="s">
        <v>4655</v>
      </c>
      <c r="AJ3136" t="s">
        <v>17976</v>
      </c>
      <c r="AK3136" t="s">
        <v>17977</v>
      </c>
      <c r="AL3136" s="13" t="s">
        <v>3428</v>
      </c>
      <c r="AM3136" s="14">
        <v>1</v>
      </c>
      <c r="AN3136" s="15" t="s">
        <v>645</v>
      </c>
    </row>
    <row r="3137" spans="1:40" x14ac:dyDescent="0.3">
      <c r="A3137" s="10" t="str">
        <f>HYPERLINK("http://www.washoecounty.gov/assessor/cama/?parid=047-051-04&amp;CardNumber=1","047-051-04")</f>
        <v>047-051-04</v>
      </c>
      <c r="B3137" t="s">
        <v>4655</v>
      </c>
      <c r="C3137" t="s">
        <v>17978</v>
      </c>
      <c r="D3137" s="1">
        <v>40479</v>
      </c>
      <c r="E3137" s="2">
        <v>400000</v>
      </c>
      <c r="F3137" t="s">
        <v>4567</v>
      </c>
      <c r="G3137" s="17" t="str">
        <f>HYPERLINK("https://www.washoecounty.gov/assessor/cama/?command=sales&amp;parid=04705104","3937901")</f>
        <v>3937901</v>
      </c>
      <c r="H3137" t="s">
        <v>5108</v>
      </c>
      <c r="I3137">
        <v>1982</v>
      </c>
      <c r="J3137">
        <v>1983</v>
      </c>
      <c r="K3137" t="s">
        <v>4554</v>
      </c>
      <c r="L3137" t="s">
        <v>4555</v>
      </c>
      <c r="M3137" s="2">
        <v>2009</v>
      </c>
      <c r="N3137" t="s">
        <v>3887</v>
      </c>
      <c r="O3137">
        <v>3</v>
      </c>
      <c r="P3137">
        <v>2</v>
      </c>
      <c r="Q3137">
        <v>0</v>
      </c>
      <c r="R3137" t="s">
        <v>4557</v>
      </c>
      <c r="S3137" t="s">
        <v>4135</v>
      </c>
      <c r="T3137" t="s">
        <v>4143</v>
      </c>
      <c r="U3137" t="s">
        <v>4560</v>
      </c>
      <c r="V3137" s="2">
        <v>484</v>
      </c>
      <c r="W3137" t="s">
        <v>4655</v>
      </c>
      <c r="X3137" s="2">
        <v>0</v>
      </c>
      <c r="Y3137">
        <v>20</v>
      </c>
      <c r="Z3137" t="s">
        <v>3884</v>
      </c>
      <c r="AA3137" s="3">
        <v>0.50966483354568404</v>
      </c>
      <c r="AB3137" t="s">
        <v>17979</v>
      </c>
      <c r="AC3137" t="s">
        <v>4562</v>
      </c>
      <c r="AD3137" t="s">
        <v>17980</v>
      </c>
      <c r="AE3137" t="s">
        <v>4655</v>
      </c>
      <c r="AF3137" t="s">
        <v>17981</v>
      </c>
      <c r="AG3137" t="s">
        <v>1049</v>
      </c>
      <c r="AH3137">
        <v>30308</v>
      </c>
      <c r="AI3137" t="s">
        <v>17982</v>
      </c>
      <c r="AJ3137" t="s">
        <v>4655</v>
      </c>
      <c r="AK3137" t="s">
        <v>17983</v>
      </c>
      <c r="AL3137" s="13" t="s">
        <v>3428</v>
      </c>
      <c r="AM3137">
        <v>1</v>
      </c>
      <c r="AN3137" s="15" t="s">
        <v>645</v>
      </c>
    </row>
    <row r="3138" spans="1:40" x14ac:dyDescent="0.3">
      <c r="A3138" s="10" t="str">
        <f>HYPERLINK("http://www.washoecounty.gov/assessor/cama/?parid=047-062-04&amp;CardNumber=1","047-062-04")</f>
        <v>047-062-04</v>
      </c>
      <c r="B3138" t="s">
        <v>4655</v>
      </c>
      <c r="C3138" t="s">
        <v>17984</v>
      </c>
      <c r="D3138" s="1">
        <v>40387</v>
      </c>
      <c r="E3138" s="2">
        <v>825000</v>
      </c>
      <c r="F3138" t="s">
        <v>4567</v>
      </c>
      <c r="G3138" s="17" t="str">
        <f>HYPERLINK("https://www.washoecounty.gov/assessor/cama/?command=sales&amp;parid=04706204","3906236")</f>
        <v>3906236</v>
      </c>
      <c r="H3138" t="s">
        <v>17985</v>
      </c>
      <c r="I3138">
        <v>1989</v>
      </c>
      <c r="J3138">
        <v>1989</v>
      </c>
      <c r="K3138" t="s">
        <v>4554</v>
      </c>
      <c r="L3138" t="s">
        <v>3886</v>
      </c>
      <c r="M3138" s="2">
        <v>3404</v>
      </c>
      <c r="N3138" t="s">
        <v>5106</v>
      </c>
      <c r="O3138">
        <v>3</v>
      </c>
      <c r="P3138">
        <v>3</v>
      </c>
      <c r="Q3138">
        <v>1</v>
      </c>
      <c r="R3138" t="s">
        <v>4557</v>
      </c>
      <c r="S3138" t="s">
        <v>4135</v>
      </c>
      <c r="T3138" t="s">
        <v>2704</v>
      </c>
      <c r="U3138" t="s">
        <v>4560</v>
      </c>
      <c r="V3138" s="2">
        <v>1044</v>
      </c>
      <c r="W3138" t="s">
        <v>4655</v>
      </c>
      <c r="X3138" s="2">
        <v>0</v>
      </c>
      <c r="Y3138">
        <v>20</v>
      </c>
      <c r="Z3138" t="s">
        <v>3884</v>
      </c>
      <c r="AA3138" s="3">
        <v>0.55700182914733798</v>
      </c>
      <c r="AB3138" t="s">
        <v>17986</v>
      </c>
      <c r="AC3138" t="s">
        <v>4575</v>
      </c>
      <c r="AD3138" t="s">
        <v>17984</v>
      </c>
      <c r="AE3138" t="s">
        <v>4655</v>
      </c>
      <c r="AF3138" t="s">
        <v>4563</v>
      </c>
      <c r="AG3138" t="s">
        <v>4564</v>
      </c>
      <c r="AH3138">
        <v>89511</v>
      </c>
      <c r="AI3138" t="s">
        <v>17987</v>
      </c>
      <c r="AJ3138" t="s">
        <v>4655</v>
      </c>
      <c r="AK3138" t="s">
        <v>17988</v>
      </c>
      <c r="AL3138" s="13" t="s">
        <v>3428</v>
      </c>
      <c r="AM3138" s="14">
        <v>1</v>
      </c>
      <c r="AN3138" s="15" t="s">
        <v>645</v>
      </c>
    </row>
    <row r="3139" spans="1:40" x14ac:dyDescent="0.3">
      <c r="A3139" s="10" t="str">
        <f>HYPERLINK("http://www.washoecounty.gov/assessor/cama/?parid=047-073-06&amp;CardNumber=1","047-073-06")</f>
        <v>047-073-06</v>
      </c>
      <c r="B3139" t="s">
        <v>4655</v>
      </c>
      <c r="C3139" t="s">
        <v>17989</v>
      </c>
      <c r="D3139" s="1">
        <v>40249</v>
      </c>
      <c r="E3139" s="2">
        <v>649900</v>
      </c>
      <c r="F3139" t="s">
        <v>4567</v>
      </c>
      <c r="G3139" s="17" t="str">
        <f>HYPERLINK("https://www.washoecounty.gov/assessor/cama/?command=sales&amp;parid=04707306","3859557")</f>
        <v>3859557</v>
      </c>
      <c r="H3139" t="s">
        <v>5108</v>
      </c>
      <c r="I3139">
        <v>1997</v>
      </c>
      <c r="J3139">
        <v>1997</v>
      </c>
      <c r="K3139" t="s">
        <v>4554</v>
      </c>
      <c r="L3139" t="s">
        <v>3974</v>
      </c>
      <c r="M3139" s="2">
        <v>3682</v>
      </c>
      <c r="N3139" t="s">
        <v>5106</v>
      </c>
      <c r="O3139">
        <v>4</v>
      </c>
      <c r="P3139">
        <v>2</v>
      </c>
      <c r="Q3139">
        <v>1</v>
      </c>
      <c r="R3139" t="s">
        <v>4557</v>
      </c>
      <c r="S3139" t="s">
        <v>4135</v>
      </c>
      <c r="T3139" t="s">
        <v>2704</v>
      </c>
      <c r="U3139" t="s">
        <v>4560</v>
      </c>
      <c r="V3139" s="2">
        <v>1192</v>
      </c>
      <c r="W3139" t="s">
        <v>4655</v>
      </c>
      <c r="X3139" s="2">
        <v>0</v>
      </c>
      <c r="Y3139">
        <v>20</v>
      </c>
      <c r="Z3139" t="s">
        <v>3884</v>
      </c>
      <c r="AA3139" s="3">
        <v>1.2170109748840301</v>
      </c>
      <c r="AB3139" t="s">
        <v>17990</v>
      </c>
      <c r="AC3139" t="s">
        <v>4562</v>
      </c>
      <c r="AD3139" t="s">
        <v>17989</v>
      </c>
      <c r="AE3139" t="s">
        <v>4655</v>
      </c>
      <c r="AF3139" t="s">
        <v>4563</v>
      </c>
      <c r="AG3139" t="s">
        <v>4564</v>
      </c>
      <c r="AH3139">
        <v>89511</v>
      </c>
      <c r="AI3139" t="s">
        <v>17991</v>
      </c>
      <c r="AJ3139" t="s">
        <v>4655</v>
      </c>
      <c r="AK3139" t="s">
        <v>17992</v>
      </c>
      <c r="AL3139" s="13" t="s">
        <v>3428</v>
      </c>
      <c r="AM3139">
        <v>1</v>
      </c>
      <c r="AN3139" s="15" t="s">
        <v>645</v>
      </c>
    </row>
    <row r="3140" spans="1:40" x14ac:dyDescent="0.3">
      <c r="A3140" s="10" t="str">
        <f>HYPERLINK("http://www.washoecounty.gov/assessor/cama/?parid=047-084-03&amp;CardNumber=1","047-084-03")</f>
        <v>047-084-03</v>
      </c>
      <c r="B3140" t="s">
        <v>4655</v>
      </c>
      <c r="C3140" t="s">
        <v>17993</v>
      </c>
      <c r="D3140" s="1">
        <v>40416</v>
      </c>
      <c r="E3140" s="2">
        <v>475000</v>
      </c>
      <c r="F3140" t="s">
        <v>4567</v>
      </c>
      <c r="G3140" s="17" t="str">
        <f>HYPERLINK("https://www.washoecounty.gov/assessor/cama/?command=sales&amp;parid=04708403","3915999")</f>
        <v>3915999</v>
      </c>
      <c r="H3140" t="s">
        <v>5108</v>
      </c>
      <c r="I3140">
        <v>1987</v>
      </c>
      <c r="J3140">
        <v>1989</v>
      </c>
      <c r="K3140" t="s">
        <v>4554</v>
      </c>
      <c r="L3140" t="s">
        <v>3886</v>
      </c>
      <c r="M3140" s="2">
        <v>2554</v>
      </c>
      <c r="N3140" t="s">
        <v>3887</v>
      </c>
      <c r="O3140">
        <v>2</v>
      </c>
      <c r="P3140">
        <v>2</v>
      </c>
      <c r="Q3140">
        <v>0</v>
      </c>
      <c r="R3140" t="s">
        <v>4557</v>
      </c>
      <c r="S3140" t="s">
        <v>4135</v>
      </c>
      <c r="T3140" t="s">
        <v>2704</v>
      </c>
      <c r="U3140" t="s">
        <v>4560</v>
      </c>
      <c r="V3140" s="2">
        <v>728</v>
      </c>
      <c r="W3140" t="s">
        <v>4655</v>
      </c>
      <c r="X3140" s="2">
        <v>0</v>
      </c>
      <c r="Y3140">
        <v>20</v>
      </c>
      <c r="Z3140" t="s">
        <v>3884</v>
      </c>
      <c r="AA3140" s="3">
        <v>0.45399448275566101</v>
      </c>
      <c r="AB3140" t="s">
        <v>17994</v>
      </c>
      <c r="AC3140" t="s">
        <v>4562</v>
      </c>
      <c r="AD3140" t="s">
        <v>17993</v>
      </c>
      <c r="AE3140" t="s">
        <v>4655</v>
      </c>
      <c r="AF3140" t="s">
        <v>4563</v>
      </c>
      <c r="AG3140" t="s">
        <v>4564</v>
      </c>
      <c r="AH3140">
        <v>89511</v>
      </c>
      <c r="AI3140" t="s">
        <v>17995</v>
      </c>
      <c r="AJ3140" t="s">
        <v>4655</v>
      </c>
      <c r="AK3140" t="s">
        <v>17996</v>
      </c>
      <c r="AL3140" s="13" t="s">
        <v>3428</v>
      </c>
      <c r="AM3140" s="14">
        <v>1</v>
      </c>
      <c r="AN3140" s="15" t="s">
        <v>645</v>
      </c>
    </row>
    <row r="3141" spans="1:40" x14ac:dyDescent="0.3">
      <c r="A3141" s="10" t="str">
        <f>HYPERLINK("http://www.washoecounty.gov/assessor/cama/?parid=047-086-28&amp;CardNumber=1","047-086-28")</f>
        <v>047-086-28</v>
      </c>
      <c r="B3141" t="s">
        <v>4655</v>
      </c>
      <c r="C3141" t="s">
        <v>17997</v>
      </c>
      <c r="D3141" s="1">
        <v>40319</v>
      </c>
      <c r="E3141" s="2">
        <v>440000</v>
      </c>
      <c r="F3141" t="s">
        <v>4567</v>
      </c>
      <c r="G3141" s="17" t="str">
        <f>HYPERLINK("https://www.washoecounty.gov/assessor/cama/?command=sales&amp;parid=04708628","3883827")</f>
        <v>3883827</v>
      </c>
      <c r="H3141" t="s">
        <v>5108</v>
      </c>
      <c r="I3141">
        <v>1996</v>
      </c>
      <c r="J3141">
        <v>1996</v>
      </c>
      <c r="K3141" t="s">
        <v>4554</v>
      </c>
      <c r="L3141" t="s">
        <v>3974</v>
      </c>
      <c r="M3141" s="2">
        <v>2798</v>
      </c>
      <c r="N3141" t="s">
        <v>1245</v>
      </c>
      <c r="O3141">
        <v>3</v>
      </c>
      <c r="P3141">
        <v>3</v>
      </c>
      <c r="Q3141">
        <v>0</v>
      </c>
      <c r="R3141" t="s">
        <v>4557</v>
      </c>
      <c r="S3141" t="s">
        <v>4570</v>
      </c>
      <c r="T3141" t="s">
        <v>2704</v>
      </c>
      <c r="U3141" t="s">
        <v>5631</v>
      </c>
      <c r="V3141" s="2">
        <v>713</v>
      </c>
      <c r="W3141" t="s">
        <v>4655</v>
      </c>
      <c r="X3141" s="2">
        <v>0</v>
      </c>
      <c r="Y3141">
        <v>20</v>
      </c>
      <c r="Z3141" t="s">
        <v>3884</v>
      </c>
      <c r="AA3141" s="3">
        <v>0.50500458478927601</v>
      </c>
      <c r="AB3141" t="s">
        <v>17998</v>
      </c>
      <c r="AC3141" t="s">
        <v>4562</v>
      </c>
      <c r="AD3141" t="s">
        <v>17997</v>
      </c>
      <c r="AE3141" t="s">
        <v>4655</v>
      </c>
      <c r="AF3141" t="s">
        <v>4563</v>
      </c>
      <c r="AG3141" t="s">
        <v>4564</v>
      </c>
      <c r="AH3141">
        <v>89511</v>
      </c>
      <c r="AI3141" t="s">
        <v>17999</v>
      </c>
      <c r="AJ3141" t="s">
        <v>4655</v>
      </c>
      <c r="AK3141" t="s">
        <v>18000</v>
      </c>
      <c r="AL3141" s="13" t="s">
        <v>3428</v>
      </c>
      <c r="AM3141">
        <v>1</v>
      </c>
      <c r="AN3141" s="15" t="s">
        <v>645</v>
      </c>
    </row>
    <row r="3142" spans="1:40" x14ac:dyDescent="0.3">
      <c r="A3142" s="10" t="str">
        <f>HYPERLINK("http://www.washoecounty.gov/assessor/cama/?parid=047-086-37&amp;CardNumber=1","047-086-37")</f>
        <v>047-086-37</v>
      </c>
      <c r="B3142" t="s">
        <v>4655</v>
      </c>
      <c r="C3142" t="s">
        <v>18001</v>
      </c>
      <c r="D3142" s="1">
        <v>40374</v>
      </c>
      <c r="E3142" s="2">
        <v>442000</v>
      </c>
      <c r="F3142" t="s">
        <v>4567</v>
      </c>
      <c r="G3142" s="17" t="str">
        <f>HYPERLINK("https://www.washoecounty.gov/assessor/cama/?command=sales&amp;parid=04708637","3901737")</f>
        <v>3901737</v>
      </c>
      <c r="H3142" t="s">
        <v>5108</v>
      </c>
      <c r="I3142">
        <v>1995</v>
      </c>
      <c r="J3142">
        <v>1996</v>
      </c>
      <c r="K3142" t="s">
        <v>4554</v>
      </c>
      <c r="L3142" t="s">
        <v>4555</v>
      </c>
      <c r="M3142" s="2">
        <v>2545</v>
      </c>
      <c r="N3142" t="s">
        <v>1245</v>
      </c>
      <c r="O3142">
        <v>2</v>
      </c>
      <c r="P3142">
        <v>2</v>
      </c>
      <c r="Q3142">
        <v>1</v>
      </c>
      <c r="R3142" t="s">
        <v>4557</v>
      </c>
      <c r="S3142" t="s">
        <v>4898</v>
      </c>
      <c r="T3142" t="s">
        <v>2704</v>
      </c>
      <c r="U3142" t="s">
        <v>4560</v>
      </c>
      <c r="V3142" s="2">
        <v>768</v>
      </c>
      <c r="W3142" t="s">
        <v>4655</v>
      </c>
      <c r="X3142" s="2">
        <v>0</v>
      </c>
      <c r="Y3142">
        <v>20</v>
      </c>
      <c r="Z3142" t="s">
        <v>3884</v>
      </c>
      <c r="AA3142" s="3">
        <v>0.46701100468635598</v>
      </c>
      <c r="AB3142" t="s">
        <v>18002</v>
      </c>
      <c r="AC3142" t="s">
        <v>4562</v>
      </c>
      <c r="AD3142" t="s">
        <v>18001</v>
      </c>
      <c r="AE3142" t="s">
        <v>4655</v>
      </c>
      <c r="AF3142" t="s">
        <v>4563</v>
      </c>
      <c r="AG3142" t="s">
        <v>4564</v>
      </c>
      <c r="AH3142">
        <v>89511</v>
      </c>
      <c r="AI3142" t="s">
        <v>18003</v>
      </c>
      <c r="AJ3142" t="s">
        <v>4655</v>
      </c>
      <c r="AK3142" t="s">
        <v>18004</v>
      </c>
      <c r="AL3142" s="13" t="s">
        <v>3428</v>
      </c>
      <c r="AM3142" s="14">
        <v>1</v>
      </c>
      <c r="AN3142" s="15" t="s">
        <v>645</v>
      </c>
    </row>
    <row r="3143" spans="1:40" x14ac:dyDescent="0.3">
      <c r="A3143" s="10" t="str">
        <f>HYPERLINK("http://www.washoecounty.gov/assessor/cama/?parid=047-090-06&amp;CardNumber=1","047-090-06")</f>
        <v>047-090-06</v>
      </c>
      <c r="B3143" t="s">
        <v>4655</v>
      </c>
      <c r="C3143" t="s">
        <v>18005</v>
      </c>
      <c r="D3143" s="1">
        <v>40323</v>
      </c>
      <c r="E3143" s="2">
        <v>498000</v>
      </c>
      <c r="F3143" t="s">
        <v>4553</v>
      </c>
      <c r="G3143" s="17" t="str">
        <f>HYPERLINK("https://www.washoecounty.gov/assessor/cama/?command=sales&amp;parid=04709006","3884762")</f>
        <v>3884762</v>
      </c>
      <c r="H3143" t="s">
        <v>18006</v>
      </c>
      <c r="I3143">
        <v>1991</v>
      </c>
      <c r="J3143">
        <v>1991</v>
      </c>
      <c r="K3143" t="s">
        <v>4554</v>
      </c>
      <c r="L3143" t="s">
        <v>2170</v>
      </c>
      <c r="M3143" s="2">
        <v>3005</v>
      </c>
      <c r="N3143" t="s">
        <v>5106</v>
      </c>
      <c r="O3143">
        <v>4</v>
      </c>
      <c r="P3143">
        <v>3</v>
      </c>
      <c r="Q3143">
        <v>1</v>
      </c>
      <c r="R3143" t="s">
        <v>4557</v>
      </c>
      <c r="S3143" t="s">
        <v>4135</v>
      </c>
      <c r="T3143" t="s">
        <v>2704</v>
      </c>
      <c r="U3143" t="s">
        <v>4560</v>
      </c>
      <c r="V3143" s="2">
        <v>582</v>
      </c>
      <c r="W3143" t="s">
        <v>4655</v>
      </c>
      <c r="X3143" s="2">
        <v>0</v>
      </c>
      <c r="Y3143">
        <v>20</v>
      </c>
      <c r="Z3143" t="s">
        <v>3884</v>
      </c>
      <c r="AA3143" s="3">
        <v>1</v>
      </c>
      <c r="AB3143" t="s">
        <v>18007</v>
      </c>
      <c r="AC3143" t="s">
        <v>4562</v>
      </c>
      <c r="AD3143" t="s">
        <v>18005</v>
      </c>
      <c r="AE3143" t="s">
        <v>4655</v>
      </c>
      <c r="AF3143" t="s">
        <v>4563</v>
      </c>
      <c r="AG3143" t="s">
        <v>4564</v>
      </c>
      <c r="AH3143">
        <v>89511</v>
      </c>
      <c r="AI3143" t="s">
        <v>4045</v>
      </c>
      <c r="AJ3143" t="s">
        <v>4655</v>
      </c>
      <c r="AK3143" t="s">
        <v>18008</v>
      </c>
      <c r="AL3143" s="13" t="s">
        <v>3428</v>
      </c>
      <c r="AM3143" s="14">
        <v>1</v>
      </c>
      <c r="AN3143" s="15" t="s">
        <v>645</v>
      </c>
    </row>
    <row r="3144" spans="1:40" x14ac:dyDescent="0.3">
      <c r="A3144" s="10" t="str">
        <f>HYPERLINK("http://www.washoecounty.gov/assessor/cama/?parid=047-090-15&amp;CardNumber=1","047-090-15")</f>
        <v>047-090-15</v>
      </c>
      <c r="B3144" t="s">
        <v>4655</v>
      </c>
      <c r="C3144" t="s">
        <v>18009</v>
      </c>
      <c r="D3144" s="1">
        <v>40389</v>
      </c>
      <c r="E3144" s="2">
        <v>755000</v>
      </c>
      <c r="F3144" t="s">
        <v>4567</v>
      </c>
      <c r="G3144" s="17" t="str">
        <f>HYPERLINK("https://www.washoecounty.gov/assessor/cama/?command=sales&amp;parid=04709015","3907535")</f>
        <v>3907535</v>
      </c>
      <c r="H3144" t="s">
        <v>18010</v>
      </c>
      <c r="I3144">
        <v>1993</v>
      </c>
      <c r="J3144">
        <v>1993</v>
      </c>
      <c r="K3144" t="s">
        <v>4554</v>
      </c>
      <c r="L3144" t="s">
        <v>4555</v>
      </c>
      <c r="M3144" s="2">
        <v>1535</v>
      </c>
      <c r="N3144" t="s">
        <v>5106</v>
      </c>
      <c r="O3144">
        <v>4</v>
      </c>
      <c r="P3144">
        <v>3</v>
      </c>
      <c r="Q3144">
        <v>1</v>
      </c>
      <c r="R3144" t="s">
        <v>4557</v>
      </c>
      <c r="S3144" t="s">
        <v>4135</v>
      </c>
      <c r="T3144" t="s">
        <v>2704</v>
      </c>
      <c r="U3144" t="s">
        <v>4560</v>
      </c>
      <c r="V3144" s="2">
        <v>753</v>
      </c>
      <c r="W3144" t="s">
        <v>3201</v>
      </c>
      <c r="X3144" s="2">
        <v>1520</v>
      </c>
      <c r="Y3144">
        <v>20</v>
      </c>
      <c r="Z3144" t="s">
        <v>3668</v>
      </c>
      <c r="AA3144" s="3">
        <v>3.16000008583068</v>
      </c>
      <c r="AB3144" t="s">
        <v>18011</v>
      </c>
      <c r="AC3144" t="s">
        <v>4575</v>
      </c>
      <c r="AD3144" t="s">
        <v>18009</v>
      </c>
      <c r="AE3144" t="s">
        <v>4655</v>
      </c>
      <c r="AF3144" t="s">
        <v>4563</v>
      </c>
      <c r="AG3144" t="s">
        <v>4564</v>
      </c>
      <c r="AH3144">
        <v>89511</v>
      </c>
      <c r="AI3144" t="s">
        <v>18012</v>
      </c>
      <c r="AJ3144" t="s">
        <v>4655</v>
      </c>
      <c r="AK3144" t="s">
        <v>18013</v>
      </c>
      <c r="AL3144" s="13" t="s">
        <v>3428</v>
      </c>
      <c r="AM3144">
        <v>1</v>
      </c>
      <c r="AN3144" s="15" t="s">
        <v>645</v>
      </c>
    </row>
    <row r="3145" spans="1:40" x14ac:dyDescent="0.3">
      <c r="A3145" s="10" t="str">
        <f>HYPERLINK("http://www.washoecounty.gov/assessor/cama/?parid=047-090-20&amp;CardNumber=1","047-090-20")</f>
        <v>047-090-20</v>
      </c>
      <c r="B3145" t="s">
        <v>4655</v>
      </c>
      <c r="C3145" t="s">
        <v>18014</v>
      </c>
      <c r="D3145" s="1">
        <v>40338</v>
      </c>
      <c r="E3145" s="2">
        <v>400000</v>
      </c>
      <c r="F3145" t="s">
        <v>4567</v>
      </c>
      <c r="G3145" s="17" t="str">
        <f>HYPERLINK("https://www.washoecounty.gov/assessor/cama/?command=sales&amp;parid=04709020","3889738")</f>
        <v>3889738</v>
      </c>
      <c r="H3145" t="s">
        <v>471</v>
      </c>
      <c r="I3145">
        <v>1997</v>
      </c>
      <c r="J3145">
        <v>1997</v>
      </c>
      <c r="K3145" t="s">
        <v>4554</v>
      </c>
      <c r="L3145" t="s">
        <v>2170</v>
      </c>
      <c r="M3145" s="2">
        <v>3516</v>
      </c>
      <c r="N3145" t="s">
        <v>5106</v>
      </c>
      <c r="O3145">
        <v>5</v>
      </c>
      <c r="P3145">
        <v>3</v>
      </c>
      <c r="Q3145">
        <v>1</v>
      </c>
      <c r="R3145" t="s">
        <v>4557</v>
      </c>
      <c r="S3145" t="s">
        <v>4135</v>
      </c>
      <c r="T3145" t="s">
        <v>2704</v>
      </c>
      <c r="U3145" t="s">
        <v>4560</v>
      </c>
      <c r="V3145" s="2">
        <v>954</v>
      </c>
      <c r="W3145" t="s">
        <v>4655</v>
      </c>
      <c r="X3145" s="2">
        <v>0</v>
      </c>
      <c r="Y3145">
        <v>20</v>
      </c>
      <c r="Z3145" t="s">
        <v>3884</v>
      </c>
      <c r="AA3145" s="3">
        <v>0.91900825500488204</v>
      </c>
      <c r="AB3145" t="s">
        <v>18015</v>
      </c>
      <c r="AC3145" t="s">
        <v>4562</v>
      </c>
      <c r="AD3145" t="s">
        <v>18016</v>
      </c>
      <c r="AE3145" t="s">
        <v>4655</v>
      </c>
      <c r="AF3145" t="s">
        <v>4563</v>
      </c>
      <c r="AG3145" t="s">
        <v>4564</v>
      </c>
      <c r="AH3145">
        <v>89511</v>
      </c>
      <c r="AI3145" t="s">
        <v>18017</v>
      </c>
      <c r="AJ3145" t="s">
        <v>4655</v>
      </c>
      <c r="AK3145" t="s">
        <v>18018</v>
      </c>
      <c r="AL3145" s="13" t="s">
        <v>3428</v>
      </c>
      <c r="AM3145" s="14">
        <v>1</v>
      </c>
      <c r="AN3145" s="15" t="s">
        <v>645</v>
      </c>
    </row>
    <row r="3146" spans="1:40" x14ac:dyDescent="0.3">
      <c r="A3146" s="10" t="str">
        <f>HYPERLINK("http://www.washoecounty.gov/assessor/cama/?parid=047-100-13&amp;CardNumber=1","047-100-13")</f>
        <v>047-100-13</v>
      </c>
      <c r="B3146" t="s">
        <v>4655</v>
      </c>
      <c r="C3146" t="s">
        <v>18019</v>
      </c>
      <c r="D3146" s="1">
        <v>40252</v>
      </c>
      <c r="E3146" s="2">
        <v>850000</v>
      </c>
      <c r="F3146" t="s">
        <v>4567</v>
      </c>
      <c r="G3146" s="17" t="str">
        <f>HYPERLINK("https://www.washoecounty.gov/assessor/cama/?command=sales&amp;parid=04710013","3860091")</f>
        <v>3860091</v>
      </c>
      <c r="H3146" t="s">
        <v>1941</v>
      </c>
      <c r="I3146">
        <v>1994</v>
      </c>
      <c r="J3146">
        <v>1994</v>
      </c>
      <c r="K3146" t="s">
        <v>4554</v>
      </c>
      <c r="L3146" t="s">
        <v>4555</v>
      </c>
      <c r="M3146" s="2">
        <v>3822</v>
      </c>
      <c r="N3146" t="s">
        <v>2012</v>
      </c>
      <c r="O3146">
        <v>3</v>
      </c>
      <c r="P3146">
        <v>3</v>
      </c>
      <c r="Q3146">
        <v>1</v>
      </c>
      <c r="R3146" t="s">
        <v>4557</v>
      </c>
      <c r="S3146" t="s">
        <v>4135</v>
      </c>
      <c r="T3146" t="s">
        <v>2704</v>
      </c>
      <c r="U3146" t="s">
        <v>4560</v>
      </c>
      <c r="V3146" s="2">
        <v>858</v>
      </c>
      <c r="W3146" t="s">
        <v>4655</v>
      </c>
      <c r="X3146" s="2">
        <v>0</v>
      </c>
      <c r="Y3146">
        <v>20</v>
      </c>
      <c r="Z3146" t="s">
        <v>3884</v>
      </c>
      <c r="AA3146" s="3">
        <v>1.2940082550048799</v>
      </c>
      <c r="AB3146" t="s">
        <v>18020</v>
      </c>
      <c r="AC3146" t="s">
        <v>4562</v>
      </c>
      <c r="AD3146" t="s">
        <v>18021</v>
      </c>
      <c r="AE3146" t="s">
        <v>4655</v>
      </c>
      <c r="AF3146" t="s">
        <v>2514</v>
      </c>
      <c r="AG3146" t="s">
        <v>4584</v>
      </c>
      <c r="AH3146">
        <v>94022</v>
      </c>
      <c r="AI3146" t="s">
        <v>18022</v>
      </c>
      <c r="AJ3146" t="s">
        <v>4655</v>
      </c>
      <c r="AK3146" t="s">
        <v>18023</v>
      </c>
      <c r="AL3146" s="13" t="s">
        <v>3428</v>
      </c>
      <c r="AM3146" s="14">
        <v>1</v>
      </c>
      <c r="AN3146" s="15" t="s">
        <v>645</v>
      </c>
    </row>
    <row r="3147" spans="1:40" x14ac:dyDescent="0.3">
      <c r="A3147" s="10" t="str">
        <f>HYPERLINK("http://www.washoecounty.gov/assessor/cama/?parid=047-100-22&amp;CardNumber=1","047-100-22")</f>
        <v>047-100-22</v>
      </c>
      <c r="B3147" t="s">
        <v>4655</v>
      </c>
      <c r="C3147" t="s">
        <v>18024</v>
      </c>
      <c r="D3147" s="1">
        <v>40326</v>
      </c>
      <c r="E3147" s="2">
        <v>720000</v>
      </c>
      <c r="F3147" t="s">
        <v>4567</v>
      </c>
      <c r="G3147" s="17" t="str">
        <f>HYPERLINK("https://www.washoecounty.gov/assessor/cama/?command=sales&amp;parid=04710022","3886392")</f>
        <v>3886392</v>
      </c>
      <c r="H3147" t="s">
        <v>18025</v>
      </c>
      <c r="I3147">
        <v>2002</v>
      </c>
      <c r="J3147">
        <v>2002</v>
      </c>
      <c r="K3147" t="s">
        <v>4554</v>
      </c>
      <c r="L3147" t="s">
        <v>4555</v>
      </c>
      <c r="M3147" s="2">
        <v>3183</v>
      </c>
      <c r="N3147" t="s">
        <v>5106</v>
      </c>
      <c r="O3147">
        <v>3</v>
      </c>
      <c r="P3147">
        <v>3</v>
      </c>
      <c r="Q3147">
        <v>0</v>
      </c>
      <c r="R3147" t="s">
        <v>5281</v>
      </c>
      <c r="S3147" t="s">
        <v>4135</v>
      </c>
      <c r="T3147" t="s">
        <v>2704</v>
      </c>
      <c r="U3147" t="s">
        <v>4560</v>
      </c>
      <c r="V3147" s="2">
        <v>889</v>
      </c>
      <c r="W3147" t="s">
        <v>4655</v>
      </c>
      <c r="X3147" s="2">
        <v>0</v>
      </c>
      <c r="Y3147">
        <v>20</v>
      </c>
      <c r="Z3147" t="s">
        <v>3884</v>
      </c>
      <c r="AA3147" s="3">
        <v>0.56999540328979403</v>
      </c>
      <c r="AB3147" t="s">
        <v>18026</v>
      </c>
      <c r="AC3147" t="s">
        <v>4562</v>
      </c>
      <c r="AD3147" t="s">
        <v>18027</v>
      </c>
      <c r="AE3147" t="s">
        <v>4655</v>
      </c>
      <c r="AF3147" t="s">
        <v>4752</v>
      </c>
      <c r="AG3147" t="s">
        <v>4564</v>
      </c>
      <c r="AH3147">
        <v>89511</v>
      </c>
      <c r="AI3147" t="s">
        <v>18028</v>
      </c>
      <c r="AJ3147" t="s">
        <v>4655</v>
      </c>
      <c r="AK3147" t="s">
        <v>18029</v>
      </c>
      <c r="AL3147" s="13" t="s">
        <v>3428</v>
      </c>
      <c r="AM3147">
        <v>1</v>
      </c>
      <c r="AN3147" s="15" t="s">
        <v>645</v>
      </c>
    </row>
    <row r="3148" spans="1:40" x14ac:dyDescent="0.3">
      <c r="A3148" s="10" t="str">
        <f>HYPERLINK("http://www.washoecounty.gov/assessor/cama/?parid=047-113-11&amp;CardNumber=1","047-113-11")</f>
        <v>047-113-11</v>
      </c>
      <c r="B3148" t="s">
        <v>4655</v>
      </c>
      <c r="C3148" t="s">
        <v>18030</v>
      </c>
      <c r="D3148" s="1">
        <v>40449</v>
      </c>
      <c r="E3148" s="2">
        <v>120000</v>
      </c>
      <c r="F3148" t="s">
        <v>3259</v>
      </c>
      <c r="G3148" s="17" t="str">
        <f>HYPERLINK("https://www.washoecounty.gov/assessor/cama/?command=sales&amp;parid=04711311","3926832")</f>
        <v>3926832</v>
      </c>
      <c r="H3148" t="s">
        <v>18031</v>
      </c>
      <c r="I3148">
        <v>0</v>
      </c>
      <c r="J3148">
        <v>0</v>
      </c>
      <c r="K3148" t="s">
        <v>4655</v>
      </c>
      <c r="L3148" t="s">
        <v>4655</v>
      </c>
      <c r="M3148" s="2">
        <v>0</v>
      </c>
      <c r="N3148" t="s">
        <v>4655</v>
      </c>
      <c r="O3148">
        <v>0</v>
      </c>
      <c r="P3148">
        <v>0</v>
      </c>
      <c r="Q3148">
        <v>0</v>
      </c>
      <c r="R3148" t="s">
        <v>4655</v>
      </c>
      <c r="S3148" t="s">
        <v>4655</v>
      </c>
      <c r="T3148" t="s">
        <v>4655</v>
      </c>
      <c r="U3148" t="s">
        <v>4655</v>
      </c>
      <c r="V3148" s="2">
        <v>0</v>
      </c>
      <c r="W3148" t="s">
        <v>4655</v>
      </c>
      <c r="X3148" s="2">
        <v>0</v>
      </c>
      <c r="Y3148">
        <v>12</v>
      </c>
      <c r="Z3148" t="s">
        <v>3884</v>
      </c>
      <c r="AA3148" s="3">
        <v>0.5</v>
      </c>
      <c r="AB3148" t="s">
        <v>18032</v>
      </c>
      <c r="AC3148" t="s">
        <v>4562</v>
      </c>
      <c r="AD3148" t="s">
        <v>18033</v>
      </c>
      <c r="AE3148" t="s">
        <v>4655</v>
      </c>
      <c r="AF3148" t="s">
        <v>18034</v>
      </c>
      <c r="AG3148" t="s">
        <v>762</v>
      </c>
      <c r="AH3148">
        <v>76092</v>
      </c>
      <c r="AI3148" t="s">
        <v>18035</v>
      </c>
      <c r="AJ3148" t="s">
        <v>4655</v>
      </c>
      <c r="AK3148" t="s">
        <v>18036</v>
      </c>
      <c r="AL3148" s="13" t="s">
        <v>3428</v>
      </c>
      <c r="AM3148" s="14">
        <v>0</v>
      </c>
      <c r="AN3148" s="15" t="s">
        <v>645</v>
      </c>
    </row>
    <row r="3149" spans="1:40" x14ac:dyDescent="0.3">
      <c r="A3149" s="10" t="str">
        <f>HYPERLINK("http://www.washoecounty.gov/assessor/cama/?parid=047-113-28&amp;CardNumber=1","047-113-28")</f>
        <v>047-113-28</v>
      </c>
      <c r="B3149" t="s">
        <v>4655</v>
      </c>
      <c r="C3149" t="s">
        <v>18037</v>
      </c>
      <c r="D3149" s="1">
        <v>40469</v>
      </c>
      <c r="E3149" s="2">
        <v>524900</v>
      </c>
      <c r="F3149" t="s">
        <v>4553</v>
      </c>
      <c r="G3149" s="17" t="str">
        <f>HYPERLINK("https://www.washoecounty.gov/assessor/cama/?command=sales&amp;parid=04711328","3934134")</f>
        <v>3934134</v>
      </c>
      <c r="H3149" t="s">
        <v>471</v>
      </c>
      <c r="I3149">
        <v>1996</v>
      </c>
      <c r="J3149">
        <v>1996</v>
      </c>
      <c r="K3149" t="s">
        <v>4554</v>
      </c>
      <c r="L3149" t="s">
        <v>4555</v>
      </c>
      <c r="M3149" s="2">
        <v>3557</v>
      </c>
      <c r="N3149" t="s">
        <v>5106</v>
      </c>
      <c r="O3149">
        <v>3</v>
      </c>
      <c r="P3149">
        <v>2</v>
      </c>
      <c r="Q3149">
        <v>1</v>
      </c>
      <c r="R3149" t="s">
        <v>4557</v>
      </c>
      <c r="S3149" t="s">
        <v>4135</v>
      </c>
      <c r="T3149" t="s">
        <v>2704</v>
      </c>
      <c r="U3149" t="s">
        <v>4560</v>
      </c>
      <c r="V3149" s="2">
        <v>891</v>
      </c>
      <c r="W3149" t="s">
        <v>4655</v>
      </c>
      <c r="X3149" s="2">
        <v>0</v>
      </c>
      <c r="Y3149">
        <v>20</v>
      </c>
      <c r="Z3149" t="s">
        <v>3884</v>
      </c>
      <c r="AA3149" s="3">
        <v>1.24201107025146</v>
      </c>
      <c r="AB3149" t="s">
        <v>18038</v>
      </c>
      <c r="AC3149" t="s">
        <v>4562</v>
      </c>
      <c r="AD3149" t="s">
        <v>18037</v>
      </c>
      <c r="AE3149" t="s">
        <v>4655</v>
      </c>
      <c r="AF3149" t="s">
        <v>4563</v>
      </c>
      <c r="AG3149" t="s">
        <v>4564</v>
      </c>
      <c r="AH3149">
        <v>89511</v>
      </c>
      <c r="AI3149" t="s">
        <v>4045</v>
      </c>
      <c r="AJ3149" t="s">
        <v>4655</v>
      </c>
      <c r="AK3149" t="s">
        <v>18039</v>
      </c>
      <c r="AL3149" s="13" t="s">
        <v>3428</v>
      </c>
      <c r="AM3149" s="14">
        <v>1</v>
      </c>
      <c r="AN3149" s="15" t="s">
        <v>645</v>
      </c>
    </row>
    <row r="3150" spans="1:40" x14ac:dyDescent="0.3">
      <c r="A3150" s="10" t="str">
        <f>HYPERLINK("http://www.washoecounty.gov/assessor/cama/?parid=047-114-16&amp;CardNumber=1","047-114-16")</f>
        <v>047-114-16</v>
      </c>
      <c r="B3150" t="s">
        <v>4655</v>
      </c>
      <c r="C3150" s="20" t="s">
        <v>283</v>
      </c>
      <c r="D3150" s="1">
        <v>40280</v>
      </c>
      <c r="E3150" s="2">
        <v>120000</v>
      </c>
      <c r="F3150" t="s">
        <v>4187</v>
      </c>
      <c r="G3150" s="20" t="s">
        <v>282</v>
      </c>
      <c r="H3150" t="s">
        <v>471</v>
      </c>
      <c r="I3150">
        <v>0</v>
      </c>
      <c r="J3150">
        <v>0</v>
      </c>
      <c r="K3150" t="s">
        <v>4655</v>
      </c>
      <c r="L3150" t="s">
        <v>4655</v>
      </c>
      <c r="M3150" s="2">
        <v>0</v>
      </c>
      <c r="N3150" t="s">
        <v>4655</v>
      </c>
      <c r="O3150">
        <v>0</v>
      </c>
      <c r="P3150">
        <v>0</v>
      </c>
      <c r="Q3150">
        <v>0</v>
      </c>
      <c r="R3150" t="s">
        <v>4655</v>
      </c>
      <c r="S3150" t="s">
        <v>4655</v>
      </c>
      <c r="T3150" t="s">
        <v>4655</v>
      </c>
      <c r="U3150" t="s">
        <v>4655</v>
      </c>
      <c r="V3150" s="2">
        <v>0</v>
      </c>
      <c r="W3150" t="s">
        <v>4655</v>
      </c>
      <c r="X3150" s="2">
        <v>0</v>
      </c>
      <c r="Y3150">
        <v>12</v>
      </c>
      <c r="Z3150" t="s">
        <v>3884</v>
      </c>
      <c r="AA3150" s="3">
        <v>1.13599634170532</v>
      </c>
      <c r="AB3150" s="20" t="s">
        <v>8865</v>
      </c>
      <c r="AD3150" t="s">
        <v>283</v>
      </c>
      <c r="AE3150" t="s">
        <v>283</v>
      </c>
      <c r="AF3150" t="s">
        <v>283</v>
      </c>
      <c r="AG3150" t="s">
        <v>4564</v>
      </c>
      <c r="AH3150" t="s">
        <v>3101</v>
      </c>
      <c r="AI3150" t="s">
        <v>8865</v>
      </c>
      <c r="AJ3150" t="s">
        <v>4655</v>
      </c>
      <c r="AK3150" t="s">
        <v>8865</v>
      </c>
      <c r="AL3150" s="13" t="s">
        <v>3428</v>
      </c>
      <c r="AM3150">
        <v>0</v>
      </c>
      <c r="AN3150" s="15" t="s">
        <v>645</v>
      </c>
    </row>
    <row r="3151" spans="1:40" x14ac:dyDescent="0.3">
      <c r="A3151" s="10" t="str">
        <f>HYPERLINK("http://www.washoecounty.gov/assessor/cama/?parid=047-124-09&amp;CardNumber=1","047-124-09")</f>
        <v>047-124-09</v>
      </c>
      <c r="B3151" t="s">
        <v>4655</v>
      </c>
      <c r="C3151" t="s">
        <v>18040</v>
      </c>
      <c r="D3151" s="1">
        <v>40331</v>
      </c>
      <c r="E3151" s="2">
        <v>459900</v>
      </c>
      <c r="F3151" t="s">
        <v>4567</v>
      </c>
      <c r="G3151" s="17" t="str">
        <f>HYPERLINK("https://www.washoecounty.gov/assessor/cama/?command=sales&amp;parid=04712409","3887631")</f>
        <v>3887631</v>
      </c>
      <c r="H3151" t="s">
        <v>18041</v>
      </c>
      <c r="I3151">
        <v>2003</v>
      </c>
      <c r="J3151">
        <v>2003</v>
      </c>
      <c r="K3151" t="s">
        <v>4554</v>
      </c>
      <c r="L3151" t="s">
        <v>2170</v>
      </c>
      <c r="M3151" s="2">
        <v>2802</v>
      </c>
      <c r="N3151" t="s">
        <v>1245</v>
      </c>
      <c r="O3151">
        <v>3</v>
      </c>
      <c r="P3151">
        <v>2</v>
      </c>
      <c r="Q3151">
        <v>1</v>
      </c>
      <c r="R3151" t="s">
        <v>4557</v>
      </c>
      <c r="S3151" t="s">
        <v>4558</v>
      </c>
      <c r="T3151" t="s">
        <v>4559</v>
      </c>
      <c r="U3151" t="s">
        <v>4560</v>
      </c>
      <c r="V3151" s="2">
        <v>920</v>
      </c>
      <c r="W3151" t="s">
        <v>4655</v>
      </c>
      <c r="X3151" s="2">
        <v>0</v>
      </c>
      <c r="Y3151">
        <v>20</v>
      </c>
      <c r="Z3151" t="s">
        <v>3884</v>
      </c>
      <c r="AA3151" s="3">
        <v>0.51900827884673995</v>
      </c>
      <c r="AB3151" t="s">
        <v>18042</v>
      </c>
      <c r="AC3151" t="s">
        <v>4562</v>
      </c>
      <c r="AD3151" t="s">
        <v>18043</v>
      </c>
      <c r="AE3151" t="s">
        <v>4655</v>
      </c>
      <c r="AF3151" t="s">
        <v>1789</v>
      </c>
      <c r="AG3151" t="s">
        <v>4584</v>
      </c>
      <c r="AH3151" t="s">
        <v>3695</v>
      </c>
      <c r="AI3151" t="s">
        <v>18044</v>
      </c>
      <c r="AJ3151" t="s">
        <v>18045</v>
      </c>
      <c r="AK3151" t="s">
        <v>18046</v>
      </c>
      <c r="AL3151" s="13" t="s">
        <v>3428</v>
      </c>
      <c r="AM3151">
        <v>1</v>
      </c>
      <c r="AN3151" s="15" t="s">
        <v>645</v>
      </c>
    </row>
    <row r="3152" spans="1:40" x14ac:dyDescent="0.3">
      <c r="A3152" s="10" t="str">
        <f>HYPERLINK("http://www.washoecounty.gov/assessor/cama/?parid=047-161-04&amp;CardNumber=1","047-161-04")</f>
        <v>047-161-04</v>
      </c>
      <c r="B3152" t="s">
        <v>4655</v>
      </c>
      <c r="C3152" t="s">
        <v>725</v>
      </c>
      <c r="D3152" s="1">
        <v>40498</v>
      </c>
      <c r="E3152" s="2">
        <v>248000</v>
      </c>
      <c r="F3152" t="s">
        <v>4567</v>
      </c>
      <c r="G3152" s="17" t="str">
        <f>HYPERLINK("https://www.washoecounty.gov/assessor/cama/?command=sales&amp;parid=04716104","3943566")</f>
        <v>3943566</v>
      </c>
      <c r="H3152" t="s">
        <v>1430</v>
      </c>
      <c r="I3152">
        <v>1964</v>
      </c>
      <c r="J3152">
        <v>1964</v>
      </c>
      <c r="K3152" t="s">
        <v>4554</v>
      </c>
      <c r="L3152" t="s">
        <v>3886</v>
      </c>
      <c r="M3152" s="2">
        <v>1412</v>
      </c>
      <c r="N3152" t="s">
        <v>5280</v>
      </c>
      <c r="O3152">
        <v>3</v>
      </c>
      <c r="P3152">
        <v>2</v>
      </c>
      <c r="Q3152">
        <v>0</v>
      </c>
      <c r="R3152" t="s">
        <v>4557</v>
      </c>
      <c r="S3152" t="s">
        <v>4135</v>
      </c>
      <c r="T3152" t="s">
        <v>4143</v>
      </c>
      <c r="U3152" t="s">
        <v>4655</v>
      </c>
      <c r="V3152" s="2">
        <v>0</v>
      </c>
      <c r="W3152" t="s">
        <v>4655</v>
      </c>
      <c r="X3152" s="2">
        <v>0</v>
      </c>
      <c r="Y3152">
        <v>20</v>
      </c>
      <c r="Z3152" t="s">
        <v>3668</v>
      </c>
      <c r="AA3152" s="3">
        <v>1.253167986869812</v>
      </c>
      <c r="AB3152" t="s">
        <v>5718</v>
      </c>
      <c r="AC3152" t="s">
        <v>4562</v>
      </c>
      <c r="AD3152" t="s">
        <v>5719</v>
      </c>
      <c r="AE3152" t="s">
        <v>4655</v>
      </c>
      <c r="AF3152" t="s">
        <v>4563</v>
      </c>
      <c r="AG3152" t="s">
        <v>4564</v>
      </c>
      <c r="AH3152" t="s">
        <v>5197</v>
      </c>
      <c r="AI3152" t="s">
        <v>4202</v>
      </c>
      <c r="AJ3152" t="s">
        <v>4655</v>
      </c>
      <c r="AK3152" t="s">
        <v>726</v>
      </c>
      <c r="AL3152" s="13" t="s">
        <v>3428</v>
      </c>
      <c r="AM3152">
        <v>1</v>
      </c>
      <c r="AN3152" s="15" t="s">
        <v>3252</v>
      </c>
    </row>
    <row r="3153" spans="1:40" x14ac:dyDescent="0.3">
      <c r="A3153" s="10" t="str">
        <f>HYPERLINK("http://www.washoecounty.gov/assessor/cama/?parid=047-162-17&amp;CardNumber=1","047-162-17")</f>
        <v>047-162-17</v>
      </c>
      <c r="B3153" t="s">
        <v>4655</v>
      </c>
      <c r="C3153" t="s">
        <v>18047</v>
      </c>
      <c r="D3153" s="1">
        <v>40198</v>
      </c>
      <c r="E3153" s="2">
        <v>590000</v>
      </c>
      <c r="F3153" t="s">
        <v>4553</v>
      </c>
      <c r="G3153" s="17" t="str">
        <f>HYPERLINK("https://www.washoecounty.gov/assessor/cama/?command=sales&amp;parid=04716217","3840809")</f>
        <v>3840809</v>
      </c>
      <c r="H3153" t="s">
        <v>18048</v>
      </c>
      <c r="I3153">
        <v>1965</v>
      </c>
      <c r="J3153">
        <v>1986</v>
      </c>
      <c r="K3153" t="s">
        <v>4554</v>
      </c>
      <c r="L3153" t="s">
        <v>4555</v>
      </c>
      <c r="M3153" s="2">
        <v>4007</v>
      </c>
      <c r="N3153" t="s">
        <v>2012</v>
      </c>
      <c r="O3153">
        <v>4</v>
      </c>
      <c r="P3153">
        <v>5</v>
      </c>
      <c r="Q3153">
        <v>1</v>
      </c>
      <c r="R3153" t="s">
        <v>5281</v>
      </c>
      <c r="S3153" t="s">
        <v>4898</v>
      </c>
      <c r="T3153" t="s">
        <v>3713</v>
      </c>
      <c r="U3153" t="s">
        <v>4560</v>
      </c>
      <c r="V3153" s="2">
        <v>1150</v>
      </c>
      <c r="W3153" t="s">
        <v>4571</v>
      </c>
      <c r="X3153" s="2">
        <v>2266</v>
      </c>
      <c r="Y3153">
        <v>20</v>
      </c>
      <c r="Z3153" t="s">
        <v>3884</v>
      </c>
      <c r="AA3153" s="3">
        <v>1.46792924404144</v>
      </c>
      <c r="AB3153" t="s">
        <v>18049</v>
      </c>
      <c r="AC3153" t="s">
        <v>4562</v>
      </c>
      <c r="AD3153" t="s">
        <v>18050</v>
      </c>
      <c r="AE3153" t="s">
        <v>4655</v>
      </c>
      <c r="AF3153" t="s">
        <v>4563</v>
      </c>
      <c r="AG3153" t="s">
        <v>4564</v>
      </c>
      <c r="AH3153">
        <v>89511</v>
      </c>
      <c r="AI3153" t="s">
        <v>18051</v>
      </c>
      <c r="AJ3153" t="s">
        <v>18052</v>
      </c>
      <c r="AK3153" t="s">
        <v>18053</v>
      </c>
      <c r="AL3153" s="13" t="s">
        <v>3428</v>
      </c>
      <c r="AM3153">
        <v>1</v>
      </c>
      <c r="AN3153" s="15" t="s">
        <v>3252</v>
      </c>
    </row>
    <row r="3154" spans="1:40" x14ac:dyDescent="0.3">
      <c r="A3154" s="10" t="str">
        <f>HYPERLINK("http://www.washoecounty.gov/assessor/cama/?parid=047-162-29&amp;CardNumber=1","047-162-29")</f>
        <v>047-162-29</v>
      </c>
      <c r="B3154" t="s">
        <v>4655</v>
      </c>
      <c r="C3154" t="s">
        <v>18054</v>
      </c>
      <c r="D3154" s="1">
        <v>40214</v>
      </c>
      <c r="E3154" s="2">
        <v>395000</v>
      </c>
      <c r="F3154" t="s">
        <v>4567</v>
      </c>
      <c r="G3154" s="17" t="str">
        <f>HYPERLINK("https://www.washoecounty.gov/assessor/cama/?command=sales&amp;parid=04716229","3846404")</f>
        <v>3846404</v>
      </c>
      <c r="H3154" t="s">
        <v>18055</v>
      </c>
      <c r="I3154">
        <v>2005</v>
      </c>
      <c r="J3154">
        <v>2005</v>
      </c>
      <c r="K3154" t="s">
        <v>4554</v>
      </c>
      <c r="L3154" t="s">
        <v>3974</v>
      </c>
      <c r="M3154" s="2">
        <v>3320</v>
      </c>
      <c r="N3154" t="s">
        <v>3887</v>
      </c>
      <c r="O3154">
        <v>4</v>
      </c>
      <c r="P3154">
        <v>4</v>
      </c>
      <c r="Q3154">
        <v>0</v>
      </c>
      <c r="R3154" t="s">
        <v>4557</v>
      </c>
      <c r="S3154" t="s">
        <v>4135</v>
      </c>
      <c r="T3154" t="s">
        <v>4559</v>
      </c>
      <c r="U3154" t="s">
        <v>4560</v>
      </c>
      <c r="V3154" s="2">
        <v>768</v>
      </c>
      <c r="W3154" t="s">
        <v>4655</v>
      </c>
      <c r="X3154" s="2">
        <v>0</v>
      </c>
      <c r="Y3154">
        <v>20</v>
      </c>
      <c r="Z3154" t="s">
        <v>3884</v>
      </c>
      <c r="AA3154" s="3">
        <v>0.59221762418746948</v>
      </c>
      <c r="AB3154" t="s">
        <v>18056</v>
      </c>
      <c r="AC3154" t="s">
        <v>4562</v>
      </c>
      <c r="AD3154" t="s">
        <v>18054</v>
      </c>
      <c r="AE3154" t="s">
        <v>4655</v>
      </c>
      <c r="AF3154" t="s">
        <v>3114</v>
      </c>
      <c r="AG3154" t="s">
        <v>4564</v>
      </c>
      <c r="AH3154">
        <v>89511</v>
      </c>
      <c r="AI3154" t="s">
        <v>18057</v>
      </c>
      <c r="AJ3154" t="s">
        <v>18058</v>
      </c>
      <c r="AK3154" t="s">
        <v>18059</v>
      </c>
      <c r="AL3154" s="13" t="s">
        <v>3428</v>
      </c>
      <c r="AM3154" s="14">
        <v>1</v>
      </c>
      <c r="AN3154" s="15" t="s">
        <v>3252</v>
      </c>
    </row>
    <row r="3155" spans="1:40" x14ac:dyDescent="0.3">
      <c r="A3155" s="10" t="str">
        <f>HYPERLINK("http://www.washoecounty.gov/assessor/cama/?parid=048-081-19&amp;CardNumber=1","048-081-19")</f>
        <v>048-081-19</v>
      </c>
      <c r="B3155" t="s">
        <v>4655</v>
      </c>
      <c r="C3155" t="s">
        <v>18060</v>
      </c>
      <c r="D3155" s="1">
        <v>40308</v>
      </c>
      <c r="E3155" s="2">
        <v>303500</v>
      </c>
      <c r="F3155" t="s">
        <v>4553</v>
      </c>
      <c r="G3155" s="17" t="str">
        <f>HYPERLINK("https://www.washoecounty.gov/assessor/cama/?command=sales&amp;parid=04808119","3880000")</f>
        <v>3880000</v>
      </c>
      <c r="H3155" t="s">
        <v>18061</v>
      </c>
      <c r="I3155">
        <v>1987</v>
      </c>
      <c r="J3155">
        <v>1987</v>
      </c>
      <c r="K3155" t="s">
        <v>4554</v>
      </c>
      <c r="L3155" t="s">
        <v>3974</v>
      </c>
      <c r="M3155" s="2">
        <v>2304</v>
      </c>
      <c r="N3155" t="s">
        <v>3147</v>
      </c>
      <c r="O3155">
        <v>3</v>
      </c>
      <c r="P3155">
        <v>3</v>
      </c>
      <c r="Q3155">
        <v>0</v>
      </c>
      <c r="R3155" t="s">
        <v>4557</v>
      </c>
      <c r="S3155" t="s">
        <v>4135</v>
      </c>
      <c r="T3155" t="s">
        <v>4559</v>
      </c>
      <c r="U3155" t="s">
        <v>4560</v>
      </c>
      <c r="V3155" s="2">
        <v>676</v>
      </c>
      <c r="W3155" t="s">
        <v>3149</v>
      </c>
      <c r="X3155" s="2">
        <v>1008</v>
      </c>
      <c r="Y3155">
        <v>20</v>
      </c>
      <c r="Z3155" t="s">
        <v>5508</v>
      </c>
      <c r="AA3155" s="3">
        <v>0.51099634170532204</v>
      </c>
      <c r="AB3155" t="s">
        <v>18062</v>
      </c>
      <c r="AC3155" t="s">
        <v>4562</v>
      </c>
      <c r="AD3155" t="s">
        <v>18063</v>
      </c>
      <c r="AE3155" t="s">
        <v>4655</v>
      </c>
      <c r="AF3155" t="s">
        <v>18064</v>
      </c>
      <c r="AG3155" t="s">
        <v>4584</v>
      </c>
      <c r="AH3155" t="s">
        <v>18065</v>
      </c>
      <c r="AI3155" t="s">
        <v>1673</v>
      </c>
      <c r="AJ3155" t="s">
        <v>4655</v>
      </c>
      <c r="AK3155" t="s">
        <v>18066</v>
      </c>
      <c r="AL3155" s="13" t="s">
        <v>3428</v>
      </c>
      <c r="AM3155">
        <v>1</v>
      </c>
      <c r="AN3155" s="15" t="s">
        <v>1543</v>
      </c>
    </row>
    <row r="3156" spans="1:40" x14ac:dyDescent="0.3">
      <c r="A3156" s="10" t="str">
        <f>HYPERLINK("http://www.washoecounty.gov/assessor/cama/?parid=048-100-05&amp;CardNumber=1","048-100-05")</f>
        <v>048-100-05</v>
      </c>
      <c r="B3156" t="s">
        <v>4655</v>
      </c>
      <c r="C3156" t="s">
        <v>18067</v>
      </c>
      <c r="D3156" s="1">
        <v>40197</v>
      </c>
      <c r="E3156" s="2">
        <v>25000</v>
      </c>
      <c r="F3156" t="s">
        <v>2900</v>
      </c>
      <c r="G3156" s="17" t="str">
        <f>HYPERLINK("https://www.washoecounty.gov/assessor/cama/?command=sales&amp;parid=04810005","3840630")</f>
        <v>3840630</v>
      </c>
      <c r="H3156" t="s">
        <v>18068</v>
      </c>
      <c r="I3156">
        <v>0</v>
      </c>
      <c r="J3156">
        <v>0</v>
      </c>
      <c r="K3156" t="s">
        <v>4655</v>
      </c>
      <c r="L3156" t="s">
        <v>4655</v>
      </c>
      <c r="M3156" s="2">
        <v>0</v>
      </c>
      <c r="N3156" t="s">
        <v>4655</v>
      </c>
      <c r="O3156">
        <v>0</v>
      </c>
      <c r="P3156">
        <v>0</v>
      </c>
      <c r="Q3156">
        <v>0</v>
      </c>
      <c r="R3156" t="s">
        <v>4655</v>
      </c>
      <c r="S3156" t="s">
        <v>4655</v>
      </c>
      <c r="T3156" t="s">
        <v>4655</v>
      </c>
      <c r="U3156" t="s">
        <v>4655</v>
      </c>
      <c r="V3156" s="2">
        <v>0</v>
      </c>
      <c r="W3156" t="s">
        <v>4655</v>
      </c>
      <c r="X3156" s="2">
        <v>0</v>
      </c>
      <c r="Y3156">
        <v>11</v>
      </c>
      <c r="Z3156" t="s">
        <v>5508</v>
      </c>
      <c r="AA3156" s="3">
        <v>0.24600550532341001</v>
      </c>
      <c r="AB3156" t="s">
        <v>18069</v>
      </c>
      <c r="AC3156" t="s">
        <v>4575</v>
      </c>
      <c r="AD3156" t="s">
        <v>18070</v>
      </c>
      <c r="AE3156" t="s">
        <v>4655</v>
      </c>
      <c r="AF3156" t="s">
        <v>18071</v>
      </c>
      <c r="AG3156" t="s">
        <v>1542</v>
      </c>
      <c r="AH3156">
        <v>21012</v>
      </c>
      <c r="AI3156" t="s">
        <v>18072</v>
      </c>
      <c r="AJ3156" t="s">
        <v>4655</v>
      </c>
      <c r="AK3156" t="s">
        <v>18073</v>
      </c>
      <c r="AL3156" s="13" t="s">
        <v>3428</v>
      </c>
      <c r="AM3156">
        <v>0</v>
      </c>
      <c r="AN3156" s="15" t="s">
        <v>1543</v>
      </c>
    </row>
    <row r="3157" spans="1:40" x14ac:dyDescent="0.3">
      <c r="A3157" s="10" t="str">
        <f>HYPERLINK("http://www.washoecounty.gov/assessor/cama/?parid=048-100-06&amp;CardNumber=1","048-100-06")</f>
        <v>048-100-06</v>
      </c>
      <c r="B3157" t="s">
        <v>4655</v>
      </c>
      <c r="C3157" t="s">
        <v>18074</v>
      </c>
      <c r="D3157" s="1">
        <v>40197</v>
      </c>
      <c r="E3157" s="2">
        <v>25000</v>
      </c>
      <c r="F3157" t="s">
        <v>2900</v>
      </c>
      <c r="G3157" s="17" t="str">
        <f>HYPERLINK("https://www.washoecounty.gov/assessor/cama/?command=sales&amp;parid=04810006","3840630")</f>
        <v>3840630</v>
      </c>
      <c r="H3157" t="s">
        <v>1994</v>
      </c>
      <c r="I3157">
        <v>0</v>
      </c>
      <c r="J3157">
        <v>0</v>
      </c>
      <c r="K3157" t="s">
        <v>4655</v>
      </c>
      <c r="L3157" t="s">
        <v>4655</v>
      </c>
      <c r="M3157" s="2">
        <v>0</v>
      </c>
      <c r="N3157" t="s">
        <v>4655</v>
      </c>
      <c r="O3157">
        <v>0</v>
      </c>
      <c r="P3157">
        <v>0</v>
      </c>
      <c r="Q3157">
        <v>0</v>
      </c>
      <c r="R3157" t="s">
        <v>4655</v>
      </c>
      <c r="S3157" t="s">
        <v>4655</v>
      </c>
      <c r="T3157" t="s">
        <v>4655</v>
      </c>
      <c r="U3157" t="s">
        <v>4655</v>
      </c>
      <c r="V3157" s="2">
        <v>0</v>
      </c>
      <c r="W3157" t="s">
        <v>4655</v>
      </c>
      <c r="X3157" s="2">
        <v>0</v>
      </c>
      <c r="Y3157">
        <v>11</v>
      </c>
      <c r="Z3157" t="s">
        <v>5508</v>
      </c>
      <c r="AA3157" s="3">
        <v>0.24600550532341001</v>
      </c>
      <c r="AB3157" t="s">
        <v>18069</v>
      </c>
      <c r="AC3157" t="s">
        <v>4575</v>
      </c>
      <c r="AD3157" t="s">
        <v>18070</v>
      </c>
      <c r="AE3157" t="s">
        <v>4655</v>
      </c>
      <c r="AF3157" t="s">
        <v>18071</v>
      </c>
      <c r="AG3157" t="s">
        <v>1542</v>
      </c>
      <c r="AH3157">
        <v>21012</v>
      </c>
      <c r="AI3157" t="s">
        <v>18072</v>
      </c>
      <c r="AJ3157" t="s">
        <v>4655</v>
      </c>
      <c r="AK3157" t="s">
        <v>18075</v>
      </c>
      <c r="AL3157" s="13" t="s">
        <v>3428</v>
      </c>
      <c r="AM3157" s="14">
        <v>0</v>
      </c>
      <c r="AN3157" s="15" t="s">
        <v>1543</v>
      </c>
    </row>
    <row r="3158" spans="1:40" x14ac:dyDescent="0.3">
      <c r="A3158" s="10" t="str">
        <f>HYPERLINK("http://www.washoecounty.gov/assessor/cama/?parid=048-100-07&amp;CardNumber=1","048-100-07")</f>
        <v>048-100-07</v>
      </c>
      <c r="B3158" t="s">
        <v>4655</v>
      </c>
      <c r="C3158" t="s">
        <v>18076</v>
      </c>
      <c r="D3158" s="1">
        <v>40197</v>
      </c>
      <c r="E3158" s="2">
        <v>255000</v>
      </c>
      <c r="F3158" t="s">
        <v>4567</v>
      </c>
      <c r="G3158" s="17" t="str">
        <f>HYPERLINK("https://www.washoecounty.gov/assessor/cama/?command=sales&amp;parid=04810007","3840628")</f>
        <v>3840628</v>
      </c>
      <c r="H3158" t="s">
        <v>1994</v>
      </c>
      <c r="I3158">
        <v>1965</v>
      </c>
      <c r="J3158">
        <v>1973</v>
      </c>
      <c r="K3158" t="s">
        <v>4554</v>
      </c>
      <c r="L3158" t="s">
        <v>3886</v>
      </c>
      <c r="M3158" s="2">
        <v>1376</v>
      </c>
      <c r="N3158" t="s">
        <v>4048</v>
      </c>
      <c r="O3158">
        <v>2</v>
      </c>
      <c r="P3158">
        <v>2</v>
      </c>
      <c r="Q3158">
        <v>0</v>
      </c>
      <c r="R3158" t="s">
        <v>4557</v>
      </c>
      <c r="S3158" t="s">
        <v>3148</v>
      </c>
      <c r="T3158" t="s">
        <v>3888</v>
      </c>
      <c r="U3158" t="s">
        <v>4655</v>
      </c>
      <c r="V3158" s="2">
        <v>0</v>
      </c>
      <c r="W3158" t="s">
        <v>3201</v>
      </c>
      <c r="X3158" s="2">
        <v>312</v>
      </c>
      <c r="Y3158">
        <v>20</v>
      </c>
      <c r="Z3158" t="s">
        <v>5508</v>
      </c>
      <c r="AA3158" s="3">
        <v>0.301010102033615</v>
      </c>
      <c r="AB3158" t="s">
        <v>18077</v>
      </c>
      <c r="AC3158" t="s">
        <v>4562</v>
      </c>
      <c r="AD3158" t="s">
        <v>18076</v>
      </c>
      <c r="AE3158" t="s">
        <v>4655</v>
      </c>
      <c r="AF3158" t="s">
        <v>4563</v>
      </c>
      <c r="AG3158" t="s">
        <v>4564</v>
      </c>
      <c r="AH3158">
        <v>89511</v>
      </c>
      <c r="AI3158" t="s">
        <v>18072</v>
      </c>
      <c r="AJ3158" t="s">
        <v>4655</v>
      </c>
      <c r="AK3158" t="s">
        <v>18078</v>
      </c>
      <c r="AL3158" s="13" t="s">
        <v>3428</v>
      </c>
      <c r="AM3158">
        <v>1</v>
      </c>
      <c r="AN3158" s="15" t="s">
        <v>1543</v>
      </c>
    </row>
    <row r="3159" spans="1:40" x14ac:dyDescent="0.3">
      <c r="A3159" s="10" t="str">
        <f>HYPERLINK("http://www.washoecounty.gov/assessor/cama/?parid=049-090-23&amp;CardNumber=1","049-090-23")</f>
        <v>049-090-23</v>
      </c>
      <c r="B3159" t="s">
        <v>4655</v>
      </c>
      <c r="C3159" t="s">
        <v>18079</v>
      </c>
      <c r="D3159" s="1">
        <v>40366</v>
      </c>
      <c r="E3159" s="2">
        <v>440000</v>
      </c>
      <c r="F3159" t="s">
        <v>4567</v>
      </c>
      <c r="G3159" s="17" t="str">
        <f>HYPERLINK("https://www.washoecounty.gov/assessor/cama/?command=sales&amp;parid=04909023","3899015")</f>
        <v>3899015</v>
      </c>
      <c r="H3159" t="s">
        <v>18080</v>
      </c>
      <c r="I3159">
        <v>1993</v>
      </c>
      <c r="J3159">
        <v>1994</v>
      </c>
      <c r="K3159" t="s">
        <v>4554</v>
      </c>
      <c r="L3159" t="s">
        <v>2170</v>
      </c>
      <c r="M3159" s="2">
        <v>1888</v>
      </c>
      <c r="N3159" t="s">
        <v>3887</v>
      </c>
      <c r="O3159">
        <v>4</v>
      </c>
      <c r="P3159">
        <v>3</v>
      </c>
      <c r="Q3159">
        <v>1</v>
      </c>
      <c r="R3159" t="s">
        <v>4557</v>
      </c>
      <c r="S3159" t="s">
        <v>4135</v>
      </c>
      <c r="T3159" t="s">
        <v>4559</v>
      </c>
      <c r="U3159" t="s">
        <v>5631</v>
      </c>
      <c r="V3159" s="2">
        <v>816</v>
      </c>
      <c r="W3159" t="s">
        <v>3201</v>
      </c>
      <c r="X3159" s="2">
        <v>1072</v>
      </c>
      <c r="Y3159">
        <v>20</v>
      </c>
      <c r="Z3159" t="s">
        <v>3884</v>
      </c>
      <c r="AA3159" s="3">
        <v>2.5</v>
      </c>
      <c r="AB3159" t="s">
        <v>18081</v>
      </c>
      <c r="AC3159" t="s">
        <v>4562</v>
      </c>
      <c r="AD3159" t="s">
        <v>18082</v>
      </c>
      <c r="AE3159" t="s">
        <v>4655</v>
      </c>
      <c r="AF3159" t="s">
        <v>4563</v>
      </c>
      <c r="AG3159" t="s">
        <v>4564</v>
      </c>
      <c r="AH3159">
        <v>89509</v>
      </c>
      <c r="AI3159" t="s">
        <v>18081</v>
      </c>
      <c r="AJ3159" t="s">
        <v>4655</v>
      </c>
      <c r="AK3159" t="s">
        <v>18083</v>
      </c>
      <c r="AL3159" s="13" t="s">
        <v>3428</v>
      </c>
      <c r="AM3159">
        <v>1</v>
      </c>
      <c r="AN3159" s="15" t="s">
        <v>562</v>
      </c>
    </row>
    <row r="3160" spans="1:40" x14ac:dyDescent="0.3">
      <c r="A3160" s="10" t="str">
        <f>HYPERLINK("http://www.washoecounty.gov/assessor/cama/?parid=049-162-10&amp;CardNumber=1","049-162-10")</f>
        <v>049-162-10</v>
      </c>
      <c r="B3160" t="s">
        <v>4655</v>
      </c>
      <c r="C3160" t="s">
        <v>18084</v>
      </c>
      <c r="D3160" s="1">
        <v>40515</v>
      </c>
      <c r="E3160" s="2">
        <v>258000</v>
      </c>
      <c r="F3160" t="s">
        <v>4567</v>
      </c>
      <c r="G3160" s="17" t="str">
        <f>HYPERLINK("https://www.washoecounty.gov/assessor/cama/?command=sales&amp;parid=04916210","3949189")</f>
        <v>3949189</v>
      </c>
      <c r="H3160" t="s">
        <v>18085</v>
      </c>
      <c r="I3160">
        <v>1986</v>
      </c>
      <c r="J3160">
        <v>1986</v>
      </c>
      <c r="K3160" t="s">
        <v>4554</v>
      </c>
      <c r="L3160" t="s">
        <v>4555</v>
      </c>
      <c r="M3160" s="2">
        <v>1691</v>
      </c>
      <c r="N3160" t="s">
        <v>5280</v>
      </c>
      <c r="O3160">
        <v>3</v>
      </c>
      <c r="P3160">
        <v>2</v>
      </c>
      <c r="Q3160">
        <v>0</v>
      </c>
      <c r="R3160" t="s">
        <v>4557</v>
      </c>
      <c r="S3160" t="s">
        <v>3148</v>
      </c>
      <c r="T3160" t="s">
        <v>2704</v>
      </c>
      <c r="U3160" t="s">
        <v>4560</v>
      </c>
      <c r="V3160" s="2">
        <v>550</v>
      </c>
      <c r="W3160" t="s">
        <v>4655</v>
      </c>
      <c r="X3160" s="2">
        <v>0</v>
      </c>
      <c r="Y3160">
        <v>20</v>
      </c>
      <c r="Z3160" t="s">
        <v>3884</v>
      </c>
      <c r="AA3160" s="3">
        <v>0.55101007223129195</v>
      </c>
      <c r="AB3160" t="s">
        <v>18086</v>
      </c>
      <c r="AC3160" t="s">
        <v>4575</v>
      </c>
      <c r="AD3160" t="s">
        <v>18084</v>
      </c>
      <c r="AE3160" t="s">
        <v>4655</v>
      </c>
      <c r="AF3160" t="s">
        <v>4563</v>
      </c>
      <c r="AG3160" t="s">
        <v>4564</v>
      </c>
      <c r="AH3160">
        <v>89511</v>
      </c>
      <c r="AI3160" t="s">
        <v>18087</v>
      </c>
      <c r="AJ3160" t="s">
        <v>4655</v>
      </c>
      <c r="AK3160" t="s">
        <v>18088</v>
      </c>
      <c r="AL3160" s="13" t="s">
        <v>1889</v>
      </c>
      <c r="AM3160">
        <v>1</v>
      </c>
      <c r="AN3160" s="15" t="s">
        <v>1290</v>
      </c>
    </row>
    <row r="3161" spans="1:40" x14ac:dyDescent="0.3">
      <c r="A3161" s="10" t="str">
        <f>HYPERLINK("http://www.washoecounty.gov/assessor/cama/?parid=049-163-12&amp;CardNumber=1","049-163-12")</f>
        <v>049-163-12</v>
      </c>
      <c r="B3161" t="s">
        <v>4655</v>
      </c>
      <c r="C3161" t="s">
        <v>18089</v>
      </c>
      <c r="D3161" s="1">
        <v>40410</v>
      </c>
      <c r="E3161" s="2">
        <v>260000</v>
      </c>
      <c r="F3161" t="s">
        <v>4567</v>
      </c>
      <c r="G3161" s="17" t="str">
        <f>HYPERLINK("https://www.washoecounty.gov/assessor/cama/?command=sales&amp;parid=04916312","3914330")</f>
        <v>3914330</v>
      </c>
      <c r="H3161" t="s">
        <v>1320</v>
      </c>
      <c r="I3161">
        <v>1986</v>
      </c>
      <c r="J3161">
        <v>1986</v>
      </c>
      <c r="K3161" t="s">
        <v>4554</v>
      </c>
      <c r="L3161" t="s">
        <v>4555</v>
      </c>
      <c r="M3161" s="2">
        <v>1691</v>
      </c>
      <c r="N3161" t="s">
        <v>5280</v>
      </c>
      <c r="O3161">
        <v>3</v>
      </c>
      <c r="P3161">
        <v>2</v>
      </c>
      <c r="Q3161">
        <v>0</v>
      </c>
      <c r="R3161" t="s">
        <v>5281</v>
      </c>
      <c r="S3161" t="s">
        <v>4558</v>
      </c>
      <c r="T3161" t="s">
        <v>2704</v>
      </c>
      <c r="U3161" t="s">
        <v>4560</v>
      </c>
      <c r="V3161" s="2">
        <v>528</v>
      </c>
      <c r="W3161" t="s">
        <v>4655</v>
      </c>
      <c r="X3161" s="2">
        <v>0</v>
      </c>
      <c r="Y3161">
        <v>20</v>
      </c>
      <c r="Z3161" t="s">
        <v>3884</v>
      </c>
      <c r="AA3161" s="3">
        <v>0.50599175691604603</v>
      </c>
      <c r="AB3161" t="s">
        <v>18090</v>
      </c>
      <c r="AC3161" t="s">
        <v>4562</v>
      </c>
      <c r="AD3161" t="s">
        <v>18091</v>
      </c>
      <c r="AE3161" t="s">
        <v>4655</v>
      </c>
      <c r="AF3161" t="s">
        <v>18092</v>
      </c>
      <c r="AG3161" t="s">
        <v>4584</v>
      </c>
      <c r="AH3161" t="s">
        <v>12985</v>
      </c>
      <c r="AI3161" t="s">
        <v>18093</v>
      </c>
      <c r="AJ3161" t="s">
        <v>4655</v>
      </c>
      <c r="AK3161" t="s">
        <v>18094</v>
      </c>
      <c r="AL3161" s="13" t="s">
        <v>1889</v>
      </c>
      <c r="AM3161" s="14">
        <v>1</v>
      </c>
      <c r="AN3161" s="15" t="s">
        <v>1290</v>
      </c>
    </row>
    <row r="3162" spans="1:40" x14ac:dyDescent="0.3">
      <c r="A3162" s="10" t="str">
        <f>HYPERLINK("http://www.washoecounty.gov/assessor/cama/?parid=049-221-16&amp;CardNumber=1","049-221-16")</f>
        <v>049-221-16</v>
      </c>
      <c r="B3162" t="s">
        <v>4655</v>
      </c>
      <c r="C3162" t="s">
        <v>18095</v>
      </c>
      <c r="D3162" s="1">
        <v>40444</v>
      </c>
      <c r="E3162" s="2">
        <v>65000</v>
      </c>
      <c r="F3162" t="s">
        <v>3528</v>
      </c>
      <c r="G3162" s="17" t="str">
        <f>HYPERLINK("https://www.washoecounty.gov/assessor/cama/?command=sales&amp;parid=04922116","3925538")</f>
        <v>3925538</v>
      </c>
      <c r="H3162" t="s">
        <v>18096</v>
      </c>
      <c r="I3162">
        <v>0</v>
      </c>
      <c r="J3162">
        <v>0</v>
      </c>
      <c r="K3162" t="s">
        <v>4655</v>
      </c>
      <c r="L3162" t="s">
        <v>4655</v>
      </c>
      <c r="M3162" s="2">
        <v>0</v>
      </c>
      <c r="N3162" t="s">
        <v>4655</v>
      </c>
      <c r="O3162">
        <v>0</v>
      </c>
      <c r="P3162">
        <v>0</v>
      </c>
      <c r="Q3162">
        <v>0</v>
      </c>
      <c r="R3162" t="s">
        <v>4655</v>
      </c>
      <c r="S3162" t="s">
        <v>4655</v>
      </c>
      <c r="T3162" t="s">
        <v>4655</v>
      </c>
      <c r="U3162" t="s">
        <v>4655</v>
      </c>
      <c r="V3162" s="2">
        <v>0</v>
      </c>
      <c r="W3162" t="s">
        <v>4655</v>
      </c>
      <c r="X3162" s="2">
        <v>0</v>
      </c>
      <c r="Y3162">
        <v>12</v>
      </c>
      <c r="Z3162" t="s">
        <v>3884</v>
      </c>
      <c r="AA3162" s="3">
        <v>1.00934338569641</v>
      </c>
      <c r="AB3162" t="s">
        <v>18097</v>
      </c>
      <c r="AC3162" t="s">
        <v>4562</v>
      </c>
      <c r="AD3162" t="s">
        <v>18098</v>
      </c>
      <c r="AE3162" t="s">
        <v>4655</v>
      </c>
      <c r="AF3162" t="s">
        <v>18099</v>
      </c>
      <c r="AG3162" t="s">
        <v>18100</v>
      </c>
      <c r="AH3162">
        <v>40160</v>
      </c>
      <c r="AI3162" t="s">
        <v>4655</v>
      </c>
      <c r="AJ3162" t="s">
        <v>18101</v>
      </c>
      <c r="AK3162" t="s">
        <v>18102</v>
      </c>
      <c r="AL3162" s="13" t="s">
        <v>1894</v>
      </c>
      <c r="AM3162" s="14">
        <v>0</v>
      </c>
      <c r="AN3162" s="15" t="s">
        <v>2480</v>
      </c>
    </row>
    <row r="3163" spans="1:40" x14ac:dyDescent="0.3">
      <c r="A3163" s="10" t="str">
        <f>HYPERLINK("http://www.washoecounty.gov/assessor/cama/?parid=049-221-22&amp;CardNumber=1","049-221-22")</f>
        <v>049-221-22</v>
      </c>
      <c r="B3163" t="s">
        <v>4655</v>
      </c>
      <c r="C3163" t="s">
        <v>18103</v>
      </c>
      <c r="D3163" s="1">
        <v>40450</v>
      </c>
      <c r="E3163" s="2">
        <v>65000</v>
      </c>
      <c r="F3163" t="s">
        <v>3259</v>
      </c>
      <c r="G3163" s="17" t="str">
        <f>HYPERLINK("https://www.washoecounty.gov/assessor/cama/?command=sales&amp;parid=04922122","3927665")</f>
        <v>3927665</v>
      </c>
      <c r="H3163" t="s">
        <v>18104</v>
      </c>
      <c r="I3163">
        <v>0</v>
      </c>
      <c r="J3163">
        <v>0</v>
      </c>
      <c r="K3163" t="s">
        <v>4655</v>
      </c>
      <c r="L3163" t="s">
        <v>4655</v>
      </c>
      <c r="M3163" s="2">
        <v>0</v>
      </c>
      <c r="N3163" t="s">
        <v>4655</v>
      </c>
      <c r="O3163">
        <v>0</v>
      </c>
      <c r="P3163">
        <v>0</v>
      </c>
      <c r="Q3163">
        <v>0</v>
      </c>
      <c r="R3163" t="s">
        <v>4655</v>
      </c>
      <c r="S3163" t="s">
        <v>4655</v>
      </c>
      <c r="T3163" t="s">
        <v>4655</v>
      </c>
      <c r="U3163" t="s">
        <v>4655</v>
      </c>
      <c r="V3163" s="2">
        <v>0</v>
      </c>
      <c r="W3163" t="s">
        <v>4655</v>
      </c>
      <c r="X3163" s="2">
        <v>0</v>
      </c>
      <c r="Y3163">
        <v>12</v>
      </c>
      <c r="Z3163" t="s">
        <v>3884</v>
      </c>
      <c r="AA3163" s="3">
        <v>0.93955463171005205</v>
      </c>
      <c r="AB3163" t="s">
        <v>18105</v>
      </c>
      <c r="AC3163" t="s">
        <v>4575</v>
      </c>
      <c r="AD3163" t="s">
        <v>18106</v>
      </c>
      <c r="AE3163" t="s">
        <v>18107</v>
      </c>
      <c r="AF3163" t="s">
        <v>4563</v>
      </c>
      <c r="AG3163" t="s">
        <v>4564</v>
      </c>
      <c r="AH3163" t="s">
        <v>5197</v>
      </c>
      <c r="AI3163" t="s">
        <v>4655</v>
      </c>
      <c r="AJ3163" t="s">
        <v>18108</v>
      </c>
      <c r="AK3163" t="s">
        <v>18109</v>
      </c>
      <c r="AL3163" s="13" t="s">
        <v>1894</v>
      </c>
      <c r="AM3163" s="14">
        <v>0</v>
      </c>
      <c r="AN3163" s="15" t="s">
        <v>2480</v>
      </c>
    </row>
    <row r="3164" spans="1:40" x14ac:dyDescent="0.3">
      <c r="A3164" s="10" t="str">
        <f>HYPERLINK("http://www.washoecounty.gov/assessor/cama/?parid=049-222-03&amp;CardNumber=1","049-222-03")</f>
        <v>049-222-03</v>
      </c>
      <c r="B3164" t="s">
        <v>4655</v>
      </c>
      <c r="C3164" t="s">
        <v>18110</v>
      </c>
      <c r="D3164" s="1">
        <v>40416</v>
      </c>
      <c r="E3164" s="2">
        <v>380000</v>
      </c>
      <c r="F3164" t="s">
        <v>4567</v>
      </c>
      <c r="G3164" s="17" t="str">
        <f>HYPERLINK("https://www.washoecounty.gov/assessor/cama/?command=sales&amp;parid=04922203","3915790")</f>
        <v>3915790</v>
      </c>
      <c r="H3164" t="s">
        <v>18111</v>
      </c>
      <c r="I3164">
        <v>1990</v>
      </c>
      <c r="J3164">
        <v>1990</v>
      </c>
      <c r="K3164" t="s">
        <v>4554</v>
      </c>
      <c r="L3164" t="s">
        <v>4555</v>
      </c>
      <c r="M3164" s="2">
        <v>2279</v>
      </c>
      <c r="N3164" t="s">
        <v>3887</v>
      </c>
      <c r="O3164">
        <v>3</v>
      </c>
      <c r="P3164">
        <v>2</v>
      </c>
      <c r="Q3164">
        <v>1</v>
      </c>
      <c r="R3164" t="s">
        <v>4557</v>
      </c>
      <c r="S3164" t="s">
        <v>4135</v>
      </c>
      <c r="T3164" t="s">
        <v>4559</v>
      </c>
      <c r="U3164" t="s">
        <v>4560</v>
      </c>
      <c r="V3164" s="2">
        <v>759</v>
      </c>
      <c r="W3164" t="s">
        <v>3149</v>
      </c>
      <c r="X3164" s="2">
        <v>1140</v>
      </c>
      <c r="Y3164">
        <v>20</v>
      </c>
      <c r="Z3164" t="s">
        <v>3884</v>
      </c>
      <c r="AA3164" s="3">
        <v>1.24400830268859</v>
      </c>
      <c r="AB3164" t="s">
        <v>18112</v>
      </c>
      <c r="AC3164" t="s">
        <v>4575</v>
      </c>
      <c r="AD3164" t="s">
        <v>18110</v>
      </c>
      <c r="AE3164" t="s">
        <v>4655</v>
      </c>
      <c r="AF3164" t="s">
        <v>4563</v>
      </c>
      <c r="AG3164" t="s">
        <v>4564</v>
      </c>
      <c r="AH3164">
        <v>89511</v>
      </c>
      <c r="AI3164" t="s">
        <v>18113</v>
      </c>
      <c r="AJ3164" t="s">
        <v>4655</v>
      </c>
      <c r="AK3164" t="s">
        <v>18114</v>
      </c>
      <c r="AL3164" s="13" t="s">
        <v>1894</v>
      </c>
      <c r="AM3164" s="14">
        <v>1</v>
      </c>
      <c r="AN3164" s="15" t="s">
        <v>2480</v>
      </c>
    </row>
    <row r="3165" spans="1:40" x14ac:dyDescent="0.3">
      <c r="A3165" s="10" t="str">
        <f>HYPERLINK("http://www.washoecounty.gov/assessor/cama/?parid=049-263-07&amp;CardNumber=1","049-263-07")</f>
        <v>049-263-07</v>
      </c>
      <c r="B3165" t="s">
        <v>4655</v>
      </c>
      <c r="C3165" t="s">
        <v>18115</v>
      </c>
      <c r="D3165" s="1">
        <v>40297</v>
      </c>
      <c r="E3165" s="2">
        <v>455000</v>
      </c>
      <c r="F3165" t="s">
        <v>4567</v>
      </c>
      <c r="G3165" s="17" t="str">
        <f>HYPERLINK("https://www.washoecounty.gov/assessor/cama/?command=sales&amp;parid=04926307","3875942")</f>
        <v>3875942</v>
      </c>
      <c r="H3165" t="s">
        <v>2026</v>
      </c>
      <c r="I3165">
        <v>1995</v>
      </c>
      <c r="J3165">
        <v>1995</v>
      </c>
      <c r="K3165" t="s">
        <v>4554</v>
      </c>
      <c r="L3165" t="s">
        <v>4555</v>
      </c>
      <c r="M3165" s="2">
        <v>3026</v>
      </c>
      <c r="N3165" t="s">
        <v>5106</v>
      </c>
      <c r="O3165">
        <v>3</v>
      </c>
      <c r="P3165">
        <v>3</v>
      </c>
      <c r="Q3165">
        <v>0</v>
      </c>
      <c r="R3165" t="s">
        <v>4557</v>
      </c>
      <c r="S3165" t="s">
        <v>4898</v>
      </c>
      <c r="T3165" t="s">
        <v>2704</v>
      </c>
      <c r="U3165" t="s">
        <v>4560</v>
      </c>
      <c r="V3165" s="2">
        <v>870</v>
      </c>
      <c r="W3165" t="s">
        <v>4655</v>
      </c>
      <c r="X3165" s="2">
        <v>0</v>
      </c>
      <c r="Y3165">
        <v>20</v>
      </c>
      <c r="Z3165" t="s">
        <v>3884</v>
      </c>
      <c r="AA3165" s="3">
        <v>0.55500459671020497</v>
      </c>
      <c r="AB3165" t="s">
        <v>18116</v>
      </c>
      <c r="AC3165" t="s">
        <v>4562</v>
      </c>
      <c r="AD3165" t="s">
        <v>18117</v>
      </c>
      <c r="AE3165" t="s">
        <v>4655</v>
      </c>
      <c r="AF3165" t="s">
        <v>4563</v>
      </c>
      <c r="AG3165" t="s">
        <v>4564</v>
      </c>
      <c r="AH3165">
        <v>89511</v>
      </c>
      <c r="AI3165" t="s">
        <v>18118</v>
      </c>
      <c r="AJ3165" t="s">
        <v>2027</v>
      </c>
      <c r="AK3165" t="s">
        <v>18119</v>
      </c>
      <c r="AL3165" s="13" t="s">
        <v>3424</v>
      </c>
      <c r="AM3165" s="14">
        <v>1</v>
      </c>
      <c r="AN3165" s="15" t="s">
        <v>2028</v>
      </c>
    </row>
    <row r="3166" spans="1:40" x14ac:dyDescent="0.3">
      <c r="A3166" s="10" t="str">
        <f>HYPERLINK("http://www.washoecounty.gov/assessor/cama/?parid=049-271-06&amp;CardNumber=1","049-271-06")</f>
        <v>049-271-06</v>
      </c>
      <c r="B3166" t="s">
        <v>4655</v>
      </c>
      <c r="C3166" t="s">
        <v>18120</v>
      </c>
      <c r="D3166" s="1">
        <v>40438</v>
      </c>
      <c r="E3166" s="2">
        <v>502847</v>
      </c>
      <c r="F3166" t="s">
        <v>4553</v>
      </c>
      <c r="G3166" s="17" t="str">
        <f>HYPERLINK("https://www.washoecounty.gov/assessor/cama/?command=sales&amp;parid=04927106","3923535")</f>
        <v>3923535</v>
      </c>
      <c r="H3166" t="s">
        <v>2026</v>
      </c>
      <c r="I3166">
        <v>1997</v>
      </c>
      <c r="J3166">
        <v>1997</v>
      </c>
      <c r="K3166" t="s">
        <v>4554</v>
      </c>
      <c r="L3166" t="s">
        <v>3974</v>
      </c>
      <c r="M3166" s="2">
        <v>2651</v>
      </c>
      <c r="N3166" t="s">
        <v>5106</v>
      </c>
      <c r="O3166">
        <v>4</v>
      </c>
      <c r="P3166">
        <v>3</v>
      </c>
      <c r="Q3166">
        <v>1</v>
      </c>
      <c r="R3166" t="s">
        <v>5281</v>
      </c>
      <c r="S3166" t="s">
        <v>4898</v>
      </c>
      <c r="T3166" t="s">
        <v>2704</v>
      </c>
      <c r="U3166" t="s">
        <v>4560</v>
      </c>
      <c r="V3166" s="2">
        <v>748</v>
      </c>
      <c r="W3166" t="s">
        <v>3201</v>
      </c>
      <c r="X3166" s="2">
        <v>1732</v>
      </c>
      <c r="Y3166">
        <v>20</v>
      </c>
      <c r="Z3166" t="s">
        <v>3884</v>
      </c>
      <c r="AA3166" s="3">
        <v>0.71400368213653498</v>
      </c>
      <c r="AB3166" t="s">
        <v>18121</v>
      </c>
      <c r="AC3166" t="s">
        <v>4562</v>
      </c>
      <c r="AD3166" t="s">
        <v>18120</v>
      </c>
      <c r="AE3166" t="s">
        <v>4655</v>
      </c>
      <c r="AF3166" t="s">
        <v>4563</v>
      </c>
      <c r="AG3166" t="s">
        <v>4564</v>
      </c>
      <c r="AH3166">
        <v>89511</v>
      </c>
      <c r="AI3166" t="s">
        <v>18121</v>
      </c>
      <c r="AJ3166" t="s">
        <v>2027</v>
      </c>
      <c r="AK3166" t="s">
        <v>18122</v>
      </c>
      <c r="AL3166" s="13" t="s">
        <v>3424</v>
      </c>
      <c r="AM3166">
        <v>1</v>
      </c>
      <c r="AN3166" s="15" t="s">
        <v>2028</v>
      </c>
    </row>
    <row r="3167" spans="1:40" x14ac:dyDescent="0.3">
      <c r="A3167" s="10" t="str">
        <f>HYPERLINK("http://www.washoecounty.gov/assessor/cama/?parid=049-272-09&amp;CardNumber=1","049-272-09")</f>
        <v>049-272-09</v>
      </c>
      <c r="B3167" t="s">
        <v>4655</v>
      </c>
      <c r="C3167" t="s">
        <v>18123</v>
      </c>
      <c r="D3167" s="1">
        <v>40233</v>
      </c>
      <c r="E3167" s="2">
        <v>575000</v>
      </c>
      <c r="F3167" t="s">
        <v>4567</v>
      </c>
      <c r="G3167" s="17" t="str">
        <f>HYPERLINK("https://www.washoecounty.gov/assessor/cama/?command=sales&amp;parid=04927209","3852302")</f>
        <v>3852302</v>
      </c>
      <c r="H3167" t="s">
        <v>2026</v>
      </c>
      <c r="I3167">
        <v>1996</v>
      </c>
      <c r="J3167">
        <v>1996</v>
      </c>
      <c r="K3167" t="s">
        <v>4554</v>
      </c>
      <c r="L3167" t="s">
        <v>4555</v>
      </c>
      <c r="M3167" s="2">
        <v>3007</v>
      </c>
      <c r="N3167" t="s">
        <v>5106</v>
      </c>
      <c r="O3167">
        <v>4</v>
      </c>
      <c r="P3167">
        <v>3</v>
      </c>
      <c r="Q3167">
        <v>1</v>
      </c>
      <c r="R3167" t="s">
        <v>4557</v>
      </c>
      <c r="S3167" t="s">
        <v>4135</v>
      </c>
      <c r="T3167" t="s">
        <v>4559</v>
      </c>
      <c r="U3167" t="s">
        <v>4655</v>
      </c>
      <c r="V3167" s="2">
        <v>0</v>
      </c>
      <c r="W3167" t="s">
        <v>4571</v>
      </c>
      <c r="X3167" s="2">
        <v>1510</v>
      </c>
      <c r="Y3167">
        <v>20</v>
      </c>
      <c r="Z3167" t="s">
        <v>3884</v>
      </c>
      <c r="AA3167" s="3">
        <v>0.55000001192092796</v>
      </c>
      <c r="AB3167" t="s">
        <v>18124</v>
      </c>
      <c r="AC3167" t="s">
        <v>4575</v>
      </c>
      <c r="AD3167" t="s">
        <v>18125</v>
      </c>
      <c r="AE3167" t="s">
        <v>18126</v>
      </c>
      <c r="AF3167" t="s">
        <v>4563</v>
      </c>
      <c r="AG3167" t="s">
        <v>4564</v>
      </c>
      <c r="AH3167">
        <v>89511</v>
      </c>
      <c r="AI3167" t="s">
        <v>18127</v>
      </c>
      <c r="AJ3167" t="s">
        <v>2027</v>
      </c>
      <c r="AK3167" t="s">
        <v>18128</v>
      </c>
      <c r="AL3167" s="13" t="s">
        <v>3424</v>
      </c>
      <c r="AM3167">
        <v>1</v>
      </c>
      <c r="AN3167" s="15" t="s">
        <v>2028</v>
      </c>
    </row>
    <row r="3168" spans="1:40" x14ac:dyDescent="0.3">
      <c r="A3168" s="10" t="str">
        <f>HYPERLINK("http://www.washoecounty.gov/assessor/cama/?parid=049-272-15&amp;CardNumber=1","049-272-15")</f>
        <v>049-272-15</v>
      </c>
      <c r="B3168" t="s">
        <v>4655</v>
      </c>
      <c r="C3168" t="s">
        <v>18129</v>
      </c>
      <c r="D3168" s="1">
        <v>40214</v>
      </c>
      <c r="E3168" s="2">
        <v>350000</v>
      </c>
      <c r="F3168" t="s">
        <v>4567</v>
      </c>
      <c r="G3168" s="17" t="str">
        <f>HYPERLINK("https://www.washoecounty.gov/assessor/cama/?command=sales&amp;parid=04927215","3846572")</f>
        <v>3846572</v>
      </c>
      <c r="H3168" t="s">
        <v>2026</v>
      </c>
      <c r="I3168">
        <v>2001</v>
      </c>
      <c r="J3168">
        <v>2001</v>
      </c>
      <c r="K3168" t="s">
        <v>4554</v>
      </c>
      <c r="L3168" t="s">
        <v>4555</v>
      </c>
      <c r="M3168" s="2">
        <v>2637</v>
      </c>
      <c r="N3168" t="s">
        <v>5106</v>
      </c>
      <c r="O3168">
        <v>3</v>
      </c>
      <c r="P3168">
        <v>2</v>
      </c>
      <c r="Q3168">
        <v>1</v>
      </c>
      <c r="R3168" t="s">
        <v>5281</v>
      </c>
      <c r="S3168" t="s">
        <v>4898</v>
      </c>
      <c r="T3168" t="s">
        <v>2704</v>
      </c>
      <c r="U3168" t="s">
        <v>4560</v>
      </c>
      <c r="V3168" s="2">
        <v>970</v>
      </c>
      <c r="W3168" t="s">
        <v>4655</v>
      </c>
      <c r="X3168" s="2">
        <v>0</v>
      </c>
      <c r="Y3168">
        <v>20</v>
      </c>
      <c r="Z3168" t="s">
        <v>3884</v>
      </c>
      <c r="AA3168" s="3">
        <v>0.53700643777847201</v>
      </c>
      <c r="AB3168" t="s">
        <v>17832</v>
      </c>
      <c r="AC3168" t="s">
        <v>4575</v>
      </c>
      <c r="AD3168" t="s">
        <v>18129</v>
      </c>
      <c r="AE3168" t="s">
        <v>4655</v>
      </c>
      <c r="AF3168" t="s">
        <v>4563</v>
      </c>
      <c r="AG3168" t="s">
        <v>4564</v>
      </c>
      <c r="AH3168">
        <v>89511</v>
      </c>
      <c r="AI3168" t="s">
        <v>18130</v>
      </c>
      <c r="AJ3168" t="s">
        <v>2027</v>
      </c>
      <c r="AK3168" t="s">
        <v>18131</v>
      </c>
      <c r="AL3168" s="13" t="s">
        <v>3424</v>
      </c>
      <c r="AM3168" s="14">
        <v>1</v>
      </c>
      <c r="AN3168" s="15" t="s">
        <v>2028</v>
      </c>
    </row>
    <row r="3169" spans="1:40" x14ac:dyDescent="0.3">
      <c r="A3169" s="10" t="str">
        <f>HYPERLINK("http://www.washoecounty.gov/assessor/cama/?parid=049-292-06&amp;CardNumber=1","049-292-06")</f>
        <v>049-292-06</v>
      </c>
      <c r="B3169" t="s">
        <v>4655</v>
      </c>
      <c r="C3169" t="s">
        <v>18132</v>
      </c>
      <c r="D3169" s="1">
        <v>40386</v>
      </c>
      <c r="E3169" s="2">
        <v>385000</v>
      </c>
      <c r="F3169" t="s">
        <v>4567</v>
      </c>
      <c r="G3169" s="17" t="str">
        <f>HYPERLINK("https://www.washoecounty.gov/assessor/cama/?command=sales&amp;parid=04929206","3905516")</f>
        <v>3905516</v>
      </c>
      <c r="H3169" t="s">
        <v>18133</v>
      </c>
      <c r="I3169">
        <v>1995</v>
      </c>
      <c r="J3169">
        <v>1995</v>
      </c>
      <c r="K3169" t="s">
        <v>4554</v>
      </c>
      <c r="L3169" t="s">
        <v>4555</v>
      </c>
      <c r="M3169" s="2">
        <v>2357</v>
      </c>
      <c r="N3169" t="s">
        <v>1245</v>
      </c>
      <c r="O3169">
        <v>4</v>
      </c>
      <c r="P3169">
        <v>2</v>
      </c>
      <c r="Q3169">
        <v>1</v>
      </c>
      <c r="R3169" t="s">
        <v>5281</v>
      </c>
      <c r="S3169" t="s">
        <v>4898</v>
      </c>
      <c r="T3169" t="s">
        <v>2704</v>
      </c>
      <c r="U3169" t="s">
        <v>4560</v>
      </c>
      <c r="V3169" s="2">
        <v>1059</v>
      </c>
      <c r="W3169" t="s">
        <v>4655</v>
      </c>
      <c r="X3169" s="2">
        <v>0</v>
      </c>
      <c r="Y3169">
        <v>20</v>
      </c>
      <c r="Z3169" t="s">
        <v>3884</v>
      </c>
      <c r="AA3169" s="3">
        <v>0.50500458478927601</v>
      </c>
      <c r="AB3169" t="s">
        <v>18134</v>
      </c>
      <c r="AC3169" t="s">
        <v>4562</v>
      </c>
      <c r="AD3169" t="s">
        <v>18132</v>
      </c>
      <c r="AE3169" t="s">
        <v>4655</v>
      </c>
      <c r="AF3169" t="s">
        <v>4563</v>
      </c>
      <c r="AG3169" t="s">
        <v>4564</v>
      </c>
      <c r="AH3169">
        <v>89511</v>
      </c>
      <c r="AI3169" t="s">
        <v>18135</v>
      </c>
      <c r="AJ3169" t="s">
        <v>229</v>
      </c>
      <c r="AK3169" t="s">
        <v>18136</v>
      </c>
      <c r="AL3169" s="13" t="s">
        <v>3424</v>
      </c>
      <c r="AM3169">
        <v>1</v>
      </c>
      <c r="AN3169" s="15" t="s">
        <v>2028</v>
      </c>
    </row>
    <row r="3170" spans="1:40" x14ac:dyDescent="0.3">
      <c r="A3170" s="10" t="str">
        <f>HYPERLINK("http://www.washoecounty.gov/assessor/cama/?parid=049-312-09&amp;CardNumber=1","049-312-09")</f>
        <v>049-312-09</v>
      </c>
      <c r="B3170" t="s">
        <v>4655</v>
      </c>
      <c r="C3170" t="s">
        <v>18137</v>
      </c>
      <c r="D3170" s="1">
        <v>40354</v>
      </c>
      <c r="E3170" s="2">
        <v>542500</v>
      </c>
      <c r="F3170" t="s">
        <v>4553</v>
      </c>
      <c r="G3170" s="17" t="str">
        <f>HYPERLINK("https://www.washoecounty.gov/assessor/cama/?command=sales&amp;parid=04931209","3895438")</f>
        <v>3895438</v>
      </c>
      <c r="H3170" t="s">
        <v>2515</v>
      </c>
      <c r="I3170">
        <v>1995</v>
      </c>
      <c r="J3170">
        <v>1995</v>
      </c>
      <c r="K3170" t="s">
        <v>4554</v>
      </c>
      <c r="L3170" t="s">
        <v>4555</v>
      </c>
      <c r="M3170" s="2">
        <v>3045</v>
      </c>
      <c r="N3170" t="s">
        <v>5106</v>
      </c>
      <c r="O3170">
        <v>3</v>
      </c>
      <c r="P3170">
        <v>3</v>
      </c>
      <c r="Q3170">
        <v>0</v>
      </c>
      <c r="R3170" t="s">
        <v>5281</v>
      </c>
      <c r="S3170" t="s">
        <v>4898</v>
      </c>
      <c r="T3170" t="s">
        <v>2704</v>
      </c>
      <c r="U3170" t="s">
        <v>4560</v>
      </c>
      <c r="V3170" s="2">
        <v>864</v>
      </c>
      <c r="W3170" t="s">
        <v>3201</v>
      </c>
      <c r="X3170" s="2">
        <v>824</v>
      </c>
      <c r="Y3170">
        <v>20</v>
      </c>
      <c r="Z3170" t="s">
        <v>3884</v>
      </c>
      <c r="AA3170" s="3">
        <v>0.51900827884673995</v>
      </c>
      <c r="AB3170" t="s">
        <v>18138</v>
      </c>
      <c r="AC3170" t="s">
        <v>4575</v>
      </c>
      <c r="AD3170" t="s">
        <v>18139</v>
      </c>
      <c r="AE3170" t="s">
        <v>18140</v>
      </c>
      <c r="AF3170" t="s">
        <v>4563</v>
      </c>
      <c r="AG3170" t="s">
        <v>4564</v>
      </c>
      <c r="AH3170">
        <v>89511</v>
      </c>
      <c r="AI3170" t="s">
        <v>4534</v>
      </c>
      <c r="AJ3170" t="s">
        <v>4655</v>
      </c>
      <c r="AK3170" t="s">
        <v>18141</v>
      </c>
      <c r="AL3170" s="13" t="s">
        <v>1894</v>
      </c>
      <c r="AM3170">
        <v>1</v>
      </c>
      <c r="AN3170" s="15" t="s">
        <v>2028</v>
      </c>
    </row>
    <row r="3171" spans="1:40" x14ac:dyDescent="0.3">
      <c r="A3171" s="10" t="str">
        <f>HYPERLINK("http://www.washoecounty.gov/assessor/cama/?parid=049-313-01&amp;CardNumber=1","049-313-01")</f>
        <v>049-313-01</v>
      </c>
      <c r="B3171" t="s">
        <v>4655</v>
      </c>
      <c r="C3171" t="s">
        <v>18142</v>
      </c>
      <c r="D3171" s="1">
        <v>40311</v>
      </c>
      <c r="E3171" s="2">
        <v>399100</v>
      </c>
      <c r="F3171" t="s">
        <v>4567</v>
      </c>
      <c r="G3171" s="17" t="str">
        <f>HYPERLINK("https://www.washoecounty.gov/assessor/cama/?command=sales&amp;parid=04931301","3881075")</f>
        <v>3881075</v>
      </c>
      <c r="H3171" t="s">
        <v>2515</v>
      </c>
      <c r="I3171">
        <v>1992</v>
      </c>
      <c r="J3171">
        <v>1992</v>
      </c>
      <c r="K3171" t="s">
        <v>4554</v>
      </c>
      <c r="L3171" t="s">
        <v>4555</v>
      </c>
      <c r="M3171" s="2">
        <v>2765</v>
      </c>
      <c r="N3171" t="s">
        <v>1245</v>
      </c>
      <c r="O3171">
        <v>3</v>
      </c>
      <c r="P3171">
        <v>2</v>
      </c>
      <c r="Q3171">
        <v>1</v>
      </c>
      <c r="R3171" t="s">
        <v>5281</v>
      </c>
      <c r="S3171" t="s">
        <v>4898</v>
      </c>
      <c r="T3171" t="s">
        <v>2704</v>
      </c>
      <c r="U3171" t="s">
        <v>4560</v>
      </c>
      <c r="V3171" s="2">
        <v>617</v>
      </c>
      <c r="W3171" t="s">
        <v>4655</v>
      </c>
      <c r="X3171" s="2">
        <v>0</v>
      </c>
      <c r="Y3171">
        <v>20</v>
      </c>
      <c r="Z3171" t="s">
        <v>3884</v>
      </c>
      <c r="AA3171" s="3">
        <v>0.53298896551132202</v>
      </c>
      <c r="AB3171" t="s">
        <v>18143</v>
      </c>
      <c r="AC3171" t="s">
        <v>4575</v>
      </c>
      <c r="AD3171" t="s">
        <v>18142</v>
      </c>
      <c r="AE3171" t="s">
        <v>4655</v>
      </c>
      <c r="AF3171" t="s">
        <v>4563</v>
      </c>
      <c r="AG3171" t="s">
        <v>4564</v>
      </c>
      <c r="AH3171">
        <v>89511</v>
      </c>
      <c r="AI3171" t="s">
        <v>18144</v>
      </c>
      <c r="AJ3171" t="s">
        <v>4655</v>
      </c>
      <c r="AK3171" t="s">
        <v>18145</v>
      </c>
      <c r="AL3171" s="13" t="s">
        <v>1894</v>
      </c>
      <c r="AM3171">
        <v>1</v>
      </c>
      <c r="AN3171" s="15" t="s">
        <v>2028</v>
      </c>
    </row>
    <row r="3172" spans="1:40" x14ac:dyDescent="0.3">
      <c r="A3172" s="10" t="str">
        <f>HYPERLINK("http://www.washoecounty.gov/assessor/cama/?parid=049-314-05&amp;CardNumber=1","049-314-05")</f>
        <v>049-314-05</v>
      </c>
      <c r="B3172" t="s">
        <v>4655</v>
      </c>
      <c r="C3172" t="s">
        <v>18146</v>
      </c>
      <c r="D3172" s="1">
        <v>40479</v>
      </c>
      <c r="E3172" s="2">
        <v>365000</v>
      </c>
      <c r="F3172" t="s">
        <v>4567</v>
      </c>
      <c r="G3172" s="17" t="str">
        <f>HYPERLINK("https://www.washoecounty.gov/assessor/cama/?command=sales&amp;parid=04931405","3937790")</f>
        <v>3937790</v>
      </c>
      <c r="H3172" t="s">
        <v>2515</v>
      </c>
      <c r="I3172">
        <v>1991</v>
      </c>
      <c r="J3172">
        <v>1991</v>
      </c>
      <c r="K3172" t="s">
        <v>4554</v>
      </c>
      <c r="L3172" t="s">
        <v>4555</v>
      </c>
      <c r="M3172" s="2">
        <v>2590</v>
      </c>
      <c r="N3172" t="s">
        <v>1245</v>
      </c>
      <c r="O3172">
        <v>3</v>
      </c>
      <c r="P3172">
        <v>2</v>
      </c>
      <c r="Q3172">
        <v>1</v>
      </c>
      <c r="R3172" t="s">
        <v>5281</v>
      </c>
      <c r="S3172" t="s">
        <v>4898</v>
      </c>
      <c r="T3172" t="s">
        <v>2704</v>
      </c>
      <c r="U3172" t="s">
        <v>4560</v>
      </c>
      <c r="V3172" s="2">
        <v>738</v>
      </c>
      <c r="W3172" t="s">
        <v>4655</v>
      </c>
      <c r="X3172" s="2">
        <v>0</v>
      </c>
      <c r="Y3172">
        <v>20</v>
      </c>
      <c r="Z3172" t="s">
        <v>3884</v>
      </c>
      <c r="AA3172" s="3">
        <v>0.51099634170532204</v>
      </c>
      <c r="AB3172" t="s">
        <v>18147</v>
      </c>
      <c r="AC3172" t="s">
        <v>4562</v>
      </c>
      <c r="AD3172" t="s">
        <v>18146</v>
      </c>
      <c r="AE3172" t="s">
        <v>4655</v>
      </c>
      <c r="AF3172" t="s">
        <v>4563</v>
      </c>
      <c r="AG3172" t="s">
        <v>4564</v>
      </c>
      <c r="AH3172">
        <v>89511</v>
      </c>
      <c r="AI3172" t="s">
        <v>18148</v>
      </c>
      <c r="AJ3172" t="s">
        <v>4655</v>
      </c>
      <c r="AK3172" t="s">
        <v>18149</v>
      </c>
      <c r="AL3172" s="13" t="s">
        <v>1894</v>
      </c>
      <c r="AM3172">
        <v>1</v>
      </c>
      <c r="AN3172" s="15" t="s">
        <v>2028</v>
      </c>
    </row>
    <row r="3173" spans="1:40" x14ac:dyDescent="0.3">
      <c r="A3173" s="10" t="str">
        <f>HYPERLINK("http://www.washoecounty.gov/assessor/cama/?parid=049-314-19&amp;CardNumber=1","049-314-19")</f>
        <v>049-314-19</v>
      </c>
      <c r="B3173" t="s">
        <v>4655</v>
      </c>
      <c r="C3173" t="s">
        <v>18150</v>
      </c>
      <c r="D3173" s="1">
        <v>40238</v>
      </c>
      <c r="E3173" s="2">
        <v>467500</v>
      </c>
      <c r="F3173" t="s">
        <v>4567</v>
      </c>
      <c r="G3173" s="17" t="str">
        <f>HYPERLINK("https://www.washoecounty.gov/assessor/cama/?command=sales&amp;parid=04931419","3854008")</f>
        <v>3854008</v>
      </c>
      <c r="H3173" t="s">
        <v>389</v>
      </c>
      <c r="I3173">
        <v>1994</v>
      </c>
      <c r="J3173">
        <v>1994</v>
      </c>
      <c r="K3173" t="s">
        <v>4554</v>
      </c>
      <c r="L3173" t="s">
        <v>4555</v>
      </c>
      <c r="M3173" s="2">
        <v>2456</v>
      </c>
      <c r="N3173" t="s">
        <v>5106</v>
      </c>
      <c r="O3173">
        <v>3</v>
      </c>
      <c r="P3173">
        <v>3</v>
      </c>
      <c r="Q3173">
        <v>1</v>
      </c>
      <c r="R3173" t="s">
        <v>4557</v>
      </c>
      <c r="S3173" t="s">
        <v>390</v>
      </c>
      <c r="T3173" t="s">
        <v>2704</v>
      </c>
      <c r="U3173" t="s">
        <v>4560</v>
      </c>
      <c r="V3173" s="2">
        <v>946</v>
      </c>
      <c r="W3173" t="s">
        <v>3149</v>
      </c>
      <c r="X3173" s="2">
        <v>775</v>
      </c>
      <c r="Y3173">
        <v>20</v>
      </c>
      <c r="Z3173" t="s">
        <v>3884</v>
      </c>
      <c r="AA3173" s="3">
        <v>0.52800732851028398</v>
      </c>
      <c r="AB3173" t="s">
        <v>18151</v>
      </c>
      <c r="AC3173" t="s">
        <v>4575</v>
      </c>
      <c r="AD3173" t="s">
        <v>18150</v>
      </c>
      <c r="AE3173" t="s">
        <v>4655</v>
      </c>
      <c r="AF3173" t="s">
        <v>4563</v>
      </c>
      <c r="AG3173" t="s">
        <v>4564</v>
      </c>
      <c r="AH3173">
        <v>89511</v>
      </c>
      <c r="AI3173" t="s">
        <v>4655</v>
      </c>
      <c r="AJ3173" t="s">
        <v>4655</v>
      </c>
      <c r="AK3173" t="s">
        <v>18152</v>
      </c>
      <c r="AL3173" s="13" t="s">
        <v>1894</v>
      </c>
      <c r="AM3173" s="14">
        <v>1</v>
      </c>
      <c r="AN3173" s="15" t="s">
        <v>2028</v>
      </c>
    </row>
    <row r="3174" spans="1:40" x14ac:dyDescent="0.3">
      <c r="A3174" s="10" t="str">
        <f>HYPERLINK("http://www.washoecounty.gov/assessor/cama/?parid=049-330-07&amp;CardNumber=1","049-330-07")</f>
        <v>049-330-07</v>
      </c>
      <c r="B3174" t="s">
        <v>4655</v>
      </c>
      <c r="C3174" t="s">
        <v>18153</v>
      </c>
      <c r="D3174" s="1">
        <v>40351</v>
      </c>
      <c r="E3174" s="2">
        <v>475000</v>
      </c>
      <c r="F3174" t="s">
        <v>4567</v>
      </c>
      <c r="G3174" s="17" t="str">
        <f>HYPERLINK("https://www.washoecounty.gov/assessor/cama/?command=sales&amp;parid=04933007","3894104")</f>
        <v>3894104</v>
      </c>
      <c r="H3174" t="s">
        <v>215</v>
      </c>
      <c r="I3174">
        <v>1993</v>
      </c>
      <c r="J3174">
        <v>1993</v>
      </c>
      <c r="K3174" t="s">
        <v>4554</v>
      </c>
      <c r="L3174" t="s">
        <v>4555</v>
      </c>
      <c r="M3174" s="2">
        <v>2770</v>
      </c>
      <c r="N3174" t="s">
        <v>1245</v>
      </c>
      <c r="O3174">
        <v>3</v>
      </c>
      <c r="P3174">
        <v>2</v>
      </c>
      <c r="Q3174">
        <v>1</v>
      </c>
      <c r="R3174" t="s">
        <v>5281</v>
      </c>
      <c r="S3174" t="s">
        <v>4898</v>
      </c>
      <c r="T3174" t="s">
        <v>2704</v>
      </c>
      <c r="U3174" t="s">
        <v>4560</v>
      </c>
      <c r="V3174" s="2">
        <v>940</v>
      </c>
      <c r="W3174" t="s">
        <v>4655</v>
      </c>
      <c r="X3174" s="2">
        <v>0</v>
      </c>
      <c r="Y3174">
        <v>20</v>
      </c>
      <c r="Z3174" t="s">
        <v>3884</v>
      </c>
      <c r="AA3174" s="3">
        <v>0.57601010799407903</v>
      </c>
      <c r="AB3174" t="s">
        <v>18154</v>
      </c>
      <c r="AC3174" t="s">
        <v>4562</v>
      </c>
      <c r="AD3174" t="s">
        <v>18155</v>
      </c>
      <c r="AE3174" t="s">
        <v>4655</v>
      </c>
      <c r="AF3174" t="s">
        <v>4563</v>
      </c>
      <c r="AG3174" t="s">
        <v>4564</v>
      </c>
      <c r="AH3174">
        <v>89511</v>
      </c>
      <c r="AI3174" t="s">
        <v>18156</v>
      </c>
      <c r="AJ3174" t="s">
        <v>229</v>
      </c>
      <c r="AK3174" t="s">
        <v>18157</v>
      </c>
      <c r="AL3174" s="13" t="s">
        <v>3424</v>
      </c>
      <c r="AM3174" s="14">
        <v>1</v>
      </c>
      <c r="AN3174" s="15" t="s">
        <v>2028</v>
      </c>
    </row>
    <row r="3175" spans="1:40" x14ac:dyDescent="0.3">
      <c r="A3175" s="10" t="str">
        <f>HYPERLINK("http://www.washoecounty.gov/assessor/cama/?parid=049-344-03&amp;CardNumber=1","049-344-03")</f>
        <v>049-344-03</v>
      </c>
      <c r="B3175" t="s">
        <v>4655</v>
      </c>
      <c r="C3175" t="s">
        <v>18158</v>
      </c>
      <c r="D3175" s="1">
        <v>40527</v>
      </c>
      <c r="E3175" s="2">
        <v>422000</v>
      </c>
      <c r="F3175" t="s">
        <v>4567</v>
      </c>
      <c r="G3175" s="17" t="str">
        <f>HYPERLINK("https://www.washoecounty.gov/assessor/cama/?command=sales&amp;parid=04934403","3953830")</f>
        <v>3953830</v>
      </c>
      <c r="H3175" t="s">
        <v>2136</v>
      </c>
      <c r="I3175">
        <v>1994</v>
      </c>
      <c r="J3175">
        <v>1994</v>
      </c>
      <c r="K3175" t="s">
        <v>4554</v>
      </c>
      <c r="L3175" t="s">
        <v>3974</v>
      </c>
      <c r="M3175" s="2">
        <v>2960</v>
      </c>
      <c r="N3175" t="s">
        <v>1245</v>
      </c>
      <c r="O3175">
        <v>4</v>
      </c>
      <c r="P3175">
        <v>4</v>
      </c>
      <c r="Q3175">
        <v>0</v>
      </c>
      <c r="R3175" t="s">
        <v>5281</v>
      </c>
      <c r="S3175" t="s">
        <v>4898</v>
      </c>
      <c r="T3175" t="s">
        <v>4559</v>
      </c>
      <c r="U3175" t="s">
        <v>5631</v>
      </c>
      <c r="V3175" s="2">
        <v>794</v>
      </c>
      <c r="W3175" t="s">
        <v>4655</v>
      </c>
      <c r="X3175" s="2">
        <v>0</v>
      </c>
      <c r="Y3175">
        <v>20</v>
      </c>
      <c r="Z3175" t="s">
        <v>3884</v>
      </c>
      <c r="AA3175" s="3">
        <v>0.59800273180007901</v>
      </c>
      <c r="AB3175" t="s">
        <v>18159</v>
      </c>
      <c r="AC3175" t="s">
        <v>4562</v>
      </c>
      <c r="AD3175" t="s">
        <v>18160</v>
      </c>
      <c r="AE3175" t="s">
        <v>4655</v>
      </c>
      <c r="AF3175" t="s">
        <v>18161</v>
      </c>
      <c r="AG3175" t="s">
        <v>4584</v>
      </c>
      <c r="AH3175">
        <v>91604</v>
      </c>
      <c r="AI3175" t="s">
        <v>18162</v>
      </c>
      <c r="AJ3175" t="s">
        <v>2510</v>
      </c>
      <c r="AK3175" t="s">
        <v>18163</v>
      </c>
      <c r="AL3175" s="13" t="s">
        <v>1894</v>
      </c>
      <c r="AM3175">
        <v>1</v>
      </c>
      <c r="AN3175" s="15" t="s">
        <v>2028</v>
      </c>
    </row>
    <row r="3176" spans="1:40" x14ac:dyDescent="0.3">
      <c r="A3176" s="10" t="str">
        <f>HYPERLINK("http://www.washoecounty.gov/assessor/cama/?parid=049-351-35&amp;CardNumber=1","049-351-35")</f>
        <v>049-351-35</v>
      </c>
      <c r="B3176" t="s">
        <v>4655</v>
      </c>
      <c r="C3176" t="s">
        <v>18164</v>
      </c>
      <c r="D3176" s="1">
        <v>40235</v>
      </c>
      <c r="E3176" s="2">
        <v>765000</v>
      </c>
      <c r="F3176" t="s">
        <v>4567</v>
      </c>
      <c r="G3176" s="17" t="str">
        <f>HYPERLINK("https://www.washoecounty.gov/assessor/cama/?command=sales&amp;parid=04935135","3853124")</f>
        <v>3853124</v>
      </c>
      <c r="H3176" t="s">
        <v>18165</v>
      </c>
      <c r="I3176">
        <v>2006</v>
      </c>
      <c r="J3176">
        <v>2006</v>
      </c>
      <c r="K3176" t="s">
        <v>4554</v>
      </c>
      <c r="L3176" t="s">
        <v>4555</v>
      </c>
      <c r="M3176" s="2">
        <v>4602</v>
      </c>
      <c r="N3176" t="s">
        <v>2631</v>
      </c>
      <c r="O3176">
        <v>5</v>
      </c>
      <c r="P3176">
        <v>4</v>
      </c>
      <c r="Q3176">
        <v>1</v>
      </c>
      <c r="R3176" t="s">
        <v>2632</v>
      </c>
      <c r="S3176" t="s">
        <v>4397</v>
      </c>
      <c r="T3176" t="s">
        <v>2704</v>
      </c>
      <c r="U3176" t="s">
        <v>4560</v>
      </c>
      <c r="V3176" s="2">
        <v>1008</v>
      </c>
      <c r="W3176" t="s">
        <v>4655</v>
      </c>
      <c r="X3176" s="2">
        <v>0</v>
      </c>
      <c r="Y3176">
        <v>20</v>
      </c>
      <c r="Z3176" t="s">
        <v>3884</v>
      </c>
      <c r="AA3176" s="3">
        <v>1.0054407119750901</v>
      </c>
      <c r="AB3176" t="s">
        <v>18166</v>
      </c>
      <c r="AC3176" t="s">
        <v>4575</v>
      </c>
      <c r="AD3176" t="s">
        <v>18164</v>
      </c>
      <c r="AE3176" t="s">
        <v>4655</v>
      </c>
      <c r="AF3176" t="s">
        <v>4563</v>
      </c>
      <c r="AG3176" t="s">
        <v>4564</v>
      </c>
      <c r="AH3176">
        <v>89511</v>
      </c>
      <c r="AI3176" t="s">
        <v>18167</v>
      </c>
      <c r="AJ3176" t="s">
        <v>18168</v>
      </c>
      <c r="AK3176" t="s">
        <v>18169</v>
      </c>
      <c r="AL3176" s="13" t="s">
        <v>3420</v>
      </c>
      <c r="AM3176">
        <v>1</v>
      </c>
      <c r="AN3176" s="15" t="s">
        <v>600</v>
      </c>
    </row>
    <row r="3177" spans="1:40" x14ac:dyDescent="0.3">
      <c r="A3177" s="10" t="str">
        <f>HYPERLINK("http://www.washoecounty.gov/assessor/cama/?parid=049-353-11&amp;CardNumber=1","049-353-11")</f>
        <v>049-353-11</v>
      </c>
      <c r="B3177" t="s">
        <v>4655</v>
      </c>
      <c r="C3177" t="s">
        <v>18170</v>
      </c>
      <c r="D3177" s="1">
        <v>40512</v>
      </c>
      <c r="E3177" s="2">
        <v>360000</v>
      </c>
      <c r="F3177" t="s">
        <v>4567</v>
      </c>
      <c r="G3177" s="17" t="str">
        <f>HYPERLINK("https://www.washoecounty.gov/assessor/cama/?command=sales&amp;parid=04935311","3947451")</f>
        <v>3947451</v>
      </c>
      <c r="H3177" t="s">
        <v>1430</v>
      </c>
      <c r="I3177">
        <v>1966</v>
      </c>
      <c r="J3177">
        <v>1966</v>
      </c>
      <c r="K3177" t="s">
        <v>4554</v>
      </c>
      <c r="L3177" t="s">
        <v>2170</v>
      </c>
      <c r="M3177" s="2">
        <v>2168</v>
      </c>
      <c r="N3177" t="s">
        <v>5280</v>
      </c>
      <c r="O3177">
        <v>3</v>
      </c>
      <c r="P3177">
        <v>2</v>
      </c>
      <c r="Q3177">
        <v>1</v>
      </c>
      <c r="R3177" t="s">
        <v>4557</v>
      </c>
      <c r="S3177" t="s">
        <v>4558</v>
      </c>
      <c r="T3177" t="s">
        <v>4143</v>
      </c>
      <c r="U3177" t="s">
        <v>5631</v>
      </c>
      <c r="V3177" s="2">
        <v>588</v>
      </c>
      <c r="W3177" t="s">
        <v>3149</v>
      </c>
      <c r="X3177" s="2">
        <v>784</v>
      </c>
      <c r="Y3177">
        <v>20</v>
      </c>
      <c r="Z3177" t="s">
        <v>3884</v>
      </c>
      <c r="AA3177" s="3">
        <v>1</v>
      </c>
      <c r="AB3177" t="s">
        <v>18171</v>
      </c>
      <c r="AC3177" t="s">
        <v>4575</v>
      </c>
      <c r="AD3177" t="s">
        <v>18170</v>
      </c>
      <c r="AE3177" t="s">
        <v>4655</v>
      </c>
      <c r="AF3177" t="s">
        <v>4563</v>
      </c>
      <c r="AG3177" t="s">
        <v>4564</v>
      </c>
      <c r="AH3177">
        <v>89511</v>
      </c>
      <c r="AI3177" t="s">
        <v>18172</v>
      </c>
      <c r="AJ3177" t="s">
        <v>4655</v>
      </c>
      <c r="AK3177" t="s">
        <v>18173</v>
      </c>
      <c r="AL3177" s="13" t="s">
        <v>1889</v>
      </c>
      <c r="AM3177" s="14">
        <v>1</v>
      </c>
      <c r="AN3177" s="15" t="s">
        <v>2811</v>
      </c>
    </row>
    <row r="3178" spans="1:40" x14ac:dyDescent="0.3">
      <c r="A3178" s="10" t="str">
        <f>HYPERLINK("http://www.washoecounty.gov/assessor/cama/?parid=049-354-13&amp;CardNumber=1","049-354-13")</f>
        <v>049-354-13</v>
      </c>
      <c r="B3178" t="s">
        <v>4655</v>
      </c>
      <c r="C3178" t="s">
        <v>1252</v>
      </c>
      <c r="D3178" s="1">
        <v>40359</v>
      </c>
      <c r="E3178" s="2">
        <v>525000</v>
      </c>
      <c r="F3178" t="s">
        <v>4567</v>
      </c>
      <c r="G3178" s="17" t="str">
        <f>HYPERLINK("https://www.washoecounty.gov/assessor/cama/?command=sales&amp;parid=04935413","3897018")</f>
        <v>3897018</v>
      </c>
      <c r="H3178" t="s">
        <v>1253</v>
      </c>
      <c r="I3178">
        <v>1987</v>
      </c>
      <c r="J3178">
        <v>1989</v>
      </c>
      <c r="K3178" t="s">
        <v>4554</v>
      </c>
      <c r="L3178" t="s">
        <v>3974</v>
      </c>
      <c r="M3178" s="2">
        <v>2705</v>
      </c>
      <c r="N3178" t="s">
        <v>3887</v>
      </c>
      <c r="O3178">
        <v>3</v>
      </c>
      <c r="P3178">
        <v>2</v>
      </c>
      <c r="Q3178">
        <v>1</v>
      </c>
      <c r="R3178" t="s">
        <v>5281</v>
      </c>
      <c r="S3178" t="s">
        <v>4135</v>
      </c>
      <c r="T3178" t="s">
        <v>2704</v>
      </c>
      <c r="U3178" t="s">
        <v>4560</v>
      </c>
      <c r="V3178" s="2">
        <v>1132</v>
      </c>
      <c r="W3178" t="s">
        <v>4655</v>
      </c>
      <c r="X3178" s="2">
        <v>0</v>
      </c>
      <c r="Y3178">
        <v>20</v>
      </c>
      <c r="Z3178" t="s">
        <v>3884</v>
      </c>
      <c r="AA3178" s="3">
        <v>1.0219926834106401</v>
      </c>
      <c r="AB3178" t="s">
        <v>18174</v>
      </c>
      <c r="AC3178" t="s">
        <v>4562</v>
      </c>
      <c r="AD3178" t="s">
        <v>18175</v>
      </c>
      <c r="AE3178" t="s">
        <v>4655</v>
      </c>
      <c r="AF3178" t="s">
        <v>4563</v>
      </c>
      <c r="AG3178" t="s">
        <v>4564</v>
      </c>
      <c r="AH3178">
        <v>89511</v>
      </c>
      <c r="AI3178" t="s">
        <v>18176</v>
      </c>
      <c r="AJ3178" t="s">
        <v>4655</v>
      </c>
      <c r="AK3178" t="s">
        <v>18177</v>
      </c>
      <c r="AL3178" s="13" t="s">
        <v>1889</v>
      </c>
      <c r="AM3178">
        <v>1</v>
      </c>
      <c r="AN3178" s="15" t="s">
        <v>2811</v>
      </c>
    </row>
    <row r="3179" spans="1:40" x14ac:dyDescent="0.3">
      <c r="A3179" s="10" t="str">
        <f>HYPERLINK("http://www.washoecounty.gov/assessor/cama/?parid=049-356-10&amp;CardNumber=1","049-356-10")</f>
        <v>049-356-10</v>
      </c>
      <c r="B3179" t="s">
        <v>4655</v>
      </c>
      <c r="C3179" t="s">
        <v>18178</v>
      </c>
      <c r="D3179" s="1">
        <v>40340</v>
      </c>
      <c r="E3179" s="2">
        <v>356250</v>
      </c>
      <c r="F3179" t="s">
        <v>4567</v>
      </c>
      <c r="G3179" s="17" t="str">
        <f>HYPERLINK("https://www.washoecounty.gov/assessor/cama/?command=sales&amp;parid=04935610","3890968")</f>
        <v>3890968</v>
      </c>
      <c r="H3179" t="s">
        <v>18179</v>
      </c>
      <c r="I3179">
        <v>1992</v>
      </c>
      <c r="J3179">
        <v>1992</v>
      </c>
      <c r="K3179" t="s">
        <v>4554</v>
      </c>
      <c r="L3179" t="s">
        <v>4555</v>
      </c>
      <c r="M3179" s="2">
        <v>2669</v>
      </c>
      <c r="N3179" t="s">
        <v>3887</v>
      </c>
      <c r="O3179">
        <v>3</v>
      </c>
      <c r="P3179">
        <v>2</v>
      </c>
      <c r="Q3179">
        <v>1</v>
      </c>
      <c r="R3179" t="s">
        <v>5281</v>
      </c>
      <c r="S3179" t="s">
        <v>4135</v>
      </c>
      <c r="T3179" t="s">
        <v>4559</v>
      </c>
      <c r="U3179" t="s">
        <v>4560</v>
      </c>
      <c r="V3179" s="2">
        <v>576</v>
      </c>
      <c r="W3179" t="s">
        <v>4655</v>
      </c>
      <c r="X3179" s="2">
        <v>0</v>
      </c>
      <c r="Y3179">
        <v>20</v>
      </c>
      <c r="Z3179" t="s">
        <v>3884</v>
      </c>
      <c r="AA3179" s="3">
        <v>1</v>
      </c>
      <c r="AB3179" t="s">
        <v>18180</v>
      </c>
      <c r="AC3179" t="s">
        <v>4562</v>
      </c>
      <c r="AD3179" t="s">
        <v>18181</v>
      </c>
      <c r="AE3179" t="s">
        <v>4655</v>
      </c>
      <c r="AF3179" t="s">
        <v>4563</v>
      </c>
      <c r="AG3179" t="s">
        <v>4564</v>
      </c>
      <c r="AH3179">
        <v>89511</v>
      </c>
      <c r="AI3179" t="s">
        <v>18182</v>
      </c>
      <c r="AJ3179" t="s">
        <v>4655</v>
      </c>
      <c r="AK3179" t="s">
        <v>18183</v>
      </c>
      <c r="AL3179" s="13" t="s">
        <v>3420</v>
      </c>
      <c r="AM3179">
        <v>1</v>
      </c>
      <c r="AN3179" s="15" t="s">
        <v>2811</v>
      </c>
    </row>
    <row r="3180" spans="1:40" x14ac:dyDescent="0.3">
      <c r="A3180" s="10" t="str">
        <f>HYPERLINK("http://www.washoecounty.gov/assessor/cama/?parid=049-422-08&amp;CardNumber=1","049-422-08")</f>
        <v>049-422-08</v>
      </c>
      <c r="B3180" t="s">
        <v>4655</v>
      </c>
      <c r="C3180" t="s">
        <v>18184</v>
      </c>
      <c r="D3180" s="1">
        <v>40385</v>
      </c>
      <c r="E3180" s="2">
        <v>222500</v>
      </c>
      <c r="F3180" t="s">
        <v>4567</v>
      </c>
      <c r="G3180" s="17" t="str">
        <f>HYPERLINK("https://www.washoecounty.gov/assessor/cama/?command=sales&amp;parid=04942208","3905019")</f>
        <v>3905019</v>
      </c>
      <c r="H3180" t="s">
        <v>5540</v>
      </c>
      <c r="I3180">
        <v>1987</v>
      </c>
      <c r="J3180">
        <v>1987</v>
      </c>
      <c r="K3180" t="s">
        <v>4554</v>
      </c>
      <c r="L3180" t="s">
        <v>4555</v>
      </c>
      <c r="M3180" s="2">
        <v>1723</v>
      </c>
      <c r="N3180" t="s">
        <v>5280</v>
      </c>
      <c r="O3180">
        <v>4</v>
      </c>
      <c r="P3180">
        <v>2</v>
      </c>
      <c r="Q3180">
        <v>0</v>
      </c>
      <c r="R3180" t="s">
        <v>4557</v>
      </c>
      <c r="S3180" t="s">
        <v>3148</v>
      </c>
      <c r="T3180" t="s">
        <v>2704</v>
      </c>
      <c r="U3180" t="s">
        <v>4560</v>
      </c>
      <c r="V3180" s="2">
        <v>462</v>
      </c>
      <c r="W3180" t="s">
        <v>4655</v>
      </c>
      <c r="X3180" s="2">
        <v>0</v>
      </c>
      <c r="Y3180">
        <v>20</v>
      </c>
      <c r="Z3180" t="s">
        <v>5508</v>
      </c>
      <c r="AA3180" s="3">
        <v>0.36000919342040999</v>
      </c>
      <c r="AB3180" t="s">
        <v>18185</v>
      </c>
      <c r="AC3180" t="s">
        <v>4562</v>
      </c>
      <c r="AD3180" t="s">
        <v>18184</v>
      </c>
      <c r="AE3180" t="s">
        <v>4655</v>
      </c>
      <c r="AF3180" t="s">
        <v>4563</v>
      </c>
      <c r="AG3180" t="s">
        <v>4564</v>
      </c>
      <c r="AH3180">
        <v>89511</v>
      </c>
      <c r="AI3180" t="s">
        <v>18186</v>
      </c>
      <c r="AJ3180" t="s">
        <v>4655</v>
      </c>
      <c r="AK3180" t="s">
        <v>18187</v>
      </c>
      <c r="AL3180" s="13" t="s">
        <v>1894</v>
      </c>
      <c r="AM3180">
        <v>1</v>
      </c>
      <c r="AN3180" s="15" t="s">
        <v>2031</v>
      </c>
    </row>
    <row r="3181" spans="1:40" x14ac:dyDescent="0.3">
      <c r="A3181" s="10" t="str">
        <f>HYPERLINK("http://www.washoecounty.gov/assessor/cama/?parid=049-422-11&amp;CardNumber=1","049-422-11")</f>
        <v>049-422-11</v>
      </c>
      <c r="B3181" t="s">
        <v>4655</v>
      </c>
      <c r="C3181" t="s">
        <v>18188</v>
      </c>
      <c r="D3181" s="1">
        <v>40294</v>
      </c>
      <c r="E3181" s="2">
        <v>325000</v>
      </c>
      <c r="F3181" t="s">
        <v>4567</v>
      </c>
      <c r="G3181" s="17" t="str">
        <f>HYPERLINK("https://www.washoecounty.gov/assessor/cama/?command=sales&amp;parid=04942211","3874774")</f>
        <v>3874774</v>
      </c>
      <c r="H3181" t="s">
        <v>5540</v>
      </c>
      <c r="I3181">
        <v>1989</v>
      </c>
      <c r="J3181">
        <v>1989</v>
      </c>
      <c r="K3181" t="s">
        <v>4554</v>
      </c>
      <c r="L3181" t="s">
        <v>2170</v>
      </c>
      <c r="M3181" s="2">
        <v>1933</v>
      </c>
      <c r="N3181" t="s">
        <v>3147</v>
      </c>
      <c r="O3181">
        <v>3</v>
      </c>
      <c r="P3181">
        <v>2</v>
      </c>
      <c r="Q3181">
        <v>1</v>
      </c>
      <c r="R3181" t="s">
        <v>4557</v>
      </c>
      <c r="S3181" t="s">
        <v>4135</v>
      </c>
      <c r="T3181" t="s">
        <v>2704</v>
      </c>
      <c r="U3181" t="s">
        <v>4560</v>
      </c>
      <c r="V3181" s="2">
        <v>792</v>
      </c>
      <c r="W3181" t="s">
        <v>4655</v>
      </c>
      <c r="X3181" s="2">
        <v>0</v>
      </c>
      <c r="Y3181">
        <v>20</v>
      </c>
      <c r="Z3181" t="s">
        <v>5508</v>
      </c>
      <c r="AA3181" s="3">
        <v>0.358999073505402</v>
      </c>
      <c r="AB3181" t="s">
        <v>18189</v>
      </c>
      <c r="AC3181" t="s">
        <v>4562</v>
      </c>
      <c r="AD3181" t="s">
        <v>18188</v>
      </c>
      <c r="AE3181" t="s">
        <v>4655</v>
      </c>
      <c r="AF3181" t="s">
        <v>4563</v>
      </c>
      <c r="AG3181" t="s">
        <v>4564</v>
      </c>
      <c r="AH3181">
        <v>89511</v>
      </c>
      <c r="AI3181" t="s">
        <v>18190</v>
      </c>
      <c r="AJ3181" t="s">
        <v>4655</v>
      </c>
      <c r="AK3181" t="s">
        <v>18191</v>
      </c>
      <c r="AL3181" s="13" t="s">
        <v>1894</v>
      </c>
      <c r="AM3181" s="14">
        <v>1</v>
      </c>
      <c r="AN3181" s="15" t="s">
        <v>2031</v>
      </c>
    </row>
    <row r="3182" spans="1:40" x14ac:dyDescent="0.3">
      <c r="A3182" s="10" t="str">
        <f>HYPERLINK("http://www.washoecounty.gov/assessor/cama/?parid=049-423-04&amp;CardNumber=1","049-423-04")</f>
        <v>049-423-04</v>
      </c>
      <c r="B3182" t="s">
        <v>4655</v>
      </c>
      <c r="C3182" t="s">
        <v>18192</v>
      </c>
      <c r="D3182" s="1">
        <v>40470</v>
      </c>
      <c r="E3182" s="2">
        <v>220000</v>
      </c>
      <c r="F3182" t="s">
        <v>4567</v>
      </c>
      <c r="G3182" s="17" t="str">
        <f>HYPERLINK("https://www.washoecounty.gov/assessor/cama/?command=sales&amp;parid=04942304","3934693")</f>
        <v>3934693</v>
      </c>
      <c r="H3182" t="s">
        <v>18193</v>
      </c>
      <c r="I3182">
        <v>1991</v>
      </c>
      <c r="J3182">
        <v>1991</v>
      </c>
      <c r="K3182" t="s">
        <v>4554</v>
      </c>
      <c r="L3182" t="s">
        <v>4555</v>
      </c>
      <c r="M3182" s="2">
        <v>1514</v>
      </c>
      <c r="N3182" t="s">
        <v>5280</v>
      </c>
      <c r="O3182">
        <v>3</v>
      </c>
      <c r="P3182">
        <v>2</v>
      </c>
      <c r="Q3182">
        <v>0</v>
      </c>
      <c r="R3182" t="s">
        <v>4557</v>
      </c>
      <c r="S3182" t="s">
        <v>4135</v>
      </c>
      <c r="T3182" t="s">
        <v>2704</v>
      </c>
      <c r="U3182" t="s">
        <v>4560</v>
      </c>
      <c r="V3182" s="2">
        <v>506</v>
      </c>
      <c r="W3182" t="s">
        <v>4655</v>
      </c>
      <c r="X3182" s="2">
        <v>0</v>
      </c>
      <c r="Y3182">
        <v>20</v>
      </c>
      <c r="Z3182" t="s">
        <v>5508</v>
      </c>
      <c r="AA3182" s="3">
        <v>0.38599634170532199</v>
      </c>
      <c r="AB3182" t="s">
        <v>18194</v>
      </c>
      <c r="AC3182" t="s">
        <v>4575</v>
      </c>
      <c r="AD3182" t="s">
        <v>18192</v>
      </c>
      <c r="AE3182" t="s">
        <v>4655</v>
      </c>
      <c r="AF3182" t="s">
        <v>4563</v>
      </c>
      <c r="AG3182" t="s">
        <v>4564</v>
      </c>
      <c r="AH3182">
        <v>89511</v>
      </c>
      <c r="AI3182" t="s">
        <v>18195</v>
      </c>
      <c r="AJ3182" t="s">
        <v>4655</v>
      </c>
      <c r="AK3182" t="s">
        <v>18196</v>
      </c>
      <c r="AL3182" s="13" t="s">
        <v>1894</v>
      </c>
      <c r="AM3182">
        <v>1</v>
      </c>
      <c r="AN3182" s="15" t="s">
        <v>2031</v>
      </c>
    </row>
    <row r="3183" spans="1:40" x14ac:dyDescent="0.3">
      <c r="A3183" s="10" t="str">
        <f>HYPERLINK("http://www.washoecounty.gov/assessor/cama/?parid=049-431-07&amp;CardNumber=1","049-431-07")</f>
        <v>049-431-07</v>
      </c>
      <c r="B3183" t="s">
        <v>4655</v>
      </c>
      <c r="C3183" t="s">
        <v>18197</v>
      </c>
      <c r="D3183" s="1">
        <v>40269</v>
      </c>
      <c r="E3183" s="2">
        <v>210000</v>
      </c>
      <c r="F3183" t="s">
        <v>4567</v>
      </c>
      <c r="G3183" s="17" t="str">
        <f>HYPERLINK("https://www.washoecounty.gov/assessor/cama/?command=sales&amp;parid=04943107","3866941")</f>
        <v>3866941</v>
      </c>
      <c r="H3183" t="s">
        <v>18198</v>
      </c>
      <c r="I3183">
        <v>1986</v>
      </c>
      <c r="J3183">
        <v>1986</v>
      </c>
      <c r="K3183" t="s">
        <v>4554</v>
      </c>
      <c r="L3183" t="s">
        <v>4555</v>
      </c>
      <c r="M3183" s="2">
        <v>1692</v>
      </c>
      <c r="N3183" t="s">
        <v>5280</v>
      </c>
      <c r="O3183">
        <v>3</v>
      </c>
      <c r="P3183">
        <v>2</v>
      </c>
      <c r="Q3183">
        <v>0</v>
      </c>
      <c r="R3183" t="s">
        <v>4557</v>
      </c>
      <c r="S3183" t="s">
        <v>4558</v>
      </c>
      <c r="T3183" t="s">
        <v>2704</v>
      </c>
      <c r="U3183" t="s">
        <v>4560</v>
      </c>
      <c r="V3183" s="2">
        <v>484</v>
      </c>
      <c r="W3183" t="s">
        <v>4655</v>
      </c>
      <c r="X3183" s="2">
        <v>0</v>
      </c>
      <c r="Y3183">
        <v>20</v>
      </c>
      <c r="Z3183" t="s">
        <v>5508</v>
      </c>
      <c r="AA3183" s="3">
        <v>0.36999541521072399</v>
      </c>
      <c r="AB3183" t="s">
        <v>18199</v>
      </c>
      <c r="AC3183" t="s">
        <v>4562</v>
      </c>
      <c r="AD3183" t="s">
        <v>18200</v>
      </c>
      <c r="AE3183" t="s">
        <v>4655</v>
      </c>
      <c r="AF3183" t="s">
        <v>4563</v>
      </c>
      <c r="AG3183" t="s">
        <v>4564</v>
      </c>
      <c r="AH3183">
        <v>89511</v>
      </c>
      <c r="AI3183" t="s">
        <v>18201</v>
      </c>
      <c r="AJ3183" t="s">
        <v>4655</v>
      </c>
      <c r="AK3183" t="s">
        <v>18202</v>
      </c>
      <c r="AL3183" s="13" t="s">
        <v>1894</v>
      </c>
      <c r="AM3183">
        <v>1</v>
      </c>
      <c r="AN3183" s="15" t="s">
        <v>2031</v>
      </c>
    </row>
    <row r="3184" spans="1:40" x14ac:dyDescent="0.3">
      <c r="A3184" s="10" t="str">
        <f>HYPERLINK("http://www.washoecounty.gov/assessor/cama/?parid=049-502-03&amp;CardNumber=1","049-502-03")</f>
        <v>049-502-03</v>
      </c>
      <c r="B3184" t="s">
        <v>4655</v>
      </c>
      <c r="C3184" t="s">
        <v>18203</v>
      </c>
      <c r="D3184" s="1">
        <v>40373</v>
      </c>
      <c r="E3184" s="2">
        <v>270000</v>
      </c>
      <c r="F3184" t="s">
        <v>4567</v>
      </c>
      <c r="G3184" s="17" t="str">
        <f>HYPERLINK("https://www.washoecounty.gov/assessor/cama/?command=sales&amp;parid=04950203","3901430")</f>
        <v>3901430</v>
      </c>
      <c r="H3184" t="s">
        <v>18204</v>
      </c>
      <c r="I3184">
        <v>1993</v>
      </c>
      <c r="J3184">
        <v>1993</v>
      </c>
      <c r="K3184" t="s">
        <v>4554</v>
      </c>
      <c r="L3184" t="s">
        <v>3974</v>
      </c>
      <c r="M3184" s="2">
        <v>1663</v>
      </c>
      <c r="N3184" t="s">
        <v>3147</v>
      </c>
      <c r="O3184">
        <v>3</v>
      </c>
      <c r="P3184">
        <v>2</v>
      </c>
      <c r="Q3184">
        <v>1</v>
      </c>
      <c r="R3184" t="s">
        <v>5281</v>
      </c>
      <c r="S3184" t="s">
        <v>4558</v>
      </c>
      <c r="T3184" t="s">
        <v>4559</v>
      </c>
      <c r="U3184" t="s">
        <v>162</v>
      </c>
      <c r="V3184" s="2">
        <v>1064</v>
      </c>
      <c r="W3184" t="s">
        <v>4655</v>
      </c>
      <c r="X3184" s="2">
        <v>0</v>
      </c>
      <c r="Y3184">
        <v>20</v>
      </c>
      <c r="Z3184" t="s">
        <v>5508</v>
      </c>
      <c r="AA3184" s="3">
        <v>0.38900366425514199</v>
      </c>
      <c r="AB3184" t="s">
        <v>18205</v>
      </c>
      <c r="AC3184" t="s">
        <v>4562</v>
      </c>
      <c r="AD3184" t="s">
        <v>18206</v>
      </c>
      <c r="AE3184" t="s">
        <v>4655</v>
      </c>
      <c r="AF3184" t="s">
        <v>4563</v>
      </c>
      <c r="AG3184" t="s">
        <v>4564</v>
      </c>
      <c r="AH3184">
        <v>89511</v>
      </c>
      <c r="AI3184" t="s">
        <v>18207</v>
      </c>
      <c r="AJ3184" t="s">
        <v>18208</v>
      </c>
      <c r="AK3184" t="s">
        <v>18209</v>
      </c>
      <c r="AL3184" s="13" t="s">
        <v>1894</v>
      </c>
      <c r="AM3184">
        <v>1</v>
      </c>
      <c r="AN3184" s="15" t="s">
        <v>2031</v>
      </c>
    </row>
    <row r="3185" spans="1:40" x14ac:dyDescent="0.3">
      <c r="A3185" s="10" t="str">
        <f>HYPERLINK("http://www.washoecounty.gov/assessor/cama/?parid=049-503-06&amp;CardNumber=1","049-503-06")</f>
        <v>049-503-06</v>
      </c>
      <c r="B3185" t="s">
        <v>4655</v>
      </c>
      <c r="C3185" t="s">
        <v>18210</v>
      </c>
      <c r="D3185" s="1">
        <v>40261</v>
      </c>
      <c r="E3185" s="2">
        <v>350000</v>
      </c>
      <c r="F3185" t="s">
        <v>4567</v>
      </c>
      <c r="G3185" s="17" t="str">
        <f>HYPERLINK("https://www.washoecounty.gov/assessor/cama/?command=sales&amp;parid=04950306","3863248")</f>
        <v>3863248</v>
      </c>
      <c r="H3185" t="s">
        <v>18211</v>
      </c>
      <c r="I3185">
        <v>1992</v>
      </c>
      <c r="J3185">
        <v>1992</v>
      </c>
      <c r="K3185" t="s">
        <v>4554</v>
      </c>
      <c r="L3185" t="s">
        <v>3974</v>
      </c>
      <c r="M3185" s="2">
        <v>2218</v>
      </c>
      <c r="N3185" t="s">
        <v>3887</v>
      </c>
      <c r="O3185">
        <v>3</v>
      </c>
      <c r="P3185">
        <v>2</v>
      </c>
      <c r="Q3185">
        <v>0</v>
      </c>
      <c r="R3185" t="s">
        <v>4557</v>
      </c>
      <c r="S3185" t="s">
        <v>4135</v>
      </c>
      <c r="T3185" t="s">
        <v>4559</v>
      </c>
      <c r="U3185" t="s">
        <v>4560</v>
      </c>
      <c r="V3185" s="2">
        <v>768</v>
      </c>
      <c r="W3185" t="s">
        <v>4655</v>
      </c>
      <c r="X3185" s="2">
        <v>0</v>
      </c>
      <c r="Y3185">
        <v>20</v>
      </c>
      <c r="Z3185" t="s">
        <v>5508</v>
      </c>
      <c r="AA3185" s="3">
        <v>0.346005499362946</v>
      </c>
      <c r="AB3185" t="s">
        <v>18212</v>
      </c>
      <c r="AC3185" t="s">
        <v>4562</v>
      </c>
      <c r="AD3185" t="s">
        <v>18213</v>
      </c>
      <c r="AE3185" t="s">
        <v>4655</v>
      </c>
      <c r="AF3185" t="s">
        <v>4054</v>
      </c>
      <c r="AG3185" t="s">
        <v>4564</v>
      </c>
      <c r="AH3185" t="s">
        <v>5207</v>
      </c>
      <c r="AI3185" t="s">
        <v>18214</v>
      </c>
      <c r="AJ3185" t="s">
        <v>18208</v>
      </c>
      <c r="AK3185" t="s">
        <v>18215</v>
      </c>
      <c r="AL3185" s="13" t="s">
        <v>1894</v>
      </c>
      <c r="AM3185" s="14">
        <v>1</v>
      </c>
      <c r="AN3185" s="15" t="s">
        <v>2031</v>
      </c>
    </row>
    <row r="3186" spans="1:40" x14ac:dyDescent="0.3">
      <c r="A3186" s="10" t="str">
        <f>HYPERLINK("http://www.washoecounty.gov/assessor/cama/?parid=049-503-07&amp;CardNumber=1","049-503-07")</f>
        <v>049-503-07</v>
      </c>
      <c r="B3186" t="s">
        <v>4655</v>
      </c>
      <c r="C3186" t="s">
        <v>18216</v>
      </c>
      <c r="D3186" s="1">
        <v>40298</v>
      </c>
      <c r="E3186" s="2">
        <v>329500</v>
      </c>
      <c r="F3186" t="s">
        <v>4567</v>
      </c>
      <c r="G3186" s="17" t="str">
        <f>HYPERLINK("https://www.washoecounty.gov/assessor/cama/?command=sales&amp;parid=04950307","3877098")</f>
        <v>3877098</v>
      </c>
      <c r="H3186" t="s">
        <v>18211</v>
      </c>
      <c r="I3186">
        <v>1992</v>
      </c>
      <c r="J3186">
        <v>1992</v>
      </c>
      <c r="K3186" t="s">
        <v>4554</v>
      </c>
      <c r="L3186" t="s">
        <v>4555</v>
      </c>
      <c r="M3186" s="2">
        <v>2156</v>
      </c>
      <c r="N3186" t="s">
        <v>3887</v>
      </c>
      <c r="O3186">
        <v>4</v>
      </c>
      <c r="P3186">
        <v>2</v>
      </c>
      <c r="Q3186">
        <v>1</v>
      </c>
      <c r="R3186" t="s">
        <v>4557</v>
      </c>
      <c r="S3186" t="s">
        <v>4135</v>
      </c>
      <c r="T3186" t="s">
        <v>4559</v>
      </c>
      <c r="U3186" t="s">
        <v>4560</v>
      </c>
      <c r="V3186" s="2">
        <v>600</v>
      </c>
      <c r="W3186" t="s">
        <v>4655</v>
      </c>
      <c r="X3186" s="2">
        <v>0</v>
      </c>
      <c r="Y3186">
        <v>20</v>
      </c>
      <c r="Z3186" t="s">
        <v>5508</v>
      </c>
      <c r="AA3186" s="3">
        <v>0.346005499362946</v>
      </c>
      <c r="AB3186" t="s">
        <v>18217</v>
      </c>
      <c r="AC3186" t="s">
        <v>4562</v>
      </c>
      <c r="AD3186" t="s">
        <v>18218</v>
      </c>
      <c r="AE3186" t="s">
        <v>4655</v>
      </c>
      <c r="AF3186" t="s">
        <v>4563</v>
      </c>
      <c r="AG3186" t="s">
        <v>4564</v>
      </c>
      <c r="AH3186">
        <v>89511</v>
      </c>
      <c r="AI3186" t="s">
        <v>18219</v>
      </c>
      <c r="AJ3186" t="s">
        <v>18208</v>
      </c>
      <c r="AK3186" t="s">
        <v>18220</v>
      </c>
      <c r="AL3186" s="13" t="s">
        <v>1894</v>
      </c>
      <c r="AM3186">
        <v>1</v>
      </c>
      <c r="AN3186" s="15" t="s">
        <v>2031</v>
      </c>
    </row>
    <row r="3187" spans="1:40" x14ac:dyDescent="0.3">
      <c r="A3187" s="10" t="str">
        <f>HYPERLINK("http://www.washoecounty.gov/assessor/cama/?parid=049-511-04&amp;CardNumber=1","049-511-04")</f>
        <v>049-511-04</v>
      </c>
      <c r="B3187" t="s">
        <v>4655</v>
      </c>
      <c r="C3187" t="s">
        <v>18221</v>
      </c>
      <c r="D3187" s="1">
        <v>40487</v>
      </c>
      <c r="E3187" s="2">
        <v>215000</v>
      </c>
      <c r="F3187" t="s">
        <v>4567</v>
      </c>
      <c r="G3187" s="17" t="str">
        <f>HYPERLINK("https://www.washoecounty.gov/assessor/cama/?command=sales&amp;parid=04951104","3940668")</f>
        <v>3940668</v>
      </c>
      <c r="H3187" t="s">
        <v>2029</v>
      </c>
      <c r="I3187">
        <v>1993</v>
      </c>
      <c r="J3187">
        <v>1993</v>
      </c>
      <c r="K3187" t="s">
        <v>4554</v>
      </c>
      <c r="L3187" t="s">
        <v>4555</v>
      </c>
      <c r="M3187" s="2">
        <v>1693</v>
      </c>
      <c r="N3187" t="s">
        <v>3147</v>
      </c>
      <c r="O3187">
        <v>3</v>
      </c>
      <c r="P3187">
        <v>2</v>
      </c>
      <c r="Q3187">
        <v>0</v>
      </c>
      <c r="R3187" t="s">
        <v>5281</v>
      </c>
      <c r="S3187" t="s">
        <v>4558</v>
      </c>
      <c r="T3187" t="s">
        <v>4559</v>
      </c>
      <c r="U3187" t="s">
        <v>4560</v>
      </c>
      <c r="V3187" s="2">
        <v>704</v>
      </c>
      <c r="W3187" t="s">
        <v>4655</v>
      </c>
      <c r="X3187" s="2">
        <v>0</v>
      </c>
      <c r="Y3187">
        <v>20</v>
      </c>
      <c r="Z3187" t="s">
        <v>5508</v>
      </c>
      <c r="AA3187" s="3">
        <v>0.35798898339271545</v>
      </c>
      <c r="AB3187" t="s">
        <v>18222</v>
      </c>
      <c r="AC3187" t="s">
        <v>4575</v>
      </c>
      <c r="AD3187" t="s">
        <v>18221</v>
      </c>
      <c r="AE3187" t="s">
        <v>4655</v>
      </c>
      <c r="AF3187" t="s">
        <v>4563</v>
      </c>
      <c r="AG3187" t="s">
        <v>4564</v>
      </c>
      <c r="AH3187">
        <v>89511</v>
      </c>
      <c r="AI3187" t="s">
        <v>18223</v>
      </c>
      <c r="AJ3187" t="s">
        <v>2030</v>
      </c>
      <c r="AK3187" t="s">
        <v>18224</v>
      </c>
      <c r="AL3187" s="13" t="s">
        <v>1894</v>
      </c>
      <c r="AM3187" s="14">
        <v>1</v>
      </c>
      <c r="AN3187" s="15" t="s">
        <v>2031</v>
      </c>
    </row>
    <row r="3188" spans="1:40" x14ac:dyDescent="0.3">
      <c r="A3188" s="10" t="str">
        <f>HYPERLINK("http://www.washoecounty.gov/assessor/cama/?parid=049-513-07&amp;CardNumber=1","049-513-07")</f>
        <v>049-513-07</v>
      </c>
      <c r="B3188" t="s">
        <v>4655</v>
      </c>
      <c r="C3188" t="s">
        <v>18225</v>
      </c>
      <c r="D3188" s="1">
        <v>40277</v>
      </c>
      <c r="E3188" s="2">
        <v>300000</v>
      </c>
      <c r="F3188" t="s">
        <v>4567</v>
      </c>
      <c r="G3188" s="17" t="str">
        <f>HYPERLINK("https://www.washoecounty.gov/assessor/cama/?command=sales&amp;parid=04951307","3869614")</f>
        <v>3869614</v>
      </c>
      <c r="H3188" t="s">
        <v>2029</v>
      </c>
      <c r="I3188">
        <v>1993</v>
      </c>
      <c r="J3188">
        <v>1993</v>
      </c>
      <c r="K3188" t="s">
        <v>4554</v>
      </c>
      <c r="L3188" t="s">
        <v>2170</v>
      </c>
      <c r="M3188" s="2">
        <v>2538</v>
      </c>
      <c r="N3188" t="s">
        <v>3147</v>
      </c>
      <c r="O3188">
        <v>4</v>
      </c>
      <c r="P3188">
        <v>2</v>
      </c>
      <c r="Q3188">
        <v>1</v>
      </c>
      <c r="R3188" t="s">
        <v>4557</v>
      </c>
      <c r="S3188" t="s">
        <v>4558</v>
      </c>
      <c r="T3188" t="s">
        <v>2704</v>
      </c>
      <c r="U3188" t="s">
        <v>4560</v>
      </c>
      <c r="V3188" s="2">
        <v>609</v>
      </c>
      <c r="W3188" t="s">
        <v>4655</v>
      </c>
      <c r="X3188" s="2">
        <v>0</v>
      </c>
      <c r="Y3188">
        <v>20</v>
      </c>
      <c r="Z3188" t="s">
        <v>5508</v>
      </c>
      <c r="AA3188" s="3">
        <v>0.36701101064682001</v>
      </c>
      <c r="AB3188" t="s">
        <v>18226</v>
      </c>
      <c r="AC3188" t="s">
        <v>4562</v>
      </c>
      <c r="AD3188" t="s">
        <v>18225</v>
      </c>
      <c r="AE3188" t="s">
        <v>4655</v>
      </c>
      <c r="AF3188" t="s">
        <v>4563</v>
      </c>
      <c r="AG3188" t="s">
        <v>4564</v>
      </c>
      <c r="AH3188">
        <v>89511</v>
      </c>
      <c r="AI3188" t="s">
        <v>18227</v>
      </c>
      <c r="AJ3188" t="s">
        <v>18228</v>
      </c>
      <c r="AK3188" t="s">
        <v>18229</v>
      </c>
      <c r="AL3188" s="13" t="s">
        <v>1894</v>
      </c>
      <c r="AM3188">
        <v>1</v>
      </c>
      <c r="AN3188" s="15" t="s">
        <v>2031</v>
      </c>
    </row>
    <row r="3189" spans="1:40" x14ac:dyDescent="0.3">
      <c r="A3189" s="10" t="str">
        <f>HYPERLINK("http://www.washoecounty.gov/assessor/cama/?parid=049-522-05&amp;CardNumber=1","049-522-05")</f>
        <v>049-522-05</v>
      </c>
      <c r="B3189" t="s">
        <v>4655</v>
      </c>
      <c r="C3189" t="s">
        <v>18230</v>
      </c>
      <c r="D3189" s="1">
        <v>40197</v>
      </c>
      <c r="E3189" s="2">
        <v>325000</v>
      </c>
      <c r="F3189" t="s">
        <v>4567</v>
      </c>
      <c r="G3189" s="17" t="str">
        <f>HYPERLINK("https://www.washoecounty.gov/assessor/cama/?command=sales&amp;parid=04952205","3840447")</f>
        <v>3840447</v>
      </c>
      <c r="H3189" t="s">
        <v>2029</v>
      </c>
      <c r="I3189">
        <v>1993</v>
      </c>
      <c r="J3189">
        <v>1993</v>
      </c>
      <c r="K3189" t="s">
        <v>4554</v>
      </c>
      <c r="L3189" t="s">
        <v>4555</v>
      </c>
      <c r="M3189" s="2">
        <v>2204</v>
      </c>
      <c r="N3189" t="s">
        <v>3887</v>
      </c>
      <c r="O3189">
        <v>3</v>
      </c>
      <c r="P3189">
        <v>2</v>
      </c>
      <c r="Q3189">
        <v>1</v>
      </c>
      <c r="R3189" t="s">
        <v>4557</v>
      </c>
      <c r="S3189" t="s">
        <v>4898</v>
      </c>
      <c r="T3189" t="s">
        <v>2704</v>
      </c>
      <c r="U3189" t="s">
        <v>4560</v>
      </c>
      <c r="V3189" s="2">
        <v>920</v>
      </c>
      <c r="W3189" t="s">
        <v>4655</v>
      </c>
      <c r="X3189" s="2">
        <v>0</v>
      </c>
      <c r="Y3189">
        <v>20</v>
      </c>
      <c r="Z3189" t="s">
        <v>5508</v>
      </c>
      <c r="AA3189" s="3">
        <v>0.69699263572692871</v>
      </c>
      <c r="AB3189" t="s">
        <v>18231</v>
      </c>
      <c r="AC3189" t="s">
        <v>4562</v>
      </c>
      <c r="AD3189" t="s">
        <v>18230</v>
      </c>
      <c r="AE3189" t="s">
        <v>4655</v>
      </c>
      <c r="AF3189" t="s">
        <v>4563</v>
      </c>
      <c r="AG3189" t="s">
        <v>4564</v>
      </c>
      <c r="AH3189">
        <v>89511</v>
      </c>
      <c r="AI3189" t="s">
        <v>18232</v>
      </c>
      <c r="AJ3189" t="s">
        <v>2030</v>
      </c>
      <c r="AK3189" t="s">
        <v>18233</v>
      </c>
      <c r="AL3189" s="13" t="s">
        <v>1894</v>
      </c>
      <c r="AM3189" s="14">
        <v>1</v>
      </c>
      <c r="AN3189" s="15" t="s">
        <v>2031</v>
      </c>
    </row>
    <row r="3190" spans="1:40" x14ac:dyDescent="0.3">
      <c r="A3190" s="10" t="str">
        <f>HYPERLINK("http://www.washoecounty.gov/assessor/cama/?parid=049-541-02&amp;CardNumber=1","049-541-02")</f>
        <v>049-541-02</v>
      </c>
      <c r="B3190" t="s">
        <v>4655</v>
      </c>
      <c r="C3190" t="s">
        <v>18234</v>
      </c>
      <c r="D3190" s="1">
        <v>40459</v>
      </c>
      <c r="E3190" s="2">
        <v>430000</v>
      </c>
      <c r="F3190" t="s">
        <v>4567</v>
      </c>
      <c r="G3190" s="17" t="str">
        <f>HYPERLINK("https://www.washoecounty.gov/assessor/cama/?command=sales&amp;parid=04954102","3931078")</f>
        <v>3931078</v>
      </c>
      <c r="H3190" t="s">
        <v>2136</v>
      </c>
      <c r="I3190">
        <v>1995</v>
      </c>
      <c r="J3190">
        <v>1995</v>
      </c>
      <c r="K3190" t="s">
        <v>4554</v>
      </c>
      <c r="L3190" t="s">
        <v>4555</v>
      </c>
      <c r="M3190" s="2">
        <v>3384</v>
      </c>
      <c r="N3190" t="s">
        <v>5106</v>
      </c>
      <c r="O3190">
        <v>4</v>
      </c>
      <c r="P3190">
        <v>3</v>
      </c>
      <c r="Q3190">
        <v>0</v>
      </c>
      <c r="R3190" t="s">
        <v>5281</v>
      </c>
      <c r="S3190" t="s">
        <v>4898</v>
      </c>
      <c r="T3190" t="s">
        <v>2704</v>
      </c>
      <c r="U3190" t="s">
        <v>4560</v>
      </c>
      <c r="V3190" s="2">
        <v>774</v>
      </c>
      <c r="W3190" t="s">
        <v>4655</v>
      </c>
      <c r="X3190" s="2">
        <v>0</v>
      </c>
      <c r="Y3190">
        <v>20</v>
      </c>
      <c r="Z3190" t="s">
        <v>3884</v>
      </c>
      <c r="AA3190" s="3">
        <v>0.60700184106826705</v>
      </c>
      <c r="AB3190" t="s">
        <v>18235</v>
      </c>
      <c r="AC3190" t="s">
        <v>4562</v>
      </c>
      <c r="AD3190" t="s">
        <v>18234</v>
      </c>
      <c r="AE3190" t="s">
        <v>4655</v>
      </c>
      <c r="AF3190" t="s">
        <v>4563</v>
      </c>
      <c r="AG3190" t="s">
        <v>4564</v>
      </c>
      <c r="AH3190">
        <v>89511</v>
      </c>
      <c r="AI3190" t="s">
        <v>4655</v>
      </c>
      <c r="AJ3190" t="s">
        <v>2510</v>
      </c>
      <c r="AK3190" t="s">
        <v>18236</v>
      </c>
      <c r="AL3190" s="13" t="s">
        <v>1894</v>
      </c>
      <c r="AM3190">
        <v>1</v>
      </c>
      <c r="AN3190" s="15" t="s">
        <v>2028</v>
      </c>
    </row>
    <row r="3191" spans="1:40" x14ac:dyDescent="0.3">
      <c r="A3191" s="10" t="str">
        <f>HYPERLINK("http://www.washoecounty.gov/assessor/cama/?parid=049-562-05&amp;CardNumber=1","049-562-05")</f>
        <v>049-562-05</v>
      </c>
      <c r="B3191" t="s">
        <v>4655</v>
      </c>
      <c r="C3191" t="s">
        <v>18237</v>
      </c>
      <c r="D3191" s="1">
        <v>40322</v>
      </c>
      <c r="E3191" s="2">
        <v>355000</v>
      </c>
      <c r="F3191" t="s">
        <v>4567</v>
      </c>
      <c r="G3191" s="17" t="str">
        <f>HYPERLINK("https://www.washoecounty.gov/assessor/cama/?command=sales&amp;parid=04956205","3884278")</f>
        <v>3884278</v>
      </c>
      <c r="H3191" t="s">
        <v>192</v>
      </c>
      <c r="I3191">
        <v>1994</v>
      </c>
      <c r="J3191">
        <v>1994</v>
      </c>
      <c r="K3191" t="s">
        <v>4554</v>
      </c>
      <c r="L3191" t="s">
        <v>3974</v>
      </c>
      <c r="M3191" s="2">
        <v>2600</v>
      </c>
      <c r="N3191" t="s">
        <v>3147</v>
      </c>
      <c r="O3191">
        <v>4</v>
      </c>
      <c r="P3191">
        <v>3</v>
      </c>
      <c r="Q3191">
        <v>0</v>
      </c>
      <c r="R3191" t="s">
        <v>4557</v>
      </c>
      <c r="S3191" t="s">
        <v>4558</v>
      </c>
      <c r="T3191" t="s">
        <v>4559</v>
      </c>
      <c r="U3191" t="s">
        <v>4560</v>
      </c>
      <c r="V3191" s="2">
        <v>651</v>
      </c>
      <c r="W3191" t="s">
        <v>4655</v>
      </c>
      <c r="X3191" s="2">
        <v>0</v>
      </c>
      <c r="Y3191">
        <v>20</v>
      </c>
      <c r="Z3191" t="s">
        <v>5508</v>
      </c>
      <c r="AA3191" s="3">
        <v>0.36000919342040999</v>
      </c>
      <c r="AB3191" t="s">
        <v>18238</v>
      </c>
      <c r="AC3191" t="s">
        <v>4575</v>
      </c>
      <c r="AD3191" t="s">
        <v>18239</v>
      </c>
      <c r="AE3191" t="s">
        <v>18240</v>
      </c>
      <c r="AF3191" t="s">
        <v>4563</v>
      </c>
      <c r="AG3191" t="s">
        <v>4564</v>
      </c>
      <c r="AH3191">
        <v>89511</v>
      </c>
      <c r="AI3191" t="s">
        <v>18241</v>
      </c>
      <c r="AJ3191" t="s">
        <v>391</v>
      </c>
      <c r="AK3191" t="s">
        <v>18242</v>
      </c>
      <c r="AL3191" s="13" t="s">
        <v>1894</v>
      </c>
      <c r="AM3191">
        <v>1</v>
      </c>
      <c r="AN3191" s="15" t="s">
        <v>595</v>
      </c>
    </row>
    <row r="3192" spans="1:40" x14ac:dyDescent="0.3">
      <c r="A3192" s="10" t="str">
        <f>HYPERLINK("http://www.washoecounty.gov/assessor/cama/?parid=049-562-06&amp;CardNumber=1","049-562-06")</f>
        <v>049-562-06</v>
      </c>
      <c r="B3192" t="s">
        <v>4655</v>
      </c>
      <c r="C3192" t="s">
        <v>18243</v>
      </c>
      <c r="D3192" s="1">
        <v>40234</v>
      </c>
      <c r="E3192" s="2">
        <v>345000</v>
      </c>
      <c r="F3192" t="s">
        <v>4567</v>
      </c>
      <c r="G3192" s="17" t="str">
        <f>HYPERLINK("https://www.washoecounty.gov/assessor/cama/?command=sales&amp;parid=04956206","3852796")</f>
        <v>3852796</v>
      </c>
      <c r="H3192" t="s">
        <v>192</v>
      </c>
      <c r="I3192">
        <v>1994</v>
      </c>
      <c r="J3192">
        <v>1994</v>
      </c>
      <c r="K3192" t="s">
        <v>4554</v>
      </c>
      <c r="L3192" t="s">
        <v>3974</v>
      </c>
      <c r="M3192" s="2">
        <v>2454</v>
      </c>
      <c r="N3192" t="s">
        <v>3147</v>
      </c>
      <c r="O3192">
        <v>4</v>
      </c>
      <c r="P3192">
        <v>3</v>
      </c>
      <c r="Q3192">
        <v>0</v>
      </c>
      <c r="R3192" t="s">
        <v>4557</v>
      </c>
      <c r="S3192" t="s">
        <v>4558</v>
      </c>
      <c r="T3192" t="s">
        <v>4559</v>
      </c>
      <c r="U3192" t="s">
        <v>4560</v>
      </c>
      <c r="V3192" s="2">
        <v>617</v>
      </c>
      <c r="W3192" t="s">
        <v>4655</v>
      </c>
      <c r="X3192" s="2">
        <v>0</v>
      </c>
      <c r="Y3192">
        <v>20</v>
      </c>
      <c r="Z3192" t="s">
        <v>5508</v>
      </c>
      <c r="AA3192" s="3">
        <v>0.34499540925025901</v>
      </c>
      <c r="AB3192" t="s">
        <v>18244</v>
      </c>
      <c r="AC3192" t="s">
        <v>4575</v>
      </c>
      <c r="AD3192" t="s">
        <v>18245</v>
      </c>
      <c r="AE3192" t="s">
        <v>18243</v>
      </c>
      <c r="AF3192" t="s">
        <v>4563</v>
      </c>
      <c r="AG3192" t="s">
        <v>4564</v>
      </c>
      <c r="AH3192">
        <v>89511</v>
      </c>
      <c r="AI3192" t="s">
        <v>18246</v>
      </c>
      <c r="AJ3192" t="s">
        <v>391</v>
      </c>
      <c r="AK3192" t="s">
        <v>18247</v>
      </c>
      <c r="AL3192" s="13" t="s">
        <v>1894</v>
      </c>
      <c r="AM3192">
        <v>1</v>
      </c>
      <c r="AN3192" s="15" t="s">
        <v>595</v>
      </c>
    </row>
    <row r="3193" spans="1:40" x14ac:dyDescent="0.3">
      <c r="A3193" s="10" t="str">
        <f>HYPERLINK("http://www.washoecounty.gov/assessor/cama/?parid=049-562-07&amp;CardNumber=1","049-562-07")</f>
        <v>049-562-07</v>
      </c>
      <c r="B3193" t="s">
        <v>4655</v>
      </c>
      <c r="C3193" t="s">
        <v>18248</v>
      </c>
      <c r="D3193" s="1">
        <v>40466</v>
      </c>
      <c r="E3193" s="2">
        <v>211300</v>
      </c>
      <c r="F3193" t="s">
        <v>4567</v>
      </c>
      <c r="G3193" s="17" t="str">
        <f>HYPERLINK("https://www.washoecounty.gov/assessor/cama/?command=sales&amp;parid=04956207","3933525")</f>
        <v>3933525</v>
      </c>
      <c r="H3193" t="s">
        <v>192</v>
      </c>
      <c r="I3193">
        <v>1994</v>
      </c>
      <c r="J3193">
        <v>1994</v>
      </c>
      <c r="K3193" t="s">
        <v>4554</v>
      </c>
      <c r="L3193" t="s">
        <v>4555</v>
      </c>
      <c r="M3193" s="2">
        <v>1774</v>
      </c>
      <c r="N3193" t="s">
        <v>3147</v>
      </c>
      <c r="O3193">
        <v>3</v>
      </c>
      <c r="P3193">
        <v>2</v>
      </c>
      <c r="Q3193">
        <v>0</v>
      </c>
      <c r="R3193" t="s">
        <v>4557</v>
      </c>
      <c r="S3193" t="s">
        <v>4558</v>
      </c>
      <c r="T3193" t="s">
        <v>4559</v>
      </c>
      <c r="U3193" t="s">
        <v>4560</v>
      </c>
      <c r="V3193" s="2">
        <v>580</v>
      </c>
      <c r="W3193" t="s">
        <v>4655</v>
      </c>
      <c r="X3193" s="2">
        <v>0</v>
      </c>
      <c r="Y3193">
        <v>20</v>
      </c>
      <c r="Z3193" t="s">
        <v>5508</v>
      </c>
      <c r="AA3193" s="3">
        <v>0.39201101660728499</v>
      </c>
      <c r="AB3193" t="s">
        <v>18249</v>
      </c>
      <c r="AC3193" t="s">
        <v>4562</v>
      </c>
      <c r="AD3193" t="s">
        <v>18250</v>
      </c>
      <c r="AE3193" t="s">
        <v>4655</v>
      </c>
      <c r="AF3193" t="s">
        <v>4563</v>
      </c>
      <c r="AG3193" t="s">
        <v>4564</v>
      </c>
      <c r="AH3193">
        <v>89511</v>
      </c>
      <c r="AI3193" t="s">
        <v>18251</v>
      </c>
      <c r="AJ3193" t="s">
        <v>391</v>
      </c>
      <c r="AK3193" t="s">
        <v>18252</v>
      </c>
      <c r="AL3193" s="13" t="s">
        <v>1894</v>
      </c>
      <c r="AM3193" s="14">
        <v>1</v>
      </c>
      <c r="AN3193" s="15" t="s">
        <v>595</v>
      </c>
    </row>
    <row r="3194" spans="1:40" x14ac:dyDescent="0.3">
      <c r="A3194" s="10" t="str">
        <f>HYPERLINK("http://www.washoecounty.gov/assessor/cama/?parid=049-562-17&amp;CardNumber=1","049-562-17")</f>
        <v>049-562-17</v>
      </c>
      <c r="B3194" t="s">
        <v>4655</v>
      </c>
      <c r="C3194" t="s">
        <v>18253</v>
      </c>
      <c r="D3194" s="1">
        <v>40492</v>
      </c>
      <c r="E3194" s="2">
        <v>240000</v>
      </c>
      <c r="F3194" t="s">
        <v>4567</v>
      </c>
      <c r="G3194" s="17" t="str">
        <f>HYPERLINK("https://www.washoecounty.gov/assessor/cama/?command=sales&amp;parid=04956217","3941866")</f>
        <v>3941866</v>
      </c>
      <c r="H3194" t="s">
        <v>192</v>
      </c>
      <c r="I3194">
        <v>1994</v>
      </c>
      <c r="J3194">
        <v>1994</v>
      </c>
      <c r="K3194" t="s">
        <v>4554</v>
      </c>
      <c r="L3194" t="s">
        <v>4555</v>
      </c>
      <c r="M3194" s="2">
        <v>1774</v>
      </c>
      <c r="N3194" t="s">
        <v>3147</v>
      </c>
      <c r="O3194">
        <v>3</v>
      </c>
      <c r="P3194">
        <v>2</v>
      </c>
      <c r="Q3194">
        <v>0</v>
      </c>
      <c r="R3194" t="s">
        <v>5281</v>
      </c>
      <c r="S3194" t="s">
        <v>4558</v>
      </c>
      <c r="T3194" t="s">
        <v>4559</v>
      </c>
      <c r="U3194" t="s">
        <v>4560</v>
      </c>
      <c r="V3194" s="2">
        <v>580</v>
      </c>
      <c r="W3194" t="s">
        <v>4655</v>
      </c>
      <c r="X3194" s="2">
        <v>0</v>
      </c>
      <c r="Y3194">
        <v>20</v>
      </c>
      <c r="Z3194" t="s">
        <v>5508</v>
      </c>
      <c r="AA3194" s="3">
        <v>0.41799816489219666</v>
      </c>
      <c r="AB3194" t="s">
        <v>14032</v>
      </c>
      <c r="AC3194" t="s">
        <v>4562</v>
      </c>
      <c r="AD3194" t="s">
        <v>18253</v>
      </c>
      <c r="AE3194" t="s">
        <v>4655</v>
      </c>
      <c r="AF3194" t="s">
        <v>4563</v>
      </c>
      <c r="AG3194" t="s">
        <v>4564</v>
      </c>
      <c r="AH3194">
        <v>89511</v>
      </c>
      <c r="AI3194" t="s">
        <v>18254</v>
      </c>
      <c r="AJ3194" t="s">
        <v>391</v>
      </c>
      <c r="AK3194" t="s">
        <v>18255</v>
      </c>
      <c r="AL3194" s="13" t="s">
        <v>1894</v>
      </c>
      <c r="AM3194">
        <v>1</v>
      </c>
      <c r="AN3194" s="15" t="s">
        <v>595</v>
      </c>
    </row>
    <row r="3195" spans="1:40" x14ac:dyDescent="0.3">
      <c r="A3195" s="10" t="str">
        <f>HYPERLINK("http://www.washoecounty.gov/assessor/cama/?parid=049-612-04&amp;CardNumber=1","049-612-04")</f>
        <v>049-612-04</v>
      </c>
      <c r="B3195" t="s">
        <v>4655</v>
      </c>
      <c r="C3195" t="s">
        <v>18256</v>
      </c>
      <c r="D3195" s="1">
        <v>40332</v>
      </c>
      <c r="E3195" s="2">
        <v>300000</v>
      </c>
      <c r="F3195" t="s">
        <v>4567</v>
      </c>
      <c r="G3195" s="17" t="str">
        <f>HYPERLINK("https://www.washoecounty.gov/assessor/cama/?command=sales&amp;parid=04961204","3888492")</f>
        <v>3888492</v>
      </c>
      <c r="H3195" t="s">
        <v>4159</v>
      </c>
      <c r="I3195">
        <v>1995</v>
      </c>
      <c r="J3195">
        <v>1995</v>
      </c>
      <c r="K3195" t="s">
        <v>4554</v>
      </c>
      <c r="L3195" t="s">
        <v>4555</v>
      </c>
      <c r="M3195" s="2">
        <v>2214</v>
      </c>
      <c r="N3195" t="s">
        <v>3147</v>
      </c>
      <c r="O3195">
        <v>3</v>
      </c>
      <c r="P3195">
        <v>2</v>
      </c>
      <c r="Q3195">
        <v>1</v>
      </c>
      <c r="R3195" t="s">
        <v>4557</v>
      </c>
      <c r="S3195" t="s">
        <v>4558</v>
      </c>
      <c r="T3195" t="s">
        <v>4559</v>
      </c>
      <c r="U3195" t="s">
        <v>4560</v>
      </c>
      <c r="V3195" s="2">
        <v>600</v>
      </c>
      <c r="W3195" t="s">
        <v>4655</v>
      </c>
      <c r="X3195" s="2">
        <v>0</v>
      </c>
      <c r="Y3195">
        <v>20</v>
      </c>
      <c r="Z3195" t="s">
        <v>5508</v>
      </c>
      <c r="AA3195" s="3">
        <v>0.253007352352142</v>
      </c>
      <c r="AB3195" t="s">
        <v>18257</v>
      </c>
      <c r="AC3195" t="s">
        <v>4562</v>
      </c>
      <c r="AD3195" t="s">
        <v>18256</v>
      </c>
      <c r="AE3195" t="s">
        <v>4655</v>
      </c>
      <c r="AF3195" t="s">
        <v>4563</v>
      </c>
      <c r="AG3195" t="s">
        <v>4564</v>
      </c>
      <c r="AH3195">
        <v>89511</v>
      </c>
      <c r="AI3195" t="s">
        <v>18258</v>
      </c>
      <c r="AJ3195" t="s">
        <v>4160</v>
      </c>
      <c r="AK3195" t="s">
        <v>18259</v>
      </c>
      <c r="AL3195" s="13" t="s">
        <v>1894</v>
      </c>
      <c r="AM3195">
        <v>1</v>
      </c>
      <c r="AN3195" s="15" t="s">
        <v>595</v>
      </c>
    </row>
    <row r="3196" spans="1:40" x14ac:dyDescent="0.3">
      <c r="A3196" s="10" t="str">
        <f>HYPERLINK("http://www.washoecounty.gov/assessor/cama/?parid=049-622-01&amp;CardNumber=1","049-622-01")</f>
        <v>049-622-01</v>
      </c>
      <c r="B3196" t="s">
        <v>4655</v>
      </c>
      <c r="C3196" t="s">
        <v>18260</v>
      </c>
      <c r="D3196" s="1">
        <v>40417</v>
      </c>
      <c r="E3196" s="2">
        <v>303000</v>
      </c>
      <c r="F3196" t="s">
        <v>4553</v>
      </c>
      <c r="G3196" s="17" t="str">
        <f>HYPERLINK("https://www.washoecounty.gov/assessor/cama/?command=sales&amp;parid=04962201","3916521")</f>
        <v>3916521</v>
      </c>
      <c r="H3196" t="s">
        <v>4159</v>
      </c>
      <c r="I3196">
        <v>1995</v>
      </c>
      <c r="J3196">
        <v>1995</v>
      </c>
      <c r="K3196" t="s">
        <v>4554</v>
      </c>
      <c r="L3196" t="s">
        <v>3974</v>
      </c>
      <c r="M3196" s="2">
        <v>2454</v>
      </c>
      <c r="N3196" t="s">
        <v>3147</v>
      </c>
      <c r="O3196">
        <v>4</v>
      </c>
      <c r="P3196">
        <v>3</v>
      </c>
      <c r="Q3196">
        <v>0</v>
      </c>
      <c r="R3196" t="s">
        <v>4557</v>
      </c>
      <c r="S3196" t="s">
        <v>4558</v>
      </c>
      <c r="T3196" t="s">
        <v>4559</v>
      </c>
      <c r="U3196" t="s">
        <v>4560</v>
      </c>
      <c r="V3196" s="2">
        <v>617</v>
      </c>
      <c r="W3196" t="s">
        <v>4655</v>
      </c>
      <c r="X3196" s="2">
        <v>0</v>
      </c>
      <c r="Y3196">
        <v>20</v>
      </c>
      <c r="Z3196" t="s">
        <v>5508</v>
      </c>
      <c r="AA3196" s="3">
        <v>0.36299356818199158</v>
      </c>
      <c r="AB3196" t="s">
        <v>188</v>
      </c>
      <c r="AC3196" t="s">
        <v>4575</v>
      </c>
      <c r="AD3196" t="s">
        <v>18261</v>
      </c>
      <c r="AE3196" t="s">
        <v>4655</v>
      </c>
      <c r="AF3196" t="s">
        <v>4563</v>
      </c>
      <c r="AG3196" t="s">
        <v>4564</v>
      </c>
      <c r="AH3196">
        <v>89511</v>
      </c>
      <c r="AI3196" t="s">
        <v>18262</v>
      </c>
      <c r="AJ3196" t="s">
        <v>4160</v>
      </c>
      <c r="AK3196" t="s">
        <v>18263</v>
      </c>
      <c r="AL3196" s="13" t="s">
        <v>1894</v>
      </c>
      <c r="AM3196" s="14">
        <v>1</v>
      </c>
      <c r="AN3196" s="15" t="s">
        <v>595</v>
      </c>
    </row>
    <row r="3197" spans="1:40" x14ac:dyDescent="0.3">
      <c r="A3197" s="10" t="str">
        <f>HYPERLINK("http://www.washoecounty.gov/assessor/cama/?parid=049-681-03&amp;CardNumber=1","049-681-03")</f>
        <v>049-681-03</v>
      </c>
      <c r="B3197" t="s">
        <v>4655</v>
      </c>
      <c r="C3197" t="s">
        <v>18264</v>
      </c>
      <c r="D3197" s="1">
        <v>40393</v>
      </c>
      <c r="E3197" s="2">
        <v>235000</v>
      </c>
      <c r="F3197" t="s">
        <v>4567</v>
      </c>
      <c r="G3197" s="17" t="str">
        <f>HYPERLINK("https://www.washoecounty.gov/assessor/cama/?command=sales&amp;parid=04968103","3908342")</f>
        <v>3908342</v>
      </c>
      <c r="H3197" t="s">
        <v>18265</v>
      </c>
      <c r="I3197">
        <v>1996</v>
      </c>
      <c r="J3197">
        <v>1996</v>
      </c>
      <c r="K3197" t="s">
        <v>4554</v>
      </c>
      <c r="L3197" t="s">
        <v>3974</v>
      </c>
      <c r="M3197" s="2">
        <v>1872</v>
      </c>
      <c r="N3197" t="s">
        <v>3887</v>
      </c>
      <c r="O3197">
        <v>3</v>
      </c>
      <c r="P3197">
        <v>2</v>
      </c>
      <c r="Q3197">
        <v>1</v>
      </c>
      <c r="R3197" t="s">
        <v>4557</v>
      </c>
      <c r="S3197" t="s">
        <v>4558</v>
      </c>
      <c r="T3197" t="s">
        <v>4559</v>
      </c>
      <c r="U3197" t="s">
        <v>4560</v>
      </c>
      <c r="V3197" s="2">
        <v>724</v>
      </c>
      <c r="W3197" t="s">
        <v>4655</v>
      </c>
      <c r="X3197" s="2">
        <v>0</v>
      </c>
      <c r="Y3197">
        <v>20</v>
      </c>
      <c r="Z3197" t="s">
        <v>5508</v>
      </c>
      <c r="AA3197" s="3">
        <v>0.36000919342040999</v>
      </c>
      <c r="AB3197" t="s">
        <v>18266</v>
      </c>
      <c r="AC3197" t="s">
        <v>4562</v>
      </c>
      <c r="AD3197" t="s">
        <v>18267</v>
      </c>
      <c r="AE3197" t="s">
        <v>4655</v>
      </c>
      <c r="AF3197" t="s">
        <v>4563</v>
      </c>
      <c r="AG3197" t="s">
        <v>4564</v>
      </c>
      <c r="AH3197">
        <v>89511</v>
      </c>
      <c r="AI3197" t="s">
        <v>18268</v>
      </c>
      <c r="AJ3197" t="s">
        <v>18269</v>
      </c>
      <c r="AK3197" t="s">
        <v>18270</v>
      </c>
      <c r="AL3197" s="13" t="s">
        <v>1894</v>
      </c>
      <c r="AM3197">
        <v>1</v>
      </c>
      <c r="AN3197" s="15" t="s">
        <v>2031</v>
      </c>
    </row>
    <row r="3198" spans="1:40" x14ac:dyDescent="0.3">
      <c r="A3198" s="10" t="str">
        <f>HYPERLINK("http://www.washoecounty.gov/assessor/cama/?parid=049-681-06&amp;CardNumber=1","049-681-06")</f>
        <v>049-681-06</v>
      </c>
      <c r="B3198" t="s">
        <v>4655</v>
      </c>
      <c r="C3198" t="s">
        <v>18271</v>
      </c>
      <c r="D3198" s="1">
        <v>40484</v>
      </c>
      <c r="E3198" s="2">
        <v>315000</v>
      </c>
      <c r="F3198" t="s">
        <v>4567</v>
      </c>
      <c r="G3198" s="17" t="str">
        <f>HYPERLINK("https://www.washoecounty.gov/assessor/cama/?command=sales&amp;parid=04968106","3939003")</f>
        <v>3939003</v>
      </c>
      <c r="H3198" t="s">
        <v>18265</v>
      </c>
      <c r="I3198">
        <v>1997</v>
      </c>
      <c r="J3198">
        <v>1998</v>
      </c>
      <c r="K3198" t="s">
        <v>4554</v>
      </c>
      <c r="L3198" t="s">
        <v>3974</v>
      </c>
      <c r="M3198" s="2">
        <v>2270</v>
      </c>
      <c r="N3198" t="s">
        <v>3887</v>
      </c>
      <c r="O3198">
        <v>3</v>
      </c>
      <c r="P3198">
        <v>3</v>
      </c>
      <c r="Q3198">
        <v>0</v>
      </c>
      <c r="R3198" t="s">
        <v>5281</v>
      </c>
      <c r="S3198" t="s">
        <v>4558</v>
      </c>
      <c r="T3198" t="s">
        <v>4559</v>
      </c>
      <c r="U3198" t="s">
        <v>5631</v>
      </c>
      <c r="V3198" s="2">
        <v>728</v>
      </c>
      <c r="W3198" t="s">
        <v>4655</v>
      </c>
      <c r="X3198" s="2">
        <v>0</v>
      </c>
      <c r="Y3198">
        <v>20</v>
      </c>
      <c r="Z3198" t="s">
        <v>5508</v>
      </c>
      <c r="AA3198" s="3">
        <v>0.36400365829467801</v>
      </c>
      <c r="AB3198" t="s">
        <v>18272</v>
      </c>
      <c r="AC3198" t="s">
        <v>4562</v>
      </c>
      <c r="AD3198" t="s">
        <v>18271</v>
      </c>
      <c r="AE3198" t="s">
        <v>4655</v>
      </c>
      <c r="AF3198" t="s">
        <v>4563</v>
      </c>
      <c r="AG3198" t="s">
        <v>4564</v>
      </c>
      <c r="AH3198">
        <v>89511</v>
      </c>
      <c r="AI3198" t="s">
        <v>18273</v>
      </c>
      <c r="AJ3198" t="s">
        <v>18269</v>
      </c>
      <c r="AK3198" t="s">
        <v>18274</v>
      </c>
      <c r="AL3198" s="13" t="s">
        <v>1894</v>
      </c>
      <c r="AM3198">
        <v>1</v>
      </c>
      <c r="AN3198" s="15" t="s">
        <v>2031</v>
      </c>
    </row>
    <row r="3199" spans="1:40" x14ac:dyDescent="0.3">
      <c r="A3199" s="10" t="str">
        <f>HYPERLINK("http://www.washoecounty.gov/assessor/cama/?parid=049-693-09&amp;CardNumber=1","049-693-09")</f>
        <v>049-693-09</v>
      </c>
      <c r="B3199" t="s">
        <v>4655</v>
      </c>
      <c r="C3199" t="s">
        <v>18275</v>
      </c>
      <c r="D3199" s="1">
        <v>40267</v>
      </c>
      <c r="E3199" s="2">
        <v>395000</v>
      </c>
      <c r="F3199" t="s">
        <v>4567</v>
      </c>
      <c r="G3199" s="17" t="str">
        <f>HYPERLINK("https://www.washoecounty.gov/assessor/cama/?command=sales&amp;parid=04969309","3865698")</f>
        <v>3865698</v>
      </c>
      <c r="H3199" t="s">
        <v>4256</v>
      </c>
      <c r="I3199">
        <v>1996</v>
      </c>
      <c r="J3199">
        <v>1996</v>
      </c>
      <c r="K3199" t="s">
        <v>4554</v>
      </c>
      <c r="L3199" t="s">
        <v>3974</v>
      </c>
      <c r="M3199" s="2">
        <v>3416</v>
      </c>
      <c r="N3199" t="s">
        <v>5280</v>
      </c>
      <c r="O3199">
        <v>5</v>
      </c>
      <c r="P3199">
        <v>3</v>
      </c>
      <c r="Q3199">
        <v>0</v>
      </c>
      <c r="R3199" t="s">
        <v>5281</v>
      </c>
      <c r="S3199" t="s">
        <v>4558</v>
      </c>
      <c r="T3199" t="s">
        <v>2704</v>
      </c>
      <c r="U3199" t="s">
        <v>5631</v>
      </c>
      <c r="V3199" s="2">
        <v>635</v>
      </c>
      <c r="W3199" t="s">
        <v>4655</v>
      </c>
      <c r="X3199" s="2">
        <v>0</v>
      </c>
      <c r="Y3199">
        <v>20</v>
      </c>
      <c r="Z3199" t="s">
        <v>5508</v>
      </c>
      <c r="AA3199" s="3">
        <v>0.28900367021560702</v>
      </c>
      <c r="AB3199" t="s">
        <v>18276</v>
      </c>
      <c r="AC3199" t="s">
        <v>4562</v>
      </c>
      <c r="AD3199" t="s">
        <v>18277</v>
      </c>
      <c r="AE3199" t="s">
        <v>4655</v>
      </c>
      <c r="AF3199" t="s">
        <v>4563</v>
      </c>
      <c r="AG3199" t="s">
        <v>4564</v>
      </c>
      <c r="AH3199">
        <v>89511</v>
      </c>
      <c r="AI3199" t="s">
        <v>18278</v>
      </c>
      <c r="AJ3199" t="s">
        <v>4257</v>
      </c>
      <c r="AK3199" t="s">
        <v>18279</v>
      </c>
      <c r="AL3199" s="13" t="s">
        <v>1894</v>
      </c>
      <c r="AM3199">
        <v>1</v>
      </c>
      <c r="AN3199" s="15" t="s">
        <v>1524</v>
      </c>
    </row>
    <row r="3200" spans="1:40" x14ac:dyDescent="0.3">
      <c r="A3200" s="10" t="str">
        <f>HYPERLINK("http://www.washoecounty.gov/assessor/cama/?parid=049-722-10&amp;CardNumber=1","049-722-10")</f>
        <v>049-722-10</v>
      </c>
      <c r="B3200" t="s">
        <v>4655</v>
      </c>
      <c r="C3200" t="s">
        <v>18280</v>
      </c>
      <c r="D3200" s="1">
        <v>40422</v>
      </c>
      <c r="E3200" s="2">
        <v>390000</v>
      </c>
      <c r="F3200" t="s">
        <v>4567</v>
      </c>
      <c r="G3200" s="17" t="str">
        <f>HYPERLINK("https://www.washoecounty.gov/assessor/cama/?command=sales&amp;parid=04972210","3917853")</f>
        <v>3917853</v>
      </c>
      <c r="H3200" t="s">
        <v>2414</v>
      </c>
      <c r="I3200">
        <v>1997</v>
      </c>
      <c r="J3200">
        <v>1997</v>
      </c>
      <c r="K3200" t="s">
        <v>4554</v>
      </c>
      <c r="L3200" t="s">
        <v>4555</v>
      </c>
      <c r="M3200" s="2">
        <v>2283</v>
      </c>
      <c r="N3200" t="s">
        <v>3887</v>
      </c>
      <c r="O3200">
        <v>4</v>
      </c>
      <c r="P3200">
        <v>2</v>
      </c>
      <c r="Q3200">
        <v>1</v>
      </c>
      <c r="R3200" t="s">
        <v>5281</v>
      </c>
      <c r="S3200" t="s">
        <v>4898</v>
      </c>
      <c r="T3200" t="s">
        <v>2704</v>
      </c>
      <c r="U3200" t="s">
        <v>4560</v>
      </c>
      <c r="V3200" s="2">
        <v>698</v>
      </c>
      <c r="W3200" t="s">
        <v>4655</v>
      </c>
      <c r="X3200" s="2">
        <v>0</v>
      </c>
      <c r="Y3200">
        <v>20</v>
      </c>
      <c r="Z3200" t="s">
        <v>3884</v>
      </c>
      <c r="AA3200" s="3">
        <v>0.36600092053413402</v>
      </c>
      <c r="AB3200" t="s">
        <v>18281</v>
      </c>
      <c r="AC3200" t="s">
        <v>4562</v>
      </c>
      <c r="AD3200" t="s">
        <v>18282</v>
      </c>
      <c r="AE3200" t="s">
        <v>4655</v>
      </c>
      <c r="AF3200" t="s">
        <v>4563</v>
      </c>
      <c r="AG3200" t="s">
        <v>4564</v>
      </c>
      <c r="AH3200">
        <v>89511</v>
      </c>
      <c r="AI3200" t="s">
        <v>18283</v>
      </c>
      <c r="AJ3200" t="s">
        <v>3209</v>
      </c>
      <c r="AK3200" t="s">
        <v>18284</v>
      </c>
      <c r="AL3200" s="13" t="s">
        <v>1889</v>
      </c>
      <c r="AM3200" s="14">
        <v>1</v>
      </c>
      <c r="AN3200" s="15" t="s">
        <v>2071</v>
      </c>
    </row>
    <row r="3201" spans="1:40" x14ac:dyDescent="0.3">
      <c r="A3201" s="10" t="str">
        <f>HYPERLINK("http://www.washoecounty.gov/assessor/cama/?parid=049-751-04&amp;CardNumber=1","049-751-04")</f>
        <v>049-751-04</v>
      </c>
      <c r="B3201" t="s">
        <v>4655</v>
      </c>
      <c r="C3201" t="s">
        <v>18285</v>
      </c>
      <c r="D3201" s="1">
        <v>40539</v>
      </c>
      <c r="E3201" s="2">
        <v>87500</v>
      </c>
      <c r="F3201" t="s">
        <v>3528</v>
      </c>
      <c r="G3201" s="17" t="str">
        <f>HYPERLINK("https://www.washoecounty.gov/assessor/cama/?command=sales&amp;parid=04975104","3957701")</f>
        <v>3957701</v>
      </c>
      <c r="H3201" t="s">
        <v>5128</v>
      </c>
      <c r="I3201">
        <v>0</v>
      </c>
      <c r="J3201">
        <v>0</v>
      </c>
      <c r="K3201" t="s">
        <v>4655</v>
      </c>
      <c r="L3201" t="s">
        <v>4655</v>
      </c>
      <c r="M3201" s="2">
        <v>0</v>
      </c>
      <c r="N3201" t="s">
        <v>4655</v>
      </c>
      <c r="O3201">
        <v>0</v>
      </c>
      <c r="P3201">
        <v>0</v>
      </c>
      <c r="Q3201">
        <v>0</v>
      </c>
      <c r="R3201" t="s">
        <v>4655</v>
      </c>
      <c r="S3201" t="s">
        <v>4655</v>
      </c>
      <c r="T3201" t="s">
        <v>4655</v>
      </c>
      <c r="U3201" t="s">
        <v>4655</v>
      </c>
      <c r="V3201" s="2">
        <v>0</v>
      </c>
      <c r="W3201" t="s">
        <v>4655</v>
      </c>
      <c r="X3201" s="2">
        <v>0</v>
      </c>
      <c r="Y3201">
        <v>12</v>
      </c>
      <c r="Z3201" t="s">
        <v>1376</v>
      </c>
      <c r="AA3201" s="3">
        <v>2.19600009918212</v>
      </c>
      <c r="AB3201" t="s">
        <v>18286</v>
      </c>
      <c r="AC3201" t="s">
        <v>4575</v>
      </c>
      <c r="AD3201" t="s">
        <v>18287</v>
      </c>
      <c r="AE3201" t="s">
        <v>4655</v>
      </c>
      <c r="AF3201" t="s">
        <v>5201</v>
      </c>
      <c r="AG3201" t="s">
        <v>4564</v>
      </c>
      <c r="AH3201" t="s">
        <v>5202</v>
      </c>
      <c r="AI3201" t="s">
        <v>18286</v>
      </c>
      <c r="AJ3201" t="s">
        <v>5129</v>
      </c>
      <c r="AK3201" t="s">
        <v>18288</v>
      </c>
      <c r="AL3201" s="13" t="s">
        <v>1895</v>
      </c>
      <c r="AM3201" s="14">
        <v>0</v>
      </c>
      <c r="AN3201" s="15" t="s">
        <v>5130</v>
      </c>
    </row>
    <row r="3202" spans="1:40" x14ac:dyDescent="0.3">
      <c r="A3202" s="10" t="str">
        <f>HYPERLINK("http://www.washoecounty.gov/assessor/cama/?parid=049-752-02&amp;CardNumber=1","049-752-02")</f>
        <v>049-752-02</v>
      </c>
      <c r="B3202" t="s">
        <v>4655</v>
      </c>
      <c r="C3202" t="s">
        <v>18289</v>
      </c>
      <c r="D3202" s="1">
        <v>40326</v>
      </c>
      <c r="E3202" s="2">
        <v>1125000</v>
      </c>
      <c r="F3202" t="s">
        <v>4567</v>
      </c>
      <c r="G3202" s="17" t="str">
        <f>HYPERLINK("https://www.washoecounty.gov/assessor/cama/?command=sales&amp;parid=04975202","3886326")</f>
        <v>3886326</v>
      </c>
      <c r="H3202" t="s">
        <v>18290</v>
      </c>
      <c r="I3202">
        <v>2005</v>
      </c>
      <c r="J3202">
        <v>2005</v>
      </c>
      <c r="K3202" t="s">
        <v>4554</v>
      </c>
      <c r="L3202" t="s">
        <v>4555</v>
      </c>
      <c r="M3202" s="2">
        <v>4573</v>
      </c>
      <c r="N3202" t="s">
        <v>3457</v>
      </c>
      <c r="O3202">
        <v>3</v>
      </c>
      <c r="P3202">
        <v>4</v>
      </c>
      <c r="Q3202">
        <v>0</v>
      </c>
      <c r="R3202" t="s">
        <v>2632</v>
      </c>
      <c r="S3202" t="s">
        <v>1187</v>
      </c>
      <c r="T3202" t="s">
        <v>2704</v>
      </c>
      <c r="U3202" t="s">
        <v>4560</v>
      </c>
      <c r="V3202" s="2">
        <v>1318</v>
      </c>
      <c r="W3202" t="s">
        <v>4655</v>
      </c>
      <c r="X3202" s="2">
        <v>0</v>
      </c>
      <c r="Y3202">
        <v>20</v>
      </c>
      <c r="Z3202" t="s">
        <v>1376</v>
      </c>
      <c r="AA3202" s="3">
        <v>2.0239999294281001</v>
      </c>
      <c r="AB3202" t="s">
        <v>18291</v>
      </c>
      <c r="AC3202" t="s">
        <v>4575</v>
      </c>
      <c r="AD3202" t="s">
        <v>18292</v>
      </c>
      <c r="AE3202" t="s">
        <v>4655</v>
      </c>
      <c r="AF3202" t="s">
        <v>4563</v>
      </c>
      <c r="AG3202" t="s">
        <v>4564</v>
      </c>
      <c r="AH3202">
        <v>89511</v>
      </c>
      <c r="AI3202" t="s">
        <v>18293</v>
      </c>
      <c r="AJ3202" t="s">
        <v>18294</v>
      </c>
      <c r="AK3202" t="s">
        <v>18295</v>
      </c>
      <c r="AL3202" s="13" t="s">
        <v>1895</v>
      </c>
      <c r="AM3202">
        <v>1</v>
      </c>
      <c r="AN3202" s="15" t="s">
        <v>5130</v>
      </c>
    </row>
    <row r="3203" spans="1:40" x14ac:dyDescent="0.3">
      <c r="A3203" s="10" t="str">
        <f>HYPERLINK("http://www.washoecounty.gov/assessor/cama/?parid=049-762-03&amp;CardNumber=1","049-762-03")</f>
        <v>049-762-03</v>
      </c>
      <c r="B3203" t="s">
        <v>4655</v>
      </c>
      <c r="C3203" t="s">
        <v>18296</v>
      </c>
      <c r="D3203" s="1">
        <v>40298</v>
      </c>
      <c r="E3203" s="2">
        <v>200000</v>
      </c>
      <c r="F3203" t="s">
        <v>4553</v>
      </c>
      <c r="G3203" s="17" t="str">
        <f>HYPERLINK("https://www.washoecounty.gov/assessor/cama/?command=sales&amp;parid=04976203","3876656")</f>
        <v>3876656</v>
      </c>
      <c r="H3203" t="s">
        <v>5128</v>
      </c>
      <c r="I3203">
        <v>0</v>
      </c>
      <c r="J3203">
        <v>0</v>
      </c>
      <c r="K3203" t="s">
        <v>4655</v>
      </c>
      <c r="L3203" t="s">
        <v>4655</v>
      </c>
      <c r="M3203" s="2">
        <v>0</v>
      </c>
      <c r="N3203" t="s">
        <v>4655</v>
      </c>
      <c r="O3203">
        <v>0</v>
      </c>
      <c r="P3203">
        <v>0</v>
      </c>
      <c r="Q3203">
        <v>0</v>
      </c>
      <c r="R3203" t="s">
        <v>4655</v>
      </c>
      <c r="S3203" t="s">
        <v>4655</v>
      </c>
      <c r="T3203" t="s">
        <v>4655</v>
      </c>
      <c r="U3203" t="s">
        <v>4655</v>
      </c>
      <c r="V3203" s="2">
        <v>0</v>
      </c>
      <c r="W3203" t="s">
        <v>4655</v>
      </c>
      <c r="X3203" s="2">
        <v>0</v>
      </c>
      <c r="Y3203">
        <v>12</v>
      </c>
      <c r="Z3203" t="s">
        <v>4051</v>
      </c>
      <c r="AA3203" s="3">
        <v>2.0160000324249201</v>
      </c>
      <c r="AB3203" t="s">
        <v>18297</v>
      </c>
      <c r="AC3203" t="s">
        <v>4575</v>
      </c>
      <c r="AD3203" t="s">
        <v>18298</v>
      </c>
      <c r="AE3203" t="s">
        <v>4655</v>
      </c>
      <c r="AF3203" t="s">
        <v>4563</v>
      </c>
      <c r="AG3203" t="s">
        <v>4564</v>
      </c>
      <c r="AH3203">
        <v>89511</v>
      </c>
      <c r="AI3203" t="s">
        <v>6198</v>
      </c>
      <c r="AJ3203" t="s">
        <v>5129</v>
      </c>
      <c r="AK3203" t="s">
        <v>18299</v>
      </c>
      <c r="AL3203" s="13" t="s">
        <v>1895</v>
      </c>
      <c r="AM3203">
        <v>0</v>
      </c>
      <c r="AN3203" s="15" t="s">
        <v>5130</v>
      </c>
    </row>
    <row r="3204" spans="1:40" x14ac:dyDescent="0.3">
      <c r="A3204" s="10" t="str">
        <f>HYPERLINK("http://www.washoecounty.gov/assessor/cama/?parid=049-772-05&amp;CardNumber=1","049-772-05")</f>
        <v>049-772-05</v>
      </c>
      <c r="B3204" t="s">
        <v>4655</v>
      </c>
      <c r="C3204" t="s">
        <v>18300</v>
      </c>
      <c r="D3204" s="1">
        <v>40477</v>
      </c>
      <c r="E3204" s="2">
        <v>230000</v>
      </c>
      <c r="F3204" t="s">
        <v>4567</v>
      </c>
      <c r="G3204" s="17" t="str">
        <f>HYPERLINK("https://www.washoecounty.gov/assessor/cama/?command=sales&amp;parid=04977205","3936600")</f>
        <v>3936600</v>
      </c>
      <c r="H3204" t="s">
        <v>18301</v>
      </c>
      <c r="I3204">
        <v>1996</v>
      </c>
      <c r="J3204">
        <v>1996</v>
      </c>
      <c r="K3204" t="s">
        <v>4554</v>
      </c>
      <c r="L3204" t="s">
        <v>4555</v>
      </c>
      <c r="M3204" s="2">
        <v>1808</v>
      </c>
      <c r="N3204" t="s">
        <v>5280</v>
      </c>
      <c r="O3204">
        <v>3</v>
      </c>
      <c r="P3204">
        <v>2</v>
      </c>
      <c r="Q3204">
        <v>0</v>
      </c>
      <c r="R3204" t="s">
        <v>4557</v>
      </c>
      <c r="S3204" t="s">
        <v>4558</v>
      </c>
      <c r="T3204" t="s">
        <v>4559</v>
      </c>
      <c r="U3204" t="s">
        <v>4560</v>
      </c>
      <c r="V3204" s="2">
        <v>480</v>
      </c>
      <c r="W3204" t="s">
        <v>4655</v>
      </c>
      <c r="X3204" s="2">
        <v>0</v>
      </c>
      <c r="Y3204">
        <v>20</v>
      </c>
      <c r="Z3204" t="s">
        <v>5508</v>
      </c>
      <c r="AA3204" s="3">
        <v>0.31499081850051902</v>
      </c>
      <c r="AB3204" t="s">
        <v>18302</v>
      </c>
      <c r="AC3204" t="s">
        <v>4562</v>
      </c>
      <c r="AD3204" t="s">
        <v>18303</v>
      </c>
      <c r="AE3204" t="s">
        <v>4655</v>
      </c>
      <c r="AF3204" t="s">
        <v>4563</v>
      </c>
      <c r="AG3204" t="s">
        <v>4564</v>
      </c>
      <c r="AH3204">
        <v>89511</v>
      </c>
      <c r="AI3204" t="s">
        <v>18304</v>
      </c>
      <c r="AJ3204" t="s">
        <v>3162</v>
      </c>
      <c r="AK3204" t="s">
        <v>18305</v>
      </c>
      <c r="AL3204" s="13" t="s">
        <v>3431</v>
      </c>
      <c r="AM3204">
        <v>1</v>
      </c>
      <c r="AN3204" s="15" t="s">
        <v>595</v>
      </c>
    </row>
    <row r="3205" spans="1:40" x14ac:dyDescent="0.3">
      <c r="A3205" s="10" t="str">
        <f>HYPERLINK("http://www.washoecounty.gov/assessor/cama/?parid=049-772-13&amp;CardNumber=1","049-772-13")</f>
        <v>049-772-13</v>
      </c>
      <c r="B3205" t="s">
        <v>4655</v>
      </c>
      <c r="C3205" t="s">
        <v>18306</v>
      </c>
      <c r="D3205" s="1">
        <v>40403</v>
      </c>
      <c r="E3205" s="2">
        <v>530000</v>
      </c>
      <c r="F3205" t="s">
        <v>4567</v>
      </c>
      <c r="G3205" s="17" t="str">
        <f>HYPERLINK("https://www.washoecounty.gov/assessor/cama/?command=sales&amp;parid=04977213","3911488")</f>
        <v>3911488</v>
      </c>
      <c r="H3205" t="s">
        <v>18307</v>
      </c>
      <c r="I3205">
        <v>1997</v>
      </c>
      <c r="J3205">
        <v>1997</v>
      </c>
      <c r="K3205" t="s">
        <v>4554</v>
      </c>
      <c r="L3205" t="s">
        <v>4555</v>
      </c>
      <c r="M3205" s="2">
        <v>3036</v>
      </c>
      <c r="N3205" t="s">
        <v>3147</v>
      </c>
      <c r="O3205">
        <v>3</v>
      </c>
      <c r="P3205">
        <v>3</v>
      </c>
      <c r="Q3205">
        <v>0</v>
      </c>
      <c r="R3205" t="s">
        <v>5281</v>
      </c>
      <c r="S3205" t="s">
        <v>4135</v>
      </c>
      <c r="T3205" t="s">
        <v>4559</v>
      </c>
      <c r="U3205" t="s">
        <v>4560</v>
      </c>
      <c r="V3205" s="2">
        <v>902</v>
      </c>
      <c r="W3205" t="s">
        <v>4655</v>
      </c>
      <c r="X3205" s="2">
        <v>0</v>
      </c>
      <c r="Y3205">
        <v>20</v>
      </c>
      <c r="Z3205" t="s">
        <v>3884</v>
      </c>
      <c r="AA3205" s="3">
        <v>1.68099176883697</v>
      </c>
      <c r="AB3205" t="s">
        <v>18308</v>
      </c>
      <c r="AC3205" t="s">
        <v>4575</v>
      </c>
      <c r="AD3205" t="s">
        <v>18306</v>
      </c>
      <c r="AE3205" t="s">
        <v>4655</v>
      </c>
      <c r="AF3205" t="s">
        <v>4563</v>
      </c>
      <c r="AG3205" t="s">
        <v>4564</v>
      </c>
      <c r="AH3205">
        <v>89511</v>
      </c>
      <c r="AI3205" t="s">
        <v>4655</v>
      </c>
      <c r="AJ3205" t="s">
        <v>18309</v>
      </c>
      <c r="AK3205" t="s">
        <v>18310</v>
      </c>
      <c r="AL3205" s="13" t="s">
        <v>3431</v>
      </c>
      <c r="AM3205">
        <v>1</v>
      </c>
      <c r="AN3205" s="15" t="s">
        <v>679</v>
      </c>
    </row>
    <row r="3206" spans="1:40" x14ac:dyDescent="0.3">
      <c r="A3206" s="10" t="str">
        <f>HYPERLINK("http://www.washoecounty.gov/assessor/cama/?parid=049-783-09&amp;CardNumber=1","049-783-09")</f>
        <v>049-783-09</v>
      </c>
      <c r="B3206" t="s">
        <v>4655</v>
      </c>
      <c r="C3206" t="s">
        <v>18311</v>
      </c>
      <c r="D3206" s="1">
        <v>40387</v>
      </c>
      <c r="E3206" s="2">
        <v>482000</v>
      </c>
      <c r="F3206" t="s">
        <v>4567</v>
      </c>
      <c r="G3206" s="17" t="str">
        <f>HYPERLINK("https://www.washoecounty.gov/assessor/cama/?command=sales&amp;parid=04978309","3906003")</f>
        <v>3906003</v>
      </c>
      <c r="H3206" t="s">
        <v>4690</v>
      </c>
      <c r="I3206">
        <v>1999</v>
      </c>
      <c r="J3206">
        <v>1999</v>
      </c>
      <c r="K3206" t="s">
        <v>4554</v>
      </c>
      <c r="L3206" t="s">
        <v>4555</v>
      </c>
      <c r="M3206" s="2">
        <v>2742</v>
      </c>
      <c r="N3206" t="s">
        <v>5106</v>
      </c>
      <c r="O3206">
        <v>3</v>
      </c>
      <c r="P3206">
        <v>2</v>
      </c>
      <c r="Q3206">
        <v>1</v>
      </c>
      <c r="R3206" t="s">
        <v>5281</v>
      </c>
      <c r="S3206" t="s">
        <v>4898</v>
      </c>
      <c r="T3206" t="s">
        <v>2704</v>
      </c>
      <c r="U3206" t="s">
        <v>4560</v>
      </c>
      <c r="V3206" s="2">
        <v>942</v>
      </c>
      <c r="W3206" t="s">
        <v>4655</v>
      </c>
      <c r="X3206" s="2">
        <v>0</v>
      </c>
      <c r="Y3206">
        <v>20</v>
      </c>
      <c r="Z3206" t="s">
        <v>3884</v>
      </c>
      <c r="AA3206" s="3">
        <v>0.56600093841552701</v>
      </c>
      <c r="AB3206" t="s">
        <v>18312</v>
      </c>
      <c r="AC3206" t="s">
        <v>4562</v>
      </c>
      <c r="AD3206" t="s">
        <v>18313</v>
      </c>
      <c r="AE3206" t="s">
        <v>4655</v>
      </c>
      <c r="AF3206" t="s">
        <v>4563</v>
      </c>
      <c r="AG3206" t="s">
        <v>4564</v>
      </c>
      <c r="AH3206">
        <v>89511</v>
      </c>
      <c r="AI3206" t="s">
        <v>18314</v>
      </c>
      <c r="AJ3206" t="s">
        <v>4691</v>
      </c>
      <c r="AK3206" t="s">
        <v>18315</v>
      </c>
      <c r="AL3206" s="13" t="s">
        <v>1894</v>
      </c>
      <c r="AM3206">
        <v>1</v>
      </c>
      <c r="AN3206" s="15" t="s">
        <v>2028</v>
      </c>
    </row>
    <row r="3207" spans="1:40" x14ac:dyDescent="0.3">
      <c r="A3207" s="10" t="str">
        <f>HYPERLINK("http://www.washoecounty.gov/assessor/cama/?parid=049-823-04&amp;CardNumber=1","049-823-04")</f>
        <v>049-823-04</v>
      </c>
      <c r="B3207" t="s">
        <v>4655</v>
      </c>
      <c r="C3207" t="s">
        <v>18316</v>
      </c>
      <c r="D3207" s="1">
        <v>40288</v>
      </c>
      <c r="E3207" s="2">
        <v>319000</v>
      </c>
      <c r="F3207" t="s">
        <v>4567</v>
      </c>
      <c r="G3207" s="17" t="str">
        <f>HYPERLINK("https://www.washoecounty.gov/assessor/cama/?command=sales&amp;parid=04982304","3872969")</f>
        <v>3872969</v>
      </c>
      <c r="H3207" t="s">
        <v>18317</v>
      </c>
      <c r="I3207">
        <v>1997</v>
      </c>
      <c r="J3207">
        <v>1997</v>
      </c>
      <c r="K3207" t="s">
        <v>4554</v>
      </c>
      <c r="L3207" t="s">
        <v>3974</v>
      </c>
      <c r="M3207" s="2">
        <v>2609</v>
      </c>
      <c r="N3207" t="s">
        <v>5280</v>
      </c>
      <c r="O3207">
        <v>3</v>
      </c>
      <c r="P3207">
        <v>2</v>
      </c>
      <c r="Q3207">
        <v>1</v>
      </c>
      <c r="R3207" t="s">
        <v>5281</v>
      </c>
      <c r="S3207" t="s">
        <v>4558</v>
      </c>
      <c r="T3207" t="s">
        <v>2704</v>
      </c>
      <c r="U3207" t="s">
        <v>5631</v>
      </c>
      <c r="V3207" s="2">
        <v>605</v>
      </c>
      <c r="W3207" t="s">
        <v>4655</v>
      </c>
      <c r="X3207" s="2">
        <v>0</v>
      </c>
      <c r="Y3207">
        <v>20</v>
      </c>
      <c r="Z3207" t="s">
        <v>5508</v>
      </c>
      <c r="AA3207" s="3">
        <v>0.35101011395454401</v>
      </c>
      <c r="AB3207" t="s">
        <v>18318</v>
      </c>
      <c r="AC3207" t="s">
        <v>4575</v>
      </c>
      <c r="AD3207" t="s">
        <v>18319</v>
      </c>
      <c r="AE3207" t="s">
        <v>18316</v>
      </c>
      <c r="AF3207" t="s">
        <v>4563</v>
      </c>
      <c r="AG3207" t="s">
        <v>4564</v>
      </c>
      <c r="AH3207">
        <v>89511</v>
      </c>
      <c r="AI3207" t="s">
        <v>18320</v>
      </c>
      <c r="AJ3207" t="s">
        <v>18321</v>
      </c>
      <c r="AK3207" t="s">
        <v>18322</v>
      </c>
      <c r="AL3207" s="13" t="s">
        <v>1894</v>
      </c>
      <c r="AM3207">
        <v>1</v>
      </c>
      <c r="AN3207" s="15" t="s">
        <v>1524</v>
      </c>
    </row>
    <row r="3208" spans="1:40" x14ac:dyDescent="0.3">
      <c r="A3208" s="10" t="str">
        <f>HYPERLINK("http://www.washoecounty.gov/assessor/cama/?parid=049-871-02&amp;CardNumber=1","049-871-02")</f>
        <v>049-871-02</v>
      </c>
      <c r="B3208" t="s">
        <v>4655</v>
      </c>
      <c r="C3208" t="s">
        <v>18323</v>
      </c>
      <c r="D3208" s="1">
        <v>40268</v>
      </c>
      <c r="E3208" s="2">
        <v>950000</v>
      </c>
      <c r="F3208" t="s">
        <v>4567</v>
      </c>
      <c r="G3208" s="17" t="str">
        <f>HYPERLINK("https://www.washoecounty.gov/assessor/cama/?command=sales&amp;parid=04987102","3866126")</f>
        <v>3866126</v>
      </c>
      <c r="H3208" t="s">
        <v>18324</v>
      </c>
      <c r="I3208">
        <v>2002</v>
      </c>
      <c r="J3208">
        <v>2002</v>
      </c>
      <c r="K3208" t="s">
        <v>4554</v>
      </c>
      <c r="L3208" t="s">
        <v>4555</v>
      </c>
      <c r="M3208" s="2">
        <v>4196</v>
      </c>
      <c r="N3208" t="s">
        <v>2008</v>
      </c>
      <c r="O3208">
        <v>6</v>
      </c>
      <c r="P3208">
        <v>4</v>
      </c>
      <c r="Q3208">
        <v>1</v>
      </c>
      <c r="R3208" t="s">
        <v>5281</v>
      </c>
      <c r="S3208" t="s">
        <v>4898</v>
      </c>
      <c r="T3208" t="s">
        <v>2704</v>
      </c>
      <c r="U3208" t="s">
        <v>4560</v>
      </c>
      <c r="V3208" s="2">
        <v>1918</v>
      </c>
      <c r="W3208" t="s">
        <v>4571</v>
      </c>
      <c r="X3208" s="2">
        <v>2838</v>
      </c>
      <c r="Y3208">
        <v>20</v>
      </c>
      <c r="Z3208" t="s">
        <v>3884</v>
      </c>
      <c r="AA3208" s="3">
        <v>2.25</v>
      </c>
      <c r="AB3208" t="s">
        <v>18325</v>
      </c>
      <c r="AC3208" t="s">
        <v>4575</v>
      </c>
      <c r="AD3208" t="s">
        <v>18326</v>
      </c>
      <c r="AE3208" t="s">
        <v>4655</v>
      </c>
      <c r="AF3208" t="s">
        <v>4563</v>
      </c>
      <c r="AG3208" t="s">
        <v>4564</v>
      </c>
      <c r="AH3208">
        <v>89511</v>
      </c>
      <c r="AI3208" t="s">
        <v>18327</v>
      </c>
      <c r="AJ3208" t="s">
        <v>18328</v>
      </c>
      <c r="AK3208" t="s">
        <v>18329</v>
      </c>
      <c r="AL3208" s="13" t="s">
        <v>1895</v>
      </c>
      <c r="AM3208" s="14">
        <v>1</v>
      </c>
      <c r="AN3208" s="15" t="s">
        <v>4137</v>
      </c>
    </row>
    <row r="3209" spans="1:40" x14ac:dyDescent="0.3">
      <c r="A3209" s="10" t="str">
        <f>HYPERLINK("http://www.washoecounty.gov/assessor/cama/?parid=049-871-11&amp;CardNumber=1","049-871-11")</f>
        <v>049-871-11</v>
      </c>
      <c r="B3209" t="s">
        <v>4655</v>
      </c>
      <c r="C3209" t="s">
        <v>18330</v>
      </c>
      <c r="D3209" s="1">
        <v>40284</v>
      </c>
      <c r="E3209" s="2">
        <v>595000</v>
      </c>
      <c r="F3209" t="s">
        <v>3512</v>
      </c>
      <c r="G3209" s="17" t="str">
        <f>HYPERLINK("https://www.washoecounty.gov/assessor/cama/?command=sales&amp;parid=04987111","3872050")</f>
        <v>3872050</v>
      </c>
      <c r="H3209" t="s">
        <v>4655</v>
      </c>
      <c r="I3209">
        <v>2002</v>
      </c>
      <c r="J3209">
        <v>2002</v>
      </c>
      <c r="K3209" t="s">
        <v>4554</v>
      </c>
      <c r="L3209" t="s">
        <v>3886</v>
      </c>
      <c r="M3209" s="2">
        <v>3439</v>
      </c>
      <c r="N3209" t="s">
        <v>5106</v>
      </c>
      <c r="O3209">
        <v>4</v>
      </c>
      <c r="P3209">
        <v>3</v>
      </c>
      <c r="Q3209">
        <v>1</v>
      </c>
      <c r="R3209" t="s">
        <v>5281</v>
      </c>
      <c r="S3209" t="s">
        <v>4898</v>
      </c>
      <c r="T3209" t="s">
        <v>3888</v>
      </c>
      <c r="U3209" t="s">
        <v>162</v>
      </c>
      <c r="V3209" s="2">
        <v>1753</v>
      </c>
      <c r="W3209" t="s">
        <v>4655</v>
      </c>
      <c r="X3209" s="2">
        <v>0</v>
      </c>
      <c r="Y3209">
        <v>20</v>
      </c>
      <c r="Z3209" t="s">
        <v>3884</v>
      </c>
      <c r="AA3209" s="3">
        <v>1.5</v>
      </c>
      <c r="AB3209" t="s">
        <v>18331</v>
      </c>
      <c r="AC3209" t="s">
        <v>4562</v>
      </c>
      <c r="AD3209" t="s">
        <v>18330</v>
      </c>
      <c r="AE3209" t="s">
        <v>4655</v>
      </c>
      <c r="AF3209" t="s">
        <v>4563</v>
      </c>
      <c r="AG3209" t="s">
        <v>4564</v>
      </c>
      <c r="AH3209">
        <v>89511</v>
      </c>
      <c r="AI3209" t="s">
        <v>18332</v>
      </c>
      <c r="AJ3209" t="s">
        <v>18333</v>
      </c>
      <c r="AK3209" t="s">
        <v>18334</v>
      </c>
      <c r="AL3209" s="13" t="s">
        <v>1894</v>
      </c>
      <c r="AM3209" s="14">
        <v>1</v>
      </c>
      <c r="AN3209" s="15" t="s">
        <v>4137</v>
      </c>
    </row>
    <row r="3210" spans="1:40" x14ac:dyDescent="0.3">
      <c r="A3210" s="10" t="str">
        <f>HYPERLINK("http://www.washoecounty.gov/assessor/cama/?parid=049-871-11&amp;CardNumber=1","049-871-11")</f>
        <v>049-871-11</v>
      </c>
      <c r="B3210" t="s">
        <v>4655</v>
      </c>
      <c r="C3210" t="s">
        <v>18330</v>
      </c>
      <c r="D3210" s="1">
        <v>40389</v>
      </c>
      <c r="E3210" s="2">
        <v>700000</v>
      </c>
      <c r="F3210" t="s">
        <v>4567</v>
      </c>
      <c r="G3210" s="17" t="str">
        <f>HYPERLINK("https://www.washoecounty.gov/assessor/cama/?command=sales&amp;parid=04987111","3907447")</f>
        <v>3907447</v>
      </c>
      <c r="H3210" t="s">
        <v>4655</v>
      </c>
      <c r="I3210">
        <v>2002</v>
      </c>
      <c r="J3210">
        <v>2002</v>
      </c>
      <c r="K3210" t="s">
        <v>4554</v>
      </c>
      <c r="L3210" t="s">
        <v>3886</v>
      </c>
      <c r="M3210" s="2">
        <v>3439</v>
      </c>
      <c r="N3210" t="s">
        <v>5106</v>
      </c>
      <c r="O3210">
        <v>4</v>
      </c>
      <c r="P3210">
        <v>3</v>
      </c>
      <c r="Q3210">
        <v>1</v>
      </c>
      <c r="R3210" t="s">
        <v>5281</v>
      </c>
      <c r="S3210" t="s">
        <v>4898</v>
      </c>
      <c r="T3210" t="s">
        <v>3888</v>
      </c>
      <c r="U3210" t="s">
        <v>162</v>
      </c>
      <c r="V3210" s="2">
        <v>1753</v>
      </c>
      <c r="W3210" t="s">
        <v>4655</v>
      </c>
      <c r="X3210" s="2">
        <v>0</v>
      </c>
      <c r="Y3210">
        <v>20</v>
      </c>
      <c r="Z3210" t="s">
        <v>3884</v>
      </c>
      <c r="AA3210" s="3">
        <v>1.5</v>
      </c>
      <c r="AB3210" t="s">
        <v>18331</v>
      </c>
      <c r="AC3210" t="s">
        <v>4562</v>
      </c>
      <c r="AD3210" t="s">
        <v>18330</v>
      </c>
      <c r="AE3210" t="s">
        <v>4655</v>
      </c>
      <c r="AF3210" t="s">
        <v>4563</v>
      </c>
      <c r="AG3210" t="s">
        <v>4564</v>
      </c>
      <c r="AH3210">
        <v>89511</v>
      </c>
      <c r="AI3210" t="s">
        <v>18332</v>
      </c>
      <c r="AJ3210" t="s">
        <v>18333</v>
      </c>
      <c r="AK3210" t="s">
        <v>18334</v>
      </c>
      <c r="AL3210" s="13" t="s">
        <v>1894</v>
      </c>
      <c r="AM3210" s="14">
        <v>1</v>
      </c>
      <c r="AN3210" s="15" t="s">
        <v>4137</v>
      </c>
    </row>
    <row r="3211" spans="1:40" x14ac:dyDescent="0.3">
      <c r="A3211" s="10" t="str">
        <f>HYPERLINK("http://www.washoecounty.gov/assessor/cama/?parid=050-044-01&amp;CardNumber=1","050-044-01")</f>
        <v>050-044-01</v>
      </c>
      <c r="B3211" t="s">
        <v>4655</v>
      </c>
      <c r="C3211" t="s">
        <v>18335</v>
      </c>
      <c r="D3211" s="1">
        <v>40239</v>
      </c>
      <c r="E3211" s="2">
        <v>235000</v>
      </c>
      <c r="F3211" t="s">
        <v>4553</v>
      </c>
      <c r="G3211" s="17" t="str">
        <f>HYPERLINK("https://www.washoecounty.gov/assessor/cama/?command=sales&amp;parid=05004401","3854550")</f>
        <v>3854550</v>
      </c>
      <c r="H3211" t="s">
        <v>392</v>
      </c>
      <c r="I3211">
        <v>1967</v>
      </c>
      <c r="J3211">
        <v>1967</v>
      </c>
      <c r="K3211" t="s">
        <v>4554</v>
      </c>
      <c r="L3211" t="s">
        <v>4555</v>
      </c>
      <c r="M3211" s="2">
        <v>1273</v>
      </c>
      <c r="N3211" t="s">
        <v>4048</v>
      </c>
      <c r="O3211">
        <v>3</v>
      </c>
      <c r="P3211">
        <v>2</v>
      </c>
      <c r="Q3211">
        <v>0</v>
      </c>
      <c r="R3211" t="s">
        <v>4557</v>
      </c>
      <c r="S3211" t="s">
        <v>4135</v>
      </c>
      <c r="T3211" t="s">
        <v>4559</v>
      </c>
      <c r="U3211" t="s">
        <v>4655</v>
      </c>
      <c r="V3211" s="2">
        <v>0</v>
      </c>
      <c r="W3211" t="s">
        <v>4655</v>
      </c>
      <c r="X3211" s="2">
        <v>0</v>
      </c>
      <c r="Y3211">
        <v>20</v>
      </c>
      <c r="Z3211" t="s">
        <v>3884</v>
      </c>
      <c r="AA3211" s="3">
        <v>0.96267217397689819</v>
      </c>
      <c r="AB3211" t="s">
        <v>18336</v>
      </c>
      <c r="AC3211" t="s">
        <v>4562</v>
      </c>
      <c r="AD3211" t="s">
        <v>18335</v>
      </c>
      <c r="AE3211" t="s">
        <v>4655</v>
      </c>
      <c r="AF3211" t="s">
        <v>4563</v>
      </c>
      <c r="AG3211" t="s">
        <v>4564</v>
      </c>
      <c r="AH3211" t="s">
        <v>5197</v>
      </c>
      <c r="AI3211" t="s">
        <v>4045</v>
      </c>
      <c r="AJ3211" t="s">
        <v>18337</v>
      </c>
      <c r="AK3211" t="s">
        <v>18338</v>
      </c>
      <c r="AL3211" s="13" t="s">
        <v>1892</v>
      </c>
      <c r="AM3211">
        <v>1</v>
      </c>
      <c r="AN3211" s="15" t="s">
        <v>388</v>
      </c>
    </row>
    <row r="3212" spans="1:40" x14ac:dyDescent="0.3">
      <c r="A3212" s="10" t="str">
        <f>HYPERLINK("http://www.washoecounty.gov/assessor/cama/?parid=050-045-11&amp;CardNumber=1","050-045-11")</f>
        <v>050-045-11</v>
      </c>
      <c r="B3212" t="s">
        <v>4655</v>
      </c>
      <c r="C3212" t="s">
        <v>18339</v>
      </c>
      <c r="D3212" s="1">
        <v>40399</v>
      </c>
      <c r="E3212" s="2">
        <v>300000</v>
      </c>
      <c r="F3212" t="s">
        <v>4553</v>
      </c>
      <c r="G3212" s="17" t="str">
        <f>HYPERLINK("https://www.washoecounty.gov/assessor/cama/?command=sales&amp;parid=05004511","3909972")</f>
        <v>3909972</v>
      </c>
      <c r="H3212" t="s">
        <v>18340</v>
      </c>
      <c r="I3212">
        <v>1978</v>
      </c>
      <c r="J3212">
        <v>1978</v>
      </c>
      <c r="K3212" t="s">
        <v>4554</v>
      </c>
      <c r="L3212" t="s">
        <v>3974</v>
      </c>
      <c r="M3212" s="2">
        <v>3364</v>
      </c>
      <c r="N3212" t="s">
        <v>5280</v>
      </c>
      <c r="O3212">
        <v>4</v>
      </c>
      <c r="P3212">
        <v>2</v>
      </c>
      <c r="Q3212">
        <v>0</v>
      </c>
      <c r="R3212" t="s">
        <v>4557</v>
      </c>
      <c r="S3212" t="s">
        <v>4135</v>
      </c>
      <c r="T3212" t="s">
        <v>3888</v>
      </c>
      <c r="U3212" t="s">
        <v>4560</v>
      </c>
      <c r="V3212" s="2">
        <v>672</v>
      </c>
      <c r="W3212" t="s">
        <v>4655</v>
      </c>
      <c r="X3212" s="2">
        <v>0</v>
      </c>
      <c r="Y3212">
        <v>20</v>
      </c>
      <c r="Z3212" t="s">
        <v>3884</v>
      </c>
      <c r="AA3212" s="3">
        <v>0.93480259180068903</v>
      </c>
      <c r="AB3212" t="s">
        <v>18341</v>
      </c>
      <c r="AC3212" t="s">
        <v>4562</v>
      </c>
      <c r="AD3212" t="s">
        <v>18339</v>
      </c>
      <c r="AE3212" t="s">
        <v>4655</v>
      </c>
      <c r="AF3212" t="s">
        <v>4563</v>
      </c>
      <c r="AG3212" t="s">
        <v>4564</v>
      </c>
      <c r="AH3212" t="s">
        <v>5197</v>
      </c>
      <c r="AI3212" t="s">
        <v>4585</v>
      </c>
      <c r="AJ3212" t="s">
        <v>18342</v>
      </c>
      <c r="AK3212" t="s">
        <v>18343</v>
      </c>
      <c r="AL3212" s="13" t="s">
        <v>1892</v>
      </c>
      <c r="AM3212" s="14">
        <v>1</v>
      </c>
      <c r="AN3212" s="15" t="s">
        <v>388</v>
      </c>
    </row>
    <row r="3213" spans="1:40" x14ac:dyDescent="0.3">
      <c r="A3213" s="10" t="str">
        <f>HYPERLINK("http://www.washoecounty.gov/assessor/cama/?parid=050-113-26&amp;CardNumber=1","050-113-26")</f>
        <v>050-113-26</v>
      </c>
      <c r="B3213" t="s">
        <v>4655</v>
      </c>
      <c r="C3213" t="s">
        <v>18344</v>
      </c>
      <c r="D3213" s="1">
        <v>40326</v>
      </c>
      <c r="E3213" s="2">
        <v>324700</v>
      </c>
      <c r="F3213" t="s">
        <v>4567</v>
      </c>
      <c r="G3213" s="17" t="str">
        <f>HYPERLINK("https://www.washoecounty.gov/assessor/cama/?command=sales&amp;parid=05011326","3886665")</f>
        <v>3886665</v>
      </c>
      <c r="H3213" t="s">
        <v>18345</v>
      </c>
      <c r="I3213">
        <v>2002</v>
      </c>
      <c r="J3213">
        <v>2002</v>
      </c>
      <c r="K3213" t="s">
        <v>4554</v>
      </c>
      <c r="L3213" t="s">
        <v>4555</v>
      </c>
      <c r="M3213" s="2">
        <v>1676</v>
      </c>
      <c r="N3213" t="s">
        <v>4048</v>
      </c>
      <c r="O3213">
        <v>3</v>
      </c>
      <c r="P3213">
        <v>2</v>
      </c>
      <c r="Q3213">
        <v>0</v>
      </c>
      <c r="R3213" t="s">
        <v>5281</v>
      </c>
      <c r="S3213" t="s">
        <v>4558</v>
      </c>
      <c r="T3213" t="s">
        <v>4559</v>
      </c>
      <c r="U3213" t="s">
        <v>4560</v>
      </c>
      <c r="V3213" s="2">
        <v>564</v>
      </c>
      <c r="W3213" t="s">
        <v>4655</v>
      </c>
      <c r="X3213" s="2">
        <v>0</v>
      </c>
      <c r="Y3213">
        <v>20</v>
      </c>
      <c r="Z3213" t="s">
        <v>3884</v>
      </c>
      <c r="AA3213" s="3">
        <v>1.0003672838211</v>
      </c>
      <c r="AB3213" t="s">
        <v>18346</v>
      </c>
      <c r="AC3213" t="s">
        <v>4575</v>
      </c>
      <c r="AD3213" t="s">
        <v>18344</v>
      </c>
      <c r="AE3213" t="s">
        <v>4655</v>
      </c>
      <c r="AF3213" t="s">
        <v>3114</v>
      </c>
      <c r="AG3213" t="s">
        <v>4564</v>
      </c>
      <c r="AH3213" t="s">
        <v>5197</v>
      </c>
      <c r="AI3213" t="s">
        <v>18347</v>
      </c>
      <c r="AJ3213" t="s">
        <v>4655</v>
      </c>
      <c r="AK3213" t="s">
        <v>18348</v>
      </c>
      <c r="AL3213" s="13" t="s">
        <v>1892</v>
      </c>
      <c r="AM3213" s="14">
        <v>1</v>
      </c>
      <c r="AN3213" s="15" t="s">
        <v>388</v>
      </c>
    </row>
    <row r="3214" spans="1:40" x14ac:dyDescent="0.3">
      <c r="A3214" s="10" t="str">
        <f>HYPERLINK("http://www.washoecounty.gov/assessor/cama/?parid=050-220-54&amp;CardNumber=1","050-220-54")</f>
        <v>050-220-54</v>
      </c>
      <c r="B3214" t="s">
        <v>4655</v>
      </c>
      <c r="C3214" t="s">
        <v>18349</v>
      </c>
      <c r="D3214" s="1">
        <v>40249</v>
      </c>
      <c r="E3214" s="2">
        <v>305100</v>
      </c>
      <c r="F3214" t="s">
        <v>4553</v>
      </c>
      <c r="G3214" s="17" t="str">
        <f>HYPERLINK("https://www.washoecounty.gov/assessor/cama/?command=sales&amp;parid=05022054","3858929")</f>
        <v>3858929</v>
      </c>
      <c r="H3214" t="s">
        <v>18350</v>
      </c>
      <c r="I3214">
        <v>1994</v>
      </c>
      <c r="J3214">
        <v>1994</v>
      </c>
      <c r="K3214" t="s">
        <v>4554</v>
      </c>
      <c r="L3214" t="s">
        <v>3886</v>
      </c>
      <c r="M3214" s="2">
        <v>3418</v>
      </c>
      <c r="N3214" t="s">
        <v>3147</v>
      </c>
      <c r="O3214">
        <v>3</v>
      </c>
      <c r="P3214">
        <v>3</v>
      </c>
      <c r="Q3214">
        <v>0</v>
      </c>
      <c r="R3214" t="s">
        <v>4557</v>
      </c>
      <c r="S3214" t="s">
        <v>4135</v>
      </c>
      <c r="T3214" t="s">
        <v>4559</v>
      </c>
      <c r="U3214" t="s">
        <v>5631</v>
      </c>
      <c r="V3214" s="2">
        <v>916</v>
      </c>
      <c r="W3214" t="s">
        <v>4655</v>
      </c>
      <c r="X3214" s="2">
        <v>0</v>
      </c>
      <c r="Y3214">
        <v>20</v>
      </c>
      <c r="Z3214" t="s">
        <v>3668</v>
      </c>
      <c r="AA3214" s="3">
        <v>1.0899908542632999</v>
      </c>
      <c r="AB3214" t="s">
        <v>18351</v>
      </c>
      <c r="AC3214" t="s">
        <v>4575</v>
      </c>
      <c r="AD3214" t="s">
        <v>18352</v>
      </c>
      <c r="AE3214" t="s">
        <v>4655</v>
      </c>
      <c r="AF3214" t="s">
        <v>4563</v>
      </c>
      <c r="AG3214" t="s">
        <v>4564</v>
      </c>
      <c r="AH3214">
        <v>89502</v>
      </c>
      <c r="AI3214" t="s">
        <v>4503</v>
      </c>
      <c r="AJ3214" t="s">
        <v>18353</v>
      </c>
      <c r="AK3214" t="s">
        <v>18354</v>
      </c>
      <c r="AL3214" s="13" t="s">
        <v>1892</v>
      </c>
      <c r="AM3214" s="14">
        <v>1</v>
      </c>
      <c r="AN3214" s="15" t="s">
        <v>900</v>
      </c>
    </row>
    <row r="3215" spans="1:40" x14ac:dyDescent="0.3">
      <c r="A3215" s="10" t="str">
        <f>HYPERLINK("http://www.washoecounty.gov/assessor/cama/?parid=050-233-02&amp;CardNumber=1","050-233-02")</f>
        <v>050-233-02</v>
      </c>
      <c r="B3215" t="s">
        <v>4655</v>
      </c>
      <c r="C3215" t="s">
        <v>18355</v>
      </c>
      <c r="D3215" s="1">
        <v>40326</v>
      </c>
      <c r="E3215" s="2">
        <v>325000</v>
      </c>
      <c r="F3215" t="s">
        <v>4567</v>
      </c>
      <c r="G3215" s="17" t="str">
        <f>HYPERLINK("https://www.washoecounty.gov/assessor/cama/?command=sales&amp;parid=05023302","3886808")</f>
        <v>3886808</v>
      </c>
      <c r="H3215" t="s">
        <v>4161</v>
      </c>
      <c r="I3215">
        <v>2007</v>
      </c>
      <c r="J3215">
        <v>2007</v>
      </c>
      <c r="K3215" t="s">
        <v>4554</v>
      </c>
      <c r="L3215" t="s">
        <v>4555</v>
      </c>
      <c r="M3215" s="2">
        <v>2448</v>
      </c>
      <c r="N3215" t="s">
        <v>3147</v>
      </c>
      <c r="O3215">
        <v>4</v>
      </c>
      <c r="P3215">
        <v>3</v>
      </c>
      <c r="Q3215">
        <v>0</v>
      </c>
      <c r="R3215" t="s">
        <v>5281</v>
      </c>
      <c r="S3215" t="s">
        <v>4898</v>
      </c>
      <c r="T3215" t="s">
        <v>4559</v>
      </c>
      <c r="U3215" t="s">
        <v>4560</v>
      </c>
      <c r="V3215" s="2">
        <v>732</v>
      </c>
      <c r="W3215" t="s">
        <v>4655</v>
      </c>
      <c r="X3215" s="2">
        <v>0</v>
      </c>
      <c r="Y3215">
        <v>20</v>
      </c>
      <c r="Z3215" t="s">
        <v>3884</v>
      </c>
      <c r="AA3215" s="3">
        <v>1.11999535560607</v>
      </c>
      <c r="AB3215" t="s">
        <v>18356</v>
      </c>
      <c r="AC3215" t="s">
        <v>4575</v>
      </c>
      <c r="AD3215" t="s">
        <v>18357</v>
      </c>
      <c r="AE3215" t="s">
        <v>18358</v>
      </c>
      <c r="AF3215" t="s">
        <v>5151</v>
      </c>
      <c r="AG3215" t="s">
        <v>4564</v>
      </c>
      <c r="AH3215" t="s">
        <v>4488</v>
      </c>
      <c r="AI3215" t="s">
        <v>18359</v>
      </c>
      <c r="AJ3215" t="s">
        <v>4655</v>
      </c>
      <c r="AK3215" t="s">
        <v>18360</v>
      </c>
      <c r="AL3215" s="13" t="s">
        <v>1892</v>
      </c>
      <c r="AM3215">
        <v>1</v>
      </c>
      <c r="AN3215" s="15" t="s">
        <v>900</v>
      </c>
    </row>
    <row r="3216" spans="1:40" x14ac:dyDescent="0.3">
      <c r="A3216" s="10" t="str">
        <f>HYPERLINK("http://www.washoecounty.gov/assessor/cama/?parid=050-234-25&amp;CardNumber=1","050-234-25")</f>
        <v>050-234-25</v>
      </c>
      <c r="B3216" t="s">
        <v>4655</v>
      </c>
      <c r="C3216" t="s">
        <v>18361</v>
      </c>
      <c r="D3216" s="1">
        <v>40308</v>
      </c>
      <c r="E3216" s="2">
        <v>185000</v>
      </c>
      <c r="F3216" t="s">
        <v>4553</v>
      </c>
      <c r="G3216" s="17" t="str">
        <f>HYPERLINK("https://www.washoecounty.gov/assessor/cama/?command=sales&amp;parid=05023425","3879605")</f>
        <v>3879605</v>
      </c>
      <c r="H3216" t="s">
        <v>18362</v>
      </c>
      <c r="I3216">
        <v>1979</v>
      </c>
      <c r="J3216">
        <v>1979</v>
      </c>
      <c r="K3216" t="s">
        <v>4554</v>
      </c>
      <c r="L3216" t="s">
        <v>4555</v>
      </c>
      <c r="M3216" s="2">
        <v>1630</v>
      </c>
      <c r="N3216" t="s">
        <v>4048</v>
      </c>
      <c r="O3216">
        <v>3</v>
      </c>
      <c r="P3216">
        <v>2</v>
      </c>
      <c r="Q3216">
        <v>0</v>
      </c>
      <c r="R3216" t="s">
        <v>4557</v>
      </c>
      <c r="S3216" t="s">
        <v>3148</v>
      </c>
      <c r="T3216" t="s">
        <v>4559</v>
      </c>
      <c r="U3216" t="s">
        <v>4560</v>
      </c>
      <c r="V3216" s="2">
        <v>630</v>
      </c>
      <c r="W3216" t="s">
        <v>4655</v>
      </c>
      <c r="X3216" s="2">
        <v>0</v>
      </c>
      <c r="Y3216">
        <v>20</v>
      </c>
      <c r="Z3216" t="s">
        <v>3884</v>
      </c>
      <c r="AA3216" s="3">
        <v>1</v>
      </c>
      <c r="AB3216" t="s">
        <v>18363</v>
      </c>
      <c r="AC3216" t="s">
        <v>4562</v>
      </c>
      <c r="AD3216" t="s">
        <v>18361</v>
      </c>
      <c r="AE3216" t="s">
        <v>4655</v>
      </c>
      <c r="AF3216" t="s">
        <v>1377</v>
      </c>
      <c r="AG3216" t="s">
        <v>4564</v>
      </c>
      <c r="AH3216">
        <v>89704</v>
      </c>
      <c r="AI3216" t="s">
        <v>4903</v>
      </c>
      <c r="AJ3216" t="s">
        <v>4655</v>
      </c>
      <c r="AK3216" t="s">
        <v>18364</v>
      </c>
      <c r="AL3216" s="13" t="s">
        <v>1892</v>
      </c>
      <c r="AM3216">
        <v>1</v>
      </c>
      <c r="AN3216" s="15" t="s">
        <v>900</v>
      </c>
    </row>
    <row r="3217" spans="1:40" x14ac:dyDescent="0.3">
      <c r="A3217" s="10" t="str">
        <f>HYPERLINK("http://www.washoecounty.gov/assessor/cama/?parid=050-252-02&amp;CardNumber=1","050-252-02")</f>
        <v>050-252-02</v>
      </c>
      <c r="B3217" t="s">
        <v>4655</v>
      </c>
      <c r="C3217" t="s">
        <v>18365</v>
      </c>
      <c r="D3217" s="1">
        <v>40340</v>
      </c>
      <c r="E3217" s="2">
        <v>169000</v>
      </c>
      <c r="F3217" t="s">
        <v>4553</v>
      </c>
      <c r="G3217" s="17" t="str">
        <f>HYPERLINK("https://www.washoecounty.gov/assessor/cama/?command=sales&amp;parid=05025202","3891064")</f>
        <v>3891064</v>
      </c>
      <c r="H3217" t="s">
        <v>2812</v>
      </c>
      <c r="I3217">
        <v>1962</v>
      </c>
      <c r="J3217">
        <v>1970</v>
      </c>
      <c r="K3217" t="s">
        <v>4554</v>
      </c>
      <c r="L3217" t="s">
        <v>4555</v>
      </c>
      <c r="M3217" s="2">
        <v>1890</v>
      </c>
      <c r="N3217" t="s">
        <v>4556</v>
      </c>
      <c r="O3217">
        <v>4</v>
      </c>
      <c r="P3217">
        <v>2</v>
      </c>
      <c r="Q3217">
        <v>0</v>
      </c>
      <c r="R3217" t="s">
        <v>4557</v>
      </c>
      <c r="S3217" t="s">
        <v>4135</v>
      </c>
      <c r="T3217" t="s">
        <v>4559</v>
      </c>
      <c r="U3217" t="s">
        <v>4560</v>
      </c>
      <c r="V3217" s="2">
        <v>484</v>
      </c>
      <c r="W3217" t="s">
        <v>4655</v>
      </c>
      <c r="X3217" s="2">
        <v>0</v>
      </c>
      <c r="Y3217">
        <v>20</v>
      </c>
      <c r="Z3217" t="s">
        <v>3884</v>
      </c>
      <c r="AA3217" s="3">
        <v>1.0599999427795399</v>
      </c>
      <c r="AB3217" t="s">
        <v>18366</v>
      </c>
      <c r="AC3217" t="s">
        <v>4562</v>
      </c>
      <c r="AD3217" t="s">
        <v>18365</v>
      </c>
      <c r="AE3217" t="s">
        <v>4655</v>
      </c>
      <c r="AF3217" t="s">
        <v>1377</v>
      </c>
      <c r="AG3217" t="s">
        <v>4564</v>
      </c>
      <c r="AH3217">
        <v>89704</v>
      </c>
      <c r="AI3217" t="s">
        <v>4903</v>
      </c>
      <c r="AJ3217" t="s">
        <v>4655</v>
      </c>
      <c r="AK3217" t="s">
        <v>18367</v>
      </c>
      <c r="AL3217" s="13" t="s">
        <v>1892</v>
      </c>
      <c r="AM3217" s="14">
        <v>1</v>
      </c>
      <c r="AN3217" s="15" t="s">
        <v>963</v>
      </c>
    </row>
    <row r="3218" spans="1:40" x14ac:dyDescent="0.3">
      <c r="A3218" s="10" t="str">
        <f>HYPERLINK("http://www.washoecounty.gov/assessor/cama/?parid=050-252-05&amp;CardNumber=1","050-252-05")</f>
        <v>050-252-05</v>
      </c>
      <c r="B3218" t="s">
        <v>4655</v>
      </c>
      <c r="C3218" t="s">
        <v>18368</v>
      </c>
      <c r="D3218" s="1">
        <v>40344</v>
      </c>
      <c r="E3218" s="2">
        <v>190000</v>
      </c>
      <c r="F3218" t="s">
        <v>4567</v>
      </c>
      <c r="G3218" s="17" t="str">
        <f>HYPERLINK("https://www.washoecounty.gov/assessor/cama/?command=sales&amp;parid=05025205","3892132")</f>
        <v>3892132</v>
      </c>
      <c r="H3218" t="s">
        <v>18369</v>
      </c>
      <c r="I3218">
        <v>1979</v>
      </c>
      <c r="J3218">
        <v>1980</v>
      </c>
      <c r="K3218" t="s">
        <v>4554</v>
      </c>
      <c r="L3218" t="s">
        <v>4555</v>
      </c>
      <c r="M3218" s="2">
        <v>1640</v>
      </c>
      <c r="N3218" t="s">
        <v>4556</v>
      </c>
      <c r="O3218">
        <v>3</v>
      </c>
      <c r="P3218">
        <v>2</v>
      </c>
      <c r="Q3218">
        <v>0</v>
      </c>
      <c r="R3218" t="s">
        <v>4557</v>
      </c>
      <c r="S3218" t="s">
        <v>3148</v>
      </c>
      <c r="T3218" t="s">
        <v>4143</v>
      </c>
      <c r="U3218" t="s">
        <v>4560</v>
      </c>
      <c r="V3218" s="2">
        <v>816</v>
      </c>
      <c r="W3218" t="s">
        <v>4655</v>
      </c>
      <c r="X3218" s="2">
        <v>0</v>
      </c>
      <c r="Y3218">
        <v>20</v>
      </c>
      <c r="Z3218" t="s">
        <v>3884</v>
      </c>
      <c r="AA3218" s="3">
        <v>1.00999999046325</v>
      </c>
      <c r="AB3218" t="s">
        <v>3320</v>
      </c>
      <c r="AC3218" t="s">
        <v>4575</v>
      </c>
      <c r="AD3218" t="s">
        <v>10927</v>
      </c>
      <c r="AE3218" t="s">
        <v>4655</v>
      </c>
      <c r="AF3218" t="s">
        <v>4563</v>
      </c>
      <c r="AG3218" t="s">
        <v>4564</v>
      </c>
      <c r="AH3218" t="s">
        <v>5197</v>
      </c>
      <c r="AI3218" t="s">
        <v>18370</v>
      </c>
      <c r="AJ3218" t="s">
        <v>4655</v>
      </c>
      <c r="AK3218" t="s">
        <v>18371</v>
      </c>
      <c r="AL3218" s="13" t="s">
        <v>1892</v>
      </c>
      <c r="AM3218" s="14">
        <v>1</v>
      </c>
      <c r="AN3218" s="15" t="s">
        <v>963</v>
      </c>
    </row>
    <row r="3219" spans="1:40" x14ac:dyDescent="0.3">
      <c r="A3219" s="10" t="str">
        <f>HYPERLINK("http://www.washoecounty.gov/assessor/cama/?parid=050-303-16&amp;CardNumber=1","050-303-16")</f>
        <v>050-303-16</v>
      </c>
      <c r="B3219" t="s">
        <v>4655</v>
      </c>
      <c r="C3219" t="s">
        <v>18372</v>
      </c>
      <c r="D3219" s="1">
        <v>40421</v>
      </c>
      <c r="E3219" s="2">
        <v>425000</v>
      </c>
      <c r="F3219" t="s">
        <v>4567</v>
      </c>
      <c r="G3219" s="17" t="str">
        <f>HYPERLINK("https://www.washoecounty.gov/assessor/cama/?command=sales&amp;parid=05030316","3917485")</f>
        <v>3917485</v>
      </c>
      <c r="H3219" t="s">
        <v>18373</v>
      </c>
      <c r="I3219">
        <v>2004</v>
      </c>
      <c r="J3219">
        <v>2004</v>
      </c>
      <c r="K3219" t="s">
        <v>4554</v>
      </c>
      <c r="L3219" t="s">
        <v>3886</v>
      </c>
      <c r="M3219" s="2">
        <v>3080</v>
      </c>
      <c r="N3219" t="s">
        <v>1245</v>
      </c>
      <c r="O3219">
        <v>4</v>
      </c>
      <c r="P3219">
        <v>3</v>
      </c>
      <c r="Q3219">
        <v>0</v>
      </c>
      <c r="R3219" t="s">
        <v>5281</v>
      </c>
      <c r="S3219" t="s">
        <v>4898</v>
      </c>
      <c r="T3219" t="s">
        <v>4559</v>
      </c>
      <c r="U3219" t="s">
        <v>5631</v>
      </c>
      <c r="V3219" s="2">
        <v>840</v>
      </c>
      <c r="W3219" t="s">
        <v>4655</v>
      </c>
      <c r="X3219" s="2">
        <v>0</v>
      </c>
      <c r="Y3219">
        <v>20</v>
      </c>
      <c r="Z3219" t="s">
        <v>1376</v>
      </c>
      <c r="AA3219" s="3">
        <v>4.4439997673034597</v>
      </c>
      <c r="AB3219" t="s">
        <v>18374</v>
      </c>
      <c r="AC3219" t="s">
        <v>4575</v>
      </c>
      <c r="AD3219" t="s">
        <v>18375</v>
      </c>
      <c r="AE3219" t="s">
        <v>18376</v>
      </c>
      <c r="AF3219" t="s">
        <v>1377</v>
      </c>
      <c r="AG3219" t="s">
        <v>4564</v>
      </c>
      <c r="AH3219">
        <v>89704</v>
      </c>
      <c r="AI3219" t="s">
        <v>18377</v>
      </c>
      <c r="AJ3219" t="s">
        <v>18378</v>
      </c>
      <c r="AK3219" t="s">
        <v>18379</v>
      </c>
      <c r="AL3219" s="13" t="s">
        <v>1892</v>
      </c>
      <c r="AM3219" s="14">
        <v>1</v>
      </c>
      <c r="AN3219" s="15" t="s">
        <v>4020</v>
      </c>
    </row>
    <row r="3220" spans="1:40" x14ac:dyDescent="0.3">
      <c r="A3220" s="10" t="str">
        <f>HYPERLINK("http://www.washoecounty.gov/assessor/cama/?parid=050-304-13&amp;CardNumber=1","050-304-13")</f>
        <v>050-304-13</v>
      </c>
      <c r="B3220" t="s">
        <v>4655</v>
      </c>
      <c r="C3220" t="s">
        <v>18380</v>
      </c>
      <c r="D3220" s="1">
        <v>40326</v>
      </c>
      <c r="E3220" s="2">
        <v>180000</v>
      </c>
      <c r="F3220" t="s">
        <v>3259</v>
      </c>
      <c r="G3220" s="17" t="str">
        <f>HYPERLINK("https://www.washoecounty.gov/assessor/cama/?command=sales&amp;parid=05030413","3886388")</f>
        <v>3886388</v>
      </c>
      <c r="H3220" t="s">
        <v>18381</v>
      </c>
      <c r="I3220">
        <v>0</v>
      </c>
      <c r="J3220">
        <v>0</v>
      </c>
      <c r="K3220" t="s">
        <v>4655</v>
      </c>
      <c r="L3220" t="s">
        <v>4655</v>
      </c>
      <c r="M3220" s="2">
        <v>0</v>
      </c>
      <c r="N3220" t="s">
        <v>4655</v>
      </c>
      <c r="O3220">
        <v>0</v>
      </c>
      <c r="P3220">
        <v>0</v>
      </c>
      <c r="Q3220">
        <v>0</v>
      </c>
      <c r="R3220" t="s">
        <v>4655</v>
      </c>
      <c r="S3220" t="s">
        <v>4655</v>
      </c>
      <c r="T3220" t="s">
        <v>4655</v>
      </c>
      <c r="U3220" t="s">
        <v>4655</v>
      </c>
      <c r="V3220" s="2">
        <v>0</v>
      </c>
      <c r="W3220" t="s">
        <v>4655</v>
      </c>
      <c r="X3220" s="2">
        <v>0</v>
      </c>
      <c r="Y3220">
        <v>12</v>
      </c>
      <c r="Z3220" t="s">
        <v>1376</v>
      </c>
      <c r="AA3220" s="3">
        <v>4.9710001945495597</v>
      </c>
      <c r="AB3220" t="s">
        <v>18382</v>
      </c>
      <c r="AC3220" t="s">
        <v>4562</v>
      </c>
      <c r="AD3220" t="s">
        <v>18383</v>
      </c>
      <c r="AE3220" t="s">
        <v>4655</v>
      </c>
      <c r="AF3220" t="s">
        <v>1407</v>
      </c>
      <c r="AG3220" t="s">
        <v>4564</v>
      </c>
      <c r="AH3220">
        <v>89704</v>
      </c>
      <c r="AI3220" t="s">
        <v>18384</v>
      </c>
      <c r="AJ3220" t="s">
        <v>18385</v>
      </c>
      <c r="AK3220" t="s">
        <v>18386</v>
      </c>
      <c r="AL3220" s="13" t="s">
        <v>1892</v>
      </c>
      <c r="AM3220">
        <v>0</v>
      </c>
      <c r="AN3220" s="15" t="s">
        <v>4020</v>
      </c>
    </row>
    <row r="3221" spans="1:40" x14ac:dyDescent="0.3">
      <c r="A3221" s="10" t="str">
        <f>HYPERLINK("http://www.washoecounty.gov/assessor/cama/?parid=050-304-24&amp;CardNumber=1","050-304-24")</f>
        <v>050-304-24</v>
      </c>
      <c r="B3221" t="s">
        <v>4655</v>
      </c>
      <c r="C3221" t="s">
        <v>18387</v>
      </c>
      <c r="D3221" s="1">
        <v>40438</v>
      </c>
      <c r="E3221" s="2">
        <v>195000</v>
      </c>
      <c r="F3221" t="s">
        <v>3259</v>
      </c>
      <c r="G3221" s="17" t="str">
        <f>HYPERLINK("https://www.washoecounty.gov/assessor/cama/?command=sales&amp;parid=05030424","3923246")</f>
        <v>3923246</v>
      </c>
      <c r="H3221" t="s">
        <v>18388</v>
      </c>
      <c r="I3221">
        <v>0</v>
      </c>
      <c r="J3221">
        <v>0</v>
      </c>
      <c r="K3221" t="s">
        <v>4655</v>
      </c>
      <c r="L3221" t="s">
        <v>4655</v>
      </c>
      <c r="M3221" s="2">
        <v>0</v>
      </c>
      <c r="N3221" t="s">
        <v>4655</v>
      </c>
      <c r="O3221">
        <v>0</v>
      </c>
      <c r="P3221">
        <v>0</v>
      </c>
      <c r="Q3221">
        <v>0</v>
      </c>
      <c r="R3221" t="s">
        <v>4655</v>
      </c>
      <c r="S3221" t="s">
        <v>4655</v>
      </c>
      <c r="T3221" t="s">
        <v>4655</v>
      </c>
      <c r="U3221" t="s">
        <v>4655</v>
      </c>
      <c r="V3221" s="2">
        <v>0</v>
      </c>
      <c r="W3221" t="s">
        <v>4655</v>
      </c>
      <c r="X3221" s="2">
        <v>0</v>
      </c>
      <c r="Y3221">
        <v>12</v>
      </c>
      <c r="Z3221" t="s">
        <v>1376</v>
      </c>
      <c r="AA3221" s="3">
        <v>4.4489998817443848</v>
      </c>
      <c r="AB3221" t="s">
        <v>18389</v>
      </c>
      <c r="AC3221" t="s">
        <v>4575</v>
      </c>
      <c r="AD3221" t="s">
        <v>18390</v>
      </c>
      <c r="AE3221" t="s">
        <v>18391</v>
      </c>
      <c r="AF3221" t="s">
        <v>1189</v>
      </c>
      <c r="AG3221" t="s">
        <v>4564</v>
      </c>
      <c r="AH3221">
        <v>89120</v>
      </c>
      <c r="AI3221" t="s">
        <v>1127</v>
      </c>
      <c r="AJ3221" t="s">
        <v>18392</v>
      </c>
      <c r="AK3221" t="s">
        <v>18393</v>
      </c>
      <c r="AL3221" s="13" t="s">
        <v>1892</v>
      </c>
      <c r="AM3221" s="14">
        <v>0</v>
      </c>
      <c r="AN3221" s="15" t="s">
        <v>4020</v>
      </c>
    </row>
    <row r="3222" spans="1:40" x14ac:dyDescent="0.3">
      <c r="A3222" s="10" t="str">
        <f>HYPERLINK("http://www.washoecounty.gov/assessor/cama/?parid=050-310-24&amp;CardNumber=1","050-310-24")</f>
        <v>050-310-24</v>
      </c>
      <c r="B3222" t="s">
        <v>4655</v>
      </c>
      <c r="C3222" t="s">
        <v>18394</v>
      </c>
      <c r="D3222" s="1">
        <v>40490</v>
      </c>
      <c r="E3222" s="2">
        <v>408000</v>
      </c>
      <c r="F3222" t="s">
        <v>4567</v>
      </c>
      <c r="G3222" s="17" t="str">
        <f>HYPERLINK("https://www.washoecounty.gov/assessor/cama/?command=sales&amp;parid=05031024","3940940")</f>
        <v>3940940</v>
      </c>
      <c r="H3222" t="s">
        <v>5377</v>
      </c>
      <c r="I3222">
        <v>1997</v>
      </c>
      <c r="J3222">
        <v>1997</v>
      </c>
      <c r="K3222" t="s">
        <v>4554</v>
      </c>
      <c r="L3222" t="s">
        <v>4555</v>
      </c>
      <c r="M3222" s="2">
        <v>3202</v>
      </c>
      <c r="N3222" t="s">
        <v>1245</v>
      </c>
      <c r="O3222">
        <v>4</v>
      </c>
      <c r="P3222">
        <v>4</v>
      </c>
      <c r="Q3222">
        <v>0</v>
      </c>
      <c r="R3222" t="s">
        <v>5281</v>
      </c>
      <c r="S3222" t="s">
        <v>4682</v>
      </c>
      <c r="T3222" t="s">
        <v>2704</v>
      </c>
      <c r="U3222" t="s">
        <v>4560</v>
      </c>
      <c r="V3222" s="2">
        <v>1120</v>
      </c>
      <c r="W3222" t="s">
        <v>4655</v>
      </c>
      <c r="X3222" s="2">
        <v>0</v>
      </c>
      <c r="Y3222">
        <v>20</v>
      </c>
      <c r="Z3222" t="s">
        <v>3884</v>
      </c>
      <c r="AA3222" s="3">
        <v>0.59499537944793701</v>
      </c>
      <c r="AB3222" t="s">
        <v>18395</v>
      </c>
      <c r="AC3222" t="s">
        <v>4562</v>
      </c>
      <c r="AD3222" t="s">
        <v>18394</v>
      </c>
      <c r="AE3222" t="s">
        <v>4655</v>
      </c>
      <c r="AF3222" t="s">
        <v>1407</v>
      </c>
      <c r="AG3222" t="s">
        <v>4564</v>
      </c>
      <c r="AH3222">
        <v>89704</v>
      </c>
      <c r="AI3222" t="s">
        <v>18396</v>
      </c>
      <c r="AJ3222" t="s">
        <v>4655</v>
      </c>
      <c r="AK3222" t="s">
        <v>18397</v>
      </c>
      <c r="AL3222" s="13" t="s">
        <v>1892</v>
      </c>
      <c r="AM3222" s="14">
        <v>1</v>
      </c>
      <c r="AN3222" s="15" t="s">
        <v>5378</v>
      </c>
    </row>
    <row r="3223" spans="1:40" x14ac:dyDescent="0.3">
      <c r="A3223" s="10" t="str">
        <f>HYPERLINK("http://www.washoecounty.gov/assessor/cama/?parid=050-310-39&amp;CardNumber=1","050-310-39")</f>
        <v>050-310-39</v>
      </c>
      <c r="B3223" t="s">
        <v>4655</v>
      </c>
      <c r="C3223" t="s">
        <v>18398</v>
      </c>
      <c r="D3223" s="1">
        <v>40448</v>
      </c>
      <c r="E3223" s="2">
        <v>289000</v>
      </c>
      <c r="F3223" t="s">
        <v>4553</v>
      </c>
      <c r="G3223" s="17" t="str">
        <f>HYPERLINK("https://www.washoecounty.gov/assessor/cama/?command=sales&amp;parid=05031039","3926578")</f>
        <v>3926578</v>
      </c>
      <c r="H3223" t="s">
        <v>5377</v>
      </c>
      <c r="I3223">
        <v>1992</v>
      </c>
      <c r="J3223">
        <v>1992</v>
      </c>
      <c r="K3223" t="s">
        <v>4554</v>
      </c>
      <c r="L3223" t="s">
        <v>4555</v>
      </c>
      <c r="M3223" s="2">
        <v>2112</v>
      </c>
      <c r="N3223" t="s">
        <v>3147</v>
      </c>
      <c r="O3223">
        <v>3</v>
      </c>
      <c r="P3223">
        <v>2</v>
      </c>
      <c r="Q3223">
        <v>1</v>
      </c>
      <c r="R3223" t="s">
        <v>4557</v>
      </c>
      <c r="S3223" t="s">
        <v>3148</v>
      </c>
      <c r="T3223" t="s">
        <v>2704</v>
      </c>
      <c r="U3223" t="s">
        <v>4560</v>
      </c>
      <c r="V3223" s="2">
        <v>736</v>
      </c>
      <c r="W3223" t="s">
        <v>4655</v>
      </c>
      <c r="X3223" s="2">
        <v>0</v>
      </c>
      <c r="Y3223">
        <v>20</v>
      </c>
      <c r="Z3223" t="s">
        <v>3884</v>
      </c>
      <c r="AA3223" s="3">
        <v>0.51698803901672297</v>
      </c>
      <c r="AB3223" t="s">
        <v>18399</v>
      </c>
      <c r="AC3223" t="s">
        <v>4575</v>
      </c>
      <c r="AD3223" t="s">
        <v>18400</v>
      </c>
      <c r="AE3223" t="s">
        <v>18398</v>
      </c>
      <c r="AF3223" t="s">
        <v>1377</v>
      </c>
      <c r="AG3223" t="s">
        <v>4564</v>
      </c>
      <c r="AH3223">
        <v>89704</v>
      </c>
      <c r="AI3223" t="s">
        <v>4903</v>
      </c>
      <c r="AJ3223" t="s">
        <v>4655</v>
      </c>
      <c r="AK3223" t="s">
        <v>18401</v>
      </c>
      <c r="AL3223" s="13" t="s">
        <v>1892</v>
      </c>
      <c r="AM3223">
        <v>1</v>
      </c>
      <c r="AN3223" s="15" t="s">
        <v>5378</v>
      </c>
    </row>
    <row r="3224" spans="1:40" x14ac:dyDescent="0.3">
      <c r="A3224" s="10" t="str">
        <f>HYPERLINK("http://www.washoecounty.gov/assessor/cama/?parid=050-363-08&amp;CardNumber=1","050-363-08")</f>
        <v>050-363-08</v>
      </c>
      <c r="B3224" t="s">
        <v>4655</v>
      </c>
      <c r="C3224" t="s">
        <v>18402</v>
      </c>
      <c r="D3224" s="1">
        <v>40304</v>
      </c>
      <c r="E3224" s="2">
        <v>212000</v>
      </c>
      <c r="F3224" t="s">
        <v>4567</v>
      </c>
      <c r="G3224" s="17" t="str">
        <f>HYPERLINK("https://www.washoecounty.gov/assessor/cama/?command=sales&amp;parid=05036308","3878938")</f>
        <v>3878938</v>
      </c>
      <c r="H3224" t="s">
        <v>901</v>
      </c>
      <c r="I3224">
        <v>1963</v>
      </c>
      <c r="J3224">
        <v>1963</v>
      </c>
      <c r="K3224" t="s">
        <v>4554</v>
      </c>
      <c r="L3224" t="s">
        <v>2170</v>
      </c>
      <c r="M3224" s="2">
        <v>1240</v>
      </c>
      <c r="N3224" t="s">
        <v>4048</v>
      </c>
      <c r="O3224">
        <v>4</v>
      </c>
      <c r="P3224">
        <v>3</v>
      </c>
      <c r="Q3224">
        <v>0</v>
      </c>
      <c r="R3224" t="s">
        <v>4557</v>
      </c>
      <c r="S3224" t="s">
        <v>4135</v>
      </c>
      <c r="T3224" t="s">
        <v>4559</v>
      </c>
      <c r="U3224" t="s">
        <v>162</v>
      </c>
      <c r="V3224" s="2">
        <v>769</v>
      </c>
      <c r="W3224" t="s">
        <v>3149</v>
      </c>
      <c r="X3224" s="2">
        <v>1215</v>
      </c>
      <c r="Y3224">
        <v>20</v>
      </c>
      <c r="Z3224" t="s">
        <v>3884</v>
      </c>
      <c r="AA3224" s="3">
        <v>1.0199999809265099</v>
      </c>
      <c r="AB3224" t="s">
        <v>18403</v>
      </c>
      <c r="AC3224" t="s">
        <v>4562</v>
      </c>
      <c r="AD3224" t="s">
        <v>18404</v>
      </c>
      <c r="AE3224" t="s">
        <v>4655</v>
      </c>
      <c r="AF3224" t="s">
        <v>2487</v>
      </c>
      <c r="AG3224" t="s">
        <v>4564</v>
      </c>
      <c r="AH3224">
        <v>89704</v>
      </c>
      <c r="AI3224" t="s">
        <v>3522</v>
      </c>
      <c r="AJ3224" t="s">
        <v>4655</v>
      </c>
      <c r="AK3224" t="s">
        <v>18405</v>
      </c>
      <c r="AL3224" s="13" t="s">
        <v>1892</v>
      </c>
      <c r="AM3224">
        <v>1</v>
      </c>
      <c r="AN3224" s="15" t="s">
        <v>963</v>
      </c>
    </row>
    <row r="3225" spans="1:40" x14ac:dyDescent="0.3">
      <c r="A3225" s="10" t="str">
        <f>HYPERLINK("http://www.washoecounty.gov/assessor/cama/?parid=050-364-12&amp;CardNumber=1","050-364-12")</f>
        <v>050-364-12</v>
      </c>
      <c r="B3225" t="s">
        <v>4655</v>
      </c>
      <c r="C3225" t="s">
        <v>18406</v>
      </c>
      <c r="D3225" s="1">
        <v>40247</v>
      </c>
      <c r="E3225" s="2">
        <v>375000</v>
      </c>
      <c r="F3225" t="s">
        <v>4567</v>
      </c>
      <c r="G3225" s="17" t="str">
        <f>HYPERLINK("https://www.washoecounty.gov/assessor/cama/?command=sales&amp;parid=05036412","3858110")</f>
        <v>3858110</v>
      </c>
      <c r="H3225" t="s">
        <v>901</v>
      </c>
      <c r="I3225">
        <v>1992</v>
      </c>
      <c r="J3225">
        <v>1992</v>
      </c>
      <c r="K3225" t="s">
        <v>4554</v>
      </c>
      <c r="L3225" t="s">
        <v>3974</v>
      </c>
      <c r="M3225" s="2">
        <v>4092</v>
      </c>
      <c r="N3225" t="s">
        <v>3147</v>
      </c>
      <c r="O3225">
        <v>3</v>
      </c>
      <c r="P3225">
        <v>2</v>
      </c>
      <c r="Q3225">
        <v>1</v>
      </c>
      <c r="R3225" t="s">
        <v>5281</v>
      </c>
      <c r="S3225" t="s">
        <v>4558</v>
      </c>
      <c r="T3225" t="s">
        <v>4559</v>
      </c>
      <c r="U3225" t="s">
        <v>5631</v>
      </c>
      <c r="V3225" s="2">
        <v>1272</v>
      </c>
      <c r="W3225" t="s">
        <v>4655</v>
      </c>
      <c r="X3225" s="2">
        <v>0</v>
      </c>
      <c r="Y3225">
        <v>20</v>
      </c>
      <c r="Z3225" t="s">
        <v>3884</v>
      </c>
      <c r="AA3225" s="3">
        <v>0.81000000238418501</v>
      </c>
      <c r="AB3225" t="s">
        <v>18407</v>
      </c>
      <c r="AC3225" t="s">
        <v>4562</v>
      </c>
      <c r="AD3225" t="s">
        <v>18406</v>
      </c>
      <c r="AE3225" t="s">
        <v>4655</v>
      </c>
      <c r="AF3225" t="s">
        <v>1407</v>
      </c>
      <c r="AG3225" t="s">
        <v>4564</v>
      </c>
      <c r="AH3225">
        <v>89704</v>
      </c>
      <c r="AI3225" t="s">
        <v>18408</v>
      </c>
      <c r="AJ3225" t="s">
        <v>4655</v>
      </c>
      <c r="AK3225" t="s">
        <v>18409</v>
      </c>
      <c r="AL3225" s="13" t="s">
        <v>1892</v>
      </c>
      <c r="AM3225" s="14">
        <v>1</v>
      </c>
      <c r="AN3225" s="15" t="s">
        <v>963</v>
      </c>
    </row>
    <row r="3226" spans="1:40" x14ac:dyDescent="0.3">
      <c r="A3226" s="10" t="str">
        <f>HYPERLINK("http://www.washoecounty.gov/assessor/cama/?parid=050-371-01&amp;CardNumber=1","050-371-01")</f>
        <v>050-371-01</v>
      </c>
      <c r="B3226" t="s">
        <v>4655</v>
      </c>
      <c r="C3226" t="s">
        <v>18410</v>
      </c>
      <c r="D3226" s="1">
        <v>40478</v>
      </c>
      <c r="E3226" s="2">
        <v>205000</v>
      </c>
      <c r="F3226" t="s">
        <v>4553</v>
      </c>
      <c r="G3226" s="17" t="str">
        <f>HYPERLINK("https://www.washoecounty.gov/assessor/cama/?command=sales&amp;parid=05037101","3936973")</f>
        <v>3936973</v>
      </c>
      <c r="H3226" t="s">
        <v>18411</v>
      </c>
      <c r="I3226">
        <v>1978</v>
      </c>
      <c r="J3226">
        <v>1978</v>
      </c>
      <c r="K3226" t="s">
        <v>4554</v>
      </c>
      <c r="L3226" t="s">
        <v>4555</v>
      </c>
      <c r="M3226" s="2">
        <v>1470</v>
      </c>
      <c r="N3226" t="s">
        <v>4556</v>
      </c>
      <c r="O3226">
        <v>3</v>
      </c>
      <c r="P3226">
        <v>2</v>
      </c>
      <c r="Q3226">
        <v>0</v>
      </c>
      <c r="R3226" t="s">
        <v>4557</v>
      </c>
      <c r="S3226" t="s">
        <v>3148</v>
      </c>
      <c r="T3226" t="s">
        <v>4559</v>
      </c>
      <c r="U3226" t="s">
        <v>162</v>
      </c>
      <c r="V3226" s="2">
        <v>2100</v>
      </c>
      <c r="W3226" t="s">
        <v>4655</v>
      </c>
      <c r="X3226" s="2">
        <v>0</v>
      </c>
      <c r="Y3226">
        <v>20</v>
      </c>
      <c r="Z3226" t="s">
        <v>3884</v>
      </c>
      <c r="AA3226" s="3">
        <v>1.1100000143051101</v>
      </c>
      <c r="AB3226" t="s">
        <v>18412</v>
      </c>
      <c r="AC3226" t="s">
        <v>4575</v>
      </c>
      <c r="AD3226" t="s">
        <v>18410</v>
      </c>
      <c r="AE3226" t="s">
        <v>4655</v>
      </c>
      <c r="AF3226" t="s">
        <v>1407</v>
      </c>
      <c r="AG3226" t="s">
        <v>4564</v>
      </c>
      <c r="AH3226">
        <v>89704</v>
      </c>
      <c r="AI3226" t="s">
        <v>4655</v>
      </c>
      <c r="AJ3226" t="s">
        <v>4655</v>
      </c>
      <c r="AK3226" t="s">
        <v>18413</v>
      </c>
      <c r="AL3226" s="13" t="s">
        <v>1892</v>
      </c>
      <c r="AM3226">
        <v>1</v>
      </c>
      <c r="AN3226" s="15" t="s">
        <v>963</v>
      </c>
    </row>
    <row r="3227" spans="1:40" x14ac:dyDescent="0.3">
      <c r="A3227" s="10" t="str">
        <f>HYPERLINK("http://www.washoecounty.gov/assessor/cama/?parid=050-384-06&amp;CardNumber=1","050-384-06")</f>
        <v>050-384-06</v>
      </c>
      <c r="B3227" t="s">
        <v>4655</v>
      </c>
      <c r="C3227" t="s">
        <v>18414</v>
      </c>
      <c r="D3227" s="1">
        <v>40262</v>
      </c>
      <c r="E3227" s="2">
        <v>106200</v>
      </c>
      <c r="F3227" t="s">
        <v>4567</v>
      </c>
      <c r="G3227" s="17" t="str">
        <f>HYPERLINK("https://www.washoecounty.gov/assessor/cama/?command=sales&amp;parid=05038406","3863975")</f>
        <v>3863975</v>
      </c>
      <c r="H3227" t="s">
        <v>1827</v>
      </c>
      <c r="I3227">
        <v>1972</v>
      </c>
      <c r="J3227">
        <v>1972</v>
      </c>
      <c r="K3227" t="s">
        <v>4554</v>
      </c>
      <c r="L3227" t="s">
        <v>4555</v>
      </c>
      <c r="M3227" s="2">
        <v>1384</v>
      </c>
      <c r="N3227" t="s">
        <v>4048</v>
      </c>
      <c r="O3227">
        <v>3</v>
      </c>
      <c r="P3227">
        <v>2</v>
      </c>
      <c r="Q3227">
        <v>0</v>
      </c>
      <c r="R3227" t="s">
        <v>4557</v>
      </c>
      <c r="S3227" t="s">
        <v>4135</v>
      </c>
      <c r="T3227" t="s">
        <v>4559</v>
      </c>
      <c r="U3227" t="s">
        <v>4560</v>
      </c>
      <c r="V3227" s="2">
        <v>528</v>
      </c>
      <c r="W3227" t="s">
        <v>4655</v>
      </c>
      <c r="X3227" s="2">
        <v>0</v>
      </c>
      <c r="Y3227">
        <v>20</v>
      </c>
      <c r="Z3227" t="s">
        <v>3884</v>
      </c>
      <c r="AA3227" s="3">
        <v>1.1100000143051101</v>
      </c>
      <c r="AB3227" t="s">
        <v>18415</v>
      </c>
      <c r="AC3227" t="s">
        <v>4562</v>
      </c>
      <c r="AD3227" t="s">
        <v>18414</v>
      </c>
      <c r="AE3227" t="s">
        <v>4655</v>
      </c>
      <c r="AF3227" t="s">
        <v>1407</v>
      </c>
      <c r="AG3227" t="s">
        <v>4564</v>
      </c>
      <c r="AH3227">
        <v>89704</v>
      </c>
      <c r="AI3227" t="s">
        <v>18416</v>
      </c>
      <c r="AJ3227" t="s">
        <v>4655</v>
      </c>
      <c r="AK3227" t="s">
        <v>18417</v>
      </c>
      <c r="AL3227" s="13" t="s">
        <v>1892</v>
      </c>
      <c r="AM3227">
        <v>1</v>
      </c>
      <c r="AN3227" s="15" t="s">
        <v>963</v>
      </c>
    </row>
    <row r="3228" spans="1:40" x14ac:dyDescent="0.3">
      <c r="A3228" s="10" t="str">
        <f>HYPERLINK("http://www.washoecounty.gov/assessor/cama/?parid=050-388-04&amp;CardNumber=1","050-388-04")</f>
        <v>050-388-04</v>
      </c>
      <c r="B3228" t="s">
        <v>4655</v>
      </c>
      <c r="C3228" t="s">
        <v>18418</v>
      </c>
      <c r="D3228" s="1">
        <v>40424</v>
      </c>
      <c r="E3228" s="2">
        <v>135200</v>
      </c>
      <c r="F3228" t="s">
        <v>4553</v>
      </c>
      <c r="G3228" s="17" t="str">
        <f>HYPERLINK("https://www.washoecounty.gov/assessor/cama/?command=sales&amp;parid=05038804","3919025")</f>
        <v>3919025</v>
      </c>
      <c r="H3228" t="s">
        <v>3855</v>
      </c>
      <c r="I3228">
        <v>1978</v>
      </c>
      <c r="J3228">
        <v>1978</v>
      </c>
      <c r="K3228" t="s">
        <v>4554</v>
      </c>
      <c r="L3228" t="s">
        <v>4555</v>
      </c>
      <c r="M3228" s="2">
        <v>1383</v>
      </c>
      <c r="N3228" t="s">
        <v>4048</v>
      </c>
      <c r="O3228">
        <v>3</v>
      </c>
      <c r="P3228">
        <v>2</v>
      </c>
      <c r="Q3228">
        <v>0</v>
      </c>
      <c r="R3228" t="s">
        <v>4557</v>
      </c>
      <c r="S3228" t="s">
        <v>4558</v>
      </c>
      <c r="T3228" t="s">
        <v>2704</v>
      </c>
      <c r="U3228" t="s">
        <v>162</v>
      </c>
      <c r="V3228" s="2">
        <v>1095</v>
      </c>
      <c r="W3228" t="s">
        <v>4655</v>
      </c>
      <c r="X3228" s="2">
        <v>0</v>
      </c>
      <c r="Y3228">
        <v>20</v>
      </c>
      <c r="Z3228" t="s">
        <v>3884</v>
      </c>
      <c r="AA3228" s="3">
        <v>0.93000000715255704</v>
      </c>
      <c r="AB3228" t="s">
        <v>1806</v>
      </c>
      <c r="AC3228" t="s">
        <v>4562</v>
      </c>
      <c r="AD3228" t="s">
        <v>18419</v>
      </c>
      <c r="AE3228" t="s">
        <v>4655</v>
      </c>
      <c r="AF3228" t="s">
        <v>4563</v>
      </c>
      <c r="AG3228" t="s">
        <v>4564</v>
      </c>
      <c r="AH3228" t="s">
        <v>5197</v>
      </c>
      <c r="AI3228" t="s">
        <v>18420</v>
      </c>
      <c r="AJ3228" t="s">
        <v>4655</v>
      </c>
      <c r="AK3228" t="s">
        <v>18421</v>
      </c>
      <c r="AL3228" s="13" t="s">
        <v>1892</v>
      </c>
      <c r="AM3228">
        <v>1</v>
      </c>
      <c r="AN3228" s="15" t="s">
        <v>963</v>
      </c>
    </row>
    <row r="3229" spans="1:40" x14ac:dyDescent="0.3">
      <c r="A3229" s="10" t="str">
        <f>HYPERLINK("http://www.washoecounty.gov/assessor/cama/?parid=050-392-12&amp;CardNumber=1","050-392-12")</f>
        <v>050-392-12</v>
      </c>
      <c r="B3229" t="s">
        <v>4655</v>
      </c>
      <c r="C3229" t="s">
        <v>18422</v>
      </c>
      <c r="D3229" s="1">
        <v>40221</v>
      </c>
      <c r="E3229" s="2">
        <v>225000</v>
      </c>
      <c r="F3229" t="s">
        <v>4553</v>
      </c>
      <c r="G3229" s="17" t="str">
        <f>HYPERLINK("https://www.washoecounty.gov/assessor/cama/?command=sales&amp;parid=05039212","3848965")</f>
        <v>3848965</v>
      </c>
      <c r="H3229" t="s">
        <v>18423</v>
      </c>
      <c r="I3229">
        <v>1995</v>
      </c>
      <c r="J3229">
        <v>1995</v>
      </c>
      <c r="K3229" t="s">
        <v>4554</v>
      </c>
      <c r="L3229" t="s">
        <v>2170</v>
      </c>
      <c r="M3229" s="2">
        <v>2140</v>
      </c>
      <c r="N3229" t="s">
        <v>5280</v>
      </c>
      <c r="O3229">
        <v>3</v>
      </c>
      <c r="P3229">
        <v>3</v>
      </c>
      <c r="Q3229">
        <v>0</v>
      </c>
      <c r="R3229" t="s">
        <v>4557</v>
      </c>
      <c r="S3229" t="s">
        <v>4558</v>
      </c>
      <c r="T3229" t="s">
        <v>4559</v>
      </c>
      <c r="U3229" t="s">
        <v>5631</v>
      </c>
      <c r="V3229" s="2">
        <v>792</v>
      </c>
      <c r="W3229" t="s">
        <v>4655</v>
      </c>
      <c r="X3229" s="2">
        <v>0</v>
      </c>
      <c r="Y3229">
        <v>20</v>
      </c>
      <c r="Z3229" t="s">
        <v>1376</v>
      </c>
      <c r="AA3229" s="3">
        <v>1.3400000333786</v>
      </c>
      <c r="AB3229" t="s">
        <v>18424</v>
      </c>
      <c r="AC3229" t="s">
        <v>4562</v>
      </c>
      <c r="AD3229" t="s">
        <v>18422</v>
      </c>
      <c r="AE3229" t="s">
        <v>4655</v>
      </c>
      <c r="AF3229" t="s">
        <v>1377</v>
      </c>
      <c r="AG3229" t="s">
        <v>4564</v>
      </c>
      <c r="AH3229">
        <v>89704</v>
      </c>
      <c r="AI3229" t="s">
        <v>2009</v>
      </c>
      <c r="AJ3229" t="s">
        <v>4655</v>
      </c>
      <c r="AK3229" t="s">
        <v>18425</v>
      </c>
      <c r="AL3229" s="13" t="s">
        <v>1892</v>
      </c>
      <c r="AM3229" s="14">
        <v>1</v>
      </c>
      <c r="AN3229" s="15" t="s">
        <v>963</v>
      </c>
    </row>
    <row r="3230" spans="1:40" x14ac:dyDescent="0.3">
      <c r="A3230" s="10" t="str">
        <f>HYPERLINK("http://www.washoecounty.gov/assessor/cama/?parid=050-393-05&amp;CardNumber=1","050-393-05")</f>
        <v>050-393-05</v>
      </c>
      <c r="B3230" t="s">
        <v>4655</v>
      </c>
      <c r="C3230" t="s">
        <v>18426</v>
      </c>
      <c r="D3230" s="1">
        <v>40500</v>
      </c>
      <c r="E3230" s="2">
        <v>212000</v>
      </c>
      <c r="F3230" t="s">
        <v>4553</v>
      </c>
      <c r="G3230" s="17" t="str">
        <f>HYPERLINK("https://www.washoecounty.gov/assessor/cama/?command=sales&amp;parid=05039305","3944416")</f>
        <v>3944416</v>
      </c>
      <c r="H3230" t="s">
        <v>5077</v>
      </c>
      <c r="I3230">
        <v>1973</v>
      </c>
      <c r="J3230">
        <v>1973</v>
      </c>
      <c r="K3230" t="s">
        <v>4554</v>
      </c>
      <c r="L3230" t="s">
        <v>4555</v>
      </c>
      <c r="M3230" s="2">
        <v>1506</v>
      </c>
      <c r="N3230" t="s">
        <v>5280</v>
      </c>
      <c r="O3230">
        <v>4</v>
      </c>
      <c r="P3230">
        <v>2</v>
      </c>
      <c r="Q3230">
        <v>1</v>
      </c>
      <c r="R3230" t="s">
        <v>5205</v>
      </c>
      <c r="S3230" t="s">
        <v>3148</v>
      </c>
      <c r="T3230" t="s">
        <v>4559</v>
      </c>
      <c r="U3230" t="s">
        <v>4655</v>
      </c>
      <c r="V3230" s="2">
        <v>0</v>
      </c>
      <c r="W3230" t="s">
        <v>3149</v>
      </c>
      <c r="X3230" s="2">
        <v>1464</v>
      </c>
      <c r="Y3230">
        <v>20</v>
      </c>
      <c r="Z3230" t="s">
        <v>3884</v>
      </c>
      <c r="AA3230" s="3">
        <v>1.0199999809265099</v>
      </c>
      <c r="AB3230" t="s">
        <v>18427</v>
      </c>
      <c r="AC3230" t="s">
        <v>4562</v>
      </c>
      <c r="AD3230" t="s">
        <v>18426</v>
      </c>
      <c r="AE3230" t="s">
        <v>4655</v>
      </c>
      <c r="AF3230" t="s">
        <v>1407</v>
      </c>
      <c r="AG3230" t="s">
        <v>4564</v>
      </c>
      <c r="AH3230">
        <v>89704</v>
      </c>
      <c r="AI3230" t="s">
        <v>4565</v>
      </c>
      <c r="AJ3230" t="s">
        <v>4655</v>
      </c>
      <c r="AK3230" t="s">
        <v>18428</v>
      </c>
      <c r="AL3230" s="13" t="s">
        <v>1892</v>
      </c>
      <c r="AM3230">
        <v>1</v>
      </c>
      <c r="AN3230" s="15" t="s">
        <v>963</v>
      </c>
    </row>
    <row r="3231" spans="1:40" x14ac:dyDescent="0.3">
      <c r="A3231" s="10" t="str">
        <f>HYPERLINK("http://www.washoecounty.gov/assessor/cama/?parid=050-394-05&amp;CardNumber=1","050-394-05")</f>
        <v>050-394-05</v>
      </c>
      <c r="B3231" t="s">
        <v>4655</v>
      </c>
      <c r="C3231" t="s">
        <v>18429</v>
      </c>
      <c r="D3231" s="1">
        <v>40326</v>
      </c>
      <c r="E3231" s="2">
        <v>152000</v>
      </c>
      <c r="F3231" t="s">
        <v>4553</v>
      </c>
      <c r="G3231" s="17" t="str">
        <f>HYPERLINK("https://www.washoecounty.gov/assessor/cama/?command=sales&amp;parid=05039405","3886405")</f>
        <v>3886405</v>
      </c>
      <c r="H3231" t="s">
        <v>5077</v>
      </c>
      <c r="I3231">
        <v>1973</v>
      </c>
      <c r="J3231">
        <v>1973</v>
      </c>
      <c r="K3231" t="s">
        <v>4554</v>
      </c>
      <c r="L3231" t="s">
        <v>4555</v>
      </c>
      <c r="M3231" s="2">
        <v>1456</v>
      </c>
      <c r="N3231" t="s">
        <v>4556</v>
      </c>
      <c r="O3231">
        <v>3</v>
      </c>
      <c r="P3231">
        <v>2</v>
      </c>
      <c r="Q3231">
        <v>0</v>
      </c>
      <c r="R3231" t="s">
        <v>4557</v>
      </c>
      <c r="S3231" t="s">
        <v>4558</v>
      </c>
      <c r="T3231" t="s">
        <v>4559</v>
      </c>
      <c r="U3231" t="s">
        <v>4560</v>
      </c>
      <c r="V3231" s="2">
        <v>650</v>
      </c>
      <c r="W3231" t="s">
        <v>4655</v>
      </c>
      <c r="X3231" s="2">
        <v>0</v>
      </c>
      <c r="Y3231">
        <v>20</v>
      </c>
      <c r="Z3231" t="s">
        <v>3884</v>
      </c>
      <c r="AA3231" s="3">
        <v>1.0199999809265099</v>
      </c>
      <c r="AB3231" t="s">
        <v>1806</v>
      </c>
      <c r="AC3231" t="s">
        <v>4562</v>
      </c>
      <c r="AD3231" t="s">
        <v>4021</v>
      </c>
      <c r="AE3231" t="s">
        <v>4655</v>
      </c>
      <c r="AF3231" t="s">
        <v>4563</v>
      </c>
      <c r="AG3231" t="s">
        <v>4564</v>
      </c>
      <c r="AH3231" t="s">
        <v>5197</v>
      </c>
      <c r="AI3231" t="s">
        <v>18430</v>
      </c>
      <c r="AJ3231" t="s">
        <v>4655</v>
      </c>
      <c r="AK3231" t="s">
        <v>18431</v>
      </c>
      <c r="AL3231" s="13" t="s">
        <v>1892</v>
      </c>
      <c r="AM3231" s="14">
        <v>1</v>
      </c>
      <c r="AN3231" s="15" t="s">
        <v>963</v>
      </c>
    </row>
    <row r="3232" spans="1:40" x14ac:dyDescent="0.3">
      <c r="A3232" s="10" t="str">
        <f>HYPERLINK("http://www.washoecounty.gov/assessor/cama/?parid=050-401-16&amp;CardNumber=1","050-401-16")</f>
        <v>050-401-16</v>
      </c>
      <c r="B3232" t="s">
        <v>4655</v>
      </c>
      <c r="C3232" t="s">
        <v>18432</v>
      </c>
      <c r="D3232" s="1">
        <v>40288</v>
      </c>
      <c r="E3232" s="2">
        <v>138284</v>
      </c>
      <c r="F3232" t="s">
        <v>4553</v>
      </c>
      <c r="G3232" s="17" t="str">
        <f>HYPERLINK("https://www.washoecounty.gov/assessor/cama/?command=sales&amp;parid=05040116","3872945")</f>
        <v>3872945</v>
      </c>
      <c r="H3232" t="s">
        <v>1827</v>
      </c>
      <c r="I3232">
        <v>1979</v>
      </c>
      <c r="J3232">
        <v>1979</v>
      </c>
      <c r="K3232" t="s">
        <v>4554</v>
      </c>
      <c r="L3232" t="s">
        <v>4555</v>
      </c>
      <c r="M3232" s="2">
        <v>1211</v>
      </c>
      <c r="N3232" t="s">
        <v>4556</v>
      </c>
      <c r="O3232">
        <v>3</v>
      </c>
      <c r="P3232">
        <v>2</v>
      </c>
      <c r="Q3232">
        <v>0</v>
      </c>
      <c r="R3232" t="s">
        <v>4557</v>
      </c>
      <c r="S3232" t="s">
        <v>3148</v>
      </c>
      <c r="T3232" t="s">
        <v>4559</v>
      </c>
      <c r="U3232" t="s">
        <v>4560</v>
      </c>
      <c r="V3232" s="2">
        <v>420</v>
      </c>
      <c r="W3232" t="s">
        <v>4655</v>
      </c>
      <c r="X3232" s="2">
        <v>0</v>
      </c>
      <c r="Y3232">
        <v>20</v>
      </c>
      <c r="Z3232" t="s">
        <v>3884</v>
      </c>
      <c r="AA3232" s="3">
        <v>0.980000019073486</v>
      </c>
      <c r="AB3232" t="s">
        <v>18433</v>
      </c>
      <c r="AC3232" t="s">
        <v>4575</v>
      </c>
      <c r="AD3232" t="s">
        <v>18432</v>
      </c>
      <c r="AE3232" t="s">
        <v>4655</v>
      </c>
      <c r="AF3232" t="s">
        <v>1377</v>
      </c>
      <c r="AG3232" t="s">
        <v>4564</v>
      </c>
      <c r="AH3232">
        <v>89704</v>
      </c>
      <c r="AI3232" t="s">
        <v>4503</v>
      </c>
      <c r="AJ3232" t="s">
        <v>4655</v>
      </c>
      <c r="AK3232" t="s">
        <v>18434</v>
      </c>
      <c r="AL3232" s="13" t="s">
        <v>1892</v>
      </c>
      <c r="AM3232">
        <v>1</v>
      </c>
      <c r="AN3232" s="15" t="s">
        <v>963</v>
      </c>
    </row>
    <row r="3233" spans="1:40" x14ac:dyDescent="0.3">
      <c r="A3233" s="10" t="str">
        <f>HYPERLINK("http://www.washoecounty.gov/assessor/cama/?parid=050-405-12&amp;CardNumber=1","050-405-12")</f>
        <v>050-405-12</v>
      </c>
      <c r="B3233" t="s">
        <v>4655</v>
      </c>
      <c r="C3233" t="s">
        <v>18435</v>
      </c>
      <c r="D3233" s="1">
        <v>40499</v>
      </c>
      <c r="E3233" s="2">
        <v>125000</v>
      </c>
      <c r="F3233" t="s">
        <v>4553</v>
      </c>
      <c r="G3233" s="17" t="str">
        <f>HYPERLINK("https://www.washoecounty.gov/assessor/cama/?command=sales&amp;parid=05040512","3943843")</f>
        <v>3943843</v>
      </c>
      <c r="H3233" t="s">
        <v>5131</v>
      </c>
      <c r="I3233">
        <v>1971</v>
      </c>
      <c r="J3233">
        <v>1971</v>
      </c>
      <c r="K3233" t="s">
        <v>4554</v>
      </c>
      <c r="L3233" t="s">
        <v>4555</v>
      </c>
      <c r="M3233" s="2">
        <v>1066</v>
      </c>
      <c r="N3233" t="s">
        <v>4556</v>
      </c>
      <c r="O3233">
        <v>3</v>
      </c>
      <c r="P3233">
        <v>2</v>
      </c>
      <c r="Q3233">
        <v>0</v>
      </c>
      <c r="R3233" t="s">
        <v>4557</v>
      </c>
      <c r="S3233" t="s">
        <v>3148</v>
      </c>
      <c r="T3233" t="s">
        <v>4559</v>
      </c>
      <c r="U3233" t="s">
        <v>4560</v>
      </c>
      <c r="V3233" s="2">
        <v>336</v>
      </c>
      <c r="W3233" t="s">
        <v>4655</v>
      </c>
      <c r="X3233" s="2">
        <v>0</v>
      </c>
      <c r="Y3233">
        <v>20</v>
      </c>
      <c r="Z3233" t="s">
        <v>3884</v>
      </c>
      <c r="AA3233" s="3">
        <v>0.99000000953674305</v>
      </c>
      <c r="AB3233" t="s">
        <v>18436</v>
      </c>
      <c r="AC3233" t="s">
        <v>4562</v>
      </c>
      <c r="AD3233" t="s">
        <v>18435</v>
      </c>
      <c r="AE3233" t="s">
        <v>4655</v>
      </c>
      <c r="AF3233" t="s">
        <v>1407</v>
      </c>
      <c r="AG3233" t="s">
        <v>4564</v>
      </c>
      <c r="AH3233">
        <v>89704</v>
      </c>
      <c r="AI3233" t="s">
        <v>4903</v>
      </c>
      <c r="AJ3233" t="s">
        <v>4655</v>
      </c>
      <c r="AK3233" t="s">
        <v>18437</v>
      </c>
      <c r="AL3233" s="13" t="s">
        <v>1892</v>
      </c>
      <c r="AM3233">
        <v>1</v>
      </c>
      <c r="AN3233" s="15" t="s">
        <v>963</v>
      </c>
    </row>
    <row r="3234" spans="1:40" x14ac:dyDescent="0.3">
      <c r="A3234" s="10" t="str">
        <f>HYPERLINK("http://www.washoecounty.gov/assessor/cama/?parid=050-405-15&amp;CardNumber=1","050-405-15")</f>
        <v>050-405-15</v>
      </c>
      <c r="B3234" t="s">
        <v>4655</v>
      </c>
      <c r="C3234" t="s">
        <v>18438</v>
      </c>
      <c r="D3234" s="1">
        <v>40436</v>
      </c>
      <c r="E3234" s="2">
        <v>99900</v>
      </c>
      <c r="F3234" t="s">
        <v>4553</v>
      </c>
      <c r="G3234" s="17" t="str">
        <f>HYPERLINK("https://www.washoecounty.gov/assessor/cama/?command=sales&amp;parid=05040515","3922399")</f>
        <v>3922399</v>
      </c>
      <c r="H3234" t="s">
        <v>1827</v>
      </c>
      <c r="I3234">
        <v>1972</v>
      </c>
      <c r="J3234">
        <v>1972</v>
      </c>
      <c r="K3234" t="s">
        <v>4554</v>
      </c>
      <c r="L3234" t="s">
        <v>4555</v>
      </c>
      <c r="M3234" s="2">
        <v>1180</v>
      </c>
      <c r="N3234" t="s">
        <v>4556</v>
      </c>
      <c r="O3234">
        <v>3</v>
      </c>
      <c r="P3234">
        <v>2</v>
      </c>
      <c r="Q3234">
        <v>0</v>
      </c>
      <c r="R3234" t="s">
        <v>4557</v>
      </c>
      <c r="S3234" t="s">
        <v>3148</v>
      </c>
      <c r="T3234" t="s">
        <v>4559</v>
      </c>
      <c r="U3234" t="s">
        <v>4655</v>
      </c>
      <c r="V3234" s="2">
        <v>0</v>
      </c>
      <c r="W3234" t="s">
        <v>4655</v>
      </c>
      <c r="X3234" s="2">
        <v>0</v>
      </c>
      <c r="Y3234">
        <v>20</v>
      </c>
      <c r="Z3234" t="s">
        <v>3884</v>
      </c>
      <c r="AA3234" s="3">
        <v>0.95999997854232788</v>
      </c>
      <c r="AB3234" t="s">
        <v>18439</v>
      </c>
      <c r="AC3234" t="s">
        <v>4562</v>
      </c>
      <c r="AD3234" t="s">
        <v>18438</v>
      </c>
      <c r="AE3234" t="s">
        <v>4655</v>
      </c>
      <c r="AF3234" t="s">
        <v>1377</v>
      </c>
      <c r="AG3234" t="s">
        <v>4564</v>
      </c>
      <c r="AH3234">
        <v>89704</v>
      </c>
      <c r="AI3234" t="s">
        <v>4903</v>
      </c>
      <c r="AJ3234" t="s">
        <v>4655</v>
      </c>
      <c r="AK3234" t="s">
        <v>18440</v>
      </c>
      <c r="AL3234" s="13" t="s">
        <v>1892</v>
      </c>
      <c r="AM3234">
        <v>1</v>
      </c>
      <c r="AN3234" s="15" t="s">
        <v>963</v>
      </c>
    </row>
    <row r="3235" spans="1:40" x14ac:dyDescent="0.3">
      <c r="A3235" s="10" t="str">
        <f>HYPERLINK("http://www.washoecounty.gov/assessor/cama/?parid=050-406-09&amp;CardNumber=1","050-406-09")</f>
        <v>050-406-09</v>
      </c>
      <c r="B3235" t="s">
        <v>4655</v>
      </c>
      <c r="C3235" t="s">
        <v>18441</v>
      </c>
      <c r="D3235" s="1">
        <v>40295</v>
      </c>
      <c r="E3235" s="2">
        <v>188900</v>
      </c>
      <c r="F3235" t="s">
        <v>4553</v>
      </c>
      <c r="G3235" s="17" t="str">
        <f>HYPERLINK("https://www.washoecounty.gov/assessor/cama/?command=sales&amp;parid=05040609","3875253")</f>
        <v>3875253</v>
      </c>
      <c r="H3235" t="s">
        <v>5131</v>
      </c>
      <c r="I3235">
        <v>1982</v>
      </c>
      <c r="J3235">
        <v>1982</v>
      </c>
      <c r="K3235" t="s">
        <v>4554</v>
      </c>
      <c r="L3235" t="s">
        <v>4555</v>
      </c>
      <c r="M3235" s="2">
        <v>1350</v>
      </c>
      <c r="N3235" t="s">
        <v>4048</v>
      </c>
      <c r="O3235">
        <v>3</v>
      </c>
      <c r="P3235">
        <v>2</v>
      </c>
      <c r="Q3235">
        <v>0</v>
      </c>
      <c r="R3235" t="s">
        <v>4557</v>
      </c>
      <c r="S3235" t="s">
        <v>4135</v>
      </c>
      <c r="T3235" t="s">
        <v>4559</v>
      </c>
      <c r="U3235" t="s">
        <v>4560</v>
      </c>
      <c r="V3235" s="2">
        <v>874</v>
      </c>
      <c r="W3235" t="s">
        <v>4655</v>
      </c>
      <c r="X3235" s="2">
        <v>0</v>
      </c>
      <c r="Y3235">
        <v>20</v>
      </c>
      <c r="Z3235" t="s">
        <v>3884</v>
      </c>
      <c r="AA3235" s="3">
        <v>1.00999999046325</v>
      </c>
      <c r="AB3235" t="s">
        <v>18442</v>
      </c>
      <c r="AC3235" t="s">
        <v>4562</v>
      </c>
      <c r="AD3235" t="s">
        <v>18441</v>
      </c>
      <c r="AE3235" t="s">
        <v>4655</v>
      </c>
      <c r="AF3235" t="s">
        <v>1377</v>
      </c>
      <c r="AG3235" t="s">
        <v>4564</v>
      </c>
      <c r="AH3235">
        <v>89704</v>
      </c>
      <c r="AI3235" t="s">
        <v>4903</v>
      </c>
      <c r="AJ3235" t="s">
        <v>4655</v>
      </c>
      <c r="AK3235" t="s">
        <v>18443</v>
      </c>
      <c r="AL3235" s="13" t="s">
        <v>1892</v>
      </c>
      <c r="AM3235" s="14">
        <v>1</v>
      </c>
      <c r="AN3235" s="15" t="s">
        <v>963</v>
      </c>
    </row>
    <row r="3236" spans="1:40" x14ac:dyDescent="0.3">
      <c r="A3236" s="10" t="str">
        <f>HYPERLINK("http://www.washoecounty.gov/assessor/cama/?parid=050-408-07&amp;CardNumber=1","050-408-07")</f>
        <v>050-408-07</v>
      </c>
      <c r="B3236" t="s">
        <v>4655</v>
      </c>
      <c r="C3236" t="s">
        <v>18444</v>
      </c>
      <c r="D3236" s="1">
        <v>40345</v>
      </c>
      <c r="E3236" s="2">
        <v>190000</v>
      </c>
      <c r="F3236" t="s">
        <v>4567</v>
      </c>
      <c r="G3236" s="17" t="str">
        <f>HYPERLINK("https://www.washoecounty.gov/assessor/cama/?command=sales&amp;parid=05040807","3892451")</f>
        <v>3892451</v>
      </c>
      <c r="H3236" t="s">
        <v>5131</v>
      </c>
      <c r="I3236">
        <v>1979</v>
      </c>
      <c r="J3236">
        <v>1979</v>
      </c>
      <c r="K3236" t="s">
        <v>4554</v>
      </c>
      <c r="L3236" t="s">
        <v>4555</v>
      </c>
      <c r="M3236" s="2">
        <v>1300</v>
      </c>
      <c r="N3236" t="s">
        <v>4048</v>
      </c>
      <c r="O3236">
        <v>3</v>
      </c>
      <c r="P3236">
        <v>2</v>
      </c>
      <c r="Q3236">
        <v>0</v>
      </c>
      <c r="R3236" t="s">
        <v>4557</v>
      </c>
      <c r="S3236" t="s">
        <v>4135</v>
      </c>
      <c r="T3236" t="s">
        <v>4559</v>
      </c>
      <c r="U3236" t="s">
        <v>4560</v>
      </c>
      <c r="V3236" s="2">
        <v>550</v>
      </c>
      <c r="W3236" t="s">
        <v>4655</v>
      </c>
      <c r="X3236" s="2">
        <v>0</v>
      </c>
      <c r="Y3236">
        <v>20</v>
      </c>
      <c r="Z3236" t="s">
        <v>3884</v>
      </c>
      <c r="AA3236" s="3">
        <v>0.95999997854232788</v>
      </c>
      <c r="AB3236" t="s">
        <v>18445</v>
      </c>
      <c r="AC3236" t="s">
        <v>4562</v>
      </c>
      <c r="AD3236" t="s">
        <v>18446</v>
      </c>
      <c r="AE3236" t="s">
        <v>4655</v>
      </c>
      <c r="AF3236" t="s">
        <v>5151</v>
      </c>
      <c r="AG3236" t="s">
        <v>4564</v>
      </c>
      <c r="AH3236">
        <v>89704</v>
      </c>
      <c r="AI3236" t="s">
        <v>18447</v>
      </c>
      <c r="AJ3236" t="s">
        <v>4655</v>
      </c>
      <c r="AK3236" t="s">
        <v>18448</v>
      </c>
      <c r="AL3236" s="13" t="s">
        <v>1892</v>
      </c>
      <c r="AM3236">
        <v>1</v>
      </c>
      <c r="AN3236" s="15" t="s">
        <v>963</v>
      </c>
    </row>
    <row r="3237" spans="1:40" x14ac:dyDescent="0.3">
      <c r="A3237" s="10" t="str">
        <f>HYPERLINK("http://www.washoecounty.gov/assessor/cama/?parid=050-411-04&amp;CardNumber=1","050-411-04")</f>
        <v>050-411-04</v>
      </c>
      <c r="B3237" t="s">
        <v>4655</v>
      </c>
      <c r="C3237" t="s">
        <v>18449</v>
      </c>
      <c r="D3237" s="1">
        <v>40457</v>
      </c>
      <c r="E3237" s="2">
        <v>171600</v>
      </c>
      <c r="F3237" t="s">
        <v>4567</v>
      </c>
      <c r="G3237" s="17" t="str">
        <f>HYPERLINK("https://www.washoecounty.gov/assessor/cama/?command=sales&amp;parid=05041104","3930088")</f>
        <v>3930088</v>
      </c>
      <c r="H3237" t="s">
        <v>2155</v>
      </c>
      <c r="I3237">
        <v>1976</v>
      </c>
      <c r="J3237">
        <v>1976</v>
      </c>
      <c r="K3237" t="s">
        <v>4554</v>
      </c>
      <c r="L3237" t="s">
        <v>4555</v>
      </c>
      <c r="M3237" s="2">
        <v>1512</v>
      </c>
      <c r="N3237" t="s">
        <v>4048</v>
      </c>
      <c r="O3237">
        <v>3</v>
      </c>
      <c r="P3237">
        <v>2</v>
      </c>
      <c r="Q3237">
        <v>0</v>
      </c>
      <c r="R3237" t="s">
        <v>5281</v>
      </c>
      <c r="S3237" t="s">
        <v>4898</v>
      </c>
      <c r="T3237" t="s">
        <v>4559</v>
      </c>
      <c r="U3237" t="s">
        <v>4560</v>
      </c>
      <c r="V3237" s="2">
        <v>480</v>
      </c>
      <c r="W3237" t="s">
        <v>4655</v>
      </c>
      <c r="X3237" s="2">
        <v>0</v>
      </c>
      <c r="Y3237">
        <v>20</v>
      </c>
      <c r="Z3237" t="s">
        <v>3884</v>
      </c>
      <c r="AA3237" s="3">
        <v>0.99000000953674305</v>
      </c>
      <c r="AB3237" t="s">
        <v>18450</v>
      </c>
      <c r="AC3237" t="s">
        <v>4562</v>
      </c>
      <c r="AD3237" t="s">
        <v>18449</v>
      </c>
      <c r="AE3237" t="s">
        <v>4655</v>
      </c>
      <c r="AF3237" t="s">
        <v>1407</v>
      </c>
      <c r="AG3237" t="s">
        <v>4564</v>
      </c>
      <c r="AH3237">
        <v>89704</v>
      </c>
      <c r="AI3237" t="s">
        <v>18451</v>
      </c>
      <c r="AJ3237" t="s">
        <v>4655</v>
      </c>
      <c r="AK3237" t="s">
        <v>18452</v>
      </c>
      <c r="AL3237" s="13" t="s">
        <v>1892</v>
      </c>
      <c r="AM3237">
        <v>1</v>
      </c>
      <c r="AN3237" s="15" t="s">
        <v>963</v>
      </c>
    </row>
    <row r="3238" spans="1:40" x14ac:dyDescent="0.3">
      <c r="A3238" s="10" t="str">
        <f>HYPERLINK("http://www.washoecounty.gov/assessor/cama/?parid=050-412-04&amp;CardNumber=1","050-412-04")</f>
        <v>050-412-04</v>
      </c>
      <c r="B3238" t="s">
        <v>4655</v>
      </c>
      <c r="C3238" t="s">
        <v>18453</v>
      </c>
      <c r="D3238" s="1">
        <v>40284</v>
      </c>
      <c r="E3238" s="2">
        <v>220000</v>
      </c>
      <c r="F3238" t="s">
        <v>4553</v>
      </c>
      <c r="G3238" s="17" t="str">
        <f>HYPERLINK("https://www.washoecounty.gov/assessor/cama/?command=sales&amp;parid=05041204","3871977")</f>
        <v>3871977</v>
      </c>
      <c r="H3238" t="s">
        <v>5077</v>
      </c>
      <c r="I3238">
        <v>1970</v>
      </c>
      <c r="J3238">
        <v>1970</v>
      </c>
      <c r="K3238" t="s">
        <v>4554</v>
      </c>
      <c r="L3238" t="s">
        <v>4555</v>
      </c>
      <c r="M3238" s="2">
        <v>1392</v>
      </c>
      <c r="N3238" t="s">
        <v>4048</v>
      </c>
      <c r="O3238">
        <v>3</v>
      </c>
      <c r="P3238">
        <v>2</v>
      </c>
      <c r="Q3238">
        <v>0</v>
      </c>
      <c r="R3238" t="s">
        <v>4557</v>
      </c>
      <c r="S3238" t="s">
        <v>4135</v>
      </c>
      <c r="T3238" t="s">
        <v>4559</v>
      </c>
      <c r="U3238" t="s">
        <v>4560</v>
      </c>
      <c r="V3238" s="2">
        <v>484</v>
      </c>
      <c r="W3238" t="s">
        <v>3149</v>
      </c>
      <c r="X3238" s="2">
        <v>1200</v>
      </c>
      <c r="Y3238">
        <v>20</v>
      </c>
      <c r="Z3238" t="s">
        <v>3884</v>
      </c>
      <c r="AA3238" s="3">
        <v>1</v>
      </c>
      <c r="AB3238" t="s">
        <v>18454</v>
      </c>
      <c r="AC3238" t="s">
        <v>4575</v>
      </c>
      <c r="AD3238" t="s">
        <v>18455</v>
      </c>
      <c r="AE3238" t="s">
        <v>18456</v>
      </c>
      <c r="AF3238" t="s">
        <v>1377</v>
      </c>
      <c r="AG3238" t="s">
        <v>4564</v>
      </c>
      <c r="AH3238">
        <v>89704</v>
      </c>
      <c r="AI3238" t="s">
        <v>4903</v>
      </c>
      <c r="AJ3238" t="s">
        <v>4655</v>
      </c>
      <c r="AK3238" t="s">
        <v>18457</v>
      </c>
      <c r="AL3238" s="13" t="s">
        <v>1892</v>
      </c>
      <c r="AM3238">
        <v>1</v>
      </c>
      <c r="AN3238" s="15" t="s">
        <v>963</v>
      </c>
    </row>
    <row r="3239" spans="1:40" x14ac:dyDescent="0.3">
      <c r="A3239" s="10" t="str">
        <f>HYPERLINK("http://www.washoecounty.gov/assessor/cama/?parid=050-416-23&amp;CardNumber=1","050-416-23")</f>
        <v>050-416-23</v>
      </c>
      <c r="B3239" t="s">
        <v>4655</v>
      </c>
      <c r="C3239" t="s">
        <v>18458</v>
      </c>
      <c r="D3239" s="1">
        <v>40456</v>
      </c>
      <c r="E3239" s="2">
        <v>139000</v>
      </c>
      <c r="F3239" t="s">
        <v>4567</v>
      </c>
      <c r="G3239" s="17" t="str">
        <f>HYPERLINK("https://www.washoecounty.gov/assessor/cama/?command=sales&amp;parid=05041623","3929553")</f>
        <v>3929553</v>
      </c>
      <c r="H3239" t="s">
        <v>18459</v>
      </c>
      <c r="I3239">
        <v>1983</v>
      </c>
      <c r="J3239">
        <v>1983</v>
      </c>
      <c r="K3239" t="s">
        <v>4554</v>
      </c>
      <c r="L3239" t="s">
        <v>3886</v>
      </c>
      <c r="M3239" s="2">
        <v>1500</v>
      </c>
      <c r="N3239" t="s">
        <v>5280</v>
      </c>
      <c r="O3239">
        <v>3</v>
      </c>
      <c r="P3239">
        <v>2</v>
      </c>
      <c r="Q3239">
        <v>0</v>
      </c>
      <c r="R3239" t="s">
        <v>4557</v>
      </c>
      <c r="S3239" t="s">
        <v>3148</v>
      </c>
      <c r="T3239" t="s">
        <v>4559</v>
      </c>
      <c r="U3239" t="s">
        <v>4655</v>
      </c>
      <c r="V3239" s="2">
        <v>0</v>
      </c>
      <c r="W3239" t="s">
        <v>4655</v>
      </c>
      <c r="X3239" s="2">
        <v>0</v>
      </c>
      <c r="Y3239">
        <v>20</v>
      </c>
      <c r="Z3239" t="s">
        <v>3884</v>
      </c>
      <c r="AA3239" s="3">
        <v>0.93000000715255704</v>
      </c>
      <c r="AB3239" t="s">
        <v>18460</v>
      </c>
      <c r="AC3239" t="s">
        <v>4562</v>
      </c>
      <c r="AD3239" t="s">
        <v>18458</v>
      </c>
      <c r="AE3239" t="s">
        <v>4655</v>
      </c>
      <c r="AF3239" t="s">
        <v>1407</v>
      </c>
      <c r="AG3239" t="s">
        <v>4564</v>
      </c>
      <c r="AH3239">
        <v>89704</v>
      </c>
      <c r="AI3239" t="s">
        <v>18461</v>
      </c>
      <c r="AJ3239" t="s">
        <v>4655</v>
      </c>
      <c r="AK3239" t="s">
        <v>18462</v>
      </c>
      <c r="AL3239" s="13" t="s">
        <v>1892</v>
      </c>
      <c r="AM3239">
        <v>1</v>
      </c>
      <c r="AN3239" s="15" t="s">
        <v>963</v>
      </c>
    </row>
    <row r="3240" spans="1:40" x14ac:dyDescent="0.3">
      <c r="A3240" s="10" t="str">
        <f>HYPERLINK("http://www.washoecounty.gov/assessor/cama/?parid=050-434-11&amp;CardNumber=1","050-434-11")</f>
        <v>050-434-11</v>
      </c>
      <c r="B3240" t="s">
        <v>4655</v>
      </c>
      <c r="C3240" t="s">
        <v>18463</v>
      </c>
      <c r="D3240" s="1">
        <v>40318</v>
      </c>
      <c r="E3240" s="2">
        <v>60000</v>
      </c>
      <c r="F3240" t="s">
        <v>3259</v>
      </c>
      <c r="G3240" s="17" t="str">
        <f>HYPERLINK("https://www.washoecounty.gov/assessor/cama/?command=sales&amp;parid=05043411","3883328")</f>
        <v>3883328</v>
      </c>
      <c r="H3240" t="s">
        <v>18464</v>
      </c>
      <c r="I3240">
        <v>0</v>
      </c>
      <c r="J3240">
        <v>0</v>
      </c>
      <c r="K3240" t="s">
        <v>4655</v>
      </c>
      <c r="L3240" t="s">
        <v>4655</v>
      </c>
      <c r="M3240" s="2">
        <v>0</v>
      </c>
      <c r="N3240" t="s">
        <v>4655</v>
      </c>
      <c r="O3240">
        <v>0</v>
      </c>
      <c r="P3240">
        <v>0</v>
      </c>
      <c r="Q3240">
        <v>0</v>
      </c>
      <c r="R3240" t="s">
        <v>4655</v>
      </c>
      <c r="S3240" t="s">
        <v>4655</v>
      </c>
      <c r="T3240" t="s">
        <v>4655</v>
      </c>
      <c r="U3240" t="s">
        <v>4655</v>
      </c>
      <c r="V3240" s="2">
        <v>0</v>
      </c>
      <c r="W3240" t="s">
        <v>4655</v>
      </c>
      <c r="X3240" s="2">
        <v>0</v>
      </c>
      <c r="Y3240">
        <v>12</v>
      </c>
      <c r="Z3240" t="s">
        <v>1376</v>
      </c>
      <c r="AA3240" s="3">
        <v>1.1000000238418499</v>
      </c>
      <c r="AB3240" t="s">
        <v>4796</v>
      </c>
      <c r="AC3240" t="s">
        <v>4562</v>
      </c>
      <c r="AD3240" t="s">
        <v>18465</v>
      </c>
      <c r="AE3240" t="s">
        <v>4655</v>
      </c>
      <c r="AF3240" t="s">
        <v>1377</v>
      </c>
      <c r="AG3240" t="s">
        <v>4564</v>
      </c>
      <c r="AH3240">
        <v>89704</v>
      </c>
      <c r="AI3240" t="s">
        <v>18466</v>
      </c>
      <c r="AJ3240" t="s">
        <v>4655</v>
      </c>
      <c r="AK3240" t="s">
        <v>18467</v>
      </c>
      <c r="AL3240" s="13" t="s">
        <v>1892</v>
      </c>
      <c r="AM3240">
        <v>0</v>
      </c>
      <c r="AN3240" s="15" t="s">
        <v>963</v>
      </c>
    </row>
    <row r="3241" spans="1:40" x14ac:dyDescent="0.3">
      <c r="A3241" s="10" t="str">
        <f>HYPERLINK("http://www.washoecounty.gov/assessor/cama/?parid=050-435-14&amp;CardNumber=1","050-435-14")</f>
        <v>050-435-14</v>
      </c>
      <c r="B3241" t="s">
        <v>4655</v>
      </c>
      <c r="C3241" t="s">
        <v>18468</v>
      </c>
      <c r="D3241" s="1">
        <v>40479</v>
      </c>
      <c r="E3241" s="2">
        <v>211575</v>
      </c>
      <c r="F3241" t="s">
        <v>4567</v>
      </c>
      <c r="G3241" s="17" t="str">
        <f>HYPERLINK("https://www.washoecounty.gov/assessor/cama/?command=sales&amp;parid=05043514","3937446")</f>
        <v>3937446</v>
      </c>
      <c r="H3241" t="s">
        <v>5077</v>
      </c>
      <c r="I3241">
        <v>1976</v>
      </c>
      <c r="J3241">
        <v>1976</v>
      </c>
      <c r="K3241" t="s">
        <v>4554</v>
      </c>
      <c r="L3241" t="s">
        <v>4555</v>
      </c>
      <c r="M3241" s="2">
        <v>1262</v>
      </c>
      <c r="N3241" t="s">
        <v>4556</v>
      </c>
      <c r="O3241">
        <v>3</v>
      </c>
      <c r="P3241">
        <v>2</v>
      </c>
      <c r="Q3241">
        <v>0</v>
      </c>
      <c r="R3241" t="s">
        <v>4557</v>
      </c>
      <c r="S3241" t="s">
        <v>4135</v>
      </c>
      <c r="T3241" t="s">
        <v>4559</v>
      </c>
      <c r="U3241" t="s">
        <v>4560</v>
      </c>
      <c r="V3241" s="2">
        <v>520</v>
      </c>
      <c r="W3241" t="s">
        <v>4655</v>
      </c>
      <c r="X3241" s="2">
        <v>0</v>
      </c>
      <c r="Y3241">
        <v>20</v>
      </c>
      <c r="Z3241" t="s">
        <v>3884</v>
      </c>
      <c r="AA3241" s="3">
        <v>1.0199999809265099</v>
      </c>
      <c r="AB3241" t="s">
        <v>18469</v>
      </c>
      <c r="AC3241" t="s">
        <v>4562</v>
      </c>
      <c r="AD3241" t="s">
        <v>18470</v>
      </c>
      <c r="AE3241" t="s">
        <v>4655</v>
      </c>
      <c r="AF3241" t="s">
        <v>2487</v>
      </c>
      <c r="AG3241" t="s">
        <v>4564</v>
      </c>
      <c r="AH3241">
        <v>89704</v>
      </c>
      <c r="AI3241" t="s">
        <v>18471</v>
      </c>
      <c r="AJ3241" t="s">
        <v>4655</v>
      </c>
      <c r="AK3241" t="s">
        <v>18472</v>
      </c>
      <c r="AL3241" s="13" t="s">
        <v>1892</v>
      </c>
      <c r="AM3241">
        <v>1</v>
      </c>
      <c r="AN3241" s="15" t="s">
        <v>963</v>
      </c>
    </row>
    <row r="3242" spans="1:40" x14ac:dyDescent="0.3">
      <c r="A3242" s="10" t="str">
        <f>HYPERLINK("http://www.washoecounty.gov/assessor/cama/?parid=050-444-16&amp;CardNumber=1","050-444-16")</f>
        <v>050-444-16</v>
      </c>
      <c r="B3242" t="s">
        <v>4655</v>
      </c>
      <c r="C3242" t="s">
        <v>18473</v>
      </c>
      <c r="D3242" s="1">
        <v>40212</v>
      </c>
      <c r="E3242" s="2">
        <v>76862</v>
      </c>
      <c r="F3242" t="s">
        <v>3512</v>
      </c>
      <c r="G3242" s="17" t="str">
        <f>HYPERLINK("https://www.washoecounty.gov/assessor/cama/?command=sales&amp;parid=05044416","3845788")</f>
        <v>3845788</v>
      </c>
      <c r="H3242" t="s">
        <v>18474</v>
      </c>
      <c r="I3242">
        <v>1977</v>
      </c>
      <c r="J3242">
        <v>1977</v>
      </c>
      <c r="K3242" t="s">
        <v>1243</v>
      </c>
      <c r="L3242" t="s">
        <v>4655</v>
      </c>
      <c r="M3242" s="2">
        <v>0</v>
      </c>
      <c r="N3242" t="s">
        <v>4655</v>
      </c>
      <c r="O3242">
        <v>0</v>
      </c>
      <c r="P3242">
        <v>0</v>
      </c>
      <c r="Q3242">
        <v>0</v>
      </c>
      <c r="R3242" t="s">
        <v>4655</v>
      </c>
      <c r="S3242" t="s">
        <v>4655</v>
      </c>
      <c r="T3242" t="s">
        <v>4655</v>
      </c>
      <c r="U3242" t="s">
        <v>4655</v>
      </c>
      <c r="V3242" s="2">
        <v>0</v>
      </c>
      <c r="W3242" t="s">
        <v>4655</v>
      </c>
      <c r="X3242" s="2">
        <v>0</v>
      </c>
      <c r="Y3242">
        <v>23</v>
      </c>
      <c r="Z3242" t="s">
        <v>3884</v>
      </c>
      <c r="AA3242" s="3">
        <v>1.20000004768371</v>
      </c>
      <c r="AB3242" t="s">
        <v>18475</v>
      </c>
      <c r="AC3242" t="s">
        <v>4575</v>
      </c>
      <c r="AD3242" t="s">
        <v>18473</v>
      </c>
      <c r="AE3242" t="s">
        <v>4655</v>
      </c>
      <c r="AF3242" t="s">
        <v>1377</v>
      </c>
      <c r="AG3242" t="s">
        <v>4564</v>
      </c>
      <c r="AH3242">
        <v>89704</v>
      </c>
      <c r="AI3242" t="s">
        <v>18476</v>
      </c>
      <c r="AJ3242" t="s">
        <v>4655</v>
      </c>
      <c r="AK3242" t="s">
        <v>18477</v>
      </c>
      <c r="AL3242" s="13" t="s">
        <v>1892</v>
      </c>
      <c r="AM3242">
        <v>1</v>
      </c>
      <c r="AN3242" s="15" t="s">
        <v>1805</v>
      </c>
    </row>
    <row r="3243" spans="1:40" x14ac:dyDescent="0.3">
      <c r="A3243" s="10" t="str">
        <f>HYPERLINK("http://www.washoecounty.gov/assessor/cama/?parid=050-450-17&amp;CardNumber=1","050-450-17")</f>
        <v>050-450-17</v>
      </c>
      <c r="B3243" t="s">
        <v>4655</v>
      </c>
      <c r="C3243" t="s">
        <v>18478</v>
      </c>
      <c r="D3243" s="1">
        <v>40270</v>
      </c>
      <c r="E3243" s="2">
        <v>250000</v>
      </c>
      <c r="F3243" t="s">
        <v>4567</v>
      </c>
      <c r="G3243" s="17" t="str">
        <f>HYPERLINK("https://www.washoecounty.gov/assessor/cama/?command=sales&amp;parid=05045017","3867168")</f>
        <v>3867168</v>
      </c>
      <c r="H3243" t="s">
        <v>1430</v>
      </c>
      <c r="I3243">
        <v>1980</v>
      </c>
      <c r="J3243">
        <v>1987</v>
      </c>
      <c r="K3243" t="s">
        <v>4554</v>
      </c>
      <c r="L3243" t="s">
        <v>4555</v>
      </c>
      <c r="M3243" s="2">
        <v>2538</v>
      </c>
      <c r="N3243" t="s">
        <v>5280</v>
      </c>
      <c r="O3243">
        <v>4</v>
      </c>
      <c r="P3243">
        <v>3</v>
      </c>
      <c r="Q3243">
        <v>0</v>
      </c>
      <c r="R3243" t="s">
        <v>4557</v>
      </c>
      <c r="S3243" t="s">
        <v>4558</v>
      </c>
      <c r="T3243" t="s">
        <v>4559</v>
      </c>
      <c r="U3243" t="s">
        <v>4560</v>
      </c>
      <c r="V3243" s="2">
        <v>504</v>
      </c>
      <c r="W3243" t="s">
        <v>4655</v>
      </c>
      <c r="X3243" s="2">
        <v>0</v>
      </c>
      <c r="Y3243">
        <v>20</v>
      </c>
      <c r="Z3243" t="s">
        <v>3884</v>
      </c>
      <c r="AA3243" s="3">
        <v>1.0900000333786</v>
      </c>
      <c r="AB3243" t="s">
        <v>18479</v>
      </c>
      <c r="AC3243" t="s">
        <v>4575</v>
      </c>
      <c r="AD3243" t="s">
        <v>18478</v>
      </c>
      <c r="AE3243" t="s">
        <v>4655</v>
      </c>
      <c r="AF3243" t="s">
        <v>1377</v>
      </c>
      <c r="AG3243" t="s">
        <v>4564</v>
      </c>
      <c r="AH3243">
        <v>89704</v>
      </c>
      <c r="AI3243" t="s">
        <v>18480</v>
      </c>
      <c r="AJ3243" t="s">
        <v>4655</v>
      </c>
      <c r="AK3243" t="s">
        <v>18481</v>
      </c>
      <c r="AL3243" s="13" t="s">
        <v>1892</v>
      </c>
      <c r="AM3243">
        <v>1</v>
      </c>
      <c r="AN3243" s="15" t="s">
        <v>963</v>
      </c>
    </row>
    <row r="3244" spans="1:40" x14ac:dyDescent="0.3">
      <c r="A3244" s="10" t="str">
        <f>HYPERLINK("http://www.washoecounty.gov/assessor/cama/?parid=050-463-33&amp;CardNumber=1","050-463-33")</f>
        <v>050-463-33</v>
      </c>
      <c r="B3244" t="s">
        <v>4655</v>
      </c>
      <c r="C3244" t="s">
        <v>18482</v>
      </c>
      <c r="D3244" s="1">
        <v>40330</v>
      </c>
      <c r="E3244" s="2">
        <v>72000</v>
      </c>
      <c r="F3244" t="s">
        <v>4567</v>
      </c>
      <c r="G3244" s="17" t="str">
        <f>HYPERLINK("https://www.washoecounty.gov/assessor/cama/?command=sales&amp;parid=05046333","3887308")</f>
        <v>3887308</v>
      </c>
      <c r="H3244" t="s">
        <v>3672</v>
      </c>
      <c r="I3244">
        <v>0</v>
      </c>
      <c r="J3244">
        <v>0</v>
      </c>
      <c r="K3244" t="s">
        <v>4655</v>
      </c>
      <c r="L3244" t="s">
        <v>4655</v>
      </c>
      <c r="M3244" s="2">
        <v>0</v>
      </c>
      <c r="N3244" t="s">
        <v>4655</v>
      </c>
      <c r="O3244">
        <v>0</v>
      </c>
      <c r="P3244">
        <v>0</v>
      </c>
      <c r="Q3244">
        <v>0</v>
      </c>
      <c r="R3244" t="s">
        <v>4655</v>
      </c>
      <c r="S3244" t="s">
        <v>4655</v>
      </c>
      <c r="T3244" t="s">
        <v>4655</v>
      </c>
      <c r="U3244" t="s">
        <v>4655</v>
      </c>
      <c r="V3244" s="2">
        <v>0</v>
      </c>
      <c r="W3244" t="s">
        <v>4655</v>
      </c>
      <c r="X3244" s="2">
        <v>0</v>
      </c>
      <c r="Y3244">
        <v>23</v>
      </c>
      <c r="Z3244" t="s">
        <v>3884</v>
      </c>
      <c r="AA3244" s="3">
        <v>1</v>
      </c>
      <c r="AB3244" t="s">
        <v>10807</v>
      </c>
      <c r="AC3244" t="s">
        <v>4562</v>
      </c>
      <c r="AD3244" t="s">
        <v>10808</v>
      </c>
      <c r="AE3244" t="s">
        <v>4655</v>
      </c>
      <c r="AF3244" t="s">
        <v>4563</v>
      </c>
      <c r="AG3244" t="s">
        <v>4564</v>
      </c>
      <c r="AH3244" t="s">
        <v>2330</v>
      </c>
      <c r="AI3244" t="s">
        <v>18483</v>
      </c>
      <c r="AJ3244" t="s">
        <v>4655</v>
      </c>
      <c r="AK3244" t="s">
        <v>18484</v>
      </c>
      <c r="AL3244" s="13" t="s">
        <v>1892</v>
      </c>
      <c r="AM3244">
        <v>0</v>
      </c>
      <c r="AN3244" s="15" t="s">
        <v>1805</v>
      </c>
    </row>
    <row r="3245" spans="1:40" x14ac:dyDescent="0.3">
      <c r="A3245" s="10" t="str">
        <f>HYPERLINK("http://www.washoecounty.gov/assessor/cama/?parid=050-464-05&amp;CardNumber=1","050-464-05")</f>
        <v>050-464-05</v>
      </c>
      <c r="B3245" t="s">
        <v>4655</v>
      </c>
      <c r="C3245" t="s">
        <v>18485</v>
      </c>
      <c r="D3245" s="1">
        <v>40478</v>
      </c>
      <c r="E3245" s="2">
        <v>344000</v>
      </c>
      <c r="F3245" t="s">
        <v>4553</v>
      </c>
      <c r="G3245" s="17" t="str">
        <f>HYPERLINK("https://www.washoecounty.gov/assessor/cama/?command=sales&amp;parid=05046405","3937070")</f>
        <v>3937070</v>
      </c>
      <c r="H3245" t="s">
        <v>1042</v>
      </c>
      <c r="I3245">
        <v>2006</v>
      </c>
      <c r="J3245">
        <v>2006</v>
      </c>
      <c r="K3245" t="s">
        <v>4554</v>
      </c>
      <c r="L3245" t="s">
        <v>4555</v>
      </c>
      <c r="M3245" s="2">
        <v>3139</v>
      </c>
      <c r="N3245" t="s">
        <v>5280</v>
      </c>
      <c r="O3245">
        <v>3</v>
      </c>
      <c r="P3245">
        <v>2</v>
      </c>
      <c r="Q3245">
        <v>1</v>
      </c>
      <c r="R3245" t="s">
        <v>4557</v>
      </c>
      <c r="S3245" t="s">
        <v>4558</v>
      </c>
      <c r="T3245" t="s">
        <v>4559</v>
      </c>
      <c r="U3245" t="s">
        <v>162</v>
      </c>
      <c r="V3245" s="2">
        <v>1830</v>
      </c>
      <c r="W3245" t="s">
        <v>4655</v>
      </c>
      <c r="X3245" s="2">
        <v>0</v>
      </c>
      <c r="Y3245">
        <v>20</v>
      </c>
      <c r="Z3245" t="s">
        <v>3884</v>
      </c>
      <c r="AA3245" s="3">
        <v>3</v>
      </c>
      <c r="AB3245" t="s">
        <v>18486</v>
      </c>
      <c r="AC3245" t="s">
        <v>4562</v>
      </c>
      <c r="AD3245" t="s">
        <v>18485</v>
      </c>
      <c r="AE3245" t="s">
        <v>4655</v>
      </c>
      <c r="AF3245" t="s">
        <v>1377</v>
      </c>
      <c r="AG3245" t="s">
        <v>4564</v>
      </c>
      <c r="AH3245">
        <v>89704</v>
      </c>
      <c r="AI3245" t="s">
        <v>4655</v>
      </c>
      <c r="AJ3245" t="s">
        <v>4655</v>
      </c>
      <c r="AK3245" t="s">
        <v>18487</v>
      </c>
      <c r="AL3245" s="13" t="s">
        <v>1892</v>
      </c>
      <c r="AM3245">
        <v>1</v>
      </c>
      <c r="AN3245" s="15" t="s">
        <v>1805</v>
      </c>
    </row>
    <row r="3246" spans="1:40" x14ac:dyDescent="0.3">
      <c r="A3246" s="10" t="str">
        <f>HYPERLINK("http://www.washoecounty.gov/assessor/cama/?parid=050-490-17&amp;CardNumber=1","050-490-17")</f>
        <v>050-490-17</v>
      </c>
      <c r="B3246" t="s">
        <v>4655</v>
      </c>
      <c r="C3246" t="s">
        <v>18488</v>
      </c>
      <c r="D3246" s="1">
        <v>40191</v>
      </c>
      <c r="E3246" s="2">
        <v>70875</v>
      </c>
      <c r="F3246" t="s">
        <v>4553</v>
      </c>
      <c r="G3246" s="17" t="str">
        <f>HYPERLINK("https://www.washoecounty.gov/assessor/cama/?command=sales&amp;parid=05049017","3838737")</f>
        <v>3838737</v>
      </c>
      <c r="H3246" t="s">
        <v>18489</v>
      </c>
      <c r="I3246">
        <v>0</v>
      </c>
      <c r="J3246">
        <v>0</v>
      </c>
      <c r="K3246" t="s">
        <v>4655</v>
      </c>
      <c r="L3246" t="s">
        <v>4655</v>
      </c>
      <c r="M3246" s="2">
        <v>0</v>
      </c>
      <c r="N3246" t="s">
        <v>4655</v>
      </c>
      <c r="O3246">
        <v>0</v>
      </c>
      <c r="P3246">
        <v>0</v>
      </c>
      <c r="Q3246">
        <v>0</v>
      </c>
      <c r="R3246" t="s">
        <v>4655</v>
      </c>
      <c r="S3246" t="s">
        <v>4655</v>
      </c>
      <c r="T3246" t="s">
        <v>4655</v>
      </c>
      <c r="U3246" t="s">
        <v>4655</v>
      </c>
      <c r="V3246" s="2">
        <v>0</v>
      </c>
      <c r="W3246" t="s">
        <v>4655</v>
      </c>
      <c r="X3246" s="2">
        <v>0</v>
      </c>
      <c r="Y3246">
        <v>12</v>
      </c>
      <c r="Z3246" t="s">
        <v>1376</v>
      </c>
      <c r="AA3246" s="3">
        <v>5</v>
      </c>
      <c r="AB3246" t="s">
        <v>1806</v>
      </c>
      <c r="AC3246" t="s">
        <v>4562</v>
      </c>
      <c r="AD3246" t="s">
        <v>18490</v>
      </c>
      <c r="AE3246" t="s">
        <v>4655</v>
      </c>
      <c r="AF3246" t="s">
        <v>1377</v>
      </c>
      <c r="AG3246" t="s">
        <v>4564</v>
      </c>
      <c r="AH3246">
        <v>89704</v>
      </c>
      <c r="AI3246" t="s">
        <v>6198</v>
      </c>
      <c r="AJ3246" t="s">
        <v>18491</v>
      </c>
      <c r="AK3246" t="s">
        <v>18492</v>
      </c>
      <c r="AL3246" s="13" t="s">
        <v>1892</v>
      </c>
      <c r="AM3246">
        <v>0</v>
      </c>
      <c r="AN3246" s="15" t="s">
        <v>1807</v>
      </c>
    </row>
    <row r="3247" spans="1:40" x14ac:dyDescent="0.3">
      <c r="A3247" s="10" t="str">
        <f>HYPERLINK("http://www.washoecounty.gov/assessor/cama/?parid=051-061-04&amp;CardNumber=1","051-061-04")</f>
        <v>051-061-04</v>
      </c>
      <c r="B3247" t="s">
        <v>4655</v>
      </c>
      <c r="C3247" t="s">
        <v>18493</v>
      </c>
      <c r="D3247" s="1">
        <v>40297</v>
      </c>
      <c r="E3247" s="2">
        <v>186000</v>
      </c>
      <c r="F3247" t="s">
        <v>4567</v>
      </c>
      <c r="G3247" s="17" t="str">
        <f>HYPERLINK("https://www.washoecounty.gov/assessor/cama/?command=sales&amp;parid=05106104","3876277")</f>
        <v>3876277</v>
      </c>
      <c r="H3247" t="s">
        <v>3543</v>
      </c>
      <c r="I3247">
        <v>1978</v>
      </c>
      <c r="J3247">
        <v>1978</v>
      </c>
      <c r="K3247" t="s">
        <v>4554</v>
      </c>
      <c r="L3247" t="s">
        <v>2170</v>
      </c>
      <c r="M3247" s="2">
        <v>1516</v>
      </c>
      <c r="N3247" t="s">
        <v>4048</v>
      </c>
      <c r="O3247">
        <v>3</v>
      </c>
      <c r="P3247">
        <v>2</v>
      </c>
      <c r="Q3247">
        <v>0</v>
      </c>
      <c r="R3247" t="s">
        <v>4557</v>
      </c>
      <c r="S3247" t="s">
        <v>3148</v>
      </c>
      <c r="T3247" t="s">
        <v>4559</v>
      </c>
      <c r="U3247" t="s">
        <v>5631</v>
      </c>
      <c r="V3247" s="2">
        <v>437</v>
      </c>
      <c r="W3247" t="s">
        <v>3149</v>
      </c>
      <c r="X3247" s="2">
        <v>308</v>
      </c>
      <c r="Y3247">
        <v>20</v>
      </c>
      <c r="Z3247" t="s">
        <v>5508</v>
      </c>
      <c r="AA3247" s="3">
        <v>0.32803028821945202</v>
      </c>
      <c r="AB3247" t="s">
        <v>18494</v>
      </c>
      <c r="AC3247" t="s">
        <v>4562</v>
      </c>
      <c r="AD3247" t="s">
        <v>18493</v>
      </c>
      <c r="AE3247" t="s">
        <v>4655</v>
      </c>
      <c r="AF3247" t="s">
        <v>4563</v>
      </c>
      <c r="AG3247" t="s">
        <v>4564</v>
      </c>
      <c r="AH3247">
        <v>89502</v>
      </c>
      <c r="AI3247" t="s">
        <v>18495</v>
      </c>
      <c r="AJ3247" t="s">
        <v>4655</v>
      </c>
      <c r="AK3247" t="s">
        <v>18496</v>
      </c>
      <c r="AL3247" s="13" t="s">
        <v>1889</v>
      </c>
      <c r="AM3247">
        <v>1</v>
      </c>
      <c r="AN3247" s="15" t="s">
        <v>1015</v>
      </c>
    </row>
    <row r="3248" spans="1:40" x14ac:dyDescent="0.3">
      <c r="A3248" s="10" t="str">
        <f>HYPERLINK("http://www.washoecounty.gov/assessor/cama/?parid=051-074-06&amp;CardNumber=1","051-074-06")</f>
        <v>051-074-06</v>
      </c>
      <c r="B3248" t="s">
        <v>4655</v>
      </c>
      <c r="C3248" t="s">
        <v>18497</v>
      </c>
      <c r="D3248" s="1">
        <v>40421</v>
      </c>
      <c r="E3248" s="2">
        <v>192775</v>
      </c>
      <c r="F3248" t="s">
        <v>4553</v>
      </c>
      <c r="G3248" s="17" t="str">
        <f>HYPERLINK("https://www.washoecounty.gov/assessor/cama/?command=sales&amp;parid=05107406","3917487")</f>
        <v>3917487</v>
      </c>
      <c r="H3248" t="s">
        <v>3543</v>
      </c>
      <c r="I3248">
        <v>1978</v>
      </c>
      <c r="J3248">
        <v>1978</v>
      </c>
      <c r="K3248" t="s">
        <v>4554</v>
      </c>
      <c r="L3248" t="s">
        <v>4555</v>
      </c>
      <c r="M3248" s="2">
        <v>1609</v>
      </c>
      <c r="N3248" t="s">
        <v>4048</v>
      </c>
      <c r="O3248">
        <v>4</v>
      </c>
      <c r="P3248">
        <v>2</v>
      </c>
      <c r="Q3248">
        <v>0</v>
      </c>
      <c r="R3248" t="s">
        <v>4557</v>
      </c>
      <c r="S3248" t="s">
        <v>3148</v>
      </c>
      <c r="T3248" t="s">
        <v>4559</v>
      </c>
      <c r="U3248" t="s">
        <v>4655</v>
      </c>
      <c r="V3248" s="2">
        <v>0</v>
      </c>
      <c r="W3248" t="s">
        <v>4655</v>
      </c>
      <c r="X3248" s="2">
        <v>0</v>
      </c>
      <c r="Y3248">
        <v>20</v>
      </c>
      <c r="Z3248" t="s">
        <v>5508</v>
      </c>
      <c r="AA3248" s="3">
        <v>0.394008278846741</v>
      </c>
      <c r="AB3248" t="s">
        <v>18498</v>
      </c>
      <c r="AC3248" t="s">
        <v>4562</v>
      </c>
      <c r="AD3248" t="s">
        <v>18497</v>
      </c>
      <c r="AE3248" t="s">
        <v>4655</v>
      </c>
      <c r="AF3248" t="s">
        <v>4563</v>
      </c>
      <c r="AG3248" t="s">
        <v>4564</v>
      </c>
      <c r="AH3248">
        <v>89502</v>
      </c>
      <c r="AI3248" t="s">
        <v>4565</v>
      </c>
      <c r="AJ3248" t="s">
        <v>4655</v>
      </c>
      <c r="AK3248" t="s">
        <v>18499</v>
      </c>
      <c r="AL3248" s="13" t="s">
        <v>1889</v>
      </c>
      <c r="AM3248" s="14">
        <v>1</v>
      </c>
      <c r="AN3248" s="15" t="s">
        <v>1015</v>
      </c>
    </row>
    <row r="3249" spans="1:40" x14ac:dyDescent="0.3">
      <c r="A3249" s="10" t="str">
        <f>HYPERLINK("http://www.washoecounty.gov/assessor/cama/?parid=051-082-10&amp;CardNumber=1","051-082-10")</f>
        <v>051-082-10</v>
      </c>
      <c r="B3249" t="s">
        <v>4655</v>
      </c>
      <c r="C3249" t="s">
        <v>18500</v>
      </c>
      <c r="D3249" s="1">
        <v>40394</v>
      </c>
      <c r="E3249" s="2">
        <v>250000</v>
      </c>
      <c r="F3249" t="s">
        <v>4567</v>
      </c>
      <c r="G3249" s="17" t="str">
        <f>HYPERLINK("https://www.washoecounty.gov/assessor/cama/?command=sales&amp;parid=05108210","3908904")</f>
        <v>3908904</v>
      </c>
      <c r="H3249" t="s">
        <v>3543</v>
      </c>
      <c r="I3249">
        <v>1979</v>
      </c>
      <c r="J3249">
        <v>1979</v>
      </c>
      <c r="K3249" t="s">
        <v>4554</v>
      </c>
      <c r="L3249" t="s">
        <v>4555</v>
      </c>
      <c r="M3249" s="2">
        <v>1609</v>
      </c>
      <c r="N3249" t="s">
        <v>4048</v>
      </c>
      <c r="O3249">
        <v>4</v>
      </c>
      <c r="P3249">
        <v>2</v>
      </c>
      <c r="Q3249">
        <v>0</v>
      </c>
      <c r="R3249" t="s">
        <v>4557</v>
      </c>
      <c r="S3249" t="s">
        <v>4135</v>
      </c>
      <c r="T3249" t="s">
        <v>4559</v>
      </c>
      <c r="U3249" t="s">
        <v>4560</v>
      </c>
      <c r="V3249" s="2">
        <v>1138</v>
      </c>
      <c r="W3249" t="s">
        <v>4655</v>
      </c>
      <c r="X3249" s="2">
        <v>0</v>
      </c>
      <c r="Y3249">
        <v>20</v>
      </c>
      <c r="Z3249" t="s">
        <v>5508</v>
      </c>
      <c r="AA3249" s="3">
        <v>0.358999073505402</v>
      </c>
      <c r="AB3249" t="s">
        <v>18501</v>
      </c>
      <c r="AC3249" t="s">
        <v>4562</v>
      </c>
      <c r="AD3249" t="s">
        <v>18500</v>
      </c>
      <c r="AE3249" t="s">
        <v>4655</v>
      </c>
      <c r="AF3249" t="s">
        <v>4563</v>
      </c>
      <c r="AG3249" t="s">
        <v>4564</v>
      </c>
      <c r="AH3249">
        <v>89502</v>
      </c>
      <c r="AI3249" t="s">
        <v>18502</v>
      </c>
      <c r="AJ3249" t="s">
        <v>4655</v>
      </c>
      <c r="AK3249" t="s">
        <v>18503</v>
      </c>
      <c r="AL3249" s="13" t="s">
        <v>1889</v>
      </c>
      <c r="AM3249">
        <v>1</v>
      </c>
      <c r="AN3249" s="15" t="s">
        <v>1015</v>
      </c>
    </row>
    <row r="3250" spans="1:40" x14ac:dyDescent="0.3">
      <c r="A3250" s="10" t="str">
        <f>HYPERLINK("http://www.washoecounty.gov/assessor/cama/?parid=051-121-05&amp;CardNumber=1","051-121-05")</f>
        <v>051-121-05</v>
      </c>
      <c r="B3250" t="s">
        <v>4655</v>
      </c>
      <c r="C3250" t="s">
        <v>18504</v>
      </c>
      <c r="D3250" s="1">
        <v>40450</v>
      </c>
      <c r="E3250" s="2">
        <v>210000</v>
      </c>
      <c r="F3250" t="s">
        <v>4567</v>
      </c>
      <c r="G3250" s="17" t="str">
        <f>HYPERLINK("https://www.washoecounty.gov/assessor/cama/?command=sales&amp;parid=05112105","3927490")</f>
        <v>3927490</v>
      </c>
      <c r="H3250" t="s">
        <v>2417</v>
      </c>
      <c r="I3250">
        <v>1965</v>
      </c>
      <c r="J3250">
        <v>1965</v>
      </c>
      <c r="K3250" t="s">
        <v>4554</v>
      </c>
      <c r="L3250" t="s">
        <v>4555</v>
      </c>
      <c r="M3250" s="2">
        <v>1520</v>
      </c>
      <c r="N3250" t="s">
        <v>5280</v>
      </c>
      <c r="O3250">
        <v>3</v>
      </c>
      <c r="P3250">
        <v>2</v>
      </c>
      <c r="Q3250">
        <v>0</v>
      </c>
      <c r="R3250" t="s">
        <v>5205</v>
      </c>
      <c r="S3250" t="s">
        <v>4135</v>
      </c>
      <c r="T3250" t="s">
        <v>4559</v>
      </c>
      <c r="U3250" t="s">
        <v>4655</v>
      </c>
      <c r="V3250" s="2">
        <v>0</v>
      </c>
      <c r="W3250" t="s">
        <v>4655</v>
      </c>
      <c r="X3250" s="2">
        <v>0</v>
      </c>
      <c r="Y3250">
        <v>20</v>
      </c>
      <c r="Z3250" t="s">
        <v>5508</v>
      </c>
      <c r="AA3250" s="3">
        <v>0.43999081850051902</v>
      </c>
      <c r="AB3250" t="s">
        <v>18505</v>
      </c>
      <c r="AC3250" t="s">
        <v>4575</v>
      </c>
      <c r="AD3250" t="s">
        <v>18506</v>
      </c>
      <c r="AE3250" t="s">
        <v>4655</v>
      </c>
      <c r="AF3250" t="s">
        <v>4563</v>
      </c>
      <c r="AG3250" t="s">
        <v>4564</v>
      </c>
      <c r="AH3250">
        <v>89511</v>
      </c>
      <c r="AI3250" t="s">
        <v>18507</v>
      </c>
      <c r="AJ3250" t="s">
        <v>4655</v>
      </c>
      <c r="AK3250" t="s">
        <v>18508</v>
      </c>
      <c r="AL3250" s="13" t="s">
        <v>1889</v>
      </c>
      <c r="AM3250">
        <v>1</v>
      </c>
      <c r="AN3250" s="15" t="s">
        <v>1015</v>
      </c>
    </row>
    <row r="3251" spans="1:40" x14ac:dyDescent="0.3">
      <c r="A3251" s="10" t="str">
        <f>HYPERLINK("http://www.washoecounty.gov/assessor/cama/?parid=051-121-28&amp;CardNumber=1","051-121-28")</f>
        <v>051-121-28</v>
      </c>
      <c r="B3251" t="s">
        <v>4655</v>
      </c>
      <c r="C3251" t="s">
        <v>18509</v>
      </c>
      <c r="D3251" s="1">
        <v>40466</v>
      </c>
      <c r="E3251" s="2">
        <v>221500</v>
      </c>
      <c r="F3251" t="s">
        <v>4553</v>
      </c>
      <c r="G3251" s="17" t="str">
        <f>HYPERLINK("https://www.washoecounty.gov/assessor/cama/?command=sales&amp;parid=05112128","3933755")</f>
        <v>3933755</v>
      </c>
      <c r="H3251" t="s">
        <v>2417</v>
      </c>
      <c r="I3251">
        <v>1977</v>
      </c>
      <c r="J3251">
        <v>1977</v>
      </c>
      <c r="K3251" t="s">
        <v>4554</v>
      </c>
      <c r="L3251" t="s">
        <v>3974</v>
      </c>
      <c r="M3251" s="2">
        <v>3193</v>
      </c>
      <c r="N3251" t="s">
        <v>3147</v>
      </c>
      <c r="O3251">
        <v>4</v>
      </c>
      <c r="P3251">
        <v>2</v>
      </c>
      <c r="Q3251">
        <v>1</v>
      </c>
      <c r="R3251" t="s">
        <v>4557</v>
      </c>
      <c r="S3251" t="s">
        <v>4558</v>
      </c>
      <c r="T3251" t="s">
        <v>4559</v>
      </c>
      <c r="U3251" t="s">
        <v>4560</v>
      </c>
      <c r="V3251" s="2">
        <v>497</v>
      </c>
      <c r="W3251" t="s">
        <v>4655</v>
      </c>
      <c r="X3251" s="2">
        <v>0</v>
      </c>
      <c r="Y3251">
        <v>20</v>
      </c>
      <c r="Z3251" t="s">
        <v>5508</v>
      </c>
      <c r="AA3251" s="3">
        <v>0.52398991584777832</v>
      </c>
      <c r="AB3251" t="s">
        <v>18510</v>
      </c>
      <c r="AC3251" t="s">
        <v>4562</v>
      </c>
      <c r="AD3251" t="s">
        <v>18511</v>
      </c>
      <c r="AE3251" t="s">
        <v>4655</v>
      </c>
      <c r="AF3251" t="s">
        <v>4563</v>
      </c>
      <c r="AG3251" t="s">
        <v>4564</v>
      </c>
      <c r="AH3251">
        <v>89502</v>
      </c>
      <c r="AI3251" t="s">
        <v>949</v>
      </c>
      <c r="AJ3251" t="s">
        <v>18512</v>
      </c>
      <c r="AK3251" t="s">
        <v>18513</v>
      </c>
      <c r="AL3251" s="13" t="s">
        <v>1889</v>
      </c>
      <c r="AM3251">
        <v>1</v>
      </c>
      <c r="AN3251" s="15" t="s">
        <v>1015</v>
      </c>
    </row>
    <row r="3252" spans="1:40" x14ac:dyDescent="0.3">
      <c r="A3252" s="10" t="str">
        <f>HYPERLINK("http://www.washoecounty.gov/assessor/cama/?parid=051-152-34&amp;CardNumber=1","051-152-34")</f>
        <v>051-152-34</v>
      </c>
      <c r="B3252" t="s">
        <v>4655</v>
      </c>
      <c r="C3252" t="s">
        <v>18514</v>
      </c>
      <c r="D3252" s="1">
        <v>40416</v>
      </c>
      <c r="E3252" s="2">
        <v>195000</v>
      </c>
      <c r="F3252" t="s">
        <v>4567</v>
      </c>
      <c r="G3252" s="17" t="str">
        <f>HYPERLINK("https://www.washoecounty.gov/assessor/cama/?command=sales&amp;parid=05115234","3916077")</f>
        <v>3916077</v>
      </c>
      <c r="H3252" t="s">
        <v>2481</v>
      </c>
      <c r="I3252">
        <v>1963</v>
      </c>
      <c r="J3252">
        <v>1963</v>
      </c>
      <c r="K3252" t="s">
        <v>4554</v>
      </c>
      <c r="L3252" t="s">
        <v>4555</v>
      </c>
      <c r="M3252" s="2">
        <v>1962</v>
      </c>
      <c r="N3252" t="s">
        <v>3147</v>
      </c>
      <c r="O3252">
        <v>3</v>
      </c>
      <c r="P3252">
        <v>2</v>
      </c>
      <c r="Q3252">
        <v>0</v>
      </c>
      <c r="R3252" t="s">
        <v>5281</v>
      </c>
      <c r="S3252" t="s">
        <v>4682</v>
      </c>
      <c r="T3252" t="s">
        <v>4559</v>
      </c>
      <c r="U3252" t="s">
        <v>4560</v>
      </c>
      <c r="V3252" s="2">
        <v>460</v>
      </c>
      <c r="W3252" t="s">
        <v>4655</v>
      </c>
      <c r="X3252" s="2">
        <v>0</v>
      </c>
      <c r="Y3252">
        <v>20</v>
      </c>
      <c r="Z3252" t="s">
        <v>5508</v>
      </c>
      <c r="AA3252" s="3">
        <v>0.40000000596046398</v>
      </c>
      <c r="AB3252" t="s">
        <v>18515</v>
      </c>
      <c r="AC3252" t="s">
        <v>4562</v>
      </c>
      <c r="AD3252" t="s">
        <v>18514</v>
      </c>
      <c r="AE3252" t="s">
        <v>4655</v>
      </c>
      <c r="AF3252" t="s">
        <v>4563</v>
      </c>
      <c r="AG3252" t="s">
        <v>4564</v>
      </c>
      <c r="AH3252">
        <v>89502</v>
      </c>
      <c r="AI3252" t="s">
        <v>18516</v>
      </c>
      <c r="AJ3252" t="s">
        <v>18517</v>
      </c>
      <c r="AK3252" t="s">
        <v>18518</v>
      </c>
      <c r="AL3252" s="13" t="s">
        <v>1889</v>
      </c>
      <c r="AM3252" s="14">
        <v>1</v>
      </c>
      <c r="AN3252" s="15" t="s">
        <v>1015</v>
      </c>
    </row>
    <row r="3253" spans="1:40" x14ac:dyDescent="0.3">
      <c r="A3253" s="10" t="str">
        <f>HYPERLINK("http://www.washoecounty.gov/assessor/cama/?parid=051-172-27&amp;CardNumber=1","051-172-27")</f>
        <v>051-172-27</v>
      </c>
      <c r="B3253" t="s">
        <v>4655</v>
      </c>
      <c r="C3253" t="s">
        <v>18519</v>
      </c>
      <c r="D3253" s="1">
        <v>40470</v>
      </c>
      <c r="E3253" s="2">
        <v>201500</v>
      </c>
      <c r="F3253" t="s">
        <v>4567</v>
      </c>
      <c r="G3253" s="17" t="str">
        <f>HYPERLINK("https://www.washoecounty.gov/assessor/cama/?command=sales&amp;parid=05117227","3934637")</f>
        <v>3934637</v>
      </c>
      <c r="H3253" t="s">
        <v>18520</v>
      </c>
      <c r="I3253">
        <v>1977</v>
      </c>
      <c r="J3253">
        <v>1977</v>
      </c>
      <c r="K3253" t="s">
        <v>4554</v>
      </c>
      <c r="L3253" t="s">
        <v>2170</v>
      </c>
      <c r="M3253" s="2">
        <v>1958</v>
      </c>
      <c r="N3253" t="s">
        <v>5280</v>
      </c>
      <c r="O3253">
        <v>3</v>
      </c>
      <c r="P3253">
        <v>2</v>
      </c>
      <c r="Q3253">
        <v>1</v>
      </c>
      <c r="R3253" t="s">
        <v>5205</v>
      </c>
      <c r="S3253" t="s">
        <v>4558</v>
      </c>
      <c r="T3253" t="s">
        <v>4559</v>
      </c>
      <c r="U3253" t="s">
        <v>5631</v>
      </c>
      <c r="V3253" s="2">
        <v>504</v>
      </c>
      <c r="W3253" t="s">
        <v>4655</v>
      </c>
      <c r="X3253" s="2">
        <v>0</v>
      </c>
      <c r="Y3253">
        <v>20</v>
      </c>
      <c r="Z3253" t="s">
        <v>5508</v>
      </c>
      <c r="AA3253" s="3">
        <v>0.564003646373748</v>
      </c>
      <c r="AB3253" t="s">
        <v>18521</v>
      </c>
      <c r="AC3253" t="s">
        <v>4562</v>
      </c>
      <c r="AD3253" t="s">
        <v>18519</v>
      </c>
      <c r="AE3253" t="s">
        <v>4655</v>
      </c>
      <c r="AF3253" t="s">
        <v>4563</v>
      </c>
      <c r="AG3253" t="s">
        <v>4564</v>
      </c>
      <c r="AH3253">
        <v>89502</v>
      </c>
      <c r="AI3253" t="s">
        <v>18522</v>
      </c>
      <c r="AJ3253" t="s">
        <v>4655</v>
      </c>
      <c r="AK3253" t="s">
        <v>18523</v>
      </c>
      <c r="AL3253" s="13" t="s">
        <v>1889</v>
      </c>
      <c r="AM3253">
        <v>1</v>
      </c>
      <c r="AN3253" s="15" t="s">
        <v>1015</v>
      </c>
    </row>
    <row r="3254" spans="1:40" x14ac:dyDescent="0.3">
      <c r="A3254" s="10" t="str">
        <f>HYPERLINK("http://www.washoecounty.gov/assessor/cama/?parid=051-180-23&amp;CardNumber=1","051-180-23")</f>
        <v>051-180-23</v>
      </c>
      <c r="B3254" t="s">
        <v>4655</v>
      </c>
      <c r="C3254" t="s">
        <v>18524</v>
      </c>
      <c r="D3254" s="1">
        <v>40417</v>
      </c>
      <c r="E3254" s="2">
        <v>147500</v>
      </c>
      <c r="F3254" t="s">
        <v>4567</v>
      </c>
      <c r="G3254" s="17" t="str">
        <f>HYPERLINK("https://www.washoecounty.gov/assessor/cama/?command=sales&amp;parid=05118023","3916316")</f>
        <v>3916316</v>
      </c>
      <c r="H3254" t="s">
        <v>2674</v>
      </c>
      <c r="I3254">
        <v>1966</v>
      </c>
      <c r="J3254">
        <v>1966</v>
      </c>
      <c r="K3254" t="s">
        <v>4554</v>
      </c>
      <c r="L3254" t="s">
        <v>4555</v>
      </c>
      <c r="M3254" s="2">
        <v>1046</v>
      </c>
      <c r="N3254" t="s">
        <v>5280</v>
      </c>
      <c r="O3254">
        <v>2</v>
      </c>
      <c r="P3254">
        <v>2</v>
      </c>
      <c r="Q3254">
        <v>0</v>
      </c>
      <c r="R3254" t="s">
        <v>5205</v>
      </c>
      <c r="S3254" t="s">
        <v>4135</v>
      </c>
      <c r="T3254" t="s">
        <v>4559</v>
      </c>
      <c r="U3254" t="s">
        <v>4655</v>
      </c>
      <c r="V3254" s="2">
        <v>0</v>
      </c>
      <c r="W3254" t="s">
        <v>4655</v>
      </c>
      <c r="X3254" s="2">
        <v>0</v>
      </c>
      <c r="Y3254">
        <v>21</v>
      </c>
      <c r="Z3254" t="s">
        <v>718</v>
      </c>
      <c r="AA3254" s="3">
        <v>1.00000004749745E-3</v>
      </c>
      <c r="AB3254" t="s">
        <v>18525</v>
      </c>
      <c r="AC3254" t="s">
        <v>4575</v>
      </c>
      <c r="AD3254" t="s">
        <v>18526</v>
      </c>
      <c r="AE3254" t="s">
        <v>4655</v>
      </c>
      <c r="AF3254" t="s">
        <v>18527</v>
      </c>
      <c r="AG3254" t="s">
        <v>4203</v>
      </c>
      <c r="AH3254">
        <v>83611</v>
      </c>
      <c r="AI3254" t="s">
        <v>18528</v>
      </c>
      <c r="AJ3254" t="s">
        <v>4655</v>
      </c>
      <c r="AK3254" t="s">
        <v>18529</v>
      </c>
      <c r="AL3254" s="13" t="s">
        <v>1889</v>
      </c>
      <c r="AM3254">
        <v>1</v>
      </c>
      <c r="AN3254" s="15" t="s">
        <v>2286</v>
      </c>
    </row>
    <row r="3255" spans="1:40" x14ac:dyDescent="0.3">
      <c r="A3255" s="10" t="str">
        <f>HYPERLINK("http://www.washoecounty.gov/assessor/cama/?parid=051-191-03&amp;CardNumber=1","051-191-03")</f>
        <v>051-191-03</v>
      </c>
      <c r="B3255" t="s">
        <v>4655</v>
      </c>
      <c r="C3255" t="s">
        <v>18530</v>
      </c>
      <c r="D3255" s="1">
        <v>40186</v>
      </c>
      <c r="E3255" s="2">
        <v>230000</v>
      </c>
      <c r="F3255" t="s">
        <v>4567</v>
      </c>
      <c r="G3255" s="17" t="str">
        <f>HYPERLINK("https://www.washoecounty.gov/assessor/cama/?command=sales&amp;parid=05119103","3837785")</f>
        <v>3837785</v>
      </c>
      <c r="H3255" t="s">
        <v>18531</v>
      </c>
      <c r="I3255">
        <v>1974</v>
      </c>
      <c r="J3255">
        <v>1974</v>
      </c>
      <c r="K3255" t="s">
        <v>4554</v>
      </c>
      <c r="L3255" t="s">
        <v>4555</v>
      </c>
      <c r="M3255" s="2">
        <v>1672</v>
      </c>
      <c r="N3255" t="s">
        <v>5280</v>
      </c>
      <c r="O3255">
        <v>3</v>
      </c>
      <c r="P3255">
        <v>2</v>
      </c>
      <c r="Q3255">
        <v>0</v>
      </c>
      <c r="R3255" t="s">
        <v>4557</v>
      </c>
      <c r="S3255" t="s">
        <v>4558</v>
      </c>
      <c r="T3255" t="s">
        <v>4559</v>
      </c>
      <c r="U3255" t="s">
        <v>4560</v>
      </c>
      <c r="V3255" s="2">
        <v>528</v>
      </c>
      <c r="W3255" t="s">
        <v>4655</v>
      </c>
      <c r="X3255" s="2">
        <v>0</v>
      </c>
      <c r="Y3255">
        <v>20</v>
      </c>
      <c r="Z3255" t="s">
        <v>5508</v>
      </c>
      <c r="AA3255" s="3">
        <v>0.43999081850051902</v>
      </c>
      <c r="AB3255" t="s">
        <v>18532</v>
      </c>
      <c r="AC3255" t="s">
        <v>4562</v>
      </c>
      <c r="AD3255" t="s">
        <v>18530</v>
      </c>
      <c r="AE3255" t="s">
        <v>4655</v>
      </c>
      <c r="AF3255" t="s">
        <v>4563</v>
      </c>
      <c r="AG3255" t="s">
        <v>4564</v>
      </c>
      <c r="AH3255">
        <v>89502</v>
      </c>
      <c r="AI3255" t="s">
        <v>4655</v>
      </c>
      <c r="AJ3255" t="s">
        <v>4655</v>
      </c>
      <c r="AK3255" t="s">
        <v>18533</v>
      </c>
      <c r="AL3255" s="13" t="s">
        <v>1889</v>
      </c>
      <c r="AM3255" s="14">
        <v>1</v>
      </c>
      <c r="AN3255" s="15" t="s">
        <v>1015</v>
      </c>
    </row>
    <row r="3256" spans="1:40" x14ac:dyDescent="0.3">
      <c r="A3256" s="10" t="str">
        <f>HYPERLINK("http://www.washoecounty.gov/assessor/cama/?parid=051-201-07&amp;CardNumber=1","051-201-07")</f>
        <v>051-201-07</v>
      </c>
      <c r="B3256" t="s">
        <v>4655</v>
      </c>
      <c r="C3256" t="s">
        <v>18534</v>
      </c>
      <c r="D3256" s="1">
        <v>40395</v>
      </c>
      <c r="E3256" s="2">
        <v>210000</v>
      </c>
      <c r="F3256" t="s">
        <v>4567</v>
      </c>
      <c r="G3256" s="17" t="str">
        <f>HYPERLINK("https://www.washoecounty.gov/assessor/cama/?command=sales&amp;parid=05120107","3909220")</f>
        <v>3909220</v>
      </c>
      <c r="H3256" t="s">
        <v>18535</v>
      </c>
      <c r="I3256">
        <v>1974</v>
      </c>
      <c r="J3256">
        <v>1990</v>
      </c>
      <c r="K3256" t="s">
        <v>4554</v>
      </c>
      <c r="L3256" t="s">
        <v>4555</v>
      </c>
      <c r="M3256" s="2">
        <v>2030</v>
      </c>
      <c r="N3256" t="s">
        <v>3147</v>
      </c>
      <c r="O3256">
        <v>2</v>
      </c>
      <c r="P3256">
        <v>2</v>
      </c>
      <c r="Q3256">
        <v>1</v>
      </c>
      <c r="R3256" t="s">
        <v>5281</v>
      </c>
      <c r="S3256" t="s">
        <v>4558</v>
      </c>
      <c r="T3256" t="s">
        <v>4559</v>
      </c>
      <c r="U3256" t="s">
        <v>4560</v>
      </c>
      <c r="V3256" s="2">
        <v>484</v>
      </c>
      <c r="W3256" t="s">
        <v>4655</v>
      </c>
      <c r="X3256" s="2">
        <v>0</v>
      </c>
      <c r="Y3256">
        <v>20</v>
      </c>
      <c r="Z3256" t="s">
        <v>5508</v>
      </c>
      <c r="AA3256" s="3">
        <v>0.355991721153259</v>
      </c>
      <c r="AB3256" t="s">
        <v>18536</v>
      </c>
      <c r="AC3256" t="s">
        <v>4562</v>
      </c>
      <c r="AD3256" t="s">
        <v>18534</v>
      </c>
      <c r="AE3256" t="s">
        <v>4655</v>
      </c>
      <c r="AF3256" t="s">
        <v>4563</v>
      </c>
      <c r="AG3256" t="s">
        <v>4564</v>
      </c>
      <c r="AH3256">
        <v>89502</v>
      </c>
      <c r="AI3256" t="s">
        <v>18537</v>
      </c>
      <c r="AJ3256" t="s">
        <v>4655</v>
      </c>
      <c r="AK3256" t="s">
        <v>18538</v>
      </c>
      <c r="AL3256" s="13" t="s">
        <v>1889</v>
      </c>
      <c r="AM3256" s="14">
        <v>1</v>
      </c>
      <c r="AN3256" s="15" t="s">
        <v>1015</v>
      </c>
    </row>
    <row r="3257" spans="1:40" x14ac:dyDescent="0.3">
      <c r="A3257" s="10" t="str">
        <f>HYPERLINK("http://www.washoecounty.gov/assessor/cama/?parid=051-203-13&amp;CardNumber=1","051-203-13")</f>
        <v>051-203-13</v>
      </c>
      <c r="B3257" t="s">
        <v>4655</v>
      </c>
      <c r="C3257" t="s">
        <v>18539</v>
      </c>
      <c r="D3257" s="1">
        <v>40315</v>
      </c>
      <c r="E3257" s="2">
        <v>559000</v>
      </c>
      <c r="F3257" t="s">
        <v>4567</v>
      </c>
      <c r="G3257" s="17" t="str">
        <f>HYPERLINK("https://www.washoecounty.gov/assessor/cama/?command=sales&amp;parid=05120313","3882131")</f>
        <v>3882131</v>
      </c>
      <c r="H3257" t="s">
        <v>18540</v>
      </c>
      <c r="I3257">
        <v>1994</v>
      </c>
      <c r="J3257">
        <v>1994</v>
      </c>
      <c r="K3257" t="s">
        <v>4554</v>
      </c>
      <c r="L3257" t="s">
        <v>3886</v>
      </c>
      <c r="M3257" s="2">
        <v>2706</v>
      </c>
      <c r="N3257" t="s">
        <v>1245</v>
      </c>
      <c r="O3257">
        <v>4</v>
      </c>
      <c r="P3257">
        <v>4</v>
      </c>
      <c r="Q3257">
        <v>0</v>
      </c>
      <c r="R3257" t="s">
        <v>5281</v>
      </c>
      <c r="S3257" t="s">
        <v>4898</v>
      </c>
      <c r="T3257" t="s">
        <v>2704</v>
      </c>
      <c r="U3257" t="s">
        <v>4560</v>
      </c>
      <c r="V3257" s="2">
        <v>678</v>
      </c>
      <c r="W3257" t="s">
        <v>4655</v>
      </c>
      <c r="X3257" s="2">
        <v>0</v>
      </c>
      <c r="Y3257">
        <v>20</v>
      </c>
      <c r="Z3257" t="s">
        <v>5282</v>
      </c>
      <c r="AA3257" s="3">
        <v>0.44800275564193698</v>
      </c>
      <c r="AB3257" t="s">
        <v>18541</v>
      </c>
      <c r="AC3257" t="s">
        <v>4562</v>
      </c>
      <c r="AD3257" t="s">
        <v>12042</v>
      </c>
      <c r="AE3257" t="s">
        <v>4655</v>
      </c>
      <c r="AF3257" t="s">
        <v>4563</v>
      </c>
      <c r="AG3257" t="s">
        <v>4564</v>
      </c>
      <c r="AH3257">
        <v>89502</v>
      </c>
      <c r="AI3257" t="s">
        <v>692</v>
      </c>
      <c r="AJ3257" t="s">
        <v>18542</v>
      </c>
      <c r="AK3257" t="s">
        <v>18543</v>
      </c>
      <c r="AL3257" s="13" t="s">
        <v>2257</v>
      </c>
      <c r="AM3257" s="14">
        <v>1</v>
      </c>
      <c r="AN3257" s="15" t="s">
        <v>3673</v>
      </c>
    </row>
    <row r="3258" spans="1:40" x14ac:dyDescent="0.3">
      <c r="A3258" s="10" t="str">
        <f>HYPERLINK("http://www.washoecounty.gov/assessor/cama/?parid=051-203-16&amp;CardNumber=1","051-203-16")</f>
        <v>051-203-16</v>
      </c>
      <c r="B3258" t="s">
        <v>4655</v>
      </c>
      <c r="C3258" t="s">
        <v>18544</v>
      </c>
      <c r="D3258" s="1">
        <v>40248</v>
      </c>
      <c r="E3258" s="2">
        <v>320000</v>
      </c>
      <c r="F3258" t="s">
        <v>4567</v>
      </c>
      <c r="G3258" s="17" t="str">
        <f>HYPERLINK("https://www.washoecounty.gov/assessor/cama/?command=sales&amp;parid=05120316","3858586")</f>
        <v>3858586</v>
      </c>
      <c r="H3258" t="s">
        <v>18540</v>
      </c>
      <c r="I3258">
        <v>1992</v>
      </c>
      <c r="J3258">
        <v>1992</v>
      </c>
      <c r="K3258" t="s">
        <v>4554</v>
      </c>
      <c r="L3258" t="s">
        <v>3886</v>
      </c>
      <c r="M3258" s="2">
        <v>3051</v>
      </c>
      <c r="N3258" t="s">
        <v>3887</v>
      </c>
      <c r="O3258">
        <v>4</v>
      </c>
      <c r="P3258">
        <v>3</v>
      </c>
      <c r="Q3258">
        <v>1</v>
      </c>
      <c r="R3258" t="s">
        <v>5281</v>
      </c>
      <c r="S3258" t="s">
        <v>4682</v>
      </c>
      <c r="T3258" t="s">
        <v>2704</v>
      </c>
      <c r="U3258" t="s">
        <v>4560</v>
      </c>
      <c r="V3258" s="2">
        <v>885</v>
      </c>
      <c r="W3258" t="s">
        <v>4655</v>
      </c>
      <c r="X3258" s="2">
        <v>0</v>
      </c>
      <c r="Y3258">
        <v>20</v>
      </c>
      <c r="Z3258" t="s">
        <v>5282</v>
      </c>
      <c r="AA3258" s="3">
        <v>0.45399448275566101</v>
      </c>
      <c r="AB3258" t="s">
        <v>18545</v>
      </c>
      <c r="AC3258" t="s">
        <v>4562</v>
      </c>
      <c r="AD3258" t="s">
        <v>18544</v>
      </c>
      <c r="AE3258" t="s">
        <v>4655</v>
      </c>
      <c r="AF3258" t="s">
        <v>4563</v>
      </c>
      <c r="AG3258" t="s">
        <v>4564</v>
      </c>
      <c r="AH3258">
        <v>89502</v>
      </c>
      <c r="AI3258" t="s">
        <v>4655</v>
      </c>
      <c r="AJ3258" t="s">
        <v>18546</v>
      </c>
      <c r="AK3258" t="s">
        <v>18547</v>
      </c>
      <c r="AL3258" s="13" t="s">
        <v>2257</v>
      </c>
      <c r="AM3258">
        <v>1</v>
      </c>
      <c r="AN3258" s="15" t="s">
        <v>3673</v>
      </c>
    </row>
    <row r="3259" spans="1:40" x14ac:dyDescent="0.3">
      <c r="A3259" s="10" t="str">
        <f>HYPERLINK("http://www.washoecounty.gov/assessor/cama/?parid=051-220-01&amp;CardNumber=1","051-220-01")</f>
        <v>051-220-01</v>
      </c>
      <c r="B3259" t="s">
        <v>4655</v>
      </c>
      <c r="C3259" t="s">
        <v>18548</v>
      </c>
      <c r="D3259" s="1">
        <v>40241</v>
      </c>
      <c r="E3259" s="2">
        <v>5000</v>
      </c>
      <c r="F3259" t="s">
        <v>8583</v>
      </c>
      <c r="G3259" s="17" t="str">
        <f>HYPERLINK("https://www.washoecounty.gov/assessor/cama/?command=sales&amp;parid=05122001","3855745")</f>
        <v>3855745</v>
      </c>
      <c r="H3259" t="s">
        <v>1492</v>
      </c>
      <c r="I3259">
        <v>0</v>
      </c>
      <c r="J3259">
        <v>0</v>
      </c>
      <c r="K3259" t="s">
        <v>4655</v>
      </c>
      <c r="L3259" t="s">
        <v>4655</v>
      </c>
      <c r="M3259" s="2">
        <v>0</v>
      </c>
      <c r="N3259" t="s">
        <v>4655</v>
      </c>
      <c r="O3259">
        <v>0</v>
      </c>
      <c r="P3259">
        <v>0</v>
      </c>
      <c r="Q3259">
        <v>0</v>
      </c>
      <c r="R3259" t="s">
        <v>4655</v>
      </c>
      <c r="S3259" t="s">
        <v>4655</v>
      </c>
      <c r="T3259" t="s">
        <v>4655</v>
      </c>
      <c r="U3259" t="s">
        <v>4655</v>
      </c>
      <c r="V3259" s="2">
        <v>0</v>
      </c>
      <c r="W3259" t="s">
        <v>4655</v>
      </c>
      <c r="X3259" s="2">
        <v>0</v>
      </c>
      <c r="Y3259">
        <v>16</v>
      </c>
      <c r="Z3259" t="s">
        <v>5508</v>
      </c>
      <c r="AA3259" s="3">
        <v>0.34898990392684898</v>
      </c>
      <c r="AB3259" t="s">
        <v>18549</v>
      </c>
      <c r="AC3259" t="s">
        <v>4562</v>
      </c>
      <c r="AD3259" t="s">
        <v>18550</v>
      </c>
      <c r="AE3259" t="s">
        <v>4655</v>
      </c>
      <c r="AF3259" t="s">
        <v>4563</v>
      </c>
      <c r="AG3259" t="s">
        <v>4564</v>
      </c>
      <c r="AH3259">
        <v>89511</v>
      </c>
      <c r="AI3259" t="s">
        <v>18551</v>
      </c>
      <c r="AJ3259" t="s">
        <v>4655</v>
      </c>
      <c r="AK3259" t="s">
        <v>18552</v>
      </c>
      <c r="AL3259" s="13" t="s">
        <v>1889</v>
      </c>
      <c r="AM3259">
        <v>0</v>
      </c>
      <c r="AN3259" s="15" t="s">
        <v>1015</v>
      </c>
    </row>
    <row r="3260" spans="1:40" x14ac:dyDescent="0.3">
      <c r="A3260" s="10" t="str">
        <f>HYPERLINK("http://www.washoecounty.gov/assessor/cama/?parid=051-241-18&amp;CardNumber=1","051-241-18")</f>
        <v>051-241-18</v>
      </c>
      <c r="B3260" t="s">
        <v>4655</v>
      </c>
      <c r="C3260" t="s">
        <v>18553</v>
      </c>
      <c r="D3260" s="1">
        <v>40305</v>
      </c>
      <c r="E3260" s="2">
        <v>230000</v>
      </c>
      <c r="F3260" t="s">
        <v>4567</v>
      </c>
      <c r="G3260" s="17" t="str">
        <f>HYPERLINK("https://www.washoecounty.gov/assessor/cama/?command=sales&amp;parid=05124118","3879161")</f>
        <v>3879161</v>
      </c>
      <c r="H3260" t="s">
        <v>1492</v>
      </c>
      <c r="I3260">
        <v>1984</v>
      </c>
      <c r="J3260">
        <v>1984</v>
      </c>
      <c r="K3260" t="s">
        <v>4554</v>
      </c>
      <c r="L3260" t="s">
        <v>4555</v>
      </c>
      <c r="M3260" s="2">
        <v>2111</v>
      </c>
      <c r="N3260" t="s">
        <v>3887</v>
      </c>
      <c r="O3260">
        <v>3</v>
      </c>
      <c r="P3260">
        <v>2</v>
      </c>
      <c r="Q3260">
        <v>0</v>
      </c>
      <c r="R3260" t="s">
        <v>4557</v>
      </c>
      <c r="S3260" t="s">
        <v>4135</v>
      </c>
      <c r="T3260" t="s">
        <v>4143</v>
      </c>
      <c r="U3260" t="s">
        <v>4560</v>
      </c>
      <c r="V3260" s="2">
        <v>484</v>
      </c>
      <c r="W3260" t="s">
        <v>4655</v>
      </c>
      <c r="X3260" s="2">
        <v>0</v>
      </c>
      <c r="Y3260">
        <v>20</v>
      </c>
      <c r="Z3260" t="s">
        <v>5508</v>
      </c>
      <c r="AA3260" s="3">
        <v>0.56969696283340399</v>
      </c>
      <c r="AB3260" t="s">
        <v>18554</v>
      </c>
      <c r="AC3260" t="s">
        <v>4562</v>
      </c>
      <c r="AD3260" t="s">
        <v>18553</v>
      </c>
      <c r="AE3260" t="s">
        <v>4655</v>
      </c>
      <c r="AF3260" t="s">
        <v>4563</v>
      </c>
      <c r="AG3260" t="s">
        <v>4564</v>
      </c>
      <c r="AH3260">
        <v>89502</v>
      </c>
      <c r="AI3260" t="s">
        <v>18555</v>
      </c>
      <c r="AJ3260" t="s">
        <v>4655</v>
      </c>
      <c r="AK3260" t="s">
        <v>18556</v>
      </c>
      <c r="AL3260" s="13" t="s">
        <v>1889</v>
      </c>
      <c r="AM3260">
        <v>1</v>
      </c>
      <c r="AN3260" s="15" t="s">
        <v>1015</v>
      </c>
    </row>
    <row r="3261" spans="1:40" x14ac:dyDescent="0.3">
      <c r="A3261" s="10" t="str">
        <f>HYPERLINK("http://www.washoecounty.gov/assessor/cama/?parid=051-262-30&amp;CardNumber=1","051-262-30")</f>
        <v>051-262-30</v>
      </c>
      <c r="B3261" t="s">
        <v>4655</v>
      </c>
      <c r="C3261" t="s">
        <v>18557</v>
      </c>
      <c r="D3261" s="1">
        <v>40449</v>
      </c>
      <c r="E3261" s="2">
        <v>265000</v>
      </c>
      <c r="F3261" t="s">
        <v>4553</v>
      </c>
      <c r="G3261" s="17" t="str">
        <f>HYPERLINK("https://www.washoecounty.gov/assessor/cama/?command=sales&amp;parid=05126230","3927011")</f>
        <v>3927011</v>
      </c>
      <c r="H3261" t="s">
        <v>5287</v>
      </c>
      <c r="I3261">
        <v>1977</v>
      </c>
      <c r="J3261">
        <v>1978</v>
      </c>
      <c r="K3261" t="s">
        <v>4554</v>
      </c>
      <c r="L3261" t="s">
        <v>3974</v>
      </c>
      <c r="M3261" s="2">
        <v>3004</v>
      </c>
      <c r="N3261" t="s">
        <v>3147</v>
      </c>
      <c r="O3261">
        <v>4</v>
      </c>
      <c r="P3261">
        <v>2</v>
      </c>
      <c r="Q3261">
        <v>1</v>
      </c>
      <c r="R3261" t="s">
        <v>4557</v>
      </c>
      <c r="S3261" t="s">
        <v>4898</v>
      </c>
      <c r="T3261" t="s">
        <v>2704</v>
      </c>
      <c r="U3261" t="s">
        <v>162</v>
      </c>
      <c r="V3261" s="2">
        <v>968</v>
      </c>
      <c r="W3261" t="s">
        <v>4655</v>
      </c>
      <c r="X3261" s="2">
        <v>0</v>
      </c>
      <c r="Y3261">
        <v>20</v>
      </c>
      <c r="Z3261" t="s">
        <v>5508</v>
      </c>
      <c r="AA3261" s="3">
        <v>0.41299358010292098</v>
      </c>
      <c r="AB3261" t="s">
        <v>18558</v>
      </c>
      <c r="AC3261" t="s">
        <v>4562</v>
      </c>
      <c r="AD3261" t="s">
        <v>18557</v>
      </c>
      <c r="AE3261" t="s">
        <v>4655</v>
      </c>
      <c r="AF3261" t="s">
        <v>4563</v>
      </c>
      <c r="AG3261" t="s">
        <v>4564</v>
      </c>
      <c r="AH3261">
        <v>89502</v>
      </c>
      <c r="AI3261" t="s">
        <v>2351</v>
      </c>
      <c r="AJ3261" t="s">
        <v>4655</v>
      </c>
      <c r="AK3261" t="s">
        <v>18559</v>
      </c>
      <c r="AL3261" s="13" t="s">
        <v>1889</v>
      </c>
      <c r="AM3261" s="14">
        <v>1</v>
      </c>
      <c r="AN3261" s="15" t="s">
        <v>1015</v>
      </c>
    </row>
    <row r="3262" spans="1:40" x14ac:dyDescent="0.3">
      <c r="A3262" s="10" t="str">
        <f>HYPERLINK("http://www.washoecounty.gov/assessor/cama/?parid=051-263-05&amp;CardNumber=1","051-263-05")</f>
        <v>051-263-05</v>
      </c>
      <c r="B3262" t="s">
        <v>4655</v>
      </c>
      <c r="C3262" t="s">
        <v>18560</v>
      </c>
      <c r="D3262" s="1">
        <v>40283</v>
      </c>
      <c r="E3262" s="2">
        <v>275000</v>
      </c>
      <c r="F3262" t="s">
        <v>4567</v>
      </c>
      <c r="G3262" s="17" t="str">
        <f>HYPERLINK("https://www.washoecounty.gov/assessor/cama/?command=sales&amp;parid=05126305","3871092")</f>
        <v>3871092</v>
      </c>
      <c r="H3262" t="s">
        <v>5287</v>
      </c>
      <c r="I3262">
        <v>1976</v>
      </c>
      <c r="J3262">
        <v>1976</v>
      </c>
      <c r="K3262" t="s">
        <v>4554</v>
      </c>
      <c r="L3262" t="s">
        <v>4555</v>
      </c>
      <c r="M3262" s="2">
        <v>2224</v>
      </c>
      <c r="N3262" t="s">
        <v>5280</v>
      </c>
      <c r="O3262">
        <v>3</v>
      </c>
      <c r="P3262">
        <v>2</v>
      </c>
      <c r="Q3262">
        <v>0</v>
      </c>
      <c r="R3262" t="s">
        <v>4557</v>
      </c>
      <c r="S3262" t="s">
        <v>3148</v>
      </c>
      <c r="T3262" t="s">
        <v>4559</v>
      </c>
      <c r="U3262" t="s">
        <v>4560</v>
      </c>
      <c r="V3262" s="2">
        <v>528</v>
      </c>
      <c r="W3262" t="s">
        <v>4655</v>
      </c>
      <c r="X3262" s="2">
        <v>0</v>
      </c>
      <c r="Y3262">
        <v>20</v>
      </c>
      <c r="Z3262" t="s">
        <v>5508</v>
      </c>
      <c r="AA3262" s="3">
        <v>0.528994500637054</v>
      </c>
      <c r="AB3262" t="s">
        <v>18561</v>
      </c>
      <c r="AC3262" t="s">
        <v>4575</v>
      </c>
      <c r="AD3262" t="s">
        <v>18562</v>
      </c>
      <c r="AE3262" t="s">
        <v>4655</v>
      </c>
      <c r="AF3262" t="s">
        <v>4752</v>
      </c>
      <c r="AG3262" t="s">
        <v>4564</v>
      </c>
      <c r="AH3262">
        <v>89502</v>
      </c>
      <c r="AI3262" t="s">
        <v>18563</v>
      </c>
      <c r="AJ3262" t="s">
        <v>4655</v>
      </c>
      <c r="AK3262" t="s">
        <v>18564</v>
      </c>
      <c r="AL3262" s="13" t="s">
        <v>1889</v>
      </c>
      <c r="AM3262" s="14">
        <v>1</v>
      </c>
      <c r="AN3262" s="15" t="s">
        <v>1015</v>
      </c>
    </row>
    <row r="3263" spans="1:40" x14ac:dyDescent="0.3">
      <c r="A3263" s="10" t="str">
        <f>HYPERLINK("http://www.washoecounty.gov/assessor/cama/?parid=051-272-02&amp;CardNumber=1","051-272-02")</f>
        <v>051-272-02</v>
      </c>
      <c r="B3263" t="s">
        <v>4655</v>
      </c>
      <c r="C3263" t="s">
        <v>18565</v>
      </c>
      <c r="D3263" s="1">
        <v>40457</v>
      </c>
      <c r="E3263" s="2">
        <v>275000</v>
      </c>
      <c r="F3263" t="s">
        <v>4567</v>
      </c>
      <c r="G3263" s="17" t="str">
        <f>HYPERLINK("https://www.washoecounty.gov/assessor/cama/?command=sales&amp;parid=05127202","3930123")</f>
        <v>3930123</v>
      </c>
      <c r="H3263" t="s">
        <v>5287</v>
      </c>
      <c r="I3263">
        <v>1976</v>
      </c>
      <c r="J3263">
        <v>1976</v>
      </c>
      <c r="K3263" t="s">
        <v>4554</v>
      </c>
      <c r="L3263" t="s">
        <v>4555</v>
      </c>
      <c r="M3263" s="2">
        <v>2160</v>
      </c>
      <c r="N3263" t="s">
        <v>3147</v>
      </c>
      <c r="O3263">
        <v>3</v>
      </c>
      <c r="P3263">
        <v>3</v>
      </c>
      <c r="Q3263">
        <v>0</v>
      </c>
      <c r="R3263" t="s">
        <v>5281</v>
      </c>
      <c r="S3263" t="s">
        <v>4558</v>
      </c>
      <c r="T3263" t="s">
        <v>4559</v>
      </c>
      <c r="U3263" t="s">
        <v>162</v>
      </c>
      <c r="V3263" s="2">
        <v>1552</v>
      </c>
      <c r="W3263" t="s">
        <v>4655</v>
      </c>
      <c r="X3263" s="2">
        <v>0</v>
      </c>
      <c r="Y3263">
        <v>20</v>
      </c>
      <c r="Z3263" t="s">
        <v>5508</v>
      </c>
      <c r="AA3263" s="3">
        <v>0.40599173307418801</v>
      </c>
      <c r="AB3263" t="s">
        <v>18566</v>
      </c>
      <c r="AC3263" t="s">
        <v>4562</v>
      </c>
      <c r="AD3263" t="s">
        <v>18567</v>
      </c>
      <c r="AE3263" t="s">
        <v>4655</v>
      </c>
      <c r="AF3263" t="s">
        <v>4752</v>
      </c>
      <c r="AG3263" t="s">
        <v>4564</v>
      </c>
      <c r="AH3263">
        <v>89502</v>
      </c>
      <c r="AI3263" t="s">
        <v>1328</v>
      </c>
      <c r="AJ3263" t="s">
        <v>4655</v>
      </c>
      <c r="AK3263" t="s">
        <v>18568</v>
      </c>
      <c r="AL3263" s="13" t="s">
        <v>1889</v>
      </c>
      <c r="AM3263">
        <v>1</v>
      </c>
      <c r="AN3263" s="15" t="s">
        <v>1015</v>
      </c>
    </row>
    <row r="3264" spans="1:40" x14ac:dyDescent="0.3">
      <c r="A3264" s="10" t="str">
        <f>HYPERLINK("http://www.washoecounty.gov/assessor/cama/?parid=051-352-17&amp;CardNumber=1","051-352-17")</f>
        <v>051-352-17</v>
      </c>
      <c r="B3264" t="s">
        <v>4655</v>
      </c>
      <c r="C3264" t="s">
        <v>18569</v>
      </c>
      <c r="D3264" s="1">
        <v>40197</v>
      </c>
      <c r="E3264" s="2">
        <v>380000</v>
      </c>
      <c r="F3264" t="s">
        <v>4553</v>
      </c>
      <c r="G3264" s="17" t="str">
        <f>HYPERLINK("https://www.washoecounty.gov/assessor/cama/?command=sales&amp;parid=05135217","3840353")</f>
        <v>3840353</v>
      </c>
      <c r="H3264" t="s">
        <v>18570</v>
      </c>
      <c r="I3264">
        <v>2005</v>
      </c>
      <c r="J3264">
        <v>2005</v>
      </c>
      <c r="K3264" t="s">
        <v>4554</v>
      </c>
      <c r="L3264" t="s">
        <v>4555</v>
      </c>
      <c r="M3264" s="2">
        <v>3582</v>
      </c>
      <c r="N3264" t="s">
        <v>3147</v>
      </c>
      <c r="O3264">
        <v>5</v>
      </c>
      <c r="P3264">
        <v>3</v>
      </c>
      <c r="Q3264">
        <v>0</v>
      </c>
      <c r="R3264" t="s">
        <v>5281</v>
      </c>
      <c r="S3264" t="s">
        <v>4898</v>
      </c>
      <c r="T3264" t="s">
        <v>2704</v>
      </c>
      <c r="U3264" t="s">
        <v>4560</v>
      </c>
      <c r="V3264" s="2">
        <v>1092</v>
      </c>
      <c r="W3264" t="s">
        <v>4655</v>
      </c>
      <c r="X3264" s="2">
        <v>0</v>
      </c>
      <c r="Y3264">
        <v>20</v>
      </c>
      <c r="Z3264" t="s">
        <v>5508</v>
      </c>
      <c r="AA3264" s="3">
        <v>0.54885214567184448</v>
      </c>
      <c r="AB3264" t="s">
        <v>18571</v>
      </c>
      <c r="AC3264" t="s">
        <v>4562</v>
      </c>
      <c r="AD3264" t="s">
        <v>18569</v>
      </c>
      <c r="AE3264" t="s">
        <v>4655</v>
      </c>
      <c r="AF3264" t="s">
        <v>4563</v>
      </c>
      <c r="AG3264" t="s">
        <v>4564</v>
      </c>
      <c r="AH3264">
        <v>89502</v>
      </c>
      <c r="AI3264" t="s">
        <v>13563</v>
      </c>
      <c r="AJ3264" t="s">
        <v>18572</v>
      </c>
      <c r="AK3264" t="s">
        <v>18573</v>
      </c>
      <c r="AL3264" s="13" t="s">
        <v>1889</v>
      </c>
      <c r="AM3264" s="14">
        <v>1</v>
      </c>
      <c r="AN3264" s="15" t="s">
        <v>1016</v>
      </c>
    </row>
    <row r="3265" spans="1:40" x14ac:dyDescent="0.3">
      <c r="A3265" s="10" t="str">
        <f>HYPERLINK("http://www.washoecounty.gov/assessor/cama/?parid=051-410-06&amp;CardNumber=1","051-410-06")</f>
        <v>051-410-06</v>
      </c>
      <c r="B3265" t="s">
        <v>4655</v>
      </c>
      <c r="C3265" t="s">
        <v>18574</v>
      </c>
      <c r="D3265" s="1">
        <v>40193</v>
      </c>
      <c r="E3265" s="2">
        <v>317000</v>
      </c>
      <c r="F3265" t="s">
        <v>4567</v>
      </c>
      <c r="G3265" s="17" t="str">
        <f>HYPERLINK("https://www.washoecounty.gov/assessor/cama/?command=sales&amp;parid=05141006","3840213")</f>
        <v>3840213</v>
      </c>
      <c r="H3265" t="s">
        <v>18540</v>
      </c>
      <c r="I3265">
        <v>1992</v>
      </c>
      <c r="J3265">
        <v>1992</v>
      </c>
      <c r="K3265" t="s">
        <v>4554</v>
      </c>
      <c r="L3265" t="s">
        <v>4555</v>
      </c>
      <c r="M3265" s="2">
        <v>2543</v>
      </c>
      <c r="N3265" t="s">
        <v>1245</v>
      </c>
      <c r="O3265">
        <v>3</v>
      </c>
      <c r="P3265">
        <v>2</v>
      </c>
      <c r="Q3265">
        <v>1</v>
      </c>
      <c r="R3265" t="s">
        <v>5281</v>
      </c>
      <c r="S3265" t="s">
        <v>4135</v>
      </c>
      <c r="T3265" t="s">
        <v>2704</v>
      </c>
      <c r="U3265" t="s">
        <v>4560</v>
      </c>
      <c r="V3265" s="2">
        <v>720</v>
      </c>
      <c r="W3265" t="s">
        <v>4655</v>
      </c>
      <c r="X3265" s="2">
        <v>0</v>
      </c>
      <c r="Y3265">
        <v>20</v>
      </c>
      <c r="Z3265" t="s">
        <v>5282</v>
      </c>
      <c r="AA3265" s="3">
        <v>0.35500457882881198</v>
      </c>
      <c r="AB3265" t="s">
        <v>18575</v>
      </c>
      <c r="AC3265" t="s">
        <v>4575</v>
      </c>
      <c r="AD3265" t="s">
        <v>18574</v>
      </c>
      <c r="AE3265" t="s">
        <v>4655</v>
      </c>
      <c r="AF3265" t="s">
        <v>4563</v>
      </c>
      <c r="AG3265" t="s">
        <v>4564</v>
      </c>
      <c r="AH3265">
        <v>89502</v>
      </c>
      <c r="AI3265" t="s">
        <v>18576</v>
      </c>
      <c r="AJ3265" t="s">
        <v>4655</v>
      </c>
      <c r="AK3265" t="s">
        <v>18577</v>
      </c>
      <c r="AL3265" s="13" t="s">
        <v>2257</v>
      </c>
      <c r="AM3265" s="14">
        <v>1</v>
      </c>
      <c r="AN3265" s="15" t="s">
        <v>3673</v>
      </c>
    </row>
    <row r="3266" spans="1:40" x14ac:dyDescent="0.3">
      <c r="A3266" s="10" t="str">
        <f>HYPERLINK("http://www.washoecounty.gov/assessor/cama/?parid=051-461-08&amp;CardNumber=1","051-461-08")</f>
        <v>051-461-08</v>
      </c>
      <c r="B3266" t="s">
        <v>4655</v>
      </c>
      <c r="C3266" t="s">
        <v>18578</v>
      </c>
      <c r="D3266" s="1">
        <v>40417</v>
      </c>
      <c r="E3266" s="2">
        <v>320000</v>
      </c>
      <c r="F3266" t="s">
        <v>4567</v>
      </c>
      <c r="G3266" s="17" t="str">
        <f>HYPERLINK("https://www.washoecounty.gov/assessor/cama/?command=sales&amp;parid=05146108","3916400")</f>
        <v>3916400</v>
      </c>
      <c r="H3266" t="s">
        <v>2713</v>
      </c>
      <c r="I3266">
        <v>1996</v>
      </c>
      <c r="J3266">
        <v>1996</v>
      </c>
      <c r="K3266" t="s">
        <v>4554</v>
      </c>
      <c r="L3266" t="s">
        <v>4555</v>
      </c>
      <c r="M3266" s="2">
        <v>2260</v>
      </c>
      <c r="N3266" t="s">
        <v>3147</v>
      </c>
      <c r="O3266">
        <v>4</v>
      </c>
      <c r="P3266">
        <v>2</v>
      </c>
      <c r="Q3266">
        <v>0</v>
      </c>
      <c r="R3266" t="s">
        <v>5281</v>
      </c>
      <c r="S3266" t="s">
        <v>4898</v>
      </c>
      <c r="T3266" t="s">
        <v>2704</v>
      </c>
      <c r="U3266" t="s">
        <v>4560</v>
      </c>
      <c r="V3266" s="2">
        <v>700</v>
      </c>
      <c r="W3266" t="s">
        <v>4655</v>
      </c>
      <c r="X3266" s="2">
        <v>0</v>
      </c>
      <c r="Y3266">
        <v>20</v>
      </c>
      <c r="Z3266" t="s">
        <v>5508</v>
      </c>
      <c r="AA3266" s="3">
        <v>0.34699264168739319</v>
      </c>
      <c r="AB3266" t="s">
        <v>18579</v>
      </c>
      <c r="AC3266" t="s">
        <v>4562</v>
      </c>
      <c r="AD3266" t="s">
        <v>18580</v>
      </c>
      <c r="AE3266" t="s">
        <v>4655</v>
      </c>
      <c r="AF3266" t="s">
        <v>4752</v>
      </c>
      <c r="AG3266" t="s">
        <v>4564</v>
      </c>
      <c r="AH3266">
        <v>89502</v>
      </c>
      <c r="AI3266" t="s">
        <v>4655</v>
      </c>
      <c r="AJ3266" t="s">
        <v>2714</v>
      </c>
      <c r="AK3266" t="s">
        <v>18581</v>
      </c>
      <c r="AL3266" s="13" t="s">
        <v>1889</v>
      </c>
      <c r="AM3266" s="14">
        <v>1</v>
      </c>
      <c r="AN3266" s="15" t="s">
        <v>148</v>
      </c>
    </row>
    <row r="3267" spans="1:40" x14ac:dyDescent="0.3">
      <c r="A3267" s="10" t="str">
        <f>HYPERLINK("http://www.washoecounty.gov/assessor/cama/?parid=051-472-13&amp;CardNumber=1","051-472-13")</f>
        <v>051-472-13</v>
      </c>
      <c r="B3267" t="s">
        <v>4655</v>
      </c>
      <c r="C3267" t="s">
        <v>18582</v>
      </c>
      <c r="D3267" s="1">
        <v>40305</v>
      </c>
      <c r="E3267" s="2">
        <v>309000</v>
      </c>
      <c r="F3267" t="s">
        <v>4567</v>
      </c>
      <c r="G3267" s="17" t="str">
        <f>HYPERLINK("https://www.washoecounty.gov/assessor/cama/?command=sales&amp;parid=05147213","3879326")</f>
        <v>3879326</v>
      </c>
      <c r="H3267" t="s">
        <v>2713</v>
      </c>
      <c r="I3267">
        <v>1996</v>
      </c>
      <c r="J3267">
        <v>1996</v>
      </c>
      <c r="K3267" t="s">
        <v>4554</v>
      </c>
      <c r="L3267" t="s">
        <v>3974</v>
      </c>
      <c r="M3267" s="2">
        <v>2543</v>
      </c>
      <c r="N3267" t="s">
        <v>3147</v>
      </c>
      <c r="O3267">
        <v>5</v>
      </c>
      <c r="P3267">
        <v>3</v>
      </c>
      <c r="Q3267">
        <v>0</v>
      </c>
      <c r="R3267" t="s">
        <v>4557</v>
      </c>
      <c r="S3267" t="s">
        <v>4898</v>
      </c>
      <c r="T3267" t="s">
        <v>2704</v>
      </c>
      <c r="U3267" t="s">
        <v>4560</v>
      </c>
      <c r="V3267" s="2">
        <v>668</v>
      </c>
      <c r="W3267" t="s">
        <v>4655</v>
      </c>
      <c r="X3267" s="2">
        <v>0</v>
      </c>
      <c r="Y3267">
        <v>20</v>
      </c>
      <c r="Z3267" t="s">
        <v>5508</v>
      </c>
      <c r="AA3267" s="3">
        <v>0.48799356818199158</v>
      </c>
      <c r="AB3267" t="s">
        <v>18583</v>
      </c>
      <c r="AC3267" t="s">
        <v>4562</v>
      </c>
      <c r="AD3267" t="s">
        <v>18582</v>
      </c>
      <c r="AE3267" t="s">
        <v>4655</v>
      </c>
      <c r="AF3267" t="s">
        <v>4563</v>
      </c>
      <c r="AG3267" t="s">
        <v>4564</v>
      </c>
      <c r="AH3267">
        <v>89502</v>
      </c>
      <c r="AI3267" t="s">
        <v>18584</v>
      </c>
      <c r="AJ3267" t="s">
        <v>2714</v>
      </c>
      <c r="AK3267" t="s">
        <v>18585</v>
      </c>
      <c r="AL3267" s="13" t="s">
        <v>1889</v>
      </c>
      <c r="AM3267">
        <v>1</v>
      </c>
      <c r="AN3267" s="15" t="s">
        <v>148</v>
      </c>
    </row>
    <row r="3268" spans="1:40" x14ac:dyDescent="0.3">
      <c r="A3268" s="10" t="str">
        <f>HYPERLINK("http://www.washoecounty.gov/assessor/cama/?parid=051-513-09&amp;CardNumber=1","051-513-09")</f>
        <v>051-513-09</v>
      </c>
      <c r="B3268" t="s">
        <v>4655</v>
      </c>
      <c r="C3268" t="s">
        <v>18586</v>
      </c>
      <c r="D3268" s="1">
        <v>40200</v>
      </c>
      <c r="E3268" s="2">
        <v>371767</v>
      </c>
      <c r="F3268" t="s">
        <v>4567</v>
      </c>
      <c r="G3268" s="17" t="str">
        <f>HYPERLINK("https://www.washoecounty.gov/assessor/cama/?command=sales&amp;parid=05151309","3842056")</f>
        <v>3842056</v>
      </c>
      <c r="H3268" t="s">
        <v>3667</v>
      </c>
      <c r="I3268">
        <v>1964</v>
      </c>
      <c r="J3268">
        <v>1965</v>
      </c>
      <c r="K3268" t="s">
        <v>4554</v>
      </c>
      <c r="L3268" t="s">
        <v>4555</v>
      </c>
      <c r="M3268" s="2">
        <v>2270</v>
      </c>
      <c r="N3268" t="s">
        <v>5280</v>
      </c>
      <c r="O3268">
        <v>3</v>
      </c>
      <c r="P3268">
        <v>2</v>
      </c>
      <c r="Q3268">
        <v>1</v>
      </c>
      <c r="R3268" t="s">
        <v>5281</v>
      </c>
      <c r="S3268" t="s">
        <v>4135</v>
      </c>
      <c r="T3268" t="s">
        <v>4559</v>
      </c>
      <c r="U3268" t="s">
        <v>4560</v>
      </c>
      <c r="V3268" s="2">
        <v>550</v>
      </c>
      <c r="W3268" t="s">
        <v>3149</v>
      </c>
      <c r="X3268" s="2">
        <v>403</v>
      </c>
      <c r="Y3268">
        <v>20</v>
      </c>
      <c r="Z3268" t="s">
        <v>5508</v>
      </c>
      <c r="AA3268" s="3">
        <v>0.38521578907966603</v>
      </c>
      <c r="AB3268" t="s">
        <v>18587</v>
      </c>
      <c r="AC3268" t="s">
        <v>4562</v>
      </c>
      <c r="AD3268" t="s">
        <v>18588</v>
      </c>
      <c r="AE3268" t="s">
        <v>4655</v>
      </c>
      <c r="AF3268" t="s">
        <v>5050</v>
      </c>
      <c r="AG3268" t="s">
        <v>2590</v>
      </c>
      <c r="AH3268" t="s">
        <v>18589</v>
      </c>
      <c r="AI3268" t="s">
        <v>4655</v>
      </c>
      <c r="AJ3268" t="s">
        <v>18590</v>
      </c>
      <c r="AK3268" t="s">
        <v>18591</v>
      </c>
      <c r="AL3268" s="13" t="s">
        <v>1889</v>
      </c>
      <c r="AM3268">
        <v>1</v>
      </c>
      <c r="AN3268" s="15" t="s">
        <v>1015</v>
      </c>
    </row>
    <row r="3269" spans="1:40" x14ac:dyDescent="0.3">
      <c r="A3269" s="10" t="str">
        <f>HYPERLINK("http://www.washoecounty.gov/assessor/cama/?parid=051-513-09&amp;CardNumber=1","051-513-09")</f>
        <v>051-513-09</v>
      </c>
      <c r="B3269" t="s">
        <v>4655</v>
      </c>
      <c r="C3269" t="s">
        <v>18586</v>
      </c>
      <c r="D3269" s="1">
        <v>40486</v>
      </c>
      <c r="E3269" s="2">
        <v>371767</v>
      </c>
      <c r="F3269" t="s">
        <v>4567</v>
      </c>
      <c r="G3269" s="17" t="str">
        <f>HYPERLINK("https://www.washoecounty.gov/assessor/cama/?command=sales&amp;parid=05151309","3939747")</f>
        <v>3939747</v>
      </c>
      <c r="H3269" t="s">
        <v>3667</v>
      </c>
      <c r="I3269">
        <v>1964</v>
      </c>
      <c r="J3269">
        <v>1965</v>
      </c>
      <c r="K3269" t="s">
        <v>4554</v>
      </c>
      <c r="L3269" t="s">
        <v>4555</v>
      </c>
      <c r="M3269" s="2">
        <v>2270</v>
      </c>
      <c r="N3269" t="s">
        <v>5280</v>
      </c>
      <c r="O3269">
        <v>3</v>
      </c>
      <c r="P3269">
        <v>2</v>
      </c>
      <c r="Q3269">
        <v>1</v>
      </c>
      <c r="R3269" t="s">
        <v>5281</v>
      </c>
      <c r="S3269" t="s">
        <v>4135</v>
      </c>
      <c r="T3269" t="s">
        <v>4559</v>
      </c>
      <c r="U3269" t="s">
        <v>4560</v>
      </c>
      <c r="V3269" s="2">
        <v>550</v>
      </c>
      <c r="W3269" t="s">
        <v>3149</v>
      </c>
      <c r="X3269" s="2">
        <v>403</v>
      </c>
      <c r="Y3269">
        <v>20</v>
      </c>
      <c r="Z3269" t="s">
        <v>5508</v>
      </c>
      <c r="AA3269" s="3">
        <v>0.38521578907966603</v>
      </c>
      <c r="AB3269" t="s">
        <v>18587</v>
      </c>
      <c r="AC3269" t="s">
        <v>4562</v>
      </c>
      <c r="AD3269" t="s">
        <v>18588</v>
      </c>
      <c r="AE3269" t="s">
        <v>4655</v>
      </c>
      <c r="AF3269" t="s">
        <v>5050</v>
      </c>
      <c r="AG3269" t="s">
        <v>2590</v>
      </c>
      <c r="AH3269" t="s">
        <v>18589</v>
      </c>
      <c r="AI3269" t="s">
        <v>4655</v>
      </c>
      <c r="AJ3269" t="s">
        <v>18590</v>
      </c>
      <c r="AK3269" t="s">
        <v>18591</v>
      </c>
      <c r="AL3269" s="13" t="s">
        <v>1889</v>
      </c>
      <c r="AM3269">
        <v>1</v>
      </c>
      <c r="AN3269" s="15" t="s">
        <v>1015</v>
      </c>
    </row>
    <row r="3270" spans="1:40" x14ac:dyDescent="0.3">
      <c r="A3270" s="10" t="str">
        <f>HYPERLINK("http://www.washoecounty.gov/assessor/cama/?parid=051-531-04&amp;CardNumber=1","051-531-04")</f>
        <v>051-531-04</v>
      </c>
      <c r="B3270" t="s">
        <v>4655</v>
      </c>
      <c r="C3270" t="s">
        <v>18592</v>
      </c>
      <c r="D3270" s="1">
        <v>40261</v>
      </c>
      <c r="E3270" s="2">
        <v>250000</v>
      </c>
      <c r="F3270" t="s">
        <v>4567</v>
      </c>
      <c r="G3270" s="17" t="str">
        <f>HYPERLINK("https://www.washoecounty.gov/assessor/cama/?command=sales&amp;parid=05153104","3863700")</f>
        <v>3863700</v>
      </c>
      <c r="H3270" t="s">
        <v>18593</v>
      </c>
      <c r="I3270">
        <v>1999</v>
      </c>
      <c r="J3270">
        <v>1999</v>
      </c>
      <c r="K3270" t="s">
        <v>4554</v>
      </c>
      <c r="L3270" t="s">
        <v>4555</v>
      </c>
      <c r="M3270" s="2">
        <v>1814</v>
      </c>
      <c r="N3270" t="s">
        <v>5280</v>
      </c>
      <c r="O3270">
        <v>3</v>
      </c>
      <c r="P3270">
        <v>2</v>
      </c>
      <c r="Q3270">
        <v>0</v>
      </c>
      <c r="R3270" t="s">
        <v>4557</v>
      </c>
      <c r="S3270" t="s">
        <v>4558</v>
      </c>
      <c r="T3270" t="s">
        <v>4559</v>
      </c>
      <c r="U3270" t="s">
        <v>4560</v>
      </c>
      <c r="V3270" s="2">
        <v>696</v>
      </c>
      <c r="W3270" t="s">
        <v>4655</v>
      </c>
      <c r="X3270" s="2">
        <v>0</v>
      </c>
      <c r="Y3270">
        <v>20</v>
      </c>
      <c r="Z3270" t="s">
        <v>5508</v>
      </c>
      <c r="AA3270" s="3">
        <v>0.39898988604545599</v>
      </c>
      <c r="AB3270" t="s">
        <v>18594</v>
      </c>
      <c r="AC3270" t="s">
        <v>4562</v>
      </c>
      <c r="AD3270" t="s">
        <v>18595</v>
      </c>
      <c r="AE3270" t="s">
        <v>4655</v>
      </c>
      <c r="AF3270" t="s">
        <v>4563</v>
      </c>
      <c r="AG3270" t="s">
        <v>4564</v>
      </c>
      <c r="AH3270">
        <v>89502</v>
      </c>
      <c r="AI3270" t="s">
        <v>1328</v>
      </c>
      <c r="AJ3270" t="s">
        <v>18596</v>
      </c>
      <c r="AK3270" t="s">
        <v>18597</v>
      </c>
      <c r="AL3270" s="13" t="s">
        <v>1889</v>
      </c>
      <c r="AM3270">
        <v>1</v>
      </c>
      <c r="AN3270" s="15" t="s">
        <v>148</v>
      </c>
    </row>
    <row r="3271" spans="1:40" x14ac:dyDescent="0.3">
      <c r="A3271" s="10" t="str">
        <f>HYPERLINK("http://www.washoecounty.gov/assessor/cama/?parid=051-553-03&amp;CardNumber=1","051-553-03")</f>
        <v>051-553-03</v>
      </c>
      <c r="B3271" t="s">
        <v>4655</v>
      </c>
      <c r="C3271" t="s">
        <v>18598</v>
      </c>
      <c r="D3271" s="1">
        <v>40494</v>
      </c>
      <c r="E3271" s="2">
        <v>240000</v>
      </c>
      <c r="F3271" t="s">
        <v>4567</v>
      </c>
      <c r="G3271" s="17" t="str">
        <f>HYPERLINK("https://www.washoecounty.gov/assessor/cama/?command=sales&amp;parid=05155303","3942315")</f>
        <v>3942315</v>
      </c>
      <c r="H3271" t="s">
        <v>18599</v>
      </c>
      <c r="I3271">
        <v>1999</v>
      </c>
      <c r="J3271">
        <v>1999</v>
      </c>
      <c r="K3271" t="s">
        <v>4554</v>
      </c>
      <c r="L3271" t="s">
        <v>4555</v>
      </c>
      <c r="M3271" s="2">
        <v>2004</v>
      </c>
      <c r="N3271" t="s">
        <v>3147</v>
      </c>
      <c r="O3271">
        <v>3</v>
      </c>
      <c r="P3271">
        <v>2</v>
      </c>
      <c r="Q3271">
        <v>0</v>
      </c>
      <c r="R3271" t="s">
        <v>5281</v>
      </c>
      <c r="S3271" t="s">
        <v>4898</v>
      </c>
      <c r="T3271" t="s">
        <v>2704</v>
      </c>
      <c r="U3271" t="s">
        <v>4560</v>
      </c>
      <c r="V3271" s="2">
        <v>770</v>
      </c>
      <c r="W3271" t="s">
        <v>4655</v>
      </c>
      <c r="X3271" s="2">
        <v>0</v>
      </c>
      <c r="Y3271">
        <v>20</v>
      </c>
      <c r="Z3271" t="s">
        <v>5508</v>
      </c>
      <c r="AA3271" s="3">
        <v>0.34898990392684898</v>
      </c>
      <c r="AB3271" t="s">
        <v>18600</v>
      </c>
      <c r="AC3271" t="s">
        <v>4562</v>
      </c>
      <c r="AD3271" t="s">
        <v>18601</v>
      </c>
      <c r="AE3271" t="s">
        <v>4655</v>
      </c>
      <c r="AF3271" t="s">
        <v>4563</v>
      </c>
      <c r="AG3271" t="s">
        <v>4564</v>
      </c>
      <c r="AH3271">
        <v>89502</v>
      </c>
      <c r="AI3271" t="s">
        <v>18602</v>
      </c>
      <c r="AJ3271" t="s">
        <v>18603</v>
      </c>
      <c r="AK3271" t="s">
        <v>18604</v>
      </c>
      <c r="AL3271" s="13" t="s">
        <v>1889</v>
      </c>
      <c r="AM3271">
        <v>1</v>
      </c>
      <c r="AN3271" s="15" t="s">
        <v>415</v>
      </c>
    </row>
    <row r="3272" spans="1:40" x14ac:dyDescent="0.3">
      <c r="A3272" s="10" t="str">
        <f>HYPERLINK("http://www.washoecounty.gov/assessor/cama/?parid=051-612-12&amp;CardNumber=1","051-612-12")</f>
        <v>051-612-12</v>
      </c>
      <c r="B3272" t="s">
        <v>4655</v>
      </c>
      <c r="C3272" t="s">
        <v>18605</v>
      </c>
      <c r="D3272" s="1">
        <v>40479</v>
      </c>
      <c r="E3272" s="2">
        <v>334800</v>
      </c>
      <c r="F3272" t="s">
        <v>4567</v>
      </c>
      <c r="G3272" s="17" t="str">
        <f>HYPERLINK("https://www.washoecounty.gov/assessor/cama/?command=sales&amp;parid=05161212","3937897")</f>
        <v>3937897</v>
      </c>
      <c r="H3272" t="s">
        <v>4258</v>
      </c>
      <c r="I3272">
        <v>2000</v>
      </c>
      <c r="J3272">
        <v>2000</v>
      </c>
      <c r="K3272" t="s">
        <v>4554</v>
      </c>
      <c r="L3272" t="s">
        <v>4555</v>
      </c>
      <c r="M3272" s="2">
        <v>2385</v>
      </c>
      <c r="N3272" t="s">
        <v>3147</v>
      </c>
      <c r="O3272">
        <v>4</v>
      </c>
      <c r="P3272">
        <v>2</v>
      </c>
      <c r="Q3272">
        <v>0</v>
      </c>
      <c r="R3272" t="s">
        <v>4557</v>
      </c>
      <c r="S3272" t="s">
        <v>4898</v>
      </c>
      <c r="T3272" t="s">
        <v>2704</v>
      </c>
      <c r="U3272" t="s">
        <v>4560</v>
      </c>
      <c r="V3272" s="2">
        <v>630</v>
      </c>
      <c r="W3272" t="s">
        <v>4655</v>
      </c>
      <c r="X3272" s="2">
        <v>0</v>
      </c>
      <c r="Y3272">
        <v>20</v>
      </c>
      <c r="Z3272" t="s">
        <v>5508</v>
      </c>
      <c r="AA3272" s="3">
        <v>0.35300734639167802</v>
      </c>
      <c r="AB3272" t="s">
        <v>1043</v>
      </c>
      <c r="AC3272" t="s">
        <v>4575</v>
      </c>
      <c r="AD3272" t="s">
        <v>18605</v>
      </c>
      <c r="AE3272" t="s">
        <v>4655</v>
      </c>
      <c r="AF3272" t="s">
        <v>4563</v>
      </c>
      <c r="AG3272" t="s">
        <v>4564</v>
      </c>
      <c r="AH3272">
        <v>89502</v>
      </c>
      <c r="AI3272" t="s">
        <v>1044</v>
      </c>
      <c r="AJ3272" t="s">
        <v>4259</v>
      </c>
      <c r="AK3272" t="s">
        <v>18606</v>
      </c>
      <c r="AL3272" s="13" t="s">
        <v>1889</v>
      </c>
      <c r="AM3272">
        <v>1</v>
      </c>
      <c r="AN3272" s="15" t="s">
        <v>148</v>
      </c>
    </row>
    <row r="3273" spans="1:40" x14ac:dyDescent="0.3">
      <c r="A3273" s="10" t="str">
        <f>HYPERLINK("http://www.washoecounty.gov/assessor/cama/?parid=051-621-03&amp;CardNumber=1","051-621-03")</f>
        <v>051-621-03</v>
      </c>
      <c r="B3273" t="s">
        <v>4655</v>
      </c>
      <c r="C3273" t="s">
        <v>18607</v>
      </c>
      <c r="D3273" s="1">
        <v>40269</v>
      </c>
      <c r="E3273" s="2">
        <v>360000</v>
      </c>
      <c r="F3273" t="s">
        <v>4567</v>
      </c>
      <c r="G3273" s="17" t="str">
        <f>HYPERLINK("https://www.washoecounty.gov/assessor/cama/?command=sales&amp;parid=05162103","3866937")</f>
        <v>3866937</v>
      </c>
      <c r="H3273" t="s">
        <v>4258</v>
      </c>
      <c r="I3273">
        <v>2000</v>
      </c>
      <c r="J3273">
        <v>2000</v>
      </c>
      <c r="K3273" t="s">
        <v>4554</v>
      </c>
      <c r="L3273" t="s">
        <v>4555</v>
      </c>
      <c r="M3273" s="2">
        <v>2385</v>
      </c>
      <c r="N3273" t="s">
        <v>3147</v>
      </c>
      <c r="O3273">
        <v>4</v>
      </c>
      <c r="P3273">
        <v>2</v>
      </c>
      <c r="Q3273">
        <v>0</v>
      </c>
      <c r="R3273" t="s">
        <v>5281</v>
      </c>
      <c r="S3273" t="s">
        <v>4898</v>
      </c>
      <c r="T3273" t="s">
        <v>2704</v>
      </c>
      <c r="U3273" t="s">
        <v>4560</v>
      </c>
      <c r="V3273" s="2">
        <v>630</v>
      </c>
      <c r="W3273" t="s">
        <v>4655</v>
      </c>
      <c r="X3273" s="2">
        <v>0</v>
      </c>
      <c r="Y3273">
        <v>20</v>
      </c>
      <c r="Z3273" t="s">
        <v>5508</v>
      </c>
      <c r="AA3273" s="3">
        <v>0.37300276756286599</v>
      </c>
      <c r="AB3273" t="s">
        <v>18608</v>
      </c>
      <c r="AC3273" t="s">
        <v>4562</v>
      </c>
      <c r="AD3273" t="s">
        <v>18607</v>
      </c>
      <c r="AE3273" t="s">
        <v>4655</v>
      </c>
      <c r="AF3273" t="s">
        <v>4563</v>
      </c>
      <c r="AG3273" t="s">
        <v>4564</v>
      </c>
      <c r="AH3273">
        <v>89502</v>
      </c>
      <c r="AI3273" t="s">
        <v>18609</v>
      </c>
      <c r="AJ3273" t="s">
        <v>4259</v>
      </c>
      <c r="AK3273" t="s">
        <v>18610</v>
      </c>
      <c r="AL3273" s="13" t="s">
        <v>1889</v>
      </c>
      <c r="AM3273">
        <v>1</v>
      </c>
      <c r="AN3273" s="15" t="s">
        <v>148</v>
      </c>
    </row>
    <row r="3274" spans="1:40" x14ac:dyDescent="0.3">
      <c r="A3274" s="10" t="str">
        <f>HYPERLINK("http://www.washoecounty.gov/assessor/cama/?parid=051-621-09&amp;CardNumber=1","051-621-09")</f>
        <v>051-621-09</v>
      </c>
      <c r="B3274" t="s">
        <v>4655</v>
      </c>
      <c r="C3274" t="s">
        <v>18611</v>
      </c>
      <c r="D3274" s="1">
        <v>40319</v>
      </c>
      <c r="E3274" s="2">
        <v>310100</v>
      </c>
      <c r="F3274" t="s">
        <v>4553</v>
      </c>
      <c r="G3274" s="17" t="str">
        <f>HYPERLINK("https://www.washoecounty.gov/assessor/cama/?command=sales&amp;parid=05162109","3883649")</f>
        <v>3883649</v>
      </c>
      <c r="H3274" t="s">
        <v>4258</v>
      </c>
      <c r="I3274">
        <v>2001</v>
      </c>
      <c r="J3274">
        <v>2001</v>
      </c>
      <c r="K3274" t="s">
        <v>4554</v>
      </c>
      <c r="L3274" t="s">
        <v>4555</v>
      </c>
      <c r="M3274" s="2">
        <v>2352</v>
      </c>
      <c r="N3274" t="s">
        <v>3147</v>
      </c>
      <c r="O3274">
        <v>4</v>
      </c>
      <c r="P3274">
        <v>2</v>
      </c>
      <c r="Q3274">
        <v>0</v>
      </c>
      <c r="R3274" t="s">
        <v>4557</v>
      </c>
      <c r="S3274" t="s">
        <v>4898</v>
      </c>
      <c r="T3274" t="s">
        <v>2704</v>
      </c>
      <c r="U3274" t="s">
        <v>4560</v>
      </c>
      <c r="V3274" s="2">
        <v>621</v>
      </c>
      <c r="W3274" t="s">
        <v>4655</v>
      </c>
      <c r="X3274" s="2">
        <v>0</v>
      </c>
      <c r="Y3274">
        <v>20</v>
      </c>
      <c r="Z3274" t="s">
        <v>5508</v>
      </c>
      <c r="AA3274" s="3">
        <v>0.34898990392684898</v>
      </c>
      <c r="AB3274" t="s">
        <v>18612</v>
      </c>
      <c r="AC3274" t="s">
        <v>4562</v>
      </c>
      <c r="AD3274" t="s">
        <v>18611</v>
      </c>
      <c r="AE3274" t="s">
        <v>4655</v>
      </c>
      <c r="AF3274" t="s">
        <v>4563</v>
      </c>
      <c r="AG3274" t="s">
        <v>4564</v>
      </c>
      <c r="AH3274">
        <v>89502</v>
      </c>
      <c r="AI3274" t="s">
        <v>4903</v>
      </c>
      <c r="AJ3274" t="s">
        <v>4259</v>
      </c>
      <c r="AK3274" t="s">
        <v>18613</v>
      </c>
      <c r="AL3274" s="13" t="s">
        <v>1889</v>
      </c>
      <c r="AM3274">
        <v>1</v>
      </c>
      <c r="AN3274" s="15" t="s">
        <v>148</v>
      </c>
    </row>
    <row r="3275" spans="1:40" x14ac:dyDescent="0.3">
      <c r="A3275" s="10" t="str">
        <f>HYPERLINK("http://www.washoecounty.gov/assessor/cama/?parid=051-691-04&amp;CardNumber=1","051-691-04")</f>
        <v>051-691-04</v>
      </c>
      <c r="B3275" t="s">
        <v>4655</v>
      </c>
      <c r="C3275" t="s">
        <v>18614</v>
      </c>
      <c r="D3275" s="1">
        <v>40234</v>
      </c>
      <c r="E3275" s="2">
        <v>313000</v>
      </c>
      <c r="F3275" t="s">
        <v>4567</v>
      </c>
      <c r="G3275" s="17" t="str">
        <f>HYPERLINK("https://www.washoecounty.gov/assessor/cama/?command=sales&amp;parid=05169104","3852905")</f>
        <v>3852905</v>
      </c>
      <c r="H3275" t="s">
        <v>413</v>
      </c>
      <c r="I3275">
        <v>2003</v>
      </c>
      <c r="J3275">
        <v>2003</v>
      </c>
      <c r="K3275" t="s">
        <v>4554</v>
      </c>
      <c r="L3275" t="s">
        <v>4555</v>
      </c>
      <c r="M3275" s="2">
        <v>2918</v>
      </c>
      <c r="N3275" t="s">
        <v>3147</v>
      </c>
      <c r="O3275">
        <v>3</v>
      </c>
      <c r="P3275">
        <v>2</v>
      </c>
      <c r="Q3275">
        <v>1</v>
      </c>
      <c r="R3275" t="s">
        <v>5281</v>
      </c>
      <c r="S3275" t="s">
        <v>4898</v>
      </c>
      <c r="T3275" t="s">
        <v>2704</v>
      </c>
      <c r="U3275" t="s">
        <v>4560</v>
      </c>
      <c r="V3275" s="2">
        <v>896</v>
      </c>
      <c r="W3275" t="s">
        <v>4655</v>
      </c>
      <c r="X3275" s="2">
        <v>0</v>
      </c>
      <c r="Y3275">
        <v>20</v>
      </c>
      <c r="Z3275" t="s">
        <v>5508</v>
      </c>
      <c r="AA3275" s="3">
        <v>0.43266758322715759</v>
      </c>
      <c r="AB3275" t="s">
        <v>18615</v>
      </c>
      <c r="AC3275" t="s">
        <v>4562</v>
      </c>
      <c r="AD3275" t="s">
        <v>18614</v>
      </c>
      <c r="AE3275" t="s">
        <v>4655</v>
      </c>
      <c r="AF3275" t="s">
        <v>4563</v>
      </c>
      <c r="AG3275" t="s">
        <v>4564</v>
      </c>
      <c r="AH3275">
        <v>89502</v>
      </c>
      <c r="AI3275" t="s">
        <v>18616</v>
      </c>
      <c r="AJ3275" t="s">
        <v>414</v>
      </c>
      <c r="AK3275" t="s">
        <v>18617</v>
      </c>
      <c r="AL3275" s="13" t="s">
        <v>1889</v>
      </c>
      <c r="AM3275">
        <v>1</v>
      </c>
      <c r="AN3275" s="15" t="s">
        <v>415</v>
      </c>
    </row>
    <row r="3276" spans="1:40" x14ac:dyDescent="0.3">
      <c r="A3276" s="10" t="str">
        <f>HYPERLINK("http://www.washoecounty.gov/assessor/cama/?parid=051-702-02&amp;CardNumber=1","051-702-02")</f>
        <v>051-702-02</v>
      </c>
      <c r="B3276" t="s">
        <v>4655</v>
      </c>
      <c r="C3276" t="s">
        <v>18618</v>
      </c>
      <c r="D3276" s="1">
        <v>40512</v>
      </c>
      <c r="E3276" s="2">
        <v>380000</v>
      </c>
      <c r="F3276" t="s">
        <v>4567</v>
      </c>
      <c r="G3276" s="17" t="str">
        <f>HYPERLINK("https://www.washoecounty.gov/assessor/cama/?command=sales&amp;parid=05170202","3947982")</f>
        <v>3947982</v>
      </c>
      <c r="H3276" t="s">
        <v>3756</v>
      </c>
      <c r="I3276">
        <v>2006</v>
      </c>
      <c r="J3276">
        <v>2006</v>
      </c>
      <c r="K3276" t="s">
        <v>4554</v>
      </c>
      <c r="L3276" t="s">
        <v>4555</v>
      </c>
      <c r="M3276" s="2">
        <v>3177</v>
      </c>
      <c r="N3276" t="s">
        <v>3147</v>
      </c>
      <c r="O3276">
        <v>5</v>
      </c>
      <c r="P3276">
        <v>3</v>
      </c>
      <c r="Q3276">
        <v>0</v>
      </c>
      <c r="R3276" t="s">
        <v>5281</v>
      </c>
      <c r="S3276" t="s">
        <v>4898</v>
      </c>
      <c r="T3276" t="s">
        <v>2704</v>
      </c>
      <c r="U3276" t="s">
        <v>4560</v>
      </c>
      <c r="V3276" s="2">
        <v>903</v>
      </c>
      <c r="W3276" t="s">
        <v>4655</v>
      </c>
      <c r="X3276" s="2">
        <v>0</v>
      </c>
      <c r="Y3276">
        <v>20</v>
      </c>
      <c r="Z3276" t="s">
        <v>5508</v>
      </c>
      <c r="AA3276" s="3">
        <v>0.34674012660980202</v>
      </c>
      <c r="AB3276" t="s">
        <v>9753</v>
      </c>
      <c r="AC3276" t="s">
        <v>4562</v>
      </c>
      <c r="AD3276" t="s">
        <v>9754</v>
      </c>
      <c r="AE3276" t="s">
        <v>4655</v>
      </c>
      <c r="AF3276" t="s">
        <v>4563</v>
      </c>
      <c r="AG3276" t="s">
        <v>4564</v>
      </c>
      <c r="AH3276">
        <v>89502</v>
      </c>
      <c r="AI3276" t="s">
        <v>18619</v>
      </c>
      <c r="AJ3276" t="s">
        <v>3757</v>
      </c>
      <c r="AK3276" t="s">
        <v>18620</v>
      </c>
      <c r="AL3276" s="13" t="s">
        <v>1889</v>
      </c>
      <c r="AM3276">
        <v>1</v>
      </c>
      <c r="AN3276" s="15" t="s">
        <v>1016</v>
      </c>
    </row>
    <row r="3277" spans="1:40" x14ac:dyDescent="0.3">
      <c r="A3277" s="10" t="str">
        <f>HYPERLINK("http://www.washoecounty.gov/assessor/cama/?parid=051-711-05&amp;CardNumber=1","051-711-05")</f>
        <v>051-711-05</v>
      </c>
      <c r="B3277" t="s">
        <v>4655</v>
      </c>
      <c r="C3277" t="s">
        <v>18621</v>
      </c>
      <c r="D3277" s="1">
        <v>40392</v>
      </c>
      <c r="E3277" s="2">
        <v>310000</v>
      </c>
      <c r="F3277" t="s">
        <v>4553</v>
      </c>
      <c r="G3277" s="17" t="str">
        <f>HYPERLINK("https://www.washoecounty.gov/assessor/cama/?command=sales&amp;parid=05171105","3907815")</f>
        <v>3907815</v>
      </c>
      <c r="H3277" t="s">
        <v>18622</v>
      </c>
      <c r="I3277">
        <v>2006</v>
      </c>
      <c r="J3277">
        <v>2006</v>
      </c>
      <c r="K3277" t="s">
        <v>4554</v>
      </c>
      <c r="L3277" t="s">
        <v>4555</v>
      </c>
      <c r="M3277" s="2">
        <v>3018</v>
      </c>
      <c r="N3277" t="s">
        <v>3147</v>
      </c>
      <c r="O3277">
        <v>4</v>
      </c>
      <c r="P3277">
        <v>3</v>
      </c>
      <c r="Q3277">
        <v>0</v>
      </c>
      <c r="R3277" t="s">
        <v>5281</v>
      </c>
      <c r="S3277" t="s">
        <v>4898</v>
      </c>
      <c r="T3277" t="s">
        <v>2704</v>
      </c>
      <c r="U3277" t="s">
        <v>4560</v>
      </c>
      <c r="V3277" s="2">
        <v>892</v>
      </c>
      <c r="W3277" t="s">
        <v>4655</v>
      </c>
      <c r="X3277" s="2">
        <v>0</v>
      </c>
      <c r="Y3277">
        <v>20</v>
      </c>
      <c r="Z3277" t="s">
        <v>5508</v>
      </c>
      <c r="AA3277" s="3">
        <v>0.40298438072204601</v>
      </c>
      <c r="AB3277" t="s">
        <v>18623</v>
      </c>
      <c r="AC3277" t="s">
        <v>4562</v>
      </c>
      <c r="AD3277" t="s">
        <v>18621</v>
      </c>
      <c r="AE3277" t="s">
        <v>4655</v>
      </c>
      <c r="AF3277" t="s">
        <v>4563</v>
      </c>
      <c r="AG3277" t="s">
        <v>4564</v>
      </c>
      <c r="AH3277">
        <v>89502</v>
      </c>
      <c r="AI3277" t="s">
        <v>4145</v>
      </c>
      <c r="AJ3277" t="s">
        <v>18624</v>
      </c>
      <c r="AK3277" t="s">
        <v>18625</v>
      </c>
      <c r="AL3277" s="13" t="s">
        <v>1889</v>
      </c>
      <c r="AM3277">
        <v>1</v>
      </c>
      <c r="AN3277" s="15" t="s">
        <v>1016</v>
      </c>
    </row>
    <row r="3278" spans="1:40" x14ac:dyDescent="0.3">
      <c r="A3278" s="10" t="str">
        <f>HYPERLINK("http://www.washoecounty.gov/assessor/cama/?parid=051-712-11&amp;CardNumber=1","051-712-11")</f>
        <v>051-712-11</v>
      </c>
      <c r="B3278" t="s">
        <v>4655</v>
      </c>
      <c r="C3278" t="s">
        <v>18626</v>
      </c>
      <c r="D3278" s="1">
        <v>40540</v>
      </c>
      <c r="E3278" s="2">
        <v>375000</v>
      </c>
      <c r="F3278" t="s">
        <v>4567</v>
      </c>
      <c r="G3278" s="17" t="str">
        <f>HYPERLINK("https://www.washoecounty.gov/assessor/cama/?command=sales&amp;parid=05171211","3957876")</f>
        <v>3957876</v>
      </c>
      <c r="H3278" t="s">
        <v>18622</v>
      </c>
      <c r="I3278">
        <v>2007</v>
      </c>
      <c r="J3278">
        <v>2007</v>
      </c>
      <c r="K3278" t="s">
        <v>4554</v>
      </c>
      <c r="L3278" t="s">
        <v>4555</v>
      </c>
      <c r="M3278" s="2">
        <v>2514</v>
      </c>
      <c r="N3278" t="s">
        <v>3147</v>
      </c>
      <c r="O3278">
        <v>5</v>
      </c>
      <c r="P3278">
        <v>3</v>
      </c>
      <c r="Q3278">
        <v>0</v>
      </c>
      <c r="R3278" t="s">
        <v>5281</v>
      </c>
      <c r="S3278" t="s">
        <v>4898</v>
      </c>
      <c r="T3278" t="s">
        <v>2704</v>
      </c>
      <c r="U3278" t="s">
        <v>4560</v>
      </c>
      <c r="V3278" s="2">
        <v>1144</v>
      </c>
      <c r="W3278" t="s">
        <v>4655</v>
      </c>
      <c r="X3278" s="2">
        <v>0</v>
      </c>
      <c r="Y3278">
        <v>20</v>
      </c>
      <c r="Z3278" t="s">
        <v>5508</v>
      </c>
      <c r="AA3278" s="3">
        <v>1.0540633201599099</v>
      </c>
      <c r="AB3278" t="s">
        <v>18627</v>
      </c>
      <c r="AC3278" t="s">
        <v>4562</v>
      </c>
      <c r="AD3278" t="s">
        <v>18628</v>
      </c>
      <c r="AE3278" t="s">
        <v>4655</v>
      </c>
      <c r="AF3278" t="s">
        <v>4563</v>
      </c>
      <c r="AG3278" t="s">
        <v>4564</v>
      </c>
      <c r="AH3278">
        <v>89507</v>
      </c>
      <c r="AI3278" t="s">
        <v>18629</v>
      </c>
      <c r="AJ3278" t="s">
        <v>18624</v>
      </c>
      <c r="AK3278" t="s">
        <v>18630</v>
      </c>
      <c r="AL3278" s="13" t="s">
        <v>1889</v>
      </c>
      <c r="AM3278">
        <v>1</v>
      </c>
      <c r="AN3278" s="15" t="s">
        <v>1016</v>
      </c>
    </row>
    <row r="3279" spans="1:40" x14ac:dyDescent="0.3">
      <c r="A3279" s="10" t="str">
        <f>HYPERLINK("http://www.washoecounty.gov/assessor/cama/?parid=055-041-02&amp;CardNumber=1","055-041-02")</f>
        <v>055-041-02</v>
      </c>
      <c r="B3279" t="s">
        <v>5502</v>
      </c>
      <c r="C3279" t="s">
        <v>18631</v>
      </c>
      <c r="D3279" s="1">
        <v>40380</v>
      </c>
      <c r="E3279" s="2">
        <v>3000000</v>
      </c>
      <c r="F3279" t="s">
        <v>4553</v>
      </c>
      <c r="G3279" s="17" t="str">
        <f>HYPERLINK("https://www.washoecounty.gov/assessor/cama/?command=sales&amp;parid=05504102","3903423")</f>
        <v>3903423</v>
      </c>
      <c r="H3279" t="s">
        <v>18632</v>
      </c>
      <c r="I3279">
        <v>1964</v>
      </c>
      <c r="J3279">
        <v>1968</v>
      </c>
      <c r="K3279" t="s">
        <v>4554</v>
      </c>
      <c r="L3279" t="s">
        <v>3886</v>
      </c>
      <c r="M3279" s="2">
        <v>17680</v>
      </c>
      <c r="N3279" t="s">
        <v>3457</v>
      </c>
      <c r="O3279">
        <v>8</v>
      </c>
      <c r="P3279">
        <v>8</v>
      </c>
      <c r="Q3279">
        <v>0</v>
      </c>
      <c r="R3279" t="s">
        <v>2632</v>
      </c>
      <c r="S3279" t="s">
        <v>364</v>
      </c>
      <c r="T3279" t="s">
        <v>18633</v>
      </c>
      <c r="U3279" t="s">
        <v>4655</v>
      </c>
      <c r="V3279" s="2">
        <v>0</v>
      </c>
      <c r="W3279" t="s">
        <v>4655</v>
      </c>
      <c r="X3279" s="2">
        <v>0</v>
      </c>
      <c r="Y3279">
        <v>20</v>
      </c>
      <c r="Z3279" t="s">
        <v>818</v>
      </c>
      <c r="AA3279" s="3">
        <v>25.020000457763601</v>
      </c>
      <c r="AB3279" t="s">
        <v>18634</v>
      </c>
      <c r="AC3279" t="s">
        <v>4562</v>
      </c>
      <c r="AD3279" t="s">
        <v>18635</v>
      </c>
      <c r="AE3279" t="s">
        <v>4655</v>
      </c>
      <c r="AF3279" t="s">
        <v>4716</v>
      </c>
      <c r="AG3279" t="s">
        <v>4584</v>
      </c>
      <c r="AH3279">
        <v>90277</v>
      </c>
      <c r="AI3279" t="s">
        <v>18636</v>
      </c>
      <c r="AJ3279" t="s">
        <v>4655</v>
      </c>
      <c r="AK3279" t="s">
        <v>18637</v>
      </c>
      <c r="AL3279" s="13" t="s">
        <v>3428</v>
      </c>
      <c r="AM3279" s="14">
        <v>3</v>
      </c>
      <c r="AN3279" s="15" t="s">
        <v>18638</v>
      </c>
    </row>
    <row r="3280" spans="1:40" x14ac:dyDescent="0.3">
      <c r="A3280" s="10" t="str">
        <f>HYPERLINK("http://www.washoecounty.gov/assessor/cama/?parid=055-042-04&amp;CardNumber=1","055-042-04")</f>
        <v>055-042-04</v>
      </c>
      <c r="B3280" t="s">
        <v>4655</v>
      </c>
      <c r="C3280" t="s">
        <v>18639</v>
      </c>
      <c r="D3280" s="1">
        <v>40409</v>
      </c>
      <c r="E3280" s="2">
        <v>753760</v>
      </c>
      <c r="F3280" t="s">
        <v>4567</v>
      </c>
      <c r="G3280" s="17" t="str">
        <f>HYPERLINK("https://www.washoecounty.gov/assessor/cama/?command=sales&amp;parid=05504204","3913480")</f>
        <v>3913480</v>
      </c>
      <c r="H3280" t="s">
        <v>5279</v>
      </c>
      <c r="I3280">
        <v>1999</v>
      </c>
      <c r="J3280">
        <v>2001</v>
      </c>
      <c r="K3280" t="s">
        <v>4554</v>
      </c>
      <c r="L3280" t="s">
        <v>3886</v>
      </c>
      <c r="M3280" s="2">
        <v>3896</v>
      </c>
      <c r="N3280" t="s">
        <v>3887</v>
      </c>
      <c r="O3280">
        <v>3</v>
      </c>
      <c r="P3280">
        <v>4</v>
      </c>
      <c r="Q3280">
        <v>0</v>
      </c>
      <c r="R3280" t="s">
        <v>5281</v>
      </c>
      <c r="S3280" t="s">
        <v>4135</v>
      </c>
      <c r="T3280" t="s">
        <v>4559</v>
      </c>
      <c r="U3280" t="s">
        <v>162</v>
      </c>
      <c r="V3280" s="2">
        <v>996</v>
      </c>
      <c r="W3280" t="s">
        <v>4655</v>
      </c>
      <c r="X3280" s="2">
        <v>0</v>
      </c>
      <c r="Y3280">
        <v>20</v>
      </c>
      <c r="Z3280" t="s">
        <v>818</v>
      </c>
      <c r="AA3280" s="3">
        <v>8.8299999237060494</v>
      </c>
      <c r="AB3280" t="s">
        <v>18640</v>
      </c>
      <c r="AC3280" t="s">
        <v>4575</v>
      </c>
      <c r="AD3280" t="s">
        <v>18641</v>
      </c>
      <c r="AE3280" t="s">
        <v>18642</v>
      </c>
      <c r="AF3280" t="s">
        <v>1407</v>
      </c>
      <c r="AG3280" t="s">
        <v>4564</v>
      </c>
      <c r="AH3280">
        <v>89704</v>
      </c>
      <c r="AI3280" t="s">
        <v>18643</v>
      </c>
      <c r="AJ3280" t="s">
        <v>4655</v>
      </c>
      <c r="AK3280" t="s">
        <v>18644</v>
      </c>
      <c r="AL3280" s="13" t="s">
        <v>1892</v>
      </c>
      <c r="AM3280" s="14">
        <v>1</v>
      </c>
      <c r="AN3280" s="15" t="s">
        <v>3053</v>
      </c>
    </row>
    <row r="3281" spans="1:40" x14ac:dyDescent="0.3">
      <c r="A3281" s="10" t="str">
        <f>HYPERLINK("http://www.washoecounty.gov/assessor/cama/?parid=055-092-21&amp;CardNumber=1","055-092-21")</f>
        <v>055-092-21</v>
      </c>
      <c r="B3281" t="s">
        <v>4655</v>
      </c>
      <c r="C3281" t="s">
        <v>18645</v>
      </c>
      <c r="D3281" s="1">
        <v>40305</v>
      </c>
      <c r="E3281" s="2">
        <v>675000</v>
      </c>
      <c r="F3281" t="s">
        <v>4567</v>
      </c>
      <c r="G3281" s="17" t="str">
        <f>HYPERLINK("https://www.washoecounty.gov/assessor/cama/?command=sales&amp;parid=05509221","3879299")</f>
        <v>3879299</v>
      </c>
      <c r="H3281" t="s">
        <v>4655</v>
      </c>
      <c r="I3281">
        <v>1979</v>
      </c>
      <c r="J3281">
        <v>1979</v>
      </c>
      <c r="K3281" t="s">
        <v>4554</v>
      </c>
      <c r="L3281" t="s">
        <v>3886</v>
      </c>
      <c r="M3281" s="2">
        <v>5168</v>
      </c>
      <c r="N3281" t="s">
        <v>2012</v>
      </c>
      <c r="O3281">
        <v>5</v>
      </c>
      <c r="P3281">
        <v>4</v>
      </c>
      <c r="Q3281">
        <v>1</v>
      </c>
      <c r="R3281" t="s">
        <v>4557</v>
      </c>
      <c r="S3281" t="s">
        <v>4135</v>
      </c>
      <c r="T3281" t="s">
        <v>4559</v>
      </c>
      <c r="U3281" t="s">
        <v>4560</v>
      </c>
      <c r="V3281" s="2">
        <v>484</v>
      </c>
      <c r="W3281" t="s">
        <v>3201</v>
      </c>
      <c r="X3281" s="2">
        <v>1402</v>
      </c>
      <c r="Y3281">
        <v>20</v>
      </c>
      <c r="Z3281" t="s">
        <v>4051</v>
      </c>
      <c r="AA3281" s="3">
        <v>5</v>
      </c>
      <c r="AB3281" t="s">
        <v>18646</v>
      </c>
      <c r="AC3281" t="s">
        <v>4562</v>
      </c>
      <c r="AD3281" t="s">
        <v>18645</v>
      </c>
      <c r="AE3281" t="s">
        <v>4655</v>
      </c>
      <c r="AF3281" t="s">
        <v>1407</v>
      </c>
      <c r="AG3281" t="s">
        <v>4564</v>
      </c>
      <c r="AH3281">
        <v>89704</v>
      </c>
      <c r="AI3281" t="s">
        <v>18647</v>
      </c>
      <c r="AJ3281" t="s">
        <v>4655</v>
      </c>
      <c r="AK3281" t="s">
        <v>18648</v>
      </c>
      <c r="AL3281" s="13" t="s">
        <v>3428</v>
      </c>
      <c r="AM3281" s="14">
        <v>1</v>
      </c>
      <c r="AN3281" s="15" t="s">
        <v>3091</v>
      </c>
    </row>
    <row r="3282" spans="1:40" x14ac:dyDescent="0.3">
      <c r="A3282" s="10" t="str">
        <f>HYPERLINK("http://www.washoecounty.gov/assessor/cama/?parid=055-140-18&amp;CardNumber=1","055-140-18")</f>
        <v>055-140-18</v>
      </c>
      <c r="B3282" t="s">
        <v>4655</v>
      </c>
      <c r="C3282" t="s">
        <v>18649</v>
      </c>
      <c r="D3282" s="1">
        <v>40457</v>
      </c>
      <c r="E3282" s="2">
        <v>685000</v>
      </c>
      <c r="F3282" t="s">
        <v>3528</v>
      </c>
      <c r="G3282" s="17" t="str">
        <f>HYPERLINK("https://www.washoecounty.gov/assessor/cama/?command=sales&amp;parid=05514018","3930054")</f>
        <v>3930054</v>
      </c>
      <c r="H3282" t="s">
        <v>5399</v>
      </c>
      <c r="I3282">
        <v>0</v>
      </c>
      <c r="J3282">
        <v>0</v>
      </c>
      <c r="K3282" t="s">
        <v>4655</v>
      </c>
      <c r="L3282" t="s">
        <v>4655</v>
      </c>
      <c r="M3282" s="2">
        <v>0</v>
      </c>
      <c r="N3282" t="s">
        <v>4655</v>
      </c>
      <c r="O3282">
        <v>0</v>
      </c>
      <c r="P3282">
        <v>0</v>
      </c>
      <c r="Q3282">
        <v>0</v>
      </c>
      <c r="R3282" t="s">
        <v>4655</v>
      </c>
      <c r="S3282" t="s">
        <v>4655</v>
      </c>
      <c r="T3282" t="s">
        <v>4655</v>
      </c>
      <c r="U3282" t="s">
        <v>4655</v>
      </c>
      <c r="V3282" s="2">
        <v>0</v>
      </c>
      <c r="W3282" t="s">
        <v>4655</v>
      </c>
      <c r="X3282" s="2">
        <v>0</v>
      </c>
      <c r="Y3282">
        <v>12</v>
      </c>
      <c r="Z3282" t="s">
        <v>4051</v>
      </c>
      <c r="AA3282" s="3">
        <v>21.649999618530199</v>
      </c>
      <c r="AB3282" t="s">
        <v>18650</v>
      </c>
      <c r="AC3282" t="s">
        <v>4562</v>
      </c>
      <c r="AD3282" t="s">
        <v>18651</v>
      </c>
      <c r="AE3282" t="s">
        <v>4655</v>
      </c>
      <c r="AF3282" t="s">
        <v>1407</v>
      </c>
      <c r="AG3282" t="s">
        <v>4564</v>
      </c>
      <c r="AH3282">
        <v>89706</v>
      </c>
      <c r="AI3282" t="s">
        <v>4655</v>
      </c>
      <c r="AJ3282" t="s">
        <v>4655</v>
      </c>
      <c r="AK3282" t="s">
        <v>18652</v>
      </c>
      <c r="AL3282" s="13" t="s">
        <v>1892</v>
      </c>
      <c r="AM3282" s="14">
        <v>0</v>
      </c>
      <c r="AN3282" s="15" t="s">
        <v>3053</v>
      </c>
    </row>
    <row r="3283" spans="1:40" x14ac:dyDescent="0.3">
      <c r="A3283" s="10" t="str">
        <f>HYPERLINK("http://www.washoecounty.gov/assessor/cama/?parid=055-163-15&amp;CardNumber=1","055-163-15")</f>
        <v>055-163-15</v>
      </c>
      <c r="B3283" t="s">
        <v>4655</v>
      </c>
      <c r="C3283" t="s">
        <v>18653</v>
      </c>
      <c r="D3283" s="1">
        <v>40380</v>
      </c>
      <c r="E3283" s="2">
        <v>345000</v>
      </c>
      <c r="F3283" t="s">
        <v>4567</v>
      </c>
      <c r="G3283" s="17" t="str">
        <f>HYPERLINK("https://www.washoecounty.gov/assessor/cama/?command=sales&amp;parid=05516315","3903526")</f>
        <v>3903526</v>
      </c>
      <c r="H3283" t="s">
        <v>1430</v>
      </c>
      <c r="I3283">
        <v>1973</v>
      </c>
      <c r="J3283">
        <v>1982</v>
      </c>
      <c r="K3283" t="s">
        <v>4554</v>
      </c>
      <c r="L3283" t="s">
        <v>4555</v>
      </c>
      <c r="M3283" s="2">
        <v>2601</v>
      </c>
      <c r="N3283" t="s">
        <v>5280</v>
      </c>
      <c r="O3283">
        <v>3</v>
      </c>
      <c r="P3283">
        <v>2</v>
      </c>
      <c r="Q3283">
        <v>1</v>
      </c>
      <c r="R3283" t="s">
        <v>411</v>
      </c>
      <c r="S3283" t="s">
        <v>4558</v>
      </c>
      <c r="T3283" t="s">
        <v>4559</v>
      </c>
      <c r="U3283" t="s">
        <v>4560</v>
      </c>
      <c r="V3283" s="2">
        <v>608</v>
      </c>
      <c r="W3283" t="s">
        <v>4655</v>
      </c>
      <c r="X3283" s="2">
        <v>0</v>
      </c>
      <c r="Y3283">
        <v>20</v>
      </c>
      <c r="Z3283" t="s">
        <v>1376</v>
      </c>
      <c r="AA3283" s="3">
        <v>2.95199990272521</v>
      </c>
      <c r="AB3283" t="s">
        <v>18654</v>
      </c>
      <c r="AC3283" t="s">
        <v>4562</v>
      </c>
      <c r="AD3283" t="s">
        <v>18655</v>
      </c>
      <c r="AE3283" t="s">
        <v>4655</v>
      </c>
      <c r="AF3283" t="s">
        <v>1407</v>
      </c>
      <c r="AG3283" t="s">
        <v>4564</v>
      </c>
      <c r="AH3283">
        <v>89704</v>
      </c>
      <c r="AI3283" t="s">
        <v>18656</v>
      </c>
      <c r="AJ3283" t="s">
        <v>4655</v>
      </c>
      <c r="AK3283" t="s">
        <v>18657</v>
      </c>
      <c r="AL3283" s="13" t="s">
        <v>1892</v>
      </c>
      <c r="AM3283">
        <v>1</v>
      </c>
      <c r="AN3283" s="15" t="s">
        <v>412</v>
      </c>
    </row>
    <row r="3284" spans="1:40" x14ac:dyDescent="0.3">
      <c r="A3284" s="10" t="str">
        <f>HYPERLINK("http://www.washoecounty.gov/assessor/cama/?parid=055-270-13&amp;CardNumber=1","055-270-13")</f>
        <v>055-270-13</v>
      </c>
      <c r="B3284" t="s">
        <v>4655</v>
      </c>
      <c r="C3284" t="s">
        <v>18658</v>
      </c>
      <c r="D3284" s="1">
        <v>40514</v>
      </c>
      <c r="E3284" s="2">
        <v>490000</v>
      </c>
      <c r="F3284" t="s">
        <v>4567</v>
      </c>
      <c r="G3284" s="17" t="str">
        <f>HYPERLINK("https://www.washoecounty.gov/assessor/cama/?command=sales&amp;parid=05527013","3948913")</f>
        <v>3948913</v>
      </c>
      <c r="H3284" t="s">
        <v>18659</v>
      </c>
      <c r="I3284">
        <v>1995</v>
      </c>
      <c r="J3284">
        <v>1995</v>
      </c>
      <c r="K3284" t="s">
        <v>4554</v>
      </c>
      <c r="L3284" t="s">
        <v>3974</v>
      </c>
      <c r="M3284" s="2">
        <v>2859</v>
      </c>
      <c r="N3284" t="s">
        <v>1245</v>
      </c>
      <c r="O3284">
        <v>3</v>
      </c>
      <c r="P3284">
        <v>2</v>
      </c>
      <c r="Q3284">
        <v>1</v>
      </c>
      <c r="R3284" t="s">
        <v>5281</v>
      </c>
      <c r="S3284" t="s">
        <v>4898</v>
      </c>
      <c r="T3284" t="s">
        <v>2704</v>
      </c>
      <c r="U3284" t="s">
        <v>162</v>
      </c>
      <c r="V3284" s="2">
        <v>1908</v>
      </c>
      <c r="W3284" t="s">
        <v>4655</v>
      </c>
      <c r="X3284" s="2">
        <v>0</v>
      </c>
      <c r="Y3284">
        <v>20</v>
      </c>
      <c r="Z3284" t="s">
        <v>818</v>
      </c>
      <c r="AA3284" s="3">
        <v>5</v>
      </c>
      <c r="AB3284" t="s">
        <v>18660</v>
      </c>
      <c r="AC3284" t="s">
        <v>4562</v>
      </c>
      <c r="AD3284" t="s">
        <v>18661</v>
      </c>
      <c r="AE3284" t="s">
        <v>4655</v>
      </c>
      <c r="AF3284" t="s">
        <v>18662</v>
      </c>
      <c r="AG3284" t="s">
        <v>762</v>
      </c>
      <c r="AH3284" t="s">
        <v>18663</v>
      </c>
      <c r="AI3284" t="s">
        <v>18664</v>
      </c>
      <c r="AJ3284" t="s">
        <v>18665</v>
      </c>
      <c r="AK3284" t="s">
        <v>18666</v>
      </c>
      <c r="AL3284" s="13" t="s">
        <v>1892</v>
      </c>
      <c r="AM3284">
        <v>1</v>
      </c>
      <c r="AN3284" s="15" t="s">
        <v>18667</v>
      </c>
    </row>
    <row r="3285" spans="1:40" x14ac:dyDescent="0.3">
      <c r="A3285" s="10" t="str">
        <f>HYPERLINK("http://www.washoecounty.gov/assessor/cama/?parid=055-301-43&amp;CardNumber=1","055-301-43")</f>
        <v>055-301-43</v>
      </c>
      <c r="B3285" t="s">
        <v>4655</v>
      </c>
      <c r="C3285" t="s">
        <v>18668</v>
      </c>
      <c r="D3285" s="1">
        <v>40337</v>
      </c>
      <c r="E3285" s="2">
        <v>215000</v>
      </c>
      <c r="F3285" t="s">
        <v>3259</v>
      </c>
      <c r="G3285" s="17" t="str">
        <f>HYPERLINK("https://www.washoecounty.gov/assessor/cama/?command=sales&amp;parid=05530143","3889117")</f>
        <v>3889117</v>
      </c>
      <c r="H3285" t="s">
        <v>18669</v>
      </c>
      <c r="I3285">
        <v>0</v>
      </c>
      <c r="J3285">
        <v>0</v>
      </c>
      <c r="K3285" t="s">
        <v>4655</v>
      </c>
      <c r="L3285" t="s">
        <v>4655</v>
      </c>
      <c r="M3285" s="2">
        <v>0</v>
      </c>
      <c r="N3285" t="s">
        <v>4655</v>
      </c>
      <c r="O3285">
        <v>0</v>
      </c>
      <c r="P3285">
        <v>0</v>
      </c>
      <c r="Q3285">
        <v>0</v>
      </c>
      <c r="R3285" t="s">
        <v>4655</v>
      </c>
      <c r="S3285" t="s">
        <v>4655</v>
      </c>
      <c r="T3285" t="s">
        <v>4655</v>
      </c>
      <c r="U3285" t="s">
        <v>4655</v>
      </c>
      <c r="V3285" s="2">
        <v>0</v>
      </c>
      <c r="W3285" t="s">
        <v>4655</v>
      </c>
      <c r="X3285" s="2">
        <v>0</v>
      </c>
      <c r="Y3285">
        <v>12</v>
      </c>
      <c r="Z3285" t="s">
        <v>3668</v>
      </c>
      <c r="AA3285" s="3">
        <v>40.650001525878899</v>
      </c>
      <c r="AB3285" t="s">
        <v>18670</v>
      </c>
      <c r="AC3285" t="s">
        <v>4575</v>
      </c>
      <c r="AD3285" t="s">
        <v>18671</v>
      </c>
      <c r="AE3285" t="s">
        <v>4655</v>
      </c>
      <c r="AF3285" t="s">
        <v>1377</v>
      </c>
      <c r="AG3285" t="s">
        <v>4564</v>
      </c>
      <c r="AH3285">
        <v>89704</v>
      </c>
      <c r="AI3285" t="s">
        <v>18672</v>
      </c>
      <c r="AJ3285" t="s">
        <v>18673</v>
      </c>
      <c r="AK3285" t="s">
        <v>18674</v>
      </c>
      <c r="AL3285" s="13" t="s">
        <v>3428</v>
      </c>
      <c r="AM3285">
        <v>0</v>
      </c>
      <c r="AN3285" s="15" t="s">
        <v>18638</v>
      </c>
    </row>
    <row r="3286" spans="1:40" x14ac:dyDescent="0.3">
      <c r="A3286" s="10" t="str">
        <f>HYPERLINK("http://www.washoecounty.gov/assessor/cama/?parid=055-310-09&amp;CardNumber=1","055-310-09")</f>
        <v>055-310-09</v>
      </c>
      <c r="B3286" t="s">
        <v>4655</v>
      </c>
      <c r="C3286" t="s">
        <v>18675</v>
      </c>
      <c r="D3286" s="1">
        <v>40497</v>
      </c>
      <c r="E3286" s="2">
        <v>519000</v>
      </c>
      <c r="F3286" t="s">
        <v>4567</v>
      </c>
      <c r="G3286" s="17" t="str">
        <f>HYPERLINK("https://www.washoecounty.gov/assessor/cama/?command=sales&amp;parid=05531009","3943088")</f>
        <v>3943088</v>
      </c>
      <c r="H3286" t="s">
        <v>2294</v>
      </c>
      <c r="I3286">
        <v>1960</v>
      </c>
      <c r="J3286">
        <v>1972</v>
      </c>
      <c r="K3286" t="s">
        <v>4554</v>
      </c>
      <c r="L3286" t="s">
        <v>4555</v>
      </c>
      <c r="M3286" s="2">
        <v>2422</v>
      </c>
      <c r="N3286" t="s">
        <v>5280</v>
      </c>
      <c r="O3286">
        <v>3</v>
      </c>
      <c r="P3286">
        <v>3</v>
      </c>
      <c r="Q3286">
        <v>0</v>
      </c>
      <c r="R3286" t="s">
        <v>4557</v>
      </c>
      <c r="S3286" t="s">
        <v>4135</v>
      </c>
      <c r="T3286" t="s">
        <v>3888</v>
      </c>
      <c r="U3286" t="s">
        <v>4655</v>
      </c>
      <c r="V3286" s="2">
        <v>0</v>
      </c>
      <c r="W3286" t="s">
        <v>4655</v>
      </c>
      <c r="X3286" s="2">
        <v>0</v>
      </c>
      <c r="Y3286">
        <v>20</v>
      </c>
      <c r="Z3286" t="s">
        <v>818</v>
      </c>
      <c r="AA3286" s="3">
        <v>5</v>
      </c>
      <c r="AB3286" t="s">
        <v>18676</v>
      </c>
      <c r="AC3286" t="s">
        <v>4575</v>
      </c>
      <c r="AD3286" t="s">
        <v>18675</v>
      </c>
      <c r="AE3286" t="s">
        <v>4655</v>
      </c>
      <c r="AF3286" t="s">
        <v>1407</v>
      </c>
      <c r="AG3286" t="s">
        <v>4564</v>
      </c>
      <c r="AH3286">
        <v>89704</v>
      </c>
      <c r="AI3286" t="s">
        <v>18677</v>
      </c>
      <c r="AJ3286" t="s">
        <v>4655</v>
      </c>
      <c r="AK3286" t="s">
        <v>18678</v>
      </c>
      <c r="AL3286" s="13" t="s">
        <v>3428</v>
      </c>
      <c r="AM3286" s="14">
        <v>1</v>
      </c>
      <c r="AN3286" s="15" t="s">
        <v>3053</v>
      </c>
    </row>
    <row r="3287" spans="1:40" x14ac:dyDescent="0.3">
      <c r="A3287" s="10" t="str">
        <f>HYPERLINK("http://www.washoecounty.gov/assessor/cama/?parid=055-371-11&amp;CardNumber=1","055-371-11")</f>
        <v>055-371-11</v>
      </c>
      <c r="B3287" t="s">
        <v>4655</v>
      </c>
      <c r="C3287" t="s">
        <v>18679</v>
      </c>
      <c r="D3287" s="1">
        <v>40431</v>
      </c>
      <c r="E3287" s="2">
        <v>750000</v>
      </c>
      <c r="F3287" t="s">
        <v>4567</v>
      </c>
      <c r="G3287" s="17" t="str">
        <f>HYPERLINK("https://www.washoecounty.gov/assessor/cama/?command=sales&amp;parid=05537111","3921119")</f>
        <v>3921119</v>
      </c>
      <c r="H3287" t="s">
        <v>2660</v>
      </c>
      <c r="I3287">
        <v>1997</v>
      </c>
      <c r="J3287">
        <v>1997</v>
      </c>
      <c r="K3287" t="s">
        <v>4554</v>
      </c>
      <c r="L3287" t="s">
        <v>3974</v>
      </c>
      <c r="M3287" s="2">
        <v>4948</v>
      </c>
      <c r="N3287" t="s">
        <v>8283</v>
      </c>
      <c r="O3287">
        <v>5</v>
      </c>
      <c r="P3287">
        <v>3</v>
      </c>
      <c r="Q3287">
        <v>1</v>
      </c>
      <c r="R3287" t="s">
        <v>5281</v>
      </c>
      <c r="S3287" t="s">
        <v>4898</v>
      </c>
      <c r="T3287" t="s">
        <v>2704</v>
      </c>
      <c r="U3287" t="s">
        <v>4560</v>
      </c>
      <c r="V3287" s="2">
        <v>1233</v>
      </c>
      <c r="W3287" t="s">
        <v>4655</v>
      </c>
      <c r="X3287" s="2">
        <v>0</v>
      </c>
      <c r="Y3287">
        <v>20</v>
      </c>
      <c r="Z3287" t="s">
        <v>818</v>
      </c>
      <c r="AA3287" s="3">
        <v>1.5809917449951101</v>
      </c>
      <c r="AB3287" t="s">
        <v>18680</v>
      </c>
      <c r="AC3287" t="s">
        <v>4562</v>
      </c>
      <c r="AD3287" t="s">
        <v>18679</v>
      </c>
      <c r="AE3287" t="s">
        <v>4655</v>
      </c>
      <c r="AF3287" t="s">
        <v>1407</v>
      </c>
      <c r="AG3287" t="s">
        <v>4564</v>
      </c>
      <c r="AH3287">
        <v>89704</v>
      </c>
      <c r="AI3287" t="s">
        <v>18681</v>
      </c>
      <c r="AJ3287" t="s">
        <v>2661</v>
      </c>
      <c r="AK3287" t="s">
        <v>18682</v>
      </c>
      <c r="AL3287" s="13" t="s">
        <v>1892</v>
      </c>
      <c r="AM3287" s="14">
        <v>1</v>
      </c>
      <c r="AN3287" s="15" t="s">
        <v>4194</v>
      </c>
    </row>
    <row r="3288" spans="1:40" x14ac:dyDescent="0.3">
      <c r="A3288" s="10" t="str">
        <f>HYPERLINK("http://www.washoecounty.gov/assessor/cama/?parid=055-391-07&amp;CardNumber=1","055-391-07")</f>
        <v>055-391-07</v>
      </c>
      <c r="B3288" t="s">
        <v>4655</v>
      </c>
      <c r="C3288" t="s">
        <v>18683</v>
      </c>
      <c r="D3288" s="1">
        <v>40346</v>
      </c>
      <c r="E3288" s="2">
        <v>417250</v>
      </c>
      <c r="F3288" t="s">
        <v>4553</v>
      </c>
      <c r="G3288" s="17" t="str">
        <f>HYPERLINK("https://www.washoecounty.gov/assessor/cama/?command=sales&amp;parid=05539107","3892960")</f>
        <v>3892960</v>
      </c>
      <c r="H3288" t="s">
        <v>2660</v>
      </c>
      <c r="I3288">
        <v>1996</v>
      </c>
      <c r="J3288">
        <v>1996</v>
      </c>
      <c r="K3288" t="s">
        <v>4554</v>
      </c>
      <c r="L3288" t="s">
        <v>4555</v>
      </c>
      <c r="M3288" s="2">
        <v>4324</v>
      </c>
      <c r="N3288" t="s">
        <v>2012</v>
      </c>
      <c r="O3288">
        <v>4</v>
      </c>
      <c r="P3288">
        <v>3</v>
      </c>
      <c r="Q3288">
        <v>1</v>
      </c>
      <c r="R3288" t="s">
        <v>5281</v>
      </c>
      <c r="S3288" t="s">
        <v>4898</v>
      </c>
      <c r="T3288" t="s">
        <v>2704</v>
      </c>
      <c r="U3288" t="s">
        <v>4560</v>
      </c>
      <c r="V3288" s="2">
        <v>892</v>
      </c>
      <c r="W3288" t="s">
        <v>4655</v>
      </c>
      <c r="X3288" s="2">
        <v>0</v>
      </c>
      <c r="Y3288">
        <v>20</v>
      </c>
      <c r="Z3288" t="s">
        <v>1376</v>
      </c>
      <c r="AA3288" s="3">
        <v>1.13500916957855</v>
      </c>
      <c r="AB3288" t="s">
        <v>18684</v>
      </c>
      <c r="AC3288" t="s">
        <v>4562</v>
      </c>
      <c r="AD3288" t="s">
        <v>18683</v>
      </c>
      <c r="AE3288" t="s">
        <v>4655</v>
      </c>
      <c r="AF3288" t="s">
        <v>1407</v>
      </c>
      <c r="AG3288" t="s">
        <v>4564</v>
      </c>
      <c r="AH3288">
        <v>89704</v>
      </c>
      <c r="AI3288" t="s">
        <v>4145</v>
      </c>
      <c r="AJ3288" t="s">
        <v>2661</v>
      </c>
      <c r="AK3288" t="s">
        <v>18685</v>
      </c>
      <c r="AL3288" s="13" t="s">
        <v>1892</v>
      </c>
      <c r="AM3288">
        <v>1</v>
      </c>
      <c r="AN3288" s="15" t="s">
        <v>4194</v>
      </c>
    </row>
    <row r="3289" spans="1:40" x14ac:dyDescent="0.3">
      <c r="A3289" s="10" t="str">
        <f>HYPERLINK("http://www.washoecounty.gov/assessor/cama/?parid=055-395-02&amp;CardNumber=1","055-395-02")</f>
        <v>055-395-02</v>
      </c>
      <c r="B3289" t="s">
        <v>4655</v>
      </c>
      <c r="C3289" t="s">
        <v>18686</v>
      </c>
      <c r="D3289" s="1">
        <v>40324</v>
      </c>
      <c r="E3289" s="2">
        <v>575000</v>
      </c>
      <c r="F3289" t="s">
        <v>4553</v>
      </c>
      <c r="G3289" s="17" t="str">
        <f>HYPERLINK("https://www.washoecounty.gov/assessor/cama/?command=sales&amp;parid=05539502","3885678")</f>
        <v>3885678</v>
      </c>
      <c r="H3289" t="s">
        <v>2660</v>
      </c>
      <c r="I3289">
        <v>2007</v>
      </c>
      <c r="J3289">
        <v>2007</v>
      </c>
      <c r="K3289" t="s">
        <v>4554</v>
      </c>
      <c r="L3289" t="s">
        <v>3974</v>
      </c>
      <c r="M3289" s="2">
        <v>4515</v>
      </c>
      <c r="N3289" t="s">
        <v>2008</v>
      </c>
      <c r="O3289">
        <v>4</v>
      </c>
      <c r="P3289">
        <v>3</v>
      </c>
      <c r="Q3289">
        <v>1</v>
      </c>
      <c r="R3289" t="s">
        <v>5281</v>
      </c>
      <c r="S3289" t="s">
        <v>4898</v>
      </c>
      <c r="T3289" t="s">
        <v>4559</v>
      </c>
      <c r="U3289" t="s">
        <v>4560</v>
      </c>
      <c r="V3289" s="2">
        <v>1155</v>
      </c>
      <c r="W3289" t="s">
        <v>4655</v>
      </c>
      <c r="X3289" s="2">
        <v>0</v>
      </c>
      <c r="Y3289">
        <v>20</v>
      </c>
      <c r="Z3289" t="s">
        <v>1376</v>
      </c>
      <c r="AA3289" s="3">
        <v>1.19100093841552</v>
      </c>
      <c r="AB3289" t="s">
        <v>18687</v>
      </c>
      <c r="AC3289" t="s">
        <v>4562</v>
      </c>
      <c r="AD3289" t="s">
        <v>18686</v>
      </c>
      <c r="AE3289" t="s">
        <v>4655</v>
      </c>
      <c r="AF3289" t="s">
        <v>1407</v>
      </c>
      <c r="AG3289" t="s">
        <v>4564</v>
      </c>
      <c r="AH3289">
        <v>89704</v>
      </c>
      <c r="AI3289" t="s">
        <v>4503</v>
      </c>
      <c r="AJ3289" t="s">
        <v>2661</v>
      </c>
      <c r="AK3289" t="s">
        <v>18688</v>
      </c>
      <c r="AL3289" s="13" t="s">
        <v>1892</v>
      </c>
      <c r="AM3289" s="14">
        <v>1</v>
      </c>
      <c r="AN3289" s="15" t="s">
        <v>4194</v>
      </c>
    </row>
    <row r="3290" spans="1:40" x14ac:dyDescent="0.3">
      <c r="A3290" s="10" t="str">
        <f>HYPERLINK("http://www.washoecounty.gov/assessor/cama/?parid=055-421-01&amp;CardNumber=1","055-421-01")</f>
        <v>055-421-01</v>
      </c>
      <c r="B3290" t="s">
        <v>4655</v>
      </c>
      <c r="C3290" t="s">
        <v>18689</v>
      </c>
      <c r="D3290" s="1">
        <v>40259</v>
      </c>
      <c r="E3290" s="2">
        <v>102500</v>
      </c>
      <c r="F3290" t="s">
        <v>4567</v>
      </c>
      <c r="G3290" s="17" t="str">
        <f>HYPERLINK("https://www.washoecounty.gov/assessor/cama/?command=sales&amp;parid=05542101","3862071")</f>
        <v>3862071</v>
      </c>
      <c r="H3290" t="s">
        <v>18690</v>
      </c>
      <c r="I3290">
        <v>0</v>
      </c>
      <c r="J3290">
        <v>0</v>
      </c>
      <c r="K3290" t="s">
        <v>4655</v>
      </c>
      <c r="L3290" t="s">
        <v>4655</v>
      </c>
      <c r="M3290" s="2">
        <v>0</v>
      </c>
      <c r="N3290" t="s">
        <v>4655</v>
      </c>
      <c r="O3290">
        <v>0</v>
      </c>
      <c r="P3290">
        <v>0</v>
      </c>
      <c r="Q3290">
        <v>0</v>
      </c>
      <c r="R3290" t="s">
        <v>4655</v>
      </c>
      <c r="S3290" t="s">
        <v>4655</v>
      </c>
      <c r="T3290" t="s">
        <v>4655</v>
      </c>
      <c r="U3290" t="s">
        <v>4655</v>
      </c>
      <c r="V3290" s="2">
        <v>0</v>
      </c>
      <c r="W3290" t="s">
        <v>4655</v>
      </c>
      <c r="X3290" s="2">
        <v>0</v>
      </c>
      <c r="Y3290">
        <v>12</v>
      </c>
      <c r="Z3290" t="s">
        <v>1376</v>
      </c>
      <c r="AA3290" s="3">
        <v>1.2730027437210001</v>
      </c>
      <c r="AB3290" t="s">
        <v>18691</v>
      </c>
      <c r="AC3290" t="s">
        <v>4575</v>
      </c>
      <c r="AD3290" t="s">
        <v>18692</v>
      </c>
      <c r="AE3290" t="s">
        <v>4655</v>
      </c>
      <c r="AF3290" t="s">
        <v>1407</v>
      </c>
      <c r="AG3290" t="s">
        <v>4564</v>
      </c>
      <c r="AH3290">
        <v>89704</v>
      </c>
      <c r="AI3290" t="s">
        <v>18693</v>
      </c>
      <c r="AJ3290" t="s">
        <v>4193</v>
      </c>
      <c r="AK3290" t="s">
        <v>18694</v>
      </c>
      <c r="AL3290" s="13" t="s">
        <v>1892</v>
      </c>
      <c r="AM3290">
        <v>0</v>
      </c>
      <c r="AN3290" s="15" t="s">
        <v>4194</v>
      </c>
    </row>
    <row r="3291" spans="1:40" x14ac:dyDescent="0.3">
      <c r="A3291" s="10" t="str">
        <f>HYPERLINK("http://www.washoecounty.gov/assessor/cama/?parid=061-130-12&amp;CardNumber=1","061-130-12")</f>
        <v>061-130-12</v>
      </c>
      <c r="B3291" t="s">
        <v>4655</v>
      </c>
      <c r="C3291" t="s">
        <v>318</v>
      </c>
      <c r="D3291" s="1">
        <v>40408</v>
      </c>
      <c r="E3291" s="2">
        <v>32000</v>
      </c>
      <c r="F3291" t="s">
        <v>3259</v>
      </c>
      <c r="G3291" s="17" t="str">
        <f>HYPERLINK("https://www.washoecounty.gov/assessor/cama/?command=sales&amp;parid=06113012","3913375")</f>
        <v>3913375</v>
      </c>
      <c r="H3291" t="s">
        <v>18695</v>
      </c>
      <c r="I3291">
        <v>0</v>
      </c>
      <c r="J3291">
        <v>0</v>
      </c>
      <c r="K3291" t="s">
        <v>4655</v>
      </c>
      <c r="L3291" t="s">
        <v>4655</v>
      </c>
      <c r="M3291" s="2">
        <v>0</v>
      </c>
      <c r="N3291" t="s">
        <v>4655</v>
      </c>
      <c r="O3291">
        <v>0</v>
      </c>
      <c r="P3291">
        <v>0</v>
      </c>
      <c r="Q3291">
        <v>0</v>
      </c>
      <c r="R3291" t="s">
        <v>4655</v>
      </c>
      <c r="S3291" t="s">
        <v>4655</v>
      </c>
      <c r="T3291" t="s">
        <v>4655</v>
      </c>
      <c r="U3291" t="s">
        <v>4655</v>
      </c>
      <c r="V3291" s="2">
        <v>0</v>
      </c>
      <c r="W3291" t="s">
        <v>4655</v>
      </c>
      <c r="X3291" s="2">
        <v>0</v>
      </c>
      <c r="Y3291">
        <v>12</v>
      </c>
      <c r="Z3291" t="s">
        <v>3668</v>
      </c>
      <c r="AA3291" s="3">
        <v>320</v>
      </c>
      <c r="AB3291" t="s">
        <v>18696</v>
      </c>
      <c r="AC3291" t="s">
        <v>4575</v>
      </c>
      <c r="AD3291" t="s">
        <v>18697</v>
      </c>
      <c r="AE3291" t="s">
        <v>4655</v>
      </c>
      <c r="AF3291" t="s">
        <v>4563</v>
      </c>
      <c r="AG3291" t="s">
        <v>4564</v>
      </c>
      <c r="AH3291">
        <v>89509</v>
      </c>
      <c r="AI3291" t="s">
        <v>18698</v>
      </c>
      <c r="AJ3291" t="s">
        <v>4655</v>
      </c>
      <c r="AK3291" t="s">
        <v>18699</v>
      </c>
      <c r="AL3291" s="13" t="s">
        <v>1891</v>
      </c>
      <c r="AM3291" s="14">
        <v>0</v>
      </c>
      <c r="AN3291" s="15" t="s">
        <v>2068</v>
      </c>
    </row>
    <row r="3292" spans="1:40" x14ac:dyDescent="0.3">
      <c r="A3292" s="10" t="str">
        <f>HYPERLINK("http://www.washoecounty.gov/assessor/cama/?parid=061-230-17&amp;CardNumber=1","061-230-17")</f>
        <v>061-230-17</v>
      </c>
      <c r="B3292" t="s">
        <v>4655</v>
      </c>
      <c r="C3292" t="s">
        <v>318</v>
      </c>
      <c r="D3292" s="1">
        <v>40354</v>
      </c>
      <c r="E3292" s="2">
        <v>13000</v>
      </c>
      <c r="F3292" t="s">
        <v>3259</v>
      </c>
      <c r="G3292" s="17" t="str">
        <f>HYPERLINK("https://www.washoecounty.gov/assessor/cama/?command=sales&amp;parid=06123017","3895264")</f>
        <v>3895264</v>
      </c>
      <c r="H3292" t="s">
        <v>4655</v>
      </c>
      <c r="I3292">
        <v>0</v>
      </c>
      <c r="J3292">
        <v>0</v>
      </c>
      <c r="K3292" t="s">
        <v>4655</v>
      </c>
      <c r="L3292" t="s">
        <v>4655</v>
      </c>
      <c r="M3292" s="2">
        <v>0</v>
      </c>
      <c r="N3292" t="s">
        <v>4655</v>
      </c>
      <c r="O3292">
        <v>0</v>
      </c>
      <c r="P3292">
        <v>0</v>
      </c>
      <c r="Q3292">
        <v>0</v>
      </c>
      <c r="R3292" t="s">
        <v>4655</v>
      </c>
      <c r="S3292" t="s">
        <v>4655</v>
      </c>
      <c r="T3292" t="s">
        <v>4655</v>
      </c>
      <c r="U3292" t="s">
        <v>4655</v>
      </c>
      <c r="V3292" s="2">
        <v>0</v>
      </c>
      <c r="W3292" t="s">
        <v>4655</v>
      </c>
      <c r="X3292" s="2">
        <v>0</v>
      </c>
      <c r="Y3292">
        <v>12</v>
      </c>
      <c r="Z3292" t="s">
        <v>3668</v>
      </c>
      <c r="AA3292" s="3">
        <v>160</v>
      </c>
      <c r="AB3292" t="s">
        <v>18700</v>
      </c>
      <c r="AC3292" t="s">
        <v>4562</v>
      </c>
      <c r="AD3292" t="s">
        <v>18701</v>
      </c>
      <c r="AE3292" t="s">
        <v>4655</v>
      </c>
      <c r="AF3292" t="s">
        <v>18702</v>
      </c>
      <c r="AG3292" t="s">
        <v>1542</v>
      </c>
      <c r="AH3292">
        <v>21804</v>
      </c>
      <c r="AI3292" t="s">
        <v>18703</v>
      </c>
      <c r="AJ3292" t="s">
        <v>4655</v>
      </c>
      <c r="AK3292" t="s">
        <v>2067</v>
      </c>
      <c r="AL3292" s="13" t="s">
        <v>1891</v>
      </c>
      <c r="AM3292">
        <v>0</v>
      </c>
      <c r="AN3292" s="15" t="s">
        <v>2068</v>
      </c>
    </row>
    <row r="3293" spans="1:40" x14ac:dyDescent="0.3">
      <c r="A3293" s="10" t="str">
        <f>HYPERLINK("http://www.washoecounty.gov/assessor/cama/?parid=061-270-15&amp;CardNumber=1","061-270-15")</f>
        <v>061-270-15</v>
      </c>
      <c r="B3293" t="s">
        <v>4655</v>
      </c>
      <c r="C3293" t="s">
        <v>318</v>
      </c>
      <c r="D3293" s="1">
        <v>40413</v>
      </c>
      <c r="E3293" s="2">
        <v>7000</v>
      </c>
      <c r="F3293" t="s">
        <v>3259</v>
      </c>
      <c r="G3293" s="17" t="str">
        <f>HYPERLINK("https://www.washoecounty.gov/assessor/cama/?command=sales&amp;parid=06127015","3914426")</f>
        <v>3914426</v>
      </c>
      <c r="H3293" t="s">
        <v>4655</v>
      </c>
      <c r="I3293">
        <v>0</v>
      </c>
      <c r="J3293">
        <v>0</v>
      </c>
      <c r="K3293" t="s">
        <v>4655</v>
      </c>
      <c r="L3293" t="s">
        <v>4655</v>
      </c>
      <c r="M3293" s="2">
        <v>0</v>
      </c>
      <c r="N3293" t="s">
        <v>4655</v>
      </c>
      <c r="O3293">
        <v>0</v>
      </c>
      <c r="P3293">
        <v>0</v>
      </c>
      <c r="Q3293">
        <v>0</v>
      </c>
      <c r="R3293" t="s">
        <v>4655</v>
      </c>
      <c r="S3293" t="s">
        <v>4655</v>
      </c>
      <c r="T3293" t="s">
        <v>4655</v>
      </c>
      <c r="U3293" t="s">
        <v>4655</v>
      </c>
      <c r="V3293" s="2">
        <v>0</v>
      </c>
      <c r="W3293" t="s">
        <v>4655</v>
      </c>
      <c r="X3293" s="2">
        <v>0</v>
      </c>
      <c r="Y3293">
        <v>12</v>
      </c>
      <c r="Z3293" t="s">
        <v>3668</v>
      </c>
      <c r="AA3293" s="3">
        <v>40</v>
      </c>
      <c r="AB3293" t="s">
        <v>18704</v>
      </c>
      <c r="AC3293" t="s">
        <v>4562</v>
      </c>
      <c r="AD3293" t="s">
        <v>18705</v>
      </c>
      <c r="AE3293" t="s">
        <v>18706</v>
      </c>
      <c r="AF3293" t="s">
        <v>18707</v>
      </c>
      <c r="AG3293" t="s">
        <v>4655</v>
      </c>
      <c r="AH3293" t="s">
        <v>4655</v>
      </c>
      <c r="AI3293" t="s">
        <v>18708</v>
      </c>
      <c r="AJ3293" t="s">
        <v>18709</v>
      </c>
      <c r="AK3293" t="s">
        <v>18710</v>
      </c>
      <c r="AL3293" s="13" t="s">
        <v>1891</v>
      </c>
      <c r="AM3293">
        <v>0</v>
      </c>
      <c r="AN3293" s="15" t="s">
        <v>2068</v>
      </c>
    </row>
    <row r="3294" spans="1:40" x14ac:dyDescent="0.3">
      <c r="A3294" s="10" t="str">
        <f>HYPERLINK("http://www.washoecounty.gov/assessor/cama/?parid=066-070-62&amp;CardNumber=1","066-070-62")</f>
        <v>066-070-62</v>
      </c>
      <c r="B3294" t="s">
        <v>4655</v>
      </c>
      <c r="C3294" t="s">
        <v>318</v>
      </c>
      <c r="D3294" s="1">
        <v>40295</v>
      </c>
      <c r="E3294" s="2">
        <v>5500</v>
      </c>
      <c r="F3294" t="s">
        <v>3259</v>
      </c>
      <c r="G3294" s="17" t="str">
        <f>HYPERLINK("https://www.washoecounty.gov/assessor/cama/?command=sales&amp;parid=06607062","3875084")</f>
        <v>3875084</v>
      </c>
      <c r="H3294" t="s">
        <v>4655</v>
      </c>
      <c r="I3294">
        <v>0</v>
      </c>
      <c r="J3294">
        <v>0</v>
      </c>
      <c r="K3294" t="s">
        <v>4655</v>
      </c>
      <c r="L3294" t="s">
        <v>4655</v>
      </c>
      <c r="M3294" s="2">
        <v>0</v>
      </c>
      <c r="N3294" t="s">
        <v>4655</v>
      </c>
      <c r="O3294">
        <v>0</v>
      </c>
      <c r="P3294">
        <v>0</v>
      </c>
      <c r="Q3294">
        <v>0</v>
      </c>
      <c r="R3294" t="s">
        <v>4655</v>
      </c>
      <c r="S3294" t="s">
        <v>4655</v>
      </c>
      <c r="T3294" t="s">
        <v>4655</v>
      </c>
      <c r="U3294" t="s">
        <v>4655</v>
      </c>
      <c r="V3294" s="2">
        <v>0</v>
      </c>
      <c r="W3294" t="s">
        <v>4655</v>
      </c>
      <c r="X3294" s="2">
        <v>0</v>
      </c>
      <c r="Y3294">
        <v>12</v>
      </c>
      <c r="Z3294" t="s">
        <v>3668</v>
      </c>
      <c r="AA3294" s="3">
        <v>20</v>
      </c>
      <c r="AB3294" t="s">
        <v>18711</v>
      </c>
      <c r="AC3294" t="s">
        <v>4575</v>
      </c>
      <c r="AD3294" t="s">
        <v>18712</v>
      </c>
      <c r="AE3294" t="s">
        <v>4655</v>
      </c>
      <c r="AF3294" t="s">
        <v>5201</v>
      </c>
      <c r="AG3294" t="s">
        <v>4564</v>
      </c>
      <c r="AH3294" t="s">
        <v>1605</v>
      </c>
      <c r="AI3294" t="s">
        <v>4655</v>
      </c>
      <c r="AJ3294" t="s">
        <v>4655</v>
      </c>
      <c r="AK3294" t="s">
        <v>18713</v>
      </c>
      <c r="AL3294" s="13" t="s">
        <v>1891</v>
      </c>
      <c r="AM3294">
        <v>0</v>
      </c>
      <c r="AN3294" s="15" t="s">
        <v>5084</v>
      </c>
    </row>
    <row r="3295" spans="1:40" x14ac:dyDescent="0.3">
      <c r="A3295" s="10" t="str">
        <f>HYPERLINK("http://www.washoecounty.gov/assessor/cama/?parid=066-190-06&amp;CardNumber=1","066-190-06")</f>
        <v>066-190-06</v>
      </c>
      <c r="B3295" t="s">
        <v>4655</v>
      </c>
      <c r="C3295" t="s">
        <v>318</v>
      </c>
      <c r="D3295" s="1">
        <v>40290</v>
      </c>
      <c r="E3295" s="2">
        <v>835000</v>
      </c>
      <c r="F3295" t="s">
        <v>3174</v>
      </c>
      <c r="G3295" s="17" t="str">
        <f>HYPERLINK("https://www.washoecounty.gov/assessor/cama/?command=sales&amp;parid=06619006","3873828")</f>
        <v>3873828</v>
      </c>
      <c r="H3295" t="s">
        <v>4655</v>
      </c>
      <c r="I3295">
        <v>0</v>
      </c>
      <c r="J3295">
        <v>0</v>
      </c>
      <c r="K3295" t="s">
        <v>4655</v>
      </c>
      <c r="L3295" t="s">
        <v>4655</v>
      </c>
      <c r="M3295" s="2">
        <v>0</v>
      </c>
      <c r="N3295" t="s">
        <v>4655</v>
      </c>
      <c r="O3295">
        <v>0</v>
      </c>
      <c r="P3295">
        <v>0</v>
      </c>
      <c r="Q3295">
        <v>0</v>
      </c>
      <c r="R3295" t="s">
        <v>4655</v>
      </c>
      <c r="S3295" t="s">
        <v>4655</v>
      </c>
      <c r="T3295" t="s">
        <v>4655</v>
      </c>
      <c r="U3295" t="s">
        <v>4655</v>
      </c>
      <c r="V3295" s="2">
        <v>0</v>
      </c>
      <c r="W3295" t="s">
        <v>4655</v>
      </c>
      <c r="X3295" s="2">
        <v>0</v>
      </c>
      <c r="Y3295" t="s">
        <v>2684</v>
      </c>
      <c r="Z3295" t="s">
        <v>3668</v>
      </c>
      <c r="AA3295" s="3">
        <v>40</v>
      </c>
      <c r="AB3295" t="s">
        <v>18714</v>
      </c>
      <c r="AC3295" t="s">
        <v>4562</v>
      </c>
      <c r="AD3295" t="s">
        <v>18715</v>
      </c>
      <c r="AE3295" t="s">
        <v>18716</v>
      </c>
      <c r="AF3295" t="s">
        <v>3815</v>
      </c>
      <c r="AG3295" t="s">
        <v>4564</v>
      </c>
      <c r="AH3295" t="s">
        <v>3816</v>
      </c>
      <c r="AI3295" t="s">
        <v>18717</v>
      </c>
      <c r="AJ3295" t="s">
        <v>4655</v>
      </c>
      <c r="AK3295" t="s">
        <v>18718</v>
      </c>
      <c r="AL3295" s="13" t="s">
        <v>1891</v>
      </c>
      <c r="AM3295">
        <v>0</v>
      </c>
      <c r="AN3295" s="15" t="s">
        <v>5084</v>
      </c>
    </row>
    <row r="3296" spans="1:40" x14ac:dyDescent="0.3">
      <c r="A3296" s="10" t="str">
        <f>HYPERLINK("http://www.washoecounty.gov/assessor/cama/?parid=066-190-07&amp;CardNumber=1","066-190-07")</f>
        <v>066-190-07</v>
      </c>
      <c r="B3296" t="s">
        <v>4655</v>
      </c>
      <c r="C3296" t="s">
        <v>318</v>
      </c>
      <c r="D3296" s="1">
        <v>40290</v>
      </c>
      <c r="E3296" s="2">
        <v>835000</v>
      </c>
      <c r="F3296" t="s">
        <v>3174</v>
      </c>
      <c r="G3296" s="17" t="str">
        <f>HYPERLINK("https://www.washoecounty.gov/assessor/cama/?command=sales&amp;parid=06619007","3873828")</f>
        <v>3873828</v>
      </c>
      <c r="H3296" t="s">
        <v>5399</v>
      </c>
      <c r="I3296">
        <v>0</v>
      </c>
      <c r="J3296">
        <v>0</v>
      </c>
      <c r="K3296" t="s">
        <v>4655</v>
      </c>
      <c r="L3296" t="s">
        <v>4655</v>
      </c>
      <c r="M3296" s="2">
        <v>0</v>
      </c>
      <c r="N3296" t="s">
        <v>4655</v>
      </c>
      <c r="O3296">
        <v>0</v>
      </c>
      <c r="P3296">
        <v>0</v>
      </c>
      <c r="Q3296">
        <v>0</v>
      </c>
      <c r="R3296" t="s">
        <v>4655</v>
      </c>
      <c r="S3296" t="s">
        <v>4655</v>
      </c>
      <c r="T3296" t="s">
        <v>4655</v>
      </c>
      <c r="U3296" t="s">
        <v>4655</v>
      </c>
      <c r="V3296" s="2">
        <v>0</v>
      </c>
      <c r="W3296" t="s">
        <v>4655</v>
      </c>
      <c r="X3296" s="2">
        <v>0</v>
      </c>
      <c r="Y3296" t="s">
        <v>2684</v>
      </c>
      <c r="Z3296" t="s">
        <v>3668</v>
      </c>
      <c r="AA3296" s="3">
        <v>160</v>
      </c>
      <c r="AB3296" t="s">
        <v>18714</v>
      </c>
      <c r="AC3296" t="s">
        <v>4562</v>
      </c>
      <c r="AD3296" t="s">
        <v>18715</v>
      </c>
      <c r="AE3296" t="s">
        <v>18716</v>
      </c>
      <c r="AF3296" t="s">
        <v>3815</v>
      </c>
      <c r="AG3296" t="s">
        <v>4564</v>
      </c>
      <c r="AH3296" t="s">
        <v>3816</v>
      </c>
      <c r="AI3296" t="s">
        <v>18717</v>
      </c>
      <c r="AJ3296" t="s">
        <v>4655</v>
      </c>
      <c r="AK3296" t="s">
        <v>18719</v>
      </c>
      <c r="AL3296" s="13" t="s">
        <v>1891</v>
      </c>
      <c r="AM3296" s="14">
        <v>0</v>
      </c>
      <c r="AN3296" s="15" t="s">
        <v>5084</v>
      </c>
    </row>
    <row r="3297" spans="1:40" x14ac:dyDescent="0.3">
      <c r="A3297" s="10" t="str">
        <f>HYPERLINK("http://www.washoecounty.gov/assessor/cama/?parid=066-280-03&amp;CardNumber=1","066-280-03")</f>
        <v>066-280-03</v>
      </c>
      <c r="B3297" t="s">
        <v>4655</v>
      </c>
      <c r="C3297" t="s">
        <v>18720</v>
      </c>
      <c r="D3297" s="1">
        <v>40280</v>
      </c>
      <c r="E3297" s="2">
        <v>215000</v>
      </c>
      <c r="F3297" t="s">
        <v>4567</v>
      </c>
      <c r="G3297" s="17" t="str">
        <f>HYPERLINK("https://www.washoecounty.gov/assessor/cama/?command=sales&amp;parid=06628003","3869900")</f>
        <v>3869900</v>
      </c>
      <c r="H3297" t="s">
        <v>18721</v>
      </c>
      <c r="I3297">
        <v>1940</v>
      </c>
      <c r="J3297">
        <v>1940</v>
      </c>
      <c r="K3297" t="s">
        <v>4554</v>
      </c>
      <c r="L3297" t="s">
        <v>4555</v>
      </c>
      <c r="M3297" s="2">
        <v>917</v>
      </c>
      <c r="N3297" t="s">
        <v>4133</v>
      </c>
      <c r="O3297">
        <v>2</v>
      </c>
      <c r="P3297">
        <v>1</v>
      </c>
      <c r="Q3297">
        <v>0</v>
      </c>
      <c r="R3297" t="s">
        <v>4557</v>
      </c>
      <c r="S3297" t="s">
        <v>1927</v>
      </c>
      <c r="T3297" t="s">
        <v>4559</v>
      </c>
      <c r="U3297" t="s">
        <v>4655</v>
      </c>
      <c r="V3297" s="2">
        <v>0</v>
      </c>
      <c r="W3297" t="s">
        <v>4655</v>
      </c>
      <c r="X3297" s="2">
        <v>0</v>
      </c>
      <c r="Y3297">
        <v>20</v>
      </c>
      <c r="Z3297" t="s">
        <v>3668</v>
      </c>
      <c r="AA3297" s="3">
        <v>239.39799499511699</v>
      </c>
      <c r="AB3297" t="s">
        <v>18722</v>
      </c>
      <c r="AC3297" t="s">
        <v>4562</v>
      </c>
      <c r="AD3297" t="s">
        <v>18723</v>
      </c>
      <c r="AE3297" t="s">
        <v>4655</v>
      </c>
      <c r="AF3297" t="s">
        <v>3403</v>
      </c>
      <c r="AG3297" t="s">
        <v>4584</v>
      </c>
      <c r="AH3297">
        <v>96104</v>
      </c>
      <c r="AI3297" t="s">
        <v>18724</v>
      </c>
      <c r="AJ3297" t="s">
        <v>18725</v>
      </c>
      <c r="AK3297" t="s">
        <v>18726</v>
      </c>
      <c r="AL3297" s="13" t="s">
        <v>1891</v>
      </c>
      <c r="AM3297">
        <v>1</v>
      </c>
      <c r="AN3297" s="15" t="s">
        <v>5084</v>
      </c>
    </row>
    <row r="3298" spans="1:40" x14ac:dyDescent="0.3">
      <c r="A3298" s="10" t="str">
        <f>HYPERLINK("http://www.washoecounty.gov/assessor/cama/?parid=071-170-12&amp;CardNumber=1","071-170-12")</f>
        <v>071-170-12</v>
      </c>
      <c r="B3298" t="s">
        <v>4655</v>
      </c>
      <c r="C3298" t="s">
        <v>318</v>
      </c>
      <c r="D3298" s="1">
        <v>40290</v>
      </c>
      <c r="E3298" s="2">
        <v>835000</v>
      </c>
      <c r="F3298" t="s">
        <v>3174</v>
      </c>
      <c r="G3298" s="17" t="str">
        <f>HYPERLINK("https://www.washoecounty.gov/assessor/cama/?command=sales&amp;parid=07117012","3873828")</f>
        <v>3873828</v>
      </c>
      <c r="H3298" t="s">
        <v>18727</v>
      </c>
      <c r="I3298">
        <v>0</v>
      </c>
      <c r="J3298">
        <v>0</v>
      </c>
      <c r="K3298" t="s">
        <v>4655</v>
      </c>
      <c r="L3298" t="s">
        <v>4655</v>
      </c>
      <c r="M3298" s="2">
        <v>0</v>
      </c>
      <c r="N3298" t="s">
        <v>4655</v>
      </c>
      <c r="O3298">
        <v>0</v>
      </c>
      <c r="P3298">
        <v>0</v>
      </c>
      <c r="Q3298">
        <v>0</v>
      </c>
      <c r="R3298" t="s">
        <v>4655</v>
      </c>
      <c r="S3298" t="s">
        <v>4655</v>
      </c>
      <c r="T3298" t="s">
        <v>4655</v>
      </c>
      <c r="U3298" t="s">
        <v>4655</v>
      </c>
      <c r="V3298" s="2">
        <v>0</v>
      </c>
      <c r="W3298" t="s">
        <v>4655</v>
      </c>
      <c r="X3298" s="2">
        <v>0</v>
      </c>
      <c r="Y3298" t="s">
        <v>2684</v>
      </c>
      <c r="Z3298" t="s">
        <v>3668</v>
      </c>
      <c r="AA3298" s="3">
        <v>40</v>
      </c>
      <c r="AB3298" t="s">
        <v>18714</v>
      </c>
      <c r="AC3298" t="s">
        <v>4562</v>
      </c>
      <c r="AD3298" t="s">
        <v>18715</v>
      </c>
      <c r="AE3298" t="s">
        <v>18716</v>
      </c>
      <c r="AF3298" t="s">
        <v>3815</v>
      </c>
      <c r="AG3298" t="s">
        <v>4564</v>
      </c>
      <c r="AH3298" t="s">
        <v>3816</v>
      </c>
      <c r="AI3298" t="s">
        <v>18728</v>
      </c>
      <c r="AJ3298" t="s">
        <v>4655</v>
      </c>
      <c r="AK3298" t="s">
        <v>18729</v>
      </c>
      <c r="AL3298" s="13" t="s">
        <v>1891</v>
      </c>
      <c r="AM3298">
        <v>0</v>
      </c>
      <c r="AN3298" s="15" t="s">
        <v>2</v>
      </c>
    </row>
    <row r="3299" spans="1:40" x14ac:dyDescent="0.3">
      <c r="A3299" s="10" t="str">
        <f>HYPERLINK("http://www.washoecounty.gov/assessor/cama/?parid=071-170-14&amp;CardNumber=1","071-170-14")</f>
        <v>071-170-14</v>
      </c>
      <c r="B3299" t="s">
        <v>4655</v>
      </c>
      <c r="C3299" t="s">
        <v>318</v>
      </c>
      <c r="D3299" s="1">
        <v>40290</v>
      </c>
      <c r="E3299" s="2">
        <v>835000</v>
      </c>
      <c r="F3299" t="s">
        <v>3174</v>
      </c>
      <c r="G3299" s="17" t="str">
        <f>HYPERLINK("https://www.washoecounty.gov/assessor/cama/?command=sales&amp;parid=07117014","3873828")</f>
        <v>3873828</v>
      </c>
      <c r="H3299" t="s">
        <v>18730</v>
      </c>
      <c r="I3299">
        <v>0</v>
      </c>
      <c r="J3299">
        <v>0</v>
      </c>
      <c r="K3299" t="s">
        <v>4655</v>
      </c>
      <c r="L3299" t="s">
        <v>4655</v>
      </c>
      <c r="M3299" s="2">
        <v>0</v>
      </c>
      <c r="N3299" t="s">
        <v>4655</v>
      </c>
      <c r="O3299">
        <v>0</v>
      </c>
      <c r="P3299">
        <v>0</v>
      </c>
      <c r="Q3299">
        <v>0</v>
      </c>
      <c r="R3299" t="s">
        <v>4655</v>
      </c>
      <c r="S3299" t="s">
        <v>4655</v>
      </c>
      <c r="T3299" t="s">
        <v>4655</v>
      </c>
      <c r="U3299" t="s">
        <v>4655</v>
      </c>
      <c r="V3299" s="2">
        <v>0</v>
      </c>
      <c r="W3299" t="s">
        <v>4655</v>
      </c>
      <c r="X3299" s="2">
        <v>0</v>
      </c>
      <c r="Y3299" t="s">
        <v>2684</v>
      </c>
      <c r="Z3299" t="s">
        <v>3668</v>
      </c>
      <c r="AA3299" s="3">
        <v>40</v>
      </c>
      <c r="AB3299" t="s">
        <v>18714</v>
      </c>
      <c r="AC3299" t="s">
        <v>4562</v>
      </c>
      <c r="AD3299" t="s">
        <v>18715</v>
      </c>
      <c r="AE3299" t="s">
        <v>18716</v>
      </c>
      <c r="AF3299" t="s">
        <v>3815</v>
      </c>
      <c r="AG3299" t="s">
        <v>4564</v>
      </c>
      <c r="AH3299" t="s">
        <v>3816</v>
      </c>
      <c r="AI3299" t="s">
        <v>18728</v>
      </c>
      <c r="AJ3299" t="s">
        <v>4655</v>
      </c>
      <c r="AK3299" t="s">
        <v>18731</v>
      </c>
      <c r="AL3299" s="13" t="s">
        <v>1891</v>
      </c>
      <c r="AM3299">
        <v>0</v>
      </c>
      <c r="AN3299" s="15" t="s">
        <v>2</v>
      </c>
    </row>
    <row r="3300" spans="1:40" x14ac:dyDescent="0.3">
      <c r="A3300" s="10" t="str">
        <f>HYPERLINK("http://www.washoecounty.gov/assessor/cama/?parid=071-170-15&amp;CardNumber=1","071-170-15")</f>
        <v>071-170-15</v>
      </c>
      <c r="B3300" t="s">
        <v>4655</v>
      </c>
      <c r="C3300" t="s">
        <v>318</v>
      </c>
      <c r="D3300" s="1">
        <v>40290</v>
      </c>
      <c r="E3300" s="2">
        <v>835000</v>
      </c>
      <c r="F3300" t="s">
        <v>3174</v>
      </c>
      <c r="G3300" s="17" t="str">
        <f>HYPERLINK("https://www.washoecounty.gov/assessor/cama/?command=sales&amp;parid=07117015","3873828")</f>
        <v>3873828</v>
      </c>
      <c r="H3300" t="s">
        <v>18732</v>
      </c>
      <c r="I3300">
        <v>0</v>
      </c>
      <c r="J3300">
        <v>0</v>
      </c>
      <c r="K3300" t="s">
        <v>4655</v>
      </c>
      <c r="L3300" t="s">
        <v>4655</v>
      </c>
      <c r="M3300" s="2">
        <v>0</v>
      </c>
      <c r="N3300" t="s">
        <v>4655</v>
      </c>
      <c r="O3300">
        <v>0</v>
      </c>
      <c r="P3300">
        <v>0</v>
      </c>
      <c r="Q3300">
        <v>0</v>
      </c>
      <c r="R3300" t="s">
        <v>4655</v>
      </c>
      <c r="S3300" t="s">
        <v>4655</v>
      </c>
      <c r="T3300" t="s">
        <v>4655</v>
      </c>
      <c r="U3300" t="s">
        <v>4655</v>
      </c>
      <c r="V3300" s="2">
        <v>0</v>
      </c>
      <c r="W3300" t="s">
        <v>4655</v>
      </c>
      <c r="X3300" s="2">
        <v>0</v>
      </c>
      <c r="Y3300" t="s">
        <v>2684</v>
      </c>
      <c r="Z3300" t="s">
        <v>3668</v>
      </c>
      <c r="AA3300" s="3">
        <v>120</v>
      </c>
      <c r="AB3300" t="s">
        <v>18714</v>
      </c>
      <c r="AC3300" t="s">
        <v>4562</v>
      </c>
      <c r="AD3300" t="s">
        <v>18715</v>
      </c>
      <c r="AE3300" t="s">
        <v>18716</v>
      </c>
      <c r="AF3300" t="s">
        <v>3815</v>
      </c>
      <c r="AG3300" t="s">
        <v>4564</v>
      </c>
      <c r="AH3300" t="s">
        <v>3816</v>
      </c>
      <c r="AI3300" t="s">
        <v>18728</v>
      </c>
      <c r="AJ3300" t="s">
        <v>4655</v>
      </c>
      <c r="AK3300" t="s">
        <v>18733</v>
      </c>
      <c r="AL3300" s="13" t="s">
        <v>1891</v>
      </c>
      <c r="AM3300">
        <v>0</v>
      </c>
      <c r="AN3300" s="15" t="s">
        <v>2</v>
      </c>
    </row>
    <row r="3301" spans="1:40" x14ac:dyDescent="0.3">
      <c r="A3301" s="10" t="str">
        <f>HYPERLINK("http://www.washoecounty.gov/assessor/cama/?parid=071-170-16&amp;CardNumber=1","071-170-16")</f>
        <v>071-170-16</v>
      </c>
      <c r="B3301" t="s">
        <v>4655</v>
      </c>
      <c r="C3301" t="s">
        <v>318</v>
      </c>
      <c r="D3301" s="1">
        <v>40290</v>
      </c>
      <c r="E3301" s="2">
        <v>835000</v>
      </c>
      <c r="F3301" t="s">
        <v>3174</v>
      </c>
      <c r="G3301" s="17" t="str">
        <f>HYPERLINK("https://www.washoecounty.gov/assessor/cama/?command=sales&amp;parid=07117016","3873828")</f>
        <v>3873828</v>
      </c>
      <c r="H3301" t="s">
        <v>18727</v>
      </c>
      <c r="I3301">
        <v>0</v>
      </c>
      <c r="J3301">
        <v>0</v>
      </c>
      <c r="K3301" t="s">
        <v>4655</v>
      </c>
      <c r="L3301" t="s">
        <v>4655</v>
      </c>
      <c r="M3301" s="2">
        <v>0</v>
      </c>
      <c r="N3301" t="s">
        <v>4655</v>
      </c>
      <c r="O3301">
        <v>0</v>
      </c>
      <c r="P3301">
        <v>0</v>
      </c>
      <c r="Q3301">
        <v>0</v>
      </c>
      <c r="R3301" t="s">
        <v>4655</v>
      </c>
      <c r="S3301" t="s">
        <v>4655</v>
      </c>
      <c r="T3301" t="s">
        <v>4655</v>
      </c>
      <c r="U3301" t="s">
        <v>4655</v>
      </c>
      <c r="V3301" s="2">
        <v>0</v>
      </c>
      <c r="W3301" t="s">
        <v>4655</v>
      </c>
      <c r="X3301" s="2">
        <v>0</v>
      </c>
      <c r="Y3301" t="s">
        <v>2684</v>
      </c>
      <c r="Z3301" t="s">
        <v>3668</v>
      </c>
      <c r="AA3301" s="3">
        <v>40</v>
      </c>
      <c r="AB3301" t="s">
        <v>18714</v>
      </c>
      <c r="AC3301" t="s">
        <v>4562</v>
      </c>
      <c r="AD3301" t="s">
        <v>18715</v>
      </c>
      <c r="AE3301" t="s">
        <v>18716</v>
      </c>
      <c r="AF3301" t="s">
        <v>3815</v>
      </c>
      <c r="AG3301" t="s">
        <v>4564</v>
      </c>
      <c r="AH3301" t="s">
        <v>3816</v>
      </c>
      <c r="AI3301" t="s">
        <v>18728</v>
      </c>
      <c r="AJ3301" t="s">
        <v>4655</v>
      </c>
      <c r="AK3301" t="s">
        <v>18734</v>
      </c>
      <c r="AL3301" s="13" t="s">
        <v>1891</v>
      </c>
      <c r="AM3301">
        <v>0</v>
      </c>
      <c r="AN3301" s="15" t="s">
        <v>2</v>
      </c>
    </row>
    <row r="3302" spans="1:40" x14ac:dyDescent="0.3">
      <c r="A3302" s="10" t="str">
        <f>HYPERLINK("http://www.washoecounty.gov/assessor/cama/?parid=071-170-22&amp;CardNumber=1","071-170-22")</f>
        <v>071-170-22</v>
      </c>
      <c r="B3302" t="s">
        <v>4655</v>
      </c>
      <c r="C3302" t="s">
        <v>318</v>
      </c>
      <c r="D3302" s="1">
        <v>40290</v>
      </c>
      <c r="E3302" s="2">
        <v>835000</v>
      </c>
      <c r="F3302" t="s">
        <v>3174</v>
      </c>
      <c r="G3302" s="17" t="str">
        <f>HYPERLINK("https://www.washoecounty.gov/assessor/cama/?command=sales&amp;parid=07117022","3873828")</f>
        <v>3873828</v>
      </c>
      <c r="H3302" t="s">
        <v>18735</v>
      </c>
      <c r="I3302">
        <v>0</v>
      </c>
      <c r="J3302">
        <v>0</v>
      </c>
      <c r="K3302" t="s">
        <v>4655</v>
      </c>
      <c r="L3302" t="s">
        <v>4655</v>
      </c>
      <c r="M3302" s="2">
        <v>0</v>
      </c>
      <c r="N3302" t="s">
        <v>4655</v>
      </c>
      <c r="O3302">
        <v>0</v>
      </c>
      <c r="P3302">
        <v>0</v>
      </c>
      <c r="Q3302">
        <v>0</v>
      </c>
      <c r="R3302" t="s">
        <v>4655</v>
      </c>
      <c r="S3302" t="s">
        <v>4655</v>
      </c>
      <c r="T3302" t="s">
        <v>4655</v>
      </c>
      <c r="U3302" t="s">
        <v>4655</v>
      </c>
      <c r="V3302" s="2">
        <v>0</v>
      </c>
      <c r="W3302" t="s">
        <v>4655</v>
      </c>
      <c r="X3302" s="2">
        <v>0</v>
      </c>
      <c r="Y3302" t="s">
        <v>2684</v>
      </c>
      <c r="Z3302" t="s">
        <v>3668</v>
      </c>
      <c r="AA3302" s="3">
        <v>40</v>
      </c>
      <c r="AB3302" t="s">
        <v>18714</v>
      </c>
      <c r="AC3302" t="s">
        <v>4562</v>
      </c>
      <c r="AD3302" t="s">
        <v>18715</v>
      </c>
      <c r="AE3302" t="s">
        <v>18716</v>
      </c>
      <c r="AF3302" t="s">
        <v>3815</v>
      </c>
      <c r="AG3302" t="s">
        <v>4564</v>
      </c>
      <c r="AH3302" t="s">
        <v>3816</v>
      </c>
      <c r="AI3302" t="s">
        <v>18728</v>
      </c>
      <c r="AJ3302" t="s">
        <v>4655</v>
      </c>
      <c r="AK3302" t="s">
        <v>18736</v>
      </c>
      <c r="AL3302" s="13" t="s">
        <v>1891</v>
      </c>
      <c r="AM3302">
        <v>0</v>
      </c>
      <c r="AN3302" s="15" t="s">
        <v>2</v>
      </c>
    </row>
    <row r="3303" spans="1:40" x14ac:dyDescent="0.3">
      <c r="A3303" s="10" t="str">
        <f>HYPERLINK("http://www.washoecounty.gov/assessor/cama/?parid=071-200-05&amp;CardNumber=1","071-200-05")</f>
        <v>071-200-05</v>
      </c>
      <c r="B3303" t="s">
        <v>4655</v>
      </c>
      <c r="C3303" t="s">
        <v>318</v>
      </c>
      <c r="D3303" s="1">
        <v>40290</v>
      </c>
      <c r="E3303" s="2">
        <v>835000</v>
      </c>
      <c r="F3303" t="s">
        <v>3174</v>
      </c>
      <c r="G3303" s="17" t="str">
        <f>HYPERLINK("https://www.washoecounty.gov/assessor/cama/?command=sales&amp;parid=07120005","3873828")</f>
        <v>3873828</v>
      </c>
      <c r="H3303" t="s">
        <v>18737</v>
      </c>
      <c r="I3303">
        <v>0</v>
      </c>
      <c r="J3303">
        <v>0</v>
      </c>
      <c r="K3303" t="s">
        <v>4655</v>
      </c>
      <c r="L3303" t="s">
        <v>4655</v>
      </c>
      <c r="M3303" s="2">
        <v>0</v>
      </c>
      <c r="N3303" t="s">
        <v>4655</v>
      </c>
      <c r="O3303">
        <v>0</v>
      </c>
      <c r="P3303">
        <v>0</v>
      </c>
      <c r="Q3303">
        <v>0</v>
      </c>
      <c r="R3303" t="s">
        <v>4655</v>
      </c>
      <c r="S3303" t="s">
        <v>4655</v>
      </c>
      <c r="T3303" t="s">
        <v>4655</v>
      </c>
      <c r="U3303" t="s">
        <v>4655</v>
      </c>
      <c r="V3303" s="2">
        <v>0</v>
      </c>
      <c r="W3303" t="s">
        <v>4655</v>
      </c>
      <c r="X3303" s="2">
        <v>0</v>
      </c>
      <c r="Y3303" t="s">
        <v>2684</v>
      </c>
      <c r="Z3303" t="s">
        <v>3668</v>
      </c>
      <c r="AA3303" s="3">
        <v>40</v>
      </c>
      <c r="AB3303" t="s">
        <v>18714</v>
      </c>
      <c r="AC3303" t="s">
        <v>4562</v>
      </c>
      <c r="AD3303" t="s">
        <v>18715</v>
      </c>
      <c r="AE3303" t="s">
        <v>18716</v>
      </c>
      <c r="AF3303" t="s">
        <v>3815</v>
      </c>
      <c r="AG3303" t="s">
        <v>4564</v>
      </c>
      <c r="AH3303" t="s">
        <v>3816</v>
      </c>
      <c r="AI3303" t="s">
        <v>18728</v>
      </c>
      <c r="AJ3303" t="s">
        <v>4655</v>
      </c>
      <c r="AK3303" t="s">
        <v>18738</v>
      </c>
      <c r="AL3303" s="13" t="s">
        <v>1891</v>
      </c>
      <c r="AM3303">
        <v>0</v>
      </c>
      <c r="AN3303" s="15" t="s">
        <v>2</v>
      </c>
    </row>
    <row r="3304" spans="1:40" x14ac:dyDescent="0.3">
      <c r="A3304" s="10" t="str">
        <f>HYPERLINK("http://www.washoecounty.gov/assessor/cama/?parid=071-200-06&amp;CardNumber=1","071-200-06")</f>
        <v>071-200-06</v>
      </c>
      <c r="B3304" t="s">
        <v>4655</v>
      </c>
      <c r="C3304" t="s">
        <v>318</v>
      </c>
      <c r="D3304" s="1">
        <v>40290</v>
      </c>
      <c r="E3304" s="2">
        <v>835000</v>
      </c>
      <c r="F3304" t="s">
        <v>3174</v>
      </c>
      <c r="G3304" s="17" t="str">
        <f>HYPERLINK("https://www.washoecounty.gov/assessor/cama/?command=sales&amp;parid=07120006","3873828")</f>
        <v>3873828</v>
      </c>
      <c r="H3304" t="s">
        <v>18730</v>
      </c>
      <c r="I3304">
        <v>0</v>
      </c>
      <c r="J3304">
        <v>0</v>
      </c>
      <c r="K3304" t="s">
        <v>4655</v>
      </c>
      <c r="L3304" t="s">
        <v>4655</v>
      </c>
      <c r="M3304" s="2">
        <v>0</v>
      </c>
      <c r="N3304" t="s">
        <v>4655</v>
      </c>
      <c r="O3304">
        <v>0</v>
      </c>
      <c r="P3304">
        <v>0</v>
      </c>
      <c r="Q3304">
        <v>0</v>
      </c>
      <c r="R3304" t="s">
        <v>4655</v>
      </c>
      <c r="S3304" t="s">
        <v>4655</v>
      </c>
      <c r="T3304" t="s">
        <v>4655</v>
      </c>
      <c r="U3304" t="s">
        <v>4655</v>
      </c>
      <c r="V3304" s="2">
        <v>0</v>
      </c>
      <c r="W3304" t="s">
        <v>4655</v>
      </c>
      <c r="X3304" s="2">
        <v>0</v>
      </c>
      <c r="Y3304" t="s">
        <v>2684</v>
      </c>
      <c r="Z3304" t="s">
        <v>3668</v>
      </c>
      <c r="AA3304" s="3">
        <v>40</v>
      </c>
      <c r="AB3304" t="s">
        <v>18714</v>
      </c>
      <c r="AC3304" t="s">
        <v>4562</v>
      </c>
      <c r="AD3304" t="s">
        <v>18715</v>
      </c>
      <c r="AE3304" t="s">
        <v>18716</v>
      </c>
      <c r="AF3304" t="s">
        <v>3815</v>
      </c>
      <c r="AG3304" t="s">
        <v>4564</v>
      </c>
      <c r="AH3304" t="s">
        <v>3816</v>
      </c>
      <c r="AI3304" t="s">
        <v>18728</v>
      </c>
      <c r="AJ3304" t="s">
        <v>4655</v>
      </c>
      <c r="AK3304" t="s">
        <v>18739</v>
      </c>
      <c r="AL3304" s="13" t="s">
        <v>1891</v>
      </c>
      <c r="AM3304" s="14">
        <v>0</v>
      </c>
      <c r="AN3304" s="15" t="s">
        <v>2</v>
      </c>
    </row>
    <row r="3305" spans="1:40" x14ac:dyDescent="0.3">
      <c r="A3305" s="10" t="str">
        <f>HYPERLINK("http://www.washoecounty.gov/assessor/cama/?parid=071-200-08&amp;CardNumber=1","071-200-08")</f>
        <v>071-200-08</v>
      </c>
      <c r="B3305" t="s">
        <v>4655</v>
      </c>
      <c r="C3305" t="s">
        <v>318</v>
      </c>
      <c r="D3305" s="1">
        <v>40290</v>
      </c>
      <c r="E3305" s="2">
        <v>835000</v>
      </c>
      <c r="F3305" t="s">
        <v>3174</v>
      </c>
      <c r="G3305" s="17" t="str">
        <f>HYPERLINK("https://www.washoecounty.gov/assessor/cama/?command=sales&amp;parid=07120008","3873828")</f>
        <v>3873828</v>
      </c>
      <c r="H3305" t="s">
        <v>18740</v>
      </c>
      <c r="I3305">
        <v>0</v>
      </c>
      <c r="J3305">
        <v>0</v>
      </c>
      <c r="K3305" t="s">
        <v>4655</v>
      </c>
      <c r="L3305" t="s">
        <v>4655</v>
      </c>
      <c r="M3305" s="2">
        <v>0</v>
      </c>
      <c r="N3305" t="s">
        <v>4655</v>
      </c>
      <c r="O3305">
        <v>0</v>
      </c>
      <c r="P3305">
        <v>0</v>
      </c>
      <c r="Q3305">
        <v>0</v>
      </c>
      <c r="R3305" t="s">
        <v>4655</v>
      </c>
      <c r="S3305" t="s">
        <v>4655</v>
      </c>
      <c r="T3305" t="s">
        <v>4655</v>
      </c>
      <c r="U3305" t="s">
        <v>4655</v>
      </c>
      <c r="V3305" s="2">
        <v>0</v>
      </c>
      <c r="W3305" t="s">
        <v>4655</v>
      </c>
      <c r="X3305" s="2">
        <v>0</v>
      </c>
      <c r="Y3305" t="s">
        <v>2684</v>
      </c>
      <c r="Z3305" t="s">
        <v>3668</v>
      </c>
      <c r="AA3305" s="3">
        <v>51.400001525878899</v>
      </c>
      <c r="AB3305" t="s">
        <v>18714</v>
      </c>
      <c r="AC3305" t="s">
        <v>4562</v>
      </c>
      <c r="AD3305" t="s">
        <v>18715</v>
      </c>
      <c r="AE3305" t="s">
        <v>18716</v>
      </c>
      <c r="AF3305" t="s">
        <v>3815</v>
      </c>
      <c r="AG3305" t="s">
        <v>4564</v>
      </c>
      <c r="AH3305" t="s">
        <v>3816</v>
      </c>
      <c r="AI3305" t="s">
        <v>18728</v>
      </c>
      <c r="AJ3305" t="s">
        <v>4655</v>
      </c>
      <c r="AK3305" t="s">
        <v>18741</v>
      </c>
      <c r="AL3305" s="13" t="s">
        <v>1891</v>
      </c>
      <c r="AM3305">
        <v>0</v>
      </c>
      <c r="AN3305" s="15" t="s">
        <v>2</v>
      </c>
    </row>
    <row r="3306" spans="1:40" x14ac:dyDescent="0.3">
      <c r="A3306" s="10" t="str">
        <f>HYPERLINK("http://www.washoecounty.gov/assessor/cama/?parid=071-200-10&amp;CardNumber=1","071-200-10")</f>
        <v>071-200-10</v>
      </c>
      <c r="B3306" t="s">
        <v>4655</v>
      </c>
      <c r="C3306" t="s">
        <v>318</v>
      </c>
      <c r="D3306" s="1">
        <v>40290</v>
      </c>
      <c r="E3306" s="2">
        <v>835000</v>
      </c>
      <c r="F3306" t="s">
        <v>3174</v>
      </c>
      <c r="G3306" s="17" t="str">
        <f>HYPERLINK("https://www.washoecounty.gov/assessor/cama/?command=sales&amp;parid=07120010","3873828")</f>
        <v>3873828</v>
      </c>
      <c r="H3306" t="s">
        <v>18742</v>
      </c>
      <c r="I3306">
        <v>0</v>
      </c>
      <c r="J3306">
        <v>0</v>
      </c>
      <c r="K3306" t="s">
        <v>4655</v>
      </c>
      <c r="L3306" t="s">
        <v>4655</v>
      </c>
      <c r="M3306" s="2">
        <v>0</v>
      </c>
      <c r="N3306" t="s">
        <v>4655</v>
      </c>
      <c r="O3306">
        <v>0</v>
      </c>
      <c r="P3306">
        <v>0</v>
      </c>
      <c r="Q3306">
        <v>0</v>
      </c>
      <c r="R3306" t="s">
        <v>4655</v>
      </c>
      <c r="S3306" t="s">
        <v>4655</v>
      </c>
      <c r="T3306" t="s">
        <v>4655</v>
      </c>
      <c r="U3306" t="s">
        <v>4655</v>
      </c>
      <c r="V3306" s="2">
        <v>0</v>
      </c>
      <c r="W3306" t="s">
        <v>4655</v>
      </c>
      <c r="X3306" s="2">
        <v>0</v>
      </c>
      <c r="Y3306" t="s">
        <v>2684</v>
      </c>
      <c r="Z3306" t="s">
        <v>3668</v>
      </c>
      <c r="AA3306" s="3">
        <v>40</v>
      </c>
      <c r="AB3306" t="s">
        <v>18714</v>
      </c>
      <c r="AC3306" t="s">
        <v>4562</v>
      </c>
      <c r="AD3306" t="s">
        <v>18715</v>
      </c>
      <c r="AE3306" t="s">
        <v>18716</v>
      </c>
      <c r="AF3306" t="s">
        <v>3815</v>
      </c>
      <c r="AG3306" t="s">
        <v>4564</v>
      </c>
      <c r="AH3306" t="s">
        <v>3816</v>
      </c>
      <c r="AI3306" t="s">
        <v>18728</v>
      </c>
      <c r="AJ3306" t="s">
        <v>4655</v>
      </c>
      <c r="AK3306" t="s">
        <v>18743</v>
      </c>
      <c r="AL3306" s="13" t="s">
        <v>1891</v>
      </c>
      <c r="AM3306">
        <v>0</v>
      </c>
      <c r="AN3306" s="15" t="s">
        <v>2</v>
      </c>
    </row>
    <row r="3307" spans="1:40" x14ac:dyDescent="0.3">
      <c r="A3307" s="10" t="str">
        <f>HYPERLINK("http://www.washoecounty.gov/assessor/cama/?parid=071-273-08&amp;CardNumber=1","071-273-08")</f>
        <v>071-273-08</v>
      </c>
      <c r="B3307" t="s">
        <v>4655</v>
      </c>
      <c r="C3307" t="s">
        <v>18744</v>
      </c>
      <c r="D3307" s="1">
        <v>40451</v>
      </c>
      <c r="E3307" s="2">
        <v>20000</v>
      </c>
      <c r="F3307" t="s">
        <v>4567</v>
      </c>
      <c r="G3307" s="17" t="str">
        <f>HYPERLINK("https://www.washoecounty.gov/assessor/cama/?command=sales&amp;parid=07127308","3928014")</f>
        <v>3928014</v>
      </c>
      <c r="H3307" t="s">
        <v>3619</v>
      </c>
      <c r="I3307">
        <v>0</v>
      </c>
      <c r="J3307">
        <v>0</v>
      </c>
      <c r="K3307" t="s">
        <v>4655</v>
      </c>
      <c r="L3307" t="s">
        <v>4655</v>
      </c>
      <c r="M3307" s="2">
        <v>0</v>
      </c>
      <c r="N3307" t="s">
        <v>4655</v>
      </c>
      <c r="O3307">
        <v>0</v>
      </c>
      <c r="P3307">
        <v>0</v>
      </c>
      <c r="Q3307">
        <v>0</v>
      </c>
      <c r="R3307" t="s">
        <v>4655</v>
      </c>
      <c r="S3307" t="s">
        <v>4655</v>
      </c>
      <c r="T3307" t="s">
        <v>4655</v>
      </c>
      <c r="U3307" t="s">
        <v>4655</v>
      </c>
      <c r="V3307" s="2">
        <v>0</v>
      </c>
      <c r="W3307" t="s">
        <v>4655</v>
      </c>
      <c r="X3307" s="2">
        <v>0</v>
      </c>
      <c r="Y3307">
        <v>23</v>
      </c>
      <c r="Z3307" t="s">
        <v>1776</v>
      </c>
      <c r="AA3307" s="3">
        <v>0.23000459372997301</v>
      </c>
      <c r="AB3307" t="s">
        <v>18745</v>
      </c>
      <c r="AC3307" t="s">
        <v>4562</v>
      </c>
      <c r="AD3307" t="s">
        <v>18744</v>
      </c>
      <c r="AE3307" t="s">
        <v>4655</v>
      </c>
      <c r="AF3307" t="s">
        <v>18746</v>
      </c>
      <c r="AG3307" t="s">
        <v>4564</v>
      </c>
      <c r="AH3307">
        <v>89412</v>
      </c>
      <c r="AI3307" t="s">
        <v>18747</v>
      </c>
      <c r="AJ3307" t="s">
        <v>4655</v>
      </c>
      <c r="AK3307" t="s">
        <v>18748</v>
      </c>
      <c r="AL3307" s="13" t="s">
        <v>5091</v>
      </c>
      <c r="AM3307" s="14">
        <v>0</v>
      </c>
      <c r="AN3307" s="15" t="s">
        <v>3221</v>
      </c>
    </row>
    <row r="3308" spans="1:40" x14ac:dyDescent="0.3">
      <c r="A3308" s="10" t="str">
        <f>HYPERLINK("http://www.washoecounty.gov/assessor/cama/?parid=071-294-05&amp;CardNumber=1","071-294-05")</f>
        <v>071-294-05</v>
      </c>
      <c r="B3308" t="s">
        <v>4655</v>
      </c>
      <c r="C3308" t="s">
        <v>18749</v>
      </c>
      <c r="D3308" s="1">
        <v>40284</v>
      </c>
      <c r="E3308" s="2">
        <v>108000</v>
      </c>
      <c r="F3308" t="s">
        <v>4567</v>
      </c>
      <c r="G3308" s="17" t="str">
        <f>HYPERLINK("https://www.washoecounty.gov/assessor/cama/?command=sales&amp;parid=07129405","3871743")</f>
        <v>3871743</v>
      </c>
      <c r="H3308" t="s">
        <v>3619</v>
      </c>
      <c r="I3308">
        <v>1983</v>
      </c>
      <c r="J3308">
        <v>1983</v>
      </c>
      <c r="K3308" t="s">
        <v>4554</v>
      </c>
      <c r="L3308" t="s">
        <v>4555</v>
      </c>
      <c r="M3308" s="2">
        <v>1513</v>
      </c>
      <c r="N3308" t="s">
        <v>4556</v>
      </c>
      <c r="O3308">
        <v>2</v>
      </c>
      <c r="P3308">
        <v>2</v>
      </c>
      <c r="Q3308">
        <v>0</v>
      </c>
      <c r="R3308" t="s">
        <v>4557</v>
      </c>
      <c r="S3308" t="s">
        <v>3148</v>
      </c>
      <c r="T3308" t="s">
        <v>4559</v>
      </c>
      <c r="U3308" t="s">
        <v>4560</v>
      </c>
      <c r="V3308" s="2">
        <v>437</v>
      </c>
      <c r="W3308" t="s">
        <v>4655</v>
      </c>
      <c r="X3308" s="2">
        <v>0</v>
      </c>
      <c r="Y3308">
        <v>20</v>
      </c>
      <c r="Z3308" t="s">
        <v>5508</v>
      </c>
      <c r="AA3308" s="3">
        <v>0.36600092053413402</v>
      </c>
      <c r="AB3308" t="s">
        <v>18750</v>
      </c>
      <c r="AC3308" t="s">
        <v>4562</v>
      </c>
      <c r="AD3308" t="s">
        <v>18751</v>
      </c>
      <c r="AE3308" t="s">
        <v>4655</v>
      </c>
      <c r="AF3308" t="s">
        <v>3619</v>
      </c>
      <c r="AG3308" t="s">
        <v>4564</v>
      </c>
      <c r="AH3308">
        <v>89412</v>
      </c>
      <c r="AI3308" t="s">
        <v>18752</v>
      </c>
      <c r="AJ3308" t="s">
        <v>4655</v>
      </c>
      <c r="AK3308" t="s">
        <v>18753</v>
      </c>
      <c r="AL3308" s="13" t="s">
        <v>5091</v>
      </c>
      <c r="AM3308" s="14">
        <v>1</v>
      </c>
      <c r="AN3308" s="15" t="s">
        <v>3221</v>
      </c>
    </row>
    <row r="3309" spans="1:40" x14ac:dyDescent="0.3">
      <c r="A3309" s="10" t="str">
        <f>HYPERLINK("http://www.washoecounty.gov/assessor/cama/?parid=074-040-22&amp;CardNumber=1","074-040-22")</f>
        <v>074-040-22</v>
      </c>
      <c r="B3309" t="s">
        <v>4655</v>
      </c>
      <c r="C3309" t="s">
        <v>18754</v>
      </c>
      <c r="D3309" s="1">
        <v>40540</v>
      </c>
      <c r="E3309" s="2">
        <v>127618</v>
      </c>
      <c r="F3309" t="s">
        <v>3528</v>
      </c>
      <c r="G3309" s="17" t="str">
        <f>HYPERLINK("https://www.washoecounty.gov/assessor/cama/?command=sales&amp;parid=07404022","3957818")</f>
        <v>3957818</v>
      </c>
      <c r="H3309" t="s">
        <v>18755</v>
      </c>
      <c r="I3309">
        <v>0</v>
      </c>
      <c r="J3309">
        <v>0</v>
      </c>
      <c r="K3309" t="s">
        <v>4655</v>
      </c>
      <c r="L3309" t="s">
        <v>4655</v>
      </c>
      <c r="M3309" s="2">
        <v>0</v>
      </c>
      <c r="N3309" t="s">
        <v>4655</v>
      </c>
      <c r="O3309">
        <v>0</v>
      </c>
      <c r="P3309">
        <v>0</v>
      </c>
      <c r="Q3309">
        <v>0</v>
      </c>
      <c r="R3309" t="s">
        <v>4655</v>
      </c>
      <c r="S3309" t="s">
        <v>4655</v>
      </c>
      <c r="T3309" t="s">
        <v>4655</v>
      </c>
      <c r="U3309" t="s">
        <v>4655</v>
      </c>
      <c r="V3309" s="2">
        <v>0</v>
      </c>
      <c r="W3309" t="s">
        <v>4655</v>
      </c>
      <c r="X3309" s="2">
        <v>0</v>
      </c>
      <c r="Y3309">
        <v>12</v>
      </c>
      <c r="Z3309" t="s">
        <v>3668</v>
      </c>
      <c r="AA3309" s="3">
        <v>160</v>
      </c>
      <c r="AB3309" t="s">
        <v>18756</v>
      </c>
      <c r="AC3309" t="s">
        <v>4562</v>
      </c>
      <c r="AD3309" t="s">
        <v>18757</v>
      </c>
      <c r="AE3309" t="s">
        <v>4655</v>
      </c>
      <c r="AF3309" t="s">
        <v>2180</v>
      </c>
      <c r="AG3309" t="s">
        <v>4584</v>
      </c>
      <c r="AH3309" t="s">
        <v>18758</v>
      </c>
      <c r="AI3309" t="s">
        <v>18759</v>
      </c>
      <c r="AJ3309" t="s">
        <v>4655</v>
      </c>
      <c r="AK3309" t="s">
        <v>18760</v>
      </c>
      <c r="AL3309" s="13" t="s">
        <v>1891</v>
      </c>
      <c r="AM3309">
        <v>0</v>
      </c>
      <c r="AN3309" s="15" t="s">
        <v>417</v>
      </c>
    </row>
    <row r="3310" spans="1:40" x14ac:dyDescent="0.3">
      <c r="A3310" s="10" t="str">
        <f>HYPERLINK("http://www.washoecounty.gov/assessor/cama/?parid=074-121-13&amp;CardNumber=1","074-121-13")</f>
        <v>074-121-13</v>
      </c>
      <c r="B3310" t="s">
        <v>4655</v>
      </c>
      <c r="C3310" t="s">
        <v>318</v>
      </c>
      <c r="D3310" s="1">
        <v>40483</v>
      </c>
      <c r="E3310" s="2">
        <v>11571</v>
      </c>
      <c r="F3310" t="s">
        <v>3528</v>
      </c>
      <c r="G3310" s="17" t="str">
        <f>HYPERLINK("https://www.washoecounty.gov/assessor/cama/?command=sales&amp;parid=07412113","3938744")</f>
        <v>3938744</v>
      </c>
      <c r="H3310" t="s">
        <v>4655</v>
      </c>
      <c r="I3310">
        <v>0</v>
      </c>
      <c r="J3310">
        <v>0</v>
      </c>
      <c r="K3310" t="s">
        <v>4655</v>
      </c>
      <c r="L3310" t="s">
        <v>4655</v>
      </c>
      <c r="M3310" s="2">
        <v>0</v>
      </c>
      <c r="N3310" t="s">
        <v>4655</v>
      </c>
      <c r="O3310">
        <v>0</v>
      </c>
      <c r="P3310">
        <v>0</v>
      </c>
      <c r="Q3310">
        <v>0</v>
      </c>
      <c r="R3310" t="s">
        <v>4655</v>
      </c>
      <c r="S3310" t="s">
        <v>4655</v>
      </c>
      <c r="T3310" t="s">
        <v>4655</v>
      </c>
      <c r="U3310" t="s">
        <v>4655</v>
      </c>
      <c r="V3310" s="2">
        <v>0</v>
      </c>
      <c r="W3310" t="s">
        <v>4655</v>
      </c>
      <c r="X3310" s="2">
        <v>0</v>
      </c>
      <c r="Y3310">
        <v>12</v>
      </c>
      <c r="Z3310" t="s">
        <v>3668</v>
      </c>
      <c r="AA3310" s="3">
        <v>10</v>
      </c>
      <c r="AB3310" t="s">
        <v>18761</v>
      </c>
      <c r="AC3310" t="s">
        <v>4562</v>
      </c>
      <c r="AD3310" t="s">
        <v>18762</v>
      </c>
      <c r="AE3310" t="s">
        <v>4655</v>
      </c>
      <c r="AF3310" t="s">
        <v>1313</v>
      </c>
      <c r="AG3310" t="s">
        <v>4564</v>
      </c>
      <c r="AH3310">
        <v>89403</v>
      </c>
      <c r="AI3310" t="s">
        <v>18763</v>
      </c>
      <c r="AJ3310" t="s">
        <v>4655</v>
      </c>
      <c r="AK3310" t="s">
        <v>18764</v>
      </c>
      <c r="AL3310" s="13" t="s">
        <v>1891</v>
      </c>
      <c r="AM3310" s="14">
        <v>0</v>
      </c>
      <c r="AN3310" s="15" t="s">
        <v>3675</v>
      </c>
    </row>
    <row r="3311" spans="1:40" x14ac:dyDescent="0.3">
      <c r="A3311" s="10" t="str">
        <f>HYPERLINK("http://www.washoecounty.gov/assessor/cama/?parid=074-122-16&amp;CardNumber=1","074-122-16")</f>
        <v>074-122-16</v>
      </c>
      <c r="B3311" t="s">
        <v>4655</v>
      </c>
      <c r="C3311" t="s">
        <v>318</v>
      </c>
      <c r="D3311" s="1">
        <v>40213</v>
      </c>
      <c r="E3311" s="2">
        <v>1225</v>
      </c>
      <c r="F3311" t="s">
        <v>4567</v>
      </c>
      <c r="G3311" s="17" t="str">
        <f>HYPERLINK("https://www.washoecounty.gov/assessor/cama/?command=sales&amp;parid=07412216","3845892")</f>
        <v>3845892</v>
      </c>
      <c r="H3311" t="s">
        <v>4655</v>
      </c>
      <c r="I3311">
        <v>0</v>
      </c>
      <c r="J3311">
        <v>0</v>
      </c>
      <c r="K3311" t="s">
        <v>4655</v>
      </c>
      <c r="L3311" t="s">
        <v>4655</v>
      </c>
      <c r="M3311" s="2">
        <v>0</v>
      </c>
      <c r="N3311" t="s">
        <v>4655</v>
      </c>
      <c r="O3311">
        <v>0</v>
      </c>
      <c r="P3311">
        <v>0</v>
      </c>
      <c r="Q3311">
        <v>0</v>
      </c>
      <c r="R3311" t="s">
        <v>4655</v>
      </c>
      <c r="S3311" t="s">
        <v>4655</v>
      </c>
      <c r="T3311" t="s">
        <v>4655</v>
      </c>
      <c r="U3311" t="s">
        <v>4655</v>
      </c>
      <c r="V3311" s="2">
        <v>0</v>
      </c>
      <c r="W3311" t="s">
        <v>4655</v>
      </c>
      <c r="X3311" s="2">
        <v>0</v>
      </c>
      <c r="Y3311">
        <v>12</v>
      </c>
      <c r="Z3311" t="s">
        <v>3668</v>
      </c>
      <c r="AA3311" s="3">
        <v>5</v>
      </c>
      <c r="AB3311" t="s">
        <v>3669</v>
      </c>
      <c r="AC3311" t="s">
        <v>4562</v>
      </c>
      <c r="AD3311" t="s">
        <v>18765</v>
      </c>
      <c r="AE3311" t="s">
        <v>4655</v>
      </c>
      <c r="AF3311" t="s">
        <v>18766</v>
      </c>
      <c r="AG3311" t="s">
        <v>3674</v>
      </c>
      <c r="AH3311">
        <v>53511</v>
      </c>
      <c r="AI3311" t="s">
        <v>4655</v>
      </c>
      <c r="AJ3311" t="s">
        <v>4655</v>
      </c>
      <c r="AK3311" t="s">
        <v>18767</v>
      </c>
      <c r="AL3311" s="13" t="s">
        <v>1891</v>
      </c>
      <c r="AM3311">
        <v>0</v>
      </c>
      <c r="AN3311" s="15" t="s">
        <v>3675</v>
      </c>
    </row>
    <row r="3312" spans="1:40" x14ac:dyDescent="0.3">
      <c r="A3312" s="10" t="str">
        <f>HYPERLINK("http://www.washoecounty.gov/assessor/cama/?parid=074-132-07&amp;CardNumber=1","074-132-07")</f>
        <v>074-132-07</v>
      </c>
      <c r="B3312" t="s">
        <v>4655</v>
      </c>
      <c r="C3312" t="s">
        <v>318</v>
      </c>
      <c r="D3312" s="1">
        <v>40245</v>
      </c>
      <c r="E3312" s="2">
        <v>13000</v>
      </c>
      <c r="F3312" t="s">
        <v>4187</v>
      </c>
      <c r="G3312" s="17" t="str">
        <f>HYPERLINK("https://www.washoecounty.gov/assessor/cama/?command=sales&amp;parid=07413207","3856994")</f>
        <v>3856994</v>
      </c>
      <c r="H3312" t="s">
        <v>15122</v>
      </c>
      <c r="I3312">
        <v>0</v>
      </c>
      <c r="J3312">
        <v>0</v>
      </c>
      <c r="K3312" t="s">
        <v>4655</v>
      </c>
      <c r="L3312" t="s">
        <v>4655</v>
      </c>
      <c r="M3312" s="2">
        <v>0</v>
      </c>
      <c r="N3312" t="s">
        <v>4655</v>
      </c>
      <c r="O3312">
        <v>0</v>
      </c>
      <c r="P3312">
        <v>0</v>
      </c>
      <c r="Q3312">
        <v>0</v>
      </c>
      <c r="R3312" t="s">
        <v>4655</v>
      </c>
      <c r="S3312" t="s">
        <v>4655</v>
      </c>
      <c r="T3312" t="s">
        <v>4655</v>
      </c>
      <c r="U3312" t="s">
        <v>4655</v>
      </c>
      <c r="V3312" s="2">
        <v>0</v>
      </c>
      <c r="W3312" t="s">
        <v>4655</v>
      </c>
      <c r="X3312" s="2">
        <v>0</v>
      </c>
      <c r="Y3312">
        <v>12</v>
      </c>
      <c r="Z3312" t="s">
        <v>3668</v>
      </c>
      <c r="AA3312" s="3">
        <v>160</v>
      </c>
      <c r="AB3312" t="s">
        <v>18768</v>
      </c>
      <c r="AC3312" t="s">
        <v>4562</v>
      </c>
      <c r="AD3312" t="s">
        <v>18769</v>
      </c>
      <c r="AE3312" t="s">
        <v>4655</v>
      </c>
      <c r="AF3312" t="s">
        <v>3114</v>
      </c>
      <c r="AG3312" t="s">
        <v>4564</v>
      </c>
      <c r="AH3312">
        <v>89510</v>
      </c>
      <c r="AI3312" t="s">
        <v>18770</v>
      </c>
      <c r="AJ3312" t="s">
        <v>4655</v>
      </c>
      <c r="AK3312" t="s">
        <v>18771</v>
      </c>
      <c r="AL3312" s="13" t="s">
        <v>1891</v>
      </c>
      <c r="AM3312">
        <v>0</v>
      </c>
      <c r="AN3312" s="15" t="s">
        <v>417</v>
      </c>
    </row>
    <row r="3313" spans="1:40" x14ac:dyDescent="0.3">
      <c r="A3313" s="10" t="str">
        <f>HYPERLINK("http://www.washoecounty.gov/assessor/cama/?parid=074-132-10&amp;CardNumber=1","074-132-10")</f>
        <v>074-132-10</v>
      </c>
      <c r="B3313" t="s">
        <v>4655</v>
      </c>
      <c r="C3313" t="s">
        <v>318</v>
      </c>
      <c r="D3313" s="1">
        <v>40252</v>
      </c>
      <c r="E3313" s="2">
        <v>24000</v>
      </c>
      <c r="F3313" t="s">
        <v>4187</v>
      </c>
      <c r="G3313" s="17" t="str">
        <f>HYPERLINK("https://www.washoecounty.gov/assessor/cama/?command=sales&amp;parid=07413210","3860029")</f>
        <v>3860029</v>
      </c>
      <c r="H3313" t="s">
        <v>4655</v>
      </c>
      <c r="I3313">
        <v>0</v>
      </c>
      <c r="J3313">
        <v>0</v>
      </c>
      <c r="K3313" t="s">
        <v>4655</v>
      </c>
      <c r="L3313" t="s">
        <v>4655</v>
      </c>
      <c r="M3313" s="2">
        <v>0</v>
      </c>
      <c r="N3313" t="s">
        <v>4655</v>
      </c>
      <c r="O3313">
        <v>0</v>
      </c>
      <c r="P3313">
        <v>0</v>
      </c>
      <c r="Q3313">
        <v>0</v>
      </c>
      <c r="R3313" t="s">
        <v>4655</v>
      </c>
      <c r="S3313" t="s">
        <v>4655</v>
      </c>
      <c r="T3313" t="s">
        <v>4655</v>
      </c>
      <c r="U3313" t="s">
        <v>4655</v>
      </c>
      <c r="V3313" s="2">
        <v>0</v>
      </c>
      <c r="W3313" t="s">
        <v>4655</v>
      </c>
      <c r="X3313" s="2">
        <v>0</v>
      </c>
      <c r="Y3313">
        <v>12</v>
      </c>
      <c r="Z3313" t="s">
        <v>3668</v>
      </c>
      <c r="AA3313" s="3">
        <v>385.55499267578125</v>
      </c>
      <c r="AB3313" t="s">
        <v>18772</v>
      </c>
      <c r="AC3313" t="s">
        <v>4562</v>
      </c>
      <c r="AD3313" t="s">
        <v>18773</v>
      </c>
      <c r="AE3313" t="s">
        <v>4655</v>
      </c>
      <c r="AF3313" t="s">
        <v>18774</v>
      </c>
      <c r="AG3313" t="s">
        <v>1434</v>
      </c>
      <c r="AH3313">
        <v>97124</v>
      </c>
      <c r="AI3313" t="s">
        <v>1765</v>
      </c>
      <c r="AJ3313" t="s">
        <v>4655</v>
      </c>
      <c r="AK3313" t="s">
        <v>18775</v>
      </c>
      <c r="AL3313" s="13" t="s">
        <v>1891</v>
      </c>
      <c r="AM3313" s="14">
        <v>0</v>
      </c>
      <c r="AN3313" s="15" t="s">
        <v>417</v>
      </c>
    </row>
    <row r="3314" spans="1:40" x14ac:dyDescent="0.3">
      <c r="A3314" s="10" t="str">
        <f>HYPERLINK("http://www.washoecounty.gov/assessor/cama/?parid=074-133-06&amp;CardNumber=1","074-133-06")</f>
        <v>074-133-06</v>
      </c>
      <c r="B3314" t="s">
        <v>4655</v>
      </c>
      <c r="C3314" t="s">
        <v>318</v>
      </c>
      <c r="D3314" s="1">
        <v>40291</v>
      </c>
      <c r="E3314" s="2">
        <v>25000</v>
      </c>
      <c r="F3314" t="s">
        <v>3259</v>
      </c>
      <c r="G3314" s="17" t="str">
        <f>HYPERLINK("https://www.washoecounty.gov/assessor/cama/?command=sales&amp;parid=07413306","3874239")</f>
        <v>3874239</v>
      </c>
      <c r="H3314" t="s">
        <v>15834</v>
      </c>
      <c r="I3314">
        <v>0</v>
      </c>
      <c r="J3314">
        <v>0</v>
      </c>
      <c r="K3314" t="s">
        <v>4655</v>
      </c>
      <c r="L3314" t="s">
        <v>4655</v>
      </c>
      <c r="M3314" s="2">
        <v>0</v>
      </c>
      <c r="N3314" t="s">
        <v>4655</v>
      </c>
      <c r="O3314">
        <v>0</v>
      </c>
      <c r="P3314">
        <v>0</v>
      </c>
      <c r="Q3314">
        <v>0</v>
      </c>
      <c r="R3314" t="s">
        <v>4655</v>
      </c>
      <c r="S3314" t="s">
        <v>4655</v>
      </c>
      <c r="T3314" t="s">
        <v>4655</v>
      </c>
      <c r="U3314" t="s">
        <v>4655</v>
      </c>
      <c r="V3314" s="2">
        <v>0</v>
      </c>
      <c r="W3314" t="s">
        <v>4655</v>
      </c>
      <c r="X3314" s="2">
        <v>0</v>
      </c>
      <c r="Y3314">
        <v>12</v>
      </c>
      <c r="Z3314" t="s">
        <v>3668</v>
      </c>
      <c r="AA3314" s="3">
        <v>274.54000854492102</v>
      </c>
      <c r="AB3314" t="s">
        <v>18776</v>
      </c>
      <c r="AC3314" t="s">
        <v>4562</v>
      </c>
      <c r="AD3314" t="s">
        <v>18777</v>
      </c>
      <c r="AE3314" t="s">
        <v>4655</v>
      </c>
      <c r="AF3314" t="s">
        <v>4563</v>
      </c>
      <c r="AG3314" t="s">
        <v>4564</v>
      </c>
      <c r="AH3314">
        <v>89508</v>
      </c>
      <c r="AI3314" t="s">
        <v>4655</v>
      </c>
      <c r="AJ3314" t="s">
        <v>4655</v>
      </c>
      <c r="AK3314" t="s">
        <v>18778</v>
      </c>
      <c r="AL3314" s="13" t="s">
        <v>1891</v>
      </c>
      <c r="AM3314">
        <v>0</v>
      </c>
      <c r="AN3314" s="15" t="s">
        <v>417</v>
      </c>
    </row>
    <row r="3315" spans="1:40" x14ac:dyDescent="0.3">
      <c r="A3315" s="10" t="str">
        <f>HYPERLINK("http://www.washoecounty.gov/assessor/cama/?parid=074-161-01&amp;CardNumber=1","074-161-01")</f>
        <v>074-161-01</v>
      </c>
      <c r="B3315" t="s">
        <v>4655</v>
      </c>
      <c r="C3315" t="s">
        <v>318</v>
      </c>
      <c r="D3315" s="1">
        <v>40252</v>
      </c>
      <c r="E3315" s="2">
        <v>13000</v>
      </c>
      <c r="F3315" t="s">
        <v>4187</v>
      </c>
      <c r="G3315" s="17" t="str">
        <f>HYPERLINK("https://www.washoecounty.gov/assessor/cama/?command=sales&amp;parid=07416101","3859895")</f>
        <v>3859895</v>
      </c>
      <c r="H3315" t="s">
        <v>4655</v>
      </c>
      <c r="I3315">
        <v>0</v>
      </c>
      <c r="J3315">
        <v>0</v>
      </c>
      <c r="K3315" t="s">
        <v>4655</v>
      </c>
      <c r="L3315" t="s">
        <v>4655</v>
      </c>
      <c r="M3315" s="2">
        <v>0</v>
      </c>
      <c r="N3315" t="s">
        <v>4655</v>
      </c>
      <c r="O3315">
        <v>0</v>
      </c>
      <c r="P3315">
        <v>0</v>
      </c>
      <c r="Q3315">
        <v>0</v>
      </c>
      <c r="R3315" t="s">
        <v>4655</v>
      </c>
      <c r="S3315" t="s">
        <v>4655</v>
      </c>
      <c r="T3315" t="s">
        <v>4655</v>
      </c>
      <c r="U3315" t="s">
        <v>4655</v>
      </c>
      <c r="V3315" s="2">
        <v>0</v>
      </c>
      <c r="W3315" t="s">
        <v>4655</v>
      </c>
      <c r="X3315" s="2">
        <v>0</v>
      </c>
      <c r="Y3315">
        <v>12</v>
      </c>
      <c r="Z3315" t="s">
        <v>3668</v>
      </c>
      <c r="AA3315" s="3">
        <v>160</v>
      </c>
      <c r="AB3315" t="s">
        <v>18768</v>
      </c>
      <c r="AC3315" t="s">
        <v>4562</v>
      </c>
      <c r="AD3315" t="s">
        <v>18769</v>
      </c>
      <c r="AE3315" t="s">
        <v>4655</v>
      </c>
      <c r="AF3315" t="s">
        <v>4563</v>
      </c>
      <c r="AG3315" t="s">
        <v>4564</v>
      </c>
      <c r="AH3315">
        <v>89510</v>
      </c>
      <c r="AI3315" t="s">
        <v>1765</v>
      </c>
      <c r="AJ3315" t="s">
        <v>4655</v>
      </c>
      <c r="AK3315" t="s">
        <v>18779</v>
      </c>
      <c r="AL3315" s="13" t="s">
        <v>1891</v>
      </c>
      <c r="AM3315" s="14">
        <v>0</v>
      </c>
      <c r="AN3315" s="15" t="s">
        <v>417</v>
      </c>
    </row>
    <row r="3316" spans="1:40" x14ac:dyDescent="0.3">
      <c r="A3316" s="10" t="str">
        <f>HYPERLINK("http://www.washoecounty.gov/assessor/cama/?parid=074-181-15&amp;CardNumber=1","074-181-15")</f>
        <v>074-181-15</v>
      </c>
      <c r="B3316" t="s">
        <v>4655</v>
      </c>
      <c r="C3316" t="s">
        <v>318</v>
      </c>
      <c r="D3316" s="1">
        <v>40408</v>
      </c>
      <c r="E3316" s="2">
        <v>6500</v>
      </c>
      <c r="F3316" t="s">
        <v>3528</v>
      </c>
      <c r="G3316" s="17" t="str">
        <f>HYPERLINK("https://www.washoecounty.gov/assessor/cama/?command=sales&amp;parid=07418115","3913158")</f>
        <v>3913158</v>
      </c>
      <c r="H3316" t="s">
        <v>18780</v>
      </c>
      <c r="I3316">
        <v>0</v>
      </c>
      <c r="J3316">
        <v>0</v>
      </c>
      <c r="K3316" t="s">
        <v>4655</v>
      </c>
      <c r="L3316" t="s">
        <v>4655</v>
      </c>
      <c r="M3316" s="2">
        <v>0</v>
      </c>
      <c r="N3316" t="s">
        <v>4655</v>
      </c>
      <c r="O3316">
        <v>0</v>
      </c>
      <c r="P3316">
        <v>0</v>
      </c>
      <c r="Q3316">
        <v>0</v>
      </c>
      <c r="R3316" t="s">
        <v>4655</v>
      </c>
      <c r="S3316" t="s">
        <v>4655</v>
      </c>
      <c r="T3316" t="s">
        <v>4655</v>
      </c>
      <c r="U3316" t="s">
        <v>4655</v>
      </c>
      <c r="V3316" s="2">
        <v>0</v>
      </c>
      <c r="W3316" t="s">
        <v>4655</v>
      </c>
      <c r="X3316" s="2">
        <v>0</v>
      </c>
      <c r="Y3316">
        <v>12</v>
      </c>
      <c r="Z3316" t="s">
        <v>3668</v>
      </c>
      <c r="AA3316" s="3">
        <v>10.131999969482401</v>
      </c>
      <c r="AB3316" t="s">
        <v>18781</v>
      </c>
      <c r="AC3316" t="s">
        <v>4562</v>
      </c>
      <c r="AD3316" t="s">
        <v>18782</v>
      </c>
      <c r="AE3316" t="s">
        <v>4655</v>
      </c>
      <c r="AF3316" t="s">
        <v>4563</v>
      </c>
      <c r="AG3316" t="s">
        <v>4564</v>
      </c>
      <c r="AH3316" t="s">
        <v>1147</v>
      </c>
      <c r="AI3316" t="s">
        <v>4655</v>
      </c>
      <c r="AJ3316" t="s">
        <v>4655</v>
      </c>
      <c r="AK3316" t="s">
        <v>18783</v>
      </c>
      <c r="AL3316" s="13" t="s">
        <v>1891</v>
      </c>
      <c r="AM3316">
        <v>0</v>
      </c>
      <c r="AN3316" s="15" t="s">
        <v>3675</v>
      </c>
    </row>
    <row r="3317" spans="1:40" x14ac:dyDescent="0.3">
      <c r="A3317" s="10" t="str">
        <f>HYPERLINK("http://www.washoecounty.gov/assessor/cama/?parid=074-190-03&amp;CardNumber=1","074-190-03")</f>
        <v>074-190-03</v>
      </c>
      <c r="B3317" t="s">
        <v>4655</v>
      </c>
      <c r="C3317" t="s">
        <v>318</v>
      </c>
      <c r="D3317" s="1">
        <v>40332</v>
      </c>
      <c r="E3317" s="2">
        <v>4296</v>
      </c>
      <c r="F3317" t="s">
        <v>4567</v>
      </c>
      <c r="G3317" s="17" t="str">
        <f>HYPERLINK("https://www.washoecounty.gov/assessor/cama/?command=sales&amp;parid=07419003","3888044")</f>
        <v>3888044</v>
      </c>
      <c r="H3317" t="s">
        <v>4655</v>
      </c>
      <c r="I3317">
        <v>0</v>
      </c>
      <c r="J3317">
        <v>0</v>
      </c>
      <c r="K3317" t="s">
        <v>4655</v>
      </c>
      <c r="L3317" t="s">
        <v>4655</v>
      </c>
      <c r="M3317" s="2">
        <v>0</v>
      </c>
      <c r="N3317" t="s">
        <v>4655</v>
      </c>
      <c r="O3317">
        <v>0</v>
      </c>
      <c r="P3317">
        <v>0</v>
      </c>
      <c r="Q3317">
        <v>0</v>
      </c>
      <c r="R3317" t="s">
        <v>4655</v>
      </c>
      <c r="S3317" t="s">
        <v>4655</v>
      </c>
      <c r="T3317" t="s">
        <v>4655</v>
      </c>
      <c r="U3317" t="s">
        <v>4655</v>
      </c>
      <c r="V3317" s="2">
        <v>0</v>
      </c>
      <c r="W3317" t="s">
        <v>4655</v>
      </c>
      <c r="X3317" s="2">
        <v>0</v>
      </c>
      <c r="Y3317">
        <v>12</v>
      </c>
      <c r="Z3317" t="s">
        <v>3668</v>
      </c>
      <c r="AA3317" s="3">
        <v>9.6499996185302699</v>
      </c>
      <c r="AB3317" t="s">
        <v>18784</v>
      </c>
      <c r="AC3317" t="s">
        <v>4562</v>
      </c>
      <c r="AD3317" t="s">
        <v>18785</v>
      </c>
      <c r="AE3317" t="s">
        <v>4655</v>
      </c>
      <c r="AF3317" t="s">
        <v>18786</v>
      </c>
      <c r="AG3317" t="s">
        <v>5277</v>
      </c>
      <c r="AH3317" t="s">
        <v>18787</v>
      </c>
      <c r="AI3317" t="s">
        <v>18788</v>
      </c>
      <c r="AJ3317" t="s">
        <v>4655</v>
      </c>
      <c r="AK3317" t="s">
        <v>18789</v>
      </c>
      <c r="AL3317" s="13" t="s">
        <v>1891</v>
      </c>
      <c r="AM3317" s="14">
        <v>0</v>
      </c>
      <c r="AN3317" s="15" t="s">
        <v>3675</v>
      </c>
    </row>
    <row r="3318" spans="1:40" x14ac:dyDescent="0.3">
      <c r="A3318" s="10" t="str">
        <f>HYPERLINK("http://www.washoecounty.gov/assessor/cama/?parid=074-190-17&amp;CardNumber=1","074-190-17")</f>
        <v>074-190-17</v>
      </c>
      <c r="B3318" t="s">
        <v>4655</v>
      </c>
      <c r="C3318" t="s">
        <v>318</v>
      </c>
      <c r="D3318" s="1">
        <v>40431</v>
      </c>
      <c r="E3318" s="2">
        <v>10500</v>
      </c>
      <c r="F3318" t="s">
        <v>3528</v>
      </c>
      <c r="G3318" s="17" t="str">
        <f>HYPERLINK("https://www.washoecounty.gov/assessor/cama/?command=sales&amp;parid=07419017","3921118")</f>
        <v>3921118</v>
      </c>
      <c r="H3318" t="s">
        <v>3790</v>
      </c>
      <c r="I3318">
        <v>0</v>
      </c>
      <c r="J3318">
        <v>0</v>
      </c>
      <c r="K3318" t="s">
        <v>4655</v>
      </c>
      <c r="L3318" t="s">
        <v>4655</v>
      </c>
      <c r="M3318" s="2">
        <v>0</v>
      </c>
      <c r="N3318" t="s">
        <v>4655</v>
      </c>
      <c r="O3318">
        <v>0</v>
      </c>
      <c r="P3318">
        <v>0</v>
      </c>
      <c r="Q3318">
        <v>0</v>
      </c>
      <c r="R3318" t="s">
        <v>4655</v>
      </c>
      <c r="S3318" t="s">
        <v>4655</v>
      </c>
      <c r="T3318" t="s">
        <v>4655</v>
      </c>
      <c r="U3318" t="s">
        <v>4655</v>
      </c>
      <c r="V3318" s="2">
        <v>0</v>
      </c>
      <c r="W3318" t="s">
        <v>4655</v>
      </c>
      <c r="X3318" s="2">
        <v>0</v>
      </c>
      <c r="Y3318">
        <v>12</v>
      </c>
      <c r="Z3318" t="s">
        <v>3668</v>
      </c>
      <c r="AA3318" s="3">
        <v>41.958999633789063</v>
      </c>
      <c r="AB3318" t="s">
        <v>18790</v>
      </c>
      <c r="AC3318" t="s">
        <v>4562</v>
      </c>
      <c r="AD3318" t="s">
        <v>18791</v>
      </c>
      <c r="AE3318" t="s">
        <v>4655</v>
      </c>
      <c r="AF3318" t="s">
        <v>18792</v>
      </c>
      <c r="AG3318" t="s">
        <v>4584</v>
      </c>
      <c r="AH3318" t="s">
        <v>18793</v>
      </c>
      <c r="AI3318" t="s">
        <v>18794</v>
      </c>
      <c r="AJ3318" t="s">
        <v>4655</v>
      </c>
      <c r="AK3318" t="s">
        <v>18795</v>
      </c>
      <c r="AL3318" s="13" t="s">
        <v>1891</v>
      </c>
      <c r="AM3318">
        <v>0</v>
      </c>
      <c r="AN3318" s="15" t="s">
        <v>3675</v>
      </c>
    </row>
    <row r="3319" spans="1:40" x14ac:dyDescent="0.3">
      <c r="A3319" s="10" t="str">
        <f>HYPERLINK("http://www.washoecounty.gov/assessor/cama/?parid=074-201-43&amp;CardNumber=1","074-201-43")</f>
        <v>074-201-43</v>
      </c>
      <c r="B3319" t="s">
        <v>4655</v>
      </c>
      <c r="C3319" t="s">
        <v>318</v>
      </c>
      <c r="D3319" s="1">
        <v>40420</v>
      </c>
      <c r="E3319" s="2">
        <v>4000</v>
      </c>
      <c r="F3319" t="s">
        <v>3259</v>
      </c>
      <c r="G3319" s="17" t="str">
        <f>HYPERLINK("https://www.washoecounty.gov/assessor/cama/?command=sales&amp;parid=07420143","3916796")</f>
        <v>3916796</v>
      </c>
      <c r="H3319" t="s">
        <v>4655</v>
      </c>
      <c r="I3319">
        <v>0</v>
      </c>
      <c r="J3319">
        <v>0</v>
      </c>
      <c r="K3319" t="s">
        <v>4655</v>
      </c>
      <c r="L3319" t="s">
        <v>4655</v>
      </c>
      <c r="M3319" s="2">
        <v>0</v>
      </c>
      <c r="N3319" t="s">
        <v>4655</v>
      </c>
      <c r="O3319">
        <v>0</v>
      </c>
      <c r="P3319">
        <v>0</v>
      </c>
      <c r="Q3319">
        <v>0</v>
      </c>
      <c r="R3319" t="s">
        <v>4655</v>
      </c>
      <c r="S3319" t="s">
        <v>4655</v>
      </c>
      <c r="T3319" t="s">
        <v>4655</v>
      </c>
      <c r="U3319" t="s">
        <v>4655</v>
      </c>
      <c r="V3319" s="2">
        <v>0</v>
      </c>
      <c r="W3319" t="s">
        <v>4655</v>
      </c>
      <c r="X3319" s="2">
        <v>0</v>
      </c>
      <c r="Y3319">
        <v>12</v>
      </c>
      <c r="Z3319" t="s">
        <v>3668</v>
      </c>
      <c r="AA3319" s="3">
        <v>20</v>
      </c>
      <c r="AB3319" t="s">
        <v>18796</v>
      </c>
      <c r="AC3319" t="s">
        <v>4575</v>
      </c>
      <c r="AD3319" t="s">
        <v>18797</v>
      </c>
      <c r="AE3319" t="s">
        <v>18798</v>
      </c>
      <c r="AF3319" t="s">
        <v>1758</v>
      </c>
      <c r="AG3319" t="s">
        <v>4584</v>
      </c>
      <c r="AH3319" t="s">
        <v>4272</v>
      </c>
      <c r="AI3319" t="s">
        <v>18799</v>
      </c>
      <c r="AJ3319" t="s">
        <v>4655</v>
      </c>
      <c r="AK3319" t="s">
        <v>18800</v>
      </c>
      <c r="AL3319" s="13" t="s">
        <v>1891</v>
      </c>
      <c r="AM3319">
        <v>0</v>
      </c>
      <c r="AN3319" s="15" t="s">
        <v>3675</v>
      </c>
    </row>
    <row r="3320" spans="1:40" x14ac:dyDescent="0.3">
      <c r="A3320" s="10" t="str">
        <f>HYPERLINK("http://www.washoecounty.gov/assessor/cama/?parid=074-221-03&amp;CardNumber=1","074-221-03")</f>
        <v>074-221-03</v>
      </c>
      <c r="B3320" t="s">
        <v>4655</v>
      </c>
      <c r="C3320" t="s">
        <v>318</v>
      </c>
      <c r="D3320" s="1">
        <v>40346</v>
      </c>
      <c r="E3320" s="2">
        <v>2000</v>
      </c>
      <c r="F3320" t="s">
        <v>3584</v>
      </c>
      <c r="G3320" s="17" t="str">
        <f>HYPERLINK("https://www.washoecounty.gov/assessor/cama/?command=sales&amp;parid=07422103","3892901")</f>
        <v>3892901</v>
      </c>
      <c r="H3320" t="s">
        <v>2833</v>
      </c>
      <c r="I3320">
        <v>0</v>
      </c>
      <c r="J3320">
        <v>0</v>
      </c>
      <c r="K3320" t="s">
        <v>4655</v>
      </c>
      <c r="L3320" t="s">
        <v>4655</v>
      </c>
      <c r="M3320" s="2">
        <v>0</v>
      </c>
      <c r="N3320" t="s">
        <v>4655</v>
      </c>
      <c r="O3320">
        <v>0</v>
      </c>
      <c r="P3320">
        <v>0</v>
      </c>
      <c r="Q3320">
        <v>0</v>
      </c>
      <c r="R3320" t="s">
        <v>4655</v>
      </c>
      <c r="S3320" t="s">
        <v>4655</v>
      </c>
      <c r="T3320" t="s">
        <v>4655</v>
      </c>
      <c r="U3320" t="s">
        <v>4655</v>
      </c>
      <c r="V3320" s="2">
        <v>0</v>
      </c>
      <c r="W3320" t="s">
        <v>4655</v>
      </c>
      <c r="X3320" s="2">
        <v>0</v>
      </c>
      <c r="Y3320">
        <v>12</v>
      </c>
      <c r="Z3320" t="s">
        <v>3668</v>
      </c>
      <c r="AA3320" s="3">
        <v>9.7969999313354492</v>
      </c>
      <c r="AB3320" t="s">
        <v>18801</v>
      </c>
      <c r="AC3320" t="s">
        <v>4562</v>
      </c>
      <c r="AD3320" t="s">
        <v>18765</v>
      </c>
      <c r="AE3320" t="s">
        <v>4655</v>
      </c>
      <c r="AF3320" t="s">
        <v>18802</v>
      </c>
      <c r="AG3320" t="s">
        <v>3674</v>
      </c>
      <c r="AH3320">
        <v>53511</v>
      </c>
      <c r="AI3320" t="s">
        <v>18803</v>
      </c>
      <c r="AJ3320" t="s">
        <v>4655</v>
      </c>
      <c r="AK3320" t="s">
        <v>18804</v>
      </c>
      <c r="AL3320" s="13" t="s">
        <v>1891</v>
      </c>
      <c r="AM3320">
        <v>0</v>
      </c>
      <c r="AN3320" s="15" t="s">
        <v>3675</v>
      </c>
    </row>
    <row r="3321" spans="1:40" x14ac:dyDescent="0.3">
      <c r="A3321" s="10" t="str">
        <f>HYPERLINK("http://www.washoecounty.gov/assessor/cama/?parid=074-221-04&amp;CardNumber=1","074-221-04")</f>
        <v>074-221-04</v>
      </c>
      <c r="B3321" t="s">
        <v>4655</v>
      </c>
      <c r="C3321" t="s">
        <v>318</v>
      </c>
      <c r="D3321" s="1">
        <v>40346</v>
      </c>
      <c r="E3321" s="2">
        <v>2000</v>
      </c>
      <c r="F3321" t="s">
        <v>3584</v>
      </c>
      <c r="G3321" s="17" t="str">
        <f>HYPERLINK("https://www.washoecounty.gov/assessor/cama/?command=sales&amp;parid=07422104","3892901")</f>
        <v>3892901</v>
      </c>
      <c r="H3321" t="s">
        <v>18805</v>
      </c>
      <c r="I3321">
        <v>0</v>
      </c>
      <c r="J3321">
        <v>0</v>
      </c>
      <c r="K3321" t="s">
        <v>4655</v>
      </c>
      <c r="L3321" t="s">
        <v>4655</v>
      </c>
      <c r="M3321" s="2">
        <v>0</v>
      </c>
      <c r="N3321" t="s">
        <v>4655</v>
      </c>
      <c r="O3321">
        <v>0</v>
      </c>
      <c r="P3321">
        <v>0</v>
      </c>
      <c r="Q3321">
        <v>0</v>
      </c>
      <c r="R3321" t="s">
        <v>4655</v>
      </c>
      <c r="S3321" t="s">
        <v>4655</v>
      </c>
      <c r="T3321" t="s">
        <v>4655</v>
      </c>
      <c r="U3321" t="s">
        <v>4655</v>
      </c>
      <c r="V3321" s="2">
        <v>0</v>
      </c>
      <c r="W3321" t="s">
        <v>4655</v>
      </c>
      <c r="X3321" s="2">
        <v>0</v>
      </c>
      <c r="Y3321">
        <v>12</v>
      </c>
      <c r="Z3321" t="s">
        <v>3668</v>
      </c>
      <c r="AA3321" s="3">
        <v>1.5539945363998413</v>
      </c>
      <c r="AB3321" t="s">
        <v>18806</v>
      </c>
      <c r="AC3321" t="s">
        <v>4562</v>
      </c>
      <c r="AD3321" t="s">
        <v>18807</v>
      </c>
      <c r="AE3321" t="s">
        <v>4655</v>
      </c>
      <c r="AF3321" t="s">
        <v>18808</v>
      </c>
      <c r="AG3321" t="s">
        <v>1766</v>
      </c>
      <c r="AH3321">
        <v>13901</v>
      </c>
      <c r="AI3321" t="s">
        <v>18803</v>
      </c>
      <c r="AJ3321" t="s">
        <v>4655</v>
      </c>
      <c r="AK3321" t="s">
        <v>18809</v>
      </c>
      <c r="AL3321" s="13" t="s">
        <v>1891</v>
      </c>
      <c r="AM3321" s="14">
        <v>0</v>
      </c>
      <c r="AN3321" s="15" t="s">
        <v>4455</v>
      </c>
    </row>
    <row r="3322" spans="1:40" x14ac:dyDescent="0.3">
      <c r="A3322" s="10" t="str">
        <f>HYPERLINK("http://www.washoecounty.gov/assessor/cama/?parid=074-221-04&amp;CardNumber=1","074-221-04")</f>
        <v>074-221-04</v>
      </c>
      <c r="B3322" t="s">
        <v>4655</v>
      </c>
      <c r="C3322" t="s">
        <v>318</v>
      </c>
      <c r="D3322" s="1">
        <v>40381</v>
      </c>
      <c r="E3322" s="2">
        <v>1000</v>
      </c>
      <c r="F3322" t="s">
        <v>4201</v>
      </c>
      <c r="G3322" s="17" t="str">
        <f>HYPERLINK("https://www.washoecounty.gov/assessor/cama/?command=sales&amp;parid=07422104","3903858")</f>
        <v>3903858</v>
      </c>
      <c r="H3322" t="s">
        <v>18805</v>
      </c>
      <c r="I3322">
        <v>0</v>
      </c>
      <c r="J3322">
        <v>0</v>
      </c>
      <c r="K3322" t="s">
        <v>4655</v>
      </c>
      <c r="L3322" t="s">
        <v>4655</v>
      </c>
      <c r="M3322" s="2">
        <v>0</v>
      </c>
      <c r="N3322" t="s">
        <v>4655</v>
      </c>
      <c r="O3322">
        <v>0</v>
      </c>
      <c r="P3322">
        <v>0</v>
      </c>
      <c r="Q3322">
        <v>0</v>
      </c>
      <c r="R3322" t="s">
        <v>4655</v>
      </c>
      <c r="S3322" t="s">
        <v>4655</v>
      </c>
      <c r="T3322" t="s">
        <v>4655</v>
      </c>
      <c r="U3322" t="s">
        <v>4655</v>
      </c>
      <c r="V3322" s="2">
        <v>0</v>
      </c>
      <c r="W3322" t="s">
        <v>4655</v>
      </c>
      <c r="X3322" s="2">
        <v>0</v>
      </c>
      <c r="Y3322">
        <v>12</v>
      </c>
      <c r="Z3322" t="s">
        <v>3668</v>
      </c>
      <c r="AA3322" s="3">
        <v>1.5539945363998413</v>
      </c>
      <c r="AB3322" t="s">
        <v>18806</v>
      </c>
      <c r="AC3322" t="s">
        <v>4562</v>
      </c>
      <c r="AD3322" t="s">
        <v>18807</v>
      </c>
      <c r="AE3322" t="s">
        <v>4655</v>
      </c>
      <c r="AF3322" t="s">
        <v>18808</v>
      </c>
      <c r="AG3322" t="s">
        <v>1766</v>
      </c>
      <c r="AH3322">
        <v>13901</v>
      </c>
      <c r="AI3322" t="s">
        <v>18803</v>
      </c>
      <c r="AJ3322" t="s">
        <v>4655</v>
      </c>
      <c r="AK3322" t="s">
        <v>18809</v>
      </c>
      <c r="AL3322" s="13" t="s">
        <v>1891</v>
      </c>
      <c r="AM3322">
        <v>0</v>
      </c>
      <c r="AN3322" s="15" t="s">
        <v>4455</v>
      </c>
    </row>
    <row r="3323" spans="1:40" x14ac:dyDescent="0.3">
      <c r="A3323" s="10" t="str">
        <f>HYPERLINK("http://www.washoecounty.gov/assessor/cama/?parid=074-222-07&amp;CardNumber=1","074-222-07")</f>
        <v>074-222-07</v>
      </c>
      <c r="B3323" t="s">
        <v>4655</v>
      </c>
      <c r="C3323" t="s">
        <v>318</v>
      </c>
      <c r="D3323" s="1">
        <v>40365</v>
      </c>
      <c r="E3323" s="2">
        <v>4000</v>
      </c>
      <c r="F3323" t="s">
        <v>3584</v>
      </c>
      <c r="G3323" s="17" t="str">
        <f>HYPERLINK("https://www.washoecounty.gov/assessor/cama/?command=sales&amp;parid=07422207","3898588")</f>
        <v>3898588</v>
      </c>
      <c r="H3323" t="s">
        <v>18810</v>
      </c>
      <c r="I3323">
        <v>0</v>
      </c>
      <c r="J3323">
        <v>0</v>
      </c>
      <c r="K3323" t="s">
        <v>4655</v>
      </c>
      <c r="L3323" t="s">
        <v>4655</v>
      </c>
      <c r="M3323" s="2">
        <v>0</v>
      </c>
      <c r="N3323" t="s">
        <v>4655</v>
      </c>
      <c r="O3323">
        <v>0</v>
      </c>
      <c r="P3323">
        <v>0</v>
      </c>
      <c r="Q3323">
        <v>0</v>
      </c>
      <c r="R3323" t="s">
        <v>4655</v>
      </c>
      <c r="S3323" t="s">
        <v>4655</v>
      </c>
      <c r="T3323" t="s">
        <v>4655</v>
      </c>
      <c r="U3323" t="s">
        <v>4655</v>
      </c>
      <c r="V3323" s="2">
        <v>0</v>
      </c>
      <c r="W3323" t="s">
        <v>4655</v>
      </c>
      <c r="X3323" s="2">
        <v>0</v>
      </c>
      <c r="Y3323">
        <v>12</v>
      </c>
      <c r="Z3323" t="s">
        <v>3668</v>
      </c>
      <c r="AA3323" s="3">
        <v>8.7180004119872994</v>
      </c>
      <c r="AB3323" t="s">
        <v>18801</v>
      </c>
      <c r="AC3323" t="s">
        <v>4562</v>
      </c>
      <c r="AD3323" t="s">
        <v>18765</v>
      </c>
      <c r="AE3323" t="s">
        <v>4655</v>
      </c>
      <c r="AF3323" t="s">
        <v>18802</v>
      </c>
      <c r="AG3323" t="s">
        <v>3674</v>
      </c>
      <c r="AH3323">
        <v>53511</v>
      </c>
      <c r="AI3323" t="s">
        <v>18811</v>
      </c>
      <c r="AJ3323" t="s">
        <v>4655</v>
      </c>
      <c r="AK3323" t="s">
        <v>18812</v>
      </c>
      <c r="AL3323" s="13" t="s">
        <v>1891</v>
      </c>
      <c r="AM3323" s="14">
        <v>0</v>
      </c>
      <c r="AN3323" s="15" t="s">
        <v>3675</v>
      </c>
    </row>
    <row r="3324" spans="1:40" x14ac:dyDescent="0.3">
      <c r="A3324" s="10" t="str">
        <f>HYPERLINK("http://www.washoecounty.gov/assessor/cama/?parid=074-222-10&amp;CardNumber=1","074-222-10")</f>
        <v>074-222-10</v>
      </c>
      <c r="B3324" t="s">
        <v>4655</v>
      </c>
      <c r="C3324" t="s">
        <v>318</v>
      </c>
      <c r="D3324" s="1">
        <v>40365</v>
      </c>
      <c r="E3324" s="2">
        <v>4000</v>
      </c>
      <c r="F3324" t="s">
        <v>3584</v>
      </c>
      <c r="G3324" s="17" t="str">
        <f>HYPERLINK("https://www.washoecounty.gov/assessor/cama/?command=sales&amp;parid=07422210","3898588")</f>
        <v>3898588</v>
      </c>
      <c r="H3324" t="s">
        <v>18805</v>
      </c>
      <c r="I3324">
        <v>0</v>
      </c>
      <c r="J3324">
        <v>0</v>
      </c>
      <c r="K3324" t="s">
        <v>4655</v>
      </c>
      <c r="L3324" t="s">
        <v>4655</v>
      </c>
      <c r="M3324" s="2">
        <v>0</v>
      </c>
      <c r="N3324" t="s">
        <v>4655</v>
      </c>
      <c r="O3324">
        <v>0</v>
      </c>
      <c r="P3324">
        <v>0</v>
      </c>
      <c r="Q3324">
        <v>0</v>
      </c>
      <c r="R3324" t="s">
        <v>4655</v>
      </c>
      <c r="S3324" t="s">
        <v>4655</v>
      </c>
      <c r="T3324" t="s">
        <v>4655</v>
      </c>
      <c r="U3324" t="s">
        <v>4655</v>
      </c>
      <c r="V3324" s="2">
        <v>0</v>
      </c>
      <c r="W3324" t="s">
        <v>4655</v>
      </c>
      <c r="X3324" s="2">
        <v>0</v>
      </c>
      <c r="Y3324">
        <v>12</v>
      </c>
      <c r="Z3324" t="s">
        <v>3668</v>
      </c>
      <c r="AA3324" s="3">
        <v>3.16000008583068</v>
      </c>
      <c r="AB3324" t="s">
        <v>18801</v>
      </c>
      <c r="AC3324" t="s">
        <v>4562</v>
      </c>
      <c r="AD3324" t="s">
        <v>18765</v>
      </c>
      <c r="AE3324" t="s">
        <v>4655</v>
      </c>
      <c r="AF3324" t="s">
        <v>18802</v>
      </c>
      <c r="AG3324" t="s">
        <v>3674</v>
      </c>
      <c r="AH3324">
        <v>53511</v>
      </c>
      <c r="AI3324" t="s">
        <v>18811</v>
      </c>
      <c r="AJ3324" t="s">
        <v>4655</v>
      </c>
      <c r="AK3324" t="s">
        <v>18809</v>
      </c>
      <c r="AL3324" s="13" t="s">
        <v>1891</v>
      </c>
      <c r="AM3324">
        <v>0</v>
      </c>
      <c r="AN3324" s="15" t="s">
        <v>4455</v>
      </c>
    </row>
    <row r="3325" spans="1:40" x14ac:dyDescent="0.3">
      <c r="A3325" s="10" t="str">
        <f>HYPERLINK("http://www.washoecounty.gov/assessor/cama/?parid=074-431-68&amp;CardNumber=1","074-431-68")</f>
        <v>074-431-68</v>
      </c>
      <c r="B3325" t="s">
        <v>4655</v>
      </c>
      <c r="C3325" t="s">
        <v>318</v>
      </c>
      <c r="D3325" s="1">
        <v>40206</v>
      </c>
      <c r="E3325" s="2">
        <v>1310</v>
      </c>
      <c r="F3325" t="s">
        <v>3259</v>
      </c>
      <c r="G3325" s="17" t="str">
        <f>HYPERLINK("https://www.washoecounty.gov/assessor/cama/?command=sales&amp;parid=07443168","3843539")</f>
        <v>3843539</v>
      </c>
      <c r="H3325" t="s">
        <v>3676</v>
      </c>
      <c r="I3325">
        <v>0</v>
      </c>
      <c r="J3325">
        <v>0</v>
      </c>
      <c r="K3325" t="s">
        <v>4655</v>
      </c>
      <c r="L3325" t="s">
        <v>4655</v>
      </c>
      <c r="M3325" s="2">
        <v>0</v>
      </c>
      <c r="N3325" t="s">
        <v>4655</v>
      </c>
      <c r="O3325">
        <v>0</v>
      </c>
      <c r="P3325">
        <v>0</v>
      </c>
      <c r="Q3325">
        <v>0</v>
      </c>
      <c r="R3325" t="s">
        <v>4655</v>
      </c>
      <c r="S3325" t="s">
        <v>4655</v>
      </c>
      <c r="T3325" t="s">
        <v>4655</v>
      </c>
      <c r="U3325" t="s">
        <v>4655</v>
      </c>
      <c r="V3325" s="2">
        <v>0</v>
      </c>
      <c r="W3325" t="s">
        <v>4655</v>
      </c>
      <c r="X3325" s="2">
        <v>0</v>
      </c>
      <c r="Y3325">
        <v>12</v>
      </c>
      <c r="Z3325" t="s">
        <v>3668</v>
      </c>
      <c r="AA3325" s="3">
        <v>10</v>
      </c>
      <c r="AB3325" t="s">
        <v>18801</v>
      </c>
      <c r="AC3325" t="s">
        <v>4562</v>
      </c>
      <c r="AD3325" t="s">
        <v>18765</v>
      </c>
      <c r="AE3325" t="s">
        <v>4655</v>
      </c>
      <c r="AF3325" t="s">
        <v>18802</v>
      </c>
      <c r="AG3325" t="s">
        <v>3674</v>
      </c>
      <c r="AH3325">
        <v>53511</v>
      </c>
      <c r="AI3325" t="s">
        <v>18803</v>
      </c>
      <c r="AJ3325" t="s">
        <v>4655</v>
      </c>
      <c r="AK3325" t="s">
        <v>18813</v>
      </c>
      <c r="AL3325" s="13" t="s">
        <v>1891</v>
      </c>
      <c r="AM3325">
        <v>0</v>
      </c>
      <c r="AN3325" s="15" t="s">
        <v>3675</v>
      </c>
    </row>
    <row r="3326" spans="1:40" x14ac:dyDescent="0.3">
      <c r="A3326" s="10" t="str">
        <f>HYPERLINK("http://www.washoecounty.gov/assessor/cama/?parid=074-431-68&amp;CardNumber=1","074-431-68")</f>
        <v>074-431-68</v>
      </c>
      <c r="B3326" t="s">
        <v>4655</v>
      </c>
      <c r="C3326" t="s">
        <v>318</v>
      </c>
      <c r="D3326" s="1">
        <v>40312</v>
      </c>
      <c r="E3326" s="2">
        <v>1500</v>
      </c>
      <c r="F3326" t="s">
        <v>4201</v>
      </c>
      <c r="G3326" s="17" t="str">
        <f>HYPERLINK("https://www.washoecounty.gov/assessor/cama/?command=sales&amp;parid=07443168","3881550")</f>
        <v>3881550</v>
      </c>
      <c r="H3326" t="s">
        <v>3676</v>
      </c>
      <c r="I3326">
        <v>0</v>
      </c>
      <c r="J3326">
        <v>0</v>
      </c>
      <c r="K3326" t="s">
        <v>4655</v>
      </c>
      <c r="L3326" t="s">
        <v>4655</v>
      </c>
      <c r="M3326" s="2">
        <v>0</v>
      </c>
      <c r="N3326" t="s">
        <v>4655</v>
      </c>
      <c r="O3326">
        <v>0</v>
      </c>
      <c r="P3326">
        <v>0</v>
      </c>
      <c r="Q3326">
        <v>0</v>
      </c>
      <c r="R3326" t="s">
        <v>4655</v>
      </c>
      <c r="S3326" t="s">
        <v>4655</v>
      </c>
      <c r="T3326" t="s">
        <v>4655</v>
      </c>
      <c r="U3326" t="s">
        <v>4655</v>
      </c>
      <c r="V3326" s="2">
        <v>0</v>
      </c>
      <c r="W3326" t="s">
        <v>4655</v>
      </c>
      <c r="X3326" s="2">
        <v>0</v>
      </c>
      <c r="Y3326">
        <v>12</v>
      </c>
      <c r="Z3326" t="s">
        <v>3668</v>
      </c>
      <c r="AA3326" s="3">
        <v>10</v>
      </c>
      <c r="AB3326" t="s">
        <v>18801</v>
      </c>
      <c r="AC3326" t="s">
        <v>4562</v>
      </c>
      <c r="AD3326" t="s">
        <v>18765</v>
      </c>
      <c r="AE3326" t="s">
        <v>4655</v>
      </c>
      <c r="AF3326" t="s">
        <v>18802</v>
      </c>
      <c r="AG3326" t="s">
        <v>3674</v>
      </c>
      <c r="AH3326">
        <v>53511</v>
      </c>
      <c r="AI3326" t="s">
        <v>18803</v>
      </c>
      <c r="AJ3326" t="s">
        <v>4655</v>
      </c>
      <c r="AK3326" t="s">
        <v>18813</v>
      </c>
      <c r="AL3326" s="13" t="s">
        <v>1891</v>
      </c>
      <c r="AM3326" s="14">
        <v>0</v>
      </c>
      <c r="AN3326" s="15" t="s">
        <v>3675</v>
      </c>
    </row>
    <row r="3327" spans="1:40" x14ac:dyDescent="0.3">
      <c r="A3327" s="10" t="str">
        <f>HYPERLINK("http://www.washoecounty.gov/assessor/cama/?parid=074-431-68&amp;CardNumber=1","074-431-68")</f>
        <v>074-431-68</v>
      </c>
      <c r="B3327" t="s">
        <v>4655</v>
      </c>
      <c r="C3327" t="s">
        <v>318</v>
      </c>
      <c r="D3327" s="1">
        <v>40365</v>
      </c>
      <c r="E3327" s="2">
        <v>4000</v>
      </c>
      <c r="F3327" t="s">
        <v>3584</v>
      </c>
      <c r="G3327" s="17" t="str">
        <f>HYPERLINK("https://www.washoecounty.gov/assessor/cama/?command=sales&amp;parid=07443168","3898588")</f>
        <v>3898588</v>
      </c>
      <c r="H3327" t="s">
        <v>3676</v>
      </c>
      <c r="I3327">
        <v>0</v>
      </c>
      <c r="J3327">
        <v>0</v>
      </c>
      <c r="K3327" t="s">
        <v>4655</v>
      </c>
      <c r="L3327" t="s">
        <v>4655</v>
      </c>
      <c r="M3327" s="2">
        <v>0</v>
      </c>
      <c r="N3327" t="s">
        <v>4655</v>
      </c>
      <c r="O3327">
        <v>0</v>
      </c>
      <c r="P3327">
        <v>0</v>
      </c>
      <c r="Q3327">
        <v>0</v>
      </c>
      <c r="R3327" t="s">
        <v>4655</v>
      </c>
      <c r="S3327" t="s">
        <v>4655</v>
      </c>
      <c r="T3327" t="s">
        <v>4655</v>
      </c>
      <c r="U3327" t="s">
        <v>4655</v>
      </c>
      <c r="V3327" s="2">
        <v>0</v>
      </c>
      <c r="W3327" t="s">
        <v>4655</v>
      </c>
      <c r="X3327" s="2">
        <v>0</v>
      </c>
      <c r="Y3327">
        <v>12</v>
      </c>
      <c r="Z3327" t="s">
        <v>3668</v>
      </c>
      <c r="AA3327" s="3">
        <v>10</v>
      </c>
      <c r="AB3327" t="s">
        <v>18801</v>
      </c>
      <c r="AC3327" t="s">
        <v>4562</v>
      </c>
      <c r="AD3327" t="s">
        <v>18765</v>
      </c>
      <c r="AE3327" t="s">
        <v>4655</v>
      </c>
      <c r="AF3327" t="s">
        <v>18802</v>
      </c>
      <c r="AG3327" t="s">
        <v>3674</v>
      </c>
      <c r="AH3327">
        <v>53511</v>
      </c>
      <c r="AI3327" t="s">
        <v>18803</v>
      </c>
      <c r="AJ3327" t="s">
        <v>4655</v>
      </c>
      <c r="AK3327" t="s">
        <v>18813</v>
      </c>
      <c r="AL3327" s="13" t="s">
        <v>1891</v>
      </c>
      <c r="AM3327">
        <v>0</v>
      </c>
      <c r="AN3327" s="15" t="s">
        <v>3675</v>
      </c>
    </row>
    <row r="3328" spans="1:40" x14ac:dyDescent="0.3">
      <c r="A3328" s="10" t="str">
        <f>HYPERLINK("http://www.washoecounty.gov/assessor/cama/?parid=074-441-25&amp;CardNumber=1","074-441-25")</f>
        <v>074-441-25</v>
      </c>
      <c r="B3328" t="s">
        <v>4655</v>
      </c>
      <c r="C3328" t="s">
        <v>318</v>
      </c>
      <c r="D3328" s="1">
        <v>40408</v>
      </c>
      <c r="E3328" s="2">
        <v>4800</v>
      </c>
      <c r="F3328" t="s">
        <v>3528</v>
      </c>
      <c r="G3328" s="17" t="str">
        <f>HYPERLINK("https://www.washoecounty.gov/assessor/cama/?command=sales&amp;parid=07444125","3913157")</f>
        <v>3913157</v>
      </c>
      <c r="H3328" t="s">
        <v>18814</v>
      </c>
      <c r="I3328">
        <v>0</v>
      </c>
      <c r="J3328">
        <v>0</v>
      </c>
      <c r="K3328" t="s">
        <v>4655</v>
      </c>
      <c r="L3328" t="s">
        <v>4655</v>
      </c>
      <c r="M3328" s="2">
        <v>0</v>
      </c>
      <c r="N3328" t="s">
        <v>4655</v>
      </c>
      <c r="O3328">
        <v>0</v>
      </c>
      <c r="P3328">
        <v>0</v>
      </c>
      <c r="Q3328">
        <v>0</v>
      </c>
      <c r="R3328" t="s">
        <v>4655</v>
      </c>
      <c r="S3328" t="s">
        <v>4655</v>
      </c>
      <c r="T3328" t="s">
        <v>4655</v>
      </c>
      <c r="U3328" t="s">
        <v>4655</v>
      </c>
      <c r="V3328" s="2">
        <v>0</v>
      </c>
      <c r="W3328" t="s">
        <v>4655</v>
      </c>
      <c r="X3328" s="2">
        <v>0</v>
      </c>
      <c r="Y3328">
        <v>12</v>
      </c>
      <c r="Z3328" t="s">
        <v>3668</v>
      </c>
      <c r="AA3328" s="3">
        <v>10</v>
      </c>
      <c r="AB3328" t="s">
        <v>18781</v>
      </c>
      <c r="AC3328" t="s">
        <v>4562</v>
      </c>
      <c r="AD3328" t="s">
        <v>18782</v>
      </c>
      <c r="AE3328" t="s">
        <v>4655</v>
      </c>
      <c r="AF3328" t="s">
        <v>4563</v>
      </c>
      <c r="AG3328" t="s">
        <v>4564</v>
      </c>
      <c r="AH3328" t="s">
        <v>1147</v>
      </c>
      <c r="AI3328" t="s">
        <v>18815</v>
      </c>
      <c r="AJ3328" t="s">
        <v>4655</v>
      </c>
      <c r="AK3328" t="s">
        <v>18816</v>
      </c>
      <c r="AL3328" s="13" t="s">
        <v>1891</v>
      </c>
      <c r="AM3328">
        <v>0</v>
      </c>
      <c r="AN3328" s="15" t="s">
        <v>3675</v>
      </c>
    </row>
    <row r="3329" spans="1:40" x14ac:dyDescent="0.3">
      <c r="A3329" s="10" t="str">
        <f>HYPERLINK("http://www.washoecounty.gov/assessor/cama/?parid=074-442-03&amp;CardNumber=1","074-442-03")</f>
        <v>074-442-03</v>
      </c>
      <c r="B3329" t="s">
        <v>4655</v>
      </c>
      <c r="C3329" t="s">
        <v>318</v>
      </c>
      <c r="D3329" s="1">
        <v>40296</v>
      </c>
      <c r="E3329" s="2">
        <v>2275</v>
      </c>
      <c r="F3329" t="s">
        <v>3259</v>
      </c>
      <c r="G3329" s="17" t="str">
        <f>HYPERLINK("https://www.washoecounty.gov/assessor/cama/?command=sales&amp;parid=07444203","3875898")</f>
        <v>3875898</v>
      </c>
      <c r="H3329" t="s">
        <v>18817</v>
      </c>
      <c r="I3329">
        <v>0</v>
      </c>
      <c r="J3329">
        <v>0</v>
      </c>
      <c r="K3329" t="s">
        <v>4655</v>
      </c>
      <c r="L3329" t="s">
        <v>4655</v>
      </c>
      <c r="M3329" s="2">
        <v>0</v>
      </c>
      <c r="N3329" t="s">
        <v>4655</v>
      </c>
      <c r="O3329">
        <v>0</v>
      </c>
      <c r="P3329">
        <v>0</v>
      </c>
      <c r="Q3329">
        <v>0</v>
      </c>
      <c r="R3329" t="s">
        <v>4655</v>
      </c>
      <c r="S3329" t="s">
        <v>4655</v>
      </c>
      <c r="T3329" t="s">
        <v>4655</v>
      </c>
      <c r="U3329" t="s">
        <v>4655</v>
      </c>
      <c r="V3329" s="2">
        <v>0</v>
      </c>
      <c r="W3329" t="s">
        <v>4655</v>
      </c>
      <c r="X3329" s="2">
        <v>0</v>
      </c>
      <c r="Y3329">
        <v>12</v>
      </c>
      <c r="Z3329" t="s">
        <v>3668</v>
      </c>
      <c r="AA3329" s="3">
        <v>10</v>
      </c>
      <c r="AB3329" t="s">
        <v>18818</v>
      </c>
      <c r="AC3329" t="s">
        <v>4562</v>
      </c>
      <c r="AD3329" t="s">
        <v>18819</v>
      </c>
      <c r="AE3329" t="s">
        <v>4655</v>
      </c>
      <c r="AF3329" t="s">
        <v>4149</v>
      </c>
      <c r="AG3329" t="s">
        <v>5277</v>
      </c>
      <c r="AH3329">
        <v>85018</v>
      </c>
      <c r="AI3329" t="s">
        <v>18820</v>
      </c>
      <c r="AJ3329" t="s">
        <v>4655</v>
      </c>
      <c r="AK3329" t="s">
        <v>18821</v>
      </c>
      <c r="AL3329" s="13" t="s">
        <v>1891</v>
      </c>
      <c r="AM3329">
        <v>0</v>
      </c>
      <c r="AN3329" s="15" t="s">
        <v>3675</v>
      </c>
    </row>
    <row r="3330" spans="1:40" x14ac:dyDescent="0.3">
      <c r="A3330" s="10" t="str">
        <f>HYPERLINK("http://www.washoecounty.gov/assessor/cama/?parid=074-500-16&amp;CardNumber=1","074-500-16")</f>
        <v>074-500-16</v>
      </c>
      <c r="B3330" t="s">
        <v>4655</v>
      </c>
      <c r="C3330" t="s">
        <v>318</v>
      </c>
      <c r="D3330" s="1">
        <v>40277</v>
      </c>
      <c r="E3330" s="2">
        <v>12000</v>
      </c>
      <c r="F3330" t="s">
        <v>4187</v>
      </c>
      <c r="G3330" s="17" t="str">
        <f>HYPERLINK("https://www.washoecounty.gov/assessor/cama/?command=sales&amp;parid=07450016","3869388")</f>
        <v>3869388</v>
      </c>
      <c r="H3330" t="s">
        <v>3790</v>
      </c>
      <c r="I3330">
        <v>0</v>
      </c>
      <c r="J3330">
        <v>0</v>
      </c>
      <c r="K3330" t="s">
        <v>4655</v>
      </c>
      <c r="L3330" t="s">
        <v>4655</v>
      </c>
      <c r="M3330" s="2">
        <v>0</v>
      </c>
      <c r="N3330" t="s">
        <v>4655</v>
      </c>
      <c r="O3330">
        <v>0</v>
      </c>
      <c r="P3330">
        <v>0</v>
      </c>
      <c r="Q3330">
        <v>0</v>
      </c>
      <c r="R3330" t="s">
        <v>4655</v>
      </c>
      <c r="S3330" t="s">
        <v>4655</v>
      </c>
      <c r="T3330" t="s">
        <v>4655</v>
      </c>
      <c r="U3330" t="s">
        <v>4655</v>
      </c>
      <c r="V3330" s="2">
        <v>0</v>
      </c>
      <c r="W3330" t="s">
        <v>4655</v>
      </c>
      <c r="X3330" s="2">
        <v>0</v>
      </c>
      <c r="Y3330">
        <v>12</v>
      </c>
      <c r="Z3330" t="s">
        <v>3668</v>
      </c>
      <c r="AA3330" s="3">
        <v>10</v>
      </c>
      <c r="AB3330" t="s">
        <v>18822</v>
      </c>
      <c r="AC3330" t="s">
        <v>4562</v>
      </c>
      <c r="AD3330" t="s">
        <v>18823</v>
      </c>
      <c r="AE3330" t="s">
        <v>4655</v>
      </c>
      <c r="AF3330" t="s">
        <v>4563</v>
      </c>
      <c r="AG3330" t="s">
        <v>4564</v>
      </c>
      <c r="AH3330">
        <v>89508</v>
      </c>
      <c r="AI3330" t="s">
        <v>18824</v>
      </c>
      <c r="AJ3330" t="s">
        <v>4655</v>
      </c>
      <c r="AK3330" t="s">
        <v>18825</v>
      </c>
      <c r="AL3330" s="13" t="s">
        <v>1891</v>
      </c>
      <c r="AM3330">
        <v>0</v>
      </c>
      <c r="AN3330" s="15" t="s">
        <v>3675</v>
      </c>
    </row>
    <row r="3331" spans="1:40" x14ac:dyDescent="0.3">
      <c r="A3331" s="10" t="str">
        <f>HYPERLINK("http://www.washoecounty.gov/assessor/cama/?parid=074-540-15&amp;CardNumber=1","074-540-15")</f>
        <v>074-540-15</v>
      </c>
      <c r="B3331" t="s">
        <v>4655</v>
      </c>
      <c r="C3331" t="s">
        <v>318</v>
      </c>
      <c r="D3331" s="1">
        <v>40408</v>
      </c>
      <c r="E3331" s="2">
        <v>6500</v>
      </c>
      <c r="F3331" t="s">
        <v>3528</v>
      </c>
      <c r="G3331" s="17" t="str">
        <f>HYPERLINK("https://www.washoecounty.gov/assessor/cama/?command=sales&amp;parid=07454015","3913158")</f>
        <v>3913158</v>
      </c>
      <c r="H3331" t="s">
        <v>18780</v>
      </c>
      <c r="I3331">
        <v>0</v>
      </c>
      <c r="J3331">
        <v>0</v>
      </c>
      <c r="K3331" t="s">
        <v>4655</v>
      </c>
      <c r="L3331" t="s">
        <v>4655</v>
      </c>
      <c r="M3331" s="2">
        <v>0</v>
      </c>
      <c r="N3331" t="s">
        <v>4655</v>
      </c>
      <c r="O3331">
        <v>0</v>
      </c>
      <c r="P3331">
        <v>0</v>
      </c>
      <c r="Q3331">
        <v>0</v>
      </c>
      <c r="R3331" t="s">
        <v>4655</v>
      </c>
      <c r="S3331" t="s">
        <v>4655</v>
      </c>
      <c r="T3331" t="s">
        <v>4655</v>
      </c>
      <c r="U3331" t="s">
        <v>4655</v>
      </c>
      <c r="V3331" s="2">
        <v>0</v>
      </c>
      <c r="W3331" t="s">
        <v>4655</v>
      </c>
      <c r="X3331" s="2">
        <v>0</v>
      </c>
      <c r="Y3331">
        <v>12</v>
      </c>
      <c r="Z3331" t="s">
        <v>3668</v>
      </c>
      <c r="AA3331" s="3">
        <v>10.131999969482401</v>
      </c>
      <c r="AB3331" t="s">
        <v>18781</v>
      </c>
      <c r="AC3331" t="s">
        <v>4562</v>
      </c>
      <c r="AD3331" t="s">
        <v>18782</v>
      </c>
      <c r="AE3331" t="s">
        <v>4655</v>
      </c>
      <c r="AF3331" t="s">
        <v>4563</v>
      </c>
      <c r="AG3331" t="s">
        <v>4564</v>
      </c>
      <c r="AH3331" t="s">
        <v>1147</v>
      </c>
      <c r="AI3331" t="s">
        <v>4655</v>
      </c>
      <c r="AJ3331" t="s">
        <v>18826</v>
      </c>
      <c r="AK3331" t="s">
        <v>18783</v>
      </c>
      <c r="AL3331" s="13" t="s">
        <v>1891</v>
      </c>
      <c r="AM3331">
        <v>0</v>
      </c>
      <c r="AN3331" s="15" t="s">
        <v>3675</v>
      </c>
    </row>
    <row r="3332" spans="1:40" x14ac:dyDescent="0.3">
      <c r="A3332" s="10" t="str">
        <f>HYPERLINK("http://www.washoecounty.gov/assessor/cama/?parid=076-080-45&amp;CardNumber=1","076-080-45")</f>
        <v>076-080-45</v>
      </c>
      <c r="B3332" t="s">
        <v>4655</v>
      </c>
      <c r="C3332" t="s">
        <v>18827</v>
      </c>
      <c r="D3332" s="1">
        <v>40382</v>
      </c>
      <c r="E3332" s="2">
        <v>118177</v>
      </c>
      <c r="F3332" t="s">
        <v>4553</v>
      </c>
      <c r="G3332" s="17" t="str">
        <f>HYPERLINK("https://www.washoecounty.gov/assessor/cama/?command=sales&amp;parid=07608045","3904175")</f>
        <v>3904175</v>
      </c>
      <c r="H3332" t="s">
        <v>18828</v>
      </c>
      <c r="I3332">
        <v>2004</v>
      </c>
      <c r="J3332">
        <v>2004</v>
      </c>
      <c r="K3332" t="s">
        <v>4847</v>
      </c>
      <c r="L3332" t="s">
        <v>4555</v>
      </c>
      <c r="M3332" s="2">
        <v>2134</v>
      </c>
      <c r="N3332" t="s">
        <v>3887</v>
      </c>
      <c r="O3332">
        <v>3</v>
      </c>
      <c r="P3332">
        <v>2</v>
      </c>
      <c r="Q3332">
        <v>0</v>
      </c>
      <c r="R3332" t="s">
        <v>4557</v>
      </c>
      <c r="S3332" t="s">
        <v>4558</v>
      </c>
      <c r="T3332" t="s">
        <v>4559</v>
      </c>
      <c r="U3332" t="s">
        <v>4655</v>
      </c>
      <c r="V3332" s="2">
        <v>0</v>
      </c>
      <c r="W3332" t="s">
        <v>4655</v>
      </c>
      <c r="X3332" s="2">
        <v>0</v>
      </c>
      <c r="Y3332">
        <v>22</v>
      </c>
      <c r="Z3332" t="s">
        <v>5223</v>
      </c>
      <c r="AA3332" s="3">
        <v>37.919998168945313</v>
      </c>
      <c r="AB3332" t="s">
        <v>18829</v>
      </c>
      <c r="AC3332" t="s">
        <v>4575</v>
      </c>
      <c r="AD3332" t="s">
        <v>18830</v>
      </c>
      <c r="AE3332" t="s">
        <v>18827</v>
      </c>
      <c r="AF3332" t="s">
        <v>4563</v>
      </c>
      <c r="AG3332" t="s">
        <v>4564</v>
      </c>
      <c r="AH3332">
        <v>89510</v>
      </c>
      <c r="AI3332" t="s">
        <v>4565</v>
      </c>
      <c r="AJ3332" t="s">
        <v>4655</v>
      </c>
      <c r="AK3332" t="s">
        <v>18831</v>
      </c>
      <c r="AL3332" s="13" t="s">
        <v>1890</v>
      </c>
      <c r="AM3332">
        <v>1</v>
      </c>
      <c r="AN3332" s="15" t="s">
        <v>5224</v>
      </c>
    </row>
    <row r="3333" spans="1:40" x14ac:dyDescent="0.3">
      <c r="A3333" s="10" t="str">
        <f>HYPERLINK("http://www.washoecounty.gov/assessor/cama/?parid=076-080-51&amp;CardNumber=1","076-080-51")</f>
        <v>076-080-51</v>
      </c>
      <c r="B3333" t="s">
        <v>4655</v>
      </c>
      <c r="C3333" t="s">
        <v>18832</v>
      </c>
      <c r="D3333" s="1">
        <v>40210</v>
      </c>
      <c r="E3333" s="2">
        <v>315000</v>
      </c>
      <c r="F3333" t="s">
        <v>4553</v>
      </c>
      <c r="G3333" s="17" t="str">
        <f>HYPERLINK("https://www.washoecounty.gov/assessor/cama/?command=sales&amp;parid=07608051","3844913")</f>
        <v>3844913</v>
      </c>
      <c r="H3333" t="s">
        <v>18833</v>
      </c>
      <c r="I3333">
        <v>2007</v>
      </c>
      <c r="J3333">
        <v>2007</v>
      </c>
      <c r="K3333" t="s">
        <v>4554</v>
      </c>
      <c r="L3333" t="s">
        <v>4555</v>
      </c>
      <c r="M3333" s="2">
        <v>1142</v>
      </c>
      <c r="N3333" t="s">
        <v>3887</v>
      </c>
      <c r="O3333">
        <v>3</v>
      </c>
      <c r="P3333">
        <v>2</v>
      </c>
      <c r="Q3333">
        <v>1</v>
      </c>
      <c r="R3333" t="s">
        <v>1186</v>
      </c>
      <c r="S3333" t="s">
        <v>1187</v>
      </c>
      <c r="T3333" t="s">
        <v>4559</v>
      </c>
      <c r="U3333" t="s">
        <v>4560</v>
      </c>
      <c r="V3333" s="2">
        <v>1037</v>
      </c>
      <c r="W3333" t="s">
        <v>3201</v>
      </c>
      <c r="X3333" s="2">
        <v>1236</v>
      </c>
      <c r="Y3333">
        <v>20</v>
      </c>
      <c r="Z3333" t="s">
        <v>5223</v>
      </c>
      <c r="AA3333" s="3">
        <v>40.534999847412102</v>
      </c>
      <c r="AB3333" t="s">
        <v>18834</v>
      </c>
      <c r="AC3333" t="s">
        <v>4575</v>
      </c>
      <c r="AD3333" t="s">
        <v>18835</v>
      </c>
      <c r="AE3333" t="s">
        <v>4655</v>
      </c>
      <c r="AF3333" t="s">
        <v>18836</v>
      </c>
      <c r="AG3333" t="s">
        <v>1188</v>
      </c>
      <c r="AH3333">
        <v>99507</v>
      </c>
      <c r="AI3333" t="s">
        <v>18837</v>
      </c>
      <c r="AJ3333" t="s">
        <v>4655</v>
      </c>
      <c r="AK3333" t="s">
        <v>18838</v>
      </c>
      <c r="AL3333" s="13" t="s">
        <v>1890</v>
      </c>
      <c r="AM3333" s="14">
        <v>1</v>
      </c>
      <c r="AN3333" s="15" t="s">
        <v>5224</v>
      </c>
    </row>
    <row r="3334" spans="1:40" x14ac:dyDescent="0.3">
      <c r="A3334" s="10" t="str">
        <f>HYPERLINK("http://www.washoecounty.gov/assessor/cama/?parid=076-110-06&amp;CardNumber=1","076-110-06")</f>
        <v>076-110-06</v>
      </c>
      <c r="B3334" t="s">
        <v>4655</v>
      </c>
      <c r="C3334" t="s">
        <v>18839</v>
      </c>
      <c r="D3334" s="1">
        <v>40218</v>
      </c>
      <c r="E3334" s="2">
        <v>336000</v>
      </c>
      <c r="F3334" t="s">
        <v>4553</v>
      </c>
      <c r="G3334" s="17" t="str">
        <f>HYPERLINK("https://www.washoecounty.gov/assessor/cama/?command=sales&amp;parid=07611006","3847447")</f>
        <v>3847447</v>
      </c>
      <c r="H3334" t="s">
        <v>18840</v>
      </c>
      <c r="I3334">
        <v>1998</v>
      </c>
      <c r="J3334">
        <v>2004</v>
      </c>
      <c r="K3334" t="s">
        <v>4554</v>
      </c>
      <c r="L3334" t="s">
        <v>4555</v>
      </c>
      <c r="M3334" s="2">
        <v>5693</v>
      </c>
      <c r="N3334" t="s">
        <v>5280</v>
      </c>
      <c r="O3334">
        <v>5</v>
      </c>
      <c r="P3334">
        <v>6</v>
      </c>
      <c r="Q3334">
        <v>1</v>
      </c>
      <c r="R3334" t="s">
        <v>4557</v>
      </c>
      <c r="S3334" t="s">
        <v>4898</v>
      </c>
      <c r="T3334" t="s">
        <v>2704</v>
      </c>
      <c r="U3334" t="s">
        <v>162</v>
      </c>
      <c r="V3334" s="2">
        <v>3488</v>
      </c>
      <c r="W3334" t="s">
        <v>4655</v>
      </c>
      <c r="X3334" s="2">
        <v>0</v>
      </c>
      <c r="Y3334">
        <v>20</v>
      </c>
      <c r="Z3334" t="s">
        <v>5223</v>
      </c>
      <c r="AA3334" s="3">
        <v>41.869998931884766</v>
      </c>
      <c r="AB3334" t="s">
        <v>18841</v>
      </c>
      <c r="AC3334" t="s">
        <v>4562</v>
      </c>
      <c r="AD3334" t="s">
        <v>18842</v>
      </c>
      <c r="AE3334" t="s">
        <v>4655</v>
      </c>
      <c r="AF3334" t="s">
        <v>4752</v>
      </c>
      <c r="AG3334" t="s">
        <v>4564</v>
      </c>
      <c r="AH3334">
        <v>89510</v>
      </c>
      <c r="AI3334" t="s">
        <v>4145</v>
      </c>
      <c r="AJ3334" t="s">
        <v>4655</v>
      </c>
      <c r="AK3334" t="s">
        <v>18840</v>
      </c>
      <c r="AL3334" s="13" t="s">
        <v>3429</v>
      </c>
      <c r="AM3334">
        <v>1</v>
      </c>
      <c r="AN3334" s="15" t="s">
        <v>5224</v>
      </c>
    </row>
    <row r="3335" spans="1:40" x14ac:dyDescent="0.3">
      <c r="A3335" s="10" t="str">
        <f>HYPERLINK("http://www.washoecounty.gov/assessor/cama/?parid=076-120-01&amp;CardNumber=1","076-120-01")</f>
        <v>076-120-01</v>
      </c>
      <c r="B3335" t="s">
        <v>4655</v>
      </c>
      <c r="C3335" t="s">
        <v>3060</v>
      </c>
      <c r="D3335" s="1">
        <v>40379</v>
      </c>
      <c r="E3335" s="2">
        <v>307777</v>
      </c>
      <c r="F3335" t="s">
        <v>4567</v>
      </c>
      <c r="G3335" s="17" t="str">
        <f>HYPERLINK("https://www.washoecounty.gov/assessor/cama/?command=sales&amp;parid=07612001","3903245")</f>
        <v>3903245</v>
      </c>
      <c r="H3335" t="s">
        <v>18843</v>
      </c>
      <c r="I3335">
        <v>1985</v>
      </c>
      <c r="J3335">
        <v>1985</v>
      </c>
      <c r="K3335" t="s">
        <v>4554</v>
      </c>
      <c r="L3335" t="s">
        <v>4555</v>
      </c>
      <c r="M3335" s="2">
        <v>1280</v>
      </c>
      <c r="N3335" t="s">
        <v>4048</v>
      </c>
      <c r="O3335">
        <v>2</v>
      </c>
      <c r="P3335">
        <v>1</v>
      </c>
      <c r="Q3335">
        <v>0</v>
      </c>
      <c r="R3335" t="s">
        <v>5343</v>
      </c>
      <c r="S3335" t="s">
        <v>364</v>
      </c>
      <c r="T3335" t="s">
        <v>4559</v>
      </c>
      <c r="U3335" t="s">
        <v>4655</v>
      </c>
      <c r="V3335" s="2">
        <v>0</v>
      </c>
      <c r="W3335" t="s">
        <v>3149</v>
      </c>
      <c r="X3335" s="2">
        <v>1160</v>
      </c>
      <c r="Y3335">
        <v>20</v>
      </c>
      <c r="Z3335" t="s">
        <v>5223</v>
      </c>
      <c r="AA3335" s="3">
        <v>40.509998321533203</v>
      </c>
      <c r="AB3335" t="s">
        <v>18844</v>
      </c>
      <c r="AC3335" t="s">
        <v>4575</v>
      </c>
      <c r="AD3335" t="s">
        <v>18845</v>
      </c>
      <c r="AE3335" t="s">
        <v>3060</v>
      </c>
      <c r="AF3335" t="s">
        <v>4563</v>
      </c>
      <c r="AG3335" t="s">
        <v>4564</v>
      </c>
      <c r="AH3335">
        <v>89510</v>
      </c>
      <c r="AI3335" t="s">
        <v>18846</v>
      </c>
      <c r="AJ3335" t="s">
        <v>4655</v>
      </c>
      <c r="AK3335" t="s">
        <v>18843</v>
      </c>
      <c r="AL3335" s="13" t="s">
        <v>1890</v>
      </c>
      <c r="AM3335">
        <v>1</v>
      </c>
      <c r="AN3335" s="15" t="s">
        <v>5224</v>
      </c>
    </row>
    <row r="3336" spans="1:40" x14ac:dyDescent="0.3">
      <c r="A3336" s="10" t="str">
        <f>HYPERLINK("http://www.washoecounty.gov/assessor/cama/?parid=076-150-20&amp;CardNumber=1","076-150-20")</f>
        <v>076-150-20</v>
      </c>
      <c r="B3336" t="s">
        <v>4655</v>
      </c>
      <c r="C3336" t="s">
        <v>18847</v>
      </c>
      <c r="D3336" s="1">
        <v>40219</v>
      </c>
      <c r="E3336" s="2">
        <v>37500</v>
      </c>
      <c r="F3336" t="s">
        <v>4553</v>
      </c>
      <c r="G3336" s="17" t="str">
        <f>HYPERLINK("https://www.washoecounty.gov/assessor/cama/?command=sales&amp;parid=07615020","3847616")</f>
        <v>3847616</v>
      </c>
      <c r="H3336" t="s">
        <v>18848</v>
      </c>
      <c r="I3336">
        <v>0</v>
      </c>
      <c r="J3336">
        <v>0</v>
      </c>
      <c r="K3336" t="s">
        <v>4655</v>
      </c>
      <c r="L3336" t="s">
        <v>4655</v>
      </c>
      <c r="M3336" s="2">
        <v>0</v>
      </c>
      <c r="N3336" t="s">
        <v>4655</v>
      </c>
      <c r="O3336">
        <v>0</v>
      </c>
      <c r="P3336">
        <v>0</v>
      </c>
      <c r="Q3336">
        <v>0</v>
      </c>
      <c r="R3336" t="s">
        <v>4655</v>
      </c>
      <c r="S3336" t="s">
        <v>4655</v>
      </c>
      <c r="T3336" t="s">
        <v>4655</v>
      </c>
      <c r="U3336" t="s">
        <v>4655</v>
      </c>
      <c r="V3336" s="2">
        <v>0</v>
      </c>
      <c r="W3336" t="s">
        <v>4655</v>
      </c>
      <c r="X3336" s="2">
        <v>0</v>
      </c>
      <c r="Y3336">
        <v>12</v>
      </c>
      <c r="Z3336" t="s">
        <v>5223</v>
      </c>
      <c r="AA3336" s="3">
        <v>40</v>
      </c>
      <c r="AB3336" t="s">
        <v>18849</v>
      </c>
      <c r="AC3336" t="s">
        <v>4575</v>
      </c>
      <c r="AD3336" t="s">
        <v>1190</v>
      </c>
      <c r="AE3336" t="s">
        <v>4655</v>
      </c>
      <c r="AF3336" t="s">
        <v>5201</v>
      </c>
      <c r="AG3336" t="s">
        <v>4564</v>
      </c>
      <c r="AH3336" t="s">
        <v>1605</v>
      </c>
      <c r="AI3336" t="s">
        <v>2351</v>
      </c>
      <c r="AJ3336" t="s">
        <v>18850</v>
      </c>
      <c r="AK3336" t="s">
        <v>18851</v>
      </c>
      <c r="AL3336" s="13" t="s">
        <v>1890</v>
      </c>
      <c r="AM3336" s="14">
        <v>0</v>
      </c>
      <c r="AN3336" s="15" t="s">
        <v>1191</v>
      </c>
    </row>
    <row r="3337" spans="1:40" x14ac:dyDescent="0.3">
      <c r="A3337" s="10" t="str">
        <f>HYPERLINK("http://www.washoecounty.gov/assessor/cama/?parid=076-180-10&amp;CardNumber=1","076-180-10")</f>
        <v>076-180-10</v>
      </c>
      <c r="B3337" t="s">
        <v>4655</v>
      </c>
      <c r="C3337" t="s">
        <v>18852</v>
      </c>
      <c r="D3337" s="1">
        <v>40239</v>
      </c>
      <c r="E3337" s="2">
        <v>175000</v>
      </c>
      <c r="F3337" t="s">
        <v>4567</v>
      </c>
      <c r="G3337" s="17" t="str">
        <f>HYPERLINK("https://www.washoecounty.gov/assessor/cama/?command=sales&amp;parid=07618010","3854609")</f>
        <v>3854609</v>
      </c>
      <c r="H3337" t="s">
        <v>4655</v>
      </c>
      <c r="I3337">
        <v>1981</v>
      </c>
      <c r="J3337">
        <v>1981</v>
      </c>
      <c r="K3337" t="s">
        <v>4554</v>
      </c>
      <c r="L3337" t="s">
        <v>3886</v>
      </c>
      <c r="M3337" s="2">
        <v>1336</v>
      </c>
      <c r="N3337" t="s">
        <v>4556</v>
      </c>
      <c r="O3337">
        <v>3</v>
      </c>
      <c r="P3337">
        <v>2</v>
      </c>
      <c r="Q3337">
        <v>0</v>
      </c>
      <c r="R3337" t="s">
        <v>4557</v>
      </c>
      <c r="S3337" t="s">
        <v>4135</v>
      </c>
      <c r="T3337" t="s">
        <v>4559</v>
      </c>
      <c r="U3337" t="s">
        <v>4655</v>
      </c>
      <c r="V3337" s="2">
        <v>0</v>
      </c>
      <c r="W3337" t="s">
        <v>3149</v>
      </c>
      <c r="X3337" s="2">
        <v>546</v>
      </c>
      <c r="Y3337">
        <v>20</v>
      </c>
      <c r="Z3337" t="s">
        <v>5223</v>
      </c>
      <c r="AA3337" s="3">
        <v>64.769996643066406</v>
      </c>
      <c r="AB3337" t="s">
        <v>18853</v>
      </c>
      <c r="AC3337" t="s">
        <v>4562</v>
      </c>
      <c r="AD3337" t="s">
        <v>18852</v>
      </c>
      <c r="AE3337" t="s">
        <v>4655</v>
      </c>
      <c r="AF3337" t="s">
        <v>4563</v>
      </c>
      <c r="AG3337" t="s">
        <v>4564</v>
      </c>
      <c r="AH3337">
        <v>89510</v>
      </c>
      <c r="AI3337" t="s">
        <v>18854</v>
      </c>
      <c r="AJ3337" t="s">
        <v>4655</v>
      </c>
      <c r="AK3337" t="s">
        <v>18855</v>
      </c>
      <c r="AL3337" s="13" t="s">
        <v>1890</v>
      </c>
      <c r="AM3337" s="14">
        <v>1</v>
      </c>
      <c r="AN3337" s="15" t="s">
        <v>1191</v>
      </c>
    </row>
    <row r="3338" spans="1:40" x14ac:dyDescent="0.3">
      <c r="A3338" s="10" t="str">
        <f>HYPERLINK("http://www.washoecounty.gov/assessor/cama/?parid=076-210-06&amp;CardNumber=1","076-210-06")</f>
        <v>076-210-06</v>
      </c>
      <c r="B3338" t="s">
        <v>4655</v>
      </c>
      <c r="C3338" t="s">
        <v>18856</v>
      </c>
      <c r="D3338" s="1">
        <v>40254</v>
      </c>
      <c r="E3338" s="2">
        <v>44000</v>
      </c>
      <c r="F3338" t="s">
        <v>4553</v>
      </c>
      <c r="G3338" s="17" t="str">
        <f>HYPERLINK("https://www.washoecounty.gov/assessor/cama/?command=sales&amp;parid=07621006","3860611")</f>
        <v>3860611</v>
      </c>
      <c r="H3338" t="s">
        <v>18857</v>
      </c>
      <c r="I3338">
        <v>0</v>
      </c>
      <c r="J3338">
        <v>0</v>
      </c>
      <c r="K3338" t="s">
        <v>4655</v>
      </c>
      <c r="L3338" t="s">
        <v>4655</v>
      </c>
      <c r="M3338" s="2">
        <v>0</v>
      </c>
      <c r="N3338" t="s">
        <v>4655</v>
      </c>
      <c r="O3338">
        <v>0</v>
      </c>
      <c r="P3338">
        <v>0</v>
      </c>
      <c r="Q3338">
        <v>0</v>
      </c>
      <c r="R3338" t="s">
        <v>4655</v>
      </c>
      <c r="S3338" t="s">
        <v>4655</v>
      </c>
      <c r="T3338" t="s">
        <v>4655</v>
      </c>
      <c r="U3338" t="s">
        <v>4655</v>
      </c>
      <c r="V3338" s="2">
        <v>0</v>
      </c>
      <c r="W3338" t="s">
        <v>4655</v>
      </c>
      <c r="X3338" s="2">
        <v>0</v>
      </c>
      <c r="Y3338">
        <v>12</v>
      </c>
      <c r="Z3338" t="s">
        <v>5223</v>
      </c>
      <c r="AA3338" s="3">
        <v>40.659999847412102</v>
      </c>
      <c r="AB3338" t="s">
        <v>18858</v>
      </c>
      <c r="AC3338" t="s">
        <v>4562</v>
      </c>
      <c r="AD3338" t="s">
        <v>18859</v>
      </c>
      <c r="AE3338" t="s">
        <v>4655</v>
      </c>
      <c r="AF3338" t="s">
        <v>2715</v>
      </c>
      <c r="AG3338" t="s">
        <v>4584</v>
      </c>
      <c r="AH3338" t="s">
        <v>2716</v>
      </c>
      <c r="AI3338" t="s">
        <v>18860</v>
      </c>
      <c r="AJ3338" t="s">
        <v>4655</v>
      </c>
      <c r="AK3338" t="s">
        <v>18857</v>
      </c>
      <c r="AL3338" s="13" t="s">
        <v>3429</v>
      </c>
      <c r="AM3338">
        <v>0</v>
      </c>
      <c r="AN3338" s="15" t="s">
        <v>5224</v>
      </c>
    </row>
    <row r="3339" spans="1:40" x14ac:dyDescent="0.3">
      <c r="A3339" s="10" t="str">
        <f>HYPERLINK("http://www.washoecounty.gov/assessor/cama/?parid=076-262-13&amp;CardNumber=1","076-262-13")</f>
        <v>076-262-13</v>
      </c>
      <c r="B3339" t="s">
        <v>5502</v>
      </c>
      <c r="C3339" t="s">
        <v>18861</v>
      </c>
      <c r="D3339" s="1">
        <v>40409</v>
      </c>
      <c r="E3339" s="2">
        <v>430000</v>
      </c>
      <c r="F3339" t="s">
        <v>4567</v>
      </c>
      <c r="G3339" s="17" t="str">
        <f>HYPERLINK("https://www.washoecounty.gov/assessor/cama/?command=sales&amp;parid=07626213","3913758")</f>
        <v>3913758</v>
      </c>
      <c r="H3339" t="s">
        <v>18862</v>
      </c>
      <c r="I3339">
        <v>2000</v>
      </c>
      <c r="J3339">
        <v>2000</v>
      </c>
      <c r="K3339" t="s">
        <v>4554</v>
      </c>
      <c r="L3339" t="s">
        <v>4555</v>
      </c>
      <c r="M3339" s="2">
        <v>1838</v>
      </c>
      <c r="N3339" t="s">
        <v>4048</v>
      </c>
      <c r="O3339">
        <v>4</v>
      </c>
      <c r="P3339">
        <v>3</v>
      </c>
      <c r="Q3339">
        <v>0</v>
      </c>
      <c r="R3339" t="s">
        <v>4557</v>
      </c>
      <c r="S3339" t="s">
        <v>3148</v>
      </c>
      <c r="T3339" t="s">
        <v>4559</v>
      </c>
      <c r="U3339" t="s">
        <v>4560</v>
      </c>
      <c r="V3339" s="2">
        <v>350</v>
      </c>
      <c r="W3339" t="s">
        <v>4655</v>
      </c>
      <c r="X3339" s="2">
        <v>0</v>
      </c>
      <c r="Y3339">
        <v>20</v>
      </c>
      <c r="Z3339" t="s">
        <v>5223</v>
      </c>
      <c r="AA3339" s="3">
        <v>49.248001098632798</v>
      </c>
      <c r="AB3339" t="s">
        <v>18863</v>
      </c>
      <c r="AC3339" t="s">
        <v>4562</v>
      </c>
      <c r="AD3339" t="s">
        <v>18864</v>
      </c>
      <c r="AE3339" t="s">
        <v>4655</v>
      </c>
      <c r="AF3339" t="s">
        <v>18865</v>
      </c>
      <c r="AG3339" t="s">
        <v>4584</v>
      </c>
      <c r="AH3339" t="s">
        <v>18866</v>
      </c>
      <c r="AI3339" t="s">
        <v>18867</v>
      </c>
      <c r="AJ3339" t="s">
        <v>18868</v>
      </c>
      <c r="AK3339" t="s">
        <v>18869</v>
      </c>
      <c r="AL3339" s="13" t="s">
        <v>1890</v>
      </c>
      <c r="AM3339" s="14">
        <v>2</v>
      </c>
      <c r="AN3339" s="15" t="s">
        <v>5224</v>
      </c>
    </row>
    <row r="3340" spans="1:40" x14ac:dyDescent="0.3">
      <c r="A3340" s="10" t="str">
        <f>HYPERLINK("http://www.washoecounty.gov/assessor/cama/?parid=076-281-27&amp;CardNumber=1","076-281-27")</f>
        <v>076-281-27</v>
      </c>
      <c r="B3340" t="s">
        <v>4655</v>
      </c>
      <c r="C3340" t="s">
        <v>18870</v>
      </c>
      <c r="D3340" s="1">
        <v>40295</v>
      </c>
      <c r="E3340" s="2">
        <v>290000</v>
      </c>
      <c r="F3340" t="s">
        <v>4553</v>
      </c>
      <c r="G3340" s="17" t="str">
        <f>HYPERLINK("https://www.washoecounty.gov/assessor/cama/?command=sales&amp;parid=07628127","3875276")</f>
        <v>3875276</v>
      </c>
      <c r="H3340" t="s">
        <v>18871</v>
      </c>
      <c r="I3340">
        <v>1990</v>
      </c>
      <c r="J3340">
        <v>1990</v>
      </c>
      <c r="K3340" t="s">
        <v>4554</v>
      </c>
      <c r="L3340" t="s">
        <v>4555</v>
      </c>
      <c r="M3340" s="2">
        <v>2517</v>
      </c>
      <c r="N3340" t="s">
        <v>3147</v>
      </c>
      <c r="O3340">
        <v>3</v>
      </c>
      <c r="P3340">
        <v>2</v>
      </c>
      <c r="Q3340">
        <v>1</v>
      </c>
      <c r="R3340" t="s">
        <v>4557</v>
      </c>
      <c r="S3340" t="s">
        <v>4898</v>
      </c>
      <c r="T3340" t="s">
        <v>1583</v>
      </c>
      <c r="U3340" t="s">
        <v>4560</v>
      </c>
      <c r="V3340" s="2">
        <v>816</v>
      </c>
      <c r="W3340" t="s">
        <v>4655</v>
      </c>
      <c r="X3340" s="2">
        <v>0</v>
      </c>
      <c r="Y3340">
        <v>20</v>
      </c>
      <c r="Z3340" t="s">
        <v>5223</v>
      </c>
      <c r="AA3340" s="3">
        <v>40</v>
      </c>
      <c r="AB3340" t="s">
        <v>18872</v>
      </c>
      <c r="AC3340" t="s">
        <v>4562</v>
      </c>
      <c r="AD3340" t="s">
        <v>18870</v>
      </c>
      <c r="AE3340" t="s">
        <v>4655</v>
      </c>
      <c r="AF3340" t="s">
        <v>4563</v>
      </c>
      <c r="AG3340" t="s">
        <v>4564</v>
      </c>
      <c r="AH3340">
        <v>89510</v>
      </c>
      <c r="AI3340" t="s">
        <v>4585</v>
      </c>
      <c r="AJ3340" t="s">
        <v>4655</v>
      </c>
      <c r="AK3340" t="s">
        <v>18873</v>
      </c>
      <c r="AL3340" s="13" t="s">
        <v>1890</v>
      </c>
      <c r="AM3340" s="14">
        <v>1</v>
      </c>
      <c r="AN3340" s="15" t="s">
        <v>1191</v>
      </c>
    </row>
    <row r="3341" spans="1:40" x14ac:dyDescent="0.3">
      <c r="A3341" s="10" t="str">
        <f>HYPERLINK("http://www.washoecounty.gov/assessor/cama/?parid=076-300-28&amp;CardNumber=1","076-300-28")</f>
        <v>076-300-28</v>
      </c>
      <c r="B3341" t="s">
        <v>4655</v>
      </c>
      <c r="C3341" t="s">
        <v>18874</v>
      </c>
      <c r="D3341" s="1">
        <v>40207</v>
      </c>
      <c r="E3341" s="2">
        <v>390000</v>
      </c>
      <c r="F3341" t="s">
        <v>4567</v>
      </c>
      <c r="G3341" s="17" t="str">
        <f>HYPERLINK("https://www.washoecounty.gov/assessor/cama/?command=sales&amp;parid=07630028","3844415")</f>
        <v>3844415</v>
      </c>
      <c r="H3341" t="s">
        <v>18875</v>
      </c>
      <c r="I3341">
        <v>2005</v>
      </c>
      <c r="J3341">
        <v>2005</v>
      </c>
      <c r="K3341" t="s">
        <v>4554</v>
      </c>
      <c r="L3341" t="s">
        <v>4555</v>
      </c>
      <c r="M3341" s="2">
        <v>2724</v>
      </c>
      <c r="N3341" t="s">
        <v>1245</v>
      </c>
      <c r="O3341">
        <v>5</v>
      </c>
      <c r="P3341">
        <v>3</v>
      </c>
      <c r="Q3341">
        <v>0</v>
      </c>
      <c r="R3341" t="s">
        <v>5281</v>
      </c>
      <c r="S3341" t="s">
        <v>1187</v>
      </c>
      <c r="T3341" t="s">
        <v>4899</v>
      </c>
      <c r="U3341" t="s">
        <v>4560</v>
      </c>
      <c r="V3341" s="2">
        <v>765</v>
      </c>
      <c r="W3341" t="s">
        <v>4655</v>
      </c>
      <c r="X3341" s="2">
        <v>0</v>
      </c>
      <c r="Y3341">
        <v>20</v>
      </c>
      <c r="Z3341" t="s">
        <v>3668</v>
      </c>
      <c r="AA3341" s="3">
        <v>10.0100002288818</v>
      </c>
      <c r="AB3341" t="s">
        <v>18876</v>
      </c>
      <c r="AC3341" t="s">
        <v>4575</v>
      </c>
      <c r="AD3341" t="s">
        <v>18877</v>
      </c>
      <c r="AE3341" t="s">
        <v>4655</v>
      </c>
      <c r="AF3341" t="s">
        <v>5201</v>
      </c>
      <c r="AG3341" t="s">
        <v>4564</v>
      </c>
      <c r="AH3341" t="s">
        <v>1605</v>
      </c>
      <c r="AI3341" t="s">
        <v>18878</v>
      </c>
      <c r="AJ3341" t="s">
        <v>4655</v>
      </c>
      <c r="AK3341" t="s">
        <v>18879</v>
      </c>
      <c r="AL3341" s="13" t="s">
        <v>1892</v>
      </c>
      <c r="AM3341" s="14">
        <v>1</v>
      </c>
      <c r="AN3341" s="15" t="s">
        <v>1192</v>
      </c>
    </row>
    <row r="3342" spans="1:40" x14ac:dyDescent="0.3">
      <c r="A3342" s="10" t="str">
        <f>HYPERLINK("http://www.washoecounty.gov/assessor/cama/?parid=076-300-39&amp;CardNumber=1","076-300-39")</f>
        <v>076-300-39</v>
      </c>
      <c r="B3342" t="s">
        <v>4655</v>
      </c>
      <c r="C3342" t="s">
        <v>18880</v>
      </c>
      <c r="D3342" s="1">
        <v>40325</v>
      </c>
      <c r="E3342" s="2">
        <v>350000</v>
      </c>
      <c r="F3342" t="s">
        <v>4567</v>
      </c>
      <c r="G3342" s="17" t="str">
        <f>HYPERLINK("https://www.washoecounty.gov/assessor/cama/?command=sales&amp;parid=07630039","3886070")</f>
        <v>3886070</v>
      </c>
      <c r="H3342" t="s">
        <v>18881</v>
      </c>
      <c r="I3342">
        <v>2005</v>
      </c>
      <c r="J3342">
        <v>2005</v>
      </c>
      <c r="K3342" t="s">
        <v>4554</v>
      </c>
      <c r="L3342" t="s">
        <v>3974</v>
      </c>
      <c r="M3342" s="2">
        <v>3221</v>
      </c>
      <c r="N3342" t="s">
        <v>1245</v>
      </c>
      <c r="O3342">
        <v>4</v>
      </c>
      <c r="P3342">
        <v>3</v>
      </c>
      <c r="Q3342">
        <v>1</v>
      </c>
      <c r="R3342" t="s">
        <v>5281</v>
      </c>
      <c r="S3342" t="s">
        <v>4898</v>
      </c>
      <c r="T3342" t="s">
        <v>2704</v>
      </c>
      <c r="U3342" t="s">
        <v>4560</v>
      </c>
      <c r="V3342" s="2">
        <v>1124</v>
      </c>
      <c r="W3342" t="s">
        <v>4655</v>
      </c>
      <c r="X3342" s="2">
        <v>0</v>
      </c>
      <c r="Y3342">
        <v>20</v>
      </c>
      <c r="Z3342" t="s">
        <v>3668</v>
      </c>
      <c r="AA3342" s="3">
        <v>10.270000457763601</v>
      </c>
      <c r="AB3342" t="s">
        <v>18882</v>
      </c>
      <c r="AC3342" t="s">
        <v>4562</v>
      </c>
      <c r="AD3342" t="s">
        <v>18880</v>
      </c>
      <c r="AE3342" t="s">
        <v>4655</v>
      </c>
      <c r="AF3342" t="s">
        <v>5201</v>
      </c>
      <c r="AG3342" t="s">
        <v>4564</v>
      </c>
      <c r="AH3342" t="s">
        <v>1350</v>
      </c>
      <c r="AI3342" t="s">
        <v>18883</v>
      </c>
      <c r="AJ3342" t="s">
        <v>4655</v>
      </c>
      <c r="AK3342" t="s">
        <v>18884</v>
      </c>
      <c r="AL3342" s="13" t="s">
        <v>1892</v>
      </c>
      <c r="AM3342">
        <v>1</v>
      </c>
      <c r="AN3342" s="15" t="s">
        <v>1192</v>
      </c>
    </row>
    <row r="3343" spans="1:40" x14ac:dyDescent="0.3">
      <c r="A3343" s="10" t="str">
        <f>HYPERLINK("http://www.washoecounty.gov/assessor/cama/?parid=076-310-31&amp;CardNumber=1","076-310-31")</f>
        <v>076-310-31</v>
      </c>
      <c r="B3343" t="s">
        <v>4655</v>
      </c>
      <c r="C3343" t="s">
        <v>18885</v>
      </c>
      <c r="D3343" s="1">
        <v>40319</v>
      </c>
      <c r="E3343" s="2">
        <v>409000</v>
      </c>
      <c r="F3343" t="s">
        <v>4567</v>
      </c>
      <c r="G3343" s="17" t="str">
        <f>HYPERLINK("https://www.washoecounty.gov/assessor/cama/?command=sales&amp;parid=07631031","3883756")</f>
        <v>3883756</v>
      </c>
      <c r="H3343" t="s">
        <v>4786</v>
      </c>
      <c r="I3343">
        <v>1988</v>
      </c>
      <c r="J3343">
        <v>1988</v>
      </c>
      <c r="K3343" t="s">
        <v>4554</v>
      </c>
      <c r="L3343" t="s">
        <v>4555</v>
      </c>
      <c r="M3343" s="2">
        <v>1904</v>
      </c>
      <c r="N3343" t="s">
        <v>5280</v>
      </c>
      <c r="O3343">
        <v>3</v>
      </c>
      <c r="P3343">
        <v>2</v>
      </c>
      <c r="Q3343">
        <v>0</v>
      </c>
      <c r="R3343" t="s">
        <v>2015</v>
      </c>
      <c r="S3343" t="s">
        <v>4397</v>
      </c>
      <c r="T3343" t="s">
        <v>2704</v>
      </c>
      <c r="U3343" t="s">
        <v>4560</v>
      </c>
      <c r="V3343" s="2">
        <v>1080</v>
      </c>
      <c r="W3343" t="s">
        <v>4655</v>
      </c>
      <c r="X3343" s="2">
        <v>0</v>
      </c>
      <c r="Y3343">
        <v>20</v>
      </c>
      <c r="Z3343" t="s">
        <v>3668</v>
      </c>
      <c r="AA3343" s="3">
        <v>10</v>
      </c>
      <c r="AB3343" t="s">
        <v>18886</v>
      </c>
      <c r="AC3343" t="s">
        <v>4562</v>
      </c>
      <c r="AD3343" t="s">
        <v>18885</v>
      </c>
      <c r="AE3343" t="s">
        <v>4655</v>
      </c>
      <c r="AF3343" t="s">
        <v>5201</v>
      </c>
      <c r="AG3343" t="s">
        <v>4564</v>
      </c>
      <c r="AH3343" t="s">
        <v>1350</v>
      </c>
      <c r="AI3343" t="s">
        <v>18887</v>
      </c>
      <c r="AJ3343" t="s">
        <v>4655</v>
      </c>
      <c r="AK3343" t="s">
        <v>18888</v>
      </c>
      <c r="AL3343" s="13" t="s">
        <v>1892</v>
      </c>
      <c r="AM3343">
        <v>1</v>
      </c>
      <c r="AN3343" s="15" t="s">
        <v>1192</v>
      </c>
    </row>
    <row r="3344" spans="1:40" x14ac:dyDescent="0.3">
      <c r="A3344" s="10" t="str">
        <f>HYPERLINK("http://www.washoecounty.gov/assessor/cama/?parid=076-310-50&amp;CardNumber=1","076-310-50")</f>
        <v>076-310-50</v>
      </c>
      <c r="B3344" t="s">
        <v>4655</v>
      </c>
      <c r="C3344" t="s">
        <v>18889</v>
      </c>
      <c r="D3344" s="1">
        <v>40266</v>
      </c>
      <c r="E3344" s="2">
        <v>45000</v>
      </c>
      <c r="F3344" t="s">
        <v>3259</v>
      </c>
      <c r="G3344" s="17" t="str">
        <f>HYPERLINK("https://www.washoecounty.gov/assessor/cama/?command=sales&amp;parid=07631050","3865080")</f>
        <v>3865080</v>
      </c>
      <c r="H3344" t="s">
        <v>18890</v>
      </c>
      <c r="I3344">
        <v>0</v>
      </c>
      <c r="J3344">
        <v>0</v>
      </c>
      <c r="K3344" t="s">
        <v>4655</v>
      </c>
      <c r="L3344" t="s">
        <v>4655</v>
      </c>
      <c r="M3344" s="2">
        <v>0</v>
      </c>
      <c r="N3344" t="s">
        <v>4655</v>
      </c>
      <c r="O3344">
        <v>0</v>
      </c>
      <c r="P3344">
        <v>0</v>
      </c>
      <c r="Q3344">
        <v>0</v>
      </c>
      <c r="R3344" t="s">
        <v>4655</v>
      </c>
      <c r="S3344" t="s">
        <v>4655</v>
      </c>
      <c r="T3344" t="s">
        <v>4655</v>
      </c>
      <c r="U3344" t="s">
        <v>4655</v>
      </c>
      <c r="V3344" s="2">
        <v>0</v>
      </c>
      <c r="W3344" t="s">
        <v>4655</v>
      </c>
      <c r="X3344" s="2">
        <v>0</v>
      </c>
      <c r="Y3344">
        <v>12</v>
      </c>
      <c r="Z3344" t="s">
        <v>3668</v>
      </c>
      <c r="AA3344" s="3">
        <v>40.060001373291001</v>
      </c>
      <c r="AB3344" t="s">
        <v>18891</v>
      </c>
      <c r="AC3344" t="s">
        <v>4562</v>
      </c>
      <c r="AD3344" t="s">
        <v>18892</v>
      </c>
      <c r="AE3344" t="s">
        <v>4655</v>
      </c>
      <c r="AF3344" t="s">
        <v>149</v>
      </c>
      <c r="AG3344" t="s">
        <v>1434</v>
      </c>
      <c r="AH3344" t="s">
        <v>18893</v>
      </c>
      <c r="AI3344" t="s">
        <v>18894</v>
      </c>
      <c r="AJ3344" t="s">
        <v>18895</v>
      </c>
      <c r="AK3344" t="s">
        <v>18896</v>
      </c>
      <c r="AL3344" s="13" t="s">
        <v>1890</v>
      </c>
      <c r="AM3344">
        <v>0</v>
      </c>
      <c r="AN3344" s="15" t="s">
        <v>18897</v>
      </c>
    </row>
    <row r="3345" spans="1:40" x14ac:dyDescent="0.3">
      <c r="A3345" s="10" t="str">
        <f>HYPERLINK("http://www.washoecounty.gov/assessor/cama/?parid=076-360-47&amp;CardNumber=1","076-360-47")</f>
        <v>076-360-47</v>
      </c>
      <c r="B3345" t="s">
        <v>4655</v>
      </c>
      <c r="C3345" t="s">
        <v>18898</v>
      </c>
      <c r="D3345" s="1">
        <v>40417</v>
      </c>
      <c r="E3345" s="2">
        <v>90000</v>
      </c>
      <c r="F3345" t="s">
        <v>3259</v>
      </c>
      <c r="G3345" s="17" t="str">
        <f>HYPERLINK("https://www.washoecounty.gov/assessor/cama/?command=sales&amp;parid=07636047","3916476")</f>
        <v>3916476</v>
      </c>
      <c r="H3345" t="s">
        <v>18899</v>
      </c>
      <c r="I3345">
        <v>0</v>
      </c>
      <c r="J3345">
        <v>0</v>
      </c>
      <c r="K3345" t="s">
        <v>4655</v>
      </c>
      <c r="L3345" t="s">
        <v>4655</v>
      </c>
      <c r="M3345" s="2">
        <v>0</v>
      </c>
      <c r="N3345" t="s">
        <v>4655</v>
      </c>
      <c r="O3345">
        <v>0</v>
      </c>
      <c r="P3345">
        <v>0</v>
      </c>
      <c r="Q3345">
        <v>0</v>
      </c>
      <c r="R3345" t="s">
        <v>4655</v>
      </c>
      <c r="S3345" t="s">
        <v>4655</v>
      </c>
      <c r="T3345" t="s">
        <v>4655</v>
      </c>
      <c r="U3345" t="s">
        <v>4655</v>
      </c>
      <c r="V3345" s="2">
        <v>0</v>
      </c>
      <c r="W3345" t="s">
        <v>4655</v>
      </c>
      <c r="X3345" s="2">
        <v>0</v>
      </c>
      <c r="Y3345">
        <v>12</v>
      </c>
      <c r="Z3345" t="s">
        <v>3668</v>
      </c>
      <c r="AA3345" s="3">
        <v>10</v>
      </c>
      <c r="AB3345" t="s">
        <v>18900</v>
      </c>
      <c r="AC3345" t="s">
        <v>4562</v>
      </c>
      <c r="AD3345" t="s">
        <v>3092</v>
      </c>
      <c r="AE3345" t="s">
        <v>4655</v>
      </c>
      <c r="AF3345" t="s">
        <v>4563</v>
      </c>
      <c r="AG3345" t="s">
        <v>4564</v>
      </c>
      <c r="AH3345">
        <v>89510</v>
      </c>
      <c r="AI3345" t="s">
        <v>18901</v>
      </c>
      <c r="AJ3345" t="s">
        <v>4655</v>
      </c>
      <c r="AK3345" t="s">
        <v>18902</v>
      </c>
      <c r="AL3345" s="13" t="s">
        <v>1892</v>
      </c>
      <c r="AM3345" s="14">
        <v>0</v>
      </c>
      <c r="AN3345" s="15" t="s">
        <v>1192</v>
      </c>
    </row>
    <row r="3346" spans="1:40" x14ac:dyDescent="0.3">
      <c r="A3346" s="10" t="str">
        <f>HYPERLINK("http://www.washoecounty.gov/assessor/cama/?parid=076-360-80&amp;CardNumber=1","076-360-80")</f>
        <v>076-360-80</v>
      </c>
      <c r="B3346" t="s">
        <v>4655</v>
      </c>
      <c r="C3346" t="s">
        <v>18903</v>
      </c>
      <c r="D3346" s="1">
        <v>40539</v>
      </c>
      <c r="E3346" s="2">
        <v>315000</v>
      </c>
      <c r="F3346" t="s">
        <v>4553</v>
      </c>
      <c r="G3346" s="17" t="str">
        <f>HYPERLINK("https://www.washoecounty.gov/assessor/cama/?command=sales&amp;parid=07636080","3957729")</f>
        <v>3957729</v>
      </c>
      <c r="H3346" t="s">
        <v>18904</v>
      </c>
      <c r="I3346">
        <v>1997</v>
      </c>
      <c r="J3346">
        <v>1997</v>
      </c>
      <c r="K3346" t="s">
        <v>4554</v>
      </c>
      <c r="L3346" t="s">
        <v>4555</v>
      </c>
      <c r="M3346" s="2">
        <v>2854</v>
      </c>
      <c r="N3346" t="s">
        <v>3887</v>
      </c>
      <c r="O3346">
        <v>3</v>
      </c>
      <c r="P3346">
        <v>2</v>
      </c>
      <c r="Q3346">
        <v>1</v>
      </c>
      <c r="R3346" t="s">
        <v>4557</v>
      </c>
      <c r="S3346" t="s">
        <v>4898</v>
      </c>
      <c r="T3346" t="s">
        <v>4559</v>
      </c>
      <c r="U3346" t="s">
        <v>4560</v>
      </c>
      <c r="V3346" s="2">
        <v>1067</v>
      </c>
      <c r="W3346" t="s">
        <v>4655</v>
      </c>
      <c r="X3346" s="2">
        <v>0</v>
      </c>
      <c r="Y3346">
        <v>20</v>
      </c>
      <c r="Z3346" t="s">
        <v>3668</v>
      </c>
      <c r="AA3346" s="3">
        <v>10.0179996490478</v>
      </c>
      <c r="AB3346" t="s">
        <v>18905</v>
      </c>
      <c r="AC3346" t="s">
        <v>4562</v>
      </c>
      <c r="AD3346" t="s">
        <v>18903</v>
      </c>
      <c r="AE3346" t="s">
        <v>4655</v>
      </c>
      <c r="AF3346" t="s">
        <v>4563</v>
      </c>
      <c r="AG3346" t="s">
        <v>4564</v>
      </c>
      <c r="AH3346" t="s">
        <v>1350</v>
      </c>
      <c r="AI3346" t="s">
        <v>18906</v>
      </c>
      <c r="AJ3346" t="s">
        <v>18907</v>
      </c>
      <c r="AK3346" t="s">
        <v>18908</v>
      </c>
      <c r="AL3346" s="13" t="s">
        <v>1892</v>
      </c>
      <c r="AM3346">
        <v>1</v>
      </c>
      <c r="AN3346" s="15" t="s">
        <v>1192</v>
      </c>
    </row>
    <row r="3347" spans="1:40" x14ac:dyDescent="0.3">
      <c r="A3347" s="10" t="str">
        <f>HYPERLINK("http://www.washoecounty.gov/assessor/cama/?parid=076-371-07&amp;CardNumber=1","076-371-07")</f>
        <v>076-371-07</v>
      </c>
      <c r="B3347" t="s">
        <v>4655</v>
      </c>
      <c r="C3347" t="s">
        <v>18909</v>
      </c>
      <c r="D3347" s="1">
        <v>40359</v>
      </c>
      <c r="E3347" s="2">
        <v>195000</v>
      </c>
      <c r="F3347" t="s">
        <v>4567</v>
      </c>
      <c r="G3347" s="17" t="str">
        <f>HYPERLINK("https://www.washoecounty.gov/assessor/cama/?command=sales&amp;parid=07637107","3897291")</f>
        <v>3897291</v>
      </c>
      <c r="H3347" t="s">
        <v>990</v>
      </c>
      <c r="I3347">
        <v>1994</v>
      </c>
      <c r="J3347">
        <v>1994</v>
      </c>
      <c r="K3347" t="s">
        <v>4554</v>
      </c>
      <c r="L3347" t="s">
        <v>3974</v>
      </c>
      <c r="M3347" s="2">
        <v>1200</v>
      </c>
      <c r="N3347" t="s">
        <v>4556</v>
      </c>
      <c r="O3347">
        <v>3</v>
      </c>
      <c r="P3347">
        <v>1</v>
      </c>
      <c r="Q3347">
        <v>0</v>
      </c>
      <c r="R3347" t="s">
        <v>4557</v>
      </c>
      <c r="S3347" t="s">
        <v>3148</v>
      </c>
      <c r="T3347" t="s">
        <v>3888</v>
      </c>
      <c r="U3347" t="s">
        <v>162</v>
      </c>
      <c r="V3347" s="2">
        <v>1104</v>
      </c>
      <c r="W3347" t="s">
        <v>4655</v>
      </c>
      <c r="X3347" s="2">
        <v>0</v>
      </c>
      <c r="Y3347">
        <v>20</v>
      </c>
      <c r="Z3347" t="s">
        <v>3668</v>
      </c>
      <c r="AA3347" s="3">
        <v>11.079999923706</v>
      </c>
      <c r="AB3347" t="s">
        <v>18910</v>
      </c>
      <c r="AC3347" t="s">
        <v>4562</v>
      </c>
      <c r="AD3347" t="s">
        <v>18909</v>
      </c>
      <c r="AE3347" t="s">
        <v>4655</v>
      </c>
      <c r="AF3347" t="s">
        <v>5201</v>
      </c>
      <c r="AG3347" t="s">
        <v>4564</v>
      </c>
      <c r="AH3347" t="s">
        <v>1350</v>
      </c>
      <c r="AI3347" t="s">
        <v>18911</v>
      </c>
      <c r="AJ3347" t="s">
        <v>4655</v>
      </c>
      <c r="AK3347" t="s">
        <v>18912</v>
      </c>
      <c r="AL3347" s="13" t="s">
        <v>1892</v>
      </c>
      <c r="AM3347" s="14">
        <v>1</v>
      </c>
      <c r="AN3347" s="15" t="s">
        <v>1192</v>
      </c>
    </row>
    <row r="3348" spans="1:40" x14ac:dyDescent="0.3">
      <c r="A3348" s="10" t="str">
        <f>HYPERLINK("http://www.washoecounty.gov/assessor/cama/?parid=076-372-04&amp;CardNumber=1","076-372-04")</f>
        <v>076-372-04</v>
      </c>
      <c r="B3348" t="s">
        <v>4655</v>
      </c>
      <c r="C3348" t="s">
        <v>18913</v>
      </c>
      <c r="D3348" s="1">
        <v>40539</v>
      </c>
      <c r="E3348" s="2">
        <v>445000</v>
      </c>
      <c r="F3348" t="s">
        <v>4567</v>
      </c>
      <c r="G3348" s="17" t="str">
        <f>HYPERLINK("https://www.washoecounty.gov/assessor/cama/?command=sales&amp;parid=07637204","3957641")</f>
        <v>3957641</v>
      </c>
      <c r="H3348" t="s">
        <v>18914</v>
      </c>
      <c r="I3348">
        <v>1996</v>
      </c>
      <c r="J3348">
        <v>1996</v>
      </c>
      <c r="K3348" t="s">
        <v>4554</v>
      </c>
      <c r="L3348" t="s">
        <v>4555</v>
      </c>
      <c r="M3348" s="2">
        <v>2806</v>
      </c>
      <c r="N3348" t="s">
        <v>4048</v>
      </c>
      <c r="O3348">
        <v>3</v>
      </c>
      <c r="P3348">
        <v>2</v>
      </c>
      <c r="Q3348">
        <v>1</v>
      </c>
      <c r="R3348" t="s">
        <v>5281</v>
      </c>
      <c r="S3348" t="s">
        <v>4558</v>
      </c>
      <c r="T3348" t="s">
        <v>4559</v>
      </c>
      <c r="U3348" t="s">
        <v>4560</v>
      </c>
      <c r="V3348" s="2">
        <v>1096</v>
      </c>
      <c r="W3348" t="s">
        <v>4655</v>
      </c>
      <c r="X3348" s="2">
        <v>0</v>
      </c>
      <c r="Y3348">
        <v>20</v>
      </c>
      <c r="Z3348" t="s">
        <v>3668</v>
      </c>
      <c r="AA3348" s="3">
        <v>9.4860000610351491</v>
      </c>
      <c r="AB3348" t="s">
        <v>18915</v>
      </c>
      <c r="AC3348" t="s">
        <v>4575</v>
      </c>
      <c r="AD3348" t="s">
        <v>18916</v>
      </c>
      <c r="AE3348" t="s">
        <v>18917</v>
      </c>
      <c r="AF3348" t="s">
        <v>18918</v>
      </c>
      <c r="AG3348" t="s">
        <v>4584</v>
      </c>
      <c r="AH3348">
        <v>91302</v>
      </c>
      <c r="AI3348" t="s">
        <v>18919</v>
      </c>
      <c r="AJ3348" t="s">
        <v>18920</v>
      </c>
      <c r="AK3348" t="s">
        <v>18921</v>
      </c>
      <c r="AL3348" s="13" t="s">
        <v>1892</v>
      </c>
      <c r="AM3348" s="14">
        <v>1</v>
      </c>
      <c r="AN3348" s="15" t="s">
        <v>1192</v>
      </c>
    </row>
    <row r="3349" spans="1:40" x14ac:dyDescent="0.3">
      <c r="A3349" s="10" t="str">
        <f>HYPERLINK("http://www.washoecounty.gov/assessor/cama/?parid=076-470-19&amp;CardNumber=1","076-470-19")</f>
        <v>076-470-19</v>
      </c>
      <c r="B3349" t="s">
        <v>4655</v>
      </c>
      <c r="C3349" t="s">
        <v>18922</v>
      </c>
      <c r="D3349" s="1">
        <v>40451</v>
      </c>
      <c r="E3349" s="2">
        <v>52500</v>
      </c>
      <c r="F3349" t="s">
        <v>4567</v>
      </c>
      <c r="G3349" s="17" t="str">
        <f>HYPERLINK("https://www.washoecounty.gov/assessor/cama/?command=sales&amp;parid=07647019","3928383")</f>
        <v>3928383</v>
      </c>
      <c r="H3349" t="s">
        <v>18923</v>
      </c>
      <c r="I3349">
        <v>0</v>
      </c>
      <c r="J3349">
        <v>0</v>
      </c>
      <c r="K3349" t="s">
        <v>4655</v>
      </c>
      <c r="L3349" t="s">
        <v>4655</v>
      </c>
      <c r="M3349" s="2">
        <v>0</v>
      </c>
      <c r="N3349" t="s">
        <v>4655</v>
      </c>
      <c r="O3349">
        <v>0</v>
      </c>
      <c r="P3349">
        <v>0</v>
      </c>
      <c r="Q3349">
        <v>0</v>
      </c>
      <c r="R3349" t="s">
        <v>4655</v>
      </c>
      <c r="S3349" t="s">
        <v>4655</v>
      </c>
      <c r="T3349" t="s">
        <v>4655</v>
      </c>
      <c r="U3349" t="s">
        <v>4655</v>
      </c>
      <c r="V3349" s="2">
        <v>0</v>
      </c>
      <c r="W3349" t="s">
        <v>4655</v>
      </c>
      <c r="X3349" s="2">
        <v>0</v>
      </c>
      <c r="Y3349">
        <v>12</v>
      </c>
      <c r="Z3349" t="s">
        <v>3668</v>
      </c>
      <c r="AA3349" s="3">
        <v>40.506999969482401</v>
      </c>
      <c r="AB3349" t="s">
        <v>18924</v>
      </c>
      <c r="AC3349" t="s">
        <v>4562</v>
      </c>
      <c r="AD3349" t="s">
        <v>18925</v>
      </c>
      <c r="AE3349" t="s">
        <v>4655</v>
      </c>
      <c r="AF3349" t="s">
        <v>5201</v>
      </c>
      <c r="AG3349" t="s">
        <v>4564</v>
      </c>
      <c r="AH3349" t="s">
        <v>1605</v>
      </c>
      <c r="AI3349" t="s">
        <v>18926</v>
      </c>
      <c r="AJ3349" t="s">
        <v>18927</v>
      </c>
      <c r="AK3349" t="s">
        <v>18928</v>
      </c>
      <c r="AL3349" s="13" t="s">
        <v>1890</v>
      </c>
      <c r="AM3349">
        <v>0</v>
      </c>
      <c r="AN3349" s="15" t="s">
        <v>5224</v>
      </c>
    </row>
    <row r="3350" spans="1:40" x14ac:dyDescent="0.3">
      <c r="A3350" s="10" t="str">
        <f>HYPERLINK("http://www.washoecounty.gov/assessor/cama/?parid=076-580-02&amp;CardNumber=1","076-580-02")</f>
        <v>076-580-02</v>
      </c>
      <c r="B3350" t="s">
        <v>4655</v>
      </c>
      <c r="C3350" t="s">
        <v>18929</v>
      </c>
      <c r="D3350" s="1">
        <v>40339</v>
      </c>
      <c r="E3350" s="2">
        <v>1000</v>
      </c>
      <c r="F3350" t="s">
        <v>3528</v>
      </c>
      <c r="G3350" s="17" t="str">
        <f>HYPERLINK("https://www.washoecounty.gov/assessor/cama/?command=sales&amp;parid=07658002","3890230")</f>
        <v>3890230</v>
      </c>
      <c r="H3350" t="s">
        <v>4655</v>
      </c>
      <c r="I3350">
        <v>0</v>
      </c>
      <c r="J3350">
        <v>0</v>
      </c>
      <c r="K3350" t="s">
        <v>4655</v>
      </c>
      <c r="L3350" t="s">
        <v>4655</v>
      </c>
      <c r="M3350" s="2">
        <v>0</v>
      </c>
      <c r="N3350" t="s">
        <v>4655</v>
      </c>
      <c r="O3350">
        <v>0</v>
      </c>
      <c r="P3350">
        <v>0</v>
      </c>
      <c r="Q3350">
        <v>0</v>
      </c>
      <c r="R3350" t="s">
        <v>4655</v>
      </c>
      <c r="S3350" t="s">
        <v>4655</v>
      </c>
      <c r="T3350" t="s">
        <v>4655</v>
      </c>
      <c r="U3350" t="s">
        <v>4655</v>
      </c>
      <c r="V3350" s="2">
        <v>0</v>
      </c>
      <c r="W3350" t="s">
        <v>4655</v>
      </c>
      <c r="X3350" s="2">
        <v>0</v>
      </c>
      <c r="Y3350">
        <v>12</v>
      </c>
      <c r="Z3350" t="s">
        <v>3668</v>
      </c>
      <c r="AA3350" s="3">
        <v>421.8599853515625</v>
      </c>
      <c r="AB3350" t="s">
        <v>8001</v>
      </c>
      <c r="AC3350" t="s">
        <v>4562</v>
      </c>
      <c r="AD3350" t="s">
        <v>4938</v>
      </c>
      <c r="AE3350" t="s">
        <v>4655</v>
      </c>
      <c r="AF3350" t="s">
        <v>4563</v>
      </c>
      <c r="AG3350" t="s">
        <v>4564</v>
      </c>
      <c r="AH3350">
        <v>89509</v>
      </c>
      <c r="AI3350" t="s">
        <v>1717</v>
      </c>
      <c r="AJ3350" t="s">
        <v>4655</v>
      </c>
      <c r="AK3350" t="s">
        <v>18930</v>
      </c>
      <c r="AL3350" s="13" t="s">
        <v>1890</v>
      </c>
      <c r="AM3350">
        <v>0</v>
      </c>
      <c r="AN3350" s="15" t="s">
        <v>18931</v>
      </c>
    </row>
    <row r="3351" spans="1:40" x14ac:dyDescent="0.3">
      <c r="A3351" s="10" t="str">
        <f>HYPERLINK("http://www.washoecounty.gov/assessor/cama/?parid=076-910-04&amp;CardNumber=1","076-910-04")</f>
        <v>076-910-04</v>
      </c>
      <c r="B3351" t="s">
        <v>4655</v>
      </c>
      <c r="C3351" t="s">
        <v>315</v>
      </c>
      <c r="D3351" s="1">
        <v>40443</v>
      </c>
      <c r="E3351" s="2">
        <v>17500</v>
      </c>
      <c r="F3351" t="s">
        <v>4187</v>
      </c>
      <c r="G3351" s="17" t="str">
        <f>HYPERLINK("https://www.washoecounty.gov/assessor/cama/?command=sales&amp;parid=07691004","3924959")</f>
        <v>3924959</v>
      </c>
      <c r="H3351" t="s">
        <v>5577</v>
      </c>
      <c r="I3351">
        <v>0</v>
      </c>
      <c r="J3351">
        <v>0</v>
      </c>
      <c r="K3351" t="s">
        <v>4655</v>
      </c>
      <c r="L3351" t="s">
        <v>4655</v>
      </c>
      <c r="M3351" s="2">
        <v>0</v>
      </c>
      <c r="N3351" t="s">
        <v>4655</v>
      </c>
      <c r="O3351">
        <v>0</v>
      </c>
      <c r="P3351">
        <v>0</v>
      </c>
      <c r="Q3351">
        <v>0</v>
      </c>
      <c r="R3351" t="s">
        <v>4655</v>
      </c>
      <c r="S3351" t="s">
        <v>4655</v>
      </c>
      <c r="T3351" t="s">
        <v>4655</v>
      </c>
      <c r="U3351" t="s">
        <v>4655</v>
      </c>
      <c r="V3351" s="2">
        <v>0</v>
      </c>
      <c r="W3351" t="s">
        <v>4655</v>
      </c>
      <c r="X3351" s="2">
        <v>0</v>
      </c>
      <c r="Y3351">
        <v>12</v>
      </c>
      <c r="Z3351" t="s">
        <v>5223</v>
      </c>
      <c r="AA3351" s="3">
        <v>40.119998931884702</v>
      </c>
      <c r="AB3351" t="s">
        <v>2894</v>
      </c>
      <c r="AC3351" t="s">
        <v>4575</v>
      </c>
      <c r="AD3351" t="s">
        <v>18932</v>
      </c>
      <c r="AE3351" t="s">
        <v>4655</v>
      </c>
      <c r="AF3351" t="s">
        <v>18933</v>
      </c>
      <c r="AG3351" t="s">
        <v>4584</v>
      </c>
      <c r="AH3351" t="s">
        <v>5578</v>
      </c>
      <c r="AI3351" t="s">
        <v>5579</v>
      </c>
      <c r="AJ3351" t="s">
        <v>5580</v>
      </c>
      <c r="AK3351" t="s">
        <v>18934</v>
      </c>
      <c r="AL3351" s="13" t="s">
        <v>1890</v>
      </c>
      <c r="AM3351">
        <v>0</v>
      </c>
      <c r="AN3351" s="15" t="s">
        <v>5224</v>
      </c>
    </row>
    <row r="3352" spans="1:40" x14ac:dyDescent="0.3">
      <c r="A3352" s="10" t="str">
        <f>HYPERLINK("http://www.washoecounty.gov/assessor/cama/?parid=077-100-31&amp;CardNumber=1","077-100-31")</f>
        <v>077-100-31</v>
      </c>
      <c r="B3352" t="s">
        <v>4655</v>
      </c>
      <c r="C3352" t="s">
        <v>18935</v>
      </c>
      <c r="D3352" s="1">
        <v>40528</v>
      </c>
      <c r="E3352" s="2">
        <v>220000</v>
      </c>
      <c r="F3352" t="s">
        <v>4553</v>
      </c>
      <c r="G3352" s="17" t="str">
        <f>HYPERLINK("https://www.washoecounty.gov/assessor/cama/?command=sales&amp;parid=07710031","3953915")</f>
        <v>3953915</v>
      </c>
      <c r="H3352" t="s">
        <v>4717</v>
      </c>
      <c r="I3352">
        <v>1996</v>
      </c>
      <c r="J3352">
        <v>1996</v>
      </c>
      <c r="K3352" t="s">
        <v>4554</v>
      </c>
      <c r="L3352" t="s">
        <v>4555</v>
      </c>
      <c r="M3352" s="2">
        <v>1845</v>
      </c>
      <c r="N3352" t="s">
        <v>4556</v>
      </c>
      <c r="O3352">
        <v>3</v>
      </c>
      <c r="P3352">
        <v>2</v>
      </c>
      <c r="Q3352">
        <v>1</v>
      </c>
      <c r="R3352" t="s">
        <v>4557</v>
      </c>
      <c r="S3352" t="s">
        <v>4558</v>
      </c>
      <c r="T3352" t="s">
        <v>4559</v>
      </c>
      <c r="U3352" t="s">
        <v>4560</v>
      </c>
      <c r="V3352" s="2">
        <v>522</v>
      </c>
      <c r="W3352" t="s">
        <v>4655</v>
      </c>
      <c r="X3352" s="2">
        <v>0</v>
      </c>
      <c r="Y3352">
        <v>20</v>
      </c>
      <c r="Z3352" t="s">
        <v>5223</v>
      </c>
      <c r="AA3352" s="3">
        <v>40.299999237060497</v>
      </c>
      <c r="AB3352" t="s">
        <v>18936</v>
      </c>
      <c r="AC3352" t="s">
        <v>4562</v>
      </c>
      <c r="AD3352" t="s">
        <v>18935</v>
      </c>
      <c r="AE3352" t="s">
        <v>4655</v>
      </c>
      <c r="AF3352" t="s">
        <v>4563</v>
      </c>
      <c r="AG3352" t="s">
        <v>4564</v>
      </c>
      <c r="AH3352">
        <v>89510</v>
      </c>
      <c r="AI3352" t="s">
        <v>4565</v>
      </c>
      <c r="AJ3352" t="s">
        <v>4655</v>
      </c>
      <c r="AK3352" t="s">
        <v>18937</v>
      </c>
      <c r="AL3352" s="13" t="s">
        <v>1890</v>
      </c>
      <c r="AM3352">
        <v>1</v>
      </c>
      <c r="AN3352" s="15" t="s">
        <v>5224</v>
      </c>
    </row>
    <row r="3353" spans="1:40" x14ac:dyDescent="0.3">
      <c r="A3353" s="10" t="str">
        <f>HYPERLINK("http://www.washoecounty.gov/assessor/cama/?parid=077-110-28&amp;CardNumber=1","077-110-28")</f>
        <v>077-110-28</v>
      </c>
      <c r="B3353" t="s">
        <v>4655</v>
      </c>
      <c r="C3353" t="s">
        <v>18938</v>
      </c>
      <c r="D3353" s="1">
        <v>40515</v>
      </c>
      <c r="E3353" s="2">
        <v>137000</v>
      </c>
      <c r="F3353" t="s">
        <v>4553</v>
      </c>
      <c r="G3353" s="17" t="str">
        <f>HYPERLINK("https://www.washoecounty.gov/assessor/cama/?command=sales&amp;parid=07711028","3949132")</f>
        <v>3949132</v>
      </c>
      <c r="H3353" t="s">
        <v>18939</v>
      </c>
      <c r="I3353">
        <v>2000</v>
      </c>
      <c r="J3353">
        <v>2000</v>
      </c>
      <c r="K3353" t="s">
        <v>4554</v>
      </c>
      <c r="L3353" t="s">
        <v>4555</v>
      </c>
      <c r="M3353" s="2">
        <v>1080</v>
      </c>
      <c r="N3353" t="s">
        <v>4556</v>
      </c>
      <c r="O3353">
        <v>1</v>
      </c>
      <c r="P3353">
        <v>1</v>
      </c>
      <c r="Q3353">
        <v>0</v>
      </c>
      <c r="R3353" t="s">
        <v>4134</v>
      </c>
      <c r="S3353" t="s">
        <v>5048</v>
      </c>
      <c r="T3353" t="s">
        <v>3888</v>
      </c>
      <c r="U3353" t="s">
        <v>4655</v>
      </c>
      <c r="V3353" s="2">
        <v>0</v>
      </c>
      <c r="W3353" t="s">
        <v>4655</v>
      </c>
      <c r="X3353" s="2">
        <v>0</v>
      </c>
      <c r="Y3353">
        <v>20</v>
      </c>
      <c r="Z3353" t="s">
        <v>5223</v>
      </c>
      <c r="AA3353" s="3">
        <v>49.430000305175703</v>
      </c>
      <c r="AB3353" t="s">
        <v>18940</v>
      </c>
      <c r="AC3353" t="s">
        <v>4575</v>
      </c>
      <c r="AD3353" t="s">
        <v>18941</v>
      </c>
      <c r="AE3353" t="s">
        <v>4655</v>
      </c>
      <c r="AF3353" t="s">
        <v>18942</v>
      </c>
      <c r="AG3353" t="s">
        <v>3370</v>
      </c>
      <c r="AH3353" t="s">
        <v>18943</v>
      </c>
      <c r="AI3353" t="s">
        <v>4565</v>
      </c>
      <c r="AJ3353" t="s">
        <v>4655</v>
      </c>
      <c r="AK3353" t="s">
        <v>18944</v>
      </c>
      <c r="AL3353" s="13" t="s">
        <v>1890</v>
      </c>
      <c r="AM3353">
        <v>1</v>
      </c>
      <c r="AN3353" s="15" t="s">
        <v>5224</v>
      </c>
    </row>
    <row r="3354" spans="1:40" x14ac:dyDescent="0.3">
      <c r="A3354" s="10" t="str">
        <f>HYPERLINK("http://www.washoecounty.gov/assessor/cama/?parid=077-120-20&amp;CardNumber=1","077-120-20")</f>
        <v>077-120-20</v>
      </c>
      <c r="B3354" t="s">
        <v>4655</v>
      </c>
      <c r="C3354" t="s">
        <v>18945</v>
      </c>
      <c r="D3354" s="1">
        <v>40340</v>
      </c>
      <c r="E3354" s="2">
        <v>316000</v>
      </c>
      <c r="F3354" t="s">
        <v>4567</v>
      </c>
      <c r="G3354" s="17" t="str">
        <f>HYPERLINK("https://www.washoecounty.gov/assessor/cama/?command=sales&amp;parid=07712020","3890921")</f>
        <v>3890921</v>
      </c>
      <c r="H3354" t="s">
        <v>18946</v>
      </c>
      <c r="I3354">
        <v>2005</v>
      </c>
      <c r="J3354">
        <v>2005</v>
      </c>
      <c r="K3354" t="s">
        <v>4847</v>
      </c>
      <c r="L3354" t="s">
        <v>4555</v>
      </c>
      <c r="M3354" s="2">
        <v>2308</v>
      </c>
      <c r="N3354" t="s">
        <v>3887</v>
      </c>
      <c r="O3354">
        <v>3</v>
      </c>
      <c r="P3354">
        <v>2</v>
      </c>
      <c r="Q3354">
        <v>0</v>
      </c>
      <c r="R3354" t="s">
        <v>5281</v>
      </c>
      <c r="S3354" t="s">
        <v>4558</v>
      </c>
      <c r="T3354" t="s">
        <v>4559</v>
      </c>
      <c r="U3354" t="s">
        <v>4655</v>
      </c>
      <c r="V3354" s="2">
        <v>0</v>
      </c>
      <c r="W3354" t="s">
        <v>4655</v>
      </c>
      <c r="X3354" s="2">
        <v>0</v>
      </c>
      <c r="Y3354">
        <v>22</v>
      </c>
      <c r="Z3354" t="s">
        <v>5223</v>
      </c>
      <c r="AA3354" s="3">
        <v>40.069999694824197</v>
      </c>
      <c r="AB3354" t="s">
        <v>18947</v>
      </c>
      <c r="AC3354" t="s">
        <v>4562</v>
      </c>
      <c r="AD3354" t="s">
        <v>18945</v>
      </c>
      <c r="AE3354" t="s">
        <v>4655</v>
      </c>
      <c r="AF3354" t="s">
        <v>4563</v>
      </c>
      <c r="AG3354" t="s">
        <v>4564</v>
      </c>
      <c r="AH3354">
        <v>89510</v>
      </c>
      <c r="AI3354" t="s">
        <v>18948</v>
      </c>
      <c r="AJ3354" t="s">
        <v>4655</v>
      </c>
      <c r="AK3354" t="s">
        <v>18949</v>
      </c>
      <c r="AL3354" s="13" t="s">
        <v>1890</v>
      </c>
      <c r="AM3354">
        <v>1</v>
      </c>
      <c r="AN3354" s="15" t="s">
        <v>5224</v>
      </c>
    </row>
    <row r="3355" spans="1:40" x14ac:dyDescent="0.3">
      <c r="A3355" s="10" t="str">
        <f>HYPERLINK("http://www.washoecounty.gov/assessor/cama/?parid=077-160-08&amp;CardNumber=1","077-160-08")</f>
        <v>077-160-08</v>
      </c>
      <c r="B3355" t="s">
        <v>4655</v>
      </c>
      <c r="C3355" t="s">
        <v>18950</v>
      </c>
      <c r="D3355" s="1">
        <v>40389</v>
      </c>
      <c r="E3355" s="2">
        <v>131000</v>
      </c>
      <c r="F3355" t="s">
        <v>4553</v>
      </c>
      <c r="G3355" s="17" t="str">
        <f>HYPERLINK("https://www.washoecounty.gov/assessor/cama/?command=sales&amp;parid=07716008","3907460")</f>
        <v>3907460</v>
      </c>
      <c r="H3355" t="s">
        <v>18951</v>
      </c>
      <c r="I3355">
        <v>1993</v>
      </c>
      <c r="J3355">
        <v>1993</v>
      </c>
      <c r="K3355" t="s">
        <v>4554</v>
      </c>
      <c r="L3355" t="s">
        <v>4555</v>
      </c>
      <c r="M3355" s="2">
        <v>1354</v>
      </c>
      <c r="N3355" t="s">
        <v>4556</v>
      </c>
      <c r="O3355">
        <v>2</v>
      </c>
      <c r="P3355">
        <v>3</v>
      </c>
      <c r="Q3355">
        <v>0</v>
      </c>
      <c r="R3355" t="s">
        <v>4557</v>
      </c>
      <c r="S3355" t="s">
        <v>4558</v>
      </c>
      <c r="T3355" t="s">
        <v>4559</v>
      </c>
      <c r="U3355" t="s">
        <v>4655</v>
      </c>
      <c r="V3355" s="2">
        <v>0</v>
      </c>
      <c r="W3355" t="s">
        <v>4655</v>
      </c>
      <c r="X3355" s="2">
        <v>0</v>
      </c>
      <c r="Y3355">
        <v>20</v>
      </c>
      <c r="Z3355" t="s">
        <v>5223</v>
      </c>
      <c r="AA3355" s="3">
        <v>47.479999542236328</v>
      </c>
      <c r="AB3355" t="s">
        <v>18952</v>
      </c>
      <c r="AC3355" t="s">
        <v>4562</v>
      </c>
      <c r="AD3355" t="s">
        <v>18950</v>
      </c>
      <c r="AE3355" t="s">
        <v>4655</v>
      </c>
      <c r="AF3355" t="s">
        <v>4563</v>
      </c>
      <c r="AG3355" t="s">
        <v>4564</v>
      </c>
      <c r="AH3355">
        <v>89510</v>
      </c>
      <c r="AI3355" t="s">
        <v>4903</v>
      </c>
      <c r="AJ3355" t="s">
        <v>4655</v>
      </c>
      <c r="AK3355" t="s">
        <v>18953</v>
      </c>
      <c r="AL3355" s="13" t="s">
        <v>1890</v>
      </c>
      <c r="AM3355">
        <v>1</v>
      </c>
      <c r="AN3355" s="15" t="s">
        <v>5224</v>
      </c>
    </row>
    <row r="3356" spans="1:40" x14ac:dyDescent="0.3">
      <c r="A3356" s="10" t="str">
        <f>HYPERLINK("http://www.washoecounty.gov/assessor/cama/?parid=077-160-09&amp;CardNumber=1","077-160-09")</f>
        <v>077-160-09</v>
      </c>
      <c r="B3356" t="s">
        <v>4655</v>
      </c>
      <c r="C3356" t="s">
        <v>18954</v>
      </c>
      <c r="D3356" s="1">
        <v>40318</v>
      </c>
      <c r="E3356" s="2">
        <v>215000</v>
      </c>
      <c r="F3356" t="s">
        <v>4567</v>
      </c>
      <c r="G3356" s="17" t="str">
        <f>HYPERLINK("https://www.washoecounty.gov/assessor/cama/?command=sales&amp;parid=07716009","3883589")</f>
        <v>3883589</v>
      </c>
      <c r="H3356" t="s">
        <v>18955</v>
      </c>
      <c r="I3356">
        <v>2000</v>
      </c>
      <c r="J3356">
        <v>2000</v>
      </c>
      <c r="K3356" t="s">
        <v>4554</v>
      </c>
      <c r="L3356" t="s">
        <v>4555</v>
      </c>
      <c r="M3356" s="2">
        <v>1534</v>
      </c>
      <c r="N3356" t="s">
        <v>4048</v>
      </c>
      <c r="O3356">
        <v>3</v>
      </c>
      <c r="P3356">
        <v>2</v>
      </c>
      <c r="Q3356">
        <v>0</v>
      </c>
      <c r="R3356" t="s">
        <v>4557</v>
      </c>
      <c r="S3356" t="s">
        <v>4135</v>
      </c>
      <c r="T3356" t="s">
        <v>4559</v>
      </c>
      <c r="U3356" t="s">
        <v>4655</v>
      </c>
      <c r="V3356" s="2">
        <v>0</v>
      </c>
      <c r="W3356" t="s">
        <v>4655</v>
      </c>
      <c r="X3356" s="2">
        <v>0</v>
      </c>
      <c r="Y3356">
        <v>20</v>
      </c>
      <c r="Z3356" t="s">
        <v>5223</v>
      </c>
      <c r="AA3356" s="3">
        <v>47.610000610351499</v>
      </c>
      <c r="AB3356" t="s">
        <v>18956</v>
      </c>
      <c r="AC3356" t="s">
        <v>4562</v>
      </c>
      <c r="AD3356" t="s">
        <v>18954</v>
      </c>
      <c r="AE3356" t="s">
        <v>4655</v>
      </c>
      <c r="AF3356" t="s">
        <v>4563</v>
      </c>
      <c r="AG3356" t="s">
        <v>4564</v>
      </c>
      <c r="AH3356">
        <v>89510</v>
      </c>
      <c r="AI3356" t="s">
        <v>4655</v>
      </c>
      <c r="AJ3356" t="s">
        <v>4655</v>
      </c>
      <c r="AK3356" t="s">
        <v>18957</v>
      </c>
      <c r="AL3356" s="13" t="s">
        <v>1890</v>
      </c>
      <c r="AM3356">
        <v>1</v>
      </c>
      <c r="AN3356" s="15" t="s">
        <v>5224</v>
      </c>
    </row>
    <row r="3357" spans="1:40" x14ac:dyDescent="0.3">
      <c r="A3357" s="10" t="str">
        <f>HYPERLINK("http://www.washoecounty.gov/assessor/cama/?parid=077-190-01&amp;CardNumber=1","077-190-01")</f>
        <v>077-190-01</v>
      </c>
      <c r="B3357" t="s">
        <v>4655</v>
      </c>
      <c r="C3357" t="s">
        <v>18958</v>
      </c>
      <c r="D3357" s="1">
        <v>40469</v>
      </c>
      <c r="E3357" s="2">
        <v>540000</v>
      </c>
      <c r="F3357" t="s">
        <v>4201</v>
      </c>
      <c r="G3357" s="17" t="str">
        <f>HYPERLINK("https://www.washoecounty.gov/assessor/cama/?command=sales&amp;parid=07719001","3934065")</f>
        <v>3934065</v>
      </c>
      <c r="H3357" t="s">
        <v>4655</v>
      </c>
      <c r="I3357">
        <v>1997</v>
      </c>
      <c r="J3357">
        <v>1997</v>
      </c>
      <c r="K3357" t="s">
        <v>4554</v>
      </c>
      <c r="L3357" t="s">
        <v>4555</v>
      </c>
      <c r="M3357" s="2">
        <v>2072</v>
      </c>
      <c r="N3357" t="s">
        <v>4048</v>
      </c>
      <c r="O3357">
        <v>3</v>
      </c>
      <c r="P3357">
        <v>2</v>
      </c>
      <c r="Q3357">
        <v>0</v>
      </c>
      <c r="R3357" t="s">
        <v>4557</v>
      </c>
      <c r="S3357" t="s">
        <v>4558</v>
      </c>
      <c r="T3357" t="s">
        <v>4559</v>
      </c>
      <c r="U3357" t="s">
        <v>4560</v>
      </c>
      <c r="V3357" s="2">
        <v>720</v>
      </c>
      <c r="W3357" t="s">
        <v>4655</v>
      </c>
      <c r="X3357" s="2">
        <v>0</v>
      </c>
      <c r="Y3357">
        <v>20</v>
      </c>
      <c r="Z3357" t="s">
        <v>5223</v>
      </c>
      <c r="AA3357" s="3">
        <v>41.939998626708899</v>
      </c>
      <c r="AB3357" t="s">
        <v>18959</v>
      </c>
      <c r="AC3357" t="s">
        <v>4575</v>
      </c>
      <c r="AD3357" t="s">
        <v>18958</v>
      </c>
      <c r="AE3357" t="s">
        <v>4655</v>
      </c>
      <c r="AF3357" t="s">
        <v>4563</v>
      </c>
      <c r="AG3357" t="s">
        <v>4564</v>
      </c>
      <c r="AH3357">
        <v>89510</v>
      </c>
      <c r="AI3357" t="s">
        <v>18960</v>
      </c>
      <c r="AJ3357" t="s">
        <v>4655</v>
      </c>
      <c r="AK3357" t="s">
        <v>18961</v>
      </c>
      <c r="AL3357" s="13" t="s">
        <v>1890</v>
      </c>
      <c r="AM3357">
        <v>1</v>
      </c>
      <c r="AN3357" s="15" t="s">
        <v>5224</v>
      </c>
    </row>
    <row r="3358" spans="1:40" x14ac:dyDescent="0.3">
      <c r="A3358" s="10" t="str">
        <f>HYPERLINK("http://www.washoecounty.gov/assessor/cama/?parid=077-200-11&amp;CardNumber=1","077-200-11")</f>
        <v>077-200-11</v>
      </c>
      <c r="B3358" t="s">
        <v>4655</v>
      </c>
      <c r="C3358" t="s">
        <v>18962</v>
      </c>
      <c r="D3358" s="1">
        <v>40283</v>
      </c>
      <c r="E3358" s="2">
        <v>215000</v>
      </c>
      <c r="F3358" t="s">
        <v>4567</v>
      </c>
      <c r="G3358" s="17" t="str">
        <f>HYPERLINK("https://www.washoecounty.gov/assessor/cama/?command=sales&amp;parid=07720011","3871449")</f>
        <v>3871449</v>
      </c>
      <c r="H3358" t="s">
        <v>18963</v>
      </c>
      <c r="I3358">
        <v>1997</v>
      </c>
      <c r="J3358">
        <v>1997</v>
      </c>
      <c r="K3358" t="s">
        <v>4554</v>
      </c>
      <c r="L3358" t="s">
        <v>4555</v>
      </c>
      <c r="M3358" s="2">
        <v>1536</v>
      </c>
      <c r="N3358" t="s">
        <v>4556</v>
      </c>
      <c r="O3358">
        <v>3</v>
      </c>
      <c r="P3358">
        <v>2</v>
      </c>
      <c r="Q3358">
        <v>0</v>
      </c>
      <c r="R3358" t="s">
        <v>4557</v>
      </c>
      <c r="S3358" t="s">
        <v>3148</v>
      </c>
      <c r="T3358" t="s">
        <v>4559</v>
      </c>
      <c r="U3358" t="s">
        <v>4560</v>
      </c>
      <c r="V3358" s="2">
        <v>768</v>
      </c>
      <c r="W3358" t="s">
        <v>4655</v>
      </c>
      <c r="X3358" s="2">
        <v>0</v>
      </c>
      <c r="Y3358">
        <v>20</v>
      </c>
      <c r="Z3358" t="s">
        <v>5223</v>
      </c>
      <c r="AA3358" s="3">
        <v>94.910003662109304</v>
      </c>
      <c r="AB3358" t="s">
        <v>18964</v>
      </c>
      <c r="AC3358" t="s">
        <v>4575</v>
      </c>
      <c r="AD3358" t="s">
        <v>18965</v>
      </c>
      <c r="AE3358" t="s">
        <v>18962</v>
      </c>
      <c r="AF3358" t="s">
        <v>4563</v>
      </c>
      <c r="AG3358" t="s">
        <v>4564</v>
      </c>
      <c r="AH3358">
        <v>89510</v>
      </c>
      <c r="AI3358" t="s">
        <v>18966</v>
      </c>
      <c r="AJ3358" t="s">
        <v>4655</v>
      </c>
      <c r="AK3358" t="s">
        <v>18967</v>
      </c>
      <c r="AL3358" s="13" t="s">
        <v>1890</v>
      </c>
      <c r="AM3358">
        <v>1</v>
      </c>
      <c r="AN3358" s="15" t="s">
        <v>5224</v>
      </c>
    </row>
    <row r="3359" spans="1:40" x14ac:dyDescent="0.3">
      <c r="A3359" s="10" t="str">
        <f>HYPERLINK("http://www.washoecounty.gov/assessor/cama/?parid=077-220-07&amp;CardNumber=1","077-220-07")</f>
        <v>077-220-07</v>
      </c>
      <c r="B3359" t="s">
        <v>4655</v>
      </c>
      <c r="C3359" t="s">
        <v>18968</v>
      </c>
      <c r="D3359" s="1">
        <v>40256</v>
      </c>
      <c r="E3359" s="2">
        <v>195000</v>
      </c>
      <c r="F3359" t="s">
        <v>4553</v>
      </c>
      <c r="G3359" s="17" t="str">
        <f>HYPERLINK("https://www.washoecounty.gov/assessor/cama/?command=sales&amp;parid=07722007","3861866")</f>
        <v>3861866</v>
      </c>
      <c r="H3359" t="s">
        <v>18969</v>
      </c>
      <c r="I3359">
        <v>1992</v>
      </c>
      <c r="J3359">
        <v>1992</v>
      </c>
      <c r="K3359" t="s">
        <v>4554</v>
      </c>
      <c r="L3359" t="s">
        <v>3886</v>
      </c>
      <c r="M3359" s="2">
        <v>1952</v>
      </c>
      <c r="N3359" t="s">
        <v>4133</v>
      </c>
      <c r="O3359">
        <v>3</v>
      </c>
      <c r="P3359">
        <v>2</v>
      </c>
      <c r="Q3359">
        <v>0</v>
      </c>
      <c r="R3359" t="s">
        <v>4557</v>
      </c>
      <c r="S3359" t="s">
        <v>3148</v>
      </c>
      <c r="T3359" t="s">
        <v>4559</v>
      </c>
      <c r="U3359" t="s">
        <v>4560</v>
      </c>
      <c r="V3359" s="2">
        <v>480</v>
      </c>
      <c r="W3359" t="s">
        <v>4655</v>
      </c>
      <c r="X3359" s="2">
        <v>0</v>
      </c>
      <c r="Y3359">
        <v>20</v>
      </c>
      <c r="Z3359" t="s">
        <v>5223</v>
      </c>
      <c r="AA3359" s="3">
        <v>40.021999359130803</v>
      </c>
      <c r="AB3359" t="s">
        <v>18970</v>
      </c>
      <c r="AC3359" t="s">
        <v>4562</v>
      </c>
      <c r="AD3359" t="s">
        <v>18968</v>
      </c>
      <c r="AE3359" t="s">
        <v>4655</v>
      </c>
      <c r="AF3359" t="s">
        <v>4563</v>
      </c>
      <c r="AG3359" t="s">
        <v>4564</v>
      </c>
      <c r="AH3359">
        <v>89510</v>
      </c>
      <c r="AI3359" t="s">
        <v>4903</v>
      </c>
      <c r="AJ3359" t="s">
        <v>18971</v>
      </c>
      <c r="AK3359" t="s">
        <v>18972</v>
      </c>
      <c r="AL3359" s="13" t="s">
        <v>1890</v>
      </c>
      <c r="AM3359">
        <v>1</v>
      </c>
      <c r="AN3359" s="15" t="s">
        <v>5224</v>
      </c>
    </row>
    <row r="3360" spans="1:40" x14ac:dyDescent="0.3">
      <c r="A3360" s="10" t="str">
        <f>HYPERLINK("http://www.washoecounty.gov/assessor/cama/?parid=077-280-12&amp;CardNumber=1","077-280-12")</f>
        <v>077-280-12</v>
      </c>
      <c r="B3360" t="s">
        <v>4655</v>
      </c>
      <c r="C3360" t="s">
        <v>18973</v>
      </c>
      <c r="D3360" s="1">
        <v>40182</v>
      </c>
      <c r="E3360" s="2">
        <v>190000</v>
      </c>
      <c r="F3360" t="s">
        <v>4567</v>
      </c>
      <c r="G3360" s="17" t="str">
        <f>HYPERLINK("https://www.washoecounty.gov/assessor/cama/?command=sales&amp;parid=07728012","3836128")</f>
        <v>3836128</v>
      </c>
      <c r="H3360" t="s">
        <v>18974</v>
      </c>
      <c r="I3360">
        <v>1995</v>
      </c>
      <c r="J3360">
        <v>1995</v>
      </c>
      <c r="K3360" t="s">
        <v>4554</v>
      </c>
      <c r="L3360" t="s">
        <v>3886</v>
      </c>
      <c r="M3360" s="2">
        <v>2094</v>
      </c>
      <c r="N3360" t="s">
        <v>4048</v>
      </c>
      <c r="O3360">
        <v>3</v>
      </c>
      <c r="P3360">
        <v>2</v>
      </c>
      <c r="Q3360">
        <v>0</v>
      </c>
      <c r="R3360" t="s">
        <v>4557</v>
      </c>
      <c r="S3360" t="s">
        <v>3148</v>
      </c>
      <c r="T3360" t="s">
        <v>4559</v>
      </c>
      <c r="U3360" t="s">
        <v>4560</v>
      </c>
      <c r="V3360" s="2">
        <v>616</v>
      </c>
      <c r="W3360" t="s">
        <v>4655</v>
      </c>
      <c r="X3360" s="2">
        <v>0</v>
      </c>
      <c r="Y3360">
        <v>20</v>
      </c>
      <c r="Z3360" t="s">
        <v>5223</v>
      </c>
      <c r="AA3360" s="3">
        <v>70.010002136230398</v>
      </c>
      <c r="AB3360" t="s">
        <v>18975</v>
      </c>
      <c r="AC3360" t="s">
        <v>4575</v>
      </c>
      <c r="AD3360" t="s">
        <v>18973</v>
      </c>
      <c r="AE3360" t="s">
        <v>4655</v>
      </c>
      <c r="AF3360" t="s">
        <v>4563</v>
      </c>
      <c r="AG3360" t="s">
        <v>4564</v>
      </c>
      <c r="AH3360">
        <v>89510</v>
      </c>
      <c r="AI3360" t="s">
        <v>18975</v>
      </c>
      <c r="AJ3360" t="s">
        <v>18976</v>
      </c>
      <c r="AK3360" t="s">
        <v>18977</v>
      </c>
      <c r="AL3360" s="13" t="s">
        <v>1890</v>
      </c>
      <c r="AM3360">
        <v>1</v>
      </c>
      <c r="AN3360" s="15" t="s">
        <v>5224</v>
      </c>
    </row>
    <row r="3361" spans="1:40" x14ac:dyDescent="0.3">
      <c r="A3361" s="10" t="str">
        <f>HYPERLINK("http://www.washoecounty.gov/assessor/cama/?parid=077-340-28&amp;CardNumber=1","077-340-28")</f>
        <v>077-340-28</v>
      </c>
      <c r="B3361" t="s">
        <v>4655</v>
      </c>
      <c r="C3361" t="s">
        <v>18978</v>
      </c>
      <c r="D3361" s="1">
        <v>40273</v>
      </c>
      <c r="E3361" s="2">
        <v>32000</v>
      </c>
      <c r="F3361" t="s">
        <v>4187</v>
      </c>
      <c r="G3361" s="17" t="str">
        <f>HYPERLINK("https://www.washoecounty.gov/assessor/cama/?command=sales&amp;parid=07734028","3867638")</f>
        <v>3867638</v>
      </c>
      <c r="H3361" t="s">
        <v>18979</v>
      </c>
      <c r="I3361">
        <v>0</v>
      </c>
      <c r="J3361">
        <v>0</v>
      </c>
      <c r="K3361" t="s">
        <v>4655</v>
      </c>
      <c r="L3361" t="s">
        <v>4655</v>
      </c>
      <c r="M3361" s="2">
        <v>0</v>
      </c>
      <c r="N3361" t="s">
        <v>4655</v>
      </c>
      <c r="O3361">
        <v>0</v>
      </c>
      <c r="P3361">
        <v>0</v>
      </c>
      <c r="Q3361">
        <v>0</v>
      </c>
      <c r="R3361" t="s">
        <v>4655</v>
      </c>
      <c r="S3361" t="s">
        <v>4655</v>
      </c>
      <c r="T3361" t="s">
        <v>4655</v>
      </c>
      <c r="U3361" t="s">
        <v>4655</v>
      </c>
      <c r="V3361" s="2">
        <v>0</v>
      </c>
      <c r="W3361" t="s">
        <v>4655</v>
      </c>
      <c r="X3361" s="2">
        <v>0</v>
      </c>
      <c r="Y3361">
        <v>12</v>
      </c>
      <c r="Z3361" t="s">
        <v>5223</v>
      </c>
      <c r="AA3361" s="3">
        <v>40</v>
      </c>
      <c r="AB3361" t="s">
        <v>18980</v>
      </c>
      <c r="AC3361" t="s">
        <v>4562</v>
      </c>
      <c r="AD3361" t="s">
        <v>18981</v>
      </c>
      <c r="AE3361" t="s">
        <v>4655</v>
      </c>
      <c r="AF3361" t="s">
        <v>5201</v>
      </c>
      <c r="AG3361" t="s">
        <v>4564</v>
      </c>
      <c r="AH3361" t="s">
        <v>1605</v>
      </c>
      <c r="AI3361" t="s">
        <v>18982</v>
      </c>
      <c r="AJ3361" t="s">
        <v>18983</v>
      </c>
      <c r="AK3361" t="s">
        <v>18984</v>
      </c>
      <c r="AL3361" s="13" t="s">
        <v>1890</v>
      </c>
      <c r="AM3361">
        <v>0</v>
      </c>
      <c r="AN3361" s="15" t="s">
        <v>18931</v>
      </c>
    </row>
    <row r="3362" spans="1:40" x14ac:dyDescent="0.3">
      <c r="A3362" s="10" t="str">
        <f>HYPERLINK("http://www.washoecounty.gov/assessor/cama/?parid=077-390-13&amp;CardNumber=1","077-390-13")</f>
        <v>077-390-13</v>
      </c>
      <c r="B3362" t="s">
        <v>4655</v>
      </c>
      <c r="C3362" t="s">
        <v>18985</v>
      </c>
      <c r="D3362" s="1">
        <v>40459</v>
      </c>
      <c r="E3362" s="2">
        <v>45000</v>
      </c>
      <c r="F3362" t="s">
        <v>4187</v>
      </c>
      <c r="G3362" s="17" t="str">
        <f>HYPERLINK("https://www.washoecounty.gov/assessor/cama/?command=sales&amp;parid=07739013","3931310")</f>
        <v>3931310</v>
      </c>
      <c r="H3362" t="s">
        <v>18986</v>
      </c>
      <c r="I3362">
        <v>0</v>
      </c>
      <c r="J3362">
        <v>0</v>
      </c>
      <c r="K3362" t="s">
        <v>4655</v>
      </c>
      <c r="L3362" t="s">
        <v>4655</v>
      </c>
      <c r="M3362" s="2">
        <v>0</v>
      </c>
      <c r="N3362" t="s">
        <v>4655</v>
      </c>
      <c r="O3362">
        <v>0</v>
      </c>
      <c r="P3362">
        <v>0</v>
      </c>
      <c r="Q3362">
        <v>0</v>
      </c>
      <c r="R3362" t="s">
        <v>4655</v>
      </c>
      <c r="S3362" t="s">
        <v>4655</v>
      </c>
      <c r="T3362" t="s">
        <v>4655</v>
      </c>
      <c r="U3362" t="s">
        <v>4655</v>
      </c>
      <c r="V3362" s="2">
        <v>0</v>
      </c>
      <c r="W3362" t="s">
        <v>4655</v>
      </c>
      <c r="X3362" s="2">
        <v>0</v>
      </c>
      <c r="Y3362">
        <v>12</v>
      </c>
      <c r="Z3362" t="s">
        <v>5223</v>
      </c>
      <c r="AA3362" s="3">
        <v>40.75</v>
      </c>
      <c r="AB3362" t="s">
        <v>18987</v>
      </c>
      <c r="AC3362" t="s">
        <v>4562</v>
      </c>
      <c r="AD3362" t="s">
        <v>18988</v>
      </c>
      <c r="AE3362" t="s">
        <v>4655</v>
      </c>
      <c r="AF3362" t="s">
        <v>18989</v>
      </c>
      <c r="AG3362" t="s">
        <v>5277</v>
      </c>
      <c r="AH3362" t="s">
        <v>18990</v>
      </c>
      <c r="AI3362" t="s">
        <v>18991</v>
      </c>
      <c r="AJ3362" t="s">
        <v>4655</v>
      </c>
      <c r="AK3362" t="s">
        <v>18992</v>
      </c>
      <c r="AL3362" s="13" t="s">
        <v>1890</v>
      </c>
      <c r="AM3362">
        <v>0</v>
      </c>
      <c r="AN3362" s="15" t="s">
        <v>5224</v>
      </c>
    </row>
    <row r="3363" spans="1:40" x14ac:dyDescent="0.3">
      <c r="A3363" s="10" t="str">
        <f>HYPERLINK("http://www.washoecounty.gov/assessor/cama/?parid=077-430-03&amp;CardNumber=1","077-430-03")</f>
        <v>077-430-03</v>
      </c>
      <c r="B3363" t="s">
        <v>4655</v>
      </c>
      <c r="C3363" t="s">
        <v>18993</v>
      </c>
      <c r="D3363" s="1">
        <v>40484</v>
      </c>
      <c r="E3363" s="2">
        <v>44870</v>
      </c>
      <c r="F3363" t="s">
        <v>3259</v>
      </c>
      <c r="G3363" s="17" t="str">
        <f>HYPERLINK("https://www.washoecounty.gov/assessor/cama/?command=sales&amp;parid=07743003","3938983")</f>
        <v>3938983</v>
      </c>
      <c r="H3363" t="s">
        <v>18994</v>
      </c>
      <c r="I3363">
        <v>0</v>
      </c>
      <c r="J3363">
        <v>0</v>
      </c>
      <c r="K3363" t="s">
        <v>4655</v>
      </c>
      <c r="L3363" t="s">
        <v>4655</v>
      </c>
      <c r="M3363" s="2">
        <v>0</v>
      </c>
      <c r="N3363" t="s">
        <v>4655</v>
      </c>
      <c r="O3363">
        <v>0</v>
      </c>
      <c r="P3363">
        <v>0</v>
      </c>
      <c r="Q3363">
        <v>0</v>
      </c>
      <c r="R3363" t="s">
        <v>4655</v>
      </c>
      <c r="S3363" t="s">
        <v>4655</v>
      </c>
      <c r="T3363" t="s">
        <v>4655</v>
      </c>
      <c r="U3363" t="s">
        <v>4655</v>
      </c>
      <c r="V3363" s="2">
        <v>0</v>
      </c>
      <c r="W3363" t="s">
        <v>4655</v>
      </c>
      <c r="X3363" s="2">
        <v>0</v>
      </c>
      <c r="Y3363">
        <v>12</v>
      </c>
      <c r="Z3363" t="s">
        <v>5223</v>
      </c>
      <c r="AA3363" s="3">
        <v>287.97000122070301</v>
      </c>
      <c r="AB3363" t="s">
        <v>18995</v>
      </c>
      <c r="AC3363" t="s">
        <v>4562</v>
      </c>
      <c r="AD3363" t="s">
        <v>18996</v>
      </c>
      <c r="AE3363" t="s">
        <v>4655</v>
      </c>
      <c r="AF3363" t="s">
        <v>4563</v>
      </c>
      <c r="AG3363" t="s">
        <v>4564</v>
      </c>
      <c r="AH3363">
        <v>89511</v>
      </c>
      <c r="AI3363" t="s">
        <v>18997</v>
      </c>
      <c r="AJ3363" t="s">
        <v>4655</v>
      </c>
      <c r="AK3363" t="s">
        <v>18998</v>
      </c>
      <c r="AL3363" s="13" t="s">
        <v>1890</v>
      </c>
      <c r="AM3363">
        <v>0</v>
      </c>
      <c r="AN3363" s="15" t="s">
        <v>18931</v>
      </c>
    </row>
    <row r="3364" spans="1:40" x14ac:dyDescent="0.3">
      <c r="A3364" s="10" t="str">
        <f>HYPERLINK("http://www.washoecounty.gov/assessor/cama/?parid=077-560-12&amp;CardNumber=1","077-560-12")</f>
        <v>077-560-12</v>
      </c>
      <c r="B3364" t="s">
        <v>4655</v>
      </c>
      <c r="C3364" t="s">
        <v>3092</v>
      </c>
      <c r="D3364" s="1">
        <v>40304</v>
      </c>
      <c r="E3364" s="2">
        <v>188000</v>
      </c>
      <c r="F3364" t="s">
        <v>4553</v>
      </c>
      <c r="G3364" s="17" t="str">
        <f>HYPERLINK("https://www.washoecounty.gov/assessor/cama/?command=sales&amp;parid=07756012","3878965")</f>
        <v>3878965</v>
      </c>
      <c r="H3364" t="s">
        <v>18999</v>
      </c>
      <c r="I3364">
        <v>1997</v>
      </c>
      <c r="J3364">
        <v>1997</v>
      </c>
      <c r="K3364" t="s">
        <v>4554</v>
      </c>
      <c r="L3364" t="s">
        <v>4555</v>
      </c>
      <c r="M3364" s="2">
        <v>1851</v>
      </c>
      <c r="N3364" t="s">
        <v>4048</v>
      </c>
      <c r="O3364">
        <v>3</v>
      </c>
      <c r="P3364">
        <v>2</v>
      </c>
      <c r="Q3364">
        <v>0</v>
      </c>
      <c r="R3364" t="s">
        <v>4557</v>
      </c>
      <c r="S3364" t="s">
        <v>4558</v>
      </c>
      <c r="T3364" t="s">
        <v>4559</v>
      </c>
      <c r="U3364" t="s">
        <v>4560</v>
      </c>
      <c r="V3364" s="2">
        <v>720</v>
      </c>
      <c r="W3364" t="s">
        <v>4655</v>
      </c>
      <c r="X3364" s="2">
        <v>0</v>
      </c>
      <c r="Y3364">
        <v>20</v>
      </c>
      <c r="Z3364" t="s">
        <v>1376</v>
      </c>
      <c r="AA3364" s="3">
        <v>2.5439999103546098</v>
      </c>
      <c r="AB3364" t="s">
        <v>19000</v>
      </c>
      <c r="AC3364" t="s">
        <v>4562</v>
      </c>
      <c r="AD3364" t="s">
        <v>19001</v>
      </c>
      <c r="AE3364" t="s">
        <v>4655</v>
      </c>
      <c r="AF3364" t="s">
        <v>4563</v>
      </c>
      <c r="AG3364" t="s">
        <v>4564</v>
      </c>
      <c r="AH3364">
        <v>89510</v>
      </c>
      <c r="AI3364" t="s">
        <v>4655</v>
      </c>
      <c r="AJ3364" t="s">
        <v>4571</v>
      </c>
      <c r="AK3364" t="s">
        <v>19002</v>
      </c>
      <c r="AL3364" s="13" t="s">
        <v>1890</v>
      </c>
      <c r="AM3364">
        <v>1</v>
      </c>
      <c r="AN3364" s="15" t="s">
        <v>2663</v>
      </c>
    </row>
    <row r="3365" spans="1:40" x14ac:dyDescent="0.3">
      <c r="A3365" s="10" t="str">
        <f>HYPERLINK("http://www.washoecounty.gov/assessor/cama/?parid=077-560-16&amp;CardNumber=1","077-560-16")</f>
        <v>077-560-16</v>
      </c>
      <c r="B3365" t="s">
        <v>4655</v>
      </c>
      <c r="C3365" t="s">
        <v>19003</v>
      </c>
      <c r="D3365" s="1">
        <v>40522</v>
      </c>
      <c r="E3365" s="2">
        <v>276770</v>
      </c>
      <c r="F3365" t="s">
        <v>4567</v>
      </c>
      <c r="G3365" s="17" t="str">
        <f>HYPERLINK("https://www.washoecounty.gov/assessor/cama/?command=sales&amp;parid=07756016","3952189")</f>
        <v>3952189</v>
      </c>
      <c r="H3365" t="s">
        <v>19004</v>
      </c>
      <c r="I3365">
        <v>1997</v>
      </c>
      <c r="J3365">
        <v>1997</v>
      </c>
      <c r="K3365" t="s">
        <v>4554</v>
      </c>
      <c r="L3365" t="s">
        <v>4555</v>
      </c>
      <c r="M3365" s="2">
        <v>2337</v>
      </c>
      <c r="N3365" t="s">
        <v>5280</v>
      </c>
      <c r="O3365">
        <v>3</v>
      </c>
      <c r="P3365">
        <v>2</v>
      </c>
      <c r="Q3365">
        <v>0</v>
      </c>
      <c r="R3365" t="s">
        <v>4557</v>
      </c>
      <c r="S3365" t="s">
        <v>4898</v>
      </c>
      <c r="T3365" t="s">
        <v>4559</v>
      </c>
      <c r="U3365" t="s">
        <v>4560</v>
      </c>
      <c r="V3365" s="2">
        <v>627</v>
      </c>
      <c r="W3365" t="s">
        <v>4655</v>
      </c>
      <c r="X3365" s="2">
        <v>0</v>
      </c>
      <c r="Y3365">
        <v>20</v>
      </c>
      <c r="Z3365" t="s">
        <v>4051</v>
      </c>
      <c r="AA3365" s="3">
        <v>5.04500007629394</v>
      </c>
      <c r="AB3365" t="s">
        <v>19005</v>
      </c>
      <c r="AC3365" t="s">
        <v>4562</v>
      </c>
      <c r="AD3365" t="s">
        <v>19003</v>
      </c>
      <c r="AE3365" t="s">
        <v>4655</v>
      </c>
      <c r="AF3365" t="s">
        <v>4563</v>
      </c>
      <c r="AG3365" t="s">
        <v>4564</v>
      </c>
      <c r="AH3365">
        <v>89510</v>
      </c>
      <c r="AI3365" t="s">
        <v>19006</v>
      </c>
      <c r="AJ3365" t="s">
        <v>4571</v>
      </c>
      <c r="AK3365" t="s">
        <v>19007</v>
      </c>
      <c r="AL3365" s="13" t="s">
        <v>1890</v>
      </c>
      <c r="AM3365">
        <v>1</v>
      </c>
      <c r="AN3365" s="15" t="s">
        <v>2663</v>
      </c>
    </row>
    <row r="3366" spans="1:40" x14ac:dyDescent="0.3">
      <c r="A3366" s="10" t="str">
        <f>HYPERLINK("http://www.washoecounty.gov/assessor/cama/?parid=078-061-06&amp;CardNumber=1","078-061-06")</f>
        <v>078-061-06</v>
      </c>
      <c r="B3366" t="s">
        <v>4655</v>
      </c>
      <c r="C3366" t="s">
        <v>1064</v>
      </c>
      <c r="D3366" s="1">
        <v>40535</v>
      </c>
      <c r="E3366" s="2">
        <v>105004</v>
      </c>
      <c r="F3366" t="s">
        <v>4567</v>
      </c>
      <c r="G3366" s="17" t="str">
        <f>HYPERLINK("https://www.washoecounty.gov/assessor/cama/?command=sales&amp;parid=07806106","3956682")</f>
        <v>3956682</v>
      </c>
      <c r="H3366" t="s">
        <v>2634</v>
      </c>
      <c r="I3366">
        <v>1966</v>
      </c>
      <c r="J3366">
        <v>1968</v>
      </c>
      <c r="K3366" t="s">
        <v>4554</v>
      </c>
      <c r="L3366" t="s">
        <v>4555</v>
      </c>
      <c r="M3366" s="2">
        <v>2203</v>
      </c>
      <c r="N3366" t="s">
        <v>4048</v>
      </c>
      <c r="O3366">
        <v>3</v>
      </c>
      <c r="P3366">
        <v>2</v>
      </c>
      <c r="Q3366">
        <v>0</v>
      </c>
      <c r="R3366" t="s">
        <v>4557</v>
      </c>
      <c r="S3366" t="s">
        <v>4558</v>
      </c>
      <c r="T3366" t="s">
        <v>3888</v>
      </c>
      <c r="U3366" t="s">
        <v>4655</v>
      </c>
      <c r="V3366" s="2">
        <v>0</v>
      </c>
      <c r="W3366" t="s">
        <v>4655</v>
      </c>
      <c r="X3366" s="2">
        <v>0</v>
      </c>
      <c r="Y3366">
        <v>20</v>
      </c>
      <c r="Z3366" t="s">
        <v>5226</v>
      </c>
      <c r="AA3366" s="3">
        <v>10.0900001525878</v>
      </c>
      <c r="AB3366" t="s">
        <v>92</v>
      </c>
      <c r="AC3366" t="s">
        <v>4562</v>
      </c>
      <c r="AD3366" t="s">
        <v>1064</v>
      </c>
      <c r="AE3366" t="s">
        <v>4655</v>
      </c>
      <c r="AF3366" t="s">
        <v>4563</v>
      </c>
      <c r="AG3366" t="s">
        <v>4564</v>
      </c>
      <c r="AH3366">
        <v>89508</v>
      </c>
      <c r="AI3366" t="s">
        <v>1065</v>
      </c>
      <c r="AJ3366" t="s">
        <v>4655</v>
      </c>
      <c r="AK3366" t="s">
        <v>1066</v>
      </c>
      <c r="AL3366" s="13" t="s">
        <v>1891</v>
      </c>
      <c r="AM3366">
        <v>1</v>
      </c>
      <c r="AN3366" s="15" t="s">
        <v>2014</v>
      </c>
    </row>
    <row r="3367" spans="1:40" x14ac:dyDescent="0.3">
      <c r="A3367" s="10" t="str">
        <f>HYPERLINK("http://www.washoecounty.gov/assessor/cama/?parid=078-101-18&amp;CardNumber=1","078-101-18")</f>
        <v>078-101-18</v>
      </c>
      <c r="B3367" t="s">
        <v>4655</v>
      </c>
      <c r="C3367" t="s">
        <v>19008</v>
      </c>
      <c r="D3367" s="1">
        <v>40442</v>
      </c>
      <c r="E3367" s="2">
        <v>259000</v>
      </c>
      <c r="F3367" t="s">
        <v>4567</v>
      </c>
      <c r="G3367" s="17" t="str">
        <f>HYPERLINK("https://www.washoecounty.gov/assessor/cama/?command=sales&amp;parid=07810118","3924541")</f>
        <v>3924541</v>
      </c>
      <c r="H3367" t="s">
        <v>5225</v>
      </c>
      <c r="I3367">
        <v>2001</v>
      </c>
      <c r="J3367">
        <v>2001</v>
      </c>
      <c r="K3367" t="s">
        <v>4554</v>
      </c>
      <c r="L3367" t="s">
        <v>4555</v>
      </c>
      <c r="M3367" s="2">
        <v>2290</v>
      </c>
      <c r="N3367" t="s">
        <v>5280</v>
      </c>
      <c r="O3367">
        <v>3</v>
      </c>
      <c r="P3367">
        <v>3</v>
      </c>
      <c r="Q3367">
        <v>1</v>
      </c>
      <c r="R3367" t="s">
        <v>4557</v>
      </c>
      <c r="S3367" t="s">
        <v>4898</v>
      </c>
      <c r="T3367" t="s">
        <v>4559</v>
      </c>
      <c r="U3367" t="s">
        <v>4560</v>
      </c>
      <c r="V3367" s="2">
        <v>840</v>
      </c>
      <c r="W3367" t="s">
        <v>4655</v>
      </c>
      <c r="X3367" s="2">
        <v>0</v>
      </c>
      <c r="Y3367">
        <v>20</v>
      </c>
      <c r="Z3367" t="s">
        <v>5226</v>
      </c>
      <c r="AA3367" s="3">
        <v>10.039999961853001</v>
      </c>
      <c r="AB3367" t="s">
        <v>19009</v>
      </c>
      <c r="AC3367" t="s">
        <v>4562</v>
      </c>
      <c r="AD3367" t="s">
        <v>19008</v>
      </c>
      <c r="AE3367" t="s">
        <v>4655</v>
      </c>
      <c r="AF3367" t="s">
        <v>4563</v>
      </c>
      <c r="AG3367" t="s">
        <v>4564</v>
      </c>
      <c r="AH3367">
        <v>89508</v>
      </c>
      <c r="AI3367" t="s">
        <v>19010</v>
      </c>
      <c r="AJ3367" t="s">
        <v>4655</v>
      </c>
      <c r="AK3367" t="s">
        <v>19011</v>
      </c>
      <c r="AL3367" s="13" t="s">
        <v>1891</v>
      </c>
      <c r="AM3367" s="14">
        <v>1</v>
      </c>
      <c r="AN3367" s="15" t="s">
        <v>4845</v>
      </c>
    </row>
    <row r="3368" spans="1:40" x14ac:dyDescent="0.3">
      <c r="A3368" s="10" t="str">
        <f>HYPERLINK("http://www.washoecounty.gov/assessor/cama/?parid=078-101-26&amp;CardNumber=1","078-101-26")</f>
        <v>078-101-26</v>
      </c>
      <c r="B3368" t="s">
        <v>4655</v>
      </c>
      <c r="C3368" t="s">
        <v>19012</v>
      </c>
      <c r="D3368" s="1">
        <v>40325</v>
      </c>
      <c r="E3368" s="2">
        <v>183000</v>
      </c>
      <c r="F3368" t="s">
        <v>4553</v>
      </c>
      <c r="G3368" s="17" t="str">
        <f>HYPERLINK("https://www.washoecounty.gov/assessor/cama/?command=sales&amp;parid=07810126","3885740")</f>
        <v>3885740</v>
      </c>
      <c r="H3368" t="s">
        <v>19013</v>
      </c>
      <c r="I3368">
        <v>1992</v>
      </c>
      <c r="J3368">
        <v>1992</v>
      </c>
      <c r="K3368" t="s">
        <v>4554</v>
      </c>
      <c r="L3368" t="s">
        <v>4555</v>
      </c>
      <c r="M3368" s="2">
        <v>1512</v>
      </c>
      <c r="N3368" t="s">
        <v>4048</v>
      </c>
      <c r="O3368">
        <v>4</v>
      </c>
      <c r="P3368">
        <v>2</v>
      </c>
      <c r="Q3368">
        <v>0</v>
      </c>
      <c r="R3368" t="s">
        <v>4557</v>
      </c>
      <c r="S3368" t="s">
        <v>4898</v>
      </c>
      <c r="T3368" t="s">
        <v>4559</v>
      </c>
      <c r="U3368" t="s">
        <v>4560</v>
      </c>
      <c r="V3368" s="2">
        <v>560</v>
      </c>
      <c r="W3368" t="s">
        <v>4655</v>
      </c>
      <c r="X3368" s="2">
        <v>0</v>
      </c>
      <c r="Y3368">
        <v>20</v>
      </c>
      <c r="Z3368" t="s">
        <v>5226</v>
      </c>
      <c r="AA3368" s="3">
        <v>3.6800000667571999</v>
      </c>
      <c r="AB3368" t="s">
        <v>19014</v>
      </c>
      <c r="AC3368" t="s">
        <v>4562</v>
      </c>
      <c r="AD3368" t="s">
        <v>19015</v>
      </c>
      <c r="AE3368" t="s">
        <v>4655</v>
      </c>
      <c r="AF3368" t="s">
        <v>4752</v>
      </c>
      <c r="AG3368" t="s">
        <v>4564</v>
      </c>
      <c r="AH3368">
        <v>89508</v>
      </c>
      <c r="AI3368" t="s">
        <v>4903</v>
      </c>
      <c r="AJ3368" t="s">
        <v>4655</v>
      </c>
      <c r="AK3368" t="s">
        <v>19016</v>
      </c>
      <c r="AL3368" s="13" t="s">
        <v>1891</v>
      </c>
      <c r="AM3368">
        <v>1</v>
      </c>
      <c r="AN3368" s="15" t="s">
        <v>4845</v>
      </c>
    </row>
    <row r="3369" spans="1:40" x14ac:dyDescent="0.3">
      <c r="A3369" s="10" t="str">
        <f>HYPERLINK("http://www.washoecounty.gov/assessor/cama/?parid=078-121-02&amp;CardNumber=1","078-121-02")</f>
        <v>078-121-02</v>
      </c>
      <c r="B3369" t="s">
        <v>4655</v>
      </c>
      <c r="C3369" t="s">
        <v>19017</v>
      </c>
      <c r="D3369" s="1">
        <v>40533</v>
      </c>
      <c r="E3369" s="2">
        <v>97000</v>
      </c>
      <c r="F3369" t="s">
        <v>4553</v>
      </c>
      <c r="G3369" s="17" t="str">
        <f>HYPERLINK("https://www.washoecounty.gov/assessor/cama/?command=sales&amp;parid=07812102","3955925")</f>
        <v>3955925</v>
      </c>
      <c r="H3369" t="s">
        <v>2634</v>
      </c>
      <c r="I3369">
        <v>1999</v>
      </c>
      <c r="J3369">
        <v>1999</v>
      </c>
      <c r="K3369" t="s">
        <v>4554</v>
      </c>
      <c r="L3369" t="s">
        <v>4555</v>
      </c>
      <c r="M3369" s="2">
        <v>1247</v>
      </c>
      <c r="N3369" t="s">
        <v>4556</v>
      </c>
      <c r="O3369">
        <v>3</v>
      </c>
      <c r="P3369">
        <v>2</v>
      </c>
      <c r="Q3369">
        <v>0</v>
      </c>
      <c r="R3369" t="s">
        <v>4557</v>
      </c>
      <c r="S3369" t="s">
        <v>4558</v>
      </c>
      <c r="T3369" t="s">
        <v>4559</v>
      </c>
      <c r="U3369" t="s">
        <v>4560</v>
      </c>
      <c r="V3369" s="2">
        <v>484</v>
      </c>
      <c r="W3369" t="s">
        <v>4655</v>
      </c>
      <c r="X3369" s="2">
        <v>0</v>
      </c>
      <c r="Y3369">
        <v>20</v>
      </c>
      <c r="Z3369" t="s">
        <v>5226</v>
      </c>
      <c r="AA3369" s="3">
        <v>11.2600002288818</v>
      </c>
      <c r="AB3369" t="s">
        <v>19018</v>
      </c>
      <c r="AC3369" t="s">
        <v>4575</v>
      </c>
      <c r="AD3369" t="s">
        <v>19019</v>
      </c>
      <c r="AE3369" t="s">
        <v>4655</v>
      </c>
      <c r="AF3369" t="s">
        <v>4563</v>
      </c>
      <c r="AG3369" t="s">
        <v>4564</v>
      </c>
      <c r="AH3369">
        <v>89506</v>
      </c>
      <c r="AI3369" t="s">
        <v>4655</v>
      </c>
      <c r="AJ3369" t="s">
        <v>4655</v>
      </c>
      <c r="AK3369" t="s">
        <v>19020</v>
      </c>
      <c r="AL3369" s="13" t="s">
        <v>1891</v>
      </c>
      <c r="AM3369">
        <v>1</v>
      </c>
      <c r="AN3369" s="15" t="s">
        <v>2014</v>
      </c>
    </row>
    <row r="3370" spans="1:40" x14ac:dyDescent="0.3">
      <c r="A3370" s="10" t="str">
        <f>HYPERLINK("http://www.washoecounty.gov/assessor/cama/?parid=078-131-10&amp;CardNumber=1","078-131-10")</f>
        <v>078-131-10</v>
      </c>
      <c r="B3370" t="s">
        <v>4655</v>
      </c>
      <c r="C3370" t="s">
        <v>19021</v>
      </c>
      <c r="D3370" s="1">
        <v>40539</v>
      </c>
      <c r="E3370" s="2">
        <v>59000</v>
      </c>
      <c r="F3370" t="s">
        <v>3259</v>
      </c>
      <c r="G3370" s="17" t="str">
        <f>HYPERLINK("https://www.washoecounty.gov/assessor/cama/?command=sales&amp;parid=07813110","3957703")</f>
        <v>3957703</v>
      </c>
      <c r="H3370" t="s">
        <v>231</v>
      </c>
      <c r="I3370">
        <v>0</v>
      </c>
      <c r="J3370">
        <v>0</v>
      </c>
      <c r="K3370" t="s">
        <v>4655</v>
      </c>
      <c r="L3370" t="s">
        <v>4655</v>
      </c>
      <c r="M3370" s="2">
        <v>0</v>
      </c>
      <c r="N3370" t="s">
        <v>4655</v>
      </c>
      <c r="O3370">
        <v>0</v>
      </c>
      <c r="P3370">
        <v>0</v>
      </c>
      <c r="Q3370">
        <v>0</v>
      </c>
      <c r="R3370" t="s">
        <v>4655</v>
      </c>
      <c r="S3370" t="s">
        <v>4655</v>
      </c>
      <c r="T3370" t="s">
        <v>4655</v>
      </c>
      <c r="U3370" t="s">
        <v>4655</v>
      </c>
      <c r="V3370" s="2">
        <v>0</v>
      </c>
      <c r="W3370" t="s">
        <v>4655</v>
      </c>
      <c r="X3370" s="2">
        <v>0</v>
      </c>
      <c r="Y3370">
        <v>12</v>
      </c>
      <c r="Z3370" t="s">
        <v>5226</v>
      </c>
      <c r="AA3370" s="3">
        <v>10.899999618530201</v>
      </c>
      <c r="AB3370" t="s">
        <v>19022</v>
      </c>
      <c r="AC3370" t="s">
        <v>4562</v>
      </c>
      <c r="AD3370" t="s">
        <v>3092</v>
      </c>
      <c r="AE3370" t="s">
        <v>4655</v>
      </c>
      <c r="AF3370" t="s">
        <v>4563</v>
      </c>
      <c r="AG3370" t="s">
        <v>4564</v>
      </c>
      <c r="AH3370">
        <v>89510</v>
      </c>
      <c r="AI3370" t="s">
        <v>4655</v>
      </c>
      <c r="AJ3370" t="s">
        <v>4655</v>
      </c>
      <c r="AK3370" t="s">
        <v>19023</v>
      </c>
      <c r="AL3370" s="13" t="s">
        <v>1891</v>
      </c>
      <c r="AM3370">
        <v>0</v>
      </c>
      <c r="AN3370" s="15" t="s">
        <v>2014</v>
      </c>
    </row>
    <row r="3371" spans="1:40" x14ac:dyDescent="0.3">
      <c r="A3371" s="10" t="str">
        <f>HYPERLINK("http://www.washoecounty.gov/assessor/cama/?parid=078-132-04&amp;CardNumber=1","078-132-04")</f>
        <v>078-132-04</v>
      </c>
      <c r="B3371" t="s">
        <v>4655</v>
      </c>
      <c r="C3371" t="s">
        <v>19024</v>
      </c>
      <c r="D3371" s="1">
        <v>40519</v>
      </c>
      <c r="E3371" s="2">
        <v>27900</v>
      </c>
      <c r="F3371" t="s">
        <v>4201</v>
      </c>
      <c r="G3371" s="17" t="str">
        <f>HYPERLINK("https://www.washoecounty.gov/assessor/cama/?command=sales&amp;parid=07813204","3950561")</f>
        <v>3950561</v>
      </c>
      <c r="H3371" t="s">
        <v>2634</v>
      </c>
      <c r="I3371">
        <v>0</v>
      </c>
      <c r="J3371">
        <v>0</v>
      </c>
      <c r="K3371" t="s">
        <v>4655</v>
      </c>
      <c r="L3371" t="s">
        <v>4655</v>
      </c>
      <c r="M3371" s="2">
        <v>0</v>
      </c>
      <c r="N3371" t="s">
        <v>4655</v>
      </c>
      <c r="O3371">
        <v>0</v>
      </c>
      <c r="P3371">
        <v>0</v>
      </c>
      <c r="Q3371">
        <v>0</v>
      </c>
      <c r="R3371" t="s">
        <v>4655</v>
      </c>
      <c r="S3371" t="s">
        <v>4655</v>
      </c>
      <c r="T3371" t="s">
        <v>4655</v>
      </c>
      <c r="U3371" t="s">
        <v>4655</v>
      </c>
      <c r="V3371" s="2">
        <v>0</v>
      </c>
      <c r="W3371" t="s">
        <v>4655</v>
      </c>
      <c r="X3371" s="2">
        <v>0</v>
      </c>
      <c r="Y3371">
        <v>12</v>
      </c>
      <c r="Z3371" t="s">
        <v>5226</v>
      </c>
      <c r="AA3371" s="3">
        <v>10</v>
      </c>
      <c r="AB3371" t="s">
        <v>19025</v>
      </c>
      <c r="AC3371" t="s">
        <v>4562</v>
      </c>
      <c r="AD3371" t="s">
        <v>19026</v>
      </c>
      <c r="AE3371" t="s">
        <v>4655</v>
      </c>
      <c r="AF3371" t="s">
        <v>4563</v>
      </c>
      <c r="AG3371" t="s">
        <v>4564</v>
      </c>
      <c r="AH3371">
        <v>89508</v>
      </c>
      <c r="AI3371" t="s">
        <v>19027</v>
      </c>
      <c r="AJ3371" t="s">
        <v>4655</v>
      </c>
      <c r="AK3371" t="s">
        <v>19028</v>
      </c>
      <c r="AL3371" s="13" t="s">
        <v>1891</v>
      </c>
      <c r="AM3371">
        <v>0</v>
      </c>
      <c r="AN3371" s="15" t="s">
        <v>2014</v>
      </c>
    </row>
    <row r="3372" spans="1:40" x14ac:dyDescent="0.3">
      <c r="A3372" s="10" t="str">
        <f>HYPERLINK("http://www.washoecounty.gov/assessor/cama/?parid=078-142-04&amp;CardNumber=1","078-142-04")</f>
        <v>078-142-04</v>
      </c>
      <c r="B3372" t="s">
        <v>4655</v>
      </c>
      <c r="C3372" t="s">
        <v>19029</v>
      </c>
      <c r="D3372" s="1">
        <v>40504</v>
      </c>
      <c r="E3372" s="2">
        <v>160000</v>
      </c>
      <c r="F3372" t="s">
        <v>4567</v>
      </c>
      <c r="G3372" s="17" t="str">
        <f>HYPERLINK("https://www.washoecounty.gov/assessor/cama/?command=sales&amp;parid=07814204","3945763")</f>
        <v>3945763</v>
      </c>
      <c r="H3372" t="s">
        <v>19030</v>
      </c>
      <c r="I3372">
        <v>1999</v>
      </c>
      <c r="J3372">
        <v>1999</v>
      </c>
      <c r="K3372" t="s">
        <v>4554</v>
      </c>
      <c r="L3372" t="s">
        <v>4555</v>
      </c>
      <c r="M3372" s="2">
        <v>1550</v>
      </c>
      <c r="N3372" t="s">
        <v>4048</v>
      </c>
      <c r="O3372">
        <v>3</v>
      </c>
      <c r="P3372">
        <v>2</v>
      </c>
      <c r="Q3372">
        <v>0</v>
      </c>
      <c r="R3372" t="s">
        <v>4557</v>
      </c>
      <c r="S3372" t="s">
        <v>4558</v>
      </c>
      <c r="T3372" t="s">
        <v>4559</v>
      </c>
      <c r="U3372" t="s">
        <v>4560</v>
      </c>
      <c r="V3372" s="2">
        <v>598</v>
      </c>
      <c r="W3372" t="s">
        <v>4655</v>
      </c>
      <c r="X3372" s="2">
        <v>0</v>
      </c>
      <c r="Y3372">
        <v>20</v>
      </c>
      <c r="Z3372" t="s">
        <v>5226</v>
      </c>
      <c r="AA3372" s="3">
        <v>10.199999809265099</v>
      </c>
      <c r="AB3372" t="s">
        <v>19031</v>
      </c>
      <c r="AC3372" t="s">
        <v>4562</v>
      </c>
      <c r="AD3372" t="s">
        <v>19029</v>
      </c>
      <c r="AE3372" t="s">
        <v>4655</v>
      </c>
      <c r="AF3372" t="s">
        <v>4563</v>
      </c>
      <c r="AG3372" t="s">
        <v>4564</v>
      </c>
      <c r="AH3372">
        <v>89508</v>
      </c>
      <c r="AI3372" t="s">
        <v>19032</v>
      </c>
      <c r="AJ3372" t="s">
        <v>4655</v>
      </c>
      <c r="AK3372" t="s">
        <v>19033</v>
      </c>
      <c r="AL3372" s="13" t="s">
        <v>1891</v>
      </c>
      <c r="AM3372">
        <v>1</v>
      </c>
      <c r="AN3372" s="15" t="s">
        <v>4845</v>
      </c>
    </row>
    <row r="3373" spans="1:40" x14ac:dyDescent="0.3">
      <c r="A3373" s="10" t="str">
        <f>HYPERLINK("http://www.washoecounty.gov/assessor/cama/?parid=078-142-20&amp;CardNumber=1","078-142-20")</f>
        <v>078-142-20</v>
      </c>
      <c r="B3373" t="s">
        <v>4655</v>
      </c>
      <c r="C3373" t="s">
        <v>19034</v>
      </c>
      <c r="D3373" s="1">
        <v>40379</v>
      </c>
      <c r="E3373" s="2">
        <v>225000</v>
      </c>
      <c r="F3373" t="s">
        <v>4567</v>
      </c>
      <c r="G3373" s="17" t="str">
        <f>HYPERLINK("https://www.washoecounty.gov/assessor/cama/?command=sales&amp;parid=07814220","3903321")</f>
        <v>3903321</v>
      </c>
      <c r="H3373" t="s">
        <v>2634</v>
      </c>
      <c r="I3373">
        <v>1996</v>
      </c>
      <c r="J3373">
        <v>1996</v>
      </c>
      <c r="K3373" t="s">
        <v>4554</v>
      </c>
      <c r="L3373" t="s">
        <v>4555</v>
      </c>
      <c r="M3373" s="2">
        <v>2034</v>
      </c>
      <c r="N3373" t="s">
        <v>4048</v>
      </c>
      <c r="O3373">
        <v>2</v>
      </c>
      <c r="P3373">
        <v>2</v>
      </c>
      <c r="Q3373">
        <v>0</v>
      </c>
      <c r="R3373" t="s">
        <v>4557</v>
      </c>
      <c r="S3373" t="s">
        <v>4135</v>
      </c>
      <c r="T3373" t="s">
        <v>4559</v>
      </c>
      <c r="U3373" t="s">
        <v>4560</v>
      </c>
      <c r="V3373" s="2">
        <v>1120</v>
      </c>
      <c r="W3373" t="s">
        <v>4655</v>
      </c>
      <c r="X3373" s="2">
        <v>0</v>
      </c>
      <c r="Y3373">
        <v>20</v>
      </c>
      <c r="Z3373" t="s">
        <v>5226</v>
      </c>
      <c r="AA3373" s="3">
        <v>10.0100002288818</v>
      </c>
      <c r="AB3373" t="s">
        <v>19035</v>
      </c>
      <c r="AC3373" t="s">
        <v>4575</v>
      </c>
      <c r="AD3373" t="s">
        <v>19036</v>
      </c>
      <c r="AE3373" t="s">
        <v>4655</v>
      </c>
      <c r="AF3373" t="s">
        <v>4563</v>
      </c>
      <c r="AG3373" t="s">
        <v>4564</v>
      </c>
      <c r="AH3373">
        <v>89508</v>
      </c>
      <c r="AI3373" t="s">
        <v>19037</v>
      </c>
      <c r="AJ3373" t="s">
        <v>4655</v>
      </c>
      <c r="AK3373" t="s">
        <v>19038</v>
      </c>
      <c r="AL3373" s="13" t="s">
        <v>1891</v>
      </c>
      <c r="AM3373" s="14">
        <v>1</v>
      </c>
      <c r="AN3373" s="15" t="s">
        <v>2014</v>
      </c>
    </row>
    <row r="3374" spans="1:40" x14ac:dyDescent="0.3">
      <c r="A3374" s="10" t="str">
        <f>HYPERLINK("http://www.washoecounty.gov/assessor/cama/?parid=078-151-28&amp;CardNumber=1","078-151-28")</f>
        <v>078-151-28</v>
      </c>
      <c r="B3374" t="s">
        <v>4655</v>
      </c>
      <c r="C3374" t="s">
        <v>19039</v>
      </c>
      <c r="D3374" s="1">
        <v>40451</v>
      </c>
      <c r="E3374" s="2">
        <v>222500</v>
      </c>
      <c r="F3374" t="s">
        <v>4553</v>
      </c>
      <c r="G3374" s="17" t="str">
        <f>HYPERLINK("https://www.washoecounty.gov/assessor/cama/?command=sales&amp;parid=07815128","3928270")</f>
        <v>3928270</v>
      </c>
      <c r="H3374" t="s">
        <v>5225</v>
      </c>
      <c r="I3374">
        <v>2004</v>
      </c>
      <c r="J3374">
        <v>2004</v>
      </c>
      <c r="K3374" t="s">
        <v>4554</v>
      </c>
      <c r="L3374" t="s">
        <v>3886</v>
      </c>
      <c r="M3374" s="2">
        <v>2915</v>
      </c>
      <c r="N3374" t="s">
        <v>3887</v>
      </c>
      <c r="O3374">
        <v>4</v>
      </c>
      <c r="P3374">
        <v>3</v>
      </c>
      <c r="Q3374">
        <v>1</v>
      </c>
      <c r="R3374" t="s">
        <v>5281</v>
      </c>
      <c r="S3374" t="s">
        <v>4898</v>
      </c>
      <c r="T3374" t="s">
        <v>4559</v>
      </c>
      <c r="U3374" t="s">
        <v>5631</v>
      </c>
      <c r="V3374" s="2">
        <v>840</v>
      </c>
      <c r="W3374" t="s">
        <v>4655</v>
      </c>
      <c r="X3374" s="2">
        <v>0</v>
      </c>
      <c r="Y3374">
        <v>20</v>
      </c>
      <c r="Z3374" t="s">
        <v>5226</v>
      </c>
      <c r="AA3374" s="3">
        <v>4.96000003814697</v>
      </c>
      <c r="AB3374" t="s">
        <v>19040</v>
      </c>
      <c r="AC3374" t="s">
        <v>4562</v>
      </c>
      <c r="AD3374" t="s">
        <v>19039</v>
      </c>
      <c r="AE3374" t="s">
        <v>4655</v>
      </c>
      <c r="AF3374" t="s">
        <v>4563</v>
      </c>
      <c r="AG3374" t="s">
        <v>4564</v>
      </c>
      <c r="AH3374">
        <v>89506</v>
      </c>
      <c r="AI3374" t="s">
        <v>4045</v>
      </c>
      <c r="AJ3374" t="s">
        <v>4655</v>
      </c>
      <c r="AK3374" t="s">
        <v>19041</v>
      </c>
      <c r="AL3374" s="13" t="s">
        <v>1891</v>
      </c>
      <c r="AM3374">
        <v>1</v>
      </c>
      <c r="AN3374" s="15" t="s">
        <v>4845</v>
      </c>
    </row>
    <row r="3375" spans="1:40" x14ac:dyDescent="0.3">
      <c r="A3375" s="10" t="str">
        <f>HYPERLINK("http://www.washoecounty.gov/assessor/cama/?parid=078-161-23&amp;CardNumber=1","078-161-23")</f>
        <v>078-161-23</v>
      </c>
      <c r="B3375" t="s">
        <v>5502</v>
      </c>
      <c r="C3375" t="s">
        <v>19042</v>
      </c>
      <c r="D3375" s="1">
        <v>40473</v>
      </c>
      <c r="E3375" s="2">
        <v>182900</v>
      </c>
      <c r="F3375" t="s">
        <v>4553</v>
      </c>
      <c r="G3375" s="17" t="str">
        <f>HYPERLINK("https://www.washoecounty.gov/assessor/cama/?command=sales&amp;parid=07816123","3935554")</f>
        <v>3935554</v>
      </c>
      <c r="H3375" t="s">
        <v>5469</v>
      </c>
      <c r="I3375">
        <v>2004</v>
      </c>
      <c r="J3375">
        <v>2004</v>
      </c>
      <c r="K3375" t="s">
        <v>4554</v>
      </c>
      <c r="L3375" t="s">
        <v>4555</v>
      </c>
      <c r="M3375" s="2">
        <v>2547</v>
      </c>
      <c r="N3375" t="s">
        <v>4048</v>
      </c>
      <c r="O3375">
        <v>4</v>
      </c>
      <c r="P3375">
        <v>2</v>
      </c>
      <c r="Q3375">
        <v>0</v>
      </c>
      <c r="R3375" t="s">
        <v>4557</v>
      </c>
      <c r="S3375" t="s">
        <v>4558</v>
      </c>
      <c r="T3375" t="s">
        <v>4559</v>
      </c>
      <c r="U3375" t="s">
        <v>4655</v>
      </c>
      <c r="V3375" s="2">
        <v>0</v>
      </c>
      <c r="W3375" t="s">
        <v>4655</v>
      </c>
      <c r="X3375" s="2">
        <v>0</v>
      </c>
      <c r="Y3375">
        <v>20</v>
      </c>
      <c r="Z3375" t="s">
        <v>5226</v>
      </c>
      <c r="AA3375" s="3">
        <v>10.119999885559</v>
      </c>
      <c r="AB3375" t="s">
        <v>19043</v>
      </c>
      <c r="AC3375" t="s">
        <v>4562</v>
      </c>
      <c r="AD3375" t="s">
        <v>19044</v>
      </c>
      <c r="AE3375" t="s">
        <v>4655</v>
      </c>
      <c r="AF3375" t="s">
        <v>4563</v>
      </c>
      <c r="AG3375" t="s">
        <v>4564</v>
      </c>
      <c r="AH3375">
        <v>89507</v>
      </c>
      <c r="AI3375" t="s">
        <v>4045</v>
      </c>
      <c r="AJ3375" t="s">
        <v>4655</v>
      </c>
      <c r="AK3375" t="s">
        <v>19045</v>
      </c>
      <c r="AL3375" s="13" t="s">
        <v>1891</v>
      </c>
      <c r="AM3375" s="14">
        <v>1</v>
      </c>
      <c r="AN3375" s="15" t="s">
        <v>4845</v>
      </c>
    </row>
    <row r="3376" spans="1:40" x14ac:dyDescent="0.3">
      <c r="A3376" s="10" t="str">
        <f>HYPERLINK("http://www.washoecounty.gov/assessor/cama/?parid=078-173-04&amp;CardNumber=1","078-173-04")</f>
        <v>078-173-04</v>
      </c>
      <c r="B3376" t="s">
        <v>4655</v>
      </c>
      <c r="C3376" t="s">
        <v>19046</v>
      </c>
      <c r="D3376" s="1">
        <v>40399</v>
      </c>
      <c r="E3376" s="2">
        <v>195000</v>
      </c>
      <c r="F3376" t="s">
        <v>4567</v>
      </c>
      <c r="G3376" s="17" t="str">
        <f>HYPERLINK("https://www.washoecounty.gov/assessor/cama/?command=sales&amp;parid=07817304","3909773")</f>
        <v>3909773</v>
      </c>
      <c r="H3376" t="s">
        <v>40</v>
      </c>
      <c r="I3376">
        <v>2004</v>
      </c>
      <c r="J3376">
        <v>2004</v>
      </c>
      <c r="K3376" t="s">
        <v>4554</v>
      </c>
      <c r="L3376" t="s">
        <v>4555</v>
      </c>
      <c r="M3376" s="2">
        <v>1760</v>
      </c>
      <c r="N3376" t="s">
        <v>5280</v>
      </c>
      <c r="O3376">
        <v>3</v>
      </c>
      <c r="P3376">
        <v>2</v>
      </c>
      <c r="Q3376">
        <v>0</v>
      </c>
      <c r="R3376" t="s">
        <v>5281</v>
      </c>
      <c r="S3376" t="s">
        <v>4558</v>
      </c>
      <c r="T3376" t="s">
        <v>4559</v>
      </c>
      <c r="U3376" t="s">
        <v>4560</v>
      </c>
      <c r="V3376" s="2">
        <v>624</v>
      </c>
      <c r="W3376" t="s">
        <v>4655</v>
      </c>
      <c r="X3376" s="2">
        <v>0</v>
      </c>
      <c r="Y3376">
        <v>20</v>
      </c>
      <c r="Z3376" t="s">
        <v>5226</v>
      </c>
      <c r="AA3376" s="3">
        <v>10.6300001144409</v>
      </c>
      <c r="AB3376" t="s">
        <v>19047</v>
      </c>
      <c r="AC3376" t="s">
        <v>4562</v>
      </c>
      <c r="AD3376" t="s">
        <v>19046</v>
      </c>
      <c r="AE3376" t="s">
        <v>4655</v>
      </c>
      <c r="AF3376" t="s">
        <v>4563</v>
      </c>
      <c r="AG3376" t="s">
        <v>4564</v>
      </c>
      <c r="AH3376">
        <v>89508</v>
      </c>
      <c r="AI3376" t="s">
        <v>19048</v>
      </c>
      <c r="AJ3376" t="s">
        <v>4655</v>
      </c>
      <c r="AK3376" t="s">
        <v>19049</v>
      </c>
      <c r="AL3376" s="13" t="s">
        <v>1891</v>
      </c>
      <c r="AM3376" s="14">
        <v>1</v>
      </c>
      <c r="AN3376" s="15" t="s">
        <v>2014</v>
      </c>
    </row>
    <row r="3377" spans="1:40" x14ac:dyDescent="0.3">
      <c r="A3377" s="10" t="str">
        <f>HYPERLINK("http://www.washoecounty.gov/assessor/cama/?parid=078-191-10&amp;CardNumber=1","078-191-10")</f>
        <v>078-191-10</v>
      </c>
      <c r="B3377" t="s">
        <v>4655</v>
      </c>
      <c r="C3377" t="s">
        <v>19050</v>
      </c>
      <c r="D3377" s="1">
        <v>40197</v>
      </c>
      <c r="E3377" s="2">
        <v>110250</v>
      </c>
      <c r="F3377" t="s">
        <v>4553</v>
      </c>
      <c r="G3377" s="17" t="str">
        <f>HYPERLINK("https://www.washoecounty.gov/assessor/cama/?command=sales&amp;parid=07819110","3840602")</f>
        <v>3840602</v>
      </c>
      <c r="H3377" t="s">
        <v>19051</v>
      </c>
      <c r="I3377">
        <v>2001</v>
      </c>
      <c r="J3377">
        <v>2001</v>
      </c>
      <c r="K3377" t="s">
        <v>4847</v>
      </c>
      <c r="L3377" t="s">
        <v>4555</v>
      </c>
      <c r="M3377" s="2">
        <v>1872</v>
      </c>
      <c r="N3377" t="s">
        <v>3147</v>
      </c>
      <c r="O3377">
        <v>3</v>
      </c>
      <c r="P3377">
        <v>2</v>
      </c>
      <c r="Q3377">
        <v>0</v>
      </c>
      <c r="R3377" t="s">
        <v>4557</v>
      </c>
      <c r="S3377" t="s">
        <v>4558</v>
      </c>
      <c r="T3377" t="s">
        <v>4559</v>
      </c>
      <c r="U3377" t="s">
        <v>4560</v>
      </c>
      <c r="V3377" s="2">
        <v>552</v>
      </c>
      <c r="W3377" t="s">
        <v>4655</v>
      </c>
      <c r="X3377" s="2">
        <v>0</v>
      </c>
      <c r="Y3377">
        <v>22</v>
      </c>
      <c r="Z3377" t="s">
        <v>5226</v>
      </c>
      <c r="AA3377" s="3">
        <v>10.6599998474121</v>
      </c>
      <c r="AB3377" t="s">
        <v>5390</v>
      </c>
      <c r="AC3377" t="s">
        <v>4575</v>
      </c>
      <c r="AD3377" t="s">
        <v>1951</v>
      </c>
      <c r="AE3377" t="s">
        <v>4655</v>
      </c>
      <c r="AF3377" t="s">
        <v>4563</v>
      </c>
      <c r="AG3377" t="s">
        <v>4564</v>
      </c>
      <c r="AH3377">
        <v>89511</v>
      </c>
      <c r="AI3377" t="s">
        <v>4503</v>
      </c>
      <c r="AJ3377" t="s">
        <v>4655</v>
      </c>
      <c r="AK3377" t="s">
        <v>19052</v>
      </c>
      <c r="AL3377" s="13" t="s">
        <v>1891</v>
      </c>
      <c r="AM3377">
        <v>1</v>
      </c>
      <c r="AN3377" s="15" t="s">
        <v>2014</v>
      </c>
    </row>
    <row r="3378" spans="1:40" x14ac:dyDescent="0.3">
      <c r="A3378" s="10" t="str">
        <f>HYPERLINK("http://www.washoecounty.gov/assessor/cama/?parid=078-201-11&amp;CardNumber=1","078-201-11")</f>
        <v>078-201-11</v>
      </c>
      <c r="B3378" t="s">
        <v>4655</v>
      </c>
      <c r="C3378" t="s">
        <v>19053</v>
      </c>
      <c r="D3378" s="1">
        <v>40207</v>
      </c>
      <c r="E3378" s="2">
        <v>160000</v>
      </c>
      <c r="F3378" t="s">
        <v>4553</v>
      </c>
      <c r="G3378" s="17" t="str">
        <f>HYPERLINK("https://www.washoecounty.gov/assessor/cama/?command=sales&amp;parid=07820111","3844521")</f>
        <v>3844521</v>
      </c>
      <c r="H3378" t="s">
        <v>19054</v>
      </c>
      <c r="I3378">
        <v>1997</v>
      </c>
      <c r="J3378">
        <v>1997</v>
      </c>
      <c r="K3378" t="s">
        <v>4554</v>
      </c>
      <c r="L3378" t="s">
        <v>4555</v>
      </c>
      <c r="M3378" s="2">
        <v>1236</v>
      </c>
      <c r="N3378" t="s">
        <v>4556</v>
      </c>
      <c r="O3378">
        <v>2</v>
      </c>
      <c r="P3378">
        <v>2</v>
      </c>
      <c r="Q3378">
        <v>0</v>
      </c>
      <c r="R3378" t="s">
        <v>2015</v>
      </c>
      <c r="S3378" t="s">
        <v>4558</v>
      </c>
      <c r="T3378" t="s">
        <v>4559</v>
      </c>
      <c r="U3378" t="s">
        <v>4560</v>
      </c>
      <c r="V3378" s="2">
        <v>576</v>
      </c>
      <c r="W3378" t="s">
        <v>4655</v>
      </c>
      <c r="X3378" s="2">
        <v>0</v>
      </c>
      <c r="Y3378">
        <v>20</v>
      </c>
      <c r="Z3378" t="s">
        <v>5226</v>
      </c>
      <c r="AA3378" s="3">
        <v>10.9600000381469</v>
      </c>
      <c r="AB3378" t="s">
        <v>19055</v>
      </c>
      <c r="AC3378" t="s">
        <v>4562</v>
      </c>
      <c r="AD3378" t="s">
        <v>19053</v>
      </c>
      <c r="AE3378" t="s">
        <v>4655</v>
      </c>
      <c r="AF3378" t="s">
        <v>4563</v>
      </c>
      <c r="AG3378" t="s">
        <v>4564</v>
      </c>
      <c r="AH3378">
        <v>89508</v>
      </c>
      <c r="AI3378" t="s">
        <v>4903</v>
      </c>
      <c r="AJ3378" t="s">
        <v>4655</v>
      </c>
      <c r="AK3378" t="s">
        <v>19056</v>
      </c>
      <c r="AL3378" s="13" t="s">
        <v>1891</v>
      </c>
      <c r="AM3378">
        <v>1</v>
      </c>
      <c r="AN3378" s="15" t="s">
        <v>4845</v>
      </c>
    </row>
    <row r="3379" spans="1:40" x14ac:dyDescent="0.3">
      <c r="A3379" s="10" t="str">
        <f>HYPERLINK("http://www.washoecounty.gov/assessor/cama/?parid=078-201-15&amp;CardNumber=1","078-201-15")</f>
        <v>078-201-15</v>
      </c>
      <c r="B3379" t="s">
        <v>4655</v>
      </c>
      <c r="C3379" t="s">
        <v>19057</v>
      </c>
      <c r="D3379" s="1">
        <v>40542</v>
      </c>
      <c r="E3379" s="2">
        <v>250000</v>
      </c>
      <c r="F3379" t="s">
        <v>4567</v>
      </c>
      <c r="G3379" s="17" t="str">
        <f>HYPERLINK("https://www.washoecounty.gov/assessor/cama/?command=sales&amp;parid=07820115","3959167")</f>
        <v>3959167</v>
      </c>
      <c r="H3379" t="s">
        <v>5225</v>
      </c>
      <c r="I3379">
        <v>2006</v>
      </c>
      <c r="J3379">
        <v>2006</v>
      </c>
      <c r="K3379" t="s">
        <v>4554</v>
      </c>
      <c r="L3379" t="s">
        <v>4555</v>
      </c>
      <c r="M3379" s="2">
        <v>2060</v>
      </c>
      <c r="N3379" t="s">
        <v>3147</v>
      </c>
      <c r="O3379">
        <v>3</v>
      </c>
      <c r="P3379">
        <v>2</v>
      </c>
      <c r="Q3379">
        <v>1</v>
      </c>
      <c r="R3379" t="s">
        <v>5281</v>
      </c>
      <c r="S3379" t="s">
        <v>4558</v>
      </c>
      <c r="T3379" t="s">
        <v>4559</v>
      </c>
      <c r="U3379" t="s">
        <v>4560</v>
      </c>
      <c r="V3379" s="2">
        <v>943</v>
      </c>
      <c r="W3379" t="s">
        <v>4655</v>
      </c>
      <c r="X3379" s="2">
        <v>0</v>
      </c>
      <c r="Y3379">
        <v>20</v>
      </c>
      <c r="Z3379" t="s">
        <v>5226</v>
      </c>
      <c r="AA3379" s="3">
        <v>10.149999618530201</v>
      </c>
      <c r="AB3379" t="s">
        <v>19058</v>
      </c>
      <c r="AC3379" t="s">
        <v>4562</v>
      </c>
      <c r="AD3379" t="s">
        <v>19057</v>
      </c>
      <c r="AE3379" t="s">
        <v>4655</v>
      </c>
      <c r="AF3379" t="s">
        <v>4563</v>
      </c>
      <c r="AG3379" t="s">
        <v>4564</v>
      </c>
      <c r="AH3379">
        <v>89508</v>
      </c>
      <c r="AI3379" t="s">
        <v>19059</v>
      </c>
      <c r="AJ3379" t="s">
        <v>4655</v>
      </c>
      <c r="AK3379" t="s">
        <v>19060</v>
      </c>
      <c r="AL3379" s="13" t="s">
        <v>1891</v>
      </c>
      <c r="AM3379">
        <v>1</v>
      </c>
      <c r="AN3379" s="15" t="s">
        <v>4845</v>
      </c>
    </row>
    <row r="3380" spans="1:40" x14ac:dyDescent="0.3">
      <c r="A3380" s="10" t="str">
        <f>HYPERLINK("http://www.washoecounty.gov/assessor/cama/?parid=078-201-16&amp;CardNumber=1","078-201-16")</f>
        <v>078-201-16</v>
      </c>
      <c r="B3380" t="s">
        <v>4655</v>
      </c>
      <c r="C3380" t="s">
        <v>19061</v>
      </c>
      <c r="D3380" s="1">
        <v>40267</v>
      </c>
      <c r="E3380" s="2">
        <v>169900</v>
      </c>
      <c r="F3380" t="s">
        <v>4553</v>
      </c>
      <c r="G3380" s="17" t="str">
        <f>HYPERLINK("https://www.washoecounty.gov/assessor/cama/?command=sales&amp;parid=07820116","3865565")</f>
        <v>3865565</v>
      </c>
      <c r="H3380" t="s">
        <v>5225</v>
      </c>
      <c r="I3380">
        <v>1987</v>
      </c>
      <c r="J3380">
        <v>1987</v>
      </c>
      <c r="K3380" t="s">
        <v>4554</v>
      </c>
      <c r="L3380" t="s">
        <v>4555</v>
      </c>
      <c r="M3380" s="2">
        <v>1792</v>
      </c>
      <c r="N3380" t="s">
        <v>4048</v>
      </c>
      <c r="O3380">
        <v>2</v>
      </c>
      <c r="P3380">
        <v>2</v>
      </c>
      <c r="Q3380">
        <v>0</v>
      </c>
      <c r="R3380" t="s">
        <v>4557</v>
      </c>
      <c r="S3380" t="s">
        <v>19062</v>
      </c>
      <c r="T3380" t="s">
        <v>2704</v>
      </c>
      <c r="U3380" t="s">
        <v>4560</v>
      </c>
      <c r="V3380" s="2">
        <v>608</v>
      </c>
      <c r="W3380" t="s">
        <v>4655</v>
      </c>
      <c r="X3380" s="2">
        <v>0</v>
      </c>
      <c r="Y3380">
        <v>20</v>
      </c>
      <c r="Z3380" t="s">
        <v>5226</v>
      </c>
      <c r="AA3380" s="3">
        <v>10.890000343322701</v>
      </c>
      <c r="AB3380" t="s">
        <v>19063</v>
      </c>
      <c r="AC3380" t="s">
        <v>4562</v>
      </c>
      <c r="AD3380" t="s">
        <v>19061</v>
      </c>
      <c r="AE3380" t="s">
        <v>4655</v>
      </c>
      <c r="AF3380" t="s">
        <v>4563</v>
      </c>
      <c r="AG3380" t="s">
        <v>4564</v>
      </c>
      <c r="AH3380">
        <v>89506</v>
      </c>
      <c r="AI3380" t="s">
        <v>4903</v>
      </c>
      <c r="AJ3380" t="s">
        <v>4655</v>
      </c>
      <c r="AK3380" t="s">
        <v>19064</v>
      </c>
      <c r="AL3380" s="13" t="s">
        <v>1891</v>
      </c>
      <c r="AM3380">
        <v>1</v>
      </c>
      <c r="AN3380" s="15" t="s">
        <v>4845</v>
      </c>
    </row>
    <row r="3381" spans="1:40" x14ac:dyDescent="0.3">
      <c r="A3381" s="10" t="str">
        <f>HYPERLINK("http://www.washoecounty.gov/assessor/cama/?parid=078-201-19&amp;CardNumber=1","078-201-19")</f>
        <v>078-201-19</v>
      </c>
      <c r="B3381" t="s">
        <v>4655</v>
      </c>
      <c r="C3381" t="s">
        <v>19065</v>
      </c>
      <c r="D3381" s="1">
        <v>40431</v>
      </c>
      <c r="E3381" s="2">
        <v>105000</v>
      </c>
      <c r="F3381" t="s">
        <v>4567</v>
      </c>
      <c r="G3381" s="17" t="str">
        <f>HYPERLINK("https://www.washoecounty.gov/assessor/cama/?command=sales&amp;parid=07820119","3921221")</f>
        <v>3921221</v>
      </c>
      <c r="H3381" t="s">
        <v>5225</v>
      </c>
      <c r="I3381">
        <v>1999</v>
      </c>
      <c r="J3381">
        <v>1999</v>
      </c>
      <c r="K3381" t="s">
        <v>4554</v>
      </c>
      <c r="L3381" t="s">
        <v>4555</v>
      </c>
      <c r="M3381" s="2">
        <v>1620</v>
      </c>
      <c r="N3381" t="s">
        <v>4556</v>
      </c>
      <c r="O3381">
        <v>3</v>
      </c>
      <c r="P3381">
        <v>2</v>
      </c>
      <c r="Q3381">
        <v>0</v>
      </c>
      <c r="R3381" t="s">
        <v>4557</v>
      </c>
      <c r="S3381" t="s">
        <v>4558</v>
      </c>
      <c r="T3381" t="s">
        <v>4559</v>
      </c>
      <c r="U3381" t="s">
        <v>4655</v>
      </c>
      <c r="V3381" s="2">
        <v>0</v>
      </c>
      <c r="W3381" t="s">
        <v>4655</v>
      </c>
      <c r="X3381" s="2">
        <v>0</v>
      </c>
      <c r="Y3381">
        <v>20</v>
      </c>
      <c r="Z3381" t="s">
        <v>5226</v>
      </c>
      <c r="AA3381" s="3">
        <v>10.449999809265099</v>
      </c>
      <c r="AB3381" t="s">
        <v>19066</v>
      </c>
      <c r="AC3381" t="s">
        <v>4562</v>
      </c>
      <c r="AD3381" t="s">
        <v>19065</v>
      </c>
      <c r="AE3381" t="s">
        <v>4655</v>
      </c>
      <c r="AF3381" t="s">
        <v>4563</v>
      </c>
      <c r="AG3381" t="s">
        <v>4564</v>
      </c>
      <c r="AH3381">
        <v>89506</v>
      </c>
      <c r="AI3381" t="s">
        <v>19067</v>
      </c>
      <c r="AJ3381" t="s">
        <v>4655</v>
      </c>
      <c r="AK3381" t="s">
        <v>19068</v>
      </c>
      <c r="AL3381" s="13" t="s">
        <v>1891</v>
      </c>
      <c r="AM3381">
        <v>1</v>
      </c>
      <c r="AN3381" s="15" t="s">
        <v>4845</v>
      </c>
    </row>
    <row r="3382" spans="1:40" x14ac:dyDescent="0.3">
      <c r="A3382" s="10" t="str">
        <f>HYPERLINK("http://www.washoecounty.gov/assessor/cama/?parid=078-212-03&amp;CardNumber=1","078-212-03")</f>
        <v>078-212-03</v>
      </c>
      <c r="B3382" t="s">
        <v>4655</v>
      </c>
      <c r="C3382" t="s">
        <v>19069</v>
      </c>
      <c r="D3382" s="1">
        <v>40207</v>
      </c>
      <c r="E3382" s="2">
        <v>79000</v>
      </c>
      <c r="F3382" t="s">
        <v>4553</v>
      </c>
      <c r="G3382" s="17" t="str">
        <f>HYPERLINK("https://www.washoecounty.gov/assessor/cama/?command=sales&amp;parid=07821203","3844307")</f>
        <v>3844307</v>
      </c>
      <c r="H3382" t="s">
        <v>5225</v>
      </c>
      <c r="I3382">
        <v>1996</v>
      </c>
      <c r="J3382">
        <v>1996</v>
      </c>
      <c r="K3382" t="s">
        <v>4554</v>
      </c>
      <c r="L3382" t="s">
        <v>4555</v>
      </c>
      <c r="M3382" s="2">
        <v>1612</v>
      </c>
      <c r="N3382" t="s">
        <v>4048</v>
      </c>
      <c r="O3382">
        <v>2</v>
      </c>
      <c r="P3382">
        <v>2</v>
      </c>
      <c r="Q3382">
        <v>0</v>
      </c>
      <c r="R3382" t="s">
        <v>4557</v>
      </c>
      <c r="S3382" t="s">
        <v>4135</v>
      </c>
      <c r="T3382" t="s">
        <v>3888</v>
      </c>
      <c r="U3382" t="s">
        <v>4655</v>
      </c>
      <c r="V3382" s="2">
        <v>0</v>
      </c>
      <c r="W3382" t="s">
        <v>4655</v>
      </c>
      <c r="X3382" s="2">
        <v>0</v>
      </c>
      <c r="Y3382">
        <v>20</v>
      </c>
      <c r="Z3382" t="s">
        <v>5226</v>
      </c>
      <c r="AA3382" s="3">
        <v>12.9799995422363</v>
      </c>
      <c r="AB3382" t="s">
        <v>19070</v>
      </c>
      <c r="AC3382" t="s">
        <v>4562</v>
      </c>
      <c r="AD3382" t="s">
        <v>19071</v>
      </c>
      <c r="AE3382" t="s">
        <v>4655</v>
      </c>
      <c r="AF3382" t="s">
        <v>4213</v>
      </c>
      <c r="AG3382" t="s">
        <v>4584</v>
      </c>
      <c r="AH3382" t="s">
        <v>39</v>
      </c>
      <c r="AI3382" t="s">
        <v>19070</v>
      </c>
      <c r="AJ3382" t="s">
        <v>4655</v>
      </c>
      <c r="AK3382" t="s">
        <v>19072</v>
      </c>
      <c r="AL3382" s="13" t="s">
        <v>1891</v>
      </c>
      <c r="AM3382">
        <v>1</v>
      </c>
      <c r="AN3382" s="15" t="s">
        <v>4845</v>
      </c>
    </row>
    <row r="3383" spans="1:40" x14ac:dyDescent="0.3">
      <c r="A3383" s="10" t="str">
        <f>HYPERLINK("http://www.washoecounty.gov/assessor/cama/?parid=078-221-04&amp;CardNumber=1","078-221-04")</f>
        <v>078-221-04</v>
      </c>
      <c r="B3383" t="s">
        <v>4655</v>
      </c>
      <c r="C3383" t="s">
        <v>19073</v>
      </c>
      <c r="D3383" s="1">
        <v>40184</v>
      </c>
      <c r="E3383" s="2">
        <v>153800</v>
      </c>
      <c r="F3383" t="s">
        <v>4567</v>
      </c>
      <c r="G3383" s="17" t="str">
        <f>HYPERLINK("https://www.washoecounty.gov/assessor/cama/?command=sales&amp;parid=07822104","3836942")</f>
        <v>3836942</v>
      </c>
      <c r="H3383" t="s">
        <v>5225</v>
      </c>
      <c r="I3383">
        <v>1996</v>
      </c>
      <c r="J3383">
        <v>1996</v>
      </c>
      <c r="K3383" t="s">
        <v>4554</v>
      </c>
      <c r="L3383" t="s">
        <v>3974</v>
      </c>
      <c r="M3383" s="2">
        <v>1664</v>
      </c>
      <c r="N3383" t="s">
        <v>4048</v>
      </c>
      <c r="O3383">
        <v>3</v>
      </c>
      <c r="P3383">
        <v>2</v>
      </c>
      <c r="Q3383">
        <v>1</v>
      </c>
      <c r="R3383" t="s">
        <v>4557</v>
      </c>
      <c r="S3383" t="s">
        <v>4135</v>
      </c>
      <c r="T3383" t="s">
        <v>4559</v>
      </c>
      <c r="U3383" t="s">
        <v>4560</v>
      </c>
      <c r="V3383" s="2">
        <v>600</v>
      </c>
      <c r="W3383" t="s">
        <v>4655</v>
      </c>
      <c r="X3383" s="2">
        <v>0</v>
      </c>
      <c r="Y3383">
        <v>20</v>
      </c>
      <c r="Z3383" t="s">
        <v>5226</v>
      </c>
      <c r="AA3383" s="3">
        <v>10.270000457763601</v>
      </c>
      <c r="AB3383" t="s">
        <v>19074</v>
      </c>
      <c r="AC3383" t="s">
        <v>4562</v>
      </c>
      <c r="AD3383" t="s">
        <v>19075</v>
      </c>
      <c r="AE3383" t="s">
        <v>4655</v>
      </c>
      <c r="AF3383" t="s">
        <v>4563</v>
      </c>
      <c r="AG3383" t="s">
        <v>4564</v>
      </c>
      <c r="AH3383">
        <v>89508</v>
      </c>
      <c r="AI3383" t="s">
        <v>4844</v>
      </c>
      <c r="AJ3383" t="s">
        <v>4655</v>
      </c>
      <c r="AK3383" t="s">
        <v>19076</v>
      </c>
      <c r="AL3383" s="13" t="s">
        <v>1891</v>
      </c>
      <c r="AM3383">
        <v>1</v>
      </c>
      <c r="AN3383" s="15" t="s">
        <v>4845</v>
      </c>
    </row>
    <row r="3384" spans="1:40" x14ac:dyDescent="0.3">
      <c r="A3384" s="10" t="str">
        <f>HYPERLINK("http://www.washoecounty.gov/assessor/cama/?parid=078-221-04&amp;CardNumber=1","078-221-04")</f>
        <v>078-221-04</v>
      </c>
      <c r="B3384" t="s">
        <v>4655</v>
      </c>
      <c r="C3384" t="s">
        <v>19073</v>
      </c>
      <c r="D3384" s="1">
        <v>40192</v>
      </c>
      <c r="E3384" s="2">
        <v>189900</v>
      </c>
      <c r="F3384" t="s">
        <v>4567</v>
      </c>
      <c r="G3384" s="17" t="str">
        <f>HYPERLINK("https://www.washoecounty.gov/assessor/cama/?command=sales&amp;parid=07822104","3839217")</f>
        <v>3839217</v>
      </c>
      <c r="H3384" t="s">
        <v>5225</v>
      </c>
      <c r="I3384">
        <v>1996</v>
      </c>
      <c r="J3384">
        <v>1996</v>
      </c>
      <c r="K3384" t="s">
        <v>4554</v>
      </c>
      <c r="L3384" t="s">
        <v>3974</v>
      </c>
      <c r="M3384" s="2">
        <v>1664</v>
      </c>
      <c r="N3384" t="s">
        <v>4048</v>
      </c>
      <c r="O3384">
        <v>3</v>
      </c>
      <c r="P3384">
        <v>2</v>
      </c>
      <c r="Q3384">
        <v>1</v>
      </c>
      <c r="R3384" t="s">
        <v>4557</v>
      </c>
      <c r="S3384" t="s">
        <v>4135</v>
      </c>
      <c r="T3384" t="s">
        <v>4559</v>
      </c>
      <c r="U3384" t="s">
        <v>4560</v>
      </c>
      <c r="V3384" s="2">
        <v>600</v>
      </c>
      <c r="W3384" t="s">
        <v>4655</v>
      </c>
      <c r="X3384" s="2">
        <v>0</v>
      </c>
      <c r="Y3384">
        <v>20</v>
      </c>
      <c r="Z3384" t="s">
        <v>5226</v>
      </c>
      <c r="AA3384" s="3">
        <v>10.270000457763601</v>
      </c>
      <c r="AB3384" t="s">
        <v>19074</v>
      </c>
      <c r="AC3384" t="s">
        <v>4562</v>
      </c>
      <c r="AD3384" t="s">
        <v>19075</v>
      </c>
      <c r="AE3384" t="s">
        <v>4655</v>
      </c>
      <c r="AF3384" t="s">
        <v>4563</v>
      </c>
      <c r="AG3384" t="s">
        <v>4564</v>
      </c>
      <c r="AH3384">
        <v>89508</v>
      </c>
      <c r="AI3384" t="s">
        <v>4844</v>
      </c>
      <c r="AJ3384" t="s">
        <v>4655</v>
      </c>
      <c r="AK3384" t="s">
        <v>19076</v>
      </c>
      <c r="AL3384" s="13" t="s">
        <v>1891</v>
      </c>
      <c r="AM3384">
        <v>1</v>
      </c>
      <c r="AN3384" s="15" t="s">
        <v>4845</v>
      </c>
    </row>
    <row r="3385" spans="1:40" x14ac:dyDescent="0.3">
      <c r="A3385" s="10" t="str">
        <f>HYPERLINK("http://www.washoecounty.gov/assessor/cama/?parid=078-231-06&amp;CardNumber=1","078-231-06")</f>
        <v>078-231-06</v>
      </c>
      <c r="B3385" t="s">
        <v>4655</v>
      </c>
      <c r="C3385" t="s">
        <v>19077</v>
      </c>
      <c r="D3385" s="1">
        <v>40459</v>
      </c>
      <c r="E3385" s="2">
        <v>75500</v>
      </c>
      <c r="F3385" t="s">
        <v>4553</v>
      </c>
      <c r="G3385" s="17" t="str">
        <f>HYPERLINK("https://www.washoecounty.gov/assessor/cama/?command=sales&amp;parid=07823106","3931360")</f>
        <v>3931360</v>
      </c>
      <c r="H3385" t="s">
        <v>5225</v>
      </c>
      <c r="I3385">
        <v>1999</v>
      </c>
      <c r="J3385">
        <v>1999</v>
      </c>
      <c r="K3385" t="s">
        <v>4554</v>
      </c>
      <c r="L3385" t="s">
        <v>4555</v>
      </c>
      <c r="M3385" s="2">
        <v>1277</v>
      </c>
      <c r="N3385" t="s">
        <v>4556</v>
      </c>
      <c r="O3385">
        <v>3</v>
      </c>
      <c r="P3385">
        <v>2</v>
      </c>
      <c r="Q3385">
        <v>0</v>
      </c>
      <c r="R3385" t="s">
        <v>4557</v>
      </c>
      <c r="S3385" t="s">
        <v>4558</v>
      </c>
      <c r="T3385" t="s">
        <v>4559</v>
      </c>
      <c r="U3385" t="s">
        <v>4655</v>
      </c>
      <c r="V3385" s="2">
        <v>0</v>
      </c>
      <c r="W3385" t="s">
        <v>4655</v>
      </c>
      <c r="X3385" s="2">
        <v>0</v>
      </c>
      <c r="Y3385">
        <v>20</v>
      </c>
      <c r="Z3385" t="s">
        <v>5226</v>
      </c>
      <c r="AA3385" s="3">
        <v>10.4700002670288</v>
      </c>
      <c r="AB3385" t="s">
        <v>19078</v>
      </c>
      <c r="AC3385" t="s">
        <v>4562</v>
      </c>
      <c r="AD3385" t="s">
        <v>19079</v>
      </c>
      <c r="AE3385" t="s">
        <v>4655</v>
      </c>
      <c r="AF3385" t="s">
        <v>19080</v>
      </c>
      <c r="AG3385" t="s">
        <v>5277</v>
      </c>
      <c r="AH3385" t="s">
        <v>19081</v>
      </c>
      <c r="AI3385" t="s">
        <v>4045</v>
      </c>
      <c r="AJ3385" t="s">
        <v>4655</v>
      </c>
      <c r="AK3385" t="s">
        <v>19082</v>
      </c>
      <c r="AL3385" s="13" t="s">
        <v>1891</v>
      </c>
      <c r="AM3385" s="14">
        <v>1</v>
      </c>
      <c r="AN3385" s="15" t="s">
        <v>4845</v>
      </c>
    </row>
    <row r="3386" spans="1:40" x14ac:dyDescent="0.3">
      <c r="A3386" s="10" t="str">
        <f>HYPERLINK("http://www.washoecounty.gov/assessor/cama/?parid=078-231-07&amp;CardNumber=1","078-231-07")</f>
        <v>078-231-07</v>
      </c>
      <c r="B3386" t="s">
        <v>4655</v>
      </c>
      <c r="C3386" t="s">
        <v>19083</v>
      </c>
      <c r="D3386" s="1">
        <v>40256</v>
      </c>
      <c r="E3386" s="2">
        <v>99750</v>
      </c>
      <c r="F3386" t="s">
        <v>4553</v>
      </c>
      <c r="G3386" s="17" t="str">
        <f>HYPERLINK("https://www.washoecounty.gov/assessor/cama/?command=sales&amp;parid=07823107","3861438")</f>
        <v>3861438</v>
      </c>
      <c r="H3386" t="s">
        <v>5225</v>
      </c>
      <c r="I3386">
        <v>1999</v>
      </c>
      <c r="J3386">
        <v>1999</v>
      </c>
      <c r="K3386" t="s">
        <v>4554</v>
      </c>
      <c r="L3386" t="s">
        <v>4555</v>
      </c>
      <c r="M3386" s="2">
        <v>1320</v>
      </c>
      <c r="N3386" t="s">
        <v>4556</v>
      </c>
      <c r="O3386">
        <v>3</v>
      </c>
      <c r="P3386">
        <v>2</v>
      </c>
      <c r="Q3386">
        <v>0</v>
      </c>
      <c r="R3386" t="s">
        <v>4557</v>
      </c>
      <c r="S3386" t="s">
        <v>4558</v>
      </c>
      <c r="T3386" t="s">
        <v>4559</v>
      </c>
      <c r="U3386" t="s">
        <v>4560</v>
      </c>
      <c r="V3386" s="2">
        <v>1400</v>
      </c>
      <c r="W3386" t="s">
        <v>4655</v>
      </c>
      <c r="X3386" s="2">
        <v>0</v>
      </c>
      <c r="Y3386">
        <v>20</v>
      </c>
      <c r="Z3386" t="s">
        <v>5226</v>
      </c>
      <c r="AA3386" s="3">
        <v>10.6000003814697</v>
      </c>
      <c r="AB3386" t="s">
        <v>19084</v>
      </c>
      <c r="AC3386" t="s">
        <v>4562</v>
      </c>
      <c r="AD3386" t="s">
        <v>19083</v>
      </c>
      <c r="AE3386" t="s">
        <v>4655</v>
      </c>
      <c r="AF3386" t="s">
        <v>4563</v>
      </c>
      <c r="AG3386" t="s">
        <v>4564</v>
      </c>
      <c r="AH3386">
        <v>89506</v>
      </c>
      <c r="AI3386" t="s">
        <v>4503</v>
      </c>
      <c r="AJ3386" t="s">
        <v>4655</v>
      </c>
      <c r="AK3386" t="s">
        <v>19085</v>
      </c>
      <c r="AL3386" s="13" t="s">
        <v>1891</v>
      </c>
      <c r="AM3386">
        <v>1</v>
      </c>
      <c r="AN3386" s="15" t="s">
        <v>4845</v>
      </c>
    </row>
    <row r="3387" spans="1:40" x14ac:dyDescent="0.3">
      <c r="A3387" s="10" t="str">
        <f>HYPERLINK("http://www.washoecounty.gov/assessor/cama/?parid=078-253-01&amp;CardNumber=1","078-253-01")</f>
        <v>078-253-01</v>
      </c>
      <c r="B3387" t="s">
        <v>4655</v>
      </c>
      <c r="C3387" t="s">
        <v>19086</v>
      </c>
      <c r="D3387" s="1">
        <v>40242</v>
      </c>
      <c r="E3387" s="2">
        <v>37000</v>
      </c>
      <c r="F3387" t="s">
        <v>3259</v>
      </c>
      <c r="G3387" s="17" t="str">
        <f>HYPERLINK("https://www.washoecounty.gov/assessor/cama/?command=sales&amp;parid=07825301","3856482")</f>
        <v>3856482</v>
      </c>
      <c r="H3387" t="s">
        <v>40</v>
      </c>
      <c r="I3387">
        <v>0</v>
      </c>
      <c r="J3387">
        <v>0</v>
      </c>
      <c r="K3387" t="s">
        <v>4655</v>
      </c>
      <c r="L3387" t="s">
        <v>4655</v>
      </c>
      <c r="M3387" s="2">
        <v>0</v>
      </c>
      <c r="N3387" t="s">
        <v>4655</v>
      </c>
      <c r="O3387">
        <v>0</v>
      </c>
      <c r="P3387">
        <v>0</v>
      </c>
      <c r="Q3387">
        <v>0</v>
      </c>
      <c r="R3387" t="s">
        <v>4655</v>
      </c>
      <c r="S3387" t="s">
        <v>4655</v>
      </c>
      <c r="T3387" t="s">
        <v>4655</v>
      </c>
      <c r="U3387" t="s">
        <v>4655</v>
      </c>
      <c r="V3387" s="2">
        <v>0</v>
      </c>
      <c r="W3387" t="s">
        <v>4655</v>
      </c>
      <c r="X3387" s="2">
        <v>0</v>
      </c>
      <c r="Y3387">
        <v>12</v>
      </c>
      <c r="Z3387" t="s">
        <v>5226</v>
      </c>
      <c r="AA3387" s="3">
        <v>10.140000343322701</v>
      </c>
      <c r="AB3387" t="s">
        <v>19087</v>
      </c>
      <c r="AC3387" t="s">
        <v>4562</v>
      </c>
      <c r="AD3387" t="s">
        <v>19088</v>
      </c>
      <c r="AE3387" t="s">
        <v>4655</v>
      </c>
      <c r="AF3387" t="s">
        <v>4563</v>
      </c>
      <c r="AG3387" t="s">
        <v>4564</v>
      </c>
      <c r="AH3387" t="s">
        <v>5202</v>
      </c>
      <c r="AI3387" t="s">
        <v>19089</v>
      </c>
      <c r="AJ3387" t="s">
        <v>4655</v>
      </c>
      <c r="AK3387" t="s">
        <v>19090</v>
      </c>
      <c r="AL3387" s="13" t="s">
        <v>1891</v>
      </c>
      <c r="AM3387">
        <v>0</v>
      </c>
      <c r="AN3387" s="15" t="s">
        <v>2014</v>
      </c>
    </row>
    <row r="3388" spans="1:40" x14ac:dyDescent="0.3">
      <c r="A3388" s="10" t="str">
        <f>HYPERLINK("http://www.washoecounty.gov/assessor/cama/?parid=078-253-07&amp;CardNumber=1","078-253-07")</f>
        <v>078-253-07</v>
      </c>
      <c r="B3388" t="s">
        <v>4655</v>
      </c>
      <c r="C3388" t="s">
        <v>19091</v>
      </c>
      <c r="D3388" s="1">
        <v>40248</v>
      </c>
      <c r="E3388" s="2">
        <v>110250</v>
      </c>
      <c r="F3388" t="s">
        <v>4553</v>
      </c>
      <c r="G3388" s="17" t="str">
        <f>HYPERLINK("https://www.washoecounty.gov/assessor/cama/?command=sales&amp;parid=07825307","3858626")</f>
        <v>3858626</v>
      </c>
      <c r="H3388" t="s">
        <v>19092</v>
      </c>
      <c r="I3388">
        <v>2002</v>
      </c>
      <c r="J3388">
        <v>2002</v>
      </c>
      <c r="K3388" t="s">
        <v>4554</v>
      </c>
      <c r="L3388" t="s">
        <v>4555</v>
      </c>
      <c r="M3388" s="2">
        <v>1410</v>
      </c>
      <c r="N3388" t="s">
        <v>4556</v>
      </c>
      <c r="O3388">
        <v>3</v>
      </c>
      <c r="P3388">
        <v>2</v>
      </c>
      <c r="Q3388">
        <v>0</v>
      </c>
      <c r="R3388" t="s">
        <v>4557</v>
      </c>
      <c r="S3388" t="s">
        <v>3148</v>
      </c>
      <c r="T3388" t="s">
        <v>4559</v>
      </c>
      <c r="U3388" t="s">
        <v>4560</v>
      </c>
      <c r="V3388" s="2">
        <v>484</v>
      </c>
      <c r="W3388" t="s">
        <v>4655</v>
      </c>
      <c r="X3388" s="2">
        <v>0</v>
      </c>
      <c r="Y3388">
        <v>20</v>
      </c>
      <c r="Z3388" t="s">
        <v>5226</v>
      </c>
      <c r="AA3388" s="3">
        <v>10.140000343322701</v>
      </c>
      <c r="AB3388" t="s">
        <v>19093</v>
      </c>
      <c r="AC3388" t="s">
        <v>4562</v>
      </c>
      <c r="AD3388" t="s">
        <v>19094</v>
      </c>
      <c r="AE3388" t="s">
        <v>4655</v>
      </c>
      <c r="AF3388" t="s">
        <v>5201</v>
      </c>
      <c r="AG3388" t="s">
        <v>4564</v>
      </c>
      <c r="AH3388" t="s">
        <v>1350</v>
      </c>
      <c r="AI3388" t="s">
        <v>4655</v>
      </c>
      <c r="AJ3388" t="s">
        <v>4655</v>
      </c>
      <c r="AK3388" t="s">
        <v>19095</v>
      </c>
      <c r="AL3388" s="13" t="s">
        <v>1891</v>
      </c>
      <c r="AM3388" s="14">
        <v>1</v>
      </c>
      <c r="AN3388" s="15" t="s">
        <v>2014</v>
      </c>
    </row>
    <row r="3389" spans="1:40" x14ac:dyDescent="0.3">
      <c r="A3389" s="10" t="str">
        <f>HYPERLINK("http://www.washoecounty.gov/assessor/cama/?parid=078-253-09&amp;CardNumber=1","078-253-09")</f>
        <v>078-253-09</v>
      </c>
      <c r="B3389" t="s">
        <v>4655</v>
      </c>
      <c r="C3389" t="s">
        <v>19096</v>
      </c>
      <c r="D3389" s="1">
        <v>40451</v>
      </c>
      <c r="E3389" s="2">
        <v>250000</v>
      </c>
      <c r="F3389" t="s">
        <v>4567</v>
      </c>
      <c r="G3389" s="17" t="str">
        <f>HYPERLINK("https://www.washoecounty.gov/assessor/cama/?command=sales&amp;parid=07825309","3928026")</f>
        <v>3928026</v>
      </c>
      <c r="H3389" t="s">
        <v>2634</v>
      </c>
      <c r="I3389">
        <v>2007</v>
      </c>
      <c r="J3389">
        <v>2007</v>
      </c>
      <c r="K3389" t="s">
        <v>4554</v>
      </c>
      <c r="L3389" t="s">
        <v>4555</v>
      </c>
      <c r="M3389" s="2">
        <v>2328</v>
      </c>
      <c r="N3389" t="s">
        <v>5280</v>
      </c>
      <c r="O3389">
        <v>3</v>
      </c>
      <c r="P3389">
        <v>2</v>
      </c>
      <c r="Q3389">
        <v>1</v>
      </c>
      <c r="R3389" t="s">
        <v>4557</v>
      </c>
      <c r="S3389" t="s">
        <v>4898</v>
      </c>
      <c r="T3389" t="s">
        <v>4559</v>
      </c>
      <c r="U3389" t="s">
        <v>5631</v>
      </c>
      <c r="V3389" s="2">
        <v>1110</v>
      </c>
      <c r="W3389" t="s">
        <v>4655</v>
      </c>
      <c r="X3389" s="2">
        <v>0</v>
      </c>
      <c r="Y3389">
        <v>20</v>
      </c>
      <c r="Z3389" t="s">
        <v>5226</v>
      </c>
      <c r="AA3389" s="3">
        <v>10.4300003051757</v>
      </c>
      <c r="AB3389" t="s">
        <v>19097</v>
      </c>
      <c r="AC3389" t="s">
        <v>4562</v>
      </c>
      <c r="AD3389" t="s">
        <v>19098</v>
      </c>
      <c r="AE3389" t="s">
        <v>4655</v>
      </c>
      <c r="AF3389" t="s">
        <v>4563</v>
      </c>
      <c r="AG3389" t="s">
        <v>4564</v>
      </c>
      <c r="AH3389">
        <v>89506</v>
      </c>
      <c r="AI3389" t="s">
        <v>19099</v>
      </c>
      <c r="AJ3389" t="s">
        <v>4655</v>
      </c>
      <c r="AK3389" t="s">
        <v>19100</v>
      </c>
      <c r="AL3389" s="13" t="s">
        <v>1891</v>
      </c>
      <c r="AM3389">
        <v>1</v>
      </c>
      <c r="AN3389" s="15" t="s">
        <v>2014</v>
      </c>
    </row>
    <row r="3390" spans="1:40" x14ac:dyDescent="0.3">
      <c r="A3390" s="10" t="str">
        <f>HYPERLINK("http://www.washoecounty.gov/assessor/cama/?parid=078-271-18&amp;CardNumber=1","078-271-18")</f>
        <v>078-271-18</v>
      </c>
      <c r="B3390" t="s">
        <v>4655</v>
      </c>
      <c r="C3390" t="s">
        <v>19101</v>
      </c>
      <c r="D3390" s="1">
        <v>40450</v>
      </c>
      <c r="E3390" s="2">
        <v>207000</v>
      </c>
      <c r="F3390" t="s">
        <v>4553</v>
      </c>
      <c r="G3390" s="17" t="str">
        <f>HYPERLINK("https://www.washoecounty.gov/assessor/cama/?command=sales&amp;parid=07827118","3927578")</f>
        <v>3927578</v>
      </c>
      <c r="H3390" t="s">
        <v>425</v>
      </c>
      <c r="I3390">
        <v>1997</v>
      </c>
      <c r="J3390">
        <v>1997</v>
      </c>
      <c r="K3390" t="s">
        <v>4554</v>
      </c>
      <c r="L3390" t="s">
        <v>3974</v>
      </c>
      <c r="M3390" s="2">
        <v>2849</v>
      </c>
      <c r="N3390" t="s">
        <v>3147</v>
      </c>
      <c r="O3390">
        <v>3</v>
      </c>
      <c r="P3390">
        <v>2</v>
      </c>
      <c r="Q3390">
        <v>0</v>
      </c>
      <c r="R3390" t="s">
        <v>5281</v>
      </c>
      <c r="S3390" t="s">
        <v>4558</v>
      </c>
      <c r="T3390" t="s">
        <v>4559</v>
      </c>
      <c r="U3390" t="s">
        <v>5631</v>
      </c>
      <c r="V3390" s="2">
        <v>706</v>
      </c>
      <c r="W3390" t="s">
        <v>4655</v>
      </c>
      <c r="X3390" s="2">
        <v>0</v>
      </c>
      <c r="Y3390">
        <v>20</v>
      </c>
      <c r="Z3390" t="s">
        <v>5226</v>
      </c>
      <c r="AA3390" s="3">
        <v>10</v>
      </c>
      <c r="AB3390" t="s">
        <v>19102</v>
      </c>
      <c r="AC3390" t="s">
        <v>4562</v>
      </c>
      <c r="AD3390" t="s">
        <v>19101</v>
      </c>
      <c r="AE3390" t="s">
        <v>4655</v>
      </c>
      <c r="AF3390" t="s">
        <v>4563</v>
      </c>
      <c r="AG3390" t="s">
        <v>4564</v>
      </c>
      <c r="AH3390">
        <v>89506</v>
      </c>
      <c r="AI3390" t="s">
        <v>4655</v>
      </c>
      <c r="AJ3390" t="s">
        <v>4655</v>
      </c>
      <c r="AK3390" t="s">
        <v>19103</v>
      </c>
      <c r="AL3390" s="13" t="s">
        <v>1891</v>
      </c>
      <c r="AM3390" s="14">
        <v>1</v>
      </c>
      <c r="AN3390" s="15" t="s">
        <v>4845</v>
      </c>
    </row>
    <row r="3391" spans="1:40" x14ac:dyDescent="0.3">
      <c r="A3391" s="10" t="str">
        <f>HYPERLINK("http://www.washoecounty.gov/assessor/cama/?parid=078-272-03&amp;CardNumber=1","078-272-03")</f>
        <v>078-272-03</v>
      </c>
      <c r="B3391" t="s">
        <v>4655</v>
      </c>
      <c r="C3391" t="s">
        <v>19104</v>
      </c>
      <c r="D3391" s="1">
        <v>40483</v>
      </c>
      <c r="E3391" s="2">
        <v>170000</v>
      </c>
      <c r="F3391" t="s">
        <v>4567</v>
      </c>
      <c r="G3391" s="17" t="str">
        <f>HYPERLINK("https://www.washoecounty.gov/assessor/cama/?command=sales&amp;parid=07827203","3938542")</f>
        <v>3938542</v>
      </c>
      <c r="H3391" t="s">
        <v>2634</v>
      </c>
      <c r="I3391">
        <v>2004</v>
      </c>
      <c r="J3391">
        <v>2004</v>
      </c>
      <c r="K3391" t="s">
        <v>4554</v>
      </c>
      <c r="L3391" t="s">
        <v>4555</v>
      </c>
      <c r="M3391" s="2">
        <v>2204</v>
      </c>
      <c r="N3391" t="s">
        <v>4048</v>
      </c>
      <c r="O3391">
        <v>3</v>
      </c>
      <c r="P3391">
        <v>2</v>
      </c>
      <c r="Q3391">
        <v>0</v>
      </c>
      <c r="R3391" t="s">
        <v>4557</v>
      </c>
      <c r="S3391" t="s">
        <v>4558</v>
      </c>
      <c r="T3391" t="s">
        <v>4559</v>
      </c>
      <c r="U3391" t="s">
        <v>4560</v>
      </c>
      <c r="V3391" s="2">
        <v>925</v>
      </c>
      <c r="W3391" t="s">
        <v>4655</v>
      </c>
      <c r="X3391" s="2">
        <v>0</v>
      </c>
      <c r="Y3391">
        <v>20</v>
      </c>
      <c r="Z3391" t="s">
        <v>5226</v>
      </c>
      <c r="AA3391" s="3">
        <v>10.1300001144409</v>
      </c>
      <c r="AB3391" t="s">
        <v>19105</v>
      </c>
      <c r="AC3391" t="s">
        <v>4562</v>
      </c>
      <c r="AD3391" t="s">
        <v>19106</v>
      </c>
      <c r="AE3391" t="s">
        <v>4655</v>
      </c>
      <c r="AF3391" t="s">
        <v>4563</v>
      </c>
      <c r="AG3391" t="s">
        <v>4564</v>
      </c>
      <c r="AH3391">
        <v>89508</v>
      </c>
      <c r="AI3391" t="s">
        <v>19099</v>
      </c>
      <c r="AJ3391" t="s">
        <v>4655</v>
      </c>
      <c r="AK3391" t="s">
        <v>19107</v>
      </c>
      <c r="AL3391" s="13" t="s">
        <v>1891</v>
      </c>
      <c r="AM3391" s="14">
        <v>1</v>
      </c>
      <c r="AN3391" s="15" t="s">
        <v>2014</v>
      </c>
    </row>
    <row r="3392" spans="1:40" x14ac:dyDescent="0.3">
      <c r="A3392" s="10" t="str">
        <f>HYPERLINK("http://www.washoecounty.gov/assessor/cama/?parid=078-281-33&amp;CardNumber=1","078-281-33")</f>
        <v>078-281-33</v>
      </c>
      <c r="B3392" t="s">
        <v>4655</v>
      </c>
      <c r="C3392" t="s">
        <v>19108</v>
      </c>
      <c r="D3392" s="1">
        <v>40526</v>
      </c>
      <c r="E3392" s="2">
        <v>30000</v>
      </c>
      <c r="F3392" t="s">
        <v>3259</v>
      </c>
      <c r="G3392" s="17" t="str">
        <f>HYPERLINK("https://www.washoecounty.gov/assessor/cama/?command=sales&amp;parid=07828133","3953283")</f>
        <v>3953283</v>
      </c>
      <c r="H3392" t="s">
        <v>4655</v>
      </c>
      <c r="I3392">
        <v>0</v>
      </c>
      <c r="J3392">
        <v>0</v>
      </c>
      <c r="K3392" t="s">
        <v>4655</v>
      </c>
      <c r="L3392" t="s">
        <v>4655</v>
      </c>
      <c r="M3392" s="2">
        <v>0</v>
      </c>
      <c r="N3392" t="s">
        <v>4655</v>
      </c>
      <c r="O3392">
        <v>0</v>
      </c>
      <c r="P3392">
        <v>0</v>
      </c>
      <c r="Q3392">
        <v>0</v>
      </c>
      <c r="R3392" t="s">
        <v>4655</v>
      </c>
      <c r="S3392" t="s">
        <v>4655</v>
      </c>
      <c r="T3392" t="s">
        <v>4655</v>
      </c>
      <c r="U3392" t="s">
        <v>4655</v>
      </c>
      <c r="V3392" s="2">
        <v>0</v>
      </c>
      <c r="W3392" t="s">
        <v>4655</v>
      </c>
      <c r="X3392" s="2">
        <v>0</v>
      </c>
      <c r="Y3392">
        <v>12</v>
      </c>
      <c r="Z3392" t="s">
        <v>5226</v>
      </c>
      <c r="AA3392" s="3">
        <v>5</v>
      </c>
      <c r="AB3392" t="s">
        <v>19109</v>
      </c>
      <c r="AC3392" t="s">
        <v>4562</v>
      </c>
      <c r="AD3392" t="s">
        <v>19110</v>
      </c>
      <c r="AE3392" t="s">
        <v>4655</v>
      </c>
      <c r="AF3392" t="s">
        <v>19111</v>
      </c>
      <c r="AG3392" t="s">
        <v>3370</v>
      </c>
      <c r="AH3392">
        <v>32608</v>
      </c>
      <c r="AI3392" t="s">
        <v>4655</v>
      </c>
      <c r="AJ3392" t="s">
        <v>4655</v>
      </c>
      <c r="AK3392" t="s">
        <v>19112</v>
      </c>
      <c r="AL3392" s="13" t="s">
        <v>1891</v>
      </c>
      <c r="AM3392">
        <v>0</v>
      </c>
      <c r="AN3392" s="15" t="s">
        <v>4845</v>
      </c>
    </row>
    <row r="3393" spans="1:40" x14ac:dyDescent="0.3">
      <c r="A3393" s="10" t="str">
        <f>HYPERLINK("http://www.washoecounty.gov/assessor/cama/?parid=078-281-37&amp;CardNumber=1","078-281-37")</f>
        <v>078-281-37</v>
      </c>
      <c r="B3393" t="s">
        <v>4655</v>
      </c>
      <c r="C3393" t="s">
        <v>19113</v>
      </c>
      <c r="D3393" s="1">
        <v>40512</v>
      </c>
      <c r="E3393" s="2">
        <v>137130</v>
      </c>
      <c r="F3393" t="s">
        <v>4553</v>
      </c>
      <c r="G3393" s="17" t="str">
        <f>HYPERLINK("https://www.washoecounty.gov/assessor/cama/?command=sales&amp;parid=07828137","3947415")</f>
        <v>3947415</v>
      </c>
      <c r="H3393" t="s">
        <v>19114</v>
      </c>
      <c r="I3393">
        <v>1992</v>
      </c>
      <c r="J3393">
        <v>1992</v>
      </c>
      <c r="K3393" t="s">
        <v>4554</v>
      </c>
      <c r="L3393" t="s">
        <v>4555</v>
      </c>
      <c r="M3393" s="2">
        <v>1302</v>
      </c>
      <c r="N3393" t="s">
        <v>4048</v>
      </c>
      <c r="O3393">
        <v>3</v>
      </c>
      <c r="P3393">
        <v>2</v>
      </c>
      <c r="Q3393">
        <v>0</v>
      </c>
      <c r="R3393" t="s">
        <v>4557</v>
      </c>
      <c r="S3393" t="s">
        <v>3148</v>
      </c>
      <c r="T3393" t="s">
        <v>4559</v>
      </c>
      <c r="U3393" t="s">
        <v>4560</v>
      </c>
      <c r="V3393" s="2">
        <v>440</v>
      </c>
      <c r="W3393" t="s">
        <v>4655</v>
      </c>
      <c r="X3393" s="2">
        <v>0</v>
      </c>
      <c r="Y3393">
        <v>20</v>
      </c>
      <c r="Z3393" t="s">
        <v>5226</v>
      </c>
      <c r="AA3393" s="3">
        <v>2.6679999828338623</v>
      </c>
      <c r="AB3393" t="s">
        <v>19115</v>
      </c>
      <c r="AC3393" t="s">
        <v>4562</v>
      </c>
      <c r="AD3393" t="s">
        <v>19116</v>
      </c>
      <c r="AE3393" t="s">
        <v>4655</v>
      </c>
      <c r="AF3393" t="s">
        <v>4563</v>
      </c>
      <c r="AG3393" t="s">
        <v>4564</v>
      </c>
      <c r="AH3393">
        <v>89506</v>
      </c>
      <c r="AI3393" t="s">
        <v>4045</v>
      </c>
      <c r="AJ3393" t="s">
        <v>4655</v>
      </c>
      <c r="AK3393" t="s">
        <v>19117</v>
      </c>
      <c r="AL3393" s="13" t="s">
        <v>1891</v>
      </c>
      <c r="AM3393">
        <v>1</v>
      </c>
      <c r="AN3393" s="15" t="s">
        <v>4845</v>
      </c>
    </row>
    <row r="3394" spans="1:40" x14ac:dyDescent="0.3">
      <c r="A3394" s="10" t="str">
        <f>HYPERLINK("http://www.washoecounty.gov/assessor/cama/?parid=078-311-01&amp;CardNumber=1","078-311-01")</f>
        <v>078-311-01</v>
      </c>
      <c r="B3394" t="s">
        <v>4655</v>
      </c>
      <c r="C3394" t="s">
        <v>19118</v>
      </c>
      <c r="D3394" s="1">
        <v>40252</v>
      </c>
      <c r="E3394" s="2">
        <v>248365</v>
      </c>
      <c r="F3394" t="s">
        <v>4553</v>
      </c>
      <c r="G3394" s="17" t="str">
        <f>HYPERLINK("https://www.washoecounty.gov/assessor/cama/?command=sales&amp;parid=07831101","3860105")</f>
        <v>3860105</v>
      </c>
      <c r="H3394" t="s">
        <v>5225</v>
      </c>
      <c r="I3394">
        <v>1996</v>
      </c>
      <c r="J3394">
        <v>1996</v>
      </c>
      <c r="K3394" t="s">
        <v>4554</v>
      </c>
      <c r="L3394" t="s">
        <v>4555</v>
      </c>
      <c r="M3394" s="2">
        <v>2988</v>
      </c>
      <c r="N3394" t="s">
        <v>5280</v>
      </c>
      <c r="O3394">
        <v>2</v>
      </c>
      <c r="P3394">
        <v>2</v>
      </c>
      <c r="Q3394">
        <v>1</v>
      </c>
      <c r="R3394" t="s">
        <v>4557</v>
      </c>
      <c r="S3394" t="s">
        <v>4135</v>
      </c>
      <c r="T3394" t="s">
        <v>4559</v>
      </c>
      <c r="U3394" t="s">
        <v>4560</v>
      </c>
      <c r="V3394" s="2">
        <v>936</v>
      </c>
      <c r="W3394" t="s">
        <v>4655</v>
      </c>
      <c r="X3394" s="2">
        <v>0</v>
      </c>
      <c r="Y3394">
        <v>20</v>
      </c>
      <c r="Z3394" t="s">
        <v>5226</v>
      </c>
      <c r="AA3394" s="3">
        <v>12.270000457763601</v>
      </c>
      <c r="AB3394" t="s">
        <v>19119</v>
      </c>
      <c r="AC3394" t="s">
        <v>4562</v>
      </c>
      <c r="AD3394" t="s">
        <v>19118</v>
      </c>
      <c r="AE3394" t="s">
        <v>4655</v>
      </c>
      <c r="AF3394" t="s">
        <v>4563</v>
      </c>
      <c r="AG3394" t="s">
        <v>4564</v>
      </c>
      <c r="AH3394">
        <v>89508</v>
      </c>
      <c r="AI3394" t="s">
        <v>1602</v>
      </c>
      <c r="AJ3394" t="s">
        <v>4655</v>
      </c>
      <c r="AK3394" t="s">
        <v>19120</v>
      </c>
      <c r="AL3394" s="13" t="s">
        <v>1891</v>
      </c>
      <c r="AM3394" s="14">
        <v>1</v>
      </c>
      <c r="AN3394" s="15" t="s">
        <v>4845</v>
      </c>
    </row>
    <row r="3395" spans="1:40" x14ac:dyDescent="0.3">
      <c r="A3395" s="10" t="str">
        <f>HYPERLINK("http://www.washoecounty.gov/assessor/cama/?parid=078-311-02&amp;CardNumber=1","078-311-02")</f>
        <v>078-311-02</v>
      </c>
      <c r="B3395" t="s">
        <v>4655</v>
      </c>
      <c r="C3395" t="s">
        <v>19121</v>
      </c>
      <c r="D3395" s="1">
        <v>40359</v>
      </c>
      <c r="E3395" s="2">
        <v>150000</v>
      </c>
      <c r="F3395" t="s">
        <v>4553</v>
      </c>
      <c r="G3395" s="17" t="str">
        <f>HYPERLINK("https://www.washoecounty.gov/assessor/cama/?command=sales&amp;parid=07831102","3897047")</f>
        <v>3897047</v>
      </c>
      <c r="H3395" t="s">
        <v>5225</v>
      </c>
      <c r="I3395">
        <v>1982</v>
      </c>
      <c r="J3395">
        <v>1982</v>
      </c>
      <c r="K3395" t="s">
        <v>4554</v>
      </c>
      <c r="L3395" t="s">
        <v>3974</v>
      </c>
      <c r="M3395" s="2">
        <v>1806</v>
      </c>
      <c r="N3395" t="s">
        <v>4556</v>
      </c>
      <c r="O3395">
        <v>3</v>
      </c>
      <c r="P3395">
        <v>2</v>
      </c>
      <c r="Q3395">
        <v>0</v>
      </c>
      <c r="R3395" t="s">
        <v>4676</v>
      </c>
      <c r="S3395" t="s">
        <v>3148</v>
      </c>
      <c r="T3395" t="s">
        <v>3888</v>
      </c>
      <c r="U3395" t="s">
        <v>4655</v>
      </c>
      <c r="V3395" s="2">
        <v>0</v>
      </c>
      <c r="W3395" t="s">
        <v>4655</v>
      </c>
      <c r="X3395" s="2">
        <v>0</v>
      </c>
      <c r="Y3395">
        <v>20</v>
      </c>
      <c r="Z3395" t="s">
        <v>5226</v>
      </c>
      <c r="AA3395" s="3">
        <v>11.1599998474121</v>
      </c>
      <c r="AB3395" t="s">
        <v>19122</v>
      </c>
      <c r="AC3395" t="s">
        <v>4562</v>
      </c>
      <c r="AD3395" t="s">
        <v>19121</v>
      </c>
      <c r="AE3395" t="s">
        <v>4655</v>
      </c>
      <c r="AF3395" t="s">
        <v>4563</v>
      </c>
      <c r="AG3395" t="s">
        <v>4564</v>
      </c>
      <c r="AH3395">
        <v>89508</v>
      </c>
      <c r="AI3395" t="s">
        <v>4565</v>
      </c>
      <c r="AJ3395" t="s">
        <v>4655</v>
      </c>
      <c r="AK3395" t="s">
        <v>19123</v>
      </c>
      <c r="AL3395" s="13" t="s">
        <v>1891</v>
      </c>
      <c r="AM3395">
        <v>1</v>
      </c>
      <c r="AN3395" s="15" t="s">
        <v>4845</v>
      </c>
    </row>
    <row r="3396" spans="1:40" x14ac:dyDescent="0.3">
      <c r="A3396" s="10" t="str">
        <f>HYPERLINK("http://www.washoecounty.gov/assessor/cama/?parid=078-351-03&amp;CardNumber=1","078-351-03")</f>
        <v>078-351-03</v>
      </c>
      <c r="B3396" t="s">
        <v>4655</v>
      </c>
      <c r="C3396" t="s">
        <v>19124</v>
      </c>
      <c r="D3396" s="1">
        <v>40289</v>
      </c>
      <c r="E3396" s="2">
        <v>35000</v>
      </c>
      <c r="F3396" t="s">
        <v>3259</v>
      </c>
      <c r="G3396" s="17" t="str">
        <f>HYPERLINK("https://www.washoecounty.gov/assessor/cama/?command=sales&amp;parid=07835103","3873255")</f>
        <v>3873255</v>
      </c>
      <c r="H3396" t="s">
        <v>5225</v>
      </c>
      <c r="I3396">
        <v>0</v>
      </c>
      <c r="J3396">
        <v>0</v>
      </c>
      <c r="K3396" t="s">
        <v>4655</v>
      </c>
      <c r="L3396" t="s">
        <v>4655</v>
      </c>
      <c r="M3396" s="2">
        <v>0</v>
      </c>
      <c r="N3396" t="s">
        <v>4655</v>
      </c>
      <c r="O3396">
        <v>0</v>
      </c>
      <c r="P3396">
        <v>0</v>
      </c>
      <c r="Q3396">
        <v>0</v>
      </c>
      <c r="R3396" t="s">
        <v>4655</v>
      </c>
      <c r="S3396" t="s">
        <v>4655</v>
      </c>
      <c r="T3396" t="s">
        <v>4655</v>
      </c>
      <c r="U3396" t="s">
        <v>4655</v>
      </c>
      <c r="V3396" s="2">
        <v>0</v>
      </c>
      <c r="W3396" t="s">
        <v>4655</v>
      </c>
      <c r="X3396" s="2">
        <v>0</v>
      </c>
      <c r="Y3396">
        <v>12</v>
      </c>
      <c r="Z3396" t="s">
        <v>5226</v>
      </c>
      <c r="AA3396" s="3">
        <v>13.229999542236328</v>
      </c>
      <c r="AB3396" t="s">
        <v>19125</v>
      </c>
      <c r="AC3396" t="s">
        <v>4575</v>
      </c>
      <c r="AD3396" t="s">
        <v>19126</v>
      </c>
      <c r="AE3396" t="s">
        <v>4655</v>
      </c>
      <c r="AF3396" t="s">
        <v>4563</v>
      </c>
      <c r="AG3396" t="s">
        <v>4564</v>
      </c>
      <c r="AH3396">
        <v>89508</v>
      </c>
      <c r="AI3396" t="s">
        <v>19127</v>
      </c>
      <c r="AJ3396" t="s">
        <v>4655</v>
      </c>
      <c r="AK3396" t="s">
        <v>19128</v>
      </c>
      <c r="AL3396" s="13" t="s">
        <v>1891</v>
      </c>
      <c r="AM3396">
        <v>0</v>
      </c>
      <c r="AN3396" s="15" t="s">
        <v>2014</v>
      </c>
    </row>
    <row r="3397" spans="1:40" x14ac:dyDescent="0.3">
      <c r="A3397" s="10" t="str">
        <f>HYPERLINK("http://www.washoecounty.gov/assessor/cama/?parid=079-371-09&amp;CardNumber=1","079-371-09")</f>
        <v>079-371-09</v>
      </c>
      <c r="B3397" t="s">
        <v>4655</v>
      </c>
      <c r="C3397" t="s">
        <v>19129</v>
      </c>
      <c r="D3397" s="1">
        <v>40500</v>
      </c>
      <c r="E3397" s="2">
        <v>169000</v>
      </c>
      <c r="F3397" t="s">
        <v>3528</v>
      </c>
      <c r="G3397" s="17" t="str">
        <f>HYPERLINK("https://www.washoecounty.gov/assessor/cama/?command=sales&amp;parid=07937109","3944634")</f>
        <v>3944634</v>
      </c>
      <c r="H3397" t="s">
        <v>1627</v>
      </c>
      <c r="I3397">
        <v>0</v>
      </c>
      <c r="J3397">
        <v>0</v>
      </c>
      <c r="K3397" t="s">
        <v>4655</v>
      </c>
      <c r="L3397" t="s">
        <v>4655</v>
      </c>
      <c r="M3397" s="2">
        <v>0</v>
      </c>
      <c r="N3397" t="s">
        <v>4655</v>
      </c>
      <c r="O3397">
        <v>0</v>
      </c>
      <c r="P3397">
        <v>0</v>
      </c>
      <c r="Q3397">
        <v>0</v>
      </c>
      <c r="R3397" t="s">
        <v>4655</v>
      </c>
      <c r="S3397" t="s">
        <v>4655</v>
      </c>
      <c r="T3397" t="s">
        <v>4655</v>
      </c>
      <c r="U3397" t="s">
        <v>4655</v>
      </c>
      <c r="V3397" s="2">
        <v>0</v>
      </c>
      <c r="W3397" t="s">
        <v>4655</v>
      </c>
      <c r="X3397" s="2">
        <v>0</v>
      </c>
      <c r="Y3397">
        <v>12</v>
      </c>
      <c r="Z3397" t="s">
        <v>3668</v>
      </c>
      <c r="AA3397" s="3">
        <v>76.410003662109304</v>
      </c>
      <c r="AB3397" t="s">
        <v>19130</v>
      </c>
      <c r="AC3397" t="s">
        <v>4562</v>
      </c>
      <c r="AD3397" t="s">
        <v>19131</v>
      </c>
      <c r="AE3397" t="s">
        <v>4655</v>
      </c>
      <c r="AF3397" t="s">
        <v>3117</v>
      </c>
      <c r="AG3397" t="s">
        <v>4584</v>
      </c>
      <c r="AH3397">
        <v>95120</v>
      </c>
      <c r="AI3397" t="s">
        <v>19132</v>
      </c>
      <c r="AJ3397" t="s">
        <v>4655</v>
      </c>
      <c r="AK3397" t="s">
        <v>19133</v>
      </c>
      <c r="AL3397" s="13" t="s">
        <v>1902</v>
      </c>
      <c r="AM3397" s="14">
        <v>0</v>
      </c>
      <c r="AN3397" s="15" t="s">
        <v>1629</v>
      </c>
    </row>
    <row r="3398" spans="1:40" x14ac:dyDescent="0.3">
      <c r="A3398" s="10" t="str">
        <f>HYPERLINK("http://www.washoecounty.gov/assessor/cama/?parid=079-371-19&amp;CardNumber=1","079-371-19")</f>
        <v>079-371-19</v>
      </c>
      <c r="B3398" t="s">
        <v>4655</v>
      </c>
      <c r="C3398" t="s">
        <v>19134</v>
      </c>
      <c r="D3398" s="1">
        <v>40429</v>
      </c>
      <c r="E3398" s="2">
        <v>290000</v>
      </c>
      <c r="F3398" t="s">
        <v>4567</v>
      </c>
      <c r="G3398" s="17" t="str">
        <f>HYPERLINK("https://www.washoecounty.gov/assessor/cama/?command=sales&amp;parid=07937119","3919902")</f>
        <v>3919902</v>
      </c>
      <c r="H3398" t="s">
        <v>19135</v>
      </c>
      <c r="I3398">
        <v>1997</v>
      </c>
      <c r="J3398">
        <v>1997</v>
      </c>
      <c r="K3398" t="s">
        <v>4554</v>
      </c>
      <c r="L3398" t="s">
        <v>3886</v>
      </c>
      <c r="M3398" s="2">
        <v>2318</v>
      </c>
      <c r="N3398" t="s">
        <v>5280</v>
      </c>
      <c r="O3398">
        <v>2</v>
      </c>
      <c r="P3398">
        <v>2</v>
      </c>
      <c r="Q3398">
        <v>0</v>
      </c>
      <c r="R3398" t="s">
        <v>5205</v>
      </c>
      <c r="S3398" t="s">
        <v>4135</v>
      </c>
      <c r="T3398" t="s">
        <v>4559</v>
      </c>
      <c r="U3398" t="s">
        <v>4560</v>
      </c>
      <c r="V3398" s="2">
        <v>576</v>
      </c>
      <c r="W3398" t="s">
        <v>4655</v>
      </c>
      <c r="X3398" s="2">
        <v>0</v>
      </c>
      <c r="Y3398">
        <v>20</v>
      </c>
      <c r="Z3398" t="s">
        <v>5226</v>
      </c>
      <c r="AA3398" s="3">
        <v>9.42000007629394</v>
      </c>
      <c r="AB3398" t="s">
        <v>19136</v>
      </c>
      <c r="AC3398" t="s">
        <v>4562</v>
      </c>
      <c r="AD3398" t="s">
        <v>19137</v>
      </c>
      <c r="AE3398" t="s">
        <v>4655</v>
      </c>
      <c r="AF3398" t="s">
        <v>4563</v>
      </c>
      <c r="AG3398" t="s">
        <v>4564</v>
      </c>
      <c r="AH3398">
        <v>89510</v>
      </c>
      <c r="AI3398" t="s">
        <v>19138</v>
      </c>
      <c r="AJ3398" t="s">
        <v>4655</v>
      </c>
      <c r="AK3398" t="s">
        <v>19139</v>
      </c>
      <c r="AL3398" s="13" t="s">
        <v>1902</v>
      </c>
      <c r="AM3398">
        <v>1</v>
      </c>
      <c r="AN3398" s="15" t="s">
        <v>3258</v>
      </c>
    </row>
    <row r="3399" spans="1:40" x14ac:dyDescent="0.3">
      <c r="A3399" s="10" t="str">
        <f>HYPERLINK("http://www.washoecounty.gov/assessor/cama/?parid=079-382-31&amp;CardNumber=1","079-382-31")</f>
        <v>079-382-31</v>
      </c>
      <c r="B3399" t="s">
        <v>4655</v>
      </c>
      <c r="C3399" t="s">
        <v>19140</v>
      </c>
      <c r="D3399" s="1">
        <v>40471</v>
      </c>
      <c r="E3399" s="2">
        <v>175000</v>
      </c>
      <c r="F3399" t="s">
        <v>4567</v>
      </c>
      <c r="G3399" s="17" t="str">
        <f>HYPERLINK("https://www.washoecounty.gov/assessor/cama/?command=sales&amp;parid=07938231","3935110")</f>
        <v>3935110</v>
      </c>
      <c r="H3399" t="s">
        <v>19141</v>
      </c>
      <c r="I3399">
        <v>1997</v>
      </c>
      <c r="J3399">
        <v>1997</v>
      </c>
      <c r="K3399" t="s">
        <v>4554</v>
      </c>
      <c r="L3399" t="s">
        <v>3886</v>
      </c>
      <c r="M3399" s="2">
        <v>1196</v>
      </c>
      <c r="N3399" t="s">
        <v>4556</v>
      </c>
      <c r="O3399">
        <v>2</v>
      </c>
      <c r="P3399">
        <v>1</v>
      </c>
      <c r="Q3399">
        <v>1</v>
      </c>
      <c r="R3399" t="s">
        <v>4557</v>
      </c>
      <c r="S3399" t="s">
        <v>3148</v>
      </c>
      <c r="T3399" t="s">
        <v>4559</v>
      </c>
      <c r="U3399" t="s">
        <v>4655</v>
      </c>
      <c r="V3399" s="2">
        <v>0</v>
      </c>
      <c r="W3399" t="s">
        <v>4655</v>
      </c>
      <c r="X3399" s="2">
        <v>0</v>
      </c>
      <c r="Y3399">
        <v>20</v>
      </c>
      <c r="Z3399" t="s">
        <v>5226</v>
      </c>
      <c r="AA3399" s="3">
        <v>10.4300003051757</v>
      </c>
      <c r="AB3399" t="s">
        <v>19142</v>
      </c>
      <c r="AC3399" t="s">
        <v>4562</v>
      </c>
      <c r="AD3399" t="s">
        <v>19143</v>
      </c>
      <c r="AE3399" t="s">
        <v>4655</v>
      </c>
      <c r="AF3399" t="s">
        <v>4563</v>
      </c>
      <c r="AG3399" t="s">
        <v>4564</v>
      </c>
      <c r="AH3399">
        <v>89508</v>
      </c>
      <c r="AI3399" t="s">
        <v>19144</v>
      </c>
      <c r="AJ3399" t="s">
        <v>4655</v>
      </c>
      <c r="AK3399" t="s">
        <v>19145</v>
      </c>
      <c r="AL3399" s="13" t="s">
        <v>1892</v>
      </c>
      <c r="AM3399" s="14">
        <v>1</v>
      </c>
      <c r="AN3399" s="15" t="s">
        <v>3258</v>
      </c>
    </row>
    <row r="3400" spans="1:40" x14ac:dyDescent="0.3">
      <c r="A3400" s="10" t="str">
        <f>HYPERLINK("http://www.washoecounty.gov/assessor/cama/?parid=079-382-41&amp;CardNumber=1","079-382-41")</f>
        <v>079-382-41</v>
      </c>
      <c r="B3400" t="s">
        <v>4655</v>
      </c>
      <c r="C3400" t="s">
        <v>19146</v>
      </c>
      <c r="D3400" s="1">
        <v>40519</v>
      </c>
      <c r="E3400" s="2">
        <v>230000</v>
      </c>
      <c r="F3400" t="s">
        <v>4567</v>
      </c>
      <c r="G3400" s="17" t="str">
        <f>HYPERLINK("https://www.washoecounty.gov/assessor/cama/?command=sales&amp;parid=07938241","3950572")</f>
        <v>3950572</v>
      </c>
      <c r="H3400" t="s">
        <v>19147</v>
      </c>
      <c r="I3400">
        <v>1997</v>
      </c>
      <c r="J3400">
        <v>1997</v>
      </c>
      <c r="K3400" t="s">
        <v>4554</v>
      </c>
      <c r="L3400" t="s">
        <v>3974</v>
      </c>
      <c r="M3400" s="2">
        <v>2176</v>
      </c>
      <c r="N3400" t="s">
        <v>4048</v>
      </c>
      <c r="O3400">
        <v>4</v>
      </c>
      <c r="P3400">
        <v>2</v>
      </c>
      <c r="Q3400">
        <v>1</v>
      </c>
      <c r="R3400" t="s">
        <v>5281</v>
      </c>
      <c r="S3400" t="s">
        <v>4135</v>
      </c>
      <c r="T3400" t="s">
        <v>4559</v>
      </c>
      <c r="U3400" t="s">
        <v>4560</v>
      </c>
      <c r="V3400" s="2">
        <v>528</v>
      </c>
      <c r="W3400" t="s">
        <v>4655</v>
      </c>
      <c r="X3400" s="2">
        <v>0</v>
      </c>
      <c r="Y3400">
        <v>20</v>
      </c>
      <c r="Z3400" t="s">
        <v>5226</v>
      </c>
      <c r="AA3400" s="3">
        <v>11.189999580383301</v>
      </c>
      <c r="AB3400" t="s">
        <v>19148</v>
      </c>
      <c r="AC3400" t="s">
        <v>4562</v>
      </c>
      <c r="AD3400" t="s">
        <v>19149</v>
      </c>
      <c r="AE3400" t="s">
        <v>19150</v>
      </c>
      <c r="AF3400" t="s">
        <v>3788</v>
      </c>
      <c r="AG3400" t="s">
        <v>4564</v>
      </c>
      <c r="AH3400">
        <v>89508</v>
      </c>
      <c r="AI3400" t="s">
        <v>19151</v>
      </c>
      <c r="AJ3400" t="s">
        <v>4655</v>
      </c>
      <c r="AK3400" t="s">
        <v>19152</v>
      </c>
      <c r="AL3400" s="13" t="s">
        <v>1892</v>
      </c>
      <c r="AM3400" s="14">
        <v>1</v>
      </c>
      <c r="AN3400" s="15" t="s">
        <v>3258</v>
      </c>
    </row>
    <row r="3401" spans="1:40" x14ac:dyDescent="0.3">
      <c r="A3401" s="10" t="str">
        <f>HYPERLINK("http://www.washoecounty.gov/assessor/cama/?parid=079-382-60&amp;CardNumber=1","079-382-60")</f>
        <v>079-382-60</v>
      </c>
      <c r="B3401" t="s">
        <v>4655</v>
      </c>
      <c r="C3401" t="s">
        <v>19153</v>
      </c>
      <c r="D3401" s="1">
        <v>40535</v>
      </c>
      <c r="E3401" s="2">
        <v>160000</v>
      </c>
      <c r="F3401" t="s">
        <v>4553</v>
      </c>
      <c r="G3401" s="17" t="str">
        <f>HYPERLINK("https://www.washoecounty.gov/assessor/cama/?command=sales&amp;parid=07938260","3956677")</f>
        <v>3956677</v>
      </c>
      <c r="H3401" t="s">
        <v>1067</v>
      </c>
      <c r="I3401">
        <v>1990</v>
      </c>
      <c r="J3401">
        <v>1990</v>
      </c>
      <c r="K3401" t="s">
        <v>4554</v>
      </c>
      <c r="L3401" t="s">
        <v>4555</v>
      </c>
      <c r="M3401" s="2">
        <v>1786</v>
      </c>
      <c r="N3401" t="s">
        <v>4048</v>
      </c>
      <c r="O3401">
        <v>3</v>
      </c>
      <c r="P3401">
        <v>2</v>
      </c>
      <c r="Q3401">
        <v>1</v>
      </c>
      <c r="R3401" t="s">
        <v>4557</v>
      </c>
      <c r="S3401" t="s">
        <v>3148</v>
      </c>
      <c r="T3401" t="s">
        <v>4559</v>
      </c>
      <c r="U3401" t="s">
        <v>4560</v>
      </c>
      <c r="V3401" s="2">
        <v>792</v>
      </c>
      <c r="W3401" t="s">
        <v>4655</v>
      </c>
      <c r="X3401" s="2">
        <v>0</v>
      </c>
      <c r="Y3401">
        <v>20</v>
      </c>
      <c r="Z3401" t="s">
        <v>5226</v>
      </c>
      <c r="AA3401" s="3">
        <v>10.7100000381469</v>
      </c>
      <c r="AB3401" t="s">
        <v>19154</v>
      </c>
      <c r="AC3401" t="s">
        <v>4562</v>
      </c>
      <c r="AD3401" t="s">
        <v>19155</v>
      </c>
      <c r="AE3401" t="s">
        <v>4655</v>
      </c>
      <c r="AF3401" t="s">
        <v>4563</v>
      </c>
      <c r="AG3401" t="s">
        <v>4564</v>
      </c>
      <c r="AH3401">
        <v>89508</v>
      </c>
      <c r="AI3401" t="s">
        <v>4903</v>
      </c>
      <c r="AJ3401" t="s">
        <v>4655</v>
      </c>
      <c r="AK3401" t="s">
        <v>19156</v>
      </c>
      <c r="AL3401" s="13" t="s">
        <v>1892</v>
      </c>
      <c r="AM3401">
        <v>1</v>
      </c>
      <c r="AN3401" s="15" t="s">
        <v>3258</v>
      </c>
    </row>
    <row r="3402" spans="1:40" x14ac:dyDescent="0.3">
      <c r="A3402" s="10" t="str">
        <f>HYPERLINK("http://www.washoecounty.gov/assessor/cama/?parid=079-382-65&amp;CardNumber=1","079-382-65")</f>
        <v>079-382-65</v>
      </c>
      <c r="B3402" t="s">
        <v>4655</v>
      </c>
      <c r="C3402" t="s">
        <v>19157</v>
      </c>
      <c r="D3402" s="1">
        <v>40403</v>
      </c>
      <c r="E3402" s="2">
        <v>47500</v>
      </c>
      <c r="F3402" t="s">
        <v>4567</v>
      </c>
      <c r="G3402" s="17" t="str">
        <f>HYPERLINK("https://www.washoecounty.gov/assessor/cama/?command=sales&amp;parid=07938265","3911738")</f>
        <v>3911738</v>
      </c>
      <c r="H3402" t="s">
        <v>19158</v>
      </c>
      <c r="I3402">
        <v>0</v>
      </c>
      <c r="J3402">
        <v>0</v>
      </c>
      <c r="K3402" t="s">
        <v>4655</v>
      </c>
      <c r="L3402" t="s">
        <v>4655</v>
      </c>
      <c r="M3402" s="2">
        <v>0</v>
      </c>
      <c r="N3402" t="s">
        <v>4655</v>
      </c>
      <c r="O3402">
        <v>0</v>
      </c>
      <c r="P3402">
        <v>0</v>
      </c>
      <c r="Q3402">
        <v>0</v>
      </c>
      <c r="R3402" t="s">
        <v>4655</v>
      </c>
      <c r="S3402" t="s">
        <v>4655</v>
      </c>
      <c r="T3402" t="s">
        <v>4655</v>
      </c>
      <c r="U3402" t="s">
        <v>4655</v>
      </c>
      <c r="V3402" s="2">
        <v>0</v>
      </c>
      <c r="W3402" t="s">
        <v>4655</v>
      </c>
      <c r="X3402" s="2">
        <v>0</v>
      </c>
      <c r="Y3402">
        <v>12</v>
      </c>
      <c r="Z3402" t="s">
        <v>5226</v>
      </c>
      <c r="AA3402" s="3">
        <v>10.439999580383301</v>
      </c>
      <c r="AB3402" t="s">
        <v>19159</v>
      </c>
      <c r="AC3402" t="s">
        <v>4562</v>
      </c>
      <c r="AD3402" t="s">
        <v>19160</v>
      </c>
      <c r="AE3402" t="s">
        <v>4655</v>
      </c>
      <c r="AF3402" t="s">
        <v>19161</v>
      </c>
      <c r="AG3402" t="s">
        <v>2109</v>
      </c>
      <c r="AH3402" t="s">
        <v>19162</v>
      </c>
      <c r="AI3402" t="s">
        <v>19163</v>
      </c>
      <c r="AJ3402" t="s">
        <v>4655</v>
      </c>
      <c r="AK3402" t="s">
        <v>19164</v>
      </c>
      <c r="AL3402" s="13" t="s">
        <v>1892</v>
      </c>
      <c r="AM3402" s="14">
        <v>0</v>
      </c>
      <c r="AN3402" s="15" t="s">
        <v>3258</v>
      </c>
    </row>
    <row r="3403" spans="1:40" x14ac:dyDescent="0.3">
      <c r="A3403" s="10" t="str">
        <f>HYPERLINK("http://www.washoecounty.gov/assessor/cama/?parid=079-382-75&amp;CardNumber=1","079-382-75")</f>
        <v>079-382-75</v>
      </c>
      <c r="B3403" t="s">
        <v>4655</v>
      </c>
      <c r="C3403" t="s">
        <v>19165</v>
      </c>
      <c r="D3403" s="1">
        <v>40539</v>
      </c>
      <c r="E3403" s="2">
        <v>175000</v>
      </c>
      <c r="F3403" t="s">
        <v>3528</v>
      </c>
      <c r="G3403" s="17" t="str">
        <f>HYPERLINK("https://www.washoecounty.gov/assessor/cama/?command=sales&amp;parid=07938275","3957573")</f>
        <v>3957573</v>
      </c>
      <c r="H3403" t="s">
        <v>19166</v>
      </c>
      <c r="I3403">
        <v>0</v>
      </c>
      <c r="J3403">
        <v>0</v>
      </c>
      <c r="K3403" t="s">
        <v>4655</v>
      </c>
      <c r="L3403" t="s">
        <v>4655</v>
      </c>
      <c r="M3403" s="2">
        <v>0</v>
      </c>
      <c r="N3403" t="s">
        <v>4655</v>
      </c>
      <c r="O3403">
        <v>0</v>
      </c>
      <c r="P3403">
        <v>0</v>
      </c>
      <c r="Q3403">
        <v>0</v>
      </c>
      <c r="R3403" t="s">
        <v>4655</v>
      </c>
      <c r="S3403" t="s">
        <v>4655</v>
      </c>
      <c r="T3403" t="s">
        <v>4655</v>
      </c>
      <c r="U3403" t="s">
        <v>4655</v>
      </c>
      <c r="V3403" s="2">
        <v>0</v>
      </c>
      <c r="W3403" t="s">
        <v>4655</v>
      </c>
      <c r="X3403" s="2">
        <v>0</v>
      </c>
      <c r="Y3403">
        <v>12</v>
      </c>
      <c r="Z3403" t="s">
        <v>5226</v>
      </c>
      <c r="AA3403" s="3">
        <v>18.011999130248999</v>
      </c>
      <c r="AB3403" t="s">
        <v>19167</v>
      </c>
      <c r="AC3403" t="s">
        <v>4562</v>
      </c>
      <c r="AD3403" t="s">
        <v>19168</v>
      </c>
      <c r="AE3403" t="s">
        <v>4655</v>
      </c>
      <c r="AF3403" t="s">
        <v>5546</v>
      </c>
      <c r="AG3403" t="s">
        <v>1539</v>
      </c>
      <c r="AH3403">
        <v>98071</v>
      </c>
      <c r="AI3403" t="s">
        <v>19169</v>
      </c>
      <c r="AJ3403" t="s">
        <v>19170</v>
      </c>
      <c r="AK3403" t="s">
        <v>19171</v>
      </c>
      <c r="AL3403" s="13" t="s">
        <v>1892</v>
      </c>
      <c r="AM3403" s="14">
        <v>0</v>
      </c>
      <c r="AN3403" s="15" t="s">
        <v>3258</v>
      </c>
    </row>
    <row r="3404" spans="1:40" x14ac:dyDescent="0.3">
      <c r="A3404" s="10" t="str">
        <f>HYPERLINK("http://www.washoecounty.gov/assessor/cama/?parid=079-420-02&amp;CardNumber=1","079-420-02")</f>
        <v>079-420-02</v>
      </c>
      <c r="B3404" t="s">
        <v>4655</v>
      </c>
      <c r="C3404" t="s">
        <v>19172</v>
      </c>
      <c r="D3404" s="1">
        <v>40193</v>
      </c>
      <c r="E3404" s="2">
        <v>89964</v>
      </c>
      <c r="F3404" t="s">
        <v>4553</v>
      </c>
      <c r="G3404" s="17" t="str">
        <f>HYPERLINK("https://www.washoecounty.gov/assessor/cama/?command=sales&amp;parid=07942002","3839419")</f>
        <v>3839419</v>
      </c>
      <c r="H3404" t="s">
        <v>1627</v>
      </c>
      <c r="I3404">
        <v>0</v>
      </c>
      <c r="J3404">
        <v>0</v>
      </c>
      <c r="K3404" t="s">
        <v>4655</v>
      </c>
      <c r="L3404" t="s">
        <v>4655</v>
      </c>
      <c r="M3404" s="2">
        <v>0</v>
      </c>
      <c r="N3404" t="s">
        <v>4655</v>
      </c>
      <c r="O3404">
        <v>0</v>
      </c>
      <c r="P3404">
        <v>0</v>
      </c>
      <c r="Q3404">
        <v>0</v>
      </c>
      <c r="R3404" t="s">
        <v>4655</v>
      </c>
      <c r="S3404" t="s">
        <v>4655</v>
      </c>
      <c r="T3404" t="s">
        <v>4655</v>
      </c>
      <c r="U3404" t="s">
        <v>4655</v>
      </c>
      <c r="V3404" s="2">
        <v>0</v>
      </c>
      <c r="W3404" t="s">
        <v>4655</v>
      </c>
      <c r="X3404" s="2">
        <v>0</v>
      </c>
      <c r="Y3404">
        <v>12</v>
      </c>
      <c r="Z3404" t="s">
        <v>3668</v>
      </c>
      <c r="AA3404" s="3">
        <v>44.159999847412102</v>
      </c>
      <c r="AB3404" t="s">
        <v>19173</v>
      </c>
      <c r="AC3404" t="s">
        <v>4562</v>
      </c>
      <c r="AD3404" t="s">
        <v>19174</v>
      </c>
      <c r="AE3404" t="s">
        <v>4655</v>
      </c>
      <c r="AF3404" t="s">
        <v>4563</v>
      </c>
      <c r="AG3404" t="s">
        <v>4564</v>
      </c>
      <c r="AH3404">
        <v>89508</v>
      </c>
      <c r="AI3404" t="s">
        <v>1628</v>
      </c>
      <c r="AJ3404" t="s">
        <v>4655</v>
      </c>
      <c r="AK3404" t="s">
        <v>19175</v>
      </c>
      <c r="AL3404" s="13" t="s">
        <v>1902</v>
      </c>
      <c r="AM3404">
        <v>0</v>
      </c>
      <c r="AN3404" s="15" t="s">
        <v>1629</v>
      </c>
    </row>
    <row r="3405" spans="1:40" x14ac:dyDescent="0.3">
      <c r="A3405" s="10" t="str">
        <f>HYPERLINK("http://www.washoecounty.gov/assessor/cama/?parid=079-430-11&amp;CardNumber=1","079-430-11")</f>
        <v>079-430-11</v>
      </c>
      <c r="B3405" t="s">
        <v>4655</v>
      </c>
      <c r="C3405" t="s">
        <v>19176</v>
      </c>
      <c r="D3405" s="1">
        <v>40333</v>
      </c>
      <c r="E3405" s="2">
        <v>100000</v>
      </c>
      <c r="F3405" t="s">
        <v>3259</v>
      </c>
      <c r="G3405" s="17" t="str">
        <f>HYPERLINK("https://www.washoecounty.gov/assessor/cama/?command=sales&amp;parid=07943011","3888398")</f>
        <v>3888398</v>
      </c>
      <c r="H3405" t="s">
        <v>1627</v>
      </c>
      <c r="I3405">
        <v>0</v>
      </c>
      <c r="J3405">
        <v>0</v>
      </c>
      <c r="K3405" t="s">
        <v>4655</v>
      </c>
      <c r="L3405" t="s">
        <v>4655</v>
      </c>
      <c r="M3405" s="2">
        <v>0</v>
      </c>
      <c r="N3405" t="s">
        <v>4655</v>
      </c>
      <c r="O3405">
        <v>0</v>
      </c>
      <c r="P3405">
        <v>0</v>
      </c>
      <c r="Q3405">
        <v>0</v>
      </c>
      <c r="R3405" t="s">
        <v>4655</v>
      </c>
      <c r="S3405" t="s">
        <v>4655</v>
      </c>
      <c r="T3405" t="s">
        <v>4655</v>
      </c>
      <c r="U3405" t="s">
        <v>4655</v>
      </c>
      <c r="V3405" s="2">
        <v>0</v>
      </c>
      <c r="W3405" t="s">
        <v>4655</v>
      </c>
      <c r="X3405" s="2">
        <v>0</v>
      </c>
      <c r="Y3405">
        <v>12</v>
      </c>
      <c r="Z3405" t="s">
        <v>3668</v>
      </c>
      <c r="AA3405" s="3">
        <v>80.519996643066406</v>
      </c>
      <c r="AB3405" t="s">
        <v>19177</v>
      </c>
      <c r="AC3405" t="s">
        <v>4562</v>
      </c>
      <c r="AD3405" t="s">
        <v>19178</v>
      </c>
      <c r="AE3405" t="s">
        <v>4655</v>
      </c>
      <c r="AF3405" t="s">
        <v>4563</v>
      </c>
      <c r="AG3405" t="s">
        <v>4564</v>
      </c>
      <c r="AH3405">
        <v>89508</v>
      </c>
      <c r="AI3405" t="s">
        <v>19179</v>
      </c>
      <c r="AJ3405" t="s">
        <v>4655</v>
      </c>
      <c r="AK3405" t="s">
        <v>19180</v>
      </c>
      <c r="AL3405" s="13" t="s">
        <v>1902</v>
      </c>
      <c r="AM3405">
        <v>0</v>
      </c>
      <c r="AN3405" s="15" t="s">
        <v>1629</v>
      </c>
    </row>
    <row r="3406" spans="1:40" x14ac:dyDescent="0.3">
      <c r="A3406" s="10" t="str">
        <f>HYPERLINK("http://www.washoecounty.gov/assessor/cama/?parid=079-450-53&amp;CardNumber=1","079-450-53")</f>
        <v>079-450-53</v>
      </c>
      <c r="B3406" t="s">
        <v>4655</v>
      </c>
      <c r="C3406" t="s">
        <v>19181</v>
      </c>
      <c r="D3406" s="1">
        <v>40207</v>
      </c>
      <c r="E3406" s="2">
        <v>250000</v>
      </c>
      <c r="F3406" t="s">
        <v>4567</v>
      </c>
      <c r="G3406" s="17" t="str">
        <f>HYPERLINK("https://www.washoecounty.gov/assessor/cama/?command=sales&amp;parid=07945053","3844166")</f>
        <v>3844166</v>
      </c>
      <c r="H3406" t="s">
        <v>19182</v>
      </c>
      <c r="I3406">
        <v>1997</v>
      </c>
      <c r="J3406">
        <v>1997</v>
      </c>
      <c r="K3406" t="s">
        <v>4554</v>
      </c>
      <c r="L3406" t="s">
        <v>4555</v>
      </c>
      <c r="M3406" s="2">
        <v>1688</v>
      </c>
      <c r="N3406" t="s">
        <v>4048</v>
      </c>
      <c r="O3406">
        <v>3</v>
      </c>
      <c r="P3406">
        <v>2</v>
      </c>
      <c r="Q3406">
        <v>0</v>
      </c>
      <c r="R3406" t="s">
        <v>4557</v>
      </c>
      <c r="S3406" t="s">
        <v>4558</v>
      </c>
      <c r="T3406" t="s">
        <v>4559</v>
      </c>
      <c r="U3406" t="s">
        <v>4560</v>
      </c>
      <c r="V3406" s="2">
        <v>480</v>
      </c>
      <c r="W3406" t="s">
        <v>4655</v>
      </c>
      <c r="X3406" s="2">
        <v>0</v>
      </c>
      <c r="Y3406">
        <v>20</v>
      </c>
      <c r="Z3406" t="s">
        <v>5226</v>
      </c>
      <c r="AA3406" s="3">
        <v>10.116000175476</v>
      </c>
      <c r="AB3406" t="s">
        <v>19183</v>
      </c>
      <c r="AC3406" t="s">
        <v>4562</v>
      </c>
      <c r="AD3406" t="s">
        <v>19181</v>
      </c>
      <c r="AE3406" t="s">
        <v>4655</v>
      </c>
      <c r="AF3406" t="s">
        <v>4563</v>
      </c>
      <c r="AG3406" t="s">
        <v>4564</v>
      </c>
      <c r="AH3406">
        <v>89506</v>
      </c>
      <c r="AI3406" t="s">
        <v>19184</v>
      </c>
      <c r="AJ3406" t="s">
        <v>19185</v>
      </c>
      <c r="AK3406" t="s">
        <v>19186</v>
      </c>
      <c r="AL3406" s="13" t="s">
        <v>1892</v>
      </c>
      <c r="AM3406">
        <v>1</v>
      </c>
      <c r="AN3406" s="15" t="s">
        <v>4274</v>
      </c>
    </row>
    <row r="3407" spans="1:40" x14ac:dyDescent="0.3">
      <c r="A3407" s="10" t="str">
        <f>HYPERLINK("http://www.washoecounty.gov/assessor/cama/?parid=079-450-71&amp;CardNumber=1","079-450-71")</f>
        <v>079-450-71</v>
      </c>
      <c r="B3407" t="s">
        <v>4655</v>
      </c>
      <c r="C3407" t="s">
        <v>19187</v>
      </c>
      <c r="D3407" s="1">
        <v>40512</v>
      </c>
      <c r="E3407" s="2">
        <v>252000</v>
      </c>
      <c r="F3407" t="s">
        <v>4553</v>
      </c>
      <c r="G3407" s="17" t="str">
        <f>HYPERLINK("https://www.washoecounty.gov/assessor/cama/?command=sales&amp;parid=07945071","3947899")</f>
        <v>3947899</v>
      </c>
      <c r="H3407" t="s">
        <v>19188</v>
      </c>
      <c r="I3407">
        <v>1995</v>
      </c>
      <c r="J3407">
        <v>1995</v>
      </c>
      <c r="K3407" t="s">
        <v>4554</v>
      </c>
      <c r="L3407" t="s">
        <v>3974</v>
      </c>
      <c r="M3407" s="2">
        <v>2800</v>
      </c>
      <c r="N3407" t="s">
        <v>4556</v>
      </c>
      <c r="O3407">
        <v>4</v>
      </c>
      <c r="P3407">
        <v>1</v>
      </c>
      <c r="Q3407">
        <v>0</v>
      </c>
      <c r="R3407" t="s">
        <v>4557</v>
      </c>
      <c r="S3407" t="s">
        <v>4558</v>
      </c>
      <c r="T3407" t="s">
        <v>4559</v>
      </c>
      <c r="U3407" t="s">
        <v>4560</v>
      </c>
      <c r="V3407" s="2">
        <v>480</v>
      </c>
      <c r="W3407" t="s">
        <v>4655</v>
      </c>
      <c r="X3407" s="2">
        <v>0</v>
      </c>
      <c r="Y3407">
        <v>20</v>
      </c>
      <c r="Z3407" t="s">
        <v>5226</v>
      </c>
      <c r="AA3407" s="3">
        <v>12.947999954223601</v>
      </c>
      <c r="AB3407" t="s">
        <v>19189</v>
      </c>
      <c r="AC3407" t="s">
        <v>4575</v>
      </c>
      <c r="AD3407" t="s">
        <v>19187</v>
      </c>
      <c r="AE3407" t="s">
        <v>4655</v>
      </c>
      <c r="AF3407" t="s">
        <v>4563</v>
      </c>
      <c r="AG3407" t="s">
        <v>4564</v>
      </c>
      <c r="AH3407">
        <v>89506</v>
      </c>
      <c r="AI3407" t="s">
        <v>4903</v>
      </c>
      <c r="AJ3407" t="s">
        <v>19190</v>
      </c>
      <c r="AK3407" t="s">
        <v>19191</v>
      </c>
      <c r="AL3407" s="13" t="s">
        <v>1892</v>
      </c>
      <c r="AM3407">
        <v>1</v>
      </c>
      <c r="AN3407" s="15" t="s">
        <v>4274</v>
      </c>
    </row>
    <row r="3408" spans="1:40" x14ac:dyDescent="0.3">
      <c r="A3408" s="10" t="str">
        <f>HYPERLINK("http://www.washoecounty.gov/assessor/cama/?parid=079-450-73&amp;CardNumber=1","079-450-73")</f>
        <v>079-450-73</v>
      </c>
      <c r="B3408" t="s">
        <v>4655</v>
      </c>
      <c r="C3408" t="s">
        <v>19192</v>
      </c>
      <c r="D3408" s="1">
        <v>40249</v>
      </c>
      <c r="E3408" s="2">
        <v>165000</v>
      </c>
      <c r="F3408" t="s">
        <v>4553</v>
      </c>
      <c r="G3408" s="17" t="str">
        <f>HYPERLINK("https://www.washoecounty.gov/assessor/cama/?command=sales&amp;parid=07945073","3859442")</f>
        <v>3859442</v>
      </c>
      <c r="H3408" t="s">
        <v>19188</v>
      </c>
      <c r="I3408">
        <v>1993</v>
      </c>
      <c r="J3408">
        <v>1993</v>
      </c>
      <c r="K3408" t="s">
        <v>4554</v>
      </c>
      <c r="L3408" t="s">
        <v>4555</v>
      </c>
      <c r="M3408" s="2">
        <v>1844</v>
      </c>
      <c r="N3408" t="s">
        <v>4048</v>
      </c>
      <c r="O3408">
        <v>3</v>
      </c>
      <c r="P3408">
        <v>2</v>
      </c>
      <c r="Q3408">
        <v>0</v>
      </c>
      <c r="R3408" t="s">
        <v>4557</v>
      </c>
      <c r="S3408" t="s">
        <v>4558</v>
      </c>
      <c r="T3408" t="s">
        <v>4559</v>
      </c>
      <c r="U3408" t="s">
        <v>4560</v>
      </c>
      <c r="V3408" s="2">
        <v>728</v>
      </c>
      <c r="W3408" t="s">
        <v>4655</v>
      </c>
      <c r="X3408" s="2">
        <v>0</v>
      </c>
      <c r="Y3408">
        <v>20</v>
      </c>
      <c r="Z3408" t="s">
        <v>5226</v>
      </c>
      <c r="AA3408" s="3">
        <v>12.991000175476</v>
      </c>
      <c r="AB3408" t="s">
        <v>19193</v>
      </c>
      <c r="AC3408" t="s">
        <v>4562</v>
      </c>
      <c r="AD3408" t="s">
        <v>19192</v>
      </c>
      <c r="AE3408" t="s">
        <v>4655</v>
      </c>
      <c r="AF3408" t="s">
        <v>4563</v>
      </c>
      <c r="AG3408" t="s">
        <v>4564</v>
      </c>
      <c r="AH3408">
        <v>89506</v>
      </c>
      <c r="AI3408" t="s">
        <v>4655</v>
      </c>
      <c r="AJ3408" t="s">
        <v>19194</v>
      </c>
      <c r="AK3408" t="s">
        <v>19195</v>
      </c>
      <c r="AL3408" s="13" t="s">
        <v>1892</v>
      </c>
      <c r="AM3408" s="14">
        <v>1</v>
      </c>
      <c r="AN3408" s="15" t="s">
        <v>4274</v>
      </c>
    </row>
    <row r="3409" spans="1:40" x14ac:dyDescent="0.3">
      <c r="A3409" s="10" t="str">
        <f>HYPERLINK("http://www.washoecounty.gov/assessor/cama/?parid=079-450-80&amp;CardNumber=1","079-450-80")</f>
        <v>079-450-80</v>
      </c>
      <c r="B3409" t="s">
        <v>4655</v>
      </c>
      <c r="C3409" t="s">
        <v>19196</v>
      </c>
      <c r="D3409" s="1">
        <v>40214</v>
      </c>
      <c r="E3409" s="2">
        <v>399000</v>
      </c>
      <c r="F3409" t="s">
        <v>4567</v>
      </c>
      <c r="G3409" s="17" t="str">
        <f>HYPERLINK("https://www.washoecounty.gov/assessor/cama/?command=sales&amp;parid=07945080","3846564")</f>
        <v>3846564</v>
      </c>
      <c r="H3409" t="s">
        <v>19197</v>
      </c>
      <c r="I3409">
        <v>1998</v>
      </c>
      <c r="J3409">
        <v>1998</v>
      </c>
      <c r="K3409" t="s">
        <v>4554</v>
      </c>
      <c r="L3409" t="s">
        <v>4555</v>
      </c>
      <c r="M3409" s="2">
        <v>1944</v>
      </c>
      <c r="N3409" t="s">
        <v>5280</v>
      </c>
      <c r="O3409">
        <v>4</v>
      </c>
      <c r="P3409">
        <v>4</v>
      </c>
      <c r="Q3409">
        <v>0</v>
      </c>
      <c r="R3409" t="s">
        <v>4557</v>
      </c>
      <c r="S3409" t="s">
        <v>4898</v>
      </c>
      <c r="T3409" t="s">
        <v>4559</v>
      </c>
      <c r="U3409" t="s">
        <v>4560</v>
      </c>
      <c r="V3409" s="2">
        <v>1306</v>
      </c>
      <c r="W3409" t="s">
        <v>3149</v>
      </c>
      <c r="X3409" s="2">
        <v>1872</v>
      </c>
      <c r="Y3409">
        <v>20</v>
      </c>
      <c r="Z3409" t="s">
        <v>4051</v>
      </c>
      <c r="AA3409" s="3">
        <v>13.574999809265099</v>
      </c>
      <c r="AB3409" t="s">
        <v>19198</v>
      </c>
      <c r="AC3409" t="s">
        <v>4562</v>
      </c>
      <c r="AD3409" t="s">
        <v>19199</v>
      </c>
      <c r="AE3409" t="s">
        <v>4655</v>
      </c>
      <c r="AF3409" t="s">
        <v>19200</v>
      </c>
      <c r="AG3409" t="s">
        <v>4275</v>
      </c>
      <c r="AH3409" t="s">
        <v>19201</v>
      </c>
      <c r="AI3409" t="s">
        <v>4655</v>
      </c>
      <c r="AJ3409" t="s">
        <v>19202</v>
      </c>
      <c r="AK3409" t="s">
        <v>19203</v>
      </c>
      <c r="AL3409" s="13" t="s">
        <v>1892</v>
      </c>
      <c r="AM3409">
        <v>1</v>
      </c>
      <c r="AN3409" s="15" t="s">
        <v>4274</v>
      </c>
    </row>
    <row r="3410" spans="1:40" x14ac:dyDescent="0.3">
      <c r="A3410" s="10" t="str">
        <f>HYPERLINK("http://www.washoecounty.gov/assessor/cama/?parid=079-470-64&amp;CardNumber=1","079-470-64")</f>
        <v>079-470-64</v>
      </c>
      <c r="B3410" t="s">
        <v>4655</v>
      </c>
      <c r="C3410" t="s">
        <v>19204</v>
      </c>
      <c r="D3410" s="1">
        <v>40252</v>
      </c>
      <c r="E3410" s="2">
        <v>233000</v>
      </c>
      <c r="F3410" t="s">
        <v>4553</v>
      </c>
      <c r="G3410" s="17" t="str">
        <f>HYPERLINK("https://www.washoecounty.gov/assessor/cama/?command=sales&amp;parid=07947064","3860018")</f>
        <v>3860018</v>
      </c>
      <c r="H3410" t="s">
        <v>19205</v>
      </c>
      <c r="I3410">
        <v>1997</v>
      </c>
      <c r="J3410">
        <v>1997</v>
      </c>
      <c r="K3410" t="s">
        <v>4554</v>
      </c>
      <c r="L3410" t="s">
        <v>4555</v>
      </c>
      <c r="M3410" s="2">
        <v>2366</v>
      </c>
      <c r="N3410" t="s">
        <v>5280</v>
      </c>
      <c r="O3410">
        <v>4</v>
      </c>
      <c r="P3410">
        <v>2</v>
      </c>
      <c r="Q3410">
        <v>0</v>
      </c>
      <c r="R3410" t="s">
        <v>4557</v>
      </c>
      <c r="S3410" t="s">
        <v>4558</v>
      </c>
      <c r="T3410" t="s">
        <v>4559</v>
      </c>
      <c r="U3410" t="s">
        <v>4560</v>
      </c>
      <c r="V3410" s="2">
        <v>596</v>
      </c>
      <c r="W3410" t="s">
        <v>4655</v>
      </c>
      <c r="X3410" s="2">
        <v>0</v>
      </c>
      <c r="Y3410">
        <v>20</v>
      </c>
      <c r="Z3410" t="s">
        <v>5226</v>
      </c>
      <c r="AA3410" s="3">
        <v>11.2600002288818</v>
      </c>
      <c r="AB3410" t="s">
        <v>19206</v>
      </c>
      <c r="AC3410" t="s">
        <v>4562</v>
      </c>
      <c r="AD3410" t="s">
        <v>19204</v>
      </c>
      <c r="AE3410" t="s">
        <v>4655</v>
      </c>
      <c r="AF3410" t="s">
        <v>4563</v>
      </c>
      <c r="AG3410" t="s">
        <v>4564</v>
      </c>
      <c r="AH3410">
        <v>89506</v>
      </c>
      <c r="AI3410" t="s">
        <v>4565</v>
      </c>
      <c r="AJ3410" t="s">
        <v>4655</v>
      </c>
      <c r="AK3410" t="s">
        <v>19207</v>
      </c>
      <c r="AL3410" s="13" t="s">
        <v>1892</v>
      </c>
      <c r="AM3410" s="14">
        <v>1</v>
      </c>
      <c r="AN3410" s="15" t="s">
        <v>4274</v>
      </c>
    </row>
    <row r="3411" spans="1:40" x14ac:dyDescent="0.3">
      <c r="A3411" s="10" t="str">
        <f>HYPERLINK("http://www.washoecounty.gov/assessor/cama/?parid=079-481-25&amp;CardNumber=1","079-481-25")</f>
        <v>079-481-25</v>
      </c>
      <c r="B3411" t="s">
        <v>4655</v>
      </c>
      <c r="C3411" t="s">
        <v>19208</v>
      </c>
      <c r="D3411" s="1">
        <v>40435</v>
      </c>
      <c r="E3411" s="2">
        <v>315000</v>
      </c>
      <c r="F3411" t="s">
        <v>4567</v>
      </c>
      <c r="G3411" s="17" t="str">
        <f>HYPERLINK("https://www.washoecounty.gov/assessor/cama/?command=sales&amp;parid=07948125","3922300")</f>
        <v>3922300</v>
      </c>
      <c r="H3411" t="s">
        <v>1627</v>
      </c>
      <c r="I3411">
        <v>1994</v>
      </c>
      <c r="J3411">
        <v>1994</v>
      </c>
      <c r="K3411" t="s">
        <v>4554</v>
      </c>
      <c r="L3411" t="s">
        <v>3886</v>
      </c>
      <c r="M3411" s="2">
        <v>1988</v>
      </c>
      <c r="N3411" t="s">
        <v>4048</v>
      </c>
      <c r="O3411">
        <v>3</v>
      </c>
      <c r="P3411">
        <v>2</v>
      </c>
      <c r="Q3411">
        <v>1</v>
      </c>
      <c r="R3411" t="s">
        <v>4557</v>
      </c>
      <c r="S3411" t="s">
        <v>4558</v>
      </c>
      <c r="T3411" t="s">
        <v>4559</v>
      </c>
      <c r="U3411" t="s">
        <v>4655</v>
      </c>
      <c r="V3411" s="2">
        <v>0</v>
      </c>
      <c r="W3411" t="s">
        <v>4571</v>
      </c>
      <c r="X3411" s="2">
        <v>1188</v>
      </c>
      <c r="Y3411">
        <v>20</v>
      </c>
      <c r="Z3411" t="s">
        <v>3668</v>
      </c>
      <c r="AA3411" s="3">
        <v>40.619998931884766</v>
      </c>
      <c r="AB3411" t="s">
        <v>19209</v>
      </c>
      <c r="AC3411" t="s">
        <v>4562</v>
      </c>
      <c r="AD3411" t="s">
        <v>19210</v>
      </c>
      <c r="AE3411" t="s">
        <v>4655</v>
      </c>
      <c r="AF3411" t="s">
        <v>4752</v>
      </c>
      <c r="AG3411" t="s">
        <v>4564</v>
      </c>
      <c r="AH3411">
        <v>89506</v>
      </c>
      <c r="AI3411" t="s">
        <v>19211</v>
      </c>
      <c r="AJ3411" t="s">
        <v>4655</v>
      </c>
      <c r="AK3411" t="s">
        <v>19212</v>
      </c>
      <c r="AL3411" s="13" t="s">
        <v>1892</v>
      </c>
      <c r="AM3411">
        <v>1</v>
      </c>
      <c r="AN3411" s="15" t="s">
        <v>4274</v>
      </c>
    </row>
    <row r="3412" spans="1:40" x14ac:dyDescent="0.3">
      <c r="A3412" s="10" t="str">
        <f>HYPERLINK("http://www.washoecounty.gov/assessor/cama/?parid=079-500-55&amp;CardNumber=1","079-500-55")</f>
        <v>079-500-55</v>
      </c>
      <c r="B3412" t="s">
        <v>4655</v>
      </c>
      <c r="C3412" t="s">
        <v>19213</v>
      </c>
      <c r="D3412" s="1">
        <v>40429</v>
      </c>
      <c r="E3412" s="2">
        <v>345000</v>
      </c>
      <c r="F3412" t="s">
        <v>4567</v>
      </c>
      <c r="G3412" s="17" t="str">
        <f>HYPERLINK("https://www.washoecounty.gov/assessor/cama/?command=sales&amp;parid=07950055","3919864")</f>
        <v>3919864</v>
      </c>
      <c r="H3412" t="s">
        <v>19214</v>
      </c>
      <c r="I3412">
        <v>2005</v>
      </c>
      <c r="J3412">
        <v>2005</v>
      </c>
      <c r="K3412" t="s">
        <v>4554</v>
      </c>
      <c r="L3412" t="s">
        <v>3974</v>
      </c>
      <c r="M3412" s="2">
        <v>2808</v>
      </c>
      <c r="N3412" t="s">
        <v>3887</v>
      </c>
      <c r="O3412">
        <v>3</v>
      </c>
      <c r="P3412">
        <v>2</v>
      </c>
      <c r="Q3412">
        <v>1</v>
      </c>
      <c r="R3412" t="s">
        <v>4557</v>
      </c>
      <c r="S3412" t="s">
        <v>4558</v>
      </c>
      <c r="T3412" t="s">
        <v>4559</v>
      </c>
      <c r="U3412" t="s">
        <v>4560</v>
      </c>
      <c r="V3412" s="2">
        <v>873</v>
      </c>
      <c r="W3412" t="s">
        <v>4655</v>
      </c>
      <c r="X3412" s="2">
        <v>0</v>
      </c>
      <c r="Y3412">
        <v>20</v>
      </c>
      <c r="Z3412" t="s">
        <v>5226</v>
      </c>
      <c r="AA3412" s="3">
        <v>9.7799997329711896</v>
      </c>
      <c r="AB3412" t="s">
        <v>19215</v>
      </c>
      <c r="AC3412" t="s">
        <v>4562</v>
      </c>
      <c r="AD3412" t="s">
        <v>19216</v>
      </c>
      <c r="AE3412" t="s">
        <v>4655</v>
      </c>
      <c r="AF3412" t="s">
        <v>5201</v>
      </c>
      <c r="AG3412" t="s">
        <v>4564</v>
      </c>
      <c r="AH3412" t="s">
        <v>1350</v>
      </c>
      <c r="AI3412" t="s">
        <v>19217</v>
      </c>
      <c r="AJ3412" t="s">
        <v>19218</v>
      </c>
      <c r="AK3412" t="s">
        <v>19219</v>
      </c>
      <c r="AL3412" s="13" t="s">
        <v>1892</v>
      </c>
      <c r="AM3412">
        <v>1</v>
      </c>
      <c r="AN3412" s="15" t="s">
        <v>4274</v>
      </c>
    </row>
    <row r="3413" spans="1:40" x14ac:dyDescent="0.3">
      <c r="A3413" s="10" t="str">
        <f>HYPERLINK("http://www.washoecounty.gov/assessor/cama/?parid=079-500-60&amp;CardNumber=1","079-500-60")</f>
        <v>079-500-60</v>
      </c>
      <c r="B3413" t="s">
        <v>4655</v>
      </c>
      <c r="C3413" t="s">
        <v>19220</v>
      </c>
      <c r="D3413" s="1">
        <v>40465</v>
      </c>
      <c r="E3413" s="2">
        <v>265000</v>
      </c>
      <c r="F3413" t="s">
        <v>4567</v>
      </c>
      <c r="G3413" s="17" t="str">
        <f>HYPERLINK("https://www.washoecounty.gov/assessor/cama/?command=sales&amp;parid=07950060","3933733")</f>
        <v>3933733</v>
      </c>
      <c r="H3413" t="s">
        <v>19221</v>
      </c>
      <c r="I3413">
        <v>2006</v>
      </c>
      <c r="J3413">
        <v>2006</v>
      </c>
      <c r="K3413" t="s">
        <v>4554</v>
      </c>
      <c r="L3413" t="s">
        <v>4555</v>
      </c>
      <c r="M3413" s="2">
        <v>1624</v>
      </c>
      <c r="N3413" t="s">
        <v>4556</v>
      </c>
      <c r="O3413">
        <v>3</v>
      </c>
      <c r="P3413">
        <v>2</v>
      </c>
      <c r="Q3413">
        <v>0</v>
      </c>
      <c r="R3413" t="s">
        <v>5281</v>
      </c>
      <c r="S3413" t="s">
        <v>4135</v>
      </c>
      <c r="T3413" t="s">
        <v>4559</v>
      </c>
      <c r="U3413" t="s">
        <v>4655</v>
      </c>
      <c r="V3413" s="2">
        <v>0</v>
      </c>
      <c r="W3413" t="s">
        <v>4655</v>
      </c>
      <c r="X3413" s="2">
        <v>0</v>
      </c>
      <c r="Y3413">
        <v>20</v>
      </c>
      <c r="Z3413" t="s">
        <v>5226</v>
      </c>
      <c r="AA3413" s="3">
        <v>20.059999465942301</v>
      </c>
      <c r="AB3413" t="s">
        <v>19222</v>
      </c>
      <c r="AC3413" t="s">
        <v>4575</v>
      </c>
      <c r="AD3413" t="s">
        <v>19220</v>
      </c>
      <c r="AE3413" t="s">
        <v>4655</v>
      </c>
      <c r="AF3413" t="s">
        <v>4563</v>
      </c>
      <c r="AG3413" t="s">
        <v>4564</v>
      </c>
      <c r="AH3413">
        <v>89506</v>
      </c>
      <c r="AI3413" t="s">
        <v>19223</v>
      </c>
      <c r="AJ3413" t="s">
        <v>19224</v>
      </c>
      <c r="AK3413" t="s">
        <v>19225</v>
      </c>
      <c r="AL3413" s="13" t="s">
        <v>1892</v>
      </c>
      <c r="AM3413">
        <v>1</v>
      </c>
      <c r="AN3413" s="15" t="s">
        <v>4274</v>
      </c>
    </row>
    <row r="3414" spans="1:40" x14ac:dyDescent="0.3">
      <c r="A3414" s="10" t="str">
        <f>HYPERLINK("http://www.washoecounty.gov/assessor/cama/?parid=080-266-01&amp;CardNumber=1","080-266-01")</f>
        <v>080-266-01</v>
      </c>
      <c r="B3414" t="s">
        <v>4655</v>
      </c>
      <c r="C3414" t="s">
        <v>19226</v>
      </c>
      <c r="D3414" s="1">
        <v>40389</v>
      </c>
      <c r="E3414" s="2">
        <v>195000</v>
      </c>
      <c r="F3414" t="s">
        <v>4567</v>
      </c>
      <c r="G3414" s="17" t="str">
        <f>HYPERLINK("https://www.washoecounty.gov/assessor/cama/?command=sales&amp;parid=08026601","3907244")</f>
        <v>3907244</v>
      </c>
      <c r="H3414" t="s">
        <v>19227</v>
      </c>
      <c r="I3414">
        <v>1962</v>
      </c>
      <c r="J3414">
        <v>1962</v>
      </c>
      <c r="K3414" t="s">
        <v>4554</v>
      </c>
      <c r="L3414" t="s">
        <v>4555</v>
      </c>
      <c r="M3414" s="2">
        <v>1562</v>
      </c>
      <c r="N3414" t="s">
        <v>4048</v>
      </c>
      <c r="O3414">
        <v>2</v>
      </c>
      <c r="P3414">
        <v>2</v>
      </c>
      <c r="Q3414">
        <v>0</v>
      </c>
      <c r="R3414" t="s">
        <v>4557</v>
      </c>
      <c r="S3414" t="s">
        <v>4135</v>
      </c>
      <c r="T3414" t="s">
        <v>4559</v>
      </c>
      <c r="U3414" t="s">
        <v>4560</v>
      </c>
      <c r="V3414" s="2">
        <v>572</v>
      </c>
      <c r="W3414" t="s">
        <v>3149</v>
      </c>
      <c r="X3414" s="2">
        <v>1562</v>
      </c>
      <c r="Y3414">
        <v>20</v>
      </c>
      <c r="Z3414" t="s">
        <v>3884</v>
      </c>
      <c r="AA3414" s="3">
        <v>2.0309998989105198</v>
      </c>
      <c r="AB3414" t="s">
        <v>19228</v>
      </c>
      <c r="AC3414" t="s">
        <v>4562</v>
      </c>
      <c r="AD3414" t="s">
        <v>19226</v>
      </c>
      <c r="AE3414" t="s">
        <v>4655</v>
      </c>
      <c r="AF3414" t="s">
        <v>4563</v>
      </c>
      <c r="AG3414" t="s">
        <v>4564</v>
      </c>
      <c r="AH3414">
        <v>89506</v>
      </c>
      <c r="AI3414" t="s">
        <v>19229</v>
      </c>
      <c r="AJ3414" t="s">
        <v>4655</v>
      </c>
      <c r="AK3414" t="s">
        <v>19230</v>
      </c>
      <c r="AL3414" s="13" t="s">
        <v>1902</v>
      </c>
      <c r="AM3414">
        <v>1</v>
      </c>
      <c r="AN3414" s="15" t="s">
        <v>3715</v>
      </c>
    </row>
    <row r="3415" spans="1:40" x14ac:dyDescent="0.3">
      <c r="A3415" s="10" t="str">
        <f>HYPERLINK("http://www.washoecounty.gov/assessor/cama/?parid=080-278-08&amp;CardNumber=1","080-278-08")</f>
        <v>080-278-08</v>
      </c>
      <c r="B3415" t="s">
        <v>4655</v>
      </c>
      <c r="C3415" t="s">
        <v>19231</v>
      </c>
      <c r="D3415" s="1">
        <v>40421</v>
      </c>
      <c r="E3415" s="2">
        <v>115000</v>
      </c>
      <c r="F3415" t="s">
        <v>4567</v>
      </c>
      <c r="G3415" s="17" t="str">
        <f>HYPERLINK("https://www.washoecounty.gov/assessor/cama/?command=sales&amp;parid=08027808","3917465")</f>
        <v>3917465</v>
      </c>
      <c r="H3415" t="s">
        <v>19232</v>
      </c>
      <c r="I3415">
        <v>1930</v>
      </c>
      <c r="J3415">
        <v>1930</v>
      </c>
      <c r="K3415" t="s">
        <v>4554</v>
      </c>
      <c r="L3415" t="s">
        <v>4555</v>
      </c>
      <c r="M3415" s="2">
        <v>888</v>
      </c>
      <c r="N3415" t="s">
        <v>4556</v>
      </c>
      <c r="O3415">
        <v>2</v>
      </c>
      <c r="P3415">
        <v>1</v>
      </c>
      <c r="Q3415">
        <v>0</v>
      </c>
      <c r="R3415" t="s">
        <v>4557</v>
      </c>
      <c r="S3415" t="s">
        <v>4135</v>
      </c>
      <c r="T3415" t="s">
        <v>4559</v>
      </c>
      <c r="U3415" t="s">
        <v>4655</v>
      </c>
      <c r="V3415" s="2">
        <v>0</v>
      </c>
      <c r="W3415" t="s">
        <v>4655</v>
      </c>
      <c r="X3415" s="2">
        <v>0</v>
      </c>
      <c r="Y3415">
        <v>20</v>
      </c>
      <c r="Z3415" t="s">
        <v>3884</v>
      </c>
      <c r="AA3415" s="3">
        <v>1.0480027198791499</v>
      </c>
      <c r="AB3415" t="s">
        <v>19233</v>
      </c>
      <c r="AC3415" t="s">
        <v>4562</v>
      </c>
      <c r="AD3415" t="s">
        <v>19231</v>
      </c>
      <c r="AE3415" t="s">
        <v>4655</v>
      </c>
      <c r="AF3415" t="s">
        <v>4563</v>
      </c>
      <c r="AG3415" t="s">
        <v>4564</v>
      </c>
      <c r="AH3415">
        <v>89506</v>
      </c>
      <c r="AI3415" t="s">
        <v>19234</v>
      </c>
      <c r="AJ3415" t="s">
        <v>4655</v>
      </c>
      <c r="AK3415" t="s">
        <v>19235</v>
      </c>
      <c r="AL3415" s="13" t="s">
        <v>1902</v>
      </c>
      <c r="AM3415">
        <v>1</v>
      </c>
      <c r="AN3415" s="15" t="s">
        <v>3715</v>
      </c>
    </row>
    <row r="3416" spans="1:40" x14ac:dyDescent="0.3">
      <c r="A3416" s="10" t="str">
        <f>HYPERLINK("http://www.washoecounty.gov/assessor/cama/?parid=080-279-11&amp;CardNumber=1","080-279-11")</f>
        <v>080-279-11</v>
      </c>
      <c r="B3416" t="s">
        <v>4655</v>
      </c>
      <c r="C3416" t="s">
        <v>19236</v>
      </c>
      <c r="D3416" s="1">
        <v>40541</v>
      </c>
      <c r="E3416" s="2">
        <v>170000</v>
      </c>
      <c r="F3416" t="s">
        <v>4553</v>
      </c>
      <c r="G3416" s="17" t="str">
        <f>HYPERLINK("https://www.washoecounty.gov/assessor/cama/?command=sales&amp;parid=08027911","3958737")</f>
        <v>3958737</v>
      </c>
      <c r="H3416" t="s">
        <v>19237</v>
      </c>
      <c r="I3416">
        <v>1985</v>
      </c>
      <c r="J3416">
        <v>1985</v>
      </c>
      <c r="K3416" t="s">
        <v>4554</v>
      </c>
      <c r="L3416" t="s">
        <v>4555</v>
      </c>
      <c r="M3416" s="2">
        <v>1438</v>
      </c>
      <c r="N3416" t="s">
        <v>4048</v>
      </c>
      <c r="O3416">
        <v>3</v>
      </c>
      <c r="P3416">
        <v>2</v>
      </c>
      <c r="Q3416">
        <v>0</v>
      </c>
      <c r="R3416" t="s">
        <v>4557</v>
      </c>
      <c r="S3416" t="s">
        <v>4135</v>
      </c>
      <c r="T3416" t="s">
        <v>4559</v>
      </c>
      <c r="U3416" t="s">
        <v>4560</v>
      </c>
      <c r="V3416" s="2">
        <v>484</v>
      </c>
      <c r="W3416" t="s">
        <v>4655</v>
      </c>
      <c r="X3416" s="2">
        <v>0</v>
      </c>
      <c r="Y3416">
        <v>20</v>
      </c>
      <c r="Z3416" t="s">
        <v>3884</v>
      </c>
      <c r="AA3416" s="3">
        <v>1.0480027198791499</v>
      </c>
      <c r="AB3416" t="s">
        <v>19238</v>
      </c>
      <c r="AC3416" t="s">
        <v>4562</v>
      </c>
      <c r="AD3416" t="s">
        <v>19236</v>
      </c>
      <c r="AE3416" t="s">
        <v>4655</v>
      </c>
      <c r="AF3416" t="s">
        <v>4563</v>
      </c>
      <c r="AG3416" t="s">
        <v>4564</v>
      </c>
      <c r="AH3416">
        <v>89506</v>
      </c>
      <c r="AI3416" t="s">
        <v>4903</v>
      </c>
      <c r="AJ3416" t="s">
        <v>4655</v>
      </c>
      <c r="AK3416" t="s">
        <v>19239</v>
      </c>
      <c r="AL3416" s="13" t="s">
        <v>1902</v>
      </c>
      <c r="AM3416" s="14">
        <v>1</v>
      </c>
      <c r="AN3416" s="15" t="s">
        <v>3715</v>
      </c>
    </row>
    <row r="3417" spans="1:40" x14ac:dyDescent="0.3">
      <c r="A3417" s="10" t="str">
        <f>HYPERLINK("http://www.washoecounty.gov/assessor/cama/?parid=080-281-07&amp;CardNumber=1","080-281-07")</f>
        <v>080-281-07</v>
      </c>
      <c r="B3417" t="s">
        <v>4655</v>
      </c>
      <c r="C3417" t="s">
        <v>2848</v>
      </c>
      <c r="D3417" s="1">
        <v>40249</v>
      </c>
      <c r="E3417" s="2">
        <v>196655</v>
      </c>
      <c r="F3417" t="s">
        <v>4567</v>
      </c>
      <c r="G3417" s="17" t="str">
        <f>HYPERLINK("https://www.washoecounty.gov/assessor/cama/?command=sales&amp;parid=08028107","3858938")</f>
        <v>3858938</v>
      </c>
      <c r="H3417" t="s">
        <v>3670</v>
      </c>
      <c r="I3417">
        <v>1981</v>
      </c>
      <c r="J3417">
        <v>1981</v>
      </c>
      <c r="K3417" t="s">
        <v>4554</v>
      </c>
      <c r="L3417" t="s">
        <v>4555</v>
      </c>
      <c r="M3417" s="2">
        <v>1409</v>
      </c>
      <c r="N3417" t="s">
        <v>4556</v>
      </c>
      <c r="O3417">
        <v>3</v>
      </c>
      <c r="P3417">
        <v>2</v>
      </c>
      <c r="Q3417">
        <v>0</v>
      </c>
      <c r="R3417" t="s">
        <v>4557</v>
      </c>
      <c r="S3417" t="s">
        <v>4558</v>
      </c>
      <c r="T3417" t="s">
        <v>4559</v>
      </c>
      <c r="U3417" t="s">
        <v>4560</v>
      </c>
      <c r="V3417" s="2">
        <v>616</v>
      </c>
      <c r="W3417" t="s">
        <v>4655</v>
      </c>
      <c r="X3417" s="2">
        <v>0</v>
      </c>
      <c r="Y3417">
        <v>20</v>
      </c>
      <c r="Z3417" t="s">
        <v>3884</v>
      </c>
      <c r="AA3417" s="3">
        <v>2.0969998836517298</v>
      </c>
      <c r="AB3417" t="s">
        <v>139</v>
      </c>
      <c r="AC3417" t="s">
        <v>4562</v>
      </c>
      <c r="AD3417" t="s">
        <v>2848</v>
      </c>
      <c r="AE3417" t="s">
        <v>4655</v>
      </c>
      <c r="AF3417" t="s">
        <v>4563</v>
      </c>
      <c r="AG3417" t="s">
        <v>4564</v>
      </c>
      <c r="AH3417">
        <v>89506</v>
      </c>
      <c r="AI3417" t="s">
        <v>3671</v>
      </c>
      <c r="AJ3417" t="s">
        <v>4655</v>
      </c>
      <c r="AK3417" t="s">
        <v>2404</v>
      </c>
      <c r="AL3417" s="13" t="s">
        <v>1902</v>
      </c>
      <c r="AM3417" s="14">
        <v>1</v>
      </c>
      <c r="AN3417" s="15" t="s">
        <v>3715</v>
      </c>
    </row>
    <row r="3418" spans="1:40" x14ac:dyDescent="0.3">
      <c r="A3418" s="10" t="str">
        <f>HYPERLINK("http://www.washoecounty.gov/assessor/cama/?parid=080-285-10&amp;CardNumber=1","080-285-10")</f>
        <v>080-285-10</v>
      </c>
      <c r="B3418" t="s">
        <v>4655</v>
      </c>
      <c r="C3418" t="s">
        <v>19240</v>
      </c>
      <c r="D3418" s="1">
        <v>40316</v>
      </c>
      <c r="E3418" s="2">
        <v>152500</v>
      </c>
      <c r="F3418" t="s">
        <v>4567</v>
      </c>
      <c r="G3418" s="17" t="str">
        <f>HYPERLINK("https://www.washoecounty.gov/assessor/cama/?command=sales&amp;parid=08028510","3882755")</f>
        <v>3882755</v>
      </c>
      <c r="H3418" t="s">
        <v>19241</v>
      </c>
      <c r="I3418">
        <v>1977</v>
      </c>
      <c r="J3418">
        <v>1977</v>
      </c>
      <c r="K3418" t="s">
        <v>4554</v>
      </c>
      <c r="L3418" t="s">
        <v>4555</v>
      </c>
      <c r="M3418" s="2">
        <v>1344</v>
      </c>
      <c r="N3418" t="s">
        <v>4556</v>
      </c>
      <c r="O3418">
        <v>3</v>
      </c>
      <c r="P3418">
        <v>2</v>
      </c>
      <c r="Q3418">
        <v>0</v>
      </c>
      <c r="R3418" t="s">
        <v>4557</v>
      </c>
      <c r="S3418" t="s">
        <v>4898</v>
      </c>
      <c r="T3418" t="s">
        <v>4559</v>
      </c>
      <c r="U3418" t="s">
        <v>4560</v>
      </c>
      <c r="V3418" s="2">
        <v>440</v>
      </c>
      <c r="W3418" t="s">
        <v>4655</v>
      </c>
      <c r="X3418" s="2">
        <v>0</v>
      </c>
      <c r="Y3418">
        <v>20</v>
      </c>
      <c r="Z3418" t="s">
        <v>3884</v>
      </c>
      <c r="AA3418" s="3">
        <v>1.0399907827377299</v>
      </c>
      <c r="AB3418" t="s">
        <v>19242</v>
      </c>
      <c r="AC3418" t="s">
        <v>4562</v>
      </c>
      <c r="AD3418" t="s">
        <v>19240</v>
      </c>
      <c r="AE3418" t="s">
        <v>4655</v>
      </c>
      <c r="AF3418" t="s">
        <v>4563</v>
      </c>
      <c r="AG3418" t="s">
        <v>4564</v>
      </c>
      <c r="AH3418">
        <v>89506</v>
      </c>
      <c r="AI3418" t="s">
        <v>19243</v>
      </c>
      <c r="AJ3418" t="s">
        <v>4655</v>
      </c>
      <c r="AK3418" t="s">
        <v>19244</v>
      </c>
      <c r="AL3418" s="13" t="s">
        <v>1902</v>
      </c>
      <c r="AM3418">
        <v>1</v>
      </c>
      <c r="AN3418" s="15" t="s">
        <v>3715</v>
      </c>
    </row>
    <row r="3419" spans="1:40" x14ac:dyDescent="0.3">
      <c r="A3419" s="10" t="str">
        <f>HYPERLINK("http://www.washoecounty.gov/assessor/cama/?parid=080-286-04&amp;CardNumber=1","080-286-04")</f>
        <v>080-286-04</v>
      </c>
      <c r="B3419" t="s">
        <v>4655</v>
      </c>
      <c r="C3419" t="s">
        <v>19245</v>
      </c>
      <c r="D3419" s="1">
        <v>40520</v>
      </c>
      <c r="E3419" s="2">
        <v>200000</v>
      </c>
      <c r="F3419" t="s">
        <v>4567</v>
      </c>
      <c r="G3419" s="17" t="str">
        <f>HYPERLINK("https://www.washoecounty.gov/assessor/cama/?command=sales&amp;parid=08028604","3951206")</f>
        <v>3951206</v>
      </c>
      <c r="H3419" t="s">
        <v>2377</v>
      </c>
      <c r="I3419">
        <v>1988</v>
      </c>
      <c r="J3419">
        <v>1993</v>
      </c>
      <c r="K3419" t="s">
        <v>4554</v>
      </c>
      <c r="L3419" t="s">
        <v>4555</v>
      </c>
      <c r="M3419" s="2">
        <v>1965</v>
      </c>
      <c r="N3419" t="s">
        <v>4048</v>
      </c>
      <c r="O3419">
        <v>3</v>
      </c>
      <c r="P3419">
        <v>2</v>
      </c>
      <c r="Q3419">
        <v>1</v>
      </c>
      <c r="R3419" t="s">
        <v>5281</v>
      </c>
      <c r="S3419" t="s">
        <v>4558</v>
      </c>
      <c r="T3419" t="s">
        <v>4559</v>
      </c>
      <c r="U3419" t="s">
        <v>4560</v>
      </c>
      <c r="V3419" s="2">
        <v>406</v>
      </c>
      <c r="W3419" t="s">
        <v>4655</v>
      </c>
      <c r="X3419" s="2">
        <v>0</v>
      </c>
      <c r="Y3419">
        <v>20</v>
      </c>
      <c r="Z3419" t="s">
        <v>3884</v>
      </c>
      <c r="AA3419" s="3">
        <v>2.0840001106262198</v>
      </c>
      <c r="AB3419" t="s">
        <v>19246</v>
      </c>
      <c r="AC3419" t="s">
        <v>4562</v>
      </c>
      <c r="AD3419" t="s">
        <v>19247</v>
      </c>
      <c r="AE3419" t="s">
        <v>4655</v>
      </c>
      <c r="AF3419" t="s">
        <v>4563</v>
      </c>
      <c r="AG3419" t="s">
        <v>4564</v>
      </c>
      <c r="AH3419">
        <v>89506</v>
      </c>
      <c r="AI3419" t="s">
        <v>19248</v>
      </c>
      <c r="AJ3419" t="s">
        <v>4655</v>
      </c>
      <c r="AK3419" t="s">
        <v>19249</v>
      </c>
      <c r="AL3419" s="13" t="s">
        <v>1902</v>
      </c>
      <c r="AM3419" s="14">
        <v>1</v>
      </c>
      <c r="AN3419" s="15" t="s">
        <v>3715</v>
      </c>
    </row>
    <row r="3420" spans="1:40" x14ac:dyDescent="0.3">
      <c r="A3420" s="10" t="str">
        <f>HYPERLINK("http://www.washoecounty.gov/assessor/cama/?parid=080-288-03&amp;CardNumber=1","080-288-03")</f>
        <v>080-288-03</v>
      </c>
      <c r="B3420" t="s">
        <v>4655</v>
      </c>
      <c r="C3420" t="s">
        <v>19250</v>
      </c>
      <c r="D3420" s="1">
        <v>40450</v>
      </c>
      <c r="E3420" s="2">
        <v>150400</v>
      </c>
      <c r="F3420" t="s">
        <v>4553</v>
      </c>
      <c r="G3420" s="17" t="str">
        <f>HYPERLINK("https://www.washoecounty.gov/assessor/cama/?command=sales&amp;parid=08028803","3927740")</f>
        <v>3927740</v>
      </c>
      <c r="H3420" t="s">
        <v>2377</v>
      </c>
      <c r="I3420">
        <v>1980</v>
      </c>
      <c r="J3420">
        <v>1980</v>
      </c>
      <c r="K3420" t="s">
        <v>4554</v>
      </c>
      <c r="L3420" t="s">
        <v>4555</v>
      </c>
      <c r="M3420" s="2">
        <v>1630</v>
      </c>
      <c r="N3420" t="s">
        <v>4048</v>
      </c>
      <c r="O3420">
        <v>3</v>
      </c>
      <c r="P3420">
        <v>2</v>
      </c>
      <c r="Q3420">
        <v>0</v>
      </c>
      <c r="R3420" t="s">
        <v>4557</v>
      </c>
      <c r="S3420" t="s">
        <v>4898</v>
      </c>
      <c r="T3420" t="s">
        <v>4559</v>
      </c>
      <c r="U3420" t="s">
        <v>162</v>
      </c>
      <c r="V3420" s="2">
        <v>1344</v>
      </c>
      <c r="W3420" t="s">
        <v>4655</v>
      </c>
      <c r="X3420" s="2">
        <v>0</v>
      </c>
      <c r="Y3420">
        <v>20</v>
      </c>
      <c r="Z3420" t="s">
        <v>3884</v>
      </c>
      <c r="AA3420" s="3">
        <v>2.0969998836517298</v>
      </c>
      <c r="AB3420" t="s">
        <v>2378</v>
      </c>
      <c r="AC3420" t="s">
        <v>4562</v>
      </c>
      <c r="AD3420" t="s">
        <v>19251</v>
      </c>
      <c r="AE3420" t="s">
        <v>4655</v>
      </c>
      <c r="AF3420" t="s">
        <v>4563</v>
      </c>
      <c r="AG3420" t="s">
        <v>4564</v>
      </c>
      <c r="AH3420">
        <v>89506</v>
      </c>
      <c r="AI3420" t="s">
        <v>4045</v>
      </c>
      <c r="AJ3420" t="s">
        <v>4655</v>
      </c>
      <c r="AK3420" t="s">
        <v>19252</v>
      </c>
      <c r="AL3420" s="13" t="s">
        <v>1902</v>
      </c>
      <c r="AM3420">
        <v>1</v>
      </c>
      <c r="AN3420" s="15" t="s">
        <v>3715</v>
      </c>
    </row>
    <row r="3421" spans="1:40" x14ac:dyDescent="0.3">
      <c r="A3421" s="10" t="str">
        <f>HYPERLINK("http://www.washoecounty.gov/assessor/cama/?parid=080-291-17&amp;CardNumber=1","080-291-17")</f>
        <v>080-291-17</v>
      </c>
      <c r="B3421" t="s">
        <v>4655</v>
      </c>
      <c r="C3421" t="s">
        <v>19253</v>
      </c>
      <c r="D3421" s="1">
        <v>40541</v>
      </c>
      <c r="E3421" s="2">
        <v>120000</v>
      </c>
      <c r="F3421" t="s">
        <v>4567</v>
      </c>
      <c r="G3421" s="17" t="str">
        <f>HYPERLINK("https://www.washoecounty.gov/assessor/cama/?command=sales&amp;parid=08029117","3958745")</f>
        <v>3958745</v>
      </c>
      <c r="H3421" t="s">
        <v>19254</v>
      </c>
      <c r="I3421">
        <v>1987</v>
      </c>
      <c r="J3421">
        <v>1987</v>
      </c>
      <c r="K3421" t="s">
        <v>4554</v>
      </c>
      <c r="L3421" t="s">
        <v>4555</v>
      </c>
      <c r="M3421" s="2">
        <v>1151</v>
      </c>
      <c r="N3421" t="s">
        <v>4556</v>
      </c>
      <c r="O3421">
        <v>3</v>
      </c>
      <c r="P3421">
        <v>2</v>
      </c>
      <c r="Q3421">
        <v>0</v>
      </c>
      <c r="R3421" t="s">
        <v>4557</v>
      </c>
      <c r="S3421" t="s">
        <v>3148</v>
      </c>
      <c r="T3421" t="s">
        <v>4559</v>
      </c>
      <c r="U3421" t="s">
        <v>4560</v>
      </c>
      <c r="V3421" s="2">
        <v>480</v>
      </c>
      <c r="W3421" t="s">
        <v>4655</v>
      </c>
      <c r="X3421" s="2">
        <v>0</v>
      </c>
      <c r="Y3421">
        <v>20</v>
      </c>
      <c r="Z3421" t="s">
        <v>3884</v>
      </c>
      <c r="AA3421" s="3">
        <v>1.04898989200592</v>
      </c>
      <c r="AB3421" t="s">
        <v>19255</v>
      </c>
      <c r="AC3421" t="s">
        <v>4575</v>
      </c>
      <c r="AD3421" t="s">
        <v>19253</v>
      </c>
      <c r="AE3421" t="s">
        <v>4655</v>
      </c>
      <c r="AF3421" t="s">
        <v>4563</v>
      </c>
      <c r="AG3421" t="s">
        <v>4564</v>
      </c>
      <c r="AH3421">
        <v>89506</v>
      </c>
      <c r="AI3421" t="s">
        <v>19256</v>
      </c>
      <c r="AJ3421" t="s">
        <v>4655</v>
      </c>
      <c r="AK3421" t="s">
        <v>19257</v>
      </c>
      <c r="AL3421" s="13" t="s">
        <v>1902</v>
      </c>
      <c r="AM3421" s="14">
        <v>1</v>
      </c>
      <c r="AN3421" s="15" t="s">
        <v>3715</v>
      </c>
    </row>
    <row r="3422" spans="1:40" x14ac:dyDescent="0.3">
      <c r="A3422" s="10" t="str">
        <f>HYPERLINK("http://www.washoecounty.gov/assessor/cama/?parid=080-292-03&amp;CardNumber=1","080-292-03")</f>
        <v>080-292-03</v>
      </c>
      <c r="B3422" t="s">
        <v>4655</v>
      </c>
      <c r="C3422" t="s">
        <v>19258</v>
      </c>
      <c r="D3422" s="1">
        <v>40260</v>
      </c>
      <c r="E3422" s="2">
        <v>130000</v>
      </c>
      <c r="F3422" t="s">
        <v>4567</v>
      </c>
      <c r="G3422" s="17" t="str">
        <f>HYPERLINK("https://www.washoecounty.gov/assessor/cama/?command=sales&amp;parid=08029203","3962976")</f>
        <v>3962976</v>
      </c>
      <c r="H3422" t="s">
        <v>3714</v>
      </c>
      <c r="I3422">
        <v>1977</v>
      </c>
      <c r="J3422">
        <v>1977</v>
      </c>
      <c r="K3422" t="s">
        <v>4554</v>
      </c>
      <c r="L3422" t="s">
        <v>4555</v>
      </c>
      <c r="M3422" s="2">
        <v>1151</v>
      </c>
      <c r="N3422" t="s">
        <v>4556</v>
      </c>
      <c r="O3422">
        <v>3</v>
      </c>
      <c r="P3422">
        <v>1</v>
      </c>
      <c r="Q3422">
        <v>1</v>
      </c>
      <c r="R3422" t="s">
        <v>4557</v>
      </c>
      <c r="S3422" t="s">
        <v>4558</v>
      </c>
      <c r="T3422" t="s">
        <v>4559</v>
      </c>
      <c r="U3422" t="s">
        <v>4560</v>
      </c>
      <c r="V3422" s="2">
        <v>480</v>
      </c>
      <c r="W3422" t="s">
        <v>4655</v>
      </c>
      <c r="X3422" s="2">
        <v>0</v>
      </c>
      <c r="Y3422">
        <v>20</v>
      </c>
      <c r="Z3422" t="s">
        <v>3884</v>
      </c>
      <c r="AA3422" s="3">
        <v>1.04898989200592</v>
      </c>
      <c r="AB3422" t="s">
        <v>19259</v>
      </c>
      <c r="AC3422" t="s">
        <v>4562</v>
      </c>
      <c r="AD3422" t="s">
        <v>19258</v>
      </c>
      <c r="AE3422" t="s">
        <v>4655</v>
      </c>
      <c r="AF3422" t="s">
        <v>4563</v>
      </c>
      <c r="AG3422" t="s">
        <v>4564</v>
      </c>
      <c r="AH3422">
        <v>89506</v>
      </c>
      <c r="AI3422" t="s">
        <v>824</v>
      </c>
      <c r="AJ3422" t="s">
        <v>4655</v>
      </c>
      <c r="AK3422" t="s">
        <v>19260</v>
      </c>
      <c r="AL3422" s="13" t="s">
        <v>1902</v>
      </c>
      <c r="AM3422">
        <v>1</v>
      </c>
      <c r="AN3422" s="15" t="s">
        <v>3715</v>
      </c>
    </row>
    <row r="3423" spans="1:40" x14ac:dyDescent="0.3">
      <c r="A3423" s="10" t="str">
        <f>HYPERLINK("http://www.washoecounty.gov/assessor/cama/?parid=080-294-03&amp;CardNumber=1","080-294-03")</f>
        <v>080-294-03</v>
      </c>
      <c r="B3423" t="s">
        <v>4655</v>
      </c>
      <c r="C3423" t="s">
        <v>19261</v>
      </c>
      <c r="D3423" s="1">
        <v>40359</v>
      </c>
      <c r="E3423" s="2">
        <v>117000</v>
      </c>
      <c r="F3423" t="s">
        <v>4553</v>
      </c>
      <c r="G3423" s="17" t="str">
        <f>HYPERLINK("https://www.washoecounty.gov/assessor/cama/?command=sales&amp;parid=08029403","3897261")</f>
        <v>3897261</v>
      </c>
      <c r="H3423" t="s">
        <v>3714</v>
      </c>
      <c r="I3423">
        <v>1973</v>
      </c>
      <c r="J3423">
        <v>1973</v>
      </c>
      <c r="K3423" t="s">
        <v>4554</v>
      </c>
      <c r="L3423" t="s">
        <v>4555</v>
      </c>
      <c r="M3423" s="2">
        <v>1001</v>
      </c>
      <c r="N3423" t="s">
        <v>4556</v>
      </c>
      <c r="O3423">
        <v>2</v>
      </c>
      <c r="P3423">
        <v>1</v>
      </c>
      <c r="Q3423">
        <v>0</v>
      </c>
      <c r="R3423" t="s">
        <v>5281</v>
      </c>
      <c r="S3423" t="s">
        <v>4558</v>
      </c>
      <c r="T3423" t="s">
        <v>4559</v>
      </c>
      <c r="U3423" t="s">
        <v>4560</v>
      </c>
      <c r="V3423" s="2">
        <v>1052</v>
      </c>
      <c r="W3423" t="s">
        <v>4655</v>
      </c>
      <c r="X3423" s="2">
        <v>0</v>
      </c>
      <c r="Y3423">
        <v>20</v>
      </c>
      <c r="Z3423" t="s">
        <v>3884</v>
      </c>
      <c r="AA3423" s="3">
        <v>1.19800269603729</v>
      </c>
      <c r="AB3423" t="s">
        <v>19262</v>
      </c>
      <c r="AC3423" t="s">
        <v>4562</v>
      </c>
      <c r="AD3423" t="s">
        <v>19261</v>
      </c>
      <c r="AE3423" t="s">
        <v>4655</v>
      </c>
      <c r="AF3423" t="s">
        <v>4563</v>
      </c>
      <c r="AG3423" t="s">
        <v>4564</v>
      </c>
      <c r="AH3423">
        <v>89506</v>
      </c>
      <c r="AI3423" t="s">
        <v>19263</v>
      </c>
      <c r="AJ3423" t="s">
        <v>4655</v>
      </c>
      <c r="AK3423" t="s">
        <v>19264</v>
      </c>
      <c r="AL3423" s="13" t="s">
        <v>1902</v>
      </c>
      <c r="AM3423">
        <v>1</v>
      </c>
      <c r="AN3423" s="15" t="s">
        <v>3715</v>
      </c>
    </row>
    <row r="3424" spans="1:40" x14ac:dyDescent="0.3">
      <c r="A3424" s="10" t="str">
        <f>HYPERLINK("http://www.washoecounty.gov/assessor/cama/?parid=080-294-11&amp;CardNumber=1","080-294-11")</f>
        <v>080-294-11</v>
      </c>
      <c r="B3424" t="s">
        <v>4655</v>
      </c>
      <c r="C3424" t="s">
        <v>19265</v>
      </c>
      <c r="D3424" s="1">
        <v>40451</v>
      </c>
      <c r="E3424" s="2">
        <v>128000</v>
      </c>
      <c r="F3424" t="s">
        <v>4553</v>
      </c>
      <c r="G3424" s="17" t="str">
        <f>HYPERLINK("https://www.washoecounty.gov/assessor/cama/?command=sales&amp;parid=08029411","3928187")</f>
        <v>3928187</v>
      </c>
      <c r="H3424" t="s">
        <v>3714</v>
      </c>
      <c r="I3424">
        <v>1976</v>
      </c>
      <c r="J3424">
        <v>1976</v>
      </c>
      <c r="K3424" t="s">
        <v>4554</v>
      </c>
      <c r="L3424" t="s">
        <v>4555</v>
      </c>
      <c r="M3424" s="2">
        <v>1319</v>
      </c>
      <c r="N3424" t="s">
        <v>4556</v>
      </c>
      <c r="O3424">
        <v>3</v>
      </c>
      <c r="P3424">
        <v>1</v>
      </c>
      <c r="Q3424">
        <v>0</v>
      </c>
      <c r="R3424" t="s">
        <v>4557</v>
      </c>
      <c r="S3424" t="s">
        <v>4558</v>
      </c>
      <c r="T3424" t="s">
        <v>4143</v>
      </c>
      <c r="U3424" t="s">
        <v>4655</v>
      </c>
      <c r="V3424" s="2">
        <v>0</v>
      </c>
      <c r="W3424" t="s">
        <v>4655</v>
      </c>
      <c r="X3424" s="2">
        <v>0</v>
      </c>
      <c r="Y3424">
        <v>20</v>
      </c>
      <c r="Z3424" t="s">
        <v>3884</v>
      </c>
      <c r="AA3424" s="3">
        <v>1.1550046205520601</v>
      </c>
      <c r="AB3424" t="s">
        <v>19266</v>
      </c>
      <c r="AC3424" t="s">
        <v>4562</v>
      </c>
      <c r="AD3424" t="s">
        <v>19267</v>
      </c>
      <c r="AE3424" t="s">
        <v>4655</v>
      </c>
      <c r="AF3424" t="s">
        <v>4563</v>
      </c>
      <c r="AG3424" t="s">
        <v>4564</v>
      </c>
      <c r="AH3424">
        <v>89506</v>
      </c>
      <c r="AI3424" t="s">
        <v>4565</v>
      </c>
      <c r="AJ3424" t="s">
        <v>4655</v>
      </c>
      <c r="AK3424" t="s">
        <v>19268</v>
      </c>
      <c r="AL3424" s="13" t="s">
        <v>1902</v>
      </c>
      <c r="AM3424">
        <v>1</v>
      </c>
      <c r="AN3424" s="15" t="s">
        <v>3715</v>
      </c>
    </row>
    <row r="3425" spans="1:40" x14ac:dyDescent="0.3">
      <c r="A3425" s="10" t="str">
        <f>HYPERLINK("http://www.washoecounty.gov/assessor/cama/?parid=080-303-03&amp;CardNumber=1","080-303-03")</f>
        <v>080-303-03</v>
      </c>
      <c r="B3425" t="s">
        <v>4655</v>
      </c>
      <c r="C3425" t="s">
        <v>19269</v>
      </c>
      <c r="D3425" s="1">
        <v>40183</v>
      </c>
      <c r="E3425" s="2">
        <v>65000</v>
      </c>
      <c r="F3425" t="s">
        <v>4553</v>
      </c>
      <c r="G3425" s="17" t="str">
        <f>HYPERLINK("https://www.washoecounty.gov/assessor/cama/?command=sales&amp;parid=08030303","3836670")</f>
        <v>3836670</v>
      </c>
      <c r="H3425" t="s">
        <v>3714</v>
      </c>
      <c r="I3425">
        <v>1971</v>
      </c>
      <c r="J3425">
        <v>1971</v>
      </c>
      <c r="K3425" t="s">
        <v>4554</v>
      </c>
      <c r="L3425" t="s">
        <v>4555</v>
      </c>
      <c r="M3425" s="2">
        <v>959</v>
      </c>
      <c r="N3425" t="s">
        <v>4556</v>
      </c>
      <c r="O3425">
        <v>3</v>
      </c>
      <c r="P3425">
        <v>1</v>
      </c>
      <c r="Q3425">
        <v>0</v>
      </c>
      <c r="R3425" t="s">
        <v>4557</v>
      </c>
      <c r="S3425" t="s">
        <v>4558</v>
      </c>
      <c r="T3425" t="s">
        <v>4559</v>
      </c>
      <c r="U3425" t="s">
        <v>4560</v>
      </c>
      <c r="V3425" s="2">
        <v>336</v>
      </c>
      <c r="W3425" t="s">
        <v>4655</v>
      </c>
      <c r="X3425" s="2">
        <v>0</v>
      </c>
      <c r="Y3425">
        <v>20</v>
      </c>
      <c r="Z3425" t="s">
        <v>3884</v>
      </c>
      <c r="AA3425" s="3">
        <v>1.04898989200592</v>
      </c>
      <c r="AB3425" t="s">
        <v>19270</v>
      </c>
      <c r="AC3425" t="s">
        <v>4575</v>
      </c>
      <c r="AD3425" t="s">
        <v>19271</v>
      </c>
      <c r="AE3425" t="s">
        <v>19272</v>
      </c>
      <c r="AF3425" t="s">
        <v>4563</v>
      </c>
      <c r="AG3425" t="s">
        <v>4564</v>
      </c>
      <c r="AH3425">
        <v>89509</v>
      </c>
      <c r="AI3425" t="s">
        <v>4565</v>
      </c>
      <c r="AJ3425" t="s">
        <v>4655</v>
      </c>
      <c r="AK3425" t="s">
        <v>19273</v>
      </c>
      <c r="AL3425" s="13" t="s">
        <v>1902</v>
      </c>
      <c r="AM3425">
        <v>1</v>
      </c>
      <c r="AN3425" s="15" t="s">
        <v>3715</v>
      </c>
    </row>
    <row r="3426" spans="1:40" x14ac:dyDescent="0.3">
      <c r="A3426" s="10" t="str">
        <f>HYPERLINK("http://www.washoecounty.gov/assessor/cama/?parid=080-312-04&amp;CardNumber=1","080-312-04")</f>
        <v>080-312-04</v>
      </c>
      <c r="B3426" t="s">
        <v>4655</v>
      </c>
      <c r="C3426" t="s">
        <v>19274</v>
      </c>
      <c r="D3426" s="1">
        <v>40326</v>
      </c>
      <c r="E3426" s="2">
        <v>124000</v>
      </c>
      <c r="F3426" t="s">
        <v>4567</v>
      </c>
      <c r="G3426" s="17" t="str">
        <f>HYPERLINK("https://www.washoecounty.gov/assessor/cama/?command=sales&amp;parid=08031204","3886636")</f>
        <v>3886636</v>
      </c>
      <c r="H3426" t="s">
        <v>19275</v>
      </c>
      <c r="I3426">
        <v>1973</v>
      </c>
      <c r="J3426">
        <v>1973</v>
      </c>
      <c r="K3426" t="s">
        <v>4554</v>
      </c>
      <c r="L3426" t="s">
        <v>4555</v>
      </c>
      <c r="M3426" s="2">
        <v>1152</v>
      </c>
      <c r="N3426" t="s">
        <v>4556</v>
      </c>
      <c r="O3426">
        <v>4</v>
      </c>
      <c r="P3426">
        <v>2</v>
      </c>
      <c r="Q3426">
        <v>0</v>
      </c>
      <c r="R3426" t="s">
        <v>4557</v>
      </c>
      <c r="S3426" t="s">
        <v>4135</v>
      </c>
      <c r="T3426" t="s">
        <v>4559</v>
      </c>
      <c r="U3426" t="s">
        <v>4560</v>
      </c>
      <c r="V3426" s="2">
        <v>315</v>
      </c>
      <c r="W3426" t="s">
        <v>4655</v>
      </c>
      <c r="X3426" s="2">
        <v>0</v>
      </c>
      <c r="Y3426">
        <v>20</v>
      </c>
      <c r="Z3426" t="s">
        <v>3884</v>
      </c>
      <c r="AA3426" s="3">
        <v>1.04898989200592</v>
      </c>
      <c r="AB3426" t="s">
        <v>19276</v>
      </c>
      <c r="AC3426" t="s">
        <v>4562</v>
      </c>
      <c r="AD3426" t="s">
        <v>19274</v>
      </c>
      <c r="AE3426" t="s">
        <v>4655</v>
      </c>
      <c r="AF3426" t="s">
        <v>4563</v>
      </c>
      <c r="AG3426" t="s">
        <v>4564</v>
      </c>
      <c r="AH3426">
        <v>89506</v>
      </c>
      <c r="AI3426" t="s">
        <v>19277</v>
      </c>
      <c r="AJ3426" t="s">
        <v>4655</v>
      </c>
      <c r="AK3426" t="s">
        <v>19278</v>
      </c>
      <c r="AL3426" s="13" t="s">
        <v>1902</v>
      </c>
      <c r="AM3426">
        <v>1</v>
      </c>
      <c r="AN3426" s="15" t="s">
        <v>3715</v>
      </c>
    </row>
    <row r="3427" spans="1:40" x14ac:dyDescent="0.3">
      <c r="A3427" s="10" t="str">
        <f>HYPERLINK("http://www.washoecounty.gov/assessor/cama/?parid=080-313-04&amp;CardNumber=1","080-313-04")</f>
        <v>080-313-04</v>
      </c>
      <c r="B3427" t="s">
        <v>4655</v>
      </c>
      <c r="C3427" t="s">
        <v>19279</v>
      </c>
      <c r="D3427" s="1">
        <v>40479</v>
      </c>
      <c r="E3427" s="2">
        <v>105000</v>
      </c>
      <c r="F3427" t="s">
        <v>4567</v>
      </c>
      <c r="G3427" s="17" t="str">
        <f>HYPERLINK("https://www.washoecounty.gov/assessor/cama/?command=sales&amp;parid=08031304","3937915")</f>
        <v>3937915</v>
      </c>
      <c r="H3427" t="s">
        <v>3716</v>
      </c>
      <c r="I3427">
        <v>1975</v>
      </c>
      <c r="J3427">
        <v>1975</v>
      </c>
      <c r="K3427" t="s">
        <v>4554</v>
      </c>
      <c r="L3427" t="s">
        <v>4555</v>
      </c>
      <c r="M3427" s="2">
        <v>1152</v>
      </c>
      <c r="N3427" t="s">
        <v>4556</v>
      </c>
      <c r="O3427">
        <v>4</v>
      </c>
      <c r="P3427">
        <v>2</v>
      </c>
      <c r="Q3427">
        <v>0</v>
      </c>
      <c r="R3427" t="s">
        <v>5281</v>
      </c>
      <c r="S3427" t="s">
        <v>4558</v>
      </c>
      <c r="T3427" t="s">
        <v>4559</v>
      </c>
      <c r="U3427" t="s">
        <v>4560</v>
      </c>
      <c r="V3427" s="2">
        <v>420</v>
      </c>
      <c r="W3427" t="s">
        <v>4655</v>
      </c>
      <c r="X3427" s="2">
        <v>0</v>
      </c>
      <c r="Y3427">
        <v>20</v>
      </c>
      <c r="Z3427" t="s">
        <v>3884</v>
      </c>
      <c r="AA3427" s="3">
        <v>1.04898989200592</v>
      </c>
      <c r="AB3427" t="s">
        <v>19280</v>
      </c>
      <c r="AC3427" t="s">
        <v>4562</v>
      </c>
      <c r="AD3427" t="s">
        <v>19279</v>
      </c>
      <c r="AE3427" t="s">
        <v>4655</v>
      </c>
      <c r="AF3427" t="s">
        <v>4563</v>
      </c>
      <c r="AG3427" t="s">
        <v>4564</v>
      </c>
      <c r="AH3427">
        <v>89506</v>
      </c>
      <c r="AI3427" t="s">
        <v>19281</v>
      </c>
      <c r="AJ3427" t="s">
        <v>4655</v>
      </c>
      <c r="AK3427" t="s">
        <v>19282</v>
      </c>
      <c r="AL3427" s="13" t="s">
        <v>1902</v>
      </c>
      <c r="AM3427">
        <v>1</v>
      </c>
      <c r="AN3427" s="15" t="s">
        <v>3715</v>
      </c>
    </row>
    <row r="3428" spans="1:40" x14ac:dyDescent="0.3">
      <c r="A3428" s="10" t="str">
        <f>HYPERLINK("http://www.washoecounty.gov/assessor/cama/?parid=080-313-12&amp;CardNumber=1","080-313-12")</f>
        <v>080-313-12</v>
      </c>
      <c r="B3428" t="s">
        <v>4655</v>
      </c>
      <c r="C3428" t="s">
        <v>19283</v>
      </c>
      <c r="D3428" s="1">
        <v>40199</v>
      </c>
      <c r="E3428" s="2">
        <v>44000</v>
      </c>
      <c r="F3428" t="s">
        <v>4553</v>
      </c>
      <c r="G3428" s="17" t="str">
        <f>HYPERLINK("https://www.washoecounty.gov/assessor/cama/?command=sales&amp;parid=08031312","3841486")</f>
        <v>3841486</v>
      </c>
      <c r="H3428" t="s">
        <v>3716</v>
      </c>
      <c r="I3428">
        <v>1975</v>
      </c>
      <c r="J3428">
        <v>1975</v>
      </c>
      <c r="K3428" t="s">
        <v>4554</v>
      </c>
      <c r="L3428" t="s">
        <v>4555</v>
      </c>
      <c r="M3428" s="2">
        <v>1152</v>
      </c>
      <c r="N3428" t="s">
        <v>4556</v>
      </c>
      <c r="O3428">
        <v>4</v>
      </c>
      <c r="P3428">
        <v>2</v>
      </c>
      <c r="Q3428">
        <v>0</v>
      </c>
      <c r="R3428" t="s">
        <v>4557</v>
      </c>
      <c r="S3428" t="s">
        <v>4135</v>
      </c>
      <c r="T3428" t="s">
        <v>4559</v>
      </c>
      <c r="U3428" t="s">
        <v>4655</v>
      </c>
      <c r="V3428" s="2">
        <v>0</v>
      </c>
      <c r="W3428" t="s">
        <v>4655</v>
      </c>
      <c r="X3428" s="2">
        <v>0</v>
      </c>
      <c r="Y3428">
        <v>20</v>
      </c>
      <c r="Z3428" t="s">
        <v>3884</v>
      </c>
      <c r="AA3428" s="3">
        <v>1.04898989200592</v>
      </c>
      <c r="AB3428" t="s">
        <v>19284</v>
      </c>
      <c r="AC3428" t="s">
        <v>4562</v>
      </c>
      <c r="AD3428" t="s">
        <v>19285</v>
      </c>
      <c r="AE3428" t="s">
        <v>4655</v>
      </c>
      <c r="AF3428" t="s">
        <v>4563</v>
      </c>
      <c r="AG3428" t="s">
        <v>4564</v>
      </c>
      <c r="AH3428">
        <v>89506</v>
      </c>
      <c r="AI3428" t="s">
        <v>4045</v>
      </c>
      <c r="AJ3428" t="s">
        <v>4655</v>
      </c>
      <c r="AK3428" t="s">
        <v>19286</v>
      </c>
      <c r="AL3428" s="13" t="s">
        <v>1902</v>
      </c>
      <c r="AM3428" s="14">
        <v>1</v>
      </c>
      <c r="AN3428" s="15" t="s">
        <v>3715</v>
      </c>
    </row>
    <row r="3429" spans="1:40" x14ac:dyDescent="0.3">
      <c r="A3429" s="10" t="str">
        <f>HYPERLINK("http://www.washoecounty.gov/assessor/cama/?parid=080-315-02&amp;CardNumber=1","080-315-02")</f>
        <v>080-315-02</v>
      </c>
      <c r="B3429" t="s">
        <v>4655</v>
      </c>
      <c r="C3429" t="s">
        <v>19287</v>
      </c>
      <c r="D3429" s="1">
        <v>40389</v>
      </c>
      <c r="E3429" s="2">
        <v>99000</v>
      </c>
      <c r="F3429" t="s">
        <v>4567</v>
      </c>
      <c r="G3429" s="17" t="str">
        <f>HYPERLINK("https://www.washoecounty.gov/assessor/cama/?command=sales&amp;parid=08031502","3907488")</f>
        <v>3907488</v>
      </c>
      <c r="H3429" t="s">
        <v>3716</v>
      </c>
      <c r="I3429">
        <v>1975</v>
      </c>
      <c r="J3429">
        <v>1975</v>
      </c>
      <c r="K3429" t="s">
        <v>4554</v>
      </c>
      <c r="L3429" t="s">
        <v>4555</v>
      </c>
      <c r="M3429" s="2">
        <v>960</v>
      </c>
      <c r="N3429" t="s">
        <v>4556</v>
      </c>
      <c r="O3429">
        <v>3</v>
      </c>
      <c r="P3429">
        <v>1</v>
      </c>
      <c r="Q3429">
        <v>1</v>
      </c>
      <c r="R3429" t="s">
        <v>4557</v>
      </c>
      <c r="S3429" t="s">
        <v>4135</v>
      </c>
      <c r="T3429" t="s">
        <v>4559</v>
      </c>
      <c r="U3429" t="s">
        <v>4560</v>
      </c>
      <c r="V3429" s="2">
        <v>480</v>
      </c>
      <c r="W3429" t="s">
        <v>4655</v>
      </c>
      <c r="X3429" s="2">
        <v>0</v>
      </c>
      <c r="Y3429">
        <v>20</v>
      </c>
      <c r="Z3429" t="s">
        <v>3884</v>
      </c>
      <c r="AA3429" s="3">
        <v>1.42398989200592</v>
      </c>
      <c r="AB3429" t="s">
        <v>19288</v>
      </c>
      <c r="AC3429" t="s">
        <v>4575</v>
      </c>
      <c r="AD3429" t="s">
        <v>19287</v>
      </c>
      <c r="AE3429" t="s">
        <v>4655</v>
      </c>
      <c r="AF3429" t="s">
        <v>4563</v>
      </c>
      <c r="AG3429" t="s">
        <v>4564</v>
      </c>
      <c r="AH3429">
        <v>89506</v>
      </c>
      <c r="AI3429" t="s">
        <v>19289</v>
      </c>
      <c r="AJ3429" t="s">
        <v>4655</v>
      </c>
      <c r="AK3429" t="s">
        <v>19290</v>
      </c>
      <c r="AL3429" s="13" t="s">
        <v>1902</v>
      </c>
      <c r="AM3429">
        <v>1</v>
      </c>
      <c r="AN3429" s="15" t="s">
        <v>3715</v>
      </c>
    </row>
    <row r="3430" spans="1:40" x14ac:dyDescent="0.3">
      <c r="A3430" s="10" t="str">
        <f>HYPERLINK("http://www.washoecounty.gov/assessor/cama/?parid=080-322-04&amp;CardNumber=1","080-322-04")</f>
        <v>080-322-04</v>
      </c>
      <c r="B3430" t="s">
        <v>4655</v>
      </c>
      <c r="C3430" t="s">
        <v>19291</v>
      </c>
      <c r="D3430" s="1">
        <v>40192</v>
      </c>
      <c r="E3430" s="2">
        <v>62000</v>
      </c>
      <c r="F3430" t="s">
        <v>4553</v>
      </c>
      <c r="G3430" s="17" t="str">
        <f>HYPERLINK("https://www.washoecounty.gov/assessor/cama/?command=sales&amp;parid=08032204","3839089")</f>
        <v>3839089</v>
      </c>
      <c r="H3430" t="s">
        <v>3714</v>
      </c>
      <c r="I3430">
        <v>1979</v>
      </c>
      <c r="J3430">
        <v>1979</v>
      </c>
      <c r="K3430" t="s">
        <v>4554</v>
      </c>
      <c r="L3430" t="s">
        <v>4555</v>
      </c>
      <c r="M3430" s="2">
        <v>1152</v>
      </c>
      <c r="N3430" t="s">
        <v>4556</v>
      </c>
      <c r="O3430">
        <v>3</v>
      </c>
      <c r="P3430">
        <v>2</v>
      </c>
      <c r="Q3430">
        <v>0</v>
      </c>
      <c r="R3430" t="s">
        <v>4557</v>
      </c>
      <c r="S3430" t="s">
        <v>4558</v>
      </c>
      <c r="T3430" t="s">
        <v>4559</v>
      </c>
      <c r="U3430" t="s">
        <v>4560</v>
      </c>
      <c r="V3430" s="2">
        <v>480</v>
      </c>
      <c r="W3430" t="s">
        <v>4655</v>
      </c>
      <c r="X3430" s="2">
        <v>0</v>
      </c>
      <c r="Y3430">
        <v>20</v>
      </c>
      <c r="Z3430" t="s">
        <v>3884</v>
      </c>
      <c r="AA3430" s="3">
        <v>1.04898989200592</v>
      </c>
      <c r="AB3430" t="s">
        <v>19292</v>
      </c>
      <c r="AC3430" t="s">
        <v>4575</v>
      </c>
      <c r="AD3430" t="s">
        <v>19291</v>
      </c>
      <c r="AE3430" t="s">
        <v>4655</v>
      </c>
      <c r="AF3430" t="s">
        <v>4563</v>
      </c>
      <c r="AG3430" t="s">
        <v>4564</v>
      </c>
      <c r="AH3430">
        <v>89506</v>
      </c>
      <c r="AI3430" t="s">
        <v>2351</v>
      </c>
      <c r="AJ3430" t="s">
        <v>4655</v>
      </c>
      <c r="AK3430" t="s">
        <v>19293</v>
      </c>
      <c r="AL3430" s="13" t="s">
        <v>1902</v>
      </c>
      <c r="AM3430">
        <v>1</v>
      </c>
      <c r="AN3430" s="15" t="s">
        <v>3715</v>
      </c>
    </row>
    <row r="3431" spans="1:40" x14ac:dyDescent="0.3">
      <c r="A3431" s="10" t="str">
        <f>HYPERLINK("http://www.washoecounty.gov/assessor/cama/?parid=080-332-15&amp;CardNumber=1","080-332-15")</f>
        <v>080-332-15</v>
      </c>
      <c r="B3431" t="s">
        <v>4655</v>
      </c>
      <c r="C3431" t="s">
        <v>19294</v>
      </c>
      <c r="D3431" s="1">
        <v>40338</v>
      </c>
      <c r="E3431" s="2">
        <v>159900</v>
      </c>
      <c r="F3431" t="s">
        <v>4553</v>
      </c>
      <c r="G3431" s="17" t="str">
        <f>HYPERLINK("https://www.washoecounty.gov/assessor/cama/?command=sales&amp;parid=08033215","3889776")</f>
        <v>3889776</v>
      </c>
      <c r="H3431" t="s">
        <v>3714</v>
      </c>
      <c r="I3431">
        <v>1995</v>
      </c>
      <c r="J3431">
        <v>1995</v>
      </c>
      <c r="K3431" t="s">
        <v>4554</v>
      </c>
      <c r="L3431" t="s">
        <v>4555</v>
      </c>
      <c r="M3431" s="2">
        <v>1391</v>
      </c>
      <c r="N3431" t="s">
        <v>4556</v>
      </c>
      <c r="O3431">
        <v>3</v>
      </c>
      <c r="P3431">
        <v>2</v>
      </c>
      <c r="Q3431">
        <v>0</v>
      </c>
      <c r="R3431" t="s">
        <v>4557</v>
      </c>
      <c r="S3431" t="s">
        <v>4558</v>
      </c>
      <c r="T3431" t="s">
        <v>4559</v>
      </c>
      <c r="U3431" t="s">
        <v>4560</v>
      </c>
      <c r="V3431" s="2">
        <v>744</v>
      </c>
      <c r="W3431" t="s">
        <v>4655</v>
      </c>
      <c r="X3431" s="2">
        <v>0</v>
      </c>
      <c r="Y3431">
        <v>20</v>
      </c>
      <c r="Z3431" t="s">
        <v>3884</v>
      </c>
      <c r="AA3431" s="3">
        <v>1.04898989200592</v>
      </c>
      <c r="AB3431" t="s">
        <v>19295</v>
      </c>
      <c r="AC3431" t="s">
        <v>4562</v>
      </c>
      <c r="AD3431" t="s">
        <v>19296</v>
      </c>
      <c r="AE3431" t="s">
        <v>4655</v>
      </c>
      <c r="AF3431" t="s">
        <v>4563</v>
      </c>
      <c r="AG3431" t="s">
        <v>4564</v>
      </c>
      <c r="AH3431">
        <v>89506</v>
      </c>
      <c r="AI3431" t="s">
        <v>4903</v>
      </c>
      <c r="AJ3431" t="s">
        <v>4655</v>
      </c>
      <c r="AK3431" t="s">
        <v>19297</v>
      </c>
      <c r="AL3431" s="13" t="s">
        <v>1902</v>
      </c>
      <c r="AM3431">
        <v>1</v>
      </c>
      <c r="AN3431" s="15" t="s">
        <v>3715</v>
      </c>
    </row>
    <row r="3432" spans="1:40" x14ac:dyDescent="0.3">
      <c r="A3432" s="10" t="str">
        <f>HYPERLINK("http://www.washoecounty.gov/assessor/cama/?parid=080-341-02&amp;CardNumber=1","080-341-02")</f>
        <v>080-341-02</v>
      </c>
      <c r="B3432" t="s">
        <v>4655</v>
      </c>
      <c r="C3432" t="s">
        <v>19298</v>
      </c>
      <c r="D3432" s="1">
        <v>40431</v>
      </c>
      <c r="E3432" s="2">
        <v>104000</v>
      </c>
      <c r="F3432" t="s">
        <v>4567</v>
      </c>
      <c r="G3432" s="17" t="str">
        <f>HYPERLINK("https://www.washoecounty.gov/assessor/cama/?command=sales&amp;parid=08034102","3921070")</f>
        <v>3921070</v>
      </c>
      <c r="H3432" t="s">
        <v>3716</v>
      </c>
      <c r="I3432">
        <v>1973</v>
      </c>
      <c r="J3432">
        <v>1973</v>
      </c>
      <c r="K3432" t="s">
        <v>4554</v>
      </c>
      <c r="L3432" t="s">
        <v>4555</v>
      </c>
      <c r="M3432" s="2">
        <v>960</v>
      </c>
      <c r="N3432" t="s">
        <v>4556</v>
      </c>
      <c r="O3432">
        <v>3</v>
      </c>
      <c r="P3432">
        <v>1</v>
      </c>
      <c r="Q3432">
        <v>1</v>
      </c>
      <c r="R3432" t="s">
        <v>4557</v>
      </c>
      <c r="S3432" t="s">
        <v>4135</v>
      </c>
      <c r="T3432" t="s">
        <v>4559</v>
      </c>
      <c r="U3432" t="s">
        <v>162</v>
      </c>
      <c r="V3432" s="2">
        <v>1200</v>
      </c>
      <c r="W3432" t="s">
        <v>4655</v>
      </c>
      <c r="X3432" s="2">
        <v>0</v>
      </c>
      <c r="Y3432">
        <v>20</v>
      </c>
      <c r="Z3432" t="s">
        <v>3884</v>
      </c>
      <c r="AA3432" s="3">
        <v>1.04898989200592</v>
      </c>
      <c r="AB3432" t="s">
        <v>19299</v>
      </c>
      <c r="AC3432" t="s">
        <v>4562</v>
      </c>
      <c r="AD3432" t="s">
        <v>19298</v>
      </c>
      <c r="AE3432" t="s">
        <v>4655</v>
      </c>
      <c r="AF3432" t="s">
        <v>4563</v>
      </c>
      <c r="AG3432" t="s">
        <v>4564</v>
      </c>
      <c r="AH3432">
        <v>89506</v>
      </c>
      <c r="AI3432" t="s">
        <v>19300</v>
      </c>
      <c r="AJ3432" t="s">
        <v>4655</v>
      </c>
      <c r="AK3432" t="s">
        <v>19301</v>
      </c>
      <c r="AL3432" s="13" t="s">
        <v>1902</v>
      </c>
      <c r="AM3432">
        <v>1</v>
      </c>
      <c r="AN3432" s="15" t="s">
        <v>3715</v>
      </c>
    </row>
    <row r="3433" spans="1:40" x14ac:dyDescent="0.3">
      <c r="A3433" s="10" t="str">
        <f>HYPERLINK("http://www.washoecounty.gov/assessor/cama/?parid=080-341-06&amp;CardNumber=1","080-341-06")</f>
        <v>080-341-06</v>
      </c>
      <c r="B3433" t="s">
        <v>4655</v>
      </c>
      <c r="C3433" t="s">
        <v>19302</v>
      </c>
      <c r="D3433" s="1">
        <v>40197</v>
      </c>
      <c r="E3433" s="2">
        <v>147000</v>
      </c>
      <c r="F3433" t="s">
        <v>4553</v>
      </c>
      <c r="G3433" s="17" t="str">
        <f>HYPERLINK("https://www.washoecounty.gov/assessor/cama/?command=sales&amp;parid=08034106","3840672")</f>
        <v>3840672</v>
      </c>
      <c r="H3433" t="s">
        <v>3716</v>
      </c>
      <c r="I3433">
        <v>1973</v>
      </c>
      <c r="J3433">
        <v>1980</v>
      </c>
      <c r="K3433" t="s">
        <v>4554</v>
      </c>
      <c r="L3433" t="s">
        <v>4555</v>
      </c>
      <c r="M3433" s="2">
        <v>1280</v>
      </c>
      <c r="N3433" t="s">
        <v>4556</v>
      </c>
      <c r="O3433">
        <v>3</v>
      </c>
      <c r="P3433">
        <v>2</v>
      </c>
      <c r="Q3433">
        <v>0</v>
      </c>
      <c r="R3433" t="s">
        <v>5281</v>
      </c>
      <c r="S3433" t="s">
        <v>4135</v>
      </c>
      <c r="T3433" t="s">
        <v>4559</v>
      </c>
      <c r="U3433" t="s">
        <v>4655</v>
      </c>
      <c r="V3433" s="2">
        <v>0</v>
      </c>
      <c r="W3433" t="s">
        <v>4655</v>
      </c>
      <c r="X3433" s="2">
        <v>0</v>
      </c>
      <c r="Y3433">
        <v>20</v>
      </c>
      <c r="Z3433" t="s">
        <v>3884</v>
      </c>
      <c r="AA3433" s="3">
        <v>1.04898989200592</v>
      </c>
      <c r="AB3433" t="s">
        <v>19303</v>
      </c>
      <c r="AC3433" t="s">
        <v>4562</v>
      </c>
      <c r="AD3433" t="s">
        <v>19302</v>
      </c>
      <c r="AE3433" t="s">
        <v>4655</v>
      </c>
      <c r="AF3433" t="s">
        <v>4563</v>
      </c>
      <c r="AG3433" t="s">
        <v>4564</v>
      </c>
      <c r="AH3433">
        <v>89506</v>
      </c>
      <c r="AI3433" t="s">
        <v>4592</v>
      </c>
      <c r="AJ3433" t="s">
        <v>4655</v>
      </c>
      <c r="AK3433" t="s">
        <v>19304</v>
      </c>
      <c r="AL3433" s="13" t="s">
        <v>1902</v>
      </c>
      <c r="AM3433" s="14">
        <v>1</v>
      </c>
      <c r="AN3433" s="15" t="s">
        <v>3715</v>
      </c>
    </row>
    <row r="3434" spans="1:40" x14ac:dyDescent="0.3">
      <c r="A3434" s="10" t="str">
        <f>HYPERLINK("http://www.washoecounty.gov/assessor/cama/?parid=080-341-08&amp;CardNumber=1","080-341-08")</f>
        <v>080-341-08</v>
      </c>
      <c r="B3434" t="s">
        <v>4655</v>
      </c>
      <c r="C3434" t="s">
        <v>19305</v>
      </c>
      <c r="D3434" s="1">
        <v>40357</v>
      </c>
      <c r="E3434" s="2">
        <v>115000</v>
      </c>
      <c r="F3434" t="s">
        <v>4567</v>
      </c>
      <c r="G3434" s="17" t="str">
        <f>HYPERLINK("https://www.washoecounty.gov/assessor/cama/?command=sales&amp;parid=08034108","3896081")</f>
        <v>3896081</v>
      </c>
      <c r="H3434" t="s">
        <v>3716</v>
      </c>
      <c r="I3434">
        <v>1978</v>
      </c>
      <c r="J3434">
        <v>1978</v>
      </c>
      <c r="K3434" t="s">
        <v>4554</v>
      </c>
      <c r="L3434" t="s">
        <v>4555</v>
      </c>
      <c r="M3434" s="2">
        <v>1056</v>
      </c>
      <c r="N3434" t="s">
        <v>4556</v>
      </c>
      <c r="O3434">
        <v>3</v>
      </c>
      <c r="P3434">
        <v>2</v>
      </c>
      <c r="Q3434">
        <v>0</v>
      </c>
      <c r="R3434" t="s">
        <v>4557</v>
      </c>
      <c r="S3434" t="s">
        <v>4558</v>
      </c>
      <c r="T3434" t="s">
        <v>4559</v>
      </c>
      <c r="U3434" t="s">
        <v>4560</v>
      </c>
      <c r="V3434" s="2">
        <v>336</v>
      </c>
      <c r="W3434" t="s">
        <v>4655</v>
      </c>
      <c r="X3434" s="2">
        <v>0</v>
      </c>
      <c r="Y3434">
        <v>20</v>
      </c>
      <c r="Z3434" t="s">
        <v>3884</v>
      </c>
      <c r="AA3434" s="3">
        <v>1.04898989200592</v>
      </c>
      <c r="AB3434" t="s">
        <v>19306</v>
      </c>
      <c r="AC3434" t="s">
        <v>4575</v>
      </c>
      <c r="AD3434" t="s">
        <v>19307</v>
      </c>
      <c r="AE3434" t="s">
        <v>19305</v>
      </c>
      <c r="AF3434" t="s">
        <v>4563</v>
      </c>
      <c r="AG3434" t="s">
        <v>4564</v>
      </c>
      <c r="AH3434">
        <v>89506</v>
      </c>
      <c r="AI3434" t="s">
        <v>19308</v>
      </c>
      <c r="AJ3434" t="s">
        <v>4655</v>
      </c>
      <c r="AK3434" t="s">
        <v>19309</v>
      </c>
      <c r="AL3434" s="13" t="s">
        <v>1902</v>
      </c>
      <c r="AM3434">
        <v>1</v>
      </c>
      <c r="AN3434" s="15" t="s">
        <v>3715</v>
      </c>
    </row>
    <row r="3435" spans="1:40" x14ac:dyDescent="0.3">
      <c r="A3435" s="10" t="str">
        <f>HYPERLINK("http://www.washoecounty.gov/assessor/cama/?parid=080-343-02&amp;CardNumber=1","080-343-02")</f>
        <v>080-343-02</v>
      </c>
      <c r="B3435" t="s">
        <v>4655</v>
      </c>
      <c r="C3435" t="s">
        <v>19310</v>
      </c>
      <c r="D3435" s="1">
        <v>40211</v>
      </c>
      <c r="E3435" s="2">
        <v>90000</v>
      </c>
      <c r="F3435" t="s">
        <v>4553</v>
      </c>
      <c r="G3435" s="17" t="str">
        <f>HYPERLINK("https://www.washoecounty.gov/assessor/cama/?command=sales&amp;parid=08034302","3845428")</f>
        <v>3845428</v>
      </c>
      <c r="H3435" t="s">
        <v>3716</v>
      </c>
      <c r="I3435">
        <v>1973</v>
      </c>
      <c r="J3435">
        <v>1973</v>
      </c>
      <c r="K3435" t="s">
        <v>4554</v>
      </c>
      <c r="L3435" t="s">
        <v>4555</v>
      </c>
      <c r="M3435" s="2">
        <v>1152</v>
      </c>
      <c r="N3435" t="s">
        <v>4556</v>
      </c>
      <c r="O3435">
        <v>4</v>
      </c>
      <c r="P3435">
        <v>2</v>
      </c>
      <c r="Q3435">
        <v>0</v>
      </c>
      <c r="R3435" t="s">
        <v>4557</v>
      </c>
      <c r="S3435" t="s">
        <v>4135</v>
      </c>
      <c r="T3435" t="s">
        <v>4559</v>
      </c>
      <c r="U3435" t="s">
        <v>4560</v>
      </c>
      <c r="V3435" s="2">
        <v>315</v>
      </c>
      <c r="W3435" t="s">
        <v>4655</v>
      </c>
      <c r="X3435" s="2">
        <v>0</v>
      </c>
      <c r="Y3435">
        <v>20</v>
      </c>
      <c r="Z3435" t="s">
        <v>3884</v>
      </c>
      <c r="AA3435" s="3">
        <v>1.04898989200592</v>
      </c>
      <c r="AB3435" t="s">
        <v>19311</v>
      </c>
      <c r="AC3435" t="s">
        <v>4575</v>
      </c>
      <c r="AD3435" t="s">
        <v>19312</v>
      </c>
      <c r="AE3435" t="s">
        <v>4655</v>
      </c>
      <c r="AF3435" t="s">
        <v>4563</v>
      </c>
      <c r="AG3435" t="s">
        <v>4564</v>
      </c>
      <c r="AH3435">
        <v>89506</v>
      </c>
      <c r="AI3435" t="s">
        <v>4848</v>
      </c>
      <c r="AJ3435" t="s">
        <v>4655</v>
      </c>
      <c r="AK3435" t="s">
        <v>19313</v>
      </c>
      <c r="AL3435" s="13" t="s">
        <v>1902</v>
      </c>
      <c r="AM3435" s="14">
        <v>1</v>
      </c>
      <c r="AN3435" s="15" t="s">
        <v>3715</v>
      </c>
    </row>
    <row r="3436" spans="1:40" x14ac:dyDescent="0.3">
      <c r="A3436" s="10" t="str">
        <f>HYPERLINK("http://www.washoecounty.gov/assessor/cama/?parid=080-351-04&amp;CardNumber=1","080-351-04")</f>
        <v>080-351-04</v>
      </c>
      <c r="B3436" t="s">
        <v>4655</v>
      </c>
      <c r="C3436" t="s">
        <v>19314</v>
      </c>
      <c r="D3436" s="1">
        <v>40413</v>
      </c>
      <c r="E3436" s="2">
        <v>175000</v>
      </c>
      <c r="F3436" t="s">
        <v>4553</v>
      </c>
      <c r="G3436" s="17" t="str">
        <f>HYPERLINK("https://www.washoecounty.gov/assessor/cama/?command=sales&amp;parid=08035104","3914442")</f>
        <v>3914442</v>
      </c>
      <c r="H3436" t="s">
        <v>19315</v>
      </c>
      <c r="I3436">
        <v>1980</v>
      </c>
      <c r="J3436">
        <v>1980</v>
      </c>
      <c r="K3436" t="s">
        <v>1243</v>
      </c>
      <c r="L3436" t="s">
        <v>4655</v>
      </c>
      <c r="M3436" s="2">
        <v>0</v>
      </c>
      <c r="N3436" t="s">
        <v>4655</v>
      </c>
      <c r="O3436">
        <v>0</v>
      </c>
      <c r="P3436">
        <v>0</v>
      </c>
      <c r="Q3436">
        <v>0</v>
      </c>
      <c r="R3436" t="s">
        <v>4655</v>
      </c>
      <c r="S3436" t="s">
        <v>4655</v>
      </c>
      <c r="T3436" t="s">
        <v>4655</v>
      </c>
      <c r="U3436" t="s">
        <v>4655</v>
      </c>
      <c r="V3436" s="2">
        <v>0</v>
      </c>
      <c r="W3436" t="s">
        <v>4655</v>
      </c>
      <c r="X3436" s="2">
        <v>0</v>
      </c>
      <c r="Y3436">
        <v>18</v>
      </c>
      <c r="Z3436" t="s">
        <v>3884</v>
      </c>
      <c r="AA3436" s="3">
        <v>1.04898989200592</v>
      </c>
      <c r="AB3436" t="s">
        <v>19316</v>
      </c>
      <c r="AC3436" t="s">
        <v>4562</v>
      </c>
      <c r="AD3436" t="s">
        <v>19317</v>
      </c>
      <c r="AE3436" t="s">
        <v>4655</v>
      </c>
      <c r="AF3436" t="s">
        <v>4563</v>
      </c>
      <c r="AG3436" t="s">
        <v>4564</v>
      </c>
      <c r="AH3436">
        <v>89506</v>
      </c>
      <c r="AI3436" t="s">
        <v>4903</v>
      </c>
      <c r="AJ3436" t="s">
        <v>4655</v>
      </c>
      <c r="AK3436" t="s">
        <v>19318</v>
      </c>
      <c r="AL3436" s="13" t="s">
        <v>1902</v>
      </c>
      <c r="AM3436">
        <v>1</v>
      </c>
      <c r="AN3436" s="15" t="s">
        <v>3715</v>
      </c>
    </row>
    <row r="3437" spans="1:40" x14ac:dyDescent="0.3">
      <c r="A3437" s="10" t="str">
        <f>HYPERLINK("http://www.washoecounty.gov/assessor/cama/?parid=080-351-13&amp;CardNumber=1","080-351-13")</f>
        <v>080-351-13</v>
      </c>
      <c r="B3437" t="s">
        <v>4655</v>
      </c>
      <c r="C3437" t="s">
        <v>19319</v>
      </c>
      <c r="D3437" s="1">
        <v>40413</v>
      </c>
      <c r="E3437" s="2">
        <v>175000</v>
      </c>
      <c r="F3437" t="s">
        <v>4553</v>
      </c>
      <c r="G3437" s="17" t="str">
        <f>HYPERLINK("https://www.washoecounty.gov/assessor/cama/?command=sales&amp;parid=08035113","3914442")</f>
        <v>3914442</v>
      </c>
      <c r="H3437" t="s">
        <v>19315</v>
      </c>
      <c r="I3437">
        <v>1961</v>
      </c>
      <c r="J3437">
        <v>1962</v>
      </c>
      <c r="K3437" t="s">
        <v>4554</v>
      </c>
      <c r="L3437" t="s">
        <v>4555</v>
      </c>
      <c r="M3437" s="2">
        <v>2136</v>
      </c>
      <c r="N3437" t="s">
        <v>4556</v>
      </c>
      <c r="O3437">
        <v>4</v>
      </c>
      <c r="P3437">
        <v>2</v>
      </c>
      <c r="Q3437">
        <v>0</v>
      </c>
      <c r="R3437" t="s">
        <v>1186</v>
      </c>
      <c r="S3437" t="s">
        <v>4682</v>
      </c>
      <c r="T3437" t="s">
        <v>4559</v>
      </c>
      <c r="U3437" t="s">
        <v>4560</v>
      </c>
      <c r="V3437" s="2">
        <v>672</v>
      </c>
      <c r="W3437" t="s">
        <v>4655</v>
      </c>
      <c r="X3437" s="2">
        <v>0</v>
      </c>
      <c r="Y3437">
        <v>18</v>
      </c>
      <c r="Z3437" t="s">
        <v>3884</v>
      </c>
      <c r="AA3437" s="3">
        <v>1.04898989200592</v>
      </c>
      <c r="AB3437" t="s">
        <v>19316</v>
      </c>
      <c r="AC3437" t="s">
        <v>4562</v>
      </c>
      <c r="AD3437" t="s">
        <v>19317</v>
      </c>
      <c r="AE3437" t="s">
        <v>4655</v>
      </c>
      <c r="AF3437" t="s">
        <v>4563</v>
      </c>
      <c r="AG3437" t="s">
        <v>4564</v>
      </c>
      <c r="AH3437">
        <v>89506</v>
      </c>
      <c r="AI3437" t="s">
        <v>14284</v>
      </c>
      <c r="AJ3437" t="s">
        <v>4655</v>
      </c>
      <c r="AK3437" t="s">
        <v>19320</v>
      </c>
      <c r="AL3437" s="13" t="s">
        <v>1902</v>
      </c>
      <c r="AM3437">
        <v>1</v>
      </c>
      <c r="AN3437" s="15" t="s">
        <v>3715</v>
      </c>
    </row>
    <row r="3438" spans="1:40" x14ac:dyDescent="0.3">
      <c r="A3438" s="10" t="str">
        <f>HYPERLINK("http://www.washoecounty.gov/assessor/cama/?parid=080-362-04&amp;CardNumber=1","080-362-04")</f>
        <v>080-362-04</v>
      </c>
      <c r="B3438" t="s">
        <v>4655</v>
      </c>
      <c r="C3438" t="s">
        <v>19321</v>
      </c>
      <c r="D3438" s="1">
        <v>40305</v>
      </c>
      <c r="E3438" s="2">
        <v>75000</v>
      </c>
      <c r="F3438" t="s">
        <v>4553</v>
      </c>
      <c r="G3438" s="17" t="str">
        <f>HYPERLINK("https://www.washoecounty.gov/assessor/cama/?command=sales&amp;parid=08036204","3879240")</f>
        <v>3879240</v>
      </c>
      <c r="H3438" t="s">
        <v>3714</v>
      </c>
      <c r="I3438">
        <v>1978</v>
      </c>
      <c r="J3438">
        <v>1978</v>
      </c>
      <c r="K3438" t="s">
        <v>4554</v>
      </c>
      <c r="L3438" t="s">
        <v>4555</v>
      </c>
      <c r="M3438" s="2">
        <v>1038</v>
      </c>
      <c r="N3438" t="s">
        <v>4556</v>
      </c>
      <c r="O3438">
        <v>3</v>
      </c>
      <c r="P3438">
        <v>2</v>
      </c>
      <c r="Q3438">
        <v>0</v>
      </c>
      <c r="R3438" t="s">
        <v>4557</v>
      </c>
      <c r="S3438" t="s">
        <v>4558</v>
      </c>
      <c r="T3438" t="s">
        <v>4559</v>
      </c>
      <c r="U3438" t="s">
        <v>4655</v>
      </c>
      <c r="V3438" s="2">
        <v>0</v>
      </c>
      <c r="W3438" t="s">
        <v>4655</v>
      </c>
      <c r="X3438" s="2">
        <v>0</v>
      </c>
      <c r="Y3438">
        <v>20</v>
      </c>
      <c r="Z3438" t="s">
        <v>3884</v>
      </c>
      <c r="AA3438" s="3">
        <v>1.04898989200592</v>
      </c>
      <c r="AB3438" t="s">
        <v>19322</v>
      </c>
      <c r="AC3438" t="s">
        <v>4562</v>
      </c>
      <c r="AD3438" t="s">
        <v>19321</v>
      </c>
      <c r="AE3438" t="s">
        <v>4655</v>
      </c>
      <c r="AF3438" t="s">
        <v>4563</v>
      </c>
      <c r="AG3438" t="s">
        <v>4564</v>
      </c>
      <c r="AH3438">
        <v>89506</v>
      </c>
      <c r="AI3438" t="s">
        <v>4045</v>
      </c>
      <c r="AJ3438" t="s">
        <v>4655</v>
      </c>
      <c r="AK3438" t="s">
        <v>19323</v>
      </c>
      <c r="AL3438" s="13" t="s">
        <v>1902</v>
      </c>
      <c r="AM3438">
        <v>1</v>
      </c>
      <c r="AN3438" s="15" t="s">
        <v>3715</v>
      </c>
    </row>
    <row r="3439" spans="1:40" x14ac:dyDescent="0.3">
      <c r="A3439" s="10" t="str">
        <f>HYPERLINK("http://www.washoecounty.gov/assessor/cama/?parid=080-362-06&amp;CardNumber=1","080-362-06")</f>
        <v>080-362-06</v>
      </c>
      <c r="B3439" t="s">
        <v>4655</v>
      </c>
      <c r="C3439" t="s">
        <v>19324</v>
      </c>
      <c r="D3439" s="1">
        <v>40346</v>
      </c>
      <c r="E3439" s="2">
        <v>163000</v>
      </c>
      <c r="F3439" t="s">
        <v>4567</v>
      </c>
      <c r="G3439" s="17" t="str">
        <f>HYPERLINK("https://www.washoecounty.gov/assessor/cama/?command=sales&amp;parid=08036206","3893133")</f>
        <v>3893133</v>
      </c>
      <c r="H3439" t="s">
        <v>3714</v>
      </c>
      <c r="I3439">
        <v>1984</v>
      </c>
      <c r="J3439">
        <v>1984</v>
      </c>
      <c r="K3439" t="s">
        <v>4554</v>
      </c>
      <c r="L3439" t="s">
        <v>4555</v>
      </c>
      <c r="M3439" s="2">
        <v>1466</v>
      </c>
      <c r="N3439" t="s">
        <v>4556</v>
      </c>
      <c r="O3439">
        <v>3</v>
      </c>
      <c r="P3439">
        <v>2</v>
      </c>
      <c r="Q3439">
        <v>0</v>
      </c>
      <c r="R3439" t="s">
        <v>4557</v>
      </c>
      <c r="S3439" t="s">
        <v>4558</v>
      </c>
      <c r="T3439" t="s">
        <v>4559</v>
      </c>
      <c r="U3439" t="s">
        <v>4560</v>
      </c>
      <c r="V3439" s="2">
        <v>484</v>
      </c>
      <c r="W3439" t="s">
        <v>4655</v>
      </c>
      <c r="X3439" s="2">
        <v>0</v>
      </c>
      <c r="Y3439">
        <v>20</v>
      </c>
      <c r="Z3439" t="s">
        <v>3884</v>
      </c>
      <c r="AA3439" s="3">
        <v>1.04898989200592</v>
      </c>
      <c r="AB3439" t="s">
        <v>19325</v>
      </c>
      <c r="AC3439" t="s">
        <v>4562</v>
      </c>
      <c r="AD3439" t="s">
        <v>19324</v>
      </c>
      <c r="AE3439" t="s">
        <v>4655</v>
      </c>
      <c r="AF3439" t="s">
        <v>4563</v>
      </c>
      <c r="AG3439" t="s">
        <v>4564</v>
      </c>
      <c r="AH3439">
        <v>89506</v>
      </c>
      <c r="AI3439" t="s">
        <v>19326</v>
      </c>
      <c r="AJ3439" t="s">
        <v>4655</v>
      </c>
      <c r="AK3439" t="s">
        <v>19327</v>
      </c>
      <c r="AL3439" s="13" t="s">
        <v>1902</v>
      </c>
      <c r="AM3439">
        <v>1</v>
      </c>
      <c r="AN3439" s="15" t="s">
        <v>3715</v>
      </c>
    </row>
    <row r="3440" spans="1:40" x14ac:dyDescent="0.3">
      <c r="A3440" s="10" t="str">
        <f>HYPERLINK("http://www.washoecounty.gov/assessor/cama/?parid=080-362-13&amp;CardNumber=1","080-362-13")</f>
        <v>080-362-13</v>
      </c>
      <c r="B3440" t="s">
        <v>4655</v>
      </c>
      <c r="C3440" t="s">
        <v>19328</v>
      </c>
      <c r="D3440" s="1">
        <v>40291</v>
      </c>
      <c r="E3440" s="2">
        <v>132500</v>
      </c>
      <c r="F3440" t="s">
        <v>4553</v>
      </c>
      <c r="G3440" s="17" t="str">
        <f>HYPERLINK("https://www.washoecounty.gov/assessor/cama/?command=sales&amp;parid=08036213","3874183")</f>
        <v>3874183</v>
      </c>
      <c r="H3440" t="s">
        <v>3714</v>
      </c>
      <c r="I3440">
        <v>1978</v>
      </c>
      <c r="J3440">
        <v>1978</v>
      </c>
      <c r="K3440" t="s">
        <v>4554</v>
      </c>
      <c r="L3440" t="s">
        <v>4555</v>
      </c>
      <c r="M3440" s="2">
        <v>1232</v>
      </c>
      <c r="N3440" t="s">
        <v>4556</v>
      </c>
      <c r="O3440">
        <v>3</v>
      </c>
      <c r="P3440">
        <v>2</v>
      </c>
      <c r="Q3440">
        <v>0</v>
      </c>
      <c r="R3440" t="s">
        <v>5281</v>
      </c>
      <c r="S3440" t="s">
        <v>4558</v>
      </c>
      <c r="T3440" t="s">
        <v>4559</v>
      </c>
      <c r="U3440" t="s">
        <v>4560</v>
      </c>
      <c r="V3440" s="2">
        <v>560</v>
      </c>
      <c r="W3440" t="s">
        <v>4655</v>
      </c>
      <c r="X3440" s="2">
        <v>0</v>
      </c>
      <c r="Y3440">
        <v>20</v>
      </c>
      <c r="Z3440" t="s">
        <v>3884</v>
      </c>
      <c r="AA3440" s="3">
        <v>1.04898989200592</v>
      </c>
      <c r="AB3440" t="s">
        <v>19329</v>
      </c>
      <c r="AC3440" t="s">
        <v>4562</v>
      </c>
      <c r="AD3440" t="s">
        <v>19328</v>
      </c>
      <c r="AE3440" t="s">
        <v>4655</v>
      </c>
      <c r="AF3440" t="s">
        <v>4563</v>
      </c>
      <c r="AG3440" t="s">
        <v>4564</v>
      </c>
      <c r="AH3440">
        <v>89506</v>
      </c>
      <c r="AI3440" t="s">
        <v>359</v>
      </c>
      <c r="AJ3440" t="s">
        <v>4655</v>
      </c>
      <c r="AK3440" t="s">
        <v>19330</v>
      </c>
      <c r="AL3440" s="13" t="s">
        <v>1902</v>
      </c>
      <c r="AM3440">
        <v>1</v>
      </c>
      <c r="AN3440" s="15" t="s">
        <v>3715</v>
      </c>
    </row>
    <row r="3441" spans="1:40" x14ac:dyDescent="0.3">
      <c r="A3441" s="10" t="str">
        <f>HYPERLINK("http://www.washoecounty.gov/assessor/cama/?parid=080-372-02&amp;CardNumber=1","080-372-02")</f>
        <v>080-372-02</v>
      </c>
      <c r="B3441" t="s">
        <v>4655</v>
      </c>
      <c r="C3441" t="s">
        <v>19331</v>
      </c>
      <c r="D3441" s="1">
        <v>40276</v>
      </c>
      <c r="E3441" s="2">
        <v>110000</v>
      </c>
      <c r="F3441" t="s">
        <v>4553</v>
      </c>
      <c r="G3441" s="17" t="str">
        <f>HYPERLINK("https://www.washoecounty.gov/assessor/cama/?command=sales&amp;parid=08037202","3869024")</f>
        <v>3869024</v>
      </c>
      <c r="H3441" t="s">
        <v>3716</v>
      </c>
      <c r="I3441">
        <v>1986</v>
      </c>
      <c r="J3441">
        <v>1986</v>
      </c>
      <c r="K3441" t="s">
        <v>4554</v>
      </c>
      <c r="L3441" t="s">
        <v>4555</v>
      </c>
      <c r="M3441" s="2">
        <v>1167</v>
      </c>
      <c r="N3441" t="s">
        <v>4556</v>
      </c>
      <c r="O3441">
        <v>3</v>
      </c>
      <c r="P3441">
        <v>2</v>
      </c>
      <c r="Q3441">
        <v>0</v>
      </c>
      <c r="R3441" t="s">
        <v>5205</v>
      </c>
      <c r="S3441" t="s">
        <v>4558</v>
      </c>
      <c r="T3441" t="s">
        <v>4559</v>
      </c>
      <c r="U3441" t="s">
        <v>4560</v>
      </c>
      <c r="V3441" s="2">
        <v>550</v>
      </c>
      <c r="W3441" t="s">
        <v>4655</v>
      </c>
      <c r="X3441" s="2">
        <v>0</v>
      </c>
      <c r="Y3441">
        <v>20</v>
      </c>
      <c r="Z3441" t="s">
        <v>3884</v>
      </c>
      <c r="AA3441" s="3">
        <v>1.04898989200592</v>
      </c>
      <c r="AB3441" t="s">
        <v>19332</v>
      </c>
      <c r="AC3441" t="s">
        <v>4562</v>
      </c>
      <c r="AD3441" t="s">
        <v>19333</v>
      </c>
      <c r="AE3441" t="s">
        <v>4655</v>
      </c>
      <c r="AF3441" t="s">
        <v>4563</v>
      </c>
      <c r="AG3441" t="s">
        <v>4564</v>
      </c>
      <c r="AH3441">
        <v>89506</v>
      </c>
      <c r="AI3441" t="s">
        <v>4045</v>
      </c>
      <c r="AJ3441" t="s">
        <v>4655</v>
      </c>
      <c r="AK3441" t="s">
        <v>19334</v>
      </c>
      <c r="AL3441" s="13" t="s">
        <v>1902</v>
      </c>
      <c r="AM3441">
        <v>1</v>
      </c>
      <c r="AN3441" s="15" t="s">
        <v>3715</v>
      </c>
    </row>
    <row r="3442" spans="1:40" x14ac:dyDescent="0.3">
      <c r="A3442" s="10" t="str">
        <f>HYPERLINK("http://www.washoecounty.gov/assessor/cama/?parid=080-384-06&amp;CardNumber=1","080-384-06")</f>
        <v>080-384-06</v>
      </c>
      <c r="B3442" t="s">
        <v>4655</v>
      </c>
      <c r="C3442" t="s">
        <v>19335</v>
      </c>
      <c r="D3442" s="1">
        <v>40326</v>
      </c>
      <c r="E3442" s="2">
        <v>115000</v>
      </c>
      <c r="F3442" t="s">
        <v>4567</v>
      </c>
      <c r="G3442" s="17" t="str">
        <f>HYPERLINK("https://www.washoecounty.gov/assessor/cama/?command=sales&amp;parid=08038406","3886635")</f>
        <v>3886635</v>
      </c>
      <c r="H3442" t="s">
        <v>19336</v>
      </c>
      <c r="I3442">
        <v>1977</v>
      </c>
      <c r="J3442">
        <v>1977</v>
      </c>
      <c r="K3442" t="s">
        <v>4554</v>
      </c>
      <c r="L3442" t="s">
        <v>4555</v>
      </c>
      <c r="M3442" s="2">
        <v>1176</v>
      </c>
      <c r="N3442" t="s">
        <v>4556</v>
      </c>
      <c r="O3442">
        <v>3</v>
      </c>
      <c r="P3442">
        <v>2</v>
      </c>
      <c r="Q3442">
        <v>0</v>
      </c>
      <c r="R3442" t="s">
        <v>4557</v>
      </c>
      <c r="S3442" t="s">
        <v>3148</v>
      </c>
      <c r="T3442" t="s">
        <v>4559</v>
      </c>
      <c r="U3442" t="s">
        <v>4560</v>
      </c>
      <c r="V3442" s="2">
        <v>480</v>
      </c>
      <c r="W3442" t="s">
        <v>4655</v>
      </c>
      <c r="X3442" s="2">
        <v>0</v>
      </c>
      <c r="Y3442">
        <v>20</v>
      </c>
      <c r="Z3442" t="s">
        <v>3884</v>
      </c>
      <c r="AA3442" s="3">
        <v>1.04898989200592</v>
      </c>
      <c r="AB3442" t="s">
        <v>19337</v>
      </c>
      <c r="AC3442" t="s">
        <v>4562</v>
      </c>
      <c r="AD3442" t="s">
        <v>19335</v>
      </c>
      <c r="AE3442" t="s">
        <v>4655</v>
      </c>
      <c r="AF3442" t="s">
        <v>4563</v>
      </c>
      <c r="AG3442" t="s">
        <v>4564</v>
      </c>
      <c r="AH3442">
        <v>89506</v>
      </c>
      <c r="AI3442" t="s">
        <v>19338</v>
      </c>
      <c r="AJ3442" t="s">
        <v>4655</v>
      </c>
      <c r="AK3442" t="s">
        <v>19339</v>
      </c>
      <c r="AL3442" s="13" t="s">
        <v>1902</v>
      </c>
      <c r="AM3442">
        <v>1</v>
      </c>
      <c r="AN3442" s="15" t="s">
        <v>3715</v>
      </c>
    </row>
    <row r="3443" spans="1:40" x14ac:dyDescent="0.3">
      <c r="A3443" s="10" t="str">
        <f>HYPERLINK("http://www.washoecounty.gov/assessor/cama/?parid=080-384-16&amp;CardNumber=1","080-384-16")</f>
        <v>080-384-16</v>
      </c>
      <c r="B3443" t="s">
        <v>4655</v>
      </c>
      <c r="C3443" t="s">
        <v>19340</v>
      </c>
      <c r="D3443" s="1">
        <v>40374</v>
      </c>
      <c r="E3443" s="2">
        <v>95000</v>
      </c>
      <c r="F3443" t="s">
        <v>4567</v>
      </c>
      <c r="G3443" s="17" t="str">
        <f>HYPERLINK("https://www.washoecounty.gov/assessor/cama/?command=sales&amp;parid=08038416","3901757")</f>
        <v>3901757</v>
      </c>
      <c r="H3443" t="s">
        <v>150</v>
      </c>
      <c r="I3443">
        <v>1986</v>
      </c>
      <c r="J3443">
        <v>1986</v>
      </c>
      <c r="K3443" t="s">
        <v>4554</v>
      </c>
      <c r="L3443" t="s">
        <v>4555</v>
      </c>
      <c r="M3443" s="2">
        <v>1416</v>
      </c>
      <c r="N3443" t="s">
        <v>4556</v>
      </c>
      <c r="O3443">
        <v>3</v>
      </c>
      <c r="P3443">
        <v>2</v>
      </c>
      <c r="Q3443">
        <v>0</v>
      </c>
      <c r="R3443" t="s">
        <v>4557</v>
      </c>
      <c r="S3443" t="s">
        <v>3148</v>
      </c>
      <c r="T3443" t="s">
        <v>4559</v>
      </c>
      <c r="U3443" t="s">
        <v>4560</v>
      </c>
      <c r="V3443" s="2">
        <v>624</v>
      </c>
      <c r="W3443" t="s">
        <v>4655</v>
      </c>
      <c r="X3443" s="2">
        <v>0</v>
      </c>
      <c r="Y3443">
        <v>20</v>
      </c>
      <c r="Z3443" t="s">
        <v>3884</v>
      </c>
      <c r="AA3443" s="3">
        <v>1.04898989200592</v>
      </c>
      <c r="AB3443" t="s">
        <v>6535</v>
      </c>
      <c r="AC3443" t="s">
        <v>4562</v>
      </c>
      <c r="AD3443" t="s">
        <v>6536</v>
      </c>
      <c r="AE3443" t="s">
        <v>4655</v>
      </c>
      <c r="AF3443" t="s">
        <v>4563</v>
      </c>
      <c r="AG3443" t="s">
        <v>4564</v>
      </c>
      <c r="AH3443">
        <v>89506</v>
      </c>
      <c r="AI3443" t="s">
        <v>19341</v>
      </c>
      <c r="AJ3443" t="s">
        <v>4655</v>
      </c>
      <c r="AK3443" t="s">
        <v>19342</v>
      </c>
      <c r="AL3443" s="13" t="s">
        <v>1902</v>
      </c>
      <c r="AM3443" s="14">
        <v>1</v>
      </c>
      <c r="AN3443" s="15" t="s">
        <v>3715</v>
      </c>
    </row>
    <row r="3444" spans="1:40" x14ac:dyDescent="0.3">
      <c r="A3444" s="10" t="str">
        <f>HYPERLINK("http://www.washoecounty.gov/assessor/cama/?parid=080-392-05&amp;CardNumber=1","080-392-05")</f>
        <v>080-392-05</v>
      </c>
      <c r="B3444" t="s">
        <v>4655</v>
      </c>
      <c r="C3444" t="s">
        <v>19343</v>
      </c>
      <c r="D3444" s="1">
        <v>40389</v>
      </c>
      <c r="E3444" s="2">
        <v>154500</v>
      </c>
      <c r="F3444" t="s">
        <v>4553</v>
      </c>
      <c r="G3444" s="17" t="str">
        <f>HYPERLINK("https://www.washoecounty.gov/assessor/cama/?command=sales&amp;parid=08039205","3907286")</f>
        <v>3907286</v>
      </c>
      <c r="H3444" t="s">
        <v>150</v>
      </c>
      <c r="I3444">
        <v>1976</v>
      </c>
      <c r="J3444">
        <v>1976</v>
      </c>
      <c r="K3444" t="s">
        <v>4554</v>
      </c>
      <c r="L3444" t="s">
        <v>4555</v>
      </c>
      <c r="M3444" s="2">
        <v>1079</v>
      </c>
      <c r="N3444" t="s">
        <v>4556</v>
      </c>
      <c r="O3444">
        <v>3</v>
      </c>
      <c r="P3444">
        <v>2</v>
      </c>
      <c r="Q3444">
        <v>0</v>
      </c>
      <c r="R3444" t="s">
        <v>5281</v>
      </c>
      <c r="S3444" t="s">
        <v>4135</v>
      </c>
      <c r="T3444" t="s">
        <v>4559</v>
      </c>
      <c r="U3444" t="s">
        <v>162</v>
      </c>
      <c r="V3444" s="2">
        <v>1680</v>
      </c>
      <c r="W3444" t="s">
        <v>4655</v>
      </c>
      <c r="X3444" s="2">
        <v>0</v>
      </c>
      <c r="Y3444">
        <v>20</v>
      </c>
      <c r="Z3444" t="s">
        <v>3884</v>
      </c>
      <c r="AA3444" s="3">
        <v>1.2350091934204099</v>
      </c>
      <c r="AB3444" t="s">
        <v>19344</v>
      </c>
      <c r="AC3444" t="s">
        <v>4562</v>
      </c>
      <c r="AD3444" t="s">
        <v>19343</v>
      </c>
      <c r="AE3444" t="s">
        <v>4655</v>
      </c>
      <c r="AF3444" t="s">
        <v>3114</v>
      </c>
      <c r="AG3444" t="s">
        <v>4564</v>
      </c>
      <c r="AH3444">
        <v>89506</v>
      </c>
      <c r="AI3444" t="s">
        <v>4903</v>
      </c>
      <c r="AJ3444" t="s">
        <v>4655</v>
      </c>
      <c r="AK3444" t="s">
        <v>19345</v>
      </c>
      <c r="AL3444" s="13" t="s">
        <v>1902</v>
      </c>
      <c r="AM3444" s="14">
        <v>1</v>
      </c>
      <c r="AN3444" s="15" t="s">
        <v>3715</v>
      </c>
    </row>
    <row r="3445" spans="1:40" x14ac:dyDescent="0.3">
      <c r="A3445" s="10" t="str">
        <f>HYPERLINK("http://www.washoecounty.gov/assessor/cama/?parid=080-393-06&amp;CardNumber=1","080-393-06")</f>
        <v>080-393-06</v>
      </c>
      <c r="B3445" t="s">
        <v>4655</v>
      </c>
      <c r="C3445" t="s">
        <v>19346</v>
      </c>
      <c r="D3445" s="1">
        <v>40359</v>
      </c>
      <c r="E3445" s="2">
        <v>285000</v>
      </c>
      <c r="F3445" t="s">
        <v>4567</v>
      </c>
      <c r="G3445" s="17" t="str">
        <f>HYPERLINK("https://www.washoecounty.gov/assessor/cama/?command=sales&amp;parid=08039306","3897505")</f>
        <v>3897505</v>
      </c>
      <c r="H3445" t="s">
        <v>150</v>
      </c>
      <c r="I3445">
        <v>1961</v>
      </c>
      <c r="J3445">
        <v>1986</v>
      </c>
      <c r="K3445" t="s">
        <v>4554</v>
      </c>
      <c r="L3445" t="s">
        <v>2170</v>
      </c>
      <c r="M3445" s="2">
        <v>5300</v>
      </c>
      <c r="N3445" t="s">
        <v>4556</v>
      </c>
      <c r="O3445">
        <v>6</v>
      </c>
      <c r="P3445">
        <v>4</v>
      </c>
      <c r="Q3445">
        <v>0</v>
      </c>
      <c r="R3445" t="s">
        <v>4557</v>
      </c>
      <c r="S3445" t="s">
        <v>364</v>
      </c>
      <c r="T3445" t="s">
        <v>4559</v>
      </c>
      <c r="U3445" t="s">
        <v>4655</v>
      </c>
      <c r="V3445" s="2">
        <v>0</v>
      </c>
      <c r="W3445" t="s">
        <v>4655</v>
      </c>
      <c r="X3445" s="2">
        <v>0</v>
      </c>
      <c r="Y3445">
        <v>20</v>
      </c>
      <c r="Z3445" t="s">
        <v>3884</v>
      </c>
      <c r="AA3445" s="3">
        <v>1.142998218536377</v>
      </c>
      <c r="AB3445" t="s">
        <v>19347</v>
      </c>
      <c r="AC3445" t="s">
        <v>4562</v>
      </c>
      <c r="AD3445" t="s">
        <v>19346</v>
      </c>
      <c r="AE3445" t="s">
        <v>4655</v>
      </c>
      <c r="AF3445" t="s">
        <v>4563</v>
      </c>
      <c r="AG3445" t="s">
        <v>4564</v>
      </c>
      <c r="AH3445">
        <v>89506</v>
      </c>
      <c r="AI3445" t="s">
        <v>19348</v>
      </c>
      <c r="AJ3445" t="s">
        <v>4655</v>
      </c>
      <c r="AK3445" t="s">
        <v>19349</v>
      </c>
      <c r="AL3445" s="13" t="s">
        <v>1902</v>
      </c>
      <c r="AM3445">
        <v>1</v>
      </c>
      <c r="AN3445" s="15" t="s">
        <v>3715</v>
      </c>
    </row>
    <row r="3446" spans="1:40" x14ac:dyDescent="0.3">
      <c r="A3446" s="10" t="str">
        <f>HYPERLINK("http://www.washoecounty.gov/assessor/cama/?parid=080-394-07&amp;CardNumber=1","080-394-07")</f>
        <v>080-394-07</v>
      </c>
      <c r="B3446" t="s">
        <v>4655</v>
      </c>
      <c r="C3446" t="s">
        <v>19350</v>
      </c>
      <c r="D3446" s="1">
        <v>40401</v>
      </c>
      <c r="E3446" s="2">
        <v>140000</v>
      </c>
      <c r="F3446" t="s">
        <v>4567</v>
      </c>
      <c r="G3446" s="17" t="str">
        <f>HYPERLINK("https://www.washoecounty.gov/assessor/cama/?command=sales&amp;parid=08039407","3910602")</f>
        <v>3910602</v>
      </c>
      <c r="H3446" t="s">
        <v>19351</v>
      </c>
      <c r="I3446">
        <v>1978</v>
      </c>
      <c r="J3446">
        <v>1978</v>
      </c>
      <c r="K3446" t="s">
        <v>4554</v>
      </c>
      <c r="L3446" t="s">
        <v>4555</v>
      </c>
      <c r="M3446" s="2">
        <v>1159</v>
      </c>
      <c r="N3446" t="s">
        <v>4556</v>
      </c>
      <c r="O3446">
        <v>3</v>
      </c>
      <c r="P3446">
        <v>2</v>
      </c>
      <c r="Q3446">
        <v>0</v>
      </c>
      <c r="R3446" t="s">
        <v>4557</v>
      </c>
      <c r="S3446" t="s">
        <v>3148</v>
      </c>
      <c r="T3446" t="s">
        <v>4559</v>
      </c>
      <c r="U3446" t="s">
        <v>4560</v>
      </c>
      <c r="V3446" s="2">
        <v>528</v>
      </c>
      <c r="W3446" t="s">
        <v>4655</v>
      </c>
      <c r="X3446" s="2">
        <v>0</v>
      </c>
      <c r="Y3446">
        <v>20</v>
      </c>
      <c r="Z3446" t="s">
        <v>3884</v>
      </c>
      <c r="AA3446" s="3">
        <v>1.04898989200592</v>
      </c>
      <c r="AB3446" t="s">
        <v>19352</v>
      </c>
      <c r="AC3446" t="s">
        <v>4562</v>
      </c>
      <c r="AD3446" t="s">
        <v>19353</v>
      </c>
      <c r="AE3446" t="s">
        <v>4655</v>
      </c>
      <c r="AF3446" t="s">
        <v>5201</v>
      </c>
      <c r="AG3446" t="s">
        <v>4564</v>
      </c>
      <c r="AH3446" t="s">
        <v>5202</v>
      </c>
      <c r="AI3446" t="s">
        <v>4655</v>
      </c>
      <c r="AJ3446" t="s">
        <v>4655</v>
      </c>
      <c r="AK3446" t="s">
        <v>19354</v>
      </c>
      <c r="AL3446" s="13" t="s">
        <v>1902</v>
      </c>
      <c r="AM3446" s="14">
        <v>1</v>
      </c>
      <c r="AN3446" s="15" t="s">
        <v>3715</v>
      </c>
    </row>
    <row r="3447" spans="1:40" x14ac:dyDescent="0.3">
      <c r="A3447" s="10" t="str">
        <f>HYPERLINK("http://www.washoecounty.gov/assessor/cama/?parid=080-394-08&amp;CardNumber=1","080-394-08")</f>
        <v>080-394-08</v>
      </c>
      <c r="B3447" t="s">
        <v>4655</v>
      </c>
      <c r="C3447" t="s">
        <v>19355</v>
      </c>
      <c r="D3447" s="1">
        <v>40420</v>
      </c>
      <c r="E3447" s="2">
        <v>185000</v>
      </c>
      <c r="F3447" t="s">
        <v>4567</v>
      </c>
      <c r="G3447" s="17" t="str">
        <f>HYPERLINK("https://www.washoecounty.gov/assessor/cama/?command=sales&amp;parid=08039408","3916999")</f>
        <v>3916999</v>
      </c>
      <c r="H3447" t="s">
        <v>19356</v>
      </c>
      <c r="I3447">
        <v>1977</v>
      </c>
      <c r="J3447">
        <v>1977</v>
      </c>
      <c r="K3447" t="s">
        <v>4554</v>
      </c>
      <c r="L3447" t="s">
        <v>4555</v>
      </c>
      <c r="M3447" s="2">
        <v>1769</v>
      </c>
      <c r="N3447" t="s">
        <v>4556</v>
      </c>
      <c r="O3447">
        <v>4</v>
      </c>
      <c r="P3447">
        <v>2</v>
      </c>
      <c r="Q3447">
        <v>0</v>
      </c>
      <c r="R3447" t="s">
        <v>4557</v>
      </c>
      <c r="S3447" t="s">
        <v>3148</v>
      </c>
      <c r="T3447" t="s">
        <v>4559</v>
      </c>
      <c r="U3447" t="s">
        <v>4560</v>
      </c>
      <c r="V3447" s="2">
        <v>516</v>
      </c>
      <c r="W3447" t="s">
        <v>4655</v>
      </c>
      <c r="X3447" s="2">
        <v>0</v>
      </c>
      <c r="Y3447">
        <v>20</v>
      </c>
      <c r="Z3447" t="s">
        <v>3884</v>
      </c>
      <c r="AA3447" s="3">
        <v>1.04898989200592</v>
      </c>
      <c r="AB3447" t="s">
        <v>19357</v>
      </c>
      <c r="AC3447" t="s">
        <v>4575</v>
      </c>
      <c r="AD3447" t="s">
        <v>19358</v>
      </c>
      <c r="AE3447" t="s">
        <v>19355</v>
      </c>
      <c r="AF3447" t="s">
        <v>4563</v>
      </c>
      <c r="AG3447" t="s">
        <v>4564</v>
      </c>
      <c r="AH3447">
        <v>89506</v>
      </c>
      <c r="AI3447" t="s">
        <v>19359</v>
      </c>
      <c r="AJ3447" t="s">
        <v>4655</v>
      </c>
      <c r="AK3447" t="s">
        <v>19360</v>
      </c>
      <c r="AL3447" s="13" t="s">
        <v>1902</v>
      </c>
      <c r="AM3447">
        <v>1</v>
      </c>
      <c r="AN3447" s="15" t="s">
        <v>3715</v>
      </c>
    </row>
    <row r="3448" spans="1:40" x14ac:dyDescent="0.3">
      <c r="A3448" s="10" t="str">
        <f>HYPERLINK("http://www.washoecounty.gov/assessor/cama/?parid=080-394-11&amp;CardNumber=1","080-394-11")</f>
        <v>080-394-11</v>
      </c>
      <c r="B3448" t="s">
        <v>4655</v>
      </c>
      <c r="C3448" t="s">
        <v>19361</v>
      </c>
      <c r="D3448" s="1">
        <v>40261</v>
      </c>
      <c r="E3448" s="2">
        <v>134900</v>
      </c>
      <c r="F3448" t="s">
        <v>4553</v>
      </c>
      <c r="G3448" s="17" t="str">
        <f>HYPERLINK("https://www.washoecounty.gov/assessor/cama/?command=sales&amp;parid=08039411","3863727")</f>
        <v>3863727</v>
      </c>
      <c r="H3448" t="s">
        <v>150</v>
      </c>
      <c r="I3448">
        <v>1986</v>
      </c>
      <c r="J3448">
        <v>1986</v>
      </c>
      <c r="K3448" t="s">
        <v>4554</v>
      </c>
      <c r="L3448" t="s">
        <v>4555</v>
      </c>
      <c r="M3448" s="2">
        <v>1383</v>
      </c>
      <c r="N3448" t="s">
        <v>4556</v>
      </c>
      <c r="O3448">
        <v>3</v>
      </c>
      <c r="P3448">
        <v>2</v>
      </c>
      <c r="Q3448">
        <v>0</v>
      </c>
      <c r="R3448" t="s">
        <v>4557</v>
      </c>
      <c r="S3448" t="s">
        <v>4558</v>
      </c>
      <c r="T3448" t="s">
        <v>4559</v>
      </c>
      <c r="U3448" t="s">
        <v>4560</v>
      </c>
      <c r="V3448" s="2">
        <v>1200</v>
      </c>
      <c r="W3448" t="s">
        <v>4655</v>
      </c>
      <c r="X3448" s="2">
        <v>0</v>
      </c>
      <c r="Y3448">
        <v>20</v>
      </c>
      <c r="Z3448" t="s">
        <v>3884</v>
      </c>
      <c r="AA3448" s="3">
        <v>1.04898989200592</v>
      </c>
      <c r="AB3448" t="s">
        <v>19362</v>
      </c>
      <c r="AC3448" t="s">
        <v>4562</v>
      </c>
      <c r="AD3448" t="s">
        <v>19363</v>
      </c>
      <c r="AE3448" t="s">
        <v>4655</v>
      </c>
      <c r="AF3448" t="s">
        <v>4563</v>
      </c>
      <c r="AG3448" t="s">
        <v>4564</v>
      </c>
      <c r="AH3448">
        <v>89506</v>
      </c>
      <c r="AI3448" t="s">
        <v>15288</v>
      </c>
      <c r="AJ3448" t="s">
        <v>4655</v>
      </c>
      <c r="AK3448" t="s">
        <v>19364</v>
      </c>
      <c r="AL3448" s="13" t="s">
        <v>1902</v>
      </c>
      <c r="AM3448">
        <v>1</v>
      </c>
      <c r="AN3448" s="15" t="s">
        <v>3715</v>
      </c>
    </row>
    <row r="3449" spans="1:40" x14ac:dyDescent="0.3">
      <c r="A3449" s="10" t="str">
        <f>HYPERLINK("http://www.washoecounty.gov/assessor/cama/?parid=080-394-23&amp;CardNumber=1","080-394-23")</f>
        <v>080-394-23</v>
      </c>
      <c r="B3449" t="s">
        <v>4655</v>
      </c>
      <c r="C3449" t="s">
        <v>19365</v>
      </c>
      <c r="D3449" s="1">
        <v>40477</v>
      </c>
      <c r="E3449" s="2">
        <v>115000</v>
      </c>
      <c r="F3449" t="s">
        <v>4553</v>
      </c>
      <c r="G3449" s="17" t="str">
        <f>HYPERLINK("https://www.washoecounty.gov/assessor/cama/?command=sales&amp;parid=08039423","3936361")</f>
        <v>3936361</v>
      </c>
      <c r="H3449" t="s">
        <v>150</v>
      </c>
      <c r="I3449">
        <v>1977</v>
      </c>
      <c r="J3449">
        <v>1977</v>
      </c>
      <c r="K3449" t="s">
        <v>4554</v>
      </c>
      <c r="L3449" t="s">
        <v>4555</v>
      </c>
      <c r="M3449" s="2">
        <v>1120</v>
      </c>
      <c r="N3449" t="s">
        <v>4556</v>
      </c>
      <c r="O3449">
        <v>3</v>
      </c>
      <c r="P3449">
        <v>2</v>
      </c>
      <c r="Q3449">
        <v>0</v>
      </c>
      <c r="R3449" t="s">
        <v>4557</v>
      </c>
      <c r="S3449" t="s">
        <v>3148</v>
      </c>
      <c r="T3449" t="s">
        <v>4559</v>
      </c>
      <c r="U3449" t="s">
        <v>4560</v>
      </c>
      <c r="V3449" s="2">
        <v>480</v>
      </c>
      <c r="W3449" t="s">
        <v>4655</v>
      </c>
      <c r="X3449" s="2">
        <v>0</v>
      </c>
      <c r="Y3449">
        <v>20</v>
      </c>
      <c r="Z3449" t="s">
        <v>3884</v>
      </c>
      <c r="AA3449" s="3">
        <v>1.06499075889587</v>
      </c>
      <c r="AB3449" t="s">
        <v>19366</v>
      </c>
      <c r="AC3449" t="s">
        <v>4575</v>
      </c>
      <c r="AD3449" t="s">
        <v>19367</v>
      </c>
      <c r="AE3449" t="s">
        <v>4655</v>
      </c>
      <c r="AF3449" t="s">
        <v>4563</v>
      </c>
      <c r="AG3449" t="s">
        <v>4564</v>
      </c>
      <c r="AH3449">
        <v>89506</v>
      </c>
      <c r="AI3449" t="s">
        <v>4045</v>
      </c>
      <c r="AJ3449" t="s">
        <v>4655</v>
      </c>
      <c r="AK3449" t="s">
        <v>19368</v>
      </c>
      <c r="AL3449" s="13" t="s">
        <v>1902</v>
      </c>
      <c r="AM3449">
        <v>1</v>
      </c>
      <c r="AN3449" s="15" t="s">
        <v>3715</v>
      </c>
    </row>
    <row r="3450" spans="1:40" x14ac:dyDescent="0.3">
      <c r="A3450" s="10" t="str">
        <f>HYPERLINK("http://www.washoecounty.gov/assessor/cama/?parid=080-395-19&amp;CardNumber=1","080-395-19")</f>
        <v>080-395-19</v>
      </c>
      <c r="B3450" t="s">
        <v>4655</v>
      </c>
      <c r="C3450" t="s">
        <v>19369</v>
      </c>
      <c r="D3450" s="1">
        <v>40317</v>
      </c>
      <c r="E3450" s="2">
        <v>95000</v>
      </c>
      <c r="F3450" t="s">
        <v>4567</v>
      </c>
      <c r="G3450" s="17" t="str">
        <f>HYPERLINK("https://www.washoecounty.gov/assessor/cama/?command=sales&amp;parid=08039519","3883200")</f>
        <v>3883200</v>
      </c>
      <c r="H3450" t="s">
        <v>150</v>
      </c>
      <c r="I3450">
        <v>1978</v>
      </c>
      <c r="J3450">
        <v>1978</v>
      </c>
      <c r="K3450" t="s">
        <v>4554</v>
      </c>
      <c r="L3450" t="s">
        <v>4555</v>
      </c>
      <c r="M3450" s="2">
        <v>1175</v>
      </c>
      <c r="N3450" t="s">
        <v>4556</v>
      </c>
      <c r="O3450">
        <v>3</v>
      </c>
      <c r="P3450">
        <v>2</v>
      </c>
      <c r="Q3450">
        <v>0</v>
      </c>
      <c r="R3450" t="s">
        <v>4557</v>
      </c>
      <c r="S3450" t="s">
        <v>4135</v>
      </c>
      <c r="T3450" t="s">
        <v>4559</v>
      </c>
      <c r="U3450" t="s">
        <v>4560</v>
      </c>
      <c r="V3450" s="2">
        <v>480</v>
      </c>
      <c r="W3450" t="s">
        <v>4655</v>
      </c>
      <c r="X3450" s="2">
        <v>0</v>
      </c>
      <c r="Y3450">
        <v>20</v>
      </c>
      <c r="Z3450" t="s">
        <v>3884</v>
      </c>
      <c r="AA3450" s="3">
        <v>1.0449954271316499</v>
      </c>
      <c r="AB3450" t="s">
        <v>19370</v>
      </c>
      <c r="AC3450" t="s">
        <v>4562</v>
      </c>
      <c r="AD3450" t="s">
        <v>19369</v>
      </c>
      <c r="AE3450" t="s">
        <v>4655</v>
      </c>
      <c r="AF3450" t="s">
        <v>4563</v>
      </c>
      <c r="AG3450" t="s">
        <v>4564</v>
      </c>
      <c r="AH3450">
        <v>89506</v>
      </c>
      <c r="AI3450" t="s">
        <v>19371</v>
      </c>
      <c r="AJ3450" t="s">
        <v>4655</v>
      </c>
      <c r="AK3450" t="s">
        <v>19372</v>
      </c>
      <c r="AL3450" s="13" t="s">
        <v>1902</v>
      </c>
      <c r="AM3450">
        <v>1</v>
      </c>
      <c r="AN3450" s="15" t="s">
        <v>3715</v>
      </c>
    </row>
    <row r="3451" spans="1:40" x14ac:dyDescent="0.3">
      <c r="A3451" s="10" t="str">
        <f>HYPERLINK("http://www.washoecounty.gov/assessor/cama/?parid=080-395-23&amp;CardNumber=1","080-395-23")</f>
        <v>080-395-23</v>
      </c>
      <c r="B3451" t="s">
        <v>4655</v>
      </c>
      <c r="C3451" t="s">
        <v>19373</v>
      </c>
      <c r="D3451" s="1">
        <v>40389</v>
      </c>
      <c r="E3451" s="2">
        <v>180000</v>
      </c>
      <c r="F3451" t="s">
        <v>4567</v>
      </c>
      <c r="G3451" s="17" t="str">
        <f>HYPERLINK("https://www.washoecounty.gov/assessor/cama/?command=sales&amp;parid=08039523","3907229")</f>
        <v>3907229</v>
      </c>
      <c r="H3451" t="s">
        <v>472</v>
      </c>
      <c r="I3451">
        <v>1978</v>
      </c>
      <c r="J3451">
        <v>1980</v>
      </c>
      <c r="K3451" t="s">
        <v>4554</v>
      </c>
      <c r="L3451" t="s">
        <v>4555</v>
      </c>
      <c r="M3451" s="2">
        <v>1377</v>
      </c>
      <c r="N3451" t="s">
        <v>4556</v>
      </c>
      <c r="O3451">
        <v>3</v>
      </c>
      <c r="P3451">
        <v>2</v>
      </c>
      <c r="Q3451">
        <v>0</v>
      </c>
      <c r="R3451" t="s">
        <v>4557</v>
      </c>
      <c r="S3451" t="s">
        <v>4135</v>
      </c>
      <c r="T3451" t="s">
        <v>4559</v>
      </c>
      <c r="U3451" t="s">
        <v>4560</v>
      </c>
      <c r="V3451" s="2">
        <v>420</v>
      </c>
      <c r="W3451" t="s">
        <v>4655</v>
      </c>
      <c r="X3451" s="2">
        <v>0</v>
      </c>
      <c r="Y3451">
        <v>20</v>
      </c>
      <c r="Z3451" t="s">
        <v>3884</v>
      </c>
      <c r="AA3451" s="3">
        <v>1.1219927072525</v>
      </c>
      <c r="AB3451" t="s">
        <v>19374</v>
      </c>
      <c r="AC3451" t="s">
        <v>4562</v>
      </c>
      <c r="AD3451" t="s">
        <v>19373</v>
      </c>
      <c r="AE3451" t="s">
        <v>4655</v>
      </c>
      <c r="AF3451" t="s">
        <v>4563</v>
      </c>
      <c r="AG3451" t="s">
        <v>4564</v>
      </c>
      <c r="AH3451">
        <v>89506</v>
      </c>
      <c r="AI3451" t="s">
        <v>5465</v>
      </c>
      <c r="AJ3451" t="s">
        <v>4655</v>
      </c>
      <c r="AK3451" t="s">
        <v>19375</v>
      </c>
      <c r="AL3451" s="13" t="s">
        <v>1902</v>
      </c>
      <c r="AM3451">
        <v>1</v>
      </c>
      <c r="AN3451" s="15" t="s">
        <v>3715</v>
      </c>
    </row>
    <row r="3452" spans="1:40" x14ac:dyDescent="0.3">
      <c r="A3452" s="10" t="str">
        <f>HYPERLINK("http://www.washoecounty.gov/assessor/cama/?parid=080-411-06&amp;CardNumber=1","080-411-06")</f>
        <v>080-411-06</v>
      </c>
      <c r="B3452" t="s">
        <v>4655</v>
      </c>
      <c r="C3452" t="s">
        <v>19376</v>
      </c>
      <c r="D3452" s="1">
        <v>40359</v>
      </c>
      <c r="E3452" s="2">
        <v>200000</v>
      </c>
      <c r="F3452" t="s">
        <v>4553</v>
      </c>
      <c r="G3452" s="17" t="str">
        <f>HYPERLINK("https://www.washoecounty.gov/assessor/cama/?command=sales&amp;parid=08041106","3897006")</f>
        <v>3897006</v>
      </c>
      <c r="H3452" t="s">
        <v>150</v>
      </c>
      <c r="I3452">
        <v>2005</v>
      </c>
      <c r="J3452">
        <v>2005</v>
      </c>
      <c r="K3452" t="s">
        <v>4554</v>
      </c>
      <c r="L3452" t="s">
        <v>3974</v>
      </c>
      <c r="M3452" s="2">
        <v>2112</v>
      </c>
      <c r="N3452" t="s">
        <v>5280</v>
      </c>
      <c r="O3452">
        <v>3</v>
      </c>
      <c r="P3452">
        <v>3</v>
      </c>
      <c r="Q3452">
        <v>1</v>
      </c>
      <c r="R3452" t="s">
        <v>5281</v>
      </c>
      <c r="S3452" t="s">
        <v>4558</v>
      </c>
      <c r="T3452" t="s">
        <v>4559</v>
      </c>
      <c r="U3452" t="s">
        <v>4655</v>
      </c>
      <c r="V3452" s="2">
        <v>0</v>
      </c>
      <c r="W3452" t="s">
        <v>4655</v>
      </c>
      <c r="X3452" s="2">
        <v>0</v>
      </c>
      <c r="Y3452">
        <v>20</v>
      </c>
      <c r="Z3452" t="s">
        <v>3884</v>
      </c>
      <c r="AA3452" s="3">
        <v>1.142998218536377</v>
      </c>
      <c r="AB3452" t="s">
        <v>19377</v>
      </c>
      <c r="AC3452" t="s">
        <v>4562</v>
      </c>
      <c r="AD3452" t="s">
        <v>19376</v>
      </c>
      <c r="AE3452" t="s">
        <v>4655</v>
      </c>
      <c r="AF3452" t="s">
        <v>4563</v>
      </c>
      <c r="AG3452" t="s">
        <v>4564</v>
      </c>
      <c r="AH3452">
        <v>89506</v>
      </c>
      <c r="AI3452" t="s">
        <v>4903</v>
      </c>
      <c r="AJ3452" t="s">
        <v>4655</v>
      </c>
      <c r="AK3452" t="s">
        <v>19378</v>
      </c>
      <c r="AL3452" s="13" t="s">
        <v>1902</v>
      </c>
      <c r="AM3452">
        <v>1</v>
      </c>
      <c r="AN3452" s="15" t="s">
        <v>3715</v>
      </c>
    </row>
    <row r="3453" spans="1:40" x14ac:dyDescent="0.3">
      <c r="A3453" s="10" t="str">
        <f>HYPERLINK("http://www.washoecounty.gov/assessor/cama/?parid=080-414-05&amp;CardNumber=1","080-414-05")</f>
        <v>080-414-05</v>
      </c>
      <c r="B3453" t="s">
        <v>4655</v>
      </c>
      <c r="C3453" t="s">
        <v>19379</v>
      </c>
      <c r="D3453" s="1">
        <v>40421</v>
      </c>
      <c r="E3453" s="2">
        <v>129300</v>
      </c>
      <c r="F3453" t="s">
        <v>4567</v>
      </c>
      <c r="G3453" s="17" t="str">
        <f>HYPERLINK("https://www.washoecounty.gov/assessor/cama/?command=sales&amp;parid=08041405","3917434")</f>
        <v>3917434</v>
      </c>
      <c r="H3453" t="s">
        <v>472</v>
      </c>
      <c r="I3453">
        <v>1984</v>
      </c>
      <c r="J3453">
        <v>1984</v>
      </c>
      <c r="K3453" t="s">
        <v>4554</v>
      </c>
      <c r="L3453" t="s">
        <v>3974</v>
      </c>
      <c r="M3453" s="2">
        <v>2561</v>
      </c>
      <c r="N3453" t="s">
        <v>4048</v>
      </c>
      <c r="O3453">
        <v>4</v>
      </c>
      <c r="P3453">
        <v>2</v>
      </c>
      <c r="Q3453">
        <v>1</v>
      </c>
      <c r="R3453" t="s">
        <v>4557</v>
      </c>
      <c r="S3453" t="s">
        <v>3148</v>
      </c>
      <c r="T3453" t="s">
        <v>4559</v>
      </c>
      <c r="U3453" t="s">
        <v>4560</v>
      </c>
      <c r="V3453" s="2">
        <v>484</v>
      </c>
      <c r="W3453" t="s">
        <v>3149</v>
      </c>
      <c r="X3453" s="2">
        <v>1188</v>
      </c>
      <c r="Y3453">
        <v>20</v>
      </c>
      <c r="Z3453" t="s">
        <v>3884</v>
      </c>
      <c r="AA3453" s="3">
        <v>1.1030073165893499</v>
      </c>
      <c r="AB3453" t="s">
        <v>19380</v>
      </c>
      <c r="AC3453" t="s">
        <v>4575</v>
      </c>
      <c r="AD3453" t="s">
        <v>19381</v>
      </c>
      <c r="AE3453" t="s">
        <v>4655</v>
      </c>
      <c r="AF3453" t="s">
        <v>4563</v>
      </c>
      <c r="AG3453" t="s">
        <v>4564</v>
      </c>
      <c r="AH3453">
        <v>89506</v>
      </c>
      <c r="AI3453" t="s">
        <v>19382</v>
      </c>
      <c r="AJ3453" t="s">
        <v>4655</v>
      </c>
      <c r="AK3453" t="s">
        <v>19383</v>
      </c>
      <c r="AL3453" s="13" t="s">
        <v>1902</v>
      </c>
      <c r="AM3453">
        <v>1</v>
      </c>
      <c r="AN3453" s="15" t="s">
        <v>3715</v>
      </c>
    </row>
    <row r="3454" spans="1:40" x14ac:dyDescent="0.3">
      <c r="A3454" s="10" t="str">
        <f>HYPERLINK("http://www.washoecounty.gov/assessor/cama/?parid=080-421-10&amp;CardNumber=1","080-421-10")</f>
        <v>080-421-10</v>
      </c>
      <c r="B3454" t="s">
        <v>4655</v>
      </c>
      <c r="C3454" t="s">
        <v>19384</v>
      </c>
      <c r="D3454" s="1">
        <v>40359</v>
      </c>
      <c r="E3454" s="2">
        <v>91000</v>
      </c>
      <c r="F3454" t="s">
        <v>4567</v>
      </c>
      <c r="G3454" s="17" t="str">
        <f>HYPERLINK("https://www.washoecounty.gov/assessor/cama/?command=sales&amp;parid=08042110","3897278")</f>
        <v>3897278</v>
      </c>
      <c r="H3454" t="s">
        <v>19385</v>
      </c>
      <c r="I3454">
        <v>1977</v>
      </c>
      <c r="J3454">
        <v>1977</v>
      </c>
      <c r="K3454" t="s">
        <v>1243</v>
      </c>
      <c r="L3454" t="s">
        <v>4655</v>
      </c>
      <c r="M3454" s="2">
        <v>496</v>
      </c>
      <c r="N3454" t="s">
        <v>4655</v>
      </c>
      <c r="O3454">
        <v>0</v>
      </c>
      <c r="P3454">
        <v>0</v>
      </c>
      <c r="Q3454">
        <v>0</v>
      </c>
      <c r="R3454" t="s">
        <v>4655</v>
      </c>
      <c r="S3454" t="s">
        <v>4655</v>
      </c>
      <c r="T3454" t="s">
        <v>4655</v>
      </c>
      <c r="U3454" t="s">
        <v>4655</v>
      </c>
      <c r="V3454" s="2">
        <v>0</v>
      </c>
      <c r="W3454" t="s">
        <v>4655</v>
      </c>
      <c r="X3454" s="2">
        <v>0</v>
      </c>
      <c r="Y3454">
        <v>23</v>
      </c>
      <c r="Z3454" t="s">
        <v>5508</v>
      </c>
      <c r="AA3454" s="3">
        <v>0.26200643181800798</v>
      </c>
      <c r="AB3454" t="s">
        <v>19386</v>
      </c>
      <c r="AC3454" t="s">
        <v>4562</v>
      </c>
      <c r="AD3454" t="s">
        <v>19384</v>
      </c>
      <c r="AE3454" t="s">
        <v>4655</v>
      </c>
      <c r="AF3454" t="s">
        <v>4563</v>
      </c>
      <c r="AG3454" t="s">
        <v>4564</v>
      </c>
      <c r="AH3454">
        <v>89506</v>
      </c>
      <c r="AI3454" t="s">
        <v>991</v>
      </c>
      <c r="AJ3454" t="s">
        <v>4655</v>
      </c>
      <c r="AK3454" t="s">
        <v>19387</v>
      </c>
      <c r="AL3454" s="13" t="s">
        <v>1902</v>
      </c>
      <c r="AM3454">
        <v>1</v>
      </c>
      <c r="AN3454" s="15" t="s">
        <v>4198</v>
      </c>
    </row>
    <row r="3455" spans="1:40" x14ac:dyDescent="0.3">
      <c r="A3455" s="10" t="str">
        <f>HYPERLINK("http://www.washoecounty.gov/assessor/cama/?parid=080-422-12&amp;CardNumber=1","080-422-12")</f>
        <v>080-422-12</v>
      </c>
      <c r="B3455" t="s">
        <v>4655</v>
      </c>
      <c r="C3455" t="s">
        <v>19388</v>
      </c>
      <c r="D3455" s="1">
        <v>40498</v>
      </c>
      <c r="E3455" s="2">
        <v>40000</v>
      </c>
      <c r="F3455" t="s">
        <v>4553</v>
      </c>
      <c r="G3455" s="17" t="str">
        <f>HYPERLINK("https://www.washoecounty.gov/assessor/cama/?command=sales&amp;parid=08042212","3943248")</f>
        <v>3943248</v>
      </c>
      <c r="H3455" t="s">
        <v>4387</v>
      </c>
      <c r="I3455">
        <v>1983</v>
      </c>
      <c r="J3455">
        <v>1983</v>
      </c>
      <c r="K3455" t="s">
        <v>4847</v>
      </c>
      <c r="L3455" t="s">
        <v>4555</v>
      </c>
      <c r="M3455" s="2">
        <v>1272</v>
      </c>
      <c r="N3455" t="s">
        <v>4048</v>
      </c>
      <c r="O3455">
        <v>3</v>
      </c>
      <c r="P3455">
        <v>2</v>
      </c>
      <c r="Q3455">
        <v>0</v>
      </c>
      <c r="R3455" t="s">
        <v>4557</v>
      </c>
      <c r="S3455" t="s">
        <v>4558</v>
      </c>
      <c r="T3455" t="s">
        <v>4559</v>
      </c>
      <c r="U3455" t="s">
        <v>4655</v>
      </c>
      <c r="V3455" s="2">
        <v>0</v>
      </c>
      <c r="W3455" t="s">
        <v>4655</v>
      </c>
      <c r="X3455" s="2">
        <v>0</v>
      </c>
      <c r="Y3455">
        <v>22</v>
      </c>
      <c r="Z3455" t="s">
        <v>5508</v>
      </c>
      <c r="AA3455" s="3">
        <v>0.23000459372997301</v>
      </c>
      <c r="AB3455" t="s">
        <v>19389</v>
      </c>
      <c r="AC3455" t="s">
        <v>4562</v>
      </c>
      <c r="AD3455" t="s">
        <v>19388</v>
      </c>
      <c r="AE3455" t="s">
        <v>4655</v>
      </c>
      <c r="AF3455" t="s">
        <v>4563</v>
      </c>
      <c r="AG3455" t="s">
        <v>4564</v>
      </c>
      <c r="AH3455">
        <v>89506</v>
      </c>
      <c r="AI3455" t="s">
        <v>4848</v>
      </c>
      <c r="AJ3455" t="s">
        <v>4655</v>
      </c>
      <c r="AK3455" t="s">
        <v>19390</v>
      </c>
      <c r="AL3455" s="13" t="s">
        <v>1902</v>
      </c>
      <c r="AM3455">
        <v>1</v>
      </c>
      <c r="AN3455" s="15" t="s">
        <v>4198</v>
      </c>
    </row>
    <row r="3456" spans="1:40" x14ac:dyDescent="0.3">
      <c r="A3456" s="10" t="str">
        <f>HYPERLINK("http://www.washoecounty.gov/assessor/cama/?parid=080-422-15&amp;CardNumber=1","080-422-15")</f>
        <v>080-422-15</v>
      </c>
      <c r="B3456" t="s">
        <v>4655</v>
      </c>
      <c r="C3456" t="s">
        <v>19391</v>
      </c>
      <c r="D3456" s="1">
        <v>40268</v>
      </c>
      <c r="E3456" s="2">
        <v>45000</v>
      </c>
      <c r="F3456" t="s">
        <v>4553</v>
      </c>
      <c r="G3456" s="17" t="str">
        <f>HYPERLINK("https://www.washoecounty.gov/assessor/cama/?command=sales&amp;parid=08042215","3866651")</f>
        <v>3866651</v>
      </c>
      <c r="H3456" t="s">
        <v>4387</v>
      </c>
      <c r="I3456">
        <v>1976</v>
      </c>
      <c r="J3456">
        <v>1976</v>
      </c>
      <c r="K3456" t="s">
        <v>4847</v>
      </c>
      <c r="L3456" t="s">
        <v>4555</v>
      </c>
      <c r="M3456" s="2">
        <v>1536</v>
      </c>
      <c r="N3456" t="s">
        <v>4556</v>
      </c>
      <c r="O3456">
        <v>3</v>
      </c>
      <c r="P3456">
        <v>2</v>
      </c>
      <c r="Q3456">
        <v>0</v>
      </c>
      <c r="R3456" t="s">
        <v>4557</v>
      </c>
      <c r="S3456" t="s">
        <v>1155</v>
      </c>
      <c r="T3456" t="s">
        <v>4559</v>
      </c>
      <c r="U3456" t="s">
        <v>4655</v>
      </c>
      <c r="V3456" s="2">
        <v>0</v>
      </c>
      <c r="W3456" t="s">
        <v>4655</v>
      </c>
      <c r="X3456" s="2">
        <v>0</v>
      </c>
      <c r="Y3456">
        <v>22</v>
      </c>
      <c r="Z3456" t="s">
        <v>5508</v>
      </c>
      <c r="AA3456" s="3">
        <v>0.21099632978439301</v>
      </c>
      <c r="AB3456" t="s">
        <v>19392</v>
      </c>
      <c r="AC3456" t="s">
        <v>4562</v>
      </c>
      <c r="AD3456" t="s">
        <v>19393</v>
      </c>
      <c r="AE3456" t="s">
        <v>4655</v>
      </c>
      <c r="AF3456" t="s">
        <v>4563</v>
      </c>
      <c r="AG3456" t="s">
        <v>4564</v>
      </c>
      <c r="AH3456">
        <v>89506</v>
      </c>
      <c r="AI3456" t="s">
        <v>4903</v>
      </c>
      <c r="AJ3456" t="s">
        <v>4655</v>
      </c>
      <c r="AK3456" t="s">
        <v>19394</v>
      </c>
      <c r="AL3456" s="13" t="s">
        <v>1902</v>
      </c>
      <c r="AM3456">
        <v>1</v>
      </c>
      <c r="AN3456" s="15" t="s">
        <v>4198</v>
      </c>
    </row>
    <row r="3457" spans="1:40" x14ac:dyDescent="0.3">
      <c r="A3457" s="10" t="str">
        <f>HYPERLINK("http://www.washoecounty.gov/assessor/cama/?parid=080-423-08&amp;CardNumber=1","080-423-08")</f>
        <v>080-423-08</v>
      </c>
      <c r="B3457" t="s">
        <v>4655</v>
      </c>
      <c r="C3457" t="s">
        <v>19395</v>
      </c>
      <c r="D3457" s="1">
        <v>40268</v>
      </c>
      <c r="E3457" s="2">
        <v>38000</v>
      </c>
      <c r="F3457" t="s">
        <v>4567</v>
      </c>
      <c r="G3457" s="17" t="str">
        <f>HYPERLINK("https://www.washoecounty.gov/assessor/cama/?command=sales&amp;parid=08042308","3866493")</f>
        <v>3866493</v>
      </c>
      <c r="H3457" t="s">
        <v>19385</v>
      </c>
      <c r="I3457">
        <v>1987</v>
      </c>
      <c r="J3457">
        <v>1987</v>
      </c>
      <c r="K3457" t="s">
        <v>1243</v>
      </c>
      <c r="L3457" t="s">
        <v>4655</v>
      </c>
      <c r="M3457" s="2">
        <v>0</v>
      </c>
      <c r="N3457" t="s">
        <v>4655</v>
      </c>
      <c r="O3457">
        <v>0</v>
      </c>
      <c r="P3457">
        <v>0</v>
      </c>
      <c r="Q3457">
        <v>0</v>
      </c>
      <c r="R3457" t="s">
        <v>4655</v>
      </c>
      <c r="S3457" t="s">
        <v>4655</v>
      </c>
      <c r="T3457" t="s">
        <v>4655</v>
      </c>
      <c r="U3457" t="s">
        <v>4655</v>
      </c>
      <c r="V3457" s="2">
        <v>0</v>
      </c>
      <c r="W3457" t="s">
        <v>4655</v>
      </c>
      <c r="X3457" s="2">
        <v>0</v>
      </c>
      <c r="Y3457">
        <v>23</v>
      </c>
      <c r="Z3457" t="s">
        <v>5508</v>
      </c>
      <c r="AA3457" s="3">
        <v>0.29100093245506298</v>
      </c>
      <c r="AB3457" t="s">
        <v>19396</v>
      </c>
      <c r="AC3457" t="s">
        <v>4562</v>
      </c>
      <c r="AD3457" t="s">
        <v>19397</v>
      </c>
      <c r="AE3457" t="s">
        <v>4655</v>
      </c>
      <c r="AF3457" t="s">
        <v>4563</v>
      </c>
      <c r="AG3457" t="s">
        <v>4564</v>
      </c>
      <c r="AH3457">
        <v>89506</v>
      </c>
      <c r="AI3457" t="s">
        <v>19398</v>
      </c>
      <c r="AJ3457" t="s">
        <v>4655</v>
      </c>
      <c r="AK3457" t="s">
        <v>19399</v>
      </c>
      <c r="AL3457" s="13" t="s">
        <v>1902</v>
      </c>
      <c r="AM3457" s="14">
        <v>1</v>
      </c>
      <c r="AN3457" s="15" t="s">
        <v>4198</v>
      </c>
    </row>
    <row r="3458" spans="1:40" x14ac:dyDescent="0.3">
      <c r="A3458" s="10" t="str">
        <f>HYPERLINK("http://www.washoecounty.gov/assessor/cama/?parid=080-431-02&amp;CardNumber=1","080-431-02")</f>
        <v>080-431-02</v>
      </c>
      <c r="B3458" t="s">
        <v>4655</v>
      </c>
      <c r="C3458" t="s">
        <v>19400</v>
      </c>
      <c r="D3458" s="1">
        <v>40276</v>
      </c>
      <c r="E3458" s="2">
        <v>70000</v>
      </c>
      <c r="F3458" t="s">
        <v>4567</v>
      </c>
      <c r="G3458" s="17" t="str">
        <f>HYPERLINK("https://www.washoecounty.gov/assessor/cama/?command=sales&amp;parid=08043102","3868942")</f>
        <v>3868942</v>
      </c>
      <c r="H3458" t="s">
        <v>19385</v>
      </c>
      <c r="I3458">
        <v>1984</v>
      </c>
      <c r="J3458">
        <v>1984</v>
      </c>
      <c r="K3458" t="s">
        <v>4847</v>
      </c>
      <c r="L3458" t="s">
        <v>4555</v>
      </c>
      <c r="M3458" s="2">
        <v>1646</v>
      </c>
      <c r="N3458" t="s">
        <v>5280</v>
      </c>
      <c r="O3458">
        <v>3</v>
      </c>
      <c r="P3458">
        <v>2</v>
      </c>
      <c r="Q3458">
        <v>0</v>
      </c>
      <c r="R3458" t="s">
        <v>4557</v>
      </c>
      <c r="S3458" t="s">
        <v>4135</v>
      </c>
      <c r="T3458" t="s">
        <v>4559</v>
      </c>
      <c r="U3458" t="s">
        <v>4655</v>
      </c>
      <c r="V3458" s="2">
        <v>0</v>
      </c>
      <c r="W3458" t="s">
        <v>4655</v>
      </c>
      <c r="X3458" s="2">
        <v>0</v>
      </c>
      <c r="Y3458">
        <v>22</v>
      </c>
      <c r="Z3458" t="s">
        <v>5508</v>
      </c>
      <c r="AA3458" s="3">
        <v>0.23000459372997301</v>
      </c>
      <c r="AB3458" t="s">
        <v>19401</v>
      </c>
      <c r="AC3458" t="s">
        <v>4562</v>
      </c>
      <c r="AD3458" t="s">
        <v>19402</v>
      </c>
      <c r="AE3458" t="s">
        <v>4655</v>
      </c>
      <c r="AF3458" t="s">
        <v>4563</v>
      </c>
      <c r="AG3458" t="s">
        <v>4564</v>
      </c>
      <c r="AH3458">
        <v>89506</v>
      </c>
      <c r="AI3458" t="s">
        <v>19403</v>
      </c>
      <c r="AJ3458" t="s">
        <v>4655</v>
      </c>
      <c r="AK3458" t="s">
        <v>19404</v>
      </c>
      <c r="AL3458" s="13" t="s">
        <v>1902</v>
      </c>
      <c r="AM3458">
        <v>1</v>
      </c>
      <c r="AN3458" s="15" t="s">
        <v>4198</v>
      </c>
    </row>
    <row r="3459" spans="1:40" x14ac:dyDescent="0.3">
      <c r="A3459" s="10" t="str">
        <f>HYPERLINK("http://www.washoecounty.gov/assessor/cama/?parid=080-432-11&amp;CardNumber=1","080-432-11")</f>
        <v>080-432-11</v>
      </c>
      <c r="B3459" t="s">
        <v>4655</v>
      </c>
      <c r="C3459" t="s">
        <v>19405</v>
      </c>
      <c r="D3459" s="1">
        <v>40357</v>
      </c>
      <c r="E3459" s="2">
        <v>29300</v>
      </c>
      <c r="F3459" t="s">
        <v>4567</v>
      </c>
      <c r="G3459" s="17" t="str">
        <f>HYPERLINK("https://www.washoecounty.gov/assessor/cama/?command=sales&amp;parid=08043211","3895720")</f>
        <v>3895720</v>
      </c>
      <c r="H3459" t="s">
        <v>4387</v>
      </c>
      <c r="I3459">
        <v>1979</v>
      </c>
      <c r="J3459">
        <v>1979</v>
      </c>
      <c r="K3459" t="s">
        <v>4847</v>
      </c>
      <c r="L3459" t="s">
        <v>4555</v>
      </c>
      <c r="M3459" s="2">
        <v>1216</v>
      </c>
      <c r="N3459" t="s">
        <v>5280</v>
      </c>
      <c r="O3459">
        <v>3</v>
      </c>
      <c r="P3459">
        <v>2</v>
      </c>
      <c r="Q3459">
        <v>0</v>
      </c>
      <c r="R3459" t="s">
        <v>4557</v>
      </c>
      <c r="S3459" t="s">
        <v>4135</v>
      </c>
      <c r="T3459" t="s">
        <v>4559</v>
      </c>
      <c r="U3459" t="s">
        <v>4655</v>
      </c>
      <c r="V3459" s="2">
        <v>0</v>
      </c>
      <c r="W3459" t="s">
        <v>4655</v>
      </c>
      <c r="X3459" s="2">
        <v>0</v>
      </c>
      <c r="Y3459">
        <v>22</v>
      </c>
      <c r="Z3459" t="s">
        <v>5508</v>
      </c>
      <c r="AA3459" s="3">
        <v>0.207988977432251</v>
      </c>
      <c r="AB3459" t="s">
        <v>1283</v>
      </c>
      <c r="AC3459" t="s">
        <v>4562</v>
      </c>
      <c r="AD3459" t="s">
        <v>19406</v>
      </c>
      <c r="AE3459" t="s">
        <v>4655</v>
      </c>
      <c r="AF3459" t="s">
        <v>4563</v>
      </c>
      <c r="AG3459" t="s">
        <v>4564</v>
      </c>
      <c r="AH3459" t="s">
        <v>1147</v>
      </c>
      <c r="AI3459" t="s">
        <v>19407</v>
      </c>
      <c r="AJ3459" t="s">
        <v>4655</v>
      </c>
      <c r="AK3459" t="s">
        <v>19408</v>
      </c>
      <c r="AL3459" s="13" t="s">
        <v>1902</v>
      </c>
      <c r="AM3459" s="14">
        <v>1</v>
      </c>
      <c r="AN3459" s="15" t="s">
        <v>4198</v>
      </c>
    </row>
    <row r="3460" spans="1:40" x14ac:dyDescent="0.3">
      <c r="A3460" s="10" t="str">
        <f>HYPERLINK("http://www.washoecounty.gov/assessor/cama/?parid=080-483-82&amp;CardNumber=1","080-483-82")</f>
        <v>080-483-82</v>
      </c>
      <c r="B3460" t="s">
        <v>4655</v>
      </c>
      <c r="C3460" t="s">
        <v>19409</v>
      </c>
      <c r="D3460" s="1">
        <v>40388</v>
      </c>
      <c r="E3460" s="2">
        <v>70000</v>
      </c>
      <c r="F3460" t="s">
        <v>4567</v>
      </c>
      <c r="G3460" s="17" t="str">
        <f>HYPERLINK("https://www.washoecounty.gov/assessor/cama/?command=sales&amp;parid=08048382","3906669")</f>
        <v>3906669</v>
      </c>
      <c r="H3460" t="s">
        <v>19410</v>
      </c>
      <c r="I3460">
        <v>1989</v>
      </c>
      <c r="J3460">
        <v>1989</v>
      </c>
      <c r="K3460" t="s">
        <v>4847</v>
      </c>
      <c r="L3460" t="s">
        <v>4555</v>
      </c>
      <c r="M3460" s="2">
        <v>1771</v>
      </c>
      <c r="N3460" t="s">
        <v>5280</v>
      </c>
      <c r="O3460">
        <v>3</v>
      </c>
      <c r="P3460">
        <v>2</v>
      </c>
      <c r="Q3460">
        <v>0</v>
      </c>
      <c r="R3460" t="s">
        <v>4557</v>
      </c>
      <c r="S3460" t="s">
        <v>4558</v>
      </c>
      <c r="T3460" t="s">
        <v>4559</v>
      </c>
      <c r="U3460" t="s">
        <v>4655</v>
      </c>
      <c r="V3460" s="2">
        <v>0</v>
      </c>
      <c r="W3460" t="s">
        <v>4655</v>
      </c>
      <c r="X3460" s="2">
        <v>0</v>
      </c>
      <c r="Y3460">
        <v>22</v>
      </c>
      <c r="Z3460" t="s">
        <v>5508</v>
      </c>
      <c r="AA3460" s="3">
        <v>0.68999081850051802</v>
      </c>
      <c r="AB3460" t="s">
        <v>19411</v>
      </c>
      <c r="AC3460" t="s">
        <v>4575</v>
      </c>
      <c r="AD3460" t="s">
        <v>19409</v>
      </c>
      <c r="AE3460" t="s">
        <v>4655</v>
      </c>
      <c r="AF3460" t="s">
        <v>4563</v>
      </c>
      <c r="AG3460" t="s">
        <v>4564</v>
      </c>
      <c r="AH3460">
        <v>89506</v>
      </c>
      <c r="AI3460" t="s">
        <v>19412</v>
      </c>
      <c r="AJ3460" t="s">
        <v>4655</v>
      </c>
      <c r="AK3460" t="s">
        <v>19413</v>
      </c>
      <c r="AL3460" s="13" t="s">
        <v>1902</v>
      </c>
      <c r="AM3460" s="14">
        <v>1</v>
      </c>
      <c r="AN3460" s="15" t="s">
        <v>4198</v>
      </c>
    </row>
    <row r="3461" spans="1:40" x14ac:dyDescent="0.3">
      <c r="A3461" s="10" t="str">
        <f>HYPERLINK("http://www.washoecounty.gov/assessor/cama/?parid=080-484-19&amp;CardNumber=1","080-484-19")</f>
        <v>080-484-19</v>
      </c>
      <c r="B3461" t="s">
        <v>4655</v>
      </c>
      <c r="C3461" t="s">
        <v>318</v>
      </c>
      <c r="D3461" s="1">
        <v>40302</v>
      </c>
      <c r="E3461" s="2">
        <v>326</v>
      </c>
      <c r="F3461" t="s">
        <v>4567</v>
      </c>
      <c r="G3461" s="17" t="str">
        <f>HYPERLINK("https://www.washoecounty.gov/assessor/cama/?command=sales&amp;parid=08048419","3877825")</f>
        <v>3877825</v>
      </c>
      <c r="H3461" t="s">
        <v>19414</v>
      </c>
      <c r="I3461">
        <v>0</v>
      </c>
      <c r="J3461">
        <v>0</v>
      </c>
      <c r="K3461" t="s">
        <v>4655</v>
      </c>
      <c r="L3461" t="s">
        <v>4655</v>
      </c>
      <c r="M3461" s="2">
        <v>0</v>
      </c>
      <c r="N3461" t="s">
        <v>4655</v>
      </c>
      <c r="O3461">
        <v>0</v>
      </c>
      <c r="P3461">
        <v>0</v>
      </c>
      <c r="Q3461">
        <v>0</v>
      </c>
      <c r="R3461" t="s">
        <v>4655</v>
      </c>
      <c r="S3461" t="s">
        <v>4655</v>
      </c>
      <c r="T3461" t="s">
        <v>4655</v>
      </c>
      <c r="U3461" t="s">
        <v>4655</v>
      </c>
      <c r="V3461" s="2">
        <v>0</v>
      </c>
      <c r="W3461" t="s">
        <v>4655</v>
      </c>
      <c r="X3461" s="2">
        <v>0</v>
      </c>
      <c r="Y3461">
        <v>16</v>
      </c>
      <c r="Z3461" t="s">
        <v>5508</v>
      </c>
      <c r="AA3461" s="3">
        <v>6.0009181499481201E-2</v>
      </c>
      <c r="AB3461" t="s">
        <v>19415</v>
      </c>
      <c r="AC3461" t="s">
        <v>4562</v>
      </c>
      <c r="AD3461" t="s">
        <v>19416</v>
      </c>
      <c r="AE3461" t="s">
        <v>4655</v>
      </c>
      <c r="AF3461" t="s">
        <v>5201</v>
      </c>
      <c r="AG3461" t="s">
        <v>4564</v>
      </c>
      <c r="AH3461" t="s">
        <v>3898</v>
      </c>
      <c r="AI3461" t="s">
        <v>19417</v>
      </c>
      <c r="AJ3461" t="s">
        <v>4655</v>
      </c>
      <c r="AK3461" t="s">
        <v>19418</v>
      </c>
      <c r="AL3461" s="13" t="s">
        <v>1902</v>
      </c>
      <c r="AM3461">
        <v>0</v>
      </c>
      <c r="AN3461" s="15" t="s">
        <v>19419</v>
      </c>
    </row>
    <row r="3462" spans="1:40" x14ac:dyDescent="0.3">
      <c r="A3462" s="10" t="str">
        <f>HYPERLINK("http://www.washoecounty.gov/assessor/cama/?parid=080-497-21&amp;CardNumber=1","080-497-21")</f>
        <v>080-497-21</v>
      </c>
      <c r="B3462" t="s">
        <v>4655</v>
      </c>
      <c r="C3462" t="s">
        <v>4195</v>
      </c>
      <c r="D3462" s="1">
        <v>40259</v>
      </c>
      <c r="E3462" s="2">
        <v>49250</v>
      </c>
      <c r="F3462" t="s">
        <v>4553</v>
      </c>
      <c r="G3462" s="17" t="str">
        <f>HYPERLINK("https://www.washoecounty.gov/assessor/cama/?command=sales&amp;parid=08049721","3862031")</f>
        <v>3862031</v>
      </c>
      <c r="H3462" t="s">
        <v>4196</v>
      </c>
      <c r="I3462">
        <v>1994</v>
      </c>
      <c r="J3462">
        <v>1994</v>
      </c>
      <c r="K3462" t="s">
        <v>4847</v>
      </c>
      <c r="L3462" t="s">
        <v>4555</v>
      </c>
      <c r="M3462" s="2">
        <v>1560</v>
      </c>
      <c r="N3462" t="s">
        <v>5280</v>
      </c>
      <c r="O3462">
        <v>3</v>
      </c>
      <c r="P3462">
        <v>2</v>
      </c>
      <c r="Q3462">
        <v>0</v>
      </c>
      <c r="R3462" t="s">
        <v>4557</v>
      </c>
      <c r="S3462" t="s">
        <v>4558</v>
      </c>
      <c r="T3462" t="s">
        <v>4559</v>
      </c>
      <c r="U3462" t="s">
        <v>4655</v>
      </c>
      <c r="V3462" s="2">
        <v>0</v>
      </c>
      <c r="W3462" t="s">
        <v>4655</v>
      </c>
      <c r="X3462" s="2">
        <v>0</v>
      </c>
      <c r="Y3462">
        <v>22</v>
      </c>
      <c r="Z3462" t="s">
        <v>5508</v>
      </c>
      <c r="AA3462" s="3">
        <v>0.25</v>
      </c>
      <c r="AB3462" t="s">
        <v>1</v>
      </c>
      <c r="AC3462" t="s">
        <v>4562</v>
      </c>
      <c r="AD3462" t="s">
        <v>4195</v>
      </c>
      <c r="AE3462" t="s">
        <v>4655</v>
      </c>
      <c r="AF3462" t="s">
        <v>4563</v>
      </c>
      <c r="AG3462" t="s">
        <v>4564</v>
      </c>
      <c r="AH3462">
        <v>89506</v>
      </c>
      <c r="AI3462" t="s">
        <v>5103</v>
      </c>
      <c r="AJ3462" t="s">
        <v>4655</v>
      </c>
      <c r="AK3462" t="s">
        <v>4197</v>
      </c>
      <c r="AL3462" s="13" t="s">
        <v>1902</v>
      </c>
      <c r="AM3462" s="14">
        <v>1</v>
      </c>
      <c r="AN3462" s="15" t="s">
        <v>4198</v>
      </c>
    </row>
    <row r="3463" spans="1:40" x14ac:dyDescent="0.3">
      <c r="A3463" s="10" t="str">
        <f>HYPERLINK("http://www.washoecounty.gov/assessor/cama/?parid=080-497-21&amp;CardNumber=1","080-497-21")</f>
        <v>080-497-21</v>
      </c>
      <c r="B3463" t="s">
        <v>4655</v>
      </c>
      <c r="C3463" t="s">
        <v>4195</v>
      </c>
      <c r="D3463" s="1">
        <v>40515</v>
      </c>
      <c r="E3463" s="2">
        <v>49250</v>
      </c>
      <c r="F3463" t="s">
        <v>4567</v>
      </c>
      <c r="G3463" s="17" t="str">
        <f>HYPERLINK("https://www.washoecounty.gov/assessor/cama/?command=sales&amp;parid=08049721","3949355")</f>
        <v>3949355</v>
      </c>
      <c r="H3463" t="s">
        <v>4196</v>
      </c>
      <c r="I3463">
        <v>1994</v>
      </c>
      <c r="J3463">
        <v>1994</v>
      </c>
      <c r="K3463" t="s">
        <v>4847</v>
      </c>
      <c r="L3463" t="s">
        <v>4555</v>
      </c>
      <c r="M3463" s="2">
        <v>1560</v>
      </c>
      <c r="N3463" t="s">
        <v>5280</v>
      </c>
      <c r="O3463">
        <v>3</v>
      </c>
      <c r="P3463">
        <v>2</v>
      </c>
      <c r="Q3463">
        <v>0</v>
      </c>
      <c r="R3463" t="s">
        <v>4557</v>
      </c>
      <c r="S3463" t="s">
        <v>4558</v>
      </c>
      <c r="T3463" t="s">
        <v>4559</v>
      </c>
      <c r="U3463" t="s">
        <v>4655</v>
      </c>
      <c r="V3463" s="2">
        <v>0</v>
      </c>
      <c r="W3463" t="s">
        <v>4655</v>
      </c>
      <c r="X3463" s="2">
        <v>0</v>
      </c>
      <c r="Y3463">
        <v>22</v>
      </c>
      <c r="Z3463" t="s">
        <v>5508</v>
      </c>
      <c r="AA3463" s="3">
        <v>0.25</v>
      </c>
      <c r="AB3463" t="s">
        <v>1</v>
      </c>
      <c r="AC3463" t="s">
        <v>4562</v>
      </c>
      <c r="AD3463" t="s">
        <v>4195</v>
      </c>
      <c r="AE3463" t="s">
        <v>4655</v>
      </c>
      <c r="AF3463" t="s">
        <v>4563</v>
      </c>
      <c r="AG3463" t="s">
        <v>4564</v>
      </c>
      <c r="AH3463">
        <v>89506</v>
      </c>
      <c r="AI3463" t="s">
        <v>5103</v>
      </c>
      <c r="AJ3463" t="s">
        <v>4655</v>
      </c>
      <c r="AK3463" t="s">
        <v>4197</v>
      </c>
      <c r="AL3463" s="13" t="s">
        <v>1902</v>
      </c>
      <c r="AM3463" s="14">
        <v>1</v>
      </c>
      <c r="AN3463" s="15" t="s">
        <v>4198</v>
      </c>
    </row>
    <row r="3464" spans="1:40" x14ac:dyDescent="0.3">
      <c r="A3464" s="10" t="str">
        <f>HYPERLINK("http://www.washoecounty.gov/assessor/cama/?parid=080-497-34&amp;CardNumber=1","080-497-34")</f>
        <v>080-497-34</v>
      </c>
      <c r="B3464" t="s">
        <v>4655</v>
      </c>
      <c r="C3464" t="s">
        <v>19420</v>
      </c>
      <c r="D3464" s="1">
        <v>40423</v>
      </c>
      <c r="E3464" s="2">
        <v>55000</v>
      </c>
      <c r="F3464" t="s">
        <v>4553</v>
      </c>
      <c r="G3464" s="17" t="str">
        <f>HYPERLINK("https://www.washoecounty.gov/assessor/cama/?command=sales&amp;parid=08049734","3918279")</f>
        <v>3918279</v>
      </c>
      <c r="H3464" t="s">
        <v>5140</v>
      </c>
      <c r="I3464">
        <v>1995</v>
      </c>
      <c r="J3464">
        <v>1995</v>
      </c>
      <c r="K3464" t="s">
        <v>4847</v>
      </c>
      <c r="L3464" t="s">
        <v>4555</v>
      </c>
      <c r="M3464" s="2">
        <v>1418</v>
      </c>
      <c r="N3464" t="s">
        <v>5280</v>
      </c>
      <c r="O3464">
        <v>3</v>
      </c>
      <c r="P3464">
        <v>2</v>
      </c>
      <c r="Q3464">
        <v>0</v>
      </c>
      <c r="R3464" t="s">
        <v>4557</v>
      </c>
      <c r="S3464" t="s">
        <v>4558</v>
      </c>
      <c r="T3464" t="s">
        <v>4559</v>
      </c>
      <c r="U3464" t="s">
        <v>4655</v>
      </c>
      <c r="V3464" s="2">
        <v>0</v>
      </c>
      <c r="W3464" t="s">
        <v>4655</v>
      </c>
      <c r="X3464" s="2">
        <v>0</v>
      </c>
      <c r="Y3464">
        <v>22</v>
      </c>
      <c r="Z3464" t="s">
        <v>5508</v>
      </c>
      <c r="AA3464" s="3">
        <v>0.18999081850051899</v>
      </c>
      <c r="AB3464" t="s">
        <v>292</v>
      </c>
      <c r="AC3464" t="s">
        <v>4562</v>
      </c>
      <c r="AD3464" t="s">
        <v>5440</v>
      </c>
      <c r="AE3464" t="s">
        <v>4655</v>
      </c>
      <c r="AF3464" t="s">
        <v>4563</v>
      </c>
      <c r="AG3464" t="s">
        <v>4564</v>
      </c>
      <c r="AH3464">
        <v>89511</v>
      </c>
      <c r="AI3464" t="s">
        <v>11</v>
      </c>
      <c r="AJ3464" t="s">
        <v>4655</v>
      </c>
      <c r="AK3464" t="s">
        <v>19421</v>
      </c>
      <c r="AL3464" s="13" t="s">
        <v>1902</v>
      </c>
      <c r="AM3464" s="14">
        <v>1</v>
      </c>
      <c r="AN3464" s="15" t="s">
        <v>4198</v>
      </c>
    </row>
    <row r="3465" spans="1:40" x14ac:dyDescent="0.3">
      <c r="A3465" s="10" t="str">
        <f>HYPERLINK("http://www.washoecounty.gov/assessor/cama/?parid=080-497-54&amp;CardNumber=1","080-497-54")</f>
        <v>080-497-54</v>
      </c>
      <c r="B3465" t="s">
        <v>4655</v>
      </c>
      <c r="C3465" t="s">
        <v>19422</v>
      </c>
      <c r="D3465" s="1">
        <v>40354</v>
      </c>
      <c r="E3465" s="2">
        <v>35000</v>
      </c>
      <c r="F3465" t="s">
        <v>4553</v>
      </c>
      <c r="G3465" s="17" t="str">
        <f>HYPERLINK("https://www.washoecounty.gov/assessor/cama/?command=sales&amp;parid=08049754","3895374")</f>
        <v>3895374</v>
      </c>
      <c r="H3465" t="s">
        <v>5140</v>
      </c>
      <c r="I3465">
        <v>1981</v>
      </c>
      <c r="J3465">
        <v>1984</v>
      </c>
      <c r="K3465" t="s">
        <v>4847</v>
      </c>
      <c r="L3465" t="s">
        <v>4555</v>
      </c>
      <c r="M3465" s="2">
        <v>1709</v>
      </c>
      <c r="N3465" t="s">
        <v>4133</v>
      </c>
      <c r="O3465">
        <v>3</v>
      </c>
      <c r="P3465">
        <v>2</v>
      </c>
      <c r="Q3465">
        <v>0</v>
      </c>
      <c r="R3465" t="s">
        <v>4557</v>
      </c>
      <c r="S3465" t="s">
        <v>4558</v>
      </c>
      <c r="T3465" t="s">
        <v>3888</v>
      </c>
      <c r="U3465" t="s">
        <v>4655</v>
      </c>
      <c r="V3465" s="2">
        <v>0</v>
      </c>
      <c r="W3465" t="s">
        <v>4655</v>
      </c>
      <c r="X3465" s="2">
        <v>0</v>
      </c>
      <c r="Y3465">
        <v>22</v>
      </c>
      <c r="Z3465" t="s">
        <v>5508</v>
      </c>
      <c r="AA3465" s="3">
        <v>0.23000459372997301</v>
      </c>
      <c r="AB3465" t="s">
        <v>19423</v>
      </c>
      <c r="AC3465" t="s">
        <v>4562</v>
      </c>
      <c r="AD3465" t="s">
        <v>19424</v>
      </c>
      <c r="AE3465" t="s">
        <v>4655</v>
      </c>
      <c r="AF3465" t="s">
        <v>4563</v>
      </c>
      <c r="AG3465" t="s">
        <v>4564</v>
      </c>
      <c r="AH3465">
        <v>89506</v>
      </c>
      <c r="AI3465" t="s">
        <v>3810</v>
      </c>
      <c r="AJ3465" t="s">
        <v>4655</v>
      </c>
      <c r="AK3465" t="s">
        <v>19425</v>
      </c>
      <c r="AL3465" s="13" t="s">
        <v>1902</v>
      </c>
      <c r="AM3465" s="14">
        <v>1</v>
      </c>
      <c r="AN3465" s="15" t="s">
        <v>4198</v>
      </c>
    </row>
    <row r="3466" spans="1:40" x14ac:dyDescent="0.3">
      <c r="A3466" s="10" t="str">
        <f>HYPERLINK("http://www.washoecounty.gov/assessor/cama/?parid=080-502-02&amp;CardNumber=1","080-502-02")</f>
        <v>080-502-02</v>
      </c>
      <c r="B3466" t="s">
        <v>4655</v>
      </c>
      <c r="C3466" t="s">
        <v>19426</v>
      </c>
      <c r="D3466" s="1">
        <v>40297</v>
      </c>
      <c r="E3466" s="2">
        <v>52500</v>
      </c>
      <c r="F3466" t="s">
        <v>4567</v>
      </c>
      <c r="G3466" s="17" t="str">
        <f>HYPERLINK("https://www.washoecounty.gov/assessor/cama/?command=sales&amp;parid=08050202","3876198")</f>
        <v>3876198</v>
      </c>
      <c r="H3466" t="s">
        <v>5140</v>
      </c>
      <c r="I3466">
        <v>1986</v>
      </c>
      <c r="J3466">
        <v>1986</v>
      </c>
      <c r="K3466" t="s">
        <v>4847</v>
      </c>
      <c r="L3466" t="s">
        <v>4555</v>
      </c>
      <c r="M3466" s="2">
        <v>1680</v>
      </c>
      <c r="N3466" t="s">
        <v>4556</v>
      </c>
      <c r="O3466">
        <v>3</v>
      </c>
      <c r="P3466">
        <v>2</v>
      </c>
      <c r="Q3466">
        <v>0</v>
      </c>
      <c r="R3466" t="s">
        <v>4557</v>
      </c>
      <c r="S3466" t="s">
        <v>4558</v>
      </c>
      <c r="T3466" t="s">
        <v>4559</v>
      </c>
      <c r="U3466" t="s">
        <v>4655</v>
      </c>
      <c r="V3466" s="2">
        <v>0</v>
      </c>
      <c r="W3466" t="s">
        <v>4655</v>
      </c>
      <c r="X3466" s="2">
        <v>0</v>
      </c>
      <c r="Y3466">
        <v>22</v>
      </c>
      <c r="Z3466" t="s">
        <v>5508</v>
      </c>
      <c r="AA3466" s="3">
        <v>0.19299817085266099</v>
      </c>
      <c r="AB3466" t="s">
        <v>19427</v>
      </c>
      <c r="AC3466" t="s">
        <v>4562</v>
      </c>
      <c r="AD3466" t="s">
        <v>19426</v>
      </c>
      <c r="AE3466" t="s">
        <v>4655</v>
      </c>
      <c r="AF3466" t="s">
        <v>4563</v>
      </c>
      <c r="AG3466" t="s">
        <v>4564</v>
      </c>
      <c r="AH3466">
        <v>89506</v>
      </c>
      <c r="AI3466" t="s">
        <v>19428</v>
      </c>
      <c r="AJ3466" t="s">
        <v>4655</v>
      </c>
      <c r="AK3466" t="s">
        <v>19429</v>
      </c>
      <c r="AL3466" s="13" t="s">
        <v>1902</v>
      </c>
      <c r="AM3466">
        <v>1</v>
      </c>
      <c r="AN3466" s="15" t="s">
        <v>4198</v>
      </c>
    </row>
    <row r="3467" spans="1:40" x14ac:dyDescent="0.3">
      <c r="A3467" s="10" t="str">
        <f>HYPERLINK("http://www.washoecounty.gov/assessor/cama/?parid=080-522-63&amp;CardNumber=1","080-522-63")</f>
        <v>080-522-63</v>
      </c>
      <c r="B3467" t="s">
        <v>4655</v>
      </c>
      <c r="C3467" t="s">
        <v>19430</v>
      </c>
      <c r="D3467" s="1">
        <v>40359</v>
      </c>
      <c r="E3467" s="2">
        <v>45000</v>
      </c>
      <c r="F3467" t="s">
        <v>4553</v>
      </c>
      <c r="G3467" s="17" t="str">
        <f>HYPERLINK("https://www.washoecounty.gov/assessor/cama/?command=sales&amp;parid=08052263","3897115")</f>
        <v>3897115</v>
      </c>
      <c r="H3467" t="s">
        <v>19431</v>
      </c>
      <c r="I3467">
        <v>1992</v>
      </c>
      <c r="J3467">
        <v>1992</v>
      </c>
      <c r="K3467" t="s">
        <v>4847</v>
      </c>
      <c r="L3467" t="s">
        <v>4555</v>
      </c>
      <c r="M3467" s="2">
        <v>1397</v>
      </c>
      <c r="N3467" t="s">
        <v>5280</v>
      </c>
      <c r="O3467">
        <v>3</v>
      </c>
      <c r="P3467">
        <v>2</v>
      </c>
      <c r="Q3467">
        <v>0</v>
      </c>
      <c r="R3467" t="s">
        <v>5281</v>
      </c>
      <c r="S3467" t="s">
        <v>4558</v>
      </c>
      <c r="T3467" t="s">
        <v>4559</v>
      </c>
      <c r="U3467" t="s">
        <v>4655</v>
      </c>
      <c r="V3467" s="2">
        <v>0</v>
      </c>
      <c r="W3467" t="s">
        <v>4655</v>
      </c>
      <c r="X3467" s="2">
        <v>0</v>
      </c>
      <c r="Y3467">
        <v>22</v>
      </c>
      <c r="Z3467" t="s">
        <v>5508</v>
      </c>
      <c r="AA3467" s="3">
        <v>0.26000916957855202</v>
      </c>
      <c r="AB3467" t="s">
        <v>19432</v>
      </c>
      <c r="AC3467" t="s">
        <v>4562</v>
      </c>
      <c r="AD3467" t="s">
        <v>19430</v>
      </c>
      <c r="AE3467" t="s">
        <v>4655</v>
      </c>
      <c r="AF3467" t="s">
        <v>4563</v>
      </c>
      <c r="AG3467" t="s">
        <v>4564</v>
      </c>
      <c r="AH3467">
        <v>89506</v>
      </c>
      <c r="AI3467" t="s">
        <v>4848</v>
      </c>
      <c r="AJ3467" t="s">
        <v>4655</v>
      </c>
      <c r="AK3467" t="s">
        <v>19433</v>
      </c>
      <c r="AL3467" s="13" t="s">
        <v>1902</v>
      </c>
      <c r="AM3467" s="14">
        <v>1</v>
      </c>
      <c r="AN3467" s="15" t="s">
        <v>4198</v>
      </c>
    </row>
    <row r="3468" spans="1:40" x14ac:dyDescent="0.3">
      <c r="A3468" s="10" t="str">
        <f>HYPERLINK("http://www.washoecounty.gov/assessor/cama/?parid=080-561-01&amp;CardNumber=1","080-561-01")</f>
        <v>080-561-01</v>
      </c>
      <c r="B3468" t="s">
        <v>4655</v>
      </c>
      <c r="C3468" t="s">
        <v>19434</v>
      </c>
      <c r="D3468" s="1">
        <v>40253</v>
      </c>
      <c r="E3468" s="2">
        <v>99900</v>
      </c>
      <c r="F3468" t="s">
        <v>4553</v>
      </c>
      <c r="G3468" s="17" t="str">
        <f>HYPERLINK("https://www.washoecounty.gov/assessor/cama/?command=sales&amp;parid=08056101","3860138")</f>
        <v>3860138</v>
      </c>
      <c r="H3468" t="s">
        <v>19435</v>
      </c>
      <c r="I3468">
        <v>1971</v>
      </c>
      <c r="J3468">
        <v>1971</v>
      </c>
      <c r="K3468" t="s">
        <v>4554</v>
      </c>
      <c r="L3468" t="s">
        <v>4555</v>
      </c>
      <c r="M3468" s="2">
        <v>1143</v>
      </c>
      <c r="N3468" t="s">
        <v>4556</v>
      </c>
      <c r="O3468">
        <v>4</v>
      </c>
      <c r="P3468">
        <v>1</v>
      </c>
      <c r="Q3468">
        <v>1</v>
      </c>
      <c r="R3468" t="s">
        <v>4557</v>
      </c>
      <c r="S3468" t="s">
        <v>4558</v>
      </c>
      <c r="T3468" t="s">
        <v>4559</v>
      </c>
      <c r="U3468" t="s">
        <v>4655</v>
      </c>
      <c r="V3468" s="2">
        <v>0</v>
      </c>
      <c r="W3468" t="s">
        <v>4655</v>
      </c>
      <c r="X3468" s="2">
        <v>0</v>
      </c>
      <c r="Y3468">
        <v>20</v>
      </c>
      <c r="Z3468" t="s">
        <v>5508</v>
      </c>
      <c r="AA3468" s="3">
        <v>0.36099633574485801</v>
      </c>
      <c r="AB3468" t="s">
        <v>19436</v>
      </c>
      <c r="AC3468" t="s">
        <v>4562</v>
      </c>
      <c r="AD3468" t="s">
        <v>19434</v>
      </c>
      <c r="AE3468" t="s">
        <v>4655</v>
      </c>
      <c r="AF3468" t="s">
        <v>4563</v>
      </c>
      <c r="AG3468" t="s">
        <v>4564</v>
      </c>
      <c r="AH3468">
        <v>89506</v>
      </c>
      <c r="AI3468" t="s">
        <v>4585</v>
      </c>
      <c r="AJ3468" t="s">
        <v>4655</v>
      </c>
      <c r="AK3468" t="s">
        <v>19437</v>
      </c>
      <c r="AL3468" s="13" t="s">
        <v>1902</v>
      </c>
      <c r="AM3468" s="14">
        <v>1</v>
      </c>
      <c r="AN3468" s="15" t="s">
        <v>1794</v>
      </c>
    </row>
    <row r="3469" spans="1:40" x14ac:dyDescent="0.3">
      <c r="A3469" s="10" t="str">
        <f>HYPERLINK("http://www.washoecounty.gov/assessor/cama/?parid=080-561-05&amp;CardNumber=1","080-561-05")</f>
        <v>080-561-05</v>
      </c>
      <c r="B3469" t="s">
        <v>4655</v>
      </c>
      <c r="C3469" t="s">
        <v>19438</v>
      </c>
      <c r="D3469" s="1">
        <v>40491</v>
      </c>
      <c r="E3469" s="2">
        <v>102000</v>
      </c>
      <c r="F3469" t="s">
        <v>4553</v>
      </c>
      <c r="G3469" s="17" t="str">
        <f>HYPERLINK("https://www.washoecounty.gov/assessor/cama/?command=sales&amp;parid=08056105","3941400")</f>
        <v>3941400</v>
      </c>
      <c r="H3469" t="s">
        <v>2813</v>
      </c>
      <c r="I3469">
        <v>1971</v>
      </c>
      <c r="J3469">
        <v>1971</v>
      </c>
      <c r="K3469" t="s">
        <v>4554</v>
      </c>
      <c r="L3469" t="s">
        <v>4555</v>
      </c>
      <c r="M3469" s="2">
        <v>1295</v>
      </c>
      <c r="N3469" t="s">
        <v>4556</v>
      </c>
      <c r="O3469">
        <v>3</v>
      </c>
      <c r="P3469">
        <v>1</v>
      </c>
      <c r="Q3469">
        <v>1</v>
      </c>
      <c r="R3469" t="s">
        <v>4557</v>
      </c>
      <c r="S3469" t="s">
        <v>4558</v>
      </c>
      <c r="T3469" t="s">
        <v>4559</v>
      </c>
      <c r="U3469" t="s">
        <v>4560</v>
      </c>
      <c r="V3469" s="2">
        <v>288</v>
      </c>
      <c r="W3469" t="s">
        <v>4655</v>
      </c>
      <c r="X3469" s="2">
        <v>0</v>
      </c>
      <c r="Y3469">
        <v>20</v>
      </c>
      <c r="Z3469" t="s">
        <v>5508</v>
      </c>
      <c r="AA3469" s="3">
        <v>0.30399447679519698</v>
      </c>
      <c r="AB3469" t="s">
        <v>19439</v>
      </c>
      <c r="AC3469" t="s">
        <v>4562</v>
      </c>
      <c r="AD3469" t="s">
        <v>19438</v>
      </c>
      <c r="AE3469" t="s">
        <v>4655</v>
      </c>
      <c r="AF3469" t="s">
        <v>4563</v>
      </c>
      <c r="AG3469" t="s">
        <v>4564</v>
      </c>
      <c r="AH3469">
        <v>89506</v>
      </c>
      <c r="AI3469" t="s">
        <v>4655</v>
      </c>
      <c r="AJ3469" t="s">
        <v>4655</v>
      </c>
      <c r="AK3469" t="s">
        <v>19440</v>
      </c>
      <c r="AL3469" s="13" t="s">
        <v>1902</v>
      </c>
      <c r="AM3469">
        <v>1</v>
      </c>
      <c r="AN3469" s="15" t="s">
        <v>1794</v>
      </c>
    </row>
    <row r="3470" spans="1:40" x14ac:dyDescent="0.3">
      <c r="A3470" s="10" t="str">
        <f>HYPERLINK("http://www.washoecounty.gov/assessor/cama/?parid=080-562-01&amp;CardNumber=1","080-562-01")</f>
        <v>080-562-01</v>
      </c>
      <c r="B3470" t="s">
        <v>4655</v>
      </c>
      <c r="C3470" t="s">
        <v>19441</v>
      </c>
      <c r="D3470" s="1">
        <v>40259</v>
      </c>
      <c r="E3470" s="2">
        <v>77000</v>
      </c>
      <c r="F3470" t="s">
        <v>4553</v>
      </c>
      <c r="G3470" s="17" t="str">
        <f>HYPERLINK("https://www.washoecounty.gov/assessor/cama/?command=sales&amp;parid=08056201","3862153")</f>
        <v>3862153</v>
      </c>
      <c r="H3470" t="s">
        <v>4184</v>
      </c>
      <c r="I3470">
        <v>1971</v>
      </c>
      <c r="J3470">
        <v>1973</v>
      </c>
      <c r="K3470" t="s">
        <v>4554</v>
      </c>
      <c r="L3470" t="s">
        <v>4555</v>
      </c>
      <c r="M3470" s="2">
        <v>1407</v>
      </c>
      <c r="N3470" t="s">
        <v>4556</v>
      </c>
      <c r="O3470">
        <v>4</v>
      </c>
      <c r="P3470">
        <v>1</v>
      </c>
      <c r="Q3470">
        <v>1</v>
      </c>
      <c r="R3470" t="s">
        <v>4557</v>
      </c>
      <c r="S3470" t="s">
        <v>4558</v>
      </c>
      <c r="T3470" t="s">
        <v>4559</v>
      </c>
      <c r="U3470" t="s">
        <v>4560</v>
      </c>
      <c r="V3470" s="2">
        <v>220</v>
      </c>
      <c r="W3470" t="s">
        <v>4655</v>
      </c>
      <c r="X3470" s="2">
        <v>0</v>
      </c>
      <c r="Y3470">
        <v>20</v>
      </c>
      <c r="Z3470" t="s">
        <v>5508</v>
      </c>
      <c r="AA3470" s="3">
        <v>0.33399906754493702</v>
      </c>
      <c r="AB3470" t="s">
        <v>19442</v>
      </c>
      <c r="AC3470" t="s">
        <v>4575</v>
      </c>
      <c r="AD3470" t="s">
        <v>19443</v>
      </c>
      <c r="AE3470" t="s">
        <v>4655</v>
      </c>
      <c r="AF3470" t="s">
        <v>4563</v>
      </c>
      <c r="AG3470" t="s">
        <v>4564</v>
      </c>
      <c r="AH3470">
        <v>89509</v>
      </c>
      <c r="AI3470" t="s">
        <v>19444</v>
      </c>
      <c r="AJ3470" t="s">
        <v>4655</v>
      </c>
      <c r="AK3470" t="s">
        <v>19445</v>
      </c>
      <c r="AL3470" s="13" t="s">
        <v>1902</v>
      </c>
      <c r="AM3470" s="14">
        <v>1</v>
      </c>
      <c r="AN3470" s="15" t="s">
        <v>1794</v>
      </c>
    </row>
    <row r="3471" spans="1:40" x14ac:dyDescent="0.3">
      <c r="A3471" s="10" t="str">
        <f>HYPERLINK("http://www.washoecounty.gov/assessor/cama/?parid=080-562-03&amp;CardNumber=1","080-562-03")</f>
        <v>080-562-03</v>
      </c>
      <c r="B3471" t="s">
        <v>4655</v>
      </c>
      <c r="C3471" t="s">
        <v>19446</v>
      </c>
      <c r="D3471" s="1">
        <v>40260</v>
      </c>
      <c r="E3471" s="2">
        <v>90000</v>
      </c>
      <c r="F3471" t="s">
        <v>4567</v>
      </c>
      <c r="G3471" s="17" t="str">
        <f>HYPERLINK("https://www.washoecounty.gov/assessor/cama/?command=sales&amp;parid=08056203","3860352")</f>
        <v>3860352</v>
      </c>
      <c r="H3471" t="s">
        <v>4184</v>
      </c>
      <c r="I3471">
        <v>1971</v>
      </c>
      <c r="J3471">
        <v>1971</v>
      </c>
      <c r="K3471" t="s">
        <v>4554</v>
      </c>
      <c r="L3471" t="s">
        <v>4555</v>
      </c>
      <c r="M3471" s="2">
        <v>1143</v>
      </c>
      <c r="N3471" t="s">
        <v>4556</v>
      </c>
      <c r="O3471">
        <v>4</v>
      </c>
      <c r="P3471">
        <v>1</v>
      </c>
      <c r="Q3471">
        <v>1</v>
      </c>
      <c r="R3471" t="s">
        <v>4557</v>
      </c>
      <c r="S3471" t="s">
        <v>4558</v>
      </c>
      <c r="T3471" t="s">
        <v>4559</v>
      </c>
      <c r="U3471" t="s">
        <v>4560</v>
      </c>
      <c r="V3471" s="2">
        <v>288</v>
      </c>
      <c r="W3471" t="s">
        <v>4655</v>
      </c>
      <c r="X3471" s="2">
        <v>0</v>
      </c>
      <c r="Y3471">
        <v>20</v>
      </c>
      <c r="Z3471" t="s">
        <v>5508</v>
      </c>
      <c r="AA3471" s="3">
        <v>0.34699264168739319</v>
      </c>
      <c r="AB3471" t="s">
        <v>19447</v>
      </c>
      <c r="AC3471" t="s">
        <v>4562</v>
      </c>
      <c r="AD3471" t="s">
        <v>19446</v>
      </c>
      <c r="AE3471" t="s">
        <v>4655</v>
      </c>
      <c r="AF3471" t="s">
        <v>4563</v>
      </c>
      <c r="AG3471" t="s">
        <v>4564</v>
      </c>
      <c r="AH3471">
        <v>89506</v>
      </c>
      <c r="AI3471" t="s">
        <v>19448</v>
      </c>
      <c r="AJ3471" t="s">
        <v>4655</v>
      </c>
      <c r="AK3471" t="s">
        <v>19449</v>
      </c>
      <c r="AL3471" s="13" t="s">
        <v>1902</v>
      </c>
      <c r="AM3471">
        <v>1</v>
      </c>
      <c r="AN3471" s="15" t="s">
        <v>1794</v>
      </c>
    </row>
    <row r="3472" spans="1:40" x14ac:dyDescent="0.3">
      <c r="A3472" s="10" t="str">
        <f>HYPERLINK("http://www.washoecounty.gov/assessor/cama/?parid=080-563-03&amp;CardNumber=1","080-563-03")</f>
        <v>080-563-03</v>
      </c>
      <c r="B3472" t="s">
        <v>4655</v>
      </c>
      <c r="C3472" t="s">
        <v>19450</v>
      </c>
      <c r="D3472" s="1">
        <v>40268</v>
      </c>
      <c r="E3472" s="2">
        <v>140000</v>
      </c>
      <c r="F3472" t="s">
        <v>4567</v>
      </c>
      <c r="G3472" s="17" t="str">
        <f>HYPERLINK("https://www.washoecounty.gov/assessor/cama/?command=sales&amp;parid=08056303","3866323")</f>
        <v>3866323</v>
      </c>
      <c r="H3472" t="s">
        <v>4184</v>
      </c>
      <c r="I3472">
        <v>1971</v>
      </c>
      <c r="J3472">
        <v>1971</v>
      </c>
      <c r="K3472" t="s">
        <v>4554</v>
      </c>
      <c r="L3472" t="s">
        <v>4555</v>
      </c>
      <c r="M3472" s="2">
        <v>1143</v>
      </c>
      <c r="N3472" t="s">
        <v>4556</v>
      </c>
      <c r="O3472">
        <v>4</v>
      </c>
      <c r="P3472">
        <v>1</v>
      </c>
      <c r="Q3472">
        <v>1</v>
      </c>
      <c r="R3472" t="s">
        <v>4557</v>
      </c>
      <c r="S3472" t="s">
        <v>4135</v>
      </c>
      <c r="T3472" t="s">
        <v>4559</v>
      </c>
      <c r="U3472" t="s">
        <v>4655</v>
      </c>
      <c r="V3472" s="2">
        <v>0</v>
      </c>
      <c r="W3472" t="s">
        <v>4655</v>
      </c>
      <c r="X3472" s="2">
        <v>0</v>
      </c>
      <c r="Y3472">
        <v>20</v>
      </c>
      <c r="Z3472" t="s">
        <v>5508</v>
      </c>
      <c r="AA3472" s="3">
        <v>0.47300276160240201</v>
      </c>
      <c r="AB3472" t="s">
        <v>19451</v>
      </c>
      <c r="AC3472" t="s">
        <v>4562</v>
      </c>
      <c r="AD3472" t="s">
        <v>19452</v>
      </c>
      <c r="AE3472" t="s">
        <v>4655</v>
      </c>
      <c r="AF3472" t="s">
        <v>3114</v>
      </c>
      <c r="AG3472" t="s">
        <v>4564</v>
      </c>
      <c r="AH3472">
        <v>89506</v>
      </c>
      <c r="AI3472" t="s">
        <v>19453</v>
      </c>
      <c r="AJ3472" t="s">
        <v>4655</v>
      </c>
      <c r="AK3472" t="s">
        <v>19454</v>
      </c>
      <c r="AL3472" s="13" t="s">
        <v>1902</v>
      </c>
      <c r="AM3472">
        <v>1</v>
      </c>
      <c r="AN3472" s="15" t="s">
        <v>1794</v>
      </c>
    </row>
    <row r="3473" spans="1:40" x14ac:dyDescent="0.3">
      <c r="A3473" s="10" t="str">
        <f>HYPERLINK("http://www.washoecounty.gov/assessor/cama/?parid=080-564-16&amp;CardNumber=1","080-564-16")</f>
        <v>080-564-16</v>
      </c>
      <c r="B3473" t="s">
        <v>4655</v>
      </c>
      <c r="C3473" t="s">
        <v>19455</v>
      </c>
      <c r="D3473" s="1">
        <v>40359</v>
      </c>
      <c r="E3473" s="2">
        <v>100000</v>
      </c>
      <c r="F3473" t="s">
        <v>4567</v>
      </c>
      <c r="G3473" s="17" t="str">
        <f>HYPERLINK("https://www.washoecounty.gov/assessor/cama/?command=sales&amp;parid=08056416","3897146")</f>
        <v>3897146</v>
      </c>
      <c r="H3473" t="s">
        <v>4184</v>
      </c>
      <c r="I3473">
        <v>1970</v>
      </c>
      <c r="J3473">
        <v>1970</v>
      </c>
      <c r="K3473" t="s">
        <v>4554</v>
      </c>
      <c r="L3473" t="s">
        <v>4555</v>
      </c>
      <c r="M3473" s="2">
        <v>1143</v>
      </c>
      <c r="N3473" t="s">
        <v>4556</v>
      </c>
      <c r="O3473">
        <v>4</v>
      </c>
      <c r="P3473">
        <v>1</v>
      </c>
      <c r="Q3473">
        <v>1</v>
      </c>
      <c r="R3473" t="s">
        <v>5281</v>
      </c>
      <c r="S3473" t="s">
        <v>4898</v>
      </c>
      <c r="T3473" t="s">
        <v>4559</v>
      </c>
      <c r="U3473" t="s">
        <v>4655</v>
      </c>
      <c r="V3473" s="2">
        <v>0</v>
      </c>
      <c r="W3473" t="s">
        <v>4655</v>
      </c>
      <c r="X3473" s="2">
        <v>0</v>
      </c>
      <c r="Y3473">
        <v>20</v>
      </c>
      <c r="Z3473" t="s">
        <v>5508</v>
      </c>
      <c r="AA3473" s="3">
        <v>0.36299356818199158</v>
      </c>
      <c r="AB3473" t="s">
        <v>19456</v>
      </c>
      <c r="AC3473" t="s">
        <v>4562</v>
      </c>
      <c r="AD3473" t="s">
        <v>19455</v>
      </c>
      <c r="AE3473" t="s">
        <v>4655</v>
      </c>
      <c r="AF3473" t="s">
        <v>4563</v>
      </c>
      <c r="AG3473" t="s">
        <v>4564</v>
      </c>
      <c r="AH3473">
        <v>89506</v>
      </c>
      <c r="AI3473" t="s">
        <v>19457</v>
      </c>
      <c r="AJ3473" t="s">
        <v>4655</v>
      </c>
      <c r="AK3473" t="s">
        <v>19458</v>
      </c>
      <c r="AL3473" s="13" t="s">
        <v>1902</v>
      </c>
      <c r="AM3473" s="14">
        <v>1</v>
      </c>
      <c r="AN3473" s="15" t="s">
        <v>1794</v>
      </c>
    </row>
    <row r="3474" spans="1:40" x14ac:dyDescent="0.3">
      <c r="A3474" s="10" t="str">
        <f>HYPERLINK("http://www.washoecounty.gov/assessor/cama/?parid=080-571-03&amp;CardNumber=1","080-571-03")</f>
        <v>080-571-03</v>
      </c>
      <c r="B3474" t="s">
        <v>4655</v>
      </c>
      <c r="C3474" t="s">
        <v>19459</v>
      </c>
      <c r="D3474" s="1">
        <v>40520</v>
      </c>
      <c r="E3474" s="2">
        <v>84900</v>
      </c>
      <c r="F3474" t="s">
        <v>4553</v>
      </c>
      <c r="G3474" s="17" t="str">
        <f>HYPERLINK("https://www.washoecounty.gov/assessor/cama/?command=sales&amp;parid=08057103","3953519")</f>
        <v>3953519</v>
      </c>
      <c r="H3474" t="s">
        <v>4184</v>
      </c>
      <c r="I3474">
        <v>1970</v>
      </c>
      <c r="J3474">
        <v>1970</v>
      </c>
      <c r="K3474" t="s">
        <v>4554</v>
      </c>
      <c r="L3474" t="s">
        <v>4555</v>
      </c>
      <c r="M3474" s="2">
        <v>1144</v>
      </c>
      <c r="N3474" t="s">
        <v>4556</v>
      </c>
      <c r="O3474">
        <v>4</v>
      </c>
      <c r="P3474">
        <v>1</v>
      </c>
      <c r="Q3474">
        <v>1</v>
      </c>
      <c r="R3474" t="s">
        <v>4557</v>
      </c>
      <c r="S3474" t="s">
        <v>4558</v>
      </c>
      <c r="T3474" t="s">
        <v>4559</v>
      </c>
      <c r="U3474" t="s">
        <v>4560</v>
      </c>
      <c r="V3474" s="2">
        <v>288</v>
      </c>
      <c r="W3474" t="s">
        <v>4655</v>
      </c>
      <c r="X3474" s="2">
        <v>0</v>
      </c>
      <c r="Y3474">
        <v>20</v>
      </c>
      <c r="Z3474" t="s">
        <v>5508</v>
      </c>
      <c r="AA3474" s="3">
        <v>0.39499542117118802</v>
      </c>
      <c r="AB3474" t="s">
        <v>19460</v>
      </c>
      <c r="AC3474" t="s">
        <v>4562</v>
      </c>
      <c r="AD3474" t="s">
        <v>19461</v>
      </c>
      <c r="AE3474" t="s">
        <v>4655</v>
      </c>
      <c r="AF3474" t="s">
        <v>4563</v>
      </c>
      <c r="AG3474" t="s">
        <v>4564</v>
      </c>
      <c r="AH3474">
        <v>89506</v>
      </c>
      <c r="AI3474" t="s">
        <v>4903</v>
      </c>
      <c r="AJ3474" t="s">
        <v>4655</v>
      </c>
      <c r="AK3474" t="s">
        <v>19462</v>
      </c>
      <c r="AL3474" s="13" t="s">
        <v>1902</v>
      </c>
      <c r="AM3474">
        <v>1</v>
      </c>
      <c r="AN3474" s="15" t="s">
        <v>1794</v>
      </c>
    </row>
    <row r="3475" spans="1:40" x14ac:dyDescent="0.3">
      <c r="A3475" s="10" t="str">
        <f>HYPERLINK("http://www.washoecounty.gov/assessor/cama/?parid=080-573-06&amp;CardNumber=1","080-573-06")</f>
        <v>080-573-06</v>
      </c>
      <c r="B3475" t="s">
        <v>4655</v>
      </c>
      <c r="C3475" t="s">
        <v>19463</v>
      </c>
      <c r="D3475" s="1">
        <v>40478</v>
      </c>
      <c r="E3475" s="2">
        <v>87000</v>
      </c>
      <c r="F3475" t="s">
        <v>4553</v>
      </c>
      <c r="G3475" s="17" t="str">
        <f>HYPERLINK("https://www.washoecounty.gov/assessor/cama/?command=sales&amp;parid=08057306","3937182")</f>
        <v>3937182</v>
      </c>
      <c r="H3475" t="s">
        <v>3559</v>
      </c>
      <c r="I3475">
        <v>1972</v>
      </c>
      <c r="J3475">
        <v>1972</v>
      </c>
      <c r="K3475" t="s">
        <v>4554</v>
      </c>
      <c r="L3475" t="s">
        <v>4555</v>
      </c>
      <c r="M3475" s="2">
        <v>1144</v>
      </c>
      <c r="N3475" t="s">
        <v>4556</v>
      </c>
      <c r="O3475">
        <v>4</v>
      </c>
      <c r="P3475">
        <v>1</v>
      </c>
      <c r="Q3475">
        <v>1</v>
      </c>
      <c r="R3475" t="s">
        <v>4557</v>
      </c>
      <c r="S3475" t="s">
        <v>4135</v>
      </c>
      <c r="T3475" t="s">
        <v>4559</v>
      </c>
      <c r="U3475" t="s">
        <v>4655</v>
      </c>
      <c r="V3475" s="2">
        <v>0</v>
      </c>
      <c r="W3475" t="s">
        <v>4655</v>
      </c>
      <c r="X3475" s="2">
        <v>0</v>
      </c>
      <c r="Y3475">
        <v>20</v>
      </c>
      <c r="Z3475" t="s">
        <v>5508</v>
      </c>
      <c r="AA3475" s="3">
        <v>0.19800275564193701</v>
      </c>
      <c r="AB3475" t="s">
        <v>19464</v>
      </c>
      <c r="AC3475" t="s">
        <v>4562</v>
      </c>
      <c r="AD3475" t="s">
        <v>19465</v>
      </c>
      <c r="AE3475" t="s">
        <v>4655</v>
      </c>
      <c r="AF3475" t="s">
        <v>4563</v>
      </c>
      <c r="AG3475" t="s">
        <v>4564</v>
      </c>
      <c r="AH3475">
        <v>89506</v>
      </c>
      <c r="AI3475" t="s">
        <v>4655</v>
      </c>
      <c r="AJ3475" t="s">
        <v>4655</v>
      </c>
      <c r="AK3475" t="s">
        <v>19466</v>
      </c>
      <c r="AL3475" s="13" t="s">
        <v>1902</v>
      </c>
      <c r="AM3475">
        <v>1</v>
      </c>
      <c r="AN3475" s="15" t="s">
        <v>1794</v>
      </c>
    </row>
    <row r="3476" spans="1:40" x14ac:dyDescent="0.3">
      <c r="A3476" s="10" t="str">
        <f>HYPERLINK("http://www.washoecounty.gov/assessor/cama/?parid=080-581-19&amp;CardNumber=1","080-581-19")</f>
        <v>080-581-19</v>
      </c>
      <c r="B3476" t="s">
        <v>4655</v>
      </c>
      <c r="C3476" t="s">
        <v>19467</v>
      </c>
      <c r="D3476" s="1">
        <v>40500</v>
      </c>
      <c r="E3476" s="2">
        <v>96000</v>
      </c>
      <c r="F3476" t="s">
        <v>4567</v>
      </c>
      <c r="G3476" s="17" t="str">
        <f>HYPERLINK("https://www.washoecounty.gov/assessor/cama/?command=sales&amp;parid=08058119","3944579")</f>
        <v>3944579</v>
      </c>
      <c r="H3476" t="s">
        <v>19468</v>
      </c>
      <c r="I3476">
        <v>1970</v>
      </c>
      <c r="J3476">
        <v>1973</v>
      </c>
      <c r="K3476" t="s">
        <v>4554</v>
      </c>
      <c r="L3476" t="s">
        <v>4555</v>
      </c>
      <c r="M3476" s="2">
        <v>1295</v>
      </c>
      <c r="N3476" t="s">
        <v>4556</v>
      </c>
      <c r="O3476">
        <v>3</v>
      </c>
      <c r="P3476">
        <v>1</v>
      </c>
      <c r="Q3476">
        <v>0</v>
      </c>
      <c r="R3476" t="s">
        <v>4557</v>
      </c>
      <c r="S3476" t="s">
        <v>4558</v>
      </c>
      <c r="T3476" t="s">
        <v>4559</v>
      </c>
      <c r="U3476" t="s">
        <v>4560</v>
      </c>
      <c r="V3476" s="2">
        <v>651</v>
      </c>
      <c r="W3476" t="s">
        <v>4655</v>
      </c>
      <c r="X3476" s="2">
        <v>0</v>
      </c>
      <c r="Y3476">
        <v>20</v>
      </c>
      <c r="Z3476" t="s">
        <v>5508</v>
      </c>
      <c r="AA3476" s="3">
        <v>0.40300735831260698</v>
      </c>
      <c r="AB3476" t="s">
        <v>19469</v>
      </c>
      <c r="AC3476" t="s">
        <v>4562</v>
      </c>
      <c r="AD3476" t="s">
        <v>19467</v>
      </c>
      <c r="AE3476" t="s">
        <v>4655</v>
      </c>
      <c r="AF3476" t="s">
        <v>4563</v>
      </c>
      <c r="AG3476" t="s">
        <v>4564</v>
      </c>
      <c r="AH3476">
        <v>89506</v>
      </c>
      <c r="AI3476" t="s">
        <v>19470</v>
      </c>
      <c r="AJ3476" t="s">
        <v>4655</v>
      </c>
      <c r="AK3476" t="s">
        <v>19471</v>
      </c>
      <c r="AL3476" s="13" t="s">
        <v>1902</v>
      </c>
      <c r="AM3476">
        <v>1</v>
      </c>
      <c r="AN3476" s="15" t="s">
        <v>1794</v>
      </c>
    </row>
    <row r="3477" spans="1:40" x14ac:dyDescent="0.3">
      <c r="A3477" s="10" t="str">
        <f>HYPERLINK("http://www.washoecounty.gov/assessor/cama/?parid=080-581-20&amp;CardNumber=1","080-581-20")</f>
        <v>080-581-20</v>
      </c>
      <c r="B3477" t="s">
        <v>4655</v>
      </c>
      <c r="C3477" t="s">
        <v>19472</v>
      </c>
      <c r="D3477" s="1">
        <v>40413</v>
      </c>
      <c r="E3477" s="2">
        <v>88400</v>
      </c>
      <c r="F3477" t="s">
        <v>4553</v>
      </c>
      <c r="G3477" s="17" t="str">
        <f>HYPERLINK("https://www.washoecounty.gov/assessor/cama/?command=sales&amp;parid=08058120","3914800")</f>
        <v>3914800</v>
      </c>
      <c r="H3477" t="s">
        <v>2799</v>
      </c>
      <c r="I3477">
        <v>1970</v>
      </c>
      <c r="J3477">
        <v>1970</v>
      </c>
      <c r="K3477" t="s">
        <v>4554</v>
      </c>
      <c r="L3477" t="s">
        <v>4555</v>
      </c>
      <c r="M3477" s="2">
        <v>1007</v>
      </c>
      <c r="N3477" t="s">
        <v>4556</v>
      </c>
      <c r="O3477">
        <v>3</v>
      </c>
      <c r="P3477">
        <v>1</v>
      </c>
      <c r="Q3477">
        <v>0</v>
      </c>
      <c r="R3477" t="s">
        <v>4557</v>
      </c>
      <c r="S3477" t="s">
        <v>4135</v>
      </c>
      <c r="T3477" t="s">
        <v>4559</v>
      </c>
      <c r="U3477" t="s">
        <v>4560</v>
      </c>
      <c r="V3477" s="2">
        <v>288</v>
      </c>
      <c r="W3477" t="s">
        <v>4655</v>
      </c>
      <c r="X3477" s="2">
        <v>0</v>
      </c>
      <c r="Y3477">
        <v>20</v>
      </c>
      <c r="Z3477" t="s">
        <v>5508</v>
      </c>
      <c r="AA3477" s="3">
        <v>0.42899447679519653</v>
      </c>
      <c r="AB3477" t="s">
        <v>19473</v>
      </c>
      <c r="AC3477" t="s">
        <v>4562</v>
      </c>
      <c r="AD3477" t="s">
        <v>19472</v>
      </c>
      <c r="AE3477" t="s">
        <v>4655</v>
      </c>
      <c r="AF3477" t="s">
        <v>4563</v>
      </c>
      <c r="AG3477" t="s">
        <v>4564</v>
      </c>
      <c r="AH3477">
        <v>89506</v>
      </c>
      <c r="AI3477" t="s">
        <v>4655</v>
      </c>
      <c r="AJ3477" t="s">
        <v>4655</v>
      </c>
      <c r="AK3477" t="s">
        <v>19474</v>
      </c>
      <c r="AL3477" s="13" t="s">
        <v>1902</v>
      </c>
      <c r="AM3477" s="14">
        <v>1</v>
      </c>
      <c r="AN3477" s="15" t="s">
        <v>1794</v>
      </c>
    </row>
    <row r="3478" spans="1:40" x14ac:dyDescent="0.3">
      <c r="A3478" s="10" t="str">
        <f>HYPERLINK("http://www.washoecounty.gov/assessor/cama/?parid=080-612-05&amp;CardNumber=1","080-612-05")</f>
        <v>080-612-05</v>
      </c>
      <c r="B3478" t="s">
        <v>4655</v>
      </c>
      <c r="C3478" t="s">
        <v>19475</v>
      </c>
      <c r="D3478" s="1">
        <v>40308</v>
      </c>
      <c r="E3478" s="2">
        <v>111700</v>
      </c>
      <c r="F3478" t="s">
        <v>4553</v>
      </c>
      <c r="G3478" s="17" t="str">
        <f>HYPERLINK("https://www.washoecounty.gov/assessor/cama/?command=sales&amp;parid=08061205","3879973")</f>
        <v>3879973</v>
      </c>
      <c r="H3478" t="s">
        <v>19476</v>
      </c>
      <c r="I3478">
        <v>1972</v>
      </c>
      <c r="J3478">
        <v>1974</v>
      </c>
      <c r="K3478" t="s">
        <v>4554</v>
      </c>
      <c r="L3478" t="s">
        <v>4555</v>
      </c>
      <c r="M3478" s="2">
        <v>1664</v>
      </c>
      <c r="N3478" t="s">
        <v>4556</v>
      </c>
      <c r="O3478">
        <v>4</v>
      </c>
      <c r="P3478">
        <v>1</v>
      </c>
      <c r="Q3478">
        <v>1</v>
      </c>
      <c r="R3478" t="s">
        <v>4557</v>
      </c>
      <c r="S3478" t="s">
        <v>4558</v>
      </c>
      <c r="T3478" t="s">
        <v>4559</v>
      </c>
      <c r="U3478" t="s">
        <v>4655</v>
      </c>
      <c r="V3478" s="2">
        <v>0</v>
      </c>
      <c r="W3478" t="s">
        <v>4655</v>
      </c>
      <c r="X3478" s="2">
        <v>0</v>
      </c>
      <c r="Y3478">
        <v>20</v>
      </c>
      <c r="Z3478" t="s">
        <v>5508</v>
      </c>
      <c r="AA3478" s="3">
        <v>0.20599173009395599</v>
      </c>
      <c r="AB3478" t="s">
        <v>19477</v>
      </c>
      <c r="AC3478" t="s">
        <v>4562</v>
      </c>
      <c r="AD3478" t="s">
        <v>19475</v>
      </c>
      <c r="AE3478" t="s">
        <v>4655</v>
      </c>
      <c r="AF3478" t="s">
        <v>4563</v>
      </c>
      <c r="AG3478" t="s">
        <v>4564</v>
      </c>
      <c r="AH3478">
        <v>89506</v>
      </c>
      <c r="AI3478" t="s">
        <v>796</v>
      </c>
      <c r="AJ3478" t="s">
        <v>4655</v>
      </c>
      <c r="AK3478" t="s">
        <v>19478</v>
      </c>
      <c r="AL3478" s="13" t="s">
        <v>1902</v>
      </c>
      <c r="AM3478" s="14">
        <v>1</v>
      </c>
      <c r="AN3478" s="15" t="s">
        <v>1794</v>
      </c>
    </row>
    <row r="3479" spans="1:40" x14ac:dyDescent="0.3">
      <c r="A3479" s="10" t="str">
        <f>HYPERLINK("http://www.washoecounty.gov/assessor/cama/?parid=080-612-12&amp;CardNumber=1","080-612-12")</f>
        <v>080-612-12</v>
      </c>
      <c r="B3479" t="s">
        <v>4655</v>
      </c>
      <c r="C3479" t="s">
        <v>19479</v>
      </c>
      <c r="D3479" s="1">
        <v>40515</v>
      </c>
      <c r="E3479" s="2">
        <v>75000</v>
      </c>
      <c r="F3479" t="s">
        <v>4567</v>
      </c>
      <c r="G3479" s="17" t="str">
        <f>HYPERLINK("https://www.washoecounty.gov/assessor/cama/?command=sales&amp;parid=08061212","3949371")</f>
        <v>3949371</v>
      </c>
      <c r="H3479" t="s">
        <v>19480</v>
      </c>
      <c r="I3479">
        <v>1971</v>
      </c>
      <c r="J3479">
        <v>1971</v>
      </c>
      <c r="K3479" t="s">
        <v>4554</v>
      </c>
      <c r="L3479" t="s">
        <v>4555</v>
      </c>
      <c r="M3479" s="2">
        <v>1143</v>
      </c>
      <c r="N3479" t="s">
        <v>4556</v>
      </c>
      <c r="O3479">
        <v>4</v>
      </c>
      <c r="P3479">
        <v>1</v>
      </c>
      <c r="Q3479">
        <v>1</v>
      </c>
      <c r="R3479" t="s">
        <v>4557</v>
      </c>
      <c r="S3479" t="s">
        <v>4558</v>
      </c>
      <c r="T3479" t="s">
        <v>4559</v>
      </c>
      <c r="U3479" t="s">
        <v>4655</v>
      </c>
      <c r="V3479" s="2">
        <v>0</v>
      </c>
      <c r="W3479" t="s">
        <v>4655</v>
      </c>
      <c r="X3479" s="2">
        <v>0</v>
      </c>
      <c r="Y3479">
        <v>20</v>
      </c>
      <c r="Z3479" t="s">
        <v>5508</v>
      </c>
      <c r="AA3479" s="3">
        <v>0.26299357414245605</v>
      </c>
      <c r="AB3479" t="s">
        <v>19481</v>
      </c>
      <c r="AC3479" t="s">
        <v>4562</v>
      </c>
      <c r="AD3479" t="s">
        <v>19479</v>
      </c>
      <c r="AE3479" t="s">
        <v>4655</v>
      </c>
      <c r="AF3479" t="s">
        <v>4563</v>
      </c>
      <c r="AG3479" t="s">
        <v>4564</v>
      </c>
      <c r="AH3479">
        <v>89506</v>
      </c>
      <c r="AI3479" t="s">
        <v>19482</v>
      </c>
      <c r="AJ3479" t="s">
        <v>4655</v>
      </c>
      <c r="AK3479" t="s">
        <v>19483</v>
      </c>
      <c r="AL3479" s="13" t="s">
        <v>1902</v>
      </c>
      <c r="AM3479">
        <v>1</v>
      </c>
      <c r="AN3479" s="15" t="s">
        <v>1794</v>
      </c>
    </row>
    <row r="3480" spans="1:40" x14ac:dyDescent="0.3">
      <c r="A3480" s="10" t="str">
        <f>HYPERLINK("http://www.washoecounty.gov/assessor/cama/?parid=080-613-19&amp;CardNumber=1","080-613-19")</f>
        <v>080-613-19</v>
      </c>
      <c r="B3480" t="s">
        <v>4655</v>
      </c>
      <c r="C3480" t="s">
        <v>19484</v>
      </c>
      <c r="D3480" s="1">
        <v>40340</v>
      </c>
      <c r="E3480" s="2">
        <v>105000</v>
      </c>
      <c r="F3480" t="s">
        <v>4553</v>
      </c>
      <c r="G3480" s="17" t="str">
        <f>HYPERLINK("https://www.washoecounty.gov/assessor/cama/?command=sales&amp;parid=08061319","3891068")</f>
        <v>3891068</v>
      </c>
      <c r="H3480" t="s">
        <v>2813</v>
      </c>
      <c r="I3480">
        <v>1972</v>
      </c>
      <c r="J3480">
        <v>1972</v>
      </c>
      <c r="K3480" t="s">
        <v>4554</v>
      </c>
      <c r="L3480" t="s">
        <v>4555</v>
      </c>
      <c r="M3480" s="2">
        <v>1008</v>
      </c>
      <c r="N3480" t="s">
        <v>4556</v>
      </c>
      <c r="O3480">
        <v>3</v>
      </c>
      <c r="P3480">
        <v>1</v>
      </c>
      <c r="Q3480">
        <v>1</v>
      </c>
      <c r="R3480" t="s">
        <v>4557</v>
      </c>
      <c r="S3480" t="s">
        <v>4558</v>
      </c>
      <c r="T3480" t="s">
        <v>4559</v>
      </c>
      <c r="U3480" t="s">
        <v>4655</v>
      </c>
      <c r="V3480" s="2">
        <v>0</v>
      </c>
      <c r="W3480" t="s">
        <v>4655</v>
      </c>
      <c r="X3480" s="2">
        <v>0</v>
      </c>
      <c r="Y3480">
        <v>20</v>
      </c>
      <c r="Z3480" t="s">
        <v>5508</v>
      </c>
      <c r="AA3480" s="3">
        <v>0.342998176813126</v>
      </c>
      <c r="AB3480" t="s">
        <v>19485</v>
      </c>
      <c r="AC3480" t="s">
        <v>4562</v>
      </c>
      <c r="AD3480" t="s">
        <v>19484</v>
      </c>
      <c r="AE3480" t="s">
        <v>4655</v>
      </c>
      <c r="AF3480" t="s">
        <v>4563</v>
      </c>
      <c r="AG3480" t="s">
        <v>4564</v>
      </c>
      <c r="AH3480">
        <v>89506</v>
      </c>
      <c r="AI3480" t="s">
        <v>4903</v>
      </c>
      <c r="AJ3480" t="s">
        <v>4655</v>
      </c>
      <c r="AK3480" t="s">
        <v>19486</v>
      </c>
      <c r="AL3480" s="13" t="s">
        <v>1902</v>
      </c>
      <c r="AM3480">
        <v>1</v>
      </c>
      <c r="AN3480" s="15" t="s">
        <v>1794</v>
      </c>
    </row>
    <row r="3481" spans="1:40" x14ac:dyDescent="0.3">
      <c r="A3481" s="10" t="str">
        <f>HYPERLINK("http://www.washoecounty.gov/assessor/cama/?parid=080-614-04&amp;CardNumber=1","080-614-04")</f>
        <v>080-614-04</v>
      </c>
      <c r="B3481" t="s">
        <v>4655</v>
      </c>
      <c r="C3481" t="s">
        <v>19487</v>
      </c>
      <c r="D3481" s="1">
        <v>40291</v>
      </c>
      <c r="E3481" s="2">
        <v>79900</v>
      </c>
      <c r="F3481" t="s">
        <v>4567</v>
      </c>
      <c r="G3481" s="17" t="str">
        <f>HYPERLINK("https://www.washoecounty.gov/assessor/cama/?command=sales&amp;parid=08061404","3874075")</f>
        <v>3874075</v>
      </c>
      <c r="H3481" t="s">
        <v>19488</v>
      </c>
      <c r="I3481">
        <v>1972</v>
      </c>
      <c r="J3481">
        <v>1972</v>
      </c>
      <c r="K3481" t="s">
        <v>4554</v>
      </c>
      <c r="L3481" t="s">
        <v>4555</v>
      </c>
      <c r="M3481" s="2">
        <v>1144</v>
      </c>
      <c r="N3481" t="s">
        <v>4556</v>
      </c>
      <c r="O3481">
        <v>4</v>
      </c>
      <c r="P3481">
        <v>1</v>
      </c>
      <c r="Q3481">
        <v>1</v>
      </c>
      <c r="R3481" t="s">
        <v>4557</v>
      </c>
      <c r="S3481" t="s">
        <v>4558</v>
      </c>
      <c r="T3481" t="s">
        <v>4559</v>
      </c>
      <c r="U3481" t="s">
        <v>4655</v>
      </c>
      <c r="V3481" s="2">
        <v>0</v>
      </c>
      <c r="W3481" t="s">
        <v>4655</v>
      </c>
      <c r="X3481" s="2">
        <v>0</v>
      </c>
      <c r="Y3481">
        <v>20</v>
      </c>
      <c r="Z3481" t="s">
        <v>5508</v>
      </c>
      <c r="AA3481" s="3">
        <v>0.22601009905338301</v>
      </c>
      <c r="AB3481" t="s">
        <v>19489</v>
      </c>
      <c r="AC3481" t="s">
        <v>4575</v>
      </c>
      <c r="AD3481" t="s">
        <v>19487</v>
      </c>
      <c r="AE3481" t="s">
        <v>4655</v>
      </c>
      <c r="AF3481" t="s">
        <v>4563</v>
      </c>
      <c r="AG3481" t="s">
        <v>4564</v>
      </c>
      <c r="AH3481">
        <v>89506</v>
      </c>
      <c r="AI3481" t="s">
        <v>19490</v>
      </c>
      <c r="AJ3481" t="s">
        <v>4655</v>
      </c>
      <c r="AK3481" t="s">
        <v>19491</v>
      </c>
      <c r="AL3481" s="13" t="s">
        <v>1902</v>
      </c>
      <c r="AM3481">
        <v>1</v>
      </c>
      <c r="AN3481" s="15" t="s">
        <v>1794</v>
      </c>
    </row>
    <row r="3482" spans="1:40" x14ac:dyDescent="0.3">
      <c r="A3482" s="10" t="str">
        <f>HYPERLINK("http://www.washoecounty.gov/assessor/cama/?parid=080-614-05&amp;CardNumber=1","080-614-05")</f>
        <v>080-614-05</v>
      </c>
      <c r="B3482" t="s">
        <v>4655</v>
      </c>
      <c r="C3482" t="s">
        <v>19492</v>
      </c>
      <c r="D3482" s="1">
        <v>40406</v>
      </c>
      <c r="E3482" s="2">
        <v>75000</v>
      </c>
      <c r="F3482" t="s">
        <v>4553</v>
      </c>
      <c r="G3482" s="17" t="str">
        <f>HYPERLINK("https://www.washoecounty.gov/assessor/cama/?command=sales&amp;parid=08061405","3912128")</f>
        <v>3912128</v>
      </c>
      <c r="H3482" t="s">
        <v>2813</v>
      </c>
      <c r="I3482">
        <v>1971</v>
      </c>
      <c r="J3482">
        <v>1971</v>
      </c>
      <c r="K3482" t="s">
        <v>4554</v>
      </c>
      <c r="L3482" t="s">
        <v>4555</v>
      </c>
      <c r="M3482" s="2">
        <v>1144</v>
      </c>
      <c r="N3482" t="s">
        <v>4556</v>
      </c>
      <c r="O3482">
        <v>4</v>
      </c>
      <c r="P3482">
        <v>1</v>
      </c>
      <c r="Q3482">
        <v>1</v>
      </c>
      <c r="R3482" t="s">
        <v>4557</v>
      </c>
      <c r="S3482" t="s">
        <v>4558</v>
      </c>
      <c r="T3482" t="s">
        <v>4559</v>
      </c>
      <c r="U3482" t="s">
        <v>4560</v>
      </c>
      <c r="V3482" s="2">
        <v>308</v>
      </c>
      <c r="W3482" t="s">
        <v>4655</v>
      </c>
      <c r="X3482" s="2">
        <v>0</v>
      </c>
      <c r="Y3482">
        <v>20</v>
      </c>
      <c r="Z3482" t="s">
        <v>5508</v>
      </c>
      <c r="AA3482" s="3">
        <v>0.22601009905338301</v>
      </c>
      <c r="AB3482" t="s">
        <v>19493</v>
      </c>
      <c r="AC3482" t="s">
        <v>4575</v>
      </c>
      <c r="AD3482" t="s">
        <v>19492</v>
      </c>
      <c r="AE3482" t="s">
        <v>4655</v>
      </c>
      <c r="AF3482" t="s">
        <v>4563</v>
      </c>
      <c r="AG3482" t="s">
        <v>4564</v>
      </c>
      <c r="AH3482">
        <v>89506</v>
      </c>
      <c r="AI3482" t="s">
        <v>19494</v>
      </c>
      <c r="AJ3482" t="s">
        <v>4655</v>
      </c>
      <c r="AK3482" t="s">
        <v>19495</v>
      </c>
      <c r="AL3482" s="13" t="s">
        <v>1902</v>
      </c>
      <c r="AM3482">
        <v>1</v>
      </c>
      <c r="AN3482" s="15" t="s">
        <v>1794</v>
      </c>
    </row>
    <row r="3483" spans="1:40" x14ac:dyDescent="0.3">
      <c r="A3483" s="10" t="str">
        <f>HYPERLINK("http://www.washoecounty.gov/assessor/cama/?parid=080-730-22&amp;CardNumber=1","080-730-22")</f>
        <v>080-730-22</v>
      </c>
      <c r="B3483" t="s">
        <v>4655</v>
      </c>
      <c r="C3483" t="s">
        <v>19496</v>
      </c>
      <c r="D3483" s="1">
        <v>40305</v>
      </c>
      <c r="E3483" s="2">
        <v>75000</v>
      </c>
      <c r="F3483" t="s">
        <v>3259</v>
      </c>
      <c r="G3483" s="17" t="str">
        <f>HYPERLINK("https://www.washoecounty.gov/assessor/cama/?command=sales&amp;parid=08073022","3879271")</f>
        <v>3879271</v>
      </c>
      <c r="H3483" t="s">
        <v>19497</v>
      </c>
      <c r="I3483">
        <v>0</v>
      </c>
      <c r="J3483">
        <v>0</v>
      </c>
      <c r="K3483" t="s">
        <v>4655</v>
      </c>
      <c r="L3483" t="s">
        <v>4655</v>
      </c>
      <c r="M3483" s="2">
        <v>0</v>
      </c>
      <c r="N3483" t="s">
        <v>4655</v>
      </c>
      <c r="O3483">
        <v>0</v>
      </c>
      <c r="P3483">
        <v>0</v>
      </c>
      <c r="Q3483">
        <v>0</v>
      </c>
      <c r="R3483" t="s">
        <v>4655</v>
      </c>
      <c r="S3483" t="s">
        <v>4655</v>
      </c>
      <c r="T3483" t="s">
        <v>4655</v>
      </c>
      <c r="U3483" t="s">
        <v>4655</v>
      </c>
      <c r="V3483" s="2">
        <v>0</v>
      </c>
      <c r="W3483" t="s">
        <v>4655</v>
      </c>
      <c r="X3483" s="2">
        <v>0</v>
      </c>
      <c r="Y3483">
        <v>12</v>
      </c>
      <c r="Z3483" t="s">
        <v>3668</v>
      </c>
      <c r="AA3483" s="3">
        <v>44.490001678466697</v>
      </c>
      <c r="AB3483" t="s">
        <v>19498</v>
      </c>
      <c r="AC3483" t="s">
        <v>4562</v>
      </c>
      <c r="AD3483" t="s">
        <v>19499</v>
      </c>
      <c r="AE3483" t="s">
        <v>4655</v>
      </c>
      <c r="AF3483" t="s">
        <v>4563</v>
      </c>
      <c r="AG3483" t="s">
        <v>4564</v>
      </c>
      <c r="AH3483" t="s">
        <v>1147</v>
      </c>
      <c r="AI3483" t="s">
        <v>19500</v>
      </c>
      <c r="AJ3483" t="s">
        <v>4655</v>
      </c>
      <c r="AK3483" t="s">
        <v>19501</v>
      </c>
      <c r="AL3483" s="13" t="s">
        <v>1902</v>
      </c>
      <c r="AM3483">
        <v>0</v>
      </c>
      <c r="AN3483" s="15" t="s">
        <v>19502</v>
      </c>
    </row>
    <row r="3484" spans="1:40" x14ac:dyDescent="0.3">
      <c r="A3484" s="10" t="str">
        <f>HYPERLINK("http://www.washoecounty.gov/assessor/cama/?parid=080-730-28&amp;CardNumber=1","080-730-28")</f>
        <v>080-730-28</v>
      </c>
      <c r="B3484" t="s">
        <v>4655</v>
      </c>
      <c r="C3484" t="s">
        <v>19503</v>
      </c>
      <c r="D3484" s="1">
        <v>40333</v>
      </c>
      <c r="E3484" s="2">
        <v>69000</v>
      </c>
      <c r="F3484" t="s">
        <v>3259</v>
      </c>
      <c r="G3484" s="17" t="str">
        <f>HYPERLINK("https://www.washoecounty.gov/assessor/cama/?command=sales&amp;parid=08073028","3888419")</f>
        <v>3888419</v>
      </c>
      <c r="H3484" t="s">
        <v>19497</v>
      </c>
      <c r="I3484">
        <v>0</v>
      </c>
      <c r="J3484">
        <v>0</v>
      </c>
      <c r="K3484" t="s">
        <v>4655</v>
      </c>
      <c r="L3484" t="s">
        <v>4655</v>
      </c>
      <c r="M3484" s="2">
        <v>0</v>
      </c>
      <c r="N3484" t="s">
        <v>4655</v>
      </c>
      <c r="O3484">
        <v>0</v>
      </c>
      <c r="P3484">
        <v>0</v>
      </c>
      <c r="Q3484">
        <v>0</v>
      </c>
      <c r="R3484" t="s">
        <v>4655</v>
      </c>
      <c r="S3484" t="s">
        <v>4655</v>
      </c>
      <c r="T3484" t="s">
        <v>4655</v>
      </c>
      <c r="U3484" t="s">
        <v>4655</v>
      </c>
      <c r="V3484" s="2">
        <v>0</v>
      </c>
      <c r="W3484" t="s">
        <v>4655</v>
      </c>
      <c r="X3484" s="2">
        <v>0</v>
      </c>
      <c r="Y3484">
        <v>12</v>
      </c>
      <c r="Z3484" t="s">
        <v>3668</v>
      </c>
      <c r="AA3484" s="3">
        <v>41.418998718261719</v>
      </c>
      <c r="AB3484" t="s">
        <v>19504</v>
      </c>
      <c r="AC3484" t="s">
        <v>4562</v>
      </c>
      <c r="AD3484" t="s">
        <v>19505</v>
      </c>
      <c r="AE3484" t="s">
        <v>4655</v>
      </c>
      <c r="AF3484" t="s">
        <v>1377</v>
      </c>
      <c r="AG3484" t="s">
        <v>4564</v>
      </c>
      <c r="AH3484">
        <v>89704</v>
      </c>
      <c r="AI3484" t="s">
        <v>19506</v>
      </c>
      <c r="AJ3484" t="s">
        <v>4655</v>
      </c>
      <c r="AK3484" t="s">
        <v>19507</v>
      </c>
      <c r="AL3484" s="13" t="s">
        <v>1902</v>
      </c>
      <c r="AM3484" s="14">
        <v>0</v>
      </c>
      <c r="AN3484" s="15" t="s">
        <v>19502</v>
      </c>
    </row>
    <row r="3485" spans="1:40" x14ac:dyDescent="0.3">
      <c r="A3485" s="10" t="str">
        <f>HYPERLINK("http://www.washoecounty.gov/assessor/cama/?parid=080-750-06&amp;CardNumber=1","080-750-06")</f>
        <v>080-750-06</v>
      </c>
      <c r="B3485" t="s">
        <v>4655</v>
      </c>
      <c r="C3485" t="s">
        <v>19508</v>
      </c>
      <c r="D3485" s="1">
        <v>40290</v>
      </c>
      <c r="E3485" s="2">
        <v>58681</v>
      </c>
      <c r="F3485" t="s">
        <v>4553</v>
      </c>
      <c r="G3485" s="17" t="str">
        <f>HYPERLINK("https://www.washoecounty.gov/assessor/cama/?command=sales&amp;parid=08075006","3873625")</f>
        <v>3873625</v>
      </c>
      <c r="H3485" t="s">
        <v>19509</v>
      </c>
      <c r="I3485">
        <v>2003</v>
      </c>
      <c r="J3485">
        <v>2003</v>
      </c>
      <c r="K3485" t="s">
        <v>4847</v>
      </c>
      <c r="L3485" t="s">
        <v>4555</v>
      </c>
      <c r="M3485" s="2">
        <v>1484</v>
      </c>
      <c r="N3485" t="s">
        <v>5280</v>
      </c>
      <c r="O3485">
        <v>2</v>
      </c>
      <c r="P3485">
        <v>2</v>
      </c>
      <c r="Q3485">
        <v>0</v>
      </c>
      <c r="R3485" t="s">
        <v>5281</v>
      </c>
      <c r="S3485" t="s">
        <v>4558</v>
      </c>
      <c r="T3485" t="s">
        <v>4559</v>
      </c>
      <c r="U3485" t="s">
        <v>4655</v>
      </c>
      <c r="V3485" s="2">
        <v>0</v>
      </c>
      <c r="W3485" t="s">
        <v>4655</v>
      </c>
      <c r="X3485" s="2">
        <v>0</v>
      </c>
      <c r="Y3485">
        <v>22</v>
      </c>
      <c r="Z3485" t="s">
        <v>1776</v>
      </c>
      <c r="AA3485" s="3">
        <v>0.24201102554798101</v>
      </c>
      <c r="AB3485" t="s">
        <v>19510</v>
      </c>
      <c r="AC3485" t="s">
        <v>4575</v>
      </c>
      <c r="AD3485" t="s">
        <v>19511</v>
      </c>
      <c r="AE3485" t="s">
        <v>4655</v>
      </c>
      <c r="AF3485" t="s">
        <v>4563</v>
      </c>
      <c r="AG3485" t="s">
        <v>4564</v>
      </c>
      <c r="AH3485">
        <v>89509</v>
      </c>
      <c r="AI3485" t="s">
        <v>4848</v>
      </c>
      <c r="AJ3485" t="s">
        <v>4655</v>
      </c>
      <c r="AK3485" t="s">
        <v>19512</v>
      </c>
      <c r="AL3485" s="13" t="s">
        <v>1902</v>
      </c>
      <c r="AM3485">
        <v>1</v>
      </c>
      <c r="AN3485" s="15" t="s">
        <v>4198</v>
      </c>
    </row>
    <row r="3486" spans="1:40" x14ac:dyDescent="0.3">
      <c r="A3486" s="10" t="str">
        <f>HYPERLINK("http://www.washoecounty.gov/assessor/cama/?parid=080-761-01&amp;CardNumber=1","080-761-01")</f>
        <v>080-761-01</v>
      </c>
      <c r="B3486" t="s">
        <v>4655</v>
      </c>
      <c r="C3486" t="s">
        <v>19513</v>
      </c>
      <c r="D3486" s="1">
        <v>40430</v>
      </c>
      <c r="E3486" s="2">
        <v>140000</v>
      </c>
      <c r="F3486" t="s">
        <v>4567</v>
      </c>
      <c r="G3486" s="17" t="str">
        <f>HYPERLINK("https://www.washoecounty.gov/assessor/cama/?command=sales&amp;parid=08076101","3920490")</f>
        <v>3920490</v>
      </c>
      <c r="H3486" t="s">
        <v>1828</v>
      </c>
      <c r="I3486">
        <v>2003</v>
      </c>
      <c r="J3486">
        <v>2003</v>
      </c>
      <c r="K3486" t="s">
        <v>4554</v>
      </c>
      <c r="L3486" t="s">
        <v>4555</v>
      </c>
      <c r="M3486" s="2">
        <v>1675</v>
      </c>
      <c r="N3486" t="s">
        <v>4048</v>
      </c>
      <c r="O3486">
        <v>3</v>
      </c>
      <c r="P3486">
        <v>2</v>
      </c>
      <c r="Q3486">
        <v>0</v>
      </c>
      <c r="R3486" t="s">
        <v>4557</v>
      </c>
      <c r="S3486" t="s">
        <v>4558</v>
      </c>
      <c r="T3486" t="s">
        <v>4559</v>
      </c>
      <c r="U3486" t="s">
        <v>4560</v>
      </c>
      <c r="V3486" s="2">
        <v>404</v>
      </c>
      <c r="W3486" t="s">
        <v>4655</v>
      </c>
      <c r="X3486" s="2">
        <v>0</v>
      </c>
      <c r="Y3486">
        <v>20</v>
      </c>
      <c r="Z3486" t="s">
        <v>4351</v>
      </c>
      <c r="AA3486" s="3">
        <v>0.12747934460640001</v>
      </c>
      <c r="AB3486" t="s">
        <v>19514</v>
      </c>
      <c r="AC3486" t="s">
        <v>4562</v>
      </c>
      <c r="AD3486" t="s">
        <v>19513</v>
      </c>
      <c r="AE3486" t="s">
        <v>4655</v>
      </c>
      <c r="AF3486" t="s">
        <v>4563</v>
      </c>
      <c r="AG3486" t="s">
        <v>4564</v>
      </c>
      <c r="AH3486">
        <v>89506</v>
      </c>
      <c r="AI3486" t="s">
        <v>19515</v>
      </c>
      <c r="AJ3486" t="s">
        <v>1423</v>
      </c>
      <c r="AK3486" t="s">
        <v>19516</v>
      </c>
      <c r="AL3486" s="13" t="s">
        <v>1901</v>
      </c>
      <c r="AM3486">
        <v>1</v>
      </c>
      <c r="AN3486" s="15" t="s">
        <v>1633</v>
      </c>
    </row>
    <row r="3487" spans="1:40" x14ac:dyDescent="0.3">
      <c r="A3487" s="10" t="str">
        <f>HYPERLINK("http://www.washoecounty.gov/assessor/cama/?parid=080-761-02&amp;CardNumber=1","080-761-02")</f>
        <v>080-761-02</v>
      </c>
      <c r="B3487" t="s">
        <v>4655</v>
      </c>
      <c r="C3487" t="s">
        <v>19517</v>
      </c>
      <c r="D3487" s="1">
        <v>40420</v>
      </c>
      <c r="E3487" s="2">
        <v>126000</v>
      </c>
      <c r="F3487" t="s">
        <v>4567</v>
      </c>
      <c r="G3487" s="17" t="str">
        <f>HYPERLINK("https://www.washoecounty.gov/assessor/cama/?command=sales&amp;parid=08076102","3917031")</f>
        <v>3917031</v>
      </c>
      <c r="H3487" t="s">
        <v>1828</v>
      </c>
      <c r="I3487">
        <v>2003</v>
      </c>
      <c r="J3487">
        <v>2003</v>
      </c>
      <c r="K3487" t="s">
        <v>4554</v>
      </c>
      <c r="L3487" t="s">
        <v>4555</v>
      </c>
      <c r="M3487" s="2">
        <v>1675</v>
      </c>
      <c r="N3487" t="s">
        <v>4048</v>
      </c>
      <c r="O3487">
        <v>3</v>
      </c>
      <c r="P3487">
        <v>2</v>
      </c>
      <c r="Q3487">
        <v>0</v>
      </c>
      <c r="R3487" t="s">
        <v>5281</v>
      </c>
      <c r="S3487" t="s">
        <v>4558</v>
      </c>
      <c r="T3487" t="s">
        <v>4559</v>
      </c>
      <c r="U3487" t="s">
        <v>4560</v>
      </c>
      <c r="V3487" s="2">
        <v>404</v>
      </c>
      <c r="W3487" t="s">
        <v>4655</v>
      </c>
      <c r="X3487" s="2">
        <v>0</v>
      </c>
      <c r="Y3487">
        <v>20</v>
      </c>
      <c r="Z3487" t="s">
        <v>4351</v>
      </c>
      <c r="AA3487" s="3">
        <v>0.12747934460640001</v>
      </c>
      <c r="AB3487" t="s">
        <v>19518</v>
      </c>
      <c r="AC3487" t="s">
        <v>4562</v>
      </c>
      <c r="AD3487" t="s">
        <v>19517</v>
      </c>
      <c r="AE3487" t="s">
        <v>4655</v>
      </c>
      <c r="AF3487" t="s">
        <v>4563</v>
      </c>
      <c r="AG3487" t="s">
        <v>4564</v>
      </c>
      <c r="AH3487">
        <v>89506</v>
      </c>
      <c r="AI3487" t="s">
        <v>19519</v>
      </c>
      <c r="AJ3487" t="s">
        <v>1423</v>
      </c>
      <c r="AK3487" t="s">
        <v>19520</v>
      </c>
      <c r="AL3487" s="13" t="s">
        <v>1901</v>
      </c>
      <c r="AM3487">
        <v>1</v>
      </c>
      <c r="AN3487" s="15" t="s">
        <v>1633</v>
      </c>
    </row>
    <row r="3488" spans="1:40" x14ac:dyDescent="0.3">
      <c r="A3488" s="10" t="str">
        <f>HYPERLINK("http://www.washoecounty.gov/assessor/cama/?parid=080-761-15&amp;CardNumber=1","080-761-15")</f>
        <v>080-761-15</v>
      </c>
      <c r="B3488" t="s">
        <v>4655</v>
      </c>
      <c r="C3488" t="s">
        <v>19521</v>
      </c>
      <c r="D3488" s="1">
        <v>40409</v>
      </c>
      <c r="E3488" s="2">
        <v>155000</v>
      </c>
      <c r="F3488" t="s">
        <v>4567</v>
      </c>
      <c r="G3488" s="17" t="str">
        <f>HYPERLINK("https://www.washoecounty.gov/assessor/cama/?command=sales&amp;parid=08076115","3913535")</f>
        <v>3913535</v>
      </c>
      <c r="H3488" t="s">
        <v>1828</v>
      </c>
      <c r="I3488">
        <v>2003</v>
      </c>
      <c r="J3488">
        <v>2003</v>
      </c>
      <c r="K3488" t="s">
        <v>4554</v>
      </c>
      <c r="L3488" t="s">
        <v>3974</v>
      </c>
      <c r="M3488" s="2">
        <v>2222</v>
      </c>
      <c r="N3488" t="s">
        <v>4048</v>
      </c>
      <c r="O3488">
        <v>3</v>
      </c>
      <c r="P3488">
        <v>2</v>
      </c>
      <c r="Q3488">
        <v>1</v>
      </c>
      <c r="R3488" t="s">
        <v>5281</v>
      </c>
      <c r="S3488" t="s">
        <v>4558</v>
      </c>
      <c r="T3488" t="s">
        <v>4559</v>
      </c>
      <c r="U3488" t="s">
        <v>5631</v>
      </c>
      <c r="V3488" s="2">
        <v>441</v>
      </c>
      <c r="W3488" t="s">
        <v>4655</v>
      </c>
      <c r="X3488" s="2">
        <v>0</v>
      </c>
      <c r="Y3488">
        <v>20</v>
      </c>
      <c r="Z3488" t="s">
        <v>4351</v>
      </c>
      <c r="AA3488" s="3">
        <v>0.13652433454990401</v>
      </c>
      <c r="AB3488" t="s">
        <v>19522</v>
      </c>
      <c r="AC3488" t="s">
        <v>4562</v>
      </c>
      <c r="AD3488" t="s">
        <v>19523</v>
      </c>
      <c r="AE3488" t="s">
        <v>4655</v>
      </c>
      <c r="AF3488" t="s">
        <v>4563</v>
      </c>
      <c r="AG3488" t="s">
        <v>4564</v>
      </c>
      <c r="AH3488">
        <v>89506</v>
      </c>
      <c r="AI3488" t="s">
        <v>282</v>
      </c>
      <c r="AJ3488" t="s">
        <v>1423</v>
      </c>
      <c r="AK3488" t="s">
        <v>19524</v>
      </c>
      <c r="AL3488" s="13" t="s">
        <v>1901</v>
      </c>
      <c r="AM3488">
        <v>1</v>
      </c>
      <c r="AN3488" s="15" t="s">
        <v>1633</v>
      </c>
    </row>
    <row r="3489" spans="1:40" x14ac:dyDescent="0.3">
      <c r="A3489" s="10" t="str">
        <f>HYPERLINK("http://www.washoecounty.gov/assessor/cama/?parid=080-762-04&amp;CardNumber=1","080-762-04")</f>
        <v>080-762-04</v>
      </c>
      <c r="B3489" t="s">
        <v>4655</v>
      </c>
      <c r="C3489" t="s">
        <v>19525</v>
      </c>
      <c r="D3489" s="1">
        <v>40268</v>
      </c>
      <c r="E3489" s="2">
        <v>137000</v>
      </c>
      <c r="F3489" t="s">
        <v>4567</v>
      </c>
      <c r="G3489" s="17" t="str">
        <f>HYPERLINK("https://www.washoecounty.gov/assessor/cama/?command=sales&amp;parid=08076204","3864442")</f>
        <v>3864442</v>
      </c>
      <c r="H3489" t="s">
        <v>1828</v>
      </c>
      <c r="I3489">
        <v>2004</v>
      </c>
      <c r="J3489">
        <v>2004</v>
      </c>
      <c r="K3489" t="s">
        <v>4554</v>
      </c>
      <c r="L3489" t="s">
        <v>4555</v>
      </c>
      <c r="M3489" s="2">
        <v>1675</v>
      </c>
      <c r="N3489" t="s">
        <v>4048</v>
      </c>
      <c r="O3489">
        <v>4</v>
      </c>
      <c r="P3489">
        <v>2</v>
      </c>
      <c r="Q3489">
        <v>0</v>
      </c>
      <c r="R3489" t="s">
        <v>4557</v>
      </c>
      <c r="S3489" t="s">
        <v>4558</v>
      </c>
      <c r="T3489" t="s">
        <v>4559</v>
      </c>
      <c r="U3489" t="s">
        <v>4560</v>
      </c>
      <c r="V3489" s="2">
        <v>404</v>
      </c>
      <c r="W3489" t="s">
        <v>4655</v>
      </c>
      <c r="X3489" s="2">
        <v>0</v>
      </c>
      <c r="Y3489">
        <v>20</v>
      </c>
      <c r="Z3489" t="s">
        <v>4351</v>
      </c>
      <c r="AA3489" s="3">
        <v>0.18558309972286199</v>
      </c>
      <c r="AB3489" t="s">
        <v>19526</v>
      </c>
      <c r="AC3489" t="s">
        <v>4562</v>
      </c>
      <c r="AD3489" t="s">
        <v>19525</v>
      </c>
      <c r="AE3489" t="s">
        <v>4655</v>
      </c>
      <c r="AF3489" t="s">
        <v>4563</v>
      </c>
      <c r="AG3489" t="s">
        <v>4564</v>
      </c>
      <c r="AH3489">
        <v>89506</v>
      </c>
      <c r="AI3489" t="s">
        <v>19527</v>
      </c>
      <c r="AJ3489" t="s">
        <v>1423</v>
      </c>
      <c r="AK3489" t="s">
        <v>19528</v>
      </c>
      <c r="AL3489" s="13" t="s">
        <v>1901</v>
      </c>
      <c r="AM3489">
        <v>1</v>
      </c>
      <c r="AN3489" s="15" t="s">
        <v>1633</v>
      </c>
    </row>
    <row r="3490" spans="1:40" x14ac:dyDescent="0.3">
      <c r="A3490" s="10" t="str">
        <f>HYPERLINK("http://www.washoecounty.gov/assessor/cama/?parid=080-763-05&amp;CardNumber=1","080-763-05")</f>
        <v>080-763-05</v>
      </c>
      <c r="B3490" t="s">
        <v>4655</v>
      </c>
      <c r="C3490" t="s">
        <v>19529</v>
      </c>
      <c r="D3490" s="1">
        <v>40479</v>
      </c>
      <c r="E3490" s="2">
        <v>144000</v>
      </c>
      <c r="F3490" t="s">
        <v>4553</v>
      </c>
      <c r="G3490" s="17" t="str">
        <f>HYPERLINK("https://www.washoecounty.gov/assessor/cama/?command=sales&amp;parid=08076305","3937551")</f>
        <v>3937551</v>
      </c>
      <c r="H3490" t="s">
        <v>1828</v>
      </c>
      <c r="I3490">
        <v>2004</v>
      </c>
      <c r="J3490">
        <v>2004</v>
      </c>
      <c r="K3490" t="s">
        <v>4554</v>
      </c>
      <c r="L3490" t="s">
        <v>4555</v>
      </c>
      <c r="M3490" s="2">
        <v>1675</v>
      </c>
      <c r="N3490" t="s">
        <v>4048</v>
      </c>
      <c r="O3490">
        <v>3</v>
      </c>
      <c r="P3490">
        <v>2</v>
      </c>
      <c r="Q3490">
        <v>0</v>
      </c>
      <c r="R3490" t="s">
        <v>5281</v>
      </c>
      <c r="S3490" t="s">
        <v>4558</v>
      </c>
      <c r="T3490" t="s">
        <v>4559</v>
      </c>
      <c r="U3490" t="s">
        <v>4560</v>
      </c>
      <c r="V3490" s="2">
        <v>404</v>
      </c>
      <c r="W3490" t="s">
        <v>4655</v>
      </c>
      <c r="X3490" s="2">
        <v>0</v>
      </c>
      <c r="Y3490">
        <v>20</v>
      </c>
      <c r="Z3490" t="s">
        <v>4351</v>
      </c>
      <c r="AA3490" s="3">
        <v>0.151010096073151</v>
      </c>
      <c r="AB3490" t="s">
        <v>19530</v>
      </c>
      <c r="AC3490" t="s">
        <v>4562</v>
      </c>
      <c r="AD3490" t="s">
        <v>19531</v>
      </c>
      <c r="AE3490" t="s">
        <v>4655</v>
      </c>
      <c r="AF3490" t="s">
        <v>4563</v>
      </c>
      <c r="AG3490" t="s">
        <v>4564</v>
      </c>
      <c r="AH3490">
        <v>89506</v>
      </c>
      <c r="AI3490" t="s">
        <v>4903</v>
      </c>
      <c r="AJ3490" t="s">
        <v>1423</v>
      </c>
      <c r="AK3490" t="s">
        <v>19532</v>
      </c>
      <c r="AL3490" s="13" t="s">
        <v>1901</v>
      </c>
      <c r="AM3490" s="14">
        <v>1</v>
      </c>
      <c r="AN3490" s="15" t="s">
        <v>1633</v>
      </c>
    </row>
    <row r="3491" spans="1:40" x14ac:dyDescent="0.3">
      <c r="A3491" s="10" t="str">
        <f>HYPERLINK("http://www.washoecounty.gov/assessor/cama/?parid=080-763-07&amp;CardNumber=1","080-763-07")</f>
        <v>080-763-07</v>
      </c>
      <c r="B3491" t="s">
        <v>4655</v>
      </c>
      <c r="C3491" t="s">
        <v>19533</v>
      </c>
      <c r="D3491" s="1">
        <v>40526</v>
      </c>
      <c r="E3491" s="2">
        <v>145000</v>
      </c>
      <c r="F3491" t="s">
        <v>4567</v>
      </c>
      <c r="G3491" s="17" t="str">
        <f>HYPERLINK("https://www.washoecounty.gov/assessor/cama/?command=sales&amp;parid=08076307","3953339")</f>
        <v>3953339</v>
      </c>
      <c r="H3491" t="s">
        <v>1828</v>
      </c>
      <c r="I3491">
        <v>2004</v>
      </c>
      <c r="J3491">
        <v>2004</v>
      </c>
      <c r="K3491" t="s">
        <v>4554</v>
      </c>
      <c r="L3491" t="s">
        <v>4555</v>
      </c>
      <c r="M3491" s="2">
        <v>1675</v>
      </c>
      <c r="N3491" t="s">
        <v>4048</v>
      </c>
      <c r="O3491">
        <v>3</v>
      </c>
      <c r="P3491">
        <v>2</v>
      </c>
      <c r="Q3491">
        <v>0</v>
      </c>
      <c r="R3491" t="s">
        <v>5281</v>
      </c>
      <c r="S3491" t="s">
        <v>4558</v>
      </c>
      <c r="T3491" t="s">
        <v>4559</v>
      </c>
      <c r="U3491" t="s">
        <v>4560</v>
      </c>
      <c r="V3491" s="2">
        <v>404</v>
      </c>
      <c r="W3491" t="s">
        <v>4655</v>
      </c>
      <c r="X3491" s="2">
        <v>0</v>
      </c>
      <c r="Y3491">
        <v>20</v>
      </c>
      <c r="Z3491" t="s">
        <v>4351</v>
      </c>
      <c r="AA3491" s="3">
        <v>0.122681356966496</v>
      </c>
      <c r="AB3491" t="s">
        <v>19534</v>
      </c>
      <c r="AC3491" t="s">
        <v>4562</v>
      </c>
      <c r="AD3491" t="s">
        <v>19533</v>
      </c>
      <c r="AE3491" t="s">
        <v>4655</v>
      </c>
      <c r="AF3491" t="s">
        <v>4563</v>
      </c>
      <c r="AG3491" t="s">
        <v>4564</v>
      </c>
      <c r="AH3491">
        <v>89506</v>
      </c>
      <c r="AI3491" t="s">
        <v>19535</v>
      </c>
      <c r="AJ3491" t="s">
        <v>1423</v>
      </c>
      <c r="AK3491" t="s">
        <v>19536</v>
      </c>
      <c r="AL3491" s="13" t="s">
        <v>1901</v>
      </c>
      <c r="AM3491">
        <v>1</v>
      </c>
      <c r="AN3491" s="15" t="s">
        <v>1633</v>
      </c>
    </row>
    <row r="3492" spans="1:40" x14ac:dyDescent="0.3">
      <c r="A3492" s="10" t="str">
        <f>HYPERLINK("http://www.washoecounty.gov/assessor/cama/?parid=080-763-08&amp;CardNumber=1","080-763-08")</f>
        <v>080-763-08</v>
      </c>
      <c r="B3492" t="s">
        <v>4655</v>
      </c>
      <c r="C3492" t="s">
        <v>19537</v>
      </c>
      <c r="D3492" s="1">
        <v>40326</v>
      </c>
      <c r="E3492" s="2">
        <v>125000</v>
      </c>
      <c r="F3492" t="s">
        <v>4553</v>
      </c>
      <c r="G3492" s="17" t="str">
        <f>HYPERLINK("https://www.washoecounty.gov/assessor/cama/?command=sales&amp;parid=08076308","3886478")</f>
        <v>3886478</v>
      </c>
      <c r="H3492" t="s">
        <v>1828</v>
      </c>
      <c r="I3492">
        <v>2004</v>
      </c>
      <c r="J3492">
        <v>2004</v>
      </c>
      <c r="K3492" t="s">
        <v>4554</v>
      </c>
      <c r="L3492" t="s">
        <v>4555</v>
      </c>
      <c r="M3492" s="2">
        <v>1413</v>
      </c>
      <c r="N3492" t="s">
        <v>4048</v>
      </c>
      <c r="O3492">
        <v>3</v>
      </c>
      <c r="P3492">
        <v>2</v>
      </c>
      <c r="Q3492">
        <v>0</v>
      </c>
      <c r="R3492" t="s">
        <v>5281</v>
      </c>
      <c r="S3492" t="s">
        <v>4558</v>
      </c>
      <c r="T3492" t="s">
        <v>4559</v>
      </c>
      <c r="U3492" t="s">
        <v>4560</v>
      </c>
      <c r="V3492" s="2">
        <v>435</v>
      </c>
      <c r="W3492" t="s">
        <v>4655</v>
      </c>
      <c r="X3492" s="2">
        <v>0</v>
      </c>
      <c r="Y3492">
        <v>20</v>
      </c>
      <c r="Z3492" t="s">
        <v>4351</v>
      </c>
      <c r="AA3492" s="3">
        <v>0.12518365681171401</v>
      </c>
      <c r="AB3492" t="s">
        <v>19538</v>
      </c>
      <c r="AC3492" t="s">
        <v>4562</v>
      </c>
      <c r="AD3492" t="s">
        <v>19537</v>
      </c>
      <c r="AE3492" t="s">
        <v>4655</v>
      </c>
      <c r="AF3492" t="s">
        <v>4563</v>
      </c>
      <c r="AG3492" t="s">
        <v>4564</v>
      </c>
      <c r="AH3492">
        <v>89506</v>
      </c>
      <c r="AI3492" t="s">
        <v>4045</v>
      </c>
      <c r="AJ3492" t="s">
        <v>1423</v>
      </c>
      <c r="AK3492" t="s">
        <v>19539</v>
      </c>
      <c r="AL3492" s="13" t="s">
        <v>1901</v>
      </c>
      <c r="AM3492" s="14">
        <v>1</v>
      </c>
      <c r="AN3492" s="15" t="s">
        <v>1633</v>
      </c>
    </row>
    <row r="3493" spans="1:40" x14ac:dyDescent="0.3">
      <c r="A3493" s="10" t="str">
        <f>HYPERLINK("http://www.washoecounty.gov/assessor/cama/?parid=080-764-08&amp;CardNumber=1","080-764-08")</f>
        <v>080-764-08</v>
      </c>
      <c r="B3493" t="s">
        <v>4655</v>
      </c>
      <c r="C3493" t="s">
        <v>19540</v>
      </c>
      <c r="D3493" s="1">
        <v>40465</v>
      </c>
      <c r="E3493" s="2">
        <v>150000</v>
      </c>
      <c r="F3493" t="s">
        <v>4553</v>
      </c>
      <c r="G3493" s="17" t="str">
        <f>HYPERLINK("https://www.washoecounty.gov/assessor/cama/?command=sales&amp;parid=08076408","3932796")</f>
        <v>3932796</v>
      </c>
      <c r="H3493" t="s">
        <v>1828</v>
      </c>
      <c r="I3493">
        <v>2004</v>
      </c>
      <c r="J3493">
        <v>2004</v>
      </c>
      <c r="K3493" t="s">
        <v>4554</v>
      </c>
      <c r="L3493" t="s">
        <v>3974</v>
      </c>
      <c r="M3493" s="2">
        <v>2222</v>
      </c>
      <c r="N3493" t="s">
        <v>4048</v>
      </c>
      <c r="O3493">
        <v>4</v>
      </c>
      <c r="P3493">
        <v>2</v>
      </c>
      <c r="Q3493">
        <v>1</v>
      </c>
      <c r="R3493" t="s">
        <v>5281</v>
      </c>
      <c r="S3493" t="s">
        <v>4558</v>
      </c>
      <c r="T3493" t="s">
        <v>4559</v>
      </c>
      <c r="U3493" t="s">
        <v>5631</v>
      </c>
      <c r="V3493" s="2">
        <v>441</v>
      </c>
      <c r="W3493" t="s">
        <v>4655</v>
      </c>
      <c r="X3493" s="2">
        <v>0</v>
      </c>
      <c r="Y3493">
        <v>20</v>
      </c>
      <c r="Z3493" t="s">
        <v>4351</v>
      </c>
      <c r="AA3493" s="3">
        <v>0.39956381916999817</v>
      </c>
      <c r="AB3493" t="s">
        <v>19541</v>
      </c>
      <c r="AC3493" t="s">
        <v>4562</v>
      </c>
      <c r="AD3493" t="s">
        <v>19542</v>
      </c>
      <c r="AE3493" t="s">
        <v>4655</v>
      </c>
      <c r="AF3493" t="s">
        <v>4563</v>
      </c>
      <c r="AG3493" t="s">
        <v>4564</v>
      </c>
      <c r="AH3493">
        <v>89506</v>
      </c>
      <c r="AI3493" t="s">
        <v>4503</v>
      </c>
      <c r="AJ3493" t="s">
        <v>1423</v>
      </c>
      <c r="AK3493" t="s">
        <v>19543</v>
      </c>
      <c r="AL3493" s="13" t="s">
        <v>1901</v>
      </c>
      <c r="AM3493">
        <v>1</v>
      </c>
      <c r="AN3493" s="15" t="s">
        <v>1633</v>
      </c>
    </row>
    <row r="3494" spans="1:40" x14ac:dyDescent="0.3">
      <c r="A3494" s="10" t="str">
        <f>HYPERLINK("http://www.washoecounty.gov/assessor/cama/?parid=080-764-20&amp;CardNumber=1","080-764-20")</f>
        <v>080-764-20</v>
      </c>
      <c r="B3494" t="s">
        <v>4655</v>
      </c>
      <c r="C3494" t="s">
        <v>19544</v>
      </c>
      <c r="D3494" s="1">
        <v>40452</v>
      </c>
      <c r="E3494" s="2">
        <v>165000</v>
      </c>
      <c r="F3494" t="s">
        <v>4567</v>
      </c>
      <c r="G3494" s="17" t="str">
        <f>HYPERLINK("https://www.washoecounty.gov/assessor/cama/?command=sales&amp;parid=08076420","3928940")</f>
        <v>3928940</v>
      </c>
      <c r="H3494" t="s">
        <v>1828</v>
      </c>
      <c r="I3494">
        <v>2003</v>
      </c>
      <c r="J3494">
        <v>2003</v>
      </c>
      <c r="K3494" t="s">
        <v>4554</v>
      </c>
      <c r="L3494" t="s">
        <v>3974</v>
      </c>
      <c r="M3494" s="2">
        <v>2381</v>
      </c>
      <c r="N3494" t="s">
        <v>4048</v>
      </c>
      <c r="O3494">
        <v>4</v>
      </c>
      <c r="P3494">
        <v>3</v>
      </c>
      <c r="Q3494">
        <v>0</v>
      </c>
      <c r="R3494" t="s">
        <v>5281</v>
      </c>
      <c r="S3494" t="s">
        <v>4558</v>
      </c>
      <c r="T3494" t="s">
        <v>4559</v>
      </c>
      <c r="U3494" t="s">
        <v>5631</v>
      </c>
      <c r="V3494" s="2">
        <v>396</v>
      </c>
      <c r="W3494" t="s">
        <v>4655</v>
      </c>
      <c r="X3494" s="2">
        <v>0</v>
      </c>
      <c r="Y3494">
        <v>20</v>
      </c>
      <c r="Z3494" t="s">
        <v>4351</v>
      </c>
      <c r="AA3494" s="3">
        <v>0.20220385491848</v>
      </c>
      <c r="AB3494" t="s">
        <v>19545</v>
      </c>
      <c r="AC3494" t="s">
        <v>4562</v>
      </c>
      <c r="AD3494" t="s">
        <v>19544</v>
      </c>
      <c r="AE3494" t="s">
        <v>4655</v>
      </c>
      <c r="AF3494" t="s">
        <v>4563</v>
      </c>
      <c r="AG3494" t="s">
        <v>4564</v>
      </c>
      <c r="AH3494">
        <v>89506</v>
      </c>
      <c r="AI3494" t="s">
        <v>19546</v>
      </c>
      <c r="AJ3494" t="s">
        <v>1423</v>
      </c>
      <c r="AK3494" t="s">
        <v>19547</v>
      </c>
      <c r="AL3494" s="13" t="s">
        <v>1901</v>
      </c>
      <c r="AM3494" s="14">
        <v>1</v>
      </c>
      <c r="AN3494" s="15" t="s">
        <v>1633</v>
      </c>
    </row>
    <row r="3495" spans="1:40" x14ac:dyDescent="0.3">
      <c r="A3495" s="10" t="str">
        <f>HYPERLINK("http://www.washoecounty.gov/assessor/cama/?parid=080-764-28&amp;CardNumber=1","080-764-28")</f>
        <v>080-764-28</v>
      </c>
      <c r="B3495" t="s">
        <v>4655</v>
      </c>
      <c r="C3495" t="s">
        <v>19548</v>
      </c>
      <c r="D3495" s="1">
        <v>40262</v>
      </c>
      <c r="E3495" s="2">
        <v>130000</v>
      </c>
      <c r="F3495" t="s">
        <v>4553</v>
      </c>
      <c r="G3495" s="17" t="str">
        <f>HYPERLINK("https://www.washoecounty.gov/assessor/cama/?command=sales&amp;parid=08076428","3864012")</f>
        <v>3864012</v>
      </c>
      <c r="H3495" t="s">
        <v>1828</v>
      </c>
      <c r="I3495">
        <v>2003</v>
      </c>
      <c r="J3495">
        <v>2003</v>
      </c>
      <c r="K3495" t="s">
        <v>4554</v>
      </c>
      <c r="L3495" t="s">
        <v>4555</v>
      </c>
      <c r="M3495" s="2">
        <v>1675</v>
      </c>
      <c r="N3495" t="s">
        <v>4048</v>
      </c>
      <c r="O3495">
        <v>3</v>
      </c>
      <c r="P3495">
        <v>2</v>
      </c>
      <c r="Q3495">
        <v>0</v>
      </c>
      <c r="R3495" t="s">
        <v>5281</v>
      </c>
      <c r="S3495" t="s">
        <v>4558</v>
      </c>
      <c r="T3495" t="s">
        <v>4559</v>
      </c>
      <c r="U3495" t="s">
        <v>4560</v>
      </c>
      <c r="V3495" s="2">
        <v>404</v>
      </c>
      <c r="W3495" t="s">
        <v>4655</v>
      </c>
      <c r="X3495" s="2">
        <v>0</v>
      </c>
      <c r="Y3495">
        <v>20</v>
      </c>
      <c r="Z3495" t="s">
        <v>4351</v>
      </c>
      <c r="AA3495" s="3">
        <v>0.12261249125003799</v>
      </c>
      <c r="AB3495" t="s">
        <v>19549</v>
      </c>
      <c r="AC3495" t="s">
        <v>4562</v>
      </c>
      <c r="AD3495" t="s">
        <v>19548</v>
      </c>
      <c r="AE3495" t="s">
        <v>4655</v>
      </c>
      <c r="AF3495" t="s">
        <v>4563</v>
      </c>
      <c r="AG3495" t="s">
        <v>4564</v>
      </c>
      <c r="AH3495">
        <v>89506</v>
      </c>
      <c r="AI3495" t="s">
        <v>2351</v>
      </c>
      <c r="AJ3495" t="s">
        <v>1423</v>
      </c>
      <c r="AK3495" t="s">
        <v>19550</v>
      </c>
      <c r="AL3495" s="13" t="s">
        <v>1901</v>
      </c>
      <c r="AM3495">
        <v>1</v>
      </c>
      <c r="AN3495" s="15" t="s">
        <v>1633</v>
      </c>
    </row>
    <row r="3496" spans="1:40" x14ac:dyDescent="0.3">
      <c r="A3496" s="10" t="str">
        <f>HYPERLINK("http://www.washoecounty.gov/assessor/cama/?parid=080-764-29&amp;CardNumber=1","080-764-29")</f>
        <v>080-764-29</v>
      </c>
      <c r="B3496" t="s">
        <v>4655</v>
      </c>
      <c r="C3496" t="s">
        <v>19551</v>
      </c>
      <c r="D3496" s="1">
        <v>40528</v>
      </c>
      <c r="E3496" s="2">
        <v>139000</v>
      </c>
      <c r="F3496" t="s">
        <v>4553</v>
      </c>
      <c r="G3496" s="17" t="str">
        <f>HYPERLINK("https://www.washoecounty.gov/assessor/cama/?command=sales&amp;parid=08076429","3954511")</f>
        <v>3954511</v>
      </c>
      <c r="H3496" t="s">
        <v>1828</v>
      </c>
      <c r="I3496">
        <v>2003</v>
      </c>
      <c r="J3496">
        <v>2003</v>
      </c>
      <c r="K3496" t="s">
        <v>4554</v>
      </c>
      <c r="L3496" t="s">
        <v>4555</v>
      </c>
      <c r="M3496" s="2">
        <v>1675</v>
      </c>
      <c r="N3496" t="s">
        <v>4048</v>
      </c>
      <c r="O3496">
        <v>3</v>
      </c>
      <c r="P3496">
        <v>2</v>
      </c>
      <c r="Q3496">
        <v>0</v>
      </c>
      <c r="R3496" t="s">
        <v>5281</v>
      </c>
      <c r="S3496" t="s">
        <v>4558</v>
      </c>
      <c r="T3496" t="s">
        <v>4559</v>
      </c>
      <c r="U3496" t="s">
        <v>4560</v>
      </c>
      <c r="V3496" s="2">
        <v>404</v>
      </c>
      <c r="W3496" t="s">
        <v>4655</v>
      </c>
      <c r="X3496" s="2">
        <v>0</v>
      </c>
      <c r="Y3496">
        <v>20</v>
      </c>
      <c r="Z3496" t="s">
        <v>4351</v>
      </c>
      <c r="AA3496" s="3">
        <v>0.12261249125003799</v>
      </c>
      <c r="AB3496" t="s">
        <v>19552</v>
      </c>
      <c r="AC3496" t="s">
        <v>4562</v>
      </c>
      <c r="AD3496" t="s">
        <v>19553</v>
      </c>
      <c r="AE3496" t="s">
        <v>4655</v>
      </c>
      <c r="AF3496" t="s">
        <v>4563</v>
      </c>
      <c r="AG3496" t="s">
        <v>4564</v>
      </c>
      <c r="AH3496">
        <v>89506</v>
      </c>
      <c r="AI3496" t="s">
        <v>19554</v>
      </c>
      <c r="AJ3496" t="s">
        <v>1423</v>
      </c>
      <c r="AK3496" t="s">
        <v>19555</v>
      </c>
      <c r="AL3496" s="13" t="s">
        <v>1901</v>
      </c>
      <c r="AM3496">
        <v>1</v>
      </c>
      <c r="AN3496" s="15" t="s">
        <v>1633</v>
      </c>
    </row>
    <row r="3497" spans="1:40" x14ac:dyDescent="0.3">
      <c r="A3497" s="10" t="str">
        <f>HYPERLINK("http://www.washoecounty.gov/assessor/cama/?parid=080-771-01&amp;CardNumber=1","080-771-01")</f>
        <v>080-771-01</v>
      </c>
      <c r="B3497" t="s">
        <v>4655</v>
      </c>
      <c r="C3497" t="s">
        <v>19556</v>
      </c>
      <c r="D3497" s="1">
        <v>40492</v>
      </c>
      <c r="E3497" s="2">
        <v>137500</v>
      </c>
      <c r="F3497" t="s">
        <v>4553</v>
      </c>
      <c r="G3497" s="17" t="str">
        <f>HYPERLINK("https://www.washoecounty.gov/assessor/cama/?command=sales&amp;parid=08077101","3941963")</f>
        <v>3941963</v>
      </c>
      <c r="H3497" t="s">
        <v>1828</v>
      </c>
      <c r="I3497">
        <v>2003</v>
      </c>
      <c r="J3497">
        <v>2003</v>
      </c>
      <c r="K3497" t="s">
        <v>4554</v>
      </c>
      <c r="L3497" t="s">
        <v>4555</v>
      </c>
      <c r="M3497" s="2">
        <v>1675</v>
      </c>
      <c r="N3497" t="s">
        <v>4048</v>
      </c>
      <c r="O3497">
        <v>3</v>
      </c>
      <c r="P3497">
        <v>2</v>
      </c>
      <c r="Q3497">
        <v>0</v>
      </c>
      <c r="R3497" t="s">
        <v>5281</v>
      </c>
      <c r="S3497" t="s">
        <v>4558</v>
      </c>
      <c r="T3497" t="s">
        <v>4559</v>
      </c>
      <c r="U3497" t="s">
        <v>4560</v>
      </c>
      <c r="V3497" s="2">
        <v>404</v>
      </c>
      <c r="W3497" t="s">
        <v>4655</v>
      </c>
      <c r="X3497" s="2">
        <v>0</v>
      </c>
      <c r="Y3497">
        <v>20</v>
      </c>
      <c r="Z3497" t="s">
        <v>4351</v>
      </c>
      <c r="AA3497" s="3">
        <v>0.12261249125003799</v>
      </c>
      <c r="AB3497" t="s">
        <v>19557</v>
      </c>
      <c r="AC3497" t="s">
        <v>4562</v>
      </c>
      <c r="AD3497" t="s">
        <v>19556</v>
      </c>
      <c r="AE3497" t="s">
        <v>4655</v>
      </c>
      <c r="AF3497" t="s">
        <v>4563</v>
      </c>
      <c r="AG3497" t="s">
        <v>4564</v>
      </c>
      <c r="AH3497">
        <v>89506</v>
      </c>
      <c r="AI3497" t="s">
        <v>4565</v>
      </c>
      <c r="AJ3497" t="s">
        <v>1423</v>
      </c>
      <c r="AK3497" t="s">
        <v>19558</v>
      </c>
      <c r="AL3497" s="13" t="s">
        <v>1901</v>
      </c>
      <c r="AM3497">
        <v>1</v>
      </c>
      <c r="AN3497" s="15" t="s">
        <v>1633</v>
      </c>
    </row>
    <row r="3498" spans="1:40" x14ac:dyDescent="0.3">
      <c r="A3498" s="10" t="str">
        <f>HYPERLINK("http://www.washoecounty.gov/assessor/cama/?parid=080-771-04&amp;CardNumber=1","080-771-04")</f>
        <v>080-771-04</v>
      </c>
      <c r="B3498" t="s">
        <v>4655</v>
      </c>
      <c r="C3498" t="s">
        <v>19559</v>
      </c>
      <c r="D3498" s="1">
        <v>40295</v>
      </c>
      <c r="E3498" s="2">
        <v>166000</v>
      </c>
      <c r="F3498" t="s">
        <v>4553</v>
      </c>
      <c r="G3498" s="17" t="str">
        <f>HYPERLINK("https://www.washoecounty.gov/assessor/cama/?command=sales&amp;parid=08077104","3875297")</f>
        <v>3875297</v>
      </c>
      <c r="H3498" t="s">
        <v>1828</v>
      </c>
      <c r="I3498">
        <v>2003</v>
      </c>
      <c r="J3498">
        <v>2003</v>
      </c>
      <c r="K3498" t="s">
        <v>4554</v>
      </c>
      <c r="L3498" t="s">
        <v>3974</v>
      </c>
      <c r="M3498" s="2">
        <v>2222</v>
      </c>
      <c r="N3498" t="s">
        <v>4048</v>
      </c>
      <c r="O3498">
        <v>4</v>
      </c>
      <c r="P3498">
        <v>2</v>
      </c>
      <c r="Q3498">
        <v>1</v>
      </c>
      <c r="R3498" t="s">
        <v>4557</v>
      </c>
      <c r="S3498" t="s">
        <v>4558</v>
      </c>
      <c r="T3498" t="s">
        <v>4559</v>
      </c>
      <c r="U3498" t="s">
        <v>5631</v>
      </c>
      <c r="V3498" s="2">
        <v>441</v>
      </c>
      <c r="W3498" t="s">
        <v>4655</v>
      </c>
      <c r="X3498" s="2">
        <v>0</v>
      </c>
      <c r="Y3498">
        <v>20</v>
      </c>
      <c r="Z3498" t="s">
        <v>4351</v>
      </c>
      <c r="AA3498" s="3">
        <v>0.13379247486591339</v>
      </c>
      <c r="AB3498" t="s">
        <v>19560</v>
      </c>
      <c r="AC3498" t="s">
        <v>4562</v>
      </c>
      <c r="AD3498" t="s">
        <v>19559</v>
      </c>
      <c r="AE3498" t="s">
        <v>4655</v>
      </c>
      <c r="AF3498" t="s">
        <v>4563</v>
      </c>
      <c r="AG3498" t="s">
        <v>4564</v>
      </c>
      <c r="AH3498">
        <v>89506</v>
      </c>
      <c r="AI3498" t="s">
        <v>4655</v>
      </c>
      <c r="AJ3498" t="s">
        <v>1423</v>
      </c>
      <c r="AK3498" t="s">
        <v>19561</v>
      </c>
      <c r="AL3498" s="13" t="s">
        <v>1901</v>
      </c>
      <c r="AM3498">
        <v>1</v>
      </c>
      <c r="AN3498" s="15" t="s">
        <v>1633</v>
      </c>
    </row>
    <row r="3499" spans="1:40" x14ac:dyDescent="0.3">
      <c r="A3499" s="10" t="str">
        <f>HYPERLINK("http://www.washoecounty.gov/assessor/cama/?parid=080-772-10&amp;CardNumber=1","080-772-10")</f>
        <v>080-772-10</v>
      </c>
      <c r="B3499" t="s">
        <v>4655</v>
      </c>
      <c r="C3499" t="s">
        <v>19562</v>
      </c>
      <c r="D3499" s="1">
        <v>40358</v>
      </c>
      <c r="E3499" s="2">
        <v>144500</v>
      </c>
      <c r="F3499" t="s">
        <v>4567</v>
      </c>
      <c r="G3499" s="17" t="str">
        <f>HYPERLINK("https://www.washoecounty.gov/assessor/cama/?command=sales&amp;parid=08077210","3896747")</f>
        <v>3896747</v>
      </c>
      <c r="H3499" t="s">
        <v>1631</v>
      </c>
      <c r="I3499">
        <v>2004</v>
      </c>
      <c r="J3499">
        <v>2004</v>
      </c>
      <c r="K3499" t="s">
        <v>4554</v>
      </c>
      <c r="L3499" t="s">
        <v>3974</v>
      </c>
      <c r="M3499" s="2">
        <v>2108</v>
      </c>
      <c r="N3499" t="s">
        <v>4048</v>
      </c>
      <c r="O3499">
        <v>3</v>
      </c>
      <c r="P3499">
        <v>2</v>
      </c>
      <c r="Q3499">
        <v>1</v>
      </c>
      <c r="R3499" t="s">
        <v>5281</v>
      </c>
      <c r="S3499" t="s">
        <v>4558</v>
      </c>
      <c r="T3499" t="s">
        <v>4559</v>
      </c>
      <c r="U3499" t="s">
        <v>4560</v>
      </c>
      <c r="V3499" s="2">
        <v>380</v>
      </c>
      <c r="W3499" t="s">
        <v>4655</v>
      </c>
      <c r="X3499" s="2">
        <v>0</v>
      </c>
      <c r="Y3499">
        <v>20</v>
      </c>
      <c r="Z3499" t="s">
        <v>4351</v>
      </c>
      <c r="AA3499" s="3">
        <v>0.14696969091892201</v>
      </c>
      <c r="AB3499" t="s">
        <v>19563</v>
      </c>
      <c r="AC3499" t="s">
        <v>4562</v>
      </c>
      <c r="AD3499" t="s">
        <v>19562</v>
      </c>
      <c r="AE3499" t="s">
        <v>4655</v>
      </c>
      <c r="AF3499" t="s">
        <v>4563</v>
      </c>
      <c r="AG3499" t="s">
        <v>4564</v>
      </c>
      <c r="AH3499">
        <v>89506</v>
      </c>
      <c r="AI3499" t="s">
        <v>19564</v>
      </c>
      <c r="AJ3499" t="s">
        <v>1632</v>
      </c>
      <c r="AK3499" t="s">
        <v>19565</v>
      </c>
      <c r="AL3499" s="13" t="s">
        <v>1901</v>
      </c>
      <c r="AM3499" s="14">
        <v>1</v>
      </c>
      <c r="AN3499" s="15" t="s">
        <v>1633</v>
      </c>
    </row>
    <row r="3500" spans="1:40" x14ac:dyDescent="0.3">
      <c r="A3500" s="10" t="str">
        <f>HYPERLINK("http://www.washoecounty.gov/assessor/cama/?parid=080-773-18&amp;CardNumber=1","080-773-18")</f>
        <v>080-773-18</v>
      </c>
      <c r="B3500" t="s">
        <v>4655</v>
      </c>
      <c r="C3500" t="s">
        <v>19566</v>
      </c>
      <c r="D3500" s="1">
        <v>40528</v>
      </c>
      <c r="E3500" s="2">
        <v>116000</v>
      </c>
      <c r="F3500" t="s">
        <v>4567</v>
      </c>
      <c r="G3500" s="17" t="str">
        <f>HYPERLINK("https://www.washoecounty.gov/assessor/cama/?command=sales&amp;parid=08077318","3954024")</f>
        <v>3954024</v>
      </c>
      <c r="H3500" t="s">
        <v>1631</v>
      </c>
      <c r="I3500">
        <v>2004</v>
      </c>
      <c r="J3500">
        <v>2004</v>
      </c>
      <c r="K3500" t="s">
        <v>4554</v>
      </c>
      <c r="L3500" t="s">
        <v>4555</v>
      </c>
      <c r="M3500" s="2">
        <v>1413</v>
      </c>
      <c r="N3500" t="s">
        <v>4048</v>
      </c>
      <c r="O3500">
        <v>3</v>
      </c>
      <c r="P3500">
        <v>2</v>
      </c>
      <c r="Q3500">
        <v>0</v>
      </c>
      <c r="R3500" t="s">
        <v>5281</v>
      </c>
      <c r="S3500" t="s">
        <v>4558</v>
      </c>
      <c r="T3500" t="s">
        <v>4559</v>
      </c>
      <c r="U3500" t="s">
        <v>4560</v>
      </c>
      <c r="V3500" s="2">
        <v>435</v>
      </c>
      <c r="W3500" t="s">
        <v>4655</v>
      </c>
      <c r="X3500" s="2">
        <v>0</v>
      </c>
      <c r="Y3500">
        <v>20</v>
      </c>
      <c r="Z3500" t="s">
        <v>4351</v>
      </c>
      <c r="AA3500" s="3">
        <v>0.12922406196594199</v>
      </c>
      <c r="AB3500" t="s">
        <v>19567</v>
      </c>
      <c r="AC3500" t="s">
        <v>4562</v>
      </c>
      <c r="AD3500" t="s">
        <v>19566</v>
      </c>
      <c r="AE3500" t="s">
        <v>4655</v>
      </c>
      <c r="AF3500" t="s">
        <v>4563</v>
      </c>
      <c r="AG3500" t="s">
        <v>4564</v>
      </c>
      <c r="AH3500">
        <v>89506</v>
      </c>
      <c r="AI3500" t="s">
        <v>19568</v>
      </c>
      <c r="AJ3500" t="s">
        <v>1632</v>
      </c>
      <c r="AK3500" t="s">
        <v>19569</v>
      </c>
      <c r="AL3500" s="13" t="s">
        <v>1901</v>
      </c>
      <c r="AM3500" s="14">
        <v>1</v>
      </c>
      <c r="AN3500" s="15" t="s">
        <v>1633</v>
      </c>
    </row>
    <row r="3501" spans="1:40" x14ac:dyDescent="0.3">
      <c r="A3501" s="10" t="str">
        <f>HYPERLINK("http://www.washoecounty.gov/assessor/cama/?parid=080-781-09&amp;CardNumber=1","080-781-09")</f>
        <v>080-781-09</v>
      </c>
      <c r="B3501" t="s">
        <v>4655</v>
      </c>
      <c r="C3501" t="s">
        <v>19570</v>
      </c>
      <c r="D3501" s="1">
        <v>40284</v>
      </c>
      <c r="E3501" s="2">
        <v>133000</v>
      </c>
      <c r="F3501" t="s">
        <v>4567</v>
      </c>
      <c r="G3501" s="17" t="str">
        <f>HYPERLINK("https://www.washoecounty.gov/assessor/cama/?command=sales&amp;parid=08078109","3872064")</f>
        <v>3872064</v>
      </c>
      <c r="H3501" t="s">
        <v>1631</v>
      </c>
      <c r="I3501">
        <v>2004</v>
      </c>
      <c r="J3501">
        <v>2004</v>
      </c>
      <c r="K3501" t="s">
        <v>4554</v>
      </c>
      <c r="L3501" t="s">
        <v>4555</v>
      </c>
      <c r="M3501" s="2">
        <v>1675</v>
      </c>
      <c r="N3501" t="s">
        <v>4048</v>
      </c>
      <c r="O3501">
        <v>3</v>
      </c>
      <c r="P3501">
        <v>2</v>
      </c>
      <c r="Q3501">
        <v>0</v>
      </c>
      <c r="R3501" t="s">
        <v>5281</v>
      </c>
      <c r="S3501" t="s">
        <v>4558</v>
      </c>
      <c r="T3501" t="s">
        <v>4559</v>
      </c>
      <c r="U3501" t="s">
        <v>4560</v>
      </c>
      <c r="V3501" s="2">
        <v>404</v>
      </c>
      <c r="W3501" t="s">
        <v>4655</v>
      </c>
      <c r="X3501" s="2">
        <v>0</v>
      </c>
      <c r="Y3501">
        <v>20</v>
      </c>
      <c r="Z3501" t="s">
        <v>4351</v>
      </c>
      <c r="AA3501" s="3">
        <v>0.14476583898067499</v>
      </c>
      <c r="AB3501" t="s">
        <v>19571</v>
      </c>
      <c r="AC3501" t="s">
        <v>4562</v>
      </c>
      <c r="AD3501" t="s">
        <v>19570</v>
      </c>
      <c r="AE3501" t="s">
        <v>4655</v>
      </c>
      <c r="AF3501" t="s">
        <v>4563</v>
      </c>
      <c r="AG3501" t="s">
        <v>4564</v>
      </c>
      <c r="AH3501">
        <v>89506</v>
      </c>
      <c r="AI3501" t="s">
        <v>19572</v>
      </c>
      <c r="AJ3501" t="s">
        <v>1632</v>
      </c>
      <c r="AK3501" t="s">
        <v>19573</v>
      </c>
      <c r="AL3501" s="13" t="s">
        <v>1901</v>
      </c>
      <c r="AM3501">
        <v>1</v>
      </c>
      <c r="AN3501" s="15" t="s">
        <v>1633</v>
      </c>
    </row>
    <row r="3502" spans="1:40" x14ac:dyDescent="0.3">
      <c r="A3502" s="10" t="str">
        <f>HYPERLINK("http://www.washoecounty.gov/assessor/cama/?parid=080-781-11&amp;CardNumber=1","080-781-11")</f>
        <v>080-781-11</v>
      </c>
      <c r="B3502" t="s">
        <v>4655</v>
      </c>
      <c r="C3502" t="s">
        <v>19574</v>
      </c>
      <c r="D3502" s="1">
        <v>40218</v>
      </c>
      <c r="E3502" s="2">
        <v>189000</v>
      </c>
      <c r="F3502" t="s">
        <v>4553</v>
      </c>
      <c r="G3502" s="17" t="str">
        <f>HYPERLINK("https://www.washoecounty.gov/assessor/cama/?command=sales&amp;parid=08078111","3847450")</f>
        <v>3847450</v>
      </c>
      <c r="H3502" t="s">
        <v>1631</v>
      </c>
      <c r="I3502">
        <v>2004</v>
      </c>
      <c r="J3502">
        <v>2004</v>
      </c>
      <c r="K3502" t="s">
        <v>4554</v>
      </c>
      <c r="L3502" t="s">
        <v>3974</v>
      </c>
      <c r="M3502" s="2">
        <v>2381</v>
      </c>
      <c r="N3502" t="s">
        <v>4048</v>
      </c>
      <c r="O3502">
        <v>4</v>
      </c>
      <c r="P3502">
        <v>3</v>
      </c>
      <c r="Q3502">
        <v>0</v>
      </c>
      <c r="R3502" t="s">
        <v>5281</v>
      </c>
      <c r="S3502" t="s">
        <v>4558</v>
      </c>
      <c r="T3502" t="s">
        <v>4559</v>
      </c>
      <c r="U3502" t="s">
        <v>5631</v>
      </c>
      <c r="V3502" s="2">
        <v>396</v>
      </c>
      <c r="W3502" t="s">
        <v>4655</v>
      </c>
      <c r="X3502" s="2">
        <v>0</v>
      </c>
      <c r="Y3502">
        <v>20</v>
      </c>
      <c r="Z3502" t="s">
        <v>4351</v>
      </c>
      <c r="AA3502" s="3">
        <v>0.14070248603820801</v>
      </c>
      <c r="AB3502" t="s">
        <v>19575</v>
      </c>
      <c r="AC3502" t="s">
        <v>4562</v>
      </c>
      <c r="AD3502" t="s">
        <v>19574</v>
      </c>
      <c r="AE3502" t="s">
        <v>4655</v>
      </c>
      <c r="AF3502" t="s">
        <v>4563</v>
      </c>
      <c r="AG3502" t="s">
        <v>4564</v>
      </c>
      <c r="AH3502">
        <v>89506</v>
      </c>
      <c r="AI3502" t="s">
        <v>4565</v>
      </c>
      <c r="AJ3502" t="s">
        <v>1632</v>
      </c>
      <c r="AK3502" t="s">
        <v>19576</v>
      </c>
      <c r="AL3502" s="13" t="s">
        <v>1901</v>
      </c>
      <c r="AM3502">
        <v>1</v>
      </c>
      <c r="AN3502" s="15" t="s">
        <v>1633</v>
      </c>
    </row>
    <row r="3503" spans="1:40" x14ac:dyDescent="0.3">
      <c r="A3503" s="10" t="str">
        <f>HYPERLINK("http://www.washoecounty.gov/assessor/cama/?parid=080-782-01&amp;CardNumber=1","080-782-01")</f>
        <v>080-782-01</v>
      </c>
      <c r="B3503" t="s">
        <v>4655</v>
      </c>
      <c r="C3503" t="s">
        <v>19577</v>
      </c>
      <c r="D3503" s="1">
        <v>40478</v>
      </c>
      <c r="E3503" s="2">
        <v>135000</v>
      </c>
      <c r="F3503" t="s">
        <v>4553</v>
      </c>
      <c r="G3503" s="17" t="str">
        <f>HYPERLINK("https://www.washoecounty.gov/assessor/cama/?command=sales&amp;parid=08078201","3937201")</f>
        <v>3937201</v>
      </c>
      <c r="H3503" t="s">
        <v>1631</v>
      </c>
      <c r="I3503">
        <v>2004</v>
      </c>
      <c r="J3503">
        <v>2004</v>
      </c>
      <c r="K3503" t="s">
        <v>4554</v>
      </c>
      <c r="L3503" t="s">
        <v>4555</v>
      </c>
      <c r="M3503" s="2">
        <v>1675</v>
      </c>
      <c r="N3503" t="s">
        <v>4048</v>
      </c>
      <c r="O3503">
        <v>3</v>
      </c>
      <c r="P3503">
        <v>2</v>
      </c>
      <c r="Q3503">
        <v>0</v>
      </c>
      <c r="R3503" t="s">
        <v>5281</v>
      </c>
      <c r="S3503" t="s">
        <v>4558</v>
      </c>
      <c r="T3503" t="s">
        <v>4559</v>
      </c>
      <c r="U3503" t="s">
        <v>4560</v>
      </c>
      <c r="V3503" s="2">
        <v>404</v>
      </c>
      <c r="W3503" t="s">
        <v>4655</v>
      </c>
      <c r="X3503" s="2">
        <v>0</v>
      </c>
      <c r="Y3503">
        <v>20</v>
      </c>
      <c r="Z3503" t="s">
        <v>4351</v>
      </c>
      <c r="AA3503" s="3">
        <v>0.128925621509552</v>
      </c>
      <c r="AB3503" t="s">
        <v>19578</v>
      </c>
      <c r="AC3503" t="s">
        <v>4562</v>
      </c>
      <c r="AD3503" t="s">
        <v>19577</v>
      </c>
      <c r="AE3503" t="s">
        <v>4655</v>
      </c>
      <c r="AF3503" t="s">
        <v>4563</v>
      </c>
      <c r="AG3503" t="s">
        <v>4564</v>
      </c>
      <c r="AH3503">
        <v>89506</v>
      </c>
      <c r="AI3503" t="s">
        <v>601</v>
      </c>
      <c r="AJ3503" t="s">
        <v>1632</v>
      </c>
      <c r="AK3503" t="s">
        <v>19579</v>
      </c>
      <c r="AL3503" s="13" t="s">
        <v>1901</v>
      </c>
      <c r="AM3503">
        <v>1</v>
      </c>
      <c r="AN3503" s="15" t="s">
        <v>1633</v>
      </c>
    </row>
    <row r="3504" spans="1:40" x14ac:dyDescent="0.3">
      <c r="A3504" s="10" t="str">
        <f>HYPERLINK("http://www.washoecounty.gov/assessor/cama/?parid=080-783-08&amp;CardNumber=1","080-783-08")</f>
        <v>080-783-08</v>
      </c>
      <c r="B3504" t="s">
        <v>4655</v>
      </c>
      <c r="C3504" t="s">
        <v>19580</v>
      </c>
      <c r="D3504" s="1">
        <v>40305</v>
      </c>
      <c r="E3504" s="2">
        <v>147900</v>
      </c>
      <c r="F3504" t="s">
        <v>4567</v>
      </c>
      <c r="G3504" s="17" t="str">
        <f>HYPERLINK("https://www.washoecounty.gov/assessor/cama/?command=sales&amp;parid=08078308","3879203")</f>
        <v>3879203</v>
      </c>
      <c r="H3504" t="s">
        <v>1631</v>
      </c>
      <c r="I3504">
        <v>2004</v>
      </c>
      <c r="J3504">
        <v>2004</v>
      </c>
      <c r="K3504" t="s">
        <v>4554</v>
      </c>
      <c r="L3504" t="s">
        <v>3974</v>
      </c>
      <c r="M3504" s="2">
        <v>2222</v>
      </c>
      <c r="N3504" t="s">
        <v>4048</v>
      </c>
      <c r="O3504">
        <v>4</v>
      </c>
      <c r="P3504">
        <v>2</v>
      </c>
      <c r="Q3504">
        <v>1</v>
      </c>
      <c r="R3504" t="s">
        <v>5281</v>
      </c>
      <c r="S3504" t="s">
        <v>4558</v>
      </c>
      <c r="T3504" t="s">
        <v>4559</v>
      </c>
      <c r="U3504" t="s">
        <v>5631</v>
      </c>
      <c r="V3504" s="2">
        <v>441</v>
      </c>
      <c r="W3504" t="s">
        <v>4655</v>
      </c>
      <c r="X3504" s="2">
        <v>0</v>
      </c>
      <c r="Y3504">
        <v>20</v>
      </c>
      <c r="Z3504" t="s">
        <v>4351</v>
      </c>
      <c r="AA3504" s="3">
        <v>0.21251147985458399</v>
      </c>
      <c r="AB3504" t="s">
        <v>19581</v>
      </c>
      <c r="AC3504" t="s">
        <v>4562</v>
      </c>
      <c r="AD3504" t="s">
        <v>19580</v>
      </c>
      <c r="AE3504" t="s">
        <v>4655</v>
      </c>
      <c r="AF3504" t="s">
        <v>4563</v>
      </c>
      <c r="AG3504" t="s">
        <v>4564</v>
      </c>
      <c r="AH3504">
        <v>89506</v>
      </c>
      <c r="AI3504" t="s">
        <v>19582</v>
      </c>
      <c r="AJ3504" t="s">
        <v>1632</v>
      </c>
      <c r="AK3504" t="s">
        <v>19583</v>
      </c>
      <c r="AL3504" s="13" t="s">
        <v>1901</v>
      </c>
      <c r="AM3504">
        <v>1</v>
      </c>
      <c r="AN3504" s="15" t="s">
        <v>1633</v>
      </c>
    </row>
    <row r="3505" spans="1:40" x14ac:dyDescent="0.3">
      <c r="A3505" s="10" t="str">
        <f>HYPERLINK("http://www.washoecounty.gov/assessor/cama/?parid=080-811-07&amp;CardNumber=1","080-811-07")</f>
        <v>080-811-07</v>
      </c>
      <c r="B3505" t="s">
        <v>4655</v>
      </c>
      <c r="C3505" t="s">
        <v>19584</v>
      </c>
      <c r="D3505" s="1">
        <v>40479</v>
      </c>
      <c r="E3505" s="2">
        <v>165000</v>
      </c>
      <c r="F3505" t="s">
        <v>4567</v>
      </c>
      <c r="G3505" s="17" t="str">
        <f>HYPERLINK("https://www.washoecounty.gov/assessor/cama/?command=sales&amp;parid=08081107","3937969")</f>
        <v>3937969</v>
      </c>
      <c r="H3505" t="s">
        <v>4787</v>
      </c>
      <c r="I3505">
        <v>2005</v>
      </c>
      <c r="J3505">
        <v>2005</v>
      </c>
      <c r="K3505" t="s">
        <v>4554</v>
      </c>
      <c r="L3505" t="s">
        <v>2170</v>
      </c>
      <c r="M3505" s="2">
        <v>2259</v>
      </c>
      <c r="N3505" t="s">
        <v>4048</v>
      </c>
      <c r="O3505">
        <v>4</v>
      </c>
      <c r="P3505">
        <v>3</v>
      </c>
      <c r="Q3505">
        <v>0</v>
      </c>
      <c r="R3505" t="s">
        <v>4557</v>
      </c>
      <c r="S3505" t="s">
        <v>4558</v>
      </c>
      <c r="T3505" t="s">
        <v>4559</v>
      </c>
      <c r="U3505" t="s">
        <v>4560</v>
      </c>
      <c r="V3505" s="2">
        <v>600</v>
      </c>
      <c r="W3505" t="s">
        <v>4655</v>
      </c>
      <c r="X3505" s="2">
        <v>0</v>
      </c>
      <c r="Y3505">
        <v>20</v>
      </c>
      <c r="Z3505" t="s">
        <v>4351</v>
      </c>
      <c r="AA3505" s="3">
        <v>0.19393938779830899</v>
      </c>
      <c r="AB3505" t="s">
        <v>19585</v>
      </c>
      <c r="AC3505" t="s">
        <v>4575</v>
      </c>
      <c r="AD3505" t="s">
        <v>19586</v>
      </c>
      <c r="AE3505" t="s">
        <v>4655</v>
      </c>
      <c r="AF3505" t="s">
        <v>4563</v>
      </c>
      <c r="AG3505" t="s">
        <v>4564</v>
      </c>
      <c r="AH3505">
        <v>89506</v>
      </c>
      <c r="AI3505" t="s">
        <v>19587</v>
      </c>
      <c r="AJ3505" t="s">
        <v>1635</v>
      </c>
      <c r="AK3505" t="s">
        <v>19588</v>
      </c>
      <c r="AL3505" s="13" t="s">
        <v>1901</v>
      </c>
      <c r="AM3505">
        <v>1</v>
      </c>
      <c r="AN3505" s="15" t="s">
        <v>1633</v>
      </c>
    </row>
    <row r="3506" spans="1:40" x14ac:dyDescent="0.3">
      <c r="A3506" s="10" t="str">
        <f>HYPERLINK("http://www.washoecounty.gov/assessor/cama/?parid=080-811-11&amp;CardNumber=1","080-811-11")</f>
        <v>080-811-11</v>
      </c>
      <c r="B3506" t="s">
        <v>4655</v>
      </c>
      <c r="C3506" t="s">
        <v>19589</v>
      </c>
      <c r="D3506" s="1">
        <v>40204</v>
      </c>
      <c r="E3506" s="2">
        <v>199000</v>
      </c>
      <c r="F3506" t="s">
        <v>4553</v>
      </c>
      <c r="G3506" s="17" t="str">
        <f>HYPERLINK("https://www.washoecounty.gov/assessor/cama/?command=sales&amp;parid=08081111","3842870")</f>
        <v>3842870</v>
      </c>
      <c r="H3506" t="s">
        <v>1634</v>
      </c>
      <c r="I3506">
        <v>2004</v>
      </c>
      <c r="J3506">
        <v>2004</v>
      </c>
      <c r="K3506" t="s">
        <v>4554</v>
      </c>
      <c r="L3506" t="s">
        <v>3974</v>
      </c>
      <c r="M3506" s="2">
        <v>2675</v>
      </c>
      <c r="N3506" t="s">
        <v>4048</v>
      </c>
      <c r="O3506">
        <v>4</v>
      </c>
      <c r="P3506">
        <v>2</v>
      </c>
      <c r="Q3506">
        <v>1</v>
      </c>
      <c r="R3506" t="s">
        <v>5281</v>
      </c>
      <c r="S3506" t="s">
        <v>4558</v>
      </c>
      <c r="T3506" t="s">
        <v>4559</v>
      </c>
      <c r="U3506" t="s">
        <v>5631</v>
      </c>
      <c r="V3506" s="2">
        <v>698</v>
      </c>
      <c r="W3506" t="s">
        <v>4655</v>
      </c>
      <c r="X3506" s="2">
        <v>0</v>
      </c>
      <c r="Y3506">
        <v>20</v>
      </c>
      <c r="Z3506" t="s">
        <v>4351</v>
      </c>
      <c r="AA3506" s="3">
        <v>0.33484849333763123</v>
      </c>
      <c r="AB3506" t="s">
        <v>19590</v>
      </c>
      <c r="AC3506" t="s">
        <v>4562</v>
      </c>
      <c r="AD3506" t="s">
        <v>19591</v>
      </c>
      <c r="AE3506" t="s">
        <v>4655</v>
      </c>
      <c r="AF3506" t="s">
        <v>4563</v>
      </c>
      <c r="AG3506" t="s">
        <v>4564</v>
      </c>
      <c r="AH3506">
        <v>89506</v>
      </c>
      <c r="AI3506" t="s">
        <v>4903</v>
      </c>
      <c r="AJ3506" t="s">
        <v>1635</v>
      </c>
      <c r="AK3506" t="s">
        <v>19592</v>
      </c>
      <c r="AL3506" s="13" t="s">
        <v>1901</v>
      </c>
      <c r="AM3506">
        <v>1</v>
      </c>
      <c r="AN3506" s="15" t="s">
        <v>1633</v>
      </c>
    </row>
    <row r="3507" spans="1:40" x14ac:dyDescent="0.3">
      <c r="A3507" s="10" t="str">
        <f>HYPERLINK("http://www.washoecounty.gov/assessor/cama/?parid=080-821-06&amp;CardNumber=1","080-821-06")</f>
        <v>080-821-06</v>
      </c>
      <c r="B3507" t="s">
        <v>4655</v>
      </c>
      <c r="C3507" t="s">
        <v>19593</v>
      </c>
      <c r="D3507" s="1">
        <v>40319</v>
      </c>
      <c r="E3507" s="2">
        <v>92333</v>
      </c>
      <c r="F3507" t="s">
        <v>4567</v>
      </c>
      <c r="G3507" s="17" t="str">
        <f>HYPERLINK("https://www.washoecounty.gov/assessor/cama/?command=sales&amp;parid=08082106","3883829")</f>
        <v>3883829</v>
      </c>
      <c r="H3507" t="s">
        <v>4787</v>
      </c>
      <c r="I3507">
        <v>2004</v>
      </c>
      <c r="J3507">
        <v>2004</v>
      </c>
      <c r="K3507" t="s">
        <v>4554</v>
      </c>
      <c r="L3507" t="s">
        <v>4555</v>
      </c>
      <c r="M3507" s="2">
        <v>1538</v>
      </c>
      <c r="N3507" t="s">
        <v>4048</v>
      </c>
      <c r="O3507">
        <v>4</v>
      </c>
      <c r="P3507">
        <v>2</v>
      </c>
      <c r="Q3507">
        <v>0</v>
      </c>
      <c r="R3507" t="s">
        <v>5281</v>
      </c>
      <c r="S3507" t="s">
        <v>4558</v>
      </c>
      <c r="T3507" t="s">
        <v>4559</v>
      </c>
      <c r="U3507" t="s">
        <v>4560</v>
      </c>
      <c r="V3507" s="2">
        <v>428</v>
      </c>
      <c r="W3507" t="s">
        <v>4655</v>
      </c>
      <c r="X3507" s="2">
        <v>0</v>
      </c>
      <c r="Y3507">
        <v>20</v>
      </c>
      <c r="Z3507" t="s">
        <v>4351</v>
      </c>
      <c r="AA3507" s="3">
        <v>0.15355831384658813</v>
      </c>
      <c r="AB3507" t="s">
        <v>19594</v>
      </c>
      <c r="AC3507" t="s">
        <v>4575</v>
      </c>
      <c r="AD3507" t="s">
        <v>19595</v>
      </c>
      <c r="AE3507" t="s">
        <v>19596</v>
      </c>
      <c r="AF3507" t="s">
        <v>3660</v>
      </c>
      <c r="AG3507" t="s">
        <v>4584</v>
      </c>
      <c r="AH3507" t="s">
        <v>3307</v>
      </c>
      <c r="AI3507" t="s">
        <v>19597</v>
      </c>
      <c r="AJ3507" t="s">
        <v>1635</v>
      </c>
      <c r="AK3507" t="s">
        <v>19598</v>
      </c>
      <c r="AL3507" s="13" t="s">
        <v>1901</v>
      </c>
      <c r="AM3507">
        <v>1</v>
      </c>
      <c r="AN3507" s="15" t="s">
        <v>1633</v>
      </c>
    </row>
    <row r="3508" spans="1:40" x14ac:dyDescent="0.3">
      <c r="A3508" s="10" t="str">
        <f>HYPERLINK("http://www.washoecounty.gov/assessor/cama/?parid=080-822-04&amp;CardNumber=1","080-822-04")</f>
        <v>080-822-04</v>
      </c>
      <c r="B3508" t="s">
        <v>4655</v>
      </c>
      <c r="C3508" t="s">
        <v>19599</v>
      </c>
      <c r="D3508" s="1">
        <v>40403</v>
      </c>
      <c r="E3508" s="2">
        <v>165000</v>
      </c>
      <c r="F3508" t="s">
        <v>4567</v>
      </c>
      <c r="G3508" s="17" t="str">
        <f>HYPERLINK("https://www.washoecounty.gov/assessor/cama/?command=sales&amp;parid=08082204","3911497")</f>
        <v>3911497</v>
      </c>
      <c r="H3508" t="s">
        <v>1634</v>
      </c>
      <c r="I3508">
        <v>2005</v>
      </c>
      <c r="J3508">
        <v>2005</v>
      </c>
      <c r="K3508" t="s">
        <v>4554</v>
      </c>
      <c r="L3508" t="s">
        <v>2170</v>
      </c>
      <c r="M3508" s="2">
        <v>2259</v>
      </c>
      <c r="N3508" t="s">
        <v>4048</v>
      </c>
      <c r="O3508">
        <v>4</v>
      </c>
      <c r="P3508">
        <v>3</v>
      </c>
      <c r="Q3508">
        <v>0</v>
      </c>
      <c r="R3508" t="s">
        <v>5281</v>
      </c>
      <c r="S3508" t="s">
        <v>4558</v>
      </c>
      <c r="T3508" t="s">
        <v>4559</v>
      </c>
      <c r="U3508" t="s">
        <v>4560</v>
      </c>
      <c r="V3508" s="2">
        <v>600</v>
      </c>
      <c r="W3508" t="s">
        <v>4655</v>
      </c>
      <c r="X3508" s="2">
        <v>0</v>
      </c>
      <c r="Y3508">
        <v>20</v>
      </c>
      <c r="Z3508" t="s">
        <v>4351</v>
      </c>
      <c r="AA3508" s="3">
        <v>0.15858586132526398</v>
      </c>
      <c r="AB3508" t="s">
        <v>19600</v>
      </c>
      <c r="AC3508" t="s">
        <v>4562</v>
      </c>
      <c r="AD3508" t="s">
        <v>19599</v>
      </c>
      <c r="AE3508" t="s">
        <v>4655</v>
      </c>
      <c r="AF3508" t="s">
        <v>4563</v>
      </c>
      <c r="AG3508" t="s">
        <v>4564</v>
      </c>
      <c r="AH3508">
        <v>89506</v>
      </c>
      <c r="AI3508" t="s">
        <v>19601</v>
      </c>
      <c r="AJ3508" t="s">
        <v>1635</v>
      </c>
      <c r="AK3508" t="s">
        <v>19602</v>
      </c>
      <c r="AL3508" s="13" t="s">
        <v>1901</v>
      </c>
      <c r="AM3508">
        <v>1</v>
      </c>
      <c r="AN3508" s="15" t="s">
        <v>1633</v>
      </c>
    </row>
    <row r="3509" spans="1:40" x14ac:dyDescent="0.3">
      <c r="A3509" s="10" t="str">
        <f>HYPERLINK("http://www.washoecounty.gov/assessor/cama/?parid=080-822-08&amp;CardNumber=1","080-822-08")</f>
        <v>080-822-08</v>
      </c>
      <c r="B3509" t="s">
        <v>4655</v>
      </c>
      <c r="C3509" t="s">
        <v>19603</v>
      </c>
      <c r="D3509" s="1">
        <v>40220</v>
      </c>
      <c r="E3509" s="2">
        <v>175000</v>
      </c>
      <c r="F3509" t="s">
        <v>4567</v>
      </c>
      <c r="G3509" s="17" t="str">
        <f>HYPERLINK("https://www.washoecounty.gov/assessor/cama/?command=sales&amp;parid=08082208","3848169")</f>
        <v>3848169</v>
      </c>
      <c r="H3509" t="s">
        <v>1634</v>
      </c>
      <c r="I3509">
        <v>2004</v>
      </c>
      <c r="J3509">
        <v>2004</v>
      </c>
      <c r="K3509" t="s">
        <v>4554</v>
      </c>
      <c r="L3509" t="s">
        <v>3974</v>
      </c>
      <c r="M3509" s="2">
        <v>2675</v>
      </c>
      <c r="N3509" t="s">
        <v>4048</v>
      </c>
      <c r="O3509">
        <v>4</v>
      </c>
      <c r="P3509">
        <v>2</v>
      </c>
      <c r="Q3509">
        <v>1</v>
      </c>
      <c r="R3509" t="s">
        <v>5281</v>
      </c>
      <c r="S3509" t="s">
        <v>4558</v>
      </c>
      <c r="T3509" t="s">
        <v>4559</v>
      </c>
      <c r="U3509" t="s">
        <v>5631</v>
      </c>
      <c r="V3509" s="2">
        <v>698</v>
      </c>
      <c r="W3509" t="s">
        <v>4655</v>
      </c>
      <c r="X3509" s="2">
        <v>0</v>
      </c>
      <c r="Y3509">
        <v>20</v>
      </c>
      <c r="Z3509" t="s">
        <v>4351</v>
      </c>
      <c r="AA3509" s="3">
        <v>0.15948118269443501</v>
      </c>
      <c r="AB3509" t="s">
        <v>19604</v>
      </c>
      <c r="AC3509" t="s">
        <v>4575</v>
      </c>
      <c r="AD3509" t="s">
        <v>19605</v>
      </c>
      <c r="AE3509" t="s">
        <v>19603</v>
      </c>
      <c r="AF3509" t="s">
        <v>4563</v>
      </c>
      <c r="AG3509" t="s">
        <v>4564</v>
      </c>
      <c r="AH3509">
        <v>89506</v>
      </c>
      <c r="AI3509" t="s">
        <v>19606</v>
      </c>
      <c r="AJ3509" t="s">
        <v>1635</v>
      </c>
      <c r="AK3509" t="s">
        <v>19607</v>
      </c>
      <c r="AL3509" s="13" t="s">
        <v>1901</v>
      </c>
      <c r="AM3509">
        <v>1</v>
      </c>
      <c r="AN3509" s="15" t="s">
        <v>1633</v>
      </c>
    </row>
    <row r="3510" spans="1:40" x14ac:dyDescent="0.3">
      <c r="A3510" s="10" t="str">
        <f>HYPERLINK("http://www.washoecounty.gov/assessor/cama/?parid=080-822-09&amp;CardNumber=1","080-822-09")</f>
        <v>080-822-09</v>
      </c>
      <c r="B3510" t="s">
        <v>4655</v>
      </c>
      <c r="C3510" t="s">
        <v>19608</v>
      </c>
      <c r="D3510" s="1">
        <v>40430</v>
      </c>
      <c r="E3510" s="2">
        <v>160000</v>
      </c>
      <c r="F3510" t="s">
        <v>4553</v>
      </c>
      <c r="G3510" s="17" t="str">
        <f>HYPERLINK("https://www.washoecounty.gov/assessor/cama/?command=sales&amp;parid=08082209","39206690")</f>
        <v>39206690</v>
      </c>
      <c r="H3510" t="s">
        <v>4787</v>
      </c>
      <c r="I3510">
        <v>2004</v>
      </c>
      <c r="J3510">
        <v>2004</v>
      </c>
      <c r="K3510" t="s">
        <v>4554</v>
      </c>
      <c r="L3510" t="s">
        <v>2170</v>
      </c>
      <c r="M3510" s="2">
        <v>2259</v>
      </c>
      <c r="N3510" t="s">
        <v>4048</v>
      </c>
      <c r="O3510">
        <v>5</v>
      </c>
      <c r="P3510">
        <v>3</v>
      </c>
      <c r="Q3510">
        <v>0</v>
      </c>
      <c r="R3510" t="s">
        <v>5281</v>
      </c>
      <c r="S3510" t="s">
        <v>4558</v>
      </c>
      <c r="T3510" t="s">
        <v>4559</v>
      </c>
      <c r="U3510" t="s">
        <v>4560</v>
      </c>
      <c r="V3510" s="2">
        <v>600</v>
      </c>
      <c r="W3510" t="s">
        <v>4655</v>
      </c>
      <c r="X3510" s="2">
        <v>0</v>
      </c>
      <c r="Y3510">
        <v>20</v>
      </c>
      <c r="Z3510" t="s">
        <v>4351</v>
      </c>
      <c r="AA3510" s="3">
        <v>0.157024800777435</v>
      </c>
      <c r="AB3510" t="s">
        <v>19609</v>
      </c>
      <c r="AC3510" t="s">
        <v>4562</v>
      </c>
      <c r="AD3510" t="s">
        <v>19610</v>
      </c>
      <c r="AE3510" t="s">
        <v>4655</v>
      </c>
      <c r="AF3510" t="s">
        <v>4563</v>
      </c>
      <c r="AG3510" t="s">
        <v>4564</v>
      </c>
      <c r="AH3510">
        <v>89506</v>
      </c>
      <c r="AI3510" t="s">
        <v>4202</v>
      </c>
      <c r="AJ3510" t="s">
        <v>1635</v>
      </c>
      <c r="AK3510" t="s">
        <v>19611</v>
      </c>
      <c r="AL3510" s="13" t="s">
        <v>1901</v>
      </c>
      <c r="AM3510">
        <v>1</v>
      </c>
      <c r="AN3510" s="15" t="s">
        <v>1633</v>
      </c>
    </row>
    <row r="3511" spans="1:40" x14ac:dyDescent="0.3">
      <c r="A3511" s="10" t="str">
        <f>HYPERLINK("http://www.washoecounty.gov/assessor/cama/?parid=080-823-02&amp;CardNumber=1","080-823-02")</f>
        <v>080-823-02</v>
      </c>
      <c r="B3511" t="s">
        <v>4655</v>
      </c>
      <c r="C3511" t="s">
        <v>19612</v>
      </c>
      <c r="D3511" s="1">
        <v>40353</v>
      </c>
      <c r="E3511" s="2">
        <v>180500</v>
      </c>
      <c r="F3511" t="s">
        <v>4553</v>
      </c>
      <c r="G3511" s="17" t="str">
        <f>HYPERLINK("https://www.washoecounty.gov/assessor/cama/?command=sales&amp;parid=08082302","3895044")</f>
        <v>3895044</v>
      </c>
      <c r="H3511" t="s">
        <v>4787</v>
      </c>
      <c r="I3511">
        <v>2005</v>
      </c>
      <c r="J3511">
        <v>2005</v>
      </c>
      <c r="K3511" t="s">
        <v>4554</v>
      </c>
      <c r="L3511" t="s">
        <v>3974</v>
      </c>
      <c r="M3511" s="2">
        <v>2605</v>
      </c>
      <c r="N3511" t="s">
        <v>4048</v>
      </c>
      <c r="O3511">
        <v>4</v>
      </c>
      <c r="P3511">
        <v>2</v>
      </c>
      <c r="Q3511">
        <v>1</v>
      </c>
      <c r="R3511" t="s">
        <v>5281</v>
      </c>
      <c r="S3511" t="s">
        <v>4558</v>
      </c>
      <c r="T3511" t="s">
        <v>4559</v>
      </c>
      <c r="U3511" t="s">
        <v>5631</v>
      </c>
      <c r="V3511" s="2">
        <v>528</v>
      </c>
      <c r="W3511" t="s">
        <v>4655</v>
      </c>
      <c r="X3511" s="2">
        <v>0</v>
      </c>
      <c r="Y3511">
        <v>20</v>
      </c>
      <c r="Z3511" t="s">
        <v>4351</v>
      </c>
      <c r="AA3511" s="3">
        <v>0.15672636032104501</v>
      </c>
      <c r="AB3511" t="s">
        <v>19613</v>
      </c>
      <c r="AC3511" t="s">
        <v>4575</v>
      </c>
      <c r="AD3511" t="s">
        <v>19612</v>
      </c>
      <c r="AE3511" t="s">
        <v>4655</v>
      </c>
      <c r="AF3511" t="s">
        <v>4563</v>
      </c>
      <c r="AG3511" t="s">
        <v>4564</v>
      </c>
      <c r="AH3511">
        <v>89506</v>
      </c>
      <c r="AI3511" t="s">
        <v>4045</v>
      </c>
      <c r="AJ3511" t="s">
        <v>1635</v>
      </c>
      <c r="AK3511" t="s">
        <v>19614</v>
      </c>
      <c r="AL3511" s="13" t="s">
        <v>1901</v>
      </c>
      <c r="AM3511" s="14">
        <v>1</v>
      </c>
      <c r="AN3511" s="15" t="s">
        <v>1633</v>
      </c>
    </row>
    <row r="3512" spans="1:40" x14ac:dyDescent="0.3">
      <c r="A3512" s="10" t="str">
        <f>HYPERLINK("http://www.washoecounty.gov/assessor/cama/?parid=080-823-04&amp;CardNumber=1","080-823-04")</f>
        <v>080-823-04</v>
      </c>
      <c r="B3512" t="s">
        <v>4655</v>
      </c>
      <c r="C3512" t="s">
        <v>19615</v>
      </c>
      <c r="D3512" s="1">
        <v>40409</v>
      </c>
      <c r="E3512" s="2">
        <v>152000</v>
      </c>
      <c r="F3512" t="s">
        <v>4553</v>
      </c>
      <c r="G3512" s="17" t="str">
        <f>HYPERLINK("https://www.washoecounty.gov/assessor/cama/?command=sales&amp;parid=08082304","3913688")</f>
        <v>3913688</v>
      </c>
      <c r="H3512" t="s">
        <v>4787</v>
      </c>
      <c r="I3512">
        <v>2005</v>
      </c>
      <c r="J3512">
        <v>2005</v>
      </c>
      <c r="K3512" t="s">
        <v>4554</v>
      </c>
      <c r="L3512" t="s">
        <v>4555</v>
      </c>
      <c r="M3512" s="2">
        <v>1538</v>
      </c>
      <c r="N3512" t="s">
        <v>4048</v>
      </c>
      <c r="O3512">
        <v>3</v>
      </c>
      <c r="P3512">
        <v>2</v>
      </c>
      <c r="Q3512">
        <v>0</v>
      </c>
      <c r="R3512" t="s">
        <v>5281</v>
      </c>
      <c r="S3512" t="s">
        <v>4558</v>
      </c>
      <c r="T3512" t="s">
        <v>4559</v>
      </c>
      <c r="U3512" t="s">
        <v>4560</v>
      </c>
      <c r="V3512" s="2">
        <v>428</v>
      </c>
      <c r="W3512" t="s">
        <v>4655</v>
      </c>
      <c r="X3512" s="2">
        <v>0</v>
      </c>
      <c r="Y3512">
        <v>20</v>
      </c>
      <c r="Z3512" t="s">
        <v>4351</v>
      </c>
      <c r="AA3512" s="3">
        <v>0.15459136664867401</v>
      </c>
      <c r="AB3512" t="s">
        <v>19616</v>
      </c>
      <c r="AC3512" t="s">
        <v>4562</v>
      </c>
      <c r="AD3512" t="s">
        <v>19617</v>
      </c>
      <c r="AE3512" t="s">
        <v>4655</v>
      </c>
      <c r="AF3512" t="s">
        <v>4563</v>
      </c>
      <c r="AG3512" t="s">
        <v>4564</v>
      </c>
      <c r="AH3512">
        <v>89506</v>
      </c>
      <c r="AI3512" t="s">
        <v>19618</v>
      </c>
      <c r="AJ3512" t="s">
        <v>1635</v>
      </c>
      <c r="AK3512" t="s">
        <v>19619</v>
      </c>
      <c r="AL3512" s="13" t="s">
        <v>1901</v>
      </c>
      <c r="AM3512">
        <v>1</v>
      </c>
      <c r="AN3512" s="15" t="s">
        <v>1633</v>
      </c>
    </row>
    <row r="3513" spans="1:40" x14ac:dyDescent="0.3">
      <c r="A3513" s="10" t="str">
        <f>HYPERLINK("http://www.washoecounty.gov/assessor/cama/?parid=080-823-11&amp;CardNumber=1","080-823-11")</f>
        <v>080-823-11</v>
      </c>
      <c r="B3513" t="s">
        <v>4655</v>
      </c>
      <c r="C3513" t="s">
        <v>19620</v>
      </c>
      <c r="D3513" s="1">
        <v>40387</v>
      </c>
      <c r="E3513" s="2">
        <v>155000</v>
      </c>
      <c r="F3513" t="s">
        <v>4553</v>
      </c>
      <c r="G3513" s="17" t="str">
        <f>HYPERLINK("https://www.washoecounty.gov/assessor/cama/?command=sales&amp;parid=08082311","3906243")</f>
        <v>3906243</v>
      </c>
      <c r="H3513" t="s">
        <v>4787</v>
      </c>
      <c r="I3513">
        <v>2005</v>
      </c>
      <c r="J3513">
        <v>2005</v>
      </c>
      <c r="K3513" t="s">
        <v>4554</v>
      </c>
      <c r="L3513" t="s">
        <v>4555</v>
      </c>
      <c r="M3513" s="2">
        <v>1538</v>
      </c>
      <c r="N3513" t="s">
        <v>4048</v>
      </c>
      <c r="O3513">
        <v>4</v>
      </c>
      <c r="P3513">
        <v>2</v>
      </c>
      <c r="Q3513">
        <v>0</v>
      </c>
      <c r="R3513" t="s">
        <v>5281</v>
      </c>
      <c r="S3513" t="s">
        <v>4558</v>
      </c>
      <c r="T3513" t="s">
        <v>4559</v>
      </c>
      <c r="U3513" t="s">
        <v>4560</v>
      </c>
      <c r="V3513" s="2">
        <v>428</v>
      </c>
      <c r="W3513" t="s">
        <v>4655</v>
      </c>
      <c r="X3513" s="2">
        <v>0</v>
      </c>
      <c r="Y3513">
        <v>20</v>
      </c>
      <c r="Z3513" t="s">
        <v>4351</v>
      </c>
      <c r="AA3513" s="3">
        <v>0.15596878528594971</v>
      </c>
      <c r="AB3513" t="s">
        <v>19621</v>
      </c>
      <c r="AC3513" t="s">
        <v>4575</v>
      </c>
      <c r="AD3513" t="s">
        <v>19622</v>
      </c>
      <c r="AE3513" t="s">
        <v>4655</v>
      </c>
      <c r="AF3513" t="s">
        <v>4563</v>
      </c>
      <c r="AG3513" t="s">
        <v>4564</v>
      </c>
      <c r="AH3513">
        <v>89506</v>
      </c>
      <c r="AI3513" t="s">
        <v>4655</v>
      </c>
      <c r="AJ3513" t="s">
        <v>1635</v>
      </c>
      <c r="AK3513" t="s">
        <v>19623</v>
      </c>
      <c r="AL3513" s="13" t="s">
        <v>1901</v>
      </c>
      <c r="AM3513" s="14">
        <v>1</v>
      </c>
      <c r="AN3513" s="15" t="s">
        <v>1633</v>
      </c>
    </row>
    <row r="3514" spans="1:40" x14ac:dyDescent="0.3">
      <c r="A3514" s="10" t="str">
        <f>HYPERLINK("http://www.washoecounty.gov/assessor/cama/?parid=080-823-13&amp;CardNumber=1","080-823-13")</f>
        <v>080-823-13</v>
      </c>
      <c r="B3514" t="s">
        <v>4655</v>
      </c>
      <c r="C3514" t="s">
        <v>19624</v>
      </c>
      <c r="D3514" s="1">
        <v>40317</v>
      </c>
      <c r="E3514" s="2">
        <v>187000</v>
      </c>
      <c r="F3514" t="s">
        <v>4553</v>
      </c>
      <c r="G3514" s="17" t="str">
        <f>HYPERLINK("https://www.washoecounty.gov/assessor/cama/?command=sales&amp;parid=08082313","3883118")</f>
        <v>3883118</v>
      </c>
      <c r="H3514" t="s">
        <v>4787</v>
      </c>
      <c r="I3514">
        <v>2005</v>
      </c>
      <c r="J3514">
        <v>2005</v>
      </c>
      <c r="K3514" t="s">
        <v>4554</v>
      </c>
      <c r="L3514" t="s">
        <v>2170</v>
      </c>
      <c r="M3514" s="2">
        <v>2259</v>
      </c>
      <c r="N3514" t="s">
        <v>4048</v>
      </c>
      <c r="O3514">
        <v>4</v>
      </c>
      <c r="P3514">
        <v>3</v>
      </c>
      <c r="Q3514">
        <v>0</v>
      </c>
      <c r="R3514" t="s">
        <v>4557</v>
      </c>
      <c r="S3514" t="s">
        <v>4558</v>
      </c>
      <c r="T3514" t="s">
        <v>4559</v>
      </c>
      <c r="U3514" t="s">
        <v>4560</v>
      </c>
      <c r="V3514" s="2">
        <v>600</v>
      </c>
      <c r="W3514" t="s">
        <v>4655</v>
      </c>
      <c r="X3514" s="2">
        <v>0</v>
      </c>
      <c r="Y3514">
        <v>20</v>
      </c>
      <c r="Z3514" t="s">
        <v>4351</v>
      </c>
      <c r="AA3514" s="3">
        <v>0.182047754526138</v>
      </c>
      <c r="AB3514" t="s">
        <v>19625</v>
      </c>
      <c r="AC3514" t="s">
        <v>4562</v>
      </c>
      <c r="AD3514" t="s">
        <v>19624</v>
      </c>
      <c r="AE3514" t="s">
        <v>4655</v>
      </c>
      <c r="AF3514" t="s">
        <v>4563</v>
      </c>
      <c r="AG3514" t="s">
        <v>4564</v>
      </c>
      <c r="AH3514">
        <v>89506</v>
      </c>
      <c r="AI3514" t="s">
        <v>4565</v>
      </c>
      <c r="AJ3514" t="s">
        <v>1635</v>
      </c>
      <c r="AK3514" t="s">
        <v>19626</v>
      </c>
      <c r="AL3514" s="13" t="s">
        <v>1901</v>
      </c>
      <c r="AM3514">
        <v>1</v>
      </c>
      <c r="AN3514" s="15" t="s">
        <v>1633</v>
      </c>
    </row>
    <row r="3515" spans="1:40" x14ac:dyDescent="0.3">
      <c r="A3515" s="10" t="str">
        <f>HYPERLINK("http://www.washoecounty.gov/assessor/cama/?parid=080-831-05&amp;CardNumber=1","080-831-05")</f>
        <v>080-831-05</v>
      </c>
      <c r="B3515" t="s">
        <v>4655</v>
      </c>
      <c r="C3515" t="s">
        <v>19627</v>
      </c>
      <c r="D3515" s="1">
        <v>40506</v>
      </c>
      <c r="E3515" s="2">
        <v>163600</v>
      </c>
      <c r="F3515" t="s">
        <v>4553</v>
      </c>
      <c r="G3515" s="17" t="str">
        <f>HYPERLINK("https://www.washoecounty.gov/assessor/cama/?command=sales&amp;parid=08083105","3946830")</f>
        <v>3946830</v>
      </c>
      <c r="H3515" t="s">
        <v>790</v>
      </c>
      <c r="I3515">
        <v>2006</v>
      </c>
      <c r="J3515">
        <v>2006</v>
      </c>
      <c r="K3515" t="s">
        <v>4554</v>
      </c>
      <c r="L3515" t="s">
        <v>3974</v>
      </c>
      <c r="M3515" s="2">
        <v>2381</v>
      </c>
      <c r="N3515" t="s">
        <v>4048</v>
      </c>
      <c r="O3515">
        <v>5</v>
      </c>
      <c r="P3515">
        <v>3</v>
      </c>
      <c r="Q3515">
        <v>0</v>
      </c>
      <c r="R3515" t="s">
        <v>5281</v>
      </c>
      <c r="S3515" t="s">
        <v>4558</v>
      </c>
      <c r="T3515" t="s">
        <v>4559</v>
      </c>
      <c r="U3515" t="s">
        <v>5631</v>
      </c>
      <c r="V3515" s="2">
        <v>396</v>
      </c>
      <c r="W3515" t="s">
        <v>4655</v>
      </c>
      <c r="X3515" s="2">
        <v>0</v>
      </c>
      <c r="Y3515">
        <v>20</v>
      </c>
      <c r="Z3515" t="s">
        <v>4351</v>
      </c>
      <c r="AA3515" s="3">
        <v>0.206887051463127</v>
      </c>
      <c r="AB3515" t="s">
        <v>19628</v>
      </c>
      <c r="AC3515" t="s">
        <v>4562</v>
      </c>
      <c r="AD3515" t="s">
        <v>19627</v>
      </c>
      <c r="AE3515" t="s">
        <v>4655</v>
      </c>
      <c r="AF3515" t="s">
        <v>4563</v>
      </c>
      <c r="AG3515" t="s">
        <v>4564</v>
      </c>
      <c r="AH3515">
        <v>89506</v>
      </c>
      <c r="AI3515" t="s">
        <v>4655</v>
      </c>
      <c r="AJ3515" t="s">
        <v>4276</v>
      </c>
      <c r="AK3515" t="s">
        <v>19629</v>
      </c>
      <c r="AL3515" s="13" t="s">
        <v>1901</v>
      </c>
      <c r="AM3515" s="14">
        <v>1</v>
      </c>
      <c r="AN3515" s="15" t="s">
        <v>1633</v>
      </c>
    </row>
    <row r="3516" spans="1:40" x14ac:dyDescent="0.3">
      <c r="A3516" s="10" t="str">
        <f>HYPERLINK("http://www.washoecounty.gov/assessor/cama/?parid=080-831-09&amp;CardNumber=1","080-831-09")</f>
        <v>080-831-09</v>
      </c>
      <c r="B3516" t="s">
        <v>4655</v>
      </c>
      <c r="C3516" t="s">
        <v>19630</v>
      </c>
      <c r="D3516" s="1">
        <v>40280</v>
      </c>
      <c r="E3516" s="2">
        <v>149500</v>
      </c>
      <c r="F3516" t="s">
        <v>4567</v>
      </c>
      <c r="G3516" s="17" t="str">
        <f>HYPERLINK("https://www.washoecounty.gov/assessor/cama/?command=sales&amp;parid=08083109","3870021")</f>
        <v>3870021</v>
      </c>
      <c r="H3516" t="s">
        <v>790</v>
      </c>
      <c r="I3516">
        <v>2006</v>
      </c>
      <c r="J3516">
        <v>2006</v>
      </c>
      <c r="K3516" t="s">
        <v>4554</v>
      </c>
      <c r="L3516" t="s">
        <v>4555</v>
      </c>
      <c r="M3516" s="2">
        <v>1675</v>
      </c>
      <c r="N3516" t="s">
        <v>4048</v>
      </c>
      <c r="O3516">
        <v>3</v>
      </c>
      <c r="P3516">
        <v>2</v>
      </c>
      <c r="Q3516">
        <v>0</v>
      </c>
      <c r="R3516" t="s">
        <v>5281</v>
      </c>
      <c r="S3516" t="s">
        <v>4558</v>
      </c>
      <c r="T3516" t="s">
        <v>4559</v>
      </c>
      <c r="U3516" t="s">
        <v>4560</v>
      </c>
      <c r="V3516" s="2">
        <v>404</v>
      </c>
      <c r="W3516" t="s">
        <v>4655</v>
      </c>
      <c r="X3516" s="2">
        <v>0</v>
      </c>
      <c r="Y3516">
        <v>20</v>
      </c>
      <c r="Z3516" t="s">
        <v>4351</v>
      </c>
      <c r="AA3516" s="3">
        <v>0.18774104118347201</v>
      </c>
      <c r="AB3516" t="s">
        <v>19631</v>
      </c>
      <c r="AC3516" t="s">
        <v>4562</v>
      </c>
      <c r="AD3516" t="s">
        <v>19630</v>
      </c>
      <c r="AE3516" t="s">
        <v>4655</v>
      </c>
      <c r="AF3516" t="s">
        <v>4563</v>
      </c>
      <c r="AG3516" t="s">
        <v>4564</v>
      </c>
      <c r="AH3516">
        <v>89506</v>
      </c>
      <c r="AI3516" t="s">
        <v>19632</v>
      </c>
      <c r="AJ3516" t="s">
        <v>4276</v>
      </c>
      <c r="AK3516" t="s">
        <v>19633</v>
      </c>
      <c r="AL3516" s="13" t="s">
        <v>1901</v>
      </c>
      <c r="AM3516">
        <v>1</v>
      </c>
      <c r="AN3516" s="15" t="s">
        <v>1633</v>
      </c>
    </row>
    <row r="3517" spans="1:40" x14ac:dyDescent="0.3">
      <c r="A3517" s="10" t="str">
        <f>HYPERLINK("http://www.washoecounty.gov/assessor/cama/?parid=080-834-01&amp;CardNumber=1","080-834-01")</f>
        <v>080-834-01</v>
      </c>
      <c r="B3517" t="s">
        <v>4655</v>
      </c>
      <c r="C3517" t="s">
        <v>19634</v>
      </c>
      <c r="D3517" s="1">
        <v>40500</v>
      </c>
      <c r="E3517" s="2">
        <v>115000</v>
      </c>
      <c r="F3517" t="s">
        <v>4553</v>
      </c>
      <c r="G3517" s="17" t="str">
        <f>HYPERLINK("https://www.washoecounty.gov/assessor/cama/?command=sales&amp;parid=08083401","3944434")</f>
        <v>3944434</v>
      </c>
      <c r="H3517" t="s">
        <v>790</v>
      </c>
      <c r="I3517">
        <v>2005</v>
      </c>
      <c r="J3517">
        <v>2005</v>
      </c>
      <c r="K3517" t="s">
        <v>4554</v>
      </c>
      <c r="L3517" t="s">
        <v>4555</v>
      </c>
      <c r="M3517" s="2">
        <v>1675</v>
      </c>
      <c r="N3517" t="s">
        <v>4048</v>
      </c>
      <c r="O3517">
        <v>4</v>
      </c>
      <c r="P3517">
        <v>2</v>
      </c>
      <c r="Q3517">
        <v>0</v>
      </c>
      <c r="R3517" t="s">
        <v>5281</v>
      </c>
      <c r="S3517" t="s">
        <v>4558</v>
      </c>
      <c r="T3517" t="s">
        <v>4559</v>
      </c>
      <c r="U3517" t="s">
        <v>4560</v>
      </c>
      <c r="V3517" s="2">
        <v>404</v>
      </c>
      <c r="W3517" t="s">
        <v>4655</v>
      </c>
      <c r="X3517" s="2">
        <v>0</v>
      </c>
      <c r="Y3517">
        <v>20</v>
      </c>
      <c r="Z3517" t="s">
        <v>4351</v>
      </c>
      <c r="AA3517" s="3">
        <v>0.14623507857322701</v>
      </c>
      <c r="AB3517" t="s">
        <v>19635</v>
      </c>
      <c r="AC3517" t="s">
        <v>4562</v>
      </c>
      <c r="AD3517" t="s">
        <v>19634</v>
      </c>
      <c r="AE3517" t="s">
        <v>4655</v>
      </c>
      <c r="AF3517" t="s">
        <v>4563</v>
      </c>
      <c r="AG3517" t="s">
        <v>4564</v>
      </c>
      <c r="AH3517">
        <v>89506</v>
      </c>
      <c r="AI3517" t="s">
        <v>4655</v>
      </c>
      <c r="AJ3517" t="s">
        <v>4276</v>
      </c>
      <c r="AK3517" t="s">
        <v>19636</v>
      </c>
      <c r="AL3517" s="13" t="s">
        <v>1901</v>
      </c>
      <c r="AM3517">
        <v>1</v>
      </c>
      <c r="AN3517" s="15" t="s">
        <v>1633</v>
      </c>
    </row>
    <row r="3518" spans="1:40" x14ac:dyDescent="0.3">
      <c r="A3518" s="10" t="str">
        <f>HYPERLINK("http://www.washoecounty.gov/assessor/cama/?parid=080-834-13&amp;CardNumber=1","080-834-13")</f>
        <v>080-834-13</v>
      </c>
      <c r="B3518" t="s">
        <v>4655</v>
      </c>
      <c r="C3518" t="s">
        <v>19637</v>
      </c>
      <c r="D3518" s="1">
        <v>40337</v>
      </c>
      <c r="E3518" s="2">
        <v>119000</v>
      </c>
      <c r="F3518" t="s">
        <v>4567</v>
      </c>
      <c r="G3518" s="17" t="str">
        <f>HYPERLINK("https://www.washoecounty.gov/assessor/cama/?command=sales&amp;parid=08083413","3889377")</f>
        <v>3889377</v>
      </c>
      <c r="H3518" t="s">
        <v>790</v>
      </c>
      <c r="I3518">
        <v>2006</v>
      </c>
      <c r="J3518">
        <v>2006</v>
      </c>
      <c r="K3518" t="s">
        <v>4554</v>
      </c>
      <c r="L3518" t="s">
        <v>4555</v>
      </c>
      <c r="M3518" s="2">
        <v>1413</v>
      </c>
      <c r="N3518" t="s">
        <v>4048</v>
      </c>
      <c r="O3518">
        <v>3</v>
      </c>
      <c r="P3518">
        <v>2</v>
      </c>
      <c r="Q3518">
        <v>0</v>
      </c>
      <c r="R3518" t="s">
        <v>5281</v>
      </c>
      <c r="S3518" t="s">
        <v>4558</v>
      </c>
      <c r="T3518" t="s">
        <v>4559</v>
      </c>
      <c r="U3518" t="s">
        <v>4560</v>
      </c>
      <c r="V3518" s="2">
        <v>435</v>
      </c>
      <c r="W3518" t="s">
        <v>4655</v>
      </c>
      <c r="X3518" s="2">
        <v>0</v>
      </c>
      <c r="Y3518">
        <v>20</v>
      </c>
      <c r="Z3518" t="s">
        <v>4351</v>
      </c>
      <c r="AA3518" s="3">
        <v>0.138429746031761</v>
      </c>
      <c r="AB3518" t="s">
        <v>19638</v>
      </c>
      <c r="AC3518" t="s">
        <v>4562</v>
      </c>
      <c r="AD3518" t="s">
        <v>19637</v>
      </c>
      <c r="AE3518" t="s">
        <v>4655</v>
      </c>
      <c r="AF3518" t="s">
        <v>4563</v>
      </c>
      <c r="AG3518" t="s">
        <v>4564</v>
      </c>
      <c r="AH3518">
        <v>89506</v>
      </c>
      <c r="AI3518" t="s">
        <v>19639</v>
      </c>
      <c r="AJ3518" t="s">
        <v>4276</v>
      </c>
      <c r="AK3518" t="s">
        <v>19640</v>
      </c>
      <c r="AL3518" s="13" t="s">
        <v>1901</v>
      </c>
      <c r="AM3518">
        <v>1</v>
      </c>
      <c r="AN3518" s="15" t="s">
        <v>1633</v>
      </c>
    </row>
    <row r="3519" spans="1:40" x14ac:dyDescent="0.3">
      <c r="A3519" s="10" t="str">
        <f>HYPERLINK("http://www.washoecounty.gov/assessor/cama/?parid=080-834-17&amp;CardNumber=1","080-834-17")</f>
        <v>080-834-17</v>
      </c>
      <c r="B3519" t="s">
        <v>4655</v>
      </c>
      <c r="C3519" t="s">
        <v>19641</v>
      </c>
      <c r="D3519" s="1">
        <v>40193</v>
      </c>
      <c r="E3519" s="2">
        <v>135100</v>
      </c>
      <c r="F3519" t="s">
        <v>4553</v>
      </c>
      <c r="G3519" s="17" t="str">
        <f>HYPERLINK("https://www.washoecounty.gov/assessor/cama/?command=sales&amp;parid=08083417","3839173")</f>
        <v>3839173</v>
      </c>
      <c r="H3519" t="s">
        <v>790</v>
      </c>
      <c r="I3519">
        <v>2006</v>
      </c>
      <c r="J3519">
        <v>2006</v>
      </c>
      <c r="K3519" t="s">
        <v>4554</v>
      </c>
      <c r="L3519" t="s">
        <v>3974</v>
      </c>
      <c r="M3519" s="2">
        <v>2108</v>
      </c>
      <c r="N3519" t="s">
        <v>4048</v>
      </c>
      <c r="O3519">
        <v>4</v>
      </c>
      <c r="P3519">
        <v>2</v>
      </c>
      <c r="Q3519">
        <v>1</v>
      </c>
      <c r="R3519" t="s">
        <v>5281</v>
      </c>
      <c r="S3519" t="s">
        <v>4558</v>
      </c>
      <c r="T3519" t="s">
        <v>4559</v>
      </c>
      <c r="U3519" t="s">
        <v>4560</v>
      </c>
      <c r="V3519" s="2">
        <v>380</v>
      </c>
      <c r="W3519" t="s">
        <v>4655</v>
      </c>
      <c r="X3519" s="2">
        <v>0</v>
      </c>
      <c r="Y3519">
        <v>20</v>
      </c>
      <c r="Z3519" t="s">
        <v>4351</v>
      </c>
      <c r="AA3519" s="3">
        <v>0.12561982870101901</v>
      </c>
      <c r="AB3519" t="s">
        <v>19642</v>
      </c>
      <c r="AC3519" t="s">
        <v>4562</v>
      </c>
      <c r="AD3519" t="s">
        <v>19643</v>
      </c>
      <c r="AE3519" t="s">
        <v>4655</v>
      </c>
      <c r="AF3519" t="s">
        <v>4563</v>
      </c>
      <c r="AG3519" t="s">
        <v>4564</v>
      </c>
      <c r="AH3519">
        <v>89507</v>
      </c>
      <c r="AI3519" t="s">
        <v>791</v>
      </c>
      <c r="AJ3519" t="s">
        <v>4276</v>
      </c>
      <c r="AK3519" t="s">
        <v>19644</v>
      </c>
      <c r="AL3519" s="13" t="s">
        <v>1901</v>
      </c>
      <c r="AM3519">
        <v>1</v>
      </c>
      <c r="AN3519" s="15" t="s">
        <v>1633</v>
      </c>
    </row>
    <row r="3520" spans="1:40" x14ac:dyDescent="0.3">
      <c r="A3520" s="10" t="str">
        <f>HYPERLINK("http://www.washoecounty.gov/assessor/cama/?parid=080-841-05&amp;CardNumber=1","080-841-05")</f>
        <v>080-841-05</v>
      </c>
      <c r="B3520" t="s">
        <v>4655</v>
      </c>
      <c r="C3520" t="s">
        <v>19645</v>
      </c>
      <c r="D3520" s="1">
        <v>40466</v>
      </c>
      <c r="E3520" s="2">
        <v>135000</v>
      </c>
      <c r="F3520" t="s">
        <v>4553</v>
      </c>
      <c r="G3520" s="17" t="str">
        <f>HYPERLINK("https://www.washoecounty.gov/assessor/cama/?command=sales&amp;parid=08084105","3933376")</f>
        <v>3933376</v>
      </c>
      <c r="H3520" t="s">
        <v>790</v>
      </c>
      <c r="I3520">
        <v>2005</v>
      </c>
      <c r="J3520">
        <v>2005</v>
      </c>
      <c r="K3520" t="s">
        <v>4554</v>
      </c>
      <c r="L3520" t="s">
        <v>3974</v>
      </c>
      <c r="M3520" s="2">
        <v>2108</v>
      </c>
      <c r="N3520" t="s">
        <v>4048</v>
      </c>
      <c r="O3520">
        <v>4</v>
      </c>
      <c r="P3520">
        <v>2</v>
      </c>
      <c r="Q3520">
        <v>1</v>
      </c>
      <c r="R3520" t="s">
        <v>5281</v>
      </c>
      <c r="S3520" t="s">
        <v>4558</v>
      </c>
      <c r="T3520" t="s">
        <v>4559</v>
      </c>
      <c r="U3520" t="s">
        <v>4560</v>
      </c>
      <c r="V3520" s="2">
        <v>380</v>
      </c>
      <c r="W3520" t="s">
        <v>4655</v>
      </c>
      <c r="X3520" s="2">
        <v>0</v>
      </c>
      <c r="Y3520">
        <v>20</v>
      </c>
      <c r="Z3520" t="s">
        <v>4351</v>
      </c>
      <c r="AA3520" s="3">
        <v>0.16219007968902599</v>
      </c>
      <c r="AB3520" t="s">
        <v>19646</v>
      </c>
      <c r="AC3520" t="s">
        <v>4562</v>
      </c>
      <c r="AD3520" t="s">
        <v>19647</v>
      </c>
      <c r="AE3520" t="s">
        <v>4655</v>
      </c>
      <c r="AF3520" t="s">
        <v>4563</v>
      </c>
      <c r="AG3520" t="s">
        <v>4564</v>
      </c>
      <c r="AH3520">
        <v>89506</v>
      </c>
      <c r="AI3520" t="s">
        <v>4848</v>
      </c>
      <c r="AJ3520" t="s">
        <v>4276</v>
      </c>
      <c r="AK3520" t="s">
        <v>19648</v>
      </c>
      <c r="AL3520" s="13" t="s">
        <v>1901</v>
      </c>
      <c r="AM3520">
        <v>1</v>
      </c>
      <c r="AN3520" s="15" t="s">
        <v>1633</v>
      </c>
    </row>
    <row r="3521" spans="1:40" x14ac:dyDescent="0.3">
      <c r="A3521" s="10" t="str">
        <f>HYPERLINK("http://www.washoecounty.gov/assessor/cama/?parid=080-842-09&amp;CardNumber=1","080-842-09")</f>
        <v>080-842-09</v>
      </c>
      <c r="B3521" t="s">
        <v>4655</v>
      </c>
      <c r="C3521" t="s">
        <v>19649</v>
      </c>
      <c r="D3521" s="1">
        <v>40262</v>
      </c>
      <c r="E3521" s="2">
        <v>117500</v>
      </c>
      <c r="F3521" t="s">
        <v>4567</v>
      </c>
      <c r="G3521" s="17" t="str">
        <f>HYPERLINK("https://www.washoecounty.gov/assessor/cama/?command=sales&amp;parid=08084209","3864057")</f>
        <v>3864057</v>
      </c>
      <c r="H3521" t="s">
        <v>790</v>
      </c>
      <c r="I3521">
        <v>2005</v>
      </c>
      <c r="J3521">
        <v>2005</v>
      </c>
      <c r="K3521" t="s">
        <v>4554</v>
      </c>
      <c r="L3521" t="s">
        <v>4555</v>
      </c>
      <c r="M3521" s="2">
        <v>1413</v>
      </c>
      <c r="N3521" t="s">
        <v>4048</v>
      </c>
      <c r="O3521">
        <v>3</v>
      </c>
      <c r="P3521">
        <v>2</v>
      </c>
      <c r="Q3521">
        <v>0</v>
      </c>
      <c r="R3521" t="s">
        <v>4557</v>
      </c>
      <c r="S3521" t="s">
        <v>4558</v>
      </c>
      <c r="T3521" t="s">
        <v>4559</v>
      </c>
      <c r="U3521" t="s">
        <v>4560</v>
      </c>
      <c r="V3521" s="2">
        <v>435</v>
      </c>
      <c r="W3521" t="s">
        <v>4655</v>
      </c>
      <c r="X3521" s="2">
        <v>0</v>
      </c>
      <c r="Y3521">
        <v>20</v>
      </c>
      <c r="Z3521" t="s">
        <v>4351</v>
      </c>
      <c r="AA3521" s="3">
        <v>0.13808539509773299</v>
      </c>
      <c r="AB3521" t="s">
        <v>19650</v>
      </c>
      <c r="AC3521" t="s">
        <v>4562</v>
      </c>
      <c r="AD3521" t="s">
        <v>19649</v>
      </c>
      <c r="AE3521" t="s">
        <v>4655</v>
      </c>
      <c r="AF3521" t="s">
        <v>4563</v>
      </c>
      <c r="AG3521" t="s">
        <v>4564</v>
      </c>
      <c r="AH3521">
        <v>89506</v>
      </c>
      <c r="AI3521" t="s">
        <v>19651</v>
      </c>
      <c r="AJ3521" t="s">
        <v>4276</v>
      </c>
      <c r="AK3521" t="s">
        <v>19652</v>
      </c>
      <c r="AL3521" s="13" t="s">
        <v>1901</v>
      </c>
      <c r="AM3521">
        <v>1</v>
      </c>
      <c r="AN3521" s="15" t="s">
        <v>1633</v>
      </c>
    </row>
    <row r="3522" spans="1:40" x14ac:dyDescent="0.3">
      <c r="A3522" s="10" t="str">
        <f>HYPERLINK("http://www.washoecounty.gov/assessor/cama/?parid=080-843-01&amp;CardNumber=1","080-843-01")</f>
        <v>080-843-01</v>
      </c>
      <c r="B3522" t="s">
        <v>4655</v>
      </c>
      <c r="C3522" t="s">
        <v>19653</v>
      </c>
      <c r="D3522" s="1">
        <v>40389</v>
      </c>
      <c r="E3522" s="2">
        <v>152500</v>
      </c>
      <c r="F3522" t="s">
        <v>4553</v>
      </c>
      <c r="G3522" s="17" t="str">
        <f>HYPERLINK("https://www.washoecounty.gov/assessor/cama/?command=sales&amp;parid=08084301","3907340")</f>
        <v>3907340</v>
      </c>
      <c r="H3522" t="s">
        <v>790</v>
      </c>
      <c r="I3522">
        <v>2005</v>
      </c>
      <c r="J3522">
        <v>2005</v>
      </c>
      <c r="K3522" t="s">
        <v>4554</v>
      </c>
      <c r="L3522" t="s">
        <v>3974</v>
      </c>
      <c r="M3522" s="2">
        <v>2381</v>
      </c>
      <c r="N3522" t="s">
        <v>4048</v>
      </c>
      <c r="O3522">
        <v>4</v>
      </c>
      <c r="P3522">
        <v>3</v>
      </c>
      <c r="Q3522">
        <v>0</v>
      </c>
      <c r="R3522" t="s">
        <v>5281</v>
      </c>
      <c r="S3522" t="s">
        <v>4558</v>
      </c>
      <c r="T3522" t="s">
        <v>4559</v>
      </c>
      <c r="U3522" t="s">
        <v>5631</v>
      </c>
      <c r="V3522" s="2">
        <v>396</v>
      </c>
      <c r="W3522" t="s">
        <v>4655</v>
      </c>
      <c r="X3522" s="2">
        <v>0</v>
      </c>
      <c r="Y3522">
        <v>20</v>
      </c>
      <c r="Z3522" t="s">
        <v>4351</v>
      </c>
      <c r="AA3522" s="3">
        <v>0.12284205853939099</v>
      </c>
      <c r="AB3522" t="s">
        <v>19654</v>
      </c>
      <c r="AC3522" t="s">
        <v>4562</v>
      </c>
      <c r="AD3522" t="s">
        <v>19653</v>
      </c>
      <c r="AE3522" t="s">
        <v>4655</v>
      </c>
      <c r="AF3522" t="s">
        <v>4563</v>
      </c>
      <c r="AG3522" t="s">
        <v>4564</v>
      </c>
      <c r="AH3522">
        <v>89506</v>
      </c>
      <c r="AI3522" t="s">
        <v>5203</v>
      </c>
      <c r="AJ3522" t="s">
        <v>4276</v>
      </c>
      <c r="AK3522" t="s">
        <v>19655</v>
      </c>
      <c r="AL3522" s="13" t="s">
        <v>1901</v>
      </c>
      <c r="AM3522">
        <v>1</v>
      </c>
      <c r="AN3522" s="15" t="s">
        <v>1633</v>
      </c>
    </row>
    <row r="3523" spans="1:40" x14ac:dyDescent="0.3">
      <c r="A3523" s="10" t="str">
        <f>HYPERLINK("http://www.washoecounty.gov/assessor/cama/?parid=080-844-05&amp;CardNumber=1","080-844-05")</f>
        <v>080-844-05</v>
      </c>
      <c r="B3523" t="s">
        <v>4655</v>
      </c>
      <c r="C3523" t="s">
        <v>19656</v>
      </c>
      <c r="D3523" s="1">
        <v>40193</v>
      </c>
      <c r="E3523" s="2">
        <v>160000</v>
      </c>
      <c r="F3523" t="s">
        <v>4553</v>
      </c>
      <c r="G3523" s="17" t="str">
        <f>HYPERLINK("https://www.washoecounty.gov/assessor/cama/?command=sales&amp;parid=08084405","3840275")</f>
        <v>3840275</v>
      </c>
      <c r="H3523" t="s">
        <v>790</v>
      </c>
      <c r="I3523">
        <v>2005</v>
      </c>
      <c r="J3523">
        <v>2005</v>
      </c>
      <c r="K3523" t="s">
        <v>4554</v>
      </c>
      <c r="L3523" t="s">
        <v>3974</v>
      </c>
      <c r="M3523" s="2">
        <v>2108</v>
      </c>
      <c r="N3523" t="s">
        <v>4048</v>
      </c>
      <c r="O3523">
        <v>4</v>
      </c>
      <c r="P3523">
        <v>2</v>
      </c>
      <c r="Q3523">
        <v>1</v>
      </c>
      <c r="R3523" t="s">
        <v>5281</v>
      </c>
      <c r="S3523" t="s">
        <v>4558</v>
      </c>
      <c r="T3523" t="s">
        <v>4559</v>
      </c>
      <c r="U3523" t="s">
        <v>4560</v>
      </c>
      <c r="V3523" s="2">
        <v>380</v>
      </c>
      <c r="W3523" t="s">
        <v>4655</v>
      </c>
      <c r="X3523" s="2">
        <v>0</v>
      </c>
      <c r="Y3523">
        <v>20</v>
      </c>
      <c r="Z3523" t="s">
        <v>4351</v>
      </c>
      <c r="AA3523" s="3">
        <v>0.133310377597809</v>
      </c>
      <c r="AB3523" t="s">
        <v>19657</v>
      </c>
      <c r="AC3523" t="s">
        <v>4575</v>
      </c>
      <c r="AD3523" t="s">
        <v>19656</v>
      </c>
      <c r="AE3523" t="s">
        <v>4655</v>
      </c>
      <c r="AF3523" t="s">
        <v>4563</v>
      </c>
      <c r="AG3523" t="s">
        <v>4564</v>
      </c>
      <c r="AH3523">
        <v>89506</v>
      </c>
      <c r="AI3523" t="s">
        <v>4655</v>
      </c>
      <c r="AJ3523" t="s">
        <v>4276</v>
      </c>
      <c r="AK3523" t="s">
        <v>19658</v>
      </c>
      <c r="AL3523" s="13" t="s">
        <v>1901</v>
      </c>
      <c r="AM3523">
        <v>1</v>
      </c>
      <c r="AN3523" s="15" t="s">
        <v>1633</v>
      </c>
    </row>
    <row r="3524" spans="1:40" x14ac:dyDescent="0.3">
      <c r="A3524" s="10" t="str">
        <f>HYPERLINK("http://www.washoecounty.gov/assessor/cama/?parid=080-844-12&amp;CardNumber=1","080-844-12")</f>
        <v>080-844-12</v>
      </c>
      <c r="B3524" t="s">
        <v>4655</v>
      </c>
      <c r="C3524" t="s">
        <v>19659</v>
      </c>
      <c r="D3524" s="1">
        <v>40417</v>
      </c>
      <c r="E3524" s="2">
        <v>120000</v>
      </c>
      <c r="F3524" t="s">
        <v>4553</v>
      </c>
      <c r="G3524" s="17" t="str">
        <f>HYPERLINK("https://www.washoecounty.gov/assessor/cama/?command=sales&amp;parid=08084412","3916468")</f>
        <v>3916468</v>
      </c>
      <c r="H3524" t="s">
        <v>790</v>
      </c>
      <c r="I3524">
        <v>2005</v>
      </c>
      <c r="J3524">
        <v>2005</v>
      </c>
      <c r="K3524" t="s">
        <v>4554</v>
      </c>
      <c r="L3524" t="s">
        <v>4555</v>
      </c>
      <c r="M3524" s="2">
        <v>1239</v>
      </c>
      <c r="N3524" t="s">
        <v>4048</v>
      </c>
      <c r="O3524">
        <v>3</v>
      </c>
      <c r="P3524">
        <v>2</v>
      </c>
      <c r="Q3524">
        <v>0</v>
      </c>
      <c r="R3524" t="s">
        <v>5281</v>
      </c>
      <c r="S3524" t="s">
        <v>4558</v>
      </c>
      <c r="T3524" t="s">
        <v>4559</v>
      </c>
      <c r="U3524" t="s">
        <v>4560</v>
      </c>
      <c r="V3524" s="2">
        <v>420</v>
      </c>
      <c r="W3524" t="s">
        <v>4655</v>
      </c>
      <c r="X3524" s="2">
        <v>0</v>
      </c>
      <c r="Y3524">
        <v>20</v>
      </c>
      <c r="Z3524" t="s">
        <v>4351</v>
      </c>
      <c r="AA3524" s="3">
        <v>0.12699724733829501</v>
      </c>
      <c r="AB3524" t="s">
        <v>19660</v>
      </c>
      <c r="AC3524" t="s">
        <v>4575</v>
      </c>
      <c r="AD3524" t="s">
        <v>19659</v>
      </c>
      <c r="AE3524" t="s">
        <v>4655</v>
      </c>
      <c r="AF3524" t="s">
        <v>4563</v>
      </c>
      <c r="AG3524" t="s">
        <v>4564</v>
      </c>
      <c r="AH3524">
        <v>89506</v>
      </c>
      <c r="AI3524" t="s">
        <v>4903</v>
      </c>
      <c r="AJ3524" t="s">
        <v>4276</v>
      </c>
      <c r="AK3524" t="s">
        <v>19661</v>
      </c>
      <c r="AL3524" s="13" t="s">
        <v>1901</v>
      </c>
      <c r="AM3524">
        <v>1</v>
      </c>
      <c r="AN3524" s="15" t="s">
        <v>1633</v>
      </c>
    </row>
    <row r="3525" spans="1:40" x14ac:dyDescent="0.3">
      <c r="A3525" s="10" t="str">
        <f>HYPERLINK("http://www.washoecounty.gov/assessor/cama/?parid=080-844-13&amp;CardNumber=1","080-844-13")</f>
        <v>080-844-13</v>
      </c>
      <c r="B3525" t="s">
        <v>4655</v>
      </c>
      <c r="C3525" t="s">
        <v>19662</v>
      </c>
      <c r="D3525" s="1">
        <v>40200</v>
      </c>
      <c r="E3525" s="2">
        <v>150000</v>
      </c>
      <c r="F3525" t="s">
        <v>4567</v>
      </c>
      <c r="G3525" s="17" t="str">
        <f>HYPERLINK("https://www.washoecounty.gov/assessor/cama/?command=sales&amp;parid=08084413","3841858")</f>
        <v>3841858</v>
      </c>
      <c r="H3525" t="s">
        <v>790</v>
      </c>
      <c r="I3525">
        <v>2005</v>
      </c>
      <c r="J3525">
        <v>2005</v>
      </c>
      <c r="K3525" t="s">
        <v>4554</v>
      </c>
      <c r="L3525" t="s">
        <v>3974</v>
      </c>
      <c r="M3525" s="2">
        <v>2108</v>
      </c>
      <c r="N3525" t="s">
        <v>4048</v>
      </c>
      <c r="O3525">
        <v>3</v>
      </c>
      <c r="P3525">
        <v>2</v>
      </c>
      <c r="Q3525">
        <v>1</v>
      </c>
      <c r="R3525" t="s">
        <v>5281</v>
      </c>
      <c r="S3525" t="s">
        <v>4558</v>
      </c>
      <c r="T3525" t="s">
        <v>4559</v>
      </c>
      <c r="U3525" t="s">
        <v>4560</v>
      </c>
      <c r="V3525" s="2">
        <v>380</v>
      </c>
      <c r="W3525" t="s">
        <v>4655</v>
      </c>
      <c r="X3525" s="2">
        <v>0</v>
      </c>
      <c r="Y3525">
        <v>20</v>
      </c>
      <c r="Z3525" t="s">
        <v>4351</v>
      </c>
      <c r="AA3525" s="3">
        <v>0.12699724733829501</v>
      </c>
      <c r="AB3525" t="s">
        <v>19663</v>
      </c>
      <c r="AC3525" t="s">
        <v>4562</v>
      </c>
      <c r="AD3525" t="s">
        <v>19662</v>
      </c>
      <c r="AE3525" t="s">
        <v>4655</v>
      </c>
      <c r="AF3525" t="s">
        <v>4563</v>
      </c>
      <c r="AG3525" t="s">
        <v>4564</v>
      </c>
      <c r="AH3525">
        <v>89506</v>
      </c>
      <c r="AI3525" t="s">
        <v>19664</v>
      </c>
      <c r="AJ3525" t="s">
        <v>4276</v>
      </c>
      <c r="AK3525" t="s">
        <v>19665</v>
      </c>
      <c r="AL3525" s="13" t="s">
        <v>1901</v>
      </c>
      <c r="AM3525">
        <v>1</v>
      </c>
      <c r="AN3525" s="15" t="s">
        <v>1633</v>
      </c>
    </row>
    <row r="3526" spans="1:40" x14ac:dyDescent="0.3">
      <c r="A3526" s="10" t="str">
        <f>HYPERLINK("http://www.washoecounty.gov/assessor/cama/?parid=080-851-02&amp;CardNumber=1","080-851-02")</f>
        <v>080-851-02</v>
      </c>
      <c r="B3526" t="s">
        <v>4655</v>
      </c>
      <c r="C3526" t="s">
        <v>19666</v>
      </c>
      <c r="D3526" s="1">
        <v>40408</v>
      </c>
      <c r="E3526" s="2">
        <v>142900</v>
      </c>
      <c r="F3526" t="s">
        <v>4553</v>
      </c>
      <c r="G3526" s="17" t="str">
        <f>HYPERLINK("https://www.washoecounty.gov/assessor/cama/?command=sales&amp;parid=08085102","3913316")</f>
        <v>3913316</v>
      </c>
      <c r="H3526" t="s">
        <v>4277</v>
      </c>
      <c r="I3526">
        <v>2007</v>
      </c>
      <c r="J3526">
        <v>2007</v>
      </c>
      <c r="K3526" t="s">
        <v>4554</v>
      </c>
      <c r="L3526" t="s">
        <v>4555</v>
      </c>
      <c r="M3526" s="2">
        <v>1538</v>
      </c>
      <c r="N3526" t="s">
        <v>4048</v>
      </c>
      <c r="O3526">
        <v>3</v>
      </c>
      <c r="P3526">
        <v>2</v>
      </c>
      <c r="Q3526">
        <v>0</v>
      </c>
      <c r="R3526" t="s">
        <v>5281</v>
      </c>
      <c r="S3526" t="s">
        <v>4558</v>
      </c>
      <c r="T3526" t="s">
        <v>4559</v>
      </c>
      <c r="U3526" t="s">
        <v>4560</v>
      </c>
      <c r="V3526" s="2">
        <v>428</v>
      </c>
      <c r="W3526" t="s">
        <v>4655</v>
      </c>
      <c r="X3526" s="2">
        <v>0</v>
      </c>
      <c r="Y3526">
        <v>20</v>
      </c>
      <c r="Z3526" t="s">
        <v>4351</v>
      </c>
      <c r="AA3526" s="3">
        <v>0.14804866909980799</v>
      </c>
      <c r="AB3526" t="s">
        <v>19667</v>
      </c>
      <c r="AC3526" t="s">
        <v>4562</v>
      </c>
      <c r="AD3526" t="s">
        <v>19666</v>
      </c>
      <c r="AE3526" t="s">
        <v>4655</v>
      </c>
      <c r="AF3526" t="s">
        <v>4563</v>
      </c>
      <c r="AG3526" t="s">
        <v>4564</v>
      </c>
      <c r="AH3526">
        <v>89506</v>
      </c>
      <c r="AI3526" t="s">
        <v>4903</v>
      </c>
      <c r="AJ3526" t="s">
        <v>19668</v>
      </c>
      <c r="AK3526" t="s">
        <v>19669</v>
      </c>
      <c r="AL3526" s="13" t="s">
        <v>1901</v>
      </c>
      <c r="AM3526">
        <v>1</v>
      </c>
      <c r="AN3526" s="15" t="s">
        <v>1633</v>
      </c>
    </row>
    <row r="3527" spans="1:40" x14ac:dyDescent="0.3">
      <c r="A3527" s="10" t="str">
        <f>HYPERLINK("http://www.washoecounty.gov/assessor/cama/?parid=080-851-06&amp;CardNumber=1","080-851-06")</f>
        <v>080-851-06</v>
      </c>
      <c r="B3527" t="s">
        <v>4655</v>
      </c>
      <c r="C3527" t="s">
        <v>19670</v>
      </c>
      <c r="D3527" s="1">
        <v>40203</v>
      </c>
      <c r="E3527" s="2">
        <v>190000</v>
      </c>
      <c r="F3527" t="s">
        <v>4567</v>
      </c>
      <c r="G3527" s="17" t="str">
        <f>HYPERLINK("https://www.washoecounty.gov/assessor/cama/?command=sales&amp;parid=08085106","3842460")</f>
        <v>3842460</v>
      </c>
      <c r="H3527" t="s">
        <v>4277</v>
      </c>
      <c r="I3527">
        <v>2006</v>
      </c>
      <c r="J3527">
        <v>2006</v>
      </c>
      <c r="K3527" t="s">
        <v>4554</v>
      </c>
      <c r="L3527" t="s">
        <v>3974</v>
      </c>
      <c r="M3527" s="2">
        <v>2845</v>
      </c>
      <c r="N3527" t="s">
        <v>4048</v>
      </c>
      <c r="O3527">
        <v>4</v>
      </c>
      <c r="P3527">
        <v>2</v>
      </c>
      <c r="Q3527">
        <v>1</v>
      </c>
      <c r="R3527" t="s">
        <v>5281</v>
      </c>
      <c r="S3527" t="s">
        <v>4558</v>
      </c>
      <c r="T3527" t="s">
        <v>4559</v>
      </c>
      <c r="U3527" t="s">
        <v>5631</v>
      </c>
      <c r="V3527" s="2">
        <v>528</v>
      </c>
      <c r="W3527" t="s">
        <v>4655</v>
      </c>
      <c r="X3527" s="2">
        <v>0</v>
      </c>
      <c r="Y3527">
        <v>20</v>
      </c>
      <c r="Z3527" t="s">
        <v>4351</v>
      </c>
      <c r="AA3527" s="3">
        <v>0.16115702688694</v>
      </c>
      <c r="AB3527" t="s">
        <v>19671</v>
      </c>
      <c r="AC3527" t="s">
        <v>4562</v>
      </c>
      <c r="AD3527" t="s">
        <v>19670</v>
      </c>
      <c r="AE3527" t="s">
        <v>4655</v>
      </c>
      <c r="AF3527" t="s">
        <v>4563</v>
      </c>
      <c r="AG3527" t="s">
        <v>4564</v>
      </c>
      <c r="AH3527">
        <v>89506</v>
      </c>
      <c r="AI3527" t="s">
        <v>19672</v>
      </c>
      <c r="AJ3527" t="s">
        <v>19668</v>
      </c>
      <c r="AK3527" t="s">
        <v>19673</v>
      </c>
      <c r="AL3527" s="13" t="s">
        <v>1901</v>
      </c>
      <c r="AM3527" s="14">
        <v>1</v>
      </c>
      <c r="AN3527" s="15" t="s">
        <v>1633</v>
      </c>
    </row>
    <row r="3528" spans="1:40" x14ac:dyDescent="0.3">
      <c r="A3528" s="10" t="str">
        <f>HYPERLINK("http://www.washoecounty.gov/assessor/cama/?parid=080-852-04&amp;CardNumber=1","080-852-04")</f>
        <v>080-852-04</v>
      </c>
      <c r="B3528" t="s">
        <v>4655</v>
      </c>
      <c r="C3528" t="s">
        <v>19674</v>
      </c>
      <c r="D3528" s="1">
        <v>40205</v>
      </c>
      <c r="E3528" s="2">
        <v>179000</v>
      </c>
      <c r="F3528" t="s">
        <v>4567</v>
      </c>
      <c r="G3528" s="17" t="str">
        <f>HYPERLINK("https://www.washoecounty.gov/assessor/cama/?command=sales&amp;parid=08085204","3843062")</f>
        <v>3843062</v>
      </c>
      <c r="H3528" t="s">
        <v>4277</v>
      </c>
      <c r="I3528">
        <v>2006</v>
      </c>
      <c r="J3528">
        <v>2006</v>
      </c>
      <c r="K3528" t="s">
        <v>4554</v>
      </c>
      <c r="L3528" t="s">
        <v>3974</v>
      </c>
      <c r="M3528" s="2">
        <v>2845</v>
      </c>
      <c r="N3528" t="s">
        <v>4048</v>
      </c>
      <c r="O3528">
        <v>4</v>
      </c>
      <c r="P3528">
        <v>2</v>
      </c>
      <c r="Q3528">
        <v>1</v>
      </c>
      <c r="R3528" t="s">
        <v>5281</v>
      </c>
      <c r="S3528" t="s">
        <v>4558</v>
      </c>
      <c r="T3528" t="s">
        <v>4559</v>
      </c>
      <c r="U3528" t="s">
        <v>5631</v>
      </c>
      <c r="V3528" s="2">
        <v>528</v>
      </c>
      <c r="W3528" t="s">
        <v>4655</v>
      </c>
      <c r="X3528" s="2">
        <v>0</v>
      </c>
      <c r="Y3528">
        <v>20</v>
      </c>
      <c r="Z3528" t="s">
        <v>4351</v>
      </c>
      <c r="AA3528" s="3">
        <v>0.15426997840404499</v>
      </c>
      <c r="AB3528" t="s">
        <v>19675</v>
      </c>
      <c r="AC3528" t="s">
        <v>4562</v>
      </c>
      <c r="AD3528" t="s">
        <v>19674</v>
      </c>
      <c r="AE3528" t="s">
        <v>4655</v>
      </c>
      <c r="AF3528" t="s">
        <v>4563</v>
      </c>
      <c r="AG3528" t="s">
        <v>4564</v>
      </c>
      <c r="AH3528">
        <v>89506</v>
      </c>
      <c r="AI3528" t="s">
        <v>19676</v>
      </c>
      <c r="AJ3528" t="s">
        <v>19677</v>
      </c>
      <c r="AK3528" t="s">
        <v>19678</v>
      </c>
      <c r="AL3528" s="13" t="s">
        <v>1901</v>
      </c>
      <c r="AM3528">
        <v>1</v>
      </c>
      <c r="AN3528" s="15" t="s">
        <v>1633</v>
      </c>
    </row>
    <row r="3529" spans="1:40" x14ac:dyDescent="0.3">
      <c r="A3529" s="10" t="str">
        <f>HYPERLINK("http://www.washoecounty.gov/assessor/cama/?parid=080-852-10&amp;CardNumber=1","080-852-10")</f>
        <v>080-852-10</v>
      </c>
      <c r="B3529" t="s">
        <v>4655</v>
      </c>
      <c r="C3529" t="s">
        <v>19679</v>
      </c>
      <c r="D3529" s="1">
        <v>40381</v>
      </c>
      <c r="E3529" s="2">
        <v>165000</v>
      </c>
      <c r="F3529" t="s">
        <v>4567</v>
      </c>
      <c r="G3529" s="17" t="str">
        <f>HYPERLINK("https://www.washoecounty.gov/assessor/cama/?command=sales&amp;parid=08085210","3903800")</f>
        <v>3903800</v>
      </c>
      <c r="H3529" t="s">
        <v>4277</v>
      </c>
      <c r="I3529">
        <v>2005</v>
      </c>
      <c r="J3529">
        <v>2005</v>
      </c>
      <c r="K3529" t="s">
        <v>4554</v>
      </c>
      <c r="L3529" t="s">
        <v>2170</v>
      </c>
      <c r="M3529" s="2">
        <v>2259</v>
      </c>
      <c r="N3529" t="s">
        <v>4048</v>
      </c>
      <c r="O3529">
        <v>4</v>
      </c>
      <c r="P3529">
        <v>3</v>
      </c>
      <c r="Q3529">
        <v>0</v>
      </c>
      <c r="R3529" t="s">
        <v>5281</v>
      </c>
      <c r="S3529" t="s">
        <v>4558</v>
      </c>
      <c r="T3529" t="s">
        <v>4559</v>
      </c>
      <c r="U3529" t="s">
        <v>4560</v>
      </c>
      <c r="V3529" s="2">
        <v>600</v>
      </c>
      <c r="W3529" t="s">
        <v>4655</v>
      </c>
      <c r="X3529" s="2">
        <v>0</v>
      </c>
      <c r="Y3529">
        <v>20</v>
      </c>
      <c r="Z3529" t="s">
        <v>4351</v>
      </c>
      <c r="AA3529" s="3">
        <v>0.15426997840404499</v>
      </c>
      <c r="AB3529" t="s">
        <v>19680</v>
      </c>
      <c r="AC3529" t="s">
        <v>4562</v>
      </c>
      <c r="AD3529" t="s">
        <v>19679</v>
      </c>
      <c r="AE3529" t="s">
        <v>4655</v>
      </c>
      <c r="AF3529" t="s">
        <v>4563</v>
      </c>
      <c r="AG3529" t="s">
        <v>4564</v>
      </c>
      <c r="AH3529">
        <v>89506</v>
      </c>
      <c r="AI3529" t="s">
        <v>19681</v>
      </c>
      <c r="AJ3529" t="s">
        <v>19677</v>
      </c>
      <c r="AK3529" t="s">
        <v>19682</v>
      </c>
      <c r="AL3529" s="13" t="s">
        <v>1901</v>
      </c>
      <c r="AM3529">
        <v>1</v>
      </c>
      <c r="AN3529" s="15" t="s">
        <v>1633</v>
      </c>
    </row>
    <row r="3530" spans="1:40" x14ac:dyDescent="0.3">
      <c r="A3530" s="10" t="str">
        <f>HYPERLINK("http://www.washoecounty.gov/assessor/cama/?parid=080-861-10&amp;CardNumber=1","080-861-10")</f>
        <v>080-861-10</v>
      </c>
      <c r="B3530" t="s">
        <v>4655</v>
      </c>
      <c r="C3530" t="s">
        <v>19683</v>
      </c>
      <c r="D3530" s="1">
        <v>40268</v>
      </c>
      <c r="E3530" s="2">
        <v>165000</v>
      </c>
      <c r="F3530" t="s">
        <v>4553</v>
      </c>
      <c r="G3530" s="17" t="str">
        <f>HYPERLINK("https://www.washoecounty.gov/assessor/cama/?command=sales&amp;parid=08086110","3866640")</f>
        <v>3866640</v>
      </c>
      <c r="H3530" t="s">
        <v>4278</v>
      </c>
      <c r="I3530">
        <v>2006</v>
      </c>
      <c r="J3530">
        <v>2006</v>
      </c>
      <c r="K3530" t="s">
        <v>4554</v>
      </c>
      <c r="L3530" t="s">
        <v>3974</v>
      </c>
      <c r="M3530" s="2">
        <v>2381</v>
      </c>
      <c r="N3530" t="s">
        <v>4048</v>
      </c>
      <c r="O3530">
        <v>4</v>
      </c>
      <c r="P3530">
        <v>3</v>
      </c>
      <c r="Q3530">
        <v>0</v>
      </c>
      <c r="R3530" t="s">
        <v>5281</v>
      </c>
      <c r="S3530" t="s">
        <v>4558</v>
      </c>
      <c r="T3530" t="s">
        <v>4559</v>
      </c>
      <c r="U3530" t="s">
        <v>5631</v>
      </c>
      <c r="V3530" s="2">
        <v>396</v>
      </c>
      <c r="W3530" t="s">
        <v>4655</v>
      </c>
      <c r="X3530" s="2">
        <v>0</v>
      </c>
      <c r="Y3530">
        <v>20</v>
      </c>
      <c r="Z3530" t="s">
        <v>4351</v>
      </c>
      <c r="AA3530" s="3">
        <v>0.12261249125003799</v>
      </c>
      <c r="AB3530" t="s">
        <v>19684</v>
      </c>
      <c r="AC3530" t="s">
        <v>4562</v>
      </c>
      <c r="AD3530" t="s">
        <v>19685</v>
      </c>
      <c r="AE3530" t="s">
        <v>4655</v>
      </c>
      <c r="AF3530" t="s">
        <v>4563</v>
      </c>
      <c r="AG3530" t="s">
        <v>4564</v>
      </c>
      <c r="AH3530">
        <v>89506</v>
      </c>
      <c r="AI3530" t="s">
        <v>4848</v>
      </c>
      <c r="AJ3530" t="s">
        <v>5133</v>
      </c>
      <c r="AK3530" t="s">
        <v>19686</v>
      </c>
      <c r="AL3530" s="13" t="s">
        <v>1901</v>
      </c>
      <c r="AM3530" s="14">
        <v>1</v>
      </c>
      <c r="AN3530" s="15" t="s">
        <v>1633</v>
      </c>
    </row>
    <row r="3531" spans="1:40" x14ac:dyDescent="0.3">
      <c r="A3531" s="10" t="str">
        <f>HYPERLINK("http://www.washoecounty.gov/assessor/cama/?parid=080-861-22&amp;CardNumber=1","080-861-22")</f>
        <v>080-861-22</v>
      </c>
      <c r="B3531" t="s">
        <v>4655</v>
      </c>
      <c r="C3531" t="s">
        <v>19687</v>
      </c>
      <c r="D3531" s="1">
        <v>40218</v>
      </c>
      <c r="E3531" s="2">
        <v>173500</v>
      </c>
      <c r="F3531" t="s">
        <v>4567</v>
      </c>
      <c r="G3531" s="17" t="str">
        <f>HYPERLINK("https://www.washoecounty.gov/assessor/cama/?command=sales&amp;parid=08086122","3847239")</f>
        <v>3847239</v>
      </c>
      <c r="H3531" t="s">
        <v>4278</v>
      </c>
      <c r="I3531">
        <v>2006</v>
      </c>
      <c r="J3531">
        <v>2006</v>
      </c>
      <c r="K3531" t="s">
        <v>4554</v>
      </c>
      <c r="L3531" t="s">
        <v>3974</v>
      </c>
      <c r="M3531" s="2">
        <v>2381</v>
      </c>
      <c r="N3531" t="s">
        <v>4048</v>
      </c>
      <c r="O3531">
        <v>4</v>
      </c>
      <c r="P3531">
        <v>3</v>
      </c>
      <c r="Q3531">
        <v>0</v>
      </c>
      <c r="R3531" t="s">
        <v>5281</v>
      </c>
      <c r="S3531" t="s">
        <v>4558</v>
      </c>
      <c r="T3531" t="s">
        <v>4559</v>
      </c>
      <c r="U3531" t="s">
        <v>5631</v>
      </c>
      <c r="V3531" s="2">
        <v>396</v>
      </c>
      <c r="W3531" t="s">
        <v>4655</v>
      </c>
      <c r="X3531" s="2">
        <v>0</v>
      </c>
      <c r="Y3531">
        <v>20</v>
      </c>
      <c r="Z3531" t="s">
        <v>4351</v>
      </c>
      <c r="AA3531" s="3">
        <v>0.12598714232444799</v>
      </c>
      <c r="AB3531" t="s">
        <v>19688</v>
      </c>
      <c r="AC3531" t="s">
        <v>4562</v>
      </c>
      <c r="AD3531" t="s">
        <v>19687</v>
      </c>
      <c r="AE3531" t="s">
        <v>4655</v>
      </c>
      <c r="AF3531" t="s">
        <v>4563</v>
      </c>
      <c r="AG3531" t="s">
        <v>4564</v>
      </c>
      <c r="AH3531">
        <v>89506</v>
      </c>
      <c r="AI3531" t="s">
        <v>19689</v>
      </c>
      <c r="AJ3531" t="s">
        <v>5133</v>
      </c>
      <c r="AK3531" t="s">
        <v>19690</v>
      </c>
      <c r="AL3531" s="13" t="s">
        <v>1901</v>
      </c>
      <c r="AM3531">
        <v>1</v>
      </c>
      <c r="AN3531" s="15" t="s">
        <v>1633</v>
      </c>
    </row>
    <row r="3532" spans="1:40" x14ac:dyDescent="0.3">
      <c r="A3532" s="10" t="str">
        <f>HYPERLINK("http://www.washoecounty.gov/assessor/cama/?parid=080-862-04&amp;CardNumber=1","080-862-04")</f>
        <v>080-862-04</v>
      </c>
      <c r="B3532" t="s">
        <v>4655</v>
      </c>
      <c r="C3532" t="s">
        <v>19691</v>
      </c>
      <c r="D3532" s="1">
        <v>40283</v>
      </c>
      <c r="E3532" s="2">
        <v>125000</v>
      </c>
      <c r="F3532" t="s">
        <v>4567</v>
      </c>
      <c r="G3532" s="17" t="str">
        <f>HYPERLINK("https://www.washoecounty.gov/assessor/cama/?command=sales&amp;parid=08086204","3871352")</f>
        <v>3871352</v>
      </c>
      <c r="H3532" t="s">
        <v>4278</v>
      </c>
      <c r="I3532">
        <v>2006</v>
      </c>
      <c r="J3532">
        <v>2006</v>
      </c>
      <c r="K3532" t="s">
        <v>4554</v>
      </c>
      <c r="L3532" t="s">
        <v>4555</v>
      </c>
      <c r="M3532" s="2">
        <v>1413</v>
      </c>
      <c r="N3532" t="s">
        <v>4048</v>
      </c>
      <c r="O3532">
        <v>3</v>
      </c>
      <c r="P3532">
        <v>2</v>
      </c>
      <c r="Q3532">
        <v>0</v>
      </c>
      <c r="R3532" t="s">
        <v>5281</v>
      </c>
      <c r="S3532" t="s">
        <v>4558</v>
      </c>
      <c r="T3532" t="s">
        <v>4559</v>
      </c>
      <c r="U3532" t="s">
        <v>4560</v>
      </c>
      <c r="V3532" s="2">
        <v>435</v>
      </c>
      <c r="W3532" t="s">
        <v>4655</v>
      </c>
      <c r="X3532" s="2">
        <v>0</v>
      </c>
      <c r="Y3532">
        <v>20</v>
      </c>
      <c r="Z3532" t="s">
        <v>4351</v>
      </c>
      <c r="AA3532" s="3">
        <v>0.12470155954360999</v>
      </c>
      <c r="AB3532" t="s">
        <v>19692</v>
      </c>
      <c r="AC3532" t="s">
        <v>4562</v>
      </c>
      <c r="AD3532" t="s">
        <v>19691</v>
      </c>
      <c r="AE3532" t="s">
        <v>4655</v>
      </c>
      <c r="AF3532" t="s">
        <v>4563</v>
      </c>
      <c r="AG3532" t="s">
        <v>4564</v>
      </c>
      <c r="AH3532">
        <v>89506</v>
      </c>
      <c r="AI3532" t="s">
        <v>19693</v>
      </c>
      <c r="AJ3532" t="s">
        <v>5133</v>
      </c>
      <c r="AK3532" t="s">
        <v>19694</v>
      </c>
      <c r="AL3532" s="13" t="s">
        <v>1901</v>
      </c>
      <c r="AM3532" s="14">
        <v>1</v>
      </c>
      <c r="AN3532" s="15" t="s">
        <v>1633</v>
      </c>
    </row>
    <row r="3533" spans="1:40" x14ac:dyDescent="0.3">
      <c r="A3533" s="10" t="str">
        <f>HYPERLINK("http://www.washoecounty.gov/assessor/cama/?parid=080-881-04&amp;CardNumber=1","080-881-04")</f>
        <v>080-881-04</v>
      </c>
      <c r="B3533" t="s">
        <v>4655</v>
      </c>
      <c r="C3533" t="s">
        <v>19695</v>
      </c>
      <c r="D3533" s="1">
        <v>40422</v>
      </c>
      <c r="E3533" s="2">
        <v>159000</v>
      </c>
      <c r="F3533" t="s">
        <v>4553</v>
      </c>
      <c r="G3533" s="17" t="str">
        <f>HYPERLINK("https://www.washoecounty.gov/assessor/cama/?command=sales&amp;parid=08088104","3918181")</f>
        <v>3918181</v>
      </c>
      <c r="H3533" t="s">
        <v>5134</v>
      </c>
      <c r="I3533">
        <v>2006</v>
      </c>
      <c r="J3533">
        <v>2006</v>
      </c>
      <c r="K3533" t="s">
        <v>4554</v>
      </c>
      <c r="L3533" t="s">
        <v>2170</v>
      </c>
      <c r="M3533" s="2">
        <v>2259</v>
      </c>
      <c r="N3533" t="s">
        <v>4048</v>
      </c>
      <c r="O3533">
        <v>4</v>
      </c>
      <c r="P3533">
        <v>3</v>
      </c>
      <c r="Q3533">
        <v>0</v>
      </c>
      <c r="R3533" t="s">
        <v>5281</v>
      </c>
      <c r="S3533" t="s">
        <v>4558</v>
      </c>
      <c r="T3533" t="s">
        <v>4559</v>
      </c>
      <c r="U3533" t="s">
        <v>4560</v>
      </c>
      <c r="V3533" s="2">
        <v>600</v>
      </c>
      <c r="W3533" t="s">
        <v>4655</v>
      </c>
      <c r="X3533" s="2">
        <v>0</v>
      </c>
      <c r="Y3533">
        <v>20</v>
      </c>
      <c r="Z3533" t="s">
        <v>4351</v>
      </c>
      <c r="AA3533" s="3">
        <v>0.160009175539017</v>
      </c>
      <c r="AB3533" t="s">
        <v>19696</v>
      </c>
      <c r="AC3533" t="s">
        <v>4562</v>
      </c>
      <c r="AD3533" t="s">
        <v>19697</v>
      </c>
      <c r="AE3533" t="s">
        <v>4655</v>
      </c>
      <c r="AF3533" t="s">
        <v>4958</v>
      </c>
      <c r="AG3533" t="s">
        <v>4584</v>
      </c>
      <c r="AH3533">
        <v>90807</v>
      </c>
      <c r="AI3533" t="s">
        <v>19698</v>
      </c>
      <c r="AJ3533" t="s">
        <v>19699</v>
      </c>
      <c r="AK3533" t="s">
        <v>19700</v>
      </c>
      <c r="AL3533" s="13" t="s">
        <v>1901</v>
      </c>
      <c r="AM3533">
        <v>1</v>
      </c>
      <c r="AN3533" s="15" t="s">
        <v>1633</v>
      </c>
    </row>
    <row r="3534" spans="1:40" x14ac:dyDescent="0.3">
      <c r="A3534" s="10" t="str">
        <f>HYPERLINK("http://www.washoecounty.gov/assessor/cama/?parid=080-882-13&amp;CardNumber=1","080-882-13")</f>
        <v>080-882-13</v>
      </c>
      <c r="B3534" t="s">
        <v>4655</v>
      </c>
      <c r="C3534" t="s">
        <v>19701</v>
      </c>
      <c r="D3534" s="1">
        <v>40417</v>
      </c>
      <c r="E3534" s="2">
        <v>186500</v>
      </c>
      <c r="F3534" t="s">
        <v>4553</v>
      </c>
      <c r="G3534" s="17" t="str">
        <f>HYPERLINK("https://www.washoecounty.gov/assessor/cama/?command=sales&amp;parid=08088213","3916363")</f>
        <v>3916363</v>
      </c>
      <c r="H3534" t="s">
        <v>5134</v>
      </c>
      <c r="I3534">
        <v>2006</v>
      </c>
      <c r="J3534">
        <v>2006</v>
      </c>
      <c r="K3534" t="s">
        <v>4554</v>
      </c>
      <c r="L3534" t="s">
        <v>3974</v>
      </c>
      <c r="M3534" s="2">
        <v>2905</v>
      </c>
      <c r="N3534" t="s">
        <v>4048</v>
      </c>
      <c r="O3534">
        <v>5</v>
      </c>
      <c r="P3534">
        <v>3</v>
      </c>
      <c r="Q3534">
        <v>1</v>
      </c>
      <c r="R3534" t="s">
        <v>5281</v>
      </c>
      <c r="S3534" t="s">
        <v>4558</v>
      </c>
      <c r="T3534" t="s">
        <v>4559</v>
      </c>
      <c r="U3534" t="s">
        <v>5631</v>
      </c>
      <c r="V3534" s="2">
        <v>468</v>
      </c>
      <c r="W3534" t="s">
        <v>4655</v>
      </c>
      <c r="X3534" s="2">
        <v>0</v>
      </c>
      <c r="Y3534">
        <v>20</v>
      </c>
      <c r="Z3534" t="s">
        <v>4351</v>
      </c>
      <c r="AA3534" s="3">
        <v>0.18535353243350983</v>
      </c>
      <c r="AB3534" t="s">
        <v>19702</v>
      </c>
      <c r="AC3534" t="s">
        <v>4562</v>
      </c>
      <c r="AD3534" t="s">
        <v>19701</v>
      </c>
      <c r="AE3534" t="s">
        <v>4655</v>
      </c>
      <c r="AF3534" t="s">
        <v>4563</v>
      </c>
      <c r="AG3534" t="s">
        <v>4564</v>
      </c>
      <c r="AH3534">
        <v>89506</v>
      </c>
      <c r="AI3534" t="s">
        <v>4202</v>
      </c>
      <c r="AJ3534" t="s">
        <v>5135</v>
      </c>
      <c r="AK3534" t="s">
        <v>19703</v>
      </c>
      <c r="AL3534" s="13" t="s">
        <v>1901</v>
      </c>
      <c r="AM3534">
        <v>1</v>
      </c>
      <c r="AN3534" s="15" t="s">
        <v>1633</v>
      </c>
    </row>
    <row r="3535" spans="1:40" x14ac:dyDescent="0.3">
      <c r="A3535" s="10" t="str">
        <f>HYPERLINK("http://www.washoecounty.gov/assessor/cama/?parid=080-883-03&amp;CardNumber=1","080-883-03")</f>
        <v>080-883-03</v>
      </c>
      <c r="B3535" t="s">
        <v>4655</v>
      </c>
      <c r="C3535" t="s">
        <v>19704</v>
      </c>
      <c r="D3535" s="1">
        <v>40437</v>
      </c>
      <c r="E3535" s="2">
        <v>149600</v>
      </c>
      <c r="F3535" t="s">
        <v>4553</v>
      </c>
      <c r="G3535" s="17" t="str">
        <f>HYPERLINK("https://www.washoecounty.gov/assessor/cama/?command=sales&amp;parid=08088303","3922912")</f>
        <v>3922912</v>
      </c>
      <c r="H3535" t="s">
        <v>5134</v>
      </c>
      <c r="I3535">
        <v>2006</v>
      </c>
      <c r="J3535">
        <v>2006</v>
      </c>
      <c r="K3535" t="s">
        <v>4554</v>
      </c>
      <c r="L3535" t="s">
        <v>2170</v>
      </c>
      <c r="M3535" s="2">
        <v>2259</v>
      </c>
      <c r="N3535" t="s">
        <v>4048</v>
      </c>
      <c r="O3535">
        <v>4</v>
      </c>
      <c r="P3535">
        <v>3</v>
      </c>
      <c r="Q3535">
        <v>0</v>
      </c>
      <c r="R3535" t="s">
        <v>5281</v>
      </c>
      <c r="S3535" t="s">
        <v>4558</v>
      </c>
      <c r="T3535" t="s">
        <v>4559</v>
      </c>
      <c r="U3535" t="s">
        <v>4560</v>
      </c>
      <c r="V3535" s="2">
        <v>600</v>
      </c>
      <c r="W3535" t="s">
        <v>4655</v>
      </c>
      <c r="X3535" s="2">
        <v>0</v>
      </c>
      <c r="Y3535">
        <v>20</v>
      </c>
      <c r="Z3535" t="s">
        <v>4351</v>
      </c>
      <c r="AA3535" s="3">
        <v>0.18046373128891</v>
      </c>
      <c r="AB3535" t="s">
        <v>19705</v>
      </c>
      <c r="AC3535" t="s">
        <v>4562</v>
      </c>
      <c r="AD3535" t="s">
        <v>19706</v>
      </c>
      <c r="AE3535" t="s">
        <v>4655</v>
      </c>
      <c r="AF3535" t="s">
        <v>4563</v>
      </c>
      <c r="AG3535" t="s">
        <v>4564</v>
      </c>
      <c r="AH3535">
        <v>89506</v>
      </c>
      <c r="AI3535" t="s">
        <v>4655</v>
      </c>
      <c r="AJ3535" t="s">
        <v>5135</v>
      </c>
      <c r="AK3535" t="s">
        <v>19707</v>
      </c>
      <c r="AL3535" s="13" t="s">
        <v>1901</v>
      </c>
      <c r="AM3535">
        <v>1</v>
      </c>
      <c r="AN3535" s="15" t="s">
        <v>1633</v>
      </c>
    </row>
    <row r="3536" spans="1:40" x14ac:dyDescent="0.3">
      <c r="A3536" s="10" t="str">
        <f>HYPERLINK("http://www.washoecounty.gov/assessor/cama/?parid=080-883-12&amp;CardNumber=1","080-883-12")</f>
        <v>080-883-12</v>
      </c>
      <c r="B3536" t="s">
        <v>4655</v>
      </c>
      <c r="C3536" t="s">
        <v>19708</v>
      </c>
      <c r="D3536" s="1">
        <v>40386</v>
      </c>
      <c r="E3536" s="2">
        <v>169900</v>
      </c>
      <c r="F3536" t="s">
        <v>4553</v>
      </c>
      <c r="G3536" s="17" t="str">
        <f>HYPERLINK("https://www.washoecounty.gov/assessor/cama/?command=sales&amp;parid=08088312","3905325")</f>
        <v>3905325</v>
      </c>
      <c r="H3536" t="s">
        <v>5134</v>
      </c>
      <c r="I3536">
        <v>2006</v>
      </c>
      <c r="J3536">
        <v>2006</v>
      </c>
      <c r="K3536" t="s">
        <v>4554</v>
      </c>
      <c r="L3536" t="s">
        <v>2170</v>
      </c>
      <c r="M3536" s="2">
        <v>2259</v>
      </c>
      <c r="N3536" t="s">
        <v>4048</v>
      </c>
      <c r="O3536">
        <v>4</v>
      </c>
      <c r="P3536">
        <v>3</v>
      </c>
      <c r="Q3536">
        <v>0</v>
      </c>
      <c r="R3536" t="s">
        <v>5281</v>
      </c>
      <c r="S3536" t="s">
        <v>4558</v>
      </c>
      <c r="T3536" t="s">
        <v>4559</v>
      </c>
      <c r="U3536" t="s">
        <v>4560</v>
      </c>
      <c r="V3536" s="2">
        <v>600</v>
      </c>
      <c r="W3536" t="s">
        <v>4655</v>
      </c>
      <c r="X3536" s="2">
        <v>0</v>
      </c>
      <c r="Y3536">
        <v>20</v>
      </c>
      <c r="Z3536" t="s">
        <v>4351</v>
      </c>
      <c r="AA3536" s="3">
        <v>0.19655647873878479</v>
      </c>
      <c r="AB3536" t="s">
        <v>19709</v>
      </c>
      <c r="AC3536" t="s">
        <v>4562</v>
      </c>
      <c r="AD3536" t="s">
        <v>19708</v>
      </c>
      <c r="AE3536" t="s">
        <v>4655</v>
      </c>
      <c r="AF3536" t="s">
        <v>4563</v>
      </c>
      <c r="AG3536" t="s">
        <v>4564</v>
      </c>
      <c r="AH3536">
        <v>89506</v>
      </c>
      <c r="AI3536" t="s">
        <v>4503</v>
      </c>
      <c r="AJ3536" t="s">
        <v>5135</v>
      </c>
      <c r="AK3536" t="s">
        <v>19710</v>
      </c>
      <c r="AL3536" s="13" t="s">
        <v>1901</v>
      </c>
      <c r="AM3536" s="14">
        <v>1</v>
      </c>
      <c r="AN3536" s="15" t="s">
        <v>1633</v>
      </c>
    </row>
    <row r="3537" spans="1:40" x14ac:dyDescent="0.3">
      <c r="A3537" s="10" t="str">
        <f>HYPERLINK("http://www.washoecounty.gov/assessor/cama/?parid=080-891-04&amp;CardNumber=1","080-891-04")</f>
        <v>080-891-04</v>
      </c>
      <c r="B3537" t="s">
        <v>4655</v>
      </c>
      <c r="C3537" t="s">
        <v>19711</v>
      </c>
      <c r="D3537" s="1">
        <v>40540</v>
      </c>
      <c r="E3537" s="2">
        <v>170000</v>
      </c>
      <c r="F3537" t="s">
        <v>4553</v>
      </c>
      <c r="G3537" s="17" t="str">
        <f>HYPERLINK("https://www.washoecounty.gov/assessor/cama/?command=sales&amp;parid=08089104","3958225")</f>
        <v>3958225</v>
      </c>
      <c r="H3537" t="s">
        <v>5134</v>
      </c>
      <c r="I3537">
        <v>2006</v>
      </c>
      <c r="J3537">
        <v>2006</v>
      </c>
      <c r="K3537" t="s">
        <v>4554</v>
      </c>
      <c r="L3537" t="s">
        <v>3974</v>
      </c>
      <c r="M3537" s="2">
        <v>2905</v>
      </c>
      <c r="N3537" t="s">
        <v>4048</v>
      </c>
      <c r="O3537">
        <v>5</v>
      </c>
      <c r="P3537">
        <v>3</v>
      </c>
      <c r="Q3537">
        <v>1</v>
      </c>
      <c r="R3537" t="s">
        <v>5281</v>
      </c>
      <c r="S3537" t="s">
        <v>4558</v>
      </c>
      <c r="T3537" t="s">
        <v>4559</v>
      </c>
      <c r="U3537" t="s">
        <v>5631</v>
      </c>
      <c r="V3537" s="2">
        <v>468</v>
      </c>
      <c r="W3537" t="s">
        <v>4655</v>
      </c>
      <c r="X3537" s="2">
        <v>0</v>
      </c>
      <c r="Y3537">
        <v>20</v>
      </c>
      <c r="Z3537" t="s">
        <v>4351</v>
      </c>
      <c r="AA3537" s="3">
        <v>0.16115702688694</v>
      </c>
      <c r="AB3537" t="s">
        <v>19712</v>
      </c>
      <c r="AC3537" t="s">
        <v>4562</v>
      </c>
      <c r="AD3537" t="s">
        <v>19713</v>
      </c>
      <c r="AE3537" t="s">
        <v>4655</v>
      </c>
      <c r="AF3537" t="s">
        <v>19714</v>
      </c>
      <c r="AG3537" t="s">
        <v>1188</v>
      </c>
      <c r="AH3537">
        <v>99901</v>
      </c>
      <c r="AI3537" t="s">
        <v>4565</v>
      </c>
      <c r="AJ3537" t="s">
        <v>5135</v>
      </c>
      <c r="AK3537" t="s">
        <v>19715</v>
      </c>
      <c r="AL3537" s="13" t="s">
        <v>1901</v>
      </c>
      <c r="AM3537" s="14">
        <v>1</v>
      </c>
      <c r="AN3537" s="15" t="s">
        <v>1633</v>
      </c>
    </row>
    <row r="3538" spans="1:40" x14ac:dyDescent="0.3">
      <c r="A3538" s="10" t="str">
        <f>HYPERLINK("http://www.washoecounty.gov/assessor/cama/?parid=080-892-08&amp;CardNumber=1","080-892-08")</f>
        <v>080-892-08</v>
      </c>
      <c r="B3538" t="s">
        <v>4655</v>
      </c>
      <c r="C3538" t="s">
        <v>19716</v>
      </c>
      <c r="D3538" s="1">
        <v>40464</v>
      </c>
      <c r="E3538" s="2">
        <v>160000</v>
      </c>
      <c r="F3538" t="s">
        <v>4553</v>
      </c>
      <c r="G3538" s="17" t="str">
        <f>HYPERLINK("https://www.washoecounty.gov/assessor/cama/?command=sales&amp;parid=08089208","3932368")</f>
        <v>3932368</v>
      </c>
      <c r="H3538" t="s">
        <v>5134</v>
      </c>
      <c r="I3538">
        <v>2006</v>
      </c>
      <c r="J3538">
        <v>2006</v>
      </c>
      <c r="K3538" t="s">
        <v>4554</v>
      </c>
      <c r="L3538" t="s">
        <v>2170</v>
      </c>
      <c r="M3538" s="2">
        <v>2259</v>
      </c>
      <c r="N3538" t="s">
        <v>4048</v>
      </c>
      <c r="O3538">
        <v>4</v>
      </c>
      <c r="P3538">
        <v>3</v>
      </c>
      <c r="Q3538">
        <v>0</v>
      </c>
      <c r="R3538" t="s">
        <v>5281</v>
      </c>
      <c r="S3538" t="s">
        <v>4558</v>
      </c>
      <c r="T3538" t="s">
        <v>4559</v>
      </c>
      <c r="U3538" t="s">
        <v>4560</v>
      </c>
      <c r="V3538" s="2">
        <v>600</v>
      </c>
      <c r="W3538" t="s">
        <v>4655</v>
      </c>
      <c r="X3538" s="2">
        <v>0</v>
      </c>
      <c r="Y3538">
        <v>20</v>
      </c>
      <c r="Z3538" t="s">
        <v>4351</v>
      </c>
      <c r="AA3538" s="3">
        <v>0.15426997840404499</v>
      </c>
      <c r="AB3538" t="s">
        <v>19717</v>
      </c>
      <c r="AC3538" t="s">
        <v>4575</v>
      </c>
      <c r="AD3538" t="s">
        <v>19716</v>
      </c>
      <c r="AE3538" t="s">
        <v>4655</v>
      </c>
      <c r="AF3538" t="s">
        <v>4563</v>
      </c>
      <c r="AG3538" t="s">
        <v>4564</v>
      </c>
      <c r="AH3538">
        <v>89506</v>
      </c>
      <c r="AI3538" t="s">
        <v>4903</v>
      </c>
      <c r="AJ3538" t="s">
        <v>5135</v>
      </c>
      <c r="AK3538" t="s">
        <v>19718</v>
      </c>
      <c r="AL3538" s="13" t="s">
        <v>1901</v>
      </c>
      <c r="AM3538" s="14">
        <v>1</v>
      </c>
      <c r="AN3538" s="15" t="s">
        <v>1633</v>
      </c>
    </row>
    <row r="3539" spans="1:40" x14ac:dyDescent="0.3">
      <c r="A3539" s="10" t="str">
        <f>HYPERLINK("http://www.washoecounty.gov/assessor/cama/?parid=080-892-10&amp;CardNumber=1","080-892-10")</f>
        <v>080-892-10</v>
      </c>
      <c r="B3539" t="s">
        <v>4655</v>
      </c>
      <c r="C3539" t="s">
        <v>19719</v>
      </c>
      <c r="D3539" s="1">
        <v>40197</v>
      </c>
      <c r="E3539" s="2">
        <v>175000</v>
      </c>
      <c r="F3539" t="s">
        <v>4553</v>
      </c>
      <c r="G3539" s="17" t="str">
        <f>HYPERLINK("https://www.washoecounty.gov/assessor/cama/?command=sales&amp;parid=08089210","3840586")</f>
        <v>3840586</v>
      </c>
      <c r="H3539" t="s">
        <v>5134</v>
      </c>
      <c r="I3539">
        <v>2006</v>
      </c>
      <c r="J3539">
        <v>2006</v>
      </c>
      <c r="K3539" t="s">
        <v>4554</v>
      </c>
      <c r="L3539" t="s">
        <v>2170</v>
      </c>
      <c r="M3539" s="2">
        <v>2259</v>
      </c>
      <c r="N3539" t="s">
        <v>4048</v>
      </c>
      <c r="O3539">
        <v>4</v>
      </c>
      <c r="P3539">
        <v>3</v>
      </c>
      <c r="Q3539">
        <v>0</v>
      </c>
      <c r="R3539" t="s">
        <v>5281</v>
      </c>
      <c r="S3539" t="s">
        <v>4558</v>
      </c>
      <c r="T3539" t="s">
        <v>4559</v>
      </c>
      <c r="U3539" t="s">
        <v>4560</v>
      </c>
      <c r="V3539" s="2">
        <v>600</v>
      </c>
      <c r="W3539" t="s">
        <v>4655</v>
      </c>
      <c r="X3539" s="2">
        <v>0</v>
      </c>
      <c r="Y3539">
        <v>20</v>
      </c>
      <c r="Z3539" t="s">
        <v>4351</v>
      </c>
      <c r="AA3539" s="3">
        <v>0.15426997840404499</v>
      </c>
      <c r="AB3539" t="s">
        <v>19720</v>
      </c>
      <c r="AC3539" t="s">
        <v>4575</v>
      </c>
      <c r="AD3539" t="s">
        <v>19719</v>
      </c>
      <c r="AE3539" t="s">
        <v>4655</v>
      </c>
      <c r="AF3539" t="s">
        <v>4563</v>
      </c>
      <c r="AG3539" t="s">
        <v>4564</v>
      </c>
      <c r="AH3539">
        <v>89506</v>
      </c>
      <c r="AI3539" t="s">
        <v>359</v>
      </c>
      <c r="AJ3539" t="s">
        <v>5135</v>
      </c>
      <c r="AK3539" t="s">
        <v>19721</v>
      </c>
      <c r="AL3539" s="13" t="s">
        <v>1901</v>
      </c>
      <c r="AM3539" s="14">
        <v>1</v>
      </c>
      <c r="AN3539" s="15" t="s">
        <v>1633</v>
      </c>
    </row>
    <row r="3540" spans="1:40" x14ac:dyDescent="0.3">
      <c r="A3540" s="10" t="str">
        <f>HYPERLINK("http://www.washoecounty.gov/assessor/cama/?parid=081-024-07&amp;CardNumber=1","081-024-07")</f>
        <v>081-024-07</v>
      </c>
      <c r="B3540" t="s">
        <v>4655</v>
      </c>
      <c r="C3540" t="s">
        <v>19722</v>
      </c>
      <c r="D3540" s="1">
        <v>40269</v>
      </c>
      <c r="E3540" s="2">
        <v>1850000</v>
      </c>
      <c r="F3540" t="s">
        <v>3584</v>
      </c>
      <c r="G3540" s="17" t="str">
        <f>HYPERLINK("https://www.washoecounty.gov/assessor/cama/?command=sales&amp;parid=08102407","3867025")</f>
        <v>3867025</v>
      </c>
      <c r="H3540" t="s">
        <v>19723</v>
      </c>
      <c r="I3540">
        <v>1944</v>
      </c>
      <c r="J3540">
        <v>1944</v>
      </c>
      <c r="K3540" t="s">
        <v>4554</v>
      </c>
      <c r="L3540" t="s">
        <v>4555</v>
      </c>
      <c r="M3540" s="2">
        <v>1428</v>
      </c>
      <c r="N3540" t="s">
        <v>4133</v>
      </c>
      <c r="O3540">
        <v>3</v>
      </c>
      <c r="P3540">
        <v>1</v>
      </c>
      <c r="Q3540">
        <v>0</v>
      </c>
      <c r="R3540" t="s">
        <v>4557</v>
      </c>
      <c r="S3540" t="s">
        <v>4135</v>
      </c>
      <c r="T3540" t="s">
        <v>4559</v>
      </c>
      <c r="U3540" t="s">
        <v>4655</v>
      </c>
      <c r="V3540" s="2">
        <v>0</v>
      </c>
      <c r="W3540" t="s">
        <v>3149</v>
      </c>
      <c r="X3540" s="2">
        <v>1239</v>
      </c>
      <c r="Y3540">
        <v>20</v>
      </c>
      <c r="Z3540" t="s">
        <v>3668</v>
      </c>
      <c r="AA3540" s="3">
        <v>63.880001068115199</v>
      </c>
      <c r="AB3540" t="s">
        <v>19724</v>
      </c>
      <c r="AC3540" t="s">
        <v>4562</v>
      </c>
      <c r="AD3540" t="s">
        <v>19725</v>
      </c>
      <c r="AE3540" t="s">
        <v>4655</v>
      </c>
      <c r="AF3540" t="s">
        <v>2180</v>
      </c>
      <c r="AG3540" t="s">
        <v>4584</v>
      </c>
      <c r="AH3540">
        <v>92121</v>
      </c>
      <c r="AI3540" t="s">
        <v>19726</v>
      </c>
      <c r="AJ3540" t="s">
        <v>4655</v>
      </c>
      <c r="AK3540" t="s">
        <v>19727</v>
      </c>
      <c r="AL3540" s="13" t="s">
        <v>1589</v>
      </c>
      <c r="AM3540">
        <v>1</v>
      </c>
      <c r="AN3540" s="15" t="s">
        <v>19728</v>
      </c>
    </row>
    <row r="3541" spans="1:40" x14ac:dyDescent="0.3">
      <c r="A3541" s="10" t="str">
        <f>HYPERLINK("http://www.washoecounty.gov/assessor/cama/?parid=081-031-27&amp;CardNumber=1","081-031-27")</f>
        <v>081-031-27</v>
      </c>
      <c r="B3541" t="s">
        <v>4655</v>
      </c>
      <c r="C3541" t="s">
        <v>19729</v>
      </c>
      <c r="D3541" s="1">
        <v>40269</v>
      </c>
      <c r="E3541" s="2">
        <v>1850000</v>
      </c>
      <c r="F3541" t="s">
        <v>3584</v>
      </c>
      <c r="G3541" s="17" t="str">
        <f>HYPERLINK("https://www.washoecounty.gov/assessor/cama/?command=sales&amp;parid=08103127","3867025")</f>
        <v>3867025</v>
      </c>
      <c r="H3541" t="s">
        <v>4827</v>
      </c>
      <c r="I3541">
        <v>0</v>
      </c>
      <c r="J3541">
        <v>0</v>
      </c>
      <c r="K3541" t="s">
        <v>4655</v>
      </c>
      <c r="L3541" t="s">
        <v>4655</v>
      </c>
      <c r="M3541" s="2">
        <v>0</v>
      </c>
      <c r="N3541" t="s">
        <v>4655</v>
      </c>
      <c r="O3541">
        <v>0</v>
      </c>
      <c r="P3541">
        <v>0</v>
      </c>
      <c r="Q3541">
        <v>0</v>
      </c>
      <c r="R3541" t="s">
        <v>4655</v>
      </c>
      <c r="S3541" t="s">
        <v>4655</v>
      </c>
      <c r="T3541" t="s">
        <v>4655</v>
      </c>
      <c r="U3541" t="s">
        <v>4655</v>
      </c>
      <c r="V3541" s="2">
        <v>0</v>
      </c>
      <c r="W3541" t="s">
        <v>4655</v>
      </c>
      <c r="X3541" s="2">
        <v>0</v>
      </c>
      <c r="Y3541">
        <v>12</v>
      </c>
      <c r="Z3541" t="s">
        <v>1376</v>
      </c>
      <c r="AA3541" s="3">
        <v>13.079000473022401</v>
      </c>
      <c r="AB3541" t="s">
        <v>19724</v>
      </c>
      <c r="AC3541" t="s">
        <v>4562</v>
      </c>
      <c r="AD3541" t="s">
        <v>19725</v>
      </c>
      <c r="AE3541" t="s">
        <v>4655</v>
      </c>
      <c r="AF3541" t="s">
        <v>2180</v>
      </c>
      <c r="AG3541" t="s">
        <v>4584</v>
      </c>
      <c r="AH3541">
        <v>92121</v>
      </c>
      <c r="AI3541" t="s">
        <v>2009</v>
      </c>
      <c r="AJ3541" t="s">
        <v>4655</v>
      </c>
      <c r="AK3541" t="s">
        <v>19730</v>
      </c>
      <c r="AL3541" s="13" t="s">
        <v>1589</v>
      </c>
      <c r="AM3541" s="14">
        <v>0</v>
      </c>
      <c r="AN3541" s="15" t="s">
        <v>19731</v>
      </c>
    </row>
    <row r="3542" spans="1:40" x14ac:dyDescent="0.3">
      <c r="A3542" s="10" t="str">
        <f>HYPERLINK("http://www.washoecounty.gov/assessor/cama/?parid=081-031-28&amp;CardNumber=1","081-031-28")</f>
        <v>081-031-28</v>
      </c>
      <c r="B3542" t="s">
        <v>4655</v>
      </c>
      <c r="C3542" t="s">
        <v>19732</v>
      </c>
      <c r="D3542" s="1">
        <v>40269</v>
      </c>
      <c r="E3542" s="2">
        <v>1850000</v>
      </c>
      <c r="F3542" t="s">
        <v>3584</v>
      </c>
      <c r="G3542" s="17" t="str">
        <f>HYPERLINK("https://www.washoecounty.gov/assessor/cama/?command=sales&amp;parid=08103128","3867025")</f>
        <v>3867025</v>
      </c>
      <c r="H3542" t="s">
        <v>4827</v>
      </c>
      <c r="I3542">
        <v>0</v>
      </c>
      <c r="J3542">
        <v>0</v>
      </c>
      <c r="K3542" t="s">
        <v>4655</v>
      </c>
      <c r="L3542" t="s">
        <v>4655</v>
      </c>
      <c r="M3542" s="2">
        <v>0</v>
      </c>
      <c r="N3542" t="s">
        <v>4655</v>
      </c>
      <c r="O3542">
        <v>0</v>
      </c>
      <c r="P3542">
        <v>0</v>
      </c>
      <c r="Q3542">
        <v>0</v>
      </c>
      <c r="R3542" t="s">
        <v>4655</v>
      </c>
      <c r="S3542" t="s">
        <v>4655</v>
      </c>
      <c r="T3542" t="s">
        <v>4655</v>
      </c>
      <c r="U3542" t="s">
        <v>4655</v>
      </c>
      <c r="V3542" s="2">
        <v>0</v>
      </c>
      <c r="W3542" t="s">
        <v>4655</v>
      </c>
      <c r="X3542" s="2">
        <v>0</v>
      </c>
      <c r="Y3542">
        <v>12</v>
      </c>
      <c r="Z3542" t="s">
        <v>1376</v>
      </c>
      <c r="AA3542" s="3">
        <v>5.3899998664855957</v>
      </c>
      <c r="AB3542" t="s">
        <v>19724</v>
      </c>
      <c r="AC3542" t="s">
        <v>4562</v>
      </c>
      <c r="AD3542" t="s">
        <v>19725</v>
      </c>
      <c r="AE3542" t="s">
        <v>4655</v>
      </c>
      <c r="AF3542" t="s">
        <v>2180</v>
      </c>
      <c r="AG3542" t="s">
        <v>4584</v>
      </c>
      <c r="AH3542">
        <v>92121</v>
      </c>
      <c r="AI3542" t="s">
        <v>19733</v>
      </c>
      <c r="AJ3542" t="s">
        <v>4655</v>
      </c>
      <c r="AK3542" t="s">
        <v>19734</v>
      </c>
      <c r="AL3542" s="13" t="s">
        <v>1589</v>
      </c>
      <c r="AM3542" s="14">
        <v>0</v>
      </c>
      <c r="AN3542" s="15" t="s">
        <v>19731</v>
      </c>
    </row>
    <row r="3543" spans="1:40" x14ac:dyDescent="0.3">
      <c r="A3543" s="10" t="str">
        <f>HYPERLINK("http://www.washoecounty.gov/assessor/cama/?parid=081-031-29&amp;CardNumber=1","081-031-29")</f>
        <v>081-031-29</v>
      </c>
      <c r="B3543" t="s">
        <v>5502</v>
      </c>
      <c r="C3543" t="s">
        <v>19735</v>
      </c>
      <c r="D3543" s="1">
        <v>40269</v>
      </c>
      <c r="E3543" s="2">
        <v>1850000</v>
      </c>
      <c r="F3543" t="s">
        <v>3584</v>
      </c>
      <c r="G3543" s="17" t="str">
        <f>HYPERLINK("https://www.washoecounty.gov/assessor/cama/?command=sales&amp;parid=08103129","3867025")</f>
        <v>3867025</v>
      </c>
      <c r="H3543" t="s">
        <v>4827</v>
      </c>
      <c r="I3543">
        <v>0</v>
      </c>
      <c r="J3543">
        <v>0</v>
      </c>
      <c r="K3543" t="s">
        <v>4655</v>
      </c>
      <c r="L3543" t="s">
        <v>4655</v>
      </c>
      <c r="M3543" s="2">
        <v>0</v>
      </c>
      <c r="N3543" t="s">
        <v>4655</v>
      </c>
      <c r="O3543">
        <v>0</v>
      </c>
      <c r="P3543">
        <v>0</v>
      </c>
      <c r="Q3543">
        <v>0</v>
      </c>
      <c r="R3543" t="s">
        <v>4655</v>
      </c>
      <c r="S3543" t="s">
        <v>4655</v>
      </c>
      <c r="T3543" t="s">
        <v>4655</v>
      </c>
      <c r="U3543" t="s">
        <v>4655</v>
      </c>
      <c r="V3543" s="2">
        <v>0</v>
      </c>
      <c r="W3543" t="s">
        <v>4655</v>
      </c>
      <c r="X3543" s="2">
        <v>0</v>
      </c>
      <c r="Y3543">
        <v>33</v>
      </c>
      <c r="Z3543" t="s">
        <v>1376</v>
      </c>
      <c r="AA3543" s="3">
        <v>2</v>
      </c>
      <c r="AB3543" t="s">
        <v>19724</v>
      </c>
      <c r="AC3543" t="s">
        <v>4562</v>
      </c>
      <c r="AD3543" t="s">
        <v>19725</v>
      </c>
      <c r="AE3543" t="s">
        <v>4655</v>
      </c>
      <c r="AF3543" t="s">
        <v>2180</v>
      </c>
      <c r="AG3543" t="s">
        <v>4584</v>
      </c>
      <c r="AH3543">
        <v>92121</v>
      </c>
      <c r="AI3543" t="s">
        <v>19733</v>
      </c>
      <c r="AJ3543" t="s">
        <v>4655</v>
      </c>
      <c r="AK3543" t="s">
        <v>19734</v>
      </c>
      <c r="AL3543" s="13" t="s">
        <v>1589</v>
      </c>
      <c r="AM3543" s="14">
        <v>0</v>
      </c>
      <c r="AN3543" s="15" t="s">
        <v>19731</v>
      </c>
    </row>
    <row r="3544" spans="1:40" x14ac:dyDescent="0.3">
      <c r="A3544" s="10" t="str">
        <f>HYPERLINK("http://www.washoecounty.gov/assessor/cama/?parid=081-031-30&amp;CardNumber=1","081-031-30")</f>
        <v>081-031-30</v>
      </c>
      <c r="B3544" t="s">
        <v>5502</v>
      </c>
      <c r="C3544" t="s">
        <v>19736</v>
      </c>
      <c r="D3544" s="1">
        <v>40269</v>
      </c>
      <c r="E3544" s="2">
        <v>1850000</v>
      </c>
      <c r="F3544" t="s">
        <v>3584</v>
      </c>
      <c r="G3544" s="17" t="str">
        <f>HYPERLINK("https://www.washoecounty.gov/assessor/cama/?command=sales&amp;parid=08103130","3867025")</f>
        <v>3867025</v>
      </c>
      <c r="H3544" t="s">
        <v>4827</v>
      </c>
      <c r="I3544">
        <v>0</v>
      </c>
      <c r="J3544">
        <v>0</v>
      </c>
      <c r="K3544" t="s">
        <v>4655</v>
      </c>
      <c r="L3544" t="s">
        <v>4655</v>
      </c>
      <c r="M3544" s="2">
        <v>0</v>
      </c>
      <c r="N3544" t="s">
        <v>4655</v>
      </c>
      <c r="O3544">
        <v>0</v>
      </c>
      <c r="P3544">
        <v>0</v>
      </c>
      <c r="Q3544">
        <v>0</v>
      </c>
      <c r="R3544" t="s">
        <v>4655</v>
      </c>
      <c r="S3544" t="s">
        <v>4655</v>
      </c>
      <c r="T3544" t="s">
        <v>4655</v>
      </c>
      <c r="U3544" t="s">
        <v>4655</v>
      </c>
      <c r="V3544" s="2">
        <v>0</v>
      </c>
      <c r="W3544" t="s">
        <v>4655</v>
      </c>
      <c r="X3544" s="2">
        <v>0</v>
      </c>
      <c r="Y3544">
        <v>34</v>
      </c>
      <c r="Z3544" t="s">
        <v>1376</v>
      </c>
      <c r="AA3544" s="3">
        <v>2.9400000572204501</v>
      </c>
      <c r="AB3544" t="s">
        <v>19724</v>
      </c>
      <c r="AC3544" t="s">
        <v>4562</v>
      </c>
      <c r="AD3544" t="s">
        <v>19725</v>
      </c>
      <c r="AE3544" t="s">
        <v>4655</v>
      </c>
      <c r="AF3544" t="s">
        <v>2180</v>
      </c>
      <c r="AG3544" t="s">
        <v>4584</v>
      </c>
      <c r="AH3544">
        <v>92121</v>
      </c>
      <c r="AI3544" t="s">
        <v>19733</v>
      </c>
      <c r="AJ3544" t="s">
        <v>4655</v>
      </c>
      <c r="AK3544" t="s">
        <v>19734</v>
      </c>
      <c r="AL3544" s="13" t="s">
        <v>1589</v>
      </c>
      <c r="AM3544" s="14">
        <v>0</v>
      </c>
      <c r="AN3544" s="15" t="s">
        <v>19731</v>
      </c>
    </row>
    <row r="3545" spans="1:40" x14ac:dyDescent="0.3">
      <c r="A3545" s="10" t="str">
        <f>HYPERLINK("http://www.washoecounty.gov/assessor/cama/?parid=081-031-31&amp;CardNumber=1","081-031-31")</f>
        <v>081-031-31</v>
      </c>
      <c r="B3545" t="s">
        <v>4655</v>
      </c>
      <c r="C3545" t="s">
        <v>19737</v>
      </c>
      <c r="D3545" s="1">
        <v>40269</v>
      </c>
      <c r="E3545" s="2">
        <v>1850000</v>
      </c>
      <c r="F3545" t="s">
        <v>3584</v>
      </c>
      <c r="G3545" s="17" t="str">
        <f>HYPERLINK("https://www.washoecounty.gov/assessor/cama/?command=sales&amp;parid=08103131","3867025")</f>
        <v>3867025</v>
      </c>
      <c r="H3545" t="s">
        <v>4827</v>
      </c>
      <c r="I3545">
        <v>0</v>
      </c>
      <c r="J3545">
        <v>0</v>
      </c>
      <c r="K3545" t="s">
        <v>4655</v>
      </c>
      <c r="L3545" t="s">
        <v>4655</v>
      </c>
      <c r="M3545" s="2">
        <v>0</v>
      </c>
      <c r="N3545" t="s">
        <v>4655</v>
      </c>
      <c r="O3545">
        <v>0</v>
      </c>
      <c r="P3545">
        <v>0</v>
      </c>
      <c r="Q3545">
        <v>0</v>
      </c>
      <c r="R3545" t="s">
        <v>4655</v>
      </c>
      <c r="S3545" t="s">
        <v>4655</v>
      </c>
      <c r="T3545" t="s">
        <v>4655</v>
      </c>
      <c r="U3545" t="s">
        <v>4655</v>
      </c>
      <c r="V3545" s="2">
        <v>0</v>
      </c>
      <c r="W3545" t="s">
        <v>4655</v>
      </c>
      <c r="X3545" s="2">
        <v>0</v>
      </c>
      <c r="Y3545">
        <v>20</v>
      </c>
      <c r="Z3545" t="s">
        <v>1376</v>
      </c>
      <c r="AA3545" s="3">
        <v>0.36000919342040999</v>
      </c>
      <c r="AB3545" t="s">
        <v>19724</v>
      </c>
      <c r="AC3545" t="s">
        <v>4562</v>
      </c>
      <c r="AD3545" t="s">
        <v>19725</v>
      </c>
      <c r="AE3545" t="s">
        <v>4655</v>
      </c>
      <c r="AF3545" t="s">
        <v>2180</v>
      </c>
      <c r="AG3545" t="s">
        <v>4584</v>
      </c>
      <c r="AH3545">
        <v>92121</v>
      </c>
      <c r="AI3545" t="s">
        <v>19733</v>
      </c>
      <c r="AJ3545" t="s">
        <v>4655</v>
      </c>
      <c r="AK3545" t="s">
        <v>19734</v>
      </c>
      <c r="AL3545" s="13" t="s">
        <v>1589</v>
      </c>
      <c r="AM3545">
        <v>0</v>
      </c>
      <c r="AN3545" s="15" t="s">
        <v>19731</v>
      </c>
    </row>
    <row r="3546" spans="1:40" x14ac:dyDescent="0.3">
      <c r="A3546" s="10" t="str">
        <f>HYPERLINK("http://www.washoecounty.gov/assessor/cama/?parid=081-031-32&amp;CardNumber=1","081-031-32")</f>
        <v>081-031-32</v>
      </c>
      <c r="B3546" t="s">
        <v>5502</v>
      </c>
      <c r="C3546" t="s">
        <v>19738</v>
      </c>
      <c r="D3546" s="1">
        <v>40269</v>
      </c>
      <c r="E3546" s="2">
        <v>1850000</v>
      </c>
      <c r="F3546" t="s">
        <v>3584</v>
      </c>
      <c r="G3546" s="17" t="str">
        <f>HYPERLINK("https://www.washoecounty.gov/assessor/cama/?command=sales&amp;parid=08103132","3867025")</f>
        <v>3867025</v>
      </c>
      <c r="H3546" t="s">
        <v>4715</v>
      </c>
      <c r="I3546">
        <v>0</v>
      </c>
      <c r="J3546">
        <v>0</v>
      </c>
      <c r="K3546" t="s">
        <v>4655</v>
      </c>
      <c r="L3546" t="s">
        <v>4655</v>
      </c>
      <c r="M3546" s="2">
        <v>0</v>
      </c>
      <c r="N3546" t="s">
        <v>4655</v>
      </c>
      <c r="O3546">
        <v>0</v>
      </c>
      <c r="P3546">
        <v>0</v>
      </c>
      <c r="Q3546">
        <v>0</v>
      </c>
      <c r="R3546" t="s">
        <v>4655</v>
      </c>
      <c r="S3546" t="s">
        <v>4655</v>
      </c>
      <c r="T3546" t="s">
        <v>4655</v>
      </c>
      <c r="U3546" t="s">
        <v>4655</v>
      </c>
      <c r="V3546" s="2">
        <v>0</v>
      </c>
      <c r="W3546" t="s">
        <v>4655</v>
      </c>
      <c r="X3546" s="2">
        <v>0</v>
      </c>
      <c r="Y3546">
        <v>33</v>
      </c>
      <c r="Z3546" t="s">
        <v>1376</v>
      </c>
      <c r="AA3546" s="3">
        <v>6.3000001907348597</v>
      </c>
      <c r="AB3546" t="s">
        <v>19724</v>
      </c>
      <c r="AC3546" t="s">
        <v>4562</v>
      </c>
      <c r="AD3546" t="s">
        <v>19725</v>
      </c>
      <c r="AE3546" t="s">
        <v>4655</v>
      </c>
      <c r="AF3546" t="s">
        <v>2180</v>
      </c>
      <c r="AG3546" t="s">
        <v>4584</v>
      </c>
      <c r="AH3546">
        <v>92121</v>
      </c>
      <c r="AI3546" t="s">
        <v>19726</v>
      </c>
      <c r="AJ3546" t="s">
        <v>4655</v>
      </c>
      <c r="AK3546" t="s">
        <v>19739</v>
      </c>
      <c r="AL3546" s="13" t="s">
        <v>1589</v>
      </c>
      <c r="AM3546" s="14">
        <v>0</v>
      </c>
      <c r="AN3546" s="15" t="s">
        <v>19731</v>
      </c>
    </row>
    <row r="3547" spans="1:40" x14ac:dyDescent="0.3">
      <c r="A3547" s="10" t="str">
        <f>HYPERLINK("http://www.washoecounty.gov/assessor/cama/?parid=081-031-33&amp;CardNumber=1","081-031-33")</f>
        <v>081-031-33</v>
      </c>
      <c r="B3547" t="s">
        <v>5502</v>
      </c>
      <c r="C3547" t="s">
        <v>19740</v>
      </c>
      <c r="D3547" s="1">
        <v>40269</v>
      </c>
      <c r="E3547" s="2">
        <v>1850000</v>
      </c>
      <c r="F3547" t="s">
        <v>3584</v>
      </c>
      <c r="G3547" s="17" t="str">
        <f>HYPERLINK("https://www.washoecounty.gov/assessor/cama/?command=sales&amp;parid=08103133","3867025")</f>
        <v>3867025</v>
      </c>
      <c r="H3547" t="s">
        <v>4827</v>
      </c>
      <c r="I3547">
        <v>0</v>
      </c>
      <c r="J3547">
        <v>0</v>
      </c>
      <c r="K3547" t="s">
        <v>4655</v>
      </c>
      <c r="L3547" t="s">
        <v>4655</v>
      </c>
      <c r="M3547" s="2">
        <v>0</v>
      </c>
      <c r="N3547" t="s">
        <v>4655</v>
      </c>
      <c r="O3547">
        <v>0</v>
      </c>
      <c r="P3547">
        <v>0</v>
      </c>
      <c r="Q3547">
        <v>0</v>
      </c>
      <c r="R3547" t="s">
        <v>4655</v>
      </c>
      <c r="S3547" t="s">
        <v>4655</v>
      </c>
      <c r="T3547" t="s">
        <v>4655</v>
      </c>
      <c r="U3547" t="s">
        <v>4655</v>
      </c>
      <c r="V3547" s="2">
        <v>0</v>
      </c>
      <c r="W3547" t="s">
        <v>4655</v>
      </c>
      <c r="X3547" s="2">
        <v>0</v>
      </c>
      <c r="Y3547">
        <v>20</v>
      </c>
      <c r="Z3547" t="s">
        <v>1376</v>
      </c>
      <c r="AA3547" s="3">
        <v>2</v>
      </c>
      <c r="AB3547" t="s">
        <v>19724</v>
      </c>
      <c r="AC3547" t="s">
        <v>4562</v>
      </c>
      <c r="AD3547" t="s">
        <v>19725</v>
      </c>
      <c r="AE3547" t="s">
        <v>4655</v>
      </c>
      <c r="AF3547" t="s">
        <v>2180</v>
      </c>
      <c r="AG3547" t="s">
        <v>4584</v>
      </c>
      <c r="AH3547">
        <v>92121</v>
      </c>
      <c r="AI3547" t="s">
        <v>19733</v>
      </c>
      <c r="AJ3547" t="s">
        <v>4655</v>
      </c>
      <c r="AK3547" t="s">
        <v>19734</v>
      </c>
      <c r="AL3547" s="13" t="s">
        <v>1589</v>
      </c>
      <c r="AM3547" s="14">
        <v>0</v>
      </c>
      <c r="AN3547" s="15" t="s">
        <v>19731</v>
      </c>
    </row>
    <row r="3548" spans="1:40" x14ac:dyDescent="0.3">
      <c r="A3548" s="10" t="str">
        <f>HYPERLINK("http://www.washoecounty.gov/assessor/cama/?parid=081-031-34&amp;CardNumber=1","081-031-34")</f>
        <v>081-031-34</v>
      </c>
      <c r="B3548" t="s">
        <v>5502</v>
      </c>
      <c r="C3548" t="s">
        <v>19741</v>
      </c>
      <c r="D3548" s="1">
        <v>40269</v>
      </c>
      <c r="E3548" s="2">
        <v>1850000</v>
      </c>
      <c r="F3548" t="s">
        <v>3584</v>
      </c>
      <c r="G3548" s="17" t="str">
        <f>HYPERLINK("https://www.washoecounty.gov/assessor/cama/?command=sales&amp;parid=08103134","3867025")</f>
        <v>3867025</v>
      </c>
      <c r="H3548" t="s">
        <v>4827</v>
      </c>
      <c r="I3548">
        <v>0</v>
      </c>
      <c r="J3548">
        <v>0</v>
      </c>
      <c r="K3548" t="s">
        <v>4655</v>
      </c>
      <c r="L3548" t="s">
        <v>4655</v>
      </c>
      <c r="M3548" s="2">
        <v>0</v>
      </c>
      <c r="N3548" t="s">
        <v>4655</v>
      </c>
      <c r="O3548">
        <v>0</v>
      </c>
      <c r="P3548">
        <v>0</v>
      </c>
      <c r="Q3548">
        <v>0</v>
      </c>
      <c r="R3548" t="s">
        <v>4655</v>
      </c>
      <c r="S3548" t="s">
        <v>4655</v>
      </c>
      <c r="T3548" t="s">
        <v>4655</v>
      </c>
      <c r="U3548" t="s">
        <v>4655</v>
      </c>
      <c r="V3548" s="2">
        <v>0</v>
      </c>
      <c r="W3548" t="s">
        <v>4655</v>
      </c>
      <c r="X3548" s="2">
        <v>0</v>
      </c>
      <c r="Y3548">
        <v>33</v>
      </c>
      <c r="Z3548" t="s">
        <v>1376</v>
      </c>
      <c r="AA3548" s="3">
        <v>1.719995379447937</v>
      </c>
      <c r="AB3548" t="s">
        <v>19724</v>
      </c>
      <c r="AC3548" t="s">
        <v>4562</v>
      </c>
      <c r="AD3548" t="s">
        <v>19725</v>
      </c>
      <c r="AE3548" t="s">
        <v>4655</v>
      </c>
      <c r="AF3548" t="s">
        <v>2180</v>
      </c>
      <c r="AG3548" t="s">
        <v>4584</v>
      </c>
      <c r="AH3548">
        <v>92121</v>
      </c>
      <c r="AI3548" t="s">
        <v>19733</v>
      </c>
      <c r="AJ3548" t="s">
        <v>4655</v>
      </c>
      <c r="AK3548" t="s">
        <v>19734</v>
      </c>
      <c r="AL3548" s="13" t="s">
        <v>1589</v>
      </c>
      <c r="AM3548">
        <v>0</v>
      </c>
      <c r="AN3548" s="15" t="s">
        <v>19731</v>
      </c>
    </row>
    <row r="3549" spans="1:40" x14ac:dyDescent="0.3">
      <c r="A3549" s="10" t="str">
        <f>HYPERLINK("http://www.washoecounty.gov/assessor/cama/?parid=081-031-35&amp;CardNumber=1","081-031-35")</f>
        <v>081-031-35</v>
      </c>
      <c r="B3549" t="s">
        <v>4655</v>
      </c>
      <c r="C3549" t="s">
        <v>19742</v>
      </c>
      <c r="D3549" s="1">
        <v>40269</v>
      </c>
      <c r="E3549" s="2">
        <v>1850000</v>
      </c>
      <c r="F3549" t="s">
        <v>3584</v>
      </c>
      <c r="G3549" s="17" t="str">
        <f>HYPERLINK("https://www.washoecounty.gov/assessor/cama/?command=sales&amp;parid=08103135","3867025")</f>
        <v>3867025</v>
      </c>
      <c r="H3549" t="s">
        <v>4715</v>
      </c>
      <c r="I3549">
        <v>0</v>
      </c>
      <c r="J3549">
        <v>0</v>
      </c>
      <c r="K3549" t="s">
        <v>4655</v>
      </c>
      <c r="L3549" t="s">
        <v>4655</v>
      </c>
      <c r="M3549" s="2">
        <v>0</v>
      </c>
      <c r="N3549" t="s">
        <v>4655</v>
      </c>
      <c r="O3549">
        <v>0</v>
      </c>
      <c r="P3549">
        <v>0</v>
      </c>
      <c r="Q3549">
        <v>0</v>
      </c>
      <c r="R3549" t="s">
        <v>4655</v>
      </c>
      <c r="S3549" t="s">
        <v>4655</v>
      </c>
      <c r="T3549" t="s">
        <v>4655</v>
      </c>
      <c r="U3549" t="s">
        <v>4655</v>
      </c>
      <c r="V3549" s="2">
        <v>0</v>
      </c>
      <c r="W3549" t="s">
        <v>4655</v>
      </c>
      <c r="X3549" s="2">
        <v>0</v>
      </c>
      <c r="Y3549">
        <v>12</v>
      </c>
      <c r="Z3549" t="s">
        <v>1376</v>
      </c>
      <c r="AA3549" s="3">
        <v>0.83000457286834695</v>
      </c>
      <c r="AB3549" t="s">
        <v>19724</v>
      </c>
      <c r="AC3549" t="s">
        <v>4562</v>
      </c>
      <c r="AD3549" t="s">
        <v>19725</v>
      </c>
      <c r="AE3549" t="s">
        <v>4655</v>
      </c>
      <c r="AF3549" t="s">
        <v>2180</v>
      </c>
      <c r="AG3549" t="s">
        <v>4584</v>
      </c>
      <c r="AH3549">
        <v>92121</v>
      </c>
      <c r="AI3549" t="s">
        <v>2009</v>
      </c>
      <c r="AJ3549" t="s">
        <v>4655</v>
      </c>
      <c r="AK3549" t="s">
        <v>19730</v>
      </c>
      <c r="AL3549" s="13" t="s">
        <v>1589</v>
      </c>
      <c r="AM3549">
        <v>0</v>
      </c>
      <c r="AN3549" s="15" t="s">
        <v>19731</v>
      </c>
    </row>
    <row r="3550" spans="1:40" x14ac:dyDescent="0.3">
      <c r="A3550" s="10" t="str">
        <f>HYPERLINK("http://www.washoecounty.gov/assessor/cama/?parid=081-031-40&amp;CardNumber=1","081-031-40")</f>
        <v>081-031-40</v>
      </c>
      <c r="B3550" t="s">
        <v>4655</v>
      </c>
      <c r="C3550" t="s">
        <v>19743</v>
      </c>
      <c r="D3550" s="1">
        <v>40269</v>
      </c>
      <c r="E3550" s="2">
        <v>1850000</v>
      </c>
      <c r="F3550" t="s">
        <v>3584</v>
      </c>
      <c r="G3550" s="17" t="str">
        <f>HYPERLINK("https://www.washoecounty.gov/assessor/cama/?command=sales&amp;parid=08103140","3867025")</f>
        <v>3867025</v>
      </c>
      <c r="H3550" t="s">
        <v>5399</v>
      </c>
      <c r="I3550">
        <v>0</v>
      </c>
      <c r="J3550">
        <v>0</v>
      </c>
      <c r="K3550" t="s">
        <v>4655</v>
      </c>
      <c r="L3550" t="s">
        <v>4655</v>
      </c>
      <c r="M3550" s="2">
        <v>0</v>
      </c>
      <c r="N3550" t="s">
        <v>4655</v>
      </c>
      <c r="O3550">
        <v>0</v>
      </c>
      <c r="P3550">
        <v>0</v>
      </c>
      <c r="Q3550">
        <v>0</v>
      </c>
      <c r="R3550" t="s">
        <v>4655</v>
      </c>
      <c r="S3550" t="s">
        <v>4655</v>
      </c>
      <c r="T3550" t="s">
        <v>4655</v>
      </c>
      <c r="U3550" t="s">
        <v>4655</v>
      </c>
      <c r="V3550" s="2">
        <v>0</v>
      </c>
      <c r="W3550" t="s">
        <v>4655</v>
      </c>
      <c r="X3550" s="2">
        <v>0</v>
      </c>
      <c r="Y3550">
        <v>12</v>
      </c>
      <c r="Z3550" t="s">
        <v>1376</v>
      </c>
      <c r="AA3550" s="3">
        <v>1.7699954509735101</v>
      </c>
      <c r="AB3550" t="s">
        <v>19724</v>
      </c>
      <c r="AC3550" t="s">
        <v>4562</v>
      </c>
      <c r="AD3550" t="s">
        <v>19725</v>
      </c>
      <c r="AE3550" t="s">
        <v>4655</v>
      </c>
      <c r="AF3550" t="s">
        <v>2180</v>
      </c>
      <c r="AG3550" t="s">
        <v>4584</v>
      </c>
      <c r="AH3550">
        <v>92121</v>
      </c>
      <c r="AI3550" t="s">
        <v>19733</v>
      </c>
      <c r="AJ3550" t="s">
        <v>4655</v>
      </c>
      <c r="AK3550" t="s">
        <v>19734</v>
      </c>
      <c r="AL3550" s="13" t="s">
        <v>1589</v>
      </c>
      <c r="AM3550">
        <v>0</v>
      </c>
      <c r="AN3550" s="15" t="s">
        <v>19731</v>
      </c>
    </row>
    <row r="3551" spans="1:40" x14ac:dyDescent="0.3">
      <c r="A3551" s="10" t="str">
        <f>HYPERLINK("http://www.washoecounty.gov/assessor/cama/?parid=081-031-48&amp;CardNumber=1","081-031-48")</f>
        <v>081-031-48</v>
      </c>
      <c r="B3551" t="s">
        <v>4655</v>
      </c>
      <c r="C3551" t="s">
        <v>19744</v>
      </c>
      <c r="D3551" s="1">
        <v>40269</v>
      </c>
      <c r="E3551" s="2">
        <v>1850000</v>
      </c>
      <c r="F3551" t="s">
        <v>3584</v>
      </c>
      <c r="G3551" s="17" t="str">
        <f>HYPERLINK("https://www.washoecounty.gov/assessor/cama/?command=sales&amp;parid=08103148","3867025")</f>
        <v>3867025</v>
      </c>
      <c r="H3551" t="s">
        <v>4827</v>
      </c>
      <c r="I3551">
        <v>0</v>
      </c>
      <c r="J3551">
        <v>0</v>
      </c>
      <c r="K3551" t="s">
        <v>4655</v>
      </c>
      <c r="L3551" t="s">
        <v>4655</v>
      </c>
      <c r="M3551" s="2">
        <v>0</v>
      </c>
      <c r="N3551" t="s">
        <v>4655</v>
      </c>
      <c r="O3551">
        <v>0</v>
      </c>
      <c r="P3551">
        <v>0</v>
      </c>
      <c r="Q3551">
        <v>0</v>
      </c>
      <c r="R3551" t="s">
        <v>4655</v>
      </c>
      <c r="S3551" t="s">
        <v>4655</v>
      </c>
      <c r="T3551" t="s">
        <v>4655</v>
      </c>
      <c r="U3551" t="s">
        <v>4655</v>
      </c>
      <c r="V3551" s="2">
        <v>0</v>
      </c>
      <c r="W3551" t="s">
        <v>4655</v>
      </c>
      <c r="X3551" s="2">
        <v>0</v>
      </c>
      <c r="Y3551">
        <v>20</v>
      </c>
      <c r="Z3551" t="s">
        <v>1376</v>
      </c>
      <c r="AA3551" s="3">
        <v>1.6699954271316528</v>
      </c>
      <c r="AB3551" t="s">
        <v>19724</v>
      </c>
      <c r="AC3551" t="s">
        <v>4562</v>
      </c>
      <c r="AD3551" t="s">
        <v>19725</v>
      </c>
      <c r="AE3551" t="s">
        <v>4655</v>
      </c>
      <c r="AF3551" t="s">
        <v>2180</v>
      </c>
      <c r="AG3551" t="s">
        <v>4584</v>
      </c>
      <c r="AH3551">
        <v>92121</v>
      </c>
      <c r="AI3551" t="s">
        <v>19733</v>
      </c>
      <c r="AJ3551" t="s">
        <v>4655</v>
      </c>
      <c r="AK3551" t="s">
        <v>19734</v>
      </c>
      <c r="AL3551" s="13" t="s">
        <v>1589</v>
      </c>
      <c r="AM3551">
        <v>0</v>
      </c>
      <c r="AN3551" s="15" t="s">
        <v>19731</v>
      </c>
    </row>
    <row r="3552" spans="1:40" x14ac:dyDescent="0.3">
      <c r="A3552" s="10" t="str">
        <f>HYPERLINK("http://www.washoecounty.gov/assessor/cama/?parid=081-031-49&amp;CardNumber=1","081-031-49")</f>
        <v>081-031-49</v>
      </c>
      <c r="B3552" t="s">
        <v>5502</v>
      </c>
      <c r="C3552" t="s">
        <v>19745</v>
      </c>
      <c r="D3552" s="1">
        <v>40269</v>
      </c>
      <c r="E3552" s="2">
        <v>1850000</v>
      </c>
      <c r="F3552" t="s">
        <v>3584</v>
      </c>
      <c r="G3552" s="17" t="str">
        <f>HYPERLINK("https://www.washoecounty.gov/assessor/cama/?command=sales&amp;parid=08103149","3867025")</f>
        <v>3867025</v>
      </c>
      <c r="H3552" t="s">
        <v>4827</v>
      </c>
      <c r="I3552">
        <v>0</v>
      </c>
      <c r="J3552">
        <v>0</v>
      </c>
      <c r="K3552" t="s">
        <v>4655</v>
      </c>
      <c r="L3552" t="s">
        <v>4655</v>
      </c>
      <c r="M3552" s="2">
        <v>0</v>
      </c>
      <c r="N3552" t="s">
        <v>4655</v>
      </c>
      <c r="O3552">
        <v>0</v>
      </c>
      <c r="P3552">
        <v>0</v>
      </c>
      <c r="Q3552">
        <v>0</v>
      </c>
      <c r="R3552" t="s">
        <v>4655</v>
      </c>
      <c r="S3552" t="s">
        <v>4655</v>
      </c>
      <c r="T3552" t="s">
        <v>4655</v>
      </c>
      <c r="U3552" t="s">
        <v>4655</v>
      </c>
      <c r="V3552" s="2">
        <v>0</v>
      </c>
      <c r="W3552" t="s">
        <v>4655</v>
      </c>
      <c r="X3552" s="2">
        <v>0</v>
      </c>
      <c r="Y3552">
        <v>33</v>
      </c>
      <c r="Z3552" t="s">
        <v>1376</v>
      </c>
      <c r="AA3552" s="3">
        <v>5.25</v>
      </c>
      <c r="AB3552" t="s">
        <v>19724</v>
      </c>
      <c r="AC3552" t="s">
        <v>4562</v>
      </c>
      <c r="AD3552" t="s">
        <v>19725</v>
      </c>
      <c r="AE3552" t="s">
        <v>4655</v>
      </c>
      <c r="AF3552" t="s">
        <v>2180</v>
      </c>
      <c r="AG3552" t="s">
        <v>4584</v>
      </c>
      <c r="AH3552">
        <v>92121</v>
      </c>
      <c r="AI3552" t="s">
        <v>19733</v>
      </c>
      <c r="AJ3552" t="s">
        <v>4655</v>
      </c>
      <c r="AK3552" t="s">
        <v>19734</v>
      </c>
      <c r="AL3552" s="13" t="s">
        <v>1589</v>
      </c>
      <c r="AM3552">
        <v>0</v>
      </c>
      <c r="AN3552" s="15" t="s">
        <v>19731</v>
      </c>
    </row>
    <row r="3553" spans="1:40" x14ac:dyDescent="0.3">
      <c r="A3553" s="10" t="str">
        <f>HYPERLINK("http://www.washoecounty.gov/assessor/cama/?parid=081-031-50&amp;CardNumber=1","081-031-50")</f>
        <v>081-031-50</v>
      </c>
      <c r="B3553" t="s">
        <v>4655</v>
      </c>
      <c r="C3553" t="s">
        <v>318</v>
      </c>
      <c r="D3553" s="1">
        <v>40417</v>
      </c>
      <c r="E3553" s="2">
        <v>1000</v>
      </c>
      <c r="F3553" t="s">
        <v>3528</v>
      </c>
      <c r="G3553" s="17" t="str">
        <f>HYPERLINK("https://www.washoecounty.gov/assessor/cama/?command=sales&amp;parid=08103150","3916570")</f>
        <v>3916570</v>
      </c>
      <c r="H3553" t="s">
        <v>4655</v>
      </c>
      <c r="I3553">
        <v>0</v>
      </c>
      <c r="J3553">
        <v>0</v>
      </c>
      <c r="K3553" t="s">
        <v>4655</v>
      </c>
      <c r="L3553" t="s">
        <v>4655</v>
      </c>
      <c r="M3553" s="2">
        <v>0</v>
      </c>
      <c r="N3553" t="s">
        <v>4655</v>
      </c>
      <c r="O3553">
        <v>0</v>
      </c>
      <c r="P3553">
        <v>0</v>
      </c>
      <c r="Q3553">
        <v>0</v>
      </c>
      <c r="R3553" t="s">
        <v>4655</v>
      </c>
      <c r="S3553" t="s">
        <v>4655</v>
      </c>
      <c r="T3553" t="s">
        <v>4655</v>
      </c>
      <c r="U3553" t="s">
        <v>4655</v>
      </c>
      <c r="V3553" s="2">
        <v>0</v>
      </c>
      <c r="W3553" t="s">
        <v>4655</v>
      </c>
      <c r="X3553" s="2">
        <v>0</v>
      </c>
      <c r="Y3553">
        <v>24</v>
      </c>
      <c r="Z3553" t="s">
        <v>3789</v>
      </c>
      <c r="AA3553" s="3">
        <v>9.4300003051757795</v>
      </c>
      <c r="AB3553" t="s">
        <v>19746</v>
      </c>
      <c r="AC3553" t="s">
        <v>4562</v>
      </c>
      <c r="AD3553" t="s">
        <v>19747</v>
      </c>
      <c r="AE3553" t="s">
        <v>4655</v>
      </c>
      <c r="AF3553" t="s">
        <v>4563</v>
      </c>
      <c r="AG3553" t="s">
        <v>4564</v>
      </c>
      <c r="AH3553" t="s">
        <v>5197</v>
      </c>
      <c r="AI3553" t="s">
        <v>19746</v>
      </c>
      <c r="AJ3553" t="s">
        <v>4655</v>
      </c>
      <c r="AK3553" t="s">
        <v>19739</v>
      </c>
      <c r="AL3553" s="13" t="s">
        <v>1589</v>
      </c>
      <c r="AM3553">
        <v>0</v>
      </c>
      <c r="AN3553" s="15" t="s">
        <v>19748</v>
      </c>
    </row>
    <row r="3554" spans="1:40" x14ac:dyDescent="0.3">
      <c r="A3554" s="10" t="str">
        <f>HYPERLINK("http://www.washoecounty.gov/assessor/cama/?parid=081-150-03&amp;CardNumber=1","081-150-03")</f>
        <v>081-150-03</v>
      </c>
      <c r="B3554" t="s">
        <v>4655</v>
      </c>
      <c r="C3554" t="s">
        <v>318</v>
      </c>
      <c r="D3554" s="1">
        <v>40539</v>
      </c>
      <c r="E3554" s="2">
        <v>15000</v>
      </c>
      <c r="F3554" t="s">
        <v>3528</v>
      </c>
      <c r="G3554" s="17" t="str">
        <f>HYPERLINK("https://www.washoecounty.gov/assessor/cama/?command=sales&amp;parid=08115003","3957343")</f>
        <v>3957343</v>
      </c>
      <c r="H3554" t="s">
        <v>19749</v>
      </c>
      <c r="I3554">
        <v>0</v>
      </c>
      <c r="J3554">
        <v>0</v>
      </c>
      <c r="K3554" t="s">
        <v>4655</v>
      </c>
      <c r="L3554" t="s">
        <v>4655</v>
      </c>
      <c r="M3554" s="2">
        <v>0</v>
      </c>
      <c r="N3554" t="s">
        <v>4655</v>
      </c>
      <c r="O3554">
        <v>0</v>
      </c>
      <c r="P3554">
        <v>0</v>
      </c>
      <c r="Q3554">
        <v>0</v>
      </c>
      <c r="R3554" t="s">
        <v>4655</v>
      </c>
      <c r="S3554" t="s">
        <v>4655</v>
      </c>
      <c r="T3554" t="s">
        <v>4655</v>
      </c>
      <c r="U3554" t="s">
        <v>4655</v>
      </c>
      <c r="V3554" s="2">
        <v>0</v>
      </c>
      <c r="W3554" t="s">
        <v>4655</v>
      </c>
      <c r="X3554" s="2">
        <v>0</v>
      </c>
      <c r="Y3554">
        <v>12</v>
      </c>
      <c r="Z3554" t="s">
        <v>3668</v>
      </c>
      <c r="AA3554" s="3">
        <v>40.069999694824197</v>
      </c>
      <c r="AB3554" t="s">
        <v>19750</v>
      </c>
      <c r="AC3554" t="s">
        <v>4575</v>
      </c>
      <c r="AD3554" t="s">
        <v>19751</v>
      </c>
      <c r="AE3554" t="s">
        <v>4655</v>
      </c>
      <c r="AF3554" t="s">
        <v>1407</v>
      </c>
      <c r="AG3554" t="s">
        <v>4564</v>
      </c>
      <c r="AH3554">
        <v>89703</v>
      </c>
      <c r="AI3554" t="s">
        <v>19752</v>
      </c>
      <c r="AJ3554" t="s">
        <v>4655</v>
      </c>
      <c r="AK3554" t="s">
        <v>19753</v>
      </c>
      <c r="AL3554" s="13" t="s">
        <v>38882</v>
      </c>
      <c r="AM3554" s="14">
        <v>0</v>
      </c>
      <c r="AN3554" s="15" t="s">
        <v>5661</v>
      </c>
    </row>
    <row r="3555" spans="1:40" x14ac:dyDescent="0.3">
      <c r="A3555" s="10" t="str">
        <f>HYPERLINK("http://www.washoecounty.gov/assessor/cama/?parid=081-181-13&amp;CardNumber=1","081-181-13")</f>
        <v>081-181-13</v>
      </c>
      <c r="B3555" t="s">
        <v>4655</v>
      </c>
      <c r="C3555" t="s">
        <v>19754</v>
      </c>
      <c r="D3555" s="1">
        <v>40294</v>
      </c>
      <c r="E3555" s="2">
        <v>115000</v>
      </c>
      <c r="F3555" t="s">
        <v>4567</v>
      </c>
      <c r="G3555" s="17" t="str">
        <f>HYPERLINK("https://www.washoecounty.gov/assessor/cama/?command=sales&amp;parid=08118113","3874501")</f>
        <v>3874501</v>
      </c>
      <c r="H3555" t="s">
        <v>3475</v>
      </c>
      <c r="I3555">
        <v>1984</v>
      </c>
      <c r="J3555">
        <v>1984</v>
      </c>
      <c r="K3555" t="s">
        <v>4847</v>
      </c>
      <c r="L3555" t="s">
        <v>4555</v>
      </c>
      <c r="M3555" s="2">
        <v>1152</v>
      </c>
      <c r="N3555" t="s">
        <v>4048</v>
      </c>
      <c r="O3555">
        <v>3</v>
      </c>
      <c r="P3555">
        <v>2</v>
      </c>
      <c r="Q3555">
        <v>0</v>
      </c>
      <c r="R3555" t="s">
        <v>4557</v>
      </c>
      <c r="S3555" t="s">
        <v>4558</v>
      </c>
      <c r="T3555" t="s">
        <v>4559</v>
      </c>
      <c r="U3555" t="s">
        <v>4655</v>
      </c>
      <c r="V3555" s="2">
        <v>0</v>
      </c>
      <c r="W3555" t="s">
        <v>4655</v>
      </c>
      <c r="X3555" s="2">
        <v>0</v>
      </c>
      <c r="Y3555">
        <v>22</v>
      </c>
      <c r="Z3555" t="s">
        <v>3884</v>
      </c>
      <c r="AA3555" s="3">
        <v>1.2800046205520601</v>
      </c>
      <c r="AB3555" t="s">
        <v>19755</v>
      </c>
      <c r="AC3555" t="s">
        <v>4562</v>
      </c>
      <c r="AD3555" t="s">
        <v>19756</v>
      </c>
      <c r="AE3555" t="s">
        <v>4655</v>
      </c>
      <c r="AF3555" t="s">
        <v>4563</v>
      </c>
      <c r="AG3555" t="s">
        <v>4564</v>
      </c>
      <c r="AH3555">
        <v>89508</v>
      </c>
      <c r="AI3555" t="s">
        <v>19757</v>
      </c>
      <c r="AJ3555" t="s">
        <v>4655</v>
      </c>
      <c r="AK3555" t="s">
        <v>19758</v>
      </c>
      <c r="AL3555" s="13" t="s">
        <v>3428</v>
      </c>
      <c r="AM3555">
        <v>1</v>
      </c>
      <c r="AN3555" s="15" t="s">
        <v>2102</v>
      </c>
    </row>
    <row r="3556" spans="1:40" x14ac:dyDescent="0.3">
      <c r="A3556" s="10" t="str">
        <f>HYPERLINK("http://www.washoecounty.gov/assessor/cama/?parid=081-192-01&amp;CardNumber=1","081-192-01")</f>
        <v>081-192-01</v>
      </c>
      <c r="B3556" t="s">
        <v>4655</v>
      </c>
      <c r="C3556" t="s">
        <v>19759</v>
      </c>
      <c r="D3556" s="1">
        <v>40449</v>
      </c>
      <c r="E3556" s="2">
        <v>70000</v>
      </c>
      <c r="F3556" t="s">
        <v>4553</v>
      </c>
      <c r="G3556" s="17" t="str">
        <f>HYPERLINK("https://www.washoecounty.gov/assessor/cama/?command=sales&amp;parid=08119201","3926995")</f>
        <v>3926995</v>
      </c>
      <c r="H3556" t="s">
        <v>19760</v>
      </c>
      <c r="I3556">
        <v>1978</v>
      </c>
      <c r="J3556">
        <v>1978</v>
      </c>
      <c r="K3556" t="s">
        <v>1243</v>
      </c>
      <c r="L3556" t="s">
        <v>4655</v>
      </c>
      <c r="M3556" s="2">
        <v>0</v>
      </c>
      <c r="N3556" t="s">
        <v>4655</v>
      </c>
      <c r="O3556">
        <v>0</v>
      </c>
      <c r="P3556">
        <v>0</v>
      </c>
      <c r="Q3556">
        <v>0</v>
      </c>
      <c r="R3556" t="s">
        <v>4655</v>
      </c>
      <c r="S3556" t="s">
        <v>4655</v>
      </c>
      <c r="T3556" t="s">
        <v>4655</v>
      </c>
      <c r="U3556" t="s">
        <v>4655</v>
      </c>
      <c r="V3556" s="2">
        <v>0</v>
      </c>
      <c r="W3556" t="s">
        <v>4655</v>
      </c>
      <c r="X3556" s="2">
        <v>0</v>
      </c>
      <c r="Y3556">
        <v>23</v>
      </c>
      <c r="Z3556" t="s">
        <v>3884</v>
      </c>
      <c r="AA3556" s="3">
        <v>0.96000915765762296</v>
      </c>
      <c r="AB3556" t="s">
        <v>19761</v>
      </c>
      <c r="AC3556" t="s">
        <v>4562</v>
      </c>
      <c r="AD3556" t="s">
        <v>19762</v>
      </c>
      <c r="AE3556" t="s">
        <v>4655</v>
      </c>
      <c r="AF3556" t="s">
        <v>4563</v>
      </c>
      <c r="AG3556" t="s">
        <v>4564</v>
      </c>
      <c r="AH3556">
        <v>89506</v>
      </c>
      <c r="AI3556" t="s">
        <v>19763</v>
      </c>
      <c r="AJ3556" t="s">
        <v>4655</v>
      </c>
      <c r="AK3556" t="s">
        <v>19764</v>
      </c>
      <c r="AL3556" s="13" t="s">
        <v>3428</v>
      </c>
      <c r="AM3556" s="14">
        <v>1</v>
      </c>
      <c r="AN3556" s="15" t="s">
        <v>2102</v>
      </c>
    </row>
    <row r="3557" spans="1:40" x14ac:dyDescent="0.3">
      <c r="A3557" s="10" t="str">
        <f>HYPERLINK("http://www.washoecounty.gov/assessor/cama/?parid=081-192-11&amp;CardNumber=1","081-192-11")</f>
        <v>081-192-11</v>
      </c>
      <c r="B3557" t="s">
        <v>4655</v>
      </c>
      <c r="C3557" t="s">
        <v>19765</v>
      </c>
      <c r="D3557" s="1">
        <v>40205</v>
      </c>
      <c r="E3557" s="2">
        <v>137000</v>
      </c>
      <c r="F3557" t="s">
        <v>4553</v>
      </c>
      <c r="G3557" s="17" t="str">
        <f>HYPERLINK("https://www.washoecounty.gov/assessor/cama/?command=sales&amp;parid=08119211","3843068")</f>
        <v>3843068</v>
      </c>
      <c r="H3557" t="s">
        <v>19766</v>
      </c>
      <c r="I3557">
        <v>1963</v>
      </c>
      <c r="J3557">
        <v>1966</v>
      </c>
      <c r="K3557" t="s">
        <v>4554</v>
      </c>
      <c r="L3557" t="s">
        <v>2170</v>
      </c>
      <c r="M3557" s="2">
        <v>2212</v>
      </c>
      <c r="N3557" t="s">
        <v>4048</v>
      </c>
      <c r="O3557">
        <v>3</v>
      </c>
      <c r="P3557">
        <v>3</v>
      </c>
      <c r="Q3557">
        <v>0</v>
      </c>
      <c r="R3557" t="s">
        <v>4557</v>
      </c>
      <c r="S3557" t="s">
        <v>4558</v>
      </c>
      <c r="T3557" t="s">
        <v>4143</v>
      </c>
      <c r="U3557" t="s">
        <v>4655</v>
      </c>
      <c r="V3557" s="2">
        <v>0</v>
      </c>
      <c r="W3557" t="s">
        <v>4655</v>
      </c>
      <c r="X3557" s="2">
        <v>0</v>
      </c>
      <c r="Y3557">
        <v>20</v>
      </c>
      <c r="Z3557" t="s">
        <v>3884</v>
      </c>
      <c r="AA3557" s="3">
        <v>1</v>
      </c>
      <c r="AB3557" t="s">
        <v>19767</v>
      </c>
      <c r="AC3557" t="s">
        <v>4562</v>
      </c>
      <c r="AD3557" t="s">
        <v>19765</v>
      </c>
      <c r="AE3557" t="s">
        <v>4655</v>
      </c>
      <c r="AF3557" t="s">
        <v>4563</v>
      </c>
      <c r="AG3557" t="s">
        <v>4564</v>
      </c>
      <c r="AH3557">
        <v>89506</v>
      </c>
      <c r="AI3557" t="s">
        <v>4045</v>
      </c>
      <c r="AJ3557" t="s">
        <v>4655</v>
      </c>
      <c r="AK3557" t="s">
        <v>19768</v>
      </c>
      <c r="AL3557" s="13" t="s">
        <v>3428</v>
      </c>
      <c r="AM3557" s="14">
        <v>1</v>
      </c>
      <c r="AN3557" s="15" t="s">
        <v>2102</v>
      </c>
    </row>
    <row r="3558" spans="1:40" x14ac:dyDescent="0.3">
      <c r="A3558" s="10" t="str">
        <f>HYPERLINK("http://www.washoecounty.gov/assessor/cama/?parid=081-202-03&amp;CardNumber=1","081-202-03")</f>
        <v>081-202-03</v>
      </c>
      <c r="B3558" t="s">
        <v>4655</v>
      </c>
      <c r="C3558" t="s">
        <v>19769</v>
      </c>
      <c r="D3558" s="1">
        <v>40340</v>
      </c>
      <c r="E3558" s="2">
        <v>253000</v>
      </c>
      <c r="F3558" t="s">
        <v>4567</v>
      </c>
      <c r="G3558" s="17" t="str">
        <f>HYPERLINK("https://www.washoecounty.gov/assessor/cama/?command=sales&amp;parid=08120203","3890835")</f>
        <v>3890835</v>
      </c>
      <c r="H3558" t="s">
        <v>19770</v>
      </c>
      <c r="I3558">
        <v>1982</v>
      </c>
      <c r="J3558">
        <v>1982</v>
      </c>
      <c r="K3558" t="s">
        <v>4554</v>
      </c>
      <c r="L3558" t="s">
        <v>4555</v>
      </c>
      <c r="M3558" s="2">
        <v>1628</v>
      </c>
      <c r="N3558" t="s">
        <v>4556</v>
      </c>
      <c r="O3558">
        <v>3</v>
      </c>
      <c r="P3558">
        <v>2</v>
      </c>
      <c r="Q3558">
        <v>0</v>
      </c>
      <c r="R3558" t="s">
        <v>4557</v>
      </c>
      <c r="S3558" t="s">
        <v>4558</v>
      </c>
      <c r="T3558" t="s">
        <v>4559</v>
      </c>
      <c r="U3558" t="s">
        <v>162</v>
      </c>
      <c r="V3558" s="2">
        <v>2648</v>
      </c>
      <c r="W3558" t="s">
        <v>4655</v>
      </c>
      <c r="X3558" s="2">
        <v>0</v>
      </c>
      <c r="Y3558">
        <v>20</v>
      </c>
      <c r="Z3558" t="s">
        <v>3884</v>
      </c>
      <c r="AA3558" s="3">
        <v>1.01000916957855</v>
      </c>
      <c r="AB3558" t="s">
        <v>19771</v>
      </c>
      <c r="AC3558" t="s">
        <v>4562</v>
      </c>
      <c r="AD3558" t="s">
        <v>19769</v>
      </c>
      <c r="AE3558" t="s">
        <v>4655</v>
      </c>
      <c r="AF3558" t="s">
        <v>4563</v>
      </c>
      <c r="AG3558" t="s">
        <v>4564</v>
      </c>
      <c r="AH3558">
        <v>89506</v>
      </c>
      <c r="AI3558" t="s">
        <v>19772</v>
      </c>
      <c r="AJ3558" t="s">
        <v>4655</v>
      </c>
      <c r="AK3558" t="s">
        <v>19773</v>
      </c>
      <c r="AL3558" s="13" t="s">
        <v>3428</v>
      </c>
      <c r="AM3558">
        <v>1</v>
      </c>
      <c r="AN3558" s="15" t="s">
        <v>2102</v>
      </c>
    </row>
    <row r="3559" spans="1:40" x14ac:dyDescent="0.3">
      <c r="A3559" s="10" t="str">
        <f>HYPERLINK("http://www.washoecounty.gov/assessor/cama/?parid=081-204-07&amp;CardNumber=1","081-204-07")</f>
        <v>081-204-07</v>
      </c>
      <c r="B3559" t="s">
        <v>4655</v>
      </c>
      <c r="C3559" t="s">
        <v>19774</v>
      </c>
      <c r="D3559" s="1">
        <v>40225</v>
      </c>
      <c r="E3559" s="2">
        <v>47500</v>
      </c>
      <c r="F3559" t="s">
        <v>4553</v>
      </c>
      <c r="G3559" s="17" t="str">
        <f>HYPERLINK("https://www.washoecounty.gov/assessor/cama/?command=sales&amp;parid=08120407","3849682")</f>
        <v>3849682</v>
      </c>
      <c r="H3559" t="s">
        <v>19775</v>
      </c>
      <c r="I3559">
        <v>2002</v>
      </c>
      <c r="J3559">
        <v>2002</v>
      </c>
      <c r="K3559" t="s">
        <v>4847</v>
      </c>
      <c r="L3559" t="s">
        <v>4555</v>
      </c>
      <c r="M3559" s="2">
        <v>1296</v>
      </c>
      <c r="N3559" t="s">
        <v>5280</v>
      </c>
      <c r="O3559">
        <v>3</v>
      </c>
      <c r="P3559">
        <v>2</v>
      </c>
      <c r="Q3559">
        <v>0</v>
      </c>
      <c r="R3559" t="s">
        <v>4557</v>
      </c>
      <c r="S3559" t="s">
        <v>4558</v>
      </c>
      <c r="T3559" t="s">
        <v>4559</v>
      </c>
      <c r="U3559" t="s">
        <v>4655</v>
      </c>
      <c r="V3559" s="2">
        <v>0</v>
      </c>
      <c r="W3559" t="s">
        <v>4655</v>
      </c>
      <c r="X3559" s="2">
        <v>0</v>
      </c>
      <c r="Y3559">
        <v>22</v>
      </c>
      <c r="Z3559" t="s">
        <v>5508</v>
      </c>
      <c r="AA3559" s="3">
        <v>1.10192835330963</v>
      </c>
      <c r="AB3559" t="s">
        <v>19776</v>
      </c>
      <c r="AC3559" t="s">
        <v>4562</v>
      </c>
      <c r="AD3559" t="s">
        <v>19774</v>
      </c>
      <c r="AE3559" t="s">
        <v>4655</v>
      </c>
      <c r="AF3559" t="s">
        <v>4563</v>
      </c>
      <c r="AG3559" t="s">
        <v>4564</v>
      </c>
      <c r="AH3559">
        <v>89508</v>
      </c>
      <c r="AI3559" t="s">
        <v>4848</v>
      </c>
      <c r="AJ3559" t="s">
        <v>19777</v>
      </c>
      <c r="AK3559" t="s">
        <v>19778</v>
      </c>
      <c r="AL3559" s="13" t="s">
        <v>3428</v>
      </c>
      <c r="AM3559">
        <v>1</v>
      </c>
      <c r="AN3559" s="15" t="s">
        <v>2102</v>
      </c>
    </row>
    <row r="3560" spans="1:40" x14ac:dyDescent="0.3">
      <c r="A3560" s="10" t="str">
        <f>HYPERLINK("http://www.washoecounty.gov/assessor/cama/?parid=081-204-08&amp;CardNumber=1","081-204-08")</f>
        <v>081-204-08</v>
      </c>
      <c r="B3560" t="s">
        <v>4655</v>
      </c>
      <c r="C3560" t="s">
        <v>19779</v>
      </c>
      <c r="D3560" s="1">
        <v>40515</v>
      </c>
      <c r="E3560" s="2">
        <v>85900</v>
      </c>
      <c r="F3560" t="s">
        <v>4553</v>
      </c>
      <c r="G3560" s="17" t="str">
        <f>HYPERLINK("https://www.washoecounty.gov/assessor/cama/?command=sales&amp;parid=08120408","3948949")</f>
        <v>3948949</v>
      </c>
      <c r="H3560" t="s">
        <v>19775</v>
      </c>
      <c r="I3560">
        <v>2004</v>
      </c>
      <c r="J3560">
        <v>2004</v>
      </c>
      <c r="K3560" t="s">
        <v>4847</v>
      </c>
      <c r="L3560" t="s">
        <v>4555</v>
      </c>
      <c r="M3560" s="2">
        <v>1512</v>
      </c>
      <c r="N3560" t="s">
        <v>3147</v>
      </c>
      <c r="O3560">
        <v>4</v>
      </c>
      <c r="P3560">
        <v>2</v>
      </c>
      <c r="Q3560">
        <v>0</v>
      </c>
      <c r="R3560" t="s">
        <v>5281</v>
      </c>
      <c r="S3560" t="s">
        <v>4558</v>
      </c>
      <c r="T3560" t="s">
        <v>4559</v>
      </c>
      <c r="U3560" t="s">
        <v>4655</v>
      </c>
      <c r="V3560" s="2">
        <v>0</v>
      </c>
      <c r="W3560" t="s">
        <v>4655</v>
      </c>
      <c r="X3560" s="2">
        <v>0</v>
      </c>
      <c r="Y3560">
        <v>22</v>
      </c>
      <c r="Z3560" t="s">
        <v>5508</v>
      </c>
      <c r="AA3560" s="3">
        <v>1.10192835330963</v>
      </c>
      <c r="AB3560" t="s">
        <v>19780</v>
      </c>
      <c r="AC3560" t="s">
        <v>4562</v>
      </c>
      <c r="AD3560" t="s">
        <v>19781</v>
      </c>
      <c r="AE3560" t="s">
        <v>4655</v>
      </c>
      <c r="AF3560" t="s">
        <v>4563</v>
      </c>
      <c r="AG3560" t="s">
        <v>4564</v>
      </c>
      <c r="AH3560">
        <v>89508</v>
      </c>
      <c r="AI3560" t="s">
        <v>4848</v>
      </c>
      <c r="AJ3560" t="s">
        <v>19777</v>
      </c>
      <c r="AK3560" t="s">
        <v>19782</v>
      </c>
      <c r="AL3560" s="13" t="s">
        <v>3428</v>
      </c>
      <c r="AM3560">
        <v>1</v>
      </c>
      <c r="AN3560" s="15" t="s">
        <v>2102</v>
      </c>
    </row>
    <row r="3561" spans="1:40" x14ac:dyDescent="0.3">
      <c r="A3561" s="10" t="str">
        <f>HYPERLINK("http://www.washoecounty.gov/assessor/cama/?parid=082-051-55&amp;CardNumber=1","082-051-55")</f>
        <v>082-051-55</v>
      </c>
      <c r="B3561" t="s">
        <v>4655</v>
      </c>
      <c r="C3561" t="s">
        <v>19783</v>
      </c>
      <c r="D3561" s="1">
        <v>40261</v>
      </c>
      <c r="E3561" s="2">
        <v>148000</v>
      </c>
      <c r="F3561" t="s">
        <v>4567</v>
      </c>
      <c r="G3561" s="17" t="str">
        <f>HYPERLINK("https://www.washoecounty.gov/assessor/cama/?command=sales&amp;parid=08205155","3863450")</f>
        <v>3863450</v>
      </c>
      <c r="H3561" t="s">
        <v>19784</v>
      </c>
      <c r="I3561">
        <v>1990</v>
      </c>
      <c r="J3561">
        <v>1990</v>
      </c>
      <c r="K3561" t="s">
        <v>4554</v>
      </c>
      <c r="L3561" t="s">
        <v>4555</v>
      </c>
      <c r="M3561" s="2">
        <v>978</v>
      </c>
      <c r="N3561" t="s">
        <v>5280</v>
      </c>
      <c r="O3561">
        <v>3</v>
      </c>
      <c r="P3561">
        <v>2</v>
      </c>
      <c r="Q3561">
        <v>1</v>
      </c>
      <c r="R3561" t="s">
        <v>5281</v>
      </c>
      <c r="S3561" t="s">
        <v>4135</v>
      </c>
      <c r="T3561" t="s">
        <v>4559</v>
      </c>
      <c r="U3561" t="s">
        <v>4560</v>
      </c>
      <c r="V3561" s="2">
        <v>420</v>
      </c>
      <c r="W3561" t="s">
        <v>3201</v>
      </c>
      <c r="X3561" s="2">
        <v>720</v>
      </c>
      <c r="Y3561">
        <v>20</v>
      </c>
      <c r="Z3561" t="s">
        <v>4561</v>
      </c>
      <c r="AA3561" s="3">
        <v>0.128007352352142</v>
      </c>
      <c r="AB3561" t="s">
        <v>19785</v>
      </c>
      <c r="AC3561" t="s">
        <v>4562</v>
      </c>
      <c r="AD3561" t="s">
        <v>19786</v>
      </c>
      <c r="AE3561" t="s">
        <v>4655</v>
      </c>
      <c r="AF3561" t="s">
        <v>4563</v>
      </c>
      <c r="AG3561" t="s">
        <v>4564</v>
      </c>
      <c r="AH3561">
        <v>89506</v>
      </c>
      <c r="AI3561" t="s">
        <v>19787</v>
      </c>
      <c r="AJ3561" t="s">
        <v>4655</v>
      </c>
      <c r="AK3561" t="s">
        <v>19788</v>
      </c>
      <c r="AL3561" s="13" t="s">
        <v>2255</v>
      </c>
      <c r="AM3561">
        <v>1</v>
      </c>
      <c r="AN3561" s="15" t="s">
        <v>151</v>
      </c>
    </row>
    <row r="3562" spans="1:40" x14ac:dyDescent="0.3">
      <c r="A3562" s="10" t="str">
        <f>HYPERLINK("http://www.washoecounty.gov/assessor/cama/?parid=082-051-57&amp;CardNumber=1","082-051-57")</f>
        <v>082-051-57</v>
      </c>
      <c r="B3562" t="s">
        <v>4655</v>
      </c>
      <c r="C3562" t="s">
        <v>19789</v>
      </c>
      <c r="D3562" s="1">
        <v>40415</v>
      </c>
      <c r="E3562" s="2">
        <v>160000</v>
      </c>
      <c r="F3562" t="s">
        <v>4567</v>
      </c>
      <c r="G3562" s="17" t="str">
        <f>HYPERLINK("https://www.washoecounty.gov/assessor/cama/?command=sales&amp;parid=08205157","3915540")</f>
        <v>3915540</v>
      </c>
      <c r="H3562" t="s">
        <v>2802</v>
      </c>
      <c r="I3562">
        <v>1990</v>
      </c>
      <c r="J3562">
        <v>1990</v>
      </c>
      <c r="K3562" t="s">
        <v>4554</v>
      </c>
      <c r="L3562" t="s">
        <v>4555</v>
      </c>
      <c r="M3562" s="2">
        <v>1052</v>
      </c>
      <c r="N3562" t="s">
        <v>5280</v>
      </c>
      <c r="O3562">
        <v>4</v>
      </c>
      <c r="P3562">
        <v>3</v>
      </c>
      <c r="Q3562">
        <v>0</v>
      </c>
      <c r="R3562" t="s">
        <v>5281</v>
      </c>
      <c r="S3562" t="s">
        <v>4135</v>
      </c>
      <c r="T3562" t="s">
        <v>4559</v>
      </c>
      <c r="U3562" t="s">
        <v>4560</v>
      </c>
      <c r="V3562" s="2">
        <v>417</v>
      </c>
      <c r="W3562" t="s">
        <v>3201</v>
      </c>
      <c r="X3562" s="2">
        <v>979</v>
      </c>
      <c r="Y3562">
        <v>20</v>
      </c>
      <c r="Z3562" t="s">
        <v>4561</v>
      </c>
      <c r="AA3562" s="3">
        <v>0.12699724733829501</v>
      </c>
      <c r="AB3562" t="s">
        <v>19790</v>
      </c>
      <c r="AC3562" t="s">
        <v>4562</v>
      </c>
      <c r="AD3562" t="s">
        <v>19789</v>
      </c>
      <c r="AE3562" t="s">
        <v>4655</v>
      </c>
      <c r="AF3562" t="s">
        <v>4563</v>
      </c>
      <c r="AG3562" t="s">
        <v>4564</v>
      </c>
      <c r="AH3562">
        <v>89508</v>
      </c>
      <c r="AI3562" t="s">
        <v>19791</v>
      </c>
      <c r="AJ3562" t="s">
        <v>4655</v>
      </c>
      <c r="AK3562" t="s">
        <v>19792</v>
      </c>
      <c r="AL3562" s="13" t="s">
        <v>2255</v>
      </c>
      <c r="AM3562">
        <v>1</v>
      </c>
      <c r="AN3562" s="15" t="s">
        <v>151</v>
      </c>
    </row>
    <row r="3563" spans="1:40" x14ac:dyDescent="0.3">
      <c r="A3563" s="10" t="str">
        <f>HYPERLINK("http://www.washoecounty.gov/assessor/cama/?parid=082-061-01&amp;CardNumber=1","082-061-01")</f>
        <v>082-061-01</v>
      </c>
      <c r="B3563" t="s">
        <v>4655</v>
      </c>
      <c r="C3563" t="s">
        <v>19793</v>
      </c>
      <c r="D3563" s="1">
        <v>40298</v>
      </c>
      <c r="E3563" s="2">
        <v>142000</v>
      </c>
      <c r="F3563" t="s">
        <v>4567</v>
      </c>
      <c r="G3563" s="17" t="str">
        <f>HYPERLINK("https://www.washoecounty.gov/assessor/cama/?command=sales&amp;parid=08206101","3876819")</f>
        <v>3876819</v>
      </c>
      <c r="H3563" t="s">
        <v>4273</v>
      </c>
      <c r="I3563">
        <v>1996</v>
      </c>
      <c r="J3563">
        <v>1996</v>
      </c>
      <c r="K3563" t="s">
        <v>4554</v>
      </c>
      <c r="L3563" t="s">
        <v>4555</v>
      </c>
      <c r="M3563" s="2">
        <v>1146</v>
      </c>
      <c r="N3563" t="s">
        <v>5280</v>
      </c>
      <c r="O3563">
        <v>3</v>
      </c>
      <c r="P3563">
        <v>2</v>
      </c>
      <c r="Q3563">
        <v>1</v>
      </c>
      <c r="R3563" t="s">
        <v>4557</v>
      </c>
      <c r="S3563" t="s">
        <v>4558</v>
      </c>
      <c r="T3563" t="s">
        <v>4559</v>
      </c>
      <c r="U3563" t="s">
        <v>4560</v>
      </c>
      <c r="V3563" s="2">
        <v>400</v>
      </c>
      <c r="W3563" t="s">
        <v>3201</v>
      </c>
      <c r="X3563" s="2">
        <v>938</v>
      </c>
      <c r="Y3563">
        <v>20</v>
      </c>
      <c r="Z3563" t="s">
        <v>4561</v>
      </c>
      <c r="AA3563" s="3">
        <v>0.107001833617687</v>
      </c>
      <c r="AB3563" t="s">
        <v>19794</v>
      </c>
      <c r="AC3563" t="s">
        <v>4575</v>
      </c>
      <c r="AD3563" t="s">
        <v>19793</v>
      </c>
      <c r="AE3563" t="s">
        <v>4655</v>
      </c>
      <c r="AF3563" t="s">
        <v>4563</v>
      </c>
      <c r="AG3563" t="s">
        <v>4564</v>
      </c>
      <c r="AH3563">
        <v>89506</v>
      </c>
      <c r="AI3563" t="s">
        <v>19795</v>
      </c>
      <c r="AJ3563" t="s">
        <v>4655</v>
      </c>
      <c r="AK3563" t="s">
        <v>19796</v>
      </c>
      <c r="AL3563" s="13" t="s">
        <v>2255</v>
      </c>
      <c r="AM3563" s="14">
        <v>1</v>
      </c>
      <c r="AN3563" s="15" t="s">
        <v>151</v>
      </c>
    </row>
    <row r="3564" spans="1:40" x14ac:dyDescent="0.3">
      <c r="A3564" s="10" t="str">
        <f>HYPERLINK("http://www.washoecounty.gov/assessor/cama/?parid=082-062-01&amp;CardNumber=1","082-062-01")</f>
        <v>082-062-01</v>
      </c>
      <c r="B3564" t="s">
        <v>4655</v>
      </c>
      <c r="C3564" t="s">
        <v>19797</v>
      </c>
      <c r="D3564" s="1">
        <v>40357</v>
      </c>
      <c r="E3564" s="2">
        <v>150000</v>
      </c>
      <c r="F3564" t="s">
        <v>4553</v>
      </c>
      <c r="G3564" s="17" t="str">
        <f>HYPERLINK("https://www.washoecounty.gov/assessor/cama/?command=sales&amp;parid=08206201","3895932")</f>
        <v>3895932</v>
      </c>
      <c r="H3564" t="s">
        <v>19798</v>
      </c>
      <c r="I3564">
        <v>1996</v>
      </c>
      <c r="J3564">
        <v>1996</v>
      </c>
      <c r="K3564" t="s">
        <v>4554</v>
      </c>
      <c r="L3564" t="s">
        <v>3974</v>
      </c>
      <c r="M3564" s="2">
        <v>1458</v>
      </c>
      <c r="N3564" t="s">
        <v>5280</v>
      </c>
      <c r="O3564">
        <v>3</v>
      </c>
      <c r="P3564">
        <v>2</v>
      </c>
      <c r="Q3564">
        <v>1</v>
      </c>
      <c r="R3564" t="s">
        <v>4557</v>
      </c>
      <c r="S3564" t="s">
        <v>4558</v>
      </c>
      <c r="T3564" t="s">
        <v>4559</v>
      </c>
      <c r="U3564" t="s">
        <v>5631</v>
      </c>
      <c r="V3564" s="2">
        <v>494</v>
      </c>
      <c r="W3564" t="s">
        <v>4655</v>
      </c>
      <c r="X3564" s="2">
        <v>0</v>
      </c>
      <c r="Y3564">
        <v>20</v>
      </c>
      <c r="Z3564" t="s">
        <v>4561</v>
      </c>
      <c r="AA3564" s="3">
        <v>0.14600551128387501</v>
      </c>
      <c r="AB3564" t="s">
        <v>19799</v>
      </c>
      <c r="AC3564" t="s">
        <v>4575</v>
      </c>
      <c r="AD3564" t="s">
        <v>19797</v>
      </c>
      <c r="AE3564" t="s">
        <v>4655</v>
      </c>
      <c r="AF3564" t="s">
        <v>4563</v>
      </c>
      <c r="AG3564" t="s">
        <v>4564</v>
      </c>
      <c r="AH3564">
        <v>89506</v>
      </c>
      <c r="AI3564" t="s">
        <v>4565</v>
      </c>
      <c r="AJ3564" t="s">
        <v>4655</v>
      </c>
      <c r="AK3564" t="s">
        <v>19800</v>
      </c>
      <c r="AL3564" s="13" t="s">
        <v>2255</v>
      </c>
      <c r="AM3564">
        <v>1</v>
      </c>
      <c r="AN3564" s="15" t="s">
        <v>151</v>
      </c>
    </row>
    <row r="3565" spans="1:40" x14ac:dyDescent="0.3">
      <c r="A3565" s="10" t="str">
        <f>HYPERLINK("http://www.washoecounty.gov/assessor/cama/?parid=082-063-02&amp;CardNumber=1","082-063-02")</f>
        <v>082-063-02</v>
      </c>
      <c r="B3565" t="s">
        <v>4655</v>
      </c>
      <c r="C3565" t="s">
        <v>19801</v>
      </c>
      <c r="D3565" s="1">
        <v>40381</v>
      </c>
      <c r="E3565" s="2">
        <v>135000</v>
      </c>
      <c r="F3565" t="s">
        <v>4567</v>
      </c>
      <c r="G3565" s="17" t="str">
        <f>HYPERLINK("https://www.washoecounty.gov/assessor/cama/?command=sales&amp;parid=08206302","3904097")</f>
        <v>3904097</v>
      </c>
      <c r="H3565" t="s">
        <v>4273</v>
      </c>
      <c r="I3565">
        <v>1995</v>
      </c>
      <c r="J3565">
        <v>1995</v>
      </c>
      <c r="K3565" t="s">
        <v>4554</v>
      </c>
      <c r="L3565" t="s">
        <v>3974</v>
      </c>
      <c r="M3565" s="2">
        <v>1458</v>
      </c>
      <c r="N3565" t="s">
        <v>5280</v>
      </c>
      <c r="O3565">
        <v>3</v>
      </c>
      <c r="P3565">
        <v>2</v>
      </c>
      <c r="Q3565">
        <v>1</v>
      </c>
      <c r="R3565" t="s">
        <v>4557</v>
      </c>
      <c r="S3565" t="s">
        <v>4558</v>
      </c>
      <c r="T3565" t="s">
        <v>4559</v>
      </c>
      <c r="U3565" t="s">
        <v>5631</v>
      </c>
      <c r="V3565" s="2">
        <v>494</v>
      </c>
      <c r="W3565" t="s">
        <v>4655</v>
      </c>
      <c r="X3565" s="2">
        <v>0</v>
      </c>
      <c r="Y3565">
        <v>20</v>
      </c>
      <c r="Z3565" t="s">
        <v>4561</v>
      </c>
      <c r="AA3565" s="3">
        <v>0.128007352352142</v>
      </c>
      <c r="AB3565" t="s">
        <v>19802</v>
      </c>
      <c r="AC3565" t="s">
        <v>4562</v>
      </c>
      <c r="AD3565" t="s">
        <v>19803</v>
      </c>
      <c r="AE3565" t="s">
        <v>4655</v>
      </c>
      <c r="AF3565" t="s">
        <v>19804</v>
      </c>
      <c r="AG3565" t="s">
        <v>4203</v>
      </c>
      <c r="AH3565" t="s">
        <v>19805</v>
      </c>
      <c r="AI3565" t="s">
        <v>374</v>
      </c>
      <c r="AJ3565" t="s">
        <v>4655</v>
      </c>
      <c r="AK3565" t="s">
        <v>19806</v>
      </c>
      <c r="AL3565" s="13" t="s">
        <v>2255</v>
      </c>
      <c r="AM3565">
        <v>1</v>
      </c>
      <c r="AN3565" s="15" t="s">
        <v>151</v>
      </c>
    </row>
    <row r="3566" spans="1:40" x14ac:dyDescent="0.3">
      <c r="A3566" s="10" t="str">
        <f>HYPERLINK("http://www.washoecounty.gov/assessor/cama/?parid=082-083-03&amp;CardNumber=1","082-083-03")</f>
        <v>082-083-03</v>
      </c>
      <c r="B3566" t="s">
        <v>4655</v>
      </c>
      <c r="C3566" t="s">
        <v>19807</v>
      </c>
      <c r="D3566" s="1">
        <v>40337</v>
      </c>
      <c r="E3566" s="2">
        <v>437500</v>
      </c>
      <c r="F3566" t="s">
        <v>4567</v>
      </c>
      <c r="G3566" s="17" t="str">
        <f>HYPERLINK("https://www.washoecounty.gov/assessor/cama/?command=sales&amp;parid=08208303","3889169")</f>
        <v>3889169</v>
      </c>
      <c r="H3566" t="s">
        <v>3471</v>
      </c>
      <c r="I3566">
        <v>1988</v>
      </c>
      <c r="J3566">
        <v>1989</v>
      </c>
      <c r="K3566" t="s">
        <v>4554</v>
      </c>
      <c r="L3566" t="s">
        <v>4555</v>
      </c>
      <c r="M3566" s="2">
        <v>2040</v>
      </c>
      <c r="N3566" t="s">
        <v>5280</v>
      </c>
      <c r="O3566">
        <v>3</v>
      </c>
      <c r="P3566">
        <v>3</v>
      </c>
      <c r="Q3566">
        <v>0</v>
      </c>
      <c r="R3566" t="s">
        <v>4557</v>
      </c>
      <c r="S3566" t="s">
        <v>3148</v>
      </c>
      <c r="T3566" t="s">
        <v>2704</v>
      </c>
      <c r="U3566" t="s">
        <v>4655</v>
      </c>
      <c r="V3566" s="2">
        <v>0</v>
      </c>
      <c r="W3566" t="s">
        <v>3149</v>
      </c>
      <c r="X3566" s="2">
        <v>1752</v>
      </c>
      <c r="Y3566">
        <v>20</v>
      </c>
      <c r="Z3566" t="s">
        <v>1397</v>
      </c>
      <c r="AA3566" s="3">
        <v>2.08100008964538</v>
      </c>
      <c r="AB3566" t="s">
        <v>19808</v>
      </c>
      <c r="AC3566" t="s">
        <v>4562</v>
      </c>
      <c r="AD3566" t="s">
        <v>19809</v>
      </c>
      <c r="AE3566" t="s">
        <v>4655</v>
      </c>
      <c r="AF3566" t="s">
        <v>3797</v>
      </c>
      <c r="AG3566" t="s">
        <v>4584</v>
      </c>
      <c r="AH3566">
        <v>95402</v>
      </c>
      <c r="AI3566" t="s">
        <v>19810</v>
      </c>
      <c r="AJ3566" t="s">
        <v>4655</v>
      </c>
      <c r="AK3566" t="s">
        <v>19811</v>
      </c>
      <c r="AL3566" s="13" t="s">
        <v>1901</v>
      </c>
      <c r="AM3566">
        <v>1</v>
      </c>
      <c r="AN3566" s="15" t="s">
        <v>19731</v>
      </c>
    </row>
    <row r="3567" spans="1:40" x14ac:dyDescent="0.3">
      <c r="A3567" s="10" t="str">
        <f>HYPERLINK("http://www.washoecounty.gov/assessor/cama/?parid=082-092-05&amp;CardNumber=1","082-092-05")</f>
        <v>082-092-05</v>
      </c>
      <c r="B3567" t="s">
        <v>4655</v>
      </c>
      <c r="C3567" t="s">
        <v>19812</v>
      </c>
      <c r="D3567" s="1">
        <v>40420</v>
      </c>
      <c r="E3567" s="2">
        <v>56500</v>
      </c>
      <c r="F3567" t="s">
        <v>4567</v>
      </c>
      <c r="G3567" s="17" t="str">
        <f>HYPERLINK("https://www.washoecounty.gov/assessor/cama/?command=sales&amp;parid=08209205","3916911")</f>
        <v>3916911</v>
      </c>
      <c r="H3567" t="s">
        <v>4655</v>
      </c>
      <c r="I3567">
        <v>1914</v>
      </c>
      <c r="J3567">
        <v>1969</v>
      </c>
      <c r="K3567" t="s">
        <v>4554</v>
      </c>
      <c r="L3567" t="s">
        <v>4555</v>
      </c>
      <c r="M3567" s="2">
        <v>1138</v>
      </c>
      <c r="N3567" t="s">
        <v>4672</v>
      </c>
      <c r="O3567">
        <v>1</v>
      </c>
      <c r="P3567">
        <v>1</v>
      </c>
      <c r="Q3567">
        <v>0</v>
      </c>
      <c r="R3567" t="s">
        <v>4134</v>
      </c>
      <c r="S3567" t="s">
        <v>4558</v>
      </c>
      <c r="T3567" t="s">
        <v>4559</v>
      </c>
      <c r="U3567" t="s">
        <v>4655</v>
      </c>
      <c r="V3567" s="2">
        <v>0</v>
      </c>
      <c r="W3567" t="s">
        <v>4655</v>
      </c>
      <c r="X3567" s="2">
        <v>0</v>
      </c>
      <c r="Y3567">
        <v>20</v>
      </c>
      <c r="Z3567" t="s">
        <v>365</v>
      </c>
      <c r="AA3567" s="3">
        <v>0.53000462055206199</v>
      </c>
      <c r="AB3567" t="s">
        <v>19813</v>
      </c>
      <c r="AC3567" t="s">
        <v>4562</v>
      </c>
      <c r="AD3567" t="s">
        <v>19814</v>
      </c>
      <c r="AE3567" t="s">
        <v>4655</v>
      </c>
      <c r="AF3567" t="s">
        <v>4563</v>
      </c>
      <c r="AG3567" t="s">
        <v>4564</v>
      </c>
      <c r="AH3567">
        <v>89506</v>
      </c>
      <c r="AI3567" t="s">
        <v>4655</v>
      </c>
      <c r="AJ3567" t="s">
        <v>4655</v>
      </c>
      <c r="AK3567" t="s">
        <v>19815</v>
      </c>
      <c r="AL3567" s="13" t="s">
        <v>1901</v>
      </c>
      <c r="AM3567" s="14">
        <v>1</v>
      </c>
      <c r="AN3567" s="15" t="s">
        <v>19731</v>
      </c>
    </row>
    <row r="3568" spans="1:40" x14ac:dyDescent="0.3">
      <c r="A3568" s="10" t="str">
        <f>HYPERLINK("http://www.washoecounty.gov/assessor/cama/?parid=082-121-05&amp;CardNumber=1","082-121-05")</f>
        <v>082-121-05</v>
      </c>
      <c r="B3568" t="s">
        <v>4655</v>
      </c>
      <c r="C3568" t="s">
        <v>19816</v>
      </c>
      <c r="D3568" s="1">
        <v>40444</v>
      </c>
      <c r="E3568" s="2">
        <v>50000</v>
      </c>
      <c r="F3568" t="s">
        <v>4567</v>
      </c>
      <c r="G3568" s="17" t="str">
        <f>HYPERLINK("https://www.washoecounty.gov/assessor/cama/?command=sales&amp;parid=08212105","3925556")</f>
        <v>3925556</v>
      </c>
      <c r="H3568" t="s">
        <v>4655</v>
      </c>
      <c r="I3568">
        <v>0</v>
      </c>
      <c r="J3568">
        <v>1970</v>
      </c>
      <c r="K3568" t="s">
        <v>1243</v>
      </c>
      <c r="L3568" t="s">
        <v>4655</v>
      </c>
      <c r="M3568" s="2">
        <v>0</v>
      </c>
      <c r="N3568" t="s">
        <v>4655</v>
      </c>
      <c r="O3568">
        <v>0</v>
      </c>
      <c r="P3568">
        <v>0</v>
      </c>
      <c r="Q3568">
        <v>0</v>
      </c>
      <c r="R3568" t="s">
        <v>4655</v>
      </c>
      <c r="S3568" t="s">
        <v>4655</v>
      </c>
      <c r="T3568" t="s">
        <v>4655</v>
      </c>
      <c r="U3568" t="s">
        <v>4655</v>
      </c>
      <c r="V3568" s="2">
        <v>0</v>
      </c>
      <c r="W3568" t="s">
        <v>4655</v>
      </c>
      <c r="X3568" s="2">
        <v>0</v>
      </c>
      <c r="Y3568">
        <v>23</v>
      </c>
      <c r="Z3568" t="s">
        <v>365</v>
      </c>
      <c r="AA3568" s="3">
        <v>0.36372819542884827</v>
      </c>
      <c r="AB3568" t="s">
        <v>19817</v>
      </c>
      <c r="AC3568" t="s">
        <v>4562</v>
      </c>
      <c r="AD3568" t="s">
        <v>19818</v>
      </c>
      <c r="AE3568" t="s">
        <v>4655</v>
      </c>
      <c r="AF3568" t="s">
        <v>2134</v>
      </c>
      <c r="AG3568" t="s">
        <v>4584</v>
      </c>
      <c r="AH3568" t="s">
        <v>2135</v>
      </c>
      <c r="AI3568" t="s">
        <v>4655</v>
      </c>
      <c r="AJ3568" t="s">
        <v>4655</v>
      </c>
      <c r="AK3568" t="s">
        <v>19819</v>
      </c>
      <c r="AL3568" s="13" t="s">
        <v>2890</v>
      </c>
      <c r="AM3568">
        <v>1</v>
      </c>
      <c r="AN3568" s="15" t="s">
        <v>152</v>
      </c>
    </row>
    <row r="3569" spans="1:40" x14ac:dyDescent="0.3">
      <c r="A3569" s="10" t="str">
        <f>HYPERLINK("http://www.washoecounty.gov/assessor/cama/?parid=082-121-09&amp;CardNumber=1","082-121-09")</f>
        <v>082-121-09</v>
      </c>
      <c r="B3569" t="s">
        <v>4655</v>
      </c>
      <c r="C3569" t="s">
        <v>19820</v>
      </c>
      <c r="D3569" s="1">
        <v>40393</v>
      </c>
      <c r="E3569" s="2">
        <v>135000</v>
      </c>
      <c r="F3569" t="s">
        <v>4567</v>
      </c>
      <c r="G3569" s="17" t="str">
        <f>HYPERLINK("https://www.washoecounty.gov/assessor/cama/?command=sales&amp;parid=08212109","3908316")</f>
        <v>3908316</v>
      </c>
      <c r="H3569" t="s">
        <v>4802</v>
      </c>
      <c r="I3569">
        <v>1979</v>
      </c>
      <c r="J3569">
        <v>1979</v>
      </c>
      <c r="K3569" t="s">
        <v>4847</v>
      </c>
      <c r="L3569" t="s">
        <v>4555</v>
      </c>
      <c r="M3569" s="2">
        <v>1440</v>
      </c>
      <c r="N3569" t="s">
        <v>4048</v>
      </c>
      <c r="O3569">
        <v>0</v>
      </c>
      <c r="P3569">
        <v>2</v>
      </c>
      <c r="Q3569">
        <v>0</v>
      </c>
      <c r="R3569" t="s">
        <v>4557</v>
      </c>
      <c r="S3569" t="s">
        <v>4558</v>
      </c>
      <c r="T3569" t="s">
        <v>4559</v>
      </c>
      <c r="U3569" t="s">
        <v>4655</v>
      </c>
      <c r="V3569" s="2">
        <v>0</v>
      </c>
      <c r="W3569" t="s">
        <v>4655</v>
      </c>
      <c r="X3569" s="2">
        <v>0</v>
      </c>
      <c r="Y3569">
        <v>22</v>
      </c>
      <c r="Z3569" t="s">
        <v>365</v>
      </c>
      <c r="AA3569" s="3">
        <v>0.34400826692581199</v>
      </c>
      <c r="AB3569" t="s">
        <v>19821</v>
      </c>
      <c r="AC3569" t="s">
        <v>4562</v>
      </c>
      <c r="AD3569" t="s">
        <v>19822</v>
      </c>
      <c r="AE3569" t="s">
        <v>4655</v>
      </c>
      <c r="AF3569" t="s">
        <v>4563</v>
      </c>
      <c r="AG3569" t="s">
        <v>4564</v>
      </c>
      <c r="AH3569">
        <v>89506</v>
      </c>
      <c r="AI3569" t="s">
        <v>4655</v>
      </c>
      <c r="AJ3569" t="s">
        <v>4655</v>
      </c>
      <c r="AK3569" t="s">
        <v>19823</v>
      </c>
      <c r="AL3569" s="13" t="s">
        <v>2890</v>
      </c>
      <c r="AM3569" s="14">
        <v>1</v>
      </c>
      <c r="AN3569" s="15" t="s">
        <v>152</v>
      </c>
    </row>
    <row r="3570" spans="1:40" x14ac:dyDescent="0.3">
      <c r="A3570" s="10" t="str">
        <f>HYPERLINK("http://www.washoecounty.gov/assessor/cama/?parid=082-126-21&amp;CardNumber=1","082-126-21")</f>
        <v>082-126-21</v>
      </c>
      <c r="B3570" t="s">
        <v>4655</v>
      </c>
      <c r="C3570" t="s">
        <v>19824</v>
      </c>
      <c r="D3570" s="1">
        <v>40266</v>
      </c>
      <c r="E3570" s="2">
        <v>50000</v>
      </c>
      <c r="F3570" t="s">
        <v>4567</v>
      </c>
      <c r="G3570" s="17" t="str">
        <f>HYPERLINK("https://www.washoecounty.gov/assessor/cama/?command=sales&amp;parid=08212621","3864958")</f>
        <v>3864958</v>
      </c>
      <c r="H3570" t="s">
        <v>4655</v>
      </c>
      <c r="I3570">
        <v>1970</v>
      </c>
      <c r="J3570">
        <v>1970</v>
      </c>
      <c r="K3570" t="s">
        <v>1243</v>
      </c>
      <c r="L3570" t="s">
        <v>4655</v>
      </c>
      <c r="M3570" s="2">
        <v>0</v>
      </c>
      <c r="N3570" t="s">
        <v>4655</v>
      </c>
      <c r="O3570">
        <v>0</v>
      </c>
      <c r="P3570">
        <v>0</v>
      </c>
      <c r="Q3570">
        <v>0</v>
      </c>
      <c r="R3570" t="s">
        <v>4655</v>
      </c>
      <c r="S3570" t="s">
        <v>4655</v>
      </c>
      <c r="T3570" t="s">
        <v>4655</v>
      </c>
      <c r="U3570" t="s">
        <v>4655</v>
      </c>
      <c r="V3570" s="2">
        <v>0</v>
      </c>
      <c r="W3570" t="s">
        <v>4655</v>
      </c>
      <c r="X3570" s="2">
        <v>0</v>
      </c>
      <c r="Y3570">
        <v>23</v>
      </c>
      <c r="Z3570" t="s">
        <v>365</v>
      </c>
      <c r="AA3570" s="3">
        <v>1</v>
      </c>
      <c r="AB3570" t="s">
        <v>19825</v>
      </c>
      <c r="AC3570" t="s">
        <v>4562</v>
      </c>
      <c r="AD3570" t="s">
        <v>19826</v>
      </c>
      <c r="AE3570" t="s">
        <v>4655</v>
      </c>
      <c r="AF3570" t="s">
        <v>4563</v>
      </c>
      <c r="AG3570" t="s">
        <v>4564</v>
      </c>
      <c r="AH3570">
        <v>89506</v>
      </c>
      <c r="AI3570" t="s">
        <v>4655</v>
      </c>
      <c r="AJ3570" t="s">
        <v>4655</v>
      </c>
      <c r="AK3570" t="s">
        <v>19827</v>
      </c>
      <c r="AL3570" s="13" t="s">
        <v>1902</v>
      </c>
      <c r="AM3570" s="14">
        <v>1</v>
      </c>
      <c r="AN3570" s="15" t="s">
        <v>152</v>
      </c>
    </row>
    <row r="3571" spans="1:40" x14ac:dyDescent="0.3">
      <c r="A3571" s="10" t="str">
        <f>HYPERLINK("http://www.washoecounty.gov/assessor/cama/?parid=082-221-17&amp;CardNumber=1","082-221-17")</f>
        <v>082-221-17</v>
      </c>
      <c r="B3571" t="s">
        <v>4655</v>
      </c>
      <c r="C3571" t="s">
        <v>19828</v>
      </c>
      <c r="D3571" s="1">
        <v>40527</v>
      </c>
      <c r="E3571" s="2">
        <v>120750</v>
      </c>
      <c r="F3571" t="s">
        <v>4553</v>
      </c>
      <c r="G3571" s="17" t="str">
        <f>HYPERLINK("https://www.washoecounty.gov/assessor/cama/?command=sales&amp;parid=08222117","3953532")</f>
        <v>3953532</v>
      </c>
      <c r="H3571" t="s">
        <v>2325</v>
      </c>
      <c r="I3571">
        <v>1979</v>
      </c>
      <c r="J3571">
        <v>1979</v>
      </c>
      <c r="K3571" t="s">
        <v>4554</v>
      </c>
      <c r="L3571" t="s">
        <v>4555</v>
      </c>
      <c r="M3571" s="2">
        <v>1578</v>
      </c>
      <c r="N3571" t="s">
        <v>4556</v>
      </c>
      <c r="O3571">
        <v>3</v>
      </c>
      <c r="P3571">
        <v>2</v>
      </c>
      <c r="Q3571">
        <v>0</v>
      </c>
      <c r="R3571" t="s">
        <v>4676</v>
      </c>
      <c r="S3571" t="s">
        <v>4558</v>
      </c>
      <c r="T3571" t="s">
        <v>4559</v>
      </c>
      <c r="U3571" t="s">
        <v>4560</v>
      </c>
      <c r="V3571" s="2">
        <v>484</v>
      </c>
      <c r="W3571" t="s">
        <v>4655</v>
      </c>
      <c r="X3571" s="2">
        <v>0</v>
      </c>
      <c r="Y3571">
        <v>20</v>
      </c>
      <c r="Z3571" t="s">
        <v>5508</v>
      </c>
      <c r="AA3571" s="3">
        <v>0.56900829076766901</v>
      </c>
      <c r="AB3571" t="s">
        <v>19829</v>
      </c>
      <c r="AC3571" t="s">
        <v>4575</v>
      </c>
      <c r="AD3571" t="s">
        <v>19830</v>
      </c>
      <c r="AE3571" t="s">
        <v>4655</v>
      </c>
      <c r="AF3571" t="s">
        <v>4563</v>
      </c>
      <c r="AG3571" t="s">
        <v>4564</v>
      </c>
      <c r="AH3571">
        <v>89506</v>
      </c>
      <c r="AI3571" t="s">
        <v>4655</v>
      </c>
      <c r="AJ3571" t="s">
        <v>4655</v>
      </c>
      <c r="AK3571" t="s">
        <v>19831</v>
      </c>
      <c r="AL3571" s="13" t="s">
        <v>1589</v>
      </c>
      <c r="AM3571" s="14">
        <v>1</v>
      </c>
      <c r="AN3571" s="15" t="s">
        <v>3325</v>
      </c>
    </row>
    <row r="3572" spans="1:40" x14ac:dyDescent="0.3">
      <c r="A3572" s="10" t="str">
        <f>HYPERLINK("http://www.washoecounty.gov/assessor/cama/?parid=082-224-09&amp;CardNumber=1","082-224-09")</f>
        <v>082-224-09</v>
      </c>
      <c r="B3572" t="s">
        <v>4655</v>
      </c>
      <c r="C3572" t="s">
        <v>19832</v>
      </c>
      <c r="D3572" s="1">
        <v>40487</v>
      </c>
      <c r="E3572" s="2">
        <v>90250</v>
      </c>
      <c r="F3572" t="s">
        <v>4553</v>
      </c>
      <c r="G3572" s="17" t="str">
        <f>HYPERLINK("https://www.washoecounty.gov/assessor/cama/?command=sales&amp;parid=08222409","3940549")</f>
        <v>3940549</v>
      </c>
      <c r="H3572" t="s">
        <v>2325</v>
      </c>
      <c r="I3572">
        <v>1979</v>
      </c>
      <c r="J3572">
        <v>1979</v>
      </c>
      <c r="K3572" t="s">
        <v>4554</v>
      </c>
      <c r="L3572" t="s">
        <v>4555</v>
      </c>
      <c r="M3572" s="2">
        <v>1178</v>
      </c>
      <c r="N3572" t="s">
        <v>4556</v>
      </c>
      <c r="O3572">
        <v>3</v>
      </c>
      <c r="P3572">
        <v>2</v>
      </c>
      <c r="Q3572">
        <v>0</v>
      </c>
      <c r="R3572" t="s">
        <v>4557</v>
      </c>
      <c r="S3572" t="s">
        <v>4558</v>
      </c>
      <c r="T3572" t="s">
        <v>4559</v>
      </c>
      <c r="U3572" t="s">
        <v>4560</v>
      </c>
      <c r="V3572" s="2">
        <v>484</v>
      </c>
      <c r="W3572" t="s">
        <v>4655</v>
      </c>
      <c r="X3572" s="2">
        <v>0</v>
      </c>
      <c r="Y3572">
        <v>20</v>
      </c>
      <c r="Z3572" t="s">
        <v>5508</v>
      </c>
      <c r="AA3572" s="3">
        <v>0.54299813508987405</v>
      </c>
      <c r="AB3572" t="s">
        <v>19833</v>
      </c>
      <c r="AC3572" t="s">
        <v>4562</v>
      </c>
      <c r="AD3572" t="s">
        <v>19834</v>
      </c>
      <c r="AE3572" t="s">
        <v>4655</v>
      </c>
      <c r="AF3572" t="s">
        <v>4563</v>
      </c>
      <c r="AG3572" t="s">
        <v>4564</v>
      </c>
      <c r="AH3572" t="s">
        <v>5197</v>
      </c>
      <c r="AI3572" t="s">
        <v>4848</v>
      </c>
      <c r="AJ3572" t="s">
        <v>4655</v>
      </c>
      <c r="AK3572" t="s">
        <v>19835</v>
      </c>
      <c r="AL3572" s="13" t="s">
        <v>1589</v>
      </c>
      <c r="AM3572" s="14">
        <v>1</v>
      </c>
      <c r="AN3572" s="15" t="s">
        <v>3325</v>
      </c>
    </row>
    <row r="3573" spans="1:40" x14ac:dyDescent="0.3">
      <c r="A3573" s="10" t="str">
        <f>HYPERLINK("http://www.washoecounty.gov/assessor/cama/?parid=082-232-02&amp;CardNumber=1","082-232-02")</f>
        <v>082-232-02</v>
      </c>
      <c r="B3573" t="s">
        <v>4655</v>
      </c>
      <c r="C3573" t="s">
        <v>19836</v>
      </c>
      <c r="D3573" s="1">
        <v>40340</v>
      </c>
      <c r="E3573" s="2">
        <v>90000</v>
      </c>
      <c r="F3573" t="s">
        <v>4553</v>
      </c>
      <c r="G3573" s="17" t="str">
        <f>HYPERLINK("https://www.washoecounty.gov/assessor/cama/?command=sales&amp;parid=08223202","3890904")</f>
        <v>3890904</v>
      </c>
      <c r="H3573" t="s">
        <v>1140</v>
      </c>
      <c r="I3573">
        <v>1979</v>
      </c>
      <c r="J3573">
        <v>1984</v>
      </c>
      <c r="K3573" t="s">
        <v>4554</v>
      </c>
      <c r="L3573" t="s">
        <v>4555</v>
      </c>
      <c r="M3573" s="2">
        <v>1552</v>
      </c>
      <c r="N3573" t="s">
        <v>4556</v>
      </c>
      <c r="O3573">
        <v>4</v>
      </c>
      <c r="P3573">
        <v>2</v>
      </c>
      <c r="Q3573">
        <v>0</v>
      </c>
      <c r="R3573" t="s">
        <v>5281</v>
      </c>
      <c r="S3573" t="s">
        <v>4558</v>
      </c>
      <c r="T3573" t="s">
        <v>4559</v>
      </c>
      <c r="U3573" t="s">
        <v>4560</v>
      </c>
      <c r="V3573" s="2">
        <v>484</v>
      </c>
      <c r="W3573" t="s">
        <v>4655</v>
      </c>
      <c r="X3573" s="2">
        <v>0</v>
      </c>
      <c r="Y3573">
        <v>20</v>
      </c>
      <c r="Z3573" t="s">
        <v>5508</v>
      </c>
      <c r="AA3573" s="3">
        <v>0.50500458478927601</v>
      </c>
      <c r="AB3573" t="s">
        <v>19837</v>
      </c>
      <c r="AC3573" t="s">
        <v>4562</v>
      </c>
      <c r="AD3573" t="s">
        <v>3324</v>
      </c>
      <c r="AE3573" t="s">
        <v>4655</v>
      </c>
      <c r="AF3573" t="s">
        <v>4563</v>
      </c>
      <c r="AG3573" t="s">
        <v>4564</v>
      </c>
      <c r="AH3573">
        <v>89506</v>
      </c>
      <c r="AI3573" t="s">
        <v>1602</v>
      </c>
      <c r="AJ3573" t="s">
        <v>4655</v>
      </c>
      <c r="AK3573" t="s">
        <v>19838</v>
      </c>
      <c r="AL3573" s="13" t="s">
        <v>1589</v>
      </c>
      <c r="AM3573">
        <v>1</v>
      </c>
      <c r="AN3573" s="15" t="s">
        <v>3325</v>
      </c>
    </row>
    <row r="3574" spans="1:40" x14ac:dyDescent="0.3">
      <c r="A3574" s="10" t="str">
        <f>HYPERLINK("http://www.washoecounty.gov/assessor/cama/?parid=082-237-03&amp;CardNumber=1","082-237-03")</f>
        <v>082-237-03</v>
      </c>
      <c r="B3574" t="s">
        <v>4655</v>
      </c>
      <c r="C3574" t="s">
        <v>19839</v>
      </c>
      <c r="D3574" s="1">
        <v>40371</v>
      </c>
      <c r="E3574" s="2">
        <v>28000</v>
      </c>
      <c r="F3574" t="s">
        <v>3259</v>
      </c>
      <c r="G3574" s="17" t="str">
        <f>HYPERLINK("https://www.washoecounty.gov/assessor/cama/?command=sales&amp;parid=08223703","3900349")</f>
        <v>3900349</v>
      </c>
      <c r="H3574" t="s">
        <v>2325</v>
      </c>
      <c r="I3574">
        <v>0</v>
      </c>
      <c r="J3574">
        <v>0</v>
      </c>
      <c r="K3574" t="s">
        <v>4655</v>
      </c>
      <c r="L3574" t="s">
        <v>4655</v>
      </c>
      <c r="M3574" s="2">
        <v>0</v>
      </c>
      <c r="N3574" t="s">
        <v>4655</v>
      </c>
      <c r="O3574">
        <v>0</v>
      </c>
      <c r="P3574">
        <v>0</v>
      </c>
      <c r="Q3574">
        <v>0</v>
      </c>
      <c r="R3574" t="s">
        <v>4655</v>
      </c>
      <c r="S3574" t="s">
        <v>4655</v>
      </c>
      <c r="T3574" t="s">
        <v>4655</v>
      </c>
      <c r="U3574" t="s">
        <v>4655</v>
      </c>
      <c r="V3574" s="2">
        <v>0</v>
      </c>
      <c r="W3574" t="s">
        <v>4655</v>
      </c>
      <c r="X3574" s="2">
        <v>0</v>
      </c>
      <c r="Y3574">
        <v>12</v>
      </c>
      <c r="Z3574" t="s">
        <v>5508</v>
      </c>
      <c r="AA3574" s="3">
        <v>0.44100090861320501</v>
      </c>
      <c r="AB3574" t="s">
        <v>19840</v>
      </c>
      <c r="AC3574" t="s">
        <v>4562</v>
      </c>
      <c r="AD3574" t="s">
        <v>19841</v>
      </c>
      <c r="AE3574" t="s">
        <v>4655</v>
      </c>
      <c r="AF3574" t="s">
        <v>4563</v>
      </c>
      <c r="AG3574" t="s">
        <v>4564</v>
      </c>
      <c r="AH3574">
        <v>89506</v>
      </c>
      <c r="AI3574" t="s">
        <v>19842</v>
      </c>
      <c r="AJ3574" t="s">
        <v>4655</v>
      </c>
      <c r="AK3574" t="s">
        <v>19843</v>
      </c>
      <c r="AL3574" s="13" t="s">
        <v>1589</v>
      </c>
      <c r="AM3574">
        <v>0</v>
      </c>
      <c r="AN3574" s="15" t="s">
        <v>3325</v>
      </c>
    </row>
    <row r="3575" spans="1:40" x14ac:dyDescent="0.3">
      <c r="A3575" s="10" t="str">
        <f>HYPERLINK("http://www.washoecounty.gov/assessor/cama/?parid=082-262-15&amp;CardNumber=1","082-262-15")</f>
        <v>082-262-15</v>
      </c>
      <c r="B3575" t="s">
        <v>4655</v>
      </c>
      <c r="C3575" t="s">
        <v>19844</v>
      </c>
      <c r="D3575" s="1">
        <v>40457</v>
      </c>
      <c r="E3575" s="2">
        <v>29440</v>
      </c>
      <c r="F3575" t="s">
        <v>4567</v>
      </c>
      <c r="G3575" s="17" t="str">
        <f>HYPERLINK("https://www.washoecounty.gov/assessor/cama/?command=sales&amp;parid=08226215","3930317")</f>
        <v>3930317</v>
      </c>
      <c r="H3575" t="s">
        <v>4655</v>
      </c>
      <c r="I3575">
        <v>0</v>
      </c>
      <c r="J3575">
        <v>0</v>
      </c>
      <c r="K3575" t="s">
        <v>4655</v>
      </c>
      <c r="L3575" t="s">
        <v>4655</v>
      </c>
      <c r="M3575" s="2">
        <v>0</v>
      </c>
      <c r="N3575" t="s">
        <v>4655</v>
      </c>
      <c r="O3575">
        <v>0</v>
      </c>
      <c r="P3575">
        <v>0</v>
      </c>
      <c r="Q3575">
        <v>0</v>
      </c>
      <c r="R3575" t="s">
        <v>4655</v>
      </c>
      <c r="S3575" t="s">
        <v>4655</v>
      </c>
      <c r="T3575" t="s">
        <v>4655</v>
      </c>
      <c r="U3575" t="s">
        <v>4655</v>
      </c>
      <c r="V3575" s="2">
        <v>0</v>
      </c>
      <c r="W3575" t="s">
        <v>4655</v>
      </c>
      <c r="X3575" s="2">
        <v>0</v>
      </c>
      <c r="Y3575">
        <v>23</v>
      </c>
      <c r="Z3575" t="s">
        <v>365</v>
      </c>
      <c r="AA3575" s="3">
        <v>0.114990815520287</v>
      </c>
      <c r="AB3575" t="s">
        <v>19845</v>
      </c>
      <c r="AC3575" t="s">
        <v>4575</v>
      </c>
      <c r="AD3575" t="s">
        <v>19846</v>
      </c>
      <c r="AE3575" t="s">
        <v>19847</v>
      </c>
      <c r="AF3575" t="s">
        <v>1600</v>
      </c>
      <c r="AG3575" t="s">
        <v>4564</v>
      </c>
      <c r="AH3575" t="s">
        <v>1601</v>
      </c>
      <c r="AI3575" t="s">
        <v>19848</v>
      </c>
      <c r="AJ3575" t="s">
        <v>4655</v>
      </c>
      <c r="AK3575" t="s">
        <v>3277</v>
      </c>
      <c r="AL3575" s="13" t="s">
        <v>2890</v>
      </c>
      <c r="AM3575">
        <v>0</v>
      </c>
      <c r="AN3575" s="15" t="s">
        <v>152</v>
      </c>
    </row>
    <row r="3576" spans="1:40" x14ac:dyDescent="0.3">
      <c r="A3576" s="10" t="str">
        <f>HYPERLINK("http://www.washoecounty.gov/assessor/cama/?parid=082-341-11&amp;CardNumber=1","082-341-11")</f>
        <v>082-341-11</v>
      </c>
      <c r="B3576" t="s">
        <v>4655</v>
      </c>
      <c r="C3576" t="s">
        <v>19849</v>
      </c>
      <c r="D3576" s="1">
        <v>40308</v>
      </c>
      <c r="E3576" s="2">
        <v>92000</v>
      </c>
      <c r="F3576" t="s">
        <v>4567</v>
      </c>
      <c r="G3576" s="17" t="str">
        <f>HYPERLINK("https://www.washoecounty.gov/assessor/cama/?command=sales&amp;parid=08234111","3879702")</f>
        <v>3879702</v>
      </c>
      <c r="H3576" t="s">
        <v>124</v>
      </c>
      <c r="I3576">
        <v>1965</v>
      </c>
      <c r="J3576">
        <v>1965</v>
      </c>
      <c r="K3576" t="s">
        <v>4554</v>
      </c>
      <c r="L3576" t="s">
        <v>4555</v>
      </c>
      <c r="M3576" s="2">
        <v>1250</v>
      </c>
      <c r="N3576" t="s">
        <v>4556</v>
      </c>
      <c r="O3576">
        <v>3</v>
      </c>
      <c r="P3576">
        <v>2</v>
      </c>
      <c r="Q3576">
        <v>0</v>
      </c>
      <c r="R3576" t="s">
        <v>4557</v>
      </c>
      <c r="S3576" t="s">
        <v>4558</v>
      </c>
      <c r="T3576" t="s">
        <v>4559</v>
      </c>
      <c r="U3576" t="s">
        <v>4560</v>
      </c>
      <c r="V3576" s="2">
        <v>437</v>
      </c>
      <c r="W3576" t="s">
        <v>4655</v>
      </c>
      <c r="X3576" s="2">
        <v>0</v>
      </c>
      <c r="Y3576">
        <v>20</v>
      </c>
      <c r="Z3576" t="s">
        <v>4561</v>
      </c>
      <c r="AA3576" s="3">
        <v>0.16499081254005399</v>
      </c>
      <c r="AB3576" t="s">
        <v>19850</v>
      </c>
      <c r="AC3576" t="s">
        <v>4575</v>
      </c>
      <c r="AD3576" t="s">
        <v>19851</v>
      </c>
      <c r="AE3576" t="s">
        <v>4655</v>
      </c>
      <c r="AF3576" t="s">
        <v>4563</v>
      </c>
      <c r="AG3576" t="s">
        <v>4564</v>
      </c>
      <c r="AH3576">
        <v>89506</v>
      </c>
      <c r="AI3576" t="s">
        <v>19852</v>
      </c>
      <c r="AJ3576" t="s">
        <v>4655</v>
      </c>
      <c r="AK3576" t="s">
        <v>19853</v>
      </c>
      <c r="AL3576" s="13" t="s">
        <v>2255</v>
      </c>
      <c r="AM3576">
        <v>1</v>
      </c>
      <c r="AN3576" s="15" t="s">
        <v>431</v>
      </c>
    </row>
    <row r="3577" spans="1:40" x14ac:dyDescent="0.3">
      <c r="A3577" s="10" t="str">
        <f>HYPERLINK("http://www.washoecounty.gov/assessor/cama/?parid=082-342-03&amp;CardNumber=1","082-342-03")</f>
        <v>082-342-03</v>
      </c>
      <c r="B3577" t="s">
        <v>4655</v>
      </c>
      <c r="C3577" t="s">
        <v>19854</v>
      </c>
      <c r="D3577" s="1">
        <v>40421</v>
      </c>
      <c r="E3577" s="2">
        <v>95000</v>
      </c>
      <c r="F3577" t="s">
        <v>4553</v>
      </c>
      <c r="G3577" s="17" t="str">
        <f>HYPERLINK("https://www.washoecounty.gov/assessor/cama/?command=sales&amp;parid=08234203","3917680")</f>
        <v>3917680</v>
      </c>
      <c r="H3577" t="s">
        <v>124</v>
      </c>
      <c r="I3577">
        <v>1965</v>
      </c>
      <c r="J3577">
        <v>1965</v>
      </c>
      <c r="K3577" t="s">
        <v>4554</v>
      </c>
      <c r="L3577" t="s">
        <v>4555</v>
      </c>
      <c r="M3577" s="2">
        <v>1215</v>
      </c>
      <c r="N3577" t="s">
        <v>4556</v>
      </c>
      <c r="O3577">
        <v>3</v>
      </c>
      <c r="P3577">
        <v>2</v>
      </c>
      <c r="Q3577">
        <v>0</v>
      </c>
      <c r="R3577" t="s">
        <v>4557</v>
      </c>
      <c r="S3577" t="s">
        <v>4558</v>
      </c>
      <c r="T3577" t="s">
        <v>4559</v>
      </c>
      <c r="U3577" t="s">
        <v>4560</v>
      </c>
      <c r="V3577" s="2">
        <v>441</v>
      </c>
      <c r="W3577" t="s">
        <v>4655</v>
      </c>
      <c r="X3577" s="2">
        <v>0</v>
      </c>
      <c r="Y3577">
        <v>20</v>
      </c>
      <c r="Z3577" t="s">
        <v>4561</v>
      </c>
      <c r="AA3577" s="3">
        <v>0.16499081254005399</v>
      </c>
      <c r="AB3577" t="s">
        <v>19855</v>
      </c>
      <c r="AC3577" t="s">
        <v>4562</v>
      </c>
      <c r="AD3577" t="s">
        <v>19856</v>
      </c>
      <c r="AE3577" t="s">
        <v>4655</v>
      </c>
      <c r="AF3577" t="s">
        <v>1407</v>
      </c>
      <c r="AG3577" t="s">
        <v>4564</v>
      </c>
      <c r="AH3577">
        <v>89704</v>
      </c>
      <c r="AI3577" t="s">
        <v>4655</v>
      </c>
      <c r="AJ3577" t="s">
        <v>4655</v>
      </c>
      <c r="AK3577" t="s">
        <v>19857</v>
      </c>
      <c r="AL3577" s="13" t="s">
        <v>2255</v>
      </c>
      <c r="AM3577">
        <v>1</v>
      </c>
      <c r="AN3577" s="15" t="s">
        <v>431</v>
      </c>
    </row>
    <row r="3578" spans="1:40" x14ac:dyDescent="0.3">
      <c r="A3578" s="10" t="str">
        <f>HYPERLINK("http://www.washoecounty.gov/assessor/cama/?parid=082-351-04&amp;CardNumber=1","082-351-04")</f>
        <v>082-351-04</v>
      </c>
      <c r="B3578" t="s">
        <v>4655</v>
      </c>
      <c r="C3578" t="s">
        <v>19858</v>
      </c>
      <c r="D3578" s="1">
        <v>40242</v>
      </c>
      <c r="E3578" s="2">
        <v>90000</v>
      </c>
      <c r="F3578" t="s">
        <v>4553</v>
      </c>
      <c r="G3578" s="17" t="str">
        <f>HYPERLINK("https://www.washoecounty.gov/assessor/cama/?command=sales&amp;parid=08235104","3856495")</f>
        <v>3856495</v>
      </c>
      <c r="H3578" t="s">
        <v>124</v>
      </c>
      <c r="I3578">
        <v>1965</v>
      </c>
      <c r="J3578">
        <v>1965</v>
      </c>
      <c r="K3578" t="s">
        <v>4554</v>
      </c>
      <c r="L3578" t="s">
        <v>4555</v>
      </c>
      <c r="M3578" s="2">
        <v>1107</v>
      </c>
      <c r="N3578" t="s">
        <v>4556</v>
      </c>
      <c r="O3578">
        <v>3</v>
      </c>
      <c r="P3578">
        <v>2</v>
      </c>
      <c r="Q3578">
        <v>0</v>
      </c>
      <c r="R3578" t="s">
        <v>4557</v>
      </c>
      <c r="S3578" t="s">
        <v>4558</v>
      </c>
      <c r="T3578" t="s">
        <v>4559</v>
      </c>
      <c r="U3578" t="s">
        <v>4560</v>
      </c>
      <c r="V3578" s="2">
        <v>441</v>
      </c>
      <c r="W3578" t="s">
        <v>4655</v>
      </c>
      <c r="X3578" s="2">
        <v>0</v>
      </c>
      <c r="Y3578">
        <v>20</v>
      </c>
      <c r="Z3578" t="s">
        <v>4561</v>
      </c>
      <c r="AA3578" s="3">
        <v>0.19400826096534701</v>
      </c>
      <c r="AB3578" t="s">
        <v>19859</v>
      </c>
      <c r="AC3578" t="s">
        <v>4562</v>
      </c>
      <c r="AD3578" t="s">
        <v>19858</v>
      </c>
      <c r="AE3578" t="s">
        <v>4655</v>
      </c>
      <c r="AF3578" t="s">
        <v>4563</v>
      </c>
      <c r="AG3578" t="s">
        <v>4564</v>
      </c>
      <c r="AH3578">
        <v>89506</v>
      </c>
      <c r="AI3578" t="s">
        <v>4903</v>
      </c>
      <c r="AJ3578" t="s">
        <v>4655</v>
      </c>
      <c r="AK3578" t="s">
        <v>19860</v>
      </c>
      <c r="AL3578" s="13" t="s">
        <v>2255</v>
      </c>
      <c r="AM3578" s="14">
        <v>1</v>
      </c>
      <c r="AN3578" s="15" t="s">
        <v>431</v>
      </c>
    </row>
    <row r="3579" spans="1:40" x14ac:dyDescent="0.3">
      <c r="A3579" s="10" t="str">
        <f>HYPERLINK("http://www.washoecounty.gov/assessor/cama/?parid=082-351-20&amp;CardNumber=1","082-351-20")</f>
        <v>082-351-20</v>
      </c>
      <c r="B3579" t="s">
        <v>4655</v>
      </c>
      <c r="C3579" t="s">
        <v>19861</v>
      </c>
      <c r="D3579" s="1">
        <v>40344</v>
      </c>
      <c r="E3579" s="2">
        <v>119000</v>
      </c>
      <c r="F3579" t="s">
        <v>4567</v>
      </c>
      <c r="G3579" s="17" t="str">
        <f>HYPERLINK("https://www.washoecounty.gov/assessor/cama/?command=sales&amp;parid=08235120","3891810")</f>
        <v>3891810</v>
      </c>
      <c r="H3579" t="s">
        <v>4721</v>
      </c>
      <c r="I3579">
        <v>1965</v>
      </c>
      <c r="J3579">
        <v>1965</v>
      </c>
      <c r="K3579" t="s">
        <v>4554</v>
      </c>
      <c r="L3579" t="s">
        <v>4555</v>
      </c>
      <c r="M3579" s="2">
        <v>1480</v>
      </c>
      <c r="N3579" t="s">
        <v>4556</v>
      </c>
      <c r="O3579">
        <v>3</v>
      </c>
      <c r="P3579">
        <v>2</v>
      </c>
      <c r="Q3579">
        <v>0</v>
      </c>
      <c r="R3579" t="s">
        <v>4557</v>
      </c>
      <c r="S3579" t="s">
        <v>4558</v>
      </c>
      <c r="T3579" t="s">
        <v>4559</v>
      </c>
      <c r="U3579" t="s">
        <v>4560</v>
      </c>
      <c r="V3579" s="2">
        <v>437</v>
      </c>
      <c r="W3579" t="s">
        <v>4655</v>
      </c>
      <c r="X3579" s="2">
        <v>0</v>
      </c>
      <c r="Y3579">
        <v>20</v>
      </c>
      <c r="Z3579" t="s">
        <v>4561</v>
      </c>
      <c r="AA3579" s="3">
        <v>0.25</v>
      </c>
      <c r="AB3579" t="s">
        <v>3302</v>
      </c>
      <c r="AC3579" t="s">
        <v>4562</v>
      </c>
      <c r="AD3579" t="s">
        <v>3303</v>
      </c>
      <c r="AE3579" t="s">
        <v>4655</v>
      </c>
      <c r="AF3579" t="s">
        <v>3304</v>
      </c>
      <c r="AG3579" t="s">
        <v>4584</v>
      </c>
      <c r="AH3579">
        <v>94402</v>
      </c>
      <c r="AI3579" t="s">
        <v>19862</v>
      </c>
      <c r="AJ3579" t="s">
        <v>4655</v>
      </c>
      <c r="AK3579" t="s">
        <v>19863</v>
      </c>
      <c r="AL3579" s="13" t="s">
        <v>2255</v>
      </c>
      <c r="AM3579" s="14">
        <v>1</v>
      </c>
      <c r="AN3579" s="15" t="s">
        <v>431</v>
      </c>
    </row>
    <row r="3580" spans="1:40" x14ac:dyDescent="0.3">
      <c r="A3580" s="10" t="str">
        <f>HYPERLINK("http://www.washoecounty.gov/assessor/cama/?parid=082-353-06&amp;CardNumber=1","082-353-06")</f>
        <v>082-353-06</v>
      </c>
      <c r="B3580" t="s">
        <v>4655</v>
      </c>
      <c r="C3580" t="s">
        <v>19864</v>
      </c>
      <c r="D3580" s="1">
        <v>40529</v>
      </c>
      <c r="E3580" s="2">
        <v>60000</v>
      </c>
      <c r="F3580" t="s">
        <v>4553</v>
      </c>
      <c r="G3580" s="17" t="str">
        <f>HYPERLINK("https://www.washoecounty.gov/assessor/cama/?command=sales&amp;parid=08235306","3954679")</f>
        <v>3954679</v>
      </c>
      <c r="H3580" t="s">
        <v>124</v>
      </c>
      <c r="I3580">
        <v>1965</v>
      </c>
      <c r="J3580">
        <v>1965</v>
      </c>
      <c r="K3580" t="s">
        <v>4554</v>
      </c>
      <c r="L3580" t="s">
        <v>4555</v>
      </c>
      <c r="M3580" s="2">
        <v>1020</v>
      </c>
      <c r="N3580" t="s">
        <v>4556</v>
      </c>
      <c r="O3580">
        <v>3</v>
      </c>
      <c r="P3580">
        <v>2</v>
      </c>
      <c r="Q3580">
        <v>0</v>
      </c>
      <c r="R3580" t="s">
        <v>4557</v>
      </c>
      <c r="S3580" t="s">
        <v>4558</v>
      </c>
      <c r="T3580" t="s">
        <v>4559</v>
      </c>
      <c r="U3580" t="s">
        <v>4560</v>
      </c>
      <c r="V3580" s="2">
        <v>437</v>
      </c>
      <c r="W3580" t="s">
        <v>4655</v>
      </c>
      <c r="X3580" s="2">
        <v>0</v>
      </c>
      <c r="Y3580">
        <v>20</v>
      </c>
      <c r="Z3580" t="s">
        <v>4561</v>
      </c>
      <c r="AA3580" s="3">
        <v>0.239990815520287</v>
      </c>
      <c r="AB3580" t="s">
        <v>19865</v>
      </c>
      <c r="AC3580" t="s">
        <v>4562</v>
      </c>
      <c r="AD3580" t="s">
        <v>19864</v>
      </c>
      <c r="AE3580" t="s">
        <v>4655</v>
      </c>
      <c r="AF3580" t="s">
        <v>4563</v>
      </c>
      <c r="AG3580" t="s">
        <v>4564</v>
      </c>
      <c r="AH3580">
        <v>89506</v>
      </c>
      <c r="AI3580" t="s">
        <v>4045</v>
      </c>
      <c r="AJ3580" t="s">
        <v>4655</v>
      </c>
      <c r="AK3580" t="s">
        <v>19866</v>
      </c>
      <c r="AL3580" s="13" t="s">
        <v>2255</v>
      </c>
      <c r="AM3580">
        <v>1</v>
      </c>
      <c r="AN3580" s="15" t="s">
        <v>431</v>
      </c>
    </row>
    <row r="3581" spans="1:40" x14ac:dyDescent="0.3">
      <c r="A3581" s="10" t="str">
        <f>HYPERLINK("http://www.washoecounty.gov/assessor/cama/?parid=082-353-08&amp;CardNumber=1","082-353-08")</f>
        <v>082-353-08</v>
      </c>
      <c r="B3581" t="s">
        <v>4655</v>
      </c>
      <c r="C3581" t="s">
        <v>19867</v>
      </c>
      <c r="D3581" s="1">
        <v>40297</v>
      </c>
      <c r="E3581" s="2">
        <v>106000</v>
      </c>
      <c r="F3581" t="s">
        <v>4567</v>
      </c>
      <c r="G3581" s="17" t="str">
        <f>HYPERLINK("https://www.washoecounty.gov/assessor/cama/?command=sales&amp;parid=08235308","3876337")</f>
        <v>3876337</v>
      </c>
      <c r="H3581" t="s">
        <v>124</v>
      </c>
      <c r="I3581">
        <v>1966</v>
      </c>
      <c r="J3581">
        <v>1966</v>
      </c>
      <c r="K3581" t="s">
        <v>4554</v>
      </c>
      <c r="L3581" t="s">
        <v>4555</v>
      </c>
      <c r="M3581" s="2">
        <v>1220</v>
      </c>
      <c r="N3581" t="s">
        <v>4556</v>
      </c>
      <c r="O3581">
        <v>3</v>
      </c>
      <c r="P3581">
        <v>2</v>
      </c>
      <c r="Q3581">
        <v>0</v>
      </c>
      <c r="R3581" t="s">
        <v>4557</v>
      </c>
      <c r="S3581" t="s">
        <v>4558</v>
      </c>
      <c r="T3581" t="s">
        <v>4559</v>
      </c>
      <c r="U3581" t="s">
        <v>4560</v>
      </c>
      <c r="V3581" s="2">
        <v>441</v>
      </c>
      <c r="W3581" t="s">
        <v>4655</v>
      </c>
      <c r="X3581" s="2">
        <v>0</v>
      </c>
      <c r="Y3581">
        <v>20</v>
      </c>
      <c r="Z3581" t="s">
        <v>4561</v>
      </c>
      <c r="AA3581" s="3">
        <v>0.22699724137783051</v>
      </c>
      <c r="AB3581" t="s">
        <v>19868</v>
      </c>
      <c r="AC3581" t="s">
        <v>4562</v>
      </c>
      <c r="AD3581" t="s">
        <v>19867</v>
      </c>
      <c r="AE3581" t="s">
        <v>4655</v>
      </c>
      <c r="AF3581" t="s">
        <v>4563</v>
      </c>
      <c r="AG3581" t="s">
        <v>4564</v>
      </c>
      <c r="AH3581">
        <v>89506</v>
      </c>
      <c r="AI3581" t="s">
        <v>4655</v>
      </c>
      <c r="AJ3581" t="s">
        <v>4655</v>
      </c>
      <c r="AK3581" t="s">
        <v>19869</v>
      </c>
      <c r="AL3581" s="13" t="s">
        <v>2255</v>
      </c>
      <c r="AM3581">
        <v>1</v>
      </c>
      <c r="AN3581" s="15" t="s">
        <v>431</v>
      </c>
    </row>
    <row r="3582" spans="1:40" x14ac:dyDescent="0.3">
      <c r="A3582" s="10" t="str">
        <f>HYPERLINK("http://www.washoecounty.gov/assessor/cama/?parid=082-353-11&amp;CardNumber=1","082-353-11")</f>
        <v>082-353-11</v>
      </c>
      <c r="B3582" t="s">
        <v>4655</v>
      </c>
      <c r="C3582" t="s">
        <v>19870</v>
      </c>
      <c r="D3582" s="1">
        <v>40518</v>
      </c>
      <c r="E3582" s="2">
        <v>97000</v>
      </c>
      <c r="F3582" t="s">
        <v>4553</v>
      </c>
      <c r="G3582" s="17" t="str">
        <f>HYPERLINK("https://www.washoecounty.gov/assessor/cama/?command=sales&amp;parid=08235311","3949575")</f>
        <v>3949575</v>
      </c>
      <c r="H3582" t="s">
        <v>124</v>
      </c>
      <c r="I3582">
        <v>1965</v>
      </c>
      <c r="J3582">
        <v>1965</v>
      </c>
      <c r="K3582" t="s">
        <v>4554</v>
      </c>
      <c r="L3582" t="s">
        <v>4555</v>
      </c>
      <c r="M3582" s="2">
        <v>1020</v>
      </c>
      <c r="N3582" t="s">
        <v>4556</v>
      </c>
      <c r="O3582">
        <v>3</v>
      </c>
      <c r="P3582">
        <v>2</v>
      </c>
      <c r="Q3582">
        <v>0</v>
      </c>
      <c r="R3582" t="s">
        <v>4557</v>
      </c>
      <c r="S3582" t="s">
        <v>4135</v>
      </c>
      <c r="T3582" t="s">
        <v>4559</v>
      </c>
      <c r="U3582" t="s">
        <v>4655</v>
      </c>
      <c r="V3582" s="2">
        <v>0</v>
      </c>
      <c r="W3582" t="s">
        <v>4655</v>
      </c>
      <c r="X3582" s="2">
        <v>0</v>
      </c>
      <c r="Y3582">
        <v>20</v>
      </c>
      <c r="Z3582" t="s">
        <v>4561</v>
      </c>
      <c r="AA3582" s="3">
        <v>0.35300734639167802</v>
      </c>
      <c r="AB3582" t="s">
        <v>19871</v>
      </c>
      <c r="AC3582" t="s">
        <v>4575</v>
      </c>
      <c r="AD3582" t="s">
        <v>19872</v>
      </c>
      <c r="AE3582" t="s">
        <v>4655</v>
      </c>
      <c r="AF3582" t="s">
        <v>1916</v>
      </c>
      <c r="AG3582" t="s">
        <v>4584</v>
      </c>
      <c r="AH3582" t="s">
        <v>5031</v>
      </c>
      <c r="AI3582" t="s">
        <v>5359</v>
      </c>
      <c r="AJ3582" t="s">
        <v>4655</v>
      </c>
      <c r="AK3582" t="s">
        <v>19873</v>
      </c>
      <c r="AL3582" s="13" t="s">
        <v>2255</v>
      </c>
      <c r="AM3582">
        <v>1</v>
      </c>
      <c r="AN3582" s="15" t="s">
        <v>431</v>
      </c>
    </row>
    <row r="3583" spans="1:40" x14ac:dyDescent="0.3">
      <c r="A3583" s="10" t="str">
        <f>HYPERLINK("http://www.washoecounty.gov/assessor/cama/?parid=082-355-14&amp;CardNumber=1","082-355-14")</f>
        <v>082-355-14</v>
      </c>
      <c r="B3583" t="s">
        <v>4655</v>
      </c>
      <c r="C3583" t="s">
        <v>4444</v>
      </c>
      <c r="D3583" s="1">
        <v>40535</v>
      </c>
      <c r="E3583" s="2">
        <v>59900</v>
      </c>
      <c r="F3583" t="s">
        <v>4553</v>
      </c>
      <c r="G3583" s="17" t="str">
        <f>HYPERLINK("https://www.washoecounty.gov/assessor/cama/?command=sales&amp;parid=08235514","3956793")</f>
        <v>3956793</v>
      </c>
      <c r="H3583" t="s">
        <v>124</v>
      </c>
      <c r="I3583">
        <v>1965</v>
      </c>
      <c r="J3583">
        <v>1965</v>
      </c>
      <c r="K3583" t="s">
        <v>4554</v>
      </c>
      <c r="L3583" t="s">
        <v>4555</v>
      </c>
      <c r="M3583" s="2">
        <v>1020</v>
      </c>
      <c r="N3583" t="s">
        <v>4556</v>
      </c>
      <c r="O3583">
        <v>3</v>
      </c>
      <c r="P3583">
        <v>2</v>
      </c>
      <c r="Q3583">
        <v>0</v>
      </c>
      <c r="R3583" t="s">
        <v>4557</v>
      </c>
      <c r="S3583" t="s">
        <v>4558</v>
      </c>
      <c r="T3583" t="s">
        <v>4559</v>
      </c>
      <c r="U3583" t="s">
        <v>4560</v>
      </c>
      <c r="V3583" s="2">
        <v>437</v>
      </c>
      <c r="W3583" t="s">
        <v>4655</v>
      </c>
      <c r="X3583" s="2">
        <v>0</v>
      </c>
      <c r="Y3583">
        <v>20</v>
      </c>
      <c r="Z3583" t="s">
        <v>4561</v>
      </c>
      <c r="AA3583" s="3">
        <v>0.16499081254005399</v>
      </c>
      <c r="AB3583" t="s">
        <v>19874</v>
      </c>
      <c r="AC3583" t="s">
        <v>4575</v>
      </c>
      <c r="AD3583" t="s">
        <v>19443</v>
      </c>
      <c r="AE3583" t="s">
        <v>4655</v>
      </c>
      <c r="AF3583" t="s">
        <v>4563</v>
      </c>
      <c r="AG3583" t="s">
        <v>4564</v>
      </c>
      <c r="AH3583">
        <v>89509</v>
      </c>
      <c r="AI3583" t="s">
        <v>4565</v>
      </c>
      <c r="AJ3583" t="s">
        <v>4655</v>
      </c>
      <c r="AK3583" t="s">
        <v>4445</v>
      </c>
      <c r="AL3583" s="13" t="s">
        <v>2255</v>
      </c>
      <c r="AM3583" s="14">
        <v>1</v>
      </c>
      <c r="AN3583" s="15" t="s">
        <v>431</v>
      </c>
    </row>
    <row r="3584" spans="1:40" x14ac:dyDescent="0.3">
      <c r="A3584" s="10" t="str">
        <f>HYPERLINK("http://www.washoecounty.gov/assessor/cama/?parid=082-361-18&amp;CardNumber=1","082-361-18")</f>
        <v>082-361-18</v>
      </c>
      <c r="B3584" t="s">
        <v>4655</v>
      </c>
      <c r="C3584" t="s">
        <v>19875</v>
      </c>
      <c r="D3584" s="1">
        <v>40247</v>
      </c>
      <c r="E3584" s="2">
        <v>89350</v>
      </c>
      <c r="F3584" t="s">
        <v>4567</v>
      </c>
      <c r="G3584" s="17" t="str">
        <f>HYPERLINK("https://www.washoecounty.gov/assessor/cama/?command=sales&amp;parid=08236118","3858143")</f>
        <v>3858143</v>
      </c>
      <c r="H3584" t="s">
        <v>19876</v>
      </c>
      <c r="I3584">
        <v>1972</v>
      </c>
      <c r="J3584">
        <v>1972</v>
      </c>
      <c r="K3584" t="s">
        <v>4554</v>
      </c>
      <c r="L3584" t="s">
        <v>4555</v>
      </c>
      <c r="M3584" s="2">
        <v>812</v>
      </c>
      <c r="N3584" t="s">
        <v>4133</v>
      </c>
      <c r="O3584">
        <v>2</v>
      </c>
      <c r="P3584">
        <v>1</v>
      </c>
      <c r="Q3584">
        <v>0</v>
      </c>
      <c r="R3584" t="s">
        <v>4557</v>
      </c>
      <c r="S3584" t="s">
        <v>4574</v>
      </c>
      <c r="T3584" t="s">
        <v>4559</v>
      </c>
      <c r="U3584" t="s">
        <v>4560</v>
      </c>
      <c r="V3584" s="2">
        <v>240</v>
      </c>
      <c r="W3584" t="s">
        <v>4655</v>
      </c>
      <c r="X3584" s="2">
        <v>0</v>
      </c>
      <c r="Y3584">
        <v>20</v>
      </c>
      <c r="Z3584" t="s">
        <v>3698</v>
      </c>
      <c r="AA3584" s="3">
        <v>2.5</v>
      </c>
      <c r="AB3584" t="s">
        <v>19877</v>
      </c>
      <c r="AC3584" t="s">
        <v>4562</v>
      </c>
      <c r="AD3584" t="s">
        <v>19878</v>
      </c>
      <c r="AE3584" t="s">
        <v>4655</v>
      </c>
      <c r="AF3584" t="s">
        <v>3264</v>
      </c>
      <c r="AG3584" t="s">
        <v>4564</v>
      </c>
      <c r="AH3584" t="s">
        <v>19879</v>
      </c>
      <c r="AI3584" t="s">
        <v>19880</v>
      </c>
      <c r="AJ3584" t="s">
        <v>4655</v>
      </c>
      <c r="AK3584" t="s">
        <v>19881</v>
      </c>
      <c r="AL3584" s="13" t="s">
        <v>1895</v>
      </c>
      <c r="AM3584" s="14">
        <v>1</v>
      </c>
      <c r="AN3584" s="15" t="s">
        <v>19882</v>
      </c>
    </row>
    <row r="3585" spans="1:40" x14ac:dyDescent="0.3">
      <c r="A3585" s="10" t="str">
        <f>HYPERLINK("http://www.washoecounty.gov/assessor/cama/?parid=082-361-19&amp;CardNumber=1","082-361-19")</f>
        <v>082-361-19</v>
      </c>
      <c r="B3585" t="s">
        <v>4655</v>
      </c>
      <c r="C3585" t="s">
        <v>19883</v>
      </c>
      <c r="D3585" s="1">
        <v>40344</v>
      </c>
      <c r="E3585" s="2">
        <v>149000</v>
      </c>
      <c r="F3585" t="s">
        <v>4567</v>
      </c>
      <c r="G3585" s="17" t="str">
        <f>HYPERLINK("https://www.washoecounty.gov/assessor/cama/?command=sales&amp;parid=08236119","3891976")</f>
        <v>3891976</v>
      </c>
      <c r="H3585" t="s">
        <v>19876</v>
      </c>
      <c r="I3585">
        <v>2008</v>
      </c>
      <c r="J3585">
        <v>2008</v>
      </c>
      <c r="K3585" t="s">
        <v>4554</v>
      </c>
      <c r="L3585" t="s">
        <v>3974</v>
      </c>
      <c r="M3585" s="2">
        <v>2074</v>
      </c>
      <c r="N3585" t="s">
        <v>5280</v>
      </c>
      <c r="O3585">
        <v>2</v>
      </c>
      <c r="P3585">
        <v>2</v>
      </c>
      <c r="Q3585">
        <v>1</v>
      </c>
      <c r="R3585" t="s">
        <v>1186</v>
      </c>
      <c r="S3585" t="s">
        <v>4898</v>
      </c>
      <c r="T3585" t="s">
        <v>3888</v>
      </c>
      <c r="U3585" t="s">
        <v>4655</v>
      </c>
      <c r="V3585" s="2">
        <v>0</v>
      </c>
      <c r="W3585" t="s">
        <v>4655</v>
      </c>
      <c r="X3585" s="2">
        <v>0</v>
      </c>
      <c r="Y3585">
        <v>20</v>
      </c>
      <c r="Z3585" t="s">
        <v>3698</v>
      </c>
      <c r="AA3585" s="3">
        <v>2.5</v>
      </c>
      <c r="AB3585" t="s">
        <v>19884</v>
      </c>
      <c r="AC3585" t="s">
        <v>4575</v>
      </c>
      <c r="AD3585" t="s">
        <v>19885</v>
      </c>
      <c r="AE3585" t="s">
        <v>19883</v>
      </c>
      <c r="AF3585" t="s">
        <v>4563</v>
      </c>
      <c r="AG3585" t="s">
        <v>4564</v>
      </c>
      <c r="AH3585">
        <v>89506</v>
      </c>
      <c r="AI3585" t="s">
        <v>19880</v>
      </c>
      <c r="AJ3585" t="s">
        <v>4655</v>
      </c>
      <c r="AK3585" t="s">
        <v>19881</v>
      </c>
      <c r="AL3585" s="13" t="s">
        <v>1895</v>
      </c>
      <c r="AM3585" s="14">
        <v>1</v>
      </c>
      <c r="AN3585" s="15" t="s">
        <v>19882</v>
      </c>
    </row>
    <row r="3586" spans="1:40" x14ac:dyDescent="0.3">
      <c r="A3586" s="10" t="str">
        <f>HYPERLINK("http://www.washoecounty.gov/assessor/cama/?parid=082-361-77&amp;CardNumber=1","082-361-77")</f>
        <v>082-361-77</v>
      </c>
      <c r="B3586" t="s">
        <v>4655</v>
      </c>
      <c r="C3586" t="s">
        <v>19886</v>
      </c>
      <c r="D3586" s="1">
        <v>40240</v>
      </c>
      <c r="E3586" s="2">
        <v>200000</v>
      </c>
      <c r="F3586" t="s">
        <v>4567</v>
      </c>
      <c r="G3586" s="17" t="str">
        <f>HYPERLINK("https://www.washoecounty.gov/assessor/cama/?command=sales&amp;parid=08236177","3855426")</f>
        <v>3855426</v>
      </c>
      <c r="H3586" t="s">
        <v>19887</v>
      </c>
      <c r="I3586">
        <v>2005</v>
      </c>
      <c r="J3586">
        <v>2005</v>
      </c>
      <c r="K3586" t="s">
        <v>4554</v>
      </c>
      <c r="L3586" t="s">
        <v>2170</v>
      </c>
      <c r="M3586" s="2">
        <v>2442</v>
      </c>
      <c r="N3586" t="s">
        <v>5280</v>
      </c>
      <c r="O3586">
        <v>0</v>
      </c>
      <c r="P3586">
        <v>2</v>
      </c>
      <c r="Q3586">
        <v>1</v>
      </c>
      <c r="R3586" t="s">
        <v>5281</v>
      </c>
      <c r="S3586" t="s">
        <v>4898</v>
      </c>
      <c r="T3586" t="s">
        <v>4559</v>
      </c>
      <c r="U3586" t="s">
        <v>4655</v>
      </c>
      <c r="V3586" s="2">
        <v>0</v>
      </c>
      <c r="W3586" t="s">
        <v>4655</v>
      </c>
      <c r="X3586" s="2">
        <v>0</v>
      </c>
      <c r="Y3586">
        <v>20</v>
      </c>
      <c r="Z3586" t="s">
        <v>5282</v>
      </c>
      <c r="AA3586" s="3">
        <v>0.34435260295867898</v>
      </c>
      <c r="AB3586" t="s">
        <v>19888</v>
      </c>
      <c r="AC3586" t="s">
        <v>4575</v>
      </c>
      <c r="AD3586" t="s">
        <v>19886</v>
      </c>
      <c r="AE3586" t="s">
        <v>4655</v>
      </c>
      <c r="AF3586" t="s">
        <v>4563</v>
      </c>
      <c r="AG3586" t="s">
        <v>4564</v>
      </c>
      <c r="AH3586">
        <v>89506</v>
      </c>
      <c r="AI3586" t="s">
        <v>4655</v>
      </c>
      <c r="AJ3586" t="s">
        <v>19889</v>
      </c>
      <c r="AK3586" t="s">
        <v>19890</v>
      </c>
      <c r="AL3586" s="13" t="s">
        <v>2255</v>
      </c>
      <c r="AM3586">
        <v>1</v>
      </c>
      <c r="AN3586" s="15" t="s">
        <v>19891</v>
      </c>
    </row>
    <row r="3587" spans="1:40" x14ac:dyDescent="0.3">
      <c r="A3587" s="10" t="str">
        <f>HYPERLINK("http://www.washoecounty.gov/assessor/cama/?parid=082-375-08&amp;CardNumber=1","082-375-08")</f>
        <v>082-375-08</v>
      </c>
      <c r="B3587" t="s">
        <v>4655</v>
      </c>
      <c r="C3587" t="s">
        <v>19892</v>
      </c>
      <c r="D3587" s="1">
        <v>40346</v>
      </c>
      <c r="E3587" s="2">
        <v>90000</v>
      </c>
      <c r="F3587" t="s">
        <v>4553</v>
      </c>
      <c r="G3587" s="17" t="str">
        <f>HYPERLINK("https://www.washoecounty.gov/assessor/cama/?command=sales&amp;parid=08237508","3893024")</f>
        <v>3893024</v>
      </c>
      <c r="H3587" t="s">
        <v>1921</v>
      </c>
      <c r="I3587">
        <v>1966</v>
      </c>
      <c r="J3587">
        <v>1966</v>
      </c>
      <c r="K3587" t="s">
        <v>4554</v>
      </c>
      <c r="L3587" t="s">
        <v>4555</v>
      </c>
      <c r="M3587" s="2">
        <v>1107</v>
      </c>
      <c r="N3587" t="s">
        <v>4556</v>
      </c>
      <c r="O3587">
        <v>3</v>
      </c>
      <c r="P3587">
        <v>2</v>
      </c>
      <c r="Q3587">
        <v>0</v>
      </c>
      <c r="R3587" t="s">
        <v>4557</v>
      </c>
      <c r="S3587" t="s">
        <v>4558</v>
      </c>
      <c r="T3587" t="s">
        <v>4559</v>
      </c>
      <c r="U3587" t="s">
        <v>4560</v>
      </c>
      <c r="V3587" s="2">
        <v>441</v>
      </c>
      <c r="W3587" t="s">
        <v>4655</v>
      </c>
      <c r="X3587" s="2">
        <v>0</v>
      </c>
      <c r="Y3587">
        <v>20</v>
      </c>
      <c r="Z3587" t="s">
        <v>4561</v>
      </c>
      <c r="AA3587" s="3">
        <v>0.23333333432674408</v>
      </c>
      <c r="AB3587" t="s">
        <v>19893</v>
      </c>
      <c r="AC3587" t="s">
        <v>4562</v>
      </c>
      <c r="AD3587" t="s">
        <v>19892</v>
      </c>
      <c r="AE3587" t="s">
        <v>4655</v>
      </c>
      <c r="AF3587" t="s">
        <v>4563</v>
      </c>
      <c r="AG3587" t="s">
        <v>4564</v>
      </c>
      <c r="AH3587">
        <v>89506</v>
      </c>
      <c r="AI3587" t="s">
        <v>4565</v>
      </c>
      <c r="AJ3587" t="s">
        <v>4655</v>
      </c>
      <c r="AK3587" t="s">
        <v>19894</v>
      </c>
      <c r="AL3587" s="13" t="s">
        <v>1901</v>
      </c>
      <c r="AM3587">
        <v>1</v>
      </c>
      <c r="AN3587" s="15" t="s">
        <v>431</v>
      </c>
    </row>
    <row r="3588" spans="1:40" x14ac:dyDescent="0.3">
      <c r="A3588" s="10" t="str">
        <f>HYPERLINK("http://www.washoecounty.gov/assessor/cama/?parid=082-382-19&amp;CardNumber=1","082-382-19")</f>
        <v>082-382-19</v>
      </c>
      <c r="B3588" t="s">
        <v>4655</v>
      </c>
      <c r="C3588" t="s">
        <v>19895</v>
      </c>
      <c r="D3588" s="1">
        <v>40353</v>
      </c>
      <c r="E3588" s="2">
        <v>79900</v>
      </c>
      <c r="F3588" t="s">
        <v>4553</v>
      </c>
      <c r="G3588" s="17" t="str">
        <f>HYPERLINK("https://www.washoecounty.gov/assessor/cama/?command=sales&amp;parid=08238219","3894889")</f>
        <v>3894889</v>
      </c>
      <c r="H3588" t="s">
        <v>1921</v>
      </c>
      <c r="I3588">
        <v>1966</v>
      </c>
      <c r="J3588">
        <v>1966</v>
      </c>
      <c r="K3588" t="s">
        <v>4554</v>
      </c>
      <c r="L3588" t="s">
        <v>4555</v>
      </c>
      <c r="M3588" s="2">
        <v>1107</v>
      </c>
      <c r="N3588" t="s">
        <v>4556</v>
      </c>
      <c r="O3588">
        <v>3</v>
      </c>
      <c r="P3588">
        <v>2</v>
      </c>
      <c r="Q3588">
        <v>0</v>
      </c>
      <c r="R3588" t="s">
        <v>4557</v>
      </c>
      <c r="S3588" t="s">
        <v>4558</v>
      </c>
      <c r="T3588" t="s">
        <v>4559</v>
      </c>
      <c r="U3588" t="s">
        <v>4560</v>
      </c>
      <c r="V3588" s="2">
        <v>441</v>
      </c>
      <c r="W3588" t="s">
        <v>4655</v>
      </c>
      <c r="X3588" s="2">
        <v>0</v>
      </c>
      <c r="Y3588">
        <v>20</v>
      </c>
      <c r="Z3588" t="s">
        <v>4561</v>
      </c>
      <c r="AA3588" s="3">
        <v>0.16854912042617801</v>
      </c>
      <c r="AB3588" t="s">
        <v>19896</v>
      </c>
      <c r="AC3588" t="s">
        <v>4575</v>
      </c>
      <c r="AD3588" t="s">
        <v>19897</v>
      </c>
      <c r="AE3588" t="s">
        <v>4655</v>
      </c>
      <c r="AF3588" t="s">
        <v>5201</v>
      </c>
      <c r="AG3588" t="s">
        <v>4564</v>
      </c>
      <c r="AH3588" t="s">
        <v>1605</v>
      </c>
      <c r="AI3588" t="s">
        <v>4503</v>
      </c>
      <c r="AJ3588" t="s">
        <v>4655</v>
      </c>
      <c r="AK3588" t="s">
        <v>19898</v>
      </c>
      <c r="AL3588" s="13" t="s">
        <v>1901</v>
      </c>
      <c r="AM3588">
        <v>1</v>
      </c>
      <c r="AN3588" s="15" t="s">
        <v>431</v>
      </c>
    </row>
    <row r="3589" spans="1:40" x14ac:dyDescent="0.3">
      <c r="A3589" s="10" t="str">
        <f>HYPERLINK("http://www.washoecounty.gov/assessor/cama/?parid=082-391-07&amp;CardNumber=1","082-391-07")</f>
        <v>082-391-07</v>
      </c>
      <c r="B3589" t="s">
        <v>4655</v>
      </c>
      <c r="C3589" t="s">
        <v>19899</v>
      </c>
      <c r="D3589" s="1">
        <v>40375</v>
      </c>
      <c r="E3589" s="2">
        <v>90000</v>
      </c>
      <c r="F3589" t="s">
        <v>4553</v>
      </c>
      <c r="G3589" s="17" t="str">
        <f>HYPERLINK("https://www.washoecounty.gov/assessor/cama/?command=sales&amp;parid=08239107","3902193")</f>
        <v>3902193</v>
      </c>
      <c r="H3589" t="s">
        <v>19900</v>
      </c>
      <c r="I3589">
        <v>1965</v>
      </c>
      <c r="J3589">
        <v>1968</v>
      </c>
      <c r="K3589" t="s">
        <v>4554</v>
      </c>
      <c r="L3589" t="s">
        <v>4555</v>
      </c>
      <c r="M3589" s="2">
        <v>1139</v>
      </c>
      <c r="N3589" t="s">
        <v>4556</v>
      </c>
      <c r="O3589">
        <v>3</v>
      </c>
      <c r="P3589">
        <v>2</v>
      </c>
      <c r="Q3589">
        <v>0</v>
      </c>
      <c r="R3589" t="s">
        <v>4557</v>
      </c>
      <c r="S3589" t="s">
        <v>4558</v>
      </c>
      <c r="T3589" t="s">
        <v>4559</v>
      </c>
      <c r="U3589" t="s">
        <v>4560</v>
      </c>
      <c r="V3589" s="2">
        <v>437</v>
      </c>
      <c r="W3589" t="s">
        <v>4655</v>
      </c>
      <c r="X3589" s="2">
        <v>0</v>
      </c>
      <c r="Y3589">
        <v>20</v>
      </c>
      <c r="Z3589" t="s">
        <v>4561</v>
      </c>
      <c r="AA3589" s="3">
        <v>0.20399449765682201</v>
      </c>
      <c r="AB3589" t="s">
        <v>19901</v>
      </c>
      <c r="AC3589" t="s">
        <v>4562</v>
      </c>
      <c r="AD3589" t="s">
        <v>19899</v>
      </c>
      <c r="AE3589" t="s">
        <v>4655</v>
      </c>
      <c r="AF3589" t="s">
        <v>4563</v>
      </c>
      <c r="AG3589" t="s">
        <v>4564</v>
      </c>
      <c r="AH3589">
        <v>89506</v>
      </c>
      <c r="AI3589" t="s">
        <v>4903</v>
      </c>
      <c r="AJ3589" t="s">
        <v>4655</v>
      </c>
      <c r="AK3589" t="s">
        <v>19902</v>
      </c>
      <c r="AL3589" s="13" t="s">
        <v>1901</v>
      </c>
      <c r="AM3589">
        <v>1</v>
      </c>
      <c r="AN3589" s="15" t="s">
        <v>431</v>
      </c>
    </row>
    <row r="3590" spans="1:40" x14ac:dyDescent="0.3">
      <c r="A3590" s="10" t="str">
        <f>HYPERLINK("http://www.washoecounty.gov/assessor/cama/?parid=082-392-23&amp;CardNumber=1","082-392-23")</f>
        <v>082-392-23</v>
      </c>
      <c r="B3590" t="s">
        <v>4655</v>
      </c>
      <c r="C3590" t="s">
        <v>19903</v>
      </c>
      <c r="D3590" s="1">
        <v>40387</v>
      </c>
      <c r="E3590" s="2">
        <v>82000</v>
      </c>
      <c r="F3590" t="s">
        <v>4567</v>
      </c>
      <c r="G3590" s="17" t="str">
        <f>HYPERLINK("https://www.washoecounty.gov/assessor/cama/?command=sales&amp;parid=08239223","3906152")</f>
        <v>3906152</v>
      </c>
      <c r="H3590" t="s">
        <v>19900</v>
      </c>
      <c r="I3590">
        <v>1965</v>
      </c>
      <c r="J3590">
        <v>1965</v>
      </c>
      <c r="K3590" t="s">
        <v>4554</v>
      </c>
      <c r="L3590" t="s">
        <v>4555</v>
      </c>
      <c r="M3590" s="2">
        <v>1020</v>
      </c>
      <c r="N3590" t="s">
        <v>4556</v>
      </c>
      <c r="O3590">
        <v>3</v>
      </c>
      <c r="P3590">
        <v>2</v>
      </c>
      <c r="Q3590">
        <v>0</v>
      </c>
      <c r="R3590" t="s">
        <v>4557</v>
      </c>
      <c r="S3590" t="s">
        <v>4558</v>
      </c>
      <c r="T3590" t="s">
        <v>4559</v>
      </c>
      <c r="U3590" t="s">
        <v>4560</v>
      </c>
      <c r="V3590" s="2">
        <v>437</v>
      </c>
      <c r="W3590" t="s">
        <v>4655</v>
      </c>
      <c r="X3590" s="2">
        <v>0</v>
      </c>
      <c r="Y3590">
        <v>20</v>
      </c>
      <c r="Z3590" t="s">
        <v>4561</v>
      </c>
      <c r="AA3590" s="3">
        <v>0.25599172711372398</v>
      </c>
      <c r="AB3590" t="s">
        <v>19904</v>
      </c>
      <c r="AC3590" t="s">
        <v>4562</v>
      </c>
      <c r="AD3590" t="s">
        <v>19903</v>
      </c>
      <c r="AE3590" t="s">
        <v>4655</v>
      </c>
      <c r="AF3590" t="s">
        <v>4563</v>
      </c>
      <c r="AG3590" t="s">
        <v>4564</v>
      </c>
      <c r="AH3590">
        <v>89506</v>
      </c>
      <c r="AI3590" t="s">
        <v>19905</v>
      </c>
      <c r="AJ3590" t="s">
        <v>4655</v>
      </c>
      <c r="AK3590" t="s">
        <v>19906</v>
      </c>
      <c r="AL3590" s="13" t="s">
        <v>1901</v>
      </c>
      <c r="AM3590">
        <v>1</v>
      </c>
      <c r="AN3590" s="15" t="s">
        <v>431</v>
      </c>
    </row>
    <row r="3591" spans="1:40" x14ac:dyDescent="0.3">
      <c r="A3591" s="10" t="str">
        <f>HYPERLINK("http://www.washoecounty.gov/assessor/cama/?parid=082-393-01&amp;CardNumber=1","082-393-01")</f>
        <v>082-393-01</v>
      </c>
      <c r="B3591" t="s">
        <v>4655</v>
      </c>
      <c r="C3591" t="s">
        <v>19907</v>
      </c>
      <c r="D3591" s="1">
        <v>40514</v>
      </c>
      <c r="E3591" s="2">
        <v>74000</v>
      </c>
      <c r="F3591" t="s">
        <v>4553</v>
      </c>
      <c r="G3591" s="17" t="str">
        <f>HYPERLINK("https://www.washoecounty.gov/assessor/cama/?command=sales&amp;parid=08239301","3948752")</f>
        <v>3948752</v>
      </c>
      <c r="H3591" t="s">
        <v>19900</v>
      </c>
      <c r="I3591">
        <v>1965</v>
      </c>
      <c r="J3591">
        <v>1965</v>
      </c>
      <c r="K3591" t="s">
        <v>4554</v>
      </c>
      <c r="L3591" t="s">
        <v>4555</v>
      </c>
      <c r="M3591" s="2">
        <v>1020</v>
      </c>
      <c r="N3591" t="s">
        <v>4556</v>
      </c>
      <c r="O3591">
        <v>3</v>
      </c>
      <c r="P3591">
        <v>2</v>
      </c>
      <c r="Q3591">
        <v>0</v>
      </c>
      <c r="R3591" t="s">
        <v>4557</v>
      </c>
      <c r="S3591" t="s">
        <v>4898</v>
      </c>
      <c r="T3591" t="s">
        <v>4559</v>
      </c>
      <c r="U3591" t="s">
        <v>4655</v>
      </c>
      <c r="V3591" s="2">
        <v>0</v>
      </c>
      <c r="W3591" t="s">
        <v>4655</v>
      </c>
      <c r="X3591" s="2">
        <v>0</v>
      </c>
      <c r="Y3591">
        <v>20</v>
      </c>
      <c r="Z3591" t="s">
        <v>4561</v>
      </c>
      <c r="AA3591" s="3">
        <v>0.16499081254005399</v>
      </c>
      <c r="AB3591" t="s">
        <v>19908</v>
      </c>
      <c r="AC3591" t="s">
        <v>4562</v>
      </c>
      <c r="AD3591" t="s">
        <v>19909</v>
      </c>
      <c r="AE3591" t="s">
        <v>4655</v>
      </c>
      <c r="AF3591" t="s">
        <v>4563</v>
      </c>
      <c r="AG3591" t="s">
        <v>4564</v>
      </c>
      <c r="AH3591">
        <v>89506</v>
      </c>
      <c r="AI3591" t="s">
        <v>4655</v>
      </c>
      <c r="AJ3591" t="s">
        <v>4655</v>
      </c>
      <c r="AK3591" t="s">
        <v>19910</v>
      </c>
      <c r="AL3591" s="13" t="s">
        <v>1901</v>
      </c>
      <c r="AM3591" s="14">
        <v>1</v>
      </c>
      <c r="AN3591" s="15" t="s">
        <v>431</v>
      </c>
    </row>
    <row r="3592" spans="1:40" x14ac:dyDescent="0.3">
      <c r="A3592" s="10" t="str">
        <f>HYPERLINK("http://www.washoecounty.gov/assessor/cama/?parid=082-393-02&amp;CardNumber=1","082-393-02")</f>
        <v>082-393-02</v>
      </c>
      <c r="B3592" t="s">
        <v>4655</v>
      </c>
      <c r="C3592" t="s">
        <v>19911</v>
      </c>
      <c r="D3592" s="1">
        <v>40325</v>
      </c>
      <c r="E3592" s="2">
        <v>78000</v>
      </c>
      <c r="F3592" t="s">
        <v>4567</v>
      </c>
      <c r="G3592" s="17" t="str">
        <f>HYPERLINK("https://www.washoecounty.gov/assessor/cama/?command=sales&amp;parid=08239302","3886206")</f>
        <v>3886206</v>
      </c>
      <c r="H3592" t="s">
        <v>19900</v>
      </c>
      <c r="I3592">
        <v>1965</v>
      </c>
      <c r="J3592">
        <v>1965</v>
      </c>
      <c r="K3592" t="s">
        <v>4554</v>
      </c>
      <c r="L3592" t="s">
        <v>4555</v>
      </c>
      <c r="M3592" s="2">
        <v>1020</v>
      </c>
      <c r="N3592" t="s">
        <v>4556</v>
      </c>
      <c r="O3592">
        <v>3</v>
      </c>
      <c r="P3592">
        <v>2</v>
      </c>
      <c r="Q3592">
        <v>0</v>
      </c>
      <c r="R3592" t="s">
        <v>4557</v>
      </c>
      <c r="S3592" t="s">
        <v>4558</v>
      </c>
      <c r="T3592" t="s">
        <v>4559</v>
      </c>
      <c r="U3592" t="s">
        <v>4560</v>
      </c>
      <c r="V3592" s="2">
        <v>437</v>
      </c>
      <c r="W3592" t="s">
        <v>4655</v>
      </c>
      <c r="X3592" s="2">
        <v>0</v>
      </c>
      <c r="Y3592">
        <v>20</v>
      </c>
      <c r="Z3592" t="s">
        <v>4561</v>
      </c>
      <c r="AA3592" s="3">
        <v>0.16499081254005399</v>
      </c>
      <c r="AB3592" t="s">
        <v>19912</v>
      </c>
      <c r="AC3592" t="s">
        <v>4575</v>
      </c>
      <c r="AD3592" t="s">
        <v>3768</v>
      </c>
      <c r="AE3592" t="s">
        <v>4655</v>
      </c>
      <c r="AF3592" t="s">
        <v>4563</v>
      </c>
      <c r="AG3592" t="s">
        <v>4564</v>
      </c>
      <c r="AH3592">
        <v>89509</v>
      </c>
      <c r="AI3592" t="s">
        <v>19913</v>
      </c>
      <c r="AJ3592" t="s">
        <v>4655</v>
      </c>
      <c r="AK3592" t="s">
        <v>19914</v>
      </c>
      <c r="AL3592" s="13" t="s">
        <v>1901</v>
      </c>
      <c r="AM3592" s="14">
        <v>1</v>
      </c>
      <c r="AN3592" s="15" t="s">
        <v>431</v>
      </c>
    </row>
    <row r="3593" spans="1:40" x14ac:dyDescent="0.3">
      <c r="A3593" s="10" t="str">
        <f>HYPERLINK("http://www.washoecounty.gov/assessor/cama/?parid=082-512-09&amp;CardNumber=1","082-512-09")</f>
        <v>082-512-09</v>
      </c>
      <c r="B3593" t="s">
        <v>4655</v>
      </c>
      <c r="C3593" t="s">
        <v>19915</v>
      </c>
      <c r="D3593" s="1">
        <v>40210</v>
      </c>
      <c r="E3593" s="2">
        <v>190000</v>
      </c>
      <c r="F3593" t="s">
        <v>4567</v>
      </c>
      <c r="G3593" s="17" t="str">
        <f>HYPERLINK("https://www.washoecounty.gov/assessor/cama/?command=sales&amp;parid=08251209","3844821")</f>
        <v>3844821</v>
      </c>
      <c r="H3593" t="s">
        <v>19916</v>
      </c>
      <c r="I3593">
        <v>1971</v>
      </c>
      <c r="J3593">
        <v>1971</v>
      </c>
      <c r="K3593" t="s">
        <v>4554</v>
      </c>
      <c r="L3593" t="s">
        <v>4555</v>
      </c>
      <c r="M3593" s="2">
        <v>1250</v>
      </c>
      <c r="N3593" t="s">
        <v>4048</v>
      </c>
      <c r="O3593">
        <v>3</v>
      </c>
      <c r="P3593">
        <v>2</v>
      </c>
      <c r="Q3593">
        <v>0</v>
      </c>
      <c r="R3593" t="s">
        <v>4557</v>
      </c>
      <c r="S3593" t="s">
        <v>4558</v>
      </c>
      <c r="T3593" t="s">
        <v>4559</v>
      </c>
      <c r="U3593" t="s">
        <v>4655</v>
      </c>
      <c r="V3593" s="2">
        <v>0</v>
      </c>
      <c r="W3593" t="s">
        <v>4655</v>
      </c>
      <c r="X3593" s="2">
        <v>0</v>
      </c>
      <c r="Y3593">
        <v>20</v>
      </c>
      <c r="Z3593" t="s">
        <v>3884</v>
      </c>
      <c r="AA3593" s="3">
        <v>0.971005499362945</v>
      </c>
      <c r="AB3593" t="s">
        <v>19917</v>
      </c>
      <c r="AC3593" t="s">
        <v>4562</v>
      </c>
      <c r="AD3593" t="s">
        <v>19918</v>
      </c>
      <c r="AE3593" t="s">
        <v>4655</v>
      </c>
      <c r="AF3593" t="s">
        <v>4563</v>
      </c>
      <c r="AG3593" t="s">
        <v>4564</v>
      </c>
      <c r="AH3593">
        <v>89506</v>
      </c>
      <c r="AI3593" t="s">
        <v>19919</v>
      </c>
      <c r="AJ3593" t="s">
        <v>4655</v>
      </c>
      <c r="AK3593" t="s">
        <v>19920</v>
      </c>
      <c r="AL3593" s="13" t="s">
        <v>1902</v>
      </c>
      <c r="AM3593" s="14">
        <v>1</v>
      </c>
      <c r="AN3593" s="15" t="s">
        <v>4349</v>
      </c>
    </row>
    <row r="3594" spans="1:40" x14ac:dyDescent="0.3">
      <c r="A3594" s="10" t="str">
        <f>HYPERLINK("http://www.washoecounty.gov/assessor/cama/?parid=082-512-27&amp;CardNumber=1","082-512-27")</f>
        <v>082-512-27</v>
      </c>
      <c r="B3594" t="s">
        <v>4655</v>
      </c>
      <c r="C3594" t="s">
        <v>19921</v>
      </c>
      <c r="D3594" s="1">
        <v>40403</v>
      </c>
      <c r="E3594" s="2">
        <v>350000</v>
      </c>
      <c r="F3594" t="s">
        <v>4567</v>
      </c>
      <c r="G3594" s="17" t="str">
        <f>HYPERLINK("https://www.washoecounty.gov/assessor/cama/?command=sales&amp;parid=08251227","3912019")</f>
        <v>3912019</v>
      </c>
      <c r="H3594" t="s">
        <v>5279</v>
      </c>
      <c r="I3594">
        <v>1999</v>
      </c>
      <c r="J3594">
        <v>1999</v>
      </c>
      <c r="K3594" t="s">
        <v>4554</v>
      </c>
      <c r="L3594" t="s">
        <v>4555</v>
      </c>
      <c r="M3594" s="2">
        <v>1878</v>
      </c>
      <c r="N3594" t="s">
        <v>5280</v>
      </c>
      <c r="O3594">
        <v>3</v>
      </c>
      <c r="P3594">
        <v>2</v>
      </c>
      <c r="Q3594">
        <v>0</v>
      </c>
      <c r="R3594" t="s">
        <v>5281</v>
      </c>
      <c r="S3594" t="s">
        <v>4898</v>
      </c>
      <c r="T3594" t="s">
        <v>4559</v>
      </c>
      <c r="U3594" t="s">
        <v>162</v>
      </c>
      <c r="V3594" s="2">
        <v>3748</v>
      </c>
      <c r="W3594" t="s">
        <v>4655</v>
      </c>
      <c r="X3594" s="2">
        <v>0</v>
      </c>
      <c r="Y3594">
        <v>20</v>
      </c>
      <c r="Z3594" t="s">
        <v>3884</v>
      </c>
      <c r="AA3594" s="3">
        <v>5.74200010299682</v>
      </c>
      <c r="AB3594" t="s">
        <v>19922</v>
      </c>
      <c r="AC3594" t="s">
        <v>4562</v>
      </c>
      <c r="AD3594" t="s">
        <v>19921</v>
      </c>
      <c r="AE3594" t="s">
        <v>4655</v>
      </c>
      <c r="AF3594" t="s">
        <v>4563</v>
      </c>
      <c r="AG3594" t="s">
        <v>4564</v>
      </c>
      <c r="AH3594">
        <v>89506</v>
      </c>
      <c r="AI3594" t="s">
        <v>19923</v>
      </c>
      <c r="AJ3594" t="s">
        <v>4655</v>
      </c>
      <c r="AK3594" t="s">
        <v>19924</v>
      </c>
      <c r="AL3594" s="13" t="s">
        <v>1902</v>
      </c>
      <c r="AM3594">
        <v>1</v>
      </c>
      <c r="AN3594" s="15" t="s">
        <v>4349</v>
      </c>
    </row>
    <row r="3595" spans="1:40" x14ac:dyDescent="0.3">
      <c r="A3595" s="10" t="str">
        <f>HYPERLINK("http://www.washoecounty.gov/assessor/cama/?parid=082-512-31&amp;CardNumber=1","082-512-31")</f>
        <v>082-512-31</v>
      </c>
      <c r="B3595" t="s">
        <v>4655</v>
      </c>
      <c r="C3595" t="s">
        <v>19925</v>
      </c>
      <c r="D3595" s="1">
        <v>40277</v>
      </c>
      <c r="E3595" s="2">
        <v>350000</v>
      </c>
      <c r="F3595" t="s">
        <v>4567</v>
      </c>
      <c r="G3595" s="17" t="str">
        <f>HYPERLINK("https://www.washoecounty.gov/assessor/cama/?command=sales&amp;parid=08251231","3869429")</f>
        <v>3869429</v>
      </c>
      <c r="H3595" t="s">
        <v>5279</v>
      </c>
      <c r="I3595">
        <v>1996</v>
      </c>
      <c r="J3595">
        <v>1996</v>
      </c>
      <c r="K3595" t="s">
        <v>4554</v>
      </c>
      <c r="L3595" t="s">
        <v>4555</v>
      </c>
      <c r="M3595" s="2">
        <v>2698</v>
      </c>
      <c r="N3595" t="s">
        <v>3887</v>
      </c>
      <c r="O3595">
        <v>3</v>
      </c>
      <c r="P3595">
        <v>2</v>
      </c>
      <c r="Q3595">
        <v>0</v>
      </c>
      <c r="R3595" t="s">
        <v>4557</v>
      </c>
      <c r="S3595" t="s">
        <v>4898</v>
      </c>
      <c r="T3595" t="s">
        <v>4559</v>
      </c>
      <c r="U3595" t="s">
        <v>4560</v>
      </c>
      <c r="V3595" s="2">
        <v>916</v>
      </c>
      <c r="W3595" t="s">
        <v>4655</v>
      </c>
      <c r="X3595" s="2">
        <v>0</v>
      </c>
      <c r="Y3595">
        <v>20</v>
      </c>
      <c r="Z3595" t="s">
        <v>3884</v>
      </c>
      <c r="AA3595" s="3">
        <v>5.0760002136230398</v>
      </c>
      <c r="AB3595" t="s">
        <v>19926</v>
      </c>
      <c r="AC3595" t="s">
        <v>4575</v>
      </c>
      <c r="AD3595" t="s">
        <v>19927</v>
      </c>
      <c r="AE3595" t="s">
        <v>4655</v>
      </c>
      <c r="AF3595" t="s">
        <v>4563</v>
      </c>
      <c r="AG3595" t="s">
        <v>4564</v>
      </c>
      <c r="AH3595">
        <v>89506</v>
      </c>
      <c r="AI3595" t="s">
        <v>19928</v>
      </c>
      <c r="AJ3595" t="s">
        <v>4655</v>
      </c>
      <c r="AK3595" t="s">
        <v>19924</v>
      </c>
      <c r="AL3595" s="13" t="s">
        <v>1902</v>
      </c>
      <c r="AM3595">
        <v>1</v>
      </c>
      <c r="AN3595" s="15" t="s">
        <v>4349</v>
      </c>
    </row>
    <row r="3596" spans="1:40" x14ac:dyDescent="0.3">
      <c r="A3596" s="10" t="str">
        <f>HYPERLINK("http://www.washoecounty.gov/assessor/cama/?parid=082-532-02&amp;CardNumber=1","082-532-02")</f>
        <v>082-532-02</v>
      </c>
      <c r="B3596" t="s">
        <v>4655</v>
      </c>
      <c r="C3596" t="s">
        <v>19929</v>
      </c>
      <c r="D3596" s="1">
        <v>40302</v>
      </c>
      <c r="E3596" s="2">
        <v>59900</v>
      </c>
      <c r="F3596" t="s">
        <v>4567</v>
      </c>
      <c r="G3596" s="17" t="str">
        <f>HYPERLINK("https://www.washoecounty.gov/assessor/cama/?command=sales&amp;parid=08253202","3877989")</f>
        <v>3877989</v>
      </c>
      <c r="H3596" t="s">
        <v>19930</v>
      </c>
      <c r="I3596">
        <v>1956</v>
      </c>
      <c r="J3596">
        <v>1956</v>
      </c>
      <c r="K3596" t="s">
        <v>4554</v>
      </c>
      <c r="L3596" t="s">
        <v>4555</v>
      </c>
      <c r="M3596" s="2">
        <v>1411</v>
      </c>
      <c r="N3596" t="s">
        <v>4556</v>
      </c>
      <c r="O3596">
        <v>3</v>
      </c>
      <c r="P3596">
        <v>2</v>
      </c>
      <c r="Q3596">
        <v>0</v>
      </c>
      <c r="R3596" t="s">
        <v>4557</v>
      </c>
      <c r="S3596" t="s">
        <v>4135</v>
      </c>
      <c r="T3596" t="s">
        <v>4559</v>
      </c>
      <c r="U3596" t="s">
        <v>4655</v>
      </c>
      <c r="V3596" s="2">
        <v>0</v>
      </c>
      <c r="W3596" t="s">
        <v>4655</v>
      </c>
      <c r="X3596" s="2">
        <v>0</v>
      </c>
      <c r="Y3596">
        <v>20</v>
      </c>
      <c r="Z3596" t="s">
        <v>365</v>
      </c>
      <c r="AA3596" s="3">
        <v>0.35101011395454401</v>
      </c>
      <c r="AB3596" t="s">
        <v>19931</v>
      </c>
      <c r="AC3596" t="s">
        <v>4562</v>
      </c>
      <c r="AD3596" t="s">
        <v>19932</v>
      </c>
      <c r="AE3596" t="s">
        <v>4655</v>
      </c>
      <c r="AF3596" t="s">
        <v>5206</v>
      </c>
      <c r="AG3596" t="s">
        <v>4564</v>
      </c>
      <c r="AH3596" t="s">
        <v>5275</v>
      </c>
      <c r="AI3596" t="s">
        <v>19933</v>
      </c>
      <c r="AJ3596" t="s">
        <v>4655</v>
      </c>
      <c r="AK3596" t="s">
        <v>19934</v>
      </c>
      <c r="AL3596" s="13" t="s">
        <v>2255</v>
      </c>
      <c r="AM3596">
        <v>1</v>
      </c>
      <c r="AN3596" s="15" t="s">
        <v>19891</v>
      </c>
    </row>
    <row r="3597" spans="1:40" x14ac:dyDescent="0.3">
      <c r="A3597" s="10" t="str">
        <f>HYPERLINK("http://www.washoecounty.gov/assessor/cama/?parid=082-584-09&amp;CardNumber=1","082-584-09")</f>
        <v>082-584-09</v>
      </c>
      <c r="B3597" t="s">
        <v>4655</v>
      </c>
      <c r="C3597" t="s">
        <v>19935</v>
      </c>
      <c r="D3597" s="1">
        <v>40319</v>
      </c>
      <c r="E3597" s="2">
        <v>40000</v>
      </c>
      <c r="F3597" t="s">
        <v>4553</v>
      </c>
      <c r="G3597" s="17" t="str">
        <f>HYPERLINK("https://www.washoecounty.gov/assessor/cama/?command=sales&amp;parid=08258409","3883855")</f>
        <v>3883855</v>
      </c>
      <c r="H3597" t="s">
        <v>19936</v>
      </c>
      <c r="I3597">
        <v>0</v>
      </c>
      <c r="J3597">
        <v>0</v>
      </c>
      <c r="K3597" t="s">
        <v>4655</v>
      </c>
      <c r="L3597" t="s">
        <v>4655</v>
      </c>
      <c r="M3597" s="2">
        <v>0</v>
      </c>
      <c r="N3597" t="s">
        <v>4655</v>
      </c>
      <c r="O3597">
        <v>0</v>
      </c>
      <c r="P3597">
        <v>0</v>
      </c>
      <c r="Q3597">
        <v>0</v>
      </c>
      <c r="R3597" t="s">
        <v>4655</v>
      </c>
      <c r="S3597" t="s">
        <v>4655</v>
      </c>
      <c r="T3597" t="s">
        <v>4655</v>
      </c>
      <c r="U3597" t="s">
        <v>4655</v>
      </c>
      <c r="V3597" s="2">
        <v>0</v>
      </c>
      <c r="W3597" t="s">
        <v>4655</v>
      </c>
      <c r="X3597" s="2">
        <v>0</v>
      </c>
      <c r="Y3597">
        <v>23</v>
      </c>
      <c r="Z3597" t="s">
        <v>5282</v>
      </c>
      <c r="AA3597" s="3">
        <v>0.56999540328979403</v>
      </c>
      <c r="AB3597" t="s">
        <v>19937</v>
      </c>
      <c r="AC3597" t="s">
        <v>4562</v>
      </c>
      <c r="AD3597" t="s">
        <v>19938</v>
      </c>
      <c r="AE3597" t="s">
        <v>4655</v>
      </c>
      <c r="AF3597" t="s">
        <v>4752</v>
      </c>
      <c r="AG3597" t="s">
        <v>4564</v>
      </c>
      <c r="AH3597">
        <v>89506</v>
      </c>
      <c r="AI3597" t="s">
        <v>3810</v>
      </c>
      <c r="AJ3597" t="s">
        <v>4655</v>
      </c>
      <c r="AK3597" t="s">
        <v>19939</v>
      </c>
      <c r="AL3597" s="13" t="s">
        <v>2255</v>
      </c>
      <c r="AM3597">
        <v>0</v>
      </c>
      <c r="AN3597" s="15" t="s">
        <v>2103</v>
      </c>
    </row>
    <row r="3598" spans="1:40" x14ac:dyDescent="0.3">
      <c r="A3598" s="10" t="str">
        <f>HYPERLINK("http://www.washoecounty.gov/assessor/cama/?parid=082-585-26&amp;CardNumber=1","082-585-26")</f>
        <v>082-585-26</v>
      </c>
      <c r="B3598" t="s">
        <v>4655</v>
      </c>
      <c r="C3598" t="s">
        <v>19940</v>
      </c>
      <c r="D3598" s="1">
        <v>40442</v>
      </c>
      <c r="E3598" s="2">
        <v>40950</v>
      </c>
      <c r="F3598" t="s">
        <v>4553</v>
      </c>
      <c r="G3598" s="17" t="str">
        <f>HYPERLINK("https://www.washoecounty.gov/assessor/cama/?command=sales&amp;parid=08258526","3924269")</f>
        <v>3924269</v>
      </c>
      <c r="H3598" t="s">
        <v>19941</v>
      </c>
      <c r="I3598">
        <v>1978</v>
      </c>
      <c r="J3598">
        <v>1978</v>
      </c>
      <c r="K3598" t="s">
        <v>4847</v>
      </c>
      <c r="L3598" t="s">
        <v>4555</v>
      </c>
      <c r="M3598" s="2">
        <v>1725</v>
      </c>
      <c r="N3598" t="s">
        <v>4048</v>
      </c>
      <c r="O3598">
        <v>3</v>
      </c>
      <c r="P3598">
        <v>2</v>
      </c>
      <c r="Q3598">
        <v>0</v>
      </c>
      <c r="R3598" t="s">
        <v>4557</v>
      </c>
      <c r="S3598" t="s">
        <v>4558</v>
      </c>
      <c r="T3598" t="s">
        <v>4559</v>
      </c>
      <c r="U3598" t="s">
        <v>4655</v>
      </c>
      <c r="V3598" s="2">
        <v>0</v>
      </c>
      <c r="W3598" t="s">
        <v>4655</v>
      </c>
      <c r="X3598" s="2">
        <v>0</v>
      </c>
      <c r="Y3598">
        <v>22</v>
      </c>
      <c r="Z3598" t="s">
        <v>5282</v>
      </c>
      <c r="AA3598" s="3">
        <v>0.34999999403953602</v>
      </c>
      <c r="AB3598" t="s">
        <v>19942</v>
      </c>
      <c r="AC3598" t="s">
        <v>4562</v>
      </c>
      <c r="AD3598" t="s">
        <v>19943</v>
      </c>
      <c r="AE3598" t="s">
        <v>4655</v>
      </c>
      <c r="AF3598" t="s">
        <v>1821</v>
      </c>
      <c r="AG3598" t="s">
        <v>4564</v>
      </c>
      <c r="AH3598">
        <v>89408</v>
      </c>
      <c r="AI3598" t="s">
        <v>4903</v>
      </c>
      <c r="AJ3598" t="s">
        <v>4655</v>
      </c>
      <c r="AK3598" t="s">
        <v>19944</v>
      </c>
      <c r="AL3598" s="13" t="s">
        <v>2255</v>
      </c>
      <c r="AM3598">
        <v>1</v>
      </c>
      <c r="AN3598" s="15" t="s">
        <v>2103</v>
      </c>
    </row>
    <row r="3599" spans="1:40" x14ac:dyDescent="0.3">
      <c r="A3599" s="10" t="str">
        <f>HYPERLINK("http://www.washoecounty.gov/assessor/cama/?parid=082-587-11&amp;CardNumber=1","082-587-11")</f>
        <v>082-587-11</v>
      </c>
      <c r="B3599" t="s">
        <v>4655</v>
      </c>
      <c r="C3599" t="s">
        <v>19945</v>
      </c>
      <c r="D3599" s="1">
        <v>40479</v>
      </c>
      <c r="E3599" s="2">
        <v>40000</v>
      </c>
      <c r="F3599" t="s">
        <v>4567</v>
      </c>
      <c r="G3599" s="17" t="str">
        <f>HYPERLINK("https://www.washoecounty.gov/assessor/cama/?command=sales&amp;parid=08258711","3937578")</f>
        <v>3937578</v>
      </c>
      <c r="H3599" t="s">
        <v>2700</v>
      </c>
      <c r="I3599">
        <v>0</v>
      </c>
      <c r="J3599">
        <v>0</v>
      </c>
      <c r="K3599" t="s">
        <v>4655</v>
      </c>
      <c r="L3599" t="s">
        <v>4655</v>
      </c>
      <c r="M3599" s="2">
        <v>0</v>
      </c>
      <c r="N3599" t="s">
        <v>4655</v>
      </c>
      <c r="O3599">
        <v>0</v>
      </c>
      <c r="P3599">
        <v>0</v>
      </c>
      <c r="Q3599">
        <v>0</v>
      </c>
      <c r="R3599" t="s">
        <v>4655</v>
      </c>
      <c r="S3599" t="s">
        <v>4655</v>
      </c>
      <c r="T3599" t="s">
        <v>4655</v>
      </c>
      <c r="U3599" t="s">
        <v>4655</v>
      </c>
      <c r="V3599" s="2">
        <v>0</v>
      </c>
      <c r="W3599" t="s">
        <v>4655</v>
      </c>
      <c r="X3599" s="2">
        <v>0</v>
      </c>
      <c r="Y3599">
        <v>23</v>
      </c>
      <c r="Z3599" t="s">
        <v>5282</v>
      </c>
      <c r="AA3599" s="3">
        <v>0.35798898339271545</v>
      </c>
      <c r="AB3599" t="s">
        <v>19946</v>
      </c>
      <c r="AC3599" t="s">
        <v>4562</v>
      </c>
      <c r="AD3599" t="s">
        <v>19947</v>
      </c>
      <c r="AE3599" t="s">
        <v>4655</v>
      </c>
      <c r="AF3599" t="s">
        <v>4563</v>
      </c>
      <c r="AG3599" t="s">
        <v>4564</v>
      </c>
      <c r="AH3599">
        <v>89506</v>
      </c>
      <c r="AI3599" t="s">
        <v>19948</v>
      </c>
      <c r="AJ3599" t="s">
        <v>4655</v>
      </c>
      <c r="AK3599" t="s">
        <v>19949</v>
      </c>
      <c r="AL3599" s="13" t="s">
        <v>2255</v>
      </c>
      <c r="AM3599">
        <v>0</v>
      </c>
      <c r="AN3599" s="15" t="s">
        <v>2103</v>
      </c>
    </row>
    <row r="3600" spans="1:40" x14ac:dyDescent="0.3">
      <c r="A3600" s="10" t="str">
        <f>HYPERLINK("http://www.washoecounty.gov/assessor/cama/?parid=082-593-19&amp;CardNumber=1","082-593-19")</f>
        <v>082-593-19</v>
      </c>
      <c r="B3600" t="s">
        <v>4655</v>
      </c>
      <c r="C3600" t="s">
        <v>19950</v>
      </c>
      <c r="D3600" s="1">
        <v>40424</v>
      </c>
      <c r="E3600" s="2">
        <v>65900</v>
      </c>
      <c r="F3600" t="s">
        <v>4553</v>
      </c>
      <c r="G3600" s="17" t="str">
        <f>HYPERLINK("https://www.washoecounty.gov/assessor/cama/?command=sales&amp;parid=08259319","3918853")</f>
        <v>3918853</v>
      </c>
      <c r="H3600" t="s">
        <v>19951</v>
      </c>
      <c r="I3600">
        <v>2004</v>
      </c>
      <c r="J3600">
        <v>2004</v>
      </c>
      <c r="K3600" t="s">
        <v>4847</v>
      </c>
      <c r="L3600" t="s">
        <v>4555</v>
      </c>
      <c r="M3600" s="2">
        <v>1404</v>
      </c>
      <c r="N3600" t="s">
        <v>5280</v>
      </c>
      <c r="O3600">
        <v>3</v>
      </c>
      <c r="P3600">
        <v>2</v>
      </c>
      <c r="Q3600">
        <v>0</v>
      </c>
      <c r="R3600" t="s">
        <v>4557</v>
      </c>
      <c r="S3600" t="s">
        <v>4558</v>
      </c>
      <c r="T3600" t="s">
        <v>4559</v>
      </c>
      <c r="U3600" t="s">
        <v>4655</v>
      </c>
      <c r="V3600" s="2">
        <v>0</v>
      </c>
      <c r="W3600" t="s">
        <v>4655</v>
      </c>
      <c r="X3600" s="2">
        <v>0</v>
      </c>
      <c r="Y3600">
        <v>22</v>
      </c>
      <c r="Z3600" t="s">
        <v>5282</v>
      </c>
      <c r="AA3600" s="3">
        <v>0.54634988307952803</v>
      </c>
      <c r="AB3600" t="s">
        <v>19952</v>
      </c>
      <c r="AC3600" t="s">
        <v>4562</v>
      </c>
      <c r="AD3600" t="s">
        <v>19953</v>
      </c>
      <c r="AE3600" t="s">
        <v>4655</v>
      </c>
      <c r="AF3600" t="s">
        <v>4563</v>
      </c>
      <c r="AG3600" t="s">
        <v>4564</v>
      </c>
      <c r="AH3600">
        <v>89506</v>
      </c>
      <c r="AI3600" t="s">
        <v>4848</v>
      </c>
      <c r="AJ3600" t="s">
        <v>4655</v>
      </c>
      <c r="AK3600" t="s">
        <v>19954</v>
      </c>
      <c r="AL3600" s="13" t="s">
        <v>2255</v>
      </c>
      <c r="AM3600">
        <v>1</v>
      </c>
      <c r="AN3600" s="15" t="s">
        <v>2103</v>
      </c>
    </row>
    <row r="3601" spans="1:40" x14ac:dyDescent="0.3">
      <c r="A3601" s="10" t="str">
        <f>HYPERLINK("http://www.washoecounty.gov/assessor/cama/?parid=082-593-23&amp;CardNumber=1","082-593-23")</f>
        <v>082-593-23</v>
      </c>
      <c r="B3601" t="s">
        <v>4655</v>
      </c>
      <c r="C3601" t="s">
        <v>19955</v>
      </c>
      <c r="D3601" s="1">
        <v>40448</v>
      </c>
      <c r="E3601" s="2">
        <v>128900</v>
      </c>
      <c r="F3601" t="s">
        <v>4553</v>
      </c>
      <c r="G3601" s="17" t="str">
        <f>HYPERLINK("https://www.washoecounty.gov/assessor/cama/?command=sales&amp;parid=08259323","3926635")</f>
        <v>3926635</v>
      </c>
      <c r="H3601" t="s">
        <v>19956</v>
      </c>
      <c r="I3601">
        <v>1965</v>
      </c>
      <c r="J3601">
        <v>1992</v>
      </c>
      <c r="K3601" t="s">
        <v>4554</v>
      </c>
      <c r="L3601" t="s">
        <v>4555</v>
      </c>
      <c r="M3601" s="2">
        <v>2434</v>
      </c>
      <c r="N3601" t="s">
        <v>4133</v>
      </c>
      <c r="O3601">
        <v>3</v>
      </c>
      <c r="P3601">
        <v>3</v>
      </c>
      <c r="Q3601">
        <v>0</v>
      </c>
      <c r="R3601" t="s">
        <v>5281</v>
      </c>
      <c r="S3601" t="s">
        <v>4558</v>
      </c>
      <c r="T3601" t="s">
        <v>4559</v>
      </c>
      <c r="U3601" t="s">
        <v>4560</v>
      </c>
      <c r="V3601" s="2">
        <v>550</v>
      </c>
      <c r="W3601" t="s">
        <v>4655</v>
      </c>
      <c r="X3601" s="2">
        <v>0</v>
      </c>
      <c r="Y3601">
        <v>20</v>
      </c>
      <c r="Z3601" t="s">
        <v>5282</v>
      </c>
      <c r="AA3601" s="3">
        <v>0.37543618679046598</v>
      </c>
      <c r="AB3601" t="s">
        <v>19957</v>
      </c>
      <c r="AC3601" t="s">
        <v>4562</v>
      </c>
      <c r="AD3601" t="s">
        <v>19955</v>
      </c>
      <c r="AE3601" t="s">
        <v>4655</v>
      </c>
      <c r="AF3601" t="s">
        <v>4563</v>
      </c>
      <c r="AG3601" t="s">
        <v>4564</v>
      </c>
      <c r="AH3601">
        <v>89506</v>
      </c>
      <c r="AI3601" t="s">
        <v>4974</v>
      </c>
      <c r="AJ3601" t="s">
        <v>19958</v>
      </c>
      <c r="AK3601" t="s">
        <v>19959</v>
      </c>
      <c r="AL3601" s="13" t="s">
        <v>2255</v>
      </c>
      <c r="AM3601">
        <v>1</v>
      </c>
      <c r="AN3601" s="15" t="s">
        <v>2103</v>
      </c>
    </row>
    <row r="3602" spans="1:40" x14ac:dyDescent="0.3">
      <c r="A3602" s="10" t="str">
        <f>HYPERLINK("http://www.washoecounty.gov/assessor/cama/?parid=082-600-05&amp;CardNumber=1","082-600-05")</f>
        <v>082-600-05</v>
      </c>
      <c r="B3602" t="s">
        <v>4655</v>
      </c>
      <c r="C3602" t="s">
        <v>19960</v>
      </c>
      <c r="D3602" s="1">
        <v>40431</v>
      </c>
      <c r="E3602" s="2">
        <v>1800000</v>
      </c>
      <c r="F3602" t="s">
        <v>3259</v>
      </c>
      <c r="G3602" s="17" t="str">
        <f>HYPERLINK("https://www.washoecounty.gov/assessor/cama/?command=sales&amp;parid=08260005","3920873")</f>
        <v>3920873</v>
      </c>
      <c r="H3602" t="s">
        <v>4655</v>
      </c>
      <c r="I3602">
        <v>1975</v>
      </c>
      <c r="J3602">
        <v>1978</v>
      </c>
      <c r="K3602" t="s">
        <v>1375</v>
      </c>
      <c r="L3602" t="s">
        <v>1366</v>
      </c>
      <c r="M3602" s="2">
        <v>66240</v>
      </c>
      <c r="N3602" t="s">
        <v>1367</v>
      </c>
      <c r="O3602">
        <v>0</v>
      </c>
      <c r="P3602">
        <v>0</v>
      </c>
      <c r="Q3602">
        <v>0</v>
      </c>
      <c r="R3602" t="s">
        <v>1368</v>
      </c>
      <c r="S3602" t="s">
        <v>4856</v>
      </c>
      <c r="T3602" t="s">
        <v>4655</v>
      </c>
      <c r="U3602" t="s">
        <v>4655</v>
      </c>
      <c r="V3602" s="2">
        <v>0</v>
      </c>
      <c r="W3602" t="s">
        <v>4655</v>
      </c>
      <c r="X3602" s="2">
        <v>0</v>
      </c>
      <c r="Y3602">
        <v>50</v>
      </c>
      <c r="Z3602" t="s">
        <v>1397</v>
      </c>
      <c r="AA3602" s="3">
        <v>2.61100006103515</v>
      </c>
      <c r="AB3602" t="s">
        <v>19961</v>
      </c>
      <c r="AC3602" t="s">
        <v>4562</v>
      </c>
      <c r="AD3602" t="s">
        <v>19962</v>
      </c>
      <c r="AE3602" t="s">
        <v>4655</v>
      </c>
      <c r="AF3602" t="s">
        <v>19963</v>
      </c>
      <c r="AG3602" t="s">
        <v>4657</v>
      </c>
      <c r="AH3602">
        <v>63301</v>
      </c>
      <c r="AI3602" t="s">
        <v>19964</v>
      </c>
      <c r="AJ3602" t="s">
        <v>4655</v>
      </c>
      <c r="AK3602" t="s">
        <v>19965</v>
      </c>
      <c r="AL3602" s="13" t="s">
        <v>2255</v>
      </c>
      <c r="AM3602" s="14">
        <v>1</v>
      </c>
      <c r="AN3602" s="15" t="s">
        <v>3994</v>
      </c>
    </row>
    <row r="3603" spans="1:40" x14ac:dyDescent="0.3">
      <c r="A3603" s="10" t="str">
        <f>HYPERLINK("http://www.washoecounty.gov/assessor/cama/?parid=082-613-12&amp;CardNumber=1","082-613-12")</f>
        <v>082-613-12</v>
      </c>
      <c r="B3603" t="s">
        <v>4655</v>
      </c>
      <c r="C3603" t="s">
        <v>19966</v>
      </c>
      <c r="D3603" s="1">
        <v>40359</v>
      </c>
      <c r="E3603" s="2">
        <v>110250</v>
      </c>
      <c r="F3603" t="s">
        <v>4553</v>
      </c>
      <c r="G3603" s="17" t="str">
        <f>HYPERLINK("https://www.washoecounty.gov/assessor/cama/?command=sales&amp;parid=08261312","3897450")</f>
        <v>3897450</v>
      </c>
      <c r="H3603" t="s">
        <v>19967</v>
      </c>
      <c r="I3603">
        <v>2007</v>
      </c>
      <c r="J3603">
        <v>2007</v>
      </c>
      <c r="K3603" t="s">
        <v>4554</v>
      </c>
      <c r="L3603" t="s">
        <v>4555</v>
      </c>
      <c r="M3603" s="2">
        <v>2101</v>
      </c>
      <c r="N3603" t="s">
        <v>5280</v>
      </c>
      <c r="O3603">
        <v>4</v>
      </c>
      <c r="P3603">
        <v>3</v>
      </c>
      <c r="Q3603">
        <v>0</v>
      </c>
      <c r="R3603" t="s">
        <v>5281</v>
      </c>
      <c r="S3603" t="s">
        <v>4898</v>
      </c>
      <c r="T3603" t="s">
        <v>4559</v>
      </c>
      <c r="U3603" t="s">
        <v>4560</v>
      </c>
      <c r="V3603" s="2">
        <v>483</v>
      </c>
      <c r="W3603" t="s">
        <v>4655</v>
      </c>
      <c r="X3603" s="2">
        <v>0</v>
      </c>
      <c r="Y3603">
        <v>20</v>
      </c>
      <c r="Z3603" t="s">
        <v>5282</v>
      </c>
      <c r="AA3603" s="3">
        <v>0.17217630147933999</v>
      </c>
      <c r="AB3603" t="s">
        <v>19968</v>
      </c>
      <c r="AC3603" t="s">
        <v>4562</v>
      </c>
      <c r="AD3603" t="s">
        <v>19969</v>
      </c>
      <c r="AE3603" t="s">
        <v>4655</v>
      </c>
      <c r="AF3603" t="s">
        <v>4563</v>
      </c>
      <c r="AG3603" t="s">
        <v>4564</v>
      </c>
      <c r="AH3603" t="s">
        <v>5197</v>
      </c>
      <c r="AI3603" t="s">
        <v>4903</v>
      </c>
      <c r="AJ3603" t="s">
        <v>19970</v>
      </c>
      <c r="AK3603" t="s">
        <v>19971</v>
      </c>
      <c r="AL3603" s="13" t="s">
        <v>1322</v>
      </c>
      <c r="AM3603">
        <v>1</v>
      </c>
      <c r="AN3603" s="15" t="s">
        <v>566</v>
      </c>
    </row>
    <row r="3604" spans="1:40" x14ac:dyDescent="0.3">
      <c r="A3604" s="10" t="str">
        <f>HYPERLINK("http://www.washoecounty.gov/assessor/cama/?parid=082-660-13&amp;CardNumber=1","082-660-13")</f>
        <v>082-660-13</v>
      </c>
      <c r="B3604" t="s">
        <v>4655</v>
      </c>
      <c r="C3604" t="s">
        <v>19972</v>
      </c>
      <c r="D3604" s="1">
        <v>40331</v>
      </c>
      <c r="E3604" s="2">
        <v>65000</v>
      </c>
      <c r="F3604" t="s">
        <v>4567</v>
      </c>
      <c r="G3604" s="17" t="str">
        <f>HYPERLINK("https://www.washoecounty.gov/assessor/cama/?command=sales&amp;parid=08266013","3887687")</f>
        <v>3887687</v>
      </c>
      <c r="H3604" t="s">
        <v>19973</v>
      </c>
      <c r="I3604">
        <v>1984</v>
      </c>
      <c r="J3604">
        <v>1984</v>
      </c>
      <c r="K3604" t="s">
        <v>4847</v>
      </c>
      <c r="L3604" t="s">
        <v>4555</v>
      </c>
      <c r="M3604" s="2">
        <v>1584</v>
      </c>
      <c r="N3604" t="s">
        <v>5280</v>
      </c>
      <c r="O3604">
        <v>3</v>
      </c>
      <c r="P3604">
        <v>2</v>
      </c>
      <c r="Q3604">
        <v>0</v>
      </c>
      <c r="R3604" t="s">
        <v>5281</v>
      </c>
      <c r="S3604" t="s">
        <v>4135</v>
      </c>
      <c r="T3604" t="s">
        <v>4559</v>
      </c>
      <c r="U3604" t="s">
        <v>4655</v>
      </c>
      <c r="V3604" s="2">
        <v>0</v>
      </c>
      <c r="W3604" t="s">
        <v>4655</v>
      </c>
      <c r="X3604" s="2">
        <v>0</v>
      </c>
      <c r="Y3604">
        <v>22</v>
      </c>
      <c r="Z3604" t="s">
        <v>5508</v>
      </c>
      <c r="AA3604" s="3">
        <v>0.339990824460983</v>
      </c>
      <c r="AB3604" t="s">
        <v>19974</v>
      </c>
      <c r="AC3604" t="s">
        <v>4562</v>
      </c>
      <c r="AD3604" t="s">
        <v>19972</v>
      </c>
      <c r="AE3604" t="s">
        <v>4655</v>
      </c>
      <c r="AF3604" t="s">
        <v>4563</v>
      </c>
      <c r="AG3604" t="s">
        <v>4564</v>
      </c>
      <c r="AH3604">
        <v>89506</v>
      </c>
      <c r="AI3604" t="s">
        <v>4655</v>
      </c>
      <c r="AJ3604" t="s">
        <v>4655</v>
      </c>
      <c r="AK3604" t="s">
        <v>19975</v>
      </c>
      <c r="AL3604" s="13" t="s">
        <v>1589</v>
      </c>
      <c r="AM3604">
        <v>1</v>
      </c>
      <c r="AN3604" s="15" t="s">
        <v>152</v>
      </c>
    </row>
    <row r="3605" spans="1:40" x14ac:dyDescent="0.3">
      <c r="A3605" s="10" t="str">
        <f>HYPERLINK("http://www.washoecounty.gov/assessor/cama/?parid=082-660-17&amp;CardNumber=1","082-660-17")</f>
        <v>082-660-17</v>
      </c>
      <c r="B3605" t="s">
        <v>4655</v>
      </c>
      <c r="C3605" t="s">
        <v>19976</v>
      </c>
      <c r="D3605" s="1">
        <v>40344</v>
      </c>
      <c r="E3605" s="2">
        <v>55000</v>
      </c>
      <c r="F3605" t="s">
        <v>4567</v>
      </c>
      <c r="G3605" s="17" t="str">
        <f>HYPERLINK("https://www.washoecounty.gov/assessor/cama/?command=sales&amp;parid=08266017","3892102")</f>
        <v>3892102</v>
      </c>
      <c r="H3605" t="s">
        <v>4064</v>
      </c>
      <c r="I3605">
        <v>0</v>
      </c>
      <c r="J3605">
        <v>0</v>
      </c>
      <c r="K3605" t="s">
        <v>4655</v>
      </c>
      <c r="L3605" t="s">
        <v>4655</v>
      </c>
      <c r="M3605" s="2">
        <v>0</v>
      </c>
      <c r="N3605" t="s">
        <v>4655</v>
      </c>
      <c r="O3605">
        <v>0</v>
      </c>
      <c r="P3605">
        <v>0</v>
      </c>
      <c r="Q3605">
        <v>0</v>
      </c>
      <c r="R3605" t="s">
        <v>4655</v>
      </c>
      <c r="S3605" t="s">
        <v>4655</v>
      </c>
      <c r="T3605" t="s">
        <v>4655</v>
      </c>
      <c r="U3605" t="s">
        <v>4655</v>
      </c>
      <c r="V3605" s="2">
        <v>0</v>
      </c>
      <c r="W3605" t="s">
        <v>4655</v>
      </c>
      <c r="X3605" s="2">
        <v>0</v>
      </c>
      <c r="Y3605">
        <v>23</v>
      </c>
      <c r="Z3605" t="s">
        <v>5508</v>
      </c>
      <c r="AA3605" s="3">
        <v>0.17100550234317799</v>
      </c>
      <c r="AB3605" t="s">
        <v>19977</v>
      </c>
      <c r="AC3605" t="s">
        <v>4562</v>
      </c>
      <c r="AD3605" t="s">
        <v>19978</v>
      </c>
      <c r="AE3605" t="s">
        <v>4655</v>
      </c>
      <c r="AF3605" t="s">
        <v>4563</v>
      </c>
      <c r="AG3605" t="s">
        <v>4564</v>
      </c>
      <c r="AH3605">
        <v>89506</v>
      </c>
      <c r="AI3605" t="s">
        <v>19979</v>
      </c>
      <c r="AJ3605" t="s">
        <v>4655</v>
      </c>
      <c r="AK3605" t="s">
        <v>19980</v>
      </c>
      <c r="AL3605" s="13" t="s">
        <v>1589</v>
      </c>
      <c r="AM3605">
        <v>0</v>
      </c>
      <c r="AN3605" s="15" t="s">
        <v>152</v>
      </c>
    </row>
    <row r="3606" spans="1:40" x14ac:dyDescent="0.3">
      <c r="A3606" s="10" t="str">
        <f>HYPERLINK("http://www.washoecounty.gov/assessor/cama/?parid=082-701-02&amp;CardNumber=1","082-701-02")</f>
        <v>082-701-02</v>
      </c>
      <c r="B3606" t="s">
        <v>4655</v>
      </c>
      <c r="C3606" t="s">
        <v>19981</v>
      </c>
      <c r="D3606" s="1">
        <v>40325</v>
      </c>
      <c r="E3606" s="2">
        <v>42000</v>
      </c>
      <c r="F3606" t="s">
        <v>4553</v>
      </c>
      <c r="G3606" s="17" t="str">
        <f>HYPERLINK("https://www.washoecounty.gov/assessor/cama/?command=sales&amp;parid=08270102","3886203")</f>
        <v>3886203</v>
      </c>
      <c r="H3606" t="s">
        <v>3710</v>
      </c>
      <c r="I3606">
        <v>1993</v>
      </c>
      <c r="J3606">
        <v>1993</v>
      </c>
      <c r="K3606" t="s">
        <v>4847</v>
      </c>
      <c r="L3606" t="s">
        <v>4555</v>
      </c>
      <c r="M3606" s="2">
        <v>1535</v>
      </c>
      <c r="N3606" t="s">
        <v>5280</v>
      </c>
      <c r="O3606">
        <v>3</v>
      </c>
      <c r="P3606">
        <v>2</v>
      </c>
      <c r="Q3606">
        <v>0</v>
      </c>
      <c r="R3606" t="s">
        <v>4557</v>
      </c>
      <c r="S3606" t="s">
        <v>4558</v>
      </c>
      <c r="T3606" t="s">
        <v>4559</v>
      </c>
      <c r="U3606" t="s">
        <v>4655</v>
      </c>
      <c r="V3606" s="2">
        <v>0</v>
      </c>
      <c r="W3606" t="s">
        <v>4655</v>
      </c>
      <c r="X3606" s="2">
        <v>0</v>
      </c>
      <c r="Y3606">
        <v>22</v>
      </c>
      <c r="Z3606" t="s">
        <v>4051</v>
      </c>
      <c r="AA3606" s="3">
        <v>0.20599173009395599</v>
      </c>
      <c r="AB3606" t="s">
        <v>19982</v>
      </c>
      <c r="AC3606" t="s">
        <v>4562</v>
      </c>
      <c r="AD3606" t="s">
        <v>19983</v>
      </c>
      <c r="AE3606" t="s">
        <v>4655</v>
      </c>
      <c r="AF3606" t="s">
        <v>4563</v>
      </c>
      <c r="AG3606" t="s">
        <v>4564</v>
      </c>
      <c r="AH3606">
        <v>89506</v>
      </c>
      <c r="AI3606" t="s">
        <v>4851</v>
      </c>
      <c r="AJ3606" t="s">
        <v>19984</v>
      </c>
      <c r="AK3606" t="s">
        <v>19985</v>
      </c>
      <c r="AL3606" s="13" t="s">
        <v>2255</v>
      </c>
      <c r="AM3606" s="14">
        <v>1</v>
      </c>
      <c r="AN3606" s="15" t="s">
        <v>2433</v>
      </c>
    </row>
    <row r="3607" spans="1:40" x14ac:dyDescent="0.3">
      <c r="A3607" s="10" t="str">
        <f>HYPERLINK("http://www.washoecounty.gov/assessor/cama/?parid=082-701-02&amp;CardNumber=1","082-701-02")</f>
        <v>082-701-02</v>
      </c>
      <c r="B3607" t="s">
        <v>4655</v>
      </c>
      <c r="C3607" t="s">
        <v>19981</v>
      </c>
      <c r="D3607" s="1">
        <v>40352</v>
      </c>
      <c r="E3607" s="2">
        <v>80000</v>
      </c>
      <c r="F3607" t="s">
        <v>4567</v>
      </c>
      <c r="G3607" s="17" t="str">
        <f>HYPERLINK("https://www.washoecounty.gov/assessor/cama/?command=sales&amp;parid=08270102","3894580")</f>
        <v>3894580</v>
      </c>
      <c r="H3607" t="s">
        <v>3710</v>
      </c>
      <c r="I3607">
        <v>1993</v>
      </c>
      <c r="J3607">
        <v>1993</v>
      </c>
      <c r="K3607" t="s">
        <v>4847</v>
      </c>
      <c r="L3607" t="s">
        <v>4555</v>
      </c>
      <c r="M3607" s="2">
        <v>1535</v>
      </c>
      <c r="N3607" t="s">
        <v>5280</v>
      </c>
      <c r="O3607">
        <v>3</v>
      </c>
      <c r="P3607">
        <v>2</v>
      </c>
      <c r="Q3607">
        <v>0</v>
      </c>
      <c r="R3607" t="s">
        <v>4557</v>
      </c>
      <c r="S3607" t="s">
        <v>4558</v>
      </c>
      <c r="T3607" t="s">
        <v>4559</v>
      </c>
      <c r="U3607" t="s">
        <v>4655</v>
      </c>
      <c r="V3607" s="2">
        <v>0</v>
      </c>
      <c r="W3607" t="s">
        <v>4655</v>
      </c>
      <c r="X3607" s="2">
        <v>0</v>
      </c>
      <c r="Y3607">
        <v>22</v>
      </c>
      <c r="Z3607" t="s">
        <v>4051</v>
      </c>
      <c r="AA3607" s="3">
        <v>0.20599173009395599</v>
      </c>
      <c r="AB3607" t="s">
        <v>19982</v>
      </c>
      <c r="AC3607" t="s">
        <v>4562</v>
      </c>
      <c r="AD3607" t="s">
        <v>19983</v>
      </c>
      <c r="AE3607" t="s">
        <v>4655</v>
      </c>
      <c r="AF3607" t="s">
        <v>4563</v>
      </c>
      <c r="AG3607" t="s">
        <v>4564</v>
      </c>
      <c r="AH3607">
        <v>89506</v>
      </c>
      <c r="AI3607" t="s">
        <v>4851</v>
      </c>
      <c r="AJ3607" t="s">
        <v>19984</v>
      </c>
      <c r="AK3607" t="s">
        <v>19985</v>
      </c>
      <c r="AL3607" s="13" t="s">
        <v>2255</v>
      </c>
      <c r="AM3607">
        <v>1</v>
      </c>
      <c r="AN3607" s="15" t="s">
        <v>2433</v>
      </c>
    </row>
    <row r="3608" spans="1:40" x14ac:dyDescent="0.3">
      <c r="A3608" s="10" t="str">
        <f>HYPERLINK("http://www.washoecounty.gov/assessor/cama/?parid=082-701-05&amp;CardNumber=1","082-701-05")</f>
        <v>082-701-05</v>
      </c>
      <c r="B3608" t="s">
        <v>4655</v>
      </c>
      <c r="C3608" t="s">
        <v>19986</v>
      </c>
      <c r="D3608" s="1">
        <v>40344</v>
      </c>
      <c r="E3608" s="2">
        <v>66000</v>
      </c>
      <c r="F3608" t="s">
        <v>4553</v>
      </c>
      <c r="G3608" s="17" t="str">
        <f>HYPERLINK("https://www.washoecounty.gov/assessor/cama/?command=sales&amp;parid=08270105","3891806")</f>
        <v>3891806</v>
      </c>
      <c r="H3608" t="s">
        <v>3710</v>
      </c>
      <c r="I3608">
        <v>2004</v>
      </c>
      <c r="J3608">
        <v>2004</v>
      </c>
      <c r="K3608" t="s">
        <v>4847</v>
      </c>
      <c r="L3608" t="s">
        <v>4555</v>
      </c>
      <c r="M3608" s="2">
        <v>2227</v>
      </c>
      <c r="N3608" t="s">
        <v>4048</v>
      </c>
      <c r="O3608">
        <v>3</v>
      </c>
      <c r="P3608">
        <v>2</v>
      </c>
      <c r="Q3608">
        <v>0</v>
      </c>
      <c r="R3608" t="s">
        <v>5281</v>
      </c>
      <c r="S3608" t="s">
        <v>4135</v>
      </c>
      <c r="T3608" t="s">
        <v>4559</v>
      </c>
      <c r="U3608" t="s">
        <v>4655</v>
      </c>
      <c r="V3608" s="2">
        <v>0</v>
      </c>
      <c r="W3608" t="s">
        <v>4655</v>
      </c>
      <c r="X3608" s="2">
        <v>0</v>
      </c>
      <c r="Y3608">
        <v>22</v>
      </c>
      <c r="Z3608" t="s">
        <v>4051</v>
      </c>
      <c r="AA3608" s="3">
        <v>0.205004587769508</v>
      </c>
      <c r="AB3608" t="s">
        <v>19987</v>
      </c>
      <c r="AC3608" t="s">
        <v>4562</v>
      </c>
      <c r="AD3608" t="s">
        <v>19988</v>
      </c>
      <c r="AE3608" t="s">
        <v>4655</v>
      </c>
      <c r="AF3608" t="s">
        <v>19989</v>
      </c>
      <c r="AG3608" t="s">
        <v>4584</v>
      </c>
      <c r="AH3608" t="s">
        <v>19990</v>
      </c>
      <c r="AI3608" t="s">
        <v>4328</v>
      </c>
      <c r="AJ3608" t="s">
        <v>19984</v>
      </c>
      <c r="AK3608" t="s">
        <v>19991</v>
      </c>
      <c r="AL3608" s="13" t="s">
        <v>2255</v>
      </c>
      <c r="AM3608" s="14">
        <v>1</v>
      </c>
      <c r="AN3608" s="15" t="s">
        <v>2433</v>
      </c>
    </row>
    <row r="3609" spans="1:40" x14ac:dyDescent="0.3">
      <c r="A3609" s="10" t="str">
        <f>HYPERLINK("http://www.washoecounty.gov/assessor/cama/?parid=082-701-24&amp;CardNumber=1","082-701-24")</f>
        <v>082-701-24</v>
      </c>
      <c r="B3609" t="s">
        <v>4655</v>
      </c>
      <c r="C3609" t="s">
        <v>19992</v>
      </c>
      <c r="D3609" s="1">
        <v>40458</v>
      </c>
      <c r="E3609" s="2">
        <v>42000</v>
      </c>
      <c r="F3609" t="s">
        <v>4553</v>
      </c>
      <c r="G3609" s="17" t="str">
        <f>HYPERLINK("https://www.washoecounty.gov/assessor/cama/?command=sales&amp;parid=08270124","3930696")</f>
        <v>3930696</v>
      </c>
      <c r="H3609" t="s">
        <v>3710</v>
      </c>
      <c r="I3609">
        <v>1995</v>
      </c>
      <c r="J3609">
        <v>1995</v>
      </c>
      <c r="K3609" t="s">
        <v>4847</v>
      </c>
      <c r="L3609" t="s">
        <v>4555</v>
      </c>
      <c r="M3609" s="2">
        <v>1248</v>
      </c>
      <c r="N3609" t="s">
        <v>5280</v>
      </c>
      <c r="O3609">
        <v>3</v>
      </c>
      <c r="P3609">
        <v>2</v>
      </c>
      <c r="Q3609">
        <v>0</v>
      </c>
      <c r="R3609" t="s">
        <v>4557</v>
      </c>
      <c r="S3609" t="s">
        <v>4558</v>
      </c>
      <c r="T3609" t="s">
        <v>4559</v>
      </c>
      <c r="U3609" t="s">
        <v>4655</v>
      </c>
      <c r="V3609" s="2">
        <v>0</v>
      </c>
      <c r="W3609" t="s">
        <v>4655</v>
      </c>
      <c r="X3609" s="2">
        <v>0</v>
      </c>
      <c r="Y3609">
        <v>22</v>
      </c>
      <c r="Z3609" t="s">
        <v>4051</v>
      </c>
      <c r="AA3609" s="3">
        <v>0.22499999403953599</v>
      </c>
      <c r="AB3609" t="s">
        <v>19993</v>
      </c>
      <c r="AC3609" t="s">
        <v>4562</v>
      </c>
      <c r="AD3609" t="s">
        <v>19992</v>
      </c>
      <c r="AE3609" t="s">
        <v>4655</v>
      </c>
      <c r="AF3609" t="s">
        <v>4563</v>
      </c>
      <c r="AG3609" t="s">
        <v>4564</v>
      </c>
      <c r="AH3609">
        <v>89506</v>
      </c>
      <c r="AI3609" t="s">
        <v>4848</v>
      </c>
      <c r="AJ3609" t="s">
        <v>19994</v>
      </c>
      <c r="AK3609" t="s">
        <v>19995</v>
      </c>
      <c r="AL3609" s="13" t="s">
        <v>2255</v>
      </c>
      <c r="AM3609">
        <v>1</v>
      </c>
      <c r="AN3609" s="15" t="s">
        <v>2433</v>
      </c>
    </row>
    <row r="3610" spans="1:40" x14ac:dyDescent="0.3">
      <c r="A3610" s="10" t="str">
        <f>HYPERLINK("http://www.washoecounty.gov/assessor/cama/?parid=082-742-09&amp;CardNumber=1","082-742-09")</f>
        <v>082-742-09</v>
      </c>
      <c r="B3610" t="s">
        <v>4655</v>
      </c>
      <c r="C3610" t="s">
        <v>19996</v>
      </c>
      <c r="D3610" s="1">
        <v>40395</v>
      </c>
      <c r="E3610" s="2">
        <v>65000</v>
      </c>
      <c r="F3610" t="s">
        <v>4553</v>
      </c>
      <c r="G3610" s="17" t="str">
        <f>HYPERLINK("https://www.washoecounty.gov/assessor/cama/?command=sales&amp;parid=08274209","3909251")</f>
        <v>3909251</v>
      </c>
      <c r="H3610" t="s">
        <v>2662</v>
      </c>
      <c r="I3610">
        <v>1997</v>
      </c>
      <c r="J3610">
        <v>1997</v>
      </c>
      <c r="K3610" t="s">
        <v>4847</v>
      </c>
      <c r="L3610" t="s">
        <v>4555</v>
      </c>
      <c r="M3610" s="2">
        <v>1782</v>
      </c>
      <c r="N3610" t="s">
        <v>5280</v>
      </c>
      <c r="O3610">
        <v>4</v>
      </c>
      <c r="P3610">
        <v>2</v>
      </c>
      <c r="Q3610">
        <v>0</v>
      </c>
      <c r="R3610" t="s">
        <v>4557</v>
      </c>
      <c r="S3610" t="s">
        <v>4135</v>
      </c>
      <c r="T3610" t="s">
        <v>4559</v>
      </c>
      <c r="U3610" t="s">
        <v>4655</v>
      </c>
      <c r="V3610" s="2">
        <v>0</v>
      </c>
      <c r="W3610" t="s">
        <v>4655</v>
      </c>
      <c r="X3610" s="2">
        <v>0</v>
      </c>
      <c r="Y3610">
        <v>22</v>
      </c>
      <c r="Z3610" t="s">
        <v>4051</v>
      </c>
      <c r="AA3610" s="3">
        <v>0.20670339465141299</v>
      </c>
      <c r="AB3610" t="s">
        <v>19997</v>
      </c>
      <c r="AC3610" t="s">
        <v>4562</v>
      </c>
      <c r="AD3610" t="s">
        <v>19996</v>
      </c>
      <c r="AE3610" t="s">
        <v>4655</v>
      </c>
      <c r="AF3610" t="s">
        <v>4563</v>
      </c>
      <c r="AG3610" t="s">
        <v>4564</v>
      </c>
      <c r="AH3610">
        <v>89506</v>
      </c>
      <c r="AI3610" t="s">
        <v>4848</v>
      </c>
      <c r="AJ3610" t="s">
        <v>5739</v>
      </c>
      <c r="AK3610" t="s">
        <v>19998</v>
      </c>
      <c r="AL3610" s="13" t="s">
        <v>2255</v>
      </c>
      <c r="AM3610">
        <v>1</v>
      </c>
      <c r="AN3610" s="15" t="s">
        <v>2433</v>
      </c>
    </row>
    <row r="3611" spans="1:40" x14ac:dyDescent="0.3">
      <c r="A3611" s="10" t="str">
        <f>HYPERLINK("http://www.washoecounty.gov/assessor/cama/?parid=082-742-15&amp;CardNumber=1","082-742-15")</f>
        <v>082-742-15</v>
      </c>
      <c r="B3611" t="s">
        <v>4655</v>
      </c>
      <c r="C3611" t="s">
        <v>19999</v>
      </c>
      <c r="D3611" s="1">
        <v>40312</v>
      </c>
      <c r="E3611" s="2">
        <v>70000</v>
      </c>
      <c r="F3611" t="s">
        <v>4553</v>
      </c>
      <c r="G3611" s="17" t="str">
        <f>HYPERLINK("https://www.washoecounty.gov/assessor/cama/?command=sales&amp;parid=08274215","3881841")</f>
        <v>3881841</v>
      </c>
      <c r="H3611" t="s">
        <v>2662</v>
      </c>
      <c r="I3611">
        <v>1997</v>
      </c>
      <c r="J3611">
        <v>1997</v>
      </c>
      <c r="K3611" t="s">
        <v>4847</v>
      </c>
      <c r="L3611" t="s">
        <v>4555</v>
      </c>
      <c r="M3611" s="2">
        <v>1458</v>
      </c>
      <c r="N3611" t="s">
        <v>5280</v>
      </c>
      <c r="O3611">
        <v>3</v>
      </c>
      <c r="P3611">
        <v>2</v>
      </c>
      <c r="Q3611">
        <v>0</v>
      </c>
      <c r="R3611" t="s">
        <v>4557</v>
      </c>
      <c r="S3611" t="s">
        <v>4558</v>
      </c>
      <c r="T3611" t="s">
        <v>4559</v>
      </c>
      <c r="U3611" t="s">
        <v>4655</v>
      </c>
      <c r="V3611" s="2">
        <v>0</v>
      </c>
      <c r="W3611" t="s">
        <v>4655</v>
      </c>
      <c r="X3611" s="2">
        <v>0</v>
      </c>
      <c r="Y3611">
        <v>22</v>
      </c>
      <c r="Z3611" t="s">
        <v>4051</v>
      </c>
      <c r="AA3611" s="3">
        <v>0.22665289044380199</v>
      </c>
      <c r="AB3611" t="s">
        <v>20000</v>
      </c>
      <c r="AC3611" t="s">
        <v>4562</v>
      </c>
      <c r="AD3611" t="s">
        <v>19999</v>
      </c>
      <c r="AE3611" t="s">
        <v>4655</v>
      </c>
      <c r="AF3611" t="s">
        <v>4563</v>
      </c>
      <c r="AG3611" t="s">
        <v>4564</v>
      </c>
      <c r="AH3611">
        <v>89506</v>
      </c>
      <c r="AI3611" t="s">
        <v>4848</v>
      </c>
      <c r="AJ3611" t="s">
        <v>5739</v>
      </c>
      <c r="AK3611" t="s">
        <v>20001</v>
      </c>
      <c r="AL3611" s="13" t="s">
        <v>2255</v>
      </c>
      <c r="AM3611">
        <v>1</v>
      </c>
      <c r="AN3611" s="15" t="s">
        <v>2433</v>
      </c>
    </row>
    <row r="3612" spans="1:40" x14ac:dyDescent="0.3">
      <c r="A3612" s="10" t="str">
        <f>HYPERLINK("http://www.washoecounty.gov/assessor/cama/?parid=082-751-15&amp;CardNumber=1","082-751-15")</f>
        <v>082-751-15</v>
      </c>
      <c r="B3612" t="s">
        <v>4655</v>
      </c>
      <c r="C3612" t="s">
        <v>20002</v>
      </c>
      <c r="D3612" s="1">
        <v>40280</v>
      </c>
      <c r="E3612" s="2">
        <v>53000</v>
      </c>
      <c r="F3612" t="s">
        <v>4553</v>
      </c>
      <c r="G3612" s="17" t="str">
        <f>HYPERLINK("https://www.washoecounty.gov/assessor/cama/?command=sales&amp;parid=08275115","3869908")</f>
        <v>3869908</v>
      </c>
      <c r="H3612" t="s">
        <v>500</v>
      </c>
      <c r="I3612">
        <v>1997</v>
      </c>
      <c r="J3612">
        <v>1997</v>
      </c>
      <c r="K3612" t="s">
        <v>4847</v>
      </c>
      <c r="L3612" t="s">
        <v>4555</v>
      </c>
      <c r="M3612" s="2">
        <v>1300</v>
      </c>
      <c r="N3612" t="s">
        <v>4048</v>
      </c>
      <c r="O3612">
        <v>3</v>
      </c>
      <c r="P3612">
        <v>2</v>
      </c>
      <c r="Q3612">
        <v>0</v>
      </c>
      <c r="R3612" t="s">
        <v>4557</v>
      </c>
      <c r="S3612" t="s">
        <v>4558</v>
      </c>
      <c r="T3612" t="s">
        <v>4559</v>
      </c>
      <c r="U3612" t="s">
        <v>4655</v>
      </c>
      <c r="V3612" s="2">
        <v>0</v>
      </c>
      <c r="W3612" t="s">
        <v>4655</v>
      </c>
      <c r="X3612" s="2">
        <v>0</v>
      </c>
      <c r="Y3612">
        <v>22</v>
      </c>
      <c r="Z3612" t="s">
        <v>4051</v>
      </c>
      <c r="AA3612" s="3">
        <v>0.21400366723537401</v>
      </c>
      <c r="AB3612" t="s">
        <v>20003</v>
      </c>
      <c r="AC3612" t="s">
        <v>4562</v>
      </c>
      <c r="AD3612" t="s">
        <v>20002</v>
      </c>
      <c r="AE3612" t="s">
        <v>4655</v>
      </c>
      <c r="AF3612" t="s">
        <v>4563</v>
      </c>
      <c r="AG3612" t="s">
        <v>4564</v>
      </c>
      <c r="AH3612">
        <v>89506</v>
      </c>
      <c r="AI3612" t="s">
        <v>4655</v>
      </c>
      <c r="AJ3612" t="s">
        <v>501</v>
      </c>
      <c r="AK3612" t="s">
        <v>20004</v>
      </c>
      <c r="AL3612" s="13" t="s">
        <v>1322</v>
      </c>
      <c r="AM3612" s="14">
        <v>1</v>
      </c>
      <c r="AN3612" s="15" t="s">
        <v>2433</v>
      </c>
    </row>
    <row r="3613" spans="1:40" x14ac:dyDescent="0.3">
      <c r="A3613" s="10" t="str">
        <f>HYPERLINK("http://www.washoecounty.gov/assessor/cama/?parid=082-751-15&amp;CardNumber=1","082-751-15")</f>
        <v>082-751-15</v>
      </c>
      <c r="B3613" t="s">
        <v>4655</v>
      </c>
      <c r="C3613" t="s">
        <v>20002</v>
      </c>
      <c r="D3613" s="1">
        <v>40336</v>
      </c>
      <c r="E3613" s="2">
        <v>64500</v>
      </c>
      <c r="F3613" t="s">
        <v>4567</v>
      </c>
      <c r="G3613" s="17" t="str">
        <f>HYPERLINK("https://www.washoecounty.gov/assessor/cama/?command=sales&amp;parid=08275115","3888826")</f>
        <v>3888826</v>
      </c>
      <c r="H3613" t="s">
        <v>500</v>
      </c>
      <c r="I3613">
        <v>1997</v>
      </c>
      <c r="J3613">
        <v>1997</v>
      </c>
      <c r="K3613" t="s">
        <v>4847</v>
      </c>
      <c r="L3613" t="s">
        <v>4555</v>
      </c>
      <c r="M3613" s="2">
        <v>1300</v>
      </c>
      <c r="N3613" t="s">
        <v>4048</v>
      </c>
      <c r="O3613">
        <v>3</v>
      </c>
      <c r="P3613">
        <v>2</v>
      </c>
      <c r="Q3613">
        <v>0</v>
      </c>
      <c r="R3613" t="s">
        <v>4557</v>
      </c>
      <c r="S3613" t="s">
        <v>4558</v>
      </c>
      <c r="T3613" t="s">
        <v>4559</v>
      </c>
      <c r="U3613" t="s">
        <v>4655</v>
      </c>
      <c r="V3613" s="2">
        <v>0</v>
      </c>
      <c r="W3613" t="s">
        <v>4655</v>
      </c>
      <c r="X3613" s="2">
        <v>0</v>
      </c>
      <c r="Y3613">
        <v>22</v>
      </c>
      <c r="Z3613" t="s">
        <v>4051</v>
      </c>
      <c r="AA3613" s="3">
        <v>0.21400366723537401</v>
      </c>
      <c r="AB3613" t="s">
        <v>20003</v>
      </c>
      <c r="AC3613" t="s">
        <v>4562</v>
      </c>
      <c r="AD3613" t="s">
        <v>20002</v>
      </c>
      <c r="AE3613" t="s">
        <v>4655</v>
      </c>
      <c r="AF3613" t="s">
        <v>4563</v>
      </c>
      <c r="AG3613" t="s">
        <v>4564</v>
      </c>
      <c r="AH3613">
        <v>89506</v>
      </c>
      <c r="AI3613" t="s">
        <v>4655</v>
      </c>
      <c r="AJ3613" t="s">
        <v>501</v>
      </c>
      <c r="AK3613" t="s">
        <v>20004</v>
      </c>
      <c r="AL3613" s="13" t="s">
        <v>1322</v>
      </c>
      <c r="AM3613">
        <v>1</v>
      </c>
      <c r="AN3613" s="15" t="s">
        <v>2433</v>
      </c>
    </row>
    <row r="3614" spans="1:40" x14ac:dyDescent="0.3">
      <c r="A3614" s="10" t="str">
        <f>HYPERLINK("http://www.washoecounty.gov/assessor/cama/?parid=082-751-15&amp;CardNumber=1","082-751-15")</f>
        <v>082-751-15</v>
      </c>
      <c r="B3614" t="s">
        <v>4655</v>
      </c>
      <c r="C3614" t="s">
        <v>20002</v>
      </c>
      <c r="D3614" s="1">
        <v>40337</v>
      </c>
      <c r="E3614" s="2">
        <v>66400</v>
      </c>
      <c r="F3614" t="s">
        <v>4567</v>
      </c>
      <c r="G3614" s="17" t="str">
        <f>HYPERLINK("https://www.washoecounty.gov/assessor/cama/?command=sales&amp;parid=08275115","3889425")</f>
        <v>3889425</v>
      </c>
      <c r="H3614" t="s">
        <v>500</v>
      </c>
      <c r="I3614">
        <v>1997</v>
      </c>
      <c r="J3614">
        <v>1997</v>
      </c>
      <c r="K3614" t="s">
        <v>4847</v>
      </c>
      <c r="L3614" t="s">
        <v>4555</v>
      </c>
      <c r="M3614" s="2">
        <v>1300</v>
      </c>
      <c r="N3614" t="s">
        <v>4048</v>
      </c>
      <c r="O3614">
        <v>3</v>
      </c>
      <c r="P3614">
        <v>2</v>
      </c>
      <c r="Q3614">
        <v>0</v>
      </c>
      <c r="R3614" t="s">
        <v>4557</v>
      </c>
      <c r="S3614" t="s">
        <v>4558</v>
      </c>
      <c r="T3614" t="s">
        <v>4559</v>
      </c>
      <c r="U3614" t="s">
        <v>4655</v>
      </c>
      <c r="V3614" s="2">
        <v>0</v>
      </c>
      <c r="W3614" t="s">
        <v>4655</v>
      </c>
      <c r="X3614" s="2">
        <v>0</v>
      </c>
      <c r="Y3614">
        <v>22</v>
      </c>
      <c r="Z3614" t="s">
        <v>4051</v>
      </c>
      <c r="AA3614" s="3">
        <v>0.21400366723537401</v>
      </c>
      <c r="AB3614" t="s">
        <v>20003</v>
      </c>
      <c r="AC3614" t="s">
        <v>4562</v>
      </c>
      <c r="AD3614" t="s">
        <v>20002</v>
      </c>
      <c r="AE3614" t="s">
        <v>4655</v>
      </c>
      <c r="AF3614" t="s">
        <v>4563</v>
      </c>
      <c r="AG3614" t="s">
        <v>4564</v>
      </c>
      <c r="AH3614">
        <v>89506</v>
      </c>
      <c r="AI3614" t="s">
        <v>4655</v>
      </c>
      <c r="AJ3614" t="s">
        <v>501</v>
      </c>
      <c r="AK3614" t="s">
        <v>20004</v>
      </c>
      <c r="AL3614" s="13" t="s">
        <v>1322</v>
      </c>
      <c r="AM3614">
        <v>1</v>
      </c>
      <c r="AN3614" s="15" t="s">
        <v>2433</v>
      </c>
    </row>
    <row r="3615" spans="1:40" x14ac:dyDescent="0.3">
      <c r="A3615" s="10" t="str">
        <f>HYPERLINK("http://www.washoecounty.gov/assessor/cama/?parid=082-763-09&amp;CardNumber=1","082-763-09")</f>
        <v>082-763-09</v>
      </c>
      <c r="B3615" t="s">
        <v>4655</v>
      </c>
      <c r="C3615" t="s">
        <v>19886</v>
      </c>
      <c r="D3615" s="1">
        <v>40240</v>
      </c>
      <c r="E3615" s="2">
        <v>200000</v>
      </c>
      <c r="F3615" t="s">
        <v>4567</v>
      </c>
      <c r="G3615" s="17" t="str">
        <f>HYPERLINK("https://www.washoecounty.gov/assessor/cama/?command=sales&amp;parid=08276309","3855426")</f>
        <v>3855426</v>
      </c>
      <c r="H3615" t="s">
        <v>19887</v>
      </c>
      <c r="I3615">
        <v>2005</v>
      </c>
      <c r="J3615">
        <v>2005</v>
      </c>
      <c r="K3615" t="s">
        <v>4554</v>
      </c>
      <c r="L3615" t="s">
        <v>2170</v>
      </c>
      <c r="M3615" s="2">
        <v>2442</v>
      </c>
      <c r="N3615" t="s">
        <v>5280</v>
      </c>
      <c r="O3615">
        <v>3</v>
      </c>
      <c r="P3615">
        <v>2</v>
      </c>
      <c r="Q3615">
        <v>1</v>
      </c>
      <c r="R3615" t="s">
        <v>5281</v>
      </c>
      <c r="S3615" t="s">
        <v>4898</v>
      </c>
      <c r="T3615" t="s">
        <v>4559</v>
      </c>
      <c r="U3615" t="s">
        <v>4560</v>
      </c>
      <c r="V3615" s="2">
        <v>968</v>
      </c>
      <c r="W3615" t="s">
        <v>4655</v>
      </c>
      <c r="X3615" s="2">
        <v>0</v>
      </c>
      <c r="Y3615">
        <v>20</v>
      </c>
      <c r="Z3615" t="s">
        <v>5282</v>
      </c>
      <c r="AA3615" s="3">
        <v>0.34435260295867898</v>
      </c>
      <c r="AB3615" t="s">
        <v>19888</v>
      </c>
      <c r="AC3615" t="s">
        <v>4575</v>
      </c>
      <c r="AD3615" t="s">
        <v>19886</v>
      </c>
      <c r="AE3615" t="s">
        <v>4655</v>
      </c>
      <c r="AF3615" t="s">
        <v>4563</v>
      </c>
      <c r="AG3615" t="s">
        <v>4564</v>
      </c>
      <c r="AH3615">
        <v>89506</v>
      </c>
      <c r="AI3615" t="s">
        <v>4655</v>
      </c>
      <c r="AJ3615" t="s">
        <v>20005</v>
      </c>
      <c r="AK3615" t="s">
        <v>19890</v>
      </c>
      <c r="AL3615" s="13" t="s">
        <v>2255</v>
      </c>
      <c r="AM3615" s="14">
        <v>1</v>
      </c>
      <c r="AN3615" s="15" t="s">
        <v>19891</v>
      </c>
    </row>
    <row r="3616" spans="1:40" x14ac:dyDescent="0.3">
      <c r="A3616" s="10" t="str">
        <f>HYPERLINK("http://www.washoecounty.gov/assessor/cama/?parid=082-772-08&amp;CardNumber=1","082-772-08")</f>
        <v>082-772-08</v>
      </c>
      <c r="B3616" t="s">
        <v>4655</v>
      </c>
      <c r="C3616" t="s">
        <v>20006</v>
      </c>
      <c r="D3616" s="1">
        <v>40394</v>
      </c>
      <c r="E3616" s="2">
        <v>66900</v>
      </c>
      <c r="F3616" t="s">
        <v>4553</v>
      </c>
      <c r="G3616" s="17" t="str">
        <f>HYPERLINK("https://www.washoecounty.gov/assessor/cama/?command=sales&amp;parid=08277208","3908811")</f>
        <v>3908811</v>
      </c>
      <c r="H3616" t="s">
        <v>520</v>
      </c>
      <c r="I3616">
        <v>1998</v>
      </c>
      <c r="J3616">
        <v>1998</v>
      </c>
      <c r="K3616" t="s">
        <v>4847</v>
      </c>
      <c r="L3616" t="s">
        <v>4555</v>
      </c>
      <c r="M3616" s="2">
        <v>1164</v>
      </c>
      <c r="N3616" t="s">
        <v>3887</v>
      </c>
      <c r="O3616">
        <v>3</v>
      </c>
      <c r="P3616">
        <v>2</v>
      </c>
      <c r="Q3616">
        <v>0</v>
      </c>
      <c r="R3616" t="s">
        <v>4557</v>
      </c>
      <c r="S3616" t="s">
        <v>4558</v>
      </c>
      <c r="T3616" t="s">
        <v>4559</v>
      </c>
      <c r="U3616" t="s">
        <v>4560</v>
      </c>
      <c r="V3616" s="2">
        <v>400</v>
      </c>
      <c r="W3616" t="s">
        <v>4655</v>
      </c>
      <c r="X3616" s="2">
        <v>0</v>
      </c>
      <c r="Y3616">
        <v>22</v>
      </c>
      <c r="Z3616" t="s">
        <v>365</v>
      </c>
      <c r="AA3616" s="3">
        <v>0.123002752661705</v>
      </c>
      <c r="AB3616" t="s">
        <v>20007</v>
      </c>
      <c r="AC3616" t="s">
        <v>4562</v>
      </c>
      <c r="AD3616" t="s">
        <v>20006</v>
      </c>
      <c r="AE3616" t="s">
        <v>4655</v>
      </c>
      <c r="AF3616" t="s">
        <v>4563</v>
      </c>
      <c r="AG3616" t="s">
        <v>4564</v>
      </c>
      <c r="AH3616">
        <v>89506</v>
      </c>
      <c r="AI3616" t="s">
        <v>4903</v>
      </c>
      <c r="AJ3616" t="s">
        <v>521</v>
      </c>
      <c r="AK3616" t="s">
        <v>20008</v>
      </c>
      <c r="AL3616" s="13" t="s">
        <v>2255</v>
      </c>
      <c r="AM3616">
        <v>1</v>
      </c>
      <c r="AN3616" s="15" t="s">
        <v>522</v>
      </c>
    </row>
    <row r="3617" spans="1:40" x14ac:dyDescent="0.3">
      <c r="A3617" s="10" t="str">
        <f>HYPERLINK("http://www.washoecounty.gov/assessor/cama/?parid=082-772-09&amp;CardNumber=1","082-772-09")</f>
        <v>082-772-09</v>
      </c>
      <c r="B3617" t="s">
        <v>4655</v>
      </c>
      <c r="C3617" t="s">
        <v>20009</v>
      </c>
      <c r="D3617" s="1">
        <v>40403</v>
      </c>
      <c r="E3617" s="2">
        <v>77500</v>
      </c>
      <c r="F3617" t="s">
        <v>4553</v>
      </c>
      <c r="G3617" s="17" t="str">
        <f>HYPERLINK("https://www.washoecounty.gov/assessor/cama/?command=sales&amp;parid=08277209","3911884")</f>
        <v>3911884</v>
      </c>
      <c r="H3617" t="s">
        <v>520</v>
      </c>
      <c r="I3617">
        <v>1996</v>
      </c>
      <c r="J3617">
        <v>1996</v>
      </c>
      <c r="K3617" t="s">
        <v>4847</v>
      </c>
      <c r="L3617" t="s">
        <v>4555</v>
      </c>
      <c r="M3617" s="2">
        <v>1176</v>
      </c>
      <c r="N3617" t="s">
        <v>3887</v>
      </c>
      <c r="O3617">
        <v>3</v>
      </c>
      <c r="P3617">
        <v>2</v>
      </c>
      <c r="Q3617">
        <v>0</v>
      </c>
      <c r="R3617" t="s">
        <v>5281</v>
      </c>
      <c r="S3617" t="s">
        <v>4558</v>
      </c>
      <c r="T3617" t="s">
        <v>4559</v>
      </c>
      <c r="U3617" t="s">
        <v>4560</v>
      </c>
      <c r="V3617" s="2">
        <v>480</v>
      </c>
      <c r="W3617" t="s">
        <v>4655</v>
      </c>
      <c r="X3617" s="2">
        <v>0</v>
      </c>
      <c r="Y3617">
        <v>22</v>
      </c>
      <c r="Z3617" t="s">
        <v>365</v>
      </c>
      <c r="AA3617" s="3">
        <v>0.10000000149011599</v>
      </c>
      <c r="AB3617" t="s">
        <v>20010</v>
      </c>
      <c r="AC3617" t="s">
        <v>4562</v>
      </c>
      <c r="AD3617" t="s">
        <v>20009</v>
      </c>
      <c r="AE3617" t="s">
        <v>4655</v>
      </c>
      <c r="AF3617" t="s">
        <v>4563</v>
      </c>
      <c r="AG3617" t="s">
        <v>4564</v>
      </c>
      <c r="AH3617">
        <v>89506</v>
      </c>
      <c r="AI3617" t="s">
        <v>4655</v>
      </c>
      <c r="AJ3617" t="s">
        <v>521</v>
      </c>
      <c r="AK3617" t="s">
        <v>20011</v>
      </c>
      <c r="AL3617" s="13" t="s">
        <v>2255</v>
      </c>
      <c r="AM3617" s="14">
        <v>1</v>
      </c>
      <c r="AN3617" s="15" t="s">
        <v>522</v>
      </c>
    </row>
    <row r="3618" spans="1:40" x14ac:dyDescent="0.3">
      <c r="A3618" s="10" t="str">
        <f>HYPERLINK("http://www.washoecounty.gov/assessor/cama/?parid=082-773-20&amp;CardNumber=1","082-773-20")</f>
        <v>082-773-20</v>
      </c>
      <c r="B3618" t="s">
        <v>4655</v>
      </c>
      <c r="C3618" t="s">
        <v>20012</v>
      </c>
      <c r="D3618" s="1">
        <v>40347</v>
      </c>
      <c r="E3618" s="2">
        <v>82000</v>
      </c>
      <c r="F3618" t="s">
        <v>4567</v>
      </c>
      <c r="G3618" s="17" t="str">
        <f>HYPERLINK("https://www.washoecounty.gov/assessor/cama/?command=sales&amp;parid=08277320","3893467")</f>
        <v>3893467</v>
      </c>
      <c r="H3618" t="s">
        <v>520</v>
      </c>
      <c r="I3618">
        <v>1997</v>
      </c>
      <c r="J3618">
        <v>1997</v>
      </c>
      <c r="K3618" t="s">
        <v>4847</v>
      </c>
      <c r="L3618" t="s">
        <v>4555</v>
      </c>
      <c r="M3618" s="2">
        <v>1176</v>
      </c>
      <c r="N3618" t="s">
        <v>3887</v>
      </c>
      <c r="O3618">
        <v>3</v>
      </c>
      <c r="P3618">
        <v>2</v>
      </c>
      <c r="Q3618">
        <v>0</v>
      </c>
      <c r="R3618" t="s">
        <v>4557</v>
      </c>
      <c r="S3618" t="s">
        <v>4558</v>
      </c>
      <c r="T3618" t="s">
        <v>4559</v>
      </c>
      <c r="U3618" t="s">
        <v>4560</v>
      </c>
      <c r="V3618" s="2">
        <v>440</v>
      </c>
      <c r="W3618" t="s">
        <v>4655</v>
      </c>
      <c r="X3618" s="2">
        <v>0</v>
      </c>
      <c r="Y3618">
        <v>22</v>
      </c>
      <c r="Z3618" t="s">
        <v>365</v>
      </c>
      <c r="AA3618" s="3">
        <v>9.4995409250259399E-2</v>
      </c>
      <c r="AB3618" t="s">
        <v>20013</v>
      </c>
      <c r="AC3618" t="s">
        <v>4562</v>
      </c>
      <c r="AD3618" t="s">
        <v>20012</v>
      </c>
      <c r="AE3618" t="s">
        <v>4655</v>
      </c>
      <c r="AF3618" t="s">
        <v>4563</v>
      </c>
      <c r="AG3618" t="s">
        <v>4564</v>
      </c>
      <c r="AH3618">
        <v>89506</v>
      </c>
      <c r="AI3618" t="s">
        <v>20014</v>
      </c>
      <c r="AJ3618" t="s">
        <v>521</v>
      </c>
      <c r="AK3618" t="s">
        <v>20015</v>
      </c>
      <c r="AL3618" s="13" t="s">
        <v>2255</v>
      </c>
      <c r="AM3618" s="14">
        <v>1</v>
      </c>
      <c r="AN3618" s="15" t="s">
        <v>522</v>
      </c>
    </row>
    <row r="3619" spans="1:40" x14ac:dyDescent="0.3">
      <c r="A3619" s="10" t="str">
        <f>HYPERLINK("http://www.washoecounty.gov/assessor/cama/?parid=082-822-05&amp;CardNumber=1","082-822-05")</f>
        <v>082-822-05</v>
      </c>
      <c r="B3619" t="s">
        <v>4655</v>
      </c>
      <c r="C3619" t="s">
        <v>20016</v>
      </c>
      <c r="D3619" s="1">
        <v>40406</v>
      </c>
      <c r="E3619" s="2">
        <v>95000</v>
      </c>
      <c r="F3619" t="s">
        <v>4553</v>
      </c>
      <c r="G3619" s="17" t="str">
        <f>HYPERLINK("https://www.washoecounty.gov/assessor/cama/?command=sales&amp;parid=08282205","3912387")</f>
        <v>3912387</v>
      </c>
      <c r="H3619" t="s">
        <v>4250</v>
      </c>
      <c r="I3619">
        <v>2007</v>
      </c>
      <c r="J3619">
        <v>2007</v>
      </c>
      <c r="K3619" t="s">
        <v>4554</v>
      </c>
      <c r="L3619" t="s">
        <v>4555</v>
      </c>
      <c r="M3619" s="2">
        <v>1172</v>
      </c>
      <c r="N3619" t="s">
        <v>4048</v>
      </c>
      <c r="O3619">
        <v>2</v>
      </c>
      <c r="P3619">
        <v>2</v>
      </c>
      <c r="Q3619">
        <v>0</v>
      </c>
      <c r="R3619" t="s">
        <v>4557</v>
      </c>
      <c r="S3619" t="s">
        <v>4898</v>
      </c>
      <c r="T3619" t="s">
        <v>4559</v>
      </c>
      <c r="U3619" t="s">
        <v>4560</v>
      </c>
      <c r="V3619" s="2">
        <v>400</v>
      </c>
      <c r="W3619" t="s">
        <v>4655</v>
      </c>
      <c r="X3619" s="2">
        <v>0</v>
      </c>
      <c r="Y3619">
        <v>20</v>
      </c>
      <c r="Z3619" t="s">
        <v>4351</v>
      </c>
      <c r="AA3619" s="3">
        <v>9.9862262606620802E-2</v>
      </c>
      <c r="AB3619" t="s">
        <v>20017</v>
      </c>
      <c r="AC3619" t="s">
        <v>4562</v>
      </c>
      <c r="AD3619" t="s">
        <v>20018</v>
      </c>
      <c r="AE3619" t="s">
        <v>4655</v>
      </c>
      <c r="AF3619" t="s">
        <v>3463</v>
      </c>
      <c r="AG3619" t="s">
        <v>4564</v>
      </c>
      <c r="AH3619" t="s">
        <v>3464</v>
      </c>
      <c r="AI3619" t="s">
        <v>378</v>
      </c>
      <c r="AJ3619" t="s">
        <v>4251</v>
      </c>
      <c r="AK3619" t="s">
        <v>20019</v>
      </c>
      <c r="AL3619" s="13" t="s">
        <v>2255</v>
      </c>
      <c r="AM3619">
        <v>1</v>
      </c>
      <c r="AN3619" s="15" t="s">
        <v>4252</v>
      </c>
    </row>
    <row r="3620" spans="1:40" x14ac:dyDescent="0.3">
      <c r="A3620" s="10" t="str">
        <f>HYPERLINK("http://www.washoecounty.gov/assessor/cama/?parid=082-830-22&amp;CardNumber=1","082-830-22")</f>
        <v>082-830-22</v>
      </c>
      <c r="B3620" t="s">
        <v>4655</v>
      </c>
      <c r="C3620" t="s">
        <v>20020</v>
      </c>
      <c r="D3620" s="1">
        <v>40430</v>
      </c>
      <c r="E3620" s="2">
        <v>95000</v>
      </c>
      <c r="F3620" t="s">
        <v>4567</v>
      </c>
      <c r="G3620" s="17" t="str">
        <f>HYPERLINK("https://www.washoecounty.gov/assessor/cama/?command=sales&amp;parid=08283022","3920796")</f>
        <v>3920796</v>
      </c>
      <c r="H3620" t="s">
        <v>20021</v>
      </c>
      <c r="I3620">
        <v>1988</v>
      </c>
      <c r="J3620">
        <v>1988</v>
      </c>
      <c r="K3620" t="s">
        <v>4554</v>
      </c>
      <c r="L3620" t="s">
        <v>4555</v>
      </c>
      <c r="M3620" s="2">
        <v>1184</v>
      </c>
      <c r="N3620" t="s">
        <v>4556</v>
      </c>
      <c r="O3620">
        <v>3</v>
      </c>
      <c r="P3620">
        <v>2</v>
      </c>
      <c r="Q3620">
        <v>0</v>
      </c>
      <c r="R3620" t="s">
        <v>4557</v>
      </c>
      <c r="S3620" t="s">
        <v>4558</v>
      </c>
      <c r="T3620" t="s">
        <v>4559</v>
      </c>
      <c r="U3620" t="s">
        <v>4560</v>
      </c>
      <c r="V3620" s="2">
        <v>484</v>
      </c>
      <c r="W3620" t="s">
        <v>4655</v>
      </c>
      <c r="X3620" s="2">
        <v>0</v>
      </c>
      <c r="Y3620">
        <v>20</v>
      </c>
      <c r="Z3620" t="s">
        <v>4561</v>
      </c>
      <c r="AA3620" s="3">
        <v>0.16170798242092099</v>
      </c>
      <c r="AB3620" t="s">
        <v>20022</v>
      </c>
      <c r="AC3620" t="s">
        <v>4562</v>
      </c>
      <c r="AD3620" t="s">
        <v>20020</v>
      </c>
      <c r="AE3620" t="s">
        <v>4655</v>
      </c>
      <c r="AF3620" t="s">
        <v>4563</v>
      </c>
      <c r="AG3620" t="s">
        <v>4564</v>
      </c>
      <c r="AH3620" t="s">
        <v>2841</v>
      </c>
      <c r="AI3620" t="s">
        <v>5947</v>
      </c>
      <c r="AJ3620" t="s">
        <v>20023</v>
      </c>
      <c r="AK3620" t="s">
        <v>20024</v>
      </c>
      <c r="AL3620" s="13" t="s">
        <v>1901</v>
      </c>
      <c r="AM3620" s="14">
        <v>1</v>
      </c>
      <c r="AN3620" s="15" t="s">
        <v>431</v>
      </c>
    </row>
    <row r="3621" spans="1:40" x14ac:dyDescent="0.3">
      <c r="A3621" s="10" t="str">
        <f>HYPERLINK("http://www.washoecounty.gov/assessor/cama/?parid=083-391-01&amp;CardNumber=1","083-391-01")</f>
        <v>083-391-01</v>
      </c>
      <c r="B3621" t="s">
        <v>4655</v>
      </c>
      <c r="C3621" t="s">
        <v>20025</v>
      </c>
      <c r="D3621" s="1">
        <v>40450</v>
      </c>
      <c r="E3621" s="2">
        <v>157000</v>
      </c>
      <c r="F3621" t="s">
        <v>4567</v>
      </c>
      <c r="G3621" s="17" t="str">
        <f>HYPERLINK("https://www.washoecounty.gov/assessor/cama/?command=sales&amp;parid=08339101","3927320")</f>
        <v>3927320</v>
      </c>
      <c r="H3621" t="s">
        <v>1636</v>
      </c>
      <c r="I3621">
        <v>1985</v>
      </c>
      <c r="J3621">
        <v>1985</v>
      </c>
      <c r="K3621" t="s">
        <v>4554</v>
      </c>
      <c r="L3621" t="s">
        <v>2170</v>
      </c>
      <c r="M3621" s="2">
        <v>1630</v>
      </c>
      <c r="N3621" t="s">
        <v>4048</v>
      </c>
      <c r="O3621">
        <v>3</v>
      </c>
      <c r="P3621">
        <v>2</v>
      </c>
      <c r="Q3621">
        <v>1</v>
      </c>
      <c r="R3621" t="s">
        <v>4557</v>
      </c>
      <c r="S3621" t="s">
        <v>3148</v>
      </c>
      <c r="T3621" t="s">
        <v>4559</v>
      </c>
      <c r="U3621" t="s">
        <v>5631</v>
      </c>
      <c r="V3621" s="2">
        <v>440</v>
      </c>
      <c r="W3621" t="s">
        <v>4655</v>
      </c>
      <c r="X3621" s="2">
        <v>0</v>
      </c>
      <c r="Y3621">
        <v>20</v>
      </c>
      <c r="Z3621" t="s">
        <v>1776</v>
      </c>
      <c r="AA3621" s="3">
        <v>0.239990815520287</v>
      </c>
      <c r="AB3621" t="s">
        <v>20026</v>
      </c>
      <c r="AC3621" t="s">
        <v>4562</v>
      </c>
      <c r="AD3621" t="s">
        <v>20025</v>
      </c>
      <c r="AE3621" t="s">
        <v>4655</v>
      </c>
      <c r="AF3621" t="s">
        <v>5201</v>
      </c>
      <c r="AG3621" t="s">
        <v>4564</v>
      </c>
      <c r="AH3621" t="s">
        <v>1605</v>
      </c>
      <c r="AI3621" t="s">
        <v>20027</v>
      </c>
      <c r="AJ3621" t="s">
        <v>4655</v>
      </c>
      <c r="AK3621" t="s">
        <v>20028</v>
      </c>
      <c r="AL3621" s="13" t="s">
        <v>1892</v>
      </c>
      <c r="AM3621" s="14">
        <v>1</v>
      </c>
      <c r="AN3621" s="15" t="s">
        <v>794</v>
      </c>
    </row>
    <row r="3622" spans="1:40" x14ac:dyDescent="0.3">
      <c r="A3622" s="10" t="str">
        <f>HYPERLINK("http://www.washoecounty.gov/assessor/cama/?parid=083-391-09&amp;CardNumber=1","083-391-09")</f>
        <v>083-391-09</v>
      </c>
      <c r="B3622" t="s">
        <v>4655</v>
      </c>
      <c r="C3622" t="s">
        <v>20029</v>
      </c>
      <c r="D3622" s="1">
        <v>40360</v>
      </c>
      <c r="E3622" s="2">
        <v>134900</v>
      </c>
      <c r="F3622" t="s">
        <v>4567</v>
      </c>
      <c r="G3622" s="17" t="str">
        <f>HYPERLINK("https://www.washoecounty.gov/assessor/cama/?command=sales&amp;parid=08339109","3897930")</f>
        <v>3897930</v>
      </c>
      <c r="H3622" t="s">
        <v>1636</v>
      </c>
      <c r="I3622">
        <v>1985</v>
      </c>
      <c r="J3622">
        <v>1985</v>
      </c>
      <c r="K3622" t="s">
        <v>4554</v>
      </c>
      <c r="L3622" t="s">
        <v>4555</v>
      </c>
      <c r="M3622" s="2">
        <v>1504</v>
      </c>
      <c r="N3622" t="s">
        <v>4048</v>
      </c>
      <c r="O3622">
        <v>3</v>
      </c>
      <c r="P3622">
        <v>2</v>
      </c>
      <c r="Q3622">
        <v>0</v>
      </c>
      <c r="R3622" t="s">
        <v>4557</v>
      </c>
      <c r="S3622" t="s">
        <v>4558</v>
      </c>
      <c r="T3622" t="s">
        <v>4559</v>
      </c>
      <c r="U3622" t="s">
        <v>4560</v>
      </c>
      <c r="V3622" s="2">
        <v>440</v>
      </c>
      <c r="W3622" t="s">
        <v>4655</v>
      </c>
      <c r="X3622" s="2">
        <v>0</v>
      </c>
      <c r="Y3622">
        <v>20</v>
      </c>
      <c r="Z3622" t="s">
        <v>1776</v>
      </c>
      <c r="AA3622" s="3">
        <v>0.29499539732933044</v>
      </c>
      <c r="AB3622" t="s">
        <v>20030</v>
      </c>
      <c r="AC3622" t="s">
        <v>4562</v>
      </c>
      <c r="AD3622" t="s">
        <v>20031</v>
      </c>
      <c r="AE3622" t="s">
        <v>4655</v>
      </c>
      <c r="AF3622" t="s">
        <v>2487</v>
      </c>
      <c r="AG3622" t="s">
        <v>4564</v>
      </c>
      <c r="AH3622">
        <v>89704</v>
      </c>
      <c r="AI3622" t="s">
        <v>20032</v>
      </c>
      <c r="AJ3622" t="s">
        <v>4655</v>
      </c>
      <c r="AK3622" t="s">
        <v>20033</v>
      </c>
      <c r="AL3622" s="13" t="s">
        <v>1892</v>
      </c>
      <c r="AM3622" s="14">
        <v>1</v>
      </c>
      <c r="AN3622" s="15" t="s">
        <v>794</v>
      </c>
    </row>
    <row r="3623" spans="1:40" x14ac:dyDescent="0.3">
      <c r="A3623" s="10" t="str">
        <f>HYPERLINK("http://www.washoecounty.gov/assessor/cama/?parid=083-391-10&amp;CardNumber=1","083-391-10")</f>
        <v>083-391-10</v>
      </c>
      <c r="B3623" t="s">
        <v>4655</v>
      </c>
      <c r="C3623" t="s">
        <v>20034</v>
      </c>
      <c r="D3623" s="1">
        <v>40477</v>
      </c>
      <c r="E3623" s="2">
        <v>78000</v>
      </c>
      <c r="F3623" t="s">
        <v>4553</v>
      </c>
      <c r="G3623" s="17" t="str">
        <f>HYPERLINK("https://www.washoecounty.gov/assessor/cama/?command=sales&amp;parid=08339110","3936496")</f>
        <v>3936496</v>
      </c>
      <c r="H3623" t="s">
        <v>1636</v>
      </c>
      <c r="I3623">
        <v>1985</v>
      </c>
      <c r="J3623">
        <v>1985</v>
      </c>
      <c r="K3623" t="s">
        <v>4554</v>
      </c>
      <c r="L3623" t="s">
        <v>4555</v>
      </c>
      <c r="M3623" s="2">
        <v>833</v>
      </c>
      <c r="N3623" t="s">
        <v>4048</v>
      </c>
      <c r="O3623">
        <v>2</v>
      </c>
      <c r="P3623">
        <v>1</v>
      </c>
      <c r="Q3623">
        <v>0</v>
      </c>
      <c r="R3623" t="s">
        <v>4557</v>
      </c>
      <c r="S3623" t="s">
        <v>3148</v>
      </c>
      <c r="T3623" t="s">
        <v>4559</v>
      </c>
      <c r="U3623" t="s">
        <v>4560</v>
      </c>
      <c r="V3623" s="2">
        <v>312</v>
      </c>
      <c r="W3623" t="s">
        <v>4655</v>
      </c>
      <c r="X3623" s="2">
        <v>0</v>
      </c>
      <c r="Y3623">
        <v>20</v>
      </c>
      <c r="Z3623" t="s">
        <v>1776</v>
      </c>
      <c r="AA3623" s="3">
        <v>0.239990815520287</v>
      </c>
      <c r="AB3623" t="s">
        <v>20035</v>
      </c>
      <c r="AC3623" t="s">
        <v>4562</v>
      </c>
      <c r="AD3623" t="s">
        <v>20036</v>
      </c>
      <c r="AE3623" t="s">
        <v>4655</v>
      </c>
      <c r="AF3623" t="s">
        <v>4809</v>
      </c>
      <c r="AG3623" t="s">
        <v>4564</v>
      </c>
      <c r="AH3623" t="s">
        <v>1605</v>
      </c>
      <c r="AI3623" t="s">
        <v>4848</v>
      </c>
      <c r="AJ3623" t="s">
        <v>4655</v>
      </c>
      <c r="AK3623" t="s">
        <v>20037</v>
      </c>
      <c r="AL3623" s="13" t="s">
        <v>1892</v>
      </c>
      <c r="AM3623" s="14">
        <v>1</v>
      </c>
      <c r="AN3623" s="15" t="s">
        <v>794</v>
      </c>
    </row>
    <row r="3624" spans="1:40" x14ac:dyDescent="0.3">
      <c r="A3624" s="10" t="str">
        <f>HYPERLINK("http://www.washoecounty.gov/assessor/cama/?parid=083-391-14&amp;CardNumber=1","083-391-14")</f>
        <v>083-391-14</v>
      </c>
      <c r="B3624" t="s">
        <v>4655</v>
      </c>
      <c r="C3624" t="s">
        <v>20038</v>
      </c>
      <c r="D3624" s="1">
        <v>40248</v>
      </c>
      <c r="E3624" s="2">
        <v>139900</v>
      </c>
      <c r="F3624" t="s">
        <v>4553</v>
      </c>
      <c r="G3624" s="17" t="str">
        <f>HYPERLINK("https://www.washoecounty.gov/assessor/cama/?command=sales&amp;parid=08339114","3858477")</f>
        <v>3858477</v>
      </c>
      <c r="H3624" t="s">
        <v>1636</v>
      </c>
      <c r="I3624">
        <v>1985</v>
      </c>
      <c r="J3624">
        <v>1985</v>
      </c>
      <c r="K3624" t="s">
        <v>4554</v>
      </c>
      <c r="L3624" t="s">
        <v>2170</v>
      </c>
      <c r="M3624" s="2">
        <v>1397</v>
      </c>
      <c r="N3624" t="s">
        <v>4048</v>
      </c>
      <c r="O3624">
        <v>3</v>
      </c>
      <c r="P3624">
        <v>2</v>
      </c>
      <c r="Q3624">
        <v>1</v>
      </c>
      <c r="R3624" t="s">
        <v>4557</v>
      </c>
      <c r="S3624" t="s">
        <v>3148</v>
      </c>
      <c r="T3624" t="s">
        <v>4559</v>
      </c>
      <c r="U3624" t="s">
        <v>4560</v>
      </c>
      <c r="V3624" s="2">
        <v>440</v>
      </c>
      <c r="W3624" t="s">
        <v>4655</v>
      </c>
      <c r="X3624" s="2">
        <v>0</v>
      </c>
      <c r="Y3624">
        <v>20</v>
      </c>
      <c r="Z3624" t="s">
        <v>1776</v>
      </c>
      <c r="AA3624" s="3">
        <v>0.20101010799408001</v>
      </c>
      <c r="AB3624" t="s">
        <v>20039</v>
      </c>
      <c r="AC3624" t="s">
        <v>4562</v>
      </c>
      <c r="AD3624" t="s">
        <v>20038</v>
      </c>
      <c r="AE3624" t="s">
        <v>4655</v>
      </c>
      <c r="AF3624" t="s">
        <v>5201</v>
      </c>
      <c r="AG3624" t="s">
        <v>4564</v>
      </c>
      <c r="AH3624" t="s">
        <v>1605</v>
      </c>
      <c r="AI3624" t="s">
        <v>4903</v>
      </c>
      <c r="AJ3624" t="s">
        <v>4655</v>
      </c>
      <c r="AK3624" t="s">
        <v>20040</v>
      </c>
      <c r="AL3624" s="13" t="s">
        <v>1892</v>
      </c>
      <c r="AM3624" s="14">
        <v>1</v>
      </c>
      <c r="AN3624" s="15" t="s">
        <v>794</v>
      </c>
    </row>
    <row r="3625" spans="1:40" x14ac:dyDescent="0.3">
      <c r="A3625" s="10" t="str">
        <f>HYPERLINK("http://www.washoecounty.gov/assessor/cama/?parid=083-391-17&amp;CardNumber=1","083-391-17")</f>
        <v>083-391-17</v>
      </c>
      <c r="B3625" t="s">
        <v>4655</v>
      </c>
      <c r="C3625" t="s">
        <v>20041</v>
      </c>
      <c r="D3625" s="1">
        <v>40269</v>
      </c>
      <c r="E3625" s="2">
        <v>110000</v>
      </c>
      <c r="F3625" t="s">
        <v>4553</v>
      </c>
      <c r="G3625" s="17" t="str">
        <f>HYPERLINK("https://www.washoecounty.gov/assessor/cama/?command=sales&amp;parid=08339117","3866920")</f>
        <v>3866920</v>
      </c>
      <c r="H3625" t="s">
        <v>1636</v>
      </c>
      <c r="I3625">
        <v>1985</v>
      </c>
      <c r="J3625">
        <v>1985</v>
      </c>
      <c r="K3625" t="s">
        <v>4554</v>
      </c>
      <c r="L3625" t="s">
        <v>4555</v>
      </c>
      <c r="M3625" s="2">
        <v>1167</v>
      </c>
      <c r="N3625" t="s">
        <v>4048</v>
      </c>
      <c r="O3625">
        <v>2</v>
      </c>
      <c r="P3625">
        <v>2</v>
      </c>
      <c r="Q3625">
        <v>0</v>
      </c>
      <c r="R3625" t="s">
        <v>4557</v>
      </c>
      <c r="S3625" t="s">
        <v>3148</v>
      </c>
      <c r="T3625" t="s">
        <v>4559</v>
      </c>
      <c r="U3625" t="s">
        <v>4560</v>
      </c>
      <c r="V3625" s="2">
        <v>440</v>
      </c>
      <c r="W3625" t="s">
        <v>4655</v>
      </c>
      <c r="X3625" s="2">
        <v>0</v>
      </c>
      <c r="Y3625">
        <v>20</v>
      </c>
      <c r="Z3625" t="s">
        <v>1776</v>
      </c>
      <c r="AA3625" s="3">
        <v>0.20399449765682201</v>
      </c>
      <c r="AB3625" t="s">
        <v>20042</v>
      </c>
      <c r="AC3625" t="s">
        <v>4562</v>
      </c>
      <c r="AD3625" t="s">
        <v>20043</v>
      </c>
      <c r="AE3625" t="s">
        <v>4655</v>
      </c>
      <c r="AF3625" t="s">
        <v>4809</v>
      </c>
      <c r="AG3625" t="s">
        <v>4564</v>
      </c>
      <c r="AH3625" t="s">
        <v>1605</v>
      </c>
      <c r="AI3625" t="s">
        <v>4655</v>
      </c>
      <c r="AJ3625" t="s">
        <v>4655</v>
      </c>
      <c r="AK3625" t="s">
        <v>20044</v>
      </c>
      <c r="AL3625" s="13" t="s">
        <v>1892</v>
      </c>
      <c r="AM3625">
        <v>1</v>
      </c>
      <c r="AN3625" s="15" t="s">
        <v>794</v>
      </c>
    </row>
    <row r="3626" spans="1:40" x14ac:dyDescent="0.3">
      <c r="A3626" s="10" t="str">
        <f>HYPERLINK("http://www.washoecounty.gov/assessor/cama/?parid=083-391-18&amp;CardNumber=1","083-391-18")</f>
        <v>083-391-18</v>
      </c>
      <c r="B3626" t="s">
        <v>4655</v>
      </c>
      <c r="C3626" t="s">
        <v>20045</v>
      </c>
      <c r="D3626" s="1">
        <v>40417</v>
      </c>
      <c r="E3626" s="2">
        <v>119000</v>
      </c>
      <c r="F3626" t="s">
        <v>4553</v>
      </c>
      <c r="G3626" s="17" t="str">
        <f>HYPERLINK("https://www.washoecounty.gov/assessor/cama/?command=sales&amp;parid=08339118","3916537")</f>
        <v>3916537</v>
      </c>
      <c r="H3626" t="s">
        <v>1636</v>
      </c>
      <c r="I3626">
        <v>1985</v>
      </c>
      <c r="J3626">
        <v>1985</v>
      </c>
      <c r="K3626" t="s">
        <v>4554</v>
      </c>
      <c r="L3626" t="s">
        <v>2170</v>
      </c>
      <c r="M3626" s="2">
        <v>1184</v>
      </c>
      <c r="N3626" t="s">
        <v>4048</v>
      </c>
      <c r="O3626">
        <v>2</v>
      </c>
      <c r="P3626">
        <v>2</v>
      </c>
      <c r="Q3626">
        <v>1</v>
      </c>
      <c r="R3626" t="s">
        <v>4557</v>
      </c>
      <c r="S3626" t="s">
        <v>3148</v>
      </c>
      <c r="T3626" t="s">
        <v>4559</v>
      </c>
      <c r="U3626" t="s">
        <v>4560</v>
      </c>
      <c r="V3626" s="2">
        <v>440</v>
      </c>
      <c r="W3626" t="s">
        <v>4655</v>
      </c>
      <c r="X3626" s="2">
        <v>0</v>
      </c>
      <c r="Y3626">
        <v>20</v>
      </c>
      <c r="Z3626" t="s">
        <v>1776</v>
      </c>
      <c r="AA3626" s="3">
        <v>0.18799357116222401</v>
      </c>
      <c r="AB3626" t="s">
        <v>20046</v>
      </c>
      <c r="AC3626" t="s">
        <v>4562</v>
      </c>
      <c r="AD3626" t="s">
        <v>20045</v>
      </c>
      <c r="AE3626" t="s">
        <v>4655</v>
      </c>
      <c r="AF3626" t="s">
        <v>5201</v>
      </c>
      <c r="AG3626" t="s">
        <v>4564</v>
      </c>
      <c r="AH3626" t="s">
        <v>1605</v>
      </c>
      <c r="AI3626" t="s">
        <v>2399</v>
      </c>
      <c r="AJ3626" t="s">
        <v>4655</v>
      </c>
      <c r="AK3626" t="s">
        <v>20047</v>
      </c>
      <c r="AL3626" s="13" t="s">
        <v>1892</v>
      </c>
      <c r="AM3626" s="14">
        <v>1</v>
      </c>
      <c r="AN3626" s="15" t="s">
        <v>794</v>
      </c>
    </row>
    <row r="3627" spans="1:40" x14ac:dyDescent="0.3">
      <c r="A3627" s="10" t="str">
        <f>HYPERLINK("http://www.washoecounty.gov/assessor/cama/?parid=083-392-01&amp;CardNumber=1","083-392-01")</f>
        <v>083-392-01</v>
      </c>
      <c r="B3627" t="s">
        <v>4655</v>
      </c>
      <c r="C3627" t="s">
        <v>20048</v>
      </c>
      <c r="D3627" s="1">
        <v>40455</v>
      </c>
      <c r="E3627" s="2">
        <v>164900</v>
      </c>
      <c r="F3627" t="s">
        <v>4553</v>
      </c>
      <c r="G3627" s="17" t="str">
        <f>HYPERLINK("https://www.washoecounty.gov/assessor/cama/?command=sales&amp;parid=08339201","3929417")</f>
        <v>3929417</v>
      </c>
      <c r="H3627" t="s">
        <v>1636</v>
      </c>
      <c r="I3627">
        <v>1985</v>
      </c>
      <c r="J3627">
        <v>1985</v>
      </c>
      <c r="K3627" t="s">
        <v>4554</v>
      </c>
      <c r="L3627" t="s">
        <v>2170</v>
      </c>
      <c r="M3627" s="2">
        <v>1630</v>
      </c>
      <c r="N3627" t="s">
        <v>4048</v>
      </c>
      <c r="O3627">
        <v>3</v>
      </c>
      <c r="P3627">
        <v>2</v>
      </c>
      <c r="Q3627">
        <v>1</v>
      </c>
      <c r="R3627" t="s">
        <v>4557</v>
      </c>
      <c r="S3627" t="s">
        <v>3148</v>
      </c>
      <c r="T3627" t="s">
        <v>4559</v>
      </c>
      <c r="U3627" t="s">
        <v>5631</v>
      </c>
      <c r="V3627" s="2">
        <v>440</v>
      </c>
      <c r="W3627" t="s">
        <v>4655</v>
      </c>
      <c r="X3627" s="2">
        <v>0</v>
      </c>
      <c r="Y3627">
        <v>20</v>
      </c>
      <c r="Z3627" t="s">
        <v>1776</v>
      </c>
      <c r="AA3627" s="3">
        <v>0.16900826990604401</v>
      </c>
      <c r="AB3627" t="s">
        <v>20049</v>
      </c>
      <c r="AC3627" t="s">
        <v>4562</v>
      </c>
      <c r="AD3627" t="s">
        <v>20050</v>
      </c>
      <c r="AE3627" t="s">
        <v>4655</v>
      </c>
      <c r="AF3627" t="s">
        <v>5201</v>
      </c>
      <c r="AG3627" t="s">
        <v>4564</v>
      </c>
      <c r="AH3627" t="s">
        <v>1605</v>
      </c>
      <c r="AI3627" t="s">
        <v>4655</v>
      </c>
      <c r="AJ3627" t="s">
        <v>4655</v>
      </c>
      <c r="AK3627" t="s">
        <v>20051</v>
      </c>
      <c r="AL3627" s="13" t="s">
        <v>1892</v>
      </c>
      <c r="AM3627" s="14">
        <v>1</v>
      </c>
      <c r="AN3627" s="15" t="s">
        <v>794</v>
      </c>
    </row>
    <row r="3628" spans="1:40" x14ac:dyDescent="0.3">
      <c r="A3628" s="10" t="str">
        <f>HYPERLINK("http://www.washoecounty.gov/assessor/cama/?parid=083-392-07&amp;CardNumber=1","083-392-07")</f>
        <v>083-392-07</v>
      </c>
      <c r="B3628" t="s">
        <v>4655</v>
      </c>
      <c r="C3628" t="s">
        <v>20052</v>
      </c>
      <c r="D3628" s="1">
        <v>40212</v>
      </c>
      <c r="E3628" s="2">
        <v>132000</v>
      </c>
      <c r="F3628" t="s">
        <v>4553</v>
      </c>
      <c r="G3628" s="17" t="str">
        <f>HYPERLINK("https://www.washoecounty.gov/assessor/cama/?command=sales&amp;parid=08339207","3845771")</f>
        <v>3845771</v>
      </c>
      <c r="H3628" t="s">
        <v>1636</v>
      </c>
      <c r="I3628">
        <v>1985</v>
      </c>
      <c r="J3628">
        <v>1985</v>
      </c>
      <c r="K3628" t="s">
        <v>4554</v>
      </c>
      <c r="L3628" t="s">
        <v>4555</v>
      </c>
      <c r="M3628" s="2">
        <v>1167</v>
      </c>
      <c r="N3628" t="s">
        <v>4048</v>
      </c>
      <c r="O3628">
        <v>2</v>
      </c>
      <c r="P3628">
        <v>2</v>
      </c>
      <c r="Q3628">
        <v>0</v>
      </c>
      <c r="R3628" t="s">
        <v>4557</v>
      </c>
      <c r="S3628" t="s">
        <v>3148</v>
      </c>
      <c r="T3628" t="s">
        <v>4559</v>
      </c>
      <c r="U3628" t="s">
        <v>4560</v>
      </c>
      <c r="V3628" s="2">
        <v>440</v>
      </c>
      <c r="W3628" t="s">
        <v>4655</v>
      </c>
      <c r="X3628" s="2">
        <v>0</v>
      </c>
      <c r="Y3628">
        <v>20</v>
      </c>
      <c r="Z3628" t="s">
        <v>1776</v>
      </c>
      <c r="AA3628" s="3">
        <v>0.173002749681473</v>
      </c>
      <c r="AB3628" t="s">
        <v>792</v>
      </c>
      <c r="AC3628" t="s">
        <v>4562</v>
      </c>
      <c r="AD3628" t="s">
        <v>20053</v>
      </c>
      <c r="AE3628" t="s">
        <v>4655</v>
      </c>
      <c r="AF3628" t="s">
        <v>5201</v>
      </c>
      <c r="AG3628" t="s">
        <v>4564</v>
      </c>
      <c r="AH3628" t="s">
        <v>1605</v>
      </c>
      <c r="AI3628" t="s">
        <v>793</v>
      </c>
      <c r="AJ3628" t="s">
        <v>4655</v>
      </c>
      <c r="AK3628" t="s">
        <v>20054</v>
      </c>
      <c r="AL3628" s="13" t="s">
        <v>1892</v>
      </c>
      <c r="AM3628">
        <v>1</v>
      </c>
      <c r="AN3628" s="15" t="s">
        <v>794</v>
      </c>
    </row>
    <row r="3629" spans="1:40" x14ac:dyDescent="0.3">
      <c r="A3629" s="10" t="str">
        <f>HYPERLINK("http://www.washoecounty.gov/assessor/cama/?parid=083-393-06&amp;CardNumber=1","083-393-06")</f>
        <v>083-393-06</v>
      </c>
      <c r="B3629" t="s">
        <v>4655</v>
      </c>
      <c r="C3629" t="s">
        <v>20055</v>
      </c>
      <c r="D3629" s="1">
        <v>40357</v>
      </c>
      <c r="E3629" s="2">
        <v>128000</v>
      </c>
      <c r="F3629" t="s">
        <v>4567</v>
      </c>
      <c r="G3629" s="17" t="str">
        <f>HYPERLINK("https://www.washoecounty.gov/assessor/cama/?command=sales&amp;parid=08339306","3896099")</f>
        <v>3896099</v>
      </c>
      <c r="H3629" t="s">
        <v>3208</v>
      </c>
      <c r="I3629">
        <v>1985</v>
      </c>
      <c r="J3629">
        <v>1985</v>
      </c>
      <c r="K3629" t="s">
        <v>4554</v>
      </c>
      <c r="L3629" t="s">
        <v>4555</v>
      </c>
      <c r="M3629" s="2">
        <v>1167</v>
      </c>
      <c r="N3629" t="s">
        <v>4048</v>
      </c>
      <c r="O3629">
        <v>2</v>
      </c>
      <c r="P3629">
        <v>2</v>
      </c>
      <c r="Q3629">
        <v>0</v>
      </c>
      <c r="R3629" t="s">
        <v>4557</v>
      </c>
      <c r="S3629" t="s">
        <v>3148</v>
      </c>
      <c r="T3629" t="s">
        <v>4559</v>
      </c>
      <c r="U3629" t="s">
        <v>4560</v>
      </c>
      <c r="V3629" s="2">
        <v>440</v>
      </c>
      <c r="W3629" t="s">
        <v>4655</v>
      </c>
      <c r="X3629" s="2">
        <v>0</v>
      </c>
      <c r="Y3629">
        <v>20</v>
      </c>
      <c r="Z3629" t="s">
        <v>1776</v>
      </c>
      <c r="AA3629" s="3">
        <v>0.18200182914733901</v>
      </c>
      <c r="AB3629" t="s">
        <v>20056</v>
      </c>
      <c r="AC3629" t="s">
        <v>4562</v>
      </c>
      <c r="AD3629" t="s">
        <v>20055</v>
      </c>
      <c r="AE3629" t="s">
        <v>4655</v>
      </c>
      <c r="AF3629" t="s">
        <v>5201</v>
      </c>
      <c r="AG3629" t="s">
        <v>4564</v>
      </c>
      <c r="AH3629" t="s">
        <v>1605</v>
      </c>
      <c r="AI3629" t="s">
        <v>20057</v>
      </c>
      <c r="AJ3629" t="s">
        <v>4655</v>
      </c>
      <c r="AK3629" t="s">
        <v>20058</v>
      </c>
      <c r="AL3629" s="13" t="s">
        <v>1892</v>
      </c>
      <c r="AM3629">
        <v>1</v>
      </c>
      <c r="AN3629" s="15" t="s">
        <v>794</v>
      </c>
    </row>
    <row r="3630" spans="1:40" x14ac:dyDescent="0.3">
      <c r="A3630" s="10" t="str">
        <f>HYPERLINK("http://www.washoecounty.gov/assessor/cama/?parid=083-393-07&amp;CardNumber=1","083-393-07")</f>
        <v>083-393-07</v>
      </c>
      <c r="B3630" t="s">
        <v>4655</v>
      </c>
      <c r="C3630" t="s">
        <v>20059</v>
      </c>
      <c r="D3630" s="1">
        <v>40228</v>
      </c>
      <c r="E3630" s="2">
        <v>91281</v>
      </c>
      <c r="F3630" t="s">
        <v>4553</v>
      </c>
      <c r="G3630" s="17" t="str">
        <f>HYPERLINK("https://www.washoecounty.gov/assessor/cama/?command=sales&amp;parid=08339307","3851226")</f>
        <v>3851226</v>
      </c>
      <c r="H3630" t="s">
        <v>1636</v>
      </c>
      <c r="I3630">
        <v>1985</v>
      </c>
      <c r="J3630">
        <v>1985</v>
      </c>
      <c r="K3630" t="s">
        <v>4554</v>
      </c>
      <c r="L3630" t="s">
        <v>2170</v>
      </c>
      <c r="M3630" s="2">
        <v>1397</v>
      </c>
      <c r="N3630" t="s">
        <v>4048</v>
      </c>
      <c r="O3630">
        <v>3</v>
      </c>
      <c r="P3630">
        <v>2</v>
      </c>
      <c r="Q3630">
        <v>1</v>
      </c>
      <c r="R3630" t="s">
        <v>4557</v>
      </c>
      <c r="S3630" t="s">
        <v>3148</v>
      </c>
      <c r="T3630" t="s">
        <v>4559</v>
      </c>
      <c r="U3630" t="s">
        <v>4560</v>
      </c>
      <c r="V3630" s="2">
        <v>440</v>
      </c>
      <c r="W3630" t="s">
        <v>4655</v>
      </c>
      <c r="X3630" s="2">
        <v>0</v>
      </c>
      <c r="Y3630">
        <v>20</v>
      </c>
      <c r="Z3630" t="s">
        <v>1776</v>
      </c>
      <c r="AA3630" s="3">
        <v>0.16200642287731201</v>
      </c>
      <c r="AB3630" t="s">
        <v>20060</v>
      </c>
      <c r="AC3630" t="s">
        <v>4562</v>
      </c>
      <c r="AD3630" t="s">
        <v>20059</v>
      </c>
      <c r="AE3630" t="s">
        <v>4655</v>
      </c>
      <c r="AF3630" t="s">
        <v>5201</v>
      </c>
      <c r="AG3630" t="s">
        <v>4564</v>
      </c>
      <c r="AH3630" t="s">
        <v>1605</v>
      </c>
      <c r="AI3630" t="s">
        <v>20061</v>
      </c>
      <c r="AJ3630" t="s">
        <v>4655</v>
      </c>
      <c r="AK3630" t="s">
        <v>20062</v>
      </c>
      <c r="AL3630" s="13" t="s">
        <v>1892</v>
      </c>
      <c r="AM3630">
        <v>1</v>
      </c>
      <c r="AN3630" s="15" t="s">
        <v>794</v>
      </c>
    </row>
    <row r="3631" spans="1:40" x14ac:dyDescent="0.3">
      <c r="A3631" s="10" t="str">
        <f>HYPERLINK("http://www.washoecounty.gov/assessor/cama/?parid=083-393-07&amp;CardNumber=1","083-393-07")</f>
        <v>083-393-07</v>
      </c>
      <c r="B3631" t="s">
        <v>4655</v>
      </c>
      <c r="C3631" t="s">
        <v>20059</v>
      </c>
      <c r="D3631" s="1">
        <v>40339</v>
      </c>
      <c r="E3631" s="2">
        <v>169000</v>
      </c>
      <c r="F3631" t="s">
        <v>4567</v>
      </c>
      <c r="G3631" s="17" t="str">
        <f>HYPERLINK("https://www.washoecounty.gov/assessor/cama/?command=sales&amp;parid=08339307","3890630")</f>
        <v>3890630</v>
      </c>
      <c r="H3631" t="s">
        <v>1636</v>
      </c>
      <c r="I3631">
        <v>1985</v>
      </c>
      <c r="J3631">
        <v>1985</v>
      </c>
      <c r="K3631" t="s">
        <v>4554</v>
      </c>
      <c r="L3631" t="s">
        <v>2170</v>
      </c>
      <c r="M3631" s="2">
        <v>1397</v>
      </c>
      <c r="N3631" t="s">
        <v>4048</v>
      </c>
      <c r="O3631">
        <v>3</v>
      </c>
      <c r="P3631">
        <v>2</v>
      </c>
      <c r="Q3631">
        <v>1</v>
      </c>
      <c r="R3631" t="s">
        <v>4557</v>
      </c>
      <c r="S3631" t="s">
        <v>3148</v>
      </c>
      <c r="T3631" t="s">
        <v>4559</v>
      </c>
      <c r="U3631" t="s">
        <v>4560</v>
      </c>
      <c r="V3631" s="2">
        <v>440</v>
      </c>
      <c r="W3631" t="s">
        <v>4655</v>
      </c>
      <c r="X3631" s="2">
        <v>0</v>
      </c>
      <c r="Y3631">
        <v>20</v>
      </c>
      <c r="Z3631" t="s">
        <v>1776</v>
      </c>
      <c r="AA3631" s="3">
        <v>0.16200642287731201</v>
      </c>
      <c r="AB3631" t="s">
        <v>20060</v>
      </c>
      <c r="AC3631" t="s">
        <v>4562</v>
      </c>
      <c r="AD3631" t="s">
        <v>20059</v>
      </c>
      <c r="AE3631" t="s">
        <v>4655</v>
      </c>
      <c r="AF3631" t="s">
        <v>5201</v>
      </c>
      <c r="AG3631" t="s">
        <v>4564</v>
      </c>
      <c r="AH3631" t="s">
        <v>1605</v>
      </c>
      <c r="AI3631" t="s">
        <v>20061</v>
      </c>
      <c r="AJ3631" t="s">
        <v>4655</v>
      </c>
      <c r="AK3631" t="s">
        <v>20062</v>
      </c>
      <c r="AL3631" s="13" t="s">
        <v>1892</v>
      </c>
      <c r="AM3631">
        <v>1</v>
      </c>
      <c r="AN3631" s="15" t="s">
        <v>794</v>
      </c>
    </row>
    <row r="3632" spans="1:40" x14ac:dyDescent="0.3">
      <c r="A3632" s="10" t="str">
        <f>HYPERLINK("http://www.washoecounty.gov/assessor/cama/?parid=083-401-15&amp;CardNumber=1","083-401-15")</f>
        <v>083-401-15</v>
      </c>
      <c r="B3632" t="s">
        <v>4655</v>
      </c>
      <c r="C3632" t="s">
        <v>20063</v>
      </c>
      <c r="D3632" s="1">
        <v>40359</v>
      </c>
      <c r="E3632" s="2">
        <v>109000</v>
      </c>
      <c r="F3632" t="s">
        <v>4567</v>
      </c>
      <c r="G3632" s="17" t="str">
        <f>HYPERLINK("https://www.washoecounty.gov/assessor/cama/?command=sales&amp;parid=08340115","3897492")</f>
        <v>3897492</v>
      </c>
      <c r="H3632" t="s">
        <v>20064</v>
      </c>
      <c r="I3632">
        <v>1978</v>
      </c>
      <c r="J3632">
        <v>1978</v>
      </c>
      <c r="K3632" t="s">
        <v>4847</v>
      </c>
      <c r="L3632" t="s">
        <v>4555</v>
      </c>
      <c r="M3632" s="2">
        <v>1416</v>
      </c>
      <c r="N3632" t="s">
        <v>4048</v>
      </c>
      <c r="O3632">
        <v>3</v>
      </c>
      <c r="P3632">
        <v>2</v>
      </c>
      <c r="Q3632">
        <v>0</v>
      </c>
      <c r="R3632" t="s">
        <v>4557</v>
      </c>
      <c r="S3632" t="s">
        <v>4558</v>
      </c>
      <c r="T3632" t="s">
        <v>4559</v>
      </c>
      <c r="U3632" t="s">
        <v>4655</v>
      </c>
      <c r="V3632" s="2">
        <v>0</v>
      </c>
      <c r="W3632" t="s">
        <v>4655</v>
      </c>
      <c r="X3632" s="2">
        <v>0</v>
      </c>
      <c r="Y3632">
        <v>23</v>
      </c>
      <c r="Z3632" t="s">
        <v>5508</v>
      </c>
      <c r="AA3632" s="3">
        <v>0.34435260295867898</v>
      </c>
      <c r="AB3632" t="s">
        <v>20065</v>
      </c>
      <c r="AC3632" t="s">
        <v>4575</v>
      </c>
      <c r="AD3632" t="s">
        <v>20066</v>
      </c>
      <c r="AE3632" t="s">
        <v>4655</v>
      </c>
      <c r="AF3632" t="s">
        <v>1600</v>
      </c>
      <c r="AG3632" t="s">
        <v>4564</v>
      </c>
      <c r="AH3632" t="s">
        <v>1601</v>
      </c>
      <c r="AI3632" t="s">
        <v>4655</v>
      </c>
      <c r="AJ3632" t="s">
        <v>4655</v>
      </c>
      <c r="AK3632" t="s">
        <v>20067</v>
      </c>
      <c r="AL3632" s="13" t="s">
        <v>1898</v>
      </c>
      <c r="AM3632" s="14">
        <v>1</v>
      </c>
      <c r="AN3632" s="15" t="s">
        <v>2528</v>
      </c>
    </row>
    <row r="3633" spans="1:40" x14ac:dyDescent="0.3">
      <c r="A3633" s="10" t="str">
        <f>HYPERLINK("http://www.washoecounty.gov/assessor/cama/?parid=083-471-04&amp;CardNumber=1","083-471-04")</f>
        <v>083-471-04</v>
      </c>
      <c r="B3633" t="s">
        <v>4655</v>
      </c>
      <c r="C3633" t="s">
        <v>20068</v>
      </c>
      <c r="D3633" s="1">
        <v>40205</v>
      </c>
      <c r="E3633" s="2">
        <v>134000</v>
      </c>
      <c r="F3633" t="s">
        <v>4553</v>
      </c>
      <c r="G3633" s="17" t="str">
        <f>HYPERLINK("https://www.washoecounty.gov/assessor/cama/?command=sales&amp;parid=08347104","3843309")</f>
        <v>3843309</v>
      </c>
      <c r="H3633" t="s">
        <v>795</v>
      </c>
      <c r="I3633">
        <v>1985</v>
      </c>
      <c r="J3633">
        <v>1985</v>
      </c>
      <c r="K3633" t="s">
        <v>4554</v>
      </c>
      <c r="L3633" t="s">
        <v>4555</v>
      </c>
      <c r="M3633" s="2">
        <v>1167</v>
      </c>
      <c r="N3633" t="s">
        <v>4048</v>
      </c>
      <c r="O3633">
        <v>2</v>
      </c>
      <c r="P3633">
        <v>2</v>
      </c>
      <c r="Q3633">
        <v>0</v>
      </c>
      <c r="R3633" t="s">
        <v>5281</v>
      </c>
      <c r="S3633" t="s">
        <v>3148</v>
      </c>
      <c r="T3633" t="s">
        <v>4559</v>
      </c>
      <c r="U3633" t="s">
        <v>4560</v>
      </c>
      <c r="V3633" s="2">
        <v>440</v>
      </c>
      <c r="W3633" t="s">
        <v>4655</v>
      </c>
      <c r="X3633" s="2">
        <v>0</v>
      </c>
      <c r="Y3633">
        <v>20</v>
      </c>
      <c r="Z3633" t="s">
        <v>1776</v>
      </c>
      <c r="AA3633" s="3">
        <v>0.16499081254005399</v>
      </c>
      <c r="AB3633" t="s">
        <v>20069</v>
      </c>
      <c r="AC3633" t="s">
        <v>4562</v>
      </c>
      <c r="AD3633" t="s">
        <v>20068</v>
      </c>
      <c r="AE3633" t="s">
        <v>4655</v>
      </c>
      <c r="AF3633" t="s">
        <v>4809</v>
      </c>
      <c r="AG3633" t="s">
        <v>4564</v>
      </c>
      <c r="AH3633" t="s">
        <v>1605</v>
      </c>
      <c r="AI3633" t="s">
        <v>796</v>
      </c>
      <c r="AJ3633" t="s">
        <v>4655</v>
      </c>
      <c r="AK3633" t="s">
        <v>20070</v>
      </c>
      <c r="AL3633" s="13" t="s">
        <v>1892</v>
      </c>
      <c r="AM3633">
        <v>1</v>
      </c>
      <c r="AN3633" s="15" t="s">
        <v>794</v>
      </c>
    </row>
    <row r="3634" spans="1:40" x14ac:dyDescent="0.3">
      <c r="A3634" s="10" t="str">
        <f>HYPERLINK("http://www.washoecounty.gov/assessor/cama/?parid=083-471-10&amp;CardNumber=1","083-471-10")</f>
        <v>083-471-10</v>
      </c>
      <c r="B3634" t="s">
        <v>4655</v>
      </c>
      <c r="C3634" t="s">
        <v>20071</v>
      </c>
      <c r="D3634" s="1">
        <v>40430</v>
      </c>
      <c r="E3634" s="2">
        <v>240000</v>
      </c>
      <c r="F3634" t="s">
        <v>4553</v>
      </c>
      <c r="G3634" s="17" t="str">
        <f>HYPERLINK("https://www.washoecounty.gov/assessor/cama/?command=sales&amp;parid=08347110","3920621")</f>
        <v>3920621</v>
      </c>
      <c r="H3634" t="s">
        <v>795</v>
      </c>
      <c r="I3634">
        <v>1985</v>
      </c>
      <c r="J3634">
        <v>1985</v>
      </c>
      <c r="K3634" t="s">
        <v>4554</v>
      </c>
      <c r="L3634" t="s">
        <v>2170</v>
      </c>
      <c r="M3634" s="2">
        <v>1184</v>
      </c>
      <c r="N3634" t="s">
        <v>4048</v>
      </c>
      <c r="O3634">
        <v>3</v>
      </c>
      <c r="P3634">
        <v>2</v>
      </c>
      <c r="Q3634">
        <v>1</v>
      </c>
      <c r="R3634" t="s">
        <v>4557</v>
      </c>
      <c r="S3634" t="s">
        <v>3148</v>
      </c>
      <c r="T3634" t="s">
        <v>4559</v>
      </c>
      <c r="U3634" t="s">
        <v>4560</v>
      </c>
      <c r="V3634" s="2">
        <v>440</v>
      </c>
      <c r="W3634" t="s">
        <v>4655</v>
      </c>
      <c r="X3634" s="2">
        <v>0</v>
      </c>
      <c r="Y3634">
        <v>20</v>
      </c>
      <c r="Z3634" t="s">
        <v>1776</v>
      </c>
      <c r="AA3634" s="3">
        <v>0.21000918745994601</v>
      </c>
      <c r="AB3634" t="s">
        <v>20072</v>
      </c>
      <c r="AC3634" t="s">
        <v>4575</v>
      </c>
      <c r="AD3634" t="s">
        <v>20073</v>
      </c>
      <c r="AE3634" t="s">
        <v>20071</v>
      </c>
      <c r="AF3634" t="s">
        <v>5201</v>
      </c>
      <c r="AG3634" t="s">
        <v>4564</v>
      </c>
      <c r="AH3634" t="s">
        <v>1605</v>
      </c>
      <c r="AI3634" t="s">
        <v>4848</v>
      </c>
      <c r="AJ3634" t="s">
        <v>4655</v>
      </c>
      <c r="AK3634" t="s">
        <v>20074</v>
      </c>
      <c r="AL3634" s="13" t="s">
        <v>1892</v>
      </c>
      <c r="AM3634" s="14">
        <v>1</v>
      </c>
      <c r="AN3634" s="15" t="s">
        <v>794</v>
      </c>
    </row>
    <row r="3635" spans="1:40" x14ac:dyDescent="0.3">
      <c r="A3635" s="10" t="str">
        <f>HYPERLINK("http://www.washoecounty.gov/assessor/cama/?parid=083-472-06&amp;CardNumber=1","083-472-06")</f>
        <v>083-472-06</v>
      </c>
      <c r="B3635" t="s">
        <v>4655</v>
      </c>
      <c r="C3635" t="s">
        <v>20075</v>
      </c>
      <c r="D3635" s="1">
        <v>40498</v>
      </c>
      <c r="E3635" s="2">
        <v>90000</v>
      </c>
      <c r="F3635" t="s">
        <v>4553</v>
      </c>
      <c r="G3635" s="17" t="str">
        <f>HYPERLINK("https://www.washoecounty.gov/assessor/cama/?command=sales&amp;parid=08347206","3943545")</f>
        <v>3943545</v>
      </c>
      <c r="H3635" t="s">
        <v>795</v>
      </c>
      <c r="I3635">
        <v>1985</v>
      </c>
      <c r="J3635">
        <v>1985</v>
      </c>
      <c r="K3635" t="s">
        <v>4554</v>
      </c>
      <c r="L3635" t="s">
        <v>4555</v>
      </c>
      <c r="M3635" s="2">
        <v>1167</v>
      </c>
      <c r="N3635" t="s">
        <v>4048</v>
      </c>
      <c r="O3635">
        <v>2</v>
      </c>
      <c r="P3635">
        <v>2</v>
      </c>
      <c r="Q3635">
        <v>0</v>
      </c>
      <c r="R3635" t="s">
        <v>4557</v>
      </c>
      <c r="S3635" t="s">
        <v>3148</v>
      </c>
      <c r="T3635" t="s">
        <v>4559</v>
      </c>
      <c r="U3635" t="s">
        <v>4560</v>
      </c>
      <c r="V3635" s="2">
        <v>440</v>
      </c>
      <c r="W3635" t="s">
        <v>4655</v>
      </c>
      <c r="X3635" s="2">
        <v>0</v>
      </c>
      <c r="Y3635">
        <v>20</v>
      </c>
      <c r="Z3635" t="s">
        <v>1776</v>
      </c>
      <c r="AA3635" s="3">
        <v>0.21701101958751701</v>
      </c>
      <c r="AB3635" t="s">
        <v>20076</v>
      </c>
      <c r="AC3635" t="s">
        <v>4562</v>
      </c>
      <c r="AD3635" t="s">
        <v>20077</v>
      </c>
      <c r="AE3635" t="s">
        <v>4655</v>
      </c>
      <c r="AF3635" t="s">
        <v>4809</v>
      </c>
      <c r="AG3635" t="s">
        <v>4564</v>
      </c>
      <c r="AH3635" t="s">
        <v>1605</v>
      </c>
      <c r="AI3635" t="s">
        <v>2351</v>
      </c>
      <c r="AJ3635" t="s">
        <v>4655</v>
      </c>
      <c r="AK3635" t="s">
        <v>20078</v>
      </c>
      <c r="AL3635" s="13" t="s">
        <v>1892</v>
      </c>
      <c r="AM3635">
        <v>1</v>
      </c>
      <c r="AN3635" s="15" t="s">
        <v>794</v>
      </c>
    </row>
    <row r="3636" spans="1:40" x14ac:dyDescent="0.3">
      <c r="A3636" s="10" t="str">
        <f>HYPERLINK("http://www.washoecounty.gov/assessor/cama/?parid=083-481-02&amp;CardNumber=1","083-481-02")</f>
        <v>083-481-02</v>
      </c>
      <c r="B3636" t="s">
        <v>4655</v>
      </c>
      <c r="C3636" t="s">
        <v>20079</v>
      </c>
      <c r="D3636" s="1">
        <v>40343</v>
      </c>
      <c r="E3636" s="2">
        <v>120000</v>
      </c>
      <c r="F3636" t="s">
        <v>4567</v>
      </c>
      <c r="G3636" s="17" t="str">
        <f>HYPERLINK("https://www.washoecounty.gov/assessor/cama/?command=sales&amp;parid=08348102","3891421")</f>
        <v>3891421</v>
      </c>
      <c r="H3636" t="s">
        <v>795</v>
      </c>
      <c r="I3636">
        <v>1985</v>
      </c>
      <c r="J3636">
        <v>1985</v>
      </c>
      <c r="K3636" t="s">
        <v>4554</v>
      </c>
      <c r="L3636" t="s">
        <v>2170</v>
      </c>
      <c r="M3636" s="2">
        <v>1184</v>
      </c>
      <c r="N3636" t="s">
        <v>4048</v>
      </c>
      <c r="O3636">
        <v>2</v>
      </c>
      <c r="P3636">
        <v>2</v>
      </c>
      <c r="Q3636">
        <v>1</v>
      </c>
      <c r="R3636" t="s">
        <v>4557</v>
      </c>
      <c r="S3636" t="s">
        <v>3148</v>
      </c>
      <c r="T3636" t="s">
        <v>4559</v>
      </c>
      <c r="U3636" t="s">
        <v>4560</v>
      </c>
      <c r="V3636" s="2">
        <v>440</v>
      </c>
      <c r="W3636" t="s">
        <v>4655</v>
      </c>
      <c r="X3636" s="2">
        <v>0</v>
      </c>
      <c r="Y3636">
        <v>20</v>
      </c>
      <c r="Z3636" t="s">
        <v>1776</v>
      </c>
      <c r="AA3636" s="3">
        <v>0.26299357414245605</v>
      </c>
      <c r="AB3636" t="s">
        <v>20080</v>
      </c>
      <c r="AC3636" t="s">
        <v>4562</v>
      </c>
      <c r="AD3636" t="s">
        <v>20079</v>
      </c>
      <c r="AE3636" t="s">
        <v>4655</v>
      </c>
      <c r="AF3636" t="s">
        <v>5201</v>
      </c>
      <c r="AG3636" t="s">
        <v>4564</v>
      </c>
      <c r="AH3636" t="s">
        <v>1605</v>
      </c>
      <c r="AI3636" t="s">
        <v>20081</v>
      </c>
      <c r="AJ3636" t="s">
        <v>4655</v>
      </c>
      <c r="AK3636" t="s">
        <v>20082</v>
      </c>
      <c r="AL3636" s="13" t="s">
        <v>1892</v>
      </c>
      <c r="AM3636">
        <v>1</v>
      </c>
      <c r="AN3636" s="15" t="s">
        <v>794</v>
      </c>
    </row>
    <row r="3637" spans="1:40" x14ac:dyDescent="0.3">
      <c r="A3637" s="10" t="str">
        <f>HYPERLINK("http://www.washoecounty.gov/assessor/cama/?parid=083-482-10&amp;CardNumber=1","083-482-10")</f>
        <v>083-482-10</v>
      </c>
      <c r="B3637" t="s">
        <v>4655</v>
      </c>
      <c r="C3637" t="s">
        <v>20083</v>
      </c>
      <c r="D3637" s="1">
        <v>40310</v>
      </c>
      <c r="E3637" s="2">
        <v>115000</v>
      </c>
      <c r="F3637" t="s">
        <v>4553</v>
      </c>
      <c r="G3637" s="17" t="str">
        <f>HYPERLINK("https://www.washoecounty.gov/assessor/cama/?command=sales&amp;parid=08348210","3880935")</f>
        <v>3880935</v>
      </c>
      <c r="H3637" t="s">
        <v>20084</v>
      </c>
      <c r="I3637">
        <v>1985</v>
      </c>
      <c r="J3637">
        <v>1988</v>
      </c>
      <c r="K3637" t="s">
        <v>4554</v>
      </c>
      <c r="L3637" t="s">
        <v>4555</v>
      </c>
      <c r="M3637" s="2">
        <v>941</v>
      </c>
      <c r="N3637" t="s">
        <v>4048</v>
      </c>
      <c r="O3637">
        <v>2</v>
      </c>
      <c r="P3637">
        <v>1</v>
      </c>
      <c r="Q3637">
        <v>0</v>
      </c>
      <c r="R3637" t="s">
        <v>4557</v>
      </c>
      <c r="S3637" t="s">
        <v>3148</v>
      </c>
      <c r="T3637" t="s">
        <v>4559</v>
      </c>
      <c r="U3637" t="s">
        <v>4560</v>
      </c>
      <c r="V3637" s="2">
        <v>312</v>
      </c>
      <c r="W3637" t="s">
        <v>4655</v>
      </c>
      <c r="X3637" s="2">
        <v>0</v>
      </c>
      <c r="Y3637">
        <v>20</v>
      </c>
      <c r="Z3637" t="s">
        <v>1776</v>
      </c>
      <c r="AA3637" s="3">
        <v>0.22499999403953599</v>
      </c>
      <c r="AB3637" t="s">
        <v>20085</v>
      </c>
      <c r="AC3637" t="s">
        <v>4562</v>
      </c>
      <c r="AD3637" t="s">
        <v>20083</v>
      </c>
      <c r="AE3637" t="s">
        <v>4655</v>
      </c>
      <c r="AF3637" t="s">
        <v>5201</v>
      </c>
      <c r="AG3637" t="s">
        <v>4564</v>
      </c>
      <c r="AH3637" t="s">
        <v>1605</v>
      </c>
      <c r="AI3637" t="s">
        <v>4565</v>
      </c>
      <c r="AJ3637" t="s">
        <v>4655</v>
      </c>
      <c r="AK3637" t="s">
        <v>20086</v>
      </c>
      <c r="AL3637" s="13" t="s">
        <v>1892</v>
      </c>
      <c r="AM3637">
        <v>1</v>
      </c>
      <c r="AN3637" s="15" t="s">
        <v>794</v>
      </c>
    </row>
    <row r="3638" spans="1:40" x14ac:dyDescent="0.3">
      <c r="A3638" s="10" t="str">
        <f>HYPERLINK("http://www.washoecounty.gov/assessor/cama/?parid=083-482-16&amp;CardNumber=1","083-482-16")</f>
        <v>083-482-16</v>
      </c>
      <c r="B3638" t="s">
        <v>4655</v>
      </c>
      <c r="C3638" t="s">
        <v>20087</v>
      </c>
      <c r="D3638" s="1">
        <v>40452</v>
      </c>
      <c r="E3638" s="2">
        <v>133900</v>
      </c>
      <c r="F3638" t="s">
        <v>4553</v>
      </c>
      <c r="G3638" s="17" t="str">
        <f>HYPERLINK("https://www.washoecounty.gov/assessor/cama/?command=sales&amp;parid=08348216","3928757")</f>
        <v>3928757</v>
      </c>
      <c r="H3638" t="s">
        <v>795</v>
      </c>
      <c r="I3638">
        <v>1985</v>
      </c>
      <c r="J3638">
        <v>1985</v>
      </c>
      <c r="K3638" t="s">
        <v>4554</v>
      </c>
      <c r="L3638" t="s">
        <v>2170</v>
      </c>
      <c r="M3638" s="2">
        <v>1397</v>
      </c>
      <c r="N3638" t="s">
        <v>4048</v>
      </c>
      <c r="O3638">
        <v>3</v>
      </c>
      <c r="P3638">
        <v>2</v>
      </c>
      <c r="Q3638">
        <v>1</v>
      </c>
      <c r="R3638" t="s">
        <v>4557</v>
      </c>
      <c r="S3638" t="s">
        <v>3148</v>
      </c>
      <c r="T3638" t="s">
        <v>4559</v>
      </c>
      <c r="U3638" t="s">
        <v>4560</v>
      </c>
      <c r="V3638" s="2">
        <v>440</v>
      </c>
      <c r="W3638" t="s">
        <v>4655</v>
      </c>
      <c r="X3638" s="2">
        <v>0</v>
      </c>
      <c r="Y3638">
        <v>20</v>
      </c>
      <c r="Z3638" t="s">
        <v>1776</v>
      </c>
      <c r="AA3638" s="3">
        <v>0.16499081254005399</v>
      </c>
      <c r="AB3638" t="s">
        <v>20088</v>
      </c>
      <c r="AC3638" t="s">
        <v>4562</v>
      </c>
      <c r="AD3638" t="s">
        <v>20087</v>
      </c>
      <c r="AE3638" t="s">
        <v>4655</v>
      </c>
      <c r="AF3638" t="s">
        <v>5201</v>
      </c>
      <c r="AG3638" t="s">
        <v>4564</v>
      </c>
      <c r="AH3638" t="s">
        <v>1605</v>
      </c>
      <c r="AI3638" t="s">
        <v>4903</v>
      </c>
      <c r="AJ3638" t="s">
        <v>4655</v>
      </c>
      <c r="AK3638" t="s">
        <v>20089</v>
      </c>
      <c r="AL3638" s="13" t="s">
        <v>1892</v>
      </c>
      <c r="AM3638">
        <v>1</v>
      </c>
      <c r="AN3638" s="15" t="s">
        <v>794</v>
      </c>
    </row>
    <row r="3639" spans="1:40" x14ac:dyDescent="0.3">
      <c r="A3639" s="10" t="str">
        <f>HYPERLINK("http://www.washoecounty.gov/assessor/cama/?parid=083-482-21&amp;CardNumber=1","083-482-21")</f>
        <v>083-482-21</v>
      </c>
      <c r="B3639" t="s">
        <v>4655</v>
      </c>
      <c r="C3639" t="s">
        <v>20090</v>
      </c>
      <c r="D3639" s="1">
        <v>40535</v>
      </c>
      <c r="E3639" s="2">
        <v>99000</v>
      </c>
      <c r="F3639" t="s">
        <v>4553</v>
      </c>
      <c r="G3639" s="17" t="str">
        <f>HYPERLINK("https://www.washoecounty.gov/assessor/cama/?command=sales&amp;parid=08348221","3956834")</f>
        <v>3956834</v>
      </c>
      <c r="H3639" t="s">
        <v>795</v>
      </c>
      <c r="I3639">
        <v>1985</v>
      </c>
      <c r="J3639">
        <v>1987</v>
      </c>
      <c r="K3639" t="s">
        <v>4554</v>
      </c>
      <c r="L3639" t="s">
        <v>4555</v>
      </c>
      <c r="M3639" s="2">
        <v>1297</v>
      </c>
      <c r="N3639" t="s">
        <v>4048</v>
      </c>
      <c r="O3639">
        <v>2</v>
      </c>
      <c r="P3639">
        <v>2</v>
      </c>
      <c r="Q3639">
        <v>0</v>
      </c>
      <c r="R3639" t="s">
        <v>4557</v>
      </c>
      <c r="S3639" t="s">
        <v>3148</v>
      </c>
      <c r="T3639" t="s">
        <v>4559</v>
      </c>
      <c r="U3639" t="s">
        <v>4560</v>
      </c>
      <c r="V3639" s="2">
        <v>440</v>
      </c>
      <c r="W3639" t="s">
        <v>4655</v>
      </c>
      <c r="X3639" s="2">
        <v>0</v>
      </c>
      <c r="Y3639">
        <v>20</v>
      </c>
      <c r="Z3639" t="s">
        <v>1776</v>
      </c>
      <c r="AA3639" s="3">
        <v>0.16499081254005399</v>
      </c>
      <c r="AB3639" t="s">
        <v>20091</v>
      </c>
      <c r="AC3639" t="s">
        <v>4575</v>
      </c>
      <c r="AD3639" t="s">
        <v>20090</v>
      </c>
      <c r="AE3639" t="s">
        <v>4655</v>
      </c>
      <c r="AF3639" t="s">
        <v>5201</v>
      </c>
      <c r="AG3639" t="s">
        <v>4564</v>
      </c>
      <c r="AH3639" t="s">
        <v>1605</v>
      </c>
      <c r="AI3639" t="s">
        <v>2351</v>
      </c>
      <c r="AJ3639" t="s">
        <v>4655</v>
      </c>
      <c r="AK3639" t="s">
        <v>20092</v>
      </c>
      <c r="AL3639" s="13" t="s">
        <v>1892</v>
      </c>
      <c r="AM3639">
        <v>1</v>
      </c>
      <c r="AN3639" s="15" t="s">
        <v>794</v>
      </c>
    </row>
    <row r="3640" spans="1:40" x14ac:dyDescent="0.3">
      <c r="A3640" s="10" t="str">
        <f>HYPERLINK("http://www.washoecounty.gov/assessor/cama/?parid=083-482-29&amp;CardNumber=1","083-482-29")</f>
        <v>083-482-29</v>
      </c>
      <c r="B3640" t="s">
        <v>4655</v>
      </c>
      <c r="C3640" t="s">
        <v>20093</v>
      </c>
      <c r="D3640" s="1">
        <v>40451</v>
      </c>
      <c r="E3640" s="2">
        <v>140000</v>
      </c>
      <c r="F3640" t="s">
        <v>4567</v>
      </c>
      <c r="G3640" s="17" t="str">
        <f>HYPERLINK("https://www.washoecounty.gov/assessor/cama/?command=sales&amp;parid=08348229","3928483")</f>
        <v>3928483</v>
      </c>
      <c r="H3640" t="s">
        <v>3014</v>
      </c>
      <c r="I3640">
        <v>1989</v>
      </c>
      <c r="J3640">
        <v>1989</v>
      </c>
      <c r="K3640" t="s">
        <v>4554</v>
      </c>
      <c r="L3640" t="s">
        <v>4555</v>
      </c>
      <c r="M3640" s="2">
        <v>1232</v>
      </c>
      <c r="N3640" t="s">
        <v>4048</v>
      </c>
      <c r="O3640">
        <v>3</v>
      </c>
      <c r="P3640">
        <v>2</v>
      </c>
      <c r="Q3640">
        <v>0</v>
      </c>
      <c r="R3640" t="s">
        <v>4557</v>
      </c>
      <c r="S3640" t="s">
        <v>4558</v>
      </c>
      <c r="T3640" t="s">
        <v>4559</v>
      </c>
      <c r="U3640" t="s">
        <v>162</v>
      </c>
      <c r="V3640" s="2">
        <v>1040</v>
      </c>
      <c r="W3640" t="s">
        <v>4655</v>
      </c>
      <c r="X3640" s="2">
        <v>0</v>
      </c>
      <c r="Y3640">
        <v>20</v>
      </c>
      <c r="Z3640" t="s">
        <v>1776</v>
      </c>
      <c r="AA3640" s="3">
        <v>0.19499540328979501</v>
      </c>
      <c r="AB3640" t="s">
        <v>3015</v>
      </c>
      <c r="AC3640" t="s">
        <v>4562</v>
      </c>
      <c r="AD3640" t="s">
        <v>20093</v>
      </c>
      <c r="AE3640" t="s">
        <v>4655</v>
      </c>
      <c r="AF3640" t="s">
        <v>5201</v>
      </c>
      <c r="AG3640" t="s">
        <v>4564</v>
      </c>
      <c r="AH3640" t="s">
        <v>1605</v>
      </c>
      <c r="AI3640" t="s">
        <v>20094</v>
      </c>
      <c r="AJ3640" t="s">
        <v>4655</v>
      </c>
      <c r="AK3640" t="s">
        <v>20095</v>
      </c>
      <c r="AL3640" s="13" t="s">
        <v>1892</v>
      </c>
      <c r="AM3640">
        <v>1</v>
      </c>
      <c r="AN3640" s="15" t="s">
        <v>794</v>
      </c>
    </row>
    <row r="3641" spans="1:40" x14ac:dyDescent="0.3">
      <c r="A3641" s="10" t="str">
        <f>HYPERLINK("http://www.washoecounty.gov/assessor/cama/?parid=083-483-02&amp;CardNumber=1","083-483-02")</f>
        <v>083-483-02</v>
      </c>
      <c r="B3641" t="s">
        <v>4655</v>
      </c>
      <c r="C3641" t="s">
        <v>20096</v>
      </c>
      <c r="D3641" s="1">
        <v>40375</v>
      </c>
      <c r="E3641" s="2">
        <v>124000</v>
      </c>
      <c r="F3641" t="s">
        <v>4567</v>
      </c>
      <c r="G3641" s="17" t="str">
        <f>HYPERLINK("https://www.washoecounty.gov/assessor/cama/?command=sales&amp;parid=08348302","3902250")</f>
        <v>3902250</v>
      </c>
      <c r="H3641" t="s">
        <v>3646</v>
      </c>
      <c r="I3641">
        <v>1988</v>
      </c>
      <c r="J3641">
        <v>1988</v>
      </c>
      <c r="K3641" t="s">
        <v>4554</v>
      </c>
      <c r="L3641" t="s">
        <v>3974</v>
      </c>
      <c r="M3641" s="2">
        <v>1412</v>
      </c>
      <c r="N3641" t="s">
        <v>4048</v>
      </c>
      <c r="O3641">
        <v>4</v>
      </c>
      <c r="P3641">
        <v>3</v>
      </c>
      <c r="Q3641">
        <v>0</v>
      </c>
      <c r="R3641" t="s">
        <v>4557</v>
      </c>
      <c r="S3641" t="s">
        <v>4558</v>
      </c>
      <c r="T3641" t="s">
        <v>4559</v>
      </c>
      <c r="U3641" t="s">
        <v>4560</v>
      </c>
      <c r="V3641" s="2">
        <v>405</v>
      </c>
      <c r="W3641" t="s">
        <v>4655</v>
      </c>
      <c r="X3641" s="2">
        <v>0</v>
      </c>
      <c r="Y3641">
        <v>20</v>
      </c>
      <c r="Z3641" t="s">
        <v>1776</v>
      </c>
      <c r="AA3641" s="3">
        <v>0.16499081254005399</v>
      </c>
      <c r="AB3641" t="s">
        <v>20097</v>
      </c>
      <c r="AC3641" t="s">
        <v>4562</v>
      </c>
      <c r="AD3641" t="s">
        <v>20096</v>
      </c>
      <c r="AE3641" t="s">
        <v>4655</v>
      </c>
      <c r="AF3641" t="s">
        <v>5201</v>
      </c>
      <c r="AG3641" t="s">
        <v>4564</v>
      </c>
      <c r="AH3641" t="s">
        <v>1605</v>
      </c>
      <c r="AI3641" t="s">
        <v>20098</v>
      </c>
      <c r="AJ3641" t="s">
        <v>4655</v>
      </c>
      <c r="AK3641" t="s">
        <v>20099</v>
      </c>
      <c r="AL3641" s="13" t="s">
        <v>1892</v>
      </c>
      <c r="AM3641">
        <v>1</v>
      </c>
      <c r="AN3641" s="15" t="s">
        <v>794</v>
      </c>
    </row>
    <row r="3642" spans="1:40" x14ac:dyDescent="0.3">
      <c r="A3642" s="10" t="str">
        <f>HYPERLINK("http://www.washoecounty.gov/assessor/cama/?parid=083-483-03&amp;CardNumber=1","083-483-03")</f>
        <v>083-483-03</v>
      </c>
      <c r="B3642" t="s">
        <v>4655</v>
      </c>
      <c r="C3642" t="s">
        <v>20100</v>
      </c>
      <c r="D3642" s="1">
        <v>40385</v>
      </c>
      <c r="E3642" s="2">
        <v>125000</v>
      </c>
      <c r="F3642" t="s">
        <v>4567</v>
      </c>
      <c r="G3642" s="17" t="str">
        <f>HYPERLINK("https://www.washoecounty.gov/assessor/cama/?command=sales&amp;parid=08348303","3904821")</f>
        <v>3904821</v>
      </c>
      <c r="H3642" t="s">
        <v>3646</v>
      </c>
      <c r="I3642">
        <v>1988</v>
      </c>
      <c r="J3642">
        <v>1988</v>
      </c>
      <c r="K3642" t="s">
        <v>4554</v>
      </c>
      <c r="L3642" t="s">
        <v>4555</v>
      </c>
      <c r="M3642" s="2">
        <v>1232</v>
      </c>
      <c r="N3642" t="s">
        <v>4048</v>
      </c>
      <c r="O3642">
        <v>3</v>
      </c>
      <c r="P3642">
        <v>2</v>
      </c>
      <c r="Q3642">
        <v>0</v>
      </c>
      <c r="R3642" t="s">
        <v>4557</v>
      </c>
      <c r="S3642" t="s">
        <v>4558</v>
      </c>
      <c r="T3642" t="s">
        <v>4559</v>
      </c>
      <c r="U3642" t="s">
        <v>4560</v>
      </c>
      <c r="V3642" s="2">
        <v>480</v>
      </c>
      <c r="W3642" t="s">
        <v>4655</v>
      </c>
      <c r="X3642" s="2">
        <v>0</v>
      </c>
      <c r="Y3642">
        <v>20</v>
      </c>
      <c r="Z3642" t="s">
        <v>1776</v>
      </c>
      <c r="AA3642" s="3">
        <v>0.16499081254005399</v>
      </c>
      <c r="AB3642" t="s">
        <v>20101</v>
      </c>
      <c r="AC3642" t="s">
        <v>4562</v>
      </c>
      <c r="AD3642" t="s">
        <v>20102</v>
      </c>
      <c r="AE3642" t="s">
        <v>4655</v>
      </c>
      <c r="AF3642" t="s">
        <v>5201</v>
      </c>
      <c r="AG3642" t="s">
        <v>4564</v>
      </c>
      <c r="AH3642" t="s">
        <v>5202</v>
      </c>
      <c r="AI3642" t="s">
        <v>4655</v>
      </c>
      <c r="AJ3642" t="s">
        <v>4655</v>
      </c>
      <c r="AK3642" t="s">
        <v>20103</v>
      </c>
      <c r="AL3642" s="13" t="s">
        <v>1892</v>
      </c>
      <c r="AM3642">
        <v>1</v>
      </c>
      <c r="AN3642" s="15" t="s">
        <v>794</v>
      </c>
    </row>
    <row r="3643" spans="1:40" x14ac:dyDescent="0.3">
      <c r="A3643" s="10" t="str">
        <f>HYPERLINK("http://www.washoecounty.gov/assessor/cama/?parid=083-492-11&amp;CardNumber=1","083-492-11")</f>
        <v>083-492-11</v>
      </c>
      <c r="B3643" t="s">
        <v>4655</v>
      </c>
      <c r="C3643" t="s">
        <v>20104</v>
      </c>
      <c r="D3643" s="1">
        <v>40262</v>
      </c>
      <c r="E3643" s="2">
        <v>121000</v>
      </c>
      <c r="F3643" t="s">
        <v>4553</v>
      </c>
      <c r="G3643" s="17" t="str">
        <f>HYPERLINK("https://www.washoecounty.gov/assessor/cama/?command=sales&amp;parid=08349211","3863880")</f>
        <v>3863880</v>
      </c>
      <c r="H3643" t="s">
        <v>4456</v>
      </c>
      <c r="I3643">
        <v>1993</v>
      </c>
      <c r="J3643">
        <v>1993</v>
      </c>
      <c r="K3643" t="s">
        <v>4554</v>
      </c>
      <c r="L3643" t="s">
        <v>4555</v>
      </c>
      <c r="M3643" s="2">
        <v>1430</v>
      </c>
      <c r="N3643" t="s">
        <v>4048</v>
      </c>
      <c r="O3643">
        <v>3</v>
      </c>
      <c r="P3643">
        <v>2</v>
      </c>
      <c r="Q3643">
        <v>0</v>
      </c>
      <c r="R3643" t="s">
        <v>4557</v>
      </c>
      <c r="S3643" t="s">
        <v>4558</v>
      </c>
      <c r="T3643" t="s">
        <v>4559</v>
      </c>
      <c r="U3643" t="s">
        <v>4560</v>
      </c>
      <c r="V3643" s="2">
        <v>462</v>
      </c>
      <c r="W3643" t="s">
        <v>4655</v>
      </c>
      <c r="X3643" s="2">
        <v>0</v>
      </c>
      <c r="Y3643">
        <v>20</v>
      </c>
      <c r="Z3643" t="s">
        <v>1776</v>
      </c>
      <c r="AA3643" s="3">
        <v>0.20000000298023199</v>
      </c>
      <c r="AB3643" t="s">
        <v>20105</v>
      </c>
      <c r="AC3643" t="s">
        <v>4575</v>
      </c>
      <c r="AD3643" t="s">
        <v>20104</v>
      </c>
      <c r="AE3643" t="s">
        <v>4655</v>
      </c>
      <c r="AF3643" t="s">
        <v>5201</v>
      </c>
      <c r="AG3643" t="s">
        <v>4564</v>
      </c>
      <c r="AH3643" t="s">
        <v>1605</v>
      </c>
      <c r="AI3643" t="s">
        <v>4045</v>
      </c>
      <c r="AJ3643" t="s">
        <v>4687</v>
      </c>
      <c r="AK3643" t="s">
        <v>20106</v>
      </c>
      <c r="AL3643" s="13" t="s">
        <v>1892</v>
      </c>
      <c r="AM3643" s="14">
        <v>1</v>
      </c>
      <c r="AN3643" s="15" t="s">
        <v>794</v>
      </c>
    </row>
    <row r="3644" spans="1:40" x14ac:dyDescent="0.3">
      <c r="A3644" s="10" t="str">
        <f>HYPERLINK("http://www.washoecounty.gov/assessor/cama/?parid=083-492-14&amp;CardNumber=1","083-492-14")</f>
        <v>083-492-14</v>
      </c>
      <c r="B3644" t="s">
        <v>4655</v>
      </c>
      <c r="C3644" t="s">
        <v>20107</v>
      </c>
      <c r="D3644" s="1">
        <v>40259</v>
      </c>
      <c r="E3644" s="2">
        <v>163500</v>
      </c>
      <c r="F3644" t="s">
        <v>4567</v>
      </c>
      <c r="G3644" s="17" t="str">
        <f>HYPERLINK("https://www.washoecounty.gov/assessor/cama/?command=sales&amp;parid=08349214","3862168")</f>
        <v>3862168</v>
      </c>
      <c r="H3644" t="s">
        <v>4456</v>
      </c>
      <c r="I3644">
        <v>1993</v>
      </c>
      <c r="J3644">
        <v>1993</v>
      </c>
      <c r="K3644" t="s">
        <v>4554</v>
      </c>
      <c r="L3644" t="s">
        <v>3974</v>
      </c>
      <c r="M3644" s="2">
        <v>1820</v>
      </c>
      <c r="N3644" t="s">
        <v>4048</v>
      </c>
      <c r="O3644">
        <v>3</v>
      </c>
      <c r="P3644">
        <v>2</v>
      </c>
      <c r="Q3644">
        <v>1</v>
      </c>
      <c r="R3644" t="s">
        <v>5281</v>
      </c>
      <c r="S3644" t="s">
        <v>4558</v>
      </c>
      <c r="T3644" t="s">
        <v>4559</v>
      </c>
      <c r="U3644" t="s">
        <v>4560</v>
      </c>
      <c r="V3644" s="2">
        <v>420</v>
      </c>
      <c r="W3644" t="s">
        <v>4655</v>
      </c>
      <c r="X3644" s="2">
        <v>0</v>
      </c>
      <c r="Y3644">
        <v>20</v>
      </c>
      <c r="Z3644" t="s">
        <v>1776</v>
      </c>
      <c r="AA3644" s="3">
        <v>0.173002749681473</v>
      </c>
      <c r="AB3644" t="s">
        <v>20108</v>
      </c>
      <c r="AC3644" t="s">
        <v>4562</v>
      </c>
      <c r="AD3644" t="s">
        <v>20107</v>
      </c>
      <c r="AE3644" t="s">
        <v>4655</v>
      </c>
      <c r="AF3644" t="s">
        <v>5201</v>
      </c>
      <c r="AG3644" t="s">
        <v>4564</v>
      </c>
      <c r="AH3644" t="s">
        <v>1605</v>
      </c>
      <c r="AI3644" t="s">
        <v>20109</v>
      </c>
      <c r="AJ3644" t="s">
        <v>4687</v>
      </c>
      <c r="AK3644" t="s">
        <v>20110</v>
      </c>
      <c r="AL3644" s="13" t="s">
        <v>1892</v>
      </c>
      <c r="AM3644">
        <v>1</v>
      </c>
      <c r="AN3644" s="15" t="s">
        <v>794</v>
      </c>
    </row>
    <row r="3645" spans="1:40" x14ac:dyDescent="0.3">
      <c r="A3645" s="10" t="str">
        <f>HYPERLINK("http://www.washoecounty.gov/assessor/cama/?parid=083-494-09&amp;CardNumber=1","083-494-09")</f>
        <v>083-494-09</v>
      </c>
      <c r="B3645" t="s">
        <v>4655</v>
      </c>
      <c r="C3645" t="s">
        <v>20111</v>
      </c>
      <c r="D3645" s="1">
        <v>40358</v>
      </c>
      <c r="E3645" s="2">
        <v>120000</v>
      </c>
      <c r="F3645" t="s">
        <v>4567</v>
      </c>
      <c r="G3645" s="17" t="str">
        <f>HYPERLINK("https://www.washoecounty.gov/assessor/cama/?command=sales&amp;parid=08349409","3896837")</f>
        <v>3896837</v>
      </c>
      <c r="H3645" t="s">
        <v>3646</v>
      </c>
      <c r="I3645">
        <v>1988</v>
      </c>
      <c r="J3645">
        <v>1988</v>
      </c>
      <c r="K3645" t="s">
        <v>4554</v>
      </c>
      <c r="L3645" t="s">
        <v>4555</v>
      </c>
      <c r="M3645" s="2">
        <v>1232</v>
      </c>
      <c r="N3645" t="s">
        <v>4048</v>
      </c>
      <c r="O3645">
        <v>3</v>
      </c>
      <c r="P3645">
        <v>2</v>
      </c>
      <c r="Q3645">
        <v>0</v>
      </c>
      <c r="R3645" t="s">
        <v>4557</v>
      </c>
      <c r="S3645" t="s">
        <v>4558</v>
      </c>
      <c r="T3645" t="s">
        <v>4559</v>
      </c>
      <c r="U3645" t="s">
        <v>4560</v>
      </c>
      <c r="V3645" s="2">
        <v>480</v>
      </c>
      <c r="W3645" t="s">
        <v>4655</v>
      </c>
      <c r="X3645" s="2">
        <v>0</v>
      </c>
      <c r="Y3645">
        <v>20</v>
      </c>
      <c r="Z3645" t="s">
        <v>1776</v>
      </c>
      <c r="AA3645" s="3">
        <v>0.16900826990604401</v>
      </c>
      <c r="AB3645" t="s">
        <v>20112</v>
      </c>
      <c r="AC3645" t="s">
        <v>4562</v>
      </c>
      <c r="AD3645" t="s">
        <v>20111</v>
      </c>
      <c r="AE3645" t="s">
        <v>4655</v>
      </c>
      <c r="AF3645" t="s">
        <v>5201</v>
      </c>
      <c r="AG3645" t="s">
        <v>4564</v>
      </c>
      <c r="AH3645" t="s">
        <v>1605</v>
      </c>
      <c r="AI3645" t="s">
        <v>20113</v>
      </c>
      <c r="AJ3645" t="s">
        <v>4655</v>
      </c>
      <c r="AK3645" t="s">
        <v>20114</v>
      </c>
      <c r="AL3645" s="13" t="s">
        <v>1892</v>
      </c>
      <c r="AM3645">
        <v>1</v>
      </c>
      <c r="AN3645" s="15" t="s">
        <v>794</v>
      </c>
    </row>
    <row r="3646" spans="1:40" x14ac:dyDescent="0.3">
      <c r="A3646" s="10" t="str">
        <f>HYPERLINK("http://www.washoecounty.gov/assessor/cama/?parid=083-502-13&amp;CardNumber=1","083-502-13")</f>
        <v>083-502-13</v>
      </c>
      <c r="B3646" t="s">
        <v>4655</v>
      </c>
      <c r="C3646" t="s">
        <v>20115</v>
      </c>
      <c r="D3646" s="1">
        <v>40206</v>
      </c>
      <c r="E3646" s="2">
        <v>85000</v>
      </c>
      <c r="F3646" t="s">
        <v>4567</v>
      </c>
      <c r="G3646" s="17" t="str">
        <f>HYPERLINK("https://www.washoecounty.gov/assessor/cama/?command=sales&amp;parid=08350213","3843821")</f>
        <v>3843821</v>
      </c>
      <c r="H3646" t="s">
        <v>797</v>
      </c>
      <c r="I3646">
        <v>1988</v>
      </c>
      <c r="J3646">
        <v>1988</v>
      </c>
      <c r="K3646" t="s">
        <v>4847</v>
      </c>
      <c r="L3646" t="s">
        <v>4555</v>
      </c>
      <c r="M3646" s="2">
        <v>1456</v>
      </c>
      <c r="N3646" t="s">
        <v>4556</v>
      </c>
      <c r="O3646">
        <v>3</v>
      </c>
      <c r="P3646">
        <v>2</v>
      </c>
      <c r="Q3646">
        <v>0</v>
      </c>
      <c r="R3646" t="s">
        <v>4557</v>
      </c>
      <c r="S3646" t="s">
        <v>4135</v>
      </c>
      <c r="T3646" t="s">
        <v>4559</v>
      </c>
      <c r="U3646" t="s">
        <v>4655</v>
      </c>
      <c r="V3646" s="2">
        <v>0</v>
      </c>
      <c r="W3646" t="s">
        <v>4655</v>
      </c>
      <c r="X3646" s="2">
        <v>0</v>
      </c>
      <c r="Y3646">
        <v>22</v>
      </c>
      <c r="Z3646" t="s">
        <v>5508</v>
      </c>
      <c r="AA3646" s="3">
        <v>0.21400366723537401</v>
      </c>
      <c r="AB3646" t="s">
        <v>20116</v>
      </c>
      <c r="AC3646" t="s">
        <v>4575</v>
      </c>
      <c r="AD3646" t="s">
        <v>20115</v>
      </c>
      <c r="AE3646" t="s">
        <v>4655</v>
      </c>
      <c r="AF3646" t="s">
        <v>1600</v>
      </c>
      <c r="AG3646" t="s">
        <v>4564</v>
      </c>
      <c r="AH3646" t="s">
        <v>1601</v>
      </c>
      <c r="AI3646" t="s">
        <v>20117</v>
      </c>
      <c r="AJ3646" t="s">
        <v>4655</v>
      </c>
      <c r="AK3646" t="s">
        <v>20118</v>
      </c>
      <c r="AL3646" s="13" t="s">
        <v>1889</v>
      </c>
      <c r="AM3646" s="14">
        <v>1</v>
      </c>
      <c r="AN3646" s="15" t="s">
        <v>2528</v>
      </c>
    </row>
    <row r="3647" spans="1:40" x14ac:dyDescent="0.3">
      <c r="A3647" s="10" t="str">
        <f>HYPERLINK("http://www.washoecounty.gov/assessor/cama/?parid=083-502-16&amp;CardNumber=1","083-502-16")</f>
        <v>083-502-16</v>
      </c>
      <c r="B3647" t="s">
        <v>4655</v>
      </c>
      <c r="C3647" t="s">
        <v>20119</v>
      </c>
      <c r="D3647" s="1">
        <v>40304</v>
      </c>
      <c r="E3647" s="2">
        <v>62000</v>
      </c>
      <c r="F3647" t="s">
        <v>4553</v>
      </c>
      <c r="G3647" s="17" t="str">
        <f>HYPERLINK("https://www.washoecounty.gov/assessor/cama/?command=sales&amp;parid=08350216","3878868")</f>
        <v>3878868</v>
      </c>
      <c r="H3647" t="s">
        <v>797</v>
      </c>
      <c r="I3647">
        <v>1988</v>
      </c>
      <c r="J3647">
        <v>1988</v>
      </c>
      <c r="K3647" t="s">
        <v>4847</v>
      </c>
      <c r="L3647" t="s">
        <v>4555</v>
      </c>
      <c r="M3647" s="2">
        <v>1400</v>
      </c>
      <c r="N3647" t="s">
        <v>4556</v>
      </c>
      <c r="O3647">
        <v>3</v>
      </c>
      <c r="P3647">
        <v>2</v>
      </c>
      <c r="Q3647">
        <v>0</v>
      </c>
      <c r="R3647" t="s">
        <v>4557</v>
      </c>
      <c r="S3647" t="s">
        <v>4558</v>
      </c>
      <c r="T3647" t="s">
        <v>4559</v>
      </c>
      <c r="U3647" t="s">
        <v>4655</v>
      </c>
      <c r="V3647" s="2">
        <v>0</v>
      </c>
      <c r="W3647" t="s">
        <v>4655</v>
      </c>
      <c r="X3647" s="2">
        <v>0</v>
      </c>
      <c r="Y3647">
        <v>22</v>
      </c>
      <c r="Z3647" t="s">
        <v>5508</v>
      </c>
      <c r="AA3647" s="3">
        <v>0.196005508303642</v>
      </c>
      <c r="AB3647" t="s">
        <v>2527</v>
      </c>
      <c r="AC3647" t="s">
        <v>4562</v>
      </c>
      <c r="AD3647" t="s">
        <v>20120</v>
      </c>
      <c r="AE3647" t="s">
        <v>4655</v>
      </c>
      <c r="AF3647" t="s">
        <v>4563</v>
      </c>
      <c r="AG3647" t="s">
        <v>4564</v>
      </c>
      <c r="AH3647">
        <v>89505</v>
      </c>
      <c r="AI3647" t="s">
        <v>4848</v>
      </c>
      <c r="AJ3647" t="s">
        <v>4655</v>
      </c>
      <c r="AK3647" t="s">
        <v>20121</v>
      </c>
      <c r="AL3647" s="13" t="s">
        <v>1889</v>
      </c>
      <c r="AM3647">
        <v>1</v>
      </c>
      <c r="AN3647" s="15" t="s">
        <v>2528</v>
      </c>
    </row>
    <row r="3648" spans="1:40" x14ac:dyDescent="0.3">
      <c r="A3648" s="10" t="str">
        <f>HYPERLINK("http://www.washoecounty.gov/assessor/cama/?parid=083-505-03&amp;CardNumber=1","083-505-03")</f>
        <v>083-505-03</v>
      </c>
      <c r="B3648" t="s">
        <v>4655</v>
      </c>
      <c r="C3648" t="s">
        <v>20122</v>
      </c>
      <c r="D3648" s="1">
        <v>40506</v>
      </c>
      <c r="E3648" s="2">
        <v>60000</v>
      </c>
      <c r="F3648" t="s">
        <v>4567</v>
      </c>
      <c r="G3648" s="17" t="str">
        <f>HYPERLINK("https://www.washoecounty.gov/assessor/cama/?command=sales&amp;parid=08350503","3946794")</f>
        <v>3946794</v>
      </c>
      <c r="H3648" t="s">
        <v>797</v>
      </c>
      <c r="I3648">
        <v>1989</v>
      </c>
      <c r="J3648">
        <v>1989</v>
      </c>
      <c r="K3648" t="s">
        <v>4847</v>
      </c>
      <c r="L3648" t="s">
        <v>4555</v>
      </c>
      <c r="M3648" s="2">
        <v>1792</v>
      </c>
      <c r="N3648" t="s">
        <v>4556</v>
      </c>
      <c r="O3648">
        <v>3</v>
      </c>
      <c r="P3648">
        <v>2</v>
      </c>
      <c r="Q3648">
        <v>0</v>
      </c>
      <c r="R3648" t="s">
        <v>4557</v>
      </c>
      <c r="S3648" t="s">
        <v>4558</v>
      </c>
      <c r="T3648" t="s">
        <v>4559</v>
      </c>
      <c r="U3648" t="s">
        <v>4560</v>
      </c>
      <c r="V3648" s="2">
        <v>400</v>
      </c>
      <c r="W3648" t="s">
        <v>4655</v>
      </c>
      <c r="X3648" s="2">
        <v>0</v>
      </c>
      <c r="Y3648">
        <v>22</v>
      </c>
      <c r="Z3648" t="s">
        <v>5508</v>
      </c>
      <c r="AA3648" s="3">
        <v>0.17499999701976801</v>
      </c>
      <c r="AB3648" t="s">
        <v>292</v>
      </c>
      <c r="AC3648" t="s">
        <v>4562</v>
      </c>
      <c r="AD3648" t="s">
        <v>5440</v>
      </c>
      <c r="AE3648" t="s">
        <v>4655</v>
      </c>
      <c r="AF3648" t="s">
        <v>4563</v>
      </c>
      <c r="AG3648" t="s">
        <v>4564</v>
      </c>
      <c r="AH3648">
        <v>89511</v>
      </c>
      <c r="AI3648" t="s">
        <v>20123</v>
      </c>
      <c r="AJ3648" t="s">
        <v>4655</v>
      </c>
      <c r="AK3648" t="s">
        <v>20124</v>
      </c>
      <c r="AL3648" s="13" t="s">
        <v>1889</v>
      </c>
      <c r="AM3648" s="14">
        <v>1</v>
      </c>
      <c r="AN3648" s="15" t="s">
        <v>2528</v>
      </c>
    </row>
    <row r="3649" spans="1:40" x14ac:dyDescent="0.3">
      <c r="A3649" s="10" t="str">
        <f>HYPERLINK("http://www.washoecounty.gov/assessor/cama/?parid=083-505-03&amp;CardNumber=1","083-505-03")</f>
        <v>083-505-03</v>
      </c>
      <c r="B3649" t="s">
        <v>4655</v>
      </c>
      <c r="C3649" t="s">
        <v>20122</v>
      </c>
      <c r="D3649" s="1">
        <v>40512</v>
      </c>
      <c r="E3649" s="2">
        <v>60000</v>
      </c>
      <c r="F3649" t="s">
        <v>4567</v>
      </c>
      <c r="G3649" s="17" t="str">
        <f>HYPERLINK("https://www.washoecounty.gov/assessor/cama/?command=sales&amp;parid=08350503","3947610")</f>
        <v>3947610</v>
      </c>
      <c r="H3649" t="s">
        <v>797</v>
      </c>
      <c r="I3649">
        <v>1989</v>
      </c>
      <c r="J3649">
        <v>1989</v>
      </c>
      <c r="K3649" t="s">
        <v>4847</v>
      </c>
      <c r="L3649" t="s">
        <v>4555</v>
      </c>
      <c r="M3649" s="2">
        <v>1792</v>
      </c>
      <c r="N3649" t="s">
        <v>4556</v>
      </c>
      <c r="O3649">
        <v>3</v>
      </c>
      <c r="P3649">
        <v>2</v>
      </c>
      <c r="Q3649">
        <v>0</v>
      </c>
      <c r="R3649" t="s">
        <v>4557</v>
      </c>
      <c r="S3649" t="s">
        <v>4558</v>
      </c>
      <c r="T3649" t="s">
        <v>4559</v>
      </c>
      <c r="U3649" t="s">
        <v>4560</v>
      </c>
      <c r="V3649" s="2">
        <v>400</v>
      </c>
      <c r="W3649" t="s">
        <v>4655</v>
      </c>
      <c r="X3649" s="2">
        <v>0</v>
      </c>
      <c r="Y3649">
        <v>22</v>
      </c>
      <c r="Z3649" t="s">
        <v>5508</v>
      </c>
      <c r="AA3649" s="3">
        <v>0.17499999701976801</v>
      </c>
      <c r="AB3649" t="s">
        <v>292</v>
      </c>
      <c r="AC3649" t="s">
        <v>4562</v>
      </c>
      <c r="AD3649" t="s">
        <v>5440</v>
      </c>
      <c r="AE3649" t="s">
        <v>4655</v>
      </c>
      <c r="AF3649" t="s">
        <v>4563</v>
      </c>
      <c r="AG3649" t="s">
        <v>4564</v>
      </c>
      <c r="AH3649">
        <v>89511</v>
      </c>
      <c r="AI3649" t="s">
        <v>20123</v>
      </c>
      <c r="AJ3649" t="s">
        <v>4655</v>
      </c>
      <c r="AK3649" t="s">
        <v>20124</v>
      </c>
      <c r="AL3649" s="13" t="s">
        <v>1889</v>
      </c>
      <c r="AM3649">
        <v>1</v>
      </c>
      <c r="AN3649" s="15" t="s">
        <v>2528</v>
      </c>
    </row>
    <row r="3650" spans="1:40" x14ac:dyDescent="0.3">
      <c r="A3650" s="10" t="str">
        <f>HYPERLINK("http://www.washoecounty.gov/assessor/cama/?parid=083-505-11&amp;CardNumber=1","083-505-11")</f>
        <v>083-505-11</v>
      </c>
      <c r="B3650" t="s">
        <v>4655</v>
      </c>
      <c r="C3650" t="s">
        <v>20125</v>
      </c>
      <c r="D3650" s="1">
        <v>40262</v>
      </c>
      <c r="E3650" s="2">
        <v>44801</v>
      </c>
      <c r="F3650" t="s">
        <v>4553</v>
      </c>
      <c r="G3650" s="17" t="str">
        <f>HYPERLINK("https://www.washoecounty.gov/assessor/cama/?command=sales&amp;parid=08350511","3864076")</f>
        <v>3864076</v>
      </c>
      <c r="H3650" t="s">
        <v>797</v>
      </c>
      <c r="I3650">
        <v>1990</v>
      </c>
      <c r="J3650">
        <v>1990</v>
      </c>
      <c r="K3650" t="s">
        <v>4847</v>
      </c>
      <c r="L3650" t="s">
        <v>4555</v>
      </c>
      <c r="M3650" s="2">
        <v>1152</v>
      </c>
      <c r="N3650" t="s">
        <v>4556</v>
      </c>
      <c r="O3650">
        <v>3</v>
      </c>
      <c r="P3650">
        <v>2</v>
      </c>
      <c r="Q3650">
        <v>0</v>
      </c>
      <c r="R3650" t="s">
        <v>4557</v>
      </c>
      <c r="S3650" t="s">
        <v>4558</v>
      </c>
      <c r="T3650" t="s">
        <v>4559</v>
      </c>
      <c r="U3650" t="s">
        <v>4655</v>
      </c>
      <c r="V3650" s="2">
        <v>0</v>
      </c>
      <c r="W3650" t="s">
        <v>4655</v>
      </c>
      <c r="X3650" s="2">
        <v>0</v>
      </c>
      <c r="Y3650">
        <v>22</v>
      </c>
      <c r="Z3650" t="s">
        <v>5508</v>
      </c>
      <c r="AA3650" s="3">
        <v>0.18399907648563399</v>
      </c>
      <c r="AB3650" t="s">
        <v>20126</v>
      </c>
      <c r="AC3650" t="s">
        <v>4575</v>
      </c>
      <c r="AD3650" t="s">
        <v>19443</v>
      </c>
      <c r="AE3650" t="s">
        <v>4655</v>
      </c>
      <c r="AF3650" t="s">
        <v>4563</v>
      </c>
      <c r="AG3650" t="s">
        <v>4564</v>
      </c>
      <c r="AH3650">
        <v>89509</v>
      </c>
      <c r="AI3650" t="s">
        <v>4848</v>
      </c>
      <c r="AJ3650" t="s">
        <v>4655</v>
      </c>
      <c r="AK3650" t="s">
        <v>20127</v>
      </c>
      <c r="AL3650" s="13" t="s">
        <v>1889</v>
      </c>
      <c r="AM3650" s="14">
        <v>1</v>
      </c>
      <c r="AN3650" s="15" t="s">
        <v>2528</v>
      </c>
    </row>
    <row r="3651" spans="1:40" x14ac:dyDescent="0.3">
      <c r="A3651" s="10" t="str">
        <f>HYPERLINK("http://www.washoecounty.gov/assessor/cama/?parid=083-506-15&amp;CardNumber=1","083-506-15")</f>
        <v>083-506-15</v>
      </c>
      <c r="B3651" t="s">
        <v>4655</v>
      </c>
      <c r="C3651" t="s">
        <v>20128</v>
      </c>
      <c r="D3651" s="1">
        <v>40361</v>
      </c>
      <c r="E3651" s="2">
        <v>92000</v>
      </c>
      <c r="F3651" t="s">
        <v>4553</v>
      </c>
      <c r="G3651" s="17" t="str">
        <f>HYPERLINK("https://www.washoecounty.gov/assessor/cama/?command=sales&amp;parid=08350615","3898045")</f>
        <v>3898045</v>
      </c>
      <c r="H3651" t="s">
        <v>797</v>
      </c>
      <c r="I3651">
        <v>1987</v>
      </c>
      <c r="J3651">
        <v>1987</v>
      </c>
      <c r="K3651" t="s">
        <v>4847</v>
      </c>
      <c r="L3651" t="s">
        <v>4555</v>
      </c>
      <c r="M3651" s="2">
        <v>1056</v>
      </c>
      <c r="N3651" t="s">
        <v>4556</v>
      </c>
      <c r="O3651">
        <v>3</v>
      </c>
      <c r="P3651">
        <v>2</v>
      </c>
      <c r="Q3651">
        <v>0</v>
      </c>
      <c r="R3651" t="s">
        <v>4557</v>
      </c>
      <c r="S3651" t="s">
        <v>4558</v>
      </c>
      <c r="T3651" t="s">
        <v>4559</v>
      </c>
      <c r="U3651" t="s">
        <v>4655</v>
      </c>
      <c r="V3651" s="2">
        <v>0</v>
      </c>
      <c r="W3651" t="s">
        <v>4655</v>
      </c>
      <c r="X3651" s="2">
        <v>0</v>
      </c>
      <c r="Y3651">
        <v>22</v>
      </c>
      <c r="Z3651" t="s">
        <v>5508</v>
      </c>
      <c r="AA3651" s="3">
        <v>0.28999081254005399</v>
      </c>
      <c r="AB3651" t="s">
        <v>20129</v>
      </c>
      <c r="AC3651" t="s">
        <v>4562</v>
      </c>
      <c r="AD3651" t="s">
        <v>20128</v>
      </c>
      <c r="AE3651" t="s">
        <v>4655</v>
      </c>
      <c r="AF3651" t="s">
        <v>1600</v>
      </c>
      <c r="AG3651" t="s">
        <v>4564</v>
      </c>
      <c r="AH3651" t="s">
        <v>1601</v>
      </c>
      <c r="AI3651" t="s">
        <v>796</v>
      </c>
      <c r="AJ3651" t="s">
        <v>4655</v>
      </c>
      <c r="AK3651" t="s">
        <v>20130</v>
      </c>
      <c r="AL3651" s="13" t="s">
        <v>1889</v>
      </c>
      <c r="AM3651">
        <v>1</v>
      </c>
      <c r="AN3651" s="15" t="s">
        <v>2528</v>
      </c>
    </row>
    <row r="3652" spans="1:40" x14ac:dyDescent="0.3">
      <c r="A3652" s="10" t="str">
        <f>HYPERLINK("http://www.washoecounty.gov/assessor/cama/?parid=083-511-03&amp;CardNumber=1","083-511-03")</f>
        <v>083-511-03</v>
      </c>
      <c r="B3652" t="s">
        <v>4655</v>
      </c>
      <c r="C3652" t="s">
        <v>20131</v>
      </c>
      <c r="D3652" s="1">
        <v>40323</v>
      </c>
      <c r="E3652" s="2">
        <v>75000</v>
      </c>
      <c r="F3652" t="s">
        <v>4553</v>
      </c>
      <c r="G3652" s="17" t="str">
        <f>HYPERLINK("https://www.washoecounty.gov/assessor/cama/?command=sales&amp;parid=08351103","3884925")</f>
        <v>3884925</v>
      </c>
      <c r="H3652" t="s">
        <v>1845</v>
      </c>
      <c r="I3652">
        <v>1990</v>
      </c>
      <c r="J3652">
        <v>1990</v>
      </c>
      <c r="K3652" t="s">
        <v>4847</v>
      </c>
      <c r="L3652" t="s">
        <v>4555</v>
      </c>
      <c r="M3652" s="2">
        <v>1344</v>
      </c>
      <c r="N3652" t="s">
        <v>4556</v>
      </c>
      <c r="O3652">
        <v>3</v>
      </c>
      <c r="P3652">
        <v>2</v>
      </c>
      <c r="Q3652">
        <v>0</v>
      </c>
      <c r="R3652" t="s">
        <v>4557</v>
      </c>
      <c r="S3652" t="s">
        <v>4558</v>
      </c>
      <c r="T3652" t="s">
        <v>4559</v>
      </c>
      <c r="U3652" t="s">
        <v>4655</v>
      </c>
      <c r="V3652" s="2">
        <v>0</v>
      </c>
      <c r="W3652" t="s">
        <v>4655</v>
      </c>
      <c r="X3652" s="2">
        <v>0</v>
      </c>
      <c r="Y3652">
        <v>22</v>
      </c>
      <c r="Z3652" t="s">
        <v>5508</v>
      </c>
      <c r="AA3652" s="3">
        <v>0.26299357414245605</v>
      </c>
      <c r="AB3652" t="s">
        <v>20132</v>
      </c>
      <c r="AC3652" t="s">
        <v>4562</v>
      </c>
      <c r="AD3652" t="s">
        <v>20133</v>
      </c>
      <c r="AE3652" t="s">
        <v>4655</v>
      </c>
      <c r="AF3652" t="s">
        <v>1570</v>
      </c>
      <c r="AG3652" t="s">
        <v>4564</v>
      </c>
      <c r="AH3652" t="s">
        <v>1601</v>
      </c>
      <c r="AI3652" t="s">
        <v>4655</v>
      </c>
      <c r="AJ3652" t="s">
        <v>4655</v>
      </c>
      <c r="AK3652" t="s">
        <v>20134</v>
      </c>
      <c r="AL3652" s="13" t="s">
        <v>1889</v>
      </c>
      <c r="AM3652">
        <v>1</v>
      </c>
      <c r="AN3652" s="15" t="s">
        <v>2528</v>
      </c>
    </row>
    <row r="3653" spans="1:40" x14ac:dyDescent="0.3">
      <c r="A3653" s="10" t="str">
        <f>HYPERLINK("http://www.washoecounty.gov/assessor/cama/?parid=083-511-05&amp;CardNumber=1","083-511-05")</f>
        <v>083-511-05</v>
      </c>
      <c r="B3653" t="s">
        <v>4655</v>
      </c>
      <c r="C3653" t="s">
        <v>20135</v>
      </c>
      <c r="D3653" s="1">
        <v>40324</v>
      </c>
      <c r="E3653" s="2">
        <v>62000</v>
      </c>
      <c r="F3653" t="s">
        <v>4553</v>
      </c>
      <c r="G3653" s="17" t="str">
        <f>HYPERLINK("https://www.washoecounty.gov/assessor/cama/?command=sales&amp;parid=08351105","3885641")</f>
        <v>3885641</v>
      </c>
      <c r="H3653" t="s">
        <v>1845</v>
      </c>
      <c r="I3653">
        <v>1990</v>
      </c>
      <c r="J3653">
        <v>1990</v>
      </c>
      <c r="K3653" t="s">
        <v>4847</v>
      </c>
      <c r="L3653" t="s">
        <v>4555</v>
      </c>
      <c r="M3653" s="2">
        <v>1340</v>
      </c>
      <c r="N3653" t="s">
        <v>4556</v>
      </c>
      <c r="O3653">
        <v>3</v>
      </c>
      <c r="P3653">
        <v>2</v>
      </c>
      <c r="Q3653">
        <v>0</v>
      </c>
      <c r="R3653" t="s">
        <v>4557</v>
      </c>
      <c r="S3653" t="s">
        <v>4558</v>
      </c>
      <c r="T3653" t="s">
        <v>4559</v>
      </c>
      <c r="U3653" t="s">
        <v>4655</v>
      </c>
      <c r="V3653" s="2">
        <v>0</v>
      </c>
      <c r="W3653" t="s">
        <v>4655</v>
      </c>
      <c r="X3653" s="2">
        <v>0</v>
      </c>
      <c r="Y3653">
        <v>22</v>
      </c>
      <c r="Z3653" t="s">
        <v>5508</v>
      </c>
      <c r="AA3653" s="3">
        <v>0.24499541521072399</v>
      </c>
      <c r="AB3653" t="s">
        <v>20136</v>
      </c>
      <c r="AC3653" t="s">
        <v>4562</v>
      </c>
      <c r="AD3653" t="s">
        <v>20135</v>
      </c>
      <c r="AE3653" t="s">
        <v>4655</v>
      </c>
      <c r="AF3653" t="s">
        <v>1600</v>
      </c>
      <c r="AG3653" t="s">
        <v>4564</v>
      </c>
      <c r="AH3653" t="s">
        <v>1601</v>
      </c>
      <c r="AI3653" t="s">
        <v>4848</v>
      </c>
      <c r="AJ3653" t="s">
        <v>4655</v>
      </c>
      <c r="AK3653" t="s">
        <v>20137</v>
      </c>
      <c r="AL3653" s="13" t="s">
        <v>1889</v>
      </c>
      <c r="AM3653" s="14">
        <v>1</v>
      </c>
      <c r="AN3653" s="15" t="s">
        <v>2528</v>
      </c>
    </row>
    <row r="3654" spans="1:40" x14ac:dyDescent="0.3">
      <c r="A3654" s="10" t="str">
        <f>HYPERLINK("http://www.washoecounty.gov/assessor/cama/?parid=083-512-08&amp;CardNumber=1","083-512-08")</f>
        <v>083-512-08</v>
      </c>
      <c r="B3654" t="s">
        <v>4655</v>
      </c>
      <c r="C3654" t="s">
        <v>20138</v>
      </c>
      <c r="D3654" s="1">
        <v>40277</v>
      </c>
      <c r="E3654" s="2">
        <v>41000</v>
      </c>
      <c r="F3654" t="s">
        <v>4553</v>
      </c>
      <c r="G3654" s="17" t="str">
        <f>HYPERLINK("https://www.washoecounty.gov/assessor/cama/?command=sales&amp;parid=08351208","3869533")</f>
        <v>3869533</v>
      </c>
      <c r="H3654" t="s">
        <v>20139</v>
      </c>
      <c r="I3654">
        <v>1991</v>
      </c>
      <c r="J3654">
        <v>1991</v>
      </c>
      <c r="K3654" t="s">
        <v>4847</v>
      </c>
      <c r="L3654" t="s">
        <v>4555</v>
      </c>
      <c r="M3654" s="2">
        <v>1152</v>
      </c>
      <c r="N3654" t="s">
        <v>4556</v>
      </c>
      <c r="O3654">
        <v>3</v>
      </c>
      <c r="P3654">
        <v>2</v>
      </c>
      <c r="Q3654">
        <v>0</v>
      </c>
      <c r="R3654" t="s">
        <v>4557</v>
      </c>
      <c r="S3654" t="s">
        <v>4558</v>
      </c>
      <c r="T3654" t="s">
        <v>4559</v>
      </c>
      <c r="U3654" t="s">
        <v>4655</v>
      </c>
      <c r="V3654" s="2">
        <v>0</v>
      </c>
      <c r="W3654" t="s">
        <v>4655</v>
      </c>
      <c r="X3654" s="2">
        <v>0</v>
      </c>
      <c r="Y3654">
        <v>22</v>
      </c>
      <c r="Z3654" t="s">
        <v>5508</v>
      </c>
      <c r="AA3654" s="3">
        <v>0.25500458478927601</v>
      </c>
      <c r="AB3654" t="s">
        <v>20140</v>
      </c>
      <c r="AC3654" t="s">
        <v>4575</v>
      </c>
      <c r="AD3654" t="s">
        <v>20141</v>
      </c>
      <c r="AE3654" t="s">
        <v>20142</v>
      </c>
      <c r="AF3654" t="s">
        <v>20143</v>
      </c>
      <c r="AG3654" t="s">
        <v>4584</v>
      </c>
      <c r="AH3654" t="s">
        <v>20144</v>
      </c>
      <c r="AI3654" t="s">
        <v>2857</v>
      </c>
      <c r="AJ3654" t="s">
        <v>4655</v>
      </c>
      <c r="AK3654" t="s">
        <v>20145</v>
      </c>
      <c r="AL3654" s="13" t="s">
        <v>1889</v>
      </c>
      <c r="AM3654" s="14">
        <v>1</v>
      </c>
      <c r="AN3654" s="15" t="s">
        <v>2528</v>
      </c>
    </row>
    <row r="3655" spans="1:40" x14ac:dyDescent="0.3">
      <c r="A3655" s="10" t="str">
        <f>HYPERLINK("http://www.washoecounty.gov/assessor/cama/?parid=083-512-08&amp;CardNumber=1","083-512-08")</f>
        <v>083-512-08</v>
      </c>
      <c r="B3655" t="s">
        <v>4655</v>
      </c>
      <c r="C3655" t="s">
        <v>20138</v>
      </c>
      <c r="D3655" s="1">
        <v>40455</v>
      </c>
      <c r="E3655" s="2">
        <v>61670</v>
      </c>
      <c r="F3655" t="s">
        <v>4567</v>
      </c>
      <c r="G3655" s="17" t="str">
        <f>HYPERLINK("https://www.washoecounty.gov/assessor/cama/?command=sales&amp;parid=08351208","3929261")</f>
        <v>3929261</v>
      </c>
      <c r="H3655" t="s">
        <v>20139</v>
      </c>
      <c r="I3655">
        <v>1991</v>
      </c>
      <c r="J3655">
        <v>1991</v>
      </c>
      <c r="K3655" t="s">
        <v>4847</v>
      </c>
      <c r="L3655" t="s">
        <v>4555</v>
      </c>
      <c r="M3655" s="2">
        <v>1152</v>
      </c>
      <c r="N3655" t="s">
        <v>4556</v>
      </c>
      <c r="O3655">
        <v>3</v>
      </c>
      <c r="P3655">
        <v>2</v>
      </c>
      <c r="Q3655">
        <v>0</v>
      </c>
      <c r="R3655" t="s">
        <v>4557</v>
      </c>
      <c r="S3655" t="s">
        <v>4558</v>
      </c>
      <c r="T3655" t="s">
        <v>4559</v>
      </c>
      <c r="U3655" t="s">
        <v>4655</v>
      </c>
      <c r="V3655" s="2">
        <v>0</v>
      </c>
      <c r="W3655" t="s">
        <v>4655</v>
      </c>
      <c r="X3655" s="2">
        <v>0</v>
      </c>
      <c r="Y3655">
        <v>22</v>
      </c>
      <c r="Z3655" t="s">
        <v>5508</v>
      </c>
      <c r="AA3655" s="3">
        <v>0.25500458478927601</v>
      </c>
      <c r="AB3655" t="s">
        <v>20140</v>
      </c>
      <c r="AC3655" t="s">
        <v>4575</v>
      </c>
      <c r="AD3655" t="s">
        <v>20141</v>
      </c>
      <c r="AE3655" t="s">
        <v>20142</v>
      </c>
      <c r="AF3655" t="s">
        <v>20143</v>
      </c>
      <c r="AG3655" t="s">
        <v>4584</v>
      </c>
      <c r="AH3655" t="s">
        <v>20144</v>
      </c>
      <c r="AI3655" t="s">
        <v>2857</v>
      </c>
      <c r="AJ3655" t="s">
        <v>4655</v>
      </c>
      <c r="AK3655" t="s">
        <v>20145</v>
      </c>
      <c r="AL3655" s="13" t="s">
        <v>1889</v>
      </c>
      <c r="AM3655">
        <v>1</v>
      </c>
      <c r="AN3655" s="15" t="s">
        <v>2528</v>
      </c>
    </row>
    <row r="3656" spans="1:40" x14ac:dyDescent="0.3">
      <c r="A3656" s="10" t="str">
        <f>HYPERLINK("http://www.washoecounty.gov/assessor/cama/?parid=083-561-02&amp;CardNumber=1","083-561-02")</f>
        <v>083-561-02</v>
      </c>
      <c r="B3656" t="s">
        <v>4655</v>
      </c>
      <c r="C3656" t="s">
        <v>20146</v>
      </c>
      <c r="D3656" s="1">
        <v>40431</v>
      </c>
      <c r="E3656" s="2">
        <v>175000</v>
      </c>
      <c r="F3656" t="s">
        <v>4553</v>
      </c>
      <c r="G3656" s="17" t="str">
        <f>HYPERLINK("https://www.washoecounty.gov/assessor/cama/?command=sales&amp;parid=08356102","3921192")</f>
        <v>3921192</v>
      </c>
      <c r="H3656" t="s">
        <v>20147</v>
      </c>
      <c r="I3656">
        <v>1991</v>
      </c>
      <c r="J3656">
        <v>1991</v>
      </c>
      <c r="K3656" t="s">
        <v>4554</v>
      </c>
      <c r="L3656" t="s">
        <v>4555</v>
      </c>
      <c r="M3656" s="2">
        <v>1160</v>
      </c>
      <c r="N3656" t="s">
        <v>4048</v>
      </c>
      <c r="O3656">
        <v>5</v>
      </c>
      <c r="P3656">
        <v>3</v>
      </c>
      <c r="Q3656">
        <v>0</v>
      </c>
      <c r="R3656" t="s">
        <v>4557</v>
      </c>
      <c r="S3656" t="s">
        <v>4558</v>
      </c>
      <c r="T3656" t="s">
        <v>4559</v>
      </c>
      <c r="U3656" t="s">
        <v>4560</v>
      </c>
      <c r="V3656" s="2">
        <v>720</v>
      </c>
      <c r="W3656" t="s">
        <v>3149</v>
      </c>
      <c r="X3656" s="2">
        <v>1160</v>
      </c>
      <c r="Y3656">
        <v>20</v>
      </c>
      <c r="Z3656" t="s">
        <v>1776</v>
      </c>
      <c r="AA3656" s="3">
        <v>0.21999540925025901</v>
      </c>
      <c r="AB3656" t="s">
        <v>20148</v>
      </c>
      <c r="AC3656" t="s">
        <v>4575</v>
      </c>
      <c r="AD3656" t="s">
        <v>20149</v>
      </c>
      <c r="AE3656" t="s">
        <v>20146</v>
      </c>
      <c r="AF3656" t="s">
        <v>5201</v>
      </c>
      <c r="AG3656" t="s">
        <v>4564</v>
      </c>
      <c r="AH3656" t="s">
        <v>1605</v>
      </c>
      <c r="AI3656" t="s">
        <v>4903</v>
      </c>
      <c r="AJ3656" t="s">
        <v>4655</v>
      </c>
      <c r="AK3656" t="s">
        <v>20150</v>
      </c>
      <c r="AL3656" s="13" t="s">
        <v>1892</v>
      </c>
      <c r="AM3656" s="14">
        <v>1</v>
      </c>
      <c r="AN3656" s="15" t="s">
        <v>794</v>
      </c>
    </row>
    <row r="3657" spans="1:40" x14ac:dyDescent="0.3">
      <c r="A3657" s="10" t="str">
        <f>HYPERLINK("http://www.washoecounty.gov/assessor/cama/?parid=083-563-17&amp;CardNumber=1","083-563-17")</f>
        <v>083-563-17</v>
      </c>
      <c r="B3657" t="s">
        <v>4655</v>
      </c>
      <c r="C3657" t="s">
        <v>20151</v>
      </c>
      <c r="D3657" s="1">
        <v>40367</v>
      </c>
      <c r="E3657" s="2">
        <v>137000</v>
      </c>
      <c r="F3657" t="s">
        <v>4553</v>
      </c>
      <c r="G3657" s="17" t="str">
        <f>HYPERLINK("https://www.washoecounty.gov/assessor/cama/?command=sales&amp;parid=08356317","3899333")</f>
        <v>3899333</v>
      </c>
      <c r="H3657" t="s">
        <v>798</v>
      </c>
      <c r="I3657">
        <v>1992</v>
      </c>
      <c r="J3657">
        <v>1992</v>
      </c>
      <c r="K3657" t="s">
        <v>4554</v>
      </c>
      <c r="L3657" t="s">
        <v>4555</v>
      </c>
      <c r="M3657" s="2">
        <v>1160</v>
      </c>
      <c r="N3657" t="s">
        <v>4048</v>
      </c>
      <c r="O3657">
        <v>3</v>
      </c>
      <c r="P3657">
        <v>2</v>
      </c>
      <c r="Q3657">
        <v>0</v>
      </c>
      <c r="R3657" t="s">
        <v>4557</v>
      </c>
      <c r="S3657" t="s">
        <v>4558</v>
      </c>
      <c r="T3657" t="s">
        <v>4559</v>
      </c>
      <c r="U3657" t="s">
        <v>4560</v>
      </c>
      <c r="V3657" s="2">
        <v>754</v>
      </c>
      <c r="W3657" t="s">
        <v>4655</v>
      </c>
      <c r="X3657" s="2">
        <v>0</v>
      </c>
      <c r="Y3657">
        <v>20</v>
      </c>
      <c r="Z3657" t="s">
        <v>1776</v>
      </c>
      <c r="AA3657" s="3">
        <v>0.239990815520287</v>
      </c>
      <c r="AB3657" t="s">
        <v>20152</v>
      </c>
      <c r="AC3657" t="s">
        <v>4562</v>
      </c>
      <c r="AD3657" t="s">
        <v>20151</v>
      </c>
      <c r="AE3657" t="s">
        <v>4655</v>
      </c>
      <c r="AF3657" t="s">
        <v>5201</v>
      </c>
      <c r="AG3657" t="s">
        <v>4564</v>
      </c>
      <c r="AH3657" t="s">
        <v>1605</v>
      </c>
      <c r="AI3657" t="s">
        <v>4903</v>
      </c>
      <c r="AJ3657" t="s">
        <v>4655</v>
      </c>
      <c r="AK3657" t="s">
        <v>20153</v>
      </c>
      <c r="AL3657" s="13" t="s">
        <v>1892</v>
      </c>
      <c r="AM3657" s="14">
        <v>1</v>
      </c>
      <c r="AN3657" s="15" t="s">
        <v>794</v>
      </c>
    </row>
    <row r="3658" spans="1:40" x14ac:dyDescent="0.3">
      <c r="A3658" s="10" t="str">
        <f>HYPERLINK("http://www.washoecounty.gov/assessor/cama/?parid=083-563-19&amp;CardNumber=1","083-563-19")</f>
        <v>083-563-19</v>
      </c>
      <c r="B3658" t="s">
        <v>4655</v>
      </c>
      <c r="C3658" t="s">
        <v>20154</v>
      </c>
      <c r="D3658" s="1">
        <v>40227</v>
      </c>
      <c r="E3658" s="2">
        <v>143000</v>
      </c>
      <c r="F3658" t="s">
        <v>4553</v>
      </c>
      <c r="G3658" s="17" t="str">
        <f>HYPERLINK("https://www.washoecounty.gov/assessor/cama/?command=sales&amp;parid=08356319","3850799")</f>
        <v>3850799</v>
      </c>
      <c r="H3658" t="s">
        <v>798</v>
      </c>
      <c r="I3658">
        <v>1992</v>
      </c>
      <c r="J3658">
        <v>1992</v>
      </c>
      <c r="K3658" t="s">
        <v>4554</v>
      </c>
      <c r="L3658" t="s">
        <v>3974</v>
      </c>
      <c r="M3658" s="2">
        <v>1347</v>
      </c>
      <c r="N3658" t="s">
        <v>4048</v>
      </c>
      <c r="O3658">
        <v>3</v>
      </c>
      <c r="P3658">
        <v>2</v>
      </c>
      <c r="Q3658">
        <v>0</v>
      </c>
      <c r="R3658" t="s">
        <v>4557</v>
      </c>
      <c r="S3658" t="s">
        <v>4558</v>
      </c>
      <c r="T3658" t="s">
        <v>4559</v>
      </c>
      <c r="U3658" t="s">
        <v>5631</v>
      </c>
      <c r="V3658" s="2">
        <v>420</v>
      </c>
      <c r="W3658" t="s">
        <v>4655</v>
      </c>
      <c r="X3658" s="2">
        <v>0</v>
      </c>
      <c r="Y3658">
        <v>20</v>
      </c>
      <c r="Z3658" t="s">
        <v>1776</v>
      </c>
      <c r="AA3658" s="3">
        <v>0.15000000596046401</v>
      </c>
      <c r="AB3658" t="s">
        <v>20155</v>
      </c>
      <c r="AC3658" t="s">
        <v>4562</v>
      </c>
      <c r="AD3658" t="s">
        <v>20154</v>
      </c>
      <c r="AE3658" t="s">
        <v>4655</v>
      </c>
      <c r="AF3658" t="s">
        <v>5201</v>
      </c>
      <c r="AG3658" t="s">
        <v>4564</v>
      </c>
      <c r="AH3658" t="s">
        <v>1605</v>
      </c>
      <c r="AI3658" t="s">
        <v>4503</v>
      </c>
      <c r="AJ3658" t="s">
        <v>4655</v>
      </c>
      <c r="AK3658" t="s">
        <v>20156</v>
      </c>
      <c r="AL3658" s="13" t="s">
        <v>1892</v>
      </c>
      <c r="AM3658" s="14">
        <v>1</v>
      </c>
      <c r="AN3658" s="15" t="s">
        <v>794</v>
      </c>
    </row>
    <row r="3659" spans="1:40" x14ac:dyDescent="0.3">
      <c r="A3659" s="10" t="str">
        <f>HYPERLINK("http://www.washoecounty.gov/assessor/cama/?parid=083-573-13&amp;CardNumber=1","083-573-13")</f>
        <v>083-573-13</v>
      </c>
      <c r="B3659" t="s">
        <v>4655</v>
      </c>
      <c r="C3659" t="s">
        <v>125</v>
      </c>
      <c r="D3659" s="1">
        <v>40303</v>
      </c>
      <c r="E3659" s="2">
        <v>130000</v>
      </c>
      <c r="F3659" t="s">
        <v>4553</v>
      </c>
      <c r="G3659" s="17" t="str">
        <f>HYPERLINK("https://www.washoecounty.gov/assessor/cama/?command=sales&amp;parid=08357313","3878138")</f>
        <v>3878138</v>
      </c>
      <c r="H3659" t="s">
        <v>3722</v>
      </c>
      <c r="I3659">
        <v>1990</v>
      </c>
      <c r="J3659">
        <v>1990</v>
      </c>
      <c r="K3659" t="s">
        <v>4554</v>
      </c>
      <c r="L3659" t="s">
        <v>3974</v>
      </c>
      <c r="M3659" s="2">
        <v>1674</v>
      </c>
      <c r="N3659" t="s">
        <v>4048</v>
      </c>
      <c r="O3659">
        <v>3</v>
      </c>
      <c r="P3659">
        <v>3</v>
      </c>
      <c r="Q3659">
        <v>1</v>
      </c>
      <c r="R3659" t="s">
        <v>4557</v>
      </c>
      <c r="S3659" t="s">
        <v>4558</v>
      </c>
      <c r="T3659" t="s">
        <v>4559</v>
      </c>
      <c r="U3659" t="s">
        <v>5631</v>
      </c>
      <c r="V3659" s="2">
        <v>484</v>
      </c>
      <c r="W3659" t="s">
        <v>4655</v>
      </c>
      <c r="X3659" s="2">
        <v>0</v>
      </c>
      <c r="Y3659">
        <v>20</v>
      </c>
      <c r="Z3659" t="s">
        <v>1776</v>
      </c>
      <c r="AA3659" s="3">
        <v>0.19499540328979501</v>
      </c>
      <c r="AB3659" t="s">
        <v>20157</v>
      </c>
      <c r="AC3659" t="s">
        <v>4562</v>
      </c>
      <c r="AD3659" t="s">
        <v>20158</v>
      </c>
      <c r="AE3659" t="s">
        <v>4655</v>
      </c>
      <c r="AF3659" t="s">
        <v>4752</v>
      </c>
      <c r="AG3659" t="s">
        <v>4564</v>
      </c>
      <c r="AH3659">
        <v>89512</v>
      </c>
      <c r="AI3659" t="s">
        <v>4655</v>
      </c>
      <c r="AJ3659" t="s">
        <v>4655</v>
      </c>
      <c r="AK3659" t="s">
        <v>20159</v>
      </c>
      <c r="AL3659" s="13" t="s">
        <v>1892</v>
      </c>
      <c r="AM3659">
        <v>1</v>
      </c>
      <c r="AN3659" s="15" t="s">
        <v>794</v>
      </c>
    </row>
    <row r="3660" spans="1:40" x14ac:dyDescent="0.3">
      <c r="A3660" s="10" t="str">
        <f>HYPERLINK("http://www.washoecounty.gov/assessor/cama/?parid=083-573-15&amp;CardNumber=1","083-573-15")</f>
        <v>083-573-15</v>
      </c>
      <c r="B3660" t="s">
        <v>4655</v>
      </c>
      <c r="C3660" t="s">
        <v>20160</v>
      </c>
      <c r="D3660" s="1">
        <v>40234</v>
      </c>
      <c r="E3660" s="2">
        <v>150000</v>
      </c>
      <c r="F3660" t="s">
        <v>4567</v>
      </c>
      <c r="G3660" s="17" t="str">
        <f>HYPERLINK("https://www.washoecounty.gov/assessor/cama/?command=sales&amp;parid=08357315","3852957")</f>
        <v>3852957</v>
      </c>
      <c r="H3660" t="s">
        <v>3722</v>
      </c>
      <c r="I3660">
        <v>1990</v>
      </c>
      <c r="J3660">
        <v>1990</v>
      </c>
      <c r="K3660" t="s">
        <v>4554</v>
      </c>
      <c r="L3660" t="s">
        <v>3974</v>
      </c>
      <c r="M3660" s="2">
        <v>1347</v>
      </c>
      <c r="N3660" t="s">
        <v>4048</v>
      </c>
      <c r="O3660">
        <v>3</v>
      </c>
      <c r="P3660">
        <v>2</v>
      </c>
      <c r="Q3660">
        <v>0</v>
      </c>
      <c r="R3660" t="s">
        <v>4557</v>
      </c>
      <c r="S3660" t="s">
        <v>4558</v>
      </c>
      <c r="T3660" t="s">
        <v>4559</v>
      </c>
      <c r="U3660" t="s">
        <v>5631</v>
      </c>
      <c r="V3660" s="2">
        <v>420</v>
      </c>
      <c r="W3660" t="s">
        <v>4655</v>
      </c>
      <c r="X3660" s="2">
        <v>0</v>
      </c>
      <c r="Y3660">
        <v>20</v>
      </c>
      <c r="Z3660" t="s">
        <v>1776</v>
      </c>
      <c r="AA3660" s="3">
        <v>0.22300276160240201</v>
      </c>
      <c r="AB3660" t="s">
        <v>20161</v>
      </c>
      <c r="AC3660" t="s">
        <v>4562</v>
      </c>
      <c r="AD3660" t="s">
        <v>20160</v>
      </c>
      <c r="AE3660" t="s">
        <v>4655</v>
      </c>
      <c r="AF3660" t="s">
        <v>5201</v>
      </c>
      <c r="AG3660" t="s">
        <v>4564</v>
      </c>
      <c r="AH3660" t="s">
        <v>1605</v>
      </c>
      <c r="AI3660" t="s">
        <v>20162</v>
      </c>
      <c r="AJ3660" t="s">
        <v>4655</v>
      </c>
      <c r="AK3660" t="s">
        <v>20163</v>
      </c>
      <c r="AL3660" s="13" t="s">
        <v>1892</v>
      </c>
      <c r="AM3660">
        <v>1</v>
      </c>
      <c r="AN3660" s="15" t="s">
        <v>794</v>
      </c>
    </row>
    <row r="3661" spans="1:40" x14ac:dyDescent="0.3">
      <c r="A3661" s="10" t="str">
        <f>HYPERLINK("http://www.washoecounty.gov/assessor/cama/?parid=083-573-22&amp;CardNumber=1","083-573-22")</f>
        <v>083-573-22</v>
      </c>
      <c r="B3661" t="s">
        <v>4655</v>
      </c>
      <c r="C3661" t="s">
        <v>20164</v>
      </c>
      <c r="D3661" s="1">
        <v>40445</v>
      </c>
      <c r="E3661" s="2">
        <v>119900</v>
      </c>
      <c r="F3661" t="s">
        <v>4553</v>
      </c>
      <c r="G3661" s="17" t="str">
        <f>HYPERLINK("https://www.washoecounty.gov/assessor/cama/?command=sales&amp;parid=08357322","3926137")</f>
        <v>3926137</v>
      </c>
      <c r="H3661" t="s">
        <v>798</v>
      </c>
      <c r="I3661">
        <v>1991</v>
      </c>
      <c r="J3661">
        <v>1991</v>
      </c>
      <c r="K3661" t="s">
        <v>4554</v>
      </c>
      <c r="L3661" t="s">
        <v>4555</v>
      </c>
      <c r="M3661" s="2">
        <v>1160</v>
      </c>
      <c r="N3661" t="s">
        <v>4048</v>
      </c>
      <c r="O3661">
        <v>3</v>
      </c>
      <c r="P3661">
        <v>2</v>
      </c>
      <c r="Q3661">
        <v>0</v>
      </c>
      <c r="R3661" t="s">
        <v>4557</v>
      </c>
      <c r="S3661" t="s">
        <v>4558</v>
      </c>
      <c r="T3661" t="s">
        <v>4559</v>
      </c>
      <c r="U3661" t="s">
        <v>4560</v>
      </c>
      <c r="V3661" s="2">
        <v>754</v>
      </c>
      <c r="W3661" t="s">
        <v>4655</v>
      </c>
      <c r="X3661" s="2">
        <v>0</v>
      </c>
      <c r="Y3661">
        <v>20</v>
      </c>
      <c r="Z3661" t="s">
        <v>1776</v>
      </c>
      <c r="AA3661" s="3">
        <v>0.19329659640788999</v>
      </c>
      <c r="AB3661" t="s">
        <v>20165</v>
      </c>
      <c r="AC3661" t="s">
        <v>4562</v>
      </c>
      <c r="AD3661" t="s">
        <v>20166</v>
      </c>
      <c r="AE3661" t="s">
        <v>4655</v>
      </c>
      <c r="AF3661" t="s">
        <v>4809</v>
      </c>
      <c r="AG3661" t="s">
        <v>4564</v>
      </c>
      <c r="AH3661" t="s">
        <v>9245</v>
      </c>
      <c r="AI3661" t="s">
        <v>4565</v>
      </c>
      <c r="AJ3661" t="s">
        <v>4655</v>
      </c>
      <c r="AK3661" t="s">
        <v>20167</v>
      </c>
      <c r="AL3661" s="13" t="s">
        <v>1892</v>
      </c>
      <c r="AM3661" s="14">
        <v>1</v>
      </c>
      <c r="AN3661" s="15" t="s">
        <v>794</v>
      </c>
    </row>
    <row r="3662" spans="1:40" x14ac:dyDescent="0.3">
      <c r="A3662" s="10" t="str">
        <f>HYPERLINK("http://www.washoecounty.gov/assessor/cama/?parid=083-722-01&amp;CardNumber=1","083-722-01")</f>
        <v>083-722-01</v>
      </c>
      <c r="B3662" t="s">
        <v>4655</v>
      </c>
      <c r="C3662" t="s">
        <v>20168</v>
      </c>
      <c r="D3662" s="1">
        <v>40527</v>
      </c>
      <c r="E3662" s="2">
        <v>120000</v>
      </c>
      <c r="F3662" t="s">
        <v>4567</v>
      </c>
      <c r="G3662" s="17" t="str">
        <f>HYPERLINK("https://www.washoecounty.gov/assessor/cama/?command=sales&amp;parid=08372201","3953858")</f>
        <v>3953858</v>
      </c>
      <c r="H3662" t="s">
        <v>20169</v>
      </c>
      <c r="I3662">
        <v>1993</v>
      </c>
      <c r="J3662">
        <v>1993</v>
      </c>
      <c r="K3662" t="s">
        <v>4554</v>
      </c>
      <c r="L3662" t="s">
        <v>3974</v>
      </c>
      <c r="M3662" s="2">
        <v>1412</v>
      </c>
      <c r="N3662" t="s">
        <v>4048</v>
      </c>
      <c r="O3662">
        <v>3</v>
      </c>
      <c r="P3662">
        <v>3</v>
      </c>
      <c r="Q3662">
        <v>0</v>
      </c>
      <c r="R3662" t="s">
        <v>4557</v>
      </c>
      <c r="S3662" t="s">
        <v>4558</v>
      </c>
      <c r="T3662" t="s">
        <v>4559</v>
      </c>
      <c r="U3662" t="s">
        <v>4560</v>
      </c>
      <c r="V3662" s="2">
        <v>605</v>
      </c>
      <c r="W3662" t="s">
        <v>4655</v>
      </c>
      <c r="X3662" s="2">
        <v>0</v>
      </c>
      <c r="Y3662">
        <v>20</v>
      </c>
      <c r="Z3662" t="s">
        <v>1776</v>
      </c>
      <c r="AA3662" s="3">
        <v>0.16900826990604401</v>
      </c>
      <c r="AB3662" t="s">
        <v>20170</v>
      </c>
      <c r="AC3662" t="s">
        <v>4575</v>
      </c>
      <c r="AD3662" t="s">
        <v>20171</v>
      </c>
      <c r="AE3662" t="s">
        <v>4655</v>
      </c>
      <c r="AF3662" t="s">
        <v>4809</v>
      </c>
      <c r="AG3662" t="s">
        <v>4564</v>
      </c>
      <c r="AH3662" t="s">
        <v>1605</v>
      </c>
      <c r="AI3662" t="s">
        <v>20172</v>
      </c>
      <c r="AJ3662" t="s">
        <v>20173</v>
      </c>
      <c r="AK3662" t="s">
        <v>20174</v>
      </c>
      <c r="AL3662" s="13" t="s">
        <v>1892</v>
      </c>
      <c r="AM3662" s="14">
        <v>1</v>
      </c>
      <c r="AN3662" s="15" t="s">
        <v>794</v>
      </c>
    </row>
    <row r="3663" spans="1:40" x14ac:dyDescent="0.3">
      <c r="A3663" s="10" t="str">
        <f>HYPERLINK("http://www.washoecounty.gov/assessor/cama/?parid=083-723-12&amp;CardNumber=1","083-723-12")</f>
        <v>083-723-12</v>
      </c>
      <c r="B3663" t="s">
        <v>4655</v>
      </c>
      <c r="C3663" t="s">
        <v>20175</v>
      </c>
      <c r="D3663" s="1">
        <v>40252</v>
      </c>
      <c r="E3663" s="2">
        <v>133000</v>
      </c>
      <c r="F3663" t="s">
        <v>4567</v>
      </c>
      <c r="G3663" s="17" t="str">
        <f>HYPERLINK("https://www.washoecounty.gov/assessor/cama/?command=sales&amp;parid=08372312","3864099")</f>
        <v>3864099</v>
      </c>
      <c r="H3663" t="s">
        <v>3356</v>
      </c>
      <c r="I3663">
        <v>1994</v>
      </c>
      <c r="J3663">
        <v>1994</v>
      </c>
      <c r="K3663" t="s">
        <v>4554</v>
      </c>
      <c r="L3663" t="s">
        <v>3974</v>
      </c>
      <c r="M3663" s="2">
        <v>1365</v>
      </c>
      <c r="N3663" t="s">
        <v>4048</v>
      </c>
      <c r="O3663">
        <v>3</v>
      </c>
      <c r="P3663">
        <v>2</v>
      </c>
      <c r="Q3663">
        <v>0</v>
      </c>
      <c r="R3663" t="s">
        <v>4557</v>
      </c>
      <c r="S3663" t="s">
        <v>4558</v>
      </c>
      <c r="T3663" t="s">
        <v>4559</v>
      </c>
      <c r="U3663" t="s">
        <v>5631</v>
      </c>
      <c r="V3663" s="2">
        <v>456</v>
      </c>
      <c r="W3663" t="s">
        <v>4655</v>
      </c>
      <c r="X3663" s="2">
        <v>0</v>
      </c>
      <c r="Y3663">
        <v>20</v>
      </c>
      <c r="Z3663" t="s">
        <v>1776</v>
      </c>
      <c r="AA3663" s="3">
        <v>0.16900826990604401</v>
      </c>
      <c r="AB3663" t="s">
        <v>20176</v>
      </c>
      <c r="AC3663" t="s">
        <v>4575</v>
      </c>
      <c r="AD3663" t="s">
        <v>4767</v>
      </c>
      <c r="AE3663" t="s">
        <v>4655</v>
      </c>
      <c r="AF3663" t="s">
        <v>4563</v>
      </c>
      <c r="AG3663" t="s">
        <v>4564</v>
      </c>
      <c r="AH3663">
        <v>89509</v>
      </c>
      <c r="AI3663" t="s">
        <v>20177</v>
      </c>
      <c r="AJ3663" t="s">
        <v>2205</v>
      </c>
      <c r="AK3663" t="s">
        <v>20178</v>
      </c>
      <c r="AL3663" s="13" t="s">
        <v>1892</v>
      </c>
      <c r="AM3663">
        <v>1</v>
      </c>
      <c r="AN3663" s="15" t="s">
        <v>794</v>
      </c>
    </row>
    <row r="3664" spans="1:40" x14ac:dyDescent="0.3">
      <c r="A3664" s="10" t="str">
        <f>HYPERLINK("http://www.washoecounty.gov/assessor/cama/?parid=083-751-05&amp;CardNumber=1","083-751-05")</f>
        <v>083-751-05</v>
      </c>
      <c r="B3664" t="s">
        <v>4655</v>
      </c>
      <c r="C3664" t="s">
        <v>20179</v>
      </c>
      <c r="D3664" s="1">
        <v>40191</v>
      </c>
      <c r="E3664" s="2">
        <v>150000</v>
      </c>
      <c r="F3664" t="s">
        <v>4553</v>
      </c>
      <c r="G3664" s="17" t="str">
        <f>HYPERLINK("https://www.washoecounty.gov/assessor/cama/?command=sales&amp;parid=08375105","3838953")</f>
        <v>3838953</v>
      </c>
      <c r="H3664" t="s">
        <v>799</v>
      </c>
      <c r="I3664">
        <v>1993</v>
      </c>
      <c r="J3664">
        <v>1993</v>
      </c>
      <c r="K3664" t="s">
        <v>4554</v>
      </c>
      <c r="L3664" t="s">
        <v>4555</v>
      </c>
      <c r="M3664" s="2">
        <v>1542</v>
      </c>
      <c r="N3664" t="s">
        <v>4048</v>
      </c>
      <c r="O3664">
        <v>3</v>
      </c>
      <c r="P3664">
        <v>2</v>
      </c>
      <c r="Q3664">
        <v>0</v>
      </c>
      <c r="R3664" t="s">
        <v>4557</v>
      </c>
      <c r="S3664" t="s">
        <v>4558</v>
      </c>
      <c r="T3664" t="s">
        <v>4559</v>
      </c>
      <c r="U3664" t="s">
        <v>4560</v>
      </c>
      <c r="V3664" s="2">
        <v>412</v>
      </c>
      <c r="W3664" t="s">
        <v>4655</v>
      </c>
      <c r="X3664" s="2">
        <v>0</v>
      </c>
      <c r="Y3664">
        <v>20</v>
      </c>
      <c r="Z3664" t="s">
        <v>1776</v>
      </c>
      <c r="AA3664" s="3">
        <v>0.18200182914733901</v>
      </c>
      <c r="AB3664" t="s">
        <v>20180</v>
      </c>
      <c r="AC3664" t="s">
        <v>4562</v>
      </c>
      <c r="AD3664" t="s">
        <v>20181</v>
      </c>
      <c r="AE3664" t="s">
        <v>4655</v>
      </c>
      <c r="AF3664" t="s">
        <v>4809</v>
      </c>
      <c r="AG3664" t="s">
        <v>4564</v>
      </c>
      <c r="AH3664" t="s">
        <v>1605</v>
      </c>
      <c r="AI3664" t="s">
        <v>4903</v>
      </c>
      <c r="AJ3664" t="s">
        <v>2088</v>
      </c>
      <c r="AK3664" t="s">
        <v>20182</v>
      </c>
      <c r="AL3664" s="13" t="s">
        <v>1892</v>
      </c>
      <c r="AM3664" s="14">
        <v>1</v>
      </c>
      <c r="AN3664" s="15" t="s">
        <v>794</v>
      </c>
    </row>
    <row r="3665" spans="1:40" x14ac:dyDescent="0.3">
      <c r="A3665" s="10" t="str">
        <f>HYPERLINK("http://www.washoecounty.gov/assessor/cama/?parid=083-751-08&amp;CardNumber=1","083-751-08")</f>
        <v>083-751-08</v>
      </c>
      <c r="B3665" t="s">
        <v>4655</v>
      </c>
      <c r="C3665" s="20" t="s">
        <v>283</v>
      </c>
      <c r="D3665" s="1">
        <v>40486</v>
      </c>
      <c r="E3665" s="2">
        <v>133000</v>
      </c>
      <c r="F3665" t="s">
        <v>4553</v>
      </c>
      <c r="G3665" s="20" t="s">
        <v>282</v>
      </c>
      <c r="H3665" t="s">
        <v>20183</v>
      </c>
      <c r="I3665">
        <v>1993</v>
      </c>
      <c r="J3665">
        <v>1993</v>
      </c>
      <c r="K3665" t="s">
        <v>4554</v>
      </c>
      <c r="L3665" t="s">
        <v>4555</v>
      </c>
      <c r="M3665" s="2">
        <v>1608</v>
      </c>
      <c r="N3665" t="s">
        <v>4048</v>
      </c>
      <c r="O3665">
        <v>3</v>
      </c>
      <c r="P3665">
        <v>2</v>
      </c>
      <c r="Q3665">
        <v>0</v>
      </c>
      <c r="R3665" t="s">
        <v>5281</v>
      </c>
      <c r="S3665" t="s">
        <v>4558</v>
      </c>
      <c r="T3665" t="s">
        <v>4559</v>
      </c>
      <c r="U3665" t="s">
        <v>4560</v>
      </c>
      <c r="V3665" s="2">
        <v>484</v>
      </c>
      <c r="W3665" t="s">
        <v>4655</v>
      </c>
      <c r="X3665" s="2">
        <v>0</v>
      </c>
      <c r="Y3665">
        <v>20</v>
      </c>
      <c r="Z3665" t="s">
        <v>1776</v>
      </c>
      <c r="AA3665" s="3">
        <v>0.23000459372997301</v>
      </c>
      <c r="AB3665" s="20" t="s">
        <v>8865</v>
      </c>
      <c r="AD3665" t="s">
        <v>283</v>
      </c>
      <c r="AE3665" t="s">
        <v>283</v>
      </c>
      <c r="AF3665" t="s">
        <v>283</v>
      </c>
      <c r="AG3665" t="s">
        <v>4564</v>
      </c>
      <c r="AH3665" t="s">
        <v>3101</v>
      </c>
      <c r="AI3665" t="s">
        <v>8865</v>
      </c>
      <c r="AJ3665" t="s">
        <v>2088</v>
      </c>
      <c r="AK3665" t="s">
        <v>20184</v>
      </c>
      <c r="AL3665" s="13" t="s">
        <v>1892</v>
      </c>
      <c r="AM3665">
        <v>1</v>
      </c>
      <c r="AN3665" s="15" t="s">
        <v>794</v>
      </c>
    </row>
    <row r="3666" spans="1:40" x14ac:dyDescent="0.3">
      <c r="A3666" s="10" t="str">
        <f>HYPERLINK("http://www.washoecounty.gov/assessor/cama/?parid=083-751-19&amp;CardNumber=1","083-751-19")</f>
        <v>083-751-19</v>
      </c>
      <c r="B3666" t="s">
        <v>4655</v>
      </c>
      <c r="C3666" t="s">
        <v>20185</v>
      </c>
      <c r="D3666" s="1">
        <v>40451</v>
      </c>
      <c r="E3666" s="2">
        <v>130000</v>
      </c>
      <c r="F3666" t="s">
        <v>4567</v>
      </c>
      <c r="G3666" s="17" t="str">
        <f>HYPERLINK("https://www.washoecounty.gov/assessor/cama/?command=sales&amp;parid=08375119","3928012")</f>
        <v>3928012</v>
      </c>
      <c r="H3666" t="s">
        <v>3622</v>
      </c>
      <c r="I3666">
        <v>1994</v>
      </c>
      <c r="J3666">
        <v>1994</v>
      </c>
      <c r="K3666" t="s">
        <v>4554</v>
      </c>
      <c r="L3666" t="s">
        <v>4555</v>
      </c>
      <c r="M3666" s="2">
        <v>1378</v>
      </c>
      <c r="N3666" t="s">
        <v>4048</v>
      </c>
      <c r="O3666">
        <v>3</v>
      </c>
      <c r="P3666">
        <v>2</v>
      </c>
      <c r="Q3666">
        <v>0</v>
      </c>
      <c r="R3666" t="s">
        <v>4557</v>
      </c>
      <c r="S3666" t="s">
        <v>4558</v>
      </c>
      <c r="T3666" t="s">
        <v>4559</v>
      </c>
      <c r="U3666" t="s">
        <v>4560</v>
      </c>
      <c r="V3666" s="2">
        <v>440</v>
      </c>
      <c r="W3666" t="s">
        <v>4655</v>
      </c>
      <c r="X3666" s="2">
        <v>0</v>
      </c>
      <c r="Y3666">
        <v>20</v>
      </c>
      <c r="Z3666" t="s">
        <v>1776</v>
      </c>
      <c r="AA3666" s="3">
        <v>0.16499081254005399</v>
      </c>
      <c r="AB3666" t="s">
        <v>20186</v>
      </c>
      <c r="AC3666" t="s">
        <v>4562</v>
      </c>
      <c r="AD3666" t="s">
        <v>20187</v>
      </c>
      <c r="AE3666" t="s">
        <v>4655</v>
      </c>
      <c r="AF3666" t="s">
        <v>4809</v>
      </c>
      <c r="AG3666" t="s">
        <v>4564</v>
      </c>
      <c r="AH3666" t="s">
        <v>1605</v>
      </c>
      <c r="AI3666" t="s">
        <v>20188</v>
      </c>
      <c r="AJ3666" t="s">
        <v>3623</v>
      </c>
      <c r="AK3666" t="s">
        <v>20189</v>
      </c>
      <c r="AL3666" s="13" t="s">
        <v>1892</v>
      </c>
      <c r="AM3666">
        <v>1</v>
      </c>
      <c r="AN3666" s="15" t="s">
        <v>794</v>
      </c>
    </row>
    <row r="3667" spans="1:40" x14ac:dyDescent="0.3">
      <c r="A3667" s="10" t="str">
        <f>HYPERLINK("http://www.washoecounty.gov/assessor/cama/?parid=083-752-03&amp;CardNumber=1","083-752-03")</f>
        <v>083-752-03</v>
      </c>
      <c r="B3667" t="s">
        <v>4655</v>
      </c>
      <c r="C3667" t="s">
        <v>20190</v>
      </c>
      <c r="D3667" s="1">
        <v>40484</v>
      </c>
      <c r="E3667" s="2">
        <v>122000</v>
      </c>
      <c r="F3667" t="s">
        <v>4567</v>
      </c>
      <c r="G3667" s="17" t="str">
        <f>HYPERLINK("https://www.washoecounty.gov/assessor/cama/?command=sales&amp;parid=08375203","3939200")</f>
        <v>3939200</v>
      </c>
      <c r="H3667" t="s">
        <v>3622</v>
      </c>
      <c r="I3667">
        <v>1993</v>
      </c>
      <c r="J3667">
        <v>1993</v>
      </c>
      <c r="K3667" t="s">
        <v>4554</v>
      </c>
      <c r="L3667" t="s">
        <v>4555</v>
      </c>
      <c r="M3667" s="2">
        <v>1240</v>
      </c>
      <c r="N3667" t="s">
        <v>4048</v>
      </c>
      <c r="O3667">
        <v>3</v>
      </c>
      <c r="P3667">
        <v>2</v>
      </c>
      <c r="Q3667">
        <v>0</v>
      </c>
      <c r="R3667" t="s">
        <v>4557</v>
      </c>
      <c r="S3667" t="s">
        <v>4558</v>
      </c>
      <c r="T3667" t="s">
        <v>4559</v>
      </c>
      <c r="U3667" t="s">
        <v>4560</v>
      </c>
      <c r="V3667" s="2">
        <v>414</v>
      </c>
      <c r="W3667" t="s">
        <v>4655</v>
      </c>
      <c r="X3667" s="2">
        <v>0</v>
      </c>
      <c r="Y3667">
        <v>20</v>
      </c>
      <c r="Z3667" t="s">
        <v>1776</v>
      </c>
      <c r="AA3667" s="3">
        <v>0.176010102033615</v>
      </c>
      <c r="AB3667" t="s">
        <v>20191</v>
      </c>
      <c r="AC3667" t="s">
        <v>4562</v>
      </c>
      <c r="AD3667" t="s">
        <v>20190</v>
      </c>
      <c r="AE3667" t="s">
        <v>4655</v>
      </c>
      <c r="AF3667" t="s">
        <v>5201</v>
      </c>
      <c r="AG3667" t="s">
        <v>4564</v>
      </c>
      <c r="AH3667" t="s">
        <v>1605</v>
      </c>
      <c r="AI3667" t="s">
        <v>20192</v>
      </c>
      <c r="AJ3667" t="s">
        <v>3623</v>
      </c>
      <c r="AK3667" t="s">
        <v>20193</v>
      </c>
      <c r="AL3667" s="13" t="s">
        <v>1892</v>
      </c>
      <c r="AM3667">
        <v>1</v>
      </c>
      <c r="AN3667" s="15" t="s">
        <v>794</v>
      </c>
    </row>
    <row r="3668" spans="1:40" x14ac:dyDescent="0.3">
      <c r="A3668" s="10" t="str">
        <f>HYPERLINK("http://www.washoecounty.gov/assessor/cama/?parid=083-753-12&amp;CardNumber=1","083-753-12")</f>
        <v>083-753-12</v>
      </c>
      <c r="B3668" t="s">
        <v>4655</v>
      </c>
      <c r="C3668" t="s">
        <v>20194</v>
      </c>
      <c r="D3668" s="1">
        <v>40359</v>
      </c>
      <c r="E3668" s="2">
        <v>122000</v>
      </c>
      <c r="F3668" t="s">
        <v>4567</v>
      </c>
      <c r="G3668" s="17" t="str">
        <f>HYPERLINK("https://www.washoecounty.gov/assessor/cama/?command=sales&amp;parid=08375312","3897443")</f>
        <v>3897443</v>
      </c>
      <c r="H3668" t="s">
        <v>3622</v>
      </c>
      <c r="I3668">
        <v>1993</v>
      </c>
      <c r="J3668">
        <v>1993</v>
      </c>
      <c r="K3668" t="s">
        <v>4554</v>
      </c>
      <c r="L3668" t="s">
        <v>4555</v>
      </c>
      <c r="M3668" s="2">
        <v>1226</v>
      </c>
      <c r="N3668" t="s">
        <v>4048</v>
      </c>
      <c r="O3668">
        <v>3</v>
      </c>
      <c r="P3668">
        <v>2</v>
      </c>
      <c r="Q3668">
        <v>0</v>
      </c>
      <c r="R3668" t="s">
        <v>5281</v>
      </c>
      <c r="S3668" t="s">
        <v>4558</v>
      </c>
      <c r="T3668" t="s">
        <v>4559</v>
      </c>
      <c r="U3668" t="s">
        <v>4560</v>
      </c>
      <c r="V3668" s="2">
        <v>414</v>
      </c>
      <c r="W3668" t="s">
        <v>4655</v>
      </c>
      <c r="X3668" s="2">
        <v>0</v>
      </c>
      <c r="Y3668">
        <v>20</v>
      </c>
      <c r="Z3668" t="s">
        <v>1776</v>
      </c>
      <c r="AA3668" s="3">
        <v>0.16099633276462599</v>
      </c>
      <c r="AB3668" t="s">
        <v>20195</v>
      </c>
      <c r="AC3668" t="s">
        <v>4562</v>
      </c>
      <c r="AD3668" t="s">
        <v>20194</v>
      </c>
      <c r="AE3668" t="s">
        <v>4655</v>
      </c>
      <c r="AF3668" t="s">
        <v>5201</v>
      </c>
      <c r="AG3668" t="s">
        <v>4564</v>
      </c>
      <c r="AH3668" t="s">
        <v>1605</v>
      </c>
      <c r="AI3668" t="s">
        <v>20196</v>
      </c>
      <c r="AJ3668" t="s">
        <v>3623</v>
      </c>
      <c r="AK3668" t="s">
        <v>20197</v>
      </c>
      <c r="AL3668" s="13" t="s">
        <v>1892</v>
      </c>
      <c r="AM3668">
        <v>1</v>
      </c>
      <c r="AN3668" s="15" t="s">
        <v>794</v>
      </c>
    </row>
    <row r="3669" spans="1:40" x14ac:dyDescent="0.3">
      <c r="A3669" s="10" t="str">
        <f>HYPERLINK("http://www.washoecounty.gov/assessor/cama/?parid=083-811-04&amp;CardNumber=1","083-811-04")</f>
        <v>083-811-04</v>
      </c>
      <c r="B3669" t="s">
        <v>4655</v>
      </c>
      <c r="C3669" t="s">
        <v>20198</v>
      </c>
      <c r="D3669" s="1">
        <v>40415</v>
      </c>
      <c r="E3669" s="2">
        <v>129900</v>
      </c>
      <c r="F3669" t="s">
        <v>4553</v>
      </c>
      <c r="G3669" s="17" t="str">
        <f>HYPERLINK("https://www.washoecounty.gov/assessor/cama/?command=sales&amp;parid=08381104","3915445")</f>
        <v>3915445</v>
      </c>
      <c r="H3669" t="s">
        <v>2158</v>
      </c>
      <c r="I3669">
        <v>1994</v>
      </c>
      <c r="J3669">
        <v>1994</v>
      </c>
      <c r="K3669" t="s">
        <v>4554</v>
      </c>
      <c r="L3669" t="s">
        <v>4555</v>
      </c>
      <c r="M3669" s="2">
        <v>1392</v>
      </c>
      <c r="N3669" t="s">
        <v>4048</v>
      </c>
      <c r="O3669">
        <v>3</v>
      </c>
      <c r="P3669">
        <v>2</v>
      </c>
      <c r="Q3669">
        <v>0</v>
      </c>
      <c r="R3669" t="s">
        <v>4557</v>
      </c>
      <c r="S3669" t="s">
        <v>4558</v>
      </c>
      <c r="T3669" t="s">
        <v>4559</v>
      </c>
      <c r="U3669" t="s">
        <v>4560</v>
      </c>
      <c r="V3669" s="2">
        <v>440</v>
      </c>
      <c r="W3669" t="s">
        <v>4655</v>
      </c>
      <c r="X3669" s="2">
        <v>0</v>
      </c>
      <c r="Y3669">
        <v>20</v>
      </c>
      <c r="Z3669" t="s">
        <v>1776</v>
      </c>
      <c r="AA3669" s="3">
        <v>0.16499081254005399</v>
      </c>
      <c r="AB3669" t="s">
        <v>20199</v>
      </c>
      <c r="AC3669" t="s">
        <v>4562</v>
      </c>
      <c r="AD3669" t="s">
        <v>20200</v>
      </c>
      <c r="AE3669" t="s">
        <v>4655</v>
      </c>
      <c r="AF3669" t="s">
        <v>4809</v>
      </c>
      <c r="AG3669" t="s">
        <v>4564</v>
      </c>
      <c r="AH3669" t="s">
        <v>1605</v>
      </c>
      <c r="AI3669" t="s">
        <v>1149</v>
      </c>
      <c r="AJ3669" t="s">
        <v>2159</v>
      </c>
      <c r="AK3669" t="s">
        <v>20201</v>
      </c>
      <c r="AL3669" s="13" t="s">
        <v>1892</v>
      </c>
      <c r="AM3669">
        <v>1</v>
      </c>
      <c r="AN3669" s="15" t="s">
        <v>794</v>
      </c>
    </row>
    <row r="3670" spans="1:40" x14ac:dyDescent="0.3">
      <c r="A3670" s="10" t="str">
        <f>HYPERLINK("http://www.washoecounty.gov/assessor/cama/?parid=083-811-11&amp;CardNumber=1","083-811-11")</f>
        <v>083-811-11</v>
      </c>
      <c r="B3670" t="s">
        <v>4655</v>
      </c>
      <c r="C3670" t="s">
        <v>20202</v>
      </c>
      <c r="D3670" s="1">
        <v>40541</v>
      </c>
      <c r="E3670" s="2">
        <v>124900</v>
      </c>
      <c r="F3670" t="s">
        <v>4567</v>
      </c>
      <c r="G3670" s="17" t="str">
        <f>HYPERLINK("https://www.washoecounty.gov/assessor/cama/?command=sales&amp;parid=08381111","3958689")</f>
        <v>3958689</v>
      </c>
      <c r="H3670" t="s">
        <v>2158</v>
      </c>
      <c r="I3670">
        <v>1994</v>
      </c>
      <c r="J3670">
        <v>1994</v>
      </c>
      <c r="K3670" t="s">
        <v>4554</v>
      </c>
      <c r="L3670" t="s">
        <v>4555</v>
      </c>
      <c r="M3670" s="2">
        <v>1756</v>
      </c>
      <c r="N3670" t="s">
        <v>4048</v>
      </c>
      <c r="O3670">
        <v>3</v>
      </c>
      <c r="P3670">
        <v>2</v>
      </c>
      <c r="Q3670">
        <v>0</v>
      </c>
      <c r="R3670" t="s">
        <v>5281</v>
      </c>
      <c r="S3670" t="s">
        <v>4558</v>
      </c>
      <c r="T3670" t="s">
        <v>4559</v>
      </c>
      <c r="U3670" t="s">
        <v>4560</v>
      </c>
      <c r="V3670" s="2">
        <v>466</v>
      </c>
      <c r="W3670" t="s">
        <v>4655</v>
      </c>
      <c r="X3670" s="2">
        <v>0</v>
      </c>
      <c r="Y3670">
        <v>20</v>
      </c>
      <c r="Z3670" t="s">
        <v>1776</v>
      </c>
      <c r="AA3670" s="3">
        <v>0.18700642883777599</v>
      </c>
      <c r="AB3670" t="s">
        <v>20203</v>
      </c>
      <c r="AC3670" t="s">
        <v>4562</v>
      </c>
      <c r="AD3670" t="s">
        <v>20202</v>
      </c>
      <c r="AE3670" t="s">
        <v>4655</v>
      </c>
      <c r="AF3670" t="s">
        <v>5201</v>
      </c>
      <c r="AG3670" t="s">
        <v>4564</v>
      </c>
      <c r="AH3670" t="s">
        <v>1605</v>
      </c>
      <c r="AI3670" t="s">
        <v>4655</v>
      </c>
      <c r="AJ3670" t="s">
        <v>20204</v>
      </c>
      <c r="AK3670" t="s">
        <v>20205</v>
      </c>
      <c r="AL3670" s="13" t="s">
        <v>1892</v>
      </c>
      <c r="AM3670" s="14">
        <v>1</v>
      </c>
      <c r="AN3670" s="15" t="s">
        <v>794</v>
      </c>
    </row>
    <row r="3671" spans="1:40" x14ac:dyDescent="0.3">
      <c r="A3671" s="10" t="str">
        <f>HYPERLINK("http://www.washoecounty.gov/assessor/cama/?parid=083-813-17&amp;CardNumber=1","083-813-17")</f>
        <v>083-813-17</v>
      </c>
      <c r="B3671" t="s">
        <v>4655</v>
      </c>
      <c r="C3671" t="s">
        <v>20206</v>
      </c>
      <c r="D3671" s="1">
        <v>40451</v>
      </c>
      <c r="E3671" s="2">
        <v>132000</v>
      </c>
      <c r="F3671" t="s">
        <v>4567</v>
      </c>
      <c r="G3671" s="17" t="str">
        <f>HYPERLINK("https://www.washoecounty.gov/assessor/cama/?command=sales&amp;parid=08381317","3928323")</f>
        <v>3928323</v>
      </c>
      <c r="H3671" t="s">
        <v>4975</v>
      </c>
      <c r="I3671">
        <v>1994</v>
      </c>
      <c r="J3671">
        <v>1994</v>
      </c>
      <c r="K3671" t="s">
        <v>4554</v>
      </c>
      <c r="L3671" t="s">
        <v>4555</v>
      </c>
      <c r="M3671" s="2">
        <v>1430</v>
      </c>
      <c r="N3671" t="s">
        <v>4048</v>
      </c>
      <c r="O3671">
        <v>4</v>
      </c>
      <c r="P3671">
        <v>2</v>
      </c>
      <c r="Q3671">
        <v>0</v>
      </c>
      <c r="R3671" t="s">
        <v>4557</v>
      </c>
      <c r="S3671" t="s">
        <v>4558</v>
      </c>
      <c r="T3671" t="s">
        <v>4559</v>
      </c>
      <c r="U3671" t="s">
        <v>4560</v>
      </c>
      <c r="V3671" s="2">
        <v>462</v>
      </c>
      <c r="W3671" t="s">
        <v>4655</v>
      </c>
      <c r="X3671" s="2">
        <v>0</v>
      </c>
      <c r="Y3671">
        <v>20</v>
      </c>
      <c r="Z3671" t="s">
        <v>1776</v>
      </c>
      <c r="AA3671" s="3">
        <v>0.160009175539017</v>
      </c>
      <c r="AB3671" t="s">
        <v>20207</v>
      </c>
      <c r="AC3671" t="s">
        <v>4575</v>
      </c>
      <c r="AD3671" t="s">
        <v>20208</v>
      </c>
      <c r="AE3671" t="s">
        <v>20209</v>
      </c>
      <c r="AF3671" t="s">
        <v>4563</v>
      </c>
      <c r="AG3671" t="s">
        <v>4564</v>
      </c>
      <c r="AH3671">
        <v>89502</v>
      </c>
      <c r="AI3671" t="s">
        <v>20210</v>
      </c>
      <c r="AJ3671" t="s">
        <v>2159</v>
      </c>
      <c r="AK3671" t="s">
        <v>20211</v>
      </c>
      <c r="AL3671" s="13" t="s">
        <v>1892</v>
      </c>
      <c r="AM3671" s="14">
        <v>1</v>
      </c>
      <c r="AN3671" s="15" t="s">
        <v>794</v>
      </c>
    </row>
    <row r="3672" spans="1:40" x14ac:dyDescent="0.3">
      <c r="A3672" s="10" t="str">
        <f>HYPERLINK("http://www.washoecounty.gov/assessor/cama/?parid=083-861-10&amp;CardNumber=1","083-861-10")</f>
        <v>083-861-10</v>
      </c>
      <c r="B3672" t="s">
        <v>4655</v>
      </c>
      <c r="C3672" t="s">
        <v>20212</v>
      </c>
      <c r="D3672" s="1">
        <v>40542</v>
      </c>
      <c r="E3672" s="2">
        <v>178000</v>
      </c>
      <c r="F3672" t="s">
        <v>4567</v>
      </c>
      <c r="G3672" s="17" t="str">
        <f>HYPERLINK("https://www.washoecounty.gov/assessor/cama/?command=sales&amp;parid=08386110","3959215")</f>
        <v>3959215</v>
      </c>
      <c r="H3672" t="s">
        <v>20213</v>
      </c>
      <c r="I3672">
        <v>1995</v>
      </c>
      <c r="J3672">
        <v>1995</v>
      </c>
      <c r="K3672" t="s">
        <v>4554</v>
      </c>
      <c r="L3672" t="s">
        <v>4555</v>
      </c>
      <c r="M3672" s="2">
        <v>1160</v>
      </c>
      <c r="N3672" t="s">
        <v>4048</v>
      </c>
      <c r="O3672">
        <v>3</v>
      </c>
      <c r="P3672">
        <v>2</v>
      </c>
      <c r="Q3672">
        <v>0</v>
      </c>
      <c r="R3672" t="s">
        <v>5281</v>
      </c>
      <c r="S3672" t="s">
        <v>4558</v>
      </c>
      <c r="T3672" t="s">
        <v>4559</v>
      </c>
      <c r="U3672" t="s">
        <v>4560</v>
      </c>
      <c r="V3672" s="2">
        <v>778</v>
      </c>
      <c r="W3672" t="s">
        <v>3201</v>
      </c>
      <c r="X3672" s="2">
        <v>1160</v>
      </c>
      <c r="Y3672">
        <v>20</v>
      </c>
      <c r="Z3672" t="s">
        <v>1776</v>
      </c>
      <c r="AA3672" s="3">
        <v>0.16099633276462599</v>
      </c>
      <c r="AB3672" t="s">
        <v>20214</v>
      </c>
      <c r="AC3672" t="s">
        <v>4562</v>
      </c>
      <c r="AD3672" t="s">
        <v>20212</v>
      </c>
      <c r="AE3672" t="s">
        <v>4655</v>
      </c>
      <c r="AF3672" t="s">
        <v>5201</v>
      </c>
      <c r="AG3672" t="s">
        <v>4564</v>
      </c>
      <c r="AH3672" t="s">
        <v>1605</v>
      </c>
      <c r="AI3672" t="s">
        <v>20215</v>
      </c>
      <c r="AJ3672" t="s">
        <v>3724</v>
      </c>
      <c r="AK3672" t="s">
        <v>20216</v>
      </c>
      <c r="AL3672" s="13" t="s">
        <v>1892</v>
      </c>
      <c r="AM3672">
        <v>1</v>
      </c>
      <c r="AN3672" s="15" t="s">
        <v>794</v>
      </c>
    </row>
    <row r="3673" spans="1:40" x14ac:dyDescent="0.3">
      <c r="A3673" s="10" t="str">
        <f>HYPERLINK("http://www.washoecounty.gov/assessor/cama/?parid=083-861-20&amp;CardNumber=1","083-861-20")</f>
        <v>083-861-20</v>
      </c>
      <c r="B3673" t="s">
        <v>4655</v>
      </c>
      <c r="C3673" t="s">
        <v>20217</v>
      </c>
      <c r="D3673" s="1">
        <v>40535</v>
      </c>
      <c r="E3673" s="2">
        <v>129900</v>
      </c>
      <c r="F3673" t="s">
        <v>4553</v>
      </c>
      <c r="G3673" s="17" t="str">
        <f>HYPERLINK("https://www.washoecounty.gov/assessor/cama/?command=sales&amp;parid=08386120","3957006")</f>
        <v>3957006</v>
      </c>
      <c r="H3673" t="s">
        <v>3723</v>
      </c>
      <c r="I3673">
        <v>1995</v>
      </c>
      <c r="J3673">
        <v>1995</v>
      </c>
      <c r="K3673" t="s">
        <v>4554</v>
      </c>
      <c r="L3673" t="s">
        <v>2170</v>
      </c>
      <c r="M3673" s="2">
        <v>1365</v>
      </c>
      <c r="N3673" t="s">
        <v>4048</v>
      </c>
      <c r="O3673">
        <v>3</v>
      </c>
      <c r="P3673">
        <v>2</v>
      </c>
      <c r="Q3673">
        <v>1</v>
      </c>
      <c r="R3673" t="s">
        <v>4557</v>
      </c>
      <c r="S3673" t="s">
        <v>4558</v>
      </c>
      <c r="T3673" t="s">
        <v>4559</v>
      </c>
      <c r="U3673" t="s">
        <v>5631</v>
      </c>
      <c r="V3673" s="2">
        <v>456</v>
      </c>
      <c r="W3673" t="s">
        <v>4655</v>
      </c>
      <c r="X3673" s="2">
        <v>0</v>
      </c>
      <c r="Y3673">
        <v>20</v>
      </c>
      <c r="Z3673" t="s">
        <v>1776</v>
      </c>
      <c r="AA3673" s="3">
        <v>0.22300276160240201</v>
      </c>
      <c r="AB3673" t="s">
        <v>20218</v>
      </c>
      <c r="AC3673" t="s">
        <v>4562</v>
      </c>
      <c r="AD3673" t="s">
        <v>20217</v>
      </c>
      <c r="AE3673" t="s">
        <v>4655</v>
      </c>
      <c r="AF3673" t="s">
        <v>5201</v>
      </c>
      <c r="AG3673" t="s">
        <v>4564</v>
      </c>
      <c r="AH3673" t="s">
        <v>1605</v>
      </c>
      <c r="AI3673" t="s">
        <v>4903</v>
      </c>
      <c r="AJ3673" t="s">
        <v>3724</v>
      </c>
      <c r="AK3673" t="s">
        <v>20219</v>
      </c>
      <c r="AL3673" s="13" t="s">
        <v>1892</v>
      </c>
      <c r="AM3673">
        <v>1</v>
      </c>
      <c r="AN3673" s="15" t="s">
        <v>794</v>
      </c>
    </row>
    <row r="3674" spans="1:40" x14ac:dyDescent="0.3">
      <c r="A3674" s="10" t="str">
        <f>HYPERLINK("http://www.washoecounty.gov/assessor/cama/?parid=083-861-23&amp;CardNumber=1","083-861-23")</f>
        <v>083-861-23</v>
      </c>
      <c r="B3674" t="s">
        <v>4655</v>
      </c>
      <c r="C3674" t="s">
        <v>20220</v>
      </c>
      <c r="D3674" s="1">
        <v>40308</v>
      </c>
      <c r="E3674" s="2">
        <v>138500</v>
      </c>
      <c r="F3674" t="s">
        <v>4567</v>
      </c>
      <c r="G3674" s="17" t="str">
        <f>HYPERLINK("https://www.washoecounty.gov/assessor/cama/?command=sales&amp;parid=08386123","3879582")</f>
        <v>3879582</v>
      </c>
      <c r="H3674" t="s">
        <v>3723</v>
      </c>
      <c r="I3674">
        <v>1994</v>
      </c>
      <c r="J3674">
        <v>1994</v>
      </c>
      <c r="K3674" t="s">
        <v>4554</v>
      </c>
      <c r="L3674" t="s">
        <v>4555</v>
      </c>
      <c r="M3674" s="2">
        <v>1160</v>
      </c>
      <c r="N3674" t="s">
        <v>4048</v>
      </c>
      <c r="O3674">
        <v>3</v>
      </c>
      <c r="P3674">
        <v>2</v>
      </c>
      <c r="Q3674">
        <v>0</v>
      </c>
      <c r="R3674" t="s">
        <v>4557</v>
      </c>
      <c r="S3674" t="s">
        <v>4558</v>
      </c>
      <c r="T3674" t="s">
        <v>4559</v>
      </c>
      <c r="U3674" t="s">
        <v>4560</v>
      </c>
      <c r="V3674" s="2">
        <v>778</v>
      </c>
      <c r="W3674" t="s">
        <v>4655</v>
      </c>
      <c r="X3674" s="2">
        <v>0</v>
      </c>
      <c r="Y3674">
        <v>20</v>
      </c>
      <c r="Z3674" t="s">
        <v>1776</v>
      </c>
      <c r="AA3674" s="3">
        <v>0.20101010799408001</v>
      </c>
      <c r="AB3674" t="s">
        <v>20221</v>
      </c>
      <c r="AC3674" t="s">
        <v>4562</v>
      </c>
      <c r="AD3674" t="s">
        <v>20220</v>
      </c>
      <c r="AE3674" t="s">
        <v>4655</v>
      </c>
      <c r="AF3674" t="s">
        <v>5201</v>
      </c>
      <c r="AG3674" t="s">
        <v>4564</v>
      </c>
      <c r="AH3674" t="s">
        <v>1605</v>
      </c>
      <c r="AI3674" t="s">
        <v>20222</v>
      </c>
      <c r="AJ3674" t="s">
        <v>3724</v>
      </c>
      <c r="AK3674" t="s">
        <v>20223</v>
      </c>
      <c r="AL3674" s="13" t="s">
        <v>1892</v>
      </c>
      <c r="AM3674">
        <v>1</v>
      </c>
      <c r="AN3674" s="15" t="s">
        <v>794</v>
      </c>
    </row>
    <row r="3675" spans="1:40" x14ac:dyDescent="0.3">
      <c r="A3675" s="10" t="str">
        <f>HYPERLINK("http://www.washoecounty.gov/assessor/cama/?parid=083-871-10&amp;CardNumber=1","083-871-10")</f>
        <v>083-871-10</v>
      </c>
      <c r="B3675" t="s">
        <v>4655</v>
      </c>
      <c r="C3675" t="s">
        <v>4768</v>
      </c>
      <c r="D3675" s="1">
        <v>40441</v>
      </c>
      <c r="E3675" s="2">
        <v>100000</v>
      </c>
      <c r="F3675" t="s">
        <v>4553</v>
      </c>
      <c r="G3675" s="17" t="str">
        <f>HYPERLINK("https://www.washoecounty.gov/assessor/cama/?command=sales&amp;parid=08387110","3924169")</f>
        <v>3924169</v>
      </c>
      <c r="H3675" t="s">
        <v>3363</v>
      </c>
      <c r="I3675">
        <v>1996</v>
      </c>
      <c r="J3675">
        <v>1996</v>
      </c>
      <c r="K3675" t="s">
        <v>4554</v>
      </c>
      <c r="L3675" t="s">
        <v>4555</v>
      </c>
      <c r="M3675" s="2">
        <v>1744</v>
      </c>
      <c r="N3675" t="s">
        <v>4048</v>
      </c>
      <c r="O3675">
        <v>3</v>
      </c>
      <c r="P3675">
        <v>2</v>
      </c>
      <c r="Q3675">
        <v>0</v>
      </c>
      <c r="R3675" t="s">
        <v>4557</v>
      </c>
      <c r="S3675" t="s">
        <v>4558</v>
      </c>
      <c r="T3675" t="s">
        <v>4559</v>
      </c>
      <c r="U3675" t="s">
        <v>4560</v>
      </c>
      <c r="V3675" s="2">
        <v>682</v>
      </c>
      <c r="W3675" t="s">
        <v>4655</v>
      </c>
      <c r="X3675" s="2">
        <v>0</v>
      </c>
      <c r="Y3675">
        <v>20</v>
      </c>
      <c r="Z3675" t="s">
        <v>1776</v>
      </c>
      <c r="AA3675" s="3">
        <v>0.19699265062808999</v>
      </c>
      <c r="AB3675" t="s">
        <v>801</v>
      </c>
      <c r="AC3675" t="s">
        <v>4562</v>
      </c>
      <c r="AD3675" t="s">
        <v>20224</v>
      </c>
      <c r="AE3675" t="s">
        <v>4655</v>
      </c>
      <c r="AF3675" t="s">
        <v>4809</v>
      </c>
      <c r="AG3675" t="s">
        <v>4564</v>
      </c>
      <c r="AH3675" t="s">
        <v>1605</v>
      </c>
      <c r="AI3675" t="s">
        <v>4236</v>
      </c>
      <c r="AJ3675" t="s">
        <v>3364</v>
      </c>
      <c r="AK3675" t="s">
        <v>4769</v>
      </c>
      <c r="AL3675" s="13" t="s">
        <v>1892</v>
      </c>
      <c r="AM3675" s="14">
        <v>1</v>
      </c>
      <c r="AN3675" s="15" t="s">
        <v>794</v>
      </c>
    </row>
    <row r="3676" spans="1:40" x14ac:dyDescent="0.3">
      <c r="A3676" s="10" t="str">
        <f>HYPERLINK("http://www.washoecounty.gov/assessor/cama/?parid=083-871-19&amp;CardNumber=1","083-871-19")</f>
        <v>083-871-19</v>
      </c>
      <c r="B3676" t="s">
        <v>4655</v>
      </c>
      <c r="C3676" t="s">
        <v>20225</v>
      </c>
      <c r="D3676" s="1">
        <v>40283</v>
      </c>
      <c r="E3676" s="2">
        <v>160000</v>
      </c>
      <c r="F3676" t="s">
        <v>4567</v>
      </c>
      <c r="G3676" s="17" t="str">
        <f>HYPERLINK("https://www.washoecounty.gov/assessor/cama/?command=sales&amp;parid=08387119","3871170")</f>
        <v>3871170</v>
      </c>
      <c r="H3676" t="s">
        <v>3363</v>
      </c>
      <c r="I3676">
        <v>1996</v>
      </c>
      <c r="J3676">
        <v>1996</v>
      </c>
      <c r="K3676" t="s">
        <v>4554</v>
      </c>
      <c r="L3676" t="s">
        <v>4555</v>
      </c>
      <c r="M3676" s="2">
        <v>1855</v>
      </c>
      <c r="N3676" t="s">
        <v>4048</v>
      </c>
      <c r="O3676">
        <v>3</v>
      </c>
      <c r="P3676">
        <v>2</v>
      </c>
      <c r="Q3676">
        <v>0</v>
      </c>
      <c r="R3676" t="s">
        <v>5281</v>
      </c>
      <c r="S3676" t="s">
        <v>3148</v>
      </c>
      <c r="T3676" t="s">
        <v>4559</v>
      </c>
      <c r="U3676" t="s">
        <v>4560</v>
      </c>
      <c r="V3676" s="2">
        <v>444</v>
      </c>
      <c r="W3676" t="s">
        <v>4655</v>
      </c>
      <c r="X3676" s="2">
        <v>0</v>
      </c>
      <c r="Y3676">
        <v>20</v>
      </c>
      <c r="Z3676" t="s">
        <v>1776</v>
      </c>
      <c r="AA3676" s="3">
        <v>0.18399907648563399</v>
      </c>
      <c r="AB3676" t="s">
        <v>20226</v>
      </c>
      <c r="AC3676" t="s">
        <v>4575</v>
      </c>
      <c r="AD3676" t="s">
        <v>20227</v>
      </c>
      <c r="AE3676" t="s">
        <v>4655</v>
      </c>
      <c r="AF3676" t="s">
        <v>5201</v>
      </c>
      <c r="AG3676" t="s">
        <v>4564</v>
      </c>
      <c r="AH3676" t="s">
        <v>1605</v>
      </c>
      <c r="AI3676" t="s">
        <v>20228</v>
      </c>
      <c r="AJ3676" t="s">
        <v>3364</v>
      </c>
      <c r="AK3676" t="s">
        <v>20229</v>
      </c>
      <c r="AL3676" s="13" t="s">
        <v>1892</v>
      </c>
      <c r="AM3676">
        <v>1</v>
      </c>
      <c r="AN3676" s="15" t="s">
        <v>794</v>
      </c>
    </row>
    <row r="3677" spans="1:40" x14ac:dyDescent="0.3">
      <c r="A3677" s="10" t="str">
        <f>HYPERLINK("http://www.washoecounty.gov/assessor/cama/?parid=083-881-01&amp;CardNumber=1","083-881-01")</f>
        <v>083-881-01</v>
      </c>
      <c r="B3677" t="s">
        <v>4655</v>
      </c>
      <c r="C3677" t="s">
        <v>20230</v>
      </c>
      <c r="D3677" s="1">
        <v>40330</v>
      </c>
      <c r="E3677" s="2">
        <v>130000</v>
      </c>
      <c r="F3677" t="s">
        <v>4567</v>
      </c>
      <c r="G3677" s="17" t="str">
        <f>HYPERLINK("https://www.washoecounty.gov/assessor/cama/?command=sales&amp;parid=08388101","3887046")</f>
        <v>3887046</v>
      </c>
      <c r="H3677" t="s">
        <v>3363</v>
      </c>
      <c r="I3677">
        <v>1997</v>
      </c>
      <c r="J3677">
        <v>1997</v>
      </c>
      <c r="K3677" t="s">
        <v>4554</v>
      </c>
      <c r="L3677" t="s">
        <v>4555</v>
      </c>
      <c r="M3677" s="2">
        <v>1210</v>
      </c>
      <c r="N3677" t="s">
        <v>4048</v>
      </c>
      <c r="O3677">
        <v>3</v>
      </c>
      <c r="P3677">
        <v>2</v>
      </c>
      <c r="Q3677">
        <v>0</v>
      </c>
      <c r="R3677" t="s">
        <v>4557</v>
      </c>
      <c r="S3677" t="s">
        <v>4558</v>
      </c>
      <c r="T3677" t="s">
        <v>4559</v>
      </c>
      <c r="U3677" t="s">
        <v>4560</v>
      </c>
      <c r="V3677" s="2">
        <v>484</v>
      </c>
      <c r="W3677" t="s">
        <v>4655</v>
      </c>
      <c r="X3677" s="2">
        <v>0</v>
      </c>
      <c r="Y3677">
        <v>20</v>
      </c>
      <c r="Z3677" t="s">
        <v>1776</v>
      </c>
      <c r="AA3677" s="3">
        <v>0.16200642287731201</v>
      </c>
      <c r="AB3677" t="s">
        <v>20231</v>
      </c>
      <c r="AC3677" t="s">
        <v>4575</v>
      </c>
      <c r="AD3677" t="s">
        <v>20232</v>
      </c>
      <c r="AE3677" t="s">
        <v>4655</v>
      </c>
      <c r="AF3677" t="s">
        <v>5201</v>
      </c>
      <c r="AG3677" t="s">
        <v>4564</v>
      </c>
      <c r="AH3677" t="s">
        <v>1605</v>
      </c>
      <c r="AI3677" t="s">
        <v>20233</v>
      </c>
      <c r="AJ3677" t="s">
        <v>3364</v>
      </c>
      <c r="AK3677" t="s">
        <v>20234</v>
      </c>
      <c r="AL3677" s="13" t="s">
        <v>1892</v>
      </c>
      <c r="AM3677">
        <v>1</v>
      </c>
      <c r="AN3677" s="15" t="s">
        <v>794</v>
      </c>
    </row>
    <row r="3678" spans="1:40" x14ac:dyDescent="0.3">
      <c r="A3678" s="10" t="str">
        <f>HYPERLINK("http://www.washoecounty.gov/assessor/cama/?parid=083-881-04&amp;CardNumber=1","083-881-04")</f>
        <v>083-881-04</v>
      </c>
      <c r="B3678" t="s">
        <v>4655</v>
      </c>
      <c r="C3678" t="s">
        <v>20235</v>
      </c>
      <c r="D3678" s="1">
        <v>40381</v>
      </c>
      <c r="E3678" s="2">
        <v>139000</v>
      </c>
      <c r="F3678" t="s">
        <v>4567</v>
      </c>
      <c r="G3678" s="17" t="str">
        <f>HYPERLINK("https://www.washoecounty.gov/assessor/cama/?command=sales&amp;parid=08388104","3903926")</f>
        <v>3903926</v>
      </c>
      <c r="H3678" t="s">
        <v>3363</v>
      </c>
      <c r="I3678">
        <v>1996</v>
      </c>
      <c r="J3678">
        <v>1996</v>
      </c>
      <c r="K3678" t="s">
        <v>4554</v>
      </c>
      <c r="L3678" t="s">
        <v>4555</v>
      </c>
      <c r="M3678" s="2">
        <v>1392</v>
      </c>
      <c r="N3678" t="s">
        <v>4048</v>
      </c>
      <c r="O3678">
        <v>3</v>
      </c>
      <c r="P3678">
        <v>2</v>
      </c>
      <c r="Q3678">
        <v>0</v>
      </c>
      <c r="R3678" t="s">
        <v>4557</v>
      </c>
      <c r="S3678" t="s">
        <v>4558</v>
      </c>
      <c r="T3678" t="s">
        <v>4559</v>
      </c>
      <c r="U3678" t="s">
        <v>4560</v>
      </c>
      <c r="V3678" s="2">
        <v>440</v>
      </c>
      <c r="W3678" t="s">
        <v>4655</v>
      </c>
      <c r="X3678" s="2">
        <v>0</v>
      </c>
      <c r="Y3678">
        <v>20</v>
      </c>
      <c r="Z3678" t="s">
        <v>1776</v>
      </c>
      <c r="AA3678" s="3">
        <v>0.18000459671020499</v>
      </c>
      <c r="AB3678" t="s">
        <v>20236</v>
      </c>
      <c r="AC3678" t="s">
        <v>4562</v>
      </c>
      <c r="AD3678" t="s">
        <v>20235</v>
      </c>
      <c r="AE3678" t="s">
        <v>4655</v>
      </c>
      <c r="AF3678" t="s">
        <v>5201</v>
      </c>
      <c r="AG3678" t="s">
        <v>4564</v>
      </c>
      <c r="AH3678" t="s">
        <v>1605</v>
      </c>
      <c r="AI3678" t="s">
        <v>20237</v>
      </c>
      <c r="AJ3678" t="s">
        <v>3364</v>
      </c>
      <c r="AK3678" t="s">
        <v>20238</v>
      </c>
      <c r="AL3678" s="13" t="s">
        <v>1892</v>
      </c>
      <c r="AM3678" s="14">
        <v>1</v>
      </c>
      <c r="AN3678" s="15" t="s">
        <v>794</v>
      </c>
    </row>
    <row r="3679" spans="1:40" x14ac:dyDescent="0.3">
      <c r="A3679" s="10" t="str">
        <f>HYPERLINK("http://www.washoecounty.gov/assessor/cama/?parid=083-884-01&amp;CardNumber=1","083-884-01")</f>
        <v>083-884-01</v>
      </c>
      <c r="B3679" t="s">
        <v>4655</v>
      </c>
      <c r="C3679" t="s">
        <v>20239</v>
      </c>
      <c r="D3679" s="1">
        <v>40529</v>
      </c>
      <c r="E3679" s="2">
        <v>99900</v>
      </c>
      <c r="F3679" t="s">
        <v>4553</v>
      </c>
      <c r="G3679" s="17" t="str">
        <f>HYPERLINK("https://www.washoecounty.gov/assessor/cama/?command=sales&amp;parid=08388401","3954696")</f>
        <v>3954696</v>
      </c>
      <c r="H3679" t="s">
        <v>3363</v>
      </c>
      <c r="I3679">
        <v>1996</v>
      </c>
      <c r="J3679">
        <v>1996</v>
      </c>
      <c r="K3679" t="s">
        <v>4554</v>
      </c>
      <c r="L3679" t="s">
        <v>4555</v>
      </c>
      <c r="M3679" s="2">
        <v>1466</v>
      </c>
      <c r="N3679" t="s">
        <v>4048</v>
      </c>
      <c r="O3679">
        <v>3</v>
      </c>
      <c r="P3679">
        <v>2</v>
      </c>
      <c r="Q3679">
        <v>0</v>
      </c>
      <c r="R3679" t="s">
        <v>5281</v>
      </c>
      <c r="S3679" t="s">
        <v>4558</v>
      </c>
      <c r="T3679" t="s">
        <v>4559</v>
      </c>
      <c r="U3679" t="s">
        <v>4560</v>
      </c>
      <c r="V3679" s="2">
        <v>484</v>
      </c>
      <c r="W3679" t="s">
        <v>4655</v>
      </c>
      <c r="X3679" s="2">
        <v>0</v>
      </c>
      <c r="Y3679">
        <v>20</v>
      </c>
      <c r="Z3679" t="s">
        <v>1776</v>
      </c>
      <c r="AA3679" s="3">
        <v>0.16499081254005399</v>
      </c>
      <c r="AB3679" t="s">
        <v>20240</v>
      </c>
      <c r="AC3679" t="s">
        <v>4562</v>
      </c>
      <c r="AD3679" t="s">
        <v>20241</v>
      </c>
      <c r="AE3679" t="s">
        <v>4655</v>
      </c>
      <c r="AF3679" t="s">
        <v>20242</v>
      </c>
      <c r="AG3679" t="s">
        <v>4584</v>
      </c>
      <c r="AH3679" t="s">
        <v>20243</v>
      </c>
      <c r="AI3679" t="s">
        <v>4655</v>
      </c>
      <c r="AJ3679" t="s">
        <v>3364</v>
      </c>
      <c r="AK3679" t="s">
        <v>20244</v>
      </c>
      <c r="AL3679" s="13" t="s">
        <v>1892</v>
      </c>
      <c r="AM3679" s="14">
        <v>1</v>
      </c>
      <c r="AN3679" s="15" t="s">
        <v>794</v>
      </c>
    </row>
    <row r="3680" spans="1:40" x14ac:dyDescent="0.3">
      <c r="A3680" s="10" t="str">
        <f>HYPERLINK("http://www.washoecounty.gov/assessor/cama/?parid=084-101-02&amp;CardNumber=1","084-101-02")</f>
        <v>084-101-02</v>
      </c>
      <c r="B3680" t="s">
        <v>4655</v>
      </c>
      <c r="C3680" t="s">
        <v>20245</v>
      </c>
      <c r="D3680" s="1">
        <v>40281</v>
      </c>
      <c r="E3680" s="2">
        <v>428761</v>
      </c>
      <c r="F3680" t="s">
        <v>4201</v>
      </c>
      <c r="G3680" s="17" t="str">
        <f>HYPERLINK("https://www.washoecounty.gov/assessor/cama/?command=sales&amp;parid=08410102","3870269")</f>
        <v>3870269</v>
      </c>
      <c r="H3680" t="s">
        <v>5399</v>
      </c>
      <c r="I3680">
        <v>0</v>
      </c>
      <c r="J3680">
        <v>0</v>
      </c>
      <c r="K3680" t="s">
        <v>4655</v>
      </c>
      <c r="L3680" t="s">
        <v>4655</v>
      </c>
      <c r="M3680" s="2">
        <v>0</v>
      </c>
      <c r="N3680" t="s">
        <v>4655</v>
      </c>
      <c r="O3680">
        <v>0</v>
      </c>
      <c r="P3680">
        <v>0</v>
      </c>
      <c r="Q3680">
        <v>0</v>
      </c>
      <c r="R3680" t="s">
        <v>4655</v>
      </c>
      <c r="S3680" t="s">
        <v>4655</v>
      </c>
      <c r="T3680" t="s">
        <v>4655</v>
      </c>
      <c r="U3680" t="s">
        <v>4655</v>
      </c>
      <c r="V3680" s="2">
        <v>0</v>
      </c>
      <c r="W3680" t="s">
        <v>4655</v>
      </c>
      <c r="X3680" s="2">
        <v>0</v>
      </c>
      <c r="Y3680">
        <v>12</v>
      </c>
      <c r="Z3680" t="s">
        <v>3668</v>
      </c>
      <c r="AA3680" s="3">
        <v>374.32199096679602</v>
      </c>
      <c r="AB3680" t="s">
        <v>20246</v>
      </c>
      <c r="AC3680" t="s">
        <v>4575</v>
      </c>
      <c r="AD3680" t="s">
        <v>20247</v>
      </c>
      <c r="AE3680" t="s">
        <v>20248</v>
      </c>
      <c r="AF3680" t="s">
        <v>4809</v>
      </c>
      <c r="AG3680" t="s">
        <v>4564</v>
      </c>
      <c r="AH3680" t="s">
        <v>3898</v>
      </c>
      <c r="AI3680" t="s">
        <v>4655</v>
      </c>
      <c r="AJ3680" t="s">
        <v>4655</v>
      </c>
      <c r="AK3680" t="s">
        <v>20249</v>
      </c>
      <c r="AL3680" s="13" t="s">
        <v>1892</v>
      </c>
      <c r="AM3680">
        <v>0</v>
      </c>
      <c r="AN3680" s="15" t="s">
        <v>20250</v>
      </c>
    </row>
    <row r="3681" spans="1:40" x14ac:dyDescent="0.3">
      <c r="A3681" s="10" t="str">
        <f>HYPERLINK("http://www.washoecounty.gov/assessor/cama/?parid=084-101-03&amp;CardNumber=1","084-101-03")</f>
        <v>084-101-03</v>
      </c>
      <c r="B3681" t="s">
        <v>4655</v>
      </c>
      <c r="C3681" t="s">
        <v>314</v>
      </c>
      <c r="D3681" s="1">
        <v>40281</v>
      </c>
      <c r="E3681" s="2">
        <v>428761</v>
      </c>
      <c r="F3681" t="s">
        <v>4201</v>
      </c>
      <c r="G3681" s="17" t="str">
        <f>HYPERLINK("https://www.washoecounty.gov/assessor/cama/?command=sales&amp;parid=08410103","3870269")</f>
        <v>3870269</v>
      </c>
      <c r="H3681" t="s">
        <v>4827</v>
      </c>
      <c r="I3681">
        <v>0</v>
      </c>
      <c r="J3681">
        <v>0</v>
      </c>
      <c r="K3681" t="s">
        <v>4655</v>
      </c>
      <c r="L3681" t="s">
        <v>4655</v>
      </c>
      <c r="M3681" s="2">
        <v>0</v>
      </c>
      <c r="N3681" t="s">
        <v>4655</v>
      </c>
      <c r="O3681">
        <v>0</v>
      </c>
      <c r="P3681">
        <v>0</v>
      </c>
      <c r="Q3681">
        <v>0</v>
      </c>
      <c r="R3681" t="s">
        <v>4655</v>
      </c>
      <c r="S3681" t="s">
        <v>4655</v>
      </c>
      <c r="T3681" t="s">
        <v>4655</v>
      </c>
      <c r="U3681" t="s">
        <v>4655</v>
      </c>
      <c r="V3681" s="2">
        <v>0</v>
      </c>
      <c r="W3681" t="s">
        <v>4655</v>
      </c>
      <c r="X3681" s="2">
        <v>0</v>
      </c>
      <c r="Y3681">
        <v>12</v>
      </c>
      <c r="Z3681" t="s">
        <v>3668</v>
      </c>
      <c r="AA3681" s="3">
        <v>52.431999206542898</v>
      </c>
      <c r="AB3681" t="s">
        <v>20246</v>
      </c>
      <c r="AC3681" t="s">
        <v>4575</v>
      </c>
      <c r="AD3681" t="s">
        <v>20247</v>
      </c>
      <c r="AE3681" t="s">
        <v>20248</v>
      </c>
      <c r="AF3681" t="s">
        <v>4809</v>
      </c>
      <c r="AG3681" t="s">
        <v>4564</v>
      </c>
      <c r="AH3681" t="s">
        <v>3898</v>
      </c>
      <c r="AI3681" t="s">
        <v>20251</v>
      </c>
      <c r="AJ3681" t="s">
        <v>4655</v>
      </c>
      <c r="AK3681" t="s">
        <v>20252</v>
      </c>
      <c r="AL3681" s="13" t="s">
        <v>1892</v>
      </c>
      <c r="AM3681">
        <v>0</v>
      </c>
      <c r="AN3681" s="15" t="s">
        <v>20250</v>
      </c>
    </row>
    <row r="3682" spans="1:40" x14ac:dyDescent="0.3">
      <c r="A3682" s="10" t="str">
        <f>HYPERLINK("http://www.washoecounty.gov/assessor/cama/?parid=084-171-01&amp;CardNumber=1","084-171-01")</f>
        <v>084-171-01</v>
      </c>
      <c r="B3682" t="s">
        <v>4655</v>
      </c>
      <c r="C3682" t="s">
        <v>314</v>
      </c>
      <c r="D3682" s="1">
        <v>40281</v>
      </c>
      <c r="E3682" s="2">
        <v>428761</v>
      </c>
      <c r="F3682" t="s">
        <v>4201</v>
      </c>
      <c r="G3682" s="17" t="str">
        <f>HYPERLINK("https://www.washoecounty.gov/assessor/cama/?command=sales&amp;parid=08417101","3870269")</f>
        <v>3870269</v>
      </c>
      <c r="H3682" t="s">
        <v>3831</v>
      </c>
      <c r="I3682">
        <v>0</v>
      </c>
      <c r="J3682">
        <v>0</v>
      </c>
      <c r="K3682" t="s">
        <v>4655</v>
      </c>
      <c r="L3682" t="s">
        <v>4655</v>
      </c>
      <c r="M3682" s="2">
        <v>0</v>
      </c>
      <c r="N3682" t="s">
        <v>4655</v>
      </c>
      <c r="O3682">
        <v>0</v>
      </c>
      <c r="P3682">
        <v>0</v>
      </c>
      <c r="Q3682">
        <v>0</v>
      </c>
      <c r="R3682" t="s">
        <v>4655</v>
      </c>
      <c r="S3682" t="s">
        <v>4655</v>
      </c>
      <c r="T3682" t="s">
        <v>4655</v>
      </c>
      <c r="U3682" t="s">
        <v>4655</v>
      </c>
      <c r="V3682" s="2">
        <v>0</v>
      </c>
      <c r="W3682" t="s">
        <v>4655</v>
      </c>
      <c r="X3682" s="2">
        <v>0</v>
      </c>
      <c r="Y3682">
        <v>12</v>
      </c>
      <c r="Z3682" t="s">
        <v>3668</v>
      </c>
      <c r="AA3682" s="3">
        <v>19.368999481201101</v>
      </c>
      <c r="AB3682" t="s">
        <v>20246</v>
      </c>
      <c r="AC3682" t="s">
        <v>4575</v>
      </c>
      <c r="AD3682" t="s">
        <v>20247</v>
      </c>
      <c r="AE3682" t="s">
        <v>20248</v>
      </c>
      <c r="AF3682" t="s">
        <v>4809</v>
      </c>
      <c r="AG3682" t="s">
        <v>4564</v>
      </c>
      <c r="AH3682" t="s">
        <v>3898</v>
      </c>
      <c r="AI3682" t="s">
        <v>20251</v>
      </c>
      <c r="AJ3682" t="s">
        <v>4655</v>
      </c>
      <c r="AK3682" t="s">
        <v>20253</v>
      </c>
      <c r="AL3682" s="13" t="s">
        <v>1892</v>
      </c>
      <c r="AM3682">
        <v>0</v>
      </c>
      <c r="AN3682" s="15" t="s">
        <v>20250</v>
      </c>
    </row>
    <row r="3683" spans="1:40" x14ac:dyDescent="0.3">
      <c r="A3683" s="10" t="str">
        <f>HYPERLINK("http://www.washoecounty.gov/assessor/cama/?parid=084-220-46&amp;CardNumber=1","084-220-46")</f>
        <v>084-220-46</v>
      </c>
      <c r="B3683" t="s">
        <v>4655</v>
      </c>
      <c r="C3683" t="s">
        <v>20254</v>
      </c>
      <c r="D3683" s="1">
        <v>40532</v>
      </c>
      <c r="E3683" s="2">
        <v>15000</v>
      </c>
      <c r="F3683" t="s">
        <v>4187</v>
      </c>
      <c r="G3683" s="17" t="str">
        <f>HYPERLINK("https://www.washoecounty.gov/assessor/cama/?command=sales&amp;parid=08422046","3955595")</f>
        <v>3955595</v>
      </c>
      <c r="H3683" t="s">
        <v>20255</v>
      </c>
      <c r="I3683">
        <v>0</v>
      </c>
      <c r="J3683">
        <v>0</v>
      </c>
      <c r="K3683" t="s">
        <v>4655</v>
      </c>
      <c r="L3683" t="s">
        <v>4655</v>
      </c>
      <c r="M3683" s="2">
        <v>0</v>
      </c>
      <c r="N3683" t="s">
        <v>4655</v>
      </c>
      <c r="O3683">
        <v>0</v>
      </c>
      <c r="P3683">
        <v>0</v>
      </c>
      <c r="Q3683">
        <v>0</v>
      </c>
      <c r="R3683" t="s">
        <v>4655</v>
      </c>
      <c r="S3683" t="s">
        <v>4655</v>
      </c>
      <c r="T3683" t="s">
        <v>4655</v>
      </c>
      <c r="U3683" t="s">
        <v>4655</v>
      </c>
      <c r="V3683" s="2">
        <v>0</v>
      </c>
      <c r="W3683" t="s">
        <v>4655</v>
      </c>
      <c r="X3683" s="2">
        <v>0</v>
      </c>
      <c r="Y3683">
        <v>12</v>
      </c>
      <c r="Z3683" t="s">
        <v>5508</v>
      </c>
      <c r="AA3683" s="3">
        <v>0.36701101064682001</v>
      </c>
      <c r="AB3683" t="s">
        <v>20256</v>
      </c>
      <c r="AC3683" t="s">
        <v>4562</v>
      </c>
      <c r="AD3683" t="s">
        <v>20257</v>
      </c>
      <c r="AE3683" t="s">
        <v>4655</v>
      </c>
      <c r="AF3683" t="s">
        <v>20258</v>
      </c>
      <c r="AG3683" t="s">
        <v>4564</v>
      </c>
      <c r="AH3683">
        <v>89408</v>
      </c>
      <c r="AI3683" t="s">
        <v>20259</v>
      </c>
      <c r="AJ3683" t="s">
        <v>20260</v>
      </c>
      <c r="AK3683" t="s">
        <v>20261</v>
      </c>
      <c r="AL3683" s="13" t="s">
        <v>1892</v>
      </c>
      <c r="AM3683" s="14">
        <v>0</v>
      </c>
      <c r="AN3683" s="15" t="s">
        <v>585</v>
      </c>
    </row>
    <row r="3684" spans="1:40" x14ac:dyDescent="0.3">
      <c r="A3684" s="10" t="str">
        <f>HYPERLINK("http://www.washoecounty.gov/assessor/cama/?parid=084-282-25&amp;CardNumber=1","084-282-25")</f>
        <v>084-282-25</v>
      </c>
      <c r="B3684" t="s">
        <v>4655</v>
      </c>
      <c r="C3684" t="s">
        <v>20262</v>
      </c>
      <c r="D3684" s="1">
        <v>40413</v>
      </c>
      <c r="E3684" s="2">
        <v>250000</v>
      </c>
      <c r="F3684" t="s">
        <v>4567</v>
      </c>
      <c r="G3684" s="17" t="str">
        <f>HYPERLINK("https://www.washoecounty.gov/assessor/cama/?command=sales&amp;parid=08428225","3914691")</f>
        <v>3914691</v>
      </c>
      <c r="H3684" t="s">
        <v>20263</v>
      </c>
      <c r="I3684">
        <v>1979</v>
      </c>
      <c r="J3684">
        <v>1979</v>
      </c>
      <c r="K3684" t="s">
        <v>1243</v>
      </c>
      <c r="L3684" t="s">
        <v>4655</v>
      </c>
      <c r="M3684" s="2">
        <v>0</v>
      </c>
      <c r="N3684" t="s">
        <v>4655</v>
      </c>
      <c r="O3684">
        <v>0</v>
      </c>
      <c r="P3684">
        <v>0</v>
      </c>
      <c r="Q3684">
        <v>0</v>
      </c>
      <c r="R3684" t="s">
        <v>4655</v>
      </c>
      <c r="S3684" t="s">
        <v>4655</v>
      </c>
      <c r="T3684" t="s">
        <v>4655</v>
      </c>
      <c r="U3684" t="s">
        <v>4655</v>
      </c>
      <c r="V3684" s="2">
        <v>0</v>
      </c>
      <c r="W3684" t="s">
        <v>4655</v>
      </c>
      <c r="X3684" s="2">
        <v>0</v>
      </c>
      <c r="Y3684">
        <v>23</v>
      </c>
      <c r="Z3684" t="s">
        <v>818</v>
      </c>
      <c r="AA3684" s="3">
        <v>8.6990003585815394</v>
      </c>
      <c r="AB3684" t="s">
        <v>20264</v>
      </c>
      <c r="AC3684" t="s">
        <v>4575</v>
      </c>
      <c r="AD3684" t="s">
        <v>20265</v>
      </c>
      <c r="AE3684" t="s">
        <v>4655</v>
      </c>
      <c r="AF3684" t="s">
        <v>4563</v>
      </c>
      <c r="AG3684" t="s">
        <v>4564</v>
      </c>
      <c r="AH3684">
        <v>89510</v>
      </c>
      <c r="AI3684" t="s">
        <v>20266</v>
      </c>
      <c r="AJ3684" t="s">
        <v>20267</v>
      </c>
      <c r="AK3684" t="s">
        <v>20268</v>
      </c>
      <c r="AL3684" s="13" t="s">
        <v>1892</v>
      </c>
      <c r="AM3684" s="14">
        <v>1</v>
      </c>
      <c r="AN3684" s="15" t="s">
        <v>2160</v>
      </c>
    </row>
    <row r="3685" spans="1:40" x14ac:dyDescent="0.3">
      <c r="A3685" s="10" t="str">
        <f>HYPERLINK("http://www.washoecounty.gov/assessor/cama/?parid=084-351-24&amp;CardNumber=1","084-351-24")</f>
        <v>084-351-24</v>
      </c>
      <c r="B3685" t="s">
        <v>4655</v>
      </c>
      <c r="C3685" t="s">
        <v>20269</v>
      </c>
      <c r="D3685" s="1">
        <v>40343</v>
      </c>
      <c r="E3685" s="2">
        <v>275000</v>
      </c>
      <c r="F3685" t="s">
        <v>4567</v>
      </c>
      <c r="G3685" s="17" t="str">
        <f>HYPERLINK("https://www.washoecounty.gov/assessor/cama/?command=sales&amp;parid=08435124","3891374")</f>
        <v>3891374</v>
      </c>
      <c r="H3685" t="s">
        <v>20270</v>
      </c>
      <c r="I3685">
        <v>1994</v>
      </c>
      <c r="J3685">
        <v>1994</v>
      </c>
      <c r="K3685" t="s">
        <v>4554</v>
      </c>
      <c r="L3685" t="s">
        <v>4555</v>
      </c>
      <c r="M3685" s="2">
        <v>2299</v>
      </c>
      <c r="N3685" t="s">
        <v>3887</v>
      </c>
      <c r="O3685">
        <v>3</v>
      </c>
      <c r="P3685">
        <v>2</v>
      </c>
      <c r="Q3685">
        <v>1</v>
      </c>
      <c r="R3685" t="s">
        <v>4557</v>
      </c>
      <c r="S3685" t="s">
        <v>4558</v>
      </c>
      <c r="T3685" t="s">
        <v>4559</v>
      </c>
      <c r="U3685" t="s">
        <v>4560</v>
      </c>
      <c r="V3685" s="2">
        <v>792</v>
      </c>
      <c r="W3685" t="s">
        <v>4655</v>
      </c>
      <c r="X3685" s="2">
        <v>0</v>
      </c>
      <c r="Y3685">
        <v>20</v>
      </c>
      <c r="Z3685" t="s">
        <v>3699</v>
      </c>
      <c r="AA3685" s="3">
        <v>1.0989898443221999</v>
      </c>
      <c r="AB3685" t="s">
        <v>20271</v>
      </c>
      <c r="AC3685" t="s">
        <v>4562</v>
      </c>
      <c r="AD3685" t="s">
        <v>20272</v>
      </c>
      <c r="AE3685" t="s">
        <v>4655</v>
      </c>
      <c r="AF3685" t="s">
        <v>4809</v>
      </c>
      <c r="AG3685" t="s">
        <v>4564</v>
      </c>
      <c r="AH3685" t="s">
        <v>1605</v>
      </c>
      <c r="AI3685" t="s">
        <v>20273</v>
      </c>
      <c r="AJ3685" t="s">
        <v>20274</v>
      </c>
      <c r="AK3685" t="s">
        <v>20275</v>
      </c>
      <c r="AL3685" s="13" t="s">
        <v>1892</v>
      </c>
      <c r="AM3685">
        <v>1</v>
      </c>
      <c r="AN3685" s="15" t="s">
        <v>3662</v>
      </c>
    </row>
    <row r="3686" spans="1:40" x14ac:dyDescent="0.3">
      <c r="A3686" s="10" t="str">
        <f>HYPERLINK("http://www.washoecounty.gov/assessor/cama/?parid=084-351-26&amp;CardNumber=1","084-351-26")</f>
        <v>084-351-26</v>
      </c>
      <c r="B3686" t="s">
        <v>4655</v>
      </c>
      <c r="C3686" t="s">
        <v>20276</v>
      </c>
      <c r="D3686" s="1">
        <v>40353</v>
      </c>
      <c r="E3686" s="2">
        <v>313000</v>
      </c>
      <c r="F3686" t="s">
        <v>4567</v>
      </c>
      <c r="G3686" s="17" t="str">
        <f>HYPERLINK("https://www.washoecounty.gov/assessor/cama/?command=sales&amp;parid=08435126","3894999")</f>
        <v>3894999</v>
      </c>
      <c r="H3686" t="s">
        <v>20277</v>
      </c>
      <c r="I3686">
        <v>1992</v>
      </c>
      <c r="J3686">
        <v>1992</v>
      </c>
      <c r="K3686" t="s">
        <v>4554</v>
      </c>
      <c r="L3686" t="s">
        <v>3974</v>
      </c>
      <c r="M3686" s="2">
        <v>3068</v>
      </c>
      <c r="N3686" t="s">
        <v>3887</v>
      </c>
      <c r="O3686">
        <v>4</v>
      </c>
      <c r="P3686">
        <v>3</v>
      </c>
      <c r="Q3686">
        <v>0</v>
      </c>
      <c r="R3686" t="s">
        <v>4557</v>
      </c>
      <c r="S3686" t="s">
        <v>4898</v>
      </c>
      <c r="T3686" t="s">
        <v>4559</v>
      </c>
      <c r="U3686" t="s">
        <v>162</v>
      </c>
      <c r="V3686" s="2">
        <v>2016</v>
      </c>
      <c r="W3686" t="s">
        <v>4655</v>
      </c>
      <c r="X3686" s="2">
        <v>0</v>
      </c>
      <c r="Y3686">
        <v>20</v>
      </c>
      <c r="Z3686" t="s">
        <v>3699</v>
      </c>
      <c r="AA3686" s="3">
        <v>1.1769973039627</v>
      </c>
      <c r="AB3686" t="s">
        <v>20278</v>
      </c>
      <c r="AC3686" t="s">
        <v>4562</v>
      </c>
      <c r="AD3686" t="s">
        <v>20276</v>
      </c>
      <c r="AE3686" t="s">
        <v>4655</v>
      </c>
      <c r="AF3686" t="s">
        <v>5201</v>
      </c>
      <c r="AG3686" t="s">
        <v>4564</v>
      </c>
      <c r="AH3686" t="s">
        <v>1605</v>
      </c>
      <c r="AI3686" t="s">
        <v>20279</v>
      </c>
      <c r="AJ3686" t="s">
        <v>20280</v>
      </c>
      <c r="AK3686" t="s">
        <v>20281</v>
      </c>
      <c r="AL3686" s="13" t="s">
        <v>1892</v>
      </c>
      <c r="AM3686">
        <v>1</v>
      </c>
      <c r="AN3686" s="15" t="s">
        <v>3662</v>
      </c>
    </row>
    <row r="3687" spans="1:40" x14ac:dyDescent="0.3">
      <c r="A3687" s="10" t="str">
        <f>HYPERLINK("http://www.washoecounty.gov/assessor/cama/?parid=084-351-28&amp;CardNumber=1","084-351-28")</f>
        <v>084-351-28</v>
      </c>
      <c r="B3687" t="s">
        <v>4655</v>
      </c>
      <c r="C3687" t="s">
        <v>20282</v>
      </c>
      <c r="D3687" s="1">
        <v>40246</v>
      </c>
      <c r="E3687" s="2">
        <v>299000</v>
      </c>
      <c r="F3687" t="s">
        <v>4567</v>
      </c>
      <c r="G3687" s="17" t="str">
        <f>HYPERLINK("https://www.washoecounty.gov/assessor/cama/?command=sales&amp;parid=08435128","3857487")</f>
        <v>3857487</v>
      </c>
      <c r="H3687" t="s">
        <v>20283</v>
      </c>
      <c r="I3687">
        <v>1993</v>
      </c>
      <c r="J3687">
        <v>1993</v>
      </c>
      <c r="K3687" t="s">
        <v>4554</v>
      </c>
      <c r="L3687" t="s">
        <v>3886</v>
      </c>
      <c r="M3687" s="2">
        <v>2988</v>
      </c>
      <c r="N3687" t="s">
        <v>3887</v>
      </c>
      <c r="O3687">
        <v>4</v>
      </c>
      <c r="P3687">
        <v>3</v>
      </c>
      <c r="Q3687">
        <v>0</v>
      </c>
      <c r="R3687" t="s">
        <v>5281</v>
      </c>
      <c r="S3687" t="s">
        <v>4135</v>
      </c>
      <c r="T3687" t="s">
        <v>2704</v>
      </c>
      <c r="U3687" t="s">
        <v>4560</v>
      </c>
      <c r="V3687" s="2">
        <v>774</v>
      </c>
      <c r="W3687" t="s">
        <v>4655</v>
      </c>
      <c r="X3687" s="2">
        <v>0</v>
      </c>
      <c r="Y3687">
        <v>20</v>
      </c>
      <c r="Z3687" t="s">
        <v>3699</v>
      </c>
      <c r="AA3687" s="3">
        <v>1.31499075889587</v>
      </c>
      <c r="AB3687" t="s">
        <v>20284</v>
      </c>
      <c r="AC3687" t="s">
        <v>4562</v>
      </c>
      <c r="AD3687" t="s">
        <v>20285</v>
      </c>
      <c r="AE3687" t="s">
        <v>4655</v>
      </c>
      <c r="AF3687" t="s">
        <v>3895</v>
      </c>
      <c r="AG3687" t="s">
        <v>4584</v>
      </c>
      <c r="AH3687" t="s">
        <v>5509</v>
      </c>
      <c r="AI3687" t="s">
        <v>20286</v>
      </c>
      <c r="AJ3687" t="s">
        <v>20287</v>
      </c>
      <c r="AK3687" t="s">
        <v>20288</v>
      </c>
      <c r="AL3687" s="13" t="s">
        <v>1892</v>
      </c>
      <c r="AM3687" s="14">
        <v>1</v>
      </c>
      <c r="AN3687" s="15" t="s">
        <v>3662</v>
      </c>
    </row>
    <row r="3688" spans="1:40" x14ac:dyDescent="0.3">
      <c r="A3688" s="10" t="str">
        <f>HYPERLINK("http://www.washoecounty.gov/assessor/cama/?parid=084-362-02&amp;CardNumber=1","084-362-02")</f>
        <v>084-362-02</v>
      </c>
      <c r="B3688" t="s">
        <v>4655</v>
      </c>
      <c r="C3688" t="s">
        <v>20289</v>
      </c>
      <c r="D3688" s="1">
        <v>40263</v>
      </c>
      <c r="E3688" s="2">
        <v>50000</v>
      </c>
      <c r="F3688" t="s">
        <v>4553</v>
      </c>
      <c r="G3688" s="17" t="str">
        <f>HYPERLINK("https://www.washoecounty.gov/assessor/cama/?command=sales&amp;parid=08436202","3864484")</f>
        <v>3864484</v>
      </c>
      <c r="H3688" t="s">
        <v>20290</v>
      </c>
      <c r="I3688">
        <v>1995</v>
      </c>
      <c r="J3688">
        <v>1995</v>
      </c>
      <c r="K3688" t="s">
        <v>4554</v>
      </c>
      <c r="L3688" t="s">
        <v>4555</v>
      </c>
      <c r="M3688" s="2">
        <v>1030</v>
      </c>
      <c r="N3688" t="s">
        <v>4556</v>
      </c>
      <c r="O3688">
        <v>2</v>
      </c>
      <c r="P3688">
        <v>2</v>
      </c>
      <c r="Q3688">
        <v>0</v>
      </c>
      <c r="R3688" t="s">
        <v>4557</v>
      </c>
      <c r="S3688" t="s">
        <v>4558</v>
      </c>
      <c r="T3688" t="s">
        <v>4559</v>
      </c>
      <c r="U3688" t="s">
        <v>4560</v>
      </c>
      <c r="V3688" s="2">
        <v>403</v>
      </c>
      <c r="W3688" t="s">
        <v>4655</v>
      </c>
      <c r="X3688" s="2">
        <v>0</v>
      </c>
      <c r="Y3688">
        <v>20</v>
      </c>
      <c r="Z3688" t="s">
        <v>5508</v>
      </c>
      <c r="AA3688" s="3">
        <v>0.27601009607315102</v>
      </c>
      <c r="AB3688" t="s">
        <v>20291</v>
      </c>
      <c r="AC3688" t="s">
        <v>4575</v>
      </c>
      <c r="AD3688" t="s">
        <v>20292</v>
      </c>
      <c r="AE3688" t="s">
        <v>4655</v>
      </c>
      <c r="AF3688" t="s">
        <v>20293</v>
      </c>
      <c r="AG3688" t="s">
        <v>4584</v>
      </c>
      <c r="AH3688">
        <v>96054</v>
      </c>
      <c r="AI3688" t="s">
        <v>20294</v>
      </c>
      <c r="AJ3688" t="s">
        <v>4655</v>
      </c>
      <c r="AK3688" t="s">
        <v>20295</v>
      </c>
      <c r="AL3688" s="13" t="s">
        <v>1892</v>
      </c>
      <c r="AM3688">
        <v>1</v>
      </c>
      <c r="AN3688" s="15" t="s">
        <v>346</v>
      </c>
    </row>
    <row r="3689" spans="1:40" x14ac:dyDescent="0.3">
      <c r="A3689" s="10" t="str">
        <f>HYPERLINK("http://www.washoecounty.gov/assessor/cama/?parid=084-421-03&amp;CardNumber=1","084-421-03")</f>
        <v>084-421-03</v>
      </c>
      <c r="B3689" t="s">
        <v>4655</v>
      </c>
      <c r="C3689" t="s">
        <v>20296</v>
      </c>
      <c r="D3689" s="1">
        <v>40389</v>
      </c>
      <c r="E3689" s="2">
        <v>445000</v>
      </c>
      <c r="F3689" t="s">
        <v>4567</v>
      </c>
      <c r="G3689" s="17" t="str">
        <f>HYPERLINK("https://www.washoecounty.gov/assessor/cama/?command=sales&amp;parid=08442103","3907215")</f>
        <v>3907215</v>
      </c>
      <c r="H3689" t="s">
        <v>4218</v>
      </c>
      <c r="I3689">
        <v>2009</v>
      </c>
      <c r="J3689">
        <v>2009</v>
      </c>
      <c r="K3689" t="s">
        <v>4554</v>
      </c>
      <c r="L3689" t="s">
        <v>4555</v>
      </c>
      <c r="M3689" s="2">
        <v>3143</v>
      </c>
      <c r="N3689" t="s">
        <v>3887</v>
      </c>
      <c r="O3689">
        <v>4</v>
      </c>
      <c r="P3689">
        <v>3</v>
      </c>
      <c r="Q3689">
        <v>0</v>
      </c>
      <c r="R3689" t="s">
        <v>5281</v>
      </c>
      <c r="S3689" t="s">
        <v>4898</v>
      </c>
      <c r="T3689" t="s">
        <v>2704</v>
      </c>
      <c r="U3689" t="s">
        <v>4560</v>
      </c>
      <c r="V3689" s="2">
        <v>721</v>
      </c>
      <c r="W3689" t="s">
        <v>4655</v>
      </c>
      <c r="X3689" s="2">
        <v>0</v>
      </c>
      <c r="Y3689">
        <v>20</v>
      </c>
      <c r="Z3689" t="s">
        <v>1604</v>
      </c>
      <c r="AA3689" s="3">
        <v>0.29864555597305298</v>
      </c>
      <c r="AB3689" t="s">
        <v>20297</v>
      </c>
      <c r="AC3689" t="s">
        <v>4562</v>
      </c>
      <c r="AD3689" t="s">
        <v>20296</v>
      </c>
      <c r="AE3689" t="s">
        <v>4655</v>
      </c>
      <c r="AF3689" t="s">
        <v>5201</v>
      </c>
      <c r="AG3689" t="s">
        <v>4564</v>
      </c>
      <c r="AH3689" t="s">
        <v>1605</v>
      </c>
      <c r="AI3689" t="s">
        <v>4655</v>
      </c>
      <c r="AJ3689" t="s">
        <v>5029</v>
      </c>
      <c r="AK3689" t="s">
        <v>20298</v>
      </c>
      <c r="AL3689" s="13" t="s">
        <v>1899</v>
      </c>
      <c r="AM3689" s="14">
        <v>1</v>
      </c>
      <c r="AN3689" s="15" t="s">
        <v>2220</v>
      </c>
    </row>
    <row r="3690" spans="1:40" x14ac:dyDescent="0.3">
      <c r="A3690" s="10" t="str">
        <f>HYPERLINK("http://www.washoecounty.gov/assessor/cama/?parid=084-421-04&amp;CardNumber=1","084-421-04")</f>
        <v>084-421-04</v>
      </c>
      <c r="B3690" t="s">
        <v>4655</v>
      </c>
      <c r="C3690" t="s">
        <v>20299</v>
      </c>
      <c r="D3690" s="1">
        <v>40421</v>
      </c>
      <c r="E3690" s="2">
        <v>404466</v>
      </c>
      <c r="F3690" t="s">
        <v>3259</v>
      </c>
      <c r="G3690" s="17" t="str">
        <f>HYPERLINK("https://www.washoecounty.gov/assessor/cama/?command=sales&amp;parid=08442104","3917155")</f>
        <v>3917155</v>
      </c>
      <c r="H3690" t="s">
        <v>4218</v>
      </c>
      <c r="I3690">
        <v>2010</v>
      </c>
      <c r="J3690">
        <v>2011</v>
      </c>
      <c r="K3690" t="s">
        <v>4554</v>
      </c>
      <c r="L3690" t="s">
        <v>4555</v>
      </c>
      <c r="M3690" s="2">
        <v>2543</v>
      </c>
      <c r="N3690" t="s">
        <v>3887</v>
      </c>
      <c r="O3690">
        <v>4</v>
      </c>
      <c r="P3690">
        <v>3</v>
      </c>
      <c r="Q3690">
        <v>0</v>
      </c>
      <c r="R3690" t="s">
        <v>5281</v>
      </c>
      <c r="S3690" t="s">
        <v>4898</v>
      </c>
      <c r="T3690" t="s">
        <v>2704</v>
      </c>
      <c r="U3690" t="s">
        <v>4560</v>
      </c>
      <c r="V3690" s="2">
        <v>768</v>
      </c>
      <c r="W3690" t="s">
        <v>4655</v>
      </c>
      <c r="X3690" s="2">
        <v>0</v>
      </c>
      <c r="Y3690">
        <v>20</v>
      </c>
      <c r="Z3690" t="s">
        <v>1604</v>
      </c>
      <c r="AA3690" s="3">
        <v>0.30211204290389998</v>
      </c>
      <c r="AB3690" t="s">
        <v>20300</v>
      </c>
      <c r="AC3690" t="s">
        <v>4562</v>
      </c>
      <c r="AD3690" t="s">
        <v>20299</v>
      </c>
      <c r="AE3690" t="s">
        <v>4655</v>
      </c>
      <c r="AF3690" t="s">
        <v>5201</v>
      </c>
      <c r="AG3690" t="s">
        <v>4564</v>
      </c>
      <c r="AH3690" t="s">
        <v>1605</v>
      </c>
      <c r="AI3690" t="s">
        <v>885</v>
      </c>
      <c r="AJ3690" t="s">
        <v>5029</v>
      </c>
      <c r="AK3690" t="s">
        <v>20301</v>
      </c>
      <c r="AL3690" s="13" t="s">
        <v>1899</v>
      </c>
      <c r="AM3690" s="14">
        <v>1</v>
      </c>
      <c r="AN3690" s="15" t="s">
        <v>2220</v>
      </c>
    </row>
    <row r="3691" spans="1:40" x14ac:dyDescent="0.3">
      <c r="A3691" s="10" t="str">
        <f>HYPERLINK("http://www.washoecounty.gov/assessor/cama/?parid=084-421-06&amp;CardNumber=1","084-421-06")</f>
        <v>084-421-06</v>
      </c>
      <c r="B3691" t="s">
        <v>4655</v>
      </c>
      <c r="C3691" t="s">
        <v>20302</v>
      </c>
      <c r="D3691" s="1">
        <v>40291</v>
      </c>
      <c r="E3691" s="2">
        <v>380000</v>
      </c>
      <c r="F3691" t="s">
        <v>4567</v>
      </c>
      <c r="G3691" s="17" t="str">
        <f>HYPERLINK("https://www.washoecounty.gov/assessor/cama/?command=sales&amp;parid=08442106","3874083")</f>
        <v>3874083</v>
      </c>
      <c r="H3691" t="s">
        <v>4218</v>
      </c>
      <c r="I3691">
        <v>2005</v>
      </c>
      <c r="J3691">
        <v>2005</v>
      </c>
      <c r="K3691" t="s">
        <v>4554</v>
      </c>
      <c r="L3691" t="s">
        <v>4555</v>
      </c>
      <c r="M3691" s="2">
        <v>2542</v>
      </c>
      <c r="N3691" t="s">
        <v>3887</v>
      </c>
      <c r="O3691">
        <v>3</v>
      </c>
      <c r="P3691">
        <v>3</v>
      </c>
      <c r="Q3691">
        <v>0</v>
      </c>
      <c r="R3691" t="s">
        <v>5281</v>
      </c>
      <c r="S3691" t="s">
        <v>4898</v>
      </c>
      <c r="T3691" t="s">
        <v>2704</v>
      </c>
      <c r="U3691" t="s">
        <v>4560</v>
      </c>
      <c r="V3691" s="2">
        <v>880</v>
      </c>
      <c r="W3691" t="s">
        <v>4655</v>
      </c>
      <c r="X3691" s="2">
        <v>0</v>
      </c>
      <c r="Y3691">
        <v>20</v>
      </c>
      <c r="Z3691" t="s">
        <v>1604</v>
      </c>
      <c r="AA3691" s="3">
        <v>0.47754821181297302</v>
      </c>
      <c r="AB3691" t="s">
        <v>20303</v>
      </c>
      <c r="AC3691" t="s">
        <v>4575</v>
      </c>
      <c r="AD3691" t="s">
        <v>20304</v>
      </c>
      <c r="AE3691" t="s">
        <v>4655</v>
      </c>
      <c r="AF3691" t="s">
        <v>5201</v>
      </c>
      <c r="AG3691" t="s">
        <v>4564</v>
      </c>
      <c r="AH3691" t="s">
        <v>1605</v>
      </c>
      <c r="AI3691" t="s">
        <v>20305</v>
      </c>
      <c r="AJ3691" t="s">
        <v>5029</v>
      </c>
      <c r="AK3691" t="s">
        <v>20306</v>
      </c>
      <c r="AL3691" s="13" t="s">
        <v>1899</v>
      </c>
      <c r="AM3691">
        <v>1</v>
      </c>
      <c r="AN3691" s="15" t="s">
        <v>2220</v>
      </c>
    </row>
    <row r="3692" spans="1:40" x14ac:dyDescent="0.3">
      <c r="A3692" s="10" t="str">
        <f>HYPERLINK("http://www.washoecounty.gov/assessor/cama/?parid=084-421-08&amp;CardNumber=1","084-421-08")</f>
        <v>084-421-08</v>
      </c>
      <c r="B3692" t="s">
        <v>4655</v>
      </c>
      <c r="C3692" t="s">
        <v>20307</v>
      </c>
      <c r="D3692" s="1">
        <v>40491</v>
      </c>
      <c r="E3692" s="2">
        <v>438500</v>
      </c>
      <c r="F3692" t="s">
        <v>4567</v>
      </c>
      <c r="G3692" s="17" t="str">
        <f>HYPERLINK("https://www.washoecounty.gov/assessor/cama/?command=sales&amp;parid=08442108","3941449")</f>
        <v>3941449</v>
      </c>
      <c r="H3692" t="s">
        <v>4218</v>
      </c>
      <c r="I3692">
        <v>2002</v>
      </c>
      <c r="J3692">
        <v>2002</v>
      </c>
      <c r="K3692" t="s">
        <v>4554</v>
      </c>
      <c r="L3692" t="s">
        <v>4555</v>
      </c>
      <c r="M3692" s="2">
        <v>2883</v>
      </c>
      <c r="N3692" t="s">
        <v>3887</v>
      </c>
      <c r="O3692">
        <v>2</v>
      </c>
      <c r="P3692">
        <v>3</v>
      </c>
      <c r="Q3692">
        <v>0</v>
      </c>
      <c r="R3692" t="s">
        <v>5281</v>
      </c>
      <c r="S3692" t="s">
        <v>4898</v>
      </c>
      <c r="T3692" t="s">
        <v>2704</v>
      </c>
      <c r="U3692" t="s">
        <v>4560</v>
      </c>
      <c r="V3692" s="2">
        <v>682</v>
      </c>
      <c r="W3692" t="s">
        <v>4655</v>
      </c>
      <c r="X3692" s="2">
        <v>0</v>
      </c>
      <c r="Y3692">
        <v>20</v>
      </c>
      <c r="Z3692" t="s">
        <v>1604</v>
      </c>
      <c r="AA3692" s="3">
        <v>0.38911846280098</v>
      </c>
      <c r="AB3692" t="s">
        <v>20308</v>
      </c>
      <c r="AC3692" t="s">
        <v>4575</v>
      </c>
      <c r="AD3692" t="s">
        <v>20307</v>
      </c>
      <c r="AE3692" t="s">
        <v>4655</v>
      </c>
      <c r="AF3692" t="s">
        <v>5201</v>
      </c>
      <c r="AG3692" t="s">
        <v>4564</v>
      </c>
      <c r="AH3692" t="s">
        <v>1605</v>
      </c>
      <c r="AI3692" t="s">
        <v>20309</v>
      </c>
      <c r="AJ3692" t="s">
        <v>5029</v>
      </c>
      <c r="AK3692" t="s">
        <v>20310</v>
      </c>
      <c r="AL3692" s="13" t="s">
        <v>1899</v>
      </c>
      <c r="AM3692">
        <v>1</v>
      </c>
      <c r="AN3692" s="15" t="s">
        <v>2220</v>
      </c>
    </row>
    <row r="3693" spans="1:40" x14ac:dyDescent="0.3">
      <c r="A3693" s="10" t="str">
        <f>HYPERLINK("http://www.washoecounty.gov/assessor/cama/?parid=084-422-10&amp;CardNumber=1","084-422-10")</f>
        <v>084-422-10</v>
      </c>
      <c r="B3693" t="s">
        <v>4655</v>
      </c>
      <c r="C3693" t="s">
        <v>20311</v>
      </c>
      <c r="D3693" s="1">
        <v>40485</v>
      </c>
      <c r="E3693" s="2">
        <v>360000</v>
      </c>
      <c r="F3693" t="s">
        <v>4567</v>
      </c>
      <c r="G3693" s="17" t="str">
        <f>HYPERLINK("https://www.washoecounty.gov/assessor/cama/?command=sales&amp;parid=08442210","3939555")</f>
        <v>3939555</v>
      </c>
      <c r="H3693" t="s">
        <v>4218</v>
      </c>
      <c r="I3693">
        <v>2002</v>
      </c>
      <c r="J3693">
        <v>2002</v>
      </c>
      <c r="K3693" t="s">
        <v>4554</v>
      </c>
      <c r="L3693" t="s">
        <v>4555</v>
      </c>
      <c r="M3693" s="2">
        <v>2883</v>
      </c>
      <c r="N3693" t="s">
        <v>3887</v>
      </c>
      <c r="O3693">
        <v>3</v>
      </c>
      <c r="P3693">
        <v>3</v>
      </c>
      <c r="Q3693">
        <v>0</v>
      </c>
      <c r="R3693" t="s">
        <v>5281</v>
      </c>
      <c r="S3693" t="s">
        <v>4898</v>
      </c>
      <c r="T3693" t="s">
        <v>2704</v>
      </c>
      <c r="U3693" t="s">
        <v>4560</v>
      </c>
      <c r="V3693" s="2">
        <v>692</v>
      </c>
      <c r="W3693" t="s">
        <v>4655</v>
      </c>
      <c r="X3693" s="2">
        <v>0</v>
      </c>
      <c r="Y3693">
        <v>20</v>
      </c>
      <c r="Z3693" t="s">
        <v>1604</v>
      </c>
      <c r="AA3693" s="3">
        <v>0.33900368213653598</v>
      </c>
      <c r="AB3693" t="s">
        <v>20312</v>
      </c>
      <c r="AC3693" t="s">
        <v>4562</v>
      </c>
      <c r="AD3693" t="s">
        <v>20311</v>
      </c>
      <c r="AE3693" t="s">
        <v>4655</v>
      </c>
      <c r="AF3693" t="s">
        <v>5201</v>
      </c>
      <c r="AG3693" t="s">
        <v>4564</v>
      </c>
      <c r="AH3693" t="s">
        <v>1605</v>
      </c>
      <c r="AI3693" t="s">
        <v>20313</v>
      </c>
      <c r="AJ3693" t="s">
        <v>5029</v>
      </c>
      <c r="AK3693" t="s">
        <v>20314</v>
      </c>
      <c r="AL3693" s="13" t="s">
        <v>1899</v>
      </c>
      <c r="AM3693" s="14">
        <v>1</v>
      </c>
      <c r="AN3693" s="15" t="s">
        <v>2220</v>
      </c>
    </row>
    <row r="3694" spans="1:40" x14ac:dyDescent="0.3">
      <c r="A3694" s="10" t="str">
        <f>HYPERLINK("http://www.washoecounty.gov/assessor/cama/?parid=084-470-17&amp;CardNumber=1","084-470-17")</f>
        <v>084-470-17</v>
      </c>
      <c r="B3694" t="s">
        <v>4655</v>
      </c>
      <c r="C3694" t="s">
        <v>20315</v>
      </c>
      <c r="D3694" s="1">
        <v>40522</v>
      </c>
      <c r="E3694" s="2">
        <v>430000</v>
      </c>
      <c r="F3694" t="s">
        <v>4567</v>
      </c>
      <c r="G3694" s="17" t="str">
        <f>HYPERLINK("https://www.washoecounty.gov/assessor/cama/?command=sales&amp;parid=08447017","3952242")</f>
        <v>3952242</v>
      </c>
      <c r="H3694" t="s">
        <v>1970</v>
      </c>
      <c r="I3694">
        <v>2003</v>
      </c>
      <c r="J3694">
        <v>2003</v>
      </c>
      <c r="K3694" t="s">
        <v>4554</v>
      </c>
      <c r="L3694" t="s">
        <v>4555</v>
      </c>
      <c r="M3694" s="2">
        <v>3511</v>
      </c>
      <c r="N3694" t="s">
        <v>3887</v>
      </c>
      <c r="O3694">
        <v>4</v>
      </c>
      <c r="P3694">
        <v>3</v>
      </c>
      <c r="Q3694">
        <v>0</v>
      </c>
      <c r="R3694" t="s">
        <v>5281</v>
      </c>
      <c r="S3694" t="s">
        <v>4898</v>
      </c>
      <c r="T3694" t="s">
        <v>2704</v>
      </c>
      <c r="U3694" t="s">
        <v>4560</v>
      </c>
      <c r="V3694" s="2">
        <v>951</v>
      </c>
      <c r="W3694" t="s">
        <v>4655</v>
      </c>
      <c r="X3694" s="2">
        <v>0</v>
      </c>
      <c r="Y3694">
        <v>20</v>
      </c>
      <c r="Z3694" t="s">
        <v>1604</v>
      </c>
      <c r="AA3694" s="3">
        <v>1.0351928472518901</v>
      </c>
      <c r="AB3694" t="s">
        <v>20316</v>
      </c>
      <c r="AC3694" t="s">
        <v>4562</v>
      </c>
      <c r="AD3694" t="s">
        <v>20317</v>
      </c>
      <c r="AE3694" t="s">
        <v>4655</v>
      </c>
      <c r="AF3694" t="s">
        <v>20318</v>
      </c>
      <c r="AG3694" t="s">
        <v>4584</v>
      </c>
      <c r="AH3694" t="s">
        <v>20319</v>
      </c>
      <c r="AI3694" t="s">
        <v>20320</v>
      </c>
      <c r="AJ3694" t="s">
        <v>2342</v>
      </c>
      <c r="AK3694" t="s">
        <v>20321</v>
      </c>
      <c r="AL3694" s="13" t="s">
        <v>1899</v>
      </c>
      <c r="AM3694">
        <v>1</v>
      </c>
      <c r="AN3694" s="15" t="s">
        <v>1239</v>
      </c>
    </row>
    <row r="3695" spans="1:40" x14ac:dyDescent="0.3">
      <c r="A3695" s="10" t="str">
        <f>HYPERLINK("http://www.washoecounty.gov/assessor/cama/?parid=084-484-07&amp;CardNumber=1","084-484-07")</f>
        <v>084-484-07</v>
      </c>
      <c r="B3695" t="s">
        <v>4655</v>
      </c>
      <c r="C3695" t="s">
        <v>20322</v>
      </c>
      <c r="D3695" s="1">
        <v>40374</v>
      </c>
      <c r="E3695" s="2">
        <v>349000</v>
      </c>
      <c r="F3695" t="s">
        <v>4567</v>
      </c>
      <c r="G3695" s="17" t="str">
        <f>HYPERLINK("https://www.washoecounty.gov/assessor/cama/?command=sales&amp;parid=08448407","3901855")</f>
        <v>3901855</v>
      </c>
      <c r="H3695" t="s">
        <v>1970</v>
      </c>
      <c r="I3695">
        <v>2003</v>
      </c>
      <c r="J3695">
        <v>2003</v>
      </c>
      <c r="K3695" t="s">
        <v>4554</v>
      </c>
      <c r="L3695" t="s">
        <v>4555</v>
      </c>
      <c r="M3695" s="2">
        <v>2543</v>
      </c>
      <c r="N3695" t="s">
        <v>3887</v>
      </c>
      <c r="O3695">
        <v>5</v>
      </c>
      <c r="P3695">
        <v>3</v>
      </c>
      <c r="Q3695">
        <v>0</v>
      </c>
      <c r="R3695" t="s">
        <v>5281</v>
      </c>
      <c r="S3695" t="s">
        <v>4898</v>
      </c>
      <c r="T3695" t="s">
        <v>2704</v>
      </c>
      <c r="U3695" t="s">
        <v>4560</v>
      </c>
      <c r="V3695" s="2">
        <v>976</v>
      </c>
      <c r="W3695" t="s">
        <v>4655</v>
      </c>
      <c r="X3695" s="2">
        <v>0</v>
      </c>
      <c r="Y3695">
        <v>20</v>
      </c>
      <c r="Z3695" t="s">
        <v>1604</v>
      </c>
      <c r="AA3695" s="3">
        <v>0.43409091234207198</v>
      </c>
      <c r="AB3695" t="s">
        <v>20323</v>
      </c>
      <c r="AC3695" t="s">
        <v>4575</v>
      </c>
      <c r="AD3695" t="s">
        <v>20322</v>
      </c>
      <c r="AE3695" t="s">
        <v>4655</v>
      </c>
      <c r="AF3695" t="s">
        <v>5201</v>
      </c>
      <c r="AG3695" t="s">
        <v>4564</v>
      </c>
      <c r="AH3695" t="s">
        <v>1605</v>
      </c>
      <c r="AI3695" t="s">
        <v>5298</v>
      </c>
      <c r="AJ3695" t="s">
        <v>2342</v>
      </c>
      <c r="AK3695" t="s">
        <v>20324</v>
      </c>
      <c r="AL3695" s="13" t="s">
        <v>1899</v>
      </c>
      <c r="AM3695">
        <v>1</v>
      </c>
      <c r="AN3695" s="15" t="s">
        <v>1239</v>
      </c>
    </row>
    <row r="3696" spans="1:40" x14ac:dyDescent="0.3">
      <c r="A3696" s="10" t="str">
        <f>HYPERLINK("http://www.washoecounty.gov/assessor/cama/?parid=084-533-02&amp;CardNumber=1","084-533-02")</f>
        <v>084-533-02</v>
      </c>
      <c r="B3696" t="s">
        <v>4655</v>
      </c>
      <c r="C3696" t="s">
        <v>20325</v>
      </c>
      <c r="D3696" s="1">
        <v>40368</v>
      </c>
      <c r="E3696" s="2">
        <v>360000</v>
      </c>
      <c r="F3696" t="s">
        <v>4567</v>
      </c>
      <c r="G3696" s="17" t="str">
        <f>HYPERLINK("https://www.washoecounty.gov/assessor/cama/?command=sales&amp;parid=08453302","3899665")</f>
        <v>3899665</v>
      </c>
      <c r="H3696" t="s">
        <v>1237</v>
      </c>
      <c r="I3696">
        <v>2004</v>
      </c>
      <c r="J3696">
        <v>2004</v>
      </c>
      <c r="K3696" t="s">
        <v>4554</v>
      </c>
      <c r="L3696" t="s">
        <v>4555</v>
      </c>
      <c r="M3696" s="2">
        <v>2377</v>
      </c>
      <c r="N3696" t="s">
        <v>3887</v>
      </c>
      <c r="O3696">
        <v>3</v>
      </c>
      <c r="P3696">
        <v>2</v>
      </c>
      <c r="Q3696">
        <v>0</v>
      </c>
      <c r="R3696" t="s">
        <v>5281</v>
      </c>
      <c r="S3696" t="s">
        <v>4898</v>
      </c>
      <c r="T3696" t="s">
        <v>2704</v>
      </c>
      <c r="U3696" t="s">
        <v>4560</v>
      </c>
      <c r="V3696" s="2">
        <v>814</v>
      </c>
      <c r="W3696" t="s">
        <v>4655</v>
      </c>
      <c r="X3696" s="2">
        <v>0</v>
      </c>
      <c r="Y3696">
        <v>20</v>
      </c>
      <c r="Z3696" t="s">
        <v>1604</v>
      </c>
      <c r="AA3696" s="3">
        <v>0.39341139793396002</v>
      </c>
      <c r="AB3696" t="s">
        <v>20326</v>
      </c>
      <c r="AC3696" t="s">
        <v>4562</v>
      </c>
      <c r="AD3696" t="s">
        <v>20325</v>
      </c>
      <c r="AE3696" t="s">
        <v>4655</v>
      </c>
      <c r="AF3696" t="s">
        <v>5201</v>
      </c>
      <c r="AG3696" t="s">
        <v>4564</v>
      </c>
      <c r="AH3696" t="s">
        <v>1605</v>
      </c>
      <c r="AI3696" t="s">
        <v>20327</v>
      </c>
      <c r="AJ3696" t="s">
        <v>1238</v>
      </c>
      <c r="AK3696" t="s">
        <v>20328</v>
      </c>
      <c r="AL3696" s="13" t="s">
        <v>1899</v>
      </c>
      <c r="AM3696">
        <v>1</v>
      </c>
      <c r="AN3696" s="15" t="s">
        <v>1239</v>
      </c>
    </row>
    <row r="3697" spans="1:40" x14ac:dyDescent="0.3">
      <c r="A3697" s="10" t="str">
        <f>HYPERLINK("http://www.washoecounty.gov/assessor/cama/?parid=084-582-02&amp;CardNumber=1","084-582-02")</f>
        <v>084-582-02</v>
      </c>
      <c r="B3697" t="s">
        <v>4655</v>
      </c>
      <c r="C3697" t="s">
        <v>5124</v>
      </c>
      <c r="D3697" s="1">
        <v>40501</v>
      </c>
      <c r="E3697" s="2">
        <v>220500</v>
      </c>
      <c r="F3697" t="s">
        <v>4553</v>
      </c>
      <c r="G3697" s="17" t="str">
        <f>HYPERLINK("https://www.washoecounty.gov/assessor/cama/?command=sales&amp;parid=08458202","3945289")</f>
        <v>3945289</v>
      </c>
      <c r="H3697" t="s">
        <v>5458</v>
      </c>
      <c r="I3697">
        <v>2004</v>
      </c>
      <c r="J3697">
        <v>2004</v>
      </c>
      <c r="K3697" t="s">
        <v>4554</v>
      </c>
      <c r="L3697" t="s">
        <v>4555</v>
      </c>
      <c r="M3697" s="2">
        <v>3166</v>
      </c>
      <c r="N3697" t="s">
        <v>3887</v>
      </c>
      <c r="O3697">
        <v>5</v>
      </c>
      <c r="P3697">
        <v>3</v>
      </c>
      <c r="Q3697">
        <v>0</v>
      </c>
      <c r="R3697" t="s">
        <v>5281</v>
      </c>
      <c r="S3697" t="s">
        <v>4898</v>
      </c>
      <c r="T3697" t="s">
        <v>2704</v>
      </c>
      <c r="U3697" t="s">
        <v>4560</v>
      </c>
      <c r="V3697" s="2">
        <v>748</v>
      </c>
      <c r="W3697" t="s">
        <v>4655</v>
      </c>
      <c r="X3697" s="2">
        <v>0</v>
      </c>
      <c r="Y3697">
        <v>20</v>
      </c>
      <c r="Z3697" t="s">
        <v>1604</v>
      </c>
      <c r="AA3697" s="3">
        <v>0.46179983019828802</v>
      </c>
      <c r="AB3697" t="s">
        <v>5390</v>
      </c>
      <c r="AC3697" t="s">
        <v>4575</v>
      </c>
      <c r="AD3697" t="s">
        <v>1951</v>
      </c>
      <c r="AE3697" t="s">
        <v>4655</v>
      </c>
      <c r="AF3697" t="s">
        <v>4563</v>
      </c>
      <c r="AG3697" t="s">
        <v>4564</v>
      </c>
      <c r="AH3697">
        <v>89511</v>
      </c>
      <c r="AI3697" t="s">
        <v>1480</v>
      </c>
      <c r="AJ3697" t="s">
        <v>5459</v>
      </c>
      <c r="AK3697" t="s">
        <v>5125</v>
      </c>
      <c r="AL3697" s="13" t="s">
        <v>1899</v>
      </c>
      <c r="AM3697">
        <v>1</v>
      </c>
      <c r="AN3697" s="15" t="s">
        <v>1239</v>
      </c>
    </row>
    <row r="3698" spans="1:40" x14ac:dyDescent="0.3">
      <c r="A3698" s="10" t="str">
        <f>HYPERLINK("http://www.washoecounty.gov/assessor/cama/?parid=084-583-09&amp;CardNumber=1","084-583-09")</f>
        <v>084-583-09</v>
      </c>
      <c r="B3698" t="s">
        <v>4655</v>
      </c>
      <c r="C3698" t="s">
        <v>20329</v>
      </c>
      <c r="D3698" s="1">
        <v>40512</v>
      </c>
      <c r="E3698" s="2">
        <v>364000</v>
      </c>
      <c r="F3698" t="s">
        <v>4567</v>
      </c>
      <c r="G3698" s="17" t="str">
        <f>HYPERLINK("https://www.washoecounty.gov/assessor/cama/?command=sales&amp;parid=08458309","3947841")</f>
        <v>3947841</v>
      </c>
      <c r="H3698" t="s">
        <v>5458</v>
      </c>
      <c r="I3698">
        <v>2005</v>
      </c>
      <c r="J3698">
        <v>2005</v>
      </c>
      <c r="K3698" t="s">
        <v>4554</v>
      </c>
      <c r="L3698" t="s">
        <v>4555</v>
      </c>
      <c r="M3698" s="2">
        <v>1914</v>
      </c>
      <c r="N3698" t="s">
        <v>3887</v>
      </c>
      <c r="O3698">
        <v>4</v>
      </c>
      <c r="P3698">
        <v>4</v>
      </c>
      <c r="Q3698">
        <v>0</v>
      </c>
      <c r="R3698" t="s">
        <v>5281</v>
      </c>
      <c r="S3698" t="s">
        <v>4898</v>
      </c>
      <c r="T3698" t="s">
        <v>2704</v>
      </c>
      <c r="U3698" t="s">
        <v>4560</v>
      </c>
      <c r="V3698" s="2">
        <v>650</v>
      </c>
      <c r="W3698" t="s">
        <v>4571</v>
      </c>
      <c r="X3698" s="2">
        <v>1539</v>
      </c>
      <c r="Y3698">
        <v>20</v>
      </c>
      <c r="Z3698" t="s">
        <v>1604</v>
      </c>
      <c r="AA3698" s="3">
        <v>0.37713497877120999</v>
      </c>
      <c r="AB3698" t="s">
        <v>20330</v>
      </c>
      <c r="AC3698" t="s">
        <v>4562</v>
      </c>
      <c r="AD3698" t="s">
        <v>20329</v>
      </c>
      <c r="AE3698" t="s">
        <v>4655</v>
      </c>
      <c r="AF3698" t="s">
        <v>5201</v>
      </c>
      <c r="AG3698" t="s">
        <v>4564</v>
      </c>
      <c r="AH3698" t="s">
        <v>1605</v>
      </c>
      <c r="AI3698" t="s">
        <v>20331</v>
      </c>
      <c r="AJ3698" t="s">
        <v>5459</v>
      </c>
      <c r="AK3698" t="s">
        <v>20332</v>
      </c>
      <c r="AL3698" s="13" t="s">
        <v>1899</v>
      </c>
      <c r="AM3698">
        <v>1</v>
      </c>
      <c r="AN3698" s="15" t="s">
        <v>1239</v>
      </c>
    </row>
    <row r="3699" spans="1:40" x14ac:dyDescent="0.3">
      <c r="A3699" s="10" t="str">
        <f>HYPERLINK("http://www.washoecounty.gov/assessor/cama/?parid=084-591-01&amp;CardNumber=1","084-591-01")</f>
        <v>084-591-01</v>
      </c>
      <c r="B3699" t="s">
        <v>4655</v>
      </c>
      <c r="C3699" t="s">
        <v>20333</v>
      </c>
      <c r="D3699" s="1">
        <v>40430</v>
      </c>
      <c r="E3699" s="2">
        <v>380000</v>
      </c>
      <c r="F3699" t="s">
        <v>4567</v>
      </c>
      <c r="G3699" s="17" t="str">
        <f>HYPERLINK("https://www.washoecounty.gov/assessor/cama/?command=sales&amp;parid=08459101","3920627")</f>
        <v>3920627</v>
      </c>
      <c r="H3699" t="s">
        <v>5458</v>
      </c>
      <c r="I3699">
        <v>2004</v>
      </c>
      <c r="J3699">
        <v>2004</v>
      </c>
      <c r="K3699" t="s">
        <v>4554</v>
      </c>
      <c r="L3699" t="s">
        <v>4555</v>
      </c>
      <c r="M3699" s="2">
        <v>2543</v>
      </c>
      <c r="N3699" t="s">
        <v>3887</v>
      </c>
      <c r="O3699">
        <v>6</v>
      </c>
      <c r="P3699">
        <v>3</v>
      </c>
      <c r="Q3699">
        <v>0</v>
      </c>
      <c r="R3699" t="s">
        <v>5281</v>
      </c>
      <c r="S3699" t="s">
        <v>4898</v>
      </c>
      <c r="T3699" t="s">
        <v>2704</v>
      </c>
      <c r="U3699" t="s">
        <v>4560</v>
      </c>
      <c r="V3699" s="2">
        <v>768</v>
      </c>
      <c r="W3699" t="s">
        <v>4655</v>
      </c>
      <c r="X3699" s="2">
        <v>0</v>
      </c>
      <c r="Y3699">
        <v>20</v>
      </c>
      <c r="Z3699" t="s">
        <v>1604</v>
      </c>
      <c r="AA3699" s="3">
        <v>0.44022038578987099</v>
      </c>
      <c r="AB3699" t="s">
        <v>20334</v>
      </c>
      <c r="AC3699" t="s">
        <v>4562</v>
      </c>
      <c r="AD3699" t="s">
        <v>20333</v>
      </c>
      <c r="AE3699" t="s">
        <v>4655</v>
      </c>
      <c r="AF3699" t="s">
        <v>5201</v>
      </c>
      <c r="AG3699" t="s">
        <v>4564</v>
      </c>
      <c r="AH3699" t="s">
        <v>1605</v>
      </c>
      <c r="AI3699" t="s">
        <v>20335</v>
      </c>
      <c r="AJ3699" t="s">
        <v>5459</v>
      </c>
      <c r="AK3699" t="s">
        <v>20336</v>
      </c>
      <c r="AL3699" s="13" t="s">
        <v>1899</v>
      </c>
      <c r="AM3699">
        <v>1</v>
      </c>
      <c r="AN3699" s="15" t="s">
        <v>1239</v>
      </c>
    </row>
    <row r="3700" spans="1:40" x14ac:dyDescent="0.3">
      <c r="A3700" s="10" t="str">
        <f>HYPERLINK("http://www.washoecounty.gov/assessor/cama/?parid=084-611-02&amp;CardNumber=1","084-611-02")</f>
        <v>084-611-02</v>
      </c>
      <c r="B3700" t="s">
        <v>4655</v>
      </c>
      <c r="C3700" t="s">
        <v>20337</v>
      </c>
      <c r="D3700" s="1">
        <v>40204</v>
      </c>
      <c r="E3700" s="2">
        <v>213000</v>
      </c>
      <c r="F3700" t="s">
        <v>4553</v>
      </c>
      <c r="G3700" s="17" t="str">
        <f>HYPERLINK("https://www.washoecounty.gov/assessor/cama/?command=sales&amp;parid=08461102","3842788")</f>
        <v>3842788</v>
      </c>
      <c r="H3700" t="s">
        <v>2089</v>
      </c>
      <c r="I3700">
        <v>2005</v>
      </c>
      <c r="J3700">
        <v>2005</v>
      </c>
      <c r="K3700" t="s">
        <v>4554</v>
      </c>
      <c r="L3700" t="s">
        <v>4555</v>
      </c>
      <c r="M3700" s="2">
        <v>2107</v>
      </c>
      <c r="N3700" t="s">
        <v>3147</v>
      </c>
      <c r="O3700">
        <v>4</v>
      </c>
      <c r="P3700">
        <v>2</v>
      </c>
      <c r="Q3700">
        <v>0</v>
      </c>
      <c r="R3700" t="s">
        <v>5281</v>
      </c>
      <c r="S3700" t="s">
        <v>4898</v>
      </c>
      <c r="T3700" t="s">
        <v>2704</v>
      </c>
      <c r="U3700" t="s">
        <v>4560</v>
      </c>
      <c r="V3700" s="2">
        <v>585</v>
      </c>
      <c r="W3700" t="s">
        <v>4655</v>
      </c>
      <c r="X3700" s="2">
        <v>0</v>
      </c>
      <c r="Y3700">
        <v>20</v>
      </c>
      <c r="Z3700" t="s">
        <v>2048</v>
      </c>
      <c r="AA3700" s="3">
        <v>0.268801659345627</v>
      </c>
      <c r="AB3700" t="s">
        <v>20338</v>
      </c>
      <c r="AC3700" t="s">
        <v>4562</v>
      </c>
      <c r="AD3700" t="s">
        <v>20339</v>
      </c>
      <c r="AE3700" t="s">
        <v>4655</v>
      </c>
      <c r="AF3700" t="s">
        <v>4809</v>
      </c>
      <c r="AG3700" t="s">
        <v>4564</v>
      </c>
      <c r="AH3700" t="s">
        <v>1605</v>
      </c>
      <c r="AI3700" t="s">
        <v>4565</v>
      </c>
      <c r="AJ3700" t="s">
        <v>4360</v>
      </c>
      <c r="AK3700" t="s">
        <v>20340</v>
      </c>
      <c r="AL3700" s="13" t="s">
        <v>1899</v>
      </c>
      <c r="AM3700">
        <v>1</v>
      </c>
      <c r="AN3700" s="15" t="s">
        <v>2036</v>
      </c>
    </row>
    <row r="3701" spans="1:40" x14ac:dyDescent="0.3">
      <c r="A3701" s="10" t="str">
        <f>HYPERLINK("http://www.washoecounty.gov/assessor/cama/?parid=084-611-19&amp;CardNumber=1","084-611-19")</f>
        <v>084-611-19</v>
      </c>
      <c r="B3701" t="s">
        <v>4655</v>
      </c>
      <c r="C3701" t="s">
        <v>20341</v>
      </c>
      <c r="D3701" s="1">
        <v>40428</v>
      </c>
      <c r="E3701" s="2">
        <v>220000</v>
      </c>
      <c r="F3701" t="s">
        <v>4567</v>
      </c>
      <c r="G3701" s="17" t="str">
        <f>HYPERLINK("https://www.washoecounty.gov/assessor/cama/?command=sales&amp;parid=08461119","3919402")</f>
        <v>3919402</v>
      </c>
      <c r="H3701" t="s">
        <v>2089</v>
      </c>
      <c r="I3701">
        <v>2005</v>
      </c>
      <c r="J3701">
        <v>2005</v>
      </c>
      <c r="K3701" t="s">
        <v>4554</v>
      </c>
      <c r="L3701" t="s">
        <v>4555</v>
      </c>
      <c r="M3701" s="2">
        <v>2260</v>
      </c>
      <c r="N3701" t="s">
        <v>3147</v>
      </c>
      <c r="O3701">
        <v>4</v>
      </c>
      <c r="P3701">
        <v>2</v>
      </c>
      <c r="Q3701">
        <v>0</v>
      </c>
      <c r="R3701" t="s">
        <v>5281</v>
      </c>
      <c r="S3701" t="s">
        <v>4898</v>
      </c>
      <c r="T3701" t="s">
        <v>2704</v>
      </c>
      <c r="U3701" t="s">
        <v>4560</v>
      </c>
      <c r="V3701" s="2">
        <v>592</v>
      </c>
      <c r="W3701" t="s">
        <v>4655</v>
      </c>
      <c r="X3701" s="2">
        <v>0</v>
      </c>
      <c r="Y3701">
        <v>20</v>
      </c>
      <c r="Z3701" t="s">
        <v>2048</v>
      </c>
      <c r="AA3701" s="3">
        <v>0.19283746182918549</v>
      </c>
      <c r="AB3701" t="s">
        <v>20342</v>
      </c>
      <c r="AC3701" t="s">
        <v>4575</v>
      </c>
      <c r="AD3701" t="s">
        <v>20341</v>
      </c>
      <c r="AE3701" t="s">
        <v>4655</v>
      </c>
      <c r="AF3701" t="s">
        <v>5201</v>
      </c>
      <c r="AG3701" t="s">
        <v>4564</v>
      </c>
      <c r="AH3701" t="s">
        <v>1605</v>
      </c>
      <c r="AI3701" t="s">
        <v>20343</v>
      </c>
      <c r="AJ3701" t="s">
        <v>4360</v>
      </c>
      <c r="AK3701" t="s">
        <v>20344</v>
      </c>
      <c r="AL3701" s="13" t="s">
        <v>1899</v>
      </c>
      <c r="AM3701">
        <v>1</v>
      </c>
      <c r="AN3701" s="15" t="s">
        <v>2036</v>
      </c>
    </row>
    <row r="3702" spans="1:40" x14ac:dyDescent="0.3">
      <c r="A3702" s="10" t="str">
        <f>HYPERLINK("http://www.washoecounty.gov/assessor/cama/?parid=084-612-05&amp;CardNumber=1","084-612-05")</f>
        <v>084-612-05</v>
      </c>
      <c r="B3702" t="s">
        <v>4655</v>
      </c>
      <c r="C3702" t="s">
        <v>20345</v>
      </c>
      <c r="D3702" s="1">
        <v>40217</v>
      </c>
      <c r="E3702" s="2">
        <v>190000</v>
      </c>
      <c r="F3702" t="s">
        <v>4567</v>
      </c>
      <c r="G3702" s="17" t="str">
        <f>HYPERLINK("https://www.washoecounty.gov/assessor/cama/?command=sales&amp;parid=08461205","3847074")</f>
        <v>3847074</v>
      </c>
      <c r="H3702" t="s">
        <v>2089</v>
      </c>
      <c r="I3702">
        <v>2005</v>
      </c>
      <c r="J3702">
        <v>2005</v>
      </c>
      <c r="K3702" t="s">
        <v>4554</v>
      </c>
      <c r="L3702" t="s">
        <v>4555</v>
      </c>
      <c r="M3702" s="2">
        <v>1776</v>
      </c>
      <c r="N3702" t="s">
        <v>3147</v>
      </c>
      <c r="O3702">
        <v>3</v>
      </c>
      <c r="P3702">
        <v>2</v>
      </c>
      <c r="Q3702">
        <v>0</v>
      </c>
      <c r="R3702" t="s">
        <v>5281</v>
      </c>
      <c r="S3702" t="s">
        <v>4898</v>
      </c>
      <c r="T3702" t="s">
        <v>2704</v>
      </c>
      <c r="U3702" t="s">
        <v>4560</v>
      </c>
      <c r="V3702" s="2">
        <v>596</v>
      </c>
      <c r="W3702" t="s">
        <v>4655</v>
      </c>
      <c r="X3702" s="2">
        <v>0</v>
      </c>
      <c r="Y3702">
        <v>20</v>
      </c>
      <c r="Z3702" t="s">
        <v>2048</v>
      </c>
      <c r="AA3702" s="3">
        <v>0.16873277723789215</v>
      </c>
      <c r="AB3702" t="s">
        <v>20346</v>
      </c>
      <c r="AC3702" t="s">
        <v>4562</v>
      </c>
      <c r="AD3702" t="s">
        <v>20345</v>
      </c>
      <c r="AE3702" t="s">
        <v>4655</v>
      </c>
      <c r="AF3702" t="s">
        <v>5201</v>
      </c>
      <c r="AG3702" t="s">
        <v>4564</v>
      </c>
      <c r="AH3702" t="s">
        <v>1605</v>
      </c>
      <c r="AI3702" t="s">
        <v>4655</v>
      </c>
      <c r="AJ3702" t="s">
        <v>4360</v>
      </c>
      <c r="AK3702" t="s">
        <v>20347</v>
      </c>
      <c r="AL3702" s="13" t="s">
        <v>1899</v>
      </c>
      <c r="AM3702">
        <v>1</v>
      </c>
      <c r="AN3702" s="15" t="s">
        <v>2036</v>
      </c>
    </row>
    <row r="3703" spans="1:40" x14ac:dyDescent="0.3">
      <c r="A3703" s="10" t="str">
        <f>HYPERLINK("http://www.washoecounty.gov/assessor/cama/?parid=084-613-03&amp;CardNumber=1","084-613-03")</f>
        <v>084-613-03</v>
      </c>
      <c r="B3703" t="s">
        <v>4655</v>
      </c>
      <c r="C3703" t="s">
        <v>20348</v>
      </c>
      <c r="D3703" s="1">
        <v>40400</v>
      </c>
      <c r="E3703" s="2">
        <v>239000</v>
      </c>
      <c r="F3703" t="s">
        <v>4567</v>
      </c>
      <c r="G3703" s="17" t="str">
        <f>HYPERLINK("https://www.washoecounty.gov/assessor/cama/?command=sales&amp;parid=08461303","3910339")</f>
        <v>3910339</v>
      </c>
      <c r="H3703" t="s">
        <v>2089</v>
      </c>
      <c r="I3703">
        <v>2005</v>
      </c>
      <c r="J3703">
        <v>2005</v>
      </c>
      <c r="K3703" t="s">
        <v>4554</v>
      </c>
      <c r="L3703" t="s">
        <v>4555</v>
      </c>
      <c r="M3703" s="2">
        <v>1776</v>
      </c>
      <c r="N3703" t="s">
        <v>3147</v>
      </c>
      <c r="O3703">
        <v>3</v>
      </c>
      <c r="P3703">
        <v>2</v>
      </c>
      <c r="Q3703">
        <v>0</v>
      </c>
      <c r="R3703" t="s">
        <v>5281</v>
      </c>
      <c r="S3703" t="s">
        <v>4898</v>
      </c>
      <c r="T3703" t="s">
        <v>2704</v>
      </c>
      <c r="U3703" t="s">
        <v>4560</v>
      </c>
      <c r="V3703" s="2">
        <v>596</v>
      </c>
      <c r="W3703" t="s">
        <v>4655</v>
      </c>
      <c r="X3703" s="2">
        <v>0</v>
      </c>
      <c r="Y3703">
        <v>20</v>
      </c>
      <c r="Z3703" t="s">
        <v>2048</v>
      </c>
      <c r="AA3703" s="3">
        <v>0.23193296790123</v>
      </c>
      <c r="AB3703" t="s">
        <v>20349</v>
      </c>
      <c r="AC3703" t="s">
        <v>4575</v>
      </c>
      <c r="AD3703" t="s">
        <v>20348</v>
      </c>
      <c r="AE3703" t="s">
        <v>4655</v>
      </c>
      <c r="AF3703" t="s">
        <v>5201</v>
      </c>
      <c r="AG3703" t="s">
        <v>4564</v>
      </c>
      <c r="AH3703" t="s">
        <v>1605</v>
      </c>
      <c r="AI3703" t="s">
        <v>20350</v>
      </c>
      <c r="AJ3703" t="s">
        <v>4360</v>
      </c>
      <c r="AK3703" t="s">
        <v>20351</v>
      </c>
      <c r="AL3703" s="13" t="s">
        <v>1899</v>
      </c>
      <c r="AM3703">
        <v>1</v>
      </c>
      <c r="AN3703" s="15" t="s">
        <v>2036</v>
      </c>
    </row>
    <row r="3704" spans="1:40" x14ac:dyDescent="0.3">
      <c r="A3704" s="10" t="str">
        <f>HYPERLINK("http://www.washoecounty.gov/assessor/cama/?parid=084-622-06&amp;CardNumber=1","084-622-06")</f>
        <v>084-622-06</v>
      </c>
      <c r="B3704" t="s">
        <v>4655</v>
      </c>
      <c r="C3704" s="20" t="s">
        <v>283</v>
      </c>
      <c r="D3704" s="1">
        <v>40312</v>
      </c>
      <c r="E3704" s="2">
        <v>213000</v>
      </c>
      <c r="F3704" t="s">
        <v>4553</v>
      </c>
      <c r="G3704" s="20" t="s">
        <v>282</v>
      </c>
      <c r="H3704" t="s">
        <v>20352</v>
      </c>
      <c r="I3704">
        <v>2005</v>
      </c>
      <c r="J3704">
        <v>2005</v>
      </c>
      <c r="K3704" t="s">
        <v>4554</v>
      </c>
      <c r="L3704" t="s">
        <v>4555</v>
      </c>
      <c r="M3704" s="2">
        <v>1776</v>
      </c>
      <c r="N3704" t="s">
        <v>3147</v>
      </c>
      <c r="O3704">
        <v>3</v>
      </c>
      <c r="P3704">
        <v>2</v>
      </c>
      <c r="Q3704">
        <v>0</v>
      </c>
      <c r="R3704" t="s">
        <v>5281</v>
      </c>
      <c r="S3704" t="s">
        <v>4898</v>
      </c>
      <c r="T3704" t="s">
        <v>2704</v>
      </c>
      <c r="U3704" t="s">
        <v>4560</v>
      </c>
      <c r="V3704" s="2">
        <v>596</v>
      </c>
      <c r="W3704" t="s">
        <v>4655</v>
      </c>
      <c r="X3704" s="2">
        <v>0</v>
      </c>
      <c r="Y3704">
        <v>20</v>
      </c>
      <c r="Z3704" t="s">
        <v>2048</v>
      </c>
      <c r="AA3704" s="3">
        <v>0.23112948238849601</v>
      </c>
      <c r="AB3704" s="20" t="s">
        <v>8865</v>
      </c>
      <c r="AD3704" t="s">
        <v>283</v>
      </c>
      <c r="AE3704" t="s">
        <v>283</v>
      </c>
      <c r="AF3704" t="s">
        <v>283</v>
      </c>
      <c r="AG3704" t="s">
        <v>4564</v>
      </c>
      <c r="AH3704" t="s">
        <v>3101</v>
      </c>
      <c r="AI3704" t="s">
        <v>8865</v>
      </c>
      <c r="AJ3704" t="s">
        <v>4360</v>
      </c>
      <c r="AK3704" t="s">
        <v>8865</v>
      </c>
      <c r="AL3704" s="13" t="s">
        <v>1899</v>
      </c>
      <c r="AM3704">
        <v>1</v>
      </c>
      <c r="AN3704" s="15" t="s">
        <v>2036</v>
      </c>
    </row>
    <row r="3705" spans="1:40" x14ac:dyDescent="0.3">
      <c r="A3705" s="10" t="str">
        <f>HYPERLINK("http://www.washoecounty.gov/assessor/cama/?parid=084-651-12&amp;CardNumber=1","084-651-12")</f>
        <v>084-651-12</v>
      </c>
      <c r="B3705" t="s">
        <v>4655</v>
      </c>
      <c r="C3705" t="s">
        <v>20353</v>
      </c>
      <c r="D3705" s="1">
        <v>40457</v>
      </c>
      <c r="E3705" s="2">
        <v>359000</v>
      </c>
      <c r="F3705" t="s">
        <v>4553</v>
      </c>
      <c r="G3705" s="17" t="str">
        <f>HYPERLINK("https://www.washoecounty.gov/assessor/cama/?command=sales&amp;parid=08465112","3930328")</f>
        <v>3930328</v>
      </c>
      <c r="H3705" t="s">
        <v>20354</v>
      </c>
      <c r="I3705">
        <v>2007</v>
      </c>
      <c r="J3705">
        <v>2007</v>
      </c>
      <c r="K3705" t="s">
        <v>4554</v>
      </c>
      <c r="L3705" t="s">
        <v>4555</v>
      </c>
      <c r="M3705" s="2">
        <v>2954</v>
      </c>
      <c r="N3705" t="s">
        <v>3887</v>
      </c>
      <c r="O3705">
        <v>2</v>
      </c>
      <c r="P3705">
        <v>3</v>
      </c>
      <c r="Q3705">
        <v>0</v>
      </c>
      <c r="R3705" t="s">
        <v>5281</v>
      </c>
      <c r="S3705" t="s">
        <v>4898</v>
      </c>
      <c r="T3705" t="s">
        <v>2704</v>
      </c>
      <c r="U3705" t="s">
        <v>4560</v>
      </c>
      <c r="V3705" s="2">
        <v>881</v>
      </c>
      <c r="W3705" t="s">
        <v>4655</v>
      </c>
      <c r="X3705" s="2">
        <v>0</v>
      </c>
      <c r="Y3705">
        <v>20</v>
      </c>
      <c r="Z3705" t="s">
        <v>2048</v>
      </c>
      <c r="AA3705" s="3">
        <v>0.34201100468635598</v>
      </c>
      <c r="AB3705" t="s">
        <v>20355</v>
      </c>
      <c r="AC3705" t="s">
        <v>4562</v>
      </c>
      <c r="AD3705" t="s">
        <v>20353</v>
      </c>
      <c r="AE3705" t="s">
        <v>4655</v>
      </c>
      <c r="AF3705" t="s">
        <v>5201</v>
      </c>
      <c r="AG3705" t="s">
        <v>4564</v>
      </c>
      <c r="AH3705" t="s">
        <v>1605</v>
      </c>
      <c r="AI3705" t="s">
        <v>4655</v>
      </c>
      <c r="AJ3705" t="s">
        <v>20356</v>
      </c>
      <c r="AK3705" t="s">
        <v>20357</v>
      </c>
      <c r="AL3705" s="13" t="s">
        <v>1899</v>
      </c>
      <c r="AM3705">
        <v>1</v>
      </c>
      <c r="AN3705" s="15" t="s">
        <v>1239</v>
      </c>
    </row>
    <row r="3706" spans="1:40" x14ac:dyDescent="0.3">
      <c r="A3706" s="10" t="str">
        <f>HYPERLINK("http://www.washoecounty.gov/assessor/cama/?parid=084-651-13&amp;CardNumber=1","084-651-13")</f>
        <v>084-651-13</v>
      </c>
      <c r="B3706" t="s">
        <v>4655</v>
      </c>
      <c r="C3706" t="s">
        <v>20358</v>
      </c>
      <c r="D3706" s="1">
        <v>40479</v>
      </c>
      <c r="E3706" s="2">
        <v>392000</v>
      </c>
      <c r="F3706" t="s">
        <v>4553</v>
      </c>
      <c r="G3706" s="17" t="str">
        <f>HYPERLINK("https://www.washoecounty.gov/assessor/cama/?command=sales&amp;parid=08465113","3937674")</f>
        <v>3937674</v>
      </c>
      <c r="H3706" t="s">
        <v>20354</v>
      </c>
      <c r="I3706">
        <v>2007</v>
      </c>
      <c r="J3706">
        <v>2007</v>
      </c>
      <c r="K3706" t="s">
        <v>4554</v>
      </c>
      <c r="L3706" t="s">
        <v>4555</v>
      </c>
      <c r="M3706" s="2">
        <v>3034</v>
      </c>
      <c r="N3706" t="s">
        <v>3887</v>
      </c>
      <c r="O3706">
        <v>5</v>
      </c>
      <c r="P3706">
        <v>3</v>
      </c>
      <c r="Q3706">
        <v>0</v>
      </c>
      <c r="R3706" t="s">
        <v>5281</v>
      </c>
      <c r="S3706" t="s">
        <v>4898</v>
      </c>
      <c r="T3706" t="s">
        <v>2704</v>
      </c>
      <c r="U3706" t="s">
        <v>4560</v>
      </c>
      <c r="V3706" s="2">
        <v>1206</v>
      </c>
      <c r="W3706" t="s">
        <v>4655</v>
      </c>
      <c r="X3706" s="2">
        <v>0</v>
      </c>
      <c r="Y3706">
        <v>20</v>
      </c>
      <c r="Z3706" t="s">
        <v>2048</v>
      </c>
      <c r="AA3706" s="3">
        <v>0.34201100468635598</v>
      </c>
      <c r="AB3706" t="s">
        <v>20359</v>
      </c>
      <c r="AC3706" t="s">
        <v>4575</v>
      </c>
      <c r="AD3706" t="s">
        <v>20360</v>
      </c>
      <c r="AE3706" t="s">
        <v>4655</v>
      </c>
      <c r="AF3706" t="s">
        <v>4809</v>
      </c>
      <c r="AG3706" t="s">
        <v>4564</v>
      </c>
      <c r="AH3706" t="s">
        <v>1605</v>
      </c>
      <c r="AI3706" t="s">
        <v>20361</v>
      </c>
      <c r="AJ3706" t="s">
        <v>20356</v>
      </c>
      <c r="AK3706" t="s">
        <v>20362</v>
      </c>
      <c r="AL3706" s="13" t="s">
        <v>1899</v>
      </c>
      <c r="AM3706">
        <v>1</v>
      </c>
      <c r="AN3706" s="15" t="s">
        <v>1239</v>
      </c>
    </row>
    <row r="3707" spans="1:40" x14ac:dyDescent="0.3">
      <c r="A3707" s="10" t="str">
        <f>HYPERLINK("http://www.washoecounty.gov/assessor/cama/?parid=084-651-14&amp;CardNumber=1","084-651-14")</f>
        <v>084-651-14</v>
      </c>
      <c r="B3707" t="s">
        <v>4655</v>
      </c>
      <c r="C3707" t="s">
        <v>20363</v>
      </c>
      <c r="D3707" s="1">
        <v>40519</v>
      </c>
      <c r="E3707" s="2">
        <v>450000</v>
      </c>
      <c r="F3707" t="s">
        <v>4553</v>
      </c>
      <c r="G3707" s="17" t="str">
        <f>HYPERLINK("https://www.washoecounty.gov/assessor/cama/?command=sales&amp;parid=08465114","3950533")</f>
        <v>3950533</v>
      </c>
      <c r="H3707" t="s">
        <v>20354</v>
      </c>
      <c r="I3707">
        <v>2007</v>
      </c>
      <c r="J3707">
        <v>2007</v>
      </c>
      <c r="K3707" t="s">
        <v>4554</v>
      </c>
      <c r="L3707" t="s">
        <v>4555</v>
      </c>
      <c r="M3707" s="2">
        <v>3884</v>
      </c>
      <c r="N3707" t="s">
        <v>3887</v>
      </c>
      <c r="O3707">
        <v>4</v>
      </c>
      <c r="P3707">
        <v>3</v>
      </c>
      <c r="Q3707">
        <v>1</v>
      </c>
      <c r="R3707" t="s">
        <v>5281</v>
      </c>
      <c r="S3707" t="s">
        <v>4898</v>
      </c>
      <c r="T3707" t="s">
        <v>2704</v>
      </c>
      <c r="U3707" t="s">
        <v>4560</v>
      </c>
      <c r="V3707" s="2">
        <v>972</v>
      </c>
      <c r="W3707" t="s">
        <v>4655</v>
      </c>
      <c r="X3707" s="2">
        <v>0</v>
      </c>
      <c r="Y3707">
        <v>20</v>
      </c>
      <c r="Z3707" t="s">
        <v>2048</v>
      </c>
      <c r="AA3707" s="3">
        <v>0.80222684144973699</v>
      </c>
      <c r="AB3707" t="s">
        <v>20364</v>
      </c>
      <c r="AC3707" t="s">
        <v>4575</v>
      </c>
      <c r="AD3707" t="s">
        <v>20365</v>
      </c>
      <c r="AE3707" t="s">
        <v>20366</v>
      </c>
      <c r="AF3707" t="s">
        <v>4563</v>
      </c>
      <c r="AG3707" t="s">
        <v>4564</v>
      </c>
      <c r="AH3707">
        <v>89509</v>
      </c>
      <c r="AI3707" t="s">
        <v>20367</v>
      </c>
      <c r="AJ3707" t="s">
        <v>20356</v>
      </c>
      <c r="AK3707" t="s">
        <v>20368</v>
      </c>
      <c r="AL3707" s="13" t="s">
        <v>1899</v>
      </c>
      <c r="AM3707">
        <v>1</v>
      </c>
      <c r="AN3707" s="15" t="s">
        <v>1239</v>
      </c>
    </row>
    <row r="3708" spans="1:40" x14ac:dyDescent="0.3">
      <c r="A3708" s="10" t="str">
        <f>HYPERLINK("http://www.washoecounty.gov/assessor/cama/?parid=084-651-15&amp;CardNumber=1","084-651-15")</f>
        <v>084-651-15</v>
      </c>
      <c r="B3708" t="s">
        <v>4655</v>
      </c>
      <c r="C3708" t="s">
        <v>20369</v>
      </c>
      <c r="D3708" s="1">
        <v>40494</v>
      </c>
      <c r="E3708" s="2">
        <v>450000</v>
      </c>
      <c r="F3708" t="s">
        <v>4553</v>
      </c>
      <c r="G3708" s="17" t="str">
        <f>HYPERLINK("https://www.washoecounty.gov/assessor/cama/?command=sales&amp;parid=08465115","3942726")</f>
        <v>3942726</v>
      </c>
      <c r="H3708" t="s">
        <v>20354</v>
      </c>
      <c r="I3708">
        <v>2007</v>
      </c>
      <c r="J3708">
        <v>2007</v>
      </c>
      <c r="K3708" t="s">
        <v>4554</v>
      </c>
      <c r="L3708" t="s">
        <v>4555</v>
      </c>
      <c r="M3708" s="2">
        <v>3892</v>
      </c>
      <c r="N3708" t="s">
        <v>3887</v>
      </c>
      <c r="O3708">
        <v>5</v>
      </c>
      <c r="P3708">
        <v>4</v>
      </c>
      <c r="Q3708">
        <v>0</v>
      </c>
      <c r="R3708" t="s">
        <v>5281</v>
      </c>
      <c r="S3708" t="s">
        <v>4898</v>
      </c>
      <c r="T3708" t="s">
        <v>2704</v>
      </c>
      <c r="U3708" t="s">
        <v>4560</v>
      </c>
      <c r="V3708" s="2">
        <v>944</v>
      </c>
      <c r="W3708" t="s">
        <v>4655</v>
      </c>
      <c r="X3708" s="2">
        <v>0</v>
      </c>
      <c r="Y3708">
        <v>20</v>
      </c>
      <c r="Z3708" t="s">
        <v>2048</v>
      </c>
      <c r="AA3708" s="3">
        <v>0.84561526775360096</v>
      </c>
      <c r="AB3708" t="s">
        <v>20370</v>
      </c>
      <c r="AC3708" t="s">
        <v>4562</v>
      </c>
      <c r="AD3708" t="s">
        <v>20371</v>
      </c>
      <c r="AE3708" t="s">
        <v>4655</v>
      </c>
      <c r="AF3708" t="s">
        <v>4809</v>
      </c>
      <c r="AG3708" t="s">
        <v>4564</v>
      </c>
      <c r="AH3708" t="s">
        <v>1605</v>
      </c>
      <c r="AI3708" t="s">
        <v>20361</v>
      </c>
      <c r="AJ3708" t="s">
        <v>20356</v>
      </c>
      <c r="AK3708" t="s">
        <v>20372</v>
      </c>
      <c r="AL3708" s="13" t="s">
        <v>1899</v>
      </c>
      <c r="AM3708">
        <v>1</v>
      </c>
      <c r="AN3708" s="15" t="s">
        <v>1239</v>
      </c>
    </row>
    <row r="3709" spans="1:40" x14ac:dyDescent="0.3">
      <c r="A3709" s="10" t="str">
        <f>HYPERLINK("http://www.washoecounty.gov/assessor/cama/?parid=084-651-16&amp;CardNumber=1","084-651-16")</f>
        <v>084-651-16</v>
      </c>
      <c r="B3709" t="s">
        <v>4655</v>
      </c>
      <c r="C3709" t="s">
        <v>20373</v>
      </c>
      <c r="D3709" s="1">
        <v>40473</v>
      </c>
      <c r="E3709" s="2">
        <v>334500</v>
      </c>
      <c r="F3709" t="s">
        <v>4553</v>
      </c>
      <c r="G3709" s="17" t="str">
        <f>HYPERLINK("https://www.washoecounty.gov/assessor/cama/?command=sales&amp;parid=08465116","3935729")</f>
        <v>3935729</v>
      </c>
      <c r="H3709" t="s">
        <v>20354</v>
      </c>
      <c r="I3709">
        <v>2007</v>
      </c>
      <c r="J3709">
        <v>2007</v>
      </c>
      <c r="K3709" t="s">
        <v>4554</v>
      </c>
      <c r="L3709" t="s">
        <v>4555</v>
      </c>
      <c r="M3709" s="2">
        <v>2568</v>
      </c>
      <c r="N3709" t="s">
        <v>3887</v>
      </c>
      <c r="O3709">
        <v>4</v>
      </c>
      <c r="P3709">
        <v>3</v>
      </c>
      <c r="Q3709">
        <v>0</v>
      </c>
      <c r="R3709" t="s">
        <v>5281</v>
      </c>
      <c r="S3709" t="s">
        <v>4898</v>
      </c>
      <c r="T3709" t="s">
        <v>2704</v>
      </c>
      <c r="U3709" t="s">
        <v>4560</v>
      </c>
      <c r="V3709" s="2">
        <v>976</v>
      </c>
      <c r="W3709" t="s">
        <v>4655</v>
      </c>
      <c r="X3709" s="2">
        <v>0</v>
      </c>
      <c r="Y3709">
        <v>20</v>
      </c>
      <c r="Z3709" t="s">
        <v>2048</v>
      </c>
      <c r="AA3709" s="3">
        <v>0.42493113875389099</v>
      </c>
      <c r="AB3709" t="s">
        <v>20374</v>
      </c>
      <c r="AC3709" t="s">
        <v>4562</v>
      </c>
      <c r="AD3709" t="s">
        <v>20373</v>
      </c>
      <c r="AE3709" t="s">
        <v>4655</v>
      </c>
      <c r="AF3709" t="s">
        <v>5201</v>
      </c>
      <c r="AG3709" t="s">
        <v>4564</v>
      </c>
      <c r="AH3709" t="s">
        <v>1605</v>
      </c>
      <c r="AI3709" t="s">
        <v>20361</v>
      </c>
      <c r="AJ3709" t="s">
        <v>20356</v>
      </c>
      <c r="AK3709" t="s">
        <v>20375</v>
      </c>
      <c r="AL3709" s="13" t="s">
        <v>1899</v>
      </c>
      <c r="AM3709">
        <v>1</v>
      </c>
      <c r="AN3709" s="15" t="s">
        <v>1239</v>
      </c>
    </row>
    <row r="3710" spans="1:40" x14ac:dyDescent="0.3">
      <c r="A3710" s="10" t="str">
        <f>HYPERLINK("http://www.washoecounty.gov/assessor/cama/?parid=085-021-42&amp;CardNumber=1","085-021-42")</f>
        <v>085-021-42</v>
      </c>
      <c r="B3710" t="s">
        <v>4655</v>
      </c>
      <c r="C3710" t="s">
        <v>20376</v>
      </c>
      <c r="D3710" s="1">
        <v>40451</v>
      </c>
      <c r="E3710" s="2">
        <v>50000</v>
      </c>
      <c r="F3710" t="s">
        <v>4567</v>
      </c>
      <c r="G3710" s="17" t="str">
        <f>HYPERLINK("https://www.washoecounty.gov/assessor/cama/?command=sales&amp;parid=08502142","3928029")</f>
        <v>3928029</v>
      </c>
      <c r="H3710" t="s">
        <v>20377</v>
      </c>
      <c r="I3710">
        <v>1950</v>
      </c>
      <c r="J3710">
        <v>1950</v>
      </c>
      <c r="K3710" t="s">
        <v>1243</v>
      </c>
      <c r="L3710" t="s">
        <v>4655</v>
      </c>
      <c r="M3710" s="2">
        <v>0</v>
      </c>
      <c r="N3710" t="s">
        <v>4655</v>
      </c>
      <c r="O3710">
        <v>0</v>
      </c>
      <c r="P3710">
        <v>0</v>
      </c>
      <c r="Q3710">
        <v>0</v>
      </c>
      <c r="R3710" t="s">
        <v>4655</v>
      </c>
      <c r="S3710" t="s">
        <v>4655</v>
      </c>
      <c r="T3710" t="s">
        <v>4655</v>
      </c>
      <c r="U3710" t="s">
        <v>4655</v>
      </c>
      <c r="V3710" s="2">
        <v>0</v>
      </c>
      <c r="W3710" t="s">
        <v>4655</v>
      </c>
      <c r="X3710" s="2">
        <v>0</v>
      </c>
      <c r="Y3710">
        <v>23</v>
      </c>
      <c r="Z3710" t="s">
        <v>5508</v>
      </c>
      <c r="AA3710" s="3">
        <v>0.31999540328979498</v>
      </c>
      <c r="AB3710" t="s">
        <v>20378</v>
      </c>
      <c r="AC3710" t="s">
        <v>4562</v>
      </c>
      <c r="AD3710" t="s">
        <v>20376</v>
      </c>
      <c r="AE3710" t="s">
        <v>4655</v>
      </c>
      <c r="AF3710" t="s">
        <v>1600</v>
      </c>
      <c r="AG3710" t="s">
        <v>4564</v>
      </c>
      <c r="AH3710" t="s">
        <v>1601</v>
      </c>
      <c r="AI3710" t="s">
        <v>20379</v>
      </c>
      <c r="AJ3710" t="s">
        <v>4655</v>
      </c>
      <c r="AK3710" t="s">
        <v>20380</v>
      </c>
      <c r="AL3710" s="13" t="s">
        <v>1898</v>
      </c>
      <c r="AM3710">
        <v>1</v>
      </c>
      <c r="AN3710" s="15" t="s">
        <v>2528</v>
      </c>
    </row>
    <row r="3711" spans="1:40" x14ac:dyDescent="0.3">
      <c r="A3711" s="10" t="str">
        <f>HYPERLINK("http://www.washoecounty.gov/assessor/cama/?parid=085-042-06&amp;CardNumber=1","085-042-06")</f>
        <v>085-042-06</v>
      </c>
      <c r="B3711" t="s">
        <v>4655</v>
      </c>
      <c r="C3711" t="s">
        <v>20381</v>
      </c>
      <c r="D3711" s="1">
        <v>40347</v>
      </c>
      <c r="E3711" s="2">
        <v>46000</v>
      </c>
      <c r="F3711" t="s">
        <v>4553</v>
      </c>
      <c r="G3711" s="17" t="str">
        <f>HYPERLINK("https://www.washoecounty.gov/assessor/cama/?command=sales&amp;parid=08504206","3893484")</f>
        <v>3893484</v>
      </c>
      <c r="H3711" t="s">
        <v>20382</v>
      </c>
      <c r="I3711">
        <v>1991</v>
      </c>
      <c r="J3711">
        <v>1991</v>
      </c>
      <c r="K3711" t="s">
        <v>4847</v>
      </c>
      <c r="L3711" t="s">
        <v>4555</v>
      </c>
      <c r="M3711" s="2">
        <v>1560</v>
      </c>
      <c r="N3711" t="s">
        <v>4048</v>
      </c>
      <c r="O3711">
        <v>3</v>
      </c>
      <c r="P3711">
        <v>2</v>
      </c>
      <c r="Q3711">
        <v>0</v>
      </c>
      <c r="R3711" t="s">
        <v>4557</v>
      </c>
      <c r="S3711" t="s">
        <v>4558</v>
      </c>
      <c r="T3711" t="s">
        <v>4559</v>
      </c>
      <c r="U3711" t="s">
        <v>4655</v>
      </c>
      <c r="V3711" s="2">
        <v>0</v>
      </c>
      <c r="W3711" t="s">
        <v>4655</v>
      </c>
      <c r="X3711" s="2">
        <v>0</v>
      </c>
      <c r="Y3711">
        <v>22</v>
      </c>
      <c r="Z3711" t="s">
        <v>5508</v>
      </c>
      <c r="AA3711" s="3">
        <v>0.50199723243713301</v>
      </c>
      <c r="AB3711" t="s">
        <v>20383</v>
      </c>
      <c r="AC3711" t="s">
        <v>4562</v>
      </c>
      <c r="AD3711" t="s">
        <v>20381</v>
      </c>
      <c r="AE3711" t="s">
        <v>4655</v>
      </c>
      <c r="AF3711" t="s">
        <v>1600</v>
      </c>
      <c r="AG3711" t="s">
        <v>4564</v>
      </c>
      <c r="AH3711" t="s">
        <v>1601</v>
      </c>
      <c r="AI3711" t="s">
        <v>4848</v>
      </c>
      <c r="AJ3711" t="s">
        <v>4655</v>
      </c>
      <c r="AK3711" t="s">
        <v>20384</v>
      </c>
      <c r="AL3711" s="13" t="s">
        <v>1898</v>
      </c>
      <c r="AM3711">
        <v>1</v>
      </c>
      <c r="AN3711" s="15" t="s">
        <v>2528</v>
      </c>
    </row>
    <row r="3712" spans="1:40" x14ac:dyDescent="0.3">
      <c r="A3712" s="10" t="str">
        <f>HYPERLINK("http://www.washoecounty.gov/assessor/cama/?parid=085-071-07&amp;CardNumber=1","085-071-07")</f>
        <v>085-071-07</v>
      </c>
      <c r="B3712" t="s">
        <v>4655</v>
      </c>
      <c r="C3712" t="s">
        <v>20385</v>
      </c>
      <c r="D3712" s="1">
        <v>40228</v>
      </c>
      <c r="E3712" s="2">
        <v>37700</v>
      </c>
      <c r="F3712" t="s">
        <v>4553</v>
      </c>
      <c r="G3712" s="17" t="str">
        <f>HYPERLINK("https://www.washoecounty.gov/assessor/cama/?command=sales&amp;parid=08507107","3851107")</f>
        <v>3851107</v>
      </c>
      <c r="H3712" t="s">
        <v>4162</v>
      </c>
      <c r="I3712">
        <v>1977</v>
      </c>
      <c r="J3712">
        <v>1977</v>
      </c>
      <c r="K3712" t="s">
        <v>4847</v>
      </c>
      <c r="L3712" t="s">
        <v>4555</v>
      </c>
      <c r="M3712" s="2">
        <v>1560</v>
      </c>
      <c r="N3712" t="s">
        <v>4556</v>
      </c>
      <c r="O3712">
        <v>3</v>
      </c>
      <c r="P3712">
        <v>2</v>
      </c>
      <c r="Q3712">
        <v>0</v>
      </c>
      <c r="R3712" t="s">
        <v>4557</v>
      </c>
      <c r="S3712" t="s">
        <v>4558</v>
      </c>
      <c r="T3712" t="s">
        <v>3888</v>
      </c>
      <c r="U3712" t="s">
        <v>4655</v>
      </c>
      <c r="V3712" s="2">
        <v>0</v>
      </c>
      <c r="W3712" t="s">
        <v>4655</v>
      </c>
      <c r="X3712" s="2">
        <v>0</v>
      </c>
      <c r="Y3712">
        <v>22</v>
      </c>
      <c r="Z3712" t="s">
        <v>5508</v>
      </c>
      <c r="AA3712" s="3">
        <v>0.326997250318527</v>
      </c>
      <c r="AB3712" t="s">
        <v>20386</v>
      </c>
      <c r="AC3712" t="s">
        <v>4562</v>
      </c>
      <c r="AD3712" t="s">
        <v>20387</v>
      </c>
      <c r="AE3712" t="s">
        <v>4655</v>
      </c>
      <c r="AF3712" t="s">
        <v>1570</v>
      </c>
      <c r="AG3712" t="s">
        <v>4564</v>
      </c>
      <c r="AH3712" t="s">
        <v>1601</v>
      </c>
      <c r="AI3712" t="s">
        <v>5359</v>
      </c>
      <c r="AJ3712" t="s">
        <v>4655</v>
      </c>
      <c r="AK3712" t="s">
        <v>20388</v>
      </c>
      <c r="AL3712" s="13" t="s">
        <v>1898</v>
      </c>
      <c r="AM3712">
        <v>1</v>
      </c>
      <c r="AN3712" s="15" t="s">
        <v>2528</v>
      </c>
    </row>
    <row r="3713" spans="1:40" x14ac:dyDescent="0.3">
      <c r="A3713" s="10" t="str">
        <f>HYPERLINK("http://www.washoecounty.gov/assessor/cama/?parid=085-071-07&amp;CardNumber=1","085-071-07")</f>
        <v>085-071-07</v>
      </c>
      <c r="B3713" t="s">
        <v>4655</v>
      </c>
      <c r="C3713" t="s">
        <v>20385</v>
      </c>
      <c r="D3713" s="1">
        <v>40326</v>
      </c>
      <c r="E3713" s="2">
        <v>72500</v>
      </c>
      <c r="F3713" t="s">
        <v>4567</v>
      </c>
      <c r="G3713" s="17" t="str">
        <f>HYPERLINK("https://www.washoecounty.gov/assessor/cama/?command=sales&amp;parid=08507107","3886833")</f>
        <v>3886833</v>
      </c>
      <c r="H3713" t="s">
        <v>4162</v>
      </c>
      <c r="I3713">
        <v>1977</v>
      </c>
      <c r="J3713">
        <v>1977</v>
      </c>
      <c r="K3713" t="s">
        <v>4847</v>
      </c>
      <c r="L3713" t="s">
        <v>4555</v>
      </c>
      <c r="M3713" s="2">
        <v>1560</v>
      </c>
      <c r="N3713" t="s">
        <v>4556</v>
      </c>
      <c r="O3713">
        <v>3</v>
      </c>
      <c r="P3713">
        <v>2</v>
      </c>
      <c r="Q3713">
        <v>0</v>
      </c>
      <c r="R3713" t="s">
        <v>4557</v>
      </c>
      <c r="S3713" t="s">
        <v>4558</v>
      </c>
      <c r="T3713" t="s">
        <v>3888</v>
      </c>
      <c r="U3713" t="s">
        <v>4655</v>
      </c>
      <c r="V3713" s="2">
        <v>0</v>
      </c>
      <c r="W3713" t="s">
        <v>4655</v>
      </c>
      <c r="X3713" s="2">
        <v>0</v>
      </c>
      <c r="Y3713">
        <v>22</v>
      </c>
      <c r="Z3713" t="s">
        <v>5508</v>
      </c>
      <c r="AA3713" s="3">
        <v>0.326997250318527</v>
      </c>
      <c r="AB3713" t="s">
        <v>20386</v>
      </c>
      <c r="AC3713" t="s">
        <v>4562</v>
      </c>
      <c r="AD3713" t="s">
        <v>20387</v>
      </c>
      <c r="AE3713" t="s">
        <v>4655</v>
      </c>
      <c r="AF3713" t="s">
        <v>1570</v>
      </c>
      <c r="AG3713" t="s">
        <v>4564</v>
      </c>
      <c r="AH3713" t="s">
        <v>1601</v>
      </c>
      <c r="AI3713" t="s">
        <v>5359</v>
      </c>
      <c r="AJ3713" t="s">
        <v>4655</v>
      </c>
      <c r="AK3713" t="s">
        <v>20388</v>
      </c>
      <c r="AL3713" s="13" t="s">
        <v>1898</v>
      </c>
      <c r="AM3713" s="14">
        <v>1</v>
      </c>
      <c r="AN3713" s="15" t="s">
        <v>2528</v>
      </c>
    </row>
    <row r="3714" spans="1:40" x14ac:dyDescent="0.3">
      <c r="A3714" s="10" t="str">
        <f>HYPERLINK("http://www.washoecounty.gov/assessor/cama/?parid=085-071-13&amp;CardNumber=1","085-071-13")</f>
        <v>085-071-13</v>
      </c>
      <c r="B3714" t="s">
        <v>4655</v>
      </c>
      <c r="C3714" t="s">
        <v>20389</v>
      </c>
      <c r="D3714" s="1">
        <v>40238</v>
      </c>
      <c r="E3714" s="2">
        <v>58000</v>
      </c>
      <c r="F3714" t="s">
        <v>4553</v>
      </c>
      <c r="G3714" s="17" t="str">
        <f>HYPERLINK("https://www.washoecounty.gov/assessor/cama/?command=sales&amp;parid=08507113","3854000")</f>
        <v>3854000</v>
      </c>
      <c r="H3714" t="s">
        <v>5164</v>
      </c>
      <c r="I3714">
        <v>1991</v>
      </c>
      <c r="J3714">
        <v>1991</v>
      </c>
      <c r="K3714" t="s">
        <v>4847</v>
      </c>
      <c r="L3714" t="s">
        <v>4555</v>
      </c>
      <c r="M3714" s="2">
        <v>1610</v>
      </c>
      <c r="N3714" t="s">
        <v>5280</v>
      </c>
      <c r="O3714">
        <v>3</v>
      </c>
      <c r="P3714">
        <v>2</v>
      </c>
      <c r="Q3714">
        <v>0</v>
      </c>
      <c r="R3714" t="s">
        <v>4557</v>
      </c>
      <c r="S3714" t="s">
        <v>4558</v>
      </c>
      <c r="T3714" t="s">
        <v>4559</v>
      </c>
      <c r="U3714" t="s">
        <v>4655</v>
      </c>
      <c r="V3714" s="2">
        <v>0</v>
      </c>
      <c r="W3714" t="s">
        <v>4655</v>
      </c>
      <c r="X3714" s="2">
        <v>0</v>
      </c>
      <c r="Y3714">
        <v>22</v>
      </c>
      <c r="Z3714" t="s">
        <v>5508</v>
      </c>
      <c r="AA3714" s="3">
        <v>0.34499540925025901</v>
      </c>
      <c r="AB3714" t="s">
        <v>20390</v>
      </c>
      <c r="AC3714" t="s">
        <v>4575</v>
      </c>
      <c r="AD3714" t="s">
        <v>20389</v>
      </c>
      <c r="AE3714" t="s">
        <v>4655</v>
      </c>
      <c r="AF3714" t="s">
        <v>1570</v>
      </c>
      <c r="AG3714" t="s">
        <v>4564</v>
      </c>
      <c r="AH3714" t="s">
        <v>1601</v>
      </c>
      <c r="AI3714" t="s">
        <v>4848</v>
      </c>
      <c r="AJ3714" t="s">
        <v>4655</v>
      </c>
      <c r="AK3714" t="s">
        <v>20391</v>
      </c>
      <c r="AL3714" s="13" t="s">
        <v>1898</v>
      </c>
      <c r="AM3714" s="14">
        <v>1</v>
      </c>
      <c r="AN3714" s="15" t="s">
        <v>2528</v>
      </c>
    </row>
    <row r="3715" spans="1:40" x14ac:dyDescent="0.3">
      <c r="A3715" s="10" t="str">
        <f>HYPERLINK("http://www.washoecounty.gov/assessor/cama/?parid=085-071-34&amp;CardNumber=1","085-071-34")</f>
        <v>085-071-34</v>
      </c>
      <c r="B3715" t="s">
        <v>4655</v>
      </c>
      <c r="C3715" t="s">
        <v>20392</v>
      </c>
      <c r="D3715" s="1">
        <v>40296</v>
      </c>
      <c r="E3715" s="2">
        <v>95100</v>
      </c>
      <c r="F3715" t="s">
        <v>4553</v>
      </c>
      <c r="G3715" s="17" t="str">
        <f>HYPERLINK("https://www.washoecounty.gov/assessor/cama/?command=sales&amp;parid=08507134","3875718")</f>
        <v>3875718</v>
      </c>
      <c r="H3715" t="s">
        <v>20393</v>
      </c>
      <c r="I3715">
        <v>2005</v>
      </c>
      <c r="J3715">
        <v>2005</v>
      </c>
      <c r="K3715" t="s">
        <v>4847</v>
      </c>
      <c r="L3715" t="s">
        <v>4555</v>
      </c>
      <c r="M3715" s="2">
        <v>1620</v>
      </c>
      <c r="N3715" t="s">
        <v>3147</v>
      </c>
      <c r="O3715">
        <v>3</v>
      </c>
      <c r="P3715">
        <v>2</v>
      </c>
      <c r="Q3715">
        <v>0</v>
      </c>
      <c r="R3715" t="s">
        <v>4557</v>
      </c>
      <c r="S3715" t="s">
        <v>4558</v>
      </c>
      <c r="T3715" t="s">
        <v>4559</v>
      </c>
      <c r="U3715" t="s">
        <v>4655</v>
      </c>
      <c r="V3715" s="2">
        <v>0</v>
      </c>
      <c r="W3715" t="s">
        <v>4655</v>
      </c>
      <c r="X3715" s="2">
        <v>0</v>
      </c>
      <c r="Y3715">
        <v>22</v>
      </c>
      <c r="Z3715" t="s">
        <v>5508</v>
      </c>
      <c r="AA3715" s="3">
        <v>0.39898988604545599</v>
      </c>
      <c r="AB3715" t="s">
        <v>20394</v>
      </c>
      <c r="AC3715" t="s">
        <v>4562</v>
      </c>
      <c r="AD3715" t="s">
        <v>20392</v>
      </c>
      <c r="AE3715" t="s">
        <v>4655</v>
      </c>
      <c r="AF3715" t="s">
        <v>1600</v>
      </c>
      <c r="AG3715" t="s">
        <v>4564</v>
      </c>
      <c r="AH3715" t="s">
        <v>1601</v>
      </c>
      <c r="AI3715" t="s">
        <v>4848</v>
      </c>
      <c r="AJ3715" t="s">
        <v>4655</v>
      </c>
      <c r="AK3715" t="s">
        <v>20395</v>
      </c>
      <c r="AL3715" s="13" t="s">
        <v>1898</v>
      </c>
      <c r="AM3715" s="14">
        <v>1</v>
      </c>
      <c r="AN3715" s="15" t="s">
        <v>2528</v>
      </c>
    </row>
    <row r="3716" spans="1:40" x14ac:dyDescent="0.3">
      <c r="A3716" s="10" t="str">
        <f>HYPERLINK("http://www.washoecounty.gov/assessor/cama/?parid=085-071-41&amp;CardNumber=1","085-071-41")</f>
        <v>085-071-41</v>
      </c>
      <c r="B3716" t="s">
        <v>4655</v>
      </c>
      <c r="C3716" t="s">
        <v>20396</v>
      </c>
      <c r="D3716" s="1">
        <v>40312</v>
      </c>
      <c r="E3716" s="2">
        <v>165000</v>
      </c>
      <c r="F3716" t="s">
        <v>4553</v>
      </c>
      <c r="G3716" s="17" t="str">
        <f>HYPERLINK("https://www.washoecounty.gov/assessor/cama/?command=sales&amp;parid=08507141","3881708")</f>
        <v>3881708</v>
      </c>
      <c r="H3716" t="s">
        <v>20397</v>
      </c>
      <c r="I3716">
        <v>1949</v>
      </c>
      <c r="J3716">
        <v>1966</v>
      </c>
      <c r="K3716" t="s">
        <v>4554</v>
      </c>
      <c r="L3716" t="s">
        <v>4555</v>
      </c>
      <c r="M3716" s="2">
        <v>1816</v>
      </c>
      <c r="N3716" t="s">
        <v>4672</v>
      </c>
      <c r="O3716">
        <v>3</v>
      </c>
      <c r="P3716">
        <v>2</v>
      </c>
      <c r="Q3716">
        <v>0</v>
      </c>
      <c r="R3716" t="s">
        <v>4557</v>
      </c>
      <c r="S3716" t="s">
        <v>4574</v>
      </c>
      <c r="T3716" t="s">
        <v>4143</v>
      </c>
      <c r="U3716" t="s">
        <v>4560</v>
      </c>
      <c r="V3716" s="2">
        <v>1152</v>
      </c>
      <c r="W3716" t="s">
        <v>4655</v>
      </c>
      <c r="X3716" s="2">
        <v>0</v>
      </c>
      <c r="Y3716">
        <v>20</v>
      </c>
      <c r="Z3716" t="s">
        <v>5508</v>
      </c>
      <c r="AA3716" s="3">
        <v>0.439003676176071</v>
      </c>
      <c r="AB3716" t="s">
        <v>20398</v>
      </c>
      <c r="AC3716" t="s">
        <v>4562</v>
      </c>
      <c r="AD3716" t="s">
        <v>20396</v>
      </c>
      <c r="AE3716" t="s">
        <v>4655</v>
      </c>
      <c r="AF3716" t="s">
        <v>1600</v>
      </c>
      <c r="AG3716" t="s">
        <v>4564</v>
      </c>
      <c r="AH3716" t="s">
        <v>1601</v>
      </c>
      <c r="AI3716" t="s">
        <v>20399</v>
      </c>
      <c r="AJ3716" t="s">
        <v>4655</v>
      </c>
      <c r="AK3716" t="s">
        <v>20400</v>
      </c>
      <c r="AL3716" s="13" t="s">
        <v>1898</v>
      </c>
      <c r="AM3716">
        <v>1</v>
      </c>
      <c r="AN3716" s="15" t="s">
        <v>2528</v>
      </c>
    </row>
    <row r="3717" spans="1:40" x14ac:dyDescent="0.3">
      <c r="A3717" s="10" t="str">
        <f>HYPERLINK("http://www.washoecounty.gov/assessor/cama/?parid=085-071-48&amp;CardNumber=1","085-071-48")</f>
        <v>085-071-48</v>
      </c>
      <c r="B3717" t="s">
        <v>4655</v>
      </c>
      <c r="C3717" t="s">
        <v>20401</v>
      </c>
      <c r="D3717" s="1">
        <v>40381</v>
      </c>
      <c r="E3717" s="2">
        <v>99000</v>
      </c>
      <c r="F3717" t="s">
        <v>4553</v>
      </c>
      <c r="G3717" s="17" t="str">
        <f>HYPERLINK("https://www.washoecounty.gov/assessor/cama/?command=sales&amp;parid=08507148","3903990")</f>
        <v>3903990</v>
      </c>
      <c r="H3717" t="s">
        <v>603</v>
      </c>
      <c r="I3717">
        <v>2007</v>
      </c>
      <c r="J3717">
        <v>2007</v>
      </c>
      <c r="K3717" t="s">
        <v>4847</v>
      </c>
      <c r="L3717" t="s">
        <v>4555</v>
      </c>
      <c r="M3717" s="2">
        <v>1620</v>
      </c>
      <c r="N3717" t="s">
        <v>5280</v>
      </c>
      <c r="O3717">
        <v>4</v>
      </c>
      <c r="P3717">
        <v>2</v>
      </c>
      <c r="Q3717">
        <v>0</v>
      </c>
      <c r="R3717" t="s">
        <v>4557</v>
      </c>
      <c r="S3717" t="s">
        <v>4558</v>
      </c>
      <c r="T3717" t="s">
        <v>4559</v>
      </c>
      <c r="U3717" t="s">
        <v>4655</v>
      </c>
      <c r="V3717" s="2">
        <v>0</v>
      </c>
      <c r="W3717" t="s">
        <v>4655</v>
      </c>
      <c r="X3717" s="2">
        <v>0</v>
      </c>
      <c r="Y3717">
        <v>22</v>
      </c>
      <c r="Z3717" t="s">
        <v>5508</v>
      </c>
      <c r="AA3717" s="3">
        <v>0.310996323823929</v>
      </c>
      <c r="AB3717" t="s">
        <v>20402</v>
      </c>
      <c r="AC3717" t="s">
        <v>4562</v>
      </c>
      <c r="AD3717" t="s">
        <v>20401</v>
      </c>
      <c r="AE3717" t="s">
        <v>4655</v>
      </c>
      <c r="AF3717" t="s">
        <v>1600</v>
      </c>
      <c r="AG3717" t="s">
        <v>4564</v>
      </c>
      <c r="AH3717" t="s">
        <v>1601</v>
      </c>
      <c r="AI3717" t="s">
        <v>2351</v>
      </c>
      <c r="AJ3717" t="s">
        <v>4655</v>
      </c>
      <c r="AK3717" t="s">
        <v>20403</v>
      </c>
      <c r="AL3717" s="13" t="s">
        <v>1898</v>
      </c>
      <c r="AM3717">
        <v>1</v>
      </c>
      <c r="AN3717" s="15" t="s">
        <v>2528</v>
      </c>
    </row>
    <row r="3718" spans="1:40" x14ac:dyDescent="0.3">
      <c r="A3718" s="10" t="str">
        <f>HYPERLINK("http://www.washoecounty.gov/assessor/cama/?parid=085-081-26&amp;CardNumber=1","085-081-26")</f>
        <v>085-081-26</v>
      </c>
      <c r="B3718" t="s">
        <v>4655</v>
      </c>
      <c r="C3718" t="s">
        <v>20404</v>
      </c>
      <c r="D3718" s="1">
        <v>40207</v>
      </c>
      <c r="E3718" s="2">
        <v>50000</v>
      </c>
      <c r="F3718" t="s">
        <v>4187</v>
      </c>
      <c r="G3718" s="17" t="str">
        <f>HYPERLINK("https://www.washoecounty.gov/assessor/cama/?command=sales&amp;parid=08508126","3844332")</f>
        <v>3844332</v>
      </c>
      <c r="H3718" t="s">
        <v>4746</v>
      </c>
      <c r="I3718">
        <v>0</v>
      </c>
      <c r="J3718">
        <v>0</v>
      </c>
      <c r="K3718" t="s">
        <v>4655</v>
      </c>
      <c r="L3718" t="s">
        <v>4655</v>
      </c>
      <c r="M3718" s="2">
        <v>0</v>
      </c>
      <c r="N3718" t="s">
        <v>4655</v>
      </c>
      <c r="O3718">
        <v>0</v>
      </c>
      <c r="P3718">
        <v>0</v>
      </c>
      <c r="Q3718">
        <v>0</v>
      </c>
      <c r="R3718" t="s">
        <v>4655</v>
      </c>
      <c r="S3718" t="s">
        <v>4655</v>
      </c>
      <c r="T3718" t="s">
        <v>4655</v>
      </c>
      <c r="U3718" t="s">
        <v>4655</v>
      </c>
      <c r="V3718" s="2">
        <v>0</v>
      </c>
      <c r="W3718" t="s">
        <v>4655</v>
      </c>
      <c r="X3718" s="2">
        <v>0</v>
      </c>
      <c r="Y3718">
        <v>12</v>
      </c>
      <c r="Z3718" t="s">
        <v>5508</v>
      </c>
      <c r="AA3718" s="3">
        <v>0.33252984285354614</v>
      </c>
      <c r="AB3718" t="s">
        <v>20405</v>
      </c>
      <c r="AC3718" t="s">
        <v>4575</v>
      </c>
      <c r="AD3718" t="s">
        <v>20406</v>
      </c>
      <c r="AE3718" t="s">
        <v>4655</v>
      </c>
      <c r="AF3718" t="s">
        <v>1570</v>
      </c>
      <c r="AG3718" t="s">
        <v>4564</v>
      </c>
      <c r="AH3718" t="s">
        <v>1601</v>
      </c>
      <c r="AI3718" t="s">
        <v>20407</v>
      </c>
      <c r="AJ3718" t="s">
        <v>5161</v>
      </c>
      <c r="AK3718" t="s">
        <v>20408</v>
      </c>
      <c r="AL3718" s="13" t="s">
        <v>1898</v>
      </c>
      <c r="AM3718">
        <v>0</v>
      </c>
      <c r="AN3718" s="15" t="s">
        <v>2528</v>
      </c>
    </row>
    <row r="3719" spans="1:40" x14ac:dyDescent="0.3">
      <c r="A3719" s="10" t="str">
        <f>HYPERLINK("http://www.washoecounty.gov/assessor/cama/?parid=085-081-27&amp;CardNumber=1","085-081-27")</f>
        <v>085-081-27</v>
      </c>
      <c r="B3719" t="s">
        <v>4655</v>
      </c>
      <c r="C3719" t="s">
        <v>20409</v>
      </c>
      <c r="D3719" s="1">
        <v>40207</v>
      </c>
      <c r="E3719" s="2">
        <v>150000</v>
      </c>
      <c r="F3719" t="s">
        <v>4567</v>
      </c>
      <c r="G3719" s="17" t="str">
        <f>HYPERLINK("https://www.washoecounty.gov/assessor/cama/?command=sales&amp;parid=08508127","3844329")</f>
        <v>3844329</v>
      </c>
      <c r="H3719" t="s">
        <v>4746</v>
      </c>
      <c r="I3719">
        <v>0</v>
      </c>
      <c r="J3719">
        <v>0</v>
      </c>
      <c r="K3719" t="s">
        <v>4655</v>
      </c>
      <c r="L3719" t="s">
        <v>4655</v>
      </c>
      <c r="M3719" s="2">
        <v>0</v>
      </c>
      <c r="N3719" t="s">
        <v>4655</v>
      </c>
      <c r="O3719">
        <v>0</v>
      </c>
      <c r="P3719">
        <v>0</v>
      </c>
      <c r="Q3719">
        <v>0</v>
      </c>
      <c r="R3719" t="s">
        <v>4655</v>
      </c>
      <c r="S3719" t="s">
        <v>4655</v>
      </c>
      <c r="T3719" t="s">
        <v>4655</v>
      </c>
      <c r="U3719" t="s">
        <v>4655</v>
      </c>
      <c r="V3719" s="2">
        <v>0</v>
      </c>
      <c r="W3719" t="s">
        <v>4655</v>
      </c>
      <c r="X3719" s="2">
        <v>0</v>
      </c>
      <c r="Y3719">
        <v>23</v>
      </c>
      <c r="Z3719" t="s">
        <v>5508</v>
      </c>
      <c r="AA3719" s="3">
        <v>0.332552790641785</v>
      </c>
      <c r="AB3719" t="s">
        <v>20405</v>
      </c>
      <c r="AC3719" t="s">
        <v>4575</v>
      </c>
      <c r="AD3719" t="s">
        <v>20406</v>
      </c>
      <c r="AE3719" t="s">
        <v>4655</v>
      </c>
      <c r="AF3719" t="s">
        <v>1570</v>
      </c>
      <c r="AG3719" t="s">
        <v>4564</v>
      </c>
      <c r="AH3719" t="s">
        <v>1601</v>
      </c>
      <c r="AI3719" t="s">
        <v>20407</v>
      </c>
      <c r="AJ3719" t="s">
        <v>5161</v>
      </c>
      <c r="AK3719" t="s">
        <v>20410</v>
      </c>
      <c r="AL3719" s="13" t="s">
        <v>1898</v>
      </c>
      <c r="AM3719">
        <v>0</v>
      </c>
      <c r="AN3719" s="15" t="s">
        <v>2528</v>
      </c>
    </row>
    <row r="3720" spans="1:40" x14ac:dyDescent="0.3">
      <c r="A3720" s="10" t="str">
        <f>HYPERLINK("http://www.washoecounty.gov/assessor/cama/?parid=085-081-32&amp;CardNumber=1","085-081-32")</f>
        <v>085-081-32</v>
      </c>
      <c r="B3720" t="s">
        <v>4655</v>
      </c>
      <c r="C3720" t="s">
        <v>20411</v>
      </c>
      <c r="D3720" s="1">
        <v>40312</v>
      </c>
      <c r="E3720" s="2">
        <v>60000</v>
      </c>
      <c r="F3720" t="s">
        <v>4187</v>
      </c>
      <c r="G3720" s="17" t="str">
        <f>HYPERLINK("https://www.washoecounty.gov/assessor/cama/?command=sales&amp;parid=08508132","3881358")</f>
        <v>3881358</v>
      </c>
      <c r="H3720" t="s">
        <v>20412</v>
      </c>
      <c r="I3720">
        <v>0</v>
      </c>
      <c r="J3720">
        <v>0</v>
      </c>
      <c r="K3720" t="s">
        <v>4655</v>
      </c>
      <c r="L3720" t="s">
        <v>4655</v>
      </c>
      <c r="M3720" s="2">
        <v>0</v>
      </c>
      <c r="N3720" t="s">
        <v>4655</v>
      </c>
      <c r="O3720">
        <v>0</v>
      </c>
      <c r="P3720">
        <v>0</v>
      </c>
      <c r="Q3720">
        <v>0</v>
      </c>
      <c r="R3720" t="s">
        <v>4655</v>
      </c>
      <c r="S3720" t="s">
        <v>4655</v>
      </c>
      <c r="T3720" t="s">
        <v>4655</v>
      </c>
      <c r="U3720" t="s">
        <v>4655</v>
      </c>
      <c r="V3720" s="2">
        <v>0</v>
      </c>
      <c r="W3720" t="s">
        <v>4655</v>
      </c>
      <c r="X3720" s="2">
        <v>0</v>
      </c>
      <c r="Y3720">
        <v>12</v>
      </c>
      <c r="Z3720" t="s">
        <v>5508</v>
      </c>
      <c r="AA3720" s="3">
        <v>0.52947658300399703</v>
      </c>
      <c r="AB3720" t="s">
        <v>20413</v>
      </c>
      <c r="AC3720" t="s">
        <v>4562</v>
      </c>
      <c r="AD3720" t="s">
        <v>20414</v>
      </c>
      <c r="AE3720" t="s">
        <v>4655</v>
      </c>
      <c r="AF3720" t="s">
        <v>20415</v>
      </c>
      <c r="AG3720" t="s">
        <v>4584</v>
      </c>
      <c r="AH3720">
        <v>93907</v>
      </c>
      <c r="AI3720" t="s">
        <v>4655</v>
      </c>
      <c r="AJ3720" t="s">
        <v>20416</v>
      </c>
      <c r="AK3720" t="s">
        <v>20417</v>
      </c>
      <c r="AL3720" s="13" t="s">
        <v>1898</v>
      </c>
      <c r="AM3720">
        <v>0</v>
      </c>
      <c r="AN3720" s="15" t="s">
        <v>2528</v>
      </c>
    </row>
    <row r="3721" spans="1:40" x14ac:dyDescent="0.3">
      <c r="A3721" s="10" t="str">
        <f>HYPERLINK("http://www.washoecounty.gov/assessor/cama/?parid=085-083-05&amp;CardNumber=1","085-083-05")</f>
        <v>085-083-05</v>
      </c>
      <c r="B3721" t="s">
        <v>4655</v>
      </c>
      <c r="C3721" t="s">
        <v>20418</v>
      </c>
      <c r="D3721" s="1">
        <v>40249</v>
      </c>
      <c r="E3721" s="2">
        <v>70000</v>
      </c>
      <c r="F3721" t="s">
        <v>4553</v>
      </c>
      <c r="G3721" s="17" t="str">
        <f>HYPERLINK("https://www.washoecounty.gov/assessor/cama/?command=sales&amp;parid=08508305","3859464")</f>
        <v>3859464</v>
      </c>
      <c r="H3721" t="s">
        <v>4162</v>
      </c>
      <c r="I3721">
        <v>1990</v>
      </c>
      <c r="J3721">
        <v>1990</v>
      </c>
      <c r="K3721" t="s">
        <v>4847</v>
      </c>
      <c r="L3721" t="s">
        <v>4555</v>
      </c>
      <c r="M3721" s="2">
        <v>1848</v>
      </c>
      <c r="N3721" t="s">
        <v>4048</v>
      </c>
      <c r="O3721">
        <v>3</v>
      </c>
      <c r="P3721">
        <v>2</v>
      </c>
      <c r="Q3721">
        <v>0</v>
      </c>
      <c r="R3721" t="s">
        <v>4557</v>
      </c>
      <c r="S3721" t="s">
        <v>4558</v>
      </c>
      <c r="T3721" t="s">
        <v>4559</v>
      </c>
      <c r="U3721" t="s">
        <v>4655</v>
      </c>
      <c r="V3721" s="2">
        <v>0</v>
      </c>
      <c r="W3721" t="s">
        <v>4655</v>
      </c>
      <c r="X3721" s="2">
        <v>0</v>
      </c>
      <c r="Y3721">
        <v>22</v>
      </c>
      <c r="Z3721" t="s">
        <v>5508</v>
      </c>
      <c r="AA3721" s="3">
        <v>0.34400826692581199</v>
      </c>
      <c r="AB3721" t="s">
        <v>20419</v>
      </c>
      <c r="AC3721" t="s">
        <v>4562</v>
      </c>
      <c r="AD3721" t="s">
        <v>20418</v>
      </c>
      <c r="AE3721" t="s">
        <v>4655</v>
      </c>
      <c r="AF3721" t="s">
        <v>1600</v>
      </c>
      <c r="AG3721" t="s">
        <v>4564</v>
      </c>
      <c r="AH3721" t="s">
        <v>1601</v>
      </c>
      <c r="AI3721" t="s">
        <v>4848</v>
      </c>
      <c r="AJ3721" t="s">
        <v>4655</v>
      </c>
      <c r="AK3721" t="s">
        <v>20420</v>
      </c>
      <c r="AL3721" s="13" t="s">
        <v>1898</v>
      </c>
      <c r="AM3721">
        <v>1</v>
      </c>
      <c r="AN3721" s="15" t="s">
        <v>2528</v>
      </c>
    </row>
    <row r="3722" spans="1:40" x14ac:dyDescent="0.3">
      <c r="A3722" s="10" t="str">
        <f>HYPERLINK("http://www.washoecounty.gov/assessor/cama/?parid=085-102-71&amp;CardNumber=1","085-102-71")</f>
        <v>085-102-71</v>
      </c>
      <c r="B3722" t="s">
        <v>4655</v>
      </c>
      <c r="C3722" t="s">
        <v>20421</v>
      </c>
      <c r="D3722" s="1">
        <v>40506</v>
      </c>
      <c r="E3722" s="2">
        <v>51000</v>
      </c>
      <c r="F3722" t="s">
        <v>4553</v>
      </c>
      <c r="G3722" s="17" t="str">
        <f>HYPERLINK("https://www.washoecounty.gov/assessor/cama/?command=sales&amp;parid=08510271","3946819")</f>
        <v>3946819</v>
      </c>
      <c r="H3722" t="s">
        <v>20422</v>
      </c>
      <c r="I3722">
        <v>1992</v>
      </c>
      <c r="J3722">
        <v>1992</v>
      </c>
      <c r="K3722" t="s">
        <v>4847</v>
      </c>
      <c r="L3722" t="s">
        <v>4555</v>
      </c>
      <c r="M3722" s="2">
        <v>960</v>
      </c>
      <c r="N3722" t="s">
        <v>4048</v>
      </c>
      <c r="O3722">
        <v>2</v>
      </c>
      <c r="P3722">
        <v>2</v>
      </c>
      <c r="Q3722">
        <v>0</v>
      </c>
      <c r="R3722" t="s">
        <v>4557</v>
      </c>
      <c r="S3722" t="s">
        <v>4558</v>
      </c>
      <c r="T3722" t="s">
        <v>4559</v>
      </c>
      <c r="U3722" t="s">
        <v>4655</v>
      </c>
      <c r="V3722" s="2">
        <v>0</v>
      </c>
      <c r="W3722" t="s">
        <v>4655</v>
      </c>
      <c r="X3722" s="2">
        <v>0</v>
      </c>
      <c r="Y3722">
        <v>22</v>
      </c>
      <c r="Z3722" t="s">
        <v>5508</v>
      </c>
      <c r="AA3722" s="3">
        <v>0.46767675876617432</v>
      </c>
      <c r="AB3722" t="s">
        <v>20423</v>
      </c>
      <c r="AC3722" t="s">
        <v>4562</v>
      </c>
      <c r="AD3722" t="s">
        <v>20421</v>
      </c>
      <c r="AE3722" t="s">
        <v>4655</v>
      </c>
      <c r="AF3722" t="s">
        <v>1600</v>
      </c>
      <c r="AG3722" t="s">
        <v>4564</v>
      </c>
      <c r="AH3722" t="s">
        <v>1601</v>
      </c>
      <c r="AI3722" t="s">
        <v>4848</v>
      </c>
      <c r="AJ3722" t="s">
        <v>20424</v>
      </c>
      <c r="AK3722" t="s">
        <v>20425</v>
      </c>
      <c r="AL3722" s="13" t="s">
        <v>1898</v>
      </c>
      <c r="AM3722">
        <v>1</v>
      </c>
      <c r="AN3722" s="15" t="s">
        <v>2528</v>
      </c>
    </row>
    <row r="3723" spans="1:40" x14ac:dyDescent="0.3">
      <c r="A3723" s="10" t="str">
        <f>HYPERLINK("http://www.washoecounty.gov/assessor/cama/?parid=085-103-06&amp;CardNumber=1","085-103-06")</f>
        <v>085-103-06</v>
      </c>
      <c r="B3723" t="s">
        <v>4655</v>
      </c>
      <c r="C3723" t="s">
        <v>20426</v>
      </c>
      <c r="D3723" s="1">
        <v>40280</v>
      </c>
      <c r="E3723" s="2">
        <v>45100</v>
      </c>
      <c r="F3723" t="s">
        <v>4553</v>
      </c>
      <c r="G3723" s="17" t="str">
        <f>HYPERLINK("https://www.washoecounty.gov/assessor/cama/?command=sales&amp;parid=08510306","3870121")</f>
        <v>3870121</v>
      </c>
      <c r="H3723" t="s">
        <v>20422</v>
      </c>
      <c r="I3723">
        <v>1942</v>
      </c>
      <c r="J3723">
        <v>1942</v>
      </c>
      <c r="K3723" t="s">
        <v>4554</v>
      </c>
      <c r="L3723" t="s">
        <v>4555</v>
      </c>
      <c r="M3723" s="2">
        <v>1468</v>
      </c>
      <c r="N3723" t="s">
        <v>4133</v>
      </c>
      <c r="O3723">
        <v>2</v>
      </c>
      <c r="P3723">
        <v>1</v>
      </c>
      <c r="Q3723">
        <v>0</v>
      </c>
      <c r="R3723" t="s">
        <v>1800</v>
      </c>
      <c r="S3723" t="s">
        <v>4898</v>
      </c>
      <c r="T3723" t="s">
        <v>4559</v>
      </c>
      <c r="U3723" t="s">
        <v>4655</v>
      </c>
      <c r="V3723" s="2">
        <v>0</v>
      </c>
      <c r="W3723" t="s">
        <v>4655</v>
      </c>
      <c r="X3723" s="2">
        <v>0</v>
      </c>
      <c r="Y3723">
        <v>20</v>
      </c>
      <c r="Z3723" t="s">
        <v>5508</v>
      </c>
      <c r="AA3723" s="3">
        <v>0.58700644969940097</v>
      </c>
      <c r="AB3723" t="s">
        <v>20427</v>
      </c>
      <c r="AC3723" t="s">
        <v>4575</v>
      </c>
      <c r="AD3723" t="s">
        <v>20426</v>
      </c>
      <c r="AE3723" t="s">
        <v>4655</v>
      </c>
      <c r="AF3723" t="s">
        <v>1600</v>
      </c>
      <c r="AG3723" t="s">
        <v>4564</v>
      </c>
      <c r="AH3723" t="s">
        <v>1601</v>
      </c>
      <c r="AI3723" t="s">
        <v>4565</v>
      </c>
      <c r="AJ3723" t="s">
        <v>4655</v>
      </c>
      <c r="AK3723" t="s">
        <v>20428</v>
      </c>
      <c r="AL3723" s="13" t="s">
        <v>1898</v>
      </c>
      <c r="AM3723">
        <v>1</v>
      </c>
      <c r="AN3723" s="15" t="s">
        <v>2528</v>
      </c>
    </row>
    <row r="3724" spans="1:40" x14ac:dyDescent="0.3">
      <c r="A3724" s="10" t="str">
        <f>HYPERLINK("http://www.washoecounty.gov/assessor/cama/?parid=085-112-29&amp;CardNumber=1","085-112-29")</f>
        <v>085-112-29</v>
      </c>
      <c r="B3724" t="s">
        <v>4655</v>
      </c>
      <c r="C3724" t="s">
        <v>20429</v>
      </c>
      <c r="D3724" s="1">
        <v>40389</v>
      </c>
      <c r="E3724" s="2">
        <v>95000</v>
      </c>
      <c r="F3724" t="s">
        <v>4567</v>
      </c>
      <c r="G3724" s="17" t="str">
        <f>HYPERLINK("https://www.washoecounty.gov/assessor/cama/?command=sales&amp;parid=08511229","3907512")</f>
        <v>3907512</v>
      </c>
      <c r="H3724" t="s">
        <v>20430</v>
      </c>
      <c r="I3724">
        <v>2005</v>
      </c>
      <c r="J3724">
        <v>2005</v>
      </c>
      <c r="K3724" t="s">
        <v>4847</v>
      </c>
      <c r="L3724" t="s">
        <v>4555</v>
      </c>
      <c r="M3724" s="2">
        <v>1772</v>
      </c>
      <c r="N3724" t="s">
        <v>3147</v>
      </c>
      <c r="O3724">
        <v>3</v>
      </c>
      <c r="P3724">
        <v>2</v>
      </c>
      <c r="Q3724">
        <v>0</v>
      </c>
      <c r="R3724" t="s">
        <v>4557</v>
      </c>
      <c r="S3724" t="s">
        <v>4135</v>
      </c>
      <c r="T3724" t="s">
        <v>4559</v>
      </c>
      <c r="U3724" t="s">
        <v>4655</v>
      </c>
      <c r="V3724" s="2">
        <v>0</v>
      </c>
      <c r="W3724" t="s">
        <v>4655</v>
      </c>
      <c r="X3724" s="2">
        <v>0</v>
      </c>
      <c r="Y3724">
        <v>22</v>
      </c>
      <c r="Z3724" t="s">
        <v>5508</v>
      </c>
      <c r="AA3724" s="3">
        <v>0.34499540925025901</v>
      </c>
      <c r="AB3724" t="s">
        <v>20431</v>
      </c>
      <c r="AC3724" t="s">
        <v>4562</v>
      </c>
      <c r="AD3724" t="s">
        <v>20429</v>
      </c>
      <c r="AE3724" t="s">
        <v>4655</v>
      </c>
      <c r="AF3724" t="s">
        <v>1600</v>
      </c>
      <c r="AG3724" t="s">
        <v>4564</v>
      </c>
      <c r="AH3724" t="s">
        <v>1601</v>
      </c>
      <c r="AI3724" t="s">
        <v>20432</v>
      </c>
      <c r="AJ3724" t="s">
        <v>4655</v>
      </c>
      <c r="AK3724" t="s">
        <v>20433</v>
      </c>
      <c r="AL3724" s="13" t="s">
        <v>1898</v>
      </c>
      <c r="AM3724">
        <v>1</v>
      </c>
      <c r="AN3724" s="15" t="s">
        <v>2528</v>
      </c>
    </row>
    <row r="3725" spans="1:40" x14ac:dyDescent="0.3">
      <c r="A3725" s="10" t="str">
        <f>HYPERLINK("http://www.washoecounty.gov/assessor/cama/?parid=085-112-34&amp;CardNumber=1","085-112-34")</f>
        <v>085-112-34</v>
      </c>
      <c r="B3725" t="s">
        <v>4655</v>
      </c>
      <c r="C3725" t="s">
        <v>20434</v>
      </c>
      <c r="D3725" s="1">
        <v>40399</v>
      </c>
      <c r="E3725" s="2">
        <v>45000</v>
      </c>
      <c r="F3725" t="s">
        <v>4567</v>
      </c>
      <c r="G3725" s="17" t="str">
        <f>HYPERLINK("https://www.washoecounty.gov/assessor/cama/?command=sales&amp;parid=08511234","3910035")</f>
        <v>3910035</v>
      </c>
      <c r="H3725" t="s">
        <v>20435</v>
      </c>
      <c r="I3725">
        <v>1920</v>
      </c>
      <c r="J3725">
        <v>1920</v>
      </c>
      <c r="K3725" t="s">
        <v>4554</v>
      </c>
      <c r="L3725" t="s">
        <v>4555</v>
      </c>
      <c r="M3725" s="2">
        <v>898</v>
      </c>
      <c r="N3725" t="s">
        <v>4672</v>
      </c>
      <c r="O3725">
        <v>1</v>
      </c>
      <c r="P3725">
        <v>1</v>
      </c>
      <c r="Q3725">
        <v>0</v>
      </c>
      <c r="R3725" t="s">
        <v>4134</v>
      </c>
      <c r="S3725" t="s">
        <v>3148</v>
      </c>
      <c r="T3725" t="s">
        <v>4559</v>
      </c>
      <c r="U3725" t="s">
        <v>4655</v>
      </c>
      <c r="V3725" s="2">
        <v>0</v>
      </c>
      <c r="W3725" t="s">
        <v>4655</v>
      </c>
      <c r="X3725" s="2">
        <v>0</v>
      </c>
      <c r="Y3725">
        <v>20</v>
      </c>
      <c r="Z3725" t="s">
        <v>5508</v>
      </c>
      <c r="AA3725" s="3">
        <v>0.44600552320480302</v>
      </c>
      <c r="AB3725" t="s">
        <v>20436</v>
      </c>
      <c r="AC3725" t="s">
        <v>4562</v>
      </c>
      <c r="AD3725" t="s">
        <v>20437</v>
      </c>
      <c r="AE3725" t="s">
        <v>4655</v>
      </c>
      <c r="AF3725" t="s">
        <v>482</v>
      </c>
      <c r="AG3725" t="s">
        <v>4584</v>
      </c>
      <c r="AH3725" t="s">
        <v>483</v>
      </c>
      <c r="AI3725" t="s">
        <v>4655</v>
      </c>
      <c r="AJ3725" t="s">
        <v>20438</v>
      </c>
      <c r="AK3725" t="s">
        <v>20439</v>
      </c>
      <c r="AL3725" s="13" t="s">
        <v>1898</v>
      </c>
      <c r="AM3725">
        <v>1</v>
      </c>
      <c r="AN3725" s="15" t="s">
        <v>2528</v>
      </c>
    </row>
    <row r="3726" spans="1:40" x14ac:dyDescent="0.3">
      <c r="A3726" s="10" t="str">
        <f>HYPERLINK("http://www.washoecounty.gov/assessor/cama/?parid=085-123-58&amp;CardNumber=1","085-123-58")</f>
        <v>085-123-58</v>
      </c>
      <c r="B3726" t="s">
        <v>4655</v>
      </c>
      <c r="C3726" t="s">
        <v>20440</v>
      </c>
      <c r="D3726" s="1">
        <v>40324</v>
      </c>
      <c r="E3726" s="2">
        <v>110000</v>
      </c>
      <c r="F3726" t="s">
        <v>4567</v>
      </c>
      <c r="G3726" s="17" t="str">
        <f>HYPERLINK("https://www.washoecounty.gov/assessor/cama/?command=sales&amp;parid=08512358","3885462")</f>
        <v>3885462</v>
      </c>
      <c r="H3726" t="s">
        <v>2183</v>
      </c>
      <c r="I3726">
        <v>1993</v>
      </c>
      <c r="J3726">
        <v>1993</v>
      </c>
      <c r="K3726" t="s">
        <v>4847</v>
      </c>
      <c r="L3726" t="s">
        <v>4555</v>
      </c>
      <c r="M3726" s="2">
        <v>1560</v>
      </c>
      <c r="N3726" t="s">
        <v>4048</v>
      </c>
      <c r="O3726">
        <v>4</v>
      </c>
      <c r="P3726">
        <v>2</v>
      </c>
      <c r="Q3726">
        <v>0</v>
      </c>
      <c r="R3726" t="s">
        <v>4557</v>
      </c>
      <c r="S3726" t="s">
        <v>4558</v>
      </c>
      <c r="T3726" t="s">
        <v>4559</v>
      </c>
      <c r="U3726" t="s">
        <v>4655</v>
      </c>
      <c r="V3726" s="2">
        <v>0</v>
      </c>
      <c r="W3726" t="s">
        <v>4655</v>
      </c>
      <c r="X3726" s="2">
        <v>0</v>
      </c>
      <c r="Y3726">
        <v>23</v>
      </c>
      <c r="Z3726" t="s">
        <v>5508</v>
      </c>
      <c r="AA3726" s="3">
        <v>0.27199265360832198</v>
      </c>
      <c r="AB3726" t="s">
        <v>20441</v>
      </c>
      <c r="AC3726" t="s">
        <v>4562</v>
      </c>
      <c r="AD3726" t="s">
        <v>20440</v>
      </c>
      <c r="AE3726" t="s">
        <v>4655</v>
      </c>
      <c r="AF3726" t="s">
        <v>1600</v>
      </c>
      <c r="AG3726" t="s">
        <v>4564</v>
      </c>
      <c r="AH3726" t="s">
        <v>1601</v>
      </c>
      <c r="AI3726" t="s">
        <v>20442</v>
      </c>
      <c r="AJ3726" t="s">
        <v>2712</v>
      </c>
      <c r="AK3726" t="s">
        <v>20443</v>
      </c>
      <c r="AL3726" s="13" t="s">
        <v>1898</v>
      </c>
      <c r="AM3726">
        <v>1</v>
      </c>
      <c r="AN3726" s="15" t="s">
        <v>2528</v>
      </c>
    </row>
    <row r="3727" spans="1:40" x14ac:dyDescent="0.3">
      <c r="A3727" s="10" t="str">
        <f>HYPERLINK("http://www.washoecounty.gov/assessor/cama/?parid=085-123-62&amp;CardNumber=1","085-123-62")</f>
        <v>085-123-62</v>
      </c>
      <c r="B3727" t="s">
        <v>4655</v>
      </c>
      <c r="C3727" t="s">
        <v>20444</v>
      </c>
      <c r="D3727" s="1">
        <v>40484</v>
      </c>
      <c r="E3727" s="2">
        <v>49900</v>
      </c>
      <c r="F3727" t="s">
        <v>4553</v>
      </c>
      <c r="G3727" s="17" t="str">
        <f>HYPERLINK("https://www.washoecounty.gov/assessor/cama/?command=sales&amp;parid=08512362","3939002")</f>
        <v>3939002</v>
      </c>
      <c r="H3727" t="s">
        <v>2183</v>
      </c>
      <c r="I3727">
        <v>1984</v>
      </c>
      <c r="J3727">
        <v>1984</v>
      </c>
      <c r="K3727" t="s">
        <v>4847</v>
      </c>
      <c r="L3727" t="s">
        <v>4555</v>
      </c>
      <c r="M3727" s="2">
        <v>1344</v>
      </c>
      <c r="N3727" t="s">
        <v>4048</v>
      </c>
      <c r="O3727">
        <v>3</v>
      </c>
      <c r="P3727">
        <v>2</v>
      </c>
      <c r="Q3727">
        <v>0</v>
      </c>
      <c r="R3727" t="s">
        <v>4557</v>
      </c>
      <c r="S3727" t="s">
        <v>4558</v>
      </c>
      <c r="T3727" t="s">
        <v>4559</v>
      </c>
      <c r="U3727" t="s">
        <v>4655</v>
      </c>
      <c r="V3727" s="2">
        <v>0</v>
      </c>
      <c r="W3727" t="s">
        <v>4655</v>
      </c>
      <c r="X3727" s="2">
        <v>0</v>
      </c>
      <c r="Y3727">
        <v>22</v>
      </c>
      <c r="Z3727" t="s">
        <v>5508</v>
      </c>
      <c r="AA3727" s="3">
        <v>0.26999542117118802</v>
      </c>
      <c r="AB3727" t="s">
        <v>20445</v>
      </c>
      <c r="AC3727" t="s">
        <v>4562</v>
      </c>
      <c r="AD3727" t="s">
        <v>20446</v>
      </c>
      <c r="AE3727" t="s">
        <v>4655</v>
      </c>
      <c r="AF3727" t="s">
        <v>5201</v>
      </c>
      <c r="AG3727" t="s">
        <v>4564</v>
      </c>
      <c r="AH3727" t="s">
        <v>3898</v>
      </c>
      <c r="AI3727" t="s">
        <v>2351</v>
      </c>
      <c r="AJ3727" t="s">
        <v>2712</v>
      </c>
      <c r="AK3727" t="s">
        <v>20447</v>
      </c>
      <c r="AL3727" s="13" t="s">
        <v>1898</v>
      </c>
      <c r="AM3727">
        <v>1</v>
      </c>
      <c r="AN3727" s="15" t="s">
        <v>2528</v>
      </c>
    </row>
    <row r="3728" spans="1:40" x14ac:dyDescent="0.3">
      <c r="A3728" s="10" t="str">
        <f>HYPERLINK("http://www.washoecounty.gov/assessor/cama/?parid=085-124-04&amp;CardNumber=1","085-124-04")</f>
        <v>085-124-04</v>
      </c>
      <c r="B3728" t="s">
        <v>4655</v>
      </c>
      <c r="C3728" t="s">
        <v>20448</v>
      </c>
      <c r="D3728" s="1">
        <v>40374</v>
      </c>
      <c r="E3728" s="2">
        <v>50000</v>
      </c>
      <c r="F3728" t="s">
        <v>4567</v>
      </c>
      <c r="G3728" s="17" t="str">
        <f>HYPERLINK("https://www.washoecounty.gov/assessor/cama/?command=sales&amp;parid=08512404","3901567")</f>
        <v>3901567</v>
      </c>
      <c r="H3728" t="s">
        <v>5288</v>
      </c>
      <c r="I3728">
        <v>1989</v>
      </c>
      <c r="J3728">
        <v>1989</v>
      </c>
      <c r="K3728" t="s">
        <v>4847</v>
      </c>
      <c r="L3728" t="s">
        <v>4555</v>
      </c>
      <c r="M3728" s="2">
        <v>1056</v>
      </c>
      <c r="N3728" t="s">
        <v>4048</v>
      </c>
      <c r="O3728">
        <v>3</v>
      </c>
      <c r="P3728">
        <v>2</v>
      </c>
      <c r="Q3728">
        <v>0</v>
      </c>
      <c r="R3728" t="s">
        <v>4557</v>
      </c>
      <c r="S3728" t="s">
        <v>1155</v>
      </c>
      <c r="T3728" t="s">
        <v>4559</v>
      </c>
      <c r="U3728" t="s">
        <v>4655</v>
      </c>
      <c r="V3728" s="2">
        <v>0</v>
      </c>
      <c r="W3728" t="s">
        <v>4655</v>
      </c>
      <c r="X3728" s="2">
        <v>0</v>
      </c>
      <c r="Y3728">
        <v>22</v>
      </c>
      <c r="Z3728" t="s">
        <v>5508</v>
      </c>
      <c r="AA3728" s="3">
        <v>0.25798898935317993</v>
      </c>
      <c r="AB3728" t="s">
        <v>20449</v>
      </c>
      <c r="AC3728" t="s">
        <v>4562</v>
      </c>
      <c r="AD3728" t="s">
        <v>20448</v>
      </c>
      <c r="AE3728" t="s">
        <v>4655</v>
      </c>
      <c r="AF3728" t="s">
        <v>1600</v>
      </c>
      <c r="AG3728" t="s">
        <v>4564</v>
      </c>
      <c r="AH3728" t="s">
        <v>1601</v>
      </c>
      <c r="AI3728" t="s">
        <v>20450</v>
      </c>
      <c r="AJ3728" t="s">
        <v>4655</v>
      </c>
      <c r="AK3728" t="s">
        <v>20451</v>
      </c>
      <c r="AL3728" s="13" t="s">
        <v>1898</v>
      </c>
      <c r="AM3728" s="14">
        <v>1</v>
      </c>
      <c r="AN3728" s="15" t="s">
        <v>2528</v>
      </c>
    </row>
    <row r="3729" spans="1:40" x14ac:dyDescent="0.3">
      <c r="A3729" s="10" t="str">
        <f>HYPERLINK("http://www.washoecounty.gov/assessor/cama/?parid=085-124-05&amp;CardNumber=1","085-124-05")</f>
        <v>085-124-05</v>
      </c>
      <c r="B3729" t="s">
        <v>4655</v>
      </c>
      <c r="C3729" t="s">
        <v>20452</v>
      </c>
      <c r="D3729" s="1">
        <v>40296</v>
      </c>
      <c r="E3729" s="2">
        <v>60000</v>
      </c>
      <c r="F3729" t="s">
        <v>4553</v>
      </c>
      <c r="G3729" s="17" t="str">
        <f>HYPERLINK("https://www.washoecounty.gov/assessor/cama/?command=sales&amp;parid=08512405","3875457")</f>
        <v>3875457</v>
      </c>
      <c r="H3729" t="s">
        <v>5288</v>
      </c>
      <c r="I3729">
        <v>1990</v>
      </c>
      <c r="J3729">
        <v>1990</v>
      </c>
      <c r="K3729" t="s">
        <v>4847</v>
      </c>
      <c r="L3729" t="s">
        <v>4555</v>
      </c>
      <c r="M3729" s="2">
        <v>1344</v>
      </c>
      <c r="N3729" t="s">
        <v>4048</v>
      </c>
      <c r="O3729">
        <v>3</v>
      </c>
      <c r="P3729">
        <v>2</v>
      </c>
      <c r="Q3729">
        <v>0</v>
      </c>
      <c r="R3729" t="s">
        <v>5281</v>
      </c>
      <c r="S3729" t="s">
        <v>4558</v>
      </c>
      <c r="T3729" t="s">
        <v>4559</v>
      </c>
      <c r="U3729" t="s">
        <v>4655</v>
      </c>
      <c r="V3729" s="2">
        <v>0</v>
      </c>
      <c r="W3729" t="s">
        <v>4655</v>
      </c>
      <c r="X3729" s="2">
        <v>0</v>
      </c>
      <c r="Y3729">
        <v>22</v>
      </c>
      <c r="Z3729" t="s">
        <v>5508</v>
      </c>
      <c r="AA3729" s="3">
        <v>0.25798898935317993</v>
      </c>
      <c r="AB3729" t="s">
        <v>20453</v>
      </c>
      <c r="AC3729" t="s">
        <v>4562</v>
      </c>
      <c r="AD3729" t="s">
        <v>20452</v>
      </c>
      <c r="AE3729" t="s">
        <v>4655</v>
      </c>
      <c r="AF3729" t="s">
        <v>1600</v>
      </c>
      <c r="AG3729" t="s">
        <v>4564</v>
      </c>
      <c r="AH3729" t="s">
        <v>1601</v>
      </c>
      <c r="AI3729" t="s">
        <v>4848</v>
      </c>
      <c r="AJ3729" t="s">
        <v>4655</v>
      </c>
      <c r="AK3729" t="s">
        <v>20454</v>
      </c>
      <c r="AL3729" s="13" t="s">
        <v>1898</v>
      </c>
      <c r="AM3729" s="14">
        <v>1</v>
      </c>
      <c r="AN3729" s="15" t="s">
        <v>2528</v>
      </c>
    </row>
    <row r="3730" spans="1:40" x14ac:dyDescent="0.3">
      <c r="A3730" s="10" t="str">
        <f>HYPERLINK("http://www.washoecounty.gov/assessor/cama/?parid=085-125-01&amp;CardNumber=1","085-125-01")</f>
        <v>085-125-01</v>
      </c>
      <c r="B3730" t="s">
        <v>4655</v>
      </c>
      <c r="C3730" t="s">
        <v>1210</v>
      </c>
      <c r="D3730" s="1">
        <v>40466</v>
      </c>
      <c r="E3730" s="2">
        <v>31900</v>
      </c>
      <c r="F3730" t="s">
        <v>4567</v>
      </c>
      <c r="G3730" s="17" t="str">
        <f>HYPERLINK("https://www.washoecounty.gov/assessor/cama/?command=sales&amp;parid=08512501","3933714")</f>
        <v>3933714</v>
      </c>
      <c r="H3730" t="s">
        <v>5288</v>
      </c>
      <c r="I3730">
        <v>1987</v>
      </c>
      <c r="J3730">
        <v>1987</v>
      </c>
      <c r="K3730" t="s">
        <v>4847</v>
      </c>
      <c r="L3730" t="s">
        <v>4555</v>
      </c>
      <c r="M3730" s="2">
        <v>1104</v>
      </c>
      <c r="N3730" t="s">
        <v>5280</v>
      </c>
      <c r="O3730">
        <v>3</v>
      </c>
      <c r="P3730">
        <v>2</v>
      </c>
      <c r="Q3730">
        <v>0</v>
      </c>
      <c r="R3730" t="s">
        <v>4557</v>
      </c>
      <c r="S3730" t="s">
        <v>4558</v>
      </c>
      <c r="T3730" t="s">
        <v>4559</v>
      </c>
      <c r="U3730" t="s">
        <v>4560</v>
      </c>
      <c r="V3730" s="2">
        <v>520</v>
      </c>
      <c r="W3730" t="s">
        <v>4655</v>
      </c>
      <c r="X3730" s="2">
        <v>0</v>
      </c>
      <c r="Y3730">
        <v>22</v>
      </c>
      <c r="Z3730" t="s">
        <v>5508</v>
      </c>
      <c r="AA3730" s="3">
        <v>0.24800275266170499</v>
      </c>
      <c r="AB3730" t="s">
        <v>4844</v>
      </c>
      <c r="AC3730" t="s">
        <v>4562</v>
      </c>
      <c r="AD3730" t="s">
        <v>20455</v>
      </c>
      <c r="AE3730" t="s">
        <v>4655</v>
      </c>
      <c r="AF3730" t="s">
        <v>4563</v>
      </c>
      <c r="AG3730" t="s">
        <v>4564</v>
      </c>
      <c r="AH3730">
        <v>89509</v>
      </c>
      <c r="AI3730" t="s">
        <v>20456</v>
      </c>
      <c r="AJ3730" t="s">
        <v>4655</v>
      </c>
      <c r="AK3730" t="s">
        <v>1211</v>
      </c>
      <c r="AL3730" s="13" t="s">
        <v>1898</v>
      </c>
      <c r="AM3730">
        <v>1</v>
      </c>
      <c r="AN3730" s="15" t="s">
        <v>2528</v>
      </c>
    </row>
    <row r="3731" spans="1:40" x14ac:dyDescent="0.3">
      <c r="A3731" s="10" t="str">
        <f>HYPERLINK("http://www.washoecounty.gov/assessor/cama/?parid=085-142-07&amp;CardNumber=1","085-142-07")</f>
        <v>085-142-07</v>
      </c>
      <c r="B3731" t="s">
        <v>4655</v>
      </c>
      <c r="C3731" t="s">
        <v>20457</v>
      </c>
      <c r="D3731" s="1">
        <v>40396</v>
      </c>
      <c r="E3731" s="2">
        <v>60000</v>
      </c>
      <c r="F3731" t="s">
        <v>4567</v>
      </c>
      <c r="G3731" s="17" t="str">
        <f>HYPERLINK("https://www.washoecounty.gov/assessor/cama/?command=sales&amp;parid=08514207","3909397")</f>
        <v>3909397</v>
      </c>
      <c r="H3731" t="s">
        <v>484</v>
      </c>
      <c r="I3731">
        <v>1995</v>
      </c>
      <c r="J3731">
        <v>1995</v>
      </c>
      <c r="K3731" t="s">
        <v>4847</v>
      </c>
      <c r="L3731" t="s">
        <v>4555</v>
      </c>
      <c r="M3731" s="2">
        <v>1556</v>
      </c>
      <c r="N3731" t="s">
        <v>4048</v>
      </c>
      <c r="O3731">
        <v>3</v>
      </c>
      <c r="P3731">
        <v>2</v>
      </c>
      <c r="Q3731">
        <v>0</v>
      </c>
      <c r="R3731" t="s">
        <v>4557</v>
      </c>
      <c r="S3731" t="s">
        <v>4558</v>
      </c>
      <c r="T3731" t="s">
        <v>4559</v>
      </c>
      <c r="U3731" t="s">
        <v>4655</v>
      </c>
      <c r="V3731" s="2">
        <v>0</v>
      </c>
      <c r="W3731" t="s">
        <v>4655</v>
      </c>
      <c r="X3731" s="2">
        <v>0</v>
      </c>
      <c r="Y3731">
        <v>22</v>
      </c>
      <c r="Z3731" t="s">
        <v>5508</v>
      </c>
      <c r="AA3731" s="3">
        <v>0.34499540925025901</v>
      </c>
      <c r="AB3731" t="s">
        <v>20458</v>
      </c>
      <c r="AC3731" t="s">
        <v>4575</v>
      </c>
      <c r="AD3731" t="s">
        <v>20459</v>
      </c>
      <c r="AE3731" t="s">
        <v>20457</v>
      </c>
      <c r="AF3731" t="s">
        <v>1570</v>
      </c>
      <c r="AG3731" t="s">
        <v>4564</v>
      </c>
      <c r="AH3731" t="s">
        <v>1601</v>
      </c>
      <c r="AI3731" t="s">
        <v>20460</v>
      </c>
      <c r="AJ3731" t="s">
        <v>4655</v>
      </c>
      <c r="AK3731" t="s">
        <v>20461</v>
      </c>
      <c r="AL3731" s="13" t="s">
        <v>1898</v>
      </c>
      <c r="AM3731">
        <v>1</v>
      </c>
      <c r="AN3731" s="15" t="s">
        <v>2528</v>
      </c>
    </row>
    <row r="3732" spans="1:40" x14ac:dyDescent="0.3">
      <c r="A3732" s="10" t="str">
        <f>HYPERLINK("http://www.washoecounty.gov/assessor/cama/?parid=085-142-22&amp;CardNumber=1","085-142-22")</f>
        <v>085-142-22</v>
      </c>
      <c r="B3732" t="s">
        <v>4655</v>
      </c>
      <c r="C3732" t="s">
        <v>4188</v>
      </c>
      <c r="D3732" s="1">
        <v>40289</v>
      </c>
      <c r="E3732" s="2">
        <v>21050</v>
      </c>
      <c r="F3732" t="s">
        <v>4553</v>
      </c>
      <c r="G3732" s="17" t="str">
        <f>HYPERLINK("https://www.washoecounty.gov/assessor/cama/?command=sales&amp;parid=08514222","3873327")</f>
        <v>3873327</v>
      </c>
      <c r="H3732" t="s">
        <v>4189</v>
      </c>
      <c r="I3732">
        <v>1986</v>
      </c>
      <c r="J3732">
        <v>1986</v>
      </c>
      <c r="K3732" t="s">
        <v>4847</v>
      </c>
      <c r="L3732" t="s">
        <v>4555</v>
      </c>
      <c r="M3732" s="2">
        <v>924</v>
      </c>
      <c r="N3732" t="s">
        <v>4133</v>
      </c>
      <c r="O3732">
        <v>2</v>
      </c>
      <c r="P3732">
        <v>2</v>
      </c>
      <c r="Q3732">
        <v>0</v>
      </c>
      <c r="R3732" t="s">
        <v>4557</v>
      </c>
      <c r="S3732" t="s">
        <v>4558</v>
      </c>
      <c r="T3732" t="s">
        <v>4559</v>
      </c>
      <c r="U3732" t="s">
        <v>4655</v>
      </c>
      <c r="V3732" s="2">
        <v>0</v>
      </c>
      <c r="W3732" t="s">
        <v>4655</v>
      </c>
      <c r="X3732" s="2">
        <v>0</v>
      </c>
      <c r="Y3732">
        <v>22</v>
      </c>
      <c r="Z3732" t="s">
        <v>5508</v>
      </c>
      <c r="AA3732" s="3">
        <v>0.34999999403953602</v>
      </c>
      <c r="AB3732" t="s">
        <v>5716</v>
      </c>
      <c r="AC3732" t="s">
        <v>4575</v>
      </c>
      <c r="AD3732" t="s">
        <v>5717</v>
      </c>
      <c r="AE3732" t="s">
        <v>4655</v>
      </c>
      <c r="AF3732" t="s">
        <v>1570</v>
      </c>
      <c r="AG3732" t="s">
        <v>4564</v>
      </c>
      <c r="AH3732" t="s">
        <v>1601</v>
      </c>
      <c r="AI3732" t="s">
        <v>2857</v>
      </c>
      <c r="AJ3732" t="s">
        <v>4655</v>
      </c>
      <c r="AK3732" t="s">
        <v>4190</v>
      </c>
      <c r="AL3732" s="13" t="s">
        <v>1898</v>
      </c>
      <c r="AM3732">
        <v>1</v>
      </c>
      <c r="AN3732" s="15" t="s">
        <v>2528</v>
      </c>
    </row>
    <row r="3733" spans="1:40" x14ac:dyDescent="0.3">
      <c r="A3733" s="10" t="str">
        <f>HYPERLINK("http://www.washoecounty.gov/assessor/cama/?parid=085-143-04&amp;CardNumber=1","085-143-04")</f>
        <v>085-143-04</v>
      </c>
      <c r="B3733" t="s">
        <v>4655</v>
      </c>
      <c r="C3733" t="s">
        <v>20462</v>
      </c>
      <c r="D3733" s="1">
        <v>40365</v>
      </c>
      <c r="E3733" s="2">
        <v>89000</v>
      </c>
      <c r="F3733" t="s">
        <v>4553</v>
      </c>
      <c r="G3733" s="17" t="str">
        <f>HYPERLINK("https://www.washoecounty.gov/assessor/cama/?command=sales&amp;parid=08514304","3898611")</f>
        <v>3898611</v>
      </c>
      <c r="H3733" t="s">
        <v>5422</v>
      </c>
      <c r="I3733">
        <v>1975</v>
      </c>
      <c r="J3733">
        <v>1975</v>
      </c>
      <c r="K3733" t="s">
        <v>4847</v>
      </c>
      <c r="L3733" t="s">
        <v>4555</v>
      </c>
      <c r="M3733" s="2">
        <v>1440</v>
      </c>
      <c r="N3733" t="s">
        <v>4133</v>
      </c>
      <c r="O3733">
        <v>3</v>
      </c>
      <c r="P3733">
        <v>2</v>
      </c>
      <c r="Q3733">
        <v>0</v>
      </c>
      <c r="R3733" t="s">
        <v>4557</v>
      </c>
      <c r="S3733" t="s">
        <v>4135</v>
      </c>
      <c r="T3733" t="s">
        <v>3888</v>
      </c>
      <c r="U3733" t="s">
        <v>4655</v>
      </c>
      <c r="V3733" s="2">
        <v>0</v>
      </c>
      <c r="W3733" t="s">
        <v>4655</v>
      </c>
      <c r="X3733" s="2">
        <v>0</v>
      </c>
      <c r="Y3733">
        <v>22</v>
      </c>
      <c r="Z3733" t="s">
        <v>5508</v>
      </c>
      <c r="AA3733" s="3">
        <v>0.36499083042144798</v>
      </c>
      <c r="AB3733" t="s">
        <v>20463</v>
      </c>
      <c r="AC3733" t="s">
        <v>4562</v>
      </c>
      <c r="AD3733" t="s">
        <v>20462</v>
      </c>
      <c r="AE3733" t="s">
        <v>4655</v>
      </c>
      <c r="AF3733" t="s">
        <v>1600</v>
      </c>
      <c r="AG3733" t="s">
        <v>4564</v>
      </c>
      <c r="AH3733" t="s">
        <v>1601</v>
      </c>
      <c r="AI3733" t="s">
        <v>20464</v>
      </c>
      <c r="AJ3733" t="s">
        <v>4655</v>
      </c>
      <c r="AK3733" t="s">
        <v>20465</v>
      </c>
      <c r="AL3733" s="13" t="s">
        <v>1898</v>
      </c>
      <c r="AM3733" s="14">
        <v>1</v>
      </c>
      <c r="AN3733" s="15" t="s">
        <v>2528</v>
      </c>
    </row>
    <row r="3734" spans="1:40" x14ac:dyDescent="0.3">
      <c r="A3734" s="10" t="str">
        <f>HYPERLINK("http://www.washoecounty.gov/assessor/cama/?parid=085-143-08&amp;CardNumber=1","085-143-08")</f>
        <v>085-143-08</v>
      </c>
      <c r="B3734" t="s">
        <v>4655</v>
      </c>
      <c r="C3734" t="s">
        <v>20466</v>
      </c>
      <c r="D3734" s="1">
        <v>40247</v>
      </c>
      <c r="E3734" s="2">
        <v>107000</v>
      </c>
      <c r="F3734" t="s">
        <v>4567</v>
      </c>
      <c r="G3734" s="17" t="str">
        <f>HYPERLINK("https://www.washoecounty.gov/assessor/cama/?command=sales&amp;parid=08514308","3858444")</f>
        <v>3858444</v>
      </c>
      <c r="H3734" t="s">
        <v>5422</v>
      </c>
      <c r="I3734">
        <v>1993</v>
      </c>
      <c r="J3734">
        <v>1993</v>
      </c>
      <c r="K3734" t="s">
        <v>4847</v>
      </c>
      <c r="L3734" t="s">
        <v>4555</v>
      </c>
      <c r="M3734" s="2">
        <v>1560</v>
      </c>
      <c r="N3734" t="s">
        <v>5280</v>
      </c>
      <c r="O3734">
        <v>4</v>
      </c>
      <c r="P3734">
        <v>2</v>
      </c>
      <c r="Q3734">
        <v>0</v>
      </c>
      <c r="R3734" t="s">
        <v>4557</v>
      </c>
      <c r="S3734" t="s">
        <v>4558</v>
      </c>
      <c r="T3734" t="s">
        <v>4559</v>
      </c>
      <c r="U3734" t="s">
        <v>4655</v>
      </c>
      <c r="V3734" s="2">
        <v>0</v>
      </c>
      <c r="W3734" t="s">
        <v>4655</v>
      </c>
      <c r="X3734" s="2">
        <v>0</v>
      </c>
      <c r="Y3734">
        <v>22</v>
      </c>
      <c r="Z3734" t="s">
        <v>5508</v>
      </c>
      <c r="AA3734" s="3">
        <v>0.36499083042144798</v>
      </c>
      <c r="AB3734" t="s">
        <v>20467</v>
      </c>
      <c r="AC3734" t="s">
        <v>4575</v>
      </c>
      <c r="AD3734" t="s">
        <v>20468</v>
      </c>
      <c r="AE3734" t="s">
        <v>20466</v>
      </c>
      <c r="AF3734" t="s">
        <v>1600</v>
      </c>
      <c r="AG3734" t="s">
        <v>4564</v>
      </c>
      <c r="AH3734" t="s">
        <v>1601</v>
      </c>
      <c r="AI3734" t="s">
        <v>20469</v>
      </c>
      <c r="AJ3734" t="s">
        <v>4655</v>
      </c>
      <c r="AK3734" t="s">
        <v>20470</v>
      </c>
      <c r="AL3734" s="13" t="s">
        <v>1898</v>
      </c>
      <c r="AM3734">
        <v>1</v>
      </c>
      <c r="AN3734" s="15" t="s">
        <v>2528</v>
      </c>
    </row>
    <row r="3735" spans="1:40" x14ac:dyDescent="0.3">
      <c r="A3735" s="10" t="str">
        <f>HYPERLINK("http://www.washoecounty.gov/assessor/cama/?parid=085-152-22&amp;CardNumber=1","085-152-22")</f>
        <v>085-152-22</v>
      </c>
      <c r="B3735" t="s">
        <v>4655</v>
      </c>
      <c r="C3735" t="s">
        <v>20471</v>
      </c>
      <c r="D3735" s="1">
        <v>40269</v>
      </c>
      <c r="E3735" s="2">
        <v>50000</v>
      </c>
      <c r="F3735" t="s">
        <v>4567</v>
      </c>
      <c r="G3735" s="17" t="str">
        <f>HYPERLINK("https://www.washoecounty.gov/assessor/cama/?command=sales&amp;parid=08515222","3866766")</f>
        <v>3866766</v>
      </c>
      <c r="H3735" t="s">
        <v>20472</v>
      </c>
      <c r="I3735">
        <v>1982</v>
      </c>
      <c r="J3735">
        <v>1982</v>
      </c>
      <c r="K3735" t="s">
        <v>1243</v>
      </c>
      <c r="L3735" t="s">
        <v>4655</v>
      </c>
      <c r="M3735" s="2">
        <v>0</v>
      </c>
      <c r="N3735" t="s">
        <v>4655</v>
      </c>
      <c r="O3735">
        <v>0</v>
      </c>
      <c r="P3735">
        <v>0</v>
      </c>
      <c r="Q3735">
        <v>0</v>
      </c>
      <c r="R3735" t="s">
        <v>4655</v>
      </c>
      <c r="S3735" t="s">
        <v>4655</v>
      </c>
      <c r="T3735" t="s">
        <v>4655</v>
      </c>
      <c r="U3735" t="s">
        <v>4655</v>
      </c>
      <c r="V3735" s="2">
        <v>0</v>
      </c>
      <c r="W3735" t="s">
        <v>4655</v>
      </c>
      <c r="X3735" s="2">
        <v>0</v>
      </c>
      <c r="Y3735">
        <v>23</v>
      </c>
      <c r="Z3735" t="s">
        <v>5508</v>
      </c>
      <c r="AA3735" s="3">
        <v>0.346005499362946</v>
      </c>
      <c r="AB3735" t="s">
        <v>20473</v>
      </c>
      <c r="AC3735" t="s">
        <v>4562</v>
      </c>
      <c r="AD3735" t="s">
        <v>20471</v>
      </c>
      <c r="AE3735" t="s">
        <v>4655</v>
      </c>
      <c r="AF3735" t="s">
        <v>1570</v>
      </c>
      <c r="AG3735" t="s">
        <v>4564</v>
      </c>
      <c r="AH3735" t="s">
        <v>1601</v>
      </c>
      <c r="AI3735" t="s">
        <v>20469</v>
      </c>
      <c r="AJ3735" t="s">
        <v>4655</v>
      </c>
      <c r="AK3735" t="s">
        <v>20474</v>
      </c>
      <c r="AL3735" s="13" t="s">
        <v>1898</v>
      </c>
      <c r="AM3735">
        <v>1</v>
      </c>
      <c r="AN3735" s="15" t="s">
        <v>2528</v>
      </c>
    </row>
    <row r="3736" spans="1:40" x14ac:dyDescent="0.3">
      <c r="A3736" s="10" t="str">
        <f>HYPERLINK("http://www.washoecounty.gov/assessor/cama/?parid=085-152-29&amp;CardNumber=1","085-152-29")</f>
        <v>085-152-29</v>
      </c>
      <c r="B3736" t="s">
        <v>4655</v>
      </c>
      <c r="C3736" t="s">
        <v>20475</v>
      </c>
      <c r="D3736" s="1">
        <v>40525</v>
      </c>
      <c r="E3736" s="2">
        <v>45000</v>
      </c>
      <c r="F3736" t="s">
        <v>4553</v>
      </c>
      <c r="G3736" s="17" t="str">
        <f>HYPERLINK("https://www.washoecounty.gov/assessor/cama/?command=sales&amp;parid=08515229","3952635")</f>
        <v>3952635</v>
      </c>
      <c r="H3736" t="s">
        <v>20476</v>
      </c>
      <c r="I3736">
        <v>1982</v>
      </c>
      <c r="J3736">
        <v>1982</v>
      </c>
      <c r="K3736" t="s">
        <v>4847</v>
      </c>
      <c r="L3736" t="s">
        <v>4555</v>
      </c>
      <c r="M3736" s="2">
        <v>1152</v>
      </c>
      <c r="N3736" t="s">
        <v>4556</v>
      </c>
      <c r="O3736">
        <v>3</v>
      </c>
      <c r="P3736">
        <v>2</v>
      </c>
      <c r="Q3736">
        <v>0</v>
      </c>
      <c r="R3736" t="s">
        <v>4557</v>
      </c>
      <c r="S3736" t="s">
        <v>4558</v>
      </c>
      <c r="T3736" t="s">
        <v>4559</v>
      </c>
      <c r="U3736" t="s">
        <v>4655</v>
      </c>
      <c r="V3736" s="2">
        <v>0</v>
      </c>
      <c r="W3736" t="s">
        <v>4655</v>
      </c>
      <c r="X3736" s="2">
        <v>0</v>
      </c>
      <c r="Y3736">
        <v>22</v>
      </c>
      <c r="Z3736" t="s">
        <v>5508</v>
      </c>
      <c r="AA3736" s="3">
        <v>0.355991721153259</v>
      </c>
      <c r="AB3736" t="s">
        <v>20477</v>
      </c>
      <c r="AC3736" t="s">
        <v>4562</v>
      </c>
      <c r="AD3736" t="s">
        <v>20475</v>
      </c>
      <c r="AE3736" t="s">
        <v>4655</v>
      </c>
      <c r="AF3736" t="s">
        <v>1600</v>
      </c>
      <c r="AG3736" t="s">
        <v>4564</v>
      </c>
      <c r="AH3736" t="s">
        <v>1601</v>
      </c>
      <c r="AI3736" t="s">
        <v>20478</v>
      </c>
      <c r="AJ3736" t="s">
        <v>4655</v>
      </c>
      <c r="AK3736" t="s">
        <v>20479</v>
      </c>
      <c r="AL3736" s="13" t="s">
        <v>1898</v>
      </c>
      <c r="AM3736">
        <v>1</v>
      </c>
      <c r="AN3736" s="15" t="s">
        <v>2528</v>
      </c>
    </row>
    <row r="3737" spans="1:40" x14ac:dyDescent="0.3">
      <c r="A3737" s="10" t="str">
        <f>HYPERLINK("http://www.washoecounty.gov/assessor/cama/?parid=085-154-64&amp;CardNumber=1","085-154-64")</f>
        <v>085-154-64</v>
      </c>
      <c r="B3737" t="s">
        <v>4655</v>
      </c>
      <c r="C3737" t="s">
        <v>20480</v>
      </c>
      <c r="D3737" s="1">
        <v>40542</v>
      </c>
      <c r="E3737" s="2">
        <v>28000</v>
      </c>
      <c r="F3737" t="s">
        <v>4553</v>
      </c>
      <c r="G3737" s="17" t="str">
        <f>HYPERLINK("https://www.washoecounty.gov/assessor/cama/?command=sales&amp;parid=08515464","3958979")</f>
        <v>3958979</v>
      </c>
      <c r="H3737" t="s">
        <v>20481</v>
      </c>
      <c r="I3737">
        <v>0</v>
      </c>
      <c r="J3737">
        <v>0</v>
      </c>
      <c r="K3737" t="s">
        <v>4655</v>
      </c>
      <c r="L3737" t="s">
        <v>4655</v>
      </c>
      <c r="M3737" s="2">
        <v>0</v>
      </c>
      <c r="N3737" t="s">
        <v>4655</v>
      </c>
      <c r="O3737">
        <v>0</v>
      </c>
      <c r="P3737">
        <v>0</v>
      </c>
      <c r="Q3737">
        <v>0</v>
      </c>
      <c r="R3737" t="s">
        <v>4655</v>
      </c>
      <c r="S3737" t="s">
        <v>4655</v>
      </c>
      <c r="T3737" t="s">
        <v>4655</v>
      </c>
      <c r="U3737" t="s">
        <v>4655</v>
      </c>
      <c r="V3737" s="2">
        <v>0</v>
      </c>
      <c r="W3737" t="s">
        <v>4655</v>
      </c>
      <c r="X3737" s="2">
        <v>0</v>
      </c>
      <c r="Y3737">
        <v>22</v>
      </c>
      <c r="Z3737" t="s">
        <v>5508</v>
      </c>
      <c r="AA3737" s="3">
        <v>0.34389346837997437</v>
      </c>
      <c r="AB3737" t="s">
        <v>20482</v>
      </c>
      <c r="AC3737" t="s">
        <v>4562</v>
      </c>
      <c r="AD3737" t="s">
        <v>20480</v>
      </c>
      <c r="AE3737" t="s">
        <v>4655</v>
      </c>
      <c r="AF3737" t="s">
        <v>1600</v>
      </c>
      <c r="AG3737" t="s">
        <v>4564</v>
      </c>
      <c r="AH3737" t="s">
        <v>1601</v>
      </c>
      <c r="AI3737" t="s">
        <v>4903</v>
      </c>
      <c r="AJ3737" t="s">
        <v>20483</v>
      </c>
      <c r="AK3737" t="s">
        <v>20484</v>
      </c>
      <c r="AL3737" s="13" t="s">
        <v>1898</v>
      </c>
      <c r="AM3737">
        <v>0</v>
      </c>
      <c r="AN3737" s="15" t="s">
        <v>2528</v>
      </c>
    </row>
    <row r="3738" spans="1:40" x14ac:dyDescent="0.3">
      <c r="A3738" s="10" t="str">
        <f>HYPERLINK("http://www.washoecounty.gov/assessor/cama/?parid=085-155-19&amp;CardNumber=1","085-155-19")</f>
        <v>085-155-19</v>
      </c>
      <c r="B3738" t="s">
        <v>4655</v>
      </c>
      <c r="C3738" t="s">
        <v>20485</v>
      </c>
      <c r="D3738" s="1">
        <v>40345</v>
      </c>
      <c r="E3738" s="2">
        <v>47500</v>
      </c>
      <c r="F3738" t="s">
        <v>4553</v>
      </c>
      <c r="G3738" s="17" t="str">
        <f>HYPERLINK("https://www.washoecounty.gov/assessor/cama/?command=sales&amp;parid=08515519","3892418")</f>
        <v>3892418</v>
      </c>
      <c r="H3738" t="s">
        <v>20486</v>
      </c>
      <c r="I3738">
        <v>1962</v>
      </c>
      <c r="J3738">
        <v>1966</v>
      </c>
      <c r="K3738" t="s">
        <v>4554</v>
      </c>
      <c r="L3738" t="s">
        <v>4555</v>
      </c>
      <c r="M3738" s="2">
        <v>1340</v>
      </c>
      <c r="N3738" t="s">
        <v>4556</v>
      </c>
      <c r="O3738">
        <v>2</v>
      </c>
      <c r="P3738">
        <v>1</v>
      </c>
      <c r="Q3738">
        <v>1</v>
      </c>
      <c r="R3738" t="s">
        <v>5281</v>
      </c>
      <c r="S3738" t="s">
        <v>3148</v>
      </c>
      <c r="T3738" t="s">
        <v>4559</v>
      </c>
      <c r="U3738" t="s">
        <v>4655</v>
      </c>
      <c r="V3738" s="2">
        <v>0</v>
      </c>
      <c r="W3738" t="s">
        <v>4655</v>
      </c>
      <c r="X3738" s="2">
        <v>0</v>
      </c>
      <c r="Y3738">
        <v>20</v>
      </c>
      <c r="Z3738" t="s">
        <v>5508</v>
      </c>
      <c r="AA3738" s="3">
        <v>0.54898989200591997</v>
      </c>
      <c r="AB3738" t="s">
        <v>4343</v>
      </c>
      <c r="AC3738" t="s">
        <v>4562</v>
      </c>
      <c r="AD3738" t="s">
        <v>4344</v>
      </c>
      <c r="AE3738" t="s">
        <v>4655</v>
      </c>
      <c r="AF3738" t="s">
        <v>4345</v>
      </c>
      <c r="AG3738" t="s">
        <v>4584</v>
      </c>
      <c r="AH3738">
        <v>90732</v>
      </c>
      <c r="AI3738" t="s">
        <v>2351</v>
      </c>
      <c r="AJ3738" t="s">
        <v>4655</v>
      </c>
      <c r="AK3738" t="s">
        <v>20487</v>
      </c>
      <c r="AL3738" s="13" t="s">
        <v>1898</v>
      </c>
      <c r="AM3738" s="14">
        <v>1</v>
      </c>
      <c r="AN3738" s="15" t="s">
        <v>2528</v>
      </c>
    </row>
    <row r="3739" spans="1:40" x14ac:dyDescent="0.3">
      <c r="A3739" s="10" t="str">
        <f>HYPERLINK("http://www.washoecounty.gov/assessor/cama/?parid=085-155-30&amp;CardNumber=1","085-155-30")</f>
        <v>085-155-30</v>
      </c>
      <c r="B3739" t="s">
        <v>4655</v>
      </c>
      <c r="C3739" t="s">
        <v>20488</v>
      </c>
      <c r="D3739" s="1">
        <v>40220</v>
      </c>
      <c r="E3739" s="2">
        <v>42000</v>
      </c>
      <c r="F3739" t="s">
        <v>4567</v>
      </c>
      <c r="G3739" s="17" t="str">
        <f>HYPERLINK("https://www.washoecounty.gov/assessor/cama/?command=sales&amp;parid=08515530","3848578")</f>
        <v>3848578</v>
      </c>
      <c r="H3739" t="s">
        <v>20489</v>
      </c>
      <c r="I3739">
        <v>1976</v>
      </c>
      <c r="J3739">
        <v>1976</v>
      </c>
      <c r="K3739" t="s">
        <v>4847</v>
      </c>
      <c r="L3739" t="s">
        <v>4555</v>
      </c>
      <c r="M3739" s="2">
        <v>1531</v>
      </c>
      <c r="N3739" t="s">
        <v>4556</v>
      </c>
      <c r="O3739">
        <v>3</v>
      </c>
      <c r="P3739">
        <v>2</v>
      </c>
      <c r="Q3739">
        <v>0</v>
      </c>
      <c r="R3739" t="s">
        <v>4557</v>
      </c>
      <c r="S3739" t="s">
        <v>1155</v>
      </c>
      <c r="T3739" t="s">
        <v>3888</v>
      </c>
      <c r="U3739" t="s">
        <v>4655</v>
      </c>
      <c r="V3739" s="2">
        <v>0</v>
      </c>
      <c r="W3739" t="s">
        <v>4655</v>
      </c>
      <c r="X3739" s="2">
        <v>0</v>
      </c>
      <c r="Y3739">
        <v>22</v>
      </c>
      <c r="Z3739" t="s">
        <v>5508</v>
      </c>
      <c r="AA3739" s="3">
        <v>0.339990824460983</v>
      </c>
      <c r="AB3739" t="s">
        <v>20490</v>
      </c>
      <c r="AC3739" t="s">
        <v>4575</v>
      </c>
      <c r="AD3739" t="s">
        <v>20491</v>
      </c>
      <c r="AE3739" t="s">
        <v>5070</v>
      </c>
      <c r="AF3739" t="s">
        <v>5201</v>
      </c>
      <c r="AG3739" t="s">
        <v>4564</v>
      </c>
      <c r="AH3739" t="s">
        <v>1605</v>
      </c>
      <c r="AI3739" t="s">
        <v>20492</v>
      </c>
      <c r="AJ3739" t="s">
        <v>4655</v>
      </c>
      <c r="AK3739" t="s">
        <v>20493</v>
      </c>
      <c r="AL3739" s="13" t="s">
        <v>1898</v>
      </c>
      <c r="AM3739">
        <v>1</v>
      </c>
      <c r="AN3739" s="15" t="s">
        <v>2528</v>
      </c>
    </row>
    <row r="3740" spans="1:40" x14ac:dyDescent="0.3">
      <c r="A3740" s="10" t="str">
        <f>HYPERLINK("http://www.washoecounty.gov/assessor/cama/?parid=085-171-04&amp;CardNumber=1","085-171-04")</f>
        <v>085-171-04</v>
      </c>
      <c r="B3740" t="s">
        <v>4655</v>
      </c>
      <c r="C3740" t="s">
        <v>20494</v>
      </c>
      <c r="D3740" s="1">
        <v>40479</v>
      </c>
      <c r="E3740" s="2">
        <v>60000</v>
      </c>
      <c r="F3740" t="s">
        <v>4567</v>
      </c>
      <c r="G3740" s="17" t="str">
        <f>HYPERLINK("https://www.washoecounty.gov/assessor/cama/?command=sales&amp;parid=08517104","3937709")</f>
        <v>3937709</v>
      </c>
      <c r="H3740" t="s">
        <v>1914</v>
      </c>
      <c r="I3740">
        <v>1977</v>
      </c>
      <c r="J3740">
        <v>1977</v>
      </c>
      <c r="K3740" t="s">
        <v>1243</v>
      </c>
      <c r="L3740" t="s">
        <v>4655</v>
      </c>
      <c r="M3740" s="2">
        <v>0</v>
      </c>
      <c r="N3740" t="s">
        <v>4655</v>
      </c>
      <c r="O3740">
        <v>0</v>
      </c>
      <c r="P3740">
        <v>0</v>
      </c>
      <c r="Q3740">
        <v>0</v>
      </c>
      <c r="R3740" t="s">
        <v>4655</v>
      </c>
      <c r="S3740" t="s">
        <v>4655</v>
      </c>
      <c r="T3740" t="s">
        <v>4655</v>
      </c>
      <c r="U3740" t="s">
        <v>4655</v>
      </c>
      <c r="V3740" s="2">
        <v>0</v>
      </c>
      <c r="W3740" t="s">
        <v>4655</v>
      </c>
      <c r="X3740" s="2">
        <v>0</v>
      </c>
      <c r="Y3740">
        <v>23</v>
      </c>
      <c r="Z3740" t="s">
        <v>5508</v>
      </c>
      <c r="AA3740" s="3">
        <v>0.38099172711372398</v>
      </c>
      <c r="AB3740" t="s">
        <v>20495</v>
      </c>
      <c r="AC3740" t="s">
        <v>4562</v>
      </c>
      <c r="AD3740" t="s">
        <v>20494</v>
      </c>
      <c r="AE3740" t="s">
        <v>4655</v>
      </c>
      <c r="AF3740" t="s">
        <v>4563</v>
      </c>
      <c r="AG3740" t="s">
        <v>4564</v>
      </c>
      <c r="AH3740">
        <v>89502</v>
      </c>
      <c r="AI3740" t="s">
        <v>20496</v>
      </c>
      <c r="AJ3740" t="s">
        <v>4655</v>
      </c>
      <c r="AK3740" t="s">
        <v>20497</v>
      </c>
      <c r="AL3740" s="13" t="s">
        <v>1889</v>
      </c>
      <c r="AM3740">
        <v>1</v>
      </c>
      <c r="AN3740" s="15" t="s">
        <v>2528</v>
      </c>
    </row>
    <row r="3741" spans="1:40" x14ac:dyDescent="0.3">
      <c r="A3741" s="10" t="str">
        <f>HYPERLINK("http://www.washoecounty.gov/assessor/cama/?parid=085-181-06&amp;CardNumber=1","085-181-06")</f>
        <v>085-181-06</v>
      </c>
      <c r="B3741" t="s">
        <v>4655</v>
      </c>
      <c r="C3741" t="s">
        <v>20498</v>
      </c>
      <c r="D3741" s="1">
        <v>40304</v>
      </c>
      <c r="E3741" s="2">
        <v>120000</v>
      </c>
      <c r="F3741" t="s">
        <v>4567</v>
      </c>
      <c r="G3741" s="17" t="str">
        <f>HYPERLINK("https://www.washoecounty.gov/assessor/cama/?command=sales&amp;parid=08518106","3878783")</f>
        <v>3878783</v>
      </c>
      <c r="H3741" t="s">
        <v>144</v>
      </c>
      <c r="I3741">
        <v>0</v>
      </c>
      <c r="J3741">
        <v>0</v>
      </c>
      <c r="K3741" t="s">
        <v>4655</v>
      </c>
      <c r="L3741" t="s">
        <v>4655</v>
      </c>
      <c r="M3741" s="2">
        <v>0</v>
      </c>
      <c r="N3741" t="s">
        <v>4655</v>
      </c>
      <c r="O3741">
        <v>0</v>
      </c>
      <c r="P3741">
        <v>0</v>
      </c>
      <c r="Q3741">
        <v>0</v>
      </c>
      <c r="R3741" t="s">
        <v>4655</v>
      </c>
      <c r="S3741" t="s">
        <v>4655</v>
      </c>
      <c r="T3741" t="s">
        <v>4655</v>
      </c>
      <c r="U3741" t="s">
        <v>4655</v>
      </c>
      <c r="V3741" s="2">
        <v>0</v>
      </c>
      <c r="W3741" t="s">
        <v>4655</v>
      </c>
      <c r="X3741" s="2">
        <v>0</v>
      </c>
      <c r="Y3741">
        <v>23</v>
      </c>
      <c r="Z3741" t="s">
        <v>5508</v>
      </c>
      <c r="AA3741" s="3">
        <v>0.29898989200592002</v>
      </c>
      <c r="AB3741" t="s">
        <v>20499</v>
      </c>
      <c r="AC3741" t="s">
        <v>4575</v>
      </c>
      <c r="AD3741" t="s">
        <v>20500</v>
      </c>
      <c r="AE3741" t="s">
        <v>4655</v>
      </c>
      <c r="AF3741" t="s">
        <v>1570</v>
      </c>
      <c r="AG3741" t="s">
        <v>4564</v>
      </c>
      <c r="AH3741" t="s">
        <v>1601</v>
      </c>
      <c r="AI3741" t="s">
        <v>4655</v>
      </c>
      <c r="AJ3741" t="s">
        <v>4655</v>
      </c>
      <c r="AK3741" t="s">
        <v>20501</v>
      </c>
      <c r="AL3741" s="13" t="s">
        <v>1889</v>
      </c>
      <c r="AM3741" s="14">
        <v>0</v>
      </c>
      <c r="AN3741" s="15" t="s">
        <v>2528</v>
      </c>
    </row>
    <row r="3742" spans="1:40" x14ac:dyDescent="0.3">
      <c r="A3742" s="10" t="str">
        <f>HYPERLINK("http://www.washoecounty.gov/assessor/cama/?parid=085-182-17&amp;CardNumber=1","085-182-17")</f>
        <v>085-182-17</v>
      </c>
      <c r="B3742" t="s">
        <v>4655</v>
      </c>
      <c r="C3742" t="s">
        <v>20502</v>
      </c>
      <c r="D3742" s="1">
        <v>40416</v>
      </c>
      <c r="E3742" s="2">
        <v>107500</v>
      </c>
      <c r="F3742" t="s">
        <v>4553</v>
      </c>
      <c r="G3742" s="17" t="str">
        <f>HYPERLINK("https://www.washoecounty.gov/assessor/cama/?command=sales&amp;parid=08518217","3915869")</f>
        <v>3915869</v>
      </c>
      <c r="H3742" t="s">
        <v>144</v>
      </c>
      <c r="I3742">
        <v>1998</v>
      </c>
      <c r="J3742">
        <v>1998</v>
      </c>
      <c r="K3742" t="s">
        <v>4554</v>
      </c>
      <c r="L3742" t="s">
        <v>4555</v>
      </c>
      <c r="M3742" s="2">
        <v>1544</v>
      </c>
      <c r="N3742" t="s">
        <v>4556</v>
      </c>
      <c r="O3742">
        <v>4</v>
      </c>
      <c r="P3742">
        <v>2</v>
      </c>
      <c r="Q3742">
        <v>0</v>
      </c>
      <c r="R3742" t="s">
        <v>4557</v>
      </c>
      <c r="S3742" t="s">
        <v>4558</v>
      </c>
      <c r="T3742" t="s">
        <v>4559</v>
      </c>
      <c r="U3742" t="s">
        <v>4655</v>
      </c>
      <c r="V3742" s="2">
        <v>0</v>
      </c>
      <c r="W3742" t="s">
        <v>4655</v>
      </c>
      <c r="X3742" s="2">
        <v>0</v>
      </c>
      <c r="Y3742">
        <v>20</v>
      </c>
      <c r="Z3742" t="s">
        <v>5508</v>
      </c>
      <c r="AA3742" s="3">
        <v>0.34898990392684898</v>
      </c>
      <c r="AB3742" t="s">
        <v>20503</v>
      </c>
      <c r="AC3742" t="s">
        <v>4562</v>
      </c>
      <c r="AD3742" t="s">
        <v>20502</v>
      </c>
      <c r="AE3742" t="s">
        <v>4655</v>
      </c>
      <c r="AF3742" t="s">
        <v>1600</v>
      </c>
      <c r="AG3742" t="s">
        <v>4564</v>
      </c>
      <c r="AH3742" t="s">
        <v>1601</v>
      </c>
      <c r="AI3742" t="s">
        <v>4045</v>
      </c>
      <c r="AJ3742" t="s">
        <v>4655</v>
      </c>
      <c r="AK3742" t="s">
        <v>20504</v>
      </c>
      <c r="AL3742" s="13" t="s">
        <v>1889</v>
      </c>
      <c r="AM3742">
        <v>1</v>
      </c>
      <c r="AN3742" s="15" t="s">
        <v>2528</v>
      </c>
    </row>
    <row r="3743" spans="1:40" x14ac:dyDescent="0.3">
      <c r="A3743" s="10" t="str">
        <f>HYPERLINK("http://www.washoecounty.gov/assessor/cama/?parid=085-190-14&amp;CardNumber=1","085-190-14")</f>
        <v>085-190-14</v>
      </c>
      <c r="B3743" t="s">
        <v>4655</v>
      </c>
      <c r="C3743" t="s">
        <v>20505</v>
      </c>
      <c r="D3743" s="1">
        <v>40392</v>
      </c>
      <c r="E3743" s="2">
        <v>69500</v>
      </c>
      <c r="F3743" t="s">
        <v>4567</v>
      </c>
      <c r="G3743" s="17" t="str">
        <f>HYPERLINK("https://www.washoecounty.gov/assessor/cama/?command=sales&amp;parid=08519014","3907784")</f>
        <v>3907784</v>
      </c>
      <c r="H3743" t="s">
        <v>4271</v>
      </c>
      <c r="I3743">
        <v>1972</v>
      </c>
      <c r="J3743">
        <v>1972</v>
      </c>
      <c r="K3743" t="s">
        <v>4847</v>
      </c>
      <c r="L3743" t="s">
        <v>4555</v>
      </c>
      <c r="M3743" s="2">
        <v>1284</v>
      </c>
      <c r="N3743" t="s">
        <v>4556</v>
      </c>
      <c r="O3743">
        <v>2</v>
      </c>
      <c r="P3743">
        <v>2</v>
      </c>
      <c r="Q3743">
        <v>0</v>
      </c>
      <c r="R3743" t="s">
        <v>4557</v>
      </c>
      <c r="S3743" t="s">
        <v>1155</v>
      </c>
      <c r="T3743" t="s">
        <v>3888</v>
      </c>
      <c r="U3743" t="s">
        <v>4655</v>
      </c>
      <c r="V3743" s="2">
        <v>0</v>
      </c>
      <c r="W3743" t="s">
        <v>4655</v>
      </c>
      <c r="X3743" s="2">
        <v>0</v>
      </c>
      <c r="Y3743">
        <v>22</v>
      </c>
      <c r="Z3743" t="s">
        <v>5508</v>
      </c>
      <c r="AA3743" s="3">
        <v>0.33500918745994601</v>
      </c>
      <c r="AB3743" t="s">
        <v>20506</v>
      </c>
      <c r="AC3743" t="s">
        <v>4575</v>
      </c>
      <c r="AD3743" t="s">
        <v>20507</v>
      </c>
      <c r="AE3743" t="s">
        <v>4655</v>
      </c>
      <c r="AF3743" t="s">
        <v>225</v>
      </c>
      <c r="AG3743" t="s">
        <v>4584</v>
      </c>
      <c r="AH3743" t="s">
        <v>4272</v>
      </c>
      <c r="AI3743" t="s">
        <v>20508</v>
      </c>
      <c r="AJ3743" t="s">
        <v>4655</v>
      </c>
      <c r="AK3743" t="s">
        <v>20509</v>
      </c>
      <c r="AL3743" s="13" t="s">
        <v>1898</v>
      </c>
      <c r="AM3743">
        <v>1</v>
      </c>
      <c r="AN3743" s="15" t="s">
        <v>2528</v>
      </c>
    </row>
    <row r="3744" spans="1:40" x14ac:dyDescent="0.3">
      <c r="A3744" s="10" t="str">
        <f>HYPERLINK("http://www.washoecounty.gov/assessor/cama/?parid=085-211-03&amp;CardNumber=1","085-211-03")</f>
        <v>085-211-03</v>
      </c>
      <c r="B3744" t="s">
        <v>5502</v>
      </c>
      <c r="C3744" t="s">
        <v>20510</v>
      </c>
      <c r="D3744" s="1">
        <v>40337</v>
      </c>
      <c r="E3744" s="2">
        <v>1152356</v>
      </c>
      <c r="F3744" t="s">
        <v>3528</v>
      </c>
      <c r="G3744" s="17" t="str">
        <f>HYPERLINK("https://www.washoecounty.gov/assessor/cama/?command=sales&amp;parid=08521103","3889121")</f>
        <v>3889121</v>
      </c>
      <c r="H3744" t="s">
        <v>4655</v>
      </c>
      <c r="I3744">
        <v>1995</v>
      </c>
      <c r="J3744">
        <v>1995</v>
      </c>
      <c r="K3744" t="s">
        <v>1612</v>
      </c>
      <c r="L3744" t="s">
        <v>1366</v>
      </c>
      <c r="M3744" s="2">
        <v>4800</v>
      </c>
      <c r="N3744" t="s">
        <v>4672</v>
      </c>
      <c r="O3744">
        <v>0</v>
      </c>
      <c r="P3744">
        <v>0</v>
      </c>
      <c r="Q3744">
        <v>0</v>
      </c>
      <c r="R3744" t="s">
        <v>3039</v>
      </c>
      <c r="S3744" t="s">
        <v>1819</v>
      </c>
      <c r="T3744" t="s">
        <v>4655</v>
      </c>
      <c r="U3744" t="s">
        <v>4655</v>
      </c>
      <c r="V3744" s="2">
        <v>0</v>
      </c>
      <c r="W3744" t="s">
        <v>4655</v>
      </c>
      <c r="X3744" s="2">
        <v>0</v>
      </c>
      <c r="Y3744">
        <v>19</v>
      </c>
      <c r="Z3744" t="s">
        <v>20511</v>
      </c>
      <c r="AA3744" s="3">
        <v>26.086000442504801</v>
      </c>
      <c r="AB3744" t="s">
        <v>20512</v>
      </c>
      <c r="AC3744" t="s">
        <v>4562</v>
      </c>
      <c r="AD3744" t="s">
        <v>20513</v>
      </c>
      <c r="AE3744" t="s">
        <v>4655</v>
      </c>
      <c r="AF3744" t="s">
        <v>1600</v>
      </c>
      <c r="AG3744" t="s">
        <v>4564</v>
      </c>
      <c r="AH3744" t="s">
        <v>1601</v>
      </c>
      <c r="AI3744" t="s">
        <v>4655</v>
      </c>
      <c r="AJ3744" t="s">
        <v>4655</v>
      </c>
      <c r="AK3744" t="s">
        <v>1613</v>
      </c>
      <c r="AL3744" s="13" t="s">
        <v>1898</v>
      </c>
      <c r="AM3744">
        <v>2</v>
      </c>
      <c r="AN3744" s="15" t="s">
        <v>20514</v>
      </c>
    </row>
    <row r="3745" spans="1:40" x14ac:dyDescent="0.3">
      <c r="A3745" s="10" t="str">
        <f>HYPERLINK("http://www.washoecounty.gov/assessor/cama/?parid=085-230-26&amp;CardNumber=1","085-230-26")</f>
        <v>085-230-26</v>
      </c>
      <c r="B3745" t="s">
        <v>4655</v>
      </c>
      <c r="C3745" t="s">
        <v>20515</v>
      </c>
      <c r="D3745" s="1">
        <v>40534</v>
      </c>
      <c r="E3745" s="2">
        <v>70726</v>
      </c>
      <c r="F3745" t="s">
        <v>4567</v>
      </c>
      <c r="G3745" s="17" t="str">
        <f>HYPERLINK("https://www.washoecounty.gov/assessor/cama/?command=sales&amp;parid=08523026","3956262")</f>
        <v>3956262</v>
      </c>
      <c r="H3745" t="s">
        <v>4655</v>
      </c>
      <c r="I3745">
        <v>0</v>
      </c>
      <c r="J3745">
        <v>0</v>
      </c>
      <c r="K3745" t="s">
        <v>4655</v>
      </c>
      <c r="L3745" t="s">
        <v>4655</v>
      </c>
      <c r="M3745" s="2">
        <v>0</v>
      </c>
      <c r="N3745" t="s">
        <v>4655</v>
      </c>
      <c r="O3745">
        <v>0</v>
      </c>
      <c r="P3745">
        <v>0</v>
      </c>
      <c r="Q3745">
        <v>0</v>
      </c>
      <c r="R3745" t="s">
        <v>4655</v>
      </c>
      <c r="S3745" t="s">
        <v>4655</v>
      </c>
      <c r="T3745" t="s">
        <v>4655</v>
      </c>
      <c r="U3745" t="s">
        <v>4655</v>
      </c>
      <c r="V3745" s="2">
        <v>0</v>
      </c>
      <c r="W3745" t="s">
        <v>4655</v>
      </c>
      <c r="X3745" s="2">
        <v>0</v>
      </c>
      <c r="Y3745">
        <v>23</v>
      </c>
      <c r="Z3745" t="s">
        <v>5508</v>
      </c>
      <c r="AA3745" s="3">
        <v>0.31600090861320501</v>
      </c>
      <c r="AB3745" t="s">
        <v>20516</v>
      </c>
      <c r="AC3745" t="s">
        <v>4575</v>
      </c>
      <c r="AD3745" t="s">
        <v>20517</v>
      </c>
      <c r="AE3745" t="s">
        <v>20518</v>
      </c>
      <c r="AF3745" t="s">
        <v>4563</v>
      </c>
      <c r="AG3745" t="s">
        <v>4564</v>
      </c>
      <c r="AH3745">
        <v>89511</v>
      </c>
      <c r="AI3745" t="s">
        <v>20519</v>
      </c>
      <c r="AJ3745" t="s">
        <v>4655</v>
      </c>
      <c r="AK3745" t="s">
        <v>20520</v>
      </c>
      <c r="AL3745" s="13" t="s">
        <v>1898</v>
      </c>
      <c r="AM3745">
        <v>0</v>
      </c>
      <c r="AN3745" s="15" t="s">
        <v>2528</v>
      </c>
    </row>
    <row r="3746" spans="1:40" x14ac:dyDescent="0.3">
      <c r="A3746" s="10" t="str">
        <f>HYPERLINK("http://www.washoecounty.gov/assessor/cama/?parid=085-241-33&amp;CardNumber=1","085-241-33")</f>
        <v>085-241-33</v>
      </c>
      <c r="B3746" t="s">
        <v>4655</v>
      </c>
      <c r="C3746" t="s">
        <v>20521</v>
      </c>
      <c r="D3746" s="1">
        <v>40235</v>
      </c>
      <c r="E3746" s="2">
        <v>66000</v>
      </c>
      <c r="F3746" t="s">
        <v>4567</v>
      </c>
      <c r="G3746" s="17" t="str">
        <f>HYPERLINK("https://www.washoecounty.gov/assessor/cama/?command=sales&amp;parid=08524133","3853413")</f>
        <v>3853413</v>
      </c>
      <c r="H3746" t="s">
        <v>20522</v>
      </c>
      <c r="I3746">
        <v>1992</v>
      </c>
      <c r="J3746">
        <v>1992</v>
      </c>
      <c r="K3746" t="s">
        <v>4847</v>
      </c>
      <c r="L3746" t="s">
        <v>4555</v>
      </c>
      <c r="M3746" s="2">
        <v>1128</v>
      </c>
      <c r="N3746" t="s">
        <v>4556</v>
      </c>
      <c r="O3746">
        <v>3</v>
      </c>
      <c r="P3746">
        <v>2</v>
      </c>
      <c r="Q3746">
        <v>0</v>
      </c>
      <c r="R3746" t="s">
        <v>4557</v>
      </c>
      <c r="S3746" t="s">
        <v>4558</v>
      </c>
      <c r="T3746" t="s">
        <v>4559</v>
      </c>
      <c r="U3746" t="s">
        <v>4655</v>
      </c>
      <c r="V3746" s="2">
        <v>0</v>
      </c>
      <c r="W3746" t="s">
        <v>4655</v>
      </c>
      <c r="X3746" s="2">
        <v>0</v>
      </c>
      <c r="Y3746">
        <v>22</v>
      </c>
      <c r="Z3746" t="s">
        <v>5508</v>
      </c>
      <c r="AA3746" s="3">
        <v>0.35500457882881198</v>
      </c>
      <c r="AB3746" t="s">
        <v>20523</v>
      </c>
      <c r="AC3746" t="s">
        <v>4562</v>
      </c>
      <c r="AD3746" t="s">
        <v>20521</v>
      </c>
      <c r="AE3746" t="s">
        <v>4655</v>
      </c>
      <c r="AF3746" t="s">
        <v>1600</v>
      </c>
      <c r="AG3746" t="s">
        <v>4564</v>
      </c>
      <c r="AH3746" t="s">
        <v>1601</v>
      </c>
      <c r="AI3746" t="s">
        <v>20524</v>
      </c>
      <c r="AJ3746" t="s">
        <v>20525</v>
      </c>
      <c r="AK3746" t="s">
        <v>20526</v>
      </c>
      <c r="AL3746" s="13" t="s">
        <v>1898</v>
      </c>
      <c r="AM3746">
        <v>1</v>
      </c>
      <c r="AN3746" s="15" t="s">
        <v>2528</v>
      </c>
    </row>
    <row r="3747" spans="1:40" x14ac:dyDescent="0.3">
      <c r="A3747" s="10" t="str">
        <f>HYPERLINK("http://www.washoecounty.gov/assessor/cama/?parid=085-242-04&amp;CardNumber=1","085-242-04")</f>
        <v>085-242-04</v>
      </c>
      <c r="B3747" t="s">
        <v>4655</v>
      </c>
      <c r="C3747" t="s">
        <v>20527</v>
      </c>
      <c r="D3747" s="1">
        <v>40332</v>
      </c>
      <c r="E3747" s="2">
        <v>85000</v>
      </c>
      <c r="F3747" t="s">
        <v>4553</v>
      </c>
      <c r="G3747" s="17" t="str">
        <f>HYPERLINK("https://www.washoecounty.gov/assessor/cama/?command=sales&amp;parid=08524204","3888228")</f>
        <v>3888228</v>
      </c>
      <c r="H3747" t="s">
        <v>20528</v>
      </c>
      <c r="I3747">
        <v>1982</v>
      </c>
      <c r="J3747">
        <v>1982</v>
      </c>
      <c r="K3747" t="s">
        <v>4847</v>
      </c>
      <c r="L3747" t="s">
        <v>4555</v>
      </c>
      <c r="M3747" s="2">
        <v>1338</v>
      </c>
      <c r="N3747" t="s">
        <v>5280</v>
      </c>
      <c r="O3747">
        <v>3</v>
      </c>
      <c r="P3747">
        <v>2</v>
      </c>
      <c r="Q3747">
        <v>0</v>
      </c>
      <c r="R3747" t="s">
        <v>4557</v>
      </c>
      <c r="S3747" t="s">
        <v>4558</v>
      </c>
      <c r="T3747" t="s">
        <v>4559</v>
      </c>
      <c r="U3747" t="s">
        <v>4655</v>
      </c>
      <c r="V3747" s="2">
        <v>0</v>
      </c>
      <c r="W3747" t="s">
        <v>4655</v>
      </c>
      <c r="X3747" s="2">
        <v>0</v>
      </c>
      <c r="Y3747">
        <v>22</v>
      </c>
      <c r="Z3747" t="s">
        <v>5508</v>
      </c>
      <c r="AA3747" s="3">
        <v>0.33399906754493702</v>
      </c>
      <c r="AB3747" t="s">
        <v>20529</v>
      </c>
      <c r="AC3747" t="s">
        <v>4562</v>
      </c>
      <c r="AD3747" t="s">
        <v>20527</v>
      </c>
      <c r="AE3747" t="s">
        <v>4655</v>
      </c>
      <c r="AF3747" t="s">
        <v>1600</v>
      </c>
      <c r="AG3747" t="s">
        <v>4564</v>
      </c>
      <c r="AH3747" t="s">
        <v>1601</v>
      </c>
      <c r="AI3747" t="s">
        <v>4565</v>
      </c>
      <c r="AJ3747" t="s">
        <v>4655</v>
      </c>
      <c r="AK3747" t="s">
        <v>20530</v>
      </c>
      <c r="AL3747" s="13" t="s">
        <v>1898</v>
      </c>
      <c r="AM3747">
        <v>1</v>
      </c>
      <c r="AN3747" s="15" t="s">
        <v>2528</v>
      </c>
    </row>
    <row r="3748" spans="1:40" x14ac:dyDescent="0.3">
      <c r="A3748" s="10" t="str">
        <f>HYPERLINK("http://www.washoecounty.gov/assessor/cama/?parid=085-242-05&amp;CardNumber=1","085-242-05")</f>
        <v>085-242-05</v>
      </c>
      <c r="B3748" t="s">
        <v>4655</v>
      </c>
      <c r="C3748" t="s">
        <v>20531</v>
      </c>
      <c r="D3748" s="1">
        <v>40262</v>
      </c>
      <c r="E3748" s="2">
        <v>81000</v>
      </c>
      <c r="F3748" t="s">
        <v>4553</v>
      </c>
      <c r="G3748" s="17" t="str">
        <f>HYPERLINK("https://www.washoecounty.gov/assessor/cama/?command=sales&amp;parid=08524205","3864140")</f>
        <v>3864140</v>
      </c>
      <c r="H3748" t="s">
        <v>20532</v>
      </c>
      <c r="I3748">
        <v>1989</v>
      </c>
      <c r="J3748">
        <v>1989</v>
      </c>
      <c r="K3748" t="s">
        <v>4847</v>
      </c>
      <c r="L3748" t="s">
        <v>4555</v>
      </c>
      <c r="M3748" s="2">
        <v>1716</v>
      </c>
      <c r="N3748" t="s">
        <v>5280</v>
      </c>
      <c r="O3748">
        <v>5</v>
      </c>
      <c r="P3748">
        <v>2</v>
      </c>
      <c r="Q3748">
        <v>0</v>
      </c>
      <c r="R3748" t="s">
        <v>4557</v>
      </c>
      <c r="S3748" t="s">
        <v>4558</v>
      </c>
      <c r="T3748" t="s">
        <v>4559</v>
      </c>
      <c r="U3748" t="s">
        <v>4655</v>
      </c>
      <c r="V3748" s="2">
        <v>0</v>
      </c>
      <c r="W3748" t="s">
        <v>4655</v>
      </c>
      <c r="X3748" s="2">
        <v>0</v>
      </c>
      <c r="Y3748">
        <v>22</v>
      </c>
      <c r="Z3748" t="s">
        <v>5508</v>
      </c>
      <c r="AA3748" s="3">
        <v>0.33298897743225098</v>
      </c>
      <c r="AB3748" t="s">
        <v>20533</v>
      </c>
      <c r="AC3748" t="s">
        <v>4562</v>
      </c>
      <c r="AD3748" t="s">
        <v>20534</v>
      </c>
      <c r="AE3748" t="s">
        <v>4655</v>
      </c>
      <c r="AF3748" t="s">
        <v>1600</v>
      </c>
      <c r="AG3748" t="s">
        <v>4564</v>
      </c>
      <c r="AH3748" t="s">
        <v>1601</v>
      </c>
      <c r="AI3748" t="s">
        <v>4848</v>
      </c>
      <c r="AJ3748" t="s">
        <v>4655</v>
      </c>
      <c r="AK3748" t="s">
        <v>20535</v>
      </c>
      <c r="AL3748" s="13" t="s">
        <v>1898</v>
      </c>
      <c r="AM3748">
        <v>1</v>
      </c>
      <c r="AN3748" s="15" t="s">
        <v>2528</v>
      </c>
    </row>
    <row r="3749" spans="1:40" x14ac:dyDescent="0.3">
      <c r="A3749" s="10" t="str">
        <f>HYPERLINK("http://www.washoecounty.gov/assessor/cama/?parid=085-261-38&amp;CardNumber=1","085-261-38")</f>
        <v>085-261-38</v>
      </c>
      <c r="B3749" t="s">
        <v>4655</v>
      </c>
      <c r="C3749" t="s">
        <v>20536</v>
      </c>
      <c r="D3749" s="1">
        <v>40298</v>
      </c>
      <c r="E3749" s="2">
        <v>900000</v>
      </c>
      <c r="F3749" t="s">
        <v>3584</v>
      </c>
      <c r="G3749" s="17" t="str">
        <f>HYPERLINK("https://www.washoecounty.gov/assessor/cama/?command=sales&amp;parid=08526138","3877129")</f>
        <v>3877129</v>
      </c>
      <c r="H3749" t="s">
        <v>4655</v>
      </c>
      <c r="I3749">
        <v>1960</v>
      </c>
      <c r="J3749">
        <v>1960</v>
      </c>
      <c r="K3749" t="s">
        <v>145</v>
      </c>
      <c r="L3749" t="s">
        <v>3101</v>
      </c>
      <c r="M3749" s="2">
        <v>0</v>
      </c>
      <c r="N3749" t="s">
        <v>4655</v>
      </c>
      <c r="O3749">
        <v>0</v>
      </c>
      <c r="P3749">
        <v>0</v>
      </c>
      <c r="Q3749">
        <v>0</v>
      </c>
      <c r="R3749" t="s">
        <v>4655</v>
      </c>
      <c r="S3749" t="s">
        <v>4655</v>
      </c>
      <c r="T3749" t="s">
        <v>4655</v>
      </c>
      <c r="U3749" t="s">
        <v>4655</v>
      </c>
      <c r="V3749" s="2">
        <v>0</v>
      </c>
      <c r="W3749" t="s">
        <v>4655</v>
      </c>
      <c r="X3749" s="2">
        <v>0</v>
      </c>
      <c r="Y3749">
        <v>18</v>
      </c>
      <c r="Z3749" t="s">
        <v>3889</v>
      </c>
      <c r="AA3749" s="3">
        <v>0.42500001192092901</v>
      </c>
      <c r="AB3749" t="s">
        <v>20537</v>
      </c>
      <c r="AC3749" t="s">
        <v>4562</v>
      </c>
      <c r="AD3749" t="s">
        <v>146</v>
      </c>
      <c r="AE3749" t="s">
        <v>4655</v>
      </c>
      <c r="AF3749" t="s">
        <v>4563</v>
      </c>
      <c r="AG3749" t="s">
        <v>4564</v>
      </c>
      <c r="AH3749">
        <v>89506</v>
      </c>
      <c r="AI3749" t="s">
        <v>20538</v>
      </c>
      <c r="AJ3749" t="s">
        <v>4655</v>
      </c>
      <c r="AK3749" t="s">
        <v>20539</v>
      </c>
      <c r="AL3749" s="13" t="s">
        <v>1898</v>
      </c>
      <c r="AM3749">
        <v>1</v>
      </c>
      <c r="AN3749" s="15" t="s">
        <v>20540</v>
      </c>
    </row>
    <row r="3750" spans="1:40" x14ac:dyDescent="0.3">
      <c r="A3750" s="10" t="str">
        <f>HYPERLINK("http://www.washoecounty.gov/assessor/cama/?parid=085-261-41&amp;CardNumber=1","085-261-41")</f>
        <v>085-261-41</v>
      </c>
      <c r="B3750" t="s">
        <v>4655</v>
      </c>
      <c r="C3750" t="s">
        <v>20541</v>
      </c>
      <c r="D3750" s="1">
        <v>40298</v>
      </c>
      <c r="E3750" s="2">
        <v>900000</v>
      </c>
      <c r="F3750" t="s">
        <v>3584</v>
      </c>
      <c r="G3750" s="17" t="str">
        <f>HYPERLINK("https://www.washoecounty.gov/assessor/cama/?command=sales&amp;parid=08526141","3877129")</f>
        <v>3877129</v>
      </c>
      <c r="H3750" t="s">
        <v>4655</v>
      </c>
      <c r="I3750">
        <v>1987</v>
      </c>
      <c r="J3750">
        <v>1987</v>
      </c>
      <c r="K3750" t="s">
        <v>207</v>
      </c>
      <c r="L3750" t="s">
        <v>1366</v>
      </c>
      <c r="M3750" s="2">
        <v>5400</v>
      </c>
      <c r="N3750" t="s">
        <v>1431</v>
      </c>
      <c r="O3750">
        <v>0</v>
      </c>
      <c r="P3750">
        <v>0</v>
      </c>
      <c r="Q3750">
        <v>0</v>
      </c>
      <c r="R3750" t="s">
        <v>1395</v>
      </c>
      <c r="S3750" t="s">
        <v>4856</v>
      </c>
      <c r="T3750" t="s">
        <v>4655</v>
      </c>
      <c r="U3750" t="s">
        <v>4655</v>
      </c>
      <c r="V3750" s="2">
        <v>0</v>
      </c>
      <c r="W3750" t="s">
        <v>4655</v>
      </c>
      <c r="X3750" s="2">
        <v>0</v>
      </c>
      <c r="Y3750">
        <v>18</v>
      </c>
      <c r="Z3750" t="s">
        <v>3889</v>
      </c>
      <c r="AA3750" s="3">
        <v>0.32899448275566101</v>
      </c>
      <c r="AB3750" t="s">
        <v>20537</v>
      </c>
      <c r="AC3750" t="s">
        <v>4562</v>
      </c>
      <c r="AD3750" t="s">
        <v>146</v>
      </c>
      <c r="AE3750" t="s">
        <v>4655</v>
      </c>
      <c r="AF3750" t="s">
        <v>4563</v>
      </c>
      <c r="AG3750" t="s">
        <v>4564</v>
      </c>
      <c r="AH3750">
        <v>89506</v>
      </c>
      <c r="AI3750" t="s">
        <v>20538</v>
      </c>
      <c r="AJ3750" t="s">
        <v>4655</v>
      </c>
      <c r="AK3750" t="s">
        <v>20539</v>
      </c>
      <c r="AL3750" s="13" t="s">
        <v>1898</v>
      </c>
      <c r="AM3750">
        <v>1</v>
      </c>
      <c r="AN3750" s="15" t="s">
        <v>20540</v>
      </c>
    </row>
    <row r="3751" spans="1:40" x14ac:dyDescent="0.3">
      <c r="A3751" s="10" t="str">
        <f>HYPERLINK("http://www.washoecounty.gov/assessor/cama/?parid=085-272-06&amp;CardNumber=1","085-272-06")</f>
        <v>085-272-06</v>
      </c>
      <c r="B3751" t="s">
        <v>4655</v>
      </c>
      <c r="C3751" t="s">
        <v>20542</v>
      </c>
      <c r="D3751" s="1">
        <v>40298</v>
      </c>
      <c r="E3751" s="2">
        <v>65000</v>
      </c>
      <c r="F3751" t="s">
        <v>4567</v>
      </c>
      <c r="G3751" s="17" t="str">
        <f>HYPERLINK("https://www.washoecounty.gov/assessor/cama/?command=sales&amp;parid=08527206","3876636")</f>
        <v>3876636</v>
      </c>
      <c r="H3751" t="s">
        <v>20543</v>
      </c>
      <c r="I3751">
        <v>1977</v>
      </c>
      <c r="J3751">
        <v>1977</v>
      </c>
      <c r="K3751" t="s">
        <v>4847</v>
      </c>
      <c r="L3751" t="s">
        <v>4555</v>
      </c>
      <c r="M3751" s="2">
        <v>1116</v>
      </c>
      <c r="N3751" t="s">
        <v>4672</v>
      </c>
      <c r="O3751">
        <v>3</v>
      </c>
      <c r="P3751">
        <v>2</v>
      </c>
      <c r="Q3751">
        <v>0</v>
      </c>
      <c r="R3751" t="s">
        <v>4557</v>
      </c>
      <c r="S3751" t="s">
        <v>1155</v>
      </c>
      <c r="T3751" t="s">
        <v>3888</v>
      </c>
      <c r="U3751" t="s">
        <v>4655</v>
      </c>
      <c r="V3751" s="2">
        <v>0</v>
      </c>
      <c r="W3751" t="s">
        <v>4655</v>
      </c>
      <c r="X3751" s="2">
        <v>0</v>
      </c>
      <c r="Y3751">
        <v>22</v>
      </c>
      <c r="Z3751" t="s">
        <v>5508</v>
      </c>
      <c r="AA3751" s="3">
        <v>0.36499083042144798</v>
      </c>
      <c r="AB3751" t="s">
        <v>20544</v>
      </c>
      <c r="AC3751" t="s">
        <v>4562</v>
      </c>
      <c r="AD3751" t="s">
        <v>20542</v>
      </c>
      <c r="AE3751" t="s">
        <v>4655</v>
      </c>
      <c r="AF3751" t="s">
        <v>1600</v>
      </c>
      <c r="AG3751" t="s">
        <v>4564</v>
      </c>
      <c r="AH3751" t="s">
        <v>1601</v>
      </c>
      <c r="AI3751" t="s">
        <v>20545</v>
      </c>
      <c r="AJ3751" t="s">
        <v>4655</v>
      </c>
      <c r="AK3751" t="s">
        <v>20546</v>
      </c>
      <c r="AL3751" s="13" t="s">
        <v>1898</v>
      </c>
      <c r="AM3751">
        <v>1</v>
      </c>
      <c r="AN3751" s="15" t="s">
        <v>2528</v>
      </c>
    </row>
    <row r="3752" spans="1:40" x14ac:dyDescent="0.3">
      <c r="A3752" s="10" t="str">
        <f>HYPERLINK("http://www.washoecounty.gov/assessor/cama/?parid=085-321-08&amp;CardNumber=1","085-321-08")</f>
        <v>085-321-08</v>
      </c>
      <c r="B3752" t="s">
        <v>4655</v>
      </c>
      <c r="C3752" t="s">
        <v>20547</v>
      </c>
      <c r="D3752" s="1">
        <v>40358</v>
      </c>
      <c r="E3752" s="2">
        <v>106000</v>
      </c>
      <c r="F3752" t="s">
        <v>4567</v>
      </c>
      <c r="G3752" s="17" t="str">
        <f>HYPERLINK("https://www.washoecounty.gov/assessor/cama/?command=sales&amp;parid=08532108","3896774")</f>
        <v>3896774</v>
      </c>
      <c r="H3752" t="s">
        <v>20548</v>
      </c>
      <c r="I3752">
        <v>2007</v>
      </c>
      <c r="J3752">
        <v>2007</v>
      </c>
      <c r="K3752" t="s">
        <v>4847</v>
      </c>
      <c r="L3752" t="s">
        <v>4555</v>
      </c>
      <c r="M3752" s="2">
        <v>1620</v>
      </c>
      <c r="N3752" t="s">
        <v>3147</v>
      </c>
      <c r="O3752">
        <v>3</v>
      </c>
      <c r="P3752">
        <v>2</v>
      </c>
      <c r="Q3752">
        <v>0</v>
      </c>
      <c r="R3752" t="s">
        <v>4557</v>
      </c>
      <c r="S3752" t="s">
        <v>4558</v>
      </c>
      <c r="T3752" t="s">
        <v>4559</v>
      </c>
      <c r="U3752" t="s">
        <v>4655</v>
      </c>
      <c r="V3752" s="2">
        <v>0</v>
      </c>
      <c r="W3752" t="s">
        <v>4655</v>
      </c>
      <c r="X3752" s="2">
        <v>0</v>
      </c>
      <c r="Y3752">
        <v>22</v>
      </c>
      <c r="Z3752" t="s">
        <v>5508</v>
      </c>
      <c r="AA3752" s="3">
        <v>0.34999999403953602</v>
      </c>
      <c r="AB3752" t="s">
        <v>20549</v>
      </c>
      <c r="AC3752" t="s">
        <v>4575</v>
      </c>
      <c r="AD3752" t="s">
        <v>20547</v>
      </c>
      <c r="AE3752" t="s">
        <v>4655</v>
      </c>
      <c r="AF3752" t="s">
        <v>1600</v>
      </c>
      <c r="AG3752" t="s">
        <v>4564</v>
      </c>
      <c r="AH3752" t="s">
        <v>1601</v>
      </c>
      <c r="AI3752" t="s">
        <v>4655</v>
      </c>
      <c r="AJ3752" t="s">
        <v>4655</v>
      </c>
      <c r="AK3752" t="s">
        <v>20550</v>
      </c>
      <c r="AL3752" s="13" t="s">
        <v>1898</v>
      </c>
      <c r="AM3752" s="14">
        <v>1</v>
      </c>
      <c r="AN3752" s="15" t="s">
        <v>2528</v>
      </c>
    </row>
    <row r="3753" spans="1:40" x14ac:dyDescent="0.3">
      <c r="A3753" s="10" t="str">
        <f>HYPERLINK("http://www.washoecounty.gov/assessor/cama/?parid=085-322-01&amp;CardNumber=1","085-322-01")</f>
        <v>085-322-01</v>
      </c>
      <c r="B3753" t="s">
        <v>4655</v>
      </c>
      <c r="C3753" t="s">
        <v>20551</v>
      </c>
      <c r="D3753" s="1">
        <v>40462</v>
      </c>
      <c r="E3753" s="2">
        <v>130000</v>
      </c>
      <c r="F3753" t="s">
        <v>4567</v>
      </c>
      <c r="G3753" s="17" t="str">
        <f>HYPERLINK("https://www.washoecounty.gov/assessor/cama/?command=sales&amp;parid=08532201","3931544")</f>
        <v>3931544</v>
      </c>
      <c r="H3753" t="s">
        <v>5456</v>
      </c>
      <c r="I3753">
        <v>1995</v>
      </c>
      <c r="J3753">
        <v>1995</v>
      </c>
      <c r="K3753" t="s">
        <v>4847</v>
      </c>
      <c r="L3753" t="s">
        <v>4555</v>
      </c>
      <c r="M3753" s="2">
        <v>1716</v>
      </c>
      <c r="N3753" t="s">
        <v>5280</v>
      </c>
      <c r="O3753">
        <v>3</v>
      </c>
      <c r="P3753">
        <v>2</v>
      </c>
      <c r="Q3753">
        <v>0</v>
      </c>
      <c r="R3753" t="s">
        <v>4557</v>
      </c>
      <c r="S3753" t="s">
        <v>4558</v>
      </c>
      <c r="T3753" t="s">
        <v>4559</v>
      </c>
      <c r="U3753" t="s">
        <v>4655</v>
      </c>
      <c r="V3753" s="2">
        <v>0</v>
      </c>
      <c r="W3753" t="s">
        <v>4655</v>
      </c>
      <c r="X3753" s="2">
        <v>0</v>
      </c>
      <c r="Y3753">
        <v>22</v>
      </c>
      <c r="Z3753" t="s">
        <v>5508</v>
      </c>
      <c r="AA3753" s="3">
        <v>0.35500457882881198</v>
      </c>
      <c r="AB3753" t="s">
        <v>20552</v>
      </c>
      <c r="AC3753" t="s">
        <v>4562</v>
      </c>
      <c r="AD3753" t="s">
        <v>20553</v>
      </c>
      <c r="AE3753" t="s">
        <v>4655</v>
      </c>
      <c r="AF3753" t="s">
        <v>4563</v>
      </c>
      <c r="AG3753" t="s">
        <v>4564</v>
      </c>
      <c r="AH3753">
        <v>89511</v>
      </c>
      <c r="AI3753" t="s">
        <v>4377</v>
      </c>
      <c r="AJ3753" t="s">
        <v>4655</v>
      </c>
      <c r="AK3753" t="s">
        <v>20554</v>
      </c>
      <c r="AL3753" s="13" t="s">
        <v>1898</v>
      </c>
      <c r="AM3753">
        <v>1</v>
      </c>
      <c r="AN3753" s="15" t="s">
        <v>2528</v>
      </c>
    </row>
    <row r="3754" spans="1:40" x14ac:dyDescent="0.3">
      <c r="A3754" s="10" t="str">
        <f>HYPERLINK("http://www.washoecounty.gov/assessor/cama/?parid=085-322-11&amp;CardNumber=1","085-322-11")</f>
        <v>085-322-11</v>
      </c>
      <c r="B3754" t="s">
        <v>4655</v>
      </c>
      <c r="C3754" t="s">
        <v>20555</v>
      </c>
      <c r="D3754" s="1">
        <v>40527</v>
      </c>
      <c r="E3754" s="2">
        <v>55564</v>
      </c>
      <c r="F3754" t="s">
        <v>4567</v>
      </c>
      <c r="G3754" s="17" t="str">
        <f>HYPERLINK("https://www.washoecounty.gov/assessor/cama/?command=sales&amp;parid=08532211","3953557")</f>
        <v>3953557</v>
      </c>
      <c r="H3754" t="s">
        <v>5456</v>
      </c>
      <c r="I3754">
        <v>1980</v>
      </c>
      <c r="J3754">
        <v>1980</v>
      </c>
      <c r="K3754" t="s">
        <v>1243</v>
      </c>
      <c r="L3754" t="s">
        <v>4655</v>
      </c>
      <c r="M3754" s="2">
        <v>0</v>
      </c>
      <c r="N3754" t="s">
        <v>4655</v>
      </c>
      <c r="O3754">
        <v>0</v>
      </c>
      <c r="P3754">
        <v>0</v>
      </c>
      <c r="Q3754">
        <v>0</v>
      </c>
      <c r="R3754" t="s">
        <v>4655</v>
      </c>
      <c r="S3754" t="s">
        <v>4655</v>
      </c>
      <c r="T3754" t="s">
        <v>4655</v>
      </c>
      <c r="U3754" t="s">
        <v>4655</v>
      </c>
      <c r="V3754" s="2">
        <v>0</v>
      </c>
      <c r="W3754" t="s">
        <v>4655</v>
      </c>
      <c r="X3754" s="2">
        <v>0</v>
      </c>
      <c r="Y3754">
        <v>23</v>
      </c>
      <c r="Z3754" t="s">
        <v>5508</v>
      </c>
      <c r="AA3754" s="3">
        <v>0.34800276160240201</v>
      </c>
      <c r="AB3754" t="s">
        <v>20556</v>
      </c>
      <c r="AC3754" t="s">
        <v>4562</v>
      </c>
      <c r="AD3754" t="s">
        <v>20557</v>
      </c>
      <c r="AE3754" t="s">
        <v>4655</v>
      </c>
      <c r="AF3754" t="s">
        <v>1600</v>
      </c>
      <c r="AG3754" t="s">
        <v>4564</v>
      </c>
      <c r="AH3754" t="s">
        <v>1601</v>
      </c>
      <c r="AI3754" t="s">
        <v>20558</v>
      </c>
      <c r="AJ3754" t="s">
        <v>4655</v>
      </c>
      <c r="AK3754" t="s">
        <v>20559</v>
      </c>
      <c r="AL3754" s="13" t="s">
        <v>1898</v>
      </c>
      <c r="AM3754">
        <v>1</v>
      </c>
      <c r="AN3754" s="15" t="s">
        <v>2528</v>
      </c>
    </row>
    <row r="3755" spans="1:40" x14ac:dyDescent="0.3">
      <c r="A3755" s="10" t="str">
        <f>HYPERLINK("http://www.washoecounty.gov/assessor/cama/?parid=085-330-24&amp;CardNumber=1","085-330-24")</f>
        <v>085-330-24</v>
      </c>
      <c r="B3755" t="s">
        <v>4655</v>
      </c>
      <c r="C3755" t="s">
        <v>20560</v>
      </c>
      <c r="D3755" s="1">
        <v>40331</v>
      </c>
      <c r="E3755" s="2">
        <v>23500</v>
      </c>
      <c r="F3755" t="s">
        <v>4553</v>
      </c>
      <c r="G3755" s="17" t="str">
        <f>HYPERLINK("https://www.washoecounty.gov/assessor/cama/?command=sales&amp;parid=08533024","3887546")</f>
        <v>3887546</v>
      </c>
      <c r="H3755" t="s">
        <v>20561</v>
      </c>
      <c r="I3755">
        <v>1980</v>
      </c>
      <c r="J3755">
        <v>1980</v>
      </c>
      <c r="K3755" t="s">
        <v>4847</v>
      </c>
      <c r="L3755" t="s">
        <v>4555</v>
      </c>
      <c r="M3755" s="2">
        <v>1440</v>
      </c>
      <c r="N3755" t="s">
        <v>4556</v>
      </c>
      <c r="O3755">
        <v>3</v>
      </c>
      <c r="P3755">
        <v>2</v>
      </c>
      <c r="Q3755">
        <v>0</v>
      </c>
      <c r="R3755" t="s">
        <v>4557</v>
      </c>
      <c r="S3755" t="s">
        <v>4558</v>
      </c>
      <c r="T3755" t="s">
        <v>4559</v>
      </c>
      <c r="U3755" t="s">
        <v>4655</v>
      </c>
      <c r="V3755" s="2">
        <v>0</v>
      </c>
      <c r="W3755" t="s">
        <v>4655</v>
      </c>
      <c r="X3755" s="2">
        <v>0</v>
      </c>
      <c r="Y3755">
        <v>22</v>
      </c>
      <c r="Z3755" t="s">
        <v>5508</v>
      </c>
      <c r="AA3755" s="3">
        <v>0.310996323823929</v>
      </c>
      <c r="AB3755" t="s">
        <v>20562</v>
      </c>
      <c r="AC3755" t="s">
        <v>4562</v>
      </c>
      <c r="AD3755" t="s">
        <v>20563</v>
      </c>
      <c r="AE3755" t="s">
        <v>4655</v>
      </c>
      <c r="AF3755" t="s">
        <v>1600</v>
      </c>
      <c r="AG3755" t="s">
        <v>4564</v>
      </c>
      <c r="AH3755" t="s">
        <v>1601</v>
      </c>
      <c r="AI3755" t="s">
        <v>4565</v>
      </c>
      <c r="AJ3755" t="s">
        <v>4655</v>
      </c>
      <c r="AK3755" t="s">
        <v>20564</v>
      </c>
      <c r="AL3755" s="13" t="s">
        <v>1898</v>
      </c>
      <c r="AM3755">
        <v>1</v>
      </c>
      <c r="AN3755" s="15" t="s">
        <v>2528</v>
      </c>
    </row>
    <row r="3756" spans="1:40" x14ac:dyDescent="0.3">
      <c r="A3756" s="10" t="str">
        <f>HYPERLINK("http://www.washoecounty.gov/assessor/cama/?parid=085-330-30&amp;CardNumber=1","085-330-30")</f>
        <v>085-330-30</v>
      </c>
      <c r="B3756" t="s">
        <v>4655</v>
      </c>
      <c r="C3756" t="s">
        <v>20565</v>
      </c>
      <c r="D3756" s="1">
        <v>40542</v>
      </c>
      <c r="E3756" s="2">
        <v>20000</v>
      </c>
      <c r="F3756" t="s">
        <v>4567</v>
      </c>
      <c r="G3756" s="17" t="str">
        <f>HYPERLINK("https://www.washoecounty.gov/assessor/cama/?command=sales&amp;parid=08533030","3959317")</f>
        <v>3959317</v>
      </c>
      <c r="H3756" t="s">
        <v>20566</v>
      </c>
      <c r="I3756">
        <v>1980</v>
      </c>
      <c r="J3756">
        <v>1980</v>
      </c>
      <c r="K3756" t="s">
        <v>4847</v>
      </c>
      <c r="L3756" t="s">
        <v>4555</v>
      </c>
      <c r="M3756" s="2">
        <v>960</v>
      </c>
      <c r="N3756" t="s">
        <v>4556</v>
      </c>
      <c r="O3756">
        <v>3</v>
      </c>
      <c r="P3756">
        <v>2</v>
      </c>
      <c r="Q3756">
        <v>0</v>
      </c>
      <c r="R3756" t="s">
        <v>4557</v>
      </c>
      <c r="S3756" t="s">
        <v>1155</v>
      </c>
      <c r="T3756" t="s">
        <v>3888</v>
      </c>
      <c r="U3756" t="s">
        <v>4655</v>
      </c>
      <c r="V3756" s="2">
        <v>0</v>
      </c>
      <c r="W3756" t="s">
        <v>4655</v>
      </c>
      <c r="X3756" s="2">
        <v>0</v>
      </c>
      <c r="Y3756">
        <v>22</v>
      </c>
      <c r="Z3756" t="s">
        <v>4051</v>
      </c>
      <c r="AA3756" s="3">
        <v>0.47899448871612499</v>
      </c>
      <c r="AB3756" t="s">
        <v>5359</v>
      </c>
      <c r="AC3756" t="s">
        <v>4562</v>
      </c>
      <c r="AD3756" t="s">
        <v>5059</v>
      </c>
      <c r="AE3756" t="s">
        <v>4655</v>
      </c>
      <c r="AF3756" t="s">
        <v>4752</v>
      </c>
      <c r="AG3756" t="s">
        <v>4564</v>
      </c>
      <c r="AH3756" t="s">
        <v>1147</v>
      </c>
      <c r="AI3756" t="s">
        <v>20567</v>
      </c>
      <c r="AJ3756" t="s">
        <v>4655</v>
      </c>
      <c r="AK3756" t="s">
        <v>20568</v>
      </c>
      <c r="AL3756" s="13" t="s">
        <v>1898</v>
      </c>
      <c r="AM3756">
        <v>1</v>
      </c>
      <c r="AN3756" s="15" t="s">
        <v>2528</v>
      </c>
    </row>
    <row r="3757" spans="1:40" x14ac:dyDescent="0.3">
      <c r="A3757" s="10" t="str">
        <f>HYPERLINK("http://www.washoecounty.gov/assessor/cama/?parid=085-390-04&amp;CardNumber=1","085-390-04")</f>
        <v>085-390-04</v>
      </c>
      <c r="B3757" t="s">
        <v>4655</v>
      </c>
      <c r="C3757" t="s">
        <v>20569</v>
      </c>
      <c r="D3757" s="1">
        <v>40309</v>
      </c>
      <c r="E3757" s="2">
        <v>65000</v>
      </c>
      <c r="F3757" t="s">
        <v>4567</v>
      </c>
      <c r="G3757" s="17" t="str">
        <f>HYPERLINK("https://www.washoecounty.gov/assessor/cama/?command=sales&amp;parid=08539004","3880452")</f>
        <v>3880452</v>
      </c>
      <c r="H3757" t="s">
        <v>20570</v>
      </c>
      <c r="I3757">
        <v>0</v>
      </c>
      <c r="J3757">
        <v>0</v>
      </c>
      <c r="K3757" t="s">
        <v>4655</v>
      </c>
      <c r="L3757" t="s">
        <v>4655</v>
      </c>
      <c r="M3757" s="2">
        <v>0</v>
      </c>
      <c r="N3757" t="s">
        <v>4655</v>
      </c>
      <c r="O3757">
        <v>0</v>
      </c>
      <c r="P3757">
        <v>0</v>
      </c>
      <c r="Q3757">
        <v>0</v>
      </c>
      <c r="R3757" t="s">
        <v>4655</v>
      </c>
      <c r="S3757" t="s">
        <v>4655</v>
      </c>
      <c r="T3757" t="s">
        <v>4655</v>
      </c>
      <c r="U3757" t="s">
        <v>4655</v>
      </c>
      <c r="V3757" s="2">
        <v>0</v>
      </c>
      <c r="W3757" t="s">
        <v>4655</v>
      </c>
      <c r="X3757" s="2">
        <v>0</v>
      </c>
      <c r="Y3757">
        <v>23</v>
      </c>
      <c r="Z3757" t="s">
        <v>5508</v>
      </c>
      <c r="AA3757" s="3">
        <v>0.34400826692581199</v>
      </c>
      <c r="AB3757" t="s">
        <v>20571</v>
      </c>
      <c r="AC3757" t="s">
        <v>4562</v>
      </c>
      <c r="AD3757" t="s">
        <v>20572</v>
      </c>
      <c r="AE3757" t="s">
        <v>4655</v>
      </c>
      <c r="AF3757" t="s">
        <v>1600</v>
      </c>
      <c r="AG3757" t="s">
        <v>4564</v>
      </c>
      <c r="AH3757" t="s">
        <v>1601</v>
      </c>
      <c r="AI3757" t="s">
        <v>20573</v>
      </c>
      <c r="AJ3757" t="s">
        <v>4655</v>
      </c>
      <c r="AK3757" t="s">
        <v>20574</v>
      </c>
      <c r="AL3757" s="13" t="s">
        <v>1898</v>
      </c>
      <c r="AM3757">
        <v>0</v>
      </c>
      <c r="AN3757" s="15" t="s">
        <v>2528</v>
      </c>
    </row>
    <row r="3758" spans="1:40" x14ac:dyDescent="0.3">
      <c r="A3758" s="10" t="str">
        <f>HYPERLINK("http://www.washoecounty.gov/assessor/cama/?parid=085-390-29&amp;CardNumber=1","085-390-29")</f>
        <v>085-390-29</v>
      </c>
      <c r="B3758" t="s">
        <v>4655</v>
      </c>
      <c r="C3758" t="s">
        <v>20575</v>
      </c>
      <c r="D3758" s="1">
        <v>40515</v>
      </c>
      <c r="E3758" s="2">
        <v>75000</v>
      </c>
      <c r="F3758" t="s">
        <v>4567</v>
      </c>
      <c r="G3758" s="17" t="str">
        <f>HYPERLINK("https://www.washoecounty.gov/assessor/cama/?command=sales&amp;parid=08539029","3949128")</f>
        <v>3949128</v>
      </c>
      <c r="H3758" t="s">
        <v>20576</v>
      </c>
      <c r="I3758">
        <v>1993</v>
      </c>
      <c r="J3758">
        <v>1993</v>
      </c>
      <c r="K3758" t="s">
        <v>4847</v>
      </c>
      <c r="L3758" t="s">
        <v>4555</v>
      </c>
      <c r="M3758" s="2">
        <v>1834</v>
      </c>
      <c r="N3758" t="s">
        <v>4048</v>
      </c>
      <c r="O3758">
        <v>3</v>
      </c>
      <c r="P3758">
        <v>2</v>
      </c>
      <c r="Q3758">
        <v>0</v>
      </c>
      <c r="R3758" t="s">
        <v>4557</v>
      </c>
      <c r="S3758" t="s">
        <v>4558</v>
      </c>
      <c r="T3758" t="s">
        <v>4559</v>
      </c>
      <c r="U3758" t="s">
        <v>4655</v>
      </c>
      <c r="V3758" s="2">
        <v>0</v>
      </c>
      <c r="W3758" t="s">
        <v>4655</v>
      </c>
      <c r="X3758" s="2">
        <v>0</v>
      </c>
      <c r="Y3758">
        <v>22</v>
      </c>
      <c r="Z3758" t="s">
        <v>5508</v>
      </c>
      <c r="AA3758" s="3">
        <v>0.33000460267067</v>
      </c>
      <c r="AB3758" t="s">
        <v>20577</v>
      </c>
      <c r="AC3758" t="s">
        <v>4562</v>
      </c>
      <c r="AD3758" t="s">
        <v>20575</v>
      </c>
      <c r="AE3758" t="s">
        <v>4655</v>
      </c>
      <c r="AF3758" t="s">
        <v>1600</v>
      </c>
      <c r="AG3758" t="s">
        <v>4564</v>
      </c>
      <c r="AH3758" t="s">
        <v>1601</v>
      </c>
      <c r="AI3758" t="s">
        <v>20578</v>
      </c>
      <c r="AJ3758" t="s">
        <v>4655</v>
      </c>
      <c r="AK3758" t="s">
        <v>20579</v>
      </c>
      <c r="AL3758" s="13" t="s">
        <v>1898</v>
      </c>
      <c r="AM3758">
        <v>1</v>
      </c>
      <c r="AN3758" s="15" t="s">
        <v>2528</v>
      </c>
    </row>
    <row r="3759" spans="1:40" x14ac:dyDescent="0.3">
      <c r="A3759" s="10" t="str">
        <f>HYPERLINK("http://www.washoecounty.gov/assessor/cama/?parid=085-390-62&amp;CardNumber=1","085-390-62")</f>
        <v>085-390-62</v>
      </c>
      <c r="B3759" t="s">
        <v>4655</v>
      </c>
      <c r="C3759" t="s">
        <v>20580</v>
      </c>
      <c r="D3759" s="1">
        <v>40197</v>
      </c>
      <c r="E3759" s="2">
        <v>24000</v>
      </c>
      <c r="F3759" t="s">
        <v>4553</v>
      </c>
      <c r="G3759" s="17" t="str">
        <f>HYPERLINK("https://www.washoecounty.gov/assessor/cama/?command=sales&amp;parid=08539062","3840481")</f>
        <v>3840481</v>
      </c>
      <c r="H3759" t="s">
        <v>20581</v>
      </c>
      <c r="I3759">
        <v>1977</v>
      </c>
      <c r="J3759">
        <v>1977</v>
      </c>
      <c r="K3759" t="s">
        <v>4847</v>
      </c>
      <c r="L3759" t="s">
        <v>4555</v>
      </c>
      <c r="M3759" s="2">
        <v>924</v>
      </c>
      <c r="N3759" t="s">
        <v>4556</v>
      </c>
      <c r="O3759">
        <v>2</v>
      </c>
      <c r="P3759">
        <v>1</v>
      </c>
      <c r="Q3759">
        <v>0</v>
      </c>
      <c r="R3759" t="s">
        <v>4557</v>
      </c>
      <c r="S3759" t="s">
        <v>1155</v>
      </c>
      <c r="T3759" t="s">
        <v>3888</v>
      </c>
      <c r="U3759" t="s">
        <v>4655</v>
      </c>
      <c r="V3759" s="2">
        <v>0</v>
      </c>
      <c r="W3759" t="s">
        <v>4655</v>
      </c>
      <c r="X3759" s="2">
        <v>0</v>
      </c>
      <c r="Y3759">
        <v>22</v>
      </c>
      <c r="Z3759" t="s">
        <v>5508</v>
      </c>
      <c r="AA3759" s="3">
        <v>0.301010102033615</v>
      </c>
      <c r="AB3759" t="s">
        <v>20582</v>
      </c>
      <c r="AC3759" t="s">
        <v>4562</v>
      </c>
      <c r="AD3759" t="s">
        <v>20580</v>
      </c>
      <c r="AE3759" t="s">
        <v>4655</v>
      </c>
      <c r="AF3759" t="s">
        <v>1600</v>
      </c>
      <c r="AG3759" t="s">
        <v>4564</v>
      </c>
      <c r="AH3759" t="s">
        <v>1601</v>
      </c>
      <c r="AI3759" t="s">
        <v>1149</v>
      </c>
      <c r="AJ3759" t="s">
        <v>20583</v>
      </c>
      <c r="AK3759" t="s">
        <v>20584</v>
      </c>
      <c r="AL3759" s="13" t="s">
        <v>1898</v>
      </c>
      <c r="AM3759">
        <v>1</v>
      </c>
      <c r="AN3759" s="15" t="s">
        <v>2528</v>
      </c>
    </row>
    <row r="3760" spans="1:40" x14ac:dyDescent="0.3">
      <c r="A3760" s="10" t="str">
        <f>HYPERLINK("http://www.washoecounty.gov/assessor/cama/?parid=085-432-01&amp;CardNumber=1","085-432-01")</f>
        <v>085-432-01</v>
      </c>
      <c r="B3760" t="s">
        <v>4655</v>
      </c>
      <c r="C3760" t="s">
        <v>20585</v>
      </c>
      <c r="D3760" s="1">
        <v>40252</v>
      </c>
      <c r="E3760" s="2">
        <v>65000</v>
      </c>
      <c r="F3760" t="s">
        <v>4553</v>
      </c>
      <c r="G3760" s="17" t="str">
        <f>HYPERLINK("https://www.washoecounty.gov/assessor/cama/?command=sales&amp;parid=08543201","3860014")</f>
        <v>3860014</v>
      </c>
      <c r="H3760" t="s">
        <v>20586</v>
      </c>
      <c r="I3760">
        <v>1997</v>
      </c>
      <c r="J3760">
        <v>1997</v>
      </c>
      <c r="K3760" t="s">
        <v>4847</v>
      </c>
      <c r="L3760" t="s">
        <v>4555</v>
      </c>
      <c r="M3760" s="2">
        <v>1716</v>
      </c>
      <c r="N3760" t="s">
        <v>5280</v>
      </c>
      <c r="O3760">
        <v>3</v>
      </c>
      <c r="P3760">
        <v>2</v>
      </c>
      <c r="Q3760">
        <v>0</v>
      </c>
      <c r="R3760" t="s">
        <v>4557</v>
      </c>
      <c r="S3760" t="s">
        <v>4558</v>
      </c>
      <c r="T3760" t="s">
        <v>4559</v>
      </c>
      <c r="U3760" t="s">
        <v>4655</v>
      </c>
      <c r="V3760" s="2">
        <v>0</v>
      </c>
      <c r="W3760" t="s">
        <v>4655</v>
      </c>
      <c r="X3760" s="2">
        <v>0</v>
      </c>
      <c r="Y3760">
        <v>22</v>
      </c>
      <c r="Z3760" t="s">
        <v>5508</v>
      </c>
      <c r="AA3760" s="3">
        <v>0.51099634170532204</v>
      </c>
      <c r="AB3760" t="s">
        <v>20587</v>
      </c>
      <c r="AC3760" t="s">
        <v>4562</v>
      </c>
      <c r="AD3760" t="s">
        <v>20585</v>
      </c>
      <c r="AE3760" t="s">
        <v>4655</v>
      </c>
      <c r="AF3760" t="s">
        <v>1600</v>
      </c>
      <c r="AG3760" t="s">
        <v>4564</v>
      </c>
      <c r="AH3760" t="s">
        <v>1601</v>
      </c>
      <c r="AI3760" t="s">
        <v>4655</v>
      </c>
      <c r="AJ3760" t="s">
        <v>4655</v>
      </c>
      <c r="AK3760" t="s">
        <v>20588</v>
      </c>
      <c r="AL3760" s="13" t="s">
        <v>1898</v>
      </c>
      <c r="AM3760">
        <v>1</v>
      </c>
      <c r="AN3760" s="15" t="s">
        <v>2528</v>
      </c>
    </row>
    <row r="3761" spans="1:40" x14ac:dyDescent="0.3">
      <c r="A3761" s="10" t="str">
        <f>HYPERLINK("http://www.washoecounty.gov/assessor/cama/?parid=085-441-12&amp;CardNumber=1","085-441-12")</f>
        <v>085-441-12</v>
      </c>
      <c r="B3761" t="s">
        <v>4655</v>
      </c>
      <c r="C3761" t="s">
        <v>20589</v>
      </c>
      <c r="D3761" s="1">
        <v>40308</v>
      </c>
      <c r="E3761" s="2">
        <v>80000</v>
      </c>
      <c r="F3761" t="s">
        <v>4567</v>
      </c>
      <c r="G3761" s="17" t="str">
        <f>HYPERLINK("https://www.washoecounty.gov/assessor/cama/?command=sales&amp;parid=08544112","3879848")</f>
        <v>3879848</v>
      </c>
      <c r="H3761" t="s">
        <v>4065</v>
      </c>
      <c r="I3761">
        <v>1995</v>
      </c>
      <c r="J3761">
        <v>1995</v>
      </c>
      <c r="K3761" t="s">
        <v>4847</v>
      </c>
      <c r="L3761" t="s">
        <v>4555</v>
      </c>
      <c r="M3761" s="2">
        <v>1326</v>
      </c>
      <c r="N3761" t="s">
        <v>3147</v>
      </c>
      <c r="O3761">
        <v>3</v>
      </c>
      <c r="P3761">
        <v>2</v>
      </c>
      <c r="Q3761">
        <v>0</v>
      </c>
      <c r="R3761" t="s">
        <v>4557</v>
      </c>
      <c r="S3761" t="s">
        <v>4558</v>
      </c>
      <c r="T3761" t="s">
        <v>4559</v>
      </c>
      <c r="U3761" t="s">
        <v>4655</v>
      </c>
      <c r="V3761" s="2">
        <v>0</v>
      </c>
      <c r="W3761" t="s">
        <v>4655</v>
      </c>
      <c r="X3761" s="2">
        <v>0</v>
      </c>
      <c r="Y3761">
        <v>22</v>
      </c>
      <c r="Z3761" t="s">
        <v>3889</v>
      </c>
      <c r="AA3761" s="3">
        <v>0.172543615102768</v>
      </c>
      <c r="AB3761" t="s">
        <v>20590</v>
      </c>
      <c r="AC3761" t="s">
        <v>4562</v>
      </c>
      <c r="AD3761" t="s">
        <v>20589</v>
      </c>
      <c r="AE3761" t="s">
        <v>4655</v>
      </c>
      <c r="AF3761" t="s">
        <v>1600</v>
      </c>
      <c r="AG3761" t="s">
        <v>4564</v>
      </c>
      <c r="AH3761" t="s">
        <v>1601</v>
      </c>
      <c r="AI3761" t="s">
        <v>20591</v>
      </c>
      <c r="AJ3761" t="s">
        <v>4066</v>
      </c>
      <c r="AK3761" t="s">
        <v>20592</v>
      </c>
      <c r="AL3761" s="13" t="s">
        <v>1898</v>
      </c>
      <c r="AM3761">
        <v>1</v>
      </c>
      <c r="AN3761" s="15" t="s">
        <v>2528</v>
      </c>
    </row>
    <row r="3762" spans="1:40" x14ac:dyDescent="0.3">
      <c r="A3762" s="10" t="str">
        <f>HYPERLINK("http://www.washoecounty.gov/assessor/cama/?parid=085-442-32&amp;CardNumber=1","085-442-32")</f>
        <v>085-442-32</v>
      </c>
      <c r="B3762" t="s">
        <v>4655</v>
      </c>
      <c r="C3762" t="s">
        <v>20593</v>
      </c>
      <c r="D3762" s="1">
        <v>40270</v>
      </c>
      <c r="E3762" s="2">
        <v>56000</v>
      </c>
      <c r="F3762" t="s">
        <v>4567</v>
      </c>
      <c r="G3762" s="17" t="str">
        <f>HYPERLINK("https://www.washoecounty.gov/assessor/cama/?command=sales&amp;parid=08544232","3867296")</f>
        <v>3867296</v>
      </c>
      <c r="H3762" t="s">
        <v>4736</v>
      </c>
      <c r="I3762">
        <v>0</v>
      </c>
      <c r="J3762">
        <v>0</v>
      </c>
      <c r="K3762" t="s">
        <v>4655</v>
      </c>
      <c r="L3762" t="s">
        <v>4655</v>
      </c>
      <c r="M3762" s="2">
        <v>0</v>
      </c>
      <c r="N3762" t="s">
        <v>4655</v>
      </c>
      <c r="O3762">
        <v>0</v>
      </c>
      <c r="P3762">
        <v>0</v>
      </c>
      <c r="Q3762">
        <v>0</v>
      </c>
      <c r="R3762" t="s">
        <v>4655</v>
      </c>
      <c r="S3762" t="s">
        <v>4655</v>
      </c>
      <c r="T3762" t="s">
        <v>4655</v>
      </c>
      <c r="U3762" t="s">
        <v>4655</v>
      </c>
      <c r="V3762" s="2">
        <v>0</v>
      </c>
      <c r="W3762" t="s">
        <v>4655</v>
      </c>
      <c r="X3762" s="2">
        <v>0</v>
      </c>
      <c r="Y3762">
        <v>18</v>
      </c>
      <c r="Z3762" t="s">
        <v>5508</v>
      </c>
      <c r="AA3762" s="3">
        <v>0.41200643777847301</v>
      </c>
      <c r="AB3762" t="s">
        <v>20594</v>
      </c>
      <c r="AC3762" t="s">
        <v>4562</v>
      </c>
      <c r="AD3762" t="s">
        <v>20593</v>
      </c>
      <c r="AE3762" t="s">
        <v>4655</v>
      </c>
      <c r="AF3762" t="s">
        <v>1600</v>
      </c>
      <c r="AG3762" t="s">
        <v>4564</v>
      </c>
      <c r="AH3762" t="s">
        <v>1601</v>
      </c>
      <c r="AI3762" t="s">
        <v>20595</v>
      </c>
      <c r="AJ3762" t="s">
        <v>4655</v>
      </c>
      <c r="AK3762" t="s">
        <v>20596</v>
      </c>
      <c r="AL3762" s="13" t="s">
        <v>1898</v>
      </c>
      <c r="AM3762" s="14">
        <v>0</v>
      </c>
      <c r="AN3762" s="15" t="s">
        <v>2528</v>
      </c>
    </row>
    <row r="3763" spans="1:40" x14ac:dyDescent="0.3">
      <c r="A3763" s="10" t="str">
        <f>HYPERLINK("http://www.washoecounty.gov/assessor/cama/?parid=085-443-01&amp;CardNumber=1","085-443-01")</f>
        <v>085-443-01</v>
      </c>
      <c r="B3763" t="s">
        <v>4655</v>
      </c>
      <c r="C3763" t="s">
        <v>20597</v>
      </c>
      <c r="D3763" s="1">
        <v>40319</v>
      </c>
      <c r="E3763" s="2">
        <v>52000</v>
      </c>
      <c r="F3763" t="s">
        <v>4553</v>
      </c>
      <c r="G3763" s="17" t="str">
        <f>HYPERLINK("https://www.washoecounty.gov/assessor/cama/?command=sales&amp;parid=08544301","3883881")</f>
        <v>3883881</v>
      </c>
      <c r="H3763" t="s">
        <v>20598</v>
      </c>
      <c r="I3763">
        <v>1935</v>
      </c>
      <c r="J3763">
        <v>1935</v>
      </c>
      <c r="K3763" t="s">
        <v>4554</v>
      </c>
      <c r="L3763" t="s">
        <v>4555</v>
      </c>
      <c r="M3763" s="2">
        <v>875</v>
      </c>
      <c r="N3763" t="s">
        <v>4672</v>
      </c>
      <c r="O3763">
        <v>3</v>
      </c>
      <c r="P3763">
        <v>2</v>
      </c>
      <c r="Q3763">
        <v>0</v>
      </c>
      <c r="R3763" t="s">
        <v>4134</v>
      </c>
      <c r="S3763" t="s">
        <v>4135</v>
      </c>
      <c r="T3763" t="s">
        <v>4559</v>
      </c>
      <c r="U3763" t="s">
        <v>4655</v>
      </c>
      <c r="V3763" s="2">
        <v>0</v>
      </c>
      <c r="W3763" t="s">
        <v>4655</v>
      </c>
      <c r="X3763" s="2">
        <v>0</v>
      </c>
      <c r="Y3763">
        <v>20</v>
      </c>
      <c r="Z3763" t="s">
        <v>3889</v>
      </c>
      <c r="AA3763" s="3">
        <v>0.31600090861320501</v>
      </c>
      <c r="AB3763" t="s">
        <v>20599</v>
      </c>
      <c r="AC3763" t="s">
        <v>4562</v>
      </c>
      <c r="AD3763" t="s">
        <v>20600</v>
      </c>
      <c r="AE3763" t="s">
        <v>4655</v>
      </c>
      <c r="AF3763" t="s">
        <v>1600</v>
      </c>
      <c r="AG3763" t="s">
        <v>4564</v>
      </c>
      <c r="AH3763" t="s">
        <v>1601</v>
      </c>
      <c r="AI3763" t="s">
        <v>1149</v>
      </c>
      <c r="AJ3763" t="s">
        <v>4655</v>
      </c>
      <c r="AK3763" t="s">
        <v>20601</v>
      </c>
      <c r="AL3763" s="13" t="s">
        <v>1898</v>
      </c>
      <c r="AM3763">
        <v>1</v>
      </c>
      <c r="AN3763" s="15" t="s">
        <v>2528</v>
      </c>
    </row>
    <row r="3764" spans="1:40" x14ac:dyDescent="0.3">
      <c r="A3764" s="10" t="str">
        <f>HYPERLINK("http://www.washoecounty.gov/assessor/cama/?parid=085-443-02&amp;CardNumber=1","085-443-02")</f>
        <v>085-443-02</v>
      </c>
      <c r="B3764" t="s">
        <v>4655</v>
      </c>
      <c r="C3764" t="s">
        <v>20602</v>
      </c>
      <c r="D3764" s="1">
        <v>40275</v>
      </c>
      <c r="E3764" s="2">
        <v>50900</v>
      </c>
      <c r="F3764" t="s">
        <v>4553</v>
      </c>
      <c r="G3764" s="17" t="str">
        <f>HYPERLINK("https://www.washoecounty.gov/assessor/cama/?command=sales&amp;parid=08544302","3868510")</f>
        <v>3868510</v>
      </c>
      <c r="H3764" t="s">
        <v>20598</v>
      </c>
      <c r="I3764">
        <v>1991</v>
      </c>
      <c r="J3764">
        <v>1991</v>
      </c>
      <c r="K3764" t="s">
        <v>4847</v>
      </c>
      <c r="L3764" t="s">
        <v>4555</v>
      </c>
      <c r="M3764" s="2">
        <v>1494</v>
      </c>
      <c r="N3764" t="s">
        <v>3147</v>
      </c>
      <c r="O3764">
        <v>3</v>
      </c>
      <c r="P3764">
        <v>2</v>
      </c>
      <c r="Q3764">
        <v>0</v>
      </c>
      <c r="R3764" t="s">
        <v>4557</v>
      </c>
      <c r="S3764" t="s">
        <v>4558</v>
      </c>
      <c r="T3764" t="s">
        <v>4559</v>
      </c>
      <c r="U3764" t="s">
        <v>4655</v>
      </c>
      <c r="V3764" s="2">
        <v>0</v>
      </c>
      <c r="W3764" t="s">
        <v>4655</v>
      </c>
      <c r="X3764" s="2">
        <v>0</v>
      </c>
      <c r="Y3764">
        <v>22</v>
      </c>
      <c r="Z3764" t="s">
        <v>3889</v>
      </c>
      <c r="AA3764" s="3">
        <v>0.269008278846741</v>
      </c>
      <c r="AB3764" t="s">
        <v>20603</v>
      </c>
      <c r="AC3764" t="s">
        <v>4562</v>
      </c>
      <c r="AD3764" t="s">
        <v>20604</v>
      </c>
      <c r="AE3764" t="s">
        <v>4655</v>
      </c>
      <c r="AF3764" t="s">
        <v>1570</v>
      </c>
      <c r="AG3764" t="s">
        <v>4564</v>
      </c>
      <c r="AH3764" t="s">
        <v>1601</v>
      </c>
      <c r="AI3764" t="s">
        <v>4903</v>
      </c>
      <c r="AJ3764" t="s">
        <v>4655</v>
      </c>
      <c r="AK3764" t="s">
        <v>20605</v>
      </c>
      <c r="AL3764" s="13" t="s">
        <v>1898</v>
      </c>
      <c r="AM3764">
        <v>1</v>
      </c>
      <c r="AN3764" s="15" t="s">
        <v>2528</v>
      </c>
    </row>
    <row r="3765" spans="1:40" x14ac:dyDescent="0.3">
      <c r="A3765" s="10" t="str">
        <f>HYPERLINK("http://www.washoecounty.gov/assessor/cama/?parid=085-461-59&amp;CardNumber=1","085-461-59")</f>
        <v>085-461-59</v>
      </c>
      <c r="B3765" t="s">
        <v>4655</v>
      </c>
      <c r="C3765" t="s">
        <v>20606</v>
      </c>
      <c r="D3765" s="1">
        <v>40450</v>
      </c>
      <c r="E3765" s="2">
        <v>52000</v>
      </c>
      <c r="F3765" t="s">
        <v>4567</v>
      </c>
      <c r="G3765" s="17" t="str">
        <f>HYPERLINK("https://www.washoecounty.gov/assessor/cama/?command=sales&amp;parid=08546159","3927513")</f>
        <v>3927513</v>
      </c>
      <c r="H3765" t="s">
        <v>5097</v>
      </c>
      <c r="I3765">
        <v>1984</v>
      </c>
      <c r="J3765">
        <v>1984</v>
      </c>
      <c r="K3765" t="s">
        <v>4847</v>
      </c>
      <c r="L3765" t="s">
        <v>4555</v>
      </c>
      <c r="M3765" s="2">
        <v>1248</v>
      </c>
      <c r="N3765" t="s">
        <v>5280</v>
      </c>
      <c r="O3765">
        <v>3</v>
      </c>
      <c r="P3765">
        <v>2</v>
      </c>
      <c r="Q3765">
        <v>0</v>
      </c>
      <c r="R3765" t="s">
        <v>4557</v>
      </c>
      <c r="S3765" t="s">
        <v>4558</v>
      </c>
      <c r="T3765" t="s">
        <v>4559</v>
      </c>
      <c r="U3765" t="s">
        <v>4655</v>
      </c>
      <c r="V3765" s="2">
        <v>0</v>
      </c>
      <c r="W3765" t="s">
        <v>4655</v>
      </c>
      <c r="X3765" s="2">
        <v>0</v>
      </c>
      <c r="Y3765">
        <v>22</v>
      </c>
      <c r="Z3765" t="s">
        <v>5508</v>
      </c>
      <c r="AA3765" s="3">
        <v>0.346005499362946</v>
      </c>
      <c r="AB3765" t="s">
        <v>20607</v>
      </c>
      <c r="AC3765" t="s">
        <v>4562</v>
      </c>
      <c r="AD3765" t="s">
        <v>20608</v>
      </c>
      <c r="AE3765" t="s">
        <v>4655</v>
      </c>
      <c r="AF3765" t="s">
        <v>1600</v>
      </c>
      <c r="AG3765" t="s">
        <v>4564</v>
      </c>
      <c r="AH3765" t="s">
        <v>1601</v>
      </c>
      <c r="AI3765" t="s">
        <v>20609</v>
      </c>
      <c r="AJ3765" t="s">
        <v>20610</v>
      </c>
      <c r="AK3765" t="s">
        <v>20611</v>
      </c>
      <c r="AL3765" s="13" t="s">
        <v>1898</v>
      </c>
      <c r="AM3765">
        <v>1</v>
      </c>
      <c r="AN3765" s="15" t="s">
        <v>2528</v>
      </c>
    </row>
    <row r="3766" spans="1:40" x14ac:dyDescent="0.3">
      <c r="A3766" s="10" t="str">
        <f>HYPERLINK("http://www.washoecounty.gov/assessor/cama/?parid=085-471-34&amp;CardNumber=1","085-471-34")</f>
        <v>085-471-34</v>
      </c>
      <c r="B3766" t="s">
        <v>4655</v>
      </c>
      <c r="C3766" t="s">
        <v>20612</v>
      </c>
      <c r="D3766" s="1">
        <v>40528</v>
      </c>
      <c r="E3766" s="2">
        <v>60000</v>
      </c>
      <c r="F3766" t="s">
        <v>4567</v>
      </c>
      <c r="G3766" s="17" t="str">
        <f>HYPERLINK("https://www.washoecounty.gov/assessor/cama/?command=sales&amp;parid=08547134","3953930")</f>
        <v>3953930</v>
      </c>
      <c r="H3766" t="s">
        <v>643</v>
      </c>
      <c r="I3766">
        <v>0</v>
      </c>
      <c r="J3766">
        <v>0</v>
      </c>
      <c r="K3766" t="s">
        <v>4655</v>
      </c>
      <c r="L3766" t="s">
        <v>4655</v>
      </c>
      <c r="M3766" s="2">
        <v>0</v>
      </c>
      <c r="N3766" t="s">
        <v>4655</v>
      </c>
      <c r="O3766">
        <v>0</v>
      </c>
      <c r="P3766">
        <v>0</v>
      </c>
      <c r="Q3766">
        <v>0</v>
      </c>
      <c r="R3766" t="s">
        <v>4655</v>
      </c>
      <c r="S3766" t="s">
        <v>4655</v>
      </c>
      <c r="T3766" t="s">
        <v>4655</v>
      </c>
      <c r="U3766" t="s">
        <v>4655</v>
      </c>
      <c r="V3766" s="2">
        <v>0</v>
      </c>
      <c r="W3766" t="s">
        <v>4655</v>
      </c>
      <c r="X3766" s="2">
        <v>0</v>
      </c>
      <c r="Y3766">
        <v>23</v>
      </c>
      <c r="Z3766" t="s">
        <v>5508</v>
      </c>
      <c r="AA3766" s="3">
        <v>0.410009175539017</v>
      </c>
      <c r="AB3766" t="s">
        <v>20613</v>
      </c>
      <c r="AC3766" t="s">
        <v>4575</v>
      </c>
      <c r="AD3766" t="s">
        <v>20614</v>
      </c>
      <c r="AE3766" t="s">
        <v>4655</v>
      </c>
      <c r="AF3766" t="s">
        <v>1600</v>
      </c>
      <c r="AG3766" t="s">
        <v>4564</v>
      </c>
      <c r="AH3766" t="s">
        <v>1601</v>
      </c>
      <c r="AI3766" t="s">
        <v>20615</v>
      </c>
      <c r="AJ3766" t="s">
        <v>4655</v>
      </c>
      <c r="AK3766" t="s">
        <v>20616</v>
      </c>
      <c r="AL3766" s="13" t="s">
        <v>1898</v>
      </c>
      <c r="AM3766">
        <v>0</v>
      </c>
      <c r="AN3766" s="15" t="s">
        <v>2528</v>
      </c>
    </row>
    <row r="3767" spans="1:40" x14ac:dyDescent="0.3">
      <c r="A3767" s="10" t="str">
        <f>HYPERLINK("http://www.washoecounty.gov/assessor/cama/?parid=085-481-34&amp;CardNumber=1","085-481-34")</f>
        <v>085-481-34</v>
      </c>
      <c r="B3767" t="s">
        <v>4655</v>
      </c>
      <c r="C3767" t="s">
        <v>20617</v>
      </c>
      <c r="D3767" s="1">
        <v>40532</v>
      </c>
      <c r="E3767" s="2">
        <v>58000</v>
      </c>
      <c r="F3767" t="s">
        <v>4567</v>
      </c>
      <c r="G3767" s="17" t="str">
        <f>HYPERLINK("https://www.washoecounty.gov/assessor/cama/?command=sales&amp;parid=08548134","3955574")</f>
        <v>3955574</v>
      </c>
      <c r="H3767" t="s">
        <v>20618</v>
      </c>
      <c r="I3767">
        <v>1991</v>
      </c>
      <c r="J3767">
        <v>1991</v>
      </c>
      <c r="K3767" t="s">
        <v>4847</v>
      </c>
      <c r="L3767" t="s">
        <v>4555</v>
      </c>
      <c r="M3767" s="2">
        <v>1620</v>
      </c>
      <c r="N3767" t="s">
        <v>5280</v>
      </c>
      <c r="O3767">
        <v>3</v>
      </c>
      <c r="P3767">
        <v>2</v>
      </c>
      <c r="Q3767">
        <v>0</v>
      </c>
      <c r="R3767" t="s">
        <v>4557</v>
      </c>
      <c r="S3767" t="s">
        <v>4558</v>
      </c>
      <c r="T3767" t="s">
        <v>4559</v>
      </c>
      <c r="U3767" t="s">
        <v>4655</v>
      </c>
      <c r="V3767" s="2">
        <v>0</v>
      </c>
      <c r="W3767" t="s">
        <v>4655</v>
      </c>
      <c r="X3767" s="2">
        <v>0</v>
      </c>
      <c r="Y3767">
        <v>22</v>
      </c>
      <c r="Z3767" t="s">
        <v>5508</v>
      </c>
      <c r="AA3767" s="3">
        <v>0.34400826692581199</v>
      </c>
      <c r="AB3767" t="s">
        <v>20619</v>
      </c>
      <c r="AC3767" t="s">
        <v>4562</v>
      </c>
      <c r="AD3767" t="s">
        <v>20620</v>
      </c>
      <c r="AE3767" t="s">
        <v>4655</v>
      </c>
      <c r="AF3767" t="s">
        <v>1600</v>
      </c>
      <c r="AG3767" t="s">
        <v>4564</v>
      </c>
      <c r="AH3767" t="s">
        <v>1601</v>
      </c>
      <c r="AI3767" t="s">
        <v>20621</v>
      </c>
      <c r="AJ3767" t="s">
        <v>4655</v>
      </c>
      <c r="AK3767" t="s">
        <v>20622</v>
      </c>
      <c r="AL3767" s="13" t="s">
        <v>1898</v>
      </c>
      <c r="AM3767">
        <v>1</v>
      </c>
      <c r="AN3767" s="15" t="s">
        <v>2528</v>
      </c>
    </row>
    <row r="3768" spans="1:40" x14ac:dyDescent="0.3">
      <c r="A3768" s="10" t="str">
        <f>HYPERLINK("http://www.washoecounty.gov/assessor/cama/?parid=085-481-35&amp;CardNumber=1","085-481-35")</f>
        <v>085-481-35</v>
      </c>
      <c r="B3768" t="s">
        <v>4655</v>
      </c>
      <c r="C3768" t="s">
        <v>20623</v>
      </c>
      <c r="D3768" s="1">
        <v>40451</v>
      </c>
      <c r="E3768" s="2">
        <v>65000</v>
      </c>
      <c r="F3768" t="s">
        <v>4567</v>
      </c>
      <c r="G3768" s="17" t="str">
        <f>HYPERLINK("https://www.washoecounty.gov/assessor/cama/?command=sales&amp;parid=08548135","3928152")</f>
        <v>3928152</v>
      </c>
      <c r="H3768" t="s">
        <v>20618</v>
      </c>
      <c r="I3768">
        <v>1990</v>
      </c>
      <c r="J3768">
        <v>1990</v>
      </c>
      <c r="K3768" t="s">
        <v>4847</v>
      </c>
      <c r="L3768" t="s">
        <v>4555</v>
      </c>
      <c r="M3768" s="2">
        <v>1680</v>
      </c>
      <c r="N3768" t="s">
        <v>3147</v>
      </c>
      <c r="O3768">
        <v>3</v>
      </c>
      <c r="P3768">
        <v>2</v>
      </c>
      <c r="Q3768">
        <v>0</v>
      </c>
      <c r="R3768" t="s">
        <v>4557</v>
      </c>
      <c r="S3768" t="s">
        <v>4558</v>
      </c>
      <c r="T3768" t="s">
        <v>4559</v>
      </c>
      <c r="U3768" t="s">
        <v>4655</v>
      </c>
      <c r="V3768" s="2">
        <v>0</v>
      </c>
      <c r="W3768" t="s">
        <v>4655</v>
      </c>
      <c r="X3768" s="2">
        <v>0</v>
      </c>
      <c r="Y3768">
        <v>22</v>
      </c>
      <c r="Z3768" t="s">
        <v>5508</v>
      </c>
      <c r="AA3768" s="3">
        <v>0.34699264168739319</v>
      </c>
      <c r="AB3768" t="s">
        <v>20624</v>
      </c>
      <c r="AC3768" t="s">
        <v>4562</v>
      </c>
      <c r="AD3768" t="s">
        <v>20625</v>
      </c>
      <c r="AE3768" t="s">
        <v>4655</v>
      </c>
      <c r="AF3768" t="s">
        <v>20626</v>
      </c>
      <c r="AG3768" t="s">
        <v>4564</v>
      </c>
      <c r="AH3768" t="s">
        <v>1601</v>
      </c>
      <c r="AI3768" t="s">
        <v>4655</v>
      </c>
      <c r="AJ3768" t="s">
        <v>4655</v>
      </c>
      <c r="AK3768" t="s">
        <v>20627</v>
      </c>
      <c r="AL3768" s="13" t="s">
        <v>1898</v>
      </c>
      <c r="AM3768">
        <v>1</v>
      </c>
      <c r="AN3768" s="15" t="s">
        <v>2528</v>
      </c>
    </row>
    <row r="3769" spans="1:40" x14ac:dyDescent="0.3">
      <c r="A3769" s="10" t="str">
        <f>HYPERLINK("http://www.washoecounty.gov/assessor/cama/?parid=085-482-16&amp;CardNumber=1","085-482-16")</f>
        <v>085-482-16</v>
      </c>
      <c r="B3769" t="s">
        <v>4655</v>
      </c>
      <c r="C3769" t="s">
        <v>20628</v>
      </c>
      <c r="D3769" s="1">
        <v>40471</v>
      </c>
      <c r="E3769" s="2">
        <v>65500</v>
      </c>
      <c r="F3769" t="s">
        <v>4553</v>
      </c>
      <c r="G3769" s="17" t="str">
        <f>HYPERLINK("https://www.washoecounty.gov/assessor/cama/?command=sales&amp;parid=08548216","3934820")</f>
        <v>3934820</v>
      </c>
      <c r="H3769" t="s">
        <v>4237</v>
      </c>
      <c r="I3769">
        <v>1979</v>
      </c>
      <c r="J3769">
        <v>1979</v>
      </c>
      <c r="K3769" t="s">
        <v>4847</v>
      </c>
      <c r="L3769" t="s">
        <v>4555</v>
      </c>
      <c r="M3769" s="2">
        <v>1344</v>
      </c>
      <c r="N3769" t="s">
        <v>4556</v>
      </c>
      <c r="O3769">
        <v>3</v>
      </c>
      <c r="P3769">
        <v>2</v>
      </c>
      <c r="Q3769">
        <v>0</v>
      </c>
      <c r="R3769" t="s">
        <v>4557</v>
      </c>
      <c r="S3769" t="s">
        <v>4558</v>
      </c>
      <c r="T3769" t="s">
        <v>4559</v>
      </c>
      <c r="U3769" t="s">
        <v>4655</v>
      </c>
      <c r="V3769" s="2">
        <v>0</v>
      </c>
      <c r="W3769" t="s">
        <v>4655</v>
      </c>
      <c r="X3769" s="2">
        <v>0</v>
      </c>
      <c r="Y3769">
        <v>22</v>
      </c>
      <c r="Z3769" t="s">
        <v>5508</v>
      </c>
      <c r="AA3769" s="3">
        <v>0.37699723243713379</v>
      </c>
      <c r="AB3769" t="s">
        <v>20629</v>
      </c>
      <c r="AC3769" t="s">
        <v>4562</v>
      </c>
      <c r="AD3769" t="s">
        <v>20630</v>
      </c>
      <c r="AE3769" t="s">
        <v>4655</v>
      </c>
      <c r="AF3769" t="s">
        <v>1570</v>
      </c>
      <c r="AG3769" t="s">
        <v>4564</v>
      </c>
      <c r="AH3769" t="s">
        <v>1601</v>
      </c>
      <c r="AI3769" t="s">
        <v>4848</v>
      </c>
      <c r="AJ3769" t="s">
        <v>4655</v>
      </c>
      <c r="AK3769" t="s">
        <v>20631</v>
      </c>
      <c r="AL3769" s="13" t="s">
        <v>1898</v>
      </c>
      <c r="AM3769">
        <v>1</v>
      </c>
      <c r="AN3769" s="15" t="s">
        <v>2528</v>
      </c>
    </row>
    <row r="3770" spans="1:40" x14ac:dyDescent="0.3">
      <c r="A3770" s="10" t="str">
        <f>HYPERLINK("http://www.washoecounty.gov/assessor/cama/?parid=085-522-04&amp;CardNumber=1","085-522-04")</f>
        <v>085-522-04</v>
      </c>
      <c r="B3770" t="s">
        <v>4655</v>
      </c>
      <c r="C3770" t="s">
        <v>20632</v>
      </c>
      <c r="D3770" s="1">
        <v>40302</v>
      </c>
      <c r="E3770" s="2">
        <v>59700</v>
      </c>
      <c r="F3770" t="s">
        <v>4567</v>
      </c>
      <c r="G3770" s="17" t="str">
        <f>HYPERLINK("https://www.washoecounty.gov/assessor/cama/?command=sales&amp;parid=08552204","3877827")</f>
        <v>3877827</v>
      </c>
      <c r="H3770" t="s">
        <v>5097</v>
      </c>
      <c r="I3770">
        <v>0</v>
      </c>
      <c r="J3770">
        <v>0</v>
      </c>
      <c r="K3770" t="s">
        <v>4655</v>
      </c>
      <c r="L3770" t="s">
        <v>4655</v>
      </c>
      <c r="M3770" s="2">
        <v>0</v>
      </c>
      <c r="N3770" t="s">
        <v>4655</v>
      </c>
      <c r="O3770">
        <v>0</v>
      </c>
      <c r="P3770">
        <v>0</v>
      </c>
      <c r="Q3770">
        <v>0</v>
      </c>
      <c r="R3770" t="s">
        <v>4655</v>
      </c>
      <c r="S3770" t="s">
        <v>4655</v>
      </c>
      <c r="T3770" t="s">
        <v>4655</v>
      </c>
      <c r="U3770" t="s">
        <v>4655</v>
      </c>
      <c r="V3770" s="2">
        <v>0</v>
      </c>
      <c r="W3770" t="s">
        <v>4655</v>
      </c>
      <c r="X3770" s="2">
        <v>0</v>
      </c>
      <c r="Y3770">
        <v>23</v>
      </c>
      <c r="Z3770" t="s">
        <v>5508</v>
      </c>
      <c r="AA3770" s="3">
        <v>2.1800000667571999</v>
      </c>
      <c r="AB3770" t="s">
        <v>20633</v>
      </c>
      <c r="AC3770" t="s">
        <v>4562</v>
      </c>
      <c r="AD3770" t="s">
        <v>20634</v>
      </c>
      <c r="AE3770" t="s">
        <v>4655</v>
      </c>
      <c r="AF3770" t="s">
        <v>1600</v>
      </c>
      <c r="AG3770" t="s">
        <v>4564</v>
      </c>
      <c r="AH3770" t="s">
        <v>1601</v>
      </c>
      <c r="AI3770" t="s">
        <v>20635</v>
      </c>
      <c r="AJ3770" t="s">
        <v>4655</v>
      </c>
      <c r="AK3770" t="s">
        <v>20636</v>
      </c>
      <c r="AL3770" s="13" t="s">
        <v>1898</v>
      </c>
      <c r="AM3770">
        <v>0</v>
      </c>
      <c r="AN3770" s="15" t="s">
        <v>2528</v>
      </c>
    </row>
    <row r="3771" spans="1:40" x14ac:dyDescent="0.3">
      <c r="A3771" s="10" t="str">
        <f>HYPERLINK("http://www.washoecounty.gov/assessor/cama/?parid=085-542-14&amp;CardNumber=1","085-542-14")</f>
        <v>085-542-14</v>
      </c>
      <c r="B3771" t="s">
        <v>4655</v>
      </c>
      <c r="C3771" t="s">
        <v>20637</v>
      </c>
      <c r="D3771" s="1">
        <v>40506</v>
      </c>
      <c r="E3771" s="2">
        <v>163900</v>
      </c>
      <c r="F3771" t="s">
        <v>4567</v>
      </c>
      <c r="G3771" s="17" t="str">
        <f>HYPERLINK("https://www.washoecounty.gov/assessor/cama/?command=sales&amp;parid=08554214","3946489")</f>
        <v>3946489</v>
      </c>
      <c r="H3771" t="s">
        <v>1035</v>
      </c>
      <c r="I3771">
        <v>1983</v>
      </c>
      <c r="J3771">
        <v>1986</v>
      </c>
      <c r="K3771" t="s">
        <v>4554</v>
      </c>
      <c r="L3771" t="s">
        <v>2170</v>
      </c>
      <c r="M3771" s="2">
        <v>2844</v>
      </c>
      <c r="N3771" t="s">
        <v>4556</v>
      </c>
      <c r="O3771">
        <v>7</v>
      </c>
      <c r="P3771">
        <v>3</v>
      </c>
      <c r="Q3771">
        <v>1</v>
      </c>
      <c r="R3771" t="s">
        <v>4557</v>
      </c>
      <c r="S3771" t="s">
        <v>4558</v>
      </c>
      <c r="T3771" t="s">
        <v>4559</v>
      </c>
      <c r="U3771" t="s">
        <v>4655</v>
      </c>
      <c r="V3771" s="2">
        <v>0</v>
      </c>
      <c r="W3771" t="s">
        <v>4655</v>
      </c>
      <c r="X3771" s="2">
        <v>0</v>
      </c>
      <c r="Y3771">
        <v>20</v>
      </c>
      <c r="Z3771" t="s">
        <v>5508</v>
      </c>
      <c r="AA3771" s="3">
        <v>0.44299817085266102</v>
      </c>
      <c r="AB3771" t="s">
        <v>1036</v>
      </c>
      <c r="AC3771" t="s">
        <v>4562</v>
      </c>
      <c r="AD3771" t="s">
        <v>20637</v>
      </c>
      <c r="AE3771" t="s">
        <v>4655</v>
      </c>
      <c r="AF3771" t="s">
        <v>1600</v>
      </c>
      <c r="AG3771" t="s">
        <v>4564</v>
      </c>
      <c r="AH3771" t="s">
        <v>1601</v>
      </c>
      <c r="AI3771" t="s">
        <v>20638</v>
      </c>
      <c r="AJ3771" t="s">
        <v>4655</v>
      </c>
      <c r="AK3771" t="s">
        <v>20639</v>
      </c>
      <c r="AL3771" s="13" t="s">
        <v>1898</v>
      </c>
      <c r="AM3771">
        <v>1</v>
      </c>
      <c r="AN3771" s="15" t="s">
        <v>2528</v>
      </c>
    </row>
    <row r="3772" spans="1:40" x14ac:dyDescent="0.3">
      <c r="A3772" s="10" t="str">
        <f>HYPERLINK("http://www.washoecounty.gov/assessor/cama/?parid=085-551-22&amp;CardNumber=1","085-551-22")</f>
        <v>085-551-22</v>
      </c>
      <c r="B3772" t="s">
        <v>4655</v>
      </c>
      <c r="C3772" t="s">
        <v>1108</v>
      </c>
      <c r="D3772" s="1">
        <v>40386</v>
      </c>
      <c r="E3772" s="2">
        <v>45005</v>
      </c>
      <c r="F3772" t="s">
        <v>4553</v>
      </c>
      <c r="G3772" s="17" t="str">
        <f>HYPERLINK("https://www.washoecounty.gov/assessor/cama/?command=sales&amp;parid=08555122","3905483")</f>
        <v>3905483</v>
      </c>
      <c r="H3772" t="s">
        <v>20640</v>
      </c>
      <c r="I3772">
        <v>1978</v>
      </c>
      <c r="J3772">
        <v>1978</v>
      </c>
      <c r="K3772" t="s">
        <v>4847</v>
      </c>
      <c r="L3772" t="s">
        <v>4555</v>
      </c>
      <c r="M3772" s="2">
        <v>1440</v>
      </c>
      <c r="N3772" t="s">
        <v>4556</v>
      </c>
      <c r="O3772">
        <v>3</v>
      </c>
      <c r="P3772">
        <v>2</v>
      </c>
      <c r="Q3772">
        <v>0</v>
      </c>
      <c r="R3772" t="s">
        <v>4557</v>
      </c>
      <c r="S3772" t="s">
        <v>4135</v>
      </c>
      <c r="T3772" t="s">
        <v>4559</v>
      </c>
      <c r="U3772" t="s">
        <v>4655</v>
      </c>
      <c r="V3772" s="2">
        <v>0</v>
      </c>
      <c r="W3772" t="s">
        <v>4655</v>
      </c>
      <c r="X3772" s="2">
        <v>0</v>
      </c>
      <c r="Y3772">
        <v>22</v>
      </c>
      <c r="Z3772" t="s">
        <v>5508</v>
      </c>
      <c r="AA3772" s="3">
        <v>0.35399448871612499</v>
      </c>
      <c r="AB3772" t="s">
        <v>20641</v>
      </c>
      <c r="AC3772" t="s">
        <v>4575</v>
      </c>
      <c r="AD3772" t="s">
        <v>20642</v>
      </c>
      <c r="AE3772" t="s">
        <v>1108</v>
      </c>
      <c r="AF3772" t="s">
        <v>1600</v>
      </c>
      <c r="AG3772" t="s">
        <v>4564</v>
      </c>
      <c r="AH3772" t="s">
        <v>1601</v>
      </c>
      <c r="AI3772" t="s">
        <v>4848</v>
      </c>
      <c r="AJ3772" t="s">
        <v>4655</v>
      </c>
      <c r="AK3772" t="s">
        <v>20643</v>
      </c>
      <c r="AL3772" s="13" t="s">
        <v>1898</v>
      </c>
      <c r="AM3772">
        <v>1</v>
      </c>
      <c r="AN3772" s="15" t="s">
        <v>2528</v>
      </c>
    </row>
    <row r="3773" spans="1:40" x14ac:dyDescent="0.3">
      <c r="A3773" s="10" t="str">
        <f>HYPERLINK("http://www.washoecounty.gov/assessor/cama/?parid=085-551-33&amp;CardNumber=1","085-551-33")</f>
        <v>085-551-33</v>
      </c>
      <c r="B3773" t="s">
        <v>4655</v>
      </c>
      <c r="C3773" t="s">
        <v>20644</v>
      </c>
      <c r="D3773" s="1">
        <v>40283</v>
      </c>
      <c r="E3773" s="2">
        <v>57000</v>
      </c>
      <c r="F3773" t="s">
        <v>4553</v>
      </c>
      <c r="G3773" s="17" t="str">
        <f>HYPERLINK("https://www.washoecounty.gov/assessor/cama/?command=sales&amp;parid=08555133","3871345")</f>
        <v>3871345</v>
      </c>
      <c r="H3773" t="s">
        <v>20645</v>
      </c>
      <c r="I3773">
        <v>1999</v>
      </c>
      <c r="J3773">
        <v>1999</v>
      </c>
      <c r="K3773" t="s">
        <v>4847</v>
      </c>
      <c r="L3773" t="s">
        <v>4555</v>
      </c>
      <c r="M3773" s="2">
        <v>1512</v>
      </c>
      <c r="N3773" t="s">
        <v>4048</v>
      </c>
      <c r="O3773">
        <v>2</v>
      </c>
      <c r="P3773">
        <v>2</v>
      </c>
      <c r="Q3773">
        <v>0</v>
      </c>
      <c r="R3773" t="s">
        <v>4557</v>
      </c>
      <c r="S3773" t="s">
        <v>4135</v>
      </c>
      <c r="T3773" t="s">
        <v>4559</v>
      </c>
      <c r="U3773" t="s">
        <v>4655</v>
      </c>
      <c r="V3773" s="2">
        <v>0</v>
      </c>
      <c r="W3773" t="s">
        <v>4655</v>
      </c>
      <c r="X3773" s="2">
        <v>0</v>
      </c>
      <c r="Y3773">
        <v>22</v>
      </c>
      <c r="Z3773" t="s">
        <v>5508</v>
      </c>
      <c r="AA3773" s="3">
        <v>0.358999073505402</v>
      </c>
      <c r="AB3773" t="s">
        <v>20646</v>
      </c>
      <c r="AC3773" t="s">
        <v>4562</v>
      </c>
      <c r="AD3773" t="s">
        <v>20647</v>
      </c>
      <c r="AE3773" t="s">
        <v>4655</v>
      </c>
      <c r="AF3773" t="s">
        <v>1570</v>
      </c>
      <c r="AG3773" t="s">
        <v>4564</v>
      </c>
      <c r="AH3773" t="s">
        <v>1601</v>
      </c>
      <c r="AI3773" t="s">
        <v>4565</v>
      </c>
      <c r="AJ3773" t="s">
        <v>20648</v>
      </c>
      <c r="AK3773" t="s">
        <v>20649</v>
      </c>
      <c r="AL3773" s="13" t="s">
        <v>1898</v>
      </c>
      <c r="AM3773" s="14">
        <v>1</v>
      </c>
      <c r="AN3773" s="15" t="s">
        <v>2528</v>
      </c>
    </row>
    <row r="3774" spans="1:40" x14ac:dyDescent="0.3">
      <c r="A3774" s="10" t="str">
        <f>HYPERLINK("http://www.washoecounty.gov/assessor/cama/?parid=085-561-14&amp;CardNumber=1","085-561-14")</f>
        <v>085-561-14</v>
      </c>
      <c r="B3774" t="s">
        <v>4655</v>
      </c>
      <c r="C3774" t="s">
        <v>20650</v>
      </c>
      <c r="D3774" s="1">
        <v>40359</v>
      </c>
      <c r="E3774" s="2">
        <v>90000</v>
      </c>
      <c r="F3774" t="s">
        <v>4567</v>
      </c>
      <c r="G3774" s="17" t="str">
        <f>HYPERLINK("https://www.washoecounty.gov/assessor/cama/?command=sales&amp;parid=08556114","3897358")</f>
        <v>3897358</v>
      </c>
      <c r="H3774" t="s">
        <v>5097</v>
      </c>
      <c r="I3774">
        <v>2006</v>
      </c>
      <c r="J3774">
        <v>2006</v>
      </c>
      <c r="K3774" t="s">
        <v>4847</v>
      </c>
      <c r="L3774" t="s">
        <v>4555</v>
      </c>
      <c r="M3774" s="2">
        <v>1620</v>
      </c>
      <c r="N3774" t="s">
        <v>5280</v>
      </c>
      <c r="O3774">
        <v>3</v>
      </c>
      <c r="P3774">
        <v>2</v>
      </c>
      <c r="Q3774">
        <v>0</v>
      </c>
      <c r="R3774" t="s">
        <v>4557</v>
      </c>
      <c r="S3774" t="s">
        <v>4558</v>
      </c>
      <c r="T3774" t="s">
        <v>4559</v>
      </c>
      <c r="U3774" t="s">
        <v>4655</v>
      </c>
      <c r="V3774" s="2">
        <v>0</v>
      </c>
      <c r="W3774" t="s">
        <v>4655</v>
      </c>
      <c r="X3774" s="2">
        <v>0</v>
      </c>
      <c r="Y3774">
        <v>22</v>
      </c>
      <c r="Z3774" t="s">
        <v>5508</v>
      </c>
      <c r="AA3774" s="3">
        <v>0.33900368213653598</v>
      </c>
      <c r="AB3774" t="s">
        <v>20651</v>
      </c>
      <c r="AC3774" t="s">
        <v>4562</v>
      </c>
      <c r="AD3774" t="s">
        <v>20650</v>
      </c>
      <c r="AE3774" t="s">
        <v>4655</v>
      </c>
      <c r="AF3774" t="s">
        <v>1600</v>
      </c>
      <c r="AG3774" t="s">
        <v>4564</v>
      </c>
      <c r="AH3774" t="s">
        <v>1601</v>
      </c>
      <c r="AI3774" t="s">
        <v>20652</v>
      </c>
      <c r="AJ3774" t="s">
        <v>4655</v>
      </c>
      <c r="AK3774" t="s">
        <v>20653</v>
      </c>
      <c r="AL3774" s="13" t="s">
        <v>1898</v>
      </c>
      <c r="AM3774" s="14">
        <v>1</v>
      </c>
      <c r="AN3774" s="15" t="s">
        <v>2528</v>
      </c>
    </row>
    <row r="3775" spans="1:40" x14ac:dyDescent="0.3">
      <c r="A3775" s="10" t="str">
        <f>HYPERLINK("http://www.washoecounty.gov/assessor/cama/?parid=085-562-12&amp;CardNumber=1","085-562-12")</f>
        <v>085-562-12</v>
      </c>
      <c r="B3775" t="s">
        <v>4655</v>
      </c>
      <c r="C3775" t="s">
        <v>20654</v>
      </c>
      <c r="D3775" s="1">
        <v>40249</v>
      </c>
      <c r="E3775" s="2">
        <v>26501</v>
      </c>
      <c r="F3775" t="s">
        <v>4553</v>
      </c>
      <c r="G3775" s="17" t="str">
        <f>HYPERLINK("https://www.washoecounty.gov/assessor/cama/?command=sales&amp;parid=08556212","3859560")</f>
        <v>3859560</v>
      </c>
      <c r="H3775" t="s">
        <v>20655</v>
      </c>
      <c r="I3775">
        <v>1992</v>
      </c>
      <c r="J3775">
        <v>1992</v>
      </c>
      <c r="K3775" t="s">
        <v>4847</v>
      </c>
      <c r="L3775" t="s">
        <v>4555</v>
      </c>
      <c r="M3775" s="2">
        <v>924</v>
      </c>
      <c r="N3775" t="s">
        <v>4556</v>
      </c>
      <c r="O3775">
        <v>2</v>
      </c>
      <c r="P3775">
        <v>2</v>
      </c>
      <c r="Q3775">
        <v>0</v>
      </c>
      <c r="R3775" t="s">
        <v>4557</v>
      </c>
      <c r="S3775" t="s">
        <v>4558</v>
      </c>
      <c r="T3775" t="s">
        <v>3888</v>
      </c>
      <c r="U3775" t="s">
        <v>4655</v>
      </c>
      <c r="V3775" s="2">
        <v>0</v>
      </c>
      <c r="W3775" t="s">
        <v>4655</v>
      </c>
      <c r="X3775" s="2">
        <v>0</v>
      </c>
      <c r="Y3775">
        <v>22</v>
      </c>
      <c r="Z3775" t="s">
        <v>5508</v>
      </c>
      <c r="AA3775" s="3">
        <v>0.33298897743225098</v>
      </c>
      <c r="AB3775" t="s">
        <v>20656</v>
      </c>
      <c r="AC3775" t="s">
        <v>4562</v>
      </c>
      <c r="AD3775" t="s">
        <v>20657</v>
      </c>
      <c r="AE3775" t="s">
        <v>4655</v>
      </c>
      <c r="AF3775" t="s">
        <v>1600</v>
      </c>
      <c r="AG3775" t="s">
        <v>4564</v>
      </c>
      <c r="AH3775" t="s">
        <v>1601</v>
      </c>
      <c r="AI3775" t="s">
        <v>4851</v>
      </c>
      <c r="AJ3775" t="s">
        <v>4655</v>
      </c>
      <c r="AK3775" t="s">
        <v>20658</v>
      </c>
      <c r="AL3775" s="13" t="s">
        <v>1898</v>
      </c>
      <c r="AM3775">
        <v>1</v>
      </c>
      <c r="AN3775" s="15" t="s">
        <v>2528</v>
      </c>
    </row>
    <row r="3776" spans="1:40" x14ac:dyDescent="0.3">
      <c r="A3776" s="10" t="str">
        <f>HYPERLINK("http://www.washoecounty.gov/assessor/cama/?parid=085-562-12&amp;CardNumber=1","085-562-12")</f>
        <v>085-562-12</v>
      </c>
      <c r="B3776" t="s">
        <v>4655</v>
      </c>
      <c r="C3776" t="s">
        <v>20654</v>
      </c>
      <c r="D3776" s="1">
        <v>40268</v>
      </c>
      <c r="E3776" s="2">
        <v>52900</v>
      </c>
      <c r="F3776" t="s">
        <v>4567</v>
      </c>
      <c r="G3776" s="17" t="str">
        <f>HYPERLINK("https://www.washoecounty.gov/assessor/cama/?command=sales&amp;parid=08556212","3866404")</f>
        <v>3866404</v>
      </c>
      <c r="H3776" t="s">
        <v>20655</v>
      </c>
      <c r="I3776">
        <v>1992</v>
      </c>
      <c r="J3776">
        <v>1992</v>
      </c>
      <c r="K3776" t="s">
        <v>4847</v>
      </c>
      <c r="L3776" t="s">
        <v>4555</v>
      </c>
      <c r="M3776" s="2">
        <v>924</v>
      </c>
      <c r="N3776" t="s">
        <v>4556</v>
      </c>
      <c r="O3776">
        <v>2</v>
      </c>
      <c r="P3776">
        <v>2</v>
      </c>
      <c r="Q3776">
        <v>0</v>
      </c>
      <c r="R3776" t="s">
        <v>4557</v>
      </c>
      <c r="S3776" t="s">
        <v>4558</v>
      </c>
      <c r="T3776" t="s">
        <v>3888</v>
      </c>
      <c r="U3776" t="s">
        <v>4655</v>
      </c>
      <c r="V3776" s="2">
        <v>0</v>
      </c>
      <c r="W3776" t="s">
        <v>4655</v>
      </c>
      <c r="X3776" s="2">
        <v>0</v>
      </c>
      <c r="Y3776">
        <v>22</v>
      </c>
      <c r="Z3776" t="s">
        <v>5508</v>
      </c>
      <c r="AA3776" s="3">
        <v>0.33298897743225098</v>
      </c>
      <c r="AB3776" t="s">
        <v>20656</v>
      </c>
      <c r="AC3776" t="s">
        <v>4562</v>
      </c>
      <c r="AD3776" t="s">
        <v>20657</v>
      </c>
      <c r="AE3776" t="s">
        <v>4655</v>
      </c>
      <c r="AF3776" t="s">
        <v>1600</v>
      </c>
      <c r="AG3776" t="s">
        <v>4564</v>
      </c>
      <c r="AH3776" t="s">
        <v>1601</v>
      </c>
      <c r="AI3776" t="s">
        <v>4851</v>
      </c>
      <c r="AJ3776" t="s">
        <v>4655</v>
      </c>
      <c r="AK3776" t="s">
        <v>20658</v>
      </c>
      <c r="AL3776" s="13" t="s">
        <v>1898</v>
      </c>
      <c r="AM3776" s="14">
        <v>1</v>
      </c>
      <c r="AN3776" s="15" t="s">
        <v>2528</v>
      </c>
    </row>
    <row r="3777" spans="1:40" x14ac:dyDescent="0.3">
      <c r="A3777" s="10" t="str">
        <f>HYPERLINK("http://www.washoecounty.gov/assessor/cama/?parid=085-570-02&amp;CardNumber=1","085-570-02")</f>
        <v>085-570-02</v>
      </c>
      <c r="B3777" t="s">
        <v>4655</v>
      </c>
      <c r="C3777" t="s">
        <v>20659</v>
      </c>
      <c r="D3777" s="1">
        <v>40191</v>
      </c>
      <c r="E3777" s="2">
        <v>21531</v>
      </c>
      <c r="F3777" t="s">
        <v>4553</v>
      </c>
      <c r="G3777" s="17" t="str">
        <f>HYPERLINK("https://www.washoecounty.gov/assessor/cama/?command=sales&amp;parid=08557002","3838945")</f>
        <v>3838945</v>
      </c>
      <c r="H3777" t="s">
        <v>20660</v>
      </c>
      <c r="I3777">
        <v>1979</v>
      </c>
      <c r="J3777">
        <v>1980</v>
      </c>
      <c r="K3777" t="s">
        <v>4847</v>
      </c>
      <c r="L3777" t="s">
        <v>4555</v>
      </c>
      <c r="M3777" s="2">
        <v>1644</v>
      </c>
      <c r="N3777" t="s">
        <v>4556</v>
      </c>
      <c r="O3777">
        <v>3</v>
      </c>
      <c r="P3777">
        <v>2</v>
      </c>
      <c r="Q3777">
        <v>0</v>
      </c>
      <c r="R3777" t="s">
        <v>4557</v>
      </c>
      <c r="S3777" t="s">
        <v>4135</v>
      </c>
      <c r="T3777" t="s">
        <v>3888</v>
      </c>
      <c r="U3777" t="s">
        <v>4655</v>
      </c>
      <c r="V3777" s="2">
        <v>0</v>
      </c>
      <c r="W3777" t="s">
        <v>4655</v>
      </c>
      <c r="X3777" s="2">
        <v>0</v>
      </c>
      <c r="Y3777">
        <v>22</v>
      </c>
      <c r="Z3777" t="s">
        <v>5508</v>
      </c>
      <c r="AA3777" s="3">
        <v>0.34400826692581199</v>
      </c>
      <c r="AB3777" t="s">
        <v>20661</v>
      </c>
      <c r="AC3777" t="s">
        <v>4562</v>
      </c>
      <c r="AD3777" t="s">
        <v>20662</v>
      </c>
      <c r="AE3777" t="s">
        <v>4655</v>
      </c>
      <c r="AF3777" t="s">
        <v>1570</v>
      </c>
      <c r="AG3777" t="s">
        <v>4564</v>
      </c>
      <c r="AH3777" t="s">
        <v>1601</v>
      </c>
      <c r="AI3777" t="s">
        <v>5359</v>
      </c>
      <c r="AJ3777" t="s">
        <v>4655</v>
      </c>
      <c r="AK3777" t="s">
        <v>20663</v>
      </c>
      <c r="AL3777" s="13" t="s">
        <v>1898</v>
      </c>
      <c r="AM3777">
        <v>1</v>
      </c>
      <c r="AN3777" s="15" t="s">
        <v>2528</v>
      </c>
    </row>
    <row r="3778" spans="1:40" x14ac:dyDescent="0.3">
      <c r="A3778" s="10" t="str">
        <f>HYPERLINK("http://www.washoecounty.gov/assessor/cama/?parid=085-570-02&amp;CardNumber=1","085-570-02")</f>
        <v>085-570-02</v>
      </c>
      <c r="B3778" t="s">
        <v>4655</v>
      </c>
      <c r="C3778" t="s">
        <v>20659</v>
      </c>
      <c r="D3778" s="1">
        <v>40226</v>
      </c>
      <c r="E3778" s="2">
        <v>36601</v>
      </c>
      <c r="F3778" t="s">
        <v>4567</v>
      </c>
      <c r="G3778" s="17" t="str">
        <f>HYPERLINK("https://www.washoecounty.gov/assessor/cama/?command=sales&amp;parid=08557002","3850199")</f>
        <v>3850199</v>
      </c>
      <c r="H3778" t="s">
        <v>20660</v>
      </c>
      <c r="I3778">
        <v>1979</v>
      </c>
      <c r="J3778">
        <v>1980</v>
      </c>
      <c r="K3778" t="s">
        <v>4847</v>
      </c>
      <c r="L3778" t="s">
        <v>4555</v>
      </c>
      <c r="M3778" s="2">
        <v>1644</v>
      </c>
      <c r="N3778" t="s">
        <v>4556</v>
      </c>
      <c r="O3778">
        <v>3</v>
      </c>
      <c r="P3778">
        <v>2</v>
      </c>
      <c r="Q3778">
        <v>0</v>
      </c>
      <c r="R3778" t="s">
        <v>4557</v>
      </c>
      <c r="S3778" t="s">
        <v>4135</v>
      </c>
      <c r="T3778" t="s">
        <v>3888</v>
      </c>
      <c r="U3778" t="s">
        <v>4655</v>
      </c>
      <c r="V3778" s="2">
        <v>0</v>
      </c>
      <c r="W3778" t="s">
        <v>4655</v>
      </c>
      <c r="X3778" s="2">
        <v>0</v>
      </c>
      <c r="Y3778">
        <v>22</v>
      </c>
      <c r="Z3778" t="s">
        <v>5508</v>
      </c>
      <c r="AA3778" s="3">
        <v>0.34400826692581199</v>
      </c>
      <c r="AB3778" t="s">
        <v>20661</v>
      </c>
      <c r="AC3778" t="s">
        <v>4562</v>
      </c>
      <c r="AD3778" t="s">
        <v>20662</v>
      </c>
      <c r="AE3778" t="s">
        <v>4655</v>
      </c>
      <c r="AF3778" t="s">
        <v>1570</v>
      </c>
      <c r="AG3778" t="s">
        <v>4564</v>
      </c>
      <c r="AH3778" t="s">
        <v>1601</v>
      </c>
      <c r="AI3778" t="s">
        <v>5359</v>
      </c>
      <c r="AJ3778" t="s">
        <v>4655</v>
      </c>
      <c r="AK3778" t="s">
        <v>20663</v>
      </c>
      <c r="AL3778" s="13" t="s">
        <v>1898</v>
      </c>
      <c r="AM3778">
        <v>1</v>
      </c>
      <c r="AN3778" s="15" t="s">
        <v>2528</v>
      </c>
    </row>
    <row r="3779" spans="1:40" x14ac:dyDescent="0.3">
      <c r="A3779" s="10" t="str">
        <f>HYPERLINK("http://www.washoecounty.gov/assessor/cama/?parid=085-570-02&amp;CardNumber=1","085-570-02")</f>
        <v>085-570-02</v>
      </c>
      <c r="B3779" t="s">
        <v>4655</v>
      </c>
      <c r="C3779" t="s">
        <v>20659</v>
      </c>
      <c r="D3779" s="1">
        <v>40451</v>
      </c>
      <c r="E3779" s="2">
        <v>78000</v>
      </c>
      <c r="F3779" t="s">
        <v>4567</v>
      </c>
      <c r="G3779" s="17" t="str">
        <f>HYPERLINK("https://www.washoecounty.gov/assessor/cama/?command=sales&amp;parid=08557002","3928286")</f>
        <v>3928286</v>
      </c>
      <c r="H3779" t="s">
        <v>20660</v>
      </c>
      <c r="I3779">
        <v>1979</v>
      </c>
      <c r="J3779">
        <v>1980</v>
      </c>
      <c r="K3779" t="s">
        <v>4847</v>
      </c>
      <c r="L3779" t="s">
        <v>4555</v>
      </c>
      <c r="M3779" s="2">
        <v>1644</v>
      </c>
      <c r="N3779" t="s">
        <v>4556</v>
      </c>
      <c r="O3779">
        <v>3</v>
      </c>
      <c r="P3779">
        <v>2</v>
      </c>
      <c r="Q3779">
        <v>0</v>
      </c>
      <c r="R3779" t="s">
        <v>4557</v>
      </c>
      <c r="S3779" t="s">
        <v>4135</v>
      </c>
      <c r="T3779" t="s">
        <v>3888</v>
      </c>
      <c r="U3779" t="s">
        <v>4655</v>
      </c>
      <c r="V3779" s="2">
        <v>0</v>
      </c>
      <c r="W3779" t="s">
        <v>4655</v>
      </c>
      <c r="X3779" s="2">
        <v>0</v>
      </c>
      <c r="Y3779">
        <v>22</v>
      </c>
      <c r="Z3779" t="s">
        <v>5508</v>
      </c>
      <c r="AA3779" s="3">
        <v>0.34400826692581199</v>
      </c>
      <c r="AB3779" t="s">
        <v>20661</v>
      </c>
      <c r="AC3779" t="s">
        <v>4562</v>
      </c>
      <c r="AD3779" t="s">
        <v>20662</v>
      </c>
      <c r="AE3779" t="s">
        <v>4655</v>
      </c>
      <c r="AF3779" t="s">
        <v>1570</v>
      </c>
      <c r="AG3779" t="s">
        <v>4564</v>
      </c>
      <c r="AH3779" t="s">
        <v>1601</v>
      </c>
      <c r="AI3779" t="s">
        <v>5359</v>
      </c>
      <c r="AJ3779" t="s">
        <v>4655</v>
      </c>
      <c r="AK3779" t="s">
        <v>20663</v>
      </c>
      <c r="AL3779" s="13" t="s">
        <v>1898</v>
      </c>
      <c r="AM3779">
        <v>1</v>
      </c>
      <c r="AN3779" s="15" t="s">
        <v>2528</v>
      </c>
    </row>
    <row r="3780" spans="1:40" x14ac:dyDescent="0.3">
      <c r="A3780" s="10" t="str">
        <f>HYPERLINK("http://www.washoecounty.gov/assessor/cama/?parid=085-570-10&amp;CardNumber=1","085-570-10")</f>
        <v>085-570-10</v>
      </c>
      <c r="B3780" t="s">
        <v>4655</v>
      </c>
      <c r="C3780" t="s">
        <v>20664</v>
      </c>
      <c r="D3780" s="1">
        <v>40490</v>
      </c>
      <c r="E3780" s="2">
        <v>79000</v>
      </c>
      <c r="F3780" t="s">
        <v>4553</v>
      </c>
      <c r="G3780" s="17" t="str">
        <f>HYPERLINK("https://www.washoecounty.gov/assessor/cama/?command=sales&amp;parid=08557010","3941035")</f>
        <v>3941035</v>
      </c>
      <c r="H3780" t="s">
        <v>20665</v>
      </c>
      <c r="I3780">
        <v>1999</v>
      </c>
      <c r="J3780">
        <v>1999</v>
      </c>
      <c r="K3780" t="s">
        <v>4847</v>
      </c>
      <c r="L3780" t="s">
        <v>4555</v>
      </c>
      <c r="M3780" s="2">
        <v>1352</v>
      </c>
      <c r="N3780" t="s">
        <v>5280</v>
      </c>
      <c r="O3780">
        <v>3</v>
      </c>
      <c r="P3780">
        <v>2</v>
      </c>
      <c r="Q3780">
        <v>0</v>
      </c>
      <c r="R3780" t="s">
        <v>4557</v>
      </c>
      <c r="S3780" t="s">
        <v>4558</v>
      </c>
      <c r="T3780" t="s">
        <v>4559</v>
      </c>
      <c r="U3780" t="s">
        <v>4655</v>
      </c>
      <c r="V3780" s="2">
        <v>0</v>
      </c>
      <c r="W3780" t="s">
        <v>4655</v>
      </c>
      <c r="X3780" s="2">
        <v>0</v>
      </c>
      <c r="Y3780">
        <v>22</v>
      </c>
      <c r="Z3780" t="s">
        <v>5508</v>
      </c>
      <c r="AA3780" s="3">
        <v>0.35101011395454401</v>
      </c>
      <c r="AB3780" t="s">
        <v>2148</v>
      </c>
      <c r="AC3780" t="s">
        <v>4562</v>
      </c>
      <c r="AD3780" t="s">
        <v>2149</v>
      </c>
      <c r="AE3780" t="s">
        <v>4655</v>
      </c>
      <c r="AF3780" t="s">
        <v>5201</v>
      </c>
      <c r="AG3780" t="s">
        <v>4564</v>
      </c>
      <c r="AH3780" t="s">
        <v>1350</v>
      </c>
      <c r="AI3780" t="s">
        <v>2399</v>
      </c>
      <c r="AJ3780" t="s">
        <v>4655</v>
      </c>
      <c r="AK3780" t="s">
        <v>20666</v>
      </c>
      <c r="AL3780" s="13" t="s">
        <v>1898</v>
      </c>
      <c r="AM3780">
        <v>1</v>
      </c>
      <c r="AN3780" s="15" t="s">
        <v>2528</v>
      </c>
    </row>
    <row r="3781" spans="1:40" x14ac:dyDescent="0.3">
      <c r="A3781" s="10" t="str">
        <f>HYPERLINK("http://www.washoecounty.gov/assessor/cama/?parid=085-570-49&amp;CardNumber=1","085-570-49")</f>
        <v>085-570-49</v>
      </c>
      <c r="B3781" t="s">
        <v>4655</v>
      </c>
      <c r="C3781" t="s">
        <v>20667</v>
      </c>
      <c r="D3781" s="1">
        <v>40302</v>
      </c>
      <c r="E3781" s="2">
        <v>22510</v>
      </c>
      <c r="F3781" t="s">
        <v>4567</v>
      </c>
      <c r="G3781" s="17" t="str">
        <f>HYPERLINK("https://www.washoecounty.gov/assessor/cama/?command=sales&amp;parid=08557049","3877822")</f>
        <v>3877822</v>
      </c>
      <c r="H3781" t="s">
        <v>20668</v>
      </c>
      <c r="I3781">
        <v>1983</v>
      </c>
      <c r="J3781">
        <v>1983</v>
      </c>
      <c r="K3781" t="s">
        <v>4847</v>
      </c>
      <c r="L3781" t="s">
        <v>4555</v>
      </c>
      <c r="M3781" s="2">
        <v>960</v>
      </c>
      <c r="N3781" t="s">
        <v>4556</v>
      </c>
      <c r="O3781">
        <v>2</v>
      </c>
      <c r="P3781">
        <v>2</v>
      </c>
      <c r="Q3781">
        <v>0</v>
      </c>
      <c r="R3781" t="s">
        <v>4557</v>
      </c>
      <c r="S3781" t="s">
        <v>4558</v>
      </c>
      <c r="T3781" t="s">
        <v>4559</v>
      </c>
      <c r="U3781" t="s">
        <v>4655</v>
      </c>
      <c r="V3781" s="2">
        <v>0</v>
      </c>
      <c r="W3781" t="s">
        <v>4655</v>
      </c>
      <c r="X3781" s="2">
        <v>0</v>
      </c>
      <c r="Y3781">
        <v>23</v>
      </c>
      <c r="Z3781" t="s">
        <v>5508</v>
      </c>
      <c r="AA3781" s="3">
        <v>0.31900826096534701</v>
      </c>
      <c r="AB3781" t="s">
        <v>5359</v>
      </c>
      <c r="AC3781" t="s">
        <v>4562</v>
      </c>
      <c r="AD3781" t="s">
        <v>5059</v>
      </c>
      <c r="AE3781" t="s">
        <v>4655</v>
      </c>
      <c r="AF3781" t="s">
        <v>4752</v>
      </c>
      <c r="AG3781" t="s">
        <v>4564</v>
      </c>
      <c r="AH3781" t="s">
        <v>1147</v>
      </c>
      <c r="AI3781" t="s">
        <v>20669</v>
      </c>
      <c r="AJ3781" t="s">
        <v>4655</v>
      </c>
      <c r="AK3781" t="s">
        <v>20670</v>
      </c>
      <c r="AL3781" s="13" t="s">
        <v>1898</v>
      </c>
      <c r="AM3781">
        <v>1</v>
      </c>
      <c r="AN3781" s="15" t="s">
        <v>2528</v>
      </c>
    </row>
    <row r="3782" spans="1:40" x14ac:dyDescent="0.3">
      <c r="A3782" s="10" t="str">
        <f>HYPERLINK("http://www.washoecounty.gov/assessor/cama/?parid=085-582-04&amp;CardNumber=1","085-582-04")</f>
        <v>085-582-04</v>
      </c>
      <c r="B3782" t="s">
        <v>4655</v>
      </c>
      <c r="C3782" t="s">
        <v>20671</v>
      </c>
      <c r="D3782" s="1">
        <v>40245</v>
      </c>
      <c r="E3782" s="2">
        <v>68500</v>
      </c>
      <c r="F3782" t="s">
        <v>4567</v>
      </c>
      <c r="G3782" s="17" t="str">
        <f>HYPERLINK("https://www.washoecounty.gov/assessor/cama/?command=sales&amp;parid=08558204","3856738")</f>
        <v>3856738</v>
      </c>
      <c r="H3782" t="s">
        <v>20422</v>
      </c>
      <c r="I3782">
        <v>0</v>
      </c>
      <c r="J3782">
        <v>0</v>
      </c>
      <c r="K3782" t="s">
        <v>4655</v>
      </c>
      <c r="L3782" t="s">
        <v>4655</v>
      </c>
      <c r="M3782" s="2">
        <v>0</v>
      </c>
      <c r="N3782" t="s">
        <v>4655</v>
      </c>
      <c r="O3782">
        <v>0</v>
      </c>
      <c r="P3782">
        <v>0</v>
      </c>
      <c r="Q3782">
        <v>0</v>
      </c>
      <c r="R3782" t="s">
        <v>4655</v>
      </c>
      <c r="S3782" t="s">
        <v>4655</v>
      </c>
      <c r="T3782" t="s">
        <v>4655</v>
      </c>
      <c r="U3782" t="s">
        <v>4655</v>
      </c>
      <c r="V3782" s="2">
        <v>0</v>
      </c>
      <c r="W3782" t="s">
        <v>4655</v>
      </c>
      <c r="X3782" s="2">
        <v>0</v>
      </c>
      <c r="Y3782">
        <v>23</v>
      </c>
      <c r="Z3782" t="s">
        <v>5508</v>
      </c>
      <c r="AA3782" s="3">
        <v>0.47300276160240201</v>
      </c>
      <c r="AB3782" t="s">
        <v>20672</v>
      </c>
      <c r="AC3782" t="s">
        <v>4562</v>
      </c>
      <c r="AD3782" t="s">
        <v>20673</v>
      </c>
      <c r="AE3782" t="s">
        <v>4655</v>
      </c>
      <c r="AF3782" t="s">
        <v>1600</v>
      </c>
      <c r="AG3782" t="s">
        <v>4564</v>
      </c>
      <c r="AH3782" t="s">
        <v>1601</v>
      </c>
      <c r="AI3782" t="s">
        <v>20674</v>
      </c>
      <c r="AJ3782" t="s">
        <v>4655</v>
      </c>
      <c r="AK3782" t="s">
        <v>2850</v>
      </c>
      <c r="AL3782" s="13" t="s">
        <v>1898</v>
      </c>
      <c r="AM3782">
        <v>0</v>
      </c>
      <c r="AN3782" s="15" t="s">
        <v>2528</v>
      </c>
    </row>
    <row r="3783" spans="1:40" x14ac:dyDescent="0.3">
      <c r="A3783" s="10" t="str">
        <f>HYPERLINK("http://www.washoecounty.gov/assessor/cama/?parid=085-582-04&amp;CardNumber=1","085-582-04")</f>
        <v>085-582-04</v>
      </c>
      <c r="B3783" t="s">
        <v>4655</v>
      </c>
      <c r="C3783" t="s">
        <v>20671</v>
      </c>
      <c r="D3783" s="1">
        <v>40310</v>
      </c>
      <c r="E3783" s="2">
        <v>61000</v>
      </c>
      <c r="F3783" t="s">
        <v>4567</v>
      </c>
      <c r="G3783" s="17" t="str">
        <f>HYPERLINK("https://www.washoecounty.gov/assessor/cama/?command=sales&amp;parid=08558204","3880971")</f>
        <v>3880971</v>
      </c>
      <c r="H3783" t="s">
        <v>20422</v>
      </c>
      <c r="I3783">
        <v>0</v>
      </c>
      <c r="J3783">
        <v>0</v>
      </c>
      <c r="K3783" t="s">
        <v>4655</v>
      </c>
      <c r="L3783" t="s">
        <v>4655</v>
      </c>
      <c r="M3783" s="2">
        <v>0</v>
      </c>
      <c r="N3783" t="s">
        <v>4655</v>
      </c>
      <c r="O3783">
        <v>0</v>
      </c>
      <c r="P3783">
        <v>0</v>
      </c>
      <c r="Q3783">
        <v>0</v>
      </c>
      <c r="R3783" t="s">
        <v>4655</v>
      </c>
      <c r="S3783" t="s">
        <v>4655</v>
      </c>
      <c r="T3783" t="s">
        <v>4655</v>
      </c>
      <c r="U3783" t="s">
        <v>4655</v>
      </c>
      <c r="V3783" s="2">
        <v>0</v>
      </c>
      <c r="W3783" t="s">
        <v>4655</v>
      </c>
      <c r="X3783" s="2">
        <v>0</v>
      </c>
      <c r="Y3783">
        <v>23</v>
      </c>
      <c r="Z3783" t="s">
        <v>5508</v>
      </c>
      <c r="AA3783" s="3">
        <v>0.47300276160240201</v>
      </c>
      <c r="AB3783" t="s">
        <v>20672</v>
      </c>
      <c r="AC3783" t="s">
        <v>4562</v>
      </c>
      <c r="AD3783" t="s">
        <v>20673</v>
      </c>
      <c r="AE3783" t="s">
        <v>4655</v>
      </c>
      <c r="AF3783" t="s">
        <v>1600</v>
      </c>
      <c r="AG3783" t="s">
        <v>4564</v>
      </c>
      <c r="AH3783" t="s">
        <v>1601</v>
      </c>
      <c r="AI3783" t="s">
        <v>20674</v>
      </c>
      <c r="AJ3783" t="s">
        <v>4655</v>
      </c>
      <c r="AK3783" t="s">
        <v>2850</v>
      </c>
      <c r="AL3783" s="13" t="s">
        <v>1898</v>
      </c>
      <c r="AM3783">
        <v>0</v>
      </c>
      <c r="AN3783" s="15" t="s">
        <v>2528</v>
      </c>
    </row>
    <row r="3784" spans="1:40" x14ac:dyDescent="0.3">
      <c r="A3784" s="10" t="str">
        <f>HYPERLINK("http://www.washoecounty.gov/assessor/cama/?parid=085-600-30&amp;CardNumber=1","085-600-30")</f>
        <v>085-600-30</v>
      </c>
      <c r="B3784" t="s">
        <v>4655</v>
      </c>
      <c r="C3784" t="s">
        <v>20675</v>
      </c>
      <c r="D3784" s="1">
        <v>40416</v>
      </c>
      <c r="E3784" s="2">
        <v>50200</v>
      </c>
      <c r="F3784" t="s">
        <v>4553</v>
      </c>
      <c r="G3784" s="17" t="str">
        <f>HYPERLINK("https://www.washoecounty.gov/assessor/cama/?command=sales&amp;parid=08560030","3916074")</f>
        <v>3916074</v>
      </c>
      <c r="H3784" t="s">
        <v>20676</v>
      </c>
      <c r="I3784">
        <v>1984</v>
      </c>
      <c r="J3784">
        <v>1984</v>
      </c>
      <c r="K3784" t="s">
        <v>4847</v>
      </c>
      <c r="L3784" t="s">
        <v>4555</v>
      </c>
      <c r="M3784" s="2">
        <v>1344</v>
      </c>
      <c r="N3784" t="s">
        <v>4048</v>
      </c>
      <c r="O3784">
        <v>3</v>
      </c>
      <c r="P3784">
        <v>2</v>
      </c>
      <c r="Q3784">
        <v>0</v>
      </c>
      <c r="R3784" t="s">
        <v>4557</v>
      </c>
      <c r="S3784" t="s">
        <v>4558</v>
      </c>
      <c r="T3784" t="s">
        <v>4559</v>
      </c>
      <c r="U3784" t="s">
        <v>4655</v>
      </c>
      <c r="V3784" s="2">
        <v>0</v>
      </c>
      <c r="W3784" t="s">
        <v>4655</v>
      </c>
      <c r="X3784" s="2">
        <v>0</v>
      </c>
      <c r="Y3784">
        <v>22</v>
      </c>
      <c r="Z3784" t="s">
        <v>5508</v>
      </c>
      <c r="AA3784" s="3">
        <v>0.41600093245506298</v>
      </c>
      <c r="AB3784" t="s">
        <v>20677</v>
      </c>
      <c r="AC3784" t="s">
        <v>4562</v>
      </c>
      <c r="AD3784" t="s">
        <v>121</v>
      </c>
      <c r="AE3784" t="s">
        <v>4655</v>
      </c>
      <c r="AF3784" t="s">
        <v>4563</v>
      </c>
      <c r="AG3784" t="s">
        <v>4564</v>
      </c>
      <c r="AH3784">
        <v>89506</v>
      </c>
      <c r="AI3784" t="s">
        <v>4848</v>
      </c>
      <c r="AJ3784" t="s">
        <v>4655</v>
      </c>
      <c r="AK3784" t="s">
        <v>20678</v>
      </c>
      <c r="AL3784" s="13" t="s">
        <v>1898</v>
      </c>
      <c r="AM3784">
        <v>1</v>
      </c>
      <c r="AN3784" s="15" t="s">
        <v>2528</v>
      </c>
    </row>
    <row r="3785" spans="1:40" x14ac:dyDescent="0.3">
      <c r="A3785" s="10" t="str">
        <f>HYPERLINK("http://www.washoecounty.gov/assessor/cama/?parid=085-600-31&amp;CardNumber=1","085-600-31")</f>
        <v>085-600-31</v>
      </c>
      <c r="B3785" t="s">
        <v>4655</v>
      </c>
      <c r="C3785" t="s">
        <v>20679</v>
      </c>
      <c r="D3785" s="1">
        <v>40312</v>
      </c>
      <c r="E3785" s="2">
        <v>35000</v>
      </c>
      <c r="F3785" t="s">
        <v>4553</v>
      </c>
      <c r="G3785" s="17" t="str">
        <f>HYPERLINK("https://www.washoecounty.gov/assessor/cama/?command=sales&amp;parid=08560031","3881496")</f>
        <v>3881496</v>
      </c>
      <c r="H3785" t="s">
        <v>20676</v>
      </c>
      <c r="I3785">
        <v>1986</v>
      </c>
      <c r="J3785">
        <v>1986</v>
      </c>
      <c r="K3785" t="s">
        <v>4847</v>
      </c>
      <c r="L3785" t="s">
        <v>4555</v>
      </c>
      <c r="M3785" s="2">
        <v>1512</v>
      </c>
      <c r="N3785" t="s">
        <v>5280</v>
      </c>
      <c r="O3785">
        <v>3</v>
      </c>
      <c r="P3785">
        <v>2</v>
      </c>
      <c r="Q3785">
        <v>0</v>
      </c>
      <c r="R3785" t="s">
        <v>4557</v>
      </c>
      <c r="S3785" t="s">
        <v>4558</v>
      </c>
      <c r="T3785" t="s">
        <v>4559</v>
      </c>
      <c r="U3785" t="s">
        <v>4655</v>
      </c>
      <c r="V3785" s="2">
        <v>0</v>
      </c>
      <c r="W3785" t="s">
        <v>4655</v>
      </c>
      <c r="X3785" s="2">
        <v>0</v>
      </c>
      <c r="Y3785">
        <v>22</v>
      </c>
      <c r="Z3785" t="s">
        <v>5508</v>
      </c>
      <c r="AA3785" s="3">
        <v>0.41600093245506298</v>
      </c>
      <c r="AB3785" t="s">
        <v>20680</v>
      </c>
      <c r="AC3785" t="s">
        <v>4562</v>
      </c>
      <c r="AD3785" t="s">
        <v>20679</v>
      </c>
      <c r="AE3785" t="s">
        <v>4655</v>
      </c>
      <c r="AF3785" t="s">
        <v>1600</v>
      </c>
      <c r="AG3785" t="s">
        <v>4564</v>
      </c>
      <c r="AH3785" t="s">
        <v>1601</v>
      </c>
      <c r="AI3785" t="s">
        <v>4903</v>
      </c>
      <c r="AJ3785" t="s">
        <v>4655</v>
      </c>
      <c r="AK3785" t="s">
        <v>20681</v>
      </c>
      <c r="AL3785" s="13" t="s">
        <v>1898</v>
      </c>
      <c r="AM3785">
        <v>1</v>
      </c>
      <c r="AN3785" s="15" t="s">
        <v>2528</v>
      </c>
    </row>
    <row r="3786" spans="1:40" x14ac:dyDescent="0.3">
      <c r="A3786" s="10" t="str">
        <f>HYPERLINK("http://www.washoecounty.gov/assessor/cama/?parid=085-610-61&amp;CardNumber=1","085-610-61")</f>
        <v>085-610-61</v>
      </c>
      <c r="B3786" t="s">
        <v>4655</v>
      </c>
      <c r="C3786" t="s">
        <v>20682</v>
      </c>
      <c r="D3786" s="1">
        <v>40302</v>
      </c>
      <c r="E3786" s="2">
        <v>75000</v>
      </c>
      <c r="F3786" t="s">
        <v>4553</v>
      </c>
      <c r="G3786" s="17" t="str">
        <f>HYPERLINK("https://www.washoecounty.gov/assessor/cama/?command=sales&amp;parid=08561061","3878008")</f>
        <v>3878008</v>
      </c>
      <c r="H3786" t="s">
        <v>20683</v>
      </c>
      <c r="I3786">
        <v>2006</v>
      </c>
      <c r="J3786">
        <v>2006</v>
      </c>
      <c r="K3786" t="s">
        <v>4847</v>
      </c>
      <c r="L3786" t="s">
        <v>4555</v>
      </c>
      <c r="M3786" s="2">
        <v>1890</v>
      </c>
      <c r="N3786" t="s">
        <v>5280</v>
      </c>
      <c r="O3786">
        <v>4</v>
      </c>
      <c r="P3786">
        <v>2</v>
      </c>
      <c r="Q3786">
        <v>1</v>
      </c>
      <c r="R3786" t="s">
        <v>4557</v>
      </c>
      <c r="S3786" t="s">
        <v>4558</v>
      </c>
      <c r="T3786" t="s">
        <v>4559</v>
      </c>
      <c r="U3786" t="s">
        <v>4655</v>
      </c>
      <c r="V3786" s="2">
        <v>0</v>
      </c>
      <c r="W3786" t="s">
        <v>4655</v>
      </c>
      <c r="X3786" s="2">
        <v>0</v>
      </c>
      <c r="Y3786">
        <v>22</v>
      </c>
      <c r="Z3786" t="s">
        <v>5508</v>
      </c>
      <c r="AA3786" s="3">
        <v>0.34400826692581199</v>
      </c>
      <c r="AB3786" t="s">
        <v>20684</v>
      </c>
      <c r="AC3786" t="s">
        <v>4562</v>
      </c>
      <c r="AD3786" t="s">
        <v>20685</v>
      </c>
      <c r="AE3786" t="s">
        <v>4655</v>
      </c>
      <c r="AF3786" t="s">
        <v>4563</v>
      </c>
      <c r="AG3786" t="s">
        <v>4564</v>
      </c>
      <c r="AH3786" t="s">
        <v>1147</v>
      </c>
      <c r="AI3786" t="s">
        <v>4848</v>
      </c>
      <c r="AJ3786" t="s">
        <v>4655</v>
      </c>
      <c r="AK3786" t="s">
        <v>20686</v>
      </c>
      <c r="AL3786" s="13" t="s">
        <v>1898</v>
      </c>
      <c r="AM3786" s="14">
        <v>1</v>
      </c>
      <c r="AN3786" s="15" t="s">
        <v>2528</v>
      </c>
    </row>
    <row r="3787" spans="1:40" x14ac:dyDescent="0.3">
      <c r="A3787" s="10" t="str">
        <f>HYPERLINK("http://www.washoecounty.gov/assessor/cama/?parid=085-610-64&amp;CardNumber=1","085-610-64")</f>
        <v>085-610-64</v>
      </c>
      <c r="B3787" t="s">
        <v>4655</v>
      </c>
      <c r="C3787" t="s">
        <v>20687</v>
      </c>
      <c r="D3787" s="1">
        <v>40281</v>
      </c>
      <c r="E3787" s="2">
        <v>75000</v>
      </c>
      <c r="F3787" t="s">
        <v>4567</v>
      </c>
      <c r="G3787" s="17" t="str">
        <f>HYPERLINK("https://www.washoecounty.gov/assessor/cama/?command=sales&amp;parid=08561064","3870209")</f>
        <v>3870209</v>
      </c>
      <c r="H3787" t="s">
        <v>20688</v>
      </c>
      <c r="I3787">
        <v>0</v>
      </c>
      <c r="J3787">
        <v>0</v>
      </c>
      <c r="K3787" t="s">
        <v>4655</v>
      </c>
      <c r="L3787" t="s">
        <v>4655</v>
      </c>
      <c r="M3787" s="2">
        <v>0</v>
      </c>
      <c r="N3787" t="s">
        <v>4655</v>
      </c>
      <c r="O3787">
        <v>0</v>
      </c>
      <c r="P3787">
        <v>0</v>
      </c>
      <c r="Q3787">
        <v>0</v>
      </c>
      <c r="R3787" t="s">
        <v>4655</v>
      </c>
      <c r="S3787" t="s">
        <v>4655</v>
      </c>
      <c r="T3787" t="s">
        <v>4655</v>
      </c>
      <c r="U3787" t="s">
        <v>4655</v>
      </c>
      <c r="V3787" s="2">
        <v>0</v>
      </c>
      <c r="W3787" t="s">
        <v>4655</v>
      </c>
      <c r="X3787" s="2">
        <v>0</v>
      </c>
      <c r="Y3787">
        <v>23</v>
      </c>
      <c r="Z3787" t="s">
        <v>5508</v>
      </c>
      <c r="AA3787" s="3">
        <v>0.38399907946586598</v>
      </c>
      <c r="AB3787" t="s">
        <v>167</v>
      </c>
      <c r="AC3787" t="s">
        <v>4575</v>
      </c>
      <c r="AD3787" t="s">
        <v>8347</v>
      </c>
      <c r="AE3787" t="s">
        <v>4655</v>
      </c>
      <c r="AF3787" t="s">
        <v>4563</v>
      </c>
      <c r="AG3787" t="s">
        <v>4564</v>
      </c>
      <c r="AH3787">
        <v>89509</v>
      </c>
      <c r="AI3787" t="s">
        <v>20689</v>
      </c>
      <c r="AJ3787" t="s">
        <v>4655</v>
      </c>
      <c r="AK3787" t="s">
        <v>20690</v>
      </c>
      <c r="AL3787" s="13" t="s">
        <v>1898</v>
      </c>
      <c r="AM3787">
        <v>0</v>
      </c>
      <c r="AN3787" s="15" t="s">
        <v>2528</v>
      </c>
    </row>
    <row r="3788" spans="1:40" x14ac:dyDescent="0.3">
      <c r="A3788" s="10" t="str">
        <f>HYPERLINK("http://www.washoecounty.gov/assessor/cama/?parid=085-631-17&amp;CardNumber=1","085-631-17")</f>
        <v>085-631-17</v>
      </c>
      <c r="B3788" t="s">
        <v>4655</v>
      </c>
      <c r="C3788" t="s">
        <v>20691</v>
      </c>
      <c r="D3788" s="1">
        <v>40339</v>
      </c>
      <c r="E3788" s="2">
        <v>65000</v>
      </c>
      <c r="F3788" t="s">
        <v>4567</v>
      </c>
      <c r="G3788" s="17" t="str">
        <f>HYPERLINK("https://www.washoecounty.gov/assessor/cama/?command=sales&amp;parid=08563117","3890155")</f>
        <v>3890155</v>
      </c>
      <c r="H3788" t="s">
        <v>3798</v>
      </c>
      <c r="I3788">
        <v>1988</v>
      </c>
      <c r="J3788">
        <v>1988</v>
      </c>
      <c r="K3788" t="s">
        <v>4847</v>
      </c>
      <c r="L3788" t="s">
        <v>4555</v>
      </c>
      <c r="M3788" s="2">
        <v>1848</v>
      </c>
      <c r="N3788" t="s">
        <v>5280</v>
      </c>
      <c r="O3788">
        <v>3</v>
      </c>
      <c r="P3788">
        <v>2</v>
      </c>
      <c r="Q3788">
        <v>0</v>
      </c>
      <c r="R3788" t="s">
        <v>4557</v>
      </c>
      <c r="S3788" t="s">
        <v>4558</v>
      </c>
      <c r="T3788" t="s">
        <v>4559</v>
      </c>
      <c r="U3788" t="s">
        <v>4655</v>
      </c>
      <c r="V3788" s="2">
        <v>0</v>
      </c>
      <c r="W3788" t="s">
        <v>4655</v>
      </c>
      <c r="X3788" s="2">
        <v>0</v>
      </c>
      <c r="Y3788">
        <v>22</v>
      </c>
      <c r="Z3788" t="s">
        <v>5508</v>
      </c>
      <c r="AA3788" s="3">
        <v>0.36600092053413402</v>
      </c>
      <c r="AB3788" t="s">
        <v>20692</v>
      </c>
      <c r="AC3788" t="s">
        <v>4562</v>
      </c>
      <c r="AD3788" t="s">
        <v>20691</v>
      </c>
      <c r="AE3788" t="s">
        <v>4655</v>
      </c>
      <c r="AF3788" t="s">
        <v>1600</v>
      </c>
      <c r="AG3788" t="s">
        <v>4564</v>
      </c>
      <c r="AH3788" t="s">
        <v>1601</v>
      </c>
      <c r="AI3788" t="s">
        <v>20693</v>
      </c>
      <c r="AJ3788" t="s">
        <v>4655</v>
      </c>
      <c r="AK3788" t="s">
        <v>20694</v>
      </c>
      <c r="AL3788" s="13" t="s">
        <v>1898</v>
      </c>
      <c r="AM3788">
        <v>1</v>
      </c>
      <c r="AN3788" s="15" t="s">
        <v>2528</v>
      </c>
    </row>
    <row r="3789" spans="1:40" x14ac:dyDescent="0.3">
      <c r="A3789" s="10" t="str">
        <f>HYPERLINK("http://www.washoecounty.gov/assessor/cama/?parid=085-640-29&amp;CardNumber=1","085-640-29")</f>
        <v>085-640-29</v>
      </c>
      <c r="B3789" t="s">
        <v>4655</v>
      </c>
      <c r="C3789" t="s">
        <v>20695</v>
      </c>
      <c r="D3789" s="1">
        <v>40249</v>
      </c>
      <c r="E3789" s="2">
        <v>54100</v>
      </c>
      <c r="F3789" t="s">
        <v>4553</v>
      </c>
      <c r="G3789" s="17" t="str">
        <f>HYPERLINK("https://www.washoecounty.gov/assessor/cama/?command=sales&amp;parid=08564029","3859489")</f>
        <v>3859489</v>
      </c>
      <c r="H3789" t="s">
        <v>294</v>
      </c>
      <c r="I3789">
        <v>1990</v>
      </c>
      <c r="J3789">
        <v>1990</v>
      </c>
      <c r="K3789" t="s">
        <v>4847</v>
      </c>
      <c r="L3789" t="s">
        <v>4555</v>
      </c>
      <c r="M3789" s="2">
        <v>1680</v>
      </c>
      <c r="N3789" t="s">
        <v>5280</v>
      </c>
      <c r="O3789">
        <v>3</v>
      </c>
      <c r="P3789">
        <v>2</v>
      </c>
      <c r="Q3789">
        <v>0</v>
      </c>
      <c r="R3789" t="s">
        <v>4557</v>
      </c>
      <c r="S3789" t="s">
        <v>4558</v>
      </c>
      <c r="T3789" t="s">
        <v>4559</v>
      </c>
      <c r="U3789" t="s">
        <v>4655</v>
      </c>
      <c r="V3789" s="2">
        <v>0</v>
      </c>
      <c r="W3789" t="s">
        <v>4655</v>
      </c>
      <c r="X3789" s="2">
        <v>0</v>
      </c>
      <c r="Y3789">
        <v>22</v>
      </c>
      <c r="Z3789" t="s">
        <v>5508</v>
      </c>
      <c r="AA3789" s="3">
        <v>0.34999999403953602</v>
      </c>
      <c r="AB3789" t="s">
        <v>20696</v>
      </c>
      <c r="AC3789" t="s">
        <v>4562</v>
      </c>
      <c r="AD3789" t="s">
        <v>20695</v>
      </c>
      <c r="AE3789" t="s">
        <v>4655</v>
      </c>
      <c r="AF3789" t="s">
        <v>1600</v>
      </c>
      <c r="AG3789" t="s">
        <v>4564</v>
      </c>
      <c r="AH3789" t="s">
        <v>1601</v>
      </c>
      <c r="AI3789" t="s">
        <v>4848</v>
      </c>
      <c r="AJ3789" t="s">
        <v>4655</v>
      </c>
      <c r="AK3789" t="s">
        <v>20697</v>
      </c>
      <c r="AL3789" s="13" t="s">
        <v>1898</v>
      </c>
      <c r="AM3789">
        <v>1</v>
      </c>
      <c r="AN3789" s="15" t="s">
        <v>2528</v>
      </c>
    </row>
    <row r="3790" spans="1:40" x14ac:dyDescent="0.3">
      <c r="A3790" s="10" t="str">
        <f>HYPERLINK("http://www.washoecounty.gov/assessor/cama/?parid=085-650-24&amp;CardNumber=1","085-650-24")</f>
        <v>085-650-24</v>
      </c>
      <c r="B3790" t="s">
        <v>4655</v>
      </c>
      <c r="C3790" t="s">
        <v>20698</v>
      </c>
      <c r="D3790" s="1">
        <v>40479</v>
      </c>
      <c r="E3790" s="2">
        <v>68000</v>
      </c>
      <c r="F3790" t="s">
        <v>4553</v>
      </c>
      <c r="G3790" s="17" t="str">
        <f>HYPERLINK("https://www.washoecounty.gov/assessor/cama/?command=sales&amp;parid=08565024","3937765")</f>
        <v>3937765</v>
      </c>
      <c r="H3790" t="s">
        <v>20699</v>
      </c>
      <c r="I3790">
        <v>1997</v>
      </c>
      <c r="J3790">
        <v>1997</v>
      </c>
      <c r="K3790" t="s">
        <v>4847</v>
      </c>
      <c r="L3790" t="s">
        <v>4555</v>
      </c>
      <c r="M3790" s="2">
        <v>1716</v>
      </c>
      <c r="N3790" t="s">
        <v>3147</v>
      </c>
      <c r="O3790">
        <v>3</v>
      </c>
      <c r="P3790">
        <v>2</v>
      </c>
      <c r="Q3790">
        <v>0</v>
      </c>
      <c r="R3790" t="s">
        <v>4557</v>
      </c>
      <c r="S3790" t="s">
        <v>4558</v>
      </c>
      <c r="T3790" t="s">
        <v>4559</v>
      </c>
      <c r="U3790" t="s">
        <v>4655</v>
      </c>
      <c r="V3790" s="2">
        <v>0</v>
      </c>
      <c r="W3790" t="s">
        <v>4655</v>
      </c>
      <c r="X3790" s="2">
        <v>0</v>
      </c>
      <c r="Y3790">
        <v>22</v>
      </c>
      <c r="Z3790" t="s">
        <v>5508</v>
      </c>
      <c r="AA3790" s="3">
        <v>0.44999998807907099</v>
      </c>
      <c r="AB3790" t="s">
        <v>20700</v>
      </c>
      <c r="AC3790" t="s">
        <v>4562</v>
      </c>
      <c r="AD3790" t="s">
        <v>20701</v>
      </c>
      <c r="AE3790" t="s">
        <v>4655</v>
      </c>
      <c r="AF3790" t="s">
        <v>1570</v>
      </c>
      <c r="AG3790" t="s">
        <v>4564</v>
      </c>
      <c r="AH3790" t="s">
        <v>1601</v>
      </c>
      <c r="AI3790" t="s">
        <v>2351</v>
      </c>
      <c r="AJ3790" t="s">
        <v>4655</v>
      </c>
      <c r="AK3790" t="s">
        <v>20702</v>
      </c>
      <c r="AL3790" s="13" t="s">
        <v>1898</v>
      </c>
      <c r="AM3790">
        <v>1</v>
      </c>
      <c r="AN3790" s="15" t="s">
        <v>2528</v>
      </c>
    </row>
    <row r="3791" spans="1:40" x14ac:dyDescent="0.3">
      <c r="A3791" s="10" t="str">
        <f>HYPERLINK("http://www.washoecounty.gov/assessor/cama/?parid=085-660-29&amp;CardNumber=1","085-660-29")</f>
        <v>085-660-29</v>
      </c>
      <c r="B3791" t="s">
        <v>4655</v>
      </c>
      <c r="C3791" t="s">
        <v>20703</v>
      </c>
      <c r="D3791" s="1">
        <v>40214</v>
      </c>
      <c r="E3791" s="2">
        <v>45000</v>
      </c>
      <c r="F3791" t="s">
        <v>4567</v>
      </c>
      <c r="G3791" s="17" t="str">
        <f>HYPERLINK("https://www.washoecounty.gov/assessor/cama/?command=sales&amp;parid=08566029","3846396")</f>
        <v>3846396</v>
      </c>
      <c r="H3791" t="s">
        <v>20704</v>
      </c>
      <c r="I3791">
        <v>0</v>
      </c>
      <c r="J3791">
        <v>0</v>
      </c>
      <c r="K3791" t="s">
        <v>4655</v>
      </c>
      <c r="L3791" t="s">
        <v>4655</v>
      </c>
      <c r="M3791" s="2">
        <v>0</v>
      </c>
      <c r="N3791" t="s">
        <v>4655</v>
      </c>
      <c r="O3791">
        <v>0</v>
      </c>
      <c r="P3791">
        <v>0</v>
      </c>
      <c r="Q3791">
        <v>0</v>
      </c>
      <c r="R3791" t="s">
        <v>4655</v>
      </c>
      <c r="S3791" t="s">
        <v>4655</v>
      </c>
      <c r="T3791" t="s">
        <v>4655</v>
      </c>
      <c r="U3791" t="s">
        <v>4655</v>
      </c>
      <c r="V3791" s="2">
        <v>0</v>
      </c>
      <c r="W3791" t="s">
        <v>4655</v>
      </c>
      <c r="X3791" s="2">
        <v>0</v>
      </c>
      <c r="Y3791">
        <v>23</v>
      </c>
      <c r="Z3791" t="s">
        <v>5508</v>
      </c>
      <c r="AA3791" s="3">
        <v>0.39600551128387501</v>
      </c>
      <c r="AB3791" t="s">
        <v>20705</v>
      </c>
      <c r="AC3791" t="s">
        <v>4575</v>
      </c>
      <c r="AD3791" t="s">
        <v>20706</v>
      </c>
      <c r="AE3791" t="s">
        <v>4655</v>
      </c>
      <c r="AF3791" t="s">
        <v>20707</v>
      </c>
      <c r="AG3791" t="s">
        <v>4584</v>
      </c>
      <c r="AH3791">
        <v>90638</v>
      </c>
      <c r="AI3791" t="s">
        <v>20708</v>
      </c>
      <c r="AJ3791" t="s">
        <v>4655</v>
      </c>
      <c r="AK3791" t="s">
        <v>20709</v>
      </c>
      <c r="AL3791" s="13" t="s">
        <v>1898</v>
      </c>
      <c r="AM3791">
        <v>0</v>
      </c>
      <c r="AN3791" s="15" t="s">
        <v>2528</v>
      </c>
    </row>
    <row r="3792" spans="1:40" x14ac:dyDescent="0.3">
      <c r="A3792" s="10" t="str">
        <f>HYPERLINK("http://www.washoecounty.gov/assessor/cama/?parid=085-660-43&amp;CardNumber=1","085-660-43")</f>
        <v>085-660-43</v>
      </c>
      <c r="B3792" t="s">
        <v>4655</v>
      </c>
      <c r="C3792" t="s">
        <v>20710</v>
      </c>
      <c r="D3792" s="1">
        <v>40478</v>
      </c>
      <c r="E3792" s="2">
        <v>83000</v>
      </c>
      <c r="F3792" t="s">
        <v>4553</v>
      </c>
      <c r="G3792" s="17" t="str">
        <f>HYPERLINK("https://www.washoecounty.gov/assessor/cama/?command=sales&amp;parid=08566043","3936806")</f>
        <v>3936806</v>
      </c>
      <c r="H3792" t="s">
        <v>20711</v>
      </c>
      <c r="I3792">
        <v>2007</v>
      </c>
      <c r="J3792">
        <v>2007</v>
      </c>
      <c r="K3792" t="s">
        <v>4847</v>
      </c>
      <c r="L3792" t="s">
        <v>4555</v>
      </c>
      <c r="M3792" s="2">
        <v>1884</v>
      </c>
      <c r="N3792" t="s">
        <v>4048</v>
      </c>
      <c r="O3792">
        <v>3</v>
      </c>
      <c r="P3792">
        <v>2</v>
      </c>
      <c r="Q3792">
        <v>1</v>
      </c>
      <c r="R3792" t="s">
        <v>4557</v>
      </c>
      <c r="S3792" t="s">
        <v>4558</v>
      </c>
      <c r="T3792" t="s">
        <v>4559</v>
      </c>
      <c r="U3792" t="s">
        <v>4655</v>
      </c>
      <c r="V3792" s="2">
        <v>0</v>
      </c>
      <c r="W3792" t="s">
        <v>4655</v>
      </c>
      <c r="X3792" s="2">
        <v>0</v>
      </c>
      <c r="Y3792">
        <v>22</v>
      </c>
      <c r="Z3792" t="s">
        <v>5508</v>
      </c>
      <c r="AA3792" s="3">
        <v>0.38000458478927601</v>
      </c>
      <c r="AB3792" t="s">
        <v>20712</v>
      </c>
      <c r="AC3792" t="s">
        <v>4575</v>
      </c>
      <c r="AD3792" t="s">
        <v>20713</v>
      </c>
      <c r="AE3792" t="s">
        <v>4655</v>
      </c>
      <c r="AF3792" t="s">
        <v>1600</v>
      </c>
      <c r="AG3792" t="s">
        <v>4564</v>
      </c>
      <c r="AH3792" t="s">
        <v>1601</v>
      </c>
      <c r="AI3792" t="s">
        <v>4903</v>
      </c>
      <c r="AJ3792" t="s">
        <v>20714</v>
      </c>
      <c r="AK3792" t="s">
        <v>20715</v>
      </c>
      <c r="AL3792" s="13" t="s">
        <v>1898</v>
      </c>
      <c r="AM3792">
        <v>1</v>
      </c>
      <c r="AN3792" s="15" t="s">
        <v>2528</v>
      </c>
    </row>
    <row r="3793" spans="1:40" x14ac:dyDescent="0.3">
      <c r="A3793" s="10" t="str">
        <f>HYPERLINK("http://www.washoecounty.gov/assessor/cama/?parid=085-702-18&amp;CardNumber=1","085-702-18")</f>
        <v>085-702-18</v>
      </c>
      <c r="B3793" t="s">
        <v>4655</v>
      </c>
      <c r="C3793" t="s">
        <v>20716</v>
      </c>
      <c r="D3793" s="1">
        <v>40252</v>
      </c>
      <c r="E3793" s="2">
        <v>52000</v>
      </c>
      <c r="F3793" t="s">
        <v>4567</v>
      </c>
      <c r="G3793" s="17" t="str">
        <f>HYPERLINK("https://www.washoecounty.gov/assessor/cama/?command=sales&amp;parid=08570218","3860064")</f>
        <v>3860064</v>
      </c>
      <c r="H3793" t="s">
        <v>20717</v>
      </c>
      <c r="I3793">
        <v>1970</v>
      </c>
      <c r="J3793">
        <v>1970</v>
      </c>
      <c r="K3793" t="s">
        <v>4847</v>
      </c>
      <c r="L3793" t="s">
        <v>4555</v>
      </c>
      <c r="M3793" s="2">
        <v>1440</v>
      </c>
      <c r="N3793" t="s">
        <v>4556</v>
      </c>
      <c r="O3793">
        <v>3</v>
      </c>
      <c r="P3793">
        <v>2</v>
      </c>
      <c r="Q3793">
        <v>0</v>
      </c>
      <c r="R3793" t="s">
        <v>4557</v>
      </c>
      <c r="S3793" t="s">
        <v>1155</v>
      </c>
      <c r="T3793" t="s">
        <v>3888</v>
      </c>
      <c r="U3793" t="s">
        <v>4655</v>
      </c>
      <c r="V3793" s="2">
        <v>0</v>
      </c>
      <c r="W3793" t="s">
        <v>4655</v>
      </c>
      <c r="X3793" s="2">
        <v>0</v>
      </c>
      <c r="Y3793">
        <v>31</v>
      </c>
      <c r="Z3793" t="s">
        <v>5508</v>
      </c>
      <c r="AA3793" s="3">
        <v>0.38999080657959001</v>
      </c>
      <c r="AB3793" t="s">
        <v>20718</v>
      </c>
      <c r="AC3793" t="s">
        <v>4575</v>
      </c>
      <c r="AD3793" t="s">
        <v>20719</v>
      </c>
      <c r="AE3793" t="s">
        <v>4655</v>
      </c>
      <c r="AF3793" t="s">
        <v>4563</v>
      </c>
      <c r="AG3793" t="s">
        <v>4564</v>
      </c>
      <c r="AH3793">
        <v>89502</v>
      </c>
      <c r="AI3793" t="s">
        <v>7799</v>
      </c>
      <c r="AJ3793" t="s">
        <v>4655</v>
      </c>
      <c r="AK3793" t="s">
        <v>20720</v>
      </c>
      <c r="AL3793" s="13" t="s">
        <v>1898</v>
      </c>
      <c r="AM3793">
        <v>1</v>
      </c>
      <c r="AN3793" s="15" t="s">
        <v>2528</v>
      </c>
    </row>
    <row r="3794" spans="1:40" x14ac:dyDescent="0.3">
      <c r="A3794" s="10" t="str">
        <f>HYPERLINK("http://www.washoecounty.gov/assessor/cama/?parid=085-702-26&amp;CardNumber=1","085-702-26")</f>
        <v>085-702-26</v>
      </c>
      <c r="B3794" t="s">
        <v>4655</v>
      </c>
      <c r="C3794" t="s">
        <v>20721</v>
      </c>
      <c r="D3794" s="1">
        <v>40462</v>
      </c>
      <c r="E3794" s="2">
        <v>111358</v>
      </c>
      <c r="F3794" t="s">
        <v>4567</v>
      </c>
      <c r="G3794" s="17" t="str">
        <f>HYPERLINK("https://www.washoecounty.gov/assessor/cama/?command=sales&amp;parid=08570226","3931538")</f>
        <v>3931538</v>
      </c>
      <c r="H3794" t="s">
        <v>20722</v>
      </c>
      <c r="I3794">
        <v>0</v>
      </c>
      <c r="J3794">
        <v>0</v>
      </c>
      <c r="K3794" t="s">
        <v>4655</v>
      </c>
      <c r="L3794" t="s">
        <v>4655</v>
      </c>
      <c r="M3794" s="2">
        <v>0</v>
      </c>
      <c r="N3794" t="s">
        <v>4655</v>
      </c>
      <c r="O3794">
        <v>0</v>
      </c>
      <c r="P3794">
        <v>0</v>
      </c>
      <c r="Q3794">
        <v>0</v>
      </c>
      <c r="R3794" t="s">
        <v>4655</v>
      </c>
      <c r="S3794" t="s">
        <v>4655</v>
      </c>
      <c r="T3794" t="s">
        <v>4655</v>
      </c>
      <c r="U3794" t="s">
        <v>4655</v>
      </c>
      <c r="V3794" s="2">
        <v>0</v>
      </c>
      <c r="W3794" t="s">
        <v>4655</v>
      </c>
      <c r="X3794" s="2">
        <v>0</v>
      </c>
      <c r="Y3794">
        <v>23</v>
      </c>
      <c r="Z3794" t="s">
        <v>5508</v>
      </c>
      <c r="AA3794" s="3">
        <v>0.38700643181800798</v>
      </c>
      <c r="AB3794" t="s">
        <v>20723</v>
      </c>
      <c r="AC3794" t="s">
        <v>4562</v>
      </c>
      <c r="AD3794" t="s">
        <v>20553</v>
      </c>
      <c r="AE3794" t="s">
        <v>4655</v>
      </c>
      <c r="AF3794" t="s">
        <v>4563</v>
      </c>
      <c r="AG3794" t="s">
        <v>4564</v>
      </c>
      <c r="AH3794">
        <v>89511</v>
      </c>
      <c r="AI3794" t="s">
        <v>4377</v>
      </c>
      <c r="AJ3794" t="s">
        <v>5457</v>
      </c>
      <c r="AK3794" t="s">
        <v>20724</v>
      </c>
      <c r="AL3794" s="13" t="s">
        <v>1898</v>
      </c>
      <c r="AM3794">
        <v>0</v>
      </c>
      <c r="AN3794" s="15" t="s">
        <v>2528</v>
      </c>
    </row>
    <row r="3795" spans="1:40" x14ac:dyDescent="0.3">
      <c r="A3795" s="10" t="str">
        <f>HYPERLINK("http://www.washoecounty.gov/assessor/cama/?parid=085-712-12&amp;CardNumber=1","085-712-12")</f>
        <v>085-712-12</v>
      </c>
      <c r="B3795" t="s">
        <v>4655</v>
      </c>
      <c r="C3795" t="s">
        <v>20725</v>
      </c>
      <c r="D3795" s="1">
        <v>40295</v>
      </c>
      <c r="E3795" s="2">
        <v>60100</v>
      </c>
      <c r="F3795" t="s">
        <v>4553</v>
      </c>
      <c r="G3795" s="17" t="str">
        <f>HYPERLINK("https://www.washoecounty.gov/assessor/cama/?command=sales&amp;parid=08571212","3875284")</f>
        <v>3875284</v>
      </c>
      <c r="H3795" t="s">
        <v>20726</v>
      </c>
      <c r="I3795">
        <v>1998</v>
      </c>
      <c r="J3795">
        <v>1998</v>
      </c>
      <c r="K3795" t="s">
        <v>4847</v>
      </c>
      <c r="L3795" t="s">
        <v>4555</v>
      </c>
      <c r="M3795" s="2">
        <v>1157</v>
      </c>
      <c r="N3795" t="s">
        <v>5280</v>
      </c>
      <c r="O3795">
        <v>3</v>
      </c>
      <c r="P3795">
        <v>2</v>
      </c>
      <c r="Q3795">
        <v>0</v>
      </c>
      <c r="R3795" t="s">
        <v>4557</v>
      </c>
      <c r="S3795" t="s">
        <v>4558</v>
      </c>
      <c r="T3795" t="s">
        <v>4559</v>
      </c>
      <c r="U3795" t="s">
        <v>4655</v>
      </c>
      <c r="V3795" s="2">
        <v>0</v>
      </c>
      <c r="W3795" t="s">
        <v>4655</v>
      </c>
      <c r="X3795" s="2">
        <v>0</v>
      </c>
      <c r="Y3795">
        <v>22</v>
      </c>
      <c r="Z3795" t="s">
        <v>5508</v>
      </c>
      <c r="AA3795" s="3">
        <v>0.34999999403953602</v>
      </c>
      <c r="AB3795" t="s">
        <v>20727</v>
      </c>
      <c r="AC3795" t="s">
        <v>4562</v>
      </c>
      <c r="AD3795" t="s">
        <v>20725</v>
      </c>
      <c r="AE3795" t="s">
        <v>4655</v>
      </c>
      <c r="AF3795" t="s">
        <v>1600</v>
      </c>
      <c r="AG3795" t="s">
        <v>4564</v>
      </c>
      <c r="AH3795" t="s">
        <v>1601</v>
      </c>
      <c r="AI3795" t="s">
        <v>4848</v>
      </c>
      <c r="AJ3795" t="s">
        <v>4655</v>
      </c>
      <c r="AK3795" t="s">
        <v>20728</v>
      </c>
      <c r="AL3795" s="13" t="s">
        <v>1898</v>
      </c>
      <c r="AM3795">
        <v>1</v>
      </c>
      <c r="AN3795" s="15" t="s">
        <v>2528</v>
      </c>
    </row>
    <row r="3796" spans="1:40" x14ac:dyDescent="0.3">
      <c r="A3796" s="10" t="str">
        <f>HYPERLINK("http://www.washoecounty.gov/assessor/cama/?parid=085-712-25&amp;CardNumber=1","085-712-25")</f>
        <v>085-712-25</v>
      </c>
      <c r="B3796" t="s">
        <v>4655</v>
      </c>
      <c r="C3796" t="s">
        <v>20729</v>
      </c>
      <c r="D3796" s="1">
        <v>40448</v>
      </c>
      <c r="E3796" s="2">
        <v>70000</v>
      </c>
      <c r="F3796" t="s">
        <v>4567</v>
      </c>
      <c r="G3796" s="17" t="str">
        <f>HYPERLINK("https://www.washoecounty.gov/assessor/cama/?command=sales&amp;parid=08571225","3926717")</f>
        <v>3926717</v>
      </c>
      <c r="H3796" t="s">
        <v>20730</v>
      </c>
      <c r="I3796">
        <v>0</v>
      </c>
      <c r="J3796">
        <v>0</v>
      </c>
      <c r="K3796" t="s">
        <v>4655</v>
      </c>
      <c r="L3796" t="s">
        <v>4655</v>
      </c>
      <c r="M3796" s="2">
        <v>0</v>
      </c>
      <c r="N3796" t="s">
        <v>4655</v>
      </c>
      <c r="O3796">
        <v>0</v>
      </c>
      <c r="P3796">
        <v>0</v>
      </c>
      <c r="Q3796">
        <v>0</v>
      </c>
      <c r="R3796" t="s">
        <v>4655</v>
      </c>
      <c r="S3796" t="s">
        <v>4655</v>
      </c>
      <c r="T3796" t="s">
        <v>4655</v>
      </c>
      <c r="U3796" t="s">
        <v>4655</v>
      </c>
      <c r="V3796" s="2">
        <v>0</v>
      </c>
      <c r="W3796" t="s">
        <v>4655</v>
      </c>
      <c r="X3796" s="2">
        <v>0</v>
      </c>
      <c r="Y3796">
        <v>23</v>
      </c>
      <c r="Z3796" t="s">
        <v>5508</v>
      </c>
      <c r="AA3796" s="3">
        <v>0.40101009607315102</v>
      </c>
      <c r="AB3796" t="s">
        <v>20731</v>
      </c>
      <c r="AC3796" t="s">
        <v>4562</v>
      </c>
      <c r="AD3796" t="s">
        <v>20729</v>
      </c>
      <c r="AE3796" t="s">
        <v>4655</v>
      </c>
      <c r="AF3796" t="s">
        <v>1600</v>
      </c>
      <c r="AG3796" t="s">
        <v>4564</v>
      </c>
      <c r="AH3796" t="s">
        <v>1601</v>
      </c>
      <c r="AI3796" t="s">
        <v>20732</v>
      </c>
      <c r="AJ3796" t="s">
        <v>20733</v>
      </c>
      <c r="AK3796" t="s">
        <v>20734</v>
      </c>
      <c r="AL3796" s="13" t="s">
        <v>1898</v>
      </c>
      <c r="AM3796">
        <v>0</v>
      </c>
      <c r="AN3796" s="15" t="s">
        <v>2528</v>
      </c>
    </row>
    <row r="3797" spans="1:40" x14ac:dyDescent="0.3">
      <c r="A3797" s="10" t="str">
        <f>HYPERLINK("http://www.washoecounty.gov/assessor/cama/?parid=085-730-05&amp;CardNumber=1","085-730-05")</f>
        <v>085-730-05</v>
      </c>
      <c r="B3797" t="s">
        <v>4655</v>
      </c>
      <c r="C3797" t="s">
        <v>20735</v>
      </c>
      <c r="D3797" s="1">
        <v>40483</v>
      </c>
      <c r="E3797" s="2">
        <v>45000</v>
      </c>
      <c r="F3797" t="s">
        <v>4567</v>
      </c>
      <c r="G3797" s="17" t="str">
        <f>HYPERLINK("https://www.washoecounty.gov/assessor/cama/?command=sales&amp;parid=08573005","3938735")</f>
        <v>3938735</v>
      </c>
      <c r="H3797" t="s">
        <v>20736</v>
      </c>
      <c r="I3797">
        <v>0</v>
      </c>
      <c r="J3797">
        <v>0</v>
      </c>
      <c r="K3797" t="s">
        <v>4655</v>
      </c>
      <c r="L3797" t="s">
        <v>4655</v>
      </c>
      <c r="M3797" s="2">
        <v>0</v>
      </c>
      <c r="N3797" t="s">
        <v>4655</v>
      </c>
      <c r="O3797">
        <v>0</v>
      </c>
      <c r="P3797">
        <v>0</v>
      </c>
      <c r="Q3797">
        <v>0</v>
      </c>
      <c r="R3797" t="s">
        <v>4655</v>
      </c>
      <c r="S3797" t="s">
        <v>4655</v>
      </c>
      <c r="T3797" t="s">
        <v>4655</v>
      </c>
      <c r="U3797" t="s">
        <v>4655</v>
      </c>
      <c r="V3797" s="2">
        <v>0</v>
      </c>
      <c r="W3797" t="s">
        <v>4655</v>
      </c>
      <c r="X3797" s="2">
        <v>0</v>
      </c>
      <c r="Y3797">
        <v>23</v>
      </c>
      <c r="Z3797" t="s">
        <v>5508</v>
      </c>
      <c r="AA3797" s="3">
        <v>0.40101009607315102</v>
      </c>
      <c r="AB3797" t="s">
        <v>20737</v>
      </c>
      <c r="AC3797" t="s">
        <v>4575</v>
      </c>
      <c r="AD3797" t="s">
        <v>20738</v>
      </c>
      <c r="AE3797" t="s">
        <v>4655</v>
      </c>
      <c r="AF3797" t="s">
        <v>1570</v>
      </c>
      <c r="AG3797" t="s">
        <v>4564</v>
      </c>
      <c r="AH3797" t="s">
        <v>1601</v>
      </c>
      <c r="AI3797" t="s">
        <v>4655</v>
      </c>
      <c r="AJ3797" t="s">
        <v>4655</v>
      </c>
      <c r="AK3797" t="s">
        <v>5632</v>
      </c>
      <c r="AL3797" s="13" t="s">
        <v>1898</v>
      </c>
      <c r="AM3797" s="14">
        <v>0</v>
      </c>
      <c r="AN3797" s="15" t="s">
        <v>2528</v>
      </c>
    </row>
    <row r="3798" spans="1:40" x14ac:dyDescent="0.3">
      <c r="A3798" s="10" t="str">
        <f>HYPERLINK("http://www.washoecounty.gov/assessor/cama/?parid=085-760-11&amp;CardNumber=1","085-760-11")</f>
        <v>085-760-11</v>
      </c>
      <c r="B3798" t="s">
        <v>4655</v>
      </c>
      <c r="C3798" t="s">
        <v>20739</v>
      </c>
      <c r="D3798" s="1">
        <v>40283</v>
      </c>
      <c r="E3798" s="2">
        <v>49000</v>
      </c>
      <c r="F3798" t="s">
        <v>4567</v>
      </c>
      <c r="G3798" s="17" t="str">
        <f>HYPERLINK("https://www.washoecounty.gov/assessor/cama/?command=sales&amp;parid=08576011","3871513")</f>
        <v>3871513</v>
      </c>
      <c r="H3798" t="s">
        <v>20740</v>
      </c>
      <c r="I3798">
        <v>1985</v>
      </c>
      <c r="J3798">
        <v>1985</v>
      </c>
      <c r="K3798" t="s">
        <v>4847</v>
      </c>
      <c r="L3798" t="s">
        <v>4555</v>
      </c>
      <c r="M3798" s="2">
        <v>1344</v>
      </c>
      <c r="N3798" t="s">
        <v>4048</v>
      </c>
      <c r="O3798">
        <v>3</v>
      </c>
      <c r="P3798">
        <v>2</v>
      </c>
      <c r="Q3798">
        <v>0</v>
      </c>
      <c r="R3798" t="s">
        <v>4557</v>
      </c>
      <c r="S3798" t="s">
        <v>4558</v>
      </c>
      <c r="T3798" t="s">
        <v>4559</v>
      </c>
      <c r="U3798" t="s">
        <v>4655</v>
      </c>
      <c r="V3798" s="2">
        <v>0</v>
      </c>
      <c r="W3798" t="s">
        <v>4655</v>
      </c>
      <c r="X3798" s="2">
        <v>0</v>
      </c>
      <c r="Y3798">
        <v>22</v>
      </c>
      <c r="Z3798" t="s">
        <v>5508</v>
      </c>
      <c r="AA3798" s="3">
        <v>0.34499540925025901</v>
      </c>
      <c r="AB3798" t="s">
        <v>20741</v>
      </c>
      <c r="AC3798" t="s">
        <v>4562</v>
      </c>
      <c r="AD3798" t="s">
        <v>20739</v>
      </c>
      <c r="AE3798" t="s">
        <v>4655</v>
      </c>
      <c r="AF3798" t="s">
        <v>1600</v>
      </c>
      <c r="AG3798" t="s">
        <v>4564</v>
      </c>
      <c r="AH3798" t="s">
        <v>1601</v>
      </c>
      <c r="AI3798" t="s">
        <v>20742</v>
      </c>
      <c r="AJ3798" t="s">
        <v>4655</v>
      </c>
      <c r="AK3798" t="s">
        <v>20743</v>
      </c>
      <c r="AL3798" s="13" t="s">
        <v>1898</v>
      </c>
      <c r="AM3798">
        <v>1</v>
      </c>
      <c r="AN3798" s="15" t="s">
        <v>2528</v>
      </c>
    </row>
    <row r="3799" spans="1:40" x14ac:dyDescent="0.3">
      <c r="A3799" s="10" t="str">
        <f>HYPERLINK("http://www.washoecounty.gov/assessor/cama/?parid=085-770-14&amp;CardNumber=1","085-770-14")</f>
        <v>085-770-14</v>
      </c>
      <c r="B3799" t="s">
        <v>4655</v>
      </c>
      <c r="C3799" t="s">
        <v>20744</v>
      </c>
      <c r="D3799" s="1">
        <v>40193</v>
      </c>
      <c r="E3799" s="2">
        <v>72500</v>
      </c>
      <c r="F3799" t="s">
        <v>4567</v>
      </c>
      <c r="G3799" s="17" t="str">
        <f>HYPERLINK("https://www.washoecounty.gov/assessor/cama/?command=sales&amp;parid=08577014","3840082")</f>
        <v>3840082</v>
      </c>
      <c r="H3799" t="s">
        <v>20745</v>
      </c>
      <c r="I3799">
        <v>0</v>
      </c>
      <c r="J3799">
        <v>0</v>
      </c>
      <c r="K3799" t="s">
        <v>4655</v>
      </c>
      <c r="L3799" t="s">
        <v>4655</v>
      </c>
      <c r="M3799" s="2">
        <v>0</v>
      </c>
      <c r="N3799" t="s">
        <v>4655</v>
      </c>
      <c r="O3799">
        <v>0</v>
      </c>
      <c r="P3799">
        <v>0</v>
      </c>
      <c r="Q3799">
        <v>0</v>
      </c>
      <c r="R3799" t="s">
        <v>4655</v>
      </c>
      <c r="S3799" t="s">
        <v>4655</v>
      </c>
      <c r="T3799" t="s">
        <v>4655</v>
      </c>
      <c r="U3799" t="s">
        <v>4655</v>
      </c>
      <c r="V3799" s="2">
        <v>0</v>
      </c>
      <c r="W3799" t="s">
        <v>4655</v>
      </c>
      <c r="X3799" s="2">
        <v>0</v>
      </c>
      <c r="Y3799">
        <v>23</v>
      </c>
      <c r="Z3799" t="s">
        <v>5508</v>
      </c>
      <c r="AA3799" s="3">
        <v>0.34999999403953602</v>
      </c>
      <c r="AB3799" t="s">
        <v>20746</v>
      </c>
      <c r="AC3799" t="s">
        <v>4575</v>
      </c>
      <c r="AD3799" t="s">
        <v>20747</v>
      </c>
      <c r="AE3799" t="s">
        <v>4655</v>
      </c>
      <c r="AF3799" t="s">
        <v>2526</v>
      </c>
      <c r="AG3799" t="s">
        <v>4564</v>
      </c>
      <c r="AH3799">
        <v>89408</v>
      </c>
      <c r="AI3799" t="s">
        <v>2527</v>
      </c>
      <c r="AJ3799" t="s">
        <v>4655</v>
      </c>
      <c r="AK3799" t="s">
        <v>20748</v>
      </c>
      <c r="AL3799" s="13" t="s">
        <v>1898</v>
      </c>
      <c r="AM3799" s="14">
        <v>0</v>
      </c>
      <c r="AN3799" s="15" t="s">
        <v>2528</v>
      </c>
    </row>
    <row r="3800" spans="1:40" x14ac:dyDescent="0.3">
      <c r="A3800" s="10" t="str">
        <f>HYPERLINK("http://www.washoecounty.gov/assessor/cama/?parid=085-770-24&amp;CardNumber=1","085-770-24")</f>
        <v>085-770-24</v>
      </c>
      <c r="B3800" t="s">
        <v>4655</v>
      </c>
      <c r="C3800" t="s">
        <v>20749</v>
      </c>
      <c r="D3800" s="1">
        <v>40514</v>
      </c>
      <c r="E3800" s="2">
        <v>48000</v>
      </c>
      <c r="F3800" t="s">
        <v>4553</v>
      </c>
      <c r="G3800" s="17" t="str">
        <f>HYPERLINK("https://www.washoecounty.gov/assessor/cama/?command=sales&amp;parid=08577024","3948840")</f>
        <v>3948840</v>
      </c>
      <c r="H3800" t="s">
        <v>2833</v>
      </c>
      <c r="I3800">
        <v>1991</v>
      </c>
      <c r="J3800">
        <v>1991</v>
      </c>
      <c r="K3800" t="s">
        <v>4847</v>
      </c>
      <c r="L3800" t="s">
        <v>4555</v>
      </c>
      <c r="M3800" s="2">
        <v>1612</v>
      </c>
      <c r="N3800" t="s">
        <v>3147</v>
      </c>
      <c r="O3800">
        <v>3</v>
      </c>
      <c r="P3800">
        <v>2</v>
      </c>
      <c r="Q3800">
        <v>0</v>
      </c>
      <c r="R3800" t="s">
        <v>4557</v>
      </c>
      <c r="S3800" t="s">
        <v>4558</v>
      </c>
      <c r="T3800" t="s">
        <v>4559</v>
      </c>
      <c r="U3800" t="s">
        <v>4655</v>
      </c>
      <c r="V3800" s="2">
        <v>0</v>
      </c>
      <c r="W3800" t="s">
        <v>4655</v>
      </c>
      <c r="X3800" s="2">
        <v>0</v>
      </c>
      <c r="Y3800">
        <v>22</v>
      </c>
      <c r="Z3800" t="s">
        <v>5508</v>
      </c>
      <c r="AA3800" s="3">
        <v>0.41600093245506298</v>
      </c>
      <c r="AB3800" t="s">
        <v>20750</v>
      </c>
      <c r="AC3800" t="s">
        <v>4562</v>
      </c>
      <c r="AD3800" t="s">
        <v>20749</v>
      </c>
      <c r="AE3800" t="s">
        <v>4655</v>
      </c>
      <c r="AF3800" t="s">
        <v>1570</v>
      </c>
      <c r="AG3800" t="s">
        <v>4564</v>
      </c>
      <c r="AH3800" t="s">
        <v>1601</v>
      </c>
      <c r="AI3800" t="s">
        <v>20751</v>
      </c>
      <c r="AJ3800" t="s">
        <v>4655</v>
      </c>
      <c r="AK3800" t="s">
        <v>20752</v>
      </c>
      <c r="AL3800" s="13" t="s">
        <v>1898</v>
      </c>
      <c r="AM3800">
        <v>1</v>
      </c>
      <c r="AN3800" s="15" t="s">
        <v>2528</v>
      </c>
    </row>
    <row r="3801" spans="1:40" x14ac:dyDescent="0.3">
      <c r="A3801" s="10" t="str">
        <f>HYPERLINK("http://www.washoecounty.gov/assessor/cama/?parid=085-780-34&amp;CardNumber=1","085-780-34")</f>
        <v>085-780-34</v>
      </c>
      <c r="B3801" t="s">
        <v>4655</v>
      </c>
      <c r="C3801" t="s">
        <v>20753</v>
      </c>
      <c r="D3801" s="1">
        <v>40385</v>
      </c>
      <c r="E3801" s="2">
        <v>185000</v>
      </c>
      <c r="F3801" t="s">
        <v>4553</v>
      </c>
      <c r="G3801" s="17" t="str">
        <f>HYPERLINK("https://www.washoecounty.gov/assessor/cama/?command=sales&amp;parid=08578034","3904631")</f>
        <v>3904631</v>
      </c>
      <c r="H3801" t="s">
        <v>20754</v>
      </c>
      <c r="I3801">
        <v>1981</v>
      </c>
      <c r="J3801">
        <v>1981</v>
      </c>
      <c r="K3801" t="s">
        <v>4554</v>
      </c>
      <c r="L3801" t="s">
        <v>4555</v>
      </c>
      <c r="M3801" s="2">
        <v>1536</v>
      </c>
      <c r="N3801" t="s">
        <v>4048</v>
      </c>
      <c r="O3801">
        <v>3</v>
      </c>
      <c r="P3801">
        <v>2</v>
      </c>
      <c r="Q3801">
        <v>0</v>
      </c>
      <c r="R3801" t="s">
        <v>4557</v>
      </c>
      <c r="S3801" t="s">
        <v>4558</v>
      </c>
      <c r="T3801" t="s">
        <v>4559</v>
      </c>
      <c r="U3801" t="s">
        <v>4655</v>
      </c>
      <c r="V3801" s="2">
        <v>0</v>
      </c>
      <c r="W3801" t="s">
        <v>3149</v>
      </c>
      <c r="X3801" s="2">
        <v>1536</v>
      </c>
      <c r="Y3801">
        <v>20</v>
      </c>
      <c r="Z3801" t="s">
        <v>5508</v>
      </c>
      <c r="AA3801" s="3">
        <v>0.57499998807907104</v>
      </c>
      <c r="AB3801" t="s">
        <v>20755</v>
      </c>
      <c r="AC3801" t="s">
        <v>4562</v>
      </c>
      <c r="AD3801" t="s">
        <v>20756</v>
      </c>
      <c r="AE3801" t="s">
        <v>4655</v>
      </c>
      <c r="AF3801" t="s">
        <v>1600</v>
      </c>
      <c r="AG3801" t="s">
        <v>4564</v>
      </c>
      <c r="AH3801" t="s">
        <v>1601</v>
      </c>
      <c r="AI3801" t="s">
        <v>3010</v>
      </c>
      <c r="AJ3801" t="s">
        <v>4655</v>
      </c>
      <c r="AK3801" t="s">
        <v>20757</v>
      </c>
      <c r="AL3801" s="13" t="s">
        <v>1898</v>
      </c>
      <c r="AM3801">
        <v>1</v>
      </c>
      <c r="AN3801" s="15" t="s">
        <v>2528</v>
      </c>
    </row>
    <row r="3802" spans="1:40" x14ac:dyDescent="0.3">
      <c r="A3802" s="10" t="str">
        <f>HYPERLINK("http://www.washoecounty.gov/assessor/cama/?parid=085-780-40&amp;CardNumber=1","085-780-40")</f>
        <v>085-780-40</v>
      </c>
      <c r="B3802" t="s">
        <v>4655</v>
      </c>
      <c r="C3802" t="s">
        <v>20758</v>
      </c>
      <c r="D3802" s="1">
        <v>40262</v>
      </c>
      <c r="E3802" s="2">
        <v>65100</v>
      </c>
      <c r="F3802" t="s">
        <v>4553</v>
      </c>
      <c r="G3802" s="17" t="str">
        <f>HYPERLINK("https://www.washoecounty.gov/assessor/cama/?command=sales&amp;parid=08578040","3864155")</f>
        <v>3864155</v>
      </c>
      <c r="H3802" t="s">
        <v>2208</v>
      </c>
      <c r="I3802">
        <v>1996</v>
      </c>
      <c r="J3802">
        <v>1996</v>
      </c>
      <c r="K3802" t="s">
        <v>4847</v>
      </c>
      <c r="L3802" t="s">
        <v>4555</v>
      </c>
      <c r="M3802" s="2">
        <v>1292</v>
      </c>
      <c r="N3802" t="s">
        <v>3147</v>
      </c>
      <c r="O3802">
        <v>3</v>
      </c>
      <c r="P3802">
        <v>2</v>
      </c>
      <c r="Q3802">
        <v>0</v>
      </c>
      <c r="R3802" t="s">
        <v>4557</v>
      </c>
      <c r="S3802" t="s">
        <v>4558</v>
      </c>
      <c r="T3802" t="s">
        <v>4559</v>
      </c>
      <c r="U3802" t="s">
        <v>4655</v>
      </c>
      <c r="V3802" s="2">
        <v>0</v>
      </c>
      <c r="W3802" t="s">
        <v>4655</v>
      </c>
      <c r="X3802" s="2">
        <v>0</v>
      </c>
      <c r="Y3802">
        <v>22</v>
      </c>
      <c r="Z3802" t="s">
        <v>5508</v>
      </c>
      <c r="AA3802" s="3">
        <v>0.28099173307418801</v>
      </c>
      <c r="AB3802" t="s">
        <v>20759</v>
      </c>
      <c r="AC3802" t="s">
        <v>4575</v>
      </c>
      <c r="AD3802" t="s">
        <v>20758</v>
      </c>
      <c r="AE3802" t="s">
        <v>4655</v>
      </c>
      <c r="AF3802" t="s">
        <v>1600</v>
      </c>
      <c r="AG3802" t="s">
        <v>4564</v>
      </c>
      <c r="AH3802" t="s">
        <v>1601</v>
      </c>
      <c r="AI3802" t="s">
        <v>4848</v>
      </c>
      <c r="AJ3802" t="s">
        <v>2209</v>
      </c>
      <c r="AK3802" t="s">
        <v>20760</v>
      </c>
      <c r="AL3802" s="13" t="s">
        <v>1898</v>
      </c>
      <c r="AM3802">
        <v>1</v>
      </c>
      <c r="AN3802" s="15" t="s">
        <v>2528</v>
      </c>
    </row>
    <row r="3803" spans="1:40" x14ac:dyDescent="0.3">
      <c r="A3803" s="10" t="str">
        <f>HYPERLINK("http://www.washoecounty.gov/assessor/cama/?parid=085-780-41&amp;CardNumber=1","085-780-41")</f>
        <v>085-780-41</v>
      </c>
      <c r="B3803" t="s">
        <v>4655</v>
      </c>
      <c r="C3803" t="s">
        <v>20761</v>
      </c>
      <c r="D3803" s="1">
        <v>40305</v>
      </c>
      <c r="E3803" s="2">
        <v>99906</v>
      </c>
      <c r="F3803" t="s">
        <v>3528</v>
      </c>
      <c r="G3803" s="17" t="str">
        <f>HYPERLINK("https://www.washoecounty.gov/assessor/cama/?command=sales&amp;parid=08578041","3879185")</f>
        <v>3879185</v>
      </c>
      <c r="H3803" t="s">
        <v>2208</v>
      </c>
      <c r="I3803">
        <v>0</v>
      </c>
      <c r="J3803">
        <v>0</v>
      </c>
      <c r="K3803" t="s">
        <v>4655</v>
      </c>
      <c r="L3803" t="s">
        <v>4655</v>
      </c>
      <c r="M3803" s="2">
        <v>0</v>
      </c>
      <c r="N3803" t="s">
        <v>4655</v>
      </c>
      <c r="O3803">
        <v>0</v>
      </c>
      <c r="P3803">
        <v>0</v>
      </c>
      <c r="Q3803">
        <v>0</v>
      </c>
      <c r="R3803" t="s">
        <v>4655</v>
      </c>
      <c r="S3803" t="s">
        <v>4655</v>
      </c>
      <c r="T3803" t="s">
        <v>4655</v>
      </c>
      <c r="U3803" t="s">
        <v>4655</v>
      </c>
      <c r="V3803" s="2">
        <v>0</v>
      </c>
      <c r="W3803" t="s">
        <v>4655</v>
      </c>
      <c r="X3803" s="2">
        <v>0</v>
      </c>
      <c r="Y3803">
        <v>23</v>
      </c>
      <c r="Z3803" t="s">
        <v>5508</v>
      </c>
      <c r="AA3803" s="3">
        <v>0.35101011395454401</v>
      </c>
      <c r="AB3803" t="s">
        <v>20762</v>
      </c>
      <c r="AC3803" t="s">
        <v>4562</v>
      </c>
      <c r="AD3803" t="s">
        <v>20761</v>
      </c>
      <c r="AE3803" t="s">
        <v>4655</v>
      </c>
      <c r="AF3803" t="s">
        <v>1600</v>
      </c>
      <c r="AG3803" t="s">
        <v>4564</v>
      </c>
      <c r="AH3803" t="s">
        <v>1601</v>
      </c>
      <c r="AI3803" t="s">
        <v>4655</v>
      </c>
      <c r="AJ3803" t="s">
        <v>2209</v>
      </c>
      <c r="AK3803" t="s">
        <v>20763</v>
      </c>
      <c r="AL3803" s="13" t="s">
        <v>1898</v>
      </c>
      <c r="AM3803">
        <v>0</v>
      </c>
      <c r="AN3803" s="15" t="s">
        <v>2528</v>
      </c>
    </row>
    <row r="3804" spans="1:40" x14ac:dyDescent="0.3">
      <c r="A3804" s="10" t="str">
        <f>HYPERLINK("http://www.washoecounty.gov/assessor/cama/?parid=085-780-49&amp;CardNumber=1","085-780-49")</f>
        <v>085-780-49</v>
      </c>
      <c r="B3804" t="s">
        <v>4655</v>
      </c>
      <c r="C3804" t="s">
        <v>20764</v>
      </c>
      <c r="D3804" s="1">
        <v>40441</v>
      </c>
      <c r="E3804" s="2">
        <v>105000</v>
      </c>
      <c r="F3804" t="s">
        <v>4567</v>
      </c>
      <c r="G3804" s="17" t="str">
        <f>HYPERLINK("https://www.washoecounty.gov/assessor/cama/?command=sales&amp;parid=08578049","3924074")</f>
        <v>3924074</v>
      </c>
      <c r="H3804" t="s">
        <v>5460</v>
      </c>
      <c r="I3804">
        <v>1996</v>
      </c>
      <c r="J3804">
        <v>1996</v>
      </c>
      <c r="K3804" t="s">
        <v>4847</v>
      </c>
      <c r="L3804" t="s">
        <v>4555</v>
      </c>
      <c r="M3804" s="2">
        <v>1716</v>
      </c>
      <c r="N3804" t="s">
        <v>4048</v>
      </c>
      <c r="O3804">
        <v>3</v>
      </c>
      <c r="P3804">
        <v>2</v>
      </c>
      <c r="Q3804">
        <v>0</v>
      </c>
      <c r="R3804" t="s">
        <v>4557</v>
      </c>
      <c r="S3804" t="s">
        <v>4558</v>
      </c>
      <c r="T3804" t="s">
        <v>4559</v>
      </c>
      <c r="U3804" t="s">
        <v>4655</v>
      </c>
      <c r="V3804" s="2">
        <v>0</v>
      </c>
      <c r="W3804" t="s">
        <v>4655</v>
      </c>
      <c r="X3804" s="2">
        <v>0</v>
      </c>
      <c r="Y3804">
        <v>23</v>
      </c>
      <c r="Z3804" t="s">
        <v>5508</v>
      </c>
      <c r="AA3804" s="3">
        <v>0.38500916957855202</v>
      </c>
      <c r="AB3804" t="s">
        <v>20765</v>
      </c>
      <c r="AC3804" t="s">
        <v>4562</v>
      </c>
      <c r="AD3804" t="s">
        <v>20766</v>
      </c>
      <c r="AE3804" t="s">
        <v>4655</v>
      </c>
      <c r="AF3804" t="s">
        <v>1570</v>
      </c>
      <c r="AG3804" t="s">
        <v>4564</v>
      </c>
      <c r="AH3804" t="s">
        <v>1601</v>
      </c>
      <c r="AI3804" t="s">
        <v>20767</v>
      </c>
      <c r="AJ3804" t="s">
        <v>20768</v>
      </c>
      <c r="AK3804" t="s">
        <v>20769</v>
      </c>
      <c r="AL3804" s="13" t="s">
        <v>1898</v>
      </c>
      <c r="AM3804">
        <v>1</v>
      </c>
      <c r="AN3804" s="15" t="s">
        <v>2528</v>
      </c>
    </row>
    <row r="3805" spans="1:40" x14ac:dyDescent="0.3">
      <c r="A3805" s="10" t="str">
        <f>HYPERLINK("http://www.washoecounty.gov/assessor/cama/?parid=085-790-52&amp;CardNumber=1","085-790-52")</f>
        <v>085-790-52</v>
      </c>
      <c r="B3805" t="s">
        <v>4655</v>
      </c>
      <c r="C3805" t="s">
        <v>20770</v>
      </c>
      <c r="D3805" s="1">
        <v>40466</v>
      </c>
      <c r="E3805" s="2">
        <v>79000</v>
      </c>
      <c r="F3805" t="s">
        <v>4567</v>
      </c>
      <c r="G3805" s="17" t="str">
        <f>HYPERLINK("https://www.washoecounty.gov/assessor/cama/?command=sales&amp;parid=08579052","3933309")</f>
        <v>3933309</v>
      </c>
      <c r="H3805" t="s">
        <v>20771</v>
      </c>
      <c r="I3805">
        <v>2003</v>
      </c>
      <c r="J3805">
        <v>2003</v>
      </c>
      <c r="K3805" t="s">
        <v>4847</v>
      </c>
      <c r="L3805" t="s">
        <v>4555</v>
      </c>
      <c r="M3805" s="2">
        <v>1344</v>
      </c>
      <c r="N3805" t="s">
        <v>4048</v>
      </c>
      <c r="O3805">
        <v>3</v>
      </c>
      <c r="P3805">
        <v>2</v>
      </c>
      <c r="Q3805">
        <v>0</v>
      </c>
      <c r="R3805" t="s">
        <v>4557</v>
      </c>
      <c r="S3805" t="s">
        <v>4558</v>
      </c>
      <c r="T3805" t="s">
        <v>4559</v>
      </c>
      <c r="U3805" t="s">
        <v>4655</v>
      </c>
      <c r="V3805" s="2">
        <v>0</v>
      </c>
      <c r="W3805" t="s">
        <v>4655</v>
      </c>
      <c r="X3805" s="2">
        <v>0</v>
      </c>
      <c r="Y3805">
        <v>22</v>
      </c>
      <c r="Z3805" t="s">
        <v>5508</v>
      </c>
      <c r="AA3805" s="3">
        <v>0.44898989796638489</v>
      </c>
      <c r="AB3805" t="s">
        <v>20772</v>
      </c>
      <c r="AC3805" t="s">
        <v>4575</v>
      </c>
      <c r="AD3805" t="s">
        <v>20770</v>
      </c>
      <c r="AE3805" t="s">
        <v>4655</v>
      </c>
      <c r="AF3805" t="s">
        <v>1600</v>
      </c>
      <c r="AG3805" t="s">
        <v>4564</v>
      </c>
      <c r="AH3805" t="s">
        <v>1601</v>
      </c>
      <c r="AI3805" t="s">
        <v>20773</v>
      </c>
      <c r="AJ3805" t="s">
        <v>20774</v>
      </c>
      <c r="AK3805" t="s">
        <v>20775</v>
      </c>
      <c r="AL3805" s="13" t="s">
        <v>1898</v>
      </c>
      <c r="AM3805">
        <v>1</v>
      </c>
      <c r="AN3805" s="15" t="s">
        <v>2528</v>
      </c>
    </row>
    <row r="3806" spans="1:40" x14ac:dyDescent="0.3">
      <c r="A3806" s="10" t="str">
        <f>HYPERLINK("http://www.washoecounty.gov/assessor/cama/?parid=085-802-30&amp;CardNumber=1","085-802-30")</f>
        <v>085-802-30</v>
      </c>
      <c r="B3806" t="s">
        <v>4655</v>
      </c>
      <c r="C3806" t="s">
        <v>20776</v>
      </c>
      <c r="D3806" s="1">
        <v>40515</v>
      </c>
      <c r="E3806" s="2">
        <v>57000</v>
      </c>
      <c r="F3806" t="s">
        <v>4567</v>
      </c>
      <c r="G3806" s="17" t="str">
        <f>HYPERLINK("https://www.washoecounty.gov/assessor/cama/?command=sales&amp;parid=08580230","3949286")</f>
        <v>3949286</v>
      </c>
      <c r="H3806" t="s">
        <v>20777</v>
      </c>
      <c r="I3806">
        <v>1997</v>
      </c>
      <c r="J3806">
        <v>1997</v>
      </c>
      <c r="K3806" t="s">
        <v>4847</v>
      </c>
      <c r="L3806" t="s">
        <v>4555</v>
      </c>
      <c r="M3806" s="2">
        <v>1380</v>
      </c>
      <c r="N3806" t="s">
        <v>3147</v>
      </c>
      <c r="O3806">
        <v>4</v>
      </c>
      <c r="P3806">
        <v>2</v>
      </c>
      <c r="Q3806">
        <v>0</v>
      </c>
      <c r="R3806" t="s">
        <v>4557</v>
      </c>
      <c r="S3806" t="s">
        <v>4558</v>
      </c>
      <c r="T3806" t="s">
        <v>4559</v>
      </c>
      <c r="U3806" t="s">
        <v>4655</v>
      </c>
      <c r="V3806" s="2">
        <v>0</v>
      </c>
      <c r="W3806" t="s">
        <v>4655</v>
      </c>
      <c r="X3806" s="2">
        <v>0</v>
      </c>
      <c r="Y3806">
        <v>22</v>
      </c>
      <c r="Z3806" t="s">
        <v>5508</v>
      </c>
      <c r="AA3806" s="3">
        <v>0.34999999403953602</v>
      </c>
      <c r="AB3806" t="s">
        <v>20778</v>
      </c>
      <c r="AC3806" t="s">
        <v>4562</v>
      </c>
      <c r="AD3806" t="s">
        <v>20776</v>
      </c>
      <c r="AE3806" t="s">
        <v>4655</v>
      </c>
      <c r="AF3806" t="s">
        <v>1600</v>
      </c>
      <c r="AG3806" t="s">
        <v>4564</v>
      </c>
      <c r="AH3806" t="s">
        <v>1601</v>
      </c>
      <c r="AI3806" t="s">
        <v>20779</v>
      </c>
      <c r="AJ3806" t="s">
        <v>4655</v>
      </c>
      <c r="AK3806" t="s">
        <v>20780</v>
      </c>
      <c r="AL3806" s="13" t="s">
        <v>1898</v>
      </c>
      <c r="AM3806" s="14">
        <v>1</v>
      </c>
      <c r="AN3806" s="15" t="s">
        <v>2528</v>
      </c>
    </row>
    <row r="3807" spans="1:40" x14ac:dyDescent="0.3">
      <c r="A3807" s="10" t="str">
        <f>HYPERLINK("http://www.washoecounty.gov/assessor/cama/?parid=085-802-31&amp;CardNumber=1","085-802-31")</f>
        <v>085-802-31</v>
      </c>
      <c r="B3807" t="s">
        <v>4655</v>
      </c>
      <c r="C3807" t="s">
        <v>20781</v>
      </c>
      <c r="D3807" s="1">
        <v>40309</v>
      </c>
      <c r="E3807" s="2">
        <v>65000</v>
      </c>
      <c r="F3807" t="s">
        <v>4567</v>
      </c>
      <c r="G3807" s="17" t="str">
        <f>HYPERLINK("https://www.washoecounty.gov/assessor/cama/?command=sales&amp;parid=08580231","3880317")</f>
        <v>3880317</v>
      </c>
      <c r="H3807" t="s">
        <v>20777</v>
      </c>
      <c r="I3807">
        <v>2000</v>
      </c>
      <c r="J3807">
        <v>2000</v>
      </c>
      <c r="K3807" t="s">
        <v>4847</v>
      </c>
      <c r="L3807" t="s">
        <v>4555</v>
      </c>
      <c r="M3807" s="2">
        <v>1120</v>
      </c>
      <c r="N3807" t="s">
        <v>4048</v>
      </c>
      <c r="O3807">
        <v>3</v>
      </c>
      <c r="P3807">
        <v>2</v>
      </c>
      <c r="Q3807">
        <v>0</v>
      </c>
      <c r="R3807" t="s">
        <v>5281</v>
      </c>
      <c r="S3807" t="s">
        <v>4558</v>
      </c>
      <c r="T3807" t="s">
        <v>4559</v>
      </c>
      <c r="U3807" t="s">
        <v>4655</v>
      </c>
      <c r="V3807" s="2">
        <v>0</v>
      </c>
      <c r="W3807" t="s">
        <v>4655</v>
      </c>
      <c r="X3807" s="2">
        <v>0</v>
      </c>
      <c r="Y3807">
        <v>22</v>
      </c>
      <c r="Z3807" t="s">
        <v>5508</v>
      </c>
      <c r="AA3807" s="3">
        <v>0.34999999403953602</v>
      </c>
      <c r="AB3807" t="s">
        <v>20782</v>
      </c>
      <c r="AC3807" t="s">
        <v>4562</v>
      </c>
      <c r="AD3807" t="s">
        <v>20783</v>
      </c>
      <c r="AE3807" t="s">
        <v>4655</v>
      </c>
      <c r="AF3807" t="s">
        <v>1600</v>
      </c>
      <c r="AG3807" t="s">
        <v>4564</v>
      </c>
      <c r="AH3807" t="s">
        <v>1601</v>
      </c>
      <c r="AI3807" t="s">
        <v>20784</v>
      </c>
      <c r="AJ3807" t="s">
        <v>4655</v>
      </c>
      <c r="AK3807" t="s">
        <v>20785</v>
      </c>
      <c r="AL3807" s="13" t="s">
        <v>1898</v>
      </c>
      <c r="AM3807">
        <v>1</v>
      </c>
      <c r="AN3807" s="15" t="s">
        <v>2528</v>
      </c>
    </row>
    <row r="3808" spans="1:40" x14ac:dyDescent="0.3">
      <c r="A3808" s="10" t="str">
        <f>HYPERLINK("http://www.washoecounty.gov/assessor/cama/?parid=085-813-05&amp;CardNumber=1","085-813-05")</f>
        <v>085-813-05</v>
      </c>
      <c r="B3808" t="s">
        <v>4655</v>
      </c>
      <c r="C3808" t="s">
        <v>20786</v>
      </c>
      <c r="D3808" s="1">
        <v>40267</v>
      </c>
      <c r="E3808" s="2">
        <v>51000</v>
      </c>
      <c r="F3808" t="s">
        <v>4553</v>
      </c>
      <c r="G3808" s="17" t="str">
        <f>HYPERLINK("https://www.washoecounty.gov/assessor/cama/?command=sales&amp;parid=08581305","3865959")</f>
        <v>3865959</v>
      </c>
      <c r="H3808" t="s">
        <v>20787</v>
      </c>
      <c r="I3808">
        <v>1995</v>
      </c>
      <c r="J3808">
        <v>1995</v>
      </c>
      <c r="K3808" t="s">
        <v>4847</v>
      </c>
      <c r="L3808" t="s">
        <v>4555</v>
      </c>
      <c r="M3808" s="2">
        <v>1560</v>
      </c>
      <c r="N3808" t="s">
        <v>4048</v>
      </c>
      <c r="O3808">
        <v>3</v>
      </c>
      <c r="P3808">
        <v>2</v>
      </c>
      <c r="Q3808">
        <v>0</v>
      </c>
      <c r="R3808" t="s">
        <v>4557</v>
      </c>
      <c r="S3808" t="s">
        <v>4558</v>
      </c>
      <c r="T3808" t="s">
        <v>4559</v>
      </c>
      <c r="U3808" t="s">
        <v>4655</v>
      </c>
      <c r="V3808" s="2">
        <v>0</v>
      </c>
      <c r="W3808" t="s">
        <v>4655</v>
      </c>
      <c r="X3808" s="2">
        <v>0</v>
      </c>
      <c r="Y3808">
        <v>22</v>
      </c>
      <c r="Z3808" t="s">
        <v>5508</v>
      </c>
      <c r="AA3808" s="3">
        <v>0.34999999403953602</v>
      </c>
      <c r="AB3808" t="s">
        <v>20788</v>
      </c>
      <c r="AC3808" t="s">
        <v>4575</v>
      </c>
      <c r="AD3808" t="s">
        <v>20789</v>
      </c>
      <c r="AE3808" t="s">
        <v>4655</v>
      </c>
      <c r="AF3808" t="s">
        <v>20790</v>
      </c>
      <c r="AG3808" t="s">
        <v>4564</v>
      </c>
      <c r="AH3808">
        <v>89020</v>
      </c>
      <c r="AI3808" t="s">
        <v>4848</v>
      </c>
      <c r="AJ3808" t="s">
        <v>4655</v>
      </c>
      <c r="AK3808" t="s">
        <v>20791</v>
      </c>
      <c r="AL3808" s="13" t="s">
        <v>1898</v>
      </c>
      <c r="AM3808" s="14">
        <v>1</v>
      </c>
      <c r="AN3808" s="15" t="s">
        <v>2528</v>
      </c>
    </row>
    <row r="3809" spans="1:40" x14ac:dyDescent="0.3">
      <c r="A3809" s="10" t="str">
        <f>HYPERLINK("http://www.washoecounty.gov/assessor/cama/?parid=085-820-24&amp;CardNumber=1","085-820-24")</f>
        <v>085-820-24</v>
      </c>
      <c r="B3809" t="s">
        <v>4655</v>
      </c>
      <c r="C3809" t="s">
        <v>20792</v>
      </c>
      <c r="D3809" s="1">
        <v>40535</v>
      </c>
      <c r="E3809" s="2">
        <v>69000</v>
      </c>
      <c r="F3809" t="s">
        <v>4553</v>
      </c>
      <c r="G3809" s="17" t="str">
        <f>HYPERLINK("https://www.washoecounty.gov/assessor/cama/?command=sales&amp;parid=08582024","3956944")</f>
        <v>3956944</v>
      </c>
      <c r="H3809" t="s">
        <v>334</v>
      </c>
      <c r="I3809">
        <v>1991</v>
      </c>
      <c r="J3809">
        <v>1991</v>
      </c>
      <c r="K3809" t="s">
        <v>4847</v>
      </c>
      <c r="L3809" t="s">
        <v>4555</v>
      </c>
      <c r="M3809" s="2">
        <v>1772</v>
      </c>
      <c r="N3809" t="s">
        <v>4048</v>
      </c>
      <c r="O3809">
        <v>3</v>
      </c>
      <c r="P3809">
        <v>3</v>
      </c>
      <c r="Q3809">
        <v>0</v>
      </c>
      <c r="R3809" t="s">
        <v>4557</v>
      </c>
      <c r="S3809" t="s">
        <v>4558</v>
      </c>
      <c r="T3809" t="s">
        <v>4559</v>
      </c>
      <c r="U3809" t="s">
        <v>4655</v>
      </c>
      <c r="V3809" s="2">
        <v>0</v>
      </c>
      <c r="W3809" t="s">
        <v>4655</v>
      </c>
      <c r="X3809" s="2">
        <v>0</v>
      </c>
      <c r="Y3809">
        <v>22</v>
      </c>
      <c r="Z3809" t="s">
        <v>1776</v>
      </c>
      <c r="AA3809" s="3">
        <v>0.20599173009395599</v>
      </c>
      <c r="AB3809" t="s">
        <v>20793</v>
      </c>
      <c r="AC3809" t="s">
        <v>4562</v>
      </c>
      <c r="AD3809" t="s">
        <v>20792</v>
      </c>
      <c r="AE3809" t="s">
        <v>4655</v>
      </c>
      <c r="AF3809" t="s">
        <v>1600</v>
      </c>
      <c r="AG3809" t="s">
        <v>4564</v>
      </c>
      <c r="AH3809" t="s">
        <v>1601</v>
      </c>
      <c r="AI3809" t="s">
        <v>4848</v>
      </c>
      <c r="AJ3809" t="s">
        <v>4655</v>
      </c>
      <c r="AK3809" t="s">
        <v>20794</v>
      </c>
      <c r="AL3809" s="13" t="s">
        <v>1898</v>
      </c>
      <c r="AM3809">
        <v>1</v>
      </c>
      <c r="AN3809" s="15" t="s">
        <v>2528</v>
      </c>
    </row>
    <row r="3810" spans="1:40" x14ac:dyDescent="0.3">
      <c r="A3810" s="10" t="str">
        <f>HYPERLINK("http://www.washoecounty.gov/assessor/cama/?parid=085-830-06&amp;CardNumber=1","085-830-06")</f>
        <v>085-830-06</v>
      </c>
      <c r="B3810" t="s">
        <v>4655</v>
      </c>
      <c r="C3810" t="s">
        <v>269</v>
      </c>
      <c r="D3810" s="1">
        <v>40498</v>
      </c>
      <c r="E3810" s="2">
        <v>51951</v>
      </c>
      <c r="F3810" t="s">
        <v>4567</v>
      </c>
      <c r="G3810" s="17" t="str">
        <f>HYPERLINK("https://www.washoecounty.gov/assessor/cama/?command=sales&amp;parid=08583006","3943244")</f>
        <v>3943244</v>
      </c>
      <c r="H3810" t="s">
        <v>4736</v>
      </c>
      <c r="I3810">
        <v>0</v>
      </c>
      <c r="J3810">
        <v>0</v>
      </c>
      <c r="K3810" t="s">
        <v>4655</v>
      </c>
      <c r="L3810" t="s">
        <v>4655</v>
      </c>
      <c r="M3810" s="2">
        <v>0</v>
      </c>
      <c r="N3810" t="s">
        <v>4655</v>
      </c>
      <c r="O3810">
        <v>0</v>
      </c>
      <c r="P3810">
        <v>0</v>
      </c>
      <c r="Q3810">
        <v>0</v>
      </c>
      <c r="R3810" t="s">
        <v>4655</v>
      </c>
      <c r="S3810" t="s">
        <v>4655</v>
      </c>
      <c r="T3810" t="s">
        <v>4655</v>
      </c>
      <c r="U3810" t="s">
        <v>4655</v>
      </c>
      <c r="V3810" s="2">
        <v>0</v>
      </c>
      <c r="W3810" t="s">
        <v>4655</v>
      </c>
      <c r="X3810" s="2">
        <v>0</v>
      </c>
      <c r="Y3810">
        <v>23</v>
      </c>
      <c r="Z3810" t="s">
        <v>5508</v>
      </c>
      <c r="AA3810" s="3">
        <v>0.38799357414245605</v>
      </c>
      <c r="AB3810" t="s">
        <v>20795</v>
      </c>
      <c r="AC3810" t="s">
        <v>4575</v>
      </c>
      <c r="AD3810" t="s">
        <v>269</v>
      </c>
      <c r="AE3810" t="s">
        <v>4655</v>
      </c>
      <c r="AF3810" t="s">
        <v>1600</v>
      </c>
      <c r="AG3810" t="s">
        <v>4564</v>
      </c>
      <c r="AH3810" t="s">
        <v>1601</v>
      </c>
      <c r="AI3810" t="s">
        <v>4655</v>
      </c>
      <c r="AJ3810" t="s">
        <v>4655</v>
      </c>
      <c r="AK3810" t="s">
        <v>440</v>
      </c>
      <c r="AL3810" s="13" t="s">
        <v>1898</v>
      </c>
      <c r="AM3810">
        <v>0</v>
      </c>
      <c r="AN3810" s="15" t="s">
        <v>2528</v>
      </c>
    </row>
    <row r="3811" spans="1:40" x14ac:dyDescent="0.3">
      <c r="A3811" s="10" t="str">
        <f>HYPERLINK("http://www.washoecounty.gov/assessor/cama/?parid=085-830-38&amp;CardNumber=1","085-830-38")</f>
        <v>085-830-38</v>
      </c>
      <c r="B3811" t="s">
        <v>4655</v>
      </c>
      <c r="C3811" t="s">
        <v>20796</v>
      </c>
      <c r="D3811" s="1">
        <v>40522</v>
      </c>
      <c r="E3811" s="2">
        <v>73500</v>
      </c>
      <c r="F3811" t="s">
        <v>4567</v>
      </c>
      <c r="G3811" s="17" t="str">
        <f>HYPERLINK("https://www.washoecounty.gov/assessor/cama/?command=sales&amp;parid=08583038","3952026")</f>
        <v>3952026</v>
      </c>
      <c r="H3811" t="s">
        <v>20797</v>
      </c>
      <c r="I3811">
        <v>1987</v>
      </c>
      <c r="J3811">
        <v>1987</v>
      </c>
      <c r="K3811" t="s">
        <v>4847</v>
      </c>
      <c r="L3811" t="s">
        <v>4555</v>
      </c>
      <c r="M3811" s="2">
        <v>1424</v>
      </c>
      <c r="N3811" t="s">
        <v>3147</v>
      </c>
      <c r="O3811">
        <v>2</v>
      </c>
      <c r="P3811">
        <v>2</v>
      </c>
      <c r="Q3811">
        <v>0</v>
      </c>
      <c r="R3811" t="s">
        <v>4557</v>
      </c>
      <c r="S3811" t="s">
        <v>4558</v>
      </c>
      <c r="T3811" t="s">
        <v>4559</v>
      </c>
      <c r="U3811" t="s">
        <v>4655</v>
      </c>
      <c r="V3811" s="2">
        <v>0</v>
      </c>
      <c r="W3811" t="s">
        <v>4655</v>
      </c>
      <c r="X3811" s="2">
        <v>0</v>
      </c>
      <c r="Y3811">
        <v>22</v>
      </c>
      <c r="Z3811" t="s">
        <v>5508</v>
      </c>
      <c r="AA3811" s="3">
        <v>0.34400826692581199</v>
      </c>
      <c r="AB3811" t="s">
        <v>20798</v>
      </c>
      <c r="AC3811" t="s">
        <v>4562</v>
      </c>
      <c r="AD3811" t="s">
        <v>20799</v>
      </c>
      <c r="AE3811" t="s">
        <v>4655</v>
      </c>
      <c r="AF3811" t="s">
        <v>1570</v>
      </c>
      <c r="AG3811" t="s">
        <v>4564</v>
      </c>
      <c r="AH3811" t="s">
        <v>1601</v>
      </c>
      <c r="AI3811" t="s">
        <v>20800</v>
      </c>
      <c r="AJ3811" t="s">
        <v>4655</v>
      </c>
      <c r="AK3811" t="s">
        <v>20801</v>
      </c>
      <c r="AL3811" s="13" t="s">
        <v>1898</v>
      </c>
      <c r="AM3811" s="14">
        <v>1</v>
      </c>
      <c r="AN3811" s="15" t="s">
        <v>2528</v>
      </c>
    </row>
    <row r="3812" spans="1:40" x14ac:dyDescent="0.3">
      <c r="A3812" s="10" t="str">
        <f>HYPERLINK("http://www.washoecounty.gov/assessor/cama/?parid=085-852-04&amp;CardNumber=1","085-852-04")</f>
        <v>085-852-04</v>
      </c>
      <c r="B3812" t="s">
        <v>4655</v>
      </c>
      <c r="C3812" t="s">
        <v>20802</v>
      </c>
      <c r="D3812" s="1">
        <v>40214</v>
      </c>
      <c r="E3812" s="2">
        <v>57400</v>
      </c>
      <c r="F3812" t="s">
        <v>4567</v>
      </c>
      <c r="G3812" s="17" t="str">
        <f>HYPERLINK("https://www.washoecounty.gov/assessor/cama/?command=sales&amp;parid=08585204","3846597")</f>
        <v>3846597</v>
      </c>
      <c r="H3812" t="s">
        <v>5071</v>
      </c>
      <c r="I3812">
        <v>1992</v>
      </c>
      <c r="J3812">
        <v>1992</v>
      </c>
      <c r="K3812" t="s">
        <v>4847</v>
      </c>
      <c r="L3812" t="s">
        <v>4555</v>
      </c>
      <c r="M3812" s="2">
        <v>1560</v>
      </c>
      <c r="N3812" t="s">
        <v>4048</v>
      </c>
      <c r="O3812">
        <v>2</v>
      </c>
      <c r="P3812">
        <v>2</v>
      </c>
      <c r="Q3812">
        <v>0</v>
      </c>
      <c r="R3812" t="s">
        <v>4557</v>
      </c>
      <c r="S3812" t="s">
        <v>4558</v>
      </c>
      <c r="T3812" t="s">
        <v>4559</v>
      </c>
      <c r="U3812" t="s">
        <v>4655</v>
      </c>
      <c r="V3812" s="2">
        <v>0</v>
      </c>
      <c r="W3812" t="s">
        <v>4655</v>
      </c>
      <c r="X3812" s="2">
        <v>0</v>
      </c>
      <c r="Y3812">
        <v>22</v>
      </c>
      <c r="Z3812" t="s">
        <v>5508</v>
      </c>
      <c r="AA3812" s="3">
        <v>0.34400826692581199</v>
      </c>
      <c r="AB3812" t="s">
        <v>13895</v>
      </c>
      <c r="AC3812" t="s">
        <v>4562</v>
      </c>
      <c r="AD3812" t="s">
        <v>13896</v>
      </c>
      <c r="AE3812" t="s">
        <v>4655</v>
      </c>
      <c r="AF3812" t="s">
        <v>5201</v>
      </c>
      <c r="AG3812" t="s">
        <v>4564</v>
      </c>
      <c r="AH3812" t="s">
        <v>5202</v>
      </c>
      <c r="AI3812" t="s">
        <v>20803</v>
      </c>
      <c r="AJ3812" t="s">
        <v>20804</v>
      </c>
      <c r="AK3812" t="s">
        <v>20805</v>
      </c>
      <c r="AL3812" s="13" t="s">
        <v>1898</v>
      </c>
      <c r="AM3812">
        <v>1</v>
      </c>
      <c r="AN3812" s="15" t="s">
        <v>2528</v>
      </c>
    </row>
    <row r="3813" spans="1:40" x14ac:dyDescent="0.3">
      <c r="A3813" s="10" t="str">
        <f>HYPERLINK("http://www.washoecounty.gov/assessor/cama/?parid=086-162-18&amp;CardNumber=1","086-162-18")</f>
        <v>086-162-18</v>
      </c>
      <c r="B3813" t="s">
        <v>4655</v>
      </c>
      <c r="C3813" t="s">
        <v>20806</v>
      </c>
      <c r="D3813" s="1">
        <v>40254</v>
      </c>
      <c r="E3813" s="2">
        <v>220000</v>
      </c>
      <c r="F3813" t="s">
        <v>4553</v>
      </c>
      <c r="G3813" s="17" t="str">
        <f>HYPERLINK("https://www.washoecounty.gov/assessor/cama/?command=sales&amp;parid=08616218","3860667")</f>
        <v>3860667</v>
      </c>
      <c r="H3813" t="s">
        <v>2717</v>
      </c>
      <c r="I3813">
        <v>1988</v>
      </c>
      <c r="J3813">
        <v>1988</v>
      </c>
      <c r="K3813" t="s">
        <v>4554</v>
      </c>
      <c r="L3813" t="s">
        <v>3974</v>
      </c>
      <c r="M3813" s="2">
        <v>1904</v>
      </c>
      <c r="N3813" t="s">
        <v>4556</v>
      </c>
      <c r="O3813">
        <v>3</v>
      </c>
      <c r="P3813">
        <v>3</v>
      </c>
      <c r="Q3813">
        <v>0</v>
      </c>
      <c r="R3813" t="s">
        <v>4557</v>
      </c>
      <c r="S3813" t="s">
        <v>4135</v>
      </c>
      <c r="T3813" t="s">
        <v>2704</v>
      </c>
      <c r="U3813" t="s">
        <v>162</v>
      </c>
      <c r="V3813" s="2">
        <v>1074</v>
      </c>
      <c r="W3813" t="s">
        <v>4655</v>
      </c>
      <c r="X3813" s="2">
        <v>0</v>
      </c>
      <c r="Y3813">
        <v>20</v>
      </c>
      <c r="Z3813" t="s">
        <v>3884</v>
      </c>
      <c r="AA3813" s="3">
        <v>2.5299999713897705</v>
      </c>
      <c r="AB3813" t="s">
        <v>20807</v>
      </c>
      <c r="AC3813" t="s">
        <v>4562</v>
      </c>
      <c r="AD3813" t="s">
        <v>20806</v>
      </c>
      <c r="AE3813" t="s">
        <v>4655</v>
      </c>
      <c r="AF3813" t="s">
        <v>4563</v>
      </c>
      <c r="AG3813" t="s">
        <v>4564</v>
      </c>
      <c r="AH3813">
        <v>89506</v>
      </c>
      <c r="AI3813" t="s">
        <v>4903</v>
      </c>
      <c r="AJ3813" t="s">
        <v>4655</v>
      </c>
      <c r="AK3813" t="s">
        <v>20808</v>
      </c>
      <c r="AL3813" s="13" t="s">
        <v>1902</v>
      </c>
      <c r="AM3813" s="14">
        <v>1</v>
      </c>
      <c r="AN3813" s="15" t="s">
        <v>5072</v>
      </c>
    </row>
    <row r="3814" spans="1:40" x14ac:dyDescent="0.3">
      <c r="A3814" s="10" t="str">
        <f>HYPERLINK("http://www.washoecounty.gov/assessor/cama/?parid=086-171-03&amp;CardNumber=1","086-171-03")</f>
        <v>086-171-03</v>
      </c>
      <c r="B3814" t="s">
        <v>4655</v>
      </c>
      <c r="C3814" t="s">
        <v>20809</v>
      </c>
      <c r="D3814" s="1">
        <v>40268</v>
      </c>
      <c r="E3814" s="2">
        <v>299900</v>
      </c>
      <c r="F3814" t="s">
        <v>4567</v>
      </c>
      <c r="G3814" s="17" t="str">
        <f>HYPERLINK("https://www.washoecounty.gov/assessor/cama/?command=sales&amp;parid=08617103","3866183")</f>
        <v>3866183</v>
      </c>
      <c r="H3814" t="s">
        <v>3234</v>
      </c>
      <c r="I3814">
        <v>1993</v>
      </c>
      <c r="J3814">
        <v>1993</v>
      </c>
      <c r="K3814" t="s">
        <v>4554</v>
      </c>
      <c r="L3814" t="s">
        <v>3974</v>
      </c>
      <c r="M3814" s="2">
        <v>2610</v>
      </c>
      <c r="N3814" t="s">
        <v>3147</v>
      </c>
      <c r="O3814">
        <v>3</v>
      </c>
      <c r="P3814">
        <v>2</v>
      </c>
      <c r="Q3814">
        <v>1</v>
      </c>
      <c r="R3814" t="s">
        <v>4557</v>
      </c>
      <c r="S3814" t="s">
        <v>4558</v>
      </c>
      <c r="T3814" t="s">
        <v>4559</v>
      </c>
      <c r="U3814" t="s">
        <v>4560</v>
      </c>
      <c r="V3814" s="2">
        <v>576</v>
      </c>
      <c r="W3814" t="s">
        <v>3149</v>
      </c>
      <c r="X3814" s="2">
        <v>1092</v>
      </c>
      <c r="Y3814">
        <v>20</v>
      </c>
      <c r="Z3814" t="s">
        <v>3884</v>
      </c>
      <c r="AA3814" s="3">
        <v>2.8299999237060498</v>
      </c>
      <c r="AB3814" t="s">
        <v>20810</v>
      </c>
      <c r="AC3814" t="s">
        <v>4562</v>
      </c>
      <c r="AD3814" t="s">
        <v>20809</v>
      </c>
      <c r="AE3814" t="s">
        <v>4655</v>
      </c>
      <c r="AF3814" t="s">
        <v>4563</v>
      </c>
      <c r="AG3814" t="s">
        <v>4564</v>
      </c>
      <c r="AH3814">
        <v>89508</v>
      </c>
      <c r="AI3814" t="s">
        <v>20811</v>
      </c>
      <c r="AJ3814" t="s">
        <v>4655</v>
      </c>
      <c r="AK3814" t="s">
        <v>20812</v>
      </c>
      <c r="AL3814" s="13" t="s">
        <v>1902</v>
      </c>
      <c r="AM3814">
        <v>1</v>
      </c>
      <c r="AN3814" s="15" t="s">
        <v>5072</v>
      </c>
    </row>
    <row r="3815" spans="1:40" x14ac:dyDescent="0.3">
      <c r="A3815" s="10" t="str">
        <f>HYPERLINK("http://www.washoecounty.gov/assessor/cama/?parid=086-172-02&amp;CardNumber=1","086-172-02")</f>
        <v>086-172-02</v>
      </c>
      <c r="B3815" t="s">
        <v>4655</v>
      </c>
      <c r="C3815" t="s">
        <v>20813</v>
      </c>
      <c r="D3815" s="1">
        <v>40220</v>
      </c>
      <c r="E3815" s="2">
        <v>111000</v>
      </c>
      <c r="F3815" t="s">
        <v>4553</v>
      </c>
      <c r="G3815" s="17" t="str">
        <f>HYPERLINK("https://www.washoecounty.gov/assessor/cama/?command=sales&amp;parid=08617202","3848172")</f>
        <v>3848172</v>
      </c>
      <c r="H3815" t="s">
        <v>20814</v>
      </c>
      <c r="I3815">
        <v>1971</v>
      </c>
      <c r="J3815">
        <v>1971</v>
      </c>
      <c r="K3815" t="s">
        <v>4554</v>
      </c>
      <c r="L3815" t="s">
        <v>4555</v>
      </c>
      <c r="M3815" s="2">
        <v>1260</v>
      </c>
      <c r="N3815" t="s">
        <v>4048</v>
      </c>
      <c r="O3815">
        <v>3</v>
      </c>
      <c r="P3815">
        <v>2</v>
      </c>
      <c r="Q3815">
        <v>0</v>
      </c>
      <c r="R3815" t="s">
        <v>4557</v>
      </c>
      <c r="S3815" t="s">
        <v>4135</v>
      </c>
      <c r="T3815" t="s">
        <v>4559</v>
      </c>
      <c r="U3815" t="s">
        <v>4560</v>
      </c>
      <c r="V3815" s="2">
        <v>528</v>
      </c>
      <c r="W3815" t="s">
        <v>4655</v>
      </c>
      <c r="X3815" s="2">
        <v>0</v>
      </c>
      <c r="Y3815">
        <v>20</v>
      </c>
      <c r="Z3815" t="s">
        <v>3884</v>
      </c>
      <c r="AA3815" s="3">
        <v>1.0899908542632999</v>
      </c>
      <c r="AB3815" t="s">
        <v>20815</v>
      </c>
      <c r="AC3815" t="s">
        <v>4575</v>
      </c>
      <c r="AD3815" t="s">
        <v>20813</v>
      </c>
      <c r="AE3815" t="s">
        <v>4655</v>
      </c>
      <c r="AF3815" t="s">
        <v>4563</v>
      </c>
      <c r="AG3815" t="s">
        <v>4564</v>
      </c>
      <c r="AH3815">
        <v>89508</v>
      </c>
      <c r="AI3815" t="s">
        <v>20816</v>
      </c>
      <c r="AJ3815" t="s">
        <v>4655</v>
      </c>
      <c r="AK3815" t="s">
        <v>20817</v>
      </c>
      <c r="AL3815" s="13" t="s">
        <v>1902</v>
      </c>
      <c r="AM3815">
        <v>1</v>
      </c>
      <c r="AN3815" s="15" t="s">
        <v>5072</v>
      </c>
    </row>
    <row r="3816" spans="1:40" x14ac:dyDescent="0.3">
      <c r="A3816" s="10" t="str">
        <f>HYPERLINK("http://www.washoecounty.gov/assessor/cama/?parid=086-193-05&amp;CardNumber=1","086-193-05")</f>
        <v>086-193-05</v>
      </c>
      <c r="B3816" t="s">
        <v>4655</v>
      </c>
      <c r="C3816" t="s">
        <v>20818</v>
      </c>
      <c r="D3816" s="1">
        <v>40393</v>
      </c>
      <c r="E3816" s="2">
        <v>165000</v>
      </c>
      <c r="F3816" t="s">
        <v>4553</v>
      </c>
      <c r="G3816" s="17" t="str">
        <f>HYPERLINK("https://www.washoecounty.gov/assessor/cama/?command=sales&amp;parid=08619305","3908069")</f>
        <v>3908069</v>
      </c>
      <c r="H3816" t="s">
        <v>2717</v>
      </c>
      <c r="I3816">
        <v>1971</v>
      </c>
      <c r="J3816">
        <v>1971</v>
      </c>
      <c r="K3816" t="s">
        <v>4554</v>
      </c>
      <c r="L3816" t="s">
        <v>4555</v>
      </c>
      <c r="M3816" s="2">
        <v>1256</v>
      </c>
      <c r="N3816" t="s">
        <v>4556</v>
      </c>
      <c r="O3816">
        <v>3</v>
      </c>
      <c r="P3816">
        <v>2</v>
      </c>
      <c r="Q3816">
        <v>0</v>
      </c>
      <c r="R3816" t="s">
        <v>4557</v>
      </c>
      <c r="S3816" t="s">
        <v>4135</v>
      </c>
      <c r="T3816" t="s">
        <v>4143</v>
      </c>
      <c r="U3816" t="s">
        <v>162</v>
      </c>
      <c r="V3816" s="2">
        <v>1420</v>
      </c>
      <c r="W3816" t="s">
        <v>4655</v>
      </c>
      <c r="X3816" s="2">
        <v>0</v>
      </c>
      <c r="Y3816">
        <v>20</v>
      </c>
      <c r="Z3816" t="s">
        <v>3884</v>
      </c>
      <c r="AA3816" s="3">
        <v>3.5299999713897705</v>
      </c>
      <c r="AB3816" t="s">
        <v>20819</v>
      </c>
      <c r="AC3816" t="s">
        <v>4562</v>
      </c>
      <c r="AD3816" t="s">
        <v>20820</v>
      </c>
      <c r="AE3816" t="s">
        <v>4655</v>
      </c>
      <c r="AF3816" t="s">
        <v>4563</v>
      </c>
      <c r="AG3816" t="s">
        <v>4564</v>
      </c>
      <c r="AH3816">
        <v>89506</v>
      </c>
      <c r="AI3816" t="s">
        <v>601</v>
      </c>
      <c r="AJ3816" t="s">
        <v>4655</v>
      </c>
      <c r="AK3816" t="s">
        <v>20821</v>
      </c>
      <c r="AL3816" s="13" t="s">
        <v>1902</v>
      </c>
      <c r="AM3816">
        <v>1</v>
      </c>
      <c r="AN3816" s="15" t="s">
        <v>5072</v>
      </c>
    </row>
    <row r="3817" spans="1:40" x14ac:dyDescent="0.3">
      <c r="A3817" s="10" t="str">
        <f>HYPERLINK("http://www.washoecounty.gov/assessor/cama/?parid=086-203-21&amp;CardNumber=1","086-203-21")</f>
        <v>086-203-21</v>
      </c>
      <c r="B3817" t="s">
        <v>4655</v>
      </c>
      <c r="C3817" t="s">
        <v>20822</v>
      </c>
      <c r="D3817" s="1">
        <v>40401</v>
      </c>
      <c r="E3817" s="2">
        <v>188500</v>
      </c>
      <c r="F3817" t="s">
        <v>4567</v>
      </c>
      <c r="G3817" s="17" t="str">
        <f>HYPERLINK("https://www.washoecounty.gov/assessor/cama/?command=sales&amp;parid=08620321","3910687")</f>
        <v>3910687</v>
      </c>
      <c r="H3817" t="s">
        <v>20823</v>
      </c>
      <c r="I3817">
        <v>1978</v>
      </c>
      <c r="J3817">
        <v>1978</v>
      </c>
      <c r="K3817" t="s">
        <v>4554</v>
      </c>
      <c r="L3817" t="s">
        <v>4555</v>
      </c>
      <c r="M3817" s="2">
        <v>1846</v>
      </c>
      <c r="N3817" t="s">
        <v>4048</v>
      </c>
      <c r="O3817">
        <v>3</v>
      </c>
      <c r="P3817">
        <v>2</v>
      </c>
      <c r="Q3817">
        <v>0</v>
      </c>
      <c r="R3817" t="s">
        <v>4557</v>
      </c>
      <c r="S3817" t="s">
        <v>3148</v>
      </c>
      <c r="T3817" t="s">
        <v>4143</v>
      </c>
      <c r="U3817" t="s">
        <v>4560</v>
      </c>
      <c r="V3817" s="2">
        <v>805</v>
      </c>
      <c r="W3817" t="s">
        <v>4655</v>
      </c>
      <c r="X3817" s="2">
        <v>0</v>
      </c>
      <c r="Y3817">
        <v>20</v>
      </c>
      <c r="Z3817" t="s">
        <v>3884</v>
      </c>
      <c r="AA3817" s="3">
        <v>1.06000924110412</v>
      </c>
      <c r="AB3817" t="s">
        <v>20824</v>
      </c>
      <c r="AC3817" t="s">
        <v>4562</v>
      </c>
      <c r="AD3817" t="s">
        <v>20822</v>
      </c>
      <c r="AE3817" t="s">
        <v>4655</v>
      </c>
      <c r="AF3817" t="s">
        <v>4563</v>
      </c>
      <c r="AG3817" t="s">
        <v>4564</v>
      </c>
      <c r="AH3817">
        <v>89508</v>
      </c>
      <c r="AI3817" t="s">
        <v>20825</v>
      </c>
      <c r="AJ3817" t="s">
        <v>4655</v>
      </c>
      <c r="AK3817" t="s">
        <v>20826</v>
      </c>
      <c r="AL3817" s="13" t="s">
        <v>1902</v>
      </c>
      <c r="AM3817">
        <v>1</v>
      </c>
      <c r="AN3817" s="15" t="s">
        <v>5072</v>
      </c>
    </row>
    <row r="3818" spans="1:40" x14ac:dyDescent="0.3">
      <c r="A3818" s="10" t="str">
        <f>HYPERLINK("http://www.washoecounty.gov/assessor/cama/?parid=086-205-18&amp;CardNumber=1","086-205-18")</f>
        <v>086-205-18</v>
      </c>
      <c r="B3818" t="s">
        <v>4655</v>
      </c>
      <c r="C3818" t="s">
        <v>20827</v>
      </c>
      <c r="D3818" s="1">
        <v>40249</v>
      </c>
      <c r="E3818" s="2">
        <v>199000</v>
      </c>
      <c r="F3818" t="s">
        <v>4553</v>
      </c>
      <c r="G3818" s="17" t="str">
        <f>HYPERLINK("https://www.washoecounty.gov/assessor/cama/?command=sales&amp;parid=08620518","3859538")</f>
        <v>3859538</v>
      </c>
      <c r="H3818" t="s">
        <v>20823</v>
      </c>
      <c r="I3818">
        <v>1972</v>
      </c>
      <c r="J3818">
        <v>1973</v>
      </c>
      <c r="K3818" t="s">
        <v>4554</v>
      </c>
      <c r="L3818" t="s">
        <v>4555</v>
      </c>
      <c r="M3818" s="2">
        <v>1771</v>
      </c>
      <c r="N3818" t="s">
        <v>4048</v>
      </c>
      <c r="O3818">
        <v>3</v>
      </c>
      <c r="P3818">
        <v>2</v>
      </c>
      <c r="Q3818">
        <v>0</v>
      </c>
      <c r="R3818" t="s">
        <v>4557</v>
      </c>
      <c r="S3818" t="s">
        <v>4135</v>
      </c>
      <c r="T3818" t="s">
        <v>4559</v>
      </c>
      <c r="U3818" t="s">
        <v>4560</v>
      </c>
      <c r="V3818" s="2">
        <v>616</v>
      </c>
      <c r="W3818" t="s">
        <v>4655</v>
      </c>
      <c r="X3818" s="2">
        <v>0</v>
      </c>
      <c r="Y3818">
        <v>20</v>
      </c>
      <c r="Z3818" t="s">
        <v>3884</v>
      </c>
      <c r="AA3818" s="3">
        <v>1.1800045967102</v>
      </c>
      <c r="AB3818" t="s">
        <v>20828</v>
      </c>
      <c r="AC3818" t="s">
        <v>4562</v>
      </c>
      <c r="AD3818" t="s">
        <v>20827</v>
      </c>
      <c r="AE3818" t="s">
        <v>4655</v>
      </c>
      <c r="AF3818" t="s">
        <v>4563</v>
      </c>
      <c r="AG3818" t="s">
        <v>4564</v>
      </c>
      <c r="AH3818">
        <v>89508</v>
      </c>
      <c r="AI3818" t="s">
        <v>4903</v>
      </c>
      <c r="AJ3818" t="s">
        <v>4655</v>
      </c>
      <c r="AK3818" t="s">
        <v>20829</v>
      </c>
      <c r="AL3818" s="13" t="s">
        <v>1902</v>
      </c>
      <c r="AM3818">
        <v>1</v>
      </c>
      <c r="AN3818" s="15" t="s">
        <v>5072</v>
      </c>
    </row>
    <row r="3819" spans="1:40" x14ac:dyDescent="0.3">
      <c r="A3819" s="10" t="str">
        <f>HYPERLINK("http://www.washoecounty.gov/assessor/cama/?parid=086-212-09&amp;CardNumber=1","086-212-09")</f>
        <v>086-212-09</v>
      </c>
      <c r="B3819" t="s">
        <v>4655</v>
      </c>
      <c r="C3819" t="s">
        <v>20830</v>
      </c>
      <c r="D3819" s="1">
        <v>40277</v>
      </c>
      <c r="E3819" s="2">
        <v>120000</v>
      </c>
      <c r="F3819" t="s">
        <v>4567</v>
      </c>
      <c r="G3819" s="17" t="str">
        <f>HYPERLINK("https://www.washoecounty.gov/assessor/cama/?command=sales&amp;parid=08621209","3869414")</f>
        <v>3869414</v>
      </c>
      <c r="H3819" t="s">
        <v>20831</v>
      </c>
      <c r="I3819">
        <v>1987</v>
      </c>
      <c r="J3819">
        <v>1987</v>
      </c>
      <c r="K3819" t="s">
        <v>4554</v>
      </c>
      <c r="L3819" t="s">
        <v>4555</v>
      </c>
      <c r="M3819" s="2">
        <v>1511</v>
      </c>
      <c r="N3819" t="s">
        <v>4048</v>
      </c>
      <c r="O3819">
        <v>3</v>
      </c>
      <c r="P3819">
        <v>2</v>
      </c>
      <c r="Q3819">
        <v>0</v>
      </c>
      <c r="R3819" t="s">
        <v>4557</v>
      </c>
      <c r="S3819" t="s">
        <v>3148</v>
      </c>
      <c r="T3819" t="s">
        <v>4559</v>
      </c>
      <c r="U3819" t="s">
        <v>4560</v>
      </c>
      <c r="V3819" s="2">
        <v>576</v>
      </c>
      <c r="W3819" t="s">
        <v>4655</v>
      </c>
      <c r="X3819" s="2">
        <v>0</v>
      </c>
      <c r="Y3819">
        <v>20</v>
      </c>
      <c r="Z3819" t="s">
        <v>3884</v>
      </c>
      <c r="AA3819" s="3">
        <v>1</v>
      </c>
      <c r="AB3819" t="s">
        <v>20832</v>
      </c>
      <c r="AC3819" t="s">
        <v>4575</v>
      </c>
      <c r="AD3819" t="s">
        <v>20833</v>
      </c>
      <c r="AE3819" t="s">
        <v>4655</v>
      </c>
      <c r="AF3819" t="s">
        <v>4563</v>
      </c>
      <c r="AG3819" t="s">
        <v>4564</v>
      </c>
      <c r="AH3819">
        <v>89508</v>
      </c>
      <c r="AI3819" t="s">
        <v>20834</v>
      </c>
      <c r="AJ3819" t="s">
        <v>4655</v>
      </c>
      <c r="AK3819" t="s">
        <v>20835</v>
      </c>
      <c r="AL3819" s="13" t="s">
        <v>1902</v>
      </c>
      <c r="AM3819">
        <v>1</v>
      </c>
      <c r="AN3819" s="15" t="s">
        <v>5072</v>
      </c>
    </row>
    <row r="3820" spans="1:40" x14ac:dyDescent="0.3">
      <c r="A3820" s="10" t="str">
        <f>HYPERLINK("http://www.washoecounty.gov/assessor/cama/?parid=086-231-06&amp;CardNumber=1","086-231-06")</f>
        <v>086-231-06</v>
      </c>
      <c r="B3820" t="s">
        <v>4655</v>
      </c>
      <c r="C3820" t="s">
        <v>20836</v>
      </c>
      <c r="D3820" s="1">
        <v>40463</v>
      </c>
      <c r="E3820" s="2">
        <v>190000</v>
      </c>
      <c r="F3820" t="s">
        <v>4567</v>
      </c>
      <c r="G3820" s="17" t="str">
        <f>HYPERLINK("https://www.washoecounty.gov/assessor/cama/?command=sales&amp;parid=08623106","3932066")</f>
        <v>3932066</v>
      </c>
      <c r="H3820" t="s">
        <v>20837</v>
      </c>
      <c r="I3820">
        <v>1985</v>
      </c>
      <c r="J3820">
        <v>1985</v>
      </c>
      <c r="K3820" t="s">
        <v>4554</v>
      </c>
      <c r="L3820" t="s">
        <v>4555</v>
      </c>
      <c r="M3820" s="2">
        <v>1656</v>
      </c>
      <c r="N3820" t="s">
        <v>4048</v>
      </c>
      <c r="O3820">
        <v>3</v>
      </c>
      <c r="P3820">
        <v>2</v>
      </c>
      <c r="Q3820">
        <v>0</v>
      </c>
      <c r="R3820" t="s">
        <v>4557</v>
      </c>
      <c r="S3820" t="s">
        <v>4558</v>
      </c>
      <c r="T3820" t="s">
        <v>2704</v>
      </c>
      <c r="U3820" t="s">
        <v>4560</v>
      </c>
      <c r="V3820" s="2">
        <v>528</v>
      </c>
      <c r="W3820" t="s">
        <v>4655</v>
      </c>
      <c r="X3820" s="2">
        <v>0</v>
      </c>
      <c r="Y3820">
        <v>20</v>
      </c>
      <c r="Z3820" t="s">
        <v>3884</v>
      </c>
      <c r="AA3820" s="3">
        <v>4.7699999809265101</v>
      </c>
      <c r="AB3820" t="s">
        <v>20838</v>
      </c>
      <c r="AC3820" t="s">
        <v>4562</v>
      </c>
      <c r="AD3820" t="s">
        <v>20839</v>
      </c>
      <c r="AE3820" t="s">
        <v>4655</v>
      </c>
      <c r="AF3820" t="s">
        <v>20840</v>
      </c>
      <c r="AG3820" t="s">
        <v>4584</v>
      </c>
      <c r="AH3820">
        <v>90650</v>
      </c>
      <c r="AI3820" t="s">
        <v>20841</v>
      </c>
      <c r="AJ3820" t="s">
        <v>4655</v>
      </c>
      <c r="AK3820" t="s">
        <v>20842</v>
      </c>
      <c r="AL3820" s="13" t="s">
        <v>1902</v>
      </c>
      <c r="AM3820">
        <v>1</v>
      </c>
      <c r="AN3820" s="15" t="s">
        <v>5072</v>
      </c>
    </row>
    <row r="3821" spans="1:40" x14ac:dyDescent="0.3">
      <c r="A3821" s="10" t="str">
        <f>HYPERLINK("http://www.washoecounty.gov/assessor/cama/?parid=086-250-44&amp;CardNumber=1","086-250-44")</f>
        <v>086-250-44</v>
      </c>
      <c r="B3821" t="s">
        <v>4655</v>
      </c>
      <c r="C3821" t="s">
        <v>20843</v>
      </c>
      <c r="D3821" s="1">
        <v>40280</v>
      </c>
      <c r="E3821" s="2">
        <v>163500</v>
      </c>
      <c r="F3821" t="s">
        <v>4553</v>
      </c>
      <c r="G3821" s="17" t="str">
        <f>HYPERLINK("https://www.washoecounty.gov/assessor/cama/?command=sales&amp;parid=08625044","3869898")</f>
        <v>3869898</v>
      </c>
      <c r="H3821" t="s">
        <v>20844</v>
      </c>
      <c r="I3821">
        <v>1978</v>
      </c>
      <c r="J3821">
        <v>1978</v>
      </c>
      <c r="K3821" t="s">
        <v>4554</v>
      </c>
      <c r="L3821" t="s">
        <v>4555</v>
      </c>
      <c r="M3821" s="2">
        <v>1832</v>
      </c>
      <c r="N3821" t="s">
        <v>4048</v>
      </c>
      <c r="O3821">
        <v>3</v>
      </c>
      <c r="P3821">
        <v>2</v>
      </c>
      <c r="Q3821">
        <v>0</v>
      </c>
      <c r="R3821" t="s">
        <v>4557</v>
      </c>
      <c r="S3821" t="s">
        <v>4558</v>
      </c>
      <c r="T3821" t="s">
        <v>4143</v>
      </c>
      <c r="U3821" t="s">
        <v>4560</v>
      </c>
      <c r="V3821" s="2">
        <v>480</v>
      </c>
      <c r="W3821" t="s">
        <v>4655</v>
      </c>
      <c r="X3821" s="2">
        <v>0</v>
      </c>
      <c r="Y3821">
        <v>20</v>
      </c>
      <c r="Z3821" t="s">
        <v>3884</v>
      </c>
      <c r="AA3821" s="3">
        <v>1.1000000238418499</v>
      </c>
      <c r="AB3821" t="s">
        <v>20845</v>
      </c>
      <c r="AC3821" t="s">
        <v>4562</v>
      </c>
      <c r="AD3821" t="s">
        <v>20843</v>
      </c>
      <c r="AE3821" t="s">
        <v>4655</v>
      </c>
      <c r="AF3821" t="s">
        <v>4563</v>
      </c>
      <c r="AG3821" t="s">
        <v>4564</v>
      </c>
      <c r="AH3821">
        <v>89506</v>
      </c>
      <c r="AI3821" t="s">
        <v>4565</v>
      </c>
      <c r="AJ3821" t="s">
        <v>4655</v>
      </c>
      <c r="AK3821" t="s">
        <v>20846</v>
      </c>
      <c r="AL3821" s="13" t="s">
        <v>1902</v>
      </c>
      <c r="AM3821">
        <v>1</v>
      </c>
      <c r="AN3821" s="15" t="s">
        <v>5072</v>
      </c>
    </row>
    <row r="3822" spans="1:40" x14ac:dyDescent="0.3">
      <c r="A3822" s="10" t="str">
        <f>HYPERLINK("http://www.washoecounty.gov/assessor/cama/?parid=086-250-56&amp;CardNumber=1","086-250-56")</f>
        <v>086-250-56</v>
      </c>
      <c r="B3822" t="s">
        <v>4655</v>
      </c>
      <c r="C3822" t="s">
        <v>20847</v>
      </c>
      <c r="D3822" s="1">
        <v>40310</v>
      </c>
      <c r="E3822" s="2">
        <v>225000</v>
      </c>
      <c r="F3822" t="s">
        <v>4567</v>
      </c>
      <c r="G3822" s="17" t="str">
        <f>HYPERLINK("https://www.washoecounty.gov/assessor/cama/?command=sales&amp;parid=08625056","NOT AVAILABLE ")</f>
        <v xml:space="preserve">NOT AVAILABLE </v>
      </c>
      <c r="H3822" t="s">
        <v>20848</v>
      </c>
      <c r="I3822">
        <v>1978</v>
      </c>
      <c r="J3822">
        <v>1980</v>
      </c>
      <c r="K3822" t="s">
        <v>4554</v>
      </c>
      <c r="L3822" t="s">
        <v>4555</v>
      </c>
      <c r="M3822" s="2">
        <v>2205</v>
      </c>
      <c r="N3822" t="s">
        <v>4048</v>
      </c>
      <c r="O3822">
        <v>3</v>
      </c>
      <c r="P3822">
        <v>3</v>
      </c>
      <c r="Q3822">
        <v>0</v>
      </c>
      <c r="R3822" t="s">
        <v>4557</v>
      </c>
      <c r="S3822" t="s">
        <v>4558</v>
      </c>
      <c r="T3822" t="s">
        <v>4559</v>
      </c>
      <c r="U3822" t="s">
        <v>4560</v>
      </c>
      <c r="V3822" s="2">
        <v>506</v>
      </c>
      <c r="W3822" t="s">
        <v>4655</v>
      </c>
      <c r="X3822" s="2">
        <v>0</v>
      </c>
      <c r="Y3822">
        <v>20</v>
      </c>
      <c r="Z3822" t="s">
        <v>3884</v>
      </c>
      <c r="AA3822" s="3">
        <v>1</v>
      </c>
      <c r="AB3822" t="s">
        <v>8865</v>
      </c>
      <c r="AC3822" t="s">
        <v>4562</v>
      </c>
      <c r="AD3822" t="s">
        <v>283</v>
      </c>
      <c r="AE3822" t="s">
        <v>4655</v>
      </c>
      <c r="AF3822" t="s">
        <v>283</v>
      </c>
      <c r="AG3822" t="s">
        <v>4564</v>
      </c>
      <c r="AH3822" t="s">
        <v>3101</v>
      </c>
      <c r="AI3822" t="s">
        <v>4655</v>
      </c>
      <c r="AJ3822" t="s">
        <v>20849</v>
      </c>
      <c r="AK3822" t="s">
        <v>20850</v>
      </c>
      <c r="AL3822" s="13" t="s">
        <v>1902</v>
      </c>
      <c r="AM3822" s="14">
        <v>1</v>
      </c>
      <c r="AN3822" s="15" t="s">
        <v>5072</v>
      </c>
    </row>
    <row r="3823" spans="1:40" x14ac:dyDescent="0.3">
      <c r="A3823" s="10" t="str">
        <f>HYPERLINK("http://www.washoecounty.gov/assessor/cama/?parid=086-285-04&amp;CardNumber=1","086-285-04")</f>
        <v>086-285-04</v>
      </c>
      <c r="B3823" t="s">
        <v>4655</v>
      </c>
      <c r="C3823" t="s">
        <v>20851</v>
      </c>
      <c r="D3823" s="1">
        <v>40242</v>
      </c>
      <c r="E3823" s="2">
        <v>47000</v>
      </c>
      <c r="F3823" t="s">
        <v>4553</v>
      </c>
      <c r="G3823" s="17" t="str">
        <f>HYPERLINK("https://www.washoecounty.gov/assessor/cama/?command=sales&amp;parid=08628504","3856408")</f>
        <v>3856408</v>
      </c>
      <c r="H3823" t="s">
        <v>20852</v>
      </c>
      <c r="I3823">
        <v>1969</v>
      </c>
      <c r="J3823">
        <v>1969</v>
      </c>
      <c r="K3823" t="s">
        <v>4847</v>
      </c>
      <c r="L3823" t="s">
        <v>4555</v>
      </c>
      <c r="M3823" s="2">
        <v>1536</v>
      </c>
      <c r="N3823" t="s">
        <v>4556</v>
      </c>
      <c r="O3823">
        <v>3</v>
      </c>
      <c r="P3823">
        <v>2</v>
      </c>
      <c r="Q3823">
        <v>0</v>
      </c>
      <c r="R3823" t="s">
        <v>4557</v>
      </c>
      <c r="S3823" t="s">
        <v>1155</v>
      </c>
      <c r="T3823" t="s">
        <v>3888</v>
      </c>
      <c r="U3823" t="s">
        <v>4655</v>
      </c>
      <c r="V3823" s="2">
        <v>0</v>
      </c>
      <c r="W3823" t="s">
        <v>4655</v>
      </c>
      <c r="X3823" s="2">
        <v>0</v>
      </c>
      <c r="Y3823">
        <v>22</v>
      </c>
      <c r="Z3823" t="s">
        <v>3884</v>
      </c>
      <c r="AA3823" s="3">
        <v>1</v>
      </c>
      <c r="AB3823" t="s">
        <v>20853</v>
      </c>
      <c r="AC3823" t="s">
        <v>4562</v>
      </c>
      <c r="AD3823" t="s">
        <v>20851</v>
      </c>
      <c r="AE3823" t="s">
        <v>4655</v>
      </c>
      <c r="AF3823" t="s">
        <v>4563</v>
      </c>
      <c r="AG3823" t="s">
        <v>4564</v>
      </c>
      <c r="AH3823">
        <v>89506</v>
      </c>
      <c r="AI3823" t="s">
        <v>4655</v>
      </c>
      <c r="AJ3823" t="s">
        <v>4655</v>
      </c>
      <c r="AK3823" t="s">
        <v>20854</v>
      </c>
      <c r="AL3823" s="13" t="s">
        <v>1902</v>
      </c>
      <c r="AM3823">
        <v>1</v>
      </c>
      <c r="AN3823" s="15" t="s">
        <v>5074</v>
      </c>
    </row>
    <row r="3824" spans="1:40" x14ac:dyDescent="0.3">
      <c r="A3824" s="10" t="str">
        <f>HYPERLINK("http://www.washoecounty.gov/assessor/cama/?parid=086-302-02&amp;CardNumber=1","086-302-02")</f>
        <v>086-302-02</v>
      </c>
      <c r="B3824" t="s">
        <v>4655</v>
      </c>
      <c r="C3824" t="s">
        <v>20855</v>
      </c>
      <c r="D3824" s="1">
        <v>40211</v>
      </c>
      <c r="E3824" s="2">
        <v>33225</v>
      </c>
      <c r="F3824" t="s">
        <v>4553</v>
      </c>
      <c r="G3824" s="17" t="str">
        <f>HYPERLINK("https://www.washoecounty.gov/assessor/cama/?command=sales&amp;parid=08630202","3845390")</f>
        <v>3845390</v>
      </c>
      <c r="H3824" t="s">
        <v>5073</v>
      </c>
      <c r="I3824">
        <v>1972</v>
      </c>
      <c r="J3824">
        <v>1972</v>
      </c>
      <c r="K3824" t="s">
        <v>4847</v>
      </c>
      <c r="L3824" t="s">
        <v>4555</v>
      </c>
      <c r="M3824" s="2">
        <v>1100</v>
      </c>
      <c r="N3824" t="s">
        <v>4133</v>
      </c>
      <c r="O3824">
        <v>3</v>
      </c>
      <c r="P3824">
        <v>1</v>
      </c>
      <c r="Q3824">
        <v>0</v>
      </c>
      <c r="R3824" t="s">
        <v>4557</v>
      </c>
      <c r="S3824" t="s">
        <v>1155</v>
      </c>
      <c r="T3824" t="s">
        <v>3888</v>
      </c>
      <c r="U3824" t="s">
        <v>4655</v>
      </c>
      <c r="V3824" s="2">
        <v>0</v>
      </c>
      <c r="W3824" t="s">
        <v>4655</v>
      </c>
      <c r="X3824" s="2">
        <v>0</v>
      </c>
      <c r="Y3824">
        <v>22</v>
      </c>
      <c r="Z3824" t="s">
        <v>3884</v>
      </c>
      <c r="AA3824" s="3">
        <v>0.93999081850051802</v>
      </c>
      <c r="AB3824" t="s">
        <v>20856</v>
      </c>
      <c r="AC3824" t="s">
        <v>4575</v>
      </c>
      <c r="AD3824" t="s">
        <v>20855</v>
      </c>
      <c r="AE3824" t="s">
        <v>4655</v>
      </c>
      <c r="AF3824" t="s">
        <v>4563</v>
      </c>
      <c r="AG3824" t="s">
        <v>4564</v>
      </c>
      <c r="AH3824">
        <v>89506</v>
      </c>
      <c r="AI3824" t="s">
        <v>4655</v>
      </c>
      <c r="AJ3824" t="s">
        <v>4655</v>
      </c>
      <c r="AK3824" t="s">
        <v>20857</v>
      </c>
      <c r="AL3824" s="13" t="s">
        <v>1902</v>
      </c>
      <c r="AM3824">
        <v>1</v>
      </c>
      <c r="AN3824" s="15" t="s">
        <v>5074</v>
      </c>
    </row>
    <row r="3825" spans="1:40" x14ac:dyDescent="0.3">
      <c r="A3825" s="10" t="str">
        <f>HYPERLINK("http://www.washoecounty.gov/assessor/cama/?parid=086-304-49&amp;CardNumber=1","086-304-49")</f>
        <v>086-304-49</v>
      </c>
      <c r="B3825" t="s">
        <v>4655</v>
      </c>
      <c r="C3825" t="s">
        <v>20858</v>
      </c>
      <c r="D3825" s="1">
        <v>40409</v>
      </c>
      <c r="E3825" s="2">
        <v>50100</v>
      </c>
      <c r="F3825" t="s">
        <v>4553</v>
      </c>
      <c r="G3825" s="17" t="str">
        <f>HYPERLINK("https://www.washoecounty.gov/assessor/cama/?command=sales&amp;parid=08630449","3913918")</f>
        <v>3913918</v>
      </c>
      <c r="H3825" t="s">
        <v>1374</v>
      </c>
      <c r="I3825">
        <v>1992</v>
      </c>
      <c r="J3825">
        <v>1992</v>
      </c>
      <c r="K3825" t="s">
        <v>4847</v>
      </c>
      <c r="L3825" t="s">
        <v>4555</v>
      </c>
      <c r="M3825" s="2">
        <v>1716</v>
      </c>
      <c r="N3825" t="s">
        <v>5280</v>
      </c>
      <c r="O3825">
        <v>4</v>
      </c>
      <c r="P3825">
        <v>2</v>
      </c>
      <c r="Q3825">
        <v>0</v>
      </c>
      <c r="R3825" t="s">
        <v>4557</v>
      </c>
      <c r="S3825" t="s">
        <v>4558</v>
      </c>
      <c r="T3825" t="s">
        <v>4559</v>
      </c>
      <c r="U3825" t="s">
        <v>4655</v>
      </c>
      <c r="V3825" s="2">
        <v>0</v>
      </c>
      <c r="W3825" t="s">
        <v>4655</v>
      </c>
      <c r="X3825" s="2">
        <v>0</v>
      </c>
      <c r="Y3825">
        <v>22</v>
      </c>
      <c r="Z3825" t="s">
        <v>3884</v>
      </c>
      <c r="AA3825" s="3">
        <v>1</v>
      </c>
      <c r="AB3825" t="s">
        <v>20859</v>
      </c>
      <c r="AC3825" t="s">
        <v>4575</v>
      </c>
      <c r="AD3825" t="s">
        <v>20858</v>
      </c>
      <c r="AE3825" t="s">
        <v>4655</v>
      </c>
      <c r="AF3825" t="s">
        <v>4563</v>
      </c>
      <c r="AG3825" t="s">
        <v>4564</v>
      </c>
      <c r="AH3825">
        <v>89506</v>
      </c>
      <c r="AI3825" t="s">
        <v>1149</v>
      </c>
      <c r="AJ3825" t="s">
        <v>4655</v>
      </c>
      <c r="AK3825" t="s">
        <v>20860</v>
      </c>
      <c r="AL3825" s="13" t="s">
        <v>1902</v>
      </c>
      <c r="AM3825">
        <v>1</v>
      </c>
      <c r="AN3825" s="15" t="s">
        <v>5074</v>
      </c>
    </row>
    <row r="3826" spans="1:40" x14ac:dyDescent="0.3">
      <c r="A3826" s="10" t="str">
        <f>HYPERLINK("http://www.washoecounty.gov/assessor/cama/?parid=086-340-18&amp;CardNumber=1","086-340-18")</f>
        <v>086-340-18</v>
      </c>
      <c r="B3826" t="s">
        <v>4655</v>
      </c>
      <c r="C3826" t="s">
        <v>20861</v>
      </c>
      <c r="D3826" s="1">
        <v>40423</v>
      </c>
      <c r="E3826" s="2">
        <v>140000</v>
      </c>
      <c r="F3826" t="s">
        <v>4553</v>
      </c>
      <c r="G3826" s="17" t="str">
        <f>HYPERLINK("https://www.washoecounty.gov/assessor/cama/?command=sales&amp;parid=08634018","3918492")</f>
        <v>3918492</v>
      </c>
      <c r="H3826" t="s">
        <v>4655</v>
      </c>
      <c r="I3826">
        <v>1981</v>
      </c>
      <c r="J3826">
        <v>1981</v>
      </c>
      <c r="K3826" t="s">
        <v>4554</v>
      </c>
      <c r="L3826" t="s">
        <v>3886</v>
      </c>
      <c r="M3826" s="2">
        <v>2850</v>
      </c>
      <c r="N3826" t="s">
        <v>5280</v>
      </c>
      <c r="O3826">
        <v>3</v>
      </c>
      <c r="P3826">
        <v>2</v>
      </c>
      <c r="Q3826">
        <v>0</v>
      </c>
      <c r="R3826" t="s">
        <v>4557</v>
      </c>
      <c r="S3826" t="s">
        <v>4135</v>
      </c>
      <c r="T3826" t="s">
        <v>4559</v>
      </c>
      <c r="U3826" t="s">
        <v>4560</v>
      </c>
      <c r="V3826" s="2">
        <v>864</v>
      </c>
      <c r="W3826" t="s">
        <v>4655</v>
      </c>
      <c r="X3826" s="2">
        <v>0</v>
      </c>
      <c r="Y3826">
        <v>20</v>
      </c>
      <c r="Z3826" t="s">
        <v>3884</v>
      </c>
      <c r="AA3826" s="3">
        <v>1.25</v>
      </c>
      <c r="AB3826" t="s">
        <v>20862</v>
      </c>
      <c r="AC3826" t="s">
        <v>4562</v>
      </c>
      <c r="AD3826" t="s">
        <v>20861</v>
      </c>
      <c r="AE3826" t="s">
        <v>4655</v>
      </c>
      <c r="AF3826" t="s">
        <v>4563</v>
      </c>
      <c r="AG3826" t="s">
        <v>4564</v>
      </c>
      <c r="AH3826">
        <v>89506</v>
      </c>
      <c r="AI3826" t="s">
        <v>4565</v>
      </c>
      <c r="AJ3826" t="s">
        <v>4655</v>
      </c>
      <c r="AK3826" t="s">
        <v>20863</v>
      </c>
      <c r="AL3826" s="13" t="s">
        <v>1902</v>
      </c>
      <c r="AM3826" s="14">
        <v>1</v>
      </c>
      <c r="AN3826" s="15" t="s">
        <v>5072</v>
      </c>
    </row>
    <row r="3827" spans="1:40" x14ac:dyDescent="0.3">
      <c r="A3827" s="10" t="str">
        <f>HYPERLINK("http://www.washoecounty.gov/assessor/cama/?parid=086-350-25&amp;CardNumber=1","086-350-25")</f>
        <v>086-350-25</v>
      </c>
      <c r="B3827" t="s">
        <v>4655</v>
      </c>
      <c r="C3827" t="s">
        <v>20864</v>
      </c>
      <c r="D3827" s="1">
        <v>40295</v>
      </c>
      <c r="E3827" s="2">
        <v>215000</v>
      </c>
      <c r="F3827" t="s">
        <v>4567</v>
      </c>
      <c r="G3827" s="17" t="str">
        <f>HYPERLINK("https://www.washoecounty.gov/assessor/cama/?command=sales&amp;parid=08635025","3875367")</f>
        <v>3875367</v>
      </c>
      <c r="H3827" t="s">
        <v>5164</v>
      </c>
      <c r="I3827">
        <v>1978</v>
      </c>
      <c r="J3827">
        <v>1984</v>
      </c>
      <c r="K3827" t="s">
        <v>4554</v>
      </c>
      <c r="L3827" t="s">
        <v>4555</v>
      </c>
      <c r="M3827" s="2">
        <v>2290</v>
      </c>
      <c r="N3827" t="s">
        <v>4048</v>
      </c>
      <c r="O3827">
        <v>4</v>
      </c>
      <c r="P3827">
        <v>2</v>
      </c>
      <c r="Q3827">
        <v>0</v>
      </c>
      <c r="R3827" t="s">
        <v>5281</v>
      </c>
      <c r="S3827" t="s">
        <v>4135</v>
      </c>
      <c r="T3827" t="s">
        <v>4559</v>
      </c>
      <c r="U3827" t="s">
        <v>4655</v>
      </c>
      <c r="V3827" s="2">
        <v>0</v>
      </c>
      <c r="W3827" t="s">
        <v>4655</v>
      </c>
      <c r="X3827" s="2">
        <v>0</v>
      </c>
      <c r="Y3827">
        <v>20</v>
      </c>
      <c r="Z3827" t="s">
        <v>3884</v>
      </c>
      <c r="AA3827" s="3">
        <v>1.38000464439392</v>
      </c>
      <c r="AB3827" t="s">
        <v>20865</v>
      </c>
      <c r="AC3827" t="s">
        <v>4562</v>
      </c>
      <c r="AD3827" t="s">
        <v>20866</v>
      </c>
      <c r="AE3827" t="s">
        <v>4655</v>
      </c>
      <c r="AF3827" t="s">
        <v>4563</v>
      </c>
      <c r="AG3827" t="s">
        <v>4564</v>
      </c>
      <c r="AH3827">
        <v>89508</v>
      </c>
      <c r="AI3827" t="s">
        <v>20867</v>
      </c>
      <c r="AJ3827" t="s">
        <v>4655</v>
      </c>
      <c r="AK3827" t="s">
        <v>20868</v>
      </c>
      <c r="AL3827" s="13" t="s">
        <v>1902</v>
      </c>
      <c r="AM3827" s="14">
        <v>1</v>
      </c>
      <c r="AN3827" s="15" t="s">
        <v>5072</v>
      </c>
    </row>
    <row r="3828" spans="1:40" x14ac:dyDescent="0.3">
      <c r="A3828" s="10" t="str">
        <f>HYPERLINK("http://www.washoecounty.gov/assessor/cama/?parid=086-412-02&amp;CardNumber=1","086-412-02")</f>
        <v>086-412-02</v>
      </c>
      <c r="B3828" t="s">
        <v>4655</v>
      </c>
      <c r="C3828" t="s">
        <v>20869</v>
      </c>
      <c r="D3828" s="1">
        <v>40217</v>
      </c>
      <c r="E3828" s="2">
        <v>80000</v>
      </c>
      <c r="F3828" t="s">
        <v>4553</v>
      </c>
      <c r="G3828" s="17" t="str">
        <f>HYPERLINK("https://www.washoecounty.gov/assessor/cama/?command=sales&amp;parid=08641202","3847087")</f>
        <v>3847087</v>
      </c>
      <c r="H3828" t="s">
        <v>5075</v>
      </c>
      <c r="I3828">
        <v>1963</v>
      </c>
      <c r="J3828">
        <v>1967</v>
      </c>
      <c r="K3828" t="s">
        <v>4554</v>
      </c>
      <c r="L3828" t="s">
        <v>4555</v>
      </c>
      <c r="M3828" s="2">
        <v>1184</v>
      </c>
      <c r="N3828" t="s">
        <v>4133</v>
      </c>
      <c r="O3828">
        <v>2</v>
      </c>
      <c r="P3828">
        <v>1</v>
      </c>
      <c r="Q3828">
        <v>0</v>
      </c>
      <c r="R3828" t="s">
        <v>4134</v>
      </c>
      <c r="S3828" t="s">
        <v>4135</v>
      </c>
      <c r="T3828" t="s">
        <v>4559</v>
      </c>
      <c r="U3828" t="s">
        <v>4655</v>
      </c>
      <c r="V3828" s="2">
        <v>0</v>
      </c>
      <c r="W3828" t="s">
        <v>4655</v>
      </c>
      <c r="X3828" s="2">
        <v>0</v>
      </c>
      <c r="Y3828">
        <v>20</v>
      </c>
      <c r="Z3828" t="s">
        <v>3884</v>
      </c>
      <c r="AA3828" s="3">
        <v>0.98000460863113403</v>
      </c>
      <c r="AB3828" t="s">
        <v>20870</v>
      </c>
      <c r="AC3828" t="s">
        <v>4562</v>
      </c>
      <c r="AD3828" t="s">
        <v>6642</v>
      </c>
      <c r="AE3828" t="s">
        <v>4655</v>
      </c>
      <c r="AF3828" t="s">
        <v>20871</v>
      </c>
      <c r="AG3828" t="s">
        <v>4584</v>
      </c>
      <c r="AH3828" t="s">
        <v>20872</v>
      </c>
      <c r="AI3828" t="s">
        <v>17525</v>
      </c>
      <c r="AJ3828" t="s">
        <v>4655</v>
      </c>
      <c r="AK3828" t="s">
        <v>20873</v>
      </c>
      <c r="AL3828" s="13" t="s">
        <v>1902</v>
      </c>
      <c r="AM3828">
        <v>1</v>
      </c>
      <c r="AN3828" s="15" t="s">
        <v>5258</v>
      </c>
    </row>
    <row r="3829" spans="1:40" x14ac:dyDescent="0.3">
      <c r="A3829" s="10" t="str">
        <f>HYPERLINK("http://www.washoecounty.gov/assessor/cama/?parid=086-412-05&amp;CardNumber=1","086-412-05")</f>
        <v>086-412-05</v>
      </c>
      <c r="B3829" t="s">
        <v>4655</v>
      </c>
      <c r="C3829" t="s">
        <v>20874</v>
      </c>
      <c r="D3829" s="1">
        <v>40401</v>
      </c>
      <c r="E3829" s="2">
        <v>73900</v>
      </c>
      <c r="F3829" t="s">
        <v>4553</v>
      </c>
      <c r="G3829" s="17" t="str">
        <f>HYPERLINK("https://www.washoecounty.gov/assessor/cama/?command=sales&amp;parid=08641205","3910678")</f>
        <v>3910678</v>
      </c>
      <c r="H3829" t="s">
        <v>5075</v>
      </c>
      <c r="I3829">
        <v>1967</v>
      </c>
      <c r="J3829">
        <v>1967</v>
      </c>
      <c r="K3829" t="s">
        <v>4554</v>
      </c>
      <c r="L3829" t="s">
        <v>4555</v>
      </c>
      <c r="M3829" s="2">
        <v>863</v>
      </c>
      <c r="N3829" t="s">
        <v>4133</v>
      </c>
      <c r="O3829">
        <v>2</v>
      </c>
      <c r="P3829">
        <v>1</v>
      </c>
      <c r="Q3829">
        <v>0</v>
      </c>
      <c r="R3829" t="s">
        <v>4557</v>
      </c>
      <c r="S3829" t="s">
        <v>4135</v>
      </c>
      <c r="T3829" t="s">
        <v>4559</v>
      </c>
      <c r="U3829" t="s">
        <v>4655</v>
      </c>
      <c r="V3829" s="2">
        <v>0</v>
      </c>
      <c r="W3829" t="s">
        <v>4655</v>
      </c>
      <c r="X3829" s="2">
        <v>0</v>
      </c>
      <c r="Y3829">
        <v>20</v>
      </c>
      <c r="Z3829" t="s">
        <v>3884</v>
      </c>
      <c r="AA3829" s="3">
        <v>0.98000460863113403</v>
      </c>
      <c r="AB3829" t="s">
        <v>20875</v>
      </c>
      <c r="AC3829" t="s">
        <v>4575</v>
      </c>
      <c r="AD3829" t="s">
        <v>20874</v>
      </c>
      <c r="AE3829" t="s">
        <v>4655</v>
      </c>
      <c r="AF3829" t="s">
        <v>4563</v>
      </c>
      <c r="AG3829" t="s">
        <v>4564</v>
      </c>
      <c r="AH3829">
        <v>89506</v>
      </c>
      <c r="AI3829" t="s">
        <v>20876</v>
      </c>
      <c r="AJ3829" t="s">
        <v>4655</v>
      </c>
      <c r="AK3829" t="s">
        <v>20877</v>
      </c>
      <c r="AL3829" s="13" t="s">
        <v>1902</v>
      </c>
      <c r="AM3829">
        <v>1</v>
      </c>
      <c r="AN3829" s="15" t="s">
        <v>5258</v>
      </c>
    </row>
    <row r="3830" spans="1:40" x14ac:dyDescent="0.3">
      <c r="A3830" s="10" t="str">
        <f>HYPERLINK("http://www.washoecounty.gov/assessor/cama/?parid=086-413-01&amp;CardNumber=1","086-413-01")</f>
        <v>086-413-01</v>
      </c>
      <c r="B3830" t="s">
        <v>4655</v>
      </c>
      <c r="C3830" t="s">
        <v>20878</v>
      </c>
      <c r="D3830" s="1">
        <v>40368</v>
      </c>
      <c r="E3830" s="2">
        <v>75000</v>
      </c>
      <c r="F3830" t="s">
        <v>4553</v>
      </c>
      <c r="G3830" s="17" t="str">
        <f>HYPERLINK("https://www.washoecounty.gov/assessor/cama/?command=sales&amp;parid=08641301","3900060")</f>
        <v>3900060</v>
      </c>
      <c r="H3830" t="s">
        <v>20879</v>
      </c>
      <c r="I3830">
        <v>1964</v>
      </c>
      <c r="J3830">
        <v>1964</v>
      </c>
      <c r="K3830" t="s">
        <v>4554</v>
      </c>
      <c r="L3830" t="s">
        <v>4555</v>
      </c>
      <c r="M3830" s="2">
        <v>956</v>
      </c>
      <c r="N3830" t="s">
        <v>4133</v>
      </c>
      <c r="O3830">
        <v>3</v>
      </c>
      <c r="P3830">
        <v>1</v>
      </c>
      <c r="Q3830">
        <v>0</v>
      </c>
      <c r="R3830" t="s">
        <v>4134</v>
      </c>
      <c r="S3830" t="s">
        <v>4135</v>
      </c>
      <c r="T3830" t="s">
        <v>4559</v>
      </c>
      <c r="U3830" t="s">
        <v>4655</v>
      </c>
      <c r="V3830" s="2">
        <v>0</v>
      </c>
      <c r="W3830" t="s">
        <v>4655</v>
      </c>
      <c r="X3830" s="2">
        <v>0</v>
      </c>
      <c r="Y3830">
        <v>20</v>
      </c>
      <c r="Z3830" t="s">
        <v>3884</v>
      </c>
      <c r="AA3830" s="3">
        <v>0.98000460863113403</v>
      </c>
      <c r="AB3830" t="s">
        <v>20880</v>
      </c>
      <c r="AC3830" t="s">
        <v>4562</v>
      </c>
      <c r="AD3830" t="s">
        <v>20881</v>
      </c>
      <c r="AE3830" t="s">
        <v>4655</v>
      </c>
      <c r="AF3830" t="s">
        <v>4563</v>
      </c>
      <c r="AG3830" t="s">
        <v>4564</v>
      </c>
      <c r="AH3830">
        <v>89506</v>
      </c>
      <c r="AI3830" t="s">
        <v>4503</v>
      </c>
      <c r="AJ3830" t="s">
        <v>4655</v>
      </c>
      <c r="AK3830" t="s">
        <v>20882</v>
      </c>
      <c r="AL3830" s="13" t="s">
        <v>1902</v>
      </c>
      <c r="AM3830">
        <v>1</v>
      </c>
      <c r="AN3830" s="15" t="s">
        <v>5258</v>
      </c>
    </row>
    <row r="3831" spans="1:40" x14ac:dyDescent="0.3">
      <c r="A3831" s="10" t="str">
        <f>HYPERLINK("http://www.washoecounty.gov/assessor/cama/?parid=086-416-12&amp;CardNumber=1","086-416-12")</f>
        <v>086-416-12</v>
      </c>
      <c r="B3831" t="s">
        <v>4655</v>
      </c>
      <c r="C3831" t="s">
        <v>20883</v>
      </c>
      <c r="D3831" s="1">
        <v>40344</v>
      </c>
      <c r="E3831" s="2">
        <v>75000</v>
      </c>
      <c r="F3831" t="s">
        <v>4567</v>
      </c>
      <c r="G3831" s="17" t="str">
        <f>HYPERLINK("https://www.washoecounty.gov/assessor/cama/?command=sales&amp;parid=08641612","3892115")</f>
        <v>3892115</v>
      </c>
      <c r="H3831" t="s">
        <v>5075</v>
      </c>
      <c r="I3831">
        <v>0</v>
      </c>
      <c r="J3831">
        <v>0</v>
      </c>
      <c r="K3831" t="s">
        <v>4655</v>
      </c>
      <c r="L3831" t="s">
        <v>4655</v>
      </c>
      <c r="M3831" s="2">
        <v>0</v>
      </c>
      <c r="N3831" t="s">
        <v>4655</v>
      </c>
      <c r="O3831">
        <v>0</v>
      </c>
      <c r="P3831">
        <v>0</v>
      </c>
      <c r="Q3831">
        <v>0</v>
      </c>
      <c r="R3831" t="s">
        <v>4655</v>
      </c>
      <c r="S3831" t="s">
        <v>4655</v>
      </c>
      <c r="T3831" t="s">
        <v>4655</v>
      </c>
      <c r="U3831" t="s">
        <v>4655</v>
      </c>
      <c r="V3831" s="2">
        <v>0</v>
      </c>
      <c r="W3831" t="s">
        <v>4655</v>
      </c>
      <c r="X3831" s="2">
        <v>0</v>
      </c>
      <c r="Y3831">
        <v>23</v>
      </c>
      <c r="Z3831" t="s">
        <v>3884</v>
      </c>
      <c r="AA3831" s="3">
        <v>0.91999542713165283</v>
      </c>
      <c r="AB3831" t="s">
        <v>20884</v>
      </c>
      <c r="AC3831" t="s">
        <v>4575</v>
      </c>
      <c r="AD3831" t="s">
        <v>20885</v>
      </c>
      <c r="AE3831" t="s">
        <v>4655</v>
      </c>
      <c r="AF3831" t="s">
        <v>4563</v>
      </c>
      <c r="AG3831" t="s">
        <v>4564</v>
      </c>
      <c r="AH3831">
        <v>89511</v>
      </c>
      <c r="AI3831" t="s">
        <v>20886</v>
      </c>
      <c r="AJ3831" t="s">
        <v>4655</v>
      </c>
      <c r="AK3831" t="s">
        <v>20887</v>
      </c>
      <c r="AL3831" s="13" t="s">
        <v>1902</v>
      </c>
      <c r="AM3831">
        <v>0</v>
      </c>
      <c r="AN3831" s="15" t="s">
        <v>5258</v>
      </c>
    </row>
    <row r="3832" spans="1:40" x14ac:dyDescent="0.3">
      <c r="A3832" s="10" t="str">
        <f>HYPERLINK("http://www.washoecounty.gov/assessor/cama/?parid=086-416-17&amp;CardNumber=1","086-416-17")</f>
        <v>086-416-17</v>
      </c>
      <c r="B3832" t="s">
        <v>4655</v>
      </c>
      <c r="C3832" t="s">
        <v>20888</v>
      </c>
      <c r="D3832" s="1">
        <v>40539</v>
      </c>
      <c r="E3832" s="2">
        <v>116000</v>
      </c>
      <c r="F3832" t="s">
        <v>4553</v>
      </c>
      <c r="G3832" s="17" t="str">
        <f>HYPERLINK("https://www.washoecounty.gov/assessor/cama/?command=sales&amp;parid=08641617","3957341")</f>
        <v>3957341</v>
      </c>
      <c r="H3832" t="s">
        <v>5075</v>
      </c>
      <c r="I3832">
        <v>1980</v>
      </c>
      <c r="J3832">
        <v>1980</v>
      </c>
      <c r="K3832" t="s">
        <v>4554</v>
      </c>
      <c r="L3832" t="s">
        <v>4555</v>
      </c>
      <c r="M3832" s="2">
        <v>1624</v>
      </c>
      <c r="N3832" t="s">
        <v>4556</v>
      </c>
      <c r="O3832">
        <v>3</v>
      </c>
      <c r="P3832">
        <v>1</v>
      </c>
      <c r="Q3832">
        <v>0</v>
      </c>
      <c r="R3832" t="s">
        <v>4557</v>
      </c>
      <c r="S3832" t="s">
        <v>4135</v>
      </c>
      <c r="T3832" t="s">
        <v>4559</v>
      </c>
      <c r="U3832" t="s">
        <v>4560</v>
      </c>
      <c r="V3832" s="2">
        <v>560</v>
      </c>
      <c r="W3832" t="s">
        <v>4655</v>
      </c>
      <c r="X3832" s="2">
        <v>0</v>
      </c>
      <c r="Y3832">
        <v>20</v>
      </c>
      <c r="Z3832" t="s">
        <v>3884</v>
      </c>
      <c r="AA3832" s="3">
        <v>0.80000001192092796</v>
      </c>
      <c r="AB3832" t="s">
        <v>20889</v>
      </c>
      <c r="AC3832" t="s">
        <v>4562</v>
      </c>
      <c r="AD3832" t="s">
        <v>20888</v>
      </c>
      <c r="AE3832" t="s">
        <v>4655</v>
      </c>
      <c r="AF3832" t="s">
        <v>4563</v>
      </c>
      <c r="AG3832" t="s">
        <v>4564</v>
      </c>
      <c r="AH3832">
        <v>895506</v>
      </c>
      <c r="AI3832" t="s">
        <v>4903</v>
      </c>
      <c r="AJ3832" t="s">
        <v>4655</v>
      </c>
      <c r="AK3832" t="s">
        <v>20890</v>
      </c>
      <c r="AL3832" s="13" t="s">
        <v>1902</v>
      </c>
      <c r="AM3832">
        <v>1</v>
      </c>
      <c r="AN3832" s="15" t="s">
        <v>5258</v>
      </c>
    </row>
    <row r="3833" spans="1:40" x14ac:dyDescent="0.3">
      <c r="A3833" s="10" t="str">
        <f>HYPERLINK("http://www.washoecounty.gov/assessor/cama/?parid=086-471-04&amp;CardNumber=1","086-471-04")</f>
        <v>086-471-04</v>
      </c>
      <c r="B3833" t="s">
        <v>4655</v>
      </c>
      <c r="C3833" t="s">
        <v>20891</v>
      </c>
      <c r="D3833" s="1">
        <v>40415</v>
      </c>
      <c r="E3833" s="2">
        <v>59818</v>
      </c>
      <c r="F3833" t="s">
        <v>4553</v>
      </c>
      <c r="G3833" s="17" t="str">
        <f>HYPERLINK("https://www.washoecounty.gov/assessor/cama/?command=sales&amp;parid=08647104","3915424")</f>
        <v>3915424</v>
      </c>
      <c r="H3833" t="s">
        <v>5542</v>
      </c>
      <c r="I3833">
        <v>1950</v>
      </c>
      <c r="J3833">
        <v>1950</v>
      </c>
      <c r="K3833" t="s">
        <v>4897</v>
      </c>
      <c r="L3833" t="s">
        <v>4555</v>
      </c>
      <c r="M3833" s="2">
        <v>1192</v>
      </c>
      <c r="N3833" t="s">
        <v>4556</v>
      </c>
      <c r="O3833">
        <v>3</v>
      </c>
      <c r="P3833">
        <v>1</v>
      </c>
      <c r="Q3833">
        <v>0</v>
      </c>
      <c r="R3833" t="s">
        <v>5281</v>
      </c>
      <c r="S3833" t="s">
        <v>4135</v>
      </c>
      <c r="T3833" t="s">
        <v>4559</v>
      </c>
      <c r="U3833" t="s">
        <v>4655</v>
      </c>
      <c r="V3833" s="2">
        <v>0</v>
      </c>
      <c r="W3833" t="s">
        <v>4655</v>
      </c>
      <c r="X3833" s="2">
        <v>0</v>
      </c>
      <c r="Y3833">
        <v>21</v>
      </c>
      <c r="Z3833" t="s">
        <v>365</v>
      </c>
      <c r="AA3833" s="3">
        <v>6.0743801295757301E-2</v>
      </c>
      <c r="AB3833" t="s">
        <v>20892</v>
      </c>
      <c r="AC3833" t="s">
        <v>4562</v>
      </c>
      <c r="AD3833" t="s">
        <v>1291</v>
      </c>
      <c r="AE3833" t="s">
        <v>4655</v>
      </c>
      <c r="AF3833" t="s">
        <v>4563</v>
      </c>
      <c r="AG3833" t="s">
        <v>4564</v>
      </c>
      <c r="AH3833">
        <v>89509</v>
      </c>
      <c r="AI3833" t="s">
        <v>20893</v>
      </c>
      <c r="AJ3833" t="s">
        <v>4655</v>
      </c>
      <c r="AK3833" t="s">
        <v>20894</v>
      </c>
      <c r="AL3833" s="13" t="s">
        <v>1901</v>
      </c>
      <c r="AM3833">
        <v>1</v>
      </c>
      <c r="AN3833" s="15" t="s">
        <v>464</v>
      </c>
    </row>
    <row r="3834" spans="1:40" x14ac:dyDescent="0.3">
      <c r="A3834" s="10" t="str">
        <f>HYPERLINK("http://www.washoecounty.gov/assessor/cama/?parid=086-471-05&amp;CardNumber=1","086-471-05")</f>
        <v>086-471-05</v>
      </c>
      <c r="B3834" t="s">
        <v>4655</v>
      </c>
      <c r="C3834" t="s">
        <v>20895</v>
      </c>
      <c r="D3834" s="1">
        <v>40326</v>
      </c>
      <c r="E3834" s="2">
        <v>40000</v>
      </c>
      <c r="F3834" t="s">
        <v>4567</v>
      </c>
      <c r="G3834" s="17" t="str">
        <f>HYPERLINK("https://www.washoecounty.gov/assessor/cama/?command=sales&amp;parid=08647105","3886515")</f>
        <v>3886515</v>
      </c>
      <c r="H3834" t="s">
        <v>5542</v>
      </c>
      <c r="I3834">
        <v>1950</v>
      </c>
      <c r="J3834">
        <v>1950</v>
      </c>
      <c r="K3834" t="s">
        <v>4897</v>
      </c>
      <c r="L3834" t="s">
        <v>4555</v>
      </c>
      <c r="M3834" s="2">
        <v>988</v>
      </c>
      <c r="N3834" t="s">
        <v>4556</v>
      </c>
      <c r="O3834">
        <v>2</v>
      </c>
      <c r="P3834">
        <v>1</v>
      </c>
      <c r="Q3834">
        <v>0</v>
      </c>
      <c r="R3834" t="s">
        <v>5281</v>
      </c>
      <c r="S3834" t="s">
        <v>4135</v>
      </c>
      <c r="T3834" t="s">
        <v>4559</v>
      </c>
      <c r="U3834" t="s">
        <v>4655</v>
      </c>
      <c r="V3834" s="2">
        <v>0</v>
      </c>
      <c r="W3834" t="s">
        <v>4655</v>
      </c>
      <c r="X3834" s="2">
        <v>0</v>
      </c>
      <c r="Y3834">
        <v>21</v>
      </c>
      <c r="Z3834" t="s">
        <v>365</v>
      </c>
      <c r="AA3834" s="3">
        <v>5.1354452967643703E-2</v>
      </c>
      <c r="AB3834" t="s">
        <v>20896</v>
      </c>
      <c r="AC3834" t="s">
        <v>4562</v>
      </c>
      <c r="AD3834" t="s">
        <v>5543</v>
      </c>
      <c r="AE3834" t="s">
        <v>4655</v>
      </c>
      <c r="AF3834" t="s">
        <v>5201</v>
      </c>
      <c r="AG3834" t="s">
        <v>4564</v>
      </c>
      <c r="AH3834" t="s">
        <v>1605</v>
      </c>
      <c r="AI3834" t="s">
        <v>20897</v>
      </c>
      <c r="AJ3834" t="s">
        <v>4655</v>
      </c>
      <c r="AK3834" t="s">
        <v>20898</v>
      </c>
      <c r="AL3834" s="13" t="s">
        <v>1901</v>
      </c>
      <c r="AM3834">
        <v>1</v>
      </c>
      <c r="AN3834" s="15" t="s">
        <v>464</v>
      </c>
    </row>
    <row r="3835" spans="1:40" x14ac:dyDescent="0.3">
      <c r="A3835" s="10" t="str">
        <f>HYPERLINK("http://www.washoecounty.gov/assessor/cama/?parid=086-471-06&amp;CardNumber=1","086-471-06")</f>
        <v>086-471-06</v>
      </c>
      <c r="B3835" t="s">
        <v>4655</v>
      </c>
      <c r="C3835" t="s">
        <v>20899</v>
      </c>
      <c r="D3835" s="1">
        <v>40375</v>
      </c>
      <c r="E3835" s="2">
        <v>40000</v>
      </c>
      <c r="F3835" t="s">
        <v>4567</v>
      </c>
      <c r="G3835" s="17" t="str">
        <f>HYPERLINK("https://www.washoecounty.gov/assessor/cama/?command=sales&amp;parid=08647106","3902138")</f>
        <v>3902138</v>
      </c>
      <c r="H3835" t="s">
        <v>5542</v>
      </c>
      <c r="I3835">
        <v>1950</v>
      </c>
      <c r="J3835">
        <v>1950</v>
      </c>
      <c r="K3835" t="s">
        <v>4897</v>
      </c>
      <c r="L3835" t="s">
        <v>4555</v>
      </c>
      <c r="M3835" s="2">
        <v>988</v>
      </c>
      <c r="N3835" t="s">
        <v>4556</v>
      </c>
      <c r="O3835">
        <v>2</v>
      </c>
      <c r="P3835">
        <v>1</v>
      </c>
      <c r="Q3835">
        <v>0</v>
      </c>
      <c r="R3835" t="s">
        <v>5281</v>
      </c>
      <c r="S3835" t="s">
        <v>4135</v>
      </c>
      <c r="T3835" t="s">
        <v>4559</v>
      </c>
      <c r="U3835" t="s">
        <v>4655</v>
      </c>
      <c r="V3835" s="2">
        <v>0</v>
      </c>
      <c r="W3835" t="s">
        <v>4655</v>
      </c>
      <c r="X3835" s="2">
        <v>0</v>
      </c>
      <c r="Y3835">
        <v>21</v>
      </c>
      <c r="Z3835" t="s">
        <v>365</v>
      </c>
      <c r="AA3835" s="3">
        <v>5.1354452967643703E-2</v>
      </c>
      <c r="AB3835" t="s">
        <v>20900</v>
      </c>
      <c r="AC3835" t="s">
        <v>4575</v>
      </c>
      <c r="AD3835" t="s">
        <v>5543</v>
      </c>
      <c r="AE3835" t="s">
        <v>4655</v>
      </c>
      <c r="AF3835" t="s">
        <v>5201</v>
      </c>
      <c r="AG3835" t="s">
        <v>4564</v>
      </c>
      <c r="AH3835" t="s">
        <v>1605</v>
      </c>
      <c r="AI3835" t="s">
        <v>20901</v>
      </c>
      <c r="AJ3835" t="s">
        <v>4655</v>
      </c>
      <c r="AK3835" t="s">
        <v>20902</v>
      </c>
      <c r="AL3835" s="13" t="s">
        <v>1901</v>
      </c>
      <c r="AM3835">
        <v>1</v>
      </c>
      <c r="AN3835" s="15" t="s">
        <v>464</v>
      </c>
    </row>
    <row r="3836" spans="1:40" x14ac:dyDescent="0.3">
      <c r="A3836" s="10" t="str">
        <f>HYPERLINK("http://www.washoecounty.gov/assessor/cama/?parid=086-471-09&amp;CardNumber=1","086-471-09")</f>
        <v>086-471-09</v>
      </c>
      <c r="B3836" t="s">
        <v>4655</v>
      </c>
      <c r="C3836" t="s">
        <v>5464</v>
      </c>
      <c r="D3836" s="1">
        <v>40312</v>
      </c>
      <c r="E3836" s="2">
        <v>7500</v>
      </c>
      <c r="F3836" t="s">
        <v>4567</v>
      </c>
      <c r="G3836" s="17" t="str">
        <f>HYPERLINK("https://www.washoecounty.gov/assessor/cama/?command=sales&amp;parid=08647109","3881440")</f>
        <v>3881440</v>
      </c>
      <c r="H3836" t="s">
        <v>463</v>
      </c>
      <c r="I3836">
        <v>1950</v>
      </c>
      <c r="J3836">
        <v>1950</v>
      </c>
      <c r="K3836" t="s">
        <v>4897</v>
      </c>
      <c r="L3836" t="s">
        <v>4555</v>
      </c>
      <c r="M3836" s="2">
        <v>1192</v>
      </c>
      <c r="N3836" t="s">
        <v>4556</v>
      </c>
      <c r="O3836">
        <v>3</v>
      </c>
      <c r="P3836">
        <v>1</v>
      </c>
      <c r="Q3836">
        <v>0</v>
      </c>
      <c r="R3836" t="s">
        <v>5281</v>
      </c>
      <c r="S3836" t="s">
        <v>4135</v>
      </c>
      <c r="T3836" t="s">
        <v>4559</v>
      </c>
      <c r="U3836" t="s">
        <v>4655</v>
      </c>
      <c r="V3836" s="2">
        <v>0</v>
      </c>
      <c r="W3836" t="s">
        <v>4655</v>
      </c>
      <c r="X3836" s="2">
        <v>0</v>
      </c>
      <c r="Y3836">
        <v>21</v>
      </c>
      <c r="Z3836" t="s">
        <v>365</v>
      </c>
      <c r="AA3836" s="3">
        <v>6.0743801295757301E-2</v>
      </c>
      <c r="AB3836" t="s">
        <v>5465</v>
      </c>
      <c r="AC3836" t="s">
        <v>4562</v>
      </c>
      <c r="AD3836" t="s">
        <v>20903</v>
      </c>
      <c r="AE3836" t="s">
        <v>4655</v>
      </c>
      <c r="AF3836" t="s">
        <v>4563</v>
      </c>
      <c r="AG3836" t="s">
        <v>4564</v>
      </c>
      <c r="AH3836">
        <v>89502</v>
      </c>
      <c r="AI3836" t="s">
        <v>20904</v>
      </c>
      <c r="AJ3836" t="s">
        <v>4655</v>
      </c>
      <c r="AK3836" t="s">
        <v>5466</v>
      </c>
      <c r="AL3836" s="13" t="s">
        <v>1901</v>
      </c>
      <c r="AM3836">
        <v>1</v>
      </c>
      <c r="AN3836" s="15" t="s">
        <v>464</v>
      </c>
    </row>
    <row r="3837" spans="1:40" x14ac:dyDescent="0.3">
      <c r="A3837" s="10" t="str">
        <f>HYPERLINK("http://www.washoecounty.gov/assessor/cama/?parid=086-471-10&amp;CardNumber=1","086-471-10")</f>
        <v>086-471-10</v>
      </c>
      <c r="B3837" t="s">
        <v>4655</v>
      </c>
      <c r="C3837" t="s">
        <v>20905</v>
      </c>
      <c r="D3837" s="1">
        <v>40312</v>
      </c>
      <c r="E3837" s="2">
        <v>7500</v>
      </c>
      <c r="F3837" t="s">
        <v>4567</v>
      </c>
      <c r="G3837" s="17" t="str">
        <f>HYPERLINK("https://www.washoecounty.gov/assessor/cama/?command=sales&amp;parid=08647110","3881421")</f>
        <v>3881421</v>
      </c>
      <c r="H3837" t="s">
        <v>463</v>
      </c>
      <c r="I3837">
        <v>1950</v>
      </c>
      <c r="J3837">
        <v>1950</v>
      </c>
      <c r="K3837" t="s">
        <v>4897</v>
      </c>
      <c r="L3837" t="s">
        <v>4555</v>
      </c>
      <c r="M3837" s="2">
        <v>1193</v>
      </c>
      <c r="N3837" t="s">
        <v>4556</v>
      </c>
      <c r="O3837">
        <v>3</v>
      </c>
      <c r="P3837">
        <v>1</v>
      </c>
      <c r="Q3837">
        <v>0</v>
      </c>
      <c r="R3837" t="s">
        <v>5281</v>
      </c>
      <c r="S3837" t="s">
        <v>4135</v>
      </c>
      <c r="T3837" t="s">
        <v>4559</v>
      </c>
      <c r="U3837" t="s">
        <v>4655</v>
      </c>
      <c r="V3837" s="2">
        <v>0</v>
      </c>
      <c r="W3837" t="s">
        <v>4655</v>
      </c>
      <c r="X3837" s="2">
        <v>0</v>
      </c>
      <c r="Y3837">
        <v>21</v>
      </c>
      <c r="Z3837" t="s">
        <v>365</v>
      </c>
      <c r="AA3837" s="3">
        <v>6.0743801295757301E-2</v>
      </c>
      <c r="AB3837" t="s">
        <v>20906</v>
      </c>
      <c r="AC3837" t="s">
        <v>4562</v>
      </c>
      <c r="AD3837" t="s">
        <v>20907</v>
      </c>
      <c r="AE3837" t="s">
        <v>4655</v>
      </c>
      <c r="AF3837" t="s">
        <v>4563</v>
      </c>
      <c r="AG3837" t="s">
        <v>4564</v>
      </c>
      <c r="AH3837">
        <v>89502</v>
      </c>
      <c r="AI3837" t="s">
        <v>20904</v>
      </c>
      <c r="AJ3837" t="s">
        <v>4655</v>
      </c>
      <c r="AK3837" t="s">
        <v>20908</v>
      </c>
      <c r="AL3837" s="13" t="s">
        <v>1901</v>
      </c>
      <c r="AM3837">
        <v>1</v>
      </c>
      <c r="AN3837" s="15" t="s">
        <v>464</v>
      </c>
    </row>
    <row r="3838" spans="1:40" x14ac:dyDescent="0.3">
      <c r="A3838" s="10" t="str">
        <f>HYPERLINK("http://www.washoecounty.gov/assessor/cama/?parid=086-471-23&amp;CardNumber=1","086-471-23")</f>
        <v>086-471-23</v>
      </c>
      <c r="B3838" t="s">
        <v>4655</v>
      </c>
      <c r="C3838" t="s">
        <v>20909</v>
      </c>
      <c r="D3838" s="1">
        <v>40359</v>
      </c>
      <c r="E3838" s="2">
        <v>52500</v>
      </c>
      <c r="F3838" t="s">
        <v>4567</v>
      </c>
      <c r="G3838" s="17" t="str">
        <f>HYPERLINK("https://www.washoecounty.gov/assessor/cama/?command=sales&amp;parid=08647123","3897086")</f>
        <v>3897086</v>
      </c>
      <c r="H3838" t="s">
        <v>463</v>
      </c>
      <c r="I3838">
        <v>1950</v>
      </c>
      <c r="J3838">
        <v>1950</v>
      </c>
      <c r="K3838" t="s">
        <v>4897</v>
      </c>
      <c r="L3838" t="s">
        <v>4555</v>
      </c>
      <c r="M3838" s="2">
        <v>1192</v>
      </c>
      <c r="N3838" t="s">
        <v>4556</v>
      </c>
      <c r="O3838">
        <v>3</v>
      </c>
      <c r="P3838">
        <v>1</v>
      </c>
      <c r="Q3838">
        <v>0</v>
      </c>
      <c r="R3838" t="s">
        <v>5281</v>
      </c>
      <c r="S3838" t="s">
        <v>4135</v>
      </c>
      <c r="T3838" t="s">
        <v>4559</v>
      </c>
      <c r="U3838" t="s">
        <v>4655</v>
      </c>
      <c r="V3838" s="2">
        <v>0</v>
      </c>
      <c r="W3838" t="s">
        <v>4655</v>
      </c>
      <c r="X3838" s="2">
        <v>0</v>
      </c>
      <c r="Y3838">
        <v>21</v>
      </c>
      <c r="Z3838" t="s">
        <v>365</v>
      </c>
      <c r="AA3838" s="3">
        <v>6.0743801295757301E-2</v>
      </c>
      <c r="AB3838" t="s">
        <v>20910</v>
      </c>
      <c r="AC3838" t="s">
        <v>4575</v>
      </c>
      <c r="AD3838" t="s">
        <v>3647</v>
      </c>
      <c r="AE3838" t="s">
        <v>4655</v>
      </c>
      <c r="AF3838" t="s">
        <v>3707</v>
      </c>
      <c r="AG3838" t="s">
        <v>4584</v>
      </c>
      <c r="AH3838" t="s">
        <v>3648</v>
      </c>
      <c r="AI3838" t="s">
        <v>20911</v>
      </c>
      <c r="AJ3838" t="s">
        <v>4655</v>
      </c>
      <c r="AK3838" t="s">
        <v>20912</v>
      </c>
      <c r="AL3838" s="13" t="s">
        <v>1901</v>
      </c>
      <c r="AM3838">
        <v>1</v>
      </c>
      <c r="AN3838" s="15" t="s">
        <v>464</v>
      </c>
    </row>
    <row r="3839" spans="1:40" x14ac:dyDescent="0.3">
      <c r="A3839" s="10" t="str">
        <f>HYPERLINK("http://www.washoecounty.gov/assessor/cama/?parid=086-471-26&amp;CardNumber=1","086-471-26")</f>
        <v>086-471-26</v>
      </c>
      <c r="B3839" t="s">
        <v>4655</v>
      </c>
      <c r="C3839" t="s">
        <v>20913</v>
      </c>
      <c r="D3839" s="1">
        <v>40280</v>
      </c>
      <c r="E3839" s="2">
        <v>48000</v>
      </c>
      <c r="F3839" t="s">
        <v>4553</v>
      </c>
      <c r="G3839" s="17" t="str">
        <f>HYPERLINK("https://www.washoecounty.gov/assessor/cama/?command=sales&amp;parid=08647126","3869839")</f>
        <v>3869839</v>
      </c>
      <c r="H3839" t="s">
        <v>463</v>
      </c>
      <c r="I3839">
        <v>1950</v>
      </c>
      <c r="J3839">
        <v>1950</v>
      </c>
      <c r="K3839" t="s">
        <v>4897</v>
      </c>
      <c r="L3839" t="s">
        <v>4555</v>
      </c>
      <c r="M3839" s="2">
        <v>988</v>
      </c>
      <c r="N3839" t="s">
        <v>4556</v>
      </c>
      <c r="O3839">
        <v>2</v>
      </c>
      <c r="P3839">
        <v>1</v>
      </c>
      <c r="Q3839">
        <v>0</v>
      </c>
      <c r="R3839" t="s">
        <v>4557</v>
      </c>
      <c r="S3839" t="s">
        <v>4135</v>
      </c>
      <c r="T3839" t="s">
        <v>4559</v>
      </c>
      <c r="U3839" t="s">
        <v>4655</v>
      </c>
      <c r="V3839" s="2">
        <v>0</v>
      </c>
      <c r="W3839" t="s">
        <v>4655</v>
      </c>
      <c r="X3839" s="2">
        <v>0</v>
      </c>
      <c r="Y3839">
        <v>21</v>
      </c>
      <c r="Z3839" t="s">
        <v>365</v>
      </c>
      <c r="AA3839" s="3">
        <v>5.1354452967643703E-2</v>
      </c>
      <c r="AB3839" t="s">
        <v>20914</v>
      </c>
      <c r="AC3839" t="s">
        <v>4562</v>
      </c>
      <c r="AD3839" t="s">
        <v>20915</v>
      </c>
      <c r="AE3839" t="s">
        <v>4655</v>
      </c>
      <c r="AF3839" t="s">
        <v>4563</v>
      </c>
      <c r="AG3839" t="s">
        <v>4564</v>
      </c>
      <c r="AH3839" t="s">
        <v>2330</v>
      </c>
      <c r="AI3839" t="s">
        <v>20916</v>
      </c>
      <c r="AJ3839" t="s">
        <v>4655</v>
      </c>
      <c r="AK3839" t="s">
        <v>20917</v>
      </c>
      <c r="AL3839" s="13" t="s">
        <v>1901</v>
      </c>
      <c r="AM3839">
        <v>1</v>
      </c>
      <c r="AN3839" s="15" t="s">
        <v>464</v>
      </c>
    </row>
    <row r="3840" spans="1:40" x14ac:dyDescent="0.3">
      <c r="A3840" s="10" t="str">
        <f>HYPERLINK("http://www.washoecounty.gov/assessor/cama/?parid=086-471-33&amp;CardNumber=1","086-471-33")</f>
        <v>086-471-33</v>
      </c>
      <c r="B3840" t="s">
        <v>4655</v>
      </c>
      <c r="C3840" t="s">
        <v>5485</v>
      </c>
      <c r="D3840" s="1">
        <v>40515</v>
      </c>
      <c r="E3840" s="2">
        <v>64000</v>
      </c>
      <c r="F3840" t="s">
        <v>4553</v>
      </c>
      <c r="G3840" s="17" t="str">
        <f>HYPERLINK("https://www.washoecounty.gov/assessor/cama/?command=sales&amp;parid=08647133","3949088")</f>
        <v>3949088</v>
      </c>
      <c r="H3840" t="s">
        <v>463</v>
      </c>
      <c r="I3840">
        <v>1950</v>
      </c>
      <c r="J3840">
        <v>1950</v>
      </c>
      <c r="K3840" t="s">
        <v>4897</v>
      </c>
      <c r="L3840" t="s">
        <v>4555</v>
      </c>
      <c r="M3840" s="2">
        <v>1192</v>
      </c>
      <c r="N3840" t="s">
        <v>4556</v>
      </c>
      <c r="O3840">
        <v>3</v>
      </c>
      <c r="P3840">
        <v>1</v>
      </c>
      <c r="Q3840">
        <v>0</v>
      </c>
      <c r="R3840" t="s">
        <v>5281</v>
      </c>
      <c r="S3840" t="s">
        <v>4135</v>
      </c>
      <c r="T3840" t="s">
        <v>4559</v>
      </c>
      <c r="U3840" t="s">
        <v>4655</v>
      </c>
      <c r="V3840" s="2">
        <v>0</v>
      </c>
      <c r="W3840" t="s">
        <v>4655</v>
      </c>
      <c r="X3840" s="2">
        <v>0</v>
      </c>
      <c r="Y3840">
        <v>21</v>
      </c>
      <c r="Z3840" t="s">
        <v>365</v>
      </c>
      <c r="AA3840" s="3">
        <v>6.0743801295757301E-2</v>
      </c>
      <c r="AB3840" t="s">
        <v>5680</v>
      </c>
      <c r="AC3840" t="s">
        <v>4575</v>
      </c>
      <c r="AD3840" t="s">
        <v>5681</v>
      </c>
      <c r="AE3840" t="s">
        <v>4655</v>
      </c>
      <c r="AF3840" t="s">
        <v>4563</v>
      </c>
      <c r="AG3840" t="s">
        <v>4564</v>
      </c>
      <c r="AH3840">
        <v>89509</v>
      </c>
      <c r="AI3840" t="s">
        <v>20918</v>
      </c>
      <c r="AJ3840" t="s">
        <v>4655</v>
      </c>
      <c r="AK3840" t="s">
        <v>5486</v>
      </c>
      <c r="AL3840" s="13" t="s">
        <v>1901</v>
      </c>
      <c r="AM3840">
        <v>1</v>
      </c>
      <c r="AN3840" s="15" t="s">
        <v>464</v>
      </c>
    </row>
    <row r="3841" spans="1:40" x14ac:dyDescent="0.3">
      <c r="A3841" s="10" t="str">
        <f>HYPERLINK("http://www.washoecounty.gov/assessor/cama/?parid=086-471-36&amp;CardNumber=1","086-471-36")</f>
        <v>086-471-36</v>
      </c>
      <c r="B3841" t="s">
        <v>4655</v>
      </c>
      <c r="C3841" t="s">
        <v>20919</v>
      </c>
      <c r="D3841" s="1">
        <v>40280</v>
      </c>
      <c r="E3841" s="2">
        <v>55000</v>
      </c>
      <c r="F3841" t="s">
        <v>4553</v>
      </c>
      <c r="G3841" s="17" t="str">
        <f>HYPERLINK("https://www.washoecounty.gov/assessor/cama/?command=sales&amp;parid=08647136","3869815")</f>
        <v>3869815</v>
      </c>
      <c r="H3841" t="s">
        <v>463</v>
      </c>
      <c r="I3841">
        <v>1950</v>
      </c>
      <c r="J3841">
        <v>1950</v>
      </c>
      <c r="K3841" t="s">
        <v>4897</v>
      </c>
      <c r="L3841" t="s">
        <v>4555</v>
      </c>
      <c r="M3841" s="2">
        <v>1193</v>
      </c>
      <c r="N3841" t="s">
        <v>4556</v>
      </c>
      <c r="O3841">
        <v>3</v>
      </c>
      <c r="P3841">
        <v>1</v>
      </c>
      <c r="Q3841">
        <v>0</v>
      </c>
      <c r="R3841" t="s">
        <v>5281</v>
      </c>
      <c r="S3841" t="s">
        <v>4135</v>
      </c>
      <c r="T3841" t="s">
        <v>4559</v>
      </c>
      <c r="U3841" t="s">
        <v>4655</v>
      </c>
      <c r="V3841" s="2">
        <v>0</v>
      </c>
      <c r="W3841" t="s">
        <v>4655</v>
      </c>
      <c r="X3841" s="2">
        <v>0</v>
      </c>
      <c r="Y3841">
        <v>21</v>
      </c>
      <c r="Z3841" t="s">
        <v>365</v>
      </c>
      <c r="AA3841" s="3">
        <v>6.0743801295757301E-2</v>
      </c>
      <c r="AB3841" t="s">
        <v>20920</v>
      </c>
      <c r="AC3841" t="s">
        <v>4562</v>
      </c>
      <c r="AD3841" t="s">
        <v>20919</v>
      </c>
      <c r="AE3841" t="s">
        <v>4655</v>
      </c>
      <c r="AF3841" t="s">
        <v>4563</v>
      </c>
      <c r="AG3841" t="s">
        <v>4564</v>
      </c>
      <c r="AH3841">
        <v>89506</v>
      </c>
      <c r="AI3841" t="s">
        <v>4503</v>
      </c>
      <c r="AJ3841" t="s">
        <v>4655</v>
      </c>
      <c r="AK3841" t="s">
        <v>20921</v>
      </c>
      <c r="AL3841" s="13" t="s">
        <v>1901</v>
      </c>
      <c r="AM3841">
        <v>1</v>
      </c>
      <c r="AN3841" s="15" t="s">
        <v>464</v>
      </c>
    </row>
    <row r="3842" spans="1:40" x14ac:dyDescent="0.3">
      <c r="A3842" s="10" t="str">
        <f>HYPERLINK("http://www.washoecounty.gov/assessor/cama/?parid=086-471-37&amp;CardNumber=1","086-471-37")</f>
        <v>086-471-37</v>
      </c>
      <c r="B3842" t="s">
        <v>4655</v>
      </c>
      <c r="C3842" t="s">
        <v>20922</v>
      </c>
      <c r="D3842" s="1">
        <v>40407</v>
      </c>
      <c r="E3842" s="2">
        <v>53000</v>
      </c>
      <c r="F3842" t="s">
        <v>4553</v>
      </c>
      <c r="G3842" s="17" t="str">
        <f>HYPERLINK("https://www.washoecounty.gov/assessor/cama/?command=sales&amp;parid=08647137","3912788")</f>
        <v>3912788</v>
      </c>
      <c r="H3842" t="s">
        <v>463</v>
      </c>
      <c r="I3842">
        <v>1950</v>
      </c>
      <c r="J3842">
        <v>1950</v>
      </c>
      <c r="K3842" t="s">
        <v>4897</v>
      </c>
      <c r="L3842" t="s">
        <v>4555</v>
      </c>
      <c r="M3842" s="2">
        <v>1192</v>
      </c>
      <c r="N3842" t="s">
        <v>4556</v>
      </c>
      <c r="O3842">
        <v>3</v>
      </c>
      <c r="P3842">
        <v>1</v>
      </c>
      <c r="Q3842">
        <v>0</v>
      </c>
      <c r="R3842" t="s">
        <v>5281</v>
      </c>
      <c r="S3842" t="s">
        <v>4135</v>
      </c>
      <c r="T3842" t="s">
        <v>4559</v>
      </c>
      <c r="U3842" t="s">
        <v>4655</v>
      </c>
      <c r="V3842" s="2">
        <v>0</v>
      </c>
      <c r="W3842" t="s">
        <v>4655</v>
      </c>
      <c r="X3842" s="2">
        <v>0</v>
      </c>
      <c r="Y3842">
        <v>21</v>
      </c>
      <c r="Z3842" t="s">
        <v>365</v>
      </c>
      <c r="AA3842" s="3">
        <v>6.0743801295757301E-2</v>
      </c>
      <c r="AB3842" t="s">
        <v>20923</v>
      </c>
      <c r="AC3842" t="s">
        <v>4562</v>
      </c>
      <c r="AD3842" t="s">
        <v>20924</v>
      </c>
      <c r="AE3842" t="s">
        <v>4655</v>
      </c>
      <c r="AF3842" t="s">
        <v>4563</v>
      </c>
      <c r="AG3842" t="s">
        <v>4564</v>
      </c>
      <c r="AH3842" t="s">
        <v>2330</v>
      </c>
      <c r="AI3842" t="s">
        <v>20925</v>
      </c>
      <c r="AJ3842" t="s">
        <v>4655</v>
      </c>
      <c r="AK3842" t="s">
        <v>20926</v>
      </c>
      <c r="AL3842" s="13" t="s">
        <v>1901</v>
      </c>
      <c r="AM3842">
        <v>1</v>
      </c>
      <c r="AN3842" s="15" t="s">
        <v>464</v>
      </c>
    </row>
    <row r="3843" spans="1:40" x14ac:dyDescent="0.3">
      <c r="A3843" s="10" t="str">
        <f>HYPERLINK("http://www.washoecounty.gov/assessor/cama/?parid=086-471-37&amp;CardNumber=1","086-471-37")</f>
        <v>086-471-37</v>
      </c>
      <c r="B3843" t="s">
        <v>4655</v>
      </c>
      <c r="C3843" t="s">
        <v>20922</v>
      </c>
      <c r="D3843" s="1">
        <v>40464</v>
      </c>
      <c r="E3843" s="2">
        <v>66681</v>
      </c>
      <c r="F3843" t="s">
        <v>4567</v>
      </c>
      <c r="G3843" s="17" t="str">
        <f>HYPERLINK("https://www.washoecounty.gov/assessor/cama/?command=sales&amp;parid=08647137","3932624")</f>
        <v>3932624</v>
      </c>
      <c r="H3843" t="s">
        <v>463</v>
      </c>
      <c r="I3843">
        <v>1950</v>
      </c>
      <c r="J3843">
        <v>1950</v>
      </c>
      <c r="K3843" t="s">
        <v>4897</v>
      </c>
      <c r="L3843" t="s">
        <v>4555</v>
      </c>
      <c r="M3843" s="2">
        <v>1192</v>
      </c>
      <c r="N3843" t="s">
        <v>4556</v>
      </c>
      <c r="O3843">
        <v>3</v>
      </c>
      <c r="P3843">
        <v>1</v>
      </c>
      <c r="Q3843">
        <v>0</v>
      </c>
      <c r="R3843" t="s">
        <v>5281</v>
      </c>
      <c r="S3843" t="s">
        <v>4135</v>
      </c>
      <c r="T3843" t="s">
        <v>4559</v>
      </c>
      <c r="U3843" t="s">
        <v>4655</v>
      </c>
      <c r="V3843" s="2">
        <v>0</v>
      </c>
      <c r="W3843" t="s">
        <v>4655</v>
      </c>
      <c r="X3843" s="2">
        <v>0</v>
      </c>
      <c r="Y3843">
        <v>21</v>
      </c>
      <c r="Z3843" t="s">
        <v>365</v>
      </c>
      <c r="AA3843" s="3">
        <v>6.0743801295757301E-2</v>
      </c>
      <c r="AB3843" t="s">
        <v>20923</v>
      </c>
      <c r="AC3843" t="s">
        <v>4562</v>
      </c>
      <c r="AD3843" t="s">
        <v>20924</v>
      </c>
      <c r="AE3843" t="s">
        <v>4655</v>
      </c>
      <c r="AF3843" t="s">
        <v>4563</v>
      </c>
      <c r="AG3843" t="s">
        <v>4564</v>
      </c>
      <c r="AH3843" t="s">
        <v>2330</v>
      </c>
      <c r="AI3843" t="s">
        <v>20925</v>
      </c>
      <c r="AJ3843" t="s">
        <v>4655</v>
      </c>
      <c r="AK3843" t="s">
        <v>20926</v>
      </c>
      <c r="AL3843" s="13" t="s">
        <v>1901</v>
      </c>
      <c r="AM3843">
        <v>1</v>
      </c>
      <c r="AN3843" s="15" t="s">
        <v>464</v>
      </c>
    </row>
    <row r="3844" spans="1:40" x14ac:dyDescent="0.3">
      <c r="A3844" s="10" t="str">
        <f>HYPERLINK("http://www.washoecounty.gov/assessor/cama/?parid=086-471-39&amp;CardNumber=1","086-471-39")</f>
        <v>086-471-39</v>
      </c>
      <c r="B3844" t="s">
        <v>4655</v>
      </c>
      <c r="C3844" t="s">
        <v>20927</v>
      </c>
      <c r="D3844" s="1">
        <v>40539</v>
      </c>
      <c r="E3844" s="2">
        <v>41500</v>
      </c>
      <c r="F3844" t="s">
        <v>4553</v>
      </c>
      <c r="G3844" s="17" t="str">
        <f>HYPERLINK("https://www.washoecounty.gov/assessor/cama/?command=sales&amp;parid=08647139","3957372")</f>
        <v>3957372</v>
      </c>
      <c r="H3844" t="s">
        <v>463</v>
      </c>
      <c r="I3844">
        <v>1950</v>
      </c>
      <c r="J3844">
        <v>1950</v>
      </c>
      <c r="K3844" t="s">
        <v>4897</v>
      </c>
      <c r="L3844" t="s">
        <v>4555</v>
      </c>
      <c r="M3844" s="2">
        <v>988</v>
      </c>
      <c r="N3844" t="s">
        <v>4556</v>
      </c>
      <c r="O3844">
        <v>2</v>
      </c>
      <c r="P3844">
        <v>1</v>
      </c>
      <c r="Q3844">
        <v>0</v>
      </c>
      <c r="R3844" t="s">
        <v>5281</v>
      </c>
      <c r="S3844" t="s">
        <v>4135</v>
      </c>
      <c r="T3844" t="s">
        <v>4559</v>
      </c>
      <c r="U3844" t="s">
        <v>4655</v>
      </c>
      <c r="V3844" s="2">
        <v>0</v>
      </c>
      <c r="W3844" t="s">
        <v>4655</v>
      </c>
      <c r="X3844" s="2">
        <v>0</v>
      </c>
      <c r="Y3844">
        <v>21</v>
      </c>
      <c r="Z3844" t="s">
        <v>365</v>
      </c>
      <c r="AA3844" s="3">
        <v>5.1354452967643703E-2</v>
      </c>
      <c r="AB3844" t="s">
        <v>20928</v>
      </c>
      <c r="AC3844" t="s">
        <v>4575</v>
      </c>
      <c r="AD3844" t="s">
        <v>20929</v>
      </c>
      <c r="AE3844" t="s">
        <v>4655</v>
      </c>
      <c r="AF3844" t="s">
        <v>4563</v>
      </c>
      <c r="AG3844" t="s">
        <v>4564</v>
      </c>
      <c r="AH3844" t="s">
        <v>2330</v>
      </c>
      <c r="AI3844" t="s">
        <v>4585</v>
      </c>
      <c r="AJ3844" t="s">
        <v>4655</v>
      </c>
      <c r="AK3844" t="s">
        <v>20930</v>
      </c>
      <c r="AL3844" s="13" t="s">
        <v>1901</v>
      </c>
      <c r="AM3844">
        <v>1</v>
      </c>
      <c r="AN3844" s="15" t="s">
        <v>464</v>
      </c>
    </row>
    <row r="3845" spans="1:40" x14ac:dyDescent="0.3">
      <c r="A3845" s="10" t="str">
        <f>HYPERLINK("http://www.washoecounty.gov/assessor/cama/?parid=086-472-04&amp;CardNumber=1","086-472-04")</f>
        <v>086-472-04</v>
      </c>
      <c r="B3845" t="s">
        <v>4655</v>
      </c>
      <c r="C3845" t="s">
        <v>20931</v>
      </c>
      <c r="D3845" s="1">
        <v>40512</v>
      </c>
      <c r="E3845" s="2">
        <v>58000</v>
      </c>
      <c r="F3845" t="s">
        <v>4553</v>
      </c>
      <c r="G3845" s="17" t="str">
        <f>HYPERLINK("https://www.washoecounty.gov/assessor/cama/?command=sales&amp;parid=08647204","3947685")</f>
        <v>3947685</v>
      </c>
      <c r="H3845" t="s">
        <v>463</v>
      </c>
      <c r="I3845">
        <v>1950</v>
      </c>
      <c r="J3845">
        <v>1950</v>
      </c>
      <c r="K3845" t="s">
        <v>4897</v>
      </c>
      <c r="L3845" t="s">
        <v>4555</v>
      </c>
      <c r="M3845" s="2">
        <v>988</v>
      </c>
      <c r="N3845" t="s">
        <v>4556</v>
      </c>
      <c r="O3845">
        <v>2</v>
      </c>
      <c r="P3845">
        <v>1</v>
      </c>
      <c r="Q3845">
        <v>0</v>
      </c>
      <c r="R3845" t="s">
        <v>5281</v>
      </c>
      <c r="S3845" t="s">
        <v>4135</v>
      </c>
      <c r="T3845" t="s">
        <v>4559</v>
      </c>
      <c r="U3845" t="s">
        <v>4655</v>
      </c>
      <c r="V3845" s="2">
        <v>0</v>
      </c>
      <c r="W3845" t="s">
        <v>4655</v>
      </c>
      <c r="X3845" s="2">
        <v>0</v>
      </c>
      <c r="Y3845">
        <v>21</v>
      </c>
      <c r="Z3845" t="s">
        <v>365</v>
      </c>
      <c r="AA3845" s="3">
        <v>5.1354452967643703E-2</v>
      </c>
      <c r="AB3845" t="s">
        <v>5102</v>
      </c>
      <c r="AC3845" t="s">
        <v>4562</v>
      </c>
      <c r="AD3845" t="s">
        <v>5488</v>
      </c>
      <c r="AE3845" t="s">
        <v>4655</v>
      </c>
      <c r="AF3845" t="s">
        <v>4563</v>
      </c>
      <c r="AG3845" t="s">
        <v>4564</v>
      </c>
      <c r="AH3845" t="s">
        <v>1147</v>
      </c>
      <c r="AI3845" t="s">
        <v>5487</v>
      </c>
      <c r="AJ3845" t="s">
        <v>4655</v>
      </c>
      <c r="AK3845" t="s">
        <v>20932</v>
      </c>
      <c r="AL3845" s="13" t="s">
        <v>1901</v>
      </c>
      <c r="AM3845">
        <v>1</v>
      </c>
      <c r="AN3845" s="15" t="s">
        <v>464</v>
      </c>
    </row>
    <row r="3846" spans="1:40" x14ac:dyDescent="0.3">
      <c r="A3846" s="10" t="str">
        <f>HYPERLINK("http://www.washoecounty.gov/assessor/cama/?parid=086-472-11&amp;CardNumber=1","086-472-11")</f>
        <v>086-472-11</v>
      </c>
      <c r="B3846" t="s">
        <v>4655</v>
      </c>
      <c r="C3846" t="s">
        <v>20933</v>
      </c>
      <c r="D3846" s="1">
        <v>40324</v>
      </c>
      <c r="E3846" s="2">
        <v>45150</v>
      </c>
      <c r="F3846" t="s">
        <v>4553</v>
      </c>
      <c r="G3846" s="17" t="str">
        <f>HYPERLINK("https://www.washoecounty.gov/assessor/cama/?command=sales&amp;parid=08647211","3885298")</f>
        <v>3885298</v>
      </c>
      <c r="H3846" t="s">
        <v>463</v>
      </c>
      <c r="I3846">
        <v>1950</v>
      </c>
      <c r="J3846">
        <v>1950</v>
      </c>
      <c r="K3846" t="s">
        <v>4897</v>
      </c>
      <c r="L3846" t="s">
        <v>4555</v>
      </c>
      <c r="M3846" s="2">
        <v>1192</v>
      </c>
      <c r="N3846" t="s">
        <v>4556</v>
      </c>
      <c r="O3846">
        <v>3</v>
      </c>
      <c r="P3846">
        <v>1</v>
      </c>
      <c r="Q3846">
        <v>0</v>
      </c>
      <c r="R3846" t="s">
        <v>5281</v>
      </c>
      <c r="S3846" t="s">
        <v>4135</v>
      </c>
      <c r="T3846" t="s">
        <v>4559</v>
      </c>
      <c r="U3846" t="s">
        <v>4655</v>
      </c>
      <c r="V3846" s="2">
        <v>0</v>
      </c>
      <c r="W3846" t="s">
        <v>4655</v>
      </c>
      <c r="X3846" s="2">
        <v>0</v>
      </c>
      <c r="Y3846">
        <v>21</v>
      </c>
      <c r="Z3846" t="s">
        <v>365</v>
      </c>
      <c r="AA3846" s="3">
        <v>6.0743801295757301E-2</v>
      </c>
      <c r="AB3846" t="s">
        <v>20934</v>
      </c>
      <c r="AC3846" t="s">
        <v>4562</v>
      </c>
      <c r="AD3846" t="s">
        <v>20933</v>
      </c>
      <c r="AE3846" t="s">
        <v>4655</v>
      </c>
      <c r="AF3846" t="s">
        <v>4563</v>
      </c>
      <c r="AG3846" t="s">
        <v>4564</v>
      </c>
      <c r="AH3846">
        <v>89506</v>
      </c>
      <c r="AI3846" t="s">
        <v>4903</v>
      </c>
      <c r="AJ3846" t="s">
        <v>4655</v>
      </c>
      <c r="AK3846" t="s">
        <v>20935</v>
      </c>
      <c r="AL3846" s="13" t="s">
        <v>1901</v>
      </c>
      <c r="AM3846">
        <v>1</v>
      </c>
      <c r="AN3846" s="15" t="s">
        <v>464</v>
      </c>
    </row>
    <row r="3847" spans="1:40" x14ac:dyDescent="0.3">
      <c r="A3847" s="10" t="str">
        <f>HYPERLINK("http://www.washoecounty.gov/assessor/cama/?parid=086-472-41&amp;CardNumber=1","086-472-41")</f>
        <v>086-472-41</v>
      </c>
      <c r="B3847" t="s">
        <v>4655</v>
      </c>
      <c r="C3847" t="s">
        <v>20936</v>
      </c>
      <c r="D3847" s="1">
        <v>40350</v>
      </c>
      <c r="E3847" s="2">
        <v>60000</v>
      </c>
      <c r="F3847" t="s">
        <v>4567</v>
      </c>
      <c r="G3847" s="17" t="str">
        <f>HYPERLINK("https://www.washoecounty.gov/assessor/cama/?command=sales&amp;parid=08647241","3893970")</f>
        <v>3893970</v>
      </c>
      <c r="H3847" t="s">
        <v>463</v>
      </c>
      <c r="I3847">
        <v>1950</v>
      </c>
      <c r="J3847">
        <v>1950</v>
      </c>
      <c r="K3847" t="s">
        <v>4897</v>
      </c>
      <c r="L3847" t="s">
        <v>4555</v>
      </c>
      <c r="M3847" s="2">
        <v>1192</v>
      </c>
      <c r="N3847" t="s">
        <v>4556</v>
      </c>
      <c r="O3847">
        <v>3</v>
      </c>
      <c r="P3847">
        <v>1</v>
      </c>
      <c r="Q3847">
        <v>0</v>
      </c>
      <c r="R3847" t="s">
        <v>5281</v>
      </c>
      <c r="S3847" t="s">
        <v>4135</v>
      </c>
      <c r="T3847" t="s">
        <v>4559</v>
      </c>
      <c r="U3847" t="s">
        <v>4655</v>
      </c>
      <c r="V3847" s="2">
        <v>0</v>
      </c>
      <c r="W3847" t="s">
        <v>4655</v>
      </c>
      <c r="X3847" s="2">
        <v>0</v>
      </c>
      <c r="Y3847">
        <v>21</v>
      </c>
      <c r="Z3847" t="s">
        <v>365</v>
      </c>
      <c r="AA3847" s="3">
        <v>6.0743801295757301E-2</v>
      </c>
      <c r="AB3847" t="s">
        <v>20937</v>
      </c>
      <c r="AC3847" t="s">
        <v>4562</v>
      </c>
      <c r="AD3847" t="s">
        <v>20936</v>
      </c>
      <c r="AE3847" t="s">
        <v>4655</v>
      </c>
      <c r="AF3847" t="s">
        <v>4563</v>
      </c>
      <c r="AG3847" t="s">
        <v>4564</v>
      </c>
      <c r="AH3847">
        <v>89506</v>
      </c>
      <c r="AI3847" t="s">
        <v>20938</v>
      </c>
      <c r="AJ3847" t="s">
        <v>4655</v>
      </c>
      <c r="AK3847" t="s">
        <v>20939</v>
      </c>
      <c r="AL3847" s="13" t="s">
        <v>1901</v>
      </c>
      <c r="AM3847">
        <v>1</v>
      </c>
      <c r="AN3847" s="15" t="s">
        <v>464</v>
      </c>
    </row>
    <row r="3848" spans="1:40" x14ac:dyDescent="0.3">
      <c r="A3848" s="10" t="str">
        <f>HYPERLINK("http://www.washoecounty.gov/assessor/cama/?parid=086-472-55&amp;CardNumber=1","086-472-55")</f>
        <v>086-472-55</v>
      </c>
      <c r="B3848" t="s">
        <v>4655</v>
      </c>
      <c r="C3848" t="s">
        <v>20940</v>
      </c>
      <c r="D3848" s="1">
        <v>40326</v>
      </c>
      <c r="E3848" s="2">
        <v>68200</v>
      </c>
      <c r="F3848" t="s">
        <v>4553</v>
      </c>
      <c r="G3848" s="17" t="str">
        <f>HYPERLINK("https://www.washoecounty.gov/assessor/cama/?command=sales&amp;parid=08647255","3886458")</f>
        <v>3886458</v>
      </c>
      <c r="H3848" t="s">
        <v>463</v>
      </c>
      <c r="I3848">
        <v>1950</v>
      </c>
      <c r="J3848">
        <v>1950</v>
      </c>
      <c r="K3848" t="s">
        <v>4897</v>
      </c>
      <c r="L3848" t="s">
        <v>4555</v>
      </c>
      <c r="M3848" s="2">
        <v>1192</v>
      </c>
      <c r="N3848" t="s">
        <v>4556</v>
      </c>
      <c r="O3848">
        <v>3</v>
      </c>
      <c r="P3848">
        <v>1</v>
      </c>
      <c r="Q3848">
        <v>0</v>
      </c>
      <c r="R3848" t="s">
        <v>5281</v>
      </c>
      <c r="S3848" t="s">
        <v>4135</v>
      </c>
      <c r="T3848" t="s">
        <v>4559</v>
      </c>
      <c r="U3848" t="s">
        <v>4655</v>
      </c>
      <c r="V3848" s="2">
        <v>0</v>
      </c>
      <c r="W3848" t="s">
        <v>4655</v>
      </c>
      <c r="X3848" s="2">
        <v>0</v>
      </c>
      <c r="Y3848">
        <v>21</v>
      </c>
      <c r="Z3848" t="s">
        <v>365</v>
      </c>
      <c r="AA3848" s="3">
        <v>6.0743801295757301E-2</v>
      </c>
      <c r="AB3848" t="s">
        <v>20914</v>
      </c>
      <c r="AC3848" t="s">
        <v>4562</v>
      </c>
      <c r="AD3848" t="s">
        <v>20941</v>
      </c>
      <c r="AE3848" t="s">
        <v>4655</v>
      </c>
      <c r="AF3848" t="s">
        <v>4563</v>
      </c>
      <c r="AG3848" t="s">
        <v>4564</v>
      </c>
      <c r="AH3848">
        <v>89509</v>
      </c>
      <c r="AI3848" t="s">
        <v>20942</v>
      </c>
      <c r="AJ3848" t="s">
        <v>4655</v>
      </c>
      <c r="AK3848" t="s">
        <v>20943</v>
      </c>
      <c r="AL3848" s="13" t="s">
        <v>1901</v>
      </c>
      <c r="AM3848">
        <v>1</v>
      </c>
      <c r="AN3848" s="15" t="s">
        <v>464</v>
      </c>
    </row>
    <row r="3849" spans="1:40" x14ac:dyDescent="0.3">
      <c r="A3849" s="10" t="str">
        <f>HYPERLINK("http://www.washoecounty.gov/assessor/cama/?parid=086-472-56&amp;CardNumber=1","086-472-56")</f>
        <v>086-472-56</v>
      </c>
      <c r="B3849" t="s">
        <v>4655</v>
      </c>
      <c r="C3849" t="s">
        <v>20944</v>
      </c>
      <c r="D3849" s="1">
        <v>40336</v>
      </c>
      <c r="E3849" s="2">
        <v>62500</v>
      </c>
      <c r="F3849" t="s">
        <v>4553</v>
      </c>
      <c r="G3849" s="17" t="str">
        <f>HYPERLINK("https://www.washoecounty.gov/assessor/cama/?command=sales&amp;parid=08647256","3888682")</f>
        <v>3888682</v>
      </c>
      <c r="H3849" t="s">
        <v>463</v>
      </c>
      <c r="I3849">
        <v>1950</v>
      </c>
      <c r="J3849">
        <v>1950</v>
      </c>
      <c r="K3849" t="s">
        <v>4897</v>
      </c>
      <c r="L3849" t="s">
        <v>4555</v>
      </c>
      <c r="M3849" s="2">
        <v>1192</v>
      </c>
      <c r="N3849" t="s">
        <v>4556</v>
      </c>
      <c r="O3849">
        <v>3</v>
      </c>
      <c r="P3849">
        <v>1</v>
      </c>
      <c r="Q3849">
        <v>0</v>
      </c>
      <c r="R3849" t="s">
        <v>5281</v>
      </c>
      <c r="S3849" t="s">
        <v>4135</v>
      </c>
      <c r="T3849" t="s">
        <v>4559</v>
      </c>
      <c r="U3849" t="s">
        <v>4655</v>
      </c>
      <c r="V3849" s="2">
        <v>0</v>
      </c>
      <c r="W3849" t="s">
        <v>4655</v>
      </c>
      <c r="X3849" s="2">
        <v>0</v>
      </c>
      <c r="Y3849">
        <v>21</v>
      </c>
      <c r="Z3849" t="s">
        <v>365</v>
      </c>
      <c r="AA3849" s="3">
        <v>6.0743801295757301E-2</v>
      </c>
      <c r="AB3849" t="s">
        <v>20945</v>
      </c>
      <c r="AC3849" t="s">
        <v>4575</v>
      </c>
      <c r="AD3849" t="s">
        <v>20946</v>
      </c>
      <c r="AE3849" t="s">
        <v>20947</v>
      </c>
      <c r="AF3849" t="s">
        <v>4563</v>
      </c>
      <c r="AG3849" t="s">
        <v>4564</v>
      </c>
      <c r="AH3849" t="s">
        <v>2330</v>
      </c>
      <c r="AI3849" t="s">
        <v>20945</v>
      </c>
      <c r="AJ3849" t="s">
        <v>4655</v>
      </c>
      <c r="AK3849" t="s">
        <v>20948</v>
      </c>
      <c r="AL3849" s="13" t="s">
        <v>1901</v>
      </c>
      <c r="AM3849">
        <v>1</v>
      </c>
      <c r="AN3849" s="15" t="s">
        <v>464</v>
      </c>
    </row>
    <row r="3850" spans="1:40" x14ac:dyDescent="0.3">
      <c r="A3850" s="10" t="str">
        <f>HYPERLINK("http://www.washoecounty.gov/assessor/cama/?parid=086-472-62&amp;CardNumber=1","086-472-62")</f>
        <v>086-472-62</v>
      </c>
      <c r="B3850" t="s">
        <v>4655</v>
      </c>
      <c r="C3850" t="s">
        <v>20949</v>
      </c>
      <c r="D3850" s="1">
        <v>40382</v>
      </c>
      <c r="E3850" s="2">
        <v>65900</v>
      </c>
      <c r="F3850" t="s">
        <v>4553</v>
      </c>
      <c r="G3850" s="17" t="str">
        <f>HYPERLINK("https://www.washoecounty.gov/assessor/cama/?command=sales&amp;parid=08647262","3904381")</f>
        <v>3904381</v>
      </c>
      <c r="H3850" t="s">
        <v>463</v>
      </c>
      <c r="I3850">
        <v>1950</v>
      </c>
      <c r="J3850">
        <v>1950</v>
      </c>
      <c r="K3850" t="s">
        <v>4897</v>
      </c>
      <c r="L3850" t="s">
        <v>4555</v>
      </c>
      <c r="M3850" s="2">
        <v>1192</v>
      </c>
      <c r="N3850" t="s">
        <v>4556</v>
      </c>
      <c r="O3850">
        <v>3</v>
      </c>
      <c r="P3850">
        <v>1</v>
      </c>
      <c r="Q3850">
        <v>0</v>
      </c>
      <c r="R3850" t="s">
        <v>4557</v>
      </c>
      <c r="S3850" t="s">
        <v>4135</v>
      </c>
      <c r="T3850" t="s">
        <v>4559</v>
      </c>
      <c r="U3850" t="s">
        <v>4655</v>
      </c>
      <c r="V3850" s="2">
        <v>0</v>
      </c>
      <c r="W3850" t="s">
        <v>4655</v>
      </c>
      <c r="X3850" s="2">
        <v>0</v>
      </c>
      <c r="Y3850">
        <v>21</v>
      </c>
      <c r="Z3850" t="s">
        <v>365</v>
      </c>
      <c r="AA3850" s="3">
        <v>6.0743801295757301E-2</v>
      </c>
      <c r="AB3850" t="s">
        <v>20950</v>
      </c>
      <c r="AC3850" t="s">
        <v>4562</v>
      </c>
      <c r="AD3850" t="s">
        <v>1291</v>
      </c>
      <c r="AE3850" t="s">
        <v>4655</v>
      </c>
      <c r="AF3850" t="s">
        <v>4563</v>
      </c>
      <c r="AG3850" t="s">
        <v>4564</v>
      </c>
      <c r="AH3850">
        <v>89509</v>
      </c>
      <c r="AI3850" t="s">
        <v>20951</v>
      </c>
      <c r="AJ3850" t="s">
        <v>4655</v>
      </c>
      <c r="AK3850" t="s">
        <v>20952</v>
      </c>
      <c r="AL3850" s="13" t="s">
        <v>1901</v>
      </c>
      <c r="AM3850">
        <v>1</v>
      </c>
      <c r="AN3850" s="15" t="s">
        <v>464</v>
      </c>
    </row>
    <row r="3851" spans="1:40" x14ac:dyDescent="0.3">
      <c r="A3851" s="10" t="str">
        <f>HYPERLINK("http://www.washoecounty.gov/assessor/cama/?parid=086-481-10&amp;CardNumber=1","086-481-10")</f>
        <v>086-481-10</v>
      </c>
      <c r="B3851" t="s">
        <v>4655</v>
      </c>
      <c r="C3851" t="s">
        <v>20953</v>
      </c>
      <c r="D3851" s="1">
        <v>40403</v>
      </c>
      <c r="E3851" s="2">
        <v>79000</v>
      </c>
      <c r="F3851" t="s">
        <v>4567</v>
      </c>
      <c r="G3851" s="17" t="str">
        <f>HYPERLINK("https://www.washoecounty.gov/assessor/cama/?command=sales&amp;parid=08648110","3911960")</f>
        <v>3911960</v>
      </c>
      <c r="H3851" t="s">
        <v>5259</v>
      </c>
      <c r="I3851">
        <v>1976</v>
      </c>
      <c r="J3851">
        <v>1976</v>
      </c>
      <c r="K3851" t="s">
        <v>4554</v>
      </c>
      <c r="L3851" t="s">
        <v>4555</v>
      </c>
      <c r="M3851" s="2">
        <v>1284</v>
      </c>
      <c r="N3851" t="s">
        <v>4556</v>
      </c>
      <c r="O3851">
        <v>3</v>
      </c>
      <c r="P3851">
        <v>1</v>
      </c>
      <c r="Q3851">
        <v>1</v>
      </c>
      <c r="R3851" t="s">
        <v>4557</v>
      </c>
      <c r="S3851" t="s">
        <v>4558</v>
      </c>
      <c r="T3851" t="s">
        <v>4559</v>
      </c>
      <c r="U3851" t="s">
        <v>4560</v>
      </c>
      <c r="V3851" s="2">
        <v>280</v>
      </c>
      <c r="W3851" t="s">
        <v>4655</v>
      </c>
      <c r="X3851" s="2">
        <v>0</v>
      </c>
      <c r="Y3851">
        <v>20</v>
      </c>
      <c r="Z3851" t="s">
        <v>365</v>
      </c>
      <c r="AA3851" s="3">
        <v>0.14299815893173218</v>
      </c>
      <c r="AB3851" t="s">
        <v>20954</v>
      </c>
      <c r="AC3851" t="s">
        <v>4562</v>
      </c>
      <c r="AD3851" t="s">
        <v>20953</v>
      </c>
      <c r="AE3851" t="s">
        <v>4655</v>
      </c>
      <c r="AF3851" t="s">
        <v>4563</v>
      </c>
      <c r="AG3851" t="s">
        <v>4564</v>
      </c>
      <c r="AH3851">
        <v>89506</v>
      </c>
      <c r="AI3851" t="s">
        <v>20955</v>
      </c>
      <c r="AJ3851" t="s">
        <v>4655</v>
      </c>
      <c r="AK3851" t="s">
        <v>20956</v>
      </c>
      <c r="AL3851" s="13" t="s">
        <v>1901</v>
      </c>
      <c r="AM3851">
        <v>1</v>
      </c>
      <c r="AN3851" s="15" t="s">
        <v>5260</v>
      </c>
    </row>
    <row r="3852" spans="1:40" x14ac:dyDescent="0.3">
      <c r="A3852" s="10" t="str">
        <f>HYPERLINK("http://www.washoecounty.gov/assessor/cama/?parid=086-482-06&amp;CardNumber=1","086-482-06")</f>
        <v>086-482-06</v>
      </c>
      <c r="B3852" t="s">
        <v>4655</v>
      </c>
      <c r="C3852" t="s">
        <v>20957</v>
      </c>
      <c r="D3852" s="1">
        <v>40352</v>
      </c>
      <c r="E3852" s="2">
        <v>85000</v>
      </c>
      <c r="F3852" t="s">
        <v>4553</v>
      </c>
      <c r="G3852" s="17" t="str">
        <f>HYPERLINK("https://www.washoecounty.gov/assessor/cama/?command=sales&amp;parid=08648206","3894770")</f>
        <v>3894770</v>
      </c>
      <c r="H3852" t="s">
        <v>20958</v>
      </c>
      <c r="I3852">
        <v>1976</v>
      </c>
      <c r="J3852">
        <v>1976</v>
      </c>
      <c r="K3852" t="s">
        <v>4554</v>
      </c>
      <c r="L3852" t="s">
        <v>4555</v>
      </c>
      <c r="M3852" s="2">
        <v>1284</v>
      </c>
      <c r="N3852" t="s">
        <v>4556</v>
      </c>
      <c r="O3852">
        <v>3</v>
      </c>
      <c r="P3852">
        <v>1</v>
      </c>
      <c r="Q3852">
        <v>1</v>
      </c>
      <c r="R3852" t="s">
        <v>4557</v>
      </c>
      <c r="S3852" t="s">
        <v>4558</v>
      </c>
      <c r="T3852" t="s">
        <v>4559</v>
      </c>
      <c r="U3852" t="s">
        <v>4560</v>
      </c>
      <c r="V3852" s="2">
        <v>280</v>
      </c>
      <c r="W3852" t="s">
        <v>4655</v>
      </c>
      <c r="X3852" s="2">
        <v>0</v>
      </c>
      <c r="Y3852">
        <v>20</v>
      </c>
      <c r="Z3852" t="s">
        <v>4144</v>
      </c>
      <c r="AA3852" s="3">
        <v>0.13799357414245605</v>
      </c>
      <c r="AB3852" t="s">
        <v>20959</v>
      </c>
      <c r="AC3852" t="s">
        <v>4562</v>
      </c>
      <c r="AD3852" t="s">
        <v>20957</v>
      </c>
      <c r="AE3852" t="s">
        <v>4655</v>
      </c>
      <c r="AF3852" t="s">
        <v>4563</v>
      </c>
      <c r="AG3852" t="s">
        <v>4564</v>
      </c>
      <c r="AH3852">
        <v>89506</v>
      </c>
      <c r="AI3852" t="s">
        <v>4655</v>
      </c>
      <c r="AJ3852" t="s">
        <v>4655</v>
      </c>
      <c r="AK3852" t="s">
        <v>20960</v>
      </c>
      <c r="AL3852" s="13" t="s">
        <v>1901</v>
      </c>
      <c r="AM3852">
        <v>1</v>
      </c>
      <c r="AN3852" s="15" t="s">
        <v>5260</v>
      </c>
    </row>
    <row r="3853" spans="1:40" x14ac:dyDescent="0.3">
      <c r="A3853" s="10" t="str">
        <f>HYPERLINK("http://www.washoecounty.gov/assessor/cama/?parid=086-490-13&amp;CardNumber=1","086-490-13")</f>
        <v>086-490-13</v>
      </c>
      <c r="B3853" t="s">
        <v>4655</v>
      </c>
      <c r="C3853" t="s">
        <v>20961</v>
      </c>
      <c r="D3853" s="1">
        <v>40203</v>
      </c>
      <c r="E3853" s="2">
        <v>80000</v>
      </c>
      <c r="F3853" t="s">
        <v>4553</v>
      </c>
      <c r="G3853" s="17" t="str">
        <f>HYPERLINK("https://www.washoecounty.gov/assessor/cama/?command=sales&amp;parid=08649013","3842357")</f>
        <v>3842357</v>
      </c>
      <c r="H3853" t="s">
        <v>5259</v>
      </c>
      <c r="I3853">
        <v>1976</v>
      </c>
      <c r="J3853">
        <v>1976</v>
      </c>
      <c r="K3853" t="s">
        <v>4554</v>
      </c>
      <c r="L3853" t="s">
        <v>4555</v>
      </c>
      <c r="M3853" s="2">
        <v>1284</v>
      </c>
      <c r="N3853" t="s">
        <v>4556</v>
      </c>
      <c r="O3853">
        <v>3</v>
      </c>
      <c r="P3853">
        <v>1</v>
      </c>
      <c r="Q3853">
        <v>1</v>
      </c>
      <c r="R3853" t="s">
        <v>5281</v>
      </c>
      <c r="S3853" t="s">
        <v>4558</v>
      </c>
      <c r="T3853" t="s">
        <v>4559</v>
      </c>
      <c r="U3853" t="s">
        <v>4655</v>
      </c>
      <c r="V3853" s="2">
        <v>0</v>
      </c>
      <c r="W3853" t="s">
        <v>4655</v>
      </c>
      <c r="X3853" s="2">
        <v>0</v>
      </c>
      <c r="Y3853">
        <v>20</v>
      </c>
      <c r="Z3853" t="s">
        <v>365</v>
      </c>
      <c r="AA3853" s="3">
        <v>0.14299815893173218</v>
      </c>
      <c r="AB3853" t="s">
        <v>20962</v>
      </c>
      <c r="AC3853" t="s">
        <v>4562</v>
      </c>
      <c r="AD3853" t="s">
        <v>20961</v>
      </c>
      <c r="AE3853" t="s">
        <v>4655</v>
      </c>
      <c r="AF3853" t="s">
        <v>4563</v>
      </c>
      <c r="AG3853" t="s">
        <v>4564</v>
      </c>
      <c r="AH3853">
        <v>89506</v>
      </c>
      <c r="AI3853" t="s">
        <v>4565</v>
      </c>
      <c r="AJ3853" t="s">
        <v>4655</v>
      </c>
      <c r="AK3853" t="s">
        <v>20963</v>
      </c>
      <c r="AL3853" s="13" t="s">
        <v>1901</v>
      </c>
      <c r="AM3853">
        <v>1</v>
      </c>
      <c r="AN3853" s="15" t="s">
        <v>5260</v>
      </c>
    </row>
    <row r="3854" spans="1:40" x14ac:dyDescent="0.3">
      <c r="A3854" s="10" t="str">
        <f>HYPERLINK("http://www.washoecounty.gov/assessor/cama/?parid=086-541-01&amp;CardNumber=1","086-541-01")</f>
        <v>086-541-01</v>
      </c>
      <c r="B3854" t="s">
        <v>4655</v>
      </c>
      <c r="C3854" t="s">
        <v>20964</v>
      </c>
      <c r="D3854" s="1">
        <v>40352</v>
      </c>
      <c r="E3854" s="2">
        <v>59000</v>
      </c>
      <c r="F3854" t="s">
        <v>4567</v>
      </c>
      <c r="G3854" s="17" t="str">
        <f>HYPERLINK("https://www.washoecounty.gov/assessor/cama/?command=sales&amp;parid=08654101","3894760")</f>
        <v>3894760</v>
      </c>
      <c r="H3854" t="s">
        <v>5261</v>
      </c>
      <c r="I3854">
        <v>1979</v>
      </c>
      <c r="J3854">
        <v>1979</v>
      </c>
      <c r="K3854" t="s">
        <v>4897</v>
      </c>
      <c r="L3854" t="s">
        <v>4555</v>
      </c>
      <c r="M3854" s="2">
        <v>1020</v>
      </c>
      <c r="N3854" t="s">
        <v>4556</v>
      </c>
      <c r="O3854">
        <v>3</v>
      </c>
      <c r="P3854">
        <v>2</v>
      </c>
      <c r="Q3854">
        <v>0</v>
      </c>
      <c r="R3854" t="s">
        <v>5281</v>
      </c>
      <c r="S3854" t="s">
        <v>4558</v>
      </c>
      <c r="T3854" t="s">
        <v>4559</v>
      </c>
      <c r="U3854" t="s">
        <v>4560</v>
      </c>
      <c r="V3854" s="2">
        <v>422</v>
      </c>
      <c r="W3854" t="s">
        <v>4655</v>
      </c>
      <c r="X3854" s="2">
        <v>0</v>
      </c>
      <c r="Y3854">
        <v>20</v>
      </c>
      <c r="Z3854" t="s">
        <v>4144</v>
      </c>
      <c r="AA3854" s="3">
        <v>0.114990815520287</v>
      </c>
      <c r="AB3854" t="s">
        <v>20965</v>
      </c>
      <c r="AC3854" t="s">
        <v>4562</v>
      </c>
      <c r="AD3854" t="s">
        <v>20966</v>
      </c>
      <c r="AE3854" t="s">
        <v>4655</v>
      </c>
      <c r="AF3854" t="s">
        <v>4563</v>
      </c>
      <c r="AG3854" t="s">
        <v>4564</v>
      </c>
      <c r="AH3854">
        <v>89506</v>
      </c>
      <c r="AI3854" t="s">
        <v>20967</v>
      </c>
      <c r="AJ3854" t="s">
        <v>4655</v>
      </c>
      <c r="AK3854" t="s">
        <v>20968</v>
      </c>
      <c r="AL3854" s="13" t="s">
        <v>1901</v>
      </c>
      <c r="AM3854">
        <v>1</v>
      </c>
      <c r="AN3854" s="15" t="s">
        <v>5262</v>
      </c>
    </row>
    <row r="3855" spans="1:40" x14ac:dyDescent="0.3">
      <c r="A3855" s="10" t="str">
        <f>HYPERLINK("http://www.washoecounty.gov/assessor/cama/?parid=086-541-02&amp;CardNumber=1","086-541-02")</f>
        <v>086-541-02</v>
      </c>
      <c r="B3855" t="s">
        <v>4655</v>
      </c>
      <c r="C3855" t="s">
        <v>20969</v>
      </c>
      <c r="D3855" s="1">
        <v>40444</v>
      </c>
      <c r="E3855" s="2">
        <v>50000</v>
      </c>
      <c r="F3855" t="s">
        <v>4553</v>
      </c>
      <c r="G3855" s="17" t="str">
        <f>HYPERLINK("https://www.washoecounty.gov/assessor/cama/?command=sales&amp;parid=08654102","3925506")</f>
        <v>3925506</v>
      </c>
      <c r="H3855" t="s">
        <v>5261</v>
      </c>
      <c r="I3855">
        <v>1979</v>
      </c>
      <c r="J3855">
        <v>1979</v>
      </c>
      <c r="K3855" t="s">
        <v>4897</v>
      </c>
      <c r="L3855" t="s">
        <v>4555</v>
      </c>
      <c r="M3855" s="2">
        <v>1020</v>
      </c>
      <c r="N3855" t="s">
        <v>4556</v>
      </c>
      <c r="O3855">
        <v>3</v>
      </c>
      <c r="P3855">
        <v>2</v>
      </c>
      <c r="Q3855">
        <v>0</v>
      </c>
      <c r="R3855" t="s">
        <v>4557</v>
      </c>
      <c r="S3855" t="s">
        <v>4558</v>
      </c>
      <c r="T3855" t="s">
        <v>4559</v>
      </c>
      <c r="U3855" t="s">
        <v>4560</v>
      </c>
      <c r="V3855" s="2">
        <v>422</v>
      </c>
      <c r="W3855" t="s">
        <v>4655</v>
      </c>
      <c r="X3855" s="2">
        <v>0</v>
      </c>
      <c r="Y3855">
        <v>20</v>
      </c>
      <c r="Z3855" t="s">
        <v>4144</v>
      </c>
      <c r="AA3855" s="3">
        <v>8.7993569672107697E-2</v>
      </c>
      <c r="AB3855" t="s">
        <v>20970</v>
      </c>
      <c r="AC3855" t="s">
        <v>4562</v>
      </c>
      <c r="AD3855" t="s">
        <v>16413</v>
      </c>
      <c r="AE3855" t="s">
        <v>4655</v>
      </c>
      <c r="AF3855" t="s">
        <v>4563</v>
      </c>
      <c r="AG3855" t="s">
        <v>4564</v>
      </c>
      <c r="AH3855">
        <v>89510</v>
      </c>
      <c r="AI3855" t="s">
        <v>5461</v>
      </c>
      <c r="AJ3855" t="s">
        <v>4655</v>
      </c>
      <c r="AK3855" t="s">
        <v>20971</v>
      </c>
      <c r="AL3855" s="13" t="s">
        <v>1901</v>
      </c>
      <c r="AM3855">
        <v>1</v>
      </c>
      <c r="AN3855" s="15" t="s">
        <v>5262</v>
      </c>
    </row>
    <row r="3856" spans="1:40" x14ac:dyDescent="0.3">
      <c r="A3856" s="10" t="str">
        <f>HYPERLINK("http://www.washoecounty.gov/assessor/cama/?parid=086-541-36&amp;CardNumber=1","086-541-36")</f>
        <v>086-541-36</v>
      </c>
      <c r="B3856" t="s">
        <v>4655</v>
      </c>
      <c r="C3856" t="s">
        <v>20972</v>
      </c>
      <c r="D3856" s="1">
        <v>40249</v>
      </c>
      <c r="E3856" s="2">
        <v>55900</v>
      </c>
      <c r="F3856" t="s">
        <v>4553</v>
      </c>
      <c r="G3856" s="17" t="str">
        <f>HYPERLINK("https://www.washoecounty.gov/assessor/cama/?command=sales&amp;parid=08654136","3858920")</f>
        <v>3858920</v>
      </c>
      <c r="H3856" t="s">
        <v>5261</v>
      </c>
      <c r="I3856">
        <v>1979</v>
      </c>
      <c r="J3856">
        <v>1979</v>
      </c>
      <c r="K3856" t="s">
        <v>4897</v>
      </c>
      <c r="L3856" t="s">
        <v>4555</v>
      </c>
      <c r="M3856" s="2">
        <v>1020</v>
      </c>
      <c r="N3856" t="s">
        <v>4556</v>
      </c>
      <c r="O3856">
        <v>3</v>
      </c>
      <c r="P3856">
        <v>2</v>
      </c>
      <c r="Q3856">
        <v>0</v>
      </c>
      <c r="R3856" t="s">
        <v>4557</v>
      </c>
      <c r="S3856" t="s">
        <v>4558</v>
      </c>
      <c r="T3856" t="s">
        <v>4559</v>
      </c>
      <c r="U3856" t="s">
        <v>4560</v>
      </c>
      <c r="V3856" s="2">
        <v>422</v>
      </c>
      <c r="W3856" t="s">
        <v>4655</v>
      </c>
      <c r="X3856" s="2">
        <v>0</v>
      </c>
      <c r="Y3856">
        <v>20</v>
      </c>
      <c r="Z3856" t="s">
        <v>4144</v>
      </c>
      <c r="AA3856" s="3">
        <v>6.9008260965347304E-2</v>
      </c>
      <c r="AB3856" t="s">
        <v>20973</v>
      </c>
      <c r="AC3856" t="s">
        <v>4562</v>
      </c>
      <c r="AD3856" t="s">
        <v>20974</v>
      </c>
      <c r="AE3856" t="s">
        <v>4655</v>
      </c>
      <c r="AF3856" t="s">
        <v>3114</v>
      </c>
      <c r="AG3856" t="s">
        <v>4564</v>
      </c>
      <c r="AH3856">
        <v>89506</v>
      </c>
      <c r="AI3856" t="s">
        <v>20975</v>
      </c>
      <c r="AJ3856" t="s">
        <v>4655</v>
      </c>
      <c r="AK3856" t="s">
        <v>20976</v>
      </c>
      <c r="AL3856" s="13" t="s">
        <v>1901</v>
      </c>
      <c r="AM3856">
        <v>1</v>
      </c>
      <c r="AN3856" s="15" t="s">
        <v>5262</v>
      </c>
    </row>
    <row r="3857" spans="1:40" x14ac:dyDescent="0.3">
      <c r="A3857" s="10" t="str">
        <f>HYPERLINK("http://www.washoecounty.gov/assessor/cama/?parid=086-541-37&amp;CardNumber=1","086-541-37")</f>
        <v>086-541-37</v>
      </c>
      <c r="B3857" t="s">
        <v>4655</v>
      </c>
      <c r="C3857" t="s">
        <v>20977</v>
      </c>
      <c r="D3857" s="1">
        <v>40459</v>
      </c>
      <c r="E3857" s="2">
        <v>56500</v>
      </c>
      <c r="F3857" t="s">
        <v>4553</v>
      </c>
      <c r="G3857" s="17" t="str">
        <f>HYPERLINK("https://www.washoecounty.gov/assessor/cama/?command=sales&amp;parid=08654137","3931023")</f>
        <v>3931023</v>
      </c>
      <c r="H3857" t="s">
        <v>5261</v>
      </c>
      <c r="I3857">
        <v>1979</v>
      </c>
      <c r="J3857">
        <v>1979</v>
      </c>
      <c r="K3857" t="s">
        <v>4897</v>
      </c>
      <c r="L3857" t="s">
        <v>3974</v>
      </c>
      <c r="M3857" s="2">
        <v>1587</v>
      </c>
      <c r="N3857" t="s">
        <v>4556</v>
      </c>
      <c r="O3857">
        <v>4</v>
      </c>
      <c r="P3857">
        <v>2</v>
      </c>
      <c r="Q3857">
        <v>1</v>
      </c>
      <c r="R3857" t="s">
        <v>4557</v>
      </c>
      <c r="S3857" t="s">
        <v>4558</v>
      </c>
      <c r="T3857" t="s">
        <v>4559</v>
      </c>
      <c r="U3857" t="s">
        <v>4560</v>
      </c>
      <c r="V3857" s="2">
        <v>462</v>
      </c>
      <c r="W3857" t="s">
        <v>4655</v>
      </c>
      <c r="X3857" s="2">
        <v>0</v>
      </c>
      <c r="Y3857">
        <v>20</v>
      </c>
      <c r="Z3857" t="s">
        <v>4144</v>
      </c>
      <c r="AA3857" s="3">
        <v>6.0009181499481201E-2</v>
      </c>
      <c r="AB3857" t="s">
        <v>19642</v>
      </c>
      <c r="AC3857" t="s">
        <v>4562</v>
      </c>
      <c r="AD3857" t="s">
        <v>19643</v>
      </c>
      <c r="AE3857" t="s">
        <v>4655</v>
      </c>
      <c r="AF3857" t="s">
        <v>4563</v>
      </c>
      <c r="AG3857" t="s">
        <v>4564</v>
      </c>
      <c r="AH3857">
        <v>89507</v>
      </c>
      <c r="AI3857" t="s">
        <v>4903</v>
      </c>
      <c r="AJ3857" t="s">
        <v>4655</v>
      </c>
      <c r="AK3857" t="s">
        <v>20978</v>
      </c>
      <c r="AL3857" s="13" t="s">
        <v>1901</v>
      </c>
      <c r="AM3857">
        <v>1</v>
      </c>
      <c r="AN3857" s="15" t="s">
        <v>5262</v>
      </c>
    </row>
    <row r="3858" spans="1:40" x14ac:dyDescent="0.3">
      <c r="A3858" s="10" t="str">
        <f>HYPERLINK("http://www.washoecounty.gov/assessor/cama/?parid=086-541-39&amp;CardNumber=1","086-541-39")</f>
        <v>086-541-39</v>
      </c>
      <c r="B3858" t="s">
        <v>4655</v>
      </c>
      <c r="C3858" t="s">
        <v>20979</v>
      </c>
      <c r="D3858" s="1">
        <v>40521</v>
      </c>
      <c r="E3858" s="2">
        <v>40000</v>
      </c>
      <c r="F3858" t="s">
        <v>4567</v>
      </c>
      <c r="G3858" s="17" t="str">
        <f>HYPERLINK("https://www.washoecounty.gov/assessor/cama/?command=sales&amp;parid=08654139","3951738")</f>
        <v>3951738</v>
      </c>
      <c r="H3858" t="s">
        <v>5261</v>
      </c>
      <c r="I3858">
        <v>1979</v>
      </c>
      <c r="J3858">
        <v>1979</v>
      </c>
      <c r="K3858" t="s">
        <v>4897</v>
      </c>
      <c r="L3858" t="s">
        <v>4555</v>
      </c>
      <c r="M3858" s="2">
        <v>851</v>
      </c>
      <c r="N3858" t="s">
        <v>4556</v>
      </c>
      <c r="O3858">
        <v>2</v>
      </c>
      <c r="P3858">
        <v>1</v>
      </c>
      <c r="Q3858">
        <v>0</v>
      </c>
      <c r="R3858" t="s">
        <v>4557</v>
      </c>
      <c r="S3858" t="s">
        <v>4558</v>
      </c>
      <c r="T3858" t="s">
        <v>4559</v>
      </c>
      <c r="U3858" t="s">
        <v>4560</v>
      </c>
      <c r="V3858" s="2">
        <v>462</v>
      </c>
      <c r="W3858" t="s">
        <v>4655</v>
      </c>
      <c r="X3858" s="2">
        <v>0</v>
      </c>
      <c r="Y3858">
        <v>20</v>
      </c>
      <c r="Z3858" t="s">
        <v>4144</v>
      </c>
      <c r="AA3858" s="3">
        <v>9.6992656588554396E-2</v>
      </c>
      <c r="AB3858" t="s">
        <v>1106</v>
      </c>
      <c r="AC3858" t="s">
        <v>4562</v>
      </c>
      <c r="AD3858" t="s">
        <v>1107</v>
      </c>
      <c r="AE3858" t="s">
        <v>4655</v>
      </c>
      <c r="AF3858" t="s">
        <v>4563</v>
      </c>
      <c r="AG3858" t="s">
        <v>4564</v>
      </c>
      <c r="AH3858" t="s">
        <v>1147</v>
      </c>
      <c r="AI3858" t="s">
        <v>20980</v>
      </c>
      <c r="AJ3858" t="s">
        <v>4655</v>
      </c>
      <c r="AK3858" t="s">
        <v>20981</v>
      </c>
      <c r="AL3858" s="13" t="s">
        <v>1901</v>
      </c>
      <c r="AM3858">
        <v>1</v>
      </c>
      <c r="AN3858" s="15" t="s">
        <v>5262</v>
      </c>
    </row>
    <row r="3859" spans="1:40" x14ac:dyDescent="0.3">
      <c r="A3859" s="10" t="str">
        <f>HYPERLINK("http://www.washoecounty.gov/assessor/cama/?parid=086-541-57&amp;CardNumber=1","086-541-57")</f>
        <v>086-541-57</v>
      </c>
      <c r="B3859" t="s">
        <v>4655</v>
      </c>
      <c r="C3859" t="s">
        <v>20982</v>
      </c>
      <c r="D3859" s="1">
        <v>40295</v>
      </c>
      <c r="E3859" s="2">
        <v>35000</v>
      </c>
      <c r="F3859" t="s">
        <v>4553</v>
      </c>
      <c r="G3859" s="17" t="str">
        <f>HYPERLINK("https://www.washoecounty.gov/assessor/cama/?command=sales&amp;parid=08654157","3875082")</f>
        <v>3875082</v>
      </c>
      <c r="H3859" t="s">
        <v>5261</v>
      </c>
      <c r="I3859">
        <v>1979</v>
      </c>
      <c r="J3859">
        <v>1979</v>
      </c>
      <c r="K3859" t="s">
        <v>4897</v>
      </c>
      <c r="L3859" t="s">
        <v>4555</v>
      </c>
      <c r="M3859" s="2">
        <v>1020</v>
      </c>
      <c r="N3859" t="s">
        <v>4556</v>
      </c>
      <c r="O3859">
        <v>3</v>
      </c>
      <c r="P3859">
        <v>2</v>
      </c>
      <c r="Q3859">
        <v>0</v>
      </c>
      <c r="R3859" t="s">
        <v>4557</v>
      </c>
      <c r="S3859" t="s">
        <v>4558</v>
      </c>
      <c r="T3859" t="s">
        <v>4559</v>
      </c>
      <c r="U3859" t="s">
        <v>4560</v>
      </c>
      <c r="V3859" s="2">
        <v>422</v>
      </c>
      <c r="W3859" t="s">
        <v>4655</v>
      </c>
      <c r="X3859" s="2">
        <v>0</v>
      </c>
      <c r="Y3859">
        <v>20</v>
      </c>
      <c r="Z3859" t="s">
        <v>4144</v>
      </c>
      <c r="AA3859" s="3">
        <v>0.10500459372997301</v>
      </c>
      <c r="AB3859" t="s">
        <v>4307</v>
      </c>
      <c r="AC3859" t="s">
        <v>4562</v>
      </c>
      <c r="AD3859" t="s">
        <v>1572</v>
      </c>
      <c r="AE3859" t="s">
        <v>4655</v>
      </c>
      <c r="AF3859" t="s">
        <v>1600</v>
      </c>
      <c r="AG3859" t="s">
        <v>4564</v>
      </c>
      <c r="AH3859" t="s">
        <v>1601</v>
      </c>
      <c r="AI3859" t="s">
        <v>4655</v>
      </c>
      <c r="AJ3859" t="s">
        <v>4655</v>
      </c>
      <c r="AK3859" t="s">
        <v>20983</v>
      </c>
      <c r="AL3859" s="13" t="s">
        <v>1901</v>
      </c>
      <c r="AM3859">
        <v>1</v>
      </c>
      <c r="AN3859" s="15" t="s">
        <v>5262</v>
      </c>
    </row>
    <row r="3860" spans="1:40" x14ac:dyDescent="0.3">
      <c r="A3860" s="10" t="str">
        <f>HYPERLINK("http://www.washoecounty.gov/assessor/cama/?parid=086-541-64&amp;CardNumber=1","086-541-64")</f>
        <v>086-541-64</v>
      </c>
      <c r="B3860" t="s">
        <v>4655</v>
      </c>
      <c r="C3860" t="s">
        <v>20984</v>
      </c>
      <c r="D3860" s="1">
        <v>40192</v>
      </c>
      <c r="E3860" s="2">
        <v>104000</v>
      </c>
      <c r="F3860" t="s">
        <v>4567</v>
      </c>
      <c r="G3860" s="17" t="str">
        <f>HYPERLINK("https://www.washoecounty.gov/assessor/cama/?command=sales&amp;parid=08654164","3839206")</f>
        <v>3839206</v>
      </c>
      <c r="H3860" t="s">
        <v>5261</v>
      </c>
      <c r="I3860">
        <v>1979</v>
      </c>
      <c r="J3860">
        <v>1979</v>
      </c>
      <c r="K3860" t="s">
        <v>4897</v>
      </c>
      <c r="L3860" t="s">
        <v>3974</v>
      </c>
      <c r="M3860" s="2">
        <v>1587</v>
      </c>
      <c r="N3860" t="s">
        <v>4556</v>
      </c>
      <c r="O3860">
        <v>4</v>
      </c>
      <c r="P3860">
        <v>2</v>
      </c>
      <c r="Q3860">
        <v>1</v>
      </c>
      <c r="R3860" t="s">
        <v>4557</v>
      </c>
      <c r="S3860" t="s">
        <v>4558</v>
      </c>
      <c r="T3860" t="s">
        <v>4559</v>
      </c>
      <c r="U3860" t="s">
        <v>4560</v>
      </c>
      <c r="V3860" s="2">
        <v>462</v>
      </c>
      <c r="W3860" t="s">
        <v>4655</v>
      </c>
      <c r="X3860" s="2">
        <v>0</v>
      </c>
      <c r="Y3860">
        <v>20</v>
      </c>
      <c r="Z3860" t="s">
        <v>4144</v>
      </c>
      <c r="AA3860" s="3">
        <v>9.4008266925811795E-2</v>
      </c>
      <c r="AB3860" t="s">
        <v>20985</v>
      </c>
      <c r="AC3860" t="s">
        <v>4562</v>
      </c>
      <c r="AD3860" t="s">
        <v>20984</v>
      </c>
      <c r="AE3860" t="s">
        <v>4655</v>
      </c>
      <c r="AF3860" t="s">
        <v>4563</v>
      </c>
      <c r="AG3860" t="s">
        <v>4564</v>
      </c>
      <c r="AH3860">
        <v>89506</v>
      </c>
      <c r="AI3860" t="s">
        <v>20986</v>
      </c>
      <c r="AJ3860" t="s">
        <v>4655</v>
      </c>
      <c r="AK3860" t="s">
        <v>20987</v>
      </c>
      <c r="AL3860" s="13" t="s">
        <v>1901</v>
      </c>
      <c r="AM3860">
        <v>1</v>
      </c>
      <c r="AN3860" s="15" t="s">
        <v>5262</v>
      </c>
    </row>
    <row r="3861" spans="1:40" x14ac:dyDescent="0.3">
      <c r="A3861" s="10" t="str">
        <f>HYPERLINK("http://www.washoecounty.gov/assessor/cama/?parid=086-541-68&amp;CardNumber=1","086-541-68")</f>
        <v>086-541-68</v>
      </c>
      <c r="B3861" t="s">
        <v>4655</v>
      </c>
      <c r="C3861" t="s">
        <v>20988</v>
      </c>
      <c r="D3861" s="1">
        <v>40403</v>
      </c>
      <c r="E3861" s="2">
        <v>75540</v>
      </c>
      <c r="F3861" t="s">
        <v>4567</v>
      </c>
      <c r="G3861" s="17" t="str">
        <f>HYPERLINK("https://www.washoecounty.gov/assessor/cama/?command=sales&amp;parid=08654168","3911992")</f>
        <v>3911992</v>
      </c>
      <c r="H3861" t="s">
        <v>5261</v>
      </c>
      <c r="I3861">
        <v>1979</v>
      </c>
      <c r="J3861">
        <v>1979</v>
      </c>
      <c r="K3861" t="s">
        <v>4897</v>
      </c>
      <c r="L3861" t="s">
        <v>4555</v>
      </c>
      <c r="M3861" s="2">
        <v>1020</v>
      </c>
      <c r="N3861" t="s">
        <v>4556</v>
      </c>
      <c r="O3861">
        <v>3</v>
      </c>
      <c r="P3861">
        <v>2</v>
      </c>
      <c r="Q3861">
        <v>0</v>
      </c>
      <c r="R3861" t="s">
        <v>4557</v>
      </c>
      <c r="S3861" t="s">
        <v>4558</v>
      </c>
      <c r="T3861" t="s">
        <v>4559</v>
      </c>
      <c r="U3861" t="s">
        <v>4560</v>
      </c>
      <c r="V3861" s="2">
        <v>422</v>
      </c>
      <c r="W3861" t="s">
        <v>4655</v>
      </c>
      <c r="X3861" s="2">
        <v>0</v>
      </c>
      <c r="Y3861">
        <v>20</v>
      </c>
      <c r="Z3861" t="s">
        <v>4144</v>
      </c>
      <c r="AA3861" s="3">
        <v>0.13200183212757099</v>
      </c>
      <c r="AB3861" t="s">
        <v>20989</v>
      </c>
      <c r="AC3861" t="s">
        <v>4562</v>
      </c>
      <c r="AD3861" t="s">
        <v>20990</v>
      </c>
      <c r="AE3861" t="s">
        <v>4655</v>
      </c>
      <c r="AF3861" t="s">
        <v>4563</v>
      </c>
      <c r="AG3861" t="s">
        <v>4564</v>
      </c>
      <c r="AH3861">
        <v>89506</v>
      </c>
      <c r="AI3861" t="s">
        <v>20991</v>
      </c>
      <c r="AJ3861" t="s">
        <v>4655</v>
      </c>
      <c r="AK3861" t="s">
        <v>20992</v>
      </c>
      <c r="AL3861" s="13" t="s">
        <v>1901</v>
      </c>
      <c r="AM3861">
        <v>1</v>
      </c>
      <c r="AN3861" s="15" t="s">
        <v>5262</v>
      </c>
    </row>
    <row r="3862" spans="1:40" x14ac:dyDescent="0.3">
      <c r="A3862" s="10" t="str">
        <f>HYPERLINK("http://www.washoecounty.gov/assessor/cama/?parid=086-542-41&amp;CardNumber=1","086-542-41")</f>
        <v>086-542-41</v>
      </c>
      <c r="B3862" t="s">
        <v>4655</v>
      </c>
      <c r="C3862" t="s">
        <v>20993</v>
      </c>
      <c r="D3862" s="1">
        <v>40291</v>
      </c>
      <c r="E3862" s="2">
        <v>70000</v>
      </c>
      <c r="F3862" t="s">
        <v>4567</v>
      </c>
      <c r="G3862" s="17" t="str">
        <f>HYPERLINK("https://www.washoecounty.gov/assessor/cama/?command=sales&amp;parid=08654241","3874122")</f>
        <v>3874122</v>
      </c>
      <c r="H3862" t="s">
        <v>5261</v>
      </c>
      <c r="I3862">
        <v>1979</v>
      </c>
      <c r="J3862">
        <v>1979</v>
      </c>
      <c r="K3862" t="s">
        <v>4897</v>
      </c>
      <c r="L3862" t="s">
        <v>4555</v>
      </c>
      <c r="M3862" s="2">
        <v>851</v>
      </c>
      <c r="N3862" t="s">
        <v>4556</v>
      </c>
      <c r="O3862">
        <v>2</v>
      </c>
      <c r="P3862">
        <v>1</v>
      </c>
      <c r="Q3862">
        <v>0</v>
      </c>
      <c r="R3862" t="s">
        <v>4557</v>
      </c>
      <c r="S3862" t="s">
        <v>4558</v>
      </c>
      <c r="T3862" t="s">
        <v>4559</v>
      </c>
      <c r="U3862" t="s">
        <v>4560</v>
      </c>
      <c r="V3862" s="2">
        <v>462</v>
      </c>
      <c r="W3862" t="s">
        <v>4655</v>
      </c>
      <c r="X3862" s="2">
        <v>0</v>
      </c>
      <c r="Y3862">
        <v>20</v>
      </c>
      <c r="Z3862" t="s">
        <v>4144</v>
      </c>
      <c r="AA3862" s="3">
        <v>8.5996329784393297E-2</v>
      </c>
      <c r="AB3862" t="s">
        <v>20994</v>
      </c>
      <c r="AC3862" t="s">
        <v>4575</v>
      </c>
      <c r="AD3862" t="s">
        <v>20993</v>
      </c>
      <c r="AE3862" t="s">
        <v>4655</v>
      </c>
      <c r="AF3862" t="s">
        <v>4563</v>
      </c>
      <c r="AG3862" t="s">
        <v>4564</v>
      </c>
      <c r="AH3862">
        <v>89506</v>
      </c>
      <c r="AI3862" t="s">
        <v>20995</v>
      </c>
      <c r="AJ3862" t="s">
        <v>4655</v>
      </c>
      <c r="AK3862" t="s">
        <v>20996</v>
      </c>
      <c r="AL3862" s="13" t="s">
        <v>1901</v>
      </c>
      <c r="AM3862">
        <v>1</v>
      </c>
      <c r="AN3862" s="15" t="s">
        <v>5262</v>
      </c>
    </row>
    <row r="3863" spans="1:40" x14ac:dyDescent="0.3">
      <c r="A3863" s="10" t="str">
        <f>HYPERLINK("http://www.washoecounty.gov/assessor/cama/?parid=086-542-48&amp;CardNumber=1","086-542-48")</f>
        <v>086-542-48</v>
      </c>
      <c r="B3863" t="s">
        <v>4655</v>
      </c>
      <c r="C3863" t="s">
        <v>20997</v>
      </c>
      <c r="D3863" s="1">
        <v>40246</v>
      </c>
      <c r="E3863" s="2">
        <v>41400</v>
      </c>
      <c r="F3863" t="s">
        <v>4553</v>
      </c>
      <c r="G3863" s="17" t="str">
        <f>HYPERLINK("https://www.washoecounty.gov/assessor/cama/?command=sales&amp;parid=08654248","3857688")</f>
        <v>3857688</v>
      </c>
      <c r="H3863" t="s">
        <v>5261</v>
      </c>
      <c r="I3863">
        <v>1979</v>
      </c>
      <c r="J3863">
        <v>1979</v>
      </c>
      <c r="K3863" t="s">
        <v>4897</v>
      </c>
      <c r="L3863" t="s">
        <v>3974</v>
      </c>
      <c r="M3863" s="2">
        <v>1587</v>
      </c>
      <c r="N3863" t="s">
        <v>4556</v>
      </c>
      <c r="O3863">
        <v>4</v>
      </c>
      <c r="P3863">
        <v>2</v>
      </c>
      <c r="Q3863">
        <v>1</v>
      </c>
      <c r="R3863" t="s">
        <v>4557</v>
      </c>
      <c r="S3863" t="s">
        <v>4558</v>
      </c>
      <c r="T3863" t="s">
        <v>4559</v>
      </c>
      <c r="U3863" t="s">
        <v>4560</v>
      </c>
      <c r="V3863" s="2">
        <v>462</v>
      </c>
      <c r="W3863" t="s">
        <v>4655</v>
      </c>
      <c r="X3863" s="2">
        <v>0</v>
      </c>
      <c r="Y3863">
        <v>20</v>
      </c>
      <c r="Z3863" t="s">
        <v>4144</v>
      </c>
      <c r="AA3863" s="3">
        <v>9.2011019587516799E-2</v>
      </c>
      <c r="AB3863" t="s">
        <v>20998</v>
      </c>
      <c r="AC3863" t="s">
        <v>4562</v>
      </c>
      <c r="AD3863" t="s">
        <v>20997</v>
      </c>
      <c r="AE3863" t="s">
        <v>4655</v>
      </c>
      <c r="AF3863" t="s">
        <v>4563</v>
      </c>
      <c r="AG3863" t="s">
        <v>4564</v>
      </c>
      <c r="AH3863">
        <v>89506</v>
      </c>
      <c r="AI3863" t="s">
        <v>4655</v>
      </c>
      <c r="AJ3863" t="s">
        <v>4655</v>
      </c>
      <c r="AK3863" t="s">
        <v>20999</v>
      </c>
      <c r="AL3863" s="13" t="s">
        <v>1901</v>
      </c>
      <c r="AM3863">
        <v>1</v>
      </c>
      <c r="AN3863" s="15" t="s">
        <v>5262</v>
      </c>
    </row>
    <row r="3864" spans="1:40" x14ac:dyDescent="0.3">
      <c r="A3864" s="10" t="str">
        <f>HYPERLINK("http://www.washoecounty.gov/assessor/cama/?parid=086-542-57&amp;CardNumber=1","086-542-57")</f>
        <v>086-542-57</v>
      </c>
      <c r="B3864" t="s">
        <v>4655</v>
      </c>
      <c r="C3864" t="s">
        <v>21000</v>
      </c>
      <c r="D3864" s="1">
        <v>40359</v>
      </c>
      <c r="E3864" s="2">
        <v>49000</v>
      </c>
      <c r="F3864" t="s">
        <v>4567</v>
      </c>
      <c r="G3864" s="17" t="str">
        <f>HYPERLINK("https://www.washoecounty.gov/assessor/cama/?command=sales&amp;parid=08654257","3897073")</f>
        <v>3897073</v>
      </c>
      <c r="H3864" t="s">
        <v>5261</v>
      </c>
      <c r="I3864">
        <v>1979</v>
      </c>
      <c r="J3864">
        <v>1979</v>
      </c>
      <c r="K3864" t="s">
        <v>4897</v>
      </c>
      <c r="L3864" t="s">
        <v>4555</v>
      </c>
      <c r="M3864" s="2">
        <v>851</v>
      </c>
      <c r="N3864" t="s">
        <v>4556</v>
      </c>
      <c r="O3864">
        <v>2</v>
      </c>
      <c r="P3864">
        <v>1</v>
      </c>
      <c r="Q3864">
        <v>0</v>
      </c>
      <c r="R3864" t="s">
        <v>4557</v>
      </c>
      <c r="S3864" t="s">
        <v>4558</v>
      </c>
      <c r="T3864" t="s">
        <v>4559</v>
      </c>
      <c r="U3864" t="s">
        <v>4560</v>
      </c>
      <c r="V3864" s="2">
        <v>462</v>
      </c>
      <c r="W3864" t="s">
        <v>4655</v>
      </c>
      <c r="X3864" s="2">
        <v>0</v>
      </c>
      <c r="Y3864">
        <v>20</v>
      </c>
      <c r="Z3864" t="s">
        <v>4144</v>
      </c>
      <c r="AA3864" s="3">
        <v>8.5996329784393297E-2</v>
      </c>
      <c r="AB3864" t="s">
        <v>21001</v>
      </c>
      <c r="AC3864" t="s">
        <v>4562</v>
      </c>
      <c r="AD3864" t="s">
        <v>2683</v>
      </c>
      <c r="AE3864" t="s">
        <v>4655</v>
      </c>
      <c r="AF3864" t="s">
        <v>4563</v>
      </c>
      <c r="AG3864" t="s">
        <v>4564</v>
      </c>
      <c r="AH3864">
        <v>89506</v>
      </c>
      <c r="AI3864" t="s">
        <v>21002</v>
      </c>
      <c r="AJ3864" t="s">
        <v>4655</v>
      </c>
      <c r="AK3864" t="s">
        <v>21003</v>
      </c>
      <c r="AL3864" s="13" t="s">
        <v>1901</v>
      </c>
      <c r="AM3864">
        <v>1</v>
      </c>
      <c r="AN3864" s="15" t="s">
        <v>5262</v>
      </c>
    </row>
    <row r="3865" spans="1:40" x14ac:dyDescent="0.3">
      <c r="A3865" s="10" t="str">
        <f>HYPERLINK("http://www.washoecounty.gov/assessor/cama/?parid=086-542-63&amp;CardNumber=1","086-542-63")</f>
        <v>086-542-63</v>
      </c>
      <c r="B3865" t="s">
        <v>4655</v>
      </c>
      <c r="C3865" t="s">
        <v>21004</v>
      </c>
      <c r="D3865" s="1">
        <v>40417</v>
      </c>
      <c r="E3865" s="2">
        <v>46000</v>
      </c>
      <c r="F3865" t="s">
        <v>4553</v>
      </c>
      <c r="G3865" s="17" t="str">
        <f>HYPERLINK("https://www.washoecounty.gov/assessor/cama/?command=sales&amp;parid=08654263","3916153")</f>
        <v>3916153</v>
      </c>
      <c r="H3865" t="s">
        <v>5261</v>
      </c>
      <c r="I3865">
        <v>1979</v>
      </c>
      <c r="J3865">
        <v>1979</v>
      </c>
      <c r="K3865" t="s">
        <v>4897</v>
      </c>
      <c r="L3865" t="s">
        <v>4555</v>
      </c>
      <c r="M3865" s="2">
        <v>851</v>
      </c>
      <c r="N3865" t="s">
        <v>4556</v>
      </c>
      <c r="O3865">
        <v>2</v>
      </c>
      <c r="P3865">
        <v>1</v>
      </c>
      <c r="Q3865">
        <v>0</v>
      </c>
      <c r="R3865" t="s">
        <v>5281</v>
      </c>
      <c r="S3865" t="s">
        <v>4558</v>
      </c>
      <c r="T3865" t="s">
        <v>4559</v>
      </c>
      <c r="U3865" t="s">
        <v>4560</v>
      </c>
      <c r="V3865" s="2">
        <v>462</v>
      </c>
      <c r="W3865" t="s">
        <v>4655</v>
      </c>
      <c r="X3865" s="2">
        <v>0</v>
      </c>
      <c r="Y3865">
        <v>20</v>
      </c>
      <c r="Z3865" t="s">
        <v>4144</v>
      </c>
      <c r="AA3865" s="3">
        <v>8.5996329784393297E-2</v>
      </c>
      <c r="AB3865" t="s">
        <v>21005</v>
      </c>
      <c r="AC3865" t="s">
        <v>4562</v>
      </c>
      <c r="AD3865" t="s">
        <v>21006</v>
      </c>
      <c r="AE3865" t="s">
        <v>4655</v>
      </c>
      <c r="AF3865" t="s">
        <v>785</v>
      </c>
      <c r="AG3865" t="s">
        <v>4584</v>
      </c>
      <c r="AH3865">
        <v>74014</v>
      </c>
      <c r="AI3865" t="s">
        <v>4903</v>
      </c>
      <c r="AJ3865" t="s">
        <v>4655</v>
      </c>
      <c r="AK3865" t="s">
        <v>21007</v>
      </c>
      <c r="AL3865" s="13" t="s">
        <v>1901</v>
      </c>
      <c r="AM3865">
        <v>1</v>
      </c>
      <c r="AN3865" s="15" t="s">
        <v>5262</v>
      </c>
    </row>
    <row r="3866" spans="1:40" x14ac:dyDescent="0.3">
      <c r="A3866" s="10" t="str">
        <f>HYPERLINK("http://www.washoecounty.gov/assessor/cama/?parid=086-543-08&amp;CardNumber=1","086-543-08")</f>
        <v>086-543-08</v>
      </c>
      <c r="B3866" t="s">
        <v>4655</v>
      </c>
      <c r="C3866" t="s">
        <v>21008</v>
      </c>
      <c r="D3866" s="1">
        <v>40253</v>
      </c>
      <c r="E3866" s="2">
        <v>48000</v>
      </c>
      <c r="F3866" t="s">
        <v>4567</v>
      </c>
      <c r="G3866" s="17" t="str">
        <f>HYPERLINK("https://www.washoecounty.gov/assessor/cama/?command=sales&amp;parid=08654308","3860516")</f>
        <v>3860516</v>
      </c>
      <c r="H3866" t="s">
        <v>5261</v>
      </c>
      <c r="I3866">
        <v>1979</v>
      </c>
      <c r="J3866">
        <v>1979</v>
      </c>
      <c r="K3866" t="s">
        <v>4897</v>
      </c>
      <c r="L3866" t="s">
        <v>4555</v>
      </c>
      <c r="M3866" s="2">
        <v>1020</v>
      </c>
      <c r="N3866" t="s">
        <v>4556</v>
      </c>
      <c r="O3866">
        <v>3</v>
      </c>
      <c r="P3866">
        <v>2</v>
      </c>
      <c r="Q3866">
        <v>0</v>
      </c>
      <c r="R3866" t="s">
        <v>4557</v>
      </c>
      <c r="S3866" t="s">
        <v>4558</v>
      </c>
      <c r="T3866" t="s">
        <v>4559</v>
      </c>
      <c r="U3866" t="s">
        <v>4560</v>
      </c>
      <c r="V3866" s="2">
        <v>422</v>
      </c>
      <c r="W3866" t="s">
        <v>4655</v>
      </c>
      <c r="X3866" s="2">
        <v>0</v>
      </c>
      <c r="Y3866">
        <v>20</v>
      </c>
      <c r="Z3866" t="s">
        <v>4144</v>
      </c>
      <c r="AA3866" s="3">
        <v>8.5996329784393297E-2</v>
      </c>
      <c r="AB3866" t="s">
        <v>21009</v>
      </c>
      <c r="AC3866" t="s">
        <v>4575</v>
      </c>
      <c r="AD3866" t="s">
        <v>21010</v>
      </c>
      <c r="AE3866" t="s">
        <v>2362</v>
      </c>
      <c r="AF3866" t="s">
        <v>5201</v>
      </c>
      <c r="AG3866" t="s">
        <v>4564</v>
      </c>
      <c r="AH3866" t="s">
        <v>3898</v>
      </c>
      <c r="AI3866" t="s">
        <v>21011</v>
      </c>
      <c r="AJ3866" t="s">
        <v>4655</v>
      </c>
      <c r="AK3866" t="s">
        <v>21012</v>
      </c>
      <c r="AL3866" s="13" t="s">
        <v>1901</v>
      </c>
      <c r="AM3866">
        <v>1</v>
      </c>
      <c r="AN3866" s="15" t="s">
        <v>5262</v>
      </c>
    </row>
    <row r="3867" spans="1:40" x14ac:dyDescent="0.3">
      <c r="A3867" s="10" t="str">
        <f>HYPERLINK("http://www.washoecounty.gov/assessor/cama/?parid=086-543-23&amp;CardNumber=1","086-543-23")</f>
        <v>086-543-23</v>
      </c>
      <c r="B3867" t="s">
        <v>4655</v>
      </c>
      <c r="C3867" t="s">
        <v>21013</v>
      </c>
      <c r="D3867" s="1">
        <v>40422</v>
      </c>
      <c r="E3867" s="2">
        <v>69000</v>
      </c>
      <c r="F3867" t="s">
        <v>4553</v>
      </c>
      <c r="G3867" s="17" t="str">
        <f>HYPERLINK("https://www.washoecounty.gov/assessor/cama/?command=sales&amp;parid=08654323","3917785")</f>
        <v>3917785</v>
      </c>
      <c r="H3867" t="s">
        <v>5261</v>
      </c>
      <c r="I3867">
        <v>1979</v>
      </c>
      <c r="J3867">
        <v>1979</v>
      </c>
      <c r="K3867" t="s">
        <v>4897</v>
      </c>
      <c r="L3867" t="s">
        <v>3974</v>
      </c>
      <c r="M3867" s="2">
        <v>1587</v>
      </c>
      <c r="N3867" t="s">
        <v>4556</v>
      </c>
      <c r="O3867">
        <v>4</v>
      </c>
      <c r="P3867">
        <v>2</v>
      </c>
      <c r="Q3867">
        <v>1</v>
      </c>
      <c r="R3867" t="s">
        <v>4557</v>
      </c>
      <c r="S3867" t="s">
        <v>4558</v>
      </c>
      <c r="T3867" t="s">
        <v>4559</v>
      </c>
      <c r="U3867" t="s">
        <v>4560</v>
      </c>
      <c r="V3867" s="2">
        <v>462</v>
      </c>
      <c r="W3867" t="s">
        <v>4655</v>
      </c>
      <c r="X3867" s="2">
        <v>0</v>
      </c>
      <c r="Y3867">
        <v>20</v>
      </c>
      <c r="Z3867" t="s">
        <v>4144</v>
      </c>
      <c r="AA3867" s="3">
        <v>6.9008260965347304E-2</v>
      </c>
      <c r="AB3867" t="s">
        <v>21014</v>
      </c>
      <c r="AC3867" t="s">
        <v>4562</v>
      </c>
      <c r="AD3867" t="s">
        <v>21015</v>
      </c>
      <c r="AE3867" t="s">
        <v>4655</v>
      </c>
      <c r="AF3867" t="s">
        <v>4563</v>
      </c>
      <c r="AG3867" t="s">
        <v>4564</v>
      </c>
      <c r="AH3867">
        <v>89506</v>
      </c>
      <c r="AI3867" t="s">
        <v>4565</v>
      </c>
      <c r="AJ3867" t="s">
        <v>4655</v>
      </c>
      <c r="AK3867" t="s">
        <v>21016</v>
      </c>
      <c r="AL3867" s="13" t="s">
        <v>1901</v>
      </c>
      <c r="AM3867">
        <v>1</v>
      </c>
      <c r="AN3867" s="15" t="s">
        <v>5262</v>
      </c>
    </row>
    <row r="3868" spans="1:40" x14ac:dyDescent="0.3">
      <c r="A3868" s="10" t="str">
        <f>HYPERLINK("http://www.washoecounty.gov/assessor/cama/?parid=086-543-52&amp;CardNumber=1","086-543-52")</f>
        <v>086-543-52</v>
      </c>
      <c r="B3868" t="s">
        <v>4655</v>
      </c>
      <c r="C3868" t="s">
        <v>21017</v>
      </c>
      <c r="D3868" s="1">
        <v>40366</v>
      </c>
      <c r="E3868" s="2">
        <v>95000</v>
      </c>
      <c r="F3868" t="s">
        <v>4553</v>
      </c>
      <c r="G3868" s="17" t="str">
        <f>HYPERLINK("https://www.washoecounty.gov/assessor/cama/?command=sales&amp;parid=08654352","3899065")</f>
        <v>3899065</v>
      </c>
      <c r="H3868" t="s">
        <v>5261</v>
      </c>
      <c r="I3868">
        <v>1979</v>
      </c>
      <c r="J3868">
        <v>1979</v>
      </c>
      <c r="K3868" t="s">
        <v>4897</v>
      </c>
      <c r="L3868" t="s">
        <v>3974</v>
      </c>
      <c r="M3868" s="2">
        <v>1587</v>
      </c>
      <c r="N3868" t="s">
        <v>4556</v>
      </c>
      <c r="O3868">
        <v>4</v>
      </c>
      <c r="P3868">
        <v>2</v>
      </c>
      <c r="Q3868">
        <v>1</v>
      </c>
      <c r="R3868" t="s">
        <v>4557</v>
      </c>
      <c r="S3868" t="s">
        <v>4558</v>
      </c>
      <c r="T3868" t="s">
        <v>4559</v>
      </c>
      <c r="U3868" t="s">
        <v>4560</v>
      </c>
      <c r="V3868" s="2">
        <v>462</v>
      </c>
      <c r="W3868" t="s">
        <v>4655</v>
      </c>
      <c r="X3868" s="2">
        <v>0</v>
      </c>
      <c r="Y3868">
        <v>20</v>
      </c>
      <c r="Z3868" t="s">
        <v>4144</v>
      </c>
      <c r="AA3868" s="3">
        <v>0.117011018097401</v>
      </c>
      <c r="AB3868" t="s">
        <v>21018</v>
      </c>
      <c r="AC3868" t="s">
        <v>4562</v>
      </c>
      <c r="AD3868" t="s">
        <v>21019</v>
      </c>
      <c r="AE3868" t="s">
        <v>4655</v>
      </c>
      <c r="AF3868" t="s">
        <v>4563</v>
      </c>
      <c r="AG3868" t="s">
        <v>4564</v>
      </c>
      <c r="AH3868">
        <v>89506</v>
      </c>
      <c r="AI3868" t="s">
        <v>4655</v>
      </c>
      <c r="AJ3868" t="s">
        <v>4655</v>
      </c>
      <c r="AK3868" t="s">
        <v>21020</v>
      </c>
      <c r="AL3868" s="13" t="s">
        <v>1901</v>
      </c>
      <c r="AM3868">
        <v>1</v>
      </c>
      <c r="AN3868" s="15" t="s">
        <v>5262</v>
      </c>
    </row>
    <row r="3869" spans="1:40" x14ac:dyDescent="0.3">
      <c r="A3869" s="10" t="str">
        <f>HYPERLINK("http://www.washoecounty.gov/assessor/cama/?parid=086-543-58&amp;CardNumber=1","086-543-58")</f>
        <v>086-543-58</v>
      </c>
      <c r="B3869" t="s">
        <v>4655</v>
      </c>
      <c r="C3869" t="s">
        <v>21021</v>
      </c>
      <c r="D3869" s="1">
        <v>40304</v>
      </c>
      <c r="E3869" s="2">
        <v>79000</v>
      </c>
      <c r="F3869" t="s">
        <v>4553</v>
      </c>
      <c r="G3869" s="17" t="str">
        <f>HYPERLINK("https://www.washoecounty.gov/assessor/cama/?command=sales&amp;parid=08654358","3878833")</f>
        <v>3878833</v>
      </c>
      <c r="H3869" t="s">
        <v>5261</v>
      </c>
      <c r="I3869">
        <v>1979</v>
      </c>
      <c r="J3869">
        <v>1979</v>
      </c>
      <c r="K3869" t="s">
        <v>4897</v>
      </c>
      <c r="L3869" t="s">
        <v>3974</v>
      </c>
      <c r="M3869" s="2">
        <v>1587</v>
      </c>
      <c r="N3869" t="s">
        <v>4556</v>
      </c>
      <c r="O3869">
        <v>4</v>
      </c>
      <c r="P3869">
        <v>2</v>
      </c>
      <c r="Q3869">
        <v>1</v>
      </c>
      <c r="R3869" t="s">
        <v>5281</v>
      </c>
      <c r="S3869" t="s">
        <v>4558</v>
      </c>
      <c r="T3869" t="s">
        <v>4559</v>
      </c>
      <c r="U3869" t="s">
        <v>4560</v>
      </c>
      <c r="V3869" s="2">
        <v>462</v>
      </c>
      <c r="W3869" t="s">
        <v>4655</v>
      </c>
      <c r="X3869" s="2">
        <v>0</v>
      </c>
      <c r="Y3869">
        <v>20</v>
      </c>
      <c r="Z3869" t="s">
        <v>4144</v>
      </c>
      <c r="AA3869" s="3">
        <v>7.8007347881794004E-2</v>
      </c>
      <c r="AB3869" t="s">
        <v>21022</v>
      </c>
      <c r="AC3869" t="s">
        <v>4562</v>
      </c>
      <c r="AD3869" t="s">
        <v>21023</v>
      </c>
      <c r="AE3869" t="s">
        <v>4655</v>
      </c>
      <c r="AF3869" t="s">
        <v>4563</v>
      </c>
      <c r="AG3869" t="s">
        <v>4564</v>
      </c>
      <c r="AH3869">
        <v>89506</v>
      </c>
      <c r="AI3869" t="s">
        <v>4903</v>
      </c>
      <c r="AJ3869" t="s">
        <v>4655</v>
      </c>
      <c r="AK3869" t="s">
        <v>21024</v>
      </c>
      <c r="AL3869" s="13" t="s">
        <v>1901</v>
      </c>
      <c r="AM3869">
        <v>1</v>
      </c>
      <c r="AN3869" s="15" t="s">
        <v>5262</v>
      </c>
    </row>
    <row r="3870" spans="1:40" x14ac:dyDescent="0.3">
      <c r="A3870" s="10" t="str">
        <f>HYPERLINK("http://www.washoecounty.gov/assessor/cama/?parid=086-543-59&amp;CardNumber=1","086-543-59")</f>
        <v>086-543-59</v>
      </c>
      <c r="B3870" t="s">
        <v>4655</v>
      </c>
      <c r="C3870" t="s">
        <v>21025</v>
      </c>
      <c r="D3870" s="1">
        <v>40438</v>
      </c>
      <c r="E3870" s="2">
        <v>41310</v>
      </c>
      <c r="F3870" t="s">
        <v>4553</v>
      </c>
      <c r="G3870" s="17" t="str">
        <f>HYPERLINK("https://www.washoecounty.gov/assessor/cama/?command=sales&amp;parid=08654359","3923231")</f>
        <v>3923231</v>
      </c>
      <c r="H3870" t="s">
        <v>5261</v>
      </c>
      <c r="I3870">
        <v>1979</v>
      </c>
      <c r="J3870">
        <v>1979</v>
      </c>
      <c r="K3870" t="s">
        <v>4897</v>
      </c>
      <c r="L3870" t="s">
        <v>3974</v>
      </c>
      <c r="M3870" s="2">
        <v>1587</v>
      </c>
      <c r="N3870" t="s">
        <v>4556</v>
      </c>
      <c r="O3870">
        <v>4</v>
      </c>
      <c r="P3870">
        <v>2</v>
      </c>
      <c r="Q3870">
        <v>1</v>
      </c>
      <c r="R3870" t="s">
        <v>5281</v>
      </c>
      <c r="S3870" t="s">
        <v>4558</v>
      </c>
      <c r="T3870" t="s">
        <v>4559</v>
      </c>
      <c r="U3870" t="s">
        <v>4560</v>
      </c>
      <c r="V3870" s="2">
        <v>462</v>
      </c>
      <c r="W3870" t="s">
        <v>4655</v>
      </c>
      <c r="X3870" s="2">
        <v>0</v>
      </c>
      <c r="Y3870">
        <v>20</v>
      </c>
      <c r="Z3870" t="s">
        <v>4144</v>
      </c>
      <c r="AA3870" s="3">
        <v>7.8007347881794004E-2</v>
      </c>
      <c r="AB3870" t="s">
        <v>21026</v>
      </c>
      <c r="AC3870" t="s">
        <v>4562</v>
      </c>
      <c r="AD3870" t="s">
        <v>21027</v>
      </c>
      <c r="AE3870" t="s">
        <v>4655</v>
      </c>
      <c r="AF3870" t="s">
        <v>4563</v>
      </c>
      <c r="AG3870" t="s">
        <v>4564</v>
      </c>
      <c r="AH3870">
        <v>89506</v>
      </c>
      <c r="AI3870" t="s">
        <v>21028</v>
      </c>
      <c r="AJ3870" t="s">
        <v>4655</v>
      </c>
      <c r="AK3870" t="s">
        <v>21029</v>
      </c>
      <c r="AL3870" s="13" t="s">
        <v>1901</v>
      </c>
      <c r="AM3870">
        <v>1</v>
      </c>
      <c r="AN3870" s="15" t="s">
        <v>5262</v>
      </c>
    </row>
    <row r="3871" spans="1:40" x14ac:dyDescent="0.3">
      <c r="A3871" s="10" t="str">
        <f>HYPERLINK("http://www.washoecounty.gov/assessor/cama/?parid=086-551-08&amp;CardNumber=1","086-551-08")</f>
        <v>086-551-08</v>
      </c>
      <c r="B3871" t="s">
        <v>4655</v>
      </c>
      <c r="C3871" t="s">
        <v>21030</v>
      </c>
      <c r="D3871" s="1">
        <v>40252</v>
      </c>
      <c r="E3871" s="2">
        <v>191000</v>
      </c>
      <c r="F3871" t="s">
        <v>4567</v>
      </c>
      <c r="G3871" s="17" t="str">
        <f>HYPERLINK("https://www.washoecounty.gov/assessor/cama/?command=sales&amp;parid=08655108","3859740")</f>
        <v>3859740</v>
      </c>
      <c r="H3871" t="s">
        <v>5263</v>
      </c>
      <c r="I3871">
        <v>1978</v>
      </c>
      <c r="J3871">
        <v>1991</v>
      </c>
      <c r="K3871" t="s">
        <v>4554</v>
      </c>
      <c r="L3871" t="s">
        <v>4555</v>
      </c>
      <c r="M3871" s="2">
        <v>2092</v>
      </c>
      <c r="N3871" t="s">
        <v>4048</v>
      </c>
      <c r="O3871">
        <v>4</v>
      </c>
      <c r="P3871">
        <v>3</v>
      </c>
      <c r="Q3871">
        <v>0</v>
      </c>
      <c r="R3871" t="s">
        <v>5281</v>
      </c>
      <c r="S3871" t="s">
        <v>4898</v>
      </c>
      <c r="T3871" t="s">
        <v>4559</v>
      </c>
      <c r="U3871" t="s">
        <v>4560</v>
      </c>
      <c r="V3871" s="2">
        <v>456</v>
      </c>
      <c r="W3871" t="s">
        <v>4655</v>
      </c>
      <c r="X3871" s="2">
        <v>0</v>
      </c>
      <c r="Y3871">
        <v>20</v>
      </c>
      <c r="Z3871" t="s">
        <v>4561</v>
      </c>
      <c r="AA3871" s="3">
        <v>0.23500917851924899</v>
      </c>
      <c r="AB3871" t="s">
        <v>21031</v>
      </c>
      <c r="AC3871" t="s">
        <v>4562</v>
      </c>
      <c r="AD3871" t="s">
        <v>21030</v>
      </c>
      <c r="AE3871" t="s">
        <v>4655</v>
      </c>
      <c r="AF3871" t="s">
        <v>4563</v>
      </c>
      <c r="AG3871" t="s">
        <v>4564</v>
      </c>
      <c r="AH3871">
        <v>89506</v>
      </c>
      <c r="AI3871" t="s">
        <v>21032</v>
      </c>
      <c r="AJ3871" t="s">
        <v>4655</v>
      </c>
      <c r="AK3871" t="s">
        <v>21033</v>
      </c>
      <c r="AL3871" s="13" t="s">
        <v>1901</v>
      </c>
      <c r="AM3871">
        <v>1</v>
      </c>
      <c r="AN3871" s="15" t="s">
        <v>5260</v>
      </c>
    </row>
    <row r="3872" spans="1:40" x14ac:dyDescent="0.3">
      <c r="A3872" s="10" t="str">
        <f>HYPERLINK("http://www.washoecounty.gov/assessor/cama/?parid=086-552-04&amp;CardNumber=1","086-552-04")</f>
        <v>086-552-04</v>
      </c>
      <c r="B3872" t="s">
        <v>4655</v>
      </c>
      <c r="C3872" t="s">
        <v>21034</v>
      </c>
      <c r="D3872" s="1">
        <v>40479</v>
      </c>
      <c r="E3872" s="2">
        <v>98000</v>
      </c>
      <c r="F3872" t="s">
        <v>4567</v>
      </c>
      <c r="G3872" s="17" t="str">
        <f>HYPERLINK("https://www.washoecounty.gov/assessor/cama/?command=sales&amp;parid=08655204","3937584")</f>
        <v>3937584</v>
      </c>
      <c r="H3872" t="s">
        <v>5263</v>
      </c>
      <c r="I3872">
        <v>1978</v>
      </c>
      <c r="J3872">
        <v>1978</v>
      </c>
      <c r="K3872" t="s">
        <v>4554</v>
      </c>
      <c r="L3872" t="s">
        <v>4555</v>
      </c>
      <c r="M3872" s="2">
        <v>1150</v>
      </c>
      <c r="N3872" t="s">
        <v>4556</v>
      </c>
      <c r="O3872">
        <v>4</v>
      </c>
      <c r="P3872">
        <v>2</v>
      </c>
      <c r="Q3872">
        <v>0</v>
      </c>
      <c r="R3872" t="s">
        <v>5281</v>
      </c>
      <c r="S3872" t="s">
        <v>4558</v>
      </c>
      <c r="T3872" t="s">
        <v>4559</v>
      </c>
      <c r="U3872" t="s">
        <v>4560</v>
      </c>
      <c r="V3872" s="2">
        <v>429</v>
      </c>
      <c r="W3872" t="s">
        <v>4655</v>
      </c>
      <c r="X3872" s="2">
        <v>0</v>
      </c>
      <c r="Y3872">
        <v>20</v>
      </c>
      <c r="Z3872" t="s">
        <v>4561</v>
      </c>
      <c r="AA3872" s="3">
        <v>0.17499999701976801</v>
      </c>
      <c r="AB3872" t="s">
        <v>21035</v>
      </c>
      <c r="AC3872" t="s">
        <v>4562</v>
      </c>
      <c r="AD3872" t="s">
        <v>21036</v>
      </c>
      <c r="AE3872" t="s">
        <v>4655</v>
      </c>
      <c r="AF3872" t="s">
        <v>4563</v>
      </c>
      <c r="AG3872" t="s">
        <v>4564</v>
      </c>
      <c r="AH3872">
        <v>89506</v>
      </c>
      <c r="AI3872" t="s">
        <v>4673</v>
      </c>
      <c r="AJ3872" t="s">
        <v>4655</v>
      </c>
      <c r="AK3872" t="s">
        <v>21037</v>
      </c>
      <c r="AL3872" s="13" t="s">
        <v>1901</v>
      </c>
      <c r="AM3872">
        <v>1</v>
      </c>
      <c r="AN3872" s="15" t="s">
        <v>5260</v>
      </c>
    </row>
    <row r="3873" spans="1:40" x14ac:dyDescent="0.3">
      <c r="A3873" s="10" t="str">
        <f>HYPERLINK("http://www.washoecounty.gov/assessor/cama/?parid=086-561-16&amp;CardNumber=1","086-561-16")</f>
        <v>086-561-16</v>
      </c>
      <c r="B3873" t="s">
        <v>4655</v>
      </c>
      <c r="C3873" t="s">
        <v>21038</v>
      </c>
      <c r="D3873" s="1">
        <v>40382</v>
      </c>
      <c r="E3873" s="2">
        <v>79900</v>
      </c>
      <c r="F3873" t="s">
        <v>4567</v>
      </c>
      <c r="G3873" s="17" t="str">
        <f>HYPERLINK("https://www.washoecounty.gov/assessor/cama/?command=sales&amp;parid=08656116","3904195")</f>
        <v>3904195</v>
      </c>
      <c r="H3873" t="s">
        <v>5263</v>
      </c>
      <c r="I3873">
        <v>1978</v>
      </c>
      <c r="J3873">
        <v>1978</v>
      </c>
      <c r="K3873" t="s">
        <v>4554</v>
      </c>
      <c r="L3873" t="s">
        <v>4555</v>
      </c>
      <c r="M3873" s="2">
        <v>1176</v>
      </c>
      <c r="N3873" t="s">
        <v>4556</v>
      </c>
      <c r="O3873">
        <v>3</v>
      </c>
      <c r="P3873">
        <v>2</v>
      </c>
      <c r="Q3873">
        <v>0</v>
      </c>
      <c r="R3873" t="s">
        <v>4557</v>
      </c>
      <c r="S3873" t="s">
        <v>4558</v>
      </c>
      <c r="T3873" t="s">
        <v>4559</v>
      </c>
      <c r="U3873" t="s">
        <v>4560</v>
      </c>
      <c r="V3873" s="2">
        <v>456</v>
      </c>
      <c r="W3873" t="s">
        <v>4655</v>
      </c>
      <c r="X3873" s="2">
        <v>0</v>
      </c>
      <c r="Y3873">
        <v>20</v>
      </c>
      <c r="Z3873" t="s">
        <v>4561</v>
      </c>
      <c r="AA3873" s="3">
        <v>0.196005508303642</v>
      </c>
      <c r="AB3873" t="s">
        <v>21039</v>
      </c>
      <c r="AC3873" t="s">
        <v>4562</v>
      </c>
      <c r="AD3873" t="s">
        <v>21038</v>
      </c>
      <c r="AE3873" t="s">
        <v>4655</v>
      </c>
      <c r="AF3873" t="s">
        <v>4563</v>
      </c>
      <c r="AG3873" t="s">
        <v>4564</v>
      </c>
      <c r="AH3873">
        <v>89506</v>
      </c>
      <c r="AI3873" t="s">
        <v>21040</v>
      </c>
      <c r="AJ3873" t="s">
        <v>4655</v>
      </c>
      <c r="AK3873" t="s">
        <v>21041</v>
      </c>
      <c r="AL3873" s="13" t="s">
        <v>1901</v>
      </c>
      <c r="AM3873">
        <v>1</v>
      </c>
      <c r="AN3873" s="15" t="s">
        <v>5260</v>
      </c>
    </row>
    <row r="3874" spans="1:40" x14ac:dyDescent="0.3">
      <c r="A3874" s="10" t="str">
        <f>HYPERLINK("http://www.washoecounty.gov/assessor/cama/?parid=086-561-20&amp;CardNumber=1","086-561-20")</f>
        <v>086-561-20</v>
      </c>
      <c r="B3874" t="s">
        <v>4655</v>
      </c>
      <c r="C3874" t="s">
        <v>21042</v>
      </c>
      <c r="D3874" s="1">
        <v>40353</v>
      </c>
      <c r="E3874" s="2">
        <v>95500</v>
      </c>
      <c r="F3874" t="s">
        <v>4567</v>
      </c>
      <c r="G3874" s="17" t="str">
        <f>HYPERLINK("https://www.washoecounty.gov/assessor/cama/?command=sales&amp;parid=08656120","3895091")</f>
        <v>3895091</v>
      </c>
      <c r="H3874" t="s">
        <v>5263</v>
      </c>
      <c r="I3874">
        <v>1978</v>
      </c>
      <c r="J3874">
        <v>1978</v>
      </c>
      <c r="K3874" t="s">
        <v>4554</v>
      </c>
      <c r="L3874" t="s">
        <v>4555</v>
      </c>
      <c r="M3874" s="2">
        <v>1150</v>
      </c>
      <c r="N3874" t="s">
        <v>4556</v>
      </c>
      <c r="O3874">
        <v>4</v>
      </c>
      <c r="P3874">
        <v>2</v>
      </c>
      <c r="Q3874">
        <v>0</v>
      </c>
      <c r="R3874" t="s">
        <v>4557</v>
      </c>
      <c r="S3874" t="s">
        <v>4898</v>
      </c>
      <c r="T3874" t="s">
        <v>4559</v>
      </c>
      <c r="U3874" t="s">
        <v>4560</v>
      </c>
      <c r="V3874" s="2">
        <v>429</v>
      </c>
      <c r="W3874" t="s">
        <v>4655</v>
      </c>
      <c r="X3874" s="2">
        <v>0</v>
      </c>
      <c r="Y3874">
        <v>20</v>
      </c>
      <c r="Z3874" t="s">
        <v>4561</v>
      </c>
      <c r="AA3874" s="3">
        <v>0.14499540627002699</v>
      </c>
      <c r="AB3874" t="s">
        <v>21043</v>
      </c>
      <c r="AC3874" t="s">
        <v>4562</v>
      </c>
      <c r="AD3874" t="s">
        <v>21042</v>
      </c>
      <c r="AE3874" t="s">
        <v>4655</v>
      </c>
      <c r="AF3874" t="s">
        <v>4563</v>
      </c>
      <c r="AG3874" t="s">
        <v>4564</v>
      </c>
      <c r="AH3874">
        <v>89506</v>
      </c>
      <c r="AI3874" t="s">
        <v>21044</v>
      </c>
      <c r="AJ3874" t="s">
        <v>4655</v>
      </c>
      <c r="AK3874" t="s">
        <v>21045</v>
      </c>
      <c r="AL3874" s="13" t="s">
        <v>1901</v>
      </c>
      <c r="AM3874">
        <v>1</v>
      </c>
      <c r="AN3874" s="15" t="s">
        <v>5260</v>
      </c>
    </row>
    <row r="3875" spans="1:40" x14ac:dyDescent="0.3">
      <c r="A3875" s="10" t="str">
        <f>HYPERLINK("http://www.washoecounty.gov/assessor/cama/?parid=086-561-21&amp;CardNumber=1","086-561-21")</f>
        <v>086-561-21</v>
      </c>
      <c r="B3875" t="s">
        <v>4655</v>
      </c>
      <c r="C3875" t="s">
        <v>21046</v>
      </c>
      <c r="D3875" s="1">
        <v>40284</v>
      </c>
      <c r="E3875" s="2">
        <v>91000</v>
      </c>
      <c r="F3875" t="s">
        <v>4567</v>
      </c>
      <c r="G3875" s="17" t="str">
        <f>HYPERLINK("https://www.washoecounty.gov/assessor/cama/?command=sales&amp;parid=08656121","3871917")</f>
        <v>3871917</v>
      </c>
      <c r="H3875" t="s">
        <v>5263</v>
      </c>
      <c r="I3875">
        <v>1978</v>
      </c>
      <c r="J3875">
        <v>1978</v>
      </c>
      <c r="K3875" t="s">
        <v>4554</v>
      </c>
      <c r="L3875" t="s">
        <v>4555</v>
      </c>
      <c r="M3875" s="2">
        <v>1008</v>
      </c>
      <c r="N3875" t="s">
        <v>4556</v>
      </c>
      <c r="O3875">
        <v>3</v>
      </c>
      <c r="P3875">
        <v>2</v>
      </c>
      <c r="Q3875">
        <v>0</v>
      </c>
      <c r="R3875" t="s">
        <v>4557</v>
      </c>
      <c r="S3875" t="s">
        <v>4558</v>
      </c>
      <c r="T3875" t="s">
        <v>4559</v>
      </c>
      <c r="U3875" t="s">
        <v>4560</v>
      </c>
      <c r="V3875" s="2">
        <v>456</v>
      </c>
      <c r="W3875" t="s">
        <v>4655</v>
      </c>
      <c r="X3875" s="2">
        <v>0</v>
      </c>
      <c r="Y3875">
        <v>20</v>
      </c>
      <c r="Z3875" t="s">
        <v>4561</v>
      </c>
      <c r="AA3875" s="3">
        <v>0.18200182914733901</v>
      </c>
      <c r="AB3875" t="s">
        <v>21047</v>
      </c>
      <c r="AC3875" t="s">
        <v>4562</v>
      </c>
      <c r="AD3875" t="s">
        <v>21048</v>
      </c>
      <c r="AE3875" t="s">
        <v>4655</v>
      </c>
      <c r="AF3875" t="s">
        <v>4563</v>
      </c>
      <c r="AG3875" t="s">
        <v>4564</v>
      </c>
      <c r="AH3875">
        <v>89506</v>
      </c>
      <c r="AI3875" t="s">
        <v>21049</v>
      </c>
      <c r="AJ3875" t="s">
        <v>4655</v>
      </c>
      <c r="AK3875" t="s">
        <v>21050</v>
      </c>
      <c r="AL3875" s="13" t="s">
        <v>1901</v>
      </c>
      <c r="AM3875" s="14">
        <v>1</v>
      </c>
      <c r="AN3875" s="15" t="s">
        <v>5260</v>
      </c>
    </row>
    <row r="3876" spans="1:40" x14ac:dyDescent="0.3">
      <c r="A3876" s="10" t="str">
        <f>HYPERLINK("http://www.washoecounty.gov/assessor/cama/?parid=086-562-24&amp;CardNumber=1","086-562-24")</f>
        <v>086-562-24</v>
      </c>
      <c r="B3876" t="s">
        <v>4655</v>
      </c>
      <c r="C3876" t="s">
        <v>21051</v>
      </c>
      <c r="D3876" s="1">
        <v>40205</v>
      </c>
      <c r="E3876" s="2">
        <v>85000</v>
      </c>
      <c r="F3876" t="s">
        <v>4553</v>
      </c>
      <c r="G3876" s="17" t="str">
        <f>HYPERLINK("https://www.washoecounty.gov/assessor/cama/?command=sales&amp;parid=08656224","3843101")</f>
        <v>3843101</v>
      </c>
      <c r="H3876" t="s">
        <v>5263</v>
      </c>
      <c r="I3876">
        <v>1978</v>
      </c>
      <c r="J3876">
        <v>1978</v>
      </c>
      <c r="K3876" t="s">
        <v>4554</v>
      </c>
      <c r="L3876" t="s">
        <v>4555</v>
      </c>
      <c r="M3876" s="2">
        <v>1150</v>
      </c>
      <c r="N3876" t="s">
        <v>4556</v>
      </c>
      <c r="O3876">
        <v>3</v>
      </c>
      <c r="P3876">
        <v>2</v>
      </c>
      <c r="Q3876">
        <v>0</v>
      </c>
      <c r="R3876" t="s">
        <v>4557</v>
      </c>
      <c r="S3876" t="s">
        <v>4558</v>
      </c>
      <c r="T3876" t="s">
        <v>4559</v>
      </c>
      <c r="U3876" t="s">
        <v>4560</v>
      </c>
      <c r="V3876" s="2">
        <v>429</v>
      </c>
      <c r="W3876" t="s">
        <v>4655</v>
      </c>
      <c r="X3876" s="2">
        <v>0</v>
      </c>
      <c r="Y3876">
        <v>20</v>
      </c>
      <c r="Z3876" t="s">
        <v>4561</v>
      </c>
      <c r="AA3876" s="3">
        <v>0.13799357414245605</v>
      </c>
      <c r="AB3876" t="s">
        <v>21052</v>
      </c>
      <c r="AC3876" t="s">
        <v>4562</v>
      </c>
      <c r="AD3876" t="s">
        <v>21053</v>
      </c>
      <c r="AE3876" t="s">
        <v>4655</v>
      </c>
      <c r="AF3876" t="s">
        <v>5264</v>
      </c>
      <c r="AG3876" t="s">
        <v>4584</v>
      </c>
      <c r="AH3876">
        <v>93111</v>
      </c>
      <c r="AI3876" t="s">
        <v>15288</v>
      </c>
      <c r="AJ3876" t="s">
        <v>4655</v>
      </c>
      <c r="AK3876" t="s">
        <v>21054</v>
      </c>
      <c r="AL3876" s="13" t="s">
        <v>1901</v>
      </c>
      <c r="AM3876">
        <v>1</v>
      </c>
      <c r="AN3876" s="15" t="s">
        <v>5260</v>
      </c>
    </row>
    <row r="3877" spans="1:40" x14ac:dyDescent="0.3">
      <c r="A3877" s="10" t="str">
        <f>HYPERLINK("http://www.washoecounty.gov/assessor/cama/?parid=086-562-33&amp;CardNumber=1","086-562-33")</f>
        <v>086-562-33</v>
      </c>
      <c r="B3877" t="s">
        <v>4655</v>
      </c>
      <c r="C3877" t="s">
        <v>21055</v>
      </c>
      <c r="D3877" s="1">
        <v>40420</v>
      </c>
      <c r="E3877" s="2">
        <v>95000</v>
      </c>
      <c r="F3877" t="s">
        <v>4567</v>
      </c>
      <c r="G3877" s="17" t="str">
        <f>HYPERLINK("https://www.washoecounty.gov/assessor/cama/?command=sales&amp;parid=08656233","3916985")</f>
        <v>3916985</v>
      </c>
      <c r="H3877" t="s">
        <v>5263</v>
      </c>
      <c r="I3877">
        <v>1978</v>
      </c>
      <c r="J3877">
        <v>1978</v>
      </c>
      <c r="K3877" t="s">
        <v>4554</v>
      </c>
      <c r="L3877" t="s">
        <v>4555</v>
      </c>
      <c r="M3877" s="2">
        <v>1008</v>
      </c>
      <c r="N3877" t="s">
        <v>4556</v>
      </c>
      <c r="O3877">
        <v>3</v>
      </c>
      <c r="P3877">
        <v>2</v>
      </c>
      <c r="Q3877">
        <v>0</v>
      </c>
      <c r="R3877" t="s">
        <v>4557</v>
      </c>
      <c r="S3877" t="s">
        <v>4558</v>
      </c>
      <c r="T3877" t="s">
        <v>4559</v>
      </c>
      <c r="U3877" t="s">
        <v>4560</v>
      </c>
      <c r="V3877" s="2">
        <v>456</v>
      </c>
      <c r="W3877" t="s">
        <v>4655</v>
      </c>
      <c r="X3877" s="2">
        <v>0</v>
      </c>
      <c r="Y3877">
        <v>20</v>
      </c>
      <c r="Z3877" t="s">
        <v>4561</v>
      </c>
      <c r="AA3877" s="3">
        <v>0.157001838088036</v>
      </c>
      <c r="AB3877" t="s">
        <v>21056</v>
      </c>
      <c r="AC3877" t="s">
        <v>4562</v>
      </c>
      <c r="AD3877" t="s">
        <v>21057</v>
      </c>
      <c r="AE3877" t="s">
        <v>4655</v>
      </c>
      <c r="AF3877" t="s">
        <v>4563</v>
      </c>
      <c r="AG3877" t="s">
        <v>4564</v>
      </c>
      <c r="AH3877">
        <v>89506</v>
      </c>
      <c r="AI3877" t="s">
        <v>21058</v>
      </c>
      <c r="AJ3877" t="s">
        <v>4655</v>
      </c>
      <c r="AK3877" t="s">
        <v>21059</v>
      </c>
      <c r="AL3877" s="13" t="s">
        <v>1901</v>
      </c>
      <c r="AM3877">
        <v>1</v>
      </c>
      <c r="AN3877" s="15" t="s">
        <v>5260</v>
      </c>
    </row>
    <row r="3878" spans="1:40" x14ac:dyDescent="0.3">
      <c r="A3878" s="10" t="str">
        <f>HYPERLINK("http://www.washoecounty.gov/assessor/cama/?parid=086-572-14&amp;CardNumber=1","086-572-14")</f>
        <v>086-572-14</v>
      </c>
      <c r="B3878" t="s">
        <v>4655</v>
      </c>
      <c r="C3878" t="s">
        <v>21060</v>
      </c>
      <c r="D3878" s="1">
        <v>40353</v>
      </c>
      <c r="E3878" s="2">
        <v>80500</v>
      </c>
      <c r="F3878" t="s">
        <v>4553</v>
      </c>
      <c r="G3878" s="17" t="str">
        <f>HYPERLINK("https://www.washoecounty.gov/assessor/cama/?command=sales&amp;parid=08657214","3895006")</f>
        <v>3895006</v>
      </c>
      <c r="H3878" t="s">
        <v>5263</v>
      </c>
      <c r="I3878">
        <v>1978</v>
      </c>
      <c r="J3878">
        <v>1978</v>
      </c>
      <c r="K3878" t="s">
        <v>4554</v>
      </c>
      <c r="L3878" t="s">
        <v>4555</v>
      </c>
      <c r="M3878" s="2">
        <v>1008</v>
      </c>
      <c r="N3878" t="s">
        <v>4556</v>
      </c>
      <c r="O3878">
        <v>3</v>
      </c>
      <c r="P3878">
        <v>2</v>
      </c>
      <c r="Q3878">
        <v>0</v>
      </c>
      <c r="R3878" t="s">
        <v>4557</v>
      </c>
      <c r="S3878" t="s">
        <v>4558</v>
      </c>
      <c r="T3878" t="s">
        <v>4559</v>
      </c>
      <c r="U3878" t="s">
        <v>4560</v>
      </c>
      <c r="V3878" s="2">
        <v>456</v>
      </c>
      <c r="W3878" t="s">
        <v>4655</v>
      </c>
      <c r="X3878" s="2">
        <v>0</v>
      </c>
      <c r="Y3878">
        <v>20</v>
      </c>
      <c r="Z3878" t="s">
        <v>4561</v>
      </c>
      <c r="AA3878" s="3">
        <v>0.196005508303642</v>
      </c>
      <c r="AB3878" t="s">
        <v>21061</v>
      </c>
      <c r="AC3878" t="s">
        <v>4562</v>
      </c>
      <c r="AD3878" t="s">
        <v>21060</v>
      </c>
      <c r="AE3878" t="s">
        <v>4655</v>
      </c>
      <c r="AF3878" t="s">
        <v>4563</v>
      </c>
      <c r="AG3878" t="s">
        <v>4564</v>
      </c>
      <c r="AH3878">
        <v>89506</v>
      </c>
      <c r="AI3878" t="s">
        <v>4585</v>
      </c>
      <c r="AJ3878" t="s">
        <v>4655</v>
      </c>
      <c r="AK3878" t="s">
        <v>21062</v>
      </c>
      <c r="AL3878" s="13" t="s">
        <v>1901</v>
      </c>
      <c r="AM3878">
        <v>1</v>
      </c>
      <c r="AN3878" s="15" t="s">
        <v>5260</v>
      </c>
    </row>
    <row r="3879" spans="1:40" x14ac:dyDescent="0.3">
      <c r="A3879" s="10" t="str">
        <f>HYPERLINK("http://www.washoecounty.gov/assessor/cama/?parid=086-572-21&amp;CardNumber=1","086-572-21")</f>
        <v>086-572-21</v>
      </c>
      <c r="B3879" t="s">
        <v>4655</v>
      </c>
      <c r="C3879" t="s">
        <v>21063</v>
      </c>
      <c r="D3879" s="1">
        <v>40458</v>
      </c>
      <c r="E3879" s="2">
        <v>97500</v>
      </c>
      <c r="F3879" t="s">
        <v>4567</v>
      </c>
      <c r="G3879" s="17" t="str">
        <f>HYPERLINK("https://www.washoecounty.gov/assessor/cama/?command=sales&amp;parid=08657221","3930809")</f>
        <v>3930809</v>
      </c>
      <c r="H3879" t="s">
        <v>5263</v>
      </c>
      <c r="I3879">
        <v>1978</v>
      </c>
      <c r="J3879">
        <v>1978</v>
      </c>
      <c r="K3879" t="s">
        <v>4554</v>
      </c>
      <c r="L3879" t="s">
        <v>4555</v>
      </c>
      <c r="M3879" s="2">
        <v>1008</v>
      </c>
      <c r="N3879" t="s">
        <v>4556</v>
      </c>
      <c r="O3879">
        <v>3</v>
      </c>
      <c r="P3879">
        <v>2</v>
      </c>
      <c r="Q3879">
        <v>0</v>
      </c>
      <c r="R3879" t="s">
        <v>4557</v>
      </c>
      <c r="S3879" t="s">
        <v>4558</v>
      </c>
      <c r="T3879" t="s">
        <v>4559</v>
      </c>
      <c r="U3879" t="s">
        <v>4560</v>
      </c>
      <c r="V3879" s="2">
        <v>456</v>
      </c>
      <c r="W3879" t="s">
        <v>4655</v>
      </c>
      <c r="X3879" s="2">
        <v>0</v>
      </c>
      <c r="Y3879">
        <v>20</v>
      </c>
      <c r="Z3879" t="s">
        <v>4561</v>
      </c>
      <c r="AA3879" s="3">
        <v>0.228007346391678</v>
      </c>
      <c r="AB3879" t="s">
        <v>21064</v>
      </c>
      <c r="AC3879" t="s">
        <v>4562</v>
      </c>
      <c r="AD3879" t="s">
        <v>21065</v>
      </c>
      <c r="AE3879" t="s">
        <v>4655</v>
      </c>
      <c r="AF3879" t="s">
        <v>4563</v>
      </c>
      <c r="AG3879" t="s">
        <v>4564</v>
      </c>
      <c r="AH3879" t="s">
        <v>1147</v>
      </c>
      <c r="AI3879" t="s">
        <v>21066</v>
      </c>
      <c r="AJ3879" t="s">
        <v>4655</v>
      </c>
      <c r="AK3879" t="s">
        <v>21067</v>
      </c>
      <c r="AL3879" s="13" t="s">
        <v>1901</v>
      </c>
      <c r="AM3879">
        <v>1</v>
      </c>
      <c r="AN3879" s="15" t="s">
        <v>5260</v>
      </c>
    </row>
    <row r="3880" spans="1:40" x14ac:dyDescent="0.3">
      <c r="A3880" s="10" t="str">
        <f>HYPERLINK("http://www.washoecounty.gov/assessor/cama/?parid=086-580-08&amp;CardNumber=1","086-580-08")</f>
        <v>086-580-08</v>
      </c>
      <c r="B3880" t="s">
        <v>4655</v>
      </c>
      <c r="C3880" t="s">
        <v>21068</v>
      </c>
      <c r="D3880" s="1">
        <v>40284</v>
      </c>
      <c r="E3880" s="2">
        <v>60250</v>
      </c>
      <c r="F3880" t="s">
        <v>4553</v>
      </c>
      <c r="G3880" s="17" t="str">
        <f>HYPERLINK("https://www.washoecounty.gov/assessor/cama/?command=sales&amp;parid=08658008","3871846")</f>
        <v>3871846</v>
      </c>
      <c r="H3880" t="s">
        <v>3143</v>
      </c>
      <c r="I3880">
        <v>1978</v>
      </c>
      <c r="J3880">
        <v>1978</v>
      </c>
      <c r="K3880" t="s">
        <v>4897</v>
      </c>
      <c r="L3880" t="s">
        <v>4555</v>
      </c>
      <c r="M3880" s="2">
        <v>1295</v>
      </c>
      <c r="N3880" t="s">
        <v>4556</v>
      </c>
      <c r="O3880">
        <v>4</v>
      </c>
      <c r="P3880">
        <v>2</v>
      </c>
      <c r="Q3880">
        <v>0</v>
      </c>
      <c r="R3880" t="s">
        <v>4557</v>
      </c>
      <c r="S3880" t="s">
        <v>3148</v>
      </c>
      <c r="T3880" t="s">
        <v>4559</v>
      </c>
      <c r="U3880" t="s">
        <v>4560</v>
      </c>
      <c r="V3880" s="2">
        <v>439</v>
      </c>
      <c r="W3880" t="s">
        <v>4655</v>
      </c>
      <c r="X3880" s="2">
        <v>0</v>
      </c>
      <c r="Y3880">
        <v>20</v>
      </c>
      <c r="Z3880" t="s">
        <v>365</v>
      </c>
      <c r="AA3880" s="3">
        <v>8.0004587769508403E-2</v>
      </c>
      <c r="AB3880" t="s">
        <v>21069</v>
      </c>
      <c r="AC3880" t="s">
        <v>4562</v>
      </c>
      <c r="AD3880" t="s">
        <v>21068</v>
      </c>
      <c r="AE3880" t="s">
        <v>4655</v>
      </c>
      <c r="AF3880" t="s">
        <v>4563</v>
      </c>
      <c r="AG3880" t="s">
        <v>4564</v>
      </c>
      <c r="AH3880">
        <v>89506</v>
      </c>
      <c r="AI3880" t="s">
        <v>1297</v>
      </c>
      <c r="AJ3880" t="s">
        <v>4655</v>
      </c>
      <c r="AK3880" t="s">
        <v>21070</v>
      </c>
      <c r="AL3880" s="13" t="s">
        <v>1901</v>
      </c>
      <c r="AM3880">
        <v>1</v>
      </c>
      <c r="AN3880" s="15" t="s">
        <v>5262</v>
      </c>
    </row>
    <row r="3881" spans="1:40" x14ac:dyDescent="0.3">
      <c r="A3881" s="10" t="str">
        <f>HYPERLINK("http://www.washoecounty.gov/assessor/cama/?parid=086-580-08&amp;CardNumber=1","086-580-08")</f>
        <v>086-580-08</v>
      </c>
      <c r="B3881" t="s">
        <v>4655</v>
      </c>
      <c r="C3881" t="s">
        <v>21068</v>
      </c>
      <c r="D3881" s="1">
        <v>40326</v>
      </c>
      <c r="E3881" s="2">
        <v>85000</v>
      </c>
      <c r="F3881" t="s">
        <v>4567</v>
      </c>
      <c r="G3881" s="17" t="str">
        <f>HYPERLINK("https://www.washoecounty.gov/assessor/cama/?command=sales&amp;parid=08658008","3886678")</f>
        <v>3886678</v>
      </c>
      <c r="H3881" t="s">
        <v>3143</v>
      </c>
      <c r="I3881">
        <v>1978</v>
      </c>
      <c r="J3881">
        <v>1978</v>
      </c>
      <c r="K3881" t="s">
        <v>4897</v>
      </c>
      <c r="L3881" t="s">
        <v>4555</v>
      </c>
      <c r="M3881" s="2">
        <v>1295</v>
      </c>
      <c r="N3881" t="s">
        <v>4556</v>
      </c>
      <c r="O3881">
        <v>4</v>
      </c>
      <c r="P3881">
        <v>2</v>
      </c>
      <c r="Q3881">
        <v>0</v>
      </c>
      <c r="R3881" t="s">
        <v>4557</v>
      </c>
      <c r="S3881" t="s">
        <v>3148</v>
      </c>
      <c r="T3881" t="s">
        <v>4559</v>
      </c>
      <c r="U3881" t="s">
        <v>4560</v>
      </c>
      <c r="V3881" s="2">
        <v>439</v>
      </c>
      <c r="W3881" t="s">
        <v>4655</v>
      </c>
      <c r="X3881" s="2">
        <v>0</v>
      </c>
      <c r="Y3881">
        <v>20</v>
      </c>
      <c r="Z3881" t="s">
        <v>365</v>
      </c>
      <c r="AA3881" s="3">
        <v>8.0004587769508403E-2</v>
      </c>
      <c r="AB3881" t="s">
        <v>21069</v>
      </c>
      <c r="AC3881" t="s">
        <v>4562</v>
      </c>
      <c r="AD3881" t="s">
        <v>21068</v>
      </c>
      <c r="AE3881" t="s">
        <v>4655</v>
      </c>
      <c r="AF3881" t="s">
        <v>4563</v>
      </c>
      <c r="AG3881" t="s">
        <v>4564</v>
      </c>
      <c r="AH3881">
        <v>89506</v>
      </c>
      <c r="AI3881" t="s">
        <v>1297</v>
      </c>
      <c r="AJ3881" t="s">
        <v>4655</v>
      </c>
      <c r="AK3881" t="s">
        <v>21070</v>
      </c>
      <c r="AL3881" s="13" t="s">
        <v>1901</v>
      </c>
      <c r="AM3881">
        <v>1</v>
      </c>
      <c r="AN3881" s="15" t="s">
        <v>5262</v>
      </c>
    </row>
    <row r="3882" spans="1:40" x14ac:dyDescent="0.3">
      <c r="A3882" s="10" t="str">
        <f>HYPERLINK("http://www.washoecounty.gov/assessor/cama/?parid=086-580-13&amp;CardNumber=1","086-580-13")</f>
        <v>086-580-13</v>
      </c>
      <c r="B3882" t="s">
        <v>4655</v>
      </c>
      <c r="C3882" t="s">
        <v>21071</v>
      </c>
      <c r="D3882" s="1">
        <v>40394</v>
      </c>
      <c r="E3882" s="2">
        <v>70875</v>
      </c>
      <c r="F3882" t="s">
        <v>4553</v>
      </c>
      <c r="G3882" s="17" t="str">
        <f>HYPERLINK("https://www.washoecounty.gov/assessor/cama/?command=sales&amp;parid=08658013","3908517")</f>
        <v>3908517</v>
      </c>
      <c r="H3882" t="s">
        <v>3143</v>
      </c>
      <c r="I3882">
        <v>1978</v>
      </c>
      <c r="J3882">
        <v>1978</v>
      </c>
      <c r="K3882" t="s">
        <v>4897</v>
      </c>
      <c r="L3882" t="s">
        <v>4555</v>
      </c>
      <c r="M3882" s="2">
        <v>1200</v>
      </c>
      <c r="N3882" t="s">
        <v>4556</v>
      </c>
      <c r="O3882">
        <v>3</v>
      </c>
      <c r="P3882">
        <v>2</v>
      </c>
      <c r="Q3882">
        <v>0</v>
      </c>
      <c r="R3882" t="s">
        <v>4557</v>
      </c>
      <c r="S3882" t="s">
        <v>3148</v>
      </c>
      <c r="T3882" t="s">
        <v>4559</v>
      </c>
      <c r="U3882" t="s">
        <v>4560</v>
      </c>
      <c r="V3882" s="2">
        <v>440</v>
      </c>
      <c r="W3882" t="s">
        <v>4655</v>
      </c>
      <c r="X3882" s="2">
        <v>0</v>
      </c>
      <c r="Y3882">
        <v>20</v>
      </c>
      <c r="Z3882" t="s">
        <v>365</v>
      </c>
      <c r="AA3882" s="3">
        <v>7.3002755641937297E-2</v>
      </c>
      <c r="AB3882" t="s">
        <v>21072</v>
      </c>
      <c r="AC3882" t="s">
        <v>4562</v>
      </c>
      <c r="AD3882" t="s">
        <v>21071</v>
      </c>
      <c r="AE3882" t="s">
        <v>4655</v>
      </c>
      <c r="AF3882" t="s">
        <v>4563</v>
      </c>
      <c r="AG3882" t="s">
        <v>4564</v>
      </c>
      <c r="AH3882">
        <v>89506</v>
      </c>
      <c r="AI3882" t="s">
        <v>4202</v>
      </c>
      <c r="AJ3882" t="s">
        <v>4655</v>
      </c>
      <c r="AK3882" t="s">
        <v>21073</v>
      </c>
      <c r="AL3882" s="13" t="s">
        <v>1901</v>
      </c>
      <c r="AM3882">
        <v>1</v>
      </c>
      <c r="AN3882" s="15" t="s">
        <v>5262</v>
      </c>
    </row>
    <row r="3883" spans="1:40" x14ac:dyDescent="0.3">
      <c r="A3883" s="10" t="str">
        <f>HYPERLINK("http://www.washoecounty.gov/assessor/cama/?parid=086-580-15&amp;CardNumber=1","086-580-15")</f>
        <v>086-580-15</v>
      </c>
      <c r="B3883" t="s">
        <v>4655</v>
      </c>
      <c r="C3883" t="s">
        <v>21074</v>
      </c>
      <c r="D3883" s="1">
        <v>40504</v>
      </c>
      <c r="E3883" s="2">
        <v>35000</v>
      </c>
      <c r="F3883" t="s">
        <v>4553</v>
      </c>
      <c r="G3883" s="17" t="str">
        <f>HYPERLINK("https://www.washoecounty.gov/assessor/cama/?command=sales&amp;parid=08658015","3945668")</f>
        <v>3945668</v>
      </c>
      <c r="H3883" t="s">
        <v>3143</v>
      </c>
      <c r="I3883">
        <v>1978</v>
      </c>
      <c r="J3883">
        <v>1978</v>
      </c>
      <c r="K3883" t="s">
        <v>4897</v>
      </c>
      <c r="L3883" t="s">
        <v>4555</v>
      </c>
      <c r="M3883" s="2">
        <v>1271</v>
      </c>
      <c r="N3883" t="s">
        <v>4556</v>
      </c>
      <c r="O3883">
        <v>3</v>
      </c>
      <c r="P3883">
        <v>2</v>
      </c>
      <c r="Q3883">
        <v>0</v>
      </c>
      <c r="R3883" t="s">
        <v>4557</v>
      </c>
      <c r="S3883" t="s">
        <v>3148</v>
      </c>
      <c r="T3883" t="s">
        <v>4559</v>
      </c>
      <c r="U3883" t="s">
        <v>4560</v>
      </c>
      <c r="V3883" s="2">
        <v>288</v>
      </c>
      <c r="W3883" t="s">
        <v>4655</v>
      </c>
      <c r="X3883" s="2">
        <v>0</v>
      </c>
      <c r="Y3883">
        <v>20</v>
      </c>
      <c r="Z3883" t="s">
        <v>365</v>
      </c>
      <c r="AA3883" s="3">
        <v>7.1005508303642301E-2</v>
      </c>
      <c r="AB3883" t="s">
        <v>5489</v>
      </c>
      <c r="AC3883" t="s">
        <v>4562</v>
      </c>
      <c r="AD3883" t="s">
        <v>4824</v>
      </c>
      <c r="AE3883" t="s">
        <v>4655</v>
      </c>
      <c r="AF3883" t="s">
        <v>4563</v>
      </c>
      <c r="AG3883" t="s">
        <v>4564</v>
      </c>
      <c r="AH3883">
        <v>89510</v>
      </c>
      <c r="AI3883" t="s">
        <v>5490</v>
      </c>
      <c r="AJ3883" t="s">
        <v>4655</v>
      </c>
      <c r="AK3883" t="s">
        <v>21075</v>
      </c>
      <c r="AL3883" s="13" t="s">
        <v>1901</v>
      </c>
      <c r="AM3883">
        <v>1</v>
      </c>
      <c r="AN3883" s="15" t="s">
        <v>5262</v>
      </c>
    </row>
    <row r="3884" spans="1:40" x14ac:dyDescent="0.3">
      <c r="A3884" s="10" t="str">
        <f>HYPERLINK("http://www.washoecounty.gov/assessor/cama/?parid=086-590-06&amp;CardNumber=1","086-590-06")</f>
        <v>086-590-06</v>
      </c>
      <c r="B3884" t="s">
        <v>4655</v>
      </c>
      <c r="C3884" t="s">
        <v>21076</v>
      </c>
      <c r="D3884" s="1">
        <v>40203</v>
      </c>
      <c r="E3884" s="2">
        <v>57000</v>
      </c>
      <c r="F3884" t="s">
        <v>4553</v>
      </c>
      <c r="G3884" s="17" t="str">
        <f>HYPERLINK("https://www.washoecounty.gov/assessor/cama/?command=sales&amp;parid=08659006","3842337")</f>
        <v>3842337</v>
      </c>
      <c r="H3884" t="s">
        <v>5265</v>
      </c>
      <c r="I3884">
        <v>1978</v>
      </c>
      <c r="J3884">
        <v>1978</v>
      </c>
      <c r="K3884" t="s">
        <v>4897</v>
      </c>
      <c r="L3884" t="s">
        <v>4555</v>
      </c>
      <c r="M3884" s="2">
        <v>1224</v>
      </c>
      <c r="N3884" t="s">
        <v>4556</v>
      </c>
      <c r="O3884">
        <v>3</v>
      </c>
      <c r="P3884">
        <v>2</v>
      </c>
      <c r="Q3884">
        <v>0</v>
      </c>
      <c r="R3884" t="s">
        <v>4557</v>
      </c>
      <c r="S3884" t="s">
        <v>3148</v>
      </c>
      <c r="T3884" t="s">
        <v>4559</v>
      </c>
      <c r="U3884" t="s">
        <v>4560</v>
      </c>
      <c r="V3884" s="2">
        <v>440</v>
      </c>
      <c r="W3884" t="s">
        <v>4655</v>
      </c>
      <c r="X3884" s="2">
        <v>0</v>
      </c>
      <c r="Y3884">
        <v>20</v>
      </c>
      <c r="Z3884" t="s">
        <v>365</v>
      </c>
      <c r="AA3884" s="3">
        <v>9.2011019587516799E-2</v>
      </c>
      <c r="AB3884" t="s">
        <v>5266</v>
      </c>
      <c r="AC3884" t="s">
        <v>4562</v>
      </c>
      <c r="AD3884" t="s">
        <v>5267</v>
      </c>
      <c r="AE3884" t="s">
        <v>4655</v>
      </c>
      <c r="AF3884" t="s">
        <v>686</v>
      </c>
      <c r="AG3884" t="s">
        <v>4584</v>
      </c>
      <c r="AH3884">
        <v>94116</v>
      </c>
      <c r="AI3884" t="s">
        <v>4045</v>
      </c>
      <c r="AJ3884" t="s">
        <v>4655</v>
      </c>
      <c r="AK3884" t="s">
        <v>21077</v>
      </c>
      <c r="AL3884" s="13" t="s">
        <v>1901</v>
      </c>
      <c r="AM3884">
        <v>1</v>
      </c>
      <c r="AN3884" s="15" t="s">
        <v>5262</v>
      </c>
    </row>
    <row r="3885" spans="1:40" x14ac:dyDescent="0.3">
      <c r="A3885" s="10" t="str">
        <f>HYPERLINK("http://www.washoecounty.gov/assessor/cama/?parid=086-590-11&amp;CardNumber=1","086-590-11")</f>
        <v>086-590-11</v>
      </c>
      <c r="B3885" t="s">
        <v>4655</v>
      </c>
      <c r="C3885" t="s">
        <v>21078</v>
      </c>
      <c r="D3885" s="1">
        <v>40280</v>
      </c>
      <c r="E3885" s="2">
        <v>54000</v>
      </c>
      <c r="F3885" t="s">
        <v>4567</v>
      </c>
      <c r="G3885" s="17" t="str">
        <f>HYPERLINK("https://www.washoecounty.gov/assessor/cama/?command=sales&amp;parid=08659011","3870102")</f>
        <v>3870102</v>
      </c>
      <c r="H3885" t="s">
        <v>3143</v>
      </c>
      <c r="I3885">
        <v>1978</v>
      </c>
      <c r="J3885">
        <v>1978</v>
      </c>
      <c r="K3885" t="s">
        <v>4897</v>
      </c>
      <c r="L3885" t="s">
        <v>4555</v>
      </c>
      <c r="M3885" s="2">
        <v>1154</v>
      </c>
      <c r="N3885" t="s">
        <v>4556</v>
      </c>
      <c r="O3885">
        <v>3</v>
      </c>
      <c r="P3885">
        <v>2</v>
      </c>
      <c r="Q3885">
        <v>0</v>
      </c>
      <c r="R3885" t="s">
        <v>4557</v>
      </c>
      <c r="S3885" t="s">
        <v>4135</v>
      </c>
      <c r="T3885" t="s">
        <v>4559</v>
      </c>
      <c r="U3885" t="s">
        <v>4560</v>
      </c>
      <c r="V3885" s="2">
        <v>240</v>
      </c>
      <c r="W3885" t="s">
        <v>4655</v>
      </c>
      <c r="X3885" s="2">
        <v>0</v>
      </c>
      <c r="Y3885">
        <v>20</v>
      </c>
      <c r="Z3885" t="s">
        <v>365</v>
      </c>
      <c r="AA3885" s="3">
        <v>7.8007347881794004E-2</v>
      </c>
      <c r="AB3885" t="s">
        <v>21079</v>
      </c>
      <c r="AC3885" t="s">
        <v>4575</v>
      </c>
      <c r="AD3885" t="s">
        <v>21080</v>
      </c>
      <c r="AE3885" t="s">
        <v>4655</v>
      </c>
      <c r="AF3885" t="s">
        <v>3138</v>
      </c>
      <c r="AG3885" t="s">
        <v>4584</v>
      </c>
      <c r="AH3885" t="s">
        <v>21081</v>
      </c>
      <c r="AI3885" t="s">
        <v>21082</v>
      </c>
      <c r="AJ3885" t="s">
        <v>4655</v>
      </c>
      <c r="AK3885" t="s">
        <v>21083</v>
      </c>
      <c r="AL3885" s="13" t="s">
        <v>1901</v>
      </c>
      <c r="AM3885">
        <v>1</v>
      </c>
      <c r="AN3885" s="15" t="s">
        <v>5262</v>
      </c>
    </row>
    <row r="3886" spans="1:40" x14ac:dyDescent="0.3">
      <c r="A3886" s="10" t="str">
        <f>HYPERLINK("http://www.washoecounty.gov/assessor/cama/?parid=086-590-24&amp;CardNumber=1","086-590-24")</f>
        <v>086-590-24</v>
      </c>
      <c r="B3886" t="s">
        <v>4655</v>
      </c>
      <c r="C3886" t="s">
        <v>21084</v>
      </c>
      <c r="D3886" s="1">
        <v>40449</v>
      </c>
      <c r="E3886" s="2">
        <v>59000</v>
      </c>
      <c r="F3886" t="s">
        <v>4567</v>
      </c>
      <c r="G3886" s="17" t="str">
        <f>HYPERLINK("https://www.washoecounty.gov/assessor/cama/?command=sales&amp;parid=08659024","3927135")</f>
        <v>3927135</v>
      </c>
      <c r="H3886" t="s">
        <v>5268</v>
      </c>
      <c r="I3886">
        <v>1978</v>
      </c>
      <c r="J3886">
        <v>1978</v>
      </c>
      <c r="K3886" t="s">
        <v>4897</v>
      </c>
      <c r="L3886" t="s">
        <v>4555</v>
      </c>
      <c r="M3886" s="2">
        <v>1154</v>
      </c>
      <c r="N3886" t="s">
        <v>4556</v>
      </c>
      <c r="O3886">
        <v>3</v>
      </c>
      <c r="P3886">
        <v>2</v>
      </c>
      <c r="Q3886">
        <v>0</v>
      </c>
      <c r="R3886" t="s">
        <v>4557</v>
      </c>
      <c r="S3886" t="s">
        <v>4135</v>
      </c>
      <c r="T3886" t="s">
        <v>4559</v>
      </c>
      <c r="U3886" t="s">
        <v>4560</v>
      </c>
      <c r="V3886" s="2">
        <v>240</v>
      </c>
      <c r="W3886" t="s">
        <v>4655</v>
      </c>
      <c r="X3886" s="2">
        <v>0</v>
      </c>
      <c r="Y3886">
        <v>20</v>
      </c>
      <c r="Z3886" t="s">
        <v>365</v>
      </c>
      <c r="AA3886" s="3">
        <v>7.8007347881794004E-2</v>
      </c>
      <c r="AB3886" t="s">
        <v>21085</v>
      </c>
      <c r="AC3886" t="s">
        <v>4562</v>
      </c>
      <c r="AD3886" t="s">
        <v>21086</v>
      </c>
      <c r="AE3886" t="s">
        <v>4655</v>
      </c>
      <c r="AF3886" t="s">
        <v>21087</v>
      </c>
      <c r="AG3886" t="s">
        <v>4584</v>
      </c>
      <c r="AH3886" t="s">
        <v>21088</v>
      </c>
      <c r="AI3886" t="s">
        <v>21089</v>
      </c>
      <c r="AJ3886" t="s">
        <v>4655</v>
      </c>
      <c r="AK3886" t="s">
        <v>21090</v>
      </c>
      <c r="AL3886" s="13" t="s">
        <v>1901</v>
      </c>
      <c r="AM3886">
        <v>1</v>
      </c>
      <c r="AN3886" s="15" t="s">
        <v>5262</v>
      </c>
    </row>
    <row r="3887" spans="1:40" x14ac:dyDescent="0.3">
      <c r="A3887" s="10" t="str">
        <f>HYPERLINK("http://www.washoecounty.gov/assessor/cama/?parid=086-600-01&amp;CardNumber=1","086-600-01")</f>
        <v>086-600-01</v>
      </c>
      <c r="B3887" t="s">
        <v>4655</v>
      </c>
      <c r="C3887" t="s">
        <v>21091</v>
      </c>
      <c r="D3887" s="1">
        <v>40479</v>
      </c>
      <c r="E3887" s="2">
        <v>77000</v>
      </c>
      <c r="F3887" t="s">
        <v>4567</v>
      </c>
      <c r="G3887" s="17" t="str">
        <f>HYPERLINK("https://www.washoecounty.gov/assessor/cama/?command=sales&amp;parid=08660001","3937937")</f>
        <v>3937937</v>
      </c>
      <c r="H3887" t="s">
        <v>5265</v>
      </c>
      <c r="I3887">
        <v>1978</v>
      </c>
      <c r="J3887">
        <v>1978</v>
      </c>
      <c r="K3887" t="s">
        <v>4897</v>
      </c>
      <c r="L3887" t="s">
        <v>4555</v>
      </c>
      <c r="M3887" s="2">
        <v>1154</v>
      </c>
      <c r="N3887" t="s">
        <v>4556</v>
      </c>
      <c r="O3887">
        <v>3</v>
      </c>
      <c r="P3887">
        <v>2</v>
      </c>
      <c r="Q3887">
        <v>0</v>
      </c>
      <c r="R3887" t="s">
        <v>4557</v>
      </c>
      <c r="S3887" t="s">
        <v>3148</v>
      </c>
      <c r="T3887" t="s">
        <v>4559</v>
      </c>
      <c r="U3887" t="s">
        <v>4560</v>
      </c>
      <c r="V3887" s="2">
        <v>240</v>
      </c>
      <c r="W3887" t="s">
        <v>4655</v>
      </c>
      <c r="X3887" s="2">
        <v>0</v>
      </c>
      <c r="Y3887">
        <v>20</v>
      </c>
      <c r="Z3887" t="s">
        <v>365</v>
      </c>
      <c r="AA3887" s="3">
        <v>7.1005508303642301E-2</v>
      </c>
      <c r="AB3887" t="s">
        <v>21092</v>
      </c>
      <c r="AC3887" t="s">
        <v>4562</v>
      </c>
      <c r="AD3887" t="s">
        <v>21093</v>
      </c>
      <c r="AE3887" t="s">
        <v>4655</v>
      </c>
      <c r="AF3887" t="s">
        <v>4563</v>
      </c>
      <c r="AG3887" t="s">
        <v>4564</v>
      </c>
      <c r="AH3887">
        <v>89506</v>
      </c>
      <c r="AI3887" t="s">
        <v>21094</v>
      </c>
      <c r="AJ3887" t="s">
        <v>4655</v>
      </c>
      <c r="AK3887" t="s">
        <v>21095</v>
      </c>
      <c r="AL3887" s="13" t="s">
        <v>1901</v>
      </c>
      <c r="AM3887">
        <v>1</v>
      </c>
      <c r="AN3887" s="15" t="s">
        <v>5262</v>
      </c>
    </row>
    <row r="3888" spans="1:40" x14ac:dyDescent="0.3">
      <c r="A3888" s="10" t="str">
        <f>HYPERLINK("http://www.washoecounty.gov/assessor/cama/?parid=086-600-05&amp;CardNumber=1","086-600-05")</f>
        <v>086-600-05</v>
      </c>
      <c r="B3888" t="s">
        <v>4655</v>
      </c>
      <c r="C3888" t="s">
        <v>21096</v>
      </c>
      <c r="D3888" s="1">
        <v>40207</v>
      </c>
      <c r="E3888" s="2">
        <v>60500</v>
      </c>
      <c r="F3888" t="s">
        <v>4553</v>
      </c>
      <c r="G3888" s="17" t="str">
        <f>HYPERLINK("https://www.washoecounty.gov/assessor/cama/?command=sales&amp;parid=08660005","3844184")</f>
        <v>3844184</v>
      </c>
      <c r="H3888" t="s">
        <v>5268</v>
      </c>
      <c r="I3888">
        <v>1978</v>
      </c>
      <c r="J3888">
        <v>1978</v>
      </c>
      <c r="K3888" t="s">
        <v>4897</v>
      </c>
      <c r="L3888" t="s">
        <v>4555</v>
      </c>
      <c r="M3888" s="2">
        <v>1273</v>
      </c>
      <c r="N3888" t="s">
        <v>4556</v>
      </c>
      <c r="O3888">
        <v>3</v>
      </c>
      <c r="P3888">
        <v>2</v>
      </c>
      <c r="Q3888">
        <v>0</v>
      </c>
      <c r="R3888" t="s">
        <v>4557</v>
      </c>
      <c r="S3888" t="s">
        <v>3148</v>
      </c>
      <c r="T3888" t="s">
        <v>4559</v>
      </c>
      <c r="U3888" t="s">
        <v>4560</v>
      </c>
      <c r="V3888" s="2">
        <v>288</v>
      </c>
      <c r="W3888" t="s">
        <v>4655</v>
      </c>
      <c r="X3888" s="2">
        <v>0</v>
      </c>
      <c r="Y3888">
        <v>20</v>
      </c>
      <c r="Z3888" t="s">
        <v>365</v>
      </c>
      <c r="AA3888" s="3">
        <v>8.9990817010402693E-2</v>
      </c>
      <c r="AB3888" t="s">
        <v>21097</v>
      </c>
      <c r="AC3888" t="s">
        <v>4562</v>
      </c>
      <c r="AD3888" t="s">
        <v>21098</v>
      </c>
      <c r="AE3888" t="s">
        <v>4655</v>
      </c>
      <c r="AF3888" t="s">
        <v>4563</v>
      </c>
      <c r="AG3888" t="s">
        <v>4564</v>
      </c>
      <c r="AH3888">
        <v>89506</v>
      </c>
      <c r="AI3888" t="s">
        <v>4903</v>
      </c>
      <c r="AJ3888" t="s">
        <v>4655</v>
      </c>
      <c r="AK3888" t="s">
        <v>21099</v>
      </c>
      <c r="AL3888" s="13" t="s">
        <v>1901</v>
      </c>
      <c r="AM3888">
        <v>1</v>
      </c>
      <c r="AN3888" s="15" t="s">
        <v>5262</v>
      </c>
    </row>
    <row r="3889" spans="1:40" x14ac:dyDescent="0.3">
      <c r="A3889" s="10" t="str">
        <f>HYPERLINK("http://www.washoecounty.gov/assessor/cama/?parid=086-620-02&amp;CardNumber=1","086-620-02")</f>
        <v>086-620-02</v>
      </c>
      <c r="B3889" t="s">
        <v>4655</v>
      </c>
      <c r="C3889" t="s">
        <v>21100</v>
      </c>
      <c r="D3889" s="1">
        <v>40274</v>
      </c>
      <c r="E3889" s="2">
        <v>70000</v>
      </c>
      <c r="F3889" t="s">
        <v>4553</v>
      </c>
      <c r="G3889" s="17" t="str">
        <f>HYPERLINK("https://www.washoecounty.gov/assessor/cama/?command=sales&amp;parid=08662002","3868123")</f>
        <v>3868123</v>
      </c>
      <c r="H3889" t="s">
        <v>5268</v>
      </c>
      <c r="I3889">
        <v>1978</v>
      </c>
      <c r="J3889">
        <v>1978</v>
      </c>
      <c r="K3889" t="s">
        <v>4897</v>
      </c>
      <c r="L3889" t="s">
        <v>4555</v>
      </c>
      <c r="M3889" s="2">
        <v>1295</v>
      </c>
      <c r="N3889" t="s">
        <v>4556</v>
      </c>
      <c r="O3889">
        <v>4</v>
      </c>
      <c r="P3889">
        <v>2</v>
      </c>
      <c r="Q3889">
        <v>0</v>
      </c>
      <c r="R3889" t="s">
        <v>4557</v>
      </c>
      <c r="S3889" t="s">
        <v>3148</v>
      </c>
      <c r="T3889" t="s">
        <v>4559</v>
      </c>
      <c r="U3889" t="s">
        <v>4560</v>
      </c>
      <c r="V3889" s="2">
        <v>439</v>
      </c>
      <c r="W3889" t="s">
        <v>4655</v>
      </c>
      <c r="X3889" s="2">
        <v>0</v>
      </c>
      <c r="Y3889">
        <v>20</v>
      </c>
      <c r="Z3889" t="s">
        <v>365</v>
      </c>
      <c r="AA3889" s="3">
        <v>0.119995407760143</v>
      </c>
      <c r="AB3889" t="s">
        <v>21101</v>
      </c>
      <c r="AC3889" t="s">
        <v>4575</v>
      </c>
      <c r="AD3889" t="s">
        <v>21102</v>
      </c>
      <c r="AE3889" t="s">
        <v>4655</v>
      </c>
      <c r="AF3889" t="s">
        <v>10063</v>
      </c>
      <c r="AG3889" t="s">
        <v>4584</v>
      </c>
      <c r="AH3889">
        <v>94043</v>
      </c>
      <c r="AI3889" t="s">
        <v>21103</v>
      </c>
      <c r="AJ3889" t="s">
        <v>4655</v>
      </c>
      <c r="AK3889" t="s">
        <v>21104</v>
      </c>
      <c r="AL3889" s="13" t="s">
        <v>1901</v>
      </c>
      <c r="AM3889">
        <v>1</v>
      </c>
      <c r="AN3889" s="15" t="s">
        <v>5262</v>
      </c>
    </row>
    <row r="3890" spans="1:40" x14ac:dyDescent="0.3">
      <c r="A3890" s="10" t="str">
        <f>HYPERLINK("http://www.washoecounty.gov/assessor/cama/?parid=086-630-14&amp;CardNumber=1","086-630-14")</f>
        <v>086-630-14</v>
      </c>
      <c r="B3890" t="s">
        <v>4655</v>
      </c>
      <c r="C3890" t="s">
        <v>21105</v>
      </c>
      <c r="D3890" s="1">
        <v>40466</v>
      </c>
      <c r="E3890" s="2">
        <v>52000</v>
      </c>
      <c r="F3890" t="s">
        <v>4553</v>
      </c>
      <c r="G3890" s="17" t="str">
        <f>HYPERLINK("https://www.washoecounty.gov/assessor/cama/?command=sales&amp;parid=08663014","3933650")</f>
        <v>3933650</v>
      </c>
      <c r="H3890" t="s">
        <v>5265</v>
      </c>
      <c r="I3890">
        <v>1978</v>
      </c>
      <c r="J3890">
        <v>1978</v>
      </c>
      <c r="K3890" t="s">
        <v>4897</v>
      </c>
      <c r="L3890" t="s">
        <v>4555</v>
      </c>
      <c r="M3890" s="2">
        <v>1017</v>
      </c>
      <c r="N3890" t="s">
        <v>4556</v>
      </c>
      <c r="O3890">
        <v>2</v>
      </c>
      <c r="P3890">
        <v>2</v>
      </c>
      <c r="Q3890">
        <v>0</v>
      </c>
      <c r="R3890" t="s">
        <v>4557</v>
      </c>
      <c r="S3890" t="s">
        <v>4135</v>
      </c>
      <c r="T3890" t="s">
        <v>4559</v>
      </c>
      <c r="U3890" t="s">
        <v>4560</v>
      </c>
      <c r="V3890" s="2">
        <v>288</v>
      </c>
      <c r="W3890" t="s">
        <v>4655</v>
      </c>
      <c r="X3890" s="2">
        <v>0</v>
      </c>
      <c r="Y3890">
        <v>20</v>
      </c>
      <c r="Z3890" t="s">
        <v>365</v>
      </c>
      <c r="AA3890" s="3">
        <v>6.9995410740375505E-2</v>
      </c>
      <c r="AB3890" t="s">
        <v>21106</v>
      </c>
      <c r="AC3890" t="s">
        <v>4575</v>
      </c>
      <c r="AD3890" t="s">
        <v>21107</v>
      </c>
      <c r="AE3890" t="s">
        <v>4655</v>
      </c>
      <c r="AF3890" t="s">
        <v>4563</v>
      </c>
      <c r="AG3890" t="s">
        <v>4564</v>
      </c>
      <c r="AH3890">
        <v>89506</v>
      </c>
      <c r="AI3890" t="s">
        <v>21108</v>
      </c>
      <c r="AJ3890" t="s">
        <v>4655</v>
      </c>
      <c r="AK3890" t="s">
        <v>21109</v>
      </c>
      <c r="AL3890" s="13" t="s">
        <v>1901</v>
      </c>
      <c r="AM3890">
        <v>1</v>
      </c>
      <c r="AN3890" s="15" t="s">
        <v>5262</v>
      </c>
    </row>
    <row r="3891" spans="1:40" x14ac:dyDescent="0.3">
      <c r="A3891" s="10" t="str">
        <f>HYPERLINK("http://www.washoecounty.gov/assessor/cama/?parid=086-640-15&amp;CardNumber=1","086-640-15")</f>
        <v>086-640-15</v>
      </c>
      <c r="B3891" t="s">
        <v>4655</v>
      </c>
      <c r="C3891" t="s">
        <v>21110</v>
      </c>
      <c r="D3891" s="1">
        <v>40513</v>
      </c>
      <c r="E3891" s="2">
        <v>54000</v>
      </c>
      <c r="F3891" t="s">
        <v>4567</v>
      </c>
      <c r="G3891" s="17" t="str">
        <f>HYPERLINK("https://www.washoecounty.gov/assessor/cama/?command=sales&amp;parid=08664015","3948435")</f>
        <v>3948435</v>
      </c>
      <c r="H3891" t="s">
        <v>5265</v>
      </c>
      <c r="I3891">
        <v>1978</v>
      </c>
      <c r="J3891">
        <v>1978</v>
      </c>
      <c r="K3891" t="s">
        <v>4897</v>
      </c>
      <c r="L3891" t="s">
        <v>4555</v>
      </c>
      <c r="M3891" s="2">
        <v>1016</v>
      </c>
      <c r="N3891" t="s">
        <v>4556</v>
      </c>
      <c r="O3891">
        <v>2</v>
      </c>
      <c r="P3891">
        <v>2</v>
      </c>
      <c r="Q3891">
        <v>0</v>
      </c>
      <c r="R3891" t="s">
        <v>4557</v>
      </c>
      <c r="S3891" t="s">
        <v>4135</v>
      </c>
      <c r="T3891" t="s">
        <v>4559</v>
      </c>
      <c r="U3891" t="s">
        <v>4560</v>
      </c>
      <c r="V3891" s="2">
        <v>288</v>
      </c>
      <c r="W3891" t="s">
        <v>4655</v>
      </c>
      <c r="X3891" s="2">
        <v>0</v>
      </c>
      <c r="Y3891">
        <v>20</v>
      </c>
      <c r="Z3891" t="s">
        <v>365</v>
      </c>
      <c r="AA3891" s="3">
        <v>6.9008260965347304E-2</v>
      </c>
      <c r="AB3891" t="s">
        <v>21111</v>
      </c>
      <c r="AC3891" t="s">
        <v>4575</v>
      </c>
      <c r="AD3891" t="s">
        <v>21107</v>
      </c>
      <c r="AE3891" t="s">
        <v>4655</v>
      </c>
      <c r="AF3891" t="s">
        <v>4563</v>
      </c>
      <c r="AG3891" t="s">
        <v>4564</v>
      </c>
      <c r="AH3891">
        <v>89506</v>
      </c>
      <c r="AI3891" t="s">
        <v>21112</v>
      </c>
      <c r="AJ3891" t="s">
        <v>4655</v>
      </c>
      <c r="AK3891" t="s">
        <v>21113</v>
      </c>
      <c r="AL3891" s="13" t="s">
        <v>1901</v>
      </c>
      <c r="AM3891" s="14">
        <v>1</v>
      </c>
      <c r="AN3891" s="15" t="s">
        <v>5262</v>
      </c>
    </row>
    <row r="3892" spans="1:40" x14ac:dyDescent="0.3">
      <c r="A3892" s="10" t="str">
        <f>HYPERLINK("http://www.washoecounty.gov/assessor/cama/?parid=086-640-16&amp;CardNumber=1","086-640-16")</f>
        <v>086-640-16</v>
      </c>
      <c r="B3892" t="s">
        <v>4655</v>
      </c>
      <c r="C3892" t="s">
        <v>21114</v>
      </c>
      <c r="D3892" s="1">
        <v>40346</v>
      </c>
      <c r="E3892" s="2">
        <v>50000</v>
      </c>
      <c r="F3892" t="s">
        <v>4567</v>
      </c>
      <c r="G3892" s="17" t="str">
        <f>HYPERLINK("https://www.washoecounty.gov/assessor/cama/?command=sales&amp;parid=08664016","3892847")</f>
        <v>3892847</v>
      </c>
      <c r="H3892" t="s">
        <v>5268</v>
      </c>
      <c r="I3892">
        <v>1978</v>
      </c>
      <c r="J3892">
        <v>1978</v>
      </c>
      <c r="K3892" t="s">
        <v>4897</v>
      </c>
      <c r="L3892" t="s">
        <v>4555</v>
      </c>
      <c r="M3892" s="2">
        <v>1016</v>
      </c>
      <c r="N3892" t="s">
        <v>4556</v>
      </c>
      <c r="O3892">
        <v>2</v>
      </c>
      <c r="P3892">
        <v>2</v>
      </c>
      <c r="Q3892">
        <v>0</v>
      </c>
      <c r="R3892" t="s">
        <v>4557</v>
      </c>
      <c r="S3892" t="s">
        <v>4135</v>
      </c>
      <c r="T3892" t="s">
        <v>4559</v>
      </c>
      <c r="U3892" t="s">
        <v>4560</v>
      </c>
      <c r="V3892" s="2">
        <v>288</v>
      </c>
      <c r="W3892" t="s">
        <v>4655</v>
      </c>
      <c r="X3892" s="2">
        <v>0</v>
      </c>
      <c r="Y3892">
        <v>20</v>
      </c>
      <c r="Z3892" t="s">
        <v>365</v>
      </c>
      <c r="AA3892" s="3">
        <v>6.9995410740375505E-2</v>
      </c>
      <c r="AB3892" t="s">
        <v>21111</v>
      </c>
      <c r="AC3892" t="s">
        <v>4575</v>
      </c>
      <c r="AD3892" t="s">
        <v>21115</v>
      </c>
      <c r="AE3892" t="s">
        <v>21107</v>
      </c>
      <c r="AF3892" t="s">
        <v>4563</v>
      </c>
      <c r="AG3892" t="s">
        <v>4564</v>
      </c>
      <c r="AH3892">
        <v>89506</v>
      </c>
      <c r="AI3892" t="s">
        <v>21116</v>
      </c>
      <c r="AJ3892" t="s">
        <v>4655</v>
      </c>
      <c r="AK3892" t="s">
        <v>21117</v>
      </c>
      <c r="AL3892" s="13" t="s">
        <v>1901</v>
      </c>
      <c r="AM3892" s="14">
        <v>1</v>
      </c>
      <c r="AN3892" s="15" t="s">
        <v>5262</v>
      </c>
    </row>
    <row r="3893" spans="1:40" x14ac:dyDescent="0.3">
      <c r="A3893" s="10" t="str">
        <f>HYPERLINK("http://www.washoecounty.gov/assessor/cama/?parid=086-640-18&amp;CardNumber=1","086-640-18")</f>
        <v>086-640-18</v>
      </c>
      <c r="B3893" t="s">
        <v>4655</v>
      </c>
      <c r="C3893" t="s">
        <v>21118</v>
      </c>
      <c r="D3893" s="1">
        <v>40284</v>
      </c>
      <c r="E3893" s="2">
        <v>85000</v>
      </c>
      <c r="F3893" t="s">
        <v>4567</v>
      </c>
      <c r="G3893" s="17" t="str">
        <f>HYPERLINK("https://www.washoecounty.gov/assessor/cama/?command=sales&amp;parid=08664018","3872058")</f>
        <v>3872058</v>
      </c>
      <c r="H3893" t="s">
        <v>5265</v>
      </c>
      <c r="I3893">
        <v>1978</v>
      </c>
      <c r="J3893">
        <v>1978</v>
      </c>
      <c r="K3893" t="s">
        <v>4897</v>
      </c>
      <c r="L3893" t="s">
        <v>4555</v>
      </c>
      <c r="M3893" s="2">
        <v>1154</v>
      </c>
      <c r="N3893" t="s">
        <v>4556</v>
      </c>
      <c r="O3893">
        <v>3</v>
      </c>
      <c r="P3893">
        <v>2</v>
      </c>
      <c r="Q3893">
        <v>0</v>
      </c>
      <c r="R3893" t="s">
        <v>4557</v>
      </c>
      <c r="S3893" t="s">
        <v>3148</v>
      </c>
      <c r="T3893" t="s">
        <v>4559</v>
      </c>
      <c r="U3893" t="s">
        <v>4560</v>
      </c>
      <c r="V3893" s="2">
        <v>240</v>
      </c>
      <c r="W3893" t="s">
        <v>4655</v>
      </c>
      <c r="X3893" s="2">
        <v>0</v>
      </c>
      <c r="Y3893">
        <v>20</v>
      </c>
      <c r="Z3893" t="s">
        <v>365</v>
      </c>
      <c r="AA3893" s="3">
        <v>0.10059687495231601</v>
      </c>
      <c r="AB3893" t="s">
        <v>21119</v>
      </c>
      <c r="AC3893" t="s">
        <v>4562</v>
      </c>
      <c r="AD3893" t="s">
        <v>21120</v>
      </c>
      <c r="AE3893" t="s">
        <v>4655</v>
      </c>
      <c r="AF3893" t="s">
        <v>4563</v>
      </c>
      <c r="AG3893" t="s">
        <v>4564</v>
      </c>
      <c r="AH3893">
        <v>89511</v>
      </c>
      <c r="AI3893" t="s">
        <v>4655</v>
      </c>
      <c r="AJ3893" t="s">
        <v>4655</v>
      </c>
      <c r="AK3893" t="s">
        <v>21121</v>
      </c>
      <c r="AL3893" s="13" t="s">
        <v>1901</v>
      </c>
      <c r="AM3893" s="14">
        <v>1</v>
      </c>
      <c r="AN3893" s="15" t="s">
        <v>5262</v>
      </c>
    </row>
    <row r="3894" spans="1:40" x14ac:dyDescent="0.3">
      <c r="A3894" s="10" t="str">
        <f>HYPERLINK("http://www.washoecounty.gov/assessor/cama/?parid=086-671-01&amp;CardNumber=1","086-671-01")</f>
        <v>086-671-01</v>
      </c>
      <c r="B3894" t="s">
        <v>4655</v>
      </c>
      <c r="C3894" t="s">
        <v>21122</v>
      </c>
      <c r="D3894" s="1">
        <v>40267</v>
      </c>
      <c r="E3894" s="2">
        <v>26000</v>
      </c>
      <c r="F3894" t="s">
        <v>4553</v>
      </c>
      <c r="G3894" s="17" t="str">
        <f>HYPERLINK("https://www.washoecounty.gov/assessor/cama/?command=sales&amp;parid=08667101","3865556")</f>
        <v>3865556</v>
      </c>
      <c r="H3894" t="s">
        <v>5270</v>
      </c>
      <c r="I3894">
        <v>1979</v>
      </c>
      <c r="J3894">
        <v>1979</v>
      </c>
      <c r="K3894" t="s">
        <v>4897</v>
      </c>
      <c r="L3894" t="s">
        <v>3974</v>
      </c>
      <c r="M3894" s="2">
        <v>1128</v>
      </c>
      <c r="N3894" t="s">
        <v>4556</v>
      </c>
      <c r="O3894">
        <v>2</v>
      </c>
      <c r="P3894">
        <v>1</v>
      </c>
      <c r="Q3894">
        <v>1</v>
      </c>
      <c r="R3894" t="s">
        <v>4557</v>
      </c>
      <c r="S3894" t="s">
        <v>3148</v>
      </c>
      <c r="T3894" t="s">
        <v>4559</v>
      </c>
      <c r="U3894" t="s">
        <v>4655</v>
      </c>
      <c r="V3894" s="2">
        <v>0</v>
      </c>
      <c r="W3894" t="s">
        <v>4655</v>
      </c>
      <c r="X3894" s="2">
        <v>0</v>
      </c>
      <c r="Y3894">
        <v>21</v>
      </c>
      <c r="Z3894" t="s">
        <v>365</v>
      </c>
      <c r="AA3894" s="3">
        <v>1.00000004749745E-3</v>
      </c>
      <c r="AB3894" t="s">
        <v>21123</v>
      </c>
      <c r="AC3894" t="s">
        <v>4562</v>
      </c>
      <c r="AD3894" t="s">
        <v>21124</v>
      </c>
      <c r="AE3894" t="s">
        <v>4655</v>
      </c>
      <c r="AF3894" t="s">
        <v>21125</v>
      </c>
      <c r="AG3894" t="s">
        <v>4584</v>
      </c>
      <c r="AH3894" t="s">
        <v>21126</v>
      </c>
      <c r="AI3894" t="s">
        <v>4655</v>
      </c>
      <c r="AJ3894" t="s">
        <v>4655</v>
      </c>
      <c r="AK3894" t="s">
        <v>21127</v>
      </c>
      <c r="AL3894" s="13" t="s">
        <v>1901</v>
      </c>
      <c r="AM3894" s="14">
        <v>1</v>
      </c>
      <c r="AN3894" s="15" t="s">
        <v>5272</v>
      </c>
    </row>
    <row r="3895" spans="1:40" x14ac:dyDescent="0.3">
      <c r="A3895" s="10" t="str">
        <f>HYPERLINK("http://www.washoecounty.gov/assessor/cama/?parid=086-671-17&amp;CardNumber=1","086-671-17")</f>
        <v>086-671-17</v>
      </c>
      <c r="B3895" t="s">
        <v>4655</v>
      </c>
      <c r="C3895" t="s">
        <v>21128</v>
      </c>
      <c r="D3895" s="1">
        <v>40239</v>
      </c>
      <c r="E3895" s="2">
        <v>30000</v>
      </c>
      <c r="F3895" t="s">
        <v>4553</v>
      </c>
      <c r="G3895" s="17" t="str">
        <f>HYPERLINK("https://www.washoecounty.gov/assessor/cama/?command=sales&amp;parid=08667117","3854506")</f>
        <v>3854506</v>
      </c>
      <c r="H3895" t="s">
        <v>5270</v>
      </c>
      <c r="I3895">
        <v>1979</v>
      </c>
      <c r="J3895">
        <v>1979</v>
      </c>
      <c r="K3895" t="s">
        <v>4897</v>
      </c>
      <c r="L3895" t="s">
        <v>3974</v>
      </c>
      <c r="M3895" s="2">
        <v>1128</v>
      </c>
      <c r="N3895" t="s">
        <v>4556</v>
      </c>
      <c r="O3895">
        <v>2</v>
      </c>
      <c r="P3895">
        <v>1</v>
      </c>
      <c r="Q3895">
        <v>1</v>
      </c>
      <c r="R3895" t="s">
        <v>4557</v>
      </c>
      <c r="S3895" t="s">
        <v>3148</v>
      </c>
      <c r="T3895" t="s">
        <v>4559</v>
      </c>
      <c r="U3895" t="s">
        <v>4655</v>
      </c>
      <c r="V3895" s="2">
        <v>0</v>
      </c>
      <c r="W3895" t="s">
        <v>4655</v>
      </c>
      <c r="X3895" s="2">
        <v>0</v>
      </c>
      <c r="Y3895">
        <v>21</v>
      </c>
      <c r="Z3895" t="s">
        <v>365</v>
      </c>
      <c r="AA3895" s="3">
        <v>1.00000004749745E-3</v>
      </c>
      <c r="AB3895" t="s">
        <v>21129</v>
      </c>
      <c r="AC3895" t="s">
        <v>4562</v>
      </c>
      <c r="AD3895" t="s">
        <v>21128</v>
      </c>
      <c r="AE3895" t="s">
        <v>4655</v>
      </c>
      <c r="AF3895" t="s">
        <v>4563</v>
      </c>
      <c r="AG3895" t="s">
        <v>4564</v>
      </c>
      <c r="AH3895">
        <v>89506</v>
      </c>
      <c r="AI3895" t="s">
        <v>378</v>
      </c>
      <c r="AJ3895" t="s">
        <v>4655</v>
      </c>
      <c r="AK3895" t="s">
        <v>21130</v>
      </c>
      <c r="AL3895" s="13" t="s">
        <v>1901</v>
      </c>
      <c r="AM3895">
        <v>1</v>
      </c>
      <c r="AN3895" s="15" t="s">
        <v>5272</v>
      </c>
    </row>
    <row r="3896" spans="1:40" x14ac:dyDescent="0.3">
      <c r="A3896" s="10" t="str">
        <f>HYPERLINK("http://www.washoecounty.gov/assessor/cama/?parid=086-671-23&amp;CardNumber=1","086-671-23")</f>
        <v>086-671-23</v>
      </c>
      <c r="B3896" t="s">
        <v>4655</v>
      </c>
      <c r="C3896" t="s">
        <v>21131</v>
      </c>
      <c r="D3896" s="1">
        <v>40263</v>
      </c>
      <c r="E3896" s="2">
        <v>26000</v>
      </c>
      <c r="F3896" t="s">
        <v>4553</v>
      </c>
      <c r="G3896" s="17" t="str">
        <f>HYPERLINK("https://www.washoecounty.gov/assessor/cama/?command=sales&amp;parid=08667123","3864498")</f>
        <v>3864498</v>
      </c>
      <c r="H3896" t="s">
        <v>5270</v>
      </c>
      <c r="I3896">
        <v>1979</v>
      </c>
      <c r="J3896">
        <v>1979</v>
      </c>
      <c r="K3896" t="s">
        <v>4897</v>
      </c>
      <c r="L3896" t="s">
        <v>3974</v>
      </c>
      <c r="M3896" s="2">
        <v>984</v>
      </c>
      <c r="N3896" t="s">
        <v>4556</v>
      </c>
      <c r="O3896">
        <v>2</v>
      </c>
      <c r="P3896">
        <v>1</v>
      </c>
      <c r="Q3896">
        <v>1</v>
      </c>
      <c r="R3896" t="s">
        <v>4557</v>
      </c>
      <c r="S3896" t="s">
        <v>3148</v>
      </c>
      <c r="T3896" t="s">
        <v>4559</v>
      </c>
      <c r="U3896" t="s">
        <v>4655</v>
      </c>
      <c r="V3896" s="2">
        <v>0</v>
      </c>
      <c r="W3896" t="s">
        <v>4655</v>
      </c>
      <c r="X3896" s="2">
        <v>0</v>
      </c>
      <c r="Y3896">
        <v>21</v>
      </c>
      <c r="Z3896" t="s">
        <v>365</v>
      </c>
      <c r="AA3896" s="3">
        <v>1.00000004749745E-3</v>
      </c>
      <c r="AB3896" t="s">
        <v>4452</v>
      </c>
      <c r="AC3896" t="s">
        <v>4562</v>
      </c>
      <c r="AD3896" t="s">
        <v>21132</v>
      </c>
      <c r="AE3896" t="s">
        <v>4655</v>
      </c>
      <c r="AF3896" t="s">
        <v>4563</v>
      </c>
      <c r="AG3896" t="s">
        <v>4564</v>
      </c>
      <c r="AH3896">
        <v>89506</v>
      </c>
      <c r="AI3896" t="s">
        <v>1149</v>
      </c>
      <c r="AJ3896" t="s">
        <v>4655</v>
      </c>
      <c r="AK3896" t="s">
        <v>21133</v>
      </c>
      <c r="AL3896" s="13" t="s">
        <v>1901</v>
      </c>
      <c r="AM3896" s="14">
        <v>1</v>
      </c>
      <c r="AN3896" s="15" t="s">
        <v>5272</v>
      </c>
    </row>
    <row r="3897" spans="1:40" x14ac:dyDescent="0.3">
      <c r="A3897" s="10" t="str">
        <f>HYPERLINK("http://www.washoecounty.gov/assessor/cama/?parid=086-671-26&amp;CardNumber=1","086-671-26")</f>
        <v>086-671-26</v>
      </c>
      <c r="B3897" t="s">
        <v>4655</v>
      </c>
      <c r="C3897" t="s">
        <v>21134</v>
      </c>
      <c r="D3897" s="1">
        <v>40470</v>
      </c>
      <c r="E3897" s="2">
        <v>18000</v>
      </c>
      <c r="F3897" t="s">
        <v>4553</v>
      </c>
      <c r="G3897" s="17" t="str">
        <f>HYPERLINK("https://www.washoecounty.gov/assessor/cama/?command=sales&amp;parid=08667126","3934433")</f>
        <v>3934433</v>
      </c>
      <c r="H3897" t="s">
        <v>5270</v>
      </c>
      <c r="I3897">
        <v>1979</v>
      </c>
      <c r="J3897">
        <v>1979</v>
      </c>
      <c r="K3897" t="s">
        <v>3144</v>
      </c>
      <c r="L3897" t="s">
        <v>3974</v>
      </c>
      <c r="M3897" s="2">
        <v>984</v>
      </c>
      <c r="N3897" t="s">
        <v>4556</v>
      </c>
      <c r="O3897">
        <v>2</v>
      </c>
      <c r="P3897">
        <v>1</v>
      </c>
      <c r="Q3897">
        <v>1</v>
      </c>
      <c r="R3897" t="s">
        <v>4557</v>
      </c>
      <c r="S3897" t="s">
        <v>3148</v>
      </c>
      <c r="T3897" t="s">
        <v>4559</v>
      </c>
      <c r="U3897" t="s">
        <v>4655</v>
      </c>
      <c r="V3897" s="2">
        <v>0</v>
      </c>
      <c r="W3897" t="s">
        <v>4655</v>
      </c>
      <c r="X3897" s="2">
        <v>0</v>
      </c>
      <c r="Y3897">
        <v>21</v>
      </c>
      <c r="Z3897" t="s">
        <v>365</v>
      </c>
      <c r="AA3897" s="3">
        <v>1.00000004749745E-3</v>
      </c>
      <c r="AB3897" t="s">
        <v>20970</v>
      </c>
      <c r="AC3897" t="s">
        <v>4562</v>
      </c>
      <c r="AD3897" t="s">
        <v>16413</v>
      </c>
      <c r="AE3897" t="s">
        <v>4655</v>
      </c>
      <c r="AF3897" t="s">
        <v>4563</v>
      </c>
      <c r="AG3897" t="s">
        <v>4564</v>
      </c>
      <c r="AH3897">
        <v>89510</v>
      </c>
      <c r="AI3897" t="s">
        <v>4503</v>
      </c>
      <c r="AJ3897" t="s">
        <v>4655</v>
      </c>
      <c r="AK3897" t="s">
        <v>21135</v>
      </c>
      <c r="AL3897" s="13" t="s">
        <v>1901</v>
      </c>
      <c r="AM3897">
        <v>1</v>
      </c>
      <c r="AN3897" s="15" t="s">
        <v>5272</v>
      </c>
    </row>
    <row r="3898" spans="1:40" x14ac:dyDescent="0.3">
      <c r="A3898" s="10" t="str">
        <f>HYPERLINK("http://www.washoecounty.gov/assessor/cama/?parid=086-671-36&amp;CardNumber=1","086-671-36")</f>
        <v>086-671-36</v>
      </c>
      <c r="B3898" t="s">
        <v>4655</v>
      </c>
      <c r="C3898" t="s">
        <v>21136</v>
      </c>
      <c r="D3898" s="1">
        <v>40368</v>
      </c>
      <c r="E3898" s="2">
        <v>28000</v>
      </c>
      <c r="F3898" t="s">
        <v>4567</v>
      </c>
      <c r="G3898" s="17" t="str">
        <f>HYPERLINK("https://www.washoecounty.gov/assessor/cama/?command=sales&amp;parid=08667136","3899845")</f>
        <v>3899845</v>
      </c>
      <c r="H3898" t="s">
        <v>5270</v>
      </c>
      <c r="I3898">
        <v>1979</v>
      </c>
      <c r="J3898">
        <v>1979</v>
      </c>
      <c r="K3898" t="s">
        <v>3144</v>
      </c>
      <c r="L3898" t="s">
        <v>3974</v>
      </c>
      <c r="M3898" s="2">
        <v>984</v>
      </c>
      <c r="N3898" t="s">
        <v>4556</v>
      </c>
      <c r="O3898">
        <v>2</v>
      </c>
      <c r="P3898">
        <v>1</v>
      </c>
      <c r="Q3898">
        <v>1</v>
      </c>
      <c r="R3898" t="s">
        <v>4557</v>
      </c>
      <c r="S3898" t="s">
        <v>3148</v>
      </c>
      <c r="T3898" t="s">
        <v>4559</v>
      </c>
      <c r="U3898" t="s">
        <v>4655</v>
      </c>
      <c r="V3898" s="2">
        <v>0</v>
      </c>
      <c r="W3898" t="s">
        <v>4655</v>
      </c>
      <c r="X3898" s="2">
        <v>0</v>
      </c>
      <c r="Y3898">
        <v>21</v>
      </c>
      <c r="Z3898" t="s">
        <v>365</v>
      </c>
      <c r="AA3898" s="3">
        <v>1.00000004749745E-3</v>
      </c>
      <c r="AB3898" t="s">
        <v>21137</v>
      </c>
      <c r="AC3898" t="s">
        <v>4562</v>
      </c>
      <c r="AD3898" t="s">
        <v>21138</v>
      </c>
      <c r="AE3898" t="s">
        <v>4655</v>
      </c>
      <c r="AF3898" t="s">
        <v>4563</v>
      </c>
      <c r="AG3898" t="s">
        <v>4564</v>
      </c>
      <c r="AH3898">
        <v>89506</v>
      </c>
      <c r="AI3898" t="s">
        <v>21139</v>
      </c>
      <c r="AJ3898" t="s">
        <v>4655</v>
      </c>
      <c r="AK3898" t="s">
        <v>21140</v>
      </c>
      <c r="AL3898" s="13" t="s">
        <v>1901</v>
      </c>
      <c r="AM3898">
        <v>1</v>
      </c>
      <c r="AN3898" s="15" t="s">
        <v>5272</v>
      </c>
    </row>
    <row r="3899" spans="1:40" x14ac:dyDescent="0.3">
      <c r="A3899" s="10" t="str">
        <f>HYPERLINK("http://www.washoecounty.gov/assessor/cama/?parid=086-672-23&amp;CardNumber=1","086-672-23")</f>
        <v>086-672-23</v>
      </c>
      <c r="B3899" t="s">
        <v>4655</v>
      </c>
      <c r="C3899" t="s">
        <v>5269</v>
      </c>
      <c r="D3899" s="1">
        <v>40190</v>
      </c>
      <c r="E3899" s="2">
        <v>86000</v>
      </c>
      <c r="F3899" t="s">
        <v>4553</v>
      </c>
      <c r="G3899" s="17" t="str">
        <f>HYPERLINK("https://www.washoecounty.gov/assessor/cama/?command=sales&amp;parid=08667223","3838327")</f>
        <v>3838327</v>
      </c>
      <c r="H3899" t="s">
        <v>5270</v>
      </c>
      <c r="I3899">
        <v>1979</v>
      </c>
      <c r="J3899">
        <v>1979</v>
      </c>
      <c r="K3899" t="s">
        <v>3144</v>
      </c>
      <c r="L3899" t="s">
        <v>3974</v>
      </c>
      <c r="M3899" s="2">
        <v>1128</v>
      </c>
      <c r="N3899" t="s">
        <v>4556</v>
      </c>
      <c r="O3899">
        <v>2</v>
      </c>
      <c r="P3899">
        <v>1</v>
      </c>
      <c r="Q3899">
        <v>1</v>
      </c>
      <c r="R3899" t="s">
        <v>4557</v>
      </c>
      <c r="S3899" t="s">
        <v>3148</v>
      </c>
      <c r="T3899" t="s">
        <v>4559</v>
      </c>
      <c r="U3899" t="s">
        <v>4655</v>
      </c>
      <c r="V3899" s="2">
        <v>0</v>
      </c>
      <c r="W3899" t="s">
        <v>4655</v>
      </c>
      <c r="X3899" s="2">
        <v>0</v>
      </c>
      <c r="Y3899">
        <v>21</v>
      </c>
      <c r="Z3899" t="s">
        <v>365</v>
      </c>
      <c r="AA3899" s="3">
        <v>1.00000004749745E-3</v>
      </c>
      <c r="AB3899" t="s">
        <v>4903</v>
      </c>
      <c r="AC3899" t="s">
        <v>4562</v>
      </c>
      <c r="AD3899" t="s">
        <v>21141</v>
      </c>
      <c r="AE3899" t="s">
        <v>21142</v>
      </c>
      <c r="AF3899" t="s">
        <v>18662</v>
      </c>
      <c r="AG3899" t="s">
        <v>3370</v>
      </c>
      <c r="AH3899" t="s">
        <v>21143</v>
      </c>
      <c r="AI3899" t="s">
        <v>21144</v>
      </c>
      <c r="AJ3899" t="s">
        <v>4655</v>
      </c>
      <c r="AK3899" t="s">
        <v>5271</v>
      </c>
      <c r="AL3899" s="13" t="s">
        <v>1901</v>
      </c>
      <c r="AM3899" s="14">
        <v>1</v>
      </c>
      <c r="AN3899" s="15" t="s">
        <v>5272</v>
      </c>
    </row>
    <row r="3900" spans="1:40" x14ac:dyDescent="0.3">
      <c r="A3900" s="10" t="str">
        <f>HYPERLINK("http://www.washoecounty.gov/assessor/cama/?parid=086-672-30&amp;CardNumber=1","086-672-30")</f>
        <v>086-672-30</v>
      </c>
      <c r="B3900" t="s">
        <v>4655</v>
      </c>
      <c r="C3900" t="s">
        <v>21145</v>
      </c>
      <c r="D3900" s="1">
        <v>40424</v>
      </c>
      <c r="E3900" s="2">
        <v>31500</v>
      </c>
      <c r="F3900" t="s">
        <v>4553</v>
      </c>
      <c r="G3900" s="17" t="str">
        <f>HYPERLINK("https://www.washoecounty.gov/assessor/cama/?command=sales&amp;parid=08667230","3918851")</f>
        <v>3918851</v>
      </c>
      <c r="H3900" t="s">
        <v>5270</v>
      </c>
      <c r="I3900">
        <v>1979</v>
      </c>
      <c r="J3900">
        <v>1979</v>
      </c>
      <c r="K3900" t="s">
        <v>3144</v>
      </c>
      <c r="L3900" t="s">
        <v>3974</v>
      </c>
      <c r="M3900" s="2">
        <v>1128</v>
      </c>
      <c r="N3900" t="s">
        <v>4556</v>
      </c>
      <c r="O3900">
        <v>2</v>
      </c>
      <c r="P3900">
        <v>1</v>
      </c>
      <c r="Q3900">
        <v>1</v>
      </c>
      <c r="R3900" t="s">
        <v>4557</v>
      </c>
      <c r="S3900" t="s">
        <v>3148</v>
      </c>
      <c r="T3900" t="s">
        <v>4559</v>
      </c>
      <c r="U3900" t="s">
        <v>4655</v>
      </c>
      <c r="V3900" s="2">
        <v>0</v>
      </c>
      <c r="W3900" t="s">
        <v>4655</v>
      </c>
      <c r="X3900" s="2">
        <v>0</v>
      </c>
      <c r="Y3900">
        <v>21</v>
      </c>
      <c r="Z3900" t="s">
        <v>365</v>
      </c>
      <c r="AA3900" s="3">
        <v>1.00000004749745E-3</v>
      </c>
      <c r="AB3900" t="s">
        <v>21146</v>
      </c>
      <c r="AC3900" t="s">
        <v>4562</v>
      </c>
      <c r="AD3900" t="s">
        <v>21147</v>
      </c>
      <c r="AE3900" t="s">
        <v>4655</v>
      </c>
      <c r="AF3900" t="s">
        <v>4563</v>
      </c>
      <c r="AG3900" t="s">
        <v>4564</v>
      </c>
      <c r="AH3900">
        <v>89506</v>
      </c>
      <c r="AI3900" t="s">
        <v>4903</v>
      </c>
      <c r="AJ3900" t="s">
        <v>4655</v>
      </c>
      <c r="AK3900" t="s">
        <v>21148</v>
      </c>
      <c r="AL3900" s="13" t="s">
        <v>1901</v>
      </c>
      <c r="AM3900">
        <v>1</v>
      </c>
      <c r="AN3900" s="15" t="s">
        <v>5272</v>
      </c>
    </row>
    <row r="3901" spans="1:40" x14ac:dyDescent="0.3">
      <c r="A3901" s="10" t="str">
        <f>HYPERLINK("http://www.washoecounty.gov/assessor/cama/?parid=086-672-42&amp;CardNumber=1","086-672-42")</f>
        <v>086-672-42</v>
      </c>
      <c r="B3901" t="s">
        <v>4655</v>
      </c>
      <c r="C3901" t="s">
        <v>21149</v>
      </c>
      <c r="D3901" s="1">
        <v>40295</v>
      </c>
      <c r="E3901" s="2">
        <v>32500</v>
      </c>
      <c r="F3901" t="s">
        <v>4553</v>
      </c>
      <c r="G3901" s="17" t="str">
        <f>HYPERLINK("https://www.washoecounty.gov/assessor/cama/?command=sales&amp;parid=08667242","3875327")</f>
        <v>3875327</v>
      </c>
      <c r="H3901" t="s">
        <v>5270</v>
      </c>
      <c r="I3901">
        <v>1979</v>
      </c>
      <c r="J3901">
        <v>1979</v>
      </c>
      <c r="K3901" t="s">
        <v>3144</v>
      </c>
      <c r="L3901" t="s">
        <v>3974</v>
      </c>
      <c r="M3901" s="2">
        <v>984</v>
      </c>
      <c r="N3901" t="s">
        <v>4556</v>
      </c>
      <c r="O3901">
        <v>2</v>
      </c>
      <c r="P3901">
        <v>1</v>
      </c>
      <c r="Q3901">
        <v>1</v>
      </c>
      <c r="R3901" t="s">
        <v>4557</v>
      </c>
      <c r="S3901" t="s">
        <v>3148</v>
      </c>
      <c r="T3901" t="s">
        <v>4559</v>
      </c>
      <c r="U3901" t="s">
        <v>4655</v>
      </c>
      <c r="V3901" s="2">
        <v>0</v>
      </c>
      <c r="W3901" t="s">
        <v>4655</v>
      </c>
      <c r="X3901" s="2">
        <v>0</v>
      </c>
      <c r="Y3901">
        <v>21</v>
      </c>
      <c r="Z3901" t="s">
        <v>365</v>
      </c>
      <c r="AA3901" s="3">
        <v>1.00000004749745E-3</v>
      </c>
      <c r="AB3901" t="s">
        <v>21150</v>
      </c>
      <c r="AC3901" t="s">
        <v>4562</v>
      </c>
      <c r="AD3901" t="s">
        <v>21149</v>
      </c>
      <c r="AE3901" t="s">
        <v>4655</v>
      </c>
      <c r="AF3901" t="s">
        <v>4563</v>
      </c>
      <c r="AG3901" t="s">
        <v>4564</v>
      </c>
      <c r="AH3901">
        <v>89506</v>
      </c>
      <c r="AI3901" t="s">
        <v>2351</v>
      </c>
      <c r="AJ3901" t="s">
        <v>4655</v>
      </c>
      <c r="AK3901" t="s">
        <v>21151</v>
      </c>
      <c r="AL3901" s="13" t="s">
        <v>1901</v>
      </c>
      <c r="AM3901">
        <v>1</v>
      </c>
      <c r="AN3901" s="15" t="s">
        <v>5272</v>
      </c>
    </row>
    <row r="3902" spans="1:40" x14ac:dyDescent="0.3">
      <c r="A3902" s="10" t="str">
        <f>HYPERLINK("http://www.washoecounty.gov/assessor/cama/?parid=086-672-43&amp;CardNumber=1","086-672-43")</f>
        <v>086-672-43</v>
      </c>
      <c r="B3902" t="s">
        <v>4655</v>
      </c>
      <c r="C3902" t="s">
        <v>21152</v>
      </c>
      <c r="D3902" s="1">
        <v>40268</v>
      </c>
      <c r="E3902" s="2">
        <v>28500</v>
      </c>
      <c r="F3902" t="s">
        <v>4567</v>
      </c>
      <c r="G3902" s="17" t="str">
        <f>HYPERLINK("https://www.washoecounty.gov/assessor/cama/?command=sales&amp;parid=08667243","3866520")</f>
        <v>3866520</v>
      </c>
      <c r="H3902" t="s">
        <v>5270</v>
      </c>
      <c r="I3902">
        <v>1979</v>
      </c>
      <c r="J3902">
        <v>1979</v>
      </c>
      <c r="K3902" t="s">
        <v>3144</v>
      </c>
      <c r="L3902" t="s">
        <v>3974</v>
      </c>
      <c r="M3902" s="2">
        <v>984</v>
      </c>
      <c r="N3902" t="s">
        <v>4556</v>
      </c>
      <c r="O3902">
        <v>2</v>
      </c>
      <c r="P3902">
        <v>1</v>
      </c>
      <c r="Q3902">
        <v>1</v>
      </c>
      <c r="R3902" t="s">
        <v>4557</v>
      </c>
      <c r="S3902" t="s">
        <v>3148</v>
      </c>
      <c r="T3902" t="s">
        <v>4559</v>
      </c>
      <c r="U3902" t="s">
        <v>4655</v>
      </c>
      <c r="V3902" s="2">
        <v>0</v>
      </c>
      <c r="W3902" t="s">
        <v>4655</v>
      </c>
      <c r="X3902" s="2">
        <v>0</v>
      </c>
      <c r="Y3902">
        <v>21</v>
      </c>
      <c r="Z3902" t="s">
        <v>365</v>
      </c>
      <c r="AA3902" s="3">
        <v>1.00000004749745E-3</v>
      </c>
      <c r="AB3902" t="s">
        <v>21153</v>
      </c>
      <c r="AC3902" t="s">
        <v>4575</v>
      </c>
      <c r="AD3902" t="s">
        <v>21154</v>
      </c>
      <c r="AE3902" t="s">
        <v>4655</v>
      </c>
      <c r="AF3902" t="s">
        <v>4563</v>
      </c>
      <c r="AG3902" t="s">
        <v>4564</v>
      </c>
      <c r="AH3902" t="s">
        <v>5197</v>
      </c>
      <c r="AI3902" t="s">
        <v>16445</v>
      </c>
      <c r="AJ3902" t="s">
        <v>4655</v>
      </c>
      <c r="AK3902" t="s">
        <v>21155</v>
      </c>
      <c r="AL3902" s="13" t="s">
        <v>1901</v>
      </c>
      <c r="AM3902">
        <v>1</v>
      </c>
      <c r="AN3902" s="15" t="s">
        <v>5272</v>
      </c>
    </row>
    <row r="3903" spans="1:40" x14ac:dyDescent="0.3">
      <c r="A3903" s="10" t="str">
        <f>HYPERLINK("http://www.washoecounty.gov/assessor/cama/?parid=086-731-02&amp;CardNumber=1","086-731-02")</f>
        <v>086-731-02</v>
      </c>
      <c r="B3903" t="s">
        <v>4655</v>
      </c>
      <c r="C3903" t="s">
        <v>21156</v>
      </c>
      <c r="D3903" s="1">
        <v>40366</v>
      </c>
      <c r="E3903" s="2">
        <v>50000</v>
      </c>
      <c r="F3903" t="s">
        <v>4553</v>
      </c>
      <c r="G3903" s="17" t="str">
        <f>HYPERLINK("https://www.washoecounty.gov/assessor/cama/?command=sales&amp;parid=08673102","3898967")</f>
        <v>3898967</v>
      </c>
      <c r="H3903" t="s">
        <v>5273</v>
      </c>
      <c r="I3903">
        <v>1958</v>
      </c>
      <c r="J3903">
        <v>1958</v>
      </c>
      <c r="K3903" t="s">
        <v>4897</v>
      </c>
      <c r="L3903" t="s">
        <v>4555</v>
      </c>
      <c r="M3903" s="2">
        <v>987</v>
      </c>
      <c r="N3903" t="s">
        <v>4556</v>
      </c>
      <c r="O3903">
        <v>2</v>
      </c>
      <c r="P3903">
        <v>1</v>
      </c>
      <c r="Q3903">
        <v>0</v>
      </c>
      <c r="R3903" t="s">
        <v>4557</v>
      </c>
      <c r="S3903" t="s">
        <v>4574</v>
      </c>
      <c r="T3903" t="s">
        <v>4559</v>
      </c>
      <c r="U3903" t="s">
        <v>4655</v>
      </c>
      <c r="V3903" s="2">
        <v>0</v>
      </c>
      <c r="W3903" t="s">
        <v>4655</v>
      </c>
      <c r="X3903" s="2">
        <v>0</v>
      </c>
      <c r="Y3903">
        <v>20</v>
      </c>
      <c r="Z3903" t="s">
        <v>365</v>
      </c>
      <c r="AA3903" s="3">
        <v>0.125</v>
      </c>
      <c r="AB3903" t="s">
        <v>7007</v>
      </c>
      <c r="AC3903" t="s">
        <v>4562</v>
      </c>
      <c r="AD3903" t="s">
        <v>21157</v>
      </c>
      <c r="AE3903" t="s">
        <v>4655</v>
      </c>
      <c r="AF3903" t="s">
        <v>1530</v>
      </c>
      <c r="AG3903" t="s">
        <v>4657</v>
      </c>
      <c r="AH3903">
        <v>65802</v>
      </c>
      <c r="AI3903" t="s">
        <v>21158</v>
      </c>
      <c r="AJ3903" t="s">
        <v>4655</v>
      </c>
      <c r="AK3903" t="s">
        <v>21159</v>
      </c>
      <c r="AL3903" s="13" t="s">
        <v>1901</v>
      </c>
      <c r="AM3903">
        <v>1</v>
      </c>
      <c r="AN3903" s="15" t="s">
        <v>5274</v>
      </c>
    </row>
    <row r="3904" spans="1:40" x14ac:dyDescent="0.3">
      <c r="A3904" s="10" t="str">
        <f>HYPERLINK("http://www.washoecounty.gov/assessor/cama/?parid=086-732-08&amp;CardNumber=1","086-732-08")</f>
        <v>086-732-08</v>
      </c>
      <c r="B3904" t="s">
        <v>4655</v>
      </c>
      <c r="C3904" t="s">
        <v>21160</v>
      </c>
      <c r="D3904" s="1">
        <v>40401</v>
      </c>
      <c r="E3904" s="2">
        <v>65000</v>
      </c>
      <c r="F3904" t="s">
        <v>4567</v>
      </c>
      <c r="G3904" s="17" t="str">
        <f>HYPERLINK("https://www.washoecounty.gov/assessor/cama/?command=sales&amp;parid=08673208","3910833")</f>
        <v>3910833</v>
      </c>
      <c r="H3904" t="s">
        <v>1292</v>
      </c>
      <c r="I3904">
        <v>1958</v>
      </c>
      <c r="J3904">
        <v>1958</v>
      </c>
      <c r="K3904" t="s">
        <v>4554</v>
      </c>
      <c r="L3904" t="s">
        <v>4555</v>
      </c>
      <c r="M3904" s="2">
        <v>1393</v>
      </c>
      <c r="N3904" t="s">
        <v>4133</v>
      </c>
      <c r="O3904">
        <v>3</v>
      </c>
      <c r="P3904">
        <v>1</v>
      </c>
      <c r="Q3904">
        <v>0</v>
      </c>
      <c r="R3904" t="s">
        <v>4557</v>
      </c>
      <c r="S3904" t="s">
        <v>4574</v>
      </c>
      <c r="T3904" t="s">
        <v>4559</v>
      </c>
      <c r="U3904" t="s">
        <v>4560</v>
      </c>
      <c r="V3904" s="2">
        <v>371</v>
      </c>
      <c r="W3904" t="s">
        <v>4655</v>
      </c>
      <c r="X3904" s="2">
        <v>0</v>
      </c>
      <c r="Y3904">
        <v>20</v>
      </c>
      <c r="Z3904" t="s">
        <v>365</v>
      </c>
      <c r="AA3904" s="3">
        <v>0.26400366425514199</v>
      </c>
      <c r="AB3904" t="s">
        <v>21161</v>
      </c>
      <c r="AC3904" t="s">
        <v>4562</v>
      </c>
      <c r="AD3904" t="s">
        <v>21160</v>
      </c>
      <c r="AE3904" t="s">
        <v>4655</v>
      </c>
      <c r="AF3904" t="s">
        <v>4563</v>
      </c>
      <c r="AG3904" t="s">
        <v>4564</v>
      </c>
      <c r="AH3904">
        <v>89506</v>
      </c>
      <c r="AI3904" t="s">
        <v>4655</v>
      </c>
      <c r="AJ3904" t="s">
        <v>4655</v>
      </c>
      <c r="AK3904" t="s">
        <v>21162</v>
      </c>
      <c r="AL3904" s="13" t="s">
        <v>1901</v>
      </c>
      <c r="AM3904">
        <v>1</v>
      </c>
      <c r="AN3904" s="15" t="s">
        <v>3155</v>
      </c>
    </row>
    <row r="3905" spans="1:40" x14ac:dyDescent="0.3">
      <c r="A3905" s="10" t="str">
        <f>HYPERLINK("http://www.washoecounty.gov/assessor/cama/?parid=086-733-01&amp;CardNumber=1","086-733-01")</f>
        <v>086-733-01</v>
      </c>
      <c r="B3905" t="s">
        <v>4655</v>
      </c>
      <c r="C3905" t="s">
        <v>21163</v>
      </c>
      <c r="D3905" s="1">
        <v>40312</v>
      </c>
      <c r="E3905" s="2">
        <v>70000</v>
      </c>
      <c r="F3905" t="s">
        <v>4567</v>
      </c>
      <c r="G3905" s="17" t="str">
        <f>HYPERLINK("https://www.washoecounty.gov/assessor/cama/?command=sales&amp;parid=08673301","3881342")</f>
        <v>3881342</v>
      </c>
      <c r="H3905" t="s">
        <v>5273</v>
      </c>
      <c r="I3905">
        <v>1958</v>
      </c>
      <c r="J3905">
        <v>1958</v>
      </c>
      <c r="K3905" t="s">
        <v>4554</v>
      </c>
      <c r="L3905" t="s">
        <v>4555</v>
      </c>
      <c r="M3905" s="2">
        <v>1394</v>
      </c>
      <c r="N3905" t="s">
        <v>4133</v>
      </c>
      <c r="O3905">
        <v>3</v>
      </c>
      <c r="P3905">
        <v>1</v>
      </c>
      <c r="Q3905">
        <v>0</v>
      </c>
      <c r="R3905" t="s">
        <v>4557</v>
      </c>
      <c r="S3905" t="s">
        <v>4574</v>
      </c>
      <c r="T3905" t="s">
        <v>4559</v>
      </c>
      <c r="U3905" t="s">
        <v>4560</v>
      </c>
      <c r="V3905" s="2">
        <v>371</v>
      </c>
      <c r="W3905" t="s">
        <v>4655</v>
      </c>
      <c r="X3905" s="2">
        <v>0</v>
      </c>
      <c r="Y3905">
        <v>20</v>
      </c>
      <c r="Z3905" t="s">
        <v>365</v>
      </c>
      <c r="AA3905" s="3">
        <v>0.24800275266170499</v>
      </c>
      <c r="AB3905" t="s">
        <v>21164</v>
      </c>
      <c r="AC3905" t="s">
        <v>4562</v>
      </c>
      <c r="AD3905" t="s">
        <v>21163</v>
      </c>
      <c r="AE3905" t="s">
        <v>4655</v>
      </c>
      <c r="AF3905" t="s">
        <v>4563</v>
      </c>
      <c r="AG3905" t="s">
        <v>4564</v>
      </c>
      <c r="AH3905">
        <v>89506</v>
      </c>
      <c r="AI3905" t="s">
        <v>21165</v>
      </c>
      <c r="AJ3905" t="s">
        <v>4655</v>
      </c>
      <c r="AK3905" t="s">
        <v>21166</v>
      </c>
      <c r="AL3905" s="13" t="s">
        <v>1901</v>
      </c>
      <c r="AM3905">
        <v>1</v>
      </c>
      <c r="AN3905" s="15" t="s">
        <v>3155</v>
      </c>
    </row>
    <row r="3906" spans="1:40" x14ac:dyDescent="0.3">
      <c r="A3906" s="10" t="str">
        <f>HYPERLINK("http://www.washoecounty.gov/assessor/cama/?parid=086-733-15&amp;CardNumber=1","086-733-15")</f>
        <v>086-733-15</v>
      </c>
      <c r="B3906" t="s">
        <v>4655</v>
      </c>
      <c r="C3906" t="s">
        <v>21167</v>
      </c>
      <c r="D3906" s="1">
        <v>40218</v>
      </c>
      <c r="E3906" s="2">
        <v>54900</v>
      </c>
      <c r="F3906" t="s">
        <v>4567</v>
      </c>
      <c r="G3906" s="17" t="str">
        <f>HYPERLINK("https://www.washoecounty.gov/assessor/cama/?command=sales&amp;parid=08673315","3847196")</f>
        <v>3847196</v>
      </c>
      <c r="H3906" t="s">
        <v>5273</v>
      </c>
      <c r="I3906">
        <v>1958</v>
      </c>
      <c r="J3906">
        <v>1958</v>
      </c>
      <c r="K3906" t="s">
        <v>4897</v>
      </c>
      <c r="L3906" t="s">
        <v>4555</v>
      </c>
      <c r="M3906" s="2">
        <v>1187</v>
      </c>
      <c r="N3906" t="s">
        <v>4556</v>
      </c>
      <c r="O3906">
        <v>3</v>
      </c>
      <c r="P3906">
        <v>1</v>
      </c>
      <c r="Q3906">
        <v>0</v>
      </c>
      <c r="R3906" t="s">
        <v>4557</v>
      </c>
      <c r="S3906" t="s">
        <v>4574</v>
      </c>
      <c r="T3906" t="s">
        <v>4559</v>
      </c>
      <c r="U3906" t="s">
        <v>4655</v>
      </c>
      <c r="V3906" s="2">
        <v>0</v>
      </c>
      <c r="W3906" t="s">
        <v>4655</v>
      </c>
      <c r="X3906" s="2">
        <v>0</v>
      </c>
      <c r="Y3906">
        <v>20</v>
      </c>
      <c r="Z3906" t="s">
        <v>365</v>
      </c>
      <c r="AA3906" s="3">
        <v>0.151010096073151</v>
      </c>
      <c r="AB3906" t="s">
        <v>21168</v>
      </c>
      <c r="AC3906" t="s">
        <v>4562</v>
      </c>
      <c r="AD3906" t="s">
        <v>21167</v>
      </c>
      <c r="AE3906" t="s">
        <v>4655</v>
      </c>
      <c r="AF3906" t="s">
        <v>4563</v>
      </c>
      <c r="AG3906" t="s">
        <v>4564</v>
      </c>
      <c r="AH3906">
        <v>89506</v>
      </c>
      <c r="AI3906" t="s">
        <v>21169</v>
      </c>
      <c r="AJ3906" t="s">
        <v>4655</v>
      </c>
      <c r="AK3906" t="s">
        <v>21170</v>
      </c>
      <c r="AL3906" s="13" t="s">
        <v>1901</v>
      </c>
      <c r="AM3906">
        <v>1</v>
      </c>
      <c r="AN3906" s="15" t="s">
        <v>5274</v>
      </c>
    </row>
    <row r="3907" spans="1:40" x14ac:dyDescent="0.3">
      <c r="A3907" s="10" t="str">
        <f>HYPERLINK("http://www.washoecounty.gov/assessor/cama/?parid=086-733-21&amp;CardNumber=1","086-733-21")</f>
        <v>086-733-21</v>
      </c>
      <c r="B3907" t="s">
        <v>4655</v>
      </c>
      <c r="C3907" t="s">
        <v>21171</v>
      </c>
      <c r="D3907" s="1">
        <v>40287</v>
      </c>
      <c r="E3907" s="2">
        <v>41500</v>
      </c>
      <c r="F3907" t="s">
        <v>4567</v>
      </c>
      <c r="G3907" s="17" t="str">
        <f>HYPERLINK("https://www.washoecounty.gov/assessor/cama/?command=sales&amp;parid=08673321","3872317")</f>
        <v>3872317</v>
      </c>
      <c r="H3907" t="s">
        <v>5273</v>
      </c>
      <c r="I3907">
        <v>1958</v>
      </c>
      <c r="J3907">
        <v>1958</v>
      </c>
      <c r="K3907" t="s">
        <v>4897</v>
      </c>
      <c r="L3907" t="s">
        <v>4555</v>
      </c>
      <c r="M3907" s="2">
        <v>1192</v>
      </c>
      <c r="N3907" t="s">
        <v>4556</v>
      </c>
      <c r="O3907">
        <v>3</v>
      </c>
      <c r="P3907">
        <v>1</v>
      </c>
      <c r="Q3907">
        <v>0</v>
      </c>
      <c r="R3907" t="s">
        <v>4557</v>
      </c>
      <c r="S3907" t="s">
        <v>4574</v>
      </c>
      <c r="T3907" t="s">
        <v>1101</v>
      </c>
      <c r="U3907" t="s">
        <v>4655</v>
      </c>
      <c r="V3907" s="2">
        <v>0</v>
      </c>
      <c r="W3907" t="s">
        <v>4655</v>
      </c>
      <c r="X3907" s="2">
        <v>0</v>
      </c>
      <c r="Y3907">
        <v>20</v>
      </c>
      <c r="Z3907" t="s">
        <v>365</v>
      </c>
      <c r="AA3907" s="3">
        <v>0.157001838088036</v>
      </c>
      <c r="AB3907" t="s">
        <v>1106</v>
      </c>
      <c r="AC3907" t="s">
        <v>4562</v>
      </c>
      <c r="AD3907" t="s">
        <v>1107</v>
      </c>
      <c r="AE3907" t="s">
        <v>4655</v>
      </c>
      <c r="AF3907" t="s">
        <v>4563</v>
      </c>
      <c r="AG3907" t="s">
        <v>4564</v>
      </c>
      <c r="AH3907" t="s">
        <v>1147</v>
      </c>
      <c r="AI3907" t="s">
        <v>21172</v>
      </c>
      <c r="AJ3907" t="s">
        <v>4655</v>
      </c>
      <c r="AK3907" t="s">
        <v>21173</v>
      </c>
      <c r="AL3907" s="13" t="s">
        <v>1901</v>
      </c>
      <c r="AM3907">
        <v>1</v>
      </c>
      <c r="AN3907" s="15" t="s">
        <v>5274</v>
      </c>
    </row>
    <row r="3908" spans="1:40" x14ac:dyDescent="0.3">
      <c r="A3908" s="10" t="str">
        <f>HYPERLINK("http://www.washoecounty.gov/assessor/cama/?parid=086-733-29&amp;CardNumber=1","086-733-29")</f>
        <v>086-733-29</v>
      </c>
      <c r="B3908" t="s">
        <v>4655</v>
      </c>
      <c r="C3908" t="s">
        <v>3856</v>
      </c>
      <c r="D3908" s="1">
        <v>40520</v>
      </c>
      <c r="E3908" s="2">
        <v>28722</v>
      </c>
      <c r="F3908" t="s">
        <v>4553</v>
      </c>
      <c r="G3908" s="17" t="str">
        <f>HYPERLINK("https://www.washoecounty.gov/assessor/cama/?command=sales&amp;parid=08673329","3950644")</f>
        <v>3950644</v>
      </c>
      <c r="H3908" t="s">
        <v>5273</v>
      </c>
      <c r="I3908">
        <v>1958</v>
      </c>
      <c r="J3908">
        <v>1958</v>
      </c>
      <c r="K3908" t="s">
        <v>4897</v>
      </c>
      <c r="L3908" t="s">
        <v>4555</v>
      </c>
      <c r="M3908" s="2">
        <v>1188</v>
      </c>
      <c r="N3908" t="s">
        <v>4556</v>
      </c>
      <c r="O3908">
        <v>3</v>
      </c>
      <c r="P3908">
        <v>1</v>
      </c>
      <c r="Q3908">
        <v>0</v>
      </c>
      <c r="R3908" t="s">
        <v>4557</v>
      </c>
      <c r="S3908" t="s">
        <v>4574</v>
      </c>
      <c r="T3908" t="s">
        <v>4559</v>
      </c>
      <c r="U3908" t="s">
        <v>4655</v>
      </c>
      <c r="V3908" s="2">
        <v>0</v>
      </c>
      <c r="W3908" t="s">
        <v>4655</v>
      </c>
      <c r="X3908" s="2">
        <v>0</v>
      </c>
      <c r="Y3908">
        <v>20</v>
      </c>
      <c r="Z3908" t="s">
        <v>365</v>
      </c>
      <c r="AA3908" s="3">
        <v>0.18000459671020499</v>
      </c>
      <c r="AB3908" t="s">
        <v>138</v>
      </c>
      <c r="AC3908" t="s">
        <v>4562</v>
      </c>
      <c r="AD3908" t="s">
        <v>3856</v>
      </c>
      <c r="AE3908" t="s">
        <v>4655</v>
      </c>
      <c r="AF3908" t="s">
        <v>4563</v>
      </c>
      <c r="AG3908" t="s">
        <v>4564</v>
      </c>
      <c r="AH3908">
        <v>89506</v>
      </c>
      <c r="AI3908" t="s">
        <v>5405</v>
      </c>
      <c r="AJ3908" t="s">
        <v>4655</v>
      </c>
      <c r="AK3908" t="s">
        <v>4667</v>
      </c>
      <c r="AL3908" s="13" t="s">
        <v>1901</v>
      </c>
      <c r="AM3908">
        <v>1</v>
      </c>
      <c r="AN3908" s="15" t="s">
        <v>5274</v>
      </c>
    </row>
    <row r="3909" spans="1:40" x14ac:dyDescent="0.3">
      <c r="A3909" s="10" t="str">
        <f>HYPERLINK("http://www.washoecounty.gov/assessor/cama/?parid=086-734-10&amp;CardNumber=1","086-734-10")</f>
        <v>086-734-10</v>
      </c>
      <c r="B3909" t="s">
        <v>4655</v>
      </c>
      <c r="C3909" t="s">
        <v>21174</v>
      </c>
      <c r="D3909" s="1">
        <v>40326</v>
      </c>
      <c r="E3909" s="2">
        <v>74000</v>
      </c>
      <c r="F3909" t="s">
        <v>4567</v>
      </c>
      <c r="G3909" s="17" t="str">
        <f>HYPERLINK("https://www.washoecounty.gov/assessor/cama/?command=sales&amp;parid=08673410","3886467")</f>
        <v>3886467</v>
      </c>
      <c r="H3909" t="s">
        <v>5273</v>
      </c>
      <c r="I3909">
        <v>1958</v>
      </c>
      <c r="J3909">
        <v>1958</v>
      </c>
      <c r="K3909" t="s">
        <v>4554</v>
      </c>
      <c r="L3909" t="s">
        <v>4555</v>
      </c>
      <c r="M3909" s="2">
        <v>1394</v>
      </c>
      <c r="N3909" t="s">
        <v>4133</v>
      </c>
      <c r="O3909">
        <v>3</v>
      </c>
      <c r="P3909">
        <v>1</v>
      </c>
      <c r="Q3909">
        <v>0</v>
      </c>
      <c r="R3909" t="s">
        <v>4557</v>
      </c>
      <c r="S3909" t="s">
        <v>4574</v>
      </c>
      <c r="T3909" t="s">
        <v>4559</v>
      </c>
      <c r="U3909" t="s">
        <v>162</v>
      </c>
      <c r="V3909" s="2">
        <v>1091</v>
      </c>
      <c r="W3909" t="s">
        <v>4655</v>
      </c>
      <c r="X3909" s="2">
        <v>0</v>
      </c>
      <c r="Y3909">
        <v>20</v>
      </c>
      <c r="Z3909" t="s">
        <v>365</v>
      </c>
      <c r="AA3909" s="3">
        <v>0.25798898935317993</v>
      </c>
      <c r="AB3909" t="s">
        <v>21175</v>
      </c>
      <c r="AC3909" t="s">
        <v>4562</v>
      </c>
      <c r="AD3909" t="s">
        <v>21174</v>
      </c>
      <c r="AE3909" t="s">
        <v>4655</v>
      </c>
      <c r="AF3909" t="s">
        <v>4563</v>
      </c>
      <c r="AG3909" t="s">
        <v>4564</v>
      </c>
      <c r="AH3909">
        <v>89506</v>
      </c>
      <c r="AI3909" t="s">
        <v>21176</v>
      </c>
      <c r="AJ3909" t="s">
        <v>4655</v>
      </c>
      <c r="AK3909" t="s">
        <v>21177</v>
      </c>
      <c r="AL3909" s="13" t="s">
        <v>1901</v>
      </c>
      <c r="AM3909">
        <v>1</v>
      </c>
      <c r="AN3909" s="15" t="s">
        <v>3155</v>
      </c>
    </row>
    <row r="3910" spans="1:40" x14ac:dyDescent="0.3">
      <c r="A3910" s="10" t="str">
        <f>HYPERLINK("http://www.washoecounty.gov/assessor/cama/?parid=086-735-02&amp;CardNumber=1","086-735-02")</f>
        <v>086-735-02</v>
      </c>
      <c r="B3910" t="s">
        <v>4655</v>
      </c>
      <c r="C3910" t="s">
        <v>21178</v>
      </c>
      <c r="D3910" s="1">
        <v>40478</v>
      </c>
      <c r="E3910" s="2">
        <v>84000</v>
      </c>
      <c r="F3910" t="s">
        <v>4553</v>
      </c>
      <c r="G3910" s="17" t="str">
        <f>HYPERLINK("https://www.washoecounty.gov/assessor/cama/?command=sales&amp;parid=08673502","3937811")</f>
        <v>3937811</v>
      </c>
      <c r="H3910" t="s">
        <v>5273</v>
      </c>
      <c r="I3910">
        <v>2003</v>
      </c>
      <c r="J3910">
        <v>2003</v>
      </c>
      <c r="K3910" t="s">
        <v>4554</v>
      </c>
      <c r="L3910" t="s">
        <v>4555</v>
      </c>
      <c r="M3910" s="2">
        <v>1066</v>
      </c>
      <c r="N3910" t="s">
        <v>4556</v>
      </c>
      <c r="O3910">
        <v>3</v>
      </c>
      <c r="P3910">
        <v>2</v>
      </c>
      <c r="Q3910">
        <v>0</v>
      </c>
      <c r="R3910" t="s">
        <v>4557</v>
      </c>
      <c r="S3910" t="s">
        <v>4558</v>
      </c>
      <c r="T3910" t="s">
        <v>4559</v>
      </c>
      <c r="U3910" t="s">
        <v>4560</v>
      </c>
      <c r="V3910" s="2">
        <v>312</v>
      </c>
      <c r="W3910" t="s">
        <v>4655</v>
      </c>
      <c r="X3910" s="2">
        <v>0</v>
      </c>
      <c r="Y3910">
        <v>20</v>
      </c>
      <c r="Z3910" t="s">
        <v>365</v>
      </c>
      <c r="AA3910" s="3">
        <v>0.16600091755390201</v>
      </c>
      <c r="AB3910" t="s">
        <v>21179</v>
      </c>
      <c r="AC3910" t="s">
        <v>4562</v>
      </c>
      <c r="AD3910" t="s">
        <v>21180</v>
      </c>
      <c r="AE3910" t="s">
        <v>4655</v>
      </c>
      <c r="AF3910" t="s">
        <v>4563</v>
      </c>
      <c r="AG3910" t="s">
        <v>4564</v>
      </c>
      <c r="AH3910">
        <v>89506</v>
      </c>
      <c r="AI3910" t="s">
        <v>4903</v>
      </c>
      <c r="AJ3910" t="s">
        <v>4655</v>
      </c>
      <c r="AK3910" t="s">
        <v>21181</v>
      </c>
      <c r="AL3910" s="13" t="s">
        <v>1901</v>
      </c>
      <c r="AM3910">
        <v>1</v>
      </c>
      <c r="AN3910" s="15" t="s">
        <v>3155</v>
      </c>
    </row>
    <row r="3911" spans="1:40" x14ac:dyDescent="0.3">
      <c r="A3911" s="10" t="str">
        <f>HYPERLINK("http://www.washoecounty.gov/assessor/cama/?parid=086-735-03&amp;CardNumber=1","086-735-03")</f>
        <v>086-735-03</v>
      </c>
      <c r="B3911" t="s">
        <v>4655</v>
      </c>
      <c r="C3911" t="s">
        <v>21182</v>
      </c>
      <c r="D3911" s="1">
        <v>40246</v>
      </c>
      <c r="E3911" s="2">
        <v>62000</v>
      </c>
      <c r="F3911" t="s">
        <v>4567</v>
      </c>
      <c r="G3911" s="17" t="str">
        <f>HYPERLINK("https://www.washoecounty.gov/assessor/cama/?command=sales&amp;parid=08673503","3857527")</f>
        <v>3857527</v>
      </c>
      <c r="H3911" t="s">
        <v>5273</v>
      </c>
      <c r="I3911">
        <v>1958</v>
      </c>
      <c r="J3911">
        <v>1958</v>
      </c>
      <c r="K3911" t="s">
        <v>4554</v>
      </c>
      <c r="L3911" t="s">
        <v>4555</v>
      </c>
      <c r="M3911" s="2">
        <v>1394</v>
      </c>
      <c r="N3911" t="s">
        <v>4133</v>
      </c>
      <c r="O3911">
        <v>3</v>
      </c>
      <c r="P3911">
        <v>1</v>
      </c>
      <c r="Q3911">
        <v>0</v>
      </c>
      <c r="R3911" t="s">
        <v>4557</v>
      </c>
      <c r="S3911" t="s">
        <v>4574</v>
      </c>
      <c r="T3911" t="s">
        <v>4559</v>
      </c>
      <c r="U3911" t="s">
        <v>4560</v>
      </c>
      <c r="V3911" s="2">
        <v>371</v>
      </c>
      <c r="W3911" t="s">
        <v>4655</v>
      </c>
      <c r="X3911" s="2">
        <v>0</v>
      </c>
      <c r="Y3911">
        <v>20</v>
      </c>
      <c r="Z3911" t="s">
        <v>365</v>
      </c>
      <c r="AA3911" s="3">
        <v>0.173002749681473</v>
      </c>
      <c r="AB3911" t="s">
        <v>21183</v>
      </c>
      <c r="AC3911" t="s">
        <v>4562</v>
      </c>
      <c r="AD3911" t="s">
        <v>21184</v>
      </c>
      <c r="AE3911" t="s">
        <v>4655</v>
      </c>
      <c r="AF3911" t="s">
        <v>4563</v>
      </c>
      <c r="AG3911" t="s">
        <v>4564</v>
      </c>
      <c r="AH3911">
        <v>89506</v>
      </c>
      <c r="AI3911" t="s">
        <v>21185</v>
      </c>
      <c r="AJ3911" t="s">
        <v>4655</v>
      </c>
      <c r="AK3911" t="s">
        <v>21186</v>
      </c>
      <c r="AL3911" s="13" t="s">
        <v>1901</v>
      </c>
      <c r="AM3911">
        <v>1</v>
      </c>
      <c r="AN3911" s="15" t="s">
        <v>3155</v>
      </c>
    </row>
    <row r="3912" spans="1:40" x14ac:dyDescent="0.3">
      <c r="A3912" s="10" t="str">
        <f>HYPERLINK("http://www.washoecounty.gov/assessor/cama/?parid=086-736-11&amp;CardNumber=1","086-736-11")</f>
        <v>086-736-11</v>
      </c>
      <c r="B3912" t="s">
        <v>4655</v>
      </c>
      <c r="C3912" t="s">
        <v>21187</v>
      </c>
      <c r="D3912" s="1">
        <v>40451</v>
      </c>
      <c r="E3912" s="2">
        <v>57000</v>
      </c>
      <c r="F3912" t="s">
        <v>4553</v>
      </c>
      <c r="G3912" s="17" t="str">
        <f>HYPERLINK("https://www.washoecounty.gov/assessor/cama/?command=sales&amp;parid=08673611","3928424")</f>
        <v>3928424</v>
      </c>
      <c r="H3912" t="s">
        <v>5273</v>
      </c>
      <c r="I3912">
        <v>1958</v>
      </c>
      <c r="J3912">
        <v>1958</v>
      </c>
      <c r="K3912" t="s">
        <v>4554</v>
      </c>
      <c r="L3912" t="s">
        <v>4555</v>
      </c>
      <c r="M3912" s="2">
        <v>1766</v>
      </c>
      <c r="N3912" t="s">
        <v>4133</v>
      </c>
      <c r="O3912">
        <v>4</v>
      </c>
      <c r="P3912">
        <v>2</v>
      </c>
      <c r="Q3912">
        <v>0</v>
      </c>
      <c r="R3912" t="s">
        <v>4557</v>
      </c>
      <c r="S3912" t="s">
        <v>4574</v>
      </c>
      <c r="T3912" t="s">
        <v>4559</v>
      </c>
      <c r="U3912" t="s">
        <v>4655</v>
      </c>
      <c r="V3912" s="2">
        <v>0</v>
      </c>
      <c r="W3912" t="s">
        <v>4655</v>
      </c>
      <c r="X3912" s="2">
        <v>0</v>
      </c>
      <c r="Y3912">
        <v>20</v>
      </c>
      <c r="Z3912" t="s">
        <v>365</v>
      </c>
      <c r="AA3912" s="3">
        <v>0.339990824460983</v>
      </c>
      <c r="AB3912" t="s">
        <v>21188</v>
      </c>
      <c r="AC3912" t="s">
        <v>4562</v>
      </c>
      <c r="AD3912" t="s">
        <v>21189</v>
      </c>
      <c r="AE3912" t="s">
        <v>4655</v>
      </c>
      <c r="AF3912" t="s">
        <v>21190</v>
      </c>
      <c r="AG3912" t="s">
        <v>4209</v>
      </c>
      <c r="AH3912">
        <v>80130</v>
      </c>
      <c r="AI3912" t="s">
        <v>2399</v>
      </c>
      <c r="AJ3912" t="s">
        <v>4655</v>
      </c>
      <c r="AK3912" t="s">
        <v>21191</v>
      </c>
      <c r="AL3912" s="13" t="s">
        <v>1901</v>
      </c>
      <c r="AM3912">
        <v>1</v>
      </c>
      <c r="AN3912" s="15" t="s">
        <v>3155</v>
      </c>
    </row>
    <row r="3913" spans="1:40" x14ac:dyDescent="0.3">
      <c r="A3913" s="10" t="str">
        <f>HYPERLINK("http://www.washoecounty.gov/assessor/cama/?parid=086-736-12&amp;CardNumber=1","086-736-12")</f>
        <v>086-736-12</v>
      </c>
      <c r="B3913" t="s">
        <v>4655</v>
      </c>
      <c r="C3913" t="s">
        <v>21192</v>
      </c>
      <c r="D3913" s="1">
        <v>40395</v>
      </c>
      <c r="E3913" s="2">
        <v>70000</v>
      </c>
      <c r="F3913" t="s">
        <v>4553</v>
      </c>
      <c r="G3913" s="17" t="str">
        <f>HYPERLINK("https://www.washoecounty.gov/assessor/cama/?command=sales&amp;parid=08673612","3909247")</f>
        <v>3909247</v>
      </c>
      <c r="H3913" t="s">
        <v>1292</v>
      </c>
      <c r="I3913">
        <v>1958</v>
      </c>
      <c r="J3913">
        <v>1958</v>
      </c>
      <c r="K3913" t="s">
        <v>4554</v>
      </c>
      <c r="L3913" t="s">
        <v>4555</v>
      </c>
      <c r="M3913" s="2">
        <v>1765</v>
      </c>
      <c r="N3913" t="s">
        <v>4133</v>
      </c>
      <c r="O3913">
        <v>4</v>
      </c>
      <c r="P3913">
        <v>2</v>
      </c>
      <c r="Q3913">
        <v>0</v>
      </c>
      <c r="R3913" t="s">
        <v>4557</v>
      </c>
      <c r="S3913" t="s">
        <v>4574</v>
      </c>
      <c r="T3913" t="s">
        <v>4559</v>
      </c>
      <c r="U3913" t="s">
        <v>4655</v>
      </c>
      <c r="V3913" s="2">
        <v>0</v>
      </c>
      <c r="W3913" t="s">
        <v>4655</v>
      </c>
      <c r="X3913" s="2">
        <v>0</v>
      </c>
      <c r="Y3913">
        <v>20</v>
      </c>
      <c r="Z3913" t="s">
        <v>365</v>
      </c>
      <c r="AA3913" s="3">
        <v>0.30899909138679499</v>
      </c>
      <c r="AB3913" t="s">
        <v>21193</v>
      </c>
      <c r="AC3913" t="s">
        <v>4562</v>
      </c>
      <c r="AD3913" t="s">
        <v>21192</v>
      </c>
      <c r="AE3913" t="s">
        <v>4655</v>
      </c>
      <c r="AF3913" t="s">
        <v>4563</v>
      </c>
      <c r="AG3913" t="s">
        <v>4564</v>
      </c>
      <c r="AH3913">
        <v>89506</v>
      </c>
      <c r="AI3913" t="s">
        <v>4848</v>
      </c>
      <c r="AJ3913" t="s">
        <v>4655</v>
      </c>
      <c r="AK3913" t="s">
        <v>21194</v>
      </c>
      <c r="AL3913" s="13" t="s">
        <v>1901</v>
      </c>
      <c r="AM3913">
        <v>1</v>
      </c>
      <c r="AN3913" s="15" t="s">
        <v>3155</v>
      </c>
    </row>
    <row r="3914" spans="1:40" x14ac:dyDescent="0.3">
      <c r="A3914" s="10" t="str">
        <f>HYPERLINK("http://www.washoecounty.gov/assessor/cama/?parid=086-736-21&amp;CardNumber=1","086-736-21")</f>
        <v>086-736-21</v>
      </c>
      <c r="B3914" t="s">
        <v>4655</v>
      </c>
      <c r="C3914" t="s">
        <v>8176</v>
      </c>
      <c r="D3914" s="1">
        <v>40207</v>
      </c>
      <c r="E3914" s="2">
        <v>52000</v>
      </c>
      <c r="F3914" t="s">
        <v>4567</v>
      </c>
      <c r="G3914" s="17" t="str">
        <f>HYPERLINK("https://www.washoecounty.gov/assessor/cama/?command=sales&amp;parid=08673621","3844492")</f>
        <v>3844492</v>
      </c>
      <c r="H3914" t="s">
        <v>5273</v>
      </c>
      <c r="I3914">
        <v>1958</v>
      </c>
      <c r="J3914">
        <v>1958</v>
      </c>
      <c r="K3914" t="s">
        <v>4554</v>
      </c>
      <c r="L3914" t="s">
        <v>4555</v>
      </c>
      <c r="M3914" s="2">
        <v>1394</v>
      </c>
      <c r="N3914" t="s">
        <v>4133</v>
      </c>
      <c r="O3914">
        <v>3</v>
      </c>
      <c r="P3914">
        <v>1</v>
      </c>
      <c r="Q3914">
        <v>0</v>
      </c>
      <c r="R3914" t="s">
        <v>4557</v>
      </c>
      <c r="S3914" t="s">
        <v>4574</v>
      </c>
      <c r="T3914" t="s">
        <v>4559</v>
      </c>
      <c r="U3914" t="s">
        <v>4560</v>
      </c>
      <c r="V3914" s="2">
        <v>371</v>
      </c>
      <c r="W3914" t="s">
        <v>4655</v>
      </c>
      <c r="X3914" s="2">
        <v>0</v>
      </c>
      <c r="Y3914">
        <v>20</v>
      </c>
      <c r="Z3914" t="s">
        <v>365</v>
      </c>
      <c r="AA3914" s="3">
        <v>0.19800275564193701</v>
      </c>
      <c r="AB3914" t="s">
        <v>21195</v>
      </c>
      <c r="AC3914" t="s">
        <v>4575</v>
      </c>
      <c r="AD3914" t="s">
        <v>21196</v>
      </c>
      <c r="AE3914" t="s">
        <v>21197</v>
      </c>
      <c r="AF3914" t="s">
        <v>4054</v>
      </c>
      <c r="AG3914" t="s">
        <v>4564</v>
      </c>
      <c r="AH3914" t="s">
        <v>5275</v>
      </c>
      <c r="AI3914" t="s">
        <v>21198</v>
      </c>
      <c r="AJ3914" t="s">
        <v>4655</v>
      </c>
      <c r="AK3914" t="s">
        <v>21199</v>
      </c>
      <c r="AL3914" s="13" t="s">
        <v>1901</v>
      </c>
      <c r="AM3914" s="14">
        <v>1</v>
      </c>
      <c r="AN3914" s="15" t="s">
        <v>3155</v>
      </c>
    </row>
    <row r="3915" spans="1:40" x14ac:dyDescent="0.3">
      <c r="A3915" s="10" t="str">
        <f>HYPERLINK("http://www.washoecounty.gov/assessor/cama/?parid=086-741-07&amp;CardNumber=1","086-741-07")</f>
        <v>086-741-07</v>
      </c>
      <c r="B3915" t="s">
        <v>4655</v>
      </c>
      <c r="C3915" t="s">
        <v>21200</v>
      </c>
      <c r="D3915" s="1">
        <v>40266</v>
      </c>
      <c r="E3915" s="2">
        <v>35000</v>
      </c>
      <c r="F3915" t="s">
        <v>4553</v>
      </c>
      <c r="G3915" s="17" t="str">
        <f>HYPERLINK("https://www.washoecounty.gov/assessor/cama/?command=sales&amp;parid=08674107","3864827")</f>
        <v>3864827</v>
      </c>
      <c r="H3915" t="s">
        <v>5273</v>
      </c>
      <c r="I3915">
        <v>1958</v>
      </c>
      <c r="J3915">
        <v>1958</v>
      </c>
      <c r="K3915" t="s">
        <v>4554</v>
      </c>
      <c r="L3915" t="s">
        <v>4555</v>
      </c>
      <c r="M3915" s="2">
        <v>1192</v>
      </c>
      <c r="N3915" t="s">
        <v>4556</v>
      </c>
      <c r="O3915">
        <v>3</v>
      </c>
      <c r="P3915">
        <v>1</v>
      </c>
      <c r="Q3915">
        <v>0</v>
      </c>
      <c r="R3915" t="s">
        <v>4557</v>
      </c>
      <c r="S3915" t="s">
        <v>4574</v>
      </c>
      <c r="T3915" t="s">
        <v>4559</v>
      </c>
      <c r="U3915" t="s">
        <v>4655</v>
      </c>
      <c r="V3915" s="2">
        <v>0</v>
      </c>
      <c r="W3915" t="s">
        <v>4655</v>
      </c>
      <c r="X3915" s="2">
        <v>0</v>
      </c>
      <c r="Y3915">
        <v>20</v>
      </c>
      <c r="Z3915" t="s">
        <v>365</v>
      </c>
      <c r="AA3915" s="3">
        <v>0.12899449467658999</v>
      </c>
      <c r="AB3915" t="s">
        <v>21201</v>
      </c>
      <c r="AC3915" t="s">
        <v>4562</v>
      </c>
      <c r="AD3915" t="s">
        <v>21202</v>
      </c>
      <c r="AE3915" t="s">
        <v>4655</v>
      </c>
      <c r="AF3915" t="s">
        <v>4563</v>
      </c>
      <c r="AG3915" t="s">
        <v>4564</v>
      </c>
      <c r="AH3915">
        <v>89509</v>
      </c>
      <c r="AI3915" t="s">
        <v>4531</v>
      </c>
      <c r="AJ3915" t="s">
        <v>4655</v>
      </c>
      <c r="AK3915" t="s">
        <v>21203</v>
      </c>
      <c r="AL3915" s="13" t="s">
        <v>1901</v>
      </c>
      <c r="AM3915" s="14">
        <v>1</v>
      </c>
      <c r="AN3915" s="15" t="s">
        <v>3155</v>
      </c>
    </row>
    <row r="3916" spans="1:40" x14ac:dyDescent="0.3">
      <c r="A3916" s="10" t="str">
        <f>HYPERLINK("http://www.washoecounty.gov/assessor/cama/?parid=086-741-12&amp;CardNumber=1","086-741-12")</f>
        <v>086-741-12</v>
      </c>
      <c r="B3916" t="s">
        <v>4655</v>
      </c>
      <c r="C3916" t="s">
        <v>4243</v>
      </c>
      <c r="D3916" s="1">
        <v>40520</v>
      </c>
      <c r="E3916" s="2">
        <v>17453</v>
      </c>
      <c r="F3916" t="s">
        <v>4553</v>
      </c>
      <c r="G3916" s="17" t="str">
        <f>HYPERLINK("https://www.washoecounty.gov/assessor/cama/?command=sales&amp;parid=08674112","3951034")</f>
        <v>3951034</v>
      </c>
      <c r="H3916" t="s">
        <v>4244</v>
      </c>
      <c r="I3916">
        <v>1958</v>
      </c>
      <c r="J3916">
        <v>1958</v>
      </c>
      <c r="K3916" t="s">
        <v>4897</v>
      </c>
      <c r="L3916" t="s">
        <v>4555</v>
      </c>
      <c r="M3916" s="2">
        <v>989</v>
      </c>
      <c r="N3916" t="s">
        <v>4556</v>
      </c>
      <c r="O3916">
        <v>2</v>
      </c>
      <c r="P3916">
        <v>1</v>
      </c>
      <c r="Q3916">
        <v>0</v>
      </c>
      <c r="R3916" t="s">
        <v>4557</v>
      </c>
      <c r="S3916" t="s">
        <v>4574</v>
      </c>
      <c r="T3916" t="s">
        <v>4559</v>
      </c>
      <c r="U3916" t="s">
        <v>4655</v>
      </c>
      <c r="V3916" s="2">
        <v>0</v>
      </c>
      <c r="W3916" t="s">
        <v>4655</v>
      </c>
      <c r="X3916" s="2">
        <v>0</v>
      </c>
      <c r="Y3916">
        <v>20</v>
      </c>
      <c r="Z3916" t="s">
        <v>365</v>
      </c>
      <c r="AA3916" s="3">
        <v>0.135009184479713</v>
      </c>
      <c r="AB3916" t="s">
        <v>658</v>
      </c>
      <c r="AC3916" t="s">
        <v>4562</v>
      </c>
      <c r="AD3916" t="s">
        <v>659</v>
      </c>
      <c r="AE3916" t="s">
        <v>4655</v>
      </c>
      <c r="AF3916" t="s">
        <v>4563</v>
      </c>
      <c r="AG3916" t="s">
        <v>4564</v>
      </c>
      <c r="AH3916">
        <v>89506</v>
      </c>
      <c r="AI3916" t="s">
        <v>4655</v>
      </c>
      <c r="AJ3916" t="s">
        <v>4655</v>
      </c>
      <c r="AK3916" t="s">
        <v>4245</v>
      </c>
      <c r="AL3916" s="13" t="s">
        <v>1901</v>
      </c>
      <c r="AM3916">
        <v>1</v>
      </c>
      <c r="AN3916" s="15" t="s">
        <v>5274</v>
      </c>
    </row>
    <row r="3917" spans="1:40" x14ac:dyDescent="0.3">
      <c r="A3917" s="10" t="str">
        <f>HYPERLINK("http://www.washoecounty.gov/assessor/cama/?parid=086-742-06&amp;CardNumber=1","086-742-06")</f>
        <v>086-742-06</v>
      </c>
      <c r="B3917" t="s">
        <v>4655</v>
      </c>
      <c r="C3917" t="s">
        <v>21204</v>
      </c>
      <c r="D3917" s="1">
        <v>40389</v>
      </c>
      <c r="E3917" s="2">
        <v>30100</v>
      </c>
      <c r="F3917" t="s">
        <v>4553</v>
      </c>
      <c r="G3917" s="17" t="str">
        <f>HYPERLINK("https://www.washoecounty.gov/assessor/cama/?command=sales&amp;parid=08674206","3907122")</f>
        <v>3907122</v>
      </c>
      <c r="H3917" t="s">
        <v>21205</v>
      </c>
      <c r="I3917">
        <v>1999</v>
      </c>
      <c r="J3917">
        <v>1999</v>
      </c>
      <c r="K3917" t="s">
        <v>4554</v>
      </c>
      <c r="L3917" t="s">
        <v>4555</v>
      </c>
      <c r="M3917" s="2">
        <v>1040</v>
      </c>
      <c r="N3917" t="s">
        <v>4556</v>
      </c>
      <c r="O3917">
        <v>3</v>
      </c>
      <c r="P3917">
        <v>1</v>
      </c>
      <c r="Q3917">
        <v>1</v>
      </c>
      <c r="R3917" t="s">
        <v>4557</v>
      </c>
      <c r="S3917" t="s">
        <v>4558</v>
      </c>
      <c r="T3917" t="s">
        <v>4559</v>
      </c>
      <c r="U3917" t="s">
        <v>4560</v>
      </c>
      <c r="V3917" s="2">
        <v>286</v>
      </c>
      <c r="W3917" t="s">
        <v>4655</v>
      </c>
      <c r="X3917" s="2">
        <v>0</v>
      </c>
      <c r="Y3917">
        <v>20</v>
      </c>
      <c r="Z3917" t="s">
        <v>365</v>
      </c>
      <c r="AA3917" s="3">
        <v>0.15000000596046401</v>
      </c>
      <c r="AB3917" t="s">
        <v>21206</v>
      </c>
      <c r="AC3917" t="s">
        <v>4575</v>
      </c>
      <c r="AD3917" t="s">
        <v>21207</v>
      </c>
      <c r="AE3917" t="s">
        <v>4655</v>
      </c>
      <c r="AF3917" t="s">
        <v>4563</v>
      </c>
      <c r="AG3917" t="s">
        <v>4564</v>
      </c>
      <c r="AH3917">
        <v>89506</v>
      </c>
      <c r="AI3917" t="s">
        <v>5359</v>
      </c>
      <c r="AJ3917" t="s">
        <v>4655</v>
      </c>
      <c r="AK3917" t="s">
        <v>21208</v>
      </c>
      <c r="AL3917" s="13" t="s">
        <v>1901</v>
      </c>
      <c r="AM3917">
        <v>1</v>
      </c>
      <c r="AN3917" s="15" t="s">
        <v>3155</v>
      </c>
    </row>
    <row r="3918" spans="1:40" x14ac:dyDescent="0.3">
      <c r="A3918" s="10" t="str">
        <f>HYPERLINK("http://www.washoecounty.gov/assessor/cama/?parid=086-742-06&amp;CardNumber=1","086-742-06")</f>
        <v>086-742-06</v>
      </c>
      <c r="B3918" t="s">
        <v>4655</v>
      </c>
      <c r="C3918" t="s">
        <v>21204</v>
      </c>
      <c r="D3918" s="1">
        <v>40466</v>
      </c>
      <c r="E3918" s="2">
        <v>76000</v>
      </c>
      <c r="F3918" t="s">
        <v>4567</v>
      </c>
      <c r="G3918" s="17" t="str">
        <f>HYPERLINK("https://www.washoecounty.gov/assessor/cama/?command=sales&amp;parid=08674206","3633647")</f>
        <v>3633647</v>
      </c>
      <c r="H3918" t="s">
        <v>21205</v>
      </c>
      <c r="I3918">
        <v>1999</v>
      </c>
      <c r="J3918">
        <v>1999</v>
      </c>
      <c r="K3918" t="s">
        <v>4554</v>
      </c>
      <c r="L3918" t="s">
        <v>4555</v>
      </c>
      <c r="M3918" s="2">
        <v>1040</v>
      </c>
      <c r="N3918" t="s">
        <v>4556</v>
      </c>
      <c r="O3918">
        <v>3</v>
      </c>
      <c r="P3918">
        <v>1</v>
      </c>
      <c r="Q3918">
        <v>1</v>
      </c>
      <c r="R3918" t="s">
        <v>4557</v>
      </c>
      <c r="S3918" t="s">
        <v>4558</v>
      </c>
      <c r="T3918" t="s">
        <v>4559</v>
      </c>
      <c r="U3918" t="s">
        <v>4560</v>
      </c>
      <c r="V3918" s="2">
        <v>286</v>
      </c>
      <c r="W3918" t="s">
        <v>4655</v>
      </c>
      <c r="X3918" s="2">
        <v>0</v>
      </c>
      <c r="Y3918">
        <v>20</v>
      </c>
      <c r="Z3918" t="s">
        <v>365</v>
      </c>
      <c r="AA3918" s="3">
        <v>0.15000000596046401</v>
      </c>
      <c r="AB3918" t="s">
        <v>21206</v>
      </c>
      <c r="AC3918" t="s">
        <v>4575</v>
      </c>
      <c r="AD3918" t="s">
        <v>21207</v>
      </c>
      <c r="AE3918" t="s">
        <v>4655</v>
      </c>
      <c r="AF3918" t="s">
        <v>4563</v>
      </c>
      <c r="AG3918" t="s">
        <v>4564</v>
      </c>
      <c r="AH3918">
        <v>89506</v>
      </c>
      <c r="AI3918" t="s">
        <v>5359</v>
      </c>
      <c r="AJ3918" t="s">
        <v>4655</v>
      </c>
      <c r="AK3918" t="s">
        <v>21208</v>
      </c>
      <c r="AL3918" s="13" t="s">
        <v>1901</v>
      </c>
      <c r="AM3918" s="14">
        <v>1</v>
      </c>
      <c r="AN3918" s="15" t="s">
        <v>3155</v>
      </c>
    </row>
    <row r="3919" spans="1:40" x14ac:dyDescent="0.3">
      <c r="A3919" s="10" t="str">
        <f>HYPERLINK("http://www.washoecounty.gov/assessor/cama/?parid=086-743-06&amp;CardNumber=1","086-743-06")</f>
        <v>086-743-06</v>
      </c>
      <c r="B3919" t="s">
        <v>4655</v>
      </c>
      <c r="C3919" t="s">
        <v>21209</v>
      </c>
      <c r="D3919" s="1">
        <v>40317</v>
      </c>
      <c r="E3919" s="2">
        <v>36000</v>
      </c>
      <c r="F3919" t="s">
        <v>4553</v>
      </c>
      <c r="G3919" s="17" t="str">
        <f>HYPERLINK("https://www.washoecounty.gov/assessor/cama/?command=sales&amp;parid=08674306","3882853")</f>
        <v>3882853</v>
      </c>
      <c r="H3919" t="s">
        <v>5273</v>
      </c>
      <c r="I3919">
        <v>1958</v>
      </c>
      <c r="J3919">
        <v>1958</v>
      </c>
      <c r="K3919" t="s">
        <v>4897</v>
      </c>
      <c r="L3919" t="s">
        <v>4555</v>
      </c>
      <c r="M3919" s="2">
        <v>988</v>
      </c>
      <c r="N3919" t="s">
        <v>4556</v>
      </c>
      <c r="O3919">
        <v>2</v>
      </c>
      <c r="P3919">
        <v>1</v>
      </c>
      <c r="Q3919">
        <v>0</v>
      </c>
      <c r="R3919" t="s">
        <v>4557</v>
      </c>
      <c r="S3919" t="s">
        <v>4574</v>
      </c>
      <c r="T3919" t="s">
        <v>4559</v>
      </c>
      <c r="U3919" t="s">
        <v>4655</v>
      </c>
      <c r="V3919" s="2">
        <v>0</v>
      </c>
      <c r="W3919" t="s">
        <v>4655</v>
      </c>
      <c r="X3919" s="2">
        <v>0</v>
      </c>
      <c r="Y3919">
        <v>20</v>
      </c>
      <c r="Z3919" t="s">
        <v>365</v>
      </c>
      <c r="AA3919" s="3">
        <v>0.21099632978439301</v>
      </c>
      <c r="AB3919" t="s">
        <v>1106</v>
      </c>
      <c r="AC3919" t="s">
        <v>4562</v>
      </c>
      <c r="AD3919" t="s">
        <v>1107</v>
      </c>
      <c r="AE3919" t="s">
        <v>4655</v>
      </c>
      <c r="AF3919" t="s">
        <v>4563</v>
      </c>
      <c r="AG3919" t="s">
        <v>4564</v>
      </c>
      <c r="AH3919" t="s">
        <v>1147</v>
      </c>
      <c r="AI3919" t="s">
        <v>4565</v>
      </c>
      <c r="AJ3919" t="s">
        <v>4655</v>
      </c>
      <c r="AK3919" t="s">
        <v>21210</v>
      </c>
      <c r="AL3919" s="13" t="s">
        <v>1901</v>
      </c>
      <c r="AM3919">
        <v>1</v>
      </c>
      <c r="AN3919" s="15" t="s">
        <v>5274</v>
      </c>
    </row>
    <row r="3920" spans="1:40" x14ac:dyDescent="0.3">
      <c r="A3920" s="10" t="str">
        <f>HYPERLINK("http://www.washoecounty.gov/assessor/cama/?parid=086-743-19&amp;CardNumber=1","086-743-19")</f>
        <v>086-743-19</v>
      </c>
      <c r="B3920" t="s">
        <v>4655</v>
      </c>
      <c r="C3920" t="s">
        <v>21211</v>
      </c>
      <c r="D3920" s="1">
        <v>40466</v>
      </c>
      <c r="E3920" s="2">
        <v>41000</v>
      </c>
      <c r="F3920" t="s">
        <v>4567</v>
      </c>
      <c r="G3920" s="17" t="str">
        <f>HYPERLINK("https://www.washoecounty.gov/assessor/cama/?command=sales&amp;parid=08674319","3933521")</f>
        <v>3933521</v>
      </c>
      <c r="H3920" t="s">
        <v>5273</v>
      </c>
      <c r="I3920">
        <v>1958</v>
      </c>
      <c r="J3920">
        <v>1958</v>
      </c>
      <c r="K3920" t="s">
        <v>4897</v>
      </c>
      <c r="L3920" t="s">
        <v>4555</v>
      </c>
      <c r="M3920" s="2">
        <v>1192</v>
      </c>
      <c r="N3920" t="s">
        <v>4556</v>
      </c>
      <c r="O3920">
        <v>3</v>
      </c>
      <c r="P3920">
        <v>1</v>
      </c>
      <c r="Q3920">
        <v>0</v>
      </c>
      <c r="R3920" t="s">
        <v>4557</v>
      </c>
      <c r="S3920" t="s">
        <v>4574</v>
      </c>
      <c r="T3920" t="s">
        <v>4559</v>
      </c>
      <c r="U3920" t="s">
        <v>4655</v>
      </c>
      <c r="V3920" s="2">
        <v>0</v>
      </c>
      <c r="W3920" t="s">
        <v>4655</v>
      </c>
      <c r="X3920" s="2">
        <v>0</v>
      </c>
      <c r="Y3920">
        <v>20</v>
      </c>
      <c r="Z3920" t="s">
        <v>365</v>
      </c>
      <c r="AA3920" s="3">
        <v>0.207988977432251</v>
      </c>
      <c r="AB3920" t="s">
        <v>1106</v>
      </c>
      <c r="AC3920" t="s">
        <v>4562</v>
      </c>
      <c r="AD3920" t="s">
        <v>1107</v>
      </c>
      <c r="AE3920" t="s">
        <v>4655</v>
      </c>
      <c r="AF3920" t="s">
        <v>4563</v>
      </c>
      <c r="AG3920" t="s">
        <v>4564</v>
      </c>
      <c r="AH3920" t="s">
        <v>1147</v>
      </c>
      <c r="AI3920" t="s">
        <v>21212</v>
      </c>
      <c r="AJ3920" t="s">
        <v>4655</v>
      </c>
      <c r="AK3920" t="s">
        <v>21213</v>
      </c>
      <c r="AL3920" s="13" t="s">
        <v>1901</v>
      </c>
      <c r="AM3920">
        <v>1</v>
      </c>
      <c r="AN3920" s="15" t="s">
        <v>5274</v>
      </c>
    </row>
    <row r="3921" spans="1:40" x14ac:dyDescent="0.3">
      <c r="A3921" s="10" t="str">
        <f>HYPERLINK("http://www.washoecounty.gov/assessor/cama/?parid=086-743-20&amp;CardNumber=1","086-743-20")</f>
        <v>086-743-20</v>
      </c>
      <c r="B3921" t="s">
        <v>4655</v>
      </c>
      <c r="C3921" t="s">
        <v>21214</v>
      </c>
      <c r="D3921" s="1">
        <v>40235</v>
      </c>
      <c r="E3921" s="2">
        <v>35000</v>
      </c>
      <c r="F3921" t="s">
        <v>4567</v>
      </c>
      <c r="G3921" s="17" t="str">
        <f>HYPERLINK("https://www.washoecounty.gov/assessor/cama/?command=sales&amp;parid=08674320","3852986")</f>
        <v>3852986</v>
      </c>
      <c r="H3921" t="s">
        <v>5273</v>
      </c>
      <c r="I3921">
        <v>1958</v>
      </c>
      <c r="J3921">
        <v>1958</v>
      </c>
      <c r="K3921" t="s">
        <v>4897</v>
      </c>
      <c r="L3921" t="s">
        <v>4555</v>
      </c>
      <c r="M3921" s="2">
        <v>1192</v>
      </c>
      <c r="N3921" t="s">
        <v>4556</v>
      </c>
      <c r="O3921">
        <v>3</v>
      </c>
      <c r="P3921">
        <v>1</v>
      </c>
      <c r="Q3921">
        <v>0</v>
      </c>
      <c r="R3921" t="s">
        <v>4557</v>
      </c>
      <c r="S3921" t="s">
        <v>4574</v>
      </c>
      <c r="T3921" t="s">
        <v>4559</v>
      </c>
      <c r="U3921" t="s">
        <v>4655</v>
      </c>
      <c r="V3921" s="2">
        <v>0</v>
      </c>
      <c r="W3921" t="s">
        <v>4655</v>
      </c>
      <c r="X3921" s="2">
        <v>0</v>
      </c>
      <c r="Y3921">
        <v>20</v>
      </c>
      <c r="Z3921" t="s">
        <v>365</v>
      </c>
      <c r="AA3921" s="3">
        <v>0.18799357116222401</v>
      </c>
      <c r="AB3921" t="s">
        <v>1106</v>
      </c>
      <c r="AC3921" t="s">
        <v>4562</v>
      </c>
      <c r="AD3921" t="s">
        <v>21215</v>
      </c>
      <c r="AE3921" t="s">
        <v>4655</v>
      </c>
      <c r="AF3921" t="s">
        <v>4563</v>
      </c>
      <c r="AG3921" t="s">
        <v>4564</v>
      </c>
      <c r="AH3921" t="s">
        <v>1147</v>
      </c>
      <c r="AI3921" t="s">
        <v>21216</v>
      </c>
      <c r="AJ3921" t="s">
        <v>4655</v>
      </c>
      <c r="AK3921" t="s">
        <v>21217</v>
      </c>
      <c r="AL3921" s="13" t="s">
        <v>1901</v>
      </c>
      <c r="AM3921">
        <v>1</v>
      </c>
      <c r="AN3921" s="15" t="s">
        <v>5274</v>
      </c>
    </row>
    <row r="3922" spans="1:40" x14ac:dyDescent="0.3">
      <c r="A3922" s="10" t="str">
        <f>HYPERLINK("http://www.washoecounty.gov/assessor/cama/?parid=086-744-10&amp;CardNumber=1","086-744-10")</f>
        <v>086-744-10</v>
      </c>
      <c r="B3922" t="s">
        <v>4655</v>
      </c>
      <c r="C3922" t="s">
        <v>21218</v>
      </c>
      <c r="D3922" s="1">
        <v>40541</v>
      </c>
      <c r="E3922" s="2">
        <v>40000</v>
      </c>
      <c r="F3922" t="s">
        <v>4553</v>
      </c>
      <c r="G3922" s="17" t="str">
        <f>HYPERLINK("https://www.washoecounty.gov/assessor/cama/?command=sales&amp;parid=08674410","3958535")</f>
        <v>3958535</v>
      </c>
      <c r="H3922" t="s">
        <v>5273</v>
      </c>
      <c r="I3922">
        <v>1958</v>
      </c>
      <c r="J3922">
        <v>1962</v>
      </c>
      <c r="K3922" t="s">
        <v>4897</v>
      </c>
      <c r="L3922" t="s">
        <v>4555</v>
      </c>
      <c r="M3922" s="2">
        <v>1192</v>
      </c>
      <c r="N3922" t="s">
        <v>4556</v>
      </c>
      <c r="O3922">
        <v>3</v>
      </c>
      <c r="P3922">
        <v>1</v>
      </c>
      <c r="Q3922">
        <v>0</v>
      </c>
      <c r="R3922" t="s">
        <v>4557</v>
      </c>
      <c r="S3922" t="s">
        <v>4574</v>
      </c>
      <c r="T3922" t="s">
        <v>4559</v>
      </c>
      <c r="U3922" t="s">
        <v>4655</v>
      </c>
      <c r="V3922" s="2">
        <v>0</v>
      </c>
      <c r="W3922" t="s">
        <v>4655</v>
      </c>
      <c r="X3922" s="2">
        <v>0</v>
      </c>
      <c r="Y3922">
        <v>20</v>
      </c>
      <c r="Z3922" t="s">
        <v>365</v>
      </c>
      <c r="AA3922" s="3">
        <v>0.20000000298023199</v>
      </c>
      <c r="AB3922" t="s">
        <v>21219</v>
      </c>
      <c r="AC3922" t="s">
        <v>4562</v>
      </c>
      <c r="AD3922" t="s">
        <v>21220</v>
      </c>
      <c r="AE3922" t="s">
        <v>4655</v>
      </c>
      <c r="AF3922" t="s">
        <v>4563</v>
      </c>
      <c r="AG3922" t="s">
        <v>4564</v>
      </c>
      <c r="AH3922">
        <v>89506</v>
      </c>
      <c r="AI3922" t="s">
        <v>4903</v>
      </c>
      <c r="AJ3922" t="s">
        <v>4655</v>
      </c>
      <c r="AK3922" t="s">
        <v>21221</v>
      </c>
      <c r="AL3922" s="13" t="s">
        <v>1901</v>
      </c>
      <c r="AM3922">
        <v>1</v>
      </c>
      <c r="AN3922" s="15" t="s">
        <v>5274</v>
      </c>
    </row>
    <row r="3923" spans="1:40" x14ac:dyDescent="0.3">
      <c r="A3923" s="10" t="str">
        <f>HYPERLINK("http://www.washoecounty.gov/assessor/cama/?parid=086-744-11&amp;CardNumber=1","086-744-11")</f>
        <v>086-744-11</v>
      </c>
      <c r="B3923" t="s">
        <v>4655</v>
      </c>
      <c r="C3923" t="s">
        <v>21222</v>
      </c>
      <c r="D3923" s="1">
        <v>40437</v>
      </c>
      <c r="E3923" s="2">
        <v>42500</v>
      </c>
      <c r="F3923" t="s">
        <v>4567</v>
      </c>
      <c r="G3923" s="17" t="str">
        <f>HYPERLINK("https://www.washoecounty.gov/assessor/cama/?command=sales&amp;parid=08674411","3923152")</f>
        <v>3923152</v>
      </c>
      <c r="H3923" t="s">
        <v>5273</v>
      </c>
      <c r="I3923">
        <v>1958</v>
      </c>
      <c r="J3923">
        <v>1958</v>
      </c>
      <c r="K3923" t="s">
        <v>4897</v>
      </c>
      <c r="L3923" t="s">
        <v>4555</v>
      </c>
      <c r="M3923" s="2">
        <v>1192</v>
      </c>
      <c r="N3923" t="s">
        <v>4556</v>
      </c>
      <c r="O3923">
        <v>3</v>
      </c>
      <c r="P3923">
        <v>1</v>
      </c>
      <c r="Q3923">
        <v>0</v>
      </c>
      <c r="R3923" t="s">
        <v>4557</v>
      </c>
      <c r="S3923" t="s">
        <v>4574</v>
      </c>
      <c r="T3923" t="s">
        <v>4559</v>
      </c>
      <c r="U3923" t="s">
        <v>4655</v>
      </c>
      <c r="V3923" s="2">
        <v>0</v>
      </c>
      <c r="W3923" t="s">
        <v>4655</v>
      </c>
      <c r="X3923" s="2">
        <v>0</v>
      </c>
      <c r="Y3923">
        <v>20</v>
      </c>
      <c r="Z3923" t="s">
        <v>365</v>
      </c>
      <c r="AA3923" s="3">
        <v>0.19100092351436601</v>
      </c>
      <c r="AB3923" t="s">
        <v>5462</v>
      </c>
      <c r="AC3923" t="s">
        <v>4562</v>
      </c>
      <c r="AD3923" t="s">
        <v>1107</v>
      </c>
      <c r="AE3923" t="s">
        <v>4655</v>
      </c>
      <c r="AF3923" t="s">
        <v>4563</v>
      </c>
      <c r="AG3923" t="s">
        <v>4564</v>
      </c>
      <c r="AH3923" t="s">
        <v>1147</v>
      </c>
      <c r="AI3923" t="s">
        <v>21223</v>
      </c>
      <c r="AJ3923" t="s">
        <v>4655</v>
      </c>
      <c r="AK3923" t="s">
        <v>21224</v>
      </c>
      <c r="AL3923" s="13" t="s">
        <v>1901</v>
      </c>
      <c r="AM3923">
        <v>1</v>
      </c>
      <c r="AN3923" s="15" t="s">
        <v>5274</v>
      </c>
    </row>
    <row r="3924" spans="1:40" x14ac:dyDescent="0.3">
      <c r="A3924" s="10" t="str">
        <f>HYPERLINK("http://www.washoecounty.gov/assessor/cama/?parid=086-747-02&amp;CardNumber=1","086-747-02")</f>
        <v>086-747-02</v>
      </c>
      <c r="B3924" t="s">
        <v>4655</v>
      </c>
      <c r="C3924" t="s">
        <v>21225</v>
      </c>
      <c r="D3924" s="1">
        <v>40326</v>
      </c>
      <c r="E3924" s="2">
        <v>55000</v>
      </c>
      <c r="F3924" t="s">
        <v>4567</v>
      </c>
      <c r="G3924" s="17" t="str">
        <f>HYPERLINK("https://www.washoecounty.gov/assessor/cama/?command=sales&amp;parid=08674702","3886394")</f>
        <v>3886394</v>
      </c>
      <c r="H3924" t="s">
        <v>5273</v>
      </c>
      <c r="I3924">
        <v>1958</v>
      </c>
      <c r="J3924">
        <v>1958</v>
      </c>
      <c r="K3924" t="s">
        <v>4554</v>
      </c>
      <c r="L3924" t="s">
        <v>4555</v>
      </c>
      <c r="M3924" s="2">
        <v>1394</v>
      </c>
      <c r="N3924" t="s">
        <v>4133</v>
      </c>
      <c r="O3924">
        <v>3</v>
      </c>
      <c r="P3924">
        <v>1</v>
      </c>
      <c r="Q3924">
        <v>0</v>
      </c>
      <c r="R3924" t="s">
        <v>4557</v>
      </c>
      <c r="S3924" t="s">
        <v>4574</v>
      </c>
      <c r="T3924" t="s">
        <v>4559</v>
      </c>
      <c r="U3924" t="s">
        <v>4560</v>
      </c>
      <c r="V3924" s="2">
        <v>371</v>
      </c>
      <c r="W3924" t="s">
        <v>4655</v>
      </c>
      <c r="X3924" s="2">
        <v>0</v>
      </c>
      <c r="Y3924">
        <v>20</v>
      </c>
      <c r="Z3924" t="s">
        <v>365</v>
      </c>
      <c r="AA3924" s="3">
        <v>0.26000916957855202</v>
      </c>
      <c r="AB3924" t="s">
        <v>21226</v>
      </c>
      <c r="AC3924" t="s">
        <v>4562</v>
      </c>
      <c r="AD3924" t="s">
        <v>21225</v>
      </c>
      <c r="AE3924" t="s">
        <v>4655</v>
      </c>
      <c r="AF3924" t="s">
        <v>4563</v>
      </c>
      <c r="AG3924" t="s">
        <v>4564</v>
      </c>
      <c r="AH3924">
        <v>89506</v>
      </c>
      <c r="AI3924" t="s">
        <v>21227</v>
      </c>
      <c r="AJ3924" t="s">
        <v>4655</v>
      </c>
      <c r="AK3924" t="s">
        <v>21228</v>
      </c>
      <c r="AL3924" s="13" t="s">
        <v>1901</v>
      </c>
      <c r="AM3924">
        <v>1</v>
      </c>
      <c r="AN3924" s="15" t="s">
        <v>3155</v>
      </c>
    </row>
    <row r="3925" spans="1:40" x14ac:dyDescent="0.3">
      <c r="A3925" s="10" t="str">
        <f>HYPERLINK("http://www.washoecounty.gov/assessor/cama/?parid=086-748-08&amp;CardNumber=1","086-748-08")</f>
        <v>086-748-08</v>
      </c>
      <c r="B3925" t="s">
        <v>4655</v>
      </c>
      <c r="C3925" t="s">
        <v>21229</v>
      </c>
      <c r="D3925" s="1">
        <v>40501</v>
      </c>
      <c r="E3925" s="2">
        <v>65000</v>
      </c>
      <c r="F3925" t="s">
        <v>4567</v>
      </c>
      <c r="G3925" s="17" t="str">
        <f>HYPERLINK("https://www.washoecounty.gov/assessor/cama/?command=sales&amp;parid=08674808","3945262")</f>
        <v>3945262</v>
      </c>
      <c r="H3925" t="s">
        <v>5273</v>
      </c>
      <c r="I3925">
        <v>1958</v>
      </c>
      <c r="J3925">
        <v>1958</v>
      </c>
      <c r="K3925" t="s">
        <v>4897</v>
      </c>
      <c r="L3925" t="s">
        <v>4555</v>
      </c>
      <c r="M3925" s="2">
        <v>1187</v>
      </c>
      <c r="N3925" t="s">
        <v>4556</v>
      </c>
      <c r="O3925">
        <v>3</v>
      </c>
      <c r="P3925">
        <v>1</v>
      </c>
      <c r="Q3925">
        <v>0</v>
      </c>
      <c r="R3925" t="s">
        <v>4557</v>
      </c>
      <c r="S3925" t="s">
        <v>4574</v>
      </c>
      <c r="T3925" t="s">
        <v>1101</v>
      </c>
      <c r="U3925" t="s">
        <v>4655</v>
      </c>
      <c r="V3925" s="2">
        <v>0</v>
      </c>
      <c r="W3925" t="s">
        <v>4655</v>
      </c>
      <c r="X3925" s="2">
        <v>0</v>
      </c>
      <c r="Y3925">
        <v>20</v>
      </c>
      <c r="Z3925" t="s">
        <v>365</v>
      </c>
      <c r="AA3925" s="3">
        <v>0.13200183212757099</v>
      </c>
      <c r="AB3925" t="s">
        <v>21230</v>
      </c>
      <c r="AC3925" t="s">
        <v>4562</v>
      </c>
      <c r="AD3925" t="s">
        <v>21231</v>
      </c>
      <c r="AE3925" t="s">
        <v>4655</v>
      </c>
      <c r="AF3925" t="s">
        <v>5123</v>
      </c>
      <c r="AG3925" t="s">
        <v>4564</v>
      </c>
      <c r="AH3925">
        <v>89506</v>
      </c>
      <c r="AI3925" t="s">
        <v>21232</v>
      </c>
      <c r="AJ3925" t="s">
        <v>4655</v>
      </c>
      <c r="AK3925" t="s">
        <v>21233</v>
      </c>
      <c r="AL3925" s="13" t="s">
        <v>1901</v>
      </c>
      <c r="AM3925">
        <v>1</v>
      </c>
      <c r="AN3925" s="15" t="s">
        <v>5274</v>
      </c>
    </row>
    <row r="3926" spans="1:40" x14ac:dyDescent="0.3">
      <c r="A3926" s="10" t="str">
        <f>HYPERLINK("http://www.washoecounty.gov/assessor/cama/?parid=086-751-06&amp;CardNumber=1","086-751-06")</f>
        <v>086-751-06</v>
      </c>
      <c r="B3926" t="s">
        <v>4655</v>
      </c>
      <c r="C3926" t="s">
        <v>21234</v>
      </c>
      <c r="D3926" s="1">
        <v>40464</v>
      </c>
      <c r="E3926" s="2">
        <v>41000</v>
      </c>
      <c r="F3926" t="s">
        <v>4553</v>
      </c>
      <c r="G3926" s="17" t="str">
        <f>HYPERLINK("https://www.washoecounty.gov/assessor/cama/?command=sales&amp;parid=08675106","3932582")</f>
        <v>3932582</v>
      </c>
      <c r="H3926" t="s">
        <v>1292</v>
      </c>
      <c r="I3926">
        <v>1958</v>
      </c>
      <c r="J3926">
        <v>1958</v>
      </c>
      <c r="K3926" t="s">
        <v>4897</v>
      </c>
      <c r="L3926" t="s">
        <v>4555</v>
      </c>
      <c r="M3926" s="2">
        <v>1189</v>
      </c>
      <c r="N3926" t="s">
        <v>4556</v>
      </c>
      <c r="O3926">
        <v>3</v>
      </c>
      <c r="P3926">
        <v>1</v>
      </c>
      <c r="Q3926">
        <v>0</v>
      </c>
      <c r="R3926" t="s">
        <v>5281</v>
      </c>
      <c r="S3926" t="s">
        <v>4574</v>
      </c>
      <c r="T3926" t="s">
        <v>4559</v>
      </c>
      <c r="U3926" t="s">
        <v>4655</v>
      </c>
      <c r="V3926" s="2">
        <v>0</v>
      </c>
      <c r="W3926" t="s">
        <v>4655</v>
      </c>
      <c r="X3926" s="2">
        <v>0</v>
      </c>
      <c r="Y3926">
        <v>20</v>
      </c>
      <c r="Z3926" t="s">
        <v>365</v>
      </c>
      <c r="AA3926" s="3">
        <v>0.15399448573589325</v>
      </c>
      <c r="AB3926" t="s">
        <v>5462</v>
      </c>
      <c r="AC3926" t="s">
        <v>4562</v>
      </c>
      <c r="AD3926" t="s">
        <v>1107</v>
      </c>
      <c r="AE3926" t="s">
        <v>4655</v>
      </c>
      <c r="AF3926" t="s">
        <v>4563</v>
      </c>
      <c r="AG3926" t="s">
        <v>4564</v>
      </c>
      <c r="AH3926" t="s">
        <v>1147</v>
      </c>
      <c r="AI3926" t="s">
        <v>4565</v>
      </c>
      <c r="AJ3926" t="s">
        <v>4655</v>
      </c>
      <c r="AK3926" t="s">
        <v>21235</v>
      </c>
      <c r="AL3926" s="13" t="s">
        <v>1901</v>
      </c>
      <c r="AM3926">
        <v>1</v>
      </c>
      <c r="AN3926" s="15" t="s">
        <v>5274</v>
      </c>
    </row>
    <row r="3927" spans="1:40" x14ac:dyDescent="0.3">
      <c r="A3927" s="10" t="str">
        <f>HYPERLINK("http://www.washoecounty.gov/assessor/cama/?parid=086-751-12&amp;CardNumber=1","086-751-12")</f>
        <v>086-751-12</v>
      </c>
      <c r="B3927" t="s">
        <v>4655</v>
      </c>
      <c r="C3927" t="s">
        <v>21236</v>
      </c>
      <c r="D3927" s="1">
        <v>40345</v>
      </c>
      <c r="E3927" s="2">
        <v>60000</v>
      </c>
      <c r="F3927" t="s">
        <v>4553</v>
      </c>
      <c r="G3927" s="17" t="str">
        <f>HYPERLINK("https://www.washoecounty.gov/assessor/cama/?command=sales&amp;parid=08675112","3892447")</f>
        <v>3892447</v>
      </c>
      <c r="H3927" t="s">
        <v>5273</v>
      </c>
      <c r="I3927">
        <v>1958</v>
      </c>
      <c r="J3927">
        <v>1958</v>
      </c>
      <c r="K3927" t="s">
        <v>4897</v>
      </c>
      <c r="L3927" t="s">
        <v>4555</v>
      </c>
      <c r="M3927" s="2">
        <v>1189</v>
      </c>
      <c r="N3927" t="s">
        <v>4556</v>
      </c>
      <c r="O3927">
        <v>3</v>
      </c>
      <c r="P3927">
        <v>1</v>
      </c>
      <c r="Q3927">
        <v>0</v>
      </c>
      <c r="R3927" t="s">
        <v>4557</v>
      </c>
      <c r="S3927" t="s">
        <v>4574</v>
      </c>
      <c r="T3927" t="s">
        <v>4559</v>
      </c>
      <c r="U3927" t="s">
        <v>4655</v>
      </c>
      <c r="V3927" s="2">
        <v>0</v>
      </c>
      <c r="W3927" t="s">
        <v>4655</v>
      </c>
      <c r="X3927" s="2">
        <v>0</v>
      </c>
      <c r="Y3927">
        <v>20</v>
      </c>
      <c r="Z3927" t="s">
        <v>365</v>
      </c>
      <c r="AA3927" s="3">
        <v>0.114003673195839</v>
      </c>
      <c r="AB3927" t="s">
        <v>21237</v>
      </c>
      <c r="AC3927" t="s">
        <v>4562</v>
      </c>
      <c r="AD3927" t="s">
        <v>21238</v>
      </c>
      <c r="AE3927" t="s">
        <v>4655</v>
      </c>
      <c r="AF3927" t="s">
        <v>4563</v>
      </c>
      <c r="AG3927" t="s">
        <v>4564</v>
      </c>
      <c r="AH3927">
        <v>89506</v>
      </c>
      <c r="AI3927" t="s">
        <v>4655</v>
      </c>
      <c r="AJ3927" t="s">
        <v>4655</v>
      </c>
      <c r="AK3927" t="s">
        <v>21239</v>
      </c>
      <c r="AL3927" s="13" t="s">
        <v>1901</v>
      </c>
      <c r="AM3927">
        <v>1</v>
      </c>
      <c r="AN3927" s="15" t="s">
        <v>5274</v>
      </c>
    </row>
    <row r="3928" spans="1:40" x14ac:dyDescent="0.3">
      <c r="A3928" s="10" t="str">
        <f>HYPERLINK("http://www.washoecounty.gov/assessor/cama/?parid=086-753-04&amp;CardNumber=1","086-753-04")</f>
        <v>086-753-04</v>
      </c>
      <c r="B3928" t="s">
        <v>4655</v>
      </c>
      <c r="C3928" t="s">
        <v>21240</v>
      </c>
      <c r="D3928" s="1">
        <v>40344</v>
      </c>
      <c r="E3928" s="2">
        <v>74000</v>
      </c>
      <c r="F3928" t="s">
        <v>4553</v>
      </c>
      <c r="G3928" s="17" t="str">
        <f>HYPERLINK("https://www.washoecounty.gov/assessor/cama/?command=sales&amp;parid=08675304","3892124")</f>
        <v>3892124</v>
      </c>
      <c r="H3928" t="s">
        <v>5273</v>
      </c>
      <c r="I3928">
        <v>1958</v>
      </c>
      <c r="J3928">
        <v>1958</v>
      </c>
      <c r="K3928" t="s">
        <v>4897</v>
      </c>
      <c r="L3928" t="s">
        <v>4555</v>
      </c>
      <c r="M3928" s="2">
        <v>1192</v>
      </c>
      <c r="N3928" t="s">
        <v>4556</v>
      </c>
      <c r="O3928">
        <v>3</v>
      </c>
      <c r="P3928">
        <v>1</v>
      </c>
      <c r="Q3928">
        <v>0</v>
      </c>
      <c r="R3928" t="s">
        <v>4557</v>
      </c>
      <c r="S3928" t="s">
        <v>4574</v>
      </c>
      <c r="T3928" t="s">
        <v>1101</v>
      </c>
      <c r="U3928" t="s">
        <v>4655</v>
      </c>
      <c r="V3928" s="2">
        <v>0</v>
      </c>
      <c r="W3928" t="s">
        <v>4655</v>
      </c>
      <c r="X3928" s="2">
        <v>0</v>
      </c>
      <c r="Y3928">
        <v>20</v>
      </c>
      <c r="Z3928" t="s">
        <v>365</v>
      </c>
      <c r="AA3928" s="3">
        <v>0.16499081254005399</v>
      </c>
      <c r="AB3928" t="s">
        <v>21241</v>
      </c>
      <c r="AC3928" t="s">
        <v>4562</v>
      </c>
      <c r="AD3928" t="s">
        <v>21242</v>
      </c>
      <c r="AE3928" t="s">
        <v>4655</v>
      </c>
      <c r="AF3928" t="s">
        <v>4563</v>
      </c>
      <c r="AG3928" t="s">
        <v>4564</v>
      </c>
      <c r="AH3928">
        <v>89506</v>
      </c>
      <c r="AI3928" t="s">
        <v>4655</v>
      </c>
      <c r="AJ3928" t="s">
        <v>4655</v>
      </c>
      <c r="AK3928" t="s">
        <v>21243</v>
      </c>
      <c r="AL3928" s="13" t="s">
        <v>1901</v>
      </c>
      <c r="AM3928">
        <v>1</v>
      </c>
      <c r="AN3928" s="15" t="s">
        <v>5274</v>
      </c>
    </row>
    <row r="3929" spans="1:40" x14ac:dyDescent="0.3">
      <c r="A3929" s="10" t="str">
        <f>HYPERLINK("http://www.washoecounty.gov/assessor/cama/?parid=086-754-05&amp;CardNumber=1","086-754-05")</f>
        <v>086-754-05</v>
      </c>
      <c r="B3929" t="s">
        <v>4655</v>
      </c>
      <c r="C3929" t="s">
        <v>21244</v>
      </c>
      <c r="D3929" s="1">
        <v>40389</v>
      </c>
      <c r="E3929" s="2">
        <v>48150</v>
      </c>
      <c r="F3929" t="s">
        <v>4553</v>
      </c>
      <c r="G3929" s="17" t="str">
        <f>HYPERLINK("https://www.washoecounty.gov/assessor/cama/?command=sales&amp;parid=08675405","3906854")</f>
        <v>3906854</v>
      </c>
      <c r="H3929" t="s">
        <v>5273</v>
      </c>
      <c r="I3929">
        <v>1958</v>
      </c>
      <c r="J3929">
        <v>1958</v>
      </c>
      <c r="K3929" t="s">
        <v>4897</v>
      </c>
      <c r="L3929" t="s">
        <v>4555</v>
      </c>
      <c r="M3929" s="2">
        <v>1189</v>
      </c>
      <c r="N3929" t="s">
        <v>4556</v>
      </c>
      <c r="O3929">
        <v>3</v>
      </c>
      <c r="P3929">
        <v>1</v>
      </c>
      <c r="Q3929">
        <v>0</v>
      </c>
      <c r="R3929" t="s">
        <v>4557</v>
      </c>
      <c r="S3929" t="s">
        <v>4574</v>
      </c>
      <c r="T3929" t="s">
        <v>4559</v>
      </c>
      <c r="U3929" t="s">
        <v>4655</v>
      </c>
      <c r="V3929" s="2">
        <v>0</v>
      </c>
      <c r="W3929" t="s">
        <v>4655</v>
      </c>
      <c r="X3929" s="2">
        <v>0</v>
      </c>
      <c r="Y3929">
        <v>20</v>
      </c>
      <c r="Z3929" t="s">
        <v>365</v>
      </c>
      <c r="AA3929" s="3">
        <v>0.17199265956878662</v>
      </c>
      <c r="AB3929" t="s">
        <v>21245</v>
      </c>
      <c r="AC3929" t="s">
        <v>4562</v>
      </c>
      <c r="AD3929" t="s">
        <v>21246</v>
      </c>
      <c r="AE3929" t="s">
        <v>4655</v>
      </c>
      <c r="AF3929" t="s">
        <v>3114</v>
      </c>
      <c r="AG3929" t="s">
        <v>4564</v>
      </c>
      <c r="AH3929">
        <v>89511</v>
      </c>
      <c r="AI3929" t="s">
        <v>4565</v>
      </c>
      <c r="AJ3929" t="s">
        <v>4655</v>
      </c>
      <c r="AK3929" t="s">
        <v>21247</v>
      </c>
      <c r="AL3929" s="13" t="s">
        <v>1901</v>
      </c>
      <c r="AM3929">
        <v>1</v>
      </c>
      <c r="AN3929" s="15" t="s">
        <v>5274</v>
      </c>
    </row>
    <row r="3930" spans="1:40" x14ac:dyDescent="0.3">
      <c r="A3930" s="10" t="str">
        <f>HYPERLINK("http://www.washoecounty.gov/assessor/cama/?parid=086-755-10&amp;CardNumber=1","086-755-10")</f>
        <v>086-755-10</v>
      </c>
      <c r="B3930" t="s">
        <v>4655</v>
      </c>
      <c r="C3930" t="s">
        <v>21248</v>
      </c>
      <c r="D3930" s="1">
        <v>40484</v>
      </c>
      <c r="E3930" s="2">
        <v>39000</v>
      </c>
      <c r="F3930" t="s">
        <v>4553</v>
      </c>
      <c r="G3930" s="17" t="str">
        <f>HYPERLINK("https://www.washoecounty.gov/assessor/cama/?command=sales&amp;parid=08675510","3938951")</f>
        <v>3938951</v>
      </c>
      <c r="H3930" t="s">
        <v>3408</v>
      </c>
      <c r="I3930">
        <v>1958</v>
      </c>
      <c r="J3930">
        <v>1958</v>
      </c>
      <c r="K3930" t="s">
        <v>4897</v>
      </c>
      <c r="L3930" t="s">
        <v>4555</v>
      </c>
      <c r="M3930" s="2">
        <v>1192</v>
      </c>
      <c r="N3930" t="s">
        <v>4556</v>
      </c>
      <c r="O3930">
        <v>3</v>
      </c>
      <c r="P3930">
        <v>1</v>
      </c>
      <c r="Q3930">
        <v>0</v>
      </c>
      <c r="R3930" t="s">
        <v>4557</v>
      </c>
      <c r="S3930" t="s">
        <v>4574</v>
      </c>
      <c r="T3930" t="s">
        <v>4559</v>
      </c>
      <c r="U3930" t="s">
        <v>4655</v>
      </c>
      <c r="V3930" s="2">
        <v>0</v>
      </c>
      <c r="W3930" t="s">
        <v>4655</v>
      </c>
      <c r="X3930" s="2">
        <v>0</v>
      </c>
      <c r="Y3930">
        <v>20</v>
      </c>
      <c r="Z3930" t="s">
        <v>365</v>
      </c>
      <c r="AA3930" s="3">
        <v>0.15300734341144601</v>
      </c>
      <c r="AB3930" t="s">
        <v>12667</v>
      </c>
      <c r="AC3930" t="s">
        <v>4562</v>
      </c>
      <c r="AD3930" t="s">
        <v>12668</v>
      </c>
      <c r="AE3930" t="s">
        <v>4655</v>
      </c>
      <c r="AF3930" t="s">
        <v>4656</v>
      </c>
      <c r="AG3930" t="s">
        <v>4657</v>
      </c>
      <c r="AH3930">
        <v>65802</v>
      </c>
      <c r="AI3930" t="s">
        <v>1149</v>
      </c>
      <c r="AJ3930" t="s">
        <v>4655</v>
      </c>
      <c r="AK3930" t="s">
        <v>21249</v>
      </c>
      <c r="AL3930" s="13" t="s">
        <v>1901</v>
      </c>
      <c r="AM3930">
        <v>1</v>
      </c>
      <c r="AN3930" s="15" t="s">
        <v>5274</v>
      </c>
    </row>
    <row r="3931" spans="1:40" x14ac:dyDescent="0.3">
      <c r="A3931" s="10" t="str">
        <f>HYPERLINK("http://www.washoecounty.gov/assessor/cama/?parid=086-762-12&amp;CardNumber=1","086-762-12")</f>
        <v>086-762-12</v>
      </c>
      <c r="B3931" t="s">
        <v>4655</v>
      </c>
      <c r="C3931" t="s">
        <v>21250</v>
      </c>
      <c r="D3931" s="1">
        <v>40513</v>
      </c>
      <c r="E3931" s="2">
        <v>39000</v>
      </c>
      <c r="F3931" t="s">
        <v>4553</v>
      </c>
      <c r="G3931" s="17" t="str">
        <f>HYPERLINK("https://www.washoecounty.gov/assessor/cama/?command=sales&amp;parid=08676212","3948189")</f>
        <v>3948189</v>
      </c>
      <c r="H3931" t="s">
        <v>3157</v>
      </c>
      <c r="I3931">
        <v>1950</v>
      </c>
      <c r="J3931">
        <v>1950</v>
      </c>
      <c r="K3931" t="s">
        <v>4897</v>
      </c>
      <c r="L3931" t="s">
        <v>4555</v>
      </c>
      <c r="M3931" s="2">
        <v>1193</v>
      </c>
      <c r="N3931" t="s">
        <v>4556</v>
      </c>
      <c r="O3931">
        <v>3</v>
      </c>
      <c r="P3931">
        <v>1</v>
      </c>
      <c r="Q3931">
        <v>0</v>
      </c>
      <c r="R3931" t="s">
        <v>4557</v>
      </c>
      <c r="S3931" t="s">
        <v>4574</v>
      </c>
      <c r="T3931" t="s">
        <v>1101</v>
      </c>
      <c r="U3931" t="s">
        <v>4655</v>
      </c>
      <c r="V3931" s="2">
        <v>0</v>
      </c>
      <c r="W3931" t="s">
        <v>4655</v>
      </c>
      <c r="X3931" s="2">
        <v>0</v>
      </c>
      <c r="Y3931">
        <v>20</v>
      </c>
      <c r="Z3931" t="s">
        <v>365</v>
      </c>
      <c r="AA3931" s="3">
        <v>0.18200182914733901</v>
      </c>
      <c r="AB3931" t="s">
        <v>1106</v>
      </c>
      <c r="AC3931" t="s">
        <v>4562</v>
      </c>
      <c r="AD3931" t="s">
        <v>1107</v>
      </c>
      <c r="AE3931" t="s">
        <v>4655</v>
      </c>
      <c r="AF3931" t="s">
        <v>4563</v>
      </c>
      <c r="AG3931" t="s">
        <v>4564</v>
      </c>
      <c r="AH3931" t="s">
        <v>1147</v>
      </c>
      <c r="AI3931" t="s">
        <v>2351</v>
      </c>
      <c r="AJ3931" t="s">
        <v>21251</v>
      </c>
      <c r="AK3931" t="s">
        <v>21252</v>
      </c>
      <c r="AL3931" s="13" t="s">
        <v>1901</v>
      </c>
      <c r="AM3931">
        <v>1</v>
      </c>
      <c r="AN3931" s="15" t="s">
        <v>5274</v>
      </c>
    </row>
    <row r="3932" spans="1:40" x14ac:dyDescent="0.3">
      <c r="A3932" s="10" t="str">
        <f>HYPERLINK("http://www.washoecounty.gov/assessor/cama/?parid=086-762-16&amp;CardNumber=1","086-762-16")</f>
        <v>086-762-16</v>
      </c>
      <c r="B3932" t="s">
        <v>4655</v>
      </c>
      <c r="C3932" t="s">
        <v>21253</v>
      </c>
      <c r="D3932" s="1">
        <v>40338</v>
      </c>
      <c r="E3932" s="2">
        <v>45000</v>
      </c>
      <c r="F3932" t="s">
        <v>4553</v>
      </c>
      <c r="G3932" s="17" t="str">
        <f>HYPERLINK("https://www.washoecounty.gov/assessor/cama/?command=sales&amp;parid=08676216","3889471")</f>
        <v>3889471</v>
      </c>
      <c r="H3932" t="s">
        <v>3157</v>
      </c>
      <c r="I3932">
        <v>1950</v>
      </c>
      <c r="J3932">
        <v>1950</v>
      </c>
      <c r="K3932" t="s">
        <v>4897</v>
      </c>
      <c r="L3932" t="s">
        <v>4555</v>
      </c>
      <c r="M3932" s="2">
        <v>988</v>
      </c>
      <c r="N3932" t="s">
        <v>4556</v>
      </c>
      <c r="O3932">
        <v>2</v>
      </c>
      <c r="P3932">
        <v>1</v>
      </c>
      <c r="Q3932">
        <v>0</v>
      </c>
      <c r="R3932" t="s">
        <v>4557</v>
      </c>
      <c r="S3932" t="s">
        <v>4574</v>
      </c>
      <c r="T3932" t="s">
        <v>1101</v>
      </c>
      <c r="U3932" t="s">
        <v>4655</v>
      </c>
      <c r="V3932" s="2">
        <v>0</v>
      </c>
      <c r="W3932" t="s">
        <v>4655</v>
      </c>
      <c r="X3932" s="2">
        <v>0</v>
      </c>
      <c r="Y3932">
        <v>20</v>
      </c>
      <c r="Z3932" t="s">
        <v>365</v>
      </c>
      <c r="AA3932" s="3">
        <v>0.19800275564193701</v>
      </c>
      <c r="AB3932" t="s">
        <v>21254</v>
      </c>
      <c r="AC3932" t="s">
        <v>4562</v>
      </c>
      <c r="AD3932" t="s">
        <v>21253</v>
      </c>
      <c r="AE3932" t="s">
        <v>4655</v>
      </c>
      <c r="AF3932" t="s">
        <v>4563</v>
      </c>
      <c r="AG3932" t="s">
        <v>4564</v>
      </c>
      <c r="AH3932">
        <v>89506</v>
      </c>
      <c r="AI3932" t="s">
        <v>4903</v>
      </c>
      <c r="AJ3932" t="s">
        <v>21255</v>
      </c>
      <c r="AK3932" t="s">
        <v>21256</v>
      </c>
      <c r="AL3932" s="13" t="s">
        <v>1901</v>
      </c>
      <c r="AM3932">
        <v>1</v>
      </c>
      <c r="AN3932" s="15" t="s">
        <v>5274</v>
      </c>
    </row>
    <row r="3933" spans="1:40" x14ac:dyDescent="0.3">
      <c r="A3933" s="10" t="str">
        <f>HYPERLINK("http://www.washoecounty.gov/assessor/cama/?parid=086-762-17&amp;CardNumber=1","086-762-17")</f>
        <v>086-762-17</v>
      </c>
      <c r="B3933" t="s">
        <v>4655</v>
      </c>
      <c r="C3933" t="s">
        <v>3156</v>
      </c>
      <c r="D3933" s="1">
        <v>40220</v>
      </c>
      <c r="E3933" s="2">
        <v>54000</v>
      </c>
      <c r="F3933" t="s">
        <v>4553</v>
      </c>
      <c r="G3933" s="17" t="str">
        <f>HYPERLINK("https://www.washoecounty.gov/assessor/cama/?command=sales&amp;parid=08676217","3848065")</f>
        <v>3848065</v>
      </c>
      <c r="H3933" t="s">
        <v>3157</v>
      </c>
      <c r="I3933">
        <v>1950</v>
      </c>
      <c r="J3933">
        <v>1959</v>
      </c>
      <c r="K3933" t="s">
        <v>4897</v>
      </c>
      <c r="L3933" t="s">
        <v>4555</v>
      </c>
      <c r="M3933" s="2">
        <v>1498</v>
      </c>
      <c r="N3933" t="s">
        <v>4556</v>
      </c>
      <c r="O3933">
        <v>3</v>
      </c>
      <c r="P3933">
        <v>1</v>
      </c>
      <c r="Q3933">
        <v>0</v>
      </c>
      <c r="R3933" t="s">
        <v>4557</v>
      </c>
      <c r="S3933" t="s">
        <v>4558</v>
      </c>
      <c r="T3933" t="s">
        <v>1101</v>
      </c>
      <c r="U3933" t="s">
        <v>4560</v>
      </c>
      <c r="V3933" s="2">
        <v>288</v>
      </c>
      <c r="W3933" t="s">
        <v>4655</v>
      </c>
      <c r="X3933" s="2">
        <v>0</v>
      </c>
      <c r="Y3933">
        <v>20</v>
      </c>
      <c r="Z3933" t="s">
        <v>365</v>
      </c>
      <c r="AA3933" s="3">
        <v>0.18599632382392883</v>
      </c>
      <c r="AB3933" t="s">
        <v>247</v>
      </c>
      <c r="AC3933" t="s">
        <v>4562</v>
      </c>
      <c r="AD3933" t="s">
        <v>3156</v>
      </c>
      <c r="AE3933" t="s">
        <v>4655</v>
      </c>
      <c r="AF3933" t="s">
        <v>4563</v>
      </c>
      <c r="AG3933" t="s">
        <v>4564</v>
      </c>
      <c r="AH3933">
        <v>89506</v>
      </c>
      <c r="AI3933" t="s">
        <v>4673</v>
      </c>
      <c r="AJ3933" t="s">
        <v>1102</v>
      </c>
      <c r="AK3933" t="s">
        <v>1103</v>
      </c>
      <c r="AL3933" s="13" t="s">
        <v>1901</v>
      </c>
      <c r="AM3933">
        <v>1</v>
      </c>
      <c r="AN3933" s="15" t="s">
        <v>5274</v>
      </c>
    </row>
    <row r="3934" spans="1:40" x14ac:dyDescent="0.3">
      <c r="A3934" s="10" t="str">
        <f>HYPERLINK("http://www.washoecounty.gov/assessor/cama/?parid=086-771-04&amp;CardNumber=1","086-771-04")</f>
        <v>086-771-04</v>
      </c>
      <c r="B3934" t="s">
        <v>4655</v>
      </c>
      <c r="C3934" t="s">
        <v>21257</v>
      </c>
      <c r="D3934" s="1">
        <v>40387</v>
      </c>
      <c r="E3934" s="2">
        <v>50600</v>
      </c>
      <c r="F3934" t="s">
        <v>4567</v>
      </c>
      <c r="G3934" s="17" t="str">
        <f>HYPERLINK("https://www.washoecounty.gov/assessor/cama/?command=sales&amp;parid=08677104","3906260")</f>
        <v>3906260</v>
      </c>
      <c r="H3934" t="s">
        <v>3157</v>
      </c>
      <c r="I3934">
        <v>1950</v>
      </c>
      <c r="J3934">
        <v>1950</v>
      </c>
      <c r="K3934" t="s">
        <v>4897</v>
      </c>
      <c r="L3934" t="s">
        <v>4555</v>
      </c>
      <c r="M3934" s="2">
        <v>1192</v>
      </c>
      <c r="N3934" t="s">
        <v>4556</v>
      </c>
      <c r="O3934">
        <v>3</v>
      </c>
      <c r="P3934">
        <v>1</v>
      </c>
      <c r="Q3934">
        <v>0</v>
      </c>
      <c r="R3934" t="s">
        <v>4557</v>
      </c>
      <c r="S3934" t="s">
        <v>4574</v>
      </c>
      <c r="T3934" t="s">
        <v>4559</v>
      </c>
      <c r="U3934" t="s">
        <v>4655</v>
      </c>
      <c r="V3934" s="2">
        <v>0</v>
      </c>
      <c r="W3934" t="s">
        <v>4655</v>
      </c>
      <c r="X3934" s="2">
        <v>0</v>
      </c>
      <c r="Y3934">
        <v>20</v>
      </c>
      <c r="Z3934" t="s">
        <v>365</v>
      </c>
      <c r="AA3934" s="3">
        <v>0.15500459074974099</v>
      </c>
      <c r="AB3934" t="s">
        <v>21258</v>
      </c>
      <c r="AC3934" t="s">
        <v>4562</v>
      </c>
      <c r="AD3934" t="s">
        <v>21257</v>
      </c>
      <c r="AE3934" t="s">
        <v>4655</v>
      </c>
      <c r="AF3934" t="s">
        <v>4563</v>
      </c>
      <c r="AG3934" t="s">
        <v>4564</v>
      </c>
      <c r="AH3934">
        <v>89506</v>
      </c>
      <c r="AI3934" t="s">
        <v>4655</v>
      </c>
      <c r="AJ3934" t="s">
        <v>21259</v>
      </c>
      <c r="AK3934" t="s">
        <v>21260</v>
      </c>
      <c r="AL3934" s="13" t="s">
        <v>1901</v>
      </c>
      <c r="AM3934">
        <v>1</v>
      </c>
      <c r="AN3934" s="15" t="s">
        <v>5274</v>
      </c>
    </row>
    <row r="3935" spans="1:40" x14ac:dyDescent="0.3">
      <c r="A3935" s="10" t="str">
        <f>HYPERLINK("http://www.washoecounty.gov/assessor/cama/?parid=086-771-10&amp;CardNumber=1","086-771-10")</f>
        <v>086-771-10</v>
      </c>
      <c r="B3935" t="s">
        <v>4655</v>
      </c>
      <c r="C3935" t="s">
        <v>21261</v>
      </c>
      <c r="D3935" s="1">
        <v>40214</v>
      </c>
      <c r="E3935" s="2">
        <v>44525</v>
      </c>
      <c r="F3935" t="s">
        <v>4553</v>
      </c>
      <c r="G3935" s="17" t="str">
        <f>HYPERLINK("https://www.washoecounty.gov/assessor/cama/?command=sales&amp;parid=08677110","3846394")</f>
        <v>3846394</v>
      </c>
      <c r="H3935" t="s">
        <v>1104</v>
      </c>
      <c r="I3935">
        <v>1950</v>
      </c>
      <c r="J3935">
        <v>1950</v>
      </c>
      <c r="K3935" t="s">
        <v>4897</v>
      </c>
      <c r="L3935" t="s">
        <v>4555</v>
      </c>
      <c r="M3935" s="2">
        <v>1192</v>
      </c>
      <c r="N3935" t="s">
        <v>4556</v>
      </c>
      <c r="O3935">
        <v>3</v>
      </c>
      <c r="P3935">
        <v>1</v>
      </c>
      <c r="Q3935">
        <v>0</v>
      </c>
      <c r="R3935" t="s">
        <v>4557</v>
      </c>
      <c r="S3935" t="s">
        <v>4558</v>
      </c>
      <c r="T3935" t="s">
        <v>1101</v>
      </c>
      <c r="U3935" t="s">
        <v>4655</v>
      </c>
      <c r="V3935" s="2">
        <v>0</v>
      </c>
      <c r="W3935" t="s">
        <v>4655</v>
      </c>
      <c r="X3935" s="2">
        <v>0</v>
      </c>
      <c r="Y3935">
        <v>20</v>
      </c>
      <c r="Z3935" t="s">
        <v>365</v>
      </c>
      <c r="AA3935" s="3">
        <v>0.17800734937191001</v>
      </c>
      <c r="AB3935" t="s">
        <v>21262</v>
      </c>
      <c r="AC3935" t="s">
        <v>4562</v>
      </c>
      <c r="AD3935" t="s">
        <v>1105</v>
      </c>
      <c r="AE3935" t="s">
        <v>4655</v>
      </c>
      <c r="AF3935" t="s">
        <v>4563</v>
      </c>
      <c r="AG3935" t="s">
        <v>4564</v>
      </c>
      <c r="AH3935">
        <v>89511</v>
      </c>
      <c r="AI3935" t="s">
        <v>1602</v>
      </c>
      <c r="AJ3935" t="s">
        <v>21263</v>
      </c>
      <c r="AK3935" t="s">
        <v>21264</v>
      </c>
      <c r="AL3935" s="13" t="s">
        <v>1901</v>
      </c>
      <c r="AM3935">
        <v>1</v>
      </c>
      <c r="AN3935" s="15" t="s">
        <v>5274</v>
      </c>
    </row>
    <row r="3936" spans="1:40" x14ac:dyDescent="0.3">
      <c r="A3936" s="10" t="str">
        <f>HYPERLINK("http://www.washoecounty.gov/assessor/cama/?parid=086-772-13&amp;CardNumber=1","086-772-13")</f>
        <v>086-772-13</v>
      </c>
      <c r="B3936" t="s">
        <v>4655</v>
      </c>
      <c r="C3936" t="s">
        <v>21265</v>
      </c>
      <c r="D3936" s="1">
        <v>40193</v>
      </c>
      <c r="E3936" s="2">
        <v>39500</v>
      </c>
      <c r="F3936" t="s">
        <v>4553</v>
      </c>
      <c r="G3936" s="17" t="str">
        <f>HYPERLINK("https://www.washoecounty.gov/assessor/cama/?command=sales&amp;parid=08677213","3840173")</f>
        <v>3840173</v>
      </c>
      <c r="H3936" t="s">
        <v>3157</v>
      </c>
      <c r="I3936">
        <v>1950</v>
      </c>
      <c r="J3936">
        <v>1950</v>
      </c>
      <c r="K3936" t="s">
        <v>4897</v>
      </c>
      <c r="L3936" t="s">
        <v>4555</v>
      </c>
      <c r="M3936" s="2">
        <v>988</v>
      </c>
      <c r="N3936" t="s">
        <v>4556</v>
      </c>
      <c r="O3936">
        <v>2</v>
      </c>
      <c r="P3936">
        <v>1</v>
      </c>
      <c r="Q3936">
        <v>0</v>
      </c>
      <c r="R3936" t="s">
        <v>4557</v>
      </c>
      <c r="S3936" t="s">
        <v>4574</v>
      </c>
      <c r="T3936" t="s">
        <v>4559</v>
      </c>
      <c r="U3936" t="s">
        <v>4655</v>
      </c>
      <c r="V3936" s="2">
        <v>0</v>
      </c>
      <c r="W3936" t="s">
        <v>4655</v>
      </c>
      <c r="X3936" s="2">
        <v>0</v>
      </c>
      <c r="Y3936">
        <v>20</v>
      </c>
      <c r="Z3936" t="s">
        <v>365</v>
      </c>
      <c r="AA3936" s="3">
        <v>0.17899449169635773</v>
      </c>
      <c r="AB3936" t="s">
        <v>1106</v>
      </c>
      <c r="AC3936" t="s">
        <v>4562</v>
      </c>
      <c r="AD3936" t="s">
        <v>1107</v>
      </c>
      <c r="AE3936" t="s">
        <v>4655</v>
      </c>
      <c r="AF3936" t="s">
        <v>4563</v>
      </c>
      <c r="AG3936" t="s">
        <v>4564</v>
      </c>
      <c r="AH3936" t="s">
        <v>1147</v>
      </c>
      <c r="AI3936" t="s">
        <v>4848</v>
      </c>
      <c r="AJ3936" t="s">
        <v>21266</v>
      </c>
      <c r="AK3936" t="s">
        <v>21267</v>
      </c>
      <c r="AL3936" s="13" t="s">
        <v>1901</v>
      </c>
      <c r="AM3936">
        <v>1</v>
      </c>
      <c r="AN3936" s="15" t="s">
        <v>5274</v>
      </c>
    </row>
    <row r="3937" spans="1:40" x14ac:dyDescent="0.3">
      <c r="A3937" s="10" t="str">
        <f>HYPERLINK("http://www.washoecounty.gov/assessor/cama/?parid=086-774-03&amp;CardNumber=1","086-774-03")</f>
        <v>086-774-03</v>
      </c>
      <c r="B3937" t="s">
        <v>4655</v>
      </c>
      <c r="C3937" t="s">
        <v>21268</v>
      </c>
      <c r="D3937" s="1">
        <v>40213</v>
      </c>
      <c r="E3937" s="2">
        <v>45000</v>
      </c>
      <c r="F3937" t="s">
        <v>4553</v>
      </c>
      <c r="G3937" s="17" t="str">
        <f>HYPERLINK("https://www.washoecounty.gov/assessor/cama/?command=sales&amp;parid=08677403","3845912")</f>
        <v>3845912</v>
      </c>
      <c r="H3937" t="s">
        <v>3157</v>
      </c>
      <c r="I3937">
        <v>1950</v>
      </c>
      <c r="J3937">
        <v>1950</v>
      </c>
      <c r="K3937" t="s">
        <v>4897</v>
      </c>
      <c r="L3937" t="s">
        <v>4555</v>
      </c>
      <c r="M3937" s="2">
        <v>1192</v>
      </c>
      <c r="N3937" t="s">
        <v>4556</v>
      </c>
      <c r="O3937">
        <v>3</v>
      </c>
      <c r="P3937">
        <v>1</v>
      </c>
      <c r="Q3937">
        <v>0</v>
      </c>
      <c r="R3937" t="s">
        <v>4557</v>
      </c>
      <c r="S3937" t="s">
        <v>4574</v>
      </c>
      <c r="T3937" t="s">
        <v>1101</v>
      </c>
      <c r="U3937" t="s">
        <v>4655</v>
      </c>
      <c r="V3937" s="2">
        <v>0</v>
      </c>
      <c r="W3937" t="s">
        <v>4655</v>
      </c>
      <c r="X3937" s="2">
        <v>0</v>
      </c>
      <c r="Y3937">
        <v>20</v>
      </c>
      <c r="Z3937" t="s">
        <v>365</v>
      </c>
      <c r="AA3937" s="3">
        <v>0.20899908244609799</v>
      </c>
      <c r="AB3937" t="s">
        <v>21269</v>
      </c>
      <c r="AC3937" t="s">
        <v>4575</v>
      </c>
      <c r="AD3937" t="s">
        <v>21270</v>
      </c>
      <c r="AE3937" t="s">
        <v>4655</v>
      </c>
      <c r="AF3937" t="s">
        <v>2526</v>
      </c>
      <c r="AG3937" t="s">
        <v>4564</v>
      </c>
      <c r="AH3937">
        <v>89408</v>
      </c>
      <c r="AI3937" t="s">
        <v>3954</v>
      </c>
      <c r="AJ3937" t="s">
        <v>21271</v>
      </c>
      <c r="AK3937" t="s">
        <v>21272</v>
      </c>
      <c r="AL3937" s="13" t="s">
        <v>1901</v>
      </c>
      <c r="AM3937">
        <v>1</v>
      </c>
      <c r="AN3937" s="15" t="s">
        <v>5274</v>
      </c>
    </row>
    <row r="3938" spans="1:40" x14ac:dyDescent="0.3">
      <c r="A3938" s="10" t="str">
        <f>HYPERLINK("http://www.washoecounty.gov/assessor/cama/?parid=086-775-10&amp;CardNumber=1","086-775-10")</f>
        <v>086-775-10</v>
      </c>
      <c r="B3938" t="s">
        <v>4655</v>
      </c>
      <c r="C3938" t="s">
        <v>21273</v>
      </c>
      <c r="D3938" s="1">
        <v>40268</v>
      </c>
      <c r="E3938" s="2">
        <v>55000</v>
      </c>
      <c r="F3938" t="s">
        <v>4553</v>
      </c>
      <c r="G3938" s="17" t="str">
        <f>HYPERLINK("https://www.washoecounty.gov/assessor/cama/?command=sales&amp;parid=08677510","3866244")</f>
        <v>3866244</v>
      </c>
      <c r="H3938" t="s">
        <v>21274</v>
      </c>
      <c r="I3938">
        <v>1950</v>
      </c>
      <c r="J3938">
        <v>1950</v>
      </c>
      <c r="K3938" t="s">
        <v>4897</v>
      </c>
      <c r="L3938" t="s">
        <v>4555</v>
      </c>
      <c r="M3938" s="2">
        <v>1192</v>
      </c>
      <c r="N3938" t="s">
        <v>4556</v>
      </c>
      <c r="O3938">
        <v>3</v>
      </c>
      <c r="P3938">
        <v>1</v>
      </c>
      <c r="Q3938">
        <v>0</v>
      </c>
      <c r="R3938" t="s">
        <v>4557</v>
      </c>
      <c r="S3938" t="s">
        <v>4574</v>
      </c>
      <c r="T3938" t="s">
        <v>1101</v>
      </c>
      <c r="U3938" t="s">
        <v>4655</v>
      </c>
      <c r="V3938" s="2">
        <v>0</v>
      </c>
      <c r="W3938" t="s">
        <v>4655</v>
      </c>
      <c r="X3938" s="2">
        <v>0</v>
      </c>
      <c r="Y3938">
        <v>20</v>
      </c>
      <c r="Z3938" t="s">
        <v>365</v>
      </c>
      <c r="AA3938" s="3">
        <v>0.16099633276462599</v>
      </c>
      <c r="AB3938" t="s">
        <v>21275</v>
      </c>
      <c r="AC3938" t="s">
        <v>4562</v>
      </c>
      <c r="AD3938" t="s">
        <v>21276</v>
      </c>
      <c r="AE3938" t="s">
        <v>4655</v>
      </c>
      <c r="AF3938" t="s">
        <v>5201</v>
      </c>
      <c r="AG3938" t="s">
        <v>4564</v>
      </c>
      <c r="AH3938" t="s">
        <v>1350</v>
      </c>
      <c r="AI3938" t="s">
        <v>4903</v>
      </c>
      <c r="AJ3938" t="s">
        <v>21277</v>
      </c>
      <c r="AK3938" t="s">
        <v>21278</v>
      </c>
      <c r="AL3938" s="13" t="s">
        <v>1901</v>
      </c>
      <c r="AM3938">
        <v>1</v>
      </c>
      <c r="AN3938" s="15" t="s">
        <v>5274</v>
      </c>
    </row>
    <row r="3939" spans="1:40" x14ac:dyDescent="0.3">
      <c r="A3939" s="10" t="str">
        <f>HYPERLINK("http://www.washoecounty.gov/assessor/cama/?parid=086-781-08&amp;CardNumber=1","086-781-08")</f>
        <v>086-781-08</v>
      </c>
      <c r="B3939" t="s">
        <v>4655</v>
      </c>
      <c r="C3939" t="s">
        <v>21279</v>
      </c>
      <c r="D3939" s="1">
        <v>40421</v>
      </c>
      <c r="E3939" s="2">
        <v>43000</v>
      </c>
      <c r="F3939" t="s">
        <v>4553</v>
      </c>
      <c r="G3939" s="17" t="str">
        <f>HYPERLINK("https://www.washoecounty.gov/assessor/cama/?command=sales&amp;parid=08678108","3917326")</f>
        <v>3917326</v>
      </c>
      <c r="H3939" t="s">
        <v>1104</v>
      </c>
      <c r="I3939">
        <v>1950</v>
      </c>
      <c r="J3939">
        <v>1950</v>
      </c>
      <c r="K3939" t="s">
        <v>4897</v>
      </c>
      <c r="L3939" t="s">
        <v>4555</v>
      </c>
      <c r="M3939" s="2">
        <v>988</v>
      </c>
      <c r="N3939" t="s">
        <v>4556</v>
      </c>
      <c r="O3939">
        <v>2</v>
      </c>
      <c r="P3939">
        <v>1</v>
      </c>
      <c r="Q3939">
        <v>0</v>
      </c>
      <c r="R3939" t="s">
        <v>4557</v>
      </c>
      <c r="S3939" t="s">
        <v>4574</v>
      </c>
      <c r="T3939" t="s">
        <v>4559</v>
      </c>
      <c r="U3939" t="s">
        <v>4655</v>
      </c>
      <c r="V3939" s="2">
        <v>0</v>
      </c>
      <c r="W3939" t="s">
        <v>4655</v>
      </c>
      <c r="X3939" s="2">
        <v>0</v>
      </c>
      <c r="Y3939">
        <v>20</v>
      </c>
      <c r="Z3939" t="s">
        <v>365</v>
      </c>
      <c r="AA3939" s="3">
        <v>0.19400826096534701</v>
      </c>
      <c r="AB3939" t="s">
        <v>21280</v>
      </c>
      <c r="AC3939" t="s">
        <v>4562</v>
      </c>
      <c r="AD3939" t="s">
        <v>21279</v>
      </c>
      <c r="AE3939" t="s">
        <v>4655</v>
      </c>
      <c r="AF3939" t="s">
        <v>4563</v>
      </c>
      <c r="AG3939" t="s">
        <v>4564</v>
      </c>
      <c r="AH3939">
        <v>89506</v>
      </c>
      <c r="AI3939" t="s">
        <v>4903</v>
      </c>
      <c r="AJ3939" t="s">
        <v>21281</v>
      </c>
      <c r="AK3939" t="s">
        <v>21282</v>
      </c>
      <c r="AL3939" s="13" t="s">
        <v>1901</v>
      </c>
      <c r="AM3939">
        <v>1</v>
      </c>
      <c r="AN3939" s="15" t="s">
        <v>5274</v>
      </c>
    </row>
    <row r="3940" spans="1:40" x14ac:dyDescent="0.3">
      <c r="A3940" s="10" t="str">
        <f>HYPERLINK("http://www.washoecounty.gov/assessor/cama/?parid=086-782-05&amp;CardNumber=1","086-782-05")</f>
        <v>086-782-05</v>
      </c>
      <c r="B3940" t="s">
        <v>4655</v>
      </c>
      <c r="C3940" t="s">
        <v>21283</v>
      </c>
      <c r="D3940" s="1">
        <v>40428</v>
      </c>
      <c r="E3940" s="2">
        <v>55000</v>
      </c>
      <c r="F3940" t="s">
        <v>4567</v>
      </c>
      <c r="G3940" s="17" t="str">
        <f>HYPERLINK("https://www.washoecounty.gov/assessor/cama/?command=sales&amp;parid=08678205","3919432")</f>
        <v>3919432</v>
      </c>
      <c r="H3940" t="s">
        <v>3157</v>
      </c>
      <c r="I3940">
        <v>1950</v>
      </c>
      <c r="J3940">
        <v>1950</v>
      </c>
      <c r="K3940" t="s">
        <v>4897</v>
      </c>
      <c r="L3940" t="s">
        <v>4555</v>
      </c>
      <c r="M3940" s="2">
        <v>1192</v>
      </c>
      <c r="N3940" t="s">
        <v>4556</v>
      </c>
      <c r="O3940">
        <v>3</v>
      </c>
      <c r="P3940">
        <v>1</v>
      </c>
      <c r="Q3940">
        <v>0</v>
      </c>
      <c r="R3940" t="s">
        <v>4557</v>
      </c>
      <c r="S3940" t="s">
        <v>4574</v>
      </c>
      <c r="T3940" t="s">
        <v>1101</v>
      </c>
      <c r="U3940" t="s">
        <v>4655</v>
      </c>
      <c r="V3940" s="2">
        <v>0</v>
      </c>
      <c r="W3940" t="s">
        <v>4655</v>
      </c>
      <c r="X3940" s="2">
        <v>0</v>
      </c>
      <c r="Y3940">
        <v>20</v>
      </c>
      <c r="Z3940" t="s">
        <v>365</v>
      </c>
      <c r="AA3940" s="3">
        <v>0.21000918745994601</v>
      </c>
      <c r="AB3940" t="s">
        <v>21284</v>
      </c>
      <c r="AC3940" t="s">
        <v>4562</v>
      </c>
      <c r="AD3940" t="s">
        <v>21285</v>
      </c>
      <c r="AE3940" t="s">
        <v>4655</v>
      </c>
      <c r="AF3940" t="s">
        <v>4563</v>
      </c>
      <c r="AG3940" t="s">
        <v>4564</v>
      </c>
      <c r="AH3940">
        <v>89509</v>
      </c>
      <c r="AI3940" t="s">
        <v>4655</v>
      </c>
      <c r="AJ3940" t="s">
        <v>21286</v>
      </c>
      <c r="AK3940" t="s">
        <v>21287</v>
      </c>
      <c r="AL3940" s="13" t="s">
        <v>1901</v>
      </c>
      <c r="AM3940">
        <v>1</v>
      </c>
      <c r="AN3940" s="15" t="s">
        <v>5274</v>
      </c>
    </row>
    <row r="3941" spans="1:40" x14ac:dyDescent="0.3">
      <c r="A3941" s="10" t="str">
        <f>HYPERLINK("http://www.washoecounty.gov/assessor/cama/?parid=086-782-14&amp;CardNumber=1","086-782-14")</f>
        <v>086-782-14</v>
      </c>
      <c r="B3941" t="s">
        <v>4655</v>
      </c>
      <c r="C3941" t="s">
        <v>21288</v>
      </c>
      <c r="D3941" s="1">
        <v>40305</v>
      </c>
      <c r="E3941" s="2">
        <v>45000</v>
      </c>
      <c r="F3941" t="s">
        <v>4567</v>
      </c>
      <c r="G3941" s="17" t="str">
        <f>HYPERLINK("https://www.washoecounty.gov/assessor/cama/?command=sales&amp;parid=08678214","3879309")</f>
        <v>3879309</v>
      </c>
      <c r="H3941" t="s">
        <v>3157</v>
      </c>
      <c r="I3941">
        <v>1950</v>
      </c>
      <c r="J3941">
        <v>1950</v>
      </c>
      <c r="K3941" t="s">
        <v>4897</v>
      </c>
      <c r="L3941" t="s">
        <v>4555</v>
      </c>
      <c r="M3941" s="2">
        <v>988</v>
      </c>
      <c r="N3941" t="s">
        <v>4556</v>
      </c>
      <c r="O3941">
        <v>2</v>
      </c>
      <c r="P3941">
        <v>1</v>
      </c>
      <c r="Q3941">
        <v>0</v>
      </c>
      <c r="R3941" t="s">
        <v>4557</v>
      </c>
      <c r="S3941" t="s">
        <v>4574</v>
      </c>
      <c r="T3941" t="s">
        <v>4559</v>
      </c>
      <c r="U3941" t="s">
        <v>4655</v>
      </c>
      <c r="V3941" s="2">
        <v>0</v>
      </c>
      <c r="W3941" t="s">
        <v>4655</v>
      </c>
      <c r="X3941" s="2">
        <v>0</v>
      </c>
      <c r="Y3941">
        <v>20</v>
      </c>
      <c r="Z3941" t="s">
        <v>365</v>
      </c>
      <c r="AA3941" s="3">
        <v>0.20399449765682201</v>
      </c>
      <c r="AB3941" t="s">
        <v>21289</v>
      </c>
      <c r="AC3941" t="s">
        <v>4562</v>
      </c>
      <c r="AD3941" t="s">
        <v>21288</v>
      </c>
      <c r="AE3941" t="s">
        <v>4655</v>
      </c>
      <c r="AF3941" t="s">
        <v>4563</v>
      </c>
      <c r="AG3941" t="s">
        <v>4564</v>
      </c>
      <c r="AH3941">
        <v>89506</v>
      </c>
      <c r="AI3941" t="s">
        <v>21290</v>
      </c>
      <c r="AJ3941" t="s">
        <v>21291</v>
      </c>
      <c r="AK3941" t="s">
        <v>21292</v>
      </c>
      <c r="AL3941" s="13" t="s">
        <v>1901</v>
      </c>
      <c r="AM3941">
        <v>1</v>
      </c>
      <c r="AN3941" s="15" t="s">
        <v>5274</v>
      </c>
    </row>
    <row r="3942" spans="1:40" x14ac:dyDescent="0.3">
      <c r="A3942" s="10" t="str">
        <f>HYPERLINK("http://www.washoecounty.gov/assessor/cama/?parid=086-782-15&amp;CardNumber=1","086-782-15")</f>
        <v>086-782-15</v>
      </c>
      <c r="B3942" t="s">
        <v>4655</v>
      </c>
      <c r="C3942" t="s">
        <v>21293</v>
      </c>
      <c r="D3942" s="1">
        <v>40434</v>
      </c>
      <c r="E3942" s="2">
        <v>62000</v>
      </c>
      <c r="F3942" t="s">
        <v>4553</v>
      </c>
      <c r="G3942" s="17" t="str">
        <f>HYPERLINK("https://www.washoecounty.gov/assessor/cama/?command=sales&amp;parid=08678215","3921782")</f>
        <v>3921782</v>
      </c>
      <c r="H3942" t="s">
        <v>3157</v>
      </c>
      <c r="I3942">
        <v>1950</v>
      </c>
      <c r="J3942">
        <v>1950</v>
      </c>
      <c r="K3942" t="s">
        <v>4897</v>
      </c>
      <c r="L3942" t="s">
        <v>4555</v>
      </c>
      <c r="M3942" s="2">
        <v>1192</v>
      </c>
      <c r="N3942" t="s">
        <v>4556</v>
      </c>
      <c r="O3942">
        <v>3</v>
      </c>
      <c r="P3942">
        <v>1</v>
      </c>
      <c r="Q3942">
        <v>0</v>
      </c>
      <c r="R3942" t="s">
        <v>4557</v>
      </c>
      <c r="S3942" t="s">
        <v>4574</v>
      </c>
      <c r="T3942" t="s">
        <v>1101</v>
      </c>
      <c r="U3942" t="s">
        <v>4655</v>
      </c>
      <c r="V3942" s="2">
        <v>0</v>
      </c>
      <c r="W3942" t="s">
        <v>4655</v>
      </c>
      <c r="X3942" s="2">
        <v>0</v>
      </c>
      <c r="Y3942">
        <v>20</v>
      </c>
      <c r="Z3942" t="s">
        <v>365</v>
      </c>
      <c r="AA3942" s="3">
        <v>0.21299357712268799</v>
      </c>
      <c r="AB3942" t="s">
        <v>21294</v>
      </c>
      <c r="AC3942" t="s">
        <v>4575</v>
      </c>
      <c r="AD3942" t="s">
        <v>21295</v>
      </c>
      <c r="AE3942" t="s">
        <v>4655</v>
      </c>
      <c r="AF3942" t="s">
        <v>4809</v>
      </c>
      <c r="AG3942" t="s">
        <v>4564</v>
      </c>
      <c r="AH3942" t="s">
        <v>3898</v>
      </c>
      <c r="AI3942" t="s">
        <v>21296</v>
      </c>
      <c r="AJ3942" t="s">
        <v>21297</v>
      </c>
      <c r="AK3942" t="s">
        <v>21298</v>
      </c>
      <c r="AL3942" s="13" t="s">
        <v>1901</v>
      </c>
      <c r="AM3942">
        <v>1</v>
      </c>
      <c r="AN3942" s="15" t="s">
        <v>5274</v>
      </c>
    </row>
    <row r="3943" spans="1:40" x14ac:dyDescent="0.3">
      <c r="A3943" s="10" t="str">
        <f>HYPERLINK("http://www.washoecounty.gov/assessor/cama/?parid=086-782-18&amp;CardNumber=1","086-782-18")</f>
        <v>086-782-18</v>
      </c>
      <c r="B3943" t="s">
        <v>4655</v>
      </c>
      <c r="C3943" t="s">
        <v>21299</v>
      </c>
      <c r="D3943" s="1">
        <v>40483</v>
      </c>
      <c r="E3943" s="2">
        <v>50000</v>
      </c>
      <c r="F3943" t="s">
        <v>4553</v>
      </c>
      <c r="G3943" s="17" t="str">
        <f>HYPERLINK("https://www.washoecounty.gov/assessor/cama/?command=sales&amp;parid=08678218","3938480")</f>
        <v>3938480</v>
      </c>
      <c r="H3943" t="s">
        <v>1104</v>
      </c>
      <c r="I3943">
        <v>1950</v>
      </c>
      <c r="J3943">
        <v>1958</v>
      </c>
      <c r="K3943" t="s">
        <v>4897</v>
      </c>
      <c r="L3943" t="s">
        <v>4555</v>
      </c>
      <c r="M3943" s="2">
        <v>1323</v>
      </c>
      <c r="N3943" t="s">
        <v>4556</v>
      </c>
      <c r="O3943">
        <v>2</v>
      </c>
      <c r="P3943">
        <v>1</v>
      </c>
      <c r="Q3943">
        <v>0</v>
      </c>
      <c r="R3943" t="s">
        <v>4557</v>
      </c>
      <c r="S3943" t="s">
        <v>4558</v>
      </c>
      <c r="T3943" t="s">
        <v>4559</v>
      </c>
      <c r="U3943" t="s">
        <v>4560</v>
      </c>
      <c r="V3943" s="2">
        <v>168</v>
      </c>
      <c r="W3943" t="s">
        <v>4655</v>
      </c>
      <c r="X3943" s="2">
        <v>0</v>
      </c>
      <c r="Y3943">
        <v>20</v>
      </c>
      <c r="Z3943" t="s">
        <v>365</v>
      </c>
      <c r="AA3943" s="3">
        <v>0.16900826990604401</v>
      </c>
      <c r="AB3943" t="s">
        <v>21300</v>
      </c>
      <c r="AC3943" t="s">
        <v>4562</v>
      </c>
      <c r="AD3943" t="s">
        <v>21301</v>
      </c>
      <c r="AE3943" t="s">
        <v>4655</v>
      </c>
      <c r="AF3943" t="s">
        <v>4563</v>
      </c>
      <c r="AG3943" t="s">
        <v>4564</v>
      </c>
      <c r="AH3943">
        <v>89506</v>
      </c>
      <c r="AI3943" t="s">
        <v>4848</v>
      </c>
      <c r="AJ3943" t="s">
        <v>21302</v>
      </c>
      <c r="AK3943" t="s">
        <v>21303</v>
      </c>
      <c r="AL3943" s="13" t="s">
        <v>1901</v>
      </c>
      <c r="AM3943">
        <v>1</v>
      </c>
      <c r="AN3943" s="15" t="s">
        <v>5274</v>
      </c>
    </row>
    <row r="3944" spans="1:40" x14ac:dyDescent="0.3">
      <c r="A3944" s="10" t="str">
        <f>HYPERLINK("http://www.washoecounty.gov/assessor/cama/?parid=086-784-06&amp;CardNumber=1","086-784-06")</f>
        <v>086-784-06</v>
      </c>
      <c r="B3944" t="s">
        <v>4655</v>
      </c>
      <c r="C3944" t="s">
        <v>21304</v>
      </c>
      <c r="D3944" s="1">
        <v>40263</v>
      </c>
      <c r="E3944" s="2">
        <v>44900</v>
      </c>
      <c r="F3944" t="s">
        <v>4553</v>
      </c>
      <c r="G3944" s="17" t="str">
        <f>HYPERLINK("https://www.washoecounty.gov/assessor/cama/?command=sales&amp;parid=08678406","3864406")</f>
        <v>3864406</v>
      </c>
      <c r="H3944" t="s">
        <v>3157</v>
      </c>
      <c r="I3944">
        <v>1950</v>
      </c>
      <c r="J3944">
        <v>1950</v>
      </c>
      <c r="K3944" t="s">
        <v>4897</v>
      </c>
      <c r="L3944" t="s">
        <v>4555</v>
      </c>
      <c r="M3944" s="2">
        <v>988</v>
      </c>
      <c r="N3944" t="s">
        <v>4556</v>
      </c>
      <c r="O3944">
        <v>2</v>
      </c>
      <c r="P3944">
        <v>1</v>
      </c>
      <c r="Q3944">
        <v>0</v>
      </c>
      <c r="R3944" t="s">
        <v>4557</v>
      </c>
      <c r="S3944" t="s">
        <v>4574</v>
      </c>
      <c r="T3944" t="s">
        <v>4559</v>
      </c>
      <c r="U3944" t="s">
        <v>4655</v>
      </c>
      <c r="V3944" s="2">
        <v>0</v>
      </c>
      <c r="W3944" t="s">
        <v>4655</v>
      </c>
      <c r="X3944" s="2">
        <v>0</v>
      </c>
      <c r="Y3944">
        <v>20</v>
      </c>
      <c r="Z3944" t="s">
        <v>365</v>
      </c>
      <c r="AA3944" s="3">
        <v>0.17100550234317799</v>
      </c>
      <c r="AB3944" t="s">
        <v>21305</v>
      </c>
      <c r="AC3944" t="s">
        <v>4562</v>
      </c>
      <c r="AD3944" t="s">
        <v>21304</v>
      </c>
      <c r="AE3944" t="s">
        <v>4655</v>
      </c>
      <c r="AF3944" t="s">
        <v>4563</v>
      </c>
      <c r="AG3944" t="s">
        <v>4564</v>
      </c>
      <c r="AH3944">
        <v>89506</v>
      </c>
      <c r="AI3944" t="s">
        <v>4903</v>
      </c>
      <c r="AJ3944" t="s">
        <v>21306</v>
      </c>
      <c r="AK3944" t="s">
        <v>21307</v>
      </c>
      <c r="AL3944" s="13" t="s">
        <v>1901</v>
      </c>
      <c r="AM3944">
        <v>1</v>
      </c>
      <c r="AN3944" s="15" t="s">
        <v>5274</v>
      </c>
    </row>
    <row r="3945" spans="1:40" x14ac:dyDescent="0.3">
      <c r="A3945" s="10" t="str">
        <f>HYPERLINK("http://www.washoecounty.gov/assessor/cama/?parid=086-791-03&amp;CardNumber=1","086-791-03")</f>
        <v>086-791-03</v>
      </c>
      <c r="B3945" t="s">
        <v>4655</v>
      </c>
      <c r="C3945" t="s">
        <v>21308</v>
      </c>
      <c r="D3945" s="1">
        <v>40540</v>
      </c>
      <c r="E3945" s="2">
        <v>50000</v>
      </c>
      <c r="F3945" t="s">
        <v>4567</v>
      </c>
      <c r="G3945" s="17" t="str">
        <f>HYPERLINK("https://www.washoecounty.gov/assessor/cama/?command=sales&amp;parid=08679103","3958294")</f>
        <v>3958294</v>
      </c>
      <c r="H3945" t="s">
        <v>21309</v>
      </c>
      <c r="I3945">
        <v>1950</v>
      </c>
      <c r="J3945">
        <v>1950</v>
      </c>
      <c r="K3945" t="s">
        <v>4897</v>
      </c>
      <c r="L3945" t="s">
        <v>4555</v>
      </c>
      <c r="M3945" s="2">
        <v>1192</v>
      </c>
      <c r="N3945" t="s">
        <v>4556</v>
      </c>
      <c r="O3945">
        <v>3</v>
      </c>
      <c r="P3945">
        <v>1</v>
      </c>
      <c r="Q3945">
        <v>0</v>
      </c>
      <c r="R3945" t="s">
        <v>4557</v>
      </c>
      <c r="S3945" t="s">
        <v>4574</v>
      </c>
      <c r="T3945" t="s">
        <v>1101</v>
      </c>
      <c r="U3945" t="s">
        <v>4655</v>
      </c>
      <c r="V3945" s="2">
        <v>0</v>
      </c>
      <c r="W3945" t="s">
        <v>4655</v>
      </c>
      <c r="X3945" s="2">
        <v>0</v>
      </c>
      <c r="Y3945">
        <v>20</v>
      </c>
      <c r="Z3945" t="s">
        <v>365</v>
      </c>
      <c r="AA3945" s="3">
        <v>0.20101010799408001</v>
      </c>
      <c r="AB3945" t="s">
        <v>21310</v>
      </c>
      <c r="AC3945" t="s">
        <v>4575</v>
      </c>
      <c r="AD3945" t="s">
        <v>21311</v>
      </c>
      <c r="AE3945" t="s">
        <v>4655</v>
      </c>
      <c r="AF3945" t="s">
        <v>4563</v>
      </c>
      <c r="AG3945" t="s">
        <v>4564</v>
      </c>
      <c r="AH3945">
        <v>89506</v>
      </c>
      <c r="AI3945" t="s">
        <v>21312</v>
      </c>
      <c r="AJ3945" t="s">
        <v>21313</v>
      </c>
      <c r="AK3945" t="s">
        <v>21314</v>
      </c>
      <c r="AL3945" s="13" t="s">
        <v>1901</v>
      </c>
      <c r="AM3945">
        <v>1</v>
      </c>
      <c r="AN3945" s="15" t="s">
        <v>5274</v>
      </c>
    </row>
    <row r="3946" spans="1:40" x14ac:dyDescent="0.3">
      <c r="A3946" s="10" t="str">
        <f>HYPERLINK("http://www.washoecounty.gov/assessor/cama/?parid=086-791-10&amp;CardNumber=1","086-791-10")</f>
        <v>086-791-10</v>
      </c>
      <c r="B3946" t="s">
        <v>4655</v>
      </c>
      <c r="C3946" t="s">
        <v>21315</v>
      </c>
      <c r="D3946" s="1">
        <v>40277</v>
      </c>
      <c r="E3946" s="2">
        <v>56500</v>
      </c>
      <c r="F3946" t="s">
        <v>4567</v>
      </c>
      <c r="G3946" s="17" t="str">
        <f>HYPERLINK("https://www.washoecounty.gov/assessor/cama/?command=sales&amp;parid=08679110","3869610")</f>
        <v>3869610</v>
      </c>
      <c r="H3946" t="s">
        <v>3157</v>
      </c>
      <c r="I3946">
        <v>1950</v>
      </c>
      <c r="J3946">
        <v>1950</v>
      </c>
      <c r="K3946" t="s">
        <v>4897</v>
      </c>
      <c r="L3946" t="s">
        <v>4555</v>
      </c>
      <c r="M3946" s="2">
        <v>1192</v>
      </c>
      <c r="N3946" t="s">
        <v>4556</v>
      </c>
      <c r="O3946">
        <v>3</v>
      </c>
      <c r="P3946">
        <v>1</v>
      </c>
      <c r="Q3946">
        <v>0</v>
      </c>
      <c r="R3946" t="s">
        <v>4557</v>
      </c>
      <c r="S3946" t="s">
        <v>4574</v>
      </c>
      <c r="T3946" t="s">
        <v>4559</v>
      </c>
      <c r="U3946" t="s">
        <v>4655</v>
      </c>
      <c r="V3946" s="2">
        <v>0</v>
      </c>
      <c r="W3946" t="s">
        <v>4655</v>
      </c>
      <c r="X3946" s="2">
        <v>0</v>
      </c>
      <c r="Y3946">
        <v>20</v>
      </c>
      <c r="Z3946" t="s">
        <v>365</v>
      </c>
      <c r="AA3946" s="3">
        <v>0.148002758622169</v>
      </c>
      <c r="AB3946" t="s">
        <v>21316</v>
      </c>
      <c r="AC3946" t="s">
        <v>4562</v>
      </c>
      <c r="AD3946" t="s">
        <v>21315</v>
      </c>
      <c r="AE3946" t="s">
        <v>4655</v>
      </c>
      <c r="AF3946" t="s">
        <v>4563</v>
      </c>
      <c r="AG3946" t="s">
        <v>4564</v>
      </c>
      <c r="AH3946">
        <v>89506</v>
      </c>
      <c r="AI3946" t="s">
        <v>1106</v>
      </c>
      <c r="AJ3946" t="s">
        <v>21317</v>
      </c>
      <c r="AK3946" t="s">
        <v>21318</v>
      </c>
      <c r="AL3946" s="13" t="s">
        <v>1901</v>
      </c>
      <c r="AM3946">
        <v>1</v>
      </c>
      <c r="AN3946" s="15" t="s">
        <v>5274</v>
      </c>
    </row>
    <row r="3947" spans="1:40" x14ac:dyDescent="0.3">
      <c r="A3947" s="10" t="str">
        <f>HYPERLINK("http://www.washoecounty.gov/assessor/cama/?parid=086-792-05&amp;CardNumber=1","086-792-05")</f>
        <v>086-792-05</v>
      </c>
      <c r="B3947" t="s">
        <v>4655</v>
      </c>
      <c r="C3947" t="s">
        <v>21319</v>
      </c>
      <c r="D3947" s="1">
        <v>40277</v>
      </c>
      <c r="E3947" s="2">
        <v>57000</v>
      </c>
      <c r="F3947" t="s">
        <v>4553</v>
      </c>
      <c r="G3947" s="17" t="str">
        <f>HYPERLINK("https://www.washoecounty.gov/assessor/cama/?command=sales&amp;parid=08679205","3869405")</f>
        <v>3869405</v>
      </c>
      <c r="H3947" t="s">
        <v>3157</v>
      </c>
      <c r="I3947">
        <v>1950</v>
      </c>
      <c r="J3947">
        <v>1964</v>
      </c>
      <c r="K3947" t="s">
        <v>4897</v>
      </c>
      <c r="L3947" t="s">
        <v>2170</v>
      </c>
      <c r="M3947" s="2">
        <v>1792</v>
      </c>
      <c r="N3947" t="s">
        <v>4556</v>
      </c>
      <c r="O3947">
        <v>4</v>
      </c>
      <c r="P3947">
        <v>2</v>
      </c>
      <c r="Q3947">
        <v>0</v>
      </c>
      <c r="R3947" t="s">
        <v>4557</v>
      </c>
      <c r="S3947" t="s">
        <v>4558</v>
      </c>
      <c r="T3947" t="s">
        <v>4559</v>
      </c>
      <c r="U3947" t="s">
        <v>5631</v>
      </c>
      <c r="V3947" s="2">
        <v>600</v>
      </c>
      <c r="W3947" t="s">
        <v>4655</v>
      </c>
      <c r="X3947" s="2">
        <v>0</v>
      </c>
      <c r="Y3947">
        <v>20</v>
      </c>
      <c r="Z3947" t="s">
        <v>365</v>
      </c>
      <c r="AA3947" s="3">
        <v>0.19400826096534701</v>
      </c>
      <c r="AB3947" t="s">
        <v>21320</v>
      </c>
      <c r="AC3947" t="s">
        <v>4562</v>
      </c>
      <c r="AD3947" t="s">
        <v>21319</v>
      </c>
      <c r="AE3947" t="s">
        <v>4655</v>
      </c>
      <c r="AF3947" t="s">
        <v>4563</v>
      </c>
      <c r="AG3947" t="s">
        <v>4564</v>
      </c>
      <c r="AH3947">
        <v>89506</v>
      </c>
      <c r="AI3947" t="s">
        <v>4903</v>
      </c>
      <c r="AJ3947" t="s">
        <v>21321</v>
      </c>
      <c r="AK3947" t="s">
        <v>21322</v>
      </c>
      <c r="AL3947" s="13" t="s">
        <v>1901</v>
      </c>
      <c r="AM3947">
        <v>1</v>
      </c>
      <c r="AN3947" s="15" t="s">
        <v>5274</v>
      </c>
    </row>
    <row r="3948" spans="1:40" x14ac:dyDescent="0.3">
      <c r="A3948" s="10" t="str">
        <f>HYPERLINK("http://www.washoecounty.gov/assessor/cama/?parid=086-792-17&amp;CardNumber=1","086-792-17")</f>
        <v>086-792-17</v>
      </c>
      <c r="B3948" t="s">
        <v>4655</v>
      </c>
      <c r="C3948" t="s">
        <v>21323</v>
      </c>
      <c r="D3948" s="1">
        <v>40505</v>
      </c>
      <c r="E3948" s="2">
        <v>36000</v>
      </c>
      <c r="F3948" t="s">
        <v>4553</v>
      </c>
      <c r="G3948" s="17" t="str">
        <f>HYPERLINK("https://www.washoecounty.gov/assessor/cama/?command=sales&amp;parid=08679217","3945948")</f>
        <v>3945948</v>
      </c>
      <c r="H3948" t="s">
        <v>3157</v>
      </c>
      <c r="I3948">
        <v>1950</v>
      </c>
      <c r="J3948">
        <v>1950</v>
      </c>
      <c r="K3948" t="s">
        <v>4897</v>
      </c>
      <c r="L3948" t="s">
        <v>4555</v>
      </c>
      <c r="M3948" s="2">
        <v>988</v>
      </c>
      <c r="N3948" t="s">
        <v>4556</v>
      </c>
      <c r="O3948">
        <v>2</v>
      </c>
      <c r="P3948">
        <v>1</v>
      </c>
      <c r="Q3948">
        <v>0</v>
      </c>
      <c r="R3948" t="s">
        <v>4557</v>
      </c>
      <c r="S3948" t="s">
        <v>4574</v>
      </c>
      <c r="T3948" t="s">
        <v>1101</v>
      </c>
      <c r="U3948" t="s">
        <v>4655</v>
      </c>
      <c r="V3948" s="2">
        <v>0</v>
      </c>
      <c r="W3948" t="s">
        <v>4655</v>
      </c>
      <c r="X3948" s="2">
        <v>0</v>
      </c>
      <c r="Y3948">
        <v>20</v>
      </c>
      <c r="Z3948" t="s">
        <v>365</v>
      </c>
      <c r="AA3948" s="3">
        <v>0.16600091755390201</v>
      </c>
      <c r="AB3948" t="s">
        <v>12752</v>
      </c>
      <c r="AC3948" t="s">
        <v>4562</v>
      </c>
      <c r="AD3948" t="s">
        <v>12753</v>
      </c>
      <c r="AE3948" t="s">
        <v>4655</v>
      </c>
      <c r="AF3948" t="s">
        <v>1530</v>
      </c>
      <c r="AG3948" t="s">
        <v>4657</v>
      </c>
      <c r="AH3948">
        <v>65802</v>
      </c>
      <c r="AI3948" t="s">
        <v>2351</v>
      </c>
      <c r="AJ3948" t="s">
        <v>21324</v>
      </c>
      <c r="AK3948" t="s">
        <v>21325</v>
      </c>
      <c r="AL3948" s="13" t="s">
        <v>1901</v>
      </c>
      <c r="AM3948">
        <v>1</v>
      </c>
      <c r="AN3948" s="15" t="s">
        <v>5274</v>
      </c>
    </row>
    <row r="3949" spans="1:40" x14ac:dyDescent="0.3">
      <c r="A3949" s="10" t="str">
        <f>HYPERLINK("http://www.washoecounty.gov/assessor/cama/?parid=086-793-22&amp;CardNumber=1","086-793-22")</f>
        <v>086-793-22</v>
      </c>
      <c r="B3949" t="s">
        <v>4655</v>
      </c>
      <c r="C3949" t="s">
        <v>21326</v>
      </c>
      <c r="D3949" s="1">
        <v>40228</v>
      </c>
      <c r="E3949" s="2">
        <v>44000</v>
      </c>
      <c r="F3949" t="s">
        <v>4567</v>
      </c>
      <c r="G3949" s="17" t="str">
        <f>HYPERLINK("https://www.washoecounty.gov/assessor/cama/?command=sales&amp;parid=08679322","3850961")</f>
        <v>3850961</v>
      </c>
      <c r="H3949" t="s">
        <v>3157</v>
      </c>
      <c r="I3949">
        <v>1950</v>
      </c>
      <c r="J3949">
        <v>1950</v>
      </c>
      <c r="K3949" t="s">
        <v>4897</v>
      </c>
      <c r="L3949" t="s">
        <v>4555</v>
      </c>
      <c r="M3949" s="2">
        <v>1192</v>
      </c>
      <c r="N3949" t="s">
        <v>4556</v>
      </c>
      <c r="O3949">
        <v>3</v>
      </c>
      <c r="P3949">
        <v>1</v>
      </c>
      <c r="Q3949">
        <v>0</v>
      </c>
      <c r="R3949" t="s">
        <v>4557</v>
      </c>
      <c r="S3949" t="s">
        <v>4574</v>
      </c>
      <c r="T3949" t="s">
        <v>4559</v>
      </c>
      <c r="U3949" t="s">
        <v>4655</v>
      </c>
      <c r="V3949" s="2">
        <v>0</v>
      </c>
      <c r="W3949" t="s">
        <v>4655</v>
      </c>
      <c r="X3949" s="2">
        <v>0</v>
      </c>
      <c r="Y3949">
        <v>20</v>
      </c>
      <c r="Z3949" t="s">
        <v>365</v>
      </c>
      <c r="AA3949" s="3">
        <v>0.19299817085266099</v>
      </c>
      <c r="AB3949" t="s">
        <v>21327</v>
      </c>
      <c r="AC3949" t="s">
        <v>4562</v>
      </c>
      <c r="AD3949" t="s">
        <v>21328</v>
      </c>
      <c r="AE3949" t="s">
        <v>4655</v>
      </c>
      <c r="AF3949" t="s">
        <v>4563</v>
      </c>
      <c r="AG3949" t="s">
        <v>4564</v>
      </c>
      <c r="AH3949">
        <v>89506</v>
      </c>
      <c r="AI3949" t="s">
        <v>1106</v>
      </c>
      <c r="AJ3949" t="s">
        <v>21329</v>
      </c>
      <c r="AK3949" t="s">
        <v>21330</v>
      </c>
      <c r="AL3949" s="13" t="s">
        <v>1901</v>
      </c>
      <c r="AM3949" s="14">
        <v>1</v>
      </c>
      <c r="AN3949" s="15" t="s">
        <v>5274</v>
      </c>
    </row>
    <row r="3950" spans="1:40" x14ac:dyDescent="0.3">
      <c r="A3950" s="10" t="str">
        <f>HYPERLINK("http://www.washoecounty.gov/assessor/cama/?parid=086-793-22&amp;CardNumber=1","086-793-22")</f>
        <v>086-793-22</v>
      </c>
      <c r="B3950" t="s">
        <v>4655</v>
      </c>
      <c r="C3950" t="s">
        <v>21326</v>
      </c>
      <c r="D3950" s="1">
        <v>40297</v>
      </c>
      <c r="E3950" s="2">
        <v>60000</v>
      </c>
      <c r="F3950" t="s">
        <v>4567</v>
      </c>
      <c r="G3950" s="17" t="str">
        <f>HYPERLINK("https://www.washoecounty.gov/assessor/cama/?command=sales&amp;parid=08679322","3876164")</f>
        <v>3876164</v>
      </c>
      <c r="H3950" t="s">
        <v>3157</v>
      </c>
      <c r="I3950">
        <v>1950</v>
      </c>
      <c r="J3950">
        <v>1950</v>
      </c>
      <c r="K3950" t="s">
        <v>4897</v>
      </c>
      <c r="L3950" t="s">
        <v>4555</v>
      </c>
      <c r="M3950" s="2">
        <v>1192</v>
      </c>
      <c r="N3950" t="s">
        <v>4556</v>
      </c>
      <c r="O3950">
        <v>3</v>
      </c>
      <c r="P3950">
        <v>1</v>
      </c>
      <c r="Q3950">
        <v>0</v>
      </c>
      <c r="R3950" t="s">
        <v>4557</v>
      </c>
      <c r="S3950" t="s">
        <v>4574</v>
      </c>
      <c r="T3950" t="s">
        <v>4559</v>
      </c>
      <c r="U3950" t="s">
        <v>4655</v>
      </c>
      <c r="V3950" s="2">
        <v>0</v>
      </c>
      <c r="W3950" t="s">
        <v>4655</v>
      </c>
      <c r="X3950" s="2">
        <v>0</v>
      </c>
      <c r="Y3950">
        <v>20</v>
      </c>
      <c r="Z3950" t="s">
        <v>365</v>
      </c>
      <c r="AA3950" s="3">
        <v>0.19299817085266099</v>
      </c>
      <c r="AB3950" t="s">
        <v>21327</v>
      </c>
      <c r="AC3950" t="s">
        <v>4562</v>
      </c>
      <c r="AD3950" t="s">
        <v>21328</v>
      </c>
      <c r="AE3950" t="s">
        <v>4655</v>
      </c>
      <c r="AF3950" t="s">
        <v>4563</v>
      </c>
      <c r="AG3950" t="s">
        <v>4564</v>
      </c>
      <c r="AH3950">
        <v>89506</v>
      </c>
      <c r="AI3950" t="s">
        <v>1106</v>
      </c>
      <c r="AJ3950" t="s">
        <v>21329</v>
      </c>
      <c r="AK3950" t="s">
        <v>21330</v>
      </c>
      <c r="AL3950" s="13" t="s">
        <v>1901</v>
      </c>
      <c r="AM3950">
        <v>1</v>
      </c>
      <c r="AN3950" s="15" t="s">
        <v>5274</v>
      </c>
    </row>
    <row r="3951" spans="1:40" x14ac:dyDescent="0.3">
      <c r="A3951" s="10" t="str">
        <f>HYPERLINK("http://www.washoecounty.gov/assessor/cama/?parid=086-794-04&amp;CardNumber=1","086-794-04")</f>
        <v>086-794-04</v>
      </c>
      <c r="B3951" t="s">
        <v>4655</v>
      </c>
      <c r="C3951" t="s">
        <v>21331</v>
      </c>
      <c r="D3951" s="1">
        <v>40206</v>
      </c>
      <c r="E3951" s="2">
        <v>45000</v>
      </c>
      <c r="F3951" t="s">
        <v>4567</v>
      </c>
      <c r="G3951" s="17" t="str">
        <f>HYPERLINK("https://www.washoecounty.gov/assessor/cama/?command=sales&amp;parid=08679404","3843667")</f>
        <v>3843667</v>
      </c>
      <c r="H3951" t="s">
        <v>3157</v>
      </c>
      <c r="I3951">
        <v>1950</v>
      </c>
      <c r="J3951">
        <v>1950</v>
      </c>
      <c r="K3951" t="s">
        <v>4897</v>
      </c>
      <c r="L3951" t="s">
        <v>4555</v>
      </c>
      <c r="M3951" s="2">
        <v>988</v>
      </c>
      <c r="N3951" t="s">
        <v>4556</v>
      </c>
      <c r="O3951">
        <v>2</v>
      </c>
      <c r="P3951">
        <v>1</v>
      </c>
      <c r="Q3951">
        <v>0</v>
      </c>
      <c r="R3951" t="s">
        <v>4557</v>
      </c>
      <c r="S3951" t="s">
        <v>4574</v>
      </c>
      <c r="T3951" t="s">
        <v>1101</v>
      </c>
      <c r="U3951" t="s">
        <v>4655</v>
      </c>
      <c r="V3951" s="2">
        <v>0</v>
      </c>
      <c r="W3951" t="s">
        <v>4655</v>
      </c>
      <c r="X3951" s="2">
        <v>0</v>
      </c>
      <c r="Y3951">
        <v>20</v>
      </c>
      <c r="Z3951" t="s">
        <v>365</v>
      </c>
      <c r="AA3951" s="3">
        <v>0.157001838088036</v>
      </c>
      <c r="AB3951" t="s">
        <v>21332</v>
      </c>
      <c r="AC3951" t="s">
        <v>4562</v>
      </c>
      <c r="AD3951" t="s">
        <v>21331</v>
      </c>
      <c r="AE3951" t="s">
        <v>4655</v>
      </c>
      <c r="AF3951" t="s">
        <v>4563</v>
      </c>
      <c r="AG3951" t="s">
        <v>4564</v>
      </c>
      <c r="AH3951">
        <v>89506</v>
      </c>
      <c r="AI3951" t="s">
        <v>21333</v>
      </c>
      <c r="AJ3951" t="s">
        <v>21334</v>
      </c>
      <c r="AK3951" t="s">
        <v>21335</v>
      </c>
      <c r="AL3951" s="13" t="s">
        <v>1901</v>
      </c>
      <c r="AM3951">
        <v>1</v>
      </c>
      <c r="AN3951" s="15" t="s">
        <v>5274</v>
      </c>
    </row>
    <row r="3952" spans="1:40" x14ac:dyDescent="0.3">
      <c r="A3952" s="10" t="str">
        <f>HYPERLINK("http://www.washoecounty.gov/assessor/cama/?parid=086-794-08&amp;CardNumber=1","086-794-08")</f>
        <v>086-794-08</v>
      </c>
      <c r="B3952" t="s">
        <v>4655</v>
      </c>
      <c r="C3952" t="s">
        <v>21336</v>
      </c>
      <c r="D3952" s="1">
        <v>40283</v>
      </c>
      <c r="E3952" s="2">
        <v>45469</v>
      </c>
      <c r="F3952" t="s">
        <v>4567</v>
      </c>
      <c r="G3952" s="17" t="str">
        <f>HYPERLINK("https://www.washoecounty.gov/assessor/cama/?command=sales&amp;parid=08679408","3871612")</f>
        <v>3871612</v>
      </c>
      <c r="H3952" t="s">
        <v>3157</v>
      </c>
      <c r="I3952">
        <v>1950</v>
      </c>
      <c r="J3952">
        <v>1950</v>
      </c>
      <c r="K3952" t="s">
        <v>4897</v>
      </c>
      <c r="L3952" t="s">
        <v>4555</v>
      </c>
      <c r="M3952" s="2">
        <v>988</v>
      </c>
      <c r="N3952" t="s">
        <v>4556</v>
      </c>
      <c r="O3952">
        <v>2</v>
      </c>
      <c r="P3952">
        <v>1</v>
      </c>
      <c r="Q3952">
        <v>0</v>
      </c>
      <c r="R3952" t="s">
        <v>4557</v>
      </c>
      <c r="S3952" t="s">
        <v>4574</v>
      </c>
      <c r="T3952" t="s">
        <v>4559</v>
      </c>
      <c r="U3952" t="s">
        <v>4655</v>
      </c>
      <c r="V3952" s="2">
        <v>0</v>
      </c>
      <c r="W3952" t="s">
        <v>4655</v>
      </c>
      <c r="X3952" s="2">
        <v>0</v>
      </c>
      <c r="Y3952">
        <v>20</v>
      </c>
      <c r="Z3952" t="s">
        <v>365</v>
      </c>
      <c r="AA3952" s="3">
        <v>0.20101010799408001</v>
      </c>
      <c r="AB3952" t="s">
        <v>2442</v>
      </c>
      <c r="AC3952" t="s">
        <v>4575</v>
      </c>
      <c r="AD3952" t="s">
        <v>21337</v>
      </c>
      <c r="AE3952" t="s">
        <v>4655</v>
      </c>
      <c r="AF3952" t="s">
        <v>21338</v>
      </c>
      <c r="AG3952" t="s">
        <v>2782</v>
      </c>
      <c r="AH3952">
        <v>44035</v>
      </c>
      <c r="AI3952" t="s">
        <v>21339</v>
      </c>
      <c r="AJ3952" t="s">
        <v>21340</v>
      </c>
      <c r="AK3952" t="s">
        <v>21341</v>
      </c>
      <c r="AL3952" s="13" t="s">
        <v>1901</v>
      </c>
      <c r="AM3952">
        <v>1</v>
      </c>
      <c r="AN3952" s="15" t="s">
        <v>5274</v>
      </c>
    </row>
    <row r="3953" spans="1:40" x14ac:dyDescent="0.3">
      <c r="A3953" s="10" t="str">
        <f>HYPERLINK("http://www.washoecounty.gov/assessor/cama/?parid=086-794-11&amp;CardNumber=1","086-794-11")</f>
        <v>086-794-11</v>
      </c>
      <c r="B3953" t="s">
        <v>4655</v>
      </c>
      <c r="C3953" t="s">
        <v>21342</v>
      </c>
      <c r="D3953" s="1">
        <v>40296</v>
      </c>
      <c r="E3953" s="2">
        <v>47900</v>
      </c>
      <c r="F3953" t="s">
        <v>4553</v>
      </c>
      <c r="G3953" s="17" t="str">
        <f>HYPERLINK("https://www.washoecounty.gov/assessor/cama/?command=sales&amp;parid=08679411","3875784")</f>
        <v>3875784</v>
      </c>
      <c r="H3953" t="s">
        <v>3157</v>
      </c>
      <c r="I3953">
        <v>1950</v>
      </c>
      <c r="J3953">
        <v>1950</v>
      </c>
      <c r="K3953" t="s">
        <v>4897</v>
      </c>
      <c r="L3953" t="s">
        <v>4555</v>
      </c>
      <c r="M3953" s="2">
        <v>988</v>
      </c>
      <c r="N3953" t="s">
        <v>4556</v>
      </c>
      <c r="O3953">
        <v>2</v>
      </c>
      <c r="P3953">
        <v>1</v>
      </c>
      <c r="Q3953">
        <v>0</v>
      </c>
      <c r="R3953" t="s">
        <v>4557</v>
      </c>
      <c r="S3953" t="s">
        <v>4574</v>
      </c>
      <c r="T3953" t="s">
        <v>4559</v>
      </c>
      <c r="U3953" t="s">
        <v>4655</v>
      </c>
      <c r="V3953" s="2">
        <v>0</v>
      </c>
      <c r="W3953" t="s">
        <v>4655</v>
      </c>
      <c r="X3953" s="2">
        <v>0</v>
      </c>
      <c r="Y3953">
        <v>20</v>
      </c>
      <c r="Z3953" t="s">
        <v>365</v>
      </c>
      <c r="AA3953" s="3">
        <v>0.13700643181800801</v>
      </c>
      <c r="AB3953" t="s">
        <v>1106</v>
      </c>
      <c r="AC3953" t="s">
        <v>4562</v>
      </c>
      <c r="AD3953" t="s">
        <v>1107</v>
      </c>
      <c r="AE3953" t="s">
        <v>4655</v>
      </c>
      <c r="AF3953" t="s">
        <v>4563</v>
      </c>
      <c r="AG3953" t="s">
        <v>4564</v>
      </c>
      <c r="AH3953" t="s">
        <v>1147</v>
      </c>
      <c r="AI3953" t="s">
        <v>1267</v>
      </c>
      <c r="AJ3953" t="s">
        <v>21343</v>
      </c>
      <c r="AK3953" t="s">
        <v>21344</v>
      </c>
      <c r="AL3953" s="13" t="s">
        <v>1901</v>
      </c>
      <c r="AM3953">
        <v>1</v>
      </c>
      <c r="AN3953" s="15" t="s">
        <v>5274</v>
      </c>
    </row>
    <row r="3954" spans="1:40" x14ac:dyDescent="0.3">
      <c r="A3954" s="10" t="str">
        <f>HYPERLINK("http://www.washoecounty.gov/assessor/cama/?parid=086-810-10&amp;CardNumber=1","086-810-10")</f>
        <v>086-810-10</v>
      </c>
      <c r="B3954" t="s">
        <v>4655</v>
      </c>
      <c r="C3954" t="s">
        <v>21345</v>
      </c>
      <c r="D3954" s="1">
        <v>40193</v>
      </c>
      <c r="E3954" s="2">
        <v>110000</v>
      </c>
      <c r="F3954" t="s">
        <v>4567</v>
      </c>
      <c r="G3954" s="17" t="str">
        <f>HYPERLINK("https://www.washoecounty.gov/assessor/cama/?command=sales&amp;parid=08681010","3840039")</f>
        <v>3840039</v>
      </c>
      <c r="H3954" t="s">
        <v>21346</v>
      </c>
      <c r="I3954">
        <v>2006</v>
      </c>
      <c r="J3954">
        <v>2006</v>
      </c>
      <c r="K3954" t="s">
        <v>4554</v>
      </c>
      <c r="L3954" t="s">
        <v>3974</v>
      </c>
      <c r="M3954" s="2">
        <v>1276</v>
      </c>
      <c r="N3954" t="s">
        <v>5280</v>
      </c>
      <c r="O3954">
        <v>3</v>
      </c>
      <c r="P3954">
        <v>2</v>
      </c>
      <c r="Q3954">
        <v>0</v>
      </c>
      <c r="R3954" t="s">
        <v>4557</v>
      </c>
      <c r="S3954" t="s">
        <v>4898</v>
      </c>
      <c r="T3954" t="s">
        <v>2704</v>
      </c>
      <c r="U3954" t="s">
        <v>4560</v>
      </c>
      <c r="V3954" s="2">
        <v>456</v>
      </c>
      <c r="W3954" t="s">
        <v>4655</v>
      </c>
      <c r="X3954" s="2">
        <v>0</v>
      </c>
      <c r="Y3954">
        <v>20</v>
      </c>
      <c r="Z3954" t="s">
        <v>4144</v>
      </c>
      <c r="AA3954" s="3">
        <v>0.22502295672893499</v>
      </c>
      <c r="AB3954" t="s">
        <v>21347</v>
      </c>
      <c r="AC3954" t="s">
        <v>4562</v>
      </c>
      <c r="AD3954" t="s">
        <v>21348</v>
      </c>
      <c r="AE3954" t="s">
        <v>4655</v>
      </c>
      <c r="AF3954" t="s">
        <v>4563</v>
      </c>
      <c r="AG3954" t="s">
        <v>4564</v>
      </c>
      <c r="AH3954">
        <v>89506</v>
      </c>
      <c r="AI3954" t="s">
        <v>21349</v>
      </c>
      <c r="AJ3954" t="s">
        <v>21350</v>
      </c>
      <c r="AK3954" t="s">
        <v>21351</v>
      </c>
      <c r="AL3954" s="13" t="s">
        <v>1901</v>
      </c>
      <c r="AM3954">
        <v>1</v>
      </c>
      <c r="AN3954" s="15" t="s">
        <v>1439</v>
      </c>
    </row>
    <row r="3955" spans="1:40" x14ac:dyDescent="0.3">
      <c r="A3955" s="10" t="str">
        <f>HYPERLINK("http://www.washoecounty.gov/assessor/cama/?parid=086-810-11&amp;CardNumber=1","086-810-11")</f>
        <v>086-810-11</v>
      </c>
      <c r="B3955" t="s">
        <v>4655</v>
      </c>
      <c r="C3955" t="s">
        <v>21352</v>
      </c>
      <c r="D3955" s="1">
        <v>40323</v>
      </c>
      <c r="E3955" s="2">
        <v>120000</v>
      </c>
      <c r="F3955" t="s">
        <v>4567</v>
      </c>
      <c r="G3955" s="17" t="str">
        <f>HYPERLINK("https://www.washoecounty.gov/assessor/cama/?command=sales&amp;parid=08681011","3885103")</f>
        <v>3885103</v>
      </c>
      <c r="H3955" t="s">
        <v>21346</v>
      </c>
      <c r="I3955">
        <v>2006</v>
      </c>
      <c r="J3955">
        <v>2006</v>
      </c>
      <c r="K3955" t="s">
        <v>4554</v>
      </c>
      <c r="L3955" t="s">
        <v>3974</v>
      </c>
      <c r="M3955" s="2">
        <v>1436</v>
      </c>
      <c r="N3955" t="s">
        <v>5280</v>
      </c>
      <c r="O3955">
        <v>3</v>
      </c>
      <c r="P3955">
        <v>2</v>
      </c>
      <c r="Q3955">
        <v>1</v>
      </c>
      <c r="R3955" t="s">
        <v>4557</v>
      </c>
      <c r="S3955" t="s">
        <v>4898</v>
      </c>
      <c r="T3955" t="s">
        <v>2704</v>
      </c>
      <c r="U3955" t="s">
        <v>5631</v>
      </c>
      <c r="V3955" s="2">
        <v>456</v>
      </c>
      <c r="W3955" t="s">
        <v>4655</v>
      </c>
      <c r="X3955" s="2">
        <v>0</v>
      </c>
      <c r="Y3955">
        <v>20</v>
      </c>
      <c r="Z3955" t="s">
        <v>365</v>
      </c>
      <c r="AA3955" s="3">
        <v>0.15241046249866499</v>
      </c>
      <c r="AB3955" t="s">
        <v>21353</v>
      </c>
      <c r="AC3955" t="s">
        <v>4562</v>
      </c>
      <c r="AD3955" t="s">
        <v>21352</v>
      </c>
      <c r="AE3955" t="s">
        <v>4655</v>
      </c>
      <c r="AF3955" t="s">
        <v>4563</v>
      </c>
      <c r="AG3955" t="s">
        <v>4564</v>
      </c>
      <c r="AH3955">
        <v>89506</v>
      </c>
      <c r="AI3955" t="s">
        <v>21354</v>
      </c>
      <c r="AJ3955" t="s">
        <v>21350</v>
      </c>
      <c r="AK3955" t="s">
        <v>21355</v>
      </c>
      <c r="AL3955" s="13" t="s">
        <v>1901</v>
      </c>
      <c r="AM3955">
        <v>1</v>
      </c>
      <c r="AN3955" s="15" t="s">
        <v>1439</v>
      </c>
    </row>
    <row r="3956" spans="1:40" x14ac:dyDescent="0.3">
      <c r="A3956" s="10" t="str">
        <f>HYPERLINK("http://www.washoecounty.gov/assessor/cama/?parid=086-810-12&amp;CardNumber=1","086-810-12")</f>
        <v>086-810-12</v>
      </c>
      <c r="B3956" t="s">
        <v>4655</v>
      </c>
      <c r="C3956" t="s">
        <v>21356</v>
      </c>
      <c r="D3956" s="1">
        <v>40288</v>
      </c>
      <c r="E3956" s="2">
        <v>100000</v>
      </c>
      <c r="F3956" t="s">
        <v>4567</v>
      </c>
      <c r="G3956" s="17" t="str">
        <f>HYPERLINK("https://www.washoecounty.gov/assessor/cama/?command=sales&amp;parid=08681012","3872800")</f>
        <v>3872800</v>
      </c>
      <c r="H3956" t="s">
        <v>21346</v>
      </c>
      <c r="I3956">
        <v>2006</v>
      </c>
      <c r="J3956">
        <v>2006</v>
      </c>
      <c r="K3956" t="s">
        <v>4554</v>
      </c>
      <c r="L3956" t="s">
        <v>3974</v>
      </c>
      <c r="M3956" s="2">
        <v>1232</v>
      </c>
      <c r="N3956" t="s">
        <v>5280</v>
      </c>
      <c r="O3956">
        <v>3</v>
      </c>
      <c r="P3956">
        <v>2</v>
      </c>
      <c r="Q3956">
        <v>1</v>
      </c>
      <c r="R3956" t="s">
        <v>4557</v>
      </c>
      <c r="S3956" t="s">
        <v>4898</v>
      </c>
      <c r="T3956" t="s">
        <v>2704</v>
      </c>
      <c r="U3956" t="s">
        <v>4560</v>
      </c>
      <c r="V3956" s="2">
        <v>456</v>
      </c>
      <c r="W3956" t="s">
        <v>4655</v>
      </c>
      <c r="X3956" s="2">
        <v>0</v>
      </c>
      <c r="Y3956">
        <v>20</v>
      </c>
      <c r="Z3956" t="s">
        <v>365</v>
      </c>
      <c r="AA3956" s="3">
        <v>0.159527093172073</v>
      </c>
      <c r="AB3956" t="s">
        <v>21357</v>
      </c>
      <c r="AC3956" t="s">
        <v>4562</v>
      </c>
      <c r="AD3956" t="s">
        <v>21358</v>
      </c>
      <c r="AE3956" t="s">
        <v>4655</v>
      </c>
      <c r="AF3956" t="s">
        <v>4563</v>
      </c>
      <c r="AG3956" t="s">
        <v>4564</v>
      </c>
      <c r="AH3956">
        <v>89506</v>
      </c>
      <c r="AI3956" t="s">
        <v>21359</v>
      </c>
      <c r="AJ3956" t="s">
        <v>21350</v>
      </c>
      <c r="AK3956" t="s">
        <v>21360</v>
      </c>
      <c r="AL3956" s="13" t="s">
        <v>1901</v>
      </c>
      <c r="AM3956">
        <v>1</v>
      </c>
      <c r="AN3956" s="15" t="s">
        <v>1439</v>
      </c>
    </row>
    <row r="3957" spans="1:40" x14ac:dyDescent="0.3">
      <c r="A3957" s="10" t="str">
        <f>HYPERLINK("http://www.washoecounty.gov/assessor/cama/?parid=086-810-13&amp;CardNumber=1","086-810-13")</f>
        <v>086-810-13</v>
      </c>
      <c r="B3957" t="s">
        <v>4655</v>
      </c>
      <c r="C3957" t="s">
        <v>21361</v>
      </c>
      <c r="D3957" s="1">
        <v>40422</v>
      </c>
      <c r="E3957" s="2">
        <v>125000</v>
      </c>
      <c r="F3957" t="s">
        <v>4553</v>
      </c>
      <c r="G3957" s="17" t="str">
        <f>HYPERLINK("https://www.washoecounty.gov/assessor/cama/?command=sales&amp;parid=08681013","3918098")</f>
        <v>3918098</v>
      </c>
      <c r="H3957" t="s">
        <v>21346</v>
      </c>
      <c r="I3957">
        <v>2006</v>
      </c>
      <c r="J3957">
        <v>2006</v>
      </c>
      <c r="K3957" t="s">
        <v>4554</v>
      </c>
      <c r="L3957" t="s">
        <v>3974</v>
      </c>
      <c r="M3957" s="2">
        <v>1436</v>
      </c>
      <c r="N3957" t="s">
        <v>5280</v>
      </c>
      <c r="O3957">
        <v>3</v>
      </c>
      <c r="P3957">
        <v>2</v>
      </c>
      <c r="Q3957">
        <v>1</v>
      </c>
      <c r="R3957" t="s">
        <v>4557</v>
      </c>
      <c r="S3957" t="s">
        <v>4898</v>
      </c>
      <c r="T3957" t="s">
        <v>2704</v>
      </c>
      <c r="U3957" t="s">
        <v>5631</v>
      </c>
      <c r="V3957" s="2">
        <v>456</v>
      </c>
      <c r="W3957" t="s">
        <v>4655</v>
      </c>
      <c r="X3957" s="2">
        <v>0</v>
      </c>
      <c r="Y3957">
        <v>20</v>
      </c>
      <c r="Z3957" t="s">
        <v>365</v>
      </c>
      <c r="AA3957" s="3">
        <v>0.20286960899829901</v>
      </c>
      <c r="AB3957" t="s">
        <v>21362</v>
      </c>
      <c r="AC3957" t="s">
        <v>4562</v>
      </c>
      <c r="AD3957" t="s">
        <v>21361</v>
      </c>
      <c r="AE3957" t="s">
        <v>4655</v>
      </c>
      <c r="AF3957" t="s">
        <v>4563</v>
      </c>
      <c r="AG3957" t="s">
        <v>4564</v>
      </c>
      <c r="AH3957">
        <v>89056</v>
      </c>
      <c r="AI3957" t="s">
        <v>4503</v>
      </c>
      <c r="AJ3957" t="s">
        <v>21350</v>
      </c>
      <c r="AK3957" t="s">
        <v>21363</v>
      </c>
      <c r="AL3957" s="13" t="s">
        <v>1901</v>
      </c>
      <c r="AM3957">
        <v>1</v>
      </c>
      <c r="AN3957" s="15" t="s">
        <v>1439</v>
      </c>
    </row>
    <row r="3958" spans="1:40" x14ac:dyDescent="0.3">
      <c r="A3958" s="10" t="str">
        <f>HYPERLINK("http://www.washoecounty.gov/assessor/cama/?parid=086-821-03&amp;CardNumber=1","086-821-03")</f>
        <v>086-821-03</v>
      </c>
      <c r="B3958" t="s">
        <v>4655</v>
      </c>
      <c r="C3958" t="s">
        <v>21364</v>
      </c>
      <c r="D3958" s="1">
        <v>40221</v>
      </c>
      <c r="E3958" s="2">
        <v>92000</v>
      </c>
      <c r="F3958" t="s">
        <v>4553</v>
      </c>
      <c r="G3958" s="17" t="str">
        <f>HYPERLINK("https://www.washoecounty.gov/assessor/cama/?command=sales&amp;parid=08682103","3848828")</f>
        <v>3848828</v>
      </c>
      <c r="H3958" t="s">
        <v>1440</v>
      </c>
      <c r="I3958">
        <v>2004</v>
      </c>
      <c r="J3958">
        <v>2004</v>
      </c>
      <c r="K3958" t="s">
        <v>4554</v>
      </c>
      <c r="L3958" t="s">
        <v>3974</v>
      </c>
      <c r="M3958" s="2">
        <v>1276</v>
      </c>
      <c r="N3958" t="s">
        <v>5280</v>
      </c>
      <c r="O3958">
        <v>3</v>
      </c>
      <c r="P3958">
        <v>2</v>
      </c>
      <c r="Q3958">
        <v>0</v>
      </c>
      <c r="R3958" t="s">
        <v>5281</v>
      </c>
      <c r="S3958" t="s">
        <v>4898</v>
      </c>
      <c r="T3958" t="s">
        <v>2704</v>
      </c>
      <c r="U3958" t="s">
        <v>4560</v>
      </c>
      <c r="V3958" s="2">
        <v>456</v>
      </c>
      <c r="W3958" t="s">
        <v>4655</v>
      </c>
      <c r="X3958" s="2">
        <v>0</v>
      </c>
      <c r="Y3958">
        <v>20</v>
      </c>
      <c r="Z3958" t="s">
        <v>365</v>
      </c>
      <c r="AA3958" s="3">
        <v>0.18753443658351898</v>
      </c>
      <c r="AB3958" t="s">
        <v>4673</v>
      </c>
      <c r="AC3958" t="s">
        <v>4562</v>
      </c>
      <c r="AD3958" t="s">
        <v>21365</v>
      </c>
      <c r="AE3958" t="s">
        <v>4655</v>
      </c>
      <c r="AF3958" t="s">
        <v>4563</v>
      </c>
      <c r="AG3958" t="s">
        <v>4564</v>
      </c>
      <c r="AH3958">
        <v>89505</v>
      </c>
      <c r="AI3958" t="s">
        <v>2009</v>
      </c>
      <c r="AJ3958" t="s">
        <v>1435</v>
      </c>
      <c r="AK3958" t="s">
        <v>21366</v>
      </c>
      <c r="AL3958" s="13" t="s">
        <v>1901</v>
      </c>
      <c r="AM3958">
        <v>1</v>
      </c>
      <c r="AN3958" s="15" t="s">
        <v>1439</v>
      </c>
    </row>
    <row r="3959" spans="1:40" x14ac:dyDescent="0.3">
      <c r="A3959" s="10" t="str">
        <f>HYPERLINK("http://www.washoecounty.gov/assessor/cama/?parid=086-821-04&amp;CardNumber=1","086-821-04")</f>
        <v>086-821-04</v>
      </c>
      <c r="B3959" t="s">
        <v>4655</v>
      </c>
      <c r="C3959" t="s">
        <v>21367</v>
      </c>
      <c r="D3959" s="1">
        <v>40351</v>
      </c>
      <c r="E3959" s="2">
        <v>147000</v>
      </c>
      <c r="F3959" t="s">
        <v>4567</v>
      </c>
      <c r="G3959" s="17" t="str">
        <f>HYPERLINK("https://www.washoecounty.gov/assessor/cama/?command=sales&amp;parid=08682104","3894439")</f>
        <v>3894439</v>
      </c>
      <c r="H3959" t="s">
        <v>1440</v>
      </c>
      <c r="I3959">
        <v>2004</v>
      </c>
      <c r="J3959">
        <v>2004</v>
      </c>
      <c r="K3959" t="s">
        <v>4554</v>
      </c>
      <c r="L3959" t="s">
        <v>3974</v>
      </c>
      <c r="M3959" s="2">
        <v>1771</v>
      </c>
      <c r="N3959" t="s">
        <v>5280</v>
      </c>
      <c r="O3959">
        <v>3</v>
      </c>
      <c r="P3959">
        <v>2</v>
      </c>
      <c r="Q3959">
        <v>1</v>
      </c>
      <c r="R3959" t="s">
        <v>4557</v>
      </c>
      <c r="S3959" t="s">
        <v>4898</v>
      </c>
      <c r="T3959" t="s">
        <v>2704</v>
      </c>
      <c r="U3959" t="s">
        <v>5631</v>
      </c>
      <c r="V3959" s="2">
        <v>456</v>
      </c>
      <c r="W3959" t="s">
        <v>4655</v>
      </c>
      <c r="X3959" s="2">
        <v>0</v>
      </c>
      <c r="Y3959">
        <v>20</v>
      </c>
      <c r="Z3959" t="s">
        <v>365</v>
      </c>
      <c r="AA3959" s="3">
        <v>0.17001836001873</v>
      </c>
      <c r="AB3959" t="s">
        <v>21368</v>
      </c>
      <c r="AC3959" t="s">
        <v>4562</v>
      </c>
      <c r="AD3959" t="s">
        <v>21367</v>
      </c>
      <c r="AE3959" t="s">
        <v>4655</v>
      </c>
      <c r="AF3959" t="s">
        <v>4563</v>
      </c>
      <c r="AG3959" t="s">
        <v>4564</v>
      </c>
      <c r="AH3959">
        <v>89506</v>
      </c>
      <c r="AI3959" t="s">
        <v>21369</v>
      </c>
      <c r="AJ3959" t="s">
        <v>1435</v>
      </c>
      <c r="AK3959" t="s">
        <v>21370</v>
      </c>
      <c r="AL3959" s="13" t="s">
        <v>1901</v>
      </c>
      <c r="AM3959">
        <v>1</v>
      </c>
      <c r="AN3959" s="15" t="s">
        <v>1439</v>
      </c>
    </row>
    <row r="3960" spans="1:40" x14ac:dyDescent="0.3">
      <c r="A3960" s="10" t="str">
        <f>HYPERLINK("http://www.washoecounty.gov/assessor/cama/?parid=086-821-05&amp;CardNumber=1","086-821-05")</f>
        <v>086-821-05</v>
      </c>
      <c r="B3960" t="s">
        <v>4655</v>
      </c>
      <c r="C3960" t="s">
        <v>21371</v>
      </c>
      <c r="D3960" s="1">
        <v>40535</v>
      </c>
      <c r="E3960" s="2">
        <v>109000</v>
      </c>
      <c r="F3960" t="s">
        <v>4567</v>
      </c>
      <c r="G3960" s="17" t="str">
        <f>HYPERLINK("https://www.washoecounty.gov/assessor/cama/?command=sales&amp;parid=08682105","3956972")</f>
        <v>3956972</v>
      </c>
      <c r="H3960" t="s">
        <v>1440</v>
      </c>
      <c r="I3960">
        <v>2004</v>
      </c>
      <c r="J3960">
        <v>2004</v>
      </c>
      <c r="K3960" t="s">
        <v>4554</v>
      </c>
      <c r="L3960" t="s">
        <v>3974</v>
      </c>
      <c r="M3960" s="2">
        <v>1436</v>
      </c>
      <c r="N3960" t="s">
        <v>5280</v>
      </c>
      <c r="O3960">
        <v>3</v>
      </c>
      <c r="P3960">
        <v>2</v>
      </c>
      <c r="Q3960">
        <v>1</v>
      </c>
      <c r="R3960" t="s">
        <v>4557</v>
      </c>
      <c r="S3960" t="s">
        <v>4898</v>
      </c>
      <c r="T3960" t="s">
        <v>2704</v>
      </c>
      <c r="U3960" t="s">
        <v>5631</v>
      </c>
      <c r="V3960" s="2">
        <v>456</v>
      </c>
      <c r="W3960" t="s">
        <v>4655</v>
      </c>
      <c r="X3960" s="2">
        <v>0</v>
      </c>
      <c r="Y3960">
        <v>20</v>
      </c>
      <c r="Z3960" t="s">
        <v>365</v>
      </c>
      <c r="AA3960" s="3">
        <v>0.18149678409099601</v>
      </c>
      <c r="AB3960" t="s">
        <v>21372</v>
      </c>
      <c r="AC3960" t="s">
        <v>4562</v>
      </c>
      <c r="AD3960" t="s">
        <v>21371</v>
      </c>
      <c r="AE3960" t="s">
        <v>4655</v>
      </c>
      <c r="AF3960" t="s">
        <v>4563</v>
      </c>
      <c r="AG3960" t="s">
        <v>4564</v>
      </c>
      <c r="AH3960">
        <v>89506</v>
      </c>
      <c r="AI3960" t="s">
        <v>21373</v>
      </c>
      <c r="AJ3960" t="s">
        <v>1435</v>
      </c>
      <c r="AK3960" t="s">
        <v>21374</v>
      </c>
      <c r="AL3960" s="13" t="s">
        <v>1901</v>
      </c>
      <c r="AM3960">
        <v>1</v>
      </c>
      <c r="AN3960" s="15" t="s">
        <v>1439</v>
      </c>
    </row>
    <row r="3961" spans="1:40" x14ac:dyDescent="0.3">
      <c r="A3961" s="10" t="str">
        <f>HYPERLINK("http://www.washoecounty.gov/assessor/cama/?parid=086-821-11&amp;CardNumber=1","086-821-11")</f>
        <v>086-821-11</v>
      </c>
      <c r="B3961" t="s">
        <v>4655</v>
      </c>
      <c r="C3961" t="s">
        <v>21375</v>
      </c>
      <c r="D3961" s="1">
        <v>40233</v>
      </c>
      <c r="E3961" s="2">
        <v>110000</v>
      </c>
      <c r="F3961" t="s">
        <v>4567</v>
      </c>
      <c r="G3961" s="17" t="str">
        <f>HYPERLINK("https://www.washoecounty.gov/assessor/cama/?command=sales&amp;parid=08682111","3852249")</f>
        <v>3852249</v>
      </c>
      <c r="H3961" t="s">
        <v>1440</v>
      </c>
      <c r="I3961">
        <v>2004</v>
      </c>
      <c r="J3961">
        <v>2004</v>
      </c>
      <c r="K3961" t="s">
        <v>4554</v>
      </c>
      <c r="L3961" t="s">
        <v>3974</v>
      </c>
      <c r="M3961" s="2">
        <v>1436</v>
      </c>
      <c r="N3961" t="s">
        <v>5280</v>
      </c>
      <c r="O3961">
        <v>3</v>
      </c>
      <c r="P3961">
        <v>2</v>
      </c>
      <c r="Q3961">
        <v>1</v>
      </c>
      <c r="R3961" t="s">
        <v>5281</v>
      </c>
      <c r="S3961" t="s">
        <v>4898</v>
      </c>
      <c r="T3961" t="s">
        <v>2704</v>
      </c>
      <c r="U3961" t="s">
        <v>5631</v>
      </c>
      <c r="V3961" s="2">
        <v>456</v>
      </c>
      <c r="W3961" t="s">
        <v>4655</v>
      </c>
      <c r="X3961" s="2">
        <v>0</v>
      </c>
      <c r="Y3961">
        <v>20</v>
      </c>
      <c r="Z3961" t="s">
        <v>365</v>
      </c>
      <c r="AA3961" s="3">
        <v>0.112695135176182</v>
      </c>
      <c r="AB3961" t="s">
        <v>21376</v>
      </c>
      <c r="AC3961" t="s">
        <v>4562</v>
      </c>
      <c r="AD3961" t="s">
        <v>21375</v>
      </c>
      <c r="AE3961" t="s">
        <v>4655</v>
      </c>
      <c r="AF3961" t="s">
        <v>4563</v>
      </c>
      <c r="AG3961" t="s">
        <v>4564</v>
      </c>
      <c r="AH3961">
        <v>89506</v>
      </c>
      <c r="AI3961" t="s">
        <v>21377</v>
      </c>
      <c r="AJ3961" t="s">
        <v>1435</v>
      </c>
      <c r="AK3961" t="s">
        <v>21378</v>
      </c>
      <c r="AL3961" s="13" t="s">
        <v>1901</v>
      </c>
      <c r="AM3961">
        <v>1</v>
      </c>
      <c r="AN3961" s="15" t="s">
        <v>1439</v>
      </c>
    </row>
    <row r="3962" spans="1:40" x14ac:dyDescent="0.3">
      <c r="A3962" s="10" t="str">
        <f>HYPERLINK("http://www.washoecounty.gov/assessor/cama/?parid=086-821-14&amp;CardNumber=1","086-821-14")</f>
        <v>086-821-14</v>
      </c>
      <c r="B3962" t="s">
        <v>4655</v>
      </c>
      <c r="C3962" t="s">
        <v>21379</v>
      </c>
      <c r="D3962" s="1">
        <v>40211</v>
      </c>
      <c r="E3962" s="2">
        <v>101000</v>
      </c>
      <c r="F3962" t="s">
        <v>4553</v>
      </c>
      <c r="G3962" s="17" t="str">
        <f>HYPERLINK("https://www.washoecounty.gov/assessor/cama/?command=sales&amp;parid=08682114","3845280")</f>
        <v>3845280</v>
      </c>
      <c r="H3962" t="s">
        <v>1440</v>
      </c>
      <c r="I3962">
        <v>2004</v>
      </c>
      <c r="J3962">
        <v>2004</v>
      </c>
      <c r="K3962" t="s">
        <v>4554</v>
      </c>
      <c r="L3962" t="s">
        <v>3974</v>
      </c>
      <c r="M3962" s="2">
        <v>1276</v>
      </c>
      <c r="N3962" t="s">
        <v>5280</v>
      </c>
      <c r="O3962">
        <v>3</v>
      </c>
      <c r="P3962">
        <v>2</v>
      </c>
      <c r="Q3962">
        <v>0</v>
      </c>
      <c r="R3962" t="s">
        <v>4557</v>
      </c>
      <c r="S3962" t="s">
        <v>4898</v>
      </c>
      <c r="T3962" t="s">
        <v>2704</v>
      </c>
      <c r="U3962" t="s">
        <v>4560</v>
      </c>
      <c r="V3962" s="2">
        <v>456</v>
      </c>
      <c r="W3962" t="s">
        <v>4655</v>
      </c>
      <c r="X3962" s="2">
        <v>0</v>
      </c>
      <c r="Y3962">
        <v>20</v>
      </c>
      <c r="Z3962" t="s">
        <v>365</v>
      </c>
      <c r="AA3962" s="3">
        <v>0.107736453413963</v>
      </c>
      <c r="AB3962" t="s">
        <v>21380</v>
      </c>
      <c r="AC3962" t="s">
        <v>4575</v>
      </c>
      <c r="AD3962" t="s">
        <v>21381</v>
      </c>
      <c r="AE3962" t="s">
        <v>4655</v>
      </c>
      <c r="AF3962" t="s">
        <v>4563</v>
      </c>
      <c r="AG3962" t="s">
        <v>4564</v>
      </c>
      <c r="AH3962">
        <v>89508</v>
      </c>
      <c r="AI3962" t="s">
        <v>4655</v>
      </c>
      <c r="AJ3962" t="s">
        <v>1435</v>
      </c>
      <c r="AK3962" t="s">
        <v>21382</v>
      </c>
      <c r="AL3962" s="13" t="s">
        <v>1901</v>
      </c>
      <c r="AM3962">
        <v>1</v>
      </c>
      <c r="AN3962" s="15" t="s">
        <v>1439</v>
      </c>
    </row>
    <row r="3963" spans="1:40" x14ac:dyDescent="0.3">
      <c r="A3963" s="10" t="str">
        <f>HYPERLINK("http://www.washoecounty.gov/assessor/cama/?parid=086-830-01&amp;CardNumber=1","086-830-01")</f>
        <v>086-830-01</v>
      </c>
      <c r="B3963" t="s">
        <v>4655</v>
      </c>
      <c r="C3963" t="s">
        <v>21383</v>
      </c>
      <c r="D3963" s="1">
        <v>40227</v>
      </c>
      <c r="E3963" s="2">
        <v>91500</v>
      </c>
      <c r="F3963" t="s">
        <v>4553</v>
      </c>
      <c r="G3963" s="17" t="str">
        <f>HYPERLINK("https://www.washoecounty.gov/assessor/cama/?command=sales&amp;parid=08683001","3850509")</f>
        <v>3850509</v>
      </c>
      <c r="H3963" t="s">
        <v>1440</v>
      </c>
      <c r="I3963">
        <v>2004</v>
      </c>
      <c r="J3963">
        <v>2004</v>
      </c>
      <c r="K3963" t="s">
        <v>4554</v>
      </c>
      <c r="L3963" t="s">
        <v>3974</v>
      </c>
      <c r="M3963" s="2">
        <v>1232</v>
      </c>
      <c r="N3963" t="s">
        <v>5280</v>
      </c>
      <c r="O3963">
        <v>3</v>
      </c>
      <c r="P3963">
        <v>1</v>
      </c>
      <c r="Q3963">
        <v>1</v>
      </c>
      <c r="R3963" t="s">
        <v>4557</v>
      </c>
      <c r="S3963" t="s">
        <v>4898</v>
      </c>
      <c r="T3963" t="s">
        <v>2704</v>
      </c>
      <c r="U3963" t="s">
        <v>4560</v>
      </c>
      <c r="V3963" s="2">
        <v>456</v>
      </c>
      <c r="W3963" t="s">
        <v>4655</v>
      </c>
      <c r="X3963" s="2">
        <v>0</v>
      </c>
      <c r="Y3963">
        <v>20</v>
      </c>
      <c r="Z3963" t="s">
        <v>365</v>
      </c>
      <c r="AA3963" s="3">
        <v>0.119444444775581</v>
      </c>
      <c r="AB3963" t="s">
        <v>21384</v>
      </c>
      <c r="AC3963" t="s">
        <v>4562</v>
      </c>
      <c r="AD3963" t="s">
        <v>10666</v>
      </c>
      <c r="AE3963" t="s">
        <v>4655</v>
      </c>
      <c r="AF3963" t="s">
        <v>4563</v>
      </c>
      <c r="AG3963" t="s">
        <v>4564</v>
      </c>
      <c r="AH3963">
        <v>89506</v>
      </c>
      <c r="AI3963" t="s">
        <v>4655</v>
      </c>
      <c r="AJ3963" t="s">
        <v>1435</v>
      </c>
      <c r="AK3963" t="s">
        <v>21385</v>
      </c>
      <c r="AL3963" s="13" t="s">
        <v>1901</v>
      </c>
      <c r="AM3963">
        <v>1</v>
      </c>
      <c r="AN3963" s="15" t="s">
        <v>1439</v>
      </c>
    </row>
    <row r="3964" spans="1:40" x14ac:dyDescent="0.3">
      <c r="A3964" s="10" t="str">
        <f>HYPERLINK("http://www.washoecounty.gov/assessor/cama/?parid=086-830-10&amp;CardNumber=1","086-830-10")</f>
        <v>086-830-10</v>
      </c>
      <c r="B3964" t="s">
        <v>4655</v>
      </c>
      <c r="C3964" t="s">
        <v>21386</v>
      </c>
      <c r="D3964" s="1">
        <v>40451</v>
      </c>
      <c r="E3964" s="2">
        <v>103000</v>
      </c>
      <c r="F3964" t="s">
        <v>4567</v>
      </c>
      <c r="G3964" s="17" t="str">
        <f>HYPERLINK("https://www.washoecounty.gov/assessor/cama/?command=sales&amp;parid=08683010","3928258")</f>
        <v>3928258</v>
      </c>
      <c r="H3964" t="s">
        <v>1440</v>
      </c>
      <c r="I3964">
        <v>2004</v>
      </c>
      <c r="J3964">
        <v>2004</v>
      </c>
      <c r="K3964" t="s">
        <v>4554</v>
      </c>
      <c r="L3964" t="s">
        <v>3974</v>
      </c>
      <c r="M3964" s="2">
        <v>1232</v>
      </c>
      <c r="N3964" t="s">
        <v>5280</v>
      </c>
      <c r="O3964">
        <v>2</v>
      </c>
      <c r="P3964">
        <v>2</v>
      </c>
      <c r="Q3964">
        <v>1</v>
      </c>
      <c r="R3964" t="s">
        <v>5281</v>
      </c>
      <c r="S3964" t="s">
        <v>4898</v>
      </c>
      <c r="T3964" t="s">
        <v>2704</v>
      </c>
      <c r="U3964" t="s">
        <v>4560</v>
      </c>
      <c r="V3964" s="2">
        <v>456</v>
      </c>
      <c r="W3964" t="s">
        <v>4655</v>
      </c>
      <c r="X3964" s="2">
        <v>0</v>
      </c>
      <c r="Y3964">
        <v>20</v>
      </c>
      <c r="Z3964" t="s">
        <v>365</v>
      </c>
      <c r="AA3964" s="3">
        <v>0.111914597451687</v>
      </c>
      <c r="AB3964" t="s">
        <v>21387</v>
      </c>
      <c r="AC3964" t="s">
        <v>4562</v>
      </c>
      <c r="AD3964" t="s">
        <v>21388</v>
      </c>
      <c r="AE3964" t="s">
        <v>4655</v>
      </c>
      <c r="AF3964" t="s">
        <v>4563</v>
      </c>
      <c r="AG3964" t="s">
        <v>4564</v>
      </c>
      <c r="AH3964">
        <v>89506</v>
      </c>
      <c r="AI3964" t="s">
        <v>21389</v>
      </c>
      <c r="AJ3964" t="s">
        <v>1435</v>
      </c>
      <c r="AK3964" t="s">
        <v>21390</v>
      </c>
      <c r="AL3964" s="13" t="s">
        <v>1901</v>
      </c>
      <c r="AM3964">
        <v>1</v>
      </c>
      <c r="AN3964" s="15" t="s">
        <v>1439</v>
      </c>
    </row>
    <row r="3965" spans="1:40" x14ac:dyDescent="0.3">
      <c r="A3965" s="10" t="str">
        <f>HYPERLINK("http://www.washoecounty.gov/assessor/cama/?parid=086-841-04&amp;CardNumber=1","086-841-04")</f>
        <v>086-841-04</v>
      </c>
      <c r="B3965" t="s">
        <v>4655</v>
      </c>
      <c r="C3965" t="s">
        <v>21391</v>
      </c>
      <c r="D3965" s="1">
        <v>40288</v>
      </c>
      <c r="E3965" s="2">
        <v>115000</v>
      </c>
      <c r="F3965" t="s">
        <v>4567</v>
      </c>
      <c r="G3965" s="17" t="str">
        <f>HYPERLINK("https://www.washoecounty.gov/assessor/cama/?command=sales&amp;parid=08684104","3872816")</f>
        <v>3872816</v>
      </c>
      <c r="H3965" t="s">
        <v>3379</v>
      </c>
      <c r="I3965">
        <v>2005</v>
      </c>
      <c r="J3965">
        <v>2005</v>
      </c>
      <c r="K3965" t="s">
        <v>4554</v>
      </c>
      <c r="L3965" t="s">
        <v>4555</v>
      </c>
      <c r="M3965" s="2">
        <v>1250</v>
      </c>
      <c r="N3965" t="s">
        <v>4048</v>
      </c>
      <c r="O3965">
        <v>4</v>
      </c>
      <c r="P3965">
        <v>1</v>
      </c>
      <c r="Q3965">
        <v>0</v>
      </c>
      <c r="R3965" t="s">
        <v>4557</v>
      </c>
      <c r="S3965" t="s">
        <v>1187</v>
      </c>
      <c r="T3965" t="s">
        <v>4559</v>
      </c>
      <c r="U3965" t="s">
        <v>4655</v>
      </c>
      <c r="V3965" s="2">
        <v>0</v>
      </c>
      <c r="W3965" t="s">
        <v>4655</v>
      </c>
      <c r="X3965" s="2">
        <v>0</v>
      </c>
      <c r="Y3965">
        <v>20</v>
      </c>
      <c r="Z3965" t="s">
        <v>365</v>
      </c>
      <c r="AA3965" s="3">
        <v>0.118595041334629</v>
      </c>
      <c r="AB3965" t="s">
        <v>21392</v>
      </c>
      <c r="AC3965" t="s">
        <v>4562</v>
      </c>
      <c r="AD3965" t="s">
        <v>21393</v>
      </c>
      <c r="AE3965" t="s">
        <v>4655</v>
      </c>
      <c r="AF3965" t="s">
        <v>4563</v>
      </c>
      <c r="AG3965" t="s">
        <v>4564</v>
      </c>
      <c r="AH3965">
        <v>89506</v>
      </c>
      <c r="AI3965" t="s">
        <v>3380</v>
      </c>
      <c r="AJ3965" t="s">
        <v>3381</v>
      </c>
      <c r="AK3965" t="s">
        <v>21394</v>
      </c>
      <c r="AL3965" s="13" t="s">
        <v>1901</v>
      </c>
      <c r="AM3965">
        <v>1</v>
      </c>
      <c r="AN3965" s="15" t="s">
        <v>3155</v>
      </c>
    </row>
    <row r="3966" spans="1:40" x14ac:dyDescent="0.3">
      <c r="A3966" s="10" t="str">
        <f>HYPERLINK("http://www.washoecounty.gov/assessor/cama/?parid=087-043-14&amp;CardNumber=1","087-043-14")</f>
        <v>087-043-14</v>
      </c>
      <c r="B3966" t="s">
        <v>4655</v>
      </c>
      <c r="C3966" t="s">
        <v>21395</v>
      </c>
      <c r="D3966" s="1">
        <v>40207</v>
      </c>
      <c r="E3966" s="2">
        <v>82500</v>
      </c>
      <c r="F3966" t="s">
        <v>4553</v>
      </c>
      <c r="G3966" s="17" t="str">
        <f>HYPERLINK("https://www.washoecounty.gov/assessor/cama/?command=sales&amp;parid=08704314","3844256")</f>
        <v>3844256</v>
      </c>
      <c r="H3966" t="s">
        <v>4326</v>
      </c>
      <c r="I3966">
        <v>1987</v>
      </c>
      <c r="J3966">
        <v>1987</v>
      </c>
      <c r="K3966" t="s">
        <v>4847</v>
      </c>
      <c r="L3966" t="s">
        <v>4555</v>
      </c>
      <c r="M3966" s="2">
        <v>1713</v>
      </c>
      <c r="N3966" t="s">
        <v>3147</v>
      </c>
      <c r="O3966">
        <v>2</v>
      </c>
      <c r="P3966">
        <v>2</v>
      </c>
      <c r="Q3966">
        <v>0</v>
      </c>
      <c r="R3966" t="s">
        <v>4557</v>
      </c>
      <c r="S3966" t="s">
        <v>4558</v>
      </c>
      <c r="T3966" t="s">
        <v>4559</v>
      </c>
      <c r="U3966" t="s">
        <v>4655</v>
      </c>
      <c r="V3966" s="2">
        <v>0</v>
      </c>
      <c r="W3966" t="s">
        <v>4655</v>
      </c>
      <c r="X3966" s="2">
        <v>0</v>
      </c>
      <c r="Y3966">
        <v>22</v>
      </c>
      <c r="Z3966" t="s">
        <v>3884</v>
      </c>
      <c r="AA3966" s="3">
        <v>1.0429981946945099</v>
      </c>
      <c r="AB3966" t="s">
        <v>21396</v>
      </c>
      <c r="AC3966" t="s">
        <v>4575</v>
      </c>
      <c r="AD3966" t="s">
        <v>21397</v>
      </c>
      <c r="AE3966" t="s">
        <v>4655</v>
      </c>
      <c r="AF3966" t="s">
        <v>21398</v>
      </c>
      <c r="AG3966" t="s">
        <v>5277</v>
      </c>
      <c r="AH3966" t="s">
        <v>21399</v>
      </c>
      <c r="AI3966" t="s">
        <v>21400</v>
      </c>
      <c r="AJ3966" t="s">
        <v>4655</v>
      </c>
      <c r="AK3966" t="s">
        <v>21401</v>
      </c>
      <c r="AL3966" s="13" t="s">
        <v>1892</v>
      </c>
      <c r="AM3966">
        <v>1</v>
      </c>
      <c r="AN3966" s="15" t="s">
        <v>4327</v>
      </c>
    </row>
    <row r="3967" spans="1:40" x14ac:dyDescent="0.3">
      <c r="A3967" s="10" t="str">
        <f>HYPERLINK("http://www.washoecounty.gov/assessor/cama/?parid=087-044-13&amp;CardNumber=1","087-044-13")</f>
        <v>087-044-13</v>
      </c>
      <c r="B3967" t="s">
        <v>4655</v>
      </c>
      <c r="C3967" t="s">
        <v>21402</v>
      </c>
      <c r="D3967" s="1">
        <v>40310</v>
      </c>
      <c r="E3967" s="2">
        <v>69000</v>
      </c>
      <c r="F3967" t="s">
        <v>4553</v>
      </c>
      <c r="G3967" s="17" t="str">
        <f>HYPERLINK("https://www.washoecounty.gov/assessor/cama/?command=sales&amp;parid=08704413","3880796")</f>
        <v>3880796</v>
      </c>
      <c r="H3967" t="s">
        <v>4326</v>
      </c>
      <c r="I3967">
        <v>1935</v>
      </c>
      <c r="J3967">
        <v>1935</v>
      </c>
      <c r="K3967" t="s">
        <v>4554</v>
      </c>
      <c r="L3967" t="s">
        <v>4555</v>
      </c>
      <c r="M3967" s="2">
        <v>1880</v>
      </c>
      <c r="N3967" t="s">
        <v>4133</v>
      </c>
      <c r="O3967">
        <v>3</v>
      </c>
      <c r="P3967">
        <v>2</v>
      </c>
      <c r="Q3967">
        <v>0</v>
      </c>
      <c r="R3967" t="s">
        <v>1800</v>
      </c>
      <c r="S3967" t="s">
        <v>4135</v>
      </c>
      <c r="T3967" t="s">
        <v>4559</v>
      </c>
      <c r="U3967" t="s">
        <v>4560</v>
      </c>
      <c r="V3967" s="2">
        <v>432</v>
      </c>
      <c r="W3967" t="s">
        <v>4655</v>
      </c>
      <c r="X3967" s="2">
        <v>0</v>
      </c>
      <c r="Y3967">
        <v>20</v>
      </c>
      <c r="Z3967" t="s">
        <v>3884</v>
      </c>
      <c r="AA3967" s="3">
        <v>1.50899910926818</v>
      </c>
      <c r="AB3967" t="s">
        <v>21403</v>
      </c>
      <c r="AC3967" t="s">
        <v>4562</v>
      </c>
      <c r="AD3967" t="s">
        <v>21404</v>
      </c>
      <c r="AE3967" t="s">
        <v>4655</v>
      </c>
      <c r="AF3967" t="s">
        <v>4563</v>
      </c>
      <c r="AG3967" t="s">
        <v>4564</v>
      </c>
      <c r="AH3967">
        <v>89508</v>
      </c>
      <c r="AI3967" t="s">
        <v>1267</v>
      </c>
      <c r="AJ3967" t="s">
        <v>4655</v>
      </c>
      <c r="AK3967" t="s">
        <v>21405</v>
      </c>
      <c r="AL3967" s="13" t="s">
        <v>1892</v>
      </c>
      <c r="AM3967">
        <v>1</v>
      </c>
      <c r="AN3967" s="15" t="s">
        <v>4327</v>
      </c>
    </row>
    <row r="3968" spans="1:40" x14ac:dyDescent="0.3">
      <c r="A3968" s="10" t="str">
        <f>HYPERLINK("http://www.washoecounty.gov/assessor/cama/?parid=087-044-21&amp;CardNumber=1","087-044-21")</f>
        <v>087-044-21</v>
      </c>
      <c r="B3968" t="s">
        <v>4655</v>
      </c>
      <c r="C3968" t="s">
        <v>21406</v>
      </c>
      <c r="D3968" s="1">
        <v>40456</v>
      </c>
      <c r="E3968" s="2">
        <v>51100</v>
      </c>
      <c r="F3968" t="s">
        <v>4553</v>
      </c>
      <c r="G3968" s="17" t="str">
        <f>HYPERLINK("https://www.washoecounty.gov/assessor/cama/?command=sales&amp;parid=08704421","3929874")</f>
        <v>3929874</v>
      </c>
      <c r="H3968" t="s">
        <v>4326</v>
      </c>
      <c r="I3968">
        <v>1985</v>
      </c>
      <c r="J3968">
        <v>1985</v>
      </c>
      <c r="K3968" t="s">
        <v>4847</v>
      </c>
      <c r="L3968" t="s">
        <v>4555</v>
      </c>
      <c r="M3968" s="2">
        <v>1248</v>
      </c>
      <c r="N3968" t="s">
        <v>4556</v>
      </c>
      <c r="O3968">
        <v>3</v>
      </c>
      <c r="P3968">
        <v>2</v>
      </c>
      <c r="Q3968">
        <v>0</v>
      </c>
      <c r="R3968" t="s">
        <v>4557</v>
      </c>
      <c r="S3968" t="s">
        <v>4558</v>
      </c>
      <c r="T3968" t="s">
        <v>4559</v>
      </c>
      <c r="U3968" t="s">
        <v>4655</v>
      </c>
      <c r="V3968" s="2">
        <v>0</v>
      </c>
      <c r="W3968" t="s">
        <v>4655</v>
      </c>
      <c r="X3968" s="2">
        <v>0</v>
      </c>
      <c r="Y3968">
        <v>22</v>
      </c>
      <c r="Z3968" t="s">
        <v>3884</v>
      </c>
      <c r="AA3968" s="3">
        <v>1.3769972324371338</v>
      </c>
      <c r="AB3968" t="s">
        <v>21407</v>
      </c>
      <c r="AC3968" t="s">
        <v>4562</v>
      </c>
      <c r="AD3968" t="s">
        <v>21406</v>
      </c>
      <c r="AE3968" t="s">
        <v>4655</v>
      </c>
      <c r="AF3968" t="s">
        <v>4563</v>
      </c>
      <c r="AG3968" t="s">
        <v>4564</v>
      </c>
      <c r="AH3968">
        <v>89508</v>
      </c>
      <c r="AI3968" t="s">
        <v>4045</v>
      </c>
      <c r="AJ3968" t="s">
        <v>4655</v>
      </c>
      <c r="AK3968" t="s">
        <v>21408</v>
      </c>
      <c r="AL3968" s="13" t="s">
        <v>1892</v>
      </c>
      <c r="AM3968">
        <v>1</v>
      </c>
      <c r="AN3968" s="15" t="s">
        <v>4327</v>
      </c>
    </row>
    <row r="3969" spans="1:40" x14ac:dyDescent="0.3">
      <c r="A3969" s="10" t="str">
        <f>HYPERLINK("http://www.washoecounty.gov/assessor/cama/?parid=087-044-51&amp;CardNumber=1","087-044-51")</f>
        <v>087-044-51</v>
      </c>
      <c r="B3969" t="s">
        <v>4655</v>
      </c>
      <c r="C3969" t="s">
        <v>21409</v>
      </c>
      <c r="D3969" s="1">
        <v>40374</v>
      </c>
      <c r="E3969" s="2">
        <v>70000</v>
      </c>
      <c r="F3969" t="s">
        <v>4553</v>
      </c>
      <c r="G3969" s="17" t="str">
        <f>HYPERLINK("https://www.washoecounty.gov/assessor/cama/?command=sales&amp;parid=08704451","3901676")</f>
        <v>3901676</v>
      </c>
      <c r="H3969" t="s">
        <v>21410</v>
      </c>
      <c r="I3969">
        <v>1986</v>
      </c>
      <c r="J3969">
        <v>1986</v>
      </c>
      <c r="K3969" t="s">
        <v>4554</v>
      </c>
      <c r="L3969" t="s">
        <v>4555</v>
      </c>
      <c r="M3969" s="2">
        <v>1456</v>
      </c>
      <c r="N3969" t="s">
        <v>4556</v>
      </c>
      <c r="O3969">
        <v>3</v>
      </c>
      <c r="P3969">
        <v>2</v>
      </c>
      <c r="Q3969">
        <v>0</v>
      </c>
      <c r="R3969" t="s">
        <v>4557</v>
      </c>
      <c r="S3969" t="s">
        <v>4558</v>
      </c>
      <c r="T3969" t="s">
        <v>4559</v>
      </c>
      <c r="U3969" t="s">
        <v>4655</v>
      </c>
      <c r="V3969" s="2">
        <v>0</v>
      </c>
      <c r="W3969" t="s">
        <v>4655</v>
      </c>
      <c r="X3969" s="2">
        <v>0</v>
      </c>
      <c r="Y3969">
        <v>20</v>
      </c>
      <c r="Z3969" t="s">
        <v>3884</v>
      </c>
      <c r="AA3969" s="3">
        <v>2</v>
      </c>
      <c r="AB3969" t="s">
        <v>21411</v>
      </c>
      <c r="AC3969" t="s">
        <v>4575</v>
      </c>
      <c r="AD3969" t="s">
        <v>19271</v>
      </c>
      <c r="AE3969" t="s">
        <v>21412</v>
      </c>
      <c r="AF3969" t="s">
        <v>4563</v>
      </c>
      <c r="AG3969" t="s">
        <v>4564</v>
      </c>
      <c r="AH3969">
        <v>89509</v>
      </c>
      <c r="AI3969" t="s">
        <v>1673</v>
      </c>
      <c r="AJ3969" t="s">
        <v>4655</v>
      </c>
      <c r="AK3969" t="s">
        <v>21413</v>
      </c>
      <c r="AL3969" s="13" t="s">
        <v>1892</v>
      </c>
      <c r="AM3969">
        <v>1</v>
      </c>
      <c r="AN3969" s="15" t="s">
        <v>4327</v>
      </c>
    </row>
    <row r="3970" spans="1:40" x14ac:dyDescent="0.3">
      <c r="A3970" s="10" t="str">
        <f>HYPERLINK("http://www.washoecounty.gov/assessor/cama/?parid=087-044-59&amp;CardNumber=1","087-044-59")</f>
        <v>087-044-59</v>
      </c>
      <c r="B3970" t="s">
        <v>4655</v>
      </c>
      <c r="C3970" t="s">
        <v>21414</v>
      </c>
      <c r="D3970" s="1">
        <v>40373</v>
      </c>
      <c r="E3970" s="2">
        <v>99500</v>
      </c>
      <c r="F3970" t="s">
        <v>4567</v>
      </c>
      <c r="G3970" s="17" t="str">
        <f>HYPERLINK("https://www.washoecounty.gov/assessor/cama/?command=sales&amp;parid=08704459","3901456")</f>
        <v>3901456</v>
      </c>
      <c r="H3970" t="s">
        <v>21415</v>
      </c>
      <c r="I3970">
        <v>1987</v>
      </c>
      <c r="J3970">
        <v>1987</v>
      </c>
      <c r="K3970" t="s">
        <v>4847</v>
      </c>
      <c r="L3970" t="s">
        <v>4555</v>
      </c>
      <c r="M3970" s="2">
        <v>1344</v>
      </c>
      <c r="N3970" t="s">
        <v>4048</v>
      </c>
      <c r="O3970">
        <v>3</v>
      </c>
      <c r="P3970">
        <v>2</v>
      </c>
      <c r="Q3970">
        <v>0</v>
      </c>
      <c r="R3970" t="s">
        <v>4557</v>
      </c>
      <c r="S3970" t="s">
        <v>4558</v>
      </c>
      <c r="T3970" t="s">
        <v>4559</v>
      </c>
      <c r="U3970" t="s">
        <v>4655</v>
      </c>
      <c r="V3970" s="2">
        <v>0</v>
      </c>
      <c r="W3970" t="s">
        <v>4655</v>
      </c>
      <c r="X3970" s="2">
        <v>0</v>
      </c>
      <c r="Y3970">
        <v>22</v>
      </c>
      <c r="Z3970" t="s">
        <v>3884</v>
      </c>
      <c r="AA3970" s="3">
        <v>1.0449954271316499</v>
      </c>
      <c r="AB3970" t="s">
        <v>21416</v>
      </c>
      <c r="AC3970" t="s">
        <v>4562</v>
      </c>
      <c r="AD3970" t="s">
        <v>21414</v>
      </c>
      <c r="AE3970" t="s">
        <v>4655</v>
      </c>
      <c r="AF3970" t="s">
        <v>4563</v>
      </c>
      <c r="AG3970" t="s">
        <v>4564</v>
      </c>
      <c r="AH3970">
        <v>89508</v>
      </c>
      <c r="AI3970" t="s">
        <v>21417</v>
      </c>
      <c r="AJ3970" t="s">
        <v>4655</v>
      </c>
      <c r="AK3970" t="s">
        <v>21418</v>
      </c>
      <c r="AL3970" s="13" t="s">
        <v>1892</v>
      </c>
      <c r="AM3970">
        <v>1</v>
      </c>
      <c r="AN3970" s="15" t="s">
        <v>4327</v>
      </c>
    </row>
    <row r="3971" spans="1:40" x14ac:dyDescent="0.3">
      <c r="A3971" s="10" t="str">
        <f>HYPERLINK("http://www.washoecounty.gov/assessor/cama/?parid=087-072-06&amp;CardNumber=1","087-072-06")</f>
        <v>087-072-06</v>
      </c>
      <c r="B3971" t="s">
        <v>4655</v>
      </c>
      <c r="C3971" t="s">
        <v>622</v>
      </c>
      <c r="D3971" s="1">
        <v>40533</v>
      </c>
      <c r="E3971" s="2">
        <v>46000</v>
      </c>
      <c r="F3971" t="s">
        <v>4553</v>
      </c>
      <c r="G3971" s="17" t="str">
        <f>HYPERLINK("https://www.washoecounty.gov/assessor/cama/?command=sales&amp;parid=08707206","3955962")</f>
        <v>3955962</v>
      </c>
      <c r="H3971" t="s">
        <v>4163</v>
      </c>
      <c r="I3971">
        <v>1978</v>
      </c>
      <c r="J3971">
        <v>1979</v>
      </c>
      <c r="K3971" t="s">
        <v>4554</v>
      </c>
      <c r="L3971" t="s">
        <v>4555</v>
      </c>
      <c r="M3971" s="2">
        <v>1444</v>
      </c>
      <c r="N3971" t="s">
        <v>4556</v>
      </c>
      <c r="O3971">
        <v>3</v>
      </c>
      <c r="P3971">
        <v>2</v>
      </c>
      <c r="Q3971">
        <v>0</v>
      </c>
      <c r="R3971" t="s">
        <v>4676</v>
      </c>
      <c r="S3971" t="s">
        <v>4558</v>
      </c>
      <c r="T3971" t="s">
        <v>4559</v>
      </c>
      <c r="U3971" t="s">
        <v>4560</v>
      </c>
      <c r="V3971" s="2">
        <v>440</v>
      </c>
      <c r="W3971" t="s">
        <v>4655</v>
      </c>
      <c r="X3971" s="2">
        <v>0</v>
      </c>
      <c r="Y3971">
        <v>20</v>
      </c>
      <c r="Z3971" t="s">
        <v>5508</v>
      </c>
      <c r="AA3971" s="3">
        <v>0.40899908542633101</v>
      </c>
      <c r="AB3971" t="s">
        <v>5729</v>
      </c>
      <c r="AC3971" t="s">
        <v>4562</v>
      </c>
      <c r="AD3971" t="s">
        <v>5730</v>
      </c>
      <c r="AE3971" t="s">
        <v>4655</v>
      </c>
      <c r="AF3971" t="s">
        <v>4563</v>
      </c>
      <c r="AG3971" t="s">
        <v>4564</v>
      </c>
      <c r="AH3971">
        <v>89508</v>
      </c>
      <c r="AI3971" t="s">
        <v>5359</v>
      </c>
      <c r="AJ3971" t="s">
        <v>4655</v>
      </c>
      <c r="AK3971" t="s">
        <v>623</v>
      </c>
      <c r="AL3971" s="13" t="s">
        <v>1892</v>
      </c>
      <c r="AM3971">
        <v>1</v>
      </c>
      <c r="AN3971" s="15" t="s">
        <v>5228</v>
      </c>
    </row>
    <row r="3972" spans="1:40" x14ac:dyDescent="0.3">
      <c r="A3972" s="10" t="str">
        <f>HYPERLINK("http://www.washoecounty.gov/assessor/cama/?parid=087-082-12&amp;CardNumber=1","087-082-12")</f>
        <v>087-082-12</v>
      </c>
      <c r="B3972" t="s">
        <v>4655</v>
      </c>
      <c r="C3972" t="s">
        <v>21419</v>
      </c>
      <c r="D3972" s="1">
        <v>40358</v>
      </c>
      <c r="E3972" s="2">
        <v>86000</v>
      </c>
      <c r="F3972" t="s">
        <v>4553</v>
      </c>
      <c r="G3972" s="17" t="str">
        <f>HYPERLINK("https://www.washoecounty.gov/assessor/cama/?command=sales&amp;parid=08708212","3896166")</f>
        <v>3896166</v>
      </c>
      <c r="H3972" t="s">
        <v>4163</v>
      </c>
      <c r="I3972">
        <v>1978</v>
      </c>
      <c r="J3972">
        <v>1978</v>
      </c>
      <c r="K3972" t="s">
        <v>4554</v>
      </c>
      <c r="L3972" t="s">
        <v>4555</v>
      </c>
      <c r="M3972" s="2">
        <v>1144</v>
      </c>
      <c r="N3972" t="s">
        <v>4556</v>
      </c>
      <c r="O3972">
        <v>3</v>
      </c>
      <c r="P3972">
        <v>2</v>
      </c>
      <c r="Q3972">
        <v>0</v>
      </c>
      <c r="R3972" t="s">
        <v>4676</v>
      </c>
      <c r="S3972" t="s">
        <v>4558</v>
      </c>
      <c r="T3972" t="s">
        <v>4559</v>
      </c>
      <c r="U3972" t="s">
        <v>4560</v>
      </c>
      <c r="V3972" s="2">
        <v>440</v>
      </c>
      <c r="W3972" t="s">
        <v>4655</v>
      </c>
      <c r="X3972" s="2">
        <v>0</v>
      </c>
      <c r="Y3972">
        <v>20</v>
      </c>
      <c r="Z3972" t="s">
        <v>5508</v>
      </c>
      <c r="AA3972" s="3">
        <v>0.36799815297126798</v>
      </c>
      <c r="AB3972" t="s">
        <v>21420</v>
      </c>
      <c r="AC3972" t="s">
        <v>4562</v>
      </c>
      <c r="AD3972" t="s">
        <v>21419</v>
      </c>
      <c r="AE3972" t="s">
        <v>4655</v>
      </c>
      <c r="AF3972" t="s">
        <v>4563</v>
      </c>
      <c r="AG3972" t="s">
        <v>4564</v>
      </c>
      <c r="AH3972">
        <v>89508</v>
      </c>
      <c r="AI3972" t="s">
        <v>21421</v>
      </c>
      <c r="AJ3972" t="s">
        <v>4655</v>
      </c>
      <c r="AK3972" t="s">
        <v>21422</v>
      </c>
      <c r="AL3972" s="13" t="s">
        <v>1892</v>
      </c>
      <c r="AM3972">
        <v>1</v>
      </c>
      <c r="AN3972" s="15" t="s">
        <v>5228</v>
      </c>
    </row>
    <row r="3973" spans="1:40" x14ac:dyDescent="0.3">
      <c r="A3973" s="10" t="str">
        <f>HYPERLINK("http://www.washoecounty.gov/assessor/cama/?parid=087-084-01&amp;CardNumber=1","087-084-01")</f>
        <v>087-084-01</v>
      </c>
      <c r="B3973" t="s">
        <v>4655</v>
      </c>
      <c r="C3973" t="s">
        <v>21423</v>
      </c>
      <c r="D3973" s="1">
        <v>40345</v>
      </c>
      <c r="E3973" s="2">
        <v>60000</v>
      </c>
      <c r="F3973" t="s">
        <v>4553</v>
      </c>
      <c r="G3973" s="17" t="str">
        <f>HYPERLINK("https://www.washoecounty.gov/assessor/cama/?command=sales&amp;parid=08708401","3892425")</f>
        <v>3892425</v>
      </c>
      <c r="H3973" t="s">
        <v>21424</v>
      </c>
      <c r="I3973">
        <v>1978</v>
      </c>
      <c r="J3973">
        <v>1978</v>
      </c>
      <c r="K3973" t="s">
        <v>4554</v>
      </c>
      <c r="L3973" t="s">
        <v>4555</v>
      </c>
      <c r="M3973" s="2">
        <v>1144</v>
      </c>
      <c r="N3973" t="s">
        <v>4556</v>
      </c>
      <c r="O3973">
        <v>3</v>
      </c>
      <c r="P3973">
        <v>2</v>
      </c>
      <c r="Q3973">
        <v>0</v>
      </c>
      <c r="R3973" t="s">
        <v>4676</v>
      </c>
      <c r="S3973" t="s">
        <v>4558</v>
      </c>
      <c r="T3973" t="s">
        <v>4559</v>
      </c>
      <c r="U3973" t="s">
        <v>4655</v>
      </c>
      <c r="V3973" s="2">
        <v>0</v>
      </c>
      <c r="W3973" t="s">
        <v>4655</v>
      </c>
      <c r="X3973" s="2">
        <v>0</v>
      </c>
      <c r="Y3973">
        <v>20</v>
      </c>
      <c r="Z3973" t="s">
        <v>5508</v>
      </c>
      <c r="AA3973" s="3">
        <v>0.40300735831260698</v>
      </c>
      <c r="AB3973" t="s">
        <v>21425</v>
      </c>
      <c r="AC3973" t="s">
        <v>4562</v>
      </c>
      <c r="AD3973" t="s">
        <v>21426</v>
      </c>
      <c r="AE3973" t="s">
        <v>4655</v>
      </c>
      <c r="AF3973" t="s">
        <v>4563</v>
      </c>
      <c r="AG3973" t="s">
        <v>4564</v>
      </c>
      <c r="AH3973">
        <v>89508</v>
      </c>
      <c r="AI3973" t="s">
        <v>4045</v>
      </c>
      <c r="AJ3973" t="s">
        <v>4655</v>
      </c>
      <c r="AK3973" t="s">
        <v>21427</v>
      </c>
      <c r="AL3973" s="13" t="s">
        <v>1892</v>
      </c>
      <c r="AM3973">
        <v>1</v>
      </c>
      <c r="AN3973" s="15" t="s">
        <v>5228</v>
      </c>
    </row>
    <row r="3974" spans="1:40" x14ac:dyDescent="0.3">
      <c r="A3974" s="10" t="str">
        <f>HYPERLINK("http://www.washoecounty.gov/assessor/cama/?parid=087-085-08&amp;CardNumber=1","087-085-08")</f>
        <v>087-085-08</v>
      </c>
      <c r="B3974" t="s">
        <v>4655</v>
      </c>
      <c r="C3974" t="s">
        <v>21428</v>
      </c>
      <c r="D3974" s="1">
        <v>40225</v>
      </c>
      <c r="E3974" s="2">
        <v>69000</v>
      </c>
      <c r="F3974" t="s">
        <v>4553</v>
      </c>
      <c r="G3974" s="17" t="str">
        <f>HYPERLINK("https://www.washoecounty.gov/assessor/cama/?command=sales&amp;parid=08708508","3849832")</f>
        <v>3849832</v>
      </c>
      <c r="H3974" t="s">
        <v>4163</v>
      </c>
      <c r="I3974">
        <v>1978</v>
      </c>
      <c r="J3974">
        <v>1978</v>
      </c>
      <c r="K3974" t="s">
        <v>4554</v>
      </c>
      <c r="L3974" t="s">
        <v>4555</v>
      </c>
      <c r="M3974" s="2">
        <v>1144</v>
      </c>
      <c r="N3974" t="s">
        <v>4556</v>
      </c>
      <c r="O3974">
        <v>3</v>
      </c>
      <c r="P3974">
        <v>2</v>
      </c>
      <c r="Q3974">
        <v>0</v>
      </c>
      <c r="R3974" t="s">
        <v>4676</v>
      </c>
      <c r="S3974" t="s">
        <v>4558</v>
      </c>
      <c r="T3974" t="s">
        <v>4559</v>
      </c>
      <c r="U3974" t="s">
        <v>4560</v>
      </c>
      <c r="V3974" s="2">
        <v>440</v>
      </c>
      <c r="W3974" t="s">
        <v>4655</v>
      </c>
      <c r="X3974" s="2">
        <v>0</v>
      </c>
      <c r="Y3974">
        <v>20</v>
      </c>
      <c r="Z3974" t="s">
        <v>5508</v>
      </c>
      <c r="AA3974" s="3">
        <v>0.39499542117118802</v>
      </c>
      <c r="AB3974" t="s">
        <v>21429</v>
      </c>
      <c r="AC3974" t="s">
        <v>4562</v>
      </c>
      <c r="AD3974" t="s">
        <v>21428</v>
      </c>
      <c r="AE3974" t="s">
        <v>4655</v>
      </c>
      <c r="AF3974" t="s">
        <v>4563</v>
      </c>
      <c r="AG3974" t="s">
        <v>4564</v>
      </c>
      <c r="AH3974">
        <v>89506</v>
      </c>
      <c r="AI3974" t="s">
        <v>4655</v>
      </c>
      <c r="AJ3974" t="s">
        <v>4655</v>
      </c>
      <c r="AK3974" t="s">
        <v>21430</v>
      </c>
      <c r="AL3974" s="13" t="s">
        <v>1892</v>
      </c>
      <c r="AM3974">
        <v>1</v>
      </c>
      <c r="AN3974" s="15" t="s">
        <v>5228</v>
      </c>
    </row>
    <row r="3975" spans="1:40" x14ac:dyDescent="0.3">
      <c r="A3975" s="10" t="str">
        <f>HYPERLINK("http://www.washoecounty.gov/assessor/cama/?parid=087-091-02&amp;CardNumber=1","087-091-02")</f>
        <v>087-091-02</v>
      </c>
      <c r="B3975" t="s">
        <v>4655</v>
      </c>
      <c r="C3975" t="s">
        <v>21431</v>
      </c>
      <c r="D3975" s="1">
        <v>40246</v>
      </c>
      <c r="E3975" s="2">
        <v>70000</v>
      </c>
      <c r="F3975" t="s">
        <v>4553</v>
      </c>
      <c r="G3975" s="17" t="str">
        <f>HYPERLINK("https://www.washoecounty.gov/assessor/cama/?command=sales&amp;parid=08709102","3857747")</f>
        <v>3857747</v>
      </c>
      <c r="H3975" t="s">
        <v>21424</v>
      </c>
      <c r="I3975">
        <v>1978</v>
      </c>
      <c r="J3975">
        <v>1978</v>
      </c>
      <c r="K3975" t="s">
        <v>4554</v>
      </c>
      <c r="L3975" t="s">
        <v>4555</v>
      </c>
      <c r="M3975" s="2">
        <v>1440</v>
      </c>
      <c r="N3975" t="s">
        <v>4556</v>
      </c>
      <c r="O3975">
        <v>4</v>
      </c>
      <c r="P3975">
        <v>2</v>
      </c>
      <c r="Q3975">
        <v>0</v>
      </c>
      <c r="R3975" t="s">
        <v>4676</v>
      </c>
      <c r="S3975" t="s">
        <v>4558</v>
      </c>
      <c r="T3975" t="s">
        <v>4559</v>
      </c>
      <c r="U3975" t="s">
        <v>4560</v>
      </c>
      <c r="V3975" s="2">
        <v>440</v>
      </c>
      <c r="W3975" t="s">
        <v>4655</v>
      </c>
      <c r="X3975" s="2">
        <v>0</v>
      </c>
      <c r="Y3975">
        <v>20</v>
      </c>
      <c r="Z3975" t="s">
        <v>5508</v>
      </c>
      <c r="AA3975" s="3">
        <v>0.34400826692581199</v>
      </c>
      <c r="AB3975" t="s">
        <v>21432</v>
      </c>
      <c r="AC3975" t="s">
        <v>4575</v>
      </c>
      <c r="AD3975" t="s">
        <v>21433</v>
      </c>
      <c r="AE3975" t="s">
        <v>4655</v>
      </c>
      <c r="AF3975" t="s">
        <v>4563</v>
      </c>
      <c r="AG3975" t="s">
        <v>4564</v>
      </c>
      <c r="AH3975">
        <v>89508</v>
      </c>
      <c r="AI3975" t="s">
        <v>2351</v>
      </c>
      <c r="AJ3975" t="s">
        <v>4655</v>
      </c>
      <c r="AK3975" t="s">
        <v>21434</v>
      </c>
      <c r="AL3975" s="13" t="s">
        <v>1892</v>
      </c>
      <c r="AM3975">
        <v>1</v>
      </c>
      <c r="AN3975" s="15" t="s">
        <v>5228</v>
      </c>
    </row>
    <row r="3976" spans="1:40" x14ac:dyDescent="0.3">
      <c r="A3976" s="10" t="str">
        <f>HYPERLINK("http://www.washoecounty.gov/assessor/cama/?parid=087-102-04&amp;CardNumber=1","087-102-04")</f>
        <v>087-102-04</v>
      </c>
      <c r="B3976" t="s">
        <v>4655</v>
      </c>
      <c r="C3976" t="s">
        <v>21433</v>
      </c>
      <c r="D3976" s="1">
        <v>40487</v>
      </c>
      <c r="E3976" s="2">
        <v>100000</v>
      </c>
      <c r="F3976" t="s">
        <v>4567</v>
      </c>
      <c r="G3976" s="17" t="str">
        <f>HYPERLINK("https://www.washoecounty.gov/assessor/cama/?command=sales&amp;parid=08710204","3940562")</f>
        <v>3940562</v>
      </c>
      <c r="H3976" t="s">
        <v>4163</v>
      </c>
      <c r="I3976">
        <v>1979</v>
      </c>
      <c r="J3976">
        <v>1979</v>
      </c>
      <c r="K3976" t="s">
        <v>4554</v>
      </c>
      <c r="L3976" t="s">
        <v>4555</v>
      </c>
      <c r="M3976" s="2">
        <v>1440</v>
      </c>
      <c r="N3976" t="s">
        <v>4556</v>
      </c>
      <c r="O3976">
        <v>4</v>
      </c>
      <c r="P3976">
        <v>2</v>
      </c>
      <c r="Q3976">
        <v>0</v>
      </c>
      <c r="R3976" t="s">
        <v>4676</v>
      </c>
      <c r="S3976" t="s">
        <v>4558</v>
      </c>
      <c r="T3976" t="s">
        <v>4559</v>
      </c>
      <c r="U3976" t="s">
        <v>4560</v>
      </c>
      <c r="V3976" s="2">
        <v>440</v>
      </c>
      <c r="W3976" t="s">
        <v>4655</v>
      </c>
      <c r="X3976" s="2">
        <v>0</v>
      </c>
      <c r="Y3976">
        <v>20</v>
      </c>
      <c r="Z3976" t="s">
        <v>5508</v>
      </c>
      <c r="AA3976" s="3">
        <v>0.34400826692581199</v>
      </c>
      <c r="AB3976" t="s">
        <v>21435</v>
      </c>
      <c r="AC3976" t="s">
        <v>4562</v>
      </c>
      <c r="AD3976" t="s">
        <v>21436</v>
      </c>
      <c r="AE3976" t="s">
        <v>4655</v>
      </c>
      <c r="AF3976" t="s">
        <v>709</v>
      </c>
      <c r="AG3976" t="s">
        <v>762</v>
      </c>
      <c r="AH3976" t="s">
        <v>710</v>
      </c>
      <c r="AI3976" t="s">
        <v>21437</v>
      </c>
      <c r="AJ3976" t="s">
        <v>4655</v>
      </c>
      <c r="AK3976" t="s">
        <v>21438</v>
      </c>
      <c r="AL3976" s="13" t="s">
        <v>1892</v>
      </c>
      <c r="AM3976" s="14">
        <v>1</v>
      </c>
      <c r="AN3976" s="15" t="s">
        <v>5228</v>
      </c>
    </row>
    <row r="3977" spans="1:40" x14ac:dyDescent="0.3">
      <c r="A3977" s="10" t="str">
        <f>HYPERLINK("http://www.washoecounty.gov/assessor/cama/?parid=087-114-14&amp;CardNumber=1","087-114-14")</f>
        <v>087-114-14</v>
      </c>
      <c r="B3977" t="s">
        <v>4655</v>
      </c>
      <c r="C3977" t="s">
        <v>21439</v>
      </c>
      <c r="D3977" s="1">
        <v>40436</v>
      </c>
      <c r="E3977" s="2">
        <v>35000</v>
      </c>
      <c r="F3977" t="s">
        <v>4553</v>
      </c>
      <c r="G3977" s="17" t="str">
        <f>HYPERLINK("https://www.washoecounty.gov/assessor/cama/?command=sales&amp;parid=08711414","3922729")</f>
        <v>3922729</v>
      </c>
      <c r="H3977" t="s">
        <v>1645</v>
      </c>
      <c r="I3977">
        <v>1977</v>
      </c>
      <c r="J3977">
        <v>1977</v>
      </c>
      <c r="K3977" t="s">
        <v>4847</v>
      </c>
      <c r="L3977" t="s">
        <v>4555</v>
      </c>
      <c r="M3977" s="2">
        <v>1439</v>
      </c>
      <c r="N3977" t="s">
        <v>4133</v>
      </c>
      <c r="O3977">
        <v>3</v>
      </c>
      <c r="P3977">
        <v>2</v>
      </c>
      <c r="Q3977">
        <v>0</v>
      </c>
      <c r="R3977" t="s">
        <v>4557</v>
      </c>
      <c r="S3977" t="s">
        <v>1155</v>
      </c>
      <c r="T3977" t="s">
        <v>4559</v>
      </c>
      <c r="U3977" t="s">
        <v>4655</v>
      </c>
      <c r="V3977" s="2">
        <v>0</v>
      </c>
      <c r="W3977" t="s">
        <v>4655</v>
      </c>
      <c r="X3977" s="2">
        <v>0</v>
      </c>
      <c r="Y3977">
        <v>22</v>
      </c>
      <c r="Z3977" t="s">
        <v>5508</v>
      </c>
      <c r="AA3977" s="3">
        <v>0.51799815893173218</v>
      </c>
      <c r="AB3977" t="s">
        <v>21440</v>
      </c>
      <c r="AC3977" t="s">
        <v>4562</v>
      </c>
      <c r="AD3977" t="s">
        <v>21441</v>
      </c>
      <c r="AE3977" t="s">
        <v>4655</v>
      </c>
      <c r="AF3977" t="s">
        <v>4752</v>
      </c>
      <c r="AG3977" t="s">
        <v>4564</v>
      </c>
      <c r="AH3977">
        <v>89508</v>
      </c>
      <c r="AI3977" t="s">
        <v>4655</v>
      </c>
      <c r="AJ3977" t="s">
        <v>4655</v>
      </c>
      <c r="AK3977" t="s">
        <v>21442</v>
      </c>
      <c r="AL3977" s="13" t="s">
        <v>1892</v>
      </c>
      <c r="AM3977">
        <v>1</v>
      </c>
      <c r="AN3977" s="15" t="s">
        <v>4849</v>
      </c>
    </row>
    <row r="3978" spans="1:40" x14ac:dyDescent="0.3">
      <c r="A3978" s="10" t="str">
        <f>HYPERLINK("http://www.washoecounty.gov/assessor/cama/?parid=087-122-06&amp;CardNumber=1","087-122-06")</f>
        <v>087-122-06</v>
      </c>
      <c r="B3978" t="s">
        <v>4655</v>
      </c>
      <c r="C3978" t="s">
        <v>21443</v>
      </c>
      <c r="D3978" s="1">
        <v>40441</v>
      </c>
      <c r="E3978" s="2">
        <v>65000</v>
      </c>
      <c r="F3978" t="s">
        <v>4567</v>
      </c>
      <c r="G3978" s="17" t="str">
        <f>HYPERLINK("https://www.washoecounty.gov/assessor/cama/?command=sales&amp;parid=08712206","3923885")</f>
        <v>3923885</v>
      </c>
      <c r="H3978" t="s">
        <v>1645</v>
      </c>
      <c r="I3978">
        <v>1979</v>
      </c>
      <c r="J3978">
        <v>1979</v>
      </c>
      <c r="K3978" t="s">
        <v>4847</v>
      </c>
      <c r="L3978" t="s">
        <v>4555</v>
      </c>
      <c r="M3978" s="2">
        <v>1440</v>
      </c>
      <c r="N3978" t="s">
        <v>4556</v>
      </c>
      <c r="O3978">
        <v>3</v>
      </c>
      <c r="P3978">
        <v>2</v>
      </c>
      <c r="Q3978">
        <v>0</v>
      </c>
      <c r="R3978" t="s">
        <v>4557</v>
      </c>
      <c r="S3978" t="s">
        <v>4558</v>
      </c>
      <c r="T3978" t="s">
        <v>4559</v>
      </c>
      <c r="U3978" t="s">
        <v>4655</v>
      </c>
      <c r="V3978" s="2">
        <v>0</v>
      </c>
      <c r="W3978" t="s">
        <v>4655</v>
      </c>
      <c r="X3978" s="2">
        <v>0</v>
      </c>
      <c r="Y3978">
        <v>22</v>
      </c>
      <c r="Z3978" t="s">
        <v>5508</v>
      </c>
      <c r="AA3978" s="3">
        <v>0.55300736427307096</v>
      </c>
      <c r="AB3978" t="s">
        <v>21444</v>
      </c>
      <c r="AC3978" t="s">
        <v>4562</v>
      </c>
      <c r="AD3978" t="s">
        <v>21445</v>
      </c>
      <c r="AE3978" t="s">
        <v>4655</v>
      </c>
      <c r="AF3978" t="s">
        <v>4563</v>
      </c>
      <c r="AG3978" t="s">
        <v>4564</v>
      </c>
      <c r="AH3978">
        <v>89506</v>
      </c>
      <c r="AI3978" t="s">
        <v>21446</v>
      </c>
      <c r="AJ3978" t="s">
        <v>4655</v>
      </c>
      <c r="AK3978" t="s">
        <v>21447</v>
      </c>
      <c r="AL3978" s="13" t="s">
        <v>1892</v>
      </c>
      <c r="AM3978">
        <v>1</v>
      </c>
      <c r="AN3978" s="15" t="s">
        <v>4849</v>
      </c>
    </row>
    <row r="3979" spans="1:40" x14ac:dyDescent="0.3">
      <c r="A3979" s="10" t="str">
        <f>HYPERLINK("http://www.washoecounty.gov/assessor/cama/?parid=087-134-05&amp;CardNumber=1","087-134-05")</f>
        <v>087-134-05</v>
      </c>
      <c r="B3979" t="s">
        <v>4655</v>
      </c>
      <c r="C3979" t="s">
        <v>21448</v>
      </c>
      <c r="D3979" s="1">
        <v>40542</v>
      </c>
      <c r="E3979" s="2">
        <v>42000</v>
      </c>
      <c r="F3979" t="s">
        <v>4567</v>
      </c>
      <c r="G3979" s="17" t="str">
        <f>HYPERLINK("https://www.washoecounty.gov/assessor/cama/?command=sales&amp;parid=08713405","3959127")</f>
        <v>3959127</v>
      </c>
      <c r="H3979" t="s">
        <v>1645</v>
      </c>
      <c r="I3979">
        <v>1994</v>
      </c>
      <c r="J3979">
        <v>1994</v>
      </c>
      <c r="K3979" t="s">
        <v>4847</v>
      </c>
      <c r="L3979" t="s">
        <v>4555</v>
      </c>
      <c r="M3979" s="2">
        <v>1716</v>
      </c>
      <c r="N3979" t="s">
        <v>5280</v>
      </c>
      <c r="O3979">
        <v>3</v>
      </c>
      <c r="P3979">
        <v>2</v>
      </c>
      <c r="Q3979">
        <v>0</v>
      </c>
      <c r="R3979" t="s">
        <v>4557</v>
      </c>
      <c r="S3979" t="s">
        <v>4558</v>
      </c>
      <c r="T3979" t="s">
        <v>4559</v>
      </c>
      <c r="U3979" t="s">
        <v>4655</v>
      </c>
      <c r="V3979" s="2">
        <v>0</v>
      </c>
      <c r="W3979" t="s">
        <v>4655</v>
      </c>
      <c r="X3979" s="2">
        <v>0</v>
      </c>
      <c r="Y3979">
        <v>22</v>
      </c>
      <c r="Z3979" t="s">
        <v>5508</v>
      </c>
      <c r="AA3979" s="3">
        <v>0.36400365829467801</v>
      </c>
      <c r="AB3979" t="s">
        <v>21449</v>
      </c>
      <c r="AC3979" t="s">
        <v>4575</v>
      </c>
      <c r="AD3979" t="s">
        <v>19511</v>
      </c>
      <c r="AE3979" t="s">
        <v>4655</v>
      </c>
      <c r="AF3979" t="s">
        <v>4563</v>
      </c>
      <c r="AG3979" t="s">
        <v>4564</v>
      </c>
      <c r="AH3979">
        <v>89509</v>
      </c>
      <c r="AI3979" t="s">
        <v>21450</v>
      </c>
      <c r="AJ3979" t="s">
        <v>4655</v>
      </c>
      <c r="AK3979" t="s">
        <v>21451</v>
      </c>
      <c r="AL3979" s="13" t="s">
        <v>1892</v>
      </c>
      <c r="AM3979">
        <v>1</v>
      </c>
      <c r="AN3979" s="15" t="s">
        <v>4849</v>
      </c>
    </row>
    <row r="3980" spans="1:40" x14ac:dyDescent="0.3">
      <c r="A3980" s="10" t="str">
        <f>HYPERLINK("http://www.washoecounty.gov/assessor/cama/?parid=087-134-08&amp;CardNumber=1","087-134-08")</f>
        <v>087-134-08</v>
      </c>
      <c r="B3980" t="s">
        <v>4655</v>
      </c>
      <c r="C3980" t="s">
        <v>21452</v>
      </c>
      <c r="D3980" s="1">
        <v>40193</v>
      </c>
      <c r="E3980" s="2">
        <v>67200</v>
      </c>
      <c r="F3980" t="s">
        <v>4553</v>
      </c>
      <c r="G3980" s="17" t="str">
        <f>HYPERLINK("https://www.washoecounty.gov/assessor/cama/?command=sales&amp;parid=08713408","3840187")</f>
        <v>3840187</v>
      </c>
      <c r="H3980" t="s">
        <v>1645</v>
      </c>
      <c r="I3980">
        <v>1999</v>
      </c>
      <c r="J3980">
        <v>1999</v>
      </c>
      <c r="K3980" t="s">
        <v>4847</v>
      </c>
      <c r="L3980" t="s">
        <v>4555</v>
      </c>
      <c r="M3980" s="2">
        <v>1456</v>
      </c>
      <c r="N3980" t="s">
        <v>5280</v>
      </c>
      <c r="O3980">
        <v>3</v>
      </c>
      <c r="P3980">
        <v>2</v>
      </c>
      <c r="Q3980">
        <v>0</v>
      </c>
      <c r="R3980" t="s">
        <v>4557</v>
      </c>
      <c r="S3980" t="s">
        <v>4558</v>
      </c>
      <c r="T3980" t="s">
        <v>4559</v>
      </c>
      <c r="U3980" t="s">
        <v>4655</v>
      </c>
      <c r="V3980" s="2">
        <v>0</v>
      </c>
      <c r="W3980" t="s">
        <v>4655</v>
      </c>
      <c r="X3980" s="2">
        <v>0</v>
      </c>
      <c r="Y3980">
        <v>22</v>
      </c>
      <c r="Z3980" t="s">
        <v>5508</v>
      </c>
      <c r="AA3980" s="3">
        <v>0.34400826692581199</v>
      </c>
      <c r="AB3980" t="s">
        <v>21453</v>
      </c>
      <c r="AC3980" t="s">
        <v>4562</v>
      </c>
      <c r="AD3980" t="s">
        <v>21452</v>
      </c>
      <c r="AE3980" t="s">
        <v>4655</v>
      </c>
      <c r="AF3980" t="s">
        <v>3114</v>
      </c>
      <c r="AG3980" t="s">
        <v>4564</v>
      </c>
      <c r="AH3980">
        <v>89506</v>
      </c>
      <c r="AI3980" t="s">
        <v>1149</v>
      </c>
      <c r="AJ3980" t="s">
        <v>4655</v>
      </c>
      <c r="AK3980" t="s">
        <v>21454</v>
      </c>
      <c r="AL3980" s="13" t="s">
        <v>1892</v>
      </c>
      <c r="AM3980">
        <v>1</v>
      </c>
      <c r="AN3980" s="15" t="s">
        <v>4849</v>
      </c>
    </row>
    <row r="3981" spans="1:40" x14ac:dyDescent="0.3">
      <c r="A3981" s="10" t="str">
        <f>HYPERLINK("http://www.washoecounty.gov/assessor/cama/?parid=087-134-09&amp;CardNumber=1","087-134-09")</f>
        <v>087-134-09</v>
      </c>
      <c r="B3981" t="s">
        <v>4655</v>
      </c>
      <c r="C3981" t="s">
        <v>21455</v>
      </c>
      <c r="D3981" s="1">
        <v>40459</v>
      </c>
      <c r="E3981" s="2">
        <v>58000</v>
      </c>
      <c r="F3981" t="s">
        <v>4567</v>
      </c>
      <c r="G3981" s="17" t="str">
        <f>HYPERLINK("https://www.washoecounty.gov/assessor/cama/?command=sales&amp;parid=08713409","3931315")</f>
        <v>3931315</v>
      </c>
      <c r="H3981" t="s">
        <v>1645</v>
      </c>
      <c r="I3981">
        <v>1973</v>
      </c>
      <c r="J3981">
        <v>1973</v>
      </c>
      <c r="K3981" t="s">
        <v>4847</v>
      </c>
      <c r="L3981" t="s">
        <v>4555</v>
      </c>
      <c r="M3981" s="2">
        <v>1320</v>
      </c>
      <c r="N3981" t="s">
        <v>4556</v>
      </c>
      <c r="O3981">
        <v>2</v>
      </c>
      <c r="P3981">
        <v>2</v>
      </c>
      <c r="Q3981">
        <v>0</v>
      </c>
      <c r="R3981" t="s">
        <v>4557</v>
      </c>
      <c r="S3981" t="s">
        <v>1155</v>
      </c>
      <c r="T3981" t="s">
        <v>4559</v>
      </c>
      <c r="U3981" t="s">
        <v>4655</v>
      </c>
      <c r="V3981" s="2">
        <v>0</v>
      </c>
      <c r="W3981" t="s">
        <v>4655</v>
      </c>
      <c r="X3981" s="2">
        <v>0</v>
      </c>
      <c r="Y3981">
        <v>22</v>
      </c>
      <c r="Z3981" t="s">
        <v>5508</v>
      </c>
      <c r="AA3981" s="3">
        <v>0.34400826692581199</v>
      </c>
      <c r="AB3981" t="s">
        <v>21456</v>
      </c>
      <c r="AC3981" t="s">
        <v>4575</v>
      </c>
      <c r="AD3981" t="s">
        <v>21455</v>
      </c>
      <c r="AE3981" t="s">
        <v>4655</v>
      </c>
      <c r="AF3981" t="s">
        <v>4563</v>
      </c>
      <c r="AG3981" t="s">
        <v>4564</v>
      </c>
      <c r="AH3981">
        <v>89508</v>
      </c>
      <c r="AI3981" t="s">
        <v>2326</v>
      </c>
      <c r="AJ3981" t="s">
        <v>4655</v>
      </c>
      <c r="AK3981" t="s">
        <v>21457</v>
      </c>
      <c r="AL3981" s="13" t="s">
        <v>1892</v>
      </c>
      <c r="AM3981">
        <v>1</v>
      </c>
      <c r="AN3981" s="15" t="s">
        <v>4849</v>
      </c>
    </row>
    <row r="3982" spans="1:40" x14ac:dyDescent="0.3">
      <c r="A3982" s="10" t="str">
        <f>HYPERLINK("http://www.washoecounty.gov/assessor/cama/?parid=087-151-17&amp;CardNumber=1","087-151-17")</f>
        <v>087-151-17</v>
      </c>
      <c r="B3982" t="s">
        <v>4655</v>
      </c>
      <c r="C3982" t="s">
        <v>21458</v>
      </c>
      <c r="D3982" s="1">
        <v>40225</v>
      </c>
      <c r="E3982" s="2">
        <v>21000</v>
      </c>
      <c r="F3982" t="s">
        <v>4553</v>
      </c>
      <c r="G3982" s="17" t="str">
        <f>HYPERLINK("https://www.washoecounty.gov/assessor/cama/?command=sales&amp;parid=08715117","3849875")</f>
        <v>3849875</v>
      </c>
      <c r="H3982" t="s">
        <v>21459</v>
      </c>
      <c r="I3982">
        <v>1978</v>
      </c>
      <c r="J3982">
        <v>1978</v>
      </c>
      <c r="K3982" t="s">
        <v>4847</v>
      </c>
      <c r="L3982" t="s">
        <v>4555</v>
      </c>
      <c r="M3982" s="2">
        <v>938</v>
      </c>
      <c r="N3982" t="s">
        <v>4556</v>
      </c>
      <c r="O3982">
        <v>3</v>
      </c>
      <c r="P3982">
        <v>2</v>
      </c>
      <c r="Q3982">
        <v>0</v>
      </c>
      <c r="R3982" t="s">
        <v>4557</v>
      </c>
      <c r="S3982" t="s">
        <v>1155</v>
      </c>
      <c r="T3982" t="s">
        <v>3888</v>
      </c>
      <c r="U3982" t="s">
        <v>4655</v>
      </c>
      <c r="V3982" s="2">
        <v>0</v>
      </c>
      <c r="W3982" t="s">
        <v>4655</v>
      </c>
      <c r="X3982" s="2">
        <v>0</v>
      </c>
      <c r="Y3982">
        <v>22</v>
      </c>
      <c r="Z3982" t="s">
        <v>5508</v>
      </c>
      <c r="AA3982" s="3">
        <v>0.39600551128387501</v>
      </c>
      <c r="AB3982" t="s">
        <v>21460</v>
      </c>
      <c r="AC3982" t="s">
        <v>4575</v>
      </c>
      <c r="AD3982" t="s">
        <v>21461</v>
      </c>
      <c r="AE3982" t="s">
        <v>4655</v>
      </c>
      <c r="AF3982" t="s">
        <v>4563</v>
      </c>
      <c r="AG3982" t="s">
        <v>4564</v>
      </c>
      <c r="AH3982">
        <v>89506</v>
      </c>
      <c r="AI3982" t="s">
        <v>2857</v>
      </c>
      <c r="AJ3982" t="s">
        <v>4655</v>
      </c>
      <c r="AK3982" t="s">
        <v>21462</v>
      </c>
      <c r="AL3982" s="13" t="s">
        <v>1892</v>
      </c>
      <c r="AM3982">
        <v>1</v>
      </c>
      <c r="AN3982" s="15" t="s">
        <v>4849</v>
      </c>
    </row>
    <row r="3983" spans="1:40" x14ac:dyDescent="0.3">
      <c r="A3983" s="10" t="str">
        <f>HYPERLINK("http://www.washoecounty.gov/assessor/cama/?parid=087-151-17&amp;CardNumber=1","087-151-17")</f>
        <v>087-151-17</v>
      </c>
      <c r="B3983" t="s">
        <v>4655</v>
      </c>
      <c r="C3983" t="s">
        <v>21458</v>
      </c>
      <c r="D3983" s="1">
        <v>40428</v>
      </c>
      <c r="E3983" s="2">
        <v>42000</v>
      </c>
      <c r="F3983" t="s">
        <v>4553</v>
      </c>
      <c r="G3983" s="17" t="str">
        <f>HYPERLINK("https://www.washoecounty.gov/assessor/cama/?command=sales&amp;parid=08715117","3919583")</f>
        <v>3919583</v>
      </c>
      <c r="H3983" t="s">
        <v>21459</v>
      </c>
      <c r="I3983">
        <v>1978</v>
      </c>
      <c r="J3983">
        <v>1978</v>
      </c>
      <c r="K3983" t="s">
        <v>4847</v>
      </c>
      <c r="L3983" t="s">
        <v>4555</v>
      </c>
      <c r="M3983" s="2">
        <v>938</v>
      </c>
      <c r="N3983" t="s">
        <v>4556</v>
      </c>
      <c r="O3983">
        <v>3</v>
      </c>
      <c r="P3983">
        <v>2</v>
      </c>
      <c r="Q3983">
        <v>0</v>
      </c>
      <c r="R3983" t="s">
        <v>4557</v>
      </c>
      <c r="S3983" t="s">
        <v>1155</v>
      </c>
      <c r="T3983" t="s">
        <v>3888</v>
      </c>
      <c r="U3983" t="s">
        <v>4655</v>
      </c>
      <c r="V3983" s="2">
        <v>0</v>
      </c>
      <c r="W3983" t="s">
        <v>4655</v>
      </c>
      <c r="X3983" s="2">
        <v>0</v>
      </c>
      <c r="Y3983">
        <v>22</v>
      </c>
      <c r="Z3983" t="s">
        <v>5508</v>
      </c>
      <c r="AA3983" s="3">
        <v>0.39600551128387501</v>
      </c>
      <c r="AB3983" t="s">
        <v>21460</v>
      </c>
      <c r="AC3983" t="s">
        <v>4575</v>
      </c>
      <c r="AD3983" t="s">
        <v>21461</v>
      </c>
      <c r="AE3983" t="s">
        <v>4655</v>
      </c>
      <c r="AF3983" t="s">
        <v>4563</v>
      </c>
      <c r="AG3983" t="s">
        <v>4564</v>
      </c>
      <c r="AH3983">
        <v>89506</v>
      </c>
      <c r="AI3983" t="s">
        <v>2857</v>
      </c>
      <c r="AJ3983" t="s">
        <v>4655</v>
      </c>
      <c r="AK3983" t="s">
        <v>21462</v>
      </c>
      <c r="AL3983" s="13" t="s">
        <v>1892</v>
      </c>
      <c r="AM3983">
        <v>1</v>
      </c>
      <c r="AN3983" s="15" t="s">
        <v>4849</v>
      </c>
    </row>
    <row r="3984" spans="1:40" x14ac:dyDescent="0.3">
      <c r="A3984" s="10" t="str">
        <f>HYPERLINK("http://www.washoecounty.gov/assessor/cama/?parid=087-154-13&amp;CardNumber=1","087-154-13")</f>
        <v>087-154-13</v>
      </c>
      <c r="B3984" t="s">
        <v>4655</v>
      </c>
      <c r="C3984" t="s">
        <v>21463</v>
      </c>
      <c r="D3984" s="1">
        <v>40494</v>
      </c>
      <c r="E3984" s="2">
        <v>30000</v>
      </c>
      <c r="F3984" t="s">
        <v>4553</v>
      </c>
      <c r="G3984" s="17" t="str">
        <f>HYPERLINK("https://www.washoecounty.gov/assessor/cama/?command=sales&amp;parid=08715413","3942528")</f>
        <v>3942528</v>
      </c>
      <c r="H3984" t="s">
        <v>4846</v>
      </c>
      <c r="I3984">
        <v>1992</v>
      </c>
      <c r="J3984">
        <v>1992</v>
      </c>
      <c r="K3984" t="s">
        <v>4847</v>
      </c>
      <c r="L3984" t="s">
        <v>4555</v>
      </c>
      <c r="M3984" s="2">
        <v>1708</v>
      </c>
      <c r="N3984" t="s">
        <v>5280</v>
      </c>
      <c r="O3984">
        <v>3</v>
      </c>
      <c r="P3984">
        <v>2</v>
      </c>
      <c r="Q3984">
        <v>0</v>
      </c>
      <c r="R3984" t="s">
        <v>4557</v>
      </c>
      <c r="S3984" t="s">
        <v>4558</v>
      </c>
      <c r="T3984" t="s">
        <v>4559</v>
      </c>
      <c r="U3984" t="s">
        <v>4655</v>
      </c>
      <c r="V3984" s="2">
        <v>0</v>
      </c>
      <c r="W3984" t="s">
        <v>4655</v>
      </c>
      <c r="X3984" s="2">
        <v>0</v>
      </c>
      <c r="Y3984">
        <v>22</v>
      </c>
      <c r="Z3984" t="s">
        <v>5508</v>
      </c>
      <c r="AA3984" s="3">
        <v>0.38999080657959001</v>
      </c>
      <c r="AB3984" t="s">
        <v>21464</v>
      </c>
      <c r="AC3984" t="s">
        <v>4575</v>
      </c>
      <c r="AD3984" t="s">
        <v>21465</v>
      </c>
      <c r="AE3984" t="s">
        <v>4655</v>
      </c>
      <c r="AF3984" t="s">
        <v>21466</v>
      </c>
      <c r="AG3984" t="s">
        <v>4584</v>
      </c>
      <c r="AH3984" t="s">
        <v>21467</v>
      </c>
      <c r="AI3984" t="s">
        <v>4848</v>
      </c>
      <c r="AJ3984" t="s">
        <v>4655</v>
      </c>
      <c r="AK3984" t="s">
        <v>21468</v>
      </c>
      <c r="AL3984" s="13" t="s">
        <v>1892</v>
      </c>
      <c r="AM3984">
        <v>1</v>
      </c>
      <c r="AN3984" s="15" t="s">
        <v>4849</v>
      </c>
    </row>
    <row r="3985" spans="1:40" x14ac:dyDescent="0.3">
      <c r="A3985" s="10" t="str">
        <f>HYPERLINK("http://www.washoecounty.gov/assessor/cama/?parid=087-163-03&amp;CardNumber=1","087-163-03")</f>
        <v>087-163-03</v>
      </c>
      <c r="B3985" t="s">
        <v>4655</v>
      </c>
      <c r="C3985" t="s">
        <v>21469</v>
      </c>
      <c r="D3985" s="1">
        <v>40184</v>
      </c>
      <c r="E3985" s="2">
        <v>81000</v>
      </c>
      <c r="F3985" t="s">
        <v>4553</v>
      </c>
      <c r="G3985" s="17" t="str">
        <f>HYPERLINK("https://www.washoecounty.gov/assessor/cama/?command=sales&amp;parid=08716303","3836744")</f>
        <v>3836744</v>
      </c>
      <c r="H3985" t="s">
        <v>4846</v>
      </c>
      <c r="I3985">
        <v>2006</v>
      </c>
      <c r="J3985">
        <v>2006</v>
      </c>
      <c r="K3985" t="s">
        <v>4847</v>
      </c>
      <c r="L3985" t="s">
        <v>4555</v>
      </c>
      <c r="M3985" s="2">
        <v>1620</v>
      </c>
      <c r="N3985" t="s">
        <v>5280</v>
      </c>
      <c r="O3985">
        <v>3</v>
      </c>
      <c r="P3985">
        <v>2</v>
      </c>
      <c r="Q3985">
        <v>0</v>
      </c>
      <c r="R3985" t="s">
        <v>4557</v>
      </c>
      <c r="S3985" t="s">
        <v>4558</v>
      </c>
      <c r="T3985" t="s">
        <v>4559</v>
      </c>
      <c r="U3985" t="s">
        <v>4655</v>
      </c>
      <c r="V3985" s="2">
        <v>0</v>
      </c>
      <c r="W3985" t="s">
        <v>4655</v>
      </c>
      <c r="X3985" s="2">
        <v>0</v>
      </c>
      <c r="Y3985">
        <v>22</v>
      </c>
      <c r="Z3985" t="s">
        <v>5508</v>
      </c>
      <c r="AA3985" s="3">
        <v>0.34400826692581199</v>
      </c>
      <c r="AB3985" t="s">
        <v>21470</v>
      </c>
      <c r="AC3985" t="s">
        <v>4562</v>
      </c>
      <c r="AD3985" t="s">
        <v>21471</v>
      </c>
      <c r="AE3985" t="s">
        <v>4655</v>
      </c>
      <c r="AF3985" t="s">
        <v>4563</v>
      </c>
      <c r="AG3985" t="s">
        <v>4564</v>
      </c>
      <c r="AH3985">
        <v>89506</v>
      </c>
      <c r="AI3985" t="s">
        <v>4848</v>
      </c>
      <c r="AJ3985" t="s">
        <v>4655</v>
      </c>
      <c r="AK3985" t="s">
        <v>21472</v>
      </c>
      <c r="AL3985" s="13" t="s">
        <v>1892</v>
      </c>
      <c r="AM3985" s="14">
        <v>1</v>
      </c>
      <c r="AN3985" s="15" t="s">
        <v>4849</v>
      </c>
    </row>
    <row r="3986" spans="1:40" x14ac:dyDescent="0.3">
      <c r="A3986" s="10" t="str">
        <f>HYPERLINK("http://www.washoecounty.gov/assessor/cama/?parid=087-163-06&amp;CardNumber=1","087-163-06")</f>
        <v>087-163-06</v>
      </c>
      <c r="B3986" t="s">
        <v>4655</v>
      </c>
      <c r="C3986" t="s">
        <v>21473</v>
      </c>
      <c r="D3986" s="1">
        <v>40295</v>
      </c>
      <c r="E3986" s="2">
        <v>74000</v>
      </c>
      <c r="F3986" t="s">
        <v>4567</v>
      </c>
      <c r="G3986" s="17" t="str">
        <f>HYPERLINK("https://www.washoecounty.gov/assessor/cama/?command=sales&amp;parid=08716306","3875123")</f>
        <v>3875123</v>
      </c>
      <c r="H3986" t="s">
        <v>4846</v>
      </c>
      <c r="I3986">
        <v>1992</v>
      </c>
      <c r="J3986">
        <v>1992</v>
      </c>
      <c r="K3986" t="s">
        <v>4847</v>
      </c>
      <c r="L3986" t="s">
        <v>4555</v>
      </c>
      <c r="M3986" s="2">
        <v>1546</v>
      </c>
      <c r="N3986" t="s">
        <v>3147</v>
      </c>
      <c r="O3986">
        <v>3</v>
      </c>
      <c r="P3986">
        <v>2</v>
      </c>
      <c r="Q3986">
        <v>0</v>
      </c>
      <c r="R3986" t="s">
        <v>4557</v>
      </c>
      <c r="S3986" t="s">
        <v>4558</v>
      </c>
      <c r="T3986" t="s">
        <v>4559</v>
      </c>
      <c r="U3986" t="s">
        <v>4655</v>
      </c>
      <c r="V3986" s="2">
        <v>0</v>
      </c>
      <c r="W3986" t="s">
        <v>4655</v>
      </c>
      <c r="X3986" s="2">
        <v>0</v>
      </c>
      <c r="Y3986">
        <v>22</v>
      </c>
      <c r="Z3986" t="s">
        <v>5508</v>
      </c>
      <c r="AA3986" s="3">
        <v>0.45300734043121299</v>
      </c>
      <c r="AB3986" t="s">
        <v>21474</v>
      </c>
      <c r="AC3986" t="s">
        <v>4562</v>
      </c>
      <c r="AD3986" t="s">
        <v>21473</v>
      </c>
      <c r="AE3986" t="s">
        <v>4655</v>
      </c>
      <c r="AF3986" t="s">
        <v>4563</v>
      </c>
      <c r="AG3986" t="s">
        <v>4564</v>
      </c>
      <c r="AH3986">
        <v>89508</v>
      </c>
      <c r="AI3986" t="s">
        <v>21475</v>
      </c>
      <c r="AJ3986" t="s">
        <v>4655</v>
      </c>
      <c r="AK3986" t="s">
        <v>21476</v>
      </c>
      <c r="AL3986" s="13" t="s">
        <v>1892</v>
      </c>
      <c r="AM3986">
        <v>1</v>
      </c>
      <c r="AN3986" s="15" t="s">
        <v>4849</v>
      </c>
    </row>
    <row r="3987" spans="1:40" x14ac:dyDescent="0.3">
      <c r="A3987" s="10" t="str">
        <f>HYPERLINK("http://www.washoecounty.gov/assessor/cama/?parid=087-166-03&amp;CardNumber=1","087-166-03")</f>
        <v>087-166-03</v>
      </c>
      <c r="B3987" t="s">
        <v>4655</v>
      </c>
      <c r="C3987" t="s">
        <v>21477</v>
      </c>
      <c r="D3987" s="1">
        <v>40347</v>
      </c>
      <c r="E3987" s="2">
        <v>55000</v>
      </c>
      <c r="F3987" t="s">
        <v>4553</v>
      </c>
      <c r="G3987" s="17" t="str">
        <f>HYPERLINK("https://www.washoecounty.gov/assessor/cama/?command=sales&amp;parid=08716603","3893164")</f>
        <v>3893164</v>
      </c>
      <c r="H3987" t="s">
        <v>4846</v>
      </c>
      <c r="I3987">
        <v>1986</v>
      </c>
      <c r="J3987">
        <v>1986</v>
      </c>
      <c r="K3987" t="s">
        <v>4847</v>
      </c>
      <c r="L3987" t="s">
        <v>4555</v>
      </c>
      <c r="M3987" s="2">
        <v>1610</v>
      </c>
      <c r="N3987" t="s">
        <v>5280</v>
      </c>
      <c r="O3987">
        <v>3</v>
      </c>
      <c r="P3987">
        <v>2</v>
      </c>
      <c r="Q3987">
        <v>0</v>
      </c>
      <c r="R3987" t="s">
        <v>4557</v>
      </c>
      <c r="S3987" t="s">
        <v>4558</v>
      </c>
      <c r="T3987" t="s">
        <v>4559</v>
      </c>
      <c r="U3987" t="s">
        <v>4655</v>
      </c>
      <c r="V3987" s="2">
        <v>0</v>
      </c>
      <c r="W3987" t="s">
        <v>4655</v>
      </c>
      <c r="X3987" s="2">
        <v>0</v>
      </c>
      <c r="Y3987">
        <v>22</v>
      </c>
      <c r="Z3987" t="s">
        <v>5508</v>
      </c>
      <c r="AA3987" s="3">
        <v>0.34800276160240201</v>
      </c>
      <c r="AB3987" t="s">
        <v>210</v>
      </c>
      <c r="AC3987" t="s">
        <v>4562</v>
      </c>
      <c r="AD3987" t="s">
        <v>211</v>
      </c>
      <c r="AE3987" t="s">
        <v>4655</v>
      </c>
      <c r="AF3987" t="s">
        <v>4563</v>
      </c>
      <c r="AG3987" t="s">
        <v>4564</v>
      </c>
      <c r="AH3987" t="s">
        <v>2841</v>
      </c>
      <c r="AI3987" t="s">
        <v>4565</v>
      </c>
      <c r="AJ3987" t="s">
        <v>4655</v>
      </c>
      <c r="AK3987" t="s">
        <v>21478</v>
      </c>
      <c r="AL3987" s="13" t="s">
        <v>1892</v>
      </c>
      <c r="AM3987">
        <v>1</v>
      </c>
      <c r="AN3987" s="15" t="s">
        <v>4849</v>
      </c>
    </row>
    <row r="3988" spans="1:40" x14ac:dyDescent="0.3">
      <c r="A3988" s="10" t="str">
        <f>HYPERLINK("http://www.washoecounty.gov/assessor/cama/?parid=087-167-03&amp;CardNumber=1","087-167-03")</f>
        <v>087-167-03</v>
      </c>
      <c r="B3988" t="s">
        <v>4655</v>
      </c>
      <c r="C3988" t="s">
        <v>21479</v>
      </c>
      <c r="D3988" s="1">
        <v>40290</v>
      </c>
      <c r="E3988" s="2">
        <v>85000</v>
      </c>
      <c r="F3988" t="s">
        <v>4553</v>
      </c>
      <c r="G3988" s="17" t="str">
        <f>HYPERLINK("https://www.washoecounty.gov/assessor/cama/?command=sales&amp;parid=08716703","3873845")</f>
        <v>3873845</v>
      </c>
      <c r="H3988" t="s">
        <v>4846</v>
      </c>
      <c r="I3988">
        <v>2005</v>
      </c>
      <c r="J3988">
        <v>2005</v>
      </c>
      <c r="K3988" t="s">
        <v>4847</v>
      </c>
      <c r="L3988" t="s">
        <v>4555</v>
      </c>
      <c r="M3988" s="2">
        <v>1620</v>
      </c>
      <c r="N3988" t="s">
        <v>4048</v>
      </c>
      <c r="O3988">
        <v>3</v>
      </c>
      <c r="P3988">
        <v>2</v>
      </c>
      <c r="Q3988">
        <v>0</v>
      </c>
      <c r="R3988" t="s">
        <v>4557</v>
      </c>
      <c r="S3988" t="s">
        <v>4558</v>
      </c>
      <c r="T3988" t="s">
        <v>4559</v>
      </c>
      <c r="U3988" t="s">
        <v>4655</v>
      </c>
      <c r="V3988" s="2">
        <v>0</v>
      </c>
      <c r="W3988" t="s">
        <v>4655</v>
      </c>
      <c r="X3988" s="2">
        <v>0</v>
      </c>
      <c r="Y3988">
        <v>22</v>
      </c>
      <c r="Z3988" t="s">
        <v>5508</v>
      </c>
      <c r="AA3988" s="3">
        <v>0.40000000596046398</v>
      </c>
      <c r="AB3988" t="s">
        <v>21480</v>
      </c>
      <c r="AC3988" t="s">
        <v>4562</v>
      </c>
      <c r="AD3988" t="s">
        <v>21479</v>
      </c>
      <c r="AE3988" t="s">
        <v>4655</v>
      </c>
      <c r="AF3988" t="s">
        <v>4563</v>
      </c>
      <c r="AG3988" t="s">
        <v>4564</v>
      </c>
      <c r="AH3988">
        <v>89508</v>
      </c>
      <c r="AI3988" t="s">
        <v>4848</v>
      </c>
      <c r="AJ3988" t="s">
        <v>4655</v>
      </c>
      <c r="AK3988" t="s">
        <v>21481</v>
      </c>
      <c r="AL3988" s="13" t="s">
        <v>1892</v>
      </c>
      <c r="AM3988">
        <v>1</v>
      </c>
      <c r="AN3988" s="15" t="s">
        <v>4849</v>
      </c>
    </row>
    <row r="3989" spans="1:40" x14ac:dyDescent="0.3">
      <c r="A3989" s="10" t="str">
        <f>HYPERLINK("http://www.washoecounty.gov/assessor/cama/?parid=087-167-04&amp;CardNumber=1","087-167-04")</f>
        <v>087-167-04</v>
      </c>
      <c r="B3989" t="s">
        <v>4655</v>
      </c>
      <c r="C3989" t="s">
        <v>21482</v>
      </c>
      <c r="D3989" s="1">
        <v>40504</v>
      </c>
      <c r="E3989" s="2">
        <v>30000</v>
      </c>
      <c r="F3989" t="s">
        <v>4567</v>
      </c>
      <c r="G3989" s="17" t="str">
        <f>HYPERLINK("https://www.washoecounty.gov/assessor/cama/?command=sales&amp;parid=08716704","3945699")</f>
        <v>3945699</v>
      </c>
      <c r="H3989" t="s">
        <v>4846</v>
      </c>
      <c r="I3989">
        <v>1978</v>
      </c>
      <c r="J3989">
        <v>1978</v>
      </c>
      <c r="K3989" t="s">
        <v>1243</v>
      </c>
      <c r="L3989" t="s">
        <v>4655</v>
      </c>
      <c r="M3989" s="2">
        <v>0</v>
      </c>
      <c r="N3989" t="s">
        <v>4655</v>
      </c>
      <c r="O3989">
        <v>0</v>
      </c>
      <c r="P3989">
        <v>0</v>
      </c>
      <c r="Q3989">
        <v>0</v>
      </c>
      <c r="R3989" t="s">
        <v>4655</v>
      </c>
      <c r="S3989" t="s">
        <v>4655</v>
      </c>
      <c r="T3989" t="s">
        <v>4655</v>
      </c>
      <c r="U3989" t="s">
        <v>4655</v>
      </c>
      <c r="V3989" s="2">
        <v>0</v>
      </c>
      <c r="W3989" t="s">
        <v>4655</v>
      </c>
      <c r="X3989" s="2">
        <v>0</v>
      </c>
      <c r="Y3989">
        <v>23</v>
      </c>
      <c r="Z3989" t="s">
        <v>5508</v>
      </c>
      <c r="AA3989" s="3">
        <v>0.35399448871612499</v>
      </c>
      <c r="AB3989" t="s">
        <v>21483</v>
      </c>
      <c r="AC3989" t="s">
        <v>4562</v>
      </c>
      <c r="AD3989" t="s">
        <v>21482</v>
      </c>
      <c r="AE3989" t="s">
        <v>4655</v>
      </c>
      <c r="AF3989" t="s">
        <v>4563</v>
      </c>
      <c r="AG3989" t="s">
        <v>4564</v>
      </c>
      <c r="AH3989">
        <v>89508</v>
      </c>
      <c r="AI3989" t="s">
        <v>21484</v>
      </c>
      <c r="AJ3989" t="s">
        <v>4655</v>
      </c>
      <c r="AK3989" t="s">
        <v>21485</v>
      </c>
      <c r="AL3989" s="13" t="s">
        <v>1892</v>
      </c>
      <c r="AM3989">
        <v>1</v>
      </c>
      <c r="AN3989" s="15" t="s">
        <v>4849</v>
      </c>
    </row>
    <row r="3990" spans="1:40" x14ac:dyDescent="0.3">
      <c r="A3990" s="10" t="str">
        <f>HYPERLINK("http://www.washoecounty.gov/assessor/cama/?parid=087-172-11&amp;CardNumber=1","087-172-11")</f>
        <v>087-172-11</v>
      </c>
      <c r="B3990" t="s">
        <v>4655</v>
      </c>
      <c r="C3990" t="s">
        <v>21486</v>
      </c>
      <c r="D3990" s="1">
        <v>40407</v>
      </c>
      <c r="E3990" s="2">
        <v>40750</v>
      </c>
      <c r="F3990" t="s">
        <v>4567</v>
      </c>
      <c r="G3990" s="17" t="str">
        <f>HYPERLINK("https://www.washoecounty.gov/assessor/cama/?command=sales&amp;parid=08717211","3912658")</f>
        <v>3912658</v>
      </c>
      <c r="H3990" t="s">
        <v>4846</v>
      </c>
      <c r="I3990">
        <v>1981</v>
      </c>
      <c r="J3990">
        <v>1981</v>
      </c>
      <c r="K3990" t="s">
        <v>1243</v>
      </c>
      <c r="L3990" t="s">
        <v>4655</v>
      </c>
      <c r="M3990" s="2">
        <v>0</v>
      </c>
      <c r="N3990" t="s">
        <v>4655</v>
      </c>
      <c r="O3990">
        <v>0</v>
      </c>
      <c r="P3990">
        <v>0</v>
      </c>
      <c r="Q3990">
        <v>0</v>
      </c>
      <c r="R3990" t="s">
        <v>4655</v>
      </c>
      <c r="S3990" t="s">
        <v>4655</v>
      </c>
      <c r="T3990" t="s">
        <v>4655</v>
      </c>
      <c r="U3990" t="s">
        <v>4655</v>
      </c>
      <c r="V3990" s="2">
        <v>0</v>
      </c>
      <c r="W3990" t="s">
        <v>4655</v>
      </c>
      <c r="X3990" s="2">
        <v>0</v>
      </c>
      <c r="Y3990">
        <v>23</v>
      </c>
      <c r="Z3990" t="s">
        <v>5508</v>
      </c>
      <c r="AA3990" s="3">
        <v>0.35700184106826799</v>
      </c>
      <c r="AB3990" t="s">
        <v>21487</v>
      </c>
      <c r="AC3990" t="s">
        <v>4562</v>
      </c>
      <c r="AD3990" t="s">
        <v>21488</v>
      </c>
      <c r="AE3990" t="s">
        <v>4655</v>
      </c>
      <c r="AF3990" t="s">
        <v>2090</v>
      </c>
      <c r="AG3990" t="s">
        <v>4564</v>
      </c>
      <c r="AH3990" t="s">
        <v>2091</v>
      </c>
      <c r="AI3990" t="s">
        <v>4655</v>
      </c>
      <c r="AJ3990" t="s">
        <v>4655</v>
      </c>
      <c r="AK3990" t="s">
        <v>21489</v>
      </c>
      <c r="AL3990" s="13" t="s">
        <v>1892</v>
      </c>
      <c r="AM3990">
        <v>1</v>
      </c>
      <c r="AN3990" s="15" t="s">
        <v>4849</v>
      </c>
    </row>
    <row r="3991" spans="1:40" x14ac:dyDescent="0.3">
      <c r="A3991" s="10" t="str">
        <f>HYPERLINK("http://www.washoecounty.gov/assessor/cama/?parid=087-181-10&amp;CardNumber=1","087-181-10")</f>
        <v>087-181-10</v>
      </c>
      <c r="B3991" t="s">
        <v>4655</v>
      </c>
      <c r="C3991" t="s">
        <v>21490</v>
      </c>
      <c r="D3991" s="1">
        <v>40410</v>
      </c>
      <c r="E3991" s="2">
        <v>30000</v>
      </c>
      <c r="F3991" t="s">
        <v>4553</v>
      </c>
      <c r="G3991" s="17" t="str">
        <f>HYPERLINK("https://www.washoecounty.gov/assessor/cama/?command=sales&amp;parid=08718110","3914302")</f>
        <v>3914302</v>
      </c>
      <c r="H3991" t="s">
        <v>4846</v>
      </c>
      <c r="I3991">
        <v>1978</v>
      </c>
      <c r="J3991">
        <v>1978</v>
      </c>
      <c r="K3991" t="s">
        <v>4847</v>
      </c>
      <c r="L3991" t="s">
        <v>4555</v>
      </c>
      <c r="M3991" s="2">
        <v>1436</v>
      </c>
      <c r="N3991" t="s">
        <v>4048</v>
      </c>
      <c r="O3991">
        <v>3</v>
      </c>
      <c r="P3991">
        <v>2</v>
      </c>
      <c r="Q3991">
        <v>0</v>
      </c>
      <c r="R3991" t="s">
        <v>4557</v>
      </c>
      <c r="S3991" t="s">
        <v>4558</v>
      </c>
      <c r="T3991" t="s">
        <v>4559</v>
      </c>
      <c r="U3991" t="s">
        <v>4655</v>
      </c>
      <c r="V3991" s="2">
        <v>0</v>
      </c>
      <c r="W3991" t="s">
        <v>4655</v>
      </c>
      <c r="X3991" s="2">
        <v>0</v>
      </c>
      <c r="Y3991">
        <v>22</v>
      </c>
      <c r="Z3991" t="s">
        <v>5508</v>
      </c>
      <c r="AA3991" s="3">
        <v>0.43999081850051902</v>
      </c>
      <c r="AB3991" t="s">
        <v>21491</v>
      </c>
      <c r="AC3991" t="s">
        <v>4575</v>
      </c>
      <c r="AD3991" t="s">
        <v>21492</v>
      </c>
      <c r="AE3991" t="s">
        <v>21490</v>
      </c>
      <c r="AF3991" t="s">
        <v>4563</v>
      </c>
      <c r="AG3991" t="s">
        <v>4564</v>
      </c>
      <c r="AH3991">
        <v>89506</v>
      </c>
      <c r="AI3991" t="s">
        <v>4848</v>
      </c>
      <c r="AJ3991" t="s">
        <v>4655</v>
      </c>
      <c r="AK3991" t="s">
        <v>21493</v>
      </c>
      <c r="AL3991" s="13" t="s">
        <v>1892</v>
      </c>
      <c r="AM3991">
        <v>1</v>
      </c>
      <c r="AN3991" s="15" t="s">
        <v>4849</v>
      </c>
    </row>
    <row r="3992" spans="1:40" x14ac:dyDescent="0.3">
      <c r="A3992" s="10" t="str">
        <f>HYPERLINK("http://www.washoecounty.gov/assessor/cama/?parid=087-181-19&amp;CardNumber=1","087-181-19")</f>
        <v>087-181-19</v>
      </c>
      <c r="B3992" t="s">
        <v>4655</v>
      </c>
      <c r="C3992" t="s">
        <v>21494</v>
      </c>
      <c r="D3992" s="1">
        <v>40252</v>
      </c>
      <c r="E3992" s="2">
        <v>47500</v>
      </c>
      <c r="F3992" t="s">
        <v>4567</v>
      </c>
      <c r="G3992" s="17" t="str">
        <f>HYPERLINK("https://www.washoecounty.gov/assessor/cama/?command=sales&amp;parid=08718119","3860103")</f>
        <v>3860103</v>
      </c>
      <c r="H3992" t="s">
        <v>4846</v>
      </c>
      <c r="I3992">
        <v>1979</v>
      </c>
      <c r="J3992">
        <v>1979</v>
      </c>
      <c r="K3992" t="s">
        <v>4847</v>
      </c>
      <c r="L3992" t="s">
        <v>4555</v>
      </c>
      <c r="M3992" s="2">
        <v>1576</v>
      </c>
      <c r="N3992" t="s">
        <v>4048</v>
      </c>
      <c r="O3992">
        <v>3</v>
      </c>
      <c r="P3992">
        <v>2</v>
      </c>
      <c r="Q3992">
        <v>0</v>
      </c>
      <c r="R3992" t="s">
        <v>4557</v>
      </c>
      <c r="S3992" t="s">
        <v>1155</v>
      </c>
      <c r="T3992" t="s">
        <v>3888</v>
      </c>
      <c r="U3992" t="s">
        <v>4655</v>
      </c>
      <c r="V3992" s="2">
        <v>0</v>
      </c>
      <c r="W3992" t="s">
        <v>4655</v>
      </c>
      <c r="X3992" s="2">
        <v>0</v>
      </c>
      <c r="Y3992">
        <v>22</v>
      </c>
      <c r="Z3992" t="s">
        <v>5508</v>
      </c>
      <c r="AA3992" s="3">
        <v>0.43999081850051902</v>
      </c>
      <c r="AB3992" t="s">
        <v>21495</v>
      </c>
      <c r="AC3992" t="s">
        <v>4562</v>
      </c>
      <c r="AD3992" t="s">
        <v>21496</v>
      </c>
      <c r="AE3992" t="s">
        <v>4655</v>
      </c>
      <c r="AF3992" t="s">
        <v>21497</v>
      </c>
      <c r="AG3992" t="s">
        <v>4584</v>
      </c>
      <c r="AH3992">
        <v>94025</v>
      </c>
      <c r="AI3992" t="s">
        <v>21498</v>
      </c>
      <c r="AJ3992" t="s">
        <v>4655</v>
      </c>
      <c r="AK3992" t="s">
        <v>21499</v>
      </c>
      <c r="AL3992" s="13" t="s">
        <v>1892</v>
      </c>
      <c r="AM3992">
        <v>1</v>
      </c>
      <c r="AN3992" s="15" t="s">
        <v>4849</v>
      </c>
    </row>
    <row r="3993" spans="1:40" x14ac:dyDescent="0.3">
      <c r="A3993" s="10" t="str">
        <f>HYPERLINK("http://www.washoecounty.gov/assessor/cama/?parid=087-182-04&amp;CardNumber=1","087-182-04")</f>
        <v>087-182-04</v>
      </c>
      <c r="B3993" t="s">
        <v>4655</v>
      </c>
      <c r="C3993" t="s">
        <v>21500</v>
      </c>
      <c r="D3993" s="1">
        <v>40351</v>
      </c>
      <c r="E3993" s="2">
        <v>49900</v>
      </c>
      <c r="F3993" t="s">
        <v>4567</v>
      </c>
      <c r="G3993" s="17" t="str">
        <f>HYPERLINK("https://www.washoecounty.gov/assessor/cama/?command=sales&amp;parid=08718204","3894051")</f>
        <v>3894051</v>
      </c>
      <c r="H3993" t="s">
        <v>4846</v>
      </c>
      <c r="I3993">
        <v>0</v>
      </c>
      <c r="J3993">
        <v>0</v>
      </c>
      <c r="K3993" t="s">
        <v>4655</v>
      </c>
      <c r="L3993" t="s">
        <v>4655</v>
      </c>
      <c r="M3993" s="2">
        <v>0</v>
      </c>
      <c r="N3993" t="s">
        <v>4655</v>
      </c>
      <c r="O3993">
        <v>0</v>
      </c>
      <c r="P3993">
        <v>0</v>
      </c>
      <c r="Q3993">
        <v>0</v>
      </c>
      <c r="R3993" t="s">
        <v>4655</v>
      </c>
      <c r="S3993" t="s">
        <v>4655</v>
      </c>
      <c r="T3993" t="s">
        <v>4655</v>
      </c>
      <c r="U3993" t="s">
        <v>4655</v>
      </c>
      <c r="V3993" s="2">
        <v>0</v>
      </c>
      <c r="W3993" t="s">
        <v>4655</v>
      </c>
      <c r="X3993" s="2">
        <v>0</v>
      </c>
      <c r="Y3993">
        <v>23</v>
      </c>
      <c r="Z3993" t="s">
        <v>5508</v>
      </c>
      <c r="AA3993" s="3">
        <v>0.38099172711372398</v>
      </c>
      <c r="AB3993" t="s">
        <v>21501</v>
      </c>
      <c r="AC3993" t="s">
        <v>4562</v>
      </c>
      <c r="AD3993" t="s">
        <v>21502</v>
      </c>
      <c r="AE3993" t="s">
        <v>4655</v>
      </c>
      <c r="AF3993" t="s">
        <v>4563</v>
      </c>
      <c r="AG3993" t="s">
        <v>4564</v>
      </c>
      <c r="AH3993">
        <v>89510</v>
      </c>
      <c r="AI3993" t="s">
        <v>1587</v>
      </c>
      <c r="AJ3993" t="s">
        <v>4655</v>
      </c>
      <c r="AK3993" t="s">
        <v>21503</v>
      </c>
      <c r="AL3993" s="13" t="s">
        <v>1892</v>
      </c>
      <c r="AM3993" s="14">
        <v>0</v>
      </c>
      <c r="AN3993" s="15" t="s">
        <v>4849</v>
      </c>
    </row>
    <row r="3994" spans="1:40" x14ac:dyDescent="0.3">
      <c r="A3994" s="10" t="str">
        <f>HYPERLINK("http://www.washoecounty.gov/assessor/cama/?parid=087-193-04&amp;CardNumber=1","087-193-04")</f>
        <v>087-193-04</v>
      </c>
      <c r="B3994" t="s">
        <v>4655</v>
      </c>
      <c r="C3994" t="s">
        <v>2072</v>
      </c>
      <c r="D3994" s="1">
        <v>40308</v>
      </c>
      <c r="E3994" s="2">
        <v>1</v>
      </c>
      <c r="F3994" t="s">
        <v>4553</v>
      </c>
      <c r="G3994" s="17" t="str">
        <f>HYPERLINK("https://www.washoecounty.gov/assessor/cama/?command=sales&amp;parid=08719304","3879896")</f>
        <v>3879896</v>
      </c>
      <c r="H3994" t="s">
        <v>1646</v>
      </c>
      <c r="I3994">
        <v>1980</v>
      </c>
      <c r="J3994">
        <v>1980</v>
      </c>
      <c r="K3994" t="s">
        <v>4847</v>
      </c>
      <c r="L3994" t="s">
        <v>4555</v>
      </c>
      <c r="M3994" s="2">
        <v>1344</v>
      </c>
      <c r="N3994" t="s">
        <v>4556</v>
      </c>
      <c r="O3994">
        <v>2</v>
      </c>
      <c r="P3994">
        <v>2</v>
      </c>
      <c r="Q3994">
        <v>0</v>
      </c>
      <c r="R3994" t="s">
        <v>4557</v>
      </c>
      <c r="S3994" t="s">
        <v>4558</v>
      </c>
      <c r="T3994" t="s">
        <v>4559</v>
      </c>
      <c r="U3994" t="s">
        <v>4655</v>
      </c>
      <c r="V3994" s="2">
        <v>0</v>
      </c>
      <c r="W3994" t="s">
        <v>4655</v>
      </c>
      <c r="X3994" s="2">
        <v>0</v>
      </c>
      <c r="Y3994">
        <v>22</v>
      </c>
      <c r="Z3994" t="s">
        <v>5508</v>
      </c>
      <c r="AA3994" s="3">
        <v>0.39600551128387501</v>
      </c>
      <c r="AB3994" t="s">
        <v>5647</v>
      </c>
      <c r="AC3994" t="s">
        <v>4562</v>
      </c>
      <c r="AD3994" t="s">
        <v>5648</v>
      </c>
      <c r="AE3994" t="s">
        <v>4655</v>
      </c>
      <c r="AF3994" t="s">
        <v>2526</v>
      </c>
      <c r="AG3994" t="s">
        <v>4564</v>
      </c>
      <c r="AH3994">
        <v>89408</v>
      </c>
      <c r="AI3994" t="s">
        <v>5359</v>
      </c>
      <c r="AJ3994" t="s">
        <v>4655</v>
      </c>
      <c r="AK3994" t="s">
        <v>2073</v>
      </c>
      <c r="AL3994" s="13" t="s">
        <v>1892</v>
      </c>
      <c r="AM3994">
        <v>1</v>
      </c>
      <c r="AN3994" s="15" t="s">
        <v>4849</v>
      </c>
    </row>
    <row r="3995" spans="1:40" x14ac:dyDescent="0.3">
      <c r="A3995" s="10" t="str">
        <f>HYPERLINK("http://www.washoecounty.gov/assessor/cama/?parid=087-194-01&amp;CardNumber=1","087-194-01")</f>
        <v>087-194-01</v>
      </c>
      <c r="B3995" t="s">
        <v>4655</v>
      </c>
      <c r="C3995" t="s">
        <v>21504</v>
      </c>
      <c r="D3995" s="1">
        <v>40183</v>
      </c>
      <c r="E3995" s="2">
        <v>52000</v>
      </c>
      <c r="F3995" t="s">
        <v>4553</v>
      </c>
      <c r="G3995" s="17" t="str">
        <f>HYPERLINK("https://www.washoecounty.gov/assessor/cama/?command=sales&amp;parid=08719401","3836666")</f>
        <v>3836666</v>
      </c>
      <c r="H3995" t="s">
        <v>1646</v>
      </c>
      <c r="I3995">
        <v>1981</v>
      </c>
      <c r="J3995">
        <v>1981</v>
      </c>
      <c r="K3995" t="s">
        <v>4847</v>
      </c>
      <c r="L3995" t="s">
        <v>4555</v>
      </c>
      <c r="M3995" s="2">
        <v>1512</v>
      </c>
      <c r="N3995" t="s">
        <v>3887</v>
      </c>
      <c r="O3995">
        <v>3</v>
      </c>
      <c r="P3995">
        <v>2</v>
      </c>
      <c r="Q3995">
        <v>0</v>
      </c>
      <c r="R3995" t="s">
        <v>4557</v>
      </c>
      <c r="S3995" t="s">
        <v>4558</v>
      </c>
      <c r="T3995" t="s">
        <v>4559</v>
      </c>
      <c r="U3995" t="s">
        <v>4655</v>
      </c>
      <c r="V3995" s="2">
        <v>0</v>
      </c>
      <c r="W3995" t="s">
        <v>4655</v>
      </c>
      <c r="X3995" s="2">
        <v>0</v>
      </c>
      <c r="Y3995">
        <v>22</v>
      </c>
      <c r="Z3995" t="s">
        <v>5508</v>
      </c>
      <c r="AA3995" s="3">
        <v>0.34499540925025901</v>
      </c>
      <c r="AB3995" t="s">
        <v>21505</v>
      </c>
      <c r="AC3995" t="s">
        <v>4562</v>
      </c>
      <c r="AD3995" t="s">
        <v>21506</v>
      </c>
      <c r="AE3995" t="s">
        <v>4655</v>
      </c>
      <c r="AF3995" t="s">
        <v>4563</v>
      </c>
      <c r="AG3995" t="s">
        <v>4564</v>
      </c>
      <c r="AH3995">
        <v>89506</v>
      </c>
      <c r="AI3995" t="s">
        <v>4848</v>
      </c>
      <c r="AJ3995" t="s">
        <v>4655</v>
      </c>
      <c r="AK3995" t="s">
        <v>21507</v>
      </c>
      <c r="AL3995" s="13" t="s">
        <v>1892</v>
      </c>
      <c r="AM3995">
        <v>1</v>
      </c>
      <c r="AN3995" s="15" t="s">
        <v>4849</v>
      </c>
    </row>
    <row r="3996" spans="1:40" x14ac:dyDescent="0.3">
      <c r="A3996" s="10" t="str">
        <f>HYPERLINK("http://www.washoecounty.gov/assessor/cama/?parid=087-211-03&amp;CardNumber=1","087-211-03")</f>
        <v>087-211-03</v>
      </c>
      <c r="B3996" t="s">
        <v>4655</v>
      </c>
      <c r="C3996" t="s">
        <v>21508</v>
      </c>
      <c r="D3996" s="1">
        <v>40207</v>
      </c>
      <c r="E3996" s="2">
        <v>78000</v>
      </c>
      <c r="F3996" t="s">
        <v>4553</v>
      </c>
      <c r="G3996" s="17" t="str">
        <f>HYPERLINK("https://www.washoecounty.gov/assessor/cama/?command=sales&amp;parid=08721103","3844233")</f>
        <v>3844233</v>
      </c>
      <c r="H3996" t="s">
        <v>5154</v>
      </c>
      <c r="I3996">
        <v>1988</v>
      </c>
      <c r="J3996">
        <v>1988</v>
      </c>
      <c r="K3996" t="s">
        <v>4554</v>
      </c>
      <c r="L3996" t="s">
        <v>4555</v>
      </c>
      <c r="M3996" s="2">
        <v>1120</v>
      </c>
      <c r="N3996" t="s">
        <v>4556</v>
      </c>
      <c r="O3996">
        <v>3</v>
      </c>
      <c r="P3996">
        <v>2</v>
      </c>
      <c r="Q3996">
        <v>0</v>
      </c>
      <c r="R3996" t="s">
        <v>4557</v>
      </c>
      <c r="S3996" t="s">
        <v>4558</v>
      </c>
      <c r="T3996" t="s">
        <v>4559</v>
      </c>
      <c r="U3996" t="s">
        <v>4560</v>
      </c>
      <c r="V3996" s="2">
        <v>528</v>
      </c>
      <c r="W3996" t="s">
        <v>4655</v>
      </c>
      <c r="X3996" s="2">
        <v>0</v>
      </c>
      <c r="Y3996">
        <v>20</v>
      </c>
      <c r="Z3996" t="s">
        <v>5508</v>
      </c>
      <c r="AA3996" s="3">
        <v>0.355991721153259</v>
      </c>
      <c r="AB3996" t="s">
        <v>21509</v>
      </c>
      <c r="AC3996" t="s">
        <v>4562</v>
      </c>
      <c r="AD3996" t="s">
        <v>21510</v>
      </c>
      <c r="AE3996" t="s">
        <v>4655</v>
      </c>
      <c r="AF3996" t="s">
        <v>3114</v>
      </c>
      <c r="AG3996" t="s">
        <v>4564</v>
      </c>
      <c r="AH3996">
        <v>89508</v>
      </c>
      <c r="AI3996" t="s">
        <v>4903</v>
      </c>
      <c r="AJ3996" t="s">
        <v>4655</v>
      </c>
      <c r="AK3996" t="s">
        <v>21511</v>
      </c>
      <c r="AL3996" s="13" t="s">
        <v>1892</v>
      </c>
      <c r="AM3996">
        <v>1</v>
      </c>
      <c r="AN3996" s="15" t="s">
        <v>5228</v>
      </c>
    </row>
    <row r="3997" spans="1:40" x14ac:dyDescent="0.3">
      <c r="A3997" s="10" t="str">
        <f>HYPERLINK("http://www.washoecounty.gov/assessor/cama/?parid=087-212-08&amp;CardNumber=1","087-212-08")</f>
        <v>087-212-08</v>
      </c>
      <c r="B3997" t="s">
        <v>4655</v>
      </c>
      <c r="C3997" t="s">
        <v>21512</v>
      </c>
      <c r="D3997" s="1">
        <v>40232</v>
      </c>
      <c r="E3997" s="2">
        <v>210000</v>
      </c>
      <c r="F3997" t="s">
        <v>4553</v>
      </c>
      <c r="G3997" s="17" t="str">
        <f>HYPERLINK("https://www.washoecounty.gov/assessor/cama/?command=sales&amp;parid=08721208","3851842")</f>
        <v>3851842</v>
      </c>
      <c r="H3997" t="s">
        <v>21513</v>
      </c>
      <c r="I3997">
        <v>1986</v>
      </c>
      <c r="J3997">
        <v>1986</v>
      </c>
      <c r="K3997" t="s">
        <v>428</v>
      </c>
      <c r="L3997" t="s">
        <v>1366</v>
      </c>
      <c r="M3997" s="2">
        <v>2274</v>
      </c>
      <c r="N3997" t="s">
        <v>4672</v>
      </c>
      <c r="O3997">
        <v>0</v>
      </c>
      <c r="P3997">
        <v>0</v>
      </c>
      <c r="Q3997">
        <v>0</v>
      </c>
      <c r="R3997" t="s">
        <v>429</v>
      </c>
      <c r="S3997" t="s">
        <v>430</v>
      </c>
      <c r="T3997" t="s">
        <v>4655</v>
      </c>
      <c r="U3997" t="s">
        <v>4655</v>
      </c>
      <c r="V3997" s="2">
        <v>0</v>
      </c>
      <c r="W3997" t="s">
        <v>4655</v>
      </c>
      <c r="X3997" s="2">
        <v>0</v>
      </c>
      <c r="Y3997">
        <v>40</v>
      </c>
      <c r="Z3997" t="s">
        <v>5508</v>
      </c>
      <c r="AA3997" s="3">
        <v>0.71999537944793701</v>
      </c>
      <c r="AB3997" t="s">
        <v>21514</v>
      </c>
      <c r="AC3997" t="s">
        <v>4562</v>
      </c>
      <c r="AD3997" t="s">
        <v>21512</v>
      </c>
      <c r="AE3997" t="s">
        <v>4655</v>
      </c>
      <c r="AF3997" t="s">
        <v>4563</v>
      </c>
      <c r="AG3997" t="s">
        <v>4564</v>
      </c>
      <c r="AH3997">
        <v>89508</v>
      </c>
      <c r="AI3997" t="s">
        <v>1628</v>
      </c>
      <c r="AJ3997" t="s">
        <v>4655</v>
      </c>
      <c r="AK3997" t="s">
        <v>21515</v>
      </c>
      <c r="AL3997" s="13" t="s">
        <v>1892</v>
      </c>
      <c r="AM3997" s="14">
        <v>1</v>
      </c>
      <c r="AN3997" s="15" t="s">
        <v>21516</v>
      </c>
    </row>
    <row r="3998" spans="1:40" x14ac:dyDescent="0.3">
      <c r="A3998" s="10" t="str">
        <f>HYPERLINK("http://www.washoecounty.gov/assessor/cama/?parid=087-213-12&amp;CardNumber=1","087-213-12")</f>
        <v>087-213-12</v>
      </c>
      <c r="B3998" t="s">
        <v>4655</v>
      </c>
      <c r="C3998" t="s">
        <v>21517</v>
      </c>
      <c r="D3998" s="1">
        <v>40323</v>
      </c>
      <c r="E3998" s="2">
        <v>87500</v>
      </c>
      <c r="F3998" t="s">
        <v>4553</v>
      </c>
      <c r="G3998" s="17" t="str">
        <f>HYPERLINK("https://www.washoecounty.gov/assessor/cama/?command=sales&amp;parid=08721312","3884875")</f>
        <v>3884875</v>
      </c>
      <c r="H3998" t="s">
        <v>21518</v>
      </c>
      <c r="I3998">
        <v>1988</v>
      </c>
      <c r="J3998">
        <v>1988</v>
      </c>
      <c r="K3998" t="s">
        <v>4554</v>
      </c>
      <c r="L3998" t="s">
        <v>4555</v>
      </c>
      <c r="M3998" s="2">
        <v>1120</v>
      </c>
      <c r="N3998" t="s">
        <v>4556</v>
      </c>
      <c r="O3998">
        <v>3</v>
      </c>
      <c r="P3998">
        <v>2</v>
      </c>
      <c r="Q3998">
        <v>0</v>
      </c>
      <c r="R3998" t="s">
        <v>4557</v>
      </c>
      <c r="S3998" t="s">
        <v>4558</v>
      </c>
      <c r="T3998" t="s">
        <v>4559</v>
      </c>
      <c r="U3998" t="s">
        <v>4560</v>
      </c>
      <c r="V3998" s="2">
        <v>480</v>
      </c>
      <c r="W3998" t="s">
        <v>4655</v>
      </c>
      <c r="X3998" s="2">
        <v>0</v>
      </c>
      <c r="Y3998">
        <v>20</v>
      </c>
      <c r="Z3998" t="s">
        <v>5508</v>
      </c>
      <c r="AA3998" s="3">
        <v>0.39800274372100802</v>
      </c>
      <c r="AB3998" t="s">
        <v>21519</v>
      </c>
      <c r="AC3998" t="s">
        <v>4562</v>
      </c>
      <c r="AD3998" t="s">
        <v>21520</v>
      </c>
      <c r="AE3998" t="s">
        <v>4655</v>
      </c>
      <c r="AF3998" t="s">
        <v>4809</v>
      </c>
      <c r="AG3998" t="s">
        <v>4564</v>
      </c>
      <c r="AH3998" t="s">
        <v>3609</v>
      </c>
      <c r="AI3998" t="s">
        <v>4565</v>
      </c>
      <c r="AJ3998" t="s">
        <v>4655</v>
      </c>
      <c r="AK3998" t="s">
        <v>21521</v>
      </c>
      <c r="AL3998" s="13" t="s">
        <v>1892</v>
      </c>
      <c r="AM3998">
        <v>1</v>
      </c>
      <c r="AN3998" s="15" t="s">
        <v>5228</v>
      </c>
    </row>
    <row r="3999" spans="1:40" x14ac:dyDescent="0.3">
      <c r="A3999" s="10" t="str">
        <f>HYPERLINK("http://www.washoecounty.gov/assessor/cama/?parid=087-215-07&amp;CardNumber=1","087-215-07")</f>
        <v>087-215-07</v>
      </c>
      <c r="B3999" t="s">
        <v>4655</v>
      </c>
      <c r="C3999" t="s">
        <v>21522</v>
      </c>
      <c r="D3999" s="1">
        <v>40409</v>
      </c>
      <c r="E3999" s="2">
        <v>104000</v>
      </c>
      <c r="F3999" t="s">
        <v>4567</v>
      </c>
      <c r="G3999" s="17" t="str">
        <f>HYPERLINK("https://www.washoecounty.gov/assessor/cama/?command=sales&amp;parid=08721507","3913597")</f>
        <v>3913597</v>
      </c>
      <c r="H3999" t="s">
        <v>21518</v>
      </c>
      <c r="I3999">
        <v>1988</v>
      </c>
      <c r="J3999">
        <v>1988</v>
      </c>
      <c r="K3999" t="s">
        <v>4554</v>
      </c>
      <c r="L3999" t="s">
        <v>4555</v>
      </c>
      <c r="M3999" s="2">
        <v>1356</v>
      </c>
      <c r="N3999" t="s">
        <v>4556</v>
      </c>
      <c r="O3999">
        <v>3</v>
      </c>
      <c r="P3999">
        <v>2</v>
      </c>
      <c r="Q3999">
        <v>0</v>
      </c>
      <c r="R3999" t="s">
        <v>4557</v>
      </c>
      <c r="S3999" t="s">
        <v>4558</v>
      </c>
      <c r="T3999" t="s">
        <v>4559</v>
      </c>
      <c r="U3999" t="s">
        <v>4560</v>
      </c>
      <c r="V3999" s="2">
        <v>528</v>
      </c>
      <c r="W3999" t="s">
        <v>4655</v>
      </c>
      <c r="X3999" s="2">
        <v>0</v>
      </c>
      <c r="Y3999">
        <v>20</v>
      </c>
      <c r="Z3999" t="s">
        <v>5508</v>
      </c>
      <c r="AA3999" s="3">
        <v>0.35500457882881198</v>
      </c>
      <c r="AB3999" t="s">
        <v>21523</v>
      </c>
      <c r="AC3999" t="s">
        <v>4562</v>
      </c>
      <c r="AD3999" t="s">
        <v>21524</v>
      </c>
      <c r="AE3999" t="s">
        <v>4655</v>
      </c>
      <c r="AF3999" t="s">
        <v>4563</v>
      </c>
      <c r="AG3999" t="s">
        <v>4564</v>
      </c>
      <c r="AH3999">
        <v>89508</v>
      </c>
      <c r="AI3999" t="s">
        <v>21525</v>
      </c>
      <c r="AJ3999" t="s">
        <v>4655</v>
      </c>
      <c r="AK3999" t="s">
        <v>21526</v>
      </c>
      <c r="AL3999" s="13" t="s">
        <v>1892</v>
      </c>
      <c r="AM3999">
        <v>1</v>
      </c>
      <c r="AN3999" s="15" t="s">
        <v>5228</v>
      </c>
    </row>
    <row r="4000" spans="1:40" x14ac:dyDescent="0.3">
      <c r="A4000" s="10" t="str">
        <f>HYPERLINK("http://www.washoecounty.gov/assessor/cama/?parid=087-221-02&amp;CardNumber=1","087-221-02")</f>
        <v>087-221-02</v>
      </c>
      <c r="B4000" t="s">
        <v>4655</v>
      </c>
      <c r="C4000" t="s">
        <v>21527</v>
      </c>
      <c r="D4000" s="1">
        <v>40479</v>
      </c>
      <c r="E4000" s="2">
        <v>110000</v>
      </c>
      <c r="F4000" t="s">
        <v>4567</v>
      </c>
      <c r="G4000" s="17" t="str">
        <f>HYPERLINK("https://www.washoecounty.gov/assessor/cama/?command=sales&amp;parid=08722102","3937978")</f>
        <v>3937978</v>
      </c>
      <c r="H4000" t="s">
        <v>5154</v>
      </c>
      <c r="I4000">
        <v>1989</v>
      </c>
      <c r="J4000">
        <v>1989</v>
      </c>
      <c r="K4000" t="s">
        <v>4554</v>
      </c>
      <c r="L4000" t="s">
        <v>4555</v>
      </c>
      <c r="M4000" s="2">
        <v>1120</v>
      </c>
      <c r="N4000" t="s">
        <v>4556</v>
      </c>
      <c r="O4000">
        <v>3</v>
      </c>
      <c r="P4000">
        <v>2</v>
      </c>
      <c r="Q4000">
        <v>0</v>
      </c>
      <c r="R4000" t="s">
        <v>4557</v>
      </c>
      <c r="S4000" t="s">
        <v>4135</v>
      </c>
      <c r="T4000" t="s">
        <v>4559</v>
      </c>
      <c r="U4000" t="s">
        <v>4655</v>
      </c>
      <c r="V4000" s="2">
        <v>0</v>
      </c>
      <c r="W4000" t="s">
        <v>4655</v>
      </c>
      <c r="X4000" s="2">
        <v>0</v>
      </c>
      <c r="Y4000">
        <v>20</v>
      </c>
      <c r="Z4000" t="s">
        <v>5508</v>
      </c>
      <c r="AA4000" s="3">
        <v>0.35798898339271545</v>
      </c>
      <c r="AB4000" t="s">
        <v>21528</v>
      </c>
      <c r="AC4000" t="s">
        <v>4562</v>
      </c>
      <c r="AD4000" t="s">
        <v>21529</v>
      </c>
      <c r="AE4000" t="s">
        <v>4655</v>
      </c>
      <c r="AF4000" t="s">
        <v>4563</v>
      </c>
      <c r="AG4000" t="s">
        <v>4564</v>
      </c>
      <c r="AH4000">
        <v>89506</v>
      </c>
      <c r="AI4000" t="s">
        <v>21530</v>
      </c>
      <c r="AJ4000" t="s">
        <v>4655</v>
      </c>
      <c r="AK4000" t="s">
        <v>21531</v>
      </c>
      <c r="AL4000" s="13" t="s">
        <v>1892</v>
      </c>
      <c r="AM4000">
        <v>1</v>
      </c>
      <c r="AN4000" s="15" t="s">
        <v>5228</v>
      </c>
    </row>
    <row r="4001" spans="1:40" x14ac:dyDescent="0.3">
      <c r="A4001" s="10" t="str">
        <f>HYPERLINK("http://www.washoecounty.gov/assessor/cama/?parid=087-224-19&amp;CardNumber=1","087-224-19")</f>
        <v>087-224-19</v>
      </c>
      <c r="B4001" t="s">
        <v>4655</v>
      </c>
      <c r="C4001" t="s">
        <v>21532</v>
      </c>
      <c r="D4001" s="1">
        <v>40451</v>
      </c>
      <c r="E4001" s="2">
        <v>75000</v>
      </c>
      <c r="F4001" t="s">
        <v>4567</v>
      </c>
      <c r="G4001" s="17" t="str">
        <f>HYPERLINK("https://www.washoecounty.gov/assessor/cama/?command=sales&amp;parid=08722419","3928456")</f>
        <v>3928456</v>
      </c>
      <c r="H4001" t="s">
        <v>4205</v>
      </c>
      <c r="I4001">
        <v>1989</v>
      </c>
      <c r="J4001">
        <v>1989</v>
      </c>
      <c r="K4001" t="s">
        <v>4554</v>
      </c>
      <c r="L4001" t="s">
        <v>4555</v>
      </c>
      <c r="M4001" s="2">
        <v>1120</v>
      </c>
      <c r="N4001" t="s">
        <v>4556</v>
      </c>
      <c r="O4001">
        <v>3</v>
      </c>
      <c r="P4001">
        <v>2</v>
      </c>
      <c r="Q4001">
        <v>0</v>
      </c>
      <c r="R4001" t="s">
        <v>4557</v>
      </c>
      <c r="S4001" t="s">
        <v>4558</v>
      </c>
      <c r="T4001" t="s">
        <v>4559</v>
      </c>
      <c r="U4001" t="s">
        <v>4560</v>
      </c>
      <c r="V4001" s="2">
        <v>480</v>
      </c>
      <c r="W4001" t="s">
        <v>4655</v>
      </c>
      <c r="X4001" s="2">
        <v>0</v>
      </c>
      <c r="Y4001">
        <v>20</v>
      </c>
      <c r="Z4001" t="s">
        <v>5508</v>
      </c>
      <c r="AA4001" s="3">
        <v>0.34898990392684898</v>
      </c>
      <c r="AB4001" t="s">
        <v>21533</v>
      </c>
      <c r="AC4001" t="s">
        <v>4575</v>
      </c>
      <c r="AD4001" t="s">
        <v>21534</v>
      </c>
      <c r="AE4001" t="s">
        <v>21535</v>
      </c>
      <c r="AF4001" t="s">
        <v>4563</v>
      </c>
      <c r="AG4001" t="s">
        <v>4564</v>
      </c>
      <c r="AH4001">
        <v>89502</v>
      </c>
      <c r="AI4001" t="s">
        <v>21536</v>
      </c>
      <c r="AJ4001" t="s">
        <v>4655</v>
      </c>
      <c r="AK4001" t="s">
        <v>21537</v>
      </c>
      <c r="AL4001" s="13" t="s">
        <v>1892</v>
      </c>
      <c r="AM4001">
        <v>1</v>
      </c>
      <c r="AN4001" s="15" t="s">
        <v>5228</v>
      </c>
    </row>
    <row r="4002" spans="1:40" x14ac:dyDescent="0.3">
      <c r="A4002" s="10" t="str">
        <f>HYPERLINK("http://www.washoecounty.gov/assessor/cama/?parid=087-224-19&amp;CardNumber=1","087-224-19")</f>
        <v>087-224-19</v>
      </c>
      <c r="B4002" t="s">
        <v>4655</v>
      </c>
      <c r="C4002" t="s">
        <v>21532</v>
      </c>
      <c r="D4002" s="1">
        <v>40492</v>
      </c>
      <c r="E4002" s="2">
        <v>145000</v>
      </c>
      <c r="F4002" t="s">
        <v>4567</v>
      </c>
      <c r="G4002" s="17" t="str">
        <f>HYPERLINK("https://www.washoecounty.gov/assessor/cama/?command=sales&amp;parid=08722419","3941925")</f>
        <v>3941925</v>
      </c>
      <c r="H4002" t="s">
        <v>4205</v>
      </c>
      <c r="I4002">
        <v>1989</v>
      </c>
      <c r="J4002">
        <v>1989</v>
      </c>
      <c r="K4002" t="s">
        <v>4554</v>
      </c>
      <c r="L4002" t="s">
        <v>4555</v>
      </c>
      <c r="M4002" s="2">
        <v>1120</v>
      </c>
      <c r="N4002" t="s">
        <v>4556</v>
      </c>
      <c r="O4002">
        <v>3</v>
      </c>
      <c r="P4002">
        <v>2</v>
      </c>
      <c r="Q4002">
        <v>0</v>
      </c>
      <c r="R4002" t="s">
        <v>4557</v>
      </c>
      <c r="S4002" t="s">
        <v>4558</v>
      </c>
      <c r="T4002" t="s">
        <v>4559</v>
      </c>
      <c r="U4002" t="s">
        <v>4560</v>
      </c>
      <c r="V4002" s="2">
        <v>480</v>
      </c>
      <c r="W4002" t="s">
        <v>4655</v>
      </c>
      <c r="X4002" s="2">
        <v>0</v>
      </c>
      <c r="Y4002">
        <v>20</v>
      </c>
      <c r="Z4002" t="s">
        <v>5508</v>
      </c>
      <c r="AA4002" s="3">
        <v>0.34898990392684898</v>
      </c>
      <c r="AB4002" t="s">
        <v>21533</v>
      </c>
      <c r="AC4002" t="s">
        <v>4575</v>
      </c>
      <c r="AD4002" t="s">
        <v>21534</v>
      </c>
      <c r="AE4002" t="s">
        <v>21535</v>
      </c>
      <c r="AF4002" t="s">
        <v>4563</v>
      </c>
      <c r="AG4002" t="s">
        <v>4564</v>
      </c>
      <c r="AH4002">
        <v>89502</v>
      </c>
      <c r="AI4002" t="s">
        <v>21536</v>
      </c>
      <c r="AJ4002" t="s">
        <v>4655</v>
      </c>
      <c r="AK4002" t="s">
        <v>21537</v>
      </c>
      <c r="AL4002" s="13" t="s">
        <v>1892</v>
      </c>
      <c r="AM4002" s="14">
        <v>1</v>
      </c>
      <c r="AN4002" s="15" t="s">
        <v>5228</v>
      </c>
    </row>
    <row r="4003" spans="1:40" x14ac:dyDescent="0.3">
      <c r="A4003" s="10" t="str">
        <f>HYPERLINK("http://www.washoecounty.gov/assessor/cama/?parid=087-232-01&amp;CardNumber=1","087-232-01")</f>
        <v>087-232-01</v>
      </c>
      <c r="B4003" t="s">
        <v>4655</v>
      </c>
      <c r="C4003" t="s">
        <v>21538</v>
      </c>
      <c r="D4003" s="1">
        <v>40182</v>
      </c>
      <c r="E4003" s="2">
        <v>95000</v>
      </c>
      <c r="F4003" t="s">
        <v>4567</v>
      </c>
      <c r="G4003" s="17" t="str">
        <f>HYPERLINK("https://www.washoecounty.gov/assessor/cama/?command=sales&amp;parid=08723201","3836230")</f>
        <v>3836230</v>
      </c>
      <c r="H4003" t="s">
        <v>5227</v>
      </c>
      <c r="I4003">
        <v>1988</v>
      </c>
      <c r="J4003">
        <v>1988</v>
      </c>
      <c r="K4003" t="s">
        <v>4554</v>
      </c>
      <c r="L4003" t="s">
        <v>4555</v>
      </c>
      <c r="M4003" s="2">
        <v>1356</v>
      </c>
      <c r="N4003" t="s">
        <v>4556</v>
      </c>
      <c r="O4003">
        <v>3</v>
      </c>
      <c r="P4003">
        <v>2</v>
      </c>
      <c r="Q4003">
        <v>0</v>
      </c>
      <c r="R4003" t="s">
        <v>4557</v>
      </c>
      <c r="S4003" t="s">
        <v>4135</v>
      </c>
      <c r="T4003" t="s">
        <v>4559</v>
      </c>
      <c r="U4003" t="s">
        <v>4560</v>
      </c>
      <c r="V4003" s="2">
        <v>528</v>
      </c>
      <c r="W4003" t="s">
        <v>4655</v>
      </c>
      <c r="X4003" s="2">
        <v>0</v>
      </c>
      <c r="Y4003">
        <v>20</v>
      </c>
      <c r="Z4003" t="s">
        <v>5508</v>
      </c>
      <c r="AA4003" s="3">
        <v>0.394008278846741</v>
      </c>
      <c r="AB4003" t="s">
        <v>21539</v>
      </c>
      <c r="AC4003" t="s">
        <v>4575</v>
      </c>
      <c r="AD4003" t="s">
        <v>21538</v>
      </c>
      <c r="AE4003" t="s">
        <v>4655</v>
      </c>
      <c r="AF4003" t="s">
        <v>4563</v>
      </c>
      <c r="AG4003" t="s">
        <v>4564</v>
      </c>
      <c r="AH4003">
        <v>89508</v>
      </c>
      <c r="AI4003" t="s">
        <v>21540</v>
      </c>
      <c r="AJ4003" t="s">
        <v>4655</v>
      </c>
      <c r="AK4003" t="s">
        <v>21541</v>
      </c>
      <c r="AL4003" s="13" t="s">
        <v>1892</v>
      </c>
      <c r="AM4003">
        <v>1</v>
      </c>
      <c r="AN4003" s="15" t="s">
        <v>5228</v>
      </c>
    </row>
    <row r="4004" spans="1:40" x14ac:dyDescent="0.3">
      <c r="A4004" s="10" t="str">
        <f>HYPERLINK("http://www.washoecounty.gov/assessor/cama/?parid=087-232-03&amp;CardNumber=1","087-232-03")</f>
        <v>087-232-03</v>
      </c>
      <c r="B4004" t="s">
        <v>4655</v>
      </c>
      <c r="C4004" t="s">
        <v>21542</v>
      </c>
      <c r="D4004" s="1">
        <v>40343</v>
      </c>
      <c r="E4004" s="2">
        <v>88000</v>
      </c>
      <c r="F4004" t="s">
        <v>4567</v>
      </c>
      <c r="G4004" s="17" t="str">
        <f>HYPERLINK("https://www.washoecounty.gov/assessor/cama/?command=sales&amp;parid=08723203","3891419")</f>
        <v>3891419</v>
      </c>
      <c r="H4004" t="s">
        <v>21543</v>
      </c>
      <c r="I4004">
        <v>1988</v>
      </c>
      <c r="J4004">
        <v>1988</v>
      </c>
      <c r="K4004" t="s">
        <v>4554</v>
      </c>
      <c r="L4004" t="s">
        <v>4555</v>
      </c>
      <c r="M4004" s="2">
        <v>1356</v>
      </c>
      <c r="N4004" t="s">
        <v>4556</v>
      </c>
      <c r="O4004">
        <v>3</v>
      </c>
      <c r="P4004">
        <v>2</v>
      </c>
      <c r="Q4004">
        <v>0</v>
      </c>
      <c r="R4004" t="s">
        <v>4557</v>
      </c>
      <c r="S4004" t="s">
        <v>4558</v>
      </c>
      <c r="T4004" t="s">
        <v>4559</v>
      </c>
      <c r="U4004" t="s">
        <v>4560</v>
      </c>
      <c r="V4004" s="2">
        <v>528</v>
      </c>
      <c r="W4004" t="s">
        <v>4655</v>
      </c>
      <c r="X4004" s="2">
        <v>0</v>
      </c>
      <c r="Y4004">
        <v>20</v>
      </c>
      <c r="Z4004" t="s">
        <v>5508</v>
      </c>
      <c r="AA4004" s="3">
        <v>0.34400826692581199</v>
      </c>
      <c r="AB4004" t="s">
        <v>21544</v>
      </c>
      <c r="AC4004" t="s">
        <v>4562</v>
      </c>
      <c r="AD4004" t="s">
        <v>21545</v>
      </c>
      <c r="AE4004" t="s">
        <v>4655</v>
      </c>
      <c r="AF4004" t="s">
        <v>3114</v>
      </c>
      <c r="AG4004" t="s">
        <v>4564</v>
      </c>
      <c r="AH4004">
        <v>89508</v>
      </c>
      <c r="AI4004" t="s">
        <v>21546</v>
      </c>
      <c r="AJ4004" t="s">
        <v>4655</v>
      </c>
      <c r="AK4004" t="s">
        <v>21547</v>
      </c>
      <c r="AL4004" s="13" t="s">
        <v>1892</v>
      </c>
      <c r="AM4004">
        <v>1</v>
      </c>
      <c r="AN4004" s="15" t="s">
        <v>5228</v>
      </c>
    </row>
    <row r="4005" spans="1:40" x14ac:dyDescent="0.3">
      <c r="A4005" s="10" t="str">
        <f>HYPERLINK("http://www.washoecounty.gov/assessor/cama/?parid=087-242-09&amp;CardNumber=1","087-242-09")</f>
        <v>087-242-09</v>
      </c>
      <c r="B4005" t="s">
        <v>4655</v>
      </c>
      <c r="C4005" t="s">
        <v>21548</v>
      </c>
      <c r="D4005" s="1">
        <v>40359</v>
      </c>
      <c r="E4005" s="2">
        <v>92000</v>
      </c>
      <c r="F4005" t="s">
        <v>4567</v>
      </c>
      <c r="G4005" s="17" t="str">
        <f>HYPERLINK("https://www.washoecounty.gov/assessor/cama/?command=sales&amp;parid=08724209","3897195")</f>
        <v>3897195</v>
      </c>
      <c r="H4005" t="s">
        <v>21549</v>
      </c>
      <c r="I4005">
        <v>1990</v>
      </c>
      <c r="J4005">
        <v>1990</v>
      </c>
      <c r="K4005" t="s">
        <v>4554</v>
      </c>
      <c r="L4005" t="s">
        <v>4555</v>
      </c>
      <c r="M4005" s="2">
        <v>1356</v>
      </c>
      <c r="N4005" t="s">
        <v>4556</v>
      </c>
      <c r="O4005">
        <v>3</v>
      </c>
      <c r="P4005">
        <v>2</v>
      </c>
      <c r="Q4005">
        <v>0</v>
      </c>
      <c r="R4005" t="s">
        <v>4557</v>
      </c>
      <c r="S4005" t="s">
        <v>4558</v>
      </c>
      <c r="T4005" t="s">
        <v>4559</v>
      </c>
      <c r="U4005" t="s">
        <v>4560</v>
      </c>
      <c r="V4005" s="2">
        <v>768</v>
      </c>
      <c r="W4005" t="s">
        <v>4655</v>
      </c>
      <c r="X4005" s="2">
        <v>0</v>
      </c>
      <c r="Y4005">
        <v>20</v>
      </c>
      <c r="Z4005" t="s">
        <v>5508</v>
      </c>
      <c r="AA4005" s="3">
        <v>0.43000459671020502</v>
      </c>
      <c r="AB4005" t="s">
        <v>21550</v>
      </c>
      <c r="AC4005" t="s">
        <v>4562</v>
      </c>
      <c r="AD4005" t="s">
        <v>21548</v>
      </c>
      <c r="AE4005" t="s">
        <v>4655</v>
      </c>
      <c r="AF4005" t="s">
        <v>4563</v>
      </c>
      <c r="AG4005" t="s">
        <v>4564</v>
      </c>
      <c r="AH4005">
        <v>89508</v>
      </c>
      <c r="AI4005" t="s">
        <v>21551</v>
      </c>
      <c r="AJ4005" t="s">
        <v>4655</v>
      </c>
      <c r="AK4005" t="s">
        <v>21552</v>
      </c>
      <c r="AL4005" s="13" t="s">
        <v>1892</v>
      </c>
      <c r="AM4005" s="14">
        <v>1</v>
      </c>
      <c r="AN4005" s="15" t="s">
        <v>5228</v>
      </c>
    </row>
    <row r="4006" spans="1:40" x14ac:dyDescent="0.3">
      <c r="A4006" s="10" t="str">
        <f>HYPERLINK("http://www.washoecounty.gov/assessor/cama/?parid=087-243-08&amp;CardNumber=1","087-243-08")</f>
        <v>087-243-08</v>
      </c>
      <c r="B4006" t="s">
        <v>4655</v>
      </c>
      <c r="C4006" t="s">
        <v>21553</v>
      </c>
      <c r="D4006" s="1">
        <v>40534</v>
      </c>
      <c r="E4006" s="2">
        <v>107000</v>
      </c>
      <c r="F4006" t="s">
        <v>4553</v>
      </c>
      <c r="G4006" s="17" t="str">
        <f>HYPERLINK("https://www.washoecounty.gov/assessor/cama/?command=sales&amp;parid=08724308","3956166")</f>
        <v>3956166</v>
      </c>
      <c r="H4006" t="s">
        <v>21554</v>
      </c>
      <c r="I4006">
        <v>1989</v>
      </c>
      <c r="J4006">
        <v>1989</v>
      </c>
      <c r="K4006" t="s">
        <v>4554</v>
      </c>
      <c r="L4006" t="s">
        <v>4555</v>
      </c>
      <c r="M4006" s="2">
        <v>1356</v>
      </c>
      <c r="N4006" t="s">
        <v>4556</v>
      </c>
      <c r="O4006">
        <v>3</v>
      </c>
      <c r="P4006">
        <v>2</v>
      </c>
      <c r="Q4006">
        <v>0</v>
      </c>
      <c r="R4006" t="s">
        <v>4557</v>
      </c>
      <c r="S4006" t="s">
        <v>4558</v>
      </c>
      <c r="T4006" t="s">
        <v>4559</v>
      </c>
      <c r="U4006" t="s">
        <v>4560</v>
      </c>
      <c r="V4006" s="2">
        <v>768</v>
      </c>
      <c r="W4006" t="s">
        <v>4655</v>
      </c>
      <c r="X4006" s="2">
        <v>0</v>
      </c>
      <c r="Y4006">
        <v>20</v>
      </c>
      <c r="Z4006" t="s">
        <v>5508</v>
      </c>
      <c r="AA4006" s="3">
        <v>0.34400826692581199</v>
      </c>
      <c r="AB4006" t="s">
        <v>21555</v>
      </c>
      <c r="AC4006" t="s">
        <v>4562</v>
      </c>
      <c r="AD4006" t="s">
        <v>21556</v>
      </c>
      <c r="AE4006" t="s">
        <v>4655</v>
      </c>
      <c r="AF4006" t="s">
        <v>4563</v>
      </c>
      <c r="AG4006" t="s">
        <v>4564</v>
      </c>
      <c r="AH4006">
        <v>89508</v>
      </c>
      <c r="AI4006" t="s">
        <v>21557</v>
      </c>
      <c r="AJ4006" t="s">
        <v>4655</v>
      </c>
      <c r="AK4006" t="s">
        <v>21558</v>
      </c>
      <c r="AL4006" s="13" t="s">
        <v>1892</v>
      </c>
      <c r="AM4006" s="14">
        <v>1</v>
      </c>
      <c r="AN4006" s="15" t="s">
        <v>5228</v>
      </c>
    </row>
    <row r="4007" spans="1:40" x14ac:dyDescent="0.3">
      <c r="A4007" s="10" t="str">
        <f>HYPERLINK("http://www.washoecounty.gov/assessor/cama/?parid=087-252-06&amp;CardNumber=1","087-252-06")</f>
        <v>087-252-06</v>
      </c>
      <c r="B4007" t="s">
        <v>4655</v>
      </c>
      <c r="C4007" t="s">
        <v>21559</v>
      </c>
      <c r="D4007" s="1">
        <v>40357</v>
      </c>
      <c r="E4007" s="2">
        <v>100500</v>
      </c>
      <c r="F4007" t="s">
        <v>4567</v>
      </c>
      <c r="G4007" s="17" t="str">
        <f>HYPERLINK("https://www.washoecounty.gov/assessor/cama/?command=sales&amp;parid=08725206","3895850")</f>
        <v>3895850</v>
      </c>
      <c r="H4007" t="s">
        <v>21518</v>
      </c>
      <c r="I4007">
        <v>1982</v>
      </c>
      <c r="J4007">
        <v>1982</v>
      </c>
      <c r="K4007" t="s">
        <v>4554</v>
      </c>
      <c r="L4007" t="s">
        <v>4555</v>
      </c>
      <c r="M4007" s="2">
        <v>1247</v>
      </c>
      <c r="N4007" t="s">
        <v>4556</v>
      </c>
      <c r="O4007">
        <v>3</v>
      </c>
      <c r="P4007">
        <v>2</v>
      </c>
      <c r="Q4007">
        <v>0</v>
      </c>
      <c r="R4007" t="s">
        <v>4676</v>
      </c>
      <c r="S4007" t="s">
        <v>4135</v>
      </c>
      <c r="T4007" t="s">
        <v>4559</v>
      </c>
      <c r="U4007" t="s">
        <v>4560</v>
      </c>
      <c r="V4007" s="2">
        <v>480</v>
      </c>
      <c r="W4007" t="s">
        <v>4655</v>
      </c>
      <c r="X4007" s="2">
        <v>0</v>
      </c>
      <c r="Y4007">
        <v>20</v>
      </c>
      <c r="Z4007" t="s">
        <v>5508</v>
      </c>
      <c r="AA4007" s="3">
        <v>0.42899447679519653</v>
      </c>
      <c r="AB4007" t="s">
        <v>21560</v>
      </c>
      <c r="AC4007" t="s">
        <v>4562</v>
      </c>
      <c r="AD4007" t="s">
        <v>21561</v>
      </c>
      <c r="AE4007" t="s">
        <v>4655</v>
      </c>
      <c r="AF4007" t="s">
        <v>4563</v>
      </c>
      <c r="AG4007" t="s">
        <v>4564</v>
      </c>
      <c r="AH4007">
        <v>89508</v>
      </c>
      <c r="AI4007" t="s">
        <v>21562</v>
      </c>
      <c r="AJ4007" t="s">
        <v>4655</v>
      </c>
      <c r="AK4007" t="s">
        <v>21563</v>
      </c>
      <c r="AL4007" s="13" t="s">
        <v>1892</v>
      </c>
      <c r="AM4007">
        <v>1</v>
      </c>
      <c r="AN4007" s="15" t="s">
        <v>5228</v>
      </c>
    </row>
    <row r="4008" spans="1:40" x14ac:dyDescent="0.3">
      <c r="A4008" s="10" t="str">
        <f>HYPERLINK("http://www.washoecounty.gov/assessor/cama/?parid=087-252-10&amp;CardNumber=1","087-252-10")</f>
        <v>087-252-10</v>
      </c>
      <c r="B4008" t="s">
        <v>4655</v>
      </c>
      <c r="C4008" t="s">
        <v>21564</v>
      </c>
      <c r="D4008" s="1">
        <v>40332</v>
      </c>
      <c r="E4008" s="2">
        <v>120000</v>
      </c>
      <c r="F4008" t="s">
        <v>4567</v>
      </c>
      <c r="G4008" s="17" t="str">
        <f>HYPERLINK("https://www.washoecounty.gov/assessor/cama/?command=sales&amp;parid=08725210","3888098")</f>
        <v>3888098</v>
      </c>
      <c r="H4008" t="s">
        <v>21549</v>
      </c>
      <c r="I4008">
        <v>1988</v>
      </c>
      <c r="J4008">
        <v>1988</v>
      </c>
      <c r="K4008" t="s">
        <v>4554</v>
      </c>
      <c r="L4008" t="s">
        <v>4555</v>
      </c>
      <c r="M4008" s="2">
        <v>1356</v>
      </c>
      <c r="N4008" t="s">
        <v>4556</v>
      </c>
      <c r="O4008">
        <v>3</v>
      </c>
      <c r="P4008">
        <v>2</v>
      </c>
      <c r="Q4008">
        <v>0</v>
      </c>
      <c r="R4008" t="s">
        <v>4557</v>
      </c>
      <c r="S4008" t="s">
        <v>4558</v>
      </c>
      <c r="T4008" t="s">
        <v>4559</v>
      </c>
      <c r="U4008" t="s">
        <v>4560</v>
      </c>
      <c r="V4008" s="2">
        <v>528</v>
      </c>
      <c r="W4008" t="s">
        <v>4655</v>
      </c>
      <c r="X4008" s="2">
        <v>0</v>
      </c>
      <c r="Y4008">
        <v>20</v>
      </c>
      <c r="Z4008" t="s">
        <v>5508</v>
      </c>
      <c r="AA4008" s="3">
        <v>0.36000919342040999</v>
      </c>
      <c r="AB4008" t="s">
        <v>21565</v>
      </c>
      <c r="AC4008" t="s">
        <v>4575</v>
      </c>
      <c r="AD4008" t="s">
        <v>21564</v>
      </c>
      <c r="AE4008" t="s">
        <v>4655</v>
      </c>
      <c r="AF4008" t="s">
        <v>4563</v>
      </c>
      <c r="AG4008" t="s">
        <v>4564</v>
      </c>
      <c r="AH4008">
        <v>89508</v>
      </c>
      <c r="AI4008" t="s">
        <v>21566</v>
      </c>
      <c r="AJ4008" t="s">
        <v>4655</v>
      </c>
      <c r="AK4008" t="s">
        <v>21567</v>
      </c>
      <c r="AL4008" s="13" t="s">
        <v>1892</v>
      </c>
      <c r="AM4008" s="14">
        <v>1</v>
      </c>
      <c r="AN4008" s="15" t="s">
        <v>5228</v>
      </c>
    </row>
    <row r="4009" spans="1:40" x14ac:dyDescent="0.3">
      <c r="A4009" s="10" t="str">
        <f>HYPERLINK("http://www.washoecounty.gov/assessor/cama/?parid=087-253-01&amp;CardNumber=1","087-253-01")</f>
        <v>087-253-01</v>
      </c>
      <c r="B4009" t="s">
        <v>4655</v>
      </c>
      <c r="C4009" t="s">
        <v>21568</v>
      </c>
      <c r="D4009" s="1">
        <v>40449</v>
      </c>
      <c r="E4009" s="2">
        <v>99680</v>
      </c>
      <c r="F4009" t="s">
        <v>4553</v>
      </c>
      <c r="G4009" s="17" t="str">
        <f>HYPERLINK("https://www.washoecounty.gov/assessor/cama/?command=sales&amp;parid=08725301","3926956")</f>
        <v>3926956</v>
      </c>
      <c r="H4009" t="s">
        <v>21569</v>
      </c>
      <c r="I4009">
        <v>1989</v>
      </c>
      <c r="J4009">
        <v>1989</v>
      </c>
      <c r="K4009" t="s">
        <v>4554</v>
      </c>
      <c r="L4009" t="s">
        <v>4555</v>
      </c>
      <c r="M4009" s="2">
        <v>1120</v>
      </c>
      <c r="N4009" t="s">
        <v>4556</v>
      </c>
      <c r="O4009">
        <v>3</v>
      </c>
      <c r="P4009">
        <v>2</v>
      </c>
      <c r="Q4009">
        <v>0</v>
      </c>
      <c r="R4009" t="s">
        <v>4557</v>
      </c>
      <c r="S4009" t="s">
        <v>4558</v>
      </c>
      <c r="T4009" t="s">
        <v>4559</v>
      </c>
      <c r="U4009" t="s">
        <v>4560</v>
      </c>
      <c r="V4009" s="2">
        <v>528</v>
      </c>
      <c r="W4009" t="s">
        <v>4655</v>
      </c>
      <c r="X4009" s="2">
        <v>0</v>
      </c>
      <c r="Y4009">
        <v>20</v>
      </c>
      <c r="Z4009" t="s">
        <v>5508</v>
      </c>
      <c r="AA4009" s="3">
        <v>0.34400826692581199</v>
      </c>
      <c r="AB4009" t="s">
        <v>21570</v>
      </c>
      <c r="AC4009" t="s">
        <v>4562</v>
      </c>
      <c r="AD4009" t="s">
        <v>21571</v>
      </c>
      <c r="AE4009" t="s">
        <v>4655</v>
      </c>
      <c r="AF4009" t="s">
        <v>4563</v>
      </c>
      <c r="AG4009" t="s">
        <v>4564</v>
      </c>
      <c r="AH4009">
        <v>89506</v>
      </c>
      <c r="AI4009" t="s">
        <v>4655</v>
      </c>
      <c r="AJ4009" t="s">
        <v>4655</v>
      </c>
      <c r="AK4009" t="s">
        <v>21572</v>
      </c>
      <c r="AL4009" s="13" t="s">
        <v>1892</v>
      </c>
      <c r="AM4009">
        <v>1</v>
      </c>
      <c r="AN4009" s="15" t="s">
        <v>5228</v>
      </c>
    </row>
    <row r="4010" spans="1:40" x14ac:dyDescent="0.3">
      <c r="A4010" s="10" t="str">
        <f>HYPERLINK("http://www.washoecounty.gov/assessor/cama/?parid=087-271-03&amp;CardNumber=1","087-271-03")</f>
        <v>087-271-03</v>
      </c>
      <c r="B4010" t="s">
        <v>4655</v>
      </c>
      <c r="C4010" t="s">
        <v>21573</v>
      </c>
      <c r="D4010" s="1">
        <v>40366</v>
      </c>
      <c r="E4010" s="2">
        <v>56250</v>
      </c>
      <c r="F4010" t="s">
        <v>4553</v>
      </c>
      <c r="G4010" s="17" t="str">
        <f>HYPERLINK("https://www.washoecounty.gov/assessor/cama/?command=sales&amp;parid=08727103","3899052")</f>
        <v>3899052</v>
      </c>
      <c r="H4010" t="s">
        <v>5043</v>
      </c>
      <c r="I4010">
        <v>1985</v>
      </c>
      <c r="J4010">
        <v>1985</v>
      </c>
      <c r="K4010" t="s">
        <v>4847</v>
      </c>
      <c r="L4010" t="s">
        <v>4555</v>
      </c>
      <c r="M4010" s="2">
        <v>1248</v>
      </c>
      <c r="N4010" t="s">
        <v>5280</v>
      </c>
      <c r="O4010">
        <v>3</v>
      </c>
      <c r="P4010">
        <v>2</v>
      </c>
      <c r="Q4010">
        <v>0</v>
      </c>
      <c r="R4010" t="s">
        <v>4557</v>
      </c>
      <c r="S4010" t="s">
        <v>4558</v>
      </c>
      <c r="T4010" t="s">
        <v>4559</v>
      </c>
      <c r="U4010" t="s">
        <v>4560</v>
      </c>
      <c r="V4010" s="2">
        <v>480</v>
      </c>
      <c r="W4010" t="s">
        <v>4655</v>
      </c>
      <c r="X4010" s="2">
        <v>0</v>
      </c>
      <c r="Y4010">
        <v>22</v>
      </c>
      <c r="Z4010" t="s">
        <v>5508</v>
      </c>
      <c r="AA4010" s="3">
        <v>0.34400826692581199</v>
      </c>
      <c r="AB4010" t="s">
        <v>21574</v>
      </c>
      <c r="AC4010" t="s">
        <v>4562</v>
      </c>
      <c r="AD4010" t="s">
        <v>21575</v>
      </c>
      <c r="AE4010" t="s">
        <v>4655</v>
      </c>
      <c r="AF4010" t="s">
        <v>4563</v>
      </c>
      <c r="AG4010" t="s">
        <v>4564</v>
      </c>
      <c r="AH4010">
        <v>89506</v>
      </c>
      <c r="AI4010" t="s">
        <v>4565</v>
      </c>
      <c r="AJ4010" t="s">
        <v>4655</v>
      </c>
      <c r="AK4010" t="s">
        <v>21576</v>
      </c>
      <c r="AL4010" s="13" t="s">
        <v>1892</v>
      </c>
      <c r="AM4010">
        <v>1</v>
      </c>
      <c r="AN4010" s="15" t="s">
        <v>883</v>
      </c>
    </row>
    <row r="4011" spans="1:40" x14ac:dyDescent="0.3">
      <c r="A4011" s="10" t="str">
        <f>HYPERLINK("http://www.washoecounty.gov/assessor/cama/?parid=087-272-11&amp;CardNumber=1","087-272-11")</f>
        <v>087-272-11</v>
      </c>
      <c r="B4011" t="s">
        <v>4655</v>
      </c>
      <c r="C4011" t="s">
        <v>21577</v>
      </c>
      <c r="D4011" s="1">
        <v>40452</v>
      </c>
      <c r="E4011" s="2">
        <v>43000</v>
      </c>
      <c r="F4011" t="s">
        <v>4553</v>
      </c>
      <c r="G4011" s="17" t="str">
        <f>HYPERLINK("https://www.washoecounty.gov/assessor/cama/?command=sales&amp;parid=08727211","3928585")</f>
        <v>3928585</v>
      </c>
      <c r="H4011" t="s">
        <v>5043</v>
      </c>
      <c r="I4011">
        <v>1986</v>
      </c>
      <c r="J4011">
        <v>1986</v>
      </c>
      <c r="K4011" t="s">
        <v>4847</v>
      </c>
      <c r="L4011" t="s">
        <v>4555</v>
      </c>
      <c r="M4011" s="2">
        <v>1152</v>
      </c>
      <c r="N4011" t="s">
        <v>5280</v>
      </c>
      <c r="O4011">
        <v>3</v>
      </c>
      <c r="P4011">
        <v>2</v>
      </c>
      <c r="Q4011">
        <v>0</v>
      </c>
      <c r="R4011" t="s">
        <v>4557</v>
      </c>
      <c r="S4011" t="s">
        <v>4558</v>
      </c>
      <c r="T4011" t="s">
        <v>4559</v>
      </c>
      <c r="U4011" t="s">
        <v>4560</v>
      </c>
      <c r="V4011" s="2">
        <v>440</v>
      </c>
      <c r="W4011" t="s">
        <v>4655</v>
      </c>
      <c r="X4011" s="2">
        <v>0</v>
      </c>
      <c r="Y4011">
        <v>22</v>
      </c>
      <c r="Z4011" t="s">
        <v>5508</v>
      </c>
      <c r="AA4011" s="3">
        <v>0.34499540925025901</v>
      </c>
      <c r="AB4011" t="s">
        <v>21578</v>
      </c>
      <c r="AC4011" t="s">
        <v>4562</v>
      </c>
      <c r="AD4011" t="s">
        <v>21577</v>
      </c>
      <c r="AE4011" t="s">
        <v>4655</v>
      </c>
      <c r="AF4011" t="s">
        <v>4563</v>
      </c>
      <c r="AG4011" t="s">
        <v>4564</v>
      </c>
      <c r="AH4011">
        <v>89508</v>
      </c>
      <c r="AI4011" t="s">
        <v>4848</v>
      </c>
      <c r="AJ4011" t="s">
        <v>4655</v>
      </c>
      <c r="AK4011" t="s">
        <v>21579</v>
      </c>
      <c r="AL4011" s="13" t="s">
        <v>1892</v>
      </c>
      <c r="AM4011" s="14">
        <v>1</v>
      </c>
      <c r="AN4011" s="15" t="s">
        <v>883</v>
      </c>
    </row>
    <row r="4012" spans="1:40" x14ac:dyDescent="0.3">
      <c r="A4012" s="10" t="str">
        <f>HYPERLINK("http://www.washoecounty.gov/assessor/cama/?parid=087-272-14&amp;CardNumber=1","087-272-14")</f>
        <v>087-272-14</v>
      </c>
      <c r="B4012" t="s">
        <v>4655</v>
      </c>
      <c r="C4012" t="s">
        <v>21580</v>
      </c>
      <c r="D4012" s="1">
        <v>40455</v>
      </c>
      <c r="E4012" s="2">
        <v>55000</v>
      </c>
      <c r="F4012" t="s">
        <v>4567</v>
      </c>
      <c r="G4012" s="17" t="str">
        <f>HYPERLINK("https://www.washoecounty.gov/assessor/cama/?command=sales&amp;parid=08727214","3929309")</f>
        <v>3929309</v>
      </c>
      <c r="H4012" t="s">
        <v>5043</v>
      </c>
      <c r="I4012">
        <v>1985</v>
      </c>
      <c r="J4012">
        <v>1985</v>
      </c>
      <c r="K4012" t="s">
        <v>4847</v>
      </c>
      <c r="L4012" t="s">
        <v>4555</v>
      </c>
      <c r="M4012" s="2">
        <v>1440</v>
      </c>
      <c r="N4012" t="s">
        <v>5280</v>
      </c>
      <c r="O4012">
        <v>3</v>
      </c>
      <c r="P4012">
        <v>2</v>
      </c>
      <c r="Q4012">
        <v>0</v>
      </c>
      <c r="R4012" t="s">
        <v>4557</v>
      </c>
      <c r="S4012" t="s">
        <v>4558</v>
      </c>
      <c r="T4012" t="s">
        <v>4559</v>
      </c>
      <c r="U4012" t="s">
        <v>4560</v>
      </c>
      <c r="V4012" s="2">
        <v>440</v>
      </c>
      <c r="W4012" t="s">
        <v>4655</v>
      </c>
      <c r="X4012" s="2">
        <v>0</v>
      </c>
      <c r="Y4012">
        <v>22</v>
      </c>
      <c r="Z4012" t="s">
        <v>5508</v>
      </c>
      <c r="AA4012" s="3">
        <v>0.34499540925025901</v>
      </c>
      <c r="AB4012" t="s">
        <v>21581</v>
      </c>
      <c r="AC4012" t="s">
        <v>4562</v>
      </c>
      <c r="AD4012" t="s">
        <v>21580</v>
      </c>
      <c r="AE4012" t="s">
        <v>4655</v>
      </c>
      <c r="AF4012" t="s">
        <v>4563</v>
      </c>
      <c r="AG4012" t="s">
        <v>4564</v>
      </c>
      <c r="AH4012">
        <v>89508</v>
      </c>
      <c r="AI4012" t="s">
        <v>21582</v>
      </c>
      <c r="AJ4012" t="s">
        <v>4655</v>
      </c>
      <c r="AK4012" t="s">
        <v>21583</v>
      </c>
      <c r="AL4012" s="13" t="s">
        <v>1892</v>
      </c>
      <c r="AM4012" s="14">
        <v>1</v>
      </c>
      <c r="AN4012" s="15" t="s">
        <v>883</v>
      </c>
    </row>
    <row r="4013" spans="1:40" x14ac:dyDescent="0.3">
      <c r="A4013" s="10" t="str">
        <f>HYPERLINK("http://www.washoecounty.gov/assessor/cama/?parid=087-273-07&amp;CardNumber=1","087-273-07")</f>
        <v>087-273-07</v>
      </c>
      <c r="B4013" t="s">
        <v>4655</v>
      </c>
      <c r="C4013" t="s">
        <v>21584</v>
      </c>
      <c r="D4013" s="1">
        <v>40249</v>
      </c>
      <c r="E4013" s="2">
        <v>47000</v>
      </c>
      <c r="F4013" t="s">
        <v>4553</v>
      </c>
      <c r="G4013" s="17" t="str">
        <f>HYPERLINK("https://www.washoecounty.gov/assessor/cama/?command=sales&amp;parid=08727307","3859514")</f>
        <v>3859514</v>
      </c>
      <c r="H4013" t="s">
        <v>21585</v>
      </c>
      <c r="I4013">
        <v>1983</v>
      </c>
      <c r="J4013">
        <v>1983</v>
      </c>
      <c r="K4013" t="s">
        <v>4847</v>
      </c>
      <c r="L4013" t="s">
        <v>4555</v>
      </c>
      <c r="M4013" s="2">
        <v>1248</v>
      </c>
      <c r="N4013" t="s">
        <v>5280</v>
      </c>
      <c r="O4013">
        <v>3</v>
      </c>
      <c r="P4013">
        <v>2</v>
      </c>
      <c r="Q4013">
        <v>0</v>
      </c>
      <c r="R4013" t="s">
        <v>4557</v>
      </c>
      <c r="S4013" t="s">
        <v>4558</v>
      </c>
      <c r="T4013" t="s">
        <v>4559</v>
      </c>
      <c r="U4013" t="s">
        <v>4655</v>
      </c>
      <c r="V4013" s="2">
        <v>0</v>
      </c>
      <c r="W4013" t="s">
        <v>4655</v>
      </c>
      <c r="X4013" s="2">
        <v>0</v>
      </c>
      <c r="Y4013">
        <v>22</v>
      </c>
      <c r="Z4013" t="s">
        <v>5508</v>
      </c>
      <c r="AA4013" s="3">
        <v>0.34400826692581199</v>
      </c>
      <c r="AB4013" t="s">
        <v>21586</v>
      </c>
      <c r="AC4013" t="s">
        <v>4562</v>
      </c>
      <c r="AD4013" t="s">
        <v>21584</v>
      </c>
      <c r="AE4013" t="s">
        <v>4655</v>
      </c>
      <c r="AF4013" t="s">
        <v>4563</v>
      </c>
      <c r="AG4013" t="s">
        <v>4564</v>
      </c>
      <c r="AH4013">
        <v>89508</v>
      </c>
      <c r="AI4013" t="s">
        <v>4655</v>
      </c>
      <c r="AJ4013" t="s">
        <v>4655</v>
      </c>
      <c r="AK4013" t="s">
        <v>21587</v>
      </c>
      <c r="AL4013" s="13" t="s">
        <v>1892</v>
      </c>
      <c r="AM4013">
        <v>1</v>
      </c>
      <c r="AN4013" s="15" t="s">
        <v>883</v>
      </c>
    </row>
    <row r="4014" spans="1:40" x14ac:dyDescent="0.3">
      <c r="A4014" s="10" t="str">
        <f>HYPERLINK("http://www.washoecounty.gov/assessor/cama/?parid=087-273-08&amp;CardNumber=1","087-273-08")</f>
        <v>087-273-08</v>
      </c>
      <c r="B4014" t="s">
        <v>4655</v>
      </c>
      <c r="C4014" t="s">
        <v>21588</v>
      </c>
      <c r="D4014" s="1">
        <v>40336</v>
      </c>
      <c r="E4014" s="2">
        <v>37000</v>
      </c>
      <c r="F4014" t="s">
        <v>4567</v>
      </c>
      <c r="G4014" s="17" t="str">
        <f>HYPERLINK("https://www.washoecounty.gov/assessor/cama/?command=sales&amp;parid=08727308","3888712")</f>
        <v>3888712</v>
      </c>
      <c r="H4014" t="s">
        <v>5043</v>
      </c>
      <c r="I4014">
        <v>1983</v>
      </c>
      <c r="J4014">
        <v>1983</v>
      </c>
      <c r="K4014" t="s">
        <v>4847</v>
      </c>
      <c r="L4014" t="s">
        <v>4555</v>
      </c>
      <c r="M4014" s="2">
        <v>1248</v>
      </c>
      <c r="N4014" t="s">
        <v>5280</v>
      </c>
      <c r="O4014">
        <v>3</v>
      </c>
      <c r="P4014">
        <v>2</v>
      </c>
      <c r="Q4014">
        <v>0</v>
      </c>
      <c r="R4014" t="s">
        <v>4557</v>
      </c>
      <c r="S4014" t="s">
        <v>4558</v>
      </c>
      <c r="T4014" t="s">
        <v>4559</v>
      </c>
      <c r="U4014" t="s">
        <v>4560</v>
      </c>
      <c r="V4014" s="2">
        <v>480</v>
      </c>
      <c r="W4014" t="s">
        <v>4655</v>
      </c>
      <c r="X4014" s="2">
        <v>0</v>
      </c>
      <c r="Y4014">
        <v>22</v>
      </c>
      <c r="Z4014" t="s">
        <v>5508</v>
      </c>
      <c r="AA4014" s="3">
        <v>0.39600551128387501</v>
      </c>
      <c r="AB4014" t="s">
        <v>21589</v>
      </c>
      <c r="AC4014" t="s">
        <v>4575</v>
      </c>
      <c r="AD4014" t="s">
        <v>21590</v>
      </c>
      <c r="AE4014" t="s">
        <v>19443</v>
      </c>
      <c r="AF4014" t="s">
        <v>4563</v>
      </c>
      <c r="AG4014" t="s">
        <v>4564</v>
      </c>
      <c r="AH4014">
        <v>89509</v>
      </c>
      <c r="AI4014" t="s">
        <v>21591</v>
      </c>
      <c r="AJ4014" t="s">
        <v>4655</v>
      </c>
      <c r="AK4014" t="s">
        <v>21592</v>
      </c>
      <c r="AL4014" s="13" t="s">
        <v>1892</v>
      </c>
      <c r="AM4014" s="14">
        <v>1</v>
      </c>
      <c r="AN4014" s="15" t="s">
        <v>883</v>
      </c>
    </row>
    <row r="4015" spans="1:40" x14ac:dyDescent="0.3">
      <c r="A4015" s="10" t="str">
        <f>HYPERLINK("http://www.washoecounty.gov/assessor/cama/?parid=087-276-02&amp;CardNumber=1","087-276-02")</f>
        <v>087-276-02</v>
      </c>
      <c r="B4015" t="s">
        <v>4655</v>
      </c>
      <c r="C4015" t="s">
        <v>21593</v>
      </c>
      <c r="D4015" s="1">
        <v>40308</v>
      </c>
      <c r="E4015" s="2">
        <v>35100</v>
      </c>
      <c r="F4015" t="s">
        <v>4553</v>
      </c>
      <c r="G4015" s="17" t="str">
        <f>HYPERLINK("https://www.washoecounty.gov/assessor/cama/?command=sales&amp;parid=08727602","3879924")</f>
        <v>3879924</v>
      </c>
      <c r="H4015" t="s">
        <v>3159</v>
      </c>
      <c r="I4015">
        <v>1987</v>
      </c>
      <c r="J4015">
        <v>1987</v>
      </c>
      <c r="K4015" t="s">
        <v>4847</v>
      </c>
      <c r="L4015" t="s">
        <v>4555</v>
      </c>
      <c r="M4015" s="2">
        <v>1056</v>
      </c>
      <c r="N4015" t="s">
        <v>5280</v>
      </c>
      <c r="O4015">
        <v>3</v>
      </c>
      <c r="P4015">
        <v>2</v>
      </c>
      <c r="Q4015">
        <v>0</v>
      </c>
      <c r="R4015" t="s">
        <v>4557</v>
      </c>
      <c r="S4015" t="s">
        <v>4558</v>
      </c>
      <c r="T4015" t="s">
        <v>4559</v>
      </c>
      <c r="U4015" t="s">
        <v>4655</v>
      </c>
      <c r="V4015" s="2">
        <v>0</v>
      </c>
      <c r="W4015" t="s">
        <v>4655</v>
      </c>
      <c r="X4015" s="2">
        <v>0</v>
      </c>
      <c r="Y4015">
        <v>22</v>
      </c>
      <c r="Z4015" t="s">
        <v>5508</v>
      </c>
      <c r="AA4015" s="3">
        <v>0.36701101064682001</v>
      </c>
      <c r="AB4015" t="s">
        <v>21594</v>
      </c>
      <c r="AC4015" t="s">
        <v>4575</v>
      </c>
      <c r="AD4015" t="s">
        <v>19443</v>
      </c>
      <c r="AE4015" t="s">
        <v>4655</v>
      </c>
      <c r="AF4015" t="s">
        <v>4563</v>
      </c>
      <c r="AG4015" t="s">
        <v>4564</v>
      </c>
      <c r="AH4015">
        <v>89509</v>
      </c>
      <c r="AI4015" t="s">
        <v>4848</v>
      </c>
      <c r="AJ4015" t="s">
        <v>4655</v>
      </c>
      <c r="AK4015" t="s">
        <v>21595</v>
      </c>
      <c r="AL4015" s="13" t="s">
        <v>1892</v>
      </c>
      <c r="AM4015" s="14">
        <v>1</v>
      </c>
      <c r="AN4015" s="15" t="s">
        <v>883</v>
      </c>
    </row>
    <row r="4016" spans="1:40" x14ac:dyDescent="0.3">
      <c r="A4016" s="10" t="str">
        <f>HYPERLINK("http://www.washoecounty.gov/assessor/cama/?parid=087-292-01&amp;CardNumber=1","087-292-01")</f>
        <v>087-292-01</v>
      </c>
      <c r="B4016" t="s">
        <v>4655</v>
      </c>
      <c r="C4016" t="s">
        <v>21596</v>
      </c>
      <c r="D4016" s="1">
        <v>40518</v>
      </c>
      <c r="E4016" s="2">
        <v>43000</v>
      </c>
      <c r="F4016" t="s">
        <v>4553</v>
      </c>
      <c r="G4016" s="17" t="str">
        <f>HYPERLINK("https://www.washoecounty.gov/assessor/cama/?command=sales&amp;parid=08729201","3949752")</f>
        <v>3949752</v>
      </c>
      <c r="H4016" t="s">
        <v>4246</v>
      </c>
      <c r="I4016">
        <v>1986</v>
      </c>
      <c r="J4016">
        <v>1986</v>
      </c>
      <c r="K4016" t="s">
        <v>4847</v>
      </c>
      <c r="L4016" t="s">
        <v>4555</v>
      </c>
      <c r="M4016" s="2">
        <v>1188</v>
      </c>
      <c r="N4016" t="s">
        <v>5280</v>
      </c>
      <c r="O4016">
        <v>3</v>
      </c>
      <c r="P4016">
        <v>2</v>
      </c>
      <c r="Q4016">
        <v>0</v>
      </c>
      <c r="R4016" t="s">
        <v>4557</v>
      </c>
      <c r="S4016" t="s">
        <v>4558</v>
      </c>
      <c r="T4016" t="s">
        <v>4559</v>
      </c>
      <c r="U4016" t="s">
        <v>4655</v>
      </c>
      <c r="V4016" s="2">
        <v>0</v>
      </c>
      <c r="W4016" t="s">
        <v>4655</v>
      </c>
      <c r="X4016" s="2">
        <v>0</v>
      </c>
      <c r="Y4016">
        <v>22</v>
      </c>
      <c r="Z4016" t="s">
        <v>5508</v>
      </c>
      <c r="AA4016" s="3">
        <v>0.36799815297126798</v>
      </c>
      <c r="AB4016" t="s">
        <v>21597</v>
      </c>
      <c r="AC4016" t="s">
        <v>4562</v>
      </c>
      <c r="AD4016" t="s">
        <v>21596</v>
      </c>
      <c r="AE4016" t="s">
        <v>4655</v>
      </c>
      <c r="AF4016" t="s">
        <v>4563</v>
      </c>
      <c r="AG4016" t="s">
        <v>4564</v>
      </c>
      <c r="AH4016">
        <v>89506</v>
      </c>
      <c r="AI4016" t="s">
        <v>4565</v>
      </c>
      <c r="AJ4016" t="s">
        <v>4655</v>
      </c>
      <c r="AK4016" t="s">
        <v>21598</v>
      </c>
      <c r="AL4016" s="13" t="s">
        <v>1892</v>
      </c>
      <c r="AM4016">
        <v>1</v>
      </c>
      <c r="AN4016" s="15" t="s">
        <v>883</v>
      </c>
    </row>
    <row r="4017" spans="1:40" x14ac:dyDescent="0.3">
      <c r="A4017" s="10" t="str">
        <f>HYPERLINK("http://www.washoecounty.gov/assessor/cama/?parid=087-301-01&amp;CardNumber=1","087-301-01")</f>
        <v>087-301-01</v>
      </c>
      <c r="B4017" t="s">
        <v>4655</v>
      </c>
      <c r="C4017" t="s">
        <v>21599</v>
      </c>
      <c r="D4017" s="1">
        <v>40289</v>
      </c>
      <c r="E4017" s="2">
        <v>73900</v>
      </c>
      <c r="F4017" t="s">
        <v>4553</v>
      </c>
      <c r="G4017" s="17" t="str">
        <f>HYPERLINK("https://www.washoecounty.gov/assessor/cama/?command=sales&amp;parid=08730101","3873122")</f>
        <v>3873122</v>
      </c>
      <c r="H4017" t="s">
        <v>21600</v>
      </c>
      <c r="I4017">
        <v>1986</v>
      </c>
      <c r="J4017">
        <v>1987</v>
      </c>
      <c r="K4017" t="s">
        <v>4847</v>
      </c>
      <c r="L4017" t="s">
        <v>4555</v>
      </c>
      <c r="M4017" s="2">
        <v>2128</v>
      </c>
      <c r="N4017" t="s">
        <v>3147</v>
      </c>
      <c r="O4017">
        <v>3</v>
      </c>
      <c r="P4017">
        <v>2</v>
      </c>
      <c r="Q4017">
        <v>0</v>
      </c>
      <c r="R4017" t="s">
        <v>4557</v>
      </c>
      <c r="S4017" t="s">
        <v>4558</v>
      </c>
      <c r="T4017" t="s">
        <v>4559</v>
      </c>
      <c r="U4017" t="s">
        <v>4560</v>
      </c>
      <c r="V4017" s="2">
        <v>440</v>
      </c>
      <c r="W4017" t="s">
        <v>4655</v>
      </c>
      <c r="X4017" s="2">
        <v>0</v>
      </c>
      <c r="Y4017">
        <v>22</v>
      </c>
      <c r="Z4017" t="s">
        <v>5508</v>
      </c>
      <c r="AA4017" s="3">
        <v>0.358999073505402</v>
      </c>
      <c r="AB4017" t="s">
        <v>21601</v>
      </c>
      <c r="AC4017" t="s">
        <v>4562</v>
      </c>
      <c r="AD4017" t="s">
        <v>21599</v>
      </c>
      <c r="AE4017" t="s">
        <v>4655</v>
      </c>
      <c r="AF4017" t="s">
        <v>4563</v>
      </c>
      <c r="AG4017" t="s">
        <v>4564</v>
      </c>
      <c r="AH4017">
        <v>89508</v>
      </c>
      <c r="AI4017" t="s">
        <v>4655</v>
      </c>
      <c r="AJ4017" t="s">
        <v>4655</v>
      </c>
      <c r="AK4017" t="s">
        <v>21602</v>
      </c>
      <c r="AL4017" s="13" t="s">
        <v>1892</v>
      </c>
      <c r="AM4017">
        <v>1</v>
      </c>
      <c r="AN4017" s="15" t="s">
        <v>883</v>
      </c>
    </row>
    <row r="4018" spans="1:40" x14ac:dyDescent="0.3">
      <c r="A4018" s="10" t="str">
        <f>HYPERLINK("http://www.washoecounty.gov/assessor/cama/?parid=087-302-10&amp;CardNumber=1","087-302-10")</f>
        <v>087-302-10</v>
      </c>
      <c r="B4018" t="s">
        <v>4655</v>
      </c>
      <c r="C4018" t="s">
        <v>21603</v>
      </c>
      <c r="D4018" s="1">
        <v>40267</v>
      </c>
      <c r="E4018" s="2">
        <v>50000</v>
      </c>
      <c r="F4018" t="s">
        <v>4567</v>
      </c>
      <c r="G4018" s="17" t="str">
        <f>HYPERLINK("https://www.washoecounty.gov/assessor/cama/?command=sales&amp;parid=08730210","3865703")</f>
        <v>3865703</v>
      </c>
      <c r="H4018" t="s">
        <v>21604</v>
      </c>
      <c r="I4018">
        <v>1986</v>
      </c>
      <c r="J4018">
        <v>1986</v>
      </c>
      <c r="K4018" t="s">
        <v>4847</v>
      </c>
      <c r="L4018" t="s">
        <v>4555</v>
      </c>
      <c r="M4018" s="2">
        <v>1188</v>
      </c>
      <c r="N4018" t="s">
        <v>5280</v>
      </c>
      <c r="O4018">
        <v>3</v>
      </c>
      <c r="P4018">
        <v>2</v>
      </c>
      <c r="Q4018">
        <v>0</v>
      </c>
      <c r="R4018" t="s">
        <v>4557</v>
      </c>
      <c r="S4018" t="s">
        <v>4558</v>
      </c>
      <c r="T4018" t="s">
        <v>4559</v>
      </c>
      <c r="U4018" t="s">
        <v>4560</v>
      </c>
      <c r="V4018" s="2">
        <v>440</v>
      </c>
      <c r="W4018" t="s">
        <v>4655</v>
      </c>
      <c r="X4018" s="2">
        <v>0</v>
      </c>
      <c r="Y4018">
        <v>22</v>
      </c>
      <c r="Z4018" t="s">
        <v>5508</v>
      </c>
      <c r="AA4018" s="3">
        <v>0.41600093245506298</v>
      </c>
      <c r="AB4018" t="s">
        <v>21605</v>
      </c>
      <c r="AC4018" t="s">
        <v>4562</v>
      </c>
      <c r="AD4018" t="s">
        <v>21606</v>
      </c>
      <c r="AE4018" t="s">
        <v>4655</v>
      </c>
      <c r="AF4018" t="s">
        <v>4563</v>
      </c>
      <c r="AG4018" t="s">
        <v>4564</v>
      </c>
      <c r="AH4018">
        <v>89508</v>
      </c>
      <c r="AI4018" t="s">
        <v>21607</v>
      </c>
      <c r="AJ4018" t="s">
        <v>4655</v>
      </c>
      <c r="AK4018" t="s">
        <v>21608</v>
      </c>
      <c r="AL4018" s="13" t="s">
        <v>1892</v>
      </c>
      <c r="AM4018">
        <v>1</v>
      </c>
      <c r="AN4018" s="15" t="s">
        <v>883</v>
      </c>
    </row>
    <row r="4019" spans="1:40" x14ac:dyDescent="0.3">
      <c r="A4019" s="10" t="str">
        <f>HYPERLINK("http://www.washoecounty.gov/assessor/cama/?parid=087-303-04&amp;CardNumber=1","087-303-04")</f>
        <v>087-303-04</v>
      </c>
      <c r="B4019" t="s">
        <v>4655</v>
      </c>
      <c r="C4019" t="s">
        <v>21609</v>
      </c>
      <c r="D4019" s="1">
        <v>40399</v>
      </c>
      <c r="E4019" s="2">
        <v>65000</v>
      </c>
      <c r="F4019" t="s">
        <v>4553</v>
      </c>
      <c r="G4019" s="17" t="str">
        <f>HYPERLINK("https://www.washoecounty.gov/assessor/cama/?command=sales&amp;parid=08730304","3910030")</f>
        <v>3910030</v>
      </c>
      <c r="H4019" t="s">
        <v>21600</v>
      </c>
      <c r="I4019">
        <v>1987</v>
      </c>
      <c r="J4019">
        <v>1987</v>
      </c>
      <c r="K4019" t="s">
        <v>4847</v>
      </c>
      <c r="L4019" t="s">
        <v>4555</v>
      </c>
      <c r="M4019" s="2">
        <v>1614</v>
      </c>
      <c r="N4019" t="s">
        <v>5280</v>
      </c>
      <c r="O4019">
        <v>3</v>
      </c>
      <c r="P4019">
        <v>2</v>
      </c>
      <c r="Q4019">
        <v>0</v>
      </c>
      <c r="R4019" t="s">
        <v>4557</v>
      </c>
      <c r="S4019" t="s">
        <v>4558</v>
      </c>
      <c r="T4019" t="s">
        <v>4559</v>
      </c>
      <c r="U4019" t="s">
        <v>4560</v>
      </c>
      <c r="V4019" s="2">
        <v>440</v>
      </c>
      <c r="W4019" t="s">
        <v>4655</v>
      </c>
      <c r="X4019" s="2">
        <v>0</v>
      </c>
      <c r="Y4019">
        <v>22</v>
      </c>
      <c r="Z4019" t="s">
        <v>5508</v>
      </c>
      <c r="AA4019" s="3">
        <v>0.339990824460983</v>
      </c>
      <c r="AB4019" t="s">
        <v>21610</v>
      </c>
      <c r="AC4019" t="s">
        <v>4575</v>
      </c>
      <c r="AD4019" t="s">
        <v>21611</v>
      </c>
      <c r="AE4019" t="s">
        <v>4655</v>
      </c>
      <c r="AF4019" t="s">
        <v>4563</v>
      </c>
      <c r="AG4019" t="s">
        <v>4564</v>
      </c>
      <c r="AH4019">
        <v>89506</v>
      </c>
      <c r="AI4019" t="s">
        <v>4655</v>
      </c>
      <c r="AJ4019" t="s">
        <v>4655</v>
      </c>
      <c r="AK4019" t="s">
        <v>21612</v>
      </c>
      <c r="AL4019" s="13" t="s">
        <v>1892</v>
      </c>
      <c r="AM4019">
        <v>1</v>
      </c>
      <c r="AN4019" s="15" t="s">
        <v>883</v>
      </c>
    </row>
    <row r="4020" spans="1:40" x14ac:dyDescent="0.3">
      <c r="A4020" s="10" t="str">
        <f>HYPERLINK("http://www.washoecounty.gov/assessor/cama/?parid=087-321-06&amp;CardNumber=1","087-321-06")</f>
        <v>087-321-06</v>
      </c>
      <c r="B4020" t="s">
        <v>4655</v>
      </c>
      <c r="C4020" t="s">
        <v>21613</v>
      </c>
      <c r="D4020" s="1">
        <v>40283</v>
      </c>
      <c r="E4020" s="2">
        <v>45000</v>
      </c>
      <c r="F4020" t="s">
        <v>4553</v>
      </c>
      <c r="G4020" s="17" t="str">
        <f>HYPERLINK("https://www.washoecounty.gov/assessor/cama/?command=sales&amp;parid=08732106","3871573")</f>
        <v>3871573</v>
      </c>
      <c r="H4020" t="s">
        <v>21614</v>
      </c>
      <c r="I4020">
        <v>1989</v>
      </c>
      <c r="J4020">
        <v>1989</v>
      </c>
      <c r="K4020" t="s">
        <v>4847</v>
      </c>
      <c r="L4020" t="s">
        <v>4555</v>
      </c>
      <c r="M4020" s="2">
        <v>1151</v>
      </c>
      <c r="N4020" t="s">
        <v>5280</v>
      </c>
      <c r="O4020">
        <v>3</v>
      </c>
      <c r="P4020">
        <v>2</v>
      </c>
      <c r="Q4020">
        <v>0</v>
      </c>
      <c r="R4020" t="s">
        <v>4557</v>
      </c>
      <c r="S4020" t="s">
        <v>4558</v>
      </c>
      <c r="T4020" t="s">
        <v>4559</v>
      </c>
      <c r="U4020" t="s">
        <v>4560</v>
      </c>
      <c r="V4020" s="2">
        <v>440</v>
      </c>
      <c r="W4020" t="s">
        <v>4655</v>
      </c>
      <c r="X4020" s="2">
        <v>0</v>
      </c>
      <c r="Y4020">
        <v>22</v>
      </c>
      <c r="Z4020" t="s">
        <v>5508</v>
      </c>
      <c r="AA4020" s="3">
        <v>0.36000919342040999</v>
      </c>
      <c r="AB4020" t="s">
        <v>21615</v>
      </c>
      <c r="AC4020" t="s">
        <v>4562</v>
      </c>
      <c r="AD4020" t="s">
        <v>21616</v>
      </c>
      <c r="AE4020" t="s">
        <v>4655</v>
      </c>
      <c r="AF4020" t="s">
        <v>4563</v>
      </c>
      <c r="AG4020" t="s">
        <v>4564</v>
      </c>
      <c r="AH4020">
        <v>89508</v>
      </c>
      <c r="AI4020" t="s">
        <v>4848</v>
      </c>
      <c r="AJ4020" t="s">
        <v>4655</v>
      </c>
      <c r="AK4020" t="s">
        <v>21617</v>
      </c>
      <c r="AL4020" s="13" t="s">
        <v>1892</v>
      </c>
      <c r="AM4020">
        <v>1</v>
      </c>
      <c r="AN4020" s="15" t="s">
        <v>883</v>
      </c>
    </row>
    <row r="4021" spans="1:40" x14ac:dyDescent="0.3">
      <c r="A4021" s="10" t="str">
        <f>HYPERLINK("http://www.washoecounty.gov/assessor/cama/?parid=087-322-11&amp;CardNumber=1","087-322-11")</f>
        <v>087-322-11</v>
      </c>
      <c r="B4021" t="s">
        <v>4655</v>
      </c>
      <c r="C4021" t="s">
        <v>21618</v>
      </c>
      <c r="D4021" s="1">
        <v>40350</v>
      </c>
      <c r="E4021" s="2">
        <v>54507</v>
      </c>
      <c r="F4021" t="s">
        <v>4553</v>
      </c>
      <c r="G4021" s="17" t="str">
        <f>HYPERLINK("https://www.washoecounty.gov/assessor/cama/?command=sales&amp;parid=08732211","3893605")</f>
        <v>3893605</v>
      </c>
      <c r="H4021" t="s">
        <v>4454</v>
      </c>
      <c r="I4021">
        <v>1990</v>
      </c>
      <c r="J4021">
        <v>1990</v>
      </c>
      <c r="K4021" t="s">
        <v>4847</v>
      </c>
      <c r="L4021" t="s">
        <v>4555</v>
      </c>
      <c r="M4021" s="2">
        <v>1335</v>
      </c>
      <c r="N4021" t="s">
        <v>5280</v>
      </c>
      <c r="O4021">
        <v>3</v>
      </c>
      <c r="P4021">
        <v>2</v>
      </c>
      <c r="Q4021">
        <v>0</v>
      </c>
      <c r="R4021" t="s">
        <v>4557</v>
      </c>
      <c r="S4021" t="s">
        <v>4558</v>
      </c>
      <c r="T4021" t="s">
        <v>4559</v>
      </c>
      <c r="U4021" t="s">
        <v>4560</v>
      </c>
      <c r="V4021" s="2">
        <v>440</v>
      </c>
      <c r="W4021" t="s">
        <v>4655</v>
      </c>
      <c r="X4021" s="2">
        <v>0</v>
      </c>
      <c r="Y4021">
        <v>22</v>
      </c>
      <c r="Z4021" t="s">
        <v>5508</v>
      </c>
      <c r="AA4021" s="3">
        <v>0.36999541521072399</v>
      </c>
      <c r="AB4021" t="s">
        <v>21619</v>
      </c>
      <c r="AC4021" t="s">
        <v>4562</v>
      </c>
      <c r="AD4021" t="s">
        <v>21618</v>
      </c>
      <c r="AE4021" t="s">
        <v>4655</v>
      </c>
      <c r="AF4021" t="s">
        <v>4563</v>
      </c>
      <c r="AG4021" t="s">
        <v>4564</v>
      </c>
      <c r="AH4021">
        <v>89508</v>
      </c>
      <c r="AI4021" t="s">
        <v>5359</v>
      </c>
      <c r="AJ4021" t="s">
        <v>4655</v>
      </c>
      <c r="AK4021" t="s">
        <v>21620</v>
      </c>
      <c r="AL4021" s="13" t="s">
        <v>1892</v>
      </c>
      <c r="AM4021" s="14">
        <v>1</v>
      </c>
      <c r="AN4021" s="15" t="s">
        <v>883</v>
      </c>
    </row>
    <row r="4022" spans="1:40" x14ac:dyDescent="0.3">
      <c r="A4022" s="10" t="str">
        <f>HYPERLINK("http://www.washoecounty.gov/assessor/cama/?parid=087-322-11&amp;CardNumber=1","087-322-11")</f>
        <v>087-322-11</v>
      </c>
      <c r="B4022" t="s">
        <v>4655</v>
      </c>
      <c r="C4022" t="s">
        <v>21618</v>
      </c>
      <c r="D4022" s="1">
        <v>40443</v>
      </c>
      <c r="E4022" s="2">
        <v>77000</v>
      </c>
      <c r="F4022" t="s">
        <v>4553</v>
      </c>
      <c r="G4022" s="17" t="str">
        <f>HYPERLINK("https://www.washoecounty.gov/assessor/cama/?command=sales&amp;parid=08732211","3924771")</f>
        <v>3924771</v>
      </c>
      <c r="H4022" t="s">
        <v>4454</v>
      </c>
      <c r="I4022">
        <v>1990</v>
      </c>
      <c r="J4022">
        <v>1990</v>
      </c>
      <c r="K4022" t="s">
        <v>4847</v>
      </c>
      <c r="L4022" t="s">
        <v>4555</v>
      </c>
      <c r="M4022" s="2">
        <v>1335</v>
      </c>
      <c r="N4022" t="s">
        <v>5280</v>
      </c>
      <c r="O4022">
        <v>3</v>
      </c>
      <c r="P4022">
        <v>2</v>
      </c>
      <c r="Q4022">
        <v>0</v>
      </c>
      <c r="R4022" t="s">
        <v>4557</v>
      </c>
      <c r="S4022" t="s">
        <v>4558</v>
      </c>
      <c r="T4022" t="s">
        <v>4559</v>
      </c>
      <c r="U4022" t="s">
        <v>4560</v>
      </c>
      <c r="V4022" s="2">
        <v>440</v>
      </c>
      <c r="W4022" t="s">
        <v>4655</v>
      </c>
      <c r="X4022" s="2">
        <v>0</v>
      </c>
      <c r="Y4022">
        <v>22</v>
      </c>
      <c r="Z4022" t="s">
        <v>5508</v>
      </c>
      <c r="AA4022" s="3">
        <v>0.36999541521072399</v>
      </c>
      <c r="AB4022" t="s">
        <v>21619</v>
      </c>
      <c r="AC4022" t="s">
        <v>4562</v>
      </c>
      <c r="AD4022" t="s">
        <v>21618</v>
      </c>
      <c r="AE4022" t="s">
        <v>4655</v>
      </c>
      <c r="AF4022" t="s">
        <v>4563</v>
      </c>
      <c r="AG4022" t="s">
        <v>4564</v>
      </c>
      <c r="AH4022">
        <v>89508</v>
      </c>
      <c r="AI4022" t="s">
        <v>5359</v>
      </c>
      <c r="AJ4022" t="s">
        <v>4655</v>
      </c>
      <c r="AK4022" t="s">
        <v>21620</v>
      </c>
      <c r="AL4022" s="13" t="s">
        <v>1892</v>
      </c>
      <c r="AM4022">
        <v>1</v>
      </c>
      <c r="AN4022" s="15" t="s">
        <v>883</v>
      </c>
    </row>
    <row r="4023" spans="1:40" x14ac:dyDescent="0.3">
      <c r="A4023" s="10" t="str">
        <f>HYPERLINK("http://www.washoecounty.gov/assessor/cama/?parid=087-363-16&amp;CardNumber=1","087-363-16")</f>
        <v>087-363-16</v>
      </c>
      <c r="B4023" t="s">
        <v>4655</v>
      </c>
      <c r="C4023" t="s">
        <v>21621</v>
      </c>
      <c r="D4023" s="1">
        <v>40295</v>
      </c>
      <c r="E4023" s="2">
        <v>140000</v>
      </c>
      <c r="F4023" t="s">
        <v>4553</v>
      </c>
      <c r="G4023" s="17" t="str">
        <f>HYPERLINK("https://www.washoecounty.gov/assessor/cama/?command=sales&amp;parid=08736316","3875097")</f>
        <v>3875097</v>
      </c>
      <c r="H4023" t="s">
        <v>4373</v>
      </c>
      <c r="I4023">
        <v>1987</v>
      </c>
      <c r="J4023">
        <v>1987</v>
      </c>
      <c r="K4023" t="s">
        <v>4554</v>
      </c>
      <c r="L4023" t="s">
        <v>4555</v>
      </c>
      <c r="M4023" s="2">
        <v>1812</v>
      </c>
      <c r="N4023" t="s">
        <v>4048</v>
      </c>
      <c r="O4023">
        <v>3</v>
      </c>
      <c r="P4023">
        <v>2</v>
      </c>
      <c r="Q4023">
        <v>0</v>
      </c>
      <c r="R4023" t="s">
        <v>4557</v>
      </c>
      <c r="S4023" t="s">
        <v>3148</v>
      </c>
      <c r="T4023" t="s">
        <v>4559</v>
      </c>
      <c r="U4023" t="s">
        <v>4560</v>
      </c>
      <c r="V4023" s="2">
        <v>525</v>
      </c>
      <c r="W4023" t="s">
        <v>4655</v>
      </c>
      <c r="X4023" s="2">
        <v>0</v>
      </c>
      <c r="Y4023">
        <v>20</v>
      </c>
      <c r="Z4023" t="s">
        <v>3884</v>
      </c>
      <c r="AA4023" s="3">
        <v>1.0199954509735101</v>
      </c>
      <c r="AB4023" t="s">
        <v>21622</v>
      </c>
      <c r="AC4023" t="s">
        <v>4562</v>
      </c>
      <c r="AD4023" t="s">
        <v>21621</v>
      </c>
      <c r="AE4023" t="s">
        <v>4655</v>
      </c>
      <c r="AF4023" t="s">
        <v>4563</v>
      </c>
      <c r="AG4023" t="s">
        <v>4564</v>
      </c>
      <c r="AH4023">
        <v>89508</v>
      </c>
      <c r="AI4023" t="s">
        <v>4145</v>
      </c>
      <c r="AJ4023" t="s">
        <v>4655</v>
      </c>
      <c r="AK4023" t="s">
        <v>21623</v>
      </c>
      <c r="AL4023" s="13" t="s">
        <v>1902</v>
      </c>
      <c r="AM4023">
        <v>1</v>
      </c>
      <c r="AN4023" s="15" t="s">
        <v>5072</v>
      </c>
    </row>
    <row r="4024" spans="1:40" x14ac:dyDescent="0.3">
      <c r="A4024" s="10" t="str">
        <f>HYPERLINK("http://www.washoecounty.gov/assessor/cama/?parid=087-364-03&amp;CardNumber=1","087-364-03")</f>
        <v>087-364-03</v>
      </c>
      <c r="B4024" t="s">
        <v>4655</v>
      </c>
      <c r="C4024" t="s">
        <v>21624</v>
      </c>
      <c r="D4024" s="1">
        <v>40449</v>
      </c>
      <c r="E4024" s="2">
        <v>188000</v>
      </c>
      <c r="F4024" t="s">
        <v>4553</v>
      </c>
      <c r="G4024" s="17" t="str">
        <f>HYPERLINK("https://www.washoecounty.gov/assessor/cama/?command=sales&amp;parid=08736403","3926763")</f>
        <v>3926763</v>
      </c>
      <c r="H4024" t="s">
        <v>5174</v>
      </c>
      <c r="I4024">
        <v>1979</v>
      </c>
      <c r="J4024">
        <v>1979</v>
      </c>
      <c r="K4024" t="s">
        <v>4554</v>
      </c>
      <c r="L4024" t="s">
        <v>4555</v>
      </c>
      <c r="M4024" s="2">
        <v>1654</v>
      </c>
      <c r="N4024" t="s">
        <v>4048</v>
      </c>
      <c r="O4024">
        <v>4</v>
      </c>
      <c r="P4024">
        <v>2</v>
      </c>
      <c r="Q4024">
        <v>0</v>
      </c>
      <c r="R4024" t="s">
        <v>4557</v>
      </c>
      <c r="S4024" t="s">
        <v>3148</v>
      </c>
      <c r="T4024" t="s">
        <v>4559</v>
      </c>
      <c r="U4024" t="s">
        <v>4655</v>
      </c>
      <c r="V4024" s="2">
        <v>0</v>
      </c>
      <c r="W4024" t="s">
        <v>4655</v>
      </c>
      <c r="X4024" s="2">
        <v>0</v>
      </c>
      <c r="Y4024">
        <v>20</v>
      </c>
      <c r="Z4024" t="s">
        <v>3884</v>
      </c>
      <c r="AA4024" s="3">
        <v>1</v>
      </c>
      <c r="AB4024" t="s">
        <v>21625</v>
      </c>
      <c r="AC4024" t="s">
        <v>4562</v>
      </c>
      <c r="AD4024" t="s">
        <v>21626</v>
      </c>
      <c r="AE4024" t="s">
        <v>4655</v>
      </c>
      <c r="AF4024" t="s">
        <v>4752</v>
      </c>
      <c r="AG4024" t="s">
        <v>4564</v>
      </c>
      <c r="AH4024">
        <v>89506</v>
      </c>
      <c r="AI4024" t="s">
        <v>4903</v>
      </c>
      <c r="AJ4024" t="s">
        <v>4655</v>
      </c>
      <c r="AK4024" t="s">
        <v>21627</v>
      </c>
      <c r="AL4024" s="13" t="s">
        <v>1902</v>
      </c>
      <c r="AM4024">
        <v>1</v>
      </c>
      <c r="AN4024" s="15" t="s">
        <v>5072</v>
      </c>
    </row>
    <row r="4025" spans="1:40" x14ac:dyDescent="0.3">
      <c r="A4025" s="10" t="str">
        <f>HYPERLINK("http://www.washoecounty.gov/assessor/cama/?parid=087-366-11&amp;CardNumber=1","087-366-11")</f>
        <v>087-366-11</v>
      </c>
      <c r="B4025" t="s">
        <v>4655</v>
      </c>
      <c r="C4025" t="s">
        <v>21628</v>
      </c>
      <c r="D4025" s="1">
        <v>40204</v>
      </c>
      <c r="E4025" s="2">
        <v>124500</v>
      </c>
      <c r="F4025" t="s">
        <v>4553</v>
      </c>
      <c r="G4025" s="17" t="str">
        <f>HYPERLINK("https://www.washoecounty.gov/assessor/cama/?command=sales&amp;parid=08736611","3842656")</f>
        <v>3842656</v>
      </c>
      <c r="H4025" t="s">
        <v>2675</v>
      </c>
      <c r="I4025">
        <v>1978</v>
      </c>
      <c r="J4025">
        <v>1978</v>
      </c>
      <c r="K4025" t="s">
        <v>4554</v>
      </c>
      <c r="L4025" t="s">
        <v>4555</v>
      </c>
      <c r="M4025" s="2">
        <v>1654</v>
      </c>
      <c r="N4025" t="s">
        <v>4048</v>
      </c>
      <c r="O4025">
        <v>3</v>
      </c>
      <c r="P4025">
        <v>2</v>
      </c>
      <c r="Q4025">
        <v>0</v>
      </c>
      <c r="R4025" t="s">
        <v>5281</v>
      </c>
      <c r="S4025" t="s">
        <v>3148</v>
      </c>
      <c r="T4025" t="s">
        <v>4559</v>
      </c>
      <c r="U4025" t="s">
        <v>4560</v>
      </c>
      <c r="V4025" s="2">
        <v>528</v>
      </c>
      <c r="W4025" t="s">
        <v>4655</v>
      </c>
      <c r="X4025" s="2">
        <v>0</v>
      </c>
      <c r="Y4025">
        <v>20</v>
      </c>
      <c r="Z4025" t="s">
        <v>3884</v>
      </c>
      <c r="AA4025" s="3">
        <v>1</v>
      </c>
      <c r="AB4025" t="s">
        <v>21629</v>
      </c>
      <c r="AC4025" t="s">
        <v>4562</v>
      </c>
      <c r="AD4025" t="s">
        <v>21630</v>
      </c>
      <c r="AE4025" t="s">
        <v>4655</v>
      </c>
      <c r="AF4025" t="s">
        <v>4563</v>
      </c>
      <c r="AG4025" t="s">
        <v>4564</v>
      </c>
      <c r="AH4025">
        <v>89506</v>
      </c>
      <c r="AI4025" t="s">
        <v>4740</v>
      </c>
      <c r="AJ4025" t="s">
        <v>4655</v>
      </c>
      <c r="AK4025" t="s">
        <v>21631</v>
      </c>
      <c r="AL4025" s="13" t="s">
        <v>1902</v>
      </c>
      <c r="AM4025" s="14">
        <v>1</v>
      </c>
      <c r="AN4025" s="15" t="s">
        <v>5072</v>
      </c>
    </row>
    <row r="4026" spans="1:40" x14ac:dyDescent="0.3">
      <c r="A4026" s="10" t="str">
        <f>HYPERLINK("http://www.washoecounty.gov/assessor/cama/?parid=087-372-04&amp;CardNumber=1","087-372-04")</f>
        <v>087-372-04</v>
      </c>
      <c r="B4026" t="s">
        <v>4655</v>
      </c>
      <c r="C4026" t="s">
        <v>21632</v>
      </c>
      <c r="D4026" s="1">
        <v>40387</v>
      </c>
      <c r="E4026" s="2">
        <v>183000</v>
      </c>
      <c r="F4026" t="s">
        <v>4567</v>
      </c>
      <c r="G4026" s="17" t="str">
        <f>HYPERLINK("https://www.washoecounty.gov/assessor/cama/?command=sales&amp;parid=08737204","3906213")</f>
        <v>3906213</v>
      </c>
      <c r="H4026" t="s">
        <v>4708</v>
      </c>
      <c r="I4026">
        <v>1984</v>
      </c>
      <c r="J4026">
        <v>1987</v>
      </c>
      <c r="K4026" t="s">
        <v>4554</v>
      </c>
      <c r="L4026" t="s">
        <v>2170</v>
      </c>
      <c r="M4026" s="2">
        <v>2024</v>
      </c>
      <c r="N4026" t="s">
        <v>4048</v>
      </c>
      <c r="O4026">
        <v>3</v>
      </c>
      <c r="P4026">
        <v>2</v>
      </c>
      <c r="Q4026">
        <v>0</v>
      </c>
      <c r="R4026" t="s">
        <v>4557</v>
      </c>
      <c r="S4026" t="s">
        <v>4558</v>
      </c>
      <c r="T4026" t="s">
        <v>4143</v>
      </c>
      <c r="U4026" t="s">
        <v>5631</v>
      </c>
      <c r="V4026" s="2">
        <v>528</v>
      </c>
      <c r="W4026" t="s">
        <v>4655</v>
      </c>
      <c r="X4026" s="2">
        <v>0</v>
      </c>
      <c r="Y4026">
        <v>20</v>
      </c>
      <c r="Z4026" t="s">
        <v>3884</v>
      </c>
      <c r="AA4026" s="3">
        <v>0.5</v>
      </c>
      <c r="AB4026" t="s">
        <v>21633</v>
      </c>
      <c r="AC4026" t="s">
        <v>4562</v>
      </c>
      <c r="AD4026" t="s">
        <v>21632</v>
      </c>
      <c r="AE4026" t="s">
        <v>4655</v>
      </c>
      <c r="AF4026" t="s">
        <v>4563</v>
      </c>
      <c r="AG4026" t="s">
        <v>4564</v>
      </c>
      <c r="AH4026">
        <v>89506</v>
      </c>
      <c r="AI4026" t="s">
        <v>21634</v>
      </c>
      <c r="AJ4026" t="s">
        <v>4655</v>
      </c>
      <c r="AK4026" t="s">
        <v>21635</v>
      </c>
      <c r="AL4026" s="13" t="s">
        <v>1902</v>
      </c>
      <c r="AM4026">
        <v>1</v>
      </c>
      <c r="AN4026" s="15" t="s">
        <v>5072</v>
      </c>
    </row>
    <row r="4027" spans="1:40" x14ac:dyDescent="0.3">
      <c r="A4027" s="10" t="str">
        <f>HYPERLINK("http://www.washoecounty.gov/assessor/cama/?parid=087-373-18&amp;CardNumber=1","087-373-18")</f>
        <v>087-373-18</v>
      </c>
      <c r="B4027" t="s">
        <v>4655</v>
      </c>
      <c r="C4027" t="s">
        <v>21636</v>
      </c>
      <c r="D4027" s="1">
        <v>40416</v>
      </c>
      <c r="E4027" s="2">
        <v>113000</v>
      </c>
      <c r="F4027" t="s">
        <v>4567</v>
      </c>
      <c r="G4027" s="17" t="str">
        <f>HYPERLINK("https://www.washoecounty.gov/assessor/cama/?command=sales&amp;parid=08737318","3916001")</f>
        <v>3916001</v>
      </c>
      <c r="H4027" t="s">
        <v>4708</v>
      </c>
      <c r="I4027">
        <v>1983</v>
      </c>
      <c r="J4027">
        <v>1985</v>
      </c>
      <c r="K4027" t="s">
        <v>4554</v>
      </c>
      <c r="L4027" t="s">
        <v>4555</v>
      </c>
      <c r="M4027" s="2">
        <v>1790</v>
      </c>
      <c r="N4027" t="s">
        <v>4048</v>
      </c>
      <c r="O4027">
        <v>3</v>
      </c>
      <c r="P4027">
        <v>2</v>
      </c>
      <c r="Q4027">
        <v>0</v>
      </c>
      <c r="R4027" t="s">
        <v>4557</v>
      </c>
      <c r="S4027" t="s">
        <v>4135</v>
      </c>
      <c r="T4027" t="s">
        <v>4143</v>
      </c>
      <c r="U4027" t="s">
        <v>4560</v>
      </c>
      <c r="V4027" s="2">
        <v>480</v>
      </c>
      <c r="W4027" t="s">
        <v>4655</v>
      </c>
      <c r="X4027" s="2">
        <v>0</v>
      </c>
      <c r="Y4027">
        <v>20</v>
      </c>
      <c r="Z4027" t="s">
        <v>3884</v>
      </c>
      <c r="AA4027" s="3">
        <v>0.5</v>
      </c>
      <c r="AB4027" t="s">
        <v>21637</v>
      </c>
      <c r="AC4027" t="s">
        <v>4562</v>
      </c>
      <c r="AD4027" t="s">
        <v>21638</v>
      </c>
      <c r="AE4027" t="s">
        <v>4655</v>
      </c>
      <c r="AF4027" t="s">
        <v>4563</v>
      </c>
      <c r="AG4027" t="s">
        <v>4564</v>
      </c>
      <c r="AH4027">
        <v>89508</v>
      </c>
      <c r="AI4027" t="s">
        <v>21639</v>
      </c>
      <c r="AJ4027" t="s">
        <v>4655</v>
      </c>
      <c r="AK4027" t="s">
        <v>21640</v>
      </c>
      <c r="AL4027" s="13" t="s">
        <v>1902</v>
      </c>
      <c r="AM4027">
        <v>1</v>
      </c>
      <c r="AN4027" s="15" t="s">
        <v>5072</v>
      </c>
    </row>
    <row r="4028" spans="1:40" x14ac:dyDescent="0.3">
      <c r="A4028" s="10" t="str">
        <f>HYPERLINK("http://www.washoecounty.gov/assessor/cama/?parid=087-373-24&amp;CardNumber=1","087-373-24")</f>
        <v>087-373-24</v>
      </c>
      <c r="B4028" t="s">
        <v>4655</v>
      </c>
      <c r="C4028" t="s">
        <v>21641</v>
      </c>
      <c r="D4028" s="1">
        <v>40259</v>
      </c>
      <c r="E4028" s="2">
        <v>130000</v>
      </c>
      <c r="F4028" t="s">
        <v>4567</v>
      </c>
      <c r="G4028" s="17" t="str">
        <f>HYPERLINK("https://www.washoecounty.gov/assessor/cama/?command=sales&amp;parid=08737324","3862159")</f>
        <v>3862159</v>
      </c>
      <c r="H4028" t="s">
        <v>21642</v>
      </c>
      <c r="I4028">
        <v>1986</v>
      </c>
      <c r="J4028">
        <v>1986</v>
      </c>
      <c r="K4028" t="s">
        <v>4554</v>
      </c>
      <c r="L4028" t="s">
        <v>4555</v>
      </c>
      <c r="M4028" s="2">
        <v>1394</v>
      </c>
      <c r="N4028" t="s">
        <v>4048</v>
      </c>
      <c r="O4028">
        <v>3</v>
      </c>
      <c r="P4028">
        <v>2</v>
      </c>
      <c r="Q4028">
        <v>0</v>
      </c>
      <c r="R4028" t="s">
        <v>4557</v>
      </c>
      <c r="S4028" t="s">
        <v>4558</v>
      </c>
      <c r="T4028" t="s">
        <v>4143</v>
      </c>
      <c r="U4028" t="s">
        <v>4560</v>
      </c>
      <c r="V4028" s="2">
        <v>504</v>
      </c>
      <c r="W4028" t="s">
        <v>4655</v>
      </c>
      <c r="X4028" s="2">
        <v>0</v>
      </c>
      <c r="Y4028">
        <v>20</v>
      </c>
      <c r="Z4028" t="s">
        <v>3884</v>
      </c>
      <c r="AA4028" s="3">
        <v>0.53700643777847201</v>
      </c>
      <c r="AB4028" t="s">
        <v>21643</v>
      </c>
      <c r="AC4028" t="s">
        <v>4562</v>
      </c>
      <c r="AD4028" t="s">
        <v>21641</v>
      </c>
      <c r="AE4028" t="s">
        <v>4655</v>
      </c>
      <c r="AF4028" t="s">
        <v>4563</v>
      </c>
      <c r="AG4028" t="s">
        <v>4564</v>
      </c>
      <c r="AH4028">
        <v>89506</v>
      </c>
      <c r="AI4028" t="s">
        <v>4655</v>
      </c>
      <c r="AJ4028" t="s">
        <v>4655</v>
      </c>
      <c r="AK4028" t="s">
        <v>21644</v>
      </c>
      <c r="AL4028" s="13" t="s">
        <v>1902</v>
      </c>
      <c r="AM4028" s="14">
        <v>1</v>
      </c>
      <c r="AN4028" s="15" t="s">
        <v>5072</v>
      </c>
    </row>
    <row r="4029" spans="1:40" x14ac:dyDescent="0.3">
      <c r="A4029" s="10" t="str">
        <f>HYPERLINK("http://www.washoecounty.gov/assessor/cama/?parid=087-411-03&amp;CardNumber=1","087-411-03")</f>
        <v>087-411-03</v>
      </c>
      <c r="B4029" t="s">
        <v>4655</v>
      </c>
      <c r="C4029" t="s">
        <v>21645</v>
      </c>
      <c r="D4029" s="1">
        <v>40542</v>
      </c>
      <c r="E4029" s="2">
        <v>147000</v>
      </c>
      <c r="F4029" t="s">
        <v>4567</v>
      </c>
      <c r="G4029" s="17" t="str">
        <f>HYPERLINK("https://www.washoecounty.gov/assessor/cama/?command=sales&amp;parid=08741103","3959292")</f>
        <v>3959292</v>
      </c>
      <c r="H4029" t="s">
        <v>5180</v>
      </c>
      <c r="I4029">
        <v>1994</v>
      </c>
      <c r="J4029">
        <v>1994</v>
      </c>
      <c r="K4029" t="s">
        <v>4554</v>
      </c>
      <c r="L4029" t="s">
        <v>3974</v>
      </c>
      <c r="M4029" s="2">
        <v>1770</v>
      </c>
      <c r="N4029" t="s">
        <v>4556</v>
      </c>
      <c r="O4029">
        <v>3</v>
      </c>
      <c r="P4029">
        <v>2</v>
      </c>
      <c r="Q4029">
        <v>1</v>
      </c>
      <c r="R4029" t="s">
        <v>4557</v>
      </c>
      <c r="S4029" t="s">
        <v>4558</v>
      </c>
      <c r="T4029" t="s">
        <v>4559</v>
      </c>
      <c r="U4029" t="s">
        <v>4560</v>
      </c>
      <c r="V4029" s="2">
        <v>480</v>
      </c>
      <c r="W4029" t="s">
        <v>4655</v>
      </c>
      <c r="X4029" s="2">
        <v>0</v>
      </c>
      <c r="Y4029">
        <v>20</v>
      </c>
      <c r="Z4029" t="s">
        <v>5508</v>
      </c>
      <c r="AA4029" s="3">
        <v>0.44400826096534701</v>
      </c>
      <c r="AB4029" t="s">
        <v>21646</v>
      </c>
      <c r="AC4029" t="s">
        <v>4562</v>
      </c>
      <c r="AD4029" t="s">
        <v>21645</v>
      </c>
      <c r="AE4029" t="s">
        <v>4655</v>
      </c>
      <c r="AF4029" t="s">
        <v>4563</v>
      </c>
      <c r="AG4029" t="s">
        <v>4564</v>
      </c>
      <c r="AH4029">
        <v>89508</v>
      </c>
      <c r="AI4029" t="s">
        <v>21647</v>
      </c>
      <c r="AJ4029" t="s">
        <v>4655</v>
      </c>
      <c r="AK4029" t="s">
        <v>21648</v>
      </c>
      <c r="AL4029" s="13" t="s">
        <v>1892</v>
      </c>
      <c r="AM4029">
        <v>1</v>
      </c>
      <c r="AN4029" s="15" t="s">
        <v>3061</v>
      </c>
    </row>
    <row r="4030" spans="1:40" x14ac:dyDescent="0.3">
      <c r="A4030" s="10" t="str">
        <f>HYPERLINK("http://www.washoecounty.gov/assessor/cama/?parid=087-422-02&amp;CardNumber=1","087-422-02")</f>
        <v>087-422-02</v>
      </c>
      <c r="B4030" t="s">
        <v>4655</v>
      </c>
      <c r="C4030" t="s">
        <v>21649</v>
      </c>
      <c r="D4030" s="1">
        <v>40276</v>
      </c>
      <c r="E4030" s="2">
        <v>159000</v>
      </c>
      <c r="F4030" t="s">
        <v>4567</v>
      </c>
      <c r="G4030" s="17" t="str">
        <f>HYPERLINK("https://www.washoecounty.gov/assessor/cama/?command=sales&amp;parid=08742202","3868819")</f>
        <v>3868819</v>
      </c>
      <c r="H4030" t="s">
        <v>5180</v>
      </c>
      <c r="I4030">
        <v>1994</v>
      </c>
      <c r="J4030">
        <v>1997</v>
      </c>
      <c r="K4030" t="s">
        <v>4554</v>
      </c>
      <c r="L4030" t="s">
        <v>3974</v>
      </c>
      <c r="M4030" s="2">
        <v>2226</v>
      </c>
      <c r="N4030" t="s">
        <v>4556</v>
      </c>
      <c r="O4030">
        <v>4</v>
      </c>
      <c r="P4030">
        <v>3</v>
      </c>
      <c r="Q4030">
        <v>0</v>
      </c>
      <c r="R4030" t="s">
        <v>4557</v>
      </c>
      <c r="S4030" t="s">
        <v>4558</v>
      </c>
      <c r="T4030" t="s">
        <v>4559</v>
      </c>
      <c r="U4030" t="s">
        <v>4560</v>
      </c>
      <c r="V4030" s="2">
        <v>720</v>
      </c>
      <c r="W4030" t="s">
        <v>4655</v>
      </c>
      <c r="X4030" s="2">
        <v>0</v>
      </c>
      <c r="Y4030">
        <v>20</v>
      </c>
      <c r="Z4030" t="s">
        <v>5508</v>
      </c>
      <c r="AA4030" s="3">
        <v>0.37398990988731401</v>
      </c>
      <c r="AB4030" t="s">
        <v>21650</v>
      </c>
      <c r="AC4030" t="s">
        <v>4562</v>
      </c>
      <c r="AD4030" t="s">
        <v>21651</v>
      </c>
      <c r="AE4030" t="s">
        <v>4655</v>
      </c>
      <c r="AF4030" t="s">
        <v>4563</v>
      </c>
      <c r="AG4030" t="s">
        <v>4564</v>
      </c>
      <c r="AH4030">
        <v>89506</v>
      </c>
      <c r="AI4030" t="s">
        <v>21652</v>
      </c>
      <c r="AJ4030" t="s">
        <v>4655</v>
      </c>
      <c r="AK4030" t="s">
        <v>21653</v>
      </c>
      <c r="AL4030" s="13" t="s">
        <v>1892</v>
      </c>
      <c r="AM4030">
        <v>1</v>
      </c>
      <c r="AN4030" s="15" t="s">
        <v>3061</v>
      </c>
    </row>
    <row r="4031" spans="1:40" x14ac:dyDescent="0.3">
      <c r="A4031" s="10" t="str">
        <f>HYPERLINK("http://www.washoecounty.gov/assessor/cama/?parid=087-452-06&amp;CardNumber=1","087-452-06")</f>
        <v>087-452-06</v>
      </c>
      <c r="B4031" t="s">
        <v>4655</v>
      </c>
      <c r="C4031" t="s">
        <v>21654</v>
      </c>
      <c r="D4031" s="1">
        <v>40409</v>
      </c>
      <c r="E4031" s="2">
        <v>100000</v>
      </c>
      <c r="F4031" t="s">
        <v>4567</v>
      </c>
      <c r="G4031" s="17" t="str">
        <f>HYPERLINK("https://www.washoecounty.gov/assessor/cama/?command=sales&amp;parid=08745206","3913745")</f>
        <v>3913745</v>
      </c>
      <c r="H4031" t="s">
        <v>21655</v>
      </c>
      <c r="I4031">
        <v>1992</v>
      </c>
      <c r="J4031">
        <v>1992</v>
      </c>
      <c r="K4031" t="s">
        <v>4554</v>
      </c>
      <c r="L4031" t="s">
        <v>4555</v>
      </c>
      <c r="M4031" s="2">
        <v>1424</v>
      </c>
      <c r="N4031" t="s">
        <v>4556</v>
      </c>
      <c r="O4031">
        <v>3</v>
      </c>
      <c r="P4031">
        <v>2</v>
      </c>
      <c r="Q4031">
        <v>0</v>
      </c>
      <c r="R4031" t="s">
        <v>5281</v>
      </c>
      <c r="S4031" t="s">
        <v>4558</v>
      </c>
      <c r="T4031" t="s">
        <v>4559</v>
      </c>
      <c r="U4031" t="s">
        <v>4560</v>
      </c>
      <c r="V4031" s="2">
        <v>420</v>
      </c>
      <c r="W4031" t="s">
        <v>4655</v>
      </c>
      <c r="X4031" s="2">
        <v>0</v>
      </c>
      <c r="Y4031">
        <v>20</v>
      </c>
      <c r="Z4031" t="s">
        <v>5508</v>
      </c>
      <c r="AA4031" s="3">
        <v>0.34699264168739319</v>
      </c>
      <c r="AB4031" t="s">
        <v>21656</v>
      </c>
      <c r="AC4031" t="s">
        <v>4562</v>
      </c>
      <c r="AD4031" t="s">
        <v>21654</v>
      </c>
      <c r="AE4031" t="s">
        <v>4655</v>
      </c>
      <c r="AF4031" t="s">
        <v>4563</v>
      </c>
      <c r="AG4031" t="s">
        <v>4564</v>
      </c>
      <c r="AH4031">
        <v>89508</v>
      </c>
      <c r="AI4031" t="s">
        <v>21657</v>
      </c>
      <c r="AJ4031" t="s">
        <v>2676</v>
      </c>
      <c r="AK4031" t="s">
        <v>21658</v>
      </c>
      <c r="AL4031" s="13" t="s">
        <v>1892</v>
      </c>
      <c r="AM4031">
        <v>1</v>
      </c>
      <c r="AN4031" s="15" t="s">
        <v>5228</v>
      </c>
    </row>
    <row r="4032" spans="1:40" x14ac:dyDescent="0.3">
      <c r="A4032" s="10" t="str">
        <f>HYPERLINK("http://www.washoecounty.gov/assessor/cama/?parid=087-453-03&amp;CardNumber=1","087-453-03")</f>
        <v>087-453-03</v>
      </c>
      <c r="B4032" t="s">
        <v>4655</v>
      </c>
      <c r="C4032" t="s">
        <v>21659</v>
      </c>
      <c r="D4032" s="1">
        <v>40414</v>
      </c>
      <c r="E4032" s="2">
        <v>70000</v>
      </c>
      <c r="F4032" t="s">
        <v>4553</v>
      </c>
      <c r="G4032" s="17" t="str">
        <f>HYPERLINK("https://www.washoecounty.gov/assessor/cama/?command=sales&amp;parid=08745303","3915235")</f>
        <v>3915235</v>
      </c>
      <c r="H4032" t="s">
        <v>21655</v>
      </c>
      <c r="I4032">
        <v>2005</v>
      </c>
      <c r="J4032">
        <v>2005</v>
      </c>
      <c r="K4032" t="s">
        <v>4847</v>
      </c>
      <c r="L4032" t="s">
        <v>4555</v>
      </c>
      <c r="M4032" s="2">
        <v>1742</v>
      </c>
      <c r="N4032" t="s">
        <v>5280</v>
      </c>
      <c r="O4032">
        <v>4</v>
      </c>
      <c r="P4032">
        <v>2</v>
      </c>
      <c r="Q4032">
        <v>0</v>
      </c>
      <c r="R4032" t="s">
        <v>4557</v>
      </c>
      <c r="S4032" t="s">
        <v>4558</v>
      </c>
      <c r="T4032" t="s">
        <v>4559</v>
      </c>
      <c r="U4032" t="s">
        <v>4560</v>
      </c>
      <c r="V4032" s="2">
        <v>400</v>
      </c>
      <c r="W4032" t="s">
        <v>4655</v>
      </c>
      <c r="X4032" s="2">
        <v>0</v>
      </c>
      <c r="Y4032">
        <v>22</v>
      </c>
      <c r="Z4032" t="s">
        <v>5508</v>
      </c>
      <c r="AA4032" s="3">
        <v>0.34499540925025901</v>
      </c>
      <c r="AB4032" t="s">
        <v>21660</v>
      </c>
      <c r="AC4032" t="s">
        <v>4562</v>
      </c>
      <c r="AD4032" t="s">
        <v>21659</v>
      </c>
      <c r="AE4032" t="s">
        <v>4655</v>
      </c>
      <c r="AF4032" t="s">
        <v>4563</v>
      </c>
      <c r="AG4032" t="s">
        <v>4564</v>
      </c>
      <c r="AH4032">
        <v>89506</v>
      </c>
      <c r="AI4032" t="s">
        <v>4848</v>
      </c>
      <c r="AJ4032" t="s">
        <v>2676</v>
      </c>
      <c r="AK4032" t="s">
        <v>21661</v>
      </c>
      <c r="AL4032" s="13" t="s">
        <v>1892</v>
      </c>
      <c r="AM4032">
        <v>1</v>
      </c>
      <c r="AN4032" s="15" t="s">
        <v>5228</v>
      </c>
    </row>
    <row r="4033" spans="1:40" x14ac:dyDescent="0.3">
      <c r="A4033" s="10" t="str">
        <f>HYPERLINK("http://www.washoecounty.gov/assessor/cama/?parid=087-453-09&amp;CardNumber=1","087-453-09")</f>
        <v>087-453-09</v>
      </c>
      <c r="B4033" t="s">
        <v>4655</v>
      </c>
      <c r="C4033" t="s">
        <v>21662</v>
      </c>
      <c r="D4033" s="1">
        <v>40417</v>
      </c>
      <c r="E4033" s="2">
        <v>85000</v>
      </c>
      <c r="F4033" t="s">
        <v>4567</v>
      </c>
      <c r="G4033" s="17" t="str">
        <f>HYPERLINK("https://www.washoecounty.gov/assessor/cama/?command=sales&amp;parid=08745309","3916338")</f>
        <v>3916338</v>
      </c>
      <c r="H4033" t="s">
        <v>21655</v>
      </c>
      <c r="I4033">
        <v>2004</v>
      </c>
      <c r="J4033">
        <v>2004</v>
      </c>
      <c r="K4033" t="s">
        <v>4847</v>
      </c>
      <c r="L4033" t="s">
        <v>4555</v>
      </c>
      <c r="M4033" s="2">
        <v>1400</v>
      </c>
      <c r="N4033" t="s">
        <v>5280</v>
      </c>
      <c r="O4033">
        <v>3</v>
      </c>
      <c r="P4033">
        <v>2</v>
      </c>
      <c r="Q4033">
        <v>0</v>
      </c>
      <c r="R4033" t="s">
        <v>5281</v>
      </c>
      <c r="S4033" t="s">
        <v>4558</v>
      </c>
      <c r="T4033" t="s">
        <v>4559</v>
      </c>
      <c r="U4033" t="s">
        <v>4560</v>
      </c>
      <c r="V4033" s="2">
        <v>400</v>
      </c>
      <c r="W4033" t="s">
        <v>4655</v>
      </c>
      <c r="X4033" s="2">
        <v>0</v>
      </c>
      <c r="Y4033">
        <v>22</v>
      </c>
      <c r="Z4033" t="s">
        <v>5508</v>
      </c>
      <c r="AA4033" s="3">
        <v>0.55700182914733798</v>
      </c>
      <c r="AB4033" t="s">
        <v>21663</v>
      </c>
      <c r="AC4033" t="s">
        <v>4575</v>
      </c>
      <c r="AD4033" t="s">
        <v>21664</v>
      </c>
      <c r="AE4033" t="s">
        <v>21665</v>
      </c>
      <c r="AF4033" t="s">
        <v>4563</v>
      </c>
      <c r="AG4033" t="s">
        <v>4564</v>
      </c>
      <c r="AH4033">
        <v>89506</v>
      </c>
      <c r="AI4033" t="s">
        <v>21666</v>
      </c>
      <c r="AJ4033" t="s">
        <v>2676</v>
      </c>
      <c r="AK4033" t="s">
        <v>21667</v>
      </c>
      <c r="AL4033" s="13" t="s">
        <v>1892</v>
      </c>
      <c r="AM4033">
        <v>1</v>
      </c>
      <c r="AN4033" s="15" t="s">
        <v>5228</v>
      </c>
    </row>
    <row r="4034" spans="1:40" x14ac:dyDescent="0.3">
      <c r="A4034" s="10" t="str">
        <f>HYPERLINK("http://www.washoecounty.gov/assessor/cama/?parid=087-453-10&amp;CardNumber=1","087-453-10")</f>
        <v>087-453-10</v>
      </c>
      <c r="B4034" t="s">
        <v>4655</v>
      </c>
      <c r="C4034" t="s">
        <v>21668</v>
      </c>
      <c r="D4034" s="1">
        <v>40199</v>
      </c>
      <c r="E4034" s="2">
        <v>74500</v>
      </c>
      <c r="F4034" t="s">
        <v>4567</v>
      </c>
      <c r="G4034" s="17" t="str">
        <f>HYPERLINK("https://www.washoecounty.gov/assessor/cama/?command=sales&amp;parid=08745310","3841558")</f>
        <v>3841558</v>
      </c>
      <c r="H4034" t="s">
        <v>21655</v>
      </c>
      <c r="I4034">
        <v>2001</v>
      </c>
      <c r="J4034">
        <v>2001</v>
      </c>
      <c r="K4034" t="s">
        <v>4847</v>
      </c>
      <c r="L4034" t="s">
        <v>4555</v>
      </c>
      <c r="M4034" s="2">
        <v>1716</v>
      </c>
      <c r="N4034" t="s">
        <v>5280</v>
      </c>
      <c r="O4034">
        <v>3</v>
      </c>
      <c r="P4034">
        <v>2</v>
      </c>
      <c r="Q4034">
        <v>0</v>
      </c>
      <c r="R4034" t="s">
        <v>5281</v>
      </c>
      <c r="S4034" t="s">
        <v>4558</v>
      </c>
      <c r="T4034" t="s">
        <v>4559</v>
      </c>
      <c r="U4034" t="s">
        <v>4560</v>
      </c>
      <c r="V4034" s="2">
        <v>400</v>
      </c>
      <c r="W4034" t="s">
        <v>4655</v>
      </c>
      <c r="X4034" s="2">
        <v>0</v>
      </c>
      <c r="Y4034">
        <v>22</v>
      </c>
      <c r="Z4034" t="s">
        <v>5508</v>
      </c>
      <c r="AA4034" s="3">
        <v>0.34400826692581199</v>
      </c>
      <c r="AB4034" t="s">
        <v>21669</v>
      </c>
      <c r="AC4034" t="s">
        <v>4562</v>
      </c>
      <c r="AD4034" t="s">
        <v>21670</v>
      </c>
      <c r="AE4034" t="s">
        <v>4655</v>
      </c>
      <c r="AF4034" t="s">
        <v>5201</v>
      </c>
      <c r="AG4034" t="s">
        <v>4564</v>
      </c>
      <c r="AH4034" t="s">
        <v>5202</v>
      </c>
      <c r="AI4034" t="s">
        <v>21669</v>
      </c>
      <c r="AJ4034" t="s">
        <v>2676</v>
      </c>
      <c r="AK4034" t="s">
        <v>21671</v>
      </c>
      <c r="AL4034" s="13" t="s">
        <v>1892</v>
      </c>
      <c r="AM4034">
        <v>1</v>
      </c>
      <c r="AN4034" s="15" t="s">
        <v>5228</v>
      </c>
    </row>
    <row r="4035" spans="1:40" x14ac:dyDescent="0.3">
      <c r="A4035" s="10" t="str">
        <f>HYPERLINK("http://www.washoecounty.gov/assessor/cama/?parid=087-471-01&amp;CardNumber=1","087-471-01")</f>
        <v>087-471-01</v>
      </c>
      <c r="B4035" t="s">
        <v>4655</v>
      </c>
      <c r="C4035" t="s">
        <v>21672</v>
      </c>
      <c r="D4035" s="1">
        <v>40466</v>
      </c>
      <c r="E4035" s="2">
        <v>156000</v>
      </c>
      <c r="F4035" t="s">
        <v>4553</v>
      </c>
      <c r="G4035" s="17" t="str">
        <f>HYPERLINK("https://www.washoecounty.gov/assessor/cama/?command=sales&amp;parid=08747101","3933381")</f>
        <v>3933381</v>
      </c>
      <c r="H4035" t="s">
        <v>21673</v>
      </c>
      <c r="I4035">
        <v>1998</v>
      </c>
      <c r="J4035">
        <v>1998</v>
      </c>
      <c r="K4035" t="s">
        <v>4554</v>
      </c>
      <c r="L4035" t="s">
        <v>3974</v>
      </c>
      <c r="M4035" s="2">
        <v>3197</v>
      </c>
      <c r="N4035" t="s">
        <v>4048</v>
      </c>
      <c r="O4035">
        <v>6</v>
      </c>
      <c r="P4035">
        <v>2</v>
      </c>
      <c r="Q4035">
        <v>1</v>
      </c>
      <c r="R4035" t="s">
        <v>4557</v>
      </c>
      <c r="S4035" t="s">
        <v>4898</v>
      </c>
      <c r="T4035" t="s">
        <v>4559</v>
      </c>
      <c r="U4035" t="s">
        <v>5631</v>
      </c>
      <c r="V4035" s="2">
        <v>500</v>
      </c>
      <c r="W4035" t="s">
        <v>4655</v>
      </c>
      <c r="X4035" s="2">
        <v>0</v>
      </c>
      <c r="Y4035">
        <v>20</v>
      </c>
      <c r="Z4035" t="s">
        <v>5508</v>
      </c>
      <c r="AA4035" s="3">
        <v>0.42398989200592002</v>
      </c>
      <c r="AB4035" t="s">
        <v>21674</v>
      </c>
      <c r="AC4035" t="s">
        <v>4575</v>
      </c>
      <c r="AD4035" t="s">
        <v>21675</v>
      </c>
      <c r="AE4035" t="s">
        <v>4655</v>
      </c>
      <c r="AF4035" t="s">
        <v>4563</v>
      </c>
      <c r="AG4035" t="s">
        <v>4564</v>
      </c>
      <c r="AH4035">
        <v>89508</v>
      </c>
      <c r="AI4035" t="s">
        <v>4045</v>
      </c>
      <c r="AJ4035" t="s">
        <v>21676</v>
      </c>
      <c r="AK4035" t="s">
        <v>21677</v>
      </c>
      <c r="AL4035" s="13" t="s">
        <v>1892</v>
      </c>
      <c r="AM4035">
        <v>1</v>
      </c>
      <c r="AN4035" s="15" t="s">
        <v>2694</v>
      </c>
    </row>
    <row r="4036" spans="1:40" x14ac:dyDescent="0.3">
      <c r="A4036" s="10" t="str">
        <f>HYPERLINK("http://www.washoecounty.gov/assessor/cama/?parid=087-472-08&amp;CardNumber=1","087-472-08")</f>
        <v>087-472-08</v>
      </c>
      <c r="B4036" t="s">
        <v>4655</v>
      </c>
      <c r="C4036" t="s">
        <v>21678</v>
      </c>
      <c r="D4036" s="1">
        <v>40277</v>
      </c>
      <c r="E4036" s="2">
        <v>146000</v>
      </c>
      <c r="F4036" t="s">
        <v>4553</v>
      </c>
      <c r="G4036" s="17" t="str">
        <f>HYPERLINK("https://www.washoecounty.gov/assessor/cama/?command=sales&amp;parid=08747208","3869556")</f>
        <v>3869556</v>
      </c>
      <c r="H4036" t="s">
        <v>21679</v>
      </c>
      <c r="I4036">
        <v>1997</v>
      </c>
      <c r="J4036">
        <v>1997</v>
      </c>
      <c r="K4036" t="s">
        <v>4554</v>
      </c>
      <c r="L4036" t="s">
        <v>4555</v>
      </c>
      <c r="M4036" s="2">
        <v>1701</v>
      </c>
      <c r="N4036" t="s">
        <v>4048</v>
      </c>
      <c r="O4036">
        <v>4</v>
      </c>
      <c r="P4036">
        <v>2</v>
      </c>
      <c r="Q4036">
        <v>0</v>
      </c>
      <c r="R4036" t="s">
        <v>4557</v>
      </c>
      <c r="S4036" t="s">
        <v>4898</v>
      </c>
      <c r="T4036" t="s">
        <v>4559</v>
      </c>
      <c r="U4036" t="s">
        <v>4560</v>
      </c>
      <c r="V4036" s="2">
        <v>529</v>
      </c>
      <c r="W4036" t="s">
        <v>4655</v>
      </c>
      <c r="X4036" s="2">
        <v>0</v>
      </c>
      <c r="Y4036">
        <v>20</v>
      </c>
      <c r="Z4036" t="s">
        <v>5508</v>
      </c>
      <c r="AA4036" s="3">
        <v>0.59499537944793701</v>
      </c>
      <c r="AB4036" t="s">
        <v>21680</v>
      </c>
      <c r="AC4036" t="s">
        <v>4562</v>
      </c>
      <c r="AD4036" t="s">
        <v>21678</v>
      </c>
      <c r="AE4036" t="s">
        <v>4655</v>
      </c>
      <c r="AF4036" t="s">
        <v>4563</v>
      </c>
      <c r="AG4036" t="s">
        <v>4564</v>
      </c>
      <c r="AH4036">
        <v>89506</v>
      </c>
      <c r="AI4036" t="s">
        <v>4045</v>
      </c>
      <c r="AJ4036" t="s">
        <v>21681</v>
      </c>
      <c r="AK4036" t="s">
        <v>21682</v>
      </c>
      <c r="AL4036" s="13" t="s">
        <v>1892</v>
      </c>
      <c r="AM4036">
        <v>1</v>
      </c>
      <c r="AN4036" s="15" t="s">
        <v>2694</v>
      </c>
    </row>
    <row r="4037" spans="1:40" x14ac:dyDescent="0.3">
      <c r="A4037" s="10" t="str">
        <f>HYPERLINK("http://www.washoecounty.gov/assessor/cama/?parid=087-491-03&amp;CardNumber=1","087-491-03")</f>
        <v>087-491-03</v>
      </c>
      <c r="B4037" t="s">
        <v>4655</v>
      </c>
      <c r="C4037" t="s">
        <v>21683</v>
      </c>
      <c r="D4037" s="1">
        <v>40462</v>
      </c>
      <c r="E4037" s="2">
        <v>100000</v>
      </c>
      <c r="F4037" t="s">
        <v>3259</v>
      </c>
      <c r="G4037" s="17" t="str">
        <f>HYPERLINK("https://www.washoecounty.gov/assessor/cama/?command=sales&amp;parid=08749103","3931610")</f>
        <v>3931610</v>
      </c>
      <c r="H4037" t="s">
        <v>21684</v>
      </c>
      <c r="I4037">
        <v>1997</v>
      </c>
      <c r="J4037">
        <v>1997</v>
      </c>
      <c r="K4037" t="s">
        <v>1243</v>
      </c>
      <c r="L4037" t="s">
        <v>4655</v>
      </c>
      <c r="M4037" s="2">
        <v>0</v>
      </c>
      <c r="N4037" t="s">
        <v>4655</v>
      </c>
      <c r="O4037">
        <v>0</v>
      </c>
      <c r="P4037">
        <v>0</v>
      </c>
      <c r="Q4037">
        <v>0</v>
      </c>
      <c r="R4037" t="s">
        <v>4655</v>
      </c>
      <c r="S4037" t="s">
        <v>4655</v>
      </c>
      <c r="T4037" t="s">
        <v>4655</v>
      </c>
      <c r="U4037" t="s">
        <v>4655</v>
      </c>
      <c r="V4037" s="2">
        <v>0</v>
      </c>
      <c r="W4037" t="s">
        <v>4655</v>
      </c>
      <c r="X4037" s="2">
        <v>0</v>
      </c>
      <c r="Y4037">
        <v>18</v>
      </c>
      <c r="Z4037" t="s">
        <v>3668</v>
      </c>
      <c r="AA4037" s="3">
        <v>41.310001373291001</v>
      </c>
      <c r="AB4037" t="s">
        <v>21685</v>
      </c>
      <c r="AC4037" t="s">
        <v>4562</v>
      </c>
      <c r="AD4037" t="s">
        <v>21686</v>
      </c>
      <c r="AE4037" t="s">
        <v>4655</v>
      </c>
      <c r="AF4037" t="s">
        <v>4563</v>
      </c>
      <c r="AG4037" t="s">
        <v>4564</v>
      </c>
      <c r="AH4037">
        <v>89510</v>
      </c>
      <c r="AI4037" t="s">
        <v>4655</v>
      </c>
      <c r="AJ4037" t="s">
        <v>21687</v>
      </c>
      <c r="AK4037" t="s">
        <v>21688</v>
      </c>
      <c r="AL4037" s="13" t="s">
        <v>1322</v>
      </c>
      <c r="AM4037">
        <v>1</v>
      </c>
      <c r="AN4037" s="15" t="s">
        <v>21689</v>
      </c>
    </row>
    <row r="4038" spans="1:40" x14ac:dyDescent="0.3">
      <c r="A4038" s="10" t="str">
        <f>HYPERLINK("http://www.washoecounty.gov/assessor/cama/?parid=087-502-06&amp;CardNumber=1","087-502-06")</f>
        <v>087-502-06</v>
      </c>
      <c r="B4038" t="s">
        <v>4655</v>
      </c>
      <c r="C4038" t="s">
        <v>21690</v>
      </c>
      <c r="D4038" s="1">
        <v>40242</v>
      </c>
      <c r="E4038" s="2">
        <v>127000</v>
      </c>
      <c r="F4038" t="s">
        <v>4567</v>
      </c>
      <c r="G4038" s="17" t="str">
        <f>HYPERLINK("https://www.washoecounty.gov/assessor/cama/?command=sales&amp;parid=08750206","3856554")</f>
        <v>3856554</v>
      </c>
      <c r="H4038" t="s">
        <v>3016</v>
      </c>
      <c r="I4038">
        <v>2000</v>
      </c>
      <c r="J4038">
        <v>2000</v>
      </c>
      <c r="K4038" t="s">
        <v>4554</v>
      </c>
      <c r="L4038" t="s">
        <v>4555</v>
      </c>
      <c r="M4038" s="2">
        <v>1695</v>
      </c>
      <c r="N4038" t="s">
        <v>4556</v>
      </c>
      <c r="O4038">
        <v>3</v>
      </c>
      <c r="P4038">
        <v>2</v>
      </c>
      <c r="Q4038">
        <v>0</v>
      </c>
      <c r="R4038" t="s">
        <v>5281</v>
      </c>
      <c r="S4038" t="s">
        <v>4558</v>
      </c>
      <c r="T4038" t="s">
        <v>4559</v>
      </c>
      <c r="U4038" t="s">
        <v>4560</v>
      </c>
      <c r="V4038" s="2">
        <v>576</v>
      </c>
      <c r="W4038" t="s">
        <v>4655</v>
      </c>
      <c r="X4038" s="2">
        <v>0</v>
      </c>
      <c r="Y4038">
        <v>20</v>
      </c>
      <c r="Z4038" t="s">
        <v>5508</v>
      </c>
      <c r="AA4038" s="3">
        <v>0.362006425857544</v>
      </c>
      <c r="AB4038" t="s">
        <v>21691</v>
      </c>
      <c r="AC4038" t="s">
        <v>4575</v>
      </c>
      <c r="AD4038" t="s">
        <v>21690</v>
      </c>
      <c r="AE4038" t="s">
        <v>4655</v>
      </c>
      <c r="AF4038" t="s">
        <v>4563</v>
      </c>
      <c r="AG4038" t="s">
        <v>4564</v>
      </c>
      <c r="AH4038">
        <v>89506</v>
      </c>
      <c r="AI4038" t="s">
        <v>21692</v>
      </c>
      <c r="AJ4038" t="s">
        <v>81</v>
      </c>
      <c r="AK4038" t="s">
        <v>21693</v>
      </c>
      <c r="AL4038" s="13" t="s">
        <v>1892</v>
      </c>
      <c r="AM4038">
        <v>1</v>
      </c>
      <c r="AN4038" s="15" t="s">
        <v>3061</v>
      </c>
    </row>
    <row r="4039" spans="1:40" x14ac:dyDescent="0.3">
      <c r="A4039" s="10" t="str">
        <f>HYPERLINK("http://www.washoecounty.gov/assessor/cama/?parid=087-503-06&amp;CardNumber=1","087-503-06")</f>
        <v>087-503-06</v>
      </c>
      <c r="B4039" t="s">
        <v>4655</v>
      </c>
      <c r="C4039" t="s">
        <v>21694</v>
      </c>
      <c r="D4039" s="1">
        <v>40361</v>
      </c>
      <c r="E4039" s="2">
        <v>155000</v>
      </c>
      <c r="F4039" t="s">
        <v>4553</v>
      </c>
      <c r="G4039" s="17" t="str">
        <f>HYPERLINK("https://www.washoecounty.gov/assessor/cama/?command=sales&amp;parid=08750306","3898149")</f>
        <v>3898149</v>
      </c>
      <c r="H4039" t="s">
        <v>3016</v>
      </c>
      <c r="I4039">
        <v>2000</v>
      </c>
      <c r="J4039">
        <v>2000</v>
      </c>
      <c r="K4039" t="s">
        <v>4554</v>
      </c>
      <c r="L4039" t="s">
        <v>4555</v>
      </c>
      <c r="M4039" s="2">
        <v>1792</v>
      </c>
      <c r="N4039" t="s">
        <v>4556</v>
      </c>
      <c r="O4039">
        <v>4</v>
      </c>
      <c r="P4039">
        <v>2</v>
      </c>
      <c r="Q4039">
        <v>0</v>
      </c>
      <c r="R4039" t="s">
        <v>5281</v>
      </c>
      <c r="S4039" t="s">
        <v>4558</v>
      </c>
      <c r="T4039" t="s">
        <v>4559</v>
      </c>
      <c r="U4039" t="s">
        <v>4560</v>
      </c>
      <c r="V4039" s="2">
        <v>481</v>
      </c>
      <c r="W4039" t="s">
        <v>4655</v>
      </c>
      <c r="X4039" s="2">
        <v>0</v>
      </c>
      <c r="Y4039">
        <v>20</v>
      </c>
      <c r="Z4039" t="s">
        <v>5508</v>
      </c>
      <c r="AA4039" s="3">
        <v>0.35101011395454401</v>
      </c>
      <c r="AB4039" t="s">
        <v>21695</v>
      </c>
      <c r="AC4039" t="s">
        <v>4562</v>
      </c>
      <c r="AD4039" t="s">
        <v>21694</v>
      </c>
      <c r="AE4039" t="s">
        <v>4655</v>
      </c>
      <c r="AF4039" t="s">
        <v>4563</v>
      </c>
      <c r="AG4039" t="s">
        <v>4564</v>
      </c>
      <c r="AH4039">
        <v>89508</v>
      </c>
      <c r="AI4039" t="s">
        <v>3625</v>
      </c>
      <c r="AJ4039" t="s">
        <v>81</v>
      </c>
      <c r="AK4039" t="s">
        <v>21696</v>
      </c>
      <c r="AL4039" s="13" t="s">
        <v>1892</v>
      </c>
      <c r="AM4039" s="14">
        <v>1</v>
      </c>
      <c r="AN4039" s="15" t="s">
        <v>3061</v>
      </c>
    </row>
    <row r="4040" spans="1:40" x14ac:dyDescent="0.3">
      <c r="A4040" s="10" t="str">
        <f>HYPERLINK("http://www.washoecounty.gov/assessor/cama/?parid=087-542-12&amp;CardNumber=1","087-542-12")</f>
        <v>087-542-12</v>
      </c>
      <c r="B4040" t="s">
        <v>4655</v>
      </c>
      <c r="C4040" t="s">
        <v>21697</v>
      </c>
      <c r="D4040" s="1">
        <v>40420</v>
      </c>
      <c r="E4040" s="2">
        <v>124700</v>
      </c>
      <c r="F4040" t="s">
        <v>4553</v>
      </c>
      <c r="G4040" s="17" t="str">
        <f>HYPERLINK("https://www.washoecounty.gov/assessor/cama/?command=sales&amp;parid=08754212","3917025")</f>
        <v>3917025</v>
      </c>
      <c r="H4040" t="s">
        <v>2677</v>
      </c>
      <c r="I4040">
        <v>2001</v>
      </c>
      <c r="J4040">
        <v>2001</v>
      </c>
      <c r="K4040" t="s">
        <v>4554</v>
      </c>
      <c r="L4040" t="s">
        <v>4555</v>
      </c>
      <c r="M4040" s="2">
        <v>1696</v>
      </c>
      <c r="N4040" t="s">
        <v>4556</v>
      </c>
      <c r="O4040">
        <v>3</v>
      </c>
      <c r="P4040">
        <v>2</v>
      </c>
      <c r="Q4040">
        <v>0</v>
      </c>
      <c r="R4040" t="s">
        <v>5281</v>
      </c>
      <c r="S4040" t="s">
        <v>4558</v>
      </c>
      <c r="T4040" t="s">
        <v>4559</v>
      </c>
      <c r="U4040" t="s">
        <v>4560</v>
      </c>
      <c r="V4040" s="2">
        <v>576</v>
      </c>
      <c r="W4040" t="s">
        <v>4655</v>
      </c>
      <c r="X4040" s="2">
        <v>0</v>
      </c>
      <c r="Y4040">
        <v>20</v>
      </c>
      <c r="Z4040" t="s">
        <v>5508</v>
      </c>
      <c r="AA4040" s="3">
        <v>0.225688710808754</v>
      </c>
      <c r="AB4040" t="s">
        <v>21698</v>
      </c>
      <c r="AC4040" t="s">
        <v>4562</v>
      </c>
      <c r="AD4040" t="s">
        <v>21699</v>
      </c>
      <c r="AE4040" t="s">
        <v>4655</v>
      </c>
      <c r="AF4040" t="s">
        <v>4563</v>
      </c>
      <c r="AG4040" t="s">
        <v>4564</v>
      </c>
      <c r="AH4040">
        <v>89508</v>
      </c>
      <c r="AI4040" t="s">
        <v>4045</v>
      </c>
      <c r="AJ4040" t="s">
        <v>21700</v>
      </c>
      <c r="AK4040" t="s">
        <v>21701</v>
      </c>
      <c r="AL4040" s="13" t="s">
        <v>1892</v>
      </c>
      <c r="AM4040">
        <v>1</v>
      </c>
      <c r="AN4040" s="15" t="s">
        <v>2051</v>
      </c>
    </row>
    <row r="4041" spans="1:40" x14ac:dyDescent="0.3">
      <c r="A4041" s="10" t="str">
        <f>HYPERLINK("http://www.washoecounty.gov/assessor/cama/?parid=087-542-22&amp;CardNumber=1","087-542-22")</f>
        <v>087-542-22</v>
      </c>
      <c r="B4041" t="s">
        <v>4655</v>
      </c>
      <c r="C4041" t="s">
        <v>21702</v>
      </c>
      <c r="D4041" s="1">
        <v>40428</v>
      </c>
      <c r="E4041" s="2">
        <v>98000</v>
      </c>
      <c r="F4041" t="s">
        <v>4567</v>
      </c>
      <c r="G4041" s="17" t="str">
        <f>HYPERLINK("https://www.washoecounty.gov/assessor/cama/?command=sales&amp;parid=08754222","3919423")</f>
        <v>3919423</v>
      </c>
      <c r="H4041" t="s">
        <v>2677</v>
      </c>
      <c r="I4041">
        <v>2000</v>
      </c>
      <c r="J4041">
        <v>2000</v>
      </c>
      <c r="K4041" t="s">
        <v>4554</v>
      </c>
      <c r="L4041" t="s">
        <v>4555</v>
      </c>
      <c r="M4041" s="2">
        <v>1072</v>
      </c>
      <c r="N4041" t="s">
        <v>4556</v>
      </c>
      <c r="O4041">
        <v>2</v>
      </c>
      <c r="P4041">
        <v>2</v>
      </c>
      <c r="Q4041">
        <v>0</v>
      </c>
      <c r="R4041" t="s">
        <v>5281</v>
      </c>
      <c r="S4041" t="s">
        <v>4558</v>
      </c>
      <c r="T4041" t="s">
        <v>4559</v>
      </c>
      <c r="U4041" t="s">
        <v>4560</v>
      </c>
      <c r="V4041" s="2">
        <v>440</v>
      </c>
      <c r="W4041" t="s">
        <v>4655</v>
      </c>
      <c r="X4041" s="2">
        <v>0</v>
      </c>
      <c r="Y4041">
        <v>20</v>
      </c>
      <c r="Z4041" t="s">
        <v>5508</v>
      </c>
      <c r="AA4041" s="3">
        <v>0.267837464809418</v>
      </c>
      <c r="AB4041" t="s">
        <v>21703</v>
      </c>
      <c r="AC4041" t="s">
        <v>4562</v>
      </c>
      <c r="AD4041" t="s">
        <v>21704</v>
      </c>
      <c r="AE4041" t="s">
        <v>4655</v>
      </c>
      <c r="AF4041" t="s">
        <v>5201</v>
      </c>
      <c r="AG4041" t="s">
        <v>4564</v>
      </c>
      <c r="AH4041" t="s">
        <v>3609</v>
      </c>
      <c r="AI4041" t="s">
        <v>21705</v>
      </c>
      <c r="AJ4041" t="s">
        <v>21700</v>
      </c>
      <c r="AK4041" t="s">
        <v>21706</v>
      </c>
      <c r="AL4041" s="13" t="s">
        <v>1892</v>
      </c>
      <c r="AM4041">
        <v>1</v>
      </c>
      <c r="AN4041" s="15" t="s">
        <v>2051</v>
      </c>
    </row>
    <row r="4042" spans="1:40" x14ac:dyDescent="0.3">
      <c r="A4042" s="10" t="str">
        <f>HYPERLINK("http://www.washoecounty.gov/assessor/cama/?parid=087-543-06&amp;CardNumber=1","087-543-06")</f>
        <v>087-543-06</v>
      </c>
      <c r="B4042" t="s">
        <v>4655</v>
      </c>
      <c r="C4042" t="s">
        <v>21707</v>
      </c>
      <c r="D4042" s="1">
        <v>40206</v>
      </c>
      <c r="E4042" s="2">
        <v>145000</v>
      </c>
      <c r="F4042" t="s">
        <v>4567</v>
      </c>
      <c r="G4042" s="17" t="str">
        <f>HYPERLINK("https://www.washoecounty.gov/assessor/cama/?command=sales&amp;parid=08754306","3843749")</f>
        <v>3843749</v>
      </c>
      <c r="H4042" t="s">
        <v>2677</v>
      </c>
      <c r="I4042">
        <v>2000</v>
      </c>
      <c r="J4042">
        <v>2000</v>
      </c>
      <c r="K4042" t="s">
        <v>4554</v>
      </c>
      <c r="L4042" t="s">
        <v>4555</v>
      </c>
      <c r="M4042" s="2">
        <v>1696</v>
      </c>
      <c r="N4042" t="s">
        <v>4556</v>
      </c>
      <c r="O4042">
        <v>3</v>
      </c>
      <c r="P4042">
        <v>2</v>
      </c>
      <c r="Q4042">
        <v>0</v>
      </c>
      <c r="R4042" t="s">
        <v>4557</v>
      </c>
      <c r="S4042" t="s">
        <v>4558</v>
      </c>
      <c r="T4042" t="s">
        <v>4559</v>
      </c>
      <c r="U4042" t="s">
        <v>162</v>
      </c>
      <c r="V4042" s="2">
        <v>1116</v>
      </c>
      <c r="W4042" t="s">
        <v>4655</v>
      </c>
      <c r="X4042" s="2">
        <v>0</v>
      </c>
      <c r="Y4042">
        <v>20</v>
      </c>
      <c r="Z4042" t="s">
        <v>5508</v>
      </c>
      <c r="AA4042" s="3">
        <v>0.45500460267067</v>
      </c>
      <c r="AB4042" t="s">
        <v>21708</v>
      </c>
      <c r="AC4042" t="s">
        <v>4562</v>
      </c>
      <c r="AD4042" t="s">
        <v>21707</v>
      </c>
      <c r="AE4042" t="s">
        <v>4655</v>
      </c>
      <c r="AF4042" t="s">
        <v>4563</v>
      </c>
      <c r="AG4042" t="s">
        <v>4564</v>
      </c>
      <c r="AH4042">
        <v>89508</v>
      </c>
      <c r="AI4042" t="s">
        <v>21709</v>
      </c>
      <c r="AJ4042" t="s">
        <v>2678</v>
      </c>
      <c r="AK4042" t="s">
        <v>21710</v>
      </c>
      <c r="AL4042" s="13" t="s">
        <v>1892</v>
      </c>
      <c r="AM4042">
        <v>1</v>
      </c>
      <c r="AN4042" s="15" t="s">
        <v>3061</v>
      </c>
    </row>
    <row r="4043" spans="1:40" x14ac:dyDescent="0.3">
      <c r="A4043" s="10" t="str">
        <f>HYPERLINK("http://www.washoecounty.gov/assessor/cama/?parid=087-544-03&amp;CardNumber=1","087-544-03")</f>
        <v>087-544-03</v>
      </c>
      <c r="B4043" t="s">
        <v>4655</v>
      </c>
      <c r="C4043" t="s">
        <v>21711</v>
      </c>
      <c r="D4043" s="1">
        <v>40451</v>
      </c>
      <c r="E4043" s="2">
        <v>140000</v>
      </c>
      <c r="F4043" t="s">
        <v>4553</v>
      </c>
      <c r="G4043" s="17" t="str">
        <f>HYPERLINK("https://www.washoecounty.gov/assessor/cama/?command=sales&amp;parid=08754403","3927764")</f>
        <v>3927764</v>
      </c>
      <c r="H4043" t="s">
        <v>2677</v>
      </c>
      <c r="I4043">
        <v>2000</v>
      </c>
      <c r="J4043">
        <v>2000</v>
      </c>
      <c r="K4043" t="s">
        <v>4554</v>
      </c>
      <c r="L4043" t="s">
        <v>4555</v>
      </c>
      <c r="M4043" s="2">
        <v>1568</v>
      </c>
      <c r="N4043" t="s">
        <v>4556</v>
      </c>
      <c r="O4043">
        <v>4</v>
      </c>
      <c r="P4043">
        <v>2</v>
      </c>
      <c r="Q4043">
        <v>0</v>
      </c>
      <c r="R4043" t="s">
        <v>4557</v>
      </c>
      <c r="S4043" t="s">
        <v>4558</v>
      </c>
      <c r="T4043" t="s">
        <v>4559</v>
      </c>
      <c r="U4043" t="s">
        <v>4560</v>
      </c>
      <c r="V4043" s="2">
        <v>480</v>
      </c>
      <c r="W4043" t="s">
        <v>4655</v>
      </c>
      <c r="X4043" s="2">
        <v>0</v>
      </c>
      <c r="Y4043">
        <v>20</v>
      </c>
      <c r="Z4043" t="s">
        <v>5508</v>
      </c>
      <c r="AA4043" s="3">
        <v>0.40599173307418801</v>
      </c>
      <c r="AB4043" t="s">
        <v>21712</v>
      </c>
      <c r="AC4043" t="s">
        <v>4562</v>
      </c>
      <c r="AD4043" t="s">
        <v>21713</v>
      </c>
      <c r="AE4043" t="s">
        <v>4655</v>
      </c>
      <c r="AF4043" t="s">
        <v>4563</v>
      </c>
      <c r="AG4043" t="s">
        <v>4564</v>
      </c>
      <c r="AH4043">
        <v>89508</v>
      </c>
      <c r="AI4043" t="s">
        <v>4903</v>
      </c>
      <c r="AJ4043" t="s">
        <v>2678</v>
      </c>
      <c r="AK4043" t="s">
        <v>21714</v>
      </c>
      <c r="AL4043" s="13" t="s">
        <v>1892</v>
      </c>
      <c r="AM4043" s="14">
        <v>1</v>
      </c>
      <c r="AN4043" s="15" t="s">
        <v>3061</v>
      </c>
    </row>
    <row r="4044" spans="1:40" x14ac:dyDescent="0.3">
      <c r="A4044" s="10" t="str">
        <f>HYPERLINK("http://www.washoecounty.gov/assessor/cama/?parid=087-571-10&amp;CardNumber=1","087-571-10")</f>
        <v>087-571-10</v>
      </c>
      <c r="B4044" t="s">
        <v>4655</v>
      </c>
      <c r="C4044" t="s">
        <v>21715</v>
      </c>
      <c r="D4044" s="1">
        <v>40389</v>
      </c>
      <c r="E4044" s="2">
        <v>124000</v>
      </c>
      <c r="F4044" t="s">
        <v>4567</v>
      </c>
      <c r="G4044" s="17" t="str">
        <f>HYPERLINK("https://www.washoecounty.gov/assessor/cama/?command=sales&amp;parid=08757110","3907428")</f>
        <v>3907428</v>
      </c>
      <c r="H4044" t="s">
        <v>941</v>
      </c>
      <c r="I4044">
        <v>1997</v>
      </c>
      <c r="J4044">
        <v>1997</v>
      </c>
      <c r="K4044" t="s">
        <v>4554</v>
      </c>
      <c r="L4044" t="s">
        <v>4555</v>
      </c>
      <c r="M4044" s="2">
        <v>1589</v>
      </c>
      <c r="N4044" t="s">
        <v>4048</v>
      </c>
      <c r="O4044">
        <v>4</v>
      </c>
      <c r="P4044">
        <v>2</v>
      </c>
      <c r="Q4044">
        <v>0</v>
      </c>
      <c r="R4044" t="s">
        <v>4557</v>
      </c>
      <c r="S4044" t="s">
        <v>4898</v>
      </c>
      <c r="T4044" t="s">
        <v>4559</v>
      </c>
      <c r="U4044" t="s">
        <v>4560</v>
      </c>
      <c r="V4044" s="2">
        <v>768</v>
      </c>
      <c r="W4044" t="s">
        <v>4655</v>
      </c>
      <c r="X4044" s="2">
        <v>0</v>
      </c>
      <c r="Y4044">
        <v>20</v>
      </c>
      <c r="Z4044" t="s">
        <v>5508</v>
      </c>
      <c r="AA4044" s="3">
        <v>0.46999540925025901</v>
      </c>
      <c r="AB4044" t="s">
        <v>21716</v>
      </c>
      <c r="AC4044" t="s">
        <v>4562</v>
      </c>
      <c r="AD4044" t="s">
        <v>21715</v>
      </c>
      <c r="AE4044" t="s">
        <v>4655</v>
      </c>
      <c r="AF4044" t="s">
        <v>4563</v>
      </c>
      <c r="AG4044" t="s">
        <v>4564</v>
      </c>
      <c r="AH4044">
        <v>89508</v>
      </c>
      <c r="AI4044" t="s">
        <v>21717</v>
      </c>
      <c r="AJ4044" t="s">
        <v>942</v>
      </c>
      <c r="AK4044" t="s">
        <v>21718</v>
      </c>
      <c r="AL4044" s="13" t="s">
        <v>1892</v>
      </c>
      <c r="AM4044">
        <v>1</v>
      </c>
      <c r="AN4044" s="15" t="s">
        <v>2694</v>
      </c>
    </row>
    <row r="4045" spans="1:40" x14ac:dyDescent="0.3">
      <c r="A4045" s="10" t="str">
        <f>HYPERLINK("http://www.washoecounty.gov/assessor/cama/?parid=087-611-13&amp;CardNumber=1","087-611-13")</f>
        <v>087-611-13</v>
      </c>
      <c r="B4045" t="s">
        <v>4655</v>
      </c>
      <c r="C4045" t="s">
        <v>21719</v>
      </c>
      <c r="D4045" s="1">
        <v>40297</v>
      </c>
      <c r="E4045" s="2">
        <v>135000</v>
      </c>
      <c r="F4045" t="s">
        <v>4553</v>
      </c>
      <c r="G4045" s="17" t="str">
        <f>HYPERLINK("https://www.washoecounty.gov/assessor/cama/?command=sales&amp;parid=08761113","3876139")</f>
        <v>3876139</v>
      </c>
      <c r="H4045" t="s">
        <v>3062</v>
      </c>
      <c r="I4045">
        <v>2000</v>
      </c>
      <c r="J4045">
        <v>2000</v>
      </c>
      <c r="K4045" t="s">
        <v>4554</v>
      </c>
      <c r="L4045" t="s">
        <v>4555</v>
      </c>
      <c r="M4045" s="2">
        <v>1453</v>
      </c>
      <c r="N4045" t="s">
        <v>4556</v>
      </c>
      <c r="O4045">
        <v>2</v>
      </c>
      <c r="P4045">
        <v>2</v>
      </c>
      <c r="Q4045">
        <v>0</v>
      </c>
      <c r="R4045" t="s">
        <v>5281</v>
      </c>
      <c r="S4045" t="s">
        <v>4558</v>
      </c>
      <c r="T4045" t="s">
        <v>4559</v>
      </c>
      <c r="U4045" t="s">
        <v>4560</v>
      </c>
      <c r="V4045" s="2">
        <v>455</v>
      </c>
      <c r="W4045" t="s">
        <v>4655</v>
      </c>
      <c r="X4045" s="2">
        <v>0</v>
      </c>
      <c r="Y4045">
        <v>20</v>
      </c>
      <c r="Z4045" t="s">
        <v>5508</v>
      </c>
      <c r="AA4045" s="3">
        <v>0.21400366723537401</v>
      </c>
      <c r="AB4045" t="s">
        <v>21720</v>
      </c>
      <c r="AC4045" t="s">
        <v>4575</v>
      </c>
      <c r="AD4045" t="s">
        <v>21721</v>
      </c>
      <c r="AE4045" t="s">
        <v>4655</v>
      </c>
      <c r="AF4045" t="s">
        <v>3114</v>
      </c>
      <c r="AG4045" t="s">
        <v>4564</v>
      </c>
      <c r="AH4045">
        <v>89508</v>
      </c>
      <c r="AI4045" t="s">
        <v>359</v>
      </c>
      <c r="AJ4045" t="s">
        <v>3063</v>
      </c>
      <c r="AK4045" t="s">
        <v>21722</v>
      </c>
      <c r="AL4045" s="13" t="s">
        <v>1892</v>
      </c>
      <c r="AM4045">
        <v>1</v>
      </c>
      <c r="AN4045" s="15" t="s">
        <v>2051</v>
      </c>
    </row>
    <row r="4046" spans="1:40" x14ac:dyDescent="0.3">
      <c r="A4046" s="10" t="str">
        <f>HYPERLINK("http://www.washoecounty.gov/assessor/cama/?parid=087-611-16&amp;CardNumber=1","087-611-16")</f>
        <v>087-611-16</v>
      </c>
      <c r="B4046" t="s">
        <v>4655</v>
      </c>
      <c r="C4046" t="s">
        <v>21723</v>
      </c>
      <c r="D4046" s="1">
        <v>40381</v>
      </c>
      <c r="E4046" s="2">
        <v>115000</v>
      </c>
      <c r="F4046" t="s">
        <v>4567</v>
      </c>
      <c r="G4046" s="17" t="str">
        <f>HYPERLINK("https://www.washoecounty.gov/assessor/cama/?command=sales&amp;parid=08761116","3903974")</f>
        <v>3903974</v>
      </c>
      <c r="H4046" t="s">
        <v>3062</v>
      </c>
      <c r="I4046">
        <v>2000</v>
      </c>
      <c r="J4046">
        <v>2000</v>
      </c>
      <c r="K4046" t="s">
        <v>4554</v>
      </c>
      <c r="L4046" t="s">
        <v>4555</v>
      </c>
      <c r="M4046" s="2">
        <v>1273</v>
      </c>
      <c r="N4046" t="s">
        <v>4556</v>
      </c>
      <c r="O4046">
        <v>3</v>
      </c>
      <c r="P4046">
        <v>2</v>
      </c>
      <c r="Q4046">
        <v>0</v>
      </c>
      <c r="R4046" t="s">
        <v>5281</v>
      </c>
      <c r="S4046" t="s">
        <v>4558</v>
      </c>
      <c r="T4046" t="s">
        <v>4559</v>
      </c>
      <c r="U4046" t="s">
        <v>4560</v>
      </c>
      <c r="V4046" s="2">
        <v>415</v>
      </c>
      <c r="W4046" t="s">
        <v>4655</v>
      </c>
      <c r="X4046" s="2">
        <v>0</v>
      </c>
      <c r="Y4046">
        <v>20</v>
      </c>
      <c r="Z4046" t="s">
        <v>5508</v>
      </c>
      <c r="AA4046" s="3">
        <v>0.28599631786346436</v>
      </c>
      <c r="AB4046" t="s">
        <v>21724</v>
      </c>
      <c r="AC4046" t="s">
        <v>4575</v>
      </c>
      <c r="AD4046" t="s">
        <v>21723</v>
      </c>
      <c r="AE4046" t="s">
        <v>4655</v>
      </c>
      <c r="AF4046" t="s">
        <v>4563</v>
      </c>
      <c r="AG4046" t="s">
        <v>4564</v>
      </c>
      <c r="AH4046">
        <v>89508</v>
      </c>
      <c r="AI4046" t="s">
        <v>21725</v>
      </c>
      <c r="AJ4046" t="s">
        <v>3063</v>
      </c>
      <c r="AK4046" t="s">
        <v>21726</v>
      </c>
      <c r="AL4046" s="13" t="s">
        <v>1892</v>
      </c>
      <c r="AM4046">
        <v>1</v>
      </c>
      <c r="AN4046" s="15" t="s">
        <v>2051</v>
      </c>
    </row>
    <row r="4047" spans="1:40" x14ac:dyDescent="0.3">
      <c r="A4047" s="10" t="str">
        <f>HYPERLINK("http://www.washoecounty.gov/assessor/cama/?parid=087-612-07&amp;CardNumber=1","087-612-07")</f>
        <v>087-612-07</v>
      </c>
      <c r="B4047" t="s">
        <v>4655</v>
      </c>
      <c r="C4047" t="s">
        <v>21727</v>
      </c>
      <c r="D4047" s="1">
        <v>40319</v>
      </c>
      <c r="E4047" s="2">
        <v>109000</v>
      </c>
      <c r="F4047" t="s">
        <v>4553</v>
      </c>
      <c r="G4047" s="17" t="str">
        <f>HYPERLINK("https://www.washoecounty.gov/assessor/cama/?command=sales&amp;parid=08761207","3883986")</f>
        <v>3883986</v>
      </c>
      <c r="H4047" t="s">
        <v>3062</v>
      </c>
      <c r="I4047">
        <v>2000</v>
      </c>
      <c r="J4047">
        <v>2000</v>
      </c>
      <c r="K4047" t="s">
        <v>4554</v>
      </c>
      <c r="L4047" t="s">
        <v>4555</v>
      </c>
      <c r="M4047" s="2">
        <v>1008</v>
      </c>
      <c r="N4047" t="s">
        <v>4556</v>
      </c>
      <c r="O4047">
        <v>3</v>
      </c>
      <c r="P4047">
        <v>2</v>
      </c>
      <c r="Q4047">
        <v>0</v>
      </c>
      <c r="R4047" t="s">
        <v>5281</v>
      </c>
      <c r="S4047" t="s">
        <v>4558</v>
      </c>
      <c r="T4047" t="s">
        <v>4559</v>
      </c>
      <c r="U4047" t="s">
        <v>4560</v>
      </c>
      <c r="V4047" s="2">
        <v>400</v>
      </c>
      <c r="W4047" t="s">
        <v>4655</v>
      </c>
      <c r="X4047" s="2">
        <v>0</v>
      </c>
      <c r="Y4047">
        <v>20</v>
      </c>
      <c r="Z4047" t="s">
        <v>5508</v>
      </c>
      <c r="AA4047" s="3">
        <v>0.19100092351436601</v>
      </c>
      <c r="AB4047" t="s">
        <v>21728</v>
      </c>
      <c r="AC4047" t="s">
        <v>4562</v>
      </c>
      <c r="AD4047" t="s">
        <v>21727</v>
      </c>
      <c r="AE4047" t="s">
        <v>4655</v>
      </c>
      <c r="AF4047" t="s">
        <v>4563</v>
      </c>
      <c r="AG4047" t="s">
        <v>4564</v>
      </c>
      <c r="AH4047">
        <v>89506</v>
      </c>
      <c r="AI4047" t="s">
        <v>4045</v>
      </c>
      <c r="AJ4047" t="s">
        <v>3063</v>
      </c>
      <c r="AK4047" t="s">
        <v>21729</v>
      </c>
      <c r="AL4047" s="13" t="s">
        <v>1892</v>
      </c>
      <c r="AM4047">
        <v>1</v>
      </c>
      <c r="AN4047" s="15" t="s">
        <v>2051</v>
      </c>
    </row>
    <row r="4048" spans="1:40" x14ac:dyDescent="0.3">
      <c r="A4048" s="10" t="str">
        <f>HYPERLINK("http://www.washoecounty.gov/assessor/cama/?parid=087-621-01&amp;CardNumber=1","087-621-01")</f>
        <v>087-621-01</v>
      </c>
      <c r="B4048" t="s">
        <v>4655</v>
      </c>
      <c r="C4048" t="s">
        <v>21730</v>
      </c>
      <c r="D4048" s="1">
        <v>40269</v>
      </c>
      <c r="E4048" s="2">
        <v>118500</v>
      </c>
      <c r="F4048" t="s">
        <v>4567</v>
      </c>
      <c r="G4048" s="17" t="str">
        <f>HYPERLINK("https://www.washoecounty.gov/assessor/cama/?command=sales&amp;parid=08762101","3866826")</f>
        <v>3866826</v>
      </c>
      <c r="H4048" t="s">
        <v>3062</v>
      </c>
      <c r="I4048">
        <v>2000</v>
      </c>
      <c r="J4048">
        <v>2000</v>
      </c>
      <c r="K4048" t="s">
        <v>4554</v>
      </c>
      <c r="L4048" t="s">
        <v>4555</v>
      </c>
      <c r="M4048" s="2">
        <v>1453</v>
      </c>
      <c r="N4048" t="s">
        <v>4556</v>
      </c>
      <c r="O4048">
        <v>3</v>
      </c>
      <c r="P4048">
        <v>2</v>
      </c>
      <c r="Q4048">
        <v>0</v>
      </c>
      <c r="R4048" t="s">
        <v>5281</v>
      </c>
      <c r="S4048" t="s">
        <v>4558</v>
      </c>
      <c r="T4048" t="s">
        <v>4559</v>
      </c>
      <c r="U4048" t="s">
        <v>4560</v>
      </c>
      <c r="V4048" s="2">
        <v>455</v>
      </c>
      <c r="W4048" t="s">
        <v>4655</v>
      </c>
      <c r="X4048" s="2">
        <v>0</v>
      </c>
      <c r="Y4048">
        <v>20</v>
      </c>
      <c r="Z4048" t="s">
        <v>5508</v>
      </c>
      <c r="AA4048" s="3">
        <v>0.176010102033615</v>
      </c>
      <c r="AB4048" t="s">
        <v>21731</v>
      </c>
      <c r="AC4048" t="s">
        <v>4562</v>
      </c>
      <c r="AD4048" t="s">
        <v>21732</v>
      </c>
      <c r="AE4048" t="s">
        <v>4655</v>
      </c>
      <c r="AF4048" t="s">
        <v>4563</v>
      </c>
      <c r="AG4048" t="s">
        <v>4564</v>
      </c>
      <c r="AH4048">
        <v>89508</v>
      </c>
      <c r="AI4048" t="s">
        <v>21733</v>
      </c>
      <c r="AJ4048" t="s">
        <v>3063</v>
      </c>
      <c r="AK4048" t="s">
        <v>21734</v>
      </c>
      <c r="AL4048" s="13" t="s">
        <v>1892</v>
      </c>
      <c r="AM4048">
        <v>1</v>
      </c>
      <c r="AN4048" s="15" t="s">
        <v>2051</v>
      </c>
    </row>
    <row r="4049" spans="1:40" x14ac:dyDescent="0.3">
      <c r="A4049" s="10" t="str">
        <f>HYPERLINK("http://www.washoecounty.gov/assessor/cama/?parid=087-631-02&amp;CardNumber=1","087-631-02")</f>
        <v>087-631-02</v>
      </c>
      <c r="B4049" t="s">
        <v>4655</v>
      </c>
      <c r="C4049" t="s">
        <v>21735</v>
      </c>
      <c r="D4049" s="1">
        <v>40203</v>
      </c>
      <c r="E4049" s="2">
        <v>138000</v>
      </c>
      <c r="F4049" t="s">
        <v>4553</v>
      </c>
      <c r="G4049" s="17" t="str">
        <f>HYPERLINK("https://www.washoecounty.gov/assessor/cama/?command=sales&amp;parid=08763102","3842320")</f>
        <v>3842320</v>
      </c>
      <c r="H4049" t="s">
        <v>3062</v>
      </c>
      <c r="I4049">
        <v>2000</v>
      </c>
      <c r="J4049">
        <v>2000</v>
      </c>
      <c r="K4049" t="s">
        <v>4554</v>
      </c>
      <c r="L4049" t="s">
        <v>4555</v>
      </c>
      <c r="M4049" s="2">
        <v>1695</v>
      </c>
      <c r="N4049" t="s">
        <v>4556</v>
      </c>
      <c r="O4049">
        <v>3</v>
      </c>
      <c r="P4049">
        <v>2</v>
      </c>
      <c r="Q4049">
        <v>0</v>
      </c>
      <c r="R4049" t="s">
        <v>5281</v>
      </c>
      <c r="S4049" t="s">
        <v>4558</v>
      </c>
      <c r="T4049" t="s">
        <v>4559</v>
      </c>
      <c r="U4049" t="s">
        <v>4560</v>
      </c>
      <c r="V4049" s="2">
        <v>576</v>
      </c>
      <c r="W4049" t="s">
        <v>4655</v>
      </c>
      <c r="X4049" s="2">
        <v>0</v>
      </c>
      <c r="Y4049">
        <v>20</v>
      </c>
      <c r="Z4049" t="s">
        <v>5508</v>
      </c>
      <c r="AA4049" s="3">
        <v>0.18000459671020499</v>
      </c>
      <c r="AB4049" t="s">
        <v>21736</v>
      </c>
      <c r="AC4049" t="s">
        <v>4562</v>
      </c>
      <c r="AD4049" t="s">
        <v>21735</v>
      </c>
      <c r="AE4049" t="s">
        <v>4655</v>
      </c>
      <c r="AF4049" t="s">
        <v>4563</v>
      </c>
      <c r="AG4049" t="s">
        <v>4564</v>
      </c>
      <c r="AH4049">
        <v>89508</v>
      </c>
      <c r="AI4049" t="s">
        <v>21737</v>
      </c>
      <c r="AJ4049" t="s">
        <v>3063</v>
      </c>
      <c r="AK4049" t="s">
        <v>21738</v>
      </c>
      <c r="AL4049" s="13" t="s">
        <v>1892</v>
      </c>
      <c r="AM4049">
        <v>1</v>
      </c>
      <c r="AN4049" s="15" t="s">
        <v>2051</v>
      </c>
    </row>
    <row r="4050" spans="1:40" x14ac:dyDescent="0.3">
      <c r="A4050" s="10" t="str">
        <f>HYPERLINK("http://www.washoecounty.gov/assessor/cama/?parid=087-651-19&amp;CardNumber=1","087-651-19")</f>
        <v>087-651-19</v>
      </c>
      <c r="B4050" t="s">
        <v>4655</v>
      </c>
      <c r="C4050" t="s">
        <v>21739</v>
      </c>
      <c r="D4050" s="1">
        <v>40444</v>
      </c>
      <c r="E4050" s="2">
        <v>107712</v>
      </c>
      <c r="F4050" t="s">
        <v>4567</v>
      </c>
      <c r="G4050" s="17" t="str">
        <f>HYPERLINK("https://www.washoecounty.gov/assessor/cama/?command=sales&amp;parid=08765119","3925548")</f>
        <v>3925548</v>
      </c>
      <c r="H4050" t="s">
        <v>943</v>
      </c>
      <c r="I4050">
        <v>2001</v>
      </c>
      <c r="J4050">
        <v>2001</v>
      </c>
      <c r="K4050" t="s">
        <v>4554</v>
      </c>
      <c r="L4050" t="s">
        <v>4555</v>
      </c>
      <c r="M4050" s="2">
        <v>1008</v>
      </c>
      <c r="N4050" t="s">
        <v>4556</v>
      </c>
      <c r="O4050">
        <v>3</v>
      </c>
      <c r="P4050">
        <v>2</v>
      </c>
      <c r="Q4050">
        <v>0</v>
      </c>
      <c r="R4050" t="s">
        <v>4557</v>
      </c>
      <c r="S4050" t="s">
        <v>4558</v>
      </c>
      <c r="T4050" t="s">
        <v>4559</v>
      </c>
      <c r="U4050" t="s">
        <v>4560</v>
      </c>
      <c r="V4050" s="2">
        <v>640</v>
      </c>
      <c r="W4050" t="s">
        <v>4655</v>
      </c>
      <c r="X4050" s="2">
        <v>0</v>
      </c>
      <c r="Y4050">
        <v>20</v>
      </c>
      <c r="Z4050" t="s">
        <v>5508</v>
      </c>
      <c r="AA4050" s="3">
        <v>0.19343434274196625</v>
      </c>
      <c r="AB4050" t="s">
        <v>21740</v>
      </c>
      <c r="AC4050" t="s">
        <v>4562</v>
      </c>
      <c r="AD4050" t="s">
        <v>21739</v>
      </c>
      <c r="AE4050" t="s">
        <v>4655</v>
      </c>
      <c r="AF4050" t="s">
        <v>4563</v>
      </c>
      <c r="AG4050" t="s">
        <v>4564</v>
      </c>
      <c r="AH4050">
        <v>89508</v>
      </c>
      <c r="AI4050" t="s">
        <v>4655</v>
      </c>
      <c r="AJ4050" t="s">
        <v>936</v>
      </c>
      <c r="AK4050" t="s">
        <v>21741</v>
      </c>
      <c r="AL4050" s="13" t="s">
        <v>1892</v>
      </c>
      <c r="AM4050">
        <v>1</v>
      </c>
      <c r="AN4050" s="15" t="s">
        <v>2051</v>
      </c>
    </row>
    <row r="4051" spans="1:40" x14ac:dyDescent="0.3">
      <c r="A4051" s="10" t="str">
        <f>HYPERLINK("http://www.washoecounty.gov/assessor/cama/?parid=087-651-33&amp;CardNumber=1","087-651-33")</f>
        <v>087-651-33</v>
      </c>
      <c r="B4051" t="s">
        <v>4655</v>
      </c>
      <c r="C4051" t="s">
        <v>21742</v>
      </c>
      <c r="D4051" s="1">
        <v>40396</v>
      </c>
      <c r="E4051" s="2">
        <v>130000</v>
      </c>
      <c r="F4051" t="s">
        <v>4553</v>
      </c>
      <c r="G4051" s="17" t="str">
        <f>HYPERLINK("https://www.washoecounty.gov/assessor/cama/?command=sales&amp;parid=08765133","3909523")</f>
        <v>3909523</v>
      </c>
      <c r="H4051" t="s">
        <v>943</v>
      </c>
      <c r="I4051">
        <v>2000</v>
      </c>
      <c r="J4051">
        <v>2000</v>
      </c>
      <c r="K4051" t="s">
        <v>4554</v>
      </c>
      <c r="L4051" t="s">
        <v>4555</v>
      </c>
      <c r="M4051" s="2">
        <v>1696</v>
      </c>
      <c r="N4051" t="s">
        <v>4556</v>
      </c>
      <c r="O4051">
        <v>3</v>
      </c>
      <c r="P4051">
        <v>2</v>
      </c>
      <c r="Q4051">
        <v>0</v>
      </c>
      <c r="R4051" t="s">
        <v>5281</v>
      </c>
      <c r="S4051" t="s">
        <v>4558</v>
      </c>
      <c r="T4051" t="s">
        <v>4559</v>
      </c>
      <c r="U4051" t="s">
        <v>4560</v>
      </c>
      <c r="V4051" s="2">
        <v>576</v>
      </c>
      <c r="W4051" t="s">
        <v>4655</v>
      </c>
      <c r="X4051" s="2">
        <v>0</v>
      </c>
      <c r="Y4051">
        <v>20</v>
      </c>
      <c r="Z4051" t="s">
        <v>5508</v>
      </c>
      <c r="AA4051" s="3">
        <v>0.16400367021560699</v>
      </c>
      <c r="AB4051" t="s">
        <v>21743</v>
      </c>
      <c r="AC4051" t="s">
        <v>4562</v>
      </c>
      <c r="AD4051" t="s">
        <v>21744</v>
      </c>
      <c r="AE4051" t="s">
        <v>4655</v>
      </c>
      <c r="AF4051" t="s">
        <v>4563</v>
      </c>
      <c r="AG4051" t="s">
        <v>4564</v>
      </c>
      <c r="AH4051">
        <v>89506</v>
      </c>
      <c r="AI4051" t="s">
        <v>4655</v>
      </c>
      <c r="AJ4051" t="s">
        <v>936</v>
      </c>
      <c r="AK4051" t="s">
        <v>21745</v>
      </c>
      <c r="AL4051" s="13" t="s">
        <v>1892</v>
      </c>
      <c r="AM4051">
        <v>1</v>
      </c>
      <c r="AN4051" s="15" t="s">
        <v>2051</v>
      </c>
    </row>
    <row r="4052" spans="1:40" x14ac:dyDescent="0.3">
      <c r="A4052" s="10" t="str">
        <f>HYPERLINK("http://www.washoecounty.gov/assessor/cama/?parid=087-661-03&amp;CardNumber=1","087-661-03")</f>
        <v>087-661-03</v>
      </c>
      <c r="B4052" t="s">
        <v>4655</v>
      </c>
      <c r="C4052" t="s">
        <v>21746</v>
      </c>
      <c r="D4052" s="1">
        <v>40343</v>
      </c>
      <c r="E4052" s="2">
        <v>129900</v>
      </c>
      <c r="F4052" t="s">
        <v>4553</v>
      </c>
      <c r="G4052" s="17" t="str">
        <f>HYPERLINK("https://www.washoecounty.gov/assessor/cama/?command=sales&amp;parid=08766103","3891525")</f>
        <v>3891525</v>
      </c>
      <c r="H4052" t="s">
        <v>2303</v>
      </c>
      <c r="I4052">
        <v>2001</v>
      </c>
      <c r="J4052">
        <v>2001</v>
      </c>
      <c r="K4052" t="s">
        <v>4554</v>
      </c>
      <c r="L4052" t="s">
        <v>4555</v>
      </c>
      <c r="M4052" s="2">
        <v>1792</v>
      </c>
      <c r="N4052" t="s">
        <v>4556</v>
      </c>
      <c r="O4052">
        <v>4</v>
      </c>
      <c r="P4052">
        <v>2</v>
      </c>
      <c r="Q4052">
        <v>0</v>
      </c>
      <c r="R4052" t="s">
        <v>4557</v>
      </c>
      <c r="S4052" t="s">
        <v>4558</v>
      </c>
      <c r="T4052" t="s">
        <v>4559</v>
      </c>
      <c r="U4052" t="s">
        <v>4560</v>
      </c>
      <c r="V4052" s="2">
        <v>480</v>
      </c>
      <c r="W4052" t="s">
        <v>4655</v>
      </c>
      <c r="X4052" s="2">
        <v>0</v>
      </c>
      <c r="Y4052">
        <v>20</v>
      </c>
      <c r="Z4052" t="s">
        <v>5508</v>
      </c>
      <c r="AA4052" s="3">
        <v>0.17215335369110099</v>
      </c>
      <c r="AB4052" t="s">
        <v>21747</v>
      </c>
      <c r="AC4052" t="s">
        <v>4562</v>
      </c>
      <c r="AD4052" t="s">
        <v>21748</v>
      </c>
      <c r="AE4052" t="s">
        <v>4655</v>
      </c>
      <c r="AF4052" t="s">
        <v>4563</v>
      </c>
      <c r="AG4052" t="s">
        <v>4564</v>
      </c>
      <c r="AH4052">
        <v>89508</v>
      </c>
      <c r="AI4052" t="s">
        <v>1267</v>
      </c>
      <c r="AJ4052" t="s">
        <v>2304</v>
      </c>
      <c r="AK4052" t="s">
        <v>21749</v>
      </c>
      <c r="AL4052" s="13" t="s">
        <v>1892</v>
      </c>
      <c r="AM4052" s="14">
        <v>1</v>
      </c>
      <c r="AN4052" s="15" t="s">
        <v>2051</v>
      </c>
    </row>
    <row r="4053" spans="1:40" x14ac:dyDescent="0.3">
      <c r="A4053" s="10" t="str">
        <f>HYPERLINK("http://www.washoecounty.gov/assessor/cama/?parid=087-661-10&amp;CardNumber=1","087-661-10")</f>
        <v>087-661-10</v>
      </c>
      <c r="B4053" t="s">
        <v>4655</v>
      </c>
      <c r="C4053" t="s">
        <v>21750</v>
      </c>
      <c r="D4053" s="1">
        <v>40353</v>
      </c>
      <c r="E4053" s="2">
        <v>114900</v>
      </c>
      <c r="F4053" t="s">
        <v>4553</v>
      </c>
      <c r="G4053" s="17" t="str">
        <f>HYPERLINK("https://www.washoecounty.gov/assessor/cama/?command=sales&amp;parid=08766110","3895171")</f>
        <v>3895171</v>
      </c>
      <c r="H4053" t="s">
        <v>2303</v>
      </c>
      <c r="I4053">
        <v>2001</v>
      </c>
      <c r="J4053">
        <v>2001</v>
      </c>
      <c r="K4053" t="s">
        <v>4554</v>
      </c>
      <c r="L4053" t="s">
        <v>4555</v>
      </c>
      <c r="M4053" s="2">
        <v>1040</v>
      </c>
      <c r="N4053" t="s">
        <v>4556</v>
      </c>
      <c r="O4053">
        <v>3</v>
      </c>
      <c r="P4053">
        <v>2</v>
      </c>
      <c r="Q4053">
        <v>0</v>
      </c>
      <c r="R4053" t="s">
        <v>5281</v>
      </c>
      <c r="S4053" t="s">
        <v>4558</v>
      </c>
      <c r="T4053" t="s">
        <v>4559</v>
      </c>
      <c r="U4053" t="s">
        <v>4560</v>
      </c>
      <c r="V4053" s="2">
        <v>400</v>
      </c>
      <c r="W4053" t="s">
        <v>4655</v>
      </c>
      <c r="X4053" s="2">
        <v>0</v>
      </c>
      <c r="Y4053">
        <v>20</v>
      </c>
      <c r="Z4053" t="s">
        <v>5508</v>
      </c>
      <c r="AA4053" s="3">
        <v>0.15426997840404499</v>
      </c>
      <c r="AB4053" t="s">
        <v>21751</v>
      </c>
      <c r="AC4053" t="s">
        <v>4575</v>
      </c>
      <c r="AD4053" t="s">
        <v>21750</v>
      </c>
      <c r="AE4053" t="s">
        <v>4655</v>
      </c>
      <c r="AF4053" t="s">
        <v>4563</v>
      </c>
      <c r="AG4053" t="s">
        <v>4564</v>
      </c>
      <c r="AH4053">
        <v>89506</v>
      </c>
      <c r="AI4053" t="s">
        <v>21752</v>
      </c>
      <c r="AJ4053" t="s">
        <v>2304</v>
      </c>
      <c r="AK4053" t="s">
        <v>21753</v>
      </c>
      <c r="AL4053" s="13" t="s">
        <v>1892</v>
      </c>
      <c r="AM4053" s="14">
        <v>1</v>
      </c>
      <c r="AN4053" s="15" t="s">
        <v>2051</v>
      </c>
    </row>
    <row r="4054" spans="1:40" x14ac:dyDescent="0.3">
      <c r="A4054" s="10" t="str">
        <f>HYPERLINK("http://www.washoecounty.gov/assessor/cama/?parid=087-661-16&amp;CardNumber=1","087-661-16")</f>
        <v>087-661-16</v>
      </c>
      <c r="B4054" t="s">
        <v>4655</v>
      </c>
      <c r="C4054" t="s">
        <v>21754</v>
      </c>
      <c r="D4054" s="1">
        <v>40451</v>
      </c>
      <c r="E4054" s="2">
        <v>99900</v>
      </c>
      <c r="F4054" t="s">
        <v>4553</v>
      </c>
      <c r="G4054" s="17" t="str">
        <f>HYPERLINK("https://www.washoecounty.gov/assessor/cama/?command=sales&amp;parid=08766116","3928155")</f>
        <v>3928155</v>
      </c>
      <c r="H4054" t="s">
        <v>2303</v>
      </c>
      <c r="I4054">
        <v>2001</v>
      </c>
      <c r="J4054">
        <v>2001</v>
      </c>
      <c r="K4054" t="s">
        <v>4554</v>
      </c>
      <c r="L4054" t="s">
        <v>4555</v>
      </c>
      <c r="M4054" s="2">
        <v>1297</v>
      </c>
      <c r="N4054" t="s">
        <v>4556</v>
      </c>
      <c r="O4054">
        <v>3</v>
      </c>
      <c r="P4054">
        <v>2</v>
      </c>
      <c r="Q4054">
        <v>0</v>
      </c>
      <c r="R4054" t="s">
        <v>5281</v>
      </c>
      <c r="S4054" t="s">
        <v>4558</v>
      </c>
      <c r="T4054" t="s">
        <v>4559</v>
      </c>
      <c r="U4054" t="s">
        <v>4560</v>
      </c>
      <c r="V4054" s="2">
        <v>495</v>
      </c>
      <c r="W4054" t="s">
        <v>4655</v>
      </c>
      <c r="X4054" s="2">
        <v>0</v>
      </c>
      <c r="Y4054">
        <v>20</v>
      </c>
      <c r="Z4054" t="s">
        <v>5508</v>
      </c>
      <c r="AA4054" s="3">
        <v>0.20987144112587</v>
      </c>
      <c r="AB4054" t="s">
        <v>21755</v>
      </c>
      <c r="AC4054" t="s">
        <v>4575</v>
      </c>
      <c r="AD4054" t="s">
        <v>21756</v>
      </c>
      <c r="AE4054" t="s">
        <v>4655</v>
      </c>
      <c r="AF4054" t="s">
        <v>4563</v>
      </c>
      <c r="AG4054" t="s">
        <v>4564</v>
      </c>
      <c r="AH4054">
        <v>89508</v>
      </c>
      <c r="AI4054" t="s">
        <v>21757</v>
      </c>
      <c r="AJ4054" t="s">
        <v>2304</v>
      </c>
      <c r="AK4054" t="s">
        <v>21758</v>
      </c>
      <c r="AL4054" s="13" t="s">
        <v>1892</v>
      </c>
      <c r="AM4054">
        <v>1</v>
      </c>
      <c r="AN4054" s="15" t="s">
        <v>2051</v>
      </c>
    </row>
    <row r="4055" spans="1:40" x14ac:dyDescent="0.3">
      <c r="A4055" s="10" t="str">
        <f>HYPERLINK("http://www.washoecounty.gov/assessor/cama/?parid=087-661-24&amp;CardNumber=1","087-661-24")</f>
        <v>087-661-24</v>
      </c>
      <c r="B4055" t="s">
        <v>4655</v>
      </c>
      <c r="C4055" t="s">
        <v>21759</v>
      </c>
      <c r="D4055" s="1">
        <v>40343</v>
      </c>
      <c r="E4055" s="2">
        <v>119500</v>
      </c>
      <c r="F4055" t="s">
        <v>4567</v>
      </c>
      <c r="G4055" s="17" t="str">
        <f>HYPERLINK("https://www.washoecounty.gov/assessor/cama/?command=sales&amp;parid=08766124","3891371")</f>
        <v>3891371</v>
      </c>
      <c r="H4055" t="s">
        <v>2303</v>
      </c>
      <c r="I4055">
        <v>2001</v>
      </c>
      <c r="J4055">
        <v>2001</v>
      </c>
      <c r="K4055" t="s">
        <v>4554</v>
      </c>
      <c r="L4055" t="s">
        <v>4555</v>
      </c>
      <c r="M4055" s="2">
        <v>1457</v>
      </c>
      <c r="N4055" t="s">
        <v>4556</v>
      </c>
      <c r="O4055">
        <v>3</v>
      </c>
      <c r="P4055">
        <v>2</v>
      </c>
      <c r="Q4055">
        <v>0</v>
      </c>
      <c r="R4055" t="s">
        <v>5281</v>
      </c>
      <c r="S4055" t="s">
        <v>4558</v>
      </c>
      <c r="T4055" t="s">
        <v>4559</v>
      </c>
      <c r="U4055" t="s">
        <v>4560</v>
      </c>
      <c r="V4055" s="2">
        <v>495</v>
      </c>
      <c r="W4055" t="s">
        <v>4655</v>
      </c>
      <c r="X4055" s="2">
        <v>0</v>
      </c>
      <c r="Y4055">
        <v>20</v>
      </c>
      <c r="Z4055" t="s">
        <v>5508</v>
      </c>
      <c r="AA4055" s="3">
        <v>0.16138659417629242</v>
      </c>
      <c r="AB4055" t="s">
        <v>21760</v>
      </c>
      <c r="AC4055" t="s">
        <v>4562</v>
      </c>
      <c r="AD4055" t="s">
        <v>21761</v>
      </c>
      <c r="AE4055" t="s">
        <v>4655</v>
      </c>
      <c r="AF4055" t="s">
        <v>4563</v>
      </c>
      <c r="AG4055" t="s">
        <v>4564</v>
      </c>
      <c r="AH4055">
        <v>89508</v>
      </c>
      <c r="AI4055" t="s">
        <v>21762</v>
      </c>
      <c r="AJ4055" t="s">
        <v>2304</v>
      </c>
      <c r="AK4055" t="s">
        <v>21763</v>
      </c>
      <c r="AL4055" s="13" t="s">
        <v>1892</v>
      </c>
      <c r="AM4055" s="14">
        <v>1</v>
      </c>
      <c r="AN4055" s="15" t="s">
        <v>2051</v>
      </c>
    </row>
    <row r="4056" spans="1:40" x14ac:dyDescent="0.3">
      <c r="A4056" s="10" t="str">
        <f>HYPERLINK("http://www.washoecounty.gov/assessor/cama/?parid=087-661-30&amp;CardNumber=1","087-661-30")</f>
        <v>087-661-30</v>
      </c>
      <c r="B4056" t="s">
        <v>4655</v>
      </c>
      <c r="C4056" t="s">
        <v>21764</v>
      </c>
      <c r="D4056" s="1">
        <v>40451</v>
      </c>
      <c r="E4056" s="2">
        <v>149000</v>
      </c>
      <c r="F4056" t="s">
        <v>4553</v>
      </c>
      <c r="G4056" s="17" t="str">
        <f>HYPERLINK("https://www.washoecounty.gov/assessor/cama/?command=sales&amp;parid=08766130","3927891")</f>
        <v>3927891</v>
      </c>
      <c r="H4056" t="s">
        <v>2303</v>
      </c>
      <c r="I4056">
        <v>2001</v>
      </c>
      <c r="J4056">
        <v>2001</v>
      </c>
      <c r="K4056" t="s">
        <v>4554</v>
      </c>
      <c r="L4056" t="s">
        <v>3974</v>
      </c>
      <c r="M4056" s="2">
        <v>2320</v>
      </c>
      <c r="N4056" t="s">
        <v>4556</v>
      </c>
      <c r="O4056">
        <v>4</v>
      </c>
      <c r="P4056">
        <v>2</v>
      </c>
      <c r="Q4056">
        <v>1</v>
      </c>
      <c r="R4056" t="s">
        <v>4557</v>
      </c>
      <c r="S4056" t="s">
        <v>4558</v>
      </c>
      <c r="T4056" t="s">
        <v>4559</v>
      </c>
      <c r="U4056" t="s">
        <v>5631</v>
      </c>
      <c r="V4056" s="2">
        <v>480</v>
      </c>
      <c r="W4056" t="s">
        <v>4655</v>
      </c>
      <c r="X4056" s="2">
        <v>0</v>
      </c>
      <c r="Y4056">
        <v>20</v>
      </c>
      <c r="Z4056" t="s">
        <v>5508</v>
      </c>
      <c r="AA4056" s="3">
        <v>0.15107896924018899</v>
      </c>
      <c r="AB4056" t="s">
        <v>21765</v>
      </c>
      <c r="AC4056" t="s">
        <v>4562</v>
      </c>
      <c r="AD4056" t="s">
        <v>21766</v>
      </c>
      <c r="AE4056" t="s">
        <v>4655</v>
      </c>
      <c r="AF4056" t="s">
        <v>4563</v>
      </c>
      <c r="AG4056" t="s">
        <v>4564</v>
      </c>
      <c r="AH4056">
        <v>89508</v>
      </c>
      <c r="AI4056" t="s">
        <v>601</v>
      </c>
      <c r="AJ4056" t="s">
        <v>2304</v>
      </c>
      <c r="AK4056" t="s">
        <v>21767</v>
      </c>
      <c r="AL4056" s="13" t="s">
        <v>1892</v>
      </c>
      <c r="AM4056">
        <v>1</v>
      </c>
      <c r="AN4056" s="15" t="s">
        <v>2051</v>
      </c>
    </row>
    <row r="4057" spans="1:40" x14ac:dyDescent="0.3">
      <c r="A4057" s="10" t="str">
        <f>HYPERLINK("http://www.washoecounty.gov/assessor/cama/?parid=087-662-02&amp;CardNumber=1","087-662-02")</f>
        <v>087-662-02</v>
      </c>
      <c r="B4057" t="s">
        <v>4655</v>
      </c>
      <c r="C4057" t="s">
        <v>21768</v>
      </c>
      <c r="D4057" s="1">
        <v>40213</v>
      </c>
      <c r="E4057" s="2">
        <v>135000</v>
      </c>
      <c r="F4057" t="s">
        <v>4553</v>
      </c>
      <c r="G4057" s="17" t="str">
        <f>HYPERLINK("https://www.washoecounty.gov/assessor/cama/?command=sales&amp;parid=08766202","3846240")</f>
        <v>3846240</v>
      </c>
      <c r="H4057" t="s">
        <v>2303</v>
      </c>
      <c r="I4057">
        <v>2001</v>
      </c>
      <c r="J4057">
        <v>2001</v>
      </c>
      <c r="K4057" t="s">
        <v>4554</v>
      </c>
      <c r="L4057" t="s">
        <v>4555</v>
      </c>
      <c r="M4057" s="2">
        <v>1696</v>
      </c>
      <c r="N4057" t="s">
        <v>4556</v>
      </c>
      <c r="O4057">
        <v>3</v>
      </c>
      <c r="P4057">
        <v>2</v>
      </c>
      <c r="Q4057">
        <v>0</v>
      </c>
      <c r="R4057" t="s">
        <v>5281</v>
      </c>
      <c r="S4057" t="s">
        <v>4558</v>
      </c>
      <c r="T4057" t="s">
        <v>4559</v>
      </c>
      <c r="U4057" t="s">
        <v>4560</v>
      </c>
      <c r="V4057" s="2">
        <v>576</v>
      </c>
      <c r="W4057" t="s">
        <v>4655</v>
      </c>
      <c r="X4057" s="2">
        <v>0</v>
      </c>
      <c r="Y4057">
        <v>20</v>
      </c>
      <c r="Z4057" t="s">
        <v>5508</v>
      </c>
      <c r="AA4057" s="3">
        <v>0.16244260966777799</v>
      </c>
      <c r="AB4057" t="s">
        <v>21769</v>
      </c>
      <c r="AC4057" t="s">
        <v>4562</v>
      </c>
      <c r="AD4057" t="s">
        <v>21770</v>
      </c>
      <c r="AE4057" t="s">
        <v>4655</v>
      </c>
      <c r="AF4057" t="s">
        <v>4563</v>
      </c>
      <c r="AG4057" t="s">
        <v>4564</v>
      </c>
      <c r="AH4057">
        <v>89506</v>
      </c>
      <c r="AI4057" t="s">
        <v>17525</v>
      </c>
      <c r="AJ4057" t="s">
        <v>2304</v>
      </c>
      <c r="AK4057" t="s">
        <v>21771</v>
      </c>
      <c r="AL4057" s="13" t="s">
        <v>1892</v>
      </c>
      <c r="AM4057" s="14">
        <v>1</v>
      </c>
      <c r="AN4057" s="15" t="s">
        <v>2051</v>
      </c>
    </row>
    <row r="4058" spans="1:40" x14ac:dyDescent="0.3">
      <c r="A4058" s="10" t="str">
        <f>HYPERLINK("http://www.washoecounty.gov/assessor/cama/?parid=087-662-04&amp;CardNumber=1","087-662-04")</f>
        <v>087-662-04</v>
      </c>
      <c r="B4058" t="s">
        <v>4655</v>
      </c>
      <c r="C4058" t="s">
        <v>21772</v>
      </c>
      <c r="D4058" s="1">
        <v>40291</v>
      </c>
      <c r="E4058" s="2">
        <v>110000</v>
      </c>
      <c r="F4058" t="s">
        <v>4567</v>
      </c>
      <c r="G4058" s="17" t="str">
        <f>HYPERLINK("https://www.washoecounty.gov/assessor/cama/?command=sales&amp;parid=08766204","3873949")</f>
        <v>3873949</v>
      </c>
      <c r="H4058" t="s">
        <v>2303</v>
      </c>
      <c r="I4058">
        <v>2001</v>
      </c>
      <c r="J4058">
        <v>2001</v>
      </c>
      <c r="K4058" t="s">
        <v>4554</v>
      </c>
      <c r="L4058" t="s">
        <v>4555</v>
      </c>
      <c r="M4058" s="2">
        <v>1040</v>
      </c>
      <c r="N4058" t="s">
        <v>4556</v>
      </c>
      <c r="O4058">
        <v>3</v>
      </c>
      <c r="P4058">
        <v>2</v>
      </c>
      <c r="Q4058">
        <v>0</v>
      </c>
      <c r="R4058" t="s">
        <v>4557</v>
      </c>
      <c r="S4058" t="s">
        <v>4558</v>
      </c>
      <c r="T4058" t="s">
        <v>4559</v>
      </c>
      <c r="U4058" t="s">
        <v>4560</v>
      </c>
      <c r="V4058" s="2">
        <v>400</v>
      </c>
      <c r="W4058" t="s">
        <v>4655</v>
      </c>
      <c r="X4058" s="2">
        <v>0</v>
      </c>
      <c r="Y4058">
        <v>20</v>
      </c>
      <c r="Z4058" t="s">
        <v>5508</v>
      </c>
      <c r="AA4058" s="3">
        <v>0.13654729723930401</v>
      </c>
      <c r="AB4058" t="s">
        <v>21773</v>
      </c>
      <c r="AC4058" t="s">
        <v>4562</v>
      </c>
      <c r="AD4058" t="s">
        <v>21772</v>
      </c>
      <c r="AE4058" t="s">
        <v>4655</v>
      </c>
      <c r="AF4058" t="s">
        <v>4563</v>
      </c>
      <c r="AG4058" t="s">
        <v>4564</v>
      </c>
      <c r="AH4058">
        <v>89508</v>
      </c>
      <c r="AI4058" t="s">
        <v>21774</v>
      </c>
      <c r="AJ4058" t="s">
        <v>2304</v>
      </c>
      <c r="AK4058" t="s">
        <v>21775</v>
      </c>
      <c r="AL4058" s="13" t="s">
        <v>1892</v>
      </c>
      <c r="AM4058">
        <v>1</v>
      </c>
      <c r="AN4058" s="15" t="s">
        <v>2051</v>
      </c>
    </row>
    <row r="4059" spans="1:40" x14ac:dyDescent="0.3">
      <c r="A4059" s="10" t="str">
        <f>HYPERLINK("http://www.washoecounty.gov/assessor/cama/?parid=087-663-09&amp;CardNumber=1","087-663-09")</f>
        <v>087-663-09</v>
      </c>
      <c r="B4059" t="s">
        <v>4655</v>
      </c>
      <c r="C4059" t="s">
        <v>21776</v>
      </c>
      <c r="D4059" s="1">
        <v>40245</v>
      </c>
      <c r="E4059" s="2">
        <v>171900</v>
      </c>
      <c r="F4059" t="s">
        <v>4567</v>
      </c>
      <c r="G4059" s="17" t="str">
        <f>HYPERLINK("https://www.washoecounty.gov/assessor/cama/?command=sales&amp;parid=08766309","3856825")</f>
        <v>3856825</v>
      </c>
      <c r="H4059" t="s">
        <v>2303</v>
      </c>
      <c r="I4059">
        <v>2001</v>
      </c>
      <c r="J4059">
        <v>2001</v>
      </c>
      <c r="K4059" t="s">
        <v>4554</v>
      </c>
      <c r="L4059" t="s">
        <v>3974</v>
      </c>
      <c r="M4059" s="2">
        <v>2320</v>
      </c>
      <c r="N4059" t="s">
        <v>4556</v>
      </c>
      <c r="O4059">
        <v>4</v>
      </c>
      <c r="P4059">
        <v>2</v>
      </c>
      <c r="Q4059">
        <v>1</v>
      </c>
      <c r="R4059" t="s">
        <v>4557</v>
      </c>
      <c r="S4059" t="s">
        <v>4558</v>
      </c>
      <c r="T4059" t="s">
        <v>4559</v>
      </c>
      <c r="U4059" t="s">
        <v>5631</v>
      </c>
      <c r="V4059" s="2">
        <v>480</v>
      </c>
      <c r="W4059" t="s">
        <v>4655</v>
      </c>
      <c r="X4059" s="2">
        <v>0</v>
      </c>
      <c r="Y4059">
        <v>20</v>
      </c>
      <c r="Z4059" t="s">
        <v>5508</v>
      </c>
      <c r="AA4059" s="3">
        <v>0.15220385789871199</v>
      </c>
      <c r="AB4059" t="s">
        <v>21777</v>
      </c>
      <c r="AC4059" t="s">
        <v>4562</v>
      </c>
      <c r="AD4059" t="s">
        <v>21776</v>
      </c>
      <c r="AE4059" t="s">
        <v>4655</v>
      </c>
      <c r="AF4059" t="s">
        <v>4563</v>
      </c>
      <c r="AG4059" t="s">
        <v>4564</v>
      </c>
      <c r="AH4059">
        <v>89508</v>
      </c>
      <c r="AI4059" t="s">
        <v>21778</v>
      </c>
      <c r="AJ4059" t="s">
        <v>2304</v>
      </c>
      <c r="AK4059" t="s">
        <v>21779</v>
      </c>
      <c r="AL4059" s="13" t="s">
        <v>1892</v>
      </c>
      <c r="AM4059" s="14">
        <v>1</v>
      </c>
      <c r="AN4059" s="15" t="s">
        <v>2051</v>
      </c>
    </row>
    <row r="4060" spans="1:40" x14ac:dyDescent="0.3">
      <c r="A4060" s="10" t="str">
        <f>HYPERLINK("http://www.washoecounty.gov/assessor/cama/?parid=087-681-01&amp;CardNumber=1","087-681-01")</f>
        <v>087-681-01</v>
      </c>
      <c r="B4060" t="s">
        <v>4655</v>
      </c>
      <c r="C4060" t="s">
        <v>21780</v>
      </c>
      <c r="D4060" s="1">
        <v>40206</v>
      </c>
      <c r="E4060" s="2">
        <v>115000</v>
      </c>
      <c r="F4060" t="s">
        <v>4567</v>
      </c>
      <c r="G4060" s="17" t="str">
        <f>HYPERLINK("https://www.washoecounty.gov/assessor/cama/?command=sales&amp;parid=08768101","3843742")</f>
        <v>3843742</v>
      </c>
      <c r="H4060" t="s">
        <v>2305</v>
      </c>
      <c r="I4060">
        <v>2002</v>
      </c>
      <c r="J4060">
        <v>2002</v>
      </c>
      <c r="K4060" t="s">
        <v>4554</v>
      </c>
      <c r="L4060" t="s">
        <v>3974</v>
      </c>
      <c r="M4060" s="2">
        <v>1624</v>
      </c>
      <c r="N4060" t="s">
        <v>4556</v>
      </c>
      <c r="O4060">
        <v>3</v>
      </c>
      <c r="P4060">
        <v>2</v>
      </c>
      <c r="Q4060">
        <v>1</v>
      </c>
      <c r="R4060" t="s">
        <v>5281</v>
      </c>
      <c r="S4060" t="s">
        <v>4558</v>
      </c>
      <c r="T4060" t="s">
        <v>4559</v>
      </c>
      <c r="U4060" t="s">
        <v>4560</v>
      </c>
      <c r="V4060" s="2">
        <v>400</v>
      </c>
      <c r="W4060" t="s">
        <v>4655</v>
      </c>
      <c r="X4060" s="2">
        <v>0</v>
      </c>
      <c r="Y4060">
        <v>20</v>
      </c>
      <c r="Z4060" t="s">
        <v>5508</v>
      </c>
      <c r="AA4060" s="3">
        <v>0.21910008788108801</v>
      </c>
      <c r="AB4060" t="s">
        <v>21781</v>
      </c>
      <c r="AC4060" t="s">
        <v>4562</v>
      </c>
      <c r="AD4060" t="s">
        <v>21780</v>
      </c>
      <c r="AE4060" t="s">
        <v>4655</v>
      </c>
      <c r="AF4060" t="s">
        <v>4563</v>
      </c>
      <c r="AG4060" t="s">
        <v>4564</v>
      </c>
      <c r="AH4060">
        <v>89508</v>
      </c>
      <c r="AI4060" t="s">
        <v>21782</v>
      </c>
      <c r="AJ4060" t="s">
        <v>4655</v>
      </c>
      <c r="AK4060" t="s">
        <v>21783</v>
      </c>
      <c r="AL4060" s="13" t="s">
        <v>1892</v>
      </c>
      <c r="AM4060" s="14">
        <v>1</v>
      </c>
      <c r="AN4060" s="15" t="s">
        <v>2051</v>
      </c>
    </row>
    <row r="4061" spans="1:40" x14ac:dyDescent="0.3">
      <c r="A4061" s="10" t="str">
        <f>HYPERLINK("http://www.washoecounty.gov/assessor/cama/?parid=087-681-04&amp;CardNumber=1","087-681-04")</f>
        <v>087-681-04</v>
      </c>
      <c r="B4061" t="s">
        <v>4655</v>
      </c>
      <c r="C4061" t="s">
        <v>21784</v>
      </c>
      <c r="D4061" s="1">
        <v>40261</v>
      </c>
      <c r="E4061" s="2">
        <v>97000</v>
      </c>
      <c r="F4061" t="s">
        <v>4553</v>
      </c>
      <c r="G4061" s="17" t="str">
        <f>HYPERLINK("https://www.washoecounty.gov/assessor/cama/?command=sales&amp;parid=08768104","3863599")</f>
        <v>3863599</v>
      </c>
      <c r="H4061" t="s">
        <v>2305</v>
      </c>
      <c r="I4061">
        <v>2002</v>
      </c>
      <c r="J4061">
        <v>2002</v>
      </c>
      <c r="K4061" t="s">
        <v>4554</v>
      </c>
      <c r="L4061" t="s">
        <v>4555</v>
      </c>
      <c r="M4061" s="2">
        <v>1040</v>
      </c>
      <c r="N4061" t="s">
        <v>4556</v>
      </c>
      <c r="O4061">
        <v>3</v>
      </c>
      <c r="P4061">
        <v>2</v>
      </c>
      <c r="Q4061">
        <v>0</v>
      </c>
      <c r="R4061" t="s">
        <v>5281</v>
      </c>
      <c r="S4061" t="s">
        <v>4558</v>
      </c>
      <c r="T4061" t="s">
        <v>4559</v>
      </c>
      <c r="U4061" t="s">
        <v>4560</v>
      </c>
      <c r="V4061" s="2">
        <v>400</v>
      </c>
      <c r="W4061" t="s">
        <v>4655</v>
      </c>
      <c r="X4061" s="2">
        <v>0</v>
      </c>
      <c r="Y4061">
        <v>20</v>
      </c>
      <c r="Z4061" t="s">
        <v>5508</v>
      </c>
      <c r="AA4061" s="3">
        <v>0.19120752811431899</v>
      </c>
      <c r="AB4061" t="s">
        <v>21785</v>
      </c>
      <c r="AC4061" t="s">
        <v>4562</v>
      </c>
      <c r="AD4061" t="s">
        <v>21784</v>
      </c>
      <c r="AE4061" t="s">
        <v>4655</v>
      </c>
      <c r="AF4061" t="s">
        <v>4563</v>
      </c>
      <c r="AG4061" t="s">
        <v>4564</v>
      </c>
      <c r="AH4061">
        <v>89508</v>
      </c>
      <c r="AI4061" t="s">
        <v>4565</v>
      </c>
      <c r="AJ4061" t="s">
        <v>4655</v>
      </c>
      <c r="AK4061" t="s">
        <v>21786</v>
      </c>
      <c r="AL4061" s="13" t="s">
        <v>1892</v>
      </c>
      <c r="AM4061">
        <v>1</v>
      </c>
      <c r="AN4061" s="15" t="s">
        <v>2051</v>
      </c>
    </row>
    <row r="4062" spans="1:40" x14ac:dyDescent="0.3">
      <c r="A4062" s="10" t="str">
        <f>HYPERLINK("http://www.washoecounty.gov/assessor/cama/?parid=087-682-04&amp;CardNumber=1","087-682-04")</f>
        <v>087-682-04</v>
      </c>
      <c r="B4062" t="s">
        <v>4655</v>
      </c>
      <c r="C4062" t="s">
        <v>21787</v>
      </c>
      <c r="D4062" s="1">
        <v>40445</v>
      </c>
      <c r="E4062" s="2">
        <v>95000</v>
      </c>
      <c r="F4062" t="s">
        <v>4553</v>
      </c>
      <c r="G4062" s="17" t="str">
        <f>HYPERLINK("https://www.washoecounty.gov/assessor/cama/?command=sales&amp;parid=08768204","3926204")</f>
        <v>3926204</v>
      </c>
      <c r="H4062" t="s">
        <v>2305</v>
      </c>
      <c r="I4062">
        <v>2002</v>
      </c>
      <c r="J4062">
        <v>2002</v>
      </c>
      <c r="K4062" t="s">
        <v>4554</v>
      </c>
      <c r="L4062" t="s">
        <v>4555</v>
      </c>
      <c r="M4062" s="2">
        <v>1040</v>
      </c>
      <c r="N4062" t="s">
        <v>4556</v>
      </c>
      <c r="O4062">
        <v>3</v>
      </c>
      <c r="P4062">
        <v>2</v>
      </c>
      <c r="Q4062">
        <v>0</v>
      </c>
      <c r="R4062" t="s">
        <v>4557</v>
      </c>
      <c r="S4062" t="s">
        <v>4558</v>
      </c>
      <c r="T4062" t="s">
        <v>4559</v>
      </c>
      <c r="U4062" t="s">
        <v>4560</v>
      </c>
      <c r="V4062" s="2">
        <v>400</v>
      </c>
      <c r="W4062" t="s">
        <v>4655</v>
      </c>
      <c r="X4062" s="2">
        <v>0</v>
      </c>
      <c r="Y4062">
        <v>20</v>
      </c>
      <c r="Z4062" t="s">
        <v>5508</v>
      </c>
      <c r="AA4062" s="3">
        <v>0.19485767185688019</v>
      </c>
      <c r="AB4062" t="s">
        <v>21788</v>
      </c>
      <c r="AC4062" t="s">
        <v>4562</v>
      </c>
      <c r="AD4062" t="s">
        <v>21789</v>
      </c>
      <c r="AE4062" t="s">
        <v>4655</v>
      </c>
      <c r="AF4062" t="s">
        <v>4563</v>
      </c>
      <c r="AG4062" t="s">
        <v>4564</v>
      </c>
      <c r="AH4062">
        <v>89506</v>
      </c>
      <c r="AI4062" t="s">
        <v>4045</v>
      </c>
      <c r="AJ4062" t="s">
        <v>4655</v>
      </c>
      <c r="AK4062" t="s">
        <v>21790</v>
      </c>
      <c r="AL4062" s="13" t="s">
        <v>1892</v>
      </c>
      <c r="AM4062">
        <v>1</v>
      </c>
      <c r="AN4062" s="15" t="s">
        <v>2051</v>
      </c>
    </row>
    <row r="4063" spans="1:40" x14ac:dyDescent="0.3">
      <c r="A4063" s="10" t="str">
        <f>HYPERLINK("http://www.washoecounty.gov/assessor/cama/?parid=087-682-12&amp;CardNumber=1","087-682-12")</f>
        <v>087-682-12</v>
      </c>
      <c r="B4063" t="s">
        <v>4655</v>
      </c>
      <c r="C4063" t="s">
        <v>21791</v>
      </c>
      <c r="D4063" s="1">
        <v>40233</v>
      </c>
      <c r="E4063" s="2">
        <v>118000</v>
      </c>
      <c r="F4063" t="s">
        <v>4553</v>
      </c>
      <c r="G4063" s="17" t="str">
        <f>HYPERLINK("https://www.washoecounty.gov/assessor/cama/?command=sales&amp;parid=08768212","3852178")</f>
        <v>3852178</v>
      </c>
      <c r="H4063" t="s">
        <v>2305</v>
      </c>
      <c r="I4063">
        <v>2002</v>
      </c>
      <c r="J4063">
        <v>2002</v>
      </c>
      <c r="K4063" t="s">
        <v>4554</v>
      </c>
      <c r="L4063" t="s">
        <v>4555</v>
      </c>
      <c r="M4063" s="2">
        <v>1696</v>
      </c>
      <c r="N4063" t="s">
        <v>4556</v>
      </c>
      <c r="O4063">
        <v>3</v>
      </c>
      <c r="P4063">
        <v>2</v>
      </c>
      <c r="Q4063">
        <v>0</v>
      </c>
      <c r="R4063" t="s">
        <v>4557</v>
      </c>
      <c r="S4063" t="s">
        <v>4558</v>
      </c>
      <c r="T4063" t="s">
        <v>4559</v>
      </c>
      <c r="U4063" t="s">
        <v>4560</v>
      </c>
      <c r="V4063" s="2">
        <v>576</v>
      </c>
      <c r="W4063" t="s">
        <v>4655</v>
      </c>
      <c r="X4063" s="2">
        <v>0</v>
      </c>
      <c r="Y4063">
        <v>20</v>
      </c>
      <c r="Z4063" t="s">
        <v>5508</v>
      </c>
      <c r="AA4063" s="3">
        <v>0.190358132123947</v>
      </c>
      <c r="AB4063" t="s">
        <v>21792</v>
      </c>
      <c r="AC4063" t="s">
        <v>4562</v>
      </c>
      <c r="AD4063" t="s">
        <v>21791</v>
      </c>
      <c r="AE4063" t="s">
        <v>4655</v>
      </c>
      <c r="AF4063" t="s">
        <v>4563</v>
      </c>
      <c r="AG4063" t="s">
        <v>4564</v>
      </c>
      <c r="AH4063">
        <v>89508</v>
      </c>
      <c r="AI4063" t="s">
        <v>4045</v>
      </c>
      <c r="AJ4063" t="s">
        <v>4655</v>
      </c>
      <c r="AK4063" t="s">
        <v>21793</v>
      </c>
      <c r="AL4063" s="13" t="s">
        <v>1892</v>
      </c>
      <c r="AM4063">
        <v>1</v>
      </c>
      <c r="AN4063" s="15" t="s">
        <v>2051</v>
      </c>
    </row>
    <row r="4064" spans="1:40" x14ac:dyDescent="0.3">
      <c r="A4064" s="10" t="str">
        <f>HYPERLINK("http://www.washoecounty.gov/assessor/cama/?parid=087-691-15&amp;CardNumber=1","087-691-15")</f>
        <v>087-691-15</v>
      </c>
      <c r="B4064" t="s">
        <v>4655</v>
      </c>
      <c r="C4064" t="s">
        <v>21794</v>
      </c>
      <c r="D4064" s="1">
        <v>40358</v>
      </c>
      <c r="E4064" s="2">
        <v>102500</v>
      </c>
      <c r="F4064" t="s">
        <v>4567</v>
      </c>
      <c r="G4064" s="17" t="str">
        <f>HYPERLINK("https://www.washoecounty.gov/assessor/cama/?command=sales&amp;parid=08769115","3896642")</f>
        <v>3896642</v>
      </c>
      <c r="H4064" t="s">
        <v>2305</v>
      </c>
      <c r="I4064">
        <v>2002</v>
      </c>
      <c r="J4064">
        <v>2002</v>
      </c>
      <c r="K4064" t="s">
        <v>4554</v>
      </c>
      <c r="L4064" t="s">
        <v>4555</v>
      </c>
      <c r="M4064" s="2">
        <v>1185</v>
      </c>
      <c r="N4064" t="s">
        <v>4556</v>
      </c>
      <c r="O4064">
        <v>3</v>
      </c>
      <c r="P4064">
        <v>2</v>
      </c>
      <c r="Q4064">
        <v>0</v>
      </c>
      <c r="R4064" t="s">
        <v>5281</v>
      </c>
      <c r="S4064" t="s">
        <v>4558</v>
      </c>
      <c r="T4064" t="s">
        <v>4559</v>
      </c>
      <c r="U4064" t="s">
        <v>4560</v>
      </c>
      <c r="V4064" s="2">
        <v>415</v>
      </c>
      <c r="W4064" t="s">
        <v>4655</v>
      </c>
      <c r="X4064" s="2">
        <v>0</v>
      </c>
      <c r="Y4064">
        <v>20</v>
      </c>
      <c r="Z4064" t="s">
        <v>5508</v>
      </c>
      <c r="AA4064" s="3">
        <v>0.162144169211388</v>
      </c>
      <c r="AB4064" t="s">
        <v>21795</v>
      </c>
      <c r="AC4064" t="s">
        <v>4575</v>
      </c>
      <c r="AD4064" t="s">
        <v>21794</v>
      </c>
      <c r="AE4064" t="s">
        <v>4655</v>
      </c>
      <c r="AF4064" t="s">
        <v>4563</v>
      </c>
      <c r="AG4064" t="s">
        <v>4564</v>
      </c>
      <c r="AH4064">
        <v>89508</v>
      </c>
      <c r="AI4064" t="s">
        <v>21796</v>
      </c>
      <c r="AJ4064" t="s">
        <v>4655</v>
      </c>
      <c r="AK4064" t="s">
        <v>21797</v>
      </c>
      <c r="AL4064" s="13" t="s">
        <v>1892</v>
      </c>
      <c r="AM4064" s="14">
        <v>1</v>
      </c>
      <c r="AN4064" s="15" t="s">
        <v>2051</v>
      </c>
    </row>
    <row r="4065" spans="1:40" x14ac:dyDescent="0.3">
      <c r="A4065" s="10" t="str">
        <f>HYPERLINK("http://www.washoecounty.gov/assessor/cama/?parid=087-692-14&amp;CardNumber=1","087-692-14")</f>
        <v>087-692-14</v>
      </c>
      <c r="B4065" t="s">
        <v>4655</v>
      </c>
      <c r="C4065" t="s">
        <v>21798</v>
      </c>
      <c r="D4065" s="1">
        <v>40444</v>
      </c>
      <c r="E4065" s="2">
        <v>172350</v>
      </c>
      <c r="F4065" t="s">
        <v>4553</v>
      </c>
      <c r="G4065" s="17" t="str">
        <f>HYPERLINK("https://www.washoecounty.gov/assessor/cama/?command=sales&amp;parid=08769214","3925237")</f>
        <v>3925237</v>
      </c>
      <c r="H4065" t="s">
        <v>2305</v>
      </c>
      <c r="I4065">
        <v>2001</v>
      </c>
      <c r="J4065">
        <v>2001</v>
      </c>
      <c r="K4065" t="s">
        <v>4554</v>
      </c>
      <c r="L4065" t="s">
        <v>3974</v>
      </c>
      <c r="M4065" s="2">
        <v>2320</v>
      </c>
      <c r="N4065" t="s">
        <v>4556</v>
      </c>
      <c r="O4065">
        <v>4</v>
      </c>
      <c r="P4065">
        <v>2</v>
      </c>
      <c r="Q4065">
        <v>0</v>
      </c>
      <c r="R4065" t="s">
        <v>5281</v>
      </c>
      <c r="S4065" t="s">
        <v>4558</v>
      </c>
      <c r="T4065" t="s">
        <v>4559</v>
      </c>
      <c r="U4065" t="s">
        <v>5631</v>
      </c>
      <c r="V4065" s="2">
        <v>480</v>
      </c>
      <c r="W4065" t="s">
        <v>4655</v>
      </c>
      <c r="X4065" s="2">
        <v>0</v>
      </c>
      <c r="Y4065">
        <v>20</v>
      </c>
      <c r="Z4065" t="s">
        <v>5508</v>
      </c>
      <c r="AA4065" s="3">
        <v>0.30399447679519698</v>
      </c>
      <c r="AB4065" t="s">
        <v>21799</v>
      </c>
      <c r="AC4065" t="s">
        <v>4562</v>
      </c>
      <c r="AD4065" t="s">
        <v>21798</v>
      </c>
      <c r="AE4065" t="s">
        <v>4655</v>
      </c>
      <c r="AF4065" t="s">
        <v>4563</v>
      </c>
      <c r="AG4065" t="s">
        <v>4564</v>
      </c>
      <c r="AH4065">
        <v>89508</v>
      </c>
      <c r="AI4065" t="s">
        <v>4565</v>
      </c>
      <c r="AJ4065" t="s">
        <v>4655</v>
      </c>
      <c r="AK4065" t="s">
        <v>21800</v>
      </c>
      <c r="AL4065" s="13" t="s">
        <v>1892</v>
      </c>
      <c r="AM4065">
        <v>1</v>
      </c>
      <c r="AN4065" s="15" t="s">
        <v>2051</v>
      </c>
    </row>
    <row r="4066" spans="1:40" x14ac:dyDescent="0.3">
      <c r="A4066" s="10" t="str">
        <f>HYPERLINK("http://www.washoecounty.gov/assessor/cama/?parid=087-693-06&amp;CardNumber=1","087-693-06")</f>
        <v>087-693-06</v>
      </c>
      <c r="B4066" t="s">
        <v>4655</v>
      </c>
      <c r="C4066" t="s">
        <v>21801</v>
      </c>
      <c r="D4066" s="1">
        <v>40228</v>
      </c>
      <c r="E4066" s="2">
        <v>125000</v>
      </c>
      <c r="F4066" t="s">
        <v>4553</v>
      </c>
      <c r="G4066" s="17" t="str">
        <f>HYPERLINK("https://www.washoecounty.gov/assessor/cama/?command=sales&amp;parid=08769306","3850939")</f>
        <v>3850939</v>
      </c>
      <c r="H4066" t="s">
        <v>2305</v>
      </c>
      <c r="I4066">
        <v>2001</v>
      </c>
      <c r="J4066">
        <v>2001</v>
      </c>
      <c r="K4066" t="s">
        <v>4554</v>
      </c>
      <c r="L4066" t="s">
        <v>4555</v>
      </c>
      <c r="M4066" s="2">
        <v>1696</v>
      </c>
      <c r="N4066" t="s">
        <v>4556</v>
      </c>
      <c r="O4066">
        <v>3</v>
      </c>
      <c r="P4066">
        <v>2</v>
      </c>
      <c r="Q4066">
        <v>0</v>
      </c>
      <c r="R4066" t="s">
        <v>5281</v>
      </c>
      <c r="S4066" t="s">
        <v>4558</v>
      </c>
      <c r="T4066" t="s">
        <v>4559</v>
      </c>
      <c r="U4066" t="s">
        <v>4560</v>
      </c>
      <c r="V4066" s="2">
        <v>576</v>
      </c>
      <c r="W4066" t="s">
        <v>4655</v>
      </c>
      <c r="X4066" s="2">
        <v>0</v>
      </c>
      <c r="Y4066">
        <v>20</v>
      </c>
      <c r="Z4066" t="s">
        <v>5508</v>
      </c>
      <c r="AA4066" s="3">
        <v>0.22642332315444946</v>
      </c>
      <c r="AB4066" t="s">
        <v>21802</v>
      </c>
      <c r="AC4066" t="s">
        <v>4562</v>
      </c>
      <c r="AD4066" t="s">
        <v>21803</v>
      </c>
      <c r="AE4066" t="s">
        <v>4655</v>
      </c>
      <c r="AF4066" t="s">
        <v>4563</v>
      </c>
      <c r="AG4066" t="s">
        <v>4564</v>
      </c>
      <c r="AH4066">
        <v>89508</v>
      </c>
      <c r="AI4066" t="s">
        <v>4045</v>
      </c>
      <c r="AJ4066" t="s">
        <v>4655</v>
      </c>
      <c r="AK4066" t="s">
        <v>21804</v>
      </c>
      <c r="AL4066" s="13" t="s">
        <v>1892</v>
      </c>
      <c r="AM4066">
        <v>1</v>
      </c>
      <c r="AN4066" s="15" t="s">
        <v>2051</v>
      </c>
    </row>
    <row r="4067" spans="1:40" x14ac:dyDescent="0.3">
      <c r="A4067" s="10" t="str">
        <f>HYPERLINK("http://www.washoecounty.gov/assessor/cama/?parid=087-704-06&amp;CardNumber=1","087-704-06")</f>
        <v>087-704-06</v>
      </c>
      <c r="B4067" t="s">
        <v>4655</v>
      </c>
      <c r="C4067" t="s">
        <v>21805</v>
      </c>
      <c r="D4067" s="1">
        <v>40492</v>
      </c>
      <c r="E4067" s="2">
        <v>129900</v>
      </c>
      <c r="F4067" t="s">
        <v>4567</v>
      </c>
      <c r="G4067" s="17" t="str">
        <f>HYPERLINK("https://www.washoecounty.gov/assessor/cama/?command=sales&amp;parid=08770406","3941612")</f>
        <v>3941612</v>
      </c>
      <c r="H4067" t="s">
        <v>2305</v>
      </c>
      <c r="I4067">
        <v>2001</v>
      </c>
      <c r="J4067">
        <v>2001</v>
      </c>
      <c r="K4067" t="s">
        <v>4554</v>
      </c>
      <c r="L4067" t="s">
        <v>4555</v>
      </c>
      <c r="M4067" s="2">
        <v>1660</v>
      </c>
      <c r="N4067" t="s">
        <v>4556</v>
      </c>
      <c r="O4067">
        <v>3</v>
      </c>
      <c r="P4067">
        <v>2</v>
      </c>
      <c r="Q4067">
        <v>0</v>
      </c>
      <c r="R4067" t="s">
        <v>5281</v>
      </c>
      <c r="S4067" t="s">
        <v>4558</v>
      </c>
      <c r="T4067" t="s">
        <v>4559</v>
      </c>
      <c r="U4067" t="s">
        <v>4560</v>
      </c>
      <c r="V4067" s="2">
        <v>440</v>
      </c>
      <c r="W4067" t="s">
        <v>4655</v>
      </c>
      <c r="X4067" s="2">
        <v>0</v>
      </c>
      <c r="Y4067">
        <v>20</v>
      </c>
      <c r="Z4067" t="s">
        <v>5508</v>
      </c>
      <c r="AA4067" s="3">
        <v>0.19054177403450001</v>
      </c>
      <c r="AB4067" t="s">
        <v>21806</v>
      </c>
      <c r="AC4067" t="s">
        <v>4562</v>
      </c>
      <c r="AD4067" t="s">
        <v>21807</v>
      </c>
      <c r="AE4067" t="s">
        <v>4655</v>
      </c>
      <c r="AF4067" t="s">
        <v>4563</v>
      </c>
      <c r="AG4067" t="s">
        <v>4564</v>
      </c>
      <c r="AH4067">
        <v>89508</v>
      </c>
      <c r="AI4067" t="s">
        <v>21808</v>
      </c>
      <c r="AJ4067" t="s">
        <v>4655</v>
      </c>
      <c r="AK4067" t="s">
        <v>21809</v>
      </c>
      <c r="AL4067" s="13" t="s">
        <v>1892</v>
      </c>
      <c r="AM4067">
        <v>1</v>
      </c>
      <c r="AN4067" s="15" t="s">
        <v>2051</v>
      </c>
    </row>
    <row r="4068" spans="1:40" x14ac:dyDescent="0.3">
      <c r="A4068" s="10" t="str">
        <f>HYPERLINK("http://www.washoecounty.gov/assessor/cama/?parid=087-705-03&amp;CardNumber=1","087-705-03")</f>
        <v>087-705-03</v>
      </c>
      <c r="B4068" t="s">
        <v>4655</v>
      </c>
      <c r="C4068" t="s">
        <v>21810</v>
      </c>
      <c r="D4068" s="1">
        <v>40331</v>
      </c>
      <c r="E4068" s="2">
        <v>113600</v>
      </c>
      <c r="F4068" t="s">
        <v>4567</v>
      </c>
      <c r="G4068" s="17" t="str">
        <f>HYPERLINK("https://www.washoecounty.gov/assessor/cama/?command=sales&amp;parid=08770503","3887486")</f>
        <v>3887486</v>
      </c>
      <c r="H4068" t="s">
        <v>2305</v>
      </c>
      <c r="I4068">
        <v>2001</v>
      </c>
      <c r="J4068">
        <v>2001</v>
      </c>
      <c r="K4068" t="s">
        <v>4554</v>
      </c>
      <c r="L4068" t="s">
        <v>4555</v>
      </c>
      <c r="M4068" s="2">
        <v>1185</v>
      </c>
      <c r="N4068" t="s">
        <v>4556</v>
      </c>
      <c r="O4068">
        <v>3</v>
      </c>
      <c r="P4068">
        <v>2</v>
      </c>
      <c r="Q4068">
        <v>0</v>
      </c>
      <c r="R4068" t="s">
        <v>4557</v>
      </c>
      <c r="S4068" t="s">
        <v>4558</v>
      </c>
      <c r="T4068" t="s">
        <v>4559</v>
      </c>
      <c r="U4068" t="s">
        <v>4560</v>
      </c>
      <c r="V4068" s="2">
        <v>415</v>
      </c>
      <c r="W4068" t="s">
        <v>4655</v>
      </c>
      <c r="X4068" s="2">
        <v>0</v>
      </c>
      <c r="Y4068">
        <v>20</v>
      </c>
      <c r="Z4068" t="s">
        <v>5508</v>
      </c>
      <c r="AA4068" s="3">
        <v>0.17410469055175801</v>
      </c>
      <c r="AB4068" t="s">
        <v>21811</v>
      </c>
      <c r="AC4068" t="s">
        <v>4562</v>
      </c>
      <c r="AD4068" t="s">
        <v>21810</v>
      </c>
      <c r="AE4068" t="s">
        <v>4655</v>
      </c>
      <c r="AF4068" t="s">
        <v>4563</v>
      </c>
      <c r="AG4068" t="s">
        <v>4564</v>
      </c>
      <c r="AH4068">
        <v>89508</v>
      </c>
      <c r="AI4068" t="s">
        <v>21812</v>
      </c>
      <c r="AJ4068" t="s">
        <v>4655</v>
      </c>
      <c r="AK4068" t="s">
        <v>21813</v>
      </c>
      <c r="AL4068" s="13" t="s">
        <v>1892</v>
      </c>
      <c r="AM4068">
        <v>1</v>
      </c>
      <c r="AN4068" s="15" t="s">
        <v>2051</v>
      </c>
    </row>
    <row r="4069" spans="1:40" x14ac:dyDescent="0.3">
      <c r="A4069" s="10" t="str">
        <f>HYPERLINK("http://www.washoecounty.gov/assessor/cama/?parid=087-706-01&amp;CardNumber=1","087-706-01")</f>
        <v>087-706-01</v>
      </c>
      <c r="B4069" t="s">
        <v>4655</v>
      </c>
      <c r="C4069" t="s">
        <v>21814</v>
      </c>
      <c r="D4069" s="1">
        <v>40417</v>
      </c>
      <c r="E4069" s="2">
        <v>104900</v>
      </c>
      <c r="F4069" t="s">
        <v>4553</v>
      </c>
      <c r="G4069" s="17" t="str">
        <f>HYPERLINK("https://www.washoecounty.gov/assessor/cama/?command=sales&amp;parid=08770601","3916150")</f>
        <v>3916150</v>
      </c>
      <c r="H4069" t="s">
        <v>2305</v>
      </c>
      <c r="I4069">
        <v>2001</v>
      </c>
      <c r="J4069">
        <v>2001</v>
      </c>
      <c r="K4069" t="s">
        <v>4554</v>
      </c>
      <c r="L4069" t="s">
        <v>4555</v>
      </c>
      <c r="M4069" s="2">
        <v>1297</v>
      </c>
      <c r="N4069" t="s">
        <v>4556</v>
      </c>
      <c r="O4069">
        <v>3</v>
      </c>
      <c r="P4069">
        <v>2</v>
      </c>
      <c r="Q4069">
        <v>0</v>
      </c>
      <c r="R4069" t="s">
        <v>5281</v>
      </c>
      <c r="S4069" t="s">
        <v>4558</v>
      </c>
      <c r="T4069" t="s">
        <v>4559</v>
      </c>
      <c r="U4069" t="s">
        <v>4560</v>
      </c>
      <c r="V4069" s="2">
        <v>495</v>
      </c>
      <c r="W4069" t="s">
        <v>4655</v>
      </c>
      <c r="X4069" s="2">
        <v>0</v>
      </c>
      <c r="Y4069">
        <v>20</v>
      </c>
      <c r="Z4069" t="s">
        <v>5508</v>
      </c>
      <c r="AA4069" s="3">
        <v>0.16483011841774001</v>
      </c>
      <c r="AB4069" t="s">
        <v>21815</v>
      </c>
      <c r="AC4069" t="s">
        <v>4562</v>
      </c>
      <c r="AD4069" t="s">
        <v>21816</v>
      </c>
      <c r="AE4069" t="s">
        <v>4655</v>
      </c>
      <c r="AF4069" t="s">
        <v>21817</v>
      </c>
      <c r="AG4069" t="s">
        <v>4584</v>
      </c>
      <c r="AH4069">
        <v>93012</v>
      </c>
      <c r="AI4069" t="s">
        <v>4655</v>
      </c>
      <c r="AJ4069" t="s">
        <v>4655</v>
      </c>
      <c r="AK4069" t="s">
        <v>21818</v>
      </c>
      <c r="AL4069" s="13" t="s">
        <v>1892</v>
      </c>
      <c r="AM4069">
        <v>1</v>
      </c>
      <c r="AN4069" s="15" t="s">
        <v>2051</v>
      </c>
    </row>
    <row r="4070" spans="1:40" x14ac:dyDescent="0.3">
      <c r="A4070" s="10" t="str">
        <f>HYPERLINK("http://www.washoecounty.gov/assessor/cama/?parid=087-706-06&amp;CardNumber=1","087-706-06")</f>
        <v>087-706-06</v>
      </c>
      <c r="B4070" t="s">
        <v>4655</v>
      </c>
      <c r="C4070" t="s">
        <v>21819</v>
      </c>
      <c r="D4070" s="1">
        <v>40205</v>
      </c>
      <c r="E4070" s="2">
        <v>160000</v>
      </c>
      <c r="F4070" t="s">
        <v>4567</v>
      </c>
      <c r="G4070" s="17" t="str">
        <f>HYPERLINK("https://www.washoecounty.gov/assessor/cama/?command=sales&amp;parid=08770606","3843247")</f>
        <v>3843247</v>
      </c>
      <c r="H4070" t="s">
        <v>2305</v>
      </c>
      <c r="I4070">
        <v>2001</v>
      </c>
      <c r="J4070">
        <v>2001</v>
      </c>
      <c r="K4070" t="s">
        <v>4554</v>
      </c>
      <c r="L4070" t="s">
        <v>4555</v>
      </c>
      <c r="M4070" s="2">
        <v>1696</v>
      </c>
      <c r="N4070" t="s">
        <v>4556</v>
      </c>
      <c r="O4070">
        <v>3</v>
      </c>
      <c r="P4070">
        <v>2</v>
      </c>
      <c r="Q4070">
        <v>0</v>
      </c>
      <c r="R4070" t="s">
        <v>5281</v>
      </c>
      <c r="S4070" t="s">
        <v>4558</v>
      </c>
      <c r="T4070" t="s">
        <v>4559</v>
      </c>
      <c r="U4070" t="s">
        <v>4560</v>
      </c>
      <c r="V4070" s="2">
        <v>576</v>
      </c>
      <c r="W4070" t="s">
        <v>4655</v>
      </c>
      <c r="X4070" s="2">
        <v>0</v>
      </c>
      <c r="Y4070">
        <v>20</v>
      </c>
      <c r="Z4070" t="s">
        <v>5508</v>
      </c>
      <c r="AA4070" s="3">
        <v>0.33682277798652649</v>
      </c>
      <c r="AB4070" t="s">
        <v>21820</v>
      </c>
      <c r="AC4070" t="s">
        <v>4562</v>
      </c>
      <c r="AD4070" t="s">
        <v>21819</v>
      </c>
      <c r="AE4070" t="s">
        <v>4655</v>
      </c>
      <c r="AF4070" t="s">
        <v>4563</v>
      </c>
      <c r="AG4070" t="s">
        <v>4564</v>
      </c>
      <c r="AH4070">
        <v>89508</v>
      </c>
      <c r="AI4070" t="s">
        <v>21821</v>
      </c>
      <c r="AJ4070" t="s">
        <v>4655</v>
      </c>
      <c r="AK4070" t="s">
        <v>21822</v>
      </c>
      <c r="AL4070" s="13" t="s">
        <v>1892</v>
      </c>
      <c r="AM4070">
        <v>1</v>
      </c>
      <c r="AN4070" s="15" t="s">
        <v>2051</v>
      </c>
    </row>
    <row r="4071" spans="1:40" x14ac:dyDescent="0.3">
      <c r="A4071" s="10" t="str">
        <f>HYPERLINK("http://www.washoecounty.gov/assessor/cama/?parid=088-210-10&amp;CardNumber=1","088-210-10")</f>
        <v>088-210-10</v>
      </c>
      <c r="B4071" t="s">
        <v>4655</v>
      </c>
      <c r="C4071" t="s">
        <v>21823</v>
      </c>
      <c r="D4071" s="1">
        <v>40455</v>
      </c>
      <c r="E4071" s="2">
        <v>171375</v>
      </c>
      <c r="F4071" t="s">
        <v>4553</v>
      </c>
      <c r="G4071" s="17" t="str">
        <f>HYPERLINK("https://www.washoecounty.gov/assessor/cama/?command=sales&amp;parid=08821010","3929404")</f>
        <v>3929404</v>
      </c>
      <c r="H4071" t="s">
        <v>4655</v>
      </c>
      <c r="I4071">
        <v>1981</v>
      </c>
      <c r="J4071">
        <v>1981</v>
      </c>
      <c r="K4071" t="s">
        <v>4554</v>
      </c>
      <c r="L4071" t="s">
        <v>3974</v>
      </c>
      <c r="M4071" s="2">
        <v>2138</v>
      </c>
      <c r="N4071" t="s">
        <v>4048</v>
      </c>
      <c r="O4071">
        <v>3</v>
      </c>
      <c r="P4071">
        <v>2</v>
      </c>
      <c r="Q4071">
        <v>1</v>
      </c>
      <c r="R4071" t="s">
        <v>4557</v>
      </c>
      <c r="S4071" t="s">
        <v>4558</v>
      </c>
      <c r="T4071" t="s">
        <v>4559</v>
      </c>
      <c r="U4071" t="s">
        <v>4655</v>
      </c>
      <c r="V4071" s="2">
        <v>0</v>
      </c>
      <c r="W4071" t="s">
        <v>3149</v>
      </c>
      <c r="X4071" s="2">
        <v>1230</v>
      </c>
      <c r="Y4071">
        <v>20</v>
      </c>
      <c r="Z4071" t="s">
        <v>3884</v>
      </c>
      <c r="AA4071" s="3">
        <v>1.0158172845840401</v>
      </c>
      <c r="AB4071" t="s">
        <v>21824</v>
      </c>
      <c r="AC4071" t="s">
        <v>4562</v>
      </c>
      <c r="AD4071" t="s">
        <v>21825</v>
      </c>
      <c r="AE4071" t="s">
        <v>4655</v>
      </c>
      <c r="AF4071" t="s">
        <v>4563</v>
      </c>
      <c r="AG4071" t="s">
        <v>4564</v>
      </c>
      <c r="AH4071">
        <v>89506</v>
      </c>
      <c r="AI4071" t="s">
        <v>4565</v>
      </c>
      <c r="AJ4071" t="s">
        <v>4655</v>
      </c>
      <c r="AK4071" t="s">
        <v>2833</v>
      </c>
      <c r="AL4071" s="13" t="s">
        <v>1902</v>
      </c>
      <c r="AM4071">
        <v>1</v>
      </c>
      <c r="AN4071" s="15" t="s">
        <v>4349</v>
      </c>
    </row>
    <row r="4072" spans="1:40" x14ac:dyDescent="0.3">
      <c r="A4072" s="10" t="str">
        <f>HYPERLINK("http://www.washoecounty.gov/assessor/cama/?parid=088-241-06&amp;CardNumber=1","088-241-06")</f>
        <v>088-241-06</v>
      </c>
      <c r="B4072" t="s">
        <v>4655</v>
      </c>
      <c r="C4072" t="s">
        <v>21826</v>
      </c>
      <c r="D4072" s="1">
        <v>40511</v>
      </c>
      <c r="E4072" s="2">
        <v>6936435</v>
      </c>
      <c r="F4072" t="s">
        <v>4187</v>
      </c>
      <c r="G4072" s="17" t="str">
        <f>HYPERLINK("https://www.washoecounty.gov/assessor/cama/?command=sales&amp;parid=08824106","3947366")</f>
        <v>3947366</v>
      </c>
      <c r="H4072" t="s">
        <v>21827</v>
      </c>
      <c r="I4072">
        <v>1996</v>
      </c>
      <c r="J4072">
        <v>1996</v>
      </c>
      <c r="K4072" t="s">
        <v>1375</v>
      </c>
      <c r="L4072" t="s">
        <v>1366</v>
      </c>
      <c r="M4072" s="2">
        <v>176000</v>
      </c>
      <c r="N4072" t="s">
        <v>4672</v>
      </c>
      <c r="O4072">
        <v>0</v>
      </c>
      <c r="P4072">
        <v>0</v>
      </c>
      <c r="Q4072">
        <v>0</v>
      </c>
      <c r="R4072" t="s">
        <v>1368</v>
      </c>
      <c r="S4072" t="s">
        <v>4599</v>
      </c>
      <c r="T4072" t="s">
        <v>4655</v>
      </c>
      <c r="U4072" t="s">
        <v>4655</v>
      </c>
      <c r="V4072" s="2">
        <v>0</v>
      </c>
      <c r="W4072" t="s">
        <v>4655</v>
      </c>
      <c r="X4072" s="2">
        <v>0</v>
      </c>
      <c r="Y4072">
        <v>50</v>
      </c>
      <c r="Z4072" t="s">
        <v>5107</v>
      </c>
      <c r="AA4072" s="3">
        <v>8.8280000686645508</v>
      </c>
      <c r="AB4072" t="s">
        <v>16717</v>
      </c>
      <c r="AC4072" t="s">
        <v>4562</v>
      </c>
      <c r="AD4072" t="s">
        <v>16718</v>
      </c>
      <c r="AE4072" t="s">
        <v>16719</v>
      </c>
      <c r="AF4072" t="s">
        <v>2576</v>
      </c>
      <c r="AG4072" t="s">
        <v>4584</v>
      </c>
      <c r="AH4072">
        <v>92008</v>
      </c>
      <c r="AI4072" t="s">
        <v>16725</v>
      </c>
      <c r="AJ4072" t="s">
        <v>21828</v>
      </c>
      <c r="AK4072" t="s">
        <v>21829</v>
      </c>
      <c r="AL4072" s="13" t="s">
        <v>1901</v>
      </c>
      <c r="AM4072">
        <v>1</v>
      </c>
      <c r="AN4072" s="15" t="s">
        <v>21830</v>
      </c>
    </row>
    <row r="4073" spans="1:40" x14ac:dyDescent="0.3">
      <c r="A4073" s="10" t="str">
        <f>HYPERLINK("http://www.washoecounty.gov/assessor/cama/?parid=088-241-08&amp;CardNumber=1","088-241-08")</f>
        <v>088-241-08</v>
      </c>
      <c r="B4073" t="s">
        <v>4655</v>
      </c>
      <c r="C4073" t="s">
        <v>21831</v>
      </c>
      <c r="D4073" s="1">
        <v>40511</v>
      </c>
      <c r="E4073" s="2">
        <v>6138853</v>
      </c>
      <c r="F4073" t="s">
        <v>4187</v>
      </c>
      <c r="G4073" s="17" t="str">
        <f>HYPERLINK("https://www.washoecounty.gov/assessor/cama/?command=sales&amp;parid=08824108","3947367")</f>
        <v>3947367</v>
      </c>
      <c r="H4073" t="s">
        <v>21827</v>
      </c>
      <c r="I4073">
        <v>1997</v>
      </c>
      <c r="J4073">
        <v>1997</v>
      </c>
      <c r="K4073" t="s">
        <v>1375</v>
      </c>
      <c r="L4073" t="s">
        <v>1366</v>
      </c>
      <c r="M4073" s="2">
        <v>154580</v>
      </c>
      <c r="N4073" t="s">
        <v>4672</v>
      </c>
      <c r="O4073">
        <v>0</v>
      </c>
      <c r="P4073">
        <v>0</v>
      </c>
      <c r="Q4073">
        <v>0</v>
      </c>
      <c r="R4073" t="s">
        <v>1368</v>
      </c>
      <c r="S4073" t="s">
        <v>4599</v>
      </c>
      <c r="T4073" t="s">
        <v>4655</v>
      </c>
      <c r="U4073" t="s">
        <v>4655</v>
      </c>
      <c r="V4073" s="2">
        <v>0</v>
      </c>
      <c r="W4073" t="s">
        <v>4655</v>
      </c>
      <c r="X4073" s="2">
        <v>0</v>
      </c>
      <c r="Y4073">
        <v>50</v>
      </c>
      <c r="Z4073" t="s">
        <v>5107</v>
      </c>
      <c r="AA4073" s="3">
        <v>7.9980001449584899</v>
      </c>
      <c r="AB4073" t="s">
        <v>16717</v>
      </c>
      <c r="AC4073" t="s">
        <v>4562</v>
      </c>
      <c r="AD4073" t="s">
        <v>16718</v>
      </c>
      <c r="AE4073" t="s">
        <v>16719</v>
      </c>
      <c r="AF4073" t="s">
        <v>2576</v>
      </c>
      <c r="AG4073" t="s">
        <v>4584</v>
      </c>
      <c r="AH4073">
        <v>92008</v>
      </c>
      <c r="AI4073" t="s">
        <v>16725</v>
      </c>
      <c r="AJ4073" t="s">
        <v>21828</v>
      </c>
      <c r="AK4073" t="s">
        <v>21832</v>
      </c>
      <c r="AL4073" s="13" t="s">
        <v>1901</v>
      </c>
      <c r="AM4073" s="14">
        <v>1</v>
      </c>
      <c r="AN4073" s="15" t="s">
        <v>21830</v>
      </c>
    </row>
    <row r="4074" spans="1:40" x14ac:dyDescent="0.3">
      <c r="A4074" s="10" t="str">
        <f>HYPERLINK("http://www.washoecounty.gov/assessor/cama/?parid=089-181-19&amp;CardNumber=1","089-181-19")</f>
        <v>089-181-19</v>
      </c>
      <c r="B4074" t="s">
        <v>4655</v>
      </c>
      <c r="C4074" t="s">
        <v>21833</v>
      </c>
      <c r="D4074" s="1">
        <v>40291</v>
      </c>
      <c r="E4074" s="2">
        <v>125000</v>
      </c>
      <c r="F4074" t="s">
        <v>4567</v>
      </c>
      <c r="G4074" s="17" t="str">
        <f>HYPERLINK("https://www.washoecounty.gov/assessor/cama/?command=sales&amp;parid=08918119","3874261")</f>
        <v>3874261</v>
      </c>
      <c r="H4074" t="s">
        <v>884</v>
      </c>
      <c r="I4074">
        <v>1980</v>
      </c>
      <c r="J4074">
        <v>1980</v>
      </c>
      <c r="K4074" t="s">
        <v>4554</v>
      </c>
      <c r="L4074" t="s">
        <v>4555</v>
      </c>
      <c r="M4074" s="2">
        <v>1100</v>
      </c>
      <c r="N4074" t="s">
        <v>4556</v>
      </c>
      <c r="O4074">
        <v>3</v>
      </c>
      <c r="P4074">
        <v>1</v>
      </c>
      <c r="Q4074">
        <v>0</v>
      </c>
      <c r="R4074" t="s">
        <v>4557</v>
      </c>
      <c r="S4074" t="s">
        <v>4558</v>
      </c>
      <c r="T4074" t="s">
        <v>4559</v>
      </c>
      <c r="U4074" t="s">
        <v>4560</v>
      </c>
      <c r="V4074" s="2">
        <v>456</v>
      </c>
      <c r="W4074" t="s">
        <v>4655</v>
      </c>
      <c r="X4074" s="2">
        <v>0</v>
      </c>
      <c r="Y4074">
        <v>20</v>
      </c>
      <c r="Z4074" t="s">
        <v>5508</v>
      </c>
      <c r="AA4074" s="3">
        <v>0.339990824460983</v>
      </c>
      <c r="AB4074" t="s">
        <v>21834</v>
      </c>
      <c r="AC4074" t="s">
        <v>4562</v>
      </c>
      <c r="AD4074" t="s">
        <v>21833</v>
      </c>
      <c r="AE4074" t="s">
        <v>4655</v>
      </c>
      <c r="AF4074" t="s">
        <v>5201</v>
      </c>
      <c r="AG4074" t="s">
        <v>4564</v>
      </c>
      <c r="AH4074" t="s">
        <v>1605</v>
      </c>
      <c r="AI4074" t="s">
        <v>21835</v>
      </c>
      <c r="AJ4074" t="s">
        <v>4655</v>
      </c>
      <c r="AK4074" t="s">
        <v>21836</v>
      </c>
      <c r="AL4074" s="13" t="s">
        <v>1892</v>
      </c>
      <c r="AM4074">
        <v>1</v>
      </c>
      <c r="AN4074" s="15" t="s">
        <v>4973</v>
      </c>
    </row>
    <row r="4075" spans="1:40" x14ac:dyDescent="0.3">
      <c r="A4075" s="10" t="str">
        <f>HYPERLINK("http://www.washoecounty.gov/assessor/cama/?parid=089-181-45&amp;CardNumber=1","089-181-45")</f>
        <v>089-181-45</v>
      </c>
      <c r="B4075" t="s">
        <v>4655</v>
      </c>
      <c r="C4075" t="s">
        <v>21837</v>
      </c>
      <c r="D4075" s="1">
        <v>40311</v>
      </c>
      <c r="E4075" s="2">
        <v>160000</v>
      </c>
      <c r="F4075" t="s">
        <v>4567</v>
      </c>
      <c r="G4075" s="17" t="str">
        <f>HYPERLINK("https://www.washoecounty.gov/assessor/cama/?command=sales&amp;parid=08918145","3881041")</f>
        <v>3881041</v>
      </c>
      <c r="H4075" t="s">
        <v>884</v>
      </c>
      <c r="I4075">
        <v>1979</v>
      </c>
      <c r="J4075">
        <v>1979</v>
      </c>
      <c r="K4075" t="s">
        <v>4554</v>
      </c>
      <c r="L4075" t="s">
        <v>4555</v>
      </c>
      <c r="M4075" s="2">
        <v>1788</v>
      </c>
      <c r="N4075" t="s">
        <v>4556</v>
      </c>
      <c r="O4075">
        <v>3</v>
      </c>
      <c r="P4075">
        <v>2</v>
      </c>
      <c r="Q4075">
        <v>0</v>
      </c>
      <c r="R4075" t="s">
        <v>4557</v>
      </c>
      <c r="S4075" t="s">
        <v>4558</v>
      </c>
      <c r="T4075" t="s">
        <v>4559</v>
      </c>
      <c r="U4075" t="s">
        <v>4560</v>
      </c>
      <c r="V4075" s="2">
        <v>822</v>
      </c>
      <c r="W4075" t="s">
        <v>4655</v>
      </c>
      <c r="X4075" s="2">
        <v>0</v>
      </c>
      <c r="Y4075">
        <v>20</v>
      </c>
      <c r="Z4075" t="s">
        <v>5508</v>
      </c>
      <c r="AA4075" s="3">
        <v>0.339990824460983</v>
      </c>
      <c r="AB4075" t="s">
        <v>21838</v>
      </c>
      <c r="AC4075" t="s">
        <v>4562</v>
      </c>
      <c r="AD4075" t="s">
        <v>21839</v>
      </c>
      <c r="AE4075" t="s">
        <v>4655</v>
      </c>
      <c r="AF4075" t="s">
        <v>2180</v>
      </c>
      <c r="AG4075" t="s">
        <v>4584</v>
      </c>
      <c r="AH4075">
        <v>92127</v>
      </c>
      <c r="AI4075" t="s">
        <v>21840</v>
      </c>
      <c r="AJ4075" t="s">
        <v>4655</v>
      </c>
      <c r="AK4075" t="s">
        <v>21841</v>
      </c>
      <c r="AL4075" s="13" t="s">
        <v>1892</v>
      </c>
      <c r="AM4075" s="14">
        <v>1</v>
      </c>
      <c r="AN4075" s="15" t="s">
        <v>4973</v>
      </c>
    </row>
    <row r="4076" spans="1:40" x14ac:dyDescent="0.3">
      <c r="A4076" s="10" t="str">
        <f>HYPERLINK("http://www.washoecounty.gov/assessor/cama/?parid=089-181-69&amp;CardNumber=1","089-181-69")</f>
        <v>089-181-69</v>
      </c>
      <c r="B4076" t="s">
        <v>4655</v>
      </c>
      <c r="C4076" t="s">
        <v>21842</v>
      </c>
      <c r="D4076" s="1">
        <v>40428</v>
      </c>
      <c r="E4076" s="2">
        <v>70202</v>
      </c>
      <c r="F4076" t="s">
        <v>4553</v>
      </c>
      <c r="G4076" s="17" t="str">
        <f>HYPERLINK("https://www.washoecounty.gov/assessor/cama/?command=sales&amp;parid=08918169","3919399")</f>
        <v>3919399</v>
      </c>
      <c r="H4076" t="s">
        <v>884</v>
      </c>
      <c r="I4076">
        <v>1979</v>
      </c>
      <c r="J4076">
        <v>1980</v>
      </c>
      <c r="K4076" t="s">
        <v>4554</v>
      </c>
      <c r="L4076" t="s">
        <v>4555</v>
      </c>
      <c r="M4076" s="2">
        <v>1301</v>
      </c>
      <c r="N4076" t="s">
        <v>4556</v>
      </c>
      <c r="O4076">
        <v>2</v>
      </c>
      <c r="P4076">
        <v>1</v>
      </c>
      <c r="Q4076">
        <v>0</v>
      </c>
      <c r="R4076" t="s">
        <v>4557</v>
      </c>
      <c r="S4076" t="s">
        <v>4558</v>
      </c>
      <c r="T4076" t="s">
        <v>4559</v>
      </c>
      <c r="U4076" t="s">
        <v>4560</v>
      </c>
      <c r="V4076" s="2">
        <v>300</v>
      </c>
      <c r="W4076" t="s">
        <v>4655</v>
      </c>
      <c r="X4076" s="2">
        <v>0</v>
      </c>
      <c r="Y4076">
        <v>20</v>
      </c>
      <c r="Z4076" t="s">
        <v>5508</v>
      </c>
      <c r="AA4076" s="3">
        <v>0.339990824460983</v>
      </c>
      <c r="AB4076" t="s">
        <v>21843</v>
      </c>
      <c r="AC4076" t="s">
        <v>4575</v>
      </c>
      <c r="AD4076" t="s">
        <v>4699</v>
      </c>
      <c r="AE4076" t="s">
        <v>4655</v>
      </c>
      <c r="AF4076" t="s">
        <v>5201</v>
      </c>
      <c r="AG4076" t="s">
        <v>4564</v>
      </c>
      <c r="AH4076" t="s">
        <v>1605</v>
      </c>
      <c r="AI4076" t="s">
        <v>4503</v>
      </c>
      <c r="AJ4076" t="s">
        <v>4655</v>
      </c>
      <c r="AK4076" t="s">
        <v>21844</v>
      </c>
      <c r="AL4076" s="13" t="s">
        <v>1892</v>
      </c>
      <c r="AM4076">
        <v>1</v>
      </c>
      <c r="AN4076" s="15" t="s">
        <v>4973</v>
      </c>
    </row>
    <row r="4077" spans="1:40" x14ac:dyDescent="0.3">
      <c r="A4077" s="10" t="str">
        <f>HYPERLINK("http://www.washoecounty.gov/assessor/cama/?parid=089-191-02&amp;CardNumber=1","089-191-02")</f>
        <v>089-191-02</v>
      </c>
      <c r="B4077" t="s">
        <v>4655</v>
      </c>
      <c r="C4077" t="s">
        <v>21845</v>
      </c>
      <c r="D4077" s="1">
        <v>40410</v>
      </c>
      <c r="E4077" s="2">
        <v>135000</v>
      </c>
      <c r="F4077" t="s">
        <v>4567</v>
      </c>
      <c r="G4077" s="17" t="str">
        <f>HYPERLINK("https://www.washoecounty.gov/assessor/cama/?command=sales&amp;parid=08919102","3914058")</f>
        <v>3914058</v>
      </c>
      <c r="H4077" t="s">
        <v>884</v>
      </c>
      <c r="I4077">
        <v>1982</v>
      </c>
      <c r="J4077">
        <v>1982</v>
      </c>
      <c r="K4077" t="s">
        <v>4554</v>
      </c>
      <c r="L4077" t="s">
        <v>4555</v>
      </c>
      <c r="M4077" s="2">
        <v>960</v>
      </c>
      <c r="N4077" t="s">
        <v>4556</v>
      </c>
      <c r="O4077">
        <v>2</v>
      </c>
      <c r="P4077">
        <v>1</v>
      </c>
      <c r="Q4077">
        <v>0</v>
      </c>
      <c r="R4077" t="s">
        <v>4557</v>
      </c>
      <c r="S4077" t="s">
        <v>4558</v>
      </c>
      <c r="T4077" t="s">
        <v>4559</v>
      </c>
      <c r="U4077" t="s">
        <v>4560</v>
      </c>
      <c r="V4077" s="2">
        <v>400</v>
      </c>
      <c r="W4077" t="s">
        <v>4655</v>
      </c>
      <c r="X4077" s="2">
        <v>0</v>
      </c>
      <c r="Y4077">
        <v>20</v>
      </c>
      <c r="Z4077" t="s">
        <v>5508</v>
      </c>
      <c r="AA4077" s="3">
        <v>0.339990824460983</v>
      </c>
      <c r="AB4077" t="s">
        <v>21846</v>
      </c>
      <c r="AC4077" t="s">
        <v>4575</v>
      </c>
      <c r="AD4077" t="s">
        <v>21847</v>
      </c>
      <c r="AE4077" t="s">
        <v>4655</v>
      </c>
      <c r="AF4077" t="s">
        <v>825</v>
      </c>
      <c r="AG4077" t="s">
        <v>4584</v>
      </c>
      <c r="AH4077">
        <v>96002</v>
      </c>
      <c r="AI4077" t="s">
        <v>21848</v>
      </c>
      <c r="AJ4077" t="s">
        <v>4655</v>
      </c>
      <c r="AK4077" t="s">
        <v>21849</v>
      </c>
      <c r="AL4077" s="13" t="s">
        <v>1892</v>
      </c>
      <c r="AM4077">
        <v>1</v>
      </c>
      <c r="AN4077" s="15" t="s">
        <v>4973</v>
      </c>
    </row>
    <row r="4078" spans="1:40" x14ac:dyDescent="0.3">
      <c r="A4078" s="10" t="str">
        <f>HYPERLINK("http://www.washoecounty.gov/assessor/cama/?parid=089-192-08&amp;CardNumber=1","089-192-08")</f>
        <v>089-192-08</v>
      </c>
      <c r="B4078" t="s">
        <v>4655</v>
      </c>
      <c r="C4078" t="s">
        <v>21850</v>
      </c>
      <c r="D4078" s="1">
        <v>40357</v>
      </c>
      <c r="E4078" s="2">
        <v>141000</v>
      </c>
      <c r="F4078" t="s">
        <v>4567</v>
      </c>
      <c r="G4078" s="17" t="str">
        <f>HYPERLINK("https://www.washoecounty.gov/assessor/cama/?command=sales&amp;parid=08919208","3896071")</f>
        <v>3896071</v>
      </c>
      <c r="H4078" t="s">
        <v>884</v>
      </c>
      <c r="I4078">
        <v>1979</v>
      </c>
      <c r="J4078">
        <v>1979</v>
      </c>
      <c r="K4078" t="s">
        <v>4554</v>
      </c>
      <c r="L4078" t="s">
        <v>4555</v>
      </c>
      <c r="M4078" s="2">
        <v>1392</v>
      </c>
      <c r="N4078" t="s">
        <v>4556</v>
      </c>
      <c r="O4078">
        <v>4</v>
      </c>
      <c r="P4078">
        <v>2</v>
      </c>
      <c r="Q4078">
        <v>0</v>
      </c>
      <c r="R4078" t="s">
        <v>4557</v>
      </c>
      <c r="S4078" t="s">
        <v>4558</v>
      </c>
      <c r="T4078" t="s">
        <v>4559</v>
      </c>
      <c r="U4078" t="s">
        <v>4560</v>
      </c>
      <c r="V4078" s="2">
        <v>440</v>
      </c>
      <c r="W4078" t="s">
        <v>4655</v>
      </c>
      <c r="X4078" s="2">
        <v>0</v>
      </c>
      <c r="Y4078">
        <v>20</v>
      </c>
      <c r="Z4078" t="s">
        <v>5508</v>
      </c>
      <c r="AA4078" s="3">
        <v>0.339990824460983</v>
      </c>
      <c r="AB4078" t="s">
        <v>21851</v>
      </c>
      <c r="AC4078" t="s">
        <v>4562</v>
      </c>
      <c r="AD4078" t="s">
        <v>21850</v>
      </c>
      <c r="AE4078" t="s">
        <v>4655</v>
      </c>
      <c r="AF4078" t="s">
        <v>5201</v>
      </c>
      <c r="AG4078" t="s">
        <v>4564</v>
      </c>
      <c r="AH4078" t="s">
        <v>1605</v>
      </c>
      <c r="AI4078" t="s">
        <v>21852</v>
      </c>
      <c r="AJ4078" t="s">
        <v>4655</v>
      </c>
      <c r="AK4078" t="s">
        <v>21853</v>
      </c>
      <c r="AL4078" s="13" t="s">
        <v>1892</v>
      </c>
      <c r="AM4078">
        <v>1</v>
      </c>
      <c r="AN4078" s="15" t="s">
        <v>4973</v>
      </c>
    </row>
    <row r="4079" spans="1:40" x14ac:dyDescent="0.3">
      <c r="A4079" s="10" t="str">
        <f>HYPERLINK("http://www.washoecounty.gov/assessor/cama/?parid=089-192-38&amp;CardNumber=1","089-192-38")</f>
        <v>089-192-38</v>
      </c>
      <c r="B4079" t="s">
        <v>4655</v>
      </c>
      <c r="C4079" t="s">
        <v>21854</v>
      </c>
      <c r="D4079" s="1">
        <v>40247</v>
      </c>
      <c r="E4079" s="2">
        <v>130000</v>
      </c>
      <c r="F4079" t="s">
        <v>4567</v>
      </c>
      <c r="G4079" s="17" t="str">
        <f>HYPERLINK("https://www.washoecounty.gov/assessor/cama/?command=sales&amp;parid=08919238","3858292")</f>
        <v>3858292</v>
      </c>
      <c r="H4079" t="s">
        <v>884</v>
      </c>
      <c r="I4079">
        <v>1981</v>
      </c>
      <c r="J4079">
        <v>1981</v>
      </c>
      <c r="K4079" t="s">
        <v>4554</v>
      </c>
      <c r="L4079" t="s">
        <v>4555</v>
      </c>
      <c r="M4079" s="2">
        <v>1248</v>
      </c>
      <c r="N4079" t="s">
        <v>4556</v>
      </c>
      <c r="O4079">
        <v>3</v>
      </c>
      <c r="P4079">
        <v>2</v>
      </c>
      <c r="Q4079">
        <v>0</v>
      </c>
      <c r="R4079" t="s">
        <v>5281</v>
      </c>
      <c r="S4079" t="s">
        <v>4135</v>
      </c>
      <c r="T4079" t="s">
        <v>4559</v>
      </c>
      <c r="U4079" t="s">
        <v>162</v>
      </c>
      <c r="V4079" s="2">
        <v>1204</v>
      </c>
      <c r="W4079" t="s">
        <v>4655</v>
      </c>
      <c r="X4079" s="2">
        <v>0</v>
      </c>
      <c r="Y4079">
        <v>20</v>
      </c>
      <c r="Z4079" t="s">
        <v>5508</v>
      </c>
      <c r="AA4079" s="3">
        <v>0.339990824460983</v>
      </c>
      <c r="AB4079" t="s">
        <v>21855</v>
      </c>
      <c r="AC4079" t="s">
        <v>4562</v>
      </c>
      <c r="AD4079" t="s">
        <v>21854</v>
      </c>
      <c r="AE4079" t="s">
        <v>4655</v>
      </c>
      <c r="AF4079" t="s">
        <v>5201</v>
      </c>
      <c r="AG4079" t="s">
        <v>4564</v>
      </c>
      <c r="AH4079" t="s">
        <v>1605</v>
      </c>
      <c r="AI4079" t="s">
        <v>13892</v>
      </c>
      <c r="AJ4079" t="s">
        <v>4655</v>
      </c>
      <c r="AK4079" t="s">
        <v>21856</v>
      </c>
      <c r="AL4079" s="13" t="s">
        <v>1892</v>
      </c>
      <c r="AM4079" s="14">
        <v>1</v>
      </c>
      <c r="AN4079" s="15" t="s">
        <v>4973</v>
      </c>
    </row>
    <row r="4080" spans="1:40" x14ac:dyDescent="0.3">
      <c r="A4080" s="10" t="str">
        <f>HYPERLINK("http://www.washoecounty.gov/assessor/cama/?parid=089-192-45&amp;CardNumber=1","089-192-45")</f>
        <v>089-192-45</v>
      </c>
      <c r="B4080" t="s">
        <v>4655</v>
      </c>
      <c r="C4080" t="s">
        <v>21857</v>
      </c>
      <c r="D4080" s="1">
        <v>40277</v>
      </c>
      <c r="E4080" s="2">
        <v>142500</v>
      </c>
      <c r="F4080" t="s">
        <v>4553</v>
      </c>
      <c r="G4080" s="17" t="str">
        <f>HYPERLINK("https://www.washoecounty.gov/assessor/cama/?command=sales&amp;parid=08919245","3869479")</f>
        <v>3869479</v>
      </c>
      <c r="H4080" t="s">
        <v>884</v>
      </c>
      <c r="I4080">
        <v>1981</v>
      </c>
      <c r="J4080">
        <v>1983</v>
      </c>
      <c r="K4080" t="s">
        <v>4554</v>
      </c>
      <c r="L4080" t="s">
        <v>2170</v>
      </c>
      <c r="M4080" s="2">
        <v>1380</v>
      </c>
      <c r="N4080" t="s">
        <v>4556</v>
      </c>
      <c r="O4080">
        <v>4</v>
      </c>
      <c r="P4080">
        <v>3</v>
      </c>
      <c r="Q4080">
        <v>0</v>
      </c>
      <c r="R4080" t="s">
        <v>4557</v>
      </c>
      <c r="S4080" t="s">
        <v>4558</v>
      </c>
      <c r="T4080" t="s">
        <v>4559</v>
      </c>
      <c r="U4080" t="s">
        <v>4655</v>
      </c>
      <c r="V4080" s="2">
        <v>0</v>
      </c>
      <c r="W4080" t="s">
        <v>4655</v>
      </c>
      <c r="X4080" s="2">
        <v>0</v>
      </c>
      <c r="Y4080">
        <v>20</v>
      </c>
      <c r="Z4080" t="s">
        <v>5508</v>
      </c>
      <c r="AA4080" s="3">
        <v>0.339990824460983</v>
      </c>
      <c r="AB4080" t="s">
        <v>21858</v>
      </c>
      <c r="AC4080" t="s">
        <v>4575</v>
      </c>
      <c r="AD4080" t="s">
        <v>21859</v>
      </c>
      <c r="AE4080" t="s">
        <v>4655</v>
      </c>
      <c r="AF4080" t="s">
        <v>5201</v>
      </c>
      <c r="AG4080" t="s">
        <v>4564</v>
      </c>
      <c r="AH4080" t="s">
        <v>1605</v>
      </c>
      <c r="AI4080" t="s">
        <v>4503</v>
      </c>
      <c r="AJ4080" t="s">
        <v>4655</v>
      </c>
      <c r="AK4080" t="s">
        <v>21860</v>
      </c>
      <c r="AL4080" s="13" t="s">
        <v>1892</v>
      </c>
      <c r="AM4080" s="14">
        <v>1</v>
      </c>
      <c r="AN4080" s="15" t="s">
        <v>4973</v>
      </c>
    </row>
    <row r="4081" spans="1:40" x14ac:dyDescent="0.3">
      <c r="A4081" s="10" t="str">
        <f>HYPERLINK("http://www.washoecounty.gov/assessor/cama/?parid=089-197-03&amp;CardNumber=1","089-197-03")</f>
        <v>089-197-03</v>
      </c>
      <c r="B4081" t="s">
        <v>4655</v>
      </c>
      <c r="C4081" t="s">
        <v>21861</v>
      </c>
      <c r="D4081" s="1">
        <v>40311</v>
      </c>
      <c r="E4081" s="2">
        <v>110000</v>
      </c>
      <c r="F4081" t="s">
        <v>4567</v>
      </c>
      <c r="G4081" s="17" t="str">
        <f>HYPERLINK("https://www.washoecounty.gov/assessor/cama/?command=sales&amp;parid=08919703","3881260")</f>
        <v>3881260</v>
      </c>
      <c r="H4081" t="s">
        <v>884</v>
      </c>
      <c r="I4081">
        <v>1979</v>
      </c>
      <c r="J4081">
        <v>1979</v>
      </c>
      <c r="K4081" t="s">
        <v>4554</v>
      </c>
      <c r="L4081" t="s">
        <v>4555</v>
      </c>
      <c r="M4081" s="2">
        <v>1152</v>
      </c>
      <c r="N4081" t="s">
        <v>4556</v>
      </c>
      <c r="O4081">
        <v>3</v>
      </c>
      <c r="P4081">
        <v>2</v>
      </c>
      <c r="Q4081">
        <v>0</v>
      </c>
      <c r="R4081" t="s">
        <v>4557</v>
      </c>
      <c r="S4081" t="s">
        <v>4558</v>
      </c>
      <c r="T4081" t="s">
        <v>4559</v>
      </c>
      <c r="U4081" t="s">
        <v>162</v>
      </c>
      <c r="V4081" s="2">
        <v>1140</v>
      </c>
      <c r="W4081" t="s">
        <v>4655</v>
      </c>
      <c r="X4081" s="2">
        <v>0</v>
      </c>
      <c r="Y4081">
        <v>20</v>
      </c>
      <c r="Z4081" t="s">
        <v>5508</v>
      </c>
      <c r="AA4081" s="3">
        <v>0.339990824460983</v>
      </c>
      <c r="AB4081" t="s">
        <v>21862</v>
      </c>
      <c r="AC4081" t="s">
        <v>4562</v>
      </c>
      <c r="AD4081" t="s">
        <v>21861</v>
      </c>
      <c r="AE4081" t="s">
        <v>4655</v>
      </c>
      <c r="AF4081" t="s">
        <v>5201</v>
      </c>
      <c r="AG4081" t="s">
        <v>4564</v>
      </c>
      <c r="AH4081" t="s">
        <v>1605</v>
      </c>
      <c r="AI4081" t="s">
        <v>21863</v>
      </c>
      <c r="AJ4081" t="s">
        <v>4655</v>
      </c>
      <c r="AK4081" t="s">
        <v>21864</v>
      </c>
      <c r="AL4081" s="13" t="s">
        <v>1892</v>
      </c>
      <c r="AM4081" s="14">
        <v>1</v>
      </c>
      <c r="AN4081" s="15" t="s">
        <v>4973</v>
      </c>
    </row>
    <row r="4082" spans="1:40" x14ac:dyDescent="0.3">
      <c r="A4082" s="10" t="str">
        <f>HYPERLINK("http://www.washoecounty.gov/assessor/cama/?parid=089-200-19&amp;CardNumber=1","089-200-19")</f>
        <v>089-200-19</v>
      </c>
      <c r="B4082" t="s">
        <v>4655</v>
      </c>
      <c r="C4082" t="s">
        <v>21865</v>
      </c>
      <c r="D4082" s="1">
        <v>40296</v>
      </c>
      <c r="E4082" s="2">
        <v>105000</v>
      </c>
      <c r="F4082" t="s">
        <v>4553</v>
      </c>
      <c r="G4082" s="17" t="str">
        <f>HYPERLINK("https://www.washoecounty.gov/assessor/cama/?command=sales&amp;parid=08920019","3875678")</f>
        <v>3875678</v>
      </c>
      <c r="H4082" t="s">
        <v>884</v>
      </c>
      <c r="I4082">
        <v>1979</v>
      </c>
      <c r="J4082">
        <v>1979</v>
      </c>
      <c r="K4082" t="s">
        <v>4554</v>
      </c>
      <c r="L4082" t="s">
        <v>4555</v>
      </c>
      <c r="M4082" s="2">
        <v>902</v>
      </c>
      <c r="N4082" t="s">
        <v>4556</v>
      </c>
      <c r="O4082">
        <v>2</v>
      </c>
      <c r="P4082">
        <v>1</v>
      </c>
      <c r="Q4082">
        <v>0</v>
      </c>
      <c r="R4082" t="s">
        <v>4557</v>
      </c>
      <c r="S4082" t="s">
        <v>4558</v>
      </c>
      <c r="T4082" t="s">
        <v>4559</v>
      </c>
      <c r="U4082" t="s">
        <v>4560</v>
      </c>
      <c r="V4082" s="2">
        <v>300</v>
      </c>
      <c r="W4082" t="s">
        <v>4655</v>
      </c>
      <c r="X4082" s="2">
        <v>0</v>
      </c>
      <c r="Y4082">
        <v>20</v>
      </c>
      <c r="Z4082" t="s">
        <v>5508</v>
      </c>
      <c r="AA4082" s="3">
        <v>0.339990824460983</v>
      </c>
      <c r="AB4082" t="s">
        <v>21866</v>
      </c>
      <c r="AC4082" t="s">
        <v>4562</v>
      </c>
      <c r="AD4082" t="s">
        <v>21865</v>
      </c>
      <c r="AE4082" t="s">
        <v>4655</v>
      </c>
      <c r="AF4082" t="s">
        <v>5201</v>
      </c>
      <c r="AG4082" t="s">
        <v>4564</v>
      </c>
      <c r="AH4082" t="s">
        <v>1605</v>
      </c>
      <c r="AI4082" t="s">
        <v>4503</v>
      </c>
      <c r="AJ4082" t="s">
        <v>4655</v>
      </c>
      <c r="AK4082" t="s">
        <v>21867</v>
      </c>
      <c r="AL4082" s="13" t="s">
        <v>1892</v>
      </c>
      <c r="AM4082" s="14">
        <v>1</v>
      </c>
      <c r="AN4082" s="15" t="s">
        <v>4973</v>
      </c>
    </row>
    <row r="4083" spans="1:40" x14ac:dyDescent="0.3">
      <c r="A4083" s="10" t="str">
        <f>HYPERLINK("http://www.washoecounty.gov/assessor/cama/?parid=089-200-31&amp;CardNumber=1","089-200-31")</f>
        <v>089-200-31</v>
      </c>
      <c r="B4083" t="s">
        <v>4655</v>
      </c>
      <c r="C4083" t="s">
        <v>21868</v>
      </c>
      <c r="D4083" s="1">
        <v>40298</v>
      </c>
      <c r="E4083" s="2">
        <v>115000</v>
      </c>
      <c r="F4083" t="s">
        <v>4567</v>
      </c>
      <c r="G4083" s="17" t="str">
        <f>HYPERLINK("https://www.washoecounty.gov/assessor/cama/?command=sales&amp;parid=08920031","3877107")</f>
        <v>3877107</v>
      </c>
      <c r="H4083" t="s">
        <v>884</v>
      </c>
      <c r="I4083">
        <v>1979</v>
      </c>
      <c r="J4083">
        <v>1979</v>
      </c>
      <c r="K4083" t="s">
        <v>4554</v>
      </c>
      <c r="L4083" t="s">
        <v>4555</v>
      </c>
      <c r="M4083" s="2">
        <v>1500</v>
      </c>
      <c r="N4083" t="s">
        <v>4556</v>
      </c>
      <c r="O4083">
        <v>3</v>
      </c>
      <c r="P4083">
        <v>2</v>
      </c>
      <c r="Q4083">
        <v>0</v>
      </c>
      <c r="R4083" t="s">
        <v>4557</v>
      </c>
      <c r="S4083" t="s">
        <v>4558</v>
      </c>
      <c r="T4083" t="s">
        <v>4559</v>
      </c>
      <c r="U4083" t="s">
        <v>4560</v>
      </c>
      <c r="V4083" s="2">
        <v>420</v>
      </c>
      <c r="W4083" t="s">
        <v>4655</v>
      </c>
      <c r="X4083" s="2">
        <v>0</v>
      </c>
      <c r="Y4083">
        <v>20</v>
      </c>
      <c r="Z4083" t="s">
        <v>5508</v>
      </c>
      <c r="AA4083" s="3">
        <v>0.339990824460983</v>
      </c>
      <c r="AB4083" t="s">
        <v>21869</v>
      </c>
      <c r="AC4083" t="s">
        <v>4562</v>
      </c>
      <c r="AD4083" t="s">
        <v>21868</v>
      </c>
      <c r="AE4083" t="s">
        <v>4655</v>
      </c>
      <c r="AF4083" t="s">
        <v>5201</v>
      </c>
      <c r="AG4083" t="s">
        <v>4564</v>
      </c>
      <c r="AH4083" t="s">
        <v>1605</v>
      </c>
      <c r="AI4083" t="s">
        <v>4655</v>
      </c>
      <c r="AJ4083" t="s">
        <v>4655</v>
      </c>
      <c r="AK4083" t="s">
        <v>21870</v>
      </c>
      <c r="AL4083" s="13" t="s">
        <v>1892</v>
      </c>
      <c r="AM4083">
        <v>1</v>
      </c>
      <c r="AN4083" s="15" t="s">
        <v>4973</v>
      </c>
    </row>
    <row r="4084" spans="1:40" x14ac:dyDescent="0.3">
      <c r="A4084" s="10" t="str">
        <f>HYPERLINK("http://www.washoecounty.gov/assessor/cama/?parid=089-212-07&amp;CardNumber=1","089-212-07")</f>
        <v>089-212-07</v>
      </c>
      <c r="B4084" t="s">
        <v>4655</v>
      </c>
      <c r="C4084" t="s">
        <v>21871</v>
      </c>
      <c r="D4084" s="1">
        <v>40319</v>
      </c>
      <c r="E4084" s="2">
        <v>107000</v>
      </c>
      <c r="F4084" t="s">
        <v>4567</v>
      </c>
      <c r="G4084" s="17" t="str">
        <f>HYPERLINK("https://www.washoecounty.gov/assessor/cama/?command=sales&amp;parid=08921207","3884029")</f>
        <v>3884029</v>
      </c>
      <c r="H4084" t="s">
        <v>21872</v>
      </c>
      <c r="I4084">
        <v>1984</v>
      </c>
      <c r="J4084">
        <v>1984</v>
      </c>
      <c r="K4084" t="s">
        <v>4554</v>
      </c>
      <c r="L4084" t="s">
        <v>4555</v>
      </c>
      <c r="M4084" s="2">
        <v>960</v>
      </c>
      <c r="N4084" t="s">
        <v>4556</v>
      </c>
      <c r="O4084">
        <v>3</v>
      </c>
      <c r="P4084">
        <v>1</v>
      </c>
      <c r="Q4084">
        <v>1</v>
      </c>
      <c r="R4084" t="s">
        <v>4557</v>
      </c>
      <c r="S4084" t="s">
        <v>4558</v>
      </c>
      <c r="T4084" t="s">
        <v>4559</v>
      </c>
      <c r="U4084" t="s">
        <v>4560</v>
      </c>
      <c r="V4084" s="2">
        <v>440</v>
      </c>
      <c r="W4084" t="s">
        <v>4655</v>
      </c>
      <c r="X4084" s="2">
        <v>0</v>
      </c>
      <c r="Y4084">
        <v>20</v>
      </c>
      <c r="Z4084" t="s">
        <v>5508</v>
      </c>
      <c r="AA4084" s="3">
        <v>0.34999999403953602</v>
      </c>
      <c r="AB4084" t="s">
        <v>21873</v>
      </c>
      <c r="AC4084" t="s">
        <v>4575</v>
      </c>
      <c r="AD4084" t="s">
        <v>21871</v>
      </c>
      <c r="AE4084" t="s">
        <v>4655</v>
      </c>
      <c r="AF4084" t="s">
        <v>5201</v>
      </c>
      <c r="AG4084" t="s">
        <v>4564</v>
      </c>
      <c r="AH4084" t="s">
        <v>1605</v>
      </c>
      <c r="AI4084" t="s">
        <v>21874</v>
      </c>
      <c r="AJ4084" t="s">
        <v>4655</v>
      </c>
      <c r="AK4084" t="s">
        <v>21875</v>
      </c>
      <c r="AL4084" s="13" t="s">
        <v>1892</v>
      </c>
      <c r="AM4084">
        <v>1</v>
      </c>
      <c r="AN4084" s="15" t="s">
        <v>4973</v>
      </c>
    </row>
    <row r="4085" spans="1:40" x14ac:dyDescent="0.3">
      <c r="A4085" s="10" t="str">
        <f>HYPERLINK("http://www.washoecounty.gov/assessor/cama/?parid=089-212-11&amp;CardNumber=1","089-212-11")</f>
        <v>089-212-11</v>
      </c>
      <c r="B4085" t="s">
        <v>4655</v>
      </c>
      <c r="C4085" t="s">
        <v>21876</v>
      </c>
      <c r="D4085" s="1">
        <v>40219</v>
      </c>
      <c r="E4085" s="2">
        <v>100000</v>
      </c>
      <c r="F4085" t="s">
        <v>4553</v>
      </c>
      <c r="G4085" s="17" t="str">
        <f>HYPERLINK("https://www.washoecounty.gov/assessor/cama/?command=sales&amp;parid=08921211","3847829")</f>
        <v>3847829</v>
      </c>
      <c r="H4085" t="s">
        <v>4972</v>
      </c>
      <c r="I4085">
        <v>1982</v>
      </c>
      <c r="J4085">
        <v>1982</v>
      </c>
      <c r="K4085" t="s">
        <v>4554</v>
      </c>
      <c r="L4085" t="s">
        <v>4555</v>
      </c>
      <c r="M4085" s="2">
        <v>960</v>
      </c>
      <c r="N4085" t="s">
        <v>4556</v>
      </c>
      <c r="O4085">
        <v>3</v>
      </c>
      <c r="P4085">
        <v>1</v>
      </c>
      <c r="Q4085">
        <v>0</v>
      </c>
      <c r="R4085" t="s">
        <v>4557</v>
      </c>
      <c r="S4085" t="s">
        <v>4558</v>
      </c>
      <c r="T4085" t="s">
        <v>4559</v>
      </c>
      <c r="U4085" t="s">
        <v>4560</v>
      </c>
      <c r="V4085" s="2">
        <v>400</v>
      </c>
      <c r="W4085" t="s">
        <v>4655</v>
      </c>
      <c r="X4085" s="2">
        <v>0</v>
      </c>
      <c r="Y4085">
        <v>20</v>
      </c>
      <c r="Z4085" t="s">
        <v>5508</v>
      </c>
      <c r="AA4085" s="3">
        <v>0.34999999403953602</v>
      </c>
      <c r="AB4085" t="s">
        <v>21877</v>
      </c>
      <c r="AC4085" t="s">
        <v>4562</v>
      </c>
      <c r="AD4085" t="s">
        <v>21876</v>
      </c>
      <c r="AE4085" t="s">
        <v>4655</v>
      </c>
      <c r="AF4085" t="s">
        <v>5201</v>
      </c>
      <c r="AG4085" t="s">
        <v>4564</v>
      </c>
      <c r="AH4085" t="s">
        <v>1605</v>
      </c>
      <c r="AI4085" t="s">
        <v>4145</v>
      </c>
      <c r="AJ4085" t="s">
        <v>4655</v>
      </c>
      <c r="AK4085" t="s">
        <v>21878</v>
      </c>
      <c r="AL4085" s="13" t="s">
        <v>1892</v>
      </c>
      <c r="AM4085">
        <v>1</v>
      </c>
      <c r="AN4085" s="15" t="s">
        <v>4973</v>
      </c>
    </row>
    <row r="4086" spans="1:40" x14ac:dyDescent="0.3">
      <c r="A4086" s="10" t="str">
        <f>HYPERLINK("http://www.washoecounty.gov/assessor/cama/?parid=089-232-05&amp;CardNumber=1","089-232-05")</f>
        <v>089-232-05</v>
      </c>
      <c r="B4086" t="s">
        <v>4655</v>
      </c>
      <c r="C4086" t="s">
        <v>21879</v>
      </c>
      <c r="D4086" s="1">
        <v>40245</v>
      </c>
      <c r="E4086" s="2">
        <v>134000</v>
      </c>
      <c r="F4086" t="s">
        <v>4567</v>
      </c>
      <c r="G4086" s="17" t="str">
        <f>HYPERLINK("https://www.washoecounty.gov/assessor/cama/?command=sales&amp;parid=08923205","3856846")</f>
        <v>3856846</v>
      </c>
      <c r="H4086" t="s">
        <v>21880</v>
      </c>
      <c r="I4086">
        <v>1984</v>
      </c>
      <c r="J4086">
        <v>1984</v>
      </c>
      <c r="K4086" t="s">
        <v>4554</v>
      </c>
      <c r="L4086" t="s">
        <v>4555</v>
      </c>
      <c r="M4086" s="2">
        <v>1056</v>
      </c>
      <c r="N4086" t="s">
        <v>4556</v>
      </c>
      <c r="O4086">
        <v>2</v>
      </c>
      <c r="P4086">
        <v>2</v>
      </c>
      <c r="Q4086">
        <v>0</v>
      </c>
      <c r="R4086" t="s">
        <v>4557</v>
      </c>
      <c r="S4086" t="s">
        <v>3148</v>
      </c>
      <c r="T4086" t="s">
        <v>4559</v>
      </c>
      <c r="U4086" t="s">
        <v>4560</v>
      </c>
      <c r="V4086" s="2">
        <v>360</v>
      </c>
      <c r="W4086" t="s">
        <v>4655</v>
      </c>
      <c r="X4086" s="2">
        <v>0</v>
      </c>
      <c r="Y4086">
        <v>20</v>
      </c>
      <c r="Z4086" t="s">
        <v>5508</v>
      </c>
      <c r="AA4086" s="3">
        <v>0.45700183510780301</v>
      </c>
      <c r="AB4086" t="s">
        <v>21881</v>
      </c>
      <c r="AC4086" t="s">
        <v>4562</v>
      </c>
      <c r="AD4086" t="s">
        <v>21882</v>
      </c>
      <c r="AE4086" t="s">
        <v>4655</v>
      </c>
      <c r="AF4086" t="s">
        <v>5201</v>
      </c>
      <c r="AG4086" t="s">
        <v>4564</v>
      </c>
      <c r="AH4086" t="s">
        <v>1350</v>
      </c>
      <c r="AI4086" t="s">
        <v>4655</v>
      </c>
      <c r="AJ4086" t="s">
        <v>4655</v>
      </c>
      <c r="AK4086" t="s">
        <v>21883</v>
      </c>
      <c r="AL4086" s="13" t="s">
        <v>1892</v>
      </c>
      <c r="AM4086" s="14">
        <v>1</v>
      </c>
      <c r="AN4086" s="15" t="s">
        <v>4978</v>
      </c>
    </row>
    <row r="4087" spans="1:40" x14ac:dyDescent="0.3">
      <c r="A4087" s="10" t="str">
        <f>HYPERLINK("http://www.washoecounty.gov/assessor/cama/?parid=089-234-03&amp;CardNumber=1","089-234-03")</f>
        <v>089-234-03</v>
      </c>
      <c r="B4087" t="s">
        <v>4655</v>
      </c>
      <c r="C4087" t="s">
        <v>21884</v>
      </c>
      <c r="D4087" s="1">
        <v>40473</v>
      </c>
      <c r="E4087" s="2">
        <v>136500</v>
      </c>
      <c r="F4087" t="s">
        <v>4553</v>
      </c>
      <c r="G4087" s="17" t="str">
        <f>HYPERLINK("https://www.washoecounty.gov/assessor/cama/?command=sales&amp;parid=08923403","3935780")</f>
        <v>3935780</v>
      </c>
      <c r="H4087" t="s">
        <v>21885</v>
      </c>
      <c r="I4087">
        <v>1984</v>
      </c>
      <c r="J4087">
        <v>1984</v>
      </c>
      <c r="K4087" t="s">
        <v>4554</v>
      </c>
      <c r="L4087" t="s">
        <v>4555</v>
      </c>
      <c r="M4087" s="2">
        <v>1358</v>
      </c>
      <c r="N4087" t="s">
        <v>4556</v>
      </c>
      <c r="O4087">
        <v>3</v>
      </c>
      <c r="P4087">
        <v>2</v>
      </c>
      <c r="Q4087">
        <v>0</v>
      </c>
      <c r="R4087" t="s">
        <v>4557</v>
      </c>
      <c r="S4087" t="s">
        <v>3148</v>
      </c>
      <c r="T4087" t="s">
        <v>4143</v>
      </c>
      <c r="U4087" t="s">
        <v>4560</v>
      </c>
      <c r="V4087" s="2">
        <v>480</v>
      </c>
      <c r="W4087" t="s">
        <v>4655</v>
      </c>
      <c r="X4087" s="2">
        <v>0</v>
      </c>
      <c r="Y4087">
        <v>20</v>
      </c>
      <c r="Z4087" t="s">
        <v>5508</v>
      </c>
      <c r="AA4087" s="3">
        <v>0.34800276160240201</v>
      </c>
      <c r="AB4087" t="s">
        <v>21886</v>
      </c>
      <c r="AC4087" t="s">
        <v>4562</v>
      </c>
      <c r="AD4087" t="s">
        <v>21884</v>
      </c>
      <c r="AE4087" t="s">
        <v>4655</v>
      </c>
      <c r="AF4087" t="s">
        <v>5201</v>
      </c>
      <c r="AG4087" t="s">
        <v>4564</v>
      </c>
      <c r="AH4087" t="s">
        <v>1350</v>
      </c>
      <c r="AI4087" t="s">
        <v>21887</v>
      </c>
      <c r="AJ4087" t="s">
        <v>4655</v>
      </c>
      <c r="AK4087" t="s">
        <v>21888</v>
      </c>
      <c r="AL4087" s="13" t="s">
        <v>1892</v>
      </c>
      <c r="AM4087">
        <v>1</v>
      </c>
      <c r="AN4087" s="15" t="s">
        <v>4978</v>
      </c>
    </row>
    <row r="4088" spans="1:40" x14ac:dyDescent="0.3">
      <c r="A4088" s="10" t="str">
        <f>HYPERLINK("http://www.washoecounty.gov/assessor/cama/?parid=089-261-03&amp;CardNumber=1","089-261-03")</f>
        <v>089-261-03</v>
      </c>
      <c r="B4088" t="s">
        <v>4655</v>
      </c>
      <c r="C4088" t="s">
        <v>21889</v>
      </c>
      <c r="D4088" s="1">
        <v>40417</v>
      </c>
      <c r="E4088" s="2">
        <v>141000</v>
      </c>
      <c r="F4088" t="s">
        <v>4567</v>
      </c>
      <c r="G4088" s="17" t="str">
        <f>HYPERLINK("https://www.washoecounty.gov/assessor/cama/?command=sales&amp;parid=08926103","3916357")</f>
        <v>3916357</v>
      </c>
      <c r="H4088" t="s">
        <v>4976</v>
      </c>
      <c r="I4088">
        <v>1985</v>
      </c>
      <c r="J4088">
        <v>1985</v>
      </c>
      <c r="K4088" t="s">
        <v>4554</v>
      </c>
      <c r="L4088" t="s">
        <v>4555</v>
      </c>
      <c r="M4088" s="2">
        <v>1473</v>
      </c>
      <c r="N4088" t="s">
        <v>4556</v>
      </c>
      <c r="O4088">
        <v>3</v>
      </c>
      <c r="P4088">
        <v>2</v>
      </c>
      <c r="Q4088">
        <v>0</v>
      </c>
      <c r="R4088" t="s">
        <v>4557</v>
      </c>
      <c r="S4088" t="s">
        <v>4135</v>
      </c>
      <c r="T4088" t="s">
        <v>4559</v>
      </c>
      <c r="U4088" t="s">
        <v>4560</v>
      </c>
      <c r="V4088" s="2">
        <v>459</v>
      </c>
      <c r="W4088" t="s">
        <v>4655</v>
      </c>
      <c r="X4088" s="2">
        <v>0</v>
      </c>
      <c r="Y4088">
        <v>20</v>
      </c>
      <c r="Z4088" t="s">
        <v>5508</v>
      </c>
      <c r="AA4088" s="3">
        <v>0.44999998807907099</v>
      </c>
      <c r="AB4088" t="s">
        <v>21890</v>
      </c>
      <c r="AC4088" t="s">
        <v>4562</v>
      </c>
      <c r="AD4088" t="s">
        <v>21889</v>
      </c>
      <c r="AE4088" t="s">
        <v>4655</v>
      </c>
      <c r="AF4088" t="s">
        <v>5201</v>
      </c>
      <c r="AG4088" t="s">
        <v>4564</v>
      </c>
      <c r="AH4088" t="s">
        <v>1350</v>
      </c>
      <c r="AI4088" t="s">
        <v>21891</v>
      </c>
      <c r="AJ4088" t="s">
        <v>4655</v>
      </c>
      <c r="AK4088" t="s">
        <v>21892</v>
      </c>
      <c r="AL4088" s="13" t="s">
        <v>1892</v>
      </c>
      <c r="AM4088">
        <v>1</v>
      </c>
      <c r="AN4088" s="15" t="s">
        <v>4978</v>
      </c>
    </row>
    <row r="4089" spans="1:40" x14ac:dyDescent="0.3">
      <c r="A4089" s="10" t="str">
        <f>HYPERLINK("http://www.washoecounty.gov/assessor/cama/?parid=089-263-10&amp;CardNumber=1","089-263-10")</f>
        <v>089-263-10</v>
      </c>
      <c r="B4089" t="s">
        <v>4655</v>
      </c>
      <c r="C4089" t="s">
        <v>21893</v>
      </c>
      <c r="D4089" s="1">
        <v>40266</v>
      </c>
      <c r="E4089" s="2">
        <v>152000</v>
      </c>
      <c r="F4089" t="s">
        <v>4553</v>
      </c>
      <c r="G4089" s="17" t="str">
        <f>HYPERLINK("https://www.washoecounty.gov/assessor/cama/?command=sales&amp;parid=08926310","3865100")</f>
        <v>3865100</v>
      </c>
      <c r="H4089" t="s">
        <v>4976</v>
      </c>
      <c r="I4089">
        <v>1986</v>
      </c>
      <c r="J4089">
        <v>1986</v>
      </c>
      <c r="K4089" t="s">
        <v>4554</v>
      </c>
      <c r="L4089" t="s">
        <v>4555</v>
      </c>
      <c r="M4089" s="2">
        <v>1716</v>
      </c>
      <c r="N4089" t="s">
        <v>4556</v>
      </c>
      <c r="O4089">
        <v>3</v>
      </c>
      <c r="P4089">
        <v>2</v>
      </c>
      <c r="Q4089">
        <v>0</v>
      </c>
      <c r="R4089" t="s">
        <v>4557</v>
      </c>
      <c r="S4089" t="s">
        <v>3148</v>
      </c>
      <c r="T4089" t="s">
        <v>4143</v>
      </c>
      <c r="U4089" t="s">
        <v>4560</v>
      </c>
      <c r="V4089" s="2">
        <v>660</v>
      </c>
      <c r="W4089" t="s">
        <v>4655</v>
      </c>
      <c r="X4089" s="2">
        <v>0</v>
      </c>
      <c r="Y4089">
        <v>20</v>
      </c>
      <c r="Z4089" t="s">
        <v>5508</v>
      </c>
      <c r="AA4089" s="3">
        <v>0.38700643181800798</v>
      </c>
      <c r="AB4089" t="s">
        <v>21894</v>
      </c>
      <c r="AC4089" t="s">
        <v>4562</v>
      </c>
      <c r="AD4089" t="s">
        <v>21895</v>
      </c>
      <c r="AE4089" t="s">
        <v>4655</v>
      </c>
      <c r="AF4089" t="s">
        <v>4809</v>
      </c>
      <c r="AG4089" t="s">
        <v>4564</v>
      </c>
      <c r="AH4089" t="s">
        <v>1350</v>
      </c>
      <c r="AI4089" t="s">
        <v>4903</v>
      </c>
      <c r="AJ4089" t="s">
        <v>4655</v>
      </c>
      <c r="AK4089" t="s">
        <v>21896</v>
      </c>
      <c r="AL4089" s="13" t="s">
        <v>1892</v>
      </c>
      <c r="AM4089" s="14">
        <v>1</v>
      </c>
      <c r="AN4089" s="15" t="s">
        <v>4978</v>
      </c>
    </row>
    <row r="4090" spans="1:40" x14ac:dyDescent="0.3">
      <c r="A4090" s="10" t="str">
        <f>HYPERLINK("http://www.washoecounty.gov/assessor/cama/?parid=089-271-05&amp;CardNumber=1","089-271-05")</f>
        <v>089-271-05</v>
      </c>
      <c r="B4090" t="s">
        <v>4655</v>
      </c>
      <c r="C4090" t="s">
        <v>21897</v>
      </c>
      <c r="D4090" s="1">
        <v>40288</v>
      </c>
      <c r="E4090" s="2">
        <v>178000</v>
      </c>
      <c r="F4090" t="s">
        <v>4553</v>
      </c>
      <c r="G4090" s="17" t="str">
        <f>HYPERLINK("https://www.washoecounty.gov/assessor/cama/?command=sales&amp;parid=08927105","3872686")</f>
        <v>3872686</v>
      </c>
      <c r="H4090" t="s">
        <v>4976</v>
      </c>
      <c r="I4090">
        <v>1987</v>
      </c>
      <c r="J4090">
        <v>1990</v>
      </c>
      <c r="K4090" t="s">
        <v>4554</v>
      </c>
      <c r="L4090" t="s">
        <v>4555</v>
      </c>
      <c r="M4090" s="2">
        <v>2162</v>
      </c>
      <c r="N4090" t="s">
        <v>4556</v>
      </c>
      <c r="O4090">
        <v>3</v>
      </c>
      <c r="P4090">
        <v>2</v>
      </c>
      <c r="Q4090">
        <v>0</v>
      </c>
      <c r="R4090" t="s">
        <v>4557</v>
      </c>
      <c r="S4090" t="s">
        <v>3148</v>
      </c>
      <c r="T4090" t="s">
        <v>4559</v>
      </c>
      <c r="U4090" t="s">
        <v>4560</v>
      </c>
      <c r="V4090" s="2">
        <v>470</v>
      </c>
      <c r="W4090" t="s">
        <v>4655</v>
      </c>
      <c r="X4090" s="2">
        <v>0</v>
      </c>
      <c r="Y4090">
        <v>20</v>
      </c>
      <c r="Z4090" t="s">
        <v>5508</v>
      </c>
      <c r="AA4090" s="3">
        <v>0.36099633574485801</v>
      </c>
      <c r="AB4090" t="s">
        <v>21898</v>
      </c>
      <c r="AC4090" t="s">
        <v>4562</v>
      </c>
      <c r="AD4090" t="s">
        <v>21899</v>
      </c>
      <c r="AE4090" t="s">
        <v>4655</v>
      </c>
      <c r="AF4090" t="s">
        <v>4809</v>
      </c>
      <c r="AG4090" t="s">
        <v>4564</v>
      </c>
      <c r="AH4090" t="s">
        <v>1350</v>
      </c>
      <c r="AI4090" t="s">
        <v>4655</v>
      </c>
      <c r="AJ4090" t="s">
        <v>4655</v>
      </c>
      <c r="AK4090" t="s">
        <v>21900</v>
      </c>
      <c r="AL4090" s="13" t="s">
        <v>1892</v>
      </c>
      <c r="AM4090">
        <v>1</v>
      </c>
      <c r="AN4090" s="15" t="s">
        <v>4978</v>
      </c>
    </row>
    <row r="4091" spans="1:40" x14ac:dyDescent="0.3">
      <c r="A4091" s="10" t="str">
        <f>HYPERLINK("http://www.washoecounty.gov/assessor/cama/?parid=089-282-11&amp;CardNumber=1","089-282-11")</f>
        <v>089-282-11</v>
      </c>
      <c r="B4091" t="s">
        <v>4655</v>
      </c>
      <c r="C4091" t="s">
        <v>21901</v>
      </c>
      <c r="D4091" s="1">
        <v>40210</v>
      </c>
      <c r="E4091" s="2">
        <v>135000</v>
      </c>
      <c r="F4091" t="s">
        <v>4553</v>
      </c>
      <c r="G4091" s="17" t="str">
        <f>HYPERLINK("https://www.washoecounty.gov/assessor/cama/?command=sales&amp;parid=08928211","3844564")</f>
        <v>3844564</v>
      </c>
      <c r="H4091" t="s">
        <v>4976</v>
      </c>
      <c r="I4091">
        <v>1986</v>
      </c>
      <c r="J4091">
        <v>1986</v>
      </c>
      <c r="K4091" t="s">
        <v>4554</v>
      </c>
      <c r="L4091" t="s">
        <v>4555</v>
      </c>
      <c r="M4091" s="2">
        <v>1612</v>
      </c>
      <c r="N4091" t="s">
        <v>4556</v>
      </c>
      <c r="O4091">
        <v>3</v>
      </c>
      <c r="P4091">
        <v>2</v>
      </c>
      <c r="Q4091">
        <v>0</v>
      </c>
      <c r="R4091" t="s">
        <v>4557</v>
      </c>
      <c r="S4091" t="s">
        <v>3148</v>
      </c>
      <c r="T4091" t="s">
        <v>4559</v>
      </c>
      <c r="U4091" t="s">
        <v>4560</v>
      </c>
      <c r="V4091" s="2">
        <v>660</v>
      </c>
      <c r="W4091" t="s">
        <v>4655</v>
      </c>
      <c r="X4091" s="2">
        <v>0</v>
      </c>
      <c r="Y4091">
        <v>20</v>
      </c>
      <c r="Z4091" t="s">
        <v>5508</v>
      </c>
      <c r="AA4091" s="3">
        <v>0.39600551128387501</v>
      </c>
      <c r="AB4091" t="s">
        <v>21902</v>
      </c>
      <c r="AC4091" t="s">
        <v>4562</v>
      </c>
      <c r="AD4091" t="s">
        <v>21903</v>
      </c>
      <c r="AE4091" t="s">
        <v>4655</v>
      </c>
      <c r="AF4091" t="s">
        <v>21904</v>
      </c>
      <c r="AG4091" t="s">
        <v>1188</v>
      </c>
      <c r="AH4091" t="s">
        <v>21905</v>
      </c>
      <c r="AI4091" t="s">
        <v>4977</v>
      </c>
      <c r="AJ4091" t="s">
        <v>4655</v>
      </c>
      <c r="AK4091" t="s">
        <v>21906</v>
      </c>
      <c r="AL4091" s="13" t="s">
        <v>1892</v>
      </c>
      <c r="AM4091" s="14">
        <v>1</v>
      </c>
      <c r="AN4091" s="15" t="s">
        <v>4978</v>
      </c>
    </row>
    <row r="4092" spans="1:40" x14ac:dyDescent="0.3">
      <c r="A4092" s="10" t="str">
        <f>HYPERLINK("http://www.washoecounty.gov/assessor/cama/?parid=089-282-25&amp;CardNumber=1","089-282-25")</f>
        <v>089-282-25</v>
      </c>
      <c r="B4092" t="s">
        <v>4655</v>
      </c>
      <c r="C4092" t="s">
        <v>21907</v>
      </c>
      <c r="D4092" s="1">
        <v>40466</v>
      </c>
      <c r="E4092" s="2">
        <v>210000</v>
      </c>
      <c r="F4092" t="s">
        <v>4567</v>
      </c>
      <c r="G4092" s="17" t="str">
        <f>HYPERLINK("https://www.washoecounty.gov/assessor/cama/?command=sales&amp;parid=08928225","3933801")</f>
        <v>3933801</v>
      </c>
      <c r="H4092" t="s">
        <v>4976</v>
      </c>
      <c r="I4092">
        <v>1986</v>
      </c>
      <c r="J4092">
        <v>1986</v>
      </c>
      <c r="K4092" t="s">
        <v>4554</v>
      </c>
      <c r="L4092" t="s">
        <v>4555</v>
      </c>
      <c r="M4092" s="2">
        <v>1470</v>
      </c>
      <c r="N4092" t="s">
        <v>4556</v>
      </c>
      <c r="O4092">
        <v>3</v>
      </c>
      <c r="P4092">
        <v>2</v>
      </c>
      <c r="Q4092">
        <v>0</v>
      </c>
      <c r="R4092" t="s">
        <v>4557</v>
      </c>
      <c r="S4092" t="s">
        <v>4898</v>
      </c>
      <c r="T4092" t="s">
        <v>4559</v>
      </c>
      <c r="U4092" t="s">
        <v>162</v>
      </c>
      <c r="V4092" s="2">
        <v>1444</v>
      </c>
      <c r="W4092" t="s">
        <v>4655</v>
      </c>
      <c r="X4092" s="2">
        <v>0</v>
      </c>
      <c r="Y4092">
        <v>20</v>
      </c>
      <c r="Z4092" t="s">
        <v>5508</v>
      </c>
      <c r="AA4092" s="3">
        <v>0.58700644969940097</v>
      </c>
      <c r="AB4092" t="s">
        <v>21908</v>
      </c>
      <c r="AC4092" t="s">
        <v>4562</v>
      </c>
      <c r="AD4092" t="s">
        <v>21909</v>
      </c>
      <c r="AE4092" t="s">
        <v>4655</v>
      </c>
      <c r="AF4092" t="s">
        <v>5201</v>
      </c>
      <c r="AG4092" t="s">
        <v>4564</v>
      </c>
      <c r="AH4092" t="s">
        <v>1350</v>
      </c>
      <c r="AI4092" t="s">
        <v>21910</v>
      </c>
      <c r="AJ4092" t="s">
        <v>4655</v>
      </c>
      <c r="AK4092" t="s">
        <v>21911</v>
      </c>
      <c r="AL4092" s="13" t="s">
        <v>1892</v>
      </c>
      <c r="AM4092" s="14">
        <v>1</v>
      </c>
      <c r="AN4092" s="15" t="s">
        <v>4978</v>
      </c>
    </row>
    <row r="4093" spans="1:40" x14ac:dyDescent="0.3">
      <c r="A4093" s="10" t="str">
        <f>HYPERLINK("http://www.washoecounty.gov/assessor/cama/?parid=089-303-06&amp;CardNumber=1","089-303-06")</f>
        <v>089-303-06</v>
      </c>
      <c r="B4093" t="s">
        <v>4655</v>
      </c>
      <c r="C4093" t="s">
        <v>21912</v>
      </c>
      <c r="D4093" s="1">
        <v>40298</v>
      </c>
      <c r="E4093" s="2">
        <v>152000</v>
      </c>
      <c r="F4093" t="s">
        <v>4567</v>
      </c>
      <c r="G4093" s="17" t="str">
        <f>HYPERLINK("https://www.washoecounty.gov/assessor/cama/?command=sales&amp;parid=08930306","3876851")</f>
        <v>3876851</v>
      </c>
      <c r="H4093" t="s">
        <v>4374</v>
      </c>
      <c r="I4093">
        <v>1988</v>
      </c>
      <c r="J4093">
        <v>1988</v>
      </c>
      <c r="K4093" t="s">
        <v>4554</v>
      </c>
      <c r="L4093" t="s">
        <v>4555</v>
      </c>
      <c r="M4093" s="2">
        <v>1617</v>
      </c>
      <c r="N4093" t="s">
        <v>4556</v>
      </c>
      <c r="O4093">
        <v>3</v>
      </c>
      <c r="P4093">
        <v>2</v>
      </c>
      <c r="Q4093">
        <v>0</v>
      </c>
      <c r="R4093" t="s">
        <v>4557</v>
      </c>
      <c r="S4093" t="s">
        <v>4558</v>
      </c>
      <c r="T4093" t="s">
        <v>4559</v>
      </c>
      <c r="U4093" t="s">
        <v>4560</v>
      </c>
      <c r="V4093" s="2">
        <v>528</v>
      </c>
      <c r="W4093" t="s">
        <v>4655</v>
      </c>
      <c r="X4093" s="2">
        <v>0</v>
      </c>
      <c r="Y4093">
        <v>20</v>
      </c>
      <c r="Z4093" t="s">
        <v>5508</v>
      </c>
      <c r="AA4093" s="3">
        <v>0.88399910926818803</v>
      </c>
      <c r="AB4093" t="s">
        <v>21913</v>
      </c>
      <c r="AC4093" t="s">
        <v>4562</v>
      </c>
      <c r="AD4093" t="s">
        <v>21912</v>
      </c>
      <c r="AE4093" t="s">
        <v>4655</v>
      </c>
      <c r="AF4093" t="s">
        <v>5201</v>
      </c>
      <c r="AG4093" t="s">
        <v>4564</v>
      </c>
      <c r="AH4093" t="s">
        <v>1350</v>
      </c>
      <c r="AI4093" t="s">
        <v>21914</v>
      </c>
      <c r="AJ4093" t="s">
        <v>4655</v>
      </c>
      <c r="AK4093" t="s">
        <v>21915</v>
      </c>
      <c r="AL4093" s="13" t="s">
        <v>1892</v>
      </c>
      <c r="AM4093">
        <v>1</v>
      </c>
      <c r="AN4093" s="15" t="s">
        <v>4978</v>
      </c>
    </row>
    <row r="4094" spans="1:40" x14ac:dyDescent="0.3">
      <c r="A4094" s="10" t="str">
        <f>HYPERLINK("http://www.washoecounty.gov/assessor/cama/?parid=089-311-09&amp;CardNumber=1","089-311-09")</f>
        <v>089-311-09</v>
      </c>
      <c r="B4094" t="s">
        <v>4655</v>
      </c>
      <c r="C4094" t="s">
        <v>21916</v>
      </c>
      <c r="D4094" s="1">
        <v>40197</v>
      </c>
      <c r="E4094" s="2">
        <v>175000</v>
      </c>
      <c r="F4094" t="s">
        <v>4567</v>
      </c>
      <c r="G4094" s="17" t="str">
        <f>HYPERLINK("https://www.washoecounty.gov/assessor/cama/?command=sales&amp;parid=08931109","3840765")</f>
        <v>3840765</v>
      </c>
      <c r="H4094" t="s">
        <v>3547</v>
      </c>
      <c r="I4094">
        <v>1989</v>
      </c>
      <c r="J4094">
        <v>1989</v>
      </c>
      <c r="K4094" t="s">
        <v>4554</v>
      </c>
      <c r="L4094" t="s">
        <v>3886</v>
      </c>
      <c r="M4094" s="2">
        <v>1710</v>
      </c>
      <c r="N4094" t="s">
        <v>4556</v>
      </c>
      <c r="O4094">
        <v>3</v>
      </c>
      <c r="P4094">
        <v>3</v>
      </c>
      <c r="Q4094">
        <v>0</v>
      </c>
      <c r="R4094" t="s">
        <v>4557</v>
      </c>
      <c r="S4094" t="s">
        <v>4558</v>
      </c>
      <c r="T4094" t="s">
        <v>4559</v>
      </c>
      <c r="U4094" t="s">
        <v>4560</v>
      </c>
      <c r="V4094" s="2">
        <v>600</v>
      </c>
      <c r="W4094" t="s">
        <v>3149</v>
      </c>
      <c r="X4094" s="2">
        <v>864</v>
      </c>
      <c r="Y4094">
        <v>20</v>
      </c>
      <c r="Z4094" t="s">
        <v>5508</v>
      </c>
      <c r="AA4094" s="3">
        <v>0.34400826692581199</v>
      </c>
      <c r="AB4094" t="s">
        <v>21917</v>
      </c>
      <c r="AC4094" t="s">
        <v>4562</v>
      </c>
      <c r="AD4094" t="s">
        <v>21916</v>
      </c>
      <c r="AE4094" t="s">
        <v>4655</v>
      </c>
      <c r="AF4094" t="s">
        <v>5201</v>
      </c>
      <c r="AG4094" t="s">
        <v>4564</v>
      </c>
      <c r="AH4094" t="s">
        <v>1350</v>
      </c>
      <c r="AI4094" t="s">
        <v>3548</v>
      </c>
      <c r="AJ4094" t="s">
        <v>4655</v>
      </c>
      <c r="AK4094" t="s">
        <v>21918</v>
      </c>
      <c r="AL4094" s="13" t="s">
        <v>1892</v>
      </c>
      <c r="AM4094">
        <v>1</v>
      </c>
      <c r="AN4094" s="15" t="s">
        <v>4978</v>
      </c>
    </row>
    <row r="4095" spans="1:40" x14ac:dyDescent="0.3">
      <c r="A4095" s="10" t="str">
        <f>HYPERLINK("http://www.washoecounty.gov/assessor/cama/?parid=089-313-09&amp;CardNumber=1","089-313-09")</f>
        <v>089-313-09</v>
      </c>
      <c r="B4095" t="s">
        <v>4655</v>
      </c>
      <c r="C4095" t="s">
        <v>21919</v>
      </c>
      <c r="D4095" s="1">
        <v>40498</v>
      </c>
      <c r="E4095" s="2">
        <v>128000</v>
      </c>
      <c r="F4095" t="s">
        <v>4553</v>
      </c>
      <c r="G4095" s="17" t="str">
        <f>HYPERLINK("https://www.washoecounty.gov/assessor/cama/?command=sales&amp;parid=08931309","3943526")</f>
        <v>3943526</v>
      </c>
      <c r="H4095" t="s">
        <v>21920</v>
      </c>
      <c r="I4095">
        <v>1989</v>
      </c>
      <c r="J4095">
        <v>1989</v>
      </c>
      <c r="K4095" t="s">
        <v>4554</v>
      </c>
      <c r="L4095" t="s">
        <v>3886</v>
      </c>
      <c r="M4095" s="2">
        <v>1596</v>
      </c>
      <c r="N4095" t="s">
        <v>4556</v>
      </c>
      <c r="O4095">
        <v>3</v>
      </c>
      <c r="P4095">
        <v>2</v>
      </c>
      <c r="Q4095">
        <v>0</v>
      </c>
      <c r="R4095" t="s">
        <v>4557</v>
      </c>
      <c r="S4095" t="s">
        <v>4558</v>
      </c>
      <c r="T4095" t="s">
        <v>4559</v>
      </c>
      <c r="U4095" t="s">
        <v>4560</v>
      </c>
      <c r="V4095" s="2">
        <v>400</v>
      </c>
      <c r="W4095" t="s">
        <v>4655</v>
      </c>
      <c r="X4095" s="2">
        <v>0</v>
      </c>
      <c r="Y4095">
        <v>20</v>
      </c>
      <c r="Z4095" t="s">
        <v>5508</v>
      </c>
      <c r="AA4095" s="3">
        <v>0.36499083042144798</v>
      </c>
      <c r="AB4095" t="s">
        <v>21921</v>
      </c>
      <c r="AC4095" t="s">
        <v>4562</v>
      </c>
      <c r="AD4095" t="s">
        <v>21922</v>
      </c>
      <c r="AE4095" t="s">
        <v>4655</v>
      </c>
      <c r="AF4095" t="s">
        <v>4809</v>
      </c>
      <c r="AG4095" t="s">
        <v>4564</v>
      </c>
      <c r="AH4095" t="s">
        <v>1350</v>
      </c>
      <c r="AI4095" t="s">
        <v>2351</v>
      </c>
      <c r="AJ4095" t="s">
        <v>4655</v>
      </c>
      <c r="AK4095" t="s">
        <v>21923</v>
      </c>
      <c r="AL4095" s="13" t="s">
        <v>1892</v>
      </c>
      <c r="AM4095">
        <v>1</v>
      </c>
      <c r="AN4095" s="15" t="s">
        <v>4978</v>
      </c>
    </row>
    <row r="4096" spans="1:40" x14ac:dyDescent="0.3">
      <c r="A4096" s="10" t="str">
        <f>HYPERLINK("http://www.washoecounty.gov/assessor/cama/?parid=089-321-02&amp;CardNumber=1","089-321-02")</f>
        <v>089-321-02</v>
      </c>
      <c r="B4096" t="s">
        <v>4655</v>
      </c>
      <c r="C4096" t="s">
        <v>21924</v>
      </c>
      <c r="D4096" s="1">
        <v>40469</v>
      </c>
      <c r="E4096" s="2">
        <v>140000</v>
      </c>
      <c r="F4096" t="s">
        <v>4567</v>
      </c>
      <c r="G4096" s="17" t="str">
        <f>HYPERLINK("https://www.washoecounty.gov/assessor/cama/?command=sales&amp;parid=08932102","3934057")</f>
        <v>3934057</v>
      </c>
      <c r="H4096" t="s">
        <v>3547</v>
      </c>
      <c r="I4096">
        <v>1988</v>
      </c>
      <c r="J4096">
        <v>1988</v>
      </c>
      <c r="K4096" t="s">
        <v>4554</v>
      </c>
      <c r="L4096" t="s">
        <v>4555</v>
      </c>
      <c r="M4096" s="2">
        <v>1398</v>
      </c>
      <c r="N4096" t="s">
        <v>4556</v>
      </c>
      <c r="O4096">
        <v>4</v>
      </c>
      <c r="P4096">
        <v>2</v>
      </c>
      <c r="Q4096">
        <v>0</v>
      </c>
      <c r="R4096" t="s">
        <v>4557</v>
      </c>
      <c r="S4096" t="s">
        <v>4558</v>
      </c>
      <c r="T4096" t="s">
        <v>4559</v>
      </c>
      <c r="U4096" t="s">
        <v>4560</v>
      </c>
      <c r="V4096" s="2">
        <v>400</v>
      </c>
      <c r="W4096" t="s">
        <v>3149</v>
      </c>
      <c r="X4096" s="2">
        <v>864</v>
      </c>
      <c r="Y4096">
        <v>20</v>
      </c>
      <c r="Z4096" t="s">
        <v>5508</v>
      </c>
      <c r="AA4096" s="3">
        <v>0.36999541521072399</v>
      </c>
      <c r="AB4096" t="s">
        <v>21925</v>
      </c>
      <c r="AC4096" t="s">
        <v>4575</v>
      </c>
      <c r="AD4096" t="s">
        <v>21924</v>
      </c>
      <c r="AE4096" t="s">
        <v>4655</v>
      </c>
      <c r="AF4096" t="s">
        <v>5201</v>
      </c>
      <c r="AG4096" t="s">
        <v>4564</v>
      </c>
      <c r="AH4096" t="s">
        <v>1350</v>
      </c>
      <c r="AI4096" t="s">
        <v>21926</v>
      </c>
      <c r="AJ4096" t="s">
        <v>4655</v>
      </c>
      <c r="AK4096" t="s">
        <v>21927</v>
      </c>
      <c r="AL4096" s="13" t="s">
        <v>1892</v>
      </c>
      <c r="AM4096" s="14">
        <v>1</v>
      </c>
      <c r="AN4096" s="15" t="s">
        <v>4978</v>
      </c>
    </row>
    <row r="4097" spans="1:40" x14ac:dyDescent="0.3">
      <c r="A4097" s="10" t="str">
        <f>HYPERLINK("http://www.washoecounty.gov/assessor/cama/?parid=089-321-07&amp;CardNumber=1","089-321-07")</f>
        <v>089-321-07</v>
      </c>
      <c r="B4097" t="s">
        <v>4655</v>
      </c>
      <c r="C4097" t="s">
        <v>21928</v>
      </c>
      <c r="D4097" s="1">
        <v>40192</v>
      </c>
      <c r="E4097" s="2">
        <v>150000</v>
      </c>
      <c r="F4097" t="s">
        <v>4553</v>
      </c>
      <c r="G4097" s="17" t="str">
        <f>HYPERLINK("https://www.washoecounty.gov/assessor/cama/?command=sales&amp;parid=08932107","3839114")</f>
        <v>3839114</v>
      </c>
      <c r="H4097" t="s">
        <v>3547</v>
      </c>
      <c r="I4097">
        <v>1989</v>
      </c>
      <c r="J4097">
        <v>1989</v>
      </c>
      <c r="K4097" t="s">
        <v>4554</v>
      </c>
      <c r="L4097" t="s">
        <v>3886</v>
      </c>
      <c r="M4097" s="2">
        <v>1590</v>
      </c>
      <c r="N4097" t="s">
        <v>4556</v>
      </c>
      <c r="O4097">
        <v>3</v>
      </c>
      <c r="P4097">
        <v>2</v>
      </c>
      <c r="Q4097">
        <v>0</v>
      </c>
      <c r="R4097" t="s">
        <v>4557</v>
      </c>
      <c r="S4097" t="s">
        <v>4558</v>
      </c>
      <c r="T4097" t="s">
        <v>4559</v>
      </c>
      <c r="U4097" t="s">
        <v>4560</v>
      </c>
      <c r="V4097" s="2">
        <v>400</v>
      </c>
      <c r="W4097" t="s">
        <v>3149</v>
      </c>
      <c r="X4097" s="2">
        <v>864</v>
      </c>
      <c r="Y4097">
        <v>20</v>
      </c>
      <c r="Z4097" t="s">
        <v>5508</v>
      </c>
      <c r="AA4097" s="3">
        <v>0.40599173307418801</v>
      </c>
      <c r="AB4097" t="s">
        <v>21929</v>
      </c>
      <c r="AC4097" t="s">
        <v>4562</v>
      </c>
      <c r="AD4097" t="s">
        <v>21928</v>
      </c>
      <c r="AE4097" t="s">
        <v>4655</v>
      </c>
      <c r="AF4097" t="s">
        <v>5201</v>
      </c>
      <c r="AG4097" t="s">
        <v>4564</v>
      </c>
      <c r="AH4097" t="s">
        <v>1350</v>
      </c>
      <c r="AI4097" t="s">
        <v>4503</v>
      </c>
      <c r="AJ4097" t="s">
        <v>4655</v>
      </c>
      <c r="AK4097" t="s">
        <v>21930</v>
      </c>
      <c r="AL4097" s="13" t="s">
        <v>1892</v>
      </c>
      <c r="AM4097" s="14">
        <v>1</v>
      </c>
      <c r="AN4097" s="15" t="s">
        <v>4978</v>
      </c>
    </row>
    <row r="4098" spans="1:40" x14ac:dyDescent="0.3">
      <c r="A4098" s="10" t="str">
        <f>HYPERLINK("http://www.washoecounty.gov/assessor/cama/?parid=089-331-01&amp;CardNumber=1","089-331-01")</f>
        <v>089-331-01</v>
      </c>
      <c r="B4098" t="s">
        <v>4655</v>
      </c>
      <c r="C4098" t="s">
        <v>21931</v>
      </c>
      <c r="D4098" s="1">
        <v>40505</v>
      </c>
      <c r="E4098" s="2">
        <v>124500</v>
      </c>
      <c r="F4098" t="s">
        <v>4567</v>
      </c>
      <c r="G4098" s="17" t="str">
        <f>HYPERLINK("https://www.washoecounty.gov/assessor/cama/?command=sales&amp;parid=08933101","3946278")</f>
        <v>3946278</v>
      </c>
      <c r="H4098" t="s">
        <v>21932</v>
      </c>
      <c r="I4098">
        <v>1990</v>
      </c>
      <c r="J4098">
        <v>1990</v>
      </c>
      <c r="K4098" t="s">
        <v>4554</v>
      </c>
      <c r="L4098" t="s">
        <v>4555</v>
      </c>
      <c r="M4098" s="2">
        <v>1266</v>
      </c>
      <c r="N4098" t="s">
        <v>4556</v>
      </c>
      <c r="O4098">
        <v>3</v>
      </c>
      <c r="P4098">
        <v>2</v>
      </c>
      <c r="Q4098">
        <v>0</v>
      </c>
      <c r="R4098" t="s">
        <v>5281</v>
      </c>
      <c r="S4098" t="s">
        <v>4558</v>
      </c>
      <c r="T4098" t="s">
        <v>4559</v>
      </c>
      <c r="U4098" t="s">
        <v>4560</v>
      </c>
      <c r="V4098" s="2">
        <v>495</v>
      </c>
      <c r="W4098" t="s">
        <v>4655</v>
      </c>
      <c r="X4098" s="2">
        <v>0</v>
      </c>
      <c r="Y4098">
        <v>20</v>
      </c>
      <c r="Z4098" t="s">
        <v>5508</v>
      </c>
      <c r="AA4098" s="3">
        <v>0.34400826692581199</v>
      </c>
      <c r="AB4098" t="s">
        <v>21933</v>
      </c>
      <c r="AC4098" t="s">
        <v>4562</v>
      </c>
      <c r="AD4098" t="s">
        <v>21934</v>
      </c>
      <c r="AE4098" t="s">
        <v>4655</v>
      </c>
      <c r="AF4098" t="s">
        <v>2526</v>
      </c>
      <c r="AG4098" t="s">
        <v>4564</v>
      </c>
      <c r="AH4098">
        <v>89408</v>
      </c>
      <c r="AI4098" t="s">
        <v>21935</v>
      </c>
      <c r="AJ4098" t="s">
        <v>4655</v>
      </c>
      <c r="AK4098" t="s">
        <v>21936</v>
      </c>
      <c r="AL4098" s="13" t="s">
        <v>1892</v>
      </c>
      <c r="AM4098">
        <v>1</v>
      </c>
      <c r="AN4098" s="15" t="s">
        <v>4978</v>
      </c>
    </row>
    <row r="4099" spans="1:40" x14ac:dyDescent="0.3">
      <c r="A4099" s="10" t="str">
        <f>HYPERLINK("http://www.washoecounty.gov/assessor/cama/?parid=089-344-03&amp;CardNumber=1","089-344-03")</f>
        <v>089-344-03</v>
      </c>
      <c r="B4099" t="s">
        <v>4655</v>
      </c>
      <c r="C4099" t="s">
        <v>21937</v>
      </c>
      <c r="D4099" s="1">
        <v>40403</v>
      </c>
      <c r="E4099" s="2">
        <v>126500</v>
      </c>
      <c r="F4099" t="s">
        <v>4567</v>
      </c>
      <c r="G4099" s="17" t="str">
        <f>HYPERLINK("https://www.washoecounty.gov/assessor/cama/?command=sales&amp;parid=08934403","3911608")</f>
        <v>3911608</v>
      </c>
      <c r="H4099" t="s">
        <v>21932</v>
      </c>
      <c r="I4099">
        <v>1990</v>
      </c>
      <c r="J4099">
        <v>1990</v>
      </c>
      <c r="K4099" t="s">
        <v>4554</v>
      </c>
      <c r="L4099" t="s">
        <v>3886</v>
      </c>
      <c r="M4099" s="2">
        <v>1350</v>
      </c>
      <c r="N4099" t="s">
        <v>4556</v>
      </c>
      <c r="O4099">
        <v>4</v>
      </c>
      <c r="P4099">
        <v>2</v>
      </c>
      <c r="Q4099">
        <v>0</v>
      </c>
      <c r="R4099" t="s">
        <v>4557</v>
      </c>
      <c r="S4099" t="s">
        <v>4558</v>
      </c>
      <c r="T4099" t="s">
        <v>4559</v>
      </c>
      <c r="U4099" t="s">
        <v>4560</v>
      </c>
      <c r="V4099" s="2">
        <v>400</v>
      </c>
      <c r="W4099" t="s">
        <v>3149</v>
      </c>
      <c r="X4099" s="2">
        <v>864</v>
      </c>
      <c r="Y4099">
        <v>20</v>
      </c>
      <c r="Z4099" t="s">
        <v>5508</v>
      </c>
      <c r="AA4099" s="3">
        <v>0.35700184106826799</v>
      </c>
      <c r="AB4099" t="s">
        <v>21938</v>
      </c>
      <c r="AC4099" t="s">
        <v>4562</v>
      </c>
      <c r="AD4099" t="s">
        <v>21937</v>
      </c>
      <c r="AE4099" t="s">
        <v>4655</v>
      </c>
      <c r="AF4099" t="s">
        <v>5201</v>
      </c>
      <c r="AG4099" t="s">
        <v>4564</v>
      </c>
      <c r="AH4099" t="s">
        <v>1350</v>
      </c>
      <c r="AI4099" t="s">
        <v>21939</v>
      </c>
      <c r="AJ4099" t="s">
        <v>4655</v>
      </c>
      <c r="AK4099" t="s">
        <v>21940</v>
      </c>
      <c r="AL4099" s="13" t="s">
        <v>1892</v>
      </c>
      <c r="AM4099">
        <v>1</v>
      </c>
      <c r="AN4099" s="15" t="s">
        <v>4978</v>
      </c>
    </row>
    <row r="4100" spans="1:40" x14ac:dyDescent="0.3">
      <c r="A4100" s="10" t="str">
        <f>HYPERLINK("http://www.washoecounty.gov/assessor/cama/?parid=089-354-01&amp;CardNumber=1","089-354-01")</f>
        <v>089-354-01</v>
      </c>
      <c r="B4100" t="s">
        <v>4655</v>
      </c>
      <c r="C4100" t="s">
        <v>21941</v>
      </c>
      <c r="D4100" s="1">
        <v>40284</v>
      </c>
      <c r="E4100" s="2">
        <v>185000</v>
      </c>
      <c r="F4100" t="s">
        <v>4567</v>
      </c>
      <c r="G4100" s="17" t="str">
        <f>HYPERLINK("https://www.washoecounty.gov/assessor/cama/?command=sales&amp;parid=08935401","3872069")</f>
        <v>3872069</v>
      </c>
      <c r="H4100" t="s">
        <v>21942</v>
      </c>
      <c r="I4100">
        <v>1992</v>
      </c>
      <c r="J4100">
        <v>1992</v>
      </c>
      <c r="K4100" t="s">
        <v>4554</v>
      </c>
      <c r="L4100" t="s">
        <v>4555</v>
      </c>
      <c r="M4100" s="2">
        <v>1810</v>
      </c>
      <c r="N4100" t="s">
        <v>4048</v>
      </c>
      <c r="O4100">
        <v>3</v>
      </c>
      <c r="P4100">
        <v>2</v>
      </c>
      <c r="Q4100">
        <v>1</v>
      </c>
      <c r="R4100" t="s">
        <v>4557</v>
      </c>
      <c r="S4100" t="s">
        <v>4558</v>
      </c>
      <c r="T4100" t="s">
        <v>4559</v>
      </c>
      <c r="U4100" t="s">
        <v>4560</v>
      </c>
      <c r="V4100" s="2">
        <v>648</v>
      </c>
      <c r="W4100" t="s">
        <v>4655</v>
      </c>
      <c r="X4100" s="2">
        <v>0</v>
      </c>
      <c r="Y4100">
        <v>20</v>
      </c>
      <c r="Z4100" t="s">
        <v>5508</v>
      </c>
      <c r="AA4100" s="3">
        <v>0.3519972562789917</v>
      </c>
      <c r="AB4100" t="s">
        <v>21943</v>
      </c>
      <c r="AC4100" t="s">
        <v>4562</v>
      </c>
      <c r="AD4100" t="s">
        <v>21941</v>
      </c>
      <c r="AE4100" t="s">
        <v>4655</v>
      </c>
      <c r="AF4100" t="s">
        <v>5201</v>
      </c>
      <c r="AG4100" t="s">
        <v>4564</v>
      </c>
      <c r="AH4100" t="s">
        <v>1350</v>
      </c>
      <c r="AI4100" t="s">
        <v>21944</v>
      </c>
      <c r="AJ4100" t="s">
        <v>4655</v>
      </c>
      <c r="AK4100" t="s">
        <v>21945</v>
      </c>
      <c r="AL4100" s="13" t="s">
        <v>1892</v>
      </c>
      <c r="AM4100">
        <v>1</v>
      </c>
      <c r="AN4100" s="15" t="s">
        <v>1352</v>
      </c>
    </row>
    <row r="4101" spans="1:40" x14ac:dyDescent="0.3">
      <c r="A4101" s="10" t="str">
        <f>HYPERLINK("http://www.washoecounty.gov/assessor/cama/?parid=089-362-07&amp;CardNumber=1","089-362-07")</f>
        <v>089-362-07</v>
      </c>
      <c r="B4101" t="s">
        <v>4655</v>
      </c>
      <c r="C4101" t="s">
        <v>21946</v>
      </c>
      <c r="D4101" s="1">
        <v>40193</v>
      </c>
      <c r="E4101" s="2">
        <v>168000</v>
      </c>
      <c r="F4101" t="s">
        <v>4553</v>
      </c>
      <c r="G4101" s="17" t="str">
        <f>HYPERLINK("https://www.washoecounty.gov/assessor/cama/?command=sales&amp;parid=08936207","3840230")</f>
        <v>3840230</v>
      </c>
      <c r="H4101" t="s">
        <v>2970</v>
      </c>
      <c r="I4101">
        <v>1991</v>
      </c>
      <c r="J4101">
        <v>1991</v>
      </c>
      <c r="K4101" t="s">
        <v>4554</v>
      </c>
      <c r="L4101" t="s">
        <v>4555</v>
      </c>
      <c r="M4101" s="2">
        <v>1946</v>
      </c>
      <c r="N4101" t="s">
        <v>4048</v>
      </c>
      <c r="O4101">
        <v>3</v>
      </c>
      <c r="P4101">
        <v>2</v>
      </c>
      <c r="Q4101">
        <v>0</v>
      </c>
      <c r="R4101" t="s">
        <v>4557</v>
      </c>
      <c r="S4101" t="s">
        <v>4558</v>
      </c>
      <c r="T4101" t="s">
        <v>4559</v>
      </c>
      <c r="U4101" t="s">
        <v>4560</v>
      </c>
      <c r="V4101" s="2">
        <v>634</v>
      </c>
      <c r="W4101" t="s">
        <v>4655</v>
      </c>
      <c r="X4101" s="2">
        <v>0</v>
      </c>
      <c r="Y4101">
        <v>20</v>
      </c>
      <c r="Z4101" t="s">
        <v>5508</v>
      </c>
      <c r="AA4101" s="3">
        <v>0.35300734639167802</v>
      </c>
      <c r="AB4101" t="s">
        <v>21947</v>
      </c>
      <c r="AC4101" t="s">
        <v>4562</v>
      </c>
      <c r="AD4101" t="s">
        <v>21948</v>
      </c>
      <c r="AE4101" t="s">
        <v>4655</v>
      </c>
      <c r="AF4101" t="s">
        <v>1407</v>
      </c>
      <c r="AG4101" t="s">
        <v>4564</v>
      </c>
      <c r="AH4101">
        <v>89703</v>
      </c>
      <c r="AI4101" t="s">
        <v>4045</v>
      </c>
      <c r="AJ4101" t="s">
        <v>4655</v>
      </c>
      <c r="AK4101" t="s">
        <v>21949</v>
      </c>
      <c r="AL4101" s="13" t="s">
        <v>1892</v>
      </c>
      <c r="AM4101">
        <v>1</v>
      </c>
      <c r="AN4101" s="15" t="s">
        <v>1352</v>
      </c>
    </row>
    <row r="4102" spans="1:40" x14ac:dyDescent="0.3">
      <c r="A4102" s="10" t="str">
        <f>HYPERLINK("http://www.washoecounty.gov/assessor/cama/?parid=089-372-08&amp;CardNumber=1","089-372-08")</f>
        <v>089-372-08</v>
      </c>
      <c r="B4102" t="s">
        <v>4655</v>
      </c>
      <c r="C4102" t="s">
        <v>21950</v>
      </c>
      <c r="D4102" s="1">
        <v>40350</v>
      </c>
      <c r="E4102" s="2">
        <v>166000</v>
      </c>
      <c r="F4102" t="s">
        <v>4553</v>
      </c>
      <c r="G4102" s="17" t="str">
        <f>HYPERLINK("https://www.washoecounty.gov/assessor/cama/?command=sales&amp;parid=08937208","3893687")</f>
        <v>3893687</v>
      </c>
      <c r="H4102" t="s">
        <v>3641</v>
      </c>
      <c r="I4102">
        <v>1993</v>
      </c>
      <c r="J4102">
        <v>1993</v>
      </c>
      <c r="K4102" t="s">
        <v>4554</v>
      </c>
      <c r="L4102" t="s">
        <v>4555</v>
      </c>
      <c r="M4102" s="2">
        <v>1598</v>
      </c>
      <c r="N4102" t="s">
        <v>4048</v>
      </c>
      <c r="O4102">
        <v>3</v>
      </c>
      <c r="P4102">
        <v>2</v>
      </c>
      <c r="Q4102">
        <v>0</v>
      </c>
      <c r="R4102" t="s">
        <v>5281</v>
      </c>
      <c r="S4102" t="s">
        <v>4558</v>
      </c>
      <c r="T4102" t="s">
        <v>4559</v>
      </c>
      <c r="U4102" t="s">
        <v>4560</v>
      </c>
      <c r="V4102" s="2">
        <v>420</v>
      </c>
      <c r="W4102" t="s">
        <v>4655</v>
      </c>
      <c r="X4102" s="2">
        <v>0</v>
      </c>
      <c r="Y4102">
        <v>20</v>
      </c>
      <c r="Z4102" t="s">
        <v>5508</v>
      </c>
      <c r="AA4102" s="3">
        <v>0.403994500637054</v>
      </c>
      <c r="AB4102" t="s">
        <v>21951</v>
      </c>
      <c r="AC4102" t="s">
        <v>4562</v>
      </c>
      <c r="AD4102" t="s">
        <v>21950</v>
      </c>
      <c r="AE4102" t="s">
        <v>4655</v>
      </c>
      <c r="AF4102" t="s">
        <v>5201</v>
      </c>
      <c r="AG4102" t="s">
        <v>4564</v>
      </c>
      <c r="AH4102" t="s">
        <v>1605</v>
      </c>
      <c r="AI4102" t="s">
        <v>4655</v>
      </c>
      <c r="AJ4102" t="s">
        <v>4655</v>
      </c>
      <c r="AK4102" t="s">
        <v>21952</v>
      </c>
      <c r="AL4102" s="13" t="s">
        <v>1892</v>
      </c>
      <c r="AM4102">
        <v>1</v>
      </c>
      <c r="AN4102" s="15" t="s">
        <v>1352</v>
      </c>
    </row>
    <row r="4103" spans="1:40" x14ac:dyDescent="0.3">
      <c r="A4103" s="10" t="str">
        <f>HYPERLINK("http://www.washoecounty.gov/assessor/cama/?parid=089-391-08&amp;CardNumber=1","089-391-08")</f>
        <v>089-391-08</v>
      </c>
      <c r="B4103" t="s">
        <v>4655</v>
      </c>
      <c r="C4103" t="s">
        <v>21953</v>
      </c>
      <c r="D4103" s="1">
        <v>40540</v>
      </c>
      <c r="E4103" s="2">
        <v>115000</v>
      </c>
      <c r="F4103" t="s">
        <v>4567</v>
      </c>
      <c r="G4103" s="17" t="str">
        <f>HYPERLINK("https://www.washoecounty.gov/assessor/cama/?command=sales&amp;parid=08939108","3957853")</f>
        <v>3957853</v>
      </c>
      <c r="H4103" t="s">
        <v>5451</v>
      </c>
      <c r="I4103">
        <v>1991</v>
      </c>
      <c r="J4103">
        <v>1991</v>
      </c>
      <c r="K4103" t="s">
        <v>4554</v>
      </c>
      <c r="L4103" t="s">
        <v>4555</v>
      </c>
      <c r="M4103" s="2">
        <v>1347</v>
      </c>
      <c r="N4103" t="s">
        <v>4048</v>
      </c>
      <c r="O4103">
        <v>3</v>
      </c>
      <c r="P4103">
        <v>2</v>
      </c>
      <c r="Q4103">
        <v>0</v>
      </c>
      <c r="R4103" t="s">
        <v>5281</v>
      </c>
      <c r="S4103" t="s">
        <v>4558</v>
      </c>
      <c r="T4103" t="s">
        <v>4559</v>
      </c>
      <c r="U4103" t="s">
        <v>4560</v>
      </c>
      <c r="V4103" s="2">
        <v>544</v>
      </c>
      <c r="W4103" t="s">
        <v>4655</v>
      </c>
      <c r="X4103" s="2">
        <v>0</v>
      </c>
      <c r="Y4103">
        <v>20</v>
      </c>
      <c r="Z4103" t="s">
        <v>5508</v>
      </c>
      <c r="AA4103" s="3">
        <v>0.50654268264770497</v>
      </c>
      <c r="AB4103" t="s">
        <v>21954</v>
      </c>
      <c r="AC4103" t="s">
        <v>4562</v>
      </c>
      <c r="AD4103" t="s">
        <v>21955</v>
      </c>
      <c r="AE4103" t="s">
        <v>4655</v>
      </c>
      <c r="AF4103" t="s">
        <v>5201</v>
      </c>
      <c r="AG4103" t="s">
        <v>4564</v>
      </c>
      <c r="AH4103" t="s">
        <v>1350</v>
      </c>
      <c r="AI4103" t="s">
        <v>21956</v>
      </c>
      <c r="AJ4103" t="s">
        <v>4655</v>
      </c>
      <c r="AK4103" t="s">
        <v>21957</v>
      </c>
      <c r="AL4103" s="13" t="s">
        <v>1892</v>
      </c>
      <c r="AM4103" s="14">
        <v>1</v>
      </c>
      <c r="AN4103" s="15" t="s">
        <v>1352</v>
      </c>
    </row>
    <row r="4104" spans="1:40" x14ac:dyDescent="0.3">
      <c r="A4104" s="10" t="str">
        <f>HYPERLINK("http://www.washoecounty.gov/assessor/cama/?parid=089-411-04&amp;CardNumber=1","089-411-04")</f>
        <v>089-411-04</v>
      </c>
      <c r="B4104" t="s">
        <v>4655</v>
      </c>
      <c r="C4104" t="s">
        <v>21958</v>
      </c>
      <c r="D4104" s="1">
        <v>40505</v>
      </c>
      <c r="E4104" s="2">
        <v>130000</v>
      </c>
      <c r="F4104" t="s">
        <v>4553</v>
      </c>
      <c r="G4104" s="17" t="str">
        <f>HYPERLINK("https://www.washoecounty.gov/assessor/cama/?command=sales&amp;parid=08941104","3946166")</f>
        <v>3946166</v>
      </c>
      <c r="H4104" t="s">
        <v>1032</v>
      </c>
      <c r="I4104">
        <v>1993</v>
      </c>
      <c r="J4104">
        <v>1993</v>
      </c>
      <c r="K4104" t="s">
        <v>4554</v>
      </c>
      <c r="L4104" t="s">
        <v>4555</v>
      </c>
      <c r="M4104" s="2">
        <v>1516</v>
      </c>
      <c r="N4104" t="s">
        <v>4048</v>
      </c>
      <c r="O4104">
        <v>3</v>
      </c>
      <c r="P4104">
        <v>2</v>
      </c>
      <c r="Q4104">
        <v>0</v>
      </c>
      <c r="R4104" t="s">
        <v>4557</v>
      </c>
      <c r="S4104" t="s">
        <v>4558</v>
      </c>
      <c r="T4104" t="s">
        <v>4559</v>
      </c>
      <c r="U4104" t="s">
        <v>4560</v>
      </c>
      <c r="V4104" s="2">
        <v>624</v>
      </c>
      <c r="W4104" t="s">
        <v>4655</v>
      </c>
      <c r="X4104" s="2">
        <v>0</v>
      </c>
      <c r="Y4104">
        <v>20</v>
      </c>
      <c r="Z4104" t="s">
        <v>5508</v>
      </c>
      <c r="AA4104" s="3">
        <v>0.44499540328979498</v>
      </c>
      <c r="AB4104" t="s">
        <v>21959</v>
      </c>
      <c r="AC4104" t="s">
        <v>4562</v>
      </c>
      <c r="AD4104" t="s">
        <v>21960</v>
      </c>
      <c r="AE4104" t="s">
        <v>4655</v>
      </c>
      <c r="AF4104" t="s">
        <v>5201</v>
      </c>
      <c r="AG4104" t="s">
        <v>4564</v>
      </c>
      <c r="AH4104" t="s">
        <v>1350</v>
      </c>
      <c r="AI4104" t="s">
        <v>4848</v>
      </c>
      <c r="AJ4104" t="s">
        <v>5468</v>
      </c>
      <c r="AK4104" t="s">
        <v>21961</v>
      </c>
      <c r="AL4104" s="13" t="s">
        <v>1892</v>
      </c>
      <c r="AM4104">
        <v>1</v>
      </c>
      <c r="AN4104" s="15" t="s">
        <v>1352</v>
      </c>
    </row>
    <row r="4105" spans="1:40" x14ac:dyDescent="0.3">
      <c r="A4105" s="10" t="str">
        <f>HYPERLINK("http://www.washoecounty.gov/assessor/cama/?parid=089-412-01&amp;CardNumber=1","089-412-01")</f>
        <v>089-412-01</v>
      </c>
      <c r="B4105" t="s">
        <v>4655</v>
      </c>
      <c r="C4105" t="s">
        <v>21962</v>
      </c>
      <c r="D4105" s="1">
        <v>40336</v>
      </c>
      <c r="E4105" s="2">
        <v>188000</v>
      </c>
      <c r="F4105" t="s">
        <v>4567</v>
      </c>
      <c r="G4105" s="17" t="str">
        <f>HYPERLINK("https://www.washoecounty.gov/assessor/cama/?command=sales&amp;parid=08941201","3888969")</f>
        <v>3888969</v>
      </c>
      <c r="H4105" t="s">
        <v>5467</v>
      </c>
      <c r="I4105">
        <v>1992</v>
      </c>
      <c r="J4105">
        <v>1992</v>
      </c>
      <c r="K4105" t="s">
        <v>4554</v>
      </c>
      <c r="L4105" t="s">
        <v>4555</v>
      </c>
      <c r="M4105" s="2">
        <v>1810</v>
      </c>
      <c r="N4105" t="s">
        <v>4048</v>
      </c>
      <c r="O4105">
        <v>3</v>
      </c>
      <c r="P4105">
        <v>2</v>
      </c>
      <c r="Q4105">
        <v>1</v>
      </c>
      <c r="R4105" t="s">
        <v>4557</v>
      </c>
      <c r="S4105" t="s">
        <v>4558</v>
      </c>
      <c r="T4105" t="s">
        <v>4559</v>
      </c>
      <c r="U4105" t="s">
        <v>4560</v>
      </c>
      <c r="V4105" s="2">
        <v>672</v>
      </c>
      <c r="W4105" t="s">
        <v>4655</v>
      </c>
      <c r="X4105" s="2">
        <v>0</v>
      </c>
      <c r="Y4105">
        <v>20</v>
      </c>
      <c r="Z4105" t="s">
        <v>5508</v>
      </c>
      <c r="AA4105" s="3">
        <v>0.37199264764785767</v>
      </c>
      <c r="AB4105" t="s">
        <v>21963</v>
      </c>
      <c r="AC4105" t="s">
        <v>4575</v>
      </c>
      <c r="AD4105" t="s">
        <v>21964</v>
      </c>
      <c r="AE4105" t="s">
        <v>21965</v>
      </c>
      <c r="AF4105" t="s">
        <v>5201</v>
      </c>
      <c r="AG4105" t="s">
        <v>4564</v>
      </c>
      <c r="AH4105" t="s">
        <v>1350</v>
      </c>
      <c r="AI4105" t="s">
        <v>21966</v>
      </c>
      <c r="AJ4105" t="s">
        <v>5468</v>
      </c>
      <c r="AK4105" t="s">
        <v>21967</v>
      </c>
      <c r="AL4105" s="13" t="s">
        <v>1892</v>
      </c>
      <c r="AM4105">
        <v>1</v>
      </c>
      <c r="AN4105" s="15" t="s">
        <v>1352</v>
      </c>
    </row>
    <row r="4106" spans="1:40" x14ac:dyDescent="0.3">
      <c r="A4106" s="10" t="str">
        <f>HYPERLINK("http://www.washoecounty.gov/assessor/cama/?parid=089-413-01&amp;CardNumber=1","089-413-01")</f>
        <v>089-413-01</v>
      </c>
      <c r="B4106" t="s">
        <v>4655</v>
      </c>
      <c r="C4106" t="s">
        <v>21968</v>
      </c>
      <c r="D4106" s="1">
        <v>40315</v>
      </c>
      <c r="E4106" s="2">
        <v>159000</v>
      </c>
      <c r="F4106" t="s">
        <v>4567</v>
      </c>
      <c r="G4106" s="17" t="str">
        <f>HYPERLINK("https://www.washoecounty.gov/assessor/cama/?command=sales&amp;parid=08941301","3882152")</f>
        <v>3882152</v>
      </c>
      <c r="H4106" t="s">
        <v>5467</v>
      </c>
      <c r="I4106">
        <v>1992</v>
      </c>
      <c r="J4106">
        <v>1992</v>
      </c>
      <c r="K4106" t="s">
        <v>4554</v>
      </c>
      <c r="L4106" t="s">
        <v>4555</v>
      </c>
      <c r="M4106" s="2">
        <v>1490</v>
      </c>
      <c r="N4106" t="s">
        <v>4048</v>
      </c>
      <c r="O4106">
        <v>3</v>
      </c>
      <c r="P4106">
        <v>2</v>
      </c>
      <c r="Q4106">
        <v>0</v>
      </c>
      <c r="R4106" t="s">
        <v>5281</v>
      </c>
      <c r="S4106" t="s">
        <v>4558</v>
      </c>
      <c r="T4106" t="s">
        <v>4559</v>
      </c>
      <c r="U4106" t="s">
        <v>4560</v>
      </c>
      <c r="V4106" s="2">
        <v>484</v>
      </c>
      <c r="W4106" t="s">
        <v>4655</v>
      </c>
      <c r="X4106" s="2">
        <v>0</v>
      </c>
      <c r="Y4106">
        <v>20</v>
      </c>
      <c r="Z4106" t="s">
        <v>5508</v>
      </c>
      <c r="AA4106" s="3">
        <v>0.41099631786346402</v>
      </c>
      <c r="AB4106" t="s">
        <v>21969</v>
      </c>
      <c r="AC4106" t="s">
        <v>4562</v>
      </c>
      <c r="AD4106" t="s">
        <v>21968</v>
      </c>
      <c r="AE4106" t="s">
        <v>4655</v>
      </c>
      <c r="AF4106" t="s">
        <v>5201</v>
      </c>
      <c r="AG4106" t="s">
        <v>4564</v>
      </c>
      <c r="AH4106" t="s">
        <v>1350</v>
      </c>
      <c r="AI4106" t="s">
        <v>21970</v>
      </c>
      <c r="AJ4106" t="s">
        <v>5468</v>
      </c>
      <c r="AK4106" t="s">
        <v>21971</v>
      </c>
      <c r="AL4106" s="13" t="s">
        <v>1892</v>
      </c>
      <c r="AM4106">
        <v>1</v>
      </c>
      <c r="AN4106" s="15" t="s">
        <v>1352</v>
      </c>
    </row>
    <row r="4107" spans="1:40" x14ac:dyDescent="0.3">
      <c r="A4107" s="10" t="str">
        <f>HYPERLINK("http://www.washoecounty.gov/assessor/cama/?parid=089-422-02&amp;CardNumber=1","089-422-02")</f>
        <v>089-422-02</v>
      </c>
      <c r="B4107" t="s">
        <v>4655</v>
      </c>
      <c r="C4107" t="s">
        <v>21972</v>
      </c>
      <c r="D4107" s="1">
        <v>40280</v>
      </c>
      <c r="E4107" s="2">
        <v>160000</v>
      </c>
      <c r="F4107" t="s">
        <v>4567</v>
      </c>
      <c r="G4107" s="17" t="str">
        <f>HYPERLINK("https://www.washoecounty.gov/assessor/cama/?command=sales&amp;parid=08942202","3869696")</f>
        <v>3869696</v>
      </c>
      <c r="H4107" t="s">
        <v>21973</v>
      </c>
      <c r="I4107">
        <v>1993</v>
      </c>
      <c r="J4107">
        <v>1993</v>
      </c>
      <c r="K4107" t="s">
        <v>4554</v>
      </c>
      <c r="L4107" t="s">
        <v>4555</v>
      </c>
      <c r="M4107" s="2">
        <v>1502</v>
      </c>
      <c r="N4107" t="s">
        <v>4048</v>
      </c>
      <c r="O4107">
        <v>3</v>
      </c>
      <c r="P4107">
        <v>2</v>
      </c>
      <c r="Q4107">
        <v>0</v>
      </c>
      <c r="R4107" t="s">
        <v>4557</v>
      </c>
      <c r="S4107" t="s">
        <v>4558</v>
      </c>
      <c r="T4107" t="s">
        <v>4559</v>
      </c>
      <c r="U4107" t="s">
        <v>4560</v>
      </c>
      <c r="V4107" s="2">
        <v>484</v>
      </c>
      <c r="W4107" t="s">
        <v>4655</v>
      </c>
      <c r="X4107" s="2">
        <v>0</v>
      </c>
      <c r="Y4107">
        <v>20</v>
      </c>
      <c r="Z4107" t="s">
        <v>5508</v>
      </c>
      <c r="AA4107" s="3">
        <v>0.37899449467658997</v>
      </c>
      <c r="AB4107" t="s">
        <v>21974</v>
      </c>
      <c r="AC4107" t="s">
        <v>4575</v>
      </c>
      <c r="AD4107" t="s">
        <v>21975</v>
      </c>
      <c r="AE4107" t="s">
        <v>4655</v>
      </c>
      <c r="AF4107" t="s">
        <v>5201</v>
      </c>
      <c r="AG4107" t="s">
        <v>4564</v>
      </c>
      <c r="AH4107" t="s">
        <v>1350</v>
      </c>
      <c r="AI4107" t="s">
        <v>21976</v>
      </c>
      <c r="AJ4107" t="s">
        <v>5147</v>
      </c>
      <c r="AK4107" t="s">
        <v>21977</v>
      </c>
      <c r="AL4107" s="13" t="s">
        <v>1892</v>
      </c>
      <c r="AM4107">
        <v>1</v>
      </c>
      <c r="AN4107" s="15" t="s">
        <v>1352</v>
      </c>
    </row>
    <row r="4108" spans="1:40" x14ac:dyDescent="0.3">
      <c r="A4108" s="10" t="str">
        <f>HYPERLINK("http://www.washoecounty.gov/assessor/cama/?parid=089-424-01&amp;CardNumber=1","089-424-01")</f>
        <v>089-424-01</v>
      </c>
      <c r="B4108" t="s">
        <v>4655</v>
      </c>
      <c r="C4108" t="s">
        <v>21978</v>
      </c>
      <c r="D4108" s="1">
        <v>40296</v>
      </c>
      <c r="E4108" s="2">
        <v>145000</v>
      </c>
      <c r="F4108" t="s">
        <v>4553</v>
      </c>
      <c r="G4108" s="17" t="str">
        <f>HYPERLINK("https://www.washoecounty.gov/assessor/cama/?command=sales&amp;parid=08942401","3875556")</f>
        <v>3875556</v>
      </c>
      <c r="H4108" t="s">
        <v>21979</v>
      </c>
      <c r="I4108">
        <v>1994</v>
      </c>
      <c r="J4108">
        <v>1994</v>
      </c>
      <c r="K4108" t="s">
        <v>4554</v>
      </c>
      <c r="L4108" t="s">
        <v>4555</v>
      </c>
      <c r="M4108" s="2">
        <v>1288</v>
      </c>
      <c r="N4108" t="s">
        <v>4048</v>
      </c>
      <c r="O4108">
        <v>3</v>
      </c>
      <c r="P4108">
        <v>2</v>
      </c>
      <c r="Q4108">
        <v>0</v>
      </c>
      <c r="R4108" t="s">
        <v>4557</v>
      </c>
      <c r="S4108" t="s">
        <v>4558</v>
      </c>
      <c r="T4108" t="s">
        <v>4559</v>
      </c>
      <c r="U4108" t="s">
        <v>4560</v>
      </c>
      <c r="V4108" s="2">
        <v>400</v>
      </c>
      <c r="W4108" t="s">
        <v>4655</v>
      </c>
      <c r="X4108" s="2">
        <v>0</v>
      </c>
      <c r="Y4108">
        <v>20</v>
      </c>
      <c r="Z4108" t="s">
        <v>5508</v>
      </c>
      <c r="AA4108" s="3">
        <v>0.47300276160240201</v>
      </c>
      <c r="AB4108" t="s">
        <v>21980</v>
      </c>
      <c r="AC4108" t="s">
        <v>4562</v>
      </c>
      <c r="AD4108" t="s">
        <v>21978</v>
      </c>
      <c r="AE4108" t="s">
        <v>4655</v>
      </c>
      <c r="AF4108" t="s">
        <v>5201</v>
      </c>
      <c r="AG4108" t="s">
        <v>4564</v>
      </c>
      <c r="AH4108" t="s">
        <v>1605</v>
      </c>
      <c r="AI4108" t="s">
        <v>5203</v>
      </c>
      <c r="AJ4108" t="s">
        <v>5147</v>
      </c>
      <c r="AK4108" t="s">
        <v>21981</v>
      </c>
      <c r="AL4108" s="13" t="s">
        <v>1892</v>
      </c>
      <c r="AM4108">
        <v>1</v>
      </c>
      <c r="AN4108" s="15" t="s">
        <v>1352</v>
      </c>
    </row>
    <row r="4109" spans="1:40" x14ac:dyDescent="0.3">
      <c r="A4109" s="10" t="str">
        <f>HYPERLINK("http://www.washoecounty.gov/assessor/cama/?parid=089-425-20&amp;CardNumber=1","089-425-20")</f>
        <v>089-425-20</v>
      </c>
      <c r="B4109" t="s">
        <v>4655</v>
      </c>
      <c r="C4109" t="s">
        <v>21982</v>
      </c>
      <c r="D4109" s="1">
        <v>40191</v>
      </c>
      <c r="E4109" s="2">
        <v>225000</v>
      </c>
      <c r="F4109" t="s">
        <v>4567</v>
      </c>
      <c r="G4109" s="17" t="str">
        <f>HYPERLINK("https://www.washoecounty.gov/assessor/cama/?command=sales&amp;parid=08942520","3838923")</f>
        <v>3838923</v>
      </c>
      <c r="H4109" t="s">
        <v>1447</v>
      </c>
      <c r="I4109">
        <v>1993</v>
      </c>
      <c r="J4109">
        <v>1993</v>
      </c>
      <c r="K4109" t="s">
        <v>4554</v>
      </c>
      <c r="L4109" t="s">
        <v>4555</v>
      </c>
      <c r="M4109" s="2">
        <v>1728</v>
      </c>
      <c r="N4109" t="s">
        <v>4048</v>
      </c>
      <c r="O4109">
        <v>3</v>
      </c>
      <c r="P4109">
        <v>2</v>
      </c>
      <c r="Q4109">
        <v>0</v>
      </c>
      <c r="R4109" t="s">
        <v>5281</v>
      </c>
      <c r="S4109" t="s">
        <v>4558</v>
      </c>
      <c r="T4109" t="s">
        <v>4559</v>
      </c>
      <c r="U4109" t="s">
        <v>4560</v>
      </c>
      <c r="V4109" s="2">
        <v>678</v>
      </c>
      <c r="W4109" t="s">
        <v>4655</v>
      </c>
      <c r="X4109" s="2">
        <v>0</v>
      </c>
      <c r="Y4109">
        <v>20</v>
      </c>
      <c r="Z4109" t="s">
        <v>5508</v>
      </c>
      <c r="AA4109" s="3">
        <v>0.97300273180007901</v>
      </c>
      <c r="AB4109" t="s">
        <v>21983</v>
      </c>
      <c r="AC4109" t="s">
        <v>4562</v>
      </c>
      <c r="AD4109" t="s">
        <v>21984</v>
      </c>
      <c r="AE4109" t="s">
        <v>4655</v>
      </c>
      <c r="AF4109" t="s">
        <v>5201</v>
      </c>
      <c r="AG4109" t="s">
        <v>4564</v>
      </c>
      <c r="AH4109" t="s">
        <v>1605</v>
      </c>
      <c r="AI4109" t="s">
        <v>21985</v>
      </c>
      <c r="AJ4109" t="s">
        <v>5147</v>
      </c>
      <c r="AK4109" t="s">
        <v>21986</v>
      </c>
      <c r="AL4109" s="13" t="s">
        <v>1892</v>
      </c>
      <c r="AM4109">
        <v>1</v>
      </c>
      <c r="AN4109" s="15" t="s">
        <v>1352</v>
      </c>
    </row>
    <row r="4110" spans="1:40" x14ac:dyDescent="0.3">
      <c r="A4110" s="10" t="str">
        <f>HYPERLINK("http://www.washoecounty.gov/assessor/cama/?parid=089-433-01&amp;CardNumber=1","089-433-01")</f>
        <v>089-433-01</v>
      </c>
      <c r="B4110" t="s">
        <v>4655</v>
      </c>
      <c r="C4110" t="s">
        <v>21987</v>
      </c>
      <c r="D4110" s="1">
        <v>40259</v>
      </c>
      <c r="E4110" s="2">
        <v>149600</v>
      </c>
      <c r="F4110" t="s">
        <v>4553</v>
      </c>
      <c r="G4110" s="17" t="str">
        <f>HYPERLINK("https://www.washoecounty.gov/assessor/cama/?command=sales&amp;parid=08943301","3862057")</f>
        <v>3862057</v>
      </c>
      <c r="H4110" t="s">
        <v>4607</v>
      </c>
      <c r="I4110">
        <v>1993</v>
      </c>
      <c r="J4110">
        <v>1993</v>
      </c>
      <c r="K4110" t="s">
        <v>4554</v>
      </c>
      <c r="L4110" t="s">
        <v>4555</v>
      </c>
      <c r="M4110" s="2">
        <v>1748</v>
      </c>
      <c r="N4110" t="s">
        <v>4048</v>
      </c>
      <c r="O4110">
        <v>3</v>
      </c>
      <c r="P4110">
        <v>2</v>
      </c>
      <c r="Q4110">
        <v>0</v>
      </c>
      <c r="R4110" t="s">
        <v>4557</v>
      </c>
      <c r="S4110" t="s">
        <v>4558</v>
      </c>
      <c r="T4110" t="s">
        <v>4559</v>
      </c>
      <c r="U4110" t="s">
        <v>4560</v>
      </c>
      <c r="V4110" s="2">
        <v>440</v>
      </c>
      <c r="W4110" t="s">
        <v>4655</v>
      </c>
      <c r="X4110" s="2">
        <v>0</v>
      </c>
      <c r="Y4110">
        <v>20</v>
      </c>
      <c r="Z4110" t="s">
        <v>5508</v>
      </c>
      <c r="AA4110" s="3">
        <v>0.38500916957855202</v>
      </c>
      <c r="AB4110" t="s">
        <v>21988</v>
      </c>
      <c r="AC4110" t="s">
        <v>4562</v>
      </c>
      <c r="AD4110" t="s">
        <v>21987</v>
      </c>
      <c r="AE4110" t="s">
        <v>4655</v>
      </c>
      <c r="AF4110" t="s">
        <v>5201</v>
      </c>
      <c r="AG4110" t="s">
        <v>4564</v>
      </c>
      <c r="AH4110" t="s">
        <v>1350</v>
      </c>
      <c r="AI4110" t="s">
        <v>4045</v>
      </c>
      <c r="AJ4110" t="s">
        <v>4608</v>
      </c>
      <c r="AK4110" t="s">
        <v>21989</v>
      </c>
      <c r="AL4110" s="13" t="s">
        <v>1892</v>
      </c>
      <c r="AM4110" s="14">
        <v>1</v>
      </c>
      <c r="AN4110" s="15" t="s">
        <v>1352</v>
      </c>
    </row>
    <row r="4111" spans="1:40" x14ac:dyDescent="0.3">
      <c r="A4111" s="10" t="str">
        <f>HYPERLINK("http://www.washoecounty.gov/assessor/cama/?parid=089-442-06&amp;CardNumber=1","089-442-06")</f>
        <v>089-442-06</v>
      </c>
      <c r="B4111" t="s">
        <v>4655</v>
      </c>
      <c r="C4111" t="s">
        <v>21990</v>
      </c>
      <c r="D4111" s="1">
        <v>40368</v>
      </c>
      <c r="E4111" s="2">
        <v>155000</v>
      </c>
      <c r="F4111" t="s">
        <v>4567</v>
      </c>
      <c r="G4111" s="17" t="str">
        <f>HYPERLINK("https://www.washoecounty.gov/assessor/cama/?command=sales&amp;parid=08944206","3900055")</f>
        <v>3900055</v>
      </c>
      <c r="H4111" t="s">
        <v>21991</v>
      </c>
      <c r="I4111">
        <v>1994</v>
      </c>
      <c r="J4111">
        <v>1994</v>
      </c>
      <c r="K4111" t="s">
        <v>4554</v>
      </c>
      <c r="L4111" t="s">
        <v>4555</v>
      </c>
      <c r="M4111" s="2">
        <v>1531</v>
      </c>
      <c r="N4111" t="s">
        <v>4048</v>
      </c>
      <c r="O4111">
        <v>3</v>
      </c>
      <c r="P4111">
        <v>2</v>
      </c>
      <c r="Q4111">
        <v>1</v>
      </c>
      <c r="R4111" t="s">
        <v>5281</v>
      </c>
      <c r="S4111" t="s">
        <v>4558</v>
      </c>
      <c r="T4111" t="s">
        <v>4559</v>
      </c>
      <c r="U4111" t="s">
        <v>4560</v>
      </c>
      <c r="V4111" s="2">
        <v>696</v>
      </c>
      <c r="W4111" t="s">
        <v>4655</v>
      </c>
      <c r="X4111" s="2">
        <v>0</v>
      </c>
      <c r="Y4111">
        <v>20</v>
      </c>
      <c r="Z4111" t="s">
        <v>5508</v>
      </c>
      <c r="AA4111" s="3">
        <v>0.45500460267067</v>
      </c>
      <c r="AB4111" t="s">
        <v>21992</v>
      </c>
      <c r="AC4111" t="s">
        <v>4562</v>
      </c>
      <c r="AD4111" t="s">
        <v>21990</v>
      </c>
      <c r="AE4111" t="s">
        <v>4655</v>
      </c>
      <c r="AF4111" t="s">
        <v>5201</v>
      </c>
      <c r="AG4111" t="s">
        <v>4564</v>
      </c>
      <c r="AH4111" t="s">
        <v>1605</v>
      </c>
      <c r="AI4111" t="s">
        <v>21993</v>
      </c>
      <c r="AJ4111" t="s">
        <v>2479</v>
      </c>
      <c r="AK4111" t="s">
        <v>21994</v>
      </c>
      <c r="AL4111" s="13" t="s">
        <v>1892</v>
      </c>
      <c r="AM4111" s="14">
        <v>1</v>
      </c>
      <c r="AN4111" s="15" t="s">
        <v>1352</v>
      </c>
    </row>
    <row r="4112" spans="1:40" x14ac:dyDescent="0.3">
      <c r="A4112" s="10" t="str">
        <f>HYPERLINK("http://www.washoecounty.gov/assessor/cama/?parid=089-443-03&amp;CardNumber=1","089-443-03")</f>
        <v>089-443-03</v>
      </c>
      <c r="B4112" t="s">
        <v>4655</v>
      </c>
      <c r="C4112" t="s">
        <v>21995</v>
      </c>
      <c r="D4112" s="1">
        <v>40372</v>
      </c>
      <c r="E4112" s="2">
        <v>167000</v>
      </c>
      <c r="F4112" t="s">
        <v>4567</v>
      </c>
      <c r="G4112" s="17" t="str">
        <f>HYPERLINK("https://www.washoecounty.gov/assessor/cama/?command=sales&amp;parid=08944303","3900924")</f>
        <v>3900924</v>
      </c>
      <c r="H4112" t="s">
        <v>3229</v>
      </c>
      <c r="I4112">
        <v>1994</v>
      </c>
      <c r="J4112">
        <v>1994</v>
      </c>
      <c r="K4112" t="s">
        <v>4554</v>
      </c>
      <c r="L4112" t="s">
        <v>4555</v>
      </c>
      <c r="M4112" s="2">
        <v>1531</v>
      </c>
      <c r="N4112" t="s">
        <v>4048</v>
      </c>
      <c r="O4112">
        <v>3</v>
      </c>
      <c r="P4112">
        <v>2</v>
      </c>
      <c r="Q4112">
        <v>1</v>
      </c>
      <c r="R4112" t="s">
        <v>5281</v>
      </c>
      <c r="S4112" t="s">
        <v>4558</v>
      </c>
      <c r="T4112" t="s">
        <v>4559</v>
      </c>
      <c r="U4112" t="s">
        <v>4560</v>
      </c>
      <c r="V4112" s="2">
        <v>696</v>
      </c>
      <c r="W4112" t="s">
        <v>4655</v>
      </c>
      <c r="X4112" s="2">
        <v>0</v>
      </c>
      <c r="Y4112">
        <v>20</v>
      </c>
      <c r="Z4112" t="s">
        <v>5508</v>
      </c>
      <c r="AA4112" s="3">
        <v>0.36999541521072399</v>
      </c>
      <c r="AB4112" t="s">
        <v>21996</v>
      </c>
      <c r="AC4112" t="s">
        <v>4562</v>
      </c>
      <c r="AD4112" t="s">
        <v>21995</v>
      </c>
      <c r="AE4112" t="s">
        <v>4655</v>
      </c>
      <c r="AF4112" t="s">
        <v>5201</v>
      </c>
      <c r="AG4112" t="s">
        <v>4564</v>
      </c>
      <c r="AH4112" t="s">
        <v>1605</v>
      </c>
      <c r="AI4112" t="s">
        <v>21997</v>
      </c>
      <c r="AJ4112" t="s">
        <v>2479</v>
      </c>
      <c r="AK4112" t="s">
        <v>21998</v>
      </c>
      <c r="AL4112" s="13" t="s">
        <v>1892</v>
      </c>
      <c r="AM4112" s="14">
        <v>1</v>
      </c>
      <c r="AN4112" s="15" t="s">
        <v>1352</v>
      </c>
    </row>
    <row r="4113" spans="1:40" x14ac:dyDescent="0.3">
      <c r="A4113" s="10" t="str">
        <f>HYPERLINK("http://www.washoecounty.gov/assessor/cama/?parid=089-443-12&amp;CardNumber=1","089-443-12")</f>
        <v>089-443-12</v>
      </c>
      <c r="B4113" t="s">
        <v>4655</v>
      </c>
      <c r="C4113" t="s">
        <v>21999</v>
      </c>
      <c r="D4113" s="1">
        <v>40359</v>
      </c>
      <c r="E4113" s="2">
        <v>170000</v>
      </c>
      <c r="F4113" t="s">
        <v>4567</v>
      </c>
      <c r="G4113" s="17" t="str">
        <f>HYPERLINK("https://www.washoecounty.gov/assessor/cama/?command=sales&amp;parid=08944312","3897171")</f>
        <v>3897171</v>
      </c>
      <c r="H4113" t="s">
        <v>22000</v>
      </c>
      <c r="I4113">
        <v>1994</v>
      </c>
      <c r="J4113">
        <v>1994</v>
      </c>
      <c r="K4113" t="s">
        <v>4554</v>
      </c>
      <c r="L4113" t="s">
        <v>4555</v>
      </c>
      <c r="M4113" s="2">
        <v>1752</v>
      </c>
      <c r="N4113" t="s">
        <v>4048</v>
      </c>
      <c r="O4113">
        <v>3</v>
      </c>
      <c r="P4113">
        <v>2</v>
      </c>
      <c r="Q4113">
        <v>0</v>
      </c>
      <c r="R4113" t="s">
        <v>4557</v>
      </c>
      <c r="S4113" t="s">
        <v>4558</v>
      </c>
      <c r="T4113" t="s">
        <v>4559</v>
      </c>
      <c r="U4113" t="s">
        <v>4560</v>
      </c>
      <c r="V4113" s="2">
        <v>700</v>
      </c>
      <c r="W4113" t="s">
        <v>4655</v>
      </c>
      <c r="X4113" s="2">
        <v>0</v>
      </c>
      <c r="Y4113">
        <v>20</v>
      </c>
      <c r="Z4113" t="s">
        <v>5508</v>
      </c>
      <c r="AA4113" s="3">
        <v>0.567010998725891</v>
      </c>
      <c r="AB4113" t="s">
        <v>22001</v>
      </c>
      <c r="AC4113" t="s">
        <v>4562</v>
      </c>
      <c r="AD4113" t="s">
        <v>21999</v>
      </c>
      <c r="AE4113" t="s">
        <v>4655</v>
      </c>
      <c r="AF4113" t="s">
        <v>5201</v>
      </c>
      <c r="AG4113" t="s">
        <v>4564</v>
      </c>
      <c r="AH4113" t="s">
        <v>1605</v>
      </c>
      <c r="AI4113" t="s">
        <v>4655</v>
      </c>
      <c r="AJ4113" t="s">
        <v>2479</v>
      </c>
      <c r="AK4113" t="s">
        <v>22002</v>
      </c>
      <c r="AL4113" s="13" t="s">
        <v>1892</v>
      </c>
      <c r="AM4113">
        <v>1</v>
      </c>
      <c r="AN4113" s="15" t="s">
        <v>1352</v>
      </c>
    </row>
    <row r="4114" spans="1:40" x14ac:dyDescent="0.3">
      <c r="A4114" s="10" t="str">
        <f>HYPERLINK("http://www.washoecounty.gov/assessor/cama/?parid=089-452-05&amp;CardNumber=1","089-452-05")</f>
        <v>089-452-05</v>
      </c>
      <c r="B4114" t="s">
        <v>4655</v>
      </c>
      <c r="C4114" t="s">
        <v>22003</v>
      </c>
      <c r="D4114" s="1">
        <v>40381</v>
      </c>
      <c r="E4114" s="2">
        <v>142500</v>
      </c>
      <c r="F4114" t="s">
        <v>4567</v>
      </c>
      <c r="G4114" s="17" t="str">
        <f>HYPERLINK("https://www.washoecounty.gov/assessor/cama/?command=sales&amp;parid=08945205","3903970")</f>
        <v>3903970</v>
      </c>
      <c r="H4114" t="s">
        <v>3229</v>
      </c>
      <c r="I4114">
        <v>1994</v>
      </c>
      <c r="J4114">
        <v>1994</v>
      </c>
      <c r="K4114" t="s">
        <v>4554</v>
      </c>
      <c r="L4114" t="s">
        <v>4555</v>
      </c>
      <c r="M4114" s="2">
        <v>1306</v>
      </c>
      <c r="N4114" t="s">
        <v>4048</v>
      </c>
      <c r="O4114">
        <v>3</v>
      </c>
      <c r="P4114">
        <v>2</v>
      </c>
      <c r="Q4114">
        <v>0</v>
      </c>
      <c r="R4114" t="s">
        <v>4557</v>
      </c>
      <c r="S4114" t="s">
        <v>4558</v>
      </c>
      <c r="T4114" t="s">
        <v>4559</v>
      </c>
      <c r="U4114" t="s">
        <v>4560</v>
      </c>
      <c r="V4114" s="2">
        <v>400</v>
      </c>
      <c r="W4114" t="s">
        <v>4655</v>
      </c>
      <c r="X4114" s="2">
        <v>0</v>
      </c>
      <c r="Y4114">
        <v>20</v>
      </c>
      <c r="Z4114" t="s">
        <v>5508</v>
      </c>
      <c r="AA4114" s="3">
        <v>0.36999541521072399</v>
      </c>
      <c r="AB4114" t="s">
        <v>22004</v>
      </c>
      <c r="AC4114" t="s">
        <v>4575</v>
      </c>
      <c r="AD4114" t="s">
        <v>22003</v>
      </c>
      <c r="AE4114" t="s">
        <v>4655</v>
      </c>
      <c r="AF4114" t="s">
        <v>5201</v>
      </c>
      <c r="AG4114" t="s">
        <v>4564</v>
      </c>
      <c r="AH4114" t="s">
        <v>1605</v>
      </c>
      <c r="AI4114" t="s">
        <v>22005</v>
      </c>
      <c r="AJ4114" t="s">
        <v>2479</v>
      </c>
      <c r="AK4114" t="s">
        <v>22006</v>
      </c>
      <c r="AL4114" s="13" t="s">
        <v>1892</v>
      </c>
      <c r="AM4114">
        <v>1</v>
      </c>
      <c r="AN4114" s="15" t="s">
        <v>1352</v>
      </c>
    </row>
    <row r="4115" spans="1:40" x14ac:dyDescent="0.3">
      <c r="A4115" s="10" t="str">
        <f>HYPERLINK("http://www.washoecounty.gov/assessor/cama/?parid=089-453-01&amp;CardNumber=1","089-453-01")</f>
        <v>089-453-01</v>
      </c>
      <c r="B4115" t="s">
        <v>4655</v>
      </c>
      <c r="C4115" t="s">
        <v>22007</v>
      </c>
      <c r="D4115" s="1">
        <v>40263</v>
      </c>
      <c r="E4115" s="2">
        <v>161500</v>
      </c>
      <c r="F4115" t="s">
        <v>4567</v>
      </c>
      <c r="G4115" s="17" t="str">
        <f>HYPERLINK("https://www.washoecounty.gov/assessor/cama/?command=sales&amp;parid=08945301","3864531")</f>
        <v>3864531</v>
      </c>
      <c r="H4115" t="s">
        <v>3229</v>
      </c>
      <c r="I4115">
        <v>1994</v>
      </c>
      <c r="J4115">
        <v>1994</v>
      </c>
      <c r="K4115" t="s">
        <v>4554</v>
      </c>
      <c r="L4115" t="s">
        <v>4555</v>
      </c>
      <c r="M4115" s="2">
        <v>1531</v>
      </c>
      <c r="N4115" t="s">
        <v>4048</v>
      </c>
      <c r="O4115">
        <v>3</v>
      </c>
      <c r="P4115">
        <v>2</v>
      </c>
      <c r="Q4115">
        <v>1</v>
      </c>
      <c r="R4115" t="s">
        <v>4557</v>
      </c>
      <c r="S4115" t="s">
        <v>4558</v>
      </c>
      <c r="T4115" t="s">
        <v>4559</v>
      </c>
      <c r="U4115" t="s">
        <v>4560</v>
      </c>
      <c r="V4115" s="2">
        <v>696</v>
      </c>
      <c r="W4115" t="s">
        <v>4655</v>
      </c>
      <c r="X4115" s="2">
        <v>0</v>
      </c>
      <c r="Y4115">
        <v>20</v>
      </c>
      <c r="Z4115" t="s">
        <v>5508</v>
      </c>
      <c r="AA4115" s="3">
        <v>0.41200643777847301</v>
      </c>
      <c r="AB4115" t="s">
        <v>22008</v>
      </c>
      <c r="AC4115" t="s">
        <v>4562</v>
      </c>
      <c r="AD4115" t="s">
        <v>22009</v>
      </c>
      <c r="AE4115" t="s">
        <v>4655</v>
      </c>
      <c r="AF4115" t="s">
        <v>5201</v>
      </c>
      <c r="AG4115" t="s">
        <v>4564</v>
      </c>
      <c r="AH4115" t="s">
        <v>1605</v>
      </c>
      <c r="AI4115" t="s">
        <v>22010</v>
      </c>
      <c r="AJ4115" t="s">
        <v>2479</v>
      </c>
      <c r="AK4115" t="s">
        <v>22011</v>
      </c>
      <c r="AL4115" s="13" t="s">
        <v>1892</v>
      </c>
      <c r="AM4115">
        <v>1</v>
      </c>
      <c r="AN4115" s="15" t="s">
        <v>1352</v>
      </c>
    </row>
    <row r="4116" spans="1:40" x14ac:dyDescent="0.3">
      <c r="A4116" s="10" t="str">
        <f>HYPERLINK("http://www.washoecounty.gov/assessor/cama/?parid=089-472-06&amp;CardNumber=1","089-472-06")</f>
        <v>089-472-06</v>
      </c>
      <c r="B4116" t="s">
        <v>4655</v>
      </c>
      <c r="C4116" t="s">
        <v>22012</v>
      </c>
      <c r="D4116" s="1">
        <v>40527</v>
      </c>
      <c r="E4116" s="2">
        <v>135000</v>
      </c>
      <c r="F4116" t="s">
        <v>4553</v>
      </c>
      <c r="G4116" s="17" t="str">
        <f>HYPERLINK("https://www.washoecounty.gov/assessor/cama/?command=sales&amp;parid=08947206","3956514")</f>
        <v>3956514</v>
      </c>
      <c r="H4116" t="s">
        <v>22013</v>
      </c>
      <c r="I4116">
        <v>1994</v>
      </c>
      <c r="J4116">
        <v>1994</v>
      </c>
      <c r="K4116" t="s">
        <v>4554</v>
      </c>
      <c r="L4116" t="s">
        <v>4555</v>
      </c>
      <c r="M4116" s="2">
        <v>1531</v>
      </c>
      <c r="N4116" t="s">
        <v>4048</v>
      </c>
      <c r="O4116">
        <v>3</v>
      </c>
      <c r="P4116">
        <v>2</v>
      </c>
      <c r="Q4116">
        <v>1</v>
      </c>
      <c r="R4116" t="s">
        <v>4557</v>
      </c>
      <c r="S4116" t="s">
        <v>4558</v>
      </c>
      <c r="T4116" t="s">
        <v>4559</v>
      </c>
      <c r="U4116" t="s">
        <v>4560</v>
      </c>
      <c r="V4116" s="2">
        <v>1004</v>
      </c>
      <c r="W4116" t="s">
        <v>4655</v>
      </c>
      <c r="X4116" s="2">
        <v>0</v>
      </c>
      <c r="Y4116">
        <v>20</v>
      </c>
      <c r="Z4116" t="s">
        <v>5508</v>
      </c>
      <c r="AA4116" s="3">
        <v>0.57499998807907104</v>
      </c>
      <c r="AB4116" t="s">
        <v>22014</v>
      </c>
      <c r="AC4116" t="s">
        <v>4562</v>
      </c>
      <c r="AD4116" t="s">
        <v>22012</v>
      </c>
      <c r="AE4116" t="s">
        <v>4655</v>
      </c>
      <c r="AF4116" t="s">
        <v>4809</v>
      </c>
      <c r="AG4116" t="s">
        <v>4564</v>
      </c>
      <c r="AH4116" t="s">
        <v>1605</v>
      </c>
      <c r="AI4116" t="s">
        <v>1602</v>
      </c>
      <c r="AJ4116" t="s">
        <v>22015</v>
      </c>
      <c r="AK4116" t="s">
        <v>22016</v>
      </c>
      <c r="AL4116" s="13" t="s">
        <v>1892</v>
      </c>
      <c r="AM4116">
        <v>1</v>
      </c>
      <c r="AN4116" s="15" t="s">
        <v>1352</v>
      </c>
    </row>
    <row r="4117" spans="1:40" x14ac:dyDescent="0.3">
      <c r="A4117" s="10" t="str">
        <f>HYPERLINK("http://www.washoecounty.gov/assessor/cama/?parid=089-511-04&amp;CardNumber=1","089-511-04")</f>
        <v>089-511-04</v>
      </c>
      <c r="B4117" t="s">
        <v>4655</v>
      </c>
      <c r="C4117" t="s">
        <v>22017</v>
      </c>
      <c r="D4117" s="1">
        <v>40256</v>
      </c>
      <c r="E4117" s="2">
        <v>160100</v>
      </c>
      <c r="F4117" t="s">
        <v>4567</v>
      </c>
      <c r="G4117" s="17" t="str">
        <f>HYPERLINK("https://www.washoecounty.gov/assessor/cama/?command=sales&amp;parid=08951104","3861534")</f>
        <v>3861534</v>
      </c>
      <c r="H4117" t="s">
        <v>22018</v>
      </c>
      <c r="I4117">
        <v>1994</v>
      </c>
      <c r="J4117">
        <v>1994</v>
      </c>
      <c r="K4117" t="s">
        <v>4554</v>
      </c>
      <c r="L4117" t="s">
        <v>4555</v>
      </c>
      <c r="M4117" s="2">
        <v>1502</v>
      </c>
      <c r="N4117" t="s">
        <v>4048</v>
      </c>
      <c r="O4117">
        <v>3</v>
      </c>
      <c r="P4117">
        <v>2</v>
      </c>
      <c r="Q4117">
        <v>0</v>
      </c>
      <c r="R4117" t="s">
        <v>5281</v>
      </c>
      <c r="S4117" t="s">
        <v>4558</v>
      </c>
      <c r="T4117" t="s">
        <v>4559</v>
      </c>
      <c r="U4117" t="s">
        <v>4560</v>
      </c>
      <c r="V4117" s="2">
        <v>484</v>
      </c>
      <c r="W4117" t="s">
        <v>4655</v>
      </c>
      <c r="X4117" s="2">
        <v>0</v>
      </c>
      <c r="Y4117">
        <v>20</v>
      </c>
      <c r="Z4117" t="s">
        <v>5508</v>
      </c>
      <c r="AA4117" s="3">
        <v>0.44999998807907099</v>
      </c>
      <c r="AB4117" t="s">
        <v>22019</v>
      </c>
      <c r="AC4117" t="s">
        <v>4575</v>
      </c>
      <c r="AD4117" t="s">
        <v>22017</v>
      </c>
      <c r="AE4117" t="s">
        <v>4655</v>
      </c>
      <c r="AF4117" t="s">
        <v>5201</v>
      </c>
      <c r="AG4117" t="s">
        <v>4564</v>
      </c>
      <c r="AH4117" t="s">
        <v>1605</v>
      </c>
      <c r="AI4117" t="s">
        <v>18883</v>
      </c>
      <c r="AJ4117" t="s">
        <v>17</v>
      </c>
      <c r="AK4117" t="s">
        <v>22020</v>
      </c>
      <c r="AL4117" s="13" t="s">
        <v>1892</v>
      </c>
      <c r="AM4117" s="14">
        <v>1</v>
      </c>
      <c r="AN4117" s="15" t="s">
        <v>1352</v>
      </c>
    </row>
    <row r="4118" spans="1:40" x14ac:dyDescent="0.3">
      <c r="A4118" s="10" t="str">
        <f>HYPERLINK("http://www.washoecounty.gov/assessor/cama/?parid=089-512-01&amp;CardNumber=1","089-512-01")</f>
        <v>089-512-01</v>
      </c>
      <c r="B4118" t="s">
        <v>4655</v>
      </c>
      <c r="C4118" t="s">
        <v>22021</v>
      </c>
      <c r="D4118" s="1">
        <v>40540</v>
      </c>
      <c r="E4118" s="2">
        <v>142000</v>
      </c>
      <c r="F4118" t="s">
        <v>4567</v>
      </c>
      <c r="G4118" s="17" t="str">
        <f>HYPERLINK("https://www.washoecounty.gov/assessor/cama/?command=sales&amp;parid=08951201","3958298")</f>
        <v>3958298</v>
      </c>
      <c r="H4118" t="s">
        <v>22022</v>
      </c>
      <c r="I4118">
        <v>1994</v>
      </c>
      <c r="J4118">
        <v>1994</v>
      </c>
      <c r="K4118" t="s">
        <v>4554</v>
      </c>
      <c r="L4118" t="s">
        <v>4555</v>
      </c>
      <c r="M4118" s="2">
        <v>1306</v>
      </c>
      <c r="N4118" t="s">
        <v>4048</v>
      </c>
      <c r="O4118">
        <v>3</v>
      </c>
      <c r="P4118">
        <v>2</v>
      </c>
      <c r="Q4118">
        <v>0</v>
      </c>
      <c r="R4118" t="s">
        <v>4557</v>
      </c>
      <c r="S4118" t="s">
        <v>4558</v>
      </c>
      <c r="T4118" t="s">
        <v>4559</v>
      </c>
      <c r="U4118" t="s">
        <v>4560</v>
      </c>
      <c r="V4118" s="2">
        <v>400</v>
      </c>
      <c r="W4118" t="s">
        <v>4655</v>
      </c>
      <c r="X4118" s="2">
        <v>0</v>
      </c>
      <c r="Y4118">
        <v>20</v>
      </c>
      <c r="Z4118" t="s">
        <v>5508</v>
      </c>
      <c r="AA4118" s="3">
        <v>0.36999541521072399</v>
      </c>
      <c r="AB4118" t="s">
        <v>22023</v>
      </c>
      <c r="AC4118" t="s">
        <v>4562</v>
      </c>
      <c r="AD4118" t="s">
        <v>22021</v>
      </c>
      <c r="AE4118" t="s">
        <v>4655</v>
      </c>
      <c r="AF4118" t="s">
        <v>4809</v>
      </c>
      <c r="AG4118" t="s">
        <v>4564</v>
      </c>
      <c r="AH4118" t="s">
        <v>1605</v>
      </c>
      <c r="AI4118" t="s">
        <v>22024</v>
      </c>
      <c r="AJ4118" t="s">
        <v>17</v>
      </c>
      <c r="AK4118" t="s">
        <v>22025</v>
      </c>
      <c r="AL4118" s="13" t="s">
        <v>1892</v>
      </c>
      <c r="AM4118" s="14">
        <v>1</v>
      </c>
      <c r="AN4118" s="15" t="s">
        <v>1352</v>
      </c>
    </row>
    <row r="4119" spans="1:40" x14ac:dyDescent="0.3">
      <c r="A4119" s="10" t="str">
        <f>HYPERLINK("http://www.washoecounty.gov/assessor/cama/?parid=089-521-09&amp;CardNumber=1","089-521-09")</f>
        <v>089-521-09</v>
      </c>
      <c r="B4119" t="s">
        <v>4655</v>
      </c>
      <c r="C4119" t="s">
        <v>22026</v>
      </c>
      <c r="D4119" s="1">
        <v>40295</v>
      </c>
      <c r="E4119" s="2">
        <v>171500</v>
      </c>
      <c r="F4119" t="s">
        <v>4553</v>
      </c>
      <c r="G4119" s="17" t="str">
        <f>HYPERLINK("https://www.washoecounty.gov/assessor/cama/?command=sales&amp;parid=08952109","3875079")</f>
        <v>3875079</v>
      </c>
      <c r="H4119" t="s">
        <v>22018</v>
      </c>
      <c r="I4119">
        <v>1994</v>
      </c>
      <c r="J4119">
        <v>1994</v>
      </c>
      <c r="K4119" t="s">
        <v>4554</v>
      </c>
      <c r="L4119" t="s">
        <v>4555</v>
      </c>
      <c r="M4119" s="2">
        <v>1486</v>
      </c>
      <c r="N4119" t="s">
        <v>4048</v>
      </c>
      <c r="O4119">
        <v>3</v>
      </c>
      <c r="P4119">
        <v>2</v>
      </c>
      <c r="Q4119">
        <v>0</v>
      </c>
      <c r="R4119" t="s">
        <v>5281</v>
      </c>
      <c r="S4119" t="s">
        <v>4558</v>
      </c>
      <c r="T4119" t="s">
        <v>4559</v>
      </c>
      <c r="U4119" t="s">
        <v>4560</v>
      </c>
      <c r="V4119" s="2">
        <v>484</v>
      </c>
      <c r="W4119" t="s">
        <v>4655</v>
      </c>
      <c r="X4119" s="2">
        <v>0</v>
      </c>
      <c r="Y4119">
        <v>20</v>
      </c>
      <c r="Z4119" t="s">
        <v>5508</v>
      </c>
      <c r="AA4119" s="3">
        <v>0.38500916957855202</v>
      </c>
      <c r="AB4119" t="s">
        <v>22027</v>
      </c>
      <c r="AC4119" t="s">
        <v>4562</v>
      </c>
      <c r="AD4119" t="s">
        <v>22026</v>
      </c>
      <c r="AE4119" t="s">
        <v>4655</v>
      </c>
      <c r="AF4119" t="s">
        <v>5201</v>
      </c>
      <c r="AG4119" t="s">
        <v>4564</v>
      </c>
      <c r="AH4119" t="s">
        <v>1605</v>
      </c>
      <c r="AI4119" t="s">
        <v>4585</v>
      </c>
      <c r="AJ4119" t="s">
        <v>17</v>
      </c>
      <c r="AK4119" t="s">
        <v>22028</v>
      </c>
      <c r="AL4119" s="13" t="s">
        <v>1892</v>
      </c>
      <c r="AM4119">
        <v>1</v>
      </c>
      <c r="AN4119" s="15" t="s">
        <v>1352</v>
      </c>
    </row>
    <row r="4120" spans="1:40" x14ac:dyDescent="0.3">
      <c r="A4120" s="10" t="str">
        <f>HYPERLINK("http://www.washoecounty.gov/assessor/cama/?parid=089-521-13&amp;CardNumber=1","089-521-13")</f>
        <v>089-521-13</v>
      </c>
      <c r="B4120" t="s">
        <v>4655</v>
      </c>
      <c r="C4120" t="s">
        <v>22029</v>
      </c>
      <c r="D4120" s="1">
        <v>40256</v>
      </c>
      <c r="E4120" s="2">
        <v>260000</v>
      </c>
      <c r="F4120" t="s">
        <v>4567</v>
      </c>
      <c r="G4120" s="17" t="str">
        <f>HYPERLINK("https://www.washoecounty.gov/assessor/cama/?command=sales&amp;parid=08952113","3506768")</f>
        <v>3506768</v>
      </c>
      <c r="H4120" t="s">
        <v>22018</v>
      </c>
      <c r="I4120">
        <v>1994</v>
      </c>
      <c r="J4120">
        <v>1994</v>
      </c>
      <c r="K4120" t="s">
        <v>4554</v>
      </c>
      <c r="L4120" t="s">
        <v>4555</v>
      </c>
      <c r="M4120" s="2">
        <v>1336</v>
      </c>
      <c r="N4120" t="s">
        <v>4048</v>
      </c>
      <c r="O4120">
        <v>3</v>
      </c>
      <c r="P4120">
        <v>2</v>
      </c>
      <c r="Q4120">
        <v>0</v>
      </c>
      <c r="R4120" t="s">
        <v>5281</v>
      </c>
      <c r="S4120" t="s">
        <v>4558</v>
      </c>
      <c r="T4120" t="s">
        <v>4559</v>
      </c>
      <c r="U4120" t="s">
        <v>4560</v>
      </c>
      <c r="V4120" s="2">
        <v>400</v>
      </c>
      <c r="W4120" t="s">
        <v>4655</v>
      </c>
      <c r="X4120" s="2">
        <v>0</v>
      </c>
      <c r="Y4120">
        <v>20</v>
      </c>
      <c r="Z4120" t="s">
        <v>5508</v>
      </c>
      <c r="AA4120" s="3">
        <v>0.36999541521072399</v>
      </c>
      <c r="AB4120" t="s">
        <v>22030</v>
      </c>
      <c r="AC4120" t="s">
        <v>4562</v>
      </c>
      <c r="AD4120" t="s">
        <v>22029</v>
      </c>
      <c r="AE4120" t="s">
        <v>4655</v>
      </c>
      <c r="AF4120" t="s">
        <v>5201</v>
      </c>
      <c r="AG4120" t="s">
        <v>4564</v>
      </c>
      <c r="AH4120" t="s">
        <v>1605</v>
      </c>
      <c r="AI4120" t="s">
        <v>22031</v>
      </c>
      <c r="AJ4120" t="s">
        <v>17</v>
      </c>
      <c r="AK4120" t="s">
        <v>22032</v>
      </c>
      <c r="AL4120" s="13" t="s">
        <v>1892</v>
      </c>
      <c r="AM4120">
        <v>1</v>
      </c>
      <c r="AN4120" s="15" t="s">
        <v>1352</v>
      </c>
    </row>
    <row r="4121" spans="1:40" x14ac:dyDescent="0.3">
      <c r="A4121" s="10" t="str">
        <f>HYPERLINK("http://www.washoecounty.gov/assessor/cama/?parid=089-523-02&amp;CardNumber=1","089-523-02")</f>
        <v>089-523-02</v>
      </c>
      <c r="B4121" t="s">
        <v>4655</v>
      </c>
      <c r="C4121" t="s">
        <v>22033</v>
      </c>
      <c r="D4121" s="1">
        <v>40388</v>
      </c>
      <c r="E4121" s="2">
        <v>133000</v>
      </c>
      <c r="F4121" t="s">
        <v>4553</v>
      </c>
      <c r="G4121" s="17" t="str">
        <f>HYPERLINK("https://www.washoecounty.gov/assessor/cama/?command=sales&amp;parid=08952302","3906642")</f>
        <v>3906642</v>
      </c>
      <c r="H4121" t="s">
        <v>1224</v>
      </c>
      <c r="I4121">
        <v>1994</v>
      </c>
      <c r="J4121">
        <v>1994</v>
      </c>
      <c r="K4121" t="s">
        <v>4554</v>
      </c>
      <c r="L4121" t="s">
        <v>4555</v>
      </c>
      <c r="M4121" s="2">
        <v>1306</v>
      </c>
      <c r="N4121" t="s">
        <v>4048</v>
      </c>
      <c r="O4121">
        <v>3</v>
      </c>
      <c r="P4121">
        <v>2</v>
      </c>
      <c r="Q4121">
        <v>0</v>
      </c>
      <c r="R4121" t="s">
        <v>4557</v>
      </c>
      <c r="S4121" t="s">
        <v>4558</v>
      </c>
      <c r="T4121" t="s">
        <v>4559</v>
      </c>
      <c r="U4121" t="s">
        <v>4560</v>
      </c>
      <c r="V4121" s="2">
        <v>400</v>
      </c>
      <c r="W4121" t="s">
        <v>4655</v>
      </c>
      <c r="X4121" s="2">
        <v>0</v>
      </c>
      <c r="Y4121">
        <v>20</v>
      </c>
      <c r="Z4121" t="s">
        <v>5508</v>
      </c>
      <c r="AA4121" s="3">
        <v>0.36999541521072399</v>
      </c>
      <c r="AB4121" t="s">
        <v>22034</v>
      </c>
      <c r="AC4121" t="s">
        <v>4575</v>
      </c>
      <c r="AD4121" t="s">
        <v>22035</v>
      </c>
      <c r="AE4121" t="s">
        <v>22036</v>
      </c>
      <c r="AF4121" t="s">
        <v>4809</v>
      </c>
      <c r="AG4121" t="s">
        <v>4564</v>
      </c>
      <c r="AH4121" t="s">
        <v>1605</v>
      </c>
      <c r="AI4121" t="s">
        <v>5209</v>
      </c>
      <c r="AJ4121" t="s">
        <v>17</v>
      </c>
      <c r="AK4121" t="s">
        <v>22037</v>
      </c>
      <c r="AL4121" s="13" t="s">
        <v>1892</v>
      </c>
      <c r="AM4121">
        <v>1</v>
      </c>
      <c r="AN4121" s="15" t="s">
        <v>1352</v>
      </c>
    </row>
    <row r="4122" spans="1:40" x14ac:dyDescent="0.3">
      <c r="A4122" s="10" t="str">
        <f>HYPERLINK("http://www.washoecounty.gov/assessor/cama/?parid=089-523-05&amp;CardNumber=1","089-523-05")</f>
        <v>089-523-05</v>
      </c>
      <c r="B4122" t="s">
        <v>4655</v>
      </c>
      <c r="C4122" t="s">
        <v>22038</v>
      </c>
      <c r="D4122" s="1">
        <v>40246</v>
      </c>
      <c r="E4122" s="2">
        <v>145000</v>
      </c>
      <c r="F4122" t="s">
        <v>4553</v>
      </c>
      <c r="G4122" s="17" t="str">
        <f>HYPERLINK("https://www.washoecounty.gov/assessor/cama/?command=sales&amp;parid=08952305","3857733")</f>
        <v>3857733</v>
      </c>
      <c r="H4122" t="s">
        <v>1224</v>
      </c>
      <c r="I4122">
        <v>1994</v>
      </c>
      <c r="J4122">
        <v>1994</v>
      </c>
      <c r="K4122" t="s">
        <v>4554</v>
      </c>
      <c r="L4122" t="s">
        <v>4555</v>
      </c>
      <c r="M4122" s="2">
        <v>1306</v>
      </c>
      <c r="N4122" t="s">
        <v>4048</v>
      </c>
      <c r="O4122">
        <v>3</v>
      </c>
      <c r="P4122">
        <v>2</v>
      </c>
      <c r="Q4122">
        <v>0</v>
      </c>
      <c r="R4122" t="s">
        <v>4557</v>
      </c>
      <c r="S4122" t="s">
        <v>4558</v>
      </c>
      <c r="T4122" t="s">
        <v>4559</v>
      </c>
      <c r="U4122" t="s">
        <v>4560</v>
      </c>
      <c r="V4122" s="2">
        <v>480</v>
      </c>
      <c r="W4122" t="s">
        <v>4655</v>
      </c>
      <c r="X4122" s="2">
        <v>0</v>
      </c>
      <c r="Y4122">
        <v>20</v>
      </c>
      <c r="Z4122" t="s">
        <v>5508</v>
      </c>
      <c r="AA4122" s="3">
        <v>0.37300276756286599</v>
      </c>
      <c r="AB4122" t="s">
        <v>22039</v>
      </c>
      <c r="AC4122" t="s">
        <v>4575</v>
      </c>
      <c r="AD4122" t="s">
        <v>22038</v>
      </c>
      <c r="AE4122" t="s">
        <v>4655</v>
      </c>
      <c r="AF4122" t="s">
        <v>5201</v>
      </c>
      <c r="AG4122" t="s">
        <v>4564</v>
      </c>
      <c r="AH4122" t="s">
        <v>1605</v>
      </c>
      <c r="AI4122" t="s">
        <v>22040</v>
      </c>
      <c r="AJ4122" t="s">
        <v>17</v>
      </c>
      <c r="AK4122" t="s">
        <v>22041</v>
      </c>
      <c r="AL4122" s="13" t="s">
        <v>1892</v>
      </c>
      <c r="AM4122">
        <v>1</v>
      </c>
      <c r="AN4122" s="15" t="s">
        <v>1352</v>
      </c>
    </row>
    <row r="4123" spans="1:40" x14ac:dyDescent="0.3">
      <c r="A4123" s="10" t="str">
        <f>HYPERLINK("http://www.washoecounty.gov/assessor/cama/?parid=089-523-06&amp;CardNumber=1","089-523-06")</f>
        <v>089-523-06</v>
      </c>
      <c r="B4123" t="s">
        <v>4655</v>
      </c>
      <c r="C4123" t="s">
        <v>22042</v>
      </c>
      <c r="D4123" s="1">
        <v>40312</v>
      </c>
      <c r="E4123" s="2">
        <v>151000</v>
      </c>
      <c r="F4123" t="s">
        <v>4567</v>
      </c>
      <c r="G4123" s="17" t="str">
        <f>HYPERLINK("https://www.washoecounty.gov/assessor/cama/?command=sales&amp;parid=08952306","3881639")</f>
        <v>3881639</v>
      </c>
      <c r="H4123" t="s">
        <v>1224</v>
      </c>
      <c r="I4123">
        <v>1994</v>
      </c>
      <c r="J4123">
        <v>1994</v>
      </c>
      <c r="K4123" t="s">
        <v>4554</v>
      </c>
      <c r="L4123" t="s">
        <v>4555</v>
      </c>
      <c r="M4123" s="2">
        <v>1306</v>
      </c>
      <c r="N4123" t="s">
        <v>4048</v>
      </c>
      <c r="O4123">
        <v>3</v>
      </c>
      <c r="P4123">
        <v>2</v>
      </c>
      <c r="Q4123">
        <v>0</v>
      </c>
      <c r="R4123" t="s">
        <v>4557</v>
      </c>
      <c r="S4123" t="s">
        <v>4558</v>
      </c>
      <c r="T4123" t="s">
        <v>4559</v>
      </c>
      <c r="U4123" t="s">
        <v>4560</v>
      </c>
      <c r="V4123" s="2">
        <v>400</v>
      </c>
      <c r="W4123" t="s">
        <v>4655</v>
      </c>
      <c r="X4123" s="2">
        <v>0</v>
      </c>
      <c r="Y4123">
        <v>20</v>
      </c>
      <c r="Z4123" t="s">
        <v>5508</v>
      </c>
      <c r="AA4123" s="3">
        <v>0.35300734639167802</v>
      </c>
      <c r="AB4123" t="s">
        <v>22043</v>
      </c>
      <c r="AC4123" t="s">
        <v>4575</v>
      </c>
      <c r="AD4123" t="s">
        <v>22042</v>
      </c>
      <c r="AE4123" t="s">
        <v>4655</v>
      </c>
      <c r="AF4123" t="s">
        <v>5201</v>
      </c>
      <c r="AG4123" t="s">
        <v>4564</v>
      </c>
      <c r="AH4123" t="s">
        <v>1605</v>
      </c>
      <c r="AI4123" t="s">
        <v>22044</v>
      </c>
      <c r="AJ4123" t="s">
        <v>17</v>
      </c>
      <c r="AK4123" t="s">
        <v>22045</v>
      </c>
      <c r="AL4123" s="13" t="s">
        <v>1892</v>
      </c>
      <c r="AM4123">
        <v>1</v>
      </c>
      <c r="AN4123" s="15" t="s">
        <v>1352</v>
      </c>
    </row>
    <row r="4124" spans="1:40" x14ac:dyDescent="0.3">
      <c r="A4124" s="10" t="str">
        <f>HYPERLINK("http://www.washoecounty.gov/assessor/cama/?parid=089-524-05&amp;CardNumber=1","089-524-05")</f>
        <v>089-524-05</v>
      </c>
      <c r="B4124" t="s">
        <v>4655</v>
      </c>
      <c r="C4124" t="s">
        <v>22046</v>
      </c>
      <c r="D4124" s="1">
        <v>40301</v>
      </c>
      <c r="E4124" s="2">
        <v>160000</v>
      </c>
      <c r="F4124" t="s">
        <v>4567</v>
      </c>
      <c r="G4124" s="17" t="str">
        <f>HYPERLINK("https://www.washoecounty.gov/assessor/cama/?command=sales&amp;parid=08952405","3877482")</f>
        <v>3877482</v>
      </c>
      <c r="H4124" t="s">
        <v>22018</v>
      </c>
      <c r="I4124">
        <v>1994</v>
      </c>
      <c r="J4124">
        <v>1994</v>
      </c>
      <c r="K4124" t="s">
        <v>4554</v>
      </c>
      <c r="L4124" t="s">
        <v>4555</v>
      </c>
      <c r="M4124" s="2">
        <v>1723</v>
      </c>
      <c r="N4124" t="s">
        <v>4048</v>
      </c>
      <c r="O4124">
        <v>3</v>
      </c>
      <c r="P4124">
        <v>2</v>
      </c>
      <c r="Q4124">
        <v>1</v>
      </c>
      <c r="R4124" t="s">
        <v>4557</v>
      </c>
      <c r="S4124" t="s">
        <v>4558</v>
      </c>
      <c r="T4124" t="s">
        <v>4559</v>
      </c>
      <c r="U4124" t="s">
        <v>4560</v>
      </c>
      <c r="V4124" s="2">
        <v>711</v>
      </c>
      <c r="W4124" t="s">
        <v>4655</v>
      </c>
      <c r="X4124" s="2">
        <v>0</v>
      </c>
      <c r="Y4124">
        <v>20</v>
      </c>
      <c r="Z4124" t="s">
        <v>5508</v>
      </c>
      <c r="AA4124" s="3">
        <v>0.36999541521072399</v>
      </c>
      <c r="AB4124" t="s">
        <v>22047</v>
      </c>
      <c r="AC4124" t="s">
        <v>4562</v>
      </c>
      <c r="AD4124" t="s">
        <v>22048</v>
      </c>
      <c r="AE4124" t="s">
        <v>4655</v>
      </c>
      <c r="AF4124" t="s">
        <v>5201</v>
      </c>
      <c r="AG4124" t="s">
        <v>4564</v>
      </c>
      <c r="AH4124" t="s">
        <v>1605</v>
      </c>
      <c r="AI4124" t="s">
        <v>22049</v>
      </c>
      <c r="AJ4124" t="s">
        <v>17</v>
      </c>
      <c r="AK4124" t="s">
        <v>22050</v>
      </c>
      <c r="AL4124" s="13" t="s">
        <v>1892</v>
      </c>
      <c r="AM4124">
        <v>1</v>
      </c>
      <c r="AN4124" s="15" t="s">
        <v>1352</v>
      </c>
    </row>
    <row r="4125" spans="1:40" x14ac:dyDescent="0.3">
      <c r="A4125" s="10" t="str">
        <f>HYPERLINK("http://www.washoecounty.gov/assessor/cama/?parid=089-541-03&amp;CardNumber=1","089-541-03")</f>
        <v>089-541-03</v>
      </c>
      <c r="B4125" t="s">
        <v>4655</v>
      </c>
      <c r="C4125" t="s">
        <v>22051</v>
      </c>
      <c r="D4125" s="1">
        <v>40310</v>
      </c>
      <c r="E4125" s="2">
        <v>144000</v>
      </c>
      <c r="F4125" t="s">
        <v>4567</v>
      </c>
      <c r="G4125" s="17" t="str">
        <f>HYPERLINK("https://www.washoecounty.gov/assessor/cama/?command=sales&amp;parid=08954103","3880726")</f>
        <v>3880726</v>
      </c>
      <c r="H4125" t="s">
        <v>4783</v>
      </c>
      <c r="I4125">
        <v>1994</v>
      </c>
      <c r="J4125">
        <v>1994</v>
      </c>
      <c r="K4125" t="s">
        <v>4554</v>
      </c>
      <c r="L4125" t="s">
        <v>4555</v>
      </c>
      <c r="M4125" s="2">
        <v>1306</v>
      </c>
      <c r="N4125" t="s">
        <v>4048</v>
      </c>
      <c r="O4125">
        <v>3</v>
      </c>
      <c r="P4125">
        <v>2</v>
      </c>
      <c r="Q4125">
        <v>0</v>
      </c>
      <c r="R4125" t="s">
        <v>5281</v>
      </c>
      <c r="S4125" t="s">
        <v>4558</v>
      </c>
      <c r="T4125" t="s">
        <v>4559</v>
      </c>
      <c r="U4125" t="s">
        <v>4560</v>
      </c>
      <c r="V4125" s="2">
        <v>400</v>
      </c>
      <c r="W4125" t="s">
        <v>4655</v>
      </c>
      <c r="X4125" s="2">
        <v>0</v>
      </c>
      <c r="Y4125">
        <v>20</v>
      </c>
      <c r="Z4125" t="s">
        <v>5508</v>
      </c>
      <c r="AA4125" s="3">
        <v>0.35300734639167802</v>
      </c>
      <c r="AB4125" t="s">
        <v>22052</v>
      </c>
      <c r="AC4125" t="s">
        <v>4562</v>
      </c>
      <c r="AD4125" t="s">
        <v>22053</v>
      </c>
      <c r="AE4125" t="s">
        <v>4655</v>
      </c>
      <c r="AF4125" t="s">
        <v>4809</v>
      </c>
      <c r="AG4125" t="s">
        <v>4564</v>
      </c>
      <c r="AH4125" t="s">
        <v>1605</v>
      </c>
      <c r="AI4125" t="s">
        <v>5176</v>
      </c>
      <c r="AJ4125" t="s">
        <v>5177</v>
      </c>
      <c r="AK4125" t="s">
        <v>22054</v>
      </c>
      <c r="AL4125" s="13" t="s">
        <v>1892</v>
      </c>
      <c r="AM4125">
        <v>1</v>
      </c>
      <c r="AN4125" s="15" t="s">
        <v>1352</v>
      </c>
    </row>
    <row r="4126" spans="1:40" x14ac:dyDescent="0.3">
      <c r="A4126" s="10" t="str">
        <f>HYPERLINK("http://www.washoecounty.gov/assessor/cama/?parid=089-551-02&amp;CardNumber=1","089-551-02")</f>
        <v>089-551-02</v>
      </c>
      <c r="B4126" t="s">
        <v>4655</v>
      </c>
      <c r="C4126" t="s">
        <v>22055</v>
      </c>
      <c r="D4126" s="1">
        <v>40338</v>
      </c>
      <c r="E4126" s="2">
        <v>159000</v>
      </c>
      <c r="F4126" t="s">
        <v>4553</v>
      </c>
      <c r="G4126" s="17" t="str">
        <f>HYPERLINK("https://www.washoecounty.gov/assessor/cama/?command=sales&amp;parid=08955102","3889601")</f>
        <v>3889601</v>
      </c>
      <c r="H4126" t="s">
        <v>22056</v>
      </c>
      <c r="I4126">
        <v>1995</v>
      </c>
      <c r="J4126">
        <v>1995</v>
      </c>
      <c r="K4126" t="s">
        <v>4554</v>
      </c>
      <c r="L4126" t="s">
        <v>4555</v>
      </c>
      <c r="M4126" s="2">
        <v>1502</v>
      </c>
      <c r="N4126" t="s">
        <v>4048</v>
      </c>
      <c r="O4126">
        <v>3</v>
      </c>
      <c r="P4126">
        <v>2</v>
      </c>
      <c r="Q4126">
        <v>0</v>
      </c>
      <c r="R4126" t="s">
        <v>4557</v>
      </c>
      <c r="S4126" t="s">
        <v>4558</v>
      </c>
      <c r="T4126" t="s">
        <v>4559</v>
      </c>
      <c r="U4126" t="s">
        <v>4560</v>
      </c>
      <c r="V4126" s="2">
        <v>484</v>
      </c>
      <c r="W4126" t="s">
        <v>4655</v>
      </c>
      <c r="X4126" s="2">
        <v>0</v>
      </c>
      <c r="Y4126">
        <v>20</v>
      </c>
      <c r="Z4126" t="s">
        <v>5508</v>
      </c>
      <c r="AA4126" s="3">
        <v>0.37398990988731401</v>
      </c>
      <c r="AB4126" t="s">
        <v>22057</v>
      </c>
      <c r="AC4126" t="s">
        <v>4562</v>
      </c>
      <c r="AD4126" t="s">
        <v>22055</v>
      </c>
      <c r="AE4126" t="s">
        <v>4655</v>
      </c>
      <c r="AF4126" t="s">
        <v>5201</v>
      </c>
      <c r="AG4126" t="s">
        <v>4564</v>
      </c>
      <c r="AH4126" t="s">
        <v>1605</v>
      </c>
      <c r="AI4126" t="s">
        <v>4565</v>
      </c>
      <c r="AJ4126" t="s">
        <v>5177</v>
      </c>
      <c r="AK4126" t="s">
        <v>22058</v>
      </c>
      <c r="AL4126" s="13" t="s">
        <v>1892</v>
      </c>
      <c r="AM4126" s="14">
        <v>1</v>
      </c>
      <c r="AN4126" s="15" t="s">
        <v>1352</v>
      </c>
    </row>
    <row r="4127" spans="1:40" x14ac:dyDescent="0.3">
      <c r="A4127" s="10" t="str">
        <f>HYPERLINK("http://www.washoecounty.gov/assessor/cama/?parid=089-563-04&amp;CardNumber=1","089-563-04")</f>
        <v>089-563-04</v>
      </c>
      <c r="B4127" t="s">
        <v>4655</v>
      </c>
      <c r="C4127" t="s">
        <v>22059</v>
      </c>
      <c r="D4127" s="1">
        <v>40448</v>
      </c>
      <c r="E4127" s="2">
        <v>156000</v>
      </c>
      <c r="F4127" t="s">
        <v>4567</v>
      </c>
      <c r="G4127" s="17" t="str">
        <f>HYPERLINK("https://www.washoecounty.gov/assessor/cama/?command=sales&amp;parid=08956304","3926706")</f>
        <v>3926706</v>
      </c>
      <c r="H4127" t="s">
        <v>4966</v>
      </c>
      <c r="I4127">
        <v>1995</v>
      </c>
      <c r="J4127">
        <v>1995</v>
      </c>
      <c r="K4127" t="s">
        <v>4554</v>
      </c>
      <c r="L4127" t="s">
        <v>4555</v>
      </c>
      <c r="M4127" s="2">
        <v>1604</v>
      </c>
      <c r="N4127" t="s">
        <v>4048</v>
      </c>
      <c r="O4127">
        <v>3</v>
      </c>
      <c r="P4127">
        <v>2</v>
      </c>
      <c r="Q4127">
        <v>1</v>
      </c>
      <c r="R4127" t="s">
        <v>4557</v>
      </c>
      <c r="S4127" t="s">
        <v>4558</v>
      </c>
      <c r="T4127" t="s">
        <v>4559</v>
      </c>
      <c r="U4127" t="s">
        <v>4560</v>
      </c>
      <c r="V4127" s="2">
        <v>689</v>
      </c>
      <c r="W4127" t="s">
        <v>4655</v>
      </c>
      <c r="X4127" s="2">
        <v>0</v>
      </c>
      <c r="Y4127">
        <v>20</v>
      </c>
      <c r="Z4127" t="s">
        <v>5508</v>
      </c>
      <c r="AA4127" s="3">
        <v>0.38200184702873202</v>
      </c>
      <c r="AB4127" t="s">
        <v>22060</v>
      </c>
      <c r="AC4127" t="s">
        <v>4562</v>
      </c>
      <c r="AD4127" t="s">
        <v>22059</v>
      </c>
      <c r="AE4127" t="s">
        <v>4655</v>
      </c>
      <c r="AF4127" t="s">
        <v>5201</v>
      </c>
      <c r="AG4127" t="s">
        <v>4564</v>
      </c>
      <c r="AH4127" t="s">
        <v>1605</v>
      </c>
      <c r="AI4127" t="s">
        <v>22061</v>
      </c>
      <c r="AJ4127" t="s">
        <v>4967</v>
      </c>
      <c r="AK4127" t="s">
        <v>22062</v>
      </c>
      <c r="AL4127" s="13" t="s">
        <v>1892</v>
      </c>
      <c r="AM4127">
        <v>1</v>
      </c>
      <c r="AN4127" s="15" t="s">
        <v>1352</v>
      </c>
    </row>
    <row r="4128" spans="1:40" x14ac:dyDescent="0.3">
      <c r="A4128" s="10" t="str">
        <f>HYPERLINK("http://www.washoecounty.gov/assessor/cama/?parid=089-574-05&amp;CardNumber=1","089-574-05")</f>
        <v>089-574-05</v>
      </c>
      <c r="B4128" t="s">
        <v>4655</v>
      </c>
      <c r="C4128" t="s">
        <v>22063</v>
      </c>
      <c r="D4128" s="1">
        <v>40515</v>
      </c>
      <c r="E4128" s="2">
        <v>134900</v>
      </c>
      <c r="F4128" t="s">
        <v>4553</v>
      </c>
      <c r="G4128" s="17" t="str">
        <f>HYPERLINK("https://www.washoecounty.gov/assessor/cama/?command=sales&amp;parid=08957405","3949191")</f>
        <v>3949191</v>
      </c>
      <c r="H4128" t="s">
        <v>5644</v>
      </c>
      <c r="I4128">
        <v>1995</v>
      </c>
      <c r="J4128">
        <v>1995</v>
      </c>
      <c r="K4128" t="s">
        <v>4554</v>
      </c>
      <c r="L4128" t="s">
        <v>4555</v>
      </c>
      <c r="M4128" s="2">
        <v>1306</v>
      </c>
      <c r="N4128" t="s">
        <v>4048</v>
      </c>
      <c r="O4128">
        <v>3</v>
      </c>
      <c r="P4128">
        <v>2</v>
      </c>
      <c r="Q4128">
        <v>0</v>
      </c>
      <c r="R4128" t="s">
        <v>5281</v>
      </c>
      <c r="S4128" t="s">
        <v>4558</v>
      </c>
      <c r="T4128" t="s">
        <v>4559</v>
      </c>
      <c r="U4128" t="s">
        <v>4560</v>
      </c>
      <c r="V4128" s="2">
        <v>400</v>
      </c>
      <c r="W4128" t="s">
        <v>4655</v>
      </c>
      <c r="X4128" s="2">
        <v>0</v>
      </c>
      <c r="Y4128">
        <v>20</v>
      </c>
      <c r="Z4128" t="s">
        <v>5508</v>
      </c>
      <c r="AA4128" s="3">
        <v>0.362006425857544</v>
      </c>
      <c r="AB4128" t="s">
        <v>22064</v>
      </c>
      <c r="AC4128" t="s">
        <v>4562</v>
      </c>
      <c r="AD4128" t="s">
        <v>22065</v>
      </c>
      <c r="AE4128" t="s">
        <v>4655</v>
      </c>
      <c r="AF4128" t="s">
        <v>4809</v>
      </c>
      <c r="AG4128" t="s">
        <v>4564</v>
      </c>
      <c r="AH4128" t="s">
        <v>1605</v>
      </c>
      <c r="AI4128" t="s">
        <v>2009</v>
      </c>
      <c r="AJ4128" t="s">
        <v>4967</v>
      </c>
      <c r="AK4128" t="s">
        <v>22066</v>
      </c>
      <c r="AL4128" s="13" t="s">
        <v>1892</v>
      </c>
      <c r="AM4128">
        <v>1</v>
      </c>
      <c r="AN4128" s="15" t="s">
        <v>1352</v>
      </c>
    </row>
    <row r="4129" spans="1:40" x14ac:dyDescent="0.3">
      <c r="A4129" s="10" t="str">
        <f>HYPERLINK("http://www.washoecounty.gov/assessor/cama/?parid=090-030-19&amp;CardNumber=1","090-030-19")</f>
        <v>090-030-19</v>
      </c>
      <c r="B4129" t="s">
        <v>4655</v>
      </c>
      <c r="C4129" t="s">
        <v>22067</v>
      </c>
      <c r="D4129" s="1">
        <v>40542</v>
      </c>
      <c r="E4129" s="2">
        <v>4787392</v>
      </c>
      <c r="F4129" t="s">
        <v>4201</v>
      </c>
      <c r="G4129" s="17" t="str">
        <f>HYPERLINK("https://www.washoecounty.gov/assessor/cama/?command=sales&amp;parid=09003019","3959139")</f>
        <v>3959139</v>
      </c>
      <c r="H4129" t="s">
        <v>22068</v>
      </c>
      <c r="I4129">
        <v>2000</v>
      </c>
      <c r="J4129">
        <v>2000</v>
      </c>
      <c r="K4129" t="s">
        <v>491</v>
      </c>
      <c r="L4129" t="s">
        <v>1366</v>
      </c>
      <c r="M4129" s="2">
        <v>87264</v>
      </c>
      <c r="N4129" t="s">
        <v>1431</v>
      </c>
      <c r="O4129">
        <v>0</v>
      </c>
      <c r="P4129">
        <v>0</v>
      </c>
      <c r="Q4129">
        <v>0</v>
      </c>
      <c r="R4129" t="s">
        <v>1395</v>
      </c>
      <c r="S4129" t="s">
        <v>4599</v>
      </c>
      <c r="T4129" t="s">
        <v>4655</v>
      </c>
      <c r="U4129" t="s">
        <v>4655</v>
      </c>
      <c r="V4129" s="2">
        <v>0</v>
      </c>
      <c r="W4129" t="s">
        <v>4655</v>
      </c>
      <c r="X4129" s="2">
        <v>0</v>
      </c>
      <c r="Y4129">
        <v>50</v>
      </c>
      <c r="Z4129" t="s">
        <v>1491</v>
      </c>
      <c r="AA4129" s="3">
        <v>14.7200002670288</v>
      </c>
      <c r="AB4129" t="s">
        <v>22069</v>
      </c>
      <c r="AC4129" t="s">
        <v>4562</v>
      </c>
      <c r="AD4129" t="s">
        <v>22070</v>
      </c>
      <c r="AE4129" t="s">
        <v>22071</v>
      </c>
      <c r="AF4129" t="s">
        <v>22072</v>
      </c>
      <c r="AG4129" t="s">
        <v>3370</v>
      </c>
      <c r="AH4129" t="s">
        <v>22073</v>
      </c>
      <c r="AI4129" t="s">
        <v>22074</v>
      </c>
      <c r="AJ4129" t="s">
        <v>22075</v>
      </c>
      <c r="AK4129" t="s">
        <v>22076</v>
      </c>
      <c r="AL4129" s="13" t="s">
        <v>1901</v>
      </c>
      <c r="AM4129" s="14">
        <v>1</v>
      </c>
      <c r="AN4129" s="15" t="s">
        <v>466</v>
      </c>
    </row>
    <row r="4130" spans="1:40" x14ac:dyDescent="0.3">
      <c r="A4130" s="10" t="str">
        <f>HYPERLINK("http://www.washoecounty.gov/assessor/cama/?parid=090-040-18&amp;CardNumber=1","090-040-18")</f>
        <v>090-040-18</v>
      </c>
      <c r="B4130" t="s">
        <v>4655</v>
      </c>
      <c r="C4130" t="s">
        <v>22077</v>
      </c>
      <c r="D4130" s="1">
        <v>40542</v>
      </c>
      <c r="E4130" s="2">
        <v>18009748</v>
      </c>
      <c r="F4130" t="s">
        <v>3528</v>
      </c>
      <c r="G4130" s="17" t="str">
        <f>HYPERLINK("https://www.washoecounty.gov/assessor/cama/?command=sales&amp;parid=09004018","3959133")</f>
        <v>3959133</v>
      </c>
      <c r="H4130" t="s">
        <v>119</v>
      </c>
      <c r="I4130">
        <v>2005</v>
      </c>
      <c r="J4130">
        <v>2005</v>
      </c>
      <c r="K4130" t="s">
        <v>1086</v>
      </c>
      <c r="L4130" t="s">
        <v>1366</v>
      </c>
      <c r="M4130" s="2">
        <v>396120</v>
      </c>
      <c r="N4130" t="s">
        <v>4672</v>
      </c>
      <c r="O4130">
        <v>0</v>
      </c>
      <c r="P4130">
        <v>0</v>
      </c>
      <c r="Q4130">
        <v>0</v>
      </c>
      <c r="R4130" t="s">
        <v>1395</v>
      </c>
      <c r="S4130" t="s">
        <v>4599</v>
      </c>
      <c r="T4130" t="s">
        <v>4655</v>
      </c>
      <c r="U4130" t="s">
        <v>4655</v>
      </c>
      <c r="V4130" s="2">
        <v>0</v>
      </c>
      <c r="W4130" t="s">
        <v>4655</v>
      </c>
      <c r="X4130" s="2">
        <v>0</v>
      </c>
      <c r="Y4130">
        <v>50</v>
      </c>
      <c r="Z4130" t="s">
        <v>4843</v>
      </c>
      <c r="AA4130" s="3">
        <v>21.2399997711181</v>
      </c>
      <c r="AB4130" t="s">
        <v>22078</v>
      </c>
      <c r="AC4130" t="s">
        <v>4562</v>
      </c>
      <c r="AD4130" t="s">
        <v>5660</v>
      </c>
      <c r="AE4130" t="s">
        <v>4655</v>
      </c>
      <c r="AF4130" t="s">
        <v>1812</v>
      </c>
      <c r="AG4130" t="s">
        <v>4584</v>
      </c>
      <c r="AH4130" t="s">
        <v>4241</v>
      </c>
      <c r="AI4130" t="s">
        <v>22079</v>
      </c>
      <c r="AJ4130" t="s">
        <v>120</v>
      </c>
      <c r="AK4130" t="s">
        <v>22080</v>
      </c>
      <c r="AL4130" s="13" t="s">
        <v>1901</v>
      </c>
      <c r="AM4130">
        <v>1</v>
      </c>
      <c r="AN4130" s="15" t="s">
        <v>466</v>
      </c>
    </row>
    <row r="4131" spans="1:40" x14ac:dyDescent="0.3">
      <c r="A4131" s="10" t="str">
        <f>HYPERLINK("http://www.washoecounty.gov/assessor/cama/?parid=090-040-19&amp;CardNumber=1","090-040-19")</f>
        <v>090-040-19</v>
      </c>
      <c r="B4131" t="s">
        <v>4655</v>
      </c>
      <c r="C4131" t="s">
        <v>22081</v>
      </c>
      <c r="D4131" s="1">
        <v>40542</v>
      </c>
      <c r="E4131" s="2">
        <v>9670499</v>
      </c>
      <c r="F4131" t="s">
        <v>3528</v>
      </c>
      <c r="G4131" s="17" t="str">
        <f>HYPERLINK("https://www.washoecounty.gov/assessor/cama/?command=sales&amp;parid=09004019","3959091")</f>
        <v>3959091</v>
      </c>
      <c r="H4131" t="s">
        <v>119</v>
      </c>
      <c r="I4131">
        <v>2006</v>
      </c>
      <c r="J4131">
        <v>2006</v>
      </c>
      <c r="K4131" t="s">
        <v>1086</v>
      </c>
      <c r="L4131" t="s">
        <v>1366</v>
      </c>
      <c r="M4131" s="2">
        <v>200100</v>
      </c>
      <c r="N4131" t="s">
        <v>4672</v>
      </c>
      <c r="O4131">
        <v>0</v>
      </c>
      <c r="P4131">
        <v>0</v>
      </c>
      <c r="Q4131">
        <v>0</v>
      </c>
      <c r="R4131" t="s">
        <v>1368</v>
      </c>
      <c r="S4131" t="s">
        <v>4599</v>
      </c>
      <c r="T4131" t="s">
        <v>4655</v>
      </c>
      <c r="U4131" t="s">
        <v>4655</v>
      </c>
      <c r="V4131" s="2">
        <v>0</v>
      </c>
      <c r="W4131" t="s">
        <v>4655</v>
      </c>
      <c r="X4131" s="2">
        <v>0</v>
      </c>
      <c r="Y4131">
        <v>50</v>
      </c>
      <c r="Z4131" t="s">
        <v>4843</v>
      </c>
      <c r="AA4131" s="3">
        <v>10.5900001525878</v>
      </c>
      <c r="AB4131" t="s">
        <v>22082</v>
      </c>
      <c r="AC4131" t="s">
        <v>4562</v>
      </c>
      <c r="AD4131" t="s">
        <v>5660</v>
      </c>
      <c r="AE4131" t="s">
        <v>4655</v>
      </c>
      <c r="AF4131" t="s">
        <v>1812</v>
      </c>
      <c r="AG4131" t="s">
        <v>4584</v>
      </c>
      <c r="AH4131" t="s">
        <v>4241</v>
      </c>
      <c r="AI4131" t="s">
        <v>22083</v>
      </c>
      <c r="AJ4131" t="s">
        <v>120</v>
      </c>
      <c r="AK4131" t="s">
        <v>22084</v>
      </c>
      <c r="AL4131" s="13" t="s">
        <v>1901</v>
      </c>
      <c r="AM4131">
        <v>1</v>
      </c>
      <c r="AN4131" s="15" t="s">
        <v>466</v>
      </c>
    </row>
    <row r="4132" spans="1:40" x14ac:dyDescent="0.3">
      <c r="A4132" s="10" t="str">
        <f>HYPERLINK("http://www.washoecounty.gov/assessor/cama/?parid=090-040-31&amp;CardNumber=1","090-040-31")</f>
        <v>090-040-31</v>
      </c>
      <c r="B4132" t="s">
        <v>4655</v>
      </c>
      <c r="C4132" t="s">
        <v>22085</v>
      </c>
      <c r="D4132" s="1">
        <v>40542</v>
      </c>
      <c r="E4132" s="2">
        <v>21414720</v>
      </c>
      <c r="F4132" t="s">
        <v>4201</v>
      </c>
      <c r="G4132" s="17" t="str">
        <f>HYPERLINK("https://www.washoecounty.gov/assessor/cama/?command=sales&amp;parid=09004031","3959136")</f>
        <v>3959136</v>
      </c>
      <c r="H4132" t="s">
        <v>49</v>
      </c>
      <c r="I4132">
        <v>2007</v>
      </c>
      <c r="J4132">
        <v>2007</v>
      </c>
      <c r="K4132" t="s">
        <v>1086</v>
      </c>
      <c r="L4132" t="s">
        <v>1366</v>
      </c>
      <c r="M4132" s="2">
        <v>429000</v>
      </c>
      <c r="N4132" t="s">
        <v>4672</v>
      </c>
      <c r="O4132">
        <v>0</v>
      </c>
      <c r="P4132">
        <v>0</v>
      </c>
      <c r="Q4132">
        <v>0</v>
      </c>
      <c r="R4132" t="s">
        <v>1395</v>
      </c>
      <c r="S4132" t="s">
        <v>4599</v>
      </c>
      <c r="T4132" t="s">
        <v>4655</v>
      </c>
      <c r="U4132" t="s">
        <v>4655</v>
      </c>
      <c r="V4132" s="2">
        <v>0</v>
      </c>
      <c r="W4132" t="s">
        <v>4655</v>
      </c>
      <c r="X4132" s="2">
        <v>0</v>
      </c>
      <c r="Y4132">
        <v>50</v>
      </c>
      <c r="Z4132" t="s">
        <v>4843</v>
      </c>
      <c r="AA4132" s="3">
        <v>21.620000839233299</v>
      </c>
      <c r="AB4132" t="s">
        <v>22086</v>
      </c>
      <c r="AC4132" t="s">
        <v>4562</v>
      </c>
      <c r="AD4132" t="s">
        <v>5660</v>
      </c>
      <c r="AE4132" t="s">
        <v>4655</v>
      </c>
      <c r="AF4132" t="s">
        <v>1812</v>
      </c>
      <c r="AG4132" t="s">
        <v>4584</v>
      </c>
      <c r="AH4132" t="s">
        <v>4241</v>
      </c>
      <c r="AI4132" t="s">
        <v>22087</v>
      </c>
      <c r="AJ4132" t="s">
        <v>22088</v>
      </c>
      <c r="AK4132" t="s">
        <v>22089</v>
      </c>
      <c r="AL4132" s="13" t="s">
        <v>1901</v>
      </c>
      <c r="AM4132">
        <v>1</v>
      </c>
      <c r="AN4132" s="15" t="s">
        <v>466</v>
      </c>
    </row>
    <row r="4133" spans="1:40" x14ac:dyDescent="0.3">
      <c r="A4133" s="10" t="str">
        <f>HYPERLINK("http://www.washoecounty.gov/assessor/cama/?parid=090-051-14&amp;CardNumber=1","090-051-14")</f>
        <v>090-051-14</v>
      </c>
      <c r="B4133" t="s">
        <v>4655</v>
      </c>
      <c r="C4133" t="s">
        <v>22090</v>
      </c>
      <c r="D4133" s="1">
        <v>40280</v>
      </c>
      <c r="E4133" s="2">
        <v>2800000</v>
      </c>
      <c r="F4133" t="s">
        <v>4187</v>
      </c>
      <c r="G4133" s="17" t="str">
        <f>HYPERLINK("https://www.washoecounty.gov/assessor/cama/?command=sales&amp;parid=09005114","3869829")</f>
        <v>3869829</v>
      </c>
      <c r="H4133" t="s">
        <v>22091</v>
      </c>
      <c r="I4133">
        <v>2000</v>
      </c>
      <c r="J4133">
        <v>2000</v>
      </c>
      <c r="K4133" t="s">
        <v>1375</v>
      </c>
      <c r="L4133" t="s">
        <v>1366</v>
      </c>
      <c r="M4133" s="2">
        <v>61132</v>
      </c>
      <c r="N4133" t="s">
        <v>1431</v>
      </c>
      <c r="O4133">
        <v>0</v>
      </c>
      <c r="P4133">
        <v>0</v>
      </c>
      <c r="Q4133">
        <v>0</v>
      </c>
      <c r="R4133" t="s">
        <v>1395</v>
      </c>
      <c r="S4133" t="s">
        <v>4599</v>
      </c>
      <c r="T4133" t="s">
        <v>4655</v>
      </c>
      <c r="U4133" t="s">
        <v>4655</v>
      </c>
      <c r="V4133" s="2">
        <v>0</v>
      </c>
      <c r="W4133" t="s">
        <v>4655</v>
      </c>
      <c r="X4133" s="2">
        <v>0</v>
      </c>
      <c r="Y4133">
        <v>50</v>
      </c>
      <c r="Z4133" t="s">
        <v>4843</v>
      </c>
      <c r="AA4133" s="3">
        <v>4.3600001335143999</v>
      </c>
      <c r="AB4133" t="s">
        <v>22092</v>
      </c>
      <c r="AC4133" t="s">
        <v>4562</v>
      </c>
      <c r="AD4133" t="s">
        <v>22093</v>
      </c>
      <c r="AE4133" t="s">
        <v>4655</v>
      </c>
      <c r="AF4133" t="s">
        <v>465</v>
      </c>
      <c r="AG4133" t="s">
        <v>4657</v>
      </c>
      <c r="AH4133">
        <v>64112</v>
      </c>
      <c r="AI4133" t="s">
        <v>22094</v>
      </c>
      <c r="AJ4133" t="s">
        <v>22095</v>
      </c>
      <c r="AK4133" t="s">
        <v>22096</v>
      </c>
      <c r="AL4133" s="13" t="s">
        <v>1901</v>
      </c>
      <c r="AM4133">
        <v>1</v>
      </c>
      <c r="AN4133" s="15" t="s">
        <v>466</v>
      </c>
    </row>
    <row r="4134" spans="1:40" x14ac:dyDescent="0.3">
      <c r="A4134" s="10" t="str">
        <f>HYPERLINK("http://www.washoecounty.gov/assessor/cama/?parid=090-105-32&amp;CardNumber=1","090-105-32")</f>
        <v>090-105-32</v>
      </c>
      <c r="B4134" t="s">
        <v>4655</v>
      </c>
      <c r="C4134" t="s">
        <v>22097</v>
      </c>
      <c r="D4134" s="1">
        <v>40442</v>
      </c>
      <c r="E4134" s="2">
        <v>85000</v>
      </c>
      <c r="F4134" t="s">
        <v>4567</v>
      </c>
      <c r="G4134" s="17" t="str">
        <f>HYPERLINK("https://www.washoecounty.gov/assessor/cama/?command=sales&amp;parid=09010532","3924551")</f>
        <v>3924551</v>
      </c>
      <c r="H4134" t="s">
        <v>1024</v>
      </c>
      <c r="I4134">
        <v>1985</v>
      </c>
      <c r="J4134">
        <v>1985</v>
      </c>
      <c r="K4134" t="s">
        <v>4554</v>
      </c>
      <c r="L4134" t="s">
        <v>4555</v>
      </c>
      <c r="M4134" s="2">
        <v>1162</v>
      </c>
      <c r="N4134" t="s">
        <v>4556</v>
      </c>
      <c r="O4134">
        <v>2</v>
      </c>
      <c r="P4134">
        <v>2</v>
      </c>
      <c r="Q4134">
        <v>0</v>
      </c>
      <c r="R4134" t="s">
        <v>4557</v>
      </c>
      <c r="S4134" t="s">
        <v>4558</v>
      </c>
      <c r="T4134" t="s">
        <v>4559</v>
      </c>
      <c r="U4134" t="s">
        <v>4560</v>
      </c>
      <c r="V4134" s="2">
        <v>440</v>
      </c>
      <c r="W4134" t="s">
        <v>4655</v>
      </c>
      <c r="X4134" s="2">
        <v>0</v>
      </c>
      <c r="Y4134">
        <v>20</v>
      </c>
      <c r="Z4134" t="s">
        <v>4561</v>
      </c>
      <c r="AA4134" s="3">
        <v>0.15408632159233099</v>
      </c>
      <c r="AB4134" t="s">
        <v>22098</v>
      </c>
      <c r="AC4134" t="s">
        <v>4562</v>
      </c>
      <c r="AD4134" t="s">
        <v>22097</v>
      </c>
      <c r="AE4134" t="s">
        <v>4655</v>
      </c>
      <c r="AF4134" t="s">
        <v>4563</v>
      </c>
      <c r="AG4134" t="s">
        <v>4564</v>
      </c>
      <c r="AH4134">
        <v>89506</v>
      </c>
      <c r="AI4134" t="s">
        <v>22099</v>
      </c>
      <c r="AJ4134" t="s">
        <v>22100</v>
      </c>
      <c r="AK4134" t="s">
        <v>22101</v>
      </c>
      <c r="AL4134" s="13" t="s">
        <v>1901</v>
      </c>
      <c r="AM4134" s="14">
        <v>1</v>
      </c>
      <c r="AN4134" s="15" t="s">
        <v>5152</v>
      </c>
    </row>
    <row r="4135" spans="1:40" x14ac:dyDescent="0.3">
      <c r="A4135" s="10" t="str">
        <f>HYPERLINK("http://www.washoecounty.gov/assessor/cama/?parid=090-106-15&amp;CardNumber=1","090-106-15")</f>
        <v>090-106-15</v>
      </c>
      <c r="B4135" t="s">
        <v>4655</v>
      </c>
      <c r="C4135" t="s">
        <v>22102</v>
      </c>
      <c r="D4135" s="1">
        <v>40352</v>
      </c>
      <c r="E4135" s="2">
        <v>105000</v>
      </c>
      <c r="F4135" t="s">
        <v>4567</v>
      </c>
      <c r="G4135" s="17" t="str">
        <f>HYPERLINK("https://www.washoecounty.gov/assessor/cama/?command=sales&amp;parid=09010615","3894614")</f>
        <v>3894614</v>
      </c>
      <c r="H4135" t="s">
        <v>1024</v>
      </c>
      <c r="I4135">
        <v>1986</v>
      </c>
      <c r="J4135">
        <v>1986</v>
      </c>
      <c r="K4135" t="s">
        <v>4554</v>
      </c>
      <c r="L4135" t="s">
        <v>4555</v>
      </c>
      <c r="M4135" s="2">
        <v>1162</v>
      </c>
      <c r="N4135" t="s">
        <v>4556</v>
      </c>
      <c r="O4135">
        <v>3</v>
      </c>
      <c r="P4135">
        <v>2</v>
      </c>
      <c r="Q4135">
        <v>0</v>
      </c>
      <c r="R4135" t="s">
        <v>4557</v>
      </c>
      <c r="S4135" t="s">
        <v>4558</v>
      </c>
      <c r="T4135" t="s">
        <v>4559</v>
      </c>
      <c r="U4135" t="s">
        <v>4560</v>
      </c>
      <c r="V4135" s="2">
        <v>440</v>
      </c>
      <c r="W4135" t="s">
        <v>4655</v>
      </c>
      <c r="X4135" s="2">
        <v>0</v>
      </c>
      <c r="Y4135">
        <v>20</v>
      </c>
      <c r="Z4135" t="s">
        <v>4561</v>
      </c>
      <c r="AA4135" s="3">
        <v>0.12100551277399101</v>
      </c>
      <c r="AB4135" t="s">
        <v>22103</v>
      </c>
      <c r="AC4135" t="s">
        <v>4562</v>
      </c>
      <c r="AD4135" t="s">
        <v>22102</v>
      </c>
      <c r="AE4135" t="s">
        <v>4655</v>
      </c>
      <c r="AF4135" t="s">
        <v>4563</v>
      </c>
      <c r="AG4135" t="s">
        <v>4564</v>
      </c>
      <c r="AH4135">
        <v>89506</v>
      </c>
      <c r="AI4135" t="s">
        <v>22104</v>
      </c>
      <c r="AJ4135" t="s">
        <v>4655</v>
      </c>
      <c r="AK4135" t="s">
        <v>22105</v>
      </c>
      <c r="AL4135" s="13" t="s">
        <v>1901</v>
      </c>
      <c r="AM4135">
        <v>1</v>
      </c>
      <c r="AN4135" s="15" t="s">
        <v>5152</v>
      </c>
    </row>
    <row r="4136" spans="1:40" x14ac:dyDescent="0.3">
      <c r="A4136" s="10" t="str">
        <f>HYPERLINK("http://www.washoecounty.gov/assessor/cama/?parid=090-112-16&amp;CardNumber=1","090-112-16")</f>
        <v>090-112-16</v>
      </c>
      <c r="B4136" t="s">
        <v>4655</v>
      </c>
      <c r="C4136" t="s">
        <v>22106</v>
      </c>
      <c r="D4136" s="1">
        <v>40206</v>
      </c>
      <c r="E4136" s="2">
        <v>88500</v>
      </c>
      <c r="F4136" t="s">
        <v>4553</v>
      </c>
      <c r="G4136" s="17" t="str">
        <f>HYPERLINK("https://www.washoecounty.gov/assessor/cama/?command=sales&amp;parid=09011216","3843860")</f>
        <v>3843860</v>
      </c>
      <c r="H4136" t="s">
        <v>5160</v>
      </c>
      <c r="I4136">
        <v>1986</v>
      </c>
      <c r="J4136">
        <v>1986</v>
      </c>
      <c r="K4136" t="s">
        <v>4554</v>
      </c>
      <c r="L4136" t="s">
        <v>4555</v>
      </c>
      <c r="M4136" s="2">
        <v>1162</v>
      </c>
      <c r="N4136" t="s">
        <v>4556</v>
      </c>
      <c r="O4136">
        <v>3</v>
      </c>
      <c r="P4136">
        <v>2</v>
      </c>
      <c r="Q4136">
        <v>0</v>
      </c>
      <c r="R4136" t="s">
        <v>4557</v>
      </c>
      <c r="S4136" t="s">
        <v>4558</v>
      </c>
      <c r="T4136" t="s">
        <v>4559</v>
      </c>
      <c r="U4136" t="s">
        <v>4560</v>
      </c>
      <c r="V4136" s="2">
        <v>440</v>
      </c>
      <c r="W4136" t="s">
        <v>4655</v>
      </c>
      <c r="X4136" s="2">
        <v>0</v>
      </c>
      <c r="Y4136">
        <v>20</v>
      </c>
      <c r="Z4136" t="s">
        <v>4561</v>
      </c>
      <c r="AA4136" s="3">
        <v>0.21400366723537401</v>
      </c>
      <c r="AB4136" t="s">
        <v>22107</v>
      </c>
      <c r="AC4136" t="s">
        <v>4562</v>
      </c>
      <c r="AD4136" t="s">
        <v>22106</v>
      </c>
      <c r="AE4136" t="s">
        <v>4655</v>
      </c>
      <c r="AF4136" t="s">
        <v>4563</v>
      </c>
      <c r="AG4136" t="s">
        <v>4564</v>
      </c>
      <c r="AH4136">
        <v>89506</v>
      </c>
      <c r="AI4136" t="s">
        <v>8103</v>
      </c>
      <c r="AJ4136" t="s">
        <v>4655</v>
      </c>
      <c r="AK4136" t="s">
        <v>22108</v>
      </c>
      <c r="AL4136" s="13" t="s">
        <v>1901</v>
      </c>
      <c r="AM4136" s="14">
        <v>1</v>
      </c>
      <c r="AN4136" s="15" t="s">
        <v>5152</v>
      </c>
    </row>
    <row r="4137" spans="1:40" x14ac:dyDescent="0.3">
      <c r="A4137" s="10" t="str">
        <f>HYPERLINK("http://www.washoecounty.gov/assessor/cama/?parid=090-113-09&amp;CardNumber=1","090-113-09")</f>
        <v>090-113-09</v>
      </c>
      <c r="B4137" t="s">
        <v>4655</v>
      </c>
      <c r="C4137" t="s">
        <v>22109</v>
      </c>
      <c r="D4137" s="1">
        <v>40347</v>
      </c>
      <c r="E4137" s="2">
        <v>110000</v>
      </c>
      <c r="F4137" t="s">
        <v>4553</v>
      </c>
      <c r="G4137" s="17" t="str">
        <f>HYPERLINK("https://www.washoecounty.gov/assessor/cama/?command=sales&amp;parid=09011309","3893520")</f>
        <v>3893520</v>
      </c>
      <c r="H4137" t="s">
        <v>5160</v>
      </c>
      <c r="I4137">
        <v>1986</v>
      </c>
      <c r="J4137">
        <v>1986</v>
      </c>
      <c r="K4137" t="s">
        <v>4554</v>
      </c>
      <c r="L4137" t="s">
        <v>4555</v>
      </c>
      <c r="M4137" s="2">
        <v>1234</v>
      </c>
      <c r="N4137" t="s">
        <v>4556</v>
      </c>
      <c r="O4137">
        <v>3</v>
      </c>
      <c r="P4137">
        <v>2</v>
      </c>
      <c r="Q4137">
        <v>0</v>
      </c>
      <c r="R4137" t="s">
        <v>4557</v>
      </c>
      <c r="S4137" t="s">
        <v>4558</v>
      </c>
      <c r="T4137" t="s">
        <v>4559</v>
      </c>
      <c r="U4137" t="s">
        <v>4560</v>
      </c>
      <c r="V4137" s="2">
        <v>440</v>
      </c>
      <c r="W4137" t="s">
        <v>4655</v>
      </c>
      <c r="X4137" s="2">
        <v>0</v>
      </c>
      <c r="Y4137">
        <v>20</v>
      </c>
      <c r="Z4137" t="s">
        <v>4561</v>
      </c>
      <c r="AA4137" s="3">
        <v>0.12100551277399101</v>
      </c>
      <c r="AB4137" t="s">
        <v>22110</v>
      </c>
      <c r="AC4137" t="s">
        <v>4562</v>
      </c>
      <c r="AD4137" t="s">
        <v>22109</v>
      </c>
      <c r="AE4137" t="s">
        <v>4655</v>
      </c>
      <c r="AF4137" t="s">
        <v>4563</v>
      </c>
      <c r="AG4137" t="s">
        <v>4564</v>
      </c>
      <c r="AH4137">
        <v>89506</v>
      </c>
      <c r="AI4137" t="s">
        <v>1920</v>
      </c>
      <c r="AJ4137" t="s">
        <v>4655</v>
      </c>
      <c r="AK4137" t="s">
        <v>22111</v>
      </c>
      <c r="AL4137" s="13" t="s">
        <v>1901</v>
      </c>
      <c r="AM4137" s="14">
        <v>1</v>
      </c>
      <c r="AN4137" s="15" t="s">
        <v>5152</v>
      </c>
    </row>
    <row r="4138" spans="1:40" x14ac:dyDescent="0.3">
      <c r="A4138" s="10" t="str">
        <f>HYPERLINK("http://www.washoecounty.gov/assessor/cama/?parid=090-122-04&amp;CardNumber=1","090-122-04")</f>
        <v>090-122-04</v>
      </c>
      <c r="B4138" t="s">
        <v>4655</v>
      </c>
      <c r="C4138" t="s">
        <v>22112</v>
      </c>
      <c r="D4138" s="1">
        <v>40309</v>
      </c>
      <c r="E4138" s="2">
        <v>82000</v>
      </c>
      <c r="F4138" t="s">
        <v>4553</v>
      </c>
      <c r="G4138" s="17" t="str">
        <f>HYPERLINK("https://www.washoecounty.gov/assessor/cama/?command=sales&amp;parid=09012204","3880203")</f>
        <v>3880203</v>
      </c>
      <c r="H4138" t="s">
        <v>1209</v>
      </c>
      <c r="I4138">
        <v>1988</v>
      </c>
      <c r="J4138">
        <v>1988</v>
      </c>
      <c r="K4138" t="s">
        <v>4554</v>
      </c>
      <c r="L4138" t="s">
        <v>4555</v>
      </c>
      <c r="M4138" s="2">
        <v>1474</v>
      </c>
      <c r="N4138" t="s">
        <v>4556</v>
      </c>
      <c r="O4138">
        <v>4</v>
      </c>
      <c r="P4138">
        <v>2</v>
      </c>
      <c r="Q4138">
        <v>0</v>
      </c>
      <c r="R4138" t="s">
        <v>4557</v>
      </c>
      <c r="S4138" t="s">
        <v>4558</v>
      </c>
      <c r="T4138" t="s">
        <v>4559</v>
      </c>
      <c r="U4138" t="s">
        <v>4560</v>
      </c>
      <c r="V4138" s="2">
        <v>440</v>
      </c>
      <c r="W4138" t="s">
        <v>4655</v>
      </c>
      <c r="X4138" s="2">
        <v>0</v>
      </c>
      <c r="Y4138">
        <v>20</v>
      </c>
      <c r="Z4138" t="s">
        <v>4561</v>
      </c>
      <c r="AA4138" s="3">
        <v>0.17199265956878662</v>
      </c>
      <c r="AB4138" t="s">
        <v>22113</v>
      </c>
      <c r="AC4138" t="s">
        <v>4562</v>
      </c>
      <c r="AD4138" t="s">
        <v>22114</v>
      </c>
      <c r="AE4138" t="s">
        <v>4655</v>
      </c>
      <c r="AF4138" t="s">
        <v>22115</v>
      </c>
      <c r="AG4138" t="s">
        <v>2590</v>
      </c>
      <c r="AH4138" t="s">
        <v>22116</v>
      </c>
      <c r="AI4138" t="s">
        <v>4655</v>
      </c>
      <c r="AJ4138" t="s">
        <v>4655</v>
      </c>
      <c r="AK4138" t="s">
        <v>22117</v>
      </c>
      <c r="AL4138" s="13" t="s">
        <v>1901</v>
      </c>
      <c r="AM4138" s="14">
        <v>1</v>
      </c>
      <c r="AN4138" s="15" t="s">
        <v>5152</v>
      </c>
    </row>
    <row r="4139" spans="1:40" x14ac:dyDescent="0.3">
      <c r="A4139" s="10" t="str">
        <f>HYPERLINK("http://www.washoecounty.gov/assessor/cama/?parid=090-122-11&amp;CardNumber=1","090-122-11")</f>
        <v>090-122-11</v>
      </c>
      <c r="B4139" t="s">
        <v>4655</v>
      </c>
      <c r="C4139" t="s">
        <v>22118</v>
      </c>
      <c r="D4139" s="1">
        <v>40311</v>
      </c>
      <c r="E4139" s="2">
        <v>78000</v>
      </c>
      <c r="F4139" t="s">
        <v>4553</v>
      </c>
      <c r="G4139" s="17" t="str">
        <f>HYPERLINK("https://www.washoecounty.gov/assessor/cama/?command=sales&amp;parid=09012211","3881078")</f>
        <v>3881078</v>
      </c>
      <c r="H4139" t="s">
        <v>1209</v>
      </c>
      <c r="I4139">
        <v>1990</v>
      </c>
      <c r="J4139">
        <v>1990</v>
      </c>
      <c r="K4139" t="s">
        <v>4554</v>
      </c>
      <c r="L4139" t="s">
        <v>4555</v>
      </c>
      <c r="M4139" s="2">
        <v>1234</v>
      </c>
      <c r="N4139" t="s">
        <v>4556</v>
      </c>
      <c r="O4139">
        <v>3</v>
      </c>
      <c r="P4139">
        <v>2</v>
      </c>
      <c r="Q4139">
        <v>0</v>
      </c>
      <c r="R4139" t="s">
        <v>4557</v>
      </c>
      <c r="S4139" t="s">
        <v>4558</v>
      </c>
      <c r="T4139" t="s">
        <v>4559</v>
      </c>
      <c r="U4139" t="s">
        <v>4560</v>
      </c>
      <c r="V4139" s="2">
        <v>440</v>
      </c>
      <c r="W4139" t="s">
        <v>4655</v>
      </c>
      <c r="X4139" s="2">
        <v>0</v>
      </c>
      <c r="Y4139">
        <v>20</v>
      </c>
      <c r="Z4139" t="s">
        <v>4561</v>
      </c>
      <c r="AA4139" s="3">
        <v>0.14499540627002699</v>
      </c>
      <c r="AB4139" t="s">
        <v>22119</v>
      </c>
      <c r="AC4139" t="s">
        <v>4562</v>
      </c>
      <c r="AD4139" t="s">
        <v>22120</v>
      </c>
      <c r="AE4139" t="s">
        <v>4655</v>
      </c>
      <c r="AF4139" t="s">
        <v>4563</v>
      </c>
      <c r="AG4139" t="s">
        <v>4564</v>
      </c>
      <c r="AH4139">
        <v>89506</v>
      </c>
      <c r="AI4139" t="s">
        <v>22121</v>
      </c>
      <c r="AJ4139" t="s">
        <v>4655</v>
      </c>
      <c r="AK4139" t="s">
        <v>22122</v>
      </c>
      <c r="AL4139" s="13" t="s">
        <v>1901</v>
      </c>
      <c r="AM4139">
        <v>1</v>
      </c>
      <c r="AN4139" s="15" t="s">
        <v>5152</v>
      </c>
    </row>
    <row r="4140" spans="1:40" x14ac:dyDescent="0.3">
      <c r="A4140" s="10" t="str">
        <f>HYPERLINK("http://www.washoecounty.gov/assessor/cama/?parid=090-123-06&amp;CardNumber=1","090-123-06")</f>
        <v>090-123-06</v>
      </c>
      <c r="B4140" t="s">
        <v>4655</v>
      </c>
      <c r="C4140" t="s">
        <v>22123</v>
      </c>
      <c r="D4140" s="1">
        <v>40479</v>
      </c>
      <c r="E4140" s="2">
        <v>82000</v>
      </c>
      <c r="F4140" t="s">
        <v>4553</v>
      </c>
      <c r="G4140" s="17" t="str">
        <f>HYPERLINK("https://www.washoecounty.gov/assessor/cama/?command=sales&amp;parid=09012306","3937722")</f>
        <v>3937722</v>
      </c>
      <c r="H4140" t="s">
        <v>1209</v>
      </c>
      <c r="I4140">
        <v>1990</v>
      </c>
      <c r="J4140">
        <v>1990</v>
      </c>
      <c r="K4140" t="s">
        <v>4554</v>
      </c>
      <c r="L4140" t="s">
        <v>4555</v>
      </c>
      <c r="M4140" s="2">
        <v>1234</v>
      </c>
      <c r="N4140" t="s">
        <v>4556</v>
      </c>
      <c r="O4140">
        <v>3</v>
      </c>
      <c r="P4140">
        <v>2</v>
      </c>
      <c r="Q4140">
        <v>0</v>
      </c>
      <c r="R4140" t="s">
        <v>4557</v>
      </c>
      <c r="S4140" t="s">
        <v>4558</v>
      </c>
      <c r="T4140" t="s">
        <v>4559</v>
      </c>
      <c r="U4140" t="s">
        <v>4560</v>
      </c>
      <c r="V4140" s="2">
        <v>440</v>
      </c>
      <c r="W4140" t="s">
        <v>4655</v>
      </c>
      <c r="X4140" s="2">
        <v>0</v>
      </c>
      <c r="Y4140">
        <v>20</v>
      </c>
      <c r="Z4140" t="s">
        <v>4561</v>
      </c>
      <c r="AA4140" s="3">
        <v>0.14299815893173218</v>
      </c>
      <c r="AB4140" t="s">
        <v>22124</v>
      </c>
      <c r="AC4140" t="s">
        <v>4562</v>
      </c>
      <c r="AD4140" t="s">
        <v>22125</v>
      </c>
      <c r="AE4140" t="s">
        <v>4655</v>
      </c>
      <c r="AF4140" t="s">
        <v>4563</v>
      </c>
      <c r="AG4140" t="s">
        <v>4564</v>
      </c>
      <c r="AH4140">
        <v>89506</v>
      </c>
      <c r="AI4140" t="s">
        <v>4655</v>
      </c>
      <c r="AJ4140" t="s">
        <v>4655</v>
      </c>
      <c r="AK4140" t="s">
        <v>22126</v>
      </c>
      <c r="AL4140" s="13" t="s">
        <v>1901</v>
      </c>
      <c r="AM4140" s="14">
        <v>1</v>
      </c>
      <c r="AN4140" s="15" t="s">
        <v>5152</v>
      </c>
    </row>
    <row r="4141" spans="1:40" x14ac:dyDescent="0.3">
      <c r="A4141" s="10" t="str">
        <f>HYPERLINK("http://www.washoecounty.gov/assessor/cama/?parid=090-123-15&amp;CardNumber=1","090-123-15")</f>
        <v>090-123-15</v>
      </c>
      <c r="B4141" t="s">
        <v>4655</v>
      </c>
      <c r="C4141" t="s">
        <v>22127</v>
      </c>
      <c r="D4141" s="1">
        <v>40312</v>
      </c>
      <c r="E4141" s="2">
        <v>98000</v>
      </c>
      <c r="F4141" t="s">
        <v>4567</v>
      </c>
      <c r="G4141" s="17" t="str">
        <f>HYPERLINK("https://www.washoecounty.gov/assessor/cama/?command=sales&amp;parid=09012315","3881595")</f>
        <v>3881595</v>
      </c>
      <c r="H4141" t="s">
        <v>1209</v>
      </c>
      <c r="I4141">
        <v>1990</v>
      </c>
      <c r="J4141">
        <v>1990</v>
      </c>
      <c r="K4141" t="s">
        <v>4554</v>
      </c>
      <c r="L4141" t="s">
        <v>4555</v>
      </c>
      <c r="M4141" s="2">
        <v>1234</v>
      </c>
      <c r="N4141" t="s">
        <v>4556</v>
      </c>
      <c r="O4141">
        <v>3</v>
      </c>
      <c r="P4141">
        <v>2</v>
      </c>
      <c r="Q4141">
        <v>0</v>
      </c>
      <c r="R4141" t="s">
        <v>4557</v>
      </c>
      <c r="S4141" t="s">
        <v>4558</v>
      </c>
      <c r="T4141" t="s">
        <v>4559</v>
      </c>
      <c r="U4141" t="s">
        <v>4560</v>
      </c>
      <c r="V4141" s="2">
        <v>440</v>
      </c>
      <c r="W4141" t="s">
        <v>4655</v>
      </c>
      <c r="X4141" s="2">
        <v>0</v>
      </c>
      <c r="Y4141">
        <v>20</v>
      </c>
      <c r="Z4141" t="s">
        <v>4561</v>
      </c>
      <c r="AA4141" s="3">
        <v>0.135009184479713</v>
      </c>
      <c r="AB4141" t="s">
        <v>1856</v>
      </c>
      <c r="AC4141" t="s">
        <v>4562</v>
      </c>
      <c r="AD4141" t="s">
        <v>1857</v>
      </c>
      <c r="AE4141" t="s">
        <v>4655</v>
      </c>
      <c r="AF4141" t="s">
        <v>3890</v>
      </c>
      <c r="AG4141" t="s">
        <v>4564</v>
      </c>
      <c r="AH4141" t="s">
        <v>3891</v>
      </c>
      <c r="AI4141" t="s">
        <v>22128</v>
      </c>
      <c r="AJ4141" t="s">
        <v>4655</v>
      </c>
      <c r="AK4141" t="s">
        <v>22129</v>
      </c>
      <c r="AL4141" s="13" t="s">
        <v>1901</v>
      </c>
      <c r="AM4141">
        <v>1</v>
      </c>
      <c r="AN4141" s="15" t="s">
        <v>5152</v>
      </c>
    </row>
    <row r="4142" spans="1:40" x14ac:dyDescent="0.3">
      <c r="A4142" s="10" t="str">
        <f>HYPERLINK("http://www.washoecounty.gov/assessor/cama/?parid=090-124-01&amp;CardNumber=1","090-124-01")</f>
        <v>090-124-01</v>
      </c>
      <c r="B4142" t="s">
        <v>4655</v>
      </c>
      <c r="C4142" t="s">
        <v>22130</v>
      </c>
      <c r="D4142" s="1">
        <v>40294</v>
      </c>
      <c r="E4142" s="2">
        <v>130400</v>
      </c>
      <c r="F4142" t="s">
        <v>4567</v>
      </c>
      <c r="G4142" s="17" t="str">
        <f>HYPERLINK("https://www.washoecounty.gov/assessor/cama/?command=sales&amp;parid=09012401","3874669")</f>
        <v>3874669</v>
      </c>
      <c r="H4142" t="s">
        <v>5037</v>
      </c>
      <c r="I4142">
        <v>1992</v>
      </c>
      <c r="J4142">
        <v>1992</v>
      </c>
      <c r="K4142" t="s">
        <v>4554</v>
      </c>
      <c r="L4142" t="s">
        <v>3974</v>
      </c>
      <c r="M4142" s="2">
        <v>1733</v>
      </c>
      <c r="N4142" t="s">
        <v>4048</v>
      </c>
      <c r="O4142">
        <v>3</v>
      </c>
      <c r="P4142">
        <v>2</v>
      </c>
      <c r="Q4142">
        <v>1</v>
      </c>
      <c r="R4142" t="s">
        <v>5281</v>
      </c>
      <c r="S4142" t="s">
        <v>4558</v>
      </c>
      <c r="T4142" t="s">
        <v>4559</v>
      </c>
      <c r="U4142" t="s">
        <v>5631</v>
      </c>
      <c r="V4142" s="2">
        <v>415</v>
      </c>
      <c r="W4142" t="s">
        <v>4655</v>
      </c>
      <c r="X4142" s="2">
        <v>0</v>
      </c>
      <c r="Y4142">
        <v>20</v>
      </c>
      <c r="Z4142" t="s">
        <v>4561</v>
      </c>
      <c r="AA4142" s="3">
        <v>0.17100550234317799</v>
      </c>
      <c r="AB4142" t="s">
        <v>22131</v>
      </c>
      <c r="AC4142" t="s">
        <v>4562</v>
      </c>
      <c r="AD4142" t="s">
        <v>22132</v>
      </c>
      <c r="AE4142" t="s">
        <v>4655</v>
      </c>
      <c r="AF4142" t="s">
        <v>4563</v>
      </c>
      <c r="AG4142" t="s">
        <v>4564</v>
      </c>
      <c r="AH4142">
        <v>89506</v>
      </c>
      <c r="AI4142" t="s">
        <v>22133</v>
      </c>
      <c r="AJ4142" t="s">
        <v>4655</v>
      </c>
      <c r="AK4142" t="s">
        <v>22134</v>
      </c>
      <c r="AL4142" s="13" t="s">
        <v>1901</v>
      </c>
      <c r="AM4142">
        <v>1</v>
      </c>
      <c r="AN4142" s="15" t="s">
        <v>1448</v>
      </c>
    </row>
    <row r="4143" spans="1:40" x14ac:dyDescent="0.3">
      <c r="A4143" s="10" t="str">
        <f>HYPERLINK("http://www.washoecounty.gov/assessor/cama/?parid=090-124-02&amp;CardNumber=1","090-124-02")</f>
        <v>090-124-02</v>
      </c>
      <c r="B4143" t="s">
        <v>4655</v>
      </c>
      <c r="C4143" t="s">
        <v>22135</v>
      </c>
      <c r="D4143" s="1">
        <v>40450</v>
      </c>
      <c r="E4143" s="2">
        <v>114000</v>
      </c>
      <c r="F4143" t="s">
        <v>4567</v>
      </c>
      <c r="G4143" s="17" t="str">
        <f>HYPERLINK("https://www.washoecounty.gov/assessor/cama/?command=sales&amp;parid=09012402","3927342")</f>
        <v>3927342</v>
      </c>
      <c r="H4143" t="s">
        <v>5153</v>
      </c>
      <c r="I4143">
        <v>1992</v>
      </c>
      <c r="J4143">
        <v>1992</v>
      </c>
      <c r="K4143" t="s">
        <v>4554</v>
      </c>
      <c r="L4143" t="s">
        <v>4555</v>
      </c>
      <c r="M4143" s="2">
        <v>1505</v>
      </c>
      <c r="N4143" t="s">
        <v>4048</v>
      </c>
      <c r="O4143">
        <v>3</v>
      </c>
      <c r="P4143">
        <v>2</v>
      </c>
      <c r="Q4143">
        <v>0</v>
      </c>
      <c r="R4143" t="s">
        <v>4557</v>
      </c>
      <c r="S4143" t="s">
        <v>4558</v>
      </c>
      <c r="T4143" t="s">
        <v>4559</v>
      </c>
      <c r="U4143" t="s">
        <v>4560</v>
      </c>
      <c r="V4143" s="2">
        <v>414</v>
      </c>
      <c r="W4143" t="s">
        <v>4655</v>
      </c>
      <c r="X4143" s="2">
        <v>0</v>
      </c>
      <c r="Y4143">
        <v>20</v>
      </c>
      <c r="Z4143" t="s">
        <v>4561</v>
      </c>
      <c r="AA4143" s="3">
        <v>0.13599632680416099</v>
      </c>
      <c r="AB4143" t="s">
        <v>22136</v>
      </c>
      <c r="AC4143" t="s">
        <v>4562</v>
      </c>
      <c r="AD4143" t="s">
        <v>22137</v>
      </c>
      <c r="AE4143" t="s">
        <v>4655</v>
      </c>
      <c r="AF4143" t="s">
        <v>4563</v>
      </c>
      <c r="AG4143" t="s">
        <v>4564</v>
      </c>
      <c r="AH4143">
        <v>89506</v>
      </c>
      <c r="AI4143" t="s">
        <v>22138</v>
      </c>
      <c r="AJ4143" t="s">
        <v>4655</v>
      </c>
      <c r="AK4143" t="s">
        <v>22139</v>
      </c>
      <c r="AL4143" s="13" t="s">
        <v>1901</v>
      </c>
      <c r="AM4143" s="14">
        <v>1</v>
      </c>
      <c r="AN4143" s="15" t="s">
        <v>1448</v>
      </c>
    </row>
    <row r="4144" spans="1:40" x14ac:dyDescent="0.3">
      <c r="A4144" s="10" t="str">
        <f>HYPERLINK("http://www.washoecounty.gov/assessor/cama/?parid=090-127-06&amp;CardNumber=1","090-127-06")</f>
        <v>090-127-06</v>
      </c>
      <c r="B4144" t="s">
        <v>4655</v>
      </c>
      <c r="C4144" t="s">
        <v>22140</v>
      </c>
      <c r="D4144" s="1">
        <v>40207</v>
      </c>
      <c r="E4144" s="2">
        <v>105000</v>
      </c>
      <c r="F4144" t="s">
        <v>4553</v>
      </c>
      <c r="G4144" s="17" t="str">
        <f>HYPERLINK("https://www.washoecounty.gov/assessor/cama/?command=sales&amp;parid=09012706","3844449")</f>
        <v>3844449</v>
      </c>
      <c r="H4144" t="s">
        <v>5153</v>
      </c>
      <c r="I4144">
        <v>1992</v>
      </c>
      <c r="J4144">
        <v>1992</v>
      </c>
      <c r="K4144" t="s">
        <v>4554</v>
      </c>
      <c r="L4144" t="s">
        <v>4555</v>
      </c>
      <c r="M4144" s="2">
        <v>1144</v>
      </c>
      <c r="N4144" t="s">
        <v>4048</v>
      </c>
      <c r="O4144">
        <v>3</v>
      </c>
      <c r="P4144">
        <v>2</v>
      </c>
      <c r="Q4144">
        <v>0</v>
      </c>
      <c r="R4144" t="s">
        <v>4557</v>
      </c>
      <c r="S4144" t="s">
        <v>4558</v>
      </c>
      <c r="T4144" t="s">
        <v>4559</v>
      </c>
      <c r="U4144" t="s">
        <v>4560</v>
      </c>
      <c r="V4144" s="2">
        <v>400</v>
      </c>
      <c r="W4144" t="s">
        <v>4655</v>
      </c>
      <c r="X4144" s="2">
        <v>0</v>
      </c>
      <c r="Y4144">
        <v>20</v>
      </c>
      <c r="Z4144" t="s">
        <v>4561</v>
      </c>
      <c r="AA4144" s="3">
        <v>0.128007352352142</v>
      </c>
      <c r="AB4144" t="s">
        <v>22141</v>
      </c>
      <c r="AC4144" t="s">
        <v>4575</v>
      </c>
      <c r="AD4144" t="s">
        <v>22142</v>
      </c>
      <c r="AE4144" t="s">
        <v>22140</v>
      </c>
      <c r="AF4144" t="s">
        <v>3114</v>
      </c>
      <c r="AG4144" t="s">
        <v>4564</v>
      </c>
      <c r="AH4144">
        <v>89506</v>
      </c>
      <c r="AI4144" t="s">
        <v>22143</v>
      </c>
      <c r="AJ4144" t="s">
        <v>4655</v>
      </c>
      <c r="AK4144" t="s">
        <v>22144</v>
      </c>
      <c r="AL4144" s="13" t="s">
        <v>1901</v>
      </c>
      <c r="AM4144">
        <v>1</v>
      </c>
      <c r="AN4144" s="15" t="s">
        <v>1448</v>
      </c>
    </row>
    <row r="4145" spans="1:40" x14ac:dyDescent="0.3">
      <c r="A4145" s="10" t="str">
        <f>HYPERLINK("http://www.washoecounty.gov/assessor/cama/?parid=090-128-01&amp;CardNumber=1","090-128-01")</f>
        <v>090-128-01</v>
      </c>
      <c r="B4145" t="s">
        <v>4655</v>
      </c>
      <c r="C4145" t="s">
        <v>22145</v>
      </c>
      <c r="D4145" s="1">
        <v>40452</v>
      </c>
      <c r="E4145" s="2">
        <v>124000</v>
      </c>
      <c r="F4145" t="s">
        <v>4553</v>
      </c>
      <c r="G4145" s="17" t="str">
        <f>HYPERLINK("https://www.washoecounty.gov/assessor/cama/?command=sales&amp;parid=09012801","3928508")</f>
        <v>3928508</v>
      </c>
      <c r="H4145" t="s">
        <v>5153</v>
      </c>
      <c r="I4145">
        <v>1992</v>
      </c>
      <c r="J4145">
        <v>1992</v>
      </c>
      <c r="K4145" t="s">
        <v>4554</v>
      </c>
      <c r="L4145" t="s">
        <v>3974</v>
      </c>
      <c r="M4145" s="2">
        <v>1733</v>
      </c>
      <c r="N4145" t="s">
        <v>4048</v>
      </c>
      <c r="O4145">
        <v>3</v>
      </c>
      <c r="P4145">
        <v>2</v>
      </c>
      <c r="Q4145">
        <v>1</v>
      </c>
      <c r="R4145" t="s">
        <v>4557</v>
      </c>
      <c r="S4145" t="s">
        <v>4558</v>
      </c>
      <c r="T4145" t="s">
        <v>4559</v>
      </c>
      <c r="U4145" t="s">
        <v>5631</v>
      </c>
      <c r="V4145" s="2">
        <v>415</v>
      </c>
      <c r="W4145" t="s">
        <v>4655</v>
      </c>
      <c r="X4145" s="2">
        <v>0</v>
      </c>
      <c r="Y4145">
        <v>20</v>
      </c>
      <c r="Z4145" t="s">
        <v>4561</v>
      </c>
      <c r="AA4145" s="3">
        <v>0.14201101660728499</v>
      </c>
      <c r="AB4145" t="s">
        <v>22146</v>
      </c>
      <c r="AC4145" t="s">
        <v>4562</v>
      </c>
      <c r="AD4145" t="s">
        <v>22145</v>
      </c>
      <c r="AE4145" t="s">
        <v>4655</v>
      </c>
      <c r="AF4145" t="s">
        <v>4563</v>
      </c>
      <c r="AG4145" t="s">
        <v>4564</v>
      </c>
      <c r="AH4145">
        <v>89506</v>
      </c>
      <c r="AI4145" t="s">
        <v>4903</v>
      </c>
      <c r="AJ4145" t="s">
        <v>4655</v>
      </c>
      <c r="AK4145" t="s">
        <v>22147</v>
      </c>
      <c r="AL4145" s="13" t="s">
        <v>1901</v>
      </c>
      <c r="AM4145">
        <v>1</v>
      </c>
      <c r="AN4145" s="15" t="s">
        <v>1448</v>
      </c>
    </row>
    <row r="4146" spans="1:40" x14ac:dyDescent="0.3">
      <c r="A4146" s="10" t="str">
        <f>HYPERLINK("http://www.washoecounty.gov/assessor/cama/?parid=090-128-02&amp;CardNumber=1","090-128-02")</f>
        <v>090-128-02</v>
      </c>
      <c r="B4146" t="s">
        <v>4655</v>
      </c>
      <c r="C4146" t="s">
        <v>22148</v>
      </c>
      <c r="D4146" s="1">
        <v>40339</v>
      </c>
      <c r="E4146" s="2">
        <v>120000</v>
      </c>
      <c r="F4146" t="s">
        <v>4567</v>
      </c>
      <c r="G4146" s="17" t="str">
        <f>HYPERLINK("https://www.washoecounty.gov/assessor/cama/?command=sales&amp;parid=09012802","38910717")</f>
        <v>38910717</v>
      </c>
      <c r="H4146" t="s">
        <v>5153</v>
      </c>
      <c r="I4146">
        <v>1992</v>
      </c>
      <c r="J4146">
        <v>1992</v>
      </c>
      <c r="K4146" t="s">
        <v>4554</v>
      </c>
      <c r="L4146" t="s">
        <v>2170</v>
      </c>
      <c r="M4146" s="2">
        <v>1686</v>
      </c>
      <c r="N4146" t="s">
        <v>4048</v>
      </c>
      <c r="O4146">
        <v>3</v>
      </c>
      <c r="P4146">
        <v>2</v>
      </c>
      <c r="Q4146">
        <v>1</v>
      </c>
      <c r="R4146" t="s">
        <v>4557</v>
      </c>
      <c r="S4146" t="s">
        <v>4558</v>
      </c>
      <c r="T4146" t="s">
        <v>4559</v>
      </c>
      <c r="U4146" t="s">
        <v>5631</v>
      </c>
      <c r="V4146" s="2">
        <v>498</v>
      </c>
      <c r="W4146" t="s">
        <v>4655</v>
      </c>
      <c r="X4146" s="2">
        <v>0</v>
      </c>
      <c r="Y4146">
        <v>20</v>
      </c>
      <c r="Z4146" t="s">
        <v>4561</v>
      </c>
      <c r="AA4146" s="3">
        <v>0.14201101660728499</v>
      </c>
      <c r="AB4146" t="s">
        <v>22149</v>
      </c>
      <c r="AC4146" t="s">
        <v>4562</v>
      </c>
      <c r="AD4146" t="s">
        <v>22148</v>
      </c>
      <c r="AE4146" t="s">
        <v>4655</v>
      </c>
      <c r="AF4146" t="s">
        <v>4563</v>
      </c>
      <c r="AG4146" t="s">
        <v>4564</v>
      </c>
      <c r="AH4146">
        <v>89506</v>
      </c>
      <c r="AI4146" t="s">
        <v>22150</v>
      </c>
      <c r="AJ4146" t="s">
        <v>4655</v>
      </c>
      <c r="AK4146" t="s">
        <v>22151</v>
      </c>
      <c r="AL4146" s="13" t="s">
        <v>1901</v>
      </c>
      <c r="AM4146">
        <v>1</v>
      </c>
      <c r="AN4146" s="15" t="s">
        <v>1448</v>
      </c>
    </row>
    <row r="4147" spans="1:40" x14ac:dyDescent="0.3">
      <c r="A4147" s="10" t="str">
        <f>HYPERLINK("http://www.washoecounty.gov/assessor/cama/?parid=090-131-11&amp;CardNumber=1","090-131-11")</f>
        <v>090-131-11</v>
      </c>
      <c r="B4147" t="s">
        <v>4655</v>
      </c>
      <c r="C4147" t="s">
        <v>22152</v>
      </c>
      <c r="D4147" s="1">
        <v>40479</v>
      </c>
      <c r="E4147" s="2">
        <v>126000</v>
      </c>
      <c r="F4147" t="s">
        <v>4553</v>
      </c>
      <c r="G4147" s="17" t="str">
        <f>HYPERLINK("https://www.washoecounty.gov/assessor/cama/?command=sales&amp;parid=09013111","3937881")</f>
        <v>3937881</v>
      </c>
      <c r="H4147" t="s">
        <v>5153</v>
      </c>
      <c r="I4147">
        <v>1992</v>
      </c>
      <c r="J4147">
        <v>1992</v>
      </c>
      <c r="K4147" t="s">
        <v>4554</v>
      </c>
      <c r="L4147" t="s">
        <v>3974</v>
      </c>
      <c r="M4147" s="2">
        <v>1733</v>
      </c>
      <c r="N4147" t="s">
        <v>4048</v>
      </c>
      <c r="O4147">
        <v>3</v>
      </c>
      <c r="P4147">
        <v>2</v>
      </c>
      <c r="Q4147">
        <v>1</v>
      </c>
      <c r="R4147" t="s">
        <v>4557</v>
      </c>
      <c r="S4147" t="s">
        <v>4558</v>
      </c>
      <c r="T4147" t="s">
        <v>4559</v>
      </c>
      <c r="U4147" t="s">
        <v>5631</v>
      </c>
      <c r="V4147" s="2">
        <v>415</v>
      </c>
      <c r="W4147" t="s">
        <v>4655</v>
      </c>
      <c r="X4147" s="2">
        <v>0</v>
      </c>
      <c r="Y4147">
        <v>20</v>
      </c>
      <c r="Z4147" t="s">
        <v>4561</v>
      </c>
      <c r="AA4147" s="3">
        <v>0.14201101660728499</v>
      </c>
      <c r="AB4147" t="s">
        <v>22153</v>
      </c>
      <c r="AC4147" t="s">
        <v>4562</v>
      </c>
      <c r="AD4147" t="s">
        <v>22154</v>
      </c>
      <c r="AE4147" t="s">
        <v>4655</v>
      </c>
      <c r="AF4147" t="s">
        <v>4563</v>
      </c>
      <c r="AG4147" t="s">
        <v>4564</v>
      </c>
      <c r="AH4147">
        <v>89506</v>
      </c>
      <c r="AI4147" t="s">
        <v>4202</v>
      </c>
      <c r="AJ4147" t="s">
        <v>4655</v>
      </c>
      <c r="AK4147" t="s">
        <v>22155</v>
      </c>
      <c r="AL4147" s="13" t="s">
        <v>1901</v>
      </c>
      <c r="AM4147">
        <v>1</v>
      </c>
      <c r="AN4147" s="15" t="s">
        <v>1448</v>
      </c>
    </row>
    <row r="4148" spans="1:40" x14ac:dyDescent="0.3">
      <c r="A4148" s="10" t="str">
        <f>HYPERLINK("http://www.washoecounty.gov/assessor/cama/?parid=090-132-01&amp;CardNumber=1","090-132-01")</f>
        <v>090-132-01</v>
      </c>
      <c r="B4148" t="s">
        <v>4655</v>
      </c>
      <c r="C4148" t="s">
        <v>22156</v>
      </c>
      <c r="D4148" s="1">
        <v>40501</v>
      </c>
      <c r="E4148" s="2">
        <v>115000</v>
      </c>
      <c r="F4148" t="s">
        <v>4567</v>
      </c>
      <c r="G4148" s="17" t="str">
        <f>HYPERLINK("https://www.washoecounty.gov/assessor/cama/?command=sales&amp;parid=09013201","3945239")</f>
        <v>3945239</v>
      </c>
      <c r="H4148" t="s">
        <v>5153</v>
      </c>
      <c r="I4148">
        <v>1992</v>
      </c>
      <c r="J4148">
        <v>1992</v>
      </c>
      <c r="K4148" t="s">
        <v>4554</v>
      </c>
      <c r="L4148" t="s">
        <v>3974</v>
      </c>
      <c r="M4148" s="2">
        <v>1733</v>
      </c>
      <c r="N4148" t="s">
        <v>4048</v>
      </c>
      <c r="O4148">
        <v>3</v>
      </c>
      <c r="P4148">
        <v>2</v>
      </c>
      <c r="Q4148">
        <v>1</v>
      </c>
      <c r="R4148" t="s">
        <v>4557</v>
      </c>
      <c r="S4148" t="s">
        <v>4558</v>
      </c>
      <c r="T4148" t="s">
        <v>4559</v>
      </c>
      <c r="U4148" t="s">
        <v>5631</v>
      </c>
      <c r="V4148" s="2">
        <v>415</v>
      </c>
      <c r="W4148" t="s">
        <v>4655</v>
      </c>
      <c r="X4148" s="2">
        <v>0</v>
      </c>
      <c r="Y4148">
        <v>20</v>
      </c>
      <c r="Z4148" t="s">
        <v>4561</v>
      </c>
      <c r="AA4148" s="3">
        <v>0.128007352352142</v>
      </c>
      <c r="AB4148" t="s">
        <v>22157</v>
      </c>
      <c r="AC4148" t="s">
        <v>4562</v>
      </c>
      <c r="AD4148" t="s">
        <v>22156</v>
      </c>
      <c r="AE4148" t="s">
        <v>4655</v>
      </c>
      <c r="AF4148" t="s">
        <v>4563</v>
      </c>
      <c r="AG4148" t="s">
        <v>4564</v>
      </c>
      <c r="AH4148">
        <v>89506</v>
      </c>
      <c r="AI4148" t="s">
        <v>22158</v>
      </c>
      <c r="AJ4148" t="s">
        <v>4655</v>
      </c>
      <c r="AK4148" t="s">
        <v>22159</v>
      </c>
      <c r="AL4148" s="13" t="s">
        <v>1901</v>
      </c>
      <c r="AM4148" s="14">
        <v>1</v>
      </c>
      <c r="AN4148" s="15" t="s">
        <v>1448</v>
      </c>
    </row>
    <row r="4149" spans="1:40" x14ac:dyDescent="0.3">
      <c r="A4149" s="10" t="str">
        <f>HYPERLINK("http://www.washoecounty.gov/assessor/cama/?parid=090-132-15&amp;CardNumber=1","090-132-15")</f>
        <v>090-132-15</v>
      </c>
      <c r="B4149" t="s">
        <v>4655</v>
      </c>
      <c r="C4149" t="s">
        <v>22160</v>
      </c>
      <c r="D4149" s="1">
        <v>40445</v>
      </c>
      <c r="E4149" s="2">
        <v>148000</v>
      </c>
      <c r="F4149" t="s">
        <v>4553</v>
      </c>
      <c r="G4149" s="17" t="str">
        <f>HYPERLINK("https://www.washoecounty.gov/assessor/cama/?command=sales&amp;parid=09013215","3926159")</f>
        <v>3926159</v>
      </c>
      <c r="H4149" t="s">
        <v>5153</v>
      </c>
      <c r="I4149">
        <v>1993</v>
      </c>
      <c r="J4149">
        <v>1994</v>
      </c>
      <c r="K4149" t="s">
        <v>4554</v>
      </c>
      <c r="L4149" t="s">
        <v>2170</v>
      </c>
      <c r="M4149" s="2">
        <v>2239</v>
      </c>
      <c r="N4149" t="s">
        <v>4048</v>
      </c>
      <c r="O4149">
        <v>5</v>
      </c>
      <c r="P4149">
        <v>3</v>
      </c>
      <c r="Q4149">
        <v>1</v>
      </c>
      <c r="R4149" t="s">
        <v>4557</v>
      </c>
      <c r="S4149" t="s">
        <v>4558</v>
      </c>
      <c r="T4149" t="s">
        <v>4559</v>
      </c>
      <c r="U4149" t="s">
        <v>5631</v>
      </c>
      <c r="V4149" s="2">
        <v>498</v>
      </c>
      <c r="W4149" t="s">
        <v>4655</v>
      </c>
      <c r="X4149" s="2">
        <v>0</v>
      </c>
      <c r="Y4149">
        <v>20</v>
      </c>
      <c r="Z4149" t="s">
        <v>4561</v>
      </c>
      <c r="AA4149" s="3">
        <v>0.13599632680416099</v>
      </c>
      <c r="AB4149" t="s">
        <v>22161</v>
      </c>
      <c r="AC4149" t="s">
        <v>4562</v>
      </c>
      <c r="AD4149" t="s">
        <v>22162</v>
      </c>
      <c r="AE4149" t="s">
        <v>4655</v>
      </c>
      <c r="AF4149" t="s">
        <v>4563</v>
      </c>
      <c r="AG4149" t="s">
        <v>4564</v>
      </c>
      <c r="AH4149">
        <v>89506</v>
      </c>
      <c r="AI4149" t="s">
        <v>5203</v>
      </c>
      <c r="AJ4149" t="s">
        <v>4655</v>
      </c>
      <c r="AK4149" t="s">
        <v>22163</v>
      </c>
      <c r="AL4149" s="13" t="s">
        <v>1901</v>
      </c>
      <c r="AM4149">
        <v>1</v>
      </c>
      <c r="AN4149" s="15" t="s">
        <v>1448</v>
      </c>
    </row>
    <row r="4150" spans="1:40" x14ac:dyDescent="0.3">
      <c r="A4150" s="10" t="str">
        <f>HYPERLINK("http://www.washoecounty.gov/assessor/cama/?parid=090-211-08&amp;CardNumber=1","090-211-08")</f>
        <v>090-211-08</v>
      </c>
      <c r="B4150" t="s">
        <v>4655</v>
      </c>
      <c r="C4150" t="s">
        <v>22164</v>
      </c>
      <c r="D4150" s="1">
        <v>40298</v>
      </c>
      <c r="E4150" s="2">
        <v>135000</v>
      </c>
      <c r="F4150" t="s">
        <v>4553</v>
      </c>
      <c r="G4150" s="17" t="str">
        <f>HYPERLINK("https://www.washoecounty.gov/assessor/cama/?command=sales&amp;parid=09021108","3876918")</f>
        <v>3876918</v>
      </c>
      <c r="H4150" t="s">
        <v>1449</v>
      </c>
      <c r="I4150">
        <v>1991</v>
      </c>
      <c r="J4150">
        <v>1991</v>
      </c>
      <c r="K4150" t="s">
        <v>4554</v>
      </c>
      <c r="L4150" t="s">
        <v>3974</v>
      </c>
      <c r="M4150" s="2">
        <v>1902</v>
      </c>
      <c r="N4150" t="s">
        <v>4048</v>
      </c>
      <c r="O4150">
        <v>4</v>
      </c>
      <c r="P4150">
        <v>2</v>
      </c>
      <c r="Q4150">
        <v>1</v>
      </c>
      <c r="R4150" t="s">
        <v>5281</v>
      </c>
      <c r="S4150" t="s">
        <v>4558</v>
      </c>
      <c r="T4150" t="s">
        <v>4559</v>
      </c>
      <c r="U4150" t="s">
        <v>5631</v>
      </c>
      <c r="V4150" s="2">
        <v>598</v>
      </c>
      <c r="W4150" t="s">
        <v>4655</v>
      </c>
      <c r="X4150" s="2">
        <v>0</v>
      </c>
      <c r="Y4150">
        <v>20</v>
      </c>
      <c r="Z4150" t="s">
        <v>5282</v>
      </c>
      <c r="AA4150" s="3">
        <v>0.15798898041248299</v>
      </c>
      <c r="AB4150" t="s">
        <v>22165</v>
      </c>
      <c r="AC4150" t="s">
        <v>4575</v>
      </c>
      <c r="AD4150" t="s">
        <v>22164</v>
      </c>
      <c r="AE4150" t="s">
        <v>4655</v>
      </c>
      <c r="AF4150" t="s">
        <v>4563</v>
      </c>
      <c r="AG4150" t="s">
        <v>4564</v>
      </c>
      <c r="AH4150">
        <v>89506</v>
      </c>
      <c r="AI4150" t="s">
        <v>4825</v>
      </c>
      <c r="AJ4150" t="s">
        <v>4655</v>
      </c>
      <c r="AK4150" t="s">
        <v>22166</v>
      </c>
      <c r="AL4150" s="13" t="s">
        <v>1901</v>
      </c>
      <c r="AM4150" s="14">
        <v>1</v>
      </c>
      <c r="AN4150" s="15" t="s">
        <v>1448</v>
      </c>
    </row>
    <row r="4151" spans="1:40" x14ac:dyDescent="0.3">
      <c r="A4151" s="10" t="str">
        <f>HYPERLINK("http://www.washoecounty.gov/assessor/cama/?parid=090-212-07&amp;CardNumber=1","090-212-07")</f>
        <v>090-212-07</v>
      </c>
      <c r="B4151" t="s">
        <v>4655</v>
      </c>
      <c r="C4151" t="s">
        <v>22167</v>
      </c>
      <c r="D4151" s="1">
        <v>40403</v>
      </c>
      <c r="E4151" s="2">
        <v>125000</v>
      </c>
      <c r="F4151" t="s">
        <v>4567</v>
      </c>
      <c r="G4151" s="17" t="str">
        <f>HYPERLINK("https://www.washoecounty.gov/assessor/cama/?command=sales&amp;parid=09021207","3911815")</f>
        <v>3911815</v>
      </c>
      <c r="H4151" t="s">
        <v>4985</v>
      </c>
      <c r="I4151">
        <v>1994</v>
      </c>
      <c r="J4151">
        <v>1994</v>
      </c>
      <c r="K4151" t="s">
        <v>4554</v>
      </c>
      <c r="L4151" t="s">
        <v>4555</v>
      </c>
      <c r="M4151" s="2">
        <v>1266</v>
      </c>
      <c r="N4151" t="s">
        <v>4048</v>
      </c>
      <c r="O4151">
        <v>3</v>
      </c>
      <c r="P4151">
        <v>2</v>
      </c>
      <c r="Q4151">
        <v>0</v>
      </c>
      <c r="R4151" t="s">
        <v>4557</v>
      </c>
      <c r="S4151" t="s">
        <v>4558</v>
      </c>
      <c r="T4151" t="s">
        <v>4559</v>
      </c>
      <c r="U4151" t="s">
        <v>4560</v>
      </c>
      <c r="V4151" s="2">
        <v>420</v>
      </c>
      <c r="W4151" t="s">
        <v>4655</v>
      </c>
      <c r="X4151" s="2">
        <v>0</v>
      </c>
      <c r="Y4151">
        <v>20</v>
      </c>
      <c r="Z4151" t="s">
        <v>4561</v>
      </c>
      <c r="AA4151" s="3">
        <v>0.13999082148075101</v>
      </c>
      <c r="AB4151" t="s">
        <v>22168</v>
      </c>
      <c r="AC4151" t="s">
        <v>4562</v>
      </c>
      <c r="AD4151" t="s">
        <v>22167</v>
      </c>
      <c r="AE4151" t="s">
        <v>4655</v>
      </c>
      <c r="AF4151" t="s">
        <v>4563</v>
      </c>
      <c r="AG4151" t="s">
        <v>4564</v>
      </c>
      <c r="AH4151">
        <v>89506</v>
      </c>
      <c r="AI4151" t="s">
        <v>22169</v>
      </c>
      <c r="AJ4151" t="s">
        <v>4986</v>
      </c>
      <c r="AK4151" t="s">
        <v>22170</v>
      </c>
      <c r="AL4151" s="13" t="s">
        <v>1901</v>
      </c>
      <c r="AM4151" s="14">
        <v>1</v>
      </c>
      <c r="AN4151" s="15" t="s">
        <v>1448</v>
      </c>
    </row>
    <row r="4152" spans="1:40" x14ac:dyDescent="0.3">
      <c r="A4152" s="10" t="str">
        <f>HYPERLINK("http://www.washoecounty.gov/assessor/cama/?parid=090-214-03&amp;CardNumber=1","090-214-03")</f>
        <v>090-214-03</v>
      </c>
      <c r="B4152" t="s">
        <v>4655</v>
      </c>
      <c r="C4152" t="s">
        <v>22171</v>
      </c>
      <c r="D4152" s="1">
        <v>40331</v>
      </c>
      <c r="E4152" s="2">
        <v>114000</v>
      </c>
      <c r="F4152" t="s">
        <v>4553</v>
      </c>
      <c r="G4152" s="17" t="str">
        <f>HYPERLINK("https://www.washoecounty.gov/assessor/cama/?command=sales&amp;parid=09021403","3887553")</f>
        <v>3887553</v>
      </c>
      <c r="H4152" t="s">
        <v>1449</v>
      </c>
      <c r="I4152">
        <v>1992</v>
      </c>
      <c r="J4152">
        <v>1992</v>
      </c>
      <c r="K4152" t="s">
        <v>4554</v>
      </c>
      <c r="L4152" t="s">
        <v>4555</v>
      </c>
      <c r="M4152" s="2">
        <v>1378</v>
      </c>
      <c r="N4152" t="s">
        <v>4048</v>
      </c>
      <c r="O4152">
        <v>3</v>
      </c>
      <c r="P4152">
        <v>2</v>
      </c>
      <c r="Q4152">
        <v>0</v>
      </c>
      <c r="R4152" t="s">
        <v>4557</v>
      </c>
      <c r="S4152" t="s">
        <v>4558</v>
      </c>
      <c r="T4152" t="s">
        <v>4559</v>
      </c>
      <c r="U4152" t="s">
        <v>4560</v>
      </c>
      <c r="V4152" s="2">
        <v>412</v>
      </c>
      <c r="W4152" t="s">
        <v>4655</v>
      </c>
      <c r="X4152" s="2">
        <v>0</v>
      </c>
      <c r="Y4152">
        <v>20</v>
      </c>
      <c r="Z4152" t="s">
        <v>4561</v>
      </c>
      <c r="AA4152" s="3">
        <v>0.19100092351436601</v>
      </c>
      <c r="AB4152" t="s">
        <v>22172</v>
      </c>
      <c r="AC4152" t="s">
        <v>4562</v>
      </c>
      <c r="AD4152" t="s">
        <v>22171</v>
      </c>
      <c r="AE4152" t="s">
        <v>4655</v>
      </c>
      <c r="AF4152" t="s">
        <v>4563</v>
      </c>
      <c r="AG4152" t="s">
        <v>4564</v>
      </c>
      <c r="AH4152">
        <v>89506</v>
      </c>
      <c r="AI4152" t="s">
        <v>4503</v>
      </c>
      <c r="AJ4152" t="s">
        <v>4655</v>
      </c>
      <c r="AK4152" t="s">
        <v>22173</v>
      </c>
      <c r="AL4152" s="13" t="s">
        <v>1901</v>
      </c>
      <c r="AM4152" s="14">
        <v>1</v>
      </c>
      <c r="AN4152" s="15" t="s">
        <v>1448</v>
      </c>
    </row>
    <row r="4153" spans="1:40" x14ac:dyDescent="0.3">
      <c r="A4153" s="10" t="str">
        <f>HYPERLINK("http://www.washoecounty.gov/assessor/cama/?parid=090-214-10&amp;CardNumber=1","090-214-10")</f>
        <v>090-214-10</v>
      </c>
      <c r="B4153" t="s">
        <v>4655</v>
      </c>
      <c r="C4153" t="s">
        <v>22174</v>
      </c>
      <c r="D4153" s="1">
        <v>40205</v>
      </c>
      <c r="E4153" s="2">
        <v>130000</v>
      </c>
      <c r="F4153" t="s">
        <v>4567</v>
      </c>
      <c r="G4153" s="17" t="str">
        <f>HYPERLINK("https://www.washoecounty.gov/assessor/cama/?command=sales&amp;parid=09021410","3843189")</f>
        <v>3843189</v>
      </c>
      <c r="H4153" t="s">
        <v>1449</v>
      </c>
      <c r="I4153">
        <v>1992</v>
      </c>
      <c r="J4153">
        <v>1992</v>
      </c>
      <c r="K4153" t="s">
        <v>4554</v>
      </c>
      <c r="L4153" t="s">
        <v>3974</v>
      </c>
      <c r="M4153" s="2">
        <v>2016</v>
      </c>
      <c r="N4153" t="s">
        <v>4048</v>
      </c>
      <c r="O4153">
        <v>4</v>
      </c>
      <c r="P4153">
        <v>2</v>
      </c>
      <c r="Q4153">
        <v>1</v>
      </c>
      <c r="R4153" t="s">
        <v>4557</v>
      </c>
      <c r="S4153" t="s">
        <v>4558</v>
      </c>
      <c r="T4153" t="s">
        <v>4559</v>
      </c>
      <c r="U4153" t="s">
        <v>4560</v>
      </c>
      <c r="V4153" s="2">
        <v>580</v>
      </c>
      <c r="W4153" t="s">
        <v>4655</v>
      </c>
      <c r="X4153" s="2">
        <v>0</v>
      </c>
      <c r="Y4153">
        <v>20</v>
      </c>
      <c r="Z4153" t="s">
        <v>4561</v>
      </c>
      <c r="AA4153" s="3">
        <v>0.15798898041248299</v>
      </c>
      <c r="AB4153" t="s">
        <v>22175</v>
      </c>
      <c r="AC4153" t="s">
        <v>4575</v>
      </c>
      <c r="AD4153" t="s">
        <v>22176</v>
      </c>
      <c r="AE4153" t="s">
        <v>4655</v>
      </c>
      <c r="AF4153" t="s">
        <v>1849</v>
      </c>
      <c r="AG4153" t="s">
        <v>4564</v>
      </c>
      <c r="AH4153" t="s">
        <v>1850</v>
      </c>
      <c r="AI4153" t="s">
        <v>22177</v>
      </c>
      <c r="AJ4153" t="s">
        <v>4655</v>
      </c>
      <c r="AK4153" t="s">
        <v>22178</v>
      </c>
      <c r="AL4153" s="13" t="s">
        <v>1901</v>
      </c>
      <c r="AM4153">
        <v>1</v>
      </c>
      <c r="AN4153" s="15" t="s">
        <v>1448</v>
      </c>
    </row>
    <row r="4154" spans="1:40" x14ac:dyDescent="0.3">
      <c r="A4154" s="10" t="str">
        <f>HYPERLINK("http://www.washoecounty.gov/assessor/cama/?parid=090-216-01&amp;CardNumber=1","090-216-01")</f>
        <v>090-216-01</v>
      </c>
      <c r="B4154" t="s">
        <v>4655</v>
      </c>
      <c r="C4154" t="s">
        <v>22179</v>
      </c>
      <c r="D4154" s="1">
        <v>40359</v>
      </c>
      <c r="E4154" s="2">
        <v>143000</v>
      </c>
      <c r="F4154" t="s">
        <v>4553</v>
      </c>
      <c r="G4154" s="17" t="str">
        <f>HYPERLINK("https://www.washoecounty.gov/assessor/cama/?command=sales&amp;parid=09021601","3897038")</f>
        <v>3897038</v>
      </c>
      <c r="H4154" t="s">
        <v>1449</v>
      </c>
      <c r="I4154">
        <v>1993</v>
      </c>
      <c r="J4154">
        <v>1993</v>
      </c>
      <c r="K4154" t="s">
        <v>4554</v>
      </c>
      <c r="L4154" t="s">
        <v>3974</v>
      </c>
      <c r="M4154" s="2">
        <v>2016</v>
      </c>
      <c r="N4154" t="s">
        <v>4048</v>
      </c>
      <c r="O4154">
        <v>4</v>
      </c>
      <c r="P4154">
        <v>2</v>
      </c>
      <c r="Q4154">
        <v>1</v>
      </c>
      <c r="R4154" t="s">
        <v>4557</v>
      </c>
      <c r="S4154" t="s">
        <v>4558</v>
      </c>
      <c r="T4154" t="s">
        <v>4559</v>
      </c>
      <c r="U4154" t="s">
        <v>4560</v>
      </c>
      <c r="V4154" s="2">
        <v>580</v>
      </c>
      <c r="W4154" t="s">
        <v>4655</v>
      </c>
      <c r="X4154" s="2">
        <v>0</v>
      </c>
      <c r="Y4154">
        <v>20</v>
      </c>
      <c r="Z4154" t="s">
        <v>4561</v>
      </c>
      <c r="AA4154" s="3">
        <v>0.27601009607315102</v>
      </c>
      <c r="AB4154" t="s">
        <v>22180</v>
      </c>
      <c r="AC4154" t="s">
        <v>4562</v>
      </c>
      <c r="AD4154" t="s">
        <v>22179</v>
      </c>
      <c r="AE4154" t="s">
        <v>4655</v>
      </c>
      <c r="AF4154" t="s">
        <v>4563</v>
      </c>
      <c r="AG4154" t="s">
        <v>4564</v>
      </c>
      <c r="AH4154">
        <v>89506</v>
      </c>
      <c r="AI4154" t="s">
        <v>4503</v>
      </c>
      <c r="AJ4154" t="s">
        <v>4655</v>
      </c>
      <c r="AK4154" t="s">
        <v>22181</v>
      </c>
      <c r="AL4154" s="13" t="s">
        <v>1901</v>
      </c>
      <c r="AM4154">
        <v>1</v>
      </c>
      <c r="AN4154" s="15" t="s">
        <v>1448</v>
      </c>
    </row>
    <row r="4155" spans="1:40" x14ac:dyDescent="0.3">
      <c r="A4155" s="10" t="str">
        <f>HYPERLINK("http://www.washoecounty.gov/assessor/cama/?parid=090-216-13&amp;CardNumber=1","090-216-13")</f>
        <v>090-216-13</v>
      </c>
      <c r="B4155" t="s">
        <v>4655</v>
      </c>
      <c r="C4155" t="s">
        <v>22182</v>
      </c>
      <c r="D4155" s="1">
        <v>40479</v>
      </c>
      <c r="E4155" s="2">
        <v>150000</v>
      </c>
      <c r="F4155" t="s">
        <v>4553</v>
      </c>
      <c r="G4155" s="17" t="str">
        <f>HYPERLINK("https://www.washoecounty.gov/assessor/cama/?command=sales&amp;parid=09021613","3937771")</f>
        <v>3937771</v>
      </c>
      <c r="H4155" t="s">
        <v>1449</v>
      </c>
      <c r="I4155">
        <v>1991</v>
      </c>
      <c r="J4155">
        <v>1991</v>
      </c>
      <c r="K4155" t="s">
        <v>4554</v>
      </c>
      <c r="L4155" t="s">
        <v>3974</v>
      </c>
      <c r="M4155" s="2">
        <v>2016</v>
      </c>
      <c r="N4155" t="s">
        <v>4048</v>
      </c>
      <c r="O4155">
        <v>4</v>
      </c>
      <c r="P4155">
        <v>2</v>
      </c>
      <c r="Q4155">
        <v>1</v>
      </c>
      <c r="R4155" t="s">
        <v>4557</v>
      </c>
      <c r="S4155" t="s">
        <v>4558</v>
      </c>
      <c r="T4155" t="s">
        <v>4559</v>
      </c>
      <c r="U4155" t="s">
        <v>4560</v>
      </c>
      <c r="V4155" s="2">
        <v>580</v>
      </c>
      <c r="W4155" t="s">
        <v>4655</v>
      </c>
      <c r="X4155" s="2">
        <v>0</v>
      </c>
      <c r="Y4155">
        <v>20</v>
      </c>
      <c r="Z4155" t="s">
        <v>4561</v>
      </c>
      <c r="AA4155" s="3">
        <v>0.14600551128387501</v>
      </c>
      <c r="AB4155" t="s">
        <v>22183</v>
      </c>
      <c r="AC4155" t="s">
        <v>4562</v>
      </c>
      <c r="AD4155" t="s">
        <v>22182</v>
      </c>
      <c r="AE4155" t="s">
        <v>4655</v>
      </c>
      <c r="AF4155" t="s">
        <v>4563</v>
      </c>
      <c r="AG4155" t="s">
        <v>4564</v>
      </c>
      <c r="AH4155">
        <v>89506</v>
      </c>
      <c r="AI4155" t="s">
        <v>4903</v>
      </c>
      <c r="AJ4155" t="s">
        <v>4655</v>
      </c>
      <c r="AK4155" t="s">
        <v>22184</v>
      </c>
      <c r="AL4155" s="13" t="s">
        <v>1901</v>
      </c>
      <c r="AM4155">
        <v>1</v>
      </c>
      <c r="AN4155" s="15" t="s">
        <v>1448</v>
      </c>
    </row>
    <row r="4156" spans="1:40" x14ac:dyDescent="0.3">
      <c r="A4156" s="10" t="str">
        <f>HYPERLINK("http://www.washoecounty.gov/assessor/cama/?parid=090-217-01&amp;CardNumber=1","090-217-01")</f>
        <v>090-217-01</v>
      </c>
      <c r="B4156" t="s">
        <v>4655</v>
      </c>
      <c r="C4156" t="s">
        <v>22185</v>
      </c>
      <c r="D4156" s="1">
        <v>40354</v>
      </c>
      <c r="E4156" s="2">
        <v>131000</v>
      </c>
      <c r="F4156" t="s">
        <v>4567</v>
      </c>
      <c r="G4156" s="17" t="str">
        <f>HYPERLINK("https://www.washoecounty.gov/assessor/cama/?command=sales&amp;parid=09021701","3895567")</f>
        <v>3895567</v>
      </c>
      <c r="H4156" t="s">
        <v>4985</v>
      </c>
      <c r="I4156">
        <v>1998</v>
      </c>
      <c r="J4156">
        <v>1998</v>
      </c>
      <c r="K4156" t="s">
        <v>4554</v>
      </c>
      <c r="L4156" t="s">
        <v>3974</v>
      </c>
      <c r="M4156" s="2">
        <v>1698</v>
      </c>
      <c r="N4156" t="s">
        <v>4048</v>
      </c>
      <c r="O4156">
        <v>4</v>
      </c>
      <c r="P4156">
        <v>2</v>
      </c>
      <c r="Q4156">
        <v>1</v>
      </c>
      <c r="R4156" t="s">
        <v>4557</v>
      </c>
      <c r="S4156" t="s">
        <v>4558</v>
      </c>
      <c r="T4156" t="s">
        <v>4559</v>
      </c>
      <c r="U4156" t="s">
        <v>5631</v>
      </c>
      <c r="V4156" s="2">
        <v>460</v>
      </c>
      <c r="W4156" t="s">
        <v>4655</v>
      </c>
      <c r="X4156" s="2">
        <v>0</v>
      </c>
      <c r="Y4156">
        <v>20</v>
      </c>
      <c r="Z4156" t="s">
        <v>4561</v>
      </c>
      <c r="AA4156" s="3">
        <v>0.141000911593437</v>
      </c>
      <c r="AB4156" t="s">
        <v>22186</v>
      </c>
      <c r="AC4156" t="s">
        <v>4562</v>
      </c>
      <c r="AD4156" t="s">
        <v>22185</v>
      </c>
      <c r="AE4156" t="s">
        <v>4655</v>
      </c>
      <c r="AF4156" t="s">
        <v>4563</v>
      </c>
      <c r="AG4156" t="s">
        <v>4564</v>
      </c>
      <c r="AH4156">
        <v>89506</v>
      </c>
      <c r="AI4156" t="s">
        <v>22187</v>
      </c>
      <c r="AJ4156" t="s">
        <v>4986</v>
      </c>
      <c r="AK4156" t="s">
        <v>22188</v>
      </c>
      <c r="AL4156" s="13" t="s">
        <v>1901</v>
      </c>
      <c r="AM4156">
        <v>1</v>
      </c>
      <c r="AN4156" s="15" t="s">
        <v>1448</v>
      </c>
    </row>
    <row r="4157" spans="1:40" x14ac:dyDescent="0.3">
      <c r="A4157" s="10" t="str">
        <f>HYPERLINK("http://www.washoecounty.gov/assessor/cama/?parid=090-217-05&amp;CardNumber=1","090-217-05")</f>
        <v>090-217-05</v>
      </c>
      <c r="B4157" t="s">
        <v>4655</v>
      </c>
      <c r="C4157" t="s">
        <v>22189</v>
      </c>
      <c r="D4157" s="1">
        <v>40226</v>
      </c>
      <c r="E4157" s="2">
        <v>115000</v>
      </c>
      <c r="F4157" t="s">
        <v>4567</v>
      </c>
      <c r="G4157" s="17" t="str">
        <f>HYPERLINK("https://www.washoecounty.gov/assessor/cama/?command=sales&amp;parid=09021705","3850330")</f>
        <v>3850330</v>
      </c>
      <c r="H4157" t="s">
        <v>4985</v>
      </c>
      <c r="I4157">
        <v>1994</v>
      </c>
      <c r="J4157">
        <v>1994</v>
      </c>
      <c r="K4157" t="s">
        <v>4554</v>
      </c>
      <c r="L4157" t="s">
        <v>4555</v>
      </c>
      <c r="M4157" s="2">
        <v>1020</v>
      </c>
      <c r="N4157" t="s">
        <v>4048</v>
      </c>
      <c r="O4157">
        <v>3</v>
      </c>
      <c r="P4157">
        <v>2</v>
      </c>
      <c r="Q4157">
        <v>0</v>
      </c>
      <c r="R4157" t="s">
        <v>5281</v>
      </c>
      <c r="S4157" t="s">
        <v>4558</v>
      </c>
      <c r="T4157" t="s">
        <v>4559</v>
      </c>
      <c r="U4157" t="s">
        <v>4560</v>
      </c>
      <c r="V4157" s="2">
        <v>400</v>
      </c>
      <c r="W4157" t="s">
        <v>4655</v>
      </c>
      <c r="X4157" s="2">
        <v>0</v>
      </c>
      <c r="Y4157">
        <v>20</v>
      </c>
      <c r="Z4157" t="s">
        <v>4561</v>
      </c>
      <c r="AA4157" s="3">
        <v>0.13799357414245605</v>
      </c>
      <c r="AB4157" t="s">
        <v>22190</v>
      </c>
      <c r="AC4157" t="s">
        <v>4562</v>
      </c>
      <c r="AD4157" t="s">
        <v>22189</v>
      </c>
      <c r="AE4157" t="s">
        <v>4655</v>
      </c>
      <c r="AF4157" t="s">
        <v>4563</v>
      </c>
      <c r="AG4157" t="s">
        <v>4564</v>
      </c>
      <c r="AH4157">
        <v>89506</v>
      </c>
      <c r="AI4157" t="s">
        <v>22191</v>
      </c>
      <c r="AJ4157" t="s">
        <v>4986</v>
      </c>
      <c r="AK4157" t="s">
        <v>22192</v>
      </c>
      <c r="AL4157" s="13" t="s">
        <v>1901</v>
      </c>
      <c r="AM4157" s="14">
        <v>1</v>
      </c>
      <c r="AN4157" s="15" t="s">
        <v>1448</v>
      </c>
    </row>
    <row r="4158" spans="1:40" x14ac:dyDescent="0.3">
      <c r="A4158" s="10" t="str">
        <f>HYPERLINK("http://www.washoecounty.gov/assessor/cama/?parid=090-218-02&amp;CardNumber=1","090-218-02")</f>
        <v>090-218-02</v>
      </c>
      <c r="B4158" t="s">
        <v>4655</v>
      </c>
      <c r="C4158" t="s">
        <v>22193</v>
      </c>
      <c r="D4158" s="1">
        <v>40207</v>
      </c>
      <c r="E4158" s="2">
        <v>120000</v>
      </c>
      <c r="F4158" t="s">
        <v>4567</v>
      </c>
      <c r="G4158" s="17" t="str">
        <f>HYPERLINK("https://www.washoecounty.gov/assessor/cama/?command=sales&amp;parid=09021802","3844516")</f>
        <v>3844516</v>
      </c>
      <c r="H4158" t="s">
        <v>4985</v>
      </c>
      <c r="I4158">
        <v>1994</v>
      </c>
      <c r="J4158">
        <v>1994</v>
      </c>
      <c r="K4158" t="s">
        <v>4554</v>
      </c>
      <c r="L4158" t="s">
        <v>3974</v>
      </c>
      <c r="M4158" s="2">
        <v>1515</v>
      </c>
      <c r="N4158" t="s">
        <v>4048</v>
      </c>
      <c r="O4158">
        <v>3</v>
      </c>
      <c r="P4158">
        <v>2</v>
      </c>
      <c r="Q4158">
        <v>1</v>
      </c>
      <c r="R4158" t="s">
        <v>5281</v>
      </c>
      <c r="S4158" t="s">
        <v>4558</v>
      </c>
      <c r="T4158" t="s">
        <v>4559</v>
      </c>
      <c r="U4158" t="s">
        <v>4560</v>
      </c>
      <c r="V4158" s="2">
        <v>500</v>
      </c>
      <c r="W4158" t="s">
        <v>4655</v>
      </c>
      <c r="X4158" s="2">
        <v>0</v>
      </c>
      <c r="Y4158">
        <v>20</v>
      </c>
      <c r="Z4158" t="s">
        <v>4561</v>
      </c>
      <c r="AA4158" s="3">
        <v>0.13000458478927601</v>
      </c>
      <c r="AB4158" t="s">
        <v>22194</v>
      </c>
      <c r="AC4158" t="s">
        <v>4562</v>
      </c>
      <c r="AD4158" t="s">
        <v>22195</v>
      </c>
      <c r="AE4158" t="s">
        <v>4655</v>
      </c>
      <c r="AF4158" t="s">
        <v>4563</v>
      </c>
      <c r="AG4158" t="s">
        <v>4564</v>
      </c>
      <c r="AH4158">
        <v>89506</v>
      </c>
      <c r="AI4158" t="s">
        <v>22196</v>
      </c>
      <c r="AJ4158" t="s">
        <v>4986</v>
      </c>
      <c r="AK4158" t="s">
        <v>22197</v>
      </c>
      <c r="AL4158" s="13" t="s">
        <v>1901</v>
      </c>
      <c r="AM4158">
        <v>1</v>
      </c>
      <c r="AN4158" s="15" t="s">
        <v>1448</v>
      </c>
    </row>
    <row r="4159" spans="1:40" x14ac:dyDescent="0.3">
      <c r="A4159" s="10" t="str">
        <f>HYPERLINK("http://www.washoecounty.gov/assessor/cama/?parid=090-218-06&amp;CardNumber=1","090-218-06")</f>
        <v>090-218-06</v>
      </c>
      <c r="B4159" t="s">
        <v>4655</v>
      </c>
      <c r="C4159" t="s">
        <v>22198</v>
      </c>
      <c r="D4159" s="1">
        <v>40295</v>
      </c>
      <c r="E4159" s="2">
        <v>122095</v>
      </c>
      <c r="F4159" t="s">
        <v>4567</v>
      </c>
      <c r="G4159" s="17" t="str">
        <f>HYPERLINK("https://www.washoecounty.gov/assessor/cama/?command=sales&amp;parid=09021806","3875345")</f>
        <v>3875345</v>
      </c>
      <c r="H4159" t="s">
        <v>4985</v>
      </c>
      <c r="I4159">
        <v>1994</v>
      </c>
      <c r="J4159">
        <v>1994</v>
      </c>
      <c r="K4159" t="s">
        <v>4554</v>
      </c>
      <c r="L4159" t="s">
        <v>3974</v>
      </c>
      <c r="M4159" s="2">
        <v>1515</v>
      </c>
      <c r="N4159" t="s">
        <v>4048</v>
      </c>
      <c r="O4159">
        <v>3</v>
      </c>
      <c r="P4159">
        <v>2</v>
      </c>
      <c r="Q4159">
        <v>1</v>
      </c>
      <c r="R4159" t="s">
        <v>4557</v>
      </c>
      <c r="S4159" t="s">
        <v>4558</v>
      </c>
      <c r="T4159" t="s">
        <v>4559</v>
      </c>
      <c r="U4159" t="s">
        <v>4560</v>
      </c>
      <c r="V4159" s="2">
        <v>500</v>
      </c>
      <c r="W4159" t="s">
        <v>4655</v>
      </c>
      <c r="X4159" s="2">
        <v>0</v>
      </c>
      <c r="Y4159">
        <v>20</v>
      </c>
      <c r="Z4159" t="s">
        <v>4561</v>
      </c>
      <c r="AA4159" s="3">
        <v>0.13799357414245605</v>
      </c>
      <c r="AB4159" t="s">
        <v>22199</v>
      </c>
      <c r="AC4159" t="s">
        <v>4562</v>
      </c>
      <c r="AD4159" t="s">
        <v>22198</v>
      </c>
      <c r="AE4159" t="s">
        <v>4655</v>
      </c>
      <c r="AF4159" t="s">
        <v>4563</v>
      </c>
      <c r="AG4159" t="s">
        <v>4564</v>
      </c>
      <c r="AH4159">
        <v>89506</v>
      </c>
      <c r="AI4159" t="s">
        <v>22200</v>
      </c>
      <c r="AJ4159" t="s">
        <v>4986</v>
      </c>
      <c r="AK4159" t="s">
        <v>22201</v>
      </c>
      <c r="AL4159" s="13" t="s">
        <v>1901</v>
      </c>
      <c r="AM4159" s="14">
        <v>1</v>
      </c>
      <c r="AN4159" s="15" t="s">
        <v>1448</v>
      </c>
    </row>
    <row r="4160" spans="1:40" x14ac:dyDescent="0.3">
      <c r="A4160" s="10" t="str">
        <f>HYPERLINK("http://www.washoecounty.gov/assessor/cama/?parid=090-221-08&amp;CardNumber=1","090-221-08")</f>
        <v>090-221-08</v>
      </c>
      <c r="B4160" t="s">
        <v>4655</v>
      </c>
      <c r="C4160" t="s">
        <v>22202</v>
      </c>
      <c r="D4160" s="1">
        <v>40394</v>
      </c>
      <c r="E4160" s="2">
        <v>133000</v>
      </c>
      <c r="F4160" t="s">
        <v>4553</v>
      </c>
      <c r="G4160" s="17" t="str">
        <f>HYPERLINK("https://www.washoecounty.gov/assessor/cama/?command=sales&amp;parid=09022108","3909327")</f>
        <v>3909327</v>
      </c>
      <c r="H4160" t="s">
        <v>1745</v>
      </c>
      <c r="I4160">
        <v>1992</v>
      </c>
      <c r="J4160">
        <v>1992</v>
      </c>
      <c r="K4160" t="s">
        <v>4554</v>
      </c>
      <c r="L4160" t="s">
        <v>4555</v>
      </c>
      <c r="M4160" s="2">
        <v>1577</v>
      </c>
      <c r="N4160" t="s">
        <v>4048</v>
      </c>
      <c r="O4160">
        <v>3</v>
      </c>
      <c r="P4160">
        <v>2</v>
      </c>
      <c r="Q4160">
        <v>0</v>
      </c>
      <c r="R4160" t="s">
        <v>5281</v>
      </c>
      <c r="S4160" t="s">
        <v>4558</v>
      </c>
      <c r="T4160" t="s">
        <v>4559</v>
      </c>
      <c r="U4160" t="s">
        <v>4560</v>
      </c>
      <c r="V4160" s="2">
        <v>600</v>
      </c>
      <c r="W4160" t="s">
        <v>4655</v>
      </c>
      <c r="X4160" s="2">
        <v>0</v>
      </c>
      <c r="Y4160">
        <v>20</v>
      </c>
      <c r="Z4160" t="s">
        <v>4561</v>
      </c>
      <c r="AA4160" s="3">
        <v>0.18799357116222401</v>
      </c>
      <c r="AB4160" t="s">
        <v>22203</v>
      </c>
      <c r="AC4160" t="s">
        <v>4562</v>
      </c>
      <c r="AD4160" t="s">
        <v>22204</v>
      </c>
      <c r="AE4160" t="s">
        <v>4655</v>
      </c>
      <c r="AF4160" t="s">
        <v>4563</v>
      </c>
      <c r="AG4160" t="s">
        <v>4564</v>
      </c>
      <c r="AH4160">
        <v>89506</v>
      </c>
      <c r="AI4160" t="s">
        <v>4903</v>
      </c>
      <c r="AJ4160" t="s">
        <v>1746</v>
      </c>
      <c r="AK4160" t="s">
        <v>22205</v>
      </c>
      <c r="AL4160" s="13" t="s">
        <v>1901</v>
      </c>
      <c r="AM4160">
        <v>1</v>
      </c>
      <c r="AN4160" s="15" t="s">
        <v>1448</v>
      </c>
    </row>
    <row r="4161" spans="1:40" x14ac:dyDescent="0.3">
      <c r="A4161" s="10" t="str">
        <f>HYPERLINK("http://www.washoecounty.gov/assessor/cama/?parid=090-222-18&amp;CardNumber=1","090-222-18")</f>
        <v>090-222-18</v>
      </c>
      <c r="B4161" t="s">
        <v>4655</v>
      </c>
      <c r="C4161" t="s">
        <v>22206</v>
      </c>
      <c r="D4161" s="1">
        <v>40312</v>
      </c>
      <c r="E4161" s="2">
        <v>127000</v>
      </c>
      <c r="F4161" t="s">
        <v>4553</v>
      </c>
      <c r="G4161" s="17" t="str">
        <f>HYPERLINK("https://www.washoecounty.gov/assessor/cama/?command=sales&amp;parid=09022218","3881586")</f>
        <v>3881586</v>
      </c>
      <c r="H4161" t="s">
        <v>4985</v>
      </c>
      <c r="I4161">
        <v>1994</v>
      </c>
      <c r="J4161">
        <v>1994</v>
      </c>
      <c r="K4161" t="s">
        <v>4554</v>
      </c>
      <c r="L4161" t="s">
        <v>3974</v>
      </c>
      <c r="M4161" s="2">
        <v>1515</v>
      </c>
      <c r="N4161" t="s">
        <v>4048</v>
      </c>
      <c r="O4161">
        <v>3</v>
      </c>
      <c r="P4161">
        <v>2</v>
      </c>
      <c r="Q4161">
        <v>1</v>
      </c>
      <c r="R4161" t="s">
        <v>4557</v>
      </c>
      <c r="S4161" t="s">
        <v>4558</v>
      </c>
      <c r="T4161" t="s">
        <v>4559</v>
      </c>
      <c r="U4161" t="s">
        <v>4560</v>
      </c>
      <c r="V4161" s="2">
        <v>500</v>
      </c>
      <c r="W4161" t="s">
        <v>4655</v>
      </c>
      <c r="X4161" s="2">
        <v>0</v>
      </c>
      <c r="Y4161">
        <v>20</v>
      </c>
      <c r="Z4161" t="s">
        <v>5282</v>
      </c>
      <c r="AA4161" s="3">
        <v>0.21701101958751701</v>
      </c>
      <c r="AB4161" t="s">
        <v>22207</v>
      </c>
      <c r="AC4161" t="s">
        <v>4562</v>
      </c>
      <c r="AD4161" t="s">
        <v>22206</v>
      </c>
      <c r="AE4161" t="s">
        <v>4655</v>
      </c>
      <c r="AF4161" t="s">
        <v>4563</v>
      </c>
      <c r="AG4161" t="s">
        <v>4564</v>
      </c>
      <c r="AH4161">
        <v>89506</v>
      </c>
      <c r="AI4161" t="s">
        <v>22208</v>
      </c>
      <c r="AJ4161" t="s">
        <v>4986</v>
      </c>
      <c r="AK4161" t="s">
        <v>22209</v>
      </c>
      <c r="AL4161" s="13" t="s">
        <v>1901</v>
      </c>
      <c r="AM4161" s="14">
        <v>1</v>
      </c>
      <c r="AN4161" s="15" t="s">
        <v>1448</v>
      </c>
    </row>
    <row r="4162" spans="1:40" x14ac:dyDescent="0.3">
      <c r="A4162" s="10" t="str">
        <f>HYPERLINK("http://www.washoecounty.gov/assessor/cama/?parid=090-231-04&amp;CardNumber=1","090-231-04")</f>
        <v>090-231-04</v>
      </c>
      <c r="B4162" t="s">
        <v>4655</v>
      </c>
      <c r="C4162" t="s">
        <v>22210</v>
      </c>
      <c r="D4162" s="1">
        <v>40533</v>
      </c>
      <c r="E4162" s="2">
        <v>125000</v>
      </c>
      <c r="F4162" t="s">
        <v>4567</v>
      </c>
      <c r="G4162" s="17" t="str">
        <f>HYPERLINK("https://www.washoecounty.gov/assessor/cama/?command=sales&amp;parid=09023104","3955944")</f>
        <v>3955944</v>
      </c>
      <c r="H4162" t="s">
        <v>3893</v>
      </c>
      <c r="I4162">
        <v>1993</v>
      </c>
      <c r="J4162">
        <v>1993</v>
      </c>
      <c r="K4162" t="s">
        <v>4554</v>
      </c>
      <c r="L4162" t="s">
        <v>4555</v>
      </c>
      <c r="M4162" s="2">
        <v>1378</v>
      </c>
      <c r="N4162" t="s">
        <v>4048</v>
      </c>
      <c r="O4162">
        <v>3</v>
      </c>
      <c r="P4162">
        <v>2</v>
      </c>
      <c r="Q4162">
        <v>0</v>
      </c>
      <c r="R4162" t="s">
        <v>4557</v>
      </c>
      <c r="S4162" t="s">
        <v>4558</v>
      </c>
      <c r="T4162" t="s">
        <v>4559</v>
      </c>
      <c r="U4162" t="s">
        <v>4560</v>
      </c>
      <c r="V4162" s="2">
        <v>612</v>
      </c>
      <c r="W4162" t="s">
        <v>4655</v>
      </c>
      <c r="X4162" s="2">
        <v>0</v>
      </c>
      <c r="Y4162">
        <v>20</v>
      </c>
      <c r="Z4162" t="s">
        <v>4561</v>
      </c>
      <c r="AA4162" s="3">
        <v>0.176010102033615</v>
      </c>
      <c r="AB4162" t="s">
        <v>22211</v>
      </c>
      <c r="AC4162" t="s">
        <v>4562</v>
      </c>
      <c r="AD4162" t="s">
        <v>22210</v>
      </c>
      <c r="AE4162" t="s">
        <v>4655</v>
      </c>
      <c r="AF4162" t="s">
        <v>4563</v>
      </c>
      <c r="AG4162" t="s">
        <v>4564</v>
      </c>
      <c r="AH4162">
        <v>89506</v>
      </c>
      <c r="AI4162" t="s">
        <v>4655</v>
      </c>
      <c r="AJ4162" t="s">
        <v>3894</v>
      </c>
      <c r="AK4162" t="s">
        <v>22212</v>
      </c>
      <c r="AL4162" s="13" t="s">
        <v>1901</v>
      </c>
      <c r="AM4162" s="14">
        <v>1</v>
      </c>
      <c r="AN4162" s="15" t="s">
        <v>1448</v>
      </c>
    </row>
    <row r="4163" spans="1:40" x14ac:dyDescent="0.3">
      <c r="A4163" s="10" t="str">
        <f>HYPERLINK("http://www.washoecounty.gov/assessor/cama/?parid=090-231-07&amp;CardNumber=1","090-231-07")</f>
        <v>090-231-07</v>
      </c>
      <c r="B4163" t="s">
        <v>4655</v>
      </c>
      <c r="C4163" t="s">
        <v>22213</v>
      </c>
      <c r="D4163" s="1">
        <v>40381</v>
      </c>
      <c r="E4163" s="2">
        <v>125000</v>
      </c>
      <c r="F4163" t="s">
        <v>4567</v>
      </c>
      <c r="G4163" s="17" t="str">
        <f>HYPERLINK("https://www.washoecounty.gov/assessor/cama/?command=sales&amp;parid=09023107","3904123")</f>
        <v>3904123</v>
      </c>
      <c r="H4163" t="s">
        <v>3893</v>
      </c>
      <c r="I4163">
        <v>1993</v>
      </c>
      <c r="J4163">
        <v>1993</v>
      </c>
      <c r="K4163" t="s">
        <v>4554</v>
      </c>
      <c r="L4163" t="s">
        <v>4555</v>
      </c>
      <c r="M4163" s="2">
        <v>1577</v>
      </c>
      <c r="N4163" t="s">
        <v>4048</v>
      </c>
      <c r="O4163">
        <v>3</v>
      </c>
      <c r="P4163">
        <v>2</v>
      </c>
      <c r="Q4163">
        <v>0</v>
      </c>
      <c r="R4163" t="s">
        <v>4557</v>
      </c>
      <c r="S4163" t="s">
        <v>4558</v>
      </c>
      <c r="T4163" t="s">
        <v>4559</v>
      </c>
      <c r="U4163" t="s">
        <v>4560</v>
      </c>
      <c r="V4163" s="2">
        <v>400</v>
      </c>
      <c r="W4163" t="s">
        <v>4655</v>
      </c>
      <c r="X4163" s="2">
        <v>0</v>
      </c>
      <c r="Y4163">
        <v>20</v>
      </c>
      <c r="Z4163" t="s">
        <v>4561</v>
      </c>
      <c r="AA4163" s="3">
        <v>0.18599632382392883</v>
      </c>
      <c r="AB4163" t="s">
        <v>22214</v>
      </c>
      <c r="AC4163" t="s">
        <v>4562</v>
      </c>
      <c r="AD4163" t="s">
        <v>22213</v>
      </c>
      <c r="AE4163" t="s">
        <v>4655</v>
      </c>
      <c r="AF4163" t="s">
        <v>4563</v>
      </c>
      <c r="AG4163" t="s">
        <v>4564</v>
      </c>
      <c r="AH4163">
        <v>89506</v>
      </c>
      <c r="AI4163" t="s">
        <v>22215</v>
      </c>
      <c r="AJ4163" t="s">
        <v>3894</v>
      </c>
      <c r="AK4163" t="s">
        <v>22216</v>
      </c>
      <c r="AL4163" s="13" t="s">
        <v>1901</v>
      </c>
      <c r="AM4163" s="14">
        <v>1</v>
      </c>
      <c r="AN4163" s="15" t="s">
        <v>1448</v>
      </c>
    </row>
    <row r="4164" spans="1:40" x14ac:dyDescent="0.3">
      <c r="A4164" s="10" t="str">
        <f>HYPERLINK("http://www.washoecounty.gov/assessor/cama/?parid=090-231-15&amp;CardNumber=1","090-231-15")</f>
        <v>090-231-15</v>
      </c>
      <c r="B4164" t="s">
        <v>4655</v>
      </c>
      <c r="C4164" t="s">
        <v>22217</v>
      </c>
      <c r="D4164" s="1">
        <v>40238</v>
      </c>
      <c r="E4164" s="2">
        <v>120000</v>
      </c>
      <c r="F4164" t="s">
        <v>4567</v>
      </c>
      <c r="G4164" s="17" t="str">
        <f>HYPERLINK("https://www.washoecounty.gov/assessor/cama/?command=sales&amp;parid=09023115","3853914")</f>
        <v>3853914</v>
      </c>
      <c r="H4164" t="s">
        <v>3893</v>
      </c>
      <c r="I4164">
        <v>1993</v>
      </c>
      <c r="J4164">
        <v>1993</v>
      </c>
      <c r="K4164" t="s">
        <v>4554</v>
      </c>
      <c r="L4164" t="s">
        <v>4555</v>
      </c>
      <c r="M4164" s="2">
        <v>1378</v>
      </c>
      <c r="N4164" t="s">
        <v>4048</v>
      </c>
      <c r="O4164">
        <v>3</v>
      </c>
      <c r="P4164">
        <v>2</v>
      </c>
      <c r="Q4164">
        <v>0</v>
      </c>
      <c r="R4164" t="s">
        <v>5281</v>
      </c>
      <c r="S4164" t="s">
        <v>4558</v>
      </c>
      <c r="T4164" t="s">
        <v>4559</v>
      </c>
      <c r="U4164" t="s">
        <v>4560</v>
      </c>
      <c r="V4164" s="2">
        <v>612</v>
      </c>
      <c r="W4164" t="s">
        <v>4655</v>
      </c>
      <c r="X4164" s="2">
        <v>0</v>
      </c>
      <c r="Y4164">
        <v>20</v>
      </c>
      <c r="Z4164" t="s">
        <v>4561</v>
      </c>
      <c r="AA4164" s="3">
        <v>0.192011013627052</v>
      </c>
      <c r="AB4164" t="s">
        <v>22218</v>
      </c>
      <c r="AC4164" t="s">
        <v>4562</v>
      </c>
      <c r="AD4164" t="s">
        <v>22217</v>
      </c>
      <c r="AE4164" t="s">
        <v>4655</v>
      </c>
      <c r="AF4164" t="s">
        <v>4563</v>
      </c>
      <c r="AG4164" t="s">
        <v>4564</v>
      </c>
      <c r="AH4164">
        <v>89506</v>
      </c>
      <c r="AI4164" t="s">
        <v>22219</v>
      </c>
      <c r="AJ4164" t="s">
        <v>3894</v>
      </c>
      <c r="AK4164" t="s">
        <v>22220</v>
      </c>
      <c r="AL4164" s="13" t="s">
        <v>1901</v>
      </c>
      <c r="AM4164">
        <v>1</v>
      </c>
      <c r="AN4164" s="15" t="s">
        <v>1448</v>
      </c>
    </row>
    <row r="4165" spans="1:40" x14ac:dyDescent="0.3">
      <c r="A4165" s="10" t="str">
        <f>HYPERLINK("http://www.washoecounty.gov/assessor/cama/?parid=090-231-18&amp;CardNumber=1","090-231-18")</f>
        <v>090-231-18</v>
      </c>
      <c r="B4165" t="s">
        <v>4655</v>
      </c>
      <c r="C4165" t="s">
        <v>22221</v>
      </c>
      <c r="D4165" s="1">
        <v>40512</v>
      </c>
      <c r="E4165" s="2">
        <v>95000</v>
      </c>
      <c r="F4165" t="s">
        <v>4567</v>
      </c>
      <c r="G4165" s="17" t="str">
        <f>HYPERLINK("https://www.washoecounty.gov/assessor/cama/?command=sales&amp;parid=09023118","3947627")</f>
        <v>3947627</v>
      </c>
      <c r="H4165" t="s">
        <v>22222</v>
      </c>
      <c r="I4165">
        <v>1993</v>
      </c>
      <c r="J4165">
        <v>1993</v>
      </c>
      <c r="K4165" t="s">
        <v>4554</v>
      </c>
      <c r="L4165" t="s">
        <v>4555</v>
      </c>
      <c r="M4165" s="2">
        <v>1399</v>
      </c>
      <c r="N4165" t="s">
        <v>4048</v>
      </c>
      <c r="O4165">
        <v>4</v>
      </c>
      <c r="P4165">
        <v>2</v>
      </c>
      <c r="Q4165">
        <v>0</v>
      </c>
      <c r="R4165" t="s">
        <v>4557</v>
      </c>
      <c r="S4165" t="s">
        <v>4558</v>
      </c>
      <c r="T4165" t="s">
        <v>4559</v>
      </c>
      <c r="U4165" t="s">
        <v>4560</v>
      </c>
      <c r="V4165" s="2">
        <v>420</v>
      </c>
      <c r="W4165" t="s">
        <v>4655</v>
      </c>
      <c r="X4165" s="2">
        <v>0</v>
      </c>
      <c r="Y4165">
        <v>20</v>
      </c>
      <c r="Z4165" t="s">
        <v>4561</v>
      </c>
      <c r="AA4165" s="3">
        <v>0.141000911593437</v>
      </c>
      <c r="AB4165" t="s">
        <v>714</v>
      </c>
      <c r="AC4165" t="s">
        <v>4562</v>
      </c>
      <c r="AD4165" t="s">
        <v>800</v>
      </c>
      <c r="AE4165" t="s">
        <v>4655</v>
      </c>
      <c r="AF4165" t="s">
        <v>4563</v>
      </c>
      <c r="AG4165" t="s">
        <v>4564</v>
      </c>
      <c r="AH4165">
        <v>89506</v>
      </c>
      <c r="AI4165" t="s">
        <v>22223</v>
      </c>
      <c r="AJ4165" t="s">
        <v>2396</v>
      </c>
      <c r="AK4165" t="s">
        <v>22224</v>
      </c>
      <c r="AL4165" s="13" t="s">
        <v>1901</v>
      </c>
      <c r="AM4165" s="14">
        <v>1</v>
      </c>
      <c r="AN4165" s="15" t="s">
        <v>1448</v>
      </c>
    </row>
    <row r="4166" spans="1:40" x14ac:dyDescent="0.3">
      <c r="A4166" s="10" t="str">
        <f>HYPERLINK("http://www.washoecounty.gov/assessor/cama/?parid=090-231-24&amp;CardNumber=1","090-231-24")</f>
        <v>090-231-24</v>
      </c>
      <c r="B4166" t="s">
        <v>4655</v>
      </c>
      <c r="C4166" t="s">
        <v>22225</v>
      </c>
      <c r="D4166" s="1">
        <v>40249</v>
      </c>
      <c r="E4166" s="2">
        <v>114900</v>
      </c>
      <c r="F4166" t="s">
        <v>4553</v>
      </c>
      <c r="G4166" s="17" t="str">
        <f>HYPERLINK("https://www.washoecounty.gov/assessor/cama/?command=sales&amp;parid=09023124","3859035")</f>
        <v>3859035</v>
      </c>
      <c r="H4166" t="s">
        <v>1913</v>
      </c>
      <c r="I4166">
        <v>1993</v>
      </c>
      <c r="J4166">
        <v>1993</v>
      </c>
      <c r="K4166" t="s">
        <v>4554</v>
      </c>
      <c r="L4166" t="s">
        <v>3974</v>
      </c>
      <c r="M4166" s="2">
        <v>1515</v>
      </c>
      <c r="N4166" t="s">
        <v>4048</v>
      </c>
      <c r="O4166">
        <v>3</v>
      </c>
      <c r="P4166">
        <v>2</v>
      </c>
      <c r="Q4166">
        <v>1</v>
      </c>
      <c r="R4166" t="s">
        <v>4557</v>
      </c>
      <c r="S4166" t="s">
        <v>4558</v>
      </c>
      <c r="T4166" t="s">
        <v>4559</v>
      </c>
      <c r="U4166" t="s">
        <v>4560</v>
      </c>
      <c r="V4166" s="2">
        <v>500</v>
      </c>
      <c r="W4166" t="s">
        <v>4655</v>
      </c>
      <c r="X4166" s="2">
        <v>0</v>
      </c>
      <c r="Y4166">
        <v>20</v>
      </c>
      <c r="Z4166" t="s">
        <v>4561</v>
      </c>
      <c r="AA4166" s="3">
        <v>0.15798898041248299</v>
      </c>
      <c r="AB4166" t="s">
        <v>22226</v>
      </c>
      <c r="AC4166" t="s">
        <v>4562</v>
      </c>
      <c r="AD4166" t="s">
        <v>3303</v>
      </c>
      <c r="AE4166" t="s">
        <v>4655</v>
      </c>
      <c r="AF4166" t="s">
        <v>3304</v>
      </c>
      <c r="AG4166" t="s">
        <v>4584</v>
      </c>
      <c r="AH4166">
        <v>94402</v>
      </c>
      <c r="AI4166" t="s">
        <v>3302</v>
      </c>
      <c r="AJ4166" t="s">
        <v>2396</v>
      </c>
      <c r="AK4166" t="s">
        <v>22227</v>
      </c>
      <c r="AL4166" s="13" t="s">
        <v>1901</v>
      </c>
      <c r="AM4166">
        <v>1</v>
      </c>
      <c r="AN4166" s="15" t="s">
        <v>1448</v>
      </c>
    </row>
    <row r="4167" spans="1:40" x14ac:dyDescent="0.3">
      <c r="A4167" s="10" t="str">
        <f>HYPERLINK("http://www.washoecounty.gov/assessor/cama/?parid=090-231-27&amp;CardNumber=1","090-231-27")</f>
        <v>090-231-27</v>
      </c>
      <c r="B4167" t="s">
        <v>4655</v>
      </c>
      <c r="C4167" t="s">
        <v>22228</v>
      </c>
      <c r="D4167" s="1">
        <v>40519</v>
      </c>
      <c r="E4167" s="2">
        <v>137000</v>
      </c>
      <c r="F4167" t="s">
        <v>4567</v>
      </c>
      <c r="G4167" s="17" t="str">
        <f>HYPERLINK("https://www.washoecounty.gov/assessor/cama/?command=sales&amp;parid=09023127","3950382")</f>
        <v>3950382</v>
      </c>
      <c r="H4167" t="s">
        <v>1913</v>
      </c>
      <c r="I4167">
        <v>1993</v>
      </c>
      <c r="J4167">
        <v>1993</v>
      </c>
      <c r="K4167" t="s">
        <v>4554</v>
      </c>
      <c r="L4167" t="s">
        <v>3974</v>
      </c>
      <c r="M4167" s="2">
        <v>1515</v>
      </c>
      <c r="N4167" t="s">
        <v>4048</v>
      </c>
      <c r="O4167">
        <v>3</v>
      </c>
      <c r="P4167">
        <v>2</v>
      </c>
      <c r="Q4167">
        <v>1</v>
      </c>
      <c r="R4167" t="s">
        <v>5281</v>
      </c>
      <c r="S4167" t="s">
        <v>4558</v>
      </c>
      <c r="T4167" t="s">
        <v>4559</v>
      </c>
      <c r="U4167" t="s">
        <v>4560</v>
      </c>
      <c r="V4167" s="2">
        <v>500</v>
      </c>
      <c r="W4167" t="s">
        <v>4655</v>
      </c>
      <c r="X4167" s="2">
        <v>0</v>
      </c>
      <c r="Y4167">
        <v>20</v>
      </c>
      <c r="Z4167" t="s">
        <v>4561</v>
      </c>
      <c r="AA4167" s="3">
        <v>0.173002749681473</v>
      </c>
      <c r="AB4167" t="s">
        <v>22229</v>
      </c>
      <c r="AC4167" t="s">
        <v>4575</v>
      </c>
      <c r="AD4167" t="s">
        <v>22228</v>
      </c>
      <c r="AE4167" t="s">
        <v>4655</v>
      </c>
      <c r="AF4167" t="s">
        <v>4563</v>
      </c>
      <c r="AG4167" t="s">
        <v>4564</v>
      </c>
      <c r="AH4167">
        <v>89506</v>
      </c>
      <c r="AI4167" t="s">
        <v>22230</v>
      </c>
      <c r="AJ4167" t="s">
        <v>2396</v>
      </c>
      <c r="AK4167" t="s">
        <v>22231</v>
      </c>
      <c r="AL4167" s="13" t="s">
        <v>1901</v>
      </c>
      <c r="AM4167">
        <v>1</v>
      </c>
      <c r="AN4167" s="15" t="s">
        <v>1448</v>
      </c>
    </row>
    <row r="4168" spans="1:40" x14ac:dyDescent="0.3">
      <c r="A4168" s="10" t="str">
        <f>HYPERLINK("http://www.washoecounty.gov/assessor/cama/?parid=090-232-01&amp;CardNumber=1","090-232-01")</f>
        <v>090-232-01</v>
      </c>
      <c r="B4168" t="s">
        <v>4655</v>
      </c>
      <c r="C4168" t="s">
        <v>22232</v>
      </c>
      <c r="D4168" s="1">
        <v>40344</v>
      </c>
      <c r="E4168" s="2">
        <v>160000</v>
      </c>
      <c r="F4168" t="s">
        <v>4553</v>
      </c>
      <c r="G4168" s="17" t="str">
        <f>HYPERLINK("https://www.washoecounty.gov/assessor/cama/?command=sales&amp;parid=09023201","3892082")</f>
        <v>3892082</v>
      </c>
      <c r="H4168" t="s">
        <v>3893</v>
      </c>
      <c r="I4168">
        <v>1993</v>
      </c>
      <c r="J4168">
        <v>1993</v>
      </c>
      <c r="K4168" t="s">
        <v>4554</v>
      </c>
      <c r="L4168" t="s">
        <v>3974</v>
      </c>
      <c r="M4168" s="2">
        <v>2016</v>
      </c>
      <c r="N4168" t="s">
        <v>4048</v>
      </c>
      <c r="O4168">
        <v>4</v>
      </c>
      <c r="P4168">
        <v>2</v>
      </c>
      <c r="Q4168">
        <v>1</v>
      </c>
      <c r="R4168" t="s">
        <v>4557</v>
      </c>
      <c r="S4168" t="s">
        <v>4558</v>
      </c>
      <c r="T4168" t="s">
        <v>4559</v>
      </c>
      <c r="U4168" t="s">
        <v>4560</v>
      </c>
      <c r="V4168" s="2">
        <v>580</v>
      </c>
      <c r="W4168" t="s">
        <v>4655</v>
      </c>
      <c r="X4168" s="2">
        <v>0</v>
      </c>
      <c r="Y4168">
        <v>20</v>
      </c>
      <c r="Z4168" t="s">
        <v>4561</v>
      </c>
      <c r="AA4168" s="3">
        <v>0.14499540627002699</v>
      </c>
      <c r="AB4168" t="s">
        <v>22233</v>
      </c>
      <c r="AC4168" t="s">
        <v>4562</v>
      </c>
      <c r="AD4168" t="s">
        <v>22232</v>
      </c>
      <c r="AE4168" t="s">
        <v>4655</v>
      </c>
      <c r="AF4168" t="s">
        <v>4563</v>
      </c>
      <c r="AG4168" t="s">
        <v>4564</v>
      </c>
      <c r="AH4168">
        <v>89506</v>
      </c>
      <c r="AI4168" t="s">
        <v>22234</v>
      </c>
      <c r="AJ4168" t="s">
        <v>3894</v>
      </c>
      <c r="AK4168" t="s">
        <v>22235</v>
      </c>
      <c r="AL4168" s="13" t="s">
        <v>1901</v>
      </c>
      <c r="AM4168">
        <v>1</v>
      </c>
      <c r="AN4168" s="15" t="s">
        <v>1448</v>
      </c>
    </row>
    <row r="4169" spans="1:40" x14ac:dyDescent="0.3">
      <c r="A4169" s="10" t="str">
        <f>HYPERLINK("http://www.washoecounty.gov/assessor/cama/?parid=090-233-02&amp;CardNumber=1","090-233-02")</f>
        <v>090-233-02</v>
      </c>
      <c r="B4169" t="s">
        <v>4655</v>
      </c>
      <c r="C4169" t="s">
        <v>22236</v>
      </c>
      <c r="D4169" s="1">
        <v>40512</v>
      </c>
      <c r="E4169" s="2">
        <v>102000</v>
      </c>
      <c r="F4169" t="s">
        <v>4553</v>
      </c>
      <c r="G4169" s="17" t="str">
        <f>HYPERLINK("https://www.washoecounty.gov/assessor/cama/?command=sales&amp;parid=09023302","3947707")</f>
        <v>3947707</v>
      </c>
      <c r="H4169" t="s">
        <v>1913</v>
      </c>
      <c r="I4169">
        <v>1993</v>
      </c>
      <c r="J4169">
        <v>1993</v>
      </c>
      <c r="K4169" t="s">
        <v>4554</v>
      </c>
      <c r="L4169" t="s">
        <v>4555</v>
      </c>
      <c r="M4169" s="2">
        <v>1266</v>
      </c>
      <c r="N4169" t="s">
        <v>4048</v>
      </c>
      <c r="O4169">
        <v>3</v>
      </c>
      <c r="P4169">
        <v>2</v>
      </c>
      <c r="Q4169">
        <v>0</v>
      </c>
      <c r="R4169" t="s">
        <v>4557</v>
      </c>
      <c r="S4169" t="s">
        <v>4558</v>
      </c>
      <c r="T4169" t="s">
        <v>4559</v>
      </c>
      <c r="U4169" t="s">
        <v>4560</v>
      </c>
      <c r="V4169" s="2">
        <v>420</v>
      </c>
      <c r="W4169" t="s">
        <v>4655</v>
      </c>
      <c r="X4169" s="2">
        <v>0</v>
      </c>
      <c r="Y4169">
        <v>20</v>
      </c>
      <c r="Z4169" t="s">
        <v>4561</v>
      </c>
      <c r="AA4169" s="3">
        <v>0.18599632382392883</v>
      </c>
      <c r="AB4169" t="s">
        <v>22237</v>
      </c>
      <c r="AC4169" t="s">
        <v>4562</v>
      </c>
      <c r="AD4169" t="s">
        <v>22236</v>
      </c>
      <c r="AE4169" t="s">
        <v>4655</v>
      </c>
      <c r="AF4169" t="s">
        <v>4563</v>
      </c>
      <c r="AG4169" t="s">
        <v>4564</v>
      </c>
      <c r="AH4169">
        <v>89506</v>
      </c>
      <c r="AI4169" t="s">
        <v>4903</v>
      </c>
      <c r="AJ4169" t="s">
        <v>2396</v>
      </c>
      <c r="AK4169" t="s">
        <v>22238</v>
      </c>
      <c r="AL4169" s="13" t="s">
        <v>1901</v>
      </c>
      <c r="AM4169">
        <v>1</v>
      </c>
      <c r="AN4169" s="15" t="s">
        <v>1448</v>
      </c>
    </row>
    <row r="4170" spans="1:40" x14ac:dyDescent="0.3">
      <c r="A4170" s="10" t="str">
        <f>HYPERLINK("http://www.washoecounty.gov/assessor/cama/?parid=090-234-12&amp;CardNumber=1","090-234-12")</f>
        <v>090-234-12</v>
      </c>
      <c r="B4170" t="s">
        <v>4655</v>
      </c>
      <c r="C4170" t="s">
        <v>22239</v>
      </c>
      <c r="D4170" s="1">
        <v>40280</v>
      </c>
      <c r="E4170" s="2">
        <v>120500</v>
      </c>
      <c r="F4170" t="s">
        <v>4567</v>
      </c>
      <c r="G4170" s="17" t="str">
        <f>HYPERLINK("https://www.washoecounty.gov/assessor/cama/?command=sales&amp;parid=09023412","3870050")</f>
        <v>3870050</v>
      </c>
      <c r="H4170" t="s">
        <v>1913</v>
      </c>
      <c r="I4170">
        <v>1993</v>
      </c>
      <c r="J4170">
        <v>1993</v>
      </c>
      <c r="K4170" t="s">
        <v>4554</v>
      </c>
      <c r="L4170" t="s">
        <v>3974</v>
      </c>
      <c r="M4170" s="2">
        <v>1515</v>
      </c>
      <c r="N4170" t="s">
        <v>4048</v>
      </c>
      <c r="O4170">
        <v>3</v>
      </c>
      <c r="P4170">
        <v>2</v>
      </c>
      <c r="Q4170">
        <v>1</v>
      </c>
      <c r="R4170" t="s">
        <v>4557</v>
      </c>
      <c r="S4170" t="s">
        <v>4558</v>
      </c>
      <c r="T4170" t="s">
        <v>4559</v>
      </c>
      <c r="U4170" t="s">
        <v>4560</v>
      </c>
      <c r="V4170" s="2">
        <v>500</v>
      </c>
      <c r="W4170" t="s">
        <v>4655</v>
      </c>
      <c r="X4170" s="2">
        <v>0</v>
      </c>
      <c r="Y4170">
        <v>20</v>
      </c>
      <c r="Z4170" t="s">
        <v>4561</v>
      </c>
      <c r="AA4170" s="3">
        <v>0.176010102033615</v>
      </c>
      <c r="AB4170" t="s">
        <v>22240</v>
      </c>
      <c r="AC4170" t="s">
        <v>4575</v>
      </c>
      <c r="AD4170" t="s">
        <v>22176</v>
      </c>
      <c r="AE4170" t="s">
        <v>4655</v>
      </c>
      <c r="AF4170" t="s">
        <v>1849</v>
      </c>
      <c r="AG4170" t="s">
        <v>4564</v>
      </c>
      <c r="AH4170" t="s">
        <v>1850</v>
      </c>
      <c r="AI4170" t="s">
        <v>22241</v>
      </c>
      <c r="AJ4170" t="s">
        <v>2396</v>
      </c>
      <c r="AK4170" t="s">
        <v>22242</v>
      </c>
      <c r="AL4170" s="13" t="s">
        <v>1901</v>
      </c>
      <c r="AM4170">
        <v>1</v>
      </c>
      <c r="AN4170" s="15" t="s">
        <v>1448</v>
      </c>
    </row>
    <row r="4171" spans="1:40" x14ac:dyDescent="0.3">
      <c r="A4171" s="10" t="str">
        <f>HYPERLINK("http://www.washoecounty.gov/assessor/cama/?parid=090-234-17&amp;CardNumber=1","090-234-17")</f>
        <v>090-234-17</v>
      </c>
      <c r="B4171" t="s">
        <v>4655</v>
      </c>
      <c r="C4171" t="s">
        <v>22243</v>
      </c>
      <c r="D4171" s="1">
        <v>40420</v>
      </c>
      <c r="E4171" s="2">
        <v>89800</v>
      </c>
      <c r="F4171" t="s">
        <v>4567</v>
      </c>
      <c r="G4171" s="17" t="str">
        <f>HYPERLINK("https://www.washoecounty.gov/assessor/cama/?command=sales&amp;parid=09023417","3916733")</f>
        <v>3916733</v>
      </c>
      <c r="H4171" t="s">
        <v>22244</v>
      </c>
      <c r="I4171">
        <v>1993</v>
      </c>
      <c r="J4171">
        <v>1993</v>
      </c>
      <c r="K4171" t="s">
        <v>4554</v>
      </c>
      <c r="L4171" t="s">
        <v>4555</v>
      </c>
      <c r="M4171" s="2">
        <v>990</v>
      </c>
      <c r="N4171" t="s">
        <v>4048</v>
      </c>
      <c r="O4171">
        <v>3</v>
      </c>
      <c r="P4171">
        <v>2</v>
      </c>
      <c r="Q4171">
        <v>0</v>
      </c>
      <c r="R4171" t="s">
        <v>4557</v>
      </c>
      <c r="S4171" t="s">
        <v>4558</v>
      </c>
      <c r="T4171" t="s">
        <v>4559</v>
      </c>
      <c r="U4171" t="s">
        <v>4560</v>
      </c>
      <c r="V4171" s="2">
        <v>420</v>
      </c>
      <c r="W4171" t="s">
        <v>4655</v>
      </c>
      <c r="X4171" s="2">
        <v>0</v>
      </c>
      <c r="Y4171">
        <v>20</v>
      </c>
      <c r="Z4171" t="s">
        <v>4561</v>
      </c>
      <c r="AA4171" s="3">
        <v>0.17899449169635773</v>
      </c>
      <c r="AB4171" t="s">
        <v>22245</v>
      </c>
      <c r="AC4171" t="s">
        <v>4562</v>
      </c>
      <c r="AD4171" t="s">
        <v>22243</v>
      </c>
      <c r="AE4171" t="s">
        <v>4655</v>
      </c>
      <c r="AF4171" t="s">
        <v>4563</v>
      </c>
      <c r="AG4171" t="s">
        <v>4564</v>
      </c>
      <c r="AH4171">
        <v>89506</v>
      </c>
      <c r="AI4171" t="s">
        <v>22246</v>
      </c>
      <c r="AJ4171" t="s">
        <v>2396</v>
      </c>
      <c r="AK4171" t="s">
        <v>22247</v>
      </c>
      <c r="AL4171" s="13" t="s">
        <v>1901</v>
      </c>
      <c r="AM4171" s="14">
        <v>1</v>
      </c>
      <c r="AN4171" s="15" t="s">
        <v>1448</v>
      </c>
    </row>
    <row r="4172" spans="1:40" x14ac:dyDescent="0.3">
      <c r="A4172" s="10" t="str">
        <f>HYPERLINK("http://www.washoecounty.gov/assessor/cama/?parid=090-241-11&amp;CardNumber=1","090-241-11")</f>
        <v>090-241-11</v>
      </c>
      <c r="B4172" t="s">
        <v>4655</v>
      </c>
      <c r="C4172" t="s">
        <v>22248</v>
      </c>
      <c r="D4172" s="1">
        <v>40352</v>
      </c>
      <c r="E4172" s="2">
        <v>115000</v>
      </c>
      <c r="F4172" t="s">
        <v>4553</v>
      </c>
      <c r="G4172" s="17" t="str">
        <f>HYPERLINK("https://www.washoecounty.gov/assessor/cama/?command=sales&amp;parid=09024111","3894750")</f>
        <v>3894750</v>
      </c>
      <c r="H4172" t="s">
        <v>3538</v>
      </c>
      <c r="I4172">
        <v>1994</v>
      </c>
      <c r="J4172">
        <v>1994</v>
      </c>
      <c r="K4172" t="s">
        <v>4554</v>
      </c>
      <c r="L4172" t="s">
        <v>4555</v>
      </c>
      <c r="M4172" s="2">
        <v>1267</v>
      </c>
      <c r="N4172" t="s">
        <v>4048</v>
      </c>
      <c r="O4172">
        <v>3</v>
      </c>
      <c r="P4172">
        <v>2</v>
      </c>
      <c r="Q4172">
        <v>0</v>
      </c>
      <c r="R4172" t="s">
        <v>4557</v>
      </c>
      <c r="S4172" t="s">
        <v>4558</v>
      </c>
      <c r="T4172" t="s">
        <v>4559</v>
      </c>
      <c r="U4172" t="s">
        <v>4560</v>
      </c>
      <c r="V4172" s="2">
        <v>420</v>
      </c>
      <c r="W4172" t="s">
        <v>4655</v>
      </c>
      <c r="X4172" s="2">
        <v>0</v>
      </c>
      <c r="Y4172">
        <v>20</v>
      </c>
      <c r="Z4172" t="s">
        <v>4561</v>
      </c>
      <c r="AA4172" s="3">
        <v>0.15300734341144601</v>
      </c>
      <c r="AB4172" t="s">
        <v>22249</v>
      </c>
      <c r="AC4172" t="s">
        <v>4562</v>
      </c>
      <c r="AD4172" t="s">
        <v>22248</v>
      </c>
      <c r="AE4172" t="s">
        <v>4655</v>
      </c>
      <c r="AF4172" t="s">
        <v>4563</v>
      </c>
      <c r="AG4172" t="s">
        <v>4564</v>
      </c>
      <c r="AH4172">
        <v>89506</v>
      </c>
      <c r="AI4172" t="s">
        <v>687</v>
      </c>
      <c r="AJ4172" t="s">
        <v>3539</v>
      </c>
      <c r="AK4172" t="s">
        <v>22250</v>
      </c>
      <c r="AL4172" s="13" t="s">
        <v>1901</v>
      </c>
      <c r="AM4172">
        <v>1</v>
      </c>
      <c r="AN4172" s="15" t="s">
        <v>1448</v>
      </c>
    </row>
    <row r="4173" spans="1:40" x14ac:dyDescent="0.3">
      <c r="A4173" s="10" t="str">
        <f>HYPERLINK("http://www.washoecounty.gov/assessor/cama/?parid=090-244-08&amp;CardNumber=1","090-244-08")</f>
        <v>090-244-08</v>
      </c>
      <c r="B4173" t="s">
        <v>4655</v>
      </c>
      <c r="C4173" t="s">
        <v>22251</v>
      </c>
      <c r="D4173" s="1">
        <v>40267</v>
      </c>
      <c r="E4173" s="2">
        <v>130000</v>
      </c>
      <c r="F4173" t="s">
        <v>4553</v>
      </c>
      <c r="G4173" s="17" t="str">
        <f>HYPERLINK("https://www.washoecounty.gov/assessor/cama/?command=sales&amp;parid=09024408","3865943")</f>
        <v>3865943</v>
      </c>
      <c r="H4173" t="s">
        <v>3538</v>
      </c>
      <c r="I4173">
        <v>1994</v>
      </c>
      <c r="J4173">
        <v>1994</v>
      </c>
      <c r="K4173" t="s">
        <v>4554</v>
      </c>
      <c r="L4173" t="s">
        <v>3974</v>
      </c>
      <c r="M4173" s="2">
        <v>1515</v>
      </c>
      <c r="N4173" t="s">
        <v>4048</v>
      </c>
      <c r="O4173">
        <v>3</v>
      </c>
      <c r="P4173">
        <v>2</v>
      </c>
      <c r="Q4173">
        <v>1</v>
      </c>
      <c r="R4173" t="s">
        <v>5281</v>
      </c>
      <c r="S4173" t="s">
        <v>4558</v>
      </c>
      <c r="T4173" t="s">
        <v>4559</v>
      </c>
      <c r="U4173" t="s">
        <v>4560</v>
      </c>
      <c r="V4173" s="2">
        <v>500</v>
      </c>
      <c r="W4173" t="s">
        <v>4655</v>
      </c>
      <c r="X4173" s="2">
        <v>0</v>
      </c>
      <c r="Y4173">
        <v>20</v>
      </c>
      <c r="Z4173" t="s">
        <v>4561</v>
      </c>
      <c r="AA4173" s="3">
        <v>0.18799357116222401</v>
      </c>
      <c r="AB4173" t="s">
        <v>22252</v>
      </c>
      <c r="AC4173" t="s">
        <v>4562</v>
      </c>
      <c r="AD4173" t="s">
        <v>22251</v>
      </c>
      <c r="AE4173" t="s">
        <v>4655</v>
      </c>
      <c r="AF4173" t="s">
        <v>4563</v>
      </c>
      <c r="AG4173" t="s">
        <v>4564</v>
      </c>
      <c r="AH4173">
        <v>89506</v>
      </c>
      <c r="AI4173" t="s">
        <v>4565</v>
      </c>
      <c r="AJ4173" t="s">
        <v>3539</v>
      </c>
      <c r="AK4173" t="s">
        <v>22253</v>
      </c>
      <c r="AL4173" s="13" t="s">
        <v>1901</v>
      </c>
      <c r="AM4173">
        <v>1</v>
      </c>
      <c r="AN4173" s="15" t="s">
        <v>1448</v>
      </c>
    </row>
    <row r="4174" spans="1:40" x14ac:dyDescent="0.3">
      <c r="A4174" s="10" t="str">
        <f>HYPERLINK("http://www.washoecounty.gov/assessor/cama/?parid=090-245-21&amp;CardNumber=1","090-245-21")</f>
        <v>090-245-21</v>
      </c>
      <c r="B4174" t="s">
        <v>4655</v>
      </c>
      <c r="C4174" t="s">
        <v>22254</v>
      </c>
      <c r="D4174" s="1">
        <v>40415</v>
      </c>
      <c r="E4174" s="2">
        <v>122000</v>
      </c>
      <c r="F4174" t="s">
        <v>4567</v>
      </c>
      <c r="G4174" s="17" t="str">
        <f>HYPERLINK("https://www.washoecounty.gov/assessor/cama/?command=sales&amp;parid=09024521","3915484")</f>
        <v>3915484</v>
      </c>
      <c r="H4174" t="s">
        <v>3538</v>
      </c>
      <c r="I4174">
        <v>1994</v>
      </c>
      <c r="J4174">
        <v>1994</v>
      </c>
      <c r="K4174" t="s">
        <v>4554</v>
      </c>
      <c r="L4174" t="s">
        <v>3974</v>
      </c>
      <c r="M4174" s="2">
        <v>1515</v>
      </c>
      <c r="N4174" t="s">
        <v>4048</v>
      </c>
      <c r="O4174">
        <v>3</v>
      </c>
      <c r="P4174">
        <v>2</v>
      </c>
      <c r="Q4174">
        <v>1</v>
      </c>
      <c r="R4174" t="s">
        <v>5281</v>
      </c>
      <c r="S4174" t="s">
        <v>4558</v>
      </c>
      <c r="T4174" t="s">
        <v>4559</v>
      </c>
      <c r="U4174" t="s">
        <v>4560</v>
      </c>
      <c r="V4174" s="2">
        <v>500</v>
      </c>
      <c r="W4174" t="s">
        <v>4655</v>
      </c>
      <c r="X4174" s="2">
        <v>0</v>
      </c>
      <c r="Y4174">
        <v>20</v>
      </c>
      <c r="Z4174" t="s">
        <v>4561</v>
      </c>
      <c r="AA4174" s="3">
        <v>0.14898990094661699</v>
      </c>
      <c r="AB4174" t="s">
        <v>22255</v>
      </c>
      <c r="AC4174" t="s">
        <v>4562</v>
      </c>
      <c r="AD4174" t="s">
        <v>22254</v>
      </c>
      <c r="AE4174" t="s">
        <v>4655</v>
      </c>
      <c r="AF4174" t="s">
        <v>4563</v>
      </c>
      <c r="AG4174" t="s">
        <v>4564</v>
      </c>
      <c r="AH4174">
        <v>89506</v>
      </c>
      <c r="AI4174" t="s">
        <v>22256</v>
      </c>
      <c r="AJ4174" t="s">
        <v>3539</v>
      </c>
      <c r="AK4174" t="s">
        <v>22257</v>
      </c>
      <c r="AL4174" s="13" t="s">
        <v>1901</v>
      </c>
      <c r="AM4174" s="14">
        <v>1</v>
      </c>
      <c r="AN4174" s="15" t="s">
        <v>1448</v>
      </c>
    </row>
    <row r="4175" spans="1:40" x14ac:dyDescent="0.3">
      <c r="A4175" s="10" t="str">
        <f>HYPERLINK("http://www.washoecounty.gov/assessor/cama/?parid=090-252-14&amp;CardNumber=1","090-252-14")</f>
        <v>090-252-14</v>
      </c>
      <c r="B4175" t="s">
        <v>4655</v>
      </c>
      <c r="C4175" t="s">
        <v>22258</v>
      </c>
      <c r="D4175" s="1">
        <v>40359</v>
      </c>
      <c r="E4175" s="2">
        <v>115000</v>
      </c>
      <c r="F4175" t="s">
        <v>4567</v>
      </c>
      <c r="G4175" s="17" t="str">
        <f>HYPERLINK("https://www.washoecounty.gov/assessor/cama/?command=sales&amp;parid=09025214","3896871")</f>
        <v>3896871</v>
      </c>
      <c r="H4175" t="s">
        <v>22259</v>
      </c>
      <c r="I4175">
        <v>1993</v>
      </c>
      <c r="J4175">
        <v>1993</v>
      </c>
      <c r="K4175" t="s">
        <v>4554</v>
      </c>
      <c r="L4175" t="s">
        <v>3974</v>
      </c>
      <c r="M4175" s="2">
        <v>1515</v>
      </c>
      <c r="N4175" t="s">
        <v>4048</v>
      </c>
      <c r="O4175">
        <v>3</v>
      </c>
      <c r="P4175">
        <v>2</v>
      </c>
      <c r="Q4175">
        <v>1</v>
      </c>
      <c r="R4175" t="s">
        <v>4557</v>
      </c>
      <c r="S4175" t="s">
        <v>4558</v>
      </c>
      <c r="T4175" t="s">
        <v>4559</v>
      </c>
      <c r="U4175" t="s">
        <v>4560</v>
      </c>
      <c r="V4175" s="2">
        <v>500</v>
      </c>
      <c r="W4175" t="s">
        <v>4655</v>
      </c>
      <c r="X4175" s="2">
        <v>0</v>
      </c>
      <c r="Y4175">
        <v>20</v>
      </c>
      <c r="Z4175" t="s">
        <v>4561</v>
      </c>
      <c r="AA4175" s="3">
        <v>0.30000001192092901</v>
      </c>
      <c r="AB4175" t="s">
        <v>22260</v>
      </c>
      <c r="AC4175" t="s">
        <v>4562</v>
      </c>
      <c r="AD4175" t="s">
        <v>22258</v>
      </c>
      <c r="AE4175" t="s">
        <v>4655</v>
      </c>
      <c r="AF4175" t="s">
        <v>4563</v>
      </c>
      <c r="AG4175" t="s">
        <v>4564</v>
      </c>
      <c r="AH4175">
        <v>89506</v>
      </c>
      <c r="AI4175" t="s">
        <v>4655</v>
      </c>
      <c r="AJ4175" t="s">
        <v>22261</v>
      </c>
      <c r="AK4175" t="s">
        <v>22262</v>
      </c>
      <c r="AL4175" s="13" t="s">
        <v>1901</v>
      </c>
      <c r="AM4175" s="14">
        <v>1</v>
      </c>
      <c r="AN4175" s="15" t="s">
        <v>1448</v>
      </c>
    </row>
    <row r="4176" spans="1:40" x14ac:dyDescent="0.3">
      <c r="A4176" s="10" t="str">
        <f>HYPERLINK("http://www.washoecounty.gov/assessor/cama/?parid=090-252-15&amp;CardNumber=1","090-252-15")</f>
        <v>090-252-15</v>
      </c>
      <c r="B4176" t="s">
        <v>4655</v>
      </c>
      <c r="C4176" t="s">
        <v>22263</v>
      </c>
      <c r="D4176" s="1">
        <v>40302</v>
      </c>
      <c r="E4176" s="2">
        <v>114900</v>
      </c>
      <c r="F4176" t="s">
        <v>4553</v>
      </c>
      <c r="G4176" s="17" t="str">
        <f>HYPERLINK("https://www.washoecounty.gov/assessor/cama/?command=sales&amp;parid=09025215","3877967")</f>
        <v>3877967</v>
      </c>
      <c r="H4176" t="s">
        <v>22259</v>
      </c>
      <c r="I4176">
        <v>1993</v>
      </c>
      <c r="J4176">
        <v>1993</v>
      </c>
      <c r="K4176" t="s">
        <v>4554</v>
      </c>
      <c r="L4176" t="s">
        <v>4555</v>
      </c>
      <c r="M4176" s="2">
        <v>1266</v>
      </c>
      <c r="N4176" t="s">
        <v>4048</v>
      </c>
      <c r="O4176">
        <v>3</v>
      </c>
      <c r="P4176">
        <v>2</v>
      </c>
      <c r="Q4176">
        <v>0</v>
      </c>
      <c r="R4176" t="s">
        <v>5281</v>
      </c>
      <c r="S4176" t="s">
        <v>4558</v>
      </c>
      <c r="T4176" t="s">
        <v>4559</v>
      </c>
      <c r="U4176" t="s">
        <v>4560</v>
      </c>
      <c r="V4176" s="2">
        <v>420</v>
      </c>
      <c r="W4176" t="s">
        <v>4655</v>
      </c>
      <c r="X4176" s="2">
        <v>0</v>
      </c>
      <c r="Y4176">
        <v>20</v>
      </c>
      <c r="Z4176" t="s">
        <v>4561</v>
      </c>
      <c r="AA4176" s="3">
        <v>0.21999540925025901</v>
      </c>
      <c r="AB4176" t="s">
        <v>22264</v>
      </c>
      <c r="AC4176" t="s">
        <v>4562</v>
      </c>
      <c r="AD4176" t="s">
        <v>22263</v>
      </c>
      <c r="AE4176" t="s">
        <v>4655</v>
      </c>
      <c r="AF4176" t="s">
        <v>4563</v>
      </c>
      <c r="AG4176" t="s">
        <v>4564</v>
      </c>
      <c r="AH4176">
        <v>89506</v>
      </c>
      <c r="AI4176" t="s">
        <v>4585</v>
      </c>
      <c r="AJ4176" t="s">
        <v>22261</v>
      </c>
      <c r="AK4176" t="s">
        <v>22265</v>
      </c>
      <c r="AL4176" s="13" t="s">
        <v>1901</v>
      </c>
      <c r="AM4176">
        <v>1</v>
      </c>
      <c r="AN4176" s="15" t="s">
        <v>1448</v>
      </c>
    </row>
    <row r="4177" spans="1:40" x14ac:dyDescent="0.3">
      <c r="A4177" s="10" t="str">
        <f>HYPERLINK("http://www.washoecounty.gov/assessor/cama/?parid=090-271-04&amp;CardNumber=1","090-271-04")</f>
        <v>090-271-04</v>
      </c>
      <c r="B4177" t="s">
        <v>4655</v>
      </c>
      <c r="C4177" t="s">
        <v>22266</v>
      </c>
      <c r="D4177" s="1">
        <v>40430</v>
      </c>
      <c r="E4177" s="2">
        <v>102935</v>
      </c>
      <c r="F4177" t="s">
        <v>4567</v>
      </c>
      <c r="G4177" s="17" t="str">
        <f>HYPERLINK("https://www.washoecounty.gov/assessor/cama/?command=sales&amp;parid=09027104","3920348")</f>
        <v>3920348</v>
      </c>
      <c r="H4177" t="s">
        <v>3171</v>
      </c>
      <c r="I4177">
        <v>1995</v>
      </c>
      <c r="J4177">
        <v>1995</v>
      </c>
      <c r="K4177" t="s">
        <v>4554</v>
      </c>
      <c r="L4177" t="s">
        <v>4555</v>
      </c>
      <c r="M4177" s="2">
        <v>1715</v>
      </c>
      <c r="N4177" t="s">
        <v>4048</v>
      </c>
      <c r="O4177">
        <v>3</v>
      </c>
      <c r="P4177">
        <v>2</v>
      </c>
      <c r="Q4177">
        <v>0</v>
      </c>
      <c r="R4177" t="s">
        <v>5281</v>
      </c>
      <c r="S4177" t="s">
        <v>4558</v>
      </c>
      <c r="T4177" t="s">
        <v>4559</v>
      </c>
      <c r="U4177" t="s">
        <v>4560</v>
      </c>
      <c r="V4177" s="2">
        <v>557</v>
      </c>
      <c r="W4177" t="s">
        <v>4655</v>
      </c>
      <c r="X4177" s="2">
        <v>0</v>
      </c>
      <c r="Y4177">
        <v>20</v>
      </c>
      <c r="Z4177" t="s">
        <v>4561</v>
      </c>
      <c r="AA4177" s="3">
        <v>0.18000459671020499</v>
      </c>
      <c r="AB4177" t="s">
        <v>22267</v>
      </c>
      <c r="AC4177" t="s">
        <v>4562</v>
      </c>
      <c r="AD4177" t="s">
        <v>22268</v>
      </c>
      <c r="AE4177" t="s">
        <v>4655</v>
      </c>
      <c r="AF4177" t="s">
        <v>4563</v>
      </c>
      <c r="AG4177" t="s">
        <v>4564</v>
      </c>
      <c r="AH4177">
        <v>89511</v>
      </c>
      <c r="AI4177" t="s">
        <v>22269</v>
      </c>
      <c r="AJ4177" t="s">
        <v>5026</v>
      </c>
      <c r="AK4177" t="s">
        <v>22270</v>
      </c>
      <c r="AL4177" s="13" t="s">
        <v>1901</v>
      </c>
      <c r="AM4177">
        <v>1</v>
      </c>
      <c r="AN4177" s="15" t="s">
        <v>1448</v>
      </c>
    </row>
    <row r="4178" spans="1:40" x14ac:dyDescent="0.3">
      <c r="A4178" s="10" t="str">
        <f>HYPERLINK("http://www.washoecounty.gov/assessor/cama/?parid=090-272-01&amp;CardNumber=1","090-272-01")</f>
        <v>090-272-01</v>
      </c>
      <c r="B4178" t="s">
        <v>4655</v>
      </c>
      <c r="C4178" t="s">
        <v>22271</v>
      </c>
      <c r="D4178" s="1">
        <v>40443</v>
      </c>
      <c r="E4178" s="2">
        <v>120000</v>
      </c>
      <c r="F4178" t="s">
        <v>4567</v>
      </c>
      <c r="G4178" s="17" t="str">
        <f>HYPERLINK("https://www.washoecounty.gov/assessor/cama/?command=sales&amp;parid=09027201","3924878")</f>
        <v>3924878</v>
      </c>
      <c r="H4178" t="s">
        <v>3171</v>
      </c>
      <c r="I4178">
        <v>1994</v>
      </c>
      <c r="J4178">
        <v>1994</v>
      </c>
      <c r="K4178" t="s">
        <v>4554</v>
      </c>
      <c r="L4178" t="s">
        <v>4555</v>
      </c>
      <c r="M4178" s="2">
        <v>1404</v>
      </c>
      <c r="N4178" t="s">
        <v>4048</v>
      </c>
      <c r="O4178">
        <v>3</v>
      </c>
      <c r="P4178">
        <v>2</v>
      </c>
      <c r="Q4178">
        <v>0</v>
      </c>
      <c r="R4178" t="s">
        <v>5281</v>
      </c>
      <c r="S4178" t="s">
        <v>4558</v>
      </c>
      <c r="T4178" t="s">
        <v>4559</v>
      </c>
      <c r="U4178" t="s">
        <v>4560</v>
      </c>
      <c r="V4178" s="2">
        <v>556</v>
      </c>
      <c r="W4178" t="s">
        <v>4655</v>
      </c>
      <c r="X4178" s="2">
        <v>0</v>
      </c>
      <c r="Y4178">
        <v>20</v>
      </c>
      <c r="Z4178" t="s">
        <v>4561</v>
      </c>
      <c r="AA4178" s="3">
        <v>0.18700642883777599</v>
      </c>
      <c r="AB4178" t="s">
        <v>22272</v>
      </c>
      <c r="AC4178" t="s">
        <v>4562</v>
      </c>
      <c r="AD4178" t="s">
        <v>22271</v>
      </c>
      <c r="AE4178" t="s">
        <v>4655</v>
      </c>
      <c r="AF4178" t="s">
        <v>4563</v>
      </c>
      <c r="AG4178" t="s">
        <v>4564</v>
      </c>
      <c r="AH4178">
        <v>89506</v>
      </c>
      <c r="AI4178" t="s">
        <v>4655</v>
      </c>
      <c r="AJ4178" t="s">
        <v>5026</v>
      </c>
      <c r="AK4178" t="s">
        <v>22273</v>
      </c>
      <c r="AL4178" s="13" t="s">
        <v>1901</v>
      </c>
      <c r="AM4178">
        <v>1</v>
      </c>
      <c r="AN4178" s="15" t="s">
        <v>1448</v>
      </c>
    </row>
    <row r="4179" spans="1:40" x14ac:dyDescent="0.3">
      <c r="A4179" s="10" t="str">
        <f>HYPERLINK("http://www.washoecounty.gov/assessor/cama/?parid=090-272-06&amp;CardNumber=1","090-272-06")</f>
        <v>090-272-06</v>
      </c>
      <c r="B4179" t="s">
        <v>4655</v>
      </c>
      <c r="C4179" t="s">
        <v>4987</v>
      </c>
      <c r="D4179" s="1">
        <v>40211</v>
      </c>
      <c r="E4179" s="2">
        <v>149000</v>
      </c>
      <c r="F4179" t="s">
        <v>4553</v>
      </c>
      <c r="G4179" s="17" t="str">
        <f>HYPERLINK("https://www.washoecounty.gov/assessor/cama/?command=sales&amp;parid=09027206","3845147")</f>
        <v>3845147</v>
      </c>
      <c r="H4179" t="s">
        <v>5024</v>
      </c>
      <c r="I4179">
        <v>1995</v>
      </c>
      <c r="J4179">
        <v>1995</v>
      </c>
      <c r="K4179" t="s">
        <v>4554</v>
      </c>
      <c r="L4179" t="s">
        <v>3974</v>
      </c>
      <c r="M4179" s="2">
        <v>2016</v>
      </c>
      <c r="N4179" t="s">
        <v>4048</v>
      </c>
      <c r="O4179">
        <v>4</v>
      </c>
      <c r="P4179">
        <v>2</v>
      </c>
      <c r="Q4179">
        <v>1</v>
      </c>
      <c r="R4179" t="s">
        <v>5281</v>
      </c>
      <c r="S4179" t="s">
        <v>4558</v>
      </c>
      <c r="T4179" t="s">
        <v>4559</v>
      </c>
      <c r="U4179" t="s">
        <v>4560</v>
      </c>
      <c r="V4179" s="2">
        <v>580</v>
      </c>
      <c r="W4179" t="s">
        <v>4655</v>
      </c>
      <c r="X4179" s="2">
        <v>0</v>
      </c>
      <c r="Y4179">
        <v>20</v>
      </c>
      <c r="Z4179" t="s">
        <v>4561</v>
      </c>
      <c r="AA4179" s="3">
        <v>0.15300734341144601</v>
      </c>
      <c r="AB4179" t="s">
        <v>22274</v>
      </c>
      <c r="AC4179" t="s">
        <v>4562</v>
      </c>
      <c r="AD4179" t="s">
        <v>4987</v>
      </c>
      <c r="AE4179" t="s">
        <v>4655</v>
      </c>
      <c r="AF4179" t="s">
        <v>4563</v>
      </c>
      <c r="AG4179" t="s">
        <v>4564</v>
      </c>
      <c r="AH4179">
        <v>89506</v>
      </c>
      <c r="AI4179" t="s">
        <v>22275</v>
      </c>
      <c r="AJ4179" t="s">
        <v>5026</v>
      </c>
      <c r="AK4179" t="s">
        <v>22276</v>
      </c>
      <c r="AL4179" s="13" t="s">
        <v>1901</v>
      </c>
      <c r="AM4179">
        <v>1</v>
      </c>
      <c r="AN4179" s="15" t="s">
        <v>1448</v>
      </c>
    </row>
    <row r="4180" spans="1:40" x14ac:dyDescent="0.3">
      <c r="A4180" s="10" t="str">
        <f>HYPERLINK("http://www.washoecounty.gov/assessor/cama/?parid=090-272-08&amp;CardNumber=1","090-272-08")</f>
        <v>090-272-08</v>
      </c>
      <c r="B4180" t="s">
        <v>4655</v>
      </c>
      <c r="C4180" t="s">
        <v>22277</v>
      </c>
      <c r="D4180" s="1">
        <v>40527</v>
      </c>
      <c r="E4180" s="2">
        <v>146000</v>
      </c>
      <c r="F4180" t="s">
        <v>4553</v>
      </c>
      <c r="G4180" s="17" t="str">
        <f>HYPERLINK("https://www.washoecounty.gov/assessor/cama/?command=sales&amp;parid=09027208","3953597")</f>
        <v>3953597</v>
      </c>
      <c r="H4180" t="s">
        <v>5024</v>
      </c>
      <c r="I4180">
        <v>1995</v>
      </c>
      <c r="J4180">
        <v>1995</v>
      </c>
      <c r="K4180" t="s">
        <v>4554</v>
      </c>
      <c r="L4180" t="s">
        <v>3974</v>
      </c>
      <c r="M4180" s="2">
        <v>2016</v>
      </c>
      <c r="N4180" t="s">
        <v>4048</v>
      </c>
      <c r="O4180">
        <v>4</v>
      </c>
      <c r="P4180">
        <v>2</v>
      </c>
      <c r="Q4180">
        <v>1</v>
      </c>
      <c r="R4180" t="s">
        <v>4557</v>
      </c>
      <c r="S4180" t="s">
        <v>4558</v>
      </c>
      <c r="T4180" t="s">
        <v>4559</v>
      </c>
      <c r="U4180" t="s">
        <v>4560</v>
      </c>
      <c r="V4180" s="2">
        <v>580</v>
      </c>
      <c r="W4180" t="s">
        <v>4655</v>
      </c>
      <c r="X4180" s="2">
        <v>0</v>
      </c>
      <c r="Y4180">
        <v>20</v>
      </c>
      <c r="Z4180" t="s">
        <v>4561</v>
      </c>
      <c r="AA4180" s="3">
        <v>0.14400826394558</v>
      </c>
      <c r="AB4180" t="s">
        <v>22278</v>
      </c>
      <c r="AC4180" t="s">
        <v>4562</v>
      </c>
      <c r="AD4180" t="s">
        <v>22279</v>
      </c>
      <c r="AE4180" t="s">
        <v>4655</v>
      </c>
      <c r="AF4180" t="s">
        <v>4563</v>
      </c>
      <c r="AG4180" t="s">
        <v>4564</v>
      </c>
      <c r="AH4180">
        <v>89506</v>
      </c>
      <c r="AI4180" t="s">
        <v>14048</v>
      </c>
      <c r="AJ4180" t="s">
        <v>5026</v>
      </c>
      <c r="AK4180" t="s">
        <v>22280</v>
      </c>
      <c r="AL4180" s="13" t="s">
        <v>1901</v>
      </c>
      <c r="AM4180">
        <v>1</v>
      </c>
      <c r="AN4180" s="15" t="s">
        <v>1448</v>
      </c>
    </row>
    <row r="4181" spans="1:40" x14ac:dyDescent="0.3">
      <c r="A4181" s="10" t="str">
        <f>HYPERLINK("http://www.washoecounty.gov/assessor/cama/?parid=090-273-10&amp;CardNumber=1","090-273-10")</f>
        <v>090-273-10</v>
      </c>
      <c r="B4181" t="s">
        <v>4655</v>
      </c>
      <c r="C4181" t="s">
        <v>22281</v>
      </c>
      <c r="D4181" s="1">
        <v>40235</v>
      </c>
      <c r="E4181" s="2">
        <v>155000</v>
      </c>
      <c r="F4181" t="s">
        <v>4567</v>
      </c>
      <c r="G4181" s="17" t="str">
        <f>HYPERLINK("https://www.washoecounty.gov/assessor/cama/?command=sales&amp;parid=09027310","3853278")</f>
        <v>3853278</v>
      </c>
      <c r="H4181" t="s">
        <v>3171</v>
      </c>
      <c r="I4181">
        <v>1994</v>
      </c>
      <c r="J4181">
        <v>1994</v>
      </c>
      <c r="K4181" t="s">
        <v>4554</v>
      </c>
      <c r="L4181" t="s">
        <v>4555</v>
      </c>
      <c r="M4181" s="2">
        <v>1404</v>
      </c>
      <c r="N4181" t="s">
        <v>4048</v>
      </c>
      <c r="O4181">
        <v>3</v>
      </c>
      <c r="P4181">
        <v>2</v>
      </c>
      <c r="Q4181">
        <v>0</v>
      </c>
      <c r="R4181" t="s">
        <v>4557</v>
      </c>
      <c r="S4181" t="s">
        <v>4558</v>
      </c>
      <c r="T4181" t="s">
        <v>4559</v>
      </c>
      <c r="U4181" t="s">
        <v>4560</v>
      </c>
      <c r="V4181" s="2">
        <v>556</v>
      </c>
      <c r="W4181" t="s">
        <v>4655</v>
      </c>
      <c r="X4181" s="2">
        <v>0</v>
      </c>
      <c r="Y4181">
        <v>20</v>
      </c>
      <c r="Z4181" t="s">
        <v>4561</v>
      </c>
      <c r="AA4181" s="3">
        <v>0.17800734937191001</v>
      </c>
      <c r="AB4181" t="s">
        <v>22282</v>
      </c>
      <c r="AC4181" t="s">
        <v>4575</v>
      </c>
      <c r="AD4181" t="s">
        <v>22283</v>
      </c>
      <c r="AE4181" t="s">
        <v>4655</v>
      </c>
      <c r="AF4181" t="s">
        <v>5025</v>
      </c>
      <c r="AG4181" t="s">
        <v>4564</v>
      </c>
      <c r="AH4181">
        <v>89407</v>
      </c>
      <c r="AI4181" t="s">
        <v>22284</v>
      </c>
      <c r="AJ4181" t="s">
        <v>5026</v>
      </c>
      <c r="AK4181" t="s">
        <v>22285</v>
      </c>
      <c r="AL4181" s="13" t="s">
        <v>1901</v>
      </c>
      <c r="AM4181" s="14">
        <v>1</v>
      </c>
      <c r="AN4181" s="15" t="s">
        <v>1448</v>
      </c>
    </row>
    <row r="4182" spans="1:40" x14ac:dyDescent="0.3">
      <c r="A4182" s="10" t="str">
        <f>HYPERLINK("http://www.washoecounty.gov/assessor/cama/?parid=090-282-05&amp;CardNumber=1","090-282-05")</f>
        <v>090-282-05</v>
      </c>
      <c r="B4182" t="s">
        <v>4655</v>
      </c>
      <c r="C4182" t="s">
        <v>22286</v>
      </c>
      <c r="D4182" s="1">
        <v>40242</v>
      </c>
      <c r="E4182" s="2">
        <v>132000</v>
      </c>
      <c r="F4182" t="s">
        <v>4567</v>
      </c>
      <c r="G4182" s="17" t="str">
        <f>HYPERLINK("https://www.washoecounty.gov/assessor/cama/?command=sales&amp;parid=09028205","3856450")</f>
        <v>3856450</v>
      </c>
      <c r="H4182" t="s">
        <v>5024</v>
      </c>
      <c r="I4182">
        <v>1995</v>
      </c>
      <c r="J4182">
        <v>1995</v>
      </c>
      <c r="K4182" t="s">
        <v>4554</v>
      </c>
      <c r="L4182" t="s">
        <v>3974</v>
      </c>
      <c r="M4182" s="2">
        <v>1902</v>
      </c>
      <c r="N4182" t="s">
        <v>4048</v>
      </c>
      <c r="O4182">
        <v>4</v>
      </c>
      <c r="P4182">
        <v>2</v>
      </c>
      <c r="Q4182">
        <v>1</v>
      </c>
      <c r="R4182" t="s">
        <v>4557</v>
      </c>
      <c r="S4182" t="s">
        <v>4558</v>
      </c>
      <c r="T4182" t="s">
        <v>4559</v>
      </c>
      <c r="U4182" t="s">
        <v>4560</v>
      </c>
      <c r="V4182" s="2">
        <v>598</v>
      </c>
      <c r="W4182" t="s">
        <v>4655</v>
      </c>
      <c r="X4182" s="2">
        <v>0</v>
      </c>
      <c r="Y4182">
        <v>20</v>
      </c>
      <c r="Z4182" t="s">
        <v>4561</v>
      </c>
      <c r="AA4182" s="3">
        <v>0.17699724435806299</v>
      </c>
      <c r="AB4182" t="s">
        <v>22287</v>
      </c>
      <c r="AC4182" t="s">
        <v>4562</v>
      </c>
      <c r="AD4182" t="s">
        <v>22286</v>
      </c>
      <c r="AE4182" t="s">
        <v>4655</v>
      </c>
      <c r="AF4182" t="s">
        <v>4563</v>
      </c>
      <c r="AG4182" t="s">
        <v>4564</v>
      </c>
      <c r="AH4182">
        <v>89506</v>
      </c>
      <c r="AI4182" t="s">
        <v>4655</v>
      </c>
      <c r="AJ4182" t="s">
        <v>5026</v>
      </c>
      <c r="AK4182" t="s">
        <v>22288</v>
      </c>
      <c r="AL4182" s="13" t="s">
        <v>1901</v>
      </c>
      <c r="AM4182" s="14">
        <v>1</v>
      </c>
      <c r="AN4182" s="15" t="s">
        <v>1448</v>
      </c>
    </row>
    <row r="4183" spans="1:40" x14ac:dyDescent="0.3">
      <c r="A4183" s="10" t="str">
        <f>HYPERLINK("http://www.washoecounty.gov/assessor/cama/?parid=090-292-02&amp;CardNumber=1","090-292-02")</f>
        <v>090-292-02</v>
      </c>
      <c r="B4183" t="s">
        <v>4655</v>
      </c>
      <c r="C4183" t="s">
        <v>22289</v>
      </c>
      <c r="D4183" s="1">
        <v>40519</v>
      </c>
      <c r="E4183" s="2">
        <v>110000</v>
      </c>
      <c r="F4183" t="s">
        <v>4567</v>
      </c>
      <c r="G4183" s="17" t="str">
        <f>HYPERLINK("https://www.washoecounty.gov/assessor/cama/?command=sales&amp;parid=09029202","3950371")</f>
        <v>3950371</v>
      </c>
      <c r="H4183" t="s">
        <v>703</v>
      </c>
      <c r="I4183">
        <v>1995</v>
      </c>
      <c r="J4183">
        <v>1995</v>
      </c>
      <c r="K4183" t="s">
        <v>4554</v>
      </c>
      <c r="L4183" t="s">
        <v>4555</v>
      </c>
      <c r="M4183" s="2">
        <v>1254</v>
      </c>
      <c r="N4183" t="s">
        <v>4048</v>
      </c>
      <c r="O4183">
        <v>3</v>
      </c>
      <c r="P4183">
        <v>2</v>
      </c>
      <c r="Q4183">
        <v>0</v>
      </c>
      <c r="R4183" t="s">
        <v>4557</v>
      </c>
      <c r="S4183" t="s">
        <v>4558</v>
      </c>
      <c r="T4183" t="s">
        <v>4559</v>
      </c>
      <c r="U4183" t="s">
        <v>4560</v>
      </c>
      <c r="V4183" s="2">
        <v>400</v>
      </c>
      <c r="W4183" t="s">
        <v>4655</v>
      </c>
      <c r="X4183" s="2">
        <v>0</v>
      </c>
      <c r="Y4183">
        <v>20</v>
      </c>
      <c r="Z4183" t="s">
        <v>4561</v>
      </c>
      <c r="AA4183" s="3">
        <v>0.13399907946586601</v>
      </c>
      <c r="AB4183" t="s">
        <v>22290</v>
      </c>
      <c r="AC4183" t="s">
        <v>4562</v>
      </c>
      <c r="AD4183" t="s">
        <v>22289</v>
      </c>
      <c r="AE4183" t="s">
        <v>4655</v>
      </c>
      <c r="AF4183" t="s">
        <v>4563</v>
      </c>
      <c r="AG4183" t="s">
        <v>4564</v>
      </c>
      <c r="AH4183">
        <v>89506</v>
      </c>
      <c r="AI4183" t="s">
        <v>22291</v>
      </c>
      <c r="AJ4183" t="s">
        <v>4249</v>
      </c>
      <c r="AK4183" t="s">
        <v>22292</v>
      </c>
      <c r="AL4183" s="13" t="s">
        <v>1901</v>
      </c>
      <c r="AM4183" s="14">
        <v>1</v>
      </c>
      <c r="AN4183" s="15" t="s">
        <v>1448</v>
      </c>
    </row>
    <row r="4184" spans="1:40" x14ac:dyDescent="0.3">
      <c r="A4184" s="10" t="str">
        <f>HYPERLINK("http://www.washoecounty.gov/assessor/cama/?parid=090-292-23&amp;CardNumber=1","090-292-23")</f>
        <v>090-292-23</v>
      </c>
      <c r="B4184" t="s">
        <v>4655</v>
      </c>
      <c r="C4184" t="s">
        <v>22293</v>
      </c>
      <c r="D4184" s="1">
        <v>40207</v>
      </c>
      <c r="E4184" s="2">
        <v>120000</v>
      </c>
      <c r="F4184" t="s">
        <v>4553</v>
      </c>
      <c r="G4184" s="17" t="str">
        <f>HYPERLINK("https://www.washoecounty.gov/assessor/cama/?command=sales&amp;parid=09029223","3844454")</f>
        <v>3844454</v>
      </c>
      <c r="H4184" t="s">
        <v>5027</v>
      </c>
      <c r="I4184">
        <v>1994</v>
      </c>
      <c r="J4184">
        <v>1994</v>
      </c>
      <c r="K4184" t="s">
        <v>4554</v>
      </c>
      <c r="L4184" t="s">
        <v>3974</v>
      </c>
      <c r="M4184" s="2">
        <v>1461</v>
      </c>
      <c r="N4184" t="s">
        <v>4048</v>
      </c>
      <c r="O4184">
        <v>3</v>
      </c>
      <c r="P4184">
        <v>2</v>
      </c>
      <c r="Q4184">
        <v>1</v>
      </c>
      <c r="R4184" t="s">
        <v>5281</v>
      </c>
      <c r="S4184" t="s">
        <v>4558</v>
      </c>
      <c r="T4184" t="s">
        <v>4559</v>
      </c>
      <c r="U4184" t="s">
        <v>5631</v>
      </c>
      <c r="V4184" s="2">
        <v>399</v>
      </c>
      <c r="W4184" t="s">
        <v>4655</v>
      </c>
      <c r="X4184" s="2">
        <v>0</v>
      </c>
      <c r="Y4184">
        <v>20</v>
      </c>
      <c r="Z4184" t="s">
        <v>4561</v>
      </c>
      <c r="AA4184" s="3">
        <v>0.12899449467658999</v>
      </c>
      <c r="AB4184" t="s">
        <v>22294</v>
      </c>
      <c r="AC4184" t="s">
        <v>4562</v>
      </c>
      <c r="AD4184" t="s">
        <v>22295</v>
      </c>
      <c r="AE4184" t="s">
        <v>4655</v>
      </c>
      <c r="AF4184" t="s">
        <v>4563</v>
      </c>
      <c r="AG4184" t="s">
        <v>4564</v>
      </c>
      <c r="AH4184">
        <v>89506</v>
      </c>
      <c r="AI4184" t="s">
        <v>4903</v>
      </c>
      <c r="AJ4184" t="s">
        <v>4249</v>
      </c>
      <c r="AK4184" t="s">
        <v>22296</v>
      </c>
      <c r="AL4184" s="13" t="s">
        <v>1901</v>
      </c>
      <c r="AM4184">
        <v>1</v>
      </c>
      <c r="AN4184" s="15" t="s">
        <v>1448</v>
      </c>
    </row>
    <row r="4185" spans="1:40" x14ac:dyDescent="0.3">
      <c r="A4185" s="10" t="str">
        <f>HYPERLINK("http://www.washoecounty.gov/assessor/cama/?parid=090-293-05&amp;CardNumber=1","090-293-05")</f>
        <v>090-293-05</v>
      </c>
      <c r="B4185" t="s">
        <v>4655</v>
      </c>
      <c r="C4185" t="s">
        <v>22297</v>
      </c>
      <c r="D4185" s="1">
        <v>40189</v>
      </c>
      <c r="E4185" s="2">
        <v>130000</v>
      </c>
      <c r="F4185" t="s">
        <v>4567</v>
      </c>
      <c r="G4185" s="17" t="str">
        <f>HYPERLINK("https://www.washoecounty.gov/assessor/cama/?command=sales&amp;parid=09029305","3838117")</f>
        <v>3838117</v>
      </c>
      <c r="H4185" t="s">
        <v>22298</v>
      </c>
      <c r="I4185">
        <v>1994</v>
      </c>
      <c r="J4185">
        <v>1994</v>
      </c>
      <c r="K4185" t="s">
        <v>4554</v>
      </c>
      <c r="L4185" t="s">
        <v>3974</v>
      </c>
      <c r="M4185" s="2">
        <v>1461</v>
      </c>
      <c r="N4185" t="s">
        <v>4048</v>
      </c>
      <c r="O4185">
        <v>3</v>
      </c>
      <c r="P4185">
        <v>2</v>
      </c>
      <c r="Q4185">
        <v>1</v>
      </c>
      <c r="R4185" t="s">
        <v>4557</v>
      </c>
      <c r="S4185" t="s">
        <v>4558</v>
      </c>
      <c r="T4185" t="s">
        <v>4559</v>
      </c>
      <c r="U4185" t="s">
        <v>5631</v>
      </c>
      <c r="V4185" s="2">
        <v>399</v>
      </c>
      <c r="W4185" t="s">
        <v>4655</v>
      </c>
      <c r="X4185" s="2">
        <v>0</v>
      </c>
      <c r="Y4185">
        <v>20</v>
      </c>
      <c r="Z4185" t="s">
        <v>4561</v>
      </c>
      <c r="AA4185" s="3">
        <v>0.13298897445201899</v>
      </c>
      <c r="AB4185" t="s">
        <v>22299</v>
      </c>
      <c r="AC4185" t="s">
        <v>4562</v>
      </c>
      <c r="AD4185" t="s">
        <v>22297</v>
      </c>
      <c r="AE4185" t="s">
        <v>4655</v>
      </c>
      <c r="AF4185" t="s">
        <v>4563</v>
      </c>
      <c r="AG4185" t="s">
        <v>4564</v>
      </c>
      <c r="AH4185">
        <v>89506</v>
      </c>
      <c r="AI4185" t="s">
        <v>22300</v>
      </c>
      <c r="AJ4185" t="s">
        <v>4249</v>
      </c>
      <c r="AK4185" t="s">
        <v>22301</v>
      </c>
      <c r="AL4185" s="13" t="s">
        <v>1901</v>
      </c>
      <c r="AM4185">
        <v>1</v>
      </c>
      <c r="AN4185" s="15" t="s">
        <v>1448</v>
      </c>
    </row>
    <row r="4186" spans="1:40" x14ac:dyDescent="0.3">
      <c r="A4186" s="10" t="str">
        <f>HYPERLINK("http://www.washoecounty.gov/assessor/cama/?parid=090-303-02&amp;CardNumber=1","090-303-02")</f>
        <v>090-303-02</v>
      </c>
      <c r="B4186" t="s">
        <v>4655</v>
      </c>
      <c r="C4186" t="s">
        <v>22302</v>
      </c>
      <c r="D4186" s="1">
        <v>40515</v>
      </c>
      <c r="E4186" s="2">
        <v>140000</v>
      </c>
      <c r="F4186" t="s">
        <v>4553</v>
      </c>
      <c r="G4186" s="17" t="str">
        <f>HYPERLINK("https://www.washoecounty.gov/assessor/cama/?command=sales&amp;parid=09030302","3949303")</f>
        <v>3949303</v>
      </c>
      <c r="H4186" t="s">
        <v>22303</v>
      </c>
      <c r="I4186">
        <v>1996</v>
      </c>
      <c r="J4186">
        <v>1996</v>
      </c>
      <c r="K4186" t="s">
        <v>4554</v>
      </c>
      <c r="L4186" t="s">
        <v>3974</v>
      </c>
      <c r="M4186" s="2">
        <v>2017</v>
      </c>
      <c r="N4186" t="s">
        <v>4048</v>
      </c>
      <c r="O4186">
        <v>4</v>
      </c>
      <c r="P4186">
        <v>2</v>
      </c>
      <c r="Q4186">
        <v>1</v>
      </c>
      <c r="R4186" t="s">
        <v>4557</v>
      </c>
      <c r="S4186" t="s">
        <v>4558</v>
      </c>
      <c r="T4186" t="s">
        <v>4559</v>
      </c>
      <c r="U4186" t="s">
        <v>4560</v>
      </c>
      <c r="V4186" s="2">
        <v>580</v>
      </c>
      <c r="W4186" t="s">
        <v>4655</v>
      </c>
      <c r="X4186" s="2">
        <v>0</v>
      </c>
      <c r="Y4186">
        <v>20</v>
      </c>
      <c r="Z4186" t="s">
        <v>4561</v>
      </c>
      <c r="AA4186" s="3">
        <v>0.21000918745994601</v>
      </c>
      <c r="AB4186" t="s">
        <v>22304</v>
      </c>
      <c r="AC4186" t="s">
        <v>4562</v>
      </c>
      <c r="AD4186" t="s">
        <v>22305</v>
      </c>
      <c r="AE4186" t="s">
        <v>4655</v>
      </c>
      <c r="AF4186" t="s">
        <v>4563</v>
      </c>
      <c r="AG4186" t="s">
        <v>4564</v>
      </c>
      <c r="AH4186">
        <v>89506</v>
      </c>
      <c r="AI4186" t="s">
        <v>4903</v>
      </c>
      <c r="AJ4186" t="s">
        <v>22306</v>
      </c>
      <c r="AK4186" t="s">
        <v>22307</v>
      </c>
      <c r="AL4186" s="13" t="s">
        <v>1901</v>
      </c>
      <c r="AM4186">
        <v>1</v>
      </c>
      <c r="AN4186" s="15" t="s">
        <v>1448</v>
      </c>
    </row>
    <row r="4187" spans="1:40" x14ac:dyDescent="0.3">
      <c r="A4187" s="10" t="str">
        <f>HYPERLINK("http://www.washoecounty.gov/assessor/cama/?parid=090-314-03&amp;CardNumber=1","090-314-03")</f>
        <v>090-314-03</v>
      </c>
      <c r="B4187" t="s">
        <v>4655</v>
      </c>
      <c r="C4187" t="s">
        <v>22308</v>
      </c>
      <c r="D4187" s="1">
        <v>40234</v>
      </c>
      <c r="E4187" s="2">
        <v>129900</v>
      </c>
      <c r="F4187" t="s">
        <v>4553</v>
      </c>
      <c r="G4187" s="17" t="str">
        <f>HYPERLINK("https://www.washoecounty.gov/assessor/cama/?command=sales&amp;parid=09031403","3852927")</f>
        <v>3852927</v>
      </c>
      <c r="H4187" t="s">
        <v>22309</v>
      </c>
      <c r="I4187">
        <v>1996</v>
      </c>
      <c r="J4187">
        <v>1996</v>
      </c>
      <c r="K4187" t="s">
        <v>4554</v>
      </c>
      <c r="L4187" t="s">
        <v>3974</v>
      </c>
      <c r="M4187" s="2">
        <v>2016</v>
      </c>
      <c r="N4187" t="s">
        <v>4048</v>
      </c>
      <c r="O4187">
        <v>4</v>
      </c>
      <c r="P4187">
        <v>2</v>
      </c>
      <c r="Q4187">
        <v>1</v>
      </c>
      <c r="R4187" t="s">
        <v>5281</v>
      </c>
      <c r="S4187" t="s">
        <v>4558</v>
      </c>
      <c r="T4187" t="s">
        <v>4559</v>
      </c>
      <c r="U4187" t="s">
        <v>4560</v>
      </c>
      <c r="V4187" s="2">
        <v>580</v>
      </c>
      <c r="W4187" t="s">
        <v>4655</v>
      </c>
      <c r="X4187" s="2">
        <v>0</v>
      </c>
      <c r="Y4187">
        <v>20</v>
      </c>
      <c r="Z4187" t="s">
        <v>4561</v>
      </c>
      <c r="AA4187" s="3">
        <v>0.14499540627002699</v>
      </c>
      <c r="AB4187" t="s">
        <v>22310</v>
      </c>
      <c r="AC4187" t="s">
        <v>4562</v>
      </c>
      <c r="AD4187" t="s">
        <v>22308</v>
      </c>
      <c r="AE4187" t="s">
        <v>4655</v>
      </c>
      <c r="AF4187" t="s">
        <v>4563</v>
      </c>
      <c r="AG4187" t="s">
        <v>4564</v>
      </c>
      <c r="AH4187">
        <v>89506</v>
      </c>
      <c r="AI4187" t="s">
        <v>4655</v>
      </c>
      <c r="AJ4187" t="s">
        <v>22311</v>
      </c>
      <c r="AK4187" t="s">
        <v>22312</v>
      </c>
      <c r="AL4187" s="13" t="s">
        <v>1901</v>
      </c>
      <c r="AM4187" s="14">
        <v>1</v>
      </c>
      <c r="AN4187" s="15" t="s">
        <v>1448</v>
      </c>
    </row>
    <row r="4188" spans="1:40" x14ac:dyDescent="0.3">
      <c r="A4188" s="10" t="str">
        <f>HYPERLINK("http://www.washoecounty.gov/assessor/cama/?parid=090-314-05&amp;CardNumber=1","090-314-05")</f>
        <v>090-314-05</v>
      </c>
      <c r="B4188" t="s">
        <v>4655</v>
      </c>
      <c r="C4188" t="s">
        <v>22313</v>
      </c>
      <c r="D4188" s="1">
        <v>40540</v>
      </c>
      <c r="E4188" s="2">
        <v>139000</v>
      </c>
      <c r="F4188" t="s">
        <v>4553</v>
      </c>
      <c r="G4188" s="17" t="str">
        <f>HYPERLINK("https://www.washoecounty.gov/assessor/cama/?command=sales&amp;parid=09031405","3958169")</f>
        <v>3958169</v>
      </c>
      <c r="H4188" t="s">
        <v>22309</v>
      </c>
      <c r="I4188">
        <v>1996</v>
      </c>
      <c r="J4188">
        <v>1996</v>
      </c>
      <c r="K4188" t="s">
        <v>4554</v>
      </c>
      <c r="L4188" t="s">
        <v>4555</v>
      </c>
      <c r="M4188" s="2">
        <v>1715</v>
      </c>
      <c r="N4188" t="s">
        <v>4048</v>
      </c>
      <c r="O4188">
        <v>3</v>
      </c>
      <c r="P4188">
        <v>2</v>
      </c>
      <c r="Q4188">
        <v>0</v>
      </c>
      <c r="R4188" t="s">
        <v>5281</v>
      </c>
      <c r="S4188" t="s">
        <v>4558</v>
      </c>
      <c r="T4188" t="s">
        <v>4559</v>
      </c>
      <c r="U4188" t="s">
        <v>4560</v>
      </c>
      <c r="V4188" s="2">
        <v>558</v>
      </c>
      <c r="W4188" t="s">
        <v>4655</v>
      </c>
      <c r="X4188" s="2">
        <v>0</v>
      </c>
      <c r="Y4188">
        <v>20</v>
      </c>
      <c r="Z4188" t="s">
        <v>4561</v>
      </c>
      <c r="AA4188" s="3">
        <v>0.14499540627002699</v>
      </c>
      <c r="AB4188" t="s">
        <v>22314</v>
      </c>
      <c r="AC4188" t="s">
        <v>4562</v>
      </c>
      <c r="AD4188" t="s">
        <v>22315</v>
      </c>
      <c r="AE4188" t="s">
        <v>4655</v>
      </c>
      <c r="AF4188" t="s">
        <v>4563</v>
      </c>
      <c r="AG4188" t="s">
        <v>4564</v>
      </c>
      <c r="AH4188">
        <v>89506</v>
      </c>
      <c r="AI4188" t="s">
        <v>4903</v>
      </c>
      <c r="AJ4188" t="s">
        <v>22311</v>
      </c>
      <c r="AK4188" t="s">
        <v>22316</v>
      </c>
      <c r="AL4188" s="13" t="s">
        <v>1901</v>
      </c>
      <c r="AM4188">
        <v>1</v>
      </c>
      <c r="AN4188" s="15" t="s">
        <v>1448</v>
      </c>
    </row>
    <row r="4189" spans="1:40" x14ac:dyDescent="0.3">
      <c r="A4189" s="10" t="str">
        <f>HYPERLINK("http://www.washoecounty.gov/assessor/cama/?parid=090-323-12&amp;CardNumber=1","090-323-12")</f>
        <v>090-323-12</v>
      </c>
      <c r="B4189" t="s">
        <v>4655</v>
      </c>
      <c r="C4189" t="s">
        <v>22317</v>
      </c>
      <c r="D4189" s="1">
        <v>40319</v>
      </c>
      <c r="E4189" s="2">
        <v>124900</v>
      </c>
      <c r="F4189" t="s">
        <v>4567</v>
      </c>
      <c r="G4189" s="17" t="str">
        <f>HYPERLINK("https://www.washoecounty.gov/assessor/cama/?command=sales&amp;parid=09032312","3883705")</f>
        <v>3883705</v>
      </c>
      <c r="H4189" t="s">
        <v>1747</v>
      </c>
      <c r="I4189">
        <v>1995</v>
      </c>
      <c r="J4189">
        <v>1995</v>
      </c>
      <c r="K4189" t="s">
        <v>4554</v>
      </c>
      <c r="L4189" t="s">
        <v>3974</v>
      </c>
      <c r="M4189" s="2">
        <v>1461</v>
      </c>
      <c r="N4189" t="s">
        <v>4048</v>
      </c>
      <c r="O4189">
        <v>3</v>
      </c>
      <c r="P4189">
        <v>2</v>
      </c>
      <c r="Q4189">
        <v>1</v>
      </c>
      <c r="R4189" t="s">
        <v>5281</v>
      </c>
      <c r="S4189" t="s">
        <v>4558</v>
      </c>
      <c r="T4189" t="s">
        <v>4559</v>
      </c>
      <c r="U4189" t="s">
        <v>5631</v>
      </c>
      <c r="V4189" s="2">
        <v>399</v>
      </c>
      <c r="W4189" t="s">
        <v>4655</v>
      </c>
      <c r="X4189" s="2">
        <v>0</v>
      </c>
      <c r="Y4189">
        <v>20</v>
      </c>
      <c r="Z4189" t="s">
        <v>4561</v>
      </c>
      <c r="AA4189" s="3">
        <v>0.13599632680416099</v>
      </c>
      <c r="AB4189" t="s">
        <v>22318</v>
      </c>
      <c r="AC4189" t="s">
        <v>4575</v>
      </c>
      <c r="AD4189" t="s">
        <v>22317</v>
      </c>
      <c r="AE4189" t="s">
        <v>4655</v>
      </c>
      <c r="AF4189" t="s">
        <v>4563</v>
      </c>
      <c r="AG4189" t="s">
        <v>4564</v>
      </c>
      <c r="AH4189">
        <v>89506</v>
      </c>
      <c r="AI4189" t="s">
        <v>22319</v>
      </c>
      <c r="AJ4189" t="s">
        <v>2592</v>
      </c>
      <c r="AK4189" t="s">
        <v>22320</v>
      </c>
      <c r="AL4189" s="13" t="s">
        <v>1901</v>
      </c>
      <c r="AM4189" s="14">
        <v>1</v>
      </c>
      <c r="AN4189" s="15" t="s">
        <v>1448</v>
      </c>
    </row>
    <row r="4190" spans="1:40" x14ac:dyDescent="0.3">
      <c r="A4190" s="10" t="str">
        <f>HYPERLINK("http://www.washoecounty.gov/assessor/cama/?parid=090-332-12&amp;CardNumber=1","090-332-12")</f>
        <v>090-332-12</v>
      </c>
      <c r="B4190" t="s">
        <v>4655</v>
      </c>
      <c r="C4190" t="s">
        <v>22321</v>
      </c>
      <c r="D4190" s="1">
        <v>40529</v>
      </c>
      <c r="E4190" s="2">
        <v>125000</v>
      </c>
      <c r="F4190" t="s">
        <v>4553</v>
      </c>
      <c r="G4190" s="17" t="str">
        <f>HYPERLINK("https://www.washoecounty.gov/assessor/cama/?command=sales&amp;parid=09033212","3954964")</f>
        <v>3954964</v>
      </c>
      <c r="H4190" t="s">
        <v>4773</v>
      </c>
      <c r="I4190">
        <v>1995</v>
      </c>
      <c r="J4190">
        <v>1995</v>
      </c>
      <c r="K4190" t="s">
        <v>4554</v>
      </c>
      <c r="L4190" t="s">
        <v>3974</v>
      </c>
      <c r="M4190" s="2">
        <v>1461</v>
      </c>
      <c r="N4190" t="s">
        <v>4048</v>
      </c>
      <c r="O4190">
        <v>3</v>
      </c>
      <c r="P4190">
        <v>2</v>
      </c>
      <c r="Q4190">
        <v>1</v>
      </c>
      <c r="R4190" t="s">
        <v>4557</v>
      </c>
      <c r="S4190" t="s">
        <v>4558</v>
      </c>
      <c r="T4190" t="s">
        <v>4559</v>
      </c>
      <c r="U4190" t="s">
        <v>5631</v>
      </c>
      <c r="V4190" s="2">
        <v>399</v>
      </c>
      <c r="W4190" t="s">
        <v>4655</v>
      </c>
      <c r="X4190" s="2">
        <v>0</v>
      </c>
      <c r="Y4190">
        <v>20</v>
      </c>
      <c r="Z4190" t="s">
        <v>4561</v>
      </c>
      <c r="AA4190" s="3">
        <v>0.14400826394558</v>
      </c>
      <c r="AB4190" t="s">
        <v>22322</v>
      </c>
      <c r="AC4190" t="s">
        <v>4562</v>
      </c>
      <c r="AD4190" t="s">
        <v>22321</v>
      </c>
      <c r="AE4190" t="s">
        <v>4655</v>
      </c>
      <c r="AF4190" t="s">
        <v>4563</v>
      </c>
      <c r="AG4190" t="s">
        <v>4564</v>
      </c>
      <c r="AH4190">
        <v>89506</v>
      </c>
      <c r="AI4190" t="s">
        <v>4655</v>
      </c>
      <c r="AJ4190" t="s">
        <v>2592</v>
      </c>
      <c r="AK4190" t="s">
        <v>22323</v>
      </c>
      <c r="AL4190" s="13" t="s">
        <v>1901</v>
      </c>
      <c r="AM4190">
        <v>1</v>
      </c>
      <c r="AN4190" s="15" t="s">
        <v>1448</v>
      </c>
    </row>
    <row r="4191" spans="1:40" x14ac:dyDescent="0.3">
      <c r="A4191" s="10" t="str">
        <f>HYPERLINK("http://www.washoecounty.gov/assessor/cama/?parid=090-333-07&amp;CardNumber=1","090-333-07")</f>
        <v>090-333-07</v>
      </c>
      <c r="B4191" t="s">
        <v>4655</v>
      </c>
      <c r="C4191" t="s">
        <v>22324</v>
      </c>
      <c r="D4191" s="1">
        <v>40441</v>
      </c>
      <c r="E4191" s="2">
        <v>112900</v>
      </c>
      <c r="F4191" t="s">
        <v>4567</v>
      </c>
      <c r="G4191" s="17" t="str">
        <f>HYPERLINK("https://www.washoecounty.gov/assessor/cama/?command=sales&amp;parid=09033307","3924083")</f>
        <v>3924083</v>
      </c>
      <c r="H4191" t="s">
        <v>4773</v>
      </c>
      <c r="I4191">
        <v>1995</v>
      </c>
      <c r="J4191">
        <v>1995</v>
      </c>
      <c r="K4191" t="s">
        <v>4554</v>
      </c>
      <c r="L4191" t="s">
        <v>4555</v>
      </c>
      <c r="M4191" s="2">
        <v>1254</v>
      </c>
      <c r="N4191" t="s">
        <v>4048</v>
      </c>
      <c r="O4191">
        <v>3</v>
      </c>
      <c r="P4191">
        <v>2</v>
      </c>
      <c r="Q4191">
        <v>0</v>
      </c>
      <c r="R4191" t="s">
        <v>4557</v>
      </c>
      <c r="S4191" t="s">
        <v>4558</v>
      </c>
      <c r="T4191" t="s">
        <v>4559</v>
      </c>
      <c r="U4191" t="s">
        <v>4560</v>
      </c>
      <c r="V4191" s="2">
        <v>400</v>
      </c>
      <c r="W4191" t="s">
        <v>4655</v>
      </c>
      <c r="X4191" s="2">
        <v>0</v>
      </c>
      <c r="Y4191">
        <v>20</v>
      </c>
      <c r="Z4191" t="s">
        <v>4561</v>
      </c>
      <c r="AA4191" s="3">
        <v>0.119008265435696</v>
      </c>
      <c r="AB4191" t="s">
        <v>22325</v>
      </c>
      <c r="AC4191" t="s">
        <v>4562</v>
      </c>
      <c r="AD4191" t="s">
        <v>22324</v>
      </c>
      <c r="AE4191" t="s">
        <v>4655</v>
      </c>
      <c r="AF4191" t="s">
        <v>4563</v>
      </c>
      <c r="AG4191" t="s">
        <v>4564</v>
      </c>
      <c r="AH4191">
        <v>89506</v>
      </c>
      <c r="AI4191" t="s">
        <v>22326</v>
      </c>
      <c r="AJ4191" t="s">
        <v>2592</v>
      </c>
      <c r="AK4191" t="s">
        <v>22327</v>
      </c>
      <c r="AL4191" s="13" t="s">
        <v>1901</v>
      </c>
      <c r="AM4191" s="14">
        <v>1</v>
      </c>
      <c r="AN4191" s="15" t="s">
        <v>1448</v>
      </c>
    </row>
    <row r="4192" spans="1:40" x14ac:dyDescent="0.3">
      <c r="A4192" s="10" t="str">
        <f>HYPERLINK("http://www.washoecounty.gov/assessor/cama/?parid=090-341-02&amp;CardNumber=1","090-341-02")</f>
        <v>090-341-02</v>
      </c>
      <c r="B4192" t="s">
        <v>4655</v>
      </c>
      <c r="C4192" t="s">
        <v>22328</v>
      </c>
      <c r="D4192" s="1">
        <v>40515</v>
      </c>
      <c r="E4192" s="2">
        <v>119000</v>
      </c>
      <c r="F4192" t="s">
        <v>4553</v>
      </c>
      <c r="G4192" s="17" t="str">
        <f>HYPERLINK("https://www.washoecounty.gov/assessor/cama/?command=sales&amp;parid=09034102","3949396")</f>
        <v>3949396</v>
      </c>
      <c r="H4192" t="s">
        <v>2591</v>
      </c>
      <c r="I4192">
        <v>1997</v>
      </c>
      <c r="J4192">
        <v>1997</v>
      </c>
      <c r="K4192" t="s">
        <v>4554</v>
      </c>
      <c r="L4192" t="s">
        <v>4555</v>
      </c>
      <c r="M4192" s="2">
        <v>1254</v>
      </c>
      <c r="N4192" t="s">
        <v>4048</v>
      </c>
      <c r="O4192">
        <v>3</v>
      </c>
      <c r="P4192">
        <v>2</v>
      </c>
      <c r="Q4192">
        <v>0</v>
      </c>
      <c r="R4192" t="s">
        <v>4557</v>
      </c>
      <c r="S4192" t="s">
        <v>4558</v>
      </c>
      <c r="T4192" t="s">
        <v>4559</v>
      </c>
      <c r="U4192" t="s">
        <v>4560</v>
      </c>
      <c r="V4192" s="2">
        <v>400</v>
      </c>
      <c r="W4192" t="s">
        <v>4655</v>
      </c>
      <c r="X4192" s="2">
        <v>0</v>
      </c>
      <c r="Y4192">
        <v>20</v>
      </c>
      <c r="Z4192" t="s">
        <v>4561</v>
      </c>
      <c r="AA4192" s="3">
        <v>0.13999082148075101</v>
      </c>
      <c r="AB4192" t="s">
        <v>22329</v>
      </c>
      <c r="AC4192" t="s">
        <v>4562</v>
      </c>
      <c r="AD4192" t="s">
        <v>22328</v>
      </c>
      <c r="AE4192" t="s">
        <v>4655</v>
      </c>
      <c r="AF4192" t="s">
        <v>4563</v>
      </c>
      <c r="AG4192" t="s">
        <v>4564</v>
      </c>
      <c r="AH4192">
        <v>89506</v>
      </c>
      <c r="AI4192" t="s">
        <v>4565</v>
      </c>
      <c r="AJ4192" t="s">
        <v>2592</v>
      </c>
      <c r="AK4192" t="s">
        <v>22330</v>
      </c>
      <c r="AL4192" s="13" t="s">
        <v>1901</v>
      </c>
      <c r="AM4192">
        <v>1</v>
      </c>
      <c r="AN4192" s="15" t="s">
        <v>1448</v>
      </c>
    </row>
    <row r="4193" spans="1:40" x14ac:dyDescent="0.3">
      <c r="A4193" s="10" t="str">
        <f>HYPERLINK("http://www.washoecounty.gov/assessor/cama/?parid=090-341-12&amp;CardNumber=1","090-341-12")</f>
        <v>090-341-12</v>
      </c>
      <c r="B4193" t="s">
        <v>4655</v>
      </c>
      <c r="C4193" t="s">
        <v>22331</v>
      </c>
      <c r="D4193" s="1">
        <v>40309</v>
      </c>
      <c r="E4193" s="2">
        <v>100000</v>
      </c>
      <c r="F4193" t="s">
        <v>4567</v>
      </c>
      <c r="G4193" s="17" t="str">
        <f>HYPERLINK("https://www.washoecounty.gov/assessor/cama/?command=sales&amp;parid=09034112","3880361")</f>
        <v>3880361</v>
      </c>
      <c r="H4193" t="s">
        <v>2591</v>
      </c>
      <c r="I4193">
        <v>1997</v>
      </c>
      <c r="J4193">
        <v>1997</v>
      </c>
      <c r="K4193" t="s">
        <v>4554</v>
      </c>
      <c r="L4193" t="s">
        <v>4555</v>
      </c>
      <c r="M4193" s="2">
        <v>1399</v>
      </c>
      <c r="N4193" t="s">
        <v>4048</v>
      </c>
      <c r="O4193">
        <v>4</v>
      </c>
      <c r="P4193">
        <v>2</v>
      </c>
      <c r="Q4193">
        <v>0</v>
      </c>
      <c r="R4193" t="s">
        <v>4557</v>
      </c>
      <c r="S4193" t="s">
        <v>4558</v>
      </c>
      <c r="T4193" t="s">
        <v>4559</v>
      </c>
      <c r="U4193" t="s">
        <v>4560</v>
      </c>
      <c r="V4193" s="2">
        <v>420</v>
      </c>
      <c r="W4193" t="s">
        <v>4655</v>
      </c>
      <c r="X4193" s="2">
        <v>0</v>
      </c>
      <c r="Y4193">
        <v>20</v>
      </c>
      <c r="Z4193" t="s">
        <v>4561</v>
      </c>
      <c r="AA4193" s="3">
        <v>0.128007352352142</v>
      </c>
      <c r="AB4193" t="s">
        <v>22332</v>
      </c>
      <c r="AC4193" t="s">
        <v>4562</v>
      </c>
      <c r="AD4193" t="s">
        <v>22331</v>
      </c>
      <c r="AE4193" t="s">
        <v>4655</v>
      </c>
      <c r="AF4193" t="s">
        <v>4563</v>
      </c>
      <c r="AG4193" t="s">
        <v>4564</v>
      </c>
      <c r="AH4193">
        <v>89506</v>
      </c>
      <c r="AI4193" t="s">
        <v>22333</v>
      </c>
      <c r="AJ4193" t="s">
        <v>2592</v>
      </c>
      <c r="AK4193" t="s">
        <v>22334</v>
      </c>
      <c r="AL4193" s="13" t="s">
        <v>1901</v>
      </c>
      <c r="AM4193" s="14">
        <v>1</v>
      </c>
      <c r="AN4193" s="15" t="s">
        <v>1448</v>
      </c>
    </row>
    <row r="4194" spans="1:40" x14ac:dyDescent="0.3">
      <c r="A4194" s="10" t="str">
        <f>HYPERLINK("http://www.washoecounty.gov/assessor/cama/?parid=090-341-13&amp;CardNumber=1","090-341-13")</f>
        <v>090-341-13</v>
      </c>
      <c r="B4194" t="s">
        <v>4655</v>
      </c>
      <c r="C4194" t="s">
        <v>22335</v>
      </c>
      <c r="D4194" s="1">
        <v>40318</v>
      </c>
      <c r="E4194" s="2">
        <v>93500</v>
      </c>
      <c r="F4194" t="s">
        <v>4553</v>
      </c>
      <c r="G4194" s="17" t="str">
        <f>HYPERLINK("https://www.washoecounty.gov/assessor/cama/?command=sales&amp;parid=09034113","3883410")</f>
        <v>3883410</v>
      </c>
      <c r="H4194" t="s">
        <v>2591</v>
      </c>
      <c r="I4194">
        <v>1997</v>
      </c>
      <c r="J4194">
        <v>1997</v>
      </c>
      <c r="K4194" t="s">
        <v>4554</v>
      </c>
      <c r="L4194" t="s">
        <v>4555</v>
      </c>
      <c r="M4194" s="2">
        <v>1020</v>
      </c>
      <c r="N4194" t="s">
        <v>4048</v>
      </c>
      <c r="O4194">
        <v>3</v>
      </c>
      <c r="P4194">
        <v>2</v>
      </c>
      <c r="Q4194">
        <v>0</v>
      </c>
      <c r="R4194" t="s">
        <v>5281</v>
      </c>
      <c r="S4194" t="s">
        <v>4558</v>
      </c>
      <c r="T4194" t="s">
        <v>4559</v>
      </c>
      <c r="U4194" t="s">
        <v>4560</v>
      </c>
      <c r="V4194" s="2">
        <v>400</v>
      </c>
      <c r="W4194" t="s">
        <v>4655</v>
      </c>
      <c r="X4194" s="2">
        <v>0</v>
      </c>
      <c r="Y4194">
        <v>20</v>
      </c>
      <c r="Z4194" t="s">
        <v>4561</v>
      </c>
      <c r="AA4194" s="3">
        <v>0.128007352352142</v>
      </c>
      <c r="AB4194" t="s">
        <v>22336</v>
      </c>
      <c r="AC4194" t="s">
        <v>4562</v>
      </c>
      <c r="AD4194" t="s">
        <v>22335</v>
      </c>
      <c r="AE4194" t="s">
        <v>4655</v>
      </c>
      <c r="AF4194" t="s">
        <v>4563</v>
      </c>
      <c r="AG4194" t="s">
        <v>4564</v>
      </c>
      <c r="AH4194">
        <v>89506</v>
      </c>
      <c r="AI4194" t="s">
        <v>4045</v>
      </c>
      <c r="AJ4194" t="s">
        <v>2592</v>
      </c>
      <c r="AK4194" t="s">
        <v>22337</v>
      </c>
      <c r="AL4194" s="13" t="s">
        <v>1901</v>
      </c>
      <c r="AM4194" s="14">
        <v>1</v>
      </c>
      <c r="AN4194" s="15" t="s">
        <v>1448</v>
      </c>
    </row>
    <row r="4195" spans="1:40" x14ac:dyDescent="0.3">
      <c r="A4195" s="10" t="str">
        <f>HYPERLINK("http://www.washoecounty.gov/assessor/cama/?parid=090-341-21&amp;CardNumber=1","090-341-21")</f>
        <v>090-341-21</v>
      </c>
      <c r="B4195" t="s">
        <v>4655</v>
      </c>
      <c r="C4195" t="s">
        <v>22338</v>
      </c>
      <c r="D4195" s="1">
        <v>40410</v>
      </c>
      <c r="E4195" s="2">
        <v>107000</v>
      </c>
      <c r="F4195" t="s">
        <v>4553</v>
      </c>
      <c r="G4195" s="17" t="str">
        <f>HYPERLINK("https://www.washoecounty.gov/assessor/cama/?command=sales&amp;parid=09034121","3914147")</f>
        <v>3914147</v>
      </c>
      <c r="H4195" t="s">
        <v>2591</v>
      </c>
      <c r="I4195">
        <v>1996</v>
      </c>
      <c r="J4195">
        <v>1996</v>
      </c>
      <c r="K4195" t="s">
        <v>4554</v>
      </c>
      <c r="L4195" t="s">
        <v>4555</v>
      </c>
      <c r="M4195" s="2">
        <v>1254</v>
      </c>
      <c r="N4195" t="s">
        <v>4048</v>
      </c>
      <c r="O4195">
        <v>3</v>
      </c>
      <c r="P4195">
        <v>2</v>
      </c>
      <c r="Q4195">
        <v>0</v>
      </c>
      <c r="R4195" t="s">
        <v>4557</v>
      </c>
      <c r="S4195" t="s">
        <v>4558</v>
      </c>
      <c r="T4195" t="s">
        <v>4559</v>
      </c>
      <c r="U4195" t="s">
        <v>4560</v>
      </c>
      <c r="V4195" s="2">
        <v>400</v>
      </c>
      <c r="W4195" t="s">
        <v>4655</v>
      </c>
      <c r="X4195" s="2">
        <v>0</v>
      </c>
      <c r="Y4195">
        <v>20</v>
      </c>
      <c r="Z4195" t="s">
        <v>4561</v>
      </c>
      <c r="AA4195" s="3">
        <v>0.148002758622169</v>
      </c>
      <c r="AB4195" t="s">
        <v>22339</v>
      </c>
      <c r="AC4195" t="s">
        <v>4562</v>
      </c>
      <c r="AD4195" t="s">
        <v>22338</v>
      </c>
      <c r="AE4195" t="s">
        <v>4655</v>
      </c>
      <c r="AF4195" t="s">
        <v>4563</v>
      </c>
      <c r="AG4195" t="s">
        <v>4564</v>
      </c>
      <c r="AH4195">
        <v>89506</v>
      </c>
      <c r="AI4195" t="s">
        <v>4585</v>
      </c>
      <c r="AJ4195" t="s">
        <v>2592</v>
      </c>
      <c r="AK4195" t="s">
        <v>22340</v>
      </c>
      <c r="AL4195" s="13" t="s">
        <v>1901</v>
      </c>
      <c r="AM4195" s="14">
        <v>1</v>
      </c>
      <c r="AN4195" s="15" t="s">
        <v>1448</v>
      </c>
    </row>
    <row r="4196" spans="1:40" x14ac:dyDescent="0.3">
      <c r="A4196" s="10" t="str">
        <f>HYPERLINK("http://www.washoecounty.gov/assessor/cama/?parid=090-342-02&amp;CardNumber=1","090-342-02")</f>
        <v>090-342-02</v>
      </c>
      <c r="B4196" t="s">
        <v>4655</v>
      </c>
      <c r="C4196" t="s">
        <v>22341</v>
      </c>
      <c r="D4196" s="1">
        <v>40367</v>
      </c>
      <c r="E4196" s="2">
        <v>125900</v>
      </c>
      <c r="F4196" t="s">
        <v>4567</v>
      </c>
      <c r="G4196" s="17" t="str">
        <f>HYPERLINK("https://www.washoecounty.gov/assessor/cama/?command=sales&amp;parid=09034202","3899602")</f>
        <v>3899602</v>
      </c>
      <c r="H4196" t="s">
        <v>2591</v>
      </c>
      <c r="I4196">
        <v>1996</v>
      </c>
      <c r="J4196">
        <v>1996</v>
      </c>
      <c r="K4196" t="s">
        <v>4554</v>
      </c>
      <c r="L4196" t="s">
        <v>4555</v>
      </c>
      <c r="M4196" s="2">
        <v>1254</v>
      </c>
      <c r="N4196" t="s">
        <v>4048</v>
      </c>
      <c r="O4196">
        <v>3</v>
      </c>
      <c r="P4196">
        <v>2</v>
      </c>
      <c r="Q4196">
        <v>0</v>
      </c>
      <c r="R4196" t="s">
        <v>4557</v>
      </c>
      <c r="S4196" t="s">
        <v>4558</v>
      </c>
      <c r="T4196" t="s">
        <v>4559</v>
      </c>
      <c r="U4196" t="s">
        <v>4560</v>
      </c>
      <c r="V4196" s="2">
        <v>400</v>
      </c>
      <c r="W4196" t="s">
        <v>4655</v>
      </c>
      <c r="X4196" s="2">
        <v>0</v>
      </c>
      <c r="Y4196">
        <v>20</v>
      </c>
      <c r="Z4196" t="s">
        <v>4561</v>
      </c>
      <c r="AA4196" s="3">
        <v>0.114990815520287</v>
      </c>
      <c r="AB4196" t="s">
        <v>22342</v>
      </c>
      <c r="AC4196" t="s">
        <v>4562</v>
      </c>
      <c r="AD4196" t="s">
        <v>22341</v>
      </c>
      <c r="AE4196" t="s">
        <v>4655</v>
      </c>
      <c r="AF4196" t="s">
        <v>4563</v>
      </c>
      <c r="AG4196" t="s">
        <v>4564</v>
      </c>
      <c r="AH4196">
        <v>89506</v>
      </c>
      <c r="AI4196" t="s">
        <v>22343</v>
      </c>
      <c r="AJ4196" t="s">
        <v>2592</v>
      </c>
      <c r="AK4196" t="s">
        <v>22344</v>
      </c>
      <c r="AL4196" s="13" t="s">
        <v>1901</v>
      </c>
      <c r="AM4196" s="14">
        <v>1</v>
      </c>
      <c r="AN4196" s="15" t="s">
        <v>1448</v>
      </c>
    </row>
    <row r="4197" spans="1:40" x14ac:dyDescent="0.3">
      <c r="A4197" s="10" t="str">
        <f>HYPERLINK("http://www.washoecounty.gov/assessor/cama/?parid=090-342-09&amp;CardNumber=1","090-342-09")</f>
        <v>090-342-09</v>
      </c>
      <c r="B4197" t="s">
        <v>4655</v>
      </c>
      <c r="C4197" t="s">
        <v>22345</v>
      </c>
      <c r="D4197" s="1">
        <v>40494</v>
      </c>
      <c r="E4197" s="2">
        <v>85000</v>
      </c>
      <c r="F4197" t="s">
        <v>4553</v>
      </c>
      <c r="G4197" s="17" t="str">
        <f>HYPERLINK("https://www.washoecounty.gov/assessor/cama/?command=sales&amp;parid=09034209","3942696")</f>
        <v>3942696</v>
      </c>
      <c r="H4197" t="s">
        <v>2591</v>
      </c>
      <c r="I4197">
        <v>1996</v>
      </c>
      <c r="J4197">
        <v>1996</v>
      </c>
      <c r="K4197" t="s">
        <v>4554</v>
      </c>
      <c r="L4197" t="s">
        <v>4555</v>
      </c>
      <c r="M4197" s="2">
        <v>1254</v>
      </c>
      <c r="N4197" t="s">
        <v>4048</v>
      </c>
      <c r="O4197">
        <v>3</v>
      </c>
      <c r="P4197">
        <v>2</v>
      </c>
      <c r="Q4197">
        <v>0</v>
      </c>
      <c r="R4197" t="s">
        <v>4557</v>
      </c>
      <c r="S4197" t="s">
        <v>4558</v>
      </c>
      <c r="T4197" t="s">
        <v>4559</v>
      </c>
      <c r="U4197" t="s">
        <v>4560</v>
      </c>
      <c r="V4197" s="2">
        <v>400</v>
      </c>
      <c r="W4197" t="s">
        <v>4655</v>
      </c>
      <c r="X4197" s="2">
        <v>0</v>
      </c>
      <c r="Y4197">
        <v>20</v>
      </c>
      <c r="Z4197" t="s">
        <v>4561</v>
      </c>
      <c r="AA4197" s="3">
        <v>0.12100551277399101</v>
      </c>
      <c r="AB4197" t="s">
        <v>22346</v>
      </c>
      <c r="AC4197" t="s">
        <v>4562</v>
      </c>
      <c r="AD4197" t="s">
        <v>22347</v>
      </c>
      <c r="AE4197" t="s">
        <v>4655</v>
      </c>
      <c r="AF4197" t="s">
        <v>4563</v>
      </c>
      <c r="AG4197" t="s">
        <v>4564</v>
      </c>
      <c r="AH4197">
        <v>89506</v>
      </c>
      <c r="AI4197" t="s">
        <v>4503</v>
      </c>
      <c r="AJ4197" t="s">
        <v>2592</v>
      </c>
      <c r="AK4197" t="s">
        <v>22348</v>
      </c>
      <c r="AL4197" s="13" t="s">
        <v>1901</v>
      </c>
      <c r="AM4197">
        <v>1</v>
      </c>
      <c r="AN4197" s="15" t="s">
        <v>1448</v>
      </c>
    </row>
    <row r="4198" spans="1:40" x14ac:dyDescent="0.3">
      <c r="A4198" s="10" t="str">
        <f>HYPERLINK("http://www.washoecounty.gov/assessor/cama/?parid=090-352-05&amp;CardNumber=1","090-352-05")</f>
        <v>090-352-05</v>
      </c>
      <c r="B4198" t="s">
        <v>4655</v>
      </c>
      <c r="C4198" t="s">
        <v>22349</v>
      </c>
      <c r="D4198" s="1">
        <v>40270</v>
      </c>
      <c r="E4198" s="2">
        <v>149000</v>
      </c>
      <c r="F4198" t="s">
        <v>4567</v>
      </c>
      <c r="G4198" s="17" t="str">
        <f>HYPERLINK("https://www.washoecounty.gov/assessor/cama/?command=sales&amp;parid=09035205","3867274")</f>
        <v>3867274</v>
      </c>
      <c r="H4198" t="s">
        <v>4400</v>
      </c>
      <c r="I4198">
        <v>1997</v>
      </c>
      <c r="J4198">
        <v>1997</v>
      </c>
      <c r="K4198" t="s">
        <v>4554</v>
      </c>
      <c r="L4198" t="s">
        <v>4555</v>
      </c>
      <c r="M4198" s="2">
        <v>1715</v>
      </c>
      <c r="N4198" t="s">
        <v>4048</v>
      </c>
      <c r="O4198">
        <v>3</v>
      </c>
      <c r="P4198">
        <v>2</v>
      </c>
      <c r="Q4198">
        <v>0</v>
      </c>
      <c r="R4198" t="s">
        <v>4557</v>
      </c>
      <c r="S4198" t="s">
        <v>4558</v>
      </c>
      <c r="T4198" t="s">
        <v>4559</v>
      </c>
      <c r="U4198" t="s">
        <v>4560</v>
      </c>
      <c r="V4198" s="2">
        <v>558</v>
      </c>
      <c r="W4198" t="s">
        <v>4655</v>
      </c>
      <c r="X4198" s="2">
        <v>0</v>
      </c>
      <c r="Y4198">
        <v>20</v>
      </c>
      <c r="Z4198" t="s">
        <v>4561</v>
      </c>
      <c r="AA4198" s="3">
        <v>0.25399449467658997</v>
      </c>
      <c r="AB4198" t="s">
        <v>22350</v>
      </c>
      <c r="AC4198" t="s">
        <v>4562</v>
      </c>
      <c r="AD4198" t="s">
        <v>22349</v>
      </c>
      <c r="AE4198" t="s">
        <v>4655</v>
      </c>
      <c r="AF4198" t="s">
        <v>4563</v>
      </c>
      <c r="AG4198" t="s">
        <v>4564</v>
      </c>
      <c r="AH4198">
        <v>89506</v>
      </c>
      <c r="AI4198" t="s">
        <v>22351</v>
      </c>
      <c r="AJ4198" t="s">
        <v>4401</v>
      </c>
      <c r="AK4198" t="s">
        <v>22352</v>
      </c>
      <c r="AL4198" s="13" t="s">
        <v>1901</v>
      </c>
      <c r="AM4198" s="14">
        <v>1</v>
      </c>
      <c r="AN4198" s="15" t="s">
        <v>1448</v>
      </c>
    </row>
    <row r="4199" spans="1:40" x14ac:dyDescent="0.3">
      <c r="A4199" s="10" t="str">
        <f>HYPERLINK("http://www.washoecounty.gov/assessor/cama/?parid=090-353-03&amp;CardNumber=1","090-353-03")</f>
        <v>090-353-03</v>
      </c>
      <c r="B4199" t="s">
        <v>4655</v>
      </c>
      <c r="C4199" t="s">
        <v>22353</v>
      </c>
      <c r="D4199" s="1">
        <v>40245</v>
      </c>
      <c r="E4199" s="2">
        <v>360000</v>
      </c>
      <c r="F4199" t="s">
        <v>4567</v>
      </c>
      <c r="G4199" s="17" t="str">
        <f>HYPERLINK("https://www.washoecounty.gov/assessor/cama/?command=sales&amp;parid=09035303","3856987")</f>
        <v>3856987</v>
      </c>
      <c r="H4199" t="s">
        <v>4400</v>
      </c>
      <c r="I4199">
        <v>1997</v>
      </c>
      <c r="J4199">
        <v>1997</v>
      </c>
      <c r="K4199" t="s">
        <v>4554</v>
      </c>
      <c r="L4199" t="s">
        <v>4555</v>
      </c>
      <c r="M4199" s="2">
        <v>1715</v>
      </c>
      <c r="N4199" t="s">
        <v>4048</v>
      </c>
      <c r="O4199">
        <v>3</v>
      </c>
      <c r="P4199">
        <v>2</v>
      </c>
      <c r="Q4199">
        <v>0</v>
      </c>
      <c r="R4199" t="s">
        <v>4557</v>
      </c>
      <c r="S4199" t="s">
        <v>4558</v>
      </c>
      <c r="T4199" t="s">
        <v>4559</v>
      </c>
      <c r="U4199" t="s">
        <v>4560</v>
      </c>
      <c r="V4199" s="2">
        <v>557</v>
      </c>
      <c r="W4199" t="s">
        <v>4655</v>
      </c>
      <c r="X4199" s="2">
        <v>0</v>
      </c>
      <c r="Y4199">
        <v>20</v>
      </c>
      <c r="Z4199" t="s">
        <v>4561</v>
      </c>
      <c r="AA4199" s="3">
        <v>0.16299356520175901</v>
      </c>
      <c r="AB4199" t="s">
        <v>22354</v>
      </c>
      <c r="AC4199" t="s">
        <v>4562</v>
      </c>
      <c r="AD4199" t="s">
        <v>22355</v>
      </c>
      <c r="AE4199" t="s">
        <v>4655</v>
      </c>
      <c r="AF4199" t="s">
        <v>5438</v>
      </c>
      <c r="AG4199" t="s">
        <v>5439</v>
      </c>
      <c r="AH4199">
        <v>52807</v>
      </c>
      <c r="AI4199" t="s">
        <v>22356</v>
      </c>
      <c r="AJ4199" t="s">
        <v>4401</v>
      </c>
      <c r="AK4199" t="s">
        <v>22357</v>
      </c>
      <c r="AL4199" s="13" t="s">
        <v>1901</v>
      </c>
      <c r="AM4199" s="14">
        <v>1</v>
      </c>
      <c r="AN4199" s="15" t="s">
        <v>1448</v>
      </c>
    </row>
    <row r="4200" spans="1:40" x14ac:dyDescent="0.3">
      <c r="A4200" s="10" t="str">
        <f>HYPERLINK("http://www.washoecounty.gov/assessor/cama/?parid=090-353-04&amp;CardNumber=1","090-353-04")</f>
        <v>090-353-04</v>
      </c>
      <c r="B4200" t="s">
        <v>4655</v>
      </c>
      <c r="C4200" t="s">
        <v>22358</v>
      </c>
      <c r="D4200" s="1">
        <v>40239</v>
      </c>
      <c r="E4200" s="2">
        <v>125000</v>
      </c>
      <c r="F4200" t="s">
        <v>4553</v>
      </c>
      <c r="G4200" s="17" t="str">
        <f>HYPERLINK("https://www.washoecounty.gov/assessor/cama/?command=sales&amp;parid=09035304","3854718")</f>
        <v>3854718</v>
      </c>
      <c r="H4200" t="s">
        <v>4400</v>
      </c>
      <c r="I4200">
        <v>1997</v>
      </c>
      <c r="J4200">
        <v>1997</v>
      </c>
      <c r="K4200" t="s">
        <v>4554</v>
      </c>
      <c r="L4200" t="s">
        <v>4555</v>
      </c>
      <c r="M4200" s="2">
        <v>1404</v>
      </c>
      <c r="N4200" t="s">
        <v>4048</v>
      </c>
      <c r="O4200">
        <v>3</v>
      </c>
      <c r="P4200">
        <v>2</v>
      </c>
      <c r="Q4200">
        <v>0</v>
      </c>
      <c r="R4200" t="s">
        <v>5281</v>
      </c>
      <c r="S4200" t="s">
        <v>4558</v>
      </c>
      <c r="T4200" t="s">
        <v>4559</v>
      </c>
      <c r="U4200" t="s">
        <v>4560</v>
      </c>
      <c r="V4200" s="2">
        <v>556</v>
      </c>
      <c r="W4200" t="s">
        <v>4655</v>
      </c>
      <c r="X4200" s="2">
        <v>0</v>
      </c>
      <c r="Y4200">
        <v>20</v>
      </c>
      <c r="Z4200" t="s">
        <v>4561</v>
      </c>
      <c r="AA4200" s="3">
        <v>0.16799816489219666</v>
      </c>
      <c r="AB4200" t="s">
        <v>22359</v>
      </c>
      <c r="AC4200" t="s">
        <v>4562</v>
      </c>
      <c r="AD4200" t="s">
        <v>22358</v>
      </c>
      <c r="AE4200" t="s">
        <v>4655</v>
      </c>
      <c r="AF4200" t="s">
        <v>4563</v>
      </c>
      <c r="AG4200" t="s">
        <v>4564</v>
      </c>
      <c r="AH4200">
        <v>89506</v>
      </c>
      <c r="AI4200" t="s">
        <v>4848</v>
      </c>
      <c r="AJ4200" t="s">
        <v>4401</v>
      </c>
      <c r="AK4200" t="s">
        <v>22360</v>
      </c>
      <c r="AL4200" s="13" t="s">
        <v>1901</v>
      </c>
      <c r="AM4200" s="14">
        <v>1</v>
      </c>
      <c r="AN4200" s="15" t="s">
        <v>1448</v>
      </c>
    </row>
    <row r="4201" spans="1:40" x14ac:dyDescent="0.3">
      <c r="A4201" s="10" t="str">
        <f>HYPERLINK("http://www.washoecounty.gov/assessor/cama/?parid=090-361-09&amp;CardNumber=1","090-361-09")</f>
        <v>090-361-09</v>
      </c>
      <c r="B4201" t="s">
        <v>4655</v>
      </c>
      <c r="C4201" t="s">
        <v>22361</v>
      </c>
      <c r="D4201" s="1">
        <v>40263</v>
      </c>
      <c r="E4201" s="2">
        <v>125000</v>
      </c>
      <c r="F4201" t="s">
        <v>4553</v>
      </c>
      <c r="G4201" s="17" t="str">
        <f>HYPERLINK("https://www.washoecounty.gov/assessor/cama/?command=sales&amp;parid=09036109","3864393")</f>
        <v>3864393</v>
      </c>
      <c r="H4201" t="s">
        <v>2749</v>
      </c>
      <c r="I4201">
        <v>1998</v>
      </c>
      <c r="J4201">
        <v>1998</v>
      </c>
      <c r="K4201" t="s">
        <v>4554</v>
      </c>
      <c r="L4201" t="s">
        <v>3974</v>
      </c>
      <c r="M4201" s="2">
        <v>1461</v>
      </c>
      <c r="N4201" t="s">
        <v>4048</v>
      </c>
      <c r="O4201">
        <v>3</v>
      </c>
      <c r="P4201">
        <v>2</v>
      </c>
      <c r="Q4201">
        <v>1</v>
      </c>
      <c r="R4201" t="s">
        <v>5281</v>
      </c>
      <c r="S4201" t="s">
        <v>4558</v>
      </c>
      <c r="T4201" t="s">
        <v>4559</v>
      </c>
      <c r="U4201" t="s">
        <v>5631</v>
      </c>
      <c r="V4201" s="2">
        <v>399</v>
      </c>
      <c r="W4201" t="s">
        <v>4655</v>
      </c>
      <c r="X4201" s="2">
        <v>0</v>
      </c>
      <c r="Y4201">
        <v>20</v>
      </c>
      <c r="Z4201" t="s">
        <v>4561</v>
      </c>
      <c r="AA4201" s="3">
        <v>0.141000911593437</v>
      </c>
      <c r="AB4201" t="s">
        <v>22362</v>
      </c>
      <c r="AC4201" t="s">
        <v>4575</v>
      </c>
      <c r="AD4201" t="s">
        <v>22361</v>
      </c>
      <c r="AE4201" t="s">
        <v>4655</v>
      </c>
      <c r="AF4201" t="s">
        <v>4563</v>
      </c>
      <c r="AG4201" t="s">
        <v>4564</v>
      </c>
      <c r="AH4201">
        <v>89506</v>
      </c>
      <c r="AI4201" t="s">
        <v>4585</v>
      </c>
      <c r="AJ4201" t="s">
        <v>2750</v>
      </c>
      <c r="AK4201" t="s">
        <v>22363</v>
      </c>
      <c r="AL4201" s="13" t="s">
        <v>1901</v>
      </c>
      <c r="AM4201" s="14">
        <v>1</v>
      </c>
      <c r="AN4201" s="15" t="s">
        <v>1448</v>
      </c>
    </row>
    <row r="4202" spans="1:40" x14ac:dyDescent="0.3">
      <c r="A4202" s="10" t="str">
        <f>HYPERLINK("http://www.washoecounty.gov/assessor/cama/?parid=090-361-16&amp;CardNumber=1","090-361-16")</f>
        <v>090-361-16</v>
      </c>
      <c r="B4202" t="s">
        <v>4655</v>
      </c>
      <c r="C4202" t="s">
        <v>22364</v>
      </c>
      <c r="D4202" s="1">
        <v>40283</v>
      </c>
      <c r="E4202" s="2">
        <v>111000</v>
      </c>
      <c r="F4202" t="s">
        <v>4567</v>
      </c>
      <c r="G4202" s="17" t="str">
        <f>HYPERLINK("https://www.washoecounty.gov/assessor/cama/?command=sales&amp;parid=09036116","3871477")</f>
        <v>3871477</v>
      </c>
      <c r="H4202" t="s">
        <v>2749</v>
      </c>
      <c r="I4202">
        <v>1998</v>
      </c>
      <c r="J4202">
        <v>1998</v>
      </c>
      <c r="K4202" t="s">
        <v>4554</v>
      </c>
      <c r="L4202" t="s">
        <v>4555</v>
      </c>
      <c r="M4202" s="2">
        <v>1318</v>
      </c>
      <c r="N4202" t="s">
        <v>4048</v>
      </c>
      <c r="O4202">
        <v>3</v>
      </c>
      <c r="P4202">
        <v>2</v>
      </c>
      <c r="Q4202">
        <v>0</v>
      </c>
      <c r="R4202" t="s">
        <v>5281</v>
      </c>
      <c r="S4202" t="s">
        <v>4558</v>
      </c>
      <c r="T4202" t="s">
        <v>4559</v>
      </c>
      <c r="U4202" t="s">
        <v>4560</v>
      </c>
      <c r="V4202" s="2">
        <v>420</v>
      </c>
      <c r="W4202" t="s">
        <v>4655</v>
      </c>
      <c r="X4202" s="2">
        <v>0</v>
      </c>
      <c r="Y4202">
        <v>20</v>
      </c>
      <c r="Z4202" t="s">
        <v>4561</v>
      </c>
      <c r="AA4202" s="3">
        <v>0.12601010501384699</v>
      </c>
      <c r="AB4202" t="s">
        <v>22365</v>
      </c>
      <c r="AC4202" t="s">
        <v>4562</v>
      </c>
      <c r="AD4202" t="s">
        <v>22364</v>
      </c>
      <c r="AE4202" t="s">
        <v>4655</v>
      </c>
      <c r="AF4202" t="s">
        <v>4563</v>
      </c>
      <c r="AG4202" t="s">
        <v>4564</v>
      </c>
      <c r="AH4202">
        <v>89506</v>
      </c>
      <c r="AI4202" t="s">
        <v>22366</v>
      </c>
      <c r="AJ4202" t="s">
        <v>2750</v>
      </c>
      <c r="AK4202" t="s">
        <v>22367</v>
      </c>
      <c r="AL4202" s="13" t="s">
        <v>1901</v>
      </c>
      <c r="AM4202">
        <v>1</v>
      </c>
      <c r="AN4202" s="15" t="s">
        <v>1448</v>
      </c>
    </row>
    <row r="4203" spans="1:40" x14ac:dyDescent="0.3">
      <c r="A4203" s="10" t="str">
        <f>HYPERLINK("http://www.washoecounty.gov/assessor/cama/?parid=090-362-12&amp;CardNumber=1","090-362-12")</f>
        <v>090-362-12</v>
      </c>
      <c r="B4203" t="s">
        <v>4655</v>
      </c>
      <c r="C4203" t="s">
        <v>22368</v>
      </c>
      <c r="D4203" s="1">
        <v>40387</v>
      </c>
      <c r="E4203" s="2">
        <v>118650</v>
      </c>
      <c r="F4203" t="s">
        <v>4567</v>
      </c>
      <c r="G4203" s="17" t="str">
        <f>HYPERLINK("https://www.washoecounty.gov/assessor/cama/?command=sales&amp;parid=09036212","3905596")</f>
        <v>3905596</v>
      </c>
      <c r="H4203" t="s">
        <v>2749</v>
      </c>
      <c r="I4203">
        <v>1998</v>
      </c>
      <c r="J4203">
        <v>1998</v>
      </c>
      <c r="K4203" t="s">
        <v>4554</v>
      </c>
      <c r="L4203" t="s">
        <v>4555</v>
      </c>
      <c r="M4203" s="2">
        <v>1333</v>
      </c>
      <c r="N4203" t="s">
        <v>4048</v>
      </c>
      <c r="O4203">
        <v>3</v>
      </c>
      <c r="P4203">
        <v>2</v>
      </c>
      <c r="Q4203">
        <v>0</v>
      </c>
      <c r="R4203" t="s">
        <v>4557</v>
      </c>
      <c r="S4203" t="s">
        <v>4558</v>
      </c>
      <c r="T4203" t="s">
        <v>4559</v>
      </c>
      <c r="U4203" t="s">
        <v>4560</v>
      </c>
      <c r="V4203" s="2">
        <v>420</v>
      </c>
      <c r="W4203" t="s">
        <v>4655</v>
      </c>
      <c r="X4203" s="2">
        <v>0</v>
      </c>
      <c r="Y4203">
        <v>20</v>
      </c>
      <c r="Z4203" t="s">
        <v>4561</v>
      </c>
      <c r="AA4203" s="3">
        <v>0.13900367915630299</v>
      </c>
      <c r="AB4203" t="s">
        <v>22369</v>
      </c>
      <c r="AC4203" t="s">
        <v>4562</v>
      </c>
      <c r="AD4203" t="s">
        <v>22368</v>
      </c>
      <c r="AE4203" t="s">
        <v>4655</v>
      </c>
      <c r="AF4203" t="s">
        <v>4563</v>
      </c>
      <c r="AG4203" t="s">
        <v>4564</v>
      </c>
      <c r="AH4203">
        <v>89506</v>
      </c>
      <c r="AI4203" t="s">
        <v>22370</v>
      </c>
      <c r="AJ4203" t="s">
        <v>2750</v>
      </c>
      <c r="AK4203" t="s">
        <v>22371</v>
      </c>
      <c r="AL4203" s="13" t="s">
        <v>1901</v>
      </c>
      <c r="AM4203">
        <v>1</v>
      </c>
      <c r="AN4203" s="15" t="s">
        <v>1448</v>
      </c>
    </row>
    <row r="4204" spans="1:40" x14ac:dyDescent="0.3">
      <c r="A4204" s="10" t="str">
        <f>HYPERLINK("http://www.washoecounty.gov/assessor/cama/?parid=090-363-16&amp;CardNumber=1","090-363-16")</f>
        <v>090-363-16</v>
      </c>
      <c r="B4204" t="s">
        <v>4655</v>
      </c>
      <c r="C4204" t="s">
        <v>22372</v>
      </c>
      <c r="D4204" s="1">
        <v>40368</v>
      </c>
      <c r="E4204" s="2">
        <v>90000</v>
      </c>
      <c r="F4204" t="s">
        <v>4567</v>
      </c>
      <c r="G4204" s="17" t="str">
        <f>HYPERLINK("https://www.washoecounty.gov/assessor/cama/?command=sales&amp;parid=09036316","3899739")</f>
        <v>3899739</v>
      </c>
      <c r="H4204" t="s">
        <v>2749</v>
      </c>
      <c r="I4204">
        <v>1997</v>
      </c>
      <c r="J4204">
        <v>1997</v>
      </c>
      <c r="K4204" t="s">
        <v>4554</v>
      </c>
      <c r="L4204" t="s">
        <v>4555</v>
      </c>
      <c r="M4204" s="2">
        <v>1254</v>
      </c>
      <c r="N4204" t="s">
        <v>4048</v>
      </c>
      <c r="O4204">
        <v>3</v>
      </c>
      <c r="P4204">
        <v>2</v>
      </c>
      <c r="Q4204">
        <v>0</v>
      </c>
      <c r="R4204" t="s">
        <v>5281</v>
      </c>
      <c r="S4204" t="s">
        <v>4558</v>
      </c>
      <c r="T4204" t="s">
        <v>4559</v>
      </c>
      <c r="U4204" t="s">
        <v>4560</v>
      </c>
      <c r="V4204" s="2">
        <v>400</v>
      </c>
      <c r="W4204" t="s">
        <v>4655</v>
      </c>
      <c r="X4204" s="2">
        <v>0</v>
      </c>
      <c r="Y4204">
        <v>20</v>
      </c>
      <c r="Z4204" t="s">
        <v>4561</v>
      </c>
      <c r="AA4204" s="3">
        <v>0.135009184479713</v>
      </c>
      <c r="AB4204" t="s">
        <v>22373</v>
      </c>
      <c r="AC4204" t="s">
        <v>4562</v>
      </c>
      <c r="AD4204" t="s">
        <v>22374</v>
      </c>
      <c r="AE4204" t="s">
        <v>4655</v>
      </c>
      <c r="AF4204" t="s">
        <v>4563</v>
      </c>
      <c r="AG4204" t="s">
        <v>4564</v>
      </c>
      <c r="AH4204">
        <v>89506</v>
      </c>
      <c r="AI4204" t="s">
        <v>22375</v>
      </c>
      <c r="AJ4204" t="s">
        <v>2750</v>
      </c>
      <c r="AK4204" t="s">
        <v>22376</v>
      </c>
      <c r="AL4204" s="13" t="s">
        <v>1901</v>
      </c>
      <c r="AM4204" s="14">
        <v>1</v>
      </c>
      <c r="AN4204" s="15" t="s">
        <v>1448</v>
      </c>
    </row>
    <row r="4205" spans="1:40" x14ac:dyDescent="0.3">
      <c r="A4205" s="10" t="str">
        <f>HYPERLINK("http://www.washoecounty.gov/assessor/cama/?parid=090-363-19&amp;CardNumber=1","090-363-19")</f>
        <v>090-363-19</v>
      </c>
      <c r="B4205" t="s">
        <v>4655</v>
      </c>
      <c r="C4205" t="s">
        <v>22377</v>
      </c>
      <c r="D4205" s="1">
        <v>40210</v>
      </c>
      <c r="E4205" s="2">
        <v>127000</v>
      </c>
      <c r="F4205" t="s">
        <v>4553</v>
      </c>
      <c r="G4205" s="17" t="str">
        <f>HYPERLINK("https://www.washoecounty.gov/assessor/cama/?command=sales&amp;parid=09036319","3844953")</f>
        <v>3844953</v>
      </c>
      <c r="H4205" t="s">
        <v>2749</v>
      </c>
      <c r="I4205">
        <v>1997</v>
      </c>
      <c r="J4205">
        <v>1997</v>
      </c>
      <c r="K4205" t="s">
        <v>4554</v>
      </c>
      <c r="L4205" t="s">
        <v>3974</v>
      </c>
      <c r="M4205" s="2">
        <v>1461</v>
      </c>
      <c r="N4205" t="s">
        <v>4048</v>
      </c>
      <c r="O4205">
        <v>3</v>
      </c>
      <c r="P4205">
        <v>2</v>
      </c>
      <c r="Q4205">
        <v>1</v>
      </c>
      <c r="R4205" t="s">
        <v>4557</v>
      </c>
      <c r="S4205" t="s">
        <v>4558</v>
      </c>
      <c r="T4205" t="s">
        <v>4559</v>
      </c>
      <c r="U4205" t="s">
        <v>5631</v>
      </c>
      <c r="V4205" s="2">
        <v>399</v>
      </c>
      <c r="W4205" t="s">
        <v>4655</v>
      </c>
      <c r="X4205" s="2">
        <v>0</v>
      </c>
      <c r="Y4205">
        <v>20</v>
      </c>
      <c r="Z4205" t="s">
        <v>4561</v>
      </c>
      <c r="AA4205" s="3">
        <v>0.13298897445201899</v>
      </c>
      <c r="AB4205" t="s">
        <v>22378</v>
      </c>
      <c r="AC4205" t="s">
        <v>4575</v>
      </c>
      <c r="AD4205" t="s">
        <v>22379</v>
      </c>
      <c r="AE4205" t="s">
        <v>22380</v>
      </c>
      <c r="AF4205" t="s">
        <v>4563</v>
      </c>
      <c r="AG4205" t="s">
        <v>4564</v>
      </c>
      <c r="AH4205">
        <v>89506</v>
      </c>
      <c r="AI4205" t="s">
        <v>22381</v>
      </c>
      <c r="AJ4205" t="s">
        <v>2750</v>
      </c>
      <c r="AK4205" t="s">
        <v>22382</v>
      </c>
      <c r="AL4205" s="13" t="s">
        <v>1901</v>
      </c>
      <c r="AM4205">
        <v>1</v>
      </c>
      <c r="AN4205" s="15" t="s">
        <v>1448</v>
      </c>
    </row>
    <row r="4206" spans="1:40" x14ac:dyDescent="0.3">
      <c r="A4206" s="10" t="str">
        <f>HYPERLINK("http://www.washoecounty.gov/assessor/cama/?parid=090-374-10&amp;CardNumber=1","090-374-10")</f>
        <v>090-374-10</v>
      </c>
      <c r="B4206" t="s">
        <v>4655</v>
      </c>
      <c r="C4206" t="s">
        <v>22383</v>
      </c>
      <c r="D4206" s="1">
        <v>40396</v>
      </c>
      <c r="E4206" s="2">
        <v>113050</v>
      </c>
      <c r="F4206" t="s">
        <v>4567</v>
      </c>
      <c r="G4206" s="17" t="str">
        <f>HYPERLINK("https://www.washoecounty.gov/assessor/cama/?command=sales&amp;parid=09037410","3909484")</f>
        <v>3909484</v>
      </c>
      <c r="H4206" t="s">
        <v>1748</v>
      </c>
      <c r="I4206">
        <v>1999</v>
      </c>
      <c r="J4206">
        <v>1999</v>
      </c>
      <c r="K4206" t="s">
        <v>4554</v>
      </c>
      <c r="L4206" t="s">
        <v>3974</v>
      </c>
      <c r="M4206" s="2">
        <v>1698</v>
      </c>
      <c r="N4206" t="s">
        <v>4048</v>
      </c>
      <c r="O4206">
        <v>3</v>
      </c>
      <c r="P4206">
        <v>2</v>
      </c>
      <c r="Q4206">
        <v>1</v>
      </c>
      <c r="R4206" t="s">
        <v>4557</v>
      </c>
      <c r="S4206" t="s">
        <v>4558</v>
      </c>
      <c r="T4206" t="s">
        <v>4559</v>
      </c>
      <c r="U4206" t="s">
        <v>5631</v>
      </c>
      <c r="V4206" s="2">
        <v>460</v>
      </c>
      <c r="W4206" t="s">
        <v>4655</v>
      </c>
      <c r="X4206" s="2">
        <v>0</v>
      </c>
      <c r="Y4206">
        <v>20</v>
      </c>
      <c r="Z4206" t="s">
        <v>4561</v>
      </c>
      <c r="AA4206" s="3">
        <v>0.123002752661705</v>
      </c>
      <c r="AB4206" t="s">
        <v>22384</v>
      </c>
      <c r="AC4206" t="s">
        <v>4562</v>
      </c>
      <c r="AD4206" t="s">
        <v>22383</v>
      </c>
      <c r="AE4206" t="s">
        <v>4655</v>
      </c>
      <c r="AF4206" t="s">
        <v>4563</v>
      </c>
      <c r="AG4206" t="s">
        <v>4564</v>
      </c>
      <c r="AH4206">
        <v>89506</v>
      </c>
      <c r="AI4206" t="s">
        <v>22385</v>
      </c>
      <c r="AJ4206" t="s">
        <v>1749</v>
      </c>
      <c r="AK4206" t="s">
        <v>22386</v>
      </c>
      <c r="AL4206" s="13" t="s">
        <v>1901</v>
      </c>
      <c r="AM4206">
        <v>1</v>
      </c>
      <c r="AN4206" s="15" t="s">
        <v>1448</v>
      </c>
    </row>
    <row r="4207" spans="1:40" x14ac:dyDescent="0.3">
      <c r="A4207" s="10" t="str">
        <f>HYPERLINK("http://www.washoecounty.gov/assessor/cama/?parid=090-385-07&amp;CardNumber=1","090-385-07")</f>
        <v>090-385-07</v>
      </c>
      <c r="B4207" t="s">
        <v>4655</v>
      </c>
      <c r="C4207" t="s">
        <v>22387</v>
      </c>
      <c r="D4207" s="1">
        <v>40235</v>
      </c>
      <c r="E4207" s="2">
        <v>160000</v>
      </c>
      <c r="F4207" t="s">
        <v>4567</v>
      </c>
      <c r="G4207" s="17" t="str">
        <f>HYPERLINK("https://www.washoecounty.gov/assessor/cama/?command=sales&amp;parid=09038507","3853463")</f>
        <v>3853463</v>
      </c>
      <c r="H4207" t="s">
        <v>4402</v>
      </c>
      <c r="I4207">
        <v>1998</v>
      </c>
      <c r="J4207">
        <v>1998</v>
      </c>
      <c r="K4207" t="s">
        <v>4554</v>
      </c>
      <c r="L4207" t="s">
        <v>3974</v>
      </c>
      <c r="M4207" s="2">
        <v>2226</v>
      </c>
      <c r="N4207" t="s">
        <v>4048</v>
      </c>
      <c r="O4207">
        <v>3</v>
      </c>
      <c r="P4207">
        <v>2</v>
      </c>
      <c r="Q4207">
        <v>1</v>
      </c>
      <c r="R4207" t="s">
        <v>5281</v>
      </c>
      <c r="S4207" t="s">
        <v>4558</v>
      </c>
      <c r="T4207" t="s">
        <v>4559</v>
      </c>
      <c r="U4207" t="s">
        <v>4560</v>
      </c>
      <c r="V4207" s="2">
        <v>600</v>
      </c>
      <c r="W4207" t="s">
        <v>4655</v>
      </c>
      <c r="X4207" s="2">
        <v>0</v>
      </c>
      <c r="Y4207">
        <v>20</v>
      </c>
      <c r="Z4207" t="s">
        <v>4561</v>
      </c>
      <c r="AA4207" s="3">
        <v>0.167011022567749</v>
      </c>
      <c r="AB4207" t="s">
        <v>22388</v>
      </c>
      <c r="AC4207" t="s">
        <v>4562</v>
      </c>
      <c r="AD4207" t="s">
        <v>22387</v>
      </c>
      <c r="AE4207" t="s">
        <v>4655</v>
      </c>
      <c r="AF4207" t="s">
        <v>4563</v>
      </c>
      <c r="AG4207" t="s">
        <v>4564</v>
      </c>
      <c r="AH4207">
        <v>89506</v>
      </c>
      <c r="AI4207" t="s">
        <v>22389</v>
      </c>
      <c r="AJ4207" t="s">
        <v>4403</v>
      </c>
      <c r="AK4207" t="s">
        <v>22390</v>
      </c>
      <c r="AL4207" s="13" t="s">
        <v>1901</v>
      </c>
      <c r="AM4207" s="14">
        <v>1</v>
      </c>
      <c r="AN4207" s="15" t="s">
        <v>1448</v>
      </c>
    </row>
    <row r="4208" spans="1:40" x14ac:dyDescent="0.3">
      <c r="A4208" s="10" t="str">
        <f>HYPERLINK("http://www.washoecounty.gov/assessor/cama/?parid=090-391-01&amp;CardNumber=1","090-391-01")</f>
        <v>090-391-01</v>
      </c>
      <c r="B4208" t="s">
        <v>4655</v>
      </c>
      <c r="C4208" t="s">
        <v>22391</v>
      </c>
      <c r="D4208" s="1">
        <v>40505</v>
      </c>
      <c r="E4208" s="2">
        <v>127500</v>
      </c>
      <c r="F4208" t="s">
        <v>4567</v>
      </c>
      <c r="G4208" s="17" t="str">
        <f>HYPERLINK("https://www.washoecounty.gov/assessor/cama/?command=sales&amp;parid=09039101","3946155")</f>
        <v>3946155</v>
      </c>
      <c r="H4208" t="s">
        <v>1033</v>
      </c>
      <c r="I4208">
        <v>1999</v>
      </c>
      <c r="J4208">
        <v>1999</v>
      </c>
      <c r="K4208" t="s">
        <v>4554</v>
      </c>
      <c r="L4208" t="s">
        <v>4555</v>
      </c>
      <c r="M4208" s="2">
        <v>1806</v>
      </c>
      <c r="N4208" t="s">
        <v>4048</v>
      </c>
      <c r="O4208">
        <v>4</v>
      </c>
      <c r="P4208">
        <v>2</v>
      </c>
      <c r="Q4208">
        <v>0</v>
      </c>
      <c r="R4208" t="s">
        <v>4557</v>
      </c>
      <c r="S4208" t="s">
        <v>4558</v>
      </c>
      <c r="T4208" t="s">
        <v>4559</v>
      </c>
      <c r="U4208" t="s">
        <v>4560</v>
      </c>
      <c r="V4208" s="2">
        <v>530</v>
      </c>
      <c r="W4208" t="s">
        <v>4655</v>
      </c>
      <c r="X4208" s="2">
        <v>0</v>
      </c>
      <c r="Y4208">
        <v>20</v>
      </c>
      <c r="Z4208" t="s">
        <v>4561</v>
      </c>
      <c r="AA4208" s="3">
        <v>0.13799357414245605</v>
      </c>
      <c r="AB4208" t="s">
        <v>22392</v>
      </c>
      <c r="AC4208" t="s">
        <v>4562</v>
      </c>
      <c r="AD4208" t="s">
        <v>22391</v>
      </c>
      <c r="AE4208" t="s">
        <v>4655</v>
      </c>
      <c r="AF4208" t="s">
        <v>4563</v>
      </c>
      <c r="AG4208" t="s">
        <v>4564</v>
      </c>
      <c r="AH4208">
        <v>89506</v>
      </c>
      <c r="AI4208" t="s">
        <v>22393</v>
      </c>
      <c r="AJ4208" t="s">
        <v>1034</v>
      </c>
      <c r="AK4208" t="s">
        <v>22394</v>
      </c>
      <c r="AL4208" s="13" t="s">
        <v>1901</v>
      </c>
      <c r="AM4208" s="14">
        <v>1</v>
      </c>
      <c r="AN4208" s="15" t="s">
        <v>1448</v>
      </c>
    </row>
    <row r="4209" spans="1:40" x14ac:dyDescent="0.3">
      <c r="A4209" s="10" t="str">
        <f>HYPERLINK("http://www.washoecounty.gov/assessor/cama/?parid=090-401-08&amp;CardNumber=1","090-401-08")</f>
        <v>090-401-08</v>
      </c>
      <c r="B4209" t="s">
        <v>4655</v>
      </c>
      <c r="C4209" t="s">
        <v>22395</v>
      </c>
      <c r="D4209" s="1">
        <v>40379</v>
      </c>
      <c r="E4209" s="2">
        <v>140000</v>
      </c>
      <c r="F4209" t="s">
        <v>4567</v>
      </c>
      <c r="G4209" s="17" t="str">
        <f>HYPERLINK("https://www.washoecounty.gov/assessor/cama/?command=sales&amp;parid=09040108","3903238")</f>
        <v>3903238</v>
      </c>
      <c r="H4209" t="s">
        <v>3256</v>
      </c>
      <c r="I4209">
        <v>2000</v>
      </c>
      <c r="J4209">
        <v>2000</v>
      </c>
      <c r="K4209" t="s">
        <v>4554</v>
      </c>
      <c r="L4209" t="s">
        <v>4555</v>
      </c>
      <c r="M4209" s="2">
        <v>1822</v>
      </c>
      <c r="N4209" t="s">
        <v>4048</v>
      </c>
      <c r="O4209">
        <v>4</v>
      </c>
      <c r="P4209">
        <v>2</v>
      </c>
      <c r="Q4209">
        <v>0</v>
      </c>
      <c r="R4209" t="s">
        <v>5281</v>
      </c>
      <c r="S4209" t="s">
        <v>4558</v>
      </c>
      <c r="T4209" t="s">
        <v>4559</v>
      </c>
      <c r="U4209" t="s">
        <v>4560</v>
      </c>
      <c r="V4209" s="2">
        <v>530</v>
      </c>
      <c r="W4209" t="s">
        <v>4655</v>
      </c>
      <c r="X4209" s="2">
        <v>0</v>
      </c>
      <c r="Y4209">
        <v>20</v>
      </c>
      <c r="Z4209" t="s">
        <v>4561</v>
      </c>
      <c r="AA4209" s="3">
        <v>0.16400367021560699</v>
      </c>
      <c r="AB4209" t="s">
        <v>22396</v>
      </c>
      <c r="AC4209" t="s">
        <v>4562</v>
      </c>
      <c r="AD4209" t="s">
        <v>22395</v>
      </c>
      <c r="AE4209" t="s">
        <v>4655</v>
      </c>
      <c r="AF4209" t="s">
        <v>4563</v>
      </c>
      <c r="AG4209" t="s">
        <v>4564</v>
      </c>
      <c r="AH4209">
        <v>89506</v>
      </c>
      <c r="AI4209" t="s">
        <v>22397</v>
      </c>
      <c r="AJ4209" t="s">
        <v>3257</v>
      </c>
      <c r="AK4209" t="s">
        <v>22398</v>
      </c>
      <c r="AL4209" s="13" t="s">
        <v>1901</v>
      </c>
      <c r="AM4209">
        <v>1</v>
      </c>
      <c r="AN4209" s="15" t="s">
        <v>1448</v>
      </c>
    </row>
    <row r="4210" spans="1:40" x14ac:dyDescent="0.3">
      <c r="A4210" s="10" t="str">
        <f>HYPERLINK("http://www.washoecounty.gov/assessor/cama/?parid=090-401-09&amp;CardNumber=1","090-401-09")</f>
        <v>090-401-09</v>
      </c>
      <c r="B4210" t="s">
        <v>4655</v>
      </c>
      <c r="C4210" t="s">
        <v>22399</v>
      </c>
      <c r="D4210" s="1">
        <v>40290</v>
      </c>
      <c r="E4210" s="2">
        <v>105200</v>
      </c>
      <c r="F4210" t="s">
        <v>4553</v>
      </c>
      <c r="G4210" s="17" t="str">
        <f>HYPERLINK("https://www.washoecounty.gov/assessor/cama/?command=sales&amp;parid=09040109","3873710")</f>
        <v>3873710</v>
      </c>
      <c r="H4210" t="s">
        <v>3256</v>
      </c>
      <c r="I4210">
        <v>2000</v>
      </c>
      <c r="J4210">
        <v>2000</v>
      </c>
      <c r="K4210" t="s">
        <v>4554</v>
      </c>
      <c r="L4210" t="s">
        <v>3974</v>
      </c>
      <c r="M4210" s="2">
        <v>2049</v>
      </c>
      <c r="N4210" t="s">
        <v>4048</v>
      </c>
      <c r="O4210">
        <v>4</v>
      </c>
      <c r="P4210">
        <v>2</v>
      </c>
      <c r="Q4210">
        <v>1</v>
      </c>
      <c r="R4210" t="s">
        <v>4557</v>
      </c>
      <c r="S4210" t="s">
        <v>4558</v>
      </c>
      <c r="T4210" t="s">
        <v>4559</v>
      </c>
      <c r="U4210" t="s">
        <v>4560</v>
      </c>
      <c r="V4210" s="2">
        <v>500</v>
      </c>
      <c r="W4210" t="s">
        <v>4655</v>
      </c>
      <c r="X4210" s="2">
        <v>0</v>
      </c>
      <c r="Y4210">
        <v>20</v>
      </c>
      <c r="Z4210" t="s">
        <v>4561</v>
      </c>
      <c r="AA4210" s="3">
        <v>0.160009175539017</v>
      </c>
      <c r="AB4210" t="s">
        <v>22400</v>
      </c>
      <c r="AC4210" t="s">
        <v>4562</v>
      </c>
      <c r="AD4210" t="s">
        <v>22401</v>
      </c>
      <c r="AE4210" t="s">
        <v>4655</v>
      </c>
      <c r="AF4210" t="s">
        <v>4752</v>
      </c>
      <c r="AG4210" t="s">
        <v>4564</v>
      </c>
      <c r="AH4210">
        <v>89506</v>
      </c>
      <c r="AI4210" t="s">
        <v>2009</v>
      </c>
      <c r="AJ4210" t="s">
        <v>3257</v>
      </c>
      <c r="AK4210" t="s">
        <v>22402</v>
      </c>
      <c r="AL4210" s="13" t="s">
        <v>1901</v>
      </c>
      <c r="AM4210">
        <v>1</v>
      </c>
      <c r="AN4210" s="15" t="s">
        <v>1448</v>
      </c>
    </row>
    <row r="4211" spans="1:40" x14ac:dyDescent="0.3">
      <c r="A4211" s="10" t="str">
        <f>HYPERLINK("http://www.washoecounty.gov/assessor/cama/?parid=090-402-03&amp;CardNumber=1","090-402-03")</f>
        <v>090-402-03</v>
      </c>
      <c r="B4211" t="s">
        <v>4655</v>
      </c>
      <c r="C4211" t="s">
        <v>22403</v>
      </c>
      <c r="D4211" s="1">
        <v>40514</v>
      </c>
      <c r="E4211" s="2">
        <v>135000</v>
      </c>
      <c r="F4211" t="s">
        <v>4553</v>
      </c>
      <c r="G4211" s="17" t="str">
        <f>HYPERLINK("https://www.washoecounty.gov/assessor/cama/?command=sales&amp;parid=09040203","3948916")</f>
        <v>3948916</v>
      </c>
      <c r="H4211" t="s">
        <v>3256</v>
      </c>
      <c r="I4211">
        <v>2000</v>
      </c>
      <c r="J4211">
        <v>2000</v>
      </c>
      <c r="K4211" t="s">
        <v>4554</v>
      </c>
      <c r="L4211" t="s">
        <v>4555</v>
      </c>
      <c r="M4211" s="2">
        <v>1822</v>
      </c>
      <c r="N4211" t="s">
        <v>4048</v>
      </c>
      <c r="O4211">
        <v>4</v>
      </c>
      <c r="P4211">
        <v>2</v>
      </c>
      <c r="Q4211">
        <v>0</v>
      </c>
      <c r="R4211" t="s">
        <v>4557</v>
      </c>
      <c r="S4211" t="s">
        <v>4558</v>
      </c>
      <c r="T4211" t="s">
        <v>4559</v>
      </c>
      <c r="U4211" t="s">
        <v>4560</v>
      </c>
      <c r="V4211" s="2">
        <v>530</v>
      </c>
      <c r="W4211" t="s">
        <v>4655</v>
      </c>
      <c r="X4211" s="2">
        <v>0</v>
      </c>
      <c r="Y4211">
        <v>20</v>
      </c>
      <c r="Z4211" t="s">
        <v>4561</v>
      </c>
      <c r="AA4211" s="3">
        <v>0.27100551128387501</v>
      </c>
      <c r="AB4211" t="s">
        <v>22404</v>
      </c>
      <c r="AC4211" t="s">
        <v>4575</v>
      </c>
      <c r="AD4211" t="s">
        <v>22405</v>
      </c>
      <c r="AE4211" t="s">
        <v>4655</v>
      </c>
      <c r="AF4211" t="s">
        <v>4563</v>
      </c>
      <c r="AG4211" t="s">
        <v>4564</v>
      </c>
      <c r="AH4211">
        <v>89506</v>
      </c>
      <c r="AI4211" t="s">
        <v>4903</v>
      </c>
      <c r="AJ4211" t="s">
        <v>3257</v>
      </c>
      <c r="AK4211" t="s">
        <v>22406</v>
      </c>
      <c r="AL4211" s="13" t="s">
        <v>1901</v>
      </c>
      <c r="AM4211">
        <v>1</v>
      </c>
      <c r="AN4211" s="15" t="s">
        <v>1448</v>
      </c>
    </row>
    <row r="4212" spans="1:40" x14ac:dyDescent="0.3">
      <c r="A4212" s="10" t="str">
        <f>HYPERLINK("http://www.washoecounty.gov/assessor/cama/?parid=090-402-09&amp;CardNumber=1","090-402-09")</f>
        <v>090-402-09</v>
      </c>
      <c r="B4212" t="s">
        <v>4655</v>
      </c>
      <c r="C4212" t="s">
        <v>22407</v>
      </c>
      <c r="D4212" s="1">
        <v>40319</v>
      </c>
      <c r="E4212" s="2">
        <v>144000</v>
      </c>
      <c r="F4212" t="s">
        <v>4567</v>
      </c>
      <c r="G4212" s="17" t="str">
        <f>HYPERLINK("https://www.washoecounty.gov/assessor/cama/?command=sales&amp;parid=09040209","3883761")</f>
        <v>3883761</v>
      </c>
      <c r="H4212" t="s">
        <v>3256</v>
      </c>
      <c r="I4212">
        <v>2000</v>
      </c>
      <c r="J4212">
        <v>2000</v>
      </c>
      <c r="K4212" t="s">
        <v>4554</v>
      </c>
      <c r="L4212" t="s">
        <v>4555</v>
      </c>
      <c r="M4212" s="2">
        <v>1822</v>
      </c>
      <c r="N4212" t="s">
        <v>4048</v>
      </c>
      <c r="O4212">
        <v>4</v>
      </c>
      <c r="P4212">
        <v>2</v>
      </c>
      <c r="Q4212">
        <v>0</v>
      </c>
      <c r="R4212" t="s">
        <v>5281</v>
      </c>
      <c r="S4212" t="s">
        <v>4558</v>
      </c>
      <c r="T4212" t="s">
        <v>4559</v>
      </c>
      <c r="U4212" t="s">
        <v>4560</v>
      </c>
      <c r="V4212" s="2">
        <v>530</v>
      </c>
      <c r="W4212" t="s">
        <v>4655</v>
      </c>
      <c r="X4212" s="2">
        <v>0</v>
      </c>
      <c r="Y4212">
        <v>20</v>
      </c>
      <c r="Z4212" t="s">
        <v>4561</v>
      </c>
      <c r="AA4212" s="3">
        <v>0.189003676176071</v>
      </c>
      <c r="AB4212" t="s">
        <v>22408</v>
      </c>
      <c r="AC4212" t="s">
        <v>4575</v>
      </c>
      <c r="AD4212" t="s">
        <v>22409</v>
      </c>
      <c r="AE4212" t="s">
        <v>4655</v>
      </c>
      <c r="AF4212" t="s">
        <v>4563</v>
      </c>
      <c r="AG4212" t="s">
        <v>4564</v>
      </c>
      <c r="AH4212">
        <v>89506</v>
      </c>
      <c r="AI4212" t="s">
        <v>22410</v>
      </c>
      <c r="AJ4212" t="s">
        <v>3257</v>
      </c>
      <c r="AK4212" t="s">
        <v>22411</v>
      </c>
      <c r="AL4212" s="13" t="s">
        <v>1901</v>
      </c>
      <c r="AM4212" s="14">
        <v>1</v>
      </c>
      <c r="AN4212" s="15" t="s">
        <v>1448</v>
      </c>
    </row>
    <row r="4213" spans="1:40" x14ac:dyDescent="0.3">
      <c r="A4213" s="10" t="str">
        <f>HYPERLINK("http://www.washoecounty.gov/assessor/cama/?parid=090-402-11&amp;CardNumber=1","090-402-11")</f>
        <v>090-402-11</v>
      </c>
      <c r="B4213" t="s">
        <v>4655</v>
      </c>
      <c r="C4213" t="s">
        <v>22412</v>
      </c>
      <c r="D4213" s="1">
        <v>40478</v>
      </c>
      <c r="E4213" s="2">
        <v>134400</v>
      </c>
      <c r="F4213" t="s">
        <v>4567</v>
      </c>
      <c r="G4213" s="17" t="str">
        <f>HYPERLINK("https://www.washoecounty.gov/assessor/cama/?command=sales&amp;parid=09040211","3936938")</f>
        <v>3936938</v>
      </c>
      <c r="H4213" t="s">
        <v>3256</v>
      </c>
      <c r="I4213">
        <v>2000</v>
      </c>
      <c r="J4213">
        <v>2000</v>
      </c>
      <c r="K4213" t="s">
        <v>4554</v>
      </c>
      <c r="L4213" t="s">
        <v>4555</v>
      </c>
      <c r="M4213" s="2">
        <v>1822</v>
      </c>
      <c r="N4213" t="s">
        <v>4048</v>
      </c>
      <c r="O4213">
        <v>3</v>
      </c>
      <c r="P4213">
        <v>2</v>
      </c>
      <c r="Q4213">
        <v>0</v>
      </c>
      <c r="R4213" t="s">
        <v>4557</v>
      </c>
      <c r="S4213" t="s">
        <v>4558</v>
      </c>
      <c r="T4213" t="s">
        <v>4559</v>
      </c>
      <c r="U4213" t="s">
        <v>4560</v>
      </c>
      <c r="V4213" s="2">
        <v>530</v>
      </c>
      <c r="W4213" t="s">
        <v>4655</v>
      </c>
      <c r="X4213" s="2">
        <v>0</v>
      </c>
      <c r="Y4213">
        <v>20</v>
      </c>
      <c r="Z4213" t="s">
        <v>4561</v>
      </c>
      <c r="AA4213" s="3">
        <v>0.189003676176071</v>
      </c>
      <c r="AB4213" t="s">
        <v>22413</v>
      </c>
      <c r="AC4213" t="s">
        <v>4562</v>
      </c>
      <c r="AD4213" t="s">
        <v>22414</v>
      </c>
      <c r="AE4213" t="s">
        <v>4655</v>
      </c>
      <c r="AF4213" t="s">
        <v>4563</v>
      </c>
      <c r="AG4213" t="s">
        <v>4564</v>
      </c>
      <c r="AH4213">
        <v>89506</v>
      </c>
      <c r="AI4213" t="s">
        <v>22415</v>
      </c>
      <c r="AJ4213" t="s">
        <v>3257</v>
      </c>
      <c r="AK4213" t="s">
        <v>22416</v>
      </c>
      <c r="AL4213" s="13" t="s">
        <v>1901</v>
      </c>
      <c r="AM4213" s="14">
        <v>1</v>
      </c>
      <c r="AN4213" s="15" t="s">
        <v>1448</v>
      </c>
    </row>
    <row r="4214" spans="1:40" x14ac:dyDescent="0.3">
      <c r="A4214" s="10" t="str">
        <f>HYPERLINK("http://www.washoecounty.gov/assessor/cama/?parid=122-052-13&amp;CardNumber=1","122-052-13")</f>
        <v>122-052-13</v>
      </c>
      <c r="B4214" t="s">
        <v>4655</v>
      </c>
      <c r="C4214" t="s">
        <v>22417</v>
      </c>
      <c r="D4214" s="1">
        <v>40249</v>
      </c>
      <c r="E4214" s="2">
        <v>760000</v>
      </c>
      <c r="F4214" t="s">
        <v>4553</v>
      </c>
      <c r="G4214" s="17" t="str">
        <f>HYPERLINK("https://www.washoecounty.gov/assessor/cama/?command=sales&amp;parid=12205213","3859546")</f>
        <v>3859546</v>
      </c>
      <c r="H4214" t="s">
        <v>22418</v>
      </c>
      <c r="I4214">
        <v>1991</v>
      </c>
      <c r="J4214">
        <v>1993</v>
      </c>
      <c r="K4214" t="s">
        <v>4554</v>
      </c>
      <c r="L4214" t="s">
        <v>3974</v>
      </c>
      <c r="M4214" s="2">
        <v>3687</v>
      </c>
      <c r="N4214" t="s">
        <v>5106</v>
      </c>
      <c r="O4214">
        <v>4</v>
      </c>
      <c r="P4214">
        <v>4</v>
      </c>
      <c r="Q4214">
        <v>0</v>
      </c>
      <c r="R4214" t="s">
        <v>4557</v>
      </c>
      <c r="S4214" t="s">
        <v>4135</v>
      </c>
      <c r="T4214" t="s">
        <v>4559</v>
      </c>
      <c r="U4214" t="s">
        <v>4560</v>
      </c>
      <c r="V4214" s="2">
        <v>748</v>
      </c>
      <c r="W4214" t="s">
        <v>4655</v>
      </c>
      <c r="X4214" s="2">
        <v>0</v>
      </c>
      <c r="Y4214">
        <v>20</v>
      </c>
      <c r="Z4214" t="s">
        <v>5508</v>
      </c>
      <c r="AA4214" s="3">
        <v>0.44999998807907099</v>
      </c>
      <c r="AB4214" t="s">
        <v>22419</v>
      </c>
      <c r="AC4214" t="s">
        <v>4562</v>
      </c>
      <c r="AD4214" t="s">
        <v>22417</v>
      </c>
      <c r="AE4214" t="s">
        <v>4655</v>
      </c>
      <c r="AF4214" t="s">
        <v>5206</v>
      </c>
      <c r="AG4214" t="s">
        <v>4564</v>
      </c>
      <c r="AH4214" t="s">
        <v>5207</v>
      </c>
      <c r="AI4214" t="s">
        <v>1602</v>
      </c>
      <c r="AJ4214" t="s">
        <v>4655</v>
      </c>
      <c r="AK4214" t="s">
        <v>22420</v>
      </c>
      <c r="AL4214" s="13" t="s">
        <v>1893</v>
      </c>
      <c r="AM4214">
        <v>1</v>
      </c>
      <c r="AN4214" s="15" t="s">
        <v>2907</v>
      </c>
    </row>
    <row r="4215" spans="1:40" x14ac:dyDescent="0.3">
      <c r="A4215" s="10" t="str">
        <f>HYPERLINK("http://www.washoecounty.gov/assessor/cama/?parid=122-080-23&amp;CardNumber=1","122-080-23")</f>
        <v>122-080-23</v>
      </c>
      <c r="B4215" t="s">
        <v>4655</v>
      </c>
      <c r="C4215" t="s">
        <v>22421</v>
      </c>
      <c r="D4215" s="1">
        <v>40190</v>
      </c>
      <c r="E4215" s="2">
        <v>1850000</v>
      </c>
      <c r="F4215" t="s">
        <v>3259</v>
      </c>
      <c r="G4215" s="17" t="str">
        <f>HYPERLINK("https://www.washoecounty.gov/assessor/cama/?command=sales&amp;parid=12208023","3838431")</f>
        <v>3838431</v>
      </c>
      <c r="H4215" t="s">
        <v>22422</v>
      </c>
      <c r="I4215">
        <v>1964</v>
      </c>
      <c r="J4215">
        <v>1971</v>
      </c>
      <c r="K4215" t="s">
        <v>4897</v>
      </c>
      <c r="L4215" t="s">
        <v>3974</v>
      </c>
      <c r="M4215" s="2">
        <v>1876</v>
      </c>
      <c r="N4215" t="s">
        <v>3887</v>
      </c>
      <c r="O4215">
        <v>3</v>
      </c>
      <c r="P4215">
        <v>3</v>
      </c>
      <c r="Q4215">
        <v>0</v>
      </c>
      <c r="R4215" t="s">
        <v>4676</v>
      </c>
      <c r="S4215" t="s">
        <v>4135</v>
      </c>
      <c r="T4215" t="s">
        <v>2704</v>
      </c>
      <c r="U4215" t="s">
        <v>4655</v>
      </c>
      <c r="V4215" s="2">
        <v>0</v>
      </c>
      <c r="W4215" t="s">
        <v>4655</v>
      </c>
      <c r="X4215" s="2">
        <v>0</v>
      </c>
      <c r="Y4215">
        <v>21</v>
      </c>
      <c r="Z4215" t="s">
        <v>718</v>
      </c>
      <c r="AA4215" s="3">
        <v>1.00000004749745E-3</v>
      </c>
      <c r="AB4215" t="s">
        <v>22423</v>
      </c>
      <c r="AC4215" t="s">
        <v>4575</v>
      </c>
      <c r="AD4215" t="s">
        <v>22424</v>
      </c>
      <c r="AE4215" t="s">
        <v>4655</v>
      </c>
      <c r="AF4215" t="s">
        <v>2751</v>
      </c>
      <c r="AG4215" t="s">
        <v>4584</v>
      </c>
      <c r="AH4215">
        <v>90024</v>
      </c>
      <c r="AI4215" t="s">
        <v>22425</v>
      </c>
      <c r="AJ4215" t="s">
        <v>4655</v>
      </c>
      <c r="AK4215" t="s">
        <v>22426</v>
      </c>
      <c r="AL4215" s="13" t="s">
        <v>1893</v>
      </c>
      <c r="AM4215" s="14">
        <v>1</v>
      </c>
      <c r="AN4215" s="15" t="s">
        <v>2752</v>
      </c>
    </row>
    <row r="4216" spans="1:40" x14ac:dyDescent="0.3">
      <c r="A4216" s="10" t="str">
        <f>HYPERLINK("http://www.washoecounty.gov/assessor/cama/?parid=122-080-28&amp;CardNumber=1","122-080-28")</f>
        <v>122-080-28</v>
      </c>
      <c r="B4216" t="s">
        <v>4655</v>
      </c>
      <c r="C4216" t="s">
        <v>22421</v>
      </c>
      <c r="D4216" s="1">
        <v>40214</v>
      </c>
      <c r="E4216" s="2">
        <v>1950000</v>
      </c>
      <c r="F4216" t="s">
        <v>4567</v>
      </c>
      <c r="G4216" s="17" t="str">
        <f>HYPERLINK("https://www.washoecounty.gov/assessor/cama/?command=sales&amp;parid=12208028","3846312")</f>
        <v>3846312</v>
      </c>
      <c r="H4216" t="s">
        <v>22422</v>
      </c>
      <c r="I4216">
        <v>1964</v>
      </c>
      <c r="J4216">
        <v>1985</v>
      </c>
      <c r="K4216" t="s">
        <v>3144</v>
      </c>
      <c r="L4216" t="s">
        <v>3974</v>
      </c>
      <c r="M4216" s="2">
        <v>1693</v>
      </c>
      <c r="N4216" t="s">
        <v>3887</v>
      </c>
      <c r="O4216">
        <v>3</v>
      </c>
      <c r="P4216">
        <v>2</v>
      </c>
      <c r="Q4216">
        <v>0</v>
      </c>
      <c r="R4216" t="s">
        <v>4676</v>
      </c>
      <c r="S4216" t="s">
        <v>4135</v>
      </c>
      <c r="T4216" t="s">
        <v>2704</v>
      </c>
      <c r="U4216" t="s">
        <v>4655</v>
      </c>
      <c r="V4216" s="2">
        <v>0</v>
      </c>
      <c r="W4216" t="s">
        <v>4655</v>
      </c>
      <c r="X4216" s="2">
        <v>0</v>
      </c>
      <c r="Y4216">
        <v>21</v>
      </c>
      <c r="Z4216" t="s">
        <v>718</v>
      </c>
      <c r="AA4216" s="3">
        <v>1.00000004749745E-3</v>
      </c>
      <c r="AB4216" t="s">
        <v>22427</v>
      </c>
      <c r="AC4216" t="s">
        <v>4575</v>
      </c>
      <c r="AD4216" t="s">
        <v>22428</v>
      </c>
      <c r="AE4216" t="s">
        <v>4655</v>
      </c>
      <c r="AF4216" t="s">
        <v>3170</v>
      </c>
      <c r="AG4216" t="s">
        <v>4584</v>
      </c>
      <c r="AH4216">
        <v>95070</v>
      </c>
      <c r="AI4216" t="s">
        <v>22429</v>
      </c>
      <c r="AJ4216" t="s">
        <v>4655</v>
      </c>
      <c r="AK4216" t="s">
        <v>22430</v>
      </c>
      <c r="AL4216" s="13" t="s">
        <v>1893</v>
      </c>
      <c r="AM4216">
        <v>1</v>
      </c>
      <c r="AN4216" s="15" t="s">
        <v>2752</v>
      </c>
    </row>
    <row r="4217" spans="1:40" x14ac:dyDescent="0.3">
      <c r="A4217" s="10" t="str">
        <f>HYPERLINK("http://www.washoecounty.gov/assessor/cama/?parid=122-100-10&amp;CardNumber=1","122-100-10")</f>
        <v>122-100-10</v>
      </c>
      <c r="B4217" t="s">
        <v>4655</v>
      </c>
      <c r="C4217" t="s">
        <v>22431</v>
      </c>
      <c r="D4217" s="1">
        <v>40424</v>
      </c>
      <c r="E4217" s="2">
        <v>7700000</v>
      </c>
      <c r="F4217" t="s">
        <v>3259</v>
      </c>
      <c r="G4217" s="17" t="str">
        <f>HYPERLINK("https://www.washoecounty.gov/assessor/cama/?command=sales&amp;parid=12210010","3918731")</f>
        <v>3918731</v>
      </c>
      <c r="H4217" t="s">
        <v>22432</v>
      </c>
      <c r="I4217">
        <v>1994</v>
      </c>
      <c r="J4217">
        <v>1994</v>
      </c>
      <c r="K4217" t="s">
        <v>4554</v>
      </c>
      <c r="L4217" t="s">
        <v>3974</v>
      </c>
      <c r="M4217" s="2">
        <v>5955</v>
      </c>
      <c r="N4217" t="s">
        <v>5629</v>
      </c>
      <c r="O4217">
        <v>4</v>
      </c>
      <c r="P4217">
        <v>5</v>
      </c>
      <c r="Q4217">
        <v>0</v>
      </c>
      <c r="R4217" t="s">
        <v>5630</v>
      </c>
      <c r="S4217" t="s">
        <v>4135</v>
      </c>
      <c r="T4217" t="s">
        <v>3713</v>
      </c>
      <c r="U4217" t="s">
        <v>5631</v>
      </c>
      <c r="V4217" s="2">
        <v>624</v>
      </c>
      <c r="W4217" t="s">
        <v>4655</v>
      </c>
      <c r="X4217" s="2">
        <v>0</v>
      </c>
      <c r="Y4217">
        <v>20</v>
      </c>
      <c r="Z4217" t="s">
        <v>1776</v>
      </c>
      <c r="AA4217" s="3">
        <v>1.8399908542632999</v>
      </c>
      <c r="AB4217" t="s">
        <v>22433</v>
      </c>
      <c r="AC4217" t="s">
        <v>4575</v>
      </c>
      <c r="AD4217" t="s">
        <v>22434</v>
      </c>
      <c r="AE4217" t="s">
        <v>4655</v>
      </c>
      <c r="AF4217" t="s">
        <v>4054</v>
      </c>
      <c r="AG4217" t="s">
        <v>4564</v>
      </c>
      <c r="AH4217" t="s">
        <v>5275</v>
      </c>
      <c r="AI4217" t="s">
        <v>22435</v>
      </c>
      <c r="AJ4217" t="s">
        <v>4655</v>
      </c>
      <c r="AK4217" t="s">
        <v>22436</v>
      </c>
      <c r="AL4217" s="13" t="s">
        <v>1893</v>
      </c>
      <c r="AM4217">
        <v>1</v>
      </c>
      <c r="AN4217" s="15" t="s">
        <v>2559</v>
      </c>
    </row>
    <row r="4218" spans="1:40" x14ac:dyDescent="0.3">
      <c r="A4218" s="10" t="str">
        <f>HYPERLINK("http://www.washoecounty.gov/assessor/cama/?parid=122-100-18&amp;CardNumber=1","122-100-18")</f>
        <v>122-100-18</v>
      </c>
      <c r="B4218" t="s">
        <v>4655</v>
      </c>
      <c r="C4218" t="s">
        <v>22437</v>
      </c>
      <c r="D4218" s="1">
        <v>40366</v>
      </c>
      <c r="E4218" s="2">
        <v>8600000</v>
      </c>
      <c r="F4218" t="s">
        <v>3259</v>
      </c>
      <c r="G4218" s="17" t="str">
        <f>HYPERLINK("https://www.washoecounty.gov/assessor/cama/?command=sales&amp;parid=12210018","3898877")</f>
        <v>3898877</v>
      </c>
      <c r="H4218" t="s">
        <v>22432</v>
      </c>
      <c r="I4218">
        <v>1992</v>
      </c>
      <c r="J4218">
        <v>1992</v>
      </c>
      <c r="K4218" t="s">
        <v>4554</v>
      </c>
      <c r="L4218" t="s">
        <v>2170</v>
      </c>
      <c r="M4218" s="2">
        <v>6626</v>
      </c>
      <c r="N4218" t="s">
        <v>5629</v>
      </c>
      <c r="O4218">
        <v>5</v>
      </c>
      <c r="P4218">
        <v>5</v>
      </c>
      <c r="Q4218">
        <v>1</v>
      </c>
      <c r="R4218" t="s">
        <v>5630</v>
      </c>
      <c r="S4218" t="s">
        <v>390</v>
      </c>
      <c r="T4218" t="s">
        <v>4559</v>
      </c>
      <c r="U4218" t="s">
        <v>4560</v>
      </c>
      <c r="V4218" s="2">
        <v>672</v>
      </c>
      <c r="W4218" t="s">
        <v>4655</v>
      </c>
      <c r="X4218" s="2">
        <v>0</v>
      </c>
      <c r="Y4218">
        <v>20</v>
      </c>
      <c r="Z4218" t="s">
        <v>1776</v>
      </c>
      <c r="AA4218" s="3">
        <v>2.2200000286102202</v>
      </c>
      <c r="AB4218" t="s">
        <v>22438</v>
      </c>
      <c r="AC4218" t="s">
        <v>4575</v>
      </c>
      <c r="AD4218" t="s">
        <v>22439</v>
      </c>
      <c r="AE4218" t="s">
        <v>4655</v>
      </c>
      <c r="AF4218" t="s">
        <v>22440</v>
      </c>
      <c r="AG4218" t="s">
        <v>4584</v>
      </c>
      <c r="AH4218" t="s">
        <v>22441</v>
      </c>
      <c r="AI4218" t="s">
        <v>22442</v>
      </c>
      <c r="AJ4218" t="s">
        <v>22443</v>
      </c>
      <c r="AK4218" t="s">
        <v>22444</v>
      </c>
      <c r="AL4218" s="13" t="s">
        <v>1893</v>
      </c>
      <c r="AM4218" s="14">
        <v>1</v>
      </c>
      <c r="AN4218" s="15" t="s">
        <v>2559</v>
      </c>
    </row>
    <row r="4219" spans="1:40" x14ac:dyDescent="0.3">
      <c r="A4219" s="10" t="str">
        <f>HYPERLINK("http://www.washoecounty.gov/assessor/cama/?parid=122-100-25&amp;CardNumber=1","122-100-25")</f>
        <v>122-100-25</v>
      </c>
      <c r="B4219" t="s">
        <v>4655</v>
      </c>
      <c r="C4219" t="s">
        <v>22445</v>
      </c>
      <c r="D4219" s="1">
        <v>40283</v>
      </c>
      <c r="E4219" s="2">
        <v>11800000</v>
      </c>
      <c r="F4219" t="s">
        <v>2900</v>
      </c>
      <c r="G4219" s="17" t="str">
        <f>HYPERLINK("https://www.washoecounty.gov/assessor/cama/?command=sales&amp;parid=12210025","3871523")</f>
        <v>3871523</v>
      </c>
      <c r="H4219" t="s">
        <v>22446</v>
      </c>
      <c r="I4219">
        <v>1996</v>
      </c>
      <c r="J4219">
        <v>1996</v>
      </c>
      <c r="K4219" t="s">
        <v>4554</v>
      </c>
      <c r="L4219" t="s">
        <v>3974</v>
      </c>
      <c r="M4219" s="2">
        <v>3560</v>
      </c>
      <c r="N4219" t="s">
        <v>2631</v>
      </c>
      <c r="O4219">
        <v>3</v>
      </c>
      <c r="P4219">
        <v>4</v>
      </c>
      <c r="Q4219">
        <v>1</v>
      </c>
      <c r="R4219" t="s">
        <v>5630</v>
      </c>
      <c r="S4219" t="s">
        <v>4135</v>
      </c>
      <c r="T4219" t="s">
        <v>3713</v>
      </c>
      <c r="U4219" t="s">
        <v>4560</v>
      </c>
      <c r="V4219" s="2">
        <v>576</v>
      </c>
      <c r="W4219" t="s">
        <v>4655</v>
      </c>
      <c r="X4219" s="2">
        <v>0</v>
      </c>
      <c r="Y4219">
        <v>20</v>
      </c>
      <c r="Z4219" t="s">
        <v>1776</v>
      </c>
      <c r="AA4219" s="3">
        <v>0.87300276756286599</v>
      </c>
      <c r="AB4219" t="s">
        <v>22447</v>
      </c>
      <c r="AC4219" t="s">
        <v>4575</v>
      </c>
      <c r="AD4219" t="s">
        <v>22448</v>
      </c>
      <c r="AE4219" t="s">
        <v>4655</v>
      </c>
      <c r="AF4219" t="s">
        <v>4563</v>
      </c>
      <c r="AG4219" t="s">
        <v>4564</v>
      </c>
      <c r="AH4219">
        <v>89511</v>
      </c>
      <c r="AI4219" t="s">
        <v>22449</v>
      </c>
      <c r="AJ4219" t="s">
        <v>22450</v>
      </c>
      <c r="AK4219" t="s">
        <v>22451</v>
      </c>
      <c r="AL4219" s="13" t="s">
        <v>1893</v>
      </c>
      <c r="AM4219" s="14">
        <v>1</v>
      </c>
      <c r="AN4219" s="15" t="s">
        <v>2559</v>
      </c>
    </row>
    <row r="4220" spans="1:40" x14ac:dyDescent="0.3">
      <c r="A4220" s="10" t="str">
        <f>HYPERLINK("http://www.washoecounty.gov/assessor/cama/?parid=122-100-26&amp;CardNumber=1","122-100-26")</f>
        <v>122-100-26</v>
      </c>
      <c r="B4220" t="s">
        <v>4655</v>
      </c>
      <c r="C4220" t="s">
        <v>22452</v>
      </c>
      <c r="D4220" s="1">
        <v>40283</v>
      </c>
      <c r="E4220" s="2">
        <v>11800000</v>
      </c>
      <c r="F4220" t="s">
        <v>2900</v>
      </c>
      <c r="G4220" s="17" t="str">
        <f>HYPERLINK("https://www.washoecounty.gov/assessor/cama/?command=sales&amp;parid=12210026","3871523")</f>
        <v>3871523</v>
      </c>
      <c r="H4220" t="s">
        <v>22446</v>
      </c>
      <c r="I4220">
        <v>0</v>
      </c>
      <c r="J4220">
        <v>0</v>
      </c>
      <c r="K4220" t="s">
        <v>4655</v>
      </c>
      <c r="L4220" t="s">
        <v>4655</v>
      </c>
      <c r="M4220" s="2">
        <v>0</v>
      </c>
      <c r="N4220" t="s">
        <v>4655</v>
      </c>
      <c r="O4220">
        <v>0</v>
      </c>
      <c r="P4220">
        <v>0</v>
      </c>
      <c r="Q4220">
        <v>0</v>
      </c>
      <c r="R4220" t="s">
        <v>4655</v>
      </c>
      <c r="S4220" t="s">
        <v>4655</v>
      </c>
      <c r="T4220" t="s">
        <v>4655</v>
      </c>
      <c r="U4220" t="s">
        <v>4655</v>
      </c>
      <c r="V4220" s="2">
        <v>0</v>
      </c>
      <c r="W4220" t="s">
        <v>4655</v>
      </c>
      <c r="X4220" s="2">
        <v>0</v>
      </c>
      <c r="Y4220">
        <v>12</v>
      </c>
      <c r="Z4220" t="s">
        <v>1776</v>
      </c>
      <c r="AA4220" s="3">
        <v>3.8199999332427979</v>
      </c>
      <c r="AB4220" t="s">
        <v>22447</v>
      </c>
      <c r="AC4220" t="s">
        <v>4575</v>
      </c>
      <c r="AD4220" t="s">
        <v>22448</v>
      </c>
      <c r="AE4220" t="s">
        <v>4655</v>
      </c>
      <c r="AF4220" t="s">
        <v>4563</v>
      </c>
      <c r="AG4220" t="s">
        <v>4564</v>
      </c>
      <c r="AH4220">
        <v>89511</v>
      </c>
      <c r="AI4220" t="s">
        <v>22449</v>
      </c>
      <c r="AJ4220" t="s">
        <v>22450</v>
      </c>
      <c r="AK4220" t="s">
        <v>22453</v>
      </c>
      <c r="AL4220" s="13" t="s">
        <v>1893</v>
      </c>
      <c r="AM4220">
        <v>0</v>
      </c>
      <c r="AN4220" s="15" t="s">
        <v>2559</v>
      </c>
    </row>
    <row r="4221" spans="1:40" x14ac:dyDescent="0.3">
      <c r="A4221" s="10" t="str">
        <f>HYPERLINK("http://www.washoecounty.gov/assessor/cama/?parid=122-112-13&amp;CardNumber=1","122-112-13")</f>
        <v>122-112-13</v>
      </c>
      <c r="B4221" t="s">
        <v>4655</v>
      </c>
      <c r="C4221" t="s">
        <v>22454</v>
      </c>
      <c r="D4221" s="1">
        <v>40441</v>
      </c>
      <c r="E4221" s="2">
        <v>3250000</v>
      </c>
      <c r="F4221" t="s">
        <v>3259</v>
      </c>
      <c r="G4221" s="17" t="str">
        <f>HYPERLINK("https://www.washoecounty.gov/assessor/cama/?command=sales&amp;parid=12211213","3923960")</f>
        <v>3923960</v>
      </c>
      <c r="H4221" t="s">
        <v>22455</v>
      </c>
      <c r="I4221">
        <v>2003</v>
      </c>
      <c r="J4221">
        <v>2003</v>
      </c>
      <c r="K4221" t="s">
        <v>4554</v>
      </c>
      <c r="L4221" t="s">
        <v>4555</v>
      </c>
      <c r="M4221" s="2">
        <v>8032</v>
      </c>
      <c r="N4221" t="s">
        <v>4588</v>
      </c>
      <c r="O4221">
        <v>5</v>
      </c>
      <c r="P4221">
        <v>6</v>
      </c>
      <c r="Q4221">
        <v>1</v>
      </c>
      <c r="R4221" t="s">
        <v>5630</v>
      </c>
      <c r="S4221" t="s">
        <v>4898</v>
      </c>
      <c r="T4221" t="s">
        <v>4559</v>
      </c>
      <c r="U4221" t="s">
        <v>5631</v>
      </c>
      <c r="V4221" s="2">
        <v>840</v>
      </c>
      <c r="W4221" t="s">
        <v>1500</v>
      </c>
      <c r="X4221" s="2">
        <v>542</v>
      </c>
      <c r="Y4221">
        <v>20</v>
      </c>
      <c r="Z4221" t="s">
        <v>5508</v>
      </c>
      <c r="AA4221" s="3">
        <v>0.57419651746749878</v>
      </c>
      <c r="AB4221" t="s">
        <v>22456</v>
      </c>
      <c r="AC4221" t="s">
        <v>4562</v>
      </c>
      <c r="AD4221" t="s">
        <v>22457</v>
      </c>
      <c r="AE4221" t="s">
        <v>4655</v>
      </c>
      <c r="AF4221" t="s">
        <v>5206</v>
      </c>
      <c r="AG4221" t="s">
        <v>4564</v>
      </c>
      <c r="AH4221" t="s">
        <v>5207</v>
      </c>
      <c r="AI4221" t="s">
        <v>22458</v>
      </c>
      <c r="AJ4221" t="s">
        <v>4655</v>
      </c>
      <c r="AK4221" t="s">
        <v>22459</v>
      </c>
      <c r="AL4221" s="13" t="s">
        <v>1893</v>
      </c>
      <c r="AM4221" s="14">
        <v>1</v>
      </c>
      <c r="AN4221" s="15" t="s">
        <v>2908</v>
      </c>
    </row>
    <row r="4222" spans="1:40" x14ac:dyDescent="0.3">
      <c r="A4222" s="10" t="str">
        <f>HYPERLINK("http://www.washoecounty.gov/assessor/cama/?parid=122-113-09&amp;CardNumber=1","122-113-09")</f>
        <v>122-113-09</v>
      </c>
      <c r="B4222" t="s">
        <v>4655</v>
      </c>
      <c r="C4222" t="s">
        <v>5229</v>
      </c>
      <c r="D4222" s="1">
        <v>40183</v>
      </c>
      <c r="E4222" s="2">
        <v>3730000</v>
      </c>
      <c r="F4222" t="s">
        <v>3512</v>
      </c>
      <c r="G4222" s="17" t="str">
        <f>HYPERLINK("https://www.washoecounty.gov/assessor/cama/?command=sales&amp;parid=12211309","3836525")</f>
        <v>3836525</v>
      </c>
      <c r="H4222" t="s">
        <v>5628</v>
      </c>
      <c r="I4222">
        <v>2001</v>
      </c>
      <c r="J4222">
        <v>2001</v>
      </c>
      <c r="K4222" t="s">
        <v>4554</v>
      </c>
      <c r="L4222" t="s">
        <v>3974</v>
      </c>
      <c r="M4222" s="2">
        <v>7019</v>
      </c>
      <c r="N4222" t="s">
        <v>5629</v>
      </c>
      <c r="O4222">
        <v>5</v>
      </c>
      <c r="P4222">
        <v>5</v>
      </c>
      <c r="Q4222">
        <v>1</v>
      </c>
      <c r="R4222" t="s">
        <v>5630</v>
      </c>
      <c r="S4222" t="s">
        <v>4898</v>
      </c>
      <c r="T4222" t="s">
        <v>4559</v>
      </c>
      <c r="U4222" t="s">
        <v>5631</v>
      </c>
      <c r="V4222" s="2">
        <v>777</v>
      </c>
      <c r="W4222" t="s">
        <v>4655</v>
      </c>
      <c r="X4222" s="2">
        <v>0</v>
      </c>
      <c r="Y4222">
        <v>20</v>
      </c>
      <c r="Z4222" t="s">
        <v>5508</v>
      </c>
      <c r="AA4222" s="3">
        <v>0.43399909138679499</v>
      </c>
      <c r="AB4222" t="s">
        <v>22460</v>
      </c>
      <c r="AC4222" t="s">
        <v>4562</v>
      </c>
      <c r="AD4222" t="s">
        <v>22461</v>
      </c>
      <c r="AE4222" t="s">
        <v>4655</v>
      </c>
      <c r="AF4222" t="s">
        <v>5740</v>
      </c>
      <c r="AG4222" t="s">
        <v>5204</v>
      </c>
      <c r="AH4222">
        <v>60045</v>
      </c>
      <c r="AI4222" t="s">
        <v>22462</v>
      </c>
      <c r="AJ4222" t="s">
        <v>4655</v>
      </c>
      <c r="AK4222" t="s">
        <v>22463</v>
      </c>
      <c r="AL4222" s="13" t="s">
        <v>1893</v>
      </c>
      <c r="AM4222">
        <v>1</v>
      </c>
      <c r="AN4222" s="15" t="s">
        <v>2908</v>
      </c>
    </row>
    <row r="4223" spans="1:40" x14ac:dyDescent="0.3">
      <c r="A4223" s="10" t="str">
        <f>HYPERLINK("http://www.washoecounty.gov/assessor/cama/?parid=122-115-12&amp;CardNumber=1","122-115-12")</f>
        <v>122-115-12</v>
      </c>
      <c r="B4223" t="s">
        <v>4655</v>
      </c>
      <c r="C4223" t="s">
        <v>22464</v>
      </c>
      <c r="D4223" s="1">
        <v>40465</v>
      </c>
      <c r="E4223" s="2">
        <v>542000</v>
      </c>
      <c r="F4223" t="s">
        <v>3259</v>
      </c>
      <c r="G4223" s="17" t="str">
        <f>HYPERLINK("https://www.washoecounty.gov/assessor/cama/?command=sales&amp;parid=12211512","3933028")</f>
        <v>3933028</v>
      </c>
      <c r="H4223" t="s">
        <v>2509</v>
      </c>
      <c r="I4223">
        <v>1973</v>
      </c>
      <c r="J4223">
        <v>1973</v>
      </c>
      <c r="K4223" t="s">
        <v>4554</v>
      </c>
      <c r="L4223" t="s">
        <v>3886</v>
      </c>
      <c r="M4223" s="2">
        <v>1708</v>
      </c>
      <c r="N4223" t="s">
        <v>3147</v>
      </c>
      <c r="O4223">
        <v>4</v>
      </c>
      <c r="P4223">
        <v>2</v>
      </c>
      <c r="Q4223">
        <v>0</v>
      </c>
      <c r="R4223" t="s">
        <v>5205</v>
      </c>
      <c r="S4223" t="s">
        <v>4135</v>
      </c>
      <c r="T4223" t="s">
        <v>4143</v>
      </c>
      <c r="U4223" t="s">
        <v>4655</v>
      </c>
      <c r="V4223" s="2">
        <v>0</v>
      </c>
      <c r="W4223" t="s">
        <v>3201</v>
      </c>
      <c r="X4223" s="2">
        <v>616</v>
      </c>
      <c r="Y4223">
        <v>20</v>
      </c>
      <c r="Z4223" t="s">
        <v>5508</v>
      </c>
      <c r="AA4223" s="3">
        <v>0.42899447679519653</v>
      </c>
      <c r="AB4223" t="s">
        <v>22465</v>
      </c>
      <c r="AC4223" t="s">
        <v>4562</v>
      </c>
      <c r="AD4223" t="s">
        <v>22466</v>
      </c>
      <c r="AE4223" t="s">
        <v>4655</v>
      </c>
      <c r="AF4223" t="s">
        <v>22467</v>
      </c>
      <c r="AG4223" t="s">
        <v>4584</v>
      </c>
      <c r="AH4223">
        <v>94080</v>
      </c>
      <c r="AI4223" t="s">
        <v>22468</v>
      </c>
      <c r="AJ4223" t="s">
        <v>4655</v>
      </c>
      <c r="AK4223" t="s">
        <v>22469</v>
      </c>
      <c r="AL4223" s="13" t="s">
        <v>1893</v>
      </c>
      <c r="AM4223">
        <v>1</v>
      </c>
      <c r="AN4223" s="15" t="s">
        <v>2908</v>
      </c>
    </row>
    <row r="4224" spans="1:40" x14ac:dyDescent="0.3">
      <c r="A4224" s="10" t="str">
        <f>HYPERLINK("http://www.washoecounty.gov/assessor/cama/?parid=122-124-03&amp;CardNumber=1","122-124-03")</f>
        <v>122-124-03</v>
      </c>
      <c r="B4224" t="s">
        <v>4655</v>
      </c>
      <c r="C4224" t="s">
        <v>22470</v>
      </c>
      <c r="D4224" s="1">
        <v>40466</v>
      </c>
      <c r="E4224" s="2">
        <v>529900</v>
      </c>
      <c r="F4224" t="s">
        <v>3259</v>
      </c>
      <c r="G4224" s="17" t="str">
        <f>HYPERLINK("https://www.washoecounty.gov/assessor/cama/?command=sales&amp;parid=12212403","3933372")</f>
        <v>3933372</v>
      </c>
      <c r="H4224" t="s">
        <v>2922</v>
      </c>
      <c r="I4224">
        <v>1966</v>
      </c>
      <c r="J4224">
        <v>1968</v>
      </c>
      <c r="K4224" t="s">
        <v>4554</v>
      </c>
      <c r="L4224" t="s">
        <v>2170</v>
      </c>
      <c r="M4224" s="2">
        <v>1710</v>
      </c>
      <c r="N4224" t="s">
        <v>5280</v>
      </c>
      <c r="O4224">
        <v>3</v>
      </c>
      <c r="P4224">
        <v>3</v>
      </c>
      <c r="Q4224">
        <v>0</v>
      </c>
      <c r="R4224" t="s">
        <v>4676</v>
      </c>
      <c r="S4224" t="s">
        <v>4135</v>
      </c>
      <c r="T4224" t="s">
        <v>3888</v>
      </c>
      <c r="U4224" t="s">
        <v>4560</v>
      </c>
      <c r="V4224" s="2">
        <v>528</v>
      </c>
      <c r="W4224" t="s">
        <v>4655</v>
      </c>
      <c r="X4224" s="2">
        <v>0</v>
      </c>
      <c r="Y4224">
        <v>20</v>
      </c>
      <c r="Z4224" t="s">
        <v>5508</v>
      </c>
      <c r="AA4224" s="3">
        <v>0.39299815893173218</v>
      </c>
      <c r="AB4224" t="s">
        <v>22471</v>
      </c>
      <c r="AC4224" t="s">
        <v>4562</v>
      </c>
      <c r="AD4224" t="s">
        <v>22472</v>
      </c>
      <c r="AE4224" t="s">
        <v>22473</v>
      </c>
      <c r="AF4224" t="s">
        <v>4054</v>
      </c>
      <c r="AG4224" t="s">
        <v>4564</v>
      </c>
      <c r="AH4224" t="s">
        <v>5207</v>
      </c>
      <c r="AI4224" t="s">
        <v>4655</v>
      </c>
      <c r="AJ4224" t="s">
        <v>4655</v>
      </c>
      <c r="AK4224" t="s">
        <v>22474</v>
      </c>
      <c r="AL4224" s="13" t="s">
        <v>1893</v>
      </c>
      <c r="AM4224">
        <v>1</v>
      </c>
      <c r="AN4224" s="15" t="s">
        <v>2908</v>
      </c>
    </row>
    <row r="4225" spans="1:40" x14ac:dyDescent="0.3">
      <c r="A4225" s="10" t="str">
        <f>HYPERLINK("http://www.washoecounty.gov/assessor/cama/?parid=122-124-08&amp;CardNumber=1","122-124-08")</f>
        <v>122-124-08</v>
      </c>
      <c r="B4225" t="s">
        <v>4655</v>
      </c>
      <c r="C4225" t="s">
        <v>22475</v>
      </c>
      <c r="D4225" s="1">
        <v>40214</v>
      </c>
      <c r="E4225" s="2">
        <v>612500</v>
      </c>
      <c r="F4225" t="s">
        <v>3259</v>
      </c>
      <c r="G4225" s="17" t="str">
        <f>HYPERLINK("https://www.washoecounty.gov/assessor/cama/?command=sales&amp;parid=12212408","3846337")</f>
        <v>3846337</v>
      </c>
      <c r="H4225" t="s">
        <v>2922</v>
      </c>
      <c r="I4225">
        <v>1974</v>
      </c>
      <c r="J4225">
        <v>1978</v>
      </c>
      <c r="K4225" t="s">
        <v>4554</v>
      </c>
      <c r="L4225" t="s">
        <v>3974</v>
      </c>
      <c r="M4225" s="2">
        <v>2490</v>
      </c>
      <c r="N4225" t="s">
        <v>3887</v>
      </c>
      <c r="O4225">
        <v>3</v>
      </c>
      <c r="P4225">
        <v>3</v>
      </c>
      <c r="Q4225">
        <v>0</v>
      </c>
      <c r="R4225" t="s">
        <v>4557</v>
      </c>
      <c r="S4225" t="s">
        <v>4135</v>
      </c>
      <c r="T4225" t="s">
        <v>4559</v>
      </c>
      <c r="U4225" t="s">
        <v>5631</v>
      </c>
      <c r="V4225" s="2">
        <v>672</v>
      </c>
      <c r="W4225" t="s">
        <v>4655</v>
      </c>
      <c r="X4225" s="2">
        <v>0</v>
      </c>
      <c r="Y4225">
        <v>20</v>
      </c>
      <c r="Z4225" t="s">
        <v>5508</v>
      </c>
      <c r="AA4225" s="3">
        <v>0.34400826692581199</v>
      </c>
      <c r="AB4225" t="s">
        <v>22476</v>
      </c>
      <c r="AC4225" t="s">
        <v>4562</v>
      </c>
      <c r="AD4225" t="s">
        <v>22477</v>
      </c>
      <c r="AE4225" t="s">
        <v>4655</v>
      </c>
      <c r="AF4225" t="s">
        <v>5206</v>
      </c>
      <c r="AG4225" t="s">
        <v>4564</v>
      </c>
      <c r="AH4225" t="s">
        <v>5275</v>
      </c>
      <c r="AI4225" t="s">
        <v>22478</v>
      </c>
      <c r="AJ4225" t="s">
        <v>4655</v>
      </c>
      <c r="AK4225" t="s">
        <v>22479</v>
      </c>
      <c r="AL4225" s="13" t="s">
        <v>1893</v>
      </c>
      <c r="AM4225">
        <v>1</v>
      </c>
      <c r="AN4225" s="15" t="s">
        <v>2908</v>
      </c>
    </row>
    <row r="4226" spans="1:40" x14ac:dyDescent="0.3">
      <c r="A4226" s="10" t="str">
        <f>HYPERLINK("http://www.washoecounty.gov/assessor/cama/?parid=122-126-20&amp;CardNumber=1","122-126-20")</f>
        <v>122-126-20</v>
      </c>
      <c r="B4226" t="s">
        <v>4655</v>
      </c>
      <c r="C4226" t="s">
        <v>22480</v>
      </c>
      <c r="D4226" s="1">
        <v>40374</v>
      </c>
      <c r="E4226" s="2">
        <v>450000</v>
      </c>
      <c r="F4226" t="s">
        <v>4567</v>
      </c>
      <c r="G4226" s="17" t="str">
        <f>HYPERLINK("https://www.washoecounty.gov/assessor/cama/?command=sales&amp;parid=12212620","3901633")</f>
        <v>3901633</v>
      </c>
      <c r="H4226" t="s">
        <v>22481</v>
      </c>
      <c r="I4226">
        <v>2011</v>
      </c>
      <c r="J4226">
        <v>2011</v>
      </c>
      <c r="K4226" t="s">
        <v>4554</v>
      </c>
      <c r="L4226" t="s">
        <v>3974</v>
      </c>
      <c r="M4226" s="2">
        <v>3952</v>
      </c>
      <c r="N4226" t="s">
        <v>2631</v>
      </c>
      <c r="O4226">
        <v>4</v>
      </c>
      <c r="P4226">
        <v>4</v>
      </c>
      <c r="Q4226">
        <v>0</v>
      </c>
      <c r="R4226" t="s">
        <v>5630</v>
      </c>
      <c r="S4226" t="s">
        <v>4135</v>
      </c>
      <c r="T4226" t="s">
        <v>4559</v>
      </c>
      <c r="U4226" t="s">
        <v>4560</v>
      </c>
      <c r="V4226" s="2">
        <v>648</v>
      </c>
      <c r="W4226" t="s">
        <v>4655</v>
      </c>
      <c r="X4226" s="2">
        <v>0</v>
      </c>
      <c r="Y4226">
        <v>20</v>
      </c>
      <c r="Z4226" t="s">
        <v>5508</v>
      </c>
      <c r="AA4226" s="3">
        <v>0.45899906754493702</v>
      </c>
      <c r="AB4226" t="s">
        <v>22482</v>
      </c>
      <c r="AC4226" t="s">
        <v>4562</v>
      </c>
      <c r="AD4226" t="s">
        <v>22483</v>
      </c>
      <c r="AE4226" t="s">
        <v>4655</v>
      </c>
      <c r="AF4226" t="s">
        <v>3960</v>
      </c>
      <c r="AG4226" t="s">
        <v>5277</v>
      </c>
      <c r="AH4226" t="s">
        <v>22484</v>
      </c>
      <c r="AI4226" t="s">
        <v>22485</v>
      </c>
      <c r="AJ4226" t="s">
        <v>4655</v>
      </c>
      <c r="AK4226" t="s">
        <v>22486</v>
      </c>
      <c r="AL4226" s="13" t="s">
        <v>1893</v>
      </c>
      <c r="AM4226">
        <v>1</v>
      </c>
      <c r="AN4226" s="15" t="s">
        <v>2908</v>
      </c>
    </row>
    <row r="4227" spans="1:40" x14ac:dyDescent="0.3">
      <c r="A4227" s="10" t="str">
        <f>HYPERLINK("http://www.washoecounty.gov/assessor/cama/?parid=122-135-21&amp;CardNumber=1","122-135-21")</f>
        <v>122-135-21</v>
      </c>
      <c r="B4227" t="s">
        <v>4655</v>
      </c>
      <c r="C4227" t="s">
        <v>22487</v>
      </c>
      <c r="D4227" s="1">
        <v>40182</v>
      </c>
      <c r="E4227" s="2">
        <v>651000</v>
      </c>
      <c r="F4227" t="s">
        <v>3512</v>
      </c>
      <c r="G4227" s="17" t="str">
        <f>HYPERLINK("https://www.washoecounty.gov/assessor/cama/?command=sales&amp;parid=12213521","3836222")</f>
        <v>3836222</v>
      </c>
      <c r="H4227" t="s">
        <v>22488</v>
      </c>
      <c r="I4227">
        <v>1970</v>
      </c>
      <c r="J4227">
        <v>1970</v>
      </c>
      <c r="K4227" t="s">
        <v>4554</v>
      </c>
      <c r="L4227" t="s">
        <v>3974</v>
      </c>
      <c r="M4227" s="2">
        <v>1920</v>
      </c>
      <c r="N4227" t="s">
        <v>4048</v>
      </c>
      <c r="O4227">
        <v>3</v>
      </c>
      <c r="P4227">
        <v>2</v>
      </c>
      <c r="Q4227">
        <v>0</v>
      </c>
      <c r="R4227" t="s">
        <v>5205</v>
      </c>
      <c r="S4227" t="s">
        <v>4135</v>
      </c>
      <c r="T4227" t="s">
        <v>4559</v>
      </c>
      <c r="U4227" t="s">
        <v>5631</v>
      </c>
      <c r="V4227" s="2">
        <v>480</v>
      </c>
      <c r="W4227" t="s">
        <v>4655</v>
      </c>
      <c r="X4227" s="2">
        <v>0</v>
      </c>
      <c r="Y4227">
        <v>20</v>
      </c>
      <c r="Z4227" t="s">
        <v>5508</v>
      </c>
      <c r="AA4227" s="3">
        <v>0.49201101064682001</v>
      </c>
      <c r="AB4227" t="s">
        <v>22489</v>
      </c>
      <c r="AC4227" t="s">
        <v>4562</v>
      </c>
      <c r="AD4227" t="s">
        <v>22487</v>
      </c>
      <c r="AE4227" t="s">
        <v>4655</v>
      </c>
      <c r="AF4227" t="s">
        <v>5206</v>
      </c>
      <c r="AG4227" t="s">
        <v>4564</v>
      </c>
      <c r="AH4227" t="s">
        <v>5207</v>
      </c>
      <c r="AI4227" t="s">
        <v>22490</v>
      </c>
      <c r="AJ4227" t="s">
        <v>4655</v>
      </c>
      <c r="AK4227" t="s">
        <v>22491</v>
      </c>
      <c r="AL4227" s="13" t="s">
        <v>1893</v>
      </c>
      <c r="AM4227">
        <v>1</v>
      </c>
      <c r="AN4227" s="15" t="s">
        <v>2907</v>
      </c>
    </row>
    <row r="4228" spans="1:40" x14ac:dyDescent="0.3">
      <c r="A4228" s="10" t="str">
        <f>HYPERLINK("http://www.washoecounty.gov/assessor/cama/?parid=122-135-22&amp;CardNumber=1","122-135-22")</f>
        <v>122-135-22</v>
      </c>
      <c r="B4228" t="s">
        <v>4655</v>
      </c>
      <c r="C4228" t="s">
        <v>22492</v>
      </c>
      <c r="D4228" s="1">
        <v>40380</v>
      </c>
      <c r="E4228" s="2">
        <v>1250000</v>
      </c>
      <c r="F4228" t="s">
        <v>3259</v>
      </c>
      <c r="G4228" s="17" t="str">
        <f>HYPERLINK("https://www.washoecounty.gov/assessor/cama/?command=sales&amp;parid=12213522","3903443")</f>
        <v>3903443</v>
      </c>
      <c r="H4228" t="s">
        <v>22493</v>
      </c>
      <c r="I4228">
        <v>1985</v>
      </c>
      <c r="J4228">
        <v>1990</v>
      </c>
      <c r="K4228" t="s">
        <v>4554</v>
      </c>
      <c r="L4228" t="s">
        <v>3974</v>
      </c>
      <c r="M4228" s="2">
        <v>3196</v>
      </c>
      <c r="N4228" t="s">
        <v>5106</v>
      </c>
      <c r="O4228">
        <v>4</v>
      </c>
      <c r="P4228">
        <v>3</v>
      </c>
      <c r="Q4228">
        <v>0</v>
      </c>
      <c r="R4228" t="s">
        <v>4557</v>
      </c>
      <c r="S4228" t="s">
        <v>4135</v>
      </c>
      <c r="T4228" t="s">
        <v>4559</v>
      </c>
      <c r="U4228" t="s">
        <v>5631</v>
      </c>
      <c r="V4228" s="2">
        <v>572</v>
      </c>
      <c r="W4228" t="s">
        <v>4655</v>
      </c>
      <c r="X4228" s="2">
        <v>0</v>
      </c>
      <c r="Y4228">
        <v>20</v>
      </c>
      <c r="Z4228" t="s">
        <v>5508</v>
      </c>
      <c r="AA4228" s="3">
        <v>0.39699265360832198</v>
      </c>
      <c r="AB4228" t="s">
        <v>22494</v>
      </c>
      <c r="AC4228" t="s">
        <v>4562</v>
      </c>
      <c r="AD4228" t="s">
        <v>22492</v>
      </c>
      <c r="AE4228" t="s">
        <v>4655</v>
      </c>
      <c r="AF4228" t="s">
        <v>5206</v>
      </c>
      <c r="AG4228" t="s">
        <v>4564</v>
      </c>
      <c r="AH4228" t="s">
        <v>5207</v>
      </c>
      <c r="AI4228" t="s">
        <v>4655</v>
      </c>
      <c r="AJ4228" t="s">
        <v>4655</v>
      </c>
      <c r="AK4228" t="s">
        <v>22495</v>
      </c>
      <c r="AL4228" s="13" t="s">
        <v>1893</v>
      </c>
      <c r="AM4228">
        <v>1</v>
      </c>
      <c r="AN4228" s="15" t="s">
        <v>2908</v>
      </c>
    </row>
    <row r="4229" spans="1:40" x14ac:dyDescent="0.3">
      <c r="A4229" s="10" t="str">
        <f>HYPERLINK("http://www.washoecounty.gov/assessor/cama/?parid=122-141-01&amp;CardNumber=1","122-141-01")</f>
        <v>122-141-01</v>
      </c>
      <c r="B4229" t="s">
        <v>4655</v>
      </c>
      <c r="C4229" t="s">
        <v>22496</v>
      </c>
      <c r="D4229" s="1">
        <v>40515</v>
      </c>
      <c r="E4229" s="2">
        <v>850000</v>
      </c>
      <c r="F4229" t="s">
        <v>3259</v>
      </c>
      <c r="G4229" s="17" t="str">
        <f>HYPERLINK("https://www.washoecounty.gov/assessor/cama/?command=sales&amp;parid=12214101","3948984")</f>
        <v>3948984</v>
      </c>
      <c r="H4229" t="s">
        <v>22497</v>
      </c>
      <c r="I4229">
        <v>1984</v>
      </c>
      <c r="J4229">
        <v>1984</v>
      </c>
      <c r="K4229" t="s">
        <v>4554</v>
      </c>
      <c r="L4229" t="s">
        <v>3974</v>
      </c>
      <c r="M4229" s="2">
        <v>2724</v>
      </c>
      <c r="N4229" t="s">
        <v>3147</v>
      </c>
      <c r="O4229">
        <v>4</v>
      </c>
      <c r="P4229">
        <v>3</v>
      </c>
      <c r="Q4229">
        <v>0</v>
      </c>
      <c r="R4229" t="s">
        <v>4557</v>
      </c>
      <c r="S4229" t="s">
        <v>4135</v>
      </c>
      <c r="T4229" t="s">
        <v>4559</v>
      </c>
      <c r="U4229" t="s">
        <v>4560</v>
      </c>
      <c r="V4229" s="2">
        <v>506</v>
      </c>
      <c r="W4229" t="s">
        <v>4655</v>
      </c>
      <c r="X4229" s="2">
        <v>0</v>
      </c>
      <c r="Y4229">
        <v>20</v>
      </c>
      <c r="Z4229" t="s">
        <v>5508</v>
      </c>
      <c r="AA4229" s="3">
        <v>0.44800275564193698</v>
      </c>
      <c r="AB4229" t="s">
        <v>22498</v>
      </c>
      <c r="AC4229" t="s">
        <v>4575</v>
      </c>
      <c r="AD4229" t="s">
        <v>22499</v>
      </c>
      <c r="AE4229" t="s">
        <v>4655</v>
      </c>
      <c r="AF4229" t="s">
        <v>5206</v>
      </c>
      <c r="AG4229" t="s">
        <v>4564</v>
      </c>
      <c r="AH4229" t="s">
        <v>5275</v>
      </c>
      <c r="AI4229" t="s">
        <v>22500</v>
      </c>
      <c r="AJ4229" t="s">
        <v>4655</v>
      </c>
      <c r="AK4229" t="s">
        <v>22501</v>
      </c>
      <c r="AL4229" s="13" t="s">
        <v>1893</v>
      </c>
      <c r="AM4229" s="14">
        <v>1</v>
      </c>
      <c r="AN4229" s="15" t="s">
        <v>2908</v>
      </c>
    </row>
    <row r="4230" spans="1:40" x14ac:dyDescent="0.3">
      <c r="A4230" s="10" t="str">
        <f>HYPERLINK("http://www.washoecounty.gov/assessor/cama/?parid=122-191-08&amp;CardNumber=1","122-191-08")</f>
        <v>122-191-08</v>
      </c>
      <c r="B4230" t="s">
        <v>4655</v>
      </c>
      <c r="C4230" t="s">
        <v>22502</v>
      </c>
      <c r="D4230" s="1">
        <v>40494</v>
      </c>
      <c r="E4230" s="2">
        <v>700000</v>
      </c>
      <c r="F4230" t="s">
        <v>3259</v>
      </c>
      <c r="G4230" s="17" t="str">
        <f>HYPERLINK("https://www.washoecounty.gov/assessor/cama/?command=sales&amp;parid=12219108","3942462")</f>
        <v>3942462</v>
      </c>
      <c r="H4230" t="s">
        <v>2966</v>
      </c>
      <c r="I4230">
        <v>1992</v>
      </c>
      <c r="J4230">
        <v>1992</v>
      </c>
      <c r="K4230" t="s">
        <v>4554</v>
      </c>
      <c r="L4230" t="s">
        <v>4555</v>
      </c>
      <c r="M4230" s="2">
        <v>2417</v>
      </c>
      <c r="N4230" t="s">
        <v>3147</v>
      </c>
      <c r="O4230">
        <v>3</v>
      </c>
      <c r="P4230">
        <v>3</v>
      </c>
      <c r="Q4230">
        <v>0</v>
      </c>
      <c r="R4230" t="s">
        <v>4557</v>
      </c>
      <c r="S4230" t="s">
        <v>4135</v>
      </c>
      <c r="T4230" t="s">
        <v>3888</v>
      </c>
      <c r="U4230" t="s">
        <v>4655</v>
      </c>
      <c r="V4230" s="2">
        <v>0</v>
      </c>
      <c r="W4230" t="s">
        <v>4571</v>
      </c>
      <c r="X4230" s="2">
        <v>2417</v>
      </c>
      <c r="Y4230">
        <v>20</v>
      </c>
      <c r="Z4230" t="s">
        <v>5508</v>
      </c>
      <c r="AA4230" s="3">
        <v>0.51701104640960605</v>
      </c>
      <c r="AB4230" t="s">
        <v>22503</v>
      </c>
      <c r="AC4230" t="s">
        <v>4562</v>
      </c>
      <c r="AD4230" t="s">
        <v>22504</v>
      </c>
      <c r="AE4230" t="s">
        <v>4655</v>
      </c>
      <c r="AF4230" t="s">
        <v>4054</v>
      </c>
      <c r="AG4230" t="s">
        <v>4564</v>
      </c>
      <c r="AH4230" t="s">
        <v>5207</v>
      </c>
      <c r="AI4230" t="s">
        <v>22505</v>
      </c>
      <c r="AJ4230" t="s">
        <v>4655</v>
      </c>
      <c r="AK4230" t="s">
        <v>22506</v>
      </c>
      <c r="AL4230" s="13" t="s">
        <v>1893</v>
      </c>
      <c r="AM4230">
        <v>1</v>
      </c>
      <c r="AN4230" s="15" t="s">
        <v>2910</v>
      </c>
    </row>
    <row r="4231" spans="1:40" x14ac:dyDescent="0.3">
      <c r="A4231" s="10" t="str">
        <f>HYPERLINK("http://www.washoecounty.gov/assessor/cama/?parid=122-191-23&amp;CardNumber=1","122-191-23")</f>
        <v>122-191-23</v>
      </c>
      <c r="B4231" t="s">
        <v>4655</v>
      </c>
      <c r="C4231" t="s">
        <v>22507</v>
      </c>
      <c r="D4231" s="1">
        <v>40459</v>
      </c>
      <c r="E4231" s="2">
        <v>1050000</v>
      </c>
      <c r="F4231" t="s">
        <v>4201</v>
      </c>
      <c r="G4231" s="17" t="str">
        <f>HYPERLINK("https://www.washoecounty.gov/assessor/cama/?command=sales&amp;parid=12219123","3931096")</f>
        <v>3931096</v>
      </c>
      <c r="H4231" t="s">
        <v>751</v>
      </c>
      <c r="I4231">
        <v>1976</v>
      </c>
      <c r="J4231">
        <v>1976</v>
      </c>
      <c r="K4231" t="s">
        <v>4554</v>
      </c>
      <c r="L4231" t="s">
        <v>3974</v>
      </c>
      <c r="M4231" s="2">
        <v>1896</v>
      </c>
      <c r="N4231" t="s">
        <v>3147</v>
      </c>
      <c r="O4231">
        <v>3</v>
      </c>
      <c r="P4231">
        <v>2</v>
      </c>
      <c r="Q4231">
        <v>0</v>
      </c>
      <c r="R4231" t="s">
        <v>4557</v>
      </c>
      <c r="S4231" t="s">
        <v>4135</v>
      </c>
      <c r="T4231" t="s">
        <v>4559</v>
      </c>
      <c r="U4231" t="s">
        <v>4560</v>
      </c>
      <c r="V4231" s="2">
        <v>528</v>
      </c>
      <c r="W4231" t="s">
        <v>4655</v>
      </c>
      <c r="X4231" s="2">
        <v>0</v>
      </c>
      <c r="Y4231">
        <v>20</v>
      </c>
      <c r="Z4231" t="s">
        <v>5508</v>
      </c>
      <c r="AA4231" s="3">
        <v>0.41299358010292098</v>
      </c>
      <c r="AB4231" t="s">
        <v>22508</v>
      </c>
      <c r="AC4231" t="s">
        <v>4575</v>
      </c>
      <c r="AD4231" t="s">
        <v>22509</v>
      </c>
      <c r="AE4231" t="s">
        <v>4655</v>
      </c>
      <c r="AF4231" t="s">
        <v>22510</v>
      </c>
      <c r="AG4231" t="s">
        <v>4584</v>
      </c>
      <c r="AH4231" t="s">
        <v>22511</v>
      </c>
      <c r="AI4231" t="s">
        <v>22512</v>
      </c>
      <c r="AJ4231" t="s">
        <v>4655</v>
      </c>
      <c r="AK4231" t="s">
        <v>22513</v>
      </c>
      <c r="AL4231" s="13" t="s">
        <v>1893</v>
      </c>
      <c r="AM4231" s="14">
        <v>1</v>
      </c>
      <c r="AN4231" s="15" t="s">
        <v>2910</v>
      </c>
    </row>
    <row r="4232" spans="1:40" x14ac:dyDescent="0.3">
      <c r="A4232" s="10" t="str">
        <f>HYPERLINK("http://www.washoecounty.gov/assessor/cama/?parid=122-193-37&amp;CardNumber=1","122-193-37")</f>
        <v>122-193-37</v>
      </c>
      <c r="B4232" t="s">
        <v>4655</v>
      </c>
      <c r="C4232" t="s">
        <v>22514</v>
      </c>
      <c r="D4232" s="1">
        <v>40344</v>
      </c>
      <c r="E4232" s="2">
        <v>3200000</v>
      </c>
      <c r="F4232" t="s">
        <v>3259</v>
      </c>
      <c r="G4232" s="17" t="str">
        <f>HYPERLINK("https://www.washoecounty.gov/assessor/cama/?command=sales&amp;parid=12219337","3891797")</f>
        <v>3891797</v>
      </c>
      <c r="H4232" t="s">
        <v>751</v>
      </c>
      <c r="I4232">
        <v>2007</v>
      </c>
      <c r="J4232">
        <v>2007</v>
      </c>
      <c r="K4232" t="s">
        <v>4554</v>
      </c>
      <c r="L4232" t="s">
        <v>3974</v>
      </c>
      <c r="M4232" s="2">
        <v>4620</v>
      </c>
      <c r="N4232" t="s">
        <v>2967</v>
      </c>
      <c r="O4232">
        <v>4</v>
      </c>
      <c r="P4232">
        <v>3</v>
      </c>
      <c r="Q4232">
        <v>1</v>
      </c>
      <c r="R4232" t="s">
        <v>5630</v>
      </c>
      <c r="S4232" t="s">
        <v>4898</v>
      </c>
      <c r="T4232" t="s">
        <v>4559</v>
      </c>
      <c r="U4232" t="s">
        <v>5631</v>
      </c>
      <c r="V4232" s="2">
        <v>1128</v>
      </c>
      <c r="W4232" t="s">
        <v>4655</v>
      </c>
      <c r="X4232" s="2">
        <v>0</v>
      </c>
      <c r="Y4232">
        <v>20</v>
      </c>
      <c r="Z4232" t="s">
        <v>5508</v>
      </c>
      <c r="AA4232" s="3">
        <v>0.46999540925025901</v>
      </c>
      <c r="AB4232" t="s">
        <v>22515</v>
      </c>
      <c r="AC4232" t="s">
        <v>4562</v>
      </c>
      <c r="AD4232" t="s">
        <v>22516</v>
      </c>
      <c r="AE4232" t="s">
        <v>4655</v>
      </c>
      <c r="AF4232" t="s">
        <v>4563</v>
      </c>
      <c r="AG4232" t="s">
        <v>4564</v>
      </c>
      <c r="AH4232">
        <v>89509</v>
      </c>
      <c r="AI4232" t="s">
        <v>22517</v>
      </c>
      <c r="AJ4232" t="s">
        <v>4655</v>
      </c>
      <c r="AK4232" t="s">
        <v>22518</v>
      </c>
      <c r="AL4232" s="13" t="s">
        <v>1893</v>
      </c>
      <c r="AM4232" s="14">
        <v>1</v>
      </c>
      <c r="AN4232" s="15" t="s">
        <v>2909</v>
      </c>
    </row>
    <row r="4233" spans="1:40" x14ac:dyDescent="0.3">
      <c r="A4233" s="10" t="str">
        <f>HYPERLINK("http://www.washoecounty.gov/assessor/cama/?parid=122-195-07&amp;CardNumber=1","122-195-07")</f>
        <v>122-195-07</v>
      </c>
      <c r="B4233" t="s">
        <v>4655</v>
      </c>
      <c r="C4233" t="s">
        <v>22519</v>
      </c>
      <c r="D4233" s="1">
        <v>40365</v>
      </c>
      <c r="E4233" s="2">
        <v>839000</v>
      </c>
      <c r="F4233" t="s">
        <v>3259</v>
      </c>
      <c r="G4233" s="17" t="str">
        <f>HYPERLINK("https://www.washoecounty.gov/assessor/cama/?command=sales&amp;parid=12219507","3898679")</f>
        <v>3898679</v>
      </c>
      <c r="H4233" t="s">
        <v>2966</v>
      </c>
      <c r="I4233">
        <v>1964</v>
      </c>
      <c r="J4233">
        <v>1969</v>
      </c>
      <c r="K4233" t="s">
        <v>4554</v>
      </c>
      <c r="L4233" t="s">
        <v>2170</v>
      </c>
      <c r="M4233" s="2">
        <v>2376</v>
      </c>
      <c r="N4233" t="s">
        <v>3147</v>
      </c>
      <c r="O4233">
        <v>6</v>
      </c>
      <c r="P4233">
        <v>3</v>
      </c>
      <c r="Q4233">
        <v>1</v>
      </c>
      <c r="R4233" t="s">
        <v>4676</v>
      </c>
      <c r="S4233" t="s">
        <v>4135</v>
      </c>
      <c r="T4233" t="s">
        <v>4559</v>
      </c>
      <c r="U4233" t="s">
        <v>4560</v>
      </c>
      <c r="V4233" s="2">
        <v>576</v>
      </c>
      <c r="W4233" t="s">
        <v>4655</v>
      </c>
      <c r="X4233" s="2">
        <v>0</v>
      </c>
      <c r="Y4233">
        <v>20</v>
      </c>
      <c r="Z4233" t="s">
        <v>5508</v>
      </c>
      <c r="AA4233" s="3">
        <v>0.41600093245506298</v>
      </c>
      <c r="AB4233" t="s">
        <v>22520</v>
      </c>
      <c r="AC4233" t="s">
        <v>4575</v>
      </c>
      <c r="AD4233" t="s">
        <v>22521</v>
      </c>
      <c r="AE4233" t="s">
        <v>4655</v>
      </c>
      <c r="AF4233" t="s">
        <v>3304</v>
      </c>
      <c r="AG4233" t="s">
        <v>4584</v>
      </c>
      <c r="AH4233">
        <v>94402</v>
      </c>
      <c r="AI4233" t="s">
        <v>22522</v>
      </c>
      <c r="AJ4233" t="s">
        <v>4655</v>
      </c>
      <c r="AK4233" t="s">
        <v>22523</v>
      </c>
      <c r="AL4233" s="13" t="s">
        <v>1893</v>
      </c>
      <c r="AM4233" s="14">
        <v>1</v>
      </c>
      <c r="AN4233" s="15" t="s">
        <v>2910</v>
      </c>
    </row>
    <row r="4234" spans="1:40" x14ac:dyDescent="0.3">
      <c r="A4234" s="10" t="str">
        <f>HYPERLINK("http://www.washoecounty.gov/assessor/cama/?parid=122-211-04&amp;CardNumber=1","122-211-04")</f>
        <v>122-211-04</v>
      </c>
      <c r="B4234" t="s">
        <v>4655</v>
      </c>
      <c r="C4234" t="s">
        <v>1096</v>
      </c>
      <c r="D4234" s="1">
        <v>40422</v>
      </c>
      <c r="E4234" s="2">
        <v>500000</v>
      </c>
      <c r="F4234" t="s">
        <v>3512</v>
      </c>
      <c r="G4234" s="17" t="str">
        <f>HYPERLINK("https://www.washoecounty.gov/assessor/cama/?command=sales&amp;parid=12221104","3917872")</f>
        <v>3917872</v>
      </c>
      <c r="H4234" t="s">
        <v>2966</v>
      </c>
      <c r="I4234">
        <v>2010</v>
      </c>
      <c r="J4234">
        <v>2010</v>
      </c>
      <c r="K4234" t="s">
        <v>4554</v>
      </c>
      <c r="L4234" t="s">
        <v>3974</v>
      </c>
      <c r="M4234" s="2">
        <v>4593</v>
      </c>
      <c r="N4234" t="s">
        <v>2967</v>
      </c>
      <c r="O4234">
        <v>4</v>
      </c>
      <c r="P4234">
        <v>4</v>
      </c>
      <c r="Q4234">
        <v>2</v>
      </c>
      <c r="R4234" t="s">
        <v>5630</v>
      </c>
      <c r="S4234" t="s">
        <v>4135</v>
      </c>
      <c r="T4234" t="s">
        <v>4559</v>
      </c>
      <c r="U4234" t="s">
        <v>5631</v>
      </c>
      <c r="V4234" s="2">
        <v>1216</v>
      </c>
      <c r="W4234" t="s">
        <v>4655</v>
      </c>
      <c r="X4234" s="2">
        <v>0</v>
      </c>
      <c r="Y4234">
        <v>18</v>
      </c>
      <c r="Z4234" t="s">
        <v>5508</v>
      </c>
      <c r="AA4234" s="3">
        <v>0.43599632382392883</v>
      </c>
      <c r="AB4234" t="s">
        <v>1097</v>
      </c>
      <c r="AC4234" t="s">
        <v>4562</v>
      </c>
      <c r="AD4234" t="s">
        <v>22524</v>
      </c>
      <c r="AE4234" t="s">
        <v>22525</v>
      </c>
      <c r="AF4234" t="s">
        <v>4054</v>
      </c>
      <c r="AG4234" t="s">
        <v>4564</v>
      </c>
      <c r="AH4234" t="s">
        <v>5207</v>
      </c>
      <c r="AI4234" t="s">
        <v>4655</v>
      </c>
      <c r="AJ4234" t="s">
        <v>4655</v>
      </c>
      <c r="AK4234" t="s">
        <v>1098</v>
      </c>
      <c r="AL4234" s="13" t="s">
        <v>1893</v>
      </c>
      <c r="AM4234" s="14">
        <v>1</v>
      </c>
      <c r="AN4234" s="15" t="s">
        <v>2910</v>
      </c>
    </row>
    <row r="4235" spans="1:40" x14ac:dyDescent="0.3">
      <c r="A4235" s="10" t="str">
        <f>HYPERLINK("http://www.washoecounty.gov/assessor/cama/?parid=122-213-07&amp;CardNumber=1","122-213-07")</f>
        <v>122-213-07</v>
      </c>
      <c r="B4235" t="s">
        <v>4655</v>
      </c>
      <c r="C4235" t="s">
        <v>22526</v>
      </c>
      <c r="D4235" s="1">
        <v>40245</v>
      </c>
      <c r="E4235" s="2">
        <v>1275000</v>
      </c>
      <c r="F4235" t="s">
        <v>4567</v>
      </c>
      <c r="G4235" s="17" t="str">
        <f>HYPERLINK("https://www.washoecounty.gov/assessor/cama/?command=sales&amp;parid=12221307","3856703")</f>
        <v>3856703</v>
      </c>
      <c r="H4235" t="s">
        <v>2966</v>
      </c>
      <c r="I4235">
        <v>1994</v>
      </c>
      <c r="J4235">
        <v>1994</v>
      </c>
      <c r="K4235" t="s">
        <v>4554</v>
      </c>
      <c r="L4235" t="s">
        <v>3974</v>
      </c>
      <c r="M4235" s="2">
        <v>4130</v>
      </c>
      <c r="N4235" t="s">
        <v>8283</v>
      </c>
      <c r="O4235">
        <v>4</v>
      </c>
      <c r="P4235">
        <v>4</v>
      </c>
      <c r="Q4235">
        <v>0</v>
      </c>
      <c r="R4235" t="s">
        <v>5205</v>
      </c>
      <c r="S4235" t="s">
        <v>4135</v>
      </c>
      <c r="T4235" t="s">
        <v>3888</v>
      </c>
      <c r="U4235" t="s">
        <v>5631</v>
      </c>
      <c r="V4235" s="2">
        <v>768</v>
      </c>
      <c r="W4235" t="s">
        <v>4655</v>
      </c>
      <c r="X4235" s="2">
        <v>0</v>
      </c>
      <c r="Y4235">
        <v>20</v>
      </c>
      <c r="Z4235" t="s">
        <v>5508</v>
      </c>
      <c r="AA4235" s="3">
        <v>0.41299358010292098</v>
      </c>
      <c r="AB4235" t="s">
        <v>22527</v>
      </c>
      <c r="AC4235" t="s">
        <v>4575</v>
      </c>
      <c r="AD4235" t="s">
        <v>22528</v>
      </c>
      <c r="AE4235" t="s">
        <v>4655</v>
      </c>
      <c r="AF4235" t="s">
        <v>5206</v>
      </c>
      <c r="AG4235" t="s">
        <v>4564</v>
      </c>
      <c r="AH4235" t="s">
        <v>5207</v>
      </c>
      <c r="AI4235" t="s">
        <v>22529</v>
      </c>
      <c r="AJ4235" t="s">
        <v>4655</v>
      </c>
      <c r="AK4235" t="s">
        <v>22530</v>
      </c>
      <c r="AL4235" s="13" t="s">
        <v>1893</v>
      </c>
      <c r="AM4235">
        <v>1</v>
      </c>
      <c r="AN4235" s="15" t="s">
        <v>2910</v>
      </c>
    </row>
    <row r="4236" spans="1:40" x14ac:dyDescent="0.3">
      <c r="A4236" s="10" t="str">
        <f>HYPERLINK("http://www.washoecounty.gov/assessor/cama/?parid=122-215-12&amp;CardNumber=1","122-215-12")</f>
        <v>122-215-12</v>
      </c>
      <c r="B4236" t="s">
        <v>4655</v>
      </c>
      <c r="C4236" t="s">
        <v>22531</v>
      </c>
      <c r="D4236" s="1">
        <v>40478</v>
      </c>
      <c r="E4236" s="2">
        <v>2750000</v>
      </c>
      <c r="F4236" t="s">
        <v>4201</v>
      </c>
      <c r="G4236" s="17" t="str">
        <f>HYPERLINK("https://www.washoecounty.gov/assessor/cama/?command=sales&amp;parid=12221512","3937343")</f>
        <v>3937343</v>
      </c>
      <c r="H4236" t="s">
        <v>2966</v>
      </c>
      <c r="I4236">
        <v>2008</v>
      </c>
      <c r="J4236">
        <v>2008</v>
      </c>
      <c r="K4236" t="s">
        <v>4554</v>
      </c>
      <c r="L4236" t="s">
        <v>3974</v>
      </c>
      <c r="M4236" s="2">
        <v>4952</v>
      </c>
      <c r="N4236" t="s">
        <v>5629</v>
      </c>
      <c r="O4236">
        <v>4</v>
      </c>
      <c r="P4236">
        <v>3</v>
      </c>
      <c r="Q4236">
        <v>2</v>
      </c>
      <c r="R4236" t="s">
        <v>5630</v>
      </c>
      <c r="S4236" t="s">
        <v>4135</v>
      </c>
      <c r="T4236" t="s">
        <v>4559</v>
      </c>
      <c r="U4236" t="s">
        <v>5631</v>
      </c>
      <c r="V4236" s="2">
        <v>1322</v>
      </c>
      <c r="W4236" t="s">
        <v>4655</v>
      </c>
      <c r="X4236" s="2">
        <v>0</v>
      </c>
      <c r="Y4236">
        <v>20</v>
      </c>
      <c r="Z4236" t="s">
        <v>5508</v>
      </c>
      <c r="AA4236" s="3">
        <v>0.451997250318527</v>
      </c>
      <c r="AB4236" t="s">
        <v>2300</v>
      </c>
      <c r="AC4236" t="s">
        <v>4575</v>
      </c>
      <c r="AD4236" t="s">
        <v>22532</v>
      </c>
      <c r="AE4236" t="s">
        <v>22533</v>
      </c>
      <c r="AF4236" t="s">
        <v>686</v>
      </c>
      <c r="AG4236" t="s">
        <v>4584</v>
      </c>
      <c r="AH4236">
        <v>94121</v>
      </c>
      <c r="AI4236" t="s">
        <v>22534</v>
      </c>
      <c r="AJ4236" t="s">
        <v>4655</v>
      </c>
      <c r="AK4236" t="s">
        <v>22535</v>
      </c>
      <c r="AL4236" s="13" t="s">
        <v>1893</v>
      </c>
      <c r="AM4236">
        <v>1</v>
      </c>
      <c r="AN4236" s="15" t="s">
        <v>2910</v>
      </c>
    </row>
    <row r="4237" spans="1:40" x14ac:dyDescent="0.3">
      <c r="A4237" s="10" t="str">
        <f>HYPERLINK("http://www.washoecounty.gov/assessor/cama/?parid=122-251-09&amp;CardNumber=1","122-251-09")</f>
        <v>122-251-09</v>
      </c>
      <c r="B4237" t="s">
        <v>4655</v>
      </c>
      <c r="C4237" t="s">
        <v>22536</v>
      </c>
      <c r="D4237" s="1">
        <v>40533</v>
      </c>
      <c r="E4237" s="2">
        <v>9050000</v>
      </c>
      <c r="F4237" t="s">
        <v>3259</v>
      </c>
      <c r="G4237" s="17" t="str">
        <f>HYPERLINK("https://www.washoecounty.gov/assessor/cama/?command=sales&amp;parid=12225109","3955921")</f>
        <v>3955921</v>
      </c>
      <c r="H4237" t="s">
        <v>4655</v>
      </c>
      <c r="I4237">
        <v>1995</v>
      </c>
      <c r="J4237">
        <v>1995</v>
      </c>
      <c r="K4237" t="s">
        <v>4554</v>
      </c>
      <c r="L4237" t="s">
        <v>3974</v>
      </c>
      <c r="M4237" s="2">
        <v>8551</v>
      </c>
      <c r="N4237" t="s">
        <v>4588</v>
      </c>
      <c r="O4237">
        <v>2</v>
      </c>
      <c r="P4237">
        <v>6</v>
      </c>
      <c r="Q4237">
        <v>0</v>
      </c>
      <c r="R4237" t="s">
        <v>5630</v>
      </c>
      <c r="S4237" t="s">
        <v>4135</v>
      </c>
      <c r="T4237" t="s">
        <v>4559</v>
      </c>
      <c r="U4237" t="s">
        <v>4560</v>
      </c>
      <c r="V4237" s="2">
        <v>832</v>
      </c>
      <c r="W4237" t="s">
        <v>1500</v>
      </c>
      <c r="X4237" s="2">
        <v>4088</v>
      </c>
      <c r="Y4237">
        <v>20</v>
      </c>
      <c r="Z4237" t="s">
        <v>5508</v>
      </c>
      <c r="AA4237" s="3">
        <v>0.51400369405746404</v>
      </c>
      <c r="AB4237" t="s">
        <v>22537</v>
      </c>
      <c r="AC4237" t="s">
        <v>4562</v>
      </c>
      <c r="AD4237" t="s">
        <v>22538</v>
      </c>
      <c r="AE4237" t="s">
        <v>4655</v>
      </c>
      <c r="AF4237" t="s">
        <v>22539</v>
      </c>
      <c r="AG4237" t="s">
        <v>4584</v>
      </c>
      <c r="AH4237">
        <v>94005</v>
      </c>
      <c r="AI4237" t="s">
        <v>22540</v>
      </c>
      <c r="AJ4237" t="s">
        <v>4655</v>
      </c>
      <c r="AK4237" t="s">
        <v>22541</v>
      </c>
      <c r="AL4237" s="13" t="s">
        <v>1893</v>
      </c>
      <c r="AM4237" s="14">
        <v>1</v>
      </c>
      <c r="AN4237" s="15" t="s">
        <v>2559</v>
      </c>
    </row>
    <row r="4238" spans="1:40" x14ac:dyDescent="0.3">
      <c r="A4238" s="10" t="str">
        <f>HYPERLINK("http://www.washoecounty.gov/assessor/cama/?parid=122-252-03&amp;CardNumber=1","122-252-03")</f>
        <v>122-252-03</v>
      </c>
      <c r="B4238" t="s">
        <v>4655</v>
      </c>
      <c r="C4238" t="s">
        <v>22542</v>
      </c>
      <c r="D4238" s="1">
        <v>40217</v>
      </c>
      <c r="E4238" s="2">
        <v>2750000</v>
      </c>
      <c r="F4238" t="s">
        <v>3528</v>
      </c>
      <c r="G4238" s="17" t="str">
        <f>HYPERLINK("https://www.washoecounty.gov/assessor/cama/?command=sales&amp;parid=12225203","3847041")</f>
        <v>3847041</v>
      </c>
      <c r="H4238" t="s">
        <v>2966</v>
      </c>
      <c r="I4238">
        <v>1977</v>
      </c>
      <c r="J4238">
        <v>1993</v>
      </c>
      <c r="K4238" t="s">
        <v>4554</v>
      </c>
      <c r="L4238" t="s">
        <v>2170</v>
      </c>
      <c r="M4238" s="2">
        <v>5130</v>
      </c>
      <c r="N4238" t="s">
        <v>2967</v>
      </c>
      <c r="O4238">
        <v>5</v>
      </c>
      <c r="P4238">
        <v>5</v>
      </c>
      <c r="Q4238">
        <v>1</v>
      </c>
      <c r="R4238" t="s">
        <v>5630</v>
      </c>
      <c r="S4238" t="s">
        <v>4135</v>
      </c>
      <c r="T4238" t="s">
        <v>4559</v>
      </c>
      <c r="U4238" t="s">
        <v>5631</v>
      </c>
      <c r="V4238" s="2">
        <v>880</v>
      </c>
      <c r="W4238" t="s">
        <v>4655</v>
      </c>
      <c r="X4238" s="2">
        <v>0</v>
      </c>
      <c r="Y4238">
        <v>20</v>
      </c>
      <c r="Z4238" t="s">
        <v>5508</v>
      </c>
      <c r="AA4238" s="3">
        <v>0.45899906754493702</v>
      </c>
      <c r="AB4238" t="s">
        <v>22543</v>
      </c>
      <c r="AC4238" t="s">
        <v>4575</v>
      </c>
      <c r="AD4238" t="s">
        <v>22544</v>
      </c>
      <c r="AE4238" t="s">
        <v>4655</v>
      </c>
      <c r="AF4238" t="s">
        <v>2946</v>
      </c>
      <c r="AG4238" t="s">
        <v>4584</v>
      </c>
      <c r="AH4238">
        <v>94506</v>
      </c>
      <c r="AI4238" t="s">
        <v>22545</v>
      </c>
      <c r="AJ4238" t="s">
        <v>4655</v>
      </c>
      <c r="AK4238" t="s">
        <v>22546</v>
      </c>
      <c r="AL4238" s="13" t="s">
        <v>1893</v>
      </c>
      <c r="AM4238">
        <v>1</v>
      </c>
      <c r="AN4238" s="15" t="s">
        <v>2909</v>
      </c>
    </row>
    <row r="4239" spans="1:40" x14ac:dyDescent="0.3">
      <c r="A4239" s="10" t="str">
        <f>HYPERLINK("http://www.washoecounty.gov/assessor/cama/?parid=122-252-07&amp;CardNumber=1","122-252-07")</f>
        <v>122-252-07</v>
      </c>
      <c r="B4239" t="s">
        <v>4655</v>
      </c>
      <c r="C4239" t="s">
        <v>22547</v>
      </c>
      <c r="D4239" s="1">
        <v>40435</v>
      </c>
      <c r="E4239" s="2">
        <v>2950000</v>
      </c>
      <c r="F4239" t="s">
        <v>3259</v>
      </c>
      <c r="G4239" s="17" t="str">
        <f>HYPERLINK("https://www.washoecounty.gov/assessor/cama/?command=sales&amp;parid=12225207","3921905")</f>
        <v>3921905</v>
      </c>
      <c r="H4239" t="s">
        <v>22548</v>
      </c>
      <c r="I4239">
        <v>1982</v>
      </c>
      <c r="J4239">
        <v>1989</v>
      </c>
      <c r="K4239" t="s">
        <v>4554</v>
      </c>
      <c r="L4239" t="s">
        <v>3974</v>
      </c>
      <c r="M4239" s="2">
        <v>5295</v>
      </c>
      <c r="N4239" t="s">
        <v>5629</v>
      </c>
      <c r="O4239">
        <v>5</v>
      </c>
      <c r="P4239">
        <v>6</v>
      </c>
      <c r="Q4239">
        <v>0</v>
      </c>
      <c r="R4239" t="s">
        <v>2632</v>
      </c>
      <c r="S4239" t="s">
        <v>4135</v>
      </c>
      <c r="T4239" t="s">
        <v>4559</v>
      </c>
      <c r="U4239" t="s">
        <v>5631</v>
      </c>
      <c r="V4239" s="2">
        <v>850</v>
      </c>
      <c r="W4239" t="s">
        <v>4655</v>
      </c>
      <c r="X4239" s="2">
        <v>0</v>
      </c>
      <c r="Y4239">
        <v>20</v>
      </c>
      <c r="Z4239" t="s">
        <v>5508</v>
      </c>
      <c r="AA4239" s="3">
        <v>0.45899906754493702</v>
      </c>
      <c r="AB4239" t="s">
        <v>22549</v>
      </c>
      <c r="AC4239" t="s">
        <v>4575</v>
      </c>
      <c r="AD4239" t="s">
        <v>22550</v>
      </c>
      <c r="AE4239" t="s">
        <v>4655</v>
      </c>
      <c r="AF4239" t="s">
        <v>476</v>
      </c>
      <c r="AG4239" t="s">
        <v>4584</v>
      </c>
      <c r="AH4239" t="s">
        <v>477</v>
      </c>
      <c r="AI4239" t="s">
        <v>22551</v>
      </c>
      <c r="AJ4239" t="s">
        <v>4655</v>
      </c>
      <c r="AK4239" t="s">
        <v>22552</v>
      </c>
      <c r="AL4239" s="13" t="s">
        <v>1893</v>
      </c>
      <c r="AM4239">
        <v>1</v>
      </c>
      <c r="AN4239" s="15" t="s">
        <v>2909</v>
      </c>
    </row>
    <row r="4240" spans="1:40" x14ac:dyDescent="0.3">
      <c r="A4240" s="10" t="str">
        <f>HYPERLINK("http://www.washoecounty.gov/assessor/cama/?parid=122-252-09&amp;CardNumber=1","122-252-09")</f>
        <v>122-252-09</v>
      </c>
      <c r="B4240" t="s">
        <v>4655</v>
      </c>
      <c r="C4240" t="s">
        <v>22553</v>
      </c>
      <c r="D4240" s="1">
        <v>40429</v>
      </c>
      <c r="E4240" s="2">
        <v>1300000</v>
      </c>
      <c r="F4240" t="s">
        <v>3259</v>
      </c>
      <c r="G4240" s="17" t="str">
        <f>HYPERLINK("https://www.washoecounty.gov/assessor/cama/?command=sales&amp;parid=12225209","3919898")</f>
        <v>3919898</v>
      </c>
      <c r="H4240" t="s">
        <v>2966</v>
      </c>
      <c r="I4240">
        <v>1980</v>
      </c>
      <c r="J4240">
        <v>1999</v>
      </c>
      <c r="K4240" t="s">
        <v>4554</v>
      </c>
      <c r="L4240" t="s">
        <v>3974</v>
      </c>
      <c r="M4240" s="2">
        <v>3820</v>
      </c>
      <c r="N4240" t="s">
        <v>2008</v>
      </c>
      <c r="O4240">
        <v>4</v>
      </c>
      <c r="P4240">
        <v>3</v>
      </c>
      <c r="Q4240">
        <v>1</v>
      </c>
      <c r="R4240" t="s">
        <v>1186</v>
      </c>
      <c r="S4240" t="s">
        <v>4135</v>
      </c>
      <c r="T4240" t="s">
        <v>4559</v>
      </c>
      <c r="U4240" t="s">
        <v>162</v>
      </c>
      <c r="V4240" s="2">
        <v>1040</v>
      </c>
      <c r="W4240" t="s">
        <v>4655</v>
      </c>
      <c r="X4240" s="2">
        <v>0</v>
      </c>
      <c r="Y4240">
        <v>20</v>
      </c>
      <c r="Z4240" t="s">
        <v>5508</v>
      </c>
      <c r="AA4240" s="3">
        <v>0.45899906754493702</v>
      </c>
      <c r="AB4240" t="s">
        <v>22554</v>
      </c>
      <c r="AC4240" t="s">
        <v>4562</v>
      </c>
      <c r="AD4240" t="s">
        <v>22555</v>
      </c>
      <c r="AE4240" t="s">
        <v>4655</v>
      </c>
      <c r="AF4240" t="s">
        <v>5206</v>
      </c>
      <c r="AG4240" t="s">
        <v>4564</v>
      </c>
      <c r="AH4240" t="s">
        <v>5275</v>
      </c>
      <c r="AI4240" t="s">
        <v>22556</v>
      </c>
      <c r="AJ4240" t="s">
        <v>4655</v>
      </c>
      <c r="AK4240" t="s">
        <v>22557</v>
      </c>
      <c r="AL4240" s="13" t="s">
        <v>1893</v>
      </c>
      <c r="AM4240" s="14">
        <v>1</v>
      </c>
      <c r="AN4240" s="15" t="s">
        <v>2909</v>
      </c>
    </row>
    <row r="4241" spans="1:40" x14ac:dyDescent="0.3">
      <c r="A4241" s="10" t="str">
        <f>HYPERLINK("http://www.washoecounty.gov/assessor/cama/?parid=122-460-02&amp;CardNumber=1","122-460-02")</f>
        <v>122-460-02</v>
      </c>
      <c r="B4241" t="s">
        <v>4655</v>
      </c>
      <c r="C4241" t="s">
        <v>4874</v>
      </c>
      <c r="D4241" s="1">
        <v>40529</v>
      </c>
      <c r="E4241" s="2">
        <v>327000</v>
      </c>
      <c r="F4241" t="s">
        <v>4567</v>
      </c>
      <c r="G4241" s="17" t="str">
        <f>HYPERLINK("https://www.washoecounty.gov/assessor/cama/?command=sales&amp;parid=12246002","3954957")</f>
        <v>3954957</v>
      </c>
      <c r="H4241" t="s">
        <v>2302</v>
      </c>
      <c r="I4241">
        <v>1967</v>
      </c>
      <c r="J4241">
        <v>1967</v>
      </c>
      <c r="K4241" t="s">
        <v>4897</v>
      </c>
      <c r="L4241" t="s">
        <v>3974</v>
      </c>
      <c r="M4241" s="2">
        <v>1458</v>
      </c>
      <c r="N4241" t="s">
        <v>5280</v>
      </c>
      <c r="O4241">
        <v>3</v>
      </c>
      <c r="P4241">
        <v>2</v>
      </c>
      <c r="Q4241">
        <v>0</v>
      </c>
      <c r="R4241" t="s">
        <v>4134</v>
      </c>
      <c r="S4241" t="s">
        <v>4135</v>
      </c>
      <c r="T4241" t="s">
        <v>4899</v>
      </c>
      <c r="U4241" t="s">
        <v>5631</v>
      </c>
      <c r="V4241" s="2">
        <v>540</v>
      </c>
      <c r="W4241" t="s">
        <v>4655</v>
      </c>
      <c r="X4241" s="2">
        <v>0</v>
      </c>
      <c r="Y4241">
        <v>21</v>
      </c>
      <c r="Z4241" t="s">
        <v>3781</v>
      </c>
      <c r="AA4241" s="3">
        <v>1.00000004749745E-3</v>
      </c>
      <c r="AB4241" t="s">
        <v>22558</v>
      </c>
      <c r="AC4241" t="s">
        <v>4575</v>
      </c>
      <c r="AD4241" t="s">
        <v>22559</v>
      </c>
      <c r="AE4241" t="s">
        <v>4655</v>
      </c>
      <c r="AF4241" t="s">
        <v>686</v>
      </c>
      <c r="AG4241" t="s">
        <v>4584</v>
      </c>
      <c r="AH4241" t="s">
        <v>4718</v>
      </c>
      <c r="AI4241" t="s">
        <v>22560</v>
      </c>
      <c r="AJ4241" t="s">
        <v>4655</v>
      </c>
      <c r="AK4241" t="s">
        <v>22561</v>
      </c>
      <c r="AL4241" s="13" t="s">
        <v>1893</v>
      </c>
      <c r="AM4241" s="14">
        <v>1</v>
      </c>
      <c r="AN4241" s="15" t="s">
        <v>3073</v>
      </c>
    </row>
    <row r="4242" spans="1:40" x14ac:dyDescent="0.3">
      <c r="A4242" s="10" t="str">
        <f>HYPERLINK("http://www.washoecounty.gov/assessor/cama/?parid=122-460-14&amp;CardNumber=1","122-460-14")</f>
        <v>122-460-14</v>
      </c>
      <c r="B4242" t="s">
        <v>4655</v>
      </c>
      <c r="C4242" t="s">
        <v>2301</v>
      </c>
      <c r="D4242" s="1">
        <v>40470</v>
      </c>
      <c r="E4242" s="2">
        <v>355000</v>
      </c>
      <c r="F4242" t="s">
        <v>4567</v>
      </c>
      <c r="G4242" s="17" t="str">
        <f>HYPERLINK("https://www.washoecounty.gov/assessor/cama/?command=sales&amp;parid=12246014","3934718")</f>
        <v>3934718</v>
      </c>
      <c r="H4242" t="s">
        <v>2302</v>
      </c>
      <c r="I4242">
        <v>1972</v>
      </c>
      <c r="J4242">
        <v>1972</v>
      </c>
      <c r="K4242" t="s">
        <v>4897</v>
      </c>
      <c r="L4242" t="s">
        <v>3974</v>
      </c>
      <c r="M4242" s="2">
        <v>1620</v>
      </c>
      <c r="N4242" t="s">
        <v>5280</v>
      </c>
      <c r="O4242">
        <v>3</v>
      </c>
      <c r="P4242">
        <v>2</v>
      </c>
      <c r="Q4242">
        <v>1</v>
      </c>
      <c r="R4242" t="s">
        <v>4134</v>
      </c>
      <c r="S4242" t="s">
        <v>4135</v>
      </c>
      <c r="T4242" t="s">
        <v>4899</v>
      </c>
      <c r="U4242" t="s">
        <v>4655</v>
      </c>
      <c r="V4242" s="2">
        <v>0</v>
      </c>
      <c r="W4242" t="s">
        <v>4655</v>
      </c>
      <c r="X4242" s="2">
        <v>0</v>
      </c>
      <c r="Y4242">
        <v>21</v>
      </c>
      <c r="Z4242" t="s">
        <v>3781</v>
      </c>
      <c r="AA4242" s="3">
        <v>1.00000004749745E-3</v>
      </c>
      <c r="AB4242" t="s">
        <v>22562</v>
      </c>
      <c r="AC4242" t="s">
        <v>4575</v>
      </c>
      <c r="AD4242" t="s">
        <v>22563</v>
      </c>
      <c r="AE4242" t="s">
        <v>4655</v>
      </c>
      <c r="AF4242" t="s">
        <v>5206</v>
      </c>
      <c r="AG4242" t="s">
        <v>4564</v>
      </c>
      <c r="AH4242" t="s">
        <v>5275</v>
      </c>
      <c r="AI4242" t="s">
        <v>22564</v>
      </c>
      <c r="AJ4242" t="s">
        <v>4655</v>
      </c>
      <c r="AK4242" t="s">
        <v>22565</v>
      </c>
      <c r="AL4242" s="13" t="s">
        <v>1893</v>
      </c>
      <c r="AM4242" s="14">
        <v>1</v>
      </c>
      <c r="AN4242" s="15" t="s">
        <v>3073</v>
      </c>
    </row>
    <row r="4243" spans="1:40" x14ac:dyDescent="0.3">
      <c r="A4243" s="10" t="str">
        <f>HYPERLINK("http://www.washoecounty.gov/assessor/cama/?parid=122-510-21&amp;CardNumber=1","122-510-21")</f>
        <v>122-510-21</v>
      </c>
      <c r="B4243" t="s">
        <v>4655</v>
      </c>
      <c r="C4243" t="s">
        <v>22566</v>
      </c>
      <c r="D4243" s="1">
        <v>40528</v>
      </c>
      <c r="E4243" s="2">
        <v>1200000</v>
      </c>
      <c r="F4243" t="s">
        <v>4567</v>
      </c>
      <c r="G4243" s="17" t="str">
        <f>HYPERLINK("https://www.washoecounty.gov/assessor/cama/?command=sales&amp;parid=12251021","3954589")</f>
        <v>3954589</v>
      </c>
      <c r="H4243" t="s">
        <v>22567</v>
      </c>
      <c r="I4243">
        <v>1970</v>
      </c>
      <c r="J4243">
        <v>1970</v>
      </c>
      <c r="K4243" t="s">
        <v>4897</v>
      </c>
      <c r="L4243" t="s">
        <v>3974</v>
      </c>
      <c r="M4243" s="2">
        <v>2174</v>
      </c>
      <c r="N4243" t="s">
        <v>3887</v>
      </c>
      <c r="O4243">
        <v>3</v>
      </c>
      <c r="P4243">
        <v>4</v>
      </c>
      <c r="Q4243">
        <v>0</v>
      </c>
      <c r="R4243" t="s">
        <v>4676</v>
      </c>
      <c r="S4243" t="s">
        <v>4135</v>
      </c>
      <c r="T4243" t="s">
        <v>2704</v>
      </c>
      <c r="U4243" t="s">
        <v>4655</v>
      </c>
      <c r="V4243" s="2">
        <v>0</v>
      </c>
      <c r="W4243" t="s">
        <v>4655</v>
      </c>
      <c r="X4243" s="2">
        <v>0</v>
      </c>
      <c r="Y4243">
        <v>21</v>
      </c>
      <c r="Z4243" t="s">
        <v>718</v>
      </c>
      <c r="AA4243" s="3">
        <v>1.00000004749745E-3</v>
      </c>
      <c r="AB4243" t="s">
        <v>22568</v>
      </c>
      <c r="AC4243" t="s">
        <v>4575</v>
      </c>
      <c r="AD4243" t="s">
        <v>22569</v>
      </c>
      <c r="AE4243" t="s">
        <v>4655</v>
      </c>
      <c r="AF4243" t="s">
        <v>22570</v>
      </c>
      <c r="AG4243" t="s">
        <v>4584</v>
      </c>
      <c r="AH4243" t="s">
        <v>22571</v>
      </c>
      <c r="AI4243" t="s">
        <v>22572</v>
      </c>
      <c r="AJ4243" t="s">
        <v>4655</v>
      </c>
      <c r="AK4243" t="s">
        <v>22573</v>
      </c>
      <c r="AL4243" s="13" t="s">
        <v>1893</v>
      </c>
      <c r="AM4243">
        <v>1</v>
      </c>
      <c r="AN4243" s="15" t="s">
        <v>2752</v>
      </c>
    </row>
    <row r="4244" spans="1:40" x14ac:dyDescent="0.3">
      <c r="A4244" s="10" t="str">
        <f>HYPERLINK("http://www.washoecounty.gov/assessor/cama/?parid=122-510-56&amp;CardNumber=1","122-510-56")</f>
        <v>122-510-56</v>
      </c>
      <c r="B4244" t="s">
        <v>4655</v>
      </c>
      <c r="C4244" t="s">
        <v>22566</v>
      </c>
      <c r="D4244" s="1">
        <v>40389</v>
      </c>
      <c r="E4244" s="2">
        <v>879000</v>
      </c>
      <c r="F4244" t="s">
        <v>4567</v>
      </c>
      <c r="G4244" s="17" t="str">
        <f>HYPERLINK("https://www.washoecounty.gov/assessor/cama/?command=sales&amp;parid=12251056","3906898")</f>
        <v>3906898</v>
      </c>
      <c r="H4244" t="s">
        <v>22574</v>
      </c>
      <c r="I4244">
        <v>1970</v>
      </c>
      <c r="J4244">
        <v>1970</v>
      </c>
      <c r="K4244" t="s">
        <v>3144</v>
      </c>
      <c r="L4244" t="s">
        <v>3974</v>
      </c>
      <c r="M4244" s="2">
        <v>1727</v>
      </c>
      <c r="N4244" t="s">
        <v>3887</v>
      </c>
      <c r="O4244">
        <v>2</v>
      </c>
      <c r="P4244">
        <v>2</v>
      </c>
      <c r="Q4244">
        <v>1</v>
      </c>
      <c r="R4244" t="s">
        <v>4676</v>
      </c>
      <c r="S4244" t="s">
        <v>4135</v>
      </c>
      <c r="T4244" t="s">
        <v>2704</v>
      </c>
      <c r="U4244" t="s">
        <v>4655</v>
      </c>
      <c r="V4244" s="2">
        <v>0</v>
      </c>
      <c r="W4244" t="s">
        <v>3201</v>
      </c>
      <c r="X4244" s="2">
        <v>770</v>
      </c>
      <c r="Y4244">
        <v>21</v>
      </c>
      <c r="Z4244" t="s">
        <v>718</v>
      </c>
      <c r="AA4244" s="3">
        <v>1.00000004749745E-3</v>
      </c>
      <c r="AB4244" t="s">
        <v>22575</v>
      </c>
      <c r="AC4244" t="s">
        <v>4562</v>
      </c>
      <c r="AD4244" t="s">
        <v>22576</v>
      </c>
      <c r="AE4244" t="s">
        <v>4655</v>
      </c>
      <c r="AF4244" t="s">
        <v>5206</v>
      </c>
      <c r="AG4244" t="s">
        <v>4564</v>
      </c>
      <c r="AH4244" t="s">
        <v>5275</v>
      </c>
      <c r="AI4244" t="s">
        <v>22577</v>
      </c>
      <c r="AJ4244" t="s">
        <v>4655</v>
      </c>
      <c r="AK4244" t="s">
        <v>22578</v>
      </c>
      <c r="AL4244" s="13" t="s">
        <v>1893</v>
      </c>
      <c r="AM4244">
        <v>1</v>
      </c>
      <c r="AN4244" s="15" t="s">
        <v>2752</v>
      </c>
    </row>
    <row r="4245" spans="1:40" x14ac:dyDescent="0.3">
      <c r="A4245" s="10" t="str">
        <f>HYPERLINK("http://www.washoecounty.gov/assessor/cama/?parid=122-530-18&amp;CardNumber=1","122-530-18")</f>
        <v>122-530-18</v>
      </c>
      <c r="B4245" t="s">
        <v>4655</v>
      </c>
      <c r="C4245" t="s">
        <v>3274</v>
      </c>
      <c r="D4245" s="1">
        <v>40457</v>
      </c>
      <c r="E4245" s="2">
        <v>1175000</v>
      </c>
      <c r="F4245" t="s">
        <v>4567</v>
      </c>
      <c r="G4245" s="17" t="str">
        <f>HYPERLINK("https://www.washoecounty.gov/assessor/cama/?command=sales&amp;parid=12253018","3930337")</f>
        <v>3930337</v>
      </c>
      <c r="H4245" t="s">
        <v>3275</v>
      </c>
      <c r="I4245">
        <v>1970</v>
      </c>
      <c r="J4245">
        <v>1970</v>
      </c>
      <c r="K4245" t="s">
        <v>4897</v>
      </c>
      <c r="L4245" t="s">
        <v>3974</v>
      </c>
      <c r="M4245" s="2">
        <v>2100</v>
      </c>
      <c r="N4245" t="s">
        <v>3887</v>
      </c>
      <c r="O4245">
        <v>3</v>
      </c>
      <c r="P4245">
        <v>3</v>
      </c>
      <c r="Q4245">
        <v>0</v>
      </c>
      <c r="R4245" t="s">
        <v>5205</v>
      </c>
      <c r="S4245" t="s">
        <v>4135</v>
      </c>
      <c r="T4245" t="s">
        <v>2704</v>
      </c>
      <c r="U4245" t="s">
        <v>5631</v>
      </c>
      <c r="V4245" s="2">
        <v>299</v>
      </c>
      <c r="W4245" t="s">
        <v>4655</v>
      </c>
      <c r="X4245" s="2">
        <v>0</v>
      </c>
      <c r="Y4245">
        <v>21</v>
      </c>
      <c r="Z4245" t="s">
        <v>3668</v>
      </c>
      <c r="AA4245" s="3">
        <v>1.00000004749745E-3</v>
      </c>
      <c r="AB4245" t="s">
        <v>22575</v>
      </c>
      <c r="AC4245" t="s">
        <v>4562</v>
      </c>
      <c r="AD4245" t="s">
        <v>22576</v>
      </c>
      <c r="AE4245" t="s">
        <v>4655</v>
      </c>
      <c r="AF4245" t="s">
        <v>5206</v>
      </c>
      <c r="AG4245" t="s">
        <v>4564</v>
      </c>
      <c r="AH4245" t="s">
        <v>5275</v>
      </c>
      <c r="AI4245" t="s">
        <v>22579</v>
      </c>
      <c r="AJ4245" t="s">
        <v>4655</v>
      </c>
      <c r="AK4245" t="s">
        <v>22580</v>
      </c>
      <c r="AL4245" s="13" t="s">
        <v>1893</v>
      </c>
      <c r="AM4245">
        <v>1</v>
      </c>
      <c r="AN4245" s="15" t="s">
        <v>3276</v>
      </c>
    </row>
    <row r="4246" spans="1:40" x14ac:dyDescent="0.3">
      <c r="A4246" s="10" t="str">
        <f>HYPERLINK("http://www.washoecounty.gov/assessor/cama/?parid=123-101-04&amp;CardNumber=1","123-101-04")</f>
        <v>123-101-04</v>
      </c>
      <c r="B4246" t="s">
        <v>4655</v>
      </c>
      <c r="C4246" t="s">
        <v>22581</v>
      </c>
      <c r="D4246" s="1">
        <v>40408</v>
      </c>
      <c r="E4246" s="2">
        <v>1900000</v>
      </c>
      <c r="F4246" t="s">
        <v>3528</v>
      </c>
      <c r="G4246" s="17" t="str">
        <f>HYPERLINK("https://www.washoecounty.gov/assessor/cama/?command=sales&amp;parid=12310104","3913183")</f>
        <v>3913183</v>
      </c>
      <c r="H4246" t="s">
        <v>22582</v>
      </c>
      <c r="I4246">
        <v>1947</v>
      </c>
      <c r="J4246">
        <v>1964</v>
      </c>
      <c r="K4246" t="s">
        <v>4554</v>
      </c>
      <c r="L4246" t="s">
        <v>3886</v>
      </c>
      <c r="M4246" s="2">
        <v>2132</v>
      </c>
      <c r="N4246" t="s">
        <v>5280</v>
      </c>
      <c r="O4246">
        <v>3</v>
      </c>
      <c r="P4246">
        <v>2</v>
      </c>
      <c r="Q4246">
        <v>0</v>
      </c>
      <c r="R4246" t="s">
        <v>4134</v>
      </c>
      <c r="S4246" t="s">
        <v>4135</v>
      </c>
      <c r="T4246" t="s">
        <v>2947</v>
      </c>
      <c r="U4246" t="s">
        <v>4655</v>
      </c>
      <c r="V4246" s="2">
        <v>0</v>
      </c>
      <c r="W4246" t="s">
        <v>3201</v>
      </c>
      <c r="X4246" s="2">
        <v>528</v>
      </c>
      <c r="Y4246">
        <v>20</v>
      </c>
      <c r="Z4246" t="s">
        <v>5508</v>
      </c>
      <c r="AA4246" s="3">
        <v>0.56326907873153598</v>
      </c>
      <c r="AB4246" t="s">
        <v>22583</v>
      </c>
      <c r="AC4246" t="s">
        <v>4575</v>
      </c>
      <c r="AD4246" t="s">
        <v>22584</v>
      </c>
      <c r="AE4246" t="s">
        <v>4655</v>
      </c>
      <c r="AF4246" t="s">
        <v>9701</v>
      </c>
      <c r="AG4246" t="s">
        <v>4584</v>
      </c>
      <c r="AH4246" t="s">
        <v>4546</v>
      </c>
      <c r="AI4246" t="s">
        <v>22585</v>
      </c>
      <c r="AJ4246" t="s">
        <v>4655</v>
      </c>
      <c r="AK4246" t="s">
        <v>22586</v>
      </c>
      <c r="AL4246" s="13" t="s">
        <v>1893</v>
      </c>
      <c r="AM4246">
        <v>1</v>
      </c>
      <c r="AN4246" s="15" t="s">
        <v>2911</v>
      </c>
    </row>
    <row r="4247" spans="1:40" x14ac:dyDescent="0.3">
      <c r="A4247" s="10" t="str">
        <f>HYPERLINK("http://www.washoecounty.gov/assessor/cama/?parid=123-132-02&amp;CardNumber=1","123-132-02")</f>
        <v>123-132-02</v>
      </c>
      <c r="B4247" t="s">
        <v>4655</v>
      </c>
      <c r="C4247" t="s">
        <v>22587</v>
      </c>
      <c r="D4247" s="1">
        <v>40451</v>
      </c>
      <c r="E4247" s="2">
        <v>1900000</v>
      </c>
      <c r="F4247" t="s">
        <v>3259</v>
      </c>
      <c r="G4247" s="17" t="str">
        <f>HYPERLINK("https://www.washoecounty.gov/assessor/cama/?command=sales&amp;parid=12313202","3927810")</f>
        <v>3927810</v>
      </c>
      <c r="H4247" t="s">
        <v>1251</v>
      </c>
      <c r="I4247">
        <v>1974</v>
      </c>
      <c r="J4247">
        <v>1974</v>
      </c>
      <c r="K4247" t="s">
        <v>4554</v>
      </c>
      <c r="L4247" t="s">
        <v>3886</v>
      </c>
      <c r="M4247" s="2">
        <v>1365</v>
      </c>
      <c r="N4247" t="s">
        <v>5280</v>
      </c>
      <c r="O4247">
        <v>3</v>
      </c>
      <c r="P4247">
        <v>2</v>
      </c>
      <c r="Q4247">
        <v>0</v>
      </c>
      <c r="R4247" t="s">
        <v>4557</v>
      </c>
      <c r="S4247" t="s">
        <v>4135</v>
      </c>
      <c r="T4247" t="s">
        <v>4143</v>
      </c>
      <c r="U4247" t="s">
        <v>4655</v>
      </c>
      <c r="V4247" s="2">
        <v>0</v>
      </c>
      <c r="W4247" t="s">
        <v>3201</v>
      </c>
      <c r="X4247" s="2">
        <v>462</v>
      </c>
      <c r="Y4247">
        <v>20</v>
      </c>
      <c r="Z4247" t="s">
        <v>5508</v>
      </c>
      <c r="AA4247" s="3">
        <v>0.40360420942306502</v>
      </c>
      <c r="AB4247" t="s">
        <v>22588</v>
      </c>
      <c r="AC4247" t="s">
        <v>4562</v>
      </c>
      <c r="AD4247" t="s">
        <v>22589</v>
      </c>
      <c r="AE4247" t="s">
        <v>4655</v>
      </c>
      <c r="AF4247" t="s">
        <v>4959</v>
      </c>
      <c r="AG4247" t="s">
        <v>4564</v>
      </c>
      <c r="AH4247">
        <v>89402</v>
      </c>
      <c r="AI4247" t="s">
        <v>22590</v>
      </c>
      <c r="AJ4247" t="s">
        <v>4655</v>
      </c>
      <c r="AK4247" t="s">
        <v>22591</v>
      </c>
      <c r="AL4247" s="13" t="s">
        <v>1893</v>
      </c>
      <c r="AM4247">
        <v>1</v>
      </c>
      <c r="AN4247" s="15" t="s">
        <v>2911</v>
      </c>
    </row>
    <row r="4248" spans="1:40" x14ac:dyDescent="0.3">
      <c r="A4248" s="10" t="str">
        <f>HYPERLINK("http://www.washoecounty.gov/assessor/cama/?parid=123-138-11&amp;CardNumber=1","123-138-11")</f>
        <v>123-138-11</v>
      </c>
      <c r="B4248" t="s">
        <v>4655</v>
      </c>
      <c r="C4248" t="s">
        <v>22592</v>
      </c>
      <c r="D4248" s="1">
        <v>40382</v>
      </c>
      <c r="E4248" s="2">
        <v>640000</v>
      </c>
      <c r="F4248" t="s">
        <v>3528</v>
      </c>
      <c r="G4248" s="17" t="str">
        <f>HYPERLINK("https://www.washoecounty.gov/assessor/cama/?command=sales&amp;parid=12313811","3904364")</f>
        <v>3904364</v>
      </c>
      <c r="H4248" t="s">
        <v>1251</v>
      </c>
      <c r="I4248">
        <v>1945</v>
      </c>
      <c r="J4248">
        <v>1960</v>
      </c>
      <c r="K4248" t="s">
        <v>4554</v>
      </c>
      <c r="L4248" t="s">
        <v>3886</v>
      </c>
      <c r="M4248" s="2">
        <v>1638</v>
      </c>
      <c r="N4248" t="s">
        <v>3147</v>
      </c>
      <c r="O4248">
        <v>4</v>
      </c>
      <c r="P4248">
        <v>3</v>
      </c>
      <c r="Q4248">
        <v>0</v>
      </c>
      <c r="R4248" t="s">
        <v>4557</v>
      </c>
      <c r="S4248" t="s">
        <v>4135</v>
      </c>
      <c r="T4248" t="s">
        <v>2947</v>
      </c>
      <c r="U4248" t="s">
        <v>4560</v>
      </c>
      <c r="V4248" s="2">
        <v>414</v>
      </c>
      <c r="W4248" t="s">
        <v>3201</v>
      </c>
      <c r="X4248" s="2">
        <v>442</v>
      </c>
      <c r="Y4248">
        <v>20</v>
      </c>
      <c r="Z4248" t="s">
        <v>1776</v>
      </c>
      <c r="AA4248" s="3">
        <v>0.23900367319583901</v>
      </c>
      <c r="AB4248" t="s">
        <v>22593</v>
      </c>
      <c r="AC4248" t="s">
        <v>4562</v>
      </c>
      <c r="AD4248" t="s">
        <v>22594</v>
      </c>
      <c r="AE4248" t="s">
        <v>4655</v>
      </c>
      <c r="AF4248" t="s">
        <v>2594</v>
      </c>
      <c r="AG4248" t="s">
        <v>4584</v>
      </c>
      <c r="AH4248" t="s">
        <v>2178</v>
      </c>
      <c r="AI4248" t="s">
        <v>22595</v>
      </c>
      <c r="AJ4248" t="s">
        <v>4655</v>
      </c>
      <c r="AK4248" t="s">
        <v>22596</v>
      </c>
      <c r="AL4248" s="13" t="s">
        <v>1893</v>
      </c>
      <c r="AM4248">
        <v>1</v>
      </c>
      <c r="AN4248" s="15" t="s">
        <v>2912</v>
      </c>
    </row>
    <row r="4249" spans="1:40" x14ac:dyDescent="0.3">
      <c r="A4249" s="10" t="str">
        <f>HYPERLINK("http://www.washoecounty.gov/assessor/cama/?parid=123-151-02&amp;CardNumber=1","123-151-02")</f>
        <v>123-151-02</v>
      </c>
      <c r="B4249" t="s">
        <v>4655</v>
      </c>
      <c r="C4249" t="s">
        <v>22597</v>
      </c>
      <c r="D4249" s="1">
        <v>40276</v>
      </c>
      <c r="E4249" s="2">
        <v>555000</v>
      </c>
      <c r="F4249" t="s">
        <v>4567</v>
      </c>
      <c r="G4249" s="17" t="str">
        <f>HYPERLINK("https://www.washoecounty.gov/assessor/cama/?command=sales&amp;parid=12315102","3869043")</f>
        <v>3869043</v>
      </c>
      <c r="H4249" t="s">
        <v>22598</v>
      </c>
      <c r="I4249">
        <v>1959</v>
      </c>
      <c r="J4249">
        <v>1968</v>
      </c>
      <c r="K4249" t="s">
        <v>4554</v>
      </c>
      <c r="L4249" t="s">
        <v>4555</v>
      </c>
      <c r="M4249" s="2">
        <v>1088</v>
      </c>
      <c r="N4249" t="s">
        <v>3147</v>
      </c>
      <c r="O4249">
        <v>0</v>
      </c>
      <c r="P4249">
        <v>2</v>
      </c>
      <c r="Q4249">
        <v>0</v>
      </c>
      <c r="R4249" t="s">
        <v>4557</v>
      </c>
      <c r="S4249" t="s">
        <v>4135</v>
      </c>
      <c r="T4249" t="s">
        <v>4143</v>
      </c>
      <c r="U4249" t="s">
        <v>4655</v>
      </c>
      <c r="V4249" s="2">
        <v>0</v>
      </c>
      <c r="W4249" t="s">
        <v>4655</v>
      </c>
      <c r="X4249" s="2">
        <v>0</v>
      </c>
      <c r="Y4249">
        <v>20</v>
      </c>
      <c r="Z4249" t="s">
        <v>5508</v>
      </c>
      <c r="AA4249" s="3">
        <v>0.23000459372997301</v>
      </c>
      <c r="AB4249" t="s">
        <v>22599</v>
      </c>
      <c r="AC4249" t="s">
        <v>4562</v>
      </c>
      <c r="AD4249" t="s">
        <v>22600</v>
      </c>
      <c r="AE4249" t="s">
        <v>4655</v>
      </c>
      <c r="AF4249" t="s">
        <v>4959</v>
      </c>
      <c r="AG4249" t="s">
        <v>4564</v>
      </c>
      <c r="AH4249">
        <v>89402</v>
      </c>
      <c r="AI4249" t="s">
        <v>4655</v>
      </c>
      <c r="AJ4249" t="s">
        <v>4655</v>
      </c>
      <c r="AK4249" t="s">
        <v>22598</v>
      </c>
      <c r="AL4249" s="13" t="s">
        <v>1893</v>
      </c>
      <c r="AM4249" s="14">
        <v>1</v>
      </c>
      <c r="AN4249" s="15" t="s">
        <v>22601</v>
      </c>
    </row>
    <row r="4250" spans="1:40" x14ac:dyDescent="0.3">
      <c r="A4250" s="10" t="str">
        <f>HYPERLINK("http://www.washoecounty.gov/assessor/cama/?parid=123-190-35&amp;CardNumber=1","123-190-35")</f>
        <v>123-190-35</v>
      </c>
      <c r="B4250" t="s">
        <v>4655</v>
      </c>
      <c r="C4250" t="s">
        <v>22602</v>
      </c>
      <c r="D4250" s="1">
        <v>40238</v>
      </c>
      <c r="E4250" s="2">
        <v>917000</v>
      </c>
      <c r="F4250" t="s">
        <v>4567</v>
      </c>
      <c r="G4250" s="17" t="str">
        <f>HYPERLINK("https://www.washoecounty.gov/assessor/cama/?command=sales&amp;parid=12319035","3853924")</f>
        <v>3853924</v>
      </c>
      <c r="H4250" t="s">
        <v>22603</v>
      </c>
      <c r="I4250">
        <v>1979</v>
      </c>
      <c r="J4250">
        <v>1981</v>
      </c>
      <c r="K4250" t="s">
        <v>4554</v>
      </c>
      <c r="L4250" t="s">
        <v>3974</v>
      </c>
      <c r="M4250" s="2">
        <v>2136</v>
      </c>
      <c r="N4250" t="s">
        <v>5106</v>
      </c>
      <c r="O4250">
        <v>3</v>
      </c>
      <c r="P4250">
        <v>4</v>
      </c>
      <c r="Q4250">
        <v>0</v>
      </c>
      <c r="R4250" t="s">
        <v>4557</v>
      </c>
      <c r="S4250" t="s">
        <v>4135</v>
      </c>
      <c r="T4250" t="s">
        <v>4559</v>
      </c>
      <c r="U4250" t="s">
        <v>4655</v>
      </c>
      <c r="V4250" s="2">
        <v>0</v>
      </c>
      <c r="W4250" t="s">
        <v>4571</v>
      </c>
      <c r="X4250" s="2">
        <v>578</v>
      </c>
      <c r="Y4250">
        <v>21</v>
      </c>
      <c r="Z4250" t="s">
        <v>5508</v>
      </c>
      <c r="AA4250" s="3">
        <v>5.5991735309362398E-2</v>
      </c>
      <c r="AB4250" t="s">
        <v>22604</v>
      </c>
      <c r="AC4250" t="s">
        <v>4562</v>
      </c>
      <c r="AD4250" t="s">
        <v>22605</v>
      </c>
      <c r="AE4250" t="s">
        <v>4655</v>
      </c>
      <c r="AF4250" t="s">
        <v>5206</v>
      </c>
      <c r="AG4250" t="s">
        <v>4564</v>
      </c>
      <c r="AH4250" t="s">
        <v>5207</v>
      </c>
      <c r="AI4250" t="s">
        <v>22606</v>
      </c>
      <c r="AJ4250" t="s">
        <v>22607</v>
      </c>
      <c r="AK4250" t="s">
        <v>22608</v>
      </c>
      <c r="AL4250" s="13" t="s">
        <v>1893</v>
      </c>
      <c r="AM4250">
        <v>1</v>
      </c>
      <c r="AN4250" s="15" t="s">
        <v>22609</v>
      </c>
    </row>
    <row r="4251" spans="1:40" x14ac:dyDescent="0.3">
      <c r="A4251" s="10" t="str">
        <f>HYPERLINK("http://www.washoecounty.gov/assessor/cama/?parid=123-190-45&amp;CardNumber=1","123-190-45")</f>
        <v>123-190-45</v>
      </c>
      <c r="B4251" t="s">
        <v>4655</v>
      </c>
      <c r="C4251" t="s">
        <v>22602</v>
      </c>
      <c r="D4251" s="1">
        <v>40210</v>
      </c>
      <c r="E4251" s="2">
        <v>960000</v>
      </c>
      <c r="F4251" t="s">
        <v>4567</v>
      </c>
      <c r="G4251" s="17" t="str">
        <f>HYPERLINK("https://www.washoecounty.gov/assessor/cama/?command=sales&amp;parid=12319045","3844752")</f>
        <v>3844752</v>
      </c>
      <c r="H4251" t="s">
        <v>22610</v>
      </c>
      <c r="I4251">
        <v>1996</v>
      </c>
      <c r="J4251">
        <v>1996</v>
      </c>
      <c r="K4251" t="s">
        <v>4554</v>
      </c>
      <c r="L4251" t="s">
        <v>3044</v>
      </c>
      <c r="M4251" s="2">
        <v>2943</v>
      </c>
      <c r="N4251" t="s">
        <v>5106</v>
      </c>
      <c r="O4251">
        <v>3</v>
      </c>
      <c r="P4251">
        <v>3</v>
      </c>
      <c r="Q4251">
        <v>0</v>
      </c>
      <c r="R4251" t="s">
        <v>5205</v>
      </c>
      <c r="S4251" t="s">
        <v>4135</v>
      </c>
      <c r="T4251" t="s">
        <v>4559</v>
      </c>
      <c r="U4251" t="s">
        <v>4655</v>
      </c>
      <c r="V4251" s="2">
        <v>0</v>
      </c>
      <c r="W4251" t="s">
        <v>4655</v>
      </c>
      <c r="X4251" s="2">
        <v>0</v>
      </c>
      <c r="Y4251">
        <v>21</v>
      </c>
      <c r="Z4251" t="s">
        <v>5508</v>
      </c>
      <c r="AA4251" s="3">
        <v>5.50045929849148E-2</v>
      </c>
      <c r="AB4251" t="s">
        <v>22611</v>
      </c>
      <c r="AC4251" t="s">
        <v>4575</v>
      </c>
      <c r="AD4251" t="s">
        <v>22612</v>
      </c>
      <c r="AE4251" t="s">
        <v>22613</v>
      </c>
      <c r="AF4251" t="s">
        <v>9701</v>
      </c>
      <c r="AG4251" t="s">
        <v>4584</v>
      </c>
      <c r="AH4251">
        <v>95207</v>
      </c>
      <c r="AI4251" t="s">
        <v>22614</v>
      </c>
      <c r="AJ4251" t="s">
        <v>22607</v>
      </c>
      <c r="AK4251" t="s">
        <v>22615</v>
      </c>
      <c r="AL4251" s="13" t="s">
        <v>1893</v>
      </c>
      <c r="AM4251">
        <v>1</v>
      </c>
      <c r="AN4251" s="15" t="s">
        <v>22609</v>
      </c>
    </row>
    <row r="4252" spans="1:40" x14ac:dyDescent="0.3">
      <c r="A4252" s="10" t="str">
        <f>HYPERLINK("http://www.washoecounty.gov/assessor/cama/?parid=123-190-50&amp;CardNumber=1","123-190-50")</f>
        <v>123-190-50</v>
      </c>
      <c r="B4252" t="s">
        <v>4655</v>
      </c>
      <c r="C4252" t="s">
        <v>22602</v>
      </c>
      <c r="D4252" s="1">
        <v>40256</v>
      </c>
      <c r="E4252" s="2">
        <v>925000</v>
      </c>
      <c r="F4252" t="s">
        <v>4567</v>
      </c>
      <c r="G4252" s="17" t="str">
        <f>HYPERLINK("https://www.washoecounty.gov/assessor/cama/?command=sales&amp;parid=12319050","3861471")</f>
        <v>3861471</v>
      </c>
      <c r="H4252" t="s">
        <v>22610</v>
      </c>
      <c r="I4252">
        <v>1994</v>
      </c>
      <c r="J4252">
        <v>1994</v>
      </c>
      <c r="K4252" t="s">
        <v>4554</v>
      </c>
      <c r="L4252" t="s">
        <v>3044</v>
      </c>
      <c r="M4252" s="2">
        <v>3099</v>
      </c>
      <c r="N4252" t="s">
        <v>5106</v>
      </c>
      <c r="O4252">
        <v>5</v>
      </c>
      <c r="P4252">
        <v>3</v>
      </c>
      <c r="Q4252">
        <v>1</v>
      </c>
      <c r="R4252" t="s">
        <v>5205</v>
      </c>
      <c r="S4252" t="s">
        <v>4135</v>
      </c>
      <c r="T4252" t="s">
        <v>3888</v>
      </c>
      <c r="U4252" t="s">
        <v>4655</v>
      </c>
      <c r="V4252" s="2">
        <v>0</v>
      </c>
      <c r="W4252" t="s">
        <v>4655</v>
      </c>
      <c r="X4252" s="2">
        <v>0</v>
      </c>
      <c r="Y4252">
        <v>21</v>
      </c>
      <c r="Z4252" t="s">
        <v>5508</v>
      </c>
      <c r="AA4252" s="3">
        <v>5.50045929849148E-2</v>
      </c>
      <c r="AB4252" t="s">
        <v>22616</v>
      </c>
      <c r="AC4252" t="s">
        <v>4562</v>
      </c>
      <c r="AD4252" t="s">
        <v>22617</v>
      </c>
      <c r="AE4252" t="s">
        <v>4655</v>
      </c>
      <c r="AF4252" t="s">
        <v>1407</v>
      </c>
      <c r="AG4252" t="s">
        <v>4564</v>
      </c>
      <c r="AH4252">
        <v>89703</v>
      </c>
      <c r="AI4252" t="s">
        <v>22618</v>
      </c>
      <c r="AJ4252" t="s">
        <v>22607</v>
      </c>
      <c r="AK4252" t="s">
        <v>22619</v>
      </c>
      <c r="AL4252" s="13" t="s">
        <v>1893</v>
      </c>
      <c r="AM4252" s="14">
        <v>1</v>
      </c>
      <c r="AN4252" s="15" t="s">
        <v>22609</v>
      </c>
    </row>
    <row r="4253" spans="1:40" x14ac:dyDescent="0.3">
      <c r="A4253" s="10" t="str">
        <f>HYPERLINK("http://www.washoecounty.gov/assessor/cama/?parid=123-211-03&amp;CardNumber=1","123-211-03")</f>
        <v>123-211-03</v>
      </c>
      <c r="B4253" t="s">
        <v>4655</v>
      </c>
      <c r="C4253" t="s">
        <v>22597</v>
      </c>
      <c r="D4253" s="1">
        <v>40276</v>
      </c>
      <c r="E4253" s="2">
        <v>555000</v>
      </c>
      <c r="F4253" t="s">
        <v>4567</v>
      </c>
      <c r="G4253" s="17" t="str">
        <f>HYPERLINK("https://www.washoecounty.gov/assessor/cama/?command=sales&amp;parid=12321103","3869043")</f>
        <v>3869043</v>
      </c>
      <c r="H4253" t="s">
        <v>22598</v>
      </c>
      <c r="I4253">
        <v>1959</v>
      </c>
      <c r="J4253">
        <v>1968</v>
      </c>
      <c r="K4253" t="s">
        <v>4554</v>
      </c>
      <c r="L4253" t="s">
        <v>4555</v>
      </c>
      <c r="M4253" s="2">
        <v>1088</v>
      </c>
      <c r="N4253" t="s">
        <v>3147</v>
      </c>
      <c r="O4253">
        <v>3</v>
      </c>
      <c r="P4253">
        <v>2</v>
      </c>
      <c r="Q4253">
        <v>0</v>
      </c>
      <c r="R4253" t="s">
        <v>4557</v>
      </c>
      <c r="S4253" t="s">
        <v>4135</v>
      </c>
      <c r="T4253" t="s">
        <v>4143</v>
      </c>
      <c r="U4253" t="s">
        <v>4560</v>
      </c>
      <c r="V4253" s="2">
        <v>600</v>
      </c>
      <c r="W4253" t="s">
        <v>4655</v>
      </c>
      <c r="X4253" s="2">
        <v>0</v>
      </c>
      <c r="Y4253">
        <v>20</v>
      </c>
      <c r="Z4253" t="s">
        <v>5508</v>
      </c>
      <c r="AA4253" s="3">
        <v>0.23000459372997301</v>
      </c>
      <c r="AB4253" t="s">
        <v>22620</v>
      </c>
      <c r="AC4253" t="s">
        <v>4575</v>
      </c>
      <c r="AD4253" t="s">
        <v>22621</v>
      </c>
      <c r="AE4253" t="s">
        <v>22622</v>
      </c>
      <c r="AF4253" t="s">
        <v>4959</v>
      </c>
      <c r="AG4253" t="s">
        <v>4564</v>
      </c>
      <c r="AH4253">
        <v>89402</v>
      </c>
      <c r="AI4253" t="s">
        <v>22599</v>
      </c>
      <c r="AJ4253" t="s">
        <v>22623</v>
      </c>
      <c r="AK4253" t="s">
        <v>22598</v>
      </c>
      <c r="AL4253" s="13" t="s">
        <v>1893</v>
      </c>
      <c r="AM4253" s="14">
        <v>1</v>
      </c>
      <c r="AN4253" s="15" t="s">
        <v>2912</v>
      </c>
    </row>
    <row r="4254" spans="1:40" x14ac:dyDescent="0.3">
      <c r="A4254" s="10" t="str">
        <f>HYPERLINK("http://www.washoecounty.gov/assessor/cama/?parid=123-260-06&amp;CardNumber=1","123-260-06")</f>
        <v>123-260-06</v>
      </c>
      <c r="B4254" t="s">
        <v>4655</v>
      </c>
      <c r="C4254" t="s">
        <v>22624</v>
      </c>
      <c r="D4254" s="1">
        <v>40388</v>
      </c>
      <c r="E4254" s="2">
        <v>2400000</v>
      </c>
      <c r="F4254" t="s">
        <v>4567</v>
      </c>
      <c r="G4254" s="17" t="str">
        <f>HYPERLINK("https://www.washoecounty.gov/assessor/cama/?command=sales&amp;parid=12326006","3906506")</f>
        <v>3906506</v>
      </c>
      <c r="H4254" t="s">
        <v>22625</v>
      </c>
      <c r="I4254">
        <v>1970</v>
      </c>
      <c r="J4254">
        <v>1990</v>
      </c>
      <c r="K4254" t="s">
        <v>4897</v>
      </c>
      <c r="L4254" t="s">
        <v>4555</v>
      </c>
      <c r="M4254" s="2">
        <v>2840</v>
      </c>
      <c r="N4254" t="s">
        <v>5106</v>
      </c>
      <c r="O4254">
        <v>4</v>
      </c>
      <c r="P4254">
        <v>3</v>
      </c>
      <c r="Q4254">
        <v>0</v>
      </c>
      <c r="R4254" t="s">
        <v>1186</v>
      </c>
      <c r="S4254" t="s">
        <v>4135</v>
      </c>
      <c r="T4254" t="s">
        <v>4899</v>
      </c>
      <c r="U4254" t="s">
        <v>4655</v>
      </c>
      <c r="V4254" s="2">
        <v>0</v>
      </c>
      <c r="W4254" t="s">
        <v>4655</v>
      </c>
      <c r="X4254" s="2">
        <v>0</v>
      </c>
      <c r="Y4254">
        <v>21</v>
      </c>
      <c r="Z4254" t="s">
        <v>5508</v>
      </c>
      <c r="AA4254" s="3">
        <v>1.00000004749745E-3</v>
      </c>
      <c r="AB4254" t="s">
        <v>22626</v>
      </c>
      <c r="AC4254" t="s">
        <v>4575</v>
      </c>
      <c r="AD4254" t="s">
        <v>4443</v>
      </c>
      <c r="AE4254" t="s">
        <v>4655</v>
      </c>
      <c r="AF4254" t="s">
        <v>5206</v>
      </c>
      <c r="AG4254" t="s">
        <v>4564</v>
      </c>
      <c r="AH4254" t="s">
        <v>5207</v>
      </c>
      <c r="AI4254" t="s">
        <v>22627</v>
      </c>
      <c r="AJ4254" t="s">
        <v>4655</v>
      </c>
      <c r="AK4254" t="s">
        <v>22628</v>
      </c>
      <c r="AL4254" s="13" t="s">
        <v>1893</v>
      </c>
      <c r="AM4254">
        <v>1</v>
      </c>
      <c r="AN4254" s="15" t="s">
        <v>22629</v>
      </c>
    </row>
    <row r="4255" spans="1:40" x14ac:dyDescent="0.3">
      <c r="A4255" s="10" t="str">
        <f>HYPERLINK("http://www.washoecounty.gov/assessor/cama/?parid=123-272-18&amp;CardNumber=1","123-272-18")</f>
        <v>123-272-18</v>
      </c>
      <c r="B4255" t="s">
        <v>4655</v>
      </c>
      <c r="C4255" t="s">
        <v>22630</v>
      </c>
      <c r="D4255" s="1">
        <v>40501</v>
      </c>
      <c r="E4255" s="2">
        <v>1700000</v>
      </c>
      <c r="F4255" t="s">
        <v>3528</v>
      </c>
      <c r="G4255" s="17" t="str">
        <f>HYPERLINK("https://www.washoecounty.gov/assessor/cama/?command=sales&amp;parid=12327218","3944735")</f>
        <v>3944735</v>
      </c>
      <c r="H4255" t="s">
        <v>22631</v>
      </c>
      <c r="I4255">
        <v>1980</v>
      </c>
      <c r="J4255">
        <v>1980</v>
      </c>
      <c r="K4255" t="s">
        <v>4897</v>
      </c>
      <c r="L4255" t="s">
        <v>3044</v>
      </c>
      <c r="M4255" s="2">
        <v>2712</v>
      </c>
      <c r="N4255" t="s">
        <v>2008</v>
      </c>
      <c r="O4255">
        <v>4</v>
      </c>
      <c r="P4255">
        <v>3</v>
      </c>
      <c r="Q4255">
        <v>1</v>
      </c>
      <c r="R4255" t="s">
        <v>4557</v>
      </c>
      <c r="S4255" t="s">
        <v>4570</v>
      </c>
      <c r="T4255" t="s">
        <v>4559</v>
      </c>
      <c r="U4255" t="s">
        <v>4655</v>
      </c>
      <c r="V4255" s="2">
        <v>0</v>
      </c>
      <c r="W4255" t="s">
        <v>4655</v>
      </c>
      <c r="X4255" s="2">
        <v>0</v>
      </c>
      <c r="Y4255">
        <v>21</v>
      </c>
      <c r="Z4255" t="s">
        <v>5508</v>
      </c>
      <c r="AA4255" s="3">
        <v>1.00000004749745E-3</v>
      </c>
      <c r="AB4255" t="s">
        <v>22632</v>
      </c>
      <c r="AC4255" t="s">
        <v>4575</v>
      </c>
      <c r="AD4255" t="s">
        <v>22633</v>
      </c>
      <c r="AE4255" t="s">
        <v>4655</v>
      </c>
      <c r="AF4255" t="s">
        <v>22634</v>
      </c>
      <c r="AG4255" t="s">
        <v>4584</v>
      </c>
      <c r="AH4255">
        <v>91105</v>
      </c>
      <c r="AI4255" t="s">
        <v>22635</v>
      </c>
      <c r="AJ4255" t="s">
        <v>4655</v>
      </c>
      <c r="AK4255" t="s">
        <v>22636</v>
      </c>
      <c r="AL4255" s="13" t="s">
        <v>1893</v>
      </c>
      <c r="AM4255">
        <v>1</v>
      </c>
      <c r="AN4255" s="15" t="s">
        <v>22637</v>
      </c>
    </row>
    <row r="4256" spans="1:40" x14ac:dyDescent="0.3">
      <c r="A4256" s="10" t="str">
        <f>HYPERLINK("http://www.washoecounty.gov/assessor/cama/?parid=123-274-04&amp;CardNumber=1","123-274-04")</f>
        <v>123-274-04</v>
      </c>
      <c r="B4256" t="s">
        <v>4655</v>
      </c>
      <c r="C4256" t="s">
        <v>22630</v>
      </c>
      <c r="D4256" s="1">
        <v>40473</v>
      </c>
      <c r="E4256" s="2">
        <v>1880625</v>
      </c>
      <c r="F4256" t="s">
        <v>4567</v>
      </c>
      <c r="G4256" s="17" t="str">
        <f>HYPERLINK("https://www.washoecounty.gov/assessor/cama/?command=sales&amp;parid=12327404","3935580")</f>
        <v>3935580</v>
      </c>
      <c r="H4256" t="s">
        <v>22631</v>
      </c>
      <c r="I4256">
        <v>1980</v>
      </c>
      <c r="J4256">
        <v>1980</v>
      </c>
      <c r="K4256" t="s">
        <v>4897</v>
      </c>
      <c r="L4256" t="s">
        <v>3974</v>
      </c>
      <c r="M4256" s="2">
        <v>1875</v>
      </c>
      <c r="N4256" t="s">
        <v>2008</v>
      </c>
      <c r="O4256">
        <v>2</v>
      </c>
      <c r="P4256">
        <v>2</v>
      </c>
      <c r="Q4256">
        <v>1</v>
      </c>
      <c r="R4256" t="s">
        <v>4557</v>
      </c>
      <c r="S4256" t="s">
        <v>4570</v>
      </c>
      <c r="T4256" t="s">
        <v>4559</v>
      </c>
      <c r="U4256" t="s">
        <v>4655</v>
      </c>
      <c r="V4256" s="2">
        <v>0</v>
      </c>
      <c r="W4256" t="s">
        <v>4655</v>
      </c>
      <c r="X4256" s="2">
        <v>0</v>
      </c>
      <c r="Y4256">
        <v>21</v>
      </c>
      <c r="Z4256" t="s">
        <v>5508</v>
      </c>
      <c r="AA4256" s="3">
        <v>1.00000004749745E-3</v>
      </c>
      <c r="AB4256" t="s">
        <v>22638</v>
      </c>
      <c r="AC4256" t="s">
        <v>4575</v>
      </c>
      <c r="AD4256" t="s">
        <v>22639</v>
      </c>
      <c r="AE4256" t="s">
        <v>22640</v>
      </c>
      <c r="AF4256" t="s">
        <v>686</v>
      </c>
      <c r="AG4256" t="s">
        <v>4584</v>
      </c>
      <c r="AH4256">
        <v>94115</v>
      </c>
      <c r="AI4256" t="s">
        <v>22641</v>
      </c>
      <c r="AJ4256" t="s">
        <v>4655</v>
      </c>
      <c r="AK4256" t="s">
        <v>22642</v>
      </c>
      <c r="AL4256" s="13" t="s">
        <v>1893</v>
      </c>
      <c r="AM4256">
        <v>1</v>
      </c>
      <c r="AN4256" s="15" t="s">
        <v>22637</v>
      </c>
    </row>
    <row r="4257" spans="1:40" x14ac:dyDescent="0.3">
      <c r="A4257" s="10" t="str">
        <f>HYPERLINK("http://www.washoecounty.gov/assessor/cama/?parid=124-020-04&amp;CardNumber=1","124-020-04")</f>
        <v>124-020-04</v>
      </c>
      <c r="B4257" t="s">
        <v>4655</v>
      </c>
      <c r="C4257" t="s">
        <v>22643</v>
      </c>
      <c r="D4257" s="1">
        <v>40533</v>
      </c>
      <c r="E4257" s="2">
        <v>256000</v>
      </c>
      <c r="F4257" t="s">
        <v>4553</v>
      </c>
      <c r="G4257" s="17" t="str">
        <f>HYPERLINK("https://www.washoecounty.gov/assessor/cama/?command=sales&amp;parid=12402004","3955787")</f>
        <v>3955787</v>
      </c>
      <c r="H4257" t="s">
        <v>22644</v>
      </c>
      <c r="I4257">
        <v>1978</v>
      </c>
      <c r="J4257">
        <v>1978</v>
      </c>
      <c r="K4257" t="s">
        <v>4897</v>
      </c>
      <c r="L4257" t="s">
        <v>3974</v>
      </c>
      <c r="M4257" s="2">
        <v>1544</v>
      </c>
      <c r="N4257" t="s">
        <v>5280</v>
      </c>
      <c r="O4257">
        <v>2</v>
      </c>
      <c r="P4257">
        <v>2</v>
      </c>
      <c r="Q4257">
        <v>0</v>
      </c>
      <c r="R4257" t="s">
        <v>4557</v>
      </c>
      <c r="S4257" t="s">
        <v>4135</v>
      </c>
      <c r="T4257" t="s">
        <v>4559</v>
      </c>
      <c r="U4257" t="s">
        <v>5631</v>
      </c>
      <c r="V4257" s="2">
        <v>296</v>
      </c>
      <c r="W4257" t="s">
        <v>4655</v>
      </c>
      <c r="X4257" s="2">
        <v>0</v>
      </c>
      <c r="Y4257">
        <v>21</v>
      </c>
      <c r="Z4257" t="s">
        <v>3781</v>
      </c>
      <c r="AA4257" s="3">
        <v>1.00000004749745E-3</v>
      </c>
      <c r="AB4257" t="s">
        <v>22645</v>
      </c>
      <c r="AC4257" t="s">
        <v>4575</v>
      </c>
      <c r="AD4257" t="s">
        <v>22646</v>
      </c>
      <c r="AE4257" t="s">
        <v>4655</v>
      </c>
      <c r="AF4257" t="s">
        <v>5206</v>
      </c>
      <c r="AG4257" t="s">
        <v>4564</v>
      </c>
      <c r="AH4257" t="s">
        <v>5207</v>
      </c>
      <c r="AI4257" t="s">
        <v>22647</v>
      </c>
      <c r="AJ4257" t="s">
        <v>4655</v>
      </c>
      <c r="AK4257" t="s">
        <v>22648</v>
      </c>
      <c r="AL4257" s="13" t="s">
        <v>1893</v>
      </c>
      <c r="AM4257" s="14">
        <v>1</v>
      </c>
      <c r="AN4257" s="15" t="s">
        <v>2101</v>
      </c>
    </row>
    <row r="4258" spans="1:40" x14ac:dyDescent="0.3">
      <c r="A4258" s="10" t="str">
        <f>HYPERLINK("http://www.washoecounty.gov/assessor/cama/?parid=124-031-08&amp;CardNumber=1","124-031-08")</f>
        <v>124-031-08</v>
      </c>
      <c r="B4258" t="s">
        <v>4655</v>
      </c>
      <c r="C4258" t="s">
        <v>22649</v>
      </c>
      <c r="D4258" s="1">
        <v>40430</v>
      </c>
      <c r="E4258" s="2">
        <v>360000</v>
      </c>
      <c r="F4258" t="s">
        <v>3528</v>
      </c>
      <c r="G4258" s="17" t="str">
        <f>HYPERLINK("https://www.washoecounty.gov/assessor/cama/?command=sales&amp;parid=12403108","3920738")</f>
        <v>3920738</v>
      </c>
      <c r="H4258" t="s">
        <v>4960</v>
      </c>
      <c r="I4258">
        <v>1963</v>
      </c>
      <c r="J4258">
        <v>1963</v>
      </c>
      <c r="K4258" t="s">
        <v>4554</v>
      </c>
      <c r="L4258" t="s">
        <v>2170</v>
      </c>
      <c r="M4258" s="2">
        <v>2117</v>
      </c>
      <c r="N4258" t="s">
        <v>4048</v>
      </c>
      <c r="O4258">
        <v>5</v>
      </c>
      <c r="P4258">
        <v>2</v>
      </c>
      <c r="Q4258">
        <v>1</v>
      </c>
      <c r="R4258" t="s">
        <v>4557</v>
      </c>
      <c r="S4258" t="s">
        <v>4135</v>
      </c>
      <c r="T4258" t="s">
        <v>4143</v>
      </c>
      <c r="U4258" t="s">
        <v>4560</v>
      </c>
      <c r="V4258" s="2">
        <v>691</v>
      </c>
      <c r="W4258" t="s">
        <v>4655</v>
      </c>
      <c r="X4258" s="2">
        <v>0</v>
      </c>
      <c r="Y4258">
        <v>20</v>
      </c>
      <c r="Z4258" t="s">
        <v>5508</v>
      </c>
      <c r="AA4258" s="3">
        <v>0.54898989200591997</v>
      </c>
      <c r="AB4258" t="s">
        <v>22650</v>
      </c>
      <c r="AC4258" t="s">
        <v>4562</v>
      </c>
      <c r="AD4258" t="s">
        <v>22651</v>
      </c>
      <c r="AE4258" t="s">
        <v>4655</v>
      </c>
      <c r="AF4258" t="s">
        <v>5206</v>
      </c>
      <c r="AG4258" t="s">
        <v>4564</v>
      </c>
      <c r="AH4258" t="s">
        <v>5207</v>
      </c>
      <c r="AI4258" t="s">
        <v>4655</v>
      </c>
      <c r="AJ4258" t="s">
        <v>4655</v>
      </c>
      <c r="AK4258" t="s">
        <v>22652</v>
      </c>
      <c r="AL4258" s="13" t="s">
        <v>1893</v>
      </c>
      <c r="AM4258" s="14">
        <v>1</v>
      </c>
      <c r="AN4258" s="15" t="s">
        <v>2913</v>
      </c>
    </row>
    <row r="4259" spans="1:40" x14ac:dyDescent="0.3">
      <c r="A4259" s="10" t="str">
        <f>HYPERLINK("http://www.washoecounty.gov/assessor/cama/?parid=124-042-03&amp;CardNumber=1","124-042-03")</f>
        <v>124-042-03</v>
      </c>
      <c r="B4259" t="s">
        <v>4655</v>
      </c>
      <c r="C4259" t="s">
        <v>22653</v>
      </c>
      <c r="D4259" s="1">
        <v>40280</v>
      </c>
      <c r="E4259" s="2">
        <v>350000</v>
      </c>
      <c r="F4259" t="s">
        <v>3259</v>
      </c>
      <c r="G4259" s="17" t="str">
        <f>HYPERLINK("https://www.washoecounty.gov/assessor/cama/?command=sales&amp;parid=12404203","3869700")</f>
        <v>3869700</v>
      </c>
      <c r="H4259" t="s">
        <v>4960</v>
      </c>
      <c r="I4259">
        <v>2010</v>
      </c>
      <c r="J4259">
        <v>2010</v>
      </c>
      <c r="K4259" t="s">
        <v>4554</v>
      </c>
      <c r="L4259" t="s">
        <v>4555</v>
      </c>
      <c r="M4259" s="2">
        <v>2368</v>
      </c>
      <c r="N4259" t="s">
        <v>3887</v>
      </c>
      <c r="O4259">
        <v>3</v>
      </c>
      <c r="P4259">
        <v>2</v>
      </c>
      <c r="Q4259">
        <v>0</v>
      </c>
      <c r="R4259" t="s">
        <v>4557</v>
      </c>
      <c r="S4259" t="s">
        <v>4135</v>
      </c>
      <c r="T4259" t="s">
        <v>4559</v>
      </c>
      <c r="U4259" t="s">
        <v>4560</v>
      </c>
      <c r="V4259" s="2">
        <v>584</v>
      </c>
      <c r="W4259" t="s">
        <v>4655</v>
      </c>
      <c r="X4259" s="2">
        <v>0</v>
      </c>
      <c r="Y4259">
        <v>20</v>
      </c>
      <c r="Z4259" t="s">
        <v>5508</v>
      </c>
      <c r="AA4259" s="3">
        <v>0.41299358010292098</v>
      </c>
      <c r="AB4259" t="s">
        <v>22654</v>
      </c>
      <c r="AC4259" t="s">
        <v>4575</v>
      </c>
      <c r="AD4259" t="s">
        <v>22655</v>
      </c>
      <c r="AE4259" t="s">
        <v>4655</v>
      </c>
      <c r="AF4259" t="s">
        <v>4054</v>
      </c>
      <c r="AG4259" t="s">
        <v>4564</v>
      </c>
      <c r="AH4259" t="s">
        <v>5275</v>
      </c>
      <c r="AI4259" t="s">
        <v>22656</v>
      </c>
      <c r="AJ4259" t="s">
        <v>4655</v>
      </c>
      <c r="AK4259" t="s">
        <v>22657</v>
      </c>
      <c r="AL4259" s="13" t="s">
        <v>1893</v>
      </c>
      <c r="AM4259" s="14">
        <v>1</v>
      </c>
      <c r="AN4259" s="15" t="s">
        <v>2913</v>
      </c>
    </row>
    <row r="4260" spans="1:40" x14ac:dyDescent="0.3">
      <c r="A4260" s="10" t="str">
        <f>HYPERLINK("http://www.washoecounty.gov/assessor/cama/?parid=124-042-10&amp;CardNumber=1","124-042-10")</f>
        <v>124-042-10</v>
      </c>
      <c r="B4260" t="s">
        <v>4655</v>
      </c>
      <c r="C4260" t="s">
        <v>22658</v>
      </c>
      <c r="D4260" s="1">
        <v>40521</v>
      </c>
      <c r="E4260" s="2">
        <v>500000</v>
      </c>
      <c r="F4260" t="s">
        <v>3259</v>
      </c>
      <c r="G4260" s="17" t="str">
        <f>HYPERLINK("https://www.washoecounty.gov/assessor/cama/?command=sales&amp;parid=12404210","3951525")</f>
        <v>3951525</v>
      </c>
      <c r="H4260" t="s">
        <v>4960</v>
      </c>
      <c r="I4260">
        <v>1964</v>
      </c>
      <c r="J4260">
        <v>1968</v>
      </c>
      <c r="K4260" t="s">
        <v>4554</v>
      </c>
      <c r="L4260" t="s">
        <v>4555</v>
      </c>
      <c r="M4260" s="2">
        <v>1370</v>
      </c>
      <c r="N4260" t="s">
        <v>5280</v>
      </c>
      <c r="O4260">
        <v>2</v>
      </c>
      <c r="P4260">
        <v>2</v>
      </c>
      <c r="Q4260">
        <v>0</v>
      </c>
      <c r="R4260" t="s">
        <v>4557</v>
      </c>
      <c r="S4260" t="s">
        <v>4135</v>
      </c>
      <c r="T4260" t="s">
        <v>4899</v>
      </c>
      <c r="U4260" t="s">
        <v>4560</v>
      </c>
      <c r="V4260" s="2">
        <v>720</v>
      </c>
      <c r="W4260" t="s">
        <v>4655</v>
      </c>
      <c r="X4260" s="2">
        <v>0</v>
      </c>
      <c r="Y4260">
        <v>20</v>
      </c>
      <c r="Z4260" t="s">
        <v>5508</v>
      </c>
      <c r="AA4260" s="3">
        <v>0.49400827288627602</v>
      </c>
      <c r="AB4260" t="s">
        <v>22659</v>
      </c>
      <c r="AC4260" t="s">
        <v>4562</v>
      </c>
      <c r="AD4260" t="s">
        <v>22660</v>
      </c>
      <c r="AE4260" t="s">
        <v>4655</v>
      </c>
      <c r="AF4260" t="s">
        <v>22661</v>
      </c>
      <c r="AG4260" t="s">
        <v>4584</v>
      </c>
      <c r="AH4260">
        <v>94505</v>
      </c>
      <c r="AI4260" t="s">
        <v>22662</v>
      </c>
      <c r="AJ4260" t="s">
        <v>4655</v>
      </c>
      <c r="AK4260" t="s">
        <v>22663</v>
      </c>
      <c r="AL4260" s="13" t="s">
        <v>1893</v>
      </c>
      <c r="AM4260" s="14">
        <v>1</v>
      </c>
      <c r="AN4260" s="15" t="s">
        <v>2913</v>
      </c>
    </row>
    <row r="4261" spans="1:40" x14ac:dyDescent="0.3">
      <c r="A4261" s="10" t="str">
        <f>HYPERLINK("http://www.washoecounty.gov/assessor/cama/?parid=124-043-64&amp;CardNumber=1","124-043-64")</f>
        <v>124-043-64</v>
      </c>
      <c r="B4261" t="s">
        <v>4655</v>
      </c>
      <c r="C4261" t="s">
        <v>22664</v>
      </c>
      <c r="D4261" s="1">
        <v>40312</v>
      </c>
      <c r="E4261" s="2">
        <v>675000</v>
      </c>
      <c r="F4261" t="s">
        <v>4553</v>
      </c>
      <c r="G4261" s="17" t="str">
        <f>HYPERLINK("https://www.washoecounty.gov/assessor/cama/?command=sales&amp;parid=12404364","3881666")</f>
        <v>3881666</v>
      </c>
      <c r="H4261" t="s">
        <v>4960</v>
      </c>
      <c r="I4261">
        <v>1963</v>
      </c>
      <c r="J4261">
        <v>1984</v>
      </c>
      <c r="K4261" t="s">
        <v>4554</v>
      </c>
      <c r="L4261" t="s">
        <v>3886</v>
      </c>
      <c r="M4261" s="2">
        <v>3493</v>
      </c>
      <c r="N4261" t="s">
        <v>3887</v>
      </c>
      <c r="O4261">
        <v>4</v>
      </c>
      <c r="P4261">
        <v>3</v>
      </c>
      <c r="Q4261">
        <v>1</v>
      </c>
      <c r="R4261" t="s">
        <v>4557</v>
      </c>
      <c r="S4261" t="s">
        <v>4135</v>
      </c>
      <c r="T4261" t="s">
        <v>4559</v>
      </c>
      <c r="U4261" t="s">
        <v>4560</v>
      </c>
      <c r="V4261" s="2">
        <v>942</v>
      </c>
      <c r="W4261" t="s">
        <v>4655</v>
      </c>
      <c r="X4261" s="2">
        <v>0</v>
      </c>
      <c r="Y4261">
        <v>20</v>
      </c>
      <c r="Z4261" t="s">
        <v>5508</v>
      </c>
      <c r="AA4261" s="3">
        <v>0.4469926655292511</v>
      </c>
      <c r="AB4261" t="s">
        <v>22665</v>
      </c>
      <c r="AC4261" t="s">
        <v>4562</v>
      </c>
      <c r="AD4261" t="s">
        <v>22666</v>
      </c>
      <c r="AE4261" t="s">
        <v>4655</v>
      </c>
      <c r="AF4261" t="s">
        <v>4303</v>
      </c>
      <c r="AG4261" t="s">
        <v>4564</v>
      </c>
      <c r="AH4261" t="s">
        <v>5207</v>
      </c>
      <c r="AI4261" t="s">
        <v>359</v>
      </c>
      <c r="AJ4261" t="s">
        <v>4655</v>
      </c>
      <c r="AK4261" t="s">
        <v>22667</v>
      </c>
      <c r="AL4261" s="13" t="s">
        <v>1893</v>
      </c>
      <c r="AM4261" s="14">
        <v>1</v>
      </c>
      <c r="AN4261" s="15" t="s">
        <v>2913</v>
      </c>
    </row>
    <row r="4262" spans="1:40" x14ac:dyDescent="0.3">
      <c r="A4262" s="10" t="str">
        <f>HYPERLINK("http://www.washoecounty.gov/assessor/cama/?parid=124-062-14&amp;CardNumber=1","124-062-14")</f>
        <v>124-062-14</v>
      </c>
      <c r="B4262" t="s">
        <v>4655</v>
      </c>
      <c r="C4262" t="s">
        <v>3074</v>
      </c>
      <c r="D4262" s="1">
        <v>40479</v>
      </c>
      <c r="E4262" s="2">
        <v>305000</v>
      </c>
      <c r="F4262" t="s">
        <v>4553</v>
      </c>
      <c r="G4262" s="17" t="str">
        <f>HYPERLINK("https://www.washoecounty.gov/assessor/cama/?command=sales&amp;parid=12406214","3937522")</f>
        <v>3937522</v>
      </c>
      <c r="H4262" t="s">
        <v>3075</v>
      </c>
      <c r="I4262">
        <v>1965</v>
      </c>
      <c r="J4262">
        <v>1981</v>
      </c>
      <c r="K4262" t="s">
        <v>4554</v>
      </c>
      <c r="L4262" t="s">
        <v>2170</v>
      </c>
      <c r="M4262" s="2">
        <v>1956</v>
      </c>
      <c r="N4262" t="s">
        <v>5280</v>
      </c>
      <c r="O4262">
        <v>3</v>
      </c>
      <c r="P4262">
        <v>2</v>
      </c>
      <c r="Q4262">
        <v>1</v>
      </c>
      <c r="R4262" t="s">
        <v>4557</v>
      </c>
      <c r="S4262" t="s">
        <v>4558</v>
      </c>
      <c r="T4262" t="s">
        <v>4559</v>
      </c>
      <c r="U4262" t="s">
        <v>4560</v>
      </c>
      <c r="V4262" s="2">
        <v>624</v>
      </c>
      <c r="W4262" t="s">
        <v>4655</v>
      </c>
      <c r="X4262" s="2">
        <v>0</v>
      </c>
      <c r="Y4262">
        <v>20</v>
      </c>
      <c r="Z4262" t="s">
        <v>5508</v>
      </c>
      <c r="AA4262" s="3">
        <v>0.41299358010292098</v>
      </c>
      <c r="AB4262" t="s">
        <v>5645</v>
      </c>
      <c r="AC4262" t="s">
        <v>4562</v>
      </c>
      <c r="AD4262" t="s">
        <v>5646</v>
      </c>
      <c r="AE4262" t="s">
        <v>4655</v>
      </c>
      <c r="AF4262" t="s">
        <v>1609</v>
      </c>
      <c r="AG4262" t="s">
        <v>4584</v>
      </c>
      <c r="AH4262" t="s">
        <v>1610</v>
      </c>
      <c r="AI4262" t="s">
        <v>4202</v>
      </c>
      <c r="AJ4262" t="s">
        <v>4655</v>
      </c>
      <c r="AK4262" t="s">
        <v>3076</v>
      </c>
      <c r="AL4262" s="13" t="s">
        <v>1893</v>
      </c>
      <c r="AM4262">
        <v>1</v>
      </c>
      <c r="AN4262" s="15" t="s">
        <v>2913</v>
      </c>
    </row>
    <row r="4263" spans="1:40" x14ac:dyDescent="0.3">
      <c r="A4263" s="10" t="str">
        <f>HYPERLINK("http://www.washoecounty.gov/assessor/cama/?parid=124-081-03&amp;CardNumber=1","124-081-03")</f>
        <v>124-081-03</v>
      </c>
      <c r="B4263" t="s">
        <v>4655</v>
      </c>
      <c r="C4263" t="s">
        <v>22668</v>
      </c>
      <c r="D4263" s="1">
        <v>40301</v>
      </c>
      <c r="E4263" s="2">
        <v>790000</v>
      </c>
      <c r="F4263" t="s">
        <v>3512</v>
      </c>
      <c r="G4263" s="17" t="str">
        <f>HYPERLINK("https://www.washoecounty.gov/assessor/cama/?command=sales&amp;parid=12408103","3877357")</f>
        <v>3877357</v>
      </c>
      <c r="H4263" t="s">
        <v>4826</v>
      </c>
      <c r="I4263">
        <v>1980</v>
      </c>
      <c r="J4263">
        <v>1980</v>
      </c>
      <c r="K4263" t="s">
        <v>4554</v>
      </c>
      <c r="L4263" t="s">
        <v>3044</v>
      </c>
      <c r="M4263" s="2">
        <v>3136</v>
      </c>
      <c r="N4263" t="s">
        <v>5280</v>
      </c>
      <c r="O4263">
        <v>4</v>
      </c>
      <c r="P4263">
        <v>3</v>
      </c>
      <c r="Q4263">
        <v>1</v>
      </c>
      <c r="R4263" t="s">
        <v>4557</v>
      </c>
      <c r="S4263" t="s">
        <v>4135</v>
      </c>
      <c r="T4263" t="s">
        <v>4559</v>
      </c>
      <c r="U4263" t="s">
        <v>5631</v>
      </c>
      <c r="V4263" s="2">
        <v>560</v>
      </c>
      <c r="W4263" t="s">
        <v>4655</v>
      </c>
      <c r="X4263" s="2">
        <v>0</v>
      </c>
      <c r="Y4263">
        <v>20</v>
      </c>
      <c r="Z4263" t="s">
        <v>5508</v>
      </c>
      <c r="AA4263" s="3">
        <v>0.41299358010292098</v>
      </c>
      <c r="AB4263" t="s">
        <v>22669</v>
      </c>
      <c r="AC4263" t="s">
        <v>4562</v>
      </c>
      <c r="AD4263" t="s">
        <v>22670</v>
      </c>
      <c r="AE4263" t="s">
        <v>4655</v>
      </c>
      <c r="AF4263" t="s">
        <v>5206</v>
      </c>
      <c r="AG4263" t="s">
        <v>4564</v>
      </c>
      <c r="AH4263" t="s">
        <v>5207</v>
      </c>
      <c r="AI4263" t="s">
        <v>3965</v>
      </c>
      <c r="AJ4263" t="s">
        <v>4655</v>
      </c>
      <c r="AK4263" t="s">
        <v>22671</v>
      </c>
      <c r="AL4263" s="13" t="s">
        <v>1893</v>
      </c>
      <c r="AM4263">
        <v>1</v>
      </c>
      <c r="AN4263" s="15" t="s">
        <v>2913</v>
      </c>
    </row>
    <row r="4264" spans="1:40" x14ac:dyDescent="0.3">
      <c r="A4264" s="10" t="str">
        <f>HYPERLINK("http://www.washoecounty.gov/assessor/cama/?parid=124-082-16&amp;CardNumber=1","124-082-16")</f>
        <v>124-082-16</v>
      </c>
      <c r="B4264" t="s">
        <v>4655</v>
      </c>
      <c r="C4264" t="s">
        <v>22672</v>
      </c>
      <c r="D4264" s="1">
        <v>40459</v>
      </c>
      <c r="E4264" s="2">
        <v>1150000</v>
      </c>
      <c r="F4264" t="s">
        <v>4187</v>
      </c>
      <c r="G4264" s="17" t="str">
        <f>HYPERLINK("https://www.washoecounty.gov/assessor/cama/?command=sales&amp;parid=12408216","3931340")</f>
        <v>3931340</v>
      </c>
      <c r="H4264" t="s">
        <v>4826</v>
      </c>
      <c r="I4264">
        <v>2008</v>
      </c>
      <c r="J4264">
        <v>2008</v>
      </c>
      <c r="K4264" t="s">
        <v>4554</v>
      </c>
      <c r="L4264" t="s">
        <v>3974</v>
      </c>
      <c r="M4264" s="2">
        <v>3902</v>
      </c>
      <c r="N4264" t="s">
        <v>2967</v>
      </c>
      <c r="O4264">
        <v>4</v>
      </c>
      <c r="P4264">
        <v>4</v>
      </c>
      <c r="Q4264">
        <v>2</v>
      </c>
      <c r="R4264" t="s">
        <v>5630</v>
      </c>
      <c r="S4264" t="s">
        <v>4135</v>
      </c>
      <c r="T4264" t="s">
        <v>4559</v>
      </c>
      <c r="U4264" t="s">
        <v>5631</v>
      </c>
      <c r="V4264" s="2">
        <v>855</v>
      </c>
      <c r="W4264" t="s">
        <v>4655</v>
      </c>
      <c r="X4264" s="2">
        <v>0</v>
      </c>
      <c r="Y4264">
        <v>20</v>
      </c>
      <c r="Z4264" t="s">
        <v>5508</v>
      </c>
      <c r="AA4264" s="3">
        <v>0.44400826096534701</v>
      </c>
      <c r="AB4264" t="s">
        <v>22673</v>
      </c>
      <c r="AC4264" t="s">
        <v>4575</v>
      </c>
      <c r="AD4264" t="s">
        <v>22674</v>
      </c>
      <c r="AE4264" t="s">
        <v>4655</v>
      </c>
      <c r="AF4264" t="s">
        <v>313</v>
      </c>
      <c r="AG4264" t="s">
        <v>4584</v>
      </c>
      <c r="AH4264">
        <v>90254</v>
      </c>
      <c r="AI4264" t="s">
        <v>22675</v>
      </c>
      <c r="AJ4264" t="s">
        <v>4655</v>
      </c>
      <c r="AK4264" t="s">
        <v>22676</v>
      </c>
      <c r="AL4264" s="13" t="s">
        <v>1893</v>
      </c>
      <c r="AM4264" s="14">
        <v>1</v>
      </c>
      <c r="AN4264" s="15" t="s">
        <v>2913</v>
      </c>
    </row>
    <row r="4265" spans="1:40" x14ac:dyDescent="0.3">
      <c r="A4265" s="10" t="str">
        <f>HYPERLINK("http://www.washoecounty.gov/assessor/cama/?parid=124-082-17&amp;CardNumber=1","124-082-17")</f>
        <v>124-082-17</v>
      </c>
      <c r="B4265" t="s">
        <v>4655</v>
      </c>
      <c r="C4265" t="s">
        <v>22677</v>
      </c>
      <c r="D4265" s="1">
        <v>40331</v>
      </c>
      <c r="E4265" s="2">
        <v>1375000</v>
      </c>
      <c r="F4265" t="s">
        <v>4553</v>
      </c>
      <c r="G4265" s="17" t="str">
        <f>HYPERLINK("https://www.washoecounty.gov/assessor/cama/?command=sales&amp;parid=12408217","3887424")</f>
        <v>3887424</v>
      </c>
      <c r="H4265" t="s">
        <v>4826</v>
      </c>
      <c r="I4265">
        <v>2008</v>
      </c>
      <c r="J4265">
        <v>2008</v>
      </c>
      <c r="K4265" t="s">
        <v>4554</v>
      </c>
      <c r="L4265" t="s">
        <v>3974</v>
      </c>
      <c r="M4265" s="2">
        <v>2943</v>
      </c>
      <c r="N4265" t="s">
        <v>2967</v>
      </c>
      <c r="O4265">
        <v>4</v>
      </c>
      <c r="P4265">
        <v>4</v>
      </c>
      <c r="Q4265">
        <v>1</v>
      </c>
      <c r="R4265" t="s">
        <v>5630</v>
      </c>
      <c r="S4265" t="s">
        <v>4135</v>
      </c>
      <c r="T4265" t="s">
        <v>4559</v>
      </c>
      <c r="U4265" t="s">
        <v>4560</v>
      </c>
      <c r="V4265" s="2">
        <v>805</v>
      </c>
      <c r="W4265" t="s">
        <v>1500</v>
      </c>
      <c r="X4265" s="2">
        <v>1055</v>
      </c>
      <c r="Y4265">
        <v>20</v>
      </c>
      <c r="Z4265" t="s">
        <v>5508</v>
      </c>
      <c r="AA4265" s="3">
        <v>0.4469926655292511</v>
      </c>
      <c r="AB4265" t="s">
        <v>22678</v>
      </c>
      <c r="AC4265" t="s">
        <v>4575</v>
      </c>
      <c r="AD4265" t="s">
        <v>22679</v>
      </c>
      <c r="AE4265" t="s">
        <v>4655</v>
      </c>
      <c r="AF4265" t="s">
        <v>3960</v>
      </c>
      <c r="AG4265" t="s">
        <v>5277</v>
      </c>
      <c r="AH4265" t="s">
        <v>22680</v>
      </c>
      <c r="AI4265" t="s">
        <v>22681</v>
      </c>
      <c r="AJ4265" t="s">
        <v>4655</v>
      </c>
      <c r="AK4265" t="s">
        <v>22682</v>
      </c>
      <c r="AL4265" s="13" t="s">
        <v>1893</v>
      </c>
      <c r="AM4265" s="14">
        <v>1</v>
      </c>
      <c r="AN4265" s="15" t="s">
        <v>2913</v>
      </c>
    </row>
    <row r="4266" spans="1:40" x14ac:dyDescent="0.3">
      <c r="A4266" s="10" t="str">
        <f>HYPERLINK("http://www.washoecounty.gov/assessor/cama/?parid=124-082-18&amp;CardNumber=1","124-082-18")</f>
        <v>124-082-18</v>
      </c>
      <c r="B4266" t="s">
        <v>4655</v>
      </c>
      <c r="C4266" t="s">
        <v>22683</v>
      </c>
      <c r="D4266" s="1">
        <v>40399</v>
      </c>
      <c r="E4266" s="2">
        <v>1415000</v>
      </c>
      <c r="F4266" t="s">
        <v>3259</v>
      </c>
      <c r="G4266" s="17" t="str">
        <f>HYPERLINK("https://www.washoecounty.gov/assessor/cama/?command=sales&amp;parid=12408218","3909897")</f>
        <v>3909897</v>
      </c>
      <c r="H4266" t="s">
        <v>22684</v>
      </c>
      <c r="I4266">
        <v>2008</v>
      </c>
      <c r="J4266">
        <v>2008</v>
      </c>
      <c r="K4266" t="s">
        <v>4554</v>
      </c>
      <c r="L4266" t="s">
        <v>3974</v>
      </c>
      <c r="M4266" s="2">
        <v>3922</v>
      </c>
      <c r="N4266" t="s">
        <v>2967</v>
      </c>
      <c r="O4266">
        <v>4</v>
      </c>
      <c r="P4266">
        <v>4</v>
      </c>
      <c r="Q4266">
        <v>1</v>
      </c>
      <c r="R4266" t="s">
        <v>5630</v>
      </c>
      <c r="S4266" t="s">
        <v>4135</v>
      </c>
      <c r="T4266" t="s">
        <v>4559</v>
      </c>
      <c r="U4266" t="s">
        <v>5631</v>
      </c>
      <c r="V4266" s="2">
        <v>827</v>
      </c>
      <c r="W4266" t="s">
        <v>4655</v>
      </c>
      <c r="X4266" s="2">
        <v>0</v>
      </c>
      <c r="Y4266">
        <v>20</v>
      </c>
      <c r="Z4266" t="s">
        <v>5508</v>
      </c>
      <c r="AA4266" s="3">
        <v>0.44100090861320501</v>
      </c>
      <c r="AB4266" t="s">
        <v>22685</v>
      </c>
      <c r="AC4266" t="s">
        <v>4562</v>
      </c>
      <c r="AD4266" t="s">
        <v>22686</v>
      </c>
      <c r="AE4266" t="s">
        <v>4655</v>
      </c>
      <c r="AF4266" t="s">
        <v>22687</v>
      </c>
      <c r="AG4266" t="s">
        <v>4584</v>
      </c>
      <c r="AH4266">
        <v>90272</v>
      </c>
      <c r="AI4266" t="s">
        <v>22675</v>
      </c>
      <c r="AJ4266" t="s">
        <v>4655</v>
      </c>
      <c r="AK4266" t="s">
        <v>22688</v>
      </c>
      <c r="AL4266" s="13" t="s">
        <v>1893</v>
      </c>
      <c r="AM4266">
        <v>1</v>
      </c>
      <c r="AN4266" s="15" t="s">
        <v>2913</v>
      </c>
    </row>
    <row r="4267" spans="1:40" x14ac:dyDescent="0.3">
      <c r="A4267" s="10" t="str">
        <f>HYPERLINK("http://www.washoecounty.gov/assessor/cama/?parid=124-082-21&amp;CardNumber=1","124-082-21")</f>
        <v>124-082-21</v>
      </c>
      <c r="B4267" t="s">
        <v>4655</v>
      </c>
      <c r="C4267" t="s">
        <v>22689</v>
      </c>
      <c r="D4267" s="1">
        <v>40529</v>
      </c>
      <c r="E4267" s="2">
        <v>690000</v>
      </c>
      <c r="F4267" t="s">
        <v>4567</v>
      </c>
      <c r="G4267" s="17" t="str">
        <f>HYPERLINK("https://www.washoecounty.gov/assessor/cama/?command=sales&amp;parid=12408221","3954907")</f>
        <v>3954907</v>
      </c>
      <c r="H4267" t="s">
        <v>4826</v>
      </c>
      <c r="I4267">
        <v>1980</v>
      </c>
      <c r="J4267">
        <v>1980</v>
      </c>
      <c r="K4267" t="s">
        <v>4554</v>
      </c>
      <c r="L4267" t="s">
        <v>3974</v>
      </c>
      <c r="M4267" s="2">
        <v>3674</v>
      </c>
      <c r="N4267" t="s">
        <v>5106</v>
      </c>
      <c r="O4267">
        <v>6</v>
      </c>
      <c r="P4267">
        <v>6</v>
      </c>
      <c r="Q4267">
        <v>1</v>
      </c>
      <c r="R4267" t="s">
        <v>4557</v>
      </c>
      <c r="S4267" t="s">
        <v>4135</v>
      </c>
      <c r="T4267" t="s">
        <v>4559</v>
      </c>
      <c r="U4267" t="s">
        <v>4560</v>
      </c>
      <c r="V4267" s="2">
        <v>440</v>
      </c>
      <c r="W4267" t="s">
        <v>4655</v>
      </c>
      <c r="X4267" s="2">
        <v>0</v>
      </c>
      <c r="Y4267">
        <v>20</v>
      </c>
      <c r="Z4267" t="s">
        <v>5508</v>
      </c>
      <c r="AA4267" s="3">
        <v>0.44800275564193698</v>
      </c>
      <c r="AB4267" t="s">
        <v>22690</v>
      </c>
      <c r="AC4267" t="s">
        <v>4575</v>
      </c>
      <c r="AD4267" t="s">
        <v>22689</v>
      </c>
      <c r="AE4267" t="s">
        <v>4655</v>
      </c>
      <c r="AF4267" t="s">
        <v>5206</v>
      </c>
      <c r="AG4267" t="s">
        <v>4564</v>
      </c>
      <c r="AH4267" t="s">
        <v>5207</v>
      </c>
      <c r="AI4267" t="s">
        <v>22691</v>
      </c>
      <c r="AJ4267" t="s">
        <v>4655</v>
      </c>
      <c r="AK4267" t="s">
        <v>22692</v>
      </c>
      <c r="AL4267" s="13" t="s">
        <v>1893</v>
      </c>
      <c r="AM4267" s="14">
        <v>1</v>
      </c>
      <c r="AN4267" s="15" t="s">
        <v>2913</v>
      </c>
    </row>
    <row r="4268" spans="1:40" x14ac:dyDescent="0.3">
      <c r="A4268" s="10" t="str">
        <f>HYPERLINK("http://www.washoecounty.gov/assessor/cama/?parid=124-082-23&amp;CardNumber=1","124-082-23")</f>
        <v>124-082-23</v>
      </c>
      <c r="B4268" t="s">
        <v>4655</v>
      </c>
      <c r="C4268" t="s">
        <v>22693</v>
      </c>
      <c r="D4268" s="1">
        <v>40431</v>
      </c>
      <c r="E4268" s="2">
        <v>591000</v>
      </c>
      <c r="F4268" t="s">
        <v>3259</v>
      </c>
      <c r="G4268" s="17" t="str">
        <f>HYPERLINK("https://www.washoecounty.gov/assessor/cama/?command=sales&amp;parid=12408223","3920844")</f>
        <v>3920844</v>
      </c>
      <c r="H4268" t="s">
        <v>4826</v>
      </c>
      <c r="I4268">
        <v>1991</v>
      </c>
      <c r="J4268">
        <v>1991</v>
      </c>
      <c r="K4268" t="s">
        <v>4554</v>
      </c>
      <c r="L4268" t="s">
        <v>2170</v>
      </c>
      <c r="M4268" s="2">
        <v>2734</v>
      </c>
      <c r="N4268" t="s">
        <v>3147</v>
      </c>
      <c r="O4268">
        <v>4</v>
      </c>
      <c r="P4268">
        <v>2</v>
      </c>
      <c r="Q4268">
        <v>1</v>
      </c>
      <c r="R4268" t="s">
        <v>4557</v>
      </c>
      <c r="S4268" t="s">
        <v>390</v>
      </c>
      <c r="T4268" t="s">
        <v>3888</v>
      </c>
      <c r="U4268" t="s">
        <v>5631</v>
      </c>
      <c r="V4268" s="2">
        <v>506</v>
      </c>
      <c r="W4268" t="s">
        <v>4655</v>
      </c>
      <c r="X4268" s="2">
        <v>0</v>
      </c>
      <c r="Y4268">
        <v>20</v>
      </c>
      <c r="Z4268" t="s">
        <v>5508</v>
      </c>
      <c r="AA4268" s="3">
        <v>0.41299358010292098</v>
      </c>
      <c r="AB4268" t="s">
        <v>22694</v>
      </c>
      <c r="AC4268" t="s">
        <v>4575</v>
      </c>
      <c r="AD4268" t="s">
        <v>22695</v>
      </c>
      <c r="AE4268" t="s">
        <v>22696</v>
      </c>
      <c r="AF4268" t="s">
        <v>5206</v>
      </c>
      <c r="AG4268" t="s">
        <v>4564</v>
      </c>
      <c r="AH4268" t="s">
        <v>5207</v>
      </c>
      <c r="AI4268" t="s">
        <v>22697</v>
      </c>
      <c r="AJ4268" t="s">
        <v>4655</v>
      </c>
      <c r="AK4268" t="s">
        <v>22698</v>
      </c>
      <c r="AL4268" s="13" t="s">
        <v>1893</v>
      </c>
      <c r="AM4268">
        <v>1</v>
      </c>
      <c r="AN4268" s="15" t="s">
        <v>2913</v>
      </c>
    </row>
    <row r="4269" spans="1:40" x14ac:dyDescent="0.3">
      <c r="A4269" s="10" t="str">
        <f>HYPERLINK("http://www.washoecounty.gov/assessor/cama/?parid=124-082-40&amp;CardNumber=1","124-082-40")</f>
        <v>124-082-40</v>
      </c>
      <c r="B4269" t="s">
        <v>4655</v>
      </c>
      <c r="C4269" t="s">
        <v>22699</v>
      </c>
      <c r="D4269" s="1">
        <v>40252</v>
      </c>
      <c r="E4269" s="2">
        <v>411000</v>
      </c>
      <c r="F4269" t="s">
        <v>4553</v>
      </c>
      <c r="G4269" s="17" t="str">
        <f>HYPERLINK("https://www.washoecounty.gov/assessor/cama/?command=sales&amp;parid=12408240","3860059")</f>
        <v>3860059</v>
      </c>
      <c r="H4269" t="s">
        <v>2332</v>
      </c>
      <c r="I4269">
        <v>1964</v>
      </c>
      <c r="J4269">
        <v>1964</v>
      </c>
      <c r="K4269" t="s">
        <v>4554</v>
      </c>
      <c r="L4269" t="s">
        <v>4555</v>
      </c>
      <c r="M4269" s="2">
        <v>1288</v>
      </c>
      <c r="N4269" t="s">
        <v>4048</v>
      </c>
      <c r="O4269">
        <v>3</v>
      </c>
      <c r="P4269">
        <v>2</v>
      </c>
      <c r="Q4269">
        <v>0</v>
      </c>
      <c r="R4269" t="s">
        <v>4557</v>
      </c>
      <c r="S4269" t="s">
        <v>4135</v>
      </c>
      <c r="T4269" t="s">
        <v>4559</v>
      </c>
      <c r="U4269" t="s">
        <v>4560</v>
      </c>
      <c r="V4269" s="2">
        <v>280</v>
      </c>
      <c r="W4269" t="s">
        <v>4655</v>
      </c>
      <c r="X4269" s="2">
        <v>0</v>
      </c>
      <c r="Y4269">
        <v>20</v>
      </c>
      <c r="Z4269" t="s">
        <v>5508</v>
      </c>
      <c r="AA4269" s="3">
        <v>0.43099173903465299</v>
      </c>
      <c r="AB4269" t="s">
        <v>22700</v>
      </c>
      <c r="AC4269" t="s">
        <v>4562</v>
      </c>
      <c r="AD4269" t="s">
        <v>22701</v>
      </c>
      <c r="AE4269" t="s">
        <v>4655</v>
      </c>
      <c r="AF4269" t="s">
        <v>22702</v>
      </c>
      <c r="AG4269" t="s">
        <v>1766</v>
      </c>
      <c r="AH4269">
        <v>11963</v>
      </c>
      <c r="AI4269" t="s">
        <v>2333</v>
      </c>
      <c r="AJ4269" t="s">
        <v>4655</v>
      </c>
      <c r="AK4269" t="s">
        <v>22703</v>
      </c>
      <c r="AL4269" s="13" t="s">
        <v>1893</v>
      </c>
      <c r="AM4269">
        <v>1</v>
      </c>
      <c r="AN4269" s="15" t="s">
        <v>2913</v>
      </c>
    </row>
    <row r="4270" spans="1:40" x14ac:dyDescent="0.3">
      <c r="A4270" s="10" t="str">
        <f>HYPERLINK("http://www.washoecounty.gov/assessor/cama/?parid=124-083-05&amp;CardNumber=1","124-083-05")</f>
        <v>124-083-05</v>
      </c>
      <c r="B4270" t="s">
        <v>4655</v>
      </c>
      <c r="C4270" t="s">
        <v>22704</v>
      </c>
      <c r="D4270" s="1">
        <v>40514</v>
      </c>
      <c r="E4270" s="2">
        <v>379000</v>
      </c>
      <c r="F4270" t="s">
        <v>4553</v>
      </c>
      <c r="G4270" s="17" t="str">
        <f>HYPERLINK("https://www.washoecounty.gov/assessor/cama/?command=sales&amp;parid=12408305","3948861")</f>
        <v>3948861</v>
      </c>
      <c r="H4270" t="s">
        <v>4826</v>
      </c>
      <c r="I4270">
        <v>1980</v>
      </c>
      <c r="J4270">
        <v>1980</v>
      </c>
      <c r="K4270" t="s">
        <v>4554</v>
      </c>
      <c r="L4270" t="s">
        <v>4555</v>
      </c>
      <c r="M4270" s="2">
        <v>1566</v>
      </c>
      <c r="N4270" t="s">
        <v>3147</v>
      </c>
      <c r="O4270">
        <v>5</v>
      </c>
      <c r="P4270">
        <v>3</v>
      </c>
      <c r="Q4270">
        <v>1</v>
      </c>
      <c r="R4270" t="s">
        <v>4557</v>
      </c>
      <c r="S4270" t="s">
        <v>4135</v>
      </c>
      <c r="T4270" t="s">
        <v>4143</v>
      </c>
      <c r="U4270" t="s">
        <v>4560</v>
      </c>
      <c r="V4270" s="2">
        <v>550</v>
      </c>
      <c r="W4270" t="s">
        <v>3201</v>
      </c>
      <c r="X4270" s="2">
        <v>1566</v>
      </c>
      <c r="Y4270">
        <v>20</v>
      </c>
      <c r="Z4270" t="s">
        <v>5508</v>
      </c>
      <c r="AA4270" s="3">
        <v>0.43000459671020502</v>
      </c>
      <c r="AB4270" t="s">
        <v>22705</v>
      </c>
      <c r="AC4270" t="s">
        <v>4562</v>
      </c>
      <c r="AD4270" t="s">
        <v>22704</v>
      </c>
      <c r="AE4270" t="s">
        <v>4655</v>
      </c>
      <c r="AF4270" t="s">
        <v>4054</v>
      </c>
      <c r="AG4270" t="s">
        <v>4564</v>
      </c>
      <c r="AH4270" t="s">
        <v>5207</v>
      </c>
      <c r="AI4270" t="s">
        <v>2009</v>
      </c>
      <c r="AJ4270" t="s">
        <v>4655</v>
      </c>
      <c r="AK4270" t="s">
        <v>22706</v>
      </c>
      <c r="AL4270" s="13" t="s">
        <v>1893</v>
      </c>
      <c r="AM4270">
        <v>1</v>
      </c>
      <c r="AN4270" s="15" t="s">
        <v>2913</v>
      </c>
    </row>
    <row r="4271" spans="1:40" x14ac:dyDescent="0.3">
      <c r="A4271" s="10" t="str">
        <f>HYPERLINK("http://www.washoecounty.gov/assessor/cama/?parid=124-083-15&amp;CardNumber=1","124-083-15")</f>
        <v>124-083-15</v>
      </c>
      <c r="B4271" t="s">
        <v>4655</v>
      </c>
      <c r="C4271" t="s">
        <v>22707</v>
      </c>
      <c r="D4271" s="1">
        <v>40497</v>
      </c>
      <c r="E4271" s="2">
        <v>601000</v>
      </c>
      <c r="F4271" t="s">
        <v>4567</v>
      </c>
      <c r="G4271" s="17" t="str">
        <f>HYPERLINK("https://www.washoecounty.gov/assessor/cama/?command=sales&amp;parid=12408315","3942861")</f>
        <v>3942861</v>
      </c>
      <c r="H4271" t="s">
        <v>4826</v>
      </c>
      <c r="I4271">
        <v>1964</v>
      </c>
      <c r="J4271">
        <v>1968</v>
      </c>
      <c r="K4271" t="s">
        <v>4554</v>
      </c>
      <c r="L4271" t="s">
        <v>2170</v>
      </c>
      <c r="M4271" s="2">
        <v>2432</v>
      </c>
      <c r="N4271" t="s">
        <v>5280</v>
      </c>
      <c r="O4271">
        <v>3</v>
      </c>
      <c r="P4271">
        <v>2</v>
      </c>
      <c r="Q4271">
        <v>1</v>
      </c>
      <c r="R4271" t="s">
        <v>4557</v>
      </c>
      <c r="S4271" t="s">
        <v>4135</v>
      </c>
      <c r="T4271" t="s">
        <v>4559</v>
      </c>
      <c r="U4271" t="s">
        <v>4560</v>
      </c>
      <c r="V4271" s="2">
        <v>724</v>
      </c>
      <c r="W4271" t="s">
        <v>4655</v>
      </c>
      <c r="X4271" s="2">
        <v>0</v>
      </c>
      <c r="Y4271">
        <v>20</v>
      </c>
      <c r="Z4271" t="s">
        <v>5508</v>
      </c>
      <c r="AA4271" s="3">
        <v>0.46999540925025901</v>
      </c>
      <c r="AB4271" t="s">
        <v>22708</v>
      </c>
      <c r="AC4271" t="s">
        <v>4575</v>
      </c>
      <c r="AD4271" t="s">
        <v>22709</v>
      </c>
      <c r="AE4271" t="s">
        <v>4655</v>
      </c>
      <c r="AF4271" t="s">
        <v>5206</v>
      </c>
      <c r="AG4271" t="s">
        <v>4564</v>
      </c>
      <c r="AH4271" t="s">
        <v>5275</v>
      </c>
      <c r="AI4271" t="s">
        <v>4655</v>
      </c>
      <c r="AJ4271" t="s">
        <v>4655</v>
      </c>
      <c r="AK4271" t="s">
        <v>22710</v>
      </c>
      <c r="AL4271" s="13" t="s">
        <v>1893</v>
      </c>
      <c r="AM4271" s="14">
        <v>1</v>
      </c>
      <c r="AN4271" s="15" t="s">
        <v>2913</v>
      </c>
    </row>
    <row r="4272" spans="1:40" x14ac:dyDescent="0.3">
      <c r="A4272" s="10" t="str">
        <f>HYPERLINK("http://www.washoecounty.gov/assessor/cama/?parid=124-083-23&amp;CardNumber=1","124-083-23")</f>
        <v>124-083-23</v>
      </c>
      <c r="B4272" t="s">
        <v>4655</v>
      </c>
      <c r="C4272" t="s">
        <v>22711</v>
      </c>
      <c r="D4272" s="1">
        <v>40396</v>
      </c>
      <c r="E4272" s="2">
        <v>500000</v>
      </c>
      <c r="F4272" t="s">
        <v>3259</v>
      </c>
      <c r="G4272" s="17" t="str">
        <f>HYPERLINK("https://www.washoecounty.gov/assessor/cama/?command=sales&amp;parid=12408323","3909573")</f>
        <v>3909573</v>
      </c>
      <c r="H4272" t="s">
        <v>22712</v>
      </c>
      <c r="I4272">
        <v>1978</v>
      </c>
      <c r="J4272">
        <v>1978</v>
      </c>
      <c r="K4272" t="s">
        <v>4554</v>
      </c>
      <c r="L4272" t="s">
        <v>4555</v>
      </c>
      <c r="M4272" s="2">
        <v>1236</v>
      </c>
      <c r="N4272" t="s">
        <v>4048</v>
      </c>
      <c r="O4272">
        <v>3</v>
      </c>
      <c r="P4272">
        <v>2</v>
      </c>
      <c r="Q4272">
        <v>0</v>
      </c>
      <c r="R4272" t="s">
        <v>4557</v>
      </c>
      <c r="S4272" t="s">
        <v>4135</v>
      </c>
      <c r="T4272" t="s">
        <v>2704</v>
      </c>
      <c r="U4272" t="s">
        <v>4560</v>
      </c>
      <c r="V4272" s="2">
        <v>484</v>
      </c>
      <c r="W4272" t="s">
        <v>4655</v>
      </c>
      <c r="X4272" s="2">
        <v>0</v>
      </c>
      <c r="Y4272">
        <v>20</v>
      </c>
      <c r="Z4272" t="s">
        <v>5508</v>
      </c>
      <c r="AA4272" s="3">
        <v>0.42899447679519653</v>
      </c>
      <c r="AB4272" t="s">
        <v>22713</v>
      </c>
      <c r="AC4272" t="s">
        <v>4575</v>
      </c>
      <c r="AD4272" t="s">
        <v>22714</v>
      </c>
      <c r="AE4272" t="s">
        <v>4655</v>
      </c>
      <c r="AF4272" t="s">
        <v>2594</v>
      </c>
      <c r="AG4272" t="s">
        <v>4584</v>
      </c>
      <c r="AH4272" t="s">
        <v>2178</v>
      </c>
      <c r="AI4272" t="s">
        <v>22715</v>
      </c>
      <c r="AJ4272" t="s">
        <v>4655</v>
      </c>
      <c r="AK4272" t="s">
        <v>22716</v>
      </c>
      <c r="AL4272" s="13" t="s">
        <v>1893</v>
      </c>
      <c r="AM4272">
        <v>1</v>
      </c>
      <c r="AN4272" s="15" t="s">
        <v>2913</v>
      </c>
    </row>
    <row r="4273" spans="1:40" x14ac:dyDescent="0.3">
      <c r="A4273" s="10" t="str">
        <f>HYPERLINK("http://www.washoecounty.gov/assessor/cama/?parid=124-400-23&amp;CardNumber=1","124-400-23")</f>
        <v>124-400-23</v>
      </c>
      <c r="B4273" t="s">
        <v>4655</v>
      </c>
      <c r="C4273" t="s">
        <v>22717</v>
      </c>
      <c r="D4273" s="1">
        <v>40402</v>
      </c>
      <c r="E4273" s="2">
        <v>360000</v>
      </c>
      <c r="F4273" t="s">
        <v>4567</v>
      </c>
      <c r="G4273" s="17" t="str">
        <f>HYPERLINK("https://www.washoecounty.gov/assessor/cama/?command=sales&amp;parid=12440023","3911224")</f>
        <v>3911224</v>
      </c>
      <c r="H4273" t="s">
        <v>22718</v>
      </c>
      <c r="I4273">
        <v>1968</v>
      </c>
      <c r="J4273">
        <v>1968</v>
      </c>
      <c r="K4273" t="s">
        <v>4554</v>
      </c>
      <c r="L4273" t="s">
        <v>3886</v>
      </c>
      <c r="M4273" s="2">
        <v>1336</v>
      </c>
      <c r="N4273" t="s">
        <v>4556</v>
      </c>
      <c r="O4273">
        <v>2</v>
      </c>
      <c r="P4273">
        <v>2</v>
      </c>
      <c r="Q4273">
        <v>0</v>
      </c>
      <c r="R4273" t="s">
        <v>4557</v>
      </c>
      <c r="S4273" t="s">
        <v>4135</v>
      </c>
      <c r="T4273" t="s">
        <v>4559</v>
      </c>
      <c r="U4273" t="s">
        <v>4655</v>
      </c>
      <c r="V4273" s="2">
        <v>0</v>
      </c>
      <c r="W4273" t="s">
        <v>4655</v>
      </c>
      <c r="X4273" s="2">
        <v>0</v>
      </c>
      <c r="Y4273">
        <v>21</v>
      </c>
      <c r="Z4273" t="s">
        <v>718</v>
      </c>
      <c r="AA4273" s="3">
        <v>1.00000004749745E-3</v>
      </c>
      <c r="AB4273" t="s">
        <v>22719</v>
      </c>
      <c r="AC4273" t="s">
        <v>4575</v>
      </c>
      <c r="AD4273" t="s">
        <v>22720</v>
      </c>
      <c r="AE4273" t="s">
        <v>4655</v>
      </c>
      <c r="AF4273" t="s">
        <v>22721</v>
      </c>
      <c r="AG4273" t="s">
        <v>4584</v>
      </c>
      <c r="AH4273">
        <v>94002</v>
      </c>
      <c r="AI4273" t="s">
        <v>22722</v>
      </c>
      <c r="AJ4273" t="s">
        <v>4655</v>
      </c>
      <c r="AK4273" t="s">
        <v>22723</v>
      </c>
      <c r="AL4273" s="13" t="s">
        <v>1893</v>
      </c>
      <c r="AM4273">
        <v>1</v>
      </c>
      <c r="AN4273" s="15" t="s">
        <v>4611</v>
      </c>
    </row>
    <row r="4274" spans="1:40" x14ac:dyDescent="0.3">
      <c r="A4274" s="10" t="str">
        <f>HYPERLINK("http://www.washoecounty.gov/assessor/cama/?parid=125-131-12&amp;CardNumber=1","125-131-12")</f>
        <v>125-131-12</v>
      </c>
      <c r="B4274" t="s">
        <v>4655</v>
      </c>
      <c r="C4274" t="s">
        <v>22724</v>
      </c>
      <c r="D4274" s="1">
        <v>40219</v>
      </c>
      <c r="E4274" s="2">
        <v>2000000</v>
      </c>
      <c r="F4274" t="s">
        <v>3259</v>
      </c>
      <c r="G4274" s="17" t="str">
        <f>HYPERLINK("https://www.washoecounty.gov/assessor/cama/?command=sales&amp;parid=12513112","3847580")</f>
        <v>3847580</v>
      </c>
      <c r="H4274" t="s">
        <v>5400</v>
      </c>
      <c r="I4274">
        <v>1982</v>
      </c>
      <c r="J4274">
        <v>1988</v>
      </c>
      <c r="K4274" t="s">
        <v>4554</v>
      </c>
      <c r="L4274" t="s">
        <v>3044</v>
      </c>
      <c r="M4274" s="2">
        <v>4374</v>
      </c>
      <c r="N4274" t="s">
        <v>2008</v>
      </c>
      <c r="O4274">
        <v>4</v>
      </c>
      <c r="P4274">
        <v>3</v>
      </c>
      <c r="Q4274">
        <v>0</v>
      </c>
      <c r="R4274" t="s">
        <v>4557</v>
      </c>
      <c r="S4274" t="s">
        <v>4135</v>
      </c>
      <c r="T4274" t="s">
        <v>4559</v>
      </c>
      <c r="U4274" t="s">
        <v>4560</v>
      </c>
      <c r="V4274" s="2">
        <v>484</v>
      </c>
      <c r="W4274" t="s">
        <v>4655</v>
      </c>
      <c r="X4274" s="2">
        <v>0</v>
      </c>
      <c r="Y4274">
        <v>20</v>
      </c>
      <c r="Z4274" t="s">
        <v>1776</v>
      </c>
      <c r="AA4274" s="3">
        <v>0.55700182914733798</v>
      </c>
      <c r="AB4274" t="s">
        <v>22725</v>
      </c>
      <c r="AC4274" t="s">
        <v>4575</v>
      </c>
      <c r="AD4274" t="s">
        <v>22726</v>
      </c>
      <c r="AE4274" t="s">
        <v>4655</v>
      </c>
      <c r="AF4274" t="s">
        <v>4958</v>
      </c>
      <c r="AG4274" t="s">
        <v>4584</v>
      </c>
      <c r="AH4274">
        <v>90803</v>
      </c>
      <c r="AI4274" t="s">
        <v>22727</v>
      </c>
      <c r="AJ4274" t="s">
        <v>4655</v>
      </c>
      <c r="AK4274" t="s">
        <v>22728</v>
      </c>
      <c r="AL4274" s="13" t="s">
        <v>1893</v>
      </c>
      <c r="AM4274">
        <v>1</v>
      </c>
      <c r="AN4274" s="15" t="s">
        <v>2907</v>
      </c>
    </row>
    <row r="4275" spans="1:40" x14ac:dyDescent="0.3">
      <c r="A4275" s="10" t="str">
        <f>HYPERLINK("http://www.washoecounty.gov/assessor/cama/?parid=125-142-06&amp;CardNumber=1","125-142-06")</f>
        <v>125-142-06</v>
      </c>
      <c r="B4275" t="s">
        <v>4655</v>
      </c>
      <c r="C4275" t="s">
        <v>22729</v>
      </c>
      <c r="D4275" s="1">
        <v>40514</v>
      </c>
      <c r="E4275" s="2">
        <v>995000</v>
      </c>
      <c r="F4275" t="s">
        <v>3528</v>
      </c>
      <c r="G4275" s="17" t="str">
        <f>HYPERLINK("https://www.washoecounty.gov/assessor/cama/?command=sales&amp;parid=12514206","3948803")</f>
        <v>3948803</v>
      </c>
      <c r="H4275" t="s">
        <v>5400</v>
      </c>
      <c r="I4275">
        <v>1991</v>
      </c>
      <c r="J4275">
        <v>1991</v>
      </c>
      <c r="K4275" t="s">
        <v>4554</v>
      </c>
      <c r="L4275" t="s">
        <v>2170</v>
      </c>
      <c r="M4275" s="2">
        <v>2682</v>
      </c>
      <c r="N4275" t="s">
        <v>3147</v>
      </c>
      <c r="O4275">
        <v>2</v>
      </c>
      <c r="P4275">
        <v>2</v>
      </c>
      <c r="Q4275">
        <v>0</v>
      </c>
      <c r="R4275" t="s">
        <v>4557</v>
      </c>
      <c r="S4275" t="s">
        <v>4135</v>
      </c>
      <c r="T4275" t="s">
        <v>4559</v>
      </c>
      <c r="U4275" t="s">
        <v>4560</v>
      </c>
      <c r="V4275" s="2">
        <v>576</v>
      </c>
      <c r="W4275" t="s">
        <v>4655</v>
      </c>
      <c r="X4275" s="2">
        <v>0</v>
      </c>
      <c r="Y4275">
        <v>20</v>
      </c>
      <c r="Z4275" t="s">
        <v>1776</v>
      </c>
      <c r="AA4275" s="3">
        <v>0.49800276756286599</v>
      </c>
      <c r="AB4275" t="s">
        <v>22730</v>
      </c>
      <c r="AC4275" t="s">
        <v>4562</v>
      </c>
      <c r="AD4275" t="s">
        <v>22731</v>
      </c>
      <c r="AE4275" t="s">
        <v>4655</v>
      </c>
      <c r="AF4275" t="s">
        <v>1789</v>
      </c>
      <c r="AG4275" t="s">
        <v>4584</v>
      </c>
      <c r="AH4275" t="s">
        <v>1790</v>
      </c>
      <c r="AI4275" t="s">
        <v>22732</v>
      </c>
      <c r="AJ4275" t="s">
        <v>4655</v>
      </c>
      <c r="AK4275" t="s">
        <v>22733</v>
      </c>
      <c r="AL4275" s="13" t="s">
        <v>1893</v>
      </c>
      <c r="AM4275">
        <v>1</v>
      </c>
      <c r="AN4275" s="15" t="s">
        <v>2914</v>
      </c>
    </row>
    <row r="4276" spans="1:40" x14ac:dyDescent="0.3">
      <c r="A4276" s="10" t="str">
        <f>HYPERLINK("http://www.washoecounty.gov/assessor/cama/?parid=125-142-12&amp;CardNumber=1","125-142-12")</f>
        <v>125-142-12</v>
      </c>
      <c r="B4276" t="s">
        <v>4655</v>
      </c>
      <c r="C4276" t="s">
        <v>22734</v>
      </c>
      <c r="D4276" s="1">
        <v>40441</v>
      </c>
      <c r="E4276" s="2">
        <v>1405000</v>
      </c>
      <c r="F4276" t="s">
        <v>3259</v>
      </c>
      <c r="G4276" s="17" t="str">
        <f>HYPERLINK("https://www.washoecounty.gov/assessor/cama/?command=sales&amp;parid=12514212","3923920")</f>
        <v>3923920</v>
      </c>
      <c r="H4276" t="s">
        <v>5400</v>
      </c>
      <c r="I4276">
        <v>1989</v>
      </c>
      <c r="J4276">
        <v>1989</v>
      </c>
      <c r="K4276" t="s">
        <v>4554</v>
      </c>
      <c r="L4276" t="s">
        <v>2170</v>
      </c>
      <c r="M4276" s="2">
        <v>4669</v>
      </c>
      <c r="N4276" t="s">
        <v>2008</v>
      </c>
      <c r="O4276">
        <v>4</v>
      </c>
      <c r="P4276">
        <v>3</v>
      </c>
      <c r="Q4276">
        <v>1</v>
      </c>
      <c r="R4276" t="s">
        <v>4557</v>
      </c>
      <c r="S4276" t="s">
        <v>4135</v>
      </c>
      <c r="T4276" t="s">
        <v>4559</v>
      </c>
      <c r="U4276" t="s">
        <v>5631</v>
      </c>
      <c r="V4276" s="2">
        <v>672</v>
      </c>
      <c r="W4276" t="s">
        <v>4655</v>
      </c>
      <c r="X4276" s="2">
        <v>0</v>
      </c>
      <c r="Y4276">
        <v>20</v>
      </c>
      <c r="Z4276" t="s">
        <v>1776</v>
      </c>
      <c r="AA4276" s="3">
        <v>0.24800275266170499</v>
      </c>
      <c r="AB4276" t="s">
        <v>22735</v>
      </c>
      <c r="AC4276" t="s">
        <v>4575</v>
      </c>
      <c r="AD4276" t="s">
        <v>22734</v>
      </c>
      <c r="AE4276" t="s">
        <v>4655</v>
      </c>
      <c r="AF4276" t="s">
        <v>5206</v>
      </c>
      <c r="AG4276" t="s">
        <v>4564</v>
      </c>
      <c r="AH4276" t="s">
        <v>5207</v>
      </c>
      <c r="AI4276" t="s">
        <v>22735</v>
      </c>
      <c r="AJ4276" t="s">
        <v>4655</v>
      </c>
      <c r="AK4276" t="s">
        <v>22736</v>
      </c>
      <c r="AL4276" s="13" t="s">
        <v>1893</v>
      </c>
      <c r="AM4276" s="14">
        <v>1</v>
      </c>
      <c r="AN4276" s="15" t="s">
        <v>2914</v>
      </c>
    </row>
    <row r="4277" spans="1:40" x14ac:dyDescent="0.3">
      <c r="A4277" s="10" t="str">
        <f>HYPERLINK("http://www.washoecounty.gov/assessor/cama/?parid=125-142-13&amp;CardNumber=1","125-142-13")</f>
        <v>125-142-13</v>
      </c>
      <c r="B4277" t="s">
        <v>4655</v>
      </c>
      <c r="C4277" t="s">
        <v>22737</v>
      </c>
      <c r="D4277" s="1">
        <v>40525</v>
      </c>
      <c r="E4277" s="2">
        <v>2100000</v>
      </c>
      <c r="F4277" t="s">
        <v>4567</v>
      </c>
      <c r="G4277" s="17" t="str">
        <f>HYPERLINK("https://www.washoecounty.gov/assessor/cama/?command=sales&amp;parid=12514213","3952483")</f>
        <v>3952483</v>
      </c>
      <c r="H4277" t="s">
        <v>5400</v>
      </c>
      <c r="I4277">
        <v>1997</v>
      </c>
      <c r="J4277">
        <v>1997</v>
      </c>
      <c r="K4277" t="s">
        <v>4554</v>
      </c>
      <c r="L4277" t="s">
        <v>2170</v>
      </c>
      <c r="M4277" s="2">
        <v>5534</v>
      </c>
      <c r="N4277" t="s">
        <v>3457</v>
      </c>
      <c r="O4277">
        <v>5</v>
      </c>
      <c r="P4277">
        <v>5</v>
      </c>
      <c r="Q4277">
        <v>0</v>
      </c>
      <c r="R4277" t="s">
        <v>5630</v>
      </c>
      <c r="S4277" t="s">
        <v>4135</v>
      </c>
      <c r="T4277" t="s">
        <v>4559</v>
      </c>
      <c r="U4277" t="s">
        <v>4560</v>
      </c>
      <c r="V4277" s="2">
        <v>737</v>
      </c>
      <c r="W4277" t="s">
        <v>4655</v>
      </c>
      <c r="X4277" s="2">
        <v>0</v>
      </c>
      <c r="Y4277">
        <v>20</v>
      </c>
      <c r="Z4277" t="s">
        <v>1776</v>
      </c>
      <c r="AA4277" s="3">
        <v>0.33099174499511702</v>
      </c>
      <c r="AB4277" t="s">
        <v>22738</v>
      </c>
      <c r="AC4277" t="s">
        <v>4562</v>
      </c>
      <c r="AD4277" t="s">
        <v>22739</v>
      </c>
      <c r="AE4277" t="s">
        <v>22740</v>
      </c>
      <c r="AF4277" t="s">
        <v>22741</v>
      </c>
      <c r="AG4277" t="s">
        <v>4719</v>
      </c>
      <c r="AH4277">
        <v>19808</v>
      </c>
      <c r="AI4277" t="s">
        <v>4655</v>
      </c>
      <c r="AJ4277" t="s">
        <v>4655</v>
      </c>
      <c r="AK4277" t="s">
        <v>22742</v>
      </c>
      <c r="AL4277" s="13" t="s">
        <v>1893</v>
      </c>
      <c r="AM4277">
        <v>1</v>
      </c>
      <c r="AN4277" s="15" t="s">
        <v>2914</v>
      </c>
    </row>
    <row r="4278" spans="1:40" x14ac:dyDescent="0.3">
      <c r="A4278" s="10" t="str">
        <f>HYPERLINK("http://www.washoecounty.gov/assessor/cama/?parid=125-161-11&amp;CardNumber=1","125-161-11")</f>
        <v>125-161-11</v>
      </c>
      <c r="B4278" t="s">
        <v>4655</v>
      </c>
      <c r="C4278" t="s">
        <v>22743</v>
      </c>
      <c r="D4278" s="1">
        <v>40207</v>
      </c>
      <c r="E4278" s="2">
        <v>425000</v>
      </c>
      <c r="F4278" t="s">
        <v>4553</v>
      </c>
      <c r="G4278" s="17" t="str">
        <f>HYPERLINK("https://www.washoecounty.gov/assessor/cama/?command=sales&amp;parid=12516111","3844443")</f>
        <v>3844443</v>
      </c>
      <c r="H4278" t="s">
        <v>5400</v>
      </c>
      <c r="I4278">
        <v>1981</v>
      </c>
      <c r="J4278">
        <v>1981</v>
      </c>
      <c r="K4278" t="s">
        <v>4554</v>
      </c>
      <c r="L4278" t="s">
        <v>3974</v>
      </c>
      <c r="M4278" s="2">
        <v>1624</v>
      </c>
      <c r="N4278" t="s">
        <v>5280</v>
      </c>
      <c r="O4278">
        <v>3</v>
      </c>
      <c r="P4278">
        <v>2</v>
      </c>
      <c r="Q4278">
        <v>0</v>
      </c>
      <c r="R4278" t="s">
        <v>4557</v>
      </c>
      <c r="S4278" t="s">
        <v>4135</v>
      </c>
      <c r="T4278" t="s">
        <v>3888</v>
      </c>
      <c r="U4278" t="s">
        <v>5631</v>
      </c>
      <c r="V4278" s="2">
        <v>280</v>
      </c>
      <c r="W4278" t="s">
        <v>4655</v>
      </c>
      <c r="X4278" s="2">
        <v>0</v>
      </c>
      <c r="Y4278">
        <v>20</v>
      </c>
      <c r="Z4278" t="s">
        <v>1776</v>
      </c>
      <c r="AA4278" s="3">
        <v>0.20725436508655501</v>
      </c>
      <c r="AB4278" t="s">
        <v>22744</v>
      </c>
      <c r="AC4278" t="s">
        <v>4562</v>
      </c>
      <c r="AD4278" t="s">
        <v>22745</v>
      </c>
      <c r="AE4278" t="s">
        <v>4655</v>
      </c>
      <c r="AF4278" t="s">
        <v>4385</v>
      </c>
      <c r="AG4278" t="s">
        <v>4584</v>
      </c>
      <c r="AH4278">
        <v>95012</v>
      </c>
      <c r="AI4278" t="s">
        <v>2351</v>
      </c>
      <c r="AJ4278" t="s">
        <v>4655</v>
      </c>
      <c r="AK4278" t="s">
        <v>22746</v>
      </c>
      <c r="AL4278" s="13" t="s">
        <v>1893</v>
      </c>
      <c r="AM4278">
        <v>1</v>
      </c>
      <c r="AN4278" s="15" t="s">
        <v>2914</v>
      </c>
    </row>
    <row r="4279" spans="1:40" x14ac:dyDescent="0.3">
      <c r="A4279" s="10" t="str">
        <f>HYPERLINK("http://www.washoecounty.gov/assessor/cama/?parid=125-161-25&amp;CardNumber=1","125-161-25")</f>
        <v>125-161-25</v>
      </c>
      <c r="B4279" t="s">
        <v>4655</v>
      </c>
      <c r="C4279" t="s">
        <v>22747</v>
      </c>
      <c r="D4279" s="1">
        <v>40428</v>
      </c>
      <c r="E4279" s="2">
        <v>461000</v>
      </c>
      <c r="F4279" t="s">
        <v>3259</v>
      </c>
      <c r="G4279" s="17" t="str">
        <f>HYPERLINK("https://www.washoecounty.gov/assessor/cama/?command=sales&amp;parid=12516125","3919368")</f>
        <v>3919368</v>
      </c>
      <c r="H4279" t="s">
        <v>5400</v>
      </c>
      <c r="I4279">
        <v>1980</v>
      </c>
      <c r="J4279">
        <v>1980</v>
      </c>
      <c r="K4279" t="s">
        <v>4554</v>
      </c>
      <c r="L4279" t="s">
        <v>3886</v>
      </c>
      <c r="M4279" s="2">
        <v>1980</v>
      </c>
      <c r="N4279" t="s">
        <v>5280</v>
      </c>
      <c r="O4279">
        <v>3</v>
      </c>
      <c r="P4279">
        <v>2</v>
      </c>
      <c r="Q4279">
        <v>0</v>
      </c>
      <c r="R4279" t="s">
        <v>4557</v>
      </c>
      <c r="S4279" t="s">
        <v>4135</v>
      </c>
      <c r="T4279" t="s">
        <v>4559</v>
      </c>
      <c r="U4279" t="s">
        <v>4560</v>
      </c>
      <c r="V4279" s="2">
        <v>400</v>
      </c>
      <c r="W4279" t="s">
        <v>4655</v>
      </c>
      <c r="X4279" s="2">
        <v>0</v>
      </c>
      <c r="Y4279">
        <v>20</v>
      </c>
      <c r="Z4279" t="s">
        <v>1776</v>
      </c>
      <c r="AA4279" s="3">
        <v>0.20374196767807001</v>
      </c>
      <c r="AB4279" t="s">
        <v>22748</v>
      </c>
      <c r="AC4279" t="s">
        <v>4562</v>
      </c>
      <c r="AD4279" t="s">
        <v>22747</v>
      </c>
      <c r="AE4279" t="s">
        <v>4655</v>
      </c>
      <c r="AF4279" t="s">
        <v>5206</v>
      </c>
      <c r="AG4279" t="s">
        <v>4564</v>
      </c>
      <c r="AH4279" t="s">
        <v>5207</v>
      </c>
      <c r="AI4279" t="s">
        <v>22749</v>
      </c>
      <c r="AJ4279" t="s">
        <v>4655</v>
      </c>
      <c r="AK4279" t="s">
        <v>22750</v>
      </c>
      <c r="AL4279" s="13" t="s">
        <v>1893</v>
      </c>
      <c r="AM4279">
        <v>1</v>
      </c>
      <c r="AN4279" s="15" t="s">
        <v>2914</v>
      </c>
    </row>
    <row r="4280" spans="1:40" x14ac:dyDescent="0.3">
      <c r="A4280" s="10" t="str">
        <f>HYPERLINK("http://www.washoecounty.gov/assessor/cama/?parid=125-163-37&amp;CardNumber=1","125-163-37")</f>
        <v>125-163-37</v>
      </c>
      <c r="B4280" t="s">
        <v>4655</v>
      </c>
      <c r="C4280" t="s">
        <v>22751</v>
      </c>
      <c r="D4280" s="1">
        <v>40421</v>
      </c>
      <c r="E4280" s="2">
        <v>450000</v>
      </c>
      <c r="F4280" t="s">
        <v>3259</v>
      </c>
      <c r="G4280" s="17" t="str">
        <f>HYPERLINK("https://www.washoecounty.gov/assessor/cama/?command=sales&amp;parid=12516337","3917563")</f>
        <v>3917563</v>
      </c>
      <c r="H4280" t="s">
        <v>22752</v>
      </c>
      <c r="I4280">
        <v>1984</v>
      </c>
      <c r="J4280">
        <v>1984</v>
      </c>
      <c r="K4280" t="s">
        <v>4554</v>
      </c>
      <c r="L4280" t="s">
        <v>3974</v>
      </c>
      <c r="M4280" s="2">
        <v>1672</v>
      </c>
      <c r="N4280" t="s">
        <v>5280</v>
      </c>
      <c r="O4280">
        <v>3</v>
      </c>
      <c r="P4280">
        <v>2</v>
      </c>
      <c r="Q4280">
        <v>0</v>
      </c>
      <c r="R4280" t="s">
        <v>4557</v>
      </c>
      <c r="S4280" t="s">
        <v>3148</v>
      </c>
      <c r="T4280" t="s">
        <v>4143</v>
      </c>
      <c r="U4280" t="s">
        <v>5631</v>
      </c>
      <c r="V4280" s="2">
        <v>440</v>
      </c>
      <c r="W4280" t="s">
        <v>4655</v>
      </c>
      <c r="X4280" s="2">
        <v>0</v>
      </c>
      <c r="Y4280">
        <v>20</v>
      </c>
      <c r="Z4280" t="s">
        <v>1776</v>
      </c>
      <c r="AA4280" s="3">
        <v>0.18730486929416701</v>
      </c>
      <c r="AB4280" t="s">
        <v>22753</v>
      </c>
      <c r="AC4280" t="s">
        <v>4562</v>
      </c>
      <c r="AD4280" t="s">
        <v>22754</v>
      </c>
      <c r="AE4280" t="s">
        <v>4655</v>
      </c>
      <c r="AF4280" t="s">
        <v>5175</v>
      </c>
      <c r="AG4280" t="s">
        <v>4584</v>
      </c>
      <c r="AH4280">
        <v>94010</v>
      </c>
      <c r="AI4280" t="s">
        <v>4655</v>
      </c>
      <c r="AJ4280" t="s">
        <v>22755</v>
      </c>
      <c r="AK4280" t="s">
        <v>22756</v>
      </c>
      <c r="AL4280" s="13" t="s">
        <v>1893</v>
      </c>
      <c r="AM4280">
        <v>1</v>
      </c>
      <c r="AN4280" s="15" t="s">
        <v>2914</v>
      </c>
    </row>
    <row r="4281" spans="1:40" x14ac:dyDescent="0.3">
      <c r="A4281" s="10" t="str">
        <f>HYPERLINK("http://www.washoecounty.gov/assessor/cama/?parid=125-171-03&amp;CardNumber=1","125-171-03")</f>
        <v>125-171-03</v>
      </c>
      <c r="B4281" t="s">
        <v>4655</v>
      </c>
      <c r="C4281" t="s">
        <v>22757</v>
      </c>
      <c r="D4281" s="1">
        <v>40312</v>
      </c>
      <c r="E4281" s="2">
        <v>420000</v>
      </c>
      <c r="F4281" t="s">
        <v>4553</v>
      </c>
      <c r="G4281" s="17" t="str">
        <f>HYPERLINK("https://www.washoecounty.gov/assessor/cama/?command=sales&amp;parid=12517103","3881669")</f>
        <v>3881669</v>
      </c>
      <c r="H4281" t="s">
        <v>5400</v>
      </c>
      <c r="I4281">
        <v>1979</v>
      </c>
      <c r="J4281">
        <v>1981</v>
      </c>
      <c r="K4281" t="s">
        <v>4554</v>
      </c>
      <c r="L4281" t="s">
        <v>3974</v>
      </c>
      <c r="M4281" s="2">
        <v>2586</v>
      </c>
      <c r="N4281" t="s">
        <v>5280</v>
      </c>
      <c r="O4281">
        <v>3</v>
      </c>
      <c r="P4281">
        <v>2</v>
      </c>
      <c r="Q4281">
        <v>1</v>
      </c>
      <c r="R4281" t="s">
        <v>4557</v>
      </c>
      <c r="S4281" t="s">
        <v>4135</v>
      </c>
      <c r="T4281" t="s">
        <v>4559</v>
      </c>
      <c r="U4281" t="s">
        <v>4560</v>
      </c>
      <c r="V4281" s="2">
        <v>520</v>
      </c>
      <c r="W4281" t="s">
        <v>4655</v>
      </c>
      <c r="X4281" s="2">
        <v>0</v>
      </c>
      <c r="Y4281">
        <v>20</v>
      </c>
      <c r="Z4281" t="s">
        <v>1776</v>
      </c>
      <c r="AA4281" s="3">
        <v>0.21602387726306899</v>
      </c>
      <c r="AB4281" t="s">
        <v>22758</v>
      </c>
      <c r="AC4281" t="s">
        <v>4575</v>
      </c>
      <c r="AD4281" t="s">
        <v>22759</v>
      </c>
      <c r="AE4281" t="s">
        <v>4655</v>
      </c>
      <c r="AF4281" t="s">
        <v>5206</v>
      </c>
      <c r="AG4281" t="s">
        <v>4564</v>
      </c>
      <c r="AH4281" t="s">
        <v>5275</v>
      </c>
      <c r="AI4281" t="s">
        <v>22760</v>
      </c>
      <c r="AJ4281" t="s">
        <v>4655</v>
      </c>
      <c r="AK4281" t="s">
        <v>22761</v>
      </c>
      <c r="AL4281" s="13" t="s">
        <v>1893</v>
      </c>
      <c r="AM4281">
        <v>1</v>
      </c>
      <c r="AN4281" s="15" t="s">
        <v>2914</v>
      </c>
    </row>
    <row r="4282" spans="1:40" x14ac:dyDescent="0.3">
      <c r="A4282" s="10" t="str">
        <f>HYPERLINK("http://www.washoecounty.gov/assessor/cama/?parid=125-171-03&amp;CardNumber=1","125-171-03")</f>
        <v>125-171-03</v>
      </c>
      <c r="B4282" t="s">
        <v>4655</v>
      </c>
      <c r="C4282" t="s">
        <v>22757</v>
      </c>
      <c r="D4282" s="1">
        <v>40443</v>
      </c>
      <c r="E4282" s="2">
        <v>626000</v>
      </c>
      <c r="F4282" t="s">
        <v>3528</v>
      </c>
      <c r="G4282" s="17" t="str">
        <f>HYPERLINK("https://www.washoecounty.gov/assessor/cama/?command=sales&amp;parid=12517103","3924815")</f>
        <v>3924815</v>
      </c>
      <c r="H4282" t="s">
        <v>5400</v>
      </c>
      <c r="I4282">
        <v>1979</v>
      </c>
      <c r="J4282">
        <v>1981</v>
      </c>
      <c r="K4282" t="s">
        <v>4554</v>
      </c>
      <c r="L4282" t="s">
        <v>3974</v>
      </c>
      <c r="M4282" s="2">
        <v>2586</v>
      </c>
      <c r="N4282" t="s">
        <v>5280</v>
      </c>
      <c r="O4282">
        <v>3</v>
      </c>
      <c r="P4282">
        <v>2</v>
      </c>
      <c r="Q4282">
        <v>1</v>
      </c>
      <c r="R4282" t="s">
        <v>4557</v>
      </c>
      <c r="S4282" t="s">
        <v>4135</v>
      </c>
      <c r="T4282" t="s">
        <v>4559</v>
      </c>
      <c r="U4282" t="s">
        <v>4560</v>
      </c>
      <c r="V4282" s="2">
        <v>520</v>
      </c>
      <c r="W4282" t="s">
        <v>4655</v>
      </c>
      <c r="X4282" s="2">
        <v>0</v>
      </c>
      <c r="Y4282">
        <v>20</v>
      </c>
      <c r="Z4282" t="s">
        <v>1776</v>
      </c>
      <c r="AA4282" s="3">
        <v>0.21602387726306899</v>
      </c>
      <c r="AB4282" t="s">
        <v>22758</v>
      </c>
      <c r="AC4282" t="s">
        <v>4575</v>
      </c>
      <c r="AD4282" t="s">
        <v>22759</v>
      </c>
      <c r="AE4282" t="s">
        <v>4655</v>
      </c>
      <c r="AF4282" t="s">
        <v>5206</v>
      </c>
      <c r="AG4282" t="s">
        <v>4564</v>
      </c>
      <c r="AH4282" t="s">
        <v>5275</v>
      </c>
      <c r="AI4282" t="s">
        <v>22760</v>
      </c>
      <c r="AJ4282" t="s">
        <v>4655</v>
      </c>
      <c r="AK4282" t="s">
        <v>22761</v>
      </c>
      <c r="AL4282" s="13" t="s">
        <v>1893</v>
      </c>
      <c r="AM4282">
        <v>1</v>
      </c>
      <c r="AN4282" s="15" t="s">
        <v>2914</v>
      </c>
    </row>
    <row r="4283" spans="1:40" x14ac:dyDescent="0.3">
      <c r="A4283" s="10" t="str">
        <f>HYPERLINK("http://www.washoecounty.gov/assessor/cama/?parid=125-173-18&amp;CardNumber=1","125-173-18")</f>
        <v>125-173-18</v>
      </c>
      <c r="B4283" t="s">
        <v>4655</v>
      </c>
      <c r="C4283" t="s">
        <v>22762</v>
      </c>
      <c r="D4283" s="1">
        <v>40225</v>
      </c>
      <c r="E4283" s="2">
        <v>500000</v>
      </c>
      <c r="F4283" t="s">
        <v>3259</v>
      </c>
      <c r="G4283" s="17" t="str">
        <f>HYPERLINK("https://www.washoecounty.gov/assessor/cama/?command=sales&amp;parid=12517318","3849461")</f>
        <v>3849461</v>
      </c>
      <c r="H4283" t="s">
        <v>22763</v>
      </c>
      <c r="I4283">
        <v>1979</v>
      </c>
      <c r="J4283">
        <v>1979</v>
      </c>
      <c r="K4283" t="s">
        <v>4554</v>
      </c>
      <c r="L4283" t="s">
        <v>2170</v>
      </c>
      <c r="M4283" s="2">
        <v>2004</v>
      </c>
      <c r="N4283" t="s">
        <v>5280</v>
      </c>
      <c r="O4283">
        <v>3</v>
      </c>
      <c r="P4283">
        <v>2</v>
      </c>
      <c r="Q4283">
        <v>0</v>
      </c>
      <c r="R4283" t="s">
        <v>4557</v>
      </c>
      <c r="S4283" t="s">
        <v>4135</v>
      </c>
      <c r="T4283" t="s">
        <v>4559</v>
      </c>
      <c r="U4283" t="s">
        <v>4655</v>
      </c>
      <c r="V4283" s="2">
        <v>0</v>
      </c>
      <c r="W4283" t="s">
        <v>4571</v>
      </c>
      <c r="X4283" s="2">
        <v>1236</v>
      </c>
      <c r="Y4283">
        <v>20</v>
      </c>
      <c r="Z4283" t="s">
        <v>1776</v>
      </c>
      <c r="AA4283" s="3">
        <v>0.18399907648563399</v>
      </c>
      <c r="AB4283" t="s">
        <v>22764</v>
      </c>
      <c r="AC4283" t="s">
        <v>4575</v>
      </c>
      <c r="AD4283" t="s">
        <v>22765</v>
      </c>
      <c r="AE4283" t="s">
        <v>22762</v>
      </c>
      <c r="AF4283" t="s">
        <v>5206</v>
      </c>
      <c r="AG4283" t="s">
        <v>4564</v>
      </c>
      <c r="AH4283" t="s">
        <v>5207</v>
      </c>
      <c r="AI4283" t="s">
        <v>22766</v>
      </c>
      <c r="AJ4283" t="s">
        <v>4655</v>
      </c>
      <c r="AK4283" t="s">
        <v>22767</v>
      </c>
      <c r="AL4283" s="13" t="s">
        <v>1893</v>
      </c>
      <c r="AM4283">
        <v>1</v>
      </c>
      <c r="AN4283" s="15" t="s">
        <v>2914</v>
      </c>
    </row>
    <row r="4284" spans="1:40" x14ac:dyDescent="0.3">
      <c r="A4284" s="10" t="str">
        <f>HYPERLINK("http://www.washoecounty.gov/assessor/cama/?parid=125-174-11&amp;CardNumber=1","125-174-11")</f>
        <v>125-174-11</v>
      </c>
      <c r="B4284" t="s">
        <v>4655</v>
      </c>
      <c r="C4284" t="s">
        <v>22768</v>
      </c>
      <c r="D4284" s="1">
        <v>40340</v>
      </c>
      <c r="E4284" s="2">
        <v>815000</v>
      </c>
      <c r="F4284" t="s">
        <v>3528</v>
      </c>
      <c r="G4284" s="17" t="str">
        <f>HYPERLINK("https://www.washoecounty.gov/assessor/cama/?command=sales&amp;parid=12517411","3891022")</f>
        <v>3891022</v>
      </c>
      <c r="H4284" t="s">
        <v>5400</v>
      </c>
      <c r="I4284">
        <v>1991</v>
      </c>
      <c r="J4284">
        <v>1993</v>
      </c>
      <c r="K4284" t="s">
        <v>4554</v>
      </c>
      <c r="L4284" t="s">
        <v>3974</v>
      </c>
      <c r="M4284" s="2">
        <v>4158</v>
      </c>
      <c r="N4284" t="s">
        <v>5106</v>
      </c>
      <c r="O4284">
        <v>4</v>
      </c>
      <c r="P4284">
        <v>4</v>
      </c>
      <c r="Q4284">
        <v>0</v>
      </c>
      <c r="R4284" t="s">
        <v>1186</v>
      </c>
      <c r="S4284" t="s">
        <v>4135</v>
      </c>
      <c r="T4284" t="s">
        <v>3888</v>
      </c>
      <c r="U4284" t="s">
        <v>5631</v>
      </c>
      <c r="V4284" s="2">
        <v>506</v>
      </c>
      <c r="W4284" t="s">
        <v>4655</v>
      </c>
      <c r="X4284" s="2">
        <v>0</v>
      </c>
      <c r="Y4284">
        <v>20</v>
      </c>
      <c r="Z4284" t="s">
        <v>1776</v>
      </c>
      <c r="AA4284" s="3">
        <v>0.2594352662563324</v>
      </c>
      <c r="AB4284" t="s">
        <v>22769</v>
      </c>
      <c r="AC4284" t="s">
        <v>4575</v>
      </c>
      <c r="AD4284" t="s">
        <v>22770</v>
      </c>
      <c r="AE4284" t="s">
        <v>4655</v>
      </c>
      <c r="AF4284" t="s">
        <v>5206</v>
      </c>
      <c r="AG4284" t="s">
        <v>4564</v>
      </c>
      <c r="AH4284" t="s">
        <v>5207</v>
      </c>
      <c r="AI4284" t="s">
        <v>22771</v>
      </c>
      <c r="AJ4284" t="s">
        <v>4655</v>
      </c>
      <c r="AK4284" t="s">
        <v>22772</v>
      </c>
      <c r="AL4284" s="13" t="s">
        <v>1893</v>
      </c>
      <c r="AM4284">
        <v>1</v>
      </c>
      <c r="AN4284" s="15" t="s">
        <v>2914</v>
      </c>
    </row>
    <row r="4285" spans="1:40" x14ac:dyDescent="0.3">
      <c r="A4285" s="10" t="str">
        <f>HYPERLINK("http://www.washoecounty.gov/assessor/cama/?parid=125-192-12&amp;CardNumber=1","125-192-12")</f>
        <v>125-192-12</v>
      </c>
      <c r="B4285" t="s">
        <v>4655</v>
      </c>
      <c r="C4285" t="s">
        <v>22773</v>
      </c>
      <c r="D4285" s="1">
        <v>40431</v>
      </c>
      <c r="E4285" s="2">
        <v>330000</v>
      </c>
      <c r="F4285" t="s">
        <v>4567</v>
      </c>
      <c r="G4285" s="17" t="str">
        <f>HYPERLINK("https://www.washoecounty.gov/assessor/cama/?command=sales&amp;parid=12519212","3921190")</f>
        <v>3921190</v>
      </c>
      <c r="H4285" t="s">
        <v>3250</v>
      </c>
      <c r="I4285">
        <v>1980</v>
      </c>
      <c r="J4285">
        <v>1980</v>
      </c>
      <c r="K4285" t="s">
        <v>4554</v>
      </c>
      <c r="L4285" t="s">
        <v>4555</v>
      </c>
      <c r="M4285" s="2">
        <v>1282</v>
      </c>
      <c r="N4285" t="s">
        <v>4048</v>
      </c>
      <c r="O4285">
        <v>3</v>
      </c>
      <c r="P4285">
        <v>2</v>
      </c>
      <c r="Q4285">
        <v>0</v>
      </c>
      <c r="R4285" t="s">
        <v>5205</v>
      </c>
      <c r="S4285" t="s">
        <v>5048</v>
      </c>
      <c r="T4285" t="s">
        <v>3888</v>
      </c>
      <c r="U4285" t="s">
        <v>4655</v>
      </c>
      <c r="V4285" s="2">
        <v>0</v>
      </c>
      <c r="W4285" t="s">
        <v>4655</v>
      </c>
      <c r="X4285" s="2">
        <v>0</v>
      </c>
      <c r="Y4285">
        <v>20</v>
      </c>
      <c r="Z4285" t="s">
        <v>5508</v>
      </c>
      <c r="AA4285" s="3">
        <v>0.20948117971420299</v>
      </c>
      <c r="AB4285" t="s">
        <v>22774</v>
      </c>
      <c r="AC4285" t="s">
        <v>4562</v>
      </c>
      <c r="AD4285" t="s">
        <v>22775</v>
      </c>
      <c r="AE4285" t="s">
        <v>4655</v>
      </c>
      <c r="AF4285" t="s">
        <v>5206</v>
      </c>
      <c r="AG4285" t="s">
        <v>4564</v>
      </c>
      <c r="AH4285" t="s">
        <v>5275</v>
      </c>
      <c r="AI4285" t="s">
        <v>22776</v>
      </c>
      <c r="AJ4285" t="s">
        <v>4655</v>
      </c>
      <c r="AK4285" t="s">
        <v>22777</v>
      </c>
      <c r="AL4285" s="13" t="s">
        <v>1893</v>
      </c>
      <c r="AM4285">
        <v>1</v>
      </c>
      <c r="AN4285" s="15" t="s">
        <v>2914</v>
      </c>
    </row>
    <row r="4286" spans="1:40" x14ac:dyDescent="0.3">
      <c r="A4286" s="10" t="str">
        <f>HYPERLINK("http://www.washoecounty.gov/assessor/cama/?parid=125-211-07&amp;CardNumber=1","125-211-07")</f>
        <v>125-211-07</v>
      </c>
      <c r="B4286" t="s">
        <v>4655</v>
      </c>
      <c r="C4286" t="s">
        <v>22778</v>
      </c>
      <c r="D4286" s="1">
        <v>40487</v>
      </c>
      <c r="E4286" s="2">
        <v>6200000</v>
      </c>
      <c r="F4286" t="s">
        <v>4567</v>
      </c>
      <c r="G4286" s="17" t="str">
        <f>HYPERLINK("https://www.washoecounty.gov/assessor/cama/?command=sales&amp;parid=12521107","3940551")</f>
        <v>3940551</v>
      </c>
      <c r="H4286" t="s">
        <v>22779</v>
      </c>
      <c r="I4286">
        <v>2006</v>
      </c>
      <c r="J4286">
        <v>2006</v>
      </c>
      <c r="K4286" t="s">
        <v>4554</v>
      </c>
      <c r="L4286" t="s">
        <v>4555</v>
      </c>
      <c r="M4286" s="2">
        <v>4686</v>
      </c>
      <c r="N4286" t="s">
        <v>4174</v>
      </c>
      <c r="O4286">
        <v>5</v>
      </c>
      <c r="P4286">
        <v>7</v>
      </c>
      <c r="Q4286">
        <v>2</v>
      </c>
      <c r="R4286" t="s">
        <v>5630</v>
      </c>
      <c r="S4286" t="s">
        <v>4898</v>
      </c>
      <c r="T4286" t="s">
        <v>4559</v>
      </c>
      <c r="U4286" t="s">
        <v>5631</v>
      </c>
      <c r="V4286" s="2">
        <v>796</v>
      </c>
      <c r="W4286" t="s">
        <v>1500</v>
      </c>
      <c r="X4286" s="2">
        <v>3410</v>
      </c>
      <c r="Y4286">
        <v>20</v>
      </c>
      <c r="Z4286" t="s">
        <v>1376</v>
      </c>
      <c r="AA4286" s="3">
        <v>5.3499999046325604</v>
      </c>
      <c r="AB4286" t="s">
        <v>22780</v>
      </c>
      <c r="AC4286" t="s">
        <v>4562</v>
      </c>
      <c r="AD4286" t="s">
        <v>22781</v>
      </c>
      <c r="AE4286" t="s">
        <v>4655</v>
      </c>
      <c r="AF4286" t="s">
        <v>5206</v>
      </c>
      <c r="AG4286" t="s">
        <v>4564</v>
      </c>
      <c r="AH4286" t="s">
        <v>5207</v>
      </c>
      <c r="AI4286" t="s">
        <v>22782</v>
      </c>
      <c r="AJ4286" t="s">
        <v>22783</v>
      </c>
      <c r="AK4286" t="s">
        <v>22784</v>
      </c>
      <c r="AL4286" s="13" t="s">
        <v>1893</v>
      </c>
      <c r="AM4286">
        <v>1</v>
      </c>
      <c r="AN4286" s="15" t="s">
        <v>22785</v>
      </c>
    </row>
    <row r="4287" spans="1:40" x14ac:dyDescent="0.3">
      <c r="A4287" s="10" t="str">
        <f>HYPERLINK("http://www.washoecounty.gov/assessor/cama/?parid=125-221-10&amp;CardNumber=1","125-221-10")</f>
        <v>125-221-10</v>
      </c>
      <c r="B4287" t="s">
        <v>4655</v>
      </c>
      <c r="C4287" t="s">
        <v>3077</v>
      </c>
      <c r="D4287" s="1">
        <v>40478</v>
      </c>
      <c r="E4287" s="2">
        <v>900000</v>
      </c>
      <c r="F4287" t="s">
        <v>3528</v>
      </c>
      <c r="G4287" s="17" t="str">
        <f>HYPERLINK("https://www.washoecounty.gov/assessor/cama/?command=sales&amp;parid=12522110","3937346")</f>
        <v>3937346</v>
      </c>
      <c r="H4287" t="s">
        <v>3250</v>
      </c>
      <c r="I4287">
        <v>1994</v>
      </c>
      <c r="J4287">
        <v>1994</v>
      </c>
      <c r="K4287" t="s">
        <v>4554</v>
      </c>
      <c r="L4287" t="s">
        <v>3974</v>
      </c>
      <c r="M4287" s="2">
        <v>2280</v>
      </c>
      <c r="N4287" t="s">
        <v>5106</v>
      </c>
      <c r="O4287">
        <v>3</v>
      </c>
      <c r="P4287">
        <v>2</v>
      </c>
      <c r="Q4287">
        <v>1</v>
      </c>
      <c r="R4287" t="s">
        <v>4557</v>
      </c>
      <c r="S4287" t="s">
        <v>4135</v>
      </c>
      <c r="T4287" t="s">
        <v>4559</v>
      </c>
      <c r="U4287" t="s">
        <v>5631</v>
      </c>
      <c r="V4287" s="2">
        <v>540</v>
      </c>
      <c r="W4287" t="s">
        <v>4655</v>
      </c>
      <c r="X4287" s="2">
        <v>0</v>
      </c>
      <c r="Y4287">
        <v>20</v>
      </c>
      <c r="Z4287" t="s">
        <v>1776</v>
      </c>
      <c r="AA4287" s="3">
        <v>0.14506427943706501</v>
      </c>
      <c r="AB4287" t="s">
        <v>22786</v>
      </c>
      <c r="AC4287" t="s">
        <v>4562</v>
      </c>
      <c r="AD4287" t="s">
        <v>22525</v>
      </c>
      <c r="AE4287" t="s">
        <v>4655</v>
      </c>
      <c r="AF4287" t="s">
        <v>5206</v>
      </c>
      <c r="AG4287" t="s">
        <v>4564</v>
      </c>
      <c r="AH4287" t="s">
        <v>5207</v>
      </c>
      <c r="AI4287" t="s">
        <v>2300</v>
      </c>
      <c r="AJ4287" t="s">
        <v>4655</v>
      </c>
      <c r="AK4287" t="s">
        <v>3078</v>
      </c>
      <c r="AL4287" s="13" t="s">
        <v>1893</v>
      </c>
      <c r="AM4287">
        <v>1</v>
      </c>
      <c r="AN4287" s="15" t="s">
        <v>2914</v>
      </c>
    </row>
    <row r="4288" spans="1:40" x14ac:dyDescent="0.3">
      <c r="A4288" s="10" t="str">
        <f>HYPERLINK("http://www.washoecounty.gov/assessor/cama/?parid=125-221-11&amp;CardNumber=1","125-221-11")</f>
        <v>125-221-11</v>
      </c>
      <c r="B4288" t="s">
        <v>4655</v>
      </c>
      <c r="C4288" t="s">
        <v>22787</v>
      </c>
      <c r="D4288" s="1">
        <v>40399</v>
      </c>
      <c r="E4288" s="2">
        <v>750000</v>
      </c>
      <c r="F4288" t="s">
        <v>3259</v>
      </c>
      <c r="G4288" s="17" t="str">
        <f>HYPERLINK("https://www.washoecounty.gov/assessor/cama/?command=sales&amp;parid=12522111","3909737")</f>
        <v>3909737</v>
      </c>
      <c r="H4288" t="s">
        <v>3250</v>
      </c>
      <c r="I4288">
        <v>1994</v>
      </c>
      <c r="J4288">
        <v>1994</v>
      </c>
      <c r="K4288" t="s">
        <v>4554</v>
      </c>
      <c r="L4288" t="s">
        <v>3974</v>
      </c>
      <c r="M4288" s="2">
        <v>2562</v>
      </c>
      <c r="N4288" t="s">
        <v>5106</v>
      </c>
      <c r="O4288">
        <v>3</v>
      </c>
      <c r="P4288">
        <v>2</v>
      </c>
      <c r="Q4288">
        <v>1</v>
      </c>
      <c r="R4288" t="s">
        <v>4557</v>
      </c>
      <c r="S4288" t="s">
        <v>4135</v>
      </c>
      <c r="T4288" t="s">
        <v>4559</v>
      </c>
      <c r="U4288" t="s">
        <v>5631</v>
      </c>
      <c r="V4288" s="2">
        <v>462</v>
      </c>
      <c r="W4288" t="s">
        <v>4655</v>
      </c>
      <c r="X4288" s="2">
        <v>0</v>
      </c>
      <c r="Y4288">
        <v>20</v>
      </c>
      <c r="Z4288" t="s">
        <v>1776</v>
      </c>
      <c r="AA4288" s="3">
        <v>0.16460055112838701</v>
      </c>
      <c r="AB4288" t="s">
        <v>22788</v>
      </c>
      <c r="AC4288" t="s">
        <v>4575</v>
      </c>
      <c r="AD4288" t="s">
        <v>22789</v>
      </c>
      <c r="AE4288" t="s">
        <v>22787</v>
      </c>
      <c r="AF4288" t="s">
        <v>5206</v>
      </c>
      <c r="AG4288" t="s">
        <v>4564</v>
      </c>
      <c r="AH4288" t="s">
        <v>5207</v>
      </c>
      <c r="AI4288" t="s">
        <v>22790</v>
      </c>
      <c r="AJ4288" t="s">
        <v>4655</v>
      </c>
      <c r="AK4288" t="s">
        <v>22791</v>
      </c>
      <c r="AL4288" s="13" t="s">
        <v>1893</v>
      </c>
      <c r="AM4288" s="14">
        <v>1</v>
      </c>
      <c r="AN4288" s="15" t="s">
        <v>2914</v>
      </c>
    </row>
    <row r="4289" spans="1:40" x14ac:dyDescent="0.3">
      <c r="A4289" s="10" t="str">
        <f>HYPERLINK("http://www.washoecounty.gov/assessor/cama/?parid=125-221-19&amp;CardNumber=1","125-221-19")</f>
        <v>125-221-19</v>
      </c>
      <c r="B4289" t="s">
        <v>4655</v>
      </c>
      <c r="C4289" t="s">
        <v>22792</v>
      </c>
      <c r="D4289" s="1">
        <v>40241</v>
      </c>
      <c r="E4289" s="2">
        <v>775000</v>
      </c>
      <c r="F4289" t="s">
        <v>3259</v>
      </c>
      <c r="G4289" s="17" t="str">
        <f>HYPERLINK("https://www.washoecounty.gov/assessor/cama/?command=sales&amp;parid=12522119","3856077")</f>
        <v>3856077</v>
      </c>
      <c r="H4289" t="s">
        <v>3250</v>
      </c>
      <c r="I4289">
        <v>1994</v>
      </c>
      <c r="J4289">
        <v>1994</v>
      </c>
      <c r="K4289" t="s">
        <v>4554</v>
      </c>
      <c r="L4289" t="s">
        <v>2170</v>
      </c>
      <c r="M4289" s="2">
        <v>3024</v>
      </c>
      <c r="N4289" t="s">
        <v>2008</v>
      </c>
      <c r="O4289">
        <v>4</v>
      </c>
      <c r="P4289">
        <v>3</v>
      </c>
      <c r="Q4289">
        <v>1</v>
      </c>
      <c r="R4289" t="s">
        <v>5281</v>
      </c>
      <c r="S4289" t="s">
        <v>4135</v>
      </c>
      <c r="T4289" t="s">
        <v>4559</v>
      </c>
      <c r="U4289" t="s">
        <v>5631</v>
      </c>
      <c r="V4289" s="2">
        <v>678</v>
      </c>
      <c r="W4289" t="s">
        <v>4655</v>
      </c>
      <c r="X4289" s="2">
        <v>0</v>
      </c>
      <c r="Y4289">
        <v>20</v>
      </c>
      <c r="Z4289" t="s">
        <v>1776</v>
      </c>
      <c r="AA4289" s="3">
        <v>0.1628558337688446</v>
      </c>
      <c r="AB4289" t="s">
        <v>22793</v>
      </c>
      <c r="AC4289" t="s">
        <v>4562</v>
      </c>
      <c r="AD4289" t="s">
        <v>22794</v>
      </c>
      <c r="AE4289" t="s">
        <v>4655</v>
      </c>
      <c r="AF4289" t="s">
        <v>5206</v>
      </c>
      <c r="AG4289" t="s">
        <v>4564</v>
      </c>
      <c r="AH4289" t="s">
        <v>5207</v>
      </c>
      <c r="AI4289" t="s">
        <v>22795</v>
      </c>
      <c r="AJ4289" t="s">
        <v>4655</v>
      </c>
      <c r="AK4289" t="s">
        <v>22796</v>
      </c>
      <c r="AL4289" s="13" t="s">
        <v>1893</v>
      </c>
      <c r="AM4289" s="14">
        <v>1</v>
      </c>
      <c r="AN4289" s="15" t="s">
        <v>2914</v>
      </c>
    </row>
    <row r="4290" spans="1:40" x14ac:dyDescent="0.3">
      <c r="A4290" s="10" t="str">
        <f>HYPERLINK("http://www.washoecounty.gov/assessor/cama/?parid=125-222-05&amp;CardNumber=1","125-222-05")</f>
        <v>125-222-05</v>
      </c>
      <c r="B4290" t="s">
        <v>4655</v>
      </c>
      <c r="C4290" t="s">
        <v>22797</v>
      </c>
      <c r="D4290" s="1">
        <v>40436</v>
      </c>
      <c r="E4290" s="2">
        <v>1100000</v>
      </c>
      <c r="F4290" t="s">
        <v>3259</v>
      </c>
      <c r="G4290" s="17" t="str">
        <f>HYPERLINK("https://www.washoecounty.gov/assessor/cama/?command=sales&amp;parid=12522205","3922726")</f>
        <v>3922726</v>
      </c>
      <c r="H4290" t="s">
        <v>3250</v>
      </c>
      <c r="I4290">
        <v>1981</v>
      </c>
      <c r="J4290">
        <v>1986</v>
      </c>
      <c r="K4290" t="s">
        <v>4554</v>
      </c>
      <c r="L4290" t="s">
        <v>3044</v>
      </c>
      <c r="M4290" s="2">
        <v>3480</v>
      </c>
      <c r="N4290" t="s">
        <v>1245</v>
      </c>
      <c r="O4290">
        <v>5</v>
      </c>
      <c r="P4290">
        <v>4</v>
      </c>
      <c r="Q4290">
        <v>1</v>
      </c>
      <c r="R4290" t="s">
        <v>4557</v>
      </c>
      <c r="S4290" t="s">
        <v>4135</v>
      </c>
      <c r="T4290" t="s">
        <v>4559</v>
      </c>
      <c r="U4290" t="s">
        <v>4560</v>
      </c>
      <c r="V4290" s="2">
        <v>480</v>
      </c>
      <c r="W4290" t="s">
        <v>4655</v>
      </c>
      <c r="X4290" s="2">
        <v>0</v>
      </c>
      <c r="Y4290">
        <v>20</v>
      </c>
      <c r="Z4290" t="s">
        <v>5508</v>
      </c>
      <c r="AA4290" s="3">
        <v>0.35975664854049699</v>
      </c>
      <c r="AB4290" t="s">
        <v>22798</v>
      </c>
      <c r="AC4290" t="s">
        <v>4562</v>
      </c>
      <c r="AD4290" t="s">
        <v>22797</v>
      </c>
      <c r="AE4290" t="s">
        <v>4655</v>
      </c>
      <c r="AF4290" t="s">
        <v>5206</v>
      </c>
      <c r="AG4290" t="s">
        <v>4564</v>
      </c>
      <c r="AH4290" t="s">
        <v>5207</v>
      </c>
      <c r="AI4290" t="s">
        <v>22799</v>
      </c>
      <c r="AJ4290" t="s">
        <v>4655</v>
      </c>
      <c r="AK4290" t="s">
        <v>22800</v>
      </c>
      <c r="AL4290" s="13" t="s">
        <v>1893</v>
      </c>
      <c r="AM4290" s="14">
        <v>1</v>
      </c>
      <c r="AN4290" s="15" t="s">
        <v>2914</v>
      </c>
    </row>
    <row r="4291" spans="1:40" x14ac:dyDescent="0.3">
      <c r="A4291" s="10" t="str">
        <f>HYPERLINK("http://www.washoecounty.gov/assessor/cama/?parid=125-244-05&amp;CardNumber=1","125-244-05")</f>
        <v>125-244-05</v>
      </c>
      <c r="B4291" t="s">
        <v>4655</v>
      </c>
      <c r="C4291" t="s">
        <v>22801</v>
      </c>
      <c r="D4291" s="1">
        <v>40304</v>
      </c>
      <c r="E4291" s="2">
        <v>382000</v>
      </c>
      <c r="F4291" t="s">
        <v>4553</v>
      </c>
      <c r="G4291" s="17" t="str">
        <f>HYPERLINK("https://www.washoecounty.gov/assessor/cama/?command=sales&amp;parid=12524405","3878696")</f>
        <v>3878696</v>
      </c>
      <c r="H4291" t="s">
        <v>3250</v>
      </c>
      <c r="I4291">
        <v>1972</v>
      </c>
      <c r="J4291">
        <v>1972</v>
      </c>
      <c r="K4291" t="s">
        <v>4554</v>
      </c>
      <c r="L4291" t="s">
        <v>3886</v>
      </c>
      <c r="M4291" s="2">
        <v>1392</v>
      </c>
      <c r="N4291" t="s">
        <v>5280</v>
      </c>
      <c r="O4291">
        <v>3</v>
      </c>
      <c r="P4291">
        <v>1</v>
      </c>
      <c r="Q4291">
        <v>1</v>
      </c>
      <c r="R4291" t="s">
        <v>4557</v>
      </c>
      <c r="S4291" t="s">
        <v>4135</v>
      </c>
      <c r="T4291" t="s">
        <v>4559</v>
      </c>
      <c r="U4291" t="s">
        <v>4655</v>
      </c>
      <c r="V4291" s="2">
        <v>0</v>
      </c>
      <c r="W4291" t="s">
        <v>4655</v>
      </c>
      <c r="X4291" s="2">
        <v>0</v>
      </c>
      <c r="Y4291">
        <v>20</v>
      </c>
      <c r="Z4291" t="s">
        <v>1776</v>
      </c>
      <c r="AA4291" s="3">
        <v>0.20865473151207001</v>
      </c>
      <c r="AB4291" t="s">
        <v>22802</v>
      </c>
      <c r="AC4291" t="s">
        <v>4575</v>
      </c>
      <c r="AD4291" t="s">
        <v>22803</v>
      </c>
      <c r="AE4291" t="s">
        <v>4655</v>
      </c>
      <c r="AF4291" t="s">
        <v>4563</v>
      </c>
      <c r="AG4291" t="s">
        <v>4564</v>
      </c>
      <c r="AH4291" t="s">
        <v>5197</v>
      </c>
      <c r="AI4291" t="s">
        <v>22804</v>
      </c>
      <c r="AJ4291" t="s">
        <v>4655</v>
      </c>
      <c r="AK4291" t="s">
        <v>22805</v>
      </c>
      <c r="AL4291" s="13" t="s">
        <v>1893</v>
      </c>
      <c r="AM4291" s="14">
        <v>1</v>
      </c>
      <c r="AN4291" s="15" t="s">
        <v>2914</v>
      </c>
    </row>
    <row r="4292" spans="1:40" x14ac:dyDescent="0.3">
      <c r="A4292" s="10" t="str">
        <f>HYPERLINK("http://www.washoecounty.gov/assessor/cama/?parid=125-254-05&amp;CardNumber=1","125-254-05")</f>
        <v>125-254-05</v>
      </c>
      <c r="B4292" t="s">
        <v>4655</v>
      </c>
      <c r="C4292" t="s">
        <v>22806</v>
      </c>
      <c r="D4292" s="1">
        <v>40501</v>
      </c>
      <c r="E4292" s="2">
        <v>319000</v>
      </c>
      <c r="F4292" t="s">
        <v>3259</v>
      </c>
      <c r="G4292" s="17" t="str">
        <f>HYPERLINK("https://www.washoecounty.gov/assessor/cama/?command=sales&amp;parid=12525405","3945020")</f>
        <v>3945020</v>
      </c>
      <c r="H4292" t="s">
        <v>22807</v>
      </c>
      <c r="I4292">
        <v>1979</v>
      </c>
      <c r="J4292">
        <v>1979</v>
      </c>
      <c r="K4292" t="s">
        <v>4554</v>
      </c>
      <c r="L4292" t="s">
        <v>3886</v>
      </c>
      <c r="M4292" s="2">
        <v>1830</v>
      </c>
      <c r="N4292" t="s">
        <v>4048</v>
      </c>
      <c r="O4292">
        <v>3</v>
      </c>
      <c r="P4292">
        <v>2</v>
      </c>
      <c r="Q4292">
        <v>0</v>
      </c>
      <c r="R4292" t="s">
        <v>4557</v>
      </c>
      <c r="S4292" t="s">
        <v>3148</v>
      </c>
      <c r="T4292" t="s">
        <v>3888</v>
      </c>
      <c r="U4292" t="s">
        <v>4655</v>
      </c>
      <c r="V4292" s="2">
        <v>0</v>
      </c>
      <c r="W4292" t="s">
        <v>4655</v>
      </c>
      <c r="X4292" s="2">
        <v>0</v>
      </c>
      <c r="Y4292">
        <v>20</v>
      </c>
      <c r="Z4292" t="s">
        <v>1776</v>
      </c>
      <c r="AA4292" s="3">
        <v>0.17800734937191001</v>
      </c>
      <c r="AB4292" t="s">
        <v>22808</v>
      </c>
      <c r="AC4292" t="s">
        <v>4575</v>
      </c>
      <c r="AD4292" t="s">
        <v>22809</v>
      </c>
      <c r="AE4292" t="s">
        <v>4655</v>
      </c>
      <c r="AF4292" t="s">
        <v>5643</v>
      </c>
      <c r="AG4292" t="s">
        <v>4584</v>
      </c>
      <c r="AH4292" t="s">
        <v>3090</v>
      </c>
      <c r="AI4292" t="s">
        <v>4655</v>
      </c>
      <c r="AJ4292" t="s">
        <v>4655</v>
      </c>
      <c r="AK4292" t="s">
        <v>22810</v>
      </c>
      <c r="AL4292" s="13" t="s">
        <v>1893</v>
      </c>
      <c r="AM4292" s="14">
        <v>1</v>
      </c>
      <c r="AN4292" s="15" t="s">
        <v>2914</v>
      </c>
    </row>
    <row r="4293" spans="1:40" x14ac:dyDescent="0.3">
      <c r="A4293" s="10" t="str">
        <f>HYPERLINK("http://www.washoecounty.gov/assessor/cama/?parid=125-352-03&amp;CardNumber=1","125-352-03")</f>
        <v>125-352-03</v>
      </c>
      <c r="B4293" t="s">
        <v>4655</v>
      </c>
      <c r="C4293" t="s">
        <v>22811</v>
      </c>
      <c r="D4293" s="1">
        <v>40413</v>
      </c>
      <c r="E4293" s="2">
        <v>625000</v>
      </c>
      <c r="F4293" t="s">
        <v>3259</v>
      </c>
      <c r="G4293" s="17" t="str">
        <f>HYPERLINK("https://www.washoecounty.gov/assessor/cama/?command=sales&amp;parid=12535203","3914483")</f>
        <v>3914483</v>
      </c>
      <c r="H4293" t="s">
        <v>22812</v>
      </c>
      <c r="I4293">
        <v>1986</v>
      </c>
      <c r="J4293">
        <v>1986</v>
      </c>
      <c r="K4293" t="s">
        <v>4554</v>
      </c>
      <c r="L4293" t="s">
        <v>5236</v>
      </c>
      <c r="M4293" s="2">
        <v>2884</v>
      </c>
      <c r="N4293" t="s">
        <v>3147</v>
      </c>
      <c r="O4293">
        <v>3</v>
      </c>
      <c r="P4293">
        <v>3</v>
      </c>
      <c r="Q4293">
        <v>0</v>
      </c>
      <c r="R4293" t="s">
        <v>5205</v>
      </c>
      <c r="S4293" t="s">
        <v>4135</v>
      </c>
      <c r="T4293" t="s">
        <v>3888</v>
      </c>
      <c r="U4293" t="s">
        <v>5631</v>
      </c>
      <c r="V4293" s="2">
        <v>504</v>
      </c>
      <c r="W4293" t="s">
        <v>4655</v>
      </c>
      <c r="X4293" s="2">
        <v>0</v>
      </c>
      <c r="Y4293">
        <v>20</v>
      </c>
      <c r="Z4293" t="s">
        <v>5508</v>
      </c>
      <c r="AA4293" s="3">
        <v>0.58041781187057395</v>
      </c>
      <c r="AB4293" t="s">
        <v>22813</v>
      </c>
      <c r="AC4293" t="s">
        <v>4562</v>
      </c>
      <c r="AD4293" t="s">
        <v>22814</v>
      </c>
      <c r="AE4293" t="s">
        <v>4655</v>
      </c>
      <c r="AF4293" t="s">
        <v>1377</v>
      </c>
      <c r="AG4293" t="s">
        <v>4564</v>
      </c>
      <c r="AH4293">
        <v>89704</v>
      </c>
      <c r="AI4293" t="s">
        <v>4655</v>
      </c>
      <c r="AJ4293" t="s">
        <v>4655</v>
      </c>
      <c r="AK4293" t="s">
        <v>22815</v>
      </c>
      <c r="AL4293" s="13" t="s">
        <v>1893</v>
      </c>
      <c r="AM4293">
        <v>1</v>
      </c>
      <c r="AN4293" s="15" t="s">
        <v>2914</v>
      </c>
    </row>
    <row r="4294" spans="1:40" x14ac:dyDescent="0.3">
      <c r="A4294" s="10" t="str">
        <f>HYPERLINK("http://www.washoecounty.gov/assessor/cama/?parid=125-353-02&amp;CardNumber=1","125-353-02")</f>
        <v>125-353-02</v>
      </c>
      <c r="B4294" t="s">
        <v>4655</v>
      </c>
      <c r="C4294" t="s">
        <v>22816</v>
      </c>
      <c r="D4294" s="1">
        <v>40448</v>
      </c>
      <c r="E4294" s="2">
        <v>420000</v>
      </c>
      <c r="F4294" t="s">
        <v>3528</v>
      </c>
      <c r="G4294" s="17" t="str">
        <f>HYPERLINK("https://www.washoecounty.gov/assessor/cama/?command=sales&amp;parid=12535302","3926384")</f>
        <v>3926384</v>
      </c>
      <c r="H4294" t="s">
        <v>4304</v>
      </c>
      <c r="I4294">
        <v>1977</v>
      </c>
      <c r="J4294">
        <v>1977</v>
      </c>
      <c r="K4294" t="s">
        <v>4554</v>
      </c>
      <c r="L4294" t="s">
        <v>3886</v>
      </c>
      <c r="M4294" s="2">
        <v>1816</v>
      </c>
      <c r="N4294" t="s">
        <v>5280</v>
      </c>
      <c r="O4294">
        <v>3</v>
      </c>
      <c r="P4294">
        <v>2</v>
      </c>
      <c r="Q4294">
        <v>0</v>
      </c>
      <c r="R4294" t="s">
        <v>4557</v>
      </c>
      <c r="S4294" t="s">
        <v>3148</v>
      </c>
      <c r="T4294" t="s">
        <v>4143</v>
      </c>
      <c r="U4294" t="s">
        <v>4655</v>
      </c>
      <c r="V4294" s="2">
        <v>0</v>
      </c>
      <c r="W4294" t="s">
        <v>4655</v>
      </c>
      <c r="X4294" s="2">
        <v>0</v>
      </c>
      <c r="Y4294">
        <v>20</v>
      </c>
      <c r="Z4294" t="s">
        <v>5508</v>
      </c>
      <c r="AA4294" s="3">
        <v>0.50955003499984697</v>
      </c>
      <c r="AB4294" t="s">
        <v>22817</v>
      </c>
      <c r="AC4294" t="s">
        <v>4575</v>
      </c>
      <c r="AD4294" t="s">
        <v>22818</v>
      </c>
      <c r="AE4294" t="s">
        <v>4655</v>
      </c>
      <c r="AF4294" t="s">
        <v>5206</v>
      </c>
      <c r="AG4294" t="s">
        <v>4564</v>
      </c>
      <c r="AH4294" t="s">
        <v>5275</v>
      </c>
      <c r="AI4294" t="s">
        <v>22819</v>
      </c>
      <c r="AJ4294" t="s">
        <v>4655</v>
      </c>
      <c r="AK4294" t="s">
        <v>22820</v>
      </c>
      <c r="AL4294" s="13" t="s">
        <v>1893</v>
      </c>
      <c r="AM4294">
        <v>1</v>
      </c>
      <c r="AN4294" s="15" t="s">
        <v>2914</v>
      </c>
    </row>
    <row r="4295" spans="1:40" x14ac:dyDescent="0.3">
      <c r="A4295" s="10" t="str">
        <f>HYPERLINK("http://www.washoecounty.gov/assessor/cama/?parid=125-361-02&amp;CardNumber=1","125-361-02")</f>
        <v>125-361-02</v>
      </c>
      <c r="B4295" t="s">
        <v>4655</v>
      </c>
      <c r="C4295" t="s">
        <v>22821</v>
      </c>
      <c r="D4295" s="1">
        <v>40466</v>
      </c>
      <c r="E4295" s="2">
        <v>380000</v>
      </c>
      <c r="F4295" t="s">
        <v>3259</v>
      </c>
      <c r="G4295" s="17" t="str">
        <f>HYPERLINK("https://www.washoecounty.gov/assessor/cama/?command=sales&amp;parid=12536102","3933630")</f>
        <v>3933630</v>
      </c>
      <c r="H4295" t="s">
        <v>4304</v>
      </c>
      <c r="I4295">
        <v>1985</v>
      </c>
      <c r="J4295">
        <v>1985</v>
      </c>
      <c r="K4295" t="s">
        <v>4554</v>
      </c>
      <c r="L4295" t="s">
        <v>3044</v>
      </c>
      <c r="M4295" s="2">
        <v>1771</v>
      </c>
      <c r="N4295" t="s">
        <v>3147</v>
      </c>
      <c r="O4295">
        <v>3</v>
      </c>
      <c r="P4295">
        <v>3</v>
      </c>
      <c r="Q4295">
        <v>0</v>
      </c>
      <c r="R4295" t="s">
        <v>4557</v>
      </c>
      <c r="S4295" t="s">
        <v>3148</v>
      </c>
      <c r="T4295" t="s">
        <v>4559</v>
      </c>
      <c r="U4295" t="s">
        <v>4560</v>
      </c>
      <c r="V4295" s="2">
        <v>355</v>
      </c>
      <c r="W4295" t="s">
        <v>4655</v>
      </c>
      <c r="X4295" s="2">
        <v>0</v>
      </c>
      <c r="Y4295">
        <v>20</v>
      </c>
      <c r="Z4295" t="s">
        <v>1776</v>
      </c>
      <c r="AA4295" s="3">
        <v>0.15688705444335899</v>
      </c>
      <c r="AB4295" t="s">
        <v>22822</v>
      </c>
      <c r="AC4295" t="s">
        <v>4562</v>
      </c>
      <c r="AD4295" t="s">
        <v>22823</v>
      </c>
      <c r="AE4295" t="s">
        <v>4655</v>
      </c>
      <c r="AF4295" t="s">
        <v>4054</v>
      </c>
      <c r="AG4295" t="s">
        <v>4564</v>
      </c>
      <c r="AH4295" t="s">
        <v>5275</v>
      </c>
      <c r="AI4295" t="s">
        <v>22824</v>
      </c>
      <c r="AJ4295" t="s">
        <v>4655</v>
      </c>
      <c r="AK4295" t="s">
        <v>22825</v>
      </c>
      <c r="AL4295" s="13" t="s">
        <v>1893</v>
      </c>
      <c r="AM4295" s="14">
        <v>1</v>
      </c>
      <c r="AN4295" s="15" t="s">
        <v>2914</v>
      </c>
    </row>
    <row r="4296" spans="1:40" x14ac:dyDescent="0.3">
      <c r="A4296" s="10" t="str">
        <f>HYPERLINK("http://www.washoecounty.gov/assessor/cama/?parid=125-371-02&amp;CardNumber=1","125-371-02")</f>
        <v>125-371-02</v>
      </c>
      <c r="B4296" t="s">
        <v>4655</v>
      </c>
      <c r="C4296" t="s">
        <v>22826</v>
      </c>
      <c r="D4296" s="1">
        <v>40192</v>
      </c>
      <c r="E4296" s="2">
        <v>615000</v>
      </c>
      <c r="F4296" t="s">
        <v>4567</v>
      </c>
      <c r="G4296" s="17" t="str">
        <f>HYPERLINK("https://www.washoecounty.gov/assessor/cama/?command=sales&amp;parid=12537102","3839338")</f>
        <v>3839338</v>
      </c>
      <c r="H4296" t="s">
        <v>22812</v>
      </c>
      <c r="I4296">
        <v>1977</v>
      </c>
      <c r="J4296">
        <v>1978</v>
      </c>
      <c r="K4296" t="s">
        <v>4554</v>
      </c>
      <c r="L4296" t="s">
        <v>3974</v>
      </c>
      <c r="M4296" s="2">
        <v>1600</v>
      </c>
      <c r="N4296" t="s">
        <v>3147</v>
      </c>
      <c r="O4296">
        <v>3</v>
      </c>
      <c r="P4296">
        <v>2</v>
      </c>
      <c r="Q4296">
        <v>1</v>
      </c>
      <c r="R4296" t="s">
        <v>4557</v>
      </c>
      <c r="S4296" t="s">
        <v>4135</v>
      </c>
      <c r="T4296" t="s">
        <v>3888</v>
      </c>
      <c r="U4296" t="s">
        <v>4655</v>
      </c>
      <c r="V4296" s="2">
        <v>0</v>
      </c>
      <c r="W4296" t="s">
        <v>4655</v>
      </c>
      <c r="X4296" s="2">
        <v>0</v>
      </c>
      <c r="Y4296">
        <v>20</v>
      </c>
      <c r="Z4296" t="s">
        <v>5508</v>
      </c>
      <c r="AA4296" s="3">
        <v>0.22605600953102101</v>
      </c>
      <c r="AB4296" t="s">
        <v>22827</v>
      </c>
      <c r="AC4296" t="s">
        <v>4562</v>
      </c>
      <c r="AD4296" t="s">
        <v>22826</v>
      </c>
      <c r="AE4296" t="s">
        <v>4655</v>
      </c>
      <c r="AF4296" t="s">
        <v>5206</v>
      </c>
      <c r="AG4296" t="s">
        <v>4564</v>
      </c>
      <c r="AH4296" t="s">
        <v>5207</v>
      </c>
      <c r="AI4296" t="s">
        <v>22828</v>
      </c>
      <c r="AJ4296" t="s">
        <v>4655</v>
      </c>
      <c r="AK4296" t="s">
        <v>22829</v>
      </c>
      <c r="AL4296" s="13" t="s">
        <v>1893</v>
      </c>
      <c r="AM4296">
        <v>1</v>
      </c>
      <c r="AN4296" s="15" t="s">
        <v>2914</v>
      </c>
    </row>
    <row r="4297" spans="1:40" x14ac:dyDescent="0.3">
      <c r="A4297" s="10" t="str">
        <f>HYPERLINK("http://www.washoecounty.gov/assessor/cama/?parid=125-372-08&amp;CardNumber=1","125-372-08")</f>
        <v>125-372-08</v>
      </c>
      <c r="B4297" t="s">
        <v>4655</v>
      </c>
      <c r="C4297" t="s">
        <v>22830</v>
      </c>
      <c r="D4297" s="1">
        <v>40305</v>
      </c>
      <c r="E4297" s="2">
        <v>398000</v>
      </c>
      <c r="F4297" t="s">
        <v>3528</v>
      </c>
      <c r="G4297" s="17" t="str">
        <f>HYPERLINK("https://www.washoecounty.gov/assessor/cama/?command=sales&amp;parid=12537208","3879456")</f>
        <v>3879456</v>
      </c>
      <c r="H4297" t="s">
        <v>22812</v>
      </c>
      <c r="I4297">
        <v>1975</v>
      </c>
      <c r="J4297">
        <v>1975</v>
      </c>
      <c r="K4297" t="s">
        <v>4554</v>
      </c>
      <c r="L4297" t="s">
        <v>3886</v>
      </c>
      <c r="M4297" s="2">
        <v>1576</v>
      </c>
      <c r="N4297" t="s">
        <v>5280</v>
      </c>
      <c r="O4297">
        <v>3</v>
      </c>
      <c r="P4297">
        <v>2</v>
      </c>
      <c r="Q4297">
        <v>0</v>
      </c>
      <c r="R4297" t="s">
        <v>4557</v>
      </c>
      <c r="S4297" t="s">
        <v>3148</v>
      </c>
      <c r="T4297" t="s">
        <v>4143</v>
      </c>
      <c r="U4297" t="s">
        <v>4655</v>
      </c>
      <c r="V4297" s="2">
        <v>0</v>
      </c>
      <c r="W4297" t="s">
        <v>3201</v>
      </c>
      <c r="X4297" s="2">
        <v>264</v>
      </c>
      <c r="Y4297">
        <v>20</v>
      </c>
      <c r="Z4297" t="s">
        <v>5508</v>
      </c>
      <c r="AA4297" s="3">
        <v>0.25500458478927601</v>
      </c>
      <c r="AB4297" t="s">
        <v>22831</v>
      </c>
      <c r="AC4297" t="s">
        <v>4575</v>
      </c>
      <c r="AD4297" t="s">
        <v>22832</v>
      </c>
      <c r="AE4297" t="s">
        <v>4655</v>
      </c>
      <c r="AF4297" t="s">
        <v>4563</v>
      </c>
      <c r="AG4297" t="s">
        <v>4564</v>
      </c>
      <c r="AH4297" t="s">
        <v>5197</v>
      </c>
      <c r="AI4297" t="s">
        <v>22833</v>
      </c>
      <c r="AJ4297" t="s">
        <v>4655</v>
      </c>
      <c r="AK4297" t="s">
        <v>22834</v>
      </c>
      <c r="AL4297" s="13" t="s">
        <v>1893</v>
      </c>
      <c r="AM4297">
        <v>1</v>
      </c>
      <c r="AN4297" s="15" t="s">
        <v>2914</v>
      </c>
    </row>
    <row r="4298" spans="1:40" x14ac:dyDescent="0.3">
      <c r="A4298" s="10" t="str">
        <f>HYPERLINK("http://www.washoecounty.gov/assessor/cama/?parid=125-382-10&amp;CardNumber=1","125-382-10")</f>
        <v>125-382-10</v>
      </c>
      <c r="B4298" t="s">
        <v>4655</v>
      </c>
      <c r="C4298" t="s">
        <v>22835</v>
      </c>
      <c r="D4298" s="1">
        <v>40477</v>
      </c>
      <c r="E4298" s="2">
        <v>445000</v>
      </c>
      <c r="F4298" t="s">
        <v>3259</v>
      </c>
      <c r="G4298" s="17" t="str">
        <f>HYPERLINK("https://www.washoecounty.gov/assessor/cama/?command=sales&amp;parid=12538210","3936541")</f>
        <v>3936541</v>
      </c>
      <c r="H4298" t="s">
        <v>22812</v>
      </c>
      <c r="I4298">
        <v>1979</v>
      </c>
      <c r="J4298">
        <v>1982</v>
      </c>
      <c r="K4298" t="s">
        <v>4554</v>
      </c>
      <c r="L4298" t="s">
        <v>3886</v>
      </c>
      <c r="M4298" s="2">
        <v>1920</v>
      </c>
      <c r="N4298" t="s">
        <v>5280</v>
      </c>
      <c r="O4298">
        <v>3</v>
      </c>
      <c r="P4298">
        <v>2</v>
      </c>
      <c r="Q4298">
        <v>0</v>
      </c>
      <c r="R4298" t="s">
        <v>5205</v>
      </c>
      <c r="S4298" t="s">
        <v>4135</v>
      </c>
      <c r="T4298" t="s">
        <v>4559</v>
      </c>
      <c r="U4298" t="s">
        <v>4655</v>
      </c>
      <c r="V4298" s="2">
        <v>0</v>
      </c>
      <c r="W4298" t="s">
        <v>4655</v>
      </c>
      <c r="X4298" s="2">
        <v>0</v>
      </c>
      <c r="Y4298">
        <v>20</v>
      </c>
      <c r="Z4298" t="s">
        <v>1776</v>
      </c>
      <c r="AA4298" s="3">
        <v>0.23927915096283001</v>
      </c>
      <c r="AB4298" t="s">
        <v>22836</v>
      </c>
      <c r="AC4298" t="s">
        <v>4575</v>
      </c>
      <c r="AD4298" t="s">
        <v>22835</v>
      </c>
      <c r="AE4298" t="s">
        <v>4655</v>
      </c>
      <c r="AF4298" t="s">
        <v>5206</v>
      </c>
      <c r="AG4298" t="s">
        <v>4564</v>
      </c>
      <c r="AH4298" t="s">
        <v>5207</v>
      </c>
      <c r="AI4298" t="s">
        <v>4655</v>
      </c>
      <c r="AJ4298" t="s">
        <v>4655</v>
      </c>
      <c r="AK4298" t="s">
        <v>22837</v>
      </c>
      <c r="AL4298" s="13" t="s">
        <v>1893</v>
      </c>
      <c r="AM4298">
        <v>1</v>
      </c>
      <c r="AN4298" s="15" t="s">
        <v>2914</v>
      </c>
    </row>
    <row r="4299" spans="1:40" x14ac:dyDescent="0.3">
      <c r="A4299" s="10" t="str">
        <f>HYPERLINK("http://www.washoecounty.gov/assessor/cama/?parid=125-382-16&amp;CardNumber=1","125-382-16")</f>
        <v>125-382-16</v>
      </c>
      <c r="B4299" t="s">
        <v>4655</v>
      </c>
      <c r="C4299" t="s">
        <v>22838</v>
      </c>
      <c r="D4299" s="1">
        <v>40284</v>
      </c>
      <c r="E4299" s="2">
        <v>350000</v>
      </c>
      <c r="F4299" t="s">
        <v>3259</v>
      </c>
      <c r="G4299" s="17" t="str">
        <f>HYPERLINK("https://www.washoecounty.gov/assessor/cama/?command=sales&amp;parid=12538216","3871796")</f>
        <v>3871796</v>
      </c>
      <c r="H4299" t="s">
        <v>22812</v>
      </c>
      <c r="I4299">
        <v>1982</v>
      </c>
      <c r="J4299">
        <v>1982</v>
      </c>
      <c r="K4299" t="s">
        <v>4554</v>
      </c>
      <c r="L4299" t="s">
        <v>4555</v>
      </c>
      <c r="M4299" s="2">
        <v>1054</v>
      </c>
      <c r="N4299" t="s">
        <v>4048</v>
      </c>
      <c r="O4299">
        <v>2</v>
      </c>
      <c r="P4299">
        <v>2</v>
      </c>
      <c r="Q4299">
        <v>0</v>
      </c>
      <c r="R4299" t="s">
        <v>4557</v>
      </c>
      <c r="S4299" t="s">
        <v>3148</v>
      </c>
      <c r="T4299" t="s">
        <v>4143</v>
      </c>
      <c r="U4299" t="s">
        <v>4655</v>
      </c>
      <c r="V4299" s="2">
        <v>0</v>
      </c>
      <c r="W4299" t="s">
        <v>4655</v>
      </c>
      <c r="X4299" s="2">
        <v>0</v>
      </c>
      <c r="Y4299">
        <v>20</v>
      </c>
      <c r="Z4299" t="s">
        <v>5508</v>
      </c>
      <c r="AA4299" s="3">
        <v>0.260858595371246</v>
      </c>
      <c r="AB4299" t="s">
        <v>22839</v>
      </c>
      <c r="AC4299" t="s">
        <v>4562</v>
      </c>
      <c r="AD4299" t="s">
        <v>22840</v>
      </c>
      <c r="AE4299" t="s">
        <v>4655</v>
      </c>
      <c r="AF4299" t="s">
        <v>5206</v>
      </c>
      <c r="AG4299" t="s">
        <v>4564</v>
      </c>
      <c r="AH4299" t="s">
        <v>5207</v>
      </c>
      <c r="AI4299" t="s">
        <v>22841</v>
      </c>
      <c r="AJ4299" t="s">
        <v>4655</v>
      </c>
      <c r="AK4299" t="s">
        <v>22842</v>
      </c>
      <c r="AL4299" s="13" t="s">
        <v>1893</v>
      </c>
      <c r="AM4299">
        <v>1</v>
      </c>
      <c r="AN4299" s="15" t="s">
        <v>2914</v>
      </c>
    </row>
    <row r="4300" spans="1:40" x14ac:dyDescent="0.3">
      <c r="A4300" s="10" t="str">
        <f>HYPERLINK("http://www.washoecounty.gov/assessor/cama/?parid=125-412-05&amp;CardNumber=1","125-412-05")</f>
        <v>125-412-05</v>
      </c>
      <c r="B4300" t="s">
        <v>4655</v>
      </c>
      <c r="C4300" t="s">
        <v>22843</v>
      </c>
      <c r="D4300" s="1">
        <v>40281</v>
      </c>
      <c r="E4300" s="2">
        <v>690000</v>
      </c>
      <c r="F4300" t="s">
        <v>4553</v>
      </c>
      <c r="G4300" s="17" t="str">
        <f>HYPERLINK("https://www.washoecounty.gov/assessor/cama/?command=sales&amp;parid=12541205","3870355")</f>
        <v>3870355</v>
      </c>
      <c r="H4300" t="s">
        <v>3369</v>
      </c>
      <c r="I4300">
        <v>1979</v>
      </c>
      <c r="J4300">
        <v>1979</v>
      </c>
      <c r="K4300" t="s">
        <v>4554</v>
      </c>
      <c r="L4300" t="s">
        <v>3974</v>
      </c>
      <c r="M4300" s="2">
        <v>3728</v>
      </c>
      <c r="N4300" t="s">
        <v>3887</v>
      </c>
      <c r="O4300">
        <v>4</v>
      </c>
      <c r="P4300">
        <v>3</v>
      </c>
      <c r="Q4300">
        <v>0</v>
      </c>
      <c r="R4300" t="s">
        <v>4557</v>
      </c>
      <c r="S4300" t="s">
        <v>4135</v>
      </c>
      <c r="T4300" t="s">
        <v>3888</v>
      </c>
      <c r="U4300" t="s">
        <v>4560</v>
      </c>
      <c r="V4300" s="2">
        <v>506</v>
      </c>
      <c r="W4300" t="s">
        <v>3201</v>
      </c>
      <c r="X4300" s="2">
        <v>877</v>
      </c>
      <c r="Y4300">
        <v>20</v>
      </c>
      <c r="Z4300" t="s">
        <v>1776</v>
      </c>
      <c r="AA4300" s="3">
        <v>0.26000916957855202</v>
      </c>
      <c r="AB4300" t="s">
        <v>22844</v>
      </c>
      <c r="AC4300" t="s">
        <v>4562</v>
      </c>
      <c r="AD4300" t="s">
        <v>22843</v>
      </c>
      <c r="AE4300" t="s">
        <v>4655</v>
      </c>
      <c r="AF4300" t="s">
        <v>5206</v>
      </c>
      <c r="AG4300" t="s">
        <v>4564</v>
      </c>
      <c r="AH4300" t="s">
        <v>5207</v>
      </c>
      <c r="AI4300" t="s">
        <v>17525</v>
      </c>
      <c r="AJ4300" t="s">
        <v>4655</v>
      </c>
      <c r="AK4300" t="s">
        <v>22845</v>
      </c>
      <c r="AL4300" s="13" t="s">
        <v>1893</v>
      </c>
      <c r="AM4300">
        <v>1</v>
      </c>
      <c r="AN4300" s="15" t="s">
        <v>2914</v>
      </c>
    </row>
    <row r="4301" spans="1:40" x14ac:dyDescent="0.3">
      <c r="A4301" s="10" t="str">
        <f>HYPERLINK("http://www.washoecounty.gov/assessor/cama/?parid=125-413-09&amp;CardNumber=1","125-413-09")</f>
        <v>125-413-09</v>
      </c>
      <c r="B4301" t="s">
        <v>4655</v>
      </c>
      <c r="C4301" t="s">
        <v>22846</v>
      </c>
      <c r="D4301" s="1">
        <v>40449</v>
      </c>
      <c r="E4301" s="2">
        <v>1385000</v>
      </c>
      <c r="F4301" t="s">
        <v>3528</v>
      </c>
      <c r="G4301" s="17" t="str">
        <f>HYPERLINK("https://www.washoecounty.gov/assessor/cama/?command=sales&amp;parid=12541309","3926755")</f>
        <v>3926755</v>
      </c>
      <c r="H4301" t="s">
        <v>3369</v>
      </c>
      <c r="I4301">
        <v>1981</v>
      </c>
      <c r="J4301">
        <v>1981</v>
      </c>
      <c r="K4301" t="s">
        <v>4554</v>
      </c>
      <c r="L4301" t="s">
        <v>3974</v>
      </c>
      <c r="M4301" s="2">
        <v>3714</v>
      </c>
      <c r="N4301" t="s">
        <v>5106</v>
      </c>
      <c r="O4301">
        <v>4</v>
      </c>
      <c r="P4301">
        <v>3</v>
      </c>
      <c r="Q4301">
        <v>1</v>
      </c>
      <c r="R4301" t="s">
        <v>5205</v>
      </c>
      <c r="S4301" t="s">
        <v>4135</v>
      </c>
      <c r="T4301" t="s">
        <v>3888</v>
      </c>
      <c r="U4301" t="s">
        <v>4560</v>
      </c>
      <c r="V4301" s="2">
        <v>560</v>
      </c>
      <c r="W4301" t="s">
        <v>4655</v>
      </c>
      <c r="X4301" s="2">
        <v>0</v>
      </c>
      <c r="Y4301">
        <v>20</v>
      </c>
      <c r="Z4301" t="s">
        <v>5508</v>
      </c>
      <c r="AA4301" s="3">
        <v>0.239990815520287</v>
      </c>
      <c r="AB4301" t="s">
        <v>22847</v>
      </c>
      <c r="AC4301" t="s">
        <v>4562</v>
      </c>
      <c r="AD4301" t="s">
        <v>22848</v>
      </c>
      <c r="AE4301" t="s">
        <v>657</v>
      </c>
      <c r="AF4301" t="s">
        <v>5206</v>
      </c>
      <c r="AG4301" t="s">
        <v>4564</v>
      </c>
      <c r="AH4301" t="s">
        <v>5275</v>
      </c>
      <c r="AI4301" t="s">
        <v>22849</v>
      </c>
      <c r="AJ4301" t="s">
        <v>4655</v>
      </c>
      <c r="AK4301" t="s">
        <v>22850</v>
      </c>
      <c r="AL4301" s="13" t="s">
        <v>1893</v>
      </c>
      <c r="AM4301" s="14">
        <v>1</v>
      </c>
      <c r="AN4301" s="15" t="s">
        <v>2914</v>
      </c>
    </row>
    <row r="4302" spans="1:40" x14ac:dyDescent="0.3">
      <c r="A4302" s="10" t="str">
        <f>HYPERLINK("http://www.washoecounty.gov/assessor/cama/?parid=125-422-04&amp;CardNumber=1","125-422-04")</f>
        <v>125-422-04</v>
      </c>
      <c r="B4302" t="s">
        <v>4655</v>
      </c>
      <c r="C4302" t="s">
        <v>22851</v>
      </c>
      <c r="D4302" s="1">
        <v>40382</v>
      </c>
      <c r="E4302" s="2">
        <v>965000</v>
      </c>
      <c r="F4302" t="s">
        <v>3259</v>
      </c>
      <c r="G4302" s="17" t="str">
        <f>HYPERLINK("https://www.washoecounty.gov/assessor/cama/?command=sales&amp;parid=12542204","3904151")</f>
        <v>3904151</v>
      </c>
      <c r="H4302" t="s">
        <v>3369</v>
      </c>
      <c r="I4302">
        <v>1981</v>
      </c>
      <c r="J4302">
        <v>1983</v>
      </c>
      <c r="K4302" t="s">
        <v>4554</v>
      </c>
      <c r="L4302" t="s">
        <v>3044</v>
      </c>
      <c r="M4302" s="2">
        <v>2800</v>
      </c>
      <c r="N4302" t="s">
        <v>1245</v>
      </c>
      <c r="O4302">
        <v>3</v>
      </c>
      <c r="P4302">
        <v>3</v>
      </c>
      <c r="Q4302">
        <v>1</v>
      </c>
      <c r="R4302" t="s">
        <v>4676</v>
      </c>
      <c r="S4302" t="s">
        <v>4135</v>
      </c>
      <c r="T4302" t="s">
        <v>3888</v>
      </c>
      <c r="U4302" t="s">
        <v>4560</v>
      </c>
      <c r="V4302" s="2">
        <v>506</v>
      </c>
      <c r="W4302" t="s">
        <v>4655</v>
      </c>
      <c r="X4302" s="2">
        <v>0</v>
      </c>
      <c r="Y4302">
        <v>20</v>
      </c>
      <c r="Z4302" t="s">
        <v>5508</v>
      </c>
      <c r="AA4302" s="3">
        <v>0.71200644969940097</v>
      </c>
      <c r="AB4302" t="s">
        <v>22852</v>
      </c>
      <c r="AC4302" t="s">
        <v>4562</v>
      </c>
      <c r="AD4302" t="s">
        <v>22853</v>
      </c>
      <c r="AE4302" t="s">
        <v>4655</v>
      </c>
      <c r="AF4302" t="s">
        <v>22854</v>
      </c>
      <c r="AG4302" t="s">
        <v>4275</v>
      </c>
      <c r="AH4302">
        <v>20115</v>
      </c>
      <c r="AI4302" t="s">
        <v>22855</v>
      </c>
      <c r="AJ4302" t="s">
        <v>4655</v>
      </c>
      <c r="AK4302" t="s">
        <v>22856</v>
      </c>
      <c r="AL4302" s="13" t="s">
        <v>1893</v>
      </c>
      <c r="AM4302">
        <v>1</v>
      </c>
      <c r="AN4302" s="15" t="s">
        <v>2914</v>
      </c>
    </row>
    <row r="4303" spans="1:40" x14ac:dyDescent="0.3">
      <c r="A4303" s="10" t="str">
        <f>HYPERLINK("http://www.washoecounty.gov/assessor/cama/?parid=125-442-06&amp;CardNumber=1","125-442-06")</f>
        <v>125-442-06</v>
      </c>
      <c r="B4303" t="s">
        <v>4655</v>
      </c>
      <c r="C4303" t="s">
        <v>22857</v>
      </c>
      <c r="D4303" s="1">
        <v>40311</v>
      </c>
      <c r="E4303" s="2">
        <v>1150000</v>
      </c>
      <c r="F4303" t="s">
        <v>3512</v>
      </c>
      <c r="G4303" s="17" t="str">
        <f>HYPERLINK("https://www.washoecounty.gov/assessor/cama/?command=sales&amp;parid=12544206","3881297")</f>
        <v>3881297</v>
      </c>
      <c r="H4303" t="s">
        <v>3369</v>
      </c>
      <c r="I4303">
        <v>2000</v>
      </c>
      <c r="J4303">
        <v>2000</v>
      </c>
      <c r="K4303" t="s">
        <v>4554</v>
      </c>
      <c r="L4303" t="s">
        <v>2170</v>
      </c>
      <c r="M4303" s="2">
        <v>2247</v>
      </c>
      <c r="N4303" t="s">
        <v>2008</v>
      </c>
      <c r="O4303">
        <v>3</v>
      </c>
      <c r="P4303">
        <v>3</v>
      </c>
      <c r="Q4303">
        <v>1</v>
      </c>
      <c r="R4303" t="s">
        <v>1186</v>
      </c>
      <c r="S4303" t="s">
        <v>4135</v>
      </c>
      <c r="T4303" t="s">
        <v>4559</v>
      </c>
      <c r="U4303" t="s">
        <v>5631</v>
      </c>
      <c r="V4303" s="2">
        <v>476</v>
      </c>
      <c r="W4303" t="s">
        <v>4655</v>
      </c>
      <c r="X4303" s="2">
        <v>0</v>
      </c>
      <c r="Y4303">
        <v>20</v>
      </c>
      <c r="Z4303" t="s">
        <v>5508</v>
      </c>
      <c r="AA4303" s="3">
        <v>0.39898988604545599</v>
      </c>
      <c r="AB4303" t="s">
        <v>22858</v>
      </c>
      <c r="AC4303" t="s">
        <v>4562</v>
      </c>
      <c r="AD4303" t="s">
        <v>22859</v>
      </c>
      <c r="AE4303" t="s">
        <v>4655</v>
      </c>
      <c r="AF4303" t="s">
        <v>22860</v>
      </c>
      <c r="AG4303" t="s">
        <v>22861</v>
      </c>
      <c r="AH4303" t="s">
        <v>22862</v>
      </c>
      <c r="AI4303" t="s">
        <v>4655</v>
      </c>
      <c r="AJ4303" t="s">
        <v>4655</v>
      </c>
      <c r="AK4303" t="s">
        <v>22863</v>
      </c>
      <c r="AL4303" s="13" t="s">
        <v>1893</v>
      </c>
      <c r="AM4303">
        <v>1</v>
      </c>
      <c r="AN4303" s="15" t="s">
        <v>2914</v>
      </c>
    </row>
    <row r="4304" spans="1:40" x14ac:dyDescent="0.3">
      <c r="A4304" s="10" t="str">
        <f>HYPERLINK("http://www.washoecounty.gov/assessor/cama/?parid=125-451-12&amp;CardNumber=1","125-451-12")</f>
        <v>125-451-12</v>
      </c>
      <c r="B4304" t="s">
        <v>4655</v>
      </c>
      <c r="C4304" t="s">
        <v>22864</v>
      </c>
      <c r="D4304" s="1">
        <v>40359</v>
      </c>
      <c r="E4304" s="2">
        <v>525000</v>
      </c>
      <c r="F4304" t="s">
        <v>3259</v>
      </c>
      <c r="G4304" s="17" t="str">
        <f>HYPERLINK("https://www.washoecounty.gov/assessor/cama/?command=sales&amp;parid=12545112","3897175")</f>
        <v>3897175</v>
      </c>
      <c r="H4304" t="s">
        <v>22865</v>
      </c>
      <c r="I4304">
        <v>1980</v>
      </c>
      <c r="J4304">
        <v>1980</v>
      </c>
      <c r="K4304" t="s">
        <v>4554</v>
      </c>
      <c r="L4304" t="s">
        <v>4555</v>
      </c>
      <c r="M4304" s="2">
        <v>1040</v>
      </c>
      <c r="N4304" t="s">
        <v>3147</v>
      </c>
      <c r="O4304">
        <v>3</v>
      </c>
      <c r="P4304">
        <v>2</v>
      </c>
      <c r="Q4304">
        <v>0</v>
      </c>
      <c r="R4304" t="s">
        <v>4557</v>
      </c>
      <c r="S4304" t="s">
        <v>3148</v>
      </c>
      <c r="T4304" t="s">
        <v>4143</v>
      </c>
      <c r="U4304" t="s">
        <v>4655</v>
      </c>
      <c r="V4304" s="2">
        <v>0</v>
      </c>
      <c r="W4304" t="s">
        <v>3201</v>
      </c>
      <c r="X4304" s="2">
        <v>1044</v>
      </c>
      <c r="Y4304">
        <v>20</v>
      </c>
      <c r="Z4304" t="s">
        <v>5508</v>
      </c>
      <c r="AA4304" s="3">
        <v>0.53999084234237604</v>
      </c>
      <c r="AB4304" t="s">
        <v>22866</v>
      </c>
      <c r="AC4304" t="s">
        <v>4562</v>
      </c>
      <c r="AD4304" t="s">
        <v>22867</v>
      </c>
      <c r="AE4304" t="s">
        <v>4655</v>
      </c>
      <c r="AF4304" t="s">
        <v>4054</v>
      </c>
      <c r="AG4304" t="s">
        <v>4564</v>
      </c>
      <c r="AH4304" t="s">
        <v>5207</v>
      </c>
      <c r="AI4304" t="s">
        <v>4655</v>
      </c>
      <c r="AJ4304" t="s">
        <v>4655</v>
      </c>
      <c r="AK4304" t="s">
        <v>22868</v>
      </c>
      <c r="AL4304" s="13" t="s">
        <v>1893</v>
      </c>
      <c r="AM4304" s="14">
        <v>1</v>
      </c>
      <c r="AN4304" s="15" t="s">
        <v>2908</v>
      </c>
    </row>
    <row r="4305" spans="1:40" x14ac:dyDescent="0.3">
      <c r="A4305" s="10" t="str">
        <f>HYPERLINK("http://www.washoecounty.gov/assessor/cama/?parid=125-463-17&amp;CardNumber=1","125-463-17")</f>
        <v>125-463-17</v>
      </c>
      <c r="B4305" t="s">
        <v>4655</v>
      </c>
      <c r="C4305" t="s">
        <v>22869</v>
      </c>
      <c r="D4305" s="1">
        <v>40436</v>
      </c>
      <c r="E4305" s="2">
        <v>650000</v>
      </c>
      <c r="F4305" t="s">
        <v>3259</v>
      </c>
      <c r="G4305" s="17" t="str">
        <f>HYPERLINK("https://www.washoecounty.gov/assessor/cama/?command=sales&amp;parid=12546317","3922612")</f>
        <v>3922612</v>
      </c>
      <c r="H4305" t="s">
        <v>22865</v>
      </c>
      <c r="I4305">
        <v>1982</v>
      </c>
      <c r="J4305">
        <v>1982</v>
      </c>
      <c r="K4305" t="s">
        <v>4554</v>
      </c>
      <c r="L4305" t="s">
        <v>3974</v>
      </c>
      <c r="M4305" s="2">
        <v>2000</v>
      </c>
      <c r="N4305" t="s">
        <v>3887</v>
      </c>
      <c r="O4305">
        <v>3</v>
      </c>
      <c r="P4305">
        <v>2</v>
      </c>
      <c r="Q4305">
        <v>0</v>
      </c>
      <c r="R4305" t="s">
        <v>4557</v>
      </c>
      <c r="S4305" t="s">
        <v>4135</v>
      </c>
      <c r="T4305" t="s">
        <v>4559</v>
      </c>
      <c r="U4305" t="s">
        <v>4560</v>
      </c>
      <c r="V4305" s="2">
        <v>400</v>
      </c>
      <c r="W4305" t="s">
        <v>4655</v>
      </c>
      <c r="X4305" s="2">
        <v>0</v>
      </c>
      <c r="Y4305">
        <v>20</v>
      </c>
      <c r="Z4305" t="s">
        <v>1776</v>
      </c>
      <c r="AA4305" s="3">
        <v>0.31969696283340499</v>
      </c>
      <c r="AB4305" t="s">
        <v>22870</v>
      </c>
      <c r="AC4305" t="s">
        <v>4575</v>
      </c>
      <c r="AD4305" t="s">
        <v>22871</v>
      </c>
      <c r="AE4305" t="s">
        <v>4655</v>
      </c>
      <c r="AF4305" t="s">
        <v>22872</v>
      </c>
      <c r="AG4305" t="s">
        <v>4584</v>
      </c>
      <c r="AH4305" t="s">
        <v>6937</v>
      </c>
      <c r="AI4305" t="s">
        <v>22873</v>
      </c>
      <c r="AJ4305" t="s">
        <v>4655</v>
      </c>
      <c r="AK4305" t="s">
        <v>22874</v>
      </c>
      <c r="AL4305" s="13" t="s">
        <v>1893</v>
      </c>
      <c r="AM4305" s="14">
        <v>1</v>
      </c>
      <c r="AN4305" s="15" t="s">
        <v>2907</v>
      </c>
    </row>
    <row r="4306" spans="1:40" x14ac:dyDescent="0.3">
      <c r="A4306" s="10" t="str">
        <f>HYPERLINK("http://www.washoecounty.gov/assessor/cama/?parid=125-481-07&amp;CardNumber=1","125-481-07")</f>
        <v>125-481-07</v>
      </c>
      <c r="B4306" t="s">
        <v>4655</v>
      </c>
      <c r="C4306" t="s">
        <v>22875</v>
      </c>
      <c r="D4306" s="1">
        <v>40511</v>
      </c>
      <c r="E4306" s="2">
        <v>1375000</v>
      </c>
      <c r="F4306" t="s">
        <v>3259</v>
      </c>
      <c r="G4306" s="17" t="str">
        <f>HYPERLINK("https://www.washoecounty.gov/assessor/cama/?command=sales&amp;parid=12548107","3947074")</f>
        <v>3947074</v>
      </c>
      <c r="H4306" t="s">
        <v>2832</v>
      </c>
      <c r="I4306">
        <v>1985</v>
      </c>
      <c r="J4306">
        <v>1989</v>
      </c>
      <c r="K4306" t="s">
        <v>4554</v>
      </c>
      <c r="L4306" t="s">
        <v>3974</v>
      </c>
      <c r="M4306" s="2">
        <v>3354</v>
      </c>
      <c r="N4306" t="s">
        <v>2008</v>
      </c>
      <c r="O4306">
        <v>7</v>
      </c>
      <c r="P4306">
        <v>5</v>
      </c>
      <c r="Q4306">
        <v>1</v>
      </c>
      <c r="R4306" t="s">
        <v>5205</v>
      </c>
      <c r="S4306" t="s">
        <v>4135</v>
      </c>
      <c r="T4306" t="s">
        <v>4559</v>
      </c>
      <c r="U4306" t="s">
        <v>5631</v>
      </c>
      <c r="V4306" s="2">
        <v>495</v>
      </c>
      <c r="W4306" t="s">
        <v>3201</v>
      </c>
      <c r="X4306" s="2">
        <v>1273</v>
      </c>
      <c r="Y4306">
        <v>20</v>
      </c>
      <c r="Z4306" t="s">
        <v>1776</v>
      </c>
      <c r="AA4306" s="3">
        <v>0.339990824460983</v>
      </c>
      <c r="AB4306" t="s">
        <v>22876</v>
      </c>
      <c r="AC4306" t="s">
        <v>4575</v>
      </c>
      <c r="AD4306" t="s">
        <v>22877</v>
      </c>
      <c r="AE4306" t="s">
        <v>4655</v>
      </c>
      <c r="AF4306" t="s">
        <v>5206</v>
      </c>
      <c r="AG4306" t="s">
        <v>4564</v>
      </c>
      <c r="AH4306" t="s">
        <v>5207</v>
      </c>
      <c r="AI4306" t="s">
        <v>22878</v>
      </c>
      <c r="AJ4306" t="s">
        <v>4655</v>
      </c>
      <c r="AK4306" t="s">
        <v>22879</v>
      </c>
      <c r="AL4306" s="13" t="s">
        <v>1893</v>
      </c>
      <c r="AM4306" s="14">
        <v>1</v>
      </c>
      <c r="AN4306" s="15" t="s">
        <v>2907</v>
      </c>
    </row>
    <row r="4307" spans="1:40" x14ac:dyDescent="0.3">
      <c r="A4307" s="10" t="str">
        <f>HYPERLINK("http://www.washoecounty.gov/assessor/cama/?parid=125-492-11&amp;CardNumber=1","125-492-11")</f>
        <v>125-492-11</v>
      </c>
      <c r="B4307" t="s">
        <v>4655</v>
      </c>
      <c r="C4307" t="s">
        <v>22880</v>
      </c>
      <c r="D4307" s="1">
        <v>40451</v>
      </c>
      <c r="E4307" s="2">
        <v>418400</v>
      </c>
      <c r="F4307" t="s">
        <v>4567</v>
      </c>
      <c r="G4307" s="17" t="str">
        <f>HYPERLINK("https://www.washoecounty.gov/assessor/cama/?command=sales&amp;parid=12549211","3928418")</f>
        <v>3928418</v>
      </c>
      <c r="H4307" t="s">
        <v>2832</v>
      </c>
      <c r="I4307">
        <v>1979</v>
      </c>
      <c r="J4307">
        <v>1979</v>
      </c>
      <c r="K4307" t="s">
        <v>4554</v>
      </c>
      <c r="L4307" t="s">
        <v>2170</v>
      </c>
      <c r="M4307" s="2">
        <v>1536</v>
      </c>
      <c r="N4307" t="s">
        <v>5280</v>
      </c>
      <c r="O4307">
        <v>3</v>
      </c>
      <c r="P4307">
        <v>2</v>
      </c>
      <c r="Q4307">
        <v>1</v>
      </c>
      <c r="R4307" t="s">
        <v>4557</v>
      </c>
      <c r="S4307" t="s">
        <v>4135</v>
      </c>
      <c r="T4307" t="s">
        <v>4559</v>
      </c>
      <c r="U4307" t="s">
        <v>5631</v>
      </c>
      <c r="V4307" s="2">
        <v>480</v>
      </c>
      <c r="W4307" t="s">
        <v>4655</v>
      </c>
      <c r="X4307" s="2">
        <v>0</v>
      </c>
      <c r="Y4307">
        <v>20</v>
      </c>
      <c r="Z4307" t="s">
        <v>1776</v>
      </c>
      <c r="AA4307" s="3">
        <v>0.239990815520287</v>
      </c>
      <c r="AB4307" t="s">
        <v>22881</v>
      </c>
      <c r="AC4307" t="s">
        <v>4562</v>
      </c>
      <c r="AD4307" t="s">
        <v>22880</v>
      </c>
      <c r="AE4307" t="s">
        <v>4655</v>
      </c>
      <c r="AF4307" t="s">
        <v>5206</v>
      </c>
      <c r="AG4307" t="s">
        <v>4564</v>
      </c>
      <c r="AH4307" t="s">
        <v>5207</v>
      </c>
      <c r="AI4307" t="s">
        <v>22882</v>
      </c>
      <c r="AJ4307" t="s">
        <v>4655</v>
      </c>
      <c r="AK4307" t="s">
        <v>22883</v>
      </c>
      <c r="AL4307" s="13" t="s">
        <v>1893</v>
      </c>
      <c r="AM4307">
        <v>1</v>
      </c>
      <c r="AN4307" s="15" t="s">
        <v>2907</v>
      </c>
    </row>
    <row r="4308" spans="1:40" x14ac:dyDescent="0.3">
      <c r="A4308" s="10" t="str">
        <f>HYPERLINK("http://www.washoecounty.gov/assessor/cama/?parid=125-492-17&amp;CardNumber=1","125-492-17")</f>
        <v>125-492-17</v>
      </c>
      <c r="B4308" t="s">
        <v>4655</v>
      </c>
      <c r="C4308" t="s">
        <v>22884</v>
      </c>
      <c r="D4308" s="1">
        <v>40459</v>
      </c>
      <c r="E4308" s="2">
        <v>1685000</v>
      </c>
      <c r="F4308" t="s">
        <v>3259</v>
      </c>
      <c r="G4308" s="17" t="str">
        <f>HYPERLINK("https://www.washoecounty.gov/assessor/cama/?command=sales&amp;parid=12549217","3931338")</f>
        <v>3931338</v>
      </c>
      <c r="H4308" t="s">
        <v>22865</v>
      </c>
      <c r="I4308">
        <v>1993</v>
      </c>
      <c r="J4308">
        <v>1995</v>
      </c>
      <c r="K4308" t="s">
        <v>4554</v>
      </c>
      <c r="L4308" t="s">
        <v>3044</v>
      </c>
      <c r="M4308" s="2">
        <v>3886</v>
      </c>
      <c r="N4308" t="s">
        <v>2008</v>
      </c>
      <c r="O4308">
        <v>4</v>
      </c>
      <c r="P4308">
        <v>3</v>
      </c>
      <c r="Q4308">
        <v>1</v>
      </c>
      <c r="R4308" t="s">
        <v>4557</v>
      </c>
      <c r="S4308" t="s">
        <v>4135</v>
      </c>
      <c r="T4308" t="s">
        <v>3888</v>
      </c>
      <c r="U4308" t="s">
        <v>4560</v>
      </c>
      <c r="V4308" s="2">
        <v>751</v>
      </c>
      <c r="W4308" t="s">
        <v>4655</v>
      </c>
      <c r="X4308" s="2">
        <v>0</v>
      </c>
      <c r="Y4308">
        <v>20</v>
      </c>
      <c r="Z4308" t="s">
        <v>1776</v>
      </c>
      <c r="AA4308" s="3">
        <v>0.26000916957855202</v>
      </c>
      <c r="AB4308" t="s">
        <v>22885</v>
      </c>
      <c r="AC4308" t="s">
        <v>4575</v>
      </c>
      <c r="AD4308" t="s">
        <v>22886</v>
      </c>
      <c r="AE4308" t="s">
        <v>4655</v>
      </c>
      <c r="AF4308" t="s">
        <v>22887</v>
      </c>
      <c r="AG4308" t="s">
        <v>5277</v>
      </c>
      <c r="AH4308" t="s">
        <v>22888</v>
      </c>
      <c r="AI4308" t="s">
        <v>22889</v>
      </c>
      <c r="AJ4308" t="s">
        <v>4655</v>
      </c>
      <c r="AK4308" t="s">
        <v>22890</v>
      </c>
      <c r="AL4308" s="13" t="s">
        <v>1893</v>
      </c>
      <c r="AM4308">
        <v>1</v>
      </c>
      <c r="AN4308" s="15" t="s">
        <v>2907</v>
      </c>
    </row>
    <row r="4309" spans="1:40" x14ac:dyDescent="0.3">
      <c r="A4309" s="10" t="str">
        <f>HYPERLINK("http://www.washoecounty.gov/assessor/cama/?parid=125-512-03&amp;CardNumber=1","125-512-03")</f>
        <v>125-512-03</v>
      </c>
      <c r="B4309" t="s">
        <v>4655</v>
      </c>
      <c r="C4309" t="s">
        <v>22891</v>
      </c>
      <c r="D4309" s="1">
        <v>40199</v>
      </c>
      <c r="E4309" s="2">
        <v>1075000</v>
      </c>
      <c r="F4309" t="s">
        <v>3259</v>
      </c>
      <c r="G4309" s="17" t="str">
        <f>HYPERLINK("https://www.washoecounty.gov/assessor/cama/?command=sales&amp;parid=12551203","3841455")</f>
        <v>3841455</v>
      </c>
      <c r="H4309" t="s">
        <v>22865</v>
      </c>
      <c r="I4309">
        <v>1990</v>
      </c>
      <c r="J4309">
        <v>1990</v>
      </c>
      <c r="K4309" t="s">
        <v>4554</v>
      </c>
      <c r="L4309" t="s">
        <v>3974</v>
      </c>
      <c r="M4309" s="2">
        <v>3189</v>
      </c>
      <c r="N4309" t="s">
        <v>2012</v>
      </c>
      <c r="O4309">
        <v>3</v>
      </c>
      <c r="P4309">
        <v>3</v>
      </c>
      <c r="Q4309">
        <v>1</v>
      </c>
      <c r="R4309" t="s">
        <v>5205</v>
      </c>
      <c r="S4309" t="s">
        <v>4135</v>
      </c>
      <c r="T4309" t="s">
        <v>4559</v>
      </c>
      <c r="U4309" t="s">
        <v>4560</v>
      </c>
      <c r="V4309" s="2">
        <v>576</v>
      </c>
      <c r="W4309" t="s">
        <v>4655</v>
      </c>
      <c r="X4309" s="2">
        <v>0</v>
      </c>
      <c r="Y4309">
        <v>20</v>
      </c>
      <c r="Z4309" t="s">
        <v>1776</v>
      </c>
      <c r="AA4309" s="3">
        <v>0.26000916957855202</v>
      </c>
      <c r="AB4309" t="s">
        <v>22892</v>
      </c>
      <c r="AC4309" t="s">
        <v>4575</v>
      </c>
      <c r="AD4309" t="s">
        <v>22891</v>
      </c>
      <c r="AE4309" t="s">
        <v>4655</v>
      </c>
      <c r="AF4309" t="s">
        <v>4054</v>
      </c>
      <c r="AG4309" t="s">
        <v>4564</v>
      </c>
      <c r="AH4309" t="s">
        <v>5207</v>
      </c>
      <c r="AI4309" t="s">
        <v>22893</v>
      </c>
      <c r="AJ4309" t="s">
        <v>4655</v>
      </c>
      <c r="AK4309" t="s">
        <v>22894</v>
      </c>
      <c r="AL4309" s="13" t="s">
        <v>1893</v>
      </c>
      <c r="AM4309">
        <v>1</v>
      </c>
      <c r="AN4309" s="15" t="s">
        <v>2907</v>
      </c>
    </row>
    <row r="4310" spans="1:40" x14ac:dyDescent="0.3">
      <c r="A4310" s="10" t="str">
        <f>HYPERLINK("http://www.washoecounty.gov/assessor/cama/?parid=125-512-04&amp;CardNumber=1","125-512-04")</f>
        <v>125-512-04</v>
      </c>
      <c r="B4310" t="s">
        <v>4655</v>
      </c>
      <c r="C4310" t="s">
        <v>22895</v>
      </c>
      <c r="D4310" s="1">
        <v>40268</v>
      </c>
      <c r="E4310" s="2">
        <v>545000</v>
      </c>
      <c r="F4310" t="s">
        <v>4553</v>
      </c>
      <c r="G4310" s="17" t="str">
        <f>HYPERLINK("https://www.washoecounty.gov/assessor/cama/?command=sales&amp;parid=12551204","3866312")</f>
        <v>3866312</v>
      </c>
      <c r="H4310" t="s">
        <v>22865</v>
      </c>
      <c r="I4310">
        <v>1975</v>
      </c>
      <c r="J4310">
        <v>1975</v>
      </c>
      <c r="K4310" t="s">
        <v>4554</v>
      </c>
      <c r="L4310" t="s">
        <v>3974</v>
      </c>
      <c r="M4310" s="2">
        <v>1814</v>
      </c>
      <c r="N4310" t="s">
        <v>5280</v>
      </c>
      <c r="O4310">
        <v>3</v>
      </c>
      <c r="P4310">
        <v>3</v>
      </c>
      <c r="Q4310">
        <v>1</v>
      </c>
      <c r="R4310" t="s">
        <v>5205</v>
      </c>
      <c r="S4310" t="s">
        <v>4135</v>
      </c>
      <c r="T4310" t="s">
        <v>3888</v>
      </c>
      <c r="U4310" t="s">
        <v>4655</v>
      </c>
      <c r="V4310" s="2">
        <v>0</v>
      </c>
      <c r="W4310" t="s">
        <v>3201</v>
      </c>
      <c r="X4310" s="2">
        <v>907</v>
      </c>
      <c r="Y4310">
        <v>20</v>
      </c>
      <c r="Z4310" t="s">
        <v>1776</v>
      </c>
      <c r="AA4310" s="3">
        <v>0.28999081254005399</v>
      </c>
      <c r="AB4310" t="s">
        <v>22896</v>
      </c>
      <c r="AC4310" t="s">
        <v>4575</v>
      </c>
      <c r="AD4310" t="s">
        <v>22897</v>
      </c>
      <c r="AE4310" t="s">
        <v>22898</v>
      </c>
      <c r="AF4310" t="s">
        <v>22899</v>
      </c>
      <c r="AG4310" t="s">
        <v>762</v>
      </c>
      <c r="AH4310">
        <v>77024</v>
      </c>
      <c r="AI4310" t="s">
        <v>2351</v>
      </c>
      <c r="AJ4310" t="s">
        <v>4655</v>
      </c>
      <c r="AK4310" t="s">
        <v>22900</v>
      </c>
      <c r="AL4310" s="13" t="s">
        <v>1893</v>
      </c>
      <c r="AM4310">
        <v>1</v>
      </c>
      <c r="AN4310" s="15" t="s">
        <v>2907</v>
      </c>
    </row>
    <row r="4311" spans="1:40" x14ac:dyDescent="0.3">
      <c r="A4311" s="10" t="str">
        <f>HYPERLINK("http://www.washoecounty.gov/assessor/cama/?parid=125-521-04&amp;CardNumber=1","125-521-04")</f>
        <v>125-521-04</v>
      </c>
      <c r="B4311" t="s">
        <v>4655</v>
      </c>
      <c r="C4311" t="s">
        <v>22901</v>
      </c>
      <c r="D4311" s="1">
        <v>40357</v>
      </c>
      <c r="E4311" s="2">
        <v>649000</v>
      </c>
      <c r="F4311" t="s">
        <v>3259</v>
      </c>
      <c r="G4311" s="17" t="str">
        <f>HYPERLINK("https://www.washoecounty.gov/assessor/cama/?command=sales&amp;parid=12552104","3895963")</f>
        <v>3895963</v>
      </c>
      <c r="H4311" t="s">
        <v>2832</v>
      </c>
      <c r="I4311">
        <v>1980</v>
      </c>
      <c r="J4311">
        <v>1980</v>
      </c>
      <c r="K4311" t="s">
        <v>4554</v>
      </c>
      <c r="L4311" t="s">
        <v>2170</v>
      </c>
      <c r="M4311" s="2">
        <v>2312</v>
      </c>
      <c r="N4311" t="s">
        <v>3147</v>
      </c>
      <c r="O4311">
        <v>3</v>
      </c>
      <c r="P4311">
        <v>2</v>
      </c>
      <c r="Q4311">
        <v>0</v>
      </c>
      <c r="R4311" t="s">
        <v>4557</v>
      </c>
      <c r="S4311" t="s">
        <v>4135</v>
      </c>
      <c r="T4311" t="s">
        <v>4143</v>
      </c>
      <c r="U4311" t="s">
        <v>5631</v>
      </c>
      <c r="V4311" s="2">
        <v>648</v>
      </c>
      <c r="W4311" t="s">
        <v>4655</v>
      </c>
      <c r="X4311" s="2">
        <v>0</v>
      </c>
      <c r="Y4311">
        <v>20</v>
      </c>
      <c r="Z4311" t="s">
        <v>1776</v>
      </c>
      <c r="AA4311" s="3">
        <v>0.27100551128387501</v>
      </c>
      <c r="AB4311" t="s">
        <v>22902</v>
      </c>
      <c r="AC4311" t="s">
        <v>4575</v>
      </c>
      <c r="AD4311" t="s">
        <v>22903</v>
      </c>
      <c r="AE4311" t="s">
        <v>22904</v>
      </c>
      <c r="AF4311" t="s">
        <v>22905</v>
      </c>
      <c r="AG4311" t="s">
        <v>4584</v>
      </c>
      <c r="AH4311" t="s">
        <v>22906</v>
      </c>
      <c r="AI4311" t="s">
        <v>4655</v>
      </c>
      <c r="AJ4311" t="s">
        <v>4655</v>
      </c>
      <c r="AK4311" t="s">
        <v>22907</v>
      </c>
      <c r="AL4311" s="13" t="s">
        <v>1893</v>
      </c>
      <c r="AM4311">
        <v>1</v>
      </c>
      <c r="AN4311" s="15" t="s">
        <v>2907</v>
      </c>
    </row>
    <row r="4312" spans="1:40" x14ac:dyDescent="0.3">
      <c r="A4312" s="10" t="str">
        <f>HYPERLINK("http://www.washoecounty.gov/assessor/cama/?parid=125-522-09&amp;CardNumber=1","125-522-09")</f>
        <v>125-522-09</v>
      </c>
      <c r="B4312" t="s">
        <v>4655</v>
      </c>
      <c r="C4312" t="s">
        <v>22908</v>
      </c>
      <c r="D4312" s="1">
        <v>40388</v>
      </c>
      <c r="E4312" s="2">
        <v>420000</v>
      </c>
      <c r="F4312" t="s">
        <v>3259</v>
      </c>
      <c r="G4312" s="17" t="str">
        <f>HYPERLINK("https://www.washoecounty.gov/assessor/cama/?command=sales&amp;parid=12552209","3906296")</f>
        <v>3906296</v>
      </c>
      <c r="H4312" t="s">
        <v>2832</v>
      </c>
      <c r="I4312">
        <v>1980</v>
      </c>
      <c r="J4312">
        <v>1980</v>
      </c>
      <c r="K4312" t="s">
        <v>4554</v>
      </c>
      <c r="L4312" t="s">
        <v>4555</v>
      </c>
      <c r="M4312" s="2">
        <v>1208</v>
      </c>
      <c r="N4312" t="s">
        <v>5280</v>
      </c>
      <c r="O4312">
        <v>3</v>
      </c>
      <c r="P4312">
        <v>2</v>
      </c>
      <c r="Q4312">
        <v>0</v>
      </c>
      <c r="R4312" t="s">
        <v>4557</v>
      </c>
      <c r="S4312" t="s">
        <v>4135</v>
      </c>
      <c r="T4312" t="s">
        <v>4559</v>
      </c>
      <c r="U4312" t="s">
        <v>4560</v>
      </c>
      <c r="V4312" s="2">
        <v>292</v>
      </c>
      <c r="W4312" t="s">
        <v>4655</v>
      </c>
      <c r="X4312" s="2">
        <v>0</v>
      </c>
      <c r="Y4312">
        <v>20</v>
      </c>
      <c r="Z4312" t="s">
        <v>1776</v>
      </c>
      <c r="AA4312" s="3">
        <v>0.26000916957855202</v>
      </c>
      <c r="AB4312" t="s">
        <v>22909</v>
      </c>
      <c r="AC4312" t="s">
        <v>4562</v>
      </c>
      <c r="AD4312" t="s">
        <v>22908</v>
      </c>
      <c r="AE4312" t="s">
        <v>4655</v>
      </c>
      <c r="AF4312" t="s">
        <v>4054</v>
      </c>
      <c r="AG4312" t="s">
        <v>4564</v>
      </c>
      <c r="AH4312" t="s">
        <v>5207</v>
      </c>
      <c r="AI4312" t="s">
        <v>22910</v>
      </c>
      <c r="AJ4312" t="s">
        <v>4655</v>
      </c>
      <c r="AK4312" t="s">
        <v>22911</v>
      </c>
      <c r="AL4312" s="13" t="s">
        <v>1893</v>
      </c>
      <c r="AM4312">
        <v>1</v>
      </c>
      <c r="AN4312" s="15" t="s">
        <v>2907</v>
      </c>
    </row>
    <row r="4313" spans="1:40" x14ac:dyDescent="0.3">
      <c r="A4313" s="10" t="str">
        <f>HYPERLINK("http://www.washoecounty.gov/assessor/cama/?parid=125-522-10&amp;CardNumber=1","125-522-10")</f>
        <v>125-522-10</v>
      </c>
      <c r="B4313" t="s">
        <v>4655</v>
      </c>
      <c r="C4313" t="s">
        <v>22912</v>
      </c>
      <c r="D4313" s="1">
        <v>40354</v>
      </c>
      <c r="E4313" s="2">
        <v>555000</v>
      </c>
      <c r="F4313" t="s">
        <v>3259</v>
      </c>
      <c r="G4313" s="17" t="str">
        <f>HYPERLINK("https://www.washoecounty.gov/assessor/cama/?command=sales&amp;parid=12552210","3895208")</f>
        <v>3895208</v>
      </c>
      <c r="H4313" t="s">
        <v>2832</v>
      </c>
      <c r="I4313">
        <v>1979</v>
      </c>
      <c r="J4313">
        <v>1980</v>
      </c>
      <c r="K4313" t="s">
        <v>4554</v>
      </c>
      <c r="L4313" t="s">
        <v>3886</v>
      </c>
      <c r="M4313" s="2">
        <v>1788</v>
      </c>
      <c r="N4313" t="s">
        <v>3147</v>
      </c>
      <c r="O4313">
        <v>3</v>
      </c>
      <c r="P4313">
        <v>2</v>
      </c>
      <c r="Q4313">
        <v>0</v>
      </c>
      <c r="R4313" t="s">
        <v>4557</v>
      </c>
      <c r="S4313" t="s">
        <v>4135</v>
      </c>
      <c r="T4313" t="s">
        <v>4559</v>
      </c>
      <c r="U4313" t="s">
        <v>4655</v>
      </c>
      <c r="V4313" s="2">
        <v>0</v>
      </c>
      <c r="W4313" t="s">
        <v>4655</v>
      </c>
      <c r="X4313" s="2">
        <v>0</v>
      </c>
      <c r="Y4313">
        <v>20</v>
      </c>
      <c r="Z4313" t="s">
        <v>1776</v>
      </c>
      <c r="AA4313" s="3">
        <v>0.28000459074974099</v>
      </c>
      <c r="AB4313" t="s">
        <v>22913</v>
      </c>
      <c r="AC4313" t="s">
        <v>4562</v>
      </c>
      <c r="AD4313" t="s">
        <v>22914</v>
      </c>
      <c r="AE4313" t="s">
        <v>4655</v>
      </c>
      <c r="AF4313" t="s">
        <v>2055</v>
      </c>
      <c r="AG4313" t="s">
        <v>4584</v>
      </c>
      <c r="AH4313" t="s">
        <v>4235</v>
      </c>
      <c r="AI4313" t="s">
        <v>22915</v>
      </c>
      <c r="AJ4313" t="s">
        <v>4655</v>
      </c>
      <c r="AK4313" t="s">
        <v>22916</v>
      </c>
      <c r="AL4313" s="13" t="s">
        <v>1893</v>
      </c>
      <c r="AM4313">
        <v>1</v>
      </c>
      <c r="AN4313" s="15" t="s">
        <v>2907</v>
      </c>
    </row>
    <row r="4314" spans="1:40" x14ac:dyDescent="0.3">
      <c r="A4314" s="10" t="str">
        <f>HYPERLINK("http://www.washoecounty.gov/assessor/cama/?parid=125-544-12&amp;CardNumber=1","125-544-12")</f>
        <v>125-544-12</v>
      </c>
      <c r="B4314" t="s">
        <v>4655</v>
      </c>
      <c r="C4314" t="s">
        <v>22917</v>
      </c>
      <c r="D4314" s="1">
        <v>40256</v>
      </c>
      <c r="E4314" s="2">
        <v>625000</v>
      </c>
      <c r="F4314" t="s">
        <v>3259</v>
      </c>
      <c r="G4314" s="17" t="str">
        <f>HYPERLINK("https://www.washoecounty.gov/assessor/cama/?command=sales&amp;parid=12554412","3861599")</f>
        <v>3861599</v>
      </c>
      <c r="H4314" t="s">
        <v>2832</v>
      </c>
      <c r="I4314">
        <v>1986</v>
      </c>
      <c r="J4314">
        <v>1993</v>
      </c>
      <c r="K4314" t="s">
        <v>4554</v>
      </c>
      <c r="L4314" t="s">
        <v>3974</v>
      </c>
      <c r="M4314" s="2">
        <v>2880</v>
      </c>
      <c r="N4314" t="s">
        <v>5106</v>
      </c>
      <c r="O4314">
        <v>3</v>
      </c>
      <c r="P4314">
        <v>3</v>
      </c>
      <c r="Q4314">
        <v>0</v>
      </c>
      <c r="R4314" t="s">
        <v>4676</v>
      </c>
      <c r="S4314" t="s">
        <v>4135</v>
      </c>
      <c r="T4314" t="s">
        <v>4559</v>
      </c>
      <c r="U4314" t="s">
        <v>5631</v>
      </c>
      <c r="V4314" s="2">
        <v>400</v>
      </c>
      <c r="W4314" t="s">
        <v>4655</v>
      </c>
      <c r="X4314" s="2">
        <v>0</v>
      </c>
      <c r="Y4314">
        <v>20</v>
      </c>
      <c r="Z4314" t="s">
        <v>1776</v>
      </c>
      <c r="AA4314" s="3">
        <v>0.28999081254005399</v>
      </c>
      <c r="AB4314" t="s">
        <v>22918</v>
      </c>
      <c r="AC4314" t="s">
        <v>4575</v>
      </c>
      <c r="AD4314" t="s">
        <v>22919</v>
      </c>
      <c r="AE4314" t="s">
        <v>4655</v>
      </c>
      <c r="AF4314" t="s">
        <v>3680</v>
      </c>
      <c r="AG4314" t="s">
        <v>4584</v>
      </c>
      <c r="AH4314">
        <v>95033</v>
      </c>
      <c r="AI4314" t="s">
        <v>22920</v>
      </c>
      <c r="AJ4314" t="s">
        <v>4655</v>
      </c>
      <c r="AK4314" t="s">
        <v>22921</v>
      </c>
      <c r="AL4314" s="13" t="s">
        <v>1893</v>
      </c>
      <c r="AM4314" s="14">
        <v>1</v>
      </c>
      <c r="AN4314" s="15" t="s">
        <v>2907</v>
      </c>
    </row>
    <row r="4315" spans="1:40" x14ac:dyDescent="0.3">
      <c r="A4315" s="10" t="str">
        <f>HYPERLINK("http://www.washoecounty.gov/assessor/cama/?parid=125-564-27&amp;CardNumber=1","125-564-27")</f>
        <v>125-564-27</v>
      </c>
      <c r="B4315" t="s">
        <v>4655</v>
      </c>
      <c r="C4315" t="s">
        <v>22922</v>
      </c>
      <c r="D4315" s="1">
        <v>40421</v>
      </c>
      <c r="E4315" s="2">
        <v>565000</v>
      </c>
      <c r="F4315" t="s">
        <v>3259</v>
      </c>
      <c r="G4315" s="17" t="str">
        <f>HYPERLINK("https://www.washoecounty.gov/assessor/cama/?command=sales&amp;parid=12556427","3917477")</f>
        <v>3917477</v>
      </c>
      <c r="H4315" t="s">
        <v>2832</v>
      </c>
      <c r="I4315">
        <v>1980</v>
      </c>
      <c r="J4315">
        <v>1980</v>
      </c>
      <c r="K4315" t="s">
        <v>4554</v>
      </c>
      <c r="L4315" t="s">
        <v>22923</v>
      </c>
      <c r="M4315" s="2">
        <v>2016</v>
      </c>
      <c r="N4315" t="s">
        <v>3147</v>
      </c>
      <c r="O4315">
        <v>2</v>
      </c>
      <c r="P4315">
        <v>2</v>
      </c>
      <c r="Q4315">
        <v>1</v>
      </c>
      <c r="R4315" t="s">
        <v>411</v>
      </c>
      <c r="S4315" t="s">
        <v>3148</v>
      </c>
      <c r="T4315" t="s">
        <v>3888</v>
      </c>
      <c r="U4315" t="s">
        <v>4560</v>
      </c>
      <c r="V4315" s="2">
        <v>400</v>
      </c>
      <c r="W4315" t="s">
        <v>4655</v>
      </c>
      <c r="X4315" s="2">
        <v>0</v>
      </c>
      <c r="Y4315">
        <v>20</v>
      </c>
      <c r="Z4315" t="s">
        <v>1776</v>
      </c>
      <c r="AA4315" s="3">
        <v>0.339990824460983</v>
      </c>
      <c r="AB4315" t="s">
        <v>22924</v>
      </c>
      <c r="AC4315" t="s">
        <v>4562</v>
      </c>
      <c r="AD4315" t="s">
        <v>22922</v>
      </c>
      <c r="AE4315" t="s">
        <v>4655</v>
      </c>
      <c r="AF4315" t="s">
        <v>5206</v>
      </c>
      <c r="AG4315" t="s">
        <v>4564</v>
      </c>
      <c r="AH4315" t="s">
        <v>5207</v>
      </c>
      <c r="AI4315" t="s">
        <v>22925</v>
      </c>
      <c r="AJ4315" t="s">
        <v>4655</v>
      </c>
      <c r="AK4315" t="s">
        <v>22926</v>
      </c>
      <c r="AL4315" s="13" t="s">
        <v>1893</v>
      </c>
      <c r="AM4315" s="14">
        <v>1</v>
      </c>
      <c r="AN4315" s="15" t="s">
        <v>2907</v>
      </c>
    </row>
    <row r="4316" spans="1:40" x14ac:dyDescent="0.3">
      <c r="A4316" s="10" t="str">
        <f>HYPERLINK("http://www.washoecounty.gov/assessor/cama/?parid=126-081-18&amp;CardNumber=1","126-081-18")</f>
        <v>126-081-18</v>
      </c>
      <c r="B4316" t="s">
        <v>4655</v>
      </c>
      <c r="C4316" t="s">
        <v>22927</v>
      </c>
      <c r="D4316" s="1">
        <v>40226</v>
      </c>
      <c r="E4316" s="2">
        <v>657000</v>
      </c>
      <c r="F4316" t="s">
        <v>4553</v>
      </c>
      <c r="G4316" s="17" t="str">
        <f>HYPERLINK("https://www.washoecounty.gov/assessor/cama/?command=sales&amp;parid=12608118","3850097")</f>
        <v>3850097</v>
      </c>
      <c r="H4316" t="s">
        <v>4386</v>
      </c>
      <c r="I4316">
        <v>1993</v>
      </c>
      <c r="J4316">
        <v>1993</v>
      </c>
      <c r="K4316" t="s">
        <v>4554</v>
      </c>
      <c r="L4316" t="s">
        <v>2170</v>
      </c>
      <c r="M4316" s="2">
        <v>3360</v>
      </c>
      <c r="N4316" t="s">
        <v>1245</v>
      </c>
      <c r="O4316">
        <v>4</v>
      </c>
      <c r="P4316">
        <v>3</v>
      </c>
      <c r="Q4316">
        <v>0</v>
      </c>
      <c r="R4316" t="s">
        <v>4557</v>
      </c>
      <c r="S4316" t="s">
        <v>4135</v>
      </c>
      <c r="T4316" t="s">
        <v>4559</v>
      </c>
      <c r="U4316" t="s">
        <v>5631</v>
      </c>
      <c r="V4316" s="2">
        <v>400</v>
      </c>
      <c r="W4316" t="s">
        <v>4655</v>
      </c>
      <c r="X4316" s="2">
        <v>0</v>
      </c>
      <c r="Y4316">
        <v>21</v>
      </c>
      <c r="Z4316" t="s">
        <v>5508</v>
      </c>
      <c r="AA4316" s="3">
        <v>0.10000000149011599</v>
      </c>
      <c r="AB4316" t="s">
        <v>22928</v>
      </c>
      <c r="AC4316" t="s">
        <v>4575</v>
      </c>
      <c r="AD4316" t="s">
        <v>22927</v>
      </c>
      <c r="AE4316" t="s">
        <v>4655</v>
      </c>
      <c r="AF4316" t="s">
        <v>5206</v>
      </c>
      <c r="AG4316" t="s">
        <v>4564</v>
      </c>
      <c r="AH4316" t="s">
        <v>5207</v>
      </c>
      <c r="AI4316" t="s">
        <v>22929</v>
      </c>
      <c r="AJ4316" t="s">
        <v>4655</v>
      </c>
      <c r="AK4316" t="s">
        <v>22930</v>
      </c>
      <c r="AL4316" s="13" t="s">
        <v>1893</v>
      </c>
      <c r="AM4316">
        <v>1</v>
      </c>
      <c r="AN4316" s="15" t="s">
        <v>4067</v>
      </c>
    </row>
    <row r="4317" spans="1:40" x14ac:dyDescent="0.3">
      <c r="A4317" s="10" t="str">
        <f>HYPERLINK("http://www.washoecounty.gov/assessor/cama/?parid=126-081-33&amp;CardNumber=1","126-081-33")</f>
        <v>126-081-33</v>
      </c>
      <c r="B4317" t="s">
        <v>4655</v>
      </c>
      <c r="C4317" t="s">
        <v>22931</v>
      </c>
      <c r="D4317" s="1">
        <v>40214</v>
      </c>
      <c r="E4317" s="2">
        <v>400000</v>
      </c>
      <c r="F4317" t="s">
        <v>4567</v>
      </c>
      <c r="G4317" s="17" t="str">
        <f>HYPERLINK("https://www.washoecounty.gov/assessor/cama/?command=sales&amp;parid=12608133","3846496")</f>
        <v>3846496</v>
      </c>
      <c r="H4317" t="s">
        <v>4386</v>
      </c>
      <c r="I4317">
        <v>1972</v>
      </c>
      <c r="J4317">
        <v>1979</v>
      </c>
      <c r="K4317" t="s">
        <v>4554</v>
      </c>
      <c r="L4317" t="s">
        <v>3974</v>
      </c>
      <c r="M4317" s="2">
        <v>1440</v>
      </c>
      <c r="N4317" t="s">
        <v>5280</v>
      </c>
      <c r="O4317">
        <v>3</v>
      </c>
      <c r="P4317">
        <v>2</v>
      </c>
      <c r="Q4317">
        <v>1</v>
      </c>
      <c r="R4317" t="s">
        <v>4557</v>
      </c>
      <c r="S4317" t="s">
        <v>4135</v>
      </c>
      <c r="T4317" t="s">
        <v>4143</v>
      </c>
      <c r="U4317" t="s">
        <v>4655</v>
      </c>
      <c r="V4317" s="2">
        <v>0</v>
      </c>
      <c r="W4317" t="s">
        <v>4655</v>
      </c>
      <c r="X4317" s="2">
        <v>0</v>
      </c>
      <c r="Y4317">
        <v>21</v>
      </c>
      <c r="Z4317" t="s">
        <v>5508</v>
      </c>
      <c r="AA4317" s="3">
        <v>1.00000004749745E-3</v>
      </c>
      <c r="AB4317" t="s">
        <v>22932</v>
      </c>
      <c r="AC4317" t="s">
        <v>4562</v>
      </c>
      <c r="AD4317" t="s">
        <v>22933</v>
      </c>
      <c r="AE4317" t="s">
        <v>4655</v>
      </c>
      <c r="AF4317" t="s">
        <v>5206</v>
      </c>
      <c r="AG4317" t="s">
        <v>4564</v>
      </c>
      <c r="AH4317" t="s">
        <v>5207</v>
      </c>
      <c r="AI4317" t="s">
        <v>22934</v>
      </c>
      <c r="AJ4317" t="s">
        <v>4655</v>
      </c>
      <c r="AK4317" t="s">
        <v>22935</v>
      </c>
      <c r="AL4317" s="13" t="s">
        <v>1893</v>
      </c>
      <c r="AM4317">
        <v>1</v>
      </c>
      <c r="AN4317" s="15" t="s">
        <v>4067</v>
      </c>
    </row>
    <row r="4318" spans="1:40" x14ac:dyDescent="0.3">
      <c r="A4318" s="10" t="str">
        <f>HYPERLINK("http://www.washoecounty.gov/assessor/cama/?parid=126-082-23&amp;CardNumber=1","126-082-23")</f>
        <v>126-082-23</v>
      </c>
      <c r="B4318" t="s">
        <v>4655</v>
      </c>
      <c r="C4318" t="s">
        <v>22936</v>
      </c>
      <c r="D4318" s="1">
        <v>40402</v>
      </c>
      <c r="E4318" s="2">
        <v>695000</v>
      </c>
      <c r="F4318" t="s">
        <v>4567</v>
      </c>
      <c r="G4318" s="17" t="str">
        <f>HYPERLINK("https://www.washoecounty.gov/assessor/cama/?command=sales&amp;parid=12608223","3911168")</f>
        <v>3911168</v>
      </c>
      <c r="H4318" t="s">
        <v>4386</v>
      </c>
      <c r="I4318">
        <v>1988</v>
      </c>
      <c r="J4318">
        <v>1988</v>
      </c>
      <c r="K4318" t="s">
        <v>4554</v>
      </c>
      <c r="L4318" t="s">
        <v>3044</v>
      </c>
      <c r="M4318" s="2">
        <v>2770</v>
      </c>
      <c r="N4318" t="s">
        <v>1245</v>
      </c>
      <c r="O4318">
        <v>3</v>
      </c>
      <c r="P4318">
        <v>3</v>
      </c>
      <c r="Q4318">
        <v>0</v>
      </c>
      <c r="R4318" t="s">
        <v>5205</v>
      </c>
      <c r="S4318" t="s">
        <v>4898</v>
      </c>
      <c r="T4318" t="s">
        <v>4143</v>
      </c>
      <c r="U4318" t="s">
        <v>5631</v>
      </c>
      <c r="V4318" s="2">
        <v>504</v>
      </c>
      <c r="W4318" t="s">
        <v>4655</v>
      </c>
      <c r="X4318" s="2">
        <v>0</v>
      </c>
      <c r="Y4318">
        <v>21</v>
      </c>
      <c r="Z4318" t="s">
        <v>5508</v>
      </c>
      <c r="AA4318" s="3">
        <v>0.10000000149011599</v>
      </c>
      <c r="AB4318" t="s">
        <v>22937</v>
      </c>
      <c r="AC4318" t="s">
        <v>4575</v>
      </c>
      <c r="AD4318" t="s">
        <v>22938</v>
      </c>
      <c r="AE4318" t="s">
        <v>4655</v>
      </c>
      <c r="AF4318" t="s">
        <v>1661</v>
      </c>
      <c r="AG4318" t="s">
        <v>4584</v>
      </c>
      <c r="AH4318" t="s">
        <v>22939</v>
      </c>
      <c r="AI4318" t="s">
        <v>22940</v>
      </c>
      <c r="AJ4318" t="s">
        <v>4655</v>
      </c>
      <c r="AK4318" t="s">
        <v>22941</v>
      </c>
      <c r="AL4318" s="13" t="s">
        <v>1893</v>
      </c>
      <c r="AM4318">
        <v>1</v>
      </c>
      <c r="AN4318" s="15" t="s">
        <v>4067</v>
      </c>
    </row>
    <row r="4319" spans="1:40" x14ac:dyDescent="0.3">
      <c r="A4319" s="10" t="str">
        <f>HYPERLINK("http://www.washoecounty.gov/assessor/cama/?parid=126-090-04&amp;CardNumber=1","126-090-04")</f>
        <v>126-090-04</v>
      </c>
      <c r="B4319" t="s">
        <v>4655</v>
      </c>
      <c r="D4319" s="1">
        <v>40260</v>
      </c>
      <c r="E4319" s="2">
        <v>289000</v>
      </c>
      <c r="F4319" t="s">
        <v>4567</v>
      </c>
      <c r="G4319" s="17" t="str">
        <f>HYPERLINK("https://www.washoecounty.gov/assessor/cama/?command=sales&amp;parid=01044219","NOT AVAILABLE ")</f>
        <v xml:space="preserve">NOT AVAILABLE </v>
      </c>
      <c r="H4319" t="s">
        <v>1309</v>
      </c>
      <c r="I4319">
        <v>1969</v>
      </c>
      <c r="J4319">
        <v>1969</v>
      </c>
      <c r="K4319" t="s">
        <v>4897</v>
      </c>
      <c r="L4319" t="s">
        <v>3974</v>
      </c>
      <c r="M4319" s="2">
        <v>1280</v>
      </c>
      <c r="N4319" t="s">
        <v>5280</v>
      </c>
      <c r="O4319">
        <v>3</v>
      </c>
      <c r="P4319">
        <v>2</v>
      </c>
      <c r="Q4319">
        <v>1</v>
      </c>
      <c r="R4319" t="s">
        <v>4557</v>
      </c>
      <c r="S4319" t="s">
        <v>4135</v>
      </c>
      <c r="T4319" t="s">
        <v>4559</v>
      </c>
      <c r="U4319" t="s">
        <v>4655</v>
      </c>
      <c r="V4319" s="2">
        <v>0</v>
      </c>
      <c r="W4319" t="s">
        <v>4655</v>
      </c>
      <c r="X4319" s="2">
        <v>0</v>
      </c>
      <c r="Y4319">
        <v>21</v>
      </c>
      <c r="Z4319" t="s">
        <v>1776</v>
      </c>
      <c r="AA4319" s="3">
        <v>1.00000004749745E-3</v>
      </c>
      <c r="AB4319" t="s">
        <v>8865</v>
      </c>
      <c r="AC4319" t="s">
        <v>4562</v>
      </c>
      <c r="AD4319" t="s">
        <v>283</v>
      </c>
      <c r="AE4319" t="s">
        <v>283</v>
      </c>
      <c r="AF4319" t="s">
        <v>283</v>
      </c>
      <c r="AG4319" t="s">
        <v>4564</v>
      </c>
      <c r="AH4319" t="s">
        <v>3101</v>
      </c>
      <c r="AI4319" t="s">
        <v>8865</v>
      </c>
      <c r="AJ4319" t="s">
        <v>4655</v>
      </c>
      <c r="AK4319" t="s">
        <v>8865</v>
      </c>
      <c r="AL4319" s="13" t="s">
        <v>1893</v>
      </c>
      <c r="AM4319">
        <v>1</v>
      </c>
      <c r="AN4319" s="15" t="s">
        <v>4622</v>
      </c>
    </row>
    <row r="4320" spans="1:40" x14ac:dyDescent="0.3">
      <c r="A4320" s="10" t="str">
        <f>HYPERLINK("http://www.washoecounty.gov/assessor/cama/?parid=126-090-18&amp;CardNumber=1","126-090-18")</f>
        <v>126-090-18</v>
      </c>
      <c r="B4320" t="s">
        <v>4655</v>
      </c>
      <c r="C4320" t="s">
        <v>5165</v>
      </c>
      <c r="D4320" s="1">
        <v>40347</v>
      </c>
      <c r="E4320" s="2">
        <v>205000</v>
      </c>
      <c r="F4320" t="s">
        <v>4553</v>
      </c>
      <c r="G4320" s="17" t="str">
        <f>HYPERLINK("https://www.washoecounty.gov/assessor/cama/?command=sales&amp;parid=12609018","3893518")</f>
        <v>3893518</v>
      </c>
      <c r="H4320" t="s">
        <v>1309</v>
      </c>
      <c r="I4320">
        <v>1969</v>
      </c>
      <c r="J4320">
        <v>1969</v>
      </c>
      <c r="K4320" t="s">
        <v>4897</v>
      </c>
      <c r="L4320" t="s">
        <v>3974</v>
      </c>
      <c r="M4320" s="2">
        <v>1280</v>
      </c>
      <c r="N4320" t="s">
        <v>5280</v>
      </c>
      <c r="O4320">
        <v>3</v>
      </c>
      <c r="P4320">
        <v>2</v>
      </c>
      <c r="Q4320">
        <v>1</v>
      </c>
      <c r="R4320" t="s">
        <v>4676</v>
      </c>
      <c r="S4320" t="s">
        <v>4135</v>
      </c>
      <c r="T4320" t="s">
        <v>4559</v>
      </c>
      <c r="U4320" t="s">
        <v>4655</v>
      </c>
      <c r="V4320" s="2">
        <v>0</v>
      </c>
      <c r="W4320" t="s">
        <v>4655</v>
      </c>
      <c r="X4320" s="2">
        <v>0</v>
      </c>
      <c r="Y4320">
        <v>21</v>
      </c>
      <c r="Z4320" t="s">
        <v>1776</v>
      </c>
      <c r="AA4320" s="3">
        <v>1.00000004749745E-3</v>
      </c>
      <c r="AB4320" t="s">
        <v>22942</v>
      </c>
      <c r="AC4320" t="s">
        <v>4562</v>
      </c>
      <c r="AD4320" t="s">
        <v>22943</v>
      </c>
      <c r="AE4320" t="s">
        <v>4655</v>
      </c>
      <c r="AF4320" t="s">
        <v>2484</v>
      </c>
      <c r="AG4320" t="s">
        <v>4584</v>
      </c>
      <c r="AH4320" t="s">
        <v>2485</v>
      </c>
      <c r="AI4320" t="s">
        <v>4045</v>
      </c>
      <c r="AJ4320" t="s">
        <v>4655</v>
      </c>
      <c r="AK4320" t="s">
        <v>22944</v>
      </c>
      <c r="AL4320" s="13" t="s">
        <v>1893</v>
      </c>
      <c r="AM4320">
        <v>1</v>
      </c>
      <c r="AN4320" s="15" t="s">
        <v>4622</v>
      </c>
    </row>
    <row r="4321" spans="1:40" x14ac:dyDescent="0.3">
      <c r="A4321" s="10" t="str">
        <f>HYPERLINK("http://www.washoecounty.gov/assessor/cama/?parid=126-090-19&amp;CardNumber=1","126-090-19")</f>
        <v>126-090-19</v>
      </c>
      <c r="B4321" t="s">
        <v>4655</v>
      </c>
      <c r="C4321" t="s">
        <v>5165</v>
      </c>
      <c r="D4321" s="1">
        <v>40210</v>
      </c>
      <c r="E4321" s="2">
        <v>235000</v>
      </c>
      <c r="F4321" t="s">
        <v>4567</v>
      </c>
      <c r="G4321" s="17" t="str">
        <f>HYPERLINK("https://www.washoecounty.gov/assessor/cama/?command=sales&amp;parid=12609019","3844616")</f>
        <v>3844616</v>
      </c>
      <c r="H4321" t="s">
        <v>22945</v>
      </c>
      <c r="I4321">
        <v>1969</v>
      </c>
      <c r="J4321">
        <v>1969</v>
      </c>
      <c r="K4321" t="s">
        <v>4897</v>
      </c>
      <c r="L4321" t="s">
        <v>3974</v>
      </c>
      <c r="M4321" s="2">
        <v>1280</v>
      </c>
      <c r="N4321" t="s">
        <v>5280</v>
      </c>
      <c r="O4321">
        <v>3</v>
      </c>
      <c r="P4321">
        <v>2</v>
      </c>
      <c r="Q4321">
        <v>1</v>
      </c>
      <c r="R4321" t="s">
        <v>4676</v>
      </c>
      <c r="S4321" t="s">
        <v>4135</v>
      </c>
      <c r="T4321" t="s">
        <v>4559</v>
      </c>
      <c r="U4321" t="s">
        <v>4655</v>
      </c>
      <c r="V4321" s="2">
        <v>0</v>
      </c>
      <c r="W4321" t="s">
        <v>4655</v>
      </c>
      <c r="X4321" s="2">
        <v>0</v>
      </c>
      <c r="Y4321">
        <v>21</v>
      </c>
      <c r="Z4321" t="s">
        <v>1776</v>
      </c>
      <c r="AA4321" s="3">
        <v>1.00000004749745E-3</v>
      </c>
      <c r="AB4321" t="s">
        <v>22946</v>
      </c>
      <c r="AC4321" t="s">
        <v>4575</v>
      </c>
      <c r="AD4321" t="s">
        <v>22947</v>
      </c>
      <c r="AE4321" t="s">
        <v>4655</v>
      </c>
      <c r="AF4321" t="s">
        <v>9388</v>
      </c>
      <c r="AG4321" t="s">
        <v>4584</v>
      </c>
      <c r="AH4321">
        <v>95608</v>
      </c>
      <c r="AI4321" t="s">
        <v>22948</v>
      </c>
      <c r="AJ4321" t="s">
        <v>4655</v>
      </c>
      <c r="AK4321" t="s">
        <v>22949</v>
      </c>
      <c r="AL4321" s="13" t="s">
        <v>1893</v>
      </c>
      <c r="AM4321">
        <v>1</v>
      </c>
      <c r="AN4321" s="15" t="s">
        <v>4622</v>
      </c>
    </row>
    <row r="4322" spans="1:40" x14ac:dyDescent="0.3">
      <c r="A4322" s="10" t="str">
        <f>HYPERLINK("http://www.washoecounty.gov/assessor/cama/?parid=126-110-10&amp;CardNumber=1","126-110-10")</f>
        <v>126-110-10</v>
      </c>
      <c r="B4322" t="s">
        <v>4655</v>
      </c>
      <c r="C4322" t="s">
        <v>5165</v>
      </c>
      <c r="D4322" s="1">
        <v>40375</v>
      </c>
      <c r="E4322" s="2">
        <v>194250</v>
      </c>
      <c r="F4322" t="s">
        <v>4553</v>
      </c>
      <c r="G4322" s="17" t="str">
        <f>HYPERLINK("https://www.washoecounty.gov/assessor/cama/?command=sales&amp;parid=12611010","3902121")</f>
        <v>3902121</v>
      </c>
      <c r="H4322" t="s">
        <v>22950</v>
      </c>
      <c r="I4322">
        <v>1970</v>
      </c>
      <c r="J4322">
        <v>1970</v>
      </c>
      <c r="K4322" t="s">
        <v>3144</v>
      </c>
      <c r="L4322" t="s">
        <v>3974</v>
      </c>
      <c r="M4322" s="2">
        <v>1360</v>
      </c>
      <c r="N4322" t="s">
        <v>5280</v>
      </c>
      <c r="O4322">
        <v>3</v>
      </c>
      <c r="P4322">
        <v>2</v>
      </c>
      <c r="Q4322">
        <v>1</v>
      </c>
      <c r="R4322" t="s">
        <v>4676</v>
      </c>
      <c r="S4322" t="s">
        <v>4135</v>
      </c>
      <c r="T4322" t="s">
        <v>4143</v>
      </c>
      <c r="U4322" t="s">
        <v>4655</v>
      </c>
      <c r="V4322" s="2">
        <v>0</v>
      </c>
      <c r="W4322" t="s">
        <v>4655</v>
      </c>
      <c r="X4322" s="2">
        <v>0</v>
      </c>
      <c r="Y4322">
        <v>21</v>
      </c>
      <c r="Z4322" t="s">
        <v>1776</v>
      </c>
      <c r="AA4322" s="3">
        <v>1.00000004749745E-3</v>
      </c>
      <c r="AB4322" t="s">
        <v>22951</v>
      </c>
      <c r="AC4322" t="s">
        <v>4562</v>
      </c>
      <c r="AD4322" t="s">
        <v>22952</v>
      </c>
      <c r="AE4322" t="s">
        <v>4655</v>
      </c>
      <c r="AF4322" t="s">
        <v>22953</v>
      </c>
      <c r="AG4322" t="s">
        <v>4584</v>
      </c>
      <c r="AH4322" t="s">
        <v>22954</v>
      </c>
      <c r="AI4322" t="s">
        <v>4903</v>
      </c>
      <c r="AJ4322" t="s">
        <v>4655</v>
      </c>
      <c r="AK4322" t="s">
        <v>22955</v>
      </c>
      <c r="AL4322" s="13" t="s">
        <v>1893</v>
      </c>
      <c r="AM4322">
        <v>1</v>
      </c>
      <c r="AN4322" s="15" t="s">
        <v>4622</v>
      </c>
    </row>
    <row r="4323" spans="1:40" x14ac:dyDescent="0.3">
      <c r="A4323" s="10" t="str">
        <f>HYPERLINK("http://www.washoecounty.gov/assessor/cama/?parid=126-141-09&amp;CardNumber=1","126-141-09")</f>
        <v>126-141-09</v>
      </c>
      <c r="B4323" t="s">
        <v>4655</v>
      </c>
      <c r="C4323" t="s">
        <v>5165</v>
      </c>
      <c r="D4323" s="1">
        <v>40512</v>
      </c>
      <c r="E4323" s="2">
        <v>179000</v>
      </c>
      <c r="F4323" t="s">
        <v>4553</v>
      </c>
      <c r="G4323" s="17" t="str">
        <f>HYPERLINK("https://www.washoecounty.gov/assessor/cama/?command=sales&amp;parid=12614109","3947560")</f>
        <v>3947560</v>
      </c>
      <c r="H4323" t="s">
        <v>22956</v>
      </c>
      <c r="I4323">
        <v>1971</v>
      </c>
      <c r="J4323">
        <v>1971</v>
      </c>
      <c r="K4323" t="s">
        <v>3144</v>
      </c>
      <c r="L4323" t="s">
        <v>3974</v>
      </c>
      <c r="M4323" s="2">
        <v>1360</v>
      </c>
      <c r="N4323" t="s">
        <v>5280</v>
      </c>
      <c r="O4323">
        <v>3</v>
      </c>
      <c r="P4323">
        <v>2</v>
      </c>
      <c r="Q4323">
        <v>1</v>
      </c>
      <c r="R4323" t="s">
        <v>4676</v>
      </c>
      <c r="S4323" t="s">
        <v>4135</v>
      </c>
      <c r="T4323" t="s">
        <v>4143</v>
      </c>
      <c r="U4323" t="s">
        <v>4655</v>
      </c>
      <c r="V4323" s="2">
        <v>0</v>
      </c>
      <c r="W4323" t="s">
        <v>4655</v>
      </c>
      <c r="X4323" s="2">
        <v>0</v>
      </c>
      <c r="Y4323">
        <v>21</v>
      </c>
      <c r="Z4323" t="s">
        <v>1776</v>
      </c>
      <c r="AA4323" s="3">
        <v>1.00000004749745E-3</v>
      </c>
      <c r="AB4323" t="s">
        <v>22957</v>
      </c>
      <c r="AC4323" t="s">
        <v>4575</v>
      </c>
      <c r="AD4323" t="s">
        <v>22958</v>
      </c>
      <c r="AE4323" t="s">
        <v>4655</v>
      </c>
      <c r="AF4323" t="s">
        <v>5175</v>
      </c>
      <c r="AG4323" t="s">
        <v>4584</v>
      </c>
      <c r="AH4323">
        <v>94010</v>
      </c>
      <c r="AI4323" t="s">
        <v>5203</v>
      </c>
      <c r="AJ4323" t="s">
        <v>4655</v>
      </c>
      <c r="AK4323" t="s">
        <v>22959</v>
      </c>
      <c r="AL4323" s="13" t="s">
        <v>1893</v>
      </c>
      <c r="AM4323">
        <v>1</v>
      </c>
      <c r="AN4323" s="15" t="s">
        <v>4622</v>
      </c>
    </row>
    <row r="4324" spans="1:40" x14ac:dyDescent="0.3">
      <c r="A4324" s="10" t="str">
        <f>HYPERLINK("http://www.washoecounty.gov/assessor/cama/?parid=126-141-11&amp;CardNumber=1","126-141-11")</f>
        <v>126-141-11</v>
      </c>
      <c r="B4324" t="s">
        <v>4655</v>
      </c>
      <c r="C4324" t="s">
        <v>5165</v>
      </c>
      <c r="D4324" s="1">
        <v>40214</v>
      </c>
      <c r="E4324" s="2">
        <v>375000</v>
      </c>
      <c r="F4324" t="s">
        <v>4567</v>
      </c>
      <c r="G4324" s="17" t="str">
        <f>HYPERLINK("https://www.washoecounty.gov/assessor/cama/?command=sales&amp;parid=12614111","3846524")</f>
        <v>3846524</v>
      </c>
      <c r="H4324" t="s">
        <v>22960</v>
      </c>
      <c r="I4324">
        <v>1971</v>
      </c>
      <c r="J4324">
        <v>1971</v>
      </c>
      <c r="K4324" t="s">
        <v>3144</v>
      </c>
      <c r="L4324" t="s">
        <v>3974</v>
      </c>
      <c r="M4324" s="2">
        <v>1360</v>
      </c>
      <c r="N4324" t="s">
        <v>5280</v>
      </c>
      <c r="O4324">
        <v>3</v>
      </c>
      <c r="P4324">
        <v>2</v>
      </c>
      <c r="Q4324">
        <v>1</v>
      </c>
      <c r="R4324" t="s">
        <v>4676</v>
      </c>
      <c r="S4324" t="s">
        <v>4135</v>
      </c>
      <c r="T4324" t="s">
        <v>4143</v>
      </c>
      <c r="U4324" t="s">
        <v>4655</v>
      </c>
      <c r="V4324" s="2">
        <v>0</v>
      </c>
      <c r="W4324" t="s">
        <v>4655</v>
      </c>
      <c r="X4324" s="2">
        <v>0</v>
      </c>
      <c r="Y4324">
        <v>21</v>
      </c>
      <c r="Z4324" t="s">
        <v>1776</v>
      </c>
      <c r="AA4324" s="3">
        <v>1.00000004749745E-3</v>
      </c>
      <c r="AB4324" t="s">
        <v>22961</v>
      </c>
      <c r="AC4324" t="s">
        <v>4562</v>
      </c>
      <c r="AD4324" t="s">
        <v>22962</v>
      </c>
      <c r="AE4324" t="s">
        <v>4655</v>
      </c>
      <c r="AF4324" t="s">
        <v>22963</v>
      </c>
      <c r="AG4324" t="s">
        <v>4584</v>
      </c>
      <c r="AH4324">
        <v>98604</v>
      </c>
      <c r="AI4324" t="s">
        <v>22964</v>
      </c>
      <c r="AJ4324" t="s">
        <v>4655</v>
      </c>
      <c r="AK4324" t="s">
        <v>22965</v>
      </c>
      <c r="AL4324" s="13" t="s">
        <v>1893</v>
      </c>
      <c r="AM4324">
        <v>1</v>
      </c>
      <c r="AN4324" s="15" t="s">
        <v>4622</v>
      </c>
    </row>
    <row r="4325" spans="1:40" x14ac:dyDescent="0.3">
      <c r="A4325" s="10" t="str">
        <f>HYPERLINK("http://www.washoecounty.gov/assessor/cama/?parid=126-142-16&amp;CardNumber=1","126-142-16")</f>
        <v>126-142-16</v>
      </c>
      <c r="B4325" t="s">
        <v>4655</v>
      </c>
      <c r="C4325" t="s">
        <v>5165</v>
      </c>
      <c r="D4325" s="1">
        <v>40407</v>
      </c>
      <c r="E4325" s="2">
        <v>205000</v>
      </c>
      <c r="F4325" t="s">
        <v>4553</v>
      </c>
      <c r="G4325" s="17" t="str">
        <f>HYPERLINK("https://www.washoecounty.gov/assessor/cama/?command=sales&amp;parid=12614216","3912789")</f>
        <v>3912789</v>
      </c>
      <c r="H4325" t="s">
        <v>22960</v>
      </c>
      <c r="I4325">
        <v>1971</v>
      </c>
      <c r="J4325">
        <v>1971</v>
      </c>
      <c r="K4325" t="s">
        <v>4897</v>
      </c>
      <c r="L4325" t="s">
        <v>3974</v>
      </c>
      <c r="M4325" s="2">
        <v>1360</v>
      </c>
      <c r="N4325" t="s">
        <v>5280</v>
      </c>
      <c r="O4325">
        <v>3</v>
      </c>
      <c r="P4325">
        <v>2</v>
      </c>
      <c r="Q4325">
        <v>1</v>
      </c>
      <c r="R4325" t="s">
        <v>4676</v>
      </c>
      <c r="S4325" t="s">
        <v>4135</v>
      </c>
      <c r="T4325" t="s">
        <v>4143</v>
      </c>
      <c r="U4325" t="s">
        <v>4655</v>
      </c>
      <c r="V4325" s="2">
        <v>0</v>
      </c>
      <c r="W4325" t="s">
        <v>4655</v>
      </c>
      <c r="X4325" s="2">
        <v>0</v>
      </c>
      <c r="Y4325">
        <v>21</v>
      </c>
      <c r="Z4325" t="s">
        <v>1776</v>
      </c>
      <c r="AA4325" s="3">
        <v>1.00000004749745E-3</v>
      </c>
      <c r="AB4325" t="s">
        <v>22966</v>
      </c>
      <c r="AC4325" t="s">
        <v>4575</v>
      </c>
      <c r="AD4325" t="s">
        <v>22967</v>
      </c>
      <c r="AE4325" t="s">
        <v>4655</v>
      </c>
      <c r="AF4325" t="s">
        <v>23</v>
      </c>
      <c r="AG4325" t="s">
        <v>4584</v>
      </c>
      <c r="AH4325">
        <v>95120</v>
      </c>
      <c r="AI4325" t="s">
        <v>687</v>
      </c>
      <c r="AJ4325" t="s">
        <v>4655</v>
      </c>
      <c r="AK4325" t="s">
        <v>22968</v>
      </c>
      <c r="AL4325" s="13" t="s">
        <v>1893</v>
      </c>
      <c r="AM4325" s="14">
        <v>1</v>
      </c>
      <c r="AN4325" s="15" t="s">
        <v>4622</v>
      </c>
    </row>
    <row r="4326" spans="1:40" x14ac:dyDescent="0.3">
      <c r="A4326" s="10" t="str">
        <f>HYPERLINK("http://www.washoecounty.gov/assessor/cama/?parid=126-151-12&amp;CardNumber=1","126-151-12")</f>
        <v>126-151-12</v>
      </c>
      <c r="B4326" t="s">
        <v>4655</v>
      </c>
      <c r="C4326" t="s">
        <v>5165</v>
      </c>
      <c r="D4326" s="1">
        <v>40471</v>
      </c>
      <c r="E4326" s="2">
        <v>286900</v>
      </c>
      <c r="F4326" t="s">
        <v>4553</v>
      </c>
      <c r="G4326" s="17" t="str">
        <f>HYPERLINK("https://www.washoecounty.gov/assessor/cama/?command=sales&amp;parid=12615112","3934901")</f>
        <v>3934901</v>
      </c>
      <c r="H4326" t="s">
        <v>22969</v>
      </c>
      <c r="I4326">
        <v>1971</v>
      </c>
      <c r="J4326">
        <v>1971</v>
      </c>
      <c r="K4326" t="s">
        <v>3144</v>
      </c>
      <c r="L4326" t="s">
        <v>3974</v>
      </c>
      <c r="M4326" s="2">
        <v>1782</v>
      </c>
      <c r="N4326" t="s">
        <v>5280</v>
      </c>
      <c r="O4326">
        <v>4</v>
      </c>
      <c r="P4326">
        <v>2</v>
      </c>
      <c r="Q4326">
        <v>1</v>
      </c>
      <c r="R4326" t="s">
        <v>4676</v>
      </c>
      <c r="S4326" t="s">
        <v>4135</v>
      </c>
      <c r="T4326" t="s">
        <v>4143</v>
      </c>
      <c r="U4326" t="s">
        <v>4655</v>
      </c>
      <c r="V4326" s="2">
        <v>0</v>
      </c>
      <c r="W4326" t="s">
        <v>4655</v>
      </c>
      <c r="X4326" s="2">
        <v>0</v>
      </c>
      <c r="Y4326">
        <v>21</v>
      </c>
      <c r="Z4326" t="s">
        <v>1776</v>
      </c>
      <c r="AA4326" s="3">
        <v>1.00000004749745E-3</v>
      </c>
      <c r="AB4326" t="s">
        <v>22970</v>
      </c>
      <c r="AC4326" t="s">
        <v>4562</v>
      </c>
      <c r="AD4326" t="s">
        <v>22971</v>
      </c>
      <c r="AE4326" t="s">
        <v>4655</v>
      </c>
      <c r="AF4326" t="s">
        <v>4054</v>
      </c>
      <c r="AG4326" t="s">
        <v>4564</v>
      </c>
      <c r="AH4326" t="s">
        <v>5207</v>
      </c>
      <c r="AI4326" t="s">
        <v>4503</v>
      </c>
      <c r="AJ4326" t="s">
        <v>4655</v>
      </c>
      <c r="AK4326" t="s">
        <v>22972</v>
      </c>
      <c r="AL4326" s="13" t="s">
        <v>1893</v>
      </c>
      <c r="AM4326">
        <v>1</v>
      </c>
      <c r="AN4326" s="15" t="s">
        <v>4622</v>
      </c>
    </row>
    <row r="4327" spans="1:40" x14ac:dyDescent="0.3">
      <c r="A4327" s="10" t="str">
        <f>HYPERLINK("http://www.washoecounty.gov/assessor/cama/?parid=126-161-04&amp;CardNumber=1","126-161-04")</f>
        <v>126-161-04</v>
      </c>
      <c r="B4327" t="s">
        <v>4655</v>
      </c>
      <c r="C4327" t="s">
        <v>5498</v>
      </c>
      <c r="D4327" s="1">
        <v>40452</v>
      </c>
      <c r="E4327" s="2">
        <v>190000</v>
      </c>
      <c r="F4327" t="s">
        <v>4567</v>
      </c>
      <c r="G4327" s="17" t="str">
        <f>HYPERLINK("https://www.washoecounty.gov/assessor/cama/?command=sales&amp;parid=12616104","3928507")</f>
        <v>3928507</v>
      </c>
      <c r="H4327" t="s">
        <v>22973</v>
      </c>
      <c r="I4327">
        <v>1980</v>
      </c>
      <c r="J4327">
        <v>1980</v>
      </c>
      <c r="K4327" t="s">
        <v>3144</v>
      </c>
      <c r="L4327" t="s">
        <v>4555</v>
      </c>
      <c r="M4327" s="2">
        <v>1062</v>
      </c>
      <c r="N4327" t="s">
        <v>3147</v>
      </c>
      <c r="O4327">
        <v>2</v>
      </c>
      <c r="P4327">
        <v>2</v>
      </c>
      <c r="Q4327">
        <v>0</v>
      </c>
      <c r="R4327" t="s">
        <v>5281</v>
      </c>
      <c r="S4327" t="s">
        <v>4135</v>
      </c>
      <c r="T4327" t="s">
        <v>4559</v>
      </c>
      <c r="U4327" t="s">
        <v>4655</v>
      </c>
      <c r="V4327" s="2">
        <v>0</v>
      </c>
      <c r="W4327" t="s">
        <v>4655</v>
      </c>
      <c r="X4327" s="2">
        <v>0</v>
      </c>
      <c r="Y4327">
        <v>21</v>
      </c>
      <c r="Z4327" t="s">
        <v>1776</v>
      </c>
      <c r="AA4327" s="3">
        <v>1.00000004749745E-3</v>
      </c>
      <c r="AB4327" t="s">
        <v>22974</v>
      </c>
      <c r="AC4327" t="s">
        <v>4562</v>
      </c>
      <c r="AD4327" t="s">
        <v>22975</v>
      </c>
      <c r="AE4327" t="s">
        <v>4655</v>
      </c>
      <c r="AF4327" t="s">
        <v>686</v>
      </c>
      <c r="AG4327" t="s">
        <v>4584</v>
      </c>
      <c r="AH4327">
        <v>94115</v>
      </c>
      <c r="AI4327" t="s">
        <v>22976</v>
      </c>
      <c r="AJ4327" t="s">
        <v>4655</v>
      </c>
      <c r="AK4327" t="s">
        <v>22977</v>
      </c>
      <c r="AL4327" s="13" t="s">
        <v>1893</v>
      </c>
      <c r="AM4327" s="14">
        <v>1</v>
      </c>
      <c r="AN4327" s="15" t="s">
        <v>5642</v>
      </c>
    </row>
    <row r="4328" spans="1:40" x14ac:dyDescent="0.3">
      <c r="A4328" s="10" t="str">
        <f>HYPERLINK("http://www.washoecounty.gov/assessor/cama/?parid=126-161-07&amp;CardNumber=1","126-161-07")</f>
        <v>126-161-07</v>
      </c>
      <c r="B4328" t="s">
        <v>4655</v>
      </c>
      <c r="C4328" t="s">
        <v>5498</v>
      </c>
      <c r="D4328" s="1">
        <v>40452</v>
      </c>
      <c r="E4328" s="2">
        <v>299000</v>
      </c>
      <c r="F4328" t="s">
        <v>4567</v>
      </c>
      <c r="G4328" s="17" t="str">
        <f>HYPERLINK("https://www.washoecounty.gov/assessor/cama/?command=sales&amp;parid=12616107","3928536")</f>
        <v>3928536</v>
      </c>
      <c r="H4328" t="s">
        <v>1095</v>
      </c>
      <c r="I4328">
        <v>1980</v>
      </c>
      <c r="J4328">
        <v>1980</v>
      </c>
      <c r="K4328" t="s">
        <v>4897</v>
      </c>
      <c r="L4328" t="s">
        <v>4555</v>
      </c>
      <c r="M4328" s="2">
        <v>1224</v>
      </c>
      <c r="N4328" t="s">
        <v>3147</v>
      </c>
      <c r="O4328">
        <v>2</v>
      </c>
      <c r="P4328">
        <v>2</v>
      </c>
      <c r="Q4328">
        <v>0</v>
      </c>
      <c r="R4328" t="s">
        <v>5281</v>
      </c>
      <c r="S4328" t="s">
        <v>4135</v>
      </c>
      <c r="T4328" t="s">
        <v>4559</v>
      </c>
      <c r="U4328" t="s">
        <v>4655</v>
      </c>
      <c r="V4328" s="2">
        <v>0</v>
      </c>
      <c r="W4328" t="s">
        <v>4655</v>
      </c>
      <c r="X4328" s="2">
        <v>0</v>
      </c>
      <c r="Y4328">
        <v>21</v>
      </c>
      <c r="Z4328" t="s">
        <v>1776</v>
      </c>
      <c r="AA4328" s="3">
        <v>1.00000004749745E-3</v>
      </c>
      <c r="AB4328" t="s">
        <v>22978</v>
      </c>
      <c r="AC4328" t="s">
        <v>4575</v>
      </c>
      <c r="AD4328" t="s">
        <v>22979</v>
      </c>
      <c r="AE4328" t="s">
        <v>4655</v>
      </c>
      <c r="AF4328" t="s">
        <v>1189</v>
      </c>
      <c r="AG4328" t="s">
        <v>4564</v>
      </c>
      <c r="AH4328">
        <v>89117</v>
      </c>
      <c r="AI4328" t="s">
        <v>22980</v>
      </c>
      <c r="AJ4328" t="s">
        <v>4655</v>
      </c>
      <c r="AK4328" t="s">
        <v>22981</v>
      </c>
      <c r="AL4328" s="13" t="s">
        <v>1893</v>
      </c>
      <c r="AM4328">
        <v>1</v>
      </c>
      <c r="AN4328" s="15" t="s">
        <v>5642</v>
      </c>
    </row>
    <row r="4329" spans="1:40" x14ac:dyDescent="0.3">
      <c r="A4329" s="10" t="str">
        <f>HYPERLINK("http://www.washoecounty.gov/assessor/cama/?parid=126-162-06&amp;CardNumber=1","126-162-06")</f>
        <v>126-162-06</v>
      </c>
      <c r="B4329" t="s">
        <v>4655</v>
      </c>
      <c r="C4329" t="s">
        <v>5498</v>
      </c>
      <c r="D4329" s="1">
        <v>40515</v>
      </c>
      <c r="E4329" s="2">
        <v>185000</v>
      </c>
      <c r="F4329" t="s">
        <v>4567</v>
      </c>
      <c r="G4329" s="17" t="str">
        <f>HYPERLINK("https://www.washoecounty.gov/assessor/cama/?command=sales&amp;parid=12616206","3949060")</f>
        <v>3949060</v>
      </c>
      <c r="H4329" t="s">
        <v>1095</v>
      </c>
      <c r="I4329">
        <v>1980</v>
      </c>
      <c r="J4329">
        <v>1980</v>
      </c>
      <c r="K4329" t="s">
        <v>3144</v>
      </c>
      <c r="L4329" t="s">
        <v>4555</v>
      </c>
      <c r="M4329" s="2">
        <v>1062</v>
      </c>
      <c r="N4329" t="s">
        <v>3147</v>
      </c>
      <c r="O4329">
        <v>2</v>
      </c>
      <c r="P4329">
        <v>2</v>
      </c>
      <c r="Q4329">
        <v>0</v>
      </c>
      <c r="R4329" t="s">
        <v>5281</v>
      </c>
      <c r="S4329" t="s">
        <v>4135</v>
      </c>
      <c r="T4329" t="s">
        <v>4559</v>
      </c>
      <c r="U4329" t="s">
        <v>4655</v>
      </c>
      <c r="V4329" s="2">
        <v>0</v>
      </c>
      <c r="W4329" t="s">
        <v>4655</v>
      </c>
      <c r="X4329" s="2">
        <v>0</v>
      </c>
      <c r="Y4329">
        <v>21</v>
      </c>
      <c r="Z4329" t="s">
        <v>1776</v>
      </c>
      <c r="AA4329" s="3">
        <v>1.00000004749745E-3</v>
      </c>
      <c r="AB4329" t="s">
        <v>22982</v>
      </c>
      <c r="AC4329" t="s">
        <v>4575</v>
      </c>
      <c r="AD4329" t="s">
        <v>22983</v>
      </c>
      <c r="AE4329" t="s">
        <v>4655</v>
      </c>
      <c r="AF4329" t="s">
        <v>22984</v>
      </c>
      <c r="AG4329" t="s">
        <v>4584</v>
      </c>
      <c r="AH4329">
        <v>94066</v>
      </c>
      <c r="AI4329" t="s">
        <v>22985</v>
      </c>
      <c r="AJ4329" t="s">
        <v>4655</v>
      </c>
      <c r="AK4329" t="s">
        <v>22986</v>
      </c>
      <c r="AL4329" s="13" t="s">
        <v>1893</v>
      </c>
      <c r="AM4329">
        <v>1</v>
      </c>
      <c r="AN4329" s="15" t="s">
        <v>5642</v>
      </c>
    </row>
    <row r="4330" spans="1:40" x14ac:dyDescent="0.3">
      <c r="A4330" s="10" t="str">
        <f>HYPERLINK("http://www.washoecounty.gov/assessor/cama/?parid=126-173-04&amp;CardNumber=1","126-173-04")</f>
        <v>126-173-04</v>
      </c>
      <c r="B4330" t="s">
        <v>4655</v>
      </c>
      <c r="C4330" t="s">
        <v>4305</v>
      </c>
      <c r="D4330" s="1">
        <v>40445</v>
      </c>
      <c r="E4330" s="2">
        <v>250000</v>
      </c>
      <c r="F4330" t="s">
        <v>4567</v>
      </c>
      <c r="G4330" s="17" t="str">
        <f>HYPERLINK("https://www.washoecounty.gov/assessor/cama/?command=sales&amp;parid=12617304","3925770")</f>
        <v>3925770</v>
      </c>
      <c r="H4330" t="s">
        <v>4306</v>
      </c>
      <c r="I4330">
        <v>1984</v>
      </c>
      <c r="J4330">
        <v>1984</v>
      </c>
      <c r="K4330" t="s">
        <v>3144</v>
      </c>
      <c r="L4330" t="s">
        <v>3886</v>
      </c>
      <c r="M4330" s="2">
        <v>1264</v>
      </c>
      <c r="N4330" t="s">
        <v>3887</v>
      </c>
      <c r="O4330">
        <v>1</v>
      </c>
      <c r="P4330">
        <v>2</v>
      </c>
      <c r="Q4330">
        <v>0</v>
      </c>
      <c r="R4330" t="s">
        <v>5205</v>
      </c>
      <c r="S4330" t="s">
        <v>4135</v>
      </c>
      <c r="T4330" t="s">
        <v>4559</v>
      </c>
      <c r="U4330" t="s">
        <v>4655</v>
      </c>
      <c r="V4330" s="2">
        <v>0</v>
      </c>
      <c r="W4330" t="s">
        <v>4655</v>
      </c>
      <c r="X4330" s="2">
        <v>0</v>
      </c>
      <c r="Y4330">
        <v>21</v>
      </c>
      <c r="Z4330" t="s">
        <v>1776</v>
      </c>
      <c r="AA4330" s="3">
        <v>1.00000004749745E-3</v>
      </c>
      <c r="AB4330" t="s">
        <v>22987</v>
      </c>
      <c r="AC4330" t="s">
        <v>4562</v>
      </c>
      <c r="AD4330" t="s">
        <v>22988</v>
      </c>
      <c r="AE4330" t="s">
        <v>4655</v>
      </c>
      <c r="AF4330" t="s">
        <v>22989</v>
      </c>
      <c r="AG4330" t="s">
        <v>762</v>
      </c>
      <c r="AH4330">
        <v>75001</v>
      </c>
      <c r="AI4330" t="s">
        <v>22990</v>
      </c>
      <c r="AJ4330" t="s">
        <v>4655</v>
      </c>
      <c r="AK4330" t="s">
        <v>22991</v>
      </c>
      <c r="AL4330" s="13" t="s">
        <v>1893</v>
      </c>
      <c r="AM4330" s="14">
        <v>1</v>
      </c>
      <c r="AN4330" s="15" t="s">
        <v>4774</v>
      </c>
    </row>
    <row r="4331" spans="1:40" x14ac:dyDescent="0.3">
      <c r="A4331" s="10" t="str">
        <f>HYPERLINK("http://www.washoecounty.gov/assessor/cama/?parid=126-173-19&amp;CardNumber=1","126-173-19")</f>
        <v>126-173-19</v>
      </c>
      <c r="B4331" t="s">
        <v>4655</v>
      </c>
      <c r="C4331" t="s">
        <v>4305</v>
      </c>
      <c r="D4331" s="1">
        <v>40476</v>
      </c>
      <c r="E4331" s="2">
        <v>420000</v>
      </c>
      <c r="F4331" t="s">
        <v>4567</v>
      </c>
      <c r="G4331" s="17" t="str">
        <f>HYPERLINK("https://www.washoecounty.gov/assessor/cama/?command=sales&amp;parid=12617319","3935943")</f>
        <v>3935943</v>
      </c>
      <c r="H4331" t="s">
        <v>4306</v>
      </c>
      <c r="I4331">
        <v>1988</v>
      </c>
      <c r="J4331">
        <v>1988</v>
      </c>
      <c r="K4331" t="s">
        <v>3144</v>
      </c>
      <c r="L4331" t="s">
        <v>3886</v>
      </c>
      <c r="M4331" s="2">
        <v>1264</v>
      </c>
      <c r="N4331" t="s">
        <v>3887</v>
      </c>
      <c r="O4331">
        <v>1</v>
      </c>
      <c r="P4331">
        <v>2</v>
      </c>
      <c r="Q4331">
        <v>0</v>
      </c>
      <c r="R4331" t="s">
        <v>5205</v>
      </c>
      <c r="S4331" t="s">
        <v>4135</v>
      </c>
      <c r="T4331" t="s">
        <v>4559</v>
      </c>
      <c r="U4331" t="s">
        <v>4655</v>
      </c>
      <c r="V4331" s="2">
        <v>0</v>
      </c>
      <c r="W4331" t="s">
        <v>4655</v>
      </c>
      <c r="X4331" s="2">
        <v>0</v>
      </c>
      <c r="Y4331">
        <v>21</v>
      </c>
      <c r="Z4331" t="s">
        <v>1776</v>
      </c>
      <c r="AA4331" s="3">
        <v>1.00000004749745E-3</v>
      </c>
      <c r="AB4331" t="s">
        <v>22992</v>
      </c>
      <c r="AC4331" t="s">
        <v>4562</v>
      </c>
      <c r="AD4331" t="s">
        <v>22993</v>
      </c>
      <c r="AE4331" t="s">
        <v>4655</v>
      </c>
      <c r="AF4331" t="s">
        <v>5206</v>
      </c>
      <c r="AG4331" t="s">
        <v>4564</v>
      </c>
      <c r="AH4331" t="s">
        <v>5207</v>
      </c>
      <c r="AI4331" t="s">
        <v>22994</v>
      </c>
      <c r="AJ4331" t="s">
        <v>4655</v>
      </c>
      <c r="AK4331" t="s">
        <v>22995</v>
      </c>
      <c r="AL4331" s="13" t="s">
        <v>1893</v>
      </c>
      <c r="AM4331" s="14">
        <v>1</v>
      </c>
      <c r="AN4331" s="15" t="s">
        <v>4774</v>
      </c>
    </row>
    <row r="4332" spans="1:40" x14ac:dyDescent="0.3">
      <c r="A4332" s="10" t="str">
        <f>HYPERLINK("http://www.washoecounty.gov/assessor/cama/?parid=126-173-21&amp;CardNumber=1","126-173-21")</f>
        <v>126-173-21</v>
      </c>
      <c r="B4332" t="s">
        <v>4655</v>
      </c>
      <c r="C4332" t="s">
        <v>4305</v>
      </c>
      <c r="D4332" s="1">
        <v>40456</v>
      </c>
      <c r="E4332" s="2">
        <v>495000</v>
      </c>
      <c r="F4332" t="s">
        <v>3528</v>
      </c>
      <c r="G4332" s="17" t="str">
        <f>HYPERLINK("https://www.washoecounty.gov/assessor/cama/?command=sales&amp;parid=12617321","3929568")</f>
        <v>3929568</v>
      </c>
      <c r="H4332" t="s">
        <v>4306</v>
      </c>
      <c r="I4332">
        <v>1988</v>
      </c>
      <c r="J4332">
        <v>1991</v>
      </c>
      <c r="K4332" t="s">
        <v>4897</v>
      </c>
      <c r="L4332" t="s">
        <v>3886</v>
      </c>
      <c r="M4332" s="2">
        <v>1444</v>
      </c>
      <c r="N4332" t="s">
        <v>3887</v>
      </c>
      <c r="O4332">
        <v>2</v>
      </c>
      <c r="P4332">
        <v>2</v>
      </c>
      <c r="Q4332">
        <v>0</v>
      </c>
      <c r="R4332" t="s">
        <v>5205</v>
      </c>
      <c r="S4332" t="s">
        <v>4135</v>
      </c>
      <c r="T4332" t="s">
        <v>4559</v>
      </c>
      <c r="U4332" t="s">
        <v>4655</v>
      </c>
      <c r="V4332" s="2">
        <v>0</v>
      </c>
      <c r="W4332" t="s">
        <v>4655</v>
      </c>
      <c r="X4332" s="2">
        <v>0</v>
      </c>
      <c r="Y4332">
        <v>21</v>
      </c>
      <c r="Z4332" t="s">
        <v>1776</v>
      </c>
      <c r="AA4332" s="3">
        <v>1.00000004749745E-3</v>
      </c>
      <c r="AB4332" t="s">
        <v>22996</v>
      </c>
      <c r="AC4332" t="s">
        <v>4562</v>
      </c>
      <c r="AD4332" t="s">
        <v>22997</v>
      </c>
      <c r="AE4332" t="s">
        <v>4655</v>
      </c>
      <c r="AF4332" t="s">
        <v>2108</v>
      </c>
      <c r="AG4332" t="s">
        <v>2109</v>
      </c>
      <c r="AH4332" t="s">
        <v>22998</v>
      </c>
      <c r="AI4332" t="s">
        <v>22999</v>
      </c>
      <c r="AJ4332" t="s">
        <v>4655</v>
      </c>
      <c r="AK4332" t="s">
        <v>23000</v>
      </c>
      <c r="AL4332" s="13" t="s">
        <v>1893</v>
      </c>
      <c r="AM4332">
        <v>1</v>
      </c>
      <c r="AN4332" s="15" t="s">
        <v>4774</v>
      </c>
    </row>
    <row r="4333" spans="1:40" x14ac:dyDescent="0.3">
      <c r="A4333" s="10" t="str">
        <f>HYPERLINK("http://www.washoecounty.gov/assessor/cama/?parid=126-251-14&amp;CardNumber=1","126-251-14")</f>
        <v>126-251-14</v>
      </c>
      <c r="B4333" t="s">
        <v>4655</v>
      </c>
      <c r="C4333" t="s">
        <v>23001</v>
      </c>
      <c r="D4333" s="1">
        <v>40361</v>
      </c>
      <c r="E4333" s="2">
        <v>1137500</v>
      </c>
      <c r="F4333" t="s">
        <v>3259</v>
      </c>
      <c r="G4333" s="17" t="str">
        <f>HYPERLINK("https://www.washoecounty.gov/assessor/cama/?command=sales&amp;parid=12625114","3897993")</f>
        <v>3897993</v>
      </c>
      <c r="H4333" t="s">
        <v>23002</v>
      </c>
      <c r="I4333">
        <v>1979</v>
      </c>
      <c r="J4333">
        <v>1983</v>
      </c>
      <c r="K4333" t="s">
        <v>4554</v>
      </c>
      <c r="L4333" t="s">
        <v>3044</v>
      </c>
      <c r="M4333" s="2">
        <v>4243</v>
      </c>
      <c r="N4333" t="s">
        <v>5106</v>
      </c>
      <c r="O4333">
        <v>6</v>
      </c>
      <c r="P4333">
        <v>3</v>
      </c>
      <c r="Q4333">
        <v>1</v>
      </c>
      <c r="R4333" t="s">
        <v>4557</v>
      </c>
      <c r="S4333" t="s">
        <v>5048</v>
      </c>
      <c r="T4333" t="s">
        <v>4559</v>
      </c>
      <c r="U4333" t="s">
        <v>5631</v>
      </c>
      <c r="V4333" s="2">
        <v>580</v>
      </c>
      <c r="W4333" t="s">
        <v>4655</v>
      </c>
      <c r="X4333" s="2">
        <v>0</v>
      </c>
      <c r="Y4333">
        <v>20</v>
      </c>
      <c r="Z4333" t="s">
        <v>5508</v>
      </c>
      <c r="AA4333" s="3">
        <v>0.36701101064682001</v>
      </c>
      <c r="AB4333" t="s">
        <v>23003</v>
      </c>
      <c r="AC4333" t="s">
        <v>4562</v>
      </c>
      <c r="AD4333" t="s">
        <v>23004</v>
      </c>
      <c r="AE4333" t="s">
        <v>4655</v>
      </c>
      <c r="AF4333" t="s">
        <v>23005</v>
      </c>
      <c r="AG4333" t="s">
        <v>5204</v>
      </c>
      <c r="AH4333">
        <v>60093</v>
      </c>
      <c r="AI4333" t="s">
        <v>23006</v>
      </c>
      <c r="AJ4333" t="s">
        <v>4655</v>
      </c>
      <c r="AK4333" t="s">
        <v>23007</v>
      </c>
      <c r="AL4333" s="13" t="s">
        <v>1893</v>
      </c>
      <c r="AM4333">
        <v>1</v>
      </c>
      <c r="AN4333" s="15" t="s">
        <v>2915</v>
      </c>
    </row>
    <row r="4334" spans="1:40" x14ac:dyDescent="0.3">
      <c r="A4334" s="10" t="str">
        <f>HYPERLINK("http://www.washoecounty.gov/assessor/cama/?parid=126-262-05&amp;CardNumber=1","126-262-05")</f>
        <v>126-262-05</v>
      </c>
      <c r="B4334" t="s">
        <v>4655</v>
      </c>
      <c r="C4334" t="s">
        <v>23008</v>
      </c>
      <c r="D4334" s="1">
        <v>40325</v>
      </c>
      <c r="E4334" s="2">
        <v>5000000</v>
      </c>
      <c r="F4334" t="s">
        <v>3259</v>
      </c>
      <c r="G4334" s="17" t="str">
        <f>HYPERLINK("https://www.washoecounty.gov/assessor/cama/?command=sales&amp;parid=12626205","3887890")</f>
        <v>3887890</v>
      </c>
      <c r="H4334" t="s">
        <v>4173</v>
      </c>
      <c r="I4334">
        <v>2004</v>
      </c>
      <c r="J4334">
        <v>2004</v>
      </c>
      <c r="K4334" t="s">
        <v>4554</v>
      </c>
      <c r="L4334" t="s">
        <v>3974</v>
      </c>
      <c r="M4334" s="2">
        <v>6511</v>
      </c>
      <c r="N4334" t="s">
        <v>4174</v>
      </c>
      <c r="O4334">
        <v>5</v>
      </c>
      <c r="P4334">
        <v>5</v>
      </c>
      <c r="Q4334">
        <v>2</v>
      </c>
      <c r="R4334" t="s">
        <v>5630</v>
      </c>
      <c r="S4334" t="s">
        <v>4135</v>
      </c>
      <c r="T4334" t="s">
        <v>4559</v>
      </c>
      <c r="U4334" t="s">
        <v>4560</v>
      </c>
      <c r="V4334" s="2">
        <v>889</v>
      </c>
      <c r="W4334" t="s">
        <v>4571</v>
      </c>
      <c r="X4334" s="2">
        <v>2091</v>
      </c>
      <c r="Y4334">
        <v>20</v>
      </c>
      <c r="Z4334" t="s">
        <v>3884</v>
      </c>
      <c r="AA4334" s="3">
        <v>1.0359963178634599</v>
      </c>
      <c r="AB4334" t="s">
        <v>23009</v>
      </c>
      <c r="AC4334" t="s">
        <v>4575</v>
      </c>
      <c r="AD4334" t="s">
        <v>23010</v>
      </c>
      <c r="AE4334" t="s">
        <v>23011</v>
      </c>
      <c r="AF4334" t="s">
        <v>5206</v>
      </c>
      <c r="AG4334" t="s">
        <v>4564</v>
      </c>
      <c r="AH4334" t="s">
        <v>5275</v>
      </c>
      <c r="AI4334" t="s">
        <v>23012</v>
      </c>
      <c r="AJ4334" t="s">
        <v>4655</v>
      </c>
      <c r="AK4334" t="s">
        <v>23013</v>
      </c>
      <c r="AL4334" s="13" t="s">
        <v>1893</v>
      </c>
      <c r="AM4334">
        <v>1</v>
      </c>
      <c r="AN4334" s="15" t="s">
        <v>2915</v>
      </c>
    </row>
    <row r="4335" spans="1:40" x14ac:dyDescent="0.3">
      <c r="A4335" s="10" t="str">
        <f>HYPERLINK("http://www.washoecounty.gov/assessor/cama/?parid=126-280-12&amp;CardNumber=1","126-280-12")</f>
        <v>126-280-12</v>
      </c>
      <c r="B4335" t="s">
        <v>4655</v>
      </c>
      <c r="C4335" t="s">
        <v>4624</v>
      </c>
      <c r="D4335" s="1">
        <v>40296</v>
      </c>
      <c r="E4335" s="2">
        <v>545000</v>
      </c>
      <c r="F4335" t="s">
        <v>4567</v>
      </c>
      <c r="G4335" s="17" t="str">
        <f>HYPERLINK("https://www.washoecounty.gov/assessor/cama/?command=sales&amp;parid=12628012","3875796")</f>
        <v>3875796</v>
      </c>
      <c r="H4335" t="s">
        <v>3551</v>
      </c>
      <c r="I4335">
        <v>1972</v>
      </c>
      <c r="J4335">
        <v>1972</v>
      </c>
      <c r="K4335" t="s">
        <v>4897</v>
      </c>
      <c r="L4335" t="s">
        <v>3974</v>
      </c>
      <c r="M4335" s="2">
        <v>1336</v>
      </c>
      <c r="N4335" t="s">
        <v>3147</v>
      </c>
      <c r="O4335">
        <v>3</v>
      </c>
      <c r="P4335">
        <v>2</v>
      </c>
      <c r="Q4335">
        <v>0</v>
      </c>
      <c r="R4335" t="s">
        <v>4676</v>
      </c>
      <c r="S4335" t="s">
        <v>4135</v>
      </c>
      <c r="T4335" t="s">
        <v>4559</v>
      </c>
      <c r="U4335" t="s">
        <v>4655</v>
      </c>
      <c r="V4335" s="2">
        <v>0</v>
      </c>
      <c r="W4335" t="s">
        <v>4655</v>
      </c>
      <c r="X4335" s="2">
        <v>0</v>
      </c>
      <c r="Y4335">
        <v>21</v>
      </c>
      <c r="Z4335" t="s">
        <v>1776</v>
      </c>
      <c r="AA4335" s="3">
        <v>1.00000004749745E-3</v>
      </c>
      <c r="AB4335" t="s">
        <v>23014</v>
      </c>
      <c r="AC4335" t="s">
        <v>4575</v>
      </c>
      <c r="AD4335" t="s">
        <v>23015</v>
      </c>
      <c r="AE4335" t="s">
        <v>4655</v>
      </c>
      <c r="AF4335" t="s">
        <v>23016</v>
      </c>
      <c r="AG4335" t="s">
        <v>4584</v>
      </c>
      <c r="AH4335">
        <v>90403</v>
      </c>
      <c r="AI4335" t="s">
        <v>23017</v>
      </c>
      <c r="AJ4335" t="s">
        <v>4655</v>
      </c>
      <c r="AK4335" t="s">
        <v>23018</v>
      </c>
      <c r="AL4335" s="13" t="s">
        <v>1893</v>
      </c>
      <c r="AM4335">
        <v>1</v>
      </c>
      <c r="AN4335" s="15" t="s">
        <v>3552</v>
      </c>
    </row>
    <row r="4336" spans="1:40" x14ac:dyDescent="0.3">
      <c r="A4336" s="10" t="str">
        <f>HYPERLINK("http://www.washoecounty.gov/assessor/cama/?parid=126-280-15&amp;CardNumber=1","126-280-15")</f>
        <v>126-280-15</v>
      </c>
      <c r="B4336" t="s">
        <v>4655</v>
      </c>
      <c r="C4336" t="s">
        <v>4624</v>
      </c>
      <c r="D4336" s="1">
        <v>40410</v>
      </c>
      <c r="E4336" s="2">
        <v>480000</v>
      </c>
      <c r="F4336" t="s">
        <v>3528</v>
      </c>
      <c r="G4336" s="17" t="str">
        <f>HYPERLINK("https://www.washoecounty.gov/assessor/cama/?command=sales&amp;parid=12628015","3914081")</f>
        <v>3914081</v>
      </c>
      <c r="H4336" t="s">
        <v>3551</v>
      </c>
      <c r="I4336">
        <v>1972</v>
      </c>
      <c r="J4336">
        <v>1986</v>
      </c>
      <c r="K4336" t="s">
        <v>4897</v>
      </c>
      <c r="L4336" t="s">
        <v>3974</v>
      </c>
      <c r="M4336" s="2">
        <v>1410</v>
      </c>
      <c r="N4336" t="s">
        <v>3147</v>
      </c>
      <c r="O4336">
        <v>3</v>
      </c>
      <c r="P4336">
        <v>3</v>
      </c>
      <c r="Q4336">
        <v>0</v>
      </c>
      <c r="R4336" t="s">
        <v>4676</v>
      </c>
      <c r="S4336" t="s">
        <v>4135</v>
      </c>
      <c r="T4336" t="s">
        <v>4559</v>
      </c>
      <c r="U4336" t="s">
        <v>4655</v>
      </c>
      <c r="V4336" s="2">
        <v>0</v>
      </c>
      <c r="W4336" t="s">
        <v>4655</v>
      </c>
      <c r="X4336" s="2">
        <v>0</v>
      </c>
      <c r="Y4336">
        <v>21</v>
      </c>
      <c r="Z4336" t="s">
        <v>1776</v>
      </c>
      <c r="AA4336" s="3">
        <v>1.00000004749745E-3</v>
      </c>
      <c r="AB4336" t="s">
        <v>23019</v>
      </c>
      <c r="AC4336" t="s">
        <v>4575</v>
      </c>
      <c r="AD4336" t="s">
        <v>23020</v>
      </c>
      <c r="AE4336" t="s">
        <v>23021</v>
      </c>
      <c r="AF4336" t="s">
        <v>2594</v>
      </c>
      <c r="AG4336" t="s">
        <v>4584</v>
      </c>
      <c r="AH4336" t="s">
        <v>2178</v>
      </c>
      <c r="AI4336" t="s">
        <v>23022</v>
      </c>
      <c r="AJ4336" t="s">
        <v>4655</v>
      </c>
      <c r="AK4336" t="s">
        <v>23023</v>
      </c>
      <c r="AL4336" s="13" t="s">
        <v>1893</v>
      </c>
      <c r="AM4336">
        <v>1</v>
      </c>
      <c r="AN4336" s="15" t="s">
        <v>3552</v>
      </c>
    </row>
    <row r="4337" spans="1:40" x14ac:dyDescent="0.3">
      <c r="A4337" s="10" t="str">
        <f>HYPERLINK("http://www.washoecounty.gov/assessor/cama/?parid=126-280-21&amp;CardNumber=1","126-280-21")</f>
        <v>126-280-21</v>
      </c>
      <c r="B4337" t="s">
        <v>4655</v>
      </c>
      <c r="C4337" t="s">
        <v>4624</v>
      </c>
      <c r="D4337" s="1">
        <v>40494</v>
      </c>
      <c r="E4337" s="2">
        <v>395000</v>
      </c>
      <c r="F4337" t="s">
        <v>4567</v>
      </c>
      <c r="G4337" s="17" t="str">
        <f>HYPERLINK("https://www.washoecounty.gov/assessor/cama/?command=sales&amp;parid=12628021","3942444")</f>
        <v>3942444</v>
      </c>
      <c r="H4337" t="s">
        <v>3551</v>
      </c>
      <c r="I4337">
        <v>1972</v>
      </c>
      <c r="J4337">
        <v>1972</v>
      </c>
      <c r="K4337" t="s">
        <v>3144</v>
      </c>
      <c r="L4337" t="s">
        <v>3974</v>
      </c>
      <c r="M4337" s="2">
        <v>1270</v>
      </c>
      <c r="N4337" t="s">
        <v>3147</v>
      </c>
      <c r="O4337">
        <v>3</v>
      </c>
      <c r="P4337">
        <v>2</v>
      </c>
      <c r="Q4337">
        <v>0</v>
      </c>
      <c r="R4337" t="s">
        <v>4676</v>
      </c>
      <c r="S4337" t="s">
        <v>4135</v>
      </c>
      <c r="T4337" t="s">
        <v>4559</v>
      </c>
      <c r="U4337" t="s">
        <v>4655</v>
      </c>
      <c r="V4337" s="2">
        <v>0</v>
      </c>
      <c r="W4337" t="s">
        <v>3149</v>
      </c>
      <c r="X4337" s="2">
        <v>460</v>
      </c>
      <c r="Y4337">
        <v>21</v>
      </c>
      <c r="Z4337" t="s">
        <v>1776</v>
      </c>
      <c r="AA4337" s="3">
        <v>1.00000004749745E-3</v>
      </c>
      <c r="AB4337" t="s">
        <v>23024</v>
      </c>
      <c r="AC4337" t="s">
        <v>4575</v>
      </c>
      <c r="AD4337" t="s">
        <v>23025</v>
      </c>
      <c r="AE4337" t="s">
        <v>4655</v>
      </c>
      <c r="AF4337" t="s">
        <v>149</v>
      </c>
      <c r="AG4337" t="s">
        <v>1434</v>
      </c>
      <c r="AH4337" t="s">
        <v>23026</v>
      </c>
      <c r="AI4337" t="s">
        <v>23027</v>
      </c>
      <c r="AJ4337" t="s">
        <v>4655</v>
      </c>
      <c r="AK4337" t="s">
        <v>23028</v>
      </c>
      <c r="AL4337" s="13" t="s">
        <v>1893</v>
      </c>
      <c r="AM4337">
        <v>1</v>
      </c>
      <c r="AN4337" s="15" t="s">
        <v>3552</v>
      </c>
    </row>
    <row r="4338" spans="1:40" x14ac:dyDescent="0.3">
      <c r="A4338" s="10" t="str">
        <f>HYPERLINK("http://www.washoecounty.gov/assessor/cama/?parid=126-292-16&amp;CardNumber=1","126-292-16")</f>
        <v>126-292-16</v>
      </c>
      <c r="B4338" t="s">
        <v>4655</v>
      </c>
      <c r="C4338" t="s">
        <v>4624</v>
      </c>
      <c r="D4338" s="1">
        <v>40501</v>
      </c>
      <c r="E4338" s="2">
        <v>800000</v>
      </c>
      <c r="F4338" t="s">
        <v>4567</v>
      </c>
      <c r="G4338" s="17" t="str">
        <f>HYPERLINK("https://www.washoecounty.gov/assessor/cama/?command=sales&amp;parid=12629216","3945192")</f>
        <v>3945192</v>
      </c>
      <c r="H4338" t="s">
        <v>4689</v>
      </c>
      <c r="I4338">
        <v>1996</v>
      </c>
      <c r="J4338">
        <v>1996</v>
      </c>
      <c r="K4338" t="s">
        <v>4897</v>
      </c>
      <c r="L4338" t="s">
        <v>3044</v>
      </c>
      <c r="M4338" s="2">
        <v>1848</v>
      </c>
      <c r="N4338" t="s">
        <v>3887</v>
      </c>
      <c r="O4338">
        <v>3</v>
      </c>
      <c r="P4338">
        <v>2</v>
      </c>
      <c r="Q4338">
        <v>1</v>
      </c>
      <c r="R4338" t="s">
        <v>5281</v>
      </c>
      <c r="S4338" t="s">
        <v>4135</v>
      </c>
      <c r="T4338" t="s">
        <v>4559</v>
      </c>
      <c r="U4338" t="s">
        <v>4560</v>
      </c>
      <c r="V4338" s="2">
        <v>504</v>
      </c>
      <c r="W4338" t="s">
        <v>3201</v>
      </c>
      <c r="X4338" s="2">
        <v>616</v>
      </c>
      <c r="Y4338">
        <v>21</v>
      </c>
      <c r="Z4338" t="s">
        <v>1776</v>
      </c>
      <c r="AA4338" s="3">
        <v>0.10000000149011599</v>
      </c>
      <c r="AB4338" t="s">
        <v>23029</v>
      </c>
      <c r="AC4338" t="s">
        <v>4575</v>
      </c>
      <c r="AD4338" t="s">
        <v>23030</v>
      </c>
      <c r="AE4338" t="s">
        <v>4655</v>
      </c>
      <c r="AF4338" t="s">
        <v>5206</v>
      </c>
      <c r="AG4338" t="s">
        <v>4564</v>
      </c>
      <c r="AH4338" t="s">
        <v>5207</v>
      </c>
      <c r="AI4338" t="s">
        <v>23031</v>
      </c>
      <c r="AJ4338" t="s">
        <v>4655</v>
      </c>
      <c r="AK4338" t="s">
        <v>23032</v>
      </c>
      <c r="AL4338" s="13" t="s">
        <v>1893</v>
      </c>
      <c r="AM4338">
        <v>1</v>
      </c>
      <c r="AN4338" s="15" t="s">
        <v>4214</v>
      </c>
    </row>
    <row r="4339" spans="1:40" x14ac:dyDescent="0.3">
      <c r="A4339" s="10" t="str">
        <f>HYPERLINK("http://www.washoecounty.gov/assessor/cama/?parid=126-292-22&amp;CardNumber=1","126-292-22")</f>
        <v>126-292-22</v>
      </c>
      <c r="B4339" t="s">
        <v>4655</v>
      </c>
      <c r="C4339" t="s">
        <v>4624</v>
      </c>
      <c r="D4339" s="1">
        <v>40501</v>
      </c>
      <c r="E4339" s="2">
        <v>610000</v>
      </c>
      <c r="F4339" t="s">
        <v>4567</v>
      </c>
      <c r="G4339" s="17" t="str">
        <f>HYPERLINK("https://www.washoecounty.gov/assessor/cama/?command=sales&amp;parid=12629222","3945141")</f>
        <v>3945141</v>
      </c>
      <c r="H4339" t="s">
        <v>4689</v>
      </c>
      <c r="I4339">
        <v>1992</v>
      </c>
      <c r="J4339">
        <v>1992</v>
      </c>
      <c r="K4339" t="s">
        <v>3144</v>
      </c>
      <c r="L4339" t="s">
        <v>3044</v>
      </c>
      <c r="M4339" s="2">
        <v>1782</v>
      </c>
      <c r="N4339" t="s">
        <v>3887</v>
      </c>
      <c r="O4339">
        <v>3</v>
      </c>
      <c r="P4339">
        <v>2</v>
      </c>
      <c r="Q4339">
        <v>1</v>
      </c>
      <c r="R4339" t="s">
        <v>4557</v>
      </c>
      <c r="S4339" t="s">
        <v>4135</v>
      </c>
      <c r="T4339" t="s">
        <v>4559</v>
      </c>
      <c r="U4339" t="s">
        <v>4560</v>
      </c>
      <c r="V4339" s="2">
        <v>486</v>
      </c>
      <c r="W4339" t="s">
        <v>4655</v>
      </c>
      <c r="X4339" s="2">
        <v>0</v>
      </c>
      <c r="Y4339">
        <v>21</v>
      </c>
      <c r="Z4339" t="s">
        <v>1776</v>
      </c>
      <c r="AA4339" s="3">
        <v>1.00000004749745E-3</v>
      </c>
      <c r="AB4339" t="s">
        <v>23033</v>
      </c>
      <c r="AC4339" t="s">
        <v>4562</v>
      </c>
      <c r="AD4339" t="s">
        <v>23034</v>
      </c>
      <c r="AE4339" t="s">
        <v>4655</v>
      </c>
      <c r="AF4339" t="s">
        <v>5122</v>
      </c>
      <c r="AG4339" t="s">
        <v>4584</v>
      </c>
      <c r="AH4339">
        <v>95005</v>
      </c>
      <c r="AI4339" t="s">
        <v>23035</v>
      </c>
      <c r="AJ4339" t="s">
        <v>4655</v>
      </c>
      <c r="AK4339" t="s">
        <v>23036</v>
      </c>
      <c r="AL4339" s="13" t="s">
        <v>1893</v>
      </c>
      <c r="AM4339" s="14">
        <v>1</v>
      </c>
      <c r="AN4339" s="15" t="s">
        <v>4214</v>
      </c>
    </row>
    <row r="4340" spans="1:40" x14ac:dyDescent="0.3">
      <c r="A4340" s="10" t="str">
        <f>HYPERLINK("http://www.washoecounty.gov/assessor/cama/?parid=126-292-54&amp;CardNumber=1","126-292-54")</f>
        <v>126-292-54</v>
      </c>
      <c r="B4340" t="s">
        <v>4655</v>
      </c>
      <c r="C4340" t="s">
        <v>4624</v>
      </c>
      <c r="D4340" s="1">
        <v>40204</v>
      </c>
      <c r="E4340" s="2">
        <v>1500000</v>
      </c>
      <c r="F4340" t="s">
        <v>4567</v>
      </c>
      <c r="G4340" s="17" t="str">
        <f>HYPERLINK("https://www.washoecounty.gov/assessor/cama/?command=sales&amp;parid=12629254","3842787")</f>
        <v>3842787</v>
      </c>
      <c r="H4340" t="s">
        <v>4689</v>
      </c>
      <c r="I4340">
        <v>2005</v>
      </c>
      <c r="J4340">
        <v>2005</v>
      </c>
      <c r="K4340" t="s">
        <v>4897</v>
      </c>
      <c r="L4340" t="s">
        <v>3044</v>
      </c>
      <c r="M4340" s="2">
        <v>2215</v>
      </c>
      <c r="N4340" t="s">
        <v>2012</v>
      </c>
      <c r="O4340">
        <v>4</v>
      </c>
      <c r="P4340">
        <v>4</v>
      </c>
      <c r="Q4340">
        <v>1</v>
      </c>
      <c r="R4340" t="s">
        <v>1186</v>
      </c>
      <c r="S4340" t="s">
        <v>4135</v>
      </c>
      <c r="T4340" t="s">
        <v>4559</v>
      </c>
      <c r="U4340" t="s">
        <v>4560</v>
      </c>
      <c r="V4340" s="2">
        <v>430</v>
      </c>
      <c r="W4340" t="s">
        <v>3201</v>
      </c>
      <c r="X4340" s="2">
        <v>728</v>
      </c>
      <c r="Y4340">
        <v>21</v>
      </c>
      <c r="Z4340" t="s">
        <v>1776</v>
      </c>
      <c r="AA4340" s="3">
        <v>3.0004590749740601E-2</v>
      </c>
      <c r="AB4340" t="s">
        <v>23037</v>
      </c>
      <c r="AC4340" t="s">
        <v>4562</v>
      </c>
      <c r="AD4340" t="s">
        <v>23038</v>
      </c>
      <c r="AE4340" t="s">
        <v>23039</v>
      </c>
      <c r="AF4340" t="s">
        <v>23040</v>
      </c>
      <c r="AG4340" t="s">
        <v>1432</v>
      </c>
      <c r="AH4340">
        <v>55121</v>
      </c>
      <c r="AI4340" t="s">
        <v>4668</v>
      </c>
      <c r="AJ4340" t="s">
        <v>4669</v>
      </c>
      <c r="AK4340" t="s">
        <v>23041</v>
      </c>
      <c r="AL4340" s="13" t="s">
        <v>1893</v>
      </c>
      <c r="AM4340">
        <v>1</v>
      </c>
      <c r="AN4340" s="15" t="s">
        <v>4214</v>
      </c>
    </row>
    <row r="4341" spans="1:40" x14ac:dyDescent="0.3">
      <c r="A4341" s="10" t="str">
        <f>HYPERLINK("http://www.washoecounty.gov/assessor/cama/?parid=126-293-21&amp;CardNumber=1","126-293-21")</f>
        <v>126-293-21</v>
      </c>
      <c r="B4341" t="s">
        <v>4655</v>
      </c>
      <c r="C4341" t="s">
        <v>4624</v>
      </c>
      <c r="D4341" s="1">
        <v>40295</v>
      </c>
      <c r="E4341" s="2">
        <v>530000</v>
      </c>
      <c r="F4341" t="s">
        <v>3259</v>
      </c>
      <c r="G4341" s="17" t="str">
        <f>HYPERLINK("https://www.washoecounty.gov/assessor/cama/?command=sales&amp;parid=12629321","3875224")</f>
        <v>3875224</v>
      </c>
      <c r="H4341" t="s">
        <v>4689</v>
      </c>
      <c r="I4341">
        <v>1996</v>
      </c>
      <c r="J4341">
        <v>1996</v>
      </c>
      <c r="K4341" t="s">
        <v>4897</v>
      </c>
      <c r="L4341" t="s">
        <v>3044</v>
      </c>
      <c r="M4341" s="2">
        <v>1412</v>
      </c>
      <c r="N4341" t="s">
        <v>5106</v>
      </c>
      <c r="O4341">
        <v>2</v>
      </c>
      <c r="P4341">
        <v>2</v>
      </c>
      <c r="Q4341">
        <v>1</v>
      </c>
      <c r="R4341" t="s">
        <v>4557</v>
      </c>
      <c r="S4341" t="s">
        <v>4135</v>
      </c>
      <c r="T4341" t="s">
        <v>4559</v>
      </c>
      <c r="U4341" t="s">
        <v>4655</v>
      </c>
      <c r="V4341" s="2">
        <v>0</v>
      </c>
      <c r="W4341" t="s">
        <v>3201</v>
      </c>
      <c r="X4341" s="2">
        <v>616</v>
      </c>
      <c r="Y4341">
        <v>21</v>
      </c>
      <c r="Z4341" t="s">
        <v>1776</v>
      </c>
      <c r="AA4341" s="3">
        <v>1.00000004749745E-3</v>
      </c>
      <c r="AB4341" t="s">
        <v>23042</v>
      </c>
      <c r="AC4341" t="s">
        <v>4562</v>
      </c>
      <c r="AD4341" t="s">
        <v>23043</v>
      </c>
      <c r="AE4341" t="s">
        <v>4655</v>
      </c>
      <c r="AF4341" t="s">
        <v>4563</v>
      </c>
      <c r="AG4341" t="s">
        <v>4564</v>
      </c>
      <c r="AH4341" t="s">
        <v>2330</v>
      </c>
      <c r="AI4341" t="s">
        <v>23044</v>
      </c>
      <c r="AJ4341" t="s">
        <v>4655</v>
      </c>
      <c r="AK4341" t="s">
        <v>23045</v>
      </c>
      <c r="AL4341" s="13" t="s">
        <v>1893</v>
      </c>
      <c r="AM4341">
        <v>1</v>
      </c>
      <c r="AN4341" s="15" t="s">
        <v>4214</v>
      </c>
    </row>
    <row r="4342" spans="1:40" x14ac:dyDescent="0.3">
      <c r="A4342" s="10" t="str">
        <f>HYPERLINK("http://www.washoecounty.gov/assessor/cama/?parid=126-293-28&amp;CardNumber=1","126-293-28")</f>
        <v>126-293-28</v>
      </c>
      <c r="B4342" t="s">
        <v>4655</v>
      </c>
      <c r="C4342" t="s">
        <v>4624</v>
      </c>
      <c r="D4342" s="1">
        <v>40323</v>
      </c>
      <c r="E4342" s="2">
        <v>390000</v>
      </c>
      <c r="F4342" t="s">
        <v>4567</v>
      </c>
      <c r="G4342" s="17" t="str">
        <f>HYPERLINK("https://www.washoecounty.gov/assessor/cama/?command=sales&amp;parid=12629328","3884630")</f>
        <v>3884630</v>
      </c>
      <c r="H4342" t="s">
        <v>4689</v>
      </c>
      <c r="I4342">
        <v>1996</v>
      </c>
      <c r="J4342">
        <v>1996</v>
      </c>
      <c r="K4342" t="s">
        <v>3144</v>
      </c>
      <c r="L4342" t="s">
        <v>3044</v>
      </c>
      <c r="M4342" s="2">
        <v>1412</v>
      </c>
      <c r="N4342" t="s">
        <v>5106</v>
      </c>
      <c r="O4342">
        <v>2</v>
      </c>
      <c r="P4342">
        <v>2</v>
      </c>
      <c r="Q4342">
        <v>1</v>
      </c>
      <c r="R4342" t="s">
        <v>4557</v>
      </c>
      <c r="S4342" t="s">
        <v>4135</v>
      </c>
      <c r="T4342" t="s">
        <v>4559</v>
      </c>
      <c r="U4342" t="s">
        <v>4655</v>
      </c>
      <c r="V4342" s="2">
        <v>0</v>
      </c>
      <c r="W4342" t="s">
        <v>3201</v>
      </c>
      <c r="X4342" s="2">
        <v>616</v>
      </c>
      <c r="Y4342">
        <v>21</v>
      </c>
      <c r="Z4342" t="s">
        <v>1776</v>
      </c>
      <c r="AA4342" s="3">
        <v>0.10000000149011599</v>
      </c>
      <c r="AB4342" t="s">
        <v>23046</v>
      </c>
      <c r="AC4342" t="s">
        <v>4562</v>
      </c>
      <c r="AD4342" t="s">
        <v>23047</v>
      </c>
      <c r="AE4342" t="s">
        <v>4655</v>
      </c>
      <c r="AF4342" t="s">
        <v>2593</v>
      </c>
      <c r="AG4342" t="s">
        <v>3677</v>
      </c>
      <c r="AH4342">
        <v>87043</v>
      </c>
      <c r="AI4342" t="s">
        <v>23048</v>
      </c>
      <c r="AJ4342" t="s">
        <v>4655</v>
      </c>
      <c r="AK4342" t="s">
        <v>23049</v>
      </c>
      <c r="AL4342" s="13" t="s">
        <v>1893</v>
      </c>
      <c r="AM4342" s="14">
        <v>1</v>
      </c>
      <c r="AN4342" s="15" t="s">
        <v>4214</v>
      </c>
    </row>
    <row r="4343" spans="1:40" x14ac:dyDescent="0.3">
      <c r="A4343" s="10" t="str">
        <f>HYPERLINK("http://www.washoecounty.gov/assessor/cama/?parid=126-293-36&amp;CardNumber=1","126-293-36")</f>
        <v>126-293-36</v>
      </c>
      <c r="B4343" t="s">
        <v>4655</v>
      </c>
      <c r="C4343" t="s">
        <v>4624</v>
      </c>
      <c r="D4343" s="1">
        <v>40359</v>
      </c>
      <c r="E4343" s="2">
        <v>397500</v>
      </c>
      <c r="F4343" t="s">
        <v>4567</v>
      </c>
      <c r="G4343" s="17" t="str">
        <f>HYPERLINK("https://www.washoecounty.gov/assessor/cama/?command=sales&amp;parid=12629336","3897134")</f>
        <v>3897134</v>
      </c>
      <c r="H4343" t="s">
        <v>4689</v>
      </c>
      <c r="I4343">
        <v>1998</v>
      </c>
      <c r="J4343">
        <v>1998</v>
      </c>
      <c r="K4343" t="s">
        <v>4897</v>
      </c>
      <c r="L4343" t="s">
        <v>3044</v>
      </c>
      <c r="M4343" s="2">
        <v>1412</v>
      </c>
      <c r="N4343" t="s">
        <v>5106</v>
      </c>
      <c r="O4343">
        <v>2</v>
      </c>
      <c r="P4343">
        <v>2</v>
      </c>
      <c r="Q4343">
        <v>1</v>
      </c>
      <c r="R4343" t="s">
        <v>4557</v>
      </c>
      <c r="S4343" t="s">
        <v>4135</v>
      </c>
      <c r="T4343" t="s">
        <v>4559</v>
      </c>
      <c r="U4343" t="s">
        <v>4655</v>
      </c>
      <c r="V4343" s="2">
        <v>0</v>
      </c>
      <c r="W4343" t="s">
        <v>3201</v>
      </c>
      <c r="X4343" s="2">
        <v>616</v>
      </c>
      <c r="Y4343">
        <v>21</v>
      </c>
      <c r="Z4343" t="s">
        <v>1776</v>
      </c>
      <c r="AA4343" s="3">
        <v>0.10000000149011599</v>
      </c>
      <c r="AB4343" t="s">
        <v>23050</v>
      </c>
      <c r="AC4343" t="s">
        <v>4575</v>
      </c>
      <c r="AD4343" t="s">
        <v>23051</v>
      </c>
      <c r="AE4343" t="s">
        <v>4655</v>
      </c>
      <c r="AF4343" t="s">
        <v>3357</v>
      </c>
      <c r="AG4343" t="s">
        <v>4584</v>
      </c>
      <c r="AH4343" t="s">
        <v>23052</v>
      </c>
      <c r="AI4343" t="s">
        <v>23053</v>
      </c>
      <c r="AJ4343" t="s">
        <v>4655</v>
      </c>
      <c r="AK4343" t="s">
        <v>23054</v>
      </c>
      <c r="AL4343" s="13" t="s">
        <v>1893</v>
      </c>
      <c r="AM4343">
        <v>1</v>
      </c>
      <c r="AN4343" s="15" t="s">
        <v>4214</v>
      </c>
    </row>
    <row r="4344" spans="1:40" x14ac:dyDescent="0.3">
      <c r="A4344" s="10" t="str">
        <f>HYPERLINK("http://www.washoecounty.gov/assessor/cama/?parid=126-294-10&amp;CardNumber=1","126-294-10")</f>
        <v>126-294-10</v>
      </c>
      <c r="B4344" t="s">
        <v>4655</v>
      </c>
      <c r="C4344" t="s">
        <v>4624</v>
      </c>
      <c r="D4344" s="1">
        <v>40449</v>
      </c>
      <c r="E4344" s="2">
        <v>275000</v>
      </c>
      <c r="F4344" t="s">
        <v>4553</v>
      </c>
      <c r="G4344" s="17" t="str">
        <f>HYPERLINK("https://www.washoecounty.gov/assessor/cama/?command=sales&amp;parid=12629410","3926858")</f>
        <v>3926858</v>
      </c>
      <c r="H4344" t="s">
        <v>4689</v>
      </c>
      <c r="I4344">
        <v>1992</v>
      </c>
      <c r="J4344">
        <v>1992</v>
      </c>
      <c r="K4344" t="s">
        <v>3144</v>
      </c>
      <c r="L4344" t="s">
        <v>3974</v>
      </c>
      <c r="M4344" s="2">
        <v>1232</v>
      </c>
      <c r="N4344" t="s">
        <v>3887</v>
      </c>
      <c r="O4344">
        <v>2</v>
      </c>
      <c r="P4344">
        <v>2</v>
      </c>
      <c r="Q4344">
        <v>0</v>
      </c>
      <c r="R4344" t="s">
        <v>4557</v>
      </c>
      <c r="S4344" t="s">
        <v>4135</v>
      </c>
      <c r="T4344" t="s">
        <v>4559</v>
      </c>
      <c r="U4344" t="s">
        <v>4655</v>
      </c>
      <c r="V4344" s="2">
        <v>0</v>
      </c>
      <c r="W4344" t="s">
        <v>3201</v>
      </c>
      <c r="X4344" s="2">
        <v>616</v>
      </c>
      <c r="Y4344">
        <v>21</v>
      </c>
      <c r="Z4344" t="s">
        <v>1776</v>
      </c>
      <c r="AA4344" s="3">
        <v>1.00000004749745E-3</v>
      </c>
      <c r="AB4344" t="s">
        <v>23055</v>
      </c>
      <c r="AC4344" t="s">
        <v>4562</v>
      </c>
      <c r="AD4344" t="s">
        <v>23056</v>
      </c>
      <c r="AE4344" t="s">
        <v>4655</v>
      </c>
      <c r="AF4344" t="s">
        <v>23057</v>
      </c>
      <c r="AG4344" t="s">
        <v>5277</v>
      </c>
      <c r="AH4344" t="s">
        <v>23058</v>
      </c>
      <c r="AI4344" t="s">
        <v>687</v>
      </c>
      <c r="AJ4344" t="s">
        <v>4655</v>
      </c>
      <c r="AK4344" t="s">
        <v>23059</v>
      </c>
      <c r="AL4344" s="13" t="s">
        <v>1893</v>
      </c>
      <c r="AM4344" s="14">
        <v>1</v>
      </c>
      <c r="AN4344" s="15" t="s">
        <v>4214</v>
      </c>
    </row>
    <row r="4345" spans="1:40" x14ac:dyDescent="0.3">
      <c r="A4345" s="10" t="str">
        <f>HYPERLINK("http://www.washoecounty.gov/assessor/cama/?parid=126-294-22&amp;CardNumber=1","126-294-22")</f>
        <v>126-294-22</v>
      </c>
      <c r="B4345" t="s">
        <v>4655</v>
      </c>
      <c r="C4345" t="s">
        <v>4624</v>
      </c>
      <c r="D4345" s="1">
        <v>40325</v>
      </c>
      <c r="E4345" s="2">
        <v>25000</v>
      </c>
      <c r="F4345" t="s">
        <v>3259</v>
      </c>
      <c r="G4345" s="17" t="str">
        <f>HYPERLINK("https://www.washoecounty.gov/assessor/cama/?command=sales&amp;parid=12629422","3885703")</f>
        <v>3885703</v>
      </c>
      <c r="H4345" t="s">
        <v>4689</v>
      </c>
      <c r="I4345">
        <v>0</v>
      </c>
      <c r="J4345">
        <v>0</v>
      </c>
      <c r="K4345" t="s">
        <v>4655</v>
      </c>
      <c r="L4345" t="s">
        <v>4655</v>
      </c>
      <c r="M4345" s="2">
        <v>0</v>
      </c>
      <c r="N4345" t="s">
        <v>4655</v>
      </c>
      <c r="O4345">
        <v>0</v>
      </c>
      <c r="P4345">
        <v>0</v>
      </c>
      <c r="Q4345">
        <v>0</v>
      </c>
      <c r="R4345" t="s">
        <v>4655</v>
      </c>
      <c r="S4345" t="s">
        <v>4655</v>
      </c>
      <c r="T4345" t="s">
        <v>4655</v>
      </c>
      <c r="U4345" t="s">
        <v>4655</v>
      </c>
      <c r="V4345" s="2">
        <v>0</v>
      </c>
      <c r="W4345" t="s">
        <v>4655</v>
      </c>
      <c r="X4345" s="2">
        <v>0</v>
      </c>
      <c r="Y4345">
        <v>17</v>
      </c>
      <c r="Z4345" t="s">
        <v>1776</v>
      </c>
      <c r="AA4345" s="3">
        <v>0.10000000149011599</v>
      </c>
      <c r="AB4345" t="s">
        <v>23060</v>
      </c>
      <c r="AC4345" t="s">
        <v>4575</v>
      </c>
      <c r="AD4345" t="s">
        <v>23061</v>
      </c>
      <c r="AE4345" t="s">
        <v>23062</v>
      </c>
      <c r="AF4345" t="s">
        <v>3707</v>
      </c>
      <c r="AG4345" t="s">
        <v>4584</v>
      </c>
      <c r="AH4345" t="s">
        <v>23063</v>
      </c>
      <c r="AI4345" t="s">
        <v>23060</v>
      </c>
      <c r="AJ4345" t="s">
        <v>4655</v>
      </c>
      <c r="AK4345" t="s">
        <v>23064</v>
      </c>
      <c r="AL4345" s="13" t="s">
        <v>1893</v>
      </c>
      <c r="AM4345">
        <v>0</v>
      </c>
      <c r="AN4345" s="15" t="s">
        <v>3708</v>
      </c>
    </row>
    <row r="4346" spans="1:40" x14ac:dyDescent="0.3">
      <c r="A4346" s="10" t="str">
        <f>HYPERLINK("http://www.washoecounty.gov/assessor/cama/?parid=126-294-23&amp;CardNumber=1","126-294-23")</f>
        <v>126-294-23</v>
      </c>
      <c r="B4346" t="s">
        <v>4655</v>
      </c>
      <c r="C4346" t="s">
        <v>4624</v>
      </c>
      <c r="D4346" s="1">
        <v>40417</v>
      </c>
      <c r="E4346" s="2">
        <v>20000</v>
      </c>
      <c r="F4346" t="s">
        <v>3528</v>
      </c>
      <c r="G4346" s="17" t="str">
        <f>HYPERLINK("https://www.washoecounty.gov/assessor/cama/?command=sales&amp;parid=12629423","3916241")</f>
        <v>3916241</v>
      </c>
      <c r="H4346" t="s">
        <v>4689</v>
      </c>
      <c r="I4346">
        <v>0</v>
      </c>
      <c r="J4346">
        <v>0</v>
      </c>
      <c r="K4346" t="s">
        <v>4655</v>
      </c>
      <c r="L4346" t="s">
        <v>4655</v>
      </c>
      <c r="M4346" s="2">
        <v>0</v>
      </c>
      <c r="N4346" t="s">
        <v>4655</v>
      </c>
      <c r="O4346">
        <v>0</v>
      </c>
      <c r="P4346">
        <v>0</v>
      </c>
      <c r="Q4346">
        <v>0</v>
      </c>
      <c r="R4346" t="s">
        <v>4655</v>
      </c>
      <c r="S4346" t="s">
        <v>4655</v>
      </c>
      <c r="T4346" t="s">
        <v>4655</v>
      </c>
      <c r="U4346" t="s">
        <v>4655</v>
      </c>
      <c r="V4346" s="2">
        <v>0</v>
      </c>
      <c r="W4346" t="s">
        <v>4655</v>
      </c>
      <c r="X4346" s="2">
        <v>0</v>
      </c>
      <c r="Y4346">
        <v>17</v>
      </c>
      <c r="Z4346" t="s">
        <v>1776</v>
      </c>
      <c r="AA4346" s="3">
        <v>0.10000000149011599</v>
      </c>
      <c r="AB4346" t="s">
        <v>23065</v>
      </c>
      <c r="AC4346" t="s">
        <v>4562</v>
      </c>
      <c r="AD4346" t="s">
        <v>23066</v>
      </c>
      <c r="AE4346" t="s">
        <v>4655</v>
      </c>
      <c r="AF4346" t="s">
        <v>969</v>
      </c>
      <c r="AG4346" t="s">
        <v>4584</v>
      </c>
      <c r="AH4346" t="s">
        <v>1476</v>
      </c>
      <c r="AI4346" t="s">
        <v>23067</v>
      </c>
      <c r="AJ4346" t="s">
        <v>4655</v>
      </c>
      <c r="AK4346" t="s">
        <v>1477</v>
      </c>
      <c r="AL4346" s="13" t="s">
        <v>1893</v>
      </c>
      <c r="AM4346">
        <v>0</v>
      </c>
      <c r="AN4346" s="15" t="s">
        <v>3708</v>
      </c>
    </row>
    <row r="4347" spans="1:40" x14ac:dyDescent="0.3">
      <c r="A4347" s="10" t="str">
        <f>HYPERLINK("http://www.washoecounty.gov/assessor/cama/?parid=126-294-47&amp;CardNumber=1","126-294-47")</f>
        <v>126-294-47</v>
      </c>
      <c r="B4347" t="s">
        <v>4655</v>
      </c>
      <c r="C4347" t="s">
        <v>4624</v>
      </c>
      <c r="D4347" s="1">
        <v>40206</v>
      </c>
      <c r="E4347" s="2">
        <v>317000</v>
      </c>
      <c r="F4347" t="s">
        <v>4553</v>
      </c>
      <c r="G4347" s="17" t="str">
        <f>HYPERLINK("https://www.washoecounty.gov/assessor/cama/?command=sales&amp;parid=12629447","3843745")</f>
        <v>3843745</v>
      </c>
      <c r="H4347" t="s">
        <v>4689</v>
      </c>
      <c r="I4347">
        <v>1999</v>
      </c>
      <c r="J4347">
        <v>1999</v>
      </c>
      <c r="K4347" t="s">
        <v>4897</v>
      </c>
      <c r="L4347" t="s">
        <v>3044</v>
      </c>
      <c r="M4347" s="2">
        <v>1412</v>
      </c>
      <c r="N4347" t="s">
        <v>5106</v>
      </c>
      <c r="O4347">
        <v>2</v>
      </c>
      <c r="P4347">
        <v>2</v>
      </c>
      <c r="Q4347">
        <v>1</v>
      </c>
      <c r="R4347" t="s">
        <v>4557</v>
      </c>
      <c r="S4347" t="s">
        <v>4135</v>
      </c>
      <c r="T4347" t="s">
        <v>4559</v>
      </c>
      <c r="U4347" t="s">
        <v>4655</v>
      </c>
      <c r="V4347" s="2">
        <v>0</v>
      </c>
      <c r="W4347" t="s">
        <v>4571</v>
      </c>
      <c r="X4347" s="2">
        <v>616</v>
      </c>
      <c r="Y4347">
        <v>21</v>
      </c>
      <c r="Z4347" t="s">
        <v>1776</v>
      </c>
      <c r="AA4347" s="3">
        <v>0.10000000149011599</v>
      </c>
      <c r="AB4347" t="s">
        <v>23068</v>
      </c>
      <c r="AC4347" t="s">
        <v>4575</v>
      </c>
      <c r="AD4347" t="s">
        <v>23069</v>
      </c>
      <c r="AE4347" t="s">
        <v>4655</v>
      </c>
      <c r="AF4347" t="s">
        <v>745</v>
      </c>
      <c r="AG4347" t="s">
        <v>4584</v>
      </c>
      <c r="AH4347">
        <v>94070</v>
      </c>
      <c r="AI4347" t="s">
        <v>23070</v>
      </c>
      <c r="AJ4347" t="s">
        <v>4655</v>
      </c>
      <c r="AK4347" t="s">
        <v>23071</v>
      </c>
      <c r="AL4347" s="13" t="s">
        <v>1893</v>
      </c>
      <c r="AM4347" s="14">
        <v>1</v>
      </c>
      <c r="AN4347" s="15" t="s">
        <v>4214</v>
      </c>
    </row>
    <row r="4348" spans="1:40" x14ac:dyDescent="0.3">
      <c r="A4348" s="10" t="str">
        <f>HYPERLINK("http://www.washoecounty.gov/assessor/cama/?parid=126-295-13&amp;CardNumber=1","126-295-13")</f>
        <v>126-295-13</v>
      </c>
      <c r="B4348" t="s">
        <v>4655</v>
      </c>
      <c r="C4348" t="s">
        <v>4624</v>
      </c>
      <c r="D4348" s="1">
        <v>40478</v>
      </c>
      <c r="E4348" s="2">
        <v>372000</v>
      </c>
      <c r="F4348" t="s">
        <v>4567</v>
      </c>
      <c r="G4348" s="17" t="str">
        <f>HYPERLINK("https://www.washoecounty.gov/assessor/cama/?command=sales&amp;parid=12629513","3936969")</f>
        <v>3936969</v>
      </c>
      <c r="H4348" t="s">
        <v>4689</v>
      </c>
      <c r="I4348">
        <v>1996</v>
      </c>
      <c r="J4348">
        <v>1996</v>
      </c>
      <c r="K4348" t="s">
        <v>4897</v>
      </c>
      <c r="L4348" t="s">
        <v>3044</v>
      </c>
      <c r="M4348" s="2">
        <v>1412</v>
      </c>
      <c r="N4348" t="s">
        <v>5106</v>
      </c>
      <c r="O4348">
        <v>2</v>
      </c>
      <c r="P4348">
        <v>2</v>
      </c>
      <c r="Q4348">
        <v>1</v>
      </c>
      <c r="R4348" t="s">
        <v>4557</v>
      </c>
      <c r="S4348" t="s">
        <v>4135</v>
      </c>
      <c r="T4348" t="s">
        <v>4559</v>
      </c>
      <c r="U4348" t="s">
        <v>4655</v>
      </c>
      <c r="V4348" s="2">
        <v>0</v>
      </c>
      <c r="W4348" t="s">
        <v>3201</v>
      </c>
      <c r="X4348" s="2">
        <v>616</v>
      </c>
      <c r="Y4348">
        <v>21</v>
      </c>
      <c r="Z4348" t="s">
        <v>1776</v>
      </c>
      <c r="AA4348" s="3">
        <v>0.10000000149011599</v>
      </c>
      <c r="AB4348" t="s">
        <v>23072</v>
      </c>
      <c r="AC4348" t="s">
        <v>4575</v>
      </c>
      <c r="AD4348" t="s">
        <v>23073</v>
      </c>
      <c r="AE4348" t="s">
        <v>4655</v>
      </c>
      <c r="AF4348" t="s">
        <v>2484</v>
      </c>
      <c r="AG4348" t="s">
        <v>4584</v>
      </c>
      <c r="AH4348" t="s">
        <v>2485</v>
      </c>
      <c r="AI4348" t="s">
        <v>23074</v>
      </c>
      <c r="AJ4348" t="s">
        <v>4655</v>
      </c>
      <c r="AK4348" t="s">
        <v>23075</v>
      </c>
      <c r="AL4348" s="13" t="s">
        <v>1893</v>
      </c>
      <c r="AM4348" s="14">
        <v>1</v>
      </c>
      <c r="AN4348" s="15" t="s">
        <v>4214</v>
      </c>
    </row>
    <row r="4349" spans="1:40" x14ac:dyDescent="0.3">
      <c r="A4349" s="10" t="str">
        <f>HYPERLINK("http://www.washoecounty.gov/assessor/cama/?parid=126-430-33&amp;CardNumber=1","126-430-33")</f>
        <v>126-430-33</v>
      </c>
      <c r="B4349" t="s">
        <v>4655</v>
      </c>
      <c r="C4349" t="s">
        <v>23076</v>
      </c>
      <c r="D4349" s="1">
        <v>40290</v>
      </c>
      <c r="E4349" s="2">
        <v>270000</v>
      </c>
      <c r="F4349" t="s">
        <v>4567</v>
      </c>
      <c r="G4349" s="17" t="str">
        <f>HYPERLINK("https://www.washoecounty.gov/assessor/cama/?command=sales&amp;parid=12643033","3873522")</f>
        <v>3873522</v>
      </c>
      <c r="H4349" t="s">
        <v>23077</v>
      </c>
      <c r="I4349">
        <v>1969</v>
      </c>
      <c r="J4349">
        <v>1969</v>
      </c>
      <c r="K4349" t="s">
        <v>4554</v>
      </c>
      <c r="L4349" t="s">
        <v>4555</v>
      </c>
      <c r="M4349" s="2">
        <v>1024</v>
      </c>
      <c r="N4349" t="s">
        <v>5280</v>
      </c>
      <c r="O4349">
        <v>2</v>
      </c>
      <c r="P4349">
        <v>2</v>
      </c>
      <c r="Q4349">
        <v>0</v>
      </c>
      <c r="R4349" t="s">
        <v>4557</v>
      </c>
      <c r="S4349" t="s">
        <v>4898</v>
      </c>
      <c r="T4349" t="s">
        <v>4559</v>
      </c>
      <c r="U4349" t="s">
        <v>4655</v>
      </c>
      <c r="V4349" s="2">
        <v>0</v>
      </c>
      <c r="W4349" t="s">
        <v>4655</v>
      </c>
      <c r="X4349" s="2">
        <v>0</v>
      </c>
      <c r="Y4349">
        <v>21</v>
      </c>
      <c r="Z4349" t="s">
        <v>1776</v>
      </c>
      <c r="AA4349" s="3">
        <v>1.00000004749745E-3</v>
      </c>
      <c r="AB4349" t="s">
        <v>23078</v>
      </c>
      <c r="AC4349" t="s">
        <v>4575</v>
      </c>
      <c r="AD4349" t="s">
        <v>23079</v>
      </c>
      <c r="AE4349" t="s">
        <v>4655</v>
      </c>
      <c r="AF4349" t="s">
        <v>23080</v>
      </c>
      <c r="AG4349" t="s">
        <v>424</v>
      </c>
      <c r="AH4349">
        <v>16801</v>
      </c>
      <c r="AI4349" t="s">
        <v>23081</v>
      </c>
      <c r="AJ4349" t="s">
        <v>4655</v>
      </c>
      <c r="AK4349" t="s">
        <v>23082</v>
      </c>
      <c r="AL4349" s="13" t="s">
        <v>1893</v>
      </c>
      <c r="AM4349">
        <v>1</v>
      </c>
      <c r="AN4349" s="15" t="s">
        <v>4067</v>
      </c>
    </row>
    <row r="4350" spans="1:40" x14ac:dyDescent="0.3">
      <c r="A4350" s="10" t="str">
        <f>HYPERLINK("http://www.washoecounty.gov/assessor/cama/?parid=126-470-01&amp;CardNumber=1","126-470-01")</f>
        <v>126-470-01</v>
      </c>
      <c r="B4350" t="s">
        <v>4655</v>
      </c>
      <c r="C4350" t="s">
        <v>23083</v>
      </c>
      <c r="D4350" s="1">
        <v>40534</v>
      </c>
      <c r="E4350" s="2">
        <v>155000</v>
      </c>
      <c r="F4350" t="s">
        <v>4567</v>
      </c>
      <c r="G4350" s="17" t="str">
        <f>HYPERLINK("https://www.washoecounty.gov/assessor/cama/?command=sales&amp;parid=12647001","3956198")</f>
        <v>3956198</v>
      </c>
      <c r="H4350" t="s">
        <v>783</v>
      </c>
      <c r="I4350">
        <v>1970</v>
      </c>
      <c r="J4350">
        <v>1970</v>
      </c>
      <c r="K4350" t="s">
        <v>4554</v>
      </c>
      <c r="L4350" t="s">
        <v>3974</v>
      </c>
      <c r="M4350" s="2">
        <v>1200</v>
      </c>
      <c r="N4350" t="s">
        <v>5280</v>
      </c>
      <c r="O4350">
        <v>3</v>
      </c>
      <c r="P4350">
        <v>2</v>
      </c>
      <c r="Q4350">
        <v>0</v>
      </c>
      <c r="R4350" t="s">
        <v>4557</v>
      </c>
      <c r="S4350" t="s">
        <v>4898</v>
      </c>
      <c r="T4350" t="s">
        <v>4143</v>
      </c>
      <c r="U4350" t="s">
        <v>4655</v>
      </c>
      <c r="V4350" s="2">
        <v>0</v>
      </c>
      <c r="W4350" t="s">
        <v>4655</v>
      </c>
      <c r="X4350" s="2">
        <v>0</v>
      </c>
      <c r="Y4350">
        <v>21</v>
      </c>
      <c r="Z4350" t="s">
        <v>1776</v>
      </c>
      <c r="AA4350" s="3">
        <v>0.10000000149011599</v>
      </c>
      <c r="AB4350" t="s">
        <v>23084</v>
      </c>
      <c r="AC4350" t="s">
        <v>4562</v>
      </c>
      <c r="AD4350" t="s">
        <v>23085</v>
      </c>
      <c r="AE4350" t="s">
        <v>4655</v>
      </c>
      <c r="AF4350" t="s">
        <v>1262</v>
      </c>
      <c r="AG4350" t="s">
        <v>4564</v>
      </c>
      <c r="AH4350" t="s">
        <v>3891</v>
      </c>
      <c r="AI4350" t="s">
        <v>23086</v>
      </c>
      <c r="AJ4350" t="s">
        <v>4655</v>
      </c>
      <c r="AK4350" t="s">
        <v>23087</v>
      </c>
      <c r="AL4350" s="13" t="s">
        <v>1893</v>
      </c>
      <c r="AM4350">
        <v>1</v>
      </c>
      <c r="AN4350" s="15" t="s">
        <v>4067</v>
      </c>
    </row>
    <row r="4351" spans="1:40" x14ac:dyDescent="0.3">
      <c r="A4351" s="10" t="str">
        <f>HYPERLINK("http://www.washoecounty.gov/assessor/cama/?parid=126-500-17&amp;CardNumber=1","126-500-17")</f>
        <v>126-500-17</v>
      </c>
      <c r="B4351" t="s">
        <v>4655</v>
      </c>
      <c r="C4351" t="s">
        <v>23088</v>
      </c>
      <c r="D4351" s="1">
        <v>40185</v>
      </c>
      <c r="E4351" s="2">
        <v>290000</v>
      </c>
      <c r="F4351" t="s">
        <v>4567</v>
      </c>
      <c r="G4351" s="17" t="str">
        <f>HYPERLINK("https://www.washoecounty.gov/assessor/cama/?command=sales&amp;parid=12650017","3837414")</f>
        <v>3837414</v>
      </c>
      <c r="H4351" t="s">
        <v>4215</v>
      </c>
      <c r="I4351">
        <v>1970</v>
      </c>
      <c r="J4351">
        <v>1970</v>
      </c>
      <c r="K4351" t="s">
        <v>4554</v>
      </c>
      <c r="L4351" t="s">
        <v>3974</v>
      </c>
      <c r="M4351" s="2">
        <v>1297</v>
      </c>
      <c r="N4351" t="s">
        <v>5280</v>
      </c>
      <c r="O4351">
        <v>3</v>
      </c>
      <c r="P4351">
        <v>2</v>
      </c>
      <c r="Q4351">
        <v>0</v>
      </c>
      <c r="R4351" t="s">
        <v>4557</v>
      </c>
      <c r="S4351" t="s">
        <v>4135</v>
      </c>
      <c r="T4351" t="s">
        <v>4559</v>
      </c>
      <c r="U4351" t="s">
        <v>4655</v>
      </c>
      <c r="V4351" s="2">
        <v>0</v>
      </c>
      <c r="W4351" t="s">
        <v>4655</v>
      </c>
      <c r="X4351" s="2">
        <v>0</v>
      </c>
      <c r="Y4351">
        <v>21</v>
      </c>
      <c r="Z4351" t="s">
        <v>1776</v>
      </c>
      <c r="AA4351" s="3">
        <v>0.10000000149011599</v>
      </c>
      <c r="AB4351" t="s">
        <v>23089</v>
      </c>
      <c r="AC4351" t="s">
        <v>4575</v>
      </c>
      <c r="AD4351" t="s">
        <v>23090</v>
      </c>
      <c r="AE4351" t="s">
        <v>4655</v>
      </c>
      <c r="AF4351" t="s">
        <v>13674</v>
      </c>
      <c r="AG4351" t="s">
        <v>4584</v>
      </c>
      <c r="AH4351">
        <v>92020</v>
      </c>
      <c r="AI4351" t="s">
        <v>4655</v>
      </c>
      <c r="AJ4351" t="s">
        <v>4655</v>
      </c>
      <c r="AK4351" t="s">
        <v>23091</v>
      </c>
      <c r="AL4351" s="13" t="s">
        <v>1893</v>
      </c>
      <c r="AM4351" s="14">
        <v>1</v>
      </c>
      <c r="AN4351" s="15" t="s">
        <v>4067</v>
      </c>
    </row>
    <row r="4352" spans="1:40" x14ac:dyDescent="0.3">
      <c r="A4352" s="10" t="str">
        <f>HYPERLINK("http://www.washoecounty.gov/assessor/cama/?parid=126-510-20&amp;CardNumber=1","126-510-20")</f>
        <v>126-510-20</v>
      </c>
      <c r="B4352" t="s">
        <v>4655</v>
      </c>
      <c r="C4352" t="s">
        <v>23092</v>
      </c>
      <c r="D4352" s="1">
        <v>40389</v>
      </c>
      <c r="E4352" s="2">
        <v>425000</v>
      </c>
      <c r="F4352" t="s">
        <v>4567</v>
      </c>
      <c r="G4352" s="17" t="str">
        <f>HYPERLINK("https://www.washoecounty.gov/assessor/cama/?command=sales&amp;parid=12651020","3907273")</f>
        <v>3907273</v>
      </c>
      <c r="H4352" t="s">
        <v>4215</v>
      </c>
      <c r="I4352">
        <v>1979</v>
      </c>
      <c r="J4352">
        <v>1979</v>
      </c>
      <c r="K4352" t="s">
        <v>4554</v>
      </c>
      <c r="L4352" t="s">
        <v>3044</v>
      </c>
      <c r="M4352" s="2">
        <v>2594</v>
      </c>
      <c r="N4352" t="s">
        <v>3147</v>
      </c>
      <c r="O4352">
        <v>3</v>
      </c>
      <c r="P4352">
        <v>2</v>
      </c>
      <c r="Q4352">
        <v>0</v>
      </c>
      <c r="R4352" t="s">
        <v>4557</v>
      </c>
      <c r="S4352" t="s">
        <v>4135</v>
      </c>
      <c r="T4352" t="s">
        <v>4559</v>
      </c>
      <c r="U4352" t="s">
        <v>4560</v>
      </c>
      <c r="V4352" s="2">
        <v>418</v>
      </c>
      <c r="W4352" t="s">
        <v>4655</v>
      </c>
      <c r="X4352" s="2">
        <v>0</v>
      </c>
      <c r="Y4352">
        <v>21</v>
      </c>
      <c r="Z4352" t="s">
        <v>1776</v>
      </c>
      <c r="AA4352" s="3">
        <v>0.10000000149011599</v>
      </c>
      <c r="AB4352" t="s">
        <v>23093</v>
      </c>
      <c r="AC4352" t="s">
        <v>4562</v>
      </c>
      <c r="AD4352" t="s">
        <v>23094</v>
      </c>
      <c r="AE4352" t="s">
        <v>4655</v>
      </c>
      <c r="AF4352" t="s">
        <v>932</v>
      </c>
      <c r="AG4352" t="s">
        <v>4584</v>
      </c>
      <c r="AH4352" t="s">
        <v>1790</v>
      </c>
      <c r="AI4352" t="s">
        <v>4655</v>
      </c>
      <c r="AJ4352" t="s">
        <v>4655</v>
      </c>
      <c r="AK4352" t="s">
        <v>23095</v>
      </c>
      <c r="AL4352" s="13" t="s">
        <v>1893</v>
      </c>
      <c r="AM4352" s="14">
        <v>1</v>
      </c>
      <c r="AN4352" s="15" t="s">
        <v>4067</v>
      </c>
    </row>
    <row r="4353" spans="1:40" x14ac:dyDescent="0.3">
      <c r="A4353" s="10" t="str">
        <f>HYPERLINK("http://www.washoecounty.gov/assessor/cama/?parid=126-550-04&amp;CardNumber=1","126-550-04")</f>
        <v>126-550-04</v>
      </c>
      <c r="B4353" t="s">
        <v>4655</v>
      </c>
      <c r="C4353" t="s">
        <v>23096</v>
      </c>
      <c r="D4353" s="1">
        <v>40290</v>
      </c>
      <c r="E4353" s="2">
        <v>250000</v>
      </c>
      <c r="F4353" t="s">
        <v>4553</v>
      </c>
      <c r="G4353" s="17" t="str">
        <f>HYPERLINK("https://www.washoecounty.gov/assessor/cama/?command=sales&amp;parid=12655004","3873527")</f>
        <v>3873527</v>
      </c>
      <c r="H4353" t="s">
        <v>3689</v>
      </c>
      <c r="I4353">
        <v>1993</v>
      </c>
      <c r="J4353">
        <v>1993</v>
      </c>
      <c r="K4353" t="s">
        <v>4554</v>
      </c>
      <c r="L4353" t="s">
        <v>23097</v>
      </c>
      <c r="M4353" s="2">
        <v>3240</v>
      </c>
      <c r="N4353" t="s">
        <v>1245</v>
      </c>
      <c r="O4353">
        <v>4</v>
      </c>
      <c r="P4353">
        <v>4</v>
      </c>
      <c r="Q4353">
        <v>0</v>
      </c>
      <c r="R4353" t="s">
        <v>4557</v>
      </c>
      <c r="S4353" t="s">
        <v>4898</v>
      </c>
      <c r="T4353" t="s">
        <v>3888</v>
      </c>
      <c r="U4353" t="s">
        <v>4560</v>
      </c>
      <c r="V4353" s="2">
        <v>940</v>
      </c>
      <c r="W4353" t="s">
        <v>4655</v>
      </c>
      <c r="X4353" s="2">
        <v>0</v>
      </c>
      <c r="Y4353">
        <v>21</v>
      </c>
      <c r="Z4353" t="s">
        <v>1776</v>
      </c>
      <c r="AA4353" s="3">
        <v>0.10000000149011599</v>
      </c>
      <c r="AB4353" t="s">
        <v>23098</v>
      </c>
      <c r="AC4353" t="s">
        <v>4562</v>
      </c>
      <c r="AD4353" t="s">
        <v>23099</v>
      </c>
      <c r="AE4353" t="s">
        <v>4655</v>
      </c>
      <c r="AF4353" t="s">
        <v>1189</v>
      </c>
      <c r="AG4353" t="s">
        <v>4564</v>
      </c>
      <c r="AH4353">
        <v>89120</v>
      </c>
      <c r="AI4353" t="s">
        <v>23100</v>
      </c>
      <c r="AJ4353" t="s">
        <v>4655</v>
      </c>
      <c r="AK4353" t="s">
        <v>23101</v>
      </c>
      <c r="AL4353" s="13" t="s">
        <v>1893</v>
      </c>
      <c r="AM4353">
        <v>1</v>
      </c>
      <c r="AN4353" s="15" t="s">
        <v>4067</v>
      </c>
    </row>
    <row r="4354" spans="1:40" x14ac:dyDescent="0.3">
      <c r="A4354" s="10" t="str">
        <f>HYPERLINK("http://www.washoecounty.gov/assessor/cama/?parid=126-560-08&amp;CardNumber=1","126-560-08")</f>
        <v>126-560-08</v>
      </c>
      <c r="B4354" t="s">
        <v>4655</v>
      </c>
      <c r="C4354" t="s">
        <v>23102</v>
      </c>
      <c r="D4354" s="1">
        <v>40276</v>
      </c>
      <c r="E4354" s="2">
        <v>860000</v>
      </c>
      <c r="F4354" t="s">
        <v>4567</v>
      </c>
      <c r="G4354" s="17" t="str">
        <f>HYPERLINK("https://www.washoecounty.gov/assessor/cama/?command=sales&amp;parid=12656008","3869116")</f>
        <v>3869116</v>
      </c>
      <c r="H4354" t="s">
        <v>23103</v>
      </c>
      <c r="I4354">
        <v>1979</v>
      </c>
      <c r="J4354">
        <v>1979</v>
      </c>
      <c r="K4354" t="s">
        <v>4554</v>
      </c>
      <c r="L4354" t="s">
        <v>3044</v>
      </c>
      <c r="M4354" s="2">
        <v>2352</v>
      </c>
      <c r="N4354" t="s">
        <v>5280</v>
      </c>
      <c r="O4354">
        <v>3</v>
      </c>
      <c r="P4354">
        <v>2</v>
      </c>
      <c r="Q4354">
        <v>1</v>
      </c>
      <c r="R4354" t="s">
        <v>4557</v>
      </c>
      <c r="S4354" t="s">
        <v>4135</v>
      </c>
      <c r="T4354" t="s">
        <v>4559</v>
      </c>
      <c r="U4354" t="s">
        <v>4655</v>
      </c>
      <c r="V4354" s="2">
        <v>0</v>
      </c>
      <c r="W4354" t="s">
        <v>4655</v>
      </c>
      <c r="X4354" s="2">
        <v>0</v>
      </c>
      <c r="Y4354">
        <v>21</v>
      </c>
      <c r="Z4354" t="s">
        <v>1776</v>
      </c>
      <c r="AA4354" s="3">
        <v>1.00000004749745E-3</v>
      </c>
      <c r="AB4354" t="s">
        <v>23104</v>
      </c>
      <c r="AC4354" t="s">
        <v>4575</v>
      </c>
      <c r="AD4354" t="s">
        <v>23105</v>
      </c>
      <c r="AE4354" t="s">
        <v>4655</v>
      </c>
      <c r="AF4354" t="s">
        <v>2408</v>
      </c>
      <c r="AG4354" t="s">
        <v>4584</v>
      </c>
      <c r="AH4354">
        <v>94010</v>
      </c>
      <c r="AI4354" t="s">
        <v>23106</v>
      </c>
      <c r="AJ4354" t="s">
        <v>4655</v>
      </c>
      <c r="AK4354" t="s">
        <v>23103</v>
      </c>
      <c r="AL4354" s="13" t="s">
        <v>1893</v>
      </c>
      <c r="AM4354">
        <v>1</v>
      </c>
      <c r="AN4354" s="15" t="s">
        <v>4067</v>
      </c>
    </row>
    <row r="4355" spans="1:40" x14ac:dyDescent="0.3">
      <c r="A4355" s="10" t="str">
        <f>HYPERLINK("http://www.washoecounty.gov/assessor/cama/?parid=126-580-02&amp;CardNumber=1","126-580-02")</f>
        <v>126-580-02</v>
      </c>
      <c r="B4355" t="s">
        <v>4655</v>
      </c>
      <c r="C4355" t="s">
        <v>23107</v>
      </c>
      <c r="D4355" s="1">
        <v>40485</v>
      </c>
      <c r="E4355" s="2">
        <v>79000</v>
      </c>
      <c r="F4355" t="s">
        <v>3528</v>
      </c>
      <c r="G4355" s="17" t="str">
        <f>HYPERLINK("https://www.washoecounty.gov/assessor/cama/?command=sales&amp;parid=12658002","3939531")</f>
        <v>3939531</v>
      </c>
      <c r="H4355" t="s">
        <v>3689</v>
      </c>
      <c r="I4355">
        <v>0</v>
      </c>
      <c r="J4355">
        <v>0</v>
      </c>
      <c r="K4355" t="s">
        <v>4655</v>
      </c>
      <c r="L4355" t="s">
        <v>4655</v>
      </c>
      <c r="M4355" s="2">
        <v>0</v>
      </c>
      <c r="N4355" t="s">
        <v>4655</v>
      </c>
      <c r="O4355">
        <v>0</v>
      </c>
      <c r="P4355">
        <v>0</v>
      </c>
      <c r="Q4355">
        <v>0</v>
      </c>
      <c r="R4355" t="s">
        <v>4655</v>
      </c>
      <c r="S4355" t="s">
        <v>4655</v>
      </c>
      <c r="T4355" t="s">
        <v>4655</v>
      </c>
      <c r="U4355" t="s">
        <v>4655</v>
      </c>
      <c r="V4355" s="2">
        <v>0</v>
      </c>
      <c r="W4355" t="s">
        <v>4655</v>
      </c>
      <c r="X4355" s="2">
        <v>0</v>
      </c>
      <c r="Y4355">
        <v>12</v>
      </c>
      <c r="Z4355" t="s">
        <v>1776</v>
      </c>
      <c r="AA4355" s="3">
        <v>4.6005509793758399E-2</v>
      </c>
      <c r="AB4355" t="s">
        <v>685</v>
      </c>
      <c r="AC4355" t="s">
        <v>4575</v>
      </c>
      <c r="AD4355" t="s">
        <v>5572</v>
      </c>
      <c r="AE4355" t="s">
        <v>4655</v>
      </c>
      <c r="AF4355" t="s">
        <v>686</v>
      </c>
      <c r="AG4355" t="s">
        <v>4584</v>
      </c>
      <c r="AH4355">
        <v>94126</v>
      </c>
      <c r="AI4355" t="s">
        <v>23108</v>
      </c>
      <c r="AJ4355" t="s">
        <v>4655</v>
      </c>
      <c r="AK4355" t="s">
        <v>23109</v>
      </c>
      <c r="AL4355" s="13" t="s">
        <v>1893</v>
      </c>
      <c r="AM4355">
        <v>0</v>
      </c>
      <c r="AN4355" s="15" t="s">
        <v>4067</v>
      </c>
    </row>
    <row r="4356" spans="1:40" x14ac:dyDescent="0.3">
      <c r="A4356" s="10" t="str">
        <f>HYPERLINK("http://www.washoecounty.gov/assessor/cama/?parid=126-590-05&amp;CardNumber=1","126-590-05")</f>
        <v>126-590-05</v>
      </c>
      <c r="B4356" t="s">
        <v>4655</v>
      </c>
      <c r="C4356" t="s">
        <v>23110</v>
      </c>
      <c r="D4356" s="1">
        <v>40394</v>
      </c>
      <c r="E4356" s="2">
        <v>380000</v>
      </c>
      <c r="F4356" t="s">
        <v>4567</v>
      </c>
      <c r="G4356" s="17" t="str">
        <f>HYPERLINK("https://www.washoecounty.gov/assessor/cama/?command=sales&amp;parid=12659005","3908510")</f>
        <v>3908510</v>
      </c>
      <c r="H4356" t="s">
        <v>23111</v>
      </c>
      <c r="I4356">
        <v>1980</v>
      </c>
      <c r="J4356">
        <v>1980</v>
      </c>
      <c r="K4356" t="s">
        <v>4554</v>
      </c>
      <c r="L4356" t="s">
        <v>3974</v>
      </c>
      <c r="M4356" s="2">
        <v>1616</v>
      </c>
      <c r="N4356" t="s">
        <v>5280</v>
      </c>
      <c r="O4356">
        <v>3</v>
      </c>
      <c r="P4356">
        <v>2</v>
      </c>
      <c r="Q4356">
        <v>1</v>
      </c>
      <c r="R4356" t="s">
        <v>4557</v>
      </c>
      <c r="S4356" t="s">
        <v>4135</v>
      </c>
      <c r="T4356" t="s">
        <v>4559</v>
      </c>
      <c r="U4356" t="s">
        <v>4655</v>
      </c>
      <c r="V4356" s="2">
        <v>0</v>
      </c>
      <c r="W4356" t="s">
        <v>4655</v>
      </c>
      <c r="X4356" s="2">
        <v>0</v>
      </c>
      <c r="Y4356">
        <v>21</v>
      </c>
      <c r="Z4356" t="s">
        <v>1776</v>
      </c>
      <c r="AA4356" s="3">
        <v>1.00000004749745E-3</v>
      </c>
      <c r="AB4356" t="s">
        <v>23112</v>
      </c>
      <c r="AC4356" t="s">
        <v>4562</v>
      </c>
      <c r="AD4356" t="s">
        <v>23113</v>
      </c>
      <c r="AE4356" t="s">
        <v>4655</v>
      </c>
      <c r="AF4356" t="s">
        <v>23114</v>
      </c>
      <c r="AG4356" t="s">
        <v>4584</v>
      </c>
      <c r="AH4356" t="s">
        <v>23115</v>
      </c>
      <c r="AI4356" t="s">
        <v>23116</v>
      </c>
      <c r="AJ4356" t="s">
        <v>4655</v>
      </c>
      <c r="AK4356" t="s">
        <v>23111</v>
      </c>
      <c r="AL4356" s="13" t="s">
        <v>1893</v>
      </c>
      <c r="AM4356" s="14">
        <v>1</v>
      </c>
      <c r="AN4356" s="15" t="s">
        <v>4067</v>
      </c>
    </row>
    <row r="4357" spans="1:40" x14ac:dyDescent="0.3">
      <c r="A4357" s="10" t="str">
        <f>HYPERLINK("http://www.washoecounty.gov/assessor/cama/?parid=126-590-11&amp;CardNumber=1","126-590-11")</f>
        <v>126-590-11</v>
      </c>
      <c r="B4357" t="s">
        <v>4655</v>
      </c>
      <c r="C4357" t="s">
        <v>23117</v>
      </c>
      <c r="D4357" s="1">
        <v>40198</v>
      </c>
      <c r="E4357" s="2">
        <v>595000</v>
      </c>
      <c r="F4357" t="s">
        <v>4567</v>
      </c>
      <c r="G4357" s="17" t="str">
        <f>HYPERLINK("https://www.washoecounty.gov/assessor/cama/?command=sales&amp;parid=12659011","3841219")</f>
        <v>3841219</v>
      </c>
      <c r="H4357" t="s">
        <v>23118</v>
      </c>
      <c r="I4357">
        <v>1996</v>
      </c>
      <c r="J4357">
        <v>1996</v>
      </c>
      <c r="K4357" t="s">
        <v>4554</v>
      </c>
      <c r="L4357" t="s">
        <v>3974</v>
      </c>
      <c r="M4357" s="2">
        <v>2528</v>
      </c>
      <c r="N4357" t="s">
        <v>3887</v>
      </c>
      <c r="O4357">
        <v>3</v>
      </c>
      <c r="P4357">
        <v>2</v>
      </c>
      <c r="Q4357">
        <v>1</v>
      </c>
      <c r="R4357" t="s">
        <v>5205</v>
      </c>
      <c r="S4357" t="s">
        <v>4135</v>
      </c>
      <c r="T4357" t="s">
        <v>3888</v>
      </c>
      <c r="U4357" t="s">
        <v>4560</v>
      </c>
      <c r="V4357" s="2">
        <v>400</v>
      </c>
      <c r="W4357" t="s">
        <v>4655</v>
      </c>
      <c r="X4357" s="2">
        <v>0</v>
      </c>
      <c r="Y4357">
        <v>21</v>
      </c>
      <c r="Z4357" t="s">
        <v>1776</v>
      </c>
      <c r="AA4357" s="3">
        <v>4.6005509793758399E-2</v>
      </c>
      <c r="AB4357" t="s">
        <v>23119</v>
      </c>
      <c r="AC4357" t="s">
        <v>4562</v>
      </c>
      <c r="AD4357" t="s">
        <v>23120</v>
      </c>
      <c r="AE4357" t="s">
        <v>4655</v>
      </c>
      <c r="AF4357" t="s">
        <v>4216</v>
      </c>
      <c r="AG4357" t="s">
        <v>4584</v>
      </c>
      <c r="AH4357">
        <v>93065</v>
      </c>
      <c r="AI4357" t="s">
        <v>23121</v>
      </c>
      <c r="AJ4357" t="s">
        <v>23122</v>
      </c>
      <c r="AK4357" t="s">
        <v>23123</v>
      </c>
      <c r="AL4357" s="13" t="s">
        <v>1893</v>
      </c>
      <c r="AM4357">
        <v>1</v>
      </c>
      <c r="AN4357" s="15" t="s">
        <v>4067</v>
      </c>
    </row>
    <row r="4358" spans="1:40" x14ac:dyDescent="0.3">
      <c r="A4358" s="10" t="str">
        <f>HYPERLINK("http://www.washoecounty.gov/assessor/cama/?parid=127-072-05&amp;CardNumber=1","127-072-05")</f>
        <v>127-072-05</v>
      </c>
      <c r="B4358" t="s">
        <v>4655</v>
      </c>
      <c r="C4358" t="s">
        <v>23124</v>
      </c>
      <c r="D4358" s="1">
        <v>40315</v>
      </c>
      <c r="E4358" s="2">
        <v>376000</v>
      </c>
      <c r="F4358" t="s">
        <v>4567</v>
      </c>
      <c r="G4358" s="17" t="str">
        <f>HYPERLINK("https://www.washoecounty.gov/assessor/cama/?command=sales&amp;parid=12707205","3881952")</f>
        <v>3881952</v>
      </c>
      <c r="H4358" t="s">
        <v>4405</v>
      </c>
      <c r="I4358">
        <v>1988</v>
      </c>
      <c r="J4358">
        <v>1988</v>
      </c>
      <c r="K4358" t="s">
        <v>4897</v>
      </c>
      <c r="L4358" t="s">
        <v>4555</v>
      </c>
      <c r="M4358" s="2">
        <v>1111</v>
      </c>
      <c r="N4358" t="s">
        <v>5106</v>
      </c>
      <c r="O4358">
        <v>2</v>
      </c>
      <c r="P4358">
        <v>2</v>
      </c>
      <c r="Q4358">
        <v>0</v>
      </c>
      <c r="R4358" t="s">
        <v>5205</v>
      </c>
      <c r="S4358" t="s">
        <v>4135</v>
      </c>
      <c r="T4358" t="s">
        <v>4559</v>
      </c>
      <c r="U4358" t="s">
        <v>4655</v>
      </c>
      <c r="V4358" s="2">
        <v>0</v>
      </c>
      <c r="W4358" t="s">
        <v>4655</v>
      </c>
      <c r="X4358" s="2">
        <v>0</v>
      </c>
      <c r="Y4358">
        <v>21</v>
      </c>
      <c r="Z4358" t="s">
        <v>718</v>
      </c>
      <c r="AA4358" s="3">
        <v>1.00000004749745E-3</v>
      </c>
      <c r="AB4358" t="s">
        <v>23125</v>
      </c>
      <c r="AC4358" t="s">
        <v>4562</v>
      </c>
      <c r="AD4358" t="s">
        <v>23126</v>
      </c>
      <c r="AE4358" t="s">
        <v>4655</v>
      </c>
      <c r="AF4358" t="s">
        <v>2576</v>
      </c>
      <c r="AG4358" t="s">
        <v>4584</v>
      </c>
      <c r="AH4358">
        <v>92011</v>
      </c>
      <c r="AI4358" t="s">
        <v>23127</v>
      </c>
      <c r="AJ4358" t="s">
        <v>4655</v>
      </c>
      <c r="AK4358" t="s">
        <v>23128</v>
      </c>
      <c r="AL4358" s="13" t="s">
        <v>1893</v>
      </c>
      <c r="AM4358">
        <v>1</v>
      </c>
      <c r="AN4358" s="15" t="s">
        <v>4035</v>
      </c>
    </row>
    <row r="4359" spans="1:40" x14ac:dyDescent="0.3">
      <c r="A4359" s="10" t="str">
        <f>HYPERLINK("http://www.washoecounty.gov/assessor/cama/?parid=127-073-10&amp;CardNumber=1","127-073-10")</f>
        <v>127-073-10</v>
      </c>
      <c r="B4359" t="s">
        <v>4655</v>
      </c>
      <c r="C4359" t="s">
        <v>3473</v>
      </c>
      <c r="D4359" s="1">
        <v>40294</v>
      </c>
      <c r="E4359" s="2">
        <v>390000</v>
      </c>
      <c r="F4359" t="s">
        <v>4567</v>
      </c>
      <c r="G4359" s="17" t="str">
        <f>HYPERLINK("https://www.washoecounty.gov/assessor/cama/?command=sales&amp;parid=12707310","3874334")</f>
        <v>3874334</v>
      </c>
      <c r="H4359" t="s">
        <v>4405</v>
      </c>
      <c r="I4359">
        <v>1991</v>
      </c>
      <c r="J4359">
        <v>1991</v>
      </c>
      <c r="K4359" t="s">
        <v>4897</v>
      </c>
      <c r="L4359" t="s">
        <v>4555</v>
      </c>
      <c r="M4359" s="2">
        <v>1089</v>
      </c>
      <c r="N4359" t="s">
        <v>5106</v>
      </c>
      <c r="O4359">
        <v>2</v>
      </c>
      <c r="P4359">
        <v>2</v>
      </c>
      <c r="Q4359">
        <v>0</v>
      </c>
      <c r="R4359" t="s">
        <v>5205</v>
      </c>
      <c r="S4359" t="s">
        <v>4135</v>
      </c>
      <c r="T4359" t="s">
        <v>4559</v>
      </c>
      <c r="U4359" t="s">
        <v>4655</v>
      </c>
      <c r="V4359" s="2">
        <v>0</v>
      </c>
      <c r="W4359" t="s">
        <v>4655</v>
      </c>
      <c r="X4359" s="2">
        <v>0</v>
      </c>
      <c r="Y4359">
        <v>21</v>
      </c>
      <c r="Z4359" t="s">
        <v>718</v>
      </c>
      <c r="AA4359" s="3">
        <v>1.00000004749745E-3</v>
      </c>
      <c r="AB4359" t="s">
        <v>23129</v>
      </c>
      <c r="AC4359" t="s">
        <v>4575</v>
      </c>
      <c r="AD4359" t="s">
        <v>23130</v>
      </c>
      <c r="AE4359" t="s">
        <v>4655</v>
      </c>
      <c r="AF4359" t="s">
        <v>5206</v>
      </c>
      <c r="AG4359" t="s">
        <v>4564</v>
      </c>
      <c r="AH4359" t="s">
        <v>5207</v>
      </c>
      <c r="AI4359" t="s">
        <v>23131</v>
      </c>
      <c r="AJ4359" t="s">
        <v>4655</v>
      </c>
      <c r="AK4359" t="s">
        <v>23132</v>
      </c>
      <c r="AL4359" s="13" t="s">
        <v>1893</v>
      </c>
      <c r="AM4359" s="14">
        <v>1</v>
      </c>
      <c r="AN4359" s="15" t="s">
        <v>4035</v>
      </c>
    </row>
    <row r="4360" spans="1:40" x14ac:dyDescent="0.3">
      <c r="A4360" s="10" t="str">
        <f>HYPERLINK("http://www.washoecounty.gov/assessor/cama/?parid=127-073-22&amp;CardNumber=1","127-073-22")</f>
        <v>127-073-22</v>
      </c>
      <c r="B4360" t="s">
        <v>4655</v>
      </c>
      <c r="C4360" t="s">
        <v>766</v>
      </c>
      <c r="D4360" s="1">
        <v>40266</v>
      </c>
      <c r="E4360" s="2">
        <v>420000</v>
      </c>
      <c r="F4360" t="s">
        <v>4567</v>
      </c>
      <c r="G4360" s="17" t="str">
        <f>HYPERLINK("https://www.washoecounty.gov/assessor/cama/?command=sales&amp;parid=12707322","3864793")</f>
        <v>3864793</v>
      </c>
      <c r="H4360" t="s">
        <v>4405</v>
      </c>
      <c r="I4360">
        <v>1985</v>
      </c>
      <c r="J4360">
        <v>1985</v>
      </c>
      <c r="K4360" t="s">
        <v>4897</v>
      </c>
      <c r="L4360" t="s">
        <v>4555</v>
      </c>
      <c r="M4360" s="2">
        <v>1089</v>
      </c>
      <c r="N4360" t="s">
        <v>5106</v>
      </c>
      <c r="O4360">
        <v>2</v>
      </c>
      <c r="P4360">
        <v>2</v>
      </c>
      <c r="Q4360">
        <v>0</v>
      </c>
      <c r="R4360" t="s">
        <v>5205</v>
      </c>
      <c r="S4360" t="s">
        <v>4135</v>
      </c>
      <c r="T4360" t="s">
        <v>4559</v>
      </c>
      <c r="U4360" t="s">
        <v>4655</v>
      </c>
      <c r="V4360" s="2">
        <v>0</v>
      </c>
      <c r="W4360" t="s">
        <v>4655</v>
      </c>
      <c r="X4360" s="2">
        <v>0</v>
      </c>
      <c r="Y4360">
        <v>21</v>
      </c>
      <c r="Z4360" t="s">
        <v>718</v>
      </c>
      <c r="AA4360" s="3">
        <v>1.00000004749745E-3</v>
      </c>
      <c r="AB4360" t="s">
        <v>23133</v>
      </c>
      <c r="AC4360" t="s">
        <v>4575</v>
      </c>
      <c r="AD4360" t="s">
        <v>23134</v>
      </c>
      <c r="AE4360" t="s">
        <v>4655</v>
      </c>
      <c r="AF4360" t="s">
        <v>3304</v>
      </c>
      <c r="AG4360" t="s">
        <v>4584</v>
      </c>
      <c r="AH4360">
        <v>94403</v>
      </c>
      <c r="AI4360" t="s">
        <v>23135</v>
      </c>
      <c r="AJ4360" t="s">
        <v>4655</v>
      </c>
      <c r="AK4360" t="s">
        <v>23136</v>
      </c>
      <c r="AL4360" s="13" t="s">
        <v>1893</v>
      </c>
      <c r="AM4360">
        <v>1</v>
      </c>
      <c r="AN4360" s="15" t="s">
        <v>4035</v>
      </c>
    </row>
    <row r="4361" spans="1:40" x14ac:dyDescent="0.3">
      <c r="A4361" s="10" t="str">
        <f>HYPERLINK("http://www.washoecounty.gov/assessor/cama/?parid=127-074-23&amp;CardNumber=1","127-074-23")</f>
        <v>127-074-23</v>
      </c>
      <c r="B4361" t="s">
        <v>4655</v>
      </c>
      <c r="C4361" t="s">
        <v>766</v>
      </c>
      <c r="D4361" s="1">
        <v>40270</v>
      </c>
      <c r="E4361" s="2">
        <v>395000</v>
      </c>
      <c r="F4361" t="s">
        <v>4567</v>
      </c>
      <c r="G4361" s="17" t="str">
        <f>HYPERLINK("https://www.washoecounty.gov/assessor/cama/?command=sales&amp;parid=12707423","3867073")</f>
        <v>3867073</v>
      </c>
      <c r="H4361" t="s">
        <v>4405</v>
      </c>
      <c r="I4361">
        <v>1985</v>
      </c>
      <c r="J4361">
        <v>1985</v>
      </c>
      <c r="K4361" t="s">
        <v>4897</v>
      </c>
      <c r="L4361" t="s">
        <v>4555</v>
      </c>
      <c r="M4361" s="2">
        <v>1111</v>
      </c>
      <c r="N4361" t="s">
        <v>5106</v>
      </c>
      <c r="O4361">
        <v>2</v>
      </c>
      <c r="P4361">
        <v>2</v>
      </c>
      <c r="Q4361">
        <v>0</v>
      </c>
      <c r="R4361" t="s">
        <v>5205</v>
      </c>
      <c r="S4361" t="s">
        <v>4135</v>
      </c>
      <c r="T4361" t="s">
        <v>4559</v>
      </c>
      <c r="U4361" t="s">
        <v>4655</v>
      </c>
      <c r="V4361" s="2">
        <v>0</v>
      </c>
      <c r="W4361" t="s">
        <v>4655</v>
      </c>
      <c r="X4361" s="2">
        <v>0</v>
      </c>
      <c r="Y4361">
        <v>21</v>
      </c>
      <c r="Z4361" t="s">
        <v>718</v>
      </c>
      <c r="AA4361" s="3">
        <v>1.00000004749745E-3</v>
      </c>
      <c r="AB4361" t="s">
        <v>23137</v>
      </c>
      <c r="AC4361" t="s">
        <v>4575</v>
      </c>
      <c r="AD4361" t="s">
        <v>23138</v>
      </c>
      <c r="AE4361" t="s">
        <v>4655</v>
      </c>
      <c r="AF4361" t="s">
        <v>5233</v>
      </c>
      <c r="AG4361" t="s">
        <v>5277</v>
      </c>
      <c r="AH4361" t="s">
        <v>23139</v>
      </c>
      <c r="AI4361" t="s">
        <v>23140</v>
      </c>
      <c r="AJ4361" t="s">
        <v>4655</v>
      </c>
      <c r="AK4361" t="s">
        <v>23141</v>
      </c>
      <c r="AL4361" s="13" t="s">
        <v>1893</v>
      </c>
      <c r="AM4361">
        <v>1</v>
      </c>
      <c r="AN4361" s="15" t="s">
        <v>4035</v>
      </c>
    </row>
    <row r="4362" spans="1:40" x14ac:dyDescent="0.3">
      <c r="A4362" s="10" t="str">
        <f>HYPERLINK("http://www.washoecounty.gov/assessor/cama/?parid=127-074-28&amp;CardNumber=1","127-074-28")</f>
        <v>127-074-28</v>
      </c>
      <c r="B4362" t="s">
        <v>4655</v>
      </c>
      <c r="C4362" t="s">
        <v>766</v>
      </c>
      <c r="D4362" s="1">
        <v>40323</v>
      </c>
      <c r="E4362" s="2">
        <v>475000</v>
      </c>
      <c r="F4362" t="s">
        <v>4567</v>
      </c>
      <c r="G4362" s="17" t="str">
        <f>HYPERLINK("https://www.washoecounty.gov/assessor/cama/?command=sales&amp;parid=12707428","3884803")</f>
        <v>3884803</v>
      </c>
      <c r="H4362" t="s">
        <v>4405</v>
      </c>
      <c r="I4362">
        <v>1985</v>
      </c>
      <c r="J4362">
        <v>1985</v>
      </c>
      <c r="K4362" t="s">
        <v>4897</v>
      </c>
      <c r="L4362" t="s">
        <v>4555</v>
      </c>
      <c r="M4362" s="2">
        <v>1162</v>
      </c>
      <c r="N4362" t="s">
        <v>5106</v>
      </c>
      <c r="O4362">
        <v>2</v>
      </c>
      <c r="P4362">
        <v>2</v>
      </c>
      <c r="Q4362">
        <v>0</v>
      </c>
      <c r="R4362" t="s">
        <v>5205</v>
      </c>
      <c r="S4362" t="s">
        <v>4135</v>
      </c>
      <c r="T4362" t="s">
        <v>4559</v>
      </c>
      <c r="U4362" t="s">
        <v>4655</v>
      </c>
      <c r="V4362" s="2">
        <v>0</v>
      </c>
      <c r="W4362" t="s">
        <v>4655</v>
      </c>
      <c r="X4362" s="2">
        <v>0</v>
      </c>
      <c r="Y4362">
        <v>21</v>
      </c>
      <c r="Z4362" t="s">
        <v>718</v>
      </c>
      <c r="AA4362" s="3">
        <v>1.00000004749745E-3</v>
      </c>
      <c r="AB4362" t="s">
        <v>23142</v>
      </c>
      <c r="AC4362" t="s">
        <v>4575</v>
      </c>
      <c r="AD4362" t="s">
        <v>23143</v>
      </c>
      <c r="AE4362" t="s">
        <v>4655</v>
      </c>
      <c r="AF4362" t="s">
        <v>686</v>
      </c>
      <c r="AG4362" t="s">
        <v>4584</v>
      </c>
      <c r="AH4362">
        <v>94116</v>
      </c>
      <c r="AI4362" t="s">
        <v>23144</v>
      </c>
      <c r="AJ4362" t="s">
        <v>4655</v>
      </c>
      <c r="AK4362" t="s">
        <v>23145</v>
      </c>
      <c r="AL4362" s="13" t="s">
        <v>1893</v>
      </c>
      <c r="AM4362">
        <v>1</v>
      </c>
      <c r="AN4362" s="15" t="s">
        <v>4035</v>
      </c>
    </row>
    <row r="4363" spans="1:40" x14ac:dyDescent="0.3">
      <c r="A4363" s="10" t="str">
        <f>HYPERLINK("http://www.washoecounty.gov/assessor/cama/?parid=127-076-27&amp;CardNumber=1","127-076-27")</f>
        <v>127-076-27</v>
      </c>
      <c r="B4363" t="s">
        <v>4655</v>
      </c>
      <c r="C4363" t="s">
        <v>3681</v>
      </c>
      <c r="D4363" s="1">
        <v>40256</v>
      </c>
      <c r="E4363" s="2">
        <v>459000</v>
      </c>
      <c r="F4363" t="s">
        <v>4567</v>
      </c>
      <c r="G4363" s="17" t="str">
        <f>HYPERLINK("https://www.washoecounty.gov/assessor/cama/?command=sales&amp;parid=12707627","3861609")</f>
        <v>3861609</v>
      </c>
      <c r="H4363" t="s">
        <v>4405</v>
      </c>
      <c r="I4363">
        <v>1992</v>
      </c>
      <c r="J4363">
        <v>1992</v>
      </c>
      <c r="K4363" t="s">
        <v>4897</v>
      </c>
      <c r="L4363" t="s">
        <v>4555</v>
      </c>
      <c r="M4363" s="2">
        <v>1111</v>
      </c>
      <c r="N4363" t="s">
        <v>5106</v>
      </c>
      <c r="O4363">
        <v>2</v>
      </c>
      <c r="P4363">
        <v>2</v>
      </c>
      <c r="Q4363">
        <v>0</v>
      </c>
      <c r="R4363" t="s">
        <v>5205</v>
      </c>
      <c r="S4363" t="s">
        <v>4135</v>
      </c>
      <c r="T4363" t="s">
        <v>4559</v>
      </c>
      <c r="U4363" t="s">
        <v>4655</v>
      </c>
      <c r="V4363" s="2">
        <v>0</v>
      </c>
      <c r="W4363" t="s">
        <v>4655</v>
      </c>
      <c r="X4363" s="2">
        <v>0</v>
      </c>
      <c r="Y4363">
        <v>21</v>
      </c>
      <c r="Z4363" t="s">
        <v>718</v>
      </c>
      <c r="AA4363" s="3">
        <v>1.00000004749745E-3</v>
      </c>
      <c r="AB4363" t="s">
        <v>23146</v>
      </c>
      <c r="AC4363" t="s">
        <v>4562</v>
      </c>
      <c r="AD4363" t="s">
        <v>23147</v>
      </c>
      <c r="AE4363" t="s">
        <v>4655</v>
      </c>
      <c r="AF4363" t="s">
        <v>4563</v>
      </c>
      <c r="AG4363" t="s">
        <v>4564</v>
      </c>
      <c r="AH4363" t="s">
        <v>2330</v>
      </c>
      <c r="AI4363" t="s">
        <v>23148</v>
      </c>
      <c r="AJ4363" t="s">
        <v>4655</v>
      </c>
      <c r="AK4363" t="s">
        <v>23149</v>
      </c>
      <c r="AL4363" s="13" t="s">
        <v>1893</v>
      </c>
      <c r="AM4363">
        <v>1</v>
      </c>
      <c r="AN4363" s="15" t="s">
        <v>4035</v>
      </c>
    </row>
    <row r="4364" spans="1:40" x14ac:dyDescent="0.3">
      <c r="A4364" s="10" t="str">
        <f>HYPERLINK("http://www.washoecounty.gov/assessor/cama/?parid=127-077-01&amp;CardNumber=1","127-077-01")</f>
        <v>127-077-01</v>
      </c>
      <c r="B4364" t="s">
        <v>4655</v>
      </c>
      <c r="C4364" t="s">
        <v>3396</v>
      </c>
      <c r="D4364" s="1">
        <v>40261</v>
      </c>
      <c r="E4364" s="2">
        <v>440000</v>
      </c>
      <c r="F4364" t="s">
        <v>4567</v>
      </c>
      <c r="G4364" s="17" t="str">
        <f>HYPERLINK("https://www.washoecounty.gov/assessor/cama/?command=sales&amp;parid=12707701","3863269")</f>
        <v>3863269</v>
      </c>
      <c r="H4364" t="s">
        <v>4405</v>
      </c>
      <c r="I4364">
        <v>1990</v>
      </c>
      <c r="J4364">
        <v>1990</v>
      </c>
      <c r="K4364" t="s">
        <v>4897</v>
      </c>
      <c r="L4364" t="s">
        <v>4555</v>
      </c>
      <c r="M4364" s="2">
        <v>1089</v>
      </c>
      <c r="N4364" t="s">
        <v>5106</v>
      </c>
      <c r="O4364">
        <v>2</v>
      </c>
      <c r="P4364">
        <v>2</v>
      </c>
      <c r="Q4364">
        <v>0</v>
      </c>
      <c r="R4364" t="s">
        <v>5205</v>
      </c>
      <c r="S4364" t="s">
        <v>4135</v>
      </c>
      <c r="T4364" t="s">
        <v>4559</v>
      </c>
      <c r="U4364" t="s">
        <v>4655</v>
      </c>
      <c r="V4364" s="2">
        <v>0</v>
      </c>
      <c r="W4364" t="s">
        <v>4655</v>
      </c>
      <c r="X4364" s="2">
        <v>0</v>
      </c>
      <c r="Y4364">
        <v>21</v>
      </c>
      <c r="Z4364" t="s">
        <v>718</v>
      </c>
      <c r="AA4364" s="3">
        <v>1.00000004749745E-3</v>
      </c>
      <c r="AB4364" t="s">
        <v>23150</v>
      </c>
      <c r="AC4364" t="s">
        <v>4562</v>
      </c>
      <c r="AD4364" t="s">
        <v>23151</v>
      </c>
      <c r="AE4364" t="s">
        <v>4655</v>
      </c>
      <c r="AF4364" t="s">
        <v>3397</v>
      </c>
      <c r="AG4364" t="s">
        <v>4584</v>
      </c>
      <c r="AH4364" t="s">
        <v>3398</v>
      </c>
      <c r="AI4364" t="s">
        <v>23152</v>
      </c>
      <c r="AJ4364" t="s">
        <v>4655</v>
      </c>
      <c r="AK4364" t="s">
        <v>23153</v>
      </c>
      <c r="AL4364" s="13" t="s">
        <v>1893</v>
      </c>
      <c r="AM4364">
        <v>1</v>
      </c>
      <c r="AN4364" s="15" t="s">
        <v>4035</v>
      </c>
    </row>
    <row r="4365" spans="1:40" x14ac:dyDescent="0.3">
      <c r="A4365" s="10" t="str">
        <f>HYPERLINK("http://www.washoecounty.gov/assessor/cama/?parid=127-077-21&amp;CardNumber=1","127-077-21")</f>
        <v>127-077-21</v>
      </c>
      <c r="B4365" t="s">
        <v>4655</v>
      </c>
      <c r="C4365" t="s">
        <v>4404</v>
      </c>
      <c r="D4365" s="1">
        <v>40442</v>
      </c>
      <c r="E4365" s="2">
        <v>460500</v>
      </c>
      <c r="F4365" t="s">
        <v>4567</v>
      </c>
      <c r="G4365" s="17" t="str">
        <f>HYPERLINK("https://www.washoecounty.gov/assessor/cama/?command=sales&amp;parid=12707721","3924603")</f>
        <v>3924603</v>
      </c>
      <c r="H4365" t="s">
        <v>4405</v>
      </c>
      <c r="I4365">
        <v>1989</v>
      </c>
      <c r="J4365">
        <v>1989</v>
      </c>
      <c r="K4365" t="s">
        <v>4897</v>
      </c>
      <c r="L4365" t="s">
        <v>4555</v>
      </c>
      <c r="M4365" s="2">
        <v>1089</v>
      </c>
      <c r="N4365" t="s">
        <v>5106</v>
      </c>
      <c r="O4365">
        <v>2</v>
      </c>
      <c r="P4365">
        <v>2</v>
      </c>
      <c r="Q4365">
        <v>0</v>
      </c>
      <c r="R4365" t="s">
        <v>5205</v>
      </c>
      <c r="S4365" t="s">
        <v>4135</v>
      </c>
      <c r="T4365" t="s">
        <v>4559</v>
      </c>
      <c r="U4365" t="s">
        <v>4655</v>
      </c>
      <c r="V4365" s="2">
        <v>0</v>
      </c>
      <c r="W4365" t="s">
        <v>4655</v>
      </c>
      <c r="X4365" s="2">
        <v>0</v>
      </c>
      <c r="Y4365">
        <v>21</v>
      </c>
      <c r="Z4365" t="s">
        <v>718</v>
      </c>
      <c r="AA4365" s="3">
        <v>1.00000004749745E-3</v>
      </c>
      <c r="AB4365" t="s">
        <v>23154</v>
      </c>
      <c r="AC4365" t="s">
        <v>4575</v>
      </c>
      <c r="AD4365" t="s">
        <v>23155</v>
      </c>
      <c r="AE4365" t="s">
        <v>4655</v>
      </c>
      <c r="AF4365" t="s">
        <v>4629</v>
      </c>
      <c r="AG4365" t="s">
        <v>4584</v>
      </c>
      <c r="AH4365" t="s">
        <v>1651</v>
      </c>
      <c r="AI4365" t="s">
        <v>23156</v>
      </c>
      <c r="AJ4365" t="s">
        <v>4655</v>
      </c>
      <c r="AK4365" t="s">
        <v>23157</v>
      </c>
      <c r="AL4365" s="13" t="s">
        <v>1893</v>
      </c>
      <c r="AM4365" s="14">
        <v>1</v>
      </c>
      <c r="AN4365" s="15" t="s">
        <v>4035</v>
      </c>
    </row>
    <row r="4366" spans="1:40" x14ac:dyDescent="0.3">
      <c r="A4366" s="10" t="str">
        <f>HYPERLINK("http://www.washoecounty.gov/assessor/cama/?parid=127-077-23&amp;CardNumber=1","127-077-23")</f>
        <v>127-077-23</v>
      </c>
      <c r="B4366" t="s">
        <v>4655</v>
      </c>
      <c r="C4366" t="s">
        <v>4404</v>
      </c>
      <c r="D4366" s="1">
        <v>40420</v>
      </c>
      <c r="E4366" s="2">
        <v>365000</v>
      </c>
      <c r="F4366" t="s">
        <v>4567</v>
      </c>
      <c r="G4366" s="17" t="str">
        <f>HYPERLINK("https://www.washoecounty.gov/assessor/cama/?command=sales&amp;parid=12707723","3917070")</f>
        <v>3917070</v>
      </c>
      <c r="H4366" t="s">
        <v>4405</v>
      </c>
      <c r="I4366">
        <v>1989</v>
      </c>
      <c r="J4366">
        <v>1989</v>
      </c>
      <c r="K4366" t="s">
        <v>4897</v>
      </c>
      <c r="L4366" t="s">
        <v>4555</v>
      </c>
      <c r="M4366" s="2">
        <v>1089</v>
      </c>
      <c r="N4366" t="s">
        <v>5106</v>
      </c>
      <c r="O4366">
        <v>2</v>
      </c>
      <c r="P4366">
        <v>2</v>
      </c>
      <c r="Q4366">
        <v>0</v>
      </c>
      <c r="R4366" t="s">
        <v>5205</v>
      </c>
      <c r="S4366" t="s">
        <v>4135</v>
      </c>
      <c r="T4366" t="s">
        <v>4559</v>
      </c>
      <c r="U4366" t="s">
        <v>4655</v>
      </c>
      <c r="V4366" s="2">
        <v>0</v>
      </c>
      <c r="W4366" t="s">
        <v>4655</v>
      </c>
      <c r="X4366" s="2">
        <v>0</v>
      </c>
      <c r="Y4366">
        <v>21</v>
      </c>
      <c r="Z4366" t="s">
        <v>718</v>
      </c>
      <c r="AA4366" s="3">
        <v>1.00000004749745E-3</v>
      </c>
      <c r="AB4366" t="s">
        <v>23158</v>
      </c>
      <c r="AC4366" t="s">
        <v>4562</v>
      </c>
      <c r="AD4366" t="s">
        <v>23159</v>
      </c>
      <c r="AE4366" t="s">
        <v>4655</v>
      </c>
      <c r="AF4366" t="s">
        <v>23160</v>
      </c>
      <c r="AG4366" t="s">
        <v>4584</v>
      </c>
      <c r="AH4366" t="s">
        <v>3090</v>
      </c>
      <c r="AI4366" t="s">
        <v>23161</v>
      </c>
      <c r="AJ4366" t="s">
        <v>4655</v>
      </c>
      <c r="AK4366" t="s">
        <v>23162</v>
      </c>
      <c r="AL4366" s="13" t="s">
        <v>1893</v>
      </c>
      <c r="AM4366" s="14">
        <v>1</v>
      </c>
      <c r="AN4366" s="15" t="s">
        <v>4035</v>
      </c>
    </row>
    <row r="4367" spans="1:40" x14ac:dyDescent="0.3">
      <c r="A4367" s="10" t="str">
        <f>HYPERLINK("http://www.washoecounty.gov/assessor/cama/?parid=127-077-24&amp;CardNumber=1","127-077-24")</f>
        <v>127-077-24</v>
      </c>
      <c r="B4367" t="s">
        <v>4655</v>
      </c>
      <c r="C4367" t="s">
        <v>4404</v>
      </c>
      <c r="D4367" s="1">
        <v>40239</v>
      </c>
      <c r="E4367" s="2">
        <v>350000</v>
      </c>
      <c r="F4367" t="s">
        <v>4567</v>
      </c>
      <c r="G4367" s="17" t="str">
        <f>HYPERLINK("https://www.washoecounty.gov/assessor/cama/?command=sales&amp;parid=12707724","3854259")</f>
        <v>3854259</v>
      </c>
      <c r="H4367" t="s">
        <v>4405</v>
      </c>
      <c r="I4367">
        <v>1989</v>
      </c>
      <c r="J4367">
        <v>1989</v>
      </c>
      <c r="K4367" t="s">
        <v>4897</v>
      </c>
      <c r="L4367" t="s">
        <v>4555</v>
      </c>
      <c r="M4367" s="2">
        <v>1089</v>
      </c>
      <c r="N4367" t="s">
        <v>5106</v>
      </c>
      <c r="O4367">
        <v>2</v>
      </c>
      <c r="P4367">
        <v>2</v>
      </c>
      <c r="Q4367">
        <v>0</v>
      </c>
      <c r="R4367" t="s">
        <v>5205</v>
      </c>
      <c r="S4367" t="s">
        <v>4135</v>
      </c>
      <c r="T4367" t="s">
        <v>4559</v>
      </c>
      <c r="U4367" t="s">
        <v>4655</v>
      </c>
      <c r="V4367" s="2">
        <v>0</v>
      </c>
      <c r="W4367" t="s">
        <v>4655</v>
      </c>
      <c r="X4367" s="2">
        <v>0</v>
      </c>
      <c r="Y4367">
        <v>21</v>
      </c>
      <c r="Z4367" t="s">
        <v>718</v>
      </c>
      <c r="AA4367" s="3">
        <v>1.00000004749745E-3</v>
      </c>
      <c r="AB4367" t="s">
        <v>23163</v>
      </c>
      <c r="AC4367" t="s">
        <v>4575</v>
      </c>
      <c r="AD4367" t="s">
        <v>23164</v>
      </c>
      <c r="AE4367" t="s">
        <v>4655</v>
      </c>
      <c r="AF4367" t="s">
        <v>5206</v>
      </c>
      <c r="AG4367" t="s">
        <v>4564</v>
      </c>
      <c r="AH4367" t="s">
        <v>5275</v>
      </c>
      <c r="AI4367" t="s">
        <v>23165</v>
      </c>
      <c r="AJ4367" t="s">
        <v>4655</v>
      </c>
      <c r="AK4367" t="s">
        <v>23166</v>
      </c>
      <c r="AL4367" s="13" t="s">
        <v>1893</v>
      </c>
      <c r="AM4367">
        <v>1</v>
      </c>
      <c r="AN4367" s="15" t="s">
        <v>4035</v>
      </c>
    </row>
    <row r="4368" spans="1:40" x14ac:dyDescent="0.3">
      <c r="A4368" s="10" t="str">
        <f>HYPERLINK("http://www.washoecounty.gov/assessor/cama/?parid=127-078-06&amp;CardNumber=1","127-078-06")</f>
        <v>127-078-06</v>
      </c>
      <c r="B4368" t="s">
        <v>4655</v>
      </c>
      <c r="C4368" t="s">
        <v>3396</v>
      </c>
      <c r="D4368" s="1">
        <v>40512</v>
      </c>
      <c r="E4368" s="2">
        <v>380000</v>
      </c>
      <c r="F4368" t="s">
        <v>4567</v>
      </c>
      <c r="G4368" s="17" t="str">
        <f>HYPERLINK("https://www.washoecounty.gov/assessor/cama/?command=sales&amp;parid=12707806","3947422")</f>
        <v>3947422</v>
      </c>
      <c r="H4368" t="s">
        <v>4405</v>
      </c>
      <c r="I4368">
        <v>1990</v>
      </c>
      <c r="J4368">
        <v>1990</v>
      </c>
      <c r="K4368" t="s">
        <v>4897</v>
      </c>
      <c r="L4368" t="s">
        <v>4555</v>
      </c>
      <c r="M4368" s="2">
        <v>1111</v>
      </c>
      <c r="N4368" t="s">
        <v>5106</v>
      </c>
      <c r="O4368">
        <v>2</v>
      </c>
      <c r="P4368">
        <v>2</v>
      </c>
      <c r="Q4368">
        <v>0</v>
      </c>
      <c r="R4368" t="s">
        <v>5205</v>
      </c>
      <c r="S4368" t="s">
        <v>4135</v>
      </c>
      <c r="T4368" t="s">
        <v>4559</v>
      </c>
      <c r="U4368" t="s">
        <v>4655</v>
      </c>
      <c r="V4368" s="2">
        <v>0</v>
      </c>
      <c r="W4368" t="s">
        <v>4655</v>
      </c>
      <c r="X4368" s="2">
        <v>0</v>
      </c>
      <c r="Y4368">
        <v>21</v>
      </c>
      <c r="Z4368" t="s">
        <v>718</v>
      </c>
      <c r="AA4368" s="3">
        <v>1.00000004749745E-3</v>
      </c>
      <c r="AB4368" t="s">
        <v>23167</v>
      </c>
      <c r="AC4368" t="s">
        <v>4575</v>
      </c>
      <c r="AD4368" t="s">
        <v>23168</v>
      </c>
      <c r="AE4368" t="s">
        <v>4655</v>
      </c>
      <c r="AF4368" t="s">
        <v>2298</v>
      </c>
      <c r="AG4368" t="s">
        <v>4584</v>
      </c>
      <c r="AH4368">
        <v>95062</v>
      </c>
      <c r="AI4368" t="s">
        <v>23169</v>
      </c>
      <c r="AJ4368" t="s">
        <v>4655</v>
      </c>
      <c r="AK4368" t="s">
        <v>23170</v>
      </c>
      <c r="AL4368" s="13" t="s">
        <v>1893</v>
      </c>
      <c r="AM4368">
        <v>1</v>
      </c>
      <c r="AN4368" s="15" t="s">
        <v>4035</v>
      </c>
    </row>
    <row r="4369" spans="1:40" x14ac:dyDescent="0.3">
      <c r="A4369" s="10" t="str">
        <f>HYPERLINK("http://www.washoecounty.gov/assessor/cama/?parid=127-078-10&amp;CardNumber=1","127-078-10")</f>
        <v>127-078-10</v>
      </c>
      <c r="B4369" t="s">
        <v>4655</v>
      </c>
      <c r="C4369" t="s">
        <v>3396</v>
      </c>
      <c r="D4369" s="1">
        <v>40522</v>
      </c>
      <c r="E4369" s="2">
        <v>360000</v>
      </c>
      <c r="F4369" t="s">
        <v>4567</v>
      </c>
      <c r="G4369" s="17" t="str">
        <f>HYPERLINK("https://www.washoecounty.gov/assessor/cama/?command=sales&amp;parid=12707810","3952194")</f>
        <v>3952194</v>
      </c>
      <c r="H4369" t="s">
        <v>4405</v>
      </c>
      <c r="I4369">
        <v>1990</v>
      </c>
      <c r="J4369">
        <v>1990</v>
      </c>
      <c r="K4369" t="s">
        <v>4897</v>
      </c>
      <c r="L4369" t="s">
        <v>4555</v>
      </c>
      <c r="M4369" s="2">
        <v>1111</v>
      </c>
      <c r="N4369" t="s">
        <v>5106</v>
      </c>
      <c r="O4369">
        <v>2</v>
      </c>
      <c r="P4369">
        <v>2</v>
      </c>
      <c r="Q4369">
        <v>0</v>
      </c>
      <c r="R4369" t="s">
        <v>5205</v>
      </c>
      <c r="S4369" t="s">
        <v>4135</v>
      </c>
      <c r="T4369" t="s">
        <v>4559</v>
      </c>
      <c r="U4369" t="s">
        <v>4655</v>
      </c>
      <c r="V4369" s="2">
        <v>0</v>
      </c>
      <c r="W4369" t="s">
        <v>4655</v>
      </c>
      <c r="X4369" s="2">
        <v>0</v>
      </c>
      <c r="Y4369">
        <v>21</v>
      </c>
      <c r="Z4369" t="s">
        <v>718</v>
      </c>
      <c r="AA4369" s="3">
        <v>1.00000004749745E-3</v>
      </c>
      <c r="AB4369" t="s">
        <v>23163</v>
      </c>
      <c r="AC4369" t="s">
        <v>4575</v>
      </c>
      <c r="AD4369" t="s">
        <v>23164</v>
      </c>
      <c r="AE4369" t="s">
        <v>4655</v>
      </c>
      <c r="AF4369" t="s">
        <v>5206</v>
      </c>
      <c r="AG4369" t="s">
        <v>4564</v>
      </c>
      <c r="AH4369" t="s">
        <v>5275</v>
      </c>
      <c r="AI4369" t="s">
        <v>23171</v>
      </c>
      <c r="AJ4369" t="s">
        <v>4655</v>
      </c>
      <c r="AK4369" t="s">
        <v>23172</v>
      </c>
      <c r="AL4369" s="13" t="s">
        <v>1893</v>
      </c>
      <c r="AM4369">
        <v>1</v>
      </c>
      <c r="AN4369" s="15" t="s">
        <v>4035</v>
      </c>
    </row>
    <row r="4370" spans="1:40" x14ac:dyDescent="0.3">
      <c r="A4370" s="10" t="str">
        <f>HYPERLINK("http://www.washoecounty.gov/assessor/cama/?parid=127-078-27&amp;CardNumber=1","127-078-27")</f>
        <v>127-078-27</v>
      </c>
      <c r="B4370" t="s">
        <v>4655</v>
      </c>
      <c r="C4370" t="s">
        <v>4404</v>
      </c>
      <c r="D4370" s="1">
        <v>40297</v>
      </c>
      <c r="E4370" s="2">
        <v>345000</v>
      </c>
      <c r="F4370" t="s">
        <v>4553</v>
      </c>
      <c r="G4370" s="17" t="str">
        <f>HYPERLINK("https://www.washoecounty.gov/assessor/cama/?command=sales&amp;parid=12707827","3876334")</f>
        <v>3876334</v>
      </c>
      <c r="H4370" t="s">
        <v>4405</v>
      </c>
      <c r="I4370">
        <v>1989</v>
      </c>
      <c r="J4370">
        <v>1989</v>
      </c>
      <c r="K4370" t="s">
        <v>4897</v>
      </c>
      <c r="L4370" t="s">
        <v>4555</v>
      </c>
      <c r="M4370" s="2">
        <v>1111</v>
      </c>
      <c r="N4370" t="s">
        <v>5106</v>
      </c>
      <c r="O4370">
        <v>2</v>
      </c>
      <c r="P4370">
        <v>2</v>
      </c>
      <c r="Q4370">
        <v>0</v>
      </c>
      <c r="R4370" t="s">
        <v>5205</v>
      </c>
      <c r="S4370" t="s">
        <v>4135</v>
      </c>
      <c r="T4370" t="s">
        <v>4559</v>
      </c>
      <c r="U4370" t="s">
        <v>4655</v>
      </c>
      <c r="V4370" s="2">
        <v>0</v>
      </c>
      <c r="W4370" t="s">
        <v>4655</v>
      </c>
      <c r="X4370" s="2">
        <v>0</v>
      </c>
      <c r="Y4370">
        <v>21</v>
      </c>
      <c r="Z4370" t="s">
        <v>718</v>
      </c>
      <c r="AA4370" s="3">
        <v>1.00000004749745E-3</v>
      </c>
      <c r="AB4370" t="s">
        <v>23173</v>
      </c>
      <c r="AC4370" t="s">
        <v>4562</v>
      </c>
      <c r="AD4370" t="s">
        <v>23174</v>
      </c>
      <c r="AE4370" t="s">
        <v>4655</v>
      </c>
      <c r="AF4370" t="s">
        <v>4563</v>
      </c>
      <c r="AG4370" t="s">
        <v>4564</v>
      </c>
      <c r="AH4370">
        <v>89511</v>
      </c>
      <c r="AI4370" t="s">
        <v>4503</v>
      </c>
      <c r="AJ4370" t="s">
        <v>4655</v>
      </c>
      <c r="AK4370" t="s">
        <v>23175</v>
      </c>
      <c r="AL4370" s="13" t="s">
        <v>1893</v>
      </c>
      <c r="AM4370">
        <v>1</v>
      </c>
      <c r="AN4370" s="15" t="s">
        <v>4035</v>
      </c>
    </row>
    <row r="4371" spans="1:40" x14ac:dyDescent="0.3">
      <c r="A4371" s="10" t="str">
        <f>HYPERLINK("http://www.washoecounty.gov/assessor/cama/?parid=127-110-01&amp;CardNumber=1","127-110-01")</f>
        <v>127-110-01</v>
      </c>
      <c r="B4371" t="s">
        <v>4655</v>
      </c>
      <c r="C4371" t="s">
        <v>23176</v>
      </c>
      <c r="D4371" s="1">
        <v>40268</v>
      </c>
      <c r="E4371" s="2">
        <v>154900</v>
      </c>
      <c r="F4371" t="s">
        <v>4553</v>
      </c>
      <c r="G4371" s="17" t="str">
        <f>HYPERLINK("https://www.washoecounty.gov/assessor/cama/?command=sales&amp;parid=12711001","3866616")</f>
        <v>3866616</v>
      </c>
      <c r="H4371" t="s">
        <v>23177</v>
      </c>
      <c r="I4371">
        <v>1965</v>
      </c>
      <c r="J4371">
        <v>1965</v>
      </c>
      <c r="K4371" t="s">
        <v>4897</v>
      </c>
      <c r="L4371" t="s">
        <v>3974</v>
      </c>
      <c r="M4371" s="2">
        <v>1136</v>
      </c>
      <c r="N4371" t="s">
        <v>4048</v>
      </c>
      <c r="O4371">
        <v>3</v>
      </c>
      <c r="P4371">
        <v>2</v>
      </c>
      <c r="Q4371">
        <v>0</v>
      </c>
      <c r="R4371" t="s">
        <v>4676</v>
      </c>
      <c r="S4371" t="s">
        <v>4135</v>
      </c>
      <c r="T4371" t="s">
        <v>4559</v>
      </c>
      <c r="U4371" t="s">
        <v>4655</v>
      </c>
      <c r="V4371" s="2">
        <v>0</v>
      </c>
      <c r="W4371" t="s">
        <v>4655</v>
      </c>
      <c r="X4371" s="2">
        <v>0</v>
      </c>
      <c r="Y4371">
        <v>21</v>
      </c>
      <c r="Z4371" t="s">
        <v>3781</v>
      </c>
      <c r="AA4371" s="3">
        <v>1.00000004749745E-3</v>
      </c>
      <c r="AB4371" t="s">
        <v>23178</v>
      </c>
      <c r="AC4371" t="s">
        <v>4562</v>
      </c>
      <c r="AD4371" t="s">
        <v>23179</v>
      </c>
      <c r="AE4371" t="s">
        <v>4655</v>
      </c>
      <c r="AF4371" t="s">
        <v>4054</v>
      </c>
      <c r="AG4371" t="s">
        <v>4564</v>
      </c>
      <c r="AH4371" t="s">
        <v>5207</v>
      </c>
      <c r="AI4371" t="s">
        <v>4045</v>
      </c>
      <c r="AJ4371" t="s">
        <v>4655</v>
      </c>
      <c r="AK4371" t="s">
        <v>23180</v>
      </c>
      <c r="AL4371" s="13" t="s">
        <v>1893</v>
      </c>
      <c r="AM4371">
        <v>1</v>
      </c>
      <c r="AN4371" s="15" t="s">
        <v>2397</v>
      </c>
    </row>
    <row r="4372" spans="1:40" x14ac:dyDescent="0.3">
      <c r="A4372" s="10" t="str">
        <f>HYPERLINK("http://www.washoecounty.gov/assessor/cama/?parid=127-110-03&amp;CardNumber=1","127-110-03")</f>
        <v>127-110-03</v>
      </c>
      <c r="B4372" t="s">
        <v>4655</v>
      </c>
      <c r="C4372" t="s">
        <v>23176</v>
      </c>
      <c r="D4372" s="1">
        <v>40249</v>
      </c>
      <c r="E4372" s="2">
        <v>162000</v>
      </c>
      <c r="F4372" t="s">
        <v>4567</v>
      </c>
      <c r="G4372" s="17" t="str">
        <f>HYPERLINK("https://www.washoecounty.gov/assessor/cama/?command=sales&amp;parid=12711003","3858902")</f>
        <v>3858902</v>
      </c>
      <c r="H4372" t="s">
        <v>23177</v>
      </c>
      <c r="I4372">
        <v>1965</v>
      </c>
      <c r="J4372">
        <v>1965</v>
      </c>
      <c r="K4372" t="s">
        <v>3144</v>
      </c>
      <c r="L4372" t="s">
        <v>3974</v>
      </c>
      <c r="M4372" s="2">
        <v>1136</v>
      </c>
      <c r="N4372" t="s">
        <v>4048</v>
      </c>
      <c r="O4372">
        <v>3</v>
      </c>
      <c r="P4372">
        <v>2</v>
      </c>
      <c r="Q4372">
        <v>0</v>
      </c>
      <c r="R4372" t="s">
        <v>4676</v>
      </c>
      <c r="S4372" t="s">
        <v>4135</v>
      </c>
      <c r="T4372" t="s">
        <v>4559</v>
      </c>
      <c r="U4372" t="s">
        <v>4655</v>
      </c>
      <c r="V4372" s="2">
        <v>0</v>
      </c>
      <c r="W4372" t="s">
        <v>4655</v>
      </c>
      <c r="X4372" s="2">
        <v>0</v>
      </c>
      <c r="Y4372">
        <v>21</v>
      </c>
      <c r="Z4372" t="s">
        <v>3781</v>
      </c>
      <c r="AA4372" s="3">
        <v>1.00000004749745E-3</v>
      </c>
      <c r="AB4372" t="s">
        <v>23181</v>
      </c>
      <c r="AC4372" t="s">
        <v>4562</v>
      </c>
      <c r="AD4372" t="s">
        <v>23182</v>
      </c>
      <c r="AE4372" t="s">
        <v>4655</v>
      </c>
      <c r="AF4372" t="s">
        <v>5206</v>
      </c>
      <c r="AG4372" t="s">
        <v>4564</v>
      </c>
      <c r="AH4372" t="s">
        <v>5275</v>
      </c>
      <c r="AI4372" t="s">
        <v>23183</v>
      </c>
      <c r="AJ4372" t="s">
        <v>4655</v>
      </c>
      <c r="AK4372" t="s">
        <v>23184</v>
      </c>
      <c r="AL4372" s="13" t="s">
        <v>1893</v>
      </c>
      <c r="AM4372" s="14">
        <v>1</v>
      </c>
      <c r="AN4372" s="15" t="s">
        <v>2397</v>
      </c>
    </row>
    <row r="4373" spans="1:40" x14ac:dyDescent="0.3">
      <c r="A4373" s="10" t="str">
        <f>HYPERLINK("http://www.washoecounty.gov/assessor/cama/?parid=127-110-05&amp;CardNumber=1","127-110-05")</f>
        <v>127-110-05</v>
      </c>
      <c r="B4373" t="s">
        <v>4655</v>
      </c>
      <c r="C4373" t="s">
        <v>23176</v>
      </c>
      <c r="D4373" s="1">
        <v>40501</v>
      </c>
      <c r="E4373" s="2">
        <v>139900</v>
      </c>
      <c r="F4373" t="s">
        <v>4553</v>
      </c>
      <c r="G4373" s="17" t="str">
        <f>HYPERLINK("https://www.washoecounty.gov/assessor/cama/?command=sales&amp;parid=12711005","3945078")</f>
        <v>3945078</v>
      </c>
      <c r="H4373" t="s">
        <v>23177</v>
      </c>
      <c r="I4373">
        <v>1965</v>
      </c>
      <c r="J4373">
        <v>1965</v>
      </c>
      <c r="K4373" t="s">
        <v>3144</v>
      </c>
      <c r="L4373" t="s">
        <v>3974</v>
      </c>
      <c r="M4373" s="2">
        <v>1136</v>
      </c>
      <c r="N4373" t="s">
        <v>4048</v>
      </c>
      <c r="O4373">
        <v>3</v>
      </c>
      <c r="P4373">
        <v>2</v>
      </c>
      <c r="Q4373">
        <v>0</v>
      </c>
      <c r="R4373" t="s">
        <v>4676</v>
      </c>
      <c r="S4373" t="s">
        <v>4135</v>
      </c>
      <c r="T4373" t="s">
        <v>4559</v>
      </c>
      <c r="U4373" t="s">
        <v>4655</v>
      </c>
      <c r="V4373" s="2">
        <v>0</v>
      </c>
      <c r="W4373" t="s">
        <v>4655</v>
      </c>
      <c r="X4373" s="2">
        <v>0</v>
      </c>
      <c r="Y4373">
        <v>21</v>
      </c>
      <c r="Z4373" t="s">
        <v>3781</v>
      </c>
      <c r="AA4373" s="3">
        <v>1.00000004749745E-3</v>
      </c>
      <c r="AB4373" t="s">
        <v>23185</v>
      </c>
      <c r="AC4373" t="s">
        <v>4562</v>
      </c>
      <c r="AD4373" t="s">
        <v>23186</v>
      </c>
      <c r="AE4373" t="s">
        <v>4655</v>
      </c>
      <c r="AF4373" t="s">
        <v>5206</v>
      </c>
      <c r="AG4373" t="s">
        <v>4564</v>
      </c>
      <c r="AH4373" t="s">
        <v>5275</v>
      </c>
      <c r="AI4373" t="s">
        <v>4503</v>
      </c>
      <c r="AJ4373" t="s">
        <v>4655</v>
      </c>
      <c r="AK4373" t="s">
        <v>23187</v>
      </c>
      <c r="AL4373" s="13" t="s">
        <v>1893</v>
      </c>
      <c r="AM4373" s="14">
        <v>1</v>
      </c>
      <c r="AN4373" s="15" t="s">
        <v>2397</v>
      </c>
    </row>
    <row r="4374" spans="1:40" x14ac:dyDescent="0.3">
      <c r="A4374" s="10" t="str">
        <f>HYPERLINK("http://www.washoecounty.gov/assessor/cama/?parid=127-120-10&amp;CardNumber=1","127-120-10")</f>
        <v>127-120-10</v>
      </c>
      <c r="B4374" t="s">
        <v>4655</v>
      </c>
      <c r="C4374" t="s">
        <v>2197</v>
      </c>
      <c r="D4374" s="1">
        <v>40504</v>
      </c>
      <c r="E4374" s="2">
        <v>289000</v>
      </c>
      <c r="F4374" t="s">
        <v>3528</v>
      </c>
      <c r="G4374" s="17" t="str">
        <f>HYPERLINK("https://www.washoecounty.gov/assessor/cama/?command=sales&amp;parid=12712010","3945436")</f>
        <v>3945436</v>
      </c>
      <c r="H4374" t="s">
        <v>2198</v>
      </c>
      <c r="I4374">
        <v>1966</v>
      </c>
      <c r="J4374">
        <v>1966</v>
      </c>
      <c r="K4374" t="s">
        <v>3144</v>
      </c>
      <c r="L4374" t="s">
        <v>3974</v>
      </c>
      <c r="M4374" s="2">
        <v>1332</v>
      </c>
      <c r="N4374" t="s">
        <v>4048</v>
      </c>
      <c r="O4374">
        <v>3</v>
      </c>
      <c r="P4374">
        <v>2</v>
      </c>
      <c r="Q4374">
        <v>1</v>
      </c>
      <c r="R4374" t="s">
        <v>4676</v>
      </c>
      <c r="S4374" t="s">
        <v>4135</v>
      </c>
      <c r="T4374" t="s">
        <v>4899</v>
      </c>
      <c r="U4374" t="s">
        <v>4655</v>
      </c>
      <c r="V4374" s="2">
        <v>0</v>
      </c>
      <c r="W4374" t="s">
        <v>4655</v>
      </c>
      <c r="X4374" s="2">
        <v>0</v>
      </c>
      <c r="Y4374">
        <v>21</v>
      </c>
      <c r="Z4374" t="s">
        <v>3781</v>
      </c>
      <c r="AA4374" s="3">
        <v>1.00000004749745E-3</v>
      </c>
      <c r="AB4374" t="s">
        <v>23188</v>
      </c>
      <c r="AC4374" t="s">
        <v>4562</v>
      </c>
      <c r="AD4374" t="s">
        <v>23189</v>
      </c>
      <c r="AE4374" t="s">
        <v>4655</v>
      </c>
      <c r="AF4374" t="s">
        <v>2359</v>
      </c>
      <c r="AG4374" t="s">
        <v>4584</v>
      </c>
      <c r="AH4374">
        <v>94061</v>
      </c>
      <c r="AI4374" t="s">
        <v>23190</v>
      </c>
      <c r="AJ4374" t="s">
        <v>4655</v>
      </c>
      <c r="AK4374" t="s">
        <v>23191</v>
      </c>
      <c r="AL4374" s="13" t="s">
        <v>1893</v>
      </c>
      <c r="AM4374" s="14">
        <v>1</v>
      </c>
      <c r="AN4374" s="15" t="s">
        <v>2397</v>
      </c>
    </row>
    <row r="4375" spans="1:40" x14ac:dyDescent="0.3">
      <c r="A4375" s="10" t="str">
        <f>HYPERLINK("http://www.washoecounty.gov/assessor/cama/?parid=127-120-11&amp;CardNumber=1","127-120-11")</f>
        <v>127-120-11</v>
      </c>
      <c r="B4375" t="s">
        <v>4655</v>
      </c>
      <c r="C4375" t="s">
        <v>2197</v>
      </c>
      <c r="D4375" s="1">
        <v>40444</v>
      </c>
      <c r="E4375" s="2">
        <v>245000</v>
      </c>
      <c r="F4375" t="s">
        <v>4567</v>
      </c>
      <c r="G4375" s="17" t="str">
        <f>HYPERLINK("https://www.washoecounty.gov/assessor/cama/?command=sales&amp;parid=12712011","3925463")</f>
        <v>3925463</v>
      </c>
      <c r="H4375" t="s">
        <v>2198</v>
      </c>
      <c r="I4375">
        <v>1966</v>
      </c>
      <c r="J4375">
        <v>1966</v>
      </c>
      <c r="K4375" t="s">
        <v>3144</v>
      </c>
      <c r="L4375" t="s">
        <v>3974</v>
      </c>
      <c r="M4375" s="2">
        <v>1332</v>
      </c>
      <c r="N4375" t="s">
        <v>4048</v>
      </c>
      <c r="O4375">
        <v>3</v>
      </c>
      <c r="P4375">
        <v>2</v>
      </c>
      <c r="Q4375">
        <v>1</v>
      </c>
      <c r="R4375" t="s">
        <v>4676</v>
      </c>
      <c r="S4375" t="s">
        <v>4135</v>
      </c>
      <c r="T4375" t="s">
        <v>4899</v>
      </c>
      <c r="U4375" t="s">
        <v>4655</v>
      </c>
      <c r="V4375" s="2">
        <v>0</v>
      </c>
      <c r="W4375" t="s">
        <v>4655</v>
      </c>
      <c r="X4375" s="2">
        <v>0</v>
      </c>
      <c r="Y4375">
        <v>21</v>
      </c>
      <c r="Z4375" t="s">
        <v>3781</v>
      </c>
      <c r="AA4375" s="3">
        <v>1.00000004749745E-3</v>
      </c>
      <c r="AB4375" t="s">
        <v>23192</v>
      </c>
      <c r="AC4375" t="s">
        <v>4562</v>
      </c>
      <c r="AD4375" t="s">
        <v>23193</v>
      </c>
      <c r="AE4375" t="s">
        <v>4655</v>
      </c>
      <c r="AF4375" t="s">
        <v>5206</v>
      </c>
      <c r="AG4375" t="s">
        <v>4564</v>
      </c>
      <c r="AH4375" t="s">
        <v>5275</v>
      </c>
      <c r="AI4375" t="s">
        <v>23194</v>
      </c>
      <c r="AJ4375" t="s">
        <v>4655</v>
      </c>
      <c r="AK4375" t="s">
        <v>23195</v>
      </c>
      <c r="AL4375" s="13" t="s">
        <v>1893</v>
      </c>
      <c r="AM4375">
        <v>1</v>
      </c>
      <c r="AN4375" s="15" t="s">
        <v>2397</v>
      </c>
    </row>
    <row r="4376" spans="1:40" x14ac:dyDescent="0.3">
      <c r="A4376" s="10" t="str">
        <f>HYPERLINK("http://www.washoecounty.gov/assessor/cama/?parid=127-120-19&amp;CardNumber=1","127-120-19")</f>
        <v>127-120-19</v>
      </c>
      <c r="B4376" t="s">
        <v>4655</v>
      </c>
      <c r="C4376" t="s">
        <v>2197</v>
      </c>
      <c r="D4376" s="1">
        <v>40473</v>
      </c>
      <c r="E4376" s="2">
        <v>232000</v>
      </c>
      <c r="F4376" t="s">
        <v>4567</v>
      </c>
      <c r="G4376" s="17" t="str">
        <f>HYPERLINK("https://www.washoecounty.gov/assessor/cama/?command=sales&amp;parid=12712019","3935551")</f>
        <v>3935551</v>
      </c>
      <c r="H4376" t="s">
        <v>2198</v>
      </c>
      <c r="I4376">
        <v>1966</v>
      </c>
      <c r="J4376">
        <v>1966</v>
      </c>
      <c r="K4376" t="s">
        <v>3144</v>
      </c>
      <c r="L4376" t="s">
        <v>3974</v>
      </c>
      <c r="M4376" s="2">
        <v>1332</v>
      </c>
      <c r="N4376" t="s">
        <v>4048</v>
      </c>
      <c r="O4376">
        <v>3</v>
      </c>
      <c r="P4376">
        <v>2</v>
      </c>
      <c r="Q4376">
        <v>1</v>
      </c>
      <c r="R4376" t="s">
        <v>4676</v>
      </c>
      <c r="S4376" t="s">
        <v>4135</v>
      </c>
      <c r="T4376" t="s">
        <v>4899</v>
      </c>
      <c r="U4376" t="s">
        <v>4655</v>
      </c>
      <c r="V4376" s="2">
        <v>0</v>
      </c>
      <c r="W4376" t="s">
        <v>4655</v>
      </c>
      <c r="X4376" s="2">
        <v>0</v>
      </c>
      <c r="Y4376">
        <v>21</v>
      </c>
      <c r="Z4376" t="s">
        <v>3781</v>
      </c>
      <c r="AA4376" s="3">
        <v>1.00000004749745E-3</v>
      </c>
      <c r="AB4376" t="s">
        <v>23196</v>
      </c>
      <c r="AC4376" t="s">
        <v>4575</v>
      </c>
      <c r="AD4376" t="s">
        <v>23197</v>
      </c>
      <c r="AE4376" t="s">
        <v>4655</v>
      </c>
      <c r="AF4376" t="s">
        <v>2715</v>
      </c>
      <c r="AG4376" t="s">
        <v>4584</v>
      </c>
      <c r="AH4376" t="s">
        <v>2716</v>
      </c>
      <c r="AI4376" t="s">
        <v>23198</v>
      </c>
      <c r="AJ4376" t="s">
        <v>4655</v>
      </c>
      <c r="AK4376" t="s">
        <v>23199</v>
      </c>
      <c r="AL4376" s="13" t="s">
        <v>1893</v>
      </c>
      <c r="AM4376">
        <v>1</v>
      </c>
      <c r="AN4376" s="15" t="s">
        <v>2397</v>
      </c>
    </row>
    <row r="4377" spans="1:40" x14ac:dyDescent="0.3">
      <c r="A4377" s="10" t="str">
        <f>HYPERLINK("http://www.washoecounty.gov/assessor/cama/?parid=127-131-16&amp;CardNumber=1","127-131-16")</f>
        <v>127-131-16</v>
      </c>
      <c r="B4377" t="s">
        <v>4655</v>
      </c>
      <c r="C4377" t="s">
        <v>348</v>
      </c>
      <c r="D4377" s="1">
        <v>40455</v>
      </c>
      <c r="E4377" s="2">
        <v>240000</v>
      </c>
      <c r="F4377" t="s">
        <v>4567</v>
      </c>
      <c r="G4377" s="17" t="str">
        <f>HYPERLINK("https://www.washoecounty.gov/assessor/cama/?command=sales&amp;parid=12713116","3929127")</f>
        <v>3929127</v>
      </c>
      <c r="H4377" t="s">
        <v>349</v>
      </c>
      <c r="I4377">
        <v>1968</v>
      </c>
      <c r="J4377">
        <v>1968</v>
      </c>
      <c r="K4377" t="s">
        <v>3144</v>
      </c>
      <c r="L4377" t="s">
        <v>3974</v>
      </c>
      <c r="M4377" s="2">
        <v>1332</v>
      </c>
      <c r="N4377" t="s">
        <v>4048</v>
      </c>
      <c r="O4377">
        <v>3</v>
      </c>
      <c r="P4377">
        <v>2</v>
      </c>
      <c r="Q4377">
        <v>0</v>
      </c>
      <c r="R4377" t="s">
        <v>4676</v>
      </c>
      <c r="S4377" t="s">
        <v>4135</v>
      </c>
      <c r="T4377" t="s">
        <v>4899</v>
      </c>
      <c r="U4377" t="s">
        <v>4655</v>
      </c>
      <c r="V4377" s="2">
        <v>0</v>
      </c>
      <c r="W4377" t="s">
        <v>4655</v>
      </c>
      <c r="X4377" s="2">
        <v>0</v>
      </c>
      <c r="Y4377">
        <v>21</v>
      </c>
      <c r="Z4377" t="s">
        <v>3781</v>
      </c>
      <c r="AA4377" s="3">
        <v>1.00000004749745E-3</v>
      </c>
      <c r="AB4377" t="s">
        <v>23200</v>
      </c>
      <c r="AC4377" t="s">
        <v>4562</v>
      </c>
      <c r="AD4377" t="s">
        <v>23201</v>
      </c>
      <c r="AE4377" t="s">
        <v>4655</v>
      </c>
      <c r="AF4377" t="s">
        <v>4054</v>
      </c>
      <c r="AG4377" t="s">
        <v>4564</v>
      </c>
      <c r="AH4377" t="s">
        <v>5207</v>
      </c>
      <c r="AI4377" t="s">
        <v>23202</v>
      </c>
      <c r="AJ4377" t="s">
        <v>4655</v>
      </c>
      <c r="AK4377" t="s">
        <v>23203</v>
      </c>
      <c r="AL4377" s="13" t="s">
        <v>1893</v>
      </c>
      <c r="AM4377" s="14">
        <v>1</v>
      </c>
      <c r="AN4377" s="15" t="s">
        <v>2397</v>
      </c>
    </row>
    <row r="4378" spans="1:40" x14ac:dyDescent="0.3">
      <c r="A4378" s="10" t="str">
        <f>HYPERLINK("http://www.washoecounty.gov/assessor/cama/?parid=127-132-04&amp;CardNumber=1","127-132-04")</f>
        <v>127-132-04</v>
      </c>
      <c r="B4378" t="s">
        <v>4655</v>
      </c>
      <c r="C4378" t="s">
        <v>348</v>
      </c>
      <c r="D4378" s="1">
        <v>40266</v>
      </c>
      <c r="E4378" s="2">
        <v>250000</v>
      </c>
      <c r="F4378" t="s">
        <v>4567</v>
      </c>
      <c r="G4378" s="17" t="str">
        <f>HYPERLINK("https://www.washoecounty.gov/assessor/cama/?command=sales&amp;parid=12713204","3864791")</f>
        <v>3864791</v>
      </c>
      <c r="H4378" t="s">
        <v>349</v>
      </c>
      <c r="I4378">
        <v>1969</v>
      </c>
      <c r="J4378">
        <v>1969</v>
      </c>
      <c r="K4378" t="s">
        <v>3144</v>
      </c>
      <c r="L4378" t="s">
        <v>3974</v>
      </c>
      <c r="M4378" s="2">
        <v>1332</v>
      </c>
      <c r="N4378" t="s">
        <v>4048</v>
      </c>
      <c r="O4378">
        <v>3</v>
      </c>
      <c r="P4378">
        <v>2</v>
      </c>
      <c r="Q4378">
        <v>0</v>
      </c>
      <c r="R4378" t="s">
        <v>4676</v>
      </c>
      <c r="S4378" t="s">
        <v>3148</v>
      </c>
      <c r="T4378" t="s">
        <v>4899</v>
      </c>
      <c r="U4378" t="s">
        <v>4655</v>
      </c>
      <c r="V4378" s="2">
        <v>0</v>
      </c>
      <c r="W4378" t="s">
        <v>4655</v>
      </c>
      <c r="X4378" s="2">
        <v>0</v>
      </c>
      <c r="Y4378">
        <v>21</v>
      </c>
      <c r="Z4378" t="s">
        <v>3781</v>
      </c>
      <c r="AA4378" s="3">
        <v>1.00000004749745E-3</v>
      </c>
      <c r="AB4378" t="s">
        <v>23204</v>
      </c>
      <c r="AC4378" t="s">
        <v>4562</v>
      </c>
      <c r="AD4378" t="s">
        <v>23205</v>
      </c>
      <c r="AE4378" t="s">
        <v>4655</v>
      </c>
      <c r="AF4378" t="s">
        <v>4054</v>
      </c>
      <c r="AG4378" t="s">
        <v>4564</v>
      </c>
      <c r="AH4378" t="s">
        <v>5207</v>
      </c>
      <c r="AI4378" t="s">
        <v>23206</v>
      </c>
      <c r="AJ4378" t="s">
        <v>4655</v>
      </c>
      <c r="AK4378" t="s">
        <v>23207</v>
      </c>
      <c r="AL4378" s="13" t="s">
        <v>1893</v>
      </c>
      <c r="AM4378">
        <v>1</v>
      </c>
      <c r="AN4378" s="15" t="s">
        <v>2397</v>
      </c>
    </row>
    <row r="4379" spans="1:40" x14ac:dyDescent="0.3">
      <c r="A4379" s="10" t="str">
        <f>HYPERLINK("http://www.washoecounty.gov/assessor/cama/?parid=127-132-11&amp;CardNumber=1","127-132-11")</f>
        <v>127-132-11</v>
      </c>
      <c r="B4379" t="s">
        <v>4655</v>
      </c>
      <c r="C4379" t="s">
        <v>348</v>
      </c>
      <c r="D4379" s="1">
        <v>40528</v>
      </c>
      <c r="E4379" s="2">
        <v>227000</v>
      </c>
      <c r="F4379" t="s">
        <v>4567</v>
      </c>
      <c r="G4379" s="17" t="str">
        <f>HYPERLINK("https://www.washoecounty.gov/assessor/cama/?command=sales&amp;parid=12713211","3954449")</f>
        <v>3954449</v>
      </c>
      <c r="H4379" t="s">
        <v>349</v>
      </c>
      <c r="I4379">
        <v>1969</v>
      </c>
      <c r="J4379">
        <v>1969</v>
      </c>
      <c r="K4379" t="s">
        <v>3144</v>
      </c>
      <c r="L4379" t="s">
        <v>3974</v>
      </c>
      <c r="M4379" s="2">
        <v>1332</v>
      </c>
      <c r="N4379" t="s">
        <v>4048</v>
      </c>
      <c r="O4379">
        <v>3</v>
      </c>
      <c r="P4379">
        <v>2</v>
      </c>
      <c r="Q4379">
        <v>0</v>
      </c>
      <c r="R4379" t="s">
        <v>4676</v>
      </c>
      <c r="S4379" t="s">
        <v>3148</v>
      </c>
      <c r="T4379" t="s">
        <v>4899</v>
      </c>
      <c r="U4379" t="s">
        <v>4655</v>
      </c>
      <c r="V4379" s="2">
        <v>0</v>
      </c>
      <c r="W4379" t="s">
        <v>4655</v>
      </c>
      <c r="X4379" s="2">
        <v>0</v>
      </c>
      <c r="Y4379">
        <v>21</v>
      </c>
      <c r="Z4379" t="s">
        <v>3781</v>
      </c>
      <c r="AA4379" s="3">
        <v>1.00000004749745E-3</v>
      </c>
      <c r="AB4379" t="s">
        <v>23208</v>
      </c>
      <c r="AC4379" t="s">
        <v>4562</v>
      </c>
      <c r="AD4379" t="s">
        <v>23209</v>
      </c>
      <c r="AE4379" t="s">
        <v>4655</v>
      </c>
      <c r="AF4379" t="s">
        <v>9342</v>
      </c>
      <c r="AG4379" t="s">
        <v>4584</v>
      </c>
      <c r="AH4379">
        <v>95051</v>
      </c>
      <c r="AI4379" t="s">
        <v>23210</v>
      </c>
      <c r="AJ4379" t="s">
        <v>4655</v>
      </c>
      <c r="AK4379" t="s">
        <v>23211</v>
      </c>
      <c r="AL4379" s="13" t="s">
        <v>1893</v>
      </c>
      <c r="AM4379">
        <v>1</v>
      </c>
      <c r="AN4379" s="15" t="s">
        <v>2397</v>
      </c>
    </row>
    <row r="4380" spans="1:40" x14ac:dyDescent="0.3">
      <c r="A4380" s="10" t="str">
        <f>HYPERLINK("http://www.washoecounty.gov/assessor/cama/?parid=127-132-26&amp;CardNumber=1","127-132-26")</f>
        <v>127-132-26</v>
      </c>
      <c r="B4380" t="s">
        <v>4655</v>
      </c>
      <c r="C4380" t="s">
        <v>348</v>
      </c>
      <c r="D4380" s="1">
        <v>40312</v>
      </c>
      <c r="E4380" s="2">
        <v>247600</v>
      </c>
      <c r="F4380" t="s">
        <v>4567</v>
      </c>
      <c r="G4380" s="17" t="str">
        <f>HYPERLINK("https://www.washoecounty.gov/assessor/cama/?command=sales&amp;parid=12713226","3881570")</f>
        <v>3881570</v>
      </c>
      <c r="H4380" t="s">
        <v>349</v>
      </c>
      <c r="I4380">
        <v>1969</v>
      </c>
      <c r="J4380">
        <v>1969</v>
      </c>
      <c r="K4380" t="s">
        <v>3144</v>
      </c>
      <c r="L4380" t="s">
        <v>3974</v>
      </c>
      <c r="M4380" s="2">
        <v>1332</v>
      </c>
      <c r="N4380" t="s">
        <v>4048</v>
      </c>
      <c r="O4380">
        <v>3</v>
      </c>
      <c r="P4380">
        <v>2</v>
      </c>
      <c r="Q4380">
        <v>0</v>
      </c>
      <c r="R4380" t="s">
        <v>4676</v>
      </c>
      <c r="S4380" t="s">
        <v>4135</v>
      </c>
      <c r="T4380" t="s">
        <v>4559</v>
      </c>
      <c r="U4380" t="s">
        <v>4655</v>
      </c>
      <c r="V4380" s="2">
        <v>0</v>
      </c>
      <c r="W4380" t="s">
        <v>4655</v>
      </c>
      <c r="X4380" s="2">
        <v>0</v>
      </c>
      <c r="Y4380">
        <v>21</v>
      </c>
      <c r="Z4380" t="s">
        <v>3781</v>
      </c>
      <c r="AA4380" s="3">
        <v>1.00000004749745E-3</v>
      </c>
      <c r="AB4380" t="s">
        <v>23212</v>
      </c>
      <c r="AC4380" t="s">
        <v>4562</v>
      </c>
      <c r="AD4380" t="s">
        <v>23213</v>
      </c>
      <c r="AE4380" t="s">
        <v>4655</v>
      </c>
      <c r="AF4380" t="s">
        <v>2594</v>
      </c>
      <c r="AG4380" t="s">
        <v>4584</v>
      </c>
      <c r="AH4380" t="s">
        <v>2178</v>
      </c>
      <c r="AI4380" t="s">
        <v>23214</v>
      </c>
      <c r="AJ4380" t="s">
        <v>4655</v>
      </c>
      <c r="AK4380" t="s">
        <v>23215</v>
      </c>
      <c r="AL4380" s="13" t="s">
        <v>1893</v>
      </c>
      <c r="AM4380">
        <v>1</v>
      </c>
      <c r="AN4380" s="15" t="s">
        <v>2397</v>
      </c>
    </row>
    <row r="4381" spans="1:40" x14ac:dyDescent="0.3">
      <c r="A4381" s="10" t="str">
        <f>HYPERLINK("http://www.washoecounty.gov/assessor/cama/?parid=127-250-12&amp;CardNumber=1","127-250-12")</f>
        <v>127-250-12</v>
      </c>
      <c r="B4381" t="s">
        <v>4655</v>
      </c>
      <c r="C4381" t="s">
        <v>23216</v>
      </c>
      <c r="D4381" s="1">
        <v>40247</v>
      </c>
      <c r="E4381" s="2">
        <v>243000</v>
      </c>
      <c r="F4381" t="s">
        <v>4553</v>
      </c>
      <c r="G4381" s="17" t="str">
        <f>HYPERLINK("https://www.washoecounty.gov/assessor/cama/?command=sales&amp;parid=12725012","3858320")</f>
        <v>3858320</v>
      </c>
      <c r="H4381" t="s">
        <v>23217</v>
      </c>
      <c r="I4381">
        <v>1972</v>
      </c>
      <c r="J4381">
        <v>1972</v>
      </c>
      <c r="K4381" t="s">
        <v>3144</v>
      </c>
      <c r="L4381" t="s">
        <v>3974</v>
      </c>
      <c r="M4381" s="2">
        <v>1368</v>
      </c>
      <c r="N4381" t="s">
        <v>4048</v>
      </c>
      <c r="O4381">
        <v>3</v>
      </c>
      <c r="P4381">
        <v>2</v>
      </c>
      <c r="Q4381">
        <v>1</v>
      </c>
      <c r="R4381" t="s">
        <v>4557</v>
      </c>
      <c r="S4381" t="s">
        <v>4135</v>
      </c>
      <c r="T4381" t="s">
        <v>4899</v>
      </c>
      <c r="U4381" t="s">
        <v>4655</v>
      </c>
      <c r="V4381" s="2">
        <v>0</v>
      </c>
      <c r="W4381" t="s">
        <v>3149</v>
      </c>
      <c r="X4381" s="2">
        <v>234</v>
      </c>
      <c r="Y4381">
        <v>21</v>
      </c>
      <c r="Z4381" t="s">
        <v>3781</v>
      </c>
      <c r="AA4381" s="3">
        <v>1.00000004749745E-3</v>
      </c>
      <c r="AB4381" t="s">
        <v>23218</v>
      </c>
      <c r="AC4381" t="s">
        <v>4562</v>
      </c>
      <c r="AD4381" t="s">
        <v>23219</v>
      </c>
      <c r="AE4381" t="s">
        <v>4655</v>
      </c>
      <c r="AF4381" t="s">
        <v>4629</v>
      </c>
      <c r="AG4381" t="s">
        <v>4584</v>
      </c>
      <c r="AH4381" t="s">
        <v>1651</v>
      </c>
      <c r="AI4381" t="s">
        <v>4655</v>
      </c>
      <c r="AJ4381" t="s">
        <v>4655</v>
      </c>
      <c r="AK4381" t="s">
        <v>23220</v>
      </c>
      <c r="AL4381" s="13" t="s">
        <v>1893</v>
      </c>
      <c r="AM4381" s="14">
        <v>1</v>
      </c>
      <c r="AN4381" s="15" t="s">
        <v>2397</v>
      </c>
    </row>
    <row r="4382" spans="1:40" x14ac:dyDescent="0.3">
      <c r="A4382" s="10" t="str">
        <f>HYPERLINK("http://www.washoecounty.gov/assessor/cama/?parid=127-290-36&amp;CardNumber=1","127-290-36")</f>
        <v>127-290-36</v>
      </c>
      <c r="B4382" t="s">
        <v>4655</v>
      </c>
      <c r="C4382" t="s">
        <v>5040</v>
      </c>
      <c r="D4382" s="1">
        <v>40331</v>
      </c>
      <c r="E4382" s="2">
        <v>145185</v>
      </c>
      <c r="F4382" t="s">
        <v>4553</v>
      </c>
      <c r="G4382" s="17" t="str">
        <f>HYPERLINK("https://www.washoecounty.gov/assessor/cama/?command=sales&amp;parid=12729036","3887493")</f>
        <v>3887493</v>
      </c>
      <c r="H4382" t="s">
        <v>5041</v>
      </c>
      <c r="I4382">
        <v>1971</v>
      </c>
      <c r="J4382">
        <v>1971</v>
      </c>
      <c r="K4382" t="s">
        <v>4897</v>
      </c>
      <c r="L4382" t="s">
        <v>4555</v>
      </c>
      <c r="M4382" s="2">
        <v>780</v>
      </c>
      <c r="N4382" t="s">
        <v>3147</v>
      </c>
      <c r="O4382">
        <v>1</v>
      </c>
      <c r="P4382">
        <v>1</v>
      </c>
      <c r="Q4382">
        <v>0</v>
      </c>
      <c r="R4382" t="s">
        <v>4676</v>
      </c>
      <c r="S4382" t="s">
        <v>4135</v>
      </c>
      <c r="T4382" t="s">
        <v>4559</v>
      </c>
      <c r="U4382" t="s">
        <v>4655</v>
      </c>
      <c r="V4382" s="2">
        <v>0</v>
      </c>
      <c r="W4382" t="s">
        <v>4655</v>
      </c>
      <c r="X4382" s="2">
        <v>0</v>
      </c>
      <c r="Y4382">
        <v>21</v>
      </c>
      <c r="Z4382" t="s">
        <v>3781</v>
      </c>
      <c r="AA4382" s="3">
        <v>1.00000004749745E-3</v>
      </c>
      <c r="AB4382" t="s">
        <v>23221</v>
      </c>
      <c r="AC4382" t="s">
        <v>4562</v>
      </c>
      <c r="AD4382" t="s">
        <v>23222</v>
      </c>
      <c r="AE4382" t="s">
        <v>23223</v>
      </c>
      <c r="AF4382" t="s">
        <v>2751</v>
      </c>
      <c r="AG4382" t="s">
        <v>4584</v>
      </c>
      <c r="AH4382">
        <v>90013</v>
      </c>
      <c r="AI4382" t="s">
        <v>23221</v>
      </c>
      <c r="AJ4382" t="s">
        <v>4655</v>
      </c>
      <c r="AK4382" t="s">
        <v>5042</v>
      </c>
      <c r="AL4382" s="13" t="s">
        <v>1893</v>
      </c>
      <c r="AM4382">
        <v>1</v>
      </c>
      <c r="AN4382" s="15" t="s">
        <v>3783</v>
      </c>
    </row>
    <row r="4383" spans="1:40" x14ac:dyDescent="0.3">
      <c r="A4383" s="10" t="str">
        <f>HYPERLINK("http://www.washoecounty.gov/assessor/cama/?parid=127-300-05&amp;CardNumber=1","127-300-05")</f>
        <v>127-300-05</v>
      </c>
      <c r="B4383" t="s">
        <v>4655</v>
      </c>
      <c r="C4383" t="s">
        <v>3779</v>
      </c>
      <c r="D4383" s="1">
        <v>40198</v>
      </c>
      <c r="E4383" s="2">
        <v>280000</v>
      </c>
      <c r="F4383" t="s">
        <v>4553</v>
      </c>
      <c r="G4383" s="17" t="str">
        <f>HYPERLINK("https://www.washoecounty.gov/assessor/cama/?command=sales&amp;parid=12730005","3841318")</f>
        <v>3841318</v>
      </c>
      <c r="H4383" t="s">
        <v>3780</v>
      </c>
      <c r="I4383">
        <v>1971</v>
      </c>
      <c r="J4383">
        <v>1971</v>
      </c>
      <c r="K4383" t="s">
        <v>4897</v>
      </c>
      <c r="L4383" t="s">
        <v>3974</v>
      </c>
      <c r="M4383" s="2">
        <v>1168</v>
      </c>
      <c r="N4383" t="s">
        <v>3147</v>
      </c>
      <c r="O4383">
        <v>3</v>
      </c>
      <c r="P4383">
        <v>2</v>
      </c>
      <c r="Q4383">
        <v>0</v>
      </c>
      <c r="R4383" t="s">
        <v>4676</v>
      </c>
      <c r="S4383" t="s">
        <v>4135</v>
      </c>
      <c r="T4383" t="s">
        <v>4559</v>
      </c>
      <c r="U4383" t="s">
        <v>4655</v>
      </c>
      <c r="V4383" s="2">
        <v>0</v>
      </c>
      <c r="W4383" t="s">
        <v>4655</v>
      </c>
      <c r="X4383" s="2">
        <v>0</v>
      </c>
      <c r="Y4383">
        <v>21</v>
      </c>
      <c r="Z4383" t="s">
        <v>3781</v>
      </c>
      <c r="AA4383" s="3">
        <v>1.00000004749745E-3</v>
      </c>
      <c r="AB4383" t="s">
        <v>23224</v>
      </c>
      <c r="AC4383" t="s">
        <v>4562</v>
      </c>
      <c r="AD4383" t="s">
        <v>23225</v>
      </c>
      <c r="AE4383" t="s">
        <v>4655</v>
      </c>
      <c r="AF4383" t="s">
        <v>3782</v>
      </c>
      <c r="AG4383" t="s">
        <v>4584</v>
      </c>
      <c r="AH4383">
        <v>95605</v>
      </c>
      <c r="AI4383" t="s">
        <v>4655</v>
      </c>
      <c r="AJ4383" t="s">
        <v>4655</v>
      </c>
      <c r="AK4383" t="s">
        <v>23226</v>
      </c>
      <c r="AL4383" s="13" t="s">
        <v>1893</v>
      </c>
      <c r="AM4383">
        <v>1</v>
      </c>
      <c r="AN4383" s="15" t="s">
        <v>3783</v>
      </c>
    </row>
    <row r="4384" spans="1:40" x14ac:dyDescent="0.3">
      <c r="A4384" s="10" t="str">
        <f>HYPERLINK("http://www.washoecounty.gov/assessor/cama/?parid=127-300-65&amp;CardNumber=1","127-300-65")</f>
        <v>127-300-65</v>
      </c>
      <c r="B4384" t="s">
        <v>4655</v>
      </c>
      <c r="C4384" t="s">
        <v>3779</v>
      </c>
      <c r="D4384" s="1">
        <v>40336</v>
      </c>
      <c r="E4384" s="2">
        <v>390000</v>
      </c>
      <c r="F4384" t="s">
        <v>4567</v>
      </c>
      <c r="G4384" s="17" t="str">
        <f>HYPERLINK("https://www.washoecounty.gov/assessor/cama/?command=sales&amp;parid=12730065","3889021")</f>
        <v>3889021</v>
      </c>
      <c r="H4384" t="s">
        <v>3780</v>
      </c>
      <c r="I4384">
        <v>1971</v>
      </c>
      <c r="J4384">
        <v>1971</v>
      </c>
      <c r="K4384" t="s">
        <v>4897</v>
      </c>
      <c r="L4384" t="s">
        <v>3974</v>
      </c>
      <c r="M4384" s="2">
        <v>1253</v>
      </c>
      <c r="N4384" t="s">
        <v>3147</v>
      </c>
      <c r="O4384">
        <v>3</v>
      </c>
      <c r="P4384">
        <v>2</v>
      </c>
      <c r="Q4384">
        <v>0</v>
      </c>
      <c r="R4384" t="s">
        <v>4676</v>
      </c>
      <c r="S4384" t="s">
        <v>4135</v>
      </c>
      <c r="T4384" t="s">
        <v>4559</v>
      </c>
      <c r="U4384" t="s">
        <v>4655</v>
      </c>
      <c r="V4384" s="2">
        <v>0</v>
      </c>
      <c r="W4384" t="s">
        <v>4655</v>
      </c>
      <c r="X4384" s="2">
        <v>0</v>
      </c>
      <c r="Y4384">
        <v>21</v>
      </c>
      <c r="Z4384" t="s">
        <v>3781</v>
      </c>
      <c r="AA4384" s="3">
        <v>1.00000004749745E-3</v>
      </c>
      <c r="AB4384" t="s">
        <v>23227</v>
      </c>
      <c r="AC4384" t="s">
        <v>4562</v>
      </c>
      <c r="AD4384" t="s">
        <v>23228</v>
      </c>
      <c r="AE4384" t="s">
        <v>4655</v>
      </c>
      <c r="AF4384" t="s">
        <v>23229</v>
      </c>
      <c r="AG4384" t="s">
        <v>4584</v>
      </c>
      <c r="AH4384" t="s">
        <v>23230</v>
      </c>
      <c r="AI4384" t="s">
        <v>23231</v>
      </c>
      <c r="AJ4384" t="s">
        <v>4655</v>
      </c>
      <c r="AK4384" t="s">
        <v>23232</v>
      </c>
      <c r="AL4384" s="13" t="s">
        <v>1893</v>
      </c>
      <c r="AM4384">
        <v>1</v>
      </c>
      <c r="AN4384" s="15" t="s">
        <v>3783</v>
      </c>
    </row>
    <row r="4385" spans="1:40" x14ac:dyDescent="0.3">
      <c r="A4385" s="10" t="str">
        <f>HYPERLINK("http://www.washoecounty.gov/assessor/cama/?parid=127-300-84&amp;CardNumber=1","127-300-84")</f>
        <v>127-300-84</v>
      </c>
      <c r="B4385" t="s">
        <v>4655</v>
      </c>
      <c r="C4385" t="s">
        <v>3779</v>
      </c>
      <c r="D4385" s="1">
        <v>40284</v>
      </c>
      <c r="E4385" s="2">
        <v>422000</v>
      </c>
      <c r="F4385" t="s">
        <v>4567</v>
      </c>
      <c r="G4385" s="17" t="str">
        <f>HYPERLINK("https://www.washoecounty.gov/assessor/cama/?command=sales&amp;parid=12730084","3871728")</f>
        <v>3871728</v>
      </c>
      <c r="H4385" t="s">
        <v>3780</v>
      </c>
      <c r="I4385">
        <v>1971</v>
      </c>
      <c r="J4385">
        <v>1971</v>
      </c>
      <c r="K4385" t="s">
        <v>4897</v>
      </c>
      <c r="L4385" t="s">
        <v>3974</v>
      </c>
      <c r="M4385" s="2">
        <v>1545</v>
      </c>
      <c r="N4385" t="s">
        <v>3147</v>
      </c>
      <c r="O4385">
        <v>4</v>
      </c>
      <c r="P4385">
        <v>2</v>
      </c>
      <c r="Q4385">
        <v>0</v>
      </c>
      <c r="R4385" t="s">
        <v>4676</v>
      </c>
      <c r="S4385" t="s">
        <v>4135</v>
      </c>
      <c r="T4385" t="s">
        <v>4559</v>
      </c>
      <c r="U4385" t="s">
        <v>4655</v>
      </c>
      <c r="V4385" s="2">
        <v>0</v>
      </c>
      <c r="W4385" t="s">
        <v>4655</v>
      </c>
      <c r="X4385" s="2">
        <v>0</v>
      </c>
      <c r="Y4385">
        <v>21</v>
      </c>
      <c r="Z4385" t="s">
        <v>3781</v>
      </c>
      <c r="AA4385" s="3">
        <v>1.00000004749745E-3</v>
      </c>
      <c r="AB4385" t="s">
        <v>23233</v>
      </c>
      <c r="AC4385" t="s">
        <v>4575</v>
      </c>
      <c r="AD4385" t="s">
        <v>23234</v>
      </c>
      <c r="AE4385" t="s">
        <v>23235</v>
      </c>
      <c r="AF4385" t="s">
        <v>23236</v>
      </c>
      <c r="AG4385" t="s">
        <v>4584</v>
      </c>
      <c r="AH4385" t="s">
        <v>23237</v>
      </c>
      <c r="AI4385" t="s">
        <v>23238</v>
      </c>
      <c r="AJ4385" t="s">
        <v>4655</v>
      </c>
      <c r="AK4385" t="s">
        <v>23239</v>
      </c>
      <c r="AL4385" s="13" t="s">
        <v>1893</v>
      </c>
      <c r="AM4385">
        <v>1</v>
      </c>
      <c r="AN4385" s="15" t="s">
        <v>3783</v>
      </c>
    </row>
    <row r="4386" spans="1:40" x14ac:dyDescent="0.3">
      <c r="A4386" s="10" t="str">
        <f>HYPERLINK("http://www.washoecounty.gov/assessor/cama/?parid=127-300-94&amp;CardNumber=1","127-300-94")</f>
        <v>127-300-94</v>
      </c>
      <c r="B4386" t="s">
        <v>4655</v>
      </c>
      <c r="C4386" t="s">
        <v>3779</v>
      </c>
      <c r="D4386" s="1">
        <v>40324</v>
      </c>
      <c r="E4386" s="2">
        <v>450000</v>
      </c>
      <c r="F4386" t="s">
        <v>4567</v>
      </c>
      <c r="G4386" s="17" t="str">
        <f>HYPERLINK("https://www.washoecounty.gov/assessor/cama/?command=sales&amp;parid=12730094","3885245")</f>
        <v>3885245</v>
      </c>
      <c r="H4386" t="s">
        <v>3780</v>
      </c>
      <c r="I4386">
        <v>1971</v>
      </c>
      <c r="J4386">
        <v>1971</v>
      </c>
      <c r="K4386" t="s">
        <v>4897</v>
      </c>
      <c r="L4386" t="s">
        <v>3974</v>
      </c>
      <c r="M4386" s="2">
        <v>1449</v>
      </c>
      <c r="N4386" t="s">
        <v>3147</v>
      </c>
      <c r="O4386">
        <v>3</v>
      </c>
      <c r="P4386">
        <v>2</v>
      </c>
      <c r="Q4386">
        <v>0</v>
      </c>
      <c r="R4386" t="s">
        <v>4676</v>
      </c>
      <c r="S4386" t="s">
        <v>4135</v>
      </c>
      <c r="T4386" t="s">
        <v>4559</v>
      </c>
      <c r="U4386" t="s">
        <v>4655</v>
      </c>
      <c r="V4386" s="2">
        <v>0</v>
      </c>
      <c r="W4386" t="s">
        <v>4655</v>
      </c>
      <c r="X4386" s="2">
        <v>0</v>
      </c>
      <c r="Y4386">
        <v>21</v>
      </c>
      <c r="Z4386" t="s">
        <v>3781</v>
      </c>
      <c r="AA4386" s="3">
        <v>1.00000004749745E-3</v>
      </c>
      <c r="AB4386" t="s">
        <v>23240</v>
      </c>
      <c r="AC4386" t="s">
        <v>4562</v>
      </c>
      <c r="AD4386" t="s">
        <v>23241</v>
      </c>
      <c r="AE4386" t="s">
        <v>4655</v>
      </c>
      <c r="AF4386" t="s">
        <v>4839</v>
      </c>
      <c r="AG4386" t="s">
        <v>4584</v>
      </c>
      <c r="AH4386">
        <v>95037</v>
      </c>
      <c r="AI4386" t="s">
        <v>23242</v>
      </c>
      <c r="AJ4386" t="s">
        <v>4655</v>
      </c>
      <c r="AK4386" t="s">
        <v>23243</v>
      </c>
      <c r="AL4386" s="13" t="s">
        <v>1893</v>
      </c>
      <c r="AM4386" s="14">
        <v>1</v>
      </c>
      <c r="AN4386" s="15" t="s">
        <v>3783</v>
      </c>
    </row>
    <row r="4387" spans="1:40" x14ac:dyDescent="0.3">
      <c r="A4387" s="10" t="str">
        <f>HYPERLINK("http://www.washoecounty.gov/assessor/cama/?parid=127-300-96&amp;CardNumber=1","127-300-96")</f>
        <v>127-300-96</v>
      </c>
      <c r="B4387" t="s">
        <v>4655</v>
      </c>
      <c r="C4387" t="s">
        <v>3779</v>
      </c>
      <c r="D4387" s="1">
        <v>40295</v>
      </c>
      <c r="E4387" s="2">
        <v>388000</v>
      </c>
      <c r="F4387" t="s">
        <v>4567</v>
      </c>
      <c r="G4387" s="17" t="str">
        <f>HYPERLINK("https://www.washoecounty.gov/assessor/cama/?command=sales&amp;parid=12730096","3875139")</f>
        <v>3875139</v>
      </c>
      <c r="H4387" t="s">
        <v>3780</v>
      </c>
      <c r="I4387">
        <v>1971</v>
      </c>
      <c r="J4387">
        <v>1971</v>
      </c>
      <c r="K4387" t="s">
        <v>4897</v>
      </c>
      <c r="L4387" t="s">
        <v>3974</v>
      </c>
      <c r="M4387" s="2">
        <v>1168</v>
      </c>
      <c r="N4387" t="s">
        <v>3147</v>
      </c>
      <c r="O4387">
        <v>3</v>
      </c>
      <c r="P4387">
        <v>2</v>
      </c>
      <c r="Q4387">
        <v>0</v>
      </c>
      <c r="R4387" t="s">
        <v>4676</v>
      </c>
      <c r="S4387" t="s">
        <v>4135</v>
      </c>
      <c r="T4387" t="s">
        <v>4559</v>
      </c>
      <c r="U4387" t="s">
        <v>4655</v>
      </c>
      <c r="V4387" s="2">
        <v>0</v>
      </c>
      <c r="W4387" t="s">
        <v>4655</v>
      </c>
      <c r="X4387" s="2">
        <v>0</v>
      </c>
      <c r="Y4387">
        <v>21</v>
      </c>
      <c r="Z4387" t="s">
        <v>3781</v>
      </c>
      <c r="AA4387" s="3">
        <v>1.00000004749745E-3</v>
      </c>
      <c r="AB4387" t="s">
        <v>23244</v>
      </c>
      <c r="AC4387" t="s">
        <v>4575</v>
      </c>
      <c r="AD4387" t="s">
        <v>23245</v>
      </c>
      <c r="AE4387" t="s">
        <v>23246</v>
      </c>
      <c r="AF4387" t="s">
        <v>4563</v>
      </c>
      <c r="AG4387" t="s">
        <v>4564</v>
      </c>
      <c r="AH4387">
        <v>89511</v>
      </c>
      <c r="AI4387" t="s">
        <v>23247</v>
      </c>
      <c r="AJ4387" t="s">
        <v>4655</v>
      </c>
      <c r="AK4387" t="s">
        <v>23248</v>
      </c>
      <c r="AL4387" s="13" t="s">
        <v>1893</v>
      </c>
      <c r="AM4387" s="14">
        <v>1</v>
      </c>
      <c r="AN4387" s="15" t="s">
        <v>3783</v>
      </c>
    </row>
    <row r="4388" spans="1:40" x14ac:dyDescent="0.3">
      <c r="A4388" s="10" t="str">
        <f>HYPERLINK("http://www.washoecounty.gov/assessor/cama/?parid=127-320-04&amp;CardNumber=1","127-320-04")</f>
        <v>127-320-04</v>
      </c>
      <c r="B4388" t="s">
        <v>4655</v>
      </c>
      <c r="C4388" t="s">
        <v>3784</v>
      </c>
      <c r="D4388" s="1">
        <v>40436</v>
      </c>
      <c r="E4388" s="2">
        <v>325000</v>
      </c>
      <c r="F4388" t="s">
        <v>4567</v>
      </c>
      <c r="G4388" s="17" t="str">
        <f>HYPERLINK("https://www.washoecounty.gov/assessor/cama/?command=sales&amp;parid=12732004","3922501")</f>
        <v>3922501</v>
      </c>
      <c r="H4388" t="s">
        <v>3785</v>
      </c>
      <c r="I4388">
        <v>1974</v>
      </c>
      <c r="J4388">
        <v>1974</v>
      </c>
      <c r="K4388" t="s">
        <v>4897</v>
      </c>
      <c r="L4388" t="s">
        <v>3974</v>
      </c>
      <c r="M4388" s="2">
        <v>1200</v>
      </c>
      <c r="N4388" t="s">
        <v>3147</v>
      </c>
      <c r="O4388">
        <v>3</v>
      </c>
      <c r="P4388">
        <v>2</v>
      </c>
      <c r="Q4388">
        <v>0</v>
      </c>
      <c r="R4388" t="s">
        <v>4676</v>
      </c>
      <c r="S4388" t="s">
        <v>4135</v>
      </c>
      <c r="T4388" t="s">
        <v>4559</v>
      </c>
      <c r="U4388" t="s">
        <v>4655</v>
      </c>
      <c r="V4388" s="2">
        <v>0</v>
      </c>
      <c r="W4388" t="s">
        <v>4655</v>
      </c>
      <c r="X4388" s="2">
        <v>0</v>
      </c>
      <c r="Y4388">
        <v>21</v>
      </c>
      <c r="Z4388" t="s">
        <v>718</v>
      </c>
      <c r="AA4388" s="3">
        <v>1.00000004749745E-3</v>
      </c>
      <c r="AB4388" t="s">
        <v>23249</v>
      </c>
      <c r="AC4388" t="s">
        <v>4575</v>
      </c>
      <c r="AD4388" t="s">
        <v>23250</v>
      </c>
      <c r="AE4388" t="s">
        <v>4655</v>
      </c>
      <c r="AF4388" t="s">
        <v>4563</v>
      </c>
      <c r="AG4388" t="s">
        <v>4564</v>
      </c>
      <c r="AH4388" t="s">
        <v>1147</v>
      </c>
      <c r="AI4388" t="s">
        <v>23251</v>
      </c>
      <c r="AJ4388" t="s">
        <v>4655</v>
      </c>
      <c r="AK4388" t="s">
        <v>23252</v>
      </c>
      <c r="AL4388" s="13" t="s">
        <v>1893</v>
      </c>
      <c r="AM4388" s="14">
        <v>1</v>
      </c>
      <c r="AN4388" s="15" t="s">
        <v>3783</v>
      </c>
    </row>
    <row r="4389" spans="1:40" x14ac:dyDescent="0.3">
      <c r="A4389" s="10" t="str">
        <f>HYPERLINK("http://www.washoecounty.gov/assessor/cama/?parid=127-320-47&amp;CardNumber=1","127-320-47")</f>
        <v>127-320-47</v>
      </c>
      <c r="B4389" t="s">
        <v>4655</v>
      </c>
      <c r="C4389" t="s">
        <v>3784</v>
      </c>
      <c r="D4389" s="1">
        <v>40190</v>
      </c>
      <c r="E4389" s="2">
        <v>225000</v>
      </c>
      <c r="F4389" t="s">
        <v>3259</v>
      </c>
      <c r="G4389" s="17" t="str">
        <f>HYPERLINK("https://www.washoecounty.gov/assessor/cama/?command=sales&amp;parid=12732047","3838456")</f>
        <v>3838456</v>
      </c>
      <c r="H4389" t="s">
        <v>3785</v>
      </c>
      <c r="I4389">
        <v>1974</v>
      </c>
      <c r="J4389">
        <v>1979</v>
      </c>
      <c r="K4389" t="s">
        <v>4897</v>
      </c>
      <c r="L4389" t="s">
        <v>4555</v>
      </c>
      <c r="M4389" s="2">
        <v>753</v>
      </c>
      <c r="N4389" t="s">
        <v>3147</v>
      </c>
      <c r="O4389">
        <v>1</v>
      </c>
      <c r="P4389">
        <v>1</v>
      </c>
      <c r="Q4389">
        <v>0</v>
      </c>
      <c r="R4389" t="s">
        <v>4676</v>
      </c>
      <c r="S4389" t="s">
        <v>4135</v>
      </c>
      <c r="T4389" t="s">
        <v>4559</v>
      </c>
      <c r="U4389" t="s">
        <v>4655</v>
      </c>
      <c r="V4389" s="2">
        <v>0</v>
      </c>
      <c r="W4389" t="s">
        <v>4655</v>
      </c>
      <c r="X4389" s="2">
        <v>0</v>
      </c>
      <c r="Y4389">
        <v>21</v>
      </c>
      <c r="Z4389" t="s">
        <v>718</v>
      </c>
      <c r="AA4389" s="3">
        <v>1.00000004749745E-3</v>
      </c>
      <c r="AB4389" t="s">
        <v>23253</v>
      </c>
      <c r="AC4389" t="s">
        <v>4575</v>
      </c>
      <c r="AD4389" t="s">
        <v>23254</v>
      </c>
      <c r="AE4389" t="s">
        <v>4655</v>
      </c>
      <c r="AF4389" t="s">
        <v>5206</v>
      </c>
      <c r="AG4389" t="s">
        <v>4564</v>
      </c>
      <c r="AH4389" t="s">
        <v>5207</v>
      </c>
      <c r="AI4389" t="s">
        <v>23255</v>
      </c>
      <c r="AJ4389" t="s">
        <v>4655</v>
      </c>
      <c r="AK4389" t="s">
        <v>23256</v>
      </c>
      <c r="AL4389" s="13" t="s">
        <v>1893</v>
      </c>
      <c r="AM4389">
        <v>1</v>
      </c>
      <c r="AN4389" s="15" t="s">
        <v>3783</v>
      </c>
    </row>
    <row r="4390" spans="1:40" x14ac:dyDescent="0.3">
      <c r="A4390" s="10" t="str">
        <f>HYPERLINK("http://www.washoecounty.gov/assessor/cama/?parid=127-320-49&amp;CardNumber=1","127-320-49")</f>
        <v>127-320-49</v>
      </c>
      <c r="B4390" t="s">
        <v>4655</v>
      </c>
      <c r="C4390" t="s">
        <v>3784</v>
      </c>
      <c r="D4390" s="1">
        <v>40359</v>
      </c>
      <c r="E4390" s="2">
        <v>429000</v>
      </c>
      <c r="F4390" t="s">
        <v>4567</v>
      </c>
      <c r="G4390" s="17" t="str">
        <f>HYPERLINK("https://www.washoecounty.gov/assessor/cama/?command=sales&amp;parid=12732049","3896870")</f>
        <v>3896870</v>
      </c>
      <c r="H4390" t="s">
        <v>3785</v>
      </c>
      <c r="I4390">
        <v>1974</v>
      </c>
      <c r="J4390">
        <v>1974</v>
      </c>
      <c r="K4390" t="s">
        <v>4897</v>
      </c>
      <c r="L4390" t="s">
        <v>3974</v>
      </c>
      <c r="M4390" s="2">
        <v>1200</v>
      </c>
      <c r="N4390" t="s">
        <v>3147</v>
      </c>
      <c r="O4390">
        <v>2</v>
      </c>
      <c r="P4390">
        <v>2</v>
      </c>
      <c r="Q4390">
        <v>0</v>
      </c>
      <c r="R4390" t="s">
        <v>4676</v>
      </c>
      <c r="S4390" t="s">
        <v>4135</v>
      </c>
      <c r="T4390" t="s">
        <v>4559</v>
      </c>
      <c r="U4390" t="s">
        <v>4655</v>
      </c>
      <c r="V4390" s="2">
        <v>0</v>
      </c>
      <c r="W4390" t="s">
        <v>4655</v>
      </c>
      <c r="X4390" s="2">
        <v>0</v>
      </c>
      <c r="Y4390">
        <v>21</v>
      </c>
      <c r="Z4390" t="s">
        <v>718</v>
      </c>
      <c r="AA4390" s="3">
        <v>1.00000004749745E-3</v>
      </c>
      <c r="AB4390" t="s">
        <v>23257</v>
      </c>
      <c r="AC4390" t="s">
        <v>4562</v>
      </c>
      <c r="AD4390" t="s">
        <v>23258</v>
      </c>
      <c r="AE4390" t="s">
        <v>4655</v>
      </c>
      <c r="AF4390" t="s">
        <v>5206</v>
      </c>
      <c r="AG4390" t="s">
        <v>4564</v>
      </c>
      <c r="AH4390" t="s">
        <v>3204</v>
      </c>
      <c r="AI4390" t="s">
        <v>23259</v>
      </c>
      <c r="AJ4390" t="s">
        <v>4655</v>
      </c>
      <c r="AK4390" t="s">
        <v>23260</v>
      </c>
      <c r="AL4390" s="13" t="s">
        <v>1893</v>
      </c>
      <c r="AM4390">
        <v>1</v>
      </c>
      <c r="AN4390" s="15" t="s">
        <v>3783</v>
      </c>
    </row>
    <row r="4391" spans="1:40" x14ac:dyDescent="0.3">
      <c r="A4391" s="10" t="str">
        <f>HYPERLINK("http://www.washoecounty.gov/assessor/cama/?parid=127-330-01&amp;CardNumber=1","127-330-01")</f>
        <v>127-330-01</v>
      </c>
      <c r="B4391" t="s">
        <v>4655</v>
      </c>
      <c r="C4391" t="s">
        <v>23261</v>
      </c>
      <c r="D4391" s="1">
        <v>40525</v>
      </c>
      <c r="E4391" s="2">
        <v>895000</v>
      </c>
      <c r="F4391" t="s">
        <v>4567</v>
      </c>
      <c r="G4391" s="17" t="str">
        <f>HYPERLINK("https://www.washoecounty.gov/assessor/cama/?command=sales&amp;parid=12733001","3952641")</f>
        <v>3952641</v>
      </c>
      <c r="H4391" t="s">
        <v>23262</v>
      </c>
      <c r="I4391">
        <v>1978</v>
      </c>
      <c r="J4391">
        <v>1978</v>
      </c>
      <c r="K4391" t="s">
        <v>4897</v>
      </c>
      <c r="L4391" t="s">
        <v>3974</v>
      </c>
      <c r="M4391" s="2">
        <v>2354</v>
      </c>
      <c r="N4391" t="s">
        <v>5106</v>
      </c>
      <c r="O4391">
        <v>3</v>
      </c>
      <c r="P4391">
        <v>3</v>
      </c>
      <c r="Q4391">
        <v>1</v>
      </c>
      <c r="R4391" t="s">
        <v>4557</v>
      </c>
      <c r="S4391" t="s">
        <v>4135</v>
      </c>
      <c r="T4391" t="s">
        <v>4559</v>
      </c>
      <c r="U4391" t="s">
        <v>4560</v>
      </c>
      <c r="V4391" s="2">
        <v>516</v>
      </c>
      <c r="W4391" t="s">
        <v>4655</v>
      </c>
      <c r="X4391" s="2">
        <v>0</v>
      </c>
      <c r="Y4391">
        <v>21</v>
      </c>
      <c r="Z4391" t="s">
        <v>718</v>
      </c>
      <c r="AA4391" s="3">
        <v>1.00000004749745E-3</v>
      </c>
      <c r="AB4391" t="s">
        <v>23263</v>
      </c>
      <c r="AC4391" t="s">
        <v>4575</v>
      </c>
      <c r="AD4391" t="s">
        <v>23264</v>
      </c>
      <c r="AE4391" t="s">
        <v>23265</v>
      </c>
      <c r="AF4391" t="s">
        <v>3630</v>
      </c>
      <c r="AG4391" t="s">
        <v>4584</v>
      </c>
      <c r="AH4391">
        <v>95608</v>
      </c>
      <c r="AI4391" t="s">
        <v>23266</v>
      </c>
      <c r="AJ4391" t="s">
        <v>4655</v>
      </c>
      <c r="AK4391" t="s">
        <v>23267</v>
      </c>
      <c r="AL4391" s="13" t="s">
        <v>1893</v>
      </c>
      <c r="AM4391">
        <v>1</v>
      </c>
      <c r="AN4391" s="15" t="s">
        <v>2372</v>
      </c>
    </row>
    <row r="4392" spans="1:40" x14ac:dyDescent="0.3">
      <c r="A4392" s="10" t="str">
        <f>HYPERLINK("http://www.washoecounty.gov/assessor/cama/?parid=127-330-06&amp;CardNumber=1","127-330-06")</f>
        <v>127-330-06</v>
      </c>
      <c r="B4392" t="s">
        <v>4655</v>
      </c>
      <c r="C4392" t="s">
        <v>23268</v>
      </c>
      <c r="D4392" s="1">
        <v>40458</v>
      </c>
      <c r="E4392" s="2">
        <v>740000</v>
      </c>
      <c r="F4392" t="s">
        <v>4567</v>
      </c>
      <c r="G4392" s="17" t="str">
        <f>HYPERLINK("https://www.washoecounty.gov/assessor/cama/?command=sales&amp;parid=12733006","3930795")</f>
        <v>3930795</v>
      </c>
      <c r="H4392" t="s">
        <v>23262</v>
      </c>
      <c r="I4392">
        <v>1978</v>
      </c>
      <c r="J4392">
        <v>1978</v>
      </c>
      <c r="K4392" t="s">
        <v>3144</v>
      </c>
      <c r="L4392" t="s">
        <v>3974</v>
      </c>
      <c r="M4392" s="2">
        <v>2350</v>
      </c>
      <c r="N4392" t="s">
        <v>5106</v>
      </c>
      <c r="O4392">
        <v>3</v>
      </c>
      <c r="P4392">
        <v>3</v>
      </c>
      <c r="Q4392">
        <v>1</v>
      </c>
      <c r="R4392" t="s">
        <v>4557</v>
      </c>
      <c r="S4392" t="s">
        <v>4135</v>
      </c>
      <c r="T4392" t="s">
        <v>4559</v>
      </c>
      <c r="U4392" t="s">
        <v>4560</v>
      </c>
      <c r="V4392" s="2">
        <v>516</v>
      </c>
      <c r="W4392" t="s">
        <v>4655</v>
      </c>
      <c r="X4392" s="2">
        <v>0</v>
      </c>
      <c r="Y4392">
        <v>21</v>
      </c>
      <c r="Z4392" t="s">
        <v>718</v>
      </c>
      <c r="AA4392" s="3">
        <v>1.00000004749745E-3</v>
      </c>
      <c r="AB4392" t="s">
        <v>23269</v>
      </c>
      <c r="AC4392" t="s">
        <v>4575</v>
      </c>
      <c r="AD4392" t="s">
        <v>23270</v>
      </c>
      <c r="AE4392" t="s">
        <v>4655</v>
      </c>
      <c r="AF4392" t="s">
        <v>4563</v>
      </c>
      <c r="AG4392" t="s">
        <v>4564</v>
      </c>
      <c r="AH4392" t="s">
        <v>2330</v>
      </c>
      <c r="AI4392" t="s">
        <v>23271</v>
      </c>
      <c r="AJ4392" t="s">
        <v>4655</v>
      </c>
      <c r="AK4392" t="s">
        <v>23272</v>
      </c>
      <c r="AL4392" s="13" t="s">
        <v>1893</v>
      </c>
      <c r="AM4392" s="14">
        <v>1</v>
      </c>
      <c r="AN4392" s="15" t="s">
        <v>2372</v>
      </c>
    </row>
    <row r="4393" spans="1:40" x14ac:dyDescent="0.3">
      <c r="A4393" s="10" t="str">
        <f>HYPERLINK("http://www.washoecounty.gov/assessor/cama/?parid=127-362-18&amp;CardNumber=1","127-362-18")</f>
        <v>127-362-18</v>
      </c>
      <c r="B4393" t="s">
        <v>4655</v>
      </c>
      <c r="C4393" t="s">
        <v>3205</v>
      </c>
      <c r="D4393" s="1">
        <v>40430</v>
      </c>
      <c r="E4393" s="2">
        <v>200000</v>
      </c>
      <c r="F4393" t="s">
        <v>4553</v>
      </c>
      <c r="G4393" s="17" t="str">
        <f>HYPERLINK("https://www.washoecounty.gov/assessor/cama/?command=sales&amp;parid=12736218","3920641")</f>
        <v>3920641</v>
      </c>
      <c r="H4393" t="s">
        <v>3206</v>
      </c>
      <c r="I4393">
        <v>1971</v>
      </c>
      <c r="J4393">
        <v>1971</v>
      </c>
      <c r="K4393" t="s">
        <v>3144</v>
      </c>
      <c r="L4393" t="s">
        <v>3974</v>
      </c>
      <c r="M4393" s="2">
        <v>1740</v>
      </c>
      <c r="N4393" t="s">
        <v>3147</v>
      </c>
      <c r="O4393">
        <v>3</v>
      </c>
      <c r="P4393">
        <v>2</v>
      </c>
      <c r="Q4393">
        <v>0</v>
      </c>
      <c r="R4393" t="s">
        <v>4676</v>
      </c>
      <c r="S4393" t="s">
        <v>4135</v>
      </c>
      <c r="T4393" t="s">
        <v>2947</v>
      </c>
      <c r="U4393" t="s">
        <v>4655</v>
      </c>
      <c r="V4393" s="2">
        <v>0</v>
      </c>
      <c r="W4393" t="s">
        <v>4655</v>
      </c>
      <c r="X4393" s="2">
        <v>0</v>
      </c>
      <c r="Y4393">
        <v>21</v>
      </c>
      <c r="Z4393" t="s">
        <v>4857</v>
      </c>
      <c r="AA4393" s="3">
        <v>1.00000004749745E-3</v>
      </c>
      <c r="AB4393" t="s">
        <v>23273</v>
      </c>
      <c r="AC4393" t="s">
        <v>4562</v>
      </c>
      <c r="AD4393" t="s">
        <v>23274</v>
      </c>
      <c r="AE4393" t="s">
        <v>4655</v>
      </c>
      <c r="AF4393" t="s">
        <v>23275</v>
      </c>
      <c r="AG4393" t="s">
        <v>4275</v>
      </c>
      <c r="AH4393">
        <v>22101</v>
      </c>
      <c r="AI4393" t="s">
        <v>2351</v>
      </c>
      <c r="AJ4393" t="s">
        <v>4655</v>
      </c>
      <c r="AK4393" t="s">
        <v>23276</v>
      </c>
      <c r="AL4393" s="13" t="s">
        <v>1893</v>
      </c>
      <c r="AM4393">
        <v>1</v>
      </c>
      <c r="AN4393" s="15" t="s">
        <v>3207</v>
      </c>
    </row>
    <row r="4394" spans="1:40" x14ac:dyDescent="0.3">
      <c r="A4394" s="10" t="str">
        <f>HYPERLINK("http://www.washoecounty.gov/assessor/cama/?parid=127-363-03&amp;CardNumber=1","127-363-03")</f>
        <v>127-363-03</v>
      </c>
      <c r="B4394" t="s">
        <v>4655</v>
      </c>
      <c r="C4394" t="s">
        <v>3205</v>
      </c>
      <c r="D4394" s="1">
        <v>40354</v>
      </c>
      <c r="E4394" s="2">
        <v>205000</v>
      </c>
      <c r="F4394" t="s">
        <v>4553</v>
      </c>
      <c r="G4394" s="17" t="str">
        <f>HYPERLINK("https://www.washoecounty.gov/assessor/cama/?command=sales&amp;parid=12736303","3895583")</f>
        <v>3895583</v>
      </c>
      <c r="H4394" t="s">
        <v>3206</v>
      </c>
      <c r="I4394">
        <v>1971</v>
      </c>
      <c r="J4394">
        <v>1980</v>
      </c>
      <c r="K4394" t="s">
        <v>3144</v>
      </c>
      <c r="L4394" t="s">
        <v>3974</v>
      </c>
      <c r="M4394" s="2">
        <v>1649</v>
      </c>
      <c r="N4394" t="s">
        <v>3147</v>
      </c>
      <c r="O4394">
        <v>3</v>
      </c>
      <c r="P4394">
        <v>2</v>
      </c>
      <c r="Q4394">
        <v>0</v>
      </c>
      <c r="R4394" t="s">
        <v>4676</v>
      </c>
      <c r="S4394" t="s">
        <v>4135</v>
      </c>
      <c r="T4394" t="s">
        <v>4559</v>
      </c>
      <c r="U4394" t="s">
        <v>4655</v>
      </c>
      <c r="V4394" s="2">
        <v>0</v>
      </c>
      <c r="W4394" t="s">
        <v>4655</v>
      </c>
      <c r="X4394" s="2">
        <v>0</v>
      </c>
      <c r="Y4394">
        <v>21</v>
      </c>
      <c r="Z4394" t="s">
        <v>4857</v>
      </c>
      <c r="AA4394" s="3">
        <v>1.00000004749745E-3</v>
      </c>
      <c r="AB4394" t="s">
        <v>23277</v>
      </c>
      <c r="AC4394" t="s">
        <v>4575</v>
      </c>
      <c r="AD4394" t="s">
        <v>23278</v>
      </c>
      <c r="AE4394" t="s">
        <v>4655</v>
      </c>
      <c r="AF4394" t="s">
        <v>5206</v>
      </c>
      <c r="AG4394" t="s">
        <v>4564</v>
      </c>
      <c r="AH4394" t="s">
        <v>5207</v>
      </c>
      <c r="AI4394" t="s">
        <v>1602</v>
      </c>
      <c r="AJ4394" t="s">
        <v>4655</v>
      </c>
      <c r="AK4394" t="s">
        <v>23279</v>
      </c>
      <c r="AL4394" s="13" t="s">
        <v>1893</v>
      </c>
      <c r="AM4394">
        <v>1</v>
      </c>
      <c r="AN4394" s="15" t="s">
        <v>3207</v>
      </c>
    </row>
    <row r="4395" spans="1:40" x14ac:dyDescent="0.3">
      <c r="A4395" s="10" t="str">
        <f>HYPERLINK("http://www.washoecounty.gov/assessor/cama/?parid=127-460-04&amp;CardNumber=1","127-460-04")</f>
        <v>127-460-04</v>
      </c>
      <c r="B4395" t="s">
        <v>4655</v>
      </c>
      <c r="C4395" t="s">
        <v>23280</v>
      </c>
      <c r="D4395" s="1">
        <v>40466</v>
      </c>
      <c r="E4395" s="2">
        <v>865000</v>
      </c>
      <c r="F4395" t="s">
        <v>4567</v>
      </c>
      <c r="G4395" s="17" t="str">
        <f>HYPERLINK("https://www.washoecounty.gov/assessor/cama/?command=sales&amp;parid=12746004","3933680")</f>
        <v>3933680</v>
      </c>
      <c r="H4395" t="s">
        <v>23281</v>
      </c>
      <c r="I4395">
        <v>1996</v>
      </c>
      <c r="J4395">
        <v>1996</v>
      </c>
      <c r="K4395" t="s">
        <v>4554</v>
      </c>
      <c r="L4395" t="s">
        <v>3974</v>
      </c>
      <c r="M4395" s="2">
        <v>2639</v>
      </c>
      <c r="N4395" t="s">
        <v>2012</v>
      </c>
      <c r="O4395">
        <v>3</v>
      </c>
      <c r="P4395">
        <v>2</v>
      </c>
      <c r="Q4395">
        <v>1</v>
      </c>
      <c r="R4395" t="s">
        <v>4557</v>
      </c>
      <c r="S4395" t="s">
        <v>4135</v>
      </c>
      <c r="T4395" t="s">
        <v>4559</v>
      </c>
      <c r="U4395" t="s">
        <v>5631</v>
      </c>
      <c r="V4395" s="2">
        <v>464</v>
      </c>
      <c r="W4395" t="s">
        <v>4655</v>
      </c>
      <c r="X4395" s="2">
        <v>0</v>
      </c>
      <c r="Y4395">
        <v>21</v>
      </c>
      <c r="Z4395" t="s">
        <v>718</v>
      </c>
      <c r="AA4395" s="3">
        <v>1.00000004749745E-3</v>
      </c>
      <c r="AB4395" t="s">
        <v>23282</v>
      </c>
      <c r="AC4395" t="s">
        <v>4562</v>
      </c>
      <c r="AD4395" t="s">
        <v>23283</v>
      </c>
      <c r="AE4395" t="s">
        <v>4655</v>
      </c>
      <c r="AF4395" t="s">
        <v>23284</v>
      </c>
      <c r="AG4395" t="s">
        <v>4584</v>
      </c>
      <c r="AH4395" t="s">
        <v>23285</v>
      </c>
      <c r="AI4395" t="s">
        <v>23286</v>
      </c>
      <c r="AJ4395" t="s">
        <v>23287</v>
      </c>
      <c r="AK4395" t="s">
        <v>23288</v>
      </c>
      <c r="AL4395" s="13" t="s">
        <v>1893</v>
      </c>
      <c r="AM4395" s="14">
        <v>1</v>
      </c>
      <c r="AN4395" s="15" t="s">
        <v>23289</v>
      </c>
    </row>
    <row r="4396" spans="1:40" x14ac:dyDescent="0.3">
      <c r="A4396" s="10" t="str">
        <f>HYPERLINK("http://www.washoecounty.gov/assessor/cama/?parid=127-460-06&amp;CardNumber=1","127-460-06")</f>
        <v>127-460-06</v>
      </c>
      <c r="B4396" t="s">
        <v>4655</v>
      </c>
      <c r="C4396" t="s">
        <v>23290</v>
      </c>
      <c r="D4396" s="1">
        <v>40528</v>
      </c>
      <c r="E4396" s="2">
        <v>888500</v>
      </c>
      <c r="F4396" t="s">
        <v>4567</v>
      </c>
      <c r="G4396" s="17" t="str">
        <f>HYPERLINK("https://www.washoecounty.gov/assessor/cama/?command=sales&amp;parid=12746006","3954582")</f>
        <v>3954582</v>
      </c>
      <c r="H4396" t="s">
        <v>23281</v>
      </c>
      <c r="I4396">
        <v>1996</v>
      </c>
      <c r="J4396">
        <v>1996</v>
      </c>
      <c r="K4396" t="s">
        <v>4554</v>
      </c>
      <c r="L4396" t="s">
        <v>3974</v>
      </c>
      <c r="M4396" s="2">
        <v>2639</v>
      </c>
      <c r="N4396" t="s">
        <v>2012</v>
      </c>
      <c r="O4396">
        <v>3</v>
      </c>
      <c r="P4396">
        <v>3</v>
      </c>
      <c r="Q4396">
        <v>1</v>
      </c>
      <c r="R4396" t="s">
        <v>4557</v>
      </c>
      <c r="S4396" t="s">
        <v>4135</v>
      </c>
      <c r="T4396" t="s">
        <v>4559</v>
      </c>
      <c r="U4396" t="s">
        <v>5631</v>
      </c>
      <c r="V4396" s="2">
        <v>464</v>
      </c>
      <c r="W4396" t="s">
        <v>4655</v>
      </c>
      <c r="X4396" s="2">
        <v>0</v>
      </c>
      <c r="Y4396">
        <v>21</v>
      </c>
      <c r="Z4396" t="s">
        <v>718</v>
      </c>
      <c r="AA4396" s="3">
        <v>1.00000004749745E-3</v>
      </c>
      <c r="AB4396" t="s">
        <v>23291</v>
      </c>
      <c r="AC4396" t="s">
        <v>4562</v>
      </c>
      <c r="AD4396" t="s">
        <v>23292</v>
      </c>
      <c r="AE4396" t="s">
        <v>4655</v>
      </c>
      <c r="AF4396" t="s">
        <v>23293</v>
      </c>
      <c r="AG4396" t="s">
        <v>1432</v>
      </c>
      <c r="AH4396" t="s">
        <v>23294</v>
      </c>
      <c r="AI4396" t="s">
        <v>23295</v>
      </c>
      <c r="AJ4396" t="s">
        <v>23296</v>
      </c>
      <c r="AK4396" t="s">
        <v>23297</v>
      </c>
      <c r="AL4396" s="13" t="s">
        <v>1893</v>
      </c>
      <c r="AM4396">
        <v>1</v>
      </c>
      <c r="AN4396" s="15" t="s">
        <v>23289</v>
      </c>
    </row>
    <row r="4397" spans="1:40" x14ac:dyDescent="0.3">
      <c r="A4397" s="10" t="str">
        <f>HYPERLINK("http://www.washoecounty.gov/assessor/cama/?parid=127-490-03&amp;CardNumber=1","127-490-03")</f>
        <v>127-490-03</v>
      </c>
      <c r="B4397" t="s">
        <v>4655</v>
      </c>
      <c r="C4397" t="s">
        <v>4775</v>
      </c>
      <c r="D4397" s="1">
        <v>40442</v>
      </c>
      <c r="E4397" s="2">
        <v>210000</v>
      </c>
      <c r="F4397" t="s">
        <v>4567</v>
      </c>
      <c r="G4397" s="17" t="str">
        <f>HYPERLINK("https://www.washoecounty.gov/assessor/cama/?command=sales&amp;parid=12749003","3924664")</f>
        <v>3924664</v>
      </c>
      <c r="H4397" t="s">
        <v>4776</v>
      </c>
      <c r="I4397">
        <v>1980</v>
      </c>
      <c r="J4397">
        <v>1980</v>
      </c>
      <c r="K4397" t="s">
        <v>3144</v>
      </c>
      <c r="L4397" t="s">
        <v>4555</v>
      </c>
      <c r="M4397" s="2">
        <v>1468</v>
      </c>
      <c r="N4397" t="s">
        <v>5280</v>
      </c>
      <c r="O4397">
        <v>4</v>
      </c>
      <c r="P4397">
        <v>4</v>
      </c>
      <c r="Q4397">
        <v>0</v>
      </c>
      <c r="R4397" t="s">
        <v>5205</v>
      </c>
      <c r="S4397" t="s">
        <v>4135</v>
      </c>
      <c r="T4397" t="s">
        <v>4559</v>
      </c>
      <c r="U4397" t="s">
        <v>4655</v>
      </c>
      <c r="V4397" s="2">
        <v>0</v>
      </c>
      <c r="W4397" t="s">
        <v>4655</v>
      </c>
      <c r="X4397" s="2">
        <v>0</v>
      </c>
      <c r="Y4397">
        <v>21</v>
      </c>
      <c r="Z4397" t="s">
        <v>718</v>
      </c>
      <c r="AA4397" s="3">
        <v>1.00000004749745E-3</v>
      </c>
      <c r="AB4397" t="s">
        <v>23298</v>
      </c>
      <c r="AC4397" t="s">
        <v>4562</v>
      </c>
      <c r="AD4397" t="s">
        <v>23299</v>
      </c>
      <c r="AE4397" t="s">
        <v>4655</v>
      </c>
      <c r="AF4397" t="s">
        <v>1789</v>
      </c>
      <c r="AG4397" t="s">
        <v>4584</v>
      </c>
      <c r="AH4397" t="s">
        <v>4777</v>
      </c>
      <c r="AI4397" t="s">
        <v>23300</v>
      </c>
      <c r="AJ4397" t="s">
        <v>136</v>
      </c>
      <c r="AK4397" t="s">
        <v>23301</v>
      </c>
      <c r="AL4397" s="13" t="s">
        <v>1893</v>
      </c>
      <c r="AM4397">
        <v>1</v>
      </c>
      <c r="AN4397" s="15" t="s">
        <v>4778</v>
      </c>
    </row>
    <row r="4398" spans="1:40" x14ac:dyDescent="0.3">
      <c r="A4398" s="10" t="str">
        <f>HYPERLINK("http://www.washoecounty.gov/assessor/cama/?parid=127-500-07&amp;CardNumber=1","127-500-07")</f>
        <v>127-500-07</v>
      </c>
      <c r="B4398" t="s">
        <v>4655</v>
      </c>
      <c r="C4398" t="s">
        <v>4775</v>
      </c>
      <c r="D4398" s="1">
        <v>40435</v>
      </c>
      <c r="E4398" s="2">
        <v>135000</v>
      </c>
      <c r="F4398" t="s">
        <v>4553</v>
      </c>
      <c r="G4398" s="17" t="str">
        <f>HYPERLINK("https://www.washoecounty.gov/assessor/cama/?command=sales&amp;parid=12750007","3922219")</f>
        <v>3922219</v>
      </c>
      <c r="H4398" t="s">
        <v>4776</v>
      </c>
      <c r="I4398">
        <v>1980</v>
      </c>
      <c r="J4398">
        <v>1980</v>
      </c>
      <c r="K4398" t="s">
        <v>3144</v>
      </c>
      <c r="L4398" t="s">
        <v>4555</v>
      </c>
      <c r="M4398" s="2">
        <v>1468</v>
      </c>
      <c r="N4398" t="s">
        <v>5280</v>
      </c>
      <c r="O4398">
        <v>4</v>
      </c>
      <c r="P4398">
        <v>4</v>
      </c>
      <c r="Q4398">
        <v>0</v>
      </c>
      <c r="R4398" t="s">
        <v>5205</v>
      </c>
      <c r="S4398" t="s">
        <v>4135</v>
      </c>
      <c r="T4398" t="s">
        <v>4559</v>
      </c>
      <c r="U4398" t="s">
        <v>4655</v>
      </c>
      <c r="V4398" s="2">
        <v>0</v>
      </c>
      <c r="W4398" t="s">
        <v>4655</v>
      </c>
      <c r="X4398" s="2">
        <v>0</v>
      </c>
      <c r="Y4398">
        <v>21</v>
      </c>
      <c r="Z4398" t="s">
        <v>718</v>
      </c>
      <c r="AA4398" s="3">
        <v>1.00000004749745E-3</v>
      </c>
      <c r="AB4398" t="s">
        <v>23302</v>
      </c>
      <c r="AC4398" t="s">
        <v>4562</v>
      </c>
      <c r="AD4398" t="s">
        <v>23303</v>
      </c>
      <c r="AE4398" t="s">
        <v>4655</v>
      </c>
      <c r="AF4398" t="s">
        <v>3117</v>
      </c>
      <c r="AG4398" t="s">
        <v>4584</v>
      </c>
      <c r="AH4398">
        <v>95128</v>
      </c>
      <c r="AI4398" t="s">
        <v>4045</v>
      </c>
      <c r="AJ4398" t="s">
        <v>136</v>
      </c>
      <c r="AK4398" t="s">
        <v>23304</v>
      </c>
      <c r="AL4398" s="13" t="s">
        <v>1893</v>
      </c>
      <c r="AM4398">
        <v>1</v>
      </c>
      <c r="AN4398" s="15" t="s">
        <v>4778</v>
      </c>
    </row>
    <row r="4399" spans="1:40" x14ac:dyDescent="0.3">
      <c r="A4399" s="10" t="str">
        <f>HYPERLINK("http://www.washoecounty.gov/assessor/cama/?parid=127-570-04&amp;CardNumber=1","127-570-04")</f>
        <v>127-570-04</v>
      </c>
      <c r="B4399" t="s">
        <v>4655</v>
      </c>
      <c r="C4399" t="s">
        <v>23305</v>
      </c>
      <c r="D4399" s="1">
        <v>40477</v>
      </c>
      <c r="E4399" s="2">
        <v>1000000</v>
      </c>
      <c r="F4399" t="s">
        <v>4567</v>
      </c>
      <c r="G4399" s="17" t="str">
        <f>HYPERLINK("https://www.washoecounty.gov/assessor/cama/?command=sales&amp;parid=12757004","3936415")</f>
        <v>3936415</v>
      </c>
      <c r="H4399" t="s">
        <v>23306</v>
      </c>
      <c r="I4399">
        <v>1999</v>
      </c>
      <c r="J4399">
        <v>1999</v>
      </c>
      <c r="K4399" t="s">
        <v>4554</v>
      </c>
      <c r="L4399" t="s">
        <v>3974</v>
      </c>
      <c r="M4399" s="2">
        <v>2752</v>
      </c>
      <c r="N4399" t="s">
        <v>2012</v>
      </c>
      <c r="O4399">
        <v>3</v>
      </c>
      <c r="P4399">
        <v>3</v>
      </c>
      <c r="Q4399">
        <v>1</v>
      </c>
      <c r="R4399" t="s">
        <v>1186</v>
      </c>
      <c r="S4399" t="s">
        <v>4135</v>
      </c>
      <c r="T4399" t="s">
        <v>4559</v>
      </c>
      <c r="U4399" t="s">
        <v>5631</v>
      </c>
      <c r="V4399" s="2">
        <v>455</v>
      </c>
      <c r="W4399" t="s">
        <v>4655</v>
      </c>
      <c r="X4399" s="2">
        <v>0</v>
      </c>
      <c r="Y4399">
        <v>21</v>
      </c>
      <c r="Z4399" t="s">
        <v>4857</v>
      </c>
      <c r="AA4399" s="3">
        <v>5.5991735309362398E-2</v>
      </c>
      <c r="AB4399" t="s">
        <v>23307</v>
      </c>
      <c r="AC4399" t="s">
        <v>4575</v>
      </c>
      <c r="AD4399" t="s">
        <v>23308</v>
      </c>
      <c r="AE4399" t="s">
        <v>4655</v>
      </c>
      <c r="AF4399" t="s">
        <v>5206</v>
      </c>
      <c r="AG4399" t="s">
        <v>4564</v>
      </c>
      <c r="AH4399" t="s">
        <v>5275</v>
      </c>
      <c r="AI4399" t="s">
        <v>23309</v>
      </c>
      <c r="AJ4399" t="s">
        <v>23310</v>
      </c>
      <c r="AK4399" t="s">
        <v>23311</v>
      </c>
      <c r="AL4399" s="13" t="s">
        <v>1893</v>
      </c>
      <c r="AM4399">
        <v>1</v>
      </c>
      <c r="AN4399" s="15" t="s">
        <v>5246</v>
      </c>
    </row>
    <row r="4400" spans="1:40" x14ac:dyDescent="0.3">
      <c r="A4400" s="10" t="str">
        <f>HYPERLINK("http://www.washoecounty.gov/assessor/cama/?parid=127-570-07&amp;CardNumber=1","127-570-07")</f>
        <v>127-570-07</v>
      </c>
      <c r="B4400" t="s">
        <v>4655</v>
      </c>
      <c r="C4400" t="s">
        <v>23312</v>
      </c>
      <c r="D4400" s="1">
        <v>40473</v>
      </c>
      <c r="E4400" s="2">
        <v>769000</v>
      </c>
      <c r="F4400" t="s">
        <v>4553</v>
      </c>
      <c r="G4400" s="17" t="str">
        <f>HYPERLINK("https://www.washoecounty.gov/assessor/cama/?command=sales&amp;parid=12757007","3935509")</f>
        <v>3935509</v>
      </c>
      <c r="H4400" t="s">
        <v>23306</v>
      </c>
      <c r="I4400">
        <v>1999</v>
      </c>
      <c r="J4400">
        <v>1999</v>
      </c>
      <c r="K4400" t="s">
        <v>4554</v>
      </c>
      <c r="L4400" t="s">
        <v>3974</v>
      </c>
      <c r="M4400" s="2">
        <v>2752</v>
      </c>
      <c r="N4400" t="s">
        <v>2012</v>
      </c>
      <c r="O4400">
        <v>3</v>
      </c>
      <c r="P4400">
        <v>3</v>
      </c>
      <c r="Q4400">
        <v>1</v>
      </c>
      <c r="R4400" t="s">
        <v>1186</v>
      </c>
      <c r="S4400" t="s">
        <v>4135</v>
      </c>
      <c r="T4400" t="s">
        <v>4559</v>
      </c>
      <c r="U4400" t="s">
        <v>5631</v>
      </c>
      <c r="V4400" s="2">
        <v>455</v>
      </c>
      <c r="W4400" t="s">
        <v>4655</v>
      </c>
      <c r="X4400" s="2">
        <v>0</v>
      </c>
      <c r="Y4400">
        <v>21</v>
      </c>
      <c r="Z4400" t="s">
        <v>4857</v>
      </c>
      <c r="AA4400" s="3">
        <v>5.5991735309362398E-2</v>
      </c>
      <c r="AB4400" t="s">
        <v>23163</v>
      </c>
      <c r="AC4400" t="s">
        <v>4575</v>
      </c>
      <c r="AD4400" t="s">
        <v>23164</v>
      </c>
      <c r="AE4400" t="s">
        <v>4655</v>
      </c>
      <c r="AF4400" t="s">
        <v>5206</v>
      </c>
      <c r="AG4400" t="s">
        <v>4564</v>
      </c>
      <c r="AH4400" t="s">
        <v>5275</v>
      </c>
      <c r="AI4400" t="s">
        <v>23313</v>
      </c>
      <c r="AJ4400" t="s">
        <v>23310</v>
      </c>
      <c r="AK4400" t="s">
        <v>23314</v>
      </c>
      <c r="AL4400" s="13" t="s">
        <v>1893</v>
      </c>
      <c r="AM4400">
        <v>1</v>
      </c>
      <c r="AN4400" s="15" t="s">
        <v>5246</v>
      </c>
    </row>
    <row r="4401" spans="1:40" x14ac:dyDescent="0.3">
      <c r="A4401" s="10" t="str">
        <f>HYPERLINK("http://www.washoecounty.gov/assessor/cama/?parid=127-590-02&amp;CardNumber=1","127-590-02")</f>
        <v>127-590-02</v>
      </c>
      <c r="B4401" t="s">
        <v>4655</v>
      </c>
      <c r="C4401" t="s">
        <v>23315</v>
      </c>
      <c r="D4401" s="1">
        <v>40518</v>
      </c>
      <c r="E4401" s="2">
        <v>1700000</v>
      </c>
      <c r="F4401" t="s">
        <v>3259</v>
      </c>
      <c r="G4401" s="17" t="str">
        <f>HYPERLINK("https://www.washoecounty.gov/assessor/cama/?command=sales&amp;parid=12759002","3949701")</f>
        <v>3949701</v>
      </c>
      <c r="H4401" t="s">
        <v>23316</v>
      </c>
      <c r="I4401">
        <v>2003</v>
      </c>
      <c r="J4401">
        <v>2003</v>
      </c>
      <c r="K4401" t="s">
        <v>4554</v>
      </c>
      <c r="L4401" t="s">
        <v>3974</v>
      </c>
      <c r="M4401" s="2">
        <v>4128</v>
      </c>
      <c r="N4401" t="s">
        <v>5629</v>
      </c>
      <c r="O4401">
        <v>4</v>
      </c>
      <c r="P4401">
        <v>4</v>
      </c>
      <c r="Q4401">
        <v>1</v>
      </c>
      <c r="R4401" t="s">
        <v>5630</v>
      </c>
      <c r="S4401" t="s">
        <v>4135</v>
      </c>
      <c r="T4401" t="s">
        <v>4559</v>
      </c>
      <c r="U4401" t="s">
        <v>5631</v>
      </c>
      <c r="V4401" s="2">
        <v>862</v>
      </c>
      <c r="W4401" t="s">
        <v>4655</v>
      </c>
      <c r="X4401" s="2">
        <v>0</v>
      </c>
      <c r="Y4401">
        <v>21</v>
      </c>
      <c r="Z4401" t="s">
        <v>4857</v>
      </c>
      <c r="AA4401" s="3">
        <v>0.15066574513912201</v>
      </c>
      <c r="AB4401" t="s">
        <v>23317</v>
      </c>
      <c r="AC4401" t="s">
        <v>4575</v>
      </c>
      <c r="AD4401" t="s">
        <v>23318</v>
      </c>
      <c r="AE4401" t="s">
        <v>4655</v>
      </c>
      <c r="AF4401" t="s">
        <v>3680</v>
      </c>
      <c r="AG4401" t="s">
        <v>4584</v>
      </c>
      <c r="AH4401">
        <v>95033</v>
      </c>
      <c r="AI4401" t="s">
        <v>23319</v>
      </c>
      <c r="AJ4401" t="s">
        <v>23320</v>
      </c>
      <c r="AK4401" t="s">
        <v>23321</v>
      </c>
      <c r="AL4401" s="13" t="s">
        <v>1893</v>
      </c>
      <c r="AM4401">
        <v>1</v>
      </c>
      <c r="AN4401" s="15" t="s">
        <v>23322</v>
      </c>
    </row>
    <row r="4402" spans="1:40" x14ac:dyDescent="0.3">
      <c r="A4402" s="10" t="str">
        <f>HYPERLINK("http://www.washoecounty.gov/assessor/cama/?parid=127-590-16&amp;CardNumber=1","127-590-16")</f>
        <v>127-590-16</v>
      </c>
      <c r="B4402" t="s">
        <v>4655</v>
      </c>
      <c r="C4402" t="s">
        <v>23323</v>
      </c>
      <c r="D4402" s="1">
        <v>40344</v>
      </c>
      <c r="E4402" s="2">
        <v>1700000</v>
      </c>
      <c r="F4402" t="s">
        <v>4567</v>
      </c>
      <c r="G4402" s="17" t="str">
        <f>HYPERLINK("https://www.washoecounty.gov/assessor/cama/?command=sales&amp;parid=12759016","3892162")</f>
        <v>3892162</v>
      </c>
      <c r="H4402" t="s">
        <v>23316</v>
      </c>
      <c r="I4402">
        <v>2004</v>
      </c>
      <c r="J4402">
        <v>2004</v>
      </c>
      <c r="K4402" t="s">
        <v>4554</v>
      </c>
      <c r="L4402" t="s">
        <v>3974</v>
      </c>
      <c r="M4402" s="2">
        <v>4414</v>
      </c>
      <c r="N4402" t="s">
        <v>5629</v>
      </c>
      <c r="O4402">
        <v>4</v>
      </c>
      <c r="P4402">
        <v>4</v>
      </c>
      <c r="Q4402">
        <v>1</v>
      </c>
      <c r="R4402" t="s">
        <v>5630</v>
      </c>
      <c r="S4402" t="s">
        <v>4135</v>
      </c>
      <c r="T4402" t="s">
        <v>4559</v>
      </c>
      <c r="U4402" t="s">
        <v>5631</v>
      </c>
      <c r="V4402" s="2">
        <v>872</v>
      </c>
      <c r="W4402" t="s">
        <v>4655</v>
      </c>
      <c r="X4402" s="2">
        <v>0</v>
      </c>
      <c r="Y4402">
        <v>21</v>
      </c>
      <c r="Z4402" t="s">
        <v>4857</v>
      </c>
      <c r="AA4402" s="3">
        <v>0.201492190361023</v>
      </c>
      <c r="AB4402" t="s">
        <v>23324</v>
      </c>
      <c r="AC4402" t="s">
        <v>4562</v>
      </c>
      <c r="AD4402" t="s">
        <v>23325</v>
      </c>
      <c r="AE4402" t="s">
        <v>4655</v>
      </c>
      <c r="AF4402" t="s">
        <v>23326</v>
      </c>
      <c r="AG4402" t="s">
        <v>4584</v>
      </c>
      <c r="AH4402" t="s">
        <v>23327</v>
      </c>
      <c r="AI4402" t="s">
        <v>23328</v>
      </c>
      <c r="AJ4402" t="s">
        <v>23329</v>
      </c>
      <c r="AK4402" t="s">
        <v>23330</v>
      </c>
      <c r="AL4402" s="13" t="s">
        <v>1893</v>
      </c>
      <c r="AM4402">
        <v>1</v>
      </c>
      <c r="AN4402" s="15" t="s">
        <v>23322</v>
      </c>
    </row>
    <row r="4403" spans="1:40" x14ac:dyDescent="0.3">
      <c r="A4403" s="10" t="str">
        <f>HYPERLINK("http://www.washoecounty.gov/assessor/cama/?parid=127-590-18&amp;CardNumber=1","127-590-18")</f>
        <v>127-590-18</v>
      </c>
      <c r="B4403" t="s">
        <v>4655</v>
      </c>
      <c r="C4403" t="s">
        <v>23331</v>
      </c>
      <c r="D4403" s="1">
        <v>40276</v>
      </c>
      <c r="E4403" s="2">
        <v>1750000</v>
      </c>
      <c r="F4403" t="s">
        <v>4567</v>
      </c>
      <c r="G4403" s="17" t="str">
        <f>HYPERLINK("https://www.washoecounty.gov/assessor/cama/?command=sales&amp;parid=12759018","3868822")</f>
        <v>3868822</v>
      </c>
      <c r="H4403" t="s">
        <v>23316</v>
      </c>
      <c r="I4403">
        <v>2004</v>
      </c>
      <c r="J4403">
        <v>2004</v>
      </c>
      <c r="K4403" t="s">
        <v>4554</v>
      </c>
      <c r="L4403" t="s">
        <v>3974</v>
      </c>
      <c r="M4403" s="2">
        <v>4414</v>
      </c>
      <c r="N4403" t="s">
        <v>5629</v>
      </c>
      <c r="O4403">
        <v>4</v>
      </c>
      <c r="P4403">
        <v>4</v>
      </c>
      <c r="Q4403">
        <v>1</v>
      </c>
      <c r="R4403" t="s">
        <v>5630</v>
      </c>
      <c r="S4403" t="s">
        <v>4135</v>
      </c>
      <c r="T4403" t="s">
        <v>4559</v>
      </c>
      <c r="U4403" t="s">
        <v>5631</v>
      </c>
      <c r="V4403" s="2">
        <v>872</v>
      </c>
      <c r="W4403" t="s">
        <v>4655</v>
      </c>
      <c r="X4403" s="2">
        <v>0</v>
      </c>
      <c r="Y4403">
        <v>21</v>
      </c>
      <c r="Z4403" t="s">
        <v>4857</v>
      </c>
      <c r="AA4403" s="3">
        <v>0.16848026216030099</v>
      </c>
      <c r="AB4403" t="s">
        <v>23332</v>
      </c>
      <c r="AC4403" t="s">
        <v>4575</v>
      </c>
      <c r="AD4403" t="s">
        <v>23331</v>
      </c>
      <c r="AE4403" t="s">
        <v>4655</v>
      </c>
      <c r="AF4403" t="s">
        <v>5206</v>
      </c>
      <c r="AG4403" t="s">
        <v>4564</v>
      </c>
      <c r="AH4403" t="s">
        <v>5207</v>
      </c>
      <c r="AI4403" t="s">
        <v>23333</v>
      </c>
      <c r="AJ4403" t="s">
        <v>23329</v>
      </c>
      <c r="AK4403" t="s">
        <v>23334</v>
      </c>
      <c r="AL4403" s="13" t="s">
        <v>1893</v>
      </c>
      <c r="AM4403">
        <v>1</v>
      </c>
      <c r="AN4403" s="15" t="s">
        <v>23322</v>
      </c>
    </row>
    <row r="4404" spans="1:40" x14ac:dyDescent="0.3">
      <c r="A4404" s="10" t="str">
        <f>HYPERLINK("http://www.washoecounty.gov/assessor/cama/?parid=127-600-04&amp;CardNumber=1","127-600-04")</f>
        <v>127-600-04</v>
      </c>
      <c r="B4404" t="s">
        <v>4655</v>
      </c>
      <c r="C4404" t="s">
        <v>23335</v>
      </c>
      <c r="D4404" s="1">
        <v>40238</v>
      </c>
      <c r="E4404" s="2">
        <v>1020000</v>
      </c>
      <c r="F4404" t="s">
        <v>4567</v>
      </c>
      <c r="G4404" s="17" t="str">
        <f>HYPERLINK("https://www.washoecounty.gov/assessor/cama/?command=sales&amp;parid=12760004","3853684")</f>
        <v>3853684</v>
      </c>
      <c r="H4404" t="s">
        <v>23336</v>
      </c>
      <c r="I4404">
        <v>2005</v>
      </c>
      <c r="J4404">
        <v>2005</v>
      </c>
      <c r="K4404" t="s">
        <v>4554</v>
      </c>
      <c r="L4404" t="s">
        <v>3974</v>
      </c>
      <c r="M4404" s="2">
        <v>2863</v>
      </c>
      <c r="N4404" t="s">
        <v>2631</v>
      </c>
      <c r="O4404">
        <v>3</v>
      </c>
      <c r="P4404">
        <v>3</v>
      </c>
      <c r="Q4404">
        <v>1</v>
      </c>
      <c r="R4404" t="s">
        <v>5630</v>
      </c>
      <c r="S4404" t="s">
        <v>4135</v>
      </c>
      <c r="T4404" t="s">
        <v>4559</v>
      </c>
      <c r="U4404" t="s">
        <v>5631</v>
      </c>
      <c r="V4404" s="2">
        <v>455</v>
      </c>
      <c r="W4404" t="s">
        <v>4655</v>
      </c>
      <c r="X4404" s="2">
        <v>0</v>
      </c>
      <c r="Y4404">
        <v>21</v>
      </c>
      <c r="Z4404" t="s">
        <v>4857</v>
      </c>
      <c r="AA4404" s="3">
        <v>5.7438015937805197E-2</v>
      </c>
      <c r="AB4404" t="s">
        <v>23337</v>
      </c>
      <c r="AC4404" t="s">
        <v>4575</v>
      </c>
      <c r="AD4404" t="s">
        <v>23338</v>
      </c>
      <c r="AE4404" t="s">
        <v>4655</v>
      </c>
      <c r="AF4404" t="s">
        <v>5206</v>
      </c>
      <c r="AG4404" t="s">
        <v>4564</v>
      </c>
      <c r="AH4404" t="s">
        <v>5275</v>
      </c>
      <c r="AI4404" t="s">
        <v>23339</v>
      </c>
      <c r="AJ4404" t="s">
        <v>23340</v>
      </c>
      <c r="AK4404" t="s">
        <v>23341</v>
      </c>
      <c r="AL4404" s="13" t="s">
        <v>1893</v>
      </c>
      <c r="AM4404" s="14">
        <v>1</v>
      </c>
      <c r="AN4404" s="15" t="s">
        <v>23342</v>
      </c>
    </row>
    <row r="4405" spans="1:40" x14ac:dyDescent="0.3">
      <c r="A4405" s="10" t="str">
        <f>HYPERLINK("http://www.washoecounty.gov/assessor/cama/?parid=128-051-04&amp;CardNumber=1","128-051-04")</f>
        <v>128-051-04</v>
      </c>
      <c r="B4405" t="s">
        <v>4655</v>
      </c>
      <c r="C4405" t="s">
        <v>23343</v>
      </c>
      <c r="D4405" s="1">
        <v>40478</v>
      </c>
      <c r="E4405" s="2">
        <v>530000</v>
      </c>
      <c r="F4405" t="s">
        <v>4553</v>
      </c>
      <c r="G4405" s="17" t="str">
        <f>HYPERLINK("https://www.washoecounty.gov/assessor/cama/?command=sales&amp;parid=12805104","3937300")</f>
        <v>3937300</v>
      </c>
      <c r="H4405" t="s">
        <v>23344</v>
      </c>
      <c r="I4405">
        <v>1982</v>
      </c>
      <c r="J4405">
        <v>1982</v>
      </c>
      <c r="K4405" t="s">
        <v>4554</v>
      </c>
      <c r="L4405" t="s">
        <v>3974</v>
      </c>
      <c r="M4405" s="2">
        <v>2244</v>
      </c>
      <c r="N4405" t="s">
        <v>3887</v>
      </c>
      <c r="O4405">
        <v>3</v>
      </c>
      <c r="P4405">
        <v>2</v>
      </c>
      <c r="Q4405">
        <v>1</v>
      </c>
      <c r="R4405" t="s">
        <v>4557</v>
      </c>
      <c r="S4405" t="s">
        <v>4135</v>
      </c>
      <c r="T4405" t="s">
        <v>4143</v>
      </c>
      <c r="U4405" t="s">
        <v>4560</v>
      </c>
      <c r="V4405" s="2">
        <v>462</v>
      </c>
      <c r="W4405" t="s">
        <v>4655</v>
      </c>
      <c r="X4405" s="2">
        <v>0</v>
      </c>
      <c r="Y4405">
        <v>20</v>
      </c>
      <c r="Z4405" t="s">
        <v>5508</v>
      </c>
      <c r="AA4405" s="3">
        <v>0.34999999403953602</v>
      </c>
      <c r="AB4405" t="s">
        <v>23345</v>
      </c>
      <c r="AC4405" t="s">
        <v>4575</v>
      </c>
      <c r="AD4405" t="s">
        <v>23343</v>
      </c>
      <c r="AE4405" t="s">
        <v>4655</v>
      </c>
      <c r="AF4405" t="s">
        <v>5206</v>
      </c>
      <c r="AG4405" t="s">
        <v>4564</v>
      </c>
      <c r="AH4405" t="s">
        <v>5207</v>
      </c>
      <c r="AI4405" t="s">
        <v>687</v>
      </c>
      <c r="AJ4405" t="s">
        <v>4655</v>
      </c>
      <c r="AK4405" t="s">
        <v>23346</v>
      </c>
      <c r="AL4405" s="13" t="s">
        <v>1893</v>
      </c>
      <c r="AM4405" s="14">
        <v>1</v>
      </c>
      <c r="AN4405" s="15" t="s">
        <v>2916</v>
      </c>
    </row>
    <row r="4406" spans="1:40" x14ac:dyDescent="0.3">
      <c r="A4406" s="10" t="str">
        <f>HYPERLINK("http://www.washoecounty.gov/assessor/cama/?parid=128-052-04&amp;CardNumber=1","128-052-04")</f>
        <v>128-052-04</v>
      </c>
      <c r="B4406" t="s">
        <v>4655</v>
      </c>
      <c r="C4406" t="s">
        <v>23347</v>
      </c>
      <c r="D4406" s="1">
        <v>40431</v>
      </c>
      <c r="E4406" s="2">
        <v>900000</v>
      </c>
      <c r="F4406" t="s">
        <v>3259</v>
      </c>
      <c r="G4406" s="17" t="str">
        <f>HYPERLINK("https://www.washoecounty.gov/assessor/cama/?command=sales&amp;parid=12805204","3920933")</f>
        <v>3920933</v>
      </c>
      <c r="H4406" t="s">
        <v>82</v>
      </c>
      <c r="I4406">
        <v>1981</v>
      </c>
      <c r="J4406">
        <v>1998</v>
      </c>
      <c r="K4406" t="s">
        <v>4554</v>
      </c>
      <c r="L4406" t="s">
        <v>3974</v>
      </c>
      <c r="M4406" s="2">
        <v>2934</v>
      </c>
      <c r="N4406" t="s">
        <v>1245</v>
      </c>
      <c r="O4406">
        <v>3</v>
      </c>
      <c r="P4406">
        <v>4</v>
      </c>
      <c r="Q4406">
        <v>0</v>
      </c>
      <c r="R4406" t="s">
        <v>4557</v>
      </c>
      <c r="S4406" t="s">
        <v>4135</v>
      </c>
      <c r="T4406" t="s">
        <v>4559</v>
      </c>
      <c r="U4406" t="s">
        <v>4655</v>
      </c>
      <c r="V4406" s="2">
        <v>0</v>
      </c>
      <c r="W4406" t="s">
        <v>4655</v>
      </c>
      <c r="X4406" s="2">
        <v>0</v>
      </c>
      <c r="Y4406">
        <v>20</v>
      </c>
      <c r="Z4406" t="s">
        <v>5508</v>
      </c>
      <c r="AA4406" s="3">
        <v>1.0800045728683401</v>
      </c>
      <c r="AB4406" t="s">
        <v>23348</v>
      </c>
      <c r="AC4406" t="s">
        <v>4575</v>
      </c>
      <c r="AD4406" t="s">
        <v>23349</v>
      </c>
      <c r="AE4406" t="s">
        <v>4655</v>
      </c>
      <c r="AF4406" t="s">
        <v>5206</v>
      </c>
      <c r="AG4406" t="s">
        <v>4564</v>
      </c>
      <c r="AH4406" t="s">
        <v>5275</v>
      </c>
      <c r="AI4406" t="s">
        <v>23350</v>
      </c>
      <c r="AJ4406" t="s">
        <v>4655</v>
      </c>
      <c r="AK4406" t="s">
        <v>23351</v>
      </c>
      <c r="AL4406" s="13" t="s">
        <v>1893</v>
      </c>
      <c r="AM4406">
        <v>1</v>
      </c>
      <c r="AN4406" s="15" t="s">
        <v>1303</v>
      </c>
    </row>
    <row r="4407" spans="1:40" x14ac:dyDescent="0.3">
      <c r="A4407" s="10" t="str">
        <f>HYPERLINK("http://www.washoecounty.gov/assessor/cama/?parid=128-241-16&amp;CardNumber=1","128-241-16")</f>
        <v>128-241-16</v>
      </c>
      <c r="B4407" t="s">
        <v>4655</v>
      </c>
      <c r="C4407" t="s">
        <v>23352</v>
      </c>
      <c r="D4407" s="1">
        <v>40431</v>
      </c>
      <c r="E4407" s="2">
        <v>650000</v>
      </c>
      <c r="F4407" t="s">
        <v>3259</v>
      </c>
      <c r="G4407" s="17" t="str">
        <f>HYPERLINK("https://www.washoecounty.gov/assessor/cama/?command=sales&amp;parid=12824116","3920931")</f>
        <v>3920931</v>
      </c>
      <c r="H4407" t="s">
        <v>82</v>
      </c>
      <c r="I4407">
        <v>1977</v>
      </c>
      <c r="J4407">
        <v>1977</v>
      </c>
      <c r="K4407" t="s">
        <v>4554</v>
      </c>
      <c r="L4407" t="s">
        <v>3974</v>
      </c>
      <c r="M4407" s="2">
        <v>2624</v>
      </c>
      <c r="N4407" t="s">
        <v>3147</v>
      </c>
      <c r="O4407">
        <v>4</v>
      </c>
      <c r="P4407">
        <v>2</v>
      </c>
      <c r="Q4407">
        <v>1</v>
      </c>
      <c r="R4407" t="s">
        <v>4557</v>
      </c>
      <c r="S4407" t="s">
        <v>4135</v>
      </c>
      <c r="T4407" t="s">
        <v>4559</v>
      </c>
      <c r="U4407" t="s">
        <v>4560</v>
      </c>
      <c r="V4407" s="2">
        <v>400</v>
      </c>
      <c r="W4407" t="s">
        <v>4655</v>
      </c>
      <c r="X4407" s="2">
        <v>0</v>
      </c>
      <c r="Y4407">
        <v>20</v>
      </c>
      <c r="Z4407" t="s">
        <v>1776</v>
      </c>
      <c r="AA4407" s="3">
        <v>0.27812212705612199</v>
      </c>
      <c r="AB4407" t="s">
        <v>23353</v>
      </c>
      <c r="AC4407" t="s">
        <v>4562</v>
      </c>
      <c r="AD4407" t="s">
        <v>23354</v>
      </c>
      <c r="AE4407" t="s">
        <v>4655</v>
      </c>
      <c r="AF4407" t="s">
        <v>5206</v>
      </c>
      <c r="AG4407" t="s">
        <v>4564</v>
      </c>
      <c r="AH4407" t="s">
        <v>5275</v>
      </c>
      <c r="AI4407" t="s">
        <v>4202</v>
      </c>
      <c r="AJ4407" t="s">
        <v>4655</v>
      </c>
      <c r="AK4407" t="s">
        <v>23355</v>
      </c>
      <c r="AL4407" s="13" t="s">
        <v>1893</v>
      </c>
      <c r="AM4407">
        <v>1</v>
      </c>
      <c r="AN4407" s="15" t="s">
        <v>2916</v>
      </c>
    </row>
    <row r="4408" spans="1:40" x14ac:dyDescent="0.3">
      <c r="A4408" s="10" t="str">
        <f>HYPERLINK("http://www.washoecounty.gov/assessor/cama/?parid=128-280-04&amp;CardNumber=1","128-280-04")</f>
        <v>128-280-04</v>
      </c>
      <c r="B4408" t="s">
        <v>4655</v>
      </c>
      <c r="C4408" t="s">
        <v>23356</v>
      </c>
      <c r="D4408" s="1">
        <v>40303</v>
      </c>
      <c r="E4408" s="2">
        <v>310000</v>
      </c>
      <c r="F4408" t="s">
        <v>4567</v>
      </c>
      <c r="G4408" s="17" t="str">
        <f>HYPERLINK("https://www.washoecounty.gov/assessor/cama/?command=sales&amp;parid=12828004","3878196")</f>
        <v>3878196</v>
      </c>
      <c r="H4408" t="s">
        <v>23357</v>
      </c>
      <c r="I4408">
        <v>1981</v>
      </c>
      <c r="J4408">
        <v>1981</v>
      </c>
      <c r="K4408" t="s">
        <v>4897</v>
      </c>
      <c r="L4408" t="s">
        <v>3044</v>
      </c>
      <c r="M4408" s="2">
        <v>1725</v>
      </c>
      <c r="N4408" t="s">
        <v>3147</v>
      </c>
      <c r="O4408">
        <v>3</v>
      </c>
      <c r="P4408">
        <v>2</v>
      </c>
      <c r="Q4408">
        <v>1</v>
      </c>
      <c r="R4408" t="s">
        <v>4557</v>
      </c>
      <c r="S4408" t="s">
        <v>4135</v>
      </c>
      <c r="T4408" t="s">
        <v>4559</v>
      </c>
      <c r="U4408" t="s">
        <v>5631</v>
      </c>
      <c r="V4408" s="2">
        <v>286</v>
      </c>
      <c r="W4408" t="s">
        <v>4655</v>
      </c>
      <c r="X4408" s="2">
        <v>0</v>
      </c>
      <c r="Y4408">
        <v>21</v>
      </c>
      <c r="Z4408" t="s">
        <v>718</v>
      </c>
      <c r="AA4408" s="3">
        <v>1.00000004749745E-3</v>
      </c>
      <c r="AB4408" t="s">
        <v>23358</v>
      </c>
      <c r="AC4408" t="s">
        <v>4575</v>
      </c>
      <c r="AD4408" t="s">
        <v>23359</v>
      </c>
      <c r="AE4408" t="s">
        <v>4655</v>
      </c>
      <c r="AF4408" t="s">
        <v>3117</v>
      </c>
      <c r="AG4408" t="s">
        <v>4584</v>
      </c>
      <c r="AH4408">
        <v>95125</v>
      </c>
      <c r="AI4408" t="s">
        <v>4655</v>
      </c>
      <c r="AJ4408" t="s">
        <v>4655</v>
      </c>
      <c r="AK4408" t="s">
        <v>23360</v>
      </c>
      <c r="AL4408" s="13" t="s">
        <v>1893</v>
      </c>
      <c r="AM4408">
        <v>1</v>
      </c>
      <c r="AN4408" s="15" t="s">
        <v>1263</v>
      </c>
    </row>
    <row r="4409" spans="1:40" x14ac:dyDescent="0.3">
      <c r="A4409" s="10" t="str">
        <f>HYPERLINK("http://www.washoecounty.gov/assessor/cama/?parid=128-361-11&amp;CardNumber=1","128-361-11")</f>
        <v>128-361-11</v>
      </c>
      <c r="B4409" t="s">
        <v>4655</v>
      </c>
      <c r="C4409" t="s">
        <v>23361</v>
      </c>
      <c r="D4409" s="1">
        <v>40379</v>
      </c>
      <c r="E4409" s="2">
        <v>960000</v>
      </c>
      <c r="F4409" t="s">
        <v>3259</v>
      </c>
      <c r="G4409" s="17" t="str">
        <f>HYPERLINK("https://www.washoecounty.gov/assessor/cama/?command=sales&amp;parid=12836111","3903130")</f>
        <v>3903130</v>
      </c>
      <c r="H4409" t="s">
        <v>82</v>
      </c>
      <c r="I4409">
        <v>1990</v>
      </c>
      <c r="J4409">
        <v>1990</v>
      </c>
      <c r="K4409" t="s">
        <v>4554</v>
      </c>
      <c r="L4409" t="s">
        <v>3974</v>
      </c>
      <c r="M4409" s="2">
        <v>2448</v>
      </c>
      <c r="N4409" t="s">
        <v>1245</v>
      </c>
      <c r="O4409">
        <v>3</v>
      </c>
      <c r="P4409">
        <v>2</v>
      </c>
      <c r="Q4409">
        <v>1</v>
      </c>
      <c r="R4409" t="s">
        <v>4557</v>
      </c>
      <c r="S4409" t="s">
        <v>4135</v>
      </c>
      <c r="T4409" t="s">
        <v>3888</v>
      </c>
      <c r="U4409" t="s">
        <v>5631</v>
      </c>
      <c r="V4409" s="2">
        <v>524</v>
      </c>
      <c r="W4409" t="s">
        <v>4655</v>
      </c>
      <c r="X4409" s="2">
        <v>0</v>
      </c>
      <c r="Y4409">
        <v>20</v>
      </c>
      <c r="Z4409" t="s">
        <v>5508</v>
      </c>
      <c r="AA4409" s="3">
        <v>0.30399447679519698</v>
      </c>
      <c r="AB4409" t="s">
        <v>23362</v>
      </c>
      <c r="AC4409" t="s">
        <v>4575</v>
      </c>
      <c r="AD4409" t="s">
        <v>23363</v>
      </c>
      <c r="AE4409" t="s">
        <v>4655</v>
      </c>
      <c r="AF4409" t="s">
        <v>5206</v>
      </c>
      <c r="AG4409" t="s">
        <v>4564</v>
      </c>
      <c r="AH4409" t="s">
        <v>5275</v>
      </c>
      <c r="AI4409" t="s">
        <v>23362</v>
      </c>
      <c r="AJ4409" t="s">
        <v>4655</v>
      </c>
      <c r="AK4409" t="s">
        <v>23364</v>
      </c>
      <c r="AL4409" s="13" t="s">
        <v>1893</v>
      </c>
      <c r="AM4409" s="14">
        <v>1</v>
      </c>
      <c r="AN4409" s="15" t="s">
        <v>2916</v>
      </c>
    </row>
    <row r="4410" spans="1:40" x14ac:dyDescent="0.3">
      <c r="A4410" s="10" t="str">
        <f>HYPERLINK("http://www.washoecounty.gov/assessor/cama/?parid=128-361-17&amp;CardNumber=1","128-361-17")</f>
        <v>128-361-17</v>
      </c>
      <c r="B4410" t="s">
        <v>4655</v>
      </c>
      <c r="C4410" t="s">
        <v>23365</v>
      </c>
      <c r="D4410" s="1">
        <v>40247</v>
      </c>
      <c r="E4410" s="2">
        <v>775000</v>
      </c>
      <c r="F4410" t="s">
        <v>4553</v>
      </c>
      <c r="G4410" s="17" t="str">
        <f>HYPERLINK("https://www.washoecounty.gov/assessor/cama/?command=sales&amp;parid=12836117","3857886")</f>
        <v>3857886</v>
      </c>
      <c r="H4410" t="s">
        <v>82</v>
      </c>
      <c r="I4410">
        <v>1978</v>
      </c>
      <c r="J4410">
        <v>1982</v>
      </c>
      <c r="K4410" t="s">
        <v>4554</v>
      </c>
      <c r="L4410" t="s">
        <v>3974</v>
      </c>
      <c r="M4410" s="2">
        <v>2494</v>
      </c>
      <c r="N4410" t="s">
        <v>3887</v>
      </c>
      <c r="O4410">
        <v>4</v>
      </c>
      <c r="P4410">
        <v>3</v>
      </c>
      <c r="Q4410">
        <v>0</v>
      </c>
      <c r="R4410" t="s">
        <v>4557</v>
      </c>
      <c r="S4410" t="s">
        <v>4135</v>
      </c>
      <c r="T4410" t="s">
        <v>3888</v>
      </c>
      <c r="U4410" t="s">
        <v>5631</v>
      </c>
      <c r="V4410" s="2">
        <v>414</v>
      </c>
      <c r="W4410" t="s">
        <v>4655</v>
      </c>
      <c r="X4410" s="2">
        <v>0</v>
      </c>
      <c r="Y4410">
        <v>20</v>
      </c>
      <c r="Z4410" t="s">
        <v>5508</v>
      </c>
      <c r="AA4410" s="3">
        <v>0.26499080657959001</v>
      </c>
      <c r="AB4410" t="s">
        <v>23366</v>
      </c>
      <c r="AC4410" t="s">
        <v>4562</v>
      </c>
      <c r="AD4410" t="s">
        <v>23367</v>
      </c>
      <c r="AE4410" t="s">
        <v>4655</v>
      </c>
      <c r="AF4410" t="s">
        <v>23368</v>
      </c>
      <c r="AG4410" t="s">
        <v>4584</v>
      </c>
      <c r="AH4410" t="s">
        <v>23369</v>
      </c>
      <c r="AI4410" t="s">
        <v>4592</v>
      </c>
      <c r="AJ4410" t="s">
        <v>4655</v>
      </c>
      <c r="AK4410" t="s">
        <v>23370</v>
      </c>
      <c r="AL4410" s="13" t="s">
        <v>1893</v>
      </c>
      <c r="AM4410">
        <v>1</v>
      </c>
      <c r="AN4410" s="15" t="s">
        <v>2916</v>
      </c>
    </row>
    <row r="4411" spans="1:40" x14ac:dyDescent="0.3">
      <c r="A4411" s="10" t="str">
        <f>HYPERLINK("http://www.washoecounty.gov/assessor/cama/?parid=128-362-01&amp;CardNumber=1","128-362-01")</f>
        <v>128-362-01</v>
      </c>
      <c r="B4411" t="s">
        <v>4655</v>
      </c>
      <c r="C4411" t="s">
        <v>23371</v>
      </c>
      <c r="D4411" s="1">
        <v>40340</v>
      </c>
      <c r="E4411" s="2">
        <v>1050000</v>
      </c>
      <c r="F4411" t="s">
        <v>3259</v>
      </c>
      <c r="G4411" s="17" t="str">
        <f>HYPERLINK("https://www.washoecounty.gov/assessor/cama/?command=sales&amp;parid=12836201","3890908")</f>
        <v>3890908</v>
      </c>
      <c r="H4411" t="s">
        <v>82</v>
      </c>
      <c r="I4411">
        <v>1979</v>
      </c>
      <c r="J4411">
        <v>1984</v>
      </c>
      <c r="K4411" t="s">
        <v>4554</v>
      </c>
      <c r="L4411" t="s">
        <v>3974</v>
      </c>
      <c r="M4411" s="2">
        <v>2470</v>
      </c>
      <c r="N4411" t="s">
        <v>5106</v>
      </c>
      <c r="O4411">
        <v>4</v>
      </c>
      <c r="P4411">
        <v>3</v>
      </c>
      <c r="Q4411">
        <v>1</v>
      </c>
      <c r="R4411" t="s">
        <v>4557</v>
      </c>
      <c r="S4411" t="s">
        <v>4135</v>
      </c>
      <c r="T4411" t="s">
        <v>2947</v>
      </c>
      <c r="U4411" t="s">
        <v>4560</v>
      </c>
      <c r="V4411" s="2">
        <v>480</v>
      </c>
      <c r="W4411" t="s">
        <v>4655</v>
      </c>
      <c r="X4411" s="2">
        <v>0</v>
      </c>
      <c r="Y4411">
        <v>20</v>
      </c>
      <c r="Z4411" t="s">
        <v>5508</v>
      </c>
      <c r="AA4411" s="3">
        <v>0.30399447679519698</v>
      </c>
      <c r="AB4411" t="s">
        <v>23372</v>
      </c>
      <c r="AC4411" t="s">
        <v>4575</v>
      </c>
      <c r="AD4411" t="s">
        <v>23373</v>
      </c>
      <c r="AE4411" t="s">
        <v>4655</v>
      </c>
      <c r="AF4411" t="s">
        <v>5206</v>
      </c>
      <c r="AG4411" t="s">
        <v>4564</v>
      </c>
      <c r="AH4411" t="s">
        <v>5275</v>
      </c>
      <c r="AI4411" t="s">
        <v>23374</v>
      </c>
      <c r="AJ4411" t="s">
        <v>4655</v>
      </c>
      <c r="AK4411" t="s">
        <v>23375</v>
      </c>
      <c r="AL4411" s="13" t="s">
        <v>1893</v>
      </c>
      <c r="AM4411">
        <v>1</v>
      </c>
      <c r="AN4411" s="15" t="s">
        <v>2916</v>
      </c>
    </row>
    <row r="4412" spans="1:40" x14ac:dyDescent="0.3">
      <c r="A4412" s="10" t="str">
        <f>HYPERLINK("http://www.washoecounty.gov/assessor/cama/?parid=129-100-04&amp;CardNumber=1","129-100-04")</f>
        <v>129-100-04</v>
      </c>
      <c r="B4412" t="s">
        <v>4655</v>
      </c>
      <c r="C4412" t="s">
        <v>23376</v>
      </c>
      <c r="D4412" s="1">
        <v>40372</v>
      </c>
      <c r="E4412" s="2">
        <v>285000</v>
      </c>
      <c r="F4412" t="s">
        <v>4567</v>
      </c>
      <c r="G4412" s="17" t="str">
        <f>HYPERLINK("https://www.washoecounty.gov/assessor/cama/?command=sales&amp;parid=12910004","3899225")</f>
        <v>3899225</v>
      </c>
      <c r="H4412" t="s">
        <v>23377</v>
      </c>
      <c r="I4412">
        <v>1981</v>
      </c>
      <c r="J4412">
        <v>1981</v>
      </c>
      <c r="K4412" t="s">
        <v>4897</v>
      </c>
      <c r="L4412" t="s">
        <v>3044</v>
      </c>
      <c r="M4412" s="2">
        <v>1848</v>
      </c>
      <c r="N4412" t="s">
        <v>5280</v>
      </c>
      <c r="O4412">
        <v>3</v>
      </c>
      <c r="P4412">
        <v>2</v>
      </c>
      <c r="Q4412">
        <v>1</v>
      </c>
      <c r="R4412" t="s">
        <v>4557</v>
      </c>
      <c r="S4412" t="s">
        <v>4135</v>
      </c>
      <c r="T4412" t="s">
        <v>3888</v>
      </c>
      <c r="U4412" t="s">
        <v>4655</v>
      </c>
      <c r="V4412" s="2">
        <v>0</v>
      </c>
      <c r="W4412" t="s">
        <v>4655</v>
      </c>
      <c r="X4412" s="2">
        <v>0</v>
      </c>
      <c r="Y4412">
        <v>21</v>
      </c>
      <c r="Z4412" t="s">
        <v>718</v>
      </c>
      <c r="AA4412" s="3">
        <v>1.00000004749745E-3</v>
      </c>
      <c r="AB4412" t="s">
        <v>23378</v>
      </c>
      <c r="AC4412" t="s">
        <v>4562</v>
      </c>
      <c r="AD4412" t="s">
        <v>23379</v>
      </c>
      <c r="AE4412" t="s">
        <v>4655</v>
      </c>
      <c r="AF4412" t="s">
        <v>23380</v>
      </c>
      <c r="AG4412" t="s">
        <v>4584</v>
      </c>
      <c r="AH4412" t="s">
        <v>23381</v>
      </c>
      <c r="AI4412" t="s">
        <v>23382</v>
      </c>
      <c r="AJ4412" t="s">
        <v>4655</v>
      </c>
      <c r="AK4412" t="s">
        <v>23383</v>
      </c>
      <c r="AL4412" s="13" t="s">
        <v>1893</v>
      </c>
      <c r="AM4412">
        <v>1</v>
      </c>
      <c r="AN4412" s="15" t="s">
        <v>2571</v>
      </c>
    </row>
    <row r="4413" spans="1:40" x14ac:dyDescent="0.3">
      <c r="A4413" s="10" t="str">
        <f>HYPERLINK("http://www.washoecounty.gov/assessor/cama/?parid=129-252-18&amp;CardNumber=1","129-252-18")</f>
        <v>129-252-18</v>
      </c>
      <c r="B4413" t="s">
        <v>4655</v>
      </c>
      <c r="C4413" t="s">
        <v>4609</v>
      </c>
      <c r="D4413" s="1">
        <v>40256</v>
      </c>
      <c r="E4413" s="2">
        <v>310000</v>
      </c>
      <c r="F4413" t="s">
        <v>4567</v>
      </c>
      <c r="G4413" s="17" t="str">
        <f>HYPERLINK("https://www.washoecounty.gov/assessor/cama/?command=sales&amp;parid=12925218","3861754")</f>
        <v>3861754</v>
      </c>
      <c r="H4413" t="s">
        <v>4610</v>
      </c>
      <c r="I4413">
        <v>1977</v>
      </c>
      <c r="J4413">
        <v>1977</v>
      </c>
      <c r="K4413" t="s">
        <v>4554</v>
      </c>
      <c r="L4413" t="s">
        <v>3886</v>
      </c>
      <c r="M4413" s="2">
        <v>1120</v>
      </c>
      <c r="N4413" t="s">
        <v>4556</v>
      </c>
      <c r="O4413">
        <v>3</v>
      </c>
      <c r="P4413">
        <v>2</v>
      </c>
      <c r="Q4413">
        <v>0</v>
      </c>
      <c r="R4413" t="s">
        <v>4134</v>
      </c>
      <c r="S4413" t="s">
        <v>4135</v>
      </c>
      <c r="T4413" t="s">
        <v>4559</v>
      </c>
      <c r="U4413" t="s">
        <v>4655</v>
      </c>
      <c r="V4413" s="2">
        <v>0</v>
      </c>
      <c r="W4413" t="s">
        <v>4655</v>
      </c>
      <c r="X4413" s="2">
        <v>0</v>
      </c>
      <c r="Y4413">
        <v>21</v>
      </c>
      <c r="Z4413" t="s">
        <v>718</v>
      </c>
      <c r="AA4413" s="3">
        <v>1.00000004749745E-3</v>
      </c>
      <c r="AB4413" t="s">
        <v>23384</v>
      </c>
      <c r="AC4413" t="s">
        <v>4562</v>
      </c>
      <c r="AD4413" t="s">
        <v>23385</v>
      </c>
      <c r="AE4413" t="s">
        <v>4655</v>
      </c>
      <c r="AF4413" t="s">
        <v>23386</v>
      </c>
      <c r="AG4413" t="s">
        <v>3370</v>
      </c>
      <c r="AH4413" t="s">
        <v>23387</v>
      </c>
      <c r="AI4413" t="s">
        <v>23388</v>
      </c>
      <c r="AJ4413" t="s">
        <v>4655</v>
      </c>
      <c r="AK4413" t="s">
        <v>23389</v>
      </c>
      <c r="AL4413" s="13" t="s">
        <v>1893</v>
      </c>
      <c r="AM4413" s="14">
        <v>1</v>
      </c>
      <c r="AN4413" s="15" t="s">
        <v>4611</v>
      </c>
    </row>
    <row r="4414" spans="1:40" x14ac:dyDescent="0.3">
      <c r="A4414" s="10" t="str">
        <f>HYPERLINK("http://www.washoecounty.gov/assessor/cama/?parid=129-280-09&amp;CardNumber=1","129-280-09")</f>
        <v>129-280-09</v>
      </c>
      <c r="B4414" t="s">
        <v>4655</v>
      </c>
      <c r="C4414" t="s">
        <v>23390</v>
      </c>
      <c r="D4414" s="1">
        <v>40378</v>
      </c>
      <c r="E4414" s="2">
        <v>850000</v>
      </c>
      <c r="F4414" t="s">
        <v>3528</v>
      </c>
      <c r="G4414" s="17" t="str">
        <f>HYPERLINK("https://www.washoecounty.gov/assessor/cama/?command=sales&amp;parid=12928009","3902805")</f>
        <v>3902805</v>
      </c>
      <c r="H4414" t="s">
        <v>82</v>
      </c>
      <c r="I4414">
        <v>1996</v>
      </c>
      <c r="J4414">
        <v>1996</v>
      </c>
      <c r="K4414" t="s">
        <v>4554</v>
      </c>
      <c r="L4414" t="s">
        <v>3974</v>
      </c>
      <c r="M4414" s="2">
        <v>2967</v>
      </c>
      <c r="N4414" t="s">
        <v>2012</v>
      </c>
      <c r="O4414">
        <v>3</v>
      </c>
      <c r="P4414">
        <v>3</v>
      </c>
      <c r="Q4414">
        <v>1</v>
      </c>
      <c r="R4414" t="s">
        <v>5205</v>
      </c>
      <c r="S4414" t="s">
        <v>4135</v>
      </c>
      <c r="T4414" t="s">
        <v>4559</v>
      </c>
      <c r="U4414" t="s">
        <v>5631</v>
      </c>
      <c r="V4414" s="2">
        <v>432</v>
      </c>
      <c r="W4414" t="s">
        <v>4655</v>
      </c>
      <c r="X4414" s="2">
        <v>0</v>
      </c>
      <c r="Y4414">
        <v>20</v>
      </c>
      <c r="Z4414" t="s">
        <v>1776</v>
      </c>
      <c r="AA4414" s="3">
        <v>0.310996323823929</v>
      </c>
      <c r="AB4414" t="s">
        <v>23391</v>
      </c>
      <c r="AC4414" t="s">
        <v>4575</v>
      </c>
      <c r="AD4414" t="s">
        <v>23392</v>
      </c>
      <c r="AE4414" t="s">
        <v>23393</v>
      </c>
      <c r="AF4414" t="s">
        <v>5206</v>
      </c>
      <c r="AG4414" t="s">
        <v>4564</v>
      </c>
      <c r="AH4414" t="s">
        <v>5275</v>
      </c>
      <c r="AI4414" t="s">
        <v>23394</v>
      </c>
      <c r="AJ4414" t="s">
        <v>4655</v>
      </c>
      <c r="AK4414" t="s">
        <v>23395</v>
      </c>
      <c r="AL4414" s="13" t="s">
        <v>1893</v>
      </c>
      <c r="AM4414">
        <v>1</v>
      </c>
      <c r="AN4414" s="15" t="s">
        <v>23396</v>
      </c>
    </row>
    <row r="4415" spans="1:40" x14ac:dyDescent="0.3">
      <c r="A4415" s="10" t="str">
        <f>HYPERLINK("http://www.washoecounty.gov/assessor/cama/?parid=129-291-05&amp;CardNumber=1","129-291-05")</f>
        <v>129-291-05</v>
      </c>
      <c r="B4415" t="s">
        <v>4655</v>
      </c>
      <c r="C4415" t="s">
        <v>23397</v>
      </c>
      <c r="D4415" s="1">
        <v>40301</v>
      </c>
      <c r="E4415" s="2">
        <v>815000</v>
      </c>
      <c r="F4415" t="s">
        <v>4567</v>
      </c>
      <c r="G4415" s="17" t="str">
        <f>HYPERLINK("https://www.washoecounty.gov/assessor/cama/?command=sales&amp;parid=12929105","3877339")</f>
        <v>3877339</v>
      </c>
      <c r="H4415" t="s">
        <v>945</v>
      </c>
      <c r="I4415">
        <v>2006</v>
      </c>
      <c r="J4415">
        <v>2006</v>
      </c>
      <c r="K4415" t="s">
        <v>4554</v>
      </c>
      <c r="L4415" t="s">
        <v>3974</v>
      </c>
      <c r="M4415" s="2">
        <v>2714</v>
      </c>
      <c r="N4415" t="s">
        <v>2631</v>
      </c>
      <c r="O4415">
        <v>4</v>
      </c>
      <c r="P4415">
        <v>3</v>
      </c>
      <c r="Q4415">
        <v>1</v>
      </c>
      <c r="R4415" t="s">
        <v>5630</v>
      </c>
      <c r="S4415" t="s">
        <v>4135</v>
      </c>
      <c r="T4415" t="s">
        <v>4559</v>
      </c>
      <c r="U4415" t="s">
        <v>5631</v>
      </c>
      <c r="V4415" s="2">
        <v>420</v>
      </c>
      <c r="W4415" t="s">
        <v>4655</v>
      </c>
      <c r="X4415" s="2">
        <v>0</v>
      </c>
      <c r="Y4415">
        <v>21</v>
      </c>
      <c r="Z4415" t="s">
        <v>718</v>
      </c>
      <c r="AA4415" s="3">
        <v>6.0468319803476299E-2</v>
      </c>
      <c r="AB4415" t="s">
        <v>23398</v>
      </c>
      <c r="AC4415" t="s">
        <v>4575</v>
      </c>
      <c r="AD4415" t="s">
        <v>23399</v>
      </c>
      <c r="AE4415" t="s">
        <v>23400</v>
      </c>
      <c r="AF4415" t="s">
        <v>23401</v>
      </c>
      <c r="AG4415" t="s">
        <v>3370</v>
      </c>
      <c r="AH4415" t="s">
        <v>23402</v>
      </c>
      <c r="AI4415" t="s">
        <v>23403</v>
      </c>
      <c r="AJ4415" t="s">
        <v>946</v>
      </c>
      <c r="AK4415" t="s">
        <v>23404</v>
      </c>
      <c r="AL4415" s="13" t="s">
        <v>1893</v>
      </c>
      <c r="AM4415" s="14">
        <v>1</v>
      </c>
      <c r="AN4415" s="15" t="s">
        <v>947</v>
      </c>
    </row>
    <row r="4416" spans="1:40" x14ac:dyDescent="0.3">
      <c r="A4416" s="10" t="str">
        <f>HYPERLINK("http://www.washoecounty.gov/assessor/cama/?parid=129-291-28&amp;CardNumber=1","129-291-28")</f>
        <v>129-291-28</v>
      </c>
      <c r="B4416" t="s">
        <v>4655</v>
      </c>
      <c r="C4416" t="s">
        <v>23405</v>
      </c>
      <c r="D4416" s="1">
        <v>40336</v>
      </c>
      <c r="E4416" s="2">
        <v>1021316</v>
      </c>
      <c r="F4416" t="s">
        <v>4567</v>
      </c>
      <c r="G4416" s="17" t="str">
        <f>HYPERLINK("https://www.washoecounty.gov/assessor/cama/?command=sales&amp;parid=12929128","3888857")</f>
        <v>3888857</v>
      </c>
      <c r="H4416" t="s">
        <v>945</v>
      </c>
      <c r="I4416">
        <v>2007</v>
      </c>
      <c r="J4416">
        <v>2007</v>
      </c>
      <c r="K4416" t="s">
        <v>4554</v>
      </c>
      <c r="L4416" t="s">
        <v>3974</v>
      </c>
      <c r="M4416" s="2">
        <v>2770</v>
      </c>
      <c r="N4416" t="s">
        <v>2631</v>
      </c>
      <c r="O4416">
        <v>4</v>
      </c>
      <c r="P4416">
        <v>3</v>
      </c>
      <c r="Q4416">
        <v>1</v>
      </c>
      <c r="R4416" t="s">
        <v>5630</v>
      </c>
      <c r="S4416" t="s">
        <v>4135</v>
      </c>
      <c r="T4416" t="s">
        <v>4559</v>
      </c>
      <c r="U4416" t="s">
        <v>5631</v>
      </c>
      <c r="V4416" s="2">
        <v>440</v>
      </c>
      <c r="W4416" t="s">
        <v>4655</v>
      </c>
      <c r="X4416" s="2">
        <v>0</v>
      </c>
      <c r="Y4416">
        <v>21</v>
      </c>
      <c r="Z4416" t="s">
        <v>718</v>
      </c>
      <c r="AA4416" s="3">
        <v>5.9044994413852699E-2</v>
      </c>
      <c r="AB4416" t="s">
        <v>23406</v>
      </c>
      <c r="AC4416" t="s">
        <v>4562</v>
      </c>
      <c r="AD4416" t="s">
        <v>23407</v>
      </c>
      <c r="AE4416" t="s">
        <v>4655</v>
      </c>
      <c r="AF4416" t="s">
        <v>5206</v>
      </c>
      <c r="AG4416" t="s">
        <v>4564</v>
      </c>
      <c r="AH4416" t="s">
        <v>5207</v>
      </c>
      <c r="AI4416" t="s">
        <v>4994</v>
      </c>
      <c r="AJ4416" t="s">
        <v>946</v>
      </c>
      <c r="AK4416" t="s">
        <v>23408</v>
      </c>
      <c r="AL4416" s="13" t="s">
        <v>1893</v>
      </c>
      <c r="AM4416" s="14">
        <v>1</v>
      </c>
      <c r="AN4416" s="15" t="s">
        <v>947</v>
      </c>
    </row>
    <row r="4417" spans="1:40" x14ac:dyDescent="0.3">
      <c r="A4417" s="10" t="str">
        <f>HYPERLINK("http://www.washoecounty.gov/assessor/cama/?parid=129-292-19&amp;CardNumber=1","129-292-19")</f>
        <v>129-292-19</v>
      </c>
      <c r="B4417" t="s">
        <v>4655</v>
      </c>
      <c r="C4417" t="s">
        <v>23409</v>
      </c>
      <c r="D4417" s="1">
        <v>40277</v>
      </c>
      <c r="E4417" s="2">
        <v>1018398</v>
      </c>
      <c r="F4417" t="s">
        <v>3259</v>
      </c>
      <c r="G4417" s="17" t="str">
        <f>HYPERLINK("https://www.washoecounty.gov/assessor/cama/?command=sales&amp;parid=12929219","3869207")</f>
        <v>3869207</v>
      </c>
      <c r="H4417" t="s">
        <v>945</v>
      </c>
      <c r="I4417">
        <v>2008</v>
      </c>
      <c r="J4417">
        <v>2008</v>
      </c>
      <c r="K4417" t="s">
        <v>4554</v>
      </c>
      <c r="L4417" t="s">
        <v>3974</v>
      </c>
      <c r="M4417" s="2">
        <v>2790</v>
      </c>
      <c r="N4417" t="s">
        <v>2631</v>
      </c>
      <c r="O4417">
        <v>4</v>
      </c>
      <c r="P4417">
        <v>3</v>
      </c>
      <c r="Q4417">
        <v>1</v>
      </c>
      <c r="R4417" t="s">
        <v>5630</v>
      </c>
      <c r="S4417" t="s">
        <v>4135</v>
      </c>
      <c r="T4417" t="s">
        <v>4559</v>
      </c>
      <c r="U4417" t="s">
        <v>5631</v>
      </c>
      <c r="V4417" s="2">
        <v>420</v>
      </c>
      <c r="W4417" t="s">
        <v>4655</v>
      </c>
      <c r="X4417" s="2">
        <v>0</v>
      </c>
      <c r="Y4417">
        <v>21</v>
      </c>
      <c r="Z4417" t="s">
        <v>718</v>
      </c>
      <c r="AA4417" s="3">
        <v>6.1524335294961902E-2</v>
      </c>
      <c r="AB4417" t="s">
        <v>22614</v>
      </c>
      <c r="AC4417" t="s">
        <v>4575</v>
      </c>
      <c r="AD4417" t="s">
        <v>23410</v>
      </c>
      <c r="AE4417" t="s">
        <v>4655</v>
      </c>
      <c r="AF4417" t="s">
        <v>23411</v>
      </c>
      <c r="AG4417" t="s">
        <v>4584</v>
      </c>
      <c r="AH4417">
        <v>92037</v>
      </c>
      <c r="AI4417" t="s">
        <v>23412</v>
      </c>
      <c r="AJ4417" t="s">
        <v>946</v>
      </c>
      <c r="AK4417" t="s">
        <v>23413</v>
      </c>
      <c r="AL4417" s="13" t="s">
        <v>1893</v>
      </c>
      <c r="AM4417">
        <v>1</v>
      </c>
      <c r="AN4417" s="15" t="s">
        <v>947</v>
      </c>
    </row>
    <row r="4418" spans="1:40" x14ac:dyDescent="0.3">
      <c r="A4418" s="10" t="str">
        <f>HYPERLINK("http://www.washoecounty.gov/assessor/cama/?parid=129-330-03&amp;CardNumber=1","129-330-03")</f>
        <v>129-330-03</v>
      </c>
      <c r="B4418" t="s">
        <v>4655</v>
      </c>
      <c r="C4418" t="s">
        <v>332</v>
      </c>
      <c r="D4418" s="1">
        <v>40535</v>
      </c>
      <c r="E4418" s="2">
        <v>260000</v>
      </c>
      <c r="F4418" t="s">
        <v>4567</v>
      </c>
      <c r="G4418" s="17" t="str">
        <f>HYPERLINK("https://www.washoecounty.gov/assessor/cama/?command=sales&amp;parid=12933003","3956956")</f>
        <v>3956956</v>
      </c>
      <c r="H4418" t="s">
        <v>333</v>
      </c>
      <c r="I4418">
        <v>1981</v>
      </c>
      <c r="J4418">
        <v>1981</v>
      </c>
      <c r="K4418" t="s">
        <v>4897</v>
      </c>
      <c r="L4418" t="s">
        <v>3974</v>
      </c>
      <c r="M4418" s="2">
        <v>1567</v>
      </c>
      <c r="N4418" t="s">
        <v>3887</v>
      </c>
      <c r="O4418">
        <v>3</v>
      </c>
      <c r="P4418">
        <v>2</v>
      </c>
      <c r="Q4418">
        <v>0</v>
      </c>
      <c r="R4418" t="s">
        <v>4557</v>
      </c>
      <c r="S4418" t="s">
        <v>4135</v>
      </c>
      <c r="T4418" t="s">
        <v>3888</v>
      </c>
      <c r="U4418" t="s">
        <v>4655</v>
      </c>
      <c r="V4418" s="2">
        <v>0</v>
      </c>
      <c r="W4418" t="s">
        <v>3149</v>
      </c>
      <c r="X4418" s="2">
        <v>276</v>
      </c>
      <c r="Y4418">
        <v>21</v>
      </c>
      <c r="Z4418" t="s">
        <v>1776</v>
      </c>
      <c r="AA4418" s="3">
        <v>1.9995408132672299E-2</v>
      </c>
      <c r="AB4418" t="s">
        <v>23414</v>
      </c>
      <c r="AC4418" t="s">
        <v>4562</v>
      </c>
      <c r="AD4418" t="s">
        <v>23415</v>
      </c>
      <c r="AE4418" t="s">
        <v>4655</v>
      </c>
      <c r="AF4418" t="s">
        <v>4054</v>
      </c>
      <c r="AG4418" t="s">
        <v>4564</v>
      </c>
      <c r="AH4418" t="s">
        <v>5275</v>
      </c>
      <c r="AI4418" t="s">
        <v>23416</v>
      </c>
      <c r="AJ4418" t="s">
        <v>4655</v>
      </c>
      <c r="AK4418" t="s">
        <v>23417</v>
      </c>
      <c r="AL4418" s="13" t="s">
        <v>1893</v>
      </c>
      <c r="AM4418">
        <v>1</v>
      </c>
      <c r="AN4418" s="15" t="s">
        <v>2571</v>
      </c>
    </row>
    <row r="4419" spans="1:40" x14ac:dyDescent="0.3">
      <c r="A4419" s="10" t="str">
        <f>HYPERLINK("http://www.washoecounty.gov/assessor/cama/?parid=129-430-03&amp;CardNumber=1","129-430-03")</f>
        <v>129-430-03</v>
      </c>
      <c r="B4419" t="s">
        <v>4655</v>
      </c>
      <c r="C4419" t="s">
        <v>23418</v>
      </c>
      <c r="D4419" s="1">
        <v>40542</v>
      </c>
      <c r="E4419" s="2">
        <v>270000</v>
      </c>
      <c r="F4419" t="s">
        <v>4567</v>
      </c>
      <c r="G4419" s="17" t="str">
        <f>HYPERLINK("https://www.washoecounty.gov/assessor/cama/?command=sales&amp;parid=12943003","3959298")</f>
        <v>3959298</v>
      </c>
      <c r="H4419" t="s">
        <v>23419</v>
      </c>
      <c r="I4419">
        <v>1980</v>
      </c>
      <c r="J4419">
        <v>1980</v>
      </c>
      <c r="K4419" t="s">
        <v>3144</v>
      </c>
      <c r="L4419" t="s">
        <v>3974</v>
      </c>
      <c r="M4419" s="2">
        <v>1152</v>
      </c>
      <c r="N4419" t="s">
        <v>5280</v>
      </c>
      <c r="O4419">
        <v>2</v>
      </c>
      <c r="P4419">
        <v>1</v>
      </c>
      <c r="Q4419">
        <v>1</v>
      </c>
      <c r="R4419" t="s">
        <v>4557</v>
      </c>
      <c r="S4419" t="s">
        <v>4135</v>
      </c>
      <c r="T4419" t="s">
        <v>4143</v>
      </c>
      <c r="U4419" t="s">
        <v>5631</v>
      </c>
      <c r="V4419" s="2">
        <v>288</v>
      </c>
      <c r="W4419" t="s">
        <v>4655</v>
      </c>
      <c r="X4419" s="2">
        <v>0</v>
      </c>
      <c r="Y4419">
        <v>21</v>
      </c>
      <c r="Z4419" t="s">
        <v>1776</v>
      </c>
      <c r="AA4419" s="3">
        <v>1.00000004749745E-3</v>
      </c>
      <c r="AB4419" t="s">
        <v>23420</v>
      </c>
      <c r="AC4419" t="s">
        <v>4562</v>
      </c>
      <c r="AD4419" t="s">
        <v>23421</v>
      </c>
      <c r="AE4419" t="s">
        <v>4655</v>
      </c>
      <c r="AF4419" t="s">
        <v>5206</v>
      </c>
      <c r="AG4419" t="s">
        <v>4564</v>
      </c>
      <c r="AH4419" t="s">
        <v>5275</v>
      </c>
      <c r="AI4419" t="s">
        <v>23422</v>
      </c>
      <c r="AJ4419" t="s">
        <v>4655</v>
      </c>
      <c r="AK4419" t="s">
        <v>23423</v>
      </c>
      <c r="AL4419" s="13" t="s">
        <v>1893</v>
      </c>
      <c r="AM4419">
        <v>1</v>
      </c>
      <c r="AN4419" s="15" t="s">
        <v>2571</v>
      </c>
    </row>
    <row r="4420" spans="1:40" x14ac:dyDescent="0.3">
      <c r="A4420" s="10" t="str">
        <f>HYPERLINK("http://www.washoecounty.gov/assessor/cama/?parid=129-650-27&amp;CardNumber=1","129-650-27")</f>
        <v>129-650-27</v>
      </c>
      <c r="B4420" t="s">
        <v>4655</v>
      </c>
      <c r="C4420" t="s">
        <v>23424</v>
      </c>
      <c r="D4420" s="1">
        <v>40241</v>
      </c>
      <c r="E4420" s="2">
        <v>1165000</v>
      </c>
      <c r="F4420" t="s">
        <v>4567</v>
      </c>
      <c r="G4420" s="17" t="str">
        <f>HYPERLINK("https://www.washoecounty.gov/assessor/cama/?command=sales&amp;parid=12965027","3856095")</f>
        <v>3856095</v>
      </c>
      <c r="H4420" t="s">
        <v>23425</v>
      </c>
      <c r="I4420">
        <v>1999</v>
      </c>
      <c r="J4420">
        <v>1999</v>
      </c>
      <c r="K4420" t="s">
        <v>4554</v>
      </c>
      <c r="L4420" t="s">
        <v>3974</v>
      </c>
      <c r="M4420" s="2">
        <v>2750</v>
      </c>
      <c r="N4420" t="s">
        <v>2012</v>
      </c>
      <c r="O4420">
        <v>3</v>
      </c>
      <c r="P4420">
        <v>3</v>
      </c>
      <c r="Q4420">
        <v>1</v>
      </c>
      <c r="R4420" t="s">
        <v>4557</v>
      </c>
      <c r="S4420" t="s">
        <v>4135</v>
      </c>
      <c r="T4420" t="s">
        <v>4559</v>
      </c>
      <c r="U4420" t="s">
        <v>5631</v>
      </c>
      <c r="V4420" s="2">
        <v>493</v>
      </c>
      <c r="W4420" t="s">
        <v>4655</v>
      </c>
      <c r="X4420" s="2">
        <v>0</v>
      </c>
      <c r="Y4420">
        <v>21</v>
      </c>
      <c r="Z4420" t="s">
        <v>1776</v>
      </c>
      <c r="AA4420" s="3">
        <v>1.00000004749745E-3</v>
      </c>
      <c r="AB4420" t="s">
        <v>23426</v>
      </c>
      <c r="AC4420" t="s">
        <v>4562</v>
      </c>
      <c r="AD4420" t="s">
        <v>23427</v>
      </c>
      <c r="AE4420" t="s">
        <v>4655</v>
      </c>
      <c r="AF4420" t="s">
        <v>23428</v>
      </c>
      <c r="AG4420" t="s">
        <v>4584</v>
      </c>
      <c r="AH4420" t="s">
        <v>1651</v>
      </c>
      <c r="AI4420" t="s">
        <v>23429</v>
      </c>
      <c r="AJ4420" t="s">
        <v>5398</v>
      </c>
      <c r="AK4420" t="s">
        <v>23430</v>
      </c>
      <c r="AL4420" s="13" t="s">
        <v>1893</v>
      </c>
      <c r="AM4420">
        <v>1</v>
      </c>
      <c r="AN4420" s="15" t="s">
        <v>1652</v>
      </c>
    </row>
    <row r="4421" spans="1:40" x14ac:dyDescent="0.3">
      <c r="A4421" s="10" t="str">
        <f>HYPERLINK("http://www.washoecounty.gov/assessor/cama/?parid=129-650-29&amp;CardNumber=1","129-650-29")</f>
        <v>129-650-29</v>
      </c>
      <c r="B4421" t="s">
        <v>4655</v>
      </c>
      <c r="C4421" t="s">
        <v>23431</v>
      </c>
      <c r="D4421" s="1">
        <v>40408</v>
      </c>
      <c r="E4421" s="2">
        <v>1047500</v>
      </c>
      <c r="F4421" t="s">
        <v>3528</v>
      </c>
      <c r="G4421" s="17" t="str">
        <f>HYPERLINK("https://www.washoecounty.gov/assessor/cama/?command=sales&amp;parid=12965029","3913114")</f>
        <v>3913114</v>
      </c>
      <c r="H4421" t="s">
        <v>23425</v>
      </c>
      <c r="I4421">
        <v>1999</v>
      </c>
      <c r="J4421">
        <v>1999</v>
      </c>
      <c r="K4421" t="s">
        <v>4554</v>
      </c>
      <c r="L4421" t="s">
        <v>3974</v>
      </c>
      <c r="M4421" s="2">
        <v>2750</v>
      </c>
      <c r="N4421" t="s">
        <v>2012</v>
      </c>
      <c r="O4421">
        <v>3</v>
      </c>
      <c r="P4421">
        <v>2</v>
      </c>
      <c r="Q4421">
        <v>1</v>
      </c>
      <c r="R4421" t="s">
        <v>4557</v>
      </c>
      <c r="S4421" t="s">
        <v>4135</v>
      </c>
      <c r="T4421" t="s">
        <v>4559</v>
      </c>
      <c r="U4421" t="s">
        <v>5631</v>
      </c>
      <c r="V4421" s="2">
        <v>493</v>
      </c>
      <c r="W4421" t="s">
        <v>4655</v>
      </c>
      <c r="X4421" s="2">
        <v>0</v>
      </c>
      <c r="Y4421">
        <v>21</v>
      </c>
      <c r="Z4421" t="s">
        <v>1776</v>
      </c>
      <c r="AA4421" s="3">
        <v>1.00000004749745E-3</v>
      </c>
      <c r="AB4421" t="s">
        <v>23432</v>
      </c>
      <c r="AC4421" t="s">
        <v>4575</v>
      </c>
      <c r="AD4421" t="s">
        <v>23433</v>
      </c>
      <c r="AE4421" t="s">
        <v>4655</v>
      </c>
      <c r="AF4421" t="s">
        <v>9701</v>
      </c>
      <c r="AG4421" t="s">
        <v>4584</v>
      </c>
      <c r="AH4421">
        <v>95209</v>
      </c>
      <c r="AI4421" t="s">
        <v>23434</v>
      </c>
      <c r="AJ4421" t="s">
        <v>5398</v>
      </c>
      <c r="AK4421" t="s">
        <v>23435</v>
      </c>
      <c r="AL4421" s="13" t="s">
        <v>1893</v>
      </c>
      <c r="AM4421">
        <v>1</v>
      </c>
      <c r="AN4421" s="15" t="s">
        <v>1652</v>
      </c>
    </row>
    <row r="4422" spans="1:40" x14ac:dyDescent="0.3">
      <c r="A4422" s="10" t="str">
        <f>HYPERLINK("http://www.washoecounty.gov/assessor/cama/?parid=130-061-01&amp;CardNumber=1","130-061-01")</f>
        <v>130-061-01</v>
      </c>
      <c r="B4422" t="s">
        <v>4655</v>
      </c>
      <c r="C4422" t="s">
        <v>2334</v>
      </c>
      <c r="D4422" s="1">
        <v>40282</v>
      </c>
      <c r="E4422" s="2">
        <v>250000</v>
      </c>
      <c r="F4422" t="s">
        <v>4567</v>
      </c>
      <c r="G4422" s="17" t="str">
        <f>HYPERLINK("https://www.washoecounty.gov/assessor/cama/?command=sales&amp;parid=13006101","3871040")</f>
        <v>3871040</v>
      </c>
      <c r="H4422" t="s">
        <v>2335</v>
      </c>
      <c r="I4422">
        <v>1974</v>
      </c>
      <c r="J4422">
        <v>1974</v>
      </c>
      <c r="K4422" t="s">
        <v>4897</v>
      </c>
      <c r="L4422" t="s">
        <v>3974</v>
      </c>
      <c r="M4422" s="2">
        <v>1200</v>
      </c>
      <c r="N4422" t="s">
        <v>5280</v>
      </c>
      <c r="O4422">
        <v>2</v>
      </c>
      <c r="P4422">
        <v>2</v>
      </c>
      <c r="Q4422">
        <v>0</v>
      </c>
      <c r="R4422" t="s">
        <v>4676</v>
      </c>
      <c r="S4422" t="s">
        <v>4135</v>
      </c>
      <c r="T4422" t="s">
        <v>4559</v>
      </c>
      <c r="U4422" t="s">
        <v>4655</v>
      </c>
      <c r="V4422" s="2">
        <v>0</v>
      </c>
      <c r="W4422" t="s">
        <v>4655</v>
      </c>
      <c r="X4422" s="2">
        <v>0</v>
      </c>
      <c r="Y4422">
        <v>21</v>
      </c>
      <c r="Z4422" t="s">
        <v>5508</v>
      </c>
      <c r="AA4422" s="3">
        <v>1.00000004749745E-3</v>
      </c>
      <c r="AB4422" t="s">
        <v>23436</v>
      </c>
      <c r="AC4422" t="s">
        <v>4562</v>
      </c>
      <c r="AD4422" t="s">
        <v>23437</v>
      </c>
      <c r="AE4422" t="s">
        <v>4655</v>
      </c>
      <c r="AF4422" t="s">
        <v>3160</v>
      </c>
      <c r="AG4422" t="s">
        <v>4584</v>
      </c>
      <c r="AH4422" t="s">
        <v>23285</v>
      </c>
      <c r="AI4422" t="s">
        <v>23438</v>
      </c>
      <c r="AJ4422" t="s">
        <v>23439</v>
      </c>
      <c r="AK4422" t="s">
        <v>23440</v>
      </c>
      <c r="AL4422" s="13" t="s">
        <v>1893</v>
      </c>
      <c r="AM4422">
        <v>1</v>
      </c>
      <c r="AN4422" s="15" t="s">
        <v>4622</v>
      </c>
    </row>
    <row r="4423" spans="1:40" x14ac:dyDescent="0.3">
      <c r="A4423" s="10" t="str">
        <f>HYPERLINK("http://www.washoecounty.gov/assessor/cama/?parid=130-061-02&amp;CardNumber=1","130-061-02")</f>
        <v>130-061-02</v>
      </c>
      <c r="B4423" t="s">
        <v>4655</v>
      </c>
      <c r="C4423" t="s">
        <v>2334</v>
      </c>
      <c r="D4423" s="1">
        <v>40501</v>
      </c>
      <c r="E4423" s="2">
        <v>205000</v>
      </c>
      <c r="F4423" t="s">
        <v>4567</v>
      </c>
      <c r="G4423" s="17" t="str">
        <f>HYPERLINK("https://www.washoecounty.gov/assessor/cama/?command=sales&amp;parid=13006102","3945137")</f>
        <v>3945137</v>
      </c>
      <c r="H4423" t="s">
        <v>2335</v>
      </c>
      <c r="I4423">
        <v>1974</v>
      </c>
      <c r="J4423">
        <v>1974</v>
      </c>
      <c r="K4423" t="s">
        <v>3144</v>
      </c>
      <c r="L4423" t="s">
        <v>3974</v>
      </c>
      <c r="M4423" s="2">
        <v>1200</v>
      </c>
      <c r="N4423" t="s">
        <v>5280</v>
      </c>
      <c r="O4423">
        <v>2</v>
      </c>
      <c r="P4423">
        <v>2</v>
      </c>
      <c r="Q4423">
        <v>0</v>
      </c>
      <c r="R4423" t="s">
        <v>4557</v>
      </c>
      <c r="S4423" t="s">
        <v>4135</v>
      </c>
      <c r="T4423" t="s">
        <v>4559</v>
      </c>
      <c r="U4423" t="s">
        <v>4655</v>
      </c>
      <c r="V4423" s="2">
        <v>0</v>
      </c>
      <c r="W4423" t="s">
        <v>4655</v>
      </c>
      <c r="X4423" s="2">
        <v>0</v>
      </c>
      <c r="Y4423">
        <v>21</v>
      </c>
      <c r="Z4423" t="s">
        <v>5508</v>
      </c>
      <c r="AA4423" s="3">
        <v>1.00000004749745E-3</v>
      </c>
      <c r="AB4423" t="s">
        <v>23441</v>
      </c>
      <c r="AC4423" t="s">
        <v>4562</v>
      </c>
      <c r="AD4423" t="s">
        <v>23442</v>
      </c>
      <c r="AE4423" t="s">
        <v>4655</v>
      </c>
      <c r="AF4423" t="s">
        <v>4563</v>
      </c>
      <c r="AG4423" t="s">
        <v>4564</v>
      </c>
      <c r="AH4423" t="s">
        <v>2330</v>
      </c>
      <c r="AI4423" t="s">
        <v>23443</v>
      </c>
      <c r="AJ4423" t="s">
        <v>23444</v>
      </c>
      <c r="AK4423" t="s">
        <v>23445</v>
      </c>
      <c r="AL4423" s="13" t="s">
        <v>1893</v>
      </c>
      <c r="AM4423">
        <v>1</v>
      </c>
      <c r="AN4423" s="15" t="s">
        <v>4622</v>
      </c>
    </row>
    <row r="4424" spans="1:40" x14ac:dyDescent="0.3">
      <c r="A4424" s="10" t="str">
        <f>HYPERLINK("http://www.washoecounty.gov/assessor/cama/?parid=130-061-03&amp;CardNumber=1","130-061-03")</f>
        <v>130-061-03</v>
      </c>
      <c r="B4424" t="s">
        <v>4655</v>
      </c>
      <c r="C4424" t="s">
        <v>2334</v>
      </c>
      <c r="D4424" s="1">
        <v>40351</v>
      </c>
      <c r="E4424" s="2">
        <v>236000</v>
      </c>
      <c r="F4424" t="s">
        <v>4567</v>
      </c>
      <c r="G4424" s="17" t="str">
        <f>HYPERLINK("https://www.washoecounty.gov/assessor/cama/?command=sales&amp;parid=13006103","3894401")</f>
        <v>3894401</v>
      </c>
      <c r="H4424" t="s">
        <v>2335</v>
      </c>
      <c r="I4424">
        <v>1974</v>
      </c>
      <c r="J4424">
        <v>1974</v>
      </c>
      <c r="K4424" t="s">
        <v>3144</v>
      </c>
      <c r="L4424" t="s">
        <v>3974</v>
      </c>
      <c r="M4424" s="2">
        <v>1200</v>
      </c>
      <c r="N4424" t="s">
        <v>5280</v>
      </c>
      <c r="O4424">
        <v>2</v>
      </c>
      <c r="P4424">
        <v>2</v>
      </c>
      <c r="Q4424">
        <v>0</v>
      </c>
      <c r="R4424" t="s">
        <v>4676</v>
      </c>
      <c r="S4424" t="s">
        <v>4135</v>
      </c>
      <c r="T4424" t="s">
        <v>4559</v>
      </c>
      <c r="U4424" t="s">
        <v>4655</v>
      </c>
      <c r="V4424" s="2">
        <v>0</v>
      </c>
      <c r="W4424" t="s">
        <v>4655</v>
      </c>
      <c r="X4424" s="2">
        <v>0</v>
      </c>
      <c r="Y4424">
        <v>21</v>
      </c>
      <c r="Z4424" t="s">
        <v>5508</v>
      </c>
      <c r="AA4424" s="3">
        <v>1.00000004749745E-3</v>
      </c>
      <c r="AB4424" t="s">
        <v>23446</v>
      </c>
      <c r="AC4424" t="s">
        <v>4575</v>
      </c>
      <c r="AD4424" t="s">
        <v>23447</v>
      </c>
      <c r="AE4424" t="s">
        <v>4655</v>
      </c>
      <c r="AF4424" t="s">
        <v>23</v>
      </c>
      <c r="AG4424" t="s">
        <v>4584</v>
      </c>
      <c r="AH4424">
        <v>95125</v>
      </c>
      <c r="AI4424" t="s">
        <v>23448</v>
      </c>
      <c r="AJ4424" t="s">
        <v>23449</v>
      </c>
      <c r="AK4424" t="s">
        <v>23450</v>
      </c>
      <c r="AL4424" s="13" t="s">
        <v>1893</v>
      </c>
      <c r="AM4424">
        <v>1</v>
      </c>
      <c r="AN4424" s="15" t="s">
        <v>4622</v>
      </c>
    </row>
    <row r="4425" spans="1:40" x14ac:dyDescent="0.3">
      <c r="A4425" s="10" t="str">
        <f>HYPERLINK("http://www.washoecounty.gov/assessor/cama/?parid=130-061-15&amp;CardNumber=1","130-061-15")</f>
        <v>130-061-15</v>
      </c>
      <c r="B4425" t="s">
        <v>4655</v>
      </c>
      <c r="C4425" t="s">
        <v>2334</v>
      </c>
      <c r="D4425" s="1">
        <v>40330</v>
      </c>
      <c r="E4425" s="2">
        <v>278000</v>
      </c>
      <c r="F4425" t="s">
        <v>4567</v>
      </c>
      <c r="G4425" s="17" t="str">
        <f>HYPERLINK("https://www.washoecounty.gov/assessor/cama/?command=sales&amp;parid=13006115","3896943")</f>
        <v>3896943</v>
      </c>
      <c r="H4425" t="s">
        <v>2335</v>
      </c>
      <c r="I4425">
        <v>1974</v>
      </c>
      <c r="J4425">
        <v>1974</v>
      </c>
      <c r="K4425" t="s">
        <v>4897</v>
      </c>
      <c r="L4425" t="s">
        <v>3974</v>
      </c>
      <c r="M4425" s="2">
        <v>1200</v>
      </c>
      <c r="N4425" t="s">
        <v>5280</v>
      </c>
      <c r="O4425">
        <v>2</v>
      </c>
      <c r="P4425">
        <v>2</v>
      </c>
      <c r="Q4425">
        <v>0</v>
      </c>
      <c r="R4425" t="s">
        <v>4676</v>
      </c>
      <c r="S4425" t="s">
        <v>4135</v>
      </c>
      <c r="T4425" t="s">
        <v>4559</v>
      </c>
      <c r="U4425" t="s">
        <v>4655</v>
      </c>
      <c r="V4425" s="2">
        <v>0</v>
      </c>
      <c r="W4425" t="s">
        <v>4655</v>
      </c>
      <c r="X4425" s="2">
        <v>0</v>
      </c>
      <c r="Y4425">
        <v>21</v>
      </c>
      <c r="Z4425" t="s">
        <v>5508</v>
      </c>
      <c r="AA4425" s="3">
        <v>1.00000004749745E-3</v>
      </c>
      <c r="AB4425" t="s">
        <v>23451</v>
      </c>
      <c r="AC4425" t="s">
        <v>4562</v>
      </c>
      <c r="AD4425" t="s">
        <v>23452</v>
      </c>
      <c r="AE4425" t="s">
        <v>4655</v>
      </c>
      <c r="AF4425" t="s">
        <v>1189</v>
      </c>
      <c r="AG4425" t="s">
        <v>4564</v>
      </c>
      <c r="AH4425" t="s">
        <v>23453</v>
      </c>
      <c r="AI4425" t="s">
        <v>23454</v>
      </c>
      <c r="AJ4425" t="s">
        <v>23455</v>
      </c>
      <c r="AK4425" t="s">
        <v>23456</v>
      </c>
      <c r="AL4425" s="13" t="s">
        <v>1893</v>
      </c>
      <c r="AM4425" s="14">
        <v>1</v>
      </c>
      <c r="AN4425" s="15" t="s">
        <v>4622</v>
      </c>
    </row>
    <row r="4426" spans="1:40" x14ac:dyDescent="0.3">
      <c r="A4426" s="10" t="str">
        <f>HYPERLINK("http://www.washoecounty.gov/assessor/cama/?parid=130-081-13&amp;CardNumber=1","130-081-13")</f>
        <v>130-081-13</v>
      </c>
      <c r="B4426" t="s">
        <v>4655</v>
      </c>
      <c r="C4426" t="s">
        <v>23457</v>
      </c>
      <c r="D4426" s="1">
        <v>40298</v>
      </c>
      <c r="E4426" s="2">
        <v>305000</v>
      </c>
      <c r="F4426" t="s">
        <v>4553</v>
      </c>
      <c r="G4426" s="17" t="str">
        <f>HYPERLINK("https://www.washoecounty.gov/assessor/cama/?command=sales&amp;parid=13008113","3876742")</f>
        <v>3876742</v>
      </c>
      <c r="H4426" t="s">
        <v>23458</v>
      </c>
      <c r="I4426">
        <v>1972</v>
      </c>
      <c r="J4426">
        <v>1972</v>
      </c>
      <c r="K4426" t="s">
        <v>4907</v>
      </c>
      <c r="L4426" t="s">
        <v>3974</v>
      </c>
      <c r="M4426" s="2">
        <v>2816</v>
      </c>
      <c r="N4426" t="s">
        <v>4048</v>
      </c>
      <c r="O4426">
        <v>6</v>
      </c>
      <c r="P4426">
        <v>4</v>
      </c>
      <c r="Q4426">
        <v>0</v>
      </c>
      <c r="R4426" t="s">
        <v>4557</v>
      </c>
      <c r="S4426" t="s">
        <v>4135</v>
      </c>
      <c r="T4426" t="s">
        <v>4559</v>
      </c>
      <c r="U4426" t="s">
        <v>4655</v>
      </c>
      <c r="V4426" s="2">
        <v>0</v>
      </c>
      <c r="W4426" t="s">
        <v>4655</v>
      </c>
      <c r="X4426" s="2">
        <v>0</v>
      </c>
      <c r="Y4426">
        <v>30</v>
      </c>
      <c r="Z4426" t="s">
        <v>1776</v>
      </c>
      <c r="AA4426" s="3">
        <v>0.13799357414245605</v>
      </c>
      <c r="AB4426" t="s">
        <v>23459</v>
      </c>
      <c r="AC4426" t="s">
        <v>4562</v>
      </c>
      <c r="AD4426" t="s">
        <v>23457</v>
      </c>
      <c r="AE4426" t="s">
        <v>4655</v>
      </c>
      <c r="AF4426" t="s">
        <v>5206</v>
      </c>
      <c r="AG4426" t="s">
        <v>4564</v>
      </c>
      <c r="AH4426" t="s">
        <v>5207</v>
      </c>
      <c r="AI4426" t="s">
        <v>4655</v>
      </c>
      <c r="AJ4426" t="s">
        <v>4655</v>
      </c>
      <c r="AK4426" t="s">
        <v>23460</v>
      </c>
      <c r="AL4426" s="13" t="s">
        <v>1893</v>
      </c>
      <c r="AM4426">
        <v>2</v>
      </c>
      <c r="AN4426" s="15" t="s">
        <v>2917</v>
      </c>
    </row>
    <row r="4427" spans="1:40" x14ac:dyDescent="0.3">
      <c r="A4427" s="10" t="str">
        <f>HYPERLINK("http://www.washoecounty.gov/assessor/cama/?parid=130-081-17&amp;CardNumber=1","130-081-17")</f>
        <v>130-081-17</v>
      </c>
      <c r="B4427" t="s">
        <v>4655</v>
      </c>
      <c r="C4427" t="s">
        <v>23461</v>
      </c>
      <c r="D4427" s="1">
        <v>40375</v>
      </c>
      <c r="E4427" s="2">
        <v>295000</v>
      </c>
      <c r="F4427" t="s">
        <v>4567</v>
      </c>
      <c r="G4427" s="17" t="str">
        <f>HYPERLINK("https://www.washoecounty.gov/assessor/cama/?command=sales&amp;parid=13008117","3902326")</f>
        <v>3902326</v>
      </c>
      <c r="H4427" t="s">
        <v>23458</v>
      </c>
      <c r="I4427">
        <v>1974</v>
      </c>
      <c r="J4427">
        <v>1974</v>
      </c>
      <c r="K4427" t="s">
        <v>4907</v>
      </c>
      <c r="L4427" t="s">
        <v>3974</v>
      </c>
      <c r="M4427" s="2">
        <v>2128</v>
      </c>
      <c r="N4427" t="s">
        <v>4048</v>
      </c>
      <c r="O4427">
        <v>4</v>
      </c>
      <c r="P4427">
        <v>2</v>
      </c>
      <c r="Q4427">
        <v>0</v>
      </c>
      <c r="R4427" t="s">
        <v>4557</v>
      </c>
      <c r="S4427" t="s">
        <v>4135</v>
      </c>
      <c r="T4427" t="s">
        <v>4143</v>
      </c>
      <c r="U4427" t="s">
        <v>4655</v>
      </c>
      <c r="V4427" s="2">
        <v>0</v>
      </c>
      <c r="W4427" t="s">
        <v>4655</v>
      </c>
      <c r="X4427" s="2">
        <v>0</v>
      </c>
      <c r="Y4427">
        <v>30</v>
      </c>
      <c r="Z4427" t="s">
        <v>1776</v>
      </c>
      <c r="AA4427" s="3">
        <v>0.19400826096534701</v>
      </c>
      <c r="AB4427" t="s">
        <v>23462</v>
      </c>
      <c r="AC4427" t="s">
        <v>4575</v>
      </c>
      <c r="AD4427" t="s">
        <v>23463</v>
      </c>
      <c r="AE4427" t="s">
        <v>4655</v>
      </c>
      <c r="AF4427" t="s">
        <v>2356</v>
      </c>
      <c r="AG4427" t="s">
        <v>4584</v>
      </c>
      <c r="AH4427" t="s">
        <v>2357</v>
      </c>
      <c r="AI4427" t="s">
        <v>4655</v>
      </c>
      <c r="AJ4427" t="s">
        <v>4655</v>
      </c>
      <c r="AK4427" t="s">
        <v>23464</v>
      </c>
      <c r="AL4427" s="13" t="s">
        <v>1893</v>
      </c>
      <c r="AM4427">
        <v>2</v>
      </c>
      <c r="AN4427" s="15" t="s">
        <v>2917</v>
      </c>
    </row>
    <row r="4428" spans="1:40" x14ac:dyDescent="0.3">
      <c r="A4428" s="10" t="str">
        <f>HYPERLINK("http://www.washoecounty.gov/assessor/cama/?parid=130-082-23&amp;CardNumber=1","130-082-23")</f>
        <v>130-082-23</v>
      </c>
      <c r="B4428" t="s">
        <v>4655</v>
      </c>
      <c r="C4428" t="s">
        <v>23465</v>
      </c>
      <c r="D4428" s="1">
        <v>40248</v>
      </c>
      <c r="E4428" s="2">
        <v>395000</v>
      </c>
      <c r="F4428" t="s">
        <v>3259</v>
      </c>
      <c r="G4428" s="17" t="str">
        <f>HYPERLINK("https://www.washoecounty.gov/assessor/cama/?command=sales&amp;parid=13008223","3858769")</f>
        <v>3858769</v>
      </c>
      <c r="H4428" t="s">
        <v>23466</v>
      </c>
      <c r="I4428">
        <v>1968</v>
      </c>
      <c r="J4428">
        <v>1968</v>
      </c>
      <c r="K4428" t="s">
        <v>4554</v>
      </c>
      <c r="L4428" t="s">
        <v>3886</v>
      </c>
      <c r="M4428" s="2">
        <v>1496</v>
      </c>
      <c r="N4428" t="s">
        <v>5280</v>
      </c>
      <c r="O4428">
        <v>3</v>
      </c>
      <c r="P4428">
        <v>2</v>
      </c>
      <c r="Q4428">
        <v>0</v>
      </c>
      <c r="R4428" t="s">
        <v>4676</v>
      </c>
      <c r="S4428" t="s">
        <v>4135</v>
      </c>
      <c r="T4428" t="s">
        <v>4559</v>
      </c>
      <c r="U4428" t="s">
        <v>4655</v>
      </c>
      <c r="V4428" s="2">
        <v>0</v>
      </c>
      <c r="W4428" t="s">
        <v>3149</v>
      </c>
      <c r="X4428" s="2">
        <v>748</v>
      </c>
      <c r="Y4428">
        <v>20</v>
      </c>
      <c r="Z4428" t="s">
        <v>1776</v>
      </c>
      <c r="AA4428" s="3">
        <v>0.13799357414245605</v>
      </c>
      <c r="AB4428" t="s">
        <v>23467</v>
      </c>
      <c r="AC4428" t="s">
        <v>4562</v>
      </c>
      <c r="AD4428" t="s">
        <v>23468</v>
      </c>
      <c r="AE4428" t="s">
        <v>4655</v>
      </c>
      <c r="AF4428" t="s">
        <v>5206</v>
      </c>
      <c r="AG4428" t="s">
        <v>4564</v>
      </c>
      <c r="AH4428" t="s">
        <v>5275</v>
      </c>
      <c r="AI4428" t="s">
        <v>23469</v>
      </c>
      <c r="AJ4428" t="s">
        <v>4655</v>
      </c>
      <c r="AK4428" t="s">
        <v>23470</v>
      </c>
      <c r="AL4428" s="13" t="s">
        <v>1893</v>
      </c>
      <c r="AM4428" s="14">
        <v>1</v>
      </c>
      <c r="AN4428" s="15" t="s">
        <v>23396</v>
      </c>
    </row>
    <row r="4429" spans="1:40" x14ac:dyDescent="0.3">
      <c r="A4429" s="10" t="str">
        <f>HYPERLINK("http://www.washoecounty.gov/assessor/cama/?parid=130-082-25&amp;CardNumber=1","130-082-25")</f>
        <v>130-082-25</v>
      </c>
      <c r="B4429" t="s">
        <v>4655</v>
      </c>
      <c r="C4429" t="s">
        <v>23471</v>
      </c>
      <c r="D4429" s="1">
        <v>40511</v>
      </c>
      <c r="E4429" s="2">
        <v>515000</v>
      </c>
      <c r="F4429" t="s">
        <v>3259</v>
      </c>
      <c r="G4429" s="17" t="str">
        <f>HYPERLINK("https://www.washoecounty.gov/assessor/cama/?command=sales&amp;parid=13008225","3947070")</f>
        <v>3947070</v>
      </c>
      <c r="H4429" t="s">
        <v>23458</v>
      </c>
      <c r="I4429">
        <v>1971</v>
      </c>
      <c r="J4429">
        <v>1971</v>
      </c>
      <c r="K4429" t="s">
        <v>4554</v>
      </c>
      <c r="L4429" t="s">
        <v>3974</v>
      </c>
      <c r="M4429" s="2">
        <v>1950</v>
      </c>
      <c r="N4429" t="s">
        <v>5280</v>
      </c>
      <c r="O4429">
        <v>3</v>
      </c>
      <c r="P4429">
        <v>2</v>
      </c>
      <c r="Q4429">
        <v>0</v>
      </c>
      <c r="R4429" t="s">
        <v>4557</v>
      </c>
      <c r="S4429" t="s">
        <v>4135</v>
      </c>
      <c r="T4429" t="s">
        <v>4559</v>
      </c>
      <c r="U4429" t="s">
        <v>4655</v>
      </c>
      <c r="V4429" s="2">
        <v>0</v>
      </c>
      <c r="W4429" t="s">
        <v>3149</v>
      </c>
      <c r="X4429" s="2">
        <v>918</v>
      </c>
      <c r="Y4429">
        <v>20</v>
      </c>
      <c r="Z4429" t="s">
        <v>1776</v>
      </c>
      <c r="AA4429" s="3">
        <v>0.13799357414245605</v>
      </c>
      <c r="AB4429" t="s">
        <v>23472</v>
      </c>
      <c r="AC4429" t="s">
        <v>4562</v>
      </c>
      <c r="AD4429" t="s">
        <v>23473</v>
      </c>
      <c r="AE4429" t="s">
        <v>4655</v>
      </c>
      <c r="AF4429" t="s">
        <v>23474</v>
      </c>
      <c r="AG4429" t="s">
        <v>3370</v>
      </c>
      <c r="AH4429" t="s">
        <v>23475</v>
      </c>
      <c r="AI4429" t="s">
        <v>23476</v>
      </c>
      <c r="AJ4429" t="s">
        <v>4655</v>
      </c>
      <c r="AK4429" t="s">
        <v>23477</v>
      </c>
      <c r="AL4429" s="13" t="s">
        <v>1893</v>
      </c>
      <c r="AM4429">
        <v>1</v>
      </c>
      <c r="AN4429" s="15" t="s">
        <v>23396</v>
      </c>
    </row>
    <row r="4430" spans="1:40" x14ac:dyDescent="0.3">
      <c r="A4430" s="10" t="str">
        <f>HYPERLINK("http://www.washoecounty.gov/assessor/cama/?parid=130-161-15&amp;CardNumber=1","130-161-15")</f>
        <v>130-161-15</v>
      </c>
      <c r="B4430" t="s">
        <v>4655</v>
      </c>
      <c r="C4430" t="s">
        <v>23478</v>
      </c>
      <c r="D4430" s="1">
        <v>40353</v>
      </c>
      <c r="E4430" s="2">
        <v>655000</v>
      </c>
      <c r="F4430" t="s">
        <v>3259</v>
      </c>
      <c r="G4430" s="17" t="str">
        <f>HYPERLINK("https://www.washoecounty.gov/assessor/cama/?command=sales&amp;parid=13016115","3895001")</f>
        <v>3895001</v>
      </c>
      <c r="H4430" t="s">
        <v>4210</v>
      </c>
      <c r="I4430">
        <v>1963</v>
      </c>
      <c r="J4430">
        <v>1975</v>
      </c>
      <c r="K4430" t="s">
        <v>4554</v>
      </c>
      <c r="L4430" t="s">
        <v>4555</v>
      </c>
      <c r="M4430" s="2">
        <v>1883</v>
      </c>
      <c r="N4430" t="s">
        <v>4556</v>
      </c>
      <c r="O4430">
        <v>3</v>
      </c>
      <c r="P4430">
        <v>2</v>
      </c>
      <c r="Q4430">
        <v>0</v>
      </c>
      <c r="R4430" t="s">
        <v>4557</v>
      </c>
      <c r="S4430" t="s">
        <v>4558</v>
      </c>
      <c r="T4430" t="s">
        <v>4559</v>
      </c>
      <c r="U4430" t="s">
        <v>4560</v>
      </c>
      <c r="V4430" s="2">
        <v>420</v>
      </c>
      <c r="W4430" t="s">
        <v>4655</v>
      </c>
      <c r="X4430" s="2">
        <v>0</v>
      </c>
      <c r="Y4430">
        <v>20</v>
      </c>
      <c r="Z4430" t="s">
        <v>5508</v>
      </c>
      <c r="AA4430" s="3">
        <v>0.32398989796638489</v>
      </c>
      <c r="AB4430" t="s">
        <v>23479</v>
      </c>
      <c r="AC4430" t="s">
        <v>4562</v>
      </c>
      <c r="AD4430" t="s">
        <v>23480</v>
      </c>
      <c r="AE4430" t="s">
        <v>4655</v>
      </c>
      <c r="AF4430" t="s">
        <v>3170</v>
      </c>
      <c r="AG4430" t="s">
        <v>4584</v>
      </c>
      <c r="AH4430">
        <v>95070</v>
      </c>
      <c r="AI4430" t="s">
        <v>23481</v>
      </c>
      <c r="AJ4430" t="s">
        <v>4655</v>
      </c>
      <c r="AK4430" t="s">
        <v>23482</v>
      </c>
      <c r="AL4430" s="13" t="s">
        <v>1893</v>
      </c>
      <c r="AM4430">
        <v>1</v>
      </c>
      <c r="AN4430" s="15" t="s">
        <v>2918</v>
      </c>
    </row>
    <row r="4431" spans="1:40" x14ac:dyDescent="0.3">
      <c r="A4431" s="10" t="str">
        <f>HYPERLINK("http://www.washoecounty.gov/assessor/cama/?parid=130-162-17&amp;CardNumber=1","130-162-17")</f>
        <v>130-162-17</v>
      </c>
      <c r="B4431" t="s">
        <v>4655</v>
      </c>
      <c r="C4431" t="s">
        <v>23483</v>
      </c>
      <c r="D4431" s="1">
        <v>40526</v>
      </c>
      <c r="E4431" s="2">
        <v>870000</v>
      </c>
      <c r="F4431" t="s">
        <v>4567</v>
      </c>
      <c r="G4431" s="17" t="str">
        <f>HYPERLINK("https://www.washoecounty.gov/assessor/cama/?command=sales&amp;parid=13016217","3952902")</f>
        <v>3952902</v>
      </c>
      <c r="H4431" t="s">
        <v>2331</v>
      </c>
      <c r="I4431">
        <v>1999</v>
      </c>
      <c r="J4431">
        <v>1999</v>
      </c>
      <c r="K4431" t="s">
        <v>4554</v>
      </c>
      <c r="L4431" t="s">
        <v>3974</v>
      </c>
      <c r="M4431" s="2">
        <v>3446</v>
      </c>
      <c r="N4431" t="s">
        <v>2012</v>
      </c>
      <c r="O4431">
        <v>4</v>
      </c>
      <c r="P4431">
        <v>3</v>
      </c>
      <c r="Q4431">
        <v>1</v>
      </c>
      <c r="R4431" t="s">
        <v>5205</v>
      </c>
      <c r="S4431" t="s">
        <v>4898</v>
      </c>
      <c r="T4431" t="s">
        <v>4559</v>
      </c>
      <c r="U4431" t="s">
        <v>4560</v>
      </c>
      <c r="V4431" s="2">
        <v>867</v>
      </c>
      <c r="W4431" t="s">
        <v>3201</v>
      </c>
      <c r="X4431" s="2">
        <v>1447</v>
      </c>
      <c r="Y4431">
        <v>20</v>
      </c>
      <c r="Z4431" t="s">
        <v>5508</v>
      </c>
      <c r="AA4431" s="3">
        <v>0.35101011395454401</v>
      </c>
      <c r="AB4431" t="s">
        <v>23484</v>
      </c>
      <c r="AC4431" t="s">
        <v>4575</v>
      </c>
      <c r="AD4431" t="s">
        <v>23485</v>
      </c>
      <c r="AE4431" t="s">
        <v>23486</v>
      </c>
      <c r="AF4431" t="s">
        <v>5206</v>
      </c>
      <c r="AG4431" t="s">
        <v>4564</v>
      </c>
      <c r="AH4431" t="s">
        <v>5207</v>
      </c>
      <c r="AI4431" t="s">
        <v>23487</v>
      </c>
      <c r="AJ4431" t="s">
        <v>4655</v>
      </c>
      <c r="AK4431" t="s">
        <v>23488</v>
      </c>
      <c r="AL4431" s="13" t="s">
        <v>1893</v>
      </c>
      <c r="AM4431" s="14">
        <v>1</v>
      </c>
      <c r="AN4431" s="15" t="s">
        <v>2918</v>
      </c>
    </row>
    <row r="4432" spans="1:40" x14ac:dyDescent="0.3">
      <c r="A4432" s="10" t="str">
        <f>HYPERLINK("http://www.washoecounty.gov/assessor/cama/?parid=130-163-30&amp;CardNumber=1","130-163-30")</f>
        <v>130-163-30</v>
      </c>
      <c r="B4432" t="s">
        <v>4655</v>
      </c>
      <c r="C4432" t="s">
        <v>23489</v>
      </c>
      <c r="D4432" s="1">
        <v>40380</v>
      </c>
      <c r="E4432" s="2">
        <v>1300000</v>
      </c>
      <c r="F4432" t="s">
        <v>3259</v>
      </c>
      <c r="G4432" s="17" t="str">
        <f>HYPERLINK("https://www.washoecounty.gov/assessor/cama/?command=sales&amp;parid=13016330","3903432")</f>
        <v>3903432</v>
      </c>
      <c r="H4432" t="s">
        <v>23490</v>
      </c>
      <c r="I4432">
        <v>1993</v>
      </c>
      <c r="J4432">
        <v>1993</v>
      </c>
      <c r="K4432" t="s">
        <v>4554</v>
      </c>
      <c r="L4432" t="s">
        <v>2170</v>
      </c>
      <c r="M4432" s="2">
        <v>4527</v>
      </c>
      <c r="N4432" t="s">
        <v>2967</v>
      </c>
      <c r="O4432">
        <v>4</v>
      </c>
      <c r="P4432">
        <v>4</v>
      </c>
      <c r="Q4432">
        <v>1</v>
      </c>
      <c r="R4432" t="s">
        <v>5630</v>
      </c>
      <c r="S4432" t="s">
        <v>4135</v>
      </c>
      <c r="T4432" t="s">
        <v>3888</v>
      </c>
      <c r="U4432" t="s">
        <v>4560</v>
      </c>
      <c r="V4432" s="2">
        <v>888</v>
      </c>
      <c r="W4432" t="s">
        <v>4655</v>
      </c>
      <c r="X4432" s="2">
        <v>0</v>
      </c>
      <c r="Y4432">
        <v>20</v>
      </c>
      <c r="Z4432" t="s">
        <v>3884</v>
      </c>
      <c r="AA4432" s="3">
        <v>1.11099636554718</v>
      </c>
      <c r="AB4432" t="s">
        <v>23491</v>
      </c>
      <c r="AC4432" t="s">
        <v>4575</v>
      </c>
      <c r="AD4432" t="s">
        <v>23492</v>
      </c>
      <c r="AE4432" t="s">
        <v>4655</v>
      </c>
      <c r="AF4432" t="s">
        <v>275</v>
      </c>
      <c r="AG4432" t="s">
        <v>4584</v>
      </c>
      <c r="AH4432" t="s">
        <v>276</v>
      </c>
      <c r="AI4432" t="s">
        <v>23493</v>
      </c>
      <c r="AJ4432" t="s">
        <v>4655</v>
      </c>
      <c r="AK4432" t="s">
        <v>23494</v>
      </c>
      <c r="AL4432" s="13" t="s">
        <v>1893</v>
      </c>
      <c r="AM4432" s="14">
        <v>1</v>
      </c>
      <c r="AN4432" s="15" t="s">
        <v>2910</v>
      </c>
    </row>
    <row r="4433" spans="1:40" x14ac:dyDescent="0.3">
      <c r="A4433" s="10" t="str">
        <f>HYPERLINK("http://www.washoecounty.gov/assessor/cama/?parid=130-180-56&amp;CardNumber=1","130-180-56")</f>
        <v>130-180-56</v>
      </c>
      <c r="B4433" t="s">
        <v>4655</v>
      </c>
      <c r="C4433" t="s">
        <v>23495</v>
      </c>
      <c r="D4433" s="1">
        <v>40410</v>
      </c>
      <c r="E4433" s="2">
        <v>595000</v>
      </c>
      <c r="F4433" t="s">
        <v>3528</v>
      </c>
      <c r="G4433" s="17" t="str">
        <f>HYPERLINK("https://www.washoecounty.gov/assessor/cama/?command=sales&amp;parid=13018056","3913955")</f>
        <v>3913955</v>
      </c>
      <c r="H4433" t="s">
        <v>23496</v>
      </c>
      <c r="I4433">
        <v>1990</v>
      </c>
      <c r="J4433">
        <v>1990</v>
      </c>
      <c r="K4433" t="s">
        <v>4897</v>
      </c>
      <c r="L4433" t="s">
        <v>3974</v>
      </c>
      <c r="M4433" s="2">
        <v>2760</v>
      </c>
      <c r="N4433" t="s">
        <v>2012</v>
      </c>
      <c r="O4433">
        <v>3</v>
      </c>
      <c r="P4433">
        <v>3</v>
      </c>
      <c r="Q4433">
        <v>1</v>
      </c>
      <c r="R4433" t="s">
        <v>1186</v>
      </c>
      <c r="S4433" t="s">
        <v>4135</v>
      </c>
      <c r="T4433" t="s">
        <v>4899</v>
      </c>
      <c r="U4433" t="s">
        <v>4655</v>
      </c>
      <c r="V4433" s="2">
        <v>0</v>
      </c>
      <c r="W4433" t="s">
        <v>4655</v>
      </c>
      <c r="X4433" s="2">
        <v>0</v>
      </c>
      <c r="Y4433">
        <v>21</v>
      </c>
      <c r="Z4433" t="s">
        <v>3781</v>
      </c>
      <c r="AA4433" s="3">
        <v>1.00000004749745E-3</v>
      </c>
      <c r="AB4433" t="s">
        <v>23497</v>
      </c>
      <c r="AC4433" t="s">
        <v>4562</v>
      </c>
      <c r="AD4433" t="s">
        <v>23498</v>
      </c>
      <c r="AE4433" t="s">
        <v>4655</v>
      </c>
      <c r="AF4433" t="s">
        <v>686</v>
      </c>
      <c r="AG4433" t="s">
        <v>4584</v>
      </c>
      <c r="AH4433">
        <v>94121</v>
      </c>
      <c r="AI4433" t="s">
        <v>23499</v>
      </c>
      <c r="AJ4433" t="s">
        <v>4655</v>
      </c>
      <c r="AK4433" t="s">
        <v>23500</v>
      </c>
      <c r="AL4433" s="13" t="s">
        <v>1893</v>
      </c>
      <c r="AM4433">
        <v>1</v>
      </c>
      <c r="AN4433" s="15" t="s">
        <v>23501</v>
      </c>
    </row>
    <row r="4434" spans="1:40" x14ac:dyDescent="0.3">
      <c r="A4434" s="10" t="str">
        <f>HYPERLINK("http://www.washoecounty.gov/assessor/cama/?parid=130-180-57&amp;CardNumber=1","130-180-57")</f>
        <v>130-180-57</v>
      </c>
      <c r="B4434" t="s">
        <v>4655</v>
      </c>
      <c r="C4434" t="s">
        <v>23495</v>
      </c>
      <c r="D4434" s="1">
        <v>40336</v>
      </c>
      <c r="E4434" s="2">
        <v>399000</v>
      </c>
      <c r="F4434" t="s">
        <v>4567</v>
      </c>
      <c r="G4434" s="17" t="str">
        <f>HYPERLINK("https://www.washoecounty.gov/assessor/cama/?command=sales&amp;parid=13018057","3888742")</f>
        <v>3888742</v>
      </c>
      <c r="H4434" t="s">
        <v>23496</v>
      </c>
      <c r="I4434">
        <v>1990</v>
      </c>
      <c r="J4434">
        <v>1990</v>
      </c>
      <c r="K4434" t="s">
        <v>4897</v>
      </c>
      <c r="L4434" t="s">
        <v>3974</v>
      </c>
      <c r="M4434" s="2">
        <v>1588</v>
      </c>
      <c r="N4434" t="s">
        <v>2012</v>
      </c>
      <c r="O4434">
        <v>2</v>
      </c>
      <c r="P4434">
        <v>2</v>
      </c>
      <c r="Q4434">
        <v>1</v>
      </c>
      <c r="R4434" t="s">
        <v>1186</v>
      </c>
      <c r="S4434" t="s">
        <v>4135</v>
      </c>
      <c r="T4434" t="s">
        <v>4899</v>
      </c>
      <c r="U4434" t="s">
        <v>4655</v>
      </c>
      <c r="V4434" s="2">
        <v>0</v>
      </c>
      <c r="W4434" t="s">
        <v>4655</v>
      </c>
      <c r="X4434" s="2">
        <v>0</v>
      </c>
      <c r="Y4434">
        <v>21</v>
      </c>
      <c r="Z4434" t="s">
        <v>3781</v>
      </c>
      <c r="AA4434" s="3">
        <v>1.00000004749745E-3</v>
      </c>
      <c r="AB4434" t="s">
        <v>23502</v>
      </c>
      <c r="AC4434" t="s">
        <v>4562</v>
      </c>
      <c r="AD4434" t="s">
        <v>23503</v>
      </c>
      <c r="AE4434" t="s">
        <v>4655</v>
      </c>
      <c r="AF4434" t="s">
        <v>23504</v>
      </c>
      <c r="AG4434" t="s">
        <v>762</v>
      </c>
      <c r="AH4434" t="s">
        <v>23505</v>
      </c>
      <c r="AI4434" t="s">
        <v>23506</v>
      </c>
      <c r="AJ4434" t="s">
        <v>4655</v>
      </c>
      <c r="AK4434" t="s">
        <v>23507</v>
      </c>
      <c r="AL4434" s="13" t="s">
        <v>1893</v>
      </c>
      <c r="AM4434" s="14">
        <v>1</v>
      </c>
      <c r="AN4434" s="15" t="s">
        <v>23501</v>
      </c>
    </row>
    <row r="4435" spans="1:40" x14ac:dyDescent="0.3">
      <c r="A4435" s="10" t="str">
        <f>HYPERLINK("http://www.washoecounty.gov/assessor/cama/?parid=130-180-58&amp;CardNumber=1","130-180-58")</f>
        <v>130-180-58</v>
      </c>
      <c r="B4435" t="s">
        <v>4655</v>
      </c>
      <c r="C4435" t="s">
        <v>23495</v>
      </c>
      <c r="D4435" s="1">
        <v>40203</v>
      </c>
      <c r="E4435" s="2">
        <v>319900</v>
      </c>
      <c r="F4435" t="s">
        <v>4553</v>
      </c>
      <c r="G4435" s="17" t="str">
        <f>HYPERLINK("https://www.washoecounty.gov/assessor/cama/?command=sales&amp;parid=13018058","3842210")</f>
        <v>3842210</v>
      </c>
      <c r="H4435" t="s">
        <v>23508</v>
      </c>
      <c r="I4435">
        <v>1990</v>
      </c>
      <c r="J4435">
        <v>1990</v>
      </c>
      <c r="K4435" t="s">
        <v>3144</v>
      </c>
      <c r="L4435" t="s">
        <v>3974</v>
      </c>
      <c r="M4435" s="2">
        <v>1588</v>
      </c>
      <c r="N4435" t="s">
        <v>2012</v>
      </c>
      <c r="O4435">
        <v>2</v>
      </c>
      <c r="P4435">
        <v>2</v>
      </c>
      <c r="Q4435">
        <v>1</v>
      </c>
      <c r="R4435" t="s">
        <v>1186</v>
      </c>
      <c r="S4435" t="s">
        <v>4135</v>
      </c>
      <c r="T4435" t="s">
        <v>4899</v>
      </c>
      <c r="U4435" t="s">
        <v>4655</v>
      </c>
      <c r="V4435" s="2">
        <v>0</v>
      </c>
      <c r="W4435" t="s">
        <v>4655</v>
      </c>
      <c r="X4435" s="2">
        <v>0</v>
      </c>
      <c r="Y4435">
        <v>21</v>
      </c>
      <c r="Z4435" t="s">
        <v>3781</v>
      </c>
      <c r="AA4435" s="3">
        <v>1.00000004749745E-3</v>
      </c>
      <c r="AB4435" t="s">
        <v>23509</v>
      </c>
      <c r="AC4435" t="s">
        <v>4562</v>
      </c>
      <c r="AD4435" t="s">
        <v>23510</v>
      </c>
      <c r="AE4435" t="s">
        <v>4655</v>
      </c>
      <c r="AF4435" t="s">
        <v>3533</v>
      </c>
      <c r="AG4435" t="s">
        <v>4564</v>
      </c>
      <c r="AH4435">
        <v>89052</v>
      </c>
      <c r="AI4435" t="s">
        <v>4585</v>
      </c>
      <c r="AJ4435" t="s">
        <v>4655</v>
      </c>
      <c r="AK4435" t="s">
        <v>23511</v>
      </c>
      <c r="AL4435" s="13" t="s">
        <v>1893</v>
      </c>
      <c r="AM4435" s="14">
        <v>1</v>
      </c>
      <c r="AN4435" s="15" t="s">
        <v>23501</v>
      </c>
    </row>
    <row r="4436" spans="1:40" x14ac:dyDescent="0.3">
      <c r="A4436" s="10" t="str">
        <f>HYPERLINK("http://www.washoecounty.gov/assessor/cama/?parid=130-192-06&amp;CardNumber=1","130-192-06")</f>
        <v>130-192-06</v>
      </c>
      <c r="B4436" t="s">
        <v>4655</v>
      </c>
      <c r="C4436" t="s">
        <v>4779</v>
      </c>
      <c r="D4436" s="1">
        <v>40438</v>
      </c>
      <c r="E4436" s="2">
        <v>593000</v>
      </c>
      <c r="F4436" t="s">
        <v>4567</v>
      </c>
      <c r="G4436" s="17" t="str">
        <f>HYPERLINK("https://www.washoecounty.gov/assessor/cama/?command=sales&amp;parid=13019206","3923613")</f>
        <v>3923613</v>
      </c>
      <c r="H4436" t="s">
        <v>23512</v>
      </c>
      <c r="I4436">
        <v>1979</v>
      </c>
      <c r="J4436">
        <v>1979</v>
      </c>
      <c r="K4436" t="s">
        <v>4897</v>
      </c>
      <c r="L4436" t="s">
        <v>3974</v>
      </c>
      <c r="M4436" s="2">
        <v>1936</v>
      </c>
      <c r="N4436" t="s">
        <v>3147</v>
      </c>
      <c r="O4436">
        <v>3</v>
      </c>
      <c r="P4436">
        <v>2</v>
      </c>
      <c r="Q4436">
        <v>1</v>
      </c>
      <c r="R4436" t="s">
        <v>4676</v>
      </c>
      <c r="S4436" t="s">
        <v>3148</v>
      </c>
      <c r="T4436" t="s">
        <v>4559</v>
      </c>
      <c r="U4436" t="s">
        <v>5631</v>
      </c>
      <c r="V4436" s="2">
        <v>264</v>
      </c>
      <c r="W4436" t="s">
        <v>4655</v>
      </c>
      <c r="X4436" s="2">
        <v>0</v>
      </c>
      <c r="Y4436">
        <v>21</v>
      </c>
      <c r="Z4436" t="s">
        <v>3781</v>
      </c>
      <c r="AA4436" s="3">
        <v>1.00000004749745E-3</v>
      </c>
      <c r="AB4436" t="s">
        <v>23513</v>
      </c>
      <c r="AC4436" t="s">
        <v>4575</v>
      </c>
      <c r="AD4436" t="s">
        <v>23514</v>
      </c>
      <c r="AE4436" t="s">
        <v>4655</v>
      </c>
      <c r="AF4436" t="s">
        <v>1358</v>
      </c>
      <c r="AG4436" t="s">
        <v>4584</v>
      </c>
      <c r="AH4436" t="s">
        <v>23230</v>
      </c>
      <c r="AI4436" t="s">
        <v>4655</v>
      </c>
      <c r="AJ4436" t="s">
        <v>4655</v>
      </c>
      <c r="AK4436" t="s">
        <v>23515</v>
      </c>
      <c r="AL4436" s="13" t="s">
        <v>1893</v>
      </c>
      <c r="AM4436">
        <v>1</v>
      </c>
      <c r="AN4436" s="15" t="s">
        <v>4780</v>
      </c>
    </row>
    <row r="4437" spans="1:40" x14ac:dyDescent="0.3">
      <c r="A4437" s="10" t="str">
        <f>HYPERLINK("http://www.washoecounty.gov/assessor/cama/?parid=130-201-19&amp;CardNumber=1","130-201-19")</f>
        <v>130-201-19</v>
      </c>
      <c r="B4437" t="s">
        <v>4655</v>
      </c>
      <c r="C4437" t="s">
        <v>23516</v>
      </c>
      <c r="D4437" s="1">
        <v>40268</v>
      </c>
      <c r="E4437" s="2">
        <v>1800000</v>
      </c>
      <c r="F4437" t="s">
        <v>3259</v>
      </c>
      <c r="G4437" s="17" t="str">
        <f>HYPERLINK("https://www.washoecounty.gov/assessor/cama/?command=sales&amp;parid=13020119","3866374")</f>
        <v>3866374</v>
      </c>
      <c r="H4437" t="s">
        <v>4210</v>
      </c>
      <c r="I4437">
        <v>1970</v>
      </c>
      <c r="J4437">
        <v>1997</v>
      </c>
      <c r="K4437" t="s">
        <v>4554</v>
      </c>
      <c r="L4437" t="s">
        <v>4555</v>
      </c>
      <c r="M4437" s="2">
        <v>3942</v>
      </c>
      <c r="N4437" t="s">
        <v>2008</v>
      </c>
      <c r="O4437">
        <v>5</v>
      </c>
      <c r="P4437">
        <v>5</v>
      </c>
      <c r="Q4437">
        <v>2</v>
      </c>
      <c r="R4437" t="s">
        <v>1186</v>
      </c>
      <c r="S4437" t="s">
        <v>4135</v>
      </c>
      <c r="T4437" t="s">
        <v>4559</v>
      </c>
      <c r="U4437" t="s">
        <v>5631</v>
      </c>
      <c r="V4437" s="2">
        <v>770</v>
      </c>
      <c r="W4437" t="s">
        <v>4655</v>
      </c>
      <c r="X4437" s="2">
        <v>0</v>
      </c>
      <c r="Y4437">
        <v>20</v>
      </c>
      <c r="Z4437" t="s">
        <v>5508</v>
      </c>
      <c r="AA4437" s="3">
        <v>0.41299358010292098</v>
      </c>
      <c r="AB4437" t="s">
        <v>23517</v>
      </c>
      <c r="AC4437" t="s">
        <v>4575</v>
      </c>
      <c r="AD4437" t="s">
        <v>23518</v>
      </c>
      <c r="AE4437" t="s">
        <v>4655</v>
      </c>
      <c r="AF4437" t="s">
        <v>23519</v>
      </c>
      <c r="AG4437" t="s">
        <v>4584</v>
      </c>
      <c r="AH4437">
        <v>94027</v>
      </c>
      <c r="AI4437" t="s">
        <v>23520</v>
      </c>
      <c r="AJ4437" t="s">
        <v>4655</v>
      </c>
      <c r="AK4437" t="s">
        <v>23521</v>
      </c>
      <c r="AL4437" s="13" t="s">
        <v>1893</v>
      </c>
      <c r="AM4437">
        <v>1</v>
      </c>
      <c r="AN4437" s="15" t="s">
        <v>2918</v>
      </c>
    </row>
    <row r="4438" spans="1:40" x14ac:dyDescent="0.3">
      <c r="A4438" s="10" t="str">
        <f>HYPERLINK("http://www.washoecounty.gov/assessor/cama/?parid=130-202-24&amp;CardNumber=1","130-202-24")</f>
        <v>130-202-24</v>
      </c>
      <c r="B4438" t="s">
        <v>4655</v>
      </c>
      <c r="C4438" t="s">
        <v>23522</v>
      </c>
      <c r="D4438" s="1">
        <v>40297</v>
      </c>
      <c r="E4438" s="2">
        <v>636000</v>
      </c>
      <c r="F4438" t="s">
        <v>3259</v>
      </c>
      <c r="G4438" s="17" t="str">
        <f>HYPERLINK("https://www.washoecounty.gov/assessor/cama/?command=sales&amp;parid=13020224","3876080")</f>
        <v>3876080</v>
      </c>
      <c r="H4438" t="s">
        <v>4210</v>
      </c>
      <c r="I4438">
        <v>1963</v>
      </c>
      <c r="J4438">
        <v>1963</v>
      </c>
      <c r="K4438" t="s">
        <v>4554</v>
      </c>
      <c r="L4438" t="s">
        <v>3974</v>
      </c>
      <c r="M4438" s="2">
        <v>2204</v>
      </c>
      <c r="N4438" t="s">
        <v>3887</v>
      </c>
      <c r="O4438">
        <v>3</v>
      </c>
      <c r="P4438">
        <v>3</v>
      </c>
      <c r="Q4438">
        <v>0</v>
      </c>
      <c r="R4438" t="s">
        <v>4557</v>
      </c>
      <c r="S4438" t="s">
        <v>4558</v>
      </c>
      <c r="T4438" t="s">
        <v>4559</v>
      </c>
      <c r="U4438" t="s">
        <v>5631</v>
      </c>
      <c r="V4438" s="2">
        <v>1760</v>
      </c>
      <c r="W4438" t="s">
        <v>3201</v>
      </c>
      <c r="X4438" s="2">
        <v>1104</v>
      </c>
      <c r="Y4438">
        <v>20</v>
      </c>
      <c r="Z4438" t="s">
        <v>5508</v>
      </c>
      <c r="AA4438" s="3">
        <v>0.34898990392684898</v>
      </c>
      <c r="AB4438" t="s">
        <v>23523</v>
      </c>
      <c r="AC4438" t="s">
        <v>4562</v>
      </c>
      <c r="AD4438" t="s">
        <v>23524</v>
      </c>
      <c r="AE4438" t="s">
        <v>4655</v>
      </c>
      <c r="AF4438" t="s">
        <v>5201</v>
      </c>
      <c r="AG4438" t="s">
        <v>4564</v>
      </c>
      <c r="AH4438" t="s">
        <v>1605</v>
      </c>
      <c r="AI4438" t="s">
        <v>23525</v>
      </c>
      <c r="AJ4438" t="s">
        <v>4655</v>
      </c>
      <c r="AK4438" t="s">
        <v>23526</v>
      </c>
      <c r="AL4438" s="13" t="s">
        <v>1893</v>
      </c>
      <c r="AM4438">
        <v>1</v>
      </c>
      <c r="AN4438" s="15" t="s">
        <v>2918</v>
      </c>
    </row>
    <row r="4439" spans="1:40" x14ac:dyDescent="0.3">
      <c r="A4439" s="10" t="str">
        <f>HYPERLINK("http://www.washoecounty.gov/assessor/cama/?parid=130-203-11&amp;CardNumber=1","130-203-11")</f>
        <v>130-203-11</v>
      </c>
      <c r="B4439" t="s">
        <v>4655</v>
      </c>
      <c r="C4439" t="s">
        <v>23527</v>
      </c>
      <c r="D4439" s="1">
        <v>40466</v>
      </c>
      <c r="E4439" s="2">
        <v>500000</v>
      </c>
      <c r="F4439" t="s">
        <v>3259</v>
      </c>
      <c r="G4439" s="17" t="str">
        <f>HYPERLINK("https://www.washoecounty.gov/assessor/cama/?command=sales&amp;parid=13020311","3933316")</f>
        <v>3933316</v>
      </c>
      <c r="H4439" t="s">
        <v>4210</v>
      </c>
      <c r="I4439">
        <v>1978</v>
      </c>
      <c r="J4439">
        <v>1978</v>
      </c>
      <c r="K4439" t="s">
        <v>4554</v>
      </c>
      <c r="L4439" t="s">
        <v>4555</v>
      </c>
      <c r="M4439" s="2">
        <v>1152</v>
      </c>
      <c r="N4439" t="s">
        <v>4556</v>
      </c>
      <c r="O4439">
        <v>3</v>
      </c>
      <c r="P4439">
        <v>2</v>
      </c>
      <c r="Q4439">
        <v>0</v>
      </c>
      <c r="R4439" t="s">
        <v>4557</v>
      </c>
      <c r="S4439" t="s">
        <v>4135</v>
      </c>
      <c r="T4439" t="s">
        <v>4559</v>
      </c>
      <c r="U4439" t="s">
        <v>4560</v>
      </c>
      <c r="V4439" s="2">
        <v>440</v>
      </c>
      <c r="W4439" t="s">
        <v>4655</v>
      </c>
      <c r="X4439" s="2">
        <v>0</v>
      </c>
      <c r="Y4439">
        <v>20</v>
      </c>
      <c r="Z4439" t="s">
        <v>5508</v>
      </c>
      <c r="AA4439" s="3">
        <v>0.339990824460983</v>
      </c>
      <c r="AB4439" t="s">
        <v>23163</v>
      </c>
      <c r="AC4439" t="s">
        <v>4575</v>
      </c>
      <c r="AD4439" t="s">
        <v>23164</v>
      </c>
      <c r="AE4439" t="s">
        <v>4655</v>
      </c>
      <c r="AF4439" t="s">
        <v>5206</v>
      </c>
      <c r="AG4439" t="s">
        <v>4564</v>
      </c>
      <c r="AH4439" t="s">
        <v>5275</v>
      </c>
      <c r="AI4439" t="s">
        <v>23165</v>
      </c>
      <c r="AJ4439" t="s">
        <v>4655</v>
      </c>
      <c r="AK4439" t="s">
        <v>23528</v>
      </c>
      <c r="AL4439" s="13" t="s">
        <v>1893</v>
      </c>
      <c r="AM4439">
        <v>1</v>
      </c>
      <c r="AN4439" s="15" t="s">
        <v>2918</v>
      </c>
    </row>
    <row r="4440" spans="1:40" x14ac:dyDescent="0.3">
      <c r="A4440" s="10" t="str">
        <f>HYPERLINK("http://www.washoecounty.gov/assessor/cama/?parid=130-204-04&amp;CardNumber=1","130-204-04")</f>
        <v>130-204-04</v>
      </c>
      <c r="B4440" t="s">
        <v>4655</v>
      </c>
      <c r="C4440" t="s">
        <v>23529</v>
      </c>
      <c r="D4440" s="1">
        <v>40473</v>
      </c>
      <c r="E4440" s="2">
        <v>520000</v>
      </c>
      <c r="F4440" t="s">
        <v>3528</v>
      </c>
      <c r="G4440" s="17" t="str">
        <f>HYPERLINK("https://www.washoecounty.gov/assessor/cama/?command=sales&amp;parid=13020404","3935595")</f>
        <v>3935595</v>
      </c>
      <c r="H4440" t="s">
        <v>2331</v>
      </c>
      <c r="I4440">
        <v>1974</v>
      </c>
      <c r="J4440">
        <v>1974</v>
      </c>
      <c r="K4440" t="s">
        <v>4554</v>
      </c>
      <c r="L4440" t="s">
        <v>4555</v>
      </c>
      <c r="M4440" s="2">
        <v>1500</v>
      </c>
      <c r="N4440" t="s">
        <v>4556</v>
      </c>
      <c r="O4440">
        <v>3</v>
      </c>
      <c r="P4440">
        <v>2</v>
      </c>
      <c r="Q4440">
        <v>0</v>
      </c>
      <c r="R4440" t="s">
        <v>4557</v>
      </c>
      <c r="S4440" t="s">
        <v>4135</v>
      </c>
      <c r="T4440" t="s">
        <v>4143</v>
      </c>
      <c r="U4440" t="s">
        <v>4560</v>
      </c>
      <c r="V4440" s="2">
        <v>550</v>
      </c>
      <c r="W4440" t="s">
        <v>4655</v>
      </c>
      <c r="X4440" s="2">
        <v>0</v>
      </c>
      <c r="Y4440">
        <v>20</v>
      </c>
      <c r="Z4440" t="s">
        <v>5508</v>
      </c>
      <c r="AA4440" s="3">
        <v>0.41799816489219666</v>
      </c>
      <c r="AB4440" t="s">
        <v>23163</v>
      </c>
      <c r="AC4440" t="s">
        <v>4575</v>
      </c>
      <c r="AD4440" t="s">
        <v>23164</v>
      </c>
      <c r="AE4440" t="s">
        <v>4655</v>
      </c>
      <c r="AF4440" t="s">
        <v>5206</v>
      </c>
      <c r="AG4440" t="s">
        <v>4564</v>
      </c>
      <c r="AH4440" t="s">
        <v>5275</v>
      </c>
      <c r="AI4440" t="s">
        <v>23313</v>
      </c>
      <c r="AJ4440" t="s">
        <v>4655</v>
      </c>
      <c r="AK4440" t="s">
        <v>23530</v>
      </c>
      <c r="AL4440" s="13" t="s">
        <v>1893</v>
      </c>
      <c r="AM4440" s="14">
        <v>1</v>
      </c>
      <c r="AN4440" s="15" t="s">
        <v>2918</v>
      </c>
    </row>
    <row r="4441" spans="1:40" x14ac:dyDescent="0.3">
      <c r="A4441" s="10" t="str">
        <f>HYPERLINK("http://www.washoecounty.gov/assessor/cama/?parid=130-205-14&amp;CardNumber=1","130-205-14")</f>
        <v>130-205-14</v>
      </c>
      <c r="B4441" t="s">
        <v>4655</v>
      </c>
      <c r="C4441" t="s">
        <v>23531</v>
      </c>
      <c r="D4441" s="1">
        <v>40375</v>
      </c>
      <c r="E4441" s="2">
        <v>690000</v>
      </c>
      <c r="F4441" t="s">
        <v>4567</v>
      </c>
      <c r="G4441" s="17" t="str">
        <f>HYPERLINK("https://www.washoecounty.gov/assessor/cama/?command=sales&amp;parid=13020514","3901980")</f>
        <v>3901980</v>
      </c>
      <c r="H4441" t="s">
        <v>2331</v>
      </c>
      <c r="I4441">
        <v>1982</v>
      </c>
      <c r="J4441">
        <v>1982</v>
      </c>
      <c r="K4441" t="s">
        <v>4554</v>
      </c>
      <c r="L4441" t="s">
        <v>4555</v>
      </c>
      <c r="M4441" s="2">
        <v>2230</v>
      </c>
      <c r="N4441" t="s">
        <v>3147</v>
      </c>
      <c r="O4441">
        <v>4</v>
      </c>
      <c r="P4441">
        <v>2</v>
      </c>
      <c r="Q4441">
        <v>0</v>
      </c>
      <c r="R4441" t="s">
        <v>4557</v>
      </c>
      <c r="S4441" t="s">
        <v>4135</v>
      </c>
      <c r="T4441" t="s">
        <v>4559</v>
      </c>
      <c r="U4441" t="s">
        <v>5631</v>
      </c>
      <c r="V4441" s="2">
        <v>480</v>
      </c>
      <c r="W4441" t="s">
        <v>4655</v>
      </c>
      <c r="X4441" s="2">
        <v>0</v>
      </c>
      <c r="Y4441">
        <v>20</v>
      </c>
      <c r="Z4441" t="s">
        <v>5508</v>
      </c>
      <c r="AA4441" s="3">
        <v>0.33700641989707902</v>
      </c>
      <c r="AB4441" t="s">
        <v>23532</v>
      </c>
      <c r="AC4441" t="s">
        <v>4575</v>
      </c>
      <c r="AD4441" t="s">
        <v>23533</v>
      </c>
      <c r="AE4441" t="s">
        <v>4655</v>
      </c>
      <c r="AF4441" t="s">
        <v>3160</v>
      </c>
      <c r="AG4441" t="s">
        <v>4584</v>
      </c>
      <c r="AH4441" t="s">
        <v>3161</v>
      </c>
      <c r="AI4441" t="s">
        <v>23534</v>
      </c>
      <c r="AJ4441" t="s">
        <v>4655</v>
      </c>
      <c r="AK4441" t="s">
        <v>23535</v>
      </c>
      <c r="AL4441" s="13" t="s">
        <v>1893</v>
      </c>
      <c r="AM4441">
        <v>1</v>
      </c>
      <c r="AN4441" s="15" t="s">
        <v>2918</v>
      </c>
    </row>
    <row r="4442" spans="1:40" x14ac:dyDescent="0.3">
      <c r="A4442" s="10" t="str">
        <f>HYPERLINK("http://www.washoecounty.gov/assessor/cama/?parid=130-211-23&amp;CardNumber=1","130-211-23")</f>
        <v>130-211-23</v>
      </c>
      <c r="B4442" t="s">
        <v>4655</v>
      </c>
      <c r="C4442" t="s">
        <v>23536</v>
      </c>
      <c r="D4442" s="1">
        <v>40463</v>
      </c>
      <c r="E4442" s="2">
        <v>410000</v>
      </c>
      <c r="F4442" t="s">
        <v>3528</v>
      </c>
      <c r="G4442" s="17" t="str">
        <f>HYPERLINK("https://www.washoecounty.gov/assessor/cama/?command=sales&amp;parid=13021123","3932034")</f>
        <v>3932034</v>
      </c>
      <c r="H4442" t="s">
        <v>4210</v>
      </c>
      <c r="I4442">
        <v>1978</v>
      </c>
      <c r="J4442">
        <v>1981</v>
      </c>
      <c r="K4442" t="s">
        <v>4554</v>
      </c>
      <c r="L4442" t="s">
        <v>4555</v>
      </c>
      <c r="M4442" s="2">
        <v>1265</v>
      </c>
      <c r="N4442" t="s">
        <v>4048</v>
      </c>
      <c r="O4442">
        <v>3</v>
      </c>
      <c r="P4442">
        <v>2</v>
      </c>
      <c r="Q4442">
        <v>0</v>
      </c>
      <c r="R4442" t="s">
        <v>4557</v>
      </c>
      <c r="S4442" t="s">
        <v>4135</v>
      </c>
      <c r="T4442" t="s">
        <v>4143</v>
      </c>
      <c r="U4442" t="s">
        <v>4655</v>
      </c>
      <c r="V4442" s="2">
        <v>0</v>
      </c>
      <c r="W4442" t="s">
        <v>4655</v>
      </c>
      <c r="X4442" s="2">
        <v>0</v>
      </c>
      <c r="Y4442">
        <v>20</v>
      </c>
      <c r="Z4442" t="s">
        <v>5508</v>
      </c>
      <c r="AA4442" s="3">
        <v>0.38799357414245605</v>
      </c>
      <c r="AB4442" t="s">
        <v>23537</v>
      </c>
      <c r="AC4442" t="s">
        <v>4575</v>
      </c>
      <c r="AD4442" t="s">
        <v>23538</v>
      </c>
      <c r="AE4442" t="s">
        <v>4655</v>
      </c>
      <c r="AF4442" t="s">
        <v>23539</v>
      </c>
      <c r="AG4442" t="s">
        <v>2986</v>
      </c>
      <c r="AH4442">
        <v>3245</v>
      </c>
      <c r="AI4442" t="s">
        <v>23540</v>
      </c>
      <c r="AJ4442" t="s">
        <v>4655</v>
      </c>
      <c r="AK4442" t="s">
        <v>23541</v>
      </c>
      <c r="AL4442" s="13" t="s">
        <v>1893</v>
      </c>
      <c r="AM4442">
        <v>1</v>
      </c>
      <c r="AN4442" s="15" t="s">
        <v>2918</v>
      </c>
    </row>
    <row r="4443" spans="1:40" x14ac:dyDescent="0.3">
      <c r="A4443" s="10" t="str">
        <f>HYPERLINK("http://www.washoecounty.gov/assessor/cama/?parid=130-212-06&amp;CardNumber=1","130-212-06")</f>
        <v>130-212-06</v>
      </c>
      <c r="B4443" t="s">
        <v>4655</v>
      </c>
      <c r="C4443" t="s">
        <v>23542</v>
      </c>
      <c r="D4443" s="1">
        <v>40220</v>
      </c>
      <c r="E4443" s="2">
        <v>1300000</v>
      </c>
      <c r="F4443" t="s">
        <v>3259</v>
      </c>
      <c r="G4443" s="17" t="str">
        <f>HYPERLINK("https://www.washoecounty.gov/assessor/cama/?command=sales&amp;parid=13021206","3848019")</f>
        <v>3848019</v>
      </c>
      <c r="H4443" t="s">
        <v>4210</v>
      </c>
      <c r="I4443">
        <v>2000</v>
      </c>
      <c r="J4443">
        <v>2000</v>
      </c>
      <c r="K4443" t="s">
        <v>4554</v>
      </c>
      <c r="L4443" t="s">
        <v>3974</v>
      </c>
      <c r="M4443" s="2">
        <v>3723</v>
      </c>
      <c r="N4443" t="s">
        <v>5106</v>
      </c>
      <c r="O4443">
        <v>4</v>
      </c>
      <c r="P4443">
        <v>3</v>
      </c>
      <c r="Q4443">
        <v>1</v>
      </c>
      <c r="R4443" t="s">
        <v>4557</v>
      </c>
      <c r="S4443" t="s">
        <v>4135</v>
      </c>
      <c r="T4443" t="s">
        <v>4559</v>
      </c>
      <c r="U4443" t="s">
        <v>4560</v>
      </c>
      <c r="V4443" s="2">
        <v>900</v>
      </c>
      <c r="W4443" t="s">
        <v>4655</v>
      </c>
      <c r="X4443" s="2">
        <v>0</v>
      </c>
      <c r="Y4443">
        <v>20</v>
      </c>
      <c r="Z4443" t="s">
        <v>5508</v>
      </c>
      <c r="AA4443" s="3">
        <v>0.31499081850051902</v>
      </c>
      <c r="AB4443" t="s">
        <v>23543</v>
      </c>
      <c r="AC4443" t="s">
        <v>4575</v>
      </c>
      <c r="AD4443" t="s">
        <v>23544</v>
      </c>
      <c r="AE4443" t="s">
        <v>4655</v>
      </c>
      <c r="AF4443" t="s">
        <v>4303</v>
      </c>
      <c r="AG4443" t="s">
        <v>4564</v>
      </c>
      <c r="AH4443" t="s">
        <v>5207</v>
      </c>
      <c r="AI4443" t="s">
        <v>23545</v>
      </c>
      <c r="AJ4443" t="s">
        <v>4655</v>
      </c>
      <c r="AK4443" t="s">
        <v>23546</v>
      </c>
      <c r="AL4443" s="13" t="s">
        <v>1893</v>
      </c>
      <c r="AM4443">
        <v>1</v>
      </c>
      <c r="AN4443" s="15" t="s">
        <v>2918</v>
      </c>
    </row>
    <row r="4444" spans="1:40" x14ac:dyDescent="0.3">
      <c r="A4444" s="10" t="str">
        <f>HYPERLINK("http://www.washoecounty.gov/assessor/cama/?parid=130-241-02&amp;CardNumber=1","130-241-02")</f>
        <v>130-241-02</v>
      </c>
      <c r="B4444" t="s">
        <v>4655</v>
      </c>
      <c r="C4444" t="s">
        <v>23547</v>
      </c>
      <c r="D4444" s="1">
        <v>40319</v>
      </c>
      <c r="E4444" s="2">
        <v>3300000</v>
      </c>
      <c r="F4444" t="s">
        <v>2900</v>
      </c>
      <c r="G4444" s="17" t="str">
        <f>HYPERLINK("https://www.washoecounty.gov/assessor/cama/?command=sales&amp;parid=13024102","3883808")</f>
        <v>3883808</v>
      </c>
      <c r="H4444" t="s">
        <v>4358</v>
      </c>
      <c r="I4444">
        <v>2001</v>
      </c>
      <c r="J4444">
        <v>2001</v>
      </c>
      <c r="K4444" t="s">
        <v>4554</v>
      </c>
      <c r="L4444" t="s">
        <v>3974</v>
      </c>
      <c r="M4444" s="2">
        <v>4043</v>
      </c>
      <c r="N4444" t="s">
        <v>8283</v>
      </c>
      <c r="O4444">
        <v>3</v>
      </c>
      <c r="P4444">
        <v>3</v>
      </c>
      <c r="Q4444">
        <v>1</v>
      </c>
      <c r="R4444" t="s">
        <v>4557</v>
      </c>
      <c r="S4444" t="s">
        <v>4135</v>
      </c>
      <c r="T4444" t="s">
        <v>4559</v>
      </c>
      <c r="U4444" t="s">
        <v>5631</v>
      </c>
      <c r="V4444" s="2">
        <v>1156</v>
      </c>
      <c r="W4444" t="s">
        <v>4655</v>
      </c>
      <c r="X4444" s="2">
        <v>0</v>
      </c>
      <c r="Y4444">
        <v>20</v>
      </c>
      <c r="Z4444" t="s">
        <v>1776</v>
      </c>
      <c r="AA4444" s="3">
        <v>0.576790630817413</v>
      </c>
      <c r="AB4444" t="s">
        <v>23548</v>
      </c>
      <c r="AC4444" t="s">
        <v>4562</v>
      </c>
      <c r="AD4444" t="s">
        <v>23547</v>
      </c>
      <c r="AE4444" t="s">
        <v>4655</v>
      </c>
      <c r="AF4444" t="s">
        <v>5206</v>
      </c>
      <c r="AG4444" t="s">
        <v>4564</v>
      </c>
      <c r="AH4444" t="s">
        <v>5207</v>
      </c>
      <c r="AI4444" t="s">
        <v>22662</v>
      </c>
      <c r="AJ4444" t="s">
        <v>4655</v>
      </c>
      <c r="AK4444" t="s">
        <v>23549</v>
      </c>
      <c r="AL4444" s="13" t="s">
        <v>1893</v>
      </c>
      <c r="AM4444" s="14">
        <v>1</v>
      </c>
      <c r="AN4444" s="15" t="s">
        <v>2919</v>
      </c>
    </row>
    <row r="4445" spans="1:40" x14ac:dyDescent="0.3">
      <c r="A4445" s="10" t="str">
        <f>HYPERLINK("http://www.washoecounty.gov/assessor/cama/?parid=130-241-06&amp;CardNumber=1","130-241-06")</f>
        <v>130-241-06</v>
      </c>
      <c r="B4445" t="s">
        <v>4655</v>
      </c>
      <c r="C4445" t="s">
        <v>23550</v>
      </c>
      <c r="D4445" s="1">
        <v>40319</v>
      </c>
      <c r="E4445" s="2">
        <v>3300000</v>
      </c>
      <c r="F4445" t="s">
        <v>2900</v>
      </c>
      <c r="G4445" s="17" t="str">
        <f>HYPERLINK("https://www.washoecounty.gov/assessor/cama/?command=sales&amp;parid=13024106","3883808")</f>
        <v>3883808</v>
      </c>
      <c r="H4445" t="s">
        <v>294</v>
      </c>
      <c r="I4445">
        <v>0</v>
      </c>
      <c r="J4445">
        <v>0</v>
      </c>
      <c r="K4445" t="s">
        <v>4655</v>
      </c>
      <c r="L4445" t="s">
        <v>4655</v>
      </c>
      <c r="M4445" s="2">
        <v>0</v>
      </c>
      <c r="N4445" t="s">
        <v>4655</v>
      </c>
      <c r="O4445">
        <v>0</v>
      </c>
      <c r="P4445">
        <v>0</v>
      </c>
      <c r="Q4445">
        <v>0</v>
      </c>
      <c r="R4445" t="s">
        <v>4655</v>
      </c>
      <c r="S4445" t="s">
        <v>4655</v>
      </c>
      <c r="T4445" t="s">
        <v>4655</v>
      </c>
      <c r="U4445" t="s">
        <v>4655</v>
      </c>
      <c r="V4445" s="2">
        <v>0</v>
      </c>
      <c r="W4445" t="s">
        <v>4655</v>
      </c>
      <c r="X4445" s="2">
        <v>0</v>
      </c>
      <c r="Y4445">
        <v>24</v>
      </c>
      <c r="Z4445" t="s">
        <v>1776</v>
      </c>
      <c r="AA4445" s="3">
        <v>0.20700183510780301</v>
      </c>
      <c r="AB4445" t="s">
        <v>23551</v>
      </c>
      <c r="AC4445" t="s">
        <v>4575</v>
      </c>
      <c r="AD4445" t="s">
        <v>23552</v>
      </c>
      <c r="AE4445" t="s">
        <v>4655</v>
      </c>
      <c r="AF4445" t="s">
        <v>5206</v>
      </c>
      <c r="AG4445" t="s">
        <v>4564</v>
      </c>
      <c r="AH4445" t="s">
        <v>5275</v>
      </c>
      <c r="AI4445" t="s">
        <v>23551</v>
      </c>
      <c r="AJ4445" t="s">
        <v>4655</v>
      </c>
      <c r="AK4445" t="s">
        <v>4359</v>
      </c>
      <c r="AL4445" s="13" t="s">
        <v>1893</v>
      </c>
      <c r="AM4445" s="14">
        <v>0</v>
      </c>
      <c r="AN4445" s="15" t="s">
        <v>23553</v>
      </c>
    </row>
    <row r="4446" spans="1:40" x14ac:dyDescent="0.3">
      <c r="A4446" s="10" t="str">
        <f>HYPERLINK("http://www.washoecounty.gov/assessor/cama/?parid=130-312-14&amp;CardNumber=1","130-312-14")</f>
        <v>130-312-14</v>
      </c>
      <c r="B4446" t="s">
        <v>4655</v>
      </c>
      <c r="C4446" t="s">
        <v>23554</v>
      </c>
      <c r="D4446" s="1">
        <v>40281</v>
      </c>
      <c r="E4446" s="2">
        <v>10114067</v>
      </c>
      <c r="F4446" t="s">
        <v>3512</v>
      </c>
      <c r="G4446" s="17" t="str">
        <f>HYPERLINK("https://www.washoecounty.gov/assessor/cama/?command=sales&amp;parid=13031214","3870181")</f>
        <v>3870181</v>
      </c>
      <c r="H4446" t="s">
        <v>15834</v>
      </c>
      <c r="I4446">
        <v>1999</v>
      </c>
      <c r="J4446">
        <v>1999</v>
      </c>
      <c r="K4446" t="s">
        <v>4554</v>
      </c>
      <c r="L4446" t="s">
        <v>3044</v>
      </c>
      <c r="M4446" s="2">
        <v>7130</v>
      </c>
      <c r="N4446" t="s">
        <v>5076</v>
      </c>
      <c r="O4446">
        <v>4</v>
      </c>
      <c r="P4446">
        <v>4</v>
      </c>
      <c r="Q4446">
        <v>1</v>
      </c>
      <c r="R4446" t="s">
        <v>2632</v>
      </c>
      <c r="S4446" t="s">
        <v>4135</v>
      </c>
      <c r="T4446" t="s">
        <v>4559</v>
      </c>
      <c r="U4446" t="s">
        <v>4560</v>
      </c>
      <c r="V4446" s="2">
        <v>787</v>
      </c>
      <c r="W4446" t="s">
        <v>4655</v>
      </c>
      <c r="X4446" s="2">
        <v>0</v>
      </c>
      <c r="Y4446">
        <v>20</v>
      </c>
      <c r="Z4446" t="s">
        <v>3884</v>
      </c>
      <c r="AA4446" s="3">
        <v>0.29898989200592002</v>
      </c>
      <c r="AB4446" t="s">
        <v>23555</v>
      </c>
      <c r="AC4446" t="s">
        <v>4575</v>
      </c>
      <c r="AD4446" t="s">
        <v>23258</v>
      </c>
      <c r="AE4446" t="s">
        <v>4655</v>
      </c>
      <c r="AF4446" t="s">
        <v>5206</v>
      </c>
      <c r="AG4446" t="s">
        <v>4564</v>
      </c>
      <c r="AH4446" t="s">
        <v>5275</v>
      </c>
      <c r="AI4446" t="s">
        <v>23555</v>
      </c>
      <c r="AJ4446" t="s">
        <v>4655</v>
      </c>
      <c r="AK4446" t="s">
        <v>23556</v>
      </c>
      <c r="AL4446" s="13" t="s">
        <v>38883</v>
      </c>
      <c r="AM4446" s="14">
        <v>1</v>
      </c>
      <c r="AN4446" s="15" t="s">
        <v>2559</v>
      </c>
    </row>
    <row r="4447" spans="1:40" x14ac:dyDescent="0.3">
      <c r="A4447" s="10" t="str">
        <f>HYPERLINK("http://www.washoecounty.gov/assessor/cama/?parid=130-382-01&amp;CardNumber=1","130-382-01")</f>
        <v>130-382-01</v>
      </c>
      <c r="B4447" t="s">
        <v>4655</v>
      </c>
      <c r="C4447" t="s">
        <v>4789</v>
      </c>
      <c r="D4447" s="1">
        <v>40310</v>
      </c>
      <c r="E4447" s="2">
        <v>810000</v>
      </c>
      <c r="F4447" t="s">
        <v>4567</v>
      </c>
      <c r="G4447" s="17" t="str">
        <f>HYPERLINK("https://www.washoecounty.gov/assessor/cama/?command=sales&amp;parid=13038201","3880588")</f>
        <v>3880588</v>
      </c>
      <c r="H4447" t="s">
        <v>4790</v>
      </c>
      <c r="I4447">
        <v>1995</v>
      </c>
      <c r="J4447">
        <v>1995</v>
      </c>
      <c r="K4447" t="s">
        <v>4554</v>
      </c>
      <c r="L4447" t="s">
        <v>3974</v>
      </c>
      <c r="M4447" s="2">
        <v>2130</v>
      </c>
      <c r="N4447" t="s">
        <v>5106</v>
      </c>
      <c r="O4447">
        <v>3</v>
      </c>
      <c r="P4447">
        <v>2</v>
      </c>
      <c r="Q4447">
        <v>1</v>
      </c>
      <c r="R4447" t="s">
        <v>5205</v>
      </c>
      <c r="S4447" t="s">
        <v>4135</v>
      </c>
      <c r="T4447" t="s">
        <v>4559</v>
      </c>
      <c r="U4447" t="s">
        <v>5631</v>
      </c>
      <c r="V4447" s="2">
        <v>400</v>
      </c>
      <c r="W4447" t="s">
        <v>4655</v>
      </c>
      <c r="X4447" s="2">
        <v>0</v>
      </c>
      <c r="Y4447">
        <v>21</v>
      </c>
      <c r="Z4447" t="s">
        <v>1776</v>
      </c>
      <c r="AA4447" s="3">
        <v>2.5000000372528999E-2</v>
      </c>
      <c r="AB4447" t="s">
        <v>23557</v>
      </c>
      <c r="AC4447" t="s">
        <v>4562</v>
      </c>
      <c r="AD4447" t="s">
        <v>23558</v>
      </c>
      <c r="AE4447" t="s">
        <v>4655</v>
      </c>
      <c r="AF4447" t="s">
        <v>23559</v>
      </c>
      <c r="AG4447" t="s">
        <v>4584</v>
      </c>
      <c r="AH4447" t="s">
        <v>23560</v>
      </c>
      <c r="AI4447" t="s">
        <v>4655</v>
      </c>
      <c r="AJ4447" t="s">
        <v>4791</v>
      </c>
      <c r="AK4447" t="s">
        <v>23561</v>
      </c>
      <c r="AL4447" s="13" t="s">
        <v>1893</v>
      </c>
      <c r="AM4447">
        <v>1</v>
      </c>
      <c r="AN4447" s="15" t="s">
        <v>4792</v>
      </c>
    </row>
    <row r="4448" spans="1:40" x14ac:dyDescent="0.3">
      <c r="A4448" s="10" t="str">
        <f>HYPERLINK("http://www.washoecounty.gov/assessor/cama/?parid=130-382-09&amp;CardNumber=1","130-382-09")</f>
        <v>130-382-09</v>
      </c>
      <c r="B4448" t="s">
        <v>4655</v>
      </c>
      <c r="C4448" t="s">
        <v>4789</v>
      </c>
      <c r="D4448" s="1">
        <v>40478</v>
      </c>
      <c r="E4448" s="2">
        <v>735000</v>
      </c>
      <c r="F4448" t="s">
        <v>4567</v>
      </c>
      <c r="G4448" s="17" t="str">
        <f>HYPERLINK("https://www.washoecounty.gov/assessor/cama/?command=sales&amp;parid=13038209","3937162")</f>
        <v>3937162</v>
      </c>
      <c r="H4448" t="s">
        <v>4790</v>
      </c>
      <c r="I4448">
        <v>1995</v>
      </c>
      <c r="J4448">
        <v>1995</v>
      </c>
      <c r="K4448" t="s">
        <v>4554</v>
      </c>
      <c r="L4448" t="s">
        <v>3974</v>
      </c>
      <c r="M4448" s="2">
        <v>2130</v>
      </c>
      <c r="N4448" t="s">
        <v>5106</v>
      </c>
      <c r="O4448">
        <v>3</v>
      </c>
      <c r="P4448">
        <v>2</v>
      </c>
      <c r="Q4448">
        <v>1</v>
      </c>
      <c r="R4448" t="s">
        <v>5205</v>
      </c>
      <c r="S4448" t="s">
        <v>4135</v>
      </c>
      <c r="T4448" t="s">
        <v>4559</v>
      </c>
      <c r="U4448" t="s">
        <v>5631</v>
      </c>
      <c r="V4448" s="2">
        <v>400</v>
      </c>
      <c r="W4448" t="s">
        <v>4655</v>
      </c>
      <c r="X4448" s="2">
        <v>0</v>
      </c>
      <c r="Y4448">
        <v>21</v>
      </c>
      <c r="Z4448" t="s">
        <v>1776</v>
      </c>
      <c r="AA4448" s="3">
        <v>2.5000000372528999E-2</v>
      </c>
      <c r="AB4448" t="s">
        <v>23562</v>
      </c>
      <c r="AC4448" t="s">
        <v>4575</v>
      </c>
      <c r="AD4448" t="s">
        <v>23563</v>
      </c>
      <c r="AE4448" t="s">
        <v>4655</v>
      </c>
      <c r="AF4448" t="s">
        <v>23564</v>
      </c>
      <c r="AG4448" t="s">
        <v>4584</v>
      </c>
      <c r="AH4448">
        <v>95076</v>
      </c>
      <c r="AI4448" t="s">
        <v>23565</v>
      </c>
      <c r="AJ4448" t="s">
        <v>4791</v>
      </c>
      <c r="AK4448" t="s">
        <v>23566</v>
      </c>
      <c r="AL4448" s="13" t="s">
        <v>1893</v>
      </c>
      <c r="AM4448">
        <v>1</v>
      </c>
      <c r="AN4448" s="15" t="s">
        <v>4792</v>
      </c>
    </row>
    <row r="4449" spans="1:40" x14ac:dyDescent="0.3">
      <c r="A4449" s="10" t="str">
        <f>HYPERLINK("http://www.washoecounty.gov/assessor/cama/?parid=131-012-15&amp;CardNumber=1","131-012-15")</f>
        <v>131-012-15</v>
      </c>
      <c r="B4449" t="s">
        <v>4655</v>
      </c>
      <c r="C4449" t="s">
        <v>23567</v>
      </c>
      <c r="D4449" s="1">
        <v>40368</v>
      </c>
      <c r="E4449" s="2">
        <v>975000</v>
      </c>
      <c r="F4449" t="s">
        <v>3259</v>
      </c>
      <c r="G4449" s="17" t="str">
        <f>HYPERLINK("https://www.washoecounty.gov/assessor/cama/?command=sales&amp;parid=13101215","3899927")</f>
        <v>3899927</v>
      </c>
      <c r="H4449" t="s">
        <v>23568</v>
      </c>
      <c r="I4449">
        <v>1981</v>
      </c>
      <c r="J4449">
        <v>1981</v>
      </c>
      <c r="K4449" t="s">
        <v>4554</v>
      </c>
      <c r="L4449" t="s">
        <v>3974</v>
      </c>
      <c r="M4449" s="2">
        <v>3713</v>
      </c>
      <c r="N4449" t="s">
        <v>1245</v>
      </c>
      <c r="O4449">
        <v>4</v>
      </c>
      <c r="P4449">
        <v>4</v>
      </c>
      <c r="Q4449">
        <v>0</v>
      </c>
      <c r="R4449" t="s">
        <v>4557</v>
      </c>
      <c r="S4449" t="s">
        <v>4135</v>
      </c>
      <c r="T4449" t="s">
        <v>4559</v>
      </c>
      <c r="U4449" t="s">
        <v>4560</v>
      </c>
      <c r="V4449" s="2">
        <v>550</v>
      </c>
      <c r="W4449" t="s">
        <v>4655</v>
      </c>
      <c r="X4449" s="2">
        <v>0</v>
      </c>
      <c r="Y4449">
        <v>20</v>
      </c>
      <c r="Z4449" t="s">
        <v>5508</v>
      </c>
      <c r="AA4449" s="3">
        <v>0.44999998807907099</v>
      </c>
      <c r="AB4449" t="s">
        <v>23569</v>
      </c>
      <c r="AC4449" t="s">
        <v>4562</v>
      </c>
      <c r="AD4449" t="s">
        <v>23570</v>
      </c>
      <c r="AE4449" t="s">
        <v>4655</v>
      </c>
      <c r="AF4449" t="s">
        <v>1039</v>
      </c>
      <c r="AG4449" t="s">
        <v>1766</v>
      </c>
      <c r="AH4449" t="s">
        <v>23571</v>
      </c>
      <c r="AI4449" t="s">
        <v>23572</v>
      </c>
      <c r="AJ4449" t="s">
        <v>4655</v>
      </c>
      <c r="AK4449" t="s">
        <v>23573</v>
      </c>
      <c r="AL4449" s="13" t="s">
        <v>1893</v>
      </c>
      <c r="AM4449" s="14">
        <v>1</v>
      </c>
      <c r="AN4449" s="15" t="s">
        <v>2920</v>
      </c>
    </row>
    <row r="4450" spans="1:40" x14ac:dyDescent="0.3">
      <c r="A4450" s="10" t="str">
        <f>HYPERLINK("http://www.washoecounty.gov/assessor/cama/?parid=131-012-17&amp;CardNumber=1","131-012-17")</f>
        <v>131-012-17</v>
      </c>
      <c r="B4450" t="s">
        <v>4655</v>
      </c>
      <c r="C4450" t="s">
        <v>23574</v>
      </c>
      <c r="D4450" s="1">
        <v>40311</v>
      </c>
      <c r="E4450" s="2">
        <v>1030000</v>
      </c>
      <c r="F4450" t="s">
        <v>3528</v>
      </c>
      <c r="G4450" s="17" t="str">
        <f>HYPERLINK("https://www.washoecounty.gov/assessor/cama/?command=sales&amp;parid=13101217","3881025")</f>
        <v>3881025</v>
      </c>
      <c r="H4450" t="s">
        <v>1264</v>
      </c>
      <c r="I4450">
        <v>1979</v>
      </c>
      <c r="J4450">
        <v>1979</v>
      </c>
      <c r="K4450" t="s">
        <v>4554</v>
      </c>
      <c r="L4450" t="s">
        <v>3974</v>
      </c>
      <c r="M4450" s="2">
        <v>3000</v>
      </c>
      <c r="N4450" t="s">
        <v>5106</v>
      </c>
      <c r="O4450">
        <v>2</v>
      </c>
      <c r="P4450">
        <v>3</v>
      </c>
      <c r="Q4450">
        <v>1</v>
      </c>
      <c r="R4450" t="s">
        <v>4557</v>
      </c>
      <c r="S4450" t="s">
        <v>4135</v>
      </c>
      <c r="T4450" t="s">
        <v>4559</v>
      </c>
      <c r="U4450" t="s">
        <v>4560</v>
      </c>
      <c r="V4450" s="2">
        <v>790</v>
      </c>
      <c r="W4450" t="s">
        <v>4655</v>
      </c>
      <c r="X4450" s="2">
        <v>0</v>
      </c>
      <c r="Y4450">
        <v>17</v>
      </c>
      <c r="Z4450" t="s">
        <v>5508</v>
      </c>
      <c r="AA4450" s="3">
        <v>0.43599632382392883</v>
      </c>
      <c r="AB4450" t="s">
        <v>23575</v>
      </c>
      <c r="AC4450" t="s">
        <v>4575</v>
      </c>
      <c r="AD4450" t="s">
        <v>23574</v>
      </c>
      <c r="AE4450" t="s">
        <v>4655</v>
      </c>
      <c r="AF4450" t="s">
        <v>5206</v>
      </c>
      <c r="AG4450" t="s">
        <v>4564</v>
      </c>
      <c r="AH4450" t="s">
        <v>5207</v>
      </c>
      <c r="AI4450" t="s">
        <v>23576</v>
      </c>
      <c r="AJ4450" t="s">
        <v>4655</v>
      </c>
      <c r="AK4450" t="s">
        <v>23577</v>
      </c>
      <c r="AL4450" s="13" t="s">
        <v>1893</v>
      </c>
      <c r="AM4450">
        <v>1</v>
      </c>
      <c r="AN4450" s="15" t="s">
        <v>2920</v>
      </c>
    </row>
    <row r="4451" spans="1:40" x14ac:dyDescent="0.3">
      <c r="A4451" s="10" t="str">
        <f>HYPERLINK("http://www.washoecounty.gov/assessor/cama/?parid=131-012-20&amp;CardNumber=1","131-012-20")</f>
        <v>131-012-20</v>
      </c>
      <c r="B4451" t="s">
        <v>4655</v>
      </c>
      <c r="C4451" t="s">
        <v>23578</v>
      </c>
      <c r="D4451" s="1">
        <v>40534</v>
      </c>
      <c r="E4451" s="2">
        <v>1000000</v>
      </c>
      <c r="F4451" t="s">
        <v>4567</v>
      </c>
      <c r="G4451" s="17" t="str">
        <f>HYPERLINK("https://www.washoecounty.gov/assessor/cama/?command=sales&amp;parid=13101220","3956221")</f>
        <v>3956221</v>
      </c>
      <c r="H4451" t="s">
        <v>23568</v>
      </c>
      <c r="I4451">
        <v>1969</v>
      </c>
      <c r="J4451">
        <v>1971</v>
      </c>
      <c r="K4451" t="s">
        <v>4554</v>
      </c>
      <c r="L4451" t="s">
        <v>4555</v>
      </c>
      <c r="M4451" s="2">
        <v>3435</v>
      </c>
      <c r="N4451" t="s">
        <v>1245</v>
      </c>
      <c r="O4451">
        <v>5</v>
      </c>
      <c r="P4451">
        <v>4</v>
      </c>
      <c r="Q4451">
        <v>0</v>
      </c>
      <c r="R4451" t="s">
        <v>4557</v>
      </c>
      <c r="S4451" t="s">
        <v>4135</v>
      </c>
      <c r="T4451" t="s">
        <v>4143</v>
      </c>
      <c r="U4451" t="s">
        <v>4560</v>
      </c>
      <c r="V4451" s="2">
        <v>624</v>
      </c>
      <c r="W4451" t="s">
        <v>3201</v>
      </c>
      <c r="X4451" s="2">
        <v>2714</v>
      </c>
      <c r="Y4451">
        <v>20</v>
      </c>
      <c r="Z4451" t="s">
        <v>5508</v>
      </c>
      <c r="AA4451" s="3">
        <v>0.60000002384185702</v>
      </c>
      <c r="AB4451" t="s">
        <v>23579</v>
      </c>
      <c r="AC4451" t="s">
        <v>4575</v>
      </c>
      <c r="AD4451" t="s">
        <v>23580</v>
      </c>
      <c r="AE4451" t="s">
        <v>4655</v>
      </c>
      <c r="AF4451" t="s">
        <v>4563</v>
      </c>
      <c r="AG4451" t="s">
        <v>4564</v>
      </c>
      <c r="AH4451">
        <v>89509</v>
      </c>
      <c r="AI4451" t="s">
        <v>23581</v>
      </c>
      <c r="AJ4451" t="s">
        <v>4655</v>
      </c>
      <c r="AK4451" t="s">
        <v>23582</v>
      </c>
      <c r="AL4451" s="13" t="s">
        <v>1893</v>
      </c>
      <c r="AM4451">
        <v>1</v>
      </c>
      <c r="AN4451" s="15" t="s">
        <v>2920</v>
      </c>
    </row>
    <row r="4452" spans="1:40" x14ac:dyDescent="0.3">
      <c r="A4452" s="10" t="str">
        <f>HYPERLINK("http://www.washoecounty.gov/assessor/cama/?parid=131-012-43&amp;CardNumber=1","131-012-43")</f>
        <v>131-012-43</v>
      </c>
      <c r="B4452" t="s">
        <v>4655</v>
      </c>
      <c r="C4452" t="s">
        <v>23583</v>
      </c>
      <c r="D4452" s="1">
        <v>40541</v>
      </c>
      <c r="E4452" s="2">
        <v>1795000</v>
      </c>
      <c r="F4452" t="s">
        <v>4567</v>
      </c>
      <c r="G4452" s="17" t="str">
        <f>HYPERLINK("https://www.washoecounty.gov/assessor/cama/?command=sales&amp;parid=13101243","3958517")</f>
        <v>3958517</v>
      </c>
      <c r="H4452" t="s">
        <v>1264</v>
      </c>
      <c r="I4452">
        <v>1979</v>
      </c>
      <c r="J4452">
        <v>1984</v>
      </c>
      <c r="K4452" t="s">
        <v>4554</v>
      </c>
      <c r="L4452" t="s">
        <v>3974</v>
      </c>
      <c r="M4452" s="2">
        <v>5780</v>
      </c>
      <c r="N4452" t="s">
        <v>2008</v>
      </c>
      <c r="O4452">
        <v>4</v>
      </c>
      <c r="P4452">
        <v>4</v>
      </c>
      <c r="Q4452">
        <v>1</v>
      </c>
      <c r="R4452" t="s">
        <v>4557</v>
      </c>
      <c r="S4452" t="s">
        <v>4135</v>
      </c>
      <c r="T4452" t="s">
        <v>4559</v>
      </c>
      <c r="U4452" t="s">
        <v>4560</v>
      </c>
      <c r="V4452" s="2">
        <v>864</v>
      </c>
      <c r="W4452" t="s">
        <v>4655</v>
      </c>
      <c r="X4452" s="2">
        <v>0</v>
      </c>
      <c r="Y4452">
        <v>20</v>
      </c>
      <c r="Z4452" t="s">
        <v>5508</v>
      </c>
      <c r="AA4452" s="3">
        <v>0.54600548744201605</v>
      </c>
      <c r="AB4452" t="s">
        <v>23584</v>
      </c>
      <c r="AC4452" t="s">
        <v>4562</v>
      </c>
      <c r="AD4452" t="s">
        <v>23585</v>
      </c>
      <c r="AE4452" t="s">
        <v>4655</v>
      </c>
      <c r="AF4452" t="s">
        <v>23586</v>
      </c>
      <c r="AG4452" t="s">
        <v>23587</v>
      </c>
      <c r="AH4452">
        <v>6032</v>
      </c>
      <c r="AI4452" t="s">
        <v>23588</v>
      </c>
      <c r="AJ4452" t="s">
        <v>4655</v>
      </c>
      <c r="AK4452" t="s">
        <v>23589</v>
      </c>
      <c r="AL4452" s="13" t="s">
        <v>1893</v>
      </c>
      <c r="AM4452">
        <v>1</v>
      </c>
      <c r="AN4452" s="15" t="s">
        <v>2920</v>
      </c>
    </row>
    <row r="4453" spans="1:40" x14ac:dyDescent="0.3">
      <c r="A4453" s="10" t="str">
        <f>HYPERLINK("http://www.washoecounty.gov/assessor/cama/?parid=131-012-48&amp;CardNumber=1","131-012-48")</f>
        <v>131-012-48</v>
      </c>
      <c r="B4453" t="s">
        <v>4655</v>
      </c>
      <c r="C4453" t="s">
        <v>23590</v>
      </c>
      <c r="D4453" s="1">
        <v>40438</v>
      </c>
      <c r="E4453" s="2">
        <v>845000</v>
      </c>
      <c r="F4453" t="s">
        <v>3259</v>
      </c>
      <c r="G4453" s="17" t="str">
        <f>HYPERLINK("https://www.washoecounty.gov/assessor/cama/?command=sales&amp;parid=13101248","3923630")</f>
        <v>3923630</v>
      </c>
      <c r="H4453" t="s">
        <v>1264</v>
      </c>
      <c r="I4453">
        <v>1991</v>
      </c>
      <c r="J4453">
        <v>1991</v>
      </c>
      <c r="K4453" t="s">
        <v>4554</v>
      </c>
      <c r="L4453" t="s">
        <v>3974</v>
      </c>
      <c r="M4453" s="2">
        <v>2500</v>
      </c>
      <c r="N4453" t="s">
        <v>1245</v>
      </c>
      <c r="O4453">
        <v>3</v>
      </c>
      <c r="P4453">
        <v>2</v>
      </c>
      <c r="Q4453">
        <v>1</v>
      </c>
      <c r="R4453" t="s">
        <v>4557</v>
      </c>
      <c r="S4453" t="s">
        <v>4135</v>
      </c>
      <c r="T4453" t="s">
        <v>3888</v>
      </c>
      <c r="U4453" t="s">
        <v>5631</v>
      </c>
      <c r="V4453" s="2">
        <v>528</v>
      </c>
      <c r="W4453" t="s">
        <v>4655</v>
      </c>
      <c r="X4453" s="2">
        <v>0</v>
      </c>
      <c r="Y4453">
        <v>20</v>
      </c>
      <c r="Z4453" t="s">
        <v>5508</v>
      </c>
      <c r="AA4453" s="3">
        <v>0.44800275564193698</v>
      </c>
      <c r="AB4453" t="s">
        <v>23591</v>
      </c>
      <c r="AC4453" t="s">
        <v>4562</v>
      </c>
      <c r="AD4453" t="s">
        <v>23590</v>
      </c>
      <c r="AE4453" t="s">
        <v>4655</v>
      </c>
      <c r="AF4453" t="s">
        <v>5206</v>
      </c>
      <c r="AG4453" t="s">
        <v>4564</v>
      </c>
      <c r="AH4453" t="s">
        <v>5207</v>
      </c>
      <c r="AI4453" t="s">
        <v>23592</v>
      </c>
      <c r="AJ4453" t="s">
        <v>4655</v>
      </c>
      <c r="AK4453" t="s">
        <v>23593</v>
      </c>
      <c r="AL4453" s="13" t="s">
        <v>1893</v>
      </c>
      <c r="AM4453">
        <v>1</v>
      </c>
      <c r="AN4453" s="15" t="s">
        <v>2913</v>
      </c>
    </row>
    <row r="4454" spans="1:40" x14ac:dyDescent="0.3">
      <c r="A4454" s="10" t="str">
        <f>HYPERLINK("http://www.washoecounty.gov/assessor/cama/?parid=131-013-03&amp;CardNumber=1","131-013-03")</f>
        <v>131-013-03</v>
      </c>
      <c r="B4454" t="s">
        <v>4655</v>
      </c>
      <c r="C4454" t="s">
        <v>23594</v>
      </c>
      <c r="D4454" s="1">
        <v>40541</v>
      </c>
      <c r="E4454" s="2">
        <v>1125000</v>
      </c>
      <c r="F4454" t="s">
        <v>4567</v>
      </c>
      <c r="G4454" s="17" t="str">
        <f>HYPERLINK("https://www.washoecounty.gov/assessor/cama/?command=sales&amp;parid=13101303","3958559")</f>
        <v>3958559</v>
      </c>
      <c r="H4454" t="s">
        <v>1264</v>
      </c>
      <c r="I4454">
        <v>1978</v>
      </c>
      <c r="J4454">
        <v>1986</v>
      </c>
      <c r="K4454" t="s">
        <v>4554</v>
      </c>
      <c r="L4454" t="s">
        <v>4555</v>
      </c>
      <c r="M4454" s="2">
        <v>3449</v>
      </c>
      <c r="N4454" t="s">
        <v>1245</v>
      </c>
      <c r="O4454">
        <v>3</v>
      </c>
      <c r="P4454">
        <v>2</v>
      </c>
      <c r="Q4454">
        <v>1</v>
      </c>
      <c r="R4454" t="s">
        <v>4557</v>
      </c>
      <c r="S4454" t="s">
        <v>4570</v>
      </c>
      <c r="T4454" t="s">
        <v>4559</v>
      </c>
      <c r="U4454" t="s">
        <v>4560</v>
      </c>
      <c r="V4454" s="2">
        <v>792</v>
      </c>
      <c r="W4454" t="s">
        <v>4655</v>
      </c>
      <c r="X4454" s="2">
        <v>0</v>
      </c>
      <c r="Y4454">
        <v>20</v>
      </c>
      <c r="Z4454" t="s">
        <v>5508</v>
      </c>
      <c r="AA4454" s="3">
        <v>0.426010102033615</v>
      </c>
      <c r="AB4454" t="s">
        <v>23595</v>
      </c>
      <c r="AC4454" t="s">
        <v>4562</v>
      </c>
      <c r="AD4454" t="s">
        <v>23594</v>
      </c>
      <c r="AE4454" t="s">
        <v>4655</v>
      </c>
      <c r="AF4454" t="s">
        <v>5206</v>
      </c>
      <c r="AG4454" t="s">
        <v>4564</v>
      </c>
      <c r="AH4454" t="s">
        <v>5207</v>
      </c>
      <c r="AI4454" t="s">
        <v>23596</v>
      </c>
      <c r="AJ4454" t="s">
        <v>4655</v>
      </c>
      <c r="AK4454" t="s">
        <v>23597</v>
      </c>
      <c r="AL4454" s="13" t="s">
        <v>1893</v>
      </c>
      <c r="AM4454" s="14">
        <v>1</v>
      </c>
      <c r="AN4454" s="15" t="s">
        <v>23598</v>
      </c>
    </row>
    <row r="4455" spans="1:40" x14ac:dyDescent="0.3">
      <c r="A4455" s="10" t="str">
        <f>HYPERLINK("http://www.washoecounty.gov/assessor/cama/?parid=131-013-07&amp;CardNumber=1","131-013-07")</f>
        <v>131-013-07</v>
      </c>
      <c r="B4455" t="s">
        <v>4655</v>
      </c>
      <c r="C4455" t="s">
        <v>23599</v>
      </c>
      <c r="D4455" s="1">
        <v>40477</v>
      </c>
      <c r="E4455" s="2">
        <v>1650000</v>
      </c>
      <c r="F4455" t="s">
        <v>3259</v>
      </c>
      <c r="G4455" s="17" t="str">
        <f>HYPERLINK("https://www.washoecounty.gov/assessor/cama/?command=sales&amp;parid=13101307","3936422")</f>
        <v>3936422</v>
      </c>
      <c r="H4455" t="s">
        <v>1264</v>
      </c>
      <c r="I4455">
        <v>1979</v>
      </c>
      <c r="J4455">
        <v>1991</v>
      </c>
      <c r="K4455" t="s">
        <v>4554</v>
      </c>
      <c r="L4455" t="s">
        <v>3974</v>
      </c>
      <c r="M4455" s="2">
        <v>4543</v>
      </c>
      <c r="N4455" t="s">
        <v>3457</v>
      </c>
      <c r="O4455">
        <v>5</v>
      </c>
      <c r="P4455">
        <v>4</v>
      </c>
      <c r="Q4455">
        <v>1</v>
      </c>
      <c r="R4455" t="s">
        <v>5630</v>
      </c>
      <c r="S4455" t="s">
        <v>4135</v>
      </c>
      <c r="T4455" t="s">
        <v>4559</v>
      </c>
      <c r="U4455" t="s">
        <v>5631</v>
      </c>
      <c r="V4455" s="2">
        <v>1172</v>
      </c>
      <c r="W4455" t="s">
        <v>4655</v>
      </c>
      <c r="X4455" s="2">
        <v>0</v>
      </c>
      <c r="Y4455">
        <v>20</v>
      </c>
      <c r="Z4455" t="s">
        <v>5508</v>
      </c>
      <c r="AA4455" s="3">
        <v>0.49499541521072399</v>
      </c>
      <c r="AB4455" t="s">
        <v>23309</v>
      </c>
      <c r="AC4455" t="s">
        <v>4575</v>
      </c>
      <c r="AD4455" t="s">
        <v>23600</v>
      </c>
      <c r="AE4455" t="s">
        <v>4655</v>
      </c>
      <c r="AF4455" t="s">
        <v>23601</v>
      </c>
      <c r="AG4455" t="s">
        <v>15935</v>
      </c>
      <c r="AH4455" t="s">
        <v>23602</v>
      </c>
      <c r="AI4455" t="s">
        <v>23603</v>
      </c>
      <c r="AJ4455" t="s">
        <v>4655</v>
      </c>
      <c r="AK4455" t="s">
        <v>23604</v>
      </c>
      <c r="AL4455" s="13" t="s">
        <v>1893</v>
      </c>
      <c r="AM4455">
        <v>1</v>
      </c>
      <c r="AN4455" s="15" t="s">
        <v>23598</v>
      </c>
    </row>
    <row r="4456" spans="1:40" x14ac:dyDescent="0.3">
      <c r="A4456" s="10" t="str">
        <f>HYPERLINK("http://www.washoecounty.gov/assessor/cama/?parid=131-013-10&amp;CardNumber=1","131-013-10")</f>
        <v>131-013-10</v>
      </c>
      <c r="B4456" t="s">
        <v>4655</v>
      </c>
      <c r="C4456" t="s">
        <v>23605</v>
      </c>
      <c r="D4456" s="1">
        <v>40518</v>
      </c>
      <c r="E4456" s="2">
        <v>850000</v>
      </c>
      <c r="F4456" t="s">
        <v>3259</v>
      </c>
      <c r="G4456" s="17" t="str">
        <f>HYPERLINK("https://www.washoecounty.gov/assessor/cama/?command=sales&amp;parid=13101310","3949739")</f>
        <v>3949739</v>
      </c>
      <c r="H4456" t="s">
        <v>1264</v>
      </c>
      <c r="I4456">
        <v>1977</v>
      </c>
      <c r="J4456">
        <v>1978</v>
      </c>
      <c r="K4456" t="s">
        <v>4554</v>
      </c>
      <c r="L4456" t="s">
        <v>3974</v>
      </c>
      <c r="M4456" s="2">
        <v>2534</v>
      </c>
      <c r="N4456" t="s">
        <v>3887</v>
      </c>
      <c r="O4456">
        <v>3</v>
      </c>
      <c r="P4456">
        <v>3</v>
      </c>
      <c r="Q4456">
        <v>0</v>
      </c>
      <c r="R4456" t="s">
        <v>5205</v>
      </c>
      <c r="S4456" t="s">
        <v>4135</v>
      </c>
      <c r="T4456" t="s">
        <v>4559</v>
      </c>
      <c r="U4456" t="s">
        <v>5631</v>
      </c>
      <c r="V4456" s="2">
        <v>492</v>
      </c>
      <c r="W4456" t="s">
        <v>4655</v>
      </c>
      <c r="X4456" s="2">
        <v>0</v>
      </c>
      <c r="Y4456">
        <v>20</v>
      </c>
      <c r="Z4456" t="s">
        <v>5508</v>
      </c>
      <c r="AA4456" s="3">
        <v>0.45700183510780301</v>
      </c>
      <c r="AB4456" t="s">
        <v>23606</v>
      </c>
      <c r="AC4456" t="s">
        <v>4575</v>
      </c>
      <c r="AD4456" t="s">
        <v>23607</v>
      </c>
      <c r="AE4456" t="s">
        <v>4655</v>
      </c>
      <c r="AF4456" t="s">
        <v>2359</v>
      </c>
      <c r="AG4456" t="s">
        <v>4584</v>
      </c>
      <c r="AH4456">
        <v>94062</v>
      </c>
      <c r="AI4456" t="s">
        <v>23608</v>
      </c>
      <c r="AJ4456" t="s">
        <v>4655</v>
      </c>
      <c r="AK4456" t="s">
        <v>23609</v>
      </c>
      <c r="AL4456" s="13" t="s">
        <v>1893</v>
      </c>
      <c r="AM4456">
        <v>1</v>
      </c>
      <c r="AN4456" s="15" t="s">
        <v>23598</v>
      </c>
    </row>
    <row r="4457" spans="1:40" x14ac:dyDescent="0.3">
      <c r="A4457" s="10" t="str">
        <f>HYPERLINK("http://www.washoecounty.gov/assessor/cama/?parid=131-014-01&amp;CardNumber=1","131-014-01")</f>
        <v>131-014-01</v>
      </c>
      <c r="B4457" t="s">
        <v>4655</v>
      </c>
      <c r="C4457" t="s">
        <v>23610</v>
      </c>
      <c r="D4457" s="1">
        <v>40301</v>
      </c>
      <c r="E4457" s="2">
        <v>1300000</v>
      </c>
      <c r="F4457" t="s">
        <v>3259</v>
      </c>
      <c r="G4457" s="17" t="str">
        <f>HYPERLINK("https://www.washoecounty.gov/assessor/cama/?command=sales&amp;parid=13101401","3877539")</f>
        <v>3877539</v>
      </c>
      <c r="H4457" t="s">
        <v>23611</v>
      </c>
      <c r="I4457">
        <v>1996</v>
      </c>
      <c r="J4457">
        <v>1996</v>
      </c>
      <c r="K4457" t="s">
        <v>4554</v>
      </c>
      <c r="L4457" t="s">
        <v>3974</v>
      </c>
      <c r="M4457" s="2">
        <v>4065</v>
      </c>
      <c r="N4457" t="s">
        <v>2012</v>
      </c>
      <c r="O4457">
        <v>5</v>
      </c>
      <c r="P4457">
        <v>4</v>
      </c>
      <c r="Q4457">
        <v>0</v>
      </c>
      <c r="R4457" t="s">
        <v>4557</v>
      </c>
      <c r="S4457" t="s">
        <v>4135</v>
      </c>
      <c r="T4457" t="s">
        <v>4559</v>
      </c>
      <c r="U4457" t="s">
        <v>5631</v>
      </c>
      <c r="V4457" s="2">
        <v>1001</v>
      </c>
      <c r="W4457" t="s">
        <v>4655</v>
      </c>
      <c r="X4457" s="2">
        <v>0</v>
      </c>
      <c r="Y4457">
        <v>20</v>
      </c>
      <c r="Z4457" t="s">
        <v>1776</v>
      </c>
      <c r="AA4457" s="3">
        <v>0.5</v>
      </c>
      <c r="AB4457" t="s">
        <v>23612</v>
      </c>
      <c r="AC4457" t="s">
        <v>4575</v>
      </c>
      <c r="AD4457" t="s">
        <v>23613</v>
      </c>
      <c r="AE4457" t="s">
        <v>23614</v>
      </c>
      <c r="AF4457" t="s">
        <v>23615</v>
      </c>
      <c r="AG4457" t="s">
        <v>4584</v>
      </c>
      <c r="AH4457">
        <v>92007</v>
      </c>
      <c r="AI4457" t="s">
        <v>23612</v>
      </c>
      <c r="AJ4457" t="s">
        <v>23616</v>
      </c>
      <c r="AK4457" t="s">
        <v>23611</v>
      </c>
      <c r="AL4457" s="13" t="s">
        <v>1893</v>
      </c>
      <c r="AM4457">
        <v>1</v>
      </c>
      <c r="AN4457" s="15" t="s">
        <v>23598</v>
      </c>
    </row>
    <row r="4458" spans="1:40" x14ac:dyDescent="0.3">
      <c r="A4458" s="10" t="str">
        <f>HYPERLINK("http://www.washoecounty.gov/assessor/cama/?parid=131-021-03&amp;CardNumber=1","131-021-03")</f>
        <v>131-021-03</v>
      </c>
      <c r="B4458" t="s">
        <v>4655</v>
      </c>
      <c r="C4458" t="s">
        <v>23617</v>
      </c>
      <c r="D4458" s="1">
        <v>40416</v>
      </c>
      <c r="E4458" s="2">
        <v>28500</v>
      </c>
      <c r="F4458" t="s">
        <v>3528</v>
      </c>
      <c r="G4458" s="17" t="str">
        <f>HYPERLINK("https://www.washoecounty.gov/assessor/cama/?command=sales&amp;parid=13102103","3915950")</f>
        <v>3915950</v>
      </c>
      <c r="H4458" t="s">
        <v>23618</v>
      </c>
      <c r="I4458">
        <v>0</v>
      </c>
      <c r="J4458">
        <v>0</v>
      </c>
      <c r="K4458" t="s">
        <v>4655</v>
      </c>
      <c r="L4458" t="s">
        <v>4655</v>
      </c>
      <c r="M4458" s="2">
        <v>0</v>
      </c>
      <c r="N4458" t="s">
        <v>4655</v>
      </c>
      <c r="O4458">
        <v>0</v>
      </c>
      <c r="P4458">
        <v>0</v>
      </c>
      <c r="Q4458">
        <v>0</v>
      </c>
      <c r="R4458" t="s">
        <v>4655</v>
      </c>
      <c r="S4458" t="s">
        <v>4655</v>
      </c>
      <c r="T4458" t="s">
        <v>4655</v>
      </c>
      <c r="U4458" t="s">
        <v>4655</v>
      </c>
      <c r="V4458" s="2">
        <v>0</v>
      </c>
      <c r="W4458" t="s">
        <v>4655</v>
      </c>
      <c r="X4458" s="2">
        <v>0</v>
      </c>
      <c r="Y4458">
        <v>17</v>
      </c>
      <c r="Z4458" t="s">
        <v>1776</v>
      </c>
      <c r="AA4458" s="3">
        <v>0.10000000149011599</v>
      </c>
      <c r="AB4458" t="s">
        <v>23619</v>
      </c>
      <c r="AC4458" t="s">
        <v>4562</v>
      </c>
      <c r="AD4458" t="s">
        <v>22594</v>
      </c>
      <c r="AE4458" t="s">
        <v>4655</v>
      </c>
      <c r="AF4458" t="s">
        <v>2594</v>
      </c>
      <c r="AG4458" t="s">
        <v>4584</v>
      </c>
      <c r="AH4458" t="s">
        <v>2178</v>
      </c>
      <c r="AI4458" t="s">
        <v>23620</v>
      </c>
      <c r="AJ4458" t="s">
        <v>4655</v>
      </c>
      <c r="AK4458" t="s">
        <v>23621</v>
      </c>
      <c r="AL4458" s="13" t="s">
        <v>1893</v>
      </c>
      <c r="AM4458">
        <v>0</v>
      </c>
      <c r="AN4458" s="15" t="s">
        <v>3708</v>
      </c>
    </row>
    <row r="4459" spans="1:40" x14ac:dyDescent="0.3">
      <c r="A4459" s="10" t="str">
        <f>HYPERLINK("http://www.washoecounty.gov/assessor/cama/?parid=131-021-11&amp;CardNumber=1","131-021-11")</f>
        <v>131-021-11</v>
      </c>
      <c r="B4459" t="s">
        <v>4655</v>
      </c>
      <c r="C4459" t="s">
        <v>23617</v>
      </c>
      <c r="D4459" s="1">
        <v>40217</v>
      </c>
      <c r="E4459" s="2">
        <v>310000</v>
      </c>
      <c r="F4459" t="s">
        <v>4553</v>
      </c>
      <c r="G4459" s="17" t="str">
        <f>HYPERLINK("https://www.washoecounty.gov/assessor/cama/?command=sales&amp;parid=13102111","3846872")</f>
        <v>3846872</v>
      </c>
      <c r="H4459" t="s">
        <v>23618</v>
      </c>
      <c r="I4459">
        <v>1969</v>
      </c>
      <c r="J4459">
        <v>1969</v>
      </c>
      <c r="K4459" t="s">
        <v>4554</v>
      </c>
      <c r="L4459" t="s">
        <v>3974</v>
      </c>
      <c r="M4459" s="2">
        <v>1862</v>
      </c>
      <c r="N4459" t="s">
        <v>4048</v>
      </c>
      <c r="O4459">
        <v>3</v>
      </c>
      <c r="P4459">
        <v>2</v>
      </c>
      <c r="Q4459">
        <v>1</v>
      </c>
      <c r="R4459" t="s">
        <v>4676</v>
      </c>
      <c r="S4459" t="s">
        <v>4135</v>
      </c>
      <c r="T4459" t="s">
        <v>4899</v>
      </c>
      <c r="U4459" t="s">
        <v>4655</v>
      </c>
      <c r="V4459" s="2">
        <v>0</v>
      </c>
      <c r="W4459" t="s">
        <v>4655</v>
      </c>
      <c r="X4459" s="2">
        <v>0</v>
      </c>
      <c r="Y4459">
        <v>21</v>
      </c>
      <c r="Z4459" t="s">
        <v>1776</v>
      </c>
      <c r="AA4459" s="3">
        <v>1.00000004749745E-3</v>
      </c>
      <c r="AB4459" t="s">
        <v>3749</v>
      </c>
      <c r="AC4459" t="s">
        <v>4562</v>
      </c>
      <c r="AD4459" t="s">
        <v>3750</v>
      </c>
      <c r="AE4459" t="s">
        <v>4655</v>
      </c>
      <c r="AF4459" t="s">
        <v>4563</v>
      </c>
      <c r="AG4459" t="s">
        <v>4564</v>
      </c>
      <c r="AH4459">
        <v>89511</v>
      </c>
      <c r="AI4459" t="s">
        <v>23622</v>
      </c>
      <c r="AJ4459" t="s">
        <v>4655</v>
      </c>
      <c r="AK4459" t="s">
        <v>23623</v>
      </c>
      <c r="AL4459" s="13" t="s">
        <v>1893</v>
      </c>
      <c r="AM4459" s="14">
        <v>1</v>
      </c>
      <c r="AN4459" s="15" t="s">
        <v>3751</v>
      </c>
    </row>
    <row r="4460" spans="1:40" x14ac:dyDescent="0.3">
      <c r="A4460" s="10" t="str">
        <f>HYPERLINK("http://www.washoecounty.gov/assessor/cama/?parid=131-021-13&amp;CardNumber=1","131-021-13")</f>
        <v>131-021-13</v>
      </c>
      <c r="B4460" t="s">
        <v>4655</v>
      </c>
      <c r="C4460" t="s">
        <v>23617</v>
      </c>
      <c r="D4460" s="1">
        <v>40198</v>
      </c>
      <c r="E4460" s="2">
        <v>321000</v>
      </c>
      <c r="F4460" t="s">
        <v>4567</v>
      </c>
      <c r="G4460" s="17" t="str">
        <f>HYPERLINK("https://www.washoecounty.gov/assessor/cama/?command=sales&amp;parid=13102113","3840873")</f>
        <v>3840873</v>
      </c>
      <c r="H4460" t="s">
        <v>23618</v>
      </c>
      <c r="I4460">
        <v>1969</v>
      </c>
      <c r="J4460">
        <v>1969</v>
      </c>
      <c r="K4460" t="s">
        <v>4554</v>
      </c>
      <c r="L4460" t="s">
        <v>3974</v>
      </c>
      <c r="M4460" s="2">
        <v>1596</v>
      </c>
      <c r="N4460" t="s">
        <v>4048</v>
      </c>
      <c r="O4460">
        <v>3</v>
      </c>
      <c r="P4460">
        <v>2</v>
      </c>
      <c r="Q4460">
        <v>0</v>
      </c>
      <c r="R4460" t="s">
        <v>4676</v>
      </c>
      <c r="S4460" t="s">
        <v>4135</v>
      </c>
      <c r="T4460" t="s">
        <v>4899</v>
      </c>
      <c r="U4460" t="s">
        <v>4655</v>
      </c>
      <c r="V4460" s="2">
        <v>0</v>
      </c>
      <c r="W4460" t="s">
        <v>4571</v>
      </c>
      <c r="X4460" s="2">
        <v>665</v>
      </c>
      <c r="Y4460">
        <v>21</v>
      </c>
      <c r="Z4460" t="s">
        <v>1776</v>
      </c>
      <c r="AA4460" s="3">
        <v>1.00000004749745E-3</v>
      </c>
      <c r="AB4460" t="s">
        <v>23624</v>
      </c>
      <c r="AC4460" t="s">
        <v>4562</v>
      </c>
      <c r="AD4460" t="s">
        <v>23625</v>
      </c>
      <c r="AE4460" t="s">
        <v>4655</v>
      </c>
      <c r="AF4460" t="s">
        <v>23626</v>
      </c>
      <c r="AG4460" t="s">
        <v>4584</v>
      </c>
      <c r="AH4460" t="s">
        <v>8816</v>
      </c>
      <c r="AI4460" t="s">
        <v>23627</v>
      </c>
      <c r="AJ4460" t="s">
        <v>4655</v>
      </c>
      <c r="AK4460" t="s">
        <v>23628</v>
      </c>
      <c r="AL4460" s="13" t="s">
        <v>1893</v>
      </c>
      <c r="AM4460" s="14">
        <v>1</v>
      </c>
      <c r="AN4460" s="15" t="s">
        <v>3751</v>
      </c>
    </row>
    <row r="4461" spans="1:40" x14ac:dyDescent="0.3">
      <c r="A4461" s="10" t="str">
        <f>HYPERLINK("http://www.washoecounty.gov/assessor/cama/?parid=131-022-09&amp;CardNumber=1","131-022-09")</f>
        <v>131-022-09</v>
      </c>
      <c r="B4461" t="s">
        <v>4655</v>
      </c>
      <c r="C4461" t="s">
        <v>23617</v>
      </c>
      <c r="D4461" s="1">
        <v>40353</v>
      </c>
      <c r="E4461" s="2">
        <v>310000</v>
      </c>
      <c r="F4461" t="s">
        <v>4567</v>
      </c>
      <c r="G4461" s="17" t="str">
        <f>HYPERLINK("https://www.washoecounty.gov/assessor/cama/?command=sales&amp;parid=13102209","3894967")</f>
        <v>3894967</v>
      </c>
      <c r="H4461" t="s">
        <v>23618</v>
      </c>
      <c r="I4461">
        <v>1970</v>
      </c>
      <c r="J4461">
        <v>1970</v>
      </c>
      <c r="K4461" t="s">
        <v>4554</v>
      </c>
      <c r="L4461" t="s">
        <v>3974</v>
      </c>
      <c r="M4461" s="2">
        <v>1440</v>
      </c>
      <c r="N4461" t="s">
        <v>4048</v>
      </c>
      <c r="O4461">
        <v>3</v>
      </c>
      <c r="P4461">
        <v>2</v>
      </c>
      <c r="Q4461">
        <v>1</v>
      </c>
      <c r="R4461" t="s">
        <v>4676</v>
      </c>
      <c r="S4461" t="s">
        <v>4135</v>
      </c>
      <c r="T4461" t="s">
        <v>4899</v>
      </c>
      <c r="U4461" t="s">
        <v>4655</v>
      </c>
      <c r="V4461" s="2">
        <v>0</v>
      </c>
      <c r="W4461" t="s">
        <v>4655</v>
      </c>
      <c r="X4461" s="2">
        <v>0</v>
      </c>
      <c r="Y4461">
        <v>21</v>
      </c>
      <c r="Z4461" t="s">
        <v>1776</v>
      </c>
      <c r="AA4461" s="3">
        <v>1.00000004749745E-3</v>
      </c>
      <c r="AB4461" t="s">
        <v>23629</v>
      </c>
      <c r="AC4461" t="s">
        <v>4562</v>
      </c>
      <c r="AD4461" t="s">
        <v>23630</v>
      </c>
      <c r="AE4461" t="s">
        <v>4655</v>
      </c>
      <c r="AF4461" t="s">
        <v>203</v>
      </c>
      <c r="AG4461" t="s">
        <v>762</v>
      </c>
      <c r="AH4461">
        <v>77079</v>
      </c>
      <c r="AI4461" t="s">
        <v>23631</v>
      </c>
      <c r="AJ4461" t="s">
        <v>4655</v>
      </c>
      <c r="AK4461" t="s">
        <v>23632</v>
      </c>
      <c r="AL4461" s="13" t="s">
        <v>1893</v>
      </c>
      <c r="AM4461">
        <v>1</v>
      </c>
      <c r="AN4461" s="15" t="s">
        <v>3751</v>
      </c>
    </row>
    <row r="4462" spans="1:40" x14ac:dyDescent="0.3">
      <c r="A4462" s="10" t="str">
        <f>HYPERLINK("http://www.washoecounty.gov/assessor/cama/?parid=131-031-15&amp;CardNumber=1","131-031-15")</f>
        <v>131-031-15</v>
      </c>
      <c r="B4462" t="s">
        <v>4655</v>
      </c>
      <c r="C4462" t="s">
        <v>23633</v>
      </c>
      <c r="D4462" s="1">
        <v>40417</v>
      </c>
      <c r="E4462" s="2">
        <v>343000</v>
      </c>
      <c r="F4462" t="s">
        <v>4567</v>
      </c>
      <c r="G4462" s="17" t="str">
        <f>HYPERLINK("https://www.washoecounty.gov/assessor/cama/?command=sales&amp;parid=13103115","3916504")</f>
        <v>3916504</v>
      </c>
      <c r="H4462" t="s">
        <v>23634</v>
      </c>
      <c r="I4462">
        <v>1980</v>
      </c>
      <c r="J4462">
        <v>1980</v>
      </c>
      <c r="K4462" t="s">
        <v>4897</v>
      </c>
      <c r="L4462" t="s">
        <v>5236</v>
      </c>
      <c r="M4462" s="2">
        <v>1672</v>
      </c>
      <c r="N4462" t="s">
        <v>3887</v>
      </c>
      <c r="O4462">
        <v>2</v>
      </c>
      <c r="P4462">
        <v>2</v>
      </c>
      <c r="Q4462">
        <v>0</v>
      </c>
      <c r="R4462" t="s">
        <v>5281</v>
      </c>
      <c r="S4462" t="s">
        <v>4135</v>
      </c>
      <c r="T4462" t="s">
        <v>4559</v>
      </c>
      <c r="U4462" t="s">
        <v>4655</v>
      </c>
      <c r="V4462" s="2">
        <v>0</v>
      </c>
      <c r="W4462" t="s">
        <v>4655</v>
      </c>
      <c r="X4462" s="2">
        <v>0</v>
      </c>
      <c r="Y4462">
        <v>21</v>
      </c>
      <c r="Z4462" t="s">
        <v>1776</v>
      </c>
      <c r="AA4462" s="3">
        <v>1.00000004749745E-3</v>
      </c>
      <c r="AB4462" t="s">
        <v>23635</v>
      </c>
      <c r="AC4462" t="s">
        <v>4562</v>
      </c>
      <c r="AD4462" t="s">
        <v>290</v>
      </c>
      <c r="AE4462" t="s">
        <v>4655</v>
      </c>
      <c r="AF4462" t="s">
        <v>23636</v>
      </c>
      <c r="AG4462" t="s">
        <v>291</v>
      </c>
      <c r="AH4462">
        <v>70632</v>
      </c>
      <c r="AI4462" t="s">
        <v>22902</v>
      </c>
      <c r="AJ4462" t="s">
        <v>4655</v>
      </c>
      <c r="AK4462" t="s">
        <v>23637</v>
      </c>
      <c r="AL4462" s="13" t="s">
        <v>1893</v>
      </c>
      <c r="AM4462">
        <v>1</v>
      </c>
      <c r="AN4462" s="15" t="s">
        <v>23638</v>
      </c>
    </row>
    <row r="4463" spans="1:40" x14ac:dyDescent="0.3">
      <c r="A4463" s="10" t="str">
        <f>HYPERLINK("http://www.washoecounty.gov/assessor/cama/?parid=131-031-16&amp;CardNumber=1","131-031-16")</f>
        <v>131-031-16</v>
      </c>
      <c r="B4463" t="s">
        <v>4655</v>
      </c>
      <c r="C4463" t="s">
        <v>23633</v>
      </c>
      <c r="D4463" s="1">
        <v>40445</v>
      </c>
      <c r="E4463" s="2">
        <v>333000</v>
      </c>
      <c r="F4463" t="s">
        <v>4567</v>
      </c>
      <c r="G4463" s="17" t="str">
        <f>HYPERLINK("https://www.washoecounty.gov/assessor/cama/?command=sales&amp;parid=13103116","3925985")</f>
        <v>3925985</v>
      </c>
      <c r="H4463" t="s">
        <v>23634</v>
      </c>
      <c r="I4463">
        <v>1980</v>
      </c>
      <c r="J4463">
        <v>1980</v>
      </c>
      <c r="K4463" t="s">
        <v>4897</v>
      </c>
      <c r="L4463" t="s">
        <v>5236</v>
      </c>
      <c r="M4463" s="2">
        <v>1672</v>
      </c>
      <c r="N4463" t="s">
        <v>3887</v>
      </c>
      <c r="O4463">
        <v>2</v>
      </c>
      <c r="P4463">
        <v>2</v>
      </c>
      <c r="Q4463">
        <v>0</v>
      </c>
      <c r="R4463" t="s">
        <v>4557</v>
      </c>
      <c r="S4463" t="s">
        <v>4135</v>
      </c>
      <c r="T4463" t="s">
        <v>4559</v>
      </c>
      <c r="U4463" t="s">
        <v>4655</v>
      </c>
      <c r="V4463" s="2">
        <v>0</v>
      </c>
      <c r="W4463" t="s">
        <v>4655</v>
      </c>
      <c r="X4463" s="2">
        <v>0</v>
      </c>
      <c r="Y4463">
        <v>21</v>
      </c>
      <c r="Z4463" t="s">
        <v>1776</v>
      </c>
      <c r="AA4463" s="3">
        <v>1.00000004749745E-3</v>
      </c>
      <c r="AB4463" t="s">
        <v>23639</v>
      </c>
      <c r="AC4463" t="s">
        <v>4575</v>
      </c>
      <c r="AD4463" t="s">
        <v>23640</v>
      </c>
      <c r="AE4463" t="s">
        <v>4655</v>
      </c>
      <c r="AF4463" t="s">
        <v>23641</v>
      </c>
      <c r="AG4463" t="s">
        <v>3370</v>
      </c>
      <c r="AH4463" t="s">
        <v>23642</v>
      </c>
      <c r="AI4463" t="s">
        <v>23643</v>
      </c>
      <c r="AJ4463" t="s">
        <v>4655</v>
      </c>
      <c r="AK4463" t="s">
        <v>23644</v>
      </c>
      <c r="AL4463" s="13" t="s">
        <v>1893</v>
      </c>
      <c r="AM4463">
        <v>1</v>
      </c>
      <c r="AN4463" s="15" t="s">
        <v>23638</v>
      </c>
    </row>
    <row r="4464" spans="1:40" x14ac:dyDescent="0.3">
      <c r="A4464" s="10" t="str">
        <f>HYPERLINK("http://www.washoecounty.gov/assessor/cama/?parid=131-031-19&amp;CardNumber=1","131-031-19")</f>
        <v>131-031-19</v>
      </c>
      <c r="B4464" t="s">
        <v>4655</v>
      </c>
      <c r="C4464" t="s">
        <v>23633</v>
      </c>
      <c r="D4464" s="1">
        <v>40462</v>
      </c>
      <c r="E4464" s="2">
        <v>297000</v>
      </c>
      <c r="F4464" t="s">
        <v>4567</v>
      </c>
      <c r="G4464" s="17" t="str">
        <f>HYPERLINK("https://www.washoecounty.gov/assessor/cama/?command=sales&amp;parid=13103119","3931557")</f>
        <v>3931557</v>
      </c>
      <c r="H4464" t="s">
        <v>23645</v>
      </c>
      <c r="I4464">
        <v>1980</v>
      </c>
      <c r="J4464">
        <v>1980</v>
      </c>
      <c r="K4464" t="s">
        <v>3144</v>
      </c>
      <c r="L4464" t="s">
        <v>5236</v>
      </c>
      <c r="M4464" s="2">
        <v>1672</v>
      </c>
      <c r="N4464" t="s">
        <v>3887</v>
      </c>
      <c r="O4464">
        <v>2</v>
      </c>
      <c r="P4464">
        <v>2</v>
      </c>
      <c r="Q4464">
        <v>0</v>
      </c>
      <c r="R4464" t="s">
        <v>4557</v>
      </c>
      <c r="S4464" t="s">
        <v>4135</v>
      </c>
      <c r="T4464" t="s">
        <v>4559</v>
      </c>
      <c r="U4464" t="s">
        <v>4655</v>
      </c>
      <c r="V4464" s="2">
        <v>0</v>
      </c>
      <c r="W4464" t="s">
        <v>4655</v>
      </c>
      <c r="X4464" s="2">
        <v>0</v>
      </c>
      <c r="Y4464">
        <v>21</v>
      </c>
      <c r="Z4464" t="s">
        <v>1776</v>
      </c>
      <c r="AA4464" s="3">
        <v>1.00000004749745E-3</v>
      </c>
      <c r="AB4464" t="s">
        <v>23646</v>
      </c>
      <c r="AC4464" t="s">
        <v>4575</v>
      </c>
      <c r="AD4464" t="s">
        <v>23647</v>
      </c>
      <c r="AE4464" t="s">
        <v>4655</v>
      </c>
      <c r="AF4464" t="s">
        <v>4054</v>
      </c>
      <c r="AG4464" t="s">
        <v>4564</v>
      </c>
      <c r="AH4464" t="s">
        <v>5207</v>
      </c>
      <c r="AI4464" t="s">
        <v>23648</v>
      </c>
      <c r="AJ4464" t="s">
        <v>4655</v>
      </c>
      <c r="AK4464" t="s">
        <v>23649</v>
      </c>
      <c r="AL4464" s="13" t="s">
        <v>1893</v>
      </c>
      <c r="AM4464">
        <v>1</v>
      </c>
      <c r="AN4464" s="15" t="s">
        <v>23638</v>
      </c>
    </row>
    <row r="4465" spans="1:40" x14ac:dyDescent="0.3">
      <c r="A4465" s="10" t="str">
        <f>HYPERLINK("http://www.washoecounty.gov/assessor/cama/?parid=131-031-23&amp;CardNumber=1","131-031-23")</f>
        <v>131-031-23</v>
      </c>
      <c r="B4465" t="s">
        <v>4655</v>
      </c>
      <c r="C4465" t="s">
        <v>23633</v>
      </c>
      <c r="D4465" s="1">
        <v>40494</v>
      </c>
      <c r="E4465" s="2">
        <v>315000</v>
      </c>
      <c r="F4465" t="s">
        <v>4567</v>
      </c>
      <c r="G4465" s="17" t="str">
        <f>HYPERLINK("https://www.washoecounty.gov/assessor/cama/?command=sales&amp;parid=13103123","3942435")</f>
        <v>3942435</v>
      </c>
      <c r="H4465" t="s">
        <v>23650</v>
      </c>
      <c r="I4465">
        <v>1980</v>
      </c>
      <c r="J4465">
        <v>1980</v>
      </c>
      <c r="K4465" t="s">
        <v>4897</v>
      </c>
      <c r="L4465" t="s">
        <v>5236</v>
      </c>
      <c r="M4465" s="2">
        <v>1672</v>
      </c>
      <c r="N4465" t="s">
        <v>3887</v>
      </c>
      <c r="O4465">
        <v>2</v>
      </c>
      <c r="P4465">
        <v>2</v>
      </c>
      <c r="Q4465">
        <v>0</v>
      </c>
      <c r="R4465" t="s">
        <v>4557</v>
      </c>
      <c r="S4465" t="s">
        <v>4135</v>
      </c>
      <c r="T4465" t="s">
        <v>4559</v>
      </c>
      <c r="U4465" t="s">
        <v>4655</v>
      </c>
      <c r="V4465" s="2">
        <v>0</v>
      </c>
      <c r="W4465" t="s">
        <v>4655</v>
      </c>
      <c r="X4465" s="2">
        <v>0</v>
      </c>
      <c r="Y4465">
        <v>21</v>
      </c>
      <c r="Z4465" t="s">
        <v>1776</v>
      </c>
      <c r="AA4465" s="3">
        <v>1.00000004749745E-3</v>
      </c>
      <c r="AB4465" t="s">
        <v>23651</v>
      </c>
      <c r="AC4465" t="s">
        <v>4562</v>
      </c>
      <c r="AD4465" t="s">
        <v>23652</v>
      </c>
      <c r="AE4465" t="s">
        <v>4655</v>
      </c>
      <c r="AF4465" t="s">
        <v>4563</v>
      </c>
      <c r="AG4465" t="s">
        <v>4564</v>
      </c>
      <c r="AH4465" t="s">
        <v>2330</v>
      </c>
      <c r="AI4465" t="s">
        <v>2881</v>
      </c>
      <c r="AJ4465" t="s">
        <v>4655</v>
      </c>
      <c r="AK4465" t="s">
        <v>23653</v>
      </c>
      <c r="AL4465" s="13" t="s">
        <v>1893</v>
      </c>
      <c r="AM4465">
        <v>1</v>
      </c>
      <c r="AN4465" s="15" t="s">
        <v>23638</v>
      </c>
    </row>
    <row r="4466" spans="1:40" x14ac:dyDescent="0.3">
      <c r="A4466" s="10" t="str">
        <f>HYPERLINK("http://www.washoecounty.gov/assessor/cama/?parid=131-040-02&amp;CardNumber=1","131-040-02")</f>
        <v>131-040-02</v>
      </c>
      <c r="B4466" t="s">
        <v>4655</v>
      </c>
      <c r="C4466" t="s">
        <v>23654</v>
      </c>
      <c r="D4466" s="1">
        <v>40445</v>
      </c>
      <c r="E4466" s="2">
        <v>300000</v>
      </c>
      <c r="F4466" t="s">
        <v>4567</v>
      </c>
      <c r="G4466" s="17" t="str">
        <f>HYPERLINK("https://www.washoecounty.gov/assessor/cama/?command=sales&amp;parid=13104002","3926087")</f>
        <v>3926087</v>
      </c>
      <c r="H4466" t="s">
        <v>23655</v>
      </c>
      <c r="I4466">
        <v>1971</v>
      </c>
      <c r="J4466">
        <v>1971</v>
      </c>
      <c r="K4466" t="s">
        <v>4554</v>
      </c>
      <c r="L4466" t="s">
        <v>3974</v>
      </c>
      <c r="M4466" s="2">
        <v>1008</v>
      </c>
      <c r="N4466" t="s">
        <v>5280</v>
      </c>
      <c r="O4466">
        <v>2</v>
      </c>
      <c r="P4466">
        <v>1</v>
      </c>
      <c r="Q4466">
        <v>1</v>
      </c>
      <c r="R4466" t="s">
        <v>4676</v>
      </c>
      <c r="S4466" t="s">
        <v>4135</v>
      </c>
      <c r="T4466" t="s">
        <v>4559</v>
      </c>
      <c r="U4466" t="s">
        <v>4655</v>
      </c>
      <c r="V4466" s="2">
        <v>0</v>
      </c>
      <c r="W4466" t="s">
        <v>4655</v>
      </c>
      <c r="X4466" s="2">
        <v>0</v>
      </c>
      <c r="Y4466">
        <v>21</v>
      </c>
      <c r="Z4466" t="s">
        <v>1776</v>
      </c>
      <c r="AA4466" s="3">
        <v>7.8007347881794004E-2</v>
      </c>
      <c r="AB4466" t="s">
        <v>23656</v>
      </c>
      <c r="AC4466" t="s">
        <v>4575</v>
      </c>
      <c r="AD4466" t="s">
        <v>23657</v>
      </c>
      <c r="AE4466" t="s">
        <v>4655</v>
      </c>
      <c r="AF4466" t="s">
        <v>23658</v>
      </c>
      <c r="AG4466" t="s">
        <v>762</v>
      </c>
      <c r="AH4466" t="s">
        <v>23659</v>
      </c>
      <c r="AI4466" t="s">
        <v>23660</v>
      </c>
      <c r="AJ4466" t="s">
        <v>4655</v>
      </c>
      <c r="AK4466" t="s">
        <v>23661</v>
      </c>
      <c r="AL4466" s="13" t="s">
        <v>1893</v>
      </c>
      <c r="AM4466">
        <v>1</v>
      </c>
      <c r="AN4466" s="15" t="s">
        <v>23662</v>
      </c>
    </row>
    <row r="4467" spans="1:40" x14ac:dyDescent="0.3">
      <c r="A4467" s="10" t="str">
        <f>HYPERLINK("http://www.washoecounty.gov/assessor/cama/?parid=131-070-15&amp;CardNumber=1","131-070-15")</f>
        <v>131-070-15</v>
      </c>
      <c r="B4467" t="s">
        <v>4655</v>
      </c>
      <c r="C4467" t="s">
        <v>23663</v>
      </c>
      <c r="D4467" s="1">
        <v>40466</v>
      </c>
      <c r="E4467" s="2">
        <v>400000</v>
      </c>
      <c r="F4467" t="s">
        <v>4567</v>
      </c>
      <c r="G4467" s="17" t="str">
        <f>HYPERLINK("https://www.washoecounty.gov/assessor/cama/?command=sales&amp;parid=13107015","3933747")</f>
        <v>3933747</v>
      </c>
      <c r="H4467" t="s">
        <v>23664</v>
      </c>
      <c r="I4467">
        <v>1981</v>
      </c>
      <c r="J4467">
        <v>1981</v>
      </c>
      <c r="K4467" t="s">
        <v>4897</v>
      </c>
      <c r="L4467" t="s">
        <v>3974</v>
      </c>
      <c r="M4467" s="2">
        <v>1452</v>
      </c>
      <c r="N4467" t="s">
        <v>3887</v>
      </c>
      <c r="O4467">
        <v>2</v>
      </c>
      <c r="P4467">
        <v>2</v>
      </c>
      <c r="Q4467">
        <v>0</v>
      </c>
      <c r="R4467" t="s">
        <v>4557</v>
      </c>
      <c r="S4467" t="s">
        <v>4135</v>
      </c>
      <c r="T4467" t="s">
        <v>4559</v>
      </c>
      <c r="U4467" t="s">
        <v>5631</v>
      </c>
      <c r="V4467" s="2">
        <v>344</v>
      </c>
      <c r="W4467" t="s">
        <v>4655</v>
      </c>
      <c r="X4467" s="2">
        <v>0</v>
      </c>
      <c r="Y4467">
        <v>21</v>
      </c>
      <c r="Z4467" t="s">
        <v>718</v>
      </c>
      <c r="AA4467" s="3">
        <v>1.00000004749745E-3</v>
      </c>
      <c r="AB4467" t="s">
        <v>23665</v>
      </c>
      <c r="AC4467" t="s">
        <v>4562</v>
      </c>
      <c r="AD4467" t="s">
        <v>23666</v>
      </c>
      <c r="AE4467" t="s">
        <v>23667</v>
      </c>
      <c r="AF4467" t="s">
        <v>23668</v>
      </c>
      <c r="AG4467" t="s">
        <v>1542</v>
      </c>
      <c r="AH4467">
        <v>20905</v>
      </c>
      <c r="AI4467" t="s">
        <v>4655</v>
      </c>
      <c r="AJ4467" t="s">
        <v>4655</v>
      </c>
      <c r="AK4467" t="s">
        <v>23669</v>
      </c>
      <c r="AL4467" s="13" t="s">
        <v>1893</v>
      </c>
      <c r="AM4467" s="14">
        <v>1</v>
      </c>
      <c r="AN4467" s="15" t="s">
        <v>23638</v>
      </c>
    </row>
    <row r="4468" spans="1:40" x14ac:dyDescent="0.3">
      <c r="A4468" s="10" t="str">
        <f>HYPERLINK("http://www.washoecounty.gov/assessor/cama/?parid=131-070-25&amp;CardNumber=1","131-070-25")</f>
        <v>131-070-25</v>
      </c>
      <c r="B4468" t="s">
        <v>4655</v>
      </c>
      <c r="C4468" t="s">
        <v>23663</v>
      </c>
      <c r="D4468" s="1">
        <v>40477</v>
      </c>
      <c r="E4468" s="2">
        <v>322000</v>
      </c>
      <c r="F4468" t="s">
        <v>4567</v>
      </c>
      <c r="G4468" s="17" t="str">
        <f>HYPERLINK("https://www.washoecounty.gov/assessor/cama/?command=sales&amp;parid=13107025","3936575")</f>
        <v>3936575</v>
      </c>
      <c r="H4468" t="s">
        <v>23664</v>
      </c>
      <c r="I4468">
        <v>1981</v>
      </c>
      <c r="J4468">
        <v>1981</v>
      </c>
      <c r="K4468" t="s">
        <v>3144</v>
      </c>
      <c r="L4468" t="s">
        <v>3974</v>
      </c>
      <c r="M4468" s="2">
        <v>1452</v>
      </c>
      <c r="N4468" t="s">
        <v>3887</v>
      </c>
      <c r="O4468">
        <v>2</v>
      </c>
      <c r="P4468">
        <v>2</v>
      </c>
      <c r="Q4468">
        <v>0</v>
      </c>
      <c r="R4468" t="s">
        <v>4557</v>
      </c>
      <c r="S4468" t="s">
        <v>4135</v>
      </c>
      <c r="T4468" t="s">
        <v>4559</v>
      </c>
      <c r="U4468" t="s">
        <v>5631</v>
      </c>
      <c r="V4468" s="2">
        <v>344</v>
      </c>
      <c r="W4468" t="s">
        <v>4655</v>
      </c>
      <c r="X4468" s="2">
        <v>0</v>
      </c>
      <c r="Y4468">
        <v>21</v>
      </c>
      <c r="Z4468" t="s">
        <v>718</v>
      </c>
      <c r="AA4468" s="3">
        <v>1.00000004749745E-3</v>
      </c>
      <c r="AB4468" t="s">
        <v>23670</v>
      </c>
      <c r="AC4468" t="s">
        <v>4562</v>
      </c>
      <c r="AD4468" t="s">
        <v>23671</v>
      </c>
      <c r="AE4468" t="s">
        <v>4655</v>
      </c>
      <c r="AF4468" t="s">
        <v>23672</v>
      </c>
      <c r="AG4468" t="s">
        <v>4564</v>
      </c>
      <c r="AH4468" t="s">
        <v>23673</v>
      </c>
      <c r="AI4468" t="s">
        <v>23674</v>
      </c>
      <c r="AJ4468" t="s">
        <v>4655</v>
      </c>
      <c r="AK4468" t="s">
        <v>23675</v>
      </c>
      <c r="AL4468" s="13" t="s">
        <v>1893</v>
      </c>
      <c r="AM4468">
        <v>1</v>
      </c>
      <c r="AN4468" s="15" t="s">
        <v>23638</v>
      </c>
    </row>
    <row r="4469" spans="1:40" x14ac:dyDescent="0.3">
      <c r="A4469" s="10" t="str">
        <f>HYPERLINK("http://www.washoecounty.gov/assessor/cama/?parid=131-070-48&amp;CardNumber=1","131-070-48")</f>
        <v>131-070-48</v>
      </c>
      <c r="B4469" t="s">
        <v>4655</v>
      </c>
      <c r="C4469" t="s">
        <v>23663</v>
      </c>
      <c r="D4469" s="1">
        <v>40347</v>
      </c>
      <c r="E4469" s="2">
        <v>415000</v>
      </c>
      <c r="F4469" t="s">
        <v>4567</v>
      </c>
      <c r="G4469" s="17" t="str">
        <f>HYPERLINK("https://www.washoecounty.gov/assessor/cama/?command=sales&amp;parid=13107048","3893315")</f>
        <v>3893315</v>
      </c>
      <c r="H4469" t="s">
        <v>23664</v>
      </c>
      <c r="I4469">
        <v>1981</v>
      </c>
      <c r="J4469">
        <v>1981</v>
      </c>
      <c r="K4469" t="s">
        <v>4897</v>
      </c>
      <c r="L4469" t="s">
        <v>3974</v>
      </c>
      <c r="M4469" s="2">
        <v>1452</v>
      </c>
      <c r="N4469" t="s">
        <v>3887</v>
      </c>
      <c r="O4469">
        <v>2</v>
      </c>
      <c r="P4469">
        <v>2</v>
      </c>
      <c r="Q4469">
        <v>0</v>
      </c>
      <c r="R4469" t="s">
        <v>5281</v>
      </c>
      <c r="S4469" t="s">
        <v>4135</v>
      </c>
      <c r="T4469" t="s">
        <v>4559</v>
      </c>
      <c r="U4469" t="s">
        <v>5631</v>
      </c>
      <c r="V4469" s="2">
        <v>344</v>
      </c>
      <c r="W4469" t="s">
        <v>4655</v>
      </c>
      <c r="X4469" s="2">
        <v>0</v>
      </c>
      <c r="Y4469">
        <v>21</v>
      </c>
      <c r="Z4469" t="s">
        <v>718</v>
      </c>
      <c r="AA4469" s="3">
        <v>1.00000004749745E-3</v>
      </c>
      <c r="AB4469" t="s">
        <v>23676</v>
      </c>
      <c r="AC4469" t="s">
        <v>4562</v>
      </c>
      <c r="AD4469" t="s">
        <v>23677</v>
      </c>
      <c r="AE4469" t="s">
        <v>4655</v>
      </c>
      <c r="AF4469" t="s">
        <v>23678</v>
      </c>
      <c r="AG4469" t="s">
        <v>4584</v>
      </c>
      <c r="AH4469">
        <v>91016</v>
      </c>
      <c r="AI4469" t="s">
        <v>23679</v>
      </c>
      <c r="AJ4469" t="s">
        <v>4655</v>
      </c>
      <c r="AK4469" t="s">
        <v>23680</v>
      </c>
      <c r="AL4469" s="13" t="s">
        <v>1893</v>
      </c>
      <c r="AM4469" s="14">
        <v>1</v>
      </c>
      <c r="AN4469" s="15" t="s">
        <v>23638</v>
      </c>
    </row>
    <row r="4470" spans="1:40" x14ac:dyDescent="0.3">
      <c r="A4470" s="10" t="str">
        <f>HYPERLINK("http://www.washoecounty.gov/assessor/cama/?parid=131-080-22&amp;CardNumber=1","131-080-22")</f>
        <v>131-080-22</v>
      </c>
      <c r="B4470" t="s">
        <v>4655</v>
      </c>
      <c r="C4470" t="s">
        <v>23681</v>
      </c>
      <c r="D4470" s="1">
        <v>40492</v>
      </c>
      <c r="E4470" s="2">
        <v>920000</v>
      </c>
      <c r="F4470" t="s">
        <v>3259</v>
      </c>
      <c r="G4470" s="17" t="str">
        <f>HYPERLINK("https://www.washoecounty.gov/assessor/cama/?command=sales&amp;parid=13108022","3941643")</f>
        <v>3941643</v>
      </c>
      <c r="H4470" t="s">
        <v>1264</v>
      </c>
      <c r="I4470">
        <v>1981</v>
      </c>
      <c r="J4470">
        <v>1984</v>
      </c>
      <c r="K4470" t="s">
        <v>4554</v>
      </c>
      <c r="L4470" t="s">
        <v>3974</v>
      </c>
      <c r="M4470" s="2">
        <v>4316</v>
      </c>
      <c r="N4470" t="s">
        <v>2008</v>
      </c>
      <c r="O4470">
        <v>4</v>
      </c>
      <c r="P4470">
        <v>4</v>
      </c>
      <c r="Q4470">
        <v>0</v>
      </c>
      <c r="R4470" t="s">
        <v>4557</v>
      </c>
      <c r="S4470" t="s">
        <v>4135</v>
      </c>
      <c r="T4470" t="s">
        <v>3888</v>
      </c>
      <c r="U4470" t="s">
        <v>4560</v>
      </c>
      <c r="V4470" s="2">
        <v>968</v>
      </c>
      <c r="W4470" t="s">
        <v>4655</v>
      </c>
      <c r="X4470" s="2">
        <v>0</v>
      </c>
      <c r="Y4470">
        <v>20</v>
      </c>
      <c r="Z4470" t="s">
        <v>5508</v>
      </c>
      <c r="AA4470" s="3">
        <v>0.55599170923232999</v>
      </c>
      <c r="AB4470" t="s">
        <v>23682</v>
      </c>
      <c r="AC4470" t="s">
        <v>4562</v>
      </c>
      <c r="AD4470" t="s">
        <v>23683</v>
      </c>
      <c r="AE4470" t="s">
        <v>4655</v>
      </c>
      <c r="AF4470" t="s">
        <v>2882</v>
      </c>
      <c r="AG4470" t="s">
        <v>4584</v>
      </c>
      <c r="AH4470" t="s">
        <v>3629</v>
      </c>
      <c r="AI4470" t="s">
        <v>23684</v>
      </c>
      <c r="AJ4470" t="s">
        <v>4655</v>
      </c>
      <c r="AK4470" t="s">
        <v>23685</v>
      </c>
      <c r="AL4470" s="13" t="s">
        <v>1893</v>
      </c>
      <c r="AM4470" s="14">
        <v>1</v>
      </c>
      <c r="AN4470" s="15" t="s">
        <v>2920</v>
      </c>
    </row>
    <row r="4471" spans="1:40" x14ac:dyDescent="0.3">
      <c r="A4471" s="10" t="str">
        <f>HYPERLINK("http://www.washoecounty.gov/assessor/cama/?parid=131-121-24&amp;CardNumber=1","131-121-24")</f>
        <v>131-121-24</v>
      </c>
      <c r="B4471" t="s">
        <v>4655</v>
      </c>
      <c r="C4471" t="s">
        <v>23686</v>
      </c>
      <c r="D4471" s="1">
        <v>40197</v>
      </c>
      <c r="E4471" s="2">
        <v>410000</v>
      </c>
      <c r="F4471" t="s">
        <v>3528</v>
      </c>
      <c r="G4471" s="17" t="str">
        <f>HYPERLINK("https://www.washoecounty.gov/assessor/cama/?command=sales&amp;parid=13112124","3840759")</f>
        <v>3840759</v>
      </c>
      <c r="H4471" t="s">
        <v>23687</v>
      </c>
      <c r="I4471">
        <v>1972</v>
      </c>
      <c r="J4471">
        <v>1972</v>
      </c>
      <c r="K4471" t="s">
        <v>4554</v>
      </c>
      <c r="L4471" t="s">
        <v>3886</v>
      </c>
      <c r="M4471" s="2">
        <v>1356</v>
      </c>
      <c r="N4471" t="s">
        <v>5280</v>
      </c>
      <c r="O4471">
        <v>3</v>
      </c>
      <c r="P4471">
        <v>2</v>
      </c>
      <c r="Q4471">
        <v>0</v>
      </c>
      <c r="R4471" t="s">
        <v>4557</v>
      </c>
      <c r="S4471" t="s">
        <v>4135</v>
      </c>
      <c r="T4471" t="s">
        <v>3888</v>
      </c>
      <c r="U4471" t="s">
        <v>4655</v>
      </c>
      <c r="V4471" s="2">
        <v>0</v>
      </c>
      <c r="W4471" t="s">
        <v>4655</v>
      </c>
      <c r="X4471" s="2">
        <v>0</v>
      </c>
      <c r="Y4471">
        <v>20</v>
      </c>
      <c r="Z4471" t="s">
        <v>718</v>
      </c>
      <c r="AA4471" s="3">
        <v>0.19400826096534701</v>
      </c>
      <c r="AB4471" t="s">
        <v>23688</v>
      </c>
      <c r="AC4471" t="s">
        <v>4562</v>
      </c>
      <c r="AD4471" t="s">
        <v>23689</v>
      </c>
      <c r="AE4471" t="s">
        <v>4655</v>
      </c>
      <c r="AF4471" t="s">
        <v>4595</v>
      </c>
      <c r="AG4471" t="s">
        <v>4584</v>
      </c>
      <c r="AH4471" t="s">
        <v>23690</v>
      </c>
      <c r="AI4471" t="s">
        <v>4655</v>
      </c>
      <c r="AJ4471" t="s">
        <v>4655</v>
      </c>
      <c r="AK4471" t="s">
        <v>23691</v>
      </c>
      <c r="AL4471" s="13" t="s">
        <v>1893</v>
      </c>
      <c r="AM4471" s="14">
        <v>1</v>
      </c>
      <c r="AN4471" s="15" t="s">
        <v>23396</v>
      </c>
    </row>
    <row r="4472" spans="1:40" x14ac:dyDescent="0.3">
      <c r="A4472" s="10" t="str">
        <f>HYPERLINK("http://www.washoecounty.gov/assessor/cama/?parid=131-140-03&amp;CardNumber=1","131-140-03")</f>
        <v>131-140-03</v>
      </c>
      <c r="B4472" t="s">
        <v>4655</v>
      </c>
      <c r="C4472" t="s">
        <v>5234</v>
      </c>
      <c r="D4472" s="1">
        <v>40270</v>
      </c>
      <c r="E4472" s="2">
        <v>445000</v>
      </c>
      <c r="F4472" t="s">
        <v>4567</v>
      </c>
      <c r="G4472" s="17" t="str">
        <f>HYPERLINK("https://www.washoecounty.gov/assessor/cama/?command=sales&amp;parid=13114003","3867240")</f>
        <v>3867240</v>
      </c>
      <c r="H4472" t="s">
        <v>5235</v>
      </c>
      <c r="I4472">
        <v>1979</v>
      </c>
      <c r="J4472">
        <v>1979</v>
      </c>
      <c r="K4472" t="s">
        <v>4554</v>
      </c>
      <c r="L4472" t="s">
        <v>5236</v>
      </c>
      <c r="M4472" s="2">
        <v>1536</v>
      </c>
      <c r="N4472" t="s">
        <v>4048</v>
      </c>
      <c r="O4472">
        <v>3</v>
      </c>
      <c r="P4472">
        <v>2</v>
      </c>
      <c r="Q4472">
        <v>0</v>
      </c>
      <c r="R4472" t="s">
        <v>4557</v>
      </c>
      <c r="S4472" t="s">
        <v>4135</v>
      </c>
      <c r="T4472" t="s">
        <v>4559</v>
      </c>
      <c r="U4472" t="s">
        <v>5631</v>
      </c>
      <c r="V4472" s="2">
        <v>768</v>
      </c>
      <c r="W4472" t="s">
        <v>4655</v>
      </c>
      <c r="X4472" s="2">
        <v>0</v>
      </c>
      <c r="Y4472">
        <v>21</v>
      </c>
      <c r="Z4472" t="s">
        <v>718</v>
      </c>
      <c r="AA4472" s="3">
        <v>1.00000004749745E-3</v>
      </c>
      <c r="AB4472" t="s">
        <v>23692</v>
      </c>
      <c r="AC4472" t="s">
        <v>4575</v>
      </c>
      <c r="AD4472" t="s">
        <v>23693</v>
      </c>
      <c r="AE4472" t="s">
        <v>4655</v>
      </c>
      <c r="AF4472" t="s">
        <v>23694</v>
      </c>
      <c r="AG4472" t="s">
        <v>4584</v>
      </c>
      <c r="AH4472">
        <v>92007</v>
      </c>
      <c r="AI4472" t="s">
        <v>23695</v>
      </c>
      <c r="AJ4472" t="s">
        <v>4655</v>
      </c>
      <c r="AK4472" t="s">
        <v>23696</v>
      </c>
      <c r="AL4472" s="13" t="s">
        <v>1893</v>
      </c>
      <c r="AM4472">
        <v>1</v>
      </c>
      <c r="AN4472" s="15" t="s">
        <v>3751</v>
      </c>
    </row>
    <row r="4473" spans="1:40" x14ac:dyDescent="0.3">
      <c r="A4473" s="10" t="str">
        <f>HYPERLINK("http://www.washoecounty.gov/assessor/cama/?parid=131-140-31&amp;CardNumber=1","131-140-31")</f>
        <v>131-140-31</v>
      </c>
      <c r="B4473" t="s">
        <v>4655</v>
      </c>
      <c r="C4473" t="s">
        <v>5234</v>
      </c>
      <c r="D4473" s="1">
        <v>40270</v>
      </c>
      <c r="E4473" s="2">
        <v>370000</v>
      </c>
      <c r="F4473" t="s">
        <v>4567</v>
      </c>
      <c r="G4473" s="17" t="str">
        <f>HYPERLINK("https://www.washoecounty.gov/assessor/cama/?command=sales&amp;parid=13114031","3867083")</f>
        <v>3867083</v>
      </c>
      <c r="H4473" t="s">
        <v>23697</v>
      </c>
      <c r="I4473">
        <v>1979</v>
      </c>
      <c r="J4473">
        <v>1979</v>
      </c>
      <c r="K4473" t="s">
        <v>4554</v>
      </c>
      <c r="L4473" t="s">
        <v>3886</v>
      </c>
      <c r="M4473" s="2">
        <v>1536</v>
      </c>
      <c r="N4473" t="s">
        <v>4048</v>
      </c>
      <c r="O4473">
        <v>3</v>
      </c>
      <c r="P4473">
        <v>2</v>
      </c>
      <c r="Q4473">
        <v>0</v>
      </c>
      <c r="R4473" t="s">
        <v>4557</v>
      </c>
      <c r="S4473" t="s">
        <v>4135</v>
      </c>
      <c r="T4473" t="s">
        <v>4559</v>
      </c>
      <c r="U4473" t="s">
        <v>4655</v>
      </c>
      <c r="V4473" s="2">
        <v>0</v>
      </c>
      <c r="W4473" t="s">
        <v>4655</v>
      </c>
      <c r="X4473" s="2">
        <v>0</v>
      </c>
      <c r="Y4473">
        <v>21</v>
      </c>
      <c r="Z4473" t="s">
        <v>718</v>
      </c>
      <c r="AA4473" s="3">
        <v>1.00000004749745E-3</v>
      </c>
      <c r="AB4473" t="s">
        <v>23698</v>
      </c>
      <c r="AC4473" t="s">
        <v>4562</v>
      </c>
      <c r="AD4473" t="s">
        <v>23699</v>
      </c>
      <c r="AE4473" t="s">
        <v>23700</v>
      </c>
      <c r="AF4473" t="s">
        <v>23701</v>
      </c>
      <c r="AG4473" t="s">
        <v>4655</v>
      </c>
      <c r="AH4473" t="s">
        <v>4655</v>
      </c>
      <c r="AI4473" t="s">
        <v>23702</v>
      </c>
      <c r="AJ4473" t="s">
        <v>4655</v>
      </c>
      <c r="AK4473" t="s">
        <v>23703</v>
      </c>
      <c r="AL4473" s="13" t="s">
        <v>1893</v>
      </c>
      <c r="AM4473" s="14">
        <v>1</v>
      </c>
      <c r="AN4473" s="15" t="s">
        <v>3751</v>
      </c>
    </row>
    <row r="4474" spans="1:40" x14ac:dyDescent="0.3">
      <c r="A4474" s="10" t="str">
        <f>HYPERLINK("http://www.washoecounty.gov/assessor/cama/?parid=131-180-14&amp;CardNumber=1","131-180-14")</f>
        <v>131-180-14</v>
      </c>
      <c r="B4474" t="s">
        <v>4655</v>
      </c>
      <c r="C4474" t="s">
        <v>5172</v>
      </c>
      <c r="D4474" s="1">
        <v>40448</v>
      </c>
      <c r="E4474" s="2">
        <v>215000</v>
      </c>
      <c r="F4474" t="s">
        <v>3528</v>
      </c>
      <c r="G4474" s="17" t="str">
        <f>HYPERLINK("https://www.washoecounty.gov/assessor/cama/?command=sales&amp;parid=13118014","3926278")</f>
        <v>3926278</v>
      </c>
      <c r="H4474" t="s">
        <v>5173</v>
      </c>
      <c r="I4474">
        <v>1969</v>
      </c>
      <c r="J4474">
        <v>1969</v>
      </c>
      <c r="K4474" t="s">
        <v>4554</v>
      </c>
      <c r="L4474" t="s">
        <v>3974</v>
      </c>
      <c r="M4474" s="2">
        <v>1533</v>
      </c>
      <c r="N4474" t="s">
        <v>4048</v>
      </c>
      <c r="O4474">
        <v>3</v>
      </c>
      <c r="P4474">
        <v>2</v>
      </c>
      <c r="Q4474">
        <v>1</v>
      </c>
      <c r="R4474" t="s">
        <v>4557</v>
      </c>
      <c r="S4474" t="s">
        <v>4135</v>
      </c>
      <c r="T4474" t="s">
        <v>4559</v>
      </c>
      <c r="U4474" t="s">
        <v>4655</v>
      </c>
      <c r="V4474" s="2">
        <v>0</v>
      </c>
      <c r="W4474" t="s">
        <v>4655</v>
      </c>
      <c r="X4474" s="2">
        <v>0</v>
      </c>
      <c r="Y4474">
        <v>21</v>
      </c>
      <c r="Z4474" t="s">
        <v>718</v>
      </c>
      <c r="AA4474" s="3">
        <v>1.00000004749745E-3</v>
      </c>
      <c r="AB4474" t="s">
        <v>23704</v>
      </c>
      <c r="AC4474" t="s">
        <v>4562</v>
      </c>
      <c r="AD4474" t="s">
        <v>23705</v>
      </c>
      <c r="AE4474" t="s">
        <v>4655</v>
      </c>
      <c r="AF4474" t="s">
        <v>2576</v>
      </c>
      <c r="AG4474" t="s">
        <v>4584</v>
      </c>
      <c r="AH4474">
        <v>92011</v>
      </c>
      <c r="AI4474" t="s">
        <v>4903</v>
      </c>
      <c r="AJ4474" t="s">
        <v>4655</v>
      </c>
      <c r="AK4474" t="s">
        <v>23706</v>
      </c>
      <c r="AL4474" s="13" t="s">
        <v>1893</v>
      </c>
      <c r="AM4474">
        <v>1</v>
      </c>
      <c r="AN4474" s="15" t="s">
        <v>3751</v>
      </c>
    </row>
    <row r="4475" spans="1:40" x14ac:dyDescent="0.3">
      <c r="A4475" s="10" t="str">
        <f>HYPERLINK("http://www.washoecounty.gov/assessor/cama/?parid=131-190-13&amp;CardNumber=1","131-190-13")</f>
        <v>131-190-13</v>
      </c>
      <c r="B4475" t="s">
        <v>4655</v>
      </c>
      <c r="C4475" t="s">
        <v>23707</v>
      </c>
      <c r="D4475" s="1">
        <v>40430</v>
      </c>
      <c r="E4475" s="2">
        <v>275000</v>
      </c>
      <c r="F4475" t="s">
        <v>4553</v>
      </c>
      <c r="G4475" s="17" t="str">
        <f>HYPERLINK("https://www.washoecounty.gov/assessor/cama/?command=sales&amp;parid=13119013","3920644")</f>
        <v>3920644</v>
      </c>
      <c r="H4475" t="s">
        <v>23708</v>
      </c>
      <c r="I4475">
        <v>1972</v>
      </c>
      <c r="J4475">
        <v>1972</v>
      </c>
      <c r="K4475" t="s">
        <v>3144</v>
      </c>
      <c r="L4475" t="s">
        <v>3974</v>
      </c>
      <c r="M4475" s="2">
        <v>1038</v>
      </c>
      <c r="N4475" t="s">
        <v>3147</v>
      </c>
      <c r="O4475">
        <v>2</v>
      </c>
      <c r="P4475">
        <v>1</v>
      </c>
      <c r="Q4475">
        <v>1</v>
      </c>
      <c r="R4475" t="s">
        <v>4676</v>
      </c>
      <c r="S4475" t="s">
        <v>4135</v>
      </c>
      <c r="T4475" t="s">
        <v>4559</v>
      </c>
      <c r="U4475" t="s">
        <v>4655</v>
      </c>
      <c r="V4475" s="2">
        <v>0</v>
      </c>
      <c r="W4475" t="s">
        <v>4655</v>
      </c>
      <c r="X4475" s="2">
        <v>0</v>
      </c>
      <c r="Y4475">
        <v>21</v>
      </c>
      <c r="Z4475" t="s">
        <v>718</v>
      </c>
      <c r="AA4475" s="3">
        <v>1.00000004749745E-3</v>
      </c>
      <c r="AB4475" t="s">
        <v>23709</v>
      </c>
      <c r="AC4475" t="s">
        <v>4562</v>
      </c>
      <c r="AD4475" t="s">
        <v>23710</v>
      </c>
      <c r="AE4475" t="s">
        <v>4655</v>
      </c>
      <c r="AF4475" t="s">
        <v>23672</v>
      </c>
      <c r="AG4475" t="s">
        <v>4584</v>
      </c>
      <c r="AH4475" t="s">
        <v>23673</v>
      </c>
      <c r="AI4475" t="s">
        <v>23711</v>
      </c>
      <c r="AJ4475" t="s">
        <v>4655</v>
      </c>
      <c r="AK4475" t="s">
        <v>23712</v>
      </c>
      <c r="AL4475" s="13" t="s">
        <v>1893</v>
      </c>
      <c r="AM4475">
        <v>1</v>
      </c>
      <c r="AN4475" s="15" t="s">
        <v>23713</v>
      </c>
    </row>
    <row r="4476" spans="1:40" x14ac:dyDescent="0.3">
      <c r="A4476" s="10" t="str">
        <f>HYPERLINK("http://www.washoecounty.gov/assessor/cama/?parid=131-212-13&amp;CardNumber=1","131-212-13")</f>
        <v>131-212-13</v>
      </c>
      <c r="B4476" t="s">
        <v>4655</v>
      </c>
      <c r="C4476" t="s">
        <v>23714</v>
      </c>
      <c r="D4476" s="1">
        <v>40526</v>
      </c>
      <c r="E4476" s="2">
        <v>650000</v>
      </c>
      <c r="F4476" t="s">
        <v>4553</v>
      </c>
      <c r="G4476" s="17" t="str">
        <f>HYPERLINK("https://www.washoecounty.gov/assessor/cama/?command=sales&amp;parid=13121213","3952863")</f>
        <v>3952863</v>
      </c>
      <c r="H4476" t="s">
        <v>5104</v>
      </c>
      <c r="I4476">
        <v>1979</v>
      </c>
      <c r="J4476">
        <v>1979</v>
      </c>
      <c r="K4476" t="s">
        <v>4554</v>
      </c>
      <c r="L4476" t="s">
        <v>3974</v>
      </c>
      <c r="M4476" s="2">
        <v>2250</v>
      </c>
      <c r="N4476" t="s">
        <v>3887</v>
      </c>
      <c r="O4476">
        <v>3</v>
      </c>
      <c r="P4476">
        <v>3</v>
      </c>
      <c r="Q4476">
        <v>0</v>
      </c>
      <c r="R4476" t="s">
        <v>5205</v>
      </c>
      <c r="S4476" t="s">
        <v>4135</v>
      </c>
      <c r="T4476" t="s">
        <v>4559</v>
      </c>
      <c r="U4476" t="s">
        <v>4655</v>
      </c>
      <c r="V4476" s="2">
        <v>0</v>
      </c>
      <c r="W4476" t="s">
        <v>3149</v>
      </c>
      <c r="X4476" s="2">
        <v>336</v>
      </c>
      <c r="Y4476">
        <v>20</v>
      </c>
      <c r="Z4476" t="s">
        <v>5508</v>
      </c>
      <c r="AA4476" s="3">
        <v>0.471005499362946</v>
      </c>
      <c r="AB4476" t="s">
        <v>23715</v>
      </c>
      <c r="AC4476" t="s">
        <v>4575</v>
      </c>
      <c r="AD4476" t="s">
        <v>23716</v>
      </c>
      <c r="AE4476" t="s">
        <v>4655</v>
      </c>
      <c r="AF4476" t="s">
        <v>11204</v>
      </c>
      <c r="AG4476" t="s">
        <v>4584</v>
      </c>
      <c r="AH4476">
        <v>92064</v>
      </c>
      <c r="AI4476" t="s">
        <v>14020</v>
      </c>
      <c r="AJ4476" t="s">
        <v>4655</v>
      </c>
      <c r="AK4476" t="s">
        <v>23717</v>
      </c>
      <c r="AL4476" s="13" t="s">
        <v>1893</v>
      </c>
      <c r="AM4476">
        <v>1</v>
      </c>
      <c r="AN4476" s="15" t="s">
        <v>2915</v>
      </c>
    </row>
    <row r="4477" spans="1:40" x14ac:dyDescent="0.3">
      <c r="A4477" s="10" t="str">
        <f>HYPERLINK("http://www.washoecounty.gov/assessor/cama/?parid=131-224-03&amp;CardNumber=1","131-224-03")</f>
        <v>131-224-03</v>
      </c>
      <c r="B4477" t="s">
        <v>4655</v>
      </c>
      <c r="C4477" t="s">
        <v>23718</v>
      </c>
      <c r="D4477" s="1">
        <v>40291</v>
      </c>
      <c r="E4477" s="2">
        <v>2500000</v>
      </c>
      <c r="F4477" t="s">
        <v>4567</v>
      </c>
      <c r="G4477" s="17" t="str">
        <f>HYPERLINK("https://www.washoecounty.gov/assessor/cama/?command=sales&amp;parid=13122403","3873929")</f>
        <v>3873929</v>
      </c>
      <c r="H4477" t="s">
        <v>5104</v>
      </c>
      <c r="I4477">
        <v>1989</v>
      </c>
      <c r="J4477">
        <v>1989</v>
      </c>
      <c r="K4477" t="s">
        <v>4554</v>
      </c>
      <c r="L4477" t="s">
        <v>3974</v>
      </c>
      <c r="M4477" s="2">
        <v>4716</v>
      </c>
      <c r="N4477" t="s">
        <v>2967</v>
      </c>
      <c r="O4477">
        <v>5</v>
      </c>
      <c r="P4477">
        <v>5</v>
      </c>
      <c r="Q4477">
        <v>0</v>
      </c>
      <c r="R4477" t="s">
        <v>5630</v>
      </c>
      <c r="S4477" t="s">
        <v>4135</v>
      </c>
      <c r="T4477" t="s">
        <v>4559</v>
      </c>
      <c r="U4477" t="s">
        <v>4560</v>
      </c>
      <c r="V4477" s="2">
        <v>816</v>
      </c>
      <c r="W4477" t="s">
        <v>4655</v>
      </c>
      <c r="X4477" s="2">
        <v>0</v>
      </c>
      <c r="Y4477">
        <v>20</v>
      </c>
      <c r="Z4477" t="s">
        <v>5508</v>
      </c>
      <c r="AA4477" s="3">
        <v>0.49699264764785767</v>
      </c>
      <c r="AB4477" t="s">
        <v>23719</v>
      </c>
      <c r="AC4477" t="s">
        <v>4562</v>
      </c>
      <c r="AD4477" t="s">
        <v>23720</v>
      </c>
      <c r="AE4477" t="s">
        <v>4655</v>
      </c>
      <c r="AF4477" t="s">
        <v>203</v>
      </c>
      <c r="AG4477" t="s">
        <v>762</v>
      </c>
      <c r="AH4477">
        <v>77007</v>
      </c>
      <c r="AI4477" t="s">
        <v>4655</v>
      </c>
      <c r="AJ4477" t="s">
        <v>4655</v>
      </c>
      <c r="AK4477" t="s">
        <v>23721</v>
      </c>
      <c r="AL4477" s="13" t="s">
        <v>1893</v>
      </c>
      <c r="AM4477">
        <v>1</v>
      </c>
      <c r="AN4477" s="15" t="s">
        <v>2915</v>
      </c>
    </row>
    <row r="4478" spans="1:40" x14ac:dyDescent="0.3">
      <c r="A4478" s="10" t="str">
        <f>HYPERLINK("http://www.washoecounty.gov/assessor/cama/?parid=131-226-05&amp;CardNumber=1","131-226-05")</f>
        <v>131-226-05</v>
      </c>
      <c r="B4478" t="s">
        <v>4655</v>
      </c>
      <c r="C4478" t="s">
        <v>23722</v>
      </c>
      <c r="D4478" s="1">
        <v>40183</v>
      </c>
      <c r="E4478" s="2">
        <v>600000</v>
      </c>
      <c r="F4478" t="s">
        <v>4567</v>
      </c>
      <c r="G4478" s="17" t="str">
        <f>HYPERLINK("https://www.washoecounty.gov/assessor/cama/?command=sales&amp;parid=13122605","3836464")</f>
        <v>3836464</v>
      </c>
      <c r="H4478" t="s">
        <v>5104</v>
      </c>
      <c r="I4478">
        <v>1978</v>
      </c>
      <c r="J4478">
        <v>1978</v>
      </c>
      <c r="K4478" t="s">
        <v>4554</v>
      </c>
      <c r="L4478" t="s">
        <v>3974</v>
      </c>
      <c r="M4478" s="2">
        <v>1631</v>
      </c>
      <c r="N4478" t="s">
        <v>3147</v>
      </c>
      <c r="O4478">
        <v>3</v>
      </c>
      <c r="P4478">
        <v>2</v>
      </c>
      <c r="Q4478">
        <v>0</v>
      </c>
      <c r="R4478" t="s">
        <v>4557</v>
      </c>
      <c r="S4478" t="s">
        <v>4135</v>
      </c>
      <c r="T4478" t="s">
        <v>4559</v>
      </c>
      <c r="U4478" t="s">
        <v>4655</v>
      </c>
      <c r="V4478" s="2">
        <v>0</v>
      </c>
      <c r="W4478" t="s">
        <v>4655</v>
      </c>
      <c r="X4478" s="2">
        <v>0</v>
      </c>
      <c r="Y4478">
        <v>20</v>
      </c>
      <c r="Z4478" t="s">
        <v>5508</v>
      </c>
      <c r="AA4478" s="3">
        <v>0.628007352352142</v>
      </c>
      <c r="AB4478" t="s">
        <v>23723</v>
      </c>
      <c r="AC4478" t="s">
        <v>4575</v>
      </c>
      <c r="AD4478" t="s">
        <v>23724</v>
      </c>
      <c r="AE4478" t="s">
        <v>4655</v>
      </c>
      <c r="AF4478" t="s">
        <v>5206</v>
      </c>
      <c r="AG4478" t="s">
        <v>4564</v>
      </c>
      <c r="AH4478" t="s">
        <v>5275</v>
      </c>
      <c r="AI4478" t="s">
        <v>23725</v>
      </c>
      <c r="AJ4478" t="s">
        <v>4655</v>
      </c>
      <c r="AK4478" t="s">
        <v>23726</v>
      </c>
      <c r="AL4478" s="13" t="s">
        <v>1893</v>
      </c>
      <c r="AM4478" s="14">
        <v>1</v>
      </c>
      <c r="AN4478" s="15" t="s">
        <v>2921</v>
      </c>
    </row>
    <row r="4479" spans="1:40" x14ac:dyDescent="0.3">
      <c r="A4479" s="10" t="str">
        <f>HYPERLINK("http://www.washoecounty.gov/assessor/cama/?parid=131-226-12&amp;CardNumber=1","131-226-12")</f>
        <v>131-226-12</v>
      </c>
      <c r="B4479" t="s">
        <v>4655</v>
      </c>
      <c r="C4479" t="s">
        <v>23727</v>
      </c>
      <c r="D4479" s="1">
        <v>40247</v>
      </c>
      <c r="E4479" s="2">
        <v>537000</v>
      </c>
      <c r="F4479" t="s">
        <v>4553</v>
      </c>
      <c r="G4479" s="17" t="str">
        <f>HYPERLINK("https://www.washoecounty.gov/assessor/cama/?command=sales&amp;parid=13122612","3858211")</f>
        <v>3858211</v>
      </c>
      <c r="H4479" t="s">
        <v>5104</v>
      </c>
      <c r="I4479">
        <v>1978</v>
      </c>
      <c r="J4479">
        <v>1978</v>
      </c>
      <c r="K4479" t="s">
        <v>4554</v>
      </c>
      <c r="L4479" t="s">
        <v>4555</v>
      </c>
      <c r="M4479" s="2">
        <v>1864</v>
      </c>
      <c r="N4479" t="s">
        <v>3147</v>
      </c>
      <c r="O4479">
        <v>3</v>
      </c>
      <c r="P4479">
        <v>2</v>
      </c>
      <c r="Q4479">
        <v>0</v>
      </c>
      <c r="R4479" t="s">
        <v>4557</v>
      </c>
      <c r="S4479" t="s">
        <v>4135</v>
      </c>
      <c r="T4479" t="s">
        <v>4559</v>
      </c>
      <c r="U4479" t="s">
        <v>4560</v>
      </c>
      <c r="V4479" s="2">
        <v>612</v>
      </c>
      <c r="W4479" t="s">
        <v>4655</v>
      </c>
      <c r="X4479" s="2">
        <v>0</v>
      </c>
      <c r="Y4479">
        <v>20</v>
      </c>
      <c r="Z4479" t="s">
        <v>5508</v>
      </c>
      <c r="AA4479" s="3">
        <v>0.48000457882881198</v>
      </c>
      <c r="AB4479" t="s">
        <v>23728</v>
      </c>
      <c r="AC4479" t="s">
        <v>4575</v>
      </c>
      <c r="AD4479" t="s">
        <v>23729</v>
      </c>
      <c r="AE4479" t="s">
        <v>4655</v>
      </c>
      <c r="AF4479" t="s">
        <v>23730</v>
      </c>
      <c r="AG4479" t="s">
        <v>1539</v>
      </c>
      <c r="AH4479">
        <v>98027</v>
      </c>
      <c r="AI4479" t="s">
        <v>4655</v>
      </c>
      <c r="AJ4479" t="s">
        <v>4655</v>
      </c>
      <c r="AK4479" t="s">
        <v>23731</v>
      </c>
      <c r="AL4479" s="13" t="s">
        <v>1893</v>
      </c>
      <c r="AM4479">
        <v>1</v>
      </c>
      <c r="AN4479" s="15" t="s">
        <v>2921</v>
      </c>
    </row>
    <row r="4480" spans="1:40" x14ac:dyDescent="0.3">
      <c r="A4480" s="10" t="str">
        <f>HYPERLINK("http://www.washoecounty.gov/assessor/cama/?parid=131-233-07&amp;CardNumber=1","131-233-07")</f>
        <v>131-233-07</v>
      </c>
      <c r="B4480" t="s">
        <v>4655</v>
      </c>
      <c r="C4480" t="s">
        <v>23732</v>
      </c>
      <c r="D4480" s="1">
        <v>40458</v>
      </c>
      <c r="E4480" s="2">
        <v>1575000</v>
      </c>
      <c r="F4480" t="s">
        <v>4567</v>
      </c>
      <c r="G4480" s="17" t="str">
        <f>HYPERLINK("https://www.washoecounty.gov/assessor/cama/?command=sales&amp;parid=13123307","3930643")</f>
        <v>3930643</v>
      </c>
      <c r="H4480" t="s">
        <v>5104</v>
      </c>
      <c r="I4480">
        <v>1985</v>
      </c>
      <c r="J4480">
        <v>1999</v>
      </c>
      <c r="K4480" t="s">
        <v>4554</v>
      </c>
      <c r="L4480" t="s">
        <v>3974</v>
      </c>
      <c r="M4480" s="2">
        <v>3722</v>
      </c>
      <c r="N4480" t="s">
        <v>8283</v>
      </c>
      <c r="O4480">
        <v>4</v>
      </c>
      <c r="P4480">
        <v>4</v>
      </c>
      <c r="Q4480">
        <v>1</v>
      </c>
      <c r="R4480" t="s">
        <v>4557</v>
      </c>
      <c r="S4480" t="s">
        <v>4135</v>
      </c>
      <c r="T4480" t="s">
        <v>4559</v>
      </c>
      <c r="U4480" t="s">
        <v>5631</v>
      </c>
      <c r="V4480" s="2">
        <v>600</v>
      </c>
      <c r="W4480" t="s">
        <v>4655</v>
      </c>
      <c r="X4480" s="2">
        <v>0</v>
      </c>
      <c r="Y4480">
        <v>20</v>
      </c>
      <c r="Z4480" t="s">
        <v>5508</v>
      </c>
      <c r="AA4480" s="3">
        <v>0.59800273180007901</v>
      </c>
      <c r="AB4480" t="s">
        <v>23733</v>
      </c>
      <c r="AC4480" t="s">
        <v>4562</v>
      </c>
      <c r="AD4480" t="s">
        <v>23734</v>
      </c>
      <c r="AE4480" t="s">
        <v>4655</v>
      </c>
      <c r="AF4480" t="s">
        <v>23735</v>
      </c>
      <c r="AG4480" t="s">
        <v>4584</v>
      </c>
      <c r="AH4480">
        <v>90275</v>
      </c>
      <c r="AI4480" t="s">
        <v>23736</v>
      </c>
      <c r="AJ4480" t="s">
        <v>4655</v>
      </c>
      <c r="AK4480" t="s">
        <v>23737</v>
      </c>
      <c r="AL4480" s="13" t="s">
        <v>1893</v>
      </c>
      <c r="AM4480" s="14">
        <v>1</v>
      </c>
      <c r="AN4480" s="15" t="s">
        <v>2921</v>
      </c>
    </row>
    <row r="4481" spans="1:40" x14ac:dyDescent="0.3">
      <c r="A4481" s="10" t="str">
        <f>HYPERLINK("http://www.washoecounty.gov/assessor/cama/?parid=131-233-23&amp;CardNumber=1","131-233-23")</f>
        <v>131-233-23</v>
      </c>
      <c r="B4481" t="s">
        <v>4655</v>
      </c>
      <c r="C4481" t="s">
        <v>23738</v>
      </c>
      <c r="D4481" s="1">
        <v>40423</v>
      </c>
      <c r="E4481" s="2">
        <v>2000000</v>
      </c>
      <c r="F4481" t="s">
        <v>4201</v>
      </c>
      <c r="G4481" s="17" t="str">
        <f>HYPERLINK("https://www.washoecounty.gov/assessor/cama/?command=sales&amp;parid=13123323","3918337")</f>
        <v>3918337</v>
      </c>
      <c r="H4481" t="s">
        <v>5104</v>
      </c>
      <c r="I4481">
        <v>1995</v>
      </c>
      <c r="J4481">
        <v>1995</v>
      </c>
      <c r="K4481" t="s">
        <v>4554</v>
      </c>
      <c r="L4481" t="s">
        <v>3974</v>
      </c>
      <c r="M4481" s="2">
        <v>4691</v>
      </c>
      <c r="N4481" t="s">
        <v>3457</v>
      </c>
      <c r="O4481">
        <v>4</v>
      </c>
      <c r="P4481">
        <v>4</v>
      </c>
      <c r="Q4481">
        <v>1</v>
      </c>
      <c r="R4481" t="s">
        <v>5630</v>
      </c>
      <c r="S4481" t="s">
        <v>4135</v>
      </c>
      <c r="T4481" t="s">
        <v>4559</v>
      </c>
      <c r="U4481" t="s">
        <v>4560</v>
      </c>
      <c r="V4481" s="2">
        <v>749</v>
      </c>
      <c r="W4481" t="s">
        <v>4655</v>
      </c>
      <c r="X4481" s="2">
        <v>0</v>
      </c>
      <c r="Y4481">
        <v>20</v>
      </c>
      <c r="Z4481" t="s">
        <v>5508</v>
      </c>
      <c r="AA4481" s="3">
        <v>0.51499080657958896</v>
      </c>
      <c r="AB4481" t="s">
        <v>22940</v>
      </c>
      <c r="AC4481" t="s">
        <v>4575</v>
      </c>
      <c r="AD4481" t="s">
        <v>23739</v>
      </c>
      <c r="AE4481" t="s">
        <v>23740</v>
      </c>
      <c r="AF4481" t="s">
        <v>5206</v>
      </c>
      <c r="AG4481" t="s">
        <v>4564</v>
      </c>
      <c r="AH4481" t="s">
        <v>5275</v>
      </c>
      <c r="AI4481" t="s">
        <v>23009</v>
      </c>
      <c r="AJ4481" t="s">
        <v>4655</v>
      </c>
      <c r="AK4481" t="s">
        <v>23741</v>
      </c>
      <c r="AL4481" s="13" t="s">
        <v>1893</v>
      </c>
      <c r="AM4481">
        <v>1</v>
      </c>
      <c r="AN4481" s="15" t="s">
        <v>2921</v>
      </c>
    </row>
    <row r="4482" spans="1:40" x14ac:dyDescent="0.3">
      <c r="A4482" s="10" t="str">
        <f>HYPERLINK("http://www.washoecounty.gov/assessor/cama/?parid=131-234-06&amp;CardNumber=1","131-234-06")</f>
        <v>131-234-06</v>
      </c>
      <c r="B4482" t="s">
        <v>4655</v>
      </c>
      <c r="C4482" t="s">
        <v>23742</v>
      </c>
      <c r="D4482" s="1">
        <v>40350</v>
      </c>
      <c r="E4482" s="2">
        <v>700000</v>
      </c>
      <c r="F4482" t="s">
        <v>3259</v>
      </c>
      <c r="G4482" s="17" t="str">
        <f>HYPERLINK("https://www.washoecounty.gov/assessor/cama/?command=sales&amp;parid=13123406","3893967")</f>
        <v>3893967</v>
      </c>
      <c r="H4482" t="s">
        <v>5104</v>
      </c>
      <c r="I4482">
        <v>1974</v>
      </c>
      <c r="J4482">
        <v>1983</v>
      </c>
      <c r="K4482" t="s">
        <v>4554</v>
      </c>
      <c r="L4482" t="s">
        <v>3044</v>
      </c>
      <c r="M4482" s="2">
        <v>2392</v>
      </c>
      <c r="N4482" t="s">
        <v>1245</v>
      </c>
      <c r="O4482">
        <v>4</v>
      </c>
      <c r="P4482">
        <v>3</v>
      </c>
      <c r="Q4482">
        <v>1</v>
      </c>
      <c r="R4482" t="s">
        <v>1186</v>
      </c>
      <c r="S4482" t="s">
        <v>4135</v>
      </c>
      <c r="T4482" t="s">
        <v>4559</v>
      </c>
      <c r="U4482" t="s">
        <v>4655</v>
      </c>
      <c r="V4482" s="2">
        <v>0</v>
      </c>
      <c r="W4482" t="s">
        <v>4655</v>
      </c>
      <c r="X4482" s="2">
        <v>0</v>
      </c>
      <c r="Y4482">
        <v>20</v>
      </c>
      <c r="Z4482" t="s">
        <v>5508</v>
      </c>
      <c r="AA4482" s="3">
        <v>0.60700184106826705</v>
      </c>
      <c r="AB4482" t="s">
        <v>23743</v>
      </c>
      <c r="AC4482" t="s">
        <v>4562</v>
      </c>
      <c r="AD4482" t="s">
        <v>23744</v>
      </c>
      <c r="AE4482" t="s">
        <v>4655</v>
      </c>
      <c r="AF4482" t="s">
        <v>5206</v>
      </c>
      <c r="AG4482" t="s">
        <v>4564</v>
      </c>
      <c r="AH4482" t="s">
        <v>23745</v>
      </c>
      <c r="AI4482" t="s">
        <v>23746</v>
      </c>
      <c r="AJ4482" t="s">
        <v>4655</v>
      </c>
      <c r="AK4482" t="s">
        <v>23747</v>
      </c>
      <c r="AL4482" s="13" t="s">
        <v>1893</v>
      </c>
      <c r="AM4482" s="14">
        <v>1</v>
      </c>
      <c r="AN4482" s="15" t="s">
        <v>2921</v>
      </c>
    </row>
    <row r="4483" spans="1:40" x14ac:dyDescent="0.3">
      <c r="A4483" s="10" t="str">
        <f>HYPERLINK("http://www.washoecounty.gov/assessor/cama/?parid=131-234-14&amp;CardNumber=1","131-234-14")</f>
        <v>131-234-14</v>
      </c>
      <c r="B4483" t="s">
        <v>4655</v>
      </c>
      <c r="C4483" t="s">
        <v>23748</v>
      </c>
      <c r="D4483" s="1">
        <v>40214</v>
      </c>
      <c r="E4483" s="2">
        <v>735000</v>
      </c>
      <c r="F4483" t="s">
        <v>3512</v>
      </c>
      <c r="G4483" s="17" t="str">
        <f>HYPERLINK("https://www.washoecounty.gov/assessor/cama/?command=sales&amp;parid=13123414","3846313")</f>
        <v>3846313</v>
      </c>
      <c r="H4483" t="s">
        <v>23749</v>
      </c>
      <c r="I4483">
        <v>1976</v>
      </c>
      <c r="J4483">
        <v>1976</v>
      </c>
      <c r="K4483" t="s">
        <v>4554</v>
      </c>
      <c r="L4483" t="s">
        <v>3044</v>
      </c>
      <c r="M4483" s="2">
        <v>3094</v>
      </c>
      <c r="N4483" t="s">
        <v>5106</v>
      </c>
      <c r="O4483">
        <v>6</v>
      </c>
      <c r="P4483">
        <v>4</v>
      </c>
      <c r="Q4483">
        <v>0</v>
      </c>
      <c r="R4483" t="s">
        <v>4557</v>
      </c>
      <c r="S4483" t="s">
        <v>4135</v>
      </c>
      <c r="T4483" t="s">
        <v>4559</v>
      </c>
      <c r="U4483" t="s">
        <v>5631</v>
      </c>
      <c r="V4483" s="2">
        <v>1336</v>
      </c>
      <c r="W4483" t="s">
        <v>4655</v>
      </c>
      <c r="X4483" s="2">
        <v>0</v>
      </c>
      <c r="Y4483">
        <v>20</v>
      </c>
      <c r="Z4483" t="s">
        <v>5508</v>
      </c>
      <c r="AA4483" s="3">
        <v>0.63399910926818803</v>
      </c>
      <c r="AB4483" t="s">
        <v>23750</v>
      </c>
      <c r="AC4483" t="s">
        <v>4562</v>
      </c>
      <c r="AD4483" t="s">
        <v>23751</v>
      </c>
      <c r="AE4483" t="s">
        <v>4655</v>
      </c>
      <c r="AF4483" t="s">
        <v>5206</v>
      </c>
      <c r="AG4483" t="s">
        <v>4564</v>
      </c>
      <c r="AH4483" t="s">
        <v>5275</v>
      </c>
      <c r="AI4483" t="s">
        <v>23752</v>
      </c>
      <c r="AJ4483" t="s">
        <v>4655</v>
      </c>
      <c r="AK4483" t="s">
        <v>23753</v>
      </c>
      <c r="AL4483" s="13" t="s">
        <v>1893</v>
      </c>
      <c r="AM4483" s="14">
        <v>1</v>
      </c>
      <c r="AN4483" s="15" t="s">
        <v>2921</v>
      </c>
    </row>
    <row r="4484" spans="1:40" x14ac:dyDescent="0.3">
      <c r="A4484" s="10" t="str">
        <f>HYPERLINK("http://www.washoecounty.gov/assessor/cama/?parid=131-250-02&amp;CardNumber=1","131-250-02")</f>
        <v>131-250-02</v>
      </c>
      <c r="B4484" t="s">
        <v>4655</v>
      </c>
      <c r="C4484" t="s">
        <v>23754</v>
      </c>
      <c r="D4484" s="1">
        <v>40204</v>
      </c>
      <c r="E4484" s="2">
        <v>1400000</v>
      </c>
      <c r="F4484" t="s">
        <v>3259</v>
      </c>
      <c r="G4484" s="17" t="str">
        <f>HYPERLINK("https://www.washoecounty.gov/assessor/cama/?command=sales&amp;parid=13125002","3842650")</f>
        <v>3842650</v>
      </c>
      <c r="H4484" t="s">
        <v>4183</v>
      </c>
      <c r="I4484">
        <v>1977</v>
      </c>
      <c r="J4484">
        <v>1986</v>
      </c>
      <c r="K4484" t="s">
        <v>4554</v>
      </c>
      <c r="L4484" t="s">
        <v>3974</v>
      </c>
      <c r="M4484" s="2">
        <v>3552</v>
      </c>
      <c r="N4484" t="s">
        <v>1245</v>
      </c>
      <c r="O4484">
        <v>4</v>
      </c>
      <c r="P4484">
        <v>3</v>
      </c>
      <c r="Q4484">
        <v>1</v>
      </c>
      <c r="R4484" t="s">
        <v>4557</v>
      </c>
      <c r="S4484" t="s">
        <v>4135</v>
      </c>
      <c r="T4484" t="s">
        <v>4559</v>
      </c>
      <c r="U4484" t="s">
        <v>4560</v>
      </c>
      <c r="V4484" s="2">
        <v>884</v>
      </c>
      <c r="W4484" t="s">
        <v>4655</v>
      </c>
      <c r="X4484" s="2">
        <v>0</v>
      </c>
      <c r="Y4484">
        <v>20</v>
      </c>
      <c r="Z4484" t="s">
        <v>5508</v>
      </c>
      <c r="AA4484" s="3">
        <v>0.55700182914733798</v>
      </c>
      <c r="AB4484" t="s">
        <v>23755</v>
      </c>
      <c r="AC4484" t="s">
        <v>4575</v>
      </c>
      <c r="AD4484" t="s">
        <v>23754</v>
      </c>
      <c r="AE4484" t="s">
        <v>4655</v>
      </c>
      <c r="AF4484" t="s">
        <v>5206</v>
      </c>
      <c r="AG4484" t="s">
        <v>4564</v>
      </c>
      <c r="AH4484" t="s">
        <v>5207</v>
      </c>
      <c r="AI4484" t="s">
        <v>23756</v>
      </c>
      <c r="AJ4484" t="s">
        <v>4655</v>
      </c>
      <c r="AK4484" t="s">
        <v>23757</v>
      </c>
      <c r="AL4484" s="13" t="s">
        <v>1893</v>
      </c>
      <c r="AM4484">
        <v>1</v>
      </c>
      <c r="AN4484" s="15" t="s">
        <v>2920</v>
      </c>
    </row>
    <row r="4485" spans="1:40" x14ac:dyDescent="0.3">
      <c r="A4485" s="10" t="str">
        <f>HYPERLINK("http://www.washoecounty.gov/assessor/cama/?parid=131-250-14&amp;CardNumber=1","131-250-14")</f>
        <v>131-250-14</v>
      </c>
      <c r="B4485" t="s">
        <v>4655</v>
      </c>
      <c r="C4485" t="s">
        <v>23758</v>
      </c>
      <c r="D4485" s="1">
        <v>40472</v>
      </c>
      <c r="E4485" s="2">
        <v>850000</v>
      </c>
      <c r="F4485" t="s">
        <v>3259</v>
      </c>
      <c r="G4485" s="17" t="str">
        <f>HYPERLINK("https://www.washoecounty.gov/assessor/cama/?command=sales&amp;parid=13125014","3935265")</f>
        <v>3935265</v>
      </c>
      <c r="H4485" t="s">
        <v>4183</v>
      </c>
      <c r="I4485">
        <v>1977</v>
      </c>
      <c r="J4485">
        <v>1980</v>
      </c>
      <c r="K4485" t="s">
        <v>4554</v>
      </c>
      <c r="L4485" t="s">
        <v>4555</v>
      </c>
      <c r="M4485" s="2">
        <v>2252</v>
      </c>
      <c r="N4485" t="s">
        <v>3147</v>
      </c>
      <c r="O4485">
        <v>3</v>
      </c>
      <c r="P4485">
        <v>2</v>
      </c>
      <c r="Q4485">
        <v>1</v>
      </c>
      <c r="R4485" t="s">
        <v>4557</v>
      </c>
      <c r="S4485" t="s">
        <v>4135</v>
      </c>
      <c r="T4485" t="s">
        <v>4143</v>
      </c>
      <c r="U4485" t="s">
        <v>4560</v>
      </c>
      <c r="V4485" s="2">
        <v>575</v>
      </c>
      <c r="W4485" t="s">
        <v>4655</v>
      </c>
      <c r="X4485" s="2">
        <v>0</v>
      </c>
      <c r="Y4485">
        <v>20</v>
      </c>
      <c r="Z4485" t="s">
        <v>5508</v>
      </c>
      <c r="AA4485" s="3">
        <v>0.52300274372100797</v>
      </c>
      <c r="AB4485" t="s">
        <v>23759</v>
      </c>
      <c r="AC4485" t="s">
        <v>4575</v>
      </c>
      <c r="AD4485" t="s">
        <v>23760</v>
      </c>
      <c r="AE4485" t="s">
        <v>4655</v>
      </c>
      <c r="AF4485" t="s">
        <v>23761</v>
      </c>
      <c r="AG4485" t="s">
        <v>4584</v>
      </c>
      <c r="AH4485">
        <v>94062</v>
      </c>
      <c r="AI4485" t="s">
        <v>23762</v>
      </c>
      <c r="AJ4485" t="s">
        <v>4655</v>
      </c>
      <c r="AK4485" t="s">
        <v>23763</v>
      </c>
      <c r="AL4485" s="13" t="s">
        <v>1893</v>
      </c>
      <c r="AM4485">
        <v>1</v>
      </c>
      <c r="AN4485" s="15" t="s">
        <v>2920</v>
      </c>
    </row>
    <row r="4486" spans="1:40" x14ac:dyDescent="0.3">
      <c r="A4486" s="10" t="str">
        <f>HYPERLINK("http://www.washoecounty.gov/assessor/cama/?parid=131-250-18&amp;CardNumber=1","131-250-18")</f>
        <v>131-250-18</v>
      </c>
      <c r="B4486" t="s">
        <v>4655</v>
      </c>
      <c r="C4486" t="s">
        <v>23764</v>
      </c>
      <c r="D4486" s="1">
        <v>40191</v>
      </c>
      <c r="E4486" s="2">
        <v>1250000</v>
      </c>
      <c r="F4486" t="s">
        <v>4553</v>
      </c>
      <c r="G4486" s="17" t="str">
        <f>HYPERLINK("https://www.washoecounty.gov/assessor/cama/?command=sales&amp;parid=13125018","3838753")</f>
        <v>3838753</v>
      </c>
      <c r="H4486" t="s">
        <v>4183</v>
      </c>
      <c r="I4486">
        <v>1977</v>
      </c>
      <c r="J4486">
        <v>1991</v>
      </c>
      <c r="K4486" t="s">
        <v>4554</v>
      </c>
      <c r="L4486" t="s">
        <v>3974</v>
      </c>
      <c r="M4486" s="2">
        <v>3877</v>
      </c>
      <c r="N4486" t="s">
        <v>2008</v>
      </c>
      <c r="O4486">
        <v>4</v>
      </c>
      <c r="P4486">
        <v>4</v>
      </c>
      <c r="Q4486">
        <v>1</v>
      </c>
      <c r="R4486" t="s">
        <v>4557</v>
      </c>
      <c r="S4486" t="s">
        <v>4135</v>
      </c>
      <c r="T4486" t="s">
        <v>4559</v>
      </c>
      <c r="U4486" t="s">
        <v>5631</v>
      </c>
      <c r="V4486" s="2">
        <v>912</v>
      </c>
      <c r="W4486" t="s">
        <v>4655</v>
      </c>
      <c r="X4486" s="2">
        <v>0</v>
      </c>
      <c r="Y4486">
        <v>20</v>
      </c>
      <c r="Z4486" t="s">
        <v>5508</v>
      </c>
      <c r="AA4486" s="3">
        <v>0.60300731658935502</v>
      </c>
      <c r="AB4486" t="s">
        <v>23765</v>
      </c>
      <c r="AC4486" t="s">
        <v>4575</v>
      </c>
      <c r="AD4486" t="s">
        <v>23766</v>
      </c>
      <c r="AE4486" t="s">
        <v>4655</v>
      </c>
      <c r="AF4486" t="s">
        <v>4054</v>
      </c>
      <c r="AG4486" t="s">
        <v>4564</v>
      </c>
      <c r="AH4486" t="s">
        <v>5207</v>
      </c>
      <c r="AI4486" t="s">
        <v>4045</v>
      </c>
      <c r="AJ4486" t="s">
        <v>4655</v>
      </c>
      <c r="AK4486" t="s">
        <v>23767</v>
      </c>
      <c r="AL4486" s="13" t="s">
        <v>1893</v>
      </c>
      <c r="AM4486">
        <v>1</v>
      </c>
      <c r="AN4486" s="15" t="s">
        <v>2920</v>
      </c>
    </row>
    <row r="4487" spans="1:40" x14ac:dyDescent="0.3">
      <c r="A4487" s="10" t="str">
        <f>HYPERLINK("http://www.washoecounty.gov/assessor/cama/?parid=131-250-29&amp;CardNumber=1","131-250-29")</f>
        <v>131-250-29</v>
      </c>
      <c r="B4487" t="s">
        <v>4655</v>
      </c>
      <c r="C4487" t="s">
        <v>23768</v>
      </c>
      <c r="D4487" s="1">
        <v>40221</v>
      </c>
      <c r="E4487" s="2">
        <v>1861000</v>
      </c>
      <c r="F4487" t="s">
        <v>3259</v>
      </c>
      <c r="G4487" s="17" t="str">
        <f>HYPERLINK("https://www.washoecounty.gov/assessor/cama/?command=sales&amp;parid=13125029","3848824")</f>
        <v>3848824</v>
      </c>
      <c r="H4487" t="s">
        <v>23769</v>
      </c>
      <c r="I4487">
        <v>2008</v>
      </c>
      <c r="J4487">
        <v>2008</v>
      </c>
      <c r="K4487" t="s">
        <v>4554</v>
      </c>
      <c r="L4487" t="s">
        <v>3974</v>
      </c>
      <c r="M4487" s="2">
        <v>5742</v>
      </c>
      <c r="N4487" t="s">
        <v>4588</v>
      </c>
      <c r="O4487">
        <v>4</v>
      </c>
      <c r="P4487">
        <v>5</v>
      </c>
      <c r="Q4487">
        <v>2</v>
      </c>
      <c r="R4487" t="s">
        <v>5630</v>
      </c>
      <c r="S4487" t="s">
        <v>4135</v>
      </c>
      <c r="T4487" t="s">
        <v>4559</v>
      </c>
      <c r="U4487" t="s">
        <v>5631</v>
      </c>
      <c r="V4487" s="2">
        <v>876</v>
      </c>
      <c r="W4487" t="s">
        <v>4655</v>
      </c>
      <c r="X4487" s="2">
        <v>0</v>
      </c>
      <c r="Y4487">
        <v>20</v>
      </c>
      <c r="Z4487" t="s">
        <v>5508</v>
      </c>
      <c r="AA4487" s="3">
        <v>0.43999081850051902</v>
      </c>
      <c r="AB4487" t="s">
        <v>23770</v>
      </c>
      <c r="AC4487" t="s">
        <v>4575</v>
      </c>
      <c r="AD4487" t="s">
        <v>23771</v>
      </c>
      <c r="AE4487" t="s">
        <v>4655</v>
      </c>
      <c r="AF4487" t="s">
        <v>5206</v>
      </c>
      <c r="AG4487" t="s">
        <v>4564</v>
      </c>
      <c r="AH4487" t="s">
        <v>5275</v>
      </c>
      <c r="AI4487" t="s">
        <v>23772</v>
      </c>
      <c r="AJ4487" t="s">
        <v>4655</v>
      </c>
      <c r="AK4487" t="s">
        <v>23773</v>
      </c>
      <c r="AL4487" s="13" t="s">
        <v>1893</v>
      </c>
      <c r="AM4487">
        <v>1</v>
      </c>
      <c r="AN4487" s="15" t="s">
        <v>23598</v>
      </c>
    </row>
    <row r="4488" spans="1:40" x14ac:dyDescent="0.3">
      <c r="A4488" s="10" t="str">
        <f>HYPERLINK("http://www.washoecounty.gov/assessor/cama/?parid=131-261-21&amp;CardNumber=1","131-261-21")</f>
        <v>131-261-21</v>
      </c>
      <c r="B4488" t="s">
        <v>4655</v>
      </c>
      <c r="C4488" t="s">
        <v>23774</v>
      </c>
      <c r="D4488" s="1">
        <v>40343</v>
      </c>
      <c r="E4488" s="2">
        <v>970000</v>
      </c>
      <c r="F4488" t="s">
        <v>3259</v>
      </c>
      <c r="G4488" s="17" t="str">
        <f>HYPERLINK("https://www.washoecounty.gov/assessor/cama/?command=sales&amp;parid=13126121","3891539")</f>
        <v>3891539</v>
      </c>
      <c r="H4488" t="s">
        <v>4183</v>
      </c>
      <c r="I4488">
        <v>1981</v>
      </c>
      <c r="J4488">
        <v>1982</v>
      </c>
      <c r="K4488" t="s">
        <v>4554</v>
      </c>
      <c r="L4488" t="s">
        <v>3886</v>
      </c>
      <c r="M4488" s="2">
        <v>3008</v>
      </c>
      <c r="N4488" t="s">
        <v>1245</v>
      </c>
      <c r="O4488">
        <v>4</v>
      </c>
      <c r="P4488">
        <v>3</v>
      </c>
      <c r="Q4488">
        <v>1</v>
      </c>
      <c r="R4488" t="s">
        <v>5205</v>
      </c>
      <c r="S4488" t="s">
        <v>4135</v>
      </c>
      <c r="T4488" t="s">
        <v>4559</v>
      </c>
      <c r="U4488" t="s">
        <v>4560</v>
      </c>
      <c r="V4488" s="2">
        <v>696</v>
      </c>
      <c r="W4488" t="s">
        <v>4655</v>
      </c>
      <c r="X4488" s="2">
        <v>0</v>
      </c>
      <c r="Y4488">
        <v>20</v>
      </c>
      <c r="Z4488" t="s">
        <v>5508</v>
      </c>
      <c r="AA4488" s="3">
        <v>0.53900367021560602</v>
      </c>
      <c r="AB4488" t="s">
        <v>23775</v>
      </c>
      <c r="AC4488" t="s">
        <v>4575</v>
      </c>
      <c r="AD4488" t="s">
        <v>23776</v>
      </c>
      <c r="AE4488" t="s">
        <v>4655</v>
      </c>
      <c r="AF4488" t="s">
        <v>23777</v>
      </c>
      <c r="AG4488" t="s">
        <v>4584</v>
      </c>
      <c r="AH4488" t="s">
        <v>23778</v>
      </c>
      <c r="AI4488" t="s">
        <v>23779</v>
      </c>
      <c r="AJ4488" t="s">
        <v>4655</v>
      </c>
      <c r="AK4488" t="s">
        <v>23780</v>
      </c>
      <c r="AL4488" s="13" t="s">
        <v>1893</v>
      </c>
      <c r="AM4488" s="14">
        <v>1</v>
      </c>
      <c r="AN4488" s="15" t="s">
        <v>2920</v>
      </c>
    </row>
    <row r="4489" spans="1:40" x14ac:dyDescent="0.3">
      <c r="A4489" s="10" t="str">
        <f>HYPERLINK("http://www.washoecounty.gov/assessor/cama/?parid=131-270-06&amp;CardNumber=1","131-270-06")</f>
        <v>131-270-06</v>
      </c>
      <c r="B4489" t="s">
        <v>4655</v>
      </c>
      <c r="C4489" t="s">
        <v>23781</v>
      </c>
      <c r="D4489" s="1">
        <v>40289</v>
      </c>
      <c r="E4489" s="2">
        <v>350000</v>
      </c>
      <c r="F4489" t="s">
        <v>4567</v>
      </c>
      <c r="G4489" s="17" t="str">
        <f>HYPERLINK("https://www.washoecounty.gov/assessor/cama/?command=sales&amp;parid=13127006","3873335")</f>
        <v>3873335</v>
      </c>
      <c r="H4489" t="s">
        <v>23782</v>
      </c>
      <c r="I4489">
        <v>1971</v>
      </c>
      <c r="J4489">
        <v>1971</v>
      </c>
      <c r="K4489" t="s">
        <v>4897</v>
      </c>
      <c r="L4489" t="s">
        <v>3974</v>
      </c>
      <c r="M4489" s="2">
        <v>1584</v>
      </c>
      <c r="N4489" t="s">
        <v>5280</v>
      </c>
      <c r="O4489">
        <v>3</v>
      </c>
      <c r="P4489">
        <v>3</v>
      </c>
      <c r="Q4489">
        <v>0</v>
      </c>
      <c r="R4489" t="s">
        <v>4557</v>
      </c>
      <c r="S4489" t="s">
        <v>4135</v>
      </c>
      <c r="T4489" t="s">
        <v>4559</v>
      </c>
      <c r="U4489" t="s">
        <v>4655</v>
      </c>
      <c r="V4489" s="2">
        <v>0</v>
      </c>
      <c r="W4489" t="s">
        <v>4655</v>
      </c>
      <c r="X4489" s="2">
        <v>0</v>
      </c>
      <c r="Y4489">
        <v>21</v>
      </c>
      <c r="Z4489" t="s">
        <v>718</v>
      </c>
      <c r="AA4489" s="3">
        <v>1.00000004749745E-3</v>
      </c>
      <c r="AB4489" t="s">
        <v>23783</v>
      </c>
      <c r="AC4489" t="s">
        <v>4575</v>
      </c>
      <c r="AD4489" t="s">
        <v>23784</v>
      </c>
      <c r="AE4489" t="s">
        <v>4655</v>
      </c>
      <c r="AF4489" t="s">
        <v>5201</v>
      </c>
      <c r="AG4489" t="s">
        <v>4564</v>
      </c>
      <c r="AH4489" t="s">
        <v>1605</v>
      </c>
      <c r="AI4489" t="s">
        <v>23785</v>
      </c>
      <c r="AJ4489" t="s">
        <v>4655</v>
      </c>
      <c r="AK4489" t="s">
        <v>23786</v>
      </c>
      <c r="AL4489" s="13" t="s">
        <v>1893</v>
      </c>
      <c r="AM4489" s="14">
        <v>1</v>
      </c>
      <c r="AN4489" s="15" t="s">
        <v>23713</v>
      </c>
    </row>
    <row r="4490" spans="1:40" x14ac:dyDescent="0.3">
      <c r="A4490" s="10" t="str">
        <f>HYPERLINK("http://www.washoecounty.gov/assessor/cama/?parid=131-330-01&amp;CardNumber=1","131-330-01")</f>
        <v>131-330-01</v>
      </c>
      <c r="B4490" t="s">
        <v>4655</v>
      </c>
      <c r="C4490" t="s">
        <v>23787</v>
      </c>
      <c r="D4490" s="1">
        <v>40205</v>
      </c>
      <c r="E4490" s="2">
        <v>370000</v>
      </c>
      <c r="F4490" t="s">
        <v>4567</v>
      </c>
      <c r="G4490" s="17" t="str">
        <f>HYPERLINK("https://www.washoecounty.gov/assessor/cama/?command=sales&amp;parid=13133001","3843343")</f>
        <v>3843343</v>
      </c>
      <c r="H4490" t="s">
        <v>23788</v>
      </c>
      <c r="I4490">
        <v>1980</v>
      </c>
      <c r="J4490">
        <v>1980</v>
      </c>
      <c r="K4490" t="s">
        <v>4897</v>
      </c>
      <c r="L4490" t="s">
        <v>3886</v>
      </c>
      <c r="M4490" s="2">
        <v>1352</v>
      </c>
      <c r="N4490" t="s">
        <v>3147</v>
      </c>
      <c r="O4490">
        <v>3</v>
      </c>
      <c r="P4490">
        <v>2</v>
      </c>
      <c r="Q4490">
        <v>0</v>
      </c>
      <c r="R4490" t="s">
        <v>4557</v>
      </c>
      <c r="S4490" t="s">
        <v>4135</v>
      </c>
      <c r="T4490" t="s">
        <v>4559</v>
      </c>
      <c r="U4490" t="s">
        <v>5631</v>
      </c>
      <c r="V4490" s="2">
        <v>288</v>
      </c>
      <c r="W4490" t="s">
        <v>4655</v>
      </c>
      <c r="X4490" s="2">
        <v>0</v>
      </c>
      <c r="Y4490">
        <v>21</v>
      </c>
      <c r="Z4490" t="s">
        <v>718</v>
      </c>
      <c r="AA4490" s="3">
        <v>1.00000004749745E-3</v>
      </c>
      <c r="AB4490" t="s">
        <v>23789</v>
      </c>
      <c r="AC4490" t="s">
        <v>4562</v>
      </c>
      <c r="AD4490" t="s">
        <v>23790</v>
      </c>
      <c r="AE4490" t="s">
        <v>4655</v>
      </c>
      <c r="AF4490" t="s">
        <v>5206</v>
      </c>
      <c r="AG4490" t="s">
        <v>4564</v>
      </c>
      <c r="AH4490" t="s">
        <v>5207</v>
      </c>
      <c r="AI4490" t="s">
        <v>23791</v>
      </c>
      <c r="AJ4490" t="s">
        <v>4655</v>
      </c>
      <c r="AK4490" t="s">
        <v>23792</v>
      </c>
      <c r="AL4490" s="13" t="s">
        <v>1893</v>
      </c>
      <c r="AM4490">
        <v>1</v>
      </c>
      <c r="AN4490" s="15" t="s">
        <v>4658</v>
      </c>
    </row>
    <row r="4491" spans="1:40" x14ac:dyDescent="0.3">
      <c r="A4491" s="10" t="str">
        <f>HYPERLINK("http://www.washoecounty.gov/assessor/cama/?parid=131-340-01&amp;CardNumber=1","131-340-01")</f>
        <v>131-340-01</v>
      </c>
      <c r="B4491" t="s">
        <v>4655</v>
      </c>
      <c r="C4491" t="s">
        <v>3999</v>
      </c>
      <c r="D4491" s="1">
        <v>40417</v>
      </c>
      <c r="E4491" s="2">
        <v>250000</v>
      </c>
      <c r="F4491" t="s">
        <v>4553</v>
      </c>
      <c r="G4491" s="17" t="str">
        <f>HYPERLINK("https://www.washoecounty.gov/assessor/cama/?command=sales&amp;parid=13134001","3916534")</f>
        <v>3916534</v>
      </c>
      <c r="H4491" t="s">
        <v>4000</v>
      </c>
      <c r="I4491">
        <v>1981</v>
      </c>
      <c r="J4491">
        <v>1981</v>
      </c>
      <c r="K4491" t="s">
        <v>4897</v>
      </c>
      <c r="L4491" t="s">
        <v>3974</v>
      </c>
      <c r="M4491" s="2">
        <v>2044</v>
      </c>
      <c r="N4491" t="s">
        <v>5280</v>
      </c>
      <c r="O4491">
        <v>4</v>
      </c>
      <c r="P4491">
        <v>2</v>
      </c>
      <c r="Q4491">
        <v>0</v>
      </c>
      <c r="R4491" t="s">
        <v>4557</v>
      </c>
      <c r="S4491" t="s">
        <v>4135</v>
      </c>
      <c r="T4491" t="s">
        <v>4559</v>
      </c>
      <c r="U4491" t="s">
        <v>5631</v>
      </c>
      <c r="V4491" s="2">
        <v>528</v>
      </c>
      <c r="W4491" t="s">
        <v>4655</v>
      </c>
      <c r="X4491" s="2">
        <v>0</v>
      </c>
      <c r="Y4491">
        <v>21</v>
      </c>
      <c r="Z4491" t="s">
        <v>718</v>
      </c>
      <c r="AA4491" s="3">
        <v>1.00000004749745E-3</v>
      </c>
      <c r="AB4491" t="s">
        <v>23793</v>
      </c>
      <c r="AC4491" t="s">
        <v>4562</v>
      </c>
      <c r="AD4491" t="s">
        <v>23794</v>
      </c>
      <c r="AE4491" t="s">
        <v>4655</v>
      </c>
      <c r="AF4491" t="s">
        <v>23795</v>
      </c>
      <c r="AG4491" t="s">
        <v>4584</v>
      </c>
      <c r="AH4491" t="s">
        <v>23778</v>
      </c>
      <c r="AI4491" t="s">
        <v>2351</v>
      </c>
      <c r="AJ4491" t="s">
        <v>4655</v>
      </c>
      <c r="AK4491" t="s">
        <v>23796</v>
      </c>
      <c r="AL4491" s="13" t="s">
        <v>1893</v>
      </c>
      <c r="AM4491" s="14">
        <v>1</v>
      </c>
      <c r="AN4491" s="15" t="s">
        <v>3976</v>
      </c>
    </row>
    <row r="4492" spans="1:40" x14ac:dyDescent="0.3">
      <c r="A4492" s="10" t="str">
        <f>HYPERLINK("http://www.washoecounty.gov/assessor/cama/?parid=131-340-03&amp;CardNumber=1","131-340-03")</f>
        <v>131-340-03</v>
      </c>
      <c r="B4492" t="s">
        <v>4655</v>
      </c>
      <c r="C4492" t="s">
        <v>3999</v>
      </c>
      <c r="D4492" s="1">
        <v>40340</v>
      </c>
      <c r="E4492" s="2">
        <v>164000</v>
      </c>
      <c r="F4492" t="s">
        <v>4553</v>
      </c>
      <c r="G4492" s="17" t="str">
        <f>HYPERLINK("https://www.washoecounty.gov/assessor/cama/?command=sales&amp;parid=13134003","3890924")</f>
        <v>3890924</v>
      </c>
      <c r="H4492" t="s">
        <v>4000</v>
      </c>
      <c r="I4492">
        <v>1981</v>
      </c>
      <c r="J4492">
        <v>1981</v>
      </c>
      <c r="K4492" t="s">
        <v>3144</v>
      </c>
      <c r="L4492" t="s">
        <v>3974</v>
      </c>
      <c r="M4492" s="2">
        <v>2044</v>
      </c>
      <c r="N4492" t="s">
        <v>5280</v>
      </c>
      <c r="O4492">
        <v>4</v>
      </c>
      <c r="P4492">
        <v>2</v>
      </c>
      <c r="Q4492">
        <v>0</v>
      </c>
      <c r="R4492" t="s">
        <v>4557</v>
      </c>
      <c r="S4492" t="s">
        <v>4135</v>
      </c>
      <c r="T4492" t="s">
        <v>4559</v>
      </c>
      <c r="U4492" t="s">
        <v>5631</v>
      </c>
      <c r="V4492" s="2">
        <v>528</v>
      </c>
      <c r="W4492" t="s">
        <v>4655</v>
      </c>
      <c r="X4492" s="2">
        <v>0</v>
      </c>
      <c r="Y4492">
        <v>21</v>
      </c>
      <c r="Z4492" t="s">
        <v>718</v>
      </c>
      <c r="AA4492" s="3">
        <v>1.00000004749745E-3</v>
      </c>
      <c r="AB4492" t="s">
        <v>23797</v>
      </c>
      <c r="AC4492" t="s">
        <v>4562</v>
      </c>
      <c r="AD4492" t="s">
        <v>23798</v>
      </c>
      <c r="AE4492" t="s">
        <v>4655</v>
      </c>
      <c r="AF4492" t="s">
        <v>1789</v>
      </c>
      <c r="AG4492" t="s">
        <v>4584</v>
      </c>
      <c r="AH4492" t="s">
        <v>3695</v>
      </c>
      <c r="AI4492" t="s">
        <v>4903</v>
      </c>
      <c r="AJ4492" t="s">
        <v>4655</v>
      </c>
      <c r="AK4492" t="s">
        <v>23799</v>
      </c>
      <c r="AL4492" s="13" t="s">
        <v>1893</v>
      </c>
      <c r="AM4492">
        <v>1</v>
      </c>
      <c r="AN4492" s="15" t="s">
        <v>3976</v>
      </c>
    </row>
    <row r="4493" spans="1:40" x14ac:dyDescent="0.3">
      <c r="A4493" s="10" t="str">
        <f>HYPERLINK("http://www.washoecounty.gov/assessor/cama/?parid=131-340-05&amp;CardNumber=1","131-340-05")</f>
        <v>131-340-05</v>
      </c>
      <c r="B4493" t="s">
        <v>4655</v>
      </c>
      <c r="C4493" t="s">
        <v>3999</v>
      </c>
      <c r="D4493" s="1">
        <v>40318</v>
      </c>
      <c r="E4493" s="2">
        <v>225000</v>
      </c>
      <c r="F4493" t="s">
        <v>4567</v>
      </c>
      <c r="G4493" s="17" t="str">
        <f>HYPERLINK("https://www.washoecounty.gov/assessor/cama/?command=sales&amp;parid=13134005","3883249")</f>
        <v>3883249</v>
      </c>
      <c r="H4493" t="s">
        <v>4000</v>
      </c>
      <c r="I4493">
        <v>1981</v>
      </c>
      <c r="J4493">
        <v>1981</v>
      </c>
      <c r="K4493" t="s">
        <v>4897</v>
      </c>
      <c r="L4493" t="s">
        <v>3974</v>
      </c>
      <c r="M4493" s="2">
        <v>2044</v>
      </c>
      <c r="N4493" t="s">
        <v>5280</v>
      </c>
      <c r="O4493">
        <v>4</v>
      </c>
      <c r="P4493">
        <v>2</v>
      </c>
      <c r="Q4493">
        <v>0</v>
      </c>
      <c r="R4493" t="s">
        <v>4557</v>
      </c>
      <c r="S4493" t="s">
        <v>4135</v>
      </c>
      <c r="T4493" t="s">
        <v>4559</v>
      </c>
      <c r="U4493" t="s">
        <v>5631</v>
      </c>
      <c r="V4493" s="2">
        <v>528</v>
      </c>
      <c r="W4493" t="s">
        <v>4655</v>
      </c>
      <c r="X4493" s="2">
        <v>0</v>
      </c>
      <c r="Y4493">
        <v>21</v>
      </c>
      <c r="Z4493" t="s">
        <v>718</v>
      </c>
      <c r="AA4493" s="3">
        <v>1.00000004749745E-3</v>
      </c>
      <c r="AB4493" t="s">
        <v>23800</v>
      </c>
      <c r="AC4493" t="s">
        <v>4575</v>
      </c>
      <c r="AD4493" t="s">
        <v>23801</v>
      </c>
      <c r="AE4493" t="s">
        <v>4655</v>
      </c>
      <c r="AF4493" t="s">
        <v>3117</v>
      </c>
      <c r="AG4493" t="s">
        <v>4584</v>
      </c>
      <c r="AH4493">
        <v>95127</v>
      </c>
      <c r="AI4493" t="s">
        <v>23802</v>
      </c>
      <c r="AJ4493" t="s">
        <v>4655</v>
      </c>
      <c r="AK4493" t="s">
        <v>23803</v>
      </c>
      <c r="AL4493" s="13" t="s">
        <v>1893</v>
      </c>
      <c r="AM4493">
        <v>1</v>
      </c>
      <c r="AN4493" s="15" t="s">
        <v>3976</v>
      </c>
    </row>
    <row r="4494" spans="1:40" x14ac:dyDescent="0.3">
      <c r="A4494" s="10" t="str">
        <f>HYPERLINK("http://www.washoecounty.gov/assessor/cama/?parid=132-030-21&amp;CardNumber=1","132-030-21")</f>
        <v>132-030-21</v>
      </c>
      <c r="B4494" t="s">
        <v>4655</v>
      </c>
      <c r="C4494" t="s">
        <v>3955</v>
      </c>
      <c r="D4494" s="1">
        <v>40415</v>
      </c>
      <c r="E4494" s="2">
        <v>160000</v>
      </c>
      <c r="F4494" t="s">
        <v>4567</v>
      </c>
      <c r="G4494" s="17" t="str">
        <f>HYPERLINK("https://www.washoecounty.gov/assessor/cama/?command=sales&amp;parid=13203021","3915496")</f>
        <v>3915496</v>
      </c>
      <c r="H4494" t="s">
        <v>3956</v>
      </c>
      <c r="I4494">
        <v>1965</v>
      </c>
      <c r="J4494">
        <v>1965</v>
      </c>
      <c r="K4494" t="s">
        <v>3144</v>
      </c>
      <c r="L4494" t="s">
        <v>3974</v>
      </c>
      <c r="M4494" s="2">
        <v>960</v>
      </c>
      <c r="N4494" t="s">
        <v>4556</v>
      </c>
      <c r="O4494">
        <v>2</v>
      </c>
      <c r="P4494">
        <v>1</v>
      </c>
      <c r="Q4494">
        <v>1</v>
      </c>
      <c r="R4494" t="s">
        <v>4676</v>
      </c>
      <c r="S4494" t="s">
        <v>4135</v>
      </c>
      <c r="T4494" t="s">
        <v>4559</v>
      </c>
      <c r="U4494" t="s">
        <v>4655</v>
      </c>
      <c r="V4494" s="2">
        <v>0</v>
      </c>
      <c r="W4494" t="s">
        <v>3149</v>
      </c>
      <c r="X4494" s="2">
        <v>480</v>
      </c>
      <c r="Y4494">
        <v>21</v>
      </c>
      <c r="Z4494" t="s">
        <v>3781</v>
      </c>
      <c r="AA4494" s="3">
        <v>1.00000004749745E-3</v>
      </c>
      <c r="AB4494" t="s">
        <v>23804</v>
      </c>
      <c r="AC4494" t="s">
        <v>4562</v>
      </c>
      <c r="AD4494" t="s">
        <v>23805</v>
      </c>
      <c r="AE4494" t="s">
        <v>4655</v>
      </c>
      <c r="AF4494" t="s">
        <v>2849</v>
      </c>
      <c r="AG4494" t="s">
        <v>4584</v>
      </c>
      <c r="AH4494" t="s">
        <v>2178</v>
      </c>
      <c r="AI4494" t="s">
        <v>23806</v>
      </c>
      <c r="AJ4494" t="s">
        <v>4655</v>
      </c>
      <c r="AK4494" t="s">
        <v>23807</v>
      </c>
      <c r="AL4494" s="13" t="s">
        <v>1893</v>
      </c>
      <c r="AM4494">
        <v>1</v>
      </c>
      <c r="AN4494" s="15" t="s">
        <v>3959</v>
      </c>
    </row>
    <row r="4495" spans="1:40" x14ac:dyDescent="0.3">
      <c r="A4495" s="10" t="str">
        <f>HYPERLINK("http://www.washoecounty.gov/assessor/cama/?parid=132-030-37&amp;CardNumber=1","132-030-37")</f>
        <v>132-030-37</v>
      </c>
      <c r="B4495" t="s">
        <v>4655</v>
      </c>
      <c r="C4495" t="s">
        <v>3955</v>
      </c>
      <c r="D4495" s="1">
        <v>40301</v>
      </c>
      <c r="E4495" s="2">
        <v>239000</v>
      </c>
      <c r="F4495" t="s">
        <v>4567</v>
      </c>
      <c r="G4495" s="17" t="str">
        <f>HYPERLINK("https://www.washoecounty.gov/assessor/cama/?command=sales&amp;parid=13203037","3877400")</f>
        <v>3877400</v>
      </c>
      <c r="H4495" t="s">
        <v>3956</v>
      </c>
      <c r="I4495">
        <v>1965</v>
      </c>
      <c r="J4495">
        <v>1965</v>
      </c>
      <c r="K4495" t="s">
        <v>3144</v>
      </c>
      <c r="L4495" t="s">
        <v>3974</v>
      </c>
      <c r="M4495" s="2">
        <v>960</v>
      </c>
      <c r="N4495" t="s">
        <v>4556</v>
      </c>
      <c r="O4495">
        <v>2</v>
      </c>
      <c r="P4495">
        <v>1</v>
      </c>
      <c r="Q4495">
        <v>1</v>
      </c>
      <c r="R4495" t="s">
        <v>4676</v>
      </c>
      <c r="S4495" t="s">
        <v>4135</v>
      </c>
      <c r="T4495" t="s">
        <v>4899</v>
      </c>
      <c r="U4495" t="s">
        <v>4655</v>
      </c>
      <c r="V4495" s="2">
        <v>0</v>
      </c>
      <c r="W4495" t="s">
        <v>3149</v>
      </c>
      <c r="X4495" s="2">
        <v>480</v>
      </c>
      <c r="Y4495">
        <v>21</v>
      </c>
      <c r="Z4495" t="s">
        <v>3781</v>
      </c>
      <c r="AA4495" s="3">
        <v>1.00000004749745E-3</v>
      </c>
      <c r="AB4495" t="s">
        <v>23808</v>
      </c>
      <c r="AC4495" t="s">
        <v>4575</v>
      </c>
      <c r="AD4495" t="s">
        <v>3957</v>
      </c>
      <c r="AE4495" t="s">
        <v>4655</v>
      </c>
      <c r="AF4495" t="s">
        <v>3958</v>
      </c>
      <c r="AG4495" t="s">
        <v>4584</v>
      </c>
      <c r="AH4495">
        <v>94062</v>
      </c>
      <c r="AI4495" t="s">
        <v>23809</v>
      </c>
      <c r="AJ4495" t="s">
        <v>4655</v>
      </c>
      <c r="AK4495" t="s">
        <v>23810</v>
      </c>
      <c r="AL4495" s="13" t="s">
        <v>1893</v>
      </c>
      <c r="AM4495" s="14">
        <v>1</v>
      </c>
      <c r="AN4495" s="15" t="s">
        <v>3959</v>
      </c>
    </row>
    <row r="4496" spans="1:40" x14ac:dyDescent="0.3">
      <c r="A4496" s="10" t="str">
        <f>HYPERLINK("http://www.washoecounty.gov/assessor/cama/?parid=132-030-64&amp;CardNumber=1","132-030-64")</f>
        <v>132-030-64</v>
      </c>
      <c r="B4496" t="s">
        <v>4655</v>
      </c>
      <c r="C4496" t="s">
        <v>933</v>
      </c>
      <c r="D4496" s="1">
        <v>40394</v>
      </c>
      <c r="E4496" s="2">
        <v>180000</v>
      </c>
      <c r="F4496" t="s">
        <v>4553</v>
      </c>
      <c r="G4496" s="17" t="str">
        <f>HYPERLINK("https://www.washoecounty.gov/assessor/cama/?command=sales&amp;parid=13203064","3908827")</f>
        <v>3908827</v>
      </c>
      <c r="H4496" t="s">
        <v>3956</v>
      </c>
      <c r="I4496">
        <v>1973</v>
      </c>
      <c r="J4496">
        <v>1973</v>
      </c>
      <c r="K4496" t="s">
        <v>3144</v>
      </c>
      <c r="L4496" t="s">
        <v>3974</v>
      </c>
      <c r="M4496" s="2">
        <v>1120</v>
      </c>
      <c r="N4496" t="s">
        <v>4556</v>
      </c>
      <c r="O4496">
        <v>3</v>
      </c>
      <c r="P4496">
        <v>1</v>
      </c>
      <c r="Q4496">
        <v>1</v>
      </c>
      <c r="R4496" t="s">
        <v>4676</v>
      </c>
      <c r="S4496" t="s">
        <v>4135</v>
      </c>
      <c r="T4496" t="s">
        <v>4559</v>
      </c>
      <c r="U4496" t="s">
        <v>4655</v>
      </c>
      <c r="V4496" s="2">
        <v>0</v>
      </c>
      <c r="W4496" t="s">
        <v>4655</v>
      </c>
      <c r="X4496" s="2">
        <v>0</v>
      </c>
      <c r="Y4496">
        <v>21</v>
      </c>
      <c r="Z4496" t="s">
        <v>3781</v>
      </c>
      <c r="AA4496" s="3">
        <v>1.00000004749745E-3</v>
      </c>
      <c r="AB4496" t="s">
        <v>23811</v>
      </c>
      <c r="AC4496" t="s">
        <v>4575</v>
      </c>
      <c r="AD4496" t="s">
        <v>23812</v>
      </c>
      <c r="AE4496" t="s">
        <v>4655</v>
      </c>
      <c r="AF4496" t="s">
        <v>23813</v>
      </c>
      <c r="AG4496" t="s">
        <v>5277</v>
      </c>
      <c r="AH4496">
        <v>86404</v>
      </c>
      <c r="AI4496" t="s">
        <v>1602</v>
      </c>
      <c r="AJ4496" t="s">
        <v>4655</v>
      </c>
      <c r="AK4496" t="s">
        <v>23814</v>
      </c>
      <c r="AL4496" s="13" t="s">
        <v>1893</v>
      </c>
      <c r="AM4496" s="14">
        <v>1</v>
      </c>
      <c r="AN4496" s="15" t="s">
        <v>3959</v>
      </c>
    </row>
    <row r="4497" spans="1:40" x14ac:dyDescent="0.3">
      <c r="A4497" s="10" t="str">
        <f>HYPERLINK("http://www.washoecounty.gov/assessor/cama/?parid=132-042-08&amp;CardNumber=1","132-042-08")</f>
        <v>132-042-08</v>
      </c>
      <c r="B4497" t="s">
        <v>4655</v>
      </c>
      <c r="C4497" t="s">
        <v>4659</v>
      </c>
      <c r="D4497" s="1">
        <v>40197</v>
      </c>
      <c r="E4497" s="2">
        <v>215250</v>
      </c>
      <c r="F4497" t="s">
        <v>4567</v>
      </c>
      <c r="G4497" s="17" t="str">
        <f>HYPERLINK("https://www.washoecounty.gov/assessor/cama/?command=sales&amp;parid=13204208","3840491")</f>
        <v>3840491</v>
      </c>
      <c r="H4497" t="s">
        <v>4587</v>
      </c>
      <c r="I4497">
        <v>1974</v>
      </c>
      <c r="J4497">
        <v>1974</v>
      </c>
      <c r="K4497" t="s">
        <v>4897</v>
      </c>
      <c r="L4497" t="s">
        <v>3974</v>
      </c>
      <c r="M4497" s="2">
        <v>1216</v>
      </c>
      <c r="N4497" t="s">
        <v>5280</v>
      </c>
      <c r="O4497">
        <v>3</v>
      </c>
      <c r="P4497">
        <v>3</v>
      </c>
      <c r="Q4497">
        <v>0</v>
      </c>
      <c r="R4497" t="s">
        <v>4676</v>
      </c>
      <c r="S4497" t="s">
        <v>4135</v>
      </c>
      <c r="T4497" t="s">
        <v>4559</v>
      </c>
      <c r="U4497" t="s">
        <v>4655</v>
      </c>
      <c r="V4497" s="2">
        <v>0</v>
      </c>
      <c r="W4497" t="s">
        <v>4655</v>
      </c>
      <c r="X4497" s="2">
        <v>0</v>
      </c>
      <c r="Y4497">
        <v>21</v>
      </c>
      <c r="Z4497" t="s">
        <v>3781</v>
      </c>
      <c r="AA4497" s="3">
        <v>2.07759421318769E-2</v>
      </c>
      <c r="AB4497" t="s">
        <v>23815</v>
      </c>
      <c r="AC4497" t="s">
        <v>4562</v>
      </c>
      <c r="AD4497" t="s">
        <v>23816</v>
      </c>
      <c r="AE4497" t="s">
        <v>4655</v>
      </c>
      <c r="AF4497" t="s">
        <v>5206</v>
      </c>
      <c r="AG4497" t="s">
        <v>4564</v>
      </c>
      <c r="AH4497" t="s">
        <v>5275</v>
      </c>
      <c r="AI4497" t="s">
        <v>23817</v>
      </c>
      <c r="AJ4497" t="s">
        <v>4655</v>
      </c>
      <c r="AK4497" t="s">
        <v>23818</v>
      </c>
      <c r="AL4497" s="13" t="s">
        <v>1893</v>
      </c>
      <c r="AM4497">
        <v>1</v>
      </c>
      <c r="AN4497" s="15" t="s">
        <v>3239</v>
      </c>
    </row>
    <row r="4498" spans="1:40" x14ac:dyDescent="0.3">
      <c r="A4498" s="10" t="str">
        <f>HYPERLINK("http://www.washoecounty.gov/assessor/cama/?parid=132-043-06&amp;CardNumber=1","132-043-06")</f>
        <v>132-043-06</v>
      </c>
      <c r="B4498" t="s">
        <v>4655</v>
      </c>
      <c r="C4498" t="s">
        <v>4659</v>
      </c>
      <c r="D4498" s="1">
        <v>40396</v>
      </c>
      <c r="E4498" s="2">
        <v>155000</v>
      </c>
      <c r="F4498" t="s">
        <v>4553</v>
      </c>
      <c r="G4498" s="17" t="str">
        <f>HYPERLINK("https://www.washoecounty.gov/assessor/cama/?command=sales&amp;parid=13204306","3909635")</f>
        <v>3909635</v>
      </c>
      <c r="H4498" t="s">
        <v>4587</v>
      </c>
      <c r="I4498">
        <v>1978</v>
      </c>
      <c r="J4498">
        <v>1978</v>
      </c>
      <c r="K4498" t="s">
        <v>4897</v>
      </c>
      <c r="L4498" t="s">
        <v>4555</v>
      </c>
      <c r="M4498" s="2">
        <v>700</v>
      </c>
      <c r="N4498" t="s">
        <v>5280</v>
      </c>
      <c r="O4498">
        <v>1</v>
      </c>
      <c r="P4498">
        <v>1</v>
      </c>
      <c r="Q4498">
        <v>0</v>
      </c>
      <c r="R4498" t="s">
        <v>4557</v>
      </c>
      <c r="S4498" t="s">
        <v>4135</v>
      </c>
      <c r="T4498" t="s">
        <v>4559</v>
      </c>
      <c r="U4498" t="s">
        <v>4655</v>
      </c>
      <c r="V4498" s="2">
        <v>0</v>
      </c>
      <c r="W4498" t="s">
        <v>4655</v>
      </c>
      <c r="X4498" s="2">
        <v>0</v>
      </c>
      <c r="Y4498">
        <v>21</v>
      </c>
      <c r="Z4498" t="s">
        <v>3781</v>
      </c>
      <c r="AA4498" s="3">
        <v>1.6551882028579702E-2</v>
      </c>
      <c r="AB4498" t="s">
        <v>23819</v>
      </c>
      <c r="AC4498" t="s">
        <v>4575</v>
      </c>
      <c r="AD4498" t="s">
        <v>23820</v>
      </c>
      <c r="AE4498" t="s">
        <v>4655</v>
      </c>
      <c r="AF4498" t="s">
        <v>4563</v>
      </c>
      <c r="AG4498" t="s">
        <v>4564</v>
      </c>
      <c r="AH4498" t="s">
        <v>2330</v>
      </c>
      <c r="AI4498" t="s">
        <v>23821</v>
      </c>
      <c r="AJ4498" t="s">
        <v>23822</v>
      </c>
      <c r="AK4498" t="s">
        <v>23823</v>
      </c>
      <c r="AL4498" s="13" t="s">
        <v>1893</v>
      </c>
      <c r="AM4498" s="14">
        <v>1</v>
      </c>
      <c r="AN4498" s="15" t="s">
        <v>3239</v>
      </c>
    </row>
    <row r="4499" spans="1:40" x14ac:dyDescent="0.3">
      <c r="A4499" s="10" t="str">
        <f>HYPERLINK("http://www.washoecounty.gov/assessor/cama/?parid=132-051-18&amp;CardNumber=1","132-051-18")</f>
        <v>132-051-18</v>
      </c>
      <c r="B4499" t="s">
        <v>4655</v>
      </c>
      <c r="C4499" t="s">
        <v>4659</v>
      </c>
      <c r="D4499" s="1">
        <v>40434</v>
      </c>
      <c r="E4499" s="2">
        <v>165000</v>
      </c>
      <c r="F4499" t="s">
        <v>4567</v>
      </c>
      <c r="G4499" s="17" t="str">
        <f>HYPERLINK("https://www.washoecounty.gov/assessor/cama/?command=sales&amp;parid=13205118","3921767")</f>
        <v>3921767</v>
      </c>
      <c r="H4499" t="s">
        <v>1038</v>
      </c>
      <c r="I4499">
        <v>1978</v>
      </c>
      <c r="J4499">
        <v>1978</v>
      </c>
      <c r="K4499" t="s">
        <v>3144</v>
      </c>
      <c r="L4499" t="s">
        <v>4555</v>
      </c>
      <c r="M4499" s="2">
        <v>667</v>
      </c>
      <c r="N4499" t="s">
        <v>5280</v>
      </c>
      <c r="O4499">
        <v>1</v>
      </c>
      <c r="P4499">
        <v>1</v>
      </c>
      <c r="Q4499">
        <v>0</v>
      </c>
      <c r="R4499" t="s">
        <v>4676</v>
      </c>
      <c r="S4499" t="s">
        <v>4135</v>
      </c>
      <c r="T4499" t="s">
        <v>4559</v>
      </c>
      <c r="U4499" t="s">
        <v>4655</v>
      </c>
      <c r="V4499" s="2">
        <v>0</v>
      </c>
      <c r="W4499" t="s">
        <v>4655</v>
      </c>
      <c r="X4499" s="2">
        <v>0</v>
      </c>
      <c r="Y4499">
        <v>21</v>
      </c>
      <c r="Z4499" t="s">
        <v>3781</v>
      </c>
      <c r="AA4499" s="3">
        <v>1.5794306993484501E-2</v>
      </c>
      <c r="AB4499" t="s">
        <v>23824</v>
      </c>
      <c r="AC4499" t="s">
        <v>4562</v>
      </c>
      <c r="AD4499" t="s">
        <v>23825</v>
      </c>
      <c r="AE4499" t="s">
        <v>4655</v>
      </c>
      <c r="AF4499" t="s">
        <v>23826</v>
      </c>
      <c r="AG4499" t="s">
        <v>4584</v>
      </c>
      <c r="AH4499" t="s">
        <v>23827</v>
      </c>
      <c r="AI4499" t="s">
        <v>23828</v>
      </c>
      <c r="AJ4499" t="s">
        <v>4655</v>
      </c>
      <c r="AK4499" t="s">
        <v>23829</v>
      </c>
      <c r="AL4499" s="13" t="s">
        <v>1893</v>
      </c>
      <c r="AM4499">
        <v>1</v>
      </c>
      <c r="AN4499" s="15" t="s">
        <v>3239</v>
      </c>
    </row>
    <row r="4500" spans="1:40" x14ac:dyDescent="0.3">
      <c r="A4500" s="10" t="str">
        <f>HYPERLINK("http://www.washoecounty.gov/assessor/cama/?parid=132-054-04&amp;CardNumber=1","132-054-04")</f>
        <v>132-054-04</v>
      </c>
      <c r="B4500" t="s">
        <v>4655</v>
      </c>
      <c r="C4500" t="s">
        <v>4659</v>
      </c>
      <c r="D4500" s="1">
        <v>40245</v>
      </c>
      <c r="E4500" s="2">
        <v>165000</v>
      </c>
      <c r="F4500" t="s">
        <v>4567</v>
      </c>
      <c r="G4500" s="17" t="str">
        <f>HYPERLINK("https://www.washoecounty.gov/assessor/cama/?command=sales&amp;parid=13205404","3857016")</f>
        <v>3857016</v>
      </c>
      <c r="H4500" t="s">
        <v>1038</v>
      </c>
      <c r="I4500">
        <v>1978</v>
      </c>
      <c r="J4500">
        <v>1978</v>
      </c>
      <c r="K4500" t="s">
        <v>3144</v>
      </c>
      <c r="L4500" t="s">
        <v>3974</v>
      </c>
      <c r="M4500" s="2">
        <v>997</v>
      </c>
      <c r="N4500" t="s">
        <v>5280</v>
      </c>
      <c r="O4500">
        <v>2</v>
      </c>
      <c r="P4500">
        <v>2</v>
      </c>
      <c r="Q4500">
        <v>0</v>
      </c>
      <c r="R4500" t="s">
        <v>4676</v>
      </c>
      <c r="S4500" t="s">
        <v>4135</v>
      </c>
      <c r="T4500" t="s">
        <v>4559</v>
      </c>
      <c r="U4500" t="s">
        <v>4655</v>
      </c>
      <c r="V4500" s="2">
        <v>0</v>
      </c>
      <c r="W4500" t="s">
        <v>4655</v>
      </c>
      <c r="X4500" s="2">
        <v>0</v>
      </c>
      <c r="Y4500">
        <v>21</v>
      </c>
      <c r="Z4500" t="s">
        <v>3781</v>
      </c>
      <c r="AA4500" s="3">
        <v>1.55647378414869E-2</v>
      </c>
      <c r="AB4500" t="s">
        <v>23830</v>
      </c>
      <c r="AC4500" t="s">
        <v>4562</v>
      </c>
      <c r="AD4500" t="s">
        <v>12684</v>
      </c>
      <c r="AE4500" t="s">
        <v>4655</v>
      </c>
      <c r="AF4500" t="s">
        <v>1530</v>
      </c>
      <c r="AG4500" t="s">
        <v>4657</v>
      </c>
      <c r="AH4500">
        <v>65802</v>
      </c>
      <c r="AI4500" t="s">
        <v>23831</v>
      </c>
      <c r="AJ4500" t="s">
        <v>4655</v>
      </c>
      <c r="AK4500" t="s">
        <v>23832</v>
      </c>
      <c r="AL4500" s="13" t="s">
        <v>1893</v>
      </c>
      <c r="AM4500">
        <v>1</v>
      </c>
      <c r="AN4500" s="15" t="s">
        <v>3239</v>
      </c>
    </row>
    <row r="4501" spans="1:40" x14ac:dyDescent="0.3">
      <c r="A4501" s="10" t="str">
        <f>HYPERLINK("http://www.washoecounty.gov/assessor/cama/?parid=132-061-22&amp;CardNumber=1","132-061-22")</f>
        <v>132-061-22</v>
      </c>
      <c r="B4501" t="s">
        <v>4655</v>
      </c>
      <c r="C4501" t="s">
        <v>3240</v>
      </c>
      <c r="D4501" s="1">
        <v>40535</v>
      </c>
      <c r="E4501" s="2">
        <v>530000</v>
      </c>
      <c r="F4501" t="s">
        <v>4567</v>
      </c>
      <c r="G4501" s="17" t="str">
        <f>HYPERLINK("https://www.washoecounty.gov/assessor/cama/?command=sales&amp;parid=13206122","3956848")</f>
        <v>3956848</v>
      </c>
      <c r="H4501" t="s">
        <v>2201</v>
      </c>
      <c r="I4501">
        <v>1992</v>
      </c>
      <c r="J4501">
        <v>1992</v>
      </c>
      <c r="K4501" t="s">
        <v>3144</v>
      </c>
      <c r="L4501" t="s">
        <v>3974</v>
      </c>
      <c r="M4501" s="2">
        <v>1512</v>
      </c>
      <c r="N4501" t="s">
        <v>5106</v>
      </c>
      <c r="O4501">
        <v>2</v>
      </c>
      <c r="P4501">
        <v>2</v>
      </c>
      <c r="Q4501">
        <v>0</v>
      </c>
      <c r="R4501" t="s">
        <v>5205</v>
      </c>
      <c r="S4501" t="s">
        <v>4135</v>
      </c>
      <c r="T4501" t="s">
        <v>4559</v>
      </c>
      <c r="U4501" t="s">
        <v>5631</v>
      </c>
      <c r="V4501" s="2">
        <v>276</v>
      </c>
      <c r="W4501" t="s">
        <v>4655</v>
      </c>
      <c r="X4501" s="2">
        <v>0</v>
      </c>
      <c r="Y4501">
        <v>21</v>
      </c>
      <c r="Z4501" t="s">
        <v>718</v>
      </c>
      <c r="AA4501" s="3">
        <v>1.00000004749745E-3</v>
      </c>
      <c r="AB4501" t="s">
        <v>23833</v>
      </c>
      <c r="AC4501" t="s">
        <v>4562</v>
      </c>
      <c r="AD4501" t="s">
        <v>23834</v>
      </c>
      <c r="AE4501" t="s">
        <v>4655</v>
      </c>
      <c r="AF4501" t="s">
        <v>5025</v>
      </c>
      <c r="AG4501" t="s">
        <v>4564</v>
      </c>
      <c r="AH4501">
        <v>89406</v>
      </c>
      <c r="AI4501" t="s">
        <v>23835</v>
      </c>
      <c r="AJ4501" t="s">
        <v>4655</v>
      </c>
      <c r="AK4501" t="s">
        <v>23836</v>
      </c>
      <c r="AL4501" s="13" t="s">
        <v>1893</v>
      </c>
      <c r="AM4501">
        <v>1</v>
      </c>
      <c r="AN4501" s="15" t="s">
        <v>3242</v>
      </c>
    </row>
    <row r="4502" spans="1:40" x14ac:dyDescent="0.3">
      <c r="A4502" s="10" t="str">
        <f>HYPERLINK("http://www.washoecounty.gov/assessor/cama/?parid=132-062-15&amp;CardNumber=1","132-062-15")</f>
        <v>132-062-15</v>
      </c>
      <c r="B4502" t="s">
        <v>4655</v>
      </c>
      <c r="C4502" t="s">
        <v>312</v>
      </c>
      <c r="D4502" s="1">
        <v>40463</v>
      </c>
      <c r="E4502" s="2">
        <v>540000</v>
      </c>
      <c r="F4502" t="s">
        <v>4567</v>
      </c>
      <c r="G4502" s="17" t="str">
        <f>HYPERLINK("https://www.washoecounty.gov/assessor/cama/?command=sales&amp;parid=13206215","3931841")</f>
        <v>3931841</v>
      </c>
      <c r="H4502" t="s">
        <v>2201</v>
      </c>
      <c r="I4502">
        <v>1990</v>
      </c>
      <c r="J4502">
        <v>1990</v>
      </c>
      <c r="K4502" t="s">
        <v>3144</v>
      </c>
      <c r="L4502" t="s">
        <v>3974</v>
      </c>
      <c r="M4502" s="2">
        <v>1505</v>
      </c>
      <c r="N4502" t="s">
        <v>5106</v>
      </c>
      <c r="O4502">
        <v>2</v>
      </c>
      <c r="P4502">
        <v>2</v>
      </c>
      <c r="Q4502">
        <v>1</v>
      </c>
      <c r="R4502" t="s">
        <v>5205</v>
      </c>
      <c r="S4502" t="s">
        <v>4135</v>
      </c>
      <c r="T4502" t="s">
        <v>4559</v>
      </c>
      <c r="U4502" t="s">
        <v>5631</v>
      </c>
      <c r="V4502" s="2">
        <v>220</v>
      </c>
      <c r="W4502" t="s">
        <v>4655</v>
      </c>
      <c r="X4502" s="2">
        <v>0</v>
      </c>
      <c r="Y4502">
        <v>21</v>
      </c>
      <c r="Z4502" t="s">
        <v>718</v>
      </c>
      <c r="AA4502" s="3">
        <v>1.00000004749745E-3</v>
      </c>
      <c r="AB4502" t="s">
        <v>23837</v>
      </c>
      <c r="AC4502" t="s">
        <v>4575</v>
      </c>
      <c r="AD4502" t="s">
        <v>23838</v>
      </c>
      <c r="AE4502" t="s">
        <v>4655</v>
      </c>
      <c r="AF4502" t="s">
        <v>5206</v>
      </c>
      <c r="AG4502" t="s">
        <v>4564</v>
      </c>
      <c r="AH4502" t="s">
        <v>5275</v>
      </c>
      <c r="AI4502" t="s">
        <v>23839</v>
      </c>
      <c r="AJ4502" t="s">
        <v>4655</v>
      </c>
      <c r="AK4502" t="s">
        <v>23840</v>
      </c>
      <c r="AL4502" s="13" t="s">
        <v>1893</v>
      </c>
      <c r="AM4502">
        <v>1</v>
      </c>
      <c r="AN4502" s="15" t="s">
        <v>3242</v>
      </c>
    </row>
    <row r="4503" spans="1:40" x14ac:dyDescent="0.3">
      <c r="A4503" s="10" t="str">
        <f>HYPERLINK("http://www.washoecounty.gov/assessor/cama/?parid=132-063-33&amp;CardNumber=1","132-063-33")</f>
        <v>132-063-33</v>
      </c>
      <c r="B4503" t="s">
        <v>4655</v>
      </c>
      <c r="C4503" t="s">
        <v>3240</v>
      </c>
      <c r="D4503" s="1">
        <v>40409</v>
      </c>
      <c r="E4503" s="2">
        <v>585000</v>
      </c>
      <c r="F4503" t="s">
        <v>4567</v>
      </c>
      <c r="G4503" s="17" t="str">
        <f>HYPERLINK("https://www.washoecounty.gov/assessor/cama/?command=sales&amp;parid=13206333","3913874")</f>
        <v>3913874</v>
      </c>
      <c r="H4503" t="s">
        <v>3051</v>
      </c>
      <c r="I4503">
        <v>1990</v>
      </c>
      <c r="J4503">
        <v>1992</v>
      </c>
      <c r="K4503" t="s">
        <v>4897</v>
      </c>
      <c r="L4503" t="s">
        <v>3974</v>
      </c>
      <c r="M4503" s="2">
        <v>1822</v>
      </c>
      <c r="N4503" t="s">
        <v>5106</v>
      </c>
      <c r="O4503">
        <v>3</v>
      </c>
      <c r="P4503">
        <v>3</v>
      </c>
      <c r="Q4503">
        <v>0</v>
      </c>
      <c r="R4503" t="s">
        <v>5205</v>
      </c>
      <c r="S4503" t="s">
        <v>4135</v>
      </c>
      <c r="T4503" t="s">
        <v>4559</v>
      </c>
      <c r="U4503" t="s">
        <v>5631</v>
      </c>
      <c r="V4503" s="2">
        <v>231</v>
      </c>
      <c r="W4503" t="s">
        <v>4655</v>
      </c>
      <c r="X4503" s="2">
        <v>0</v>
      </c>
      <c r="Y4503">
        <v>21</v>
      </c>
      <c r="Z4503" t="s">
        <v>718</v>
      </c>
      <c r="AA4503" s="3">
        <v>1.00000004749745E-3</v>
      </c>
      <c r="AB4503" t="s">
        <v>23841</v>
      </c>
      <c r="AC4503" t="s">
        <v>4575</v>
      </c>
      <c r="AD4503" t="s">
        <v>23842</v>
      </c>
      <c r="AE4503" t="s">
        <v>4655</v>
      </c>
      <c r="AF4503" t="s">
        <v>3052</v>
      </c>
      <c r="AG4503" t="s">
        <v>4584</v>
      </c>
      <c r="AH4503">
        <v>94506</v>
      </c>
      <c r="AI4503" t="s">
        <v>23843</v>
      </c>
      <c r="AJ4503" t="s">
        <v>4655</v>
      </c>
      <c r="AK4503" t="s">
        <v>23844</v>
      </c>
      <c r="AL4503" s="13" t="s">
        <v>1893</v>
      </c>
      <c r="AM4503" s="14">
        <v>1</v>
      </c>
      <c r="AN4503" s="15" t="s">
        <v>3242</v>
      </c>
    </row>
    <row r="4504" spans="1:40" x14ac:dyDescent="0.3">
      <c r="A4504" s="10" t="str">
        <f>HYPERLINK("http://www.washoecounty.gov/assessor/cama/?parid=132-064-12&amp;CardNumber=1","132-064-12")</f>
        <v>132-064-12</v>
      </c>
      <c r="B4504" t="s">
        <v>4655</v>
      </c>
      <c r="C4504" t="s">
        <v>3240</v>
      </c>
      <c r="D4504" s="1">
        <v>40519</v>
      </c>
      <c r="E4504" s="2">
        <v>384000</v>
      </c>
      <c r="F4504" t="s">
        <v>4567</v>
      </c>
      <c r="G4504" s="17" t="str">
        <f>HYPERLINK("https://www.washoecounty.gov/assessor/cama/?command=sales&amp;parid=13206412","3950552")</f>
        <v>3950552</v>
      </c>
      <c r="H4504" t="s">
        <v>3241</v>
      </c>
      <c r="I4504">
        <v>1991</v>
      </c>
      <c r="J4504">
        <v>1991</v>
      </c>
      <c r="K4504" t="s">
        <v>3144</v>
      </c>
      <c r="L4504" t="s">
        <v>3974</v>
      </c>
      <c r="M4504" s="2">
        <v>1801</v>
      </c>
      <c r="N4504" t="s">
        <v>5106</v>
      </c>
      <c r="O4504">
        <v>3</v>
      </c>
      <c r="P4504">
        <v>2</v>
      </c>
      <c r="Q4504">
        <v>1</v>
      </c>
      <c r="R4504" t="s">
        <v>5205</v>
      </c>
      <c r="S4504" t="s">
        <v>4135</v>
      </c>
      <c r="T4504" t="s">
        <v>4559</v>
      </c>
      <c r="U4504" t="s">
        <v>5631</v>
      </c>
      <c r="V4504" s="2">
        <v>255</v>
      </c>
      <c r="W4504" t="s">
        <v>4655</v>
      </c>
      <c r="X4504" s="2">
        <v>0</v>
      </c>
      <c r="Y4504">
        <v>21</v>
      </c>
      <c r="Z4504" t="s">
        <v>718</v>
      </c>
      <c r="AA4504" s="3">
        <v>1.00000004749745E-3</v>
      </c>
      <c r="AB4504" t="s">
        <v>23845</v>
      </c>
      <c r="AC4504" t="s">
        <v>4575</v>
      </c>
      <c r="AD4504" t="s">
        <v>4702</v>
      </c>
      <c r="AE4504" t="s">
        <v>4655</v>
      </c>
      <c r="AF4504" t="s">
        <v>4703</v>
      </c>
      <c r="AG4504" t="s">
        <v>4584</v>
      </c>
      <c r="AH4504">
        <v>91709</v>
      </c>
      <c r="AI4504" t="s">
        <v>4704</v>
      </c>
      <c r="AJ4504" t="s">
        <v>4655</v>
      </c>
      <c r="AK4504" t="s">
        <v>5368</v>
      </c>
      <c r="AL4504" s="13" t="s">
        <v>1893</v>
      </c>
      <c r="AM4504">
        <v>1</v>
      </c>
      <c r="AN4504" s="15" t="s">
        <v>3242</v>
      </c>
    </row>
    <row r="4505" spans="1:40" x14ac:dyDescent="0.3">
      <c r="A4505" s="10" t="str">
        <f>HYPERLINK("http://www.washoecounty.gov/assessor/cama/?parid=132-064-17&amp;CardNumber=1","132-064-17")</f>
        <v>132-064-17</v>
      </c>
      <c r="B4505" t="s">
        <v>4655</v>
      </c>
      <c r="C4505" t="s">
        <v>3240</v>
      </c>
      <c r="D4505" s="1">
        <v>40256</v>
      </c>
      <c r="E4505" s="2">
        <v>520000</v>
      </c>
      <c r="F4505" t="s">
        <v>4567</v>
      </c>
      <c r="G4505" s="17" t="str">
        <f>HYPERLINK("https://www.washoecounty.gov/assessor/cama/?command=sales&amp;parid=13206417","3861544")</f>
        <v>3861544</v>
      </c>
      <c r="H4505" t="s">
        <v>3241</v>
      </c>
      <c r="I4505">
        <v>1992</v>
      </c>
      <c r="J4505">
        <v>1992</v>
      </c>
      <c r="K4505" t="s">
        <v>3144</v>
      </c>
      <c r="L4505" t="s">
        <v>3974</v>
      </c>
      <c r="M4505" s="2">
        <v>1512</v>
      </c>
      <c r="N4505" t="s">
        <v>5106</v>
      </c>
      <c r="O4505">
        <v>2</v>
      </c>
      <c r="P4505">
        <v>2</v>
      </c>
      <c r="Q4505">
        <v>0</v>
      </c>
      <c r="R4505" t="s">
        <v>5205</v>
      </c>
      <c r="S4505" t="s">
        <v>4135</v>
      </c>
      <c r="T4505" t="s">
        <v>4559</v>
      </c>
      <c r="U4505" t="s">
        <v>5631</v>
      </c>
      <c r="V4505" s="2">
        <v>276</v>
      </c>
      <c r="W4505" t="s">
        <v>4655</v>
      </c>
      <c r="X4505" s="2">
        <v>0</v>
      </c>
      <c r="Y4505">
        <v>21</v>
      </c>
      <c r="Z4505" t="s">
        <v>718</v>
      </c>
      <c r="AA4505" s="3">
        <v>1.00000004749745E-3</v>
      </c>
      <c r="AB4505" t="s">
        <v>23846</v>
      </c>
      <c r="AC4505" t="s">
        <v>4562</v>
      </c>
      <c r="AD4505" t="s">
        <v>23847</v>
      </c>
      <c r="AE4505" t="s">
        <v>4655</v>
      </c>
      <c r="AF4505" t="s">
        <v>4563</v>
      </c>
      <c r="AG4505" t="s">
        <v>4564</v>
      </c>
      <c r="AH4505">
        <v>89511</v>
      </c>
      <c r="AI4505" t="s">
        <v>23848</v>
      </c>
      <c r="AJ4505" t="s">
        <v>4655</v>
      </c>
      <c r="AK4505" t="s">
        <v>23849</v>
      </c>
      <c r="AL4505" s="13" t="s">
        <v>1893</v>
      </c>
      <c r="AM4505">
        <v>1</v>
      </c>
      <c r="AN4505" s="15" t="s">
        <v>3242</v>
      </c>
    </row>
    <row r="4506" spans="1:40" x14ac:dyDescent="0.3">
      <c r="A4506" s="10" t="str">
        <f>HYPERLINK("http://www.washoecounty.gov/assessor/cama/?parid=132-064-30&amp;CardNumber=1","132-064-30")</f>
        <v>132-064-30</v>
      </c>
      <c r="B4506" t="s">
        <v>4655</v>
      </c>
      <c r="C4506" t="s">
        <v>3240</v>
      </c>
      <c r="D4506" s="1">
        <v>40210</v>
      </c>
      <c r="E4506" s="2">
        <v>660000</v>
      </c>
      <c r="F4506" t="s">
        <v>4567</v>
      </c>
      <c r="G4506" s="17" t="str">
        <f>HYPERLINK("https://www.washoecounty.gov/assessor/cama/?command=sales&amp;parid=13206430","3844815")</f>
        <v>3844815</v>
      </c>
      <c r="H4506" t="s">
        <v>3241</v>
      </c>
      <c r="I4506">
        <v>1992</v>
      </c>
      <c r="J4506">
        <v>1992</v>
      </c>
      <c r="K4506" t="s">
        <v>3144</v>
      </c>
      <c r="L4506" t="s">
        <v>3974</v>
      </c>
      <c r="M4506" s="2">
        <v>1846</v>
      </c>
      <c r="N4506" t="s">
        <v>5106</v>
      </c>
      <c r="O4506">
        <v>3</v>
      </c>
      <c r="P4506">
        <v>2</v>
      </c>
      <c r="Q4506">
        <v>1</v>
      </c>
      <c r="R4506" t="s">
        <v>5205</v>
      </c>
      <c r="S4506" t="s">
        <v>4135</v>
      </c>
      <c r="T4506" t="s">
        <v>4559</v>
      </c>
      <c r="U4506" t="s">
        <v>5631</v>
      </c>
      <c r="V4506" s="2">
        <v>255</v>
      </c>
      <c r="W4506" t="s">
        <v>4655</v>
      </c>
      <c r="X4506" s="2">
        <v>0</v>
      </c>
      <c r="Y4506">
        <v>21</v>
      </c>
      <c r="Z4506" t="s">
        <v>718</v>
      </c>
      <c r="AA4506" s="3">
        <v>1.00000004749745E-3</v>
      </c>
      <c r="AB4506" t="s">
        <v>23850</v>
      </c>
      <c r="AC4506" t="s">
        <v>4575</v>
      </c>
      <c r="AD4506" t="s">
        <v>23851</v>
      </c>
      <c r="AE4506" t="s">
        <v>4655</v>
      </c>
      <c r="AF4506" t="s">
        <v>23852</v>
      </c>
      <c r="AG4506" t="s">
        <v>4584</v>
      </c>
      <c r="AH4506">
        <v>92067</v>
      </c>
      <c r="AI4506" t="s">
        <v>22611</v>
      </c>
      <c r="AJ4506" t="s">
        <v>4655</v>
      </c>
      <c r="AK4506" t="s">
        <v>23853</v>
      </c>
      <c r="AL4506" s="13" t="s">
        <v>1893</v>
      </c>
      <c r="AM4506" s="14">
        <v>1</v>
      </c>
      <c r="AN4506" s="15" t="s">
        <v>3242</v>
      </c>
    </row>
    <row r="4507" spans="1:40" x14ac:dyDescent="0.3">
      <c r="A4507" s="10" t="str">
        <f>HYPERLINK("http://www.washoecounty.gov/assessor/cama/?parid=132-065-08&amp;CardNumber=1","132-065-08")</f>
        <v>132-065-08</v>
      </c>
      <c r="B4507" t="s">
        <v>4655</v>
      </c>
      <c r="C4507" t="s">
        <v>3240</v>
      </c>
      <c r="D4507" s="1">
        <v>40366</v>
      </c>
      <c r="E4507" s="2">
        <v>655000</v>
      </c>
      <c r="F4507" t="s">
        <v>4567</v>
      </c>
      <c r="G4507" s="17" t="str">
        <f>HYPERLINK("https://www.washoecounty.gov/assessor/cama/?command=sales&amp;parid=13206508","3899209")</f>
        <v>3899209</v>
      </c>
      <c r="H4507" t="s">
        <v>23854</v>
      </c>
      <c r="I4507">
        <v>1992</v>
      </c>
      <c r="J4507">
        <v>1992</v>
      </c>
      <c r="K4507" t="s">
        <v>4897</v>
      </c>
      <c r="L4507" t="s">
        <v>3974</v>
      </c>
      <c r="M4507" s="2">
        <v>1787</v>
      </c>
      <c r="N4507" t="s">
        <v>5106</v>
      </c>
      <c r="O4507">
        <v>3</v>
      </c>
      <c r="P4507">
        <v>3</v>
      </c>
      <c r="Q4507">
        <v>0</v>
      </c>
      <c r="R4507" t="s">
        <v>5205</v>
      </c>
      <c r="S4507" t="s">
        <v>4135</v>
      </c>
      <c r="T4507" t="s">
        <v>4559</v>
      </c>
      <c r="U4507" t="s">
        <v>5631</v>
      </c>
      <c r="V4507" s="2">
        <v>279</v>
      </c>
      <c r="W4507" t="s">
        <v>4655</v>
      </c>
      <c r="X4507" s="2">
        <v>0</v>
      </c>
      <c r="Y4507">
        <v>21</v>
      </c>
      <c r="Z4507" t="s">
        <v>718</v>
      </c>
      <c r="AA4507" s="3">
        <v>1.00000004749745E-3</v>
      </c>
      <c r="AB4507" t="s">
        <v>23855</v>
      </c>
      <c r="AC4507" t="s">
        <v>4575</v>
      </c>
      <c r="AD4507" t="s">
        <v>23856</v>
      </c>
      <c r="AE4507" t="s">
        <v>4655</v>
      </c>
      <c r="AF4507" t="s">
        <v>23</v>
      </c>
      <c r="AG4507" t="s">
        <v>4584</v>
      </c>
      <c r="AH4507" t="s">
        <v>2572</v>
      </c>
      <c r="AI4507" t="s">
        <v>23857</v>
      </c>
      <c r="AJ4507" t="s">
        <v>4655</v>
      </c>
      <c r="AK4507" t="s">
        <v>23858</v>
      </c>
      <c r="AL4507" s="13" t="s">
        <v>1893</v>
      </c>
      <c r="AM4507">
        <v>1</v>
      </c>
      <c r="AN4507" s="15" t="s">
        <v>3242</v>
      </c>
    </row>
    <row r="4508" spans="1:40" x14ac:dyDescent="0.3">
      <c r="A4508" s="10" t="str">
        <f>HYPERLINK("http://www.washoecounty.gov/assessor/cama/?parid=132-240-01&amp;CardNumber=1","132-240-01")</f>
        <v>132-240-01</v>
      </c>
      <c r="B4508" t="s">
        <v>4655</v>
      </c>
      <c r="C4508" t="s">
        <v>23859</v>
      </c>
      <c r="D4508" s="1">
        <v>40410</v>
      </c>
      <c r="E4508" s="2">
        <v>1998283</v>
      </c>
      <c r="F4508" t="s">
        <v>3259</v>
      </c>
      <c r="G4508" s="17" t="str">
        <f>HYPERLINK("https://www.washoecounty.gov/assessor/cama/?command=sales&amp;parid=13224001","3914040")</f>
        <v>3914040</v>
      </c>
      <c r="H4508" t="s">
        <v>23860</v>
      </c>
      <c r="I4508">
        <v>1982</v>
      </c>
      <c r="J4508">
        <v>1982</v>
      </c>
      <c r="K4508" t="s">
        <v>3919</v>
      </c>
      <c r="L4508" t="s">
        <v>3530</v>
      </c>
      <c r="M4508" s="2">
        <v>42048</v>
      </c>
      <c r="N4508" t="s">
        <v>1431</v>
      </c>
      <c r="O4508">
        <v>0</v>
      </c>
      <c r="P4508">
        <v>0</v>
      </c>
      <c r="Q4508">
        <v>0</v>
      </c>
      <c r="R4508" t="s">
        <v>1395</v>
      </c>
      <c r="S4508" t="s">
        <v>2507</v>
      </c>
      <c r="T4508" t="s">
        <v>4655</v>
      </c>
      <c r="U4508" t="s">
        <v>4655</v>
      </c>
      <c r="V4508" s="2">
        <v>0</v>
      </c>
      <c r="W4508" t="s">
        <v>4655</v>
      </c>
      <c r="X4508" s="2">
        <v>0</v>
      </c>
      <c r="Y4508">
        <v>41</v>
      </c>
      <c r="Z4508" t="s">
        <v>3889</v>
      </c>
      <c r="AA4508" s="3">
        <v>1.3955693244934082</v>
      </c>
      <c r="AB4508" t="s">
        <v>23861</v>
      </c>
      <c r="AC4508" t="s">
        <v>4562</v>
      </c>
      <c r="AD4508" t="s">
        <v>23862</v>
      </c>
      <c r="AE4508" t="s">
        <v>4655</v>
      </c>
      <c r="AF4508" t="s">
        <v>23863</v>
      </c>
      <c r="AG4508" t="s">
        <v>4584</v>
      </c>
      <c r="AH4508">
        <v>94608</v>
      </c>
      <c r="AI4508" t="s">
        <v>23864</v>
      </c>
      <c r="AJ4508" t="s">
        <v>4655</v>
      </c>
      <c r="AK4508" t="s">
        <v>23865</v>
      </c>
      <c r="AL4508" s="13" t="s">
        <v>1893</v>
      </c>
      <c r="AM4508" s="14">
        <v>1</v>
      </c>
      <c r="AN4508" s="15" t="s">
        <v>2508</v>
      </c>
    </row>
    <row r="4509" spans="1:40" x14ac:dyDescent="0.3">
      <c r="A4509" s="10" t="str">
        <f>HYPERLINK("http://www.washoecounty.gov/assessor/cama/?parid=132-251-19&amp;CardNumber=1","132-251-19")</f>
        <v>132-251-19</v>
      </c>
      <c r="B4509" t="s">
        <v>4655</v>
      </c>
      <c r="C4509" t="s">
        <v>4617</v>
      </c>
      <c r="D4509" s="1">
        <v>40338</v>
      </c>
      <c r="E4509" s="2">
        <v>332500</v>
      </c>
      <c r="F4509" t="s">
        <v>4187</v>
      </c>
      <c r="G4509" s="17" t="str">
        <f>HYPERLINK("https://www.washoecounty.gov/assessor/cama/?command=sales&amp;parid=13225119","3889746")</f>
        <v>3889746</v>
      </c>
      <c r="H4509" t="s">
        <v>4618</v>
      </c>
      <c r="I4509">
        <v>1980</v>
      </c>
      <c r="J4509">
        <v>1980</v>
      </c>
      <c r="K4509" t="s">
        <v>4897</v>
      </c>
      <c r="L4509" t="s">
        <v>3044</v>
      </c>
      <c r="M4509" s="2">
        <v>1440</v>
      </c>
      <c r="N4509" t="s">
        <v>5280</v>
      </c>
      <c r="O4509">
        <v>3</v>
      </c>
      <c r="P4509">
        <v>2</v>
      </c>
      <c r="Q4509">
        <v>1</v>
      </c>
      <c r="R4509" t="s">
        <v>4676</v>
      </c>
      <c r="S4509" t="s">
        <v>4135</v>
      </c>
      <c r="T4509" t="s">
        <v>4559</v>
      </c>
      <c r="U4509" t="s">
        <v>5631</v>
      </c>
      <c r="V4509" s="2">
        <v>720</v>
      </c>
      <c r="W4509" t="s">
        <v>4655</v>
      </c>
      <c r="X4509" s="2">
        <v>0</v>
      </c>
      <c r="Y4509">
        <v>21</v>
      </c>
      <c r="Z4509" t="s">
        <v>3781</v>
      </c>
      <c r="AA4509" s="3">
        <v>1.00000004749745E-3</v>
      </c>
      <c r="AB4509" t="s">
        <v>23866</v>
      </c>
      <c r="AC4509" t="s">
        <v>4562</v>
      </c>
      <c r="AD4509" t="s">
        <v>23867</v>
      </c>
      <c r="AE4509" t="s">
        <v>4655</v>
      </c>
      <c r="AF4509" t="s">
        <v>4619</v>
      </c>
      <c r="AG4509" t="s">
        <v>4584</v>
      </c>
      <c r="AH4509" t="s">
        <v>4620</v>
      </c>
      <c r="AI4509" t="s">
        <v>23868</v>
      </c>
      <c r="AJ4509" t="s">
        <v>4655</v>
      </c>
      <c r="AK4509" t="s">
        <v>23869</v>
      </c>
      <c r="AL4509" s="13" t="s">
        <v>1893</v>
      </c>
      <c r="AM4509">
        <v>1</v>
      </c>
      <c r="AN4509" s="15" t="s">
        <v>4621</v>
      </c>
    </row>
    <row r="4510" spans="1:40" x14ac:dyDescent="0.3">
      <c r="A4510" s="10" t="str">
        <f>HYPERLINK("http://www.washoecounty.gov/assessor/cama/?parid=132-252-11&amp;CardNumber=1","132-252-11")</f>
        <v>132-252-11</v>
      </c>
      <c r="B4510" t="s">
        <v>4655</v>
      </c>
      <c r="C4510" t="s">
        <v>3477</v>
      </c>
      <c r="D4510" s="1">
        <v>40360</v>
      </c>
      <c r="E4510" s="2">
        <v>355000</v>
      </c>
      <c r="F4510" t="s">
        <v>4567</v>
      </c>
      <c r="G4510" s="17" t="str">
        <f>HYPERLINK("https://www.washoecounty.gov/assessor/cama/?command=sales&amp;parid=13225211","3897857")</f>
        <v>3897857</v>
      </c>
      <c r="H4510" t="s">
        <v>23870</v>
      </c>
      <c r="I4510">
        <v>1974</v>
      </c>
      <c r="J4510">
        <v>1974</v>
      </c>
      <c r="K4510" t="s">
        <v>4897</v>
      </c>
      <c r="L4510" t="s">
        <v>3044</v>
      </c>
      <c r="M4510" s="2">
        <v>1752</v>
      </c>
      <c r="N4510" t="s">
        <v>4048</v>
      </c>
      <c r="O4510">
        <v>4</v>
      </c>
      <c r="P4510">
        <v>3</v>
      </c>
      <c r="Q4510">
        <v>1</v>
      </c>
      <c r="R4510" t="s">
        <v>4676</v>
      </c>
      <c r="S4510" t="s">
        <v>4135</v>
      </c>
      <c r="T4510" t="s">
        <v>4559</v>
      </c>
      <c r="U4510" t="s">
        <v>5631</v>
      </c>
      <c r="V4510" s="2">
        <v>360</v>
      </c>
      <c r="W4510" t="s">
        <v>4655</v>
      </c>
      <c r="X4510" s="2">
        <v>0</v>
      </c>
      <c r="Y4510">
        <v>21</v>
      </c>
      <c r="Z4510" t="s">
        <v>3781</v>
      </c>
      <c r="AA4510" s="3">
        <v>1.00000004749745E-3</v>
      </c>
      <c r="AB4510" t="s">
        <v>23871</v>
      </c>
      <c r="AC4510" t="s">
        <v>4575</v>
      </c>
      <c r="AD4510" t="s">
        <v>23872</v>
      </c>
      <c r="AE4510" t="s">
        <v>23873</v>
      </c>
      <c r="AF4510" t="s">
        <v>3054</v>
      </c>
      <c r="AG4510" t="s">
        <v>4584</v>
      </c>
      <c r="AH4510">
        <v>92024</v>
      </c>
      <c r="AI4510" t="s">
        <v>23874</v>
      </c>
      <c r="AJ4510" t="s">
        <v>4655</v>
      </c>
      <c r="AK4510" t="s">
        <v>23875</v>
      </c>
      <c r="AL4510" s="13" t="s">
        <v>1893</v>
      </c>
      <c r="AM4510">
        <v>1</v>
      </c>
      <c r="AN4510" s="15" t="s">
        <v>4621</v>
      </c>
    </row>
    <row r="4511" spans="1:40" x14ac:dyDescent="0.3">
      <c r="A4511" s="10" t="str">
        <f>HYPERLINK("http://www.washoecounty.gov/assessor/cama/?parid=132-252-35&amp;CardNumber=1","132-252-35")</f>
        <v>132-252-35</v>
      </c>
      <c r="B4511" t="s">
        <v>4655</v>
      </c>
      <c r="C4511" t="s">
        <v>3477</v>
      </c>
      <c r="D4511" s="1">
        <v>40457</v>
      </c>
      <c r="E4511" s="2">
        <v>325000</v>
      </c>
      <c r="F4511" t="s">
        <v>4567</v>
      </c>
      <c r="G4511" s="17" t="str">
        <f>HYPERLINK("https://www.washoecounty.gov/assessor/cama/?command=sales&amp;parid=13225235","3930410")</f>
        <v>3930410</v>
      </c>
      <c r="H4511" t="s">
        <v>4618</v>
      </c>
      <c r="I4511">
        <v>1974</v>
      </c>
      <c r="J4511">
        <v>1974</v>
      </c>
      <c r="K4511" t="s">
        <v>4897</v>
      </c>
      <c r="L4511" t="s">
        <v>3044</v>
      </c>
      <c r="M4511" s="2">
        <v>1752</v>
      </c>
      <c r="N4511" t="s">
        <v>4048</v>
      </c>
      <c r="O4511">
        <v>4</v>
      </c>
      <c r="P4511">
        <v>3</v>
      </c>
      <c r="Q4511">
        <v>1</v>
      </c>
      <c r="R4511" t="s">
        <v>4676</v>
      </c>
      <c r="S4511" t="s">
        <v>4135</v>
      </c>
      <c r="T4511" t="s">
        <v>4559</v>
      </c>
      <c r="U4511" t="s">
        <v>5631</v>
      </c>
      <c r="V4511" s="2">
        <v>360</v>
      </c>
      <c r="W4511" t="s">
        <v>4655</v>
      </c>
      <c r="X4511" s="2">
        <v>0</v>
      </c>
      <c r="Y4511">
        <v>21</v>
      </c>
      <c r="Z4511" t="s">
        <v>3781</v>
      </c>
      <c r="AA4511" s="3">
        <v>1.00000004749745E-3</v>
      </c>
      <c r="AB4511" t="s">
        <v>23876</v>
      </c>
      <c r="AC4511" t="s">
        <v>4562</v>
      </c>
      <c r="AD4511" t="s">
        <v>3477</v>
      </c>
      <c r="AE4511" t="s">
        <v>4655</v>
      </c>
      <c r="AF4511" t="s">
        <v>5206</v>
      </c>
      <c r="AG4511" t="s">
        <v>4564</v>
      </c>
      <c r="AH4511" t="s">
        <v>5207</v>
      </c>
      <c r="AI4511" t="s">
        <v>23877</v>
      </c>
      <c r="AJ4511" t="s">
        <v>4655</v>
      </c>
      <c r="AK4511" t="s">
        <v>23878</v>
      </c>
      <c r="AL4511" s="13" t="s">
        <v>1893</v>
      </c>
      <c r="AM4511">
        <v>1</v>
      </c>
      <c r="AN4511" s="15" t="s">
        <v>4621</v>
      </c>
    </row>
    <row r="4512" spans="1:40" x14ac:dyDescent="0.3">
      <c r="A4512" s="10" t="str">
        <f>HYPERLINK("http://www.washoecounty.gov/assessor/cama/?parid=132-290-06&amp;CardNumber=1","132-290-06")</f>
        <v>132-290-06</v>
      </c>
      <c r="B4512" t="s">
        <v>4655</v>
      </c>
      <c r="C4512" t="s">
        <v>3243</v>
      </c>
      <c r="D4512" s="1">
        <v>40226</v>
      </c>
      <c r="E4512" s="2">
        <v>120000</v>
      </c>
      <c r="F4512" t="s">
        <v>4553</v>
      </c>
      <c r="G4512" s="17" t="str">
        <f>HYPERLINK("https://www.washoecounty.gov/assessor/cama/?command=sales&amp;parid=13229006","3850254")</f>
        <v>3850254</v>
      </c>
      <c r="H4512" t="s">
        <v>3244</v>
      </c>
      <c r="I4512">
        <v>1965</v>
      </c>
      <c r="J4512">
        <v>1965</v>
      </c>
      <c r="K4512" t="s">
        <v>4897</v>
      </c>
      <c r="L4512" t="s">
        <v>3974</v>
      </c>
      <c r="M4512" s="2">
        <v>1040</v>
      </c>
      <c r="N4512" t="s">
        <v>4048</v>
      </c>
      <c r="O4512">
        <v>2</v>
      </c>
      <c r="P4512">
        <v>1</v>
      </c>
      <c r="Q4512">
        <v>1</v>
      </c>
      <c r="R4512" t="s">
        <v>4134</v>
      </c>
      <c r="S4512" t="s">
        <v>4135</v>
      </c>
      <c r="T4512" t="s">
        <v>4559</v>
      </c>
      <c r="U4512" t="s">
        <v>4655</v>
      </c>
      <c r="V4512" s="2">
        <v>0</v>
      </c>
      <c r="W4512" t="s">
        <v>4655</v>
      </c>
      <c r="X4512" s="2">
        <v>0</v>
      </c>
      <c r="Y4512">
        <v>21</v>
      </c>
      <c r="Z4512" t="s">
        <v>3781</v>
      </c>
      <c r="AA4512" s="3">
        <v>1.00000004749745E-3</v>
      </c>
      <c r="AB4512" t="s">
        <v>23879</v>
      </c>
      <c r="AC4512" t="s">
        <v>4562</v>
      </c>
      <c r="AD4512" t="s">
        <v>23880</v>
      </c>
      <c r="AE4512" t="s">
        <v>4655</v>
      </c>
      <c r="AF4512" t="s">
        <v>5206</v>
      </c>
      <c r="AG4512" t="s">
        <v>4564</v>
      </c>
      <c r="AH4512" t="s">
        <v>5275</v>
      </c>
      <c r="AI4512" t="s">
        <v>2351</v>
      </c>
      <c r="AJ4512" t="s">
        <v>4655</v>
      </c>
      <c r="AK4512" t="s">
        <v>23881</v>
      </c>
      <c r="AL4512" s="13" t="s">
        <v>1893</v>
      </c>
      <c r="AM4512">
        <v>1</v>
      </c>
      <c r="AN4512" s="15" t="s">
        <v>3245</v>
      </c>
    </row>
    <row r="4513" spans="1:40" x14ac:dyDescent="0.3">
      <c r="A4513" s="10" t="str">
        <f>HYPERLINK("http://www.washoecounty.gov/assessor/cama/?parid=132-290-08&amp;CardNumber=1","132-290-08")</f>
        <v>132-290-08</v>
      </c>
      <c r="B4513" t="s">
        <v>4655</v>
      </c>
      <c r="C4513" t="s">
        <v>3243</v>
      </c>
      <c r="D4513" s="1">
        <v>40374</v>
      </c>
      <c r="E4513" s="2">
        <v>150000</v>
      </c>
      <c r="F4513" t="s">
        <v>4567</v>
      </c>
      <c r="G4513" s="17" t="str">
        <f>HYPERLINK("https://www.washoecounty.gov/assessor/cama/?command=sales&amp;parid=13229008","3901723")</f>
        <v>3901723</v>
      </c>
      <c r="H4513" t="s">
        <v>3244</v>
      </c>
      <c r="I4513">
        <v>1965</v>
      </c>
      <c r="J4513">
        <v>1965</v>
      </c>
      <c r="K4513" t="s">
        <v>4897</v>
      </c>
      <c r="L4513" t="s">
        <v>3974</v>
      </c>
      <c r="M4513" s="2">
        <v>1040</v>
      </c>
      <c r="N4513" t="s">
        <v>4048</v>
      </c>
      <c r="O4513">
        <v>2</v>
      </c>
      <c r="P4513">
        <v>1</v>
      </c>
      <c r="Q4513">
        <v>1</v>
      </c>
      <c r="R4513" t="s">
        <v>4134</v>
      </c>
      <c r="S4513" t="s">
        <v>4135</v>
      </c>
      <c r="T4513" t="s">
        <v>4559</v>
      </c>
      <c r="U4513" t="s">
        <v>4655</v>
      </c>
      <c r="V4513" s="2">
        <v>0</v>
      </c>
      <c r="W4513" t="s">
        <v>4655</v>
      </c>
      <c r="X4513" s="2">
        <v>0</v>
      </c>
      <c r="Y4513">
        <v>21</v>
      </c>
      <c r="Z4513" t="s">
        <v>3781</v>
      </c>
      <c r="AA4513" s="3">
        <v>1.00000004749745E-3</v>
      </c>
      <c r="AB4513" t="s">
        <v>23882</v>
      </c>
      <c r="AC4513" t="s">
        <v>4562</v>
      </c>
      <c r="AD4513" t="s">
        <v>23883</v>
      </c>
      <c r="AE4513" t="s">
        <v>4655</v>
      </c>
      <c r="AF4513" t="s">
        <v>1916</v>
      </c>
      <c r="AG4513" t="s">
        <v>4584</v>
      </c>
      <c r="AH4513" t="s">
        <v>5031</v>
      </c>
      <c r="AI4513" t="s">
        <v>23884</v>
      </c>
      <c r="AJ4513" t="s">
        <v>4655</v>
      </c>
      <c r="AK4513" t="s">
        <v>23885</v>
      </c>
      <c r="AL4513" s="13" t="s">
        <v>1893</v>
      </c>
      <c r="AM4513" s="14">
        <v>1</v>
      </c>
      <c r="AN4513" s="15" t="s">
        <v>3245</v>
      </c>
    </row>
    <row r="4514" spans="1:40" x14ac:dyDescent="0.3">
      <c r="A4514" s="10" t="str">
        <f>HYPERLINK("http://www.washoecounty.gov/assessor/cama/?parid=132-370-04&amp;CardNumber=1","132-370-04")</f>
        <v>132-370-04</v>
      </c>
      <c r="B4514" t="s">
        <v>4655</v>
      </c>
      <c r="C4514" t="s">
        <v>23886</v>
      </c>
      <c r="D4514" s="1">
        <v>40323</v>
      </c>
      <c r="E4514" s="2">
        <v>200000</v>
      </c>
      <c r="F4514" t="s">
        <v>4567</v>
      </c>
      <c r="G4514" s="17" t="str">
        <f>HYPERLINK("https://www.washoecounty.gov/assessor/cama/?command=sales&amp;parid=13237004","3884831")</f>
        <v>3884831</v>
      </c>
      <c r="H4514" t="s">
        <v>23887</v>
      </c>
      <c r="I4514">
        <v>1964</v>
      </c>
      <c r="J4514">
        <v>1964</v>
      </c>
      <c r="K4514" t="s">
        <v>4897</v>
      </c>
      <c r="L4514" t="s">
        <v>4555</v>
      </c>
      <c r="M4514" s="2">
        <v>1059</v>
      </c>
      <c r="N4514" t="s">
        <v>4048</v>
      </c>
      <c r="O4514">
        <v>2</v>
      </c>
      <c r="P4514">
        <v>2</v>
      </c>
      <c r="Q4514">
        <v>0</v>
      </c>
      <c r="R4514" t="s">
        <v>4557</v>
      </c>
      <c r="S4514" t="s">
        <v>4135</v>
      </c>
      <c r="T4514" t="s">
        <v>4559</v>
      </c>
      <c r="U4514" t="s">
        <v>4655</v>
      </c>
      <c r="V4514" s="2">
        <v>0</v>
      </c>
      <c r="W4514" t="s">
        <v>4655</v>
      </c>
      <c r="X4514" s="2">
        <v>0</v>
      </c>
      <c r="Y4514">
        <v>21</v>
      </c>
      <c r="Z4514" t="s">
        <v>3781</v>
      </c>
      <c r="AA4514" s="3">
        <v>1.00000004749745E-3</v>
      </c>
      <c r="AB4514" t="s">
        <v>23888</v>
      </c>
      <c r="AC4514" t="s">
        <v>4562</v>
      </c>
      <c r="AD4514" t="s">
        <v>23889</v>
      </c>
      <c r="AE4514" t="s">
        <v>4655</v>
      </c>
      <c r="AF4514" t="s">
        <v>4054</v>
      </c>
      <c r="AG4514" t="s">
        <v>4564</v>
      </c>
      <c r="AH4514" t="s">
        <v>5207</v>
      </c>
      <c r="AI4514" t="s">
        <v>4655</v>
      </c>
      <c r="AJ4514" t="s">
        <v>4655</v>
      </c>
      <c r="AK4514" t="s">
        <v>23890</v>
      </c>
      <c r="AL4514" s="13" t="s">
        <v>1893</v>
      </c>
      <c r="AM4514">
        <v>1</v>
      </c>
      <c r="AN4514" s="15" t="s">
        <v>2101</v>
      </c>
    </row>
    <row r="4515" spans="1:40" x14ac:dyDescent="0.3">
      <c r="A4515" s="10" t="str">
        <f>HYPERLINK("http://www.washoecounty.gov/assessor/cama/?parid=132-380-03&amp;CardNumber=1","132-380-03")</f>
        <v>132-380-03</v>
      </c>
      <c r="B4515" t="s">
        <v>4655</v>
      </c>
      <c r="C4515" t="s">
        <v>23891</v>
      </c>
      <c r="D4515" s="1">
        <v>40295</v>
      </c>
      <c r="E4515" s="2">
        <v>240000</v>
      </c>
      <c r="F4515" t="s">
        <v>4567</v>
      </c>
      <c r="G4515" s="17" t="str">
        <f>HYPERLINK("https://www.washoecounty.gov/assessor/cama/?command=sales&amp;parid=13238003","3875382")</f>
        <v>3875382</v>
      </c>
      <c r="H4515" t="s">
        <v>23892</v>
      </c>
      <c r="I4515">
        <v>1964</v>
      </c>
      <c r="J4515">
        <v>1964</v>
      </c>
      <c r="K4515" t="s">
        <v>4897</v>
      </c>
      <c r="L4515" t="s">
        <v>4555</v>
      </c>
      <c r="M4515" s="2">
        <v>1059</v>
      </c>
      <c r="N4515" t="s">
        <v>4048</v>
      </c>
      <c r="O4515">
        <v>2</v>
      </c>
      <c r="P4515">
        <v>2</v>
      </c>
      <c r="Q4515">
        <v>0</v>
      </c>
      <c r="R4515" t="s">
        <v>4557</v>
      </c>
      <c r="S4515" t="s">
        <v>4135</v>
      </c>
      <c r="T4515" t="s">
        <v>4559</v>
      </c>
      <c r="U4515" t="s">
        <v>4655</v>
      </c>
      <c r="V4515" s="2">
        <v>0</v>
      </c>
      <c r="W4515" t="s">
        <v>4655</v>
      </c>
      <c r="X4515" s="2">
        <v>0</v>
      </c>
      <c r="Y4515">
        <v>21</v>
      </c>
      <c r="Z4515" t="s">
        <v>3781</v>
      </c>
      <c r="AA4515" s="3">
        <v>1.00000004749745E-3</v>
      </c>
      <c r="AB4515" t="s">
        <v>23893</v>
      </c>
      <c r="AC4515" t="s">
        <v>4562</v>
      </c>
      <c r="AD4515" t="s">
        <v>23894</v>
      </c>
      <c r="AE4515" t="s">
        <v>4655</v>
      </c>
      <c r="AF4515" t="s">
        <v>5201</v>
      </c>
      <c r="AG4515" t="s">
        <v>4564</v>
      </c>
      <c r="AH4515" t="s">
        <v>3898</v>
      </c>
      <c r="AI4515" t="s">
        <v>23895</v>
      </c>
      <c r="AJ4515" t="s">
        <v>4655</v>
      </c>
      <c r="AK4515" t="s">
        <v>23896</v>
      </c>
      <c r="AL4515" s="13" t="s">
        <v>1893</v>
      </c>
      <c r="AM4515">
        <v>1</v>
      </c>
      <c r="AN4515" s="15" t="s">
        <v>2101</v>
      </c>
    </row>
    <row r="4516" spans="1:40" x14ac:dyDescent="0.3">
      <c r="A4516" s="10" t="str">
        <f>HYPERLINK("http://www.washoecounty.gov/assessor/cama/?parid=132-410-05&amp;CardNumber=1","132-410-05")</f>
        <v>132-410-05</v>
      </c>
      <c r="B4516" t="s">
        <v>4655</v>
      </c>
      <c r="C4516" t="s">
        <v>4995</v>
      </c>
      <c r="D4516" s="1">
        <v>40333</v>
      </c>
      <c r="E4516" s="2">
        <v>135000</v>
      </c>
      <c r="F4516" t="s">
        <v>4553</v>
      </c>
      <c r="G4516" s="17" t="str">
        <f>HYPERLINK("https://www.washoecounty.gov/assessor/cama/?command=sales&amp;parid=13241005","3888583")</f>
        <v>3888583</v>
      </c>
      <c r="H4516" t="s">
        <v>4996</v>
      </c>
      <c r="I4516">
        <v>1965</v>
      </c>
      <c r="J4516">
        <v>1965</v>
      </c>
      <c r="K4516" t="s">
        <v>4897</v>
      </c>
      <c r="L4516" t="s">
        <v>3974</v>
      </c>
      <c r="M4516" s="2">
        <v>1040</v>
      </c>
      <c r="N4516" t="s">
        <v>4048</v>
      </c>
      <c r="O4516">
        <v>2</v>
      </c>
      <c r="P4516">
        <v>1</v>
      </c>
      <c r="Q4516">
        <v>1</v>
      </c>
      <c r="R4516" t="s">
        <v>4557</v>
      </c>
      <c r="S4516" t="s">
        <v>4135</v>
      </c>
      <c r="T4516" t="s">
        <v>4559</v>
      </c>
      <c r="U4516" t="s">
        <v>4655</v>
      </c>
      <c r="V4516" s="2">
        <v>0</v>
      </c>
      <c r="W4516" t="s">
        <v>4655</v>
      </c>
      <c r="X4516" s="2">
        <v>0</v>
      </c>
      <c r="Y4516">
        <v>21</v>
      </c>
      <c r="Z4516" t="s">
        <v>3781</v>
      </c>
      <c r="AA4516" s="3">
        <v>1.00000004749745E-3</v>
      </c>
      <c r="AB4516" t="s">
        <v>23897</v>
      </c>
      <c r="AC4516" t="s">
        <v>4575</v>
      </c>
      <c r="AD4516" t="s">
        <v>23898</v>
      </c>
      <c r="AE4516" t="s">
        <v>23182</v>
      </c>
      <c r="AF4516" t="s">
        <v>5206</v>
      </c>
      <c r="AG4516" t="s">
        <v>4564</v>
      </c>
      <c r="AH4516" t="s">
        <v>5275</v>
      </c>
      <c r="AI4516" t="s">
        <v>4045</v>
      </c>
      <c r="AJ4516" t="s">
        <v>4655</v>
      </c>
      <c r="AK4516" t="s">
        <v>23899</v>
      </c>
      <c r="AL4516" s="13" t="s">
        <v>1893</v>
      </c>
      <c r="AM4516">
        <v>1</v>
      </c>
      <c r="AN4516" s="15" t="s">
        <v>3245</v>
      </c>
    </row>
    <row r="4517" spans="1:40" x14ac:dyDescent="0.3">
      <c r="A4517" s="10" t="str">
        <f>HYPERLINK("http://www.washoecounty.gov/assessor/cama/?parid=132-440-02&amp;CardNumber=1","132-440-02")</f>
        <v>132-440-02</v>
      </c>
      <c r="B4517" t="s">
        <v>4655</v>
      </c>
      <c r="C4517" t="s">
        <v>23900</v>
      </c>
      <c r="D4517" s="1">
        <v>40361</v>
      </c>
      <c r="E4517" s="2">
        <v>350000</v>
      </c>
      <c r="F4517" t="s">
        <v>4553</v>
      </c>
      <c r="G4517" s="17" t="str">
        <f>HYPERLINK("https://www.washoecounty.gov/assessor/cama/?command=sales&amp;parid=13244002","3898169")</f>
        <v>3898169</v>
      </c>
      <c r="H4517" t="s">
        <v>23901</v>
      </c>
      <c r="I4517">
        <v>1996</v>
      </c>
      <c r="J4517">
        <v>1996</v>
      </c>
      <c r="K4517" t="s">
        <v>4554</v>
      </c>
      <c r="L4517" t="s">
        <v>3974</v>
      </c>
      <c r="M4517" s="2">
        <v>1860</v>
      </c>
      <c r="N4517" t="s">
        <v>1245</v>
      </c>
      <c r="O4517">
        <v>2</v>
      </c>
      <c r="P4517">
        <v>3</v>
      </c>
      <c r="Q4517">
        <v>0</v>
      </c>
      <c r="R4517" t="s">
        <v>4557</v>
      </c>
      <c r="S4517" t="s">
        <v>4135</v>
      </c>
      <c r="T4517" t="s">
        <v>4559</v>
      </c>
      <c r="U4517" t="s">
        <v>5631</v>
      </c>
      <c r="V4517" s="2">
        <v>550</v>
      </c>
      <c r="W4517" t="s">
        <v>4655</v>
      </c>
      <c r="X4517" s="2">
        <v>0</v>
      </c>
      <c r="Y4517">
        <v>21</v>
      </c>
      <c r="Z4517" t="s">
        <v>3781</v>
      </c>
      <c r="AA4517" s="3">
        <v>2.3989899083972002E-2</v>
      </c>
      <c r="AB4517" t="s">
        <v>23902</v>
      </c>
      <c r="AC4517" t="s">
        <v>4562</v>
      </c>
      <c r="AD4517" t="s">
        <v>23903</v>
      </c>
      <c r="AE4517" t="s">
        <v>4655</v>
      </c>
      <c r="AF4517" t="s">
        <v>4234</v>
      </c>
      <c r="AG4517" t="s">
        <v>4584</v>
      </c>
      <c r="AH4517">
        <v>93311</v>
      </c>
      <c r="AI4517" t="s">
        <v>23904</v>
      </c>
      <c r="AJ4517" t="s">
        <v>23905</v>
      </c>
      <c r="AK4517" t="s">
        <v>23906</v>
      </c>
      <c r="AL4517" s="13" t="s">
        <v>1893</v>
      </c>
      <c r="AM4517">
        <v>1</v>
      </c>
      <c r="AN4517" s="15" t="s">
        <v>2101</v>
      </c>
    </row>
    <row r="4518" spans="1:40" x14ac:dyDescent="0.3">
      <c r="A4518" s="10" t="str">
        <f>HYPERLINK("http://www.washoecounty.gov/assessor/cama/?parid=132-480-03&amp;CardNumber=1","132-480-03")</f>
        <v>132-480-03</v>
      </c>
      <c r="B4518" t="s">
        <v>4655</v>
      </c>
      <c r="C4518" t="s">
        <v>23907</v>
      </c>
      <c r="D4518" s="1">
        <v>40367</v>
      </c>
      <c r="E4518" s="2">
        <v>1080000</v>
      </c>
      <c r="F4518" t="s">
        <v>3259</v>
      </c>
      <c r="G4518" s="17" t="str">
        <f>HYPERLINK("https://www.washoecounty.gov/assessor/cama/?command=sales&amp;parid=13248003","3899311")</f>
        <v>3899311</v>
      </c>
      <c r="H4518" t="s">
        <v>23908</v>
      </c>
      <c r="I4518">
        <v>1998</v>
      </c>
      <c r="J4518">
        <v>1998</v>
      </c>
      <c r="K4518" t="s">
        <v>3144</v>
      </c>
      <c r="L4518" t="s">
        <v>4555</v>
      </c>
      <c r="M4518" s="2">
        <v>2871</v>
      </c>
      <c r="N4518" t="s">
        <v>2008</v>
      </c>
      <c r="O4518">
        <v>3</v>
      </c>
      <c r="P4518">
        <v>3</v>
      </c>
      <c r="Q4518">
        <v>0</v>
      </c>
      <c r="R4518" t="s">
        <v>1186</v>
      </c>
      <c r="S4518" t="s">
        <v>4898</v>
      </c>
      <c r="T4518" t="s">
        <v>4559</v>
      </c>
      <c r="U4518" t="s">
        <v>4655</v>
      </c>
      <c r="V4518" s="2">
        <v>0</v>
      </c>
      <c r="W4518" t="s">
        <v>4655</v>
      </c>
      <c r="X4518" s="2">
        <v>0</v>
      </c>
      <c r="Y4518">
        <v>21</v>
      </c>
      <c r="Z4518" t="s">
        <v>718</v>
      </c>
      <c r="AA4518" s="3">
        <v>6.6000916063785595E-2</v>
      </c>
      <c r="AB4518" t="s">
        <v>23909</v>
      </c>
      <c r="AC4518" t="s">
        <v>4575</v>
      </c>
      <c r="AD4518" t="s">
        <v>23910</v>
      </c>
      <c r="AE4518" t="s">
        <v>4655</v>
      </c>
      <c r="AF4518" t="s">
        <v>1189</v>
      </c>
      <c r="AG4518" t="s">
        <v>4564</v>
      </c>
      <c r="AH4518">
        <v>89113</v>
      </c>
      <c r="AI4518" t="s">
        <v>23911</v>
      </c>
      <c r="AJ4518" t="s">
        <v>23912</v>
      </c>
      <c r="AK4518" t="s">
        <v>23913</v>
      </c>
      <c r="AL4518" s="13" t="s">
        <v>1893</v>
      </c>
      <c r="AM4518" s="14">
        <v>1</v>
      </c>
      <c r="AN4518" s="15" t="s">
        <v>23914</v>
      </c>
    </row>
    <row r="4519" spans="1:40" x14ac:dyDescent="0.3">
      <c r="A4519" s="10" t="str">
        <f>HYPERLINK("http://www.washoecounty.gov/assessor/cama/?parid=132-520-01&amp;CardNumber=1","132-520-01")</f>
        <v>132-520-01</v>
      </c>
      <c r="B4519" t="s">
        <v>4655</v>
      </c>
      <c r="C4519" t="s">
        <v>23915</v>
      </c>
      <c r="D4519" s="1">
        <v>40346</v>
      </c>
      <c r="E4519" s="2">
        <v>460000</v>
      </c>
      <c r="F4519" t="s">
        <v>4567</v>
      </c>
      <c r="G4519" s="17" t="str">
        <f>HYPERLINK("https://www.washoecounty.gov/assessor/cama/?command=sales&amp;parid=13252001","3893074")</f>
        <v>3893074</v>
      </c>
      <c r="H4519" t="s">
        <v>1011</v>
      </c>
      <c r="I4519">
        <v>1999</v>
      </c>
      <c r="J4519">
        <v>1999</v>
      </c>
      <c r="K4519" t="s">
        <v>4897</v>
      </c>
      <c r="L4519" t="s">
        <v>3974</v>
      </c>
      <c r="M4519" s="2">
        <v>1212</v>
      </c>
      <c r="N4519" t="s">
        <v>3147</v>
      </c>
      <c r="O4519">
        <v>3</v>
      </c>
      <c r="P4519">
        <v>2</v>
      </c>
      <c r="Q4519">
        <v>0</v>
      </c>
      <c r="R4519" t="s">
        <v>4557</v>
      </c>
      <c r="S4519" t="s">
        <v>4135</v>
      </c>
      <c r="T4519" t="s">
        <v>4559</v>
      </c>
      <c r="U4519" t="s">
        <v>5631</v>
      </c>
      <c r="V4519" s="2">
        <v>240</v>
      </c>
      <c r="W4519" t="s">
        <v>4655</v>
      </c>
      <c r="X4519" s="2">
        <v>0</v>
      </c>
      <c r="Y4519">
        <v>21</v>
      </c>
      <c r="Z4519" t="s">
        <v>3781</v>
      </c>
      <c r="AA4519" s="3">
        <v>1.00000004749745E-3</v>
      </c>
      <c r="AB4519" t="s">
        <v>23916</v>
      </c>
      <c r="AC4519" t="s">
        <v>4575</v>
      </c>
      <c r="AD4519" t="s">
        <v>23917</v>
      </c>
      <c r="AE4519" t="s">
        <v>4655</v>
      </c>
      <c r="AF4519" t="s">
        <v>3114</v>
      </c>
      <c r="AG4519" t="s">
        <v>4564</v>
      </c>
      <c r="AH4519">
        <v>89511</v>
      </c>
      <c r="AI4519" t="s">
        <v>23918</v>
      </c>
      <c r="AJ4519" t="s">
        <v>137</v>
      </c>
      <c r="AK4519" t="s">
        <v>23919</v>
      </c>
      <c r="AL4519" s="13" t="s">
        <v>1893</v>
      </c>
      <c r="AM4519">
        <v>1</v>
      </c>
      <c r="AN4519" s="15" t="s">
        <v>2101</v>
      </c>
    </row>
    <row r="4520" spans="1:40" x14ac:dyDescent="0.3">
      <c r="A4520" s="10" t="str">
        <f>HYPERLINK("http://www.washoecounty.gov/assessor/cama/?parid=132-520-02&amp;CardNumber=1","132-520-02")</f>
        <v>132-520-02</v>
      </c>
      <c r="B4520" t="s">
        <v>4655</v>
      </c>
      <c r="C4520" t="s">
        <v>23920</v>
      </c>
      <c r="D4520" s="1">
        <v>40351</v>
      </c>
      <c r="E4520" s="2">
        <v>425000</v>
      </c>
      <c r="F4520" t="s">
        <v>4567</v>
      </c>
      <c r="G4520" s="17" t="str">
        <f>HYPERLINK("https://www.washoecounty.gov/assessor/cama/?command=sales&amp;parid=13252002","3894388")</f>
        <v>3894388</v>
      </c>
      <c r="H4520" t="s">
        <v>1011</v>
      </c>
      <c r="I4520">
        <v>1999</v>
      </c>
      <c r="J4520">
        <v>1999</v>
      </c>
      <c r="K4520" t="s">
        <v>3144</v>
      </c>
      <c r="L4520" t="s">
        <v>3974</v>
      </c>
      <c r="M4520" s="2">
        <v>1212</v>
      </c>
      <c r="N4520" t="s">
        <v>3147</v>
      </c>
      <c r="O4520">
        <v>3</v>
      </c>
      <c r="P4520">
        <v>2</v>
      </c>
      <c r="Q4520">
        <v>0</v>
      </c>
      <c r="R4520" t="s">
        <v>4557</v>
      </c>
      <c r="S4520" t="s">
        <v>4135</v>
      </c>
      <c r="T4520" t="s">
        <v>4559</v>
      </c>
      <c r="U4520" t="s">
        <v>5631</v>
      </c>
      <c r="V4520" s="2">
        <v>240</v>
      </c>
      <c r="W4520" t="s">
        <v>4655</v>
      </c>
      <c r="X4520" s="2">
        <v>0</v>
      </c>
      <c r="Y4520">
        <v>21</v>
      </c>
      <c r="Z4520" t="s">
        <v>3781</v>
      </c>
      <c r="AA4520" s="3">
        <v>1.00000004749745E-3</v>
      </c>
      <c r="AB4520" t="s">
        <v>23921</v>
      </c>
      <c r="AC4520" t="s">
        <v>4562</v>
      </c>
      <c r="AD4520" t="s">
        <v>23922</v>
      </c>
      <c r="AE4520" t="s">
        <v>4655</v>
      </c>
      <c r="AF4520" t="s">
        <v>5206</v>
      </c>
      <c r="AG4520" t="s">
        <v>4564</v>
      </c>
      <c r="AH4520" t="s">
        <v>5207</v>
      </c>
      <c r="AI4520" t="s">
        <v>23923</v>
      </c>
      <c r="AJ4520" t="s">
        <v>137</v>
      </c>
      <c r="AK4520" t="s">
        <v>23924</v>
      </c>
      <c r="AL4520" s="13" t="s">
        <v>1893</v>
      </c>
      <c r="AM4520" s="14">
        <v>1</v>
      </c>
      <c r="AN4520" s="15" t="s">
        <v>2101</v>
      </c>
    </row>
    <row r="4521" spans="1:40" x14ac:dyDescent="0.3">
      <c r="A4521" s="10" t="str">
        <f>HYPERLINK("http://www.washoecounty.gov/assessor/cama/?parid=132-560-01&amp;CardNumber=1","132-560-01")</f>
        <v>132-560-01</v>
      </c>
      <c r="B4521" t="s">
        <v>4655</v>
      </c>
      <c r="C4521" t="s">
        <v>2935</v>
      </c>
      <c r="D4521" s="1">
        <v>40368</v>
      </c>
      <c r="E4521" s="2">
        <v>89500</v>
      </c>
      <c r="F4521" t="s">
        <v>4567</v>
      </c>
      <c r="G4521" s="17" t="str">
        <f>HYPERLINK("https://www.washoecounty.gov/assessor/cama/?command=sales&amp;parid=13256001","3899722")</f>
        <v>3899722</v>
      </c>
      <c r="H4521" t="s">
        <v>2936</v>
      </c>
      <c r="I4521">
        <v>1980</v>
      </c>
      <c r="J4521">
        <v>1980</v>
      </c>
      <c r="K4521" t="s">
        <v>4897</v>
      </c>
      <c r="L4521" t="s">
        <v>4555</v>
      </c>
      <c r="M4521" s="2">
        <v>600</v>
      </c>
      <c r="N4521" t="s">
        <v>4556</v>
      </c>
      <c r="O4521">
        <v>1</v>
      </c>
      <c r="P4521">
        <v>1</v>
      </c>
      <c r="Q4521">
        <v>0</v>
      </c>
      <c r="R4521" t="s">
        <v>4557</v>
      </c>
      <c r="S4521" t="s">
        <v>4135</v>
      </c>
      <c r="T4521" t="s">
        <v>4559</v>
      </c>
      <c r="U4521" t="s">
        <v>4655</v>
      </c>
      <c r="V4521" s="2">
        <v>0</v>
      </c>
      <c r="W4521" t="s">
        <v>4655</v>
      </c>
      <c r="X4521" s="2">
        <v>0</v>
      </c>
      <c r="Y4521">
        <v>21</v>
      </c>
      <c r="Z4521" t="s">
        <v>3781</v>
      </c>
      <c r="AA4521" s="3">
        <v>1.00000004749745E-3</v>
      </c>
      <c r="AB4521" t="s">
        <v>23925</v>
      </c>
      <c r="AC4521" t="s">
        <v>4562</v>
      </c>
      <c r="AD4521" t="s">
        <v>23926</v>
      </c>
      <c r="AE4521" t="s">
        <v>4655</v>
      </c>
      <c r="AF4521" t="s">
        <v>1661</v>
      </c>
      <c r="AG4521" t="s">
        <v>4584</v>
      </c>
      <c r="AH4521" t="s">
        <v>22939</v>
      </c>
      <c r="AI4521" t="s">
        <v>23927</v>
      </c>
      <c r="AJ4521" t="s">
        <v>4571</v>
      </c>
      <c r="AK4521" t="s">
        <v>23928</v>
      </c>
      <c r="AL4521" s="13" t="s">
        <v>1893</v>
      </c>
      <c r="AM4521">
        <v>1</v>
      </c>
      <c r="AN4521" s="15" t="s">
        <v>2575</v>
      </c>
    </row>
    <row r="4522" spans="1:40" x14ac:dyDescent="0.3">
      <c r="A4522" s="10" t="str">
        <f>HYPERLINK("http://www.washoecounty.gov/assessor/cama/?parid=132-560-17&amp;CardNumber=1","132-560-17")</f>
        <v>132-560-17</v>
      </c>
      <c r="B4522" t="s">
        <v>4655</v>
      </c>
      <c r="C4522" t="s">
        <v>2935</v>
      </c>
      <c r="D4522" s="1">
        <v>40423</v>
      </c>
      <c r="E4522" s="2">
        <v>92500</v>
      </c>
      <c r="F4522" t="s">
        <v>4553</v>
      </c>
      <c r="G4522" s="17" t="str">
        <f>HYPERLINK("https://www.washoecounty.gov/assessor/cama/?command=sales&amp;parid=13256017","3918578")</f>
        <v>3918578</v>
      </c>
      <c r="H4522" t="s">
        <v>2936</v>
      </c>
      <c r="I4522">
        <v>1980</v>
      </c>
      <c r="J4522">
        <v>1980</v>
      </c>
      <c r="K4522" t="s">
        <v>4897</v>
      </c>
      <c r="L4522" t="s">
        <v>4555</v>
      </c>
      <c r="M4522" s="2">
        <v>600</v>
      </c>
      <c r="N4522" t="s">
        <v>4556</v>
      </c>
      <c r="O4522">
        <v>1</v>
      </c>
      <c r="P4522">
        <v>1</v>
      </c>
      <c r="Q4522">
        <v>0</v>
      </c>
      <c r="R4522" t="s">
        <v>4557</v>
      </c>
      <c r="S4522" t="s">
        <v>4135</v>
      </c>
      <c r="T4522" t="s">
        <v>4559</v>
      </c>
      <c r="U4522" t="s">
        <v>4655</v>
      </c>
      <c r="V4522" s="2">
        <v>0</v>
      </c>
      <c r="W4522" t="s">
        <v>4655</v>
      </c>
      <c r="X4522" s="2">
        <v>0</v>
      </c>
      <c r="Y4522">
        <v>21</v>
      </c>
      <c r="Z4522" t="s">
        <v>3781</v>
      </c>
      <c r="AA4522" s="3">
        <v>1.00000004749745E-3</v>
      </c>
      <c r="AB4522" t="s">
        <v>5319</v>
      </c>
      <c r="AC4522" t="s">
        <v>4562</v>
      </c>
      <c r="AD4522" t="s">
        <v>4881</v>
      </c>
      <c r="AE4522" t="s">
        <v>4655</v>
      </c>
      <c r="AF4522" t="s">
        <v>4882</v>
      </c>
      <c r="AG4522" t="s">
        <v>4584</v>
      </c>
      <c r="AH4522">
        <v>95001</v>
      </c>
      <c r="AI4522" t="s">
        <v>11</v>
      </c>
      <c r="AJ4522" t="s">
        <v>2269</v>
      </c>
      <c r="AK4522" t="s">
        <v>23929</v>
      </c>
      <c r="AL4522" s="13" t="s">
        <v>1893</v>
      </c>
      <c r="AM4522">
        <v>1</v>
      </c>
      <c r="AN4522" s="15" t="s">
        <v>2575</v>
      </c>
    </row>
    <row r="4523" spans="1:40" x14ac:dyDescent="0.3">
      <c r="A4523" s="10" t="str">
        <f>HYPERLINK("http://www.washoecounty.gov/assessor/cama/?parid=132-570-08&amp;CardNumber=1","132-570-08")</f>
        <v>132-570-08</v>
      </c>
      <c r="B4523" t="s">
        <v>4655</v>
      </c>
      <c r="C4523" t="s">
        <v>2935</v>
      </c>
      <c r="D4523" s="1">
        <v>40514</v>
      </c>
      <c r="E4523" s="2">
        <v>57225</v>
      </c>
      <c r="F4523" t="s">
        <v>4553</v>
      </c>
      <c r="G4523" s="17" t="str">
        <f>HYPERLINK("https://www.washoecounty.gov/assessor/cama/?command=sales&amp;parid=13257008","3948664")</f>
        <v>3948664</v>
      </c>
      <c r="H4523" t="s">
        <v>2936</v>
      </c>
      <c r="I4523">
        <v>1980</v>
      </c>
      <c r="J4523">
        <v>1980</v>
      </c>
      <c r="K4523" t="s">
        <v>4897</v>
      </c>
      <c r="L4523" t="s">
        <v>4555</v>
      </c>
      <c r="M4523" s="2">
        <v>600</v>
      </c>
      <c r="N4523" t="s">
        <v>4556</v>
      </c>
      <c r="O4523">
        <v>1</v>
      </c>
      <c r="P4523">
        <v>1</v>
      </c>
      <c r="Q4523">
        <v>0</v>
      </c>
      <c r="R4523" t="s">
        <v>4557</v>
      </c>
      <c r="S4523" t="s">
        <v>4135</v>
      </c>
      <c r="T4523" t="s">
        <v>4559</v>
      </c>
      <c r="U4523" t="s">
        <v>4655</v>
      </c>
      <c r="V4523" s="2">
        <v>0</v>
      </c>
      <c r="W4523" t="s">
        <v>4655</v>
      </c>
      <c r="X4523" s="2">
        <v>0</v>
      </c>
      <c r="Y4523">
        <v>21</v>
      </c>
      <c r="Z4523" t="s">
        <v>3889</v>
      </c>
      <c r="AA4523" s="3">
        <v>1.00000004749745E-3</v>
      </c>
      <c r="AB4523" t="s">
        <v>23930</v>
      </c>
      <c r="AC4523" t="s">
        <v>4562</v>
      </c>
      <c r="AD4523" t="s">
        <v>23931</v>
      </c>
      <c r="AE4523" t="s">
        <v>4655</v>
      </c>
      <c r="AF4523" t="s">
        <v>4959</v>
      </c>
      <c r="AG4523" t="s">
        <v>4564</v>
      </c>
      <c r="AH4523">
        <v>89402</v>
      </c>
      <c r="AI4523" t="s">
        <v>4903</v>
      </c>
      <c r="AJ4523" t="s">
        <v>2269</v>
      </c>
      <c r="AK4523" t="s">
        <v>23932</v>
      </c>
      <c r="AL4523" s="13" t="s">
        <v>1893</v>
      </c>
      <c r="AM4523" s="14">
        <v>1</v>
      </c>
      <c r="AN4523" s="15" t="s">
        <v>2575</v>
      </c>
    </row>
    <row r="4524" spans="1:40" x14ac:dyDescent="0.3">
      <c r="A4524" s="10" t="str">
        <f>HYPERLINK("http://www.washoecounty.gov/assessor/cama/?parid=132-570-13&amp;CardNumber=1","132-570-13")</f>
        <v>132-570-13</v>
      </c>
      <c r="B4524" t="s">
        <v>4655</v>
      </c>
      <c r="C4524" t="s">
        <v>2935</v>
      </c>
      <c r="D4524" s="1">
        <v>40399</v>
      </c>
      <c r="E4524" s="2">
        <v>98000</v>
      </c>
      <c r="F4524" t="s">
        <v>3528</v>
      </c>
      <c r="G4524" s="17" t="str">
        <f>HYPERLINK("https://www.washoecounty.gov/assessor/cama/?command=sales&amp;parid=13257013","3909782")</f>
        <v>3909782</v>
      </c>
      <c r="H4524" t="s">
        <v>2936</v>
      </c>
      <c r="I4524">
        <v>1980</v>
      </c>
      <c r="J4524">
        <v>1984</v>
      </c>
      <c r="K4524" t="s">
        <v>4897</v>
      </c>
      <c r="L4524" t="s">
        <v>4555</v>
      </c>
      <c r="M4524" s="2">
        <v>600</v>
      </c>
      <c r="N4524" t="s">
        <v>4556</v>
      </c>
      <c r="O4524">
        <v>1</v>
      </c>
      <c r="P4524">
        <v>1</v>
      </c>
      <c r="Q4524">
        <v>0</v>
      </c>
      <c r="R4524" t="s">
        <v>4557</v>
      </c>
      <c r="S4524" t="s">
        <v>4135</v>
      </c>
      <c r="T4524" t="s">
        <v>4559</v>
      </c>
      <c r="U4524" t="s">
        <v>4655</v>
      </c>
      <c r="V4524" s="2">
        <v>0</v>
      </c>
      <c r="W4524" t="s">
        <v>4655</v>
      </c>
      <c r="X4524" s="2">
        <v>0</v>
      </c>
      <c r="Y4524">
        <v>21</v>
      </c>
      <c r="Z4524" t="s">
        <v>3889</v>
      </c>
      <c r="AA4524" s="3">
        <v>1.00000004749745E-3</v>
      </c>
      <c r="AB4524" t="s">
        <v>23933</v>
      </c>
      <c r="AC4524" t="s">
        <v>4575</v>
      </c>
      <c r="AD4524" t="s">
        <v>23934</v>
      </c>
      <c r="AE4524" t="s">
        <v>4655</v>
      </c>
      <c r="AF4524" t="s">
        <v>3643</v>
      </c>
      <c r="AG4524" t="s">
        <v>4584</v>
      </c>
      <c r="AH4524" t="s">
        <v>3080</v>
      </c>
      <c r="AI4524" t="s">
        <v>23935</v>
      </c>
      <c r="AJ4524" t="s">
        <v>2269</v>
      </c>
      <c r="AK4524" t="s">
        <v>23936</v>
      </c>
      <c r="AL4524" s="13" t="s">
        <v>1893</v>
      </c>
      <c r="AM4524">
        <v>1</v>
      </c>
      <c r="AN4524" s="15" t="s">
        <v>2575</v>
      </c>
    </row>
    <row r="4525" spans="1:40" x14ac:dyDescent="0.3">
      <c r="A4525" s="10" t="str">
        <f>HYPERLINK("http://www.washoecounty.gov/assessor/cama/?parid=132-570-24&amp;CardNumber=1","132-570-24")</f>
        <v>132-570-24</v>
      </c>
      <c r="B4525" t="s">
        <v>4655</v>
      </c>
      <c r="C4525" t="s">
        <v>2935</v>
      </c>
      <c r="D4525" s="1">
        <v>40375</v>
      </c>
      <c r="E4525" s="2">
        <v>150000</v>
      </c>
      <c r="F4525" t="s">
        <v>4567</v>
      </c>
      <c r="G4525" s="17" t="str">
        <f>HYPERLINK("https://www.washoecounty.gov/assessor/cama/?command=sales&amp;parid=13257024","3902074")</f>
        <v>3902074</v>
      </c>
      <c r="H4525" t="s">
        <v>2936</v>
      </c>
      <c r="I4525">
        <v>1980</v>
      </c>
      <c r="J4525">
        <v>1980</v>
      </c>
      <c r="K4525" t="s">
        <v>4897</v>
      </c>
      <c r="L4525" t="s">
        <v>4555</v>
      </c>
      <c r="M4525" s="2">
        <v>600</v>
      </c>
      <c r="N4525" t="s">
        <v>4556</v>
      </c>
      <c r="O4525">
        <v>1</v>
      </c>
      <c r="P4525">
        <v>1</v>
      </c>
      <c r="Q4525">
        <v>0</v>
      </c>
      <c r="R4525" t="s">
        <v>4557</v>
      </c>
      <c r="S4525" t="s">
        <v>4135</v>
      </c>
      <c r="T4525" t="s">
        <v>4559</v>
      </c>
      <c r="U4525" t="s">
        <v>4655</v>
      </c>
      <c r="V4525" s="2">
        <v>0</v>
      </c>
      <c r="W4525" t="s">
        <v>4655</v>
      </c>
      <c r="X4525" s="2">
        <v>0</v>
      </c>
      <c r="Y4525">
        <v>21</v>
      </c>
      <c r="Z4525" t="s">
        <v>3889</v>
      </c>
      <c r="AA4525" s="3">
        <v>1.00000004749745E-3</v>
      </c>
      <c r="AB4525" t="s">
        <v>23937</v>
      </c>
      <c r="AC4525" t="s">
        <v>4575</v>
      </c>
      <c r="AD4525" t="s">
        <v>23938</v>
      </c>
      <c r="AE4525" t="s">
        <v>4655</v>
      </c>
      <c r="AF4525" t="s">
        <v>23939</v>
      </c>
      <c r="AG4525" t="s">
        <v>4584</v>
      </c>
      <c r="AH4525">
        <v>94705</v>
      </c>
      <c r="AI4525" t="s">
        <v>23940</v>
      </c>
      <c r="AJ4525" t="s">
        <v>2269</v>
      </c>
      <c r="AK4525" t="s">
        <v>23941</v>
      </c>
      <c r="AL4525" s="13" t="s">
        <v>1893</v>
      </c>
      <c r="AM4525">
        <v>1</v>
      </c>
      <c r="AN4525" s="15" t="s">
        <v>2575</v>
      </c>
    </row>
    <row r="4526" spans="1:40" x14ac:dyDescent="0.3">
      <c r="A4526" s="10" t="str">
        <f>HYPERLINK("http://www.washoecounty.gov/assessor/cama/?parid=132-620-03&amp;CardNumber=1","132-620-03")</f>
        <v>132-620-03</v>
      </c>
      <c r="B4526" t="s">
        <v>4655</v>
      </c>
      <c r="C4526" t="s">
        <v>23942</v>
      </c>
      <c r="D4526" s="1">
        <v>40372</v>
      </c>
      <c r="E4526" s="2">
        <v>223500</v>
      </c>
      <c r="F4526" t="s">
        <v>4567</v>
      </c>
      <c r="G4526" s="17" t="str">
        <f>HYPERLINK("https://www.washoecounty.gov/assessor/cama/?command=sales&amp;parid=13262003","3900758")</f>
        <v>3900758</v>
      </c>
      <c r="H4526" t="s">
        <v>23943</v>
      </c>
      <c r="I4526">
        <v>2006</v>
      </c>
      <c r="J4526">
        <v>2006</v>
      </c>
      <c r="K4526" t="s">
        <v>4897</v>
      </c>
      <c r="L4526" t="s">
        <v>4555</v>
      </c>
      <c r="M4526" s="2">
        <v>1000</v>
      </c>
      <c r="N4526" t="s">
        <v>3887</v>
      </c>
      <c r="O4526">
        <v>2</v>
      </c>
      <c r="P4526">
        <v>1</v>
      </c>
      <c r="Q4526">
        <v>0</v>
      </c>
      <c r="R4526" t="s">
        <v>4557</v>
      </c>
      <c r="S4526" t="s">
        <v>4135</v>
      </c>
      <c r="T4526" t="s">
        <v>4559</v>
      </c>
      <c r="U4526" t="s">
        <v>4655</v>
      </c>
      <c r="V4526" s="2">
        <v>0</v>
      </c>
      <c r="W4526" t="s">
        <v>4655</v>
      </c>
      <c r="X4526" s="2">
        <v>0</v>
      </c>
      <c r="Y4526">
        <v>25</v>
      </c>
      <c r="Z4526" t="s">
        <v>3889</v>
      </c>
      <c r="AA4526" s="3">
        <v>2.1349862217903099E-2</v>
      </c>
      <c r="AB4526" t="s">
        <v>23944</v>
      </c>
      <c r="AC4526" t="s">
        <v>4575</v>
      </c>
      <c r="AD4526" t="s">
        <v>23945</v>
      </c>
      <c r="AE4526" t="s">
        <v>4655</v>
      </c>
      <c r="AF4526" t="s">
        <v>5206</v>
      </c>
      <c r="AG4526" t="s">
        <v>4564</v>
      </c>
      <c r="AH4526" t="s">
        <v>5207</v>
      </c>
      <c r="AI4526" t="s">
        <v>23946</v>
      </c>
      <c r="AJ4526" t="s">
        <v>23947</v>
      </c>
      <c r="AK4526" t="s">
        <v>23948</v>
      </c>
      <c r="AL4526" s="13" t="s">
        <v>1893</v>
      </c>
      <c r="AM4526">
        <v>1</v>
      </c>
      <c r="AN4526" s="15" t="s">
        <v>4766</v>
      </c>
    </row>
    <row r="4527" spans="1:40" x14ac:dyDescent="0.3">
      <c r="A4527" s="10" t="str">
        <f>HYPERLINK("http://www.washoecounty.gov/assessor/cama/?parid=132-620-04&amp;CardNumber=1","132-620-04")</f>
        <v>132-620-04</v>
      </c>
      <c r="B4527" t="s">
        <v>4655</v>
      </c>
      <c r="C4527" t="s">
        <v>23942</v>
      </c>
      <c r="D4527" s="1">
        <v>40207</v>
      </c>
      <c r="E4527" s="2">
        <v>229995</v>
      </c>
      <c r="F4527" t="s">
        <v>3259</v>
      </c>
      <c r="G4527" s="17" t="str">
        <f>HYPERLINK("https://www.washoecounty.gov/assessor/cama/?command=sales&amp;parid=13262004","3844012")</f>
        <v>3844012</v>
      </c>
      <c r="H4527" t="s">
        <v>23943</v>
      </c>
      <c r="I4527">
        <v>2006</v>
      </c>
      <c r="J4527">
        <v>2006</v>
      </c>
      <c r="K4527" t="s">
        <v>4897</v>
      </c>
      <c r="L4527" t="s">
        <v>4555</v>
      </c>
      <c r="M4527" s="2">
        <v>1000</v>
      </c>
      <c r="N4527" t="s">
        <v>3887</v>
      </c>
      <c r="O4527">
        <v>2</v>
      </c>
      <c r="P4527">
        <v>1</v>
      </c>
      <c r="Q4527">
        <v>0</v>
      </c>
      <c r="R4527" t="s">
        <v>4557</v>
      </c>
      <c r="S4527" t="s">
        <v>4135</v>
      </c>
      <c r="T4527" t="s">
        <v>4559</v>
      </c>
      <c r="U4527" t="s">
        <v>4655</v>
      </c>
      <c r="V4527" s="2">
        <v>0</v>
      </c>
      <c r="W4527" t="s">
        <v>4655</v>
      </c>
      <c r="X4527" s="2">
        <v>0</v>
      </c>
      <c r="Y4527">
        <v>25</v>
      </c>
      <c r="Z4527" t="s">
        <v>3889</v>
      </c>
      <c r="AA4527" s="3">
        <v>2.1349862217903099E-2</v>
      </c>
      <c r="AB4527" t="s">
        <v>23949</v>
      </c>
      <c r="AC4527" t="s">
        <v>4562</v>
      </c>
      <c r="AD4527" t="s">
        <v>23950</v>
      </c>
      <c r="AE4527" t="s">
        <v>4655</v>
      </c>
      <c r="AF4527" t="s">
        <v>5206</v>
      </c>
      <c r="AG4527" t="s">
        <v>4564</v>
      </c>
      <c r="AH4527" t="s">
        <v>5207</v>
      </c>
      <c r="AI4527" t="s">
        <v>5001</v>
      </c>
      <c r="AJ4527" t="s">
        <v>23947</v>
      </c>
      <c r="AK4527" t="s">
        <v>23951</v>
      </c>
      <c r="AL4527" s="13" t="s">
        <v>1893</v>
      </c>
      <c r="AM4527">
        <v>1</v>
      </c>
      <c r="AN4527" s="15" t="s">
        <v>4766</v>
      </c>
    </row>
    <row r="4528" spans="1:40" x14ac:dyDescent="0.3">
      <c r="A4528" s="10" t="str">
        <f>HYPERLINK("http://www.washoecounty.gov/assessor/cama/?parid=132-620-05&amp;CardNumber=1","132-620-05")</f>
        <v>132-620-05</v>
      </c>
      <c r="B4528" t="s">
        <v>4655</v>
      </c>
      <c r="C4528" t="s">
        <v>23942</v>
      </c>
      <c r="D4528" s="1">
        <v>40393</v>
      </c>
      <c r="E4528" s="2">
        <v>225000</v>
      </c>
      <c r="F4528" t="s">
        <v>4567</v>
      </c>
      <c r="G4528" s="17" t="str">
        <f>HYPERLINK("https://www.washoecounty.gov/assessor/cama/?command=sales&amp;parid=13262005","3908276")</f>
        <v>3908276</v>
      </c>
      <c r="H4528" t="s">
        <v>23943</v>
      </c>
      <c r="I4528">
        <v>2006</v>
      </c>
      <c r="J4528">
        <v>2006</v>
      </c>
      <c r="K4528" t="s">
        <v>4897</v>
      </c>
      <c r="L4528" t="s">
        <v>4555</v>
      </c>
      <c r="M4528" s="2">
        <v>1000</v>
      </c>
      <c r="N4528" t="s">
        <v>3887</v>
      </c>
      <c r="O4528">
        <v>2</v>
      </c>
      <c r="P4528">
        <v>1</v>
      </c>
      <c r="Q4528">
        <v>0</v>
      </c>
      <c r="R4528" t="s">
        <v>4557</v>
      </c>
      <c r="S4528" t="s">
        <v>4135</v>
      </c>
      <c r="T4528" t="s">
        <v>4559</v>
      </c>
      <c r="U4528" t="s">
        <v>4655</v>
      </c>
      <c r="V4528" s="2">
        <v>0</v>
      </c>
      <c r="W4528" t="s">
        <v>4655</v>
      </c>
      <c r="X4528" s="2">
        <v>0</v>
      </c>
      <c r="Y4528">
        <v>25</v>
      </c>
      <c r="Z4528" t="s">
        <v>3889</v>
      </c>
      <c r="AA4528" s="3">
        <v>2.1349862217903099E-2</v>
      </c>
      <c r="AB4528" t="s">
        <v>23952</v>
      </c>
      <c r="AC4528" t="s">
        <v>4575</v>
      </c>
      <c r="AD4528" t="s">
        <v>23953</v>
      </c>
      <c r="AE4528" t="s">
        <v>4655</v>
      </c>
      <c r="AF4528" t="s">
        <v>3624</v>
      </c>
      <c r="AG4528" t="s">
        <v>4584</v>
      </c>
      <c r="AH4528">
        <v>95401</v>
      </c>
      <c r="AI4528" t="s">
        <v>5001</v>
      </c>
      <c r="AJ4528" t="s">
        <v>23947</v>
      </c>
      <c r="AK4528" t="s">
        <v>23954</v>
      </c>
      <c r="AL4528" s="13" t="s">
        <v>1893</v>
      </c>
      <c r="AM4528">
        <v>1</v>
      </c>
      <c r="AN4528" s="15" t="s">
        <v>4766</v>
      </c>
    </row>
    <row r="4529" spans="1:40" x14ac:dyDescent="0.3">
      <c r="A4529" s="10" t="str">
        <f>HYPERLINK("http://www.washoecounty.gov/assessor/cama/?parid=132-620-06&amp;CardNumber=1","132-620-06")</f>
        <v>132-620-06</v>
      </c>
      <c r="B4529" t="s">
        <v>4655</v>
      </c>
      <c r="C4529" t="s">
        <v>23942</v>
      </c>
      <c r="D4529" s="1">
        <v>40273</v>
      </c>
      <c r="E4529" s="2">
        <v>222500</v>
      </c>
      <c r="F4529" t="s">
        <v>4567</v>
      </c>
      <c r="G4529" s="17" t="str">
        <f>HYPERLINK("https://www.washoecounty.gov/assessor/cama/?command=sales&amp;parid=13262006","3867655")</f>
        <v>3867655</v>
      </c>
      <c r="H4529" t="s">
        <v>23943</v>
      </c>
      <c r="I4529">
        <v>2006</v>
      </c>
      <c r="J4529">
        <v>2006</v>
      </c>
      <c r="K4529" t="s">
        <v>4897</v>
      </c>
      <c r="L4529" t="s">
        <v>4555</v>
      </c>
      <c r="M4529" s="2">
        <v>1000</v>
      </c>
      <c r="N4529" t="s">
        <v>3887</v>
      </c>
      <c r="O4529">
        <v>2</v>
      </c>
      <c r="P4529">
        <v>1</v>
      </c>
      <c r="Q4529">
        <v>0</v>
      </c>
      <c r="R4529" t="s">
        <v>4557</v>
      </c>
      <c r="S4529" t="s">
        <v>4135</v>
      </c>
      <c r="T4529" t="s">
        <v>4559</v>
      </c>
      <c r="U4529" t="s">
        <v>4655</v>
      </c>
      <c r="V4529" s="2">
        <v>0</v>
      </c>
      <c r="W4529" t="s">
        <v>4655</v>
      </c>
      <c r="X4529" s="2">
        <v>0</v>
      </c>
      <c r="Y4529">
        <v>25</v>
      </c>
      <c r="Z4529" t="s">
        <v>3889</v>
      </c>
      <c r="AA4529" s="3">
        <v>2.1349862217903099E-2</v>
      </c>
      <c r="AB4529" t="s">
        <v>23955</v>
      </c>
      <c r="AC4529" t="s">
        <v>4575</v>
      </c>
      <c r="AD4529" t="s">
        <v>23956</v>
      </c>
      <c r="AE4529" t="s">
        <v>4655</v>
      </c>
      <c r="AF4529" t="s">
        <v>23957</v>
      </c>
      <c r="AG4529" t="s">
        <v>3674</v>
      </c>
      <c r="AH4529" t="s">
        <v>23958</v>
      </c>
      <c r="AI4529" t="s">
        <v>5001</v>
      </c>
      <c r="AJ4529" t="s">
        <v>23947</v>
      </c>
      <c r="AK4529" t="s">
        <v>23959</v>
      </c>
      <c r="AL4529" s="13" t="s">
        <v>1893</v>
      </c>
      <c r="AM4529" s="14">
        <v>1</v>
      </c>
      <c r="AN4529" s="15" t="s">
        <v>4766</v>
      </c>
    </row>
    <row r="4530" spans="1:40" x14ac:dyDescent="0.3">
      <c r="A4530" s="10" t="str">
        <f>HYPERLINK("http://www.washoecounty.gov/assessor/cama/?parid=132-620-07&amp;CardNumber=1","132-620-07")</f>
        <v>132-620-07</v>
      </c>
      <c r="B4530" t="s">
        <v>4655</v>
      </c>
      <c r="C4530" t="s">
        <v>23942</v>
      </c>
      <c r="D4530" s="1">
        <v>40270</v>
      </c>
      <c r="E4530" s="2">
        <v>224700</v>
      </c>
      <c r="F4530" t="s">
        <v>4567</v>
      </c>
      <c r="G4530" s="17" t="str">
        <f>HYPERLINK("https://www.washoecounty.gov/assessor/cama/?command=sales&amp;parid=13262007","3867188")</f>
        <v>3867188</v>
      </c>
      <c r="H4530" t="s">
        <v>23943</v>
      </c>
      <c r="I4530">
        <v>2006</v>
      </c>
      <c r="J4530">
        <v>2006</v>
      </c>
      <c r="K4530" t="s">
        <v>4897</v>
      </c>
      <c r="L4530" t="s">
        <v>4555</v>
      </c>
      <c r="M4530" s="2">
        <v>1000</v>
      </c>
      <c r="N4530" t="s">
        <v>3887</v>
      </c>
      <c r="O4530">
        <v>2</v>
      </c>
      <c r="P4530">
        <v>1</v>
      </c>
      <c r="Q4530">
        <v>0</v>
      </c>
      <c r="R4530" t="s">
        <v>4557</v>
      </c>
      <c r="S4530" t="s">
        <v>4135</v>
      </c>
      <c r="T4530" t="s">
        <v>4559</v>
      </c>
      <c r="U4530" t="s">
        <v>4655</v>
      </c>
      <c r="V4530" s="2">
        <v>0</v>
      </c>
      <c r="W4530" t="s">
        <v>4655</v>
      </c>
      <c r="X4530" s="2">
        <v>0</v>
      </c>
      <c r="Y4530">
        <v>25</v>
      </c>
      <c r="Z4530" t="s">
        <v>3889</v>
      </c>
      <c r="AA4530" s="3">
        <v>2.1349862217903099E-2</v>
      </c>
      <c r="AB4530" t="s">
        <v>23960</v>
      </c>
      <c r="AC4530" t="s">
        <v>4575</v>
      </c>
      <c r="AD4530" t="s">
        <v>23961</v>
      </c>
      <c r="AE4530" t="s">
        <v>4655</v>
      </c>
      <c r="AF4530" t="s">
        <v>23962</v>
      </c>
      <c r="AG4530" t="s">
        <v>5535</v>
      </c>
      <c r="AH4530" t="s">
        <v>23963</v>
      </c>
      <c r="AI4530" t="s">
        <v>5001</v>
      </c>
      <c r="AJ4530" t="s">
        <v>23947</v>
      </c>
      <c r="AK4530" t="s">
        <v>23964</v>
      </c>
      <c r="AL4530" s="13" t="s">
        <v>1893</v>
      </c>
      <c r="AM4530">
        <v>1</v>
      </c>
      <c r="AN4530" s="15" t="s">
        <v>4766</v>
      </c>
    </row>
    <row r="4531" spans="1:40" x14ac:dyDescent="0.3">
      <c r="A4531" s="10" t="str">
        <f>HYPERLINK("http://www.washoecounty.gov/assessor/cama/?parid=132-621-01&amp;CardNumber=1","132-621-01")</f>
        <v>132-621-01</v>
      </c>
      <c r="B4531" t="s">
        <v>4655</v>
      </c>
      <c r="C4531" t="s">
        <v>23942</v>
      </c>
      <c r="D4531" s="1">
        <v>40333</v>
      </c>
      <c r="E4531" s="2">
        <v>232995</v>
      </c>
      <c r="F4531" t="s">
        <v>4567</v>
      </c>
      <c r="G4531" s="17" t="str">
        <f>HYPERLINK("https://www.washoecounty.gov/assessor/cama/?command=sales&amp;parid=13262101","3888414")</f>
        <v>3888414</v>
      </c>
      <c r="H4531" t="s">
        <v>23943</v>
      </c>
      <c r="I4531">
        <v>2006</v>
      </c>
      <c r="J4531">
        <v>2006</v>
      </c>
      <c r="K4531" t="s">
        <v>4897</v>
      </c>
      <c r="L4531" t="s">
        <v>4555</v>
      </c>
      <c r="M4531" s="2">
        <v>1014</v>
      </c>
      <c r="N4531" t="s">
        <v>3887</v>
      </c>
      <c r="O4531">
        <v>2</v>
      </c>
      <c r="P4531">
        <v>1</v>
      </c>
      <c r="Q4531">
        <v>0</v>
      </c>
      <c r="R4531" t="s">
        <v>4557</v>
      </c>
      <c r="S4531" t="s">
        <v>4135</v>
      </c>
      <c r="T4531" t="s">
        <v>4559</v>
      </c>
      <c r="U4531" t="s">
        <v>4655</v>
      </c>
      <c r="V4531" s="2">
        <v>0</v>
      </c>
      <c r="W4531" t="s">
        <v>4655</v>
      </c>
      <c r="X4531" s="2">
        <v>0</v>
      </c>
      <c r="Y4531">
        <v>25</v>
      </c>
      <c r="Z4531" t="s">
        <v>3889</v>
      </c>
      <c r="AA4531" s="3">
        <v>2.1854912862181702E-2</v>
      </c>
      <c r="AB4531" t="s">
        <v>23965</v>
      </c>
      <c r="AC4531" t="s">
        <v>4575</v>
      </c>
      <c r="AD4531" t="s">
        <v>23966</v>
      </c>
      <c r="AE4531" t="s">
        <v>4655</v>
      </c>
      <c r="AF4531" t="s">
        <v>3688</v>
      </c>
      <c r="AG4531" t="s">
        <v>4584</v>
      </c>
      <c r="AH4531" t="s">
        <v>39</v>
      </c>
      <c r="AI4531" t="s">
        <v>5001</v>
      </c>
      <c r="AJ4531" t="s">
        <v>23947</v>
      </c>
      <c r="AK4531" t="s">
        <v>23967</v>
      </c>
      <c r="AL4531" s="13" t="s">
        <v>1893</v>
      </c>
      <c r="AM4531" s="14">
        <v>1</v>
      </c>
      <c r="AN4531" s="15" t="s">
        <v>4766</v>
      </c>
    </row>
    <row r="4532" spans="1:40" x14ac:dyDescent="0.3">
      <c r="A4532" s="10" t="str">
        <f>HYPERLINK("http://www.washoecounty.gov/assessor/cama/?parid=132-621-02&amp;CardNumber=1","132-621-02")</f>
        <v>132-621-02</v>
      </c>
      <c r="B4532" t="s">
        <v>4655</v>
      </c>
      <c r="C4532" t="s">
        <v>23942</v>
      </c>
      <c r="D4532" s="1">
        <v>40277</v>
      </c>
      <c r="E4532" s="2">
        <v>235000</v>
      </c>
      <c r="F4532" t="s">
        <v>4567</v>
      </c>
      <c r="G4532" s="17" t="str">
        <f>HYPERLINK("https://www.washoecounty.gov/assessor/cama/?command=sales&amp;parid=13262102","3869400")</f>
        <v>3869400</v>
      </c>
      <c r="H4532" t="s">
        <v>23943</v>
      </c>
      <c r="I4532">
        <v>2006</v>
      </c>
      <c r="J4532">
        <v>2006</v>
      </c>
      <c r="K4532" t="s">
        <v>4897</v>
      </c>
      <c r="L4532" t="s">
        <v>4555</v>
      </c>
      <c r="M4532" s="2">
        <v>1014</v>
      </c>
      <c r="N4532" t="s">
        <v>3887</v>
      </c>
      <c r="O4532">
        <v>2</v>
      </c>
      <c r="P4532">
        <v>1</v>
      </c>
      <c r="Q4532">
        <v>0</v>
      </c>
      <c r="R4532" t="s">
        <v>4557</v>
      </c>
      <c r="S4532" t="s">
        <v>4135</v>
      </c>
      <c r="T4532" t="s">
        <v>4559</v>
      </c>
      <c r="U4532" t="s">
        <v>4655</v>
      </c>
      <c r="V4532" s="2">
        <v>0</v>
      </c>
      <c r="W4532" t="s">
        <v>4655</v>
      </c>
      <c r="X4532" s="2">
        <v>0</v>
      </c>
      <c r="Y4532">
        <v>25</v>
      </c>
      <c r="Z4532" t="s">
        <v>3889</v>
      </c>
      <c r="AA4532" s="3">
        <v>2.1854912862181702E-2</v>
      </c>
      <c r="AB4532" t="s">
        <v>23968</v>
      </c>
      <c r="AC4532" t="s">
        <v>4562</v>
      </c>
      <c r="AD4532" t="s">
        <v>23969</v>
      </c>
      <c r="AE4532" t="s">
        <v>4655</v>
      </c>
      <c r="AF4532" t="s">
        <v>5201</v>
      </c>
      <c r="AG4532" t="s">
        <v>4564</v>
      </c>
      <c r="AH4532" t="s">
        <v>1350</v>
      </c>
      <c r="AI4532" t="s">
        <v>5001</v>
      </c>
      <c r="AJ4532" t="s">
        <v>23947</v>
      </c>
      <c r="AK4532" t="s">
        <v>23970</v>
      </c>
      <c r="AL4532" s="13" t="s">
        <v>1893</v>
      </c>
      <c r="AM4532">
        <v>1</v>
      </c>
      <c r="AN4532" s="15" t="s">
        <v>4766</v>
      </c>
    </row>
    <row r="4533" spans="1:40" x14ac:dyDescent="0.3">
      <c r="A4533" s="10" t="str">
        <f>HYPERLINK("http://www.washoecounty.gov/assessor/cama/?parid=132-621-03&amp;CardNumber=1","132-621-03")</f>
        <v>132-621-03</v>
      </c>
      <c r="B4533" t="s">
        <v>4655</v>
      </c>
      <c r="C4533" t="s">
        <v>23942</v>
      </c>
      <c r="D4533" s="1">
        <v>40266</v>
      </c>
      <c r="E4533" s="2">
        <v>225000</v>
      </c>
      <c r="F4533" t="s">
        <v>4567</v>
      </c>
      <c r="G4533" s="17" t="str">
        <f>HYPERLINK("https://www.washoecounty.gov/assessor/cama/?command=sales&amp;parid=13262103","3864910")</f>
        <v>3864910</v>
      </c>
      <c r="H4533" t="s">
        <v>23943</v>
      </c>
      <c r="I4533">
        <v>2006</v>
      </c>
      <c r="J4533">
        <v>2006</v>
      </c>
      <c r="K4533" t="s">
        <v>4897</v>
      </c>
      <c r="L4533" t="s">
        <v>4555</v>
      </c>
      <c r="M4533" s="2">
        <v>1014</v>
      </c>
      <c r="N4533" t="s">
        <v>3887</v>
      </c>
      <c r="O4533">
        <v>2</v>
      </c>
      <c r="P4533">
        <v>1</v>
      </c>
      <c r="Q4533">
        <v>0</v>
      </c>
      <c r="R4533" t="s">
        <v>4557</v>
      </c>
      <c r="S4533" t="s">
        <v>4135</v>
      </c>
      <c r="T4533" t="s">
        <v>4559</v>
      </c>
      <c r="U4533" t="s">
        <v>4655</v>
      </c>
      <c r="V4533" s="2">
        <v>0</v>
      </c>
      <c r="W4533" t="s">
        <v>4655</v>
      </c>
      <c r="X4533" s="2">
        <v>0</v>
      </c>
      <c r="Y4533">
        <v>25</v>
      </c>
      <c r="Z4533" t="s">
        <v>3889</v>
      </c>
      <c r="AA4533" s="3">
        <v>2.1854912862181702E-2</v>
      </c>
      <c r="AB4533" t="s">
        <v>23971</v>
      </c>
      <c r="AC4533" t="s">
        <v>4562</v>
      </c>
      <c r="AD4533" t="s">
        <v>23972</v>
      </c>
      <c r="AE4533" t="s">
        <v>4655</v>
      </c>
      <c r="AF4533" t="s">
        <v>5264</v>
      </c>
      <c r="AG4533" t="s">
        <v>4584</v>
      </c>
      <c r="AH4533">
        <v>93105</v>
      </c>
      <c r="AI4533" t="s">
        <v>5001</v>
      </c>
      <c r="AJ4533" t="s">
        <v>23947</v>
      </c>
      <c r="AK4533" t="s">
        <v>23973</v>
      </c>
      <c r="AL4533" s="13" t="s">
        <v>1893</v>
      </c>
      <c r="AM4533">
        <v>1</v>
      </c>
      <c r="AN4533" s="15" t="s">
        <v>4766</v>
      </c>
    </row>
    <row r="4534" spans="1:40" x14ac:dyDescent="0.3">
      <c r="A4534" s="10" t="str">
        <f>HYPERLINK("http://www.washoecounty.gov/assessor/cama/?parid=132-621-05&amp;CardNumber=1","132-621-05")</f>
        <v>132-621-05</v>
      </c>
      <c r="B4534" t="s">
        <v>4655</v>
      </c>
      <c r="C4534" t="s">
        <v>23942</v>
      </c>
      <c r="D4534" s="1">
        <v>40343</v>
      </c>
      <c r="E4534" s="2">
        <v>235500</v>
      </c>
      <c r="F4534" t="s">
        <v>4567</v>
      </c>
      <c r="G4534" s="17" t="str">
        <f>HYPERLINK("https://www.washoecounty.gov/assessor/cama/?command=sales&amp;parid=13262105","3891651")</f>
        <v>3891651</v>
      </c>
      <c r="H4534" t="s">
        <v>23943</v>
      </c>
      <c r="I4534">
        <v>2006</v>
      </c>
      <c r="J4534">
        <v>2006</v>
      </c>
      <c r="K4534" t="s">
        <v>4897</v>
      </c>
      <c r="L4534" t="s">
        <v>4555</v>
      </c>
      <c r="M4534" s="2">
        <v>1014</v>
      </c>
      <c r="N4534" t="s">
        <v>3887</v>
      </c>
      <c r="O4534">
        <v>2</v>
      </c>
      <c r="P4534">
        <v>1</v>
      </c>
      <c r="Q4534">
        <v>0</v>
      </c>
      <c r="R4534" t="s">
        <v>4557</v>
      </c>
      <c r="S4534" t="s">
        <v>4135</v>
      </c>
      <c r="T4534" t="s">
        <v>4559</v>
      </c>
      <c r="U4534" t="s">
        <v>4655</v>
      </c>
      <c r="V4534" s="2">
        <v>0</v>
      </c>
      <c r="W4534" t="s">
        <v>4655</v>
      </c>
      <c r="X4534" s="2">
        <v>0</v>
      </c>
      <c r="Y4534">
        <v>25</v>
      </c>
      <c r="Z4534" t="s">
        <v>3889</v>
      </c>
      <c r="AA4534" s="3">
        <v>2.1854912862181702E-2</v>
      </c>
      <c r="AB4534" t="s">
        <v>23974</v>
      </c>
      <c r="AC4534" t="s">
        <v>4562</v>
      </c>
      <c r="AD4534" t="s">
        <v>23975</v>
      </c>
      <c r="AE4534" t="s">
        <v>4655</v>
      </c>
      <c r="AF4534" t="s">
        <v>5206</v>
      </c>
      <c r="AG4534" t="s">
        <v>4564</v>
      </c>
      <c r="AH4534" t="s">
        <v>5207</v>
      </c>
      <c r="AI4534" t="s">
        <v>5001</v>
      </c>
      <c r="AJ4534" t="s">
        <v>23947</v>
      </c>
      <c r="AK4534" t="s">
        <v>23976</v>
      </c>
      <c r="AL4534" s="13" t="s">
        <v>1893</v>
      </c>
      <c r="AM4534">
        <v>1</v>
      </c>
      <c r="AN4534" s="15" t="s">
        <v>4766</v>
      </c>
    </row>
    <row r="4535" spans="1:40" x14ac:dyDescent="0.3">
      <c r="A4535" s="10" t="str">
        <f>HYPERLINK("http://www.washoecounty.gov/assessor/cama/?parid=140-061-01&amp;CardNumber=1","140-061-01")</f>
        <v>140-061-01</v>
      </c>
      <c r="B4535" t="s">
        <v>4655</v>
      </c>
      <c r="C4535" t="s">
        <v>23977</v>
      </c>
      <c r="D4535" s="1">
        <v>40298</v>
      </c>
      <c r="E4535" s="2">
        <v>245000</v>
      </c>
      <c r="F4535" t="s">
        <v>4553</v>
      </c>
      <c r="G4535" s="17" t="str">
        <f>HYPERLINK("https://www.washoecounty.gov/assessor/cama/?command=sales&amp;parid=14006101","3876763")</f>
        <v>3876763</v>
      </c>
      <c r="H4535" t="s">
        <v>23978</v>
      </c>
      <c r="I4535">
        <v>1988</v>
      </c>
      <c r="J4535">
        <v>1989</v>
      </c>
      <c r="K4535" t="s">
        <v>4554</v>
      </c>
      <c r="L4535" t="s">
        <v>2170</v>
      </c>
      <c r="M4535" s="2">
        <v>2884</v>
      </c>
      <c r="N4535" t="s">
        <v>3147</v>
      </c>
      <c r="O4535">
        <v>3</v>
      </c>
      <c r="P4535">
        <v>3</v>
      </c>
      <c r="Q4535">
        <v>0</v>
      </c>
      <c r="R4535" t="s">
        <v>4557</v>
      </c>
      <c r="S4535" t="s">
        <v>4558</v>
      </c>
      <c r="T4535" t="s">
        <v>2704</v>
      </c>
      <c r="U4535" t="s">
        <v>5631</v>
      </c>
      <c r="V4535" s="2">
        <v>768</v>
      </c>
      <c r="W4535" t="s">
        <v>4655</v>
      </c>
      <c r="X4535" s="2">
        <v>0</v>
      </c>
      <c r="Y4535">
        <v>20</v>
      </c>
      <c r="Z4535" t="s">
        <v>5508</v>
      </c>
      <c r="AA4535" s="3">
        <v>0.55700182914733798</v>
      </c>
      <c r="AB4535" t="s">
        <v>23979</v>
      </c>
      <c r="AC4535" t="s">
        <v>4562</v>
      </c>
      <c r="AD4535" t="s">
        <v>23980</v>
      </c>
      <c r="AE4535" t="s">
        <v>4655</v>
      </c>
      <c r="AF4535" t="s">
        <v>4563</v>
      </c>
      <c r="AG4535" t="s">
        <v>4564</v>
      </c>
      <c r="AH4535">
        <v>89504</v>
      </c>
      <c r="AI4535" t="s">
        <v>73</v>
      </c>
      <c r="AJ4535" t="s">
        <v>23981</v>
      </c>
      <c r="AK4535" t="s">
        <v>23982</v>
      </c>
      <c r="AL4535" s="13" t="s">
        <v>3424</v>
      </c>
      <c r="AM4535" s="14">
        <v>1</v>
      </c>
      <c r="AN4535" s="15" t="s">
        <v>3270</v>
      </c>
    </row>
    <row r="4536" spans="1:40" x14ac:dyDescent="0.3">
      <c r="A4536" s="10" t="str">
        <f>HYPERLINK("http://www.washoecounty.gov/assessor/cama/?parid=140-082-06&amp;CardNumber=1","140-082-06")</f>
        <v>140-082-06</v>
      </c>
      <c r="B4536" t="s">
        <v>4655</v>
      </c>
      <c r="C4536" t="s">
        <v>23983</v>
      </c>
      <c r="D4536" s="1">
        <v>40520</v>
      </c>
      <c r="E4536" s="2">
        <v>265000</v>
      </c>
      <c r="F4536" t="s">
        <v>4567</v>
      </c>
      <c r="G4536" s="17" t="str">
        <f>HYPERLINK("https://www.washoecounty.gov/assessor/cama/?command=sales&amp;parid=14008206","3951046")</f>
        <v>3951046</v>
      </c>
      <c r="H4536" t="s">
        <v>23984</v>
      </c>
      <c r="I4536">
        <v>1992</v>
      </c>
      <c r="J4536">
        <v>1992</v>
      </c>
      <c r="K4536" t="s">
        <v>4554</v>
      </c>
      <c r="L4536" t="s">
        <v>4555</v>
      </c>
      <c r="M4536" s="2">
        <v>1882</v>
      </c>
      <c r="N4536" t="s">
        <v>3147</v>
      </c>
      <c r="O4536">
        <v>3</v>
      </c>
      <c r="P4536">
        <v>2</v>
      </c>
      <c r="Q4536">
        <v>0</v>
      </c>
      <c r="R4536" t="s">
        <v>5281</v>
      </c>
      <c r="S4536" t="s">
        <v>4135</v>
      </c>
      <c r="T4536" t="s">
        <v>2704</v>
      </c>
      <c r="U4536" t="s">
        <v>4560</v>
      </c>
      <c r="V4536" s="2">
        <v>624</v>
      </c>
      <c r="W4536" t="s">
        <v>4655</v>
      </c>
      <c r="X4536" s="2">
        <v>0</v>
      </c>
      <c r="Y4536">
        <v>20</v>
      </c>
      <c r="Z4536" t="s">
        <v>5508</v>
      </c>
      <c r="AA4536" s="3">
        <v>0.34201100468635598</v>
      </c>
      <c r="AB4536" t="s">
        <v>23985</v>
      </c>
      <c r="AC4536" t="s">
        <v>4575</v>
      </c>
      <c r="AD4536" t="s">
        <v>23983</v>
      </c>
      <c r="AE4536" t="s">
        <v>4655</v>
      </c>
      <c r="AF4536" t="s">
        <v>4563</v>
      </c>
      <c r="AG4536" t="s">
        <v>4564</v>
      </c>
      <c r="AH4536" t="s">
        <v>5197</v>
      </c>
      <c r="AI4536" t="s">
        <v>23986</v>
      </c>
      <c r="AJ4536" t="s">
        <v>23987</v>
      </c>
      <c r="AK4536" t="s">
        <v>23988</v>
      </c>
      <c r="AL4536" s="13" t="s">
        <v>3424</v>
      </c>
      <c r="AM4536">
        <v>1</v>
      </c>
      <c r="AN4536" s="15" t="s">
        <v>3270</v>
      </c>
    </row>
    <row r="4537" spans="1:40" x14ac:dyDescent="0.3">
      <c r="A4537" s="10" t="str">
        <f>HYPERLINK("http://www.washoecounty.gov/assessor/cama/?parid=140-091-04&amp;CardNumber=1","140-091-04")</f>
        <v>140-091-04</v>
      </c>
      <c r="B4537" t="s">
        <v>4655</v>
      </c>
      <c r="C4537" t="s">
        <v>23989</v>
      </c>
      <c r="D4537" s="1">
        <v>40465</v>
      </c>
      <c r="E4537" s="2">
        <v>330000</v>
      </c>
      <c r="F4537" t="s">
        <v>4567</v>
      </c>
      <c r="G4537" s="17" t="str">
        <f>HYPERLINK("https://www.washoecounty.gov/assessor/cama/?command=sales&amp;parid=14009104","3933096")</f>
        <v>3933096</v>
      </c>
      <c r="H4537" t="s">
        <v>23990</v>
      </c>
      <c r="I4537">
        <v>1991</v>
      </c>
      <c r="J4537">
        <v>1991</v>
      </c>
      <c r="K4537" t="s">
        <v>4554</v>
      </c>
      <c r="L4537" t="s">
        <v>3974</v>
      </c>
      <c r="M4537" s="2">
        <v>2595</v>
      </c>
      <c r="N4537" t="s">
        <v>3147</v>
      </c>
      <c r="O4537">
        <v>3</v>
      </c>
      <c r="P4537">
        <v>2</v>
      </c>
      <c r="Q4537">
        <v>1</v>
      </c>
      <c r="R4537" t="s">
        <v>4557</v>
      </c>
      <c r="S4537" t="s">
        <v>4558</v>
      </c>
      <c r="T4537" t="s">
        <v>4143</v>
      </c>
      <c r="U4537" t="s">
        <v>5631</v>
      </c>
      <c r="V4537" s="2">
        <v>704</v>
      </c>
      <c r="W4537" t="s">
        <v>4655</v>
      </c>
      <c r="X4537" s="2">
        <v>0</v>
      </c>
      <c r="Y4537">
        <v>20</v>
      </c>
      <c r="Z4537" t="s">
        <v>5508</v>
      </c>
      <c r="AA4537" s="3">
        <v>0.596005499362945</v>
      </c>
      <c r="AB4537" t="s">
        <v>23991</v>
      </c>
      <c r="AC4537" t="s">
        <v>4562</v>
      </c>
      <c r="AD4537" t="s">
        <v>23989</v>
      </c>
      <c r="AE4537" t="s">
        <v>4655</v>
      </c>
      <c r="AF4537" t="s">
        <v>4563</v>
      </c>
      <c r="AG4537" t="s">
        <v>4564</v>
      </c>
      <c r="AH4537" t="s">
        <v>5197</v>
      </c>
      <c r="AI4537" t="s">
        <v>23992</v>
      </c>
      <c r="AJ4537" t="s">
        <v>23993</v>
      </c>
      <c r="AK4537" t="s">
        <v>23994</v>
      </c>
      <c r="AL4537" s="13" t="s">
        <v>3424</v>
      </c>
      <c r="AM4537">
        <v>1</v>
      </c>
      <c r="AN4537" s="15" t="s">
        <v>3270</v>
      </c>
    </row>
    <row r="4538" spans="1:40" x14ac:dyDescent="0.3">
      <c r="A4538" s="10" t="str">
        <f>HYPERLINK("http://www.washoecounty.gov/assessor/cama/?parid=140-101-01&amp;CardNumber=1","140-101-01")</f>
        <v>140-101-01</v>
      </c>
      <c r="B4538" t="s">
        <v>4655</v>
      </c>
      <c r="C4538" t="s">
        <v>23995</v>
      </c>
      <c r="D4538" s="1">
        <v>40521</v>
      </c>
      <c r="E4538" s="2">
        <v>280000</v>
      </c>
      <c r="F4538" t="s">
        <v>4567</v>
      </c>
      <c r="G4538" s="17" t="str">
        <f>HYPERLINK("https://www.washoecounty.gov/assessor/cama/?command=sales&amp;parid=14010101","3951860")</f>
        <v>3951860</v>
      </c>
      <c r="H4538" t="s">
        <v>993</v>
      </c>
      <c r="I4538">
        <v>1992</v>
      </c>
      <c r="J4538">
        <v>1992</v>
      </c>
      <c r="K4538" t="s">
        <v>4554</v>
      </c>
      <c r="L4538" t="s">
        <v>4555</v>
      </c>
      <c r="M4538" s="2">
        <v>2070</v>
      </c>
      <c r="N4538" t="s">
        <v>3147</v>
      </c>
      <c r="O4538">
        <v>4</v>
      </c>
      <c r="P4538">
        <v>2</v>
      </c>
      <c r="Q4538">
        <v>0</v>
      </c>
      <c r="R4538" t="s">
        <v>5281</v>
      </c>
      <c r="S4538" t="s">
        <v>4558</v>
      </c>
      <c r="T4538" t="s">
        <v>4143</v>
      </c>
      <c r="U4538" t="s">
        <v>4560</v>
      </c>
      <c r="V4538" s="2">
        <v>720</v>
      </c>
      <c r="W4538" t="s">
        <v>4655</v>
      </c>
      <c r="X4538" s="2">
        <v>0</v>
      </c>
      <c r="Y4538">
        <v>20</v>
      </c>
      <c r="Z4538" t="s">
        <v>5508</v>
      </c>
      <c r="AA4538" s="3">
        <v>0.596005499362945</v>
      </c>
      <c r="AB4538" t="s">
        <v>23996</v>
      </c>
      <c r="AC4538" t="s">
        <v>4562</v>
      </c>
      <c r="AD4538" t="s">
        <v>23995</v>
      </c>
      <c r="AE4538" t="s">
        <v>4655</v>
      </c>
      <c r="AF4538" t="s">
        <v>4563</v>
      </c>
      <c r="AG4538" t="s">
        <v>4564</v>
      </c>
      <c r="AH4538" t="s">
        <v>5197</v>
      </c>
      <c r="AI4538" t="s">
        <v>23997</v>
      </c>
      <c r="AJ4538" t="s">
        <v>23998</v>
      </c>
      <c r="AK4538" t="s">
        <v>23999</v>
      </c>
      <c r="AL4538" s="13" t="s">
        <v>3424</v>
      </c>
      <c r="AM4538">
        <v>1</v>
      </c>
      <c r="AN4538" s="15" t="s">
        <v>3270</v>
      </c>
    </row>
    <row r="4539" spans="1:40" x14ac:dyDescent="0.3">
      <c r="A4539" s="10" t="str">
        <f>HYPERLINK("http://www.washoecounty.gov/assessor/cama/?parid=140-102-09&amp;CardNumber=1","140-102-09")</f>
        <v>140-102-09</v>
      </c>
      <c r="B4539" t="s">
        <v>4655</v>
      </c>
      <c r="C4539" t="s">
        <v>24000</v>
      </c>
      <c r="D4539" s="1">
        <v>40298</v>
      </c>
      <c r="E4539" s="2">
        <v>330000</v>
      </c>
      <c r="F4539" t="s">
        <v>4567</v>
      </c>
      <c r="G4539" s="17" t="str">
        <f>HYPERLINK("https://www.washoecounty.gov/assessor/cama/?command=sales&amp;parid=14010209","3877109")</f>
        <v>3877109</v>
      </c>
      <c r="H4539" t="s">
        <v>993</v>
      </c>
      <c r="I4539">
        <v>1991</v>
      </c>
      <c r="J4539">
        <v>1991</v>
      </c>
      <c r="K4539" t="s">
        <v>4554</v>
      </c>
      <c r="L4539" t="s">
        <v>3974</v>
      </c>
      <c r="M4539" s="2">
        <v>2595</v>
      </c>
      <c r="N4539" t="s">
        <v>3147</v>
      </c>
      <c r="O4539">
        <v>3</v>
      </c>
      <c r="P4539">
        <v>2</v>
      </c>
      <c r="Q4539">
        <v>1</v>
      </c>
      <c r="R4539" t="s">
        <v>5281</v>
      </c>
      <c r="S4539" t="s">
        <v>4558</v>
      </c>
      <c r="T4539" t="s">
        <v>4143</v>
      </c>
      <c r="U4539" t="s">
        <v>5631</v>
      </c>
      <c r="V4539" s="2">
        <v>524</v>
      </c>
      <c r="W4539" t="s">
        <v>4655</v>
      </c>
      <c r="X4539" s="2">
        <v>0</v>
      </c>
      <c r="Y4539">
        <v>20</v>
      </c>
      <c r="Z4539" t="s">
        <v>5508</v>
      </c>
      <c r="AA4539" s="3">
        <v>0.48298898339271545</v>
      </c>
      <c r="AB4539" t="s">
        <v>24001</v>
      </c>
      <c r="AC4539" t="s">
        <v>4562</v>
      </c>
      <c r="AD4539" t="s">
        <v>24000</v>
      </c>
      <c r="AE4539" t="s">
        <v>4655</v>
      </c>
      <c r="AF4539" t="s">
        <v>4563</v>
      </c>
      <c r="AG4539" t="s">
        <v>4564</v>
      </c>
      <c r="AH4539" t="s">
        <v>5197</v>
      </c>
      <c r="AI4539" t="s">
        <v>4655</v>
      </c>
      <c r="AJ4539" t="s">
        <v>24002</v>
      </c>
      <c r="AK4539" t="s">
        <v>24003</v>
      </c>
      <c r="AL4539" s="13" t="s">
        <v>3424</v>
      </c>
      <c r="AM4539">
        <v>1</v>
      </c>
      <c r="AN4539" s="15" t="s">
        <v>3270</v>
      </c>
    </row>
    <row r="4540" spans="1:40" x14ac:dyDescent="0.3">
      <c r="A4540" s="10" t="str">
        <f>HYPERLINK("http://www.washoecounty.gov/assessor/cama/?parid=140-112-05&amp;CardNumber=1","140-112-05")</f>
        <v>140-112-05</v>
      </c>
      <c r="B4540" t="s">
        <v>4655</v>
      </c>
      <c r="C4540" t="s">
        <v>24004</v>
      </c>
      <c r="D4540" s="1">
        <v>40221</v>
      </c>
      <c r="E4540" s="2">
        <v>176000</v>
      </c>
      <c r="F4540" t="s">
        <v>4567</v>
      </c>
      <c r="G4540" s="17" t="str">
        <f>HYPERLINK("https://www.washoecounty.gov/assessor/cama/?command=sales&amp;parid=14011205","3849257")</f>
        <v>3849257</v>
      </c>
      <c r="H4540" t="s">
        <v>24005</v>
      </c>
      <c r="I4540">
        <v>1976</v>
      </c>
      <c r="J4540">
        <v>1979</v>
      </c>
      <c r="K4540" t="s">
        <v>4554</v>
      </c>
      <c r="L4540" t="s">
        <v>4555</v>
      </c>
      <c r="M4540" s="2">
        <v>2560</v>
      </c>
      <c r="N4540" t="s">
        <v>4048</v>
      </c>
      <c r="O4540">
        <v>4</v>
      </c>
      <c r="P4540">
        <v>3</v>
      </c>
      <c r="Q4540">
        <v>0</v>
      </c>
      <c r="R4540" t="s">
        <v>5281</v>
      </c>
      <c r="S4540" t="s">
        <v>4558</v>
      </c>
      <c r="T4540" t="s">
        <v>4559</v>
      </c>
      <c r="U4540" t="s">
        <v>162</v>
      </c>
      <c r="V4540" s="2">
        <v>2896</v>
      </c>
      <c r="W4540" t="s">
        <v>4655</v>
      </c>
      <c r="X4540" s="2">
        <v>0</v>
      </c>
      <c r="Y4540">
        <v>20</v>
      </c>
      <c r="Z4540" t="s">
        <v>5508</v>
      </c>
      <c r="AA4540" s="3">
        <v>0.48599633574485779</v>
      </c>
      <c r="AB4540" t="s">
        <v>24006</v>
      </c>
      <c r="AC4540" t="s">
        <v>4575</v>
      </c>
      <c r="AD4540" t="s">
        <v>24007</v>
      </c>
      <c r="AE4540" t="s">
        <v>4655</v>
      </c>
      <c r="AF4540" t="s">
        <v>4563</v>
      </c>
      <c r="AG4540" t="s">
        <v>4564</v>
      </c>
      <c r="AH4540" t="s">
        <v>5197</v>
      </c>
      <c r="AI4540" t="s">
        <v>24008</v>
      </c>
      <c r="AJ4540" t="s">
        <v>24009</v>
      </c>
      <c r="AK4540" t="s">
        <v>24010</v>
      </c>
      <c r="AL4540" s="13" t="s">
        <v>3424</v>
      </c>
      <c r="AM4540">
        <v>1</v>
      </c>
      <c r="AN4540" s="15" t="s">
        <v>5002</v>
      </c>
    </row>
    <row r="4541" spans="1:40" x14ac:dyDescent="0.3">
      <c r="A4541" s="10" t="str">
        <f>HYPERLINK("http://www.washoecounty.gov/assessor/cama/?parid=140-112-05&amp;CardNumber=1","140-112-05")</f>
        <v>140-112-05</v>
      </c>
      <c r="B4541" t="s">
        <v>4655</v>
      </c>
      <c r="C4541" t="s">
        <v>24004</v>
      </c>
      <c r="D4541" s="1">
        <v>40519</v>
      </c>
      <c r="E4541" s="2">
        <v>350000</v>
      </c>
      <c r="F4541" t="s">
        <v>4567</v>
      </c>
      <c r="G4541" s="17" t="str">
        <f>HYPERLINK("https://www.washoecounty.gov/assessor/cama/?command=sales&amp;parid=14011205","3949992")</f>
        <v>3949992</v>
      </c>
      <c r="H4541" t="s">
        <v>24005</v>
      </c>
      <c r="I4541">
        <v>1976</v>
      </c>
      <c r="J4541">
        <v>1979</v>
      </c>
      <c r="K4541" t="s">
        <v>4554</v>
      </c>
      <c r="L4541" t="s">
        <v>4555</v>
      </c>
      <c r="M4541" s="2">
        <v>2560</v>
      </c>
      <c r="N4541" t="s">
        <v>4048</v>
      </c>
      <c r="O4541">
        <v>4</v>
      </c>
      <c r="P4541">
        <v>3</v>
      </c>
      <c r="Q4541">
        <v>0</v>
      </c>
      <c r="R4541" t="s">
        <v>5281</v>
      </c>
      <c r="S4541" t="s">
        <v>4558</v>
      </c>
      <c r="T4541" t="s">
        <v>4559</v>
      </c>
      <c r="U4541" t="s">
        <v>162</v>
      </c>
      <c r="V4541" s="2">
        <v>2896</v>
      </c>
      <c r="W4541" t="s">
        <v>4655</v>
      </c>
      <c r="X4541" s="2">
        <v>0</v>
      </c>
      <c r="Y4541">
        <v>20</v>
      </c>
      <c r="Z4541" t="s">
        <v>5508</v>
      </c>
      <c r="AA4541" s="3">
        <v>0.48599633574485779</v>
      </c>
      <c r="AB4541" t="s">
        <v>24006</v>
      </c>
      <c r="AC4541" t="s">
        <v>4575</v>
      </c>
      <c r="AD4541" t="s">
        <v>24007</v>
      </c>
      <c r="AE4541" t="s">
        <v>4655</v>
      </c>
      <c r="AF4541" t="s">
        <v>4563</v>
      </c>
      <c r="AG4541" t="s">
        <v>4564</v>
      </c>
      <c r="AH4541" t="s">
        <v>5197</v>
      </c>
      <c r="AI4541" t="s">
        <v>24008</v>
      </c>
      <c r="AJ4541" t="s">
        <v>24009</v>
      </c>
      <c r="AK4541" t="s">
        <v>24010</v>
      </c>
      <c r="AL4541" s="13" t="s">
        <v>3424</v>
      </c>
      <c r="AM4541">
        <v>1</v>
      </c>
      <c r="AN4541" s="15" t="s">
        <v>5002</v>
      </c>
    </row>
    <row r="4542" spans="1:40" x14ac:dyDescent="0.3">
      <c r="A4542" s="10" t="str">
        <f>HYPERLINK("http://www.washoecounty.gov/assessor/cama/?parid=140-121-02&amp;CardNumber=1","140-121-02")</f>
        <v>140-121-02</v>
      </c>
      <c r="B4542" t="s">
        <v>4655</v>
      </c>
      <c r="C4542" t="s">
        <v>24011</v>
      </c>
      <c r="D4542" s="1">
        <v>40410</v>
      </c>
      <c r="E4542" s="2">
        <v>315000</v>
      </c>
      <c r="F4542" t="s">
        <v>4567</v>
      </c>
      <c r="G4542" s="17" t="str">
        <f>HYPERLINK("https://www.washoecounty.gov/assessor/cama/?command=sales&amp;parid=14012102","3914269")</f>
        <v>3914269</v>
      </c>
      <c r="H4542" t="s">
        <v>24005</v>
      </c>
      <c r="I4542">
        <v>1975</v>
      </c>
      <c r="J4542">
        <v>1975</v>
      </c>
      <c r="K4542" t="s">
        <v>4554</v>
      </c>
      <c r="L4542" t="s">
        <v>4555</v>
      </c>
      <c r="M4542" s="2">
        <v>2134</v>
      </c>
      <c r="N4542" t="s">
        <v>4048</v>
      </c>
      <c r="O4542">
        <v>4</v>
      </c>
      <c r="P4542">
        <v>2</v>
      </c>
      <c r="Q4542">
        <v>1</v>
      </c>
      <c r="R4542" t="s">
        <v>5281</v>
      </c>
      <c r="S4542" t="s">
        <v>4558</v>
      </c>
      <c r="T4542" t="s">
        <v>4559</v>
      </c>
      <c r="U4542" t="s">
        <v>4560</v>
      </c>
      <c r="V4542" s="2">
        <v>506</v>
      </c>
      <c r="W4542" t="s">
        <v>4655</v>
      </c>
      <c r="X4542" s="2">
        <v>0</v>
      </c>
      <c r="Y4542">
        <v>20</v>
      </c>
      <c r="Z4542" t="s">
        <v>5508</v>
      </c>
      <c r="AA4542" s="3">
        <v>0.60798895359039296</v>
      </c>
      <c r="AB4542" t="s">
        <v>24012</v>
      </c>
      <c r="AC4542" t="s">
        <v>4562</v>
      </c>
      <c r="AD4542" t="s">
        <v>24011</v>
      </c>
      <c r="AE4542" t="s">
        <v>4655</v>
      </c>
      <c r="AF4542" t="s">
        <v>4563</v>
      </c>
      <c r="AG4542" t="s">
        <v>4564</v>
      </c>
      <c r="AH4542" t="s">
        <v>5197</v>
      </c>
      <c r="AI4542" t="s">
        <v>24013</v>
      </c>
      <c r="AJ4542" t="s">
        <v>24014</v>
      </c>
      <c r="AK4542" t="s">
        <v>24015</v>
      </c>
      <c r="AL4542" s="13" t="s">
        <v>3424</v>
      </c>
      <c r="AM4542" s="14">
        <v>1</v>
      </c>
      <c r="AN4542" s="15" t="s">
        <v>5002</v>
      </c>
    </row>
    <row r="4543" spans="1:40" x14ac:dyDescent="0.3">
      <c r="A4543" s="10" t="str">
        <f>HYPERLINK("http://www.washoecounty.gov/assessor/cama/?parid=140-152-06&amp;CardNumber=1","140-152-06")</f>
        <v>140-152-06</v>
      </c>
      <c r="B4543" t="s">
        <v>4655</v>
      </c>
      <c r="C4543" t="s">
        <v>24016</v>
      </c>
      <c r="D4543" s="1">
        <v>40315</v>
      </c>
      <c r="E4543" s="2">
        <v>205000</v>
      </c>
      <c r="F4543" t="s">
        <v>4553</v>
      </c>
      <c r="G4543" s="17" t="str">
        <f>HYPERLINK("https://www.washoecounty.gov/assessor/cama/?command=sales&amp;parid=14015206","3882192")</f>
        <v>3882192</v>
      </c>
      <c r="H4543" t="s">
        <v>4784</v>
      </c>
      <c r="I4543">
        <v>2002</v>
      </c>
      <c r="J4543">
        <v>2002</v>
      </c>
      <c r="K4543" t="s">
        <v>4554</v>
      </c>
      <c r="L4543" t="s">
        <v>4555</v>
      </c>
      <c r="M4543" s="2">
        <v>1600</v>
      </c>
      <c r="N4543" t="s">
        <v>3147</v>
      </c>
      <c r="O4543">
        <v>3</v>
      </c>
      <c r="P4543">
        <v>2</v>
      </c>
      <c r="Q4543">
        <v>0</v>
      </c>
      <c r="R4543" t="s">
        <v>4557</v>
      </c>
      <c r="S4543" t="s">
        <v>4558</v>
      </c>
      <c r="T4543" t="s">
        <v>4559</v>
      </c>
      <c r="U4543" t="s">
        <v>4560</v>
      </c>
      <c r="V4543" s="2">
        <v>764</v>
      </c>
      <c r="W4543" t="s">
        <v>4655</v>
      </c>
      <c r="X4543" s="2">
        <v>0</v>
      </c>
      <c r="Y4543">
        <v>20</v>
      </c>
      <c r="Z4543" t="s">
        <v>3668</v>
      </c>
      <c r="AA4543" s="3">
        <v>0.278994500637054</v>
      </c>
      <c r="AB4543" t="s">
        <v>24017</v>
      </c>
      <c r="AC4543" t="s">
        <v>4562</v>
      </c>
      <c r="AD4543" t="s">
        <v>24016</v>
      </c>
      <c r="AE4543" t="s">
        <v>4655</v>
      </c>
      <c r="AF4543" t="s">
        <v>4563</v>
      </c>
      <c r="AG4543" t="s">
        <v>4564</v>
      </c>
      <c r="AH4543" t="s">
        <v>5197</v>
      </c>
      <c r="AI4543" t="s">
        <v>4585</v>
      </c>
      <c r="AJ4543" t="s">
        <v>4785</v>
      </c>
      <c r="AK4543" t="s">
        <v>24018</v>
      </c>
      <c r="AL4543" s="13" t="s">
        <v>3424</v>
      </c>
      <c r="AM4543" s="14">
        <v>1</v>
      </c>
      <c r="AN4543" s="15" t="s">
        <v>4061</v>
      </c>
    </row>
    <row r="4544" spans="1:40" x14ac:dyDescent="0.3">
      <c r="A4544" s="10" t="str">
        <f>HYPERLINK("http://www.washoecounty.gov/assessor/cama/?parid=140-173-03&amp;CardNumber=1","140-173-03")</f>
        <v>140-173-03</v>
      </c>
      <c r="B4544" t="s">
        <v>4655</v>
      </c>
      <c r="C4544" t="s">
        <v>4612</v>
      </c>
      <c r="D4544" s="1">
        <v>40500</v>
      </c>
      <c r="E4544" s="2">
        <v>750000</v>
      </c>
      <c r="F4544" t="s">
        <v>3528</v>
      </c>
      <c r="G4544" s="17" t="str">
        <f>HYPERLINK("https://www.washoecounty.gov/assessor/cama/?command=sales&amp;parid=14017303","3944191")</f>
        <v>3944191</v>
      </c>
      <c r="H4544" t="s">
        <v>24019</v>
      </c>
      <c r="I4544">
        <v>2000</v>
      </c>
      <c r="J4544">
        <v>2000</v>
      </c>
      <c r="K4544" t="s">
        <v>3919</v>
      </c>
      <c r="L4544" t="s">
        <v>1366</v>
      </c>
      <c r="M4544" s="2">
        <v>4982</v>
      </c>
      <c r="N4544" t="s">
        <v>4580</v>
      </c>
      <c r="O4544">
        <v>0</v>
      </c>
      <c r="P4544">
        <v>0</v>
      </c>
      <c r="Q4544">
        <v>0</v>
      </c>
      <c r="R4544" t="s">
        <v>1395</v>
      </c>
      <c r="S4544" t="s">
        <v>1819</v>
      </c>
      <c r="T4544" t="s">
        <v>4655</v>
      </c>
      <c r="U4544" t="s">
        <v>4655</v>
      </c>
      <c r="V4544" s="2">
        <v>0</v>
      </c>
      <c r="W4544" t="s">
        <v>4655</v>
      </c>
      <c r="X4544" s="2">
        <v>0</v>
      </c>
      <c r="Y4544">
        <v>41</v>
      </c>
      <c r="Z4544" t="s">
        <v>3288</v>
      </c>
      <c r="AA4544" s="3">
        <v>0.114990815520287</v>
      </c>
      <c r="AB4544" t="s">
        <v>24020</v>
      </c>
      <c r="AC4544" t="s">
        <v>4562</v>
      </c>
      <c r="AD4544" t="s">
        <v>24021</v>
      </c>
      <c r="AE4544" t="s">
        <v>4655</v>
      </c>
      <c r="AF4544" t="s">
        <v>4563</v>
      </c>
      <c r="AG4544" t="s">
        <v>4564</v>
      </c>
      <c r="AH4544" t="s">
        <v>1147</v>
      </c>
      <c r="AI4544" t="s">
        <v>1628</v>
      </c>
      <c r="AJ4544" t="s">
        <v>24022</v>
      </c>
      <c r="AK4544" t="s">
        <v>24023</v>
      </c>
      <c r="AL4544" s="13" t="s">
        <v>3424</v>
      </c>
      <c r="AM4544" s="14">
        <v>1</v>
      </c>
      <c r="AN4544" s="15" t="s">
        <v>4613</v>
      </c>
    </row>
    <row r="4545" spans="1:40" x14ac:dyDescent="0.3">
      <c r="A4545" s="10" t="str">
        <f>HYPERLINK("http://www.washoecounty.gov/assessor/cama/?parid=140-221-14&amp;CardNumber=1","140-221-14")</f>
        <v>140-221-14</v>
      </c>
      <c r="B4545" t="s">
        <v>4655</v>
      </c>
      <c r="C4545" t="s">
        <v>24024</v>
      </c>
      <c r="D4545" s="1">
        <v>40478</v>
      </c>
      <c r="E4545" s="2">
        <v>161000</v>
      </c>
      <c r="F4545" t="s">
        <v>4553</v>
      </c>
      <c r="G4545" s="17" t="str">
        <f>HYPERLINK("https://www.washoecounty.gov/assessor/cama/?command=sales&amp;parid=14022114","3936955")</f>
        <v>3936955</v>
      </c>
      <c r="H4545" t="s">
        <v>3612</v>
      </c>
      <c r="I4545">
        <v>2003</v>
      </c>
      <c r="J4545">
        <v>2003</v>
      </c>
      <c r="K4545" t="s">
        <v>4554</v>
      </c>
      <c r="L4545" t="s">
        <v>4555</v>
      </c>
      <c r="M4545" s="2">
        <v>1410</v>
      </c>
      <c r="N4545" t="s">
        <v>5280</v>
      </c>
      <c r="O4545">
        <v>3</v>
      </c>
      <c r="P4545">
        <v>2</v>
      </c>
      <c r="Q4545">
        <v>0</v>
      </c>
      <c r="R4545" t="s">
        <v>4557</v>
      </c>
      <c r="S4545" t="s">
        <v>4898</v>
      </c>
      <c r="T4545" t="s">
        <v>2704</v>
      </c>
      <c r="U4545" t="s">
        <v>4560</v>
      </c>
      <c r="V4545" s="2">
        <v>432</v>
      </c>
      <c r="W4545" t="s">
        <v>4655</v>
      </c>
      <c r="X4545" s="2">
        <v>0</v>
      </c>
      <c r="Y4545">
        <v>20</v>
      </c>
      <c r="Z4545" t="s">
        <v>5107</v>
      </c>
      <c r="AA4545" s="3">
        <v>0.18147383630275701</v>
      </c>
      <c r="AB4545" t="s">
        <v>24025</v>
      </c>
      <c r="AC4545" t="s">
        <v>4575</v>
      </c>
      <c r="AD4545" t="s">
        <v>24024</v>
      </c>
      <c r="AE4545" t="s">
        <v>4655</v>
      </c>
      <c r="AF4545" t="s">
        <v>4563</v>
      </c>
      <c r="AG4545" t="s">
        <v>4564</v>
      </c>
      <c r="AH4545" t="s">
        <v>5197</v>
      </c>
      <c r="AI4545" t="s">
        <v>4903</v>
      </c>
      <c r="AJ4545" t="s">
        <v>4693</v>
      </c>
      <c r="AK4545" t="s">
        <v>24026</v>
      </c>
      <c r="AL4545" s="13" t="s">
        <v>2257</v>
      </c>
      <c r="AM4545">
        <v>1</v>
      </c>
      <c r="AN4545" s="15" t="s">
        <v>1881</v>
      </c>
    </row>
    <row r="4546" spans="1:40" x14ac:dyDescent="0.3">
      <c r="A4546" s="10" t="str">
        <f>HYPERLINK("http://www.washoecounty.gov/assessor/cama/?parid=140-241-16&amp;CardNumber=1","140-241-16")</f>
        <v>140-241-16</v>
      </c>
      <c r="B4546" t="s">
        <v>4655</v>
      </c>
      <c r="C4546" t="s">
        <v>24027</v>
      </c>
      <c r="D4546" s="1">
        <v>40190</v>
      </c>
      <c r="E4546" s="2">
        <v>176000</v>
      </c>
      <c r="F4546" t="s">
        <v>4553</v>
      </c>
      <c r="G4546" s="17" t="str">
        <f>HYPERLINK("https://www.washoecounty.gov/assessor/cama/?command=sales&amp;parid=14024116","3838555")</f>
        <v>3838555</v>
      </c>
      <c r="H4546" t="s">
        <v>5003</v>
      </c>
      <c r="I4546">
        <v>2004</v>
      </c>
      <c r="J4546">
        <v>2004</v>
      </c>
      <c r="K4546" t="s">
        <v>4554</v>
      </c>
      <c r="L4546" t="s">
        <v>4555</v>
      </c>
      <c r="M4546" s="2">
        <v>1345</v>
      </c>
      <c r="N4546" t="s">
        <v>5280</v>
      </c>
      <c r="O4546">
        <v>3</v>
      </c>
      <c r="P4546">
        <v>2</v>
      </c>
      <c r="Q4546">
        <v>0</v>
      </c>
      <c r="R4546" t="s">
        <v>4557</v>
      </c>
      <c r="S4546" t="s">
        <v>4558</v>
      </c>
      <c r="T4546" t="s">
        <v>4559</v>
      </c>
      <c r="U4546" t="s">
        <v>4560</v>
      </c>
      <c r="V4546" s="2">
        <v>435</v>
      </c>
      <c r="W4546" t="s">
        <v>4655</v>
      </c>
      <c r="X4546" s="2">
        <v>0</v>
      </c>
      <c r="Y4546">
        <v>20</v>
      </c>
      <c r="Z4546" t="s">
        <v>5107</v>
      </c>
      <c r="AA4546" s="3">
        <v>0.14898990094661699</v>
      </c>
      <c r="AB4546" t="s">
        <v>24028</v>
      </c>
      <c r="AC4546" t="s">
        <v>4575</v>
      </c>
      <c r="AD4546" t="s">
        <v>24029</v>
      </c>
      <c r="AE4546" t="s">
        <v>24030</v>
      </c>
      <c r="AF4546" t="s">
        <v>4563</v>
      </c>
      <c r="AG4546" t="s">
        <v>4564</v>
      </c>
      <c r="AH4546" t="s">
        <v>5197</v>
      </c>
      <c r="AI4546" t="s">
        <v>4848</v>
      </c>
      <c r="AJ4546" t="s">
        <v>5004</v>
      </c>
      <c r="AK4546" t="s">
        <v>24031</v>
      </c>
      <c r="AL4546" s="13" t="s">
        <v>2257</v>
      </c>
      <c r="AM4546" s="14">
        <v>1</v>
      </c>
      <c r="AN4546" s="15" t="s">
        <v>5005</v>
      </c>
    </row>
    <row r="4547" spans="1:40" x14ac:dyDescent="0.3">
      <c r="A4547" s="10" t="str">
        <f>HYPERLINK("http://www.washoecounty.gov/assessor/cama/?parid=140-242-23&amp;CardNumber=1","140-242-23")</f>
        <v>140-242-23</v>
      </c>
      <c r="B4547" t="s">
        <v>4655</v>
      </c>
      <c r="C4547" t="s">
        <v>24032</v>
      </c>
      <c r="D4547" s="1">
        <v>40207</v>
      </c>
      <c r="E4547" s="2">
        <v>190500</v>
      </c>
      <c r="F4547" t="s">
        <v>4567</v>
      </c>
      <c r="G4547" s="17" t="str">
        <f>HYPERLINK("https://www.washoecounty.gov/assessor/cama/?command=sales&amp;parid=14024223","3844300")</f>
        <v>3844300</v>
      </c>
      <c r="H4547" t="s">
        <v>5003</v>
      </c>
      <c r="I4547">
        <v>2003</v>
      </c>
      <c r="J4547">
        <v>2003</v>
      </c>
      <c r="K4547" t="s">
        <v>4554</v>
      </c>
      <c r="L4547" t="s">
        <v>4555</v>
      </c>
      <c r="M4547" s="2">
        <v>1362</v>
      </c>
      <c r="N4547" t="s">
        <v>5280</v>
      </c>
      <c r="O4547">
        <v>3</v>
      </c>
      <c r="P4547">
        <v>2</v>
      </c>
      <c r="Q4547">
        <v>0</v>
      </c>
      <c r="R4547" t="s">
        <v>4557</v>
      </c>
      <c r="S4547" t="s">
        <v>4558</v>
      </c>
      <c r="T4547" t="s">
        <v>4559</v>
      </c>
      <c r="U4547" t="s">
        <v>4560</v>
      </c>
      <c r="V4547" s="2">
        <v>453</v>
      </c>
      <c r="W4547" t="s">
        <v>4655</v>
      </c>
      <c r="X4547" s="2">
        <v>0</v>
      </c>
      <c r="Y4547">
        <v>20</v>
      </c>
      <c r="Z4547" t="s">
        <v>5107</v>
      </c>
      <c r="AA4547" s="3">
        <v>0.15300734341144601</v>
      </c>
      <c r="AB4547" t="s">
        <v>24033</v>
      </c>
      <c r="AC4547" t="s">
        <v>4562</v>
      </c>
      <c r="AD4547" t="s">
        <v>24032</v>
      </c>
      <c r="AE4547" t="s">
        <v>4655</v>
      </c>
      <c r="AF4547" t="s">
        <v>4563</v>
      </c>
      <c r="AG4547" t="s">
        <v>4564</v>
      </c>
      <c r="AH4547" t="s">
        <v>5197</v>
      </c>
      <c r="AI4547" t="s">
        <v>24034</v>
      </c>
      <c r="AJ4547" t="s">
        <v>5004</v>
      </c>
      <c r="AK4547" t="s">
        <v>24035</v>
      </c>
      <c r="AL4547" s="13" t="s">
        <v>2257</v>
      </c>
      <c r="AM4547">
        <v>1</v>
      </c>
      <c r="AN4547" s="15" t="s">
        <v>5005</v>
      </c>
    </row>
    <row r="4548" spans="1:40" x14ac:dyDescent="0.3">
      <c r="A4548" s="10" t="str">
        <f>HYPERLINK("http://www.washoecounty.gov/assessor/cama/?parid=140-252-05&amp;CardNumber=1","140-252-05")</f>
        <v>140-252-05</v>
      </c>
      <c r="B4548" t="s">
        <v>4655</v>
      </c>
      <c r="C4548" t="s">
        <v>24036</v>
      </c>
      <c r="D4548" s="1">
        <v>40191</v>
      </c>
      <c r="E4548" s="2">
        <v>180000</v>
      </c>
      <c r="F4548" t="s">
        <v>4567</v>
      </c>
      <c r="G4548" s="17" t="str">
        <f>HYPERLINK("https://www.washoecounty.gov/assessor/cama/?command=sales&amp;parid=14025205","3838936")</f>
        <v>3838936</v>
      </c>
      <c r="H4548" t="s">
        <v>5003</v>
      </c>
      <c r="I4548">
        <v>2005</v>
      </c>
      <c r="J4548">
        <v>2005</v>
      </c>
      <c r="K4548" t="s">
        <v>4554</v>
      </c>
      <c r="L4548" t="s">
        <v>4555</v>
      </c>
      <c r="M4548" s="2">
        <v>1294</v>
      </c>
      <c r="N4548" t="s">
        <v>5280</v>
      </c>
      <c r="O4548">
        <v>3</v>
      </c>
      <c r="P4548">
        <v>2</v>
      </c>
      <c r="Q4548">
        <v>0</v>
      </c>
      <c r="R4548" t="s">
        <v>5281</v>
      </c>
      <c r="S4548" t="s">
        <v>4898</v>
      </c>
      <c r="T4548" t="s">
        <v>2704</v>
      </c>
      <c r="U4548" t="s">
        <v>4560</v>
      </c>
      <c r="V4548" s="2">
        <v>400</v>
      </c>
      <c r="W4548" t="s">
        <v>4655</v>
      </c>
      <c r="X4548" s="2">
        <v>0</v>
      </c>
      <c r="Y4548">
        <v>20</v>
      </c>
      <c r="Z4548" t="s">
        <v>5107</v>
      </c>
      <c r="AA4548" s="3">
        <v>0.14986225962638855</v>
      </c>
      <c r="AB4548" t="s">
        <v>24037</v>
      </c>
      <c r="AC4548" t="s">
        <v>4562</v>
      </c>
      <c r="AD4548" t="s">
        <v>24036</v>
      </c>
      <c r="AE4548" t="s">
        <v>4655</v>
      </c>
      <c r="AF4548" t="s">
        <v>4563</v>
      </c>
      <c r="AG4548" t="s">
        <v>4564</v>
      </c>
      <c r="AH4548" t="s">
        <v>5197</v>
      </c>
      <c r="AI4548" t="s">
        <v>24038</v>
      </c>
      <c r="AJ4548" t="s">
        <v>5004</v>
      </c>
      <c r="AK4548" t="s">
        <v>24039</v>
      </c>
      <c r="AL4548" s="13" t="s">
        <v>2257</v>
      </c>
      <c r="AM4548">
        <v>1</v>
      </c>
      <c r="AN4548" s="15" t="s">
        <v>1881</v>
      </c>
    </row>
    <row r="4549" spans="1:40" x14ac:dyDescent="0.3">
      <c r="A4549" s="10" t="str">
        <f>HYPERLINK("http://www.washoecounty.gov/assessor/cama/?parid=140-252-07&amp;CardNumber=1","140-252-07")</f>
        <v>140-252-07</v>
      </c>
      <c r="B4549" t="s">
        <v>4655</v>
      </c>
      <c r="C4549" t="s">
        <v>24040</v>
      </c>
      <c r="D4549" s="1">
        <v>40333</v>
      </c>
      <c r="E4549" s="2">
        <v>215640</v>
      </c>
      <c r="F4549" t="s">
        <v>4567</v>
      </c>
      <c r="G4549" s="17" t="str">
        <f>HYPERLINK("https://www.washoecounty.gov/assessor/cama/?command=sales&amp;parid=14025207","3888566")</f>
        <v>3888566</v>
      </c>
      <c r="H4549" t="s">
        <v>5003</v>
      </c>
      <c r="I4549">
        <v>2006</v>
      </c>
      <c r="J4549">
        <v>2006</v>
      </c>
      <c r="K4549" t="s">
        <v>4554</v>
      </c>
      <c r="L4549" t="s">
        <v>3974</v>
      </c>
      <c r="M4549" s="2">
        <v>1780</v>
      </c>
      <c r="N4549" t="s">
        <v>5280</v>
      </c>
      <c r="O4549">
        <v>3</v>
      </c>
      <c r="P4549">
        <v>2</v>
      </c>
      <c r="Q4549">
        <v>1</v>
      </c>
      <c r="R4549" t="s">
        <v>4557</v>
      </c>
      <c r="S4549" t="s">
        <v>4898</v>
      </c>
      <c r="T4549" t="s">
        <v>2704</v>
      </c>
      <c r="U4549" t="s">
        <v>5631</v>
      </c>
      <c r="V4549" s="2">
        <v>477</v>
      </c>
      <c r="W4549" t="s">
        <v>4655</v>
      </c>
      <c r="X4549" s="2">
        <v>0</v>
      </c>
      <c r="Y4549">
        <v>20</v>
      </c>
      <c r="Z4549" t="s">
        <v>5107</v>
      </c>
      <c r="AA4549" s="3">
        <v>0.119857668876648</v>
      </c>
      <c r="AB4549" t="s">
        <v>11727</v>
      </c>
      <c r="AC4549" t="s">
        <v>4562</v>
      </c>
      <c r="AD4549" t="s">
        <v>24041</v>
      </c>
      <c r="AE4549" t="s">
        <v>4655</v>
      </c>
      <c r="AF4549" t="s">
        <v>4563</v>
      </c>
      <c r="AG4549" t="s">
        <v>4564</v>
      </c>
      <c r="AH4549" t="s">
        <v>5197</v>
      </c>
      <c r="AI4549" t="s">
        <v>1328</v>
      </c>
      <c r="AJ4549" t="s">
        <v>5004</v>
      </c>
      <c r="AK4549" t="s">
        <v>24042</v>
      </c>
      <c r="AL4549" s="13" t="s">
        <v>2257</v>
      </c>
      <c r="AM4549">
        <v>1</v>
      </c>
      <c r="AN4549" s="15" t="s">
        <v>1881</v>
      </c>
    </row>
    <row r="4550" spans="1:40" x14ac:dyDescent="0.3">
      <c r="A4550" s="10" t="str">
        <f>HYPERLINK("http://www.washoecounty.gov/assessor/cama/?parid=140-254-07&amp;CardNumber=1","140-254-07")</f>
        <v>140-254-07</v>
      </c>
      <c r="B4550" t="s">
        <v>4655</v>
      </c>
      <c r="C4550" t="s">
        <v>24043</v>
      </c>
      <c r="D4550" s="1">
        <v>40259</v>
      </c>
      <c r="E4550" s="2">
        <v>204000</v>
      </c>
      <c r="F4550" t="s">
        <v>4567</v>
      </c>
      <c r="G4550" s="17" t="str">
        <f>HYPERLINK("https://www.washoecounty.gov/assessor/cama/?command=sales&amp;parid=14025407","3862411")</f>
        <v>3862411</v>
      </c>
      <c r="H4550" t="s">
        <v>24044</v>
      </c>
      <c r="I4550">
        <v>2003</v>
      </c>
      <c r="J4550">
        <v>2003</v>
      </c>
      <c r="K4550" t="s">
        <v>4554</v>
      </c>
      <c r="L4550" t="s">
        <v>3974</v>
      </c>
      <c r="M4550" s="2">
        <v>1780</v>
      </c>
      <c r="N4550" t="s">
        <v>5280</v>
      </c>
      <c r="O4550">
        <v>4</v>
      </c>
      <c r="P4550">
        <v>2</v>
      </c>
      <c r="Q4550">
        <v>1</v>
      </c>
      <c r="R4550" t="s">
        <v>4557</v>
      </c>
      <c r="S4550" t="s">
        <v>4898</v>
      </c>
      <c r="T4550" t="s">
        <v>2704</v>
      </c>
      <c r="U4550" t="s">
        <v>5631</v>
      </c>
      <c r="V4550" s="2">
        <v>477</v>
      </c>
      <c r="W4550" t="s">
        <v>4655</v>
      </c>
      <c r="X4550" s="2">
        <v>0</v>
      </c>
      <c r="Y4550">
        <v>20</v>
      </c>
      <c r="Z4550" t="s">
        <v>5107</v>
      </c>
      <c r="AA4550" s="3">
        <v>0.124150596559048</v>
      </c>
      <c r="AB4550" t="s">
        <v>24045</v>
      </c>
      <c r="AC4550" t="s">
        <v>4562</v>
      </c>
      <c r="AD4550" t="s">
        <v>24046</v>
      </c>
      <c r="AE4550" t="s">
        <v>4655</v>
      </c>
      <c r="AF4550" t="s">
        <v>3357</v>
      </c>
      <c r="AG4550" t="s">
        <v>4584</v>
      </c>
      <c r="AH4550">
        <v>94901</v>
      </c>
      <c r="AI4550" t="s">
        <v>24047</v>
      </c>
      <c r="AJ4550" t="s">
        <v>5004</v>
      </c>
      <c r="AK4550" t="s">
        <v>24048</v>
      </c>
      <c r="AL4550" s="13" t="s">
        <v>2257</v>
      </c>
      <c r="AM4550">
        <v>1</v>
      </c>
      <c r="AN4550" s="15" t="s">
        <v>1881</v>
      </c>
    </row>
    <row r="4551" spans="1:40" x14ac:dyDescent="0.3">
      <c r="A4551" s="10" t="str">
        <f>HYPERLINK("http://www.washoecounty.gov/assessor/cama/?parid=140-254-12&amp;CardNumber=1","140-254-12")</f>
        <v>140-254-12</v>
      </c>
      <c r="B4551" t="s">
        <v>4655</v>
      </c>
      <c r="C4551" t="s">
        <v>24049</v>
      </c>
      <c r="D4551" s="1">
        <v>40437</v>
      </c>
      <c r="E4551" s="2">
        <v>179000</v>
      </c>
      <c r="F4551" t="s">
        <v>4553</v>
      </c>
      <c r="G4551" s="17" t="str">
        <f>HYPERLINK("https://www.washoecounty.gov/assessor/cama/?command=sales&amp;parid=14025412","3922907")</f>
        <v>3922907</v>
      </c>
      <c r="H4551" t="s">
        <v>5003</v>
      </c>
      <c r="I4551">
        <v>2003</v>
      </c>
      <c r="J4551">
        <v>2003</v>
      </c>
      <c r="K4551" t="s">
        <v>4554</v>
      </c>
      <c r="L4551" t="s">
        <v>4555</v>
      </c>
      <c r="M4551" s="2">
        <v>1294</v>
      </c>
      <c r="N4551" t="s">
        <v>5280</v>
      </c>
      <c r="O4551">
        <v>3</v>
      </c>
      <c r="P4551">
        <v>2</v>
      </c>
      <c r="Q4551">
        <v>0</v>
      </c>
      <c r="R4551" t="s">
        <v>5281</v>
      </c>
      <c r="S4551" t="s">
        <v>4898</v>
      </c>
      <c r="T4551" t="s">
        <v>2704</v>
      </c>
      <c r="U4551" t="s">
        <v>4560</v>
      </c>
      <c r="V4551" s="2">
        <v>400</v>
      </c>
      <c r="W4551" t="s">
        <v>4655</v>
      </c>
      <c r="X4551" s="2">
        <v>0</v>
      </c>
      <c r="Y4551">
        <v>20</v>
      </c>
      <c r="Z4551" t="s">
        <v>5107</v>
      </c>
      <c r="AA4551" s="3">
        <v>0.14168962836265564</v>
      </c>
      <c r="AB4551" t="s">
        <v>24050</v>
      </c>
      <c r="AC4551" t="s">
        <v>4562</v>
      </c>
      <c r="AD4551" t="s">
        <v>24051</v>
      </c>
      <c r="AE4551" t="s">
        <v>4655</v>
      </c>
      <c r="AF4551" t="s">
        <v>4563</v>
      </c>
      <c r="AG4551" t="s">
        <v>4564</v>
      </c>
      <c r="AH4551" t="s">
        <v>5197</v>
      </c>
      <c r="AI4551" t="s">
        <v>4903</v>
      </c>
      <c r="AJ4551" t="s">
        <v>5004</v>
      </c>
      <c r="AK4551" t="s">
        <v>24052</v>
      </c>
      <c r="AL4551" s="13" t="s">
        <v>2257</v>
      </c>
      <c r="AM4551" s="14">
        <v>1</v>
      </c>
      <c r="AN4551" s="15" t="s">
        <v>1881</v>
      </c>
    </row>
    <row r="4552" spans="1:40" x14ac:dyDescent="0.3">
      <c r="A4552" s="10" t="str">
        <f>HYPERLINK("http://www.washoecounty.gov/assessor/cama/?parid=140-255-13&amp;CardNumber=1","140-255-13")</f>
        <v>140-255-13</v>
      </c>
      <c r="B4552" t="s">
        <v>4655</v>
      </c>
      <c r="C4552" t="s">
        <v>24053</v>
      </c>
      <c r="D4552" s="1">
        <v>40479</v>
      </c>
      <c r="E4552" s="2">
        <v>173950</v>
      </c>
      <c r="F4552" t="s">
        <v>4553</v>
      </c>
      <c r="G4552" s="17" t="str">
        <f>HYPERLINK("https://www.washoecounty.gov/assessor/cama/?command=sales&amp;parid=14025513","3937386")</f>
        <v>3937386</v>
      </c>
      <c r="H4552" t="s">
        <v>5003</v>
      </c>
      <c r="I4552">
        <v>2003</v>
      </c>
      <c r="J4552">
        <v>2003</v>
      </c>
      <c r="K4552" t="s">
        <v>4554</v>
      </c>
      <c r="L4552" t="s">
        <v>3974</v>
      </c>
      <c r="M4552" s="2">
        <v>1780</v>
      </c>
      <c r="N4552" t="s">
        <v>5280</v>
      </c>
      <c r="O4552">
        <v>4</v>
      </c>
      <c r="P4552">
        <v>2</v>
      </c>
      <c r="Q4552">
        <v>1</v>
      </c>
      <c r="R4552" t="s">
        <v>5281</v>
      </c>
      <c r="S4552" t="s">
        <v>4898</v>
      </c>
      <c r="T4552" t="s">
        <v>2704</v>
      </c>
      <c r="U4552" t="s">
        <v>5631</v>
      </c>
      <c r="V4552" s="2">
        <v>477</v>
      </c>
      <c r="W4552" t="s">
        <v>4655</v>
      </c>
      <c r="X4552" s="2">
        <v>0</v>
      </c>
      <c r="Y4552">
        <v>20</v>
      </c>
      <c r="Z4552" t="s">
        <v>5107</v>
      </c>
      <c r="AA4552" s="3">
        <v>0.19182737171649933</v>
      </c>
      <c r="AB4552" t="s">
        <v>24054</v>
      </c>
      <c r="AC4552" t="s">
        <v>4562</v>
      </c>
      <c r="AD4552" t="s">
        <v>24055</v>
      </c>
      <c r="AE4552" t="s">
        <v>4655</v>
      </c>
      <c r="AF4552" t="s">
        <v>24056</v>
      </c>
      <c r="AG4552" t="s">
        <v>4564</v>
      </c>
      <c r="AH4552" t="s">
        <v>8640</v>
      </c>
      <c r="AI4552" t="s">
        <v>1602</v>
      </c>
      <c r="AJ4552" t="s">
        <v>5004</v>
      </c>
      <c r="AK4552" t="s">
        <v>24057</v>
      </c>
      <c r="AL4552" s="13" t="s">
        <v>2257</v>
      </c>
      <c r="AM4552" s="14">
        <v>1</v>
      </c>
      <c r="AN4552" s="15" t="s">
        <v>1881</v>
      </c>
    </row>
    <row r="4553" spans="1:40" x14ac:dyDescent="0.3">
      <c r="A4553" s="10" t="str">
        <f>HYPERLINK("http://www.washoecounty.gov/assessor/cama/?parid=140-261-02&amp;CardNumber=1","140-261-02")</f>
        <v>140-261-02</v>
      </c>
      <c r="B4553" t="s">
        <v>4655</v>
      </c>
      <c r="C4553" t="s">
        <v>24058</v>
      </c>
      <c r="D4553" s="1">
        <v>40249</v>
      </c>
      <c r="E4553" s="2">
        <v>220000</v>
      </c>
      <c r="F4553" t="s">
        <v>4567</v>
      </c>
      <c r="G4553" s="17" t="str">
        <f>HYPERLINK("https://www.washoecounty.gov/assessor/cama/?command=sales&amp;parid=14026102","3858893")</f>
        <v>3858893</v>
      </c>
      <c r="H4553" t="s">
        <v>2398</v>
      </c>
      <c r="I4553">
        <v>2007</v>
      </c>
      <c r="J4553">
        <v>2007</v>
      </c>
      <c r="K4553" t="s">
        <v>4554</v>
      </c>
      <c r="L4553" t="s">
        <v>4555</v>
      </c>
      <c r="M4553" s="2">
        <v>1575</v>
      </c>
      <c r="N4553" t="s">
        <v>3147</v>
      </c>
      <c r="O4553">
        <v>3</v>
      </c>
      <c r="P4553">
        <v>2</v>
      </c>
      <c r="Q4553">
        <v>0</v>
      </c>
      <c r="R4553" t="s">
        <v>5281</v>
      </c>
      <c r="S4553" t="s">
        <v>4898</v>
      </c>
      <c r="T4553" t="s">
        <v>2704</v>
      </c>
      <c r="U4553" t="s">
        <v>4560</v>
      </c>
      <c r="V4553" s="2">
        <v>439</v>
      </c>
      <c r="W4553" t="s">
        <v>4655</v>
      </c>
      <c r="X4553" s="2">
        <v>0</v>
      </c>
      <c r="Y4553">
        <v>20</v>
      </c>
      <c r="Z4553" t="s">
        <v>5107</v>
      </c>
      <c r="AA4553" s="3">
        <v>0.13852158188819885</v>
      </c>
      <c r="AB4553" t="s">
        <v>24059</v>
      </c>
      <c r="AC4553" t="s">
        <v>4575</v>
      </c>
      <c r="AD4553" t="s">
        <v>24060</v>
      </c>
      <c r="AE4553" t="s">
        <v>4655</v>
      </c>
      <c r="AF4553" t="s">
        <v>4563</v>
      </c>
      <c r="AG4553" t="s">
        <v>4564</v>
      </c>
      <c r="AH4553" t="s">
        <v>5197</v>
      </c>
      <c r="AI4553" t="s">
        <v>24061</v>
      </c>
      <c r="AJ4553" t="s">
        <v>1402</v>
      </c>
      <c r="AK4553" t="s">
        <v>24062</v>
      </c>
      <c r="AL4553" s="13" t="s">
        <v>3430</v>
      </c>
      <c r="AM4553">
        <v>1</v>
      </c>
      <c r="AN4553" s="15" t="s">
        <v>3879</v>
      </c>
    </row>
    <row r="4554" spans="1:40" x14ac:dyDescent="0.3">
      <c r="A4554" s="10" t="str">
        <f>HYPERLINK("http://www.washoecounty.gov/assessor/cama/?parid=140-261-03&amp;CardNumber=1","140-261-03")</f>
        <v>140-261-03</v>
      </c>
      <c r="B4554" t="s">
        <v>4655</v>
      </c>
      <c r="C4554" t="s">
        <v>24063</v>
      </c>
      <c r="D4554" s="1">
        <v>40451</v>
      </c>
      <c r="E4554" s="2">
        <v>225000</v>
      </c>
      <c r="F4554" t="s">
        <v>4567</v>
      </c>
      <c r="G4554" s="17" t="str">
        <f>HYPERLINK("https://www.washoecounty.gov/assessor/cama/?command=sales&amp;parid=14026103","3928149")</f>
        <v>3928149</v>
      </c>
      <c r="H4554" t="s">
        <v>2398</v>
      </c>
      <c r="I4554">
        <v>2004</v>
      </c>
      <c r="J4554">
        <v>2004</v>
      </c>
      <c r="K4554" t="s">
        <v>4554</v>
      </c>
      <c r="L4554" t="s">
        <v>4555</v>
      </c>
      <c r="M4554" s="2">
        <v>1835</v>
      </c>
      <c r="N4554" t="s">
        <v>3147</v>
      </c>
      <c r="O4554">
        <v>3</v>
      </c>
      <c r="P4554">
        <v>2</v>
      </c>
      <c r="Q4554">
        <v>0</v>
      </c>
      <c r="R4554" t="s">
        <v>5281</v>
      </c>
      <c r="S4554" t="s">
        <v>4898</v>
      </c>
      <c r="T4554" t="s">
        <v>2704</v>
      </c>
      <c r="U4554" t="s">
        <v>4560</v>
      </c>
      <c r="V4554" s="2">
        <v>420</v>
      </c>
      <c r="W4554" t="s">
        <v>4655</v>
      </c>
      <c r="X4554" s="2">
        <v>0</v>
      </c>
      <c r="Y4554">
        <v>20</v>
      </c>
      <c r="Z4554" t="s">
        <v>5107</v>
      </c>
      <c r="AA4554" s="3">
        <v>0.15523415803909299</v>
      </c>
      <c r="AB4554" t="s">
        <v>24064</v>
      </c>
      <c r="AC4554" t="s">
        <v>4562</v>
      </c>
      <c r="AD4554" t="s">
        <v>24063</v>
      </c>
      <c r="AE4554" t="s">
        <v>4655</v>
      </c>
      <c r="AF4554" t="s">
        <v>4563</v>
      </c>
      <c r="AG4554" t="s">
        <v>4564</v>
      </c>
      <c r="AH4554" t="s">
        <v>5197</v>
      </c>
      <c r="AI4554" t="s">
        <v>24065</v>
      </c>
      <c r="AJ4554" t="s">
        <v>1402</v>
      </c>
      <c r="AK4554" t="s">
        <v>24066</v>
      </c>
      <c r="AL4554" s="13" t="s">
        <v>3430</v>
      </c>
      <c r="AM4554">
        <v>1</v>
      </c>
      <c r="AN4554" s="15" t="s">
        <v>3879</v>
      </c>
    </row>
    <row r="4555" spans="1:40" x14ac:dyDescent="0.3">
      <c r="A4555" s="10" t="str">
        <f>HYPERLINK("http://www.washoecounty.gov/assessor/cama/?parid=140-261-08&amp;CardNumber=1","140-261-08")</f>
        <v>140-261-08</v>
      </c>
      <c r="B4555" t="s">
        <v>4655</v>
      </c>
      <c r="C4555" t="s">
        <v>24067</v>
      </c>
      <c r="D4555" s="1">
        <v>40450</v>
      </c>
      <c r="E4555" s="2">
        <v>245000</v>
      </c>
      <c r="F4555" t="s">
        <v>4567</v>
      </c>
      <c r="G4555" s="17" t="str">
        <f>HYPERLINK("https://www.washoecounty.gov/assessor/cama/?command=sales&amp;parid=14026108","3927551")</f>
        <v>3927551</v>
      </c>
      <c r="H4555" t="s">
        <v>2398</v>
      </c>
      <c r="I4555">
        <v>2004</v>
      </c>
      <c r="J4555">
        <v>2004</v>
      </c>
      <c r="K4555" t="s">
        <v>4554</v>
      </c>
      <c r="L4555" t="s">
        <v>4555</v>
      </c>
      <c r="M4555" s="2">
        <v>2017</v>
      </c>
      <c r="N4555" t="s">
        <v>3147</v>
      </c>
      <c r="O4555">
        <v>4</v>
      </c>
      <c r="P4555">
        <v>2</v>
      </c>
      <c r="Q4555">
        <v>0</v>
      </c>
      <c r="R4555" t="s">
        <v>5281</v>
      </c>
      <c r="S4555" t="s">
        <v>4898</v>
      </c>
      <c r="T4555" t="s">
        <v>2704</v>
      </c>
      <c r="U4555" t="s">
        <v>4560</v>
      </c>
      <c r="V4555" s="2">
        <v>645</v>
      </c>
      <c r="W4555" t="s">
        <v>4655</v>
      </c>
      <c r="X4555" s="2">
        <v>0</v>
      </c>
      <c r="Y4555">
        <v>20</v>
      </c>
      <c r="Z4555" t="s">
        <v>5107</v>
      </c>
      <c r="AA4555" s="3">
        <v>0.17128099501133001</v>
      </c>
      <c r="AB4555" t="s">
        <v>24068</v>
      </c>
      <c r="AC4555" t="s">
        <v>4575</v>
      </c>
      <c r="AD4555" t="s">
        <v>24069</v>
      </c>
      <c r="AE4555" t="s">
        <v>24067</v>
      </c>
      <c r="AF4555" t="s">
        <v>4563</v>
      </c>
      <c r="AG4555" t="s">
        <v>4564</v>
      </c>
      <c r="AH4555" t="s">
        <v>5197</v>
      </c>
      <c r="AI4555" t="s">
        <v>24070</v>
      </c>
      <c r="AJ4555" t="s">
        <v>1402</v>
      </c>
      <c r="AK4555" t="s">
        <v>24071</v>
      </c>
      <c r="AL4555" s="13" t="s">
        <v>3430</v>
      </c>
      <c r="AM4555" s="14">
        <v>1</v>
      </c>
      <c r="AN4555" s="15" t="s">
        <v>3879</v>
      </c>
    </row>
    <row r="4556" spans="1:40" x14ac:dyDescent="0.3">
      <c r="A4556" s="10" t="str">
        <f>HYPERLINK("http://www.washoecounty.gov/assessor/cama/?parid=140-263-09&amp;CardNumber=1","140-263-09")</f>
        <v>140-263-09</v>
      </c>
      <c r="B4556" t="s">
        <v>4655</v>
      </c>
      <c r="C4556" t="s">
        <v>24072</v>
      </c>
      <c r="D4556" s="1">
        <v>40297</v>
      </c>
      <c r="E4556" s="2">
        <v>254113</v>
      </c>
      <c r="F4556" t="s">
        <v>4553</v>
      </c>
      <c r="G4556" s="17" t="str">
        <f>HYPERLINK("https://www.washoecounty.gov/assessor/cama/?command=sales&amp;parid=14026309","3876127")</f>
        <v>3876127</v>
      </c>
      <c r="H4556" t="s">
        <v>2398</v>
      </c>
      <c r="I4556">
        <v>2004</v>
      </c>
      <c r="J4556">
        <v>2004</v>
      </c>
      <c r="K4556" t="s">
        <v>4554</v>
      </c>
      <c r="L4556" t="s">
        <v>4555</v>
      </c>
      <c r="M4556" s="2">
        <v>2143</v>
      </c>
      <c r="N4556" t="s">
        <v>3147</v>
      </c>
      <c r="O4556">
        <v>4</v>
      </c>
      <c r="P4556">
        <v>3</v>
      </c>
      <c r="Q4556">
        <v>0</v>
      </c>
      <c r="R4556" t="s">
        <v>5281</v>
      </c>
      <c r="S4556" t="s">
        <v>4898</v>
      </c>
      <c r="T4556" t="s">
        <v>2704</v>
      </c>
      <c r="U4556" t="s">
        <v>4560</v>
      </c>
      <c r="V4556" s="2">
        <v>657</v>
      </c>
      <c r="W4556" t="s">
        <v>4655</v>
      </c>
      <c r="X4556" s="2">
        <v>0</v>
      </c>
      <c r="Y4556">
        <v>20</v>
      </c>
      <c r="Z4556" t="s">
        <v>5107</v>
      </c>
      <c r="AA4556" s="3">
        <v>0.1992194652557373</v>
      </c>
      <c r="AB4556" t="s">
        <v>24073</v>
      </c>
      <c r="AC4556" t="s">
        <v>4562</v>
      </c>
      <c r="AD4556" t="s">
        <v>24074</v>
      </c>
      <c r="AE4556" t="s">
        <v>4655</v>
      </c>
      <c r="AF4556" t="s">
        <v>4563</v>
      </c>
      <c r="AG4556" t="s">
        <v>4564</v>
      </c>
      <c r="AH4556" t="s">
        <v>5197</v>
      </c>
      <c r="AI4556" t="s">
        <v>4565</v>
      </c>
      <c r="AJ4556" t="s">
        <v>1402</v>
      </c>
      <c r="AK4556" t="s">
        <v>24075</v>
      </c>
      <c r="AL4556" s="13" t="s">
        <v>3430</v>
      </c>
      <c r="AM4556">
        <v>1</v>
      </c>
      <c r="AN4556" s="15" t="s">
        <v>3879</v>
      </c>
    </row>
    <row r="4557" spans="1:40" x14ac:dyDescent="0.3">
      <c r="A4557" s="10" t="str">
        <f>HYPERLINK("http://www.washoecounty.gov/assessor/cama/?parid=140-274-05&amp;CardNumber=1","140-274-05")</f>
        <v>140-274-05</v>
      </c>
      <c r="B4557" t="s">
        <v>4655</v>
      </c>
      <c r="C4557" t="s">
        <v>24076</v>
      </c>
      <c r="D4557" s="1">
        <v>40521</v>
      </c>
      <c r="E4557" s="2">
        <v>305000</v>
      </c>
      <c r="F4557" t="s">
        <v>4567</v>
      </c>
      <c r="G4557" s="17" t="str">
        <f>HYPERLINK("https://www.washoecounty.gov/assessor/cama/?command=sales&amp;parid=14027405","3951795")</f>
        <v>3951795</v>
      </c>
      <c r="H4557" t="s">
        <v>2398</v>
      </c>
      <c r="I4557">
        <v>2004</v>
      </c>
      <c r="J4557">
        <v>2004</v>
      </c>
      <c r="K4557" t="s">
        <v>4554</v>
      </c>
      <c r="L4557" t="s">
        <v>3974</v>
      </c>
      <c r="M4557" s="2">
        <v>3037</v>
      </c>
      <c r="N4557" t="s">
        <v>3147</v>
      </c>
      <c r="O4557">
        <v>5</v>
      </c>
      <c r="P4557">
        <v>3</v>
      </c>
      <c r="Q4557">
        <v>0</v>
      </c>
      <c r="R4557" t="s">
        <v>5281</v>
      </c>
      <c r="S4557" t="s">
        <v>4898</v>
      </c>
      <c r="T4557" t="s">
        <v>2704</v>
      </c>
      <c r="U4557" t="s">
        <v>5631</v>
      </c>
      <c r="V4557" s="2">
        <v>704</v>
      </c>
      <c r="W4557" t="s">
        <v>4655</v>
      </c>
      <c r="X4557" s="2">
        <v>0</v>
      </c>
      <c r="Y4557">
        <v>20</v>
      </c>
      <c r="Z4557" t="s">
        <v>5107</v>
      </c>
      <c r="AA4557" s="3">
        <v>0.16244260966777799</v>
      </c>
      <c r="AB4557" t="s">
        <v>24077</v>
      </c>
      <c r="AC4557" t="s">
        <v>4575</v>
      </c>
      <c r="AD4557" t="s">
        <v>24078</v>
      </c>
      <c r="AE4557" t="s">
        <v>4655</v>
      </c>
      <c r="AF4557" t="s">
        <v>4563</v>
      </c>
      <c r="AG4557" t="s">
        <v>4564</v>
      </c>
      <c r="AH4557" t="s">
        <v>5197</v>
      </c>
      <c r="AI4557" t="s">
        <v>24077</v>
      </c>
      <c r="AJ4557" t="s">
        <v>1402</v>
      </c>
      <c r="AK4557" t="s">
        <v>24079</v>
      </c>
      <c r="AL4557" s="13" t="s">
        <v>3430</v>
      </c>
      <c r="AM4557" s="14">
        <v>1</v>
      </c>
      <c r="AN4557" s="15" t="s">
        <v>3879</v>
      </c>
    </row>
    <row r="4558" spans="1:40" x14ac:dyDescent="0.3">
      <c r="A4558" s="10" t="str">
        <f>HYPERLINK("http://www.washoecounty.gov/assessor/cama/?parid=140-274-20&amp;CardNumber=1","140-274-20")</f>
        <v>140-274-20</v>
      </c>
      <c r="B4558" t="s">
        <v>4655</v>
      </c>
      <c r="C4558" t="s">
        <v>24080</v>
      </c>
      <c r="D4558" s="1">
        <v>40319</v>
      </c>
      <c r="E4558" s="2">
        <v>290000</v>
      </c>
      <c r="F4558" t="s">
        <v>4553</v>
      </c>
      <c r="G4558" s="17" t="str">
        <f>HYPERLINK("https://www.washoecounty.gov/assessor/cama/?command=sales&amp;parid=14027420","3883802")</f>
        <v>3883802</v>
      </c>
      <c r="H4558" t="s">
        <v>2398</v>
      </c>
      <c r="I4558">
        <v>2004</v>
      </c>
      <c r="J4558">
        <v>2004</v>
      </c>
      <c r="K4558" t="s">
        <v>4554</v>
      </c>
      <c r="L4558" t="s">
        <v>3974</v>
      </c>
      <c r="M4558" s="2">
        <v>2861</v>
      </c>
      <c r="N4558" t="s">
        <v>3147</v>
      </c>
      <c r="O4558">
        <v>5</v>
      </c>
      <c r="P4558">
        <v>3</v>
      </c>
      <c r="Q4558">
        <v>0</v>
      </c>
      <c r="R4558" t="s">
        <v>5281</v>
      </c>
      <c r="S4558" t="s">
        <v>4898</v>
      </c>
      <c r="T4558" t="s">
        <v>2704</v>
      </c>
      <c r="U4558" t="s">
        <v>5631</v>
      </c>
      <c r="V4558" s="2">
        <v>644</v>
      </c>
      <c r="W4558" t="s">
        <v>4655</v>
      </c>
      <c r="X4558" s="2">
        <v>0</v>
      </c>
      <c r="Y4558">
        <v>20</v>
      </c>
      <c r="Z4558" t="s">
        <v>5107</v>
      </c>
      <c r="AA4558" s="3">
        <v>0.189944908022881</v>
      </c>
      <c r="AB4558" t="s">
        <v>24081</v>
      </c>
      <c r="AC4558" t="s">
        <v>4562</v>
      </c>
      <c r="AD4558" t="s">
        <v>24080</v>
      </c>
      <c r="AE4558" t="s">
        <v>4655</v>
      </c>
      <c r="AF4558" t="s">
        <v>4563</v>
      </c>
      <c r="AG4558" t="s">
        <v>4564</v>
      </c>
      <c r="AH4558" t="s">
        <v>5197</v>
      </c>
      <c r="AI4558" t="s">
        <v>4903</v>
      </c>
      <c r="AJ4558" t="s">
        <v>1402</v>
      </c>
      <c r="AK4558" t="s">
        <v>24082</v>
      </c>
      <c r="AL4558" s="13" t="s">
        <v>3430</v>
      </c>
      <c r="AM4558">
        <v>1</v>
      </c>
      <c r="AN4558" s="15" t="s">
        <v>3879</v>
      </c>
    </row>
    <row r="4559" spans="1:40" x14ac:dyDescent="0.3">
      <c r="A4559" s="10" t="str">
        <f>HYPERLINK("http://www.washoecounty.gov/assessor/cama/?parid=140-291-07&amp;CardNumber=1","140-291-07")</f>
        <v>140-291-07</v>
      </c>
      <c r="B4559" t="s">
        <v>4655</v>
      </c>
      <c r="C4559" t="s">
        <v>24083</v>
      </c>
      <c r="D4559" s="1">
        <v>40346</v>
      </c>
      <c r="E4559" s="2">
        <v>224000</v>
      </c>
      <c r="F4559" t="s">
        <v>4567</v>
      </c>
      <c r="G4559" s="17" t="str">
        <f>HYPERLINK("https://www.washoecounty.gov/assessor/cama/?command=sales&amp;parid=14029107","3893100")</f>
        <v>3893100</v>
      </c>
      <c r="H4559" t="s">
        <v>4199</v>
      </c>
      <c r="I4559">
        <v>2003</v>
      </c>
      <c r="J4559">
        <v>2003</v>
      </c>
      <c r="K4559" t="s">
        <v>4554</v>
      </c>
      <c r="L4559" t="s">
        <v>4555</v>
      </c>
      <c r="M4559" s="2">
        <v>1621</v>
      </c>
      <c r="N4559" t="s">
        <v>3147</v>
      </c>
      <c r="O4559">
        <v>3</v>
      </c>
      <c r="P4559">
        <v>2</v>
      </c>
      <c r="Q4559">
        <v>0</v>
      </c>
      <c r="R4559" t="s">
        <v>4557</v>
      </c>
      <c r="S4559" t="s">
        <v>4898</v>
      </c>
      <c r="T4559" t="s">
        <v>2704</v>
      </c>
      <c r="U4559" t="s">
        <v>4560</v>
      </c>
      <c r="V4559" s="2">
        <v>594</v>
      </c>
      <c r="W4559" t="s">
        <v>4655</v>
      </c>
      <c r="X4559" s="2">
        <v>0</v>
      </c>
      <c r="Y4559">
        <v>20</v>
      </c>
      <c r="Z4559" t="s">
        <v>5107</v>
      </c>
      <c r="AA4559" s="3">
        <v>0.16320018470287301</v>
      </c>
      <c r="AB4559" t="s">
        <v>24084</v>
      </c>
      <c r="AC4559" t="s">
        <v>4562</v>
      </c>
      <c r="AD4559" t="s">
        <v>24083</v>
      </c>
      <c r="AE4559" t="s">
        <v>4655</v>
      </c>
      <c r="AF4559" t="s">
        <v>4563</v>
      </c>
      <c r="AG4559" t="s">
        <v>4564</v>
      </c>
      <c r="AH4559" t="s">
        <v>5197</v>
      </c>
      <c r="AI4559" t="s">
        <v>24085</v>
      </c>
      <c r="AJ4559" t="s">
        <v>4670</v>
      </c>
      <c r="AK4559" t="s">
        <v>24086</v>
      </c>
      <c r="AL4559" s="13" t="s">
        <v>2257</v>
      </c>
      <c r="AM4559">
        <v>1</v>
      </c>
      <c r="AN4559" s="15" t="s">
        <v>3554</v>
      </c>
    </row>
    <row r="4560" spans="1:40" x14ac:dyDescent="0.3">
      <c r="A4560" s="10" t="str">
        <f>HYPERLINK("http://www.washoecounty.gov/assessor/cama/?parid=140-302-07&amp;CardNumber=1","140-302-07")</f>
        <v>140-302-07</v>
      </c>
      <c r="B4560" t="s">
        <v>4655</v>
      </c>
      <c r="C4560" t="s">
        <v>24087</v>
      </c>
      <c r="D4560" s="1">
        <v>40282</v>
      </c>
      <c r="E4560" s="2">
        <v>237500</v>
      </c>
      <c r="F4560" t="s">
        <v>4567</v>
      </c>
      <c r="G4560" s="17" t="str">
        <f>HYPERLINK("https://www.washoecounty.gov/assessor/cama/?command=sales&amp;parid=14030207","3870998")</f>
        <v>3870998</v>
      </c>
      <c r="H4560" t="s">
        <v>4199</v>
      </c>
      <c r="I4560">
        <v>2003</v>
      </c>
      <c r="J4560">
        <v>2003</v>
      </c>
      <c r="K4560" t="s">
        <v>4554</v>
      </c>
      <c r="L4560" t="s">
        <v>3974</v>
      </c>
      <c r="M4560" s="2">
        <v>2560</v>
      </c>
      <c r="N4560" t="s">
        <v>3147</v>
      </c>
      <c r="O4560">
        <v>4</v>
      </c>
      <c r="P4560">
        <v>3</v>
      </c>
      <c r="Q4560">
        <v>0</v>
      </c>
      <c r="R4560" t="s">
        <v>5281</v>
      </c>
      <c r="S4560" t="s">
        <v>4898</v>
      </c>
      <c r="T4560" t="s">
        <v>2704</v>
      </c>
      <c r="U4560" t="s">
        <v>5631</v>
      </c>
      <c r="V4560" s="2">
        <v>651</v>
      </c>
      <c r="W4560" t="s">
        <v>4655</v>
      </c>
      <c r="X4560" s="2">
        <v>0</v>
      </c>
      <c r="Y4560">
        <v>20</v>
      </c>
      <c r="Z4560" t="s">
        <v>5107</v>
      </c>
      <c r="AA4560" s="3">
        <v>0.16198347508907299</v>
      </c>
      <c r="AB4560" t="s">
        <v>24088</v>
      </c>
      <c r="AC4560" t="s">
        <v>4562</v>
      </c>
      <c r="AD4560" t="s">
        <v>24087</v>
      </c>
      <c r="AE4560" t="s">
        <v>4655</v>
      </c>
      <c r="AF4560" t="s">
        <v>4563</v>
      </c>
      <c r="AG4560" t="s">
        <v>4564</v>
      </c>
      <c r="AH4560" t="s">
        <v>5197</v>
      </c>
      <c r="AI4560" t="s">
        <v>24089</v>
      </c>
      <c r="AJ4560" t="s">
        <v>4670</v>
      </c>
      <c r="AK4560" t="s">
        <v>24090</v>
      </c>
      <c r="AL4560" s="13" t="s">
        <v>2257</v>
      </c>
      <c r="AM4560" s="14">
        <v>1</v>
      </c>
      <c r="AN4560" s="15" t="s">
        <v>3554</v>
      </c>
    </row>
    <row r="4561" spans="1:40" x14ac:dyDescent="0.3">
      <c r="A4561" s="10" t="str">
        <f>HYPERLINK("http://www.washoecounty.gov/assessor/cama/?parid=140-302-10&amp;CardNumber=1","140-302-10")</f>
        <v>140-302-10</v>
      </c>
      <c r="B4561" t="s">
        <v>4655</v>
      </c>
      <c r="C4561" t="s">
        <v>24091</v>
      </c>
      <c r="D4561" s="1">
        <v>40324</v>
      </c>
      <c r="E4561" s="2">
        <v>200000</v>
      </c>
      <c r="F4561" t="s">
        <v>4567</v>
      </c>
      <c r="G4561" s="17" t="str">
        <f>HYPERLINK("https://www.washoecounty.gov/assessor/cama/?command=sales&amp;parid=14030210","3885229")</f>
        <v>3885229</v>
      </c>
      <c r="H4561" t="s">
        <v>4199</v>
      </c>
      <c r="I4561">
        <v>2003</v>
      </c>
      <c r="J4561">
        <v>2003</v>
      </c>
      <c r="K4561" t="s">
        <v>4554</v>
      </c>
      <c r="L4561" t="s">
        <v>4555</v>
      </c>
      <c r="M4561" s="2">
        <v>1856</v>
      </c>
      <c r="N4561" t="s">
        <v>3147</v>
      </c>
      <c r="O4561">
        <v>3</v>
      </c>
      <c r="P4561">
        <v>2</v>
      </c>
      <c r="Q4561">
        <v>0</v>
      </c>
      <c r="R4561" t="s">
        <v>5281</v>
      </c>
      <c r="S4561" t="s">
        <v>4898</v>
      </c>
      <c r="T4561" t="s">
        <v>2704</v>
      </c>
      <c r="U4561" t="s">
        <v>4560</v>
      </c>
      <c r="V4561" s="2">
        <v>675</v>
      </c>
      <c r="W4561" t="s">
        <v>4655</v>
      </c>
      <c r="X4561" s="2">
        <v>0</v>
      </c>
      <c r="Y4561">
        <v>20</v>
      </c>
      <c r="Z4561" t="s">
        <v>5107</v>
      </c>
      <c r="AA4561" s="3">
        <v>0.17337006330490101</v>
      </c>
      <c r="AB4561" t="s">
        <v>24092</v>
      </c>
      <c r="AC4561" t="s">
        <v>4562</v>
      </c>
      <c r="AD4561" t="s">
        <v>24091</v>
      </c>
      <c r="AE4561" t="s">
        <v>4655</v>
      </c>
      <c r="AF4561" t="s">
        <v>3114</v>
      </c>
      <c r="AG4561" t="s">
        <v>4564</v>
      </c>
      <c r="AH4561" t="s">
        <v>5197</v>
      </c>
      <c r="AI4561" t="s">
        <v>24093</v>
      </c>
      <c r="AJ4561" t="s">
        <v>4670</v>
      </c>
      <c r="AK4561" t="s">
        <v>24094</v>
      </c>
      <c r="AL4561" s="13" t="s">
        <v>2257</v>
      </c>
      <c r="AM4561">
        <v>1</v>
      </c>
      <c r="AN4561" s="15" t="s">
        <v>3554</v>
      </c>
    </row>
    <row r="4562" spans="1:40" x14ac:dyDescent="0.3">
      <c r="A4562" s="10" t="str">
        <f>HYPERLINK("http://www.washoecounty.gov/assessor/cama/?parid=140-302-14&amp;CardNumber=1","140-302-14")</f>
        <v>140-302-14</v>
      </c>
      <c r="B4562" t="s">
        <v>4655</v>
      </c>
      <c r="C4562" t="s">
        <v>24095</v>
      </c>
      <c r="D4562" s="1">
        <v>40400</v>
      </c>
      <c r="E4562" s="2">
        <v>194000</v>
      </c>
      <c r="F4562" t="s">
        <v>4567</v>
      </c>
      <c r="G4562" s="17" t="str">
        <f>HYPERLINK("https://www.washoecounty.gov/assessor/cama/?command=sales&amp;parid=14030214","3910328")</f>
        <v>3910328</v>
      </c>
      <c r="H4562" t="s">
        <v>2069</v>
      </c>
      <c r="I4562">
        <v>2003</v>
      </c>
      <c r="J4562">
        <v>2003</v>
      </c>
      <c r="K4562" t="s">
        <v>4554</v>
      </c>
      <c r="L4562" t="s">
        <v>4555</v>
      </c>
      <c r="M4562" s="2">
        <v>1621</v>
      </c>
      <c r="N4562" t="s">
        <v>3147</v>
      </c>
      <c r="O4562">
        <v>3</v>
      </c>
      <c r="P4562">
        <v>2</v>
      </c>
      <c r="Q4562">
        <v>0</v>
      </c>
      <c r="R4562" t="s">
        <v>5281</v>
      </c>
      <c r="S4562" t="s">
        <v>4898</v>
      </c>
      <c r="T4562" t="s">
        <v>2704</v>
      </c>
      <c r="U4562" t="s">
        <v>4560</v>
      </c>
      <c r="V4562" s="2">
        <v>594</v>
      </c>
      <c r="W4562" t="s">
        <v>4655</v>
      </c>
      <c r="X4562" s="2">
        <v>0</v>
      </c>
      <c r="Y4562">
        <v>20</v>
      </c>
      <c r="Z4562" t="s">
        <v>5107</v>
      </c>
      <c r="AA4562" s="3">
        <v>0.16430211067199699</v>
      </c>
      <c r="AB4562" t="s">
        <v>24096</v>
      </c>
      <c r="AC4562" t="s">
        <v>4562</v>
      </c>
      <c r="AD4562" t="s">
        <v>24097</v>
      </c>
      <c r="AE4562" t="s">
        <v>4655</v>
      </c>
      <c r="AF4562" t="s">
        <v>4563</v>
      </c>
      <c r="AG4562" t="s">
        <v>4564</v>
      </c>
      <c r="AH4562" t="s">
        <v>5197</v>
      </c>
      <c r="AI4562" t="s">
        <v>24098</v>
      </c>
      <c r="AJ4562" t="s">
        <v>4670</v>
      </c>
      <c r="AK4562" t="s">
        <v>24099</v>
      </c>
      <c r="AL4562" s="13" t="s">
        <v>2257</v>
      </c>
      <c r="AM4562">
        <v>1</v>
      </c>
      <c r="AN4562" s="15" t="s">
        <v>3554</v>
      </c>
    </row>
    <row r="4563" spans="1:40" x14ac:dyDescent="0.3">
      <c r="A4563" s="10" t="str">
        <f>HYPERLINK("http://www.washoecounty.gov/assessor/cama/?parid=140-303-08&amp;CardNumber=1","140-303-08")</f>
        <v>140-303-08</v>
      </c>
      <c r="B4563" t="s">
        <v>4655</v>
      </c>
      <c r="C4563" t="s">
        <v>24100</v>
      </c>
      <c r="D4563" s="1">
        <v>40337</v>
      </c>
      <c r="E4563" s="2">
        <v>252100</v>
      </c>
      <c r="F4563" t="s">
        <v>4567</v>
      </c>
      <c r="G4563" s="17" t="str">
        <f>HYPERLINK("https://www.washoecounty.gov/assessor/cama/?command=sales&amp;parid=14030308","3889385")</f>
        <v>3889385</v>
      </c>
      <c r="H4563" t="s">
        <v>4199</v>
      </c>
      <c r="I4563">
        <v>2003</v>
      </c>
      <c r="J4563">
        <v>2003</v>
      </c>
      <c r="K4563" t="s">
        <v>4554</v>
      </c>
      <c r="L4563" t="s">
        <v>3974</v>
      </c>
      <c r="M4563" s="2">
        <v>2560</v>
      </c>
      <c r="N4563" t="s">
        <v>3147</v>
      </c>
      <c r="O4563">
        <v>4</v>
      </c>
      <c r="P4563">
        <v>3</v>
      </c>
      <c r="Q4563">
        <v>0</v>
      </c>
      <c r="R4563" t="s">
        <v>5281</v>
      </c>
      <c r="S4563" t="s">
        <v>4898</v>
      </c>
      <c r="T4563" t="s">
        <v>2704</v>
      </c>
      <c r="U4563" t="s">
        <v>5631</v>
      </c>
      <c r="V4563" s="2">
        <v>651</v>
      </c>
      <c r="W4563" t="s">
        <v>4655</v>
      </c>
      <c r="X4563" s="2">
        <v>0</v>
      </c>
      <c r="Y4563">
        <v>20</v>
      </c>
      <c r="Z4563" t="s">
        <v>5107</v>
      </c>
      <c r="AA4563" s="3">
        <v>0.17382919788360601</v>
      </c>
      <c r="AB4563" t="s">
        <v>24101</v>
      </c>
      <c r="AC4563" t="s">
        <v>4562</v>
      </c>
      <c r="AD4563" t="s">
        <v>24100</v>
      </c>
      <c r="AE4563" t="s">
        <v>4655</v>
      </c>
      <c r="AF4563" t="s">
        <v>3114</v>
      </c>
      <c r="AG4563" t="s">
        <v>4564</v>
      </c>
      <c r="AH4563" t="s">
        <v>5197</v>
      </c>
      <c r="AI4563" t="s">
        <v>24102</v>
      </c>
      <c r="AJ4563" t="s">
        <v>4670</v>
      </c>
      <c r="AK4563" t="s">
        <v>24103</v>
      </c>
      <c r="AL4563" s="13" t="s">
        <v>2257</v>
      </c>
      <c r="AM4563">
        <v>1</v>
      </c>
      <c r="AN4563" s="15" t="s">
        <v>3554</v>
      </c>
    </row>
    <row r="4564" spans="1:40" x14ac:dyDescent="0.3">
      <c r="A4564" s="10" t="str">
        <f>HYPERLINK("http://www.washoecounty.gov/assessor/cama/?parid=140-303-12&amp;CardNumber=1","140-303-12")</f>
        <v>140-303-12</v>
      </c>
      <c r="B4564" t="s">
        <v>4655</v>
      </c>
      <c r="C4564" t="s">
        <v>24104</v>
      </c>
      <c r="D4564" s="1">
        <v>40270</v>
      </c>
      <c r="E4564" s="2">
        <v>270000</v>
      </c>
      <c r="F4564" t="s">
        <v>4567</v>
      </c>
      <c r="G4564" s="17" t="str">
        <f>HYPERLINK("https://www.washoecounty.gov/assessor/cama/?command=sales&amp;parid=14030312","3867291")</f>
        <v>3867291</v>
      </c>
      <c r="H4564" t="s">
        <v>4199</v>
      </c>
      <c r="I4564">
        <v>2003</v>
      </c>
      <c r="J4564">
        <v>2003</v>
      </c>
      <c r="K4564" t="s">
        <v>4554</v>
      </c>
      <c r="L4564" t="s">
        <v>3974</v>
      </c>
      <c r="M4564" s="2">
        <v>2481</v>
      </c>
      <c r="N4564" t="s">
        <v>3147</v>
      </c>
      <c r="O4564">
        <v>4</v>
      </c>
      <c r="P4564">
        <v>2</v>
      </c>
      <c r="Q4564">
        <v>1</v>
      </c>
      <c r="R4564" t="s">
        <v>5281</v>
      </c>
      <c r="S4564" t="s">
        <v>4898</v>
      </c>
      <c r="T4564" t="s">
        <v>2704</v>
      </c>
      <c r="U4564" t="s">
        <v>5631</v>
      </c>
      <c r="V4564" s="2">
        <v>792</v>
      </c>
      <c r="W4564" t="s">
        <v>4655</v>
      </c>
      <c r="X4564" s="2">
        <v>0</v>
      </c>
      <c r="Y4564">
        <v>20</v>
      </c>
      <c r="Z4564" t="s">
        <v>5107</v>
      </c>
      <c r="AA4564" s="3">
        <v>0.162304863333702</v>
      </c>
      <c r="AB4564" t="s">
        <v>24105</v>
      </c>
      <c r="AC4564" t="s">
        <v>4562</v>
      </c>
      <c r="AD4564" t="s">
        <v>24104</v>
      </c>
      <c r="AE4564" t="s">
        <v>4655</v>
      </c>
      <c r="AF4564" t="s">
        <v>4563</v>
      </c>
      <c r="AG4564" t="s">
        <v>4564</v>
      </c>
      <c r="AH4564" t="s">
        <v>5197</v>
      </c>
      <c r="AI4564" t="s">
        <v>24106</v>
      </c>
      <c r="AJ4564" t="s">
        <v>4670</v>
      </c>
      <c r="AK4564" t="s">
        <v>24107</v>
      </c>
      <c r="AL4564" s="13" t="s">
        <v>2257</v>
      </c>
      <c r="AM4564">
        <v>1</v>
      </c>
      <c r="AN4564" s="15" t="s">
        <v>3554</v>
      </c>
    </row>
    <row r="4565" spans="1:40" x14ac:dyDescent="0.3">
      <c r="A4565" s="10" t="str">
        <f>HYPERLINK("http://www.washoecounty.gov/assessor/cama/?parid=140-313-11&amp;CardNumber=1","140-313-11")</f>
        <v>140-313-11</v>
      </c>
      <c r="B4565" t="s">
        <v>4655</v>
      </c>
      <c r="C4565" t="s">
        <v>1459</v>
      </c>
      <c r="D4565" s="1">
        <v>40231</v>
      </c>
      <c r="E4565" s="2">
        <v>349900</v>
      </c>
      <c r="F4565" t="s">
        <v>4567</v>
      </c>
      <c r="G4565" s="17" t="str">
        <f>HYPERLINK("https://www.washoecounty.gov/assessor/cama/?command=sales&amp;parid=14031311","3851570")</f>
        <v>3851570</v>
      </c>
      <c r="H4565" t="s">
        <v>1460</v>
      </c>
      <c r="I4565">
        <v>2004</v>
      </c>
      <c r="J4565">
        <v>2004</v>
      </c>
      <c r="K4565" t="s">
        <v>4554</v>
      </c>
      <c r="L4565" t="s">
        <v>3974</v>
      </c>
      <c r="M4565" s="2">
        <v>3564</v>
      </c>
      <c r="N4565" t="s">
        <v>3147</v>
      </c>
      <c r="O4565">
        <v>5</v>
      </c>
      <c r="P4565">
        <v>3</v>
      </c>
      <c r="Q4565">
        <v>1</v>
      </c>
      <c r="R4565" t="s">
        <v>5281</v>
      </c>
      <c r="S4565" t="s">
        <v>4898</v>
      </c>
      <c r="T4565" t="s">
        <v>2704</v>
      </c>
      <c r="U4565" t="s">
        <v>5631</v>
      </c>
      <c r="V4565" s="2">
        <v>713</v>
      </c>
      <c r="W4565" t="s">
        <v>4655</v>
      </c>
      <c r="X4565" s="2">
        <v>0</v>
      </c>
      <c r="Y4565">
        <v>20</v>
      </c>
      <c r="Z4565" t="s">
        <v>5107</v>
      </c>
      <c r="AA4565" s="3">
        <v>0.26496785879135132</v>
      </c>
      <c r="AB4565" t="s">
        <v>1461</v>
      </c>
      <c r="AC4565" t="s">
        <v>4562</v>
      </c>
      <c r="AD4565" t="s">
        <v>1459</v>
      </c>
      <c r="AE4565" t="s">
        <v>4655</v>
      </c>
      <c r="AF4565" t="s">
        <v>4563</v>
      </c>
      <c r="AG4565" t="s">
        <v>4564</v>
      </c>
      <c r="AH4565" t="s">
        <v>5197</v>
      </c>
      <c r="AI4565" t="s">
        <v>24108</v>
      </c>
      <c r="AJ4565" t="s">
        <v>1462</v>
      </c>
      <c r="AK4565" t="s">
        <v>1463</v>
      </c>
      <c r="AL4565" s="13" t="s">
        <v>3430</v>
      </c>
      <c r="AM4565">
        <v>1</v>
      </c>
      <c r="AN4565" s="15" t="s">
        <v>3879</v>
      </c>
    </row>
    <row r="4566" spans="1:40" x14ac:dyDescent="0.3">
      <c r="A4566" s="10" t="str">
        <f>HYPERLINK("http://www.washoecounty.gov/assessor/cama/?parid=140-325-10&amp;CardNumber=1","140-325-10")</f>
        <v>140-325-10</v>
      </c>
      <c r="B4566" t="s">
        <v>4655</v>
      </c>
      <c r="C4566" t="s">
        <v>24109</v>
      </c>
      <c r="D4566" s="1">
        <v>40515</v>
      </c>
      <c r="E4566" s="2">
        <v>225000</v>
      </c>
      <c r="F4566" t="s">
        <v>4567</v>
      </c>
      <c r="G4566" s="17" t="str">
        <f>HYPERLINK("https://www.washoecounty.gov/assessor/cama/?command=sales&amp;parid=14032510","3949309")</f>
        <v>3949309</v>
      </c>
      <c r="H4566" t="s">
        <v>3582</v>
      </c>
      <c r="I4566">
        <v>2004</v>
      </c>
      <c r="J4566">
        <v>2004</v>
      </c>
      <c r="K4566" t="s">
        <v>4554</v>
      </c>
      <c r="L4566" t="s">
        <v>4555</v>
      </c>
      <c r="M4566" s="2">
        <v>1933</v>
      </c>
      <c r="N4566" t="s">
        <v>3147</v>
      </c>
      <c r="O4566">
        <v>4</v>
      </c>
      <c r="P4566">
        <v>2</v>
      </c>
      <c r="Q4566">
        <v>0</v>
      </c>
      <c r="R4566" t="s">
        <v>5281</v>
      </c>
      <c r="S4566" t="s">
        <v>4898</v>
      </c>
      <c r="T4566" t="s">
        <v>2704</v>
      </c>
      <c r="U4566" t="s">
        <v>4560</v>
      </c>
      <c r="V4566" s="2">
        <v>474</v>
      </c>
      <c r="W4566" t="s">
        <v>4655</v>
      </c>
      <c r="X4566" s="2">
        <v>0</v>
      </c>
      <c r="Y4566">
        <v>20</v>
      </c>
      <c r="Z4566" t="s">
        <v>5107</v>
      </c>
      <c r="AA4566" s="3">
        <v>0.13950872421264601</v>
      </c>
      <c r="AB4566" t="s">
        <v>24110</v>
      </c>
      <c r="AC4566" t="s">
        <v>4562</v>
      </c>
      <c r="AD4566" t="s">
        <v>24111</v>
      </c>
      <c r="AE4566" t="s">
        <v>4655</v>
      </c>
      <c r="AF4566" t="s">
        <v>3114</v>
      </c>
      <c r="AG4566" t="s">
        <v>4564</v>
      </c>
      <c r="AH4566" t="s">
        <v>5197</v>
      </c>
      <c r="AI4566" t="s">
        <v>24112</v>
      </c>
      <c r="AJ4566" t="s">
        <v>3583</v>
      </c>
      <c r="AK4566" t="s">
        <v>24113</v>
      </c>
      <c r="AL4566" s="13" t="s">
        <v>2257</v>
      </c>
      <c r="AM4566" s="14">
        <v>1</v>
      </c>
      <c r="AN4566" s="15" t="s">
        <v>3554</v>
      </c>
    </row>
    <row r="4567" spans="1:40" x14ac:dyDescent="0.3">
      <c r="A4567" s="10" t="str">
        <f>HYPERLINK("http://www.washoecounty.gov/assessor/cama/?parid=140-343-01&amp;CardNumber=1","140-343-01")</f>
        <v>140-343-01</v>
      </c>
      <c r="B4567" t="s">
        <v>4655</v>
      </c>
      <c r="C4567" t="s">
        <v>24114</v>
      </c>
      <c r="D4567" s="1">
        <v>40340</v>
      </c>
      <c r="E4567" s="2">
        <v>260000</v>
      </c>
      <c r="F4567" t="s">
        <v>4567</v>
      </c>
      <c r="G4567" s="17" t="str">
        <f>HYPERLINK("https://www.washoecounty.gov/assessor/cama/?command=sales&amp;parid=14034301","3891196")</f>
        <v>3891196</v>
      </c>
      <c r="H4567" t="s">
        <v>3582</v>
      </c>
      <c r="I4567">
        <v>2006</v>
      </c>
      <c r="J4567">
        <v>2006</v>
      </c>
      <c r="K4567" t="s">
        <v>4554</v>
      </c>
      <c r="L4567" t="s">
        <v>3974</v>
      </c>
      <c r="M4567" s="2">
        <v>2358</v>
      </c>
      <c r="N4567" t="s">
        <v>3147</v>
      </c>
      <c r="O4567">
        <v>4</v>
      </c>
      <c r="P4567">
        <v>3</v>
      </c>
      <c r="Q4567">
        <v>0</v>
      </c>
      <c r="R4567" t="s">
        <v>5281</v>
      </c>
      <c r="S4567" t="s">
        <v>4898</v>
      </c>
      <c r="T4567" t="s">
        <v>2704</v>
      </c>
      <c r="U4567" t="s">
        <v>5631</v>
      </c>
      <c r="V4567" s="2">
        <v>636</v>
      </c>
      <c r="W4567" t="s">
        <v>4655</v>
      </c>
      <c r="X4567" s="2">
        <v>0</v>
      </c>
      <c r="Y4567">
        <v>20</v>
      </c>
      <c r="Z4567" t="s">
        <v>5107</v>
      </c>
      <c r="AA4567" s="3">
        <v>0.225895315408707</v>
      </c>
      <c r="AB4567" t="s">
        <v>24115</v>
      </c>
      <c r="AC4567" t="s">
        <v>4562</v>
      </c>
      <c r="AD4567" t="s">
        <v>24114</v>
      </c>
      <c r="AE4567" t="s">
        <v>4655</v>
      </c>
      <c r="AF4567" t="s">
        <v>4563</v>
      </c>
      <c r="AG4567" t="s">
        <v>4564</v>
      </c>
      <c r="AH4567" t="s">
        <v>5197</v>
      </c>
      <c r="AI4567" t="s">
        <v>24116</v>
      </c>
      <c r="AJ4567" t="s">
        <v>3583</v>
      </c>
      <c r="AK4567" t="s">
        <v>24117</v>
      </c>
      <c r="AL4567" s="13" t="s">
        <v>2257</v>
      </c>
      <c r="AM4567">
        <v>1</v>
      </c>
      <c r="AN4567" s="15" t="s">
        <v>3554</v>
      </c>
    </row>
    <row r="4568" spans="1:40" x14ac:dyDescent="0.3">
      <c r="A4568" s="10" t="str">
        <f>HYPERLINK("http://www.washoecounty.gov/assessor/cama/?parid=140-343-02&amp;CardNumber=1","140-343-02")</f>
        <v>140-343-02</v>
      </c>
      <c r="B4568" t="s">
        <v>4655</v>
      </c>
      <c r="C4568" t="s">
        <v>24118</v>
      </c>
      <c r="D4568" s="1">
        <v>40282</v>
      </c>
      <c r="E4568" s="2">
        <v>277000</v>
      </c>
      <c r="F4568" t="s">
        <v>4567</v>
      </c>
      <c r="G4568" s="17" t="str">
        <f>HYPERLINK("https://www.washoecounty.gov/assessor/cama/?command=sales&amp;parid=14034302","3871024")</f>
        <v>3871024</v>
      </c>
      <c r="H4568" t="s">
        <v>3582</v>
      </c>
      <c r="I4568">
        <v>2006</v>
      </c>
      <c r="J4568">
        <v>2006</v>
      </c>
      <c r="K4568" t="s">
        <v>4554</v>
      </c>
      <c r="L4568" t="s">
        <v>3974</v>
      </c>
      <c r="M4568" s="2">
        <v>2341</v>
      </c>
      <c r="N4568" t="s">
        <v>3147</v>
      </c>
      <c r="O4568">
        <v>4</v>
      </c>
      <c r="P4568">
        <v>3</v>
      </c>
      <c r="Q4568">
        <v>0</v>
      </c>
      <c r="R4568" t="s">
        <v>5281</v>
      </c>
      <c r="S4568" t="s">
        <v>4898</v>
      </c>
      <c r="T4568" t="s">
        <v>2704</v>
      </c>
      <c r="U4568" t="s">
        <v>4560</v>
      </c>
      <c r="V4568" s="2">
        <v>675</v>
      </c>
      <c r="W4568" t="s">
        <v>4655</v>
      </c>
      <c r="X4568" s="2">
        <v>0</v>
      </c>
      <c r="Y4568">
        <v>20</v>
      </c>
      <c r="Z4568" t="s">
        <v>5107</v>
      </c>
      <c r="AA4568" s="3">
        <v>0.20764462649822199</v>
      </c>
      <c r="AB4568" t="s">
        <v>24119</v>
      </c>
      <c r="AC4568" t="s">
        <v>4562</v>
      </c>
      <c r="AD4568" t="s">
        <v>24118</v>
      </c>
      <c r="AE4568" t="s">
        <v>4655</v>
      </c>
      <c r="AF4568" t="s">
        <v>4563</v>
      </c>
      <c r="AG4568" t="s">
        <v>4564</v>
      </c>
      <c r="AH4568" t="s">
        <v>5197</v>
      </c>
      <c r="AI4568" t="s">
        <v>24120</v>
      </c>
      <c r="AJ4568" t="s">
        <v>3583</v>
      </c>
      <c r="AK4568" t="s">
        <v>24121</v>
      </c>
      <c r="AL4568" s="13" t="s">
        <v>2257</v>
      </c>
      <c r="AM4568">
        <v>1</v>
      </c>
      <c r="AN4568" s="15" t="s">
        <v>3554</v>
      </c>
    </row>
    <row r="4569" spans="1:40" x14ac:dyDescent="0.3">
      <c r="A4569" s="10" t="str">
        <f>HYPERLINK("http://www.washoecounty.gov/assessor/cama/?parid=140-351-03&amp;CardNumber=1","140-351-03")</f>
        <v>140-351-03</v>
      </c>
      <c r="B4569" t="s">
        <v>4655</v>
      </c>
      <c r="C4569" t="s">
        <v>24122</v>
      </c>
      <c r="D4569" s="1">
        <v>40406</v>
      </c>
      <c r="E4569" s="2">
        <v>190000</v>
      </c>
      <c r="F4569" t="s">
        <v>4567</v>
      </c>
      <c r="G4569" s="17" t="str">
        <f>HYPERLINK("https://www.washoecounty.gov/assessor/cama/?command=sales&amp;parid=14035103","3912085")</f>
        <v>3912085</v>
      </c>
      <c r="H4569" t="s">
        <v>157</v>
      </c>
      <c r="I4569">
        <v>2003</v>
      </c>
      <c r="J4569">
        <v>2003</v>
      </c>
      <c r="K4569" t="s">
        <v>4554</v>
      </c>
      <c r="L4569" t="s">
        <v>3974</v>
      </c>
      <c r="M4569" s="2">
        <v>1960</v>
      </c>
      <c r="N4569" t="s">
        <v>5280</v>
      </c>
      <c r="O4569">
        <v>4</v>
      </c>
      <c r="P4569">
        <v>2</v>
      </c>
      <c r="Q4569">
        <v>1</v>
      </c>
      <c r="R4569" t="s">
        <v>5281</v>
      </c>
      <c r="S4569" t="s">
        <v>4898</v>
      </c>
      <c r="T4569" t="s">
        <v>4559</v>
      </c>
      <c r="U4569" t="s">
        <v>5631</v>
      </c>
      <c r="V4569" s="2">
        <v>460</v>
      </c>
      <c r="W4569" t="s">
        <v>4655</v>
      </c>
      <c r="X4569" s="2">
        <v>0</v>
      </c>
      <c r="Y4569">
        <v>20</v>
      </c>
      <c r="Z4569" t="s">
        <v>5107</v>
      </c>
      <c r="AA4569" s="3">
        <v>0.11485307663679099</v>
      </c>
      <c r="AB4569" t="s">
        <v>24123</v>
      </c>
      <c r="AC4569" t="s">
        <v>4575</v>
      </c>
      <c r="AD4569" t="s">
        <v>24124</v>
      </c>
      <c r="AE4569" t="s">
        <v>4655</v>
      </c>
      <c r="AF4569" t="s">
        <v>22072</v>
      </c>
      <c r="AG4569" t="s">
        <v>3370</v>
      </c>
      <c r="AH4569" t="s">
        <v>24125</v>
      </c>
      <c r="AI4569" t="s">
        <v>24126</v>
      </c>
      <c r="AJ4569" t="s">
        <v>1076</v>
      </c>
      <c r="AK4569" t="s">
        <v>24127</v>
      </c>
      <c r="AL4569" s="13" t="s">
        <v>2257</v>
      </c>
      <c r="AM4569">
        <v>1</v>
      </c>
      <c r="AN4569" s="15" t="s">
        <v>3611</v>
      </c>
    </row>
    <row r="4570" spans="1:40" x14ac:dyDescent="0.3">
      <c r="A4570" s="10" t="str">
        <f>HYPERLINK("http://www.washoecounty.gov/assessor/cama/?parid=140-351-07&amp;CardNumber=1","140-351-07")</f>
        <v>140-351-07</v>
      </c>
      <c r="B4570" t="s">
        <v>4655</v>
      </c>
      <c r="C4570" t="s">
        <v>24128</v>
      </c>
      <c r="D4570" s="1">
        <v>40498</v>
      </c>
      <c r="E4570" s="2">
        <v>205000</v>
      </c>
      <c r="F4570" t="s">
        <v>4567</v>
      </c>
      <c r="G4570" s="17" t="str">
        <f>HYPERLINK("https://www.washoecounty.gov/assessor/cama/?command=sales&amp;parid=14035107","3943549")</f>
        <v>3943549</v>
      </c>
      <c r="H4570" t="s">
        <v>157</v>
      </c>
      <c r="I4570">
        <v>2005</v>
      </c>
      <c r="J4570">
        <v>2005</v>
      </c>
      <c r="K4570" t="s">
        <v>4554</v>
      </c>
      <c r="L4570" t="s">
        <v>3974</v>
      </c>
      <c r="M4570" s="2">
        <v>1817</v>
      </c>
      <c r="N4570" t="s">
        <v>5280</v>
      </c>
      <c r="O4570">
        <v>3</v>
      </c>
      <c r="P4570">
        <v>2</v>
      </c>
      <c r="Q4570">
        <v>1</v>
      </c>
      <c r="R4570" t="s">
        <v>5281</v>
      </c>
      <c r="S4570" t="s">
        <v>4898</v>
      </c>
      <c r="T4570" t="s">
        <v>4559</v>
      </c>
      <c r="U4570" t="s">
        <v>5631</v>
      </c>
      <c r="V4570" s="2">
        <v>441</v>
      </c>
      <c r="W4570" t="s">
        <v>4655</v>
      </c>
      <c r="X4570" s="2">
        <v>0</v>
      </c>
      <c r="Y4570">
        <v>20</v>
      </c>
      <c r="Z4570" t="s">
        <v>5107</v>
      </c>
      <c r="AA4570" s="3">
        <v>0.11485307663679099</v>
      </c>
      <c r="AB4570" t="s">
        <v>24129</v>
      </c>
      <c r="AC4570" t="s">
        <v>4575</v>
      </c>
      <c r="AD4570" t="s">
        <v>24130</v>
      </c>
      <c r="AE4570" t="s">
        <v>4655</v>
      </c>
      <c r="AF4570" t="s">
        <v>4563</v>
      </c>
      <c r="AG4570" t="s">
        <v>4564</v>
      </c>
      <c r="AH4570" t="s">
        <v>5197</v>
      </c>
      <c r="AI4570" t="s">
        <v>24131</v>
      </c>
      <c r="AJ4570" t="s">
        <v>24132</v>
      </c>
      <c r="AK4570" t="s">
        <v>24133</v>
      </c>
      <c r="AL4570" s="13" t="s">
        <v>2257</v>
      </c>
      <c r="AM4570" s="14">
        <v>1</v>
      </c>
      <c r="AN4570" s="15" t="s">
        <v>3611</v>
      </c>
    </row>
    <row r="4571" spans="1:40" x14ac:dyDescent="0.3">
      <c r="A4571" s="10" t="str">
        <f>HYPERLINK("http://www.washoecounty.gov/assessor/cama/?parid=140-351-29&amp;CardNumber=1","140-351-29")</f>
        <v>140-351-29</v>
      </c>
      <c r="B4571" t="s">
        <v>4655</v>
      </c>
      <c r="C4571" t="s">
        <v>24134</v>
      </c>
      <c r="D4571" s="1">
        <v>40459</v>
      </c>
      <c r="E4571" s="2">
        <v>206000</v>
      </c>
      <c r="F4571" t="s">
        <v>4567</v>
      </c>
      <c r="G4571" s="17" t="str">
        <f>HYPERLINK("https://www.washoecounty.gov/assessor/cama/?command=sales&amp;parid=14035129","3931365")</f>
        <v>3931365</v>
      </c>
      <c r="H4571" t="s">
        <v>1926</v>
      </c>
      <c r="I4571">
        <v>2004</v>
      </c>
      <c r="J4571">
        <v>2004</v>
      </c>
      <c r="K4571" t="s">
        <v>4554</v>
      </c>
      <c r="L4571" t="s">
        <v>4555</v>
      </c>
      <c r="M4571" s="2">
        <v>1650</v>
      </c>
      <c r="N4571" t="s">
        <v>5280</v>
      </c>
      <c r="O4571">
        <v>4</v>
      </c>
      <c r="P4571">
        <v>2</v>
      </c>
      <c r="Q4571">
        <v>0</v>
      </c>
      <c r="R4571" t="s">
        <v>4557</v>
      </c>
      <c r="S4571" t="s">
        <v>4898</v>
      </c>
      <c r="T4571" t="s">
        <v>4559</v>
      </c>
      <c r="U4571" t="s">
        <v>4560</v>
      </c>
      <c r="V4571" s="2">
        <v>400</v>
      </c>
      <c r="W4571" t="s">
        <v>4655</v>
      </c>
      <c r="X4571" s="2">
        <v>0</v>
      </c>
      <c r="Y4571">
        <v>20</v>
      </c>
      <c r="Z4571" t="s">
        <v>5107</v>
      </c>
      <c r="AA4571" s="3">
        <v>0.14605142176151301</v>
      </c>
      <c r="AB4571" t="s">
        <v>24135</v>
      </c>
      <c r="AC4571" t="s">
        <v>4562</v>
      </c>
      <c r="AD4571" t="s">
        <v>24134</v>
      </c>
      <c r="AE4571" t="s">
        <v>4655</v>
      </c>
      <c r="AF4571" t="s">
        <v>4563</v>
      </c>
      <c r="AG4571" t="s">
        <v>4564</v>
      </c>
      <c r="AH4571" t="s">
        <v>5197</v>
      </c>
      <c r="AI4571" t="s">
        <v>24136</v>
      </c>
      <c r="AJ4571" t="s">
        <v>5032</v>
      </c>
      <c r="AK4571" t="s">
        <v>24137</v>
      </c>
      <c r="AL4571" s="13" t="s">
        <v>2257</v>
      </c>
      <c r="AM4571" s="14">
        <v>1</v>
      </c>
      <c r="AN4571" s="15" t="s">
        <v>3611</v>
      </c>
    </row>
    <row r="4572" spans="1:40" x14ac:dyDescent="0.3">
      <c r="A4572" s="10" t="str">
        <f>HYPERLINK("http://www.washoecounty.gov/assessor/cama/?parid=140-352-14&amp;CardNumber=1","140-352-14")</f>
        <v>140-352-14</v>
      </c>
      <c r="B4572" t="s">
        <v>4655</v>
      </c>
      <c r="C4572" t="s">
        <v>24138</v>
      </c>
      <c r="D4572" s="1">
        <v>40214</v>
      </c>
      <c r="E4572" s="2">
        <v>210000</v>
      </c>
      <c r="F4572" t="s">
        <v>4567</v>
      </c>
      <c r="G4572" s="17" t="str">
        <f>HYPERLINK("https://www.washoecounty.gov/assessor/cama/?command=sales&amp;parid=14035214","3846411")</f>
        <v>3846411</v>
      </c>
      <c r="H4572" t="s">
        <v>1926</v>
      </c>
      <c r="I4572">
        <v>2004</v>
      </c>
      <c r="J4572">
        <v>2004</v>
      </c>
      <c r="K4572" t="s">
        <v>4554</v>
      </c>
      <c r="L4572" t="s">
        <v>3974</v>
      </c>
      <c r="M4572" s="2">
        <v>1960</v>
      </c>
      <c r="N4572" t="s">
        <v>5280</v>
      </c>
      <c r="O4572">
        <v>4</v>
      </c>
      <c r="P4572">
        <v>2</v>
      </c>
      <c r="Q4572">
        <v>1</v>
      </c>
      <c r="R4572" t="s">
        <v>5281</v>
      </c>
      <c r="S4572" t="s">
        <v>4898</v>
      </c>
      <c r="T4572" t="s">
        <v>4559</v>
      </c>
      <c r="U4572" t="s">
        <v>5631</v>
      </c>
      <c r="V4572" s="2">
        <v>460</v>
      </c>
      <c r="W4572" t="s">
        <v>4655</v>
      </c>
      <c r="X4572" s="2">
        <v>0</v>
      </c>
      <c r="Y4572">
        <v>20</v>
      </c>
      <c r="Z4572" t="s">
        <v>5107</v>
      </c>
      <c r="AA4572" s="3">
        <v>0.120798900723457</v>
      </c>
      <c r="AB4572" t="s">
        <v>24139</v>
      </c>
      <c r="AC4572" t="s">
        <v>4575</v>
      </c>
      <c r="AD4572" t="s">
        <v>24140</v>
      </c>
      <c r="AE4572" t="s">
        <v>24138</v>
      </c>
      <c r="AF4572" t="s">
        <v>4563</v>
      </c>
      <c r="AG4572" t="s">
        <v>4564</v>
      </c>
      <c r="AH4572" t="s">
        <v>5197</v>
      </c>
      <c r="AI4572" t="s">
        <v>24141</v>
      </c>
      <c r="AJ4572" t="s">
        <v>5032</v>
      </c>
      <c r="AK4572" t="s">
        <v>24142</v>
      </c>
      <c r="AL4572" s="13" t="s">
        <v>2257</v>
      </c>
      <c r="AM4572" s="14">
        <v>1</v>
      </c>
      <c r="AN4572" s="15" t="s">
        <v>3611</v>
      </c>
    </row>
    <row r="4573" spans="1:40" x14ac:dyDescent="0.3">
      <c r="A4573" s="10" t="str">
        <f>HYPERLINK("http://www.washoecounty.gov/assessor/cama/?parid=140-352-17&amp;CardNumber=1","140-352-17")</f>
        <v>140-352-17</v>
      </c>
      <c r="B4573" t="s">
        <v>4655</v>
      </c>
      <c r="C4573" t="s">
        <v>24143</v>
      </c>
      <c r="D4573" s="1">
        <v>40296</v>
      </c>
      <c r="E4573" s="2">
        <v>202222</v>
      </c>
      <c r="F4573" t="s">
        <v>4553</v>
      </c>
      <c r="G4573" s="17" t="str">
        <f>HYPERLINK("https://www.washoecounty.gov/assessor/cama/?command=sales&amp;parid=14035217","3875414")</f>
        <v>3875414</v>
      </c>
      <c r="H4573" t="s">
        <v>1926</v>
      </c>
      <c r="I4573">
        <v>2004</v>
      </c>
      <c r="J4573">
        <v>2004</v>
      </c>
      <c r="K4573" t="s">
        <v>4554</v>
      </c>
      <c r="L4573" t="s">
        <v>3974</v>
      </c>
      <c r="M4573" s="2">
        <v>1817</v>
      </c>
      <c r="N4573" t="s">
        <v>5280</v>
      </c>
      <c r="O4573">
        <v>3</v>
      </c>
      <c r="P4573">
        <v>2</v>
      </c>
      <c r="Q4573">
        <v>1</v>
      </c>
      <c r="R4573" t="s">
        <v>4557</v>
      </c>
      <c r="S4573" t="s">
        <v>4898</v>
      </c>
      <c r="T4573" t="s">
        <v>4559</v>
      </c>
      <c r="U4573" t="s">
        <v>5631</v>
      </c>
      <c r="V4573" s="2">
        <v>441</v>
      </c>
      <c r="W4573" t="s">
        <v>4655</v>
      </c>
      <c r="X4573" s="2">
        <v>0</v>
      </c>
      <c r="Y4573">
        <v>20</v>
      </c>
      <c r="Z4573" t="s">
        <v>5107</v>
      </c>
      <c r="AA4573" s="3">
        <v>0.18342515826225281</v>
      </c>
      <c r="AB4573" t="s">
        <v>24144</v>
      </c>
      <c r="AC4573" t="s">
        <v>4562</v>
      </c>
      <c r="AD4573" t="s">
        <v>24143</v>
      </c>
      <c r="AE4573" t="s">
        <v>4655</v>
      </c>
      <c r="AF4573" t="s">
        <v>4563</v>
      </c>
      <c r="AG4573" t="s">
        <v>4564</v>
      </c>
      <c r="AH4573" t="s">
        <v>5197</v>
      </c>
      <c r="AI4573" t="s">
        <v>4655</v>
      </c>
      <c r="AJ4573" t="s">
        <v>5032</v>
      </c>
      <c r="AK4573" t="s">
        <v>24145</v>
      </c>
      <c r="AL4573" s="13" t="s">
        <v>2257</v>
      </c>
      <c r="AM4573" s="14">
        <v>1</v>
      </c>
      <c r="AN4573" s="15" t="s">
        <v>3611</v>
      </c>
    </row>
    <row r="4574" spans="1:40" x14ac:dyDescent="0.3">
      <c r="A4574" s="10" t="str">
        <f>HYPERLINK("http://www.washoecounty.gov/assessor/cama/?parid=140-352-18&amp;CardNumber=1","140-352-18")</f>
        <v>140-352-18</v>
      </c>
      <c r="B4574" t="s">
        <v>4655</v>
      </c>
      <c r="C4574" t="s">
        <v>24146</v>
      </c>
      <c r="D4574" s="1">
        <v>40375</v>
      </c>
      <c r="E4574" s="2">
        <v>205000</v>
      </c>
      <c r="F4574" t="s">
        <v>4567</v>
      </c>
      <c r="G4574" s="17" t="str">
        <f>HYPERLINK("https://www.washoecounty.gov/assessor/cama/?command=sales&amp;parid=14035218","3902081")</f>
        <v>3902081</v>
      </c>
      <c r="H4574" t="s">
        <v>1926</v>
      </c>
      <c r="I4574">
        <v>2004</v>
      </c>
      <c r="J4574">
        <v>2004</v>
      </c>
      <c r="K4574" t="s">
        <v>4554</v>
      </c>
      <c r="L4574" t="s">
        <v>3974</v>
      </c>
      <c r="M4574" s="2">
        <v>1960</v>
      </c>
      <c r="N4574" t="s">
        <v>5280</v>
      </c>
      <c r="O4574">
        <v>4</v>
      </c>
      <c r="P4574">
        <v>2</v>
      </c>
      <c r="Q4574">
        <v>1</v>
      </c>
      <c r="R4574" t="s">
        <v>5281</v>
      </c>
      <c r="S4574" t="s">
        <v>4898</v>
      </c>
      <c r="T4574" t="s">
        <v>4559</v>
      </c>
      <c r="U4574" t="s">
        <v>5631</v>
      </c>
      <c r="V4574" s="2">
        <v>460</v>
      </c>
      <c r="W4574" t="s">
        <v>4655</v>
      </c>
      <c r="X4574" s="2">
        <v>0</v>
      </c>
      <c r="Y4574">
        <v>20</v>
      </c>
      <c r="Z4574" t="s">
        <v>5107</v>
      </c>
      <c r="AA4574" s="3">
        <v>0.171395778656006</v>
      </c>
      <c r="AB4574" t="s">
        <v>24147</v>
      </c>
      <c r="AC4574" t="s">
        <v>4562</v>
      </c>
      <c r="AD4574" t="s">
        <v>24148</v>
      </c>
      <c r="AE4574" t="s">
        <v>4655</v>
      </c>
      <c r="AF4574" t="s">
        <v>4563</v>
      </c>
      <c r="AG4574" t="s">
        <v>4564</v>
      </c>
      <c r="AH4574" t="s">
        <v>5197</v>
      </c>
      <c r="AI4574" t="s">
        <v>24149</v>
      </c>
      <c r="AJ4574" t="s">
        <v>5032</v>
      </c>
      <c r="AK4574" t="s">
        <v>24150</v>
      </c>
      <c r="AL4574" s="13" t="s">
        <v>2257</v>
      </c>
      <c r="AM4574" s="14">
        <v>1</v>
      </c>
      <c r="AN4574" s="15" t="s">
        <v>3611</v>
      </c>
    </row>
    <row r="4575" spans="1:40" x14ac:dyDescent="0.3">
      <c r="A4575" s="10" t="str">
        <f>HYPERLINK("http://www.washoecounty.gov/assessor/cama/?parid=140-353-14&amp;CardNumber=1","140-353-14")</f>
        <v>140-353-14</v>
      </c>
      <c r="B4575" t="s">
        <v>4655</v>
      </c>
      <c r="C4575" t="s">
        <v>24151</v>
      </c>
      <c r="D4575" s="1">
        <v>40253</v>
      </c>
      <c r="E4575" s="2">
        <v>185000</v>
      </c>
      <c r="F4575" t="s">
        <v>4567</v>
      </c>
      <c r="G4575" s="17" t="str">
        <f>HYPERLINK("https://www.washoecounty.gov/assessor/cama/?command=sales&amp;parid=14035314","3860230")</f>
        <v>3860230</v>
      </c>
      <c r="H4575" t="s">
        <v>157</v>
      </c>
      <c r="I4575">
        <v>2003</v>
      </c>
      <c r="J4575">
        <v>2003</v>
      </c>
      <c r="K4575" t="s">
        <v>4554</v>
      </c>
      <c r="L4575" t="s">
        <v>4555</v>
      </c>
      <c r="M4575" s="2">
        <v>1405</v>
      </c>
      <c r="N4575" t="s">
        <v>5280</v>
      </c>
      <c r="O4575">
        <v>3</v>
      </c>
      <c r="P4575">
        <v>2</v>
      </c>
      <c r="Q4575">
        <v>0</v>
      </c>
      <c r="R4575" t="s">
        <v>4557</v>
      </c>
      <c r="S4575" t="s">
        <v>4898</v>
      </c>
      <c r="T4575" t="s">
        <v>4559</v>
      </c>
      <c r="U4575" t="s">
        <v>4560</v>
      </c>
      <c r="V4575" s="2">
        <v>400</v>
      </c>
      <c r="W4575" t="s">
        <v>4655</v>
      </c>
      <c r="X4575" s="2">
        <v>0</v>
      </c>
      <c r="Y4575">
        <v>20</v>
      </c>
      <c r="Z4575" t="s">
        <v>5107</v>
      </c>
      <c r="AA4575" s="3">
        <v>0.11868686974048601</v>
      </c>
      <c r="AB4575" t="s">
        <v>24152</v>
      </c>
      <c r="AC4575" t="s">
        <v>4562</v>
      </c>
      <c r="AD4575" t="s">
        <v>24151</v>
      </c>
      <c r="AE4575" t="s">
        <v>4655</v>
      </c>
      <c r="AF4575" t="s">
        <v>4563</v>
      </c>
      <c r="AG4575" t="s">
        <v>4564</v>
      </c>
      <c r="AH4575" t="s">
        <v>5197</v>
      </c>
      <c r="AI4575" t="s">
        <v>24153</v>
      </c>
      <c r="AJ4575" t="s">
        <v>1076</v>
      </c>
      <c r="AK4575" t="s">
        <v>24154</v>
      </c>
      <c r="AL4575" s="13" t="s">
        <v>2257</v>
      </c>
      <c r="AM4575">
        <v>1</v>
      </c>
      <c r="AN4575" s="15" t="s">
        <v>3611</v>
      </c>
    </row>
    <row r="4576" spans="1:40" x14ac:dyDescent="0.3">
      <c r="A4576" s="10" t="str">
        <f>HYPERLINK("http://www.washoecounty.gov/assessor/cama/?parid=140-354-01&amp;CardNumber=1","140-354-01")</f>
        <v>140-354-01</v>
      </c>
      <c r="B4576" t="s">
        <v>4655</v>
      </c>
      <c r="C4576" t="s">
        <v>24155</v>
      </c>
      <c r="D4576" s="1">
        <v>40437</v>
      </c>
      <c r="E4576" s="2">
        <v>203500</v>
      </c>
      <c r="F4576" t="s">
        <v>4567</v>
      </c>
      <c r="G4576" s="17" t="str">
        <f>HYPERLINK("https://www.washoecounty.gov/assessor/cama/?command=sales&amp;parid=14035401","3923125")</f>
        <v>3923125</v>
      </c>
      <c r="H4576" t="s">
        <v>157</v>
      </c>
      <c r="I4576">
        <v>2003</v>
      </c>
      <c r="J4576">
        <v>2003</v>
      </c>
      <c r="K4576" t="s">
        <v>4554</v>
      </c>
      <c r="L4576" t="s">
        <v>3974</v>
      </c>
      <c r="M4576" s="2">
        <v>1817</v>
      </c>
      <c r="N4576" t="s">
        <v>5280</v>
      </c>
      <c r="O4576">
        <v>3</v>
      </c>
      <c r="P4576">
        <v>2</v>
      </c>
      <c r="Q4576">
        <v>1</v>
      </c>
      <c r="R4576" t="s">
        <v>4557</v>
      </c>
      <c r="S4576" t="s">
        <v>4898</v>
      </c>
      <c r="T4576" t="s">
        <v>4559</v>
      </c>
      <c r="U4576" t="s">
        <v>5631</v>
      </c>
      <c r="V4576" s="2">
        <v>441</v>
      </c>
      <c r="W4576" t="s">
        <v>4655</v>
      </c>
      <c r="X4576" s="2">
        <v>0</v>
      </c>
      <c r="Y4576">
        <v>20</v>
      </c>
      <c r="Z4576" t="s">
        <v>5107</v>
      </c>
      <c r="AA4576" s="3">
        <v>0.29348024725914001</v>
      </c>
      <c r="AB4576" t="s">
        <v>24156</v>
      </c>
      <c r="AC4576" t="s">
        <v>4575</v>
      </c>
      <c r="AD4576" t="s">
        <v>24157</v>
      </c>
      <c r="AE4576" t="s">
        <v>24158</v>
      </c>
      <c r="AF4576" t="s">
        <v>4563</v>
      </c>
      <c r="AG4576" t="s">
        <v>4564</v>
      </c>
      <c r="AH4576" t="s">
        <v>5197</v>
      </c>
      <c r="AI4576" t="s">
        <v>24159</v>
      </c>
      <c r="AJ4576" t="s">
        <v>1076</v>
      </c>
      <c r="AK4576" t="s">
        <v>24160</v>
      </c>
      <c r="AL4576" s="13" t="s">
        <v>2257</v>
      </c>
      <c r="AM4576">
        <v>1</v>
      </c>
      <c r="AN4576" s="15" t="s">
        <v>3611</v>
      </c>
    </row>
    <row r="4577" spans="1:40" x14ac:dyDescent="0.3">
      <c r="A4577" s="10" t="str">
        <f>HYPERLINK("http://www.washoecounty.gov/assessor/cama/?parid=140-363-06&amp;CardNumber=1","140-363-06")</f>
        <v>140-363-06</v>
      </c>
      <c r="B4577" t="s">
        <v>4655</v>
      </c>
      <c r="C4577" t="s">
        <v>24161</v>
      </c>
      <c r="D4577" s="1">
        <v>40253</v>
      </c>
      <c r="E4577" s="2">
        <v>327000</v>
      </c>
      <c r="F4577" t="s">
        <v>4553</v>
      </c>
      <c r="G4577" s="17" t="str">
        <f>HYPERLINK("https://www.washoecounty.gov/assessor/cama/?command=sales&amp;parid=14036306","3860514")</f>
        <v>3860514</v>
      </c>
      <c r="H4577" t="s">
        <v>3262</v>
      </c>
      <c r="I4577">
        <v>2004</v>
      </c>
      <c r="J4577">
        <v>2004</v>
      </c>
      <c r="K4577" t="s">
        <v>4554</v>
      </c>
      <c r="L4577" t="s">
        <v>3974</v>
      </c>
      <c r="M4577" s="2">
        <v>3119</v>
      </c>
      <c r="N4577" t="s">
        <v>3147</v>
      </c>
      <c r="O4577">
        <v>5</v>
      </c>
      <c r="P4577">
        <v>3</v>
      </c>
      <c r="Q4577">
        <v>0</v>
      </c>
      <c r="R4577" t="s">
        <v>5281</v>
      </c>
      <c r="S4577" t="s">
        <v>4898</v>
      </c>
      <c r="T4577" t="s">
        <v>2704</v>
      </c>
      <c r="U4577" t="s">
        <v>4560</v>
      </c>
      <c r="V4577" s="2">
        <v>638</v>
      </c>
      <c r="W4577" t="s">
        <v>4655</v>
      </c>
      <c r="X4577" s="2">
        <v>0</v>
      </c>
      <c r="Y4577">
        <v>20</v>
      </c>
      <c r="Z4577" t="s">
        <v>5107</v>
      </c>
      <c r="AA4577" s="3">
        <v>0.24940311908721899</v>
      </c>
      <c r="AB4577" t="s">
        <v>24162</v>
      </c>
      <c r="AC4577" t="s">
        <v>4562</v>
      </c>
      <c r="AD4577" t="s">
        <v>24161</v>
      </c>
      <c r="AE4577" t="s">
        <v>4655</v>
      </c>
      <c r="AF4577" t="s">
        <v>4563</v>
      </c>
      <c r="AG4577" t="s">
        <v>4564</v>
      </c>
      <c r="AH4577" t="s">
        <v>5197</v>
      </c>
      <c r="AI4577" t="s">
        <v>24163</v>
      </c>
      <c r="AJ4577" t="s">
        <v>3263</v>
      </c>
      <c r="AK4577" t="s">
        <v>24164</v>
      </c>
      <c r="AL4577" s="13" t="s">
        <v>2257</v>
      </c>
      <c r="AM4577" s="14">
        <v>1</v>
      </c>
      <c r="AN4577" s="15" t="s">
        <v>3986</v>
      </c>
    </row>
    <row r="4578" spans="1:40" x14ac:dyDescent="0.3">
      <c r="A4578" s="10" t="str">
        <f>HYPERLINK("http://www.washoecounty.gov/assessor/cama/?parid=140-371-03&amp;CardNumber=1","140-371-03")</f>
        <v>140-371-03</v>
      </c>
      <c r="B4578" t="s">
        <v>4655</v>
      </c>
      <c r="C4578" t="s">
        <v>24165</v>
      </c>
      <c r="D4578" s="1">
        <v>40476</v>
      </c>
      <c r="E4578" s="2">
        <v>249000</v>
      </c>
      <c r="F4578" t="s">
        <v>4567</v>
      </c>
      <c r="G4578" s="17" t="str">
        <f>HYPERLINK("https://www.washoecounty.gov/assessor/cama/?command=sales&amp;parid=14037103","3936165")</f>
        <v>3936165</v>
      </c>
      <c r="H4578" t="s">
        <v>3262</v>
      </c>
      <c r="I4578">
        <v>2006</v>
      </c>
      <c r="J4578">
        <v>2006</v>
      </c>
      <c r="K4578" t="s">
        <v>4554</v>
      </c>
      <c r="L4578" t="s">
        <v>4555</v>
      </c>
      <c r="M4578" s="2">
        <v>2048</v>
      </c>
      <c r="N4578" t="s">
        <v>3147</v>
      </c>
      <c r="O4578">
        <v>4</v>
      </c>
      <c r="P4578">
        <v>2</v>
      </c>
      <c r="Q4578">
        <v>0</v>
      </c>
      <c r="R4578" t="s">
        <v>5281</v>
      </c>
      <c r="S4578" t="s">
        <v>4898</v>
      </c>
      <c r="T4578" t="s">
        <v>2704</v>
      </c>
      <c r="U4578" t="s">
        <v>4560</v>
      </c>
      <c r="V4578" s="2">
        <v>644</v>
      </c>
      <c r="W4578" t="s">
        <v>4655</v>
      </c>
      <c r="X4578" s="2">
        <v>0</v>
      </c>
      <c r="Y4578">
        <v>20</v>
      </c>
      <c r="Z4578" t="s">
        <v>5107</v>
      </c>
      <c r="AA4578" s="3">
        <v>0.229568406939507</v>
      </c>
      <c r="AB4578" t="s">
        <v>24166</v>
      </c>
      <c r="AC4578" t="s">
        <v>4575</v>
      </c>
      <c r="AD4578" t="s">
        <v>24167</v>
      </c>
      <c r="AE4578" t="s">
        <v>4655</v>
      </c>
      <c r="AF4578" t="s">
        <v>4563</v>
      </c>
      <c r="AG4578" t="s">
        <v>4564</v>
      </c>
      <c r="AH4578" t="s">
        <v>5197</v>
      </c>
      <c r="AI4578" t="s">
        <v>24168</v>
      </c>
      <c r="AJ4578" t="s">
        <v>3263</v>
      </c>
      <c r="AK4578" t="s">
        <v>24169</v>
      </c>
      <c r="AL4578" s="13" t="s">
        <v>2257</v>
      </c>
      <c r="AM4578" s="14">
        <v>1</v>
      </c>
      <c r="AN4578" s="15" t="s">
        <v>3986</v>
      </c>
    </row>
    <row r="4579" spans="1:40" x14ac:dyDescent="0.3">
      <c r="A4579" s="10" t="str">
        <f>HYPERLINK("http://www.washoecounty.gov/assessor/cama/?parid=140-372-10&amp;CardNumber=1","140-372-10")</f>
        <v>140-372-10</v>
      </c>
      <c r="B4579" t="s">
        <v>4655</v>
      </c>
      <c r="C4579" t="s">
        <v>24170</v>
      </c>
      <c r="D4579" s="1">
        <v>40315</v>
      </c>
      <c r="E4579" s="2">
        <v>310000</v>
      </c>
      <c r="F4579" t="s">
        <v>4567</v>
      </c>
      <c r="G4579" s="17" t="str">
        <f>HYPERLINK("https://www.washoecounty.gov/assessor/cama/?command=sales&amp;parid=14037210","37882108")</f>
        <v>37882108</v>
      </c>
      <c r="H4579" t="s">
        <v>3262</v>
      </c>
      <c r="I4579">
        <v>2005</v>
      </c>
      <c r="J4579">
        <v>2005</v>
      </c>
      <c r="K4579" t="s">
        <v>4554</v>
      </c>
      <c r="L4579" t="s">
        <v>4555</v>
      </c>
      <c r="M4579" s="2">
        <v>2706</v>
      </c>
      <c r="N4579" t="s">
        <v>3147</v>
      </c>
      <c r="O4579">
        <v>5</v>
      </c>
      <c r="P4579">
        <v>3</v>
      </c>
      <c r="Q4579">
        <v>0</v>
      </c>
      <c r="R4579" t="s">
        <v>5281</v>
      </c>
      <c r="S4579" t="s">
        <v>4898</v>
      </c>
      <c r="T4579" t="s">
        <v>2704</v>
      </c>
      <c r="U4579" t="s">
        <v>4560</v>
      </c>
      <c r="V4579" s="2">
        <v>689</v>
      </c>
      <c r="W4579" t="s">
        <v>4655</v>
      </c>
      <c r="X4579" s="2">
        <v>0</v>
      </c>
      <c r="Y4579">
        <v>20</v>
      </c>
      <c r="Z4579" t="s">
        <v>5107</v>
      </c>
      <c r="AA4579" s="3">
        <v>0.37148761749267578</v>
      </c>
      <c r="AB4579" t="s">
        <v>24171</v>
      </c>
      <c r="AC4579" t="s">
        <v>4562</v>
      </c>
      <c r="AD4579" t="s">
        <v>24170</v>
      </c>
      <c r="AE4579" t="s">
        <v>4655</v>
      </c>
      <c r="AF4579" t="s">
        <v>4563</v>
      </c>
      <c r="AG4579" t="s">
        <v>4564</v>
      </c>
      <c r="AH4579" t="s">
        <v>5197</v>
      </c>
      <c r="AI4579" t="s">
        <v>4793</v>
      </c>
      <c r="AJ4579" t="s">
        <v>3263</v>
      </c>
      <c r="AK4579" t="s">
        <v>24172</v>
      </c>
      <c r="AL4579" s="13" t="s">
        <v>2257</v>
      </c>
      <c r="AM4579">
        <v>1</v>
      </c>
      <c r="AN4579" s="15" t="s">
        <v>3986</v>
      </c>
    </row>
    <row r="4580" spans="1:40" x14ac:dyDescent="0.3">
      <c r="A4580" s="10" t="str">
        <f>HYPERLINK("http://www.washoecounty.gov/assessor/cama/?parid=140-374-03&amp;CardNumber=1","140-374-03")</f>
        <v>140-374-03</v>
      </c>
      <c r="B4580" t="s">
        <v>4655</v>
      </c>
      <c r="C4580" t="s">
        <v>24173</v>
      </c>
      <c r="D4580" s="1">
        <v>40485</v>
      </c>
      <c r="E4580" s="2">
        <v>325000</v>
      </c>
      <c r="F4580" t="s">
        <v>4567</v>
      </c>
      <c r="G4580" s="17" t="str">
        <f>HYPERLINK("https://www.washoecounty.gov/assessor/cama/?command=sales&amp;parid=14037403","3939439")</f>
        <v>3939439</v>
      </c>
      <c r="H4580" t="s">
        <v>3262</v>
      </c>
      <c r="I4580">
        <v>2004</v>
      </c>
      <c r="J4580">
        <v>2004</v>
      </c>
      <c r="K4580" t="s">
        <v>4554</v>
      </c>
      <c r="L4580" t="s">
        <v>3974</v>
      </c>
      <c r="M4580" s="2">
        <v>3119</v>
      </c>
      <c r="N4580" t="s">
        <v>3147</v>
      </c>
      <c r="O4580">
        <v>5</v>
      </c>
      <c r="P4580">
        <v>3</v>
      </c>
      <c r="Q4580">
        <v>0</v>
      </c>
      <c r="R4580" t="s">
        <v>5281</v>
      </c>
      <c r="S4580" t="s">
        <v>4898</v>
      </c>
      <c r="T4580" t="s">
        <v>2704</v>
      </c>
      <c r="U4580" t="s">
        <v>4560</v>
      </c>
      <c r="V4580" s="2">
        <v>638</v>
      </c>
      <c r="W4580" t="s">
        <v>4655</v>
      </c>
      <c r="X4580" s="2">
        <v>0</v>
      </c>
      <c r="Y4580">
        <v>20</v>
      </c>
      <c r="Z4580" t="s">
        <v>5107</v>
      </c>
      <c r="AA4580" s="3">
        <v>0.40617540478706399</v>
      </c>
      <c r="AB4580" t="s">
        <v>24174</v>
      </c>
      <c r="AC4580" t="s">
        <v>4562</v>
      </c>
      <c r="AD4580" t="s">
        <v>24173</v>
      </c>
      <c r="AE4580" t="s">
        <v>4655</v>
      </c>
      <c r="AF4580" t="s">
        <v>4563</v>
      </c>
      <c r="AG4580" t="s">
        <v>4564</v>
      </c>
      <c r="AH4580" t="s">
        <v>5197</v>
      </c>
      <c r="AI4580" t="s">
        <v>24175</v>
      </c>
      <c r="AJ4580" t="s">
        <v>3263</v>
      </c>
      <c r="AK4580" t="s">
        <v>24176</v>
      </c>
      <c r="AL4580" s="13" t="s">
        <v>2257</v>
      </c>
      <c r="AM4580" s="14">
        <v>1</v>
      </c>
      <c r="AN4580" s="15" t="s">
        <v>3986</v>
      </c>
    </row>
    <row r="4581" spans="1:40" x14ac:dyDescent="0.3">
      <c r="A4581" s="10" t="str">
        <f>HYPERLINK("http://www.washoecounty.gov/assessor/cama/?parid=140-374-04&amp;CardNumber=1","140-374-04")</f>
        <v>140-374-04</v>
      </c>
      <c r="B4581" t="s">
        <v>4655</v>
      </c>
      <c r="C4581" t="s">
        <v>24177</v>
      </c>
      <c r="D4581" s="1">
        <v>40451</v>
      </c>
      <c r="E4581" s="2">
        <v>328000</v>
      </c>
      <c r="F4581" t="s">
        <v>4567</v>
      </c>
      <c r="G4581" s="17" t="str">
        <f>HYPERLINK("https://www.washoecounty.gov/assessor/cama/?command=sales&amp;parid=14037404","3928277")</f>
        <v>3928277</v>
      </c>
      <c r="H4581" t="s">
        <v>3262</v>
      </c>
      <c r="I4581">
        <v>2004</v>
      </c>
      <c r="J4581">
        <v>2004</v>
      </c>
      <c r="K4581" t="s">
        <v>4554</v>
      </c>
      <c r="L4581" t="s">
        <v>4555</v>
      </c>
      <c r="M4581" s="2">
        <v>2706</v>
      </c>
      <c r="N4581" t="s">
        <v>3147</v>
      </c>
      <c r="O4581">
        <v>5</v>
      </c>
      <c r="P4581">
        <v>3</v>
      </c>
      <c r="Q4581">
        <v>0</v>
      </c>
      <c r="R4581" t="s">
        <v>5281</v>
      </c>
      <c r="S4581" t="s">
        <v>4898</v>
      </c>
      <c r="T4581" t="s">
        <v>2704</v>
      </c>
      <c r="U4581" t="s">
        <v>4560</v>
      </c>
      <c r="V4581" s="2">
        <v>689</v>
      </c>
      <c r="W4581" t="s">
        <v>4655</v>
      </c>
      <c r="X4581" s="2">
        <v>0</v>
      </c>
      <c r="Y4581">
        <v>20</v>
      </c>
      <c r="Z4581" t="s">
        <v>5107</v>
      </c>
      <c r="AA4581" s="3">
        <v>0.37674471735954285</v>
      </c>
      <c r="AB4581" t="s">
        <v>24178</v>
      </c>
      <c r="AC4581" t="s">
        <v>4562</v>
      </c>
      <c r="AD4581" t="s">
        <v>24177</v>
      </c>
      <c r="AE4581" t="s">
        <v>4655</v>
      </c>
      <c r="AF4581" t="s">
        <v>4563</v>
      </c>
      <c r="AG4581" t="s">
        <v>4564</v>
      </c>
      <c r="AH4581" t="s">
        <v>5197</v>
      </c>
      <c r="AI4581" t="s">
        <v>24179</v>
      </c>
      <c r="AJ4581" t="s">
        <v>3263</v>
      </c>
      <c r="AK4581" t="s">
        <v>24180</v>
      </c>
      <c r="AL4581" s="13" t="s">
        <v>2257</v>
      </c>
      <c r="AM4581">
        <v>1</v>
      </c>
      <c r="AN4581" s="15" t="s">
        <v>3986</v>
      </c>
    </row>
    <row r="4582" spans="1:40" x14ac:dyDescent="0.3">
      <c r="A4582" s="10" t="str">
        <f>HYPERLINK("http://www.washoecounty.gov/assessor/cama/?parid=140-374-17&amp;CardNumber=1","140-374-17")</f>
        <v>140-374-17</v>
      </c>
      <c r="B4582" t="s">
        <v>4655</v>
      </c>
      <c r="C4582" t="s">
        <v>24181</v>
      </c>
      <c r="D4582" s="1">
        <v>40266</v>
      </c>
      <c r="E4582" s="2">
        <v>260000</v>
      </c>
      <c r="F4582" t="s">
        <v>4567</v>
      </c>
      <c r="G4582" s="17" t="str">
        <f>HYPERLINK("https://www.washoecounty.gov/assessor/cama/?command=sales&amp;parid=14037417","3864979")</f>
        <v>3864979</v>
      </c>
      <c r="H4582" t="s">
        <v>350</v>
      </c>
      <c r="I4582">
        <v>2005</v>
      </c>
      <c r="J4582">
        <v>2005</v>
      </c>
      <c r="K4582" t="s">
        <v>4554</v>
      </c>
      <c r="L4582" t="s">
        <v>4555</v>
      </c>
      <c r="M4582" s="2">
        <v>2048</v>
      </c>
      <c r="N4582" t="s">
        <v>3147</v>
      </c>
      <c r="O4582">
        <v>4</v>
      </c>
      <c r="P4582">
        <v>2</v>
      </c>
      <c r="Q4582">
        <v>0</v>
      </c>
      <c r="R4582" t="s">
        <v>5281</v>
      </c>
      <c r="S4582" t="s">
        <v>4898</v>
      </c>
      <c r="T4582" t="s">
        <v>2704</v>
      </c>
      <c r="U4582" t="s">
        <v>4560</v>
      </c>
      <c r="V4582" s="2">
        <v>644</v>
      </c>
      <c r="W4582" t="s">
        <v>4655</v>
      </c>
      <c r="X4582" s="2">
        <v>0</v>
      </c>
      <c r="Y4582">
        <v>20</v>
      </c>
      <c r="Z4582" t="s">
        <v>5107</v>
      </c>
      <c r="AA4582" s="3">
        <v>0.23108355700969699</v>
      </c>
      <c r="AB4582" t="s">
        <v>24182</v>
      </c>
      <c r="AC4582" t="s">
        <v>4562</v>
      </c>
      <c r="AD4582" t="s">
        <v>24181</v>
      </c>
      <c r="AE4582" t="s">
        <v>4655</v>
      </c>
      <c r="AF4582" t="s">
        <v>4563</v>
      </c>
      <c r="AG4582" t="s">
        <v>4564</v>
      </c>
      <c r="AH4582" t="s">
        <v>5197</v>
      </c>
      <c r="AI4582" t="s">
        <v>24183</v>
      </c>
      <c r="AJ4582" t="s">
        <v>351</v>
      </c>
      <c r="AK4582" t="s">
        <v>24184</v>
      </c>
      <c r="AL4582" s="13" t="s">
        <v>2257</v>
      </c>
      <c r="AM4582" s="14">
        <v>1</v>
      </c>
      <c r="AN4582" s="15" t="s">
        <v>3986</v>
      </c>
    </row>
    <row r="4583" spans="1:40" x14ac:dyDescent="0.3">
      <c r="A4583" s="10" t="str">
        <f>HYPERLINK("http://www.washoecounty.gov/assessor/cama/?parid=140-381-02&amp;CardNumber=1","140-381-02")</f>
        <v>140-381-02</v>
      </c>
      <c r="B4583" t="s">
        <v>4655</v>
      </c>
      <c r="C4583" t="s">
        <v>24185</v>
      </c>
      <c r="D4583" s="1">
        <v>40379</v>
      </c>
      <c r="E4583" s="2">
        <v>305000</v>
      </c>
      <c r="F4583" t="s">
        <v>4567</v>
      </c>
      <c r="G4583" s="17" t="str">
        <f>HYPERLINK("https://www.washoecounty.gov/assessor/cama/?command=sales&amp;parid=14038102","3903247")</f>
        <v>3903247</v>
      </c>
      <c r="H4583" t="s">
        <v>24186</v>
      </c>
      <c r="I4583">
        <v>2003</v>
      </c>
      <c r="J4583">
        <v>2003</v>
      </c>
      <c r="K4583" t="s">
        <v>4554</v>
      </c>
      <c r="L4583" t="s">
        <v>3974</v>
      </c>
      <c r="M4583" s="2">
        <v>2509</v>
      </c>
      <c r="N4583" t="s">
        <v>5280</v>
      </c>
      <c r="O4583">
        <v>4</v>
      </c>
      <c r="P4583">
        <v>3</v>
      </c>
      <c r="Q4583">
        <v>0</v>
      </c>
      <c r="R4583" t="s">
        <v>4557</v>
      </c>
      <c r="S4583" t="s">
        <v>4898</v>
      </c>
      <c r="T4583" t="s">
        <v>2704</v>
      </c>
      <c r="U4583" t="s">
        <v>4560</v>
      </c>
      <c r="V4583" s="2">
        <v>634</v>
      </c>
      <c r="W4583" t="s">
        <v>4655</v>
      </c>
      <c r="X4583" s="2">
        <v>0</v>
      </c>
      <c r="Y4583">
        <v>20</v>
      </c>
      <c r="Z4583" t="s">
        <v>5107</v>
      </c>
      <c r="AA4583" s="3">
        <v>0.14742884039878801</v>
      </c>
      <c r="AB4583" t="s">
        <v>4426</v>
      </c>
      <c r="AC4583" t="s">
        <v>4575</v>
      </c>
      <c r="AD4583" t="s">
        <v>24187</v>
      </c>
      <c r="AE4583" t="s">
        <v>24185</v>
      </c>
      <c r="AF4583" t="s">
        <v>4563</v>
      </c>
      <c r="AG4583" t="s">
        <v>4564</v>
      </c>
      <c r="AH4583" t="s">
        <v>5197</v>
      </c>
      <c r="AI4583" t="s">
        <v>24188</v>
      </c>
      <c r="AJ4583" t="s">
        <v>24189</v>
      </c>
      <c r="AK4583" t="s">
        <v>24190</v>
      </c>
      <c r="AL4583" s="13" t="s">
        <v>2257</v>
      </c>
      <c r="AM4583">
        <v>1</v>
      </c>
      <c r="AN4583" s="15" t="s">
        <v>1881</v>
      </c>
    </row>
    <row r="4584" spans="1:40" x14ac:dyDescent="0.3">
      <c r="A4584" s="10" t="str">
        <f>HYPERLINK("http://www.washoecounty.gov/assessor/cama/?parid=140-383-05&amp;CardNumber=1","140-383-05")</f>
        <v>140-383-05</v>
      </c>
      <c r="B4584" t="s">
        <v>4655</v>
      </c>
      <c r="C4584" t="s">
        <v>24191</v>
      </c>
      <c r="D4584" s="1">
        <v>40382</v>
      </c>
      <c r="E4584" s="2">
        <v>246500</v>
      </c>
      <c r="F4584" t="s">
        <v>4553</v>
      </c>
      <c r="G4584" s="17" t="str">
        <f>HYPERLINK("https://www.washoecounty.gov/assessor/cama/?command=sales&amp;parid=14038305","3904406")</f>
        <v>3904406</v>
      </c>
      <c r="H4584" t="s">
        <v>24186</v>
      </c>
      <c r="I4584">
        <v>2004</v>
      </c>
      <c r="J4584">
        <v>2004</v>
      </c>
      <c r="K4584" t="s">
        <v>4554</v>
      </c>
      <c r="L4584" t="s">
        <v>4555</v>
      </c>
      <c r="M4584" s="2">
        <v>1880</v>
      </c>
      <c r="N4584" t="s">
        <v>5280</v>
      </c>
      <c r="O4584">
        <v>3</v>
      </c>
      <c r="P4584">
        <v>2</v>
      </c>
      <c r="Q4584">
        <v>0</v>
      </c>
      <c r="R4584" t="s">
        <v>5281</v>
      </c>
      <c r="S4584" t="s">
        <v>4898</v>
      </c>
      <c r="T4584" t="s">
        <v>2704</v>
      </c>
      <c r="U4584" t="s">
        <v>4560</v>
      </c>
      <c r="V4584" s="2">
        <v>569</v>
      </c>
      <c r="W4584" t="s">
        <v>4655</v>
      </c>
      <c r="X4584" s="2">
        <v>0</v>
      </c>
      <c r="Y4584">
        <v>20</v>
      </c>
      <c r="Z4584" t="s">
        <v>5107</v>
      </c>
      <c r="AA4584" s="3">
        <v>0.160055100917816</v>
      </c>
      <c r="AB4584" t="s">
        <v>24192</v>
      </c>
      <c r="AC4584" t="s">
        <v>4562</v>
      </c>
      <c r="AD4584" t="s">
        <v>24193</v>
      </c>
      <c r="AE4584" t="s">
        <v>4655</v>
      </c>
      <c r="AF4584" t="s">
        <v>4563</v>
      </c>
      <c r="AG4584" t="s">
        <v>4564</v>
      </c>
      <c r="AH4584" t="s">
        <v>5197</v>
      </c>
      <c r="AI4584" t="s">
        <v>4903</v>
      </c>
      <c r="AJ4584" t="s">
        <v>24189</v>
      </c>
      <c r="AK4584" t="s">
        <v>24194</v>
      </c>
      <c r="AL4584" s="13" t="s">
        <v>2257</v>
      </c>
      <c r="AM4584">
        <v>1</v>
      </c>
      <c r="AN4584" s="15" t="s">
        <v>1881</v>
      </c>
    </row>
    <row r="4585" spans="1:40" x14ac:dyDescent="0.3">
      <c r="A4585" s="10" t="str">
        <f>HYPERLINK("http://www.washoecounty.gov/assessor/cama/?parid=140-383-08&amp;CardNumber=1","140-383-08")</f>
        <v>140-383-08</v>
      </c>
      <c r="B4585" t="s">
        <v>4655</v>
      </c>
      <c r="C4585" t="s">
        <v>24195</v>
      </c>
      <c r="D4585" s="1">
        <v>40245</v>
      </c>
      <c r="E4585" s="2">
        <v>230000</v>
      </c>
      <c r="F4585" t="s">
        <v>4567</v>
      </c>
      <c r="G4585" s="17" t="str">
        <f>HYPERLINK("https://www.washoecounty.gov/assessor/cama/?command=sales&amp;parid=14038308","3856930")</f>
        <v>3856930</v>
      </c>
      <c r="H4585" t="s">
        <v>24186</v>
      </c>
      <c r="I4585">
        <v>2004</v>
      </c>
      <c r="J4585">
        <v>2004</v>
      </c>
      <c r="K4585" t="s">
        <v>4554</v>
      </c>
      <c r="L4585" t="s">
        <v>4555</v>
      </c>
      <c r="M4585" s="2">
        <v>1880</v>
      </c>
      <c r="N4585" t="s">
        <v>5280</v>
      </c>
      <c r="O4585">
        <v>3</v>
      </c>
      <c r="P4585">
        <v>2</v>
      </c>
      <c r="Q4585">
        <v>0</v>
      </c>
      <c r="R4585" t="s">
        <v>5281</v>
      </c>
      <c r="S4585" t="s">
        <v>4898</v>
      </c>
      <c r="T4585" t="s">
        <v>2704</v>
      </c>
      <c r="U4585" t="s">
        <v>4560</v>
      </c>
      <c r="V4585" s="2">
        <v>569</v>
      </c>
      <c r="W4585" t="s">
        <v>4655</v>
      </c>
      <c r="X4585" s="2">
        <v>0</v>
      </c>
      <c r="Y4585">
        <v>20</v>
      </c>
      <c r="Z4585" t="s">
        <v>5107</v>
      </c>
      <c r="AA4585" s="3">
        <v>0.15881542861461639</v>
      </c>
      <c r="AB4585" t="s">
        <v>842</v>
      </c>
      <c r="AC4585" t="s">
        <v>4562</v>
      </c>
      <c r="AD4585" t="s">
        <v>4084</v>
      </c>
      <c r="AE4585" t="s">
        <v>4655</v>
      </c>
      <c r="AF4585" t="s">
        <v>5499</v>
      </c>
      <c r="AG4585" t="s">
        <v>4564</v>
      </c>
      <c r="AH4585" t="s">
        <v>1605</v>
      </c>
      <c r="AI4585" t="s">
        <v>24196</v>
      </c>
      <c r="AJ4585" t="s">
        <v>24189</v>
      </c>
      <c r="AK4585" t="s">
        <v>24197</v>
      </c>
      <c r="AL4585" s="13" t="s">
        <v>2257</v>
      </c>
      <c r="AM4585" s="14">
        <v>1</v>
      </c>
      <c r="AN4585" s="15" t="s">
        <v>1881</v>
      </c>
    </row>
    <row r="4586" spans="1:40" x14ac:dyDescent="0.3">
      <c r="A4586" s="10" t="str">
        <f>HYPERLINK("http://www.washoecounty.gov/assessor/cama/?parid=140-383-13&amp;CardNumber=1","140-383-13")</f>
        <v>140-383-13</v>
      </c>
      <c r="B4586" t="s">
        <v>4655</v>
      </c>
      <c r="C4586" t="s">
        <v>24198</v>
      </c>
      <c r="D4586" s="1">
        <v>40296</v>
      </c>
      <c r="E4586" s="2">
        <v>197000</v>
      </c>
      <c r="F4586" t="s">
        <v>4567</v>
      </c>
      <c r="G4586" s="17" t="str">
        <f>HYPERLINK("https://www.washoecounty.gov/assessor/cama/?command=sales&amp;parid=14038313","3875435")</f>
        <v>3875435</v>
      </c>
      <c r="H4586" t="s">
        <v>24186</v>
      </c>
      <c r="I4586">
        <v>2004</v>
      </c>
      <c r="J4586">
        <v>2004</v>
      </c>
      <c r="K4586" t="s">
        <v>4554</v>
      </c>
      <c r="L4586" t="s">
        <v>4555</v>
      </c>
      <c r="M4586" s="2">
        <v>1722</v>
      </c>
      <c r="N4586" t="s">
        <v>5280</v>
      </c>
      <c r="O4586">
        <v>3</v>
      </c>
      <c r="P4586">
        <v>2</v>
      </c>
      <c r="Q4586">
        <v>0</v>
      </c>
      <c r="R4586" t="s">
        <v>5281</v>
      </c>
      <c r="S4586" t="s">
        <v>4898</v>
      </c>
      <c r="T4586" t="s">
        <v>2704</v>
      </c>
      <c r="U4586" t="s">
        <v>4560</v>
      </c>
      <c r="V4586" s="2">
        <v>596</v>
      </c>
      <c r="W4586" t="s">
        <v>4655</v>
      </c>
      <c r="X4586" s="2">
        <v>0</v>
      </c>
      <c r="Y4586">
        <v>20</v>
      </c>
      <c r="Z4586" t="s">
        <v>5107</v>
      </c>
      <c r="AA4586" s="3">
        <v>0.17497704923152901</v>
      </c>
      <c r="AB4586" t="s">
        <v>24199</v>
      </c>
      <c r="AC4586" t="s">
        <v>4562</v>
      </c>
      <c r="AD4586" t="s">
        <v>24200</v>
      </c>
      <c r="AE4586" t="s">
        <v>4655</v>
      </c>
      <c r="AF4586" t="s">
        <v>5033</v>
      </c>
      <c r="AG4586" t="s">
        <v>4584</v>
      </c>
      <c r="AH4586">
        <v>91403</v>
      </c>
      <c r="AI4586" t="s">
        <v>24201</v>
      </c>
      <c r="AJ4586" t="s">
        <v>24189</v>
      </c>
      <c r="AK4586" t="s">
        <v>24202</v>
      </c>
      <c r="AL4586" s="13" t="s">
        <v>2257</v>
      </c>
      <c r="AM4586">
        <v>1</v>
      </c>
      <c r="AN4586" s="15" t="s">
        <v>1881</v>
      </c>
    </row>
    <row r="4587" spans="1:40" x14ac:dyDescent="0.3">
      <c r="A4587" s="10" t="str">
        <f>HYPERLINK("http://www.washoecounty.gov/assessor/cama/?parid=140-391-06&amp;CardNumber=1","140-391-06")</f>
        <v>140-391-06</v>
      </c>
      <c r="B4587" t="s">
        <v>4655</v>
      </c>
      <c r="C4587" t="s">
        <v>24203</v>
      </c>
      <c r="D4587" s="1">
        <v>40445</v>
      </c>
      <c r="E4587" s="2">
        <v>195000</v>
      </c>
      <c r="F4587" t="s">
        <v>4567</v>
      </c>
      <c r="G4587" s="17" t="str">
        <f>HYPERLINK("https://www.washoecounty.gov/assessor/cama/?command=sales&amp;parid=14039106","3926082")</f>
        <v>3926082</v>
      </c>
      <c r="H4587" t="s">
        <v>3612</v>
      </c>
      <c r="I4587">
        <v>2004</v>
      </c>
      <c r="J4587">
        <v>2004</v>
      </c>
      <c r="K4587" t="s">
        <v>4554</v>
      </c>
      <c r="L4587" t="s">
        <v>3974</v>
      </c>
      <c r="M4587" s="2">
        <v>1794</v>
      </c>
      <c r="N4587" t="s">
        <v>5280</v>
      </c>
      <c r="O4587">
        <v>4</v>
      </c>
      <c r="P4587">
        <v>2</v>
      </c>
      <c r="Q4587">
        <v>1</v>
      </c>
      <c r="R4587" t="s">
        <v>5281</v>
      </c>
      <c r="S4587" t="s">
        <v>4558</v>
      </c>
      <c r="T4587" t="s">
        <v>4559</v>
      </c>
      <c r="U4587" t="s">
        <v>4560</v>
      </c>
      <c r="V4587" s="2">
        <v>480</v>
      </c>
      <c r="W4587" t="s">
        <v>4655</v>
      </c>
      <c r="X4587" s="2">
        <v>0</v>
      </c>
      <c r="Y4587">
        <v>20</v>
      </c>
      <c r="Z4587" t="s">
        <v>5107</v>
      </c>
      <c r="AA4587" s="3">
        <v>0.12557391822338099</v>
      </c>
      <c r="AB4587" t="s">
        <v>24204</v>
      </c>
      <c r="AC4587" t="s">
        <v>4562</v>
      </c>
      <c r="AD4587" t="s">
        <v>24203</v>
      </c>
      <c r="AE4587" t="s">
        <v>4655</v>
      </c>
      <c r="AF4587" t="s">
        <v>4563</v>
      </c>
      <c r="AG4587" t="s">
        <v>4564</v>
      </c>
      <c r="AH4587" t="s">
        <v>5197</v>
      </c>
      <c r="AI4587" t="s">
        <v>24205</v>
      </c>
      <c r="AJ4587" t="s">
        <v>3613</v>
      </c>
      <c r="AK4587" t="s">
        <v>24206</v>
      </c>
      <c r="AL4587" s="13" t="s">
        <v>2257</v>
      </c>
      <c r="AM4587">
        <v>1</v>
      </c>
      <c r="AN4587" s="15" t="s">
        <v>5005</v>
      </c>
    </row>
    <row r="4588" spans="1:40" x14ac:dyDescent="0.3">
      <c r="A4588" s="10" t="str">
        <f>HYPERLINK("http://www.washoecounty.gov/assessor/cama/?parid=140-392-24&amp;CardNumber=1","140-392-24")</f>
        <v>140-392-24</v>
      </c>
      <c r="B4588" t="s">
        <v>4655</v>
      </c>
      <c r="C4588" t="s">
        <v>24207</v>
      </c>
      <c r="D4588" s="1">
        <v>40388</v>
      </c>
      <c r="E4588" s="2">
        <v>215900</v>
      </c>
      <c r="F4588" t="s">
        <v>4553</v>
      </c>
      <c r="G4588" s="17" t="str">
        <f>HYPERLINK("https://www.washoecounty.gov/assessor/cama/?command=sales&amp;parid=14039224","3906809")</f>
        <v>3906809</v>
      </c>
      <c r="H4588" t="s">
        <v>171</v>
      </c>
      <c r="I4588">
        <v>2005</v>
      </c>
      <c r="J4588">
        <v>2005</v>
      </c>
      <c r="K4588" t="s">
        <v>4554</v>
      </c>
      <c r="L4588" t="s">
        <v>3974</v>
      </c>
      <c r="M4588" s="2">
        <v>1794</v>
      </c>
      <c r="N4588" t="s">
        <v>5280</v>
      </c>
      <c r="O4588">
        <v>3</v>
      </c>
      <c r="P4588">
        <v>2</v>
      </c>
      <c r="Q4588">
        <v>1</v>
      </c>
      <c r="R4588" t="s">
        <v>5281</v>
      </c>
      <c r="S4588" t="s">
        <v>4558</v>
      </c>
      <c r="T4588" t="s">
        <v>4559</v>
      </c>
      <c r="U4588" t="s">
        <v>4560</v>
      </c>
      <c r="V4588" s="2">
        <v>480</v>
      </c>
      <c r="W4588" t="s">
        <v>4655</v>
      </c>
      <c r="X4588" s="2">
        <v>0</v>
      </c>
      <c r="Y4588">
        <v>20</v>
      </c>
      <c r="Z4588" t="s">
        <v>5107</v>
      </c>
      <c r="AA4588" s="3">
        <v>0.30365014076232899</v>
      </c>
      <c r="AB4588" t="s">
        <v>24208</v>
      </c>
      <c r="AC4588" t="s">
        <v>4562</v>
      </c>
      <c r="AD4588" t="s">
        <v>24209</v>
      </c>
      <c r="AE4588" t="s">
        <v>4655</v>
      </c>
      <c r="AF4588" t="s">
        <v>4563</v>
      </c>
      <c r="AG4588" t="s">
        <v>4564</v>
      </c>
      <c r="AH4588" t="s">
        <v>5197</v>
      </c>
      <c r="AI4588" t="s">
        <v>4903</v>
      </c>
      <c r="AJ4588" t="s">
        <v>2250</v>
      </c>
      <c r="AK4588" t="s">
        <v>24210</v>
      </c>
      <c r="AL4588" s="13" t="s">
        <v>2257</v>
      </c>
      <c r="AM4588" s="14">
        <v>1</v>
      </c>
      <c r="AN4588" s="15" t="s">
        <v>5005</v>
      </c>
    </row>
    <row r="4589" spans="1:40" x14ac:dyDescent="0.3">
      <c r="A4589" s="10" t="str">
        <f>HYPERLINK("http://www.washoecounty.gov/assessor/cama/?parid=140-392-27&amp;CardNumber=1","140-392-27")</f>
        <v>140-392-27</v>
      </c>
      <c r="B4589" t="s">
        <v>4655</v>
      </c>
      <c r="C4589" t="s">
        <v>24211</v>
      </c>
      <c r="D4589" s="1">
        <v>40520</v>
      </c>
      <c r="E4589" s="2">
        <v>210000</v>
      </c>
      <c r="F4589" t="s">
        <v>4553</v>
      </c>
      <c r="G4589" s="17" t="str">
        <f>HYPERLINK("https://www.washoecounty.gov/assessor/cama/?command=sales&amp;parid=14039227","3951134")</f>
        <v>3951134</v>
      </c>
      <c r="H4589" t="s">
        <v>171</v>
      </c>
      <c r="I4589">
        <v>2005</v>
      </c>
      <c r="J4589">
        <v>2005</v>
      </c>
      <c r="K4589" t="s">
        <v>4554</v>
      </c>
      <c r="L4589" t="s">
        <v>3974</v>
      </c>
      <c r="M4589" s="2">
        <v>1794</v>
      </c>
      <c r="N4589" t="s">
        <v>5280</v>
      </c>
      <c r="O4589">
        <v>3</v>
      </c>
      <c r="P4589">
        <v>2</v>
      </c>
      <c r="Q4589">
        <v>1</v>
      </c>
      <c r="R4589" t="s">
        <v>5281</v>
      </c>
      <c r="S4589" t="s">
        <v>4558</v>
      </c>
      <c r="T4589" t="s">
        <v>4559</v>
      </c>
      <c r="U4589" t="s">
        <v>4560</v>
      </c>
      <c r="V4589" s="2">
        <v>480</v>
      </c>
      <c r="W4589" t="s">
        <v>4655</v>
      </c>
      <c r="X4589" s="2">
        <v>0</v>
      </c>
      <c r="Y4589">
        <v>20</v>
      </c>
      <c r="Z4589" t="s">
        <v>5107</v>
      </c>
      <c r="AA4589" s="3">
        <v>0.16308540105819699</v>
      </c>
      <c r="AB4589" t="s">
        <v>24212</v>
      </c>
      <c r="AC4589" t="s">
        <v>4562</v>
      </c>
      <c r="AD4589" t="s">
        <v>24211</v>
      </c>
      <c r="AE4589" t="s">
        <v>4655</v>
      </c>
      <c r="AF4589" t="s">
        <v>4563</v>
      </c>
      <c r="AG4589" t="s">
        <v>4564</v>
      </c>
      <c r="AH4589" t="s">
        <v>5197</v>
      </c>
      <c r="AI4589" t="s">
        <v>4903</v>
      </c>
      <c r="AJ4589" t="s">
        <v>2250</v>
      </c>
      <c r="AK4589" t="s">
        <v>24213</v>
      </c>
      <c r="AL4589" s="13" t="s">
        <v>2257</v>
      </c>
      <c r="AM4589">
        <v>1</v>
      </c>
      <c r="AN4589" s="15" t="s">
        <v>5005</v>
      </c>
    </row>
    <row r="4590" spans="1:40" x14ac:dyDescent="0.3">
      <c r="A4590" s="10" t="str">
        <f>HYPERLINK("http://www.washoecounty.gov/assessor/cama/?parid=140-392-30&amp;CardNumber=1","140-392-30")</f>
        <v>140-392-30</v>
      </c>
      <c r="B4590" t="s">
        <v>4655</v>
      </c>
      <c r="C4590" t="s">
        <v>24214</v>
      </c>
      <c r="D4590" s="1">
        <v>40353</v>
      </c>
      <c r="E4590" s="2">
        <v>212000</v>
      </c>
      <c r="F4590" t="s">
        <v>4567</v>
      </c>
      <c r="G4590" s="17" t="str">
        <f>HYPERLINK("https://www.washoecounty.gov/assessor/cama/?command=sales&amp;parid=14039230","3895030")</f>
        <v>3895030</v>
      </c>
      <c r="H4590" t="s">
        <v>171</v>
      </c>
      <c r="I4590">
        <v>2005</v>
      </c>
      <c r="J4590">
        <v>2005</v>
      </c>
      <c r="K4590" t="s">
        <v>4554</v>
      </c>
      <c r="L4590" t="s">
        <v>3974</v>
      </c>
      <c r="M4590" s="2">
        <v>1794</v>
      </c>
      <c r="N4590" t="s">
        <v>5280</v>
      </c>
      <c r="O4590">
        <v>3</v>
      </c>
      <c r="P4590">
        <v>2</v>
      </c>
      <c r="Q4590">
        <v>1</v>
      </c>
      <c r="R4590" t="s">
        <v>4557</v>
      </c>
      <c r="S4590" t="s">
        <v>4558</v>
      </c>
      <c r="T4590" t="s">
        <v>4559</v>
      </c>
      <c r="U4590" t="s">
        <v>4560</v>
      </c>
      <c r="V4590" s="2">
        <v>480</v>
      </c>
      <c r="W4590" t="s">
        <v>4655</v>
      </c>
      <c r="X4590" s="2">
        <v>0</v>
      </c>
      <c r="Y4590">
        <v>20</v>
      </c>
      <c r="Z4590" t="s">
        <v>5107</v>
      </c>
      <c r="AA4590" s="3">
        <v>0.12952250242233301</v>
      </c>
      <c r="AB4590" t="s">
        <v>24215</v>
      </c>
      <c r="AC4590" t="s">
        <v>4575</v>
      </c>
      <c r="AD4590" t="s">
        <v>24214</v>
      </c>
      <c r="AE4590" t="s">
        <v>4655</v>
      </c>
      <c r="AF4590" t="s">
        <v>4563</v>
      </c>
      <c r="AG4590" t="s">
        <v>4564</v>
      </c>
      <c r="AH4590" t="s">
        <v>5197</v>
      </c>
      <c r="AI4590" t="s">
        <v>24216</v>
      </c>
      <c r="AJ4590" t="s">
        <v>2250</v>
      </c>
      <c r="AK4590" t="s">
        <v>24217</v>
      </c>
      <c r="AL4590" s="13" t="s">
        <v>2257</v>
      </c>
      <c r="AM4590">
        <v>1</v>
      </c>
      <c r="AN4590" s="15" t="s">
        <v>5005</v>
      </c>
    </row>
    <row r="4591" spans="1:40" x14ac:dyDescent="0.3">
      <c r="A4591" s="10" t="str">
        <f>HYPERLINK("http://www.washoecounty.gov/assessor/cama/?parid=140-394-02&amp;CardNumber=1","140-394-02")</f>
        <v>140-394-02</v>
      </c>
      <c r="B4591" t="s">
        <v>4655</v>
      </c>
      <c r="C4591" t="s">
        <v>24218</v>
      </c>
      <c r="D4591" s="1">
        <v>40204</v>
      </c>
      <c r="E4591" s="2">
        <v>245000</v>
      </c>
      <c r="F4591" t="s">
        <v>4553</v>
      </c>
      <c r="G4591" s="17" t="str">
        <f>HYPERLINK("https://www.washoecounty.gov/assessor/cama/?command=sales&amp;parid=14039402","3842719")</f>
        <v>3842719</v>
      </c>
      <c r="H4591" t="s">
        <v>3612</v>
      </c>
      <c r="I4591">
        <v>2004</v>
      </c>
      <c r="J4591">
        <v>2004</v>
      </c>
      <c r="K4591" t="s">
        <v>4554</v>
      </c>
      <c r="L4591" t="s">
        <v>3974</v>
      </c>
      <c r="M4591" s="2">
        <v>2080</v>
      </c>
      <c r="N4591" t="s">
        <v>5280</v>
      </c>
      <c r="O4591">
        <v>4</v>
      </c>
      <c r="P4591">
        <v>2</v>
      </c>
      <c r="Q4591">
        <v>1</v>
      </c>
      <c r="R4591" t="s">
        <v>5281</v>
      </c>
      <c r="S4591" t="s">
        <v>4558</v>
      </c>
      <c r="T4591" t="s">
        <v>4559</v>
      </c>
      <c r="U4591" t="s">
        <v>5631</v>
      </c>
      <c r="V4591" s="2">
        <v>674</v>
      </c>
      <c r="W4591" t="s">
        <v>4655</v>
      </c>
      <c r="X4591" s="2">
        <v>0</v>
      </c>
      <c r="Y4591">
        <v>20</v>
      </c>
      <c r="Z4591" t="s">
        <v>5107</v>
      </c>
      <c r="AA4591" s="3">
        <v>0.11937557160854299</v>
      </c>
      <c r="AB4591" t="s">
        <v>24219</v>
      </c>
      <c r="AC4591" t="s">
        <v>4575</v>
      </c>
      <c r="AD4591" t="s">
        <v>24218</v>
      </c>
      <c r="AE4591" t="s">
        <v>4655</v>
      </c>
      <c r="AF4591" t="s">
        <v>4563</v>
      </c>
      <c r="AG4591" t="s">
        <v>4564</v>
      </c>
      <c r="AH4591" t="s">
        <v>5197</v>
      </c>
      <c r="AI4591" t="s">
        <v>793</v>
      </c>
      <c r="AJ4591" t="s">
        <v>3613</v>
      </c>
      <c r="AK4591" t="s">
        <v>24220</v>
      </c>
      <c r="AL4591" s="13" t="s">
        <v>2257</v>
      </c>
      <c r="AM4591">
        <v>1</v>
      </c>
      <c r="AN4591" s="15" t="s">
        <v>5005</v>
      </c>
    </row>
    <row r="4592" spans="1:40" x14ac:dyDescent="0.3">
      <c r="A4592" s="10" t="str">
        <f>HYPERLINK("http://www.washoecounty.gov/assessor/cama/?parid=140-394-03&amp;CardNumber=1","140-394-03")</f>
        <v>140-394-03</v>
      </c>
      <c r="B4592" t="s">
        <v>4655</v>
      </c>
      <c r="C4592" t="s">
        <v>24221</v>
      </c>
      <c r="D4592" s="1">
        <v>40498</v>
      </c>
      <c r="E4592" s="2">
        <v>147000</v>
      </c>
      <c r="F4592" t="s">
        <v>4567</v>
      </c>
      <c r="G4592" s="17" t="str">
        <f>HYPERLINK("https://www.washoecounty.gov/assessor/cama/?command=sales&amp;parid=14039403","3943543")</f>
        <v>3943543</v>
      </c>
      <c r="H4592" t="s">
        <v>3612</v>
      </c>
      <c r="I4592">
        <v>2004</v>
      </c>
      <c r="J4592">
        <v>2004</v>
      </c>
      <c r="K4592" t="s">
        <v>4554</v>
      </c>
      <c r="L4592" t="s">
        <v>4555</v>
      </c>
      <c r="M4592" s="2">
        <v>1362</v>
      </c>
      <c r="N4592" t="s">
        <v>5280</v>
      </c>
      <c r="O4592">
        <v>3</v>
      </c>
      <c r="P4592">
        <v>2</v>
      </c>
      <c r="Q4592">
        <v>0</v>
      </c>
      <c r="R4592" t="s">
        <v>4557</v>
      </c>
      <c r="S4592" t="s">
        <v>4558</v>
      </c>
      <c r="T4592" t="s">
        <v>4559</v>
      </c>
      <c r="U4592" t="s">
        <v>4560</v>
      </c>
      <c r="V4592" s="2">
        <v>453</v>
      </c>
      <c r="W4592" t="s">
        <v>4655</v>
      </c>
      <c r="X4592" s="2">
        <v>0</v>
      </c>
      <c r="Y4592">
        <v>20</v>
      </c>
      <c r="Z4592" t="s">
        <v>5107</v>
      </c>
      <c r="AA4592" s="3">
        <v>0.11937557160854299</v>
      </c>
      <c r="AB4592" t="s">
        <v>24222</v>
      </c>
      <c r="AC4592" t="s">
        <v>4562</v>
      </c>
      <c r="AD4592" t="s">
        <v>24223</v>
      </c>
      <c r="AE4592" t="s">
        <v>4655</v>
      </c>
      <c r="AF4592" t="s">
        <v>24224</v>
      </c>
      <c r="AG4592" t="s">
        <v>3370</v>
      </c>
      <c r="AH4592" t="s">
        <v>24225</v>
      </c>
      <c r="AI4592" t="s">
        <v>24226</v>
      </c>
      <c r="AJ4592" t="s">
        <v>3613</v>
      </c>
      <c r="AK4592" t="s">
        <v>24227</v>
      </c>
      <c r="AL4592" s="13" t="s">
        <v>2257</v>
      </c>
      <c r="AM4592">
        <v>1</v>
      </c>
      <c r="AN4592" s="15" t="s">
        <v>5005</v>
      </c>
    </row>
    <row r="4593" spans="1:40" x14ac:dyDescent="0.3">
      <c r="A4593" s="10" t="str">
        <f>HYPERLINK("http://www.washoecounty.gov/assessor/cama/?parid=140-394-08&amp;CardNumber=1","140-394-08")</f>
        <v>140-394-08</v>
      </c>
      <c r="B4593" t="s">
        <v>4655</v>
      </c>
      <c r="C4593" t="s">
        <v>24228</v>
      </c>
      <c r="D4593" s="1">
        <v>40289</v>
      </c>
      <c r="E4593" s="2">
        <v>160000</v>
      </c>
      <c r="F4593" t="s">
        <v>4553</v>
      </c>
      <c r="G4593" s="17" t="str">
        <f>HYPERLINK("https://www.washoecounty.gov/assessor/cama/?command=sales&amp;parid=14039408","3873380")</f>
        <v>3873380</v>
      </c>
      <c r="H4593" t="s">
        <v>3612</v>
      </c>
      <c r="I4593">
        <v>2004</v>
      </c>
      <c r="J4593">
        <v>2004</v>
      </c>
      <c r="K4593" t="s">
        <v>4554</v>
      </c>
      <c r="L4593" t="s">
        <v>3974</v>
      </c>
      <c r="M4593" s="2">
        <v>2250</v>
      </c>
      <c r="N4593" t="s">
        <v>5280</v>
      </c>
      <c r="O4593">
        <v>4</v>
      </c>
      <c r="P4593">
        <v>2</v>
      </c>
      <c r="Q4593">
        <v>1</v>
      </c>
      <c r="R4593" t="s">
        <v>5281</v>
      </c>
      <c r="S4593" t="s">
        <v>4558</v>
      </c>
      <c r="T4593" t="s">
        <v>4559</v>
      </c>
      <c r="U4593" t="s">
        <v>5631</v>
      </c>
      <c r="V4593" s="2">
        <v>504</v>
      </c>
      <c r="W4593" t="s">
        <v>4655</v>
      </c>
      <c r="X4593" s="2">
        <v>0</v>
      </c>
      <c r="Y4593">
        <v>20</v>
      </c>
      <c r="Z4593" t="s">
        <v>5107</v>
      </c>
      <c r="AA4593" s="3">
        <v>0.14104683697223699</v>
      </c>
      <c r="AB4593" t="s">
        <v>24229</v>
      </c>
      <c r="AC4593" t="s">
        <v>4562</v>
      </c>
      <c r="AD4593" t="s">
        <v>24230</v>
      </c>
      <c r="AE4593" t="s">
        <v>4655</v>
      </c>
      <c r="AF4593" t="s">
        <v>4563</v>
      </c>
      <c r="AG4593" t="s">
        <v>4564</v>
      </c>
      <c r="AH4593" t="s">
        <v>5197</v>
      </c>
      <c r="AI4593" t="s">
        <v>4074</v>
      </c>
      <c r="AJ4593" t="s">
        <v>3613</v>
      </c>
      <c r="AK4593" t="s">
        <v>24231</v>
      </c>
      <c r="AL4593" s="13" t="s">
        <v>2257</v>
      </c>
      <c r="AM4593" s="14">
        <v>1</v>
      </c>
      <c r="AN4593" s="15" t="s">
        <v>5005</v>
      </c>
    </row>
    <row r="4594" spans="1:40" x14ac:dyDescent="0.3">
      <c r="A4594" s="10" t="str">
        <f>HYPERLINK("http://www.washoecounty.gov/assessor/cama/?parid=140-394-08&amp;CardNumber=1","140-394-08")</f>
        <v>140-394-08</v>
      </c>
      <c r="B4594" t="s">
        <v>4655</v>
      </c>
      <c r="C4594" t="s">
        <v>24228</v>
      </c>
      <c r="D4594" s="1">
        <v>40449</v>
      </c>
      <c r="E4594" s="2">
        <v>247500</v>
      </c>
      <c r="F4594" t="s">
        <v>4567</v>
      </c>
      <c r="G4594" s="17" t="str">
        <f>HYPERLINK("https://www.washoecounty.gov/assessor/cama/?command=sales&amp;parid=14039408","3926816")</f>
        <v>3926816</v>
      </c>
      <c r="H4594" t="s">
        <v>3612</v>
      </c>
      <c r="I4594">
        <v>2004</v>
      </c>
      <c r="J4594">
        <v>2004</v>
      </c>
      <c r="K4594" t="s">
        <v>4554</v>
      </c>
      <c r="L4594" t="s">
        <v>3974</v>
      </c>
      <c r="M4594" s="2">
        <v>2250</v>
      </c>
      <c r="N4594" t="s">
        <v>5280</v>
      </c>
      <c r="O4594">
        <v>4</v>
      </c>
      <c r="P4594">
        <v>2</v>
      </c>
      <c r="Q4594">
        <v>1</v>
      </c>
      <c r="R4594" t="s">
        <v>5281</v>
      </c>
      <c r="S4594" t="s">
        <v>4558</v>
      </c>
      <c r="T4594" t="s">
        <v>4559</v>
      </c>
      <c r="U4594" t="s">
        <v>5631</v>
      </c>
      <c r="V4594" s="2">
        <v>504</v>
      </c>
      <c r="W4594" t="s">
        <v>4655</v>
      </c>
      <c r="X4594" s="2">
        <v>0</v>
      </c>
      <c r="Y4594">
        <v>20</v>
      </c>
      <c r="Z4594" t="s">
        <v>5107</v>
      </c>
      <c r="AA4594" s="3">
        <v>0.14104683697223699</v>
      </c>
      <c r="AB4594" t="s">
        <v>24229</v>
      </c>
      <c r="AC4594" t="s">
        <v>4562</v>
      </c>
      <c r="AD4594" t="s">
        <v>24230</v>
      </c>
      <c r="AE4594" t="s">
        <v>4655</v>
      </c>
      <c r="AF4594" t="s">
        <v>4563</v>
      </c>
      <c r="AG4594" t="s">
        <v>4564</v>
      </c>
      <c r="AH4594" t="s">
        <v>5197</v>
      </c>
      <c r="AI4594" t="s">
        <v>4074</v>
      </c>
      <c r="AJ4594" t="s">
        <v>3613</v>
      </c>
      <c r="AK4594" t="s">
        <v>24231</v>
      </c>
      <c r="AL4594" s="13" t="s">
        <v>2257</v>
      </c>
      <c r="AM4594">
        <v>1</v>
      </c>
      <c r="AN4594" s="15" t="s">
        <v>5005</v>
      </c>
    </row>
    <row r="4595" spans="1:40" x14ac:dyDescent="0.3">
      <c r="A4595" s="10" t="str">
        <f>HYPERLINK("http://www.washoecounty.gov/assessor/cama/?parid=140-411-08&amp;CardNumber=1","140-411-08")</f>
        <v>140-411-08</v>
      </c>
      <c r="B4595" t="s">
        <v>4655</v>
      </c>
      <c r="C4595" t="s">
        <v>24232</v>
      </c>
      <c r="D4595" s="1">
        <v>40219</v>
      </c>
      <c r="E4595" s="2">
        <v>405000</v>
      </c>
      <c r="F4595" t="s">
        <v>4567</v>
      </c>
      <c r="G4595" s="17" t="str">
        <f>HYPERLINK("https://www.washoecounty.gov/assessor/cama/?command=sales&amp;parid=14041108","3847659")</f>
        <v>3847659</v>
      </c>
      <c r="H4595" t="s">
        <v>2248</v>
      </c>
      <c r="I4595">
        <v>2005</v>
      </c>
      <c r="J4595">
        <v>2005</v>
      </c>
      <c r="K4595" t="s">
        <v>4554</v>
      </c>
      <c r="L4595" t="s">
        <v>4555</v>
      </c>
      <c r="M4595" s="2">
        <v>3018</v>
      </c>
      <c r="N4595" t="s">
        <v>5106</v>
      </c>
      <c r="O4595">
        <v>3</v>
      </c>
      <c r="P4595">
        <v>3</v>
      </c>
      <c r="Q4595">
        <v>1</v>
      </c>
      <c r="R4595" t="s">
        <v>5281</v>
      </c>
      <c r="S4595" t="s">
        <v>4898</v>
      </c>
      <c r="T4595" t="s">
        <v>2704</v>
      </c>
      <c r="U4595" t="s">
        <v>4560</v>
      </c>
      <c r="V4595" s="2">
        <v>462</v>
      </c>
      <c r="W4595" t="s">
        <v>4655</v>
      </c>
      <c r="X4595" s="2">
        <v>0</v>
      </c>
      <c r="Y4595">
        <v>20</v>
      </c>
      <c r="Z4595" t="s">
        <v>5107</v>
      </c>
      <c r="AA4595" s="3">
        <v>0.37915518879890397</v>
      </c>
      <c r="AB4595" t="s">
        <v>24233</v>
      </c>
      <c r="AC4595" t="s">
        <v>4575</v>
      </c>
      <c r="AD4595" t="s">
        <v>24232</v>
      </c>
      <c r="AE4595" t="s">
        <v>4655</v>
      </c>
      <c r="AF4595" t="s">
        <v>4563</v>
      </c>
      <c r="AG4595" t="s">
        <v>4564</v>
      </c>
      <c r="AH4595" t="s">
        <v>5197</v>
      </c>
      <c r="AI4595" t="s">
        <v>24234</v>
      </c>
      <c r="AJ4595" t="s">
        <v>2249</v>
      </c>
      <c r="AK4595" t="s">
        <v>24235</v>
      </c>
      <c r="AL4595" s="13" t="s">
        <v>2257</v>
      </c>
      <c r="AM4595">
        <v>1</v>
      </c>
      <c r="AN4595" s="15" t="s">
        <v>3874</v>
      </c>
    </row>
    <row r="4596" spans="1:40" x14ac:dyDescent="0.3">
      <c r="A4596" s="10" t="str">
        <f>HYPERLINK("http://www.washoecounty.gov/assessor/cama/?parid=140-411-10&amp;CardNumber=1","140-411-10")</f>
        <v>140-411-10</v>
      </c>
      <c r="B4596" t="s">
        <v>4655</v>
      </c>
      <c r="C4596" t="s">
        <v>24236</v>
      </c>
      <c r="D4596" s="1">
        <v>40431</v>
      </c>
      <c r="E4596" s="2">
        <v>425000</v>
      </c>
      <c r="F4596" t="s">
        <v>4567</v>
      </c>
      <c r="G4596" s="17" t="str">
        <f>HYPERLINK("https://www.washoecounty.gov/assessor/cama/?command=sales&amp;parid=14041110","3921144")</f>
        <v>3921144</v>
      </c>
      <c r="H4596" t="s">
        <v>2248</v>
      </c>
      <c r="I4596">
        <v>2005</v>
      </c>
      <c r="J4596">
        <v>2005</v>
      </c>
      <c r="K4596" t="s">
        <v>4554</v>
      </c>
      <c r="L4596" t="s">
        <v>3974</v>
      </c>
      <c r="M4596" s="2">
        <v>3975</v>
      </c>
      <c r="N4596" t="s">
        <v>5106</v>
      </c>
      <c r="O4596">
        <v>4</v>
      </c>
      <c r="P4596">
        <v>4</v>
      </c>
      <c r="Q4596">
        <v>0</v>
      </c>
      <c r="R4596" t="s">
        <v>5281</v>
      </c>
      <c r="S4596" t="s">
        <v>4898</v>
      </c>
      <c r="T4596" t="s">
        <v>2704</v>
      </c>
      <c r="U4596" t="s">
        <v>4560</v>
      </c>
      <c r="V4596" s="2">
        <v>707</v>
      </c>
      <c r="W4596" t="s">
        <v>4655</v>
      </c>
      <c r="X4596" s="2">
        <v>0</v>
      </c>
      <c r="Y4596">
        <v>20</v>
      </c>
      <c r="Z4596" t="s">
        <v>5107</v>
      </c>
      <c r="AA4596" s="3">
        <v>0.24797980487346599</v>
      </c>
      <c r="AB4596" t="s">
        <v>24237</v>
      </c>
      <c r="AC4596" t="s">
        <v>4562</v>
      </c>
      <c r="AD4596" t="s">
        <v>24236</v>
      </c>
      <c r="AE4596" t="s">
        <v>4655</v>
      </c>
      <c r="AF4596" t="s">
        <v>4563</v>
      </c>
      <c r="AG4596" t="s">
        <v>4564</v>
      </c>
      <c r="AH4596" t="s">
        <v>5197</v>
      </c>
      <c r="AI4596" t="s">
        <v>24238</v>
      </c>
      <c r="AJ4596" t="s">
        <v>2249</v>
      </c>
      <c r="AK4596" t="s">
        <v>24239</v>
      </c>
      <c r="AL4596" s="13" t="s">
        <v>2257</v>
      </c>
      <c r="AM4596">
        <v>1</v>
      </c>
      <c r="AN4596" s="15" t="s">
        <v>3874</v>
      </c>
    </row>
    <row r="4597" spans="1:40" x14ac:dyDescent="0.3">
      <c r="A4597" s="10" t="str">
        <f>HYPERLINK("http://www.washoecounty.gov/assessor/cama/?parid=140-421-02&amp;CardNumber=1","140-421-02")</f>
        <v>140-421-02</v>
      </c>
      <c r="B4597" t="s">
        <v>4655</v>
      </c>
      <c r="C4597" t="s">
        <v>24240</v>
      </c>
      <c r="D4597" s="1">
        <v>40540</v>
      </c>
      <c r="E4597" s="2">
        <v>316000</v>
      </c>
      <c r="F4597" t="s">
        <v>4567</v>
      </c>
      <c r="G4597" s="17" t="str">
        <f>HYPERLINK("https://www.washoecounty.gov/assessor/cama/?command=sales&amp;parid=14042102","3957948")</f>
        <v>3957948</v>
      </c>
      <c r="H4597" t="s">
        <v>2248</v>
      </c>
      <c r="I4597">
        <v>2003</v>
      </c>
      <c r="J4597">
        <v>2003</v>
      </c>
      <c r="K4597" t="s">
        <v>4554</v>
      </c>
      <c r="L4597" t="s">
        <v>4555</v>
      </c>
      <c r="M4597" s="2">
        <v>2765</v>
      </c>
      <c r="N4597" t="s">
        <v>5106</v>
      </c>
      <c r="O4597">
        <v>3</v>
      </c>
      <c r="P4597">
        <v>3</v>
      </c>
      <c r="Q4597">
        <v>1</v>
      </c>
      <c r="R4597" t="s">
        <v>5281</v>
      </c>
      <c r="S4597" t="s">
        <v>4898</v>
      </c>
      <c r="T4597" t="s">
        <v>2704</v>
      </c>
      <c r="U4597" t="s">
        <v>4560</v>
      </c>
      <c r="V4597" s="2">
        <v>715</v>
      </c>
      <c r="W4597" t="s">
        <v>4655</v>
      </c>
      <c r="X4597" s="2">
        <v>0</v>
      </c>
      <c r="Y4597">
        <v>20</v>
      </c>
      <c r="Z4597" t="s">
        <v>5107</v>
      </c>
      <c r="AA4597" s="3">
        <v>0.24795684218406699</v>
      </c>
      <c r="AB4597" t="s">
        <v>24241</v>
      </c>
      <c r="AC4597" t="s">
        <v>4562</v>
      </c>
      <c r="AD4597" t="s">
        <v>24242</v>
      </c>
      <c r="AE4597" t="s">
        <v>4655</v>
      </c>
      <c r="AF4597" t="s">
        <v>4563</v>
      </c>
      <c r="AG4597" t="s">
        <v>4564</v>
      </c>
      <c r="AH4597" t="s">
        <v>5197</v>
      </c>
      <c r="AI4597" t="s">
        <v>4655</v>
      </c>
      <c r="AJ4597" t="s">
        <v>2249</v>
      </c>
      <c r="AK4597" t="s">
        <v>24243</v>
      </c>
      <c r="AL4597" s="13" t="s">
        <v>2257</v>
      </c>
      <c r="AM4597">
        <v>1</v>
      </c>
      <c r="AN4597" s="15" t="s">
        <v>3874</v>
      </c>
    </row>
    <row r="4598" spans="1:40" x14ac:dyDescent="0.3">
      <c r="A4598" s="10" t="str">
        <f>HYPERLINK("http://www.washoecounty.gov/assessor/cama/?parid=140-422-03&amp;CardNumber=1","140-422-03")</f>
        <v>140-422-03</v>
      </c>
      <c r="B4598" t="s">
        <v>4655</v>
      </c>
      <c r="C4598" t="s">
        <v>24244</v>
      </c>
      <c r="D4598" s="1">
        <v>40253</v>
      </c>
      <c r="E4598" s="2">
        <v>450000</v>
      </c>
      <c r="F4598" t="s">
        <v>4567</v>
      </c>
      <c r="G4598" s="17" t="str">
        <f>HYPERLINK("https://www.washoecounty.gov/assessor/cama/?command=sales&amp;parid=14042203","3860412")</f>
        <v>3860412</v>
      </c>
      <c r="H4598" t="s">
        <v>2248</v>
      </c>
      <c r="I4598">
        <v>2005</v>
      </c>
      <c r="J4598">
        <v>2005</v>
      </c>
      <c r="K4598" t="s">
        <v>4554</v>
      </c>
      <c r="L4598" t="s">
        <v>3974</v>
      </c>
      <c r="M4598" s="2">
        <v>4338</v>
      </c>
      <c r="N4598" t="s">
        <v>5106</v>
      </c>
      <c r="O4598">
        <v>5</v>
      </c>
      <c r="P4598">
        <v>4</v>
      </c>
      <c r="Q4598">
        <v>1</v>
      </c>
      <c r="R4598" t="s">
        <v>5281</v>
      </c>
      <c r="S4598" t="s">
        <v>4898</v>
      </c>
      <c r="T4598" t="s">
        <v>2704</v>
      </c>
      <c r="U4598" t="s">
        <v>162</v>
      </c>
      <c r="V4598" s="2">
        <v>714</v>
      </c>
      <c r="W4598" t="s">
        <v>4655</v>
      </c>
      <c r="X4598" s="2">
        <v>0</v>
      </c>
      <c r="Y4598">
        <v>20</v>
      </c>
      <c r="Z4598" t="s">
        <v>5107</v>
      </c>
      <c r="AA4598" s="3">
        <v>0.35895317792892456</v>
      </c>
      <c r="AB4598" t="s">
        <v>24245</v>
      </c>
      <c r="AC4598" t="s">
        <v>4562</v>
      </c>
      <c r="AD4598" t="s">
        <v>24244</v>
      </c>
      <c r="AE4598" t="s">
        <v>4655</v>
      </c>
      <c r="AF4598" t="s">
        <v>4563</v>
      </c>
      <c r="AG4598" t="s">
        <v>4564</v>
      </c>
      <c r="AH4598" t="s">
        <v>5197</v>
      </c>
      <c r="AI4598" t="s">
        <v>24246</v>
      </c>
      <c r="AJ4598" t="s">
        <v>2249</v>
      </c>
      <c r="AK4598" t="s">
        <v>24247</v>
      </c>
      <c r="AL4598" s="13" t="s">
        <v>2257</v>
      </c>
      <c r="AM4598">
        <v>1</v>
      </c>
      <c r="AN4598" s="15" t="s">
        <v>3874</v>
      </c>
    </row>
    <row r="4599" spans="1:40" x14ac:dyDescent="0.3">
      <c r="A4599" s="10" t="str">
        <f>HYPERLINK("http://www.washoecounty.gov/assessor/cama/?parid=140-422-07&amp;CardNumber=1","140-422-07")</f>
        <v>140-422-07</v>
      </c>
      <c r="B4599" t="s">
        <v>4655</v>
      </c>
      <c r="C4599" t="s">
        <v>24248</v>
      </c>
      <c r="D4599" s="1">
        <v>40312</v>
      </c>
      <c r="E4599" s="2">
        <v>395000</v>
      </c>
      <c r="F4599" t="s">
        <v>4553</v>
      </c>
      <c r="G4599" s="17" t="str">
        <f>HYPERLINK("https://www.washoecounty.gov/assessor/cama/?command=sales&amp;parid=14042207","3881589")</f>
        <v>3881589</v>
      </c>
      <c r="H4599" t="s">
        <v>2248</v>
      </c>
      <c r="I4599">
        <v>2005</v>
      </c>
      <c r="J4599">
        <v>2005</v>
      </c>
      <c r="K4599" t="s">
        <v>4554</v>
      </c>
      <c r="L4599" t="s">
        <v>3974</v>
      </c>
      <c r="M4599" s="2">
        <v>3975</v>
      </c>
      <c r="N4599" t="s">
        <v>5106</v>
      </c>
      <c r="O4599">
        <v>4</v>
      </c>
      <c r="P4599">
        <v>3</v>
      </c>
      <c r="Q4599">
        <v>1</v>
      </c>
      <c r="R4599" t="s">
        <v>5281</v>
      </c>
      <c r="S4599" t="s">
        <v>4898</v>
      </c>
      <c r="T4599" t="s">
        <v>2704</v>
      </c>
      <c r="U4599" t="s">
        <v>4560</v>
      </c>
      <c r="V4599" s="2">
        <v>707</v>
      </c>
      <c r="W4599" t="s">
        <v>4655</v>
      </c>
      <c r="X4599" s="2">
        <v>0</v>
      </c>
      <c r="Y4599">
        <v>20</v>
      </c>
      <c r="Z4599" t="s">
        <v>5107</v>
      </c>
      <c r="AA4599" s="3">
        <v>0.275482088327408</v>
      </c>
      <c r="AB4599" t="s">
        <v>24249</v>
      </c>
      <c r="AC4599" t="s">
        <v>4562</v>
      </c>
      <c r="AD4599" t="s">
        <v>24248</v>
      </c>
      <c r="AE4599" t="s">
        <v>4655</v>
      </c>
      <c r="AF4599" t="s">
        <v>4563</v>
      </c>
      <c r="AG4599" t="s">
        <v>4564</v>
      </c>
      <c r="AH4599" t="s">
        <v>5197</v>
      </c>
      <c r="AI4599" t="s">
        <v>4655</v>
      </c>
      <c r="AJ4599" t="s">
        <v>2249</v>
      </c>
      <c r="AK4599" t="s">
        <v>24250</v>
      </c>
      <c r="AL4599" s="13" t="s">
        <v>2257</v>
      </c>
      <c r="AM4599">
        <v>1</v>
      </c>
      <c r="AN4599" s="15" t="s">
        <v>3874</v>
      </c>
    </row>
    <row r="4600" spans="1:40" x14ac:dyDescent="0.3">
      <c r="A4600" s="10" t="str">
        <f>HYPERLINK("http://www.washoecounty.gov/assessor/cama/?parid=140-422-08&amp;CardNumber=1","140-422-08")</f>
        <v>140-422-08</v>
      </c>
      <c r="B4600" t="s">
        <v>4655</v>
      </c>
      <c r="C4600" t="s">
        <v>24251</v>
      </c>
      <c r="D4600" s="1">
        <v>40312</v>
      </c>
      <c r="E4600" s="2">
        <v>392000</v>
      </c>
      <c r="F4600" t="s">
        <v>4567</v>
      </c>
      <c r="G4600" s="17" t="str">
        <f>HYPERLINK("https://www.washoecounty.gov/assessor/cama/?command=sales&amp;parid=14042208","3881665")</f>
        <v>3881665</v>
      </c>
      <c r="H4600" t="s">
        <v>2248</v>
      </c>
      <c r="I4600">
        <v>2005</v>
      </c>
      <c r="J4600">
        <v>2005</v>
      </c>
      <c r="K4600" t="s">
        <v>4554</v>
      </c>
      <c r="L4600" t="s">
        <v>4555</v>
      </c>
      <c r="M4600" s="2">
        <v>3018</v>
      </c>
      <c r="N4600" t="s">
        <v>5106</v>
      </c>
      <c r="O4600">
        <v>3</v>
      </c>
      <c r="P4600">
        <v>3</v>
      </c>
      <c r="Q4600">
        <v>1</v>
      </c>
      <c r="R4600" t="s">
        <v>5281</v>
      </c>
      <c r="S4600" t="s">
        <v>4898</v>
      </c>
      <c r="T4600" t="s">
        <v>2704</v>
      </c>
      <c r="U4600" t="s">
        <v>4560</v>
      </c>
      <c r="V4600" s="2">
        <v>462</v>
      </c>
      <c r="W4600" t="s">
        <v>4655</v>
      </c>
      <c r="X4600" s="2">
        <v>0</v>
      </c>
      <c r="Y4600">
        <v>20</v>
      </c>
      <c r="Z4600" t="s">
        <v>5107</v>
      </c>
      <c r="AA4600" s="3">
        <v>0.275528013706207</v>
      </c>
      <c r="AB4600" t="s">
        <v>24252</v>
      </c>
      <c r="AC4600" t="s">
        <v>4575</v>
      </c>
      <c r="AD4600" t="s">
        <v>24253</v>
      </c>
      <c r="AE4600" t="s">
        <v>24254</v>
      </c>
      <c r="AF4600" t="s">
        <v>24255</v>
      </c>
      <c r="AG4600" t="s">
        <v>1434</v>
      </c>
      <c r="AH4600">
        <v>97702</v>
      </c>
      <c r="AI4600" t="s">
        <v>24256</v>
      </c>
      <c r="AJ4600" t="s">
        <v>2249</v>
      </c>
      <c r="AK4600" t="s">
        <v>24257</v>
      </c>
      <c r="AL4600" s="13" t="s">
        <v>2257</v>
      </c>
      <c r="AM4600">
        <v>1</v>
      </c>
      <c r="AN4600" s="15" t="s">
        <v>3874</v>
      </c>
    </row>
    <row r="4601" spans="1:40" x14ac:dyDescent="0.3">
      <c r="A4601" s="10" t="str">
        <f>HYPERLINK("http://www.washoecounty.gov/assessor/cama/?parid=140-422-10&amp;CardNumber=1","140-422-10")</f>
        <v>140-422-10</v>
      </c>
      <c r="B4601" t="s">
        <v>4655</v>
      </c>
      <c r="C4601" t="s">
        <v>24258</v>
      </c>
      <c r="D4601" s="1">
        <v>40203</v>
      </c>
      <c r="E4601" s="2">
        <v>350000</v>
      </c>
      <c r="F4601" t="s">
        <v>4553</v>
      </c>
      <c r="G4601" s="17" t="str">
        <f>HYPERLINK("https://www.washoecounty.gov/assessor/cama/?command=sales&amp;parid=14042210","3842413")</f>
        <v>3842413</v>
      </c>
      <c r="H4601" t="s">
        <v>2248</v>
      </c>
      <c r="I4601">
        <v>2004</v>
      </c>
      <c r="J4601">
        <v>2004</v>
      </c>
      <c r="K4601" t="s">
        <v>4554</v>
      </c>
      <c r="L4601" t="s">
        <v>4555</v>
      </c>
      <c r="M4601" s="2">
        <v>2765</v>
      </c>
      <c r="N4601" t="s">
        <v>5106</v>
      </c>
      <c r="O4601">
        <v>3</v>
      </c>
      <c r="P4601">
        <v>2</v>
      </c>
      <c r="Q4601">
        <v>1</v>
      </c>
      <c r="R4601" t="s">
        <v>5281</v>
      </c>
      <c r="S4601" t="s">
        <v>4898</v>
      </c>
      <c r="T4601" t="s">
        <v>2704</v>
      </c>
      <c r="U4601" t="s">
        <v>4560</v>
      </c>
      <c r="V4601" s="2">
        <v>715</v>
      </c>
      <c r="W4601" t="s">
        <v>4655</v>
      </c>
      <c r="X4601" s="2">
        <v>0</v>
      </c>
      <c r="Y4601">
        <v>20</v>
      </c>
      <c r="Z4601" t="s">
        <v>5107</v>
      </c>
      <c r="AA4601" s="3">
        <v>0.27940770983696001</v>
      </c>
      <c r="AB4601" t="s">
        <v>24259</v>
      </c>
      <c r="AC4601" t="s">
        <v>4562</v>
      </c>
      <c r="AD4601" t="s">
        <v>24258</v>
      </c>
      <c r="AE4601" t="s">
        <v>4655</v>
      </c>
      <c r="AF4601" t="s">
        <v>4563</v>
      </c>
      <c r="AG4601" t="s">
        <v>4564</v>
      </c>
      <c r="AH4601" t="s">
        <v>5197</v>
      </c>
      <c r="AI4601" t="s">
        <v>1602</v>
      </c>
      <c r="AJ4601" t="s">
        <v>2249</v>
      </c>
      <c r="AK4601" t="s">
        <v>24260</v>
      </c>
      <c r="AL4601" s="13" t="s">
        <v>2257</v>
      </c>
      <c r="AM4601">
        <v>1</v>
      </c>
      <c r="AN4601" s="15" t="s">
        <v>3874</v>
      </c>
    </row>
    <row r="4602" spans="1:40" x14ac:dyDescent="0.3">
      <c r="A4602" s="10" t="str">
        <f>HYPERLINK("http://www.washoecounty.gov/assessor/cama/?parid=140-431-07&amp;CardNumber=1","140-431-07")</f>
        <v>140-431-07</v>
      </c>
      <c r="B4602" t="s">
        <v>4655</v>
      </c>
      <c r="C4602" t="s">
        <v>24261</v>
      </c>
      <c r="D4602" s="1">
        <v>40256</v>
      </c>
      <c r="E4602" s="2">
        <v>452000</v>
      </c>
      <c r="F4602" t="s">
        <v>4553</v>
      </c>
      <c r="G4602" s="17" t="str">
        <f>HYPERLINK("https://www.washoecounty.gov/assessor/cama/?command=sales&amp;parid=14043107","3861749")</f>
        <v>3861749</v>
      </c>
      <c r="H4602" t="s">
        <v>2248</v>
      </c>
      <c r="I4602">
        <v>2005</v>
      </c>
      <c r="J4602">
        <v>2005</v>
      </c>
      <c r="K4602" t="s">
        <v>4554</v>
      </c>
      <c r="L4602" t="s">
        <v>3974</v>
      </c>
      <c r="M4602" s="2">
        <v>4338</v>
      </c>
      <c r="N4602" t="s">
        <v>5106</v>
      </c>
      <c r="O4602">
        <v>5</v>
      </c>
      <c r="P4602">
        <v>4</v>
      </c>
      <c r="Q4602">
        <v>1</v>
      </c>
      <c r="R4602" t="s">
        <v>5281</v>
      </c>
      <c r="S4602" t="s">
        <v>4898</v>
      </c>
      <c r="T4602" t="s">
        <v>2704</v>
      </c>
      <c r="U4602" t="s">
        <v>162</v>
      </c>
      <c r="V4602" s="2">
        <v>714</v>
      </c>
      <c r="W4602" t="s">
        <v>4655</v>
      </c>
      <c r="X4602" s="2">
        <v>0</v>
      </c>
      <c r="Y4602">
        <v>20</v>
      </c>
      <c r="Z4602" t="s">
        <v>5107</v>
      </c>
      <c r="AA4602" s="3">
        <v>0.24795684218406699</v>
      </c>
      <c r="AB4602" t="s">
        <v>24262</v>
      </c>
      <c r="AC4602" t="s">
        <v>4562</v>
      </c>
      <c r="AD4602" t="s">
        <v>24261</v>
      </c>
      <c r="AE4602" t="s">
        <v>4655</v>
      </c>
      <c r="AF4602" t="s">
        <v>4563</v>
      </c>
      <c r="AG4602" t="s">
        <v>4564</v>
      </c>
      <c r="AH4602" t="s">
        <v>5197</v>
      </c>
      <c r="AI4602" t="s">
        <v>2009</v>
      </c>
      <c r="AJ4602" t="s">
        <v>2249</v>
      </c>
      <c r="AK4602" t="s">
        <v>24263</v>
      </c>
      <c r="AL4602" s="13" t="s">
        <v>2257</v>
      </c>
      <c r="AM4602">
        <v>1</v>
      </c>
      <c r="AN4602" s="15" t="s">
        <v>3874</v>
      </c>
    </row>
    <row r="4603" spans="1:40" x14ac:dyDescent="0.3">
      <c r="A4603" s="10" t="str">
        <f>HYPERLINK("http://www.washoecounty.gov/assessor/cama/?parid=140-432-21&amp;CardNumber=1","140-432-21")</f>
        <v>140-432-21</v>
      </c>
      <c r="B4603" t="s">
        <v>4655</v>
      </c>
      <c r="C4603" t="s">
        <v>24264</v>
      </c>
      <c r="D4603" s="1">
        <v>40193</v>
      </c>
      <c r="E4603" s="2">
        <v>440000</v>
      </c>
      <c r="F4603" t="s">
        <v>4567</v>
      </c>
      <c r="G4603" s="17" t="str">
        <f>HYPERLINK("https://www.washoecounty.gov/assessor/cama/?command=sales&amp;parid=14043221","3840026")</f>
        <v>3840026</v>
      </c>
      <c r="H4603" t="s">
        <v>2248</v>
      </c>
      <c r="I4603">
        <v>2004</v>
      </c>
      <c r="J4603">
        <v>2004</v>
      </c>
      <c r="K4603" t="s">
        <v>4554</v>
      </c>
      <c r="L4603" t="s">
        <v>3974</v>
      </c>
      <c r="M4603" s="2">
        <v>4338</v>
      </c>
      <c r="N4603" t="s">
        <v>5106</v>
      </c>
      <c r="O4603">
        <v>5</v>
      </c>
      <c r="P4603">
        <v>4</v>
      </c>
      <c r="Q4603">
        <v>1</v>
      </c>
      <c r="R4603" t="s">
        <v>5281</v>
      </c>
      <c r="S4603" t="s">
        <v>4898</v>
      </c>
      <c r="T4603" t="s">
        <v>2704</v>
      </c>
      <c r="U4603" t="s">
        <v>162</v>
      </c>
      <c r="V4603" s="2">
        <v>714</v>
      </c>
      <c r="W4603" t="s">
        <v>4655</v>
      </c>
      <c r="X4603" s="2">
        <v>0</v>
      </c>
      <c r="Y4603">
        <v>20</v>
      </c>
      <c r="Z4603" t="s">
        <v>5107</v>
      </c>
      <c r="AA4603" s="3">
        <v>0.27187785506248502</v>
      </c>
      <c r="AB4603" t="s">
        <v>24265</v>
      </c>
      <c r="AC4603" t="s">
        <v>4562</v>
      </c>
      <c r="AD4603" t="s">
        <v>24264</v>
      </c>
      <c r="AE4603" t="s">
        <v>4655</v>
      </c>
      <c r="AF4603" t="s">
        <v>4563</v>
      </c>
      <c r="AG4603" t="s">
        <v>4564</v>
      </c>
      <c r="AH4603" t="s">
        <v>5197</v>
      </c>
      <c r="AI4603" t="s">
        <v>24266</v>
      </c>
      <c r="AJ4603" t="s">
        <v>2249</v>
      </c>
      <c r="AK4603" t="s">
        <v>24267</v>
      </c>
      <c r="AL4603" s="13" t="s">
        <v>2257</v>
      </c>
      <c r="AM4603">
        <v>1</v>
      </c>
      <c r="AN4603" s="15" t="s">
        <v>3874</v>
      </c>
    </row>
    <row r="4604" spans="1:40" x14ac:dyDescent="0.3">
      <c r="A4604" s="10" t="str">
        <f>HYPERLINK("http://www.washoecounty.gov/assessor/cama/?parid=140-441-07&amp;CardNumber=1","140-441-07")</f>
        <v>140-441-07</v>
      </c>
      <c r="B4604" t="s">
        <v>4655</v>
      </c>
      <c r="C4604" t="s">
        <v>24268</v>
      </c>
      <c r="D4604" s="1">
        <v>40501</v>
      </c>
      <c r="E4604" s="2">
        <v>255000</v>
      </c>
      <c r="F4604" t="s">
        <v>4567</v>
      </c>
      <c r="G4604" s="17" t="str">
        <f>HYPERLINK("https://www.washoecounty.gov/assessor/cama/?command=sales&amp;parid=14044107","3945059")</f>
        <v>3945059</v>
      </c>
      <c r="H4604" t="s">
        <v>4036</v>
      </c>
      <c r="I4604">
        <v>2004</v>
      </c>
      <c r="J4604">
        <v>2004</v>
      </c>
      <c r="K4604" t="s">
        <v>4554</v>
      </c>
      <c r="L4604" t="s">
        <v>3974</v>
      </c>
      <c r="M4604" s="2">
        <v>2560</v>
      </c>
      <c r="N4604" t="s">
        <v>3147</v>
      </c>
      <c r="O4604">
        <v>5</v>
      </c>
      <c r="P4604">
        <v>3</v>
      </c>
      <c r="Q4604">
        <v>0</v>
      </c>
      <c r="R4604" t="s">
        <v>5281</v>
      </c>
      <c r="S4604" t="s">
        <v>4898</v>
      </c>
      <c r="T4604" t="s">
        <v>2704</v>
      </c>
      <c r="U4604" t="s">
        <v>5631</v>
      </c>
      <c r="V4604" s="2">
        <v>651</v>
      </c>
      <c r="W4604" t="s">
        <v>4655</v>
      </c>
      <c r="X4604" s="2">
        <v>0</v>
      </c>
      <c r="Y4604">
        <v>20</v>
      </c>
      <c r="Z4604" t="s">
        <v>5107</v>
      </c>
      <c r="AA4604" s="3">
        <v>0.17086777091026301</v>
      </c>
      <c r="AB4604" t="s">
        <v>24269</v>
      </c>
      <c r="AC4604" t="s">
        <v>4562</v>
      </c>
      <c r="AD4604" t="s">
        <v>24270</v>
      </c>
      <c r="AE4604" t="s">
        <v>4655</v>
      </c>
      <c r="AF4604" t="s">
        <v>4563</v>
      </c>
      <c r="AG4604" t="s">
        <v>4564</v>
      </c>
      <c r="AH4604" t="s">
        <v>5197</v>
      </c>
      <c r="AI4604" t="s">
        <v>4655</v>
      </c>
      <c r="AJ4604" t="s">
        <v>3553</v>
      </c>
      <c r="AK4604" t="s">
        <v>24271</v>
      </c>
      <c r="AL4604" s="13" t="s">
        <v>2257</v>
      </c>
      <c r="AM4604">
        <v>1</v>
      </c>
      <c r="AN4604" s="15" t="s">
        <v>3554</v>
      </c>
    </row>
    <row r="4605" spans="1:40" x14ac:dyDescent="0.3">
      <c r="A4605" s="10" t="str">
        <f>HYPERLINK("http://www.washoecounty.gov/assessor/cama/?parid=140-441-09&amp;CardNumber=1","140-441-09")</f>
        <v>140-441-09</v>
      </c>
      <c r="B4605" t="s">
        <v>4655</v>
      </c>
      <c r="C4605" t="s">
        <v>24272</v>
      </c>
      <c r="D4605" s="1">
        <v>40445</v>
      </c>
      <c r="E4605" s="2">
        <v>250000</v>
      </c>
      <c r="F4605" t="s">
        <v>4567</v>
      </c>
      <c r="G4605" s="17" t="str">
        <f>HYPERLINK("https://www.washoecounty.gov/assessor/cama/?command=sales&amp;parid=14044109","3926246")</f>
        <v>3926246</v>
      </c>
      <c r="H4605" t="s">
        <v>5444</v>
      </c>
      <c r="I4605">
        <v>2004</v>
      </c>
      <c r="J4605">
        <v>2004</v>
      </c>
      <c r="K4605" t="s">
        <v>4554</v>
      </c>
      <c r="L4605" t="s">
        <v>3974</v>
      </c>
      <c r="M4605" s="2">
        <v>2481</v>
      </c>
      <c r="N4605" t="s">
        <v>3147</v>
      </c>
      <c r="O4605">
        <v>4</v>
      </c>
      <c r="P4605">
        <v>2</v>
      </c>
      <c r="Q4605">
        <v>1</v>
      </c>
      <c r="R4605" t="s">
        <v>5281</v>
      </c>
      <c r="S4605" t="s">
        <v>4898</v>
      </c>
      <c r="T4605" t="s">
        <v>2704</v>
      </c>
      <c r="U4605" t="s">
        <v>5631</v>
      </c>
      <c r="V4605" s="2">
        <v>792</v>
      </c>
      <c r="W4605" t="s">
        <v>4655</v>
      </c>
      <c r="X4605" s="2">
        <v>0</v>
      </c>
      <c r="Y4605">
        <v>20</v>
      </c>
      <c r="Z4605" t="s">
        <v>5107</v>
      </c>
      <c r="AA4605" s="3">
        <v>0.161202937364578</v>
      </c>
      <c r="AB4605" t="s">
        <v>24273</v>
      </c>
      <c r="AC4605" t="s">
        <v>4562</v>
      </c>
      <c r="AD4605" t="s">
        <v>24272</v>
      </c>
      <c r="AE4605" t="s">
        <v>4655</v>
      </c>
      <c r="AF4605" t="s">
        <v>4563</v>
      </c>
      <c r="AG4605" t="s">
        <v>4564</v>
      </c>
      <c r="AH4605" t="s">
        <v>5197</v>
      </c>
      <c r="AI4605" t="s">
        <v>24274</v>
      </c>
      <c r="AJ4605" t="s">
        <v>3553</v>
      </c>
      <c r="AK4605" t="s">
        <v>24275</v>
      </c>
      <c r="AL4605" s="13" t="s">
        <v>2257</v>
      </c>
      <c r="AM4605" s="14">
        <v>1</v>
      </c>
      <c r="AN4605" s="15" t="s">
        <v>3554</v>
      </c>
    </row>
    <row r="4606" spans="1:40" x14ac:dyDescent="0.3">
      <c r="A4606" s="10" t="str">
        <f>HYPERLINK("http://www.washoecounty.gov/assessor/cama/?parid=140-441-10&amp;CardNumber=1","140-441-10")</f>
        <v>140-441-10</v>
      </c>
      <c r="B4606" t="s">
        <v>4655</v>
      </c>
      <c r="C4606" t="s">
        <v>24276</v>
      </c>
      <c r="D4606" s="1">
        <v>40393</v>
      </c>
      <c r="E4606" s="2">
        <v>250100</v>
      </c>
      <c r="F4606" t="s">
        <v>4553</v>
      </c>
      <c r="G4606" s="17" t="str">
        <f>HYPERLINK("https://www.washoecounty.gov/assessor/cama/?command=sales&amp;parid=14044110","3908047")</f>
        <v>3908047</v>
      </c>
      <c r="H4606" t="s">
        <v>4036</v>
      </c>
      <c r="I4606">
        <v>2004</v>
      </c>
      <c r="J4606">
        <v>2004</v>
      </c>
      <c r="K4606" t="s">
        <v>4554</v>
      </c>
      <c r="L4606" t="s">
        <v>4555</v>
      </c>
      <c r="M4606" s="2">
        <v>1856</v>
      </c>
      <c r="N4606" t="s">
        <v>3147</v>
      </c>
      <c r="O4606">
        <v>3</v>
      </c>
      <c r="P4606">
        <v>2</v>
      </c>
      <c r="Q4606">
        <v>0</v>
      </c>
      <c r="R4606" t="s">
        <v>5281</v>
      </c>
      <c r="S4606" t="s">
        <v>4898</v>
      </c>
      <c r="T4606" t="s">
        <v>2704</v>
      </c>
      <c r="U4606" t="s">
        <v>4560</v>
      </c>
      <c r="V4606" s="2">
        <v>675</v>
      </c>
      <c r="W4606" t="s">
        <v>4655</v>
      </c>
      <c r="X4606" s="2">
        <v>0</v>
      </c>
      <c r="Y4606">
        <v>20</v>
      </c>
      <c r="Z4606" t="s">
        <v>5107</v>
      </c>
      <c r="AA4606" s="3">
        <v>0.17920109629631001</v>
      </c>
      <c r="AB4606" t="s">
        <v>24277</v>
      </c>
      <c r="AC4606" t="s">
        <v>4575</v>
      </c>
      <c r="AD4606" t="s">
        <v>24278</v>
      </c>
      <c r="AE4606" t="s">
        <v>4655</v>
      </c>
      <c r="AF4606" t="s">
        <v>4563</v>
      </c>
      <c r="AG4606" t="s">
        <v>4564</v>
      </c>
      <c r="AH4606" t="s">
        <v>5197</v>
      </c>
      <c r="AI4606" t="s">
        <v>24279</v>
      </c>
      <c r="AJ4606" t="s">
        <v>3553</v>
      </c>
      <c r="AK4606" t="s">
        <v>24280</v>
      </c>
      <c r="AL4606" s="13" t="s">
        <v>2257</v>
      </c>
      <c r="AM4606" s="14">
        <v>1</v>
      </c>
      <c r="AN4606" s="15" t="s">
        <v>3554</v>
      </c>
    </row>
    <row r="4607" spans="1:40" x14ac:dyDescent="0.3">
      <c r="A4607" s="10" t="str">
        <f>HYPERLINK("http://www.washoecounty.gov/assessor/cama/?parid=140-442-03&amp;CardNumber=1","140-442-03")</f>
        <v>140-442-03</v>
      </c>
      <c r="B4607" t="s">
        <v>4655</v>
      </c>
      <c r="C4607" t="s">
        <v>24281</v>
      </c>
      <c r="D4607" s="1">
        <v>40389</v>
      </c>
      <c r="E4607" s="2">
        <v>269900</v>
      </c>
      <c r="F4607" t="s">
        <v>4553</v>
      </c>
      <c r="G4607" s="17" t="str">
        <f>HYPERLINK("https://www.washoecounty.gov/assessor/cama/?command=sales&amp;parid=14044203","3907315")</f>
        <v>3907315</v>
      </c>
      <c r="H4607" t="s">
        <v>4036</v>
      </c>
      <c r="I4607">
        <v>2004</v>
      </c>
      <c r="J4607">
        <v>2004</v>
      </c>
      <c r="K4607" t="s">
        <v>4554</v>
      </c>
      <c r="L4607" t="s">
        <v>3974</v>
      </c>
      <c r="M4607" s="2">
        <v>2560</v>
      </c>
      <c r="N4607" t="s">
        <v>3147</v>
      </c>
      <c r="O4607">
        <v>5</v>
      </c>
      <c r="P4607">
        <v>3</v>
      </c>
      <c r="Q4607">
        <v>0</v>
      </c>
      <c r="R4607" t="s">
        <v>5281</v>
      </c>
      <c r="S4607" t="s">
        <v>4898</v>
      </c>
      <c r="T4607" t="s">
        <v>2704</v>
      </c>
      <c r="U4607" t="s">
        <v>5631</v>
      </c>
      <c r="V4607" s="2">
        <v>651</v>
      </c>
      <c r="W4607" t="s">
        <v>4655</v>
      </c>
      <c r="X4607" s="2">
        <v>0</v>
      </c>
      <c r="Y4607">
        <v>20</v>
      </c>
      <c r="Z4607" t="s">
        <v>5107</v>
      </c>
      <c r="AA4607" s="3">
        <v>0.35144627094268799</v>
      </c>
      <c r="AB4607" t="s">
        <v>24282</v>
      </c>
      <c r="AC4607" t="s">
        <v>4562</v>
      </c>
      <c r="AD4607" t="s">
        <v>24281</v>
      </c>
      <c r="AE4607" t="s">
        <v>4655</v>
      </c>
      <c r="AF4607" t="s">
        <v>4563</v>
      </c>
      <c r="AG4607" t="s">
        <v>4564</v>
      </c>
      <c r="AH4607" t="s">
        <v>5197</v>
      </c>
      <c r="AI4607" t="s">
        <v>934</v>
      </c>
      <c r="AJ4607" t="s">
        <v>3553</v>
      </c>
      <c r="AK4607" t="s">
        <v>24283</v>
      </c>
      <c r="AL4607" s="13" t="s">
        <v>2257</v>
      </c>
      <c r="AM4607" s="14">
        <v>1</v>
      </c>
      <c r="AN4607" s="15" t="s">
        <v>3554</v>
      </c>
    </row>
    <row r="4608" spans="1:40" x14ac:dyDescent="0.3">
      <c r="A4608" s="10" t="str">
        <f>HYPERLINK("http://www.washoecounty.gov/assessor/cama/?parid=140-442-10&amp;CardNumber=1","140-442-10")</f>
        <v>140-442-10</v>
      </c>
      <c r="B4608" t="s">
        <v>4655</v>
      </c>
      <c r="C4608" t="s">
        <v>24284</v>
      </c>
      <c r="D4608" s="1">
        <v>40235</v>
      </c>
      <c r="E4608" s="2">
        <v>250000</v>
      </c>
      <c r="F4608" t="s">
        <v>4567</v>
      </c>
      <c r="G4608" s="17" t="str">
        <f>HYPERLINK("https://www.washoecounty.gov/assessor/cama/?command=sales&amp;parid=14044210","3853522")</f>
        <v>3853522</v>
      </c>
      <c r="H4608" t="s">
        <v>4036</v>
      </c>
      <c r="I4608">
        <v>2004</v>
      </c>
      <c r="J4608">
        <v>2004</v>
      </c>
      <c r="K4608" t="s">
        <v>4554</v>
      </c>
      <c r="L4608" t="s">
        <v>3974</v>
      </c>
      <c r="M4608" s="2">
        <v>2560</v>
      </c>
      <c r="N4608" t="s">
        <v>3147</v>
      </c>
      <c r="O4608">
        <v>4</v>
      </c>
      <c r="P4608">
        <v>3</v>
      </c>
      <c r="Q4608">
        <v>0</v>
      </c>
      <c r="R4608" t="s">
        <v>5281</v>
      </c>
      <c r="S4608" t="s">
        <v>4898</v>
      </c>
      <c r="T4608" t="s">
        <v>2704</v>
      </c>
      <c r="U4608" t="s">
        <v>5631</v>
      </c>
      <c r="V4608" s="2">
        <v>651</v>
      </c>
      <c r="W4608" t="s">
        <v>4655</v>
      </c>
      <c r="X4608" s="2">
        <v>0</v>
      </c>
      <c r="Y4608">
        <v>20</v>
      </c>
      <c r="Z4608" t="s">
        <v>5107</v>
      </c>
      <c r="AA4608" s="3">
        <v>0.20215794444084201</v>
      </c>
      <c r="AB4608" t="s">
        <v>24285</v>
      </c>
      <c r="AC4608" t="s">
        <v>4562</v>
      </c>
      <c r="AD4608" t="s">
        <v>24284</v>
      </c>
      <c r="AE4608" t="s">
        <v>4655</v>
      </c>
      <c r="AF4608" t="s">
        <v>4563</v>
      </c>
      <c r="AG4608" t="s">
        <v>4564</v>
      </c>
      <c r="AH4608" t="s">
        <v>5197</v>
      </c>
      <c r="AI4608" t="s">
        <v>24286</v>
      </c>
      <c r="AJ4608" t="s">
        <v>3553</v>
      </c>
      <c r="AK4608" t="s">
        <v>24287</v>
      </c>
      <c r="AL4608" s="13" t="s">
        <v>2257</v>
      </c>
      <c r="AM4608" s="14">
        <v>1</v>
      </c>
      <c r="AN4608" s="15" t="s">
        <v>3554</v>
      </c>
    </row>
    <row r="4609" spans="1:40" x14ac:dyDescent="0.3">
      <c r="A4609" s="10" t="str">
        <f>HYPERLINK("http://www.washoecounty.gov/assessor/cama/?parid=140-451-05&amp;CardNumber=1","140-451-05")</f>
        <v>140-451-05</v>
      </c>
      <c r="B4609" t="s">
        <v>4655</v>
      </c>
      <c r="C4609" t="s">
        <v>24288</v>
      </c>
      <c r="D4609" s="1">
        <v>40466</v>
      </c>
      <c r="E4609" s="2">
        <v>249000</v>
      </c>
      <c r="F4609" t="s">
        <v>4567</v>
      </c>
      <c r="G4609" s="17" t="str">
        <f>HYPERLINK("https://www.washoecounty.gov/assessor/cama/?command=sales&amp;parid=14045105","3933681")</f>
        <v>3933681</v>
      </c>
      <c r="H4609" t="s">
        <v>2729</v>
      </c>
      <c r="I4609">
        <v>2005</v>
      </c>
      <c r="J4609">
        <v>2005</v>
      </c>
      <c r="K4609" t="s">
        <v>4554</v>
      </c>
      <c r="L4609" t="s">
        <v>4555</v>
      </c>
      <c r="M4609" s="2">
        <v>2364</v>
      </c>
      <c r="N4609" t="s">
        <v>5280</v>
      </c>
      <c r="O4609">
        <v>4</v>
      </c>
      <c r="P4609">
        <v>2</v>
      </c>
      <c r="Q4609">
        <v>0</v>
      </c>
      <c r="R4609" t="s">
        <v>5281</v>
      </c>
      <c r="S4609" t="s">
        <v>4898</v>
      </c>
      <c r="T4609" t="s">
        <v>2704</v>
      </c>
      <c r="U4609" t="s">
        <v>4560</v>
      </c>
      <c r="V4609" s="2">
        <v>700</v>
      </c>
      <c r="W4609" t="s">
        <v>4655</v>
      </c>
      <c r="X4609" s="2">
        <v>0</v>
      </c>
      <c r="Y4609">
        <v>20</v>
      </c>
      <c r="Z4609" t="s">
        <v>5107</v>
      </c>
      <c r="AA4609" s="3">
        <v>0.31854912638664201</v>
      </c>
      <c r="AB4609" t="s">
        <v>24289</v>
      </c>
      <c r="AC4609" t="s">
        <v>4562</v>
      </c>
      <c r="AD4609" t="s">
        <v>24290</v>
      </c>
      <c r="AE4609" t="s">
        <v>4655</v>
      </c>
      <c r="AF4609" t="s">
        <v>4563</v>
      </c>
      <c r="AG4609" t="s">
        <v>4564</v>
      </c>
      <c r="AH4609" t="s">
        <v>5197</v>
      </c>
      <c r="AI4609" t="s">
        <v>24291</v>
      </c>
      <c r="AJ4609" t="s">
        <v>2730</v>
      </c>
      <c r="AK4609" t="s">
        <v>24292</v>
      </c>
      <c r="AL4609" s="13" t="s">
        <v>2257</v>
      </c>
      <c r="AM4609" s="14">
        <v>1</v>
      </c>
      <c r="AN4609" s="15" t="s">
        <v>3611</v>
      </c>
    </row>
    <row r="4610" spans="1:40" x14ac:dyDescent="0.3">
      <c r="A4610" s="10" t="str">
        <f>HYPERLINK("http://www.washoecounty.gov/assessor/cama/?parid=140-451-12&amp;CardNumber=1","140-451-12")</f>
        <v>140-451-12</v>
      </c>
      <c r="B4610" t="s">
        <v>4655</v>
      </c>
      <c r="C4610" t="s">
        <v>24293</v>
      </c>
      <c r="D4610" s="1">
        <v>40277</v>
      </c>
      <c r="E4610" s="2">
        <v>275000</v>
      </c>
      <c r="F4610" t="s">
        <v>4567</v>
      </c>
      <c r="G4610" s="17" t="str">
        <f>HYPERLINK("https://www.washoecounty.gov/assessor/cama/?command=sales&amp;parid=14045112","3869373")</f>
        <v>3869373</v>
      </c>
      <c r="H4610" t="s">
        <v>2729</v>
      </c>
      <c r="I4610">
        <v>2005</v>
      </c>
      <c r="J4610">
        <v>2005</v>
      </c>
      <c r="K4610" t="s">
        <v>4554</v>
      </c>
      <c r="L4610" t="s">
        <v>3974</v>
      </c>
      <c r="M4610" s="2">
        <v>3041</v>
      </c>
      <c r="N4610" t="s">
        <v>5280</v>
      </c>
      <c r="O4610">
        <v>5</v>
      </c>
      <c r="P4610">
        <v>3</v>
      </c>
      <c r="Q4610">
        <v>1</v>
      </c>
      <c r="R4610" t="s">
        <v>5281</v>
      </c>
      <c r="S4610" t="s">
        <v>4898</v>
      </c>
      <c r="T4610" t="s">
        <v>2704</v>
      </c>
      <c r="U4610" t="s">
        <v>5631</v>
      </c>
      <c r="V4610" s="2">
        <v>661</v>
      </c>
      <c r="W4610" t="s">
        <v>4655</v>
      </c>
      <c r="X4610" s="2">
        <v>0</v>
      </c>
      <c r="Y4610">
        <v>20</v>
      </c>
      <c r="Z4610" t="s">
        <v>5107</v>
      </c>
      <c r="AA4610" s="3">
        <v>0.17327824234962463</v>
      </c>
      <c r="AB4610" t="s">
        <v>24294</v>
      </c>
      <c r="AC4610" t="s">
        <v>4575</v>
      </c>
      <c r="AD4610" t="s">
        <v>24295</v>
      </c>
      <c r="AE4610" t="s">
        <v>4655</v>
      </c>
      <c r="AF4610" t="s">
        <v>4563</v>
      </c>
      <c r="AG4610" t="s">
        <v>4564</v>
      </c>
      <c r="AH4610">
        <v>89511</v>
      </c>
      <c r="AI4610" t="s">
        <v>24296</v>
      </c>
      <c r="AJ4610" t="s">
        <v>2730</v>
      </c>
      <c r="AK4610" t="s">
        <v>24297</v>
      </c>
      <c r="AL4610" s="13" t="s">
        <v>2257</v>
      </c>
      <c r="AM4610">
        <v>1</v>
      </c>
      <c r="AN4610" s="15" t="s">
        <v>3611</v>
      </c>
    </row>
    <row r="4611" spans="1:40" x14ac:dyDescent="0.3">
      <c r="A4611" s="10" t="str">
        <f>HYPERLINK("http://www.washoecounty.gov/assessor/cama/?parid=140-452-04&amp;CardNumber=1","140-452-04")</f>
        <v>140-452-04</v>
      </c>
      <c r="B4611" t="s">
        <v>4655</v>
      </c>
      <c r="C4611" t="s">
        <v>24298</v>
      </c>
      <c r="D4611" s="1">
        <v>40235</v>
      </c>
      <c r="E4611" s="2">
        <v>315000</v>
      </c>
      <c r="F4611" t="s">
        <v>4553</v>
      </c>
      <c r="G4611" s="17" t="str">
        <f>HYPERLINK("https://www.washoecounty.gov/assessor/cama/?command=sales&amp;parid=14045204","3853456")</f>
        <v>3853456</v>
      </c>
      <c r="H4611" t="s">
        <v>2729</v>
      </c>
      <c r="I4611">
        <v>2005</v>
      </c>
      <c r="J4611">
        <v>2005</v>
      </c>
      <c r="K4611" t="s">
        <v>4554</v>
      </c>
      <c r="L4611" t="s">
        <v>3974</v>
      </c>
      <c r="M4611" s="2">
        <v>3374</v>
      </c>
      <c r="N4611" t="s">
        <v>5280</v>
      </c>
      <c r="O4611">
        <v>5</v>
      </c>
      <c r="P4611">
        <v>3</v>
      </c>
      <c r="Q4611">
        <v>0</v>
      </c>
      <c r="R4611" t="s">
        <v>5281</v>
      </c>
      <c r="S4611" t="s">
        <v>4898</v>
      </c>
      <c r="T4611" t="s">
        <v>2704</v>
      </c>
      <c r="U4611" t="s">
        <v>5631</v>
      </c>
      <c r="V4611" s="2">
        <v>658</v>
      </c>
      <c r="W4611" t="s">
        <v>4655</v>
      </c>
      <c r="X4611" s="2">
        <v>0</v>
      </c>
      <c r="Y4611">
        <v>20</v>
      </c>
      <c r="Z4611" t="s">
        <v>5107</v>
      </c>
      <c r="AA4611" s="3">
        <v>0.16558769345283508</v>
      </c>
      <c r="AB4611" t="s">
        <v>24299</v>
      </c>
      <c r="AC4611" t="s">
        <v>4562</v>
      </c>
      <c r="AD4611" t="s">
        <v>24300</v>
      </c>
      <c r="AE4611" t="s">
        <v>4655</v>
      </c>
      <c r="AF4611" t="s">
        <v>4563</v>
      </c>
      <c r="AG4611" t="s">
        <v>4564</v>
      </c>
      <c r="AH4611" t="s">
        <v>5197</v>
      </c>
      <c r="AI4611" t="s">
        <v>5203</v>
      </c>
      <c r="AJ4611" t="s">
        <v>2730</v>
      </c>
      <c r="AK4611" t="s">
        <v>24301</v>
      </c>
      <c r="AL4611" s="13" t="s">
        <v>2257</v>
      </c>
      <c r="AM4611" s="14">
        <v>1</v>
      </c>
      <c r="AN4611" s="15" t="s">
        <v>3611</v>
      </c>
    </row>
    <row r="4612" spans="1:40" x14ac:dyDescent="0.3">
      <c r="A4612" s="10" t="str">
        <f>HYPERLINK("http://www.washoecounty.gov/assessor/cama/?parid=140-453-08&amp;CardNumber=1","140-453-08")</f>
        <v>140-453-08</v>
      </c>
      <c r="B4612" t="s">
        <v>4655</v>
      </c>
      <c r="C4612" t="s">
        <v>24302</v>
      </c>
      <c r="D4612" s="1">
        <v>40296</v>
      </c>
      <c r="E4612" s="2">
        <v>260000</v>
      </c>
      <c r="F4612" t="s">
        <v>4567</v>
      </c>
      <c r="G4612" s="17" t="str">
        <f>HYPERLINK("https://www.washoecounty.gov/assessor/cama/?command=sales&amp;parid=14045308","3875752")</f>
        <v>3875752</v>
      </c>
      <c r="H4612" t="s">
        <v>2729</v>
      </c>
      <c r="I4612">
        <v>2005</v>
      </c>
      <c r="J4612">
        <v>2005</v>
      </c>
      <c r="K4612" t="s">
        <v>4554</v>
      </c>
      <c r="L4612" t="s">
        <v>4555</v>
      </c>
      <c r="M4612" s="2">
        <v>2364</v>
      </c>
      <c r="N4612" t="s">
        <v>5280</v>
      </c>
      <c r="O4612">
        <v>4</v>
      </c>
      <c r="P4612">
        <v>2</v>
      </c>
      <c r="Q4612">
        <v>0</v>
      </c>
      <c r="R4612" t="s">
        <v>5281</v>
      </c>
      <c r="S4612" t="s">
        <v>4898</v>
      </c>
      <c r="T4612" t="s">
        <v>2704</v>
      </c>
      <c r="U4612" t="s">
        <v>4560</v>
      </c>
      <c r="V4612" s="2">
        <v>700</v>
      </c>
      <c r="W4612" t="s">
        <v>4655</v>
      </c>
      <c r="X4612" s="2">
        <v>0</v>
      </c>
      <c r="Y4612">
        <v>20</v>
      </c>
      <c r="Z4612" t="s">
        <v>5107</v>
      </c>
      <c r="AA4612" s="3">
        <v>0.160973370075226</v>
      </c>
      <c r="AB4612" t="s">
        <v>24303</v>
      </c>
      <c r="AC4612" t="s">
        <v>4575</v>
      </c>
      <c r="AD4612" t="s">
        <v>24302</v>
      </c>
      <c r="AE4612" t="s">
        <v>4655</v>
      </c>
      <c r="AF4612" t="s">
        <v>4563</v>
      </c>
      <c r="AG4612" t="s">
        <v>4564</v>
      </c>
      <c r="AH4612" t="s">
        <v>5197</v>
      </c>
      <c r="AI4612" t="s">
        <v>24304</v>
      </c>
      <c r="AJ4612" t="s">
        <v>2730</v>
      </c>
      <c r="AK4612" t="s">
        <v>24305</v>
      </c>
      <c r="AL4612" s="13" t="s">
        <v>2257</v>
      </c>
      <c r="AM4612">
        <v>1</v>
      </c>
      <c r="AN4612" s="15" t="s">
        <v>3611</v>
      </c>
    </row>
    <row r="4613" spans="1:40" x14ac:dyDescent="0.3">
      <c r="A4613" s="10" t="str">
        <f>HYPERLINK("http://www.washoecounty.gov/assessor/cama/?parid=140-461-09&amp;CardNumber=1","140-461-09")</f>
        <v>140-461-09</v>
      </c>
      <c r="B4613" t="s">
        <v>4655</v>
      </c>
      <c r="C4613" t="s">
        <v>24306</v>
      </c>
      <c r="D4613" s="1">
        <v>40410</v>
      </c>
      <c r="E4613" s="2">
        <v>200000</v>
      </c>
      <c r="F4613" t="s">
        <v>4567</v>
      </c>
      <c r="G4613" s="17" t="str">
        <f>HYPERLINK("https://www.washoecounty.gov/assessor/cama/?command=sales&amp;parid=14046109","3914340")</f>
        <v>3914340</v>
      </c>
      <c r="H4613" t="s">
        <v>2729</v>
      </c>
      <c r="I4613">
        <v>2005</v>
      </c>
      <c r="J4613">
        <v>2005</v>
      </c>
      <c r="K4613" t="s">
        <v>4554</v>
      </c>
      <c r="L4613" t="s">
        <v>4555</v>
      </c>
      <c r="M4613" s="2">
        <v>1783</v>
      </c>
      <c r="N4613" t="s">
        <v>5280</v>
      </c>
      <c r="O4613">
        <v>3</v>
      </c>
      <c r="P4613">
        <v>2</v>
      </c>
      <c r="Q4613">
        <v>0</v>
      </c>
      <c r="R4613" t="s">
        <v>5281</v>
      </c>
      <c r="S4613" t="s">
        <v>4898</v>
      </c>
      <c r="T4613" t="s">
        <v>2704</v>
      </c>
      <c r="U4613" t="s">
        <v>4560</v>
      </c>
      <c r="V4613" s="2">
        <v>696</v>
      </c>
      <c r="W4613" t="s">
        <v>4655</v>
      </c>
      <c r="X4613" s="2">
        <v>0</v>
      </c>
      <c r="Y4613">
        <v>20</v>
      </c>
      <c r="Z4613" t="s">
        <v>5107</v>
      </c>
      <c r="AA4613" s="3">
        <v>0.16147841513156891</v>
      </c>
      <c r="AB4613" t="s">
        <v>24307</v>
      </c>
      <c r="AC4613" t="s">
        <v>4562</v>
      </c>
      <c r="AD4613" t="s">
        <v>24306</v>
      </c>
      <c r="AE4613" t="s">
        <v>4655</v>
      </c>
      <c r="AF4613" t="s">
        <v>4563</v>
      </c>
      <c r="AG4613" t="s">
        <v>4564</v>
      </c>
      <c r="AH4613" t="s">
        <v>5197</v>
      </c>
      <c r="AI4613" t="s">
        <v>24308</v>
      </c>
      <c r="AJ4613" t="s">
        <v>2730</v>
      </c>
      <c r="AK4613" t="s">
        <v>24309</v>
      </c>
      <c r="AL4613" s="13" t="s">
        <v>2257</v>
      </c>
      <c r="AM4613" s="14">
        <v>1</v>
      </c>
      <c r="AN4613" s="15" t="s">
        <v>3611</v>
      </c>
    </row>
    <row r="4614" spans="1:40" x14ac:dyDescent="0.3">
      <c r="A4614" s="10" t="str">
        <f>HYPERLINK("http://www.washoecounty.gov/assessor/cama/?parid=140-461-10&amp;CardNumber=1","140-461-10")</f>
        <v>140-461-10</v>
      </c>
      <c r="B4614" t="s">
        <v>4655</v>
      </c>
      <c r="C4614" t="s">
        <v>24310</v>
      </c>
      <c r="D4614" s="1">
        <v>40206</v>
      </c>
      <c r="E4614" s="2">
        <v>349000</v>
      </c>
      <c r="F4614" t="s">
        <v>4567</v>
      </c>
      <c r="G4614" s="17" t="str">
        <f>HYPERLINK("https://www.washoecounty.gov/assessor/cama/?command=sales&amp;parid=14046110","3843679")</f>
        <v>3843679</v>
      </c>
      <c r="H4614" t="s">
        <v>2729</v>
      </c>
      <c r="I4614">
        <v>2005</v>
      </c>
      <c r="J4614">
        <v>2005</v>
      </c>
      <c r="K4614" t="s">
        <v>4554</v>
      </c>
      <c r="L4614" t="s">
        <v>3974</v>
      </c>
      <c r="M4614" s="2">
        <v>3374</v>
      </c>
      <c r="N4614" t="s">
        <v>5280</v>
      </c>
      <c r="O4614">
        <v>4</v>
      </c>
      <c r="P4614">
        <v>2</v>
      </c>
      <c r="Q4614">
        <v>1</v>
      </c>
      <c r="R4614" t="s">
        <v>5281</v>
      </c>
      <c r="S4614" t="s">
        <v>4898</v>
      </c>
      <c r="T4614" t="s">
        <v>2704</v>
      </c>
      <c r="U4614" t="s">
        <v>5631</v>
      </c>
      <c r="V4614" s="2">
        <v>658</v>
      </c>
      <c r="W4614" t="s">
        <v>4655</v>
      </c>
      <c r="X4614" s="2">
        <v>0</v>
      </c>
      <c r="Y4614">
        <v>20</v>
      </c>
      <c r="Z4614" t="s">
        <v>5107</v>
      </c>
      <c r="AA4614" s="3">
        <v>0.16147841513156891</v>
      </c>
      <c r="AB4614" t="s">
        <v>24311</v>
      </c>
      <c r="AC4614" t="s">
        <v>4562</v>
      </c>
      <c r="AD4614" t="s">
        <v>24310</v>
      </c>
      <c r="AE4614" t="s">
        <v>4655</v>
      </c>
      <c r="AF4614" t="s">
        <v>4563</v>
      </c>
      <c r="AG4614" t="s">
        <v>4564</v>
      </c>
      <c r="AH4614" t="s">
        <v>5197</v>
      </c>
      <c r="AI4614" t="s">
        <v>24312</v>
      </c>
      <c r="AJ4614" t="s">
        <v>2730</v>
      </c>
      <c r="AK4614" t="s">
        <v>24313</v>
      </c>
      <c r="AL4614" s="13" t="s">
        <v>2257</v>
      </c>
      <c r="AM4614">
        <v>1</v>
      </c>
      <c r="AN4614" s="15" t="s">
        <v>3611</v>
      </c>
    </row>
    <row r="4615" spans="1:40" x14ac:dyDescent="0.3">
      <c r="A4615" s="10" t="str">
        <f>HYPERLINK("http://www.washoecounty.gov/assessor/cama/?parid=140-462-08&amp;CardNumber=1","140-462-08")</f>
        <v>140-462-08</v>
      </c>
      <c r="B4615" t="s">
        <v>4655</v>
      </c>
      <c r="C4615" t="s">
        <v>24314</v>
      </c>
      <c r="D4615" s="1">
        <v>40227</v>
      </c>
      <c r="E4615" s="2">
        <v>230000</v>
      </c>
      <c r="F4615" t="s">
        <v>4567</v>
      </c>
      <c r="G4615" s="17" t="str">
        <f>HYPERLINK("https://www.washoecounty.gov/assessor/cama/?command=sales&amp;parid=14046208","3850821")</f>
        <v>3850821</v>
      </c>
      <c r="H4615" t="s">
        <v>2729</v>
      </c>
      <c r="I4615">
        <v>2005</v>
      </c>
      <c r="J4615">
        <v>2005</v>
      </c>
      <c r="K4615" t="s">
        <v>4554</v>
      </c>
      <c r="L4615" t="s">
        <v>4555</v>
      </c>
      <c r="M4615" s="2">
        <v>2364</v>
      </c>
      <c r="N4615" t="s">
        <v>5280</v>
      </c>
      <c r="O4615">
        <v>4</v>
      </c>
      <c r="P4615">
        <v>2</v>
      </c>
      <c r="Q4615">
        <v>0</v>
      </c>
      <c r="R4615" t="s">
        <v>5281</v>
      </c>
      <c r="S4615" t="s">
        <v>4898</v>
      </c>
      <c r="T4615" t="s">
        <v>2704</v>
      </c>
      <c r="U4615" t="s">
        <v>4560</v>
      </c>
      <c r="V4615" s="2">
        <v>700</v>
      </c>
      <c r="W4615" t="s">
        <v>4655</v>
      </c>
      <c r="X4615" s="2">
        <v>0</v>
      </c>
      <c r="Y4615">
        <v>20</v>
      </c>
      <c r="Z4615" t="s">
        <v>5107</v>
      </c>
      <c r="AA4615" s="3">
        <v>0.23087695240974401</v>
      </c>
      <c r="AB4615" t="s">
        <v>24315</v>
      </c>
      <c r="AC4615" t="s">
        <v>4562</v>
      </c>
      <c r="AD4615" t="s">
        <v>24314</v>
      </c>
      <c r="AE4615" t="s">
        <v>4655</v>
      </c>
      <c r="AF4615" t="s">
        <v>4563</v>
      </c>
      <c r="AG4615" t="s">
        <v>4564</v>
      </c>
      <c r="AH4615" t="s">
        <v>5197</v>
      </c>
      <c r="AI4615" t="s">
        <v>4655</v>
      </c>
      <c r="AJ4615" t="s">
        <v>2730</v>
      </c>
      <c r="AK4615" t="s">
        <v>24316</v>
      </c>
      <c r="AL4615" s="13" t="s">
        <v>2257</v>
      </c>
      <c r="AM4615">
        <v>1</v>
      </c>
      <c r="AN4615" s="15" t="s">
        <v>3611</v>
      </c>
    </row>
    <row r="4616" spans="1:40" x14ac:dyDescent="0.3">
      <c r="A4616" s="10" t="str">
        <f>HYPERLINK("http://www.washoecounty.gov/assessor/cama/?parid=140-462-15&amp;CardNumber=1","140-462-15")</f>
        <v>140-462-15</v>
      </c>
      <c r="B4616" t="s">
        <v>4655</v>
      </c>
      <c r="C4616" t="s">
        <v>24317</v>
      </c>
      <c r="D4616" s="1">
        <v>40290</v>
      </c>
      <c r="E4616" s="2">
        <v>200000</v>
      </c>
      <c r="F4616" t="s">
        <v>4567</v>
      </c>
      <c r="G4616" s="17" t="str">
        <f>HYPERLINK("https://www.washoecounty.gov/assessor/cama/?command=sales&amp;parid=14046215","3873834")</f>
        <v>3873834</v>
      </c>
      <c r="H4616" t="s">
        <v>2729</v>
      </c>
      <c r="I4616">
        <v>2005</v>
      </c>
      <c r="J4616">
        <v>2005</v>
      </c>
      <c r="K4616" t="s">
        <v>4554</v>
      </c>
      <c r="L4616" t="s">
        <v>4555</v>
      </c>
      <c r="M4616" s="2">
        <v>2364</v>
      </c>
      <c r="N4616" t="s">
        <v>5280</v>
      </c>
      <c r="O4616">
        <v>4</v>
      </c>
      <c r="P4616">
        <v>2</v>
      </c>
      <c r="Q4616">
        <v>0</v>
      </c>
      <c r="R4616" t="s">
        <v>5281</v>
      </c>
      <c r="S4616" t="s">
        <v>4898</v>
      </c>
      <c r="T4616" t="s">
        <v>2704</v>
      </c>
      <c r="U4616" t="s">
        <v>4560</v>
      </c>
      <c r="V4616" s="2">
        <v>700</v>
      </c>
      <c r="W4616" t="s">
        <v>4655</v>
      </c>
      <c r="X4616" s="2">
        <v>0</v>
      </c>
      <c r="Y4616">
        <v>20</v>
      </c>
      <c r="Z4616" t="s">
        <v>5107</v>
      </c>
      <c r="AA4616" s="3">
        <v>0.23556014895439101</v>
      </c>
      <c r="AB4616" t="s">
        <v>24318</v>
      </c>
      <c r="AC4616" t="s">
        <v>4562</v>
      </c>
      <c r="AD4616" t="s">
        <v>24317</v>
      </c>
      <c r="AE4616" t="s">
        <v>4655</v>
      </c>
      <c r="AF4616" t="s">
        <v>4563</v>
      </c>
      <c r="AG4616" t="s">
        <v>4564</v>
      </c>
      <c r="AH4616" t="s">
        <v>5197</v>
      </c>
      <c r="AI4616" t="s">
        <v>949</v>
      </c>
      <c r="AJ4616" t="s">
        <v>2730</v>
      </c>
      <c r="AK4616" t="s">
        <v>24319</v>
      </c>
      <c r="AL4616" s="13" t="s">
        <v>2257</v>
      </c>
      <c r="AM4616">
        <v>1</v>
      </c>
      <c r="AN4616" s="15" t="s">
        <v>3611</v>
      </c>
    </row>
    <row r="4617" spans="1:40" x14ac:dyDescent="0.3">
      <c r="A4617" s="10" t="str">
        <f>HYPERLINK("http://www.washoecounty.gov/assessor/cama/?parid=140-462-15&amp;CardNumber=1","140-462-15")</f>
        <v>140-462-15</v>
      </c>
      <c r="B4617" t="s">
        <v>4655</v>
      </c>
      <c r="C4617" t="s">
        <v>24317</v>
      </c>
      <c r="D4617" s="1">
        <v>40358</v>
      </c>
      <c r="E4617" s="2">
        <v>260000</v>
      </c>
      <c r="F4617" t="s">
        <v>4567</v>
      </c>
      <c r="G4617" s="17" t="str">
        <f>HYPERLINK("https://www.washoecounty.gov/assessor/cama/?command=sales&amp;parid=14046215","3896203")</f>
        <v>3896203</v>
      </c>
      <c r="H4617" t="s">
        <v>2729</v>
      </c>
      <c r="I4617">
        <v>2005</v>
      </c>
      <c r="J4617">
        <v>2005</v>
      </c>
      <c r="K4617" t="s">
        <v>4554</v>
      </c>
      <c r="L4617" t="s">
        <v>4555</v>
      </c>
      <c r="M4617" s="2">
        <v>2364</v>
      </c>
      <c r="N4617" t="s">
        <v>5280</v>
      </c>
      <c r="O4617">
        <v>4</v>
      </c>
      <c r="P4617">
        <v>2</v>
      </c>
      <c r="Q4617">
        <v>0</v>
      </c>
      <c r="R4617" t="s">
        <v>5281</v>
      </c>
      <c r="S4617" t="s">
        <v>4898</v>
      </c>
      <c r="T4617" t="s">
        <v>2704</v>
      </c>
      <c r="U4617" t="s">
        <v>4560</v>
      </c>
      <c r="V4617" s="2">
        <v>700</v>
      </c>
      <c r="W4617" t="s">
        <v>4655</v>
      </c>
      <c r="X4617" s="2">
        <v>0</v>
      </c>
      <c r="Y4617">
        <v>20</v>
      </c>
      <c r="Z4617" t="s">
        <v>5107</v>
      </c>
      <c r="AA4617" s="3">
        <v>0.23556014895439101</v>
      </c>
      <c r="AB4617" t="s">
        <v>24318</v>
      </c>
      <c r="AC4617" t="s">
        <v>4562</v>
      </c>
      <c r="AD4617" t="s">
        <v>24317</v>
      </c>
      <c r="AE4617" t="s">
        <v>4655</v>
      </c>
      <c r="AF4617" t="s">
        <v>4563</v>
      </c>
      <c r="AG4617" t="s">
        <v>4564</v>
      </c>
      <c r="AH4617" t="s">
        <v>5197</v>
      </c>
      <c r="AI4617" t="s">
        <v>949</v>
      </c>
      <c r="AJ4617" t="s">
        <v>2730</v>
      </c>
      <c r="AK4617" t="s">
        <v>24319</v>
      </c>
      <c r="AL4617" s="13" t="s">
        <v>2257</v>
      </c>
      <c r="AM4617">
        <v>1</v>
      </c>
      <c r="AN4617" s="15" t="s">
        <v>3611</v>
      </c>
    </row>
    <row r="4618" spans="1:40" x14ac:dyDescent="0.3">
      <c r="A4618" s="10" t="str">
        <f>HYPERLINK("http://www.washoecounty.gov/assessor/cama/?parid=140-472-17&amp;CardNumber=1","140-472-17")</f>
        <v>140-472-17</v>
      </c>
      <c r="B4618" t="s">
        <v>4655</v>
      </c>
      <c r="C4618" t="s">
        <v>24320</v>
      </c>
      <c r="D4618" s="1">
        <v>40477</v>
      </c>
      <c r="E4618" s="2">
        <v>195000</v>
      </c>
      <c r="F4618" t="s">
        <v>4567</v>
      </c>
      <c r="G4618" s="17" t="str">
        <f>HYPERLINK("https://www.washoecounty.gov/assessor/cama/?command=sales&amp;parid=14047217","3936635")</f>
        <v>3936635</v>
      </c>
      <c r="H4618" t="s">
        <v>1926</v>
      </c>
      <c r="I4618">
        <v>2005</v>
      </c>
      <c r="J4618">
        <v>2005</v>
      </c>
      <c r="K4618" t="s">
        <v>4554</v>
      </c>
      <c r="L4618" t="s">
        <v>3974</v>
      </c>
      <c r="M4618" s="2">
        <v>1960</v>
      </c>
      <c r="N4618" t="s">
        <v>5280</v>
      </c>
      <c r="O4618">
        <v>4</v>
      </c>
      <c r="P4618">
        <v>2</v>
      </c>
      <c r="Q4618">
        <v>1</v>
      </c>
      <c r="R4618" t="s">
        <v>5281</v>
      </c>
      <c r="S4618" t="s">
        <v>4898</v>
      </c>
      <c r="T4618" t="s">
        <v>4559</v>
      </c>
      <c r="U4618" t="s">
        <v>5631</v>
      </c>
      <c r="V4618" s="2">
        <v>460</v>
      </c>
      <c r="W4618" t="s">
        <v>4655</v>
      </c>
      <c r="X4618" s="2">
        <v>0</v>
      </c>
      <c r="Y4618">
        <v>20</v>
      </c>
      <c r="Z4618" t="s">
        <v>5107</v>
      </c>
      <c r="AA4618" s="3">
        <v>0.22281910479068801</v>
      </c>
      <c r="AB4618" t="s">
        <v>24321</v>
      </c>
      <c r="AC4618" t="s">
        <v>4562</v>
      </c>
      <c r="AD4618" t="s">
        <v>24320</v>
      </c>
      <c r="AE4618" t="s">
        <v>4655</v>
      </c>
      <c r="AF4618" t="s">
        <v>4563</v>
      </c>
      <c r="AG4618" t="s">
        <v>4564</v>
      </c>
      <c r="AH4618" t="s">
        <v>5197</v>
      </c>
      <c r="AI4618" t="s">
        <v>24322</v>
      </c>
      <c r="AJ4618" t="s">
        <v>5032</v>
      </c>
      <c r="AK4618" t="s">
        <v>24323</v>
      </c>
      <c r="AL4618" s="13" t="s">
        <v>2257</v>
      </c>
      <c r="AM4618">
        <v>1</v>
      </c>
      <c r="AN4618" s="15" t="s">
        <v>3611</v>
      </c>
    </row>
    <row r="4619" spans="1:40" x14ac:dyDescent="0.3">
      <c r="A4619" s="10" t="str">
        <f>HYPERLINK("http://www.washoecounty.gov/assessor/cama/?parid=140-473-02&amp;CardNumber=1","140-473-02")</f>
        <v>140-473-02</v>
      </c>
      <c r="B4619" t="s">
        <v>4655</v>
      </c>
      <c r="C4619" t="s">
        <v>24324</v>
      </c>
      <c r="D4619" s="1">
        <v>40518</v>
      </c>
      <c r="E4619" s="2">
        <v>175000</v>
      </c>
      <c r="F4619" t="s">
        <v>4553</v>
      </c>
      <c r="G4619" s="17" t="str">
        <f>HYPERLINK("https://www.washoecounty.gov/assessor/cama/?command=sales&amp;parid=14047302","3949867")</f>
        <v>3949867</v>
      </c>
      <c r="H4619" t="s">
        <v>1926</v>
      </c>
      <c r="I4619">
        <v>2005</v>
      </c>
      <c r="J4619">
        <v>2005</v>
      </c>
      <c r="K4619" t="s">
        <v>4554</v>
      </c>
      <c r="L4619" t="s">
        <v>3974</v>
      </c>
      <c r="M4619" s="2">
        <v>1817</v>
      </c>
      <c r="N4619" t="s">
        <v>5280</v>
      </c>
      <c r="O4619">
        <v>3</v>
      </c>
      <c r="P4619">
        <v>2</v>
      </c>
      <c r="Q4619">
        <v>1</v>
      </c>
      <c r="R4619" t="s">
        <v>5281</v>
      </c>
      <c r="S4619" t="s">
        <v>4898</v>
      </c>
      <c r="T4619" t="s">
        <v>4559</v>
      </c>
      <c r="U4619" t="s">
        <v>5631</v>
      </c>
      <c r="V4619" s="2">
        <v>441</v>
      </c>
      <c r="W4619" t="s">
        <v>4655</v>
      </c>
      <c r="X4619" s="2">
        <v>0</v>
      </c>
      <c r="Y4619">
        <v>20</v>
      </c>
      <c r="Z4619" t="s">
        <v>5107</v>
      </c>
      <c r="AA4619" s="3">
        <v>0.114830121397972</v>
      </c>
      <c r="AB4619" t="s">
        <v>24325</v>
      </c>
      <c r="AC4619" t="s">
        <v>4562</v>
      </c>
      <c r="AD4619" t="s">
        <v>24324</v>
      </c>
      <c r="AE4619" t="s">
        <v>4655</v>
      </c>
      <c r="AF4619" t="s">
        <v>4563</v>
      </c>
      <c r="AG4619" t="s">
        <v>4564</v>
      </c>
      <c r="AH4619" t="s">
        <v>5197</v>
      </c>
      <c r="AI4619" t="s">
        <v>4145</v>
      </c>
      <c r="AJ4619" t="s">
        <v>5032</v>
      </c>
      <c r="AK4619" t="s">
        <v>24326</v>
      </c>
      <c r="AL4619" s="13" t="s">
        <v>2257</v>
      </c>
      <c r="AM4619">
        <v>1</v>
      </c>
      <c r="AN4619" s="15" t="s">
        <v>3611</v>
      </c>
    </row>
    <row r="4620" spans="1:40" x14ac:dyDescent="0.3">
      <c r="A4620" s="10" t="str">
        <f>HYPERLINK("http://www.washoecounty.gov/assessor/cama/?parid=140-481-04&amp;CardNumber=1","140-481-04")</f>
        <v>140-481-04</v>
      </c>
      <c r="B4620" t="s">
        <v>4655</v>
      </c>
      <c r="C4620" t="s">
        <v>24327</v>
      </c>
      <c r="D4620" s="1">
        <v>40515</v>
      </c>
      <c r="E4620" s="2">
        <v>300000</v>
      </c>
      <c r="F4620" t="s">
        <v>4553</v>
      </c>
      <c r="G4620" s="17" t="str">
        <f>HYPERLINK("https://www.washoecounty.gov/assessor/cama/?command=sales&amp;parid=14048104","3949289")</f>
        <v>3949289</v>
      </c>
      <c r="H4620" t="s">
        <v>2731</v>
      </c>
      <c r="I4620">
        <v>2005</v>
      </c>
      <c r="J4620">
        <v>2005</v>
      </c>
      <c r="K4620" t="s">
        <v>4554</v>
      </c>
      <c r="L4620" t="s">
        <v>3974</v>
      </c>
      <c r="M4620" s="2">
        <v>3374</v>
      </c>
      <c r="N4620" t="s">
        <v>5280</v>
      </c>
      <c r="O4620">
        <v>4</v>
      </c>
      <c r="P4620">
        <v>3</v>
      </c>
      <c r="Q4620">
        <v>0</v>
      </c>
      <c r="R4620" t="s">
        <v>5281</v>
      </c>
      <c r="S4620" t="s">
        <v>4898</v>
      </c>
      <c r="T4620" t="s">
        <v>2704</v>
      </c>
      <c r="U4620" t="s">
        <v>5631</v>
      </c>
      <c r="V4620" s="2">
        <v>658</v>
      </c>
      <c r="W4620" t="s">
        <v>4655</v>
      </c>
      <c r="X4620" s="2">
        <v>0</v>
      </c>
      <c r="Y4620">
        <v>20</v>
      </c>
      <c r="Z4620" t="s">
        <v>5107</v>
      </c>
      <c r="AA4620" s="3">
        <v>0.173898071050644</v>
      </c>
      <c r="AB4620" t="s">
        <v>24328</v>
      </c>
      <c r="AC4620" t="s">
        <v>4562</v>
      </c>
      <c r="AD4620" t="s">
        <v>24327</v>
      </c>
      <c r="AE4620" t="s">
        <v>4655</v>
      </c>
      <c r="AF4620" t="s">
        <v>4563</v>
      </c>
      <c r="AG4620" t="s">
        <v>4564</v>
      </c>
      <c r="AH4620" t="s">
        <v>5197</v>
      </c>
      <c r="AI4620" t="s">
        <v>1602</v>
      </c>
      <c r="AJ4620" t="s">
        <v>170</v>
      </c>
      <c r="AK4620" t="s">
        <v>24329</v>
      </c>
      <c r="AL4620" s="13" t="s">
        <v>2257</v>
      </c>
      <c r="AM4620" s="14">
        <v>1</v>
      </c>
      <c r="AN4620" s="15" t="s">
        <v>3611</v>
      </c>
    </row>
    <row r="4621" spans="1:40" x14ac:dyDescent="0.3">
      <c r="A4621" s="10" t="str">
        <f>HYPERLINK("http://www.washoecounty.gov/assessor/cama/?parid=140-481-08&amp;CardNumber=1","140-481-08")</f>
        <v>140-481-08</v>
      </c>
      <c r="B4621" t="s">
        <v>4655</v>
      </c>
      <c r="C4621" t="s">
        <v>24330</v>
      </c>
      <c r="D4621" s="1">
        <v>40415</v>
      </c>
      <c r="E4621" s="2">
        <v>180000</v>
      </c>
      <c r="F4621" t="s">
        <v>4567</v>
      </c>
      <c r="G4621" s="17" t="str">
        <f>HYPERLINK("https://www.washoecounty.gov/assessor/cama/?command=sales&amp;parid=14048108","3915628")</f>
        <v>3915628</v>
      </c>
      <c r="H4621" t="s">
        <v>2731</v>
      </c>
      <c r="I4621">
        <v>2005</v>
      </c>
      <c r="J4621">
        <v>2005</v>
      </c>
      <c r="K4621" t="s">
        <v>4554</v>
      </c>
      <c r="L4621" t="s">
        <v>4555</v>
      </c>
      <c r="M4621" s="2">
        <v>2073</v>
      </c>
      <c r="N4621" t="s">
        <v>5280</v>
      </c>
      <c r="O4621">
        <v>4</v>
      </c>
      <c r="P4621">
        <v>2</v>
      </c>
      <c r="Q4621">
        <v>0</v>
      </c>
      <c r="R4621" t="s">
        <v>5281</v>
      </c>
      <c r="S4621" t="s">
        <v>4898</v>
      </c>
      <c r="T4621" t="s">
        <v>2704</v>
      </c>
      <c r="U4621" t="s">
        <v>4560</v>
      </c>
      <c r="V4621" s="2">
        <v>696</v>
      </c>
      <c r="W4621" t="s">
        <v>4655</v>
      </c>
      <c r="X4621" s="2">
        <v>0</v>
      </c>
      <c r="Y4621">
        <v>20</v>
      </c>
      <c r="Z4621" t="s">
        <v>5107</v>
      </c>
      <c r="AA4621" s="3">
        <v>0.18452708423137701</v>
      </c>
      <c r="AB4621" t="s">
        <v>24331</v>
      </c>
      <c r="AC4621" t="s">
        <v>4575</v>
      </c>
      <c r="AD4621" t="s">
        <v>3269</v>
      </c>
      <c r="AE4621" t="s">
        <v>4655</v>
      </c>
      <c r="AF4621" t="s">
        <v>4563</v>
      </c>
      <c r="AG4621" t="s">
        <v>4564</v>
      </c>
      <c r="AH4621">
        <v>89511</v>
      </c>
      <c r="AI4621" t="s">
        <v>4655</v>
      </c>
      <c r="AJ4621" t="s">
        <v>170</v>
      </c>
      <c r="AK4621" t="s">
        <v>24332</v>
      </c>
      <c r="AL4621" s="13" t="s">
        <v>2257</v>
      </c>
      <c r="AM4621">
        <v>1</v>
      </c>
      <c r="AN4621" s="15" t="s">
        <v>3611</v>
      </c>
    </row>
    <row r="4622" spans="1:40" x14ac:dyDescent="0.3">
      <c r="A4622" s="10" t="str">
        <f>HYPERLINK("http://www.washoecounty.gov/assessor/cama/?parid=140-481-09&amp;CardNumber=1","140-481-09")</f>
        <v>140-481-09</v>
      </c>
      <c r="B4622" t="s">
        <v>4655</v>
      </c>
      <c r="C4622" t="s">
        <v>24333</v>
      </c>
      <c r="D4622" s="1">
        <v>40220</v>
      </c>
      <c r="E4622" s="2">
        <v>327500</v>
      </c>
      <c r="F4622" t="s">
        <v>4567</v>
      </c>
      <c r="G4622" s="17" t="str">
        <f>HYPERLINK("https://www.washoecounty.gov/assessor/cama/?command=sales&amp;parid=14048109","3848184")</f>
        <v>3848184</v>
      </c>
      <c r="H4622" t="s">
        <v>2731</v>
      </c>
      <c r="I4622">
        <v>2005</v>
      </c>
      <c r="J4622">
        <v>2005</v>
      </c>
      <c r="K4622" t="s">
        <v>4554</v>
      </c>
      <c r="L4622" t="s">
        <v>3974</v>
      </c>
      <c r="M4622" s="2">
        <v>3041</v>
      </c>
      <c r="N4622" t="s">
        <v>5280</v>
      </c>
      <c r="O4622">
        <v>4</v>
      </c>
      <c r="P4622">
        <v>2</v>
      </c>
      <c r="Q4622">
        <v>1</v>
      </c>
      <c r="R4622" t="s">
        <v>5281</v>
      </c>
      <c r="S4622" t="s">
        <v>4898</v>
      </c>
      <c r="T4622" t="s">
        <v>2704</v>
      </c>
      <c r="U4622" t="s">
        <v>5631</v>
      </c>
      <c r="V4622" s="2">
        <v>661</v>
      </c>
      <c r="W4622" t="s">
        <v>4655</v>
      </c>
      <c r="X4622" s="2">
        <v>0</v>
      </c>
      <c r="Y4622">
        <v>20</v>
      </c>
      <c r="Z4622" t="s">
        <v>5107</v>
      </c>
      <c r="AA4622" s="3">
        <v>0.17844352126121499</v>
      </c>
      <c r="AB4622" t="s">
        <v>24334</v>
      </c>
      <c r="AC4622" t="s">
        <v>4562</v>
      </c>
      <c r="AD4622" t="s">
        <v>24335</v>
      </c>
      <c r="AE4622" t="s">
        <v>4655</v>
      </c>
      <c r="AF4622" t="s">
        <v>4563</v>
      </c>
      <c r="AG4622" t="s">
        <v>4564</v>
      </c>
      <c r="AH4622" t="s">
        <v>5197</v>
      </c>
      <c r="AI4622" t="s">
        <v>24336</v>
      </c>
      <c r="AJ4622" t="s">
        <v>170</v>
      </c>
      <c r="AK4622" t="s">
        <v>24337</v>
      </c>
      <c r="AL4622" s="13" t="s">
        <v>2257</v>
      </c>
      <c r="AM4622">
        <v>1</v>
      </c>
      <c r="AN4622" s="15" t="s">
        <v>3611</v>
      </c>
    </row>
    <row r="4623" spans="1:40" x14ac:dyDescent="0.3">
      <c r="A4623" s="10" t="str">
        <f>HYPERLINK("http://www.washoecounty.gov/assessor/cama/?parid=140-482-01&amp;CardNumber=1","140-482-01")</f>
        <v>140-482-01</v>
      </c>
      <c r="B4623" t="s">
        <v>4655</v>
      </c>
      <c r="C4623" t="s">
        <v>24338</v>
      </c>
      <c r="D4623" s="1">
        <v>40525</v>
      </c>
      <c r="E4623" s="2">
        <v>230000</v>
      </c>
      <c r="F4623" t="s">
        <v>4553</v>
      </c>
      <c r="G4623" s="17" t="str">
        <f>HYPERLINK("https://www.washoecounty.gov/assessor/cama/?command=sales&amp;parid=14048201","3952713")</f>
        <v>3952713</v>
      </c>
      <c r="H4623" t="s">
        <v>2731</v>
      </c>
      <c r="I4623">
        <v>2005</v>
      </c>
      <c r="J4623">
        <v>2005</v>
      </c>
      <c r="K4623" t="s">
        <v>4554</v>
      </c>
      <c r="L4623" t="s">
        <v>4555</v>
      </c>
      <c r="M4623" s="2">
        <v>2364</v>
      </c>
      <c r="N4623" t="s">
        <v>5280</v>
      </c>
      <c r="O4623">
        <v>4</v>
      </c>
      <c r="P4623">
        <v>2</v>
      </c>
      <c r="Q4623">
        <v>0</v>
      </c>
      <c r="R4623" t="s">
        <v>5281</v>
      </c>
      <c r="S4623" t="s">
        <v>4898</v>
      </c>
      <c r="T4623" t="s">
        <v>2704</v>
      </c>
      <c r="U4623" t="s">
        <v>4560</v>
      </c>
      <c r="V4623" s="2">
        <v>700</v>
      </c>
      <c r="W4623" t="s">
        <v>4655</v>
      </c>
      <c r="X4623" s="2">
        <v>0</v>
      </c>
      <c r="Y4623">
        <v>20</v>
      </c>
      <c r="Z4623" t="s">
        <v>5107</v>
      </c>
      <c r="AA4623" s="3">
        <v>0.23491735756397247</v>
      </c>
      <c r="AB4623" t="s">
        <v>24339</v>
      </c>
      <c r="AC4623" t="s">
        <v>4562</v>
      </c>
      <c r="AD4623" t="s">
        <v>24338</v>
      </c>
      <c r="AE4623" t="s">
        <v>4655</v>
      </c>
      <c r="AF4623" t="s">
        <v>4563</v>
      </c>
      <c r="AG4623" t="s">
        <v>4564</v>
      </c>
      <c r="AH4623" t="s">
        <v>5197</v>
      </c>
      <c r="AI4623" t="s">
        <v>24340</v>
      </c>
      <c r="AJ4623" t="s">
        <v>170</v>
      </c>
      <c r="AK4623" t="s">
        <v>24341</v>
      </c>
      <c r="AL4623" s="13" t="s">
        <v>2257</v>
      </c>
      <c r="AM4623" s="14">
        <v>1</v>
      </c>
      <c r="AN4623" s="15" t="s">
        <v>3611</v>
      </c>
    </row>
    <row r="4624" spans="1:40" x14ac:dyDescent="0.3">
      <c r="A4624" s="10" t="str">
        <f>HYPERLINK("http://www.washoecounty.gov/assessor/cama/?parid=140-482-05&amp;CardNumber=1","140-482-05")</f>
        <v>140-482-05</v>
      </c>
      <c r="B4624" t="s">
        <v>4655</v>
      </c>
      <c r="C4624" t="s">
        <v>24342</v>
      </c>
      <c r="D4624" s="1">
        <v>40275</v>
      </c>
      <c r="E4624" s="2">
        <v>269000</v>
      </c>
      <c r="F4624" t="s">
        <v>4567</v>
      </c>
      <c r="G4624" s="17" t="str">
        <f>HYPERLINK("https://www.washoecounty.gov/assessor/cama/?command=sales&amp;parid=14048205","3868564")</f>
        <v>3868564</v>
      </c>
      <c r="H4624" t="s">
        <v>2731</v>
      </c>
      <c r="I4624">
        <v>2005</v>
      </c>
      <c r="J4624">
        <v>2005</v>
      </c>
      <c r="K4624" t="s">
        <v>4554</v>
      </c>
      <c r="L4624" t="s">
        <v>4555</v>
      </c>
      <c r="M4624" s="2">
        <v>2364</v>
      </c>
      <c r="N4624" t="s">
        <v>5280</v>
      </c>
      <c r="O4624">
        <v>4</v>
      </c>
      <c r="P4624">
        <v>2</v>
      </c>
      <c r="Q4624">
        <v>0</v>
      </c>
      <c r="R4624" t="s">
        <v>5281</v>
      </c>
      <c r="S4624" t="s">
        <v>4898</v>
      </c>
      <c r="T4624" t="s">
        <v>2704</v>
      </c>
      <c r="U4624" t="s">
        <v>4560</v>
      </c>
      <c r="V4624" s="2">
        <v>700</v>
      </c>
      <c r="W4624" t="s">
        <v>4655</v>
      </c>
      <c r="X4624" s="2">
        <v>0</v>
      </c>
      <c r="Y4624">
        <v>20</v>
      </c>
      <c r="Z4624" t="s">
        <v>5107</v>
      </c>
      <c r="AA4624" s="3">
        <v>0.16685032844543499</v>
      </c>
      <c r="AB4624" t="s">
        <v>24343</v>
      </c>
      <c r="AC4624" t="s">
        <v>4562</v>
      </c>
      <c r="AD4624" t="s">
        <v>24344</v>
      </c>
      <c r="AE4624" t="s">
        <v>4655</v>
      </c>
      <c r="AF4624" t="s">
        <v>4563</v>
      </c>
      <c r="AG4624" t="s">
        <v>4564</v>
      </c>
      <c r="AH4624" t="s">
        <v>5197</v>
      </c>
      <c r="AI4624" t="s">
        <v>24345</v>
      </c>
      <c r="AJ4624" t="s">
        <v>170</v>
      </c>
      <c r="AK4624" t="s">
        <v>24346</v>
      </c>
      <c r="AL4624" s="13" t="s">
        <v>2257</v>
      </c>
      <c r="AM4624">
        <v>1</v>
      </c>
      <c r="AN4624" s="15" t="s">
        <v>3611</v>
      </c>
    </row>
    <row r="4625" spans="1:40" x14ac:dyDescent="0.3">
      <c r="A4625" s="10" t="str">
        <f>HYPERLINK("http://www.washoecounty.gov/assessor/cama/?parid=140-482-06&amp;CardNumber=1","140-482-06")</f>
        <v>140-482-06</v>
      </c>
      <c r="B4625" t="s">
        <v>4655</v>
      </c>
      <c r="C4625" t="s">
        <v>24347</v>
      </c>
      <c r="D4625" s="1">
        <v>40466</v>
      </c>
      <c r="E4625" s="2">
        <v>218000</v>
      </c>
      <c r="F4625" t="s">
        <v>4553</v>
      </c>
      <c r="G4625" s="17" t="str">
        <f>HYPERLINK("https://www.washoecounty.gov/assessor/cama/?command=sales&amp;parid=14048206","3933572")</f>
        <v>3933572</v>
      </c>
      <c r="H4625" t="s">
        <v>2731</v>
      </c>
      <c r="I4625">
        <v>2005</v>
      </c>
      <c r="J4625">
        <v>2005</v>
      </c>
      <c r="K4625" t="s">
        <v>4554</v>
      </c>
      <c r="L4625" t="s">
        <v>4555</v>
      </c>
      <c r="M4625" s="2">
        <v>2073</v>
      </c>
      <c r="N4625" t="s">
        <v>5280</v>
      </c>
      <c r="O4625">
        <v>3</v>
      </c>
      <c r="P4625">
        <v>2</v>
      </c>
      <c r="Q4625">
        <v>0</v>
      </c>
      <c r="R4625" t="s">
        <v>5281</v>
      </c>
      <c r="S4625" t="s">
        <v>4898</v>
      </c>
      <c r="T4625" t="s">
        <v>2704</v>
      </c>
      <c r="U4625" t="s">
        <v>4560</v>
      </c>
      <c r="V4625" s="2">
        <v>696</v>
      </c>
      <c r="W4625" t="s">
        <v>4655</v>
      </c>
      <c r="X4625" s="2">
        <v>0</v>
      </c>
      <c r="Y4625">
        <v>20</v>
      </c>
      <c r="Z4625" t="s">
        <v>5107</v>
      </c>
      <c r="AA4625" s="3">
        <v>0.16726353764533997</v>
      </c>
      <c r="AB4625" t="s">
        <v>24348</v>
      </c>
      <c r="AC4625" t="s">
        <v>4562</v>
      </c>
      <c r="AD4625" t="s">
        <v>24349</v>
      </c>
      <c r="AE4625" t="s">
        <v>4655</v>
      </c>
      <c r="AF4625" t="s">
        <v>4563</v>
      </c>
      <c r="AG4625" t="s">
        <v>4564</v>
      </c>
      <c r="AH4625" t="s">
        <v>5197</v>
      </c>
      <c r="AI4625" t="s">
        <v>4794</v>
      </c>
      <c r="AJ4625" t="s">
        <v>170</v>
      </c>
      <c r="AK4625" t="s">
        <v>24350</v>
      </c>
      <c r="AL4625" s="13" t="s">
        <v>2257</v>
      </c>
      <c r="AM4625" s="14">
        <v>1</v>
      </c>
      <c r="AN4625" s="15" t="s">
        <v>3611</v>
      </c>
    </row>
    <row r="4626" spans="1:40" x14ac:dyDescent="0.3">
      <c r="A4626" s="10" t="str">
        <f>HYPERLINK("http://www.washoecounty.gov/assessor/cama/?parid=140-483-01&amp;CardNumber=1","140-483-01")</f>
        <v>140-483-01</v>
      </c>
      <c r="B4626" t="s">
        <v>4655</v>
      </c>
      <c r="C4626" t="s">
        <v>24351</v>
      </c>
      <c r="D4626" s="1">
        <v>40527</v>
      </c>
      <c r="E4626" s="2">
        <v>237500</v>
      </c>
      <c r="F4626" t="s">
        <v>4553</v>
      </c>
      <c r="G4626" s="17" t="str">
        <f>HYPERLINK("https://www.washoecounty.gov/assessor/cama/?command=sales&amp;parid=14048301","3953476")</f>
        <v>3953476</v>
      </c>
      <c r="H4626" t="s">
        <v>2731</v>
      </c>
      <c r="I4626">
        <v>2005</v>
      </c>
      <c r="J4626">
        <v>2005</v>
      </c>
      <c r="K4626" t="s">
        <v>4554</v>
      </c>
      <c r="L4626" t="s">
        <v>4555</v>
      </c>
      <c r="M4626" s="2">
        <v>2364</v>
      </c>
      <c r="N4626" t="s">
        <v>5280</v>
      </c>
      <c r="O4626">
        <v>4</v>
      </c>
      <c r="P4626">
        <v>2</v>
      </c>
      <c r="Q4626">
        <v>0</v>
      </c>
      <c r="R4626" t="s">
        <v>5281</v>
      </c>
      <c r="S4626" t="s">
        <v>4898</v>
      </c>
      <c r="T4626" t="s">
        <v>2704</v>
      </c>
      <c r="U4626" t="s">
        <v>4560</v>
      </c>
      <c r="V4626" s="2">
        <v>700</v>
      </c>
      <c r="W4626" t="s">
        <v>4655</v>
      </c>
      <c r="X4626" s="2">
        <v>0</v>
      </c>
      <c r="Y4626">
        <v>20</v>
      </c>
      <c r="Z4626" t="s">
        <v>5107</v>
      </c>
      <c r="AA4626" s="3">
        <v>0.1633838415145874</v>
      </c>
      <c r="AB4626" t="s">
        <v>24352</v>
      </c>
      <c r="AC4626" t="s">
        <v>4562</v>
      </c>
      <c r="AD4626" t="s">
        <v>24353</v>
      </c>
      <c r="AE4626" t="s">
        <v>4655</v>
      </c>
      <c r="AF4626" t="s">
        <v>4563</v>
      </c>
      <c r="AG4626" t="s">
        <v>4564</v>
      </c>
      <c r="AH4626">
        <v>89501</v>
      </c>
      <c r="AI4626" t="s">
        <v>1602</v>
      </c>
      <c r="AJ4626" t="s">
        <v>170</v>
      </c>
      <c r="AK4626" t="s">
        <v>24354</v>
      </c>
      <c r="AL4626" s="13" t="s">
        <v>2257</v>
      </c>
      <c r="AM4626">
        <v>1</v>
      </c>
      <c r="AN4626" s="15" t="s">
        <v>3611</v>
      </c>
    </row>
    <row r="4627" spans="1:40" x14ac:dyDescent="0.3">
      <c r="A4627" s="10" t="str">
        <f>HYPERLINK("http://www.washoecounty.gov/assessor/cama/?parid=140-483-04&amp;CardNumber=1","140-483-04")</f>
        <v>140-483-04</v>
      </c>
      <c r="B4627" t="s">
        <v>4655</v>
      </c>
      <c r="C4627" t="s">
        <v>24355</v>
      </c>
      <c r="D4627" s="1">
        <v>40347</v>
      </c>
      <c r="E4627" s="2">
        <v>240000</v>
      </c>
      <c r="F4627" t="s">
        <v>4567</v>
      </c>
      <c r="G4627" s="17" t="str">
        <f>HYPERLINK("https://www.washoecounty.gov/assessor/cama/?command=sales&amp;parid=14048304","3893470")</f>
        <v>3893470</v>
      </c>
      <c r="H4627" t="s">
        <v>2731</v>
      </c>
      <c r="I4627">
        <v>2005</v>
      </c>
      <c r="J4627">
        <v>2005</v>
      </c>
      <c r="K4627" t="s">
        <v>4554</v>
      </c>
      <c r="L4627" t="s">
        <v>4555</v>
      </c>
      <c r="M4627" s="2">
        <v>2073</v>
      </c>
      <c r="N4627" t="s">
        <v>5280</v>
      </c>
      <c r="O4627">
        <v>4</v>
      </c>
      <c r="P4627">
        <v>2</v>
      </c>
      <c r="Q4627">
        <v>0</v>
      </c>
      <c r="R4627" t="s">
        <v>5281</v>
      </c>
      <c r="S4627" t="s">
        <v>4898</v>
      </c>
      <c r="T4627" t="s">
        <v>2704</v>
      </c>
      <c r="U4627" t="s">
        <v>4560</v>
      </c>
      <c r="V4627" s="2">
        <v>696</v>
      </c>
      <c r="W4627" t="s">
        <v>4655</v>
      </c>
      <c r="X4627" s="2">
        <v>0</v>
      </c>
      <c r="Y4627">
        <v>20</v>
      </c>
      <c r="Z4627" t="s">
        <v>5107</v>
      </c>
      <c r="AA4627" s="3">
        <v>0.16714875400066401</v>
      </c>
      <c r="AB4627" t="s">
        <v>24356</v>
      </c>
      <c r="AC4627" t="s">
        <v>4562</v>
      </c>
      <c r="AD4627" t="s">
        <v>24355</v>
      </c>
      <c r="AE4627" t="s">
        <v>4655</v>
      </c>
      <c r="AF4627" t="s">
        <v>4563</v>
      </c>
      <c r="AG4627" t="s">
        <v>4564</v>
      </c>
      <c r="AH4627" t="s">
        <v>5197</v>
      </c>
      <c r="AI4627" t="s">
        <v>24357</v>
      </c>
      <c r="AJ4627" t="s">
        <v>170</v>
      </c>
      <c r="AK4627" t="s">
        <v>24358</v>
      </c>
      <c r="AL4627" s="13" t="s">
        <v>2257</v>
      </c>
      <c r="AM4627" s="14">
        <v>1</v>
      </c>
      <c r="AN4627" s="15" t="s">
        <v>3611</v>
      </c>
    </row>
    <row r="4628" spans="1:40" x14ac:dyDescent="0.3">
      <c r="A4628" s="10" t="str">
        <f>HYPERLINK("http://www.washoecounty.gov/assessor/cama/?parid=140-483-05&amp;CardNumber=1","140-483-05")</f>
        <v>140-483-05</v>
      </c>
      <c r="B4628" t="s">
        <v>4655</v>
      </c>
      <c r="C4628" t="s">
        <v>24359</v>
      </c>
      <c r="D4628" s="1">
        <v>40417</v>
      </c>
      <c r="E4628" s="2">
        <v>320000</v>
      </c>
      <c r="F4628" t="s">
        <v>4553</v>
      </c>
      <c r="G4628" s="17" t="str">
        <f>HYPERLINK("https://www.washoecounty.gov/assessor/cama/?command=sales&amp;parid=14048305","3916562")</f>
        <v>3916562</v>
      </c>
      <c r="H4628" t="s">
        <v>2731</v>
      </c>
      <c r="I4628">
        <v>2005</v>
      </c>
      <c r="J4628">
        <v>2005</v>
      </c>
      <c r="K4628" t="s">
        <v>4554</v>
      </c>
      <c r="L4628" t="s">
        <v>3974</v>
      </c>
      <c r="M4628" s="2">
        <v>3374</v>
      </c>
      <c r="N4628" t="s">
        <v>5280</v>
      </c>
      <c r="O4628">
        <v>4</v>
      </c>
      <c r="P4628">
        <v>3</v>
      </c>
      <c r="Q4628">
        <v>0</v>
      </c>
      <c r="R4628" t="s">
        <v>5281</v>
      </c>
      <c r="S4628" t="s">
        <v>4898</v>
      </c>
      <c r="T4628" t="s">
        <v>2704</v>
      </c>
      <c r="U4628" t="s">
        <v>5631</v>
      </c>
      <c r="V4628" s="2">
        <v>658</v>
      </c>
      <c r="W4628" t="s">
        <v>4655</v>
      </c>
      <c r="X4628" s="2">
        <v>0</v>
      </c>
      <c r="Y4628">
        <v>20</v>
      </c>
      <c r="Z4628" t="s">
        <v>5107</v>
      </c>
      <c r="AA4628" s="3">
        <v>0.162603303790092</v>
      </c>
      <c r="AB4628" t="s">
        <v>24360</v>
      </c>
      <c r="AC4628" t="s">
        <v>4575</v>
      </c>
      <c r="AD4628" t="s">
        <v>24359</v>
      </c>
      <c r="AE4628" t="s">
        <v>4655</v>
      </c>
      <c r="AF4628" t="s">
        <v>4563</v>
      </c>
      <c r="AG4628" t="s">
        <v>4564</v>
      </c>
      <c r="AH4628" t="s">
        <v>5197</v>
      </c>
      <c r="AI4628" t="s">
        <v>4655</v>
      </c>
      <c r="AJ4628" t="s">
        <v>170</v>
      </c>
      <c r="AK4628" t="s">
        <v>24361</v>
      </c>
      <c r="AL4628" s="13" t="s">
        <v>2257</v>
      </c>
      <c r="AM4628" s="14">
        <v>1</v>
      </c>
      <c r="AN4628" s="15" t="s">
        <v>3611</v>
      </c>
    </row>
    <row r="4629" spans="1:40" x14ac:dyDescent="0.3">
      <c r="A4629" s="10" t="str">
        <f>HYPERLINK("http://www.washoecounty.gov/assessor/cama/?parid=140-484-02&amp;CardNumber=1","140-484-02")</f>
        <v>140-484-02</v>
      </c>
      <c r="B4629" t="s">
        <v>4655</v>
      </c>
      <c r="C4629" t="s">
        <v>24362</v>
      </c>
      <c r="D4629" s="1">
        <v>40232</v>
      </c>
      <c r="E4629" s="2">
        <v>295000</v>
      </c>
      <c r="F4629" t="s">
        <v>4567</v>
      </c>
      <c r="G4629" s="17" t="str">
        <f>HYPERLINK("https://www.washoecounty.gov/assessor/cama/?command=sales&amp;parid=14048402","3851821")</f>
        <v>3851821</v>
      </c>
      <c r="H4629" t="s">
        <v>2731</v>
      </c>
      <c r="I4629">
        <v>2005</v>
      </c>
      <c r="J4629">
        <v>2005</v>
      </c>
      <c r="K4629" t="s">
        <v>4554</v>
      </c>
      <c r="L4629" t="s">
        <v>3974</v>
      </c>
      <c r="M4629" s="2">
        <v>3041</v>
      </c>
      <c r="N4629" t="s">
        <v>5280</v>
      </c>
      <c r="O4629">
        <v>4</v>
      </c>
      <c r="P4629">
        <v>2</v>
      </c>
      <c r="Q4629">
        <v>1</v>
      </c>
      <c r="R4629" t="s">
        <v>5281</v>
      </c>
      <c r="S4629" t="s">
        <v>4898</v>
      </c>
      <c r="T4629" t="s">
        <v>2704</v>
      </c>
      <c r="U4629" t="s">
        <v>5631</v>
      </c>
      <c r="V4629" s="2">
        <v>661</v>
      </c>
      <c r="W4629" t="s">
        <v>4655</v>
      </c>
      <c r="X4629" s="2">
        <v>0</v>
      </c>
      <c r="Y4629">
        <v>20</v>
      </c>
      <c r="Z4629" t="s">
        <v>5107</v>
      </c>
      <c r="AA4629" s="3">
        <v>0.16923783719539642</v>
      </c>
      <c r="AB4629" t="s">
        <v>24363</v>
      </c>
      <c r="AC4629" t="s">
        <v>4562</v>
      </c>
      <c r="AD4629" t="s">
        <v>24364</v>
      </c>
      <c r="AE4629" t="s">
        <v>4655</v>
      </c>
      <c r="AF4629" t="s">
        <v>4563</v>
      </c>
      <c r="AG4629" t="s">
        <v>4564</v>
      </c>
      <c r="AH4629" t="s">
        <v>5197</v>
      </c>
      <c r="AI4629" t="s">
        <v>24365</v>
      </c>
      <c r="AJ4629" t="s">
        <v>170</v>
      </c>
      <c r="AK4629" t="s">
        <v>24366</v>
      </c>
      <c r="AL4629" s="13" t="s">
        <v>2257</v>
      </c>
      <c r="AM4629" s="14">
        <v>1</v>
      </c>
      <c r="AN4629" s="15" t="s">
        <v>3611</v>
      </c>
    </row>
    <row r="4630" spans="1:40" x14ac:dyDescent="0.3">
      <c r="A4630" s="10" t="str">
        <f>HYPERLINK("http://www.washoecounty.gov/assessor/cama/?parid=140-484-05&amp;CardNumber=1","140-484-05")</f>
        <v>140-484-05</v>
      </c>
      <c r="B4630" t="s">
        <v>4655</v>
      </c>
      <c r="C4630" t="s">
        <v>24367</v>
      </c>
      <c r="D4630" s="1">
        <v>40312</v>
      </c>
      <c r="E4630" s="2">
        <v>315000</v>
      </c>
      <c r="F4630" t="s">
        <v>4553</v>
      </c>
      <c r="G4630" s="17" t="str">
        <f>HYPERLINK("https://www.washoecounty.gov/assessor/cama/?command=sales&amp;parid=14048405","3881417")</f>
        <v>3881417</v>
      </c>
      <c r="H4630" t="s">
        <v>2731</v>
      </c>
      <c r="I4630">
        <v>2005</v>
      </c>
      <c r="J4630">
        <v>2005</v>
      </c>
      <c r="K4630" t="s">
        <v>4554</v>
      </c>
      <c r="L4630" t="s">
        <v>3974</v>
      </c>
      <c r="M4630" s="2">
        <v>3374</v>
      </c>
      <c r="N4630" t="s">
        <v>5280</v>
      </c>
      <c r="O4630">
        <v>4</v>
      </c>
      <c r="P4630">
        <v>2</v>
      </c>
      <c r="Q4630">
        <v>1</v>
      </c>
      <c r="R4630" t="s">
        <v>5281</v>
      </c>
      <c r="S4630" t="s">
        <v>4898</v>
      </c>
      <c r="T4630" t="s">
        <v>2704</v>
      </c>
      <c r="U4630" t="s">
        <v>5631</v>
      </c>
      <c r="V4630" s="2">
        <v>658</v>
      </c>
      <c r="W4630" t="s">
        <v>4655</v>
      </c>
      <c r="X4630" s="2">
        <v>0</v>
      </c>
      <c r="Y4630">
        <v>20</v>
      </c>
      <c r="Z4630" t="s">
        <v>5107</v>
      </c>
      <c r="AA4630" s="3">
        <v>0.16923783719539642</v>
      </c>
      <c r="AB4630" t="s">
        <v>24368</v>
      </c>
      <c r="AC4630" t="s">
        <v>4562</v>
      </c>
      <c r="AD4630" t="s">
        <v>24367</v>
      </c>
      <c r="AE4630" t="s">
        <v>4655</v>
      </c>
      <c r="AF4630" t="s">
        <v>4563</v>
      </c>
      <c r="AG4630" t="s">
        <v>4564</v>
      </c>
      <c r="AH4630" t="s">
        <v>5197</v>
      </c>
      <c r="AI4630" t="s">
        <v>4794</v>
      </c>
      <c r="AJ4630" t="s">
        <v>170</v>
      </c>
      <c r="AK4630" t="s">
        <v>24369</v>
      </c>
      <c r="AL4630" s="13" t="s">
        <v>2257</v>
      </c>
      <c r="AM4630">
        <v>1</v>
      </c>
      <c r="AN4630" s="15" t="s">
        <v>3611</v>
      </c>
    </row>
    <row r="4631" spans="1:40" x14ac:dyDescent="0.3">
      <c r="A4631" s="10" t="str">
        <f>HYPERLINK("http://www.washoecounty.gov/assessor/cama/?parid=140-492-05&amp;CardNumber=1","140-492-05")</f>
        <v>140-492-05</v>
      </c>
      <c r="B4631" t="s">
        <v>4655</v>
      </c>
      <c r="C4631" t="s">
        <v>24370</v>
      </c>
      <c r="D4631" s="1">
        <v>40451</v>
      </c>
      <c r="E4631" s="2">
        <v>235000</v>
      </c>
      <c r="F4631" t="s">
        <v>4567</v>
      </c>
      <c r="G4631" s="17" t="str">
        <f>HYPERLINK("https://www.washoecounty.gov/assessor/cama/?command=sales&amp;parid=14049205","3928391")</f>
        <v>3928391</v>
      </c>
      <c r="H4631" t="s">
        <v>2731</v>
      </c>
      <c r="I4631">
        <v>2005</v>
      </c>
      <c r="J4631">
        <v>2005</v>
      </c>
      <c r="K4631" t="s">
        <v>4554</v>
      </c>
      <c r="L4631" t="s">
        <v>4555</v>
      </c>
      <c r="M4631" s="2">
        <v>2073</v>
      </c>
      <c r="N4631" t="s">
        <v>5280</v>
      </c>
      <c r="O4631">
        <v>4</v>
      </c>
      <c r="P4631">
        <v>3</v>
      </c>
      <c r="Q4631">
        <v>0</v>
      </c>
      <c r="R4631" t="s">
        <v>5281</v>
      </c>
      <c r="S4631" t="s">
        <v>4898</v>
      </c>
      <c r="T4631" t="s">
        <v>2704</v>
      </c>
      <c r="U4631" t="s">
        <v>4560</v>
      </c>
      <c r="V4631" s="2">
        <v>696</v>
      </c>
      <c r="W4631" t="s">
        <v>4655</v>
      </c>
      <c r="X4631" s="2">
        <v>0</v>
      </c>
      <c r="Y4631">
        <v>20</v>
      </c>
      <c r="Z4631" t="s">
        <v>5107</v>
      </c>
      <c r="AA4631" s="3">
        <v>0.22952249646186829</v>
      </c>
      <c r="AB4631" t="s">
        <v>24371</v>
      </c>
      <c r="AC4631" t="s">
        <v>4575</v>
      </c>
      <c r="AD4631" t="s">
        <v>24372</v>
      </c>
      <c r="AE4631" t="s">
        <v>4655</v>
      </c>
      <c r="AF4631" t="s">
        <v>4563</v>
      </c>
      <c r="AG4631" t="s">
        <v>4564</v>
      </c>
      <c r="AH4631" t="s">
        <v>5197</v>
      </c>
      <c r="AI4631" t="s">
        <v>24373</v>
      </c>
      <c r="AJ4631" t="s">
        <v>170</v>
      </c>
      <c r="AK4631" t="s">
        <v>24374</v>
      </c>
      <c r="AL4631" s="13" t="s">
        <v>2257</v>
      </c>
      <c r="AM4631">
        <v>1</v>
      </c>
      <c r="AN4631" s="15" t="s">
        <v>3611</v>
      </c>
    </row>
    <row r="4632" spans="1:40" x14ac:dyDescent="0.3">
      <c r="A4632" s="10" t="str">
        <f>HYPERLINK("http://www.washoecounty.gov/assessor/cama/?parid=140-503-09&amp;CardNumber=1","140-503-09")</f>
        <v>140-503-09</v>
      </c>
      <c r="B4632" t="s">
        <v>4655</v>
      </c>
      <c r="C4632" t="s">
        <v>24375</v>
      </c>
      <c r="D4632" s="1">
        <v>40198</v>
      </c>
      <c r="E4632" s="2">
        <v>185000</v>
      </c>
      <c r="F4632" t="s">
        <v>4567</v>
      </c>
      <c r="G4632" s="17" t="str">
        <f>HYPERLINK("https://www.washoecounty.gov/assessor/cama/?command=sales&amp;parid=14050309","3840980")</f>
        <v>3840980</v>
      </c>
      <c r="H4632" t="s">
        <v>171</v>
      </c>
      <c r="I4632">
        <v>2005</v>
      </c>
      <c r="J4632">
        <v>2005</v>
      </c>
      <c r="K4632" t="s">
        <v>4554</v>
      </c>
      <c r="L4632" t="s">
        <v>4555</v>
      </c>
      <c r="M4632" s="2">
        <v>1410</v>
      </c>
      <c r="N4632" t="s">
        <v>5280</v>
      </c>
      <c r="O4632">
        <v>3</v>
      </c>
      <c r="P4632">
        <v>2</v>
      </c>
      <c r="Q4632">
        <v>0</v>
      </c>
      <c r="R4632" t="s">
        <v>4557</v>
      </c>
      <c r="S4632" t="s">
        <v>4898</v>
      </c>
      <c r="T4632" t="s">
        <v>2704</v>
      </c>
      <c r="U4632" t="s">
        <v>4560</v>
      </c>
      <c r="V4632" s="2">
        <v>432</v>
      </c>
      <c r="W4632" t="s">
        <v>4655</v>
      </c>
      <c r="X4632" s="2">
        <v>0</v>
      </c>
      <c r="Y4632">
        <v>20</v>
      </c>
      <c r="Z4632" t="s">
        <v>5107</v>
      </c>
      <c r="AA4632" s="3">
        <v>0.13117538392543801</v>
      </c>
      <c r="AB4632" t="s">
        <v>24376</v>
      </c>
      <c r="AC4632" t="s">
        <v>4562</v>
      </c>
      <c r="AD4632" t="s">
        <v>24375</v>
      </c>
      <c r="AE4632" t="s">
        <v>4655</v>
      </c>
      <c r="AF4632" t="s">
        <v>4563</v>
      </c>
      <c r="AG4632" t="s">
        <v>4564</v>
      </c>
      <c r="AH4632" t="s">
        <v>5197</v>
      </c>
      <c r="AI4632" t="s">
        <v>24377</v>
      </c>
      <c r="AJ4632" t="s">
        <v>2250</v>
      </c>
      <c r="AK4632" t="s">
        <v>24378</v>
      </c>
      <c r="AL4632" s="13" t="s">
        <v>2257</v>
      </c>
      <c r="AM4632">
        <v>1</v>
      </c>
      <c r="AN4632" s="15" t="s">
        <v>1881</v>
      </c>
    </row>
    <row r="4633" spans="1:40" x14ac:dyDescent="0.3">
      <c r="A4633" s="10" t="str">
        <f>HYPERLINK("http://www.washoecounty.gov/assessor/cama/?parid=140-504-01&amp;CardNumber=1","140-504-01")</f>
        <v>140-504-01</v>
      </c>
      <c r="B4633" t="s">
        <v>4655</v>
      </c>
      <c r="C4633" t="s">
        <v>24379</v>
      </c>
      <c r="D4633" s="1">
        <v>40274</v>
      </c>
      <c r="E4633" s="2">
        <v>250000</v>
      </c>
      <c r="F4633" t="s">
        <v>4553</v>
      </c>
      <c r="G4633" s="17" t="str">
        <f>HYPERLINK("https://www.washoecounty.gov/assessor/cama/?command=sales&amp;parid=14050401","3868128")</f>
        <v>3868128</v>
      </c>
      <c r="H4633" t="s">
        <v>171</v>
      </c>
      <c r="I4633">
        <v>2005</v>
      </c>
      <c r="J4633">
        <v>2005</v>
      </c>
      <c r="K4633" t="s">
        <v>4554</v>
      </c>
      <c r="L4633" t="s">
        <v>3974</v>
      </c>
      <c r="M4633" s="2">
        <v>2080</v>
      </c>
      <c r="N4633" t="s">
        <v>5280</v>
      </c>
      <c r="O4633">
        <v>4</v>
      </c>
      <c r="P4633">
        <v>2</v>
      </c>
      <c r="Q4633">
        <v>1</v>
      </c>
      <c r="R4633" t="s">
        <v>5281</v>
      </c>
      <c r="S4633" t="s">
        <v>4898</v>
      </c>
      <c r="T4633" t="s">
        <v>2704</v>
      </c>
      <c r="U4633" t="s">
        <v>5631</v>
      </c>
      <c r="V4633" s="2">
        <v>674</v>
      </c>
      <c r="W4633" t="s">
        <v>4655</v>
      </c>
      <c r="X4633" s="2">
        <v>0</v>
      </c>
      <c r="Y4633">
        <v>20</v>
      </c>
      <c r="Z4633" t="s">
        <v>5107</v>
      </c>
      <c r="AA4633" s="3">
        <v>0.18358585238456726</v>
      </c>
      <c r="AB4633" t="s">
        <v>24380</v>
      </c>
      <c r="AC4633" t="s">
        <v>4562</v>
      </c>
      <c r="AD4633" t="s">
        <v>24381</v>
      </c>
      <c r="AE4633" t="s">
        <v>4655</v>
      </c>
      <c r="AF4633" t="s">
        <v>4563</v>
      </c>
      <c r="AG4633" t="s">
        <v>4564</v>
      </c>
      <c r="AH4633" t="s">
        <v>5197</v>
      </c>
      <c r="AI4633" t="s">
        <v>4903</v>
      </c>
      <c r="AJ4633" t="s">
        <v>2250</v>
      </c>
      <c r="AK4633" t="s">
        <v>24382</v>
      </c>
      <c r="AL4633" s="13" t="s">
        <v>2257</v>
      </c>
      <c r="AM4633" s="14">
        <v>1</v>
      </c>
      <c r="AN4633" s="15" t="s">
        <v>1881</v>
      </c>
    </row>
    <row r="4634" spans="1:40" x14ac:dyDescent="0.3">
      <c r="A4634" s="10" t="str">
        <f>HYPERLINK("http://www.washoecounty.gov/assessor/cama/?parid=140-511-05&amp;CardNumber=1","140-511-05")</f>
        <v>140-511-05</v>
      </c>
      <c r="B4634" t="s">
        <v>4655</v>
      </c>
      <c r="C4634" t="s">
        <v>24383</v>
      </c>
      <c r="D4634" s="1">
        <v>40535</v>
      </c>
      <c r="E4634" s="2">
        <v>215000</v>
      </c>
      <c r="F4634" t="s">
        <v>4567</v>
      </c>
      <c r="G4634" s="17" t="str">
        <f>HYPERLINK("https://www.washoecounty.gov/assessor/cama/?command=sales&amp;parid=14051105","3956994")</f>
        <v>3956994</v>
      </c>
      <c r="H4634" t="s">
        <v>4391</v>
      </c>
      <c r="I4634">
        <v>2005</v>
      </c>
      <c r="J4634">
        <v>2005</v>
      </c>
      <c r="K4634" t="s">
        <v>4554</v>
      </c>
      <c r="L4634" t="s">
        <v>4555</v>
      </c>
      <c r="M4634" s="2">
        <v>1933</v>
      </c>
      <c r="N4634" t="s">
        <v>3147</v>
      </c>
      <c r="O4634">
        <v>4</v>
      </c>
      <c r="P4634">
        <v>2</v>
      </c>
      <c r="Q4634">
        <v>0</v>
      </c>
      <c r="R4634" t="s">
        <v>5281</v>
      </c>
      <c r="S4634" t="s">
        <v>4898</v>
      </c>
      <c r="T4634" t="s">
        <v>2704</v>
      </c>
      <c r="U4634" t="s">
        <v>4560</v>
      </c>
      <c r="V4634" s="2">
        <v>474</v>
      </c>
      <c r="W4634" t="s">
        <v>4655</v>
      </c>
      <c r="X4634" s="2">
        <v>0</v>
      </c>
      <c r="Y4634">
        <v>20</v>
      </c>
      <c r="Z4634" t="s">
        <v>5107</v>
      </c>
      <c r="AA4634" s="3">
        <v>0.178351700305939</v>
      </c>
      <c r="AB4634" t="s">
        <v>24384</v>
      </c>
      <c r="AC4634" t="s">
        <v>4562</v>
      </c>
      <c r="AD4634" t="s">
        <v>24385</v>
      </c>
      <c r="AE4634" t="s">
        <v>4655</v>
      </c>
      <c r="AF4634" t="s">
        <v>4563</v>
      </c>
      <c r="AG4634" t="s">
        <v>4564</v>
      </c>
      <c r="AH4634" t="s">
        <v>5197</v>
      </c>
      <c r="AI4634" t="s">
        <v>24386</v>
      </c>
      <c r="AJ4634" t="s">
        <v>4392</v>
      </c>
      <c r="AK4634" t="s">
        <v>24387</v>
      </c>
      <c r="AL4634" s="13" t="s">
        <v>2257</v>
      </c>
      <c r="AM4634">
        <v>1</v>
      </c>
      <c r="AN4634" s="15" t="s">
        <v>3554</v>
      </c>
    </row>
    <row r="4635" spans="1:40" x14ac:dyDescent="0.3">
      <c r="A4635" s="10" t="str">
        <f>HYPERLINK("http://www.washoecounty.gov/assessor/cama/?parid=140-511-07&amp;CardNumber=1","140-511-07")</f>
        <v>140-511-07</v>
      </c>
      <c r="B4635" t="s">
        <v>4655</v>
      </c>
      <c r="C4635" t="s">
        <v>24388</v>
      </c>
      <c r="D4635" s="1">
        <v>40494</v>
      </c>
      <c r="E4635" s="2">
        <v>242500</v>
      </c>
      <c r="F4635" t="s">
        <v>4553</v>
      </c>
      <c r="G4635" s="17" t="str">
        <f>HYPERLINK("https://www.washoecounty.gov/assessor/cama/?command=sales&amp;parid=14051107","3942643")</f>
        <v>3942643</v>
      </c>
      <c r="H4635" t="s">
        <v>4391</v>
      </c>
      <c r="I4635">
        <v>2005</v>
      </c>
      <c r="J4635">
        <v>2005</v>
      </c>
      <c r="K4635" t="s">
        <v>4554</v>
      </c>
      <c r="L4635" t="s">
        <v>3974</v>
      </c>
      <c r="M4635" s="2">
        <v>2341</v>
      </c>
      <c r="N4635" t="s">
        <v>3147</v>
      </c>
      <c r="O4635">
        <v>4</v>
      </c>
      <c r="P4635">
        <v>3</v>
      </c>
      <c r="Q4635">
        <v>0</v>
      </c>
      <c r="R4635" t="s">
        <v>5281</v>
      </c>
      <c r="S4635" t="s">
        <v>4898</v>
      </c>
      <c r="T4635" t="s">
        <v>2704</v>
      </c>
      <c r="U4635" t="s">
        <v>4560</v>
      </c>
      <c r="V4635" s="2">
        <v>675</v>
      </c>
      <c r="W4635" t="s">
        <v>4655</v>
      </c>
      <c r="X4635" s="2">
        <v>0</v>
      </c>
      <c r="Y4635">
        <v>20</v>
      </c>
      <c r="Z4635" t="s">
        <v>5107</v>
      </c>
      <c r="AA4635" s="3">
        <v>0.242102846503258</v>
      </c>
      <c r="AB4635" t="s">
        <v>24389</v>
      </c>
      <c r="AC4635" t="s">
        <v>4575</v>
      </c>
      <c r="AD4635" t="s">
        <v>24390</v>
      </c>
      <c r="AE4635" t="s">
        <v>4655</v>
      </c>
      <c r="AF4635" t="s">
        <v>3876</v>
      </c>
      <c r="AG4635" t="s">
        <v>4564</v>
      </c>
      <c r="AH4635" t="s">
        <v>3877</v>
      </c>
      <c r="AI4635" t="s">
        <v>24391</v>
      </c>
      <c r="AJ4635" t="s">
        <v>4392</v>
      </c>
      <c r="AK4635" t="s">
        <v>24392</v>
      </c>
      <c r="AL4635" s="13" t="s">
        <v>2257</v>
      </c>
      <c r="AM4635" s="14">
        <v>1</v>
      </c>
      <c r="AN4635" s="15" t="s">
        <v>3554</v>
      </c>
    </row>
    <row r="4636" spans="1:40" x14ac:dyDescent="0.3">
      <c r="A4636" s="10" t="str">
        <f>HYPERLINK("http://www.washoecounty.gov/assessor/cama/?parid=140-512-03&amp;CardNumber=1","140-512-03")</f>
        <v>140-512-03</v>
      </c>
      <c r="B4636" t="s">
        <v>4655</v>
      </c>
      <c r="C4636" t="s">
        <v>24393</v>
      </c>
      <c r="D4636" s="1">
        <v>40235</v>
      </c>
      <c r="E4636" s="2">
        <v>220000</v>
      </c>
      <c r="F4636" t="s">
        <v>4567</v>
      </c>
      <c r="G4636" s="17" t="str">
        <f>HYPERLINK("https://www.washoecounty.gov/assessor/cama/?command=sales&amp;parid=14051203","3853244")</f>
        <v>3853244</v>
      </c>
      <c r="H4636" t="s">
        <v>4391</v>
      </c>
      <c r="I4636">
        <v>2005</v>
      </c>
      <c r="J4636">
        <v>2005</v>
      </c>
      <c r="K4636" t="s">
        <v>4554</v>
      </c>
      <c r="L4636" t="s">
        <v>4555</v>
      </c>
      <c r="M4636" s="2">
        <v>1933</v>
      </c>
      <c r="N4636" t="s">
        <v>3147</v>
      </c>
      <c r="O4636">
        <v>4</v>
      </c>
      <c r="P4636">
        <v>2</v>
      </c>
      <c r="Q4636">
        <v>0</v>
      </c>
      <c r="R4636" t="s">
        <v>5281</v>
      </c>
      <c r="S4636" t="s">
        <v>4898</v>
      </c>
      <c r="T4636" t="s">
        <v>2704</v>
      </c>
      <c r="U4636" t="s">
        <v>4560</v>
      </c>
      <c r="V4636" s="2">
        <v>474</v>
      </c>
      <c r="W4636" t="s">
        <v>4655</v>
      </c>
      <c r="X4636" s="2">
        <v>0</v>
      </c>
      <c r="Y4636">
        <v>20</v>
      </c>
      <c r="Z4636" t="s">
        <v>5107</v>
      </c>
      <c r="AA4636" s="3">
        <v>0.137741044163704</v>
      </c>
      <c r="AB4636" t="s">
        <v>24394</v>
      </c>
      <c r="AC4636" t="s">
        <v>4562</v>
      </c>
      <c r="AD4636" t="s">
        <v>24393</v>
      </c>
      <c r="AE4636" t="s">
        <v>4655</v>
      </c>
      <c r="AF4636" t="s">
        <v>4563</v>
      </c>
      <c r="AG4636" t="s">
        <v>4564</v>
      </c>
      <c r="AH4636" t="s">
        <v>5197</v>
      </c>
      <c r="AI4636" t="s">
        <v>24395</v>
      </c>
      <c r="AJ4636" t="s">
        <v>4392</v>
      </c>
      <c r="AK4636" t="s">
        <v>24396</v>
      </c>
      <c r="AL4636" s="13" t="s">
        <v>2257</v>
      </c>
      <c r="AM4636">
        <v>1</v>
      </c>
      <c r="AN4636" s="15" t="s">
        <v>3554</v>
      </c>
    </row>
    <row r="4637" spans="1:40" x14ac:dyDescent="0.3">
      <c r="A4637" s="10" t="str">
        <f>HYPERLINK("http://www.washoecounty.gov/assessor/cama/?parid=140-512-06&amp;CardNumber=1","140-512-06")</f>
        <v>140-512-06</v>
      </c>
      <c r="B4637" t="s">
        <v>4655</v>
      </c>
      <c r="C4637" t="s">
        <v>24397</v>
      </c>
      <c r="D4637" s="1">
        <v>40499</v>
      </c>
      <c r="E4637" s="2">
        <v>233000</v>
      </c>
      <c r="F4637" t="s">
        <v>4567</v>
      </c>
      <c r="G4637" s="17" t="str">
        <f>HYPERLINK("https://www.washoecounty.gov/assessor/cama/?command=sales&amp;parid=14051206","3944100")</f>
        <v>3944100</v>
      </c>
      <c r="H4637" t="s">
        <v>4391</v>
      </c>
      <c r="I4637">
        <v>2005</v>
      </c>
      <c r="J4637">
        <v>2005</v>
      </c>
      <c r="K4637" t="s">
        <v>4554</v>
      </c>
      <c r="L4637" t="s">
        <v>4555</v>
      </c>
      <c r="M4637" s="2">
        <v>1933</v>
      </c>
      <c r="N4637" t="s">
        <v>3147</v>
      </c>
      <c r="O4637">
        <v>4</v>
      </c>
      <c r="P4637">
        <v>2</v>
      </c>
      <c r="Q4637">
        <v>0</v>
      </c>
      <c r="R4637" t="s">
        <v>5281</v>
      </c>
      <c r="S4637" t="s">
        <v>4898</v>
      </c>
      <c r="T4637" t="s">
        <v>2704</v>
      </c>
      <c r="U4637" t="s">
        <v>4560</v>
      </c>
      <c r="V4637" s="2">
        <v>474</v>
      </c>
      <c r="W4637" t="s">
        <v>4655</v>
      </c>
      <c r="X4637" s="2">
        <v>0</v>
      </c>
      <c r="Y4637">
        <v>20</v>
      </c>
      <c r="Z4637" t="s">
        <v>5107</v>
      </c>
      <c r="AA4637" s="3">
        <v>0.17777778208255801</v>
      </c>
      <c r="AB4637" t="s">
        <v>24398</v>
      </c>
      <c r="AC4637" t="s">
        <v>4562</v>
      </c>
      <c r="AD4637" t="s">
        <v>24397</v>
      </c>
      <c r="AE4637" t="s">
        <v>4655</v>
      </c>
      <c r="AF4637" t="s">
        <v>4563</v>
      </c>
      <c r="AG4637" t="s">
        <v>4564</v>
      </c>
      <c r="AH4637" t="s">
        <v>5197</v>
      </c>
      <c r="AI4637" t="s">
        <v>24399</v>
      </c>
      <c r="AJ4637" t="s">
        <v>4392</v>
      </c>
      <c r="AK4637" t="s">
        <v>24400</v>
      </c>
      <c r="AL4637" s="13" t="s">
        <v>2257</v>
      </c>
      <c r="AM4637">
        <v>1</v>
      </c>
      <c r="AN4637" s="15" t="s">
        <v>3554</v>
      </c>
    </row>
    <row r="4638" spans="1:40" x14ac:dyDescent="0.3">
      <c r="A4638" s="10" t="str">
        <f>HYPERLINK("http://www.washoecounty.gov/assessor/cama/?parid=140-512-14&amp;CardNumber=1","140-512-14")</f>
        <v>140-512-14</v>
      </c>
      <c r="B4638" t="s">
        <v>4655</v>
      </c>
      <c r="C4638" t="s">
        <v>24401</v>
      </c>
      <c r="D4638" s="1">
        <v>40434</v>
      </c>
      <c r="E4638" s="2">
        <v>275000</v>
      </c>
      <c r="F4638" t="s">
        <v>4567</v>
      </c>
      <c r="G4638" s="17" t="str">
        <f>HYPERLINK("https://www.washoecounty.gov/assessor/cama/?command=sales&amp;parid=14051214","3921752")</f>
        <v>3921752</v>
      </c>
      <c r="H4638" t="s">
        <v>4391</v>
      </c>
      <c r="I4638">
        <v>2005</v>
      </c>
      <c r="J4638">
        <v>2005</v>
      </c>
      <c r="K4638" t="s">
        <v>4554</v>
      </c>
      <c r="L4638" t="s">
        <v>3974</v>
      </c>
      <c r="M4638" s="2">
        <v>2358</v>
      </c>
      <c r="N4638" t="s">
        <v>3147</v>
      </c>
      <c r="O4638">
        <v>5</v>
      </c>
      <c r="P4638">
        <v>3</v>
      </c>
      <c r="Q4638">
        <v>0</v>
      </c>
      <c r="R4638" t="s">
        <v>5281</v>
      </c>
      <c r="S4638" t="s">
        <v>4898</v>
      </c>
      <c r="T4638" t="s">
        <v>2704</v>
      </c>
      <c r="U4638" t="s">
        <v>5631</v>
      </c>
      <c r="V4638" s="2">
        <v>636</v>
      </c>
      <c r="W4638" t="s">
        <v>4655</v>
      </c>
      <c r="X4638" s="2">
        <v>0</v>
      </c>
      <c r="Y4638">
        <v>20</v>
      </c>
      <c r="Z4638" t="s">
        <v>5107</v>
      </c>
      <c r="AA4638" s="3">
        <v>0.27607896924018899</v>
      </c>
      <c r="AB4638" t="s">
        <v>24402</v>
      </c>
      <c r="AC4638" t="s">
        <v>4562</v>
      </c>
      <c r="AD4638" t="s">
        <v>24401</v>
      </c>
      <c r="AE4638" t="s">
        <v>4655</v>
      </c>
      <c r="AF4638" t="s">
        <v>4563</v>
      </c>
      <c r="AG4638" t="s">
        <v>4564</v>
      </c>
      <c r="AH4638" t="s">
        <v>5197</v>
      </c>
      <c r="AI4638" t="s">
        <v>24403</v>
      </c>
      <c r="AJ4638" t="s">
        <v>4392</v>
      </c>
      <c r="AK4638" t="s">
        <v>24404</v>
      </c>
      <c r="AL4638" s="13" t="s">
        <v>2257</v>
      </c>
      <c r="AM4638" s="14">
        <v>1</v>
      </c>
      <c r="AN4638" s="15" t="s">
        <v>3554</v>
      </c>
    </row>
    <row r="4639" spans="1:40" x14ac:dyDescent="0.3">
      <c r="A4639" s="10" t="str">
        <f>HYPERLINK("http://www.washoecounty.gov/assessor/cama/?parid=140-521-06&amp;CardNumber=1","140-521-06")</f>
        <v>140-521-06</v>
      </c>
      <c r="B4639" t="s">
        <v>4655</v>
      </c>
      <c r="C4639" t="s">
        <v>24405</v>
      </c>
      <c r="D4639" s="1">
        <v>40512</v>
      </c>
      <c r="E4639" s="2">
        <v>206000</v>
      </c>
      <c r="F4639" t="s">
        <v>4553</v>
      </c>
      <c r="G4639" s="17" t="str">
        <f>HYPERLINK("https://www.washoecounty.gov/assessor/cama/?command=sales&amp;parid=14052106","3947912")</f>
        <v>3947912</v>
      </c>
      <c r="H4639" t="s">
        <v>4391</v>
      </c>
      <c r="I4639">
        <v>2005</v>
      </c>
      <c r="J4639">
        <v>2005</v>
      </c>
      <c r="K4639" t="s">
        <v>4554</v>
      </c>
      <c r="L4639" t="s">
        <v>4555</v>
      </c>
      <c r="M4639" s="2">
        <v>1933</v>
      </c>
      <c r="N4639" t="s">
        <v>3147</v>
      </c>
      <c r="O4639">
        <v>3</v>
      </c>
      <c r="P4639">
        <v>2</v>
      </c>
      <c r="Q4639">
        <v>0</v>
      </c>
      <c r="R4639" t="s">
        <v>5281</v>
      </c>
      <c r="S4639" t="s">
        <v>4898</v>
      </c>
      <c r="T4639" t="s">
        <v>2704</v>
      </c>
      <c r="U4639" t="s">
        <v>4560</v>
      </c>
      <c r="V4639" s="2">
        <v>474</v>
      </c>
      <c r="W4639" t="s">
        <v>4655</v>
      </c>
      <c r="X4639" s="2">
        <v>0</v>
      </c>
      <c r="Y4639">
        <v>20</v>
      </c>
      <c r="Z4639" t="s">
        <v>5107</v>
      </c>
      <c r="AA4639" s="3">
        <v>0.15089531242847401</v>
      </c>
      <c r="AB4639" t="s">
        <v>24406</v>
      </c>
      <c r="AC4639" t="s">
        <v>4562</v>
      </c>
      <c r="AD4639" t="s">
        <v>24405</v>
      </c>
      <c r="AE4639" t="s">
        <v>4655</v>
      </c>
      <c r="AF4639" t="s">
        <v>4563</v>
      </c>
      <c r="AG4639" t="s">
        <v>4564</v>
      </c>
      <c r="AH4639">
        <v>89506</v>
      </c>
      <c r="AI4639" t="s">
        <v>2351</v>
      </c>
      <c r="AJ4639" t="s">
        <v>4392</v>
      </c>
      <c r="AK4639" t="s">
        <v>24407</v>
      </c>
      <c r="AL4639" s="13" t="s">
        <v>2257</v>
      </c>
      <c r="AM4639">
        <v>1</v>
      </c>
      <c r="AN4639" s="15" t="s">
        <v>3554</v>
      </c>
    </row>
    <row r="4640" spans="1:40" x14ac:dyDescent="0.3">
      <c r="A4640" s="10" t="str">
        <f>HYPERLINK("http://www.washoecounty.gov/assessor/cama/?parid=140-521-16&amp;CardNumber=1","140-521-16")</f>
        <v>140-521-16</v>
      </c>
      <c r="B4640" t="s">
        <v>4655</v>
      </c>
      <c r="C4640" t="s">
        <v>24408</v>
      </c>
      <c r="D4640" s="1">
        <v>40375</v>
      </c>
      <c r="E4640" s="2">
        <v>258000</v>
      </c>
      <c r="F4640" t="s">
        <v>4553</v>
      </c>
      <c r="G4640" s="17" t="str">
        <f>HYPERLINK("https://www.washoecounty.gov/assessor/cama/?command=sales&amp;parid=14052116","3902240")</f>
        <v>3902240</v>
      </c>
      <c r="H4640" t="s">
        <v>4391</v>
      </c>
      <c r="I4640">
        <v>2005</v>
      </c>
      <c r="J4640">
        <v>2005</v>
      </c>
      <c r="K4640" t="s">
        <v>4554</v>
      </c>
      <c r="L4640" t="s">
        <v>3974</v>
      </c>
      <c r="M4640" s="2">
        <v>2159</v>
      </c>
      <c r="N4640" t="s">
        <v>3147</v>
      </c>
      <c r="O4640">
        <v>4</v>
      </c>
      <c r="P4640">
        <v>3</v>
      </c>
      <c r="Q4640">
        <v>0</v>
      </c>
      <c r="R4640" t="s">
        <v>5281</v>
      </c>
      <c r="S4640" t="s">
        <v>4898</v>
      </c>
      <c r="T4640" t="s">
        <v>2704</v>
      </c>
      <c r="U4640" t="s">
        <v>4560</v>
      </c>
      <c r="V4640" s="2">
        <v>675</v>
      </c>
      <c r="W4640" t="s">
        <v>4655</v>
      </c>
      <c r="X4640" s="2">
        <v>0</v>
      </c>
      <c r="Y4640">
        <v>20</v>
      </c>
      <c r="Z4640" t="s">
        <v>5107</v>
      </c>
      <c r="AA4640" s="3">
        <v>0.17304867506027199</v>
      </c>
      <c r="AB4640" t="s">
        <v>24409</v>
      </c>
      <c r="AC4640" t="s">
        <v>4562</v>
      </c>
      <c r="AD4640" t="s">
        <v>24408</v>
      </c>
      <c r="AE4640" t="s">
        <v>4655</v>
      </c>
      <c r="AF4640" t="s">
        <v>4563</v>
      </c>
      <c r="AG4640" t="s">
        <v>4564</v>
      </c>
      <c r="AH4640" t="s">
        <v>5197</v>
      </c>
      <c r="AI4640" t="s">
        <v>4903</v>
      </c>
      <c r="AJ4640" t="s">
        <v>4392</v>
      </c>
      <c r="AK4640" t="s">
        <v>24410</v>
      </c>
      <c r="AL4640" s="13" t="s">
        <v>2257</v>
      </c>
      <c r="AM4640">
        <v>1</v>
      </c>
      <c r="AN4640" s="15" t="s">
        <v>3554</v>
      </c>
    </row>
    <row r="4641" spans="1:40" x14ac:dyDescent="0.3">
      <c r="A4641" s="10" t="str">
        <f>HYPERLINK("http://www.washoecounty.gov/assessor/cama/?parid=140-522-09&amp;CardNumber=1","140-522-09")</f>
        <v>140-522-09</v>
      </c>
      <c r="B4641" t="s">
        <v>4655</v>
      </c>
      <c r="C4641" t="s">
        <v>24411</v>
      </c>
      <c r="D4641" s="1">
        <v>40284</v>
      </c>
      <c r="E4641" s="2">
        <v>215000</v>
      </c>
      <c r="F4641" t="s">
        <v>4567</v>
      </c>
      <c r="G4641" s="17" t="str">
        <f>HYPERLINK("https://www.washoecounty.gov/assessor/cama/?command=sales&amp;parid=14052209","3871965")</f>
        <v>3871965</v>
      </c>
      <c r="H4641" t="s">
        <v>4391</v>
      </c>
      <c r="I4641">
        <v>2005</v>
      </c>
      <c r="J4641">
        <v>2005</v>
      </c>
      <c r="K4641" t="s">
        <v>4554</v>
      </c>
      <c r="L4641" t="s">
        <v>4555</v>
      </c>
      <c r="M4641" s="2">
        <v>1933</v>
      </c>
      <c r="N4641" t="s">
        <v>3147</v>
      </c>
      <c r="O4641">
        <v>3</v>
      </c>
      <c r="P4641">
        <v>2</v>
      </c>
      <c r="Q4641">
        <v>0</v>
      </c>
      <c r="R4641" t="s">
        <v>5281</v>
      </c>
      <c r="S4641" t="s">
        <v>4898</v>
      </c>
      <c r="T4641" t="s">
        <v>2704</v>
      </c>
      <c r="U4641" t="s">
        <v>4560</v>
      </c>
      <c r="V4641" s="2">
        <v>474</v>
      </c>
      <c r="W4641" t="s">
        <v>4655</v>
      </c>
      <c r="X4641" s="2">
        <v>0</v>
      </c>
      <c r="Y4641">
        <v>20</v>
      </c>
      <c r="Z4641" t="s">
        <v>5107</v>
      </c>
      <c r="AA4641" s="3">
        <v>0.147222220897675</v>
      </c>
      <c r="AB4641" t="s">
        <v>24412</v>
      </c>
      <c r="AC4641" t="s">
        <v>4562</v>
      </c>
      <c r="AD4641" t="s">
        <v>24413</v>
      </c>
      <c r="AE4641" t="s">
        <v>4655</v>
      </c>
      <c r="AF4641" t="s">
        <v>4563</v>
      </c>
      <c r="AG4641" t="s">
        <v>4564</v>
      </c>
      <c r="AH4641" t="s">
        <v>5197</v>
      </c>
      <c r="AI4641" t="s">
        <v>24414</v>
      </c>
      <c r="AJ4641" t="s">
        <v>4392</v>
      </c>
      <c r="AK4641" t="s">
        <v>24415</v>
      </c>
      <c r="AL4641" s="13" t="s">
        <v>2257</v>
      </c>
      <c r="AM4641">
        <v>1</v>
      </c>
      <c r="AN4641" s="15" t="s">
        <v>3554</v>
      </c>
    </row>
    <row r="4642" spans="1:40" x14ac:dyDescent="0.3">
      <c r="A4642" s="10" t="str">
        <f>HYPERLINK("http://www.washoecounty.gov/assessor/cama/?parid=140-522-14&amp;CardNumber=1","140-522-14")</f>
        <v>140-522-14</v>
      </c>
      <c r="B4642" t="s">
        <v>4655</v>
      </c>
      <c r="C4642" t="s">
        <v>24416</v>
      </c>
      <c r="D4642" s="1">
        <v>40492</v>
      </c>
      <c r="E4642" s="2">
        <v>228000</v>
      </c>
      <c r="F4642" t="s">
        <v>4553</v>
      </c>
      <c r="G4642" s="17" t="str">
        <f>HYPERLINK("https://www.washoecounty.gov/assessor/cama/?command=sales&amp;parid=14052214","3941957")</f>
        <v>3941957</v>
      </c>
      <c r="H4642" t="s">
        <v>4391</v>
      </c>
      <c r="I4642">
        <v>2005</v>
      </c>
      <c r="J4642">
        <v>2005</v>
      </c>
      <c r="K4642" t="s">
        <v>4554</v>
      </c>
      <c r="L4642" t="s">
        <v>3974</v>
      </c>
      <c r="M4642" s="2">
        <v>2358</v>
      </c>
      <c r="N4642" t="s">
        <v>3147</v>
      </c>
      <c r="O4642">
        <v>5</v>
      </c>
      <c r="P4642">
        <v>3</v>
      </c>
      <c r="Q4642">
        <v>0</v>
      </c>
      <c r="R4642" t="s">
        <v>5281</v>
      </c>
      <c r="S4642" t="s">
        <v>4898</v>
      </c>
      <c r="T4642" t="s">
        <v>2704</v>
      </c>
      <c r="U4642" t="s">
        <v>5631</v>
      </c>
      <c r="V4642" s="2">
        <v>636</v>
      </c>
      <c r="W4642" t="s">
        <v>4655</v>
      </c>
      <c r="X4642" s="2">
        <v>0</v>
      </c>
      <c r="Y4642">
        <v>20</v>
      </c>
      <c r="Z4642" t="s">
        <v>5107</v>
      </c>
      <c r="AA4642" s="3">
        <v>0.16395775973796844</v>
      </c>
      <c r="AB4642" t="s">
        <v>24417</v>
      </c>
      <c r="AC4642" t="s">
        <v>4575</v>
      </c>
      <c r="AD4642" t="s">
        <v>24416</v>
      </c>
      <c r="AE4642" t="s">
        <v>4655</v>
      </c>
      <c r="AF4642" t="s">
        <v>4563</v>
      </c>
      <c r="AG4642" t="s">
        <v>4564</v>
      </c>
      <c r="AH4642" t="s">
        <v>5197</v>
      </c>
      <c r="AI4642" t="s">
        <v>4565</v>
      </c>
      <c r="AJ4642" t="s">
        <v>4392</v>
      </c>
      <c r="AK4642" t="s">
        <v>24418</v>
      </c>
      <c r="AL4642" s="13" t="s">
        <v>2257</v>
      </c>
      <c r="AM4642">
        <v>1</v>
      </c>
      <c r="AN4642" s="15" t="s">
        <v>3554</v>
      </c>
    </row>
    <row r="4643" spans="1:40" x14ac:dyDescent="0.3">
      <c r="A4643" s="10" t="str">
        <f>HYPERLINK("http://www.washoecounty.gov/assessor/cama/?parid=140-523-09&amp;CardNumber=1","140-523-09")</f>
        <v>140-523-09</v>
      </c>
      <c r="B4643" t="s">
        <v>4655</v>
      </c>
      <c r="C4643" t="s">
        <v>1843</v>
      </c>
      <c r="D4643" s="1">
        <v>40324</v>
      </c>
      <c r="E4643" s="2">
        <v>210001</v>
      </c>
      <c r="F4643" t="s">
        <v>4553</v>
      </c>
      <c r="G4643" s="17" t="str">
        <f>HYPERLINK("https://www.washoecounty.gov/assessor/cama/?command=sales&amp;parid=14052309","3885636")</f>
        <v>3885636</v>
      </c>
      <c r="H4643" t="s">
        <v>4391</v>
      </c>
      <c r="I4643">
        <v>2005</v>
      </c>
      <c r="J4643">
        <v>2005</v>
      </c>
      <c r="K4643" t="s">
        <v>4554</v>
      </c>
      <c r="L4643" t="s">
        <v>4555</v>
      </c>
      <c r="M4643" s="2">
        <v>1933</v>
      </c>
      <c r="N4643" t="s">
        <v>3147</v>
      </c>
      <c r="O4643">
        <v>4</v>
      </c>
      <c r="P4643">
        <v>2</v>
      </c>
      <c r="Q4643">
        <v>0</v>
      </c>
      <c r="R4643" t="s">
        <v>5281</v>
      </c>
      <c r="S4643" t="s">
        <v>4898</v>
      </c>
      <c r="T4643" t="s">
        <v>2704</v>
      </c>
      <c r="U4643" t="s">
        <v>4560</v>
      </c>
      <c r="V4643" s="2">
        <v>474</v>
      </c>
      <c r="W4643" t="s">
        <v>4655</v>
      </c>
      <c r="X4643" s="2">
        <v>0</v>
      </c>
      <c r="Y4643">
        <v>20</v>
      </c>
      <c r="Z4643" t="s">
        <v>5107</v>
      </c>
      <c r="AA4643" s="3">
        <v>0.148875117301941</v>
      </c>
      <c r="AB4643" t="s">
        <v>24419</v>
      </c>
      <c r="AC4643" t="s">
        <v>4562</v>
      </c>
      <c r="AD4643" t="s">
        <v>1843</v>
      </c>
      <c r="AE4643" t="s">
        <v>4655</v>
      </c>
      <c r="AF4643" t="s">
        <v>4563</v>
      </c>
      <c r="AG4643" t="s">
        <v>4564</v>
      </c>
      <c r="AH4643" t="s">
        <v>5197</v>
      </c>
      <c r="AI4643" t="s">
        <v>4848</v>
      </c>
      <c r="AJ4643" t="s">
        <v>4392</v>
      </c>
      <c r="AK4643" t="s">
        <v>1844</v>
      </c>
      <c r="AL4643" s="13" t="s">
        <v>2257</v>
      </c>
      <c r="AM4643">
        <v>1</v>
      </c>
      <c r="AN4643" s="15" t="s">
        <v>3554</v>
      </c>
    </row>
    <row r="4644" spans="1:40" x14ac:dyDescent="0.3">
      <c r="A4644" s="10" t="str">
        <f>HYPERLINK("http://www.washoecounty.gov/assessor/cama/?parid=140-523-13&amp;CardNumber=1","140-523-13")</f>
        <v>140-523-13</v>
      </c>
      <c r="B4644" t="s">
        <v>4655</v>
      </c>
      <c r="C4644" t="s">
        <v>24420</v>
      </c>
      <c r="D4644" s="1">
        <v>40431</v>
      </c>
      <c r="E4644" s="2">
        <v>227000</v>
      </c>
      <c r="F4644" t="s">
        <v>4567</v>
      </c>
      <c r="G4644" s="17" t="str">
        <f>HYPERLINK("https://www.washoecounty.gov/assessor/cama/?command=sales&amp;parid=14052313","3921097")</f>
        <v>3921097</v>
      </c>
      <c r="H4644" t="s">
        <v>4391</v>
      </c>
      <c r="I4644">
        <v>2005</v>
      </c>
      <c r="J4644">
        <v>2005</v>
      </c>
      <c r="K4644" t="s">
        <v>4554</v>
      </c>
      <c r="L4644" t="s">
        <v>3974</v>
      </c>
      <c r="M4644" s="2">
        <v>2358</v>
      </c>
      <c r="N4644" t="s">
        <v>3147</v>
      </c>
      <c r="O4644">
        <v>5</v>
      </c>
      <c r="P4644">
        <v>3</v>
      </c>
      <c r="Q4644">
        <v>0</v>
      </c>
      <c r="R4644" t="s">
        <v>5281</v>
      </c>
      <c r="S4644" t="s">
        <v>4898</v>
      </c>
      <c r="T4644" t="s">
        <v>2704</v>
      </c>
      <c r="U4644" t="s">
        <v>5631</v>
      </c>
      <c r="V4644" s="2">
        <v>636</v>
      </c>
      <c r="W4644" t="s">
        <v>4655</v>
      </c>
      <c r="X4644" s="2">
        <v>0</v>
      </c>
      <c r="Y4644">
        <v>20</v>
      </c>
      <c r="Z4644" t="s">
        <v>5107</v>
      </c>
      <c r="AA4644" s="3">
        <v>0.13969238102436099</v>
      </c>
      <c r="AB4644" t="s">
        <v>4075</v>
      </c>
      <c r="AC4644" t="s">
        <v>4575</v>
      </c>
      <c r="AD4644" t="s">
        <v>3269</v>
      </c>
      <c r="AE4644" t="s">
        <v>4655</v>
      </c>
      <c r="AF4644" t="s">
        <v>4563</v>
      </c>
      <c r="AG4644" t="s">
        <v>4564</v>
      </c>
      <c r="AH4644">
        <v>89511</v>
      </c>
      <c r="AI4644" t="s">
        <v>4655</v>
      </c>
      <c r="AJ4644" t="s">
        <v>4392</v>
      </c>
      <c r="AK4644" t="s">
        <v>24421</v>
      </c>
      <c r="AL4644" s="13" t="s">
        <v>2257</v>
      </c>
      <c r="AM4644">
        <v>1</v>
      </c>
      <c r="AN4644" s="15" t="s">
        <v>3554</v>
      </c>
    </row>
    <row r="4645" spans="1:40" x14ac:dyDescent="0.3">
      <c r="A4645" s="10" t="str">
        <f>HYPERLINK("http://www.washoecounty.gov/assessor/cama/?parid=140-532-13&amp;CardNumber=1","140-532-13")</f>
        <v>140-532-13</v>
      </c>
      <c r="B4645" t="s">
        <v>4655</v>
      </c>
      <c r="C4645" t="s">
        <v>24422</v>
      </c>
      <c r="D4645" s="1">
        <v>40241</v>
      </c>
      <c r="E4645" s="2">
        <v>277000</v>
      </c>
      <c r="F4645" t="s">
        <v>4553</v>
      </c>
      <c r="G4645" s="17" t="str">
        <f>HYPERLINK("https://www.washoecounty.gov/assessor/cama/?command=sales&amp;parid=14053213","3855762")</f>
        <v>3855762</v>
      </c>
      <c r="H4645" t="s">
        <v>2815</v>
      </c>
      <c r="I4645">
        <v>2005</v>
      </c>
      <c r="J4645">
        <v>2005</v>
      </c>
      <c r="K4645" t="s">
        <v>4554</v>
      </c>
      <c r="L4645" t="s">
        <v>4555</v>
      </c>
      <c r="M4645" s="2">
        <v>2371</v>
      </c>
      <c r="N4645" t="s">
        <v>3147</v>
      </c>
      <c r="O4645">
        <v>4</v>
      </c>
      <c r="P4645">
        <v>3</v>
      </c>
      <c r="Q4645">
        <v>0</v>
      </c>
      <c r="R4645" t="s">
        <v>5281</v>
      </c>
      <c r="S4645" t="s">
        <v>4898</v>
      </c>
      <c r="T4645" t="s">
        <v>2704</v>
      </c>
      <c r="U4645" t="s">
        <v>4560</v>
      </c>
      <c r="V4645" s="2">
        <v>712</v>
      </c>
      <c r="W4645" t="s">
        <v>4655</v>
      </c>
      <c r="X4645" s="2">
        <v>0</v>
      </c>
      <c r="Y4645">
        <v>20</v>
      </c>
      <c r="Z4645" t="s">
        <v>5107</v>
      </c>
      <c r="AA4645" s="3">
        <v>0.25840219855308499</v>
      </c>
      <c r="AB4645" t="s">
        <v>24423</v>
      </c>
      <c r="AC4645" t="s">
        <v>4575</v>
      </c>
      <c r="AD4645" t="s">
        <v>24424</v>
      </c>
      <c r="AE4645" t="s">
        <v>4655</v>
      </c>
      <c r="AF4645" t="s">
        <v>4563</v>
      </c>
      <c r="AG4645" t="s">
        <v>4564</v>
      </c>
      <c r="AH4645">
        <v>89502</v>
      </c>
      <c r="AI4645" t="s">
        <v>24425</v>
      </c>
      <c r="AJ4645" t="s">
        <v>572</v>
      </c>
      <c r="AK4645" t="s">
        <v>24426</v>
      </c>
      <c r="AL4645" s="13" t="s">
        <v>2257</v>
      </c>
      <c r="AM4645">
        <v>1</v>
      </c>
      <c r="AN4645" s="15" t="s">
        <v>3986</v>
      </c>
    </row>
    <row r="4646" spans="1:40" x14ac:dyDescent="0.3">
      <c r="A4646" s="10" t="str">
        <f>HYPERLINK("http://www.washoecounty.gov/assessor/cama/?parid=140-532-21&amp;CardNumber=1","140-532-21")</f>
        <v>140-532-21</v>
      </c>
      <c r="B4646" t="s">
        <v>4655</v>
      </c>
      <c r="C4646" t="s">
        <v>24427</v>
      </c>
      <c r="D4646" s="1">
        <v>40445</v>
      </c>
      <c r="E4646" s="2">
        <v>269000</v>
      </c>
      <c r="F4646" t="s">
        <v>4567</v>
      </c>
      <c r="G4646" s="17" t="str">
        <f>HYPERLINK("https://www.washoecounty.gov/assessor/cama/?command=sales&amp;parid=14053221","3926132")</f>
        <v>3926132</v>
      </c>
      <c r="H4646" t="s">
        <v>2815</v>
      </c>
      <c r="I4646">
        <v>2005</v>
      </c>
      <c r="J4646">
        <v>2005</v>
      </c>
      <c r="K4646" t="s">
        <v>4554</v>
      </c>
      <c r="L4646" t="s">
        <v>4555</v>
      </c>
      <c r="M4646" s="2">
        <v>2048</v>
      </c>
      <c r="N4646" t="s">
        <v>3147</v>
      </c>
      <c r="O4646">
        <v>4</v>
      </c>
      <c r="P4646">
        <v>2</v>
      </c>
      <c r="Q4646">
        <v>0</v>
      </c>
      <c r="R4646" t="s">
        <v>5281</v>
      </c>
      <c r="S4646" t="s">
        <v>4898</v>
      </c>
      <c r="T4646" t="s">
        <v>2704</v>
      </c>
      <c r="U4646" t="s">
        <v>4560</v>
      </c>
      <c r="V4646" s="2">
        <v>644</v>
      </c>
      <c r="W4646" t="s">
        <v>4655</v>
      </c>
      <c r="X4646" s="2">
        <v>0</v>
      </c>
      <c r="Y4646">
        <v>20</v>
      </c>
      <c r="Z4646" t="s">
        <v>5107</v>
      </c>
      <c r="AA4646" s="3">
        <v>0.28792470693588301</v>
      </c>
      <c r="AB4646" t="s">
        <v>24428</v>
      </c>
      <c r="AC4646" t="s">
        <v>4575</v>
      </c>
      <c r="AD4646" t="s">
        <v>24427</v>
      </c>
      <c r="AE4646" t="s">
        <v>4655</v>
      </c>
      <c r="AF4646" t="s">
        <v>4563</v>
      </c>
      <c r="AG4646" t="s">
        <v>4564</v>
      </c>
      <c r="AH4646" t="s">
        <v>5197</v>
      </c>
      <c r="AI4646" t="s">
        <v>4706</v>
      </c>
      <c r="AJ4646" t="s">
        <v>572</v>
      </c>
      <c r="AK4646" t="s">
        <v>24429</v>
      </c>
      <c r="AL4646" s="13" t="s">
        <v>2257</v>
      </c>
      <c r="AM4646">
        <v>1</v>
      </c>
      <c r="AN4646" s="15" t="s">
        <v>3986</v>
      </c>
    </row>
    <row r="4647" spans="1:40" x14ac:dyDescent="0.3">
      <c r="A4647" s="10" t="str">
        <f>HYPERLINK("http://www.washoecounty.gov/assessor/cama/?parid=140-532-24&amp;CardNumber=1","140-532-24")</f>
        <v>140-532-24</v>
      </c>
      <c r="B4647" t="s">
        <v>4655</v>
      </c>
      <c r="C4647" t="s">
        <v>24430</v>
      </c>
      <c r="D4647" s="1">
        <v>40389</v>
      </c>
      <c r="E4647" s="2">
        <v>262000</v>
      </c>
      <c r="F4647" t="s">
        <v>4567</v>
      </c>
      <c r="G4647" s="17" t="str">
        <f>HYPERLINK("https://www.washoecounty.gov/assessor/cama/?command=sales&amp;parid=14053224","3907332")</f>
        <v>3907332</v>
      </c>
      <c r="H4647" t="s">
        <v>2815</v>
      </c>
      <c r="I4647">
        <v>2005</v>
      </c>
      <c r="J4647">
        <v>2005</v>
      </c>
      <c r="K4647" t="s">
        <v>4554</v>
      </c>
      <c r="L4647" t="s">
        <v>4555</v>
      </c>
      <c r="M4647" s="2">
        <v>2371</v>
      </c>
      <c r="N4647" t="s">
        <v>3147</v>
      </c>
      <c r="O4647">
        <v>4</v>
      </c>
      <c r="P4647">
        <v>3</v>
      </c>
      <c r="Q4647">
        <v>0</v>
      </c>
      <c r="R4647" t="s">
        <v>5281</v>
      </c>
      <c r="S4647" t="s">
        <v>4898</v>
      </c>
      <c r="T4647" t="s">
        <v>2704</v>
      </c>
      <c r="U4647" t="s">
        <v>4560</v>
      </c>
      <c r="V4647" s="2">
        <v>712</v>
      </c>
      <c r="W4647" t="s">
        <v>4655</v>
      </c>
      <c r="X4647" s="2">
        <v>0</v>
      </c>
      <c r="Y4647">
        <v>20</v>
      </c>
      <c r="Z4647" t="s">
        <v>5107</v>
      </c>
      <c r="AA4647" s="3">
        <v>0.32357668876647949</v>
      </c>
      <c r="AB4647" t="s">
        <v>24431</v>
      </c>
      <c r="AC4647" t="s">
        <v>4562</v>
      </c>
      <c r="AD4647" t="s">
        <v>24432</v>
      </c>
      <c r="AE4647" t="s">
        <v>4655</v>
      </c>
      <c r="AF4647" t="s">
        <v>4563</v>
      </c>
      <c r="AG4647" t="s">
        <v>4564</v>
      </c>
      <c r="AH4647" t="s">
        <v>5197</v>
      </c>
      <c r="AI4647" t="s">
        <v>24433</v>
      </c>
      <c r="AJ4647" t="s">
        <v>572</v>
      </c>
      <c r="AK4647" t="s">
        <v>24434</v>
      </c>
      <c r="AL4647" s="13" t="s">
        <v>2257</v>
      </c>
      <c r="AM4647" s="14">
        <v>1</v>
      </c>
      <c r="AN4647" s="15" t="s">
        <v>3986</v>
      </c>
    </row>
    <row r="4648" spans="1:40" x14ac:dyDescent="0.3">
      <c r="A4648" s="10" t="str">
        <f>HYPERLINK("http://www.washoecounty.gov/assessor/cama/?parid=140-561-07&amp;CardNumber=1","140-561-07")</f>
        <v>140-561-07</v>
      </c>
      <c r="B4648" t="s">
        <v>4655</v>
      </c>
      <c r="C4648" t="s">
        <v>24435</v>
      </c>
      <c r="D4648" s="1">
        <v>40416</v>
      </c>
      <c r="E4648" s="2">
        <v>241000</v>
      </c>
      <c r="F4648" t="s">
        <v>4553</v>
      </c>
      <c r="G4648" s="17" t="str">
        <f>HYPERLINK("https://www.washoecounty.gov/assessor/cama/?command=sales&amp;parid=14056107","3915946")</f>
        <v>3915946</v>
      </c>
      <c r="H4648" t="s">
        <v>607</v>
      </c>
      <c r="I4648">
        <v>2006</v>
      </c>
      <c r="J4648">
        <v>2006</v>
      </c>
      <c r="K4648" t="s">
        <v>4554</v>
      </c>
      <c r="L4648" t="s">
        <v>3974</v>
      </c>
      <c r="M4648" s="2">
        <v>2515</v>
      </c>
      <c r="N4648" t="s">
        <v>3147</v>
      </c>
      <c r="O4648">
        <v>3</v>
      </c>
      <c r="P4648">
        <v>2</v>
      </c>
      <c r="Q4648">
        <v>1</v>
      </c>
      <c r="R4648" t="s">
        <v>5281</v>
      </c>
      <c r="S4648" t="s">
        <v>4898</v>
      </c>
      <c r="T4648" t="s">
        <v>2704</v>
      </c>
      <c r="U4648" t="s">
        <v>5631</v>
      </c>
      <c r="V4648" s="2">
        <v>751</v>
      </c>
      <c r="W4648" t="s">
        <v>4655</v>
      </c>
      <c r="X4648" s="2">
        <v>0</v>
      </c>
      <c r="Y4648">
        <v>20</v>
      </c>
      <c r="Z4648" t="s">
        <v>5107</v>
      </c>
      <c r="AA4648" s="3">
        <v>0.16873277723789215</v>
      </c>
      <c r="AB4648" t="s">
        <v>24436</v>
      </c>
      <c r="AC4648" t="s">
        <v>4562</v>
      </c>
      <c r="AD4648" t="s">
        <v>24435</v>
      </c>
      <c r="AE4648" t="s">
        <v>4655</v>
      </c>
      <c r="AF4648" t="s">
        <v>4563</v>
      </c>
      <c r="AG4648" t="s">
        <v>4564</v>
      </c>
      <c r="AH4648" t="s">
        <v>5197</v>
      </c>
      <c r="AI4648" t="s">
        <v>4794</v>
      </c>
      <c r="AJ4648" t="s">
        <v>2852</v>
      </c>
      <c r="AK4648" t="s">
        <v>24437</v>
      </c>
      <c r="AL4648" s="13" t="s">
        <v>3430</v>
      </c>
      <c r="AM4648" s="14">
        <v>1</v>
      </c>
      <c r="AN4648" s="15" t="s">
        <v>3879</v>
      </c>
    </row>
    <row r="4649" spans="1:40" x14ac:dyDescent="0.3">
      <c r="A4649" s="10" t="str">
        <f>HYPERLINK("http://www.washoecounty.gov/assessor/cama/?parid=140-561-08&amp;CardNumber=1","140-561-08")</f>
        <v>140-561-08</v>
      </c>
      <c r="B4649" t="s">
        <v>4655</v>
      </c>
      <c r="C4649" t="s">
        <v>24438</v>
      </c>
      <c r="D4649" s="1">
        <v>40512</v>
      </c>
      <c r="E4649" s="2">
        <v>225000</v>
      </c>
      <c r="F4649" t="s">
        <v>4567</v>
      </c>
      <c r="G4649" s="17" t="str">
        <f>HYPERLINK("https://www.washoecounty.gov/assessor/cama/?command=sales&amp;parid=14056108","3947672")</f>
        <v>3947672</v>
      </c>
      <c r="H4649" t="s">
        <v>607</v>
      </c>
      <c r="I4649">
        <v>2006</v>
      </c>
      <c r="J4649">
        <v>2006</v>
      </c>
      <c r="K4649" t="s">
        <v>4554</v>
      </c>
      <c r="L4649" t="s">
        <v>3974</v>
      </c>
      <c r="M4649" s="2">
        <v>2333</v>
      </c>
      <c r="N4649" t="s">
        <v>3147</v>
      </c>
      <c r="O4649">
        <v>3</v>
      </c>
      <c r="P4649">
        <v>2</v>
      </c>
      <c r="Q4649">
        <v>1</v>
      </c>
      <c r="R4649" t="s">
        <v>5281</v>
      </c>
      <c r="S4649" t="s">
        <v>4898</v>
      </c>
      <c r="T4649" t="s">
        <v>2704</v>
      </c>
      <c r="U4649" t="s">
        <v>4560</v>
      </c>
      <c r="V4649" s="2">
        <v>537</v>
      </c>
      <c r="W4649" t="s">
        <v>4655</v>
      </c>
      <c r="X4649" s="2">
        <v>0</v>
      </c>
      <c r="Y4649">
        <v>20</v>
      </c>
      <c r="Z4649" t="s">
        <v>5107</v>
      </c>
      <c r="AA4649" s="3">
        <v>0.19467401504516599</v>
      </c>
      <c r="AB4649" t="s">
        <v>24439</v>
      </c>
      <c r="AC4649" t="s">
        <v>4575</v>
      </c>
      <c r="AD4649" t="s">
        <v>24438</v>
      </c>
      <c r="AE4649" t="s">
        <v>4655</v>
      </c>
      <c r="AF4649" t="s">
        <v>4563</v>
      </c>
      <c r="AG4649" t="s">
        <v>4564</v>
      </c>
      <c r="AH4649" t="s">
        <v>5197</v>
      </c>
      <c r="AI4649" t="s">
        <v>5554</v>
      </c>
      <c r="AJ4649" t="s">
        <v>2852</v>
      </c>
      <c r="AK4649" t="s">
        <v>24440</v>
      </c>
      <c r="AL4649" s="13" t="s">
        <v>3430</v>
      </c>
      <c r="AM4649">
        <v>1</v>
      </c>
      <c r="AN4649" s="15" t="s">
        <v>3879</v>
      </c>
    </row>
    <row r="4650" spans="1:40" x14ac:dyDescent="0.3">
      <c r="A4650" s="10" t="str">
        <f>HYPERLINK("http://www.washoecounty.gov/assessor/cama/?parid=140-562-12&amp;CardNumber=1","140-562-12")</f>
        <v>140-562-12</v>
      </c>
      <c r="B4650" t="s">
        <v>4655</v>
      </c>
      <c r="C4650" t="s">
        <v>24441</v>
      </c>
      <c r="D4650" s="1">
        <v>40448</v>
      </c>
      <c r="E4650" s="2">
        <v>300000</v>
      </c>
      <c r="F4650" t="s">
        <v>4567</v>
      </c>
      <c r="G4650" s="17" t="str">
        <f>HYPERLINK("https://www.washoecounty.gov/assessor/cama/?command=sales&amp;parid=14056212","3926516")</f>
        <v>3926516</v>
      </c>
      <c r="H4650" t="s">
        <v>607</v>
      </c>
      <c r="I4650">
        <v>2005</v>
      </c>
      <c r="J4650">
        <v>2005</v>
      </c>
      <c r="K4650" t="s">
        <v>4554</v>
      </c>
      <c r="L4650" t="s">
        <v>3974</v>
      </c>
      <c r="M4650" s="2">
        <v>3037</v>
      </c>
      <c r="N4650" t="s">
        <v>3147</v>
      </c>
      <c r="O4650">
        <v>4</v>
      </c>
      <c r="P4650">
        <v>3</v>
      </c>
      <c r="Q4650">
        <v>0</v>
      </c>
      <c r="R4650" t="s">
        <v>5281</v>
      </c>
      <c r="S4650" t="s">
        <v>4898</v>
      </c>
      <c r="T4650" t="s">
        <v>2704</v>
      </c>
      <c r="U4650" t="s">
        <v>5631</v>
      </c>
      <c r="V4650" s="2">
        <v>704</v>
      </c>
      <c r="W4650" t="s">
        <v>4655</v>
      </c>
      <c r="X4650" s="2">
        <v>0</v>
      </c>
      <c r="Y4650">
        <v>20</v>
      </c>
      <c r="Z4650" t="s">
        <v>5107</v>
      </c>
      <c r="AA4650" s="3">
        <v>0.16076676547527299</v>
      </c>
      <c r="AB4650" t="s">
        <v>24442</v>
      </c>
      <c r="AC4650" t="s">
        <v>4575</v>
      </c>
      <c r="AD4650" t="s">
        <v>24443</v>
      </c>
      <c r="AE4650" t="s">
        <v>24441</v>
      </c>
      <c r="AF4650" t="s">
        <v>4563</v>
      </c>
      <c r="AG4650" t="s">
        <v>4564</v>
      </c>
      <c r="AH4650" t="s">
        <v>5197</v>
      </c>
      <c r="AI4650" t="s">
        <v>24444</v>
      </c>
      <c r="AJ4650" t="s">
        <v>2852</v>
      </c>
      <c r="AK4650" t="s">
        <v>24445</v>
      </c>
      <c r="AL4650" s="13" t="s">
        <v>3430</v>
      </c>
      <c r="AM4650" s="14">
        <v>1</v>
      </c>
      <c r="AN4650" s="15" t="s">
        <v>3879</v>
      </c>
    </row>
    <row r="4651" spans="1:40" x14ac:dyDescent="0.3">
      <c r="A4651" s="10" t="str">
        <f>HYPERLINK("http://www.washoecounty.gov/assessor/cama/?parid=140-562-32&amp;CardNumber=1","140-562-32")</f>
        <v>140-562-32</v>
      </c>
      <c r="B4651" t="s">
        <v>4655</v>
      </c>
      <c r="C4651" t="s">
        <v>3631</v>
      </c>
      <c r="D4651" s="1">
        <v>40277</v>
      </c>
      <c r="E4651" s="2">
        <v>285000</v>
      </c>
      <c r="F4651" t="s">
        <v>4567</v>
      </c>
      <c r="G4651" s="17" t="str">
        <f>HYPERLINK("https://www.washoecounty.gov/assessor/cama/?command=sales&amp;parid=14056232","3869307")</f>
        <v>3869307</v>
      </c>
      <c r="H4651" t="s">
        <v>607</v>
      </c>
      <c r="I4651">
        <v>2005</v>
      </c>
      <c r="J4651">
        <v>2005</v>
      </c>
      <c r="K4651" t="s">
        <v>4554</v>
      </c>
      <c r="L4651" t="s">
        <v>3974</v>
      </c>
      <c r="M4651" s="2">
        <v>2861</v>
      </c>
      <c r="N4651" t="s">
        <v>3147</v>
      </c>
      <c r="O4651">
        <v>5</v>
      </c>
      <c r="P4651">
        <v>3</v>
      </c>
      <c r="Q4651">
        <v>0</v>
      </c>
      <c r="R4651" t="s">
        <v>5281</v>
      </c>
      <c r="S4651" t="s">
        <v>4898</v>
      </c>
      <c r="T4651" t="s">
        <v>2704</v>
      </c>
      <c r="U4651" t="s">
        <v>5631</v>
      </c>
      <c r="V4651" s="2">
        <v>644</v>
      </c>
      <c r="W4651" t="s">
        <v>4655</v>
      </c>
      <c r="X4651" s="2">
        <v>0</v>
      </c>
      <c r="Y4651">
        <v>20</v>
      </c>
      <c r="Z4651" t="s">
        <v>5107</v>
      </c>
      <c r="AA4651" s="3">
        <v>0.161432504653931</v>
      </c>
      <c r="AB4651" t="s">
        <v>185</v>
      </c>
      <c r="AC4651" t="s">
        <v>4562</v>
      </c>
      <c r="AD4651" t="s">
        <v>186</v>
      </c>
      <c r="AE4651" t="s">
        <v>4655</v>
      </c>
      <c r="AF4651" t="s">
        <v>4563</v>
      </c>
      <c r="AG4651" t="s">
        <v>4564</v>
      </c>
      <c r="AH4651" t="s">
        <v>5197</v>
      </c>
      <c r="AI4651" t="s">
        <v>187</v>
      </c>
      <c r="AJ4651" t="s">
        <v>2852</v>
      </c>
      <c r="AK4651" t="s">
        <v>3632</v>
      </c>
      <c r="AL4651" s="13" t="s">
        <v>3430</v>
      </c>
      <c r="AM4651" s="14">
        <v>1</v>
      </c>
      <c r="AN4651" s="15" t="s">
        <v>3879</v>
      </c>
    </row>
    <row r="4652" spans="1:40" x14ac:dyDescent="0.3">
      <c r="A4652" s="10" t="str">
        <f>HYPERLINK("http://www.washoecounty.gov/assessor/cama/?parid=140-571-23&amp;CardNumber=1","140-571-23")</f>
        <v>140-571-23</v>
      </c>
      <c r="B4652" t="s">
        <v>4655</v>
      </c>
      <c r="C4652" t="s">
        <v>24446</v>
      </c>
      <c r="D4652" s="1">
        <v>40308</v>
      </c>
      <c r="E4652" s="2">
        <v>240000</v>
      </c>
      <c r="F4652" t="s">
        <v>4567</v>
      </c>
      <c r="G4652" s="17" t="str">
        <f>HYPERLINK("https://www.washoecounty.gov/assessor/cama/?command=sales&amp;parid=14057123","3879599")</f>
        <v>3879599</v>
      </c>
      <c r="H4652" t="s">
        <v>607</v>
      </c>
      <c r="I4652">
        <v>2005</v>
      </c>
      <c r="J4652">
        <v>2005</v>
      </c>
      <c r="K4652" t="s">
        <v>4554</v>
      </c>
      <c r="L4652" t="s">
        <v>4555</v>
      </c>
      <c r="M4652" s="2">
        <v>2143</v>
      </c>
      <c r="N4652" t="s">
        <v>3147</v>
      </c>
      <c r="O4652">
        <v>4</v>
      </c>
      <c r="P4652">
        <v>3</v>
      </c>
      <c r="Q4652">
        <v>0</v>
      </c>
      <c r="R4652" t="s">
        <v>5281</v>
      </c>
      <c r="S4652" t="s">
        <v>4898</v>
      </c>
      <c r="T4652" t="s">
        <v>2704</v>
      </c>
      <c r="U4652" t="s">
        <v>4560</v>
      </c>
      <c r="V4652" s="2">
        <v>657</v>
      </c>
      <c r="W4652" t="s">
        <v>4655</v>
      </c>
      <c r="X4652" s="2">
        <v>0</v>
      </c>
      <c r="Y4652">
        <v>20</v>
      </c>
      <c r="Z4652" t="s">
        <v>5107</v>
      </c>
      <c r="AA4652" s="3">
        <v>0.14529384672641754</v>
      </c>
      <c r="AB4652" t="s">
        <v>24447</v>
      </c>
      <c r="AC4652" t="s">
        <v>4562</v>
      </c>
      <c r="AD4652" t="s">
        <v>24446</v>
      </c>
      <c r="AE4652" t="s">
        <v>4655</v>
      </c>
      <c r="AF4652" t="s">
        <v>4563</v>
      </c>
      <c r="AG4652" t="s">
        <v>4564</v>
      </c>
      <c r="AH4652" t="s">
        <v>5197</v>
      </c>
      <c r="AI4652" t="s">
        <v>24448</v>
      </c>
      <c r="AJ4652" t="s">
        <v>2852</v>
      </c>
      <c r="AK4652" t="s">
        <v>24449</v>
      </c>
      <c r="AL4652" s="13" t="s">
        <v>3430</v>
      </c>
      <c r="AM4652">
        <v>1</v>
      </c>
      <c r="AN4652" s="15" t="s">
        <v>3879</v>
      </c>
    </row>
    <row r="4653" spans="1:40" x14ac:dyDescent="0.3">
      <c r="A4653" s="10" t="str">
        <f>HYPERLINK("http://www.washoecounty.gov/assessor/cama/?parid=140-571-26&amp;CardNumber=1","140-571-26")</f>
        <v>140-571-26</v>
      </c>
      <c r="B4653" t="s">
        <v>4655</v>
      </c>
      <c r="C4653" t="s">
        <v>24450</v>
      </c>
      <c r="D4653" s="1">
        <v>40218</v>
      </c>
      <c r="E4653" s="2">
        <v>247500</v>
      </c>
      <c r="F4653" t="s">
        <v>4553</v>
      </c>
      <c r="G4653" s="17" t="str">
        <f>HYPERLINK("https://www.washoecounty.gov/assessor/cama/?command=sales&amp;parid=14057126","3847337")</f>
        <v>3847337</v>
      </c>
      <c r="H4653" t="s">
        <v>607</v>
      </c>
      <c r="I4653">
        <v>2005</v>
      </c>
      <c r="J4653">
        <v>2005</v>
      </c>
      <c r="K4653" t="s">
        <v>4554</v>
      </c>
      <c r="L4653" t="s">
        <v>4555</v>
      </c>
      <c r="M4653" s="2">
        <v>2143</v>
      </c>
      <c r="N4653" t="s">
        <v>3147</v>
      </c>
      <c r="O4653">
        <v>4</v>
      </c>
      <c r="P4653">
        <v>3</v>
      </c>
      <c r="Q4653">
        <v>0</v>
      </c>
      <c r="R4653" t="s">
        <v>5281</v>
      </c>
      <c r="S4653" t="s">
        <v>4898</v>
      </c>
      <c r="T4653" t="s">
        <v>2704</v>
      </c>
      <c r="U4653" t="s">
        <v>4560</v>
      </c>
      <c r="V4653" s="2">
        <v>657</v>
      </c>
      <c r="W4653" t="s">
        <v>4655</v>
      </c>
      <c r="X4653" s="2">
        <v>0</v>
      </c>
      <c r="Y4653">
        <v>20</v>
      </c>
      <c r="Z4653" t="s">
        <v>5107</v>
      </c>
      <c r="AA4653" s="3">
        <v>0.14894399046897899</v>
      </c>
      <c r="AB4653" t="s">
        <v>24451</v>
      </c>
      <c r="AC4653" t="s">
        <v>4575</v>
      </c>
      <c r="AD4653" t="s">
        <v>24452</v>
      </c>
      <c r="AE4653" t="s">
        <v>4655</v>
      </c>
      <c r="AF4653" t="s">
        <v>2851</v>
      </c>
      <c r="AG4653" t="s">
        <v>4584</v>
      </c>
      <c r="AH4653" t="s">
        <v>681</v>
      </c>
      <c r="AI4653" t="s">
        <v>24453</v>
      </c>
      <c r="AJ4653" t="s">
        <v>2852</v>
      </c>
      <c r="AK4653" t="s">
        <v>24454</v>
      </c>
      <c r="AL4653" s="13" t="s">
        <v>3430</v>
      </c>
      <c r="AM4653">
        <v>1</v>
      </c>
      <c r="AN4653" s="15" t="s">
        <v>3879</v>
      </c>
    </row>
    <row r="4654" spans="1:40" x14ac:dyDescent="0.3">
      <c r="A4654" s="10" t="str">
        <f>HYPERLINK("http://www.washoecounty.gov/assessor/cama/?parid=140-571-43&amp;CardNumber=1","140-571-43")</f>
        <v>140-571-43</v>
      </c>
      <c r="B4654" t="s">
        <v>4655</v>
      </c>
      <c r="C4654" t="s">
        <v>24455</v>
      </c>
      <c r="D4654" s="1">
        <v>40518</v>
      </c>
      <c r="E4654" s="2">
        <v>191625</v>
      </c>
      <c r="F4654" t="s">
        <v>4553</v>
      </c>
      <c r="G4654" s="17" t="str">
        <f>HYPERLINK("https://www.washoecounty.gov/assessor/cama/?command=sales&amp;parid=14057143","3949815")</f>
        <v>3949815</v>
      </c>
      <c r="H4654" t="s">
        <v>607</v>
      </c>
      <c r="I4654">
        <v>2005</v>
      </c>
      <c r="J4654">
        <v>2005</v>
      </c>
      <c r="K4654" t="s">
        <v>4554</v>
      </c>
      <c r="L4654" t="s">
        <v>3974</v>
      </c>
      <c r="M4654" s="2">
        <v>2361</v>
      </c>
      <c r="N4654" t="s">
        <v>3147</v>
      </c>
      <c r="O4654">
        <v>4</v>
      </c>
      <c r="P4654">
        <v>3</v>
      </c>
      <c r="Q4654">
        <v>0</v>
      </c>
      <c r="R4654" t="s">
        <v>5281</v>
      </c>
      <c r="S4654" t="s">
        <v>4898</v>
      </c>
      <c r="T4654" t="s">
        <v>2704</v>
      </c>
      <c r="U4654" t="s">
        <v>4560</v>
      </c>
      <c r="V4654" s="2">
        <v>633</v>
      </c>
      <c r="W4654" t="s">
        <v>4655</v>
      </c>
      <c r="X4654" s="2">
        <v>0</v>
      </c>
      <c r="Y4654">
        <v>20</v>
      </c>
      <c r="Z4654" t="s">
        <v>5107</v>
      </c>
      <c r="AA4654" s="3">
        <v>0.163751155138016</v>
      </c>
      <c r="AB4654" t="s">
        <v>24456</v>
      </c>
      <c r="AC4654" t="s">
        <v>4562</v>
      </c>
      <c r="AD4654" t="s">
        <v>24457</v>
      </c>
      <c r="AE4654" t="s">
        <v>4655</v>
      </c>
      <c r="AF4654" t="s">
        <v>4563</v>
      </c>
      <c r="AG4654" t="s">
        <v>4564</v>
      </c>
      <c r="AH4654" t="s">
        <v>5197</v>
      </c>
      <c r="AI4654" t="s">
        <v>4903</v>
      </c>
      <c r="AJ4654" t="s">
        <v>2852</v>
      </c>
      <c r="AK4654" t="s">
        <v>24458</v>
      </c>
      <c r="AL4654" s="13" t="s">
        <v>3430</v>
      </c>
      <c r="AM4654" s="14">
        <v>1</v>
      </c>
      <c r="AN4654" s="15" t="s">
        <v>3879</v>
      </c>
    </row>
    <row r="4655" spans="1:40" x14ac:dyDescent="0.3">
      <c r="A4655" s="10" t="str">
        <f>HYPERLINK("http://www.washoecounty.gov/assessor/cama/?parid=140-581-03&amp;CardNumber=1","140-581-03")</f>
        <v>140-581-03</v>
      </c>
      <c r="B4655" t="s">
        <v>4655</v>
      </c>
      <c r="C4655" t="s">
        <v>24459</v>
      </c>
      <c r="D4655" s="1">
        <v>40213</v>
      </c>
      <c r="E4655" s="2">
        <v>210000</v>
      </c>
      <c r="F4655" t="s">
        <v>4567</v>
      </c>
      <c r="G4655" s="17" t="str">
        <f>HYPERLINK("https://www.washoecounty.gov/assessor/cama/?command=sales&amp;parid=14058103","3846187")</f>
        <v>3846187</v>
      </c>
      <c r="H4655" t="s">
        <v>607</v>
      </c>
      <c r="I4655">
        <v>2005</v>
      </c>
      <c r="J4655">
        <v>2005</v>
      </c>
      <c r="K4655" t="s">
        <v>4554</v>
      </c>
      <c r="L4655" t="s">
        <v>4555</v>
      </c>
      <c r="M4655" s="2">
        <v>1575</v>
      </c>
      <c r="N4655" t="s">
        <v>3147</v>
      </c>
      <c r="O4655">
        <v>3</v>
      </c>
      <c r="P4655">
        <v>2</v>
      </c>
      <c r="Q4655">
        <v>0</v>
      </c>
      <c r="R4655" t="s">
        <v>5281</v>
      </c>
      <c r="S4655" t="s">
        <v>4898</v>
      </c>
      <c r="T4655" t="s">
        <v>2704</v>
      </c>
      <c r="U4655" t="s">
        <v>4560</v>
      </c>
      <c r="V4655" s="2">
        <v>439</v>
      </c>
      <c r="W4655" t="s">
        <v>4655</v>
      </c>
      <c r="X4655" s="2">
        <v>0</v>
      </c>
      <c r="Y4655">
        <v>20</v>
      </c>
      <c r="Z4655" t="s">
        <v>5107</v>
      </c>
      <c r="AA4655" s="3">
        <v>0.13792470097541801</v>
      </c>
      <c r="AB4655" t="s">
        <v>24460</v>
      </c>
      <c r="AC4655" t="s">
        <v>4562</v>
      </c>
      <c r="AD4655" t="s">
        <v>24459</v>
      </c>
      <c r="AE4655" t="s">
        <v>4655</v>
      </c>
      <c r="AF4655" t="s">
        <v>4563</v>
      </c>
      <c r="AG4655" t="s">
        <v>4564</v>
      </c>
      <c r="AH4655" t="s">
        <v>5197</v>
      </c>
      <c r="AI4655" t="s">
        <v>24461</v>
      </c>
      <c r="AJ4655" t="s">
        <v>2852</v>
      </c>
      <c r="AK4655" t="s">
        <v>24462</v>
      </c>
      <c r="AL4655" s="13" t="s">
        <v>3430</v>
      </c>
      <c r="AM4655">
        <v>1</v>
      </c>
      <c r="AN4655" s="15" t="s">
        <v>3879</v>
      </c>
    </row>
    <row r="4656" spans="1:40" x14ac:dyDescent="0.3">
      <c r="A4656" s="10" t="str">
        <f>HYPERLINK("http://www.washoecounty.gov/assessor/cama/?parid=140-581-07&amp;CardNumber=1","140-581-07")</f>
        <v>140-581-07</v>
      </c>
      <c r="B4656" t="s">
        <v>4655</v>
      </c>
      <c r="C4656" t="s">
        <v>24463</v>
      </c>
      <c r="D4656" s="1">
        <v>40302</v>
      </c>
      <c r="E4656" s="2">
        <v>275000</v>
      </c>
      <c r="F4656" t="s">
        <v>4567</v>
      </c>
      <c r="G4656" s="17" t="str">
        <f>HYPERLINK("https://www.washoecounty.gov/assessor/cama/?command=sales&amp;parid=14058107","3877981")</f>
        <v>3877981</v>
      </c>
      <c r="H4656" t="s">
        <v>607</v>
      </c>
      <c r="I4656">
        <v>2005</v>
      </c>
      <c r="J4656">
        <v>2005</v>
      </c>
      <c r="K4656" t="s">
        <v>4554</v>
      </c>
      <c r="L4656" t="s">
        <v>3974</v>
      </c>
      <c r="M4656" s="2">
        <v>2361</v>
      </c>
      <c r="N4656" t="s">
        <v>3147</v>
      </c>
      <c r="O4656">
        <v>4</v>
      </c>
      <c r="P4656">
        <v>3</v>
      </c>
      <c r="Q4656">
        <v>0</v>
      </c>
      <c r="R4656" t="s">
        <v>5281</v>
      </c>
      <c r="S4656" t="s">
        <v>4898</v>
      </c>
      <c r="T4656" t="s">
        <v>2704</v>
      </c>
      <c r="U4656" t="s">
        <v>4560</v>
      </c>
      <c r="V4656" s="2">
        <v>633</v>
      </c>
      <c r="W4656" t="s">
        <v>4655</v>
      </c>
      <c r="X4656" s="2">
        <v>0</v>
      </c>
      <c r="Y4656">
        <v>20</v>
      </c>
      <c r="Z4656" t="s">
        <v>5107</v>
      </c>
      <c r="AA4656" s="3">
        <v>0.141000911593437</v>
      </c>
      <c r="AB4656" t="s">
        <v>24464</v>
      </c>
      <c r="AC4656" t="s">
        <v>4562</v>
      </c>
      <c r="AD4656" t="s">
        <v>24463</v>
      </c>
      <c r="AE4656" t="s">
        <v>4655</v>
      </c>
      <c r="AF4656" t="s">
        <v>3114</v>
      </c>
      <c r="AG4656" t="s">
        <v>4564</v>
      </c>
      <c r="AH4656" t="s">
        <v>5197</v>
      </c>
      <c r="AI4656" t="s">
        <v>4655</v>
      </c>
      <c r="AJ4656" t="s">
        <v>2852</v>
      </c>
      <c r="AK4656" t="s">
        <v>24465</v>
      </c>
      <c r="AL4656" s="13" t="s">
        <v>3430</v>
      </c>
      <c r="AM4656">
        <v>1</v>
      </c>
      <c r="AN4656" s="15" t="s">
        <v>3879</v>
      </c>
    </row>
    <row r="4657" spans="1:40" x14ac:dyDescent="0.3">
      <c r="A4657" s="10" t="str">
        <f>HYPERLINK("http://www.washoecounty.gov/assessor/cama/?parid=140-581-20&amp;CardNumber=1","140-581-20")</f>
        <v>140-581-20</v>
      </c>
      <c r="B4657" t="s">
        <v>4655</v>
      </c>
      <c r="C4657" t="s">
        <v>24466</v>
      </c>
      <c r="D4657" s="1">
        <v>40290</v>
      </c>
      <c r="E4657" s="2">
        <v>210000</v>
      </c>
      <c r="F4657" t="s">
        <v>4567</v>
      </c>
      <c r="G4657" s="17" t="str">
        <f>HYPERLINK("https://www.washoecounty.gov/assessor/cama/?command=sales&amp;parid=14058120","3873713")</f>
        <v>3873713</v>
      </c>
      <c r="H4657" t="s">
        <v>607</v>
      </c>
      <c r="I4657">
        <v>2005</v>
      </c>
      <c r="J4657">
        <v>2005</v>
      </c>
      <c r="K4657" t="s">
        <v>4554</v>
      </c>
      <c r="L4657" t="s">
        <v>4555</v>
      </c>
      <c r="M4657" s="2">
        <v>1575</v>
      </c>
      <c r="N4657" t="s">
        <v>3147</v>
      </c>
      <c r="O4657">
        <v>3</v>
      </c>
      <c r="P4657">
        <v>2</v>
      </c>
      <c r="Q4657">
        <v>0</v>
      </c>
      <c r="R4657" t="s">
        <v>5281</v>
      </c>
      <c r="S4657" t="s">
        <v>4898</v>
      </c>
      <c r="T4657" t="s">
        <v>2704</v>
      </c>
      <c r="U4657" t="s">
        <v>4560</v>
      </c>
      <c r="V4657" s="2">
        <v>439</v>
      </c>
      <c r="W4657" t="s">
        <v>4655</v>
      </c>
      <c r="X4657" s="2">
        <v>0</v>
      </c>
      <c r="Y4657">
        <v>20</v>
      </c>
      <c r="Z4657" t="s">
        <v>5107</v>
      </c>
      <c r="AA4657" s="3">
        <v>0.137970611453056</v>
      </c>
      <c r="AB4657" t="s">
        <v>24467</v>
      </c>
      <c r="AC4657" t="s">
        <v>4562</v>
      </c>
      <c r="AD4657" t="s">
        <v>24466</v>
      </c>
      <c r="AE4657" t="s">
        <v>4655</v>
      </c>
      <c r="AF4657" t="s">
        <v>4563</v>
      </c>
      <c r="AG4657" t="s">
        <v>4564</v>
      </c>
      <c r="AH4657" t="s">
        <v>5197</v>
      </c>
      <c r="AI4657" t="s">
        <v>4655</v>
      </c>
      <c r="AJ4657" t="s">
        <v>2852</v>
      </c>
      <c r="AK4657" t="s">
        <v>24468</v>
      </c>
      <c r="AL4657" s="13" t="s">
        <v>3430</v>
      </c>
      <c r="AM4657">
        <v>1</v>
      </c>
      <c r="AN4657" s="15" t="s">
        <v>3879</v>
      </c>
    </row>
    <row r="4658" spans="1:40" x14ac:dyDescent="0.3">
      <c r="A4658" s="10" t="str">
        <f>HYPERLINK("http://www.washoecounty.gov/assessor/cama/?parid=140-581-35&amp;CardNumber=1","140-581-35")</f>
        <v>140-581-35</v>
      </c>
      <c r="B4658" t="s">
        <v>4655</v>
      </c>
      <c r="C4658" t="s">
        <v>24469</v>
      </c>
      <c r="D4658" s="1">
        <v>40541</v>
      </c>
      <c r="E4658" s="2">
        <v>216000</v>
      </c>
      <c r="F4658" t="s">
        <v>4553</v>
      </c>
      <c r="G4658" s="17" t="str">
        <f>HYPERLINK("https://www.washoecounty.gov/assessor/cama/?command=sales&amp;parid=14058135","3958511")</f>
        <v>3958511</v>
      </c>
      <c r="H4658" t="s">
        <v>607</v>
      </c>
      <c r="I4658">
        <v>2005</v>
      </c>
      <c r="J4658">
        <v>2005</v>
      </c>
      <c r="K4658" t="s">
        <v>4554</v>
      </c>
      <c r="L4658" t="s">
        <v>4555</v>
      </c>
      <c r="M4658" s="2">
        <v>1835</v>
      </c>
      <c r="N4658" t="s">
        <v>3147</v>
      </c>
      <c r="O4658">
        <v>3</v>
      </c>
      <c r="P4658">
        <v>2</v>
      </c>
      <c r="Q4658">
        <v>0</v>
      </c>
      <c r="R4658" t="s">
        <v>5281</v>
      </c>
      <c r="S4658" t="s">
        <v>4898</v>
      </c>
      <c r="T4658" t="s">
        <v>2704</v>
      </c>
      <c r="U4658" t="s">
        <v>4560</v>
      </c>
      <c r="V4658" s="2">
        <v>420</v>
      </c>
      <c r="W4658" t="s">
        <v>4655</v>
      </c>
      <c r="X4658" s="2">
        <v>0</v>
      </c>
      <c r="Y4658">
        <v>20</v>
      </c>
      <c r="Z4658" t="s">
        <v>5107</v>
      </c>
      <c r="AA4658" s="3">
        <v>0.149357214570045</v>
      </c>
      <c r="AB4658" t="s">
        <v>24470</v>
      </c>
      <c r="AC4658" t="s">
        <v>4562</v>
      </c>
      <c r="AD4658" t="s">
        <v>24471</v>
      </c>
      <c r="AE4658" t="s">
        <v>4655</v>
      </c>
      <c r="AF4658" t="s">
        <v>1407</v>
      </c>
      <c r="AG4658" t="s">
        <v>4564</v>
      </c>
      <c r="AH4658">
        <v>89701</v>
      </c>
      <c r="AI4658" t="s">
        <v>4903</v>
      </c>
      <c r="AJ4658" t="s">
        <v>2852</v>
      </c>
      <c r="AK4658" t="s">
        <v>24472</v>
      </c>
      <c r="AL4658" s="13" t="s">
        <v>3430</v>
      </c>
      <c r="AM4658">
        <v>1</v>
      </c>
      <c r="AN4658" s="15" t="s">
        <v>3879</v>
      </c>
    </row>
    <row r="4659" spans="1:40" x14ac:dyDescent="0.3">
      <c r="A4659" s="10" t="str">
        <f>HYPERLINK("http://www.washoecounty.gov/assessor/cama/?parid=140-591-03&amp;CardNumber=1","140-591-03")</f>
        <v>140-591-03</v>
      </c>
      <c r="B4659" t="s">
        <v>4655</v>
      </c>
      <c r="C4659" t="s">
        <v>619</v>
      </c>
      <c r="D4659" s="1">
        <v>40539</v>
      </c>
      <c r="E4659" s="2">
        <v>289000</v>
      </c>
      <c r="F4659" t="s">
        <v>4553</v>
      </c>
      <c r="G4659" s="17" t="str">
        <f>HYPERLINK("https://www.washoecounty.gov/assessor/cama/?command=sales&amp;parid=14059103","3957486")</f>
        <v>3957486</v>
      </c>
      <c r="H4659" t="s">
        <v>607</v>
      </c>
      <c r="I4659">
        <v>2005</v>
      </c>
      <c r="J4659">
        <v>2005</v>
      </c>
      <c r="K4659" t="s">
        <v>4554</v>
      </c>
      <c r="L4659" t="s">
        <v>3974</v>
      </c>
      <c r="M4659" s="2">
        <v>3564</v>
      </c>
      <c r="N4659" t="s">
        <v>3147</v>
      </c>
      <c r="O4659">
        <v>4</v>
      </c>
      <c r="P4659">
        <v>3</v>
      </c>
      <c r="Q4659">
        <v>1</v>
      </c>
      <c r="R4659" t="s">
        <v>5281</v>
      </c>
      <c r="S4659" t="s">
        <v>4898</v>
      </c>
      <c r="T4659" t="s">
        <v>2704</v>
      </c>
      <c r="U4659" t="s">
        <v>5631</v>
      </c>
      <c r="V4659" s="2">
        <v>713</v>
      </c>
      <c r="W4659" t="s">
        <v>4655</v>
      </c>
      <c r="X4659" s="2">
        <v>0</v>
      </c>
      <c r="Y4659">
        <v>20</v>
      </c>
      <c r="Z4659" t="s">
        <v>5107</v>
      </c>
      <c r="AA4659" s="3">
        <v>0.25918275117874101</v>
      </c>
      <c r="AB4659" t="s">
        <v>620</v>
      </c>
      <c r="AC4659" t="s">
        <v>4562</v>
      </c>
      <c r="AD4659" t="s">
        <v>619</v>
      </c>
      <c r="AE4659" t="s">
        <v>4655</v>
      </c>
      <c r="AF4659" t="s">
        <v>4563</v>
      </c>
      <c r="AG4659" t="s">
        <v>4564</v>
      </c>
      <c r="AH4659" t="s">
        <v>5197</v>
      </c>
      <c r="AI4659" t="s">
        <v>4585</v>
      </c>
      <c r="AJ4659" t="s">
        <v>2880</v>
      </c>
      <c r="AK4659" t="s">
        <v>621</v>
      </c>
      <c r="AL4659" s="13" t="s">
        <v>3430</v>
      </c>
      <c r="AM4659">
        <v>1</v>
      </c>
      <c r="AN4659" s="15" t="s">
        <v>3879</v>
      </c>
    </row>
    <row r="4660" spans="1:40" x14ac:dyDescent="0.3">
      <c r="A4660" s="10" t="str">
        <f>HYPERLINK("http://www.washoecounty.gov/assessor/cama/?parid=140-591-14&amp;CardNumber=1","140-591-14")</f>
        <v>140-591-14</v>
      </c>
      <c r="B4660" t="s">
        <v>4655</v>
      </c>
      <c r="C4660" t="s">
        <v>24473</v>
      </c>
      <c r="D4660" s="1">
        <v>40487</v>
      </c>
      <c r="E4660" s="2">
        <v>295000</v>
      </c>
      <c r="F4660" t="s">
        <v>4553</v>
      </c>
      <c r="G4660" s="17" t="str">
        <f>HYPERLINK("https://www.washoecounty.gov/assessor/cama/?command=sales&amp;parid=14059114","3940654")</f>
        <v>3940654</v>
      </c>
      <c r="H4660" t="s">
        <v>607</v>
      </c>
      <c r="I4660">
        <v>2005</v>
      </c>
      <c r="J4660">
        <v>2005</v>
      </c>
      <c r="K4660" t="s">
        <v>4554</v>
      </c>
      <c r="L4660" t="s">
        <v>4555</v>
      </c>
      <c r="M4660" s="2">
        <v>2516</v>
      </c>
      <c r="N4660" t="s">
        <v>3147</v>
      </c>
      <c r="O4660">
        <v>4</v>
      </c>
      <c r="P4660">
        <v>2</v>
      </c>
      <c r="Q4660">
        <v>1</v>
      </c>
      <c r="R4660" t="s">
        <v>5281</v>
      </c>
      <c r="S4660" t="s">
        <v>4898</v>
      </c>
      <c r="T4660" t="s">
        <v>2704</v>
      </c>
      <c r="U4660" t="s">
        <v>4560</v>
      </c>
      <c r="V4660" s="2">
        <v>648</v>
      </c>
      <c r="W4660" t="s">
        <v>4655</v>
      </c>
      <c r="X4660" s="2">
        <v>0</v>
      </c>
      <c r="Y4660">
        <v>20</v>
      </c>
      <c r="Z4660" t="s">
        <v>5107</v>
      </c>
      <c r="AA4660" s="3">
        <v>0.294536262750626</v>
      </c>
      <c r="AB4660" t="s">
        <v>24474</v>
      </c>
      <c r="AC4660" t="s">
        <v>4562</v>
      </c>
      <c r="AD4660" t="s">
        <v>24473</v>
      </c>
      <c r="AE4660" t="s">
        <v>4655</v>
      </c>
      <c r="AF4660" t="s">
        <v>4563</v>
      </c>
      <c r="AG4660" t="s">
        <v>4564</v>
      </c>
      <c r="AH4660" t="s">
        <v>5197</v>
      </c>
      <c r="AI4660" t="s">
        <v>24475</v>
      </c>
      <c r="AJ4660" t="s">
        <v>2880</v>
      </c>
      <c r="AK4660" t="s">
        <v>24476</v>
      </c>
      <c r="AL4660" s="13" t="s">
        <v>3430</v>
      </c>
      <c r="AM4660">
        <v>1</v>
      </c>
      <c r="AN4660" s="15" t="s">
        <v>3879</v>
      </c>
    </row>
    <row r="4661" spans="1:40" x14ac:dyDescent="0.3">
      <c r="A4661" s="10" t="str">
        <f>HYPERLINK("http://www.washoecounty.gov/assessor/cama/?parid=140-611-01&amp;CardNumber=1","140-611-01")</f>
        <v>140-611-01</v>
      </c>
      <c r="B4661" t="s">
        <v>4655</v>
      </c>
      <c r="C4661" t="s">
        <v>24477</v>
      </c>
      <c r="D4661" s="1">
        <v>40297</v>
      </c>
      <c r="E4661" s="2">
        <v>164900</v>
      </c>
      <c r="F4661" t="s">
        <v>4553</v>
      </c>
      <c r="G4661" s="17" t="str">
        <f>HYPERLINK("https://www.washoecounty.gov/assessor/cama/?command=sales&amp;parid=14061101","3876229")</f>
        <v>3876229</v>
      </c>
      <c r="H4661" t="s">
        <v>4393</v>
      </c>
      <c r="I4661">
        <v>2005</v>
      </c>
      <c r="J4661">
        <v>2005</v>
      </c>
      <c r="K4661" t="s">
        <v>4897</v>
      </c>
      <c r="L4661" t="s">
        <v>3974</v>
      </c>
      <c r="M4661" s="2">
        <v>1328</v>
      </c>
      <c r="N4661" t="s">
        <v>5280</v>
      </c>
      <c r="O4661">
        <v>2</v>
      </c>
      <c r="P4661">
        <v>2</v>
      </c>
      <c r="Q4661">
        <v>1</v>
      </c>
      <c r="R4661" t="s">
        <v>4557</v>
      </c>
      <c r="S4661" t="s">
        <v>4898</v>
      </c>
      <c r="T4661" t="s">
        <v>4559</v>
      </c>
      <c r="U4661" t="s">
        <v>4560</v>
      </c>
      <c r="V4661" s="2">
        <v>440</v>
      </c>
      <c r="W4661" t="s">
        <v>4655</v>
      </c>
      <c r="X4661" s="2">
        <v>0</v>
      </c>
      <c r="Y4661">
        <v>20</v>
      </c>
      <c r="Z4661" t="s">
        <v>5107</v>
      </c>
      <c r="AA4661" s="3">
        <v>8.9393936097621904E-2</v>
      </c>
      <c r="AB4661" t="s">
        <v>24478</v>
      </c>
      <c r="AC4661" t="s">
        <v>4562</v>
      </c>
      <c r="AD4661" t="s">
        <v>24477</v>
      </c>
      <c r="AE4661" t="s">
        <v>4655</v>
      </c>
      <c r="AF4661" t="s">
        <v>4563</v>
      </c>
      <c r="AG4661" t="s">
        <v>4564</v>
      </c>
      <c r="AH4661" t="s">
        <v>5197</v>
      </c>
      <c r="AI4661" t="s">
        <v>2445</v>
      </c>
      <c r="AJ4661" t="s">
        <v>4394</v>
      </c>
      <c r="AK4661" t="s">
        <v>24479</v>
      </c>
      <c r="AL4661" s="13" t="s">
        <v>2257</v>
      </c>
      <c r="AM4661" s="14">
        <v>1</v>
      </c>
      <c r="AN4661" s="15" t="s">
        <v>4395</v>
      </c>
    </row>
    <row r="4662" spans="1:40" x14ac:dyDescent="0.3">
      <c r="A4662" s="10" t="str">
        <f>HYPERLINK("http://www.washoecounty.gov/assessor/cama/?parid=140-613-05&amp;CardNumber=1","140-613-05")</f>
        <v>140-613-05</v>
      </c>
      <c r="B4662" t="s">
        <v>4655</v>
      </c>
      <c r="C4662" t="s">
        <v>24480</v>
      </c>
      <c r="D4662" s="1">
        <v>40533</v>
      </c>
      <c r="E4662" s="2">
        <v>150000</v>
      </c>
      <c r="F4662" t="s">
        <v>4553</v>
      </c>
      <c r="G4662" s="17" t="str">
        <f>HYPERLINK("https://www.washoecounty.gov/assessor/cama/?command=sales&amp;parid=14061305","3956038")</f>
        <v>3956038</v>
      </c>
      <c r="H4662" t="s">
        <v>4393</v>
      </c>
      <c r="I4662">
        <v>2005</v>
      </c>
      <c r="J4662">
        <v>2005</v>
      </c>
      <c r="K4662" t="s">
        <v>4897</v>
      </c>
      <c r="L4662" t="s">
        <v>3974</v>
      </c>
      <c r="M4662" s="2">
        <v>1860</v>
      </c>
      <c r="N4662" t="s">
        <v>5280</v>
      </c>
      <c r="O4662">
        <v>3</v>
      </c>
      <c r="P4662">
        <v>2</v>
      </c>
      <c r="Q4662">
        <v>1</v>
      </c>
      <c r="R4662" t="s">
        <v>4557</v>
      </c>
      <c r="S4662" t="s">
        <v>4898</v>
      </c>
      <c r="T4662" t="s">
        <v>4559</v>
      </c>
      <c r="U4662" t="s">
        <v>5631</v>
      </c>
      <c r="V4662" s="2">
        <v>440</v>
      </c>
      <c r="W4662" t="s">
        <v>4655</v>
      </c>
      <c r="X4662" s="2">
        <v>0</v>
      </c>
      <c r="Y4662">
        <v>20</v>
      </c>
      <c r="Z4662" t="s">
        <v>5107</v>
      </c>
      <c r="AA4662" s="3">
        <v>6.6437095403671306E-2</v>
      </c>
      <c r="AB4662" t="s">
        <v>5449</v>
      </c>
      <c r="AC4662" t="s">
        <v>4575</v>
      </c>
      <c r="AD4662" t="s">
        <v>5450</v>
      </c>
      <c r="AE4662" t="s">
        <v>4655</v>
      </c>
      <c r="AF4662" t="s">
        <v>4563</v>
      </c>
      <c r="AG4662" t="s">
        <v>4564</v>
      </c>
      <c r="AH4662">
        <v>89511</v>
      </c>
      <c r="AI4662" t="s">
        <v>2351</v>
      </c>
      <c r="AJ4662" t="s">
        <v>4394</v>
      </c>
      <c r="AK4662" t="s">
        <v>24481</v>
      </c>
      <c r="AL4662" s="13" t="s">
        <v>2257</v>
      </c>
      <c r="AM4662">
        <v>1</v>
      </c>
      <c r="AN4662" s="15" t="s">
        <v>4395</v>
      </c>
    </row>
    <row r="4663" spans="1:40" x14ac:dyDescent="0.3">
      <c r="A4663" s="10" t="str">
        <f>HYPERLINK("http://www.washoecounty.gov/assessor/cama/?parid=140-613-08&amp;CardNumber=1","140-613-08")</f>
        <v>140-613-08</v>
      </c>
      <c r="B4663" t="s">
        <v>4655</v>
      </c>
      <c r="C4663" t="s">
        <v>24482</v>
      </c>
      <c r="D4663" s="1">
        <v>40281</v>
      </c>
      <c r="E4663" s="2">
        <v>190000</v>
      </c>
      <c r="F4663" t="s">
        <v>4567</v>
      </c>
      <c r="G4663" s="17" t="str">
        <f>HYPERLINK("https://www.washoecounty.gov/assessor/cama/?command=sales&amp;parid=14061308","3870450")</f>
        <v>3870450</v>
      </c>
      <c r="H4663" t="s">
        <v>4393</v>
      </c>
      <c r="I4663">
        <v>2005</v>
      </c>
      <c r="J4663">
        <v>2005</v>
      </c>
      <c r="K4663" t="s">
        <v>4897</v>
      </c>
      <c r="L4663" t="s">
        <v>3974</v>
      </c>
      <c r="M4663" s="2">
        <v>1860</v>
      </c>
      <c r="N4663" t="s">
        <v>5280</v>
      </c>
      <c r="O4663">
        <v>3</v>
      </c>
      <c r="P4663">
        <v>2</v>
      </c>
      <c r="Q4663">
        <v>1</v>
      </c>
      <c r="R4663" t="s">
        <v>4557</v>
      </c>
      <c r="S4663" t="s">
        <v>4898</v>
      </c>
      <c r="T4663" t="s">
        <v>4559</v>
      </c>
      <c r="U4663" t="s">
        <v>5631</v>
      </c>
      <c r="V4663" s="2">
        <v>440</v>
      </c>
      <c r="W4663" t="s">
        <v>4655</v>
      </c>
      <c r="X4663" s="2">
        <v>0</v>
      </c>
      <c r="Y4663">
        <v>20</v>
      </c>
      <c r="Z4663" t="s">
        <v>5107</v>
      </c>
      <c r="AA4663" s="3">
        <v>8.1473827362060505E-2</v>
      </c>
      <c r="AB4663" t="s">
        <v>24483</v>
      </c>
      <c r="AC4663" t="s">
        <v>4562</v>
      </c>
      <c r="AD4663" t="s">
        <v>24482</v>
      </c>
      <c r="AE4663" t="s">
        <v>4655</v>
      </c>
      <c r="AF4663" t="s">
        <v>4563</v>
      </c>
      <c r="AG4663" t="s">
        <v>4564</v>
      </c>
      <c r="AH4663" t="s">
        <v>5197</v>
      </c>
      <c r="AI4663" t="s">
        <v>24484</v>
      </c>
      <c r="AJ4663" t="s">
        <v>4394</v>
      </c>
      <c r="AK4663" t="s">
        <v>24485</v>
      </c>
      <c r="AL4663" s="13" t="s">
        <v>2257</v>
      </c>
      <c r="AM4663" s="14">
        <v>1</v>
      </c>
      <c r="AN4663" s="15" t="s">
        <v>4395</v>
      </c>
    </row>
    <row r="4664" spans="1:40" x14ac:dyDescent="0.3">
      <c r="A4664" s="10" t="str">
        <f>HYPERLINK("http://www.washoecounty.gov/assessor/cama/?parid=140-613-09&amp;CardNumber=1","140-613-09")</f>
        <v>140-613-09</v>
      </c>
      <c r="B4664" t="s">
        <v>4655</v>
      </c>
      <c r="C4664" t="s">
        <v>24486</v>
      </c>
      <c r="D4664" s="1">
        <v>40359</v>
      </c>
      <c r="E4664" s="2">
        <v>180000</v>
      </c>
      <c r="F4664" t="s">
        <v>4567</v>
      </c>
      <c r="G4664" s="17" t="str">
        <f>HYPERLINK("https://www.washoecounty.gov/assessor/cama/?command=sales&amp;parid=14061309","3897467")</f>
        <v>3897467</v>
      </c>
      <c r="H4664" t="s">
        <v>4393</v>
      </c>
      <c r="I4664">
        <v>2005</v>
      </c>
      <c r="J4664">
        <v>2005</v>
      </c>
      <c r="K4664" t="s">
        <v>4897</v>
      </c>
      <c r="L4664" t="s">
        <v>3974</v>
      </c>
      <c r="M4664" s="2">
        <v>1834</v>
      </c>
      <c r="N4664" t="s">
        <v>5280</v>
      </c>
      <c r="O4664">
        <v>3</v>
      </c>
      <c r="P4664">
        <v>2</v>
      </c>
      <c r="Q4664">
        <v>1</v>
      </c>
      <c r="R4664" t="s">
        <v>4557</v>
      </c>
      <c r="S4664" t="s">
        <v>4898</v>
      </c>
      <c r="T4664" t="s">
        <v>4559</v>
      </c>
      <c r="U4664" t="s">
        <v>5631</v>
      </c>
      <c r="V4664" s="2">
        <v>440</v>
      </c>
      <c r="W4664" t="s">
        <v>4655</v>
      </c>
      <c r="X4664" s="2">
        <v>0</v>
      </c>
      <c r="Y4664">
        <v>20</v>
      </c>
      <c r="Z4664" t="s">
        <v>5107</v>
      </c>
      <c r="AA4664" s="3">
        <v>8.8682278990745503E-2</v>
      </c>
      <c r="AB4664" t="s">
        <v>24487</v>
      </c>
      <c r="AC4664" t="s">
        <v>4562</v>
      </c>
      <c r="AD4664" t="s">
        <v>24486</v>
      </c>
      <c r="AE4664" t="s">
        <v>4655</v>
      </c>
      <c r="AF4664" t="s">
        <v>4563</v>
      </c>
      <c r="AG4664" t="s">
        <v>4564</v>
      </c>
      <c r="AH4664" t="s">
        <v>5197</v>
      </c>
      <c r="AI4664" t="s">
        <v>24488</v>
      </c>
      <c r="AJ4664" t="s">
        <v>4394</v>
      </c>
      <c r="AK4664" t="s">
        <v>24489</v>
      </c>
      <c r="AL4664" s="13" t="s">
        <v>2257</v>
      </c>
      <c r="AM4664">
        <v>1</v>
      </c>
      <c r="AN4664" s="15" t="s">
        <v>4395</v>
      </c>
    </row>
    <row r="4665" spans="1:40" x14ac:dyDescent="0.3">
      <c r="A4665" s="10" t="str">
        <f>HYPERLINK("http://www.washoecounty.gov/assessor/cama/?parid=140-613-13&amp;CardNumber=1","140-613-13")</f>
        <v>140-613-13</v>
      </c>
      <c r="B4665" t="s">
        <v>4655</v>
      </c>
      <c r="C4665" t="s">
        <v>24490</v>
      </c>
      <c r="D4665" s="1">
        <v>40520</v>
      </c>
      <c r="E4665" s="2">
        <v>137000</v>
      </c>
      <c r="F4665" t="s">
        <v>4567</v>
      </c>
      <c r="G4665" s="17" t="str">
        <f>HYPERLINK("https://www.washoecounty.gov/assessor/cama/?command=sales&amp;parid=14061313","3951101")</f>
        <v>3951101</v>
      </c>
      <c r="H4665" t="s">
        <v>4393</v>
      </c>
      <c r="I4665">
        <v>2005</v>
      </c>
      <c r="J4665">
        <v>2005</v>
      </c>
      <c r="K4665" t="s">
        <v>4897</v>
      </c>
      <c r="L4665" t="s">
        <v>3974</v>
      </c>
      <c r="M4665" s="2">
        <v>1328</v>
      </c>
      <c r="N4665" t="s">
        <v>5280</v>
      </c>
      <c r="O4665">
        <v>2</v>
      </c>
      <c r="P4665">
        <v>2</v>
      </c>
      <c r="Q4665">
        <v>1</v>
      </c>
      <c r="R4665" t="s">
        <v>4557</v>
      </c>
      <c r="S4665" t="s">
        <v>4898</v>
      </c>
      <c r="T4665" t="s">
        <v>4559</v>
      </c>
      <c r="U4665" t="s">
        <v>4560</v>
      </c>
      <c r="V4665" s="2">
        <v>440</v>
      </c>
      <c r="W4665" t="s">
        <v>4655</v>
      </c>
      <c r="X4665" s="2">
        <v>0</v>
      </c>
      <c r="Y4665">
        <v>20</v>
      </c>
      <c r="Z4665" t="s">
        <v>5107</v>
      </c>
      <c r="AA4665" s="3">
        <v>6.5266296267509502E-2</v>
      </c>
      <c r="AB4665" t="s">
        <v>24491</v>
      </c>
      <c r="AC4665" t="s">
        <v>4575</v>
      </c>
      <c r="AD4665" t="s">
        <v>24490</v>
      </c>
      <c r="AE4665" t="s">
        <v>4655</v>
      </c>
      <c r="AF4665" t="s">
        <v>4563</v>
      </c>
      <c r="AG4665" t="s">
        <v>4564</v>
      </c>
      <c r="AH4665" t="s">
        <v>5197</v>
      </c>
      <c r="AI4665" t="s">
        <v>4655</v>
      </c>
      <c r="AJ4665" t="s">
        <v>4394</v>
      </c>
      <c r="AK4665" t="s">
        <v>24492</v>
      </c>
      <c r="AL4665" s="13" t="s">
        <v>2257</v>
      </c>
      <c r="AM4665">
        <v>1</v>
      </c>
      <c r="AN4665" s="15" t="s">
        <v>4395</v>
      </c>
    </row>
    <row r="4666" spans="1:40" x14ac:dyDescent="0.3">
      <c r="A4666" s="10" t="str">
        <f>HYPERLINK("http://www.washoecounty.gov/assessor/cama/?parid=140-623-04&amp;CardNumber=1","140-623-04")</f>
        <v>140-623-04</v>
      </c>
      <c r="B4666" t="s">
        <v>4655</v>
      </c>
      <c r="C4666" t="s">
        <v>24493</v>
      </c>
      <c r="D4666" s="1">
        <v>40266</v>
      </c>
      <c r="E4666" s="2">
        <v>169000</v>
      </c>
      <c r="F4666" t="s">
        <v>4567</v>
      </c>
      <c r="G4666" s="17" t="str">
        <f>HYPERLINK("https://www.washoecounty.gov/assessor/cama/?command=sales&amp;parid=14062304","3865175")</f>
        <v>3865175</v>
      </c>
      <c r="H4666" t="s">
        <v>4393</v>
      </c>
      <c r="I4666">
        <v>2006</v>
      </c>
      <c r="J4666">
        <v>2006</v>
      </c>
      <c r="K4666" t="s">
        <v>4897</v>
      </c>
      <c r="L4666" t="s">
        <v>3974</v>
      </c>
      <c r="M4666" s="2">
        <v>1780</v>
      </c>
      <c r="N4666" t="s">
        <v>5280</v>
      </c>
      <c r="O4666">
        <v>3</v>
      </c>
      <c r="P4666">
        <v>2</v>
      </c>
      <c r="Q4666">
        <v>1</v>
      </c>
      <c r="R4666" t="s">
        <v>5281</v>
      </c>
      <c r="S4666" t="s">
        <v>4898</v>
      </c>
      <c r="T4666" t="s">
        <v>4559</v>
      </c>
      <c r="U4666" t="s">
        <v>5631</v>
      </c>
      <c r="V4666" s="2">
        <v>440</v>
      </c>
      <c r="W4666" t="s">
        <v>4655</v>
      </c>
      <c r="X4666" s="2">
        <v>0</v>
      </c>
      <c r="Y4666">
        <v>20</v>
      </c>
      <c r="Z4666" t="s">
        <v>5107</v>
      </c>
      <c r="AA4666" s="3">
        <v>6.5013773739337893E-2</v>
      </c>
      <c r="AB4666" t="s">
        <v>24494</v>
      </c>
      <c r="AC4666" t="s">
        <v>4562</v>
      </c>
      <c r="AD4666" t="s">
        <v>24495</v>
      </c>
      <c r="AE4666" t="s">
        <v>4655</v>
      </c>
      <c r="AF4666" t="s">
        <v>4563</v>
      </c>
      <c r="AG4666" t="s">
        <v>4564</v>
      </c>
      <c r="AH4666" t="s">
        <v>5197</v>
      </c>
      <c r="AI4666" t="s">
        <v>4655</v>
      </c>
      <c r="AJ4666" t="s">
        <v>4394</v>
      </c>
      <c r="AK4666" t="s">
        <v>24496</v>
      </c>
      <c r="AL4666" s="13" t="s">
        <v>2257</v>
      </c>
      <c r="AM4666" s="14">
        <v>1</v>
      </c>
      <c r="AN4666" s="15" t="s">
        <v>4395</v>
      </c>
    </row>
    <row r="4667" spans="1:40" x14ac:dyDescent="0.3">
      <c r="A4667" s="10" t="str">
        <f>HYPERLINK("http://www.washoecounty.gov/assessor/cama/?parid=140-623-07&amp;CardNumber=1","140-623-07")</f>
        <v>140-623-07</v>
      </c>
      <c r="B4667" t="s">
        <v>4655</v>
      </c>
      <c r="C4667" t="s">
        <v>24497</v>
      </c>
      <c r="D4667" s="1">
        <v>40396</v>
      </c>
      <c r="E4667" s="2">
        <v>155000</v>
      </c>
      <c r="F4667" t="s">
        <v>4553</v>
      </c>
      <c r="G4667" s="17" t="str">
        <f>HYPERLINK("https://www.washoecounty.gov/assessor/cama/?command=sales&amp;parid=14062307","3909421")</f>
        <v>3909421</v>
      </c>
      <c r="H4667" t="s">
        <v>4393</v>
      </c>
      <c r="I4667">
        <v>2006</v>
      </c>
      <c r="J4667">
        <v>2006</v>
      </c>
      <c r="K4667" t="s">
        <v>4897</v>
      </c>
      <c r="L4667" t="s">
        <v>3974</v>
      </c>
      <c r="M4667" s="2">
        <v>1540</v>
      </c>
      <c r="N4667" t="s">
        <v>5280</v>
      </c>
      <c r="O4667">
        <v>3</v>
      </c>
      <c r="P4667">
        <v>2</v>
      </c>
      <c r="Q4667">
        <v>1</v>
      </c>
      <c r="R4667" t="s">
        <v>4557</v>
      </c>
      <c r="S4667" t="s">
        <v>4898</v>
      </c>
      <c r="T4667" t="s">
        <v>4559</v>
      </c>
      <c r="U4667" t="s">
        <v>5631</v>
      </c>
      <c r="V4667" s="2">
        <v>440</v>
      </c>
      <c r="W4667" t="s">
        <v>4655</v>
      </c>
      <c r="X4667" s="2">
        <v>0</v>
      </c>
      <c r="Y4667">
        <v>20</v>
      </c>
      <c r="Z4667" t="s">
        <v>5107</v>
      </c>
      <c r="AA4667" s="3">
        <v>6.3383840024471297E-2</v>
      </c>
      <c r="AB4667" t="s">
        <v>939</v>
      </c>
      <c r="AC4667" t="s">
        <v>4562</v>
      </c>
      <c r="AD4667" t="s">
        <v>940</v>
      </c>
      <c r="AE4667" t="s">
        <v>4655</v>
      </c>
      <c r="AF4667" t="s">
        <v>3150</v>
      </c>
      <c r="AG4667" t="s">
        <v>4584</v>
      </c>
      <c r="AH4667" t="s">
        <v>3151</v>
      </c>
      <c r="AI4667" t="s">
        <v>4503</v>
      </c>
      <c r="AJ4667" t="s">
        <v>4394</v>
      </c>
      <c r="AK4667" t="s">
        <v>24498</v>
      </c>
      <c r="AL4667" s="13" t="s">
        <v>2257</v>
      </c>
      <c r="AM4667" s="14">
        <v>1</v>
      </c>
      <c r="AN4667" s="15" t="s">
        <v>4395</v>
      </c>
    </row>
    <row r="4668" spans="1:40" x14ac:dyDescent="0.3">
      <c r="A4668" s="10" t="str">
        <f>HYPERLINK("http://www.washoecounty.gov/assessor/cama/?parid=140-625-01&amp;CardNumber=1","140-625-01")</f>
        <v>140-625-01</v>
      </c>
      <c r="B4668" t="s">
        <v>4655</v>
      </c>
      <c r="C4668" t="s">
        <v>24499</v>
      </c>
      <c r="D4668" s="1">
        <v>40487</v>
      </c>
      <c r="E4668" s="2">
        <v>136800</v>
      </c>
      <c r="F4668" t="s">
        <v>4553</v>
      </c>
      <c r="G4668" s="17" t="str">
        <f>HYPERLINK("https://www.washoecounty.gov/assessor/cama/?command=sales&amp;parid=14062501","3940319")</f>
        <v>3940319</v>
      </c>
      <c r="H4668" t="s">
        <v>4393</v>
      </c>
      <c r="I4668">
        <v>2006</v>
      </c>
      <c r="J4668">
        <v>2006</v>
      </c>
      <c r="K4668" t="s">
        <v>4897</v>
      </c>
      <c r="L4668" t="s">
        <v>3974</v>
      </c>
      <c r="M4668" s="2">
        <v>1540</v>
      </c>
      <c r="N4668" t="s">
        <v>5280</v>
      </c>
      <c r="O4668">
        <v>3</v>
      </c>
      <c r="P4668">
        <v>2</v>
      </c>
      <c r="Q4668">
        <v>1</v>
      </c>
      <c r="R4668" t="s">
        <v>4557</v>
      </c>
      <c r="S4668" t="s">
        <v>4898</v>
      </c>
      <c r="T4668" t="s">
        <v>4559</v>
      </c>
      <c r="U4668" t="s">
        <v>5631</v>
      </c>
      <c r="V4668" s="2">
        <v>440</v>
      </c>
      <c r="W4668" t="s">
        <v>4655</v>
      </c>
      <c r="X4668" s="2">
        <v>0</v>
      </c>
      <c r="Y4668">
        <v>20</v>
      </c>
      <c r="Z4668" t="s">
        <v>5107</v>
      </c>
      <c r="AA4668" s="3">
        <v>6.1937555670738199E-2</v>
      </c>
      <c r="AB4668" t="s">
        <v>24500</v>
      </c>
      <c r="AC4668" t="s">
        <v>4562</v>
      </c>
      <c r="AD4668" t="s">
        <v>24499</v>
      </c>
      <c r="AE4668" t="s">
        <v>4655</v>
      </c>
      <c r="AF4668" t="s">
        <v>4563</v>
      </c>
      <c r="AG4668" t="s">
        <v>4564</v>
      </c>
      <c r="AH4668" t="s">
        <v>5197</v>
      </c>
      <c r="AI4668" t="s">
        <v>4565</v>
      </c>
      <c r="AJ4668" t="s">
        <v>4394</v>
      </c>
      <c r="AK4668" t="s">
        <v>24501</v>
      </c>
      <c r="AL4668" s="13" t="s">
        <v>2257</v>
      </c>
      <c r="AM4668" s="14">
        <v>1</v>
      </c>
      <c r="AN4668" s="15" t="s">
        <v>4395</v>
      </c>
    </row>
    <row r="4669" spans="1:40" x14ac:dyDescent="0.3">
      <c r="A4669" s="10" t="str">
        <f>HYPERLINK("http://www.washoecounty.gov/assessor/cama/?parid=140-625-03&amp;CardNumber=1","140-625-03")</f>
        <v>140-625-03</v>
      </c>
      <c r="B4669" t="s">
        <v>4655</v>
      </c>
      <c r="C4669" t="s">
        <v>24502</v>
      </c>
      <c r="D4669" s="1">
        <v>40387</v>
      </c>
      <c r="E4669" s="2">
        <v>171000</v>
      </c>
      <c r="F4669" t="s">
        <v>4553</v>
      </c>
      <c r="G4669" s="17" t="str">
        <f>HYPERLINK("https://www.washoecounty.gov/assessor/cama/?command=sales&amp;parid=14062503","3906210")</f>
        <v>3906210</v>
      </c>
      <c r="H4669" t="s">
        <v>4393</v>
      </c>
      <c r="I4669">
        <v>2006</v>
      </c>
      <c r="J4669">
        <v>2006</v>
      </c>
      <c r="K4669" t="s">
        <v>4897</v>
      </c>
      <c r="L4669" t="s">
        <v>3974</v>
      </c>
      <c r="M4669" s="2">
        <v>1834</v>
      </c>
      <c r="N4669" t="s">
        <v>5280</v>
      </c>
      <c r="O4669">
        <v>3</v>
      </c>
      <c r="P4669">
        <v>2</v>
      </c>
      <c r="Q4669">
        <v>1</v>
      </c>
      <c r="R4669" t="s">
        <v>5281</v>
      </c>
      <c r="S4669" t="s">
        <v>4898</v>
      </c>
      <c r="T4669" t="s">
        <v>4559</v>
      </c>
      <c r="U4669" t="s">
        <v>5631</v>
      </c>
      <c r="V4669" s="2">
        <v>440</v>
      </c>
      <c r="W4669" t="s">
        <v>4655</v>
      </c>
      <c r="X4669" s="2">
        <v>0</v>
      </c>
      <c r="Y4669">
        <v>20</v>
      </c>
      <c r="Z4669" t="s">
        <v>5107</v>
      </c>
      <c r="AA4669" s="3">
        <v>6.1937555670738199E-2</v>
      </c>
      <c r="AB4669" t="s">
        <v>24503</v>
      </c>
      <c r="AC4669" t="s">
        <v>4575</v>
      </c>
      <c r="AD4669" t="s">
        <v>24504</v>
      </c>
      <c r="AE4669" t="s">
        <v>4655</v>
      </c>
      <c r="AF4669" t="s">
        <v>4563</v>
      </c>
      <c r="AG4669" t="s">
        <v>4564</v>
      </c>
      <c r="AH4669">
        <v>89511</v>
      </c>
      <c r="AI4669" t="s">
        <v>4565</v>
      </c>
      <c r="AJ4669" t="s">
        <v>4394</v>
      </c>
      <c r="AK4669" t="s">
        <v>24505</v>
      </c>
      <c r="AL4669" s="13" t="s">
        <v>2257</v>
      </c>
      <c r="AM4669">
        <v>1</v>
      </c>
      <c r="AN4669" s="15" t="s">
        <v>4395</v>
      </c>
    </row>
    <row r="4670" spans="1:40" x14ac:dyDescent="0.3">
      <c r="A4670" s="10" t="str">
        <f>HYPERLINK("http://www.washoecounty.gov/assessor/cama/?parid=140-631-02&amp;CardNumber=1","140-631-02")</f>
        <v>140-631-02</v>
      </c>
      <c r="B4670" t="s">
        <v>4655</v>
      </c>
      <c r="C4670" t="s">
        <v>24506</v>
      </c>
      <c r="D4670" s="1">
        <v>40315</v>
      </c>
      <c r="E4670" s="2">
        <v>179000</v>
      </c>
      <c r="F4670" t="s">
        <v>4567</v>
      </c>
      <c r="G4670" s="17" t="str">
        <f>HYPERLINK("https://www.washoecounty.gov/assessor/cama/?command=sales&amp;parid=14063102","3882154")</f>
        <v>3882154</v>
      </c>
      <c r="H4670" t="s">
        <v>4393</v>
      </c>
      <c r="I4670">
        <v>2006</v>
      </c>
      <c r="J4670">
        <v>2006</v>
      </c>
      <c r="K4670" t="s">
        <v>4897</v>
      </c>
      <c r="L4670" t="s">
        <v>3974</v>
      </c>
      <c r="M4670" s="2">
        <v>1834</v>
      </c>
      <c r="N4670" t="s">
        <v>5280</v>
      </c>
      <c r="O4670">
        <v>3</v>
      </c>
      <c r="P4670">
        <v>2</v>
      </c>
      <c r="Q4670">
        <v>1</v>
      </c>
      <c r="R4670" t="s">
        <v>4557</v>
      </c>
      <c r="S4670" t="s">
        <v>4898</v>
      </c>
      <c r="T4670" t="s">
        <v>4559</v>
      </c>
      <c r="U4670" t="s">
        <v>5631</v>
      </c>
      <c r="V4670" s="2">
        <v>440</v>
      </c>
      <c r="W4670" t="s">
        <v>4655</v>
      </c>
      <c r="X4670" s="2">
        <v>0</v>
      </c>
      <c r="Y4670">
        <v>20</v>
      </c>
      <c r="Z4670" t="s">
        <v>5107</v>
      </c>
      <c r="AA4670" s="3">
        <v>6.5082646906375899E-2</v>
      </c>
      <c r="AB4670" t="s">
        <v>24507</v>
      </c>
      <c r="AC4670" t="s">
        <v>4562</v>
      </c>
      <c r="AD4670" t="s">
        <v>24506</v>
      </c>
      <c r="AE4670" t="s">
        <v>4655</v>
      </c>
      <c r="AF4670" t="s">
        <v>4563</v>
      </c>
      <c r="AG4670" t="s">
        <v>4564</v>
      </c>
      <c r="AH4670" t="s">
        <v>5197</v>
      </c>
      <c r="AI4670" t="s">
        <v>24508</v>
      </c>
      <c r="AJ4670" t="s">
        <v>4394</v>
      </c>
      <c r="AK4670" t="s">
        <v>24509</v>
      </c>
      <c r="AL4670" s="13" t="s">
        <v>2257</v>
      </c>
      <c r="AM4670" s="14">
        <v>1</v>
      </c>
      <c r="AN4670" s="15" t="s">
        <v>4395</v>
      </c>
    </row>
    <row r="4671" spans="1:40" x14ac:dyDescent="0.3">
      <c r="A4671" s="10" t="str">
        <f>HYPERLINK("http://www.washoecounty.gov/assessor/cama/?parid=140-631-11&amp;CardNumber=1","140-631-11")</f>
        <v>140-631-11</v>
      </c>
      <c r="B4671" t="s">
        <v>4655</v>
      </c>
      <c r="C4671" t="s">
        <v>24510</v>
      </c>
      <c r="D4671" s="1">
        <v>40235</v>
      </c>
      <c r="E4671" s="2">
        <v>195000</v>
      </c>
      <c r="F4671" t="s">
        <v>4567</v>
      </c>
      <c r="G4671" s="17" t="str">
        <f>HYPERLINK("https://www.washoecounty.gov/assessor/cama/?command=sales&amp;parid=14063111","3853475")</f>
        <v>3853475</v>
      </c>
      <c r="H4671" t="s">
        <v>4393</v>
      </c>
      <c r="I4671">
        <v>2005</v>
      </c>
      <c r="J4671">
        <v>2005</v>
      </c>
      <c r="K4671" t="s">
        <v>4897</v>
      </c>
      <c r="L4671" t="s">
        <v>3974</v>
      </c>
      <c r="M4671" s="2">
        <v>1540</v>
      </c>
      <c r="N4671" t="s">
        <v>5280</v>
      </c>
      <c r="O4671">
        <v>3</v>
      </c>
      <c r="P4671">
        <v>2</v>
      </c>
      <c r="Q4671">
        <v>1</v>
      </c>
      <c r="R4671" t="s">
        <v>4557</v>
      </c>
      <c r="S4671" t="s">
        <v>4898</v>
      </c>
      <c r="T4671" t="s">
        <v>4559</v>
      </c>
      <c r="U4671" t="s">
        <v>5631</v>
      </c>
      <c r="V4671" s="2">
        <v>440</v>
      </c>
      <c r="W4671" t="s">
        <v>4655</v>
      </c>
      <c r="X4671" s="2">
        <v>0</v>
      </c>
      <c r="Y4671">
        <v>20</v>
      </c>
      <c r="Z4671" t="s">
        <v>5107</v>
      </c>
      <c r="AA4671" s="3">
        <v>7.4494950473308605E-2</v>
      </c>
      <c r="AB4671" t="s">
        <v>24511</v>
      </c>
      <c r="AC4671" t="s">
        <v>4562</v>
      </c>
      <c r="AD4671" t="s">
        <v>24510</v>
      </c>
      <c r="AE4671" t="s">
        <v>4655</v>
      </c>
      <c r="AF4671" t="s">
        <v>4563</v>
      </c>
      <c r="AG4671" t="s">
        <v>4564</v>
      </c>
      <c r="AH4671" t="s">
        <v>5197</v>
      </c>
      <c r="AI4671" t="s">
        <v>24512</v>
      </c>
      <c r="AJ4671" t="s">
        <v>4394</v>
      </c>
      <c r="AK4671" t="s">
        <v>24513</v>
      </c>
      <c r="AL4671" s="13" t="s">
        <v>2257</v>
      </c>
      <c r="AM4671">
        <v>1</v>
      </c>
      <c r="AN4671" s="15" t="s">
        <v>4395</v>
      </c>
    </row>
    <row r="4672" spans="1:40" x14ac:dyDescent="0.3">
      <c r="A4672" s="10" t="str">
        <f>HYPERLINK("http://www.washoecounty.gov/assessor/cama/?parid=140-632-11&amp;CardNumber=1","140-632-11")</f>
        <v>140-632-11</v>
      </c>
      <c r="B4672" t="s">
        <v>4655</v>
      </c>
      <c r="C4672" t="s">
        <v>24514</v>
      </c>
      <c r="D4672" s="1">
        <v>40256</v>
      </c>
      <c r="E4672" s="2">
        <v>180000</v>
      </c>
      <c r="F4672" t="s">
        <v>4553</v>
      </c>
      <c r="G4672" s="17" t="str">
        <f>HYPERLINK("https://www.washoecounty.gov/assessor/cama/?command=sales&amp;parid=14063211","3861715")</f>
        <v>3861715</v>
      </c>
      <c r="H4672" t="s">
        <v>4393</v>
      </c>
      <c r="I4672">
        <v>2005</v>
      </c>
      <c r="J4672">
        <v>2005</v>
      </c>
      <c r="K4672" t="s">
        <v>4897</v>
      </c>
      <c r="L4672" t="s">
        <v>3974</v>
      </c>
      <c r="M4672" s="2">
        <v>1780</v>
      </c>
      <c r="N4672" t="s">
        <v>5280</v>
      </c>
      <c r="O4672">
        <v>3</v>
      </c>
      <c r="P4672">
        <v>2</v>
      </c>
      <c r="Q4672">
        <v>1</v>
      </c>
      <c r="R4672" t="s">
        <v>4557</v>
      </c>
      <c r="S4672" t="s">
        <v>4898</v>
      </c>
      <c r="T4672" t="s">
        <v>4559</v>
      </c>
      <c r="U4672" t="s">
        <v>5631</v>
      </c>
      <c r="V4672" s="2">
        <v>440</v>
      </c>
      <c r="W4672" t="s">
        <v>4655</v>
      </c>
      <c r="X4672" s="2">
        <v>0</v>
      </c>
      <c r="Y4672">
        <v>20</v>
      </c>
      <c r="Z4672" t="s">
        <v>5107</v>
      </c>
      <c r="AA4672" s="3">
        <v>7.1648299694061293E-2</v>
      </c>
      <c r="AB4672" t="s">
        <v>24515</v>
      </c>
      <c r="AC4672" t="s">
        <v>4562</v>
      </c>
      <c r="AD4672" t="s">
        <v>24514</v>
      </c>
      <c r="AE4672" t="s">
        <v>4655</v>
      </c>
      <c r="AF4672" t="s">
        <v>4563</v>
      </c>
      <c r="AG4672" t="s">
        <v>4564</v>
      </c>
      <c r="AH4672" t="s">
        <v>5197</v>
      </c>
      <c r="AI4672" t="s">
        <v>4655</v>
      </c>
      <c r="AJ4672" t="s">
        <v>4394</v>
      </c>
      <c r="AK4672" t="s">
        <v>24516</v>
      </c>
      <c r="AL4672" s="13" t="s">
        <v>2257</v>
      </c>
      <c r="AM4672" s="14">
        <v>1</v>
      </c>
      <c r="AN4672" s="15" t="s">
        <v>4395</v>
      </c>
    </row>
    <row r="4673" spans="1:40" x14ac:dyDescent="0.3">
      <c r="A4673" s="10" t="str">
        <f>HYPERLINK("http://www.washoecounty.gov/assessor/cama/?parid=140-652-02&amp;CardNumber=1","140-652-02")</f>
        <v>140-652-02</v>
      </c>
      <c r="B4673" t="s">
        <v>4655</v>
      </c>
      <c r="C4673" t="s">
        <v>24517</v>
      </c>
      <c r="D4673" s="1">
        <v>40525</v>
      </c>
      <c r="E4673" s="2">
        <v>244000</v>
      </c>
      <c r="F4673" t="s">
        <v>4553</v>
      </c>
      <c r="G4673" s="17" t="str">
        <f>HYPERLINK("https://www.washoecounty.gov/assessor/cama/?command=sales&amp;parid=14065202","3952440")</f>
        <v>3952440</v>
      </c>
      <c r="H4673" t="s">
        <v>735</v>
      </c>
      <c r="I4673">
        <v>2005</v>
      </c>
      <c r="J4673">
        <v>2005</v>
      </c>
      <c r="K4673" t="s">
        <v>4554</v>
      </c>
      <c r="L4673" t="s">
        <v>3974</v>
      </c>
      <c r="M4673" s="2">
        <v>2637</v>
      </c>
      <c r="N4673" t="s">
        <v>5280</v>
      </c>
      <c r="O4673">
        <v>4</v>
      </c>
      <c r="P4673">
        <v>3</v>
      </c>
      <c r="Q4673">
        <v>0</v>
      </c>
      <c r="R4673" t="s">
        <v>5281</v>
      </c>
      <c r="S4673" t="s">
        <v>4898</v>
      </c>
      <c r="T4673" t="s">
        <v>2704</v>
      </c>
      <c r="U4673" t="s">
        <v>5631</v>
      </c>
      <c r="V4673" s="2">
        <v>634</v>
      </c>
      <c r="W4673" t="s">
        <v>4655</v>
      </c>
      <c r="X4673" s="2">
        <v>0</v>
      </c>
      <c r="Y4673">
        <v>20</v>
      </c>
      <c r="Z4673" t="s">
        <v>5107</v>
      </c>
      <c r="AA4673" s="3">
        <v>0.151905417442322</v>
      </c>
      <c r="AB4673" t="s">
        <v>24518</v>
      </c>
      <c r="AC4673" t="s">
        <v>4562</v>
      </c>
      <c r="AD4673" t="s">
        <v>24517</v>
      </c>
      <c r="AE4673" t="s">
        <v>4655</v>
      </c>
      <c r="AF4673" t="s">
        <v>4563</v>
      </c>
      <c r="AG4673" t="s">
        <v>4564</v>
      </c>
      <c r="AH4673" t="s">
        <v>5197</v>
      </c>
      <c r="AI4673" t="s">
        <v>4903</v>
      </c>
      <c r="AJ4673" t="s">
        <v>108</v>
      </c>
      <c r="AK4673" t="s">
        <v>24519</v>
      </c>
      <c r="AL4673" s="13" t="s">
        <v>2257</v>
      </c>
      <c r="AM4673">
        <v>1</v>
      </c>
      <c r="AN4673" s="15" t="s">
        <v>1881</v>
      </c>
    </row>
    <row r="4674" spans="1:40" x14ac:dyDescent="0.3">
      <c r="A4674" s="10" t="str">
        <f>HYPERLINK("http://www.washoecounty.gov/assessor/cama/?parid=140-652-03&amp;CardNumber=1","140-652-03")</f>
        <v>140-652-03</v>
      </c>
      <c r="B4674" t="s">
        <v>4655</v>
      </c>
      <c r="C4674" t="s">
        <v>24520</v>
      </c>
      <c r="D4674" s="1">
        <v>40395</v>
      </c>
      <c r="E4674" s="2">
        <v>215250</v>
      </c>
      <c r="F4674" t="s">
        <v>4553</v>
      </c>
      <c r="G4674" s="17" t="str">
        <f>HYPERLINK("https://www.washoecounty.gov/assessor/cama/?command=sales&amp;parid=14065203","3909029")</f>
        <v>3909029</v>
      </c>
      <c r="H4674" t="s">
        <v>735</v>
      </c>
      <c r="I4674">
        <v>2005</v>
      </c>
      <c r="J4674">
        <v>2005</v>
      </c>
      <c r="K4674" t="s">
        <v>4554</v>
      </c>
      <c r="L4674" t="s">
        <v>4555</v>
      </c>
      <c r="M4674" s="2">
        <v>1880</v>
      </c>
      <c r="N4674" t="s">
        <v>5280</v>
      </c>
      <c r="O4674">
        <v>3</v>
      </c>
      <c r="P4674">
        <v>2</v>
      </c>
      <c r="Q4674">
        <v>0</v>
      </c>
      <c r="R4674" t="s">
        <v>5281</v>
      </c>
      <c r="S4674" t="s">
        <v>4898</v>
      </c>
      <c r="T4674" t="s">
        <v>2704</v>
      </c>
      <c r="U4674" t="s">
        <v>4560</v>
      </c>
      <c r="V4674" s="2">
        <v>569</v>
      </c>
      <c r="W4674" t="s">
        <v>4655</v>
      </c>
      <c r="X4674" s="2">
        <v>0</v>
      </c>
      <c r="Y4674">
        <v>20</v>
      </c>
      <c r="Z4674" t="s">
        <v>5107</v>
      </c>
      <c r="AA4674" s="3">
        <v>0.138246104121208</v>
      </c>
      <c r="AB4674" t="s">
        <v>24521</v>
      </c>
      <c r="AC4674" t="s">
        <v>4575</v>
      </c>
      <c r="AD4674" t="s">
        <v>24522</v>
      </c>
      <c r="AE4674" t="s">
        <v>4655</v>
      </c>
      <c r="AF4674" t="s">
        <v>4563</v>
      </c>
      <c r="AG4674" t="s">
        <v>4564</v>
      </c>
      <c r="AH4674">
        <v>89511</v>
      </c>
      <c r="AI4674" t="s">
        <v>24523</v>
      </c>
      <c r="AJ4674" t="s">
        <v>108</v>
      </c>
      <c r="AK4674" t="s">
        <v>24524</v>
      </c>
      <c r="AL4674" s="13" t="s">
        <v>2257</v>
      </c>
      <c r="AM4674" s="14">
        <v>1</v>
      </c>
      <c r="AN4674" s="15" t="s">
        <v>1881</v>
      </c>
    </row>
    <row r="4675" spans="1:40" x14ac:dyDescent="0.3">
      <c r="A4675" s="10" t="str">
        <f>HYPERLINK("http://www.washoecounty.gov/assessor/cama/?parid=140-653-01&amp;CardNumber=1","140-653-01")</f>
        <v>140-653-01</v>
      </c>
      <c r="B4675" t="s">
        <v>4655</v>
      </c>
      <c r="C4675" t="s">
        <v>24525</v>
      </c>
      <c r="D4675" s="1">
        <v>40451</v>
      </c>
      <c r="E4675" s="2">
        <v>263900</v>
      </c>
      <c r="F4675" t="s">
        <v>3259</v>
      </c>
      <c r="G4675" s="17" t="str">
        <f>HYPERLINK("https://www.washoecounty.gov/assessor/cama/?command=sales&amp;parid=14065301","3928058")</f>
        <v>3928058</v>
      </c>
      <c r="H4675" t="s">
        <v>735</v>
      </c>
      <c r="I4675">
        <v>2010</v>
      </c>
      <c r="J4675">
        <v>2010</v>
      </c>
      <c r="K4675" t="s">
        <v>4554</v>
      </c>
      <c r="L4675" t="s">
        <v>4555</v>
      </c>
      <c r="M4675" s="2">
        <v>2098</v>
      </c>
      <c r="N4675" t="s">
        <v>5280</v>
      </c>
      <c r="O4675">
        <v>4</v>
      </c>
      <c r="P4675">
        <v>3</v>
      </c>
      <c r="Q4675">
        <v>0</v>
      </c>
      <c r="R4675" t="s">
        <v>5281</v>
      </c>
      <c r="S4675" t="s">
        <v>4898</v>
      </c>
      <c r="T4675" t="s">
        <v>2704</v>
      </c>
      <c r="U4675" t="s">
        <v>4560</v>
      </c>
      <c r="V4675" s="2">
        <v>580</v>
      </c>
      <c r="W4675" t="s">
        <v>4655</v>
      </c>
      <c r="X4675" s="2">
        <v>0</v>
      </c>
      <c r="Y4675">
        <v>20</v>
      </c>
      <c r="Z4675" t="s">
        <v>5107</v>
      </c>
      <c r="AA4675" s="3">
        <v>0.18360881507396701</v>
      </c>
      <c r="AB4675" t="s">
        <v>24526</v>
      </c>
      <c r="AC4675" t="s">
        <v>4575</v>
      </c>
      <c r="AD4675" t="s">
        <v>24527</v>
      </c>
      <c r="AE4675" t="s">
        <v>24528</v>
      </c>
      <c r="AF4675" t="s">
        <v>4563</v>
      </c>
      <c r="AG4675" t="s">
        <v>4564</v>
      </c>
      <c r="AH4675" t="s">
        <v>5197</v>
      </c>
      <c r="AI4675" t="s">
        <v>24526</v>
      </c>
      <c r="AJ4675" t="s">
        <v>108</v>
      </c>
      <c r="AK4675" t="s">
        <v>24529</v>
      </c>
      <c r="AL4675" s="13" t="s">
        <v>2257</v>
      </c>
      <c r="AM4675">
        <v>1</v>
      </c>
      <c r="AN4675" s="15" t="s">
        <v>1881</v>
      </c>
    </row>
    <row r="4676" spans="1:40" x14ac:dyDescent="0.3">
      <c r="A4676" s="10" t="str">
        <f>HYPERLINK("http://www.washoecounty.gov/assessor/cama/?parid=140-653-02&amp;CardNumber=1","140-653-02")</f>
        <v>140-653-02</v>
      </c>
      <c r="B4676" t="s">
        <v>4655</v>
      </c>
      <c r="C4676" t="s">
        <v>24530</v>
      </c>
      <c r="D4676" s="1">
        <v>40457</v>
      </c>
      <c r="E4676" s="2">
        <v>252950</v>
      </c>
      <c r="F4676" t="s">
        <v>4567</v>
      </c>
      <c r="G4676" s="17" t="str">
        <f>HYPERLINK("https://www.washoecounty.gov/assessor/cama/?command=sales&amp;parid=14065302","3930159")</f>
        <v>3930159</v>
      </c>
      <c r="H4676" t="s">
        <v>735</v>
      </c>
      <c r="I4676">
        <v>2010</v>
      </c>
      <c r="J4676">
        <v>2010</v>
      </c>
      <c r="K4676" t="s">
        <v>4554</v>
      </c>
      <c r="L4676" t="s">
        <v>4555</v>
      </c>
      <c r="M4676" s="2">
        <v>1955</v>
      </c>
      <c r="N4676" t="s">
        <v>5280</v>
      </c>
      <c r="O4676">
        <v>4</v>
      </c>
      <c r="P4676">
        <v>2</v>
      </c>
      <c r="Q4676">
        <v>0</v>
      </c>
      <c r="R4676" t="s">
        <v>5281</v>
      </c>
      <c r="S4676" t="s">
        <v>4898</v>
      </c>
      <c r="T4676" t="s">
        <v>2704</v>
      </c>
      <c r="U4676" t="s">
        <v>4560</v>
      </c>
      <c r="V4676" s="2">
        <v>647</v>
      </c>
      <c r="W4676" t="s">
        <v>4655</v>
      </c>
      <c r="X4676" s="2">
        <v>0</v>
      </c>
      <c r="Y4676">
        <v>20</v>
      </c>
      <c r="Z4676" t="s">
        <v>5107</v>
      </c>
      <c r="AA4676" s="3">
        <v>0.15195132791996002</v>
      </c>
      <c r="AB4676" t="s">
        <v>24531</v>
      </c>
      <c r="AC4676" t="s">
        <v>4562</v>
      </c>
      <c r="AD4676" t="s">
        <v>24530</v>
      </c>
      <c r="AE4676" t="s">
        <v>4655</v>
      </c>
      <c r="AF4676" t="s">
        <v>4563</v>
      </c>
      <c r="AG4676" t="s">
        <v>4564</v>
      </c>
      <c r="AH4676" t="s">
        <v>5197</v>
      </c>
      <c r="AI4676" t="s">
        <v>1576</v>
      </c>
      <c r="AJ4676" t="s">
        <v>108</v>
      </c>
      <c r="AK4676" t="s">
        <v>24532</v>
      </c>
      <c r="AL4676" s="13" t="s">
        <v>2257</v>
      </c>
      <c r="AM4676">
        <v>1</v>
      </c>
      <c r="AN4676" s="15" t="s">
        <v>1881</v>
      </c>
    </row>
    <row r="4677" spans="1:40" x14ac:dyDescent="0.3">
      <c r="A4677" s="10" t="str">
        <f>HYPERLINK("http://www.washoecounty.gov/assessor/cama/?parid=140-653-03&amp;CardNumber=1","140-653-03")</f>
        <v>140-653-03</v>
      </c>
      <c r="B4677" t="s">
        <v>4655</v>
      </c>
      <c r="C4677" t="s">
        <v>24533</v>
      </c>
      <c r="D4677" s="1">
        <v>40457</v>
      </c>
      <c r="E4677" s="2">
        <v>231000</v>
      </c>
      <c r="F4677" t="s">
        <v>4567</v>
      </c>
      <c r="G4677" s="17" t="str">
        <f>HYPERLINK("https://www.washoecounty.gov/assessor/cama/?command=sales&amp;parid=14065303","3930167")</f>
        <v>3930167</v>
      </c>
      <c r="H4677" t="s">
        <v>735</v>
      </c>
      <c r="I4677">
        <v>2010</v>
      </c>
      <c r="J4677">
        <v>2010</v>
      </c>
      <c r="K4677" t="s">
        <v>4554</v>
      </c>
      <c r="L4677" t="s">
        <v>4555</v>
      </c>
      <c r="M4677" s="2">
        <v>1719</v>
      </c>
      <c r="N4677" t="s">
        <v>5280</v>
      </c>
      <c r="O4677">
        <v>4</v>
      </c>
      <c r="P4677">
        <v>2</v>
      </c>
      <c r="Q4677">
        <v>0</v>
      </c>
      <c r="R4677" t="s">
        <v>5281</v>
      </c>
      <c r="S4677" t="s">
        <v>4898</v>
      </c>
      <c r="T4677" t="s">
        <v>2704</v>
      </c>
      <c r="U4677" t="s">
        <v>4560</v>
      </c>
      <c r="V4677" s="2">
        <v>643</v>
      </c>
      <c r="W4677" t="s">
        <v>4655</v>
      </c>
      <c r="X4677" s="2">
        <v>0</v>
      </c>
      <c r="Y4677">
        <v>20</v>
      </c>
      <c r="Z4677" t="s">
        <v>5107</v>
      </c>
      <c r="AA4677" s="3">
        <v>0.15661157667636899</v>
      </c>
      <c r="AB4677" t="s">
        <v>24534</v>
      </c>
      <c r="AC4677" t="s">
        <v>4562</v>
      </c>
      <c r="AD4677" t="s">
        <v>24533</v>
      </c>
      <c r="AE4677" t="s">
        <v>4655</v>
      </c>
      <c r="AF4677" t="s">
        <v>4563</v>
      </c>
      <c r="AG4677" t="s">
        <v>4564</v>
      </c>
      <c r="AH4677" t="s">
        <v>5197</v>
      </c>
      <c r="AI4677" t="s">
        <v>1576</v>
      </c>
      <c r="AJ4677" t="s">
        <v>108</v>
      </c>
      <c r="AK4677" t="s">
        <v>24535</v>
      </c>
      <c r="AL4677" s="13" t="s">
        <v>2257</v>
      </c>
      <c r="AM4677" s="14">
        <v>1</v>
      </c>
      <c r="AN4677" s="15" t="s">
        <v>1881</v>
      </c>
    </row>
    <row r="4678" spans="1:40" x14ac:dyDescent="0.3">
      <c r="A4678" s="10" t="str">
        <f>HYPERLINK("http://www.washoecounty.gov/assessor/cama/?parid=140-653-04&amp;CardNumber=1","140-653-04")</f>
        <v>140-653-04</v>
      </c>
      <c r="B4678" t="s">
        <v>4655</v>
      </c>
      <c r="C4678" t="s">
        <v>24536</v>
      </c>
      <c r="D4678" s="1">
        <v>40484</v>
      </c>
      <c r="E4678" s="2">
        <v>289410</v>
      </c>
      <c r="F4678" t="s">
        <v>4567</v>
      </c>
      <c r="G4678" s="17" t="str">
        <f>HYPERLINK("https://www.washoecounty.gov/assessor/cama/?command=sales&amp;parid=14065304","3938789")</f>
        <v>3938789</v>
      </c>
      <c r="H4678" t="s">
        <v>735</v>
      </c>
      <c r="I4678">
        <v>2010</v>
      </c>
      <c r="J4678">
        <v>2010</v>
      </c>
      <c r="K4678" t="s">
        <v>4554</v>
      </c>
      <c r="L4678" t="s">
        <v>3974</v>
      </c>
      <c r="M4678" s="2">
        <v>2551</v>
      </c>
      <c r="N4678" t="s">
        <v>5280</v>
      </c>
      <c r="O4678">
        <v>5</v>
      </c>
      <c r="P4678">
        <v>3</v>
      </c>
      <c r="Q4678">
        <v>0</v>
      </c>
      <c r="R4678" t="s">
        <v>5281</v>
      </c>
      <c r="S4678" t="s">
        <v>4898</v>
      </c>
      <c r="T4678" t="s">
        <v>2704</v>
      </c>
      <c r="U4678" t="s">
        <v>4560</v>
      </c>
      <c r="V4678" s="2">
        <v>670</v>
      </c>
      <c r="W4678" t="s">
        <v>4655</v>
      </c>
      <c r="X4678" s="2">
        <v>0</v>
      </c>
      <c r="Y4678">
        <v>20</v>
      </c>
      <c r="Z4678" t="s">
        <v>5107</v>
      </c>
      <c r="AA4678" s="3">
        <v>0.15250229835510301</v>
      </c>
      <c r="AB4678" t="s">
        <v>24537</v>
      </c>
      <c r="AC4678" t="s">
        <v>4562</v>
      </c>
      <c r="AD4678" t="s">
        <v>24536</v>
      </c>
      <c r="AE4678" t="s">
        <v>4655</v>
      </c>
      <c r="AF4678" t="s">
        <v>4563</v>
      </c>
      <c r="AG4678" t="s">
        <v>4564</v>
      </c>
      <c r="AH4678" t="s">
        <v>5197</v>
      </c>
      <c r="AI4678" t="s">
        <v>1576</v>
      </c>
      <c r="AJ4678" t="s">
        <v>108</v>
      </c>
      <c r="AK4678" t="s">
        <v>24538</v>
      </c>
      <c r="AL4678" s="13" t="s">
        <v>2257</v>
      </c>
      <c r="AM4678" s="14">
        <v>1</v>
      </c>
      <c r="AN4678" s="15" t="s">
        <v>1881</v>
      </c>
    </row>
    <row r="4679" spans="1:40" x14ac:dyDescent="0.3">
      <c r="A4679" s="10" t="str">
        <f>HYPERLINK("http://www.washoecounty.gov/assessor/cama/?parid=140-653-05&amp;CardNumber=1","140-653-05")</f>
        <v>140-653-05</v>
      </c>
      <c r="B4679" t="s">
        <v>4655</v>
      </c>
      <c r="C4679" t="s">
        <v>24539</v>
      </c>
      <c r="D4679" s="1">
        <v>40506</v>
      </c>
      <c r="E4679" s="2">
        <v>240000</v>
      </c>
      <c r="F4679" t="s">
        <v>4567</v>
      </c>
      <c r="G4679" s="17" t="str">
        <f>HYPERLINK("https://www.washoecounty.gov/assessor/cama/?command=sales&amp;parid=14065305","3946803")</f>
        <v>3946803</v>
      </c>
      <c r="H4679" t="s">
        <v>735</v>
      </c>
      <c r="I4679">
        <v>2010</v>
      </c>
      <c r="J4679">
        <v>2010</v>
      </c>
      <c r="K4679" t="s">
        <v>4554</v>
      </c>
      <c r="L4679" t="s">
        <v>4555</v>
      </c>
      <c r="M4679" s="2">
        <v>2098</v>
      </c>
      <c r="N4679" t="s">
        <v>5280</v>
      </c>
      <c r="O4679">
        <v>4</v>
      </c>
      <c r="P4679">
        <v>3</v>
      </c>
      <c r="Q4679">
        <v>0</v>
      </c>
      <c r="R4679" t="s">
        <v>5281</v>
      </c>
      <c r="S4679" t="s">
        <v>4898</v>
      </c>
      <c r="T4679" t="s">
        <v>2704</v>
      </c>
      <c r="U4679" t="s">
        <v>4560</v>
      </c>
      <c r="V4679" s="2">
        <v>580</v>
      </c>
      <c r="W4679" t="s">
        <v>4655</v>
      </c>
      <c r="X4679" s="2">
        <v>0</v>
      </c>
      <c r="Y4679">
        <v>20</v>
      </c>
      <c r="Z4679" t="s">
        <v>5107</v>
      </c>
      <c r="AA4679" s="3">
        <v>0.15202020108699801</v>
      </c>
      <c r="AB4679" t="s">
        <v>24540</v>
      </c>
      <c r="AC4679" t="s">
        <v>4562</v>
      </c>
      <c r="AD4679" t="s">
        <v>24539</v>
      </c>
      <c r="AE4679" t="s">
        <v>4655</v>
      </c>
      <c r="AF4679" t="s">
        <v>4563</v>
      </c>
      <c r="AG4679" t="s">
        <v>4564</v>
      </c>
      <c r="AH4679" t="s">
        <v>5197</v>
      </c>
      <c r="AI4679" t="s">
        <v>4655</v>
      </c>
      <c r="AJ4679" t="s">
        <v>108</v>
      </c>
      <c r="AK4679" t="s">
        <v>24541</v>
      </c>
      <c r="AL4679" s="13" t="s">
        <v>2257</v>
      </c>
      <c r="AM4679">
        <v>1</v>
      </c>
      <c r="AN4679" s="15" t="s">
        <v>1881</v>
      </c>
    </row>
    <row r="4680" spans="1:40" x14ac:dyDescent="0.3">
      <c r="A4680" s="10" t="str">
        <f>HYPERLINK("http://www.washoecounty.gov/assessor/cama/?parid=140-653-06&amp;CardNumber=1","140-653-06")</f>
        <v>140-653-06</v>
      </c>
      <c r="B4680" t="s">
        <v>4655</v>
      </c>
      <c r="C4680" t="s">
        <v>24542</v>
      </c>
      <c r="D4680" s="1">
        <v>40479</v>
      </c>
      <c r="E4680" s="2">
        <v>234950</v>
      </c>
      <c r="F4680" t="s">
        <v>3528</v>
      </c>
      <c r="G4680" s="17" t="str">
        <f>HYPERLINK("https://www.washoecounty.gov/assessor/cama/?command=sales&amp;parid=14065306","3937683")</f>
        <v>3937683</v>
      </c>
      <c r="H4680" t="s">
        <v>735</v>
      </c>
      <c r="I4680">
        <v>2010</v>
      </c>
      <c r="J4680">
        <v>2010</v>
      </c>
      <c r="K4680" t="s">
        <v>4554</v>
      </c>
      <c r="L4680" t="s">
        <v>4555</v>
      </c>
      <c r="M4680" s="2">
        <v>1719</v>
      </c>
      <c r="N4680" t="s">
        <v>5280</v>
      </c>
      <c r="O4680">
        <v>4</v>
      </c>
      <c r="P4680">
        <v>2</v>
      </c>
      <c r="Q4680">
        <v>0</v>
      </c>
      <c r="R4680" t="s">
        <v>5281</v>
      </c>
      <c r="S4680" t="s">
        <v>4898</v>
      </c>
      <c r="T4680" t="s">
        <v>2704</v>
      </c>
      <c r="U4680" t="s">
        <v>4560</v>
      </c>
      <c r="V4680" s="2">
        <v>643</v>
      </c>
      <c r="W4680" t="s">
        <v>4655</v>
      </c>
      <c r="X4680" s="2">
        <v>0</v>
      </c>
      <c r="Y4680">
        <v>12</v>
      </c>
      <c r="Z4680" t="s">
        <v>5107</v>
      </c>
      <c r="AA4680" s="3">
        <v>0.15202020108699801</v>
      </c>
      <c r="AB4680" t="s">
        <v>24543</v>
      </c>
      <c r="AC4680" t="s">
        <v>4562</v>
      </c>
      <c r="AD4680" t="s">
        <v>24544</v>
      </c>
      <c r="AE4680" t="s">
        <v>4655</v>
      </c>
      <c r="AF4680" t="s">
        <v>4563</v>
      </c>
      <c r="AG4680" t="s">
        <v>4564</v>
      </c>
      <c r="AH4680" t="s">
        <v>5197</v>
      </c>
      <c r="AI4680" t="s">
        <v>1576</v>
      </c>
      <c r="AJ4680" t="s">
        <v>108</v>
      </c>
      <c r="AK4680" t="s">
        <v>24545</v>
      </c>
      <c r="AL4680" s="13" t="s">
        <v>2257</v>
      </c>
      <c r="AM4680">
        <v>1</v>
      </c>
      <c r="AN4680" s="15" t="s">
        <v>1881</v>
      </c>
    </row>
    <row r="4681" spans="1:40" x14ac:dyDescent="0.3">
      <c r="A4681" s="10" t="str">
        <f>HYPERLINK("http://www.washoecounty.gov/assessor/cama/?parid=140-654-02&amp;CardNumber=1","140-654-02")</f>
        <v>140-654-02</v>
      </c>
      <c r="B4681" t="s">
        <v>4655</v>
      </c>
      <c r="C4681" t="s">
        <v>24546</v>
      </c>
      <c r="D4681" s="1">
        <v>40450</v>
      </c>
      <c r="E4681" s="2">
        <v>263930</v>
      </c>
      <c r="F4681" t="s">
        <v>4567</v>
      </c>
      <c r="G4681" s="17" t="str">
        <f>HYPERLINK("https://www.washoecounty.gov/assessor/cama/?command=sales&amp;parid=14065402","3927329")</f>
        <v>3927329</v>
      </c>
      <c r="H4681" t="s">
        <v>735</v>
      </c>
      <c r="I4681">
        <v>2010</v>
      </c>
      <c r="J4681">
        <v>2010</v>
      </c>
      <c r="K4681" t="s">
        <v>4554</v>
      </c>
      <c r="L4681" t="s">
        <v>3974</v>
      </c>
      <c r="M4681" s="2">
        <v>2551</v>
      </c>
      <c r="N4681" t="s">
        <v>5280</v>
      </c>
      <c r="O4681">
        <v>5</v>
      </c>
      <c r="P4681">
        <v>3</v>
      </c>
      <c r="Q4681">
        <v>0</v>
      </c>
      <c r="R4681" t="s">
        <v>5281</v>
      </c>
      <c r="S4681" t="s">
        <v>4898</v>
      </c>
      <c r="T4681" t="s">
        <v>2704</v>
      </c>
      <c r="U4681" t="s">
        <v>4560</v>
      </c>
      <c r="V4681" s="2">
        <v>670</v>
      </c>
      <c r="W4681" t="s">
        <v>4655</v>
      </c>
      <c r="X4681" s="2">
        <v>0</v>
      </c>
      <c r="Y4681">
        <v>20</v>
      </c>
      <c r="Z4681" t="s">
        <v>5107</v>
      </c>
      <c r="AA4681" s="3">
        <v>0.137741044163704</v>
      </c>
      <c r="AB4681" t="s">
        <v>24547</v>
      </c>
      <c r="AC4681" t="s">
        <v>4575</v>
      </c>
      <c r="AD4681" t="s">
        <v>24546</v>
      </c>
      <c r="AE4681" t="s">
        <v>4655</v>
      </c>
      <c r="AF4681" t="s">
        <v>4563</v>
      </c>
      <c r="AG4681" t="s">
        <v>4564</v>
      </c>
      <c r="AH4681" t="s">
        <v>5197</v>
      </c>
      <c r="AI4681" t="s">
        <v>1576</v>
      </c>
      <c r="AJ4681" t="s">
        <v>108</v>
      </c>
      <c r="AK4681" t="s">
        <v>24548</v>
      </c>
      <c r="AL4681" s="13" t="s">
        <v>2257</v>
      </c>
      <c r="AM4681" s="14">
        <v>1</v>
      </c>
      <c r="AN4681" s="15" t="s">
        <v>1881</v>
      </c>
    </row>
    <row r="4682" spans="1:40" x14ac:dyDescent="0.3">
      <c r="A4682" s="10" t="str">
        <f>HYPERLINK("http://www.washoecounty.gov/assessor/cama/?parid=140-654-04&amp;CardNumber=1","140-654-04")</f>
        <v>140-654-04</v>
      </c>
      <c r="B4682" t="s">
        <v>4655</v>
      </c>
      <c r="C4682" t="s">
        <v>24549</v>
      </c>
      <c r="D4682" s="1">
        <v>40245</v>
      </c>
      <c r="E4682" s="2">
        <v>238570</v>
      </c>
      <c r="F4682" t="s">
        <v>4567</v>
      </c>
      <c r="G4682" s="17" t="str">
        <f>HYPERLINK("https://www.washoecounty.gov/assessor/cama/?command=sales&amp;parid=14065404","3857060")</f>
        <v>3857060</v>
      </c>
      <c r="H4682" t="s">
        <v>735</v>
      </c>
      <c r="I4682">
        <v>2006</v>
      </c>
      <c r="J4682">
        <v>2010</v>
      </c>
      <c r="K4682" t="s">
        <v>4554</v>
      </c>
      <c r="L4682" t="s">
        <v>4555</v>
      </c>
      <c r="M4682" s="2">
        <v>1880</v>
      </c>
      <c r="N4682" t="s">
        <v>5280</v>
      </c>
      <c r="O4682">
        <v>4</v>
      </c>
      <c r="P4682">
        <v>2</v>
      </c>
      <c r="Q4682">
        <v>0</v>
      </c>
      <c r="R4682" t="s">
        <v>5281</v>
      </c>
      <c r="S4682" t="s">
        <v>4898</v>
      </c>
      <c r="T4682" t="s">
        <v>2704</v>
      </c>
      <c r="U4682" t="s">
        <v>4560</v>
      </c>
      <c r="V4682" s="2">
        <v>569</v>
      </c>
      <c r="W4682" t="s">
        <v>4655</v>
      </c>
      <c r="X4682" s="2">
        <v>0</v>
      </c>
      <c r="Y4682">
        <v>20</v>
      </c>
      <c r="Z4682" t="s">
        <v>5107</v>
      </c>
      <c r="AA4682" s="3">
        <v>0.140771344304085</v>
      </c>
      <c r="AB4682" t="s">
        <v>24550</v>
      </c>
      <c r="AC4682" t="s">
        <v>4575</v>
      </c>
      <c r="AD4682" t="s">
        <v>24551</v>
      </c>
      <c r="AE4682" t="s">
        <v>24549</v>
      </c>
      <c r="AF4682" t="s">
        <v>4563</v>
      </c>
      <c r="AG4682" t="s">
        <v>4564</v>
      </c>
      <c r="AH4682" t="s">
        <v>5197</v>
      </c>
      <c r="AI4682" t="s">
        <v>3655</v>
      </c>
      <c r="AJ4682" t="s">
        <v>108</v>
      </c>
      <c r="AK4682" t="s">
        <v>24552</v>
      </c>
      <c r="AL4682" s="13" t="s">
        <v>2257</v>
      </c>
      <c r="AM4682">
        <v>1</v>
      </c>
      <c r="AN4682" s="15" t="s">
        <v>1881</v>
      </c>
    </row>
    <row r="4683" spans="1:40" x14ac:dyDescent="0.3">
      <c r="A4683" s="10" t="str">
        <f>HYPERLINK("http://www.washoecounty.gov/assessor/cama/?parid=140-654-05&amp;CardNumber=1","140-654-05")</f>
        <v>140-654-05</v>
      </c>
      <c r="B4683" t="s">
        <v>4655</v>
      </c>
      <c r="C4683" t="s">
        <v>24553</v>
      </c>
      <c r="D4683" s="1">
        <v>40245</v>
      </c>
      <c r="E4683" s="2">
        <v>256127</v>
      </c>
      <c r="F4683" t="s">
        <v>4567</v>
      </c>
      <c r="G4683" s="17" t="str">
        <f>HYPERLINK("https://www.washoecounty.gov/assessor/cama/?command=sales&amp;parid=14065405","3857007")</f>
        <v>3857007</v>
      </c>
      <c r="H4683" t="s">
        <v>735</v>
      </c>
      <c r="I4683">
        <v>2006</v>
      </c>
      <c r="J4683">
        <v>2010</v>
      </c>
      <c r="K4683" t="s">
        <v>4554</v>
      </c>
      <c r="L4683" t="s">
        <v>4555</v>
      </c>
      <c r="M4683" s="2">
        <v>1722</v>
      </c>
      <c r="N4683" t="s">
        <v>5280</v>
      </c>
      <c r="O4683">
        <v>3</v>
      </c>
      <c r="P4683">
        <v>2</v>
      </c>
      <c r="Q4683">
        <v>0</v>
      </c>
      <c r="R4683" t="s">
        <v>5281</v>
      </c>
      <c r="S4683" t="s">
        <v>4898</v>
      </c>
      <c r="T4683" t="s">
        <v>2704</v>
      </c>
      <c r="U4683" t="s">
        <v>4560</v>
      </c>
      <c r="V4683" s="2">
        <v>596</v>
      </c>
      <c r="W4683" t="s">
        <v>4655</v>
      </c>
      <c r="X4683" s="2">
        <v>0</v>
      </c>
      <c r="Y4683">
        <v>20</v>
      </c>
      <c r="Z4683" t="s">
        <v>5107</v>
      </c>
      <c r="AA4683" s="3">
        <v>0.13989898562431335</v>
      </c>
      <c r="AB4683" t="s">
        <v>24554</v>
      </c>
      <c r="AC4683" t="s">
        <v>4562</v>
      </c>
      <c r="AD4683" t="s">
        <v>24553</v>
      </c>
      <c r="AE4683" t="s">
        <v>4655</v>
      </c>
      <c r="AF4683" t="s">
        <v>4563</v>
      </c>
      <c r="AG4683" t="s">
        <v>4564</v>
      </c>
      <c r="AH4683" t="s">
        <v>5197</v>
      </c>
      <c r="AI4683" t="s">
        <v>3655</v>
      </c>
      <c r="AJ4683" t="s">
        <v>108</v>
      </c>
      <c r="AK4683" t="s">
        <v>24555</v>
      </c>
      <c r="AL4683" s="13" t="s">
        <v>2257</v>
      </c>
      <c r="AM4683">
        <v>1</v>
      </c>
      <c r="AN4683" s="15" t="s">
        <v>1881</v>
      </c>
    </row>
    <row r="4684" spans="1:40" x14ac:dyDescent="0.3">
      <c r="A4684" s="10" t="str">
        <f>HYPERLINK("http://www.washoecounty.gov/assessor/cama/?parid=140-654-08&amp;CardNumber=1","140-654-08")</f>
        <v>140-654-08</v>
      </c>
      <c r="B4684" t="s">
        <v>4655</v>
      </c>
      <c r="C4684" t="s">
        <v>24556</v>
      </c>
      <c r="D4684" s="1">
        <v>40277</v>
      </c>
      <c r="E4684" s="2">
        <v>250000</v>
      </c>
      <c r="F4684" t="s">
        <v>4567</v>
      </c>
      <c r="G4684" s="17" t="str">
        <f>HYPERLINK("https://www.washoecounty.gov/assessor/cama/?command=sales&amp;parid=14065408","3869586")</f>
        <v>3869586</v>
      </c>
      <c r="H4684" t="s">
        <v>735</v>
      </c>
      <c r="I4684">
        <v>2005</v>
      </c>
      <c r="J4684">
        <v>2005</v>
      </c>
      <c r="K4684" t="s">
        <v>4554</v>
      </c>
      <c r="L4684" t="s">
        <v>3974</v>
      </c>
      <c r="M4684" s="2">
        <v>2261</v>
      </c>
      <c r="N4684" t="s">
        <v>5280</v>
      </c>
      <c r="O4684">
        <v>3</v>
      </c>
      <c r="P4684">
        <v>2</v>
      </c>
      <c r="Q4684">
        <v>1</v>
      </c>
      <c r="R4684" t="s">
        <v>4557</v>
      </c>
      <c r="S4684" t="s">
        <v>4898</v>
      </c>
      <c r="T4684" t="s">
        <v>2704</v>
      </c>
      <c r="U4684" t="s">
        <v>4560</v>
      </c>
      <c r="V4684" s="2">
        <v>618</v>
      </c>
      <c r="W4684" t="s">
        <v>4655</v>
      </c>
      <c r="X4684" s="2">
        <v>0</v>
      </c>
      <c r="Y4684">
        <v>20</v>
      </c>
      <c r="Z4684" t="s">
        <v>5107</v>
      </c>
      <c r="AA4684" s="3">
        <v>0.175321400165558</v>
      </c>
      <c r="AB4684" t="s">
        <v>24557</v>
      </c>
      <c r="AC4684" t="s">
        <v>4562</v>
      </c>
      <c r="AD4684" t="s">
        <v>24556</v>
      </c>
      <c r="AE4684" t="s">
        <v>4655</v>
      </c>
      <c r="AF4684" t="s">
        <v>4563</v>
      </c>
      <c r="AG4684" t="s">
        <v>4564</v>
      </c>
      <c r="AH4684" t="s">
        <v>5197</v>
      </c>
      <c r="AI4684" t="s">
        <v>24558</v>
      </c>
      <c r="AJ4684" t="s">
        <v>108</v>
      </c>
      <c r="AK4684" t="s">
        <v>24559</v>
      </c>
      <c r="AL4684" s="13" t="s">
        <v>2257</v>
      </c>
      <c r="AM4684" s="14">
        <v>1</v>
      </c>
      <c r="AN4684" s="15" t="s">
        <v>1881</v>
      </c>
    </row>
    <row r="4685" spans="1:40" x14ac:dyDescent="0.3">
      <c r="A4685" s="10" t="str">
        <f>HYPERLINK("http://www.washoecounty.gov/assessor/cama/?parid=140-654-11&amp;CardNumber=1","140-654-11")</f>
        <v>140-654-11</v>
      </c>
      <c r="B4685" t="s">
        <v>4655</v>
      </c>
      <c r="C4685" t="s">
        <v>24560</v>
      </c>
      <c r="D4685" s="1">
        <v>40473</v>
      </c>
      <c r="E4685" s="2">
        <v>245000</v>
      </c>
      <c r="F4685" t="s">
        <v>4567</v>
      </c>
      <c r="G4685" s="17" t="str">
        <f>HYPERLINK("https://www.washoecounty.gov/assessor/cama/?command=sales&amp;parid=14065411","3935499")</f>
        <v>3935499</v>
      </c>
      <c r="H4685" t="s">
        <v>735</v>
      </c>
      <c r="I4685">
        <v>2005</v>
      </c>
      <c r="J4685">
        <v>2005</v>
      </c>
      <c r="K4685" t="s">
        <v>4554</v>
      </c>
      <c r="L4685" t="s">
        <v>4555</v>
      </c>
      <c r="M4685" s="2">
        <v>1722</v>
      </c>
      <c r="N4685" t="s">
        <v>5280</v>
      </c>
      <c r="O4685">
        <v>3</v>
      </c>
      <c r="P4685">
        <v>2</v>
      </c>
      <c r="Q4685">
        <v>0</v>
      </c>
      <c r="R4685" t="s">
        <v>4557</v>
      </c>
      <c r="S4685" t="s">
        <v>4898</v>
      </c>
      <c r="T4685" t="s">
        <v>2704</v>
      </c>
      <c r="U4685" t="s">
        <v>4560</v>
      </c>
      <c r="V4685" s="2">
        <v>596</v>
      </c>
      <c r="W4685" t="s">
        <v>4655</v>
      </c>
      <c r="X4685" s="2">
        <v>0</v>
      </c>
      <c r="Y4685">
        <v>20</v>
      </c>
      <c r="Z4685" t="s">
        <v>5107</v>
      </c>
      <c r="AA4685" s="3">
        <v>0.15482093393802601</v>
      </c>
      <c r="AB4685" t="s">
        <v>24561</v>
      </c>
      <c r="AC4685" t="s">
        <v>4562</v>
      </c>
      <c r="AD4685" t="s">
        <v>24560</v>
      </c>
      <c r="AE4685" t="s">
        <v>4655</v>
      </c>
      <c r="AF4685" t="s">
        <v>4563</v>
      </c>
      <c r="AG4685" t="s">
        <v>4564</v>
      </c>
      <c r="AH4685" t="s">
        <v>5197</v>
      </c>
      <c r="AI4685" t="s">
        <v>24562</v>
      </c>
      <c r="AJ4685" t="s">
        <v>108</v>
      </c>
      <c r="AK4685" t="s">
        <v>24563</v>
      </c>
      <c r="AL4685" s="13" t="s">
        <v>2257</v>
      </c>
      <c r="AM4685">
        <v>1</v>
      </c>
      <c r="AN4685" s="15" t="s">
        <v>1881</v>
      </c>
    </row>
    <row r="4686" spans="1:40" x14ac:dyDescent="0.3">
      <c r="A4686" s="10" t="str">
        <f>HYPERLINK("http://www.washoecounty.gov/assessor/cama/?parid=140-661-01&amp;CardNumber=1","140-661-01")</f>
        <v>140-661-01</v>
      </c>
      <c r="B4686" t="s">
        <v>4655</v>
      </c>
      <c r="C4686" t="s">
        <v>24564</v>
      </c>
      <c r="D4686" s="1">
        <v>40505</v>
      </c>
      <c r="E4686" s="2">
        <v>251450</v>
      </c>
      <c r="F4686" t="s">
        <v>4567</v>
      </c>
      <c r="G4686" s="17" t="str">
        <f>HYPERLINK("https://www.washoecounty.gov/assessor/cama/?command=sales&amp;parid=14066101","3946132")</f>
        <v>3946132</v>
      </c>
      <c r="H4686" t="s">
        <v>735</v>
      </c>
      <c r="I4686">
        <v>2010</v>
      </c>
      <c r="J4686">
        <v>2010</v>
      </c>
      <c r="K4686" t="s">
        <v>4554</v>
      </c>
      <c r="L4686" t="s">
        <v>4555</v>
      </c>
      <c r="M4686" s="2">
        <v>1955</v>
      </c>
      <c r="N4686" t="s">
        <v>5280</v>
      </c>
      <c r="O4686">
        <v>4</v>
      </c>
      <c r="P4686">
        <v>2</v>
      </c>
      <c r="Q4686">
        <v>0</v>
      </c>
      <c r="R4686" t="s">
        <v>5281</v>
      </c>
      <c r="S4686" t="s">
        <v>4898</v>
      </c>
      <c r="T4686" t="s">
        <v>2704</v>
      </c>
      <c r="U4686" t="s">
        <v>4560</v>
      </c>
      <c r="V4686" s="2">
        <v>647</v>
      </c>
      <c r="W4686" t="s">
        <v>4655</v>
      </c>
      <c r="X4686" s="2">
        <v>0</v>
      </c>
      <c r="Y4686">
        <v>20</v>
      </c>
      <c r="Z4686" t="s">
        <v>5107</v>
      </c>
      <c r="AA4686" s="3">
        <v>0.15202020108699801</v>
      </c>
      <c r="AB4686" t="s">
        <v>24565</v>
      </c>
      <c r="AC4686" t="s">
        <v>4562</v>
      </c>
      <c r="AD4686" t="s">
        <v>24564</v>
      </c>
      <c r="AE4686" t="s">
        <v>4655</v>
      </c>
      <c r="AF4686" t="s">
        <v>4563</v>
      </c>
      <c r="AG4686" t="s">
        <v>4564</v>
      </c>
      <c r="AH4686" t="s">
        <v>5197</v>
      </c>
      <c r="AI4686" t="s">
        <v>4655</v>
      </c>
      <c r="AJ4686" t="s">
        <v>108</v>
      </c>
      <c r="AK4686" t="s">
        <v>24566</v>
      </c>
      <c r="AL4686" s="13" t="s">
        <v>2257</v>
      </c>
      <c r="AM4686" s="14">
        <v>1</v>
      </c>
      <c r="AN4686" s="15" t="s">
        <v>1881</v>
      </c>
    </row>
    <row r="4687" spans="1:40" x14ac:dyDescent="0.3">
      <c r="A4687" s="10" t="str">
        <f>HYPERLINK("http://www.washoecounty.gov/assessor/cama/?parid=140-661-02&amp;CardNumber=1","140-661-02")</f>
        <v>140-661-02</v>
      </c>
      <c r="B4687" t="s">
        <v>4655</v>
      </c>
      <c r="C4687" t="s">
        <v>24567</v>
      </c>
      <c r="D4687" s="1">
        <v>40512</v>
      </c>
      <c r="E4687" s="2">
        <v>288000</v>
      </c>
      <c r="F4687" t="s">
        <v>3528</v>
      </c>
      <c r="G4687" s="17" t="str">
        <f>HYPERLINK("https://www.washoecounty.gov/assessor/cama/?command=sales&amp;parid=14066102","3947743")</f>
        <v>3947743</v>
      </c>
      <c r="H4687" t="s">
        <v>735</v>
      </c>
      <c r="I4687">
        <v>2010</v>
      </c>
      <c r="J4687">
        <v>2010</v>
      </c>
      <c r="K4687" t="s">
        <v>4554</v>
      </c>
      <c r="L4687" t="s">
        <v>3974</v>
      </c>
      <c r="M4687" s="2">
        <v>2551</v>
      </c>
      <c r="N4687" t="s">
        <v>5280</v>
      </c>
      <c r="O4687">
        <v>5</v>
      </c>
      <c r="P4687">
        <v>3</v>
      </c>
      <c r="Q4687">
        <v>0</v>
      </c>
      <c r="R4687" t="s">
        <v>5281</v>
      </c>
      <c r="S4687" t="s">
        <v>4898</v>
      </c>
      <c r="T4687" t="s">
        <v>2704</v>
      </c>
      <c r="U4687" t="s">
        <v>4560</v>
      </c>
      <c r="V4687" s="2">
        <v>670</v>
      </c>
      <c r="W4687" t="s">
        <v>4655</v>
      </c>
      <c r="X4687" s="2">
        <v>0</v>
      </c>
      <c r="Y4687">
        <v>12</v>
      </c>
      <c r="Z4687" t="s">
        <v>5107</v>
      </c>
      <c r="AA4687" s="3">
        <v>0.15202020108699801</v>
      </c>
      <c r="AB4687" t="s">
        <v>24568</v>
      </c>
      <c r="AC4687" t="s">
        <v>4562</v>
      </c>
      <c r="AD4687" t="s">
        <v>24567</v>
      </c>
      <c r="AE4687" t="s">
        <v>4655</v>
      </c>
      <c r="AF4687" t="s">
        <v>4563</v>
      </c>
      <c r="AG4687" t="s">
        <v>4564</v>
      </c>
      <c r="AH4687" t="s">
        <v>5197</v>
      </c>
      <c r="AI4687" t="s">
        <v>4655</v>
      </c>
      <c r="AJ4687" t="s">
        <v>108</v>
      </c>
      <c r="AK4687" t="s">
        <v>24569</v>
      </c>
      <c r="AL4687" s="13" t="s">
        <v>2257</v>
      </c>
      <c r="AM4687">
        <v>1</v>
      </c>
      <c r="AN4687" s="15" t="s">
        <v>1881</v>
      </c>
    </row>
    <row r="4688" spans="1:40" x14ac:dyDescent="0.3">
      <c r="A4688" s="10" t="str">
        <f>HYPERLINK("http://www.washoecounty.gov/assessor/cama/?parid=140-661-03&amp;CardNumber=1","140-661-03")</f>
        <v>140-661-03</v>
      </c>
      <c r="B4688" t="s">
        <v>4655</v>
      </c>
      <c r="C4688" t="s">
        <v>24570</v>
      </c>
      <c r="D4688" s="1">
        <v>40512</v>
      </c>
      <c r="E4688" s="2">
        <v>235950</v>
      </c>
      <c r="F4688" t="s">
        <v>3528</v>
      </c>
      <c r="G4688" s="17" t="str">
        <f>HYPERLINK("https://www.washoecounty.gov/assessor/cama/?command=sales&amp;parid=14066103","3947938")</f>
        <v>3947938</v>
      </c>
      <c r="H4688" t="s">
        <v>735</v>
      </c>
      <c r="I4688">
        <v>2010</v>
      </c>
      <c r="J4688">
        <v>2010</v>
      </c>
      <c r="K4688" t="s">
        <v>4554</v>
      </c>
      <c r="L4688" t="s">
        <v>4555</v>
      </c>
      <c r="M4688" s="2">
        <v>1719</v>
      </c>
      <c r="N4688" t="s">
        <v>5280</v>
      </c>
      <c r="O4688">
        <v>4</v>
      </c>
      <c r="P4688">
        <v>2</v>
      </c>
      <c r="Q4688">
        <v>0</v>
      </c>
      <c r="R4688" t="s">
        <v>5281</v>
      </c>
      <c r="S4688" t="s">
        <v>4898</v>
      </c>
      <c r="T4688" t="s">
        <v>2704</v>
      </c>
      <c r="U4688" t="s">
        <v>4560</v>
      </c>
      <c r="V4688" s="2">
        <v>643</v>
      </c>
      <c r="W4688" t="s">
        <v>4655</v>
      </c>
      <c r="X4688" s="2">
        <v>0</v>
      </c>
      <c r="Y4688">
        <v>12</v>
      </c>
      <c r="Z4688" t="s">
        <v>5107</v>
      </c>
      <c r="AA4688" s="3">
        <v>0.16448576748371099</v>
      </c>
      <c r="AB4688" t="s">
        <v>24571</v>
      </c>
      <c r="AC4688" t="s">
        <v>4562</v>
      </c>
      <c r="AD4688" t="s">
        <v>24570</v>
      </c>
      <c r="AE4688" t="s">
        <v>4655</v>
      </c>
      <c r="AF4688" t="s">
        <v>4563</v>
      </c>
      <c r="AG4688" t="s">
        <v>4564</v>
      </c>
      <c r="AH4688" t="s">
        <v>5197</v>
      </c>
      <c r="AI4688" t="s">
        <v>1576</v>
      </c>
      <c r="AJ4688" t="s">
        <v>108</v>
      </c>
      <c r="AK4688" t="s">
        <v>24572</v>
      </c>
      <c r="AL4688" s="13" t="s">
        <v>2257</v>
      </c>
      <c r="AM4688">
        <v>1</v>
      </c>
      <c r="AN4688" s="15" t="s">
        <v>1881</v>
      </c>
    </row>
    <row r="4689" spans="1:40" x14ac:dyDescent="0.3">
      <c r="A4689" s="10" t="str">
        <f>HYPERLINK("http://www.washoecounty.gov/assessor/cama/?parid=140-662-35&amp;CardNumber=1","140-662-35")</f>
        <v>140-662-35</v>
      </c>
      <c r="B4689" t="s">
        <v>4655</v>
      </c>
      <c r="C4689" t="s">
        <v>24573</v>
      </c>
      <c r="D4689" s="1">
        <v>40533</v>
      </c>
      <c r="E4689" s="2">
        <v>255000</v>
      </c>
      <c r="F4689" t="s">
        <v>3528</v>
      </c>
      <c r="G4689" s="17" t="str">
        <f>HYPERLINK("https://www.washoecounty.gov/assessor/cama/?command=sales&amp;parid=14066235","3955953")</f>
        <v>3955953</v>
      </c>
      <c r="H4689" t="s">
        <v>617</v>
      </c>
      <c r="I4689">
        <v>2010</v>
      </c>
      <c r="J4689">
        <v>2010</v>
      </c>
      <c r="K4689" t="s">
        <v>4554</v>
      </c>
      <c r="L4689" t="s">
        <v>4555</v>
      </c>
      <c r="M4689" s="2">
        <v>2098</v>
      </c>
      <c r="N4689" t="s">
        <v>5280</v>
      </c>
      <c r="O4689">
        <v>4</v>
      </c>
      <c r="P4689">
        <v>3</v>
      </c>
      <c r="Q4689">
        <v>0</v>
      </c>
      <c r="R4689" t="s">
        <v>5281</v>
      </c>
      <c r="S4689" t="s">
        <v>4898</v>
      </c>
      <c r="T4689" t="s">
        <v>2704</v>
      </c>
      <c r="U4689" t="s">
        <v>4560</v>
      </c>
      <c r="V4689" s="2">
        <v>580</v>
      </c>
      <c r="W4689" t="s">
        <v>4655</v>
      </c>
      <c r="X4689" s="2">
        <v>0</v>
      </c>
      <c r="Y4689">
        <v>12</v>
      </c>
      <c r="Z4689" t="s">
        <v>5107</v>
      </c>
      <c r="AA4689" s="3">
        <v>0.14738291501998901</v>
      </c>
      <c r="AB4689" t="s">
        <v>24574</v>
      </c>
      <c r="AC4689" t="s">
        <v>4575</v>
      </c>
      <c r="AD4689" t="s">
        <v>24575</v>
      </c>
      <c r="AE4689" t="s">
        <v>4655</v>
      </c>
      <c r="AF4689" t="s">
        <v>1407</v>
      </c>
      <c r="AG4689" t="s">
        <v>4564</v>
      </c>
      <c r="AH4689">
        <v>89703</v>
      </c>
      <c r="AI4689" t="s">
        <v>1576</v>
      </c>
      <c r="AJ4689" t="s">
        <v>618</v>
      </c>
      <c r="AK4689" t="s">
        <v>24576</v>
      </c>
      <c r="AL4689" s="13" t="s">
        <v>2257</v>
      </c>
      <c r="AM4689">
        <v>1</v>
      </c>
      <c r="AN4689" s="15" t="s">
        <v>1881</v>
      </c>
    </row>
    <row r="4690" spans="1:40" x14ac:dyDescent="0.3">
      <c r="A4690" s="10" t="str">
        <f>HYPERLINK("http://www.washoecounty.gov/assessor/cama/?parid=140-663-02&amp;CardNumber=1","140-663-02")</f>
        <v>140-663-02</v>
      </c>
      <c r="B4690" t="s">
        <v>4655</v>
      </c>
      <c r="C4690" t="s">
        <v>24577</v>
      </c>
      <c r="D4690" s="1">
        <v>40246</v>
      </c>
      <c r="E4690" s="2">
        <v>242950</v>
      </c>
      <c r="F4690" t="s">
        <v>4567</v>
      </c>
      <c r="G4690" s="17" t="str">
        <f>HYPERLINK("https://www.washoecounty.gov/assessor/cama/?command=sales&amp;parid=14066302","3857611")</f>
        <v>3857611</v>
      </c>
      <c r="H4690" t="s">
        <v>735</v>
      </c>
      <c r="I4690">
        <v>2006</v>
      </c>
      <c r="J4690">
        <v>2010</v>
      </c>
      <c r="K4690" t="s">
        <v>4554</v>
      </c>
      <c r="L4690" t="s">
        <v>4555</v>
      </c>
      <c r="M4690" s="2">
        <v>1880</v>
      </c>
      <c r="N4690" t="s">
        <v>5280</v>
      </c>
      <c r="O4690">
        <v>4</v>
      </c>
      <c r="P4690">
        <v>2</v>
      </c>
      <c r="Q4690">
        <v>0</v>
      </c>
      <c r="R4690" t="s">
        <v>5281</v>
      </c>
      <c r="S4690" t="s">
        <v>4898</v>
      </c>
      <c r="T4690" t="s">
        <v>2704</v>
      </c>
      <c r="U4690" t="s">
        <v>4560</v>
      </c>
      <c r="V4690" s="2">
        <v>569</v>
      </c>
      <c r="W4690" t="s">
        <v>4655</v>
      </c>
      <c r="X4690" s="2">
        <v>0</v>
      </c>
      <c r="Y4690">
        <v>20</v>
      </c>
      <c r="Z4690" t="s">
        <v>5107</v>
      </c>
      <c r="AA4690" s="3">
        <v>0.20257116854190799</v>
      </c>
      <c r="AB4690" t="s">
        <v>24578</v>
      </c>
      <c r="AC4690" t="s">
        <v>4562</v>
      </c>
      <c r="AD4690" t="s">
        <v>24577</v>
      </c>
      <c r="AE4690" t="s">
        <v>4655</v>
      </c>
      <c r="AF4690" t="s">
        <v>4563</v>
      </c>
      <c r="AG4690" t="s">
        <v>4564</v>
      </c>
      <c r="AH4690" t="s">
        <v>5197</v>
      </c>
      <c r="AI4690" t="s">
        <v>3655</v>
      </c>
      <c r="AJ4690" t="s">
        <v>108</v>
      </c>
      <c r="AK4690" t="s">
        <v>24579</v>
      </c>
      <c r="AL4690" s="13" t="s">
        <v>2257</v>
      </c>
      <c r="AM4690" s="14">
        <v>1</v>
      </c>
      <c r="AN4690" s="15" t="s">
        <v>1881</v>
      </c>
    </row>
    <row r="4691" spans="1:40" x14ac:dyDescent="0.3">
      <c r="A4691" s="10" t="str">
        <f>HYPERLINK("http://www.washoecounty.gov/assessor/cama/?parid=140-672-07&amp;CardNumber=1","140-672-07")</f>
        <v>140-672-07</v>
      </c>
      <c r="B4691" t="s">
        <v>4655</v>
      </c>
      <c r="C4691" t="s">
        <v>24580</v>
      </c>
      <c r="D4691" s="1">
        <v>40456</v>
      </c>
      <c r="E4691" s="2">
        <v>167000</v>
      </c>
      <c r="F4691" t="s">
        <v>4553</v>
      </c>
      <c r="G4691" s="17" t="str">
        <f>HYPERLINK("https://www.washoecounty.gov/assessor/cama/?command=sales&amp;parid=14067207","3929868")</f>
        <v>3929868</v>
      </c>
      <c r="H4691" t="s">
        <v>3182</v>
      </c>
      <c r="I4691">
        <v>2005</v>
      </c>
      <c r="J4691">
        <v>2005</v>
      </c>
      <c r="K4691" t="s">
        <v>4554</v>
      </c>
      <c r="L4691" t="s">
        <v>4555</v>
      </c>
      <c r="M4691" s="2">
        <v>1430</v>
      </c>
      <c r="N4691" t="s">
        <v>5280</v>
      </c>
      <c r="O4691">
        <v>2</v>
      </c>
      <c r="P4691">
        <v>2</v>
      </c>
      <c r="Q4691">
        <v>0</v>
      </c>
      <c r="R4691" t="s">
        <v>5281</v>
      </c>
      <c r="S4691" t="s">
        <v>4898</v>
      </c>
      <c r="T4691" t="s">
        <v>2704</v>
      </c>
      <c r="U4691" t="s">
        <v>4560</v>
      </c>
      <c r="V4691" s="2">
        <v>404</v>
      </c>
      <c r="W4691" t="s">
        <v>4655</v>
      </c>
      <c r="X4691" s="2">
        <v>0</v>
      </c>
      <c r="Y4691">
        <v>20</v>
      </c>
      <c r="Z4691" t="s">
        <v>5107</v>
      </c>
      <c r="AA4691" s="3">
        <v>0.118135906755924</v>
      </c>
      <c r="AB4691" t="s">
        <v>4075</v>
      </c>
      <c r="AC4691" t="s">
        <v>4575</v>
      </c>
      <c r="AD4691" t="s">
        <v>3269</v>
      </c>
      <c r="AE4691" t="s">
        <v>4655</v>
      </c>
      <c r="AF4691" t="s">
        <v>4563</v>
      </c>
      <c r="AG4691" t="s">
        <v>4564</v>
      </c>
      <c r="AH4691">
        <v>89511</v>
      </c>
      <c r="AI4691" t="s">
        <v>4655</v>
      </c>
      <c r="AJ4691" t="s">
        <v>3183</v>
      </c>
      <c r="AK4691" t="s">
        <v>24581</v>
      </c>
      <c r="AL4691" s="13" t="s">
        <v>2257</v>
      </c>
      <c r="AM4691">
        <v>1</v>
      </c>
      <c r="AN4691" s="15" t="s">
        <v>1881</v>
      </c>
    </row>
    <row r="4692" spans="1:40" x14ac:dyDescent="0.3">
      <c r="A4692" s="10" t="str">
        <f>HYPERLINK("http://www.washoecounty.gov/assessor/cama/?parid=140-672-10&amp;CardNumber=1","140-672-10")</f>
        <v>140-672-10</v>
      </c>
      <c r="B4692" t="s">
        <v>4655</v>
      </c>
      <c r="C4692" t="s">
        <v>24582</v>
      </c>
      <c r="D4692" s="1">
        <v>40381</v>
      </c>
      <c r="E4692" s="2">
        <v>180000</v>
      </c>
      <c r="F4692" t="s">
        <v>4567</v>
      </c>
      <c r="G4692" s="17" t="str">
        <f>HYPERLINK("https://www.washoecounty.gov/assessor/cama/?command=sales&amp;parid=14067210","3903852")</f>
        <v>3903852</v>
      </c>
      <c r="H4692" t="s">
        <v>3182</v>
      </c>
      <c r="I4692">
        <v>2005</v>
      </c>
      <c r="J4692">
        <v>2005</v>
      </c>
      <c r="K4692" t="s">
        <v>4554</v>
      </c>
      <c r="L4692" t="s">
        <v>4555</v>
      </c>
      <c r="M4692" s="2">
        <v>1563</v>
      </c>
      <c r="N4692" t="s">
        <v>5280</v>
      </c>
      <c r="O4692">
        <v>3</v>
      </c>
      <c r="P4692">
        <v>2</v>
      </c>
      <c r="Q4692">
        <v>0</v>
      </c>
      <c r="R4692" t="s">
        <v>5281</v>
      </c>
      <c r="S4692" t="s">
        <v>4898</v>
      </c>
      <c r="T4692" t="s">
        <v>2704</v>
      </c>
      <c r="U4692" t="s">
        <v>4560</v>
      </c>
      <c r="V4692" s="2">
        <v>460</v>
      </c>
      <c r="W4692" t="s">
        <v>4655</v>
      </c>
      <c r="X4692" s="2">
        <v>0</v>
      </c>
      <c r="Y4692">
        <v>20</v>
      </c>
      <c r="Z4692" t="s">
        <v>5107</v>
      </c>
      <c r="AA4692" s="3">
        <v>0.114898987114429</v>
      </c>
      <c r="AB4692" t="s">
        <v>24583</v>
      </c>
      <c r="AC4692" t="s">
        <v>4562</v>
      </c>
      <c r="AD4692" t="s">
        <v>24582</v>
      </c>
      <c r="AE4692" t="s">
        <v>4655</v>
      </c>
      <c r="AF4692" t="s">
        <v>4563</v>
      </c>
      <c r="AG4692" t="s">
        <v>4564</v>
      </c>
      <c r="AH4692" t="s">
        <v>5197</v>
      </c>
      <c r="AI4692" t="s">
        <v>24584</v>
      </c>
      <c r="AJ4692" t="s">
        <v>3183</v>
      </c>
      <c r="AK4692" t="s">
        <v>24585</v>
      </c>
      <c r="AL4692" s="13" t="s">
        <v>2257</v>
      </c>
      <c r="AM4692" s="14">
        <v>1</v>
      </c>
      <c r="AN4692" s="15" t="s">
        <v>1881</v>
      </c>
    </row>
    <row r="4693" spans="1:40" x14ac:dyDescent="0.3">
      <c r="A4693" s="10" t="str">
        <f>HYPERLINK("http://www.washoecounty.gov/assessor/cama/?parid=140-673-05&amp;CardNumber=1","140-673-05")</f>
        <v>140-673-05</v>
      </c>
      <c r="B4693" t="s">
        <v>4655</v>
      </c>
      <c r="C4693" t="s">
        <v>24586</v>
      </c>
      <c r="D4693" s="1">
        <v>40542</v>
      </c>
      <c r="E4693" s="2">
        <v>247000</v>
      </c>
      <c r="F4693" t="s">
        <v>4567</v>
      </c>
      <c r="G4693" s="17" t="str">
        <f>HYPERLINK("https://www.washoecounty.gov/assessor/cama/?command=sales&amp;parid=14067305","3958976")</f>
        <v>3958976</v>
      </c>
      <c r="H4693" t="s">
        <v>3182</v>
      </c>
      <c r="I4693">
        <v>2010</v>
      </c>
      <c r="J4693">
        <v>2010</v>
      </c>
      <c r="K4693" t="s">
        <v>4554</v>
      </c>
      <c r="L4693" t="s">
        <v>3974</v>
      </c>
      <c r="M4693" s="2">
        <v>2300</v>
      </c>
      <c r="N4693" t="s">
        <v>5280</v>
      </c>
      <c r="O4693">
        <v>4</v>
      </c>
      <c r="P4693">
        <v>2</v>
      </c>
      <c r="Q4693">
        <v>1</v>
      </c>
      <c r="R4693" t="s">
        <v>5281</v>
      </c>
      <c r="S4693" t="s">
        <v>4898</v>
      </c>
      <c r="T4693" t="s">
        <v>2704</v>
      </c>
      <c r="U4693" t="s">
        <v>5631</v>
      </c>
      <c r="V4693" s="2">
        <v>610</v>
      </c>
      <c r="W4693" t="s">
        <v>4655</v>
      </c>
      <c r="X4693" s="2">
        <v>0</v>
      </c>
      <c r="Y4693">
        <v>20</v>
      </c>
      <c r="Z4693" t="s">
        <v>5107</v>
      </c>
      <c r="AA4693" s="3">
        <v>0.114898987114429</v>
      </c>
      <c r="AB4693" t="s">
        <v>338</v>
      </c>
      <c r="AC4693" t="s">
        <v>4562</v>
      </c>
      <c r="AD4693" t="s">
        <v>675</v>
      </c>
      <c r="AE4693" t="s">
        <v>4655</v>
      </c>
      <c r="AF4693" t="s">
        <v>4563</v>
      </c>
      <c r="AG4693" t="s">
        <v>4564</v>
      </c>
      <c r="AH4693">
        <v>89511</v>
      </c>
      <c r="AI4693" t="s">
        <v>4655</v>
      </c>
      <c r="AJ4693" t="s">
        <v>3183</v>
      </c>
      <c r="AK4693" t="s">
        <v>24587</v>
      </c>
      <c r="AL4693" s="13" t="s">
        <v>2257</v>
      </c>
      <c r="AM4693">
        <v>1</v>
      </c>
      <c r="AN4693" s="15" t="s">
        <v>1881</v>
      </c>
    </row>
    <row r="4694" spans="1:40" x14ac:dyDescent="0.3">
      <c r="A4694" s="10" t="str">
        <f>HYPERLINK("http://www.washoecounty.gov/assessor/cama/?parid=140-673-06&amp;CardNumber=1","140-673-06")</f>
        <v>140-673-06</v>
      </c>
      <c r="B4694" t="s">
        <v>4655</v>
      </c>
      <c r="C4694" t="s">
        <v>24588</v>
      </c>
      <c r="D4694" s="1">
        <v>40506</v>
      </c>
      <c r="E4694" s="2">
        <v>212000</v>
      </c>
      <c r="F4694" t="s">
        <v>4567</v>
      </c>
      <c r="G4694" s="17" t="str">
        <f>HYPERLINK("https://www.washoecounty.gov/assessor/cama/?command=sales&amp;parid=14067306","3946482")</f>
        <v>3946482</v>
      </c>
      <c r="H4694" t="s">
        <v>3182</v>
      </c>
      <c r="I4694">
        <v>2010</v>
      </c>
      <c r="J4694">
        <v>2010</v>
      </c>
      <c r="K4694" t="s">
        <v>4554</v>
      </c>
      <c r="L4694" t="s">
        <v>4555</v>
      </c>
      <c r="M4694" s="2">
        <v>1528</v>
      </c>
      <c r="N4694" t="s">
        <v>5280</v>
      </c>
      <c r="O4694">
        <v>3</v>
      </c>
      <c r="P4694">
        <v>2</v>
      </c>
      <c r="Q4694">
        <v>0</v>
      </c>
      <c r="R4694" t="s">
        <v>5281</v>
      </c>
      <c r="S4694" t="s">
        <v>4898</v>
      </c>
      <c r="T4694" t="s">
        <v>2704</v>
      </c>
      <c r="U4694" t="s">
        <v>4560</v>
      </c>
      <c r="V4694" s="2">
        <v>594</v>
      </c>
      <c r="W4694" t="s">
        <v>4655</v>
      </c>
      <c r="X4694" s="2">
        <v>0</v>
      </c>
      <c r="Y4694">
        <v>20</v>
      </c>
      <c r="Z4694" t="s">
        <v>5107</v>
      </c>
      <c r="AA4694" s="3">
        <v>0.114898987114429</v>
      </c>
      <c r="AB4694" t="s">
        <v>24589</v>
      </c>
      <c r="AC4694" t="s">
        <v>4562</v>
      </c>
      <c r="AD4694" t="s">
        <v>24590</v>
      </c>
      <c r="AE4694" t="s">
        <v>4655</v>
      </c>
      <c r="AF4694" t="s">
        <v>4563</v>
      </c>
      <c r="AG4694" t="s">
        <v>4564</v>
      </c>
      <c r="AH4694" t="s">
        <v>5197</v>
      </c>
      <c r="AI4694" t="s">
        <v>1576</v>
      </c>
      <c r="AJ4694" t="s">
        <v>3183</v>
      </c>
      <c r="AK4694" t="s">
        <v>24591</v>
      </c>
      <c r="AL4694" s="13" t="s">
        <v>2257</v>
      </c>
      <c r="AM4694">
        <v>1</v>
      </c>
      <c r="AN4694" s="15" t="s">
        <v>1881</v>
      </c>
    </row>
    <row r="4695" spans="1:40" x14ac:dyDescent="0.3">
      <c r="A4695" s="10" t="str">
        <f>HYPERLINK("http://www.washoecounty.gov/assessor/cama/?parid=140-673-08&amp;CardNumber=1","140-673-08")</f>
        <v>140-673-08</v>
      </c>
      <c r="B4695" t="s">
        <v>4655</v>
      </c>
      <c r="C4695" t="s">
        <v>24592</v>
      </c>
      <c r="D4695" s="1">
        <v>40256</v>
      </c>
      <c r="E4695" s="2">
        <v>215000</v>
      </c>
      <c r="F4695" t="s">
        <v>4567</v>
      </c>
      <c r="G4695" s="17" t="str">
        <f>HYPERLINK("https://www.washoecounty.gov/assessor/cama/?command=sales&amp;parid=14067308","3861856")</f>
        <v>3861856</v>
      </c>
      <c r="H4695" t="s">
        <v>3182</v>
      </c>
      <c r="I4695">
        <v>2006</v>
      </c>
      <c r="J4695">
        <v>2006</v>
      </c>
      <c r="K4695" t="s">
        <v>4554</v>
      </c>
      <c r="L4695" t="s">
        <v>4555</v>
      </c>
      <c r="M4695" s="2">
        <v>1563</v>
      </c>
      <c r="N4695" t="s">
        <v>5280</v>
      </c>
      <c r="O4695">
        <v>3</v>
      </c>
      <c r="P4695">
        <v>2</v>
      </c>
      <c r="Q4695">
        <v>0</v>
      </c>
      <c r="R4695" t="s">
        <v>4557</v>
      </c>
      <c r="S4695" t="s">
        <v>4898</v>
      </c>
      <c r="T4695" t="s">
        <v>2704</v>
      </c>
      <c r="U4695" t="s">
        <v>4560</v>
      </c>
      <c r="V4695" s="2">
        <v>460</v>
      </c>
      <c r="W4695" t="s">
        <v>4655</v>
      </c>
      <c r="X4695" s="2">
        <v>0</v>
      </c>
      <c r="Y4695">
        <v>20</v>
      </c>
      <c r="Z4695" t="s">
        <v>5107</v>
      </c>
      <c r="AA4695" s="3">
        <v>0.135445356369019</v>
      </c>
      <c r="AB4695" t="s">
        <v>24593</v>
      </c>
      <c r="AC4695" t="s">
        <v>4562</v>
      </c>
      <c r="AD4695" t="s">
        <v>24592</v>
      </c>
      <c r="AE4695" t="s">
        <v>4655</v>
      </c>
      <c r="AF4695" t="s">
        <v>4563</v>
      </c>
      <c r="AG4695" t="s">
        <v>4564</v>
      </c>
      <c r="AH4695" t="s">
        <v>5197</v>
      </c>
      <c r="AI4695" t="s">
        <v>24594</v>
      </c>
      <c r="AJ4695" t="s">
        <v>3183</v>
      </c>
      <c r="AK4695" t="s">
        <v>24595</v>
      </c>
      <c r="AL4695" s="13" t="s">
        <v>2257</v>
      </c>
      <c r="AM4695">
        <v>1</v>
      </c>
      <c r="AN4695" s="15" t="s">
        <v>1881</v>
      </c>
    </row>
    <row r="4696" spans="1:40" x14ac:dyDescent="0.3">
      <c r="A4696" s="10" t="str">
        <f>HYPERLINK("http://www.washoecounty.gov/assessor/cama/?parid=140-673-13&amp;CardNumber=1","140-673-13")</f>
        <v>140-673-13</v>
      </c>
      <c r="B4696" t="s">
        <v>4655</v>
      </c>
      <c r="C4696" t="s">
        <v>24596</v>
      </c>
      <c r="D4696" s="1">
        <v>40235</v>
      </c>
      <c r="E4696" s="2">
        <v>236950</v>
      </c>
      <c r="F4696" t="s">
        <v>4567</v>
      </c>
      <c r="G4696" s="17" t="str">
        <f>HYPERLINK("https://www.washoecounty.gov/assessor/cama/?command=sales&amp;parid=14067313","3853221")</f>
        <v>3853221</v>
      </c>
      <c r="H4696" t="s">
        <v>3182</v>
      </c>
      <c r="I4696">
        <v>2007</v>
      </c>
      <c r="J4696">
        <v>2009</v>
      </c>
      <c r="K4696" t="s">
        <v>4554</v>
      </c>
      <c r="L4696" t="s">
        <v>3974</v>
      </c>
      <c r="M4696" s="2">
        <v>1827</v>
      </c>
      <c r="N4696" t="s">
        <v>5280</v>
      </c>
      <c r="O4696">
        <v>3</v>
      </c>
      <c r="P4696">
        <v>2</v>
      </c>
      <c r="Q4696">
        <v>1</v>
      </c>
      <c r="R4696" t="s">
        <v>5281</v>
      </c>
      <c r="S4696" t="s">
        <v>4898</v>
      </c>
      <c r="T4696" t="s">
        <v>2704</v>
      </c>
      <c r="U4696" t="s">
        <v>4560</v>
      </c>
      <c r="V4696" s="2">
        <v>660</v>
      </c>
      <c r="W4696" t="s">
        <v>4655</v>
      </c>
      <c r="X4696" s="2">
        <v>0</v>
      </c>
      <c r="Y4696">
        <v>20</v>
      </c>
      <c r="Z4696" t="s">
        <v>5107</v>
      </c>
      <c r="AA4696" s="3">
        <v>0.130371898412704</v>
      </c>
      <c r="AB4696" t="s">
        <v>5208</v>
      </c>
      <c r="AC4696" t="s">
        <v>4562</v>
      </c>
      <c r="AD4696" t="s">
        <v>3654</v>
      </c>
      <c r="AE4696" t="s">
        <v>4655</v>
      </c>
      <c r="AF4696" t="s">
        <v>4563</v>
      </c>
      <c r="AG4696" t="s">
        <v>4564</v>
      </c>
      <c r="AH4696">
        <v>89511</v>
      </c>
      <c r="AI4696" t="s">
        <v>3655</v>
      </c>
      <c r="AJ4696" t="s">
        <v>3183</v>
      </c>
      <c r="AK4696" t="s">
        <v>24597</v>
      </c>
      <c r="AL4696" s="13" t="s">
        <v>2257</v>
      </c>
      <c r="AM4696" s="14">
        <v>1</v>
      </c>
      <c r="AN4696" s="15" t="s">
        <v>1881</v>
      </c>
    </row>
    <row r="4697" spans="1:40" x14ac:dyDescent="0.3">
      <c r="A4697" s="10" t="str">
        <f>HYPERLINK("http://www.washoecounty.gov/assessor/cama/?parid=140-674-08&amp;CardNumber=1","140-674-08")</f>
        <v>140-674-08</v>
      </c>
      <c r="B4697" t="s">
        <v>4655</v>
      </c>
      <c r="C4697" t="s">
        <v>24598</v>
      </c>
      <c r="D4697" s="1">
        <v>40484</v>
      </c>
      <c r="E4697" s="2">
        <v>180000</v>
      </c>
      <c r="F4697" t="s">
        <v>4567</v>
      </c>
      <c r="G4697" s="17" t="str">
        <f>HYPERLINK("https://www.washoecounty.gov/assessor/cama/?command=sales&amp;parid=14067408","3939158")</f>
        <v>3939158</v>
      </c>
      <c r="H4697" t="s">
        <v>3182</v>
      </c>
      <c r="I4697">
        <v>2006</v>
      </c>
      <c r="J4697">
        <v>2006</v>
      </c>
      <c r="K4697" t="s">
        <v>4554</v>
      </c>
      <c r="L4697" t="s">
        <v>4555</v>
      </c>
      <c r="M4697" s="2">
        <v>1563</v>
      </c>
      <c r="N4697" t="s">
        <v>5280</v>
      </c>
      <c r="O4697">
        <v>3</v>
      </c>
      <c r="P4697">
        <v>2</v>
      </c>
      <c r="Q4697">
        <v>0</v>
      </c>
      <c r="R4697" t="s">
        <v>5281</v>
      </c>
      <c r="S4697" t="s">
        <v>4898</v>
      </c>
      <c r="T4697" t="s">
        <v>2704</v>
      </c>
      <c r="U4697" t="s">
        <v>4560</v>
      </c>
      <c r="V4697" s="2">
        <v>460</v>
      </c>
      <c r="W4697" t="s">
        <v>4655</v>
      </c>
      <c r="X4697" s="2">
        <v>0</v>
      </c>
      <c r="Y4697">
        <v>20</v>
      </c>
      <c r="Z4697" t="s">
        <v>5107</v>
      </c>
      <c r="AA4697" s="3">
        <v>0.18824610114097601</v>
      </c>
      <c r="AB4697" t="s">
        <v>24599</v>
      </c>
      <c r="AC4697" t="s">
        <v>4575</v>
      </c>
      <c r="AD4697" t="s">
        <v>24600</v>
      </c>
      <c r="AE4697" t="s">
        <v>4655</v>
      </c>
      <c r="AF4697" t="s">
        <v>1407</v>
      </c>
      <c r="AG4697" t="s">
        <v>4564</v>
      </c>
      <c r="AH4697">
        <v>89704</v>
      </c>
      <c r="AI4697" t="s">
        <v>24601</v>
      </c>
      <c r="AJ4697" t="s">
        <v>3183</v>
      </c>
      <c r="AK4697" t="s">
        <v>24602</v>
      </c>
      <c r="AL4697" s="13" t="s">
        <v>2257</v>
      </c>
      <c r="AM4697" s="14">
        <v>1</v>
      </c>
      <c r="AN4697" s="15" t="s">
        <v>1881</v>
      </c>
    </row>
    <row r="4698" spans="1:40" x14ac:dyDescent="0.3">
      <c r="A4698" s="10" t="str">
        <f>HYPERLINK("http://www.washoecounty.gov/assessor/cama/?parid=140-675-01&amp;CardNumber=1","140-675-01")</f>
        <v>140-675-01</v>
      </c>
      <c r="B4698" t="s">
        <v>4655</v>
      </c>
      <c r="C4698" t="s">
        <v>24603</v>
      </c>
      <c r="D4698" s="1">
        <v>40521</v>
      </c>
      <c r="E4698" s="2">
        <v>184000</v>
      </c>
      <c r="F4698" t="s">
        <v>4553</v>
      </c>
      <c r="G4698" s="17" t="str">
        <f>HYPERLINK("https://www.washoecounty.gov/assessor/cama/?command=sales&amp;parid=14067501","3951742")</f>
        <v>3951742</v>
      </c>
      <c r="H4698" t="s">
        <v>3182</v>
      </c>
      <c r="I4698">
        <v>2006</v>
      </c>
      <c r="J4698">
        <v>2006</v>
      </c>
      <c r="K4698" t="s">
        <v>4554</v>
      </c>
      <c r="L4698" t="s">
        <v>4555</v>
      </c>
      <c r="M4698" s="2">
        <v>1563</v>
      </c>
      <c r="N4698" t="s">
        <v>5280</v>
      </c>
      <c r="O4698">
        <v>3</v>
      </c>
      <c r="P4698">
        <v>2</v>
      </c>
      <c r="Q4698">
        <v>0</v>
      </c>
      <c r="R4698" t="s">
        <v>5281</v>
      </c>
      <c r="S4698" t="s">
        <v>4898</v>
      </c>
      <c r="T4698" t="s">
        <v>2704</v>
      </c>
      <c r="U4698" t="s">
        <v>4560</v>
      </c>
      <c r="V4698" s="2">
        <v>460</v>
      </c>
      <c r="W4698" t="s">
        <v>4655</v>
      </c>
      <c r="X4698" s="2">
        <v>0</v>
      </c>
      <c r="Y4698">
        <v>20</v>
      </c>
      <c r="Z4698" t="s">
        <v>5107</v>
      </c>
      <c r="AA4698" s="3">
        <v>0.118411384522915</v>
      </c>
      <c r="AB4698" t="s">
        <v>24604</v>
      </c>
      <c r="AC4698" t="s">
        <v>4562</v>
      </c>
      <c r="AD4698" t="s">
        <v>24605</v>
      </c>
      <c r="AE4698" t="s">
        <v>4655</v>
      </c>
      <c r="AF4698" t="s">
        <v>4563</v>
      </c>
      <c r="AG4698" t="s">
        <v>4564</v>
      </c>
      <c r="AH4698" t="s">
        <v>5197</v>
      </c>
      <c r="AI4698" t="s">
        <v>2009</v>
      </c>
      <c r="AJ4698" t="s">
        <v>3183</v>
      </c>
      <c r="AK4698" t="s">
        <v>24606</v>
      </c>
      <c r="AL4698" s="13" t="s">
        <v>2257</v>
      </c>
      <c r="AM4698">
        <v>1</v>
      </c>
      <c r="AN4698" s="15" t="s">
        <v>1881</v>
      </c>
    </row>
    <row r="4699" spans="1:40" x14ac:dyDescent="0.3">
      <c r="A4699" s="10" t="str">
        <f>HYPERLINK("http://www.washoecounty.gov/assessor/cama/?parid=140-675-03&amp;CardNumber=1","140-675-03")</f>
        <v>140-675-03</v>
      </c>
      <c r="B4699" t="s">
        <v>4655</v>
      </c>
      <c r="C4699" t="s">
        <v>24607</v>
      </c>
      <c r="D4699" s="1">
        <v>40542</v>
      </c>
      <c r="E4699" s="2">
        <v>237000</v>
      </c>
      <c r="F4699" t="s">
        <v>4567</v>
      </c>
      <c r="G4699" s="17" t="str">
        <f>HYPERLINK("https://www.washoecounty.gov/assessor/cama/?command=sales&amp;parid=14067503","3959063")</f>
        <v>3959063</v>
      </c>
      <c r="H4699" t="s">
        <v>3182</v>
      </c>
      <c r="I4699">
        <v>2010</v>
      </c>
      <c r="J4699">
        <v>2010</v>
      </c>
      <c r="K4699" t="s">
        <v>4554</v>
      </c>
      <c r="L4699" t="s">
        <v>3974</v>
      </c>
      <c r="M4699" s="2">
        <v>2076</v>
      </c>
      <c r="N4699" t="s">
        <v>5280</v>
      </c>
      <c r="O4699">
        <v>3</v>
      </c>
      <c r="P4699">
        <v>2</v>
      </c>
      <c r="Q4699">
        <v>1</v>
      </c>
      <c r="R4699" t="s">
        <v>5281</v>
      </c>
      <c r="S4699" t="s">
        <v>4898</v>
      </c>
      <c r="T4699" t="s">
        <v>2704</v>
      </c>
      <c r="U4699" t="s">
        <v>4560</v>
      </c>
      <c r="V4699" s="2">
        <v>660</v>
      </c>
      <c r="W4699" t="s">
        <v>4655</v>
      </c>
      <c r="X4699" s="2">
        <v>0</v>
      </c>
      <c r="Y4699">
        <v>20</v>
      </c>
      <c r="Z4699" t="s">
        <v>5107</v>
      </c>
      <c r="AA4699" s="3">
        <v>0.11978879570961</v>
      </c>
      <c r="AB4699" t="s">
        <v>338</v>
      </c>
      <c r="AC4699" t="s">
        <v>4562</v>
      </c>
      <c r="AD4699" t="s">
        <v>675</v>
      </c>
      <c r="AE4699" t="s">
        <v>4655</v>
      </c>
      <c r="AF4699" t="s">
        <v>4563</v>
      </c>
      <c r="AG4699" t="s">
        <v>4564</v>
      </c>
      <c r="AH4699">
        <v>89511</v>
      </c>
      <c r="AI4699" t="s">
        <v>677</v>
      </c>
      <c r="AJ4699" t="s">
        <v>3183</v>
      </c>
      <c r="AK4699" t="s">
        <v>24608</v>
      </c>
      <c r="AL4699" s="13" t="s">
        <v>2257</v>
      </c>
      <c r="AM4699">
        <v>1</v>
      </c>
      <c r="AN4699" s="15" t="s">
        <v>1881</v>
      </c>
    </row>
    <row r="4700" spans="1:40" x14ac:dyDescent="0.3">
      <c r="A4700" s="10" t="str">
        <f>HYPERLINK("http://www.washoecounty.gov/assessor/cama/?parid=140-675-04&amp;CardNumber=1","140-675-04")</f>
        <v>140-675-04</v>
      </c>
      <c r="B4700" t="s">
        <v>4655</v>
      </c>
      <c r="C4700" t="s">
        <v>24609</v>
      </c>
      <c r="D4700" s="1">
        <v>40261</v>
      </c>
      <c r="E4700" s="2">
        <v>256950</v>
      </c>
      <c r="F4700" t="s">
        <v>4567</v>
      </c>
      <c r="G4700" s="17" t="str">
        <f>HYPERLINK("https://www.washoecounty.gov/assessor/cama/?command=sales&amp;parid=14067504","3863434")</f>
        <v>3863434</v>
      </c>
      <c r="H4700" t="s">
        <v>3182</v>
      </c>
      <c r="I4700">
        <v>2007</v>
      </c>
      <c r="J4700">
        <v>2010</v>
      </c>
      <c r="K4700" t="s">
        <v>4554</v>
      </c>
      <c r="L4700" t="s">
        <v>3974</v>
      </c>
      <c r="M4700" s="2">
        <v>2118</v>
      </c>
      <c r="N4700" t="s">
        <v>5280</v>
      </c>
      <c r="O4700">
        <v>3</v>
      </c>
      <c r="P4700">
        <v>2</v>
      </c>
      <c r="Q4700">
        <v>1</v>
      </c>
      <c r="R4700" t="s">
        <v>5281</v>
      </c>
      <c r="S4700" t="s">
        <v>4898</v>
      </c>
      <c r="T4700" t="s">
        <v>2704</v>
      </c>
      <c r="U4700" t="s">
        <v>5631</v>
      </c>
      <c r="V4700" s="2">
        <v>400</v>
      </c>
      <c r="W4700" t="s">
        <v>4655</v>
      </c>
      <c r="X4700" s="2">
        <v>0</v>
      </c>
      <c r="Y4700">
        <v>20</v>
      </c>
      <c r="Z4700" t="s">
        <v>5107</v>
      </c>
      <c r="AA4700" s="3">
        <v>0.13833792507648501</v>
      </c>
      <c r="AB4700" t="s">
        <v>24610</v>
      </c>
      <c r="AC4700" t="s">
        <v>4562</v>
      </c>
      <c r="AD4700" t="s">
        <v>24611</v>
      </c>
      <c r="AE4700" t="s">
        <v>4655</v>
      </c>
      <c r="AF4700" t="s">
        <v>4563</v>
      </c>
      <c r="AG4700" t="s">
        <v>4564</v>
      </c>
      <c r="AH4700" t="s">
        <v>5197</v>
      </c>
      <c r="AI4700" t="s">
        <v>24612</v>
      </c>
      <c r="AJ4700" t="s">
        <v>3183</v>
      </c>
      <c r="AK4700" t="s">
        <v>24613</v>
      </c>
      <c r="AL4700" s="13" t="s">
        <v>2257</v>
      </c>
      <c r="AM4700">
        <v>1</v>
      </c>
      <c r="AN4700" s="15" t="s">
        <v>1881</v>
      </c>
    </row>
    <row r="4701" spans="1:40" x14ac:dyDescent="0.3">
      <c r="A4701" s="10" t="str">
        <f>HYPERLINK("http://www.washoecounty.gov/assessor/cama/?parid=140-675-05&amp;CardNumber=1","140-675-05")</f>
        <v>140-675-05</v>
      </c>
      <c r="B4701" t="s">
        <v>4655</v>
      </c>
      <c r="C4701" t="s">
        <v>24614</v>
      </c>
      <c r="D4701" s="1">
        <v>40354</v>
      </c>
      <c r="E4701" s="2">
        <v>209000</v>
      </c>
      <c r="F4701" t="s">
        <v>4567</v>
      </c>
      <c r="G4701" s="17" t="str">
        <f>HYPERLINK("https://www.washoecounty.gov/assessor/cama/?command=sales&amp;parid=14067505","3895411")</f>
        <v>3895411</v>
      </c>
      <c r="H4701" t="s">
        <v>3182</v>
      </c>
      <c r="I4701">
        <v>2005</v>
      </c>
      <c r="J4701">
        <v>2005</v>
      </c>
      <c r="K4701" t="s">
        <v>4554</v>
      </c>
      <c r="L4701" t="s">
        <v>4555</v>
      </c>
      <c r="M4701" s="2">
        <v>1430</v>
      </c>
      <c r="N4701" t="s">
        <v>5280</v>
      </c>
      <c r="O4701">
        <v>3</v>
      </c>
      <c r="P4701">
        <v>2</v>
      </c>
      <c r="Q4701">
        <v>0</v>
      </c>
      <c r="R4701" t="s">
        <v>5281</v>
      </c>
      <c r="S4701" t="s">
        <v>4898</v>
      </c>
      <c r="T4701" t="s">
        <v>2704</v>
      </c>
      <c r="U4701" t="s">
        <v>4560</v>
      </c>
      <c r="V4701" s="2">
        <v>404</v>
      </c>
      <c r="W4701" t="s">
        <v>4655</v>
      </c>
      <c r="X4701" s="2">
        <v>0</v>
      </c>
      <c r="Y4701">
        <v>20</v>
      </c>
      <c r="Z4701" t="s">
        <v>5107</v>
      </c>
      <c r="AA4701" s="3">
        <v>0.172038570046425</v>
      </c>
      <c r="AB4701" t="s">
        <v>24615</v>
      </c>
      <c r="AC4701" t="s">
        <v>4562</v>
      </c>
      <c r="AD4701" t="s">
        <v>24616</v>
      </c>
      <c r="AE4701" t="s">
        <v>4655</v>
      </c>
      <c r="AF4701" t="s">
        <v>4563</v>
      </c>
      <c r="AG4701" t="s">
        <v>4564</v>
      </c>
      <c r="AH4701" t="s">
        <v>5197</v>
      </c>
      <c r="AI4701" t="s">
        <v>24617</v>
      </c>
      <c r="AJ4701" t="s">
        <v>3183</v>
      </c>
      <c r="AK4701" t="s">
        <v>24618</v>
      </c>
      <c r="AL4701" s="13" t="s">
        <v>2257</v>
      </c>
      <c r="AM4701">
        <v>1</v>
      </c>
      <c r="AN4701" s="15" t="s">
        <v>1881</v>
      </c>
    </row>
    <row r="4702" spans="1:40" x14ac:dyDescent="0.3">
      <c r="A4702" s="10" t="str">
        <f>HYPERLINK("http://www.washoecounty.gov/assessor/cama/?parid=140-675-08&amp;CardNumber=1","140-675-08")</f>
        <v>140-675-08</v>
      </c>
      <c r="B4702" t="s">
        <v>4655</v>
      </c>
      <c r="C4702" t="s">
        <v>24619</v>
      </c>
      <c r="D4702" s="1">
        <v>40228</v>
      </c>
      <c r="E4702" s="2">
        <v>181000</v>
      </c>
      <c r="F4702" t="s">
        <v>4553</v>
      </c>
      <c r="G4702" s="17" t="str">
        <f>HYPERLINK("https://www.washoecounty.gov/assessor/cama/?command=sales&amp;parid=14067508","3850893")</f>
        <v>3850893</v>
      </c>
      <c r="H4702" t="s">
        <v>3182</v>
      </c>
      <c r="I4702">
        <v>2005</v>
      </c>
      <c r="J4702">
        <v>2005</v>
      </c>
      <c r="K4702" t="s">
        <v>4554</v>
      </c>
      <c r="L4702" t="s">
        <v>4555</v>
      </c>
      <c r="M4702" s="2">
        <v>1430</v>
      </c>
      <c r="N4702" t="s">
        <v>5280</v>
      </c>
      <c r="O4702">
        <v>2</v>
      </c>
      <c r="P4702">
        <v>2</v>
      </c>
      <c r="Q4702">
        <v>0</v>
      </c>
      <c r="R4702" t="s">
        <v>5281</v>
      </c>
      <c r="S4702" t="s">
        <v>4898</v>
      </c>
      <c r="T4702" t="s">
        <v>2704</v>
      </c>
      <c r="U4702" t="s">
        <v>4560</v>
      </c>
      <c r="V4702" s="2">
        <v>404</v>
      </c>
      <c r="W4702" t="s">
        <v>4655</v>
      </c>
      <c r="X4702" s="2">
        <v>0</v>
      </c>
      <c r="Y4702">
        <v>20</v>
      </c>
      <c r="Z4702" t="s">
        <v>5107</v>
      </c>
      <c r="AA4702" s="3">
        <v>0.117929294705391</v>
      </c>
      <c r="AB4702" t="s">
        <v>24620</v>
      </c>
      <c r="AC4702" t="s">
        <v>4562</v>
      </c>
      <c r="AD4702" t="s">
        <v>24619</v>
      </c>
      <c r="AE4702" t="s">
        <v>4655</v>
      </c>
      <c r="AF4702" t="s">
        <v>4563</v>
      </c>
      <c r="AG4702" t="s">
        <v>4564</v>
      </c>
      <c r="AH4702" t="s">
        <v>5197</v>
      </c>
      <c r="AI4702" t="s">
        <v>4903</v>
      </c>
      <c r="AJ4702" t="s">
        <v>3183</v>
      </c>
      <c r="AK4702" t="s">
        <v>24621</v>
      </c>
      <c r="AL4702" s="13" t="s">
        <v>2257</v>
      </c>
      <c r="AM4702">
        <v>1</v>
      </c>
      <c r="AN4702" s="15" t="s">
        <v>1881</v>
      </c>
    </row>
    <row r="4703" spans="1:40" x14ac:dyDescent="0.3">
      <c r="A4703" s="10" t="str">
        <f>HYPERLINK("http://www.washoecounty.gov/assessor/cama/?parid=140-675-09&amp;CardNumber=1","140-675-09")</f>
        <v>140-675-09</v>
      </c>
      <c r="B4703" t="s">
        <v>4655</v>
      </c>
      <c r="C4703" t="s">
        <v>24622</v>
      </c>
      <c r="D4703" s="1">
        <v>40219</v>
      </c>
      <c r="E4703" s="2">
        <v>195000</v>
      </c>
      <c r="F4703" t="s">
        <v>4567</v>
      </c>
      <c r="G4703" s="17" t="str">
        <f>HYPERLINK("https://www.washoecounty.gov/assessor/cama/?command=sales&amp;parid=14067509","3847682")</f>
        <v>3847682</v>
      </c>
      <c r="H4703" t="s">
        <v>3182</v>
      </c>
      <c r="I4703">
        <v>2005</v>
      </c>
      <c r="J4703">
        <v>2005</v>
      </c>
      <c r="K4703" t="s">
        <v>4554</v>
      </c>
      <c r="L4703" t="s">
        <v>4555</v>
      </c>
      <c r="M4703" s="2">
        <v>1563</v>
      </c>
      <c r="N4703" t="s">
        <v>5280</v>
      </c>
      <c r="O4703">
        <v>2</v>
      </c>
      <c r="P4703">
        <v>2</v>
      </c>
      <c r="Q4703">
        <v>0</v>
      </c>
      <c r="R4703" t="s">
        <v>5281</v>
      </c>
      <c r="S4703" t="s">
        <v>4898</v>
      </c>
      <c r="T4703" t="s">
        <v>2704</v>
      </c>
      <c r="U4703" t="s">
        <v>4560</v>
      </c>
      <c r="V4703" s="2">
        <v>460</v>
      </c>
      <c r="W4703" t="s">
        <v>4655</v>
      </c>
      <c r="X4703" s="2">
        <v>0</v>
      </c>
      <c r="Y4703">
        <v>20</v>
      </c>
      <c r="Z4703" t="s">
        <v>5107</v>
      </c>
      <c r="AA4703" s="3">
        <v>0.117906339466572</v>
      </c>
      <c r="AB4703" t="s">
        <v>24623</v>
      </c>
      <c r="AC4703" t="s">
        <v>4562</v>
      </c>
      <c r="AD4703" t="s">
        <v>24622</v>
      </c>
      <c r="AE4703" t="s">
        <v>4655</v>
      </c>
      <c r="AF4703" t="s">
        <v>4563</v>
      </c>
      <c r="AG4703" t="s">
        <v>4564</v>
      </c>
      <c r="AH4703" t="s">
        <v>5197</v>
      </c>
      <c r="AI4703" t="s">
        <v>24624</v>
      </c>
      <c r="AJ4703" t="s">
        <v>3183</v>
      </c>
      <c r="AK4703" t="s">
        <v>24625</v>
      </c>
      <c r="AL4703" s="13" t="s">
        <v>2257</v>
      </c>
      <c r="AM4703" s="14">
        <v>1</v>
      </c>
      <c r="AN4703" s="15" t="s">
        <v>1881</v>
      </c>
    </row>
    <row r="4704" spans="1:40" x14ac:dyDescent="0.3">
      <c r="A4704" s="10" t="str">
        <f>HYPERLINK("http://www.washoecounty.gov/assessor/cama/?parid=140-691-12&amp;CardNumber=1","140-691-12")</f>
        <v>140-691-12</v>
      </c>
      <c r="B4704" t="s">
        <v>4655</v>
      </c>
      <c r="C4704" t="s">
        <v>24626</v>
      </c>
      <c r="D4704" s="1">
        <v>40193</v>
      </c>
      <c r="E4704" s="2">
        <v>222500</v>
      </c>
      <c r="F4704" t="s">
        <v>4567</v>
      </c>
      <c r="G4704" s="17" t="str">
        <f>HYPERLINK("https://www.washoecounty.gov/assessor/cama/?command=sales&amp;parid=14069112","3840022")</f>
        <v>3840022</v>
      </c>
      <c r="H4704" t="s">
        <v>2743</v>
      </c>
      <c r="I4704">
        <v>2006</v>
      </c>
      <c r="J4704">
        <v>2006</v>
      </c>
      <c r="K4704" t="s">
        <v>4554</v>
      </c>
      <c r="L4704" t="s">
        <v>4555</v>
      </c>
      <c r="M4704" s="2">
        <v>2143</v>
      </c>
      <c r="N4704" t="s">
        <v>3147</v>
      </c>
      <c r="O4704">
        <v>4</v>
      </c>
      <c r="P4704">
        <v>3</v>
      </c>
      <c r="Q4704">
        <v>0</v>
      </c>
      <c r="R4704" t="s">
        <v>5281</v>
      </c>
      <c r="S4704" t="s">
        <v>4898</v>
      </c>
      <c r="T4704" t="s">
        <v>2704</v>
      </c>
      <c r="U4704" t="s">
        <v>4560</v>
      </c>
      <c r="V4704" s="2">
        <v>657</v>
      </c>
      <c r="W4704" t="s">
        <v>4655</v>
      </c>
      <c r="X4704" s="2">
        <v>0</v>
      </c>
      <c r="Y4704">
        <v>20</v>
      </c>
      <c r="Z4704" t="s">
        <v>5107</v>
      </c>
      <c r="AA4704" s="3">
        <v>0.14446739852428436</v>
      </c>
      <c r="AB4704" t="s">
        <v>24627</v>
      </c>
      <c r="AC4704" t="s">
        <v>4562</v>
      </c>
      <c r="AD4704" t="s">
        <v>24626</v>
      </c>
      <c r="AE4704" t="s">
        <v>4655</v>
      </c>
      <c r="AF4704" t="s">
        <v>4563</v>
      </c>
      <c r="AG4704" t="s">
        <v>4564</v>
      </c>
      <c r="AH4704" t="s">
        <v>5197</v>
      </c>
      <c r="AI4704" t="s">
        <v>24628</v>
      </c>
      <c r="AJ4704" t="s">
        <v>3232</v>
      </c>
      <c r="AK4704" t="s">
        <v>24629</v>
      </c>
      <c r="AL4704" s="13" t="s">
        <v>3430</v>
      </c>
      <c r="AM4704" s="14">
        <v>1</v>
      </c>
      <c r="AN4704" s="15" t="s">
        <v>3879</v>
      </c>
    </row>
    <row r="4705" spans="1:40" x14ac:dyDescent="0.3">
      <c r="A4705" s="10" t="str">
        <f>HYPERLINK("http://www.washoecounty.gov/assessor/cama/?parid=140-691-24&amp;CardNumber=1","140-691-24")</f>
        <v>140-691-24</v>
      </c>
      <c r="B4705" t="s">
        <v>4655</v>
      </c>
      <c r="C4705" t="s">
        <v>24630</v>
      </c>
      <c r="D4705" s="1">
        <v>40422</v>
      </c>
      <c r="E4705" s="2">
        <v>235000</v>
      </c>
      <c r="F4705" t="s">
        <v>4567</v>
      </c>
      <c r="G4705" s="17" t="str">
        <f>HYPERLINK("https://www.washoecounty.gov/assessor/cama/?command=sales&amp;parid=14069124","3917958")</f>
        <v>3917958</v>
      </c>
      <c r="H4705" t="s">
        <v>2743</v>
      </c>
      <c r="I4705">
        <v>2005</v>
      </c>
      <c r="J4705">
        <v>2005</v>
      </c>
      <c r="K4705" t="s">
        <v>4554</v>
      </c>
      <c r="L4705" t="s">
        <v>4555</v>
      </c>
      <c r="M4705" s="2">
        <v>1835</v>
      </c>
      <c r="N4705" t="s">
        <v>3147</v>
      </c>
      <c r="O4705">
        <v>4</v>
      </c>
      <c r="P4705">
        <v>2</v>
      </c>
      <c r="Q4705">
        <v>0</v>
      </c>
      <c r="R4705" t="s">
        <v>5281</v>
      </c>
      <c r="S4705" t="s">
        <v>4898</v>
      </c>
      <c r="T4705" t="s">
        <v>2704</v>
      </c>
      <c r="U4705" t="s">
        <v>4560</v>
      </c>
      <c r="V4705" s="2">
        <v>420</v>
      </c>
      <c r="W4705" t="s">
        <v>4655</v>
      </c>
      <c r="X4705" s="2">
        <v>0</v>
      </c>
      <c r="Y4705">
        <v>20</v>
      </c>
      <c r="Z4705" t="s">
        <v>5107</v>
      </c>
      <c r="AA4705" s="3">
        <v>0.14465105533599901</v>
      </c>
      <c r="AB4705" t="s">
        <v>24631</v>
      </c>
      <c r="AC4705" t="s">
        <v>4562</v>
      </c>
      <c r="AD4705" t="s">
        <v>24630</v>
      </c>
      <c r="AE4705" t="s">
        <v>4655</v>
      </c>
      <c r="AF4705" t="s">
        <v>4563</v>
      </c>
      <c r="AG4705" t="s">
        <v>4564</v>
      </c>
      <c r="AH4705" t="s">
        <v>5197</v>
      </c>
      <c r="AI4705" t="s">
        <v>24632</v>
      </c>
      <c r="AJ4705" t="s">
        <v>3232</v>
      </c>
      <c r="AK4705" t="s">
        <v>24633</v>
      </c>
      <c r="AL4705" s="13" t="s">
        <v>3430</v>
      </c>
      <c r="AM4705">
        <v>1</v>
      </c>
      <c r="AN4705" s="15" t="s">
        <v>3879</v>
      </c>
    </row>
    <row r="4706" spans="1:40" x14ac:dyDescent="0.3">
      <c r="A4706" s="10" t="str">
        <f>HYPERLINK("http://www.washoecounty.gov/assessor/cama/?parid=140-691-30&amp;CardNumber=1","140-691-30")</f>
        <v>140-691-30</v>
      </c>
      <c r="B4706" t="s">
        <v>4655</v>
      </c>
      <c r="C4706" t="s">
        <v>24634</v>
      </c>
      <c r="D4706" s="1">
        <v>40284</v>
      </c>
      <c r="E4706" s="2">
        <v>255000</v>
      </c>
      <c r="F4706" t="s">
        <v>4567</v>
      </c>
      <c r="G4706" s="17" t="str">
        <f>HYPERLINK("https://www.washoecounty.gov/assessor/cama/?command=sales&amp;parid=14069130","3871847")</f>
        <v>3871847</v>
      </c>
      <c r="H4706" t="s">
        <v>2743</v>
      </c>
      <c r="I4706">
        <v>2005</v>
      </c>
      <c r="J4706">
        <v>2005</v>
      </c>
      <c r="K4706" t="s">
        <v>4554</v>
      </c>
      <c r="L4706" t="s">
        <v>3974</v>
      </c>
      <c r="M4706" s="2">
        <v>2361</v>
      </c>
      <c r="N4706" t="s">
        <v>3147</v>
      </c>
      <c r="O4706">
        <v>4</v>
      </c>
      <c r="P4706">
        <v>3</v>
      </c>
      <c r="Q4706">
        <v>0</v>
      </c>
      <c r="R4706" t="s">
        <v>5281</v>
      </c>
      <c r="S4706" t="s">
        <v>4898</v>
      </c>
      <c r="T4706" t="s">
        <v>2704</v>
      </c>
      <c r="U4706" t="s">
        <v>4560</v>
      </c>
      <c r="V4706" s="2">
        <v>633</v>
      </c>
      <c r="W4706" t="s">
        <v>4655</v>
      </c>
      <c r="X4706" s="2">
        <v>0</v>
      </c>
      <c r="Y4706">
        <v>20</v>
      </c>
      <c r="Z4706" t="s">
        <v>5107</v>
      </c>
      <c r="AA4706" s="3">
        <v>0.14713039994239799</v>
      </c>
      <c r="AB4706" t="s">
        <v>24635</v>
      </c>
      <c r="AC4706" t="s">
        <v>4575</v>
      </c>
      <c r="AD4706" t="s">
        <v>24636</v>
      </c>
      <c r="AE4706" t="s">
        <v>24637</v>
      </c>
      <c r="AF4706" t="s">
        <v>4563</v>
      </c>
      <c r="AG4706" t="s">
        <v>4564</v>
      </c>
      <c r="AH4706" t="s">
        <v>5197</v>
      </c>
      <c r="AI4706" t="s">
        <v>24638</v>
      </c>
      <c r="AJ4706" t="s">
        <v>3232</v>
      </c>
      <c r="AK4706" t="s">
        <v>24639</v>
      </c>
      <c r="AL4706" s="13" t="s">
        <v>3430</v>
      </c>
      <c r="AM4706" s="14">
        <v>1</v>
      </c>
      <c r="AN4706" s="15" t="s">
        <v>3879</v>
      </c>
    </row>
    <row r="4707" spans="1:40" x14ac:dyDescent="0.3">
      <c r="A4707" s="10" t="str">
        <f>HYPERLINK("http://www.washoecounty.gov/assessor/cama/?parid=140-691-38&amp;CardNumber=1","140-691-38")</f>
        <v>140-691-38</v>
      </c>
      <c r="B4707" t="s">
        <v>4655</v>
      </c>
      <c r="C4707" t="s">
        <v>24640</v>
      </c>
      <c r="D4707" s="1">
        <v>40386</v>
      </c>
      <c r="E4707" s="2">
        <v>239000</v>
      </c>
      <c r="F4707" t="s">
        <v>4553</v>
      </c>
      <c r="G4707" s="17" t="str">
        <f>HYPERLINK("https://www.washoecounty.gov/assessor/cama/?command=sales&amp;parid=14069138","3905407")</f>
        <v>3905407</v>
      </c>
      <c r="H4707" t="s">
        <v>2743</v>
      </c>
      <c r="I4707">
        <v>2005</v>
      </c>
      <c r="J4707">
        <v>2005</v>
      </c>
      <c r="K4707" t="s">
        <v>4554</v>
      </c>
      <c r="L4707" t="s">
        <v>3974</v>
      </c>
      <c r="M4707" s="2">
        <v>2361</v>
      </c>
      <c r="N4707" t="s">
        <v>3147</v>
      </c>
      <c r="O4707">
        <v>4</v>
      </c>
      <c r="P4707">
        <v>3</v>
      </c>
      <c r="Q4707">
        <v>0</v>
      </c>
      <c r="R4707" t="s">
        <v>5281</v>
      </c>
      <c r="S4707" t="s">
        <v>4898</v>
      </c>
      <c r="T4707" t="s">
        <v>2704</v>
      </c>
      <c r="U4707" t="s">
        <v>4560</v>
      </c>
      <c r="V4707" s="2">
        <v>633</v>
      </c>
      <c r="W4707" t="s">
        <v>4655</v>
      </c>
      <c r="X4707" s="2">
        <v>0</v>
      </c>
      <c r="Y4707">
        <v>20</v>
      </c>
      <c r="Z4707" t="s">
        <v>5107</v>
      </c>
      <c r="AA4707" s="3">
        <v>0.15089531242847401</v>
      </c>
      <c r="AB4707" t="s">
        <v>24641</v>
      </c>
      <c r="AC4707" t="s">
        <v>4575</v>
      </c>
      <c r="AD4707" t="s">
        <v>24642</v>
      </c>
      <c r="AE4707" t="s">
        <v>24640</v>
      </c>
      <c r="AF4707" t="s">
        <v>4563</v>
      </c>
      <c r="AG4707" t="s">
        <v>4564</v>
      </c>
      <c r="AH4707" t="s">
        <v>5197</v>
      </c>
      <c r="AI4707" t="s">
        <v>4565</v>
      </c>
      <c r="AJ4707" t="s">
        <v>3232</v>
      </c>
      <c r="AK4707" t="s">
        <v>24643</v>
      </c>
      <c r="AL4707" s="13" t="s">
        <v>3430</v>
      </c>
      <c r="AM4707">
        <v>1</v>
      </c>
      <c r="AN4707" s="15" t="s">
        <v>3879</v>
      </c>
    </row>
    <row r="4708" spans="1:40" x14ac:dyDescent="0.3">
      <c r="A4708" s="10" t="str">
        <f>HYPERLINK("http://www.washoecounty.gov/assessor/cama/?parid=140-692-04&amp;CardNumber=1","140-692-04")</f>
        <v>140-692-04</v>
      </c>
      <c r="B4708" t="s">
        <v>4655</v>
      </c>
      <c r="C4708" t="s">
        <v>24644</v>
      </c>
      <c r="D4708" s="1">
        <v>40393</v>
      </c>
      <c r="E4708" s="2">
        <v>246817</v>
      </c>
      <c r="F4708" t="s">
        <v>4567</v>
      </c>
      <c r="G4708" s="17" t="str">
        <f>HYPERLINK("https://www.washoecounty.gov/assessor/cama/?command=sales&amp;parid=14069204","3908221")</f>
        <v>3908221</v>
      </c>
      <c r="H4708" t="s">
        <v>2743</v>
      </c>
      <c r="I4708">
        <v>2006</v>
      </c>
      <c r="J4708">
        <v>2006</v>
      </c>
      <c r="K4708" t="s">
        <v>4554</v>
      </c>
      <c r="L4708" t="s">
        <v>4555</v>
      </c>
      <c r="M4708" s="2">
        <v>2017</v>
      </c>
      <c r="N4708" t="s">
        <v>3147</v>
      </c>
      <c r="O4708">
        <v>4</v>
      </c>
      <c r="P4708">
        <v>2</v>
      </c>
      <c r="Q4708">
        <v>0</v>
      </c>
      <c r="R4708" t="s">
        <v>5281</v>
      </c>
      <c r="S4708" t="s">
        <v>4898</v>
      </c>
      <c r="T4708" t="s">
        <v>2704</v>
      </c>
      <c r="U4708" t="s">
        <v>4560</v>
      </c>
      <c r="V4708" s="2">
        <v>645</v>
      </c>
      <c r="W4708" t="s">
        <v>4655</v>
      </c>
      <c r="X4708" s="2">
        <v>0</v>
      </c>
      <c r="Y4708">
        <v>20</v>
      </c>
      <c r="Z4708" t="s">
        <v>5107</v>
      </c>
      <c r="AA4708" s="3">
        <v>0.137741044163704</v>
      </c>
      <c r="AB4708" t="s">
        <v>24645</v>
      </c>
      <c r="AC4708" t="s">
        <v>4562</v>
      </c>
      <c r="AD4708" t="s">
        <v>24646</v>
      </c>
      <c r="AE4708" t="s">
        <v>4655</v>
      </c>
      <c r="AF4708" t="s">
        <v>4563</v>
      </c>
      <c r="AG4708" t="s">
        <v>4564</v>
      </c>
      <c r="AH4708" t="s">
        <v>5197</v>
      </c>
      <c r="AI4708" t="s">
        <v>24647</v>
      </c>
      <c r="AJ4708" t="s">
        <v>3232</v>
      </c>
      <c r="AK4708" t="s">
        <v>24648</v>
      </c>
      <c r="AL4708" s="13" t="s">
        <v>3430</v>
      </c>
      <c r="AM4708" s="14">
        <v>1</v>
      </c>
      <c r="AN4708" s="15" t="s">
        <v>3879</v>
      </c>
    </row>
    <row r="4709" spans="1:40" x14ac:dyDescent="0.3">
      <c r="A4709" s="10" t="str">
        <f>HYPERLINK("http://www.washoecounty.gov/assessor/cama/?parid=140-692-07&amp;CardNumber=1","140-692-07")</f>
        <v>140-692-07</v>
      </c>
      <c r="B4709" t="s">
        <v>4655</v>
      </c>
      <c r="C4709" t="s">
        <v>24649</v>
      </c>
      <c r="D4709" s="1">
        <v>40459</v>
      </c>
      <c r="E4709" s="2">
        <v>250000</v>
      </c>
      <c r="F4709" t="s">
        <v>4567</v>
      </c>
      <c r="G4709" s="17" t="str">
        <f>HYPERLINK("https://www.washoecounty.gov/assessor/cama/?command=sales&amp;parid=14069207","3931336")</f>
        <v>3931336</v>
      </c>
      <c r="H4709" t="s">
        <v>2743</v>
      </c>
      <c r="I4709">
        <v>2006</v>
      </c>
      <c r="J4709">
        <v>2006</v>
      </c>
      <c r="K4709" t="s">
        <v>4554</v>
      </c>
      <c r="L4709" t="s">
        <v>3974</v>
      </c>
      <c r="M4709" s="2">
        <v>2361</v>
      </c>
      <c r="N4709" t="s">
        <v>3147</v>
      </c>
      <c r="O4709">
        <v>4</v>
      </c>
      <c r="P4709">
        <v>3</v>
      </c>
      <c r="Q4709">
        <v>0</v>
      </c>
      <c r="R4709" t="s">
        <v>5281</v>
      </c>
      <c r="S4709" t="s">
        <v>4898</v>
      </c>
      <c r="T4709" t="s">
        <v>2704</v>
      </c>
      <c r="U4709" t="s">
        <v>4560</v>
      </c>
      <c r="V4709" s="2">
        <v>633</v>
      </c>
      <c r="W4709" t="s">
        <v>4655</v>
      </c>
      <c r="X4709" s="2">
        <v>0</v>
      </c>
      <c r="Y4709">
        <v>20</v>
      </c>
      <c r="Z4709" t="s">
        <v>5107</v>
      </c>
      <c r="AA4709" s="3">
        <v>0.21572543680667899</v>
      </c>
      <c r="AB4709" t="s">
        <v>24650</v>
      </c>
      <c r="AC4709" t="s">
        <v>4562</v>
      </c>
      <c r="AD4709" t="s">
        <v>24649</v>
      </c>
      <c r="AE4709" t="s">
        <v>4655</v>
      </c>
      <c r="AF4709" t="s">
        <v>4563</v>
      </c>
      <c r="AG4709" t="s">
        <v>4564</v>
      </c>
      <c r="AH4709" t="s">
        <v>5197</v>
      </c>
      <c r="AI4709" t="s">
        <v>24651</v>
      </c>
      <c r="AJ4709" t="s">
        <v>3232</v>
      </c>
      <c r="AK4709" t="s">
        <v>24652</v>
      </c>
      <c r="AL4709" s="13" t="s">
        <v>3430</v>
      </c>
      <c r="AM4709">
        <v>1</v>
      </c>
      <c r="AN4709" s="15" t="s">
        <v>3879</v>
      </c>
    </row>
    <row r="4710" spans="1:40" x14ac:dyDescent="0.3">
      <c r="A4710" s="10" t="str">
        <f>HYPERLINK("http://www.washoecounty.gov/assessor/cama/?parid=140-702-01&amp;CardNumber=1","140-702-01")</f>
        <v>140-702-01</v>
      </c>
      <c r="B4710" t="s">
        <v>4655</v>
      </c>
      <c r="C4710" t="s">
        <v>24653</v>
      </c>
      <c r="D4710" s="1">
        <v>40235</v>
      </c>
      <c r="E4710" s="2">
        <v>274000</v>
      </c>
      <c r="F4710" t="s">
        <v>4553</v>
      </c>
      <c r="G4710" s="17" t="str">
        <f>HYPERLINK("https://www.washoecounty.gov/assessor/cama/?command=sales&amp;parid=14070201","3853483")</f>
        <v>3853483</v>
      </c>
      <c r="H4710" t="s">
        <v>2743</v>
      </c>
      <c r="I4710">
        <v>2006</v>
      </c>
      <c r="J4710">
        <v>2006</v>
      </c>
      <c r="K4710" t="s">
        <v>4554</v>
      </c>
      <c r="L4710" t="s">
        <v>3974</v>
      </c>
      <c r="M4710" s="2">
        <v>2361</v>
      </c>
      <c r="N4710" t="s">
        <v>3147</v>
      </c>
      <c r="O4710">
        <v>4</v>
      </c>
      <c r="P4710">
        <v>3</v>
      </c>
      <c r="Q4710">
        <v>0</v>
      </c>
      <c r="R4710" t="s">
        <v>5281</v>
      </c>
      <c r="S4710" t="s">
        <v>4898</v>
      </c>
      <c r="T4710" t="s">
        <v>2704</v>
      </c>
      <c r="U4710" t="s">
        <v>4560</v>
      </c>
      <c r="V4710" s="2">
        <v>633</v>
      </c>
      <c r="W4710" t="s">
        <v>4655</v>
      </c>
      <c r="X4710" s="2">
        <v>0</v>
      </c>
      <c r="Y4710">
        <v>20</v>
      </c>
      <c r="Z4710" t="s">
        <v>5107</v>
      </c>
      <c r="AA4710" s="3">
        <v>0.14602845907211301</v>
      </c>
      <c r="AB4710" t="s">
        <v>24654</v>
      </c>
      <c r="AC4710" t="s">
        <v>4562</v>
      </c>
      <c r="AD4710" t="s">
        <v>24653</v>
      </c>
      <c r="AE4710" t="s">
        <v>4655</v>
      </c>
      <c r="AF4710" t="s">
        <v>4563</v>
      </c>
      <c r="AG4710" t="s">
        <v>4564</v>
      </c>
      <c r="AH4710" t="s">
        <v>5197</v>
      </c>
      <c r="AI4710" t="s">
        <v>14264</v>
      </c>
      <c r="AJ4710" t="s">
        <v>3232</v>
      </c>
      <c r="AK4710" t="s">
        <v>24655</v>
      </c>
      <c r="AL4710" s="13" t="s">
        <v>3430</v>
      </c>
      <c r="AM4710" s="14">
        <v>1</v>
      </c>
      <c r="AN4710" s="15" t="s">
        <v>3879</v>
      </c>
    </row>
    <row r="4711" spans="1:40" x14ac:dyDescent="0.3">
      <c r="A4711" s="10" t="str">
        <f>HYPERLINK("http://www.washoecounty.gov/assessor/cama/?parid=140-702-03&amp;CardNumber=1","140-702-03")</f>
        <v>140-702-03</v>
      </c>
      <c r="B4711" t="s">
        <v>4655</v>
      </c>
      <c r="C4711" t="s">
        <v>24656</v>
      </c>
      <c r="D4711" s="1">
        <v>40359</v>
      </c>
      <c r="E4711" s="2">
        <v>250000</v>
      </c>
      <c r="F4711" t="s">
        <v>4567</v>
      </c>
      <c r="G4711" s="17" t="str">
        <f>HYPERLINK("https://www.washoecounty.gov/assessor/cama/?command=sales&amp;parid=14070203","3897511")</f>
        <v>3897511</v>
      </c>
      <c r="H4711" t="s">
        <v>2743</v>
      </c>
      <c r="I4711">
        <v>2006</v>
      </c>
      <c r="J4711">
        <v>2006</v>
      </c>
      <c r="K4711" t="s">
        <v>4554</v>
      </c>
      <c r="L4711" t="s">
        <v>4555</v>
      </c>
      <c r="M4711" s="2">
        <v>2143</v>
      </c>
      <c r="N4711" t="s">
        <v>3147</v>
      </c>
      <c r="O4711">
        <v>4</v>
      </c>
      <c r="P4711">
        <v>3</v>
      </c>
      <c r="Q4711">
        <v>0</v>
      </c>
      <c r="R4711" t="s">
        <v>5281</v>
      </c>
      <c r="S4711" t="s">
        <v>4898</v>
      </c>
      <c r="T4711" t="s">
        <v>2704</v>
      </c>
      <c r="U4711" t="s">
        <v>4560</v>
      </c>
      <c r="V4711" s="2">
        <v>657</v>
      </c>
      <c r="W4711" t="s">
        <v>4655</v>
      </c>
      <c r="X4711" s="2">
        <v>0</v>
      </c>
      <c r="Y4711">
        <v>20</v>
      </c>
      <c r="Z4711" t="s">
        <v>5107</v>
      </c>
      <c r="AA4711" s="3">
        <v>0.14841598272323608</v>
      </c>
      <c r="AB4711" t="s">
        <v>24657</v>
      </c>
      <c r="AC4711" t="s">
        <v>4575</v>
      </c>
      <c r="AD4711" t="s">
        <v>24656</v>
      </c>
      <c r="AE4711" t="s">
        <v>4655</v>
      </c>
      <c r="AF4711" t="s">
        <v>4563</v>
      </c>
      <c r="AG4711" t="s">
        <v>4564</v>
      </c>
      <c r="AH4711" t="s">
        <v>5197</v>
      </c>
      <c r="AI4711" t="s">
        <v>24658</v>
      </c>
      <c r="AJ4711" t="s">
        <v>3232</v>
      </c>
      <c r="AK4711" t="s">
        <v>24659</v>
      </c>
      <c r="AL4711" s="13" t="s">
        <v>3430</v>
      </c>
      <c r="AM4711">
        <v>1</v>
      </c>
      <c r="AN4711" s="15" t="s">
        <v>3879</v>
      </c>
    </row>
    <row r="4712" spans="1:40" x14ac:dyDescent="0.3">
      <c r="A4712" s="10" t="str">
        <f>HYPERLINK("http://www.washoecounty.gov/assessor/cama/?parid=140-711-06&amp;CardNumber=1","140-711-06")</f>
        <v>140-711-06</v>
      </c>
      <c r="B4712" t="s">
        <v>4655</v>
      </c>
      <c r="C4712" t="s">
        <v>24660</v>
      </c>
      <c r="D4712" s="1">
        <v>40207</v>
      </c>
      <c r="E4712" s="2">
        <v>326000</v>
      </c>
      <c r="F4712" t="s">
        <v>4567</v>
      </c>
      <c r="G4712" s="17" t="str">
        <f>HYPERLINK("https://www.washoecounty.gov/assessor/cama/?command=sales&amp;parid=14071106","3844447")</f>
        <v>3844447</v>
      </c>
      <c r="H4712" t="s">
        <v>2743</v>
      </c>
      <c r="I4712">
        <v>2005</v>
      </c>
      <c r="J4712">
        <v>2005</v>
      </c>
      <c r="K4712" t="s">
        <v>4554</v>
      </c>
      <c r="L4712" t="s">
        <v>3974</v>
      </c>
      <c r="M4712" s="2">
        <v>3195</v>
      </c>
      <c r="N4712" t="s">
        <v>3147</v>
      </c>
      <c r="O4712">
        <v>4</v>
      </c>
      <c r="P4712">
        <v>3</v>
      </c>
      <c r="Q4712">
        <v>0</v>
      </c>
      <c r="R4712" t="s">
        <v>5281</v>
      </c>
      <c r="S4712" t="s">
        <v>4898</v>
      </c>
      <c r="T4712" t="s">
        <v>2704</v>
      </c>
      <c r="U4712" t="s">
        <v>5631</v>
      </c>
      <c r="V4712" s="2">
        <v>682</v>
      </c>
      <c r="W4712" t="s">
        <v>4655</v>
      </c>
      <c r="X4712" s="2">
        <v>0</v>
      </c>
      <c r="Y4712">
        <v>20</v>
      </c>
      <c r="Z4712" t="s">
        <v>4561</v>
      </c>
      <c r="AA4712" s="3">
        <v>0.29765841364860501</v>
      </c>
      <c r="AB4712" t="s">
        <v>24661</v>
      </c>
      <c r="AC4712" t="s">
        <v>4562</v>
      </c>
      <c r="AD4712" t="s">
        <v>24662</v>
      </c>
      <c r="AE4712" t="s">
        <v>4655</v>
      </c>
      <c r="AF4712" t="s">
        <v>4563</v>
      </c>
      <c r="AG4712" t="s">
        <v>4564</v>
      </c>
      <c r="AH4712" t="s">
        <v>24663</v>
      </c>
      <c r="AI4712" t="s">
        <v>24664</v>
      </c>
      <c r="AJ4712" t="s">
        <v>3233</v>
      </c>
      <c r="AK4712" t="s">
        <v>24665</v>
      </c>
      <c r="AL4712" s="13" t="s">
        <v>3430</v>
      </c>
      <c r="AM4712">
        <v>1</v>
      </c>
      <c r="AN4712" s="15" t="s">
        <v>3879</v>
      </c>
    </row>
    <row r="4713" spans="1:40" x14ac:dyDescent="0.3">
      <c r="A4713" s="10" t="str">
        <f>HYPERLINK("http://www.washoecounty.gov/assessor/cama/?parid=140-722-03&amp;CardNumber=1","140-722-03")</f>
        <v>140-722-03</v>
      </c>
      <c r="B4713" t="s">
        <v>4655</v>
      </c>
      <c r="C4713" t="s">
        <v>24666</v>
      </c>
      <c r="D4713" s="1">
        <v>40542</v>
      </c>
      <c r="E4713" s="2">
        <v>230000</v>
      </c>
      <c r="F4713" t="s">
        <v>4567</v>
      </c>
      <c r="G4713" s="17" t="str">
        <f>HYPERLINK("https://www.washoecounty.gov/assessor/cama/?command=sales&amp;parid=14072203","3958940")</f>
        <v>3958940</v>
      </c>
      <c r="H4713" t="s">
        <v>2743</v>
      </c>
      <c r="I4713">
        <v>2005</v>
      </c>
      <c r="J4713">
        <v>2005</v>
      </c>
      <c r="K4713" t="s">
        <v>4554</v>
      </c>
      <c r="L4713" t="s">
        <v>4555</v>
      </c>
      <c r="M4713" s="2">
        <v>2102</v>
      </c>
      <c r="N4713" t="s">
        <v>3147</v>
      </c>
      <c r="O4713">
        <v>3</v>
      </c>
      <c r="P4713">
        <v>2</v>
      </c>
      <c r="Q4713">
        <v>0</v>
      </c>
      <c r="R4713" t="s">
        <v>5281</v>
      </c>
      <c r="S4713" t="s">
        <v>4898</v>
      </c>
      <c r="T4713" t="s">
        <v>2704</v>
      </c>
      <c r="U4713" t="s">
        <v>4560</v>
      </c>
      <c r="V4713" s="2">
        <v>660</v>
      </c>
      <c r="W4713" t="s">
        <v>4655</v>
      </c>
      <c r="X4713" s="2">
        <v>0</v>
      </c>
      <c r="Y4713">
        <v>20</v>
      </c>
      <c r="Z4713" t="s">
        <v>4561</v>
      </c>
      <c r="AA4713" s="3">
        <v>0.18200182914733901</v>
      </c>
      <c r="AB4713" t="s">
        <v>24667</v>
      </c>
      <c r="AC4713" t="s">
        <v>4562</v>
      </c>
      <c r="AD4713" t="s">
        <v>24668</v>
      </c>
      <c r="AE4713" t="s">
        <v>4655</v>
      </c>
      <c r="AF4713" t="s">
        <v>4563</v>
      </c>
      <c r="AG4713" t="s">
        <v>4564</v>
      </c>
      <c r="AH4713" t="s">
        <v>5197</v>
      </c>
      <c r="AI4713" t="s">
        <v>24669</v>
      </c>
      <c r="AJ4713" t="s">
        <v>118</v>
      </c>
      <c r="AK4713" t="s">
        <v>24670</v>
      </c>
      <c r="AL4713" s="13" t="s">
        <v>3430</v>
      </c>
      <c r="AM4713">
        <v>1</v>
      </c>
      <c r="AN4713" s="15" t="s">
        <v>3879</v>
      </c>
    </row>
    <row r="4714" spans="1:40" x14ac:dyDescent="0.3">
      <c r="A4714" s="10" t="str">
        <f>HYPERLINK("http://www.washoecounty.gov/assessor/cama/?parid=140-741-08&amp;CardNumber=1","140-741-08")</f>
        <v>140-741-08</v>
      </c>
      <c r="B4714" t="s">
        <v>4655</v>
      </c>
      <c r="C4714" t="s">
        <v>24671</v>
      </c>
      <c r="D4714" s="1">
        <v>40312</v>
      </c>
      <c r="E4714" s="2">
        <v>318000</v>
      </c>
      <c r="F4714" t="s">
        <v>4567</v>
      </c>
      <c r="G4714" s="17" t="str">
        <f>HYPERLINK("https://www.washoecounty.gov/assessor/cama/?command=sales&amp;parid=14074108","3881719")</f>
        <v>3881719</v>
      </c>
      <c r="H4714" t="s">
        <v>1403</v>
      </c>
      <c r="I4714">
        <v>2006</v>
      </c>
      <c r="J4714">
        <v>2006</v>
      </c>
      <c r="K4714" t="s">
        <v>4554</v>
      </c>
      <c r="L4714" t="s">
        <v>3044</v>
      </c>
      <c r="M4714" s="2">
        <v>3372</v>
      </c>
      <c r="N4714" t="s">
        <v>1245</v>
      </c>
      <c r="O4714">
        <v>4</v>
      </c>
      <c r="P4714">
        <v>4</v>
      </c>
      <c r="Q4714">
        <v>1</v>
      </c>
      <c r="R4714" t="s">
        <v>5281</v>
      </c>
      <c r="S4714" t="s">
        <v>4898</v>
      </c>
      <c r="T4714" t="s">
        <v>2704</v>
      </c>
      <c r="U4714" t="s">
        <v>5631</v>
      </c>
      <c r="V4714" s="2">
        <v>420</v>
      </c>
      <c r="W4714" t="s">
        <v>4655</v>
      </c>
      <c r="X4714" s="2">
        <v>0</v>
      </c>
      <c r="Y4714">
        <v>20</v>
      </c>
      <c r="Z4714" t="s">
        <v>5107</v>
      </c>
      <c r="AA4714" s="3">
        <v>0.106473825871944</v>
      </c>
      <c r="AB4714" t="s">
        <v>24672</v>
      </c>
      <c r="AC4714" t="s">
        <v>4562</v>
      </c>
      <c r="AD4714" t="s">
        <v>24671</v>
      </c>
      <c r="AE4714" t="s">
        <v>4655</v>
      </c>
      <c r="AF4714" t="s">
        <v>4563</v>
      </c>
      <c r="AG4714" t="s">
        <v>4564</v>
      </c>
      <c r="AH4714" t="s">
        <v>5197</v>
      </c>
      <c r="AI4714" t="s">
        <v>1866</v>
      </c>
      <c r="AJ4714" t="s">
        <v>1404</v>
      </c>
      <c r="AK4714" t="s">
        <v>24673</v>
      </c>
      <c r="AL4714" s="13" t="s">
        <v>2257</v>
      </c>
      <c r="AM4714">
        <v>1</v>
      </c>
      <c r="AN4714" s="15" t="s">
        <v>1405</v>
      </c>
    </row>
    <row r="4715" spans="1:40" x14ac:dyDescent="0.3">
      <c r="A4715" s="10" t="str">
        <f>HYPERLINK("http://www.washoecounty.gov/assessor/cama/?parid=140-742-02&amp;CardNumber=1","140-742-02")</f>
        <v>140-742-02</v>
      </c>
      <c r="B4715" t="s">
        <v>4655</v>
      </c>
      <c r="C4715" t="s">
        <v>24674</v>
      </c>
      <c r="D4715" s="1">
        <v>40248</v>
      </c>
      <c r="E4715" s="2">
        <v>300000</v>
      </c>
      <c r="F4715" t="s">
        <v>4553</v>
      </c>
      <c r="G4715" s="17" t="str">
        <f>HYPERLINK("https://www.washoecounty.gov/assessor/cama/?command=sales&amp;parid=14074202","3858548")</f>
        <v>3858548</v>
      </c>
      <c r="H4715" t="s">
        <v>1403</v>
      </c>
      <c r="I4715">
        <v>2007</v>
      </c>
      <c r="J4715">
        <v>2007</v>
      </c>
      <c r="K4715" t="s">
        <v>4554</v>
      </c>
      <c r="L4715" t="s">
        <v>3044</v>
      </c>
      <c r="M4715" s="2">
        <v>3128</v>
      </c>
      <c r="N4715" t="s">
        <v>1245</v>
      </c>
      <c r="O4715">
        <v>4</v>
      </c>
      <c r="P4715">
        <v>3</v>
      </c>
      <c r="Q4715">
        <v>1</v>
      </c>
      <c r="R4715" t="s">
        <v>5281</v>
      </c>
      <c r="S4715" t="s">
        <v>4898</v>
      </c>
      <c r="T4715" t="s">
        <v>2704</v>
      </c>
      <c r="U4715" t="s">
        <v>5631</v>
      </c>
      <c r="V4715" s="2">
        <v>460</v>
      </c>
      <c r="W4715" t="s">
        <v>4655</v>
      </c>
      <c r="X4715" s="2">
        <v>0</v>
      </c>
      <c r="Y4715">
        <v>20</v>
      </c>
      <c r="Z4715" t="s">
        <v>5107</v>
      </c>
      <c r="AA4715" s="3">
        <v>0.15546372532844543</v>
      </c>
      <c r="AB4715" t="s">
        <v>24675</v>
      </c>
      <c r="AC4715" t="s">
        <v>4575</v>
      </c>
      <c r="AD4715" t="s">
        <v>24676</v>
      </c>
      <c r="AE4715" t="s">
        <v>4655</v>
      </c>
      <c r="AF4715" t="s">
        <v>4563</v>
      </c>
      <c r="AG4715" t="s">
        <v>4564</v>
      </c>
      <c r="AH4715" t="s">
        <v>5197</v>
      </c>
      <c r="AI4715" t="s">
        <v>4585</v>
      </c>
      <c r="AJ4715" t="s">
        <v>1404</v>
      </c>
      <c r="AK4715" t="s">
        <v>24677</v>
      </c>
      <c r="AL4715" s="13" t="s">
        <v>2257</v>
      </c>
      <c r="AM4715">
        <v>1</v>
      </c>
      <c r="AN4715" s="15" t="s">
        <v>1405</v>
      </c>
    </row>
    <row r="4716" spans="1:40" x14ac:dyDescent="0.3">
      <c r="A4716" s="10" t="str">
        <f>HYPERLINK("http://www.washoecounty.gov/assessor/cama/?parid=140-743-12&amp;CardNumber=1","140-743-12")</f>
        <v>140-743-12</v>
      </c>
      <c r="B4716" t="s">
        <v>4655</v>
      </c>
      <c r="C4716" t="s">
        <v>24678</v>
      </c>
      <c r="D4716" s="1">
        <v>40357</v>
      </c>
      <c r="E4716" s="2">
        <v>433116</v>
      </c>
      <c r="F4716" t="s">
        <v>4567</v>
      </c>
      <c r="G4716" s="17" t="str">
        <f>HYPERLINK("https://www.washoecounty.gov/assessor/cama/?command=sales&amp;parid=14074312","3896014")</f>
        <v>3896014</v>
      </c>
      <c r="H4716" t="s">
        <v>1403</v>
      </c>
      <c r="I4716">
        <v>2010</v>
      </c>
      <c r="J4716">
        <v>2010</v>
      </c>
      <c r="K4716" t="s">
        <v>4554</v>
      </c>
      <c r="L4716" t="s">
        <v>3974</v>
      </c>
      <c r="M4716" s="2">
        <v>2988</v>
      </c>
      <c r="N4716" t="s">
        <v>1245</v>
      </c>
      <c r="O4716">
        <v>4</v>
      </c>
      <c r="P4716">
        <v>4</v>
      </c>
      <c r="Q4716">
        <v>1</v>
      </c>
      <c r="R4716" t="s">
        <v>5281</v>
      </c>
      <c r="S4716" t="s">
        <v>4898</v>
      </c>
      <c r="T4716" t="s">
        <v>2704</v>
      </c>
      <c r="U4716" t="s">
        <v>5631</v>
      </c>
      <c r="V4716" s="2">
        <v>420</v>
      </c>
      <c r="W4716" t="s">
        <v>4655</v>
      </c>
      <c r="X4716" s="2">
        <v>0</v>
      </c>
      <c r="Y4716">
        <v>20</v>
      </c>
      <c r="Z4716" t="s">
        <v>5107</v>
      </c>
      <c r="AA4716" s="3">
        <v>0.129843890666962</v>
      </c>
      <c r="AB4716" t="s">
        <v>24679</v>
      </c>
      <c r="AC4716" t="s">
        <v>4575</v>
      </c>
      <c r="AD4716" t="s">
        <v>24680</v>
      </c>
      <c r="AE4716" t="s">
        <v>4655</v>
      </c>
      <c r="AF4716" t="s">
        <v>4563</v>
      </c>
      <c r="AG4716" t="s">
        <v>4564</v>
      </c>
      <c r="AH4716" t="s">
        <v>5197</v>
      </c>
      <c r="AI4716" t="s">
        <v>3872</v>
      </c>
      <c r="AJ4716" t="s">
        <v>1404</v>
      </c>
      <c r="AK4716" t="s">
        <v>24681</v>
      </c>
      <c r="AL4716" s="13" t="s">
        <v>2257</v>
      </c>
      <c r="AM4716">
        <v>1</v>
      </c>
      <c r="AN4716" s="15" t="s">
        <v>1405</v>
      </c>
    </row>
    <row r="4717" spans="1:40" x14ac:dyDescent="0.3">
      <c r="A4717" s="10" t="str">
        <f>HYPERLINK("http://www.washoecounty.gov/assessor/cama/?parid=140-743-13&amp;CardNumber=1","140-743-13")</f>
        <v>140-743-13</v>
      </c>
      <c r="B4717" t="s">
        <v>4655</v>
      </c>
      <c r="C4717" t="s">
        <v>24682</v>
      </c>
      <c r="D4717" s="1">
        <v>40252</v>
      </c>
      <c r="E4717" s="2">
        <v>402884</v>
      </c>
      <c r="F4717" t="s">
        <v>4567</v>
      </c>
      <c r="G4717" s="17" t="str">
        <f>HYPERLINK("https://www.washoecounty.gov/assessor/cama/?command=sales&amp;parid=14074313","3859760")</f>
        <v>3859760</v>
      </c>
      <c r="H4717" t="s">
        <v>1403</v>
      </c>
      <c r="I4717">
        <v>2009</v>
      </c>
      <c r="J4717">
        <v>2009</v>
      </c>
      <c r="K4717" t="s">
        <v>4554</v>
      </c>
      <c r="L4717" t="s">
        <v>3974</v>
      </c>
      <c r="M4717" s="2">
        <v>2737</v>
      </c>
      <c r="N4717" t="s">
        <v>1245</v>
      </c>
      <c r="O4717">
        <v>3</v>
      </c>
      <c r="P4717">
        <v>2</v>
      </c>
      <c r="Q4717">
        <v>1</v>
      </c>
      <c r="R4717" t="s">
        <v>5281</v>
      </c>
      <c r="S4717" t="s">
        <v>4898</v>
      </c>
      <c r="T4717" t="s">
        <v>2704</v>
      </c>
      <c r="U4717" t="s">
        <v>5631</v>
      </c>
      <c r="V4717" s="2">
        <v>460</v>
      </c>
      <c r="W4717" t="s">
        <v>4655</v>
      </c>
      <c r="X4717" s="2">
        <v>0</v>
      </c>
      <c r="Y4717">
        <v>20</v>
      </c>
      <c r="Z4717" t="s">
        <v>5107</v>
      </c>
      <c r="AA4717" s="3">
        <v>0.19373278319835663</v>
      </c>
      <c r="AB4717" t="s">
        <v>24683</v>
      </c>
      <c r="AC4717" t="s">
        <v>4562</v>
      </c>
      <c r="AD4717" t="s">
        <v>24682</v>
      </c>
      <c r="AE4717" t="s">
        <v>4655</v>
      </c>
      <c r="AF4717" t="s">
        <v>4563</v>
      </c>
      <c r="AG4717" t="s">
        <v>4564</v>
      </c>
      <c r="AH4717" t="s">
        <v>5197</v>
      </c>
      <c r="AI4717" t="s">
        <v>3872</v>
      </c>
      <c r="AJ4717" t="s">
        <v>1404</v>
      </c>
      <c r="AK4717" t="s">
        <v>24684</v>
      </c>
      <c r="AL4717" s="13" t="s">
        <v>2257</v>
      </c>
      <c r="AM4717">
        <v>1</v>
      </c>
      <c r="AN4717" s="15" t="s">
        <v>1405</v>
      </c>
    </row>
    <row r="4718" spans="1:40" x14ac:dyDescent="0.3">
      <c r="A4718" s="10" t="str">
        <f>HYPERLINK("http://www.washoecounty.gov/assessor/cama/?parid=140-744-08&amp;CardNumber=1","140-744-08")</f>
        <v>140-744-08</v>
      </c>
      <c r="B4718" t="s">
        <v>4655</v>
      </c>
      <c r="C4718" t="s">
        <v>24685</v>
      </c>
      <c r="D4718" s="1">
        <v>40438</v>
      </c>
      <c r="E4718" s="2">
        <v>433378</v>
      </c>
      <c r="F4718" t="s">
        <v>4567</v>
      </c>
      <c r="G4718" s="17" t="str">
        <f>HYPERLINK("https://www.washoecounty.gov/assessor/cama/?command=sales&amp;parid=14074408","3923709")</f>
        <v>3923709</v>
      </c>
      <c r="H4718" t="s">
        <v>1403</v>
      </c>
      <c r="I4718">
        <v>2010</v>
      </c>
      <c r="J4718">
        <v>2010</v>
      </c>
      <c r="K4718" t="s">
        <v>4554</v>
      </c>
      <c r="L4718" t="s">
        <v>3974</v>
      </c>
      <c r="M4718" s="2">
        <v>2737</v>
      </c>
      <c r="N4718" t="s">
        <v>1245</v>
      </c>
      <c r="O4718">
        <v>3</v>
      </c>
      <c r="P4718">
        <v>2</v>
      </c>
      <c r="Q4718">
        <v>1</v>
      </c>
      <c r="R4718" t="s">
        <v>5281</v>
      </c>
      <c r="S4718" t="s">
        <v>4898</v>
      </c>
      <c r="T4718" t="s">
        <v>2704</v>
      </c>
      <c r="U4718" t="s">
        <v>5631</v>
      </c>
      <c r="V4718" s="2">
        <v>460</v>
      </c>
      <c r="W4718" t="s">
        <v>4655</v>
      </c>
      <c r="X4718" s="2">
        <v>0</v>
      </c>
      <c r="Y4718">
        <v>20</v>
      </c>
      <c r="Z4718" t="s">
        <v>5107</v>
      </c>
      <c r="AA4718" s="3">
        <v>0.15736915171146401</v>
      </c>
      <c r="AB4718" t="s">
        <v>24686</v>
      </c>
      <c r="AC4718" t="s">
        <v>4562</v>
      </c>
      <c r="AD4718" t="s">
        <v>24687</v>
      </c>
      <c r="AE4718" t="s">
        <v>4655</v>
      </c>
      <c r="AF4718" t="s">
        <v>24688</v>
      </c>
      <c r="AG4718" t="s">
        <v>24689</v>
      </c>
      <c r="AH4718">
        <v>2921</v>
      </c>
      <c r="AI4718" t="s">
        <v>3872</v>
      </c>
      <c r="AJ4718" t="s">
        <v>1404</v>
      </c>
      <c r="AK4718" t="s">
        <v>24690</v>
      </c>
      <c r="AL4718" s="13" t="s">
        <v>2257</v>
      </c>
      <c r="AM4718">
        <v>1</v>
      </c>
      <c r="AN4718" s="15" t="s">
        <v>1405</v>
      </c>
    </row>
    <row r="4719" spans="1:40" x14ac:dyDescent="0.3">
      <c r="A4719" s="10" t="str">
        <f>HYPERLINK("http://www.washoecounty.gov/assessor/cama/?parid=140-752-03&amp;CardNumber=1","140-752-03")</f>
        <v>140-752-03</v>
      </c>
      <c r="B4719" t="s">
        <v>4655</v>
      </c>
      <c r="C4719" t="s">
        <v>24691</v>
      </c>
      <c r="D4719" s="1">
        <v>40462</v>
      </c>
      <c r="E4719" s="2">
        <v>302000</v>
      </c>
      <c r="F4719" t="s">
        <v>4567</v>
      </c>
      <c r="G4719" s="17" t="str">
        <f>HYPERLINK("https://www.washoecounty.gov/assessor/cama/?command=sales&amp;parid=14075203","3931406")</f>
        <v>3931406</v>
      </c>
      <c r="H4719" t="s">
        <v>1403</v>
      </c>
      <c r="I4719">
        <v>2006</v>
      </c>
      <c r="J4719">
        <v>2006</v>
      </c>
      <c r="K4719" t="s">
        <v>4554</v>
      </c>
      <c r="L4719" t="s">
        <v>3974</v>
      </c>
      <c r="M4719" s="2">
        <v>2988</v>
      </c>
      <c r="N4719" t="s">
        <v>1245</v>
      </c>
      <c r="O4719">
        <v>4</v>
      </c>
      <c r="P4719">
        <v>4</v>
      </c>
      <c r="Q4719">
        <v>1</v>
      </c>
      <c r="R4719" t="s">
        <v>5281</v>
      </c>
      <c r="S4719" t="s">
        <v>4898</v>
      </c>
      <c r="T4719" t="s">
        <v>2704</v>
      </c>
      <c r="U4719" t="s">
        <v>5631</v>
      </c>
      <c r="V4719" s="2">
        <v>420</v>
      </c>
      <c r="W4719" t="s">
        <v>4655</v>
      </c>
      <c r="X4719" s="2">
        <v>0</v>
      </c>
      <c r="Y4719">
        <v>20</v>
      </c>
      <c r="Z4719" t="s">
        <v>5107</v>
      </c>
      <c r="AA4719" s="3">
        <v>0.13209366798400901</v>
      </c>
      <c r="AB4719" t="s">
        <v>24692</v>
      </c>
      <c r="AC4719" t="s">
        <v>4562</v>
      </c>
      <c r="AD4719" t="s">
        <v>24693</v>
      </c>
      <c r="AE4719" t="s">
        <v>4655</v>
      </c>
      <c r="AF4719" t="s">
        <v>4772</v>
      </c>
      <c r="AG4719" t="s">
        <v>4564</v>
      </c>
      <c r="AH4719" t="s">
        <v>5197</v>
      </c>
      <c r="AI4719" t="s">
        <v>24694</v>
      </c>
      <c r="AJ4719" t="s">
        <v>1404</v>
      </c>
      <c r="AK4719" t="s">
        <v>24695</v>
      </c>
      <c r="AL4719" s="13" t="s">
        <v>2257</v>
      </c>
      <c r="AM4719" s="14">
        <v>1</v>
      </c>
      <c r="AN4719" s="15" t="s">
        <v>1405</v>
      </c>
    </row>
    <row r="4720" spans="1:40" x14ac:dyDescent="0.3">
      <c r="A4720" s="10" t="str">
        <f>HYPERLINK("http://www.washoecounty.gov/assessor/cama/?parid=140-752-08&amp;CardNumber=1","140-752-08")</f>
        <v>140-752-08</v>
      </c>
      <c r="B4720" t="s">
        <v>4655</v>
      </c>
      <c r="C4720" t="s">
        <v>24696</v>
      </c>
      <c r="D4720" s="1">
        <v>40315</v>
      </c>
      <c r="E4720" s="2">
        <v>286400</v>
      </c>
      <c r="F4720" t="s">
        <v>4553</v>
      </c>
      <c r="G4720" s="17" t="str">
        <f>HYPERLINK("https://www.washoecounty.gov/assessor/cama/?command=sales&amp;parid=14075208","3882285")</f>
        <v>3882285</v>
      </c>
      <c r="H4720" t="s">
        <v>1403</v>
      </c>
      <c r="I4720">
        <v>2006</v>
      </c>
      <c r="J4720">
        <v>2006</v>
      </c>
      <c r="K4720" t="s">
        <v>4554</v>
      </c>
      <c r="L4720" t="s">
        <v>3974</v>
      </c>
      <c r="M4720" s="2">
        <v>2737</v>
      </c>
      <c r="N4720" t="s">
        <v>1245</v>
      </c>
      <c r="O4720">
        <v>3</v>
      </c>
      <c r="P4720">
        <v>2</v>
      </c>
      <c r="Q4720">
        <v>2</v>
      </c>
      <c r="R4720" t="s">
        <v>5281</v>
      </c>
      <c r="S4720" t="s">
        <v>4898</v>
      </c>
      <c r="T4720" t="s">
        <v>2704</v>
      </c>
      <c r="U4720" t="s">
        <v>5631</v>
      </c>
      <c r="V4720" s="2">
        <v>460</v>
      </c>
      <c r="W4720" t="s">
        <v>4655</v>
      </c>
      <c r="X4720" s="2">
        <v>0</v>
      </c>
      <c r="Y4720">
        <v>20</v>
      </c>
      <c r="Z4720" t="s">
        <v>5107</v>
      </c>
      <c r="AA4720" s="3">
        <v>0.126813590526581</v>
      </c>
      <c r="AB4720" t="s">
        <v>24697</v>
      </c>
      <c r="AC4720" t="s">
        <v>4562</v>
      </c>
      <c r="AD4720" t="s">
        <v>24696</v>
      </c>
      <c r="AE4720" t="s">
        <v>4655</v>
      </c>
      <c r="AF4720" t="s">
        <v>4563</v>
      </c>
      <c r="AG4720" t="s">
        <v>4564</v>
      </c>
      <c r="AH4720" t="s">
        <v>5197</v>
      </c>
      <c r="AI4720" t="s">
        <v>4585</v>
      </c>
      <c r="AJ4720" t="s">
        <v>1404</v>
      </c>
      <c r="AK4720" t="s">
        <v>24698</v>
      </c>
      <c r="AL4720" s="13" t="s">
        <v>2257</v>
      </c>
      <c r="AM4720" s="14">
        <v>1</v>
      </c>
      <c r="AN4720" s="15" t="s">
        <v>1405</v>
      </c>
    </row>
    <row r="4721" spans="1:40" x14ac:dyDescent="0.3">
      <c r="A4721" s="10" t="str">
        <f>HYPERLINK("http://www.washoecounty.gov/assessor/cama/?parid=140-753-04&amp;CardNumber=1","140-753-04")</f>
        <v>140-753-04</v>
      </c>
      <c r="B4721" t="s">
        <v>4655</v>
      </c>
      <c r="C4721" t="s">
        <v>24699</v>
      </c>
      <c r="D4721" s="1">
        <v>40437</v>
      </c>
      <c r="E4721" s="2">
        <v>435000</v>
      </c>
      <c r="F4721" t="s">
        <v>4567</v>
      </c>
      <c r="G4721" s="17" t="str">
        <f>HYPERLINK("https://www.washoecounty.gov/assessor/cama/?command=sales&amp;parid=14075304","3922822")</f>
        <v>3922822</v>
      </c>
      <c r="H4721" t="s">
        <v>1403</v>
      </c>
      <c r="I4721">
        <v>2006</v>
      </c>
      <c r="J4721">
        <v>2006</v>
      </c>
      <c r="K4721" t="s">
        <v>4554</v>
      </c>
      <c r="L4721" t="s">
        <v>3044</v>
      </c>
      <c r="M4721" s="2">
        <v>3128</v>
      </c>
      <c r="N4721" t="s">
        <v>1245</v>
      </c>
      <c r="O4721">
        <v>4</v>
      </c>
      <c r="P4721">
        <v>3</v>
      </c>
      <c r="Q4721">
        <v>1</v>
      </c>
      <c r="R4721" t="s">
        <v>5281</v>
      </c>
      <c r="S4721" t="s">
        <v>4898</v>
      </c>
      <c r="T4721" t="s">
        <v>2704</v>
      </c>
      <c r="U4721" t="s">
        <v>5631</v>
      </c>
      <c r="V4721" s="2">
        <v>460</v>
      </c>
      <c r="W4721" t="s">
        <v>4655</v>
      </c>
      <c r="X4721" s="2">
        <v>0</v>
      </c>
      <c r="Y4721">
        <v>20</v>
      </c>
      <c r="Z4721" t="s">
        <v>5107</v>
      </c>
      <c r="AA4721" s="3">
        <v>0.12054637074470501</v>
      </c>
      <c r="AB4721" t="s">
        <v>24700</v>
      </c>
      <c r="AC4721" t="s">
        <v>4575</v>
      </c>
      <c r="AD4721" t="s">
        <v>24701</v>
      </c>
      <c r="AE4721" t="s">
        <v>4655</v>
      </c>
      <c r="AF4721" t="s">
        <v>4563</v>
      </c>
      <c r="AG4721" t="s">
        <v>4564</v>
      </c>
      <c r="AH4721" t="s">
        <v>5197</v>
      </c>
      <c r="AI4721" t="s">
        <v>3872</v>
      </c>
      <c r="AJ4721" t="s">
        <v>1404</v>
      </c>
      <c r="AK4721" t="s">
        <v>24702</v>
      </c>
      <c r="AL4721" s="13" t="s">
        <v>2257</v>
      </c>
      <c r="AM4721">
        <v>1</v>
      </c>
      <c r="AN4721" s="15" t="s">
        <v>1405</v>
      </c>
    </row>
    <row r="4722" spans="1:40" x14ac:dyDescent="0.3">
      <c r="A4722" s="10" t="str">
        <f>HYPERLINK("http://www.washoecounty.gov/assessor/cama/?parid=140-753-07&amp;CardNumber=1","140-753-07")</f>
        <v>140-753-07</v>
      </c>
      <c r="B4722" t="s">
        <v>4655</v>
      </c>
      <c r="C4722" t="s">
        <v>24703</v>
      </c>
      <c r="D4722" s="1">
        <v>40358</v>
      </c>
      <c r="E4722" s="2">
        <v>385425</v>
      </c>
      <c r="F4722" t="s">
        <v>4567</v>
      </c>
      <c r="G4722" s="17" t="str">
        <f>HYPERLINK("https://www.washoecounty.gov/assessor/cama/?command=sales&amp;parid=14075307","3896185")</f>
        <v>3896185</v>
      </c>
      <c r="H4722" t="s">
        <v>1403</v>
      </c>
      <c r="I4722">
        <v>2010</v>
      </c>
      <c r="J4722">
        <v>2010</v>
      </c>
      <c r="K4722" t="s">
        <v>4554</v>
      </c>
      <c r="L4722" t="s">
        <v>3974</v>
      </c>
      <c r="M4722" s="2">
        <v>2988</v>
      </c>
      <c r="N4722" t="s">
        <v>1245</v>
      </c>
      <c r="O4722">
        <v>3</v>
      </c>
      <c r="P4722">
        <v>3</v>
      </c>
      <c r="Q4722">
        <v>1</v>
      </c>
      <c r="R4722" t="s">
        <v>5281</v>
      </c>
      <c r="S4722" t="s">
        <v>4898</v>
      </c>
      <c r="T4722" t="s">
        <v>2704</v>
      </c>
      <c r="U4722" t="s">
        <v>5631</v>
      </c>
      <c r="V4722" s="2">
        <v>420</v>
      </c>
      <c r="W4722" t="s">
        <v>4655</v>
      </c>
      <c r="X4722" s="2">
        <v>0</v>
      </c>
      <c r="Y4722">
        <v>20</v>
      </c>
      <c r="Z4722" t="s">
        <v>5107</v>
      </c>
      <c r="AA4722" s="3">
        <v>0.17543618381023399</v>
      </c>
      <c r="AB4722" t="s">
        <v>24704</v>
      </c>
      <c r="AC4722" t="s">
        <v>4575</v>
      </c>
      <c r="AD4722" t="s">
        <v>24703</v>
      </c>
      <c r="AE4722" t="s">
        <v>4655</v>
      </c>
      <c r="AF4722" t="s">
        <v>4563</v>
      </c>
      <c r="AG4722" t="s">
        <v>4564</v>
      </c>
      <c r="AH4722" t="s">
        <v>5197</v>
      </c>
      <c r="AI4722" t="s">
        <v>3872</v>
      </c>
      <c r="AJ4722" t="s">
        <v>1404</v>
      </c>
      <c r="AK4722" t="s">
        <v>24705</v>
      </c>
      <c r="AL4722" s="13" t="s">
        <v>2257</v>
      </c>
      <c r="AM4722" s="14">
        <v>1</v>
      </c>
      <c r="AN4722" s="15" t="s">
        <v>1405</v>
      </c>
    </row>
    <row r="4723" spans="1:40" x14ac:dyDescent="0.3">
      <c r="A4723" s="10" t="str">
        <f>HYPERLINK("http://www.washoecounty.gov/assessor/cama/?parid=140-771-05&amp;CardNumber=1","140-771-05")</f>
        <v>140-771-05</v>
      </c>
      <c r="B4723" t="s">
        <v>4655</v>
      </c>
      <c r="C4723" t="s">
        <v>24706</v>
      </c>
      <c r="D4723" s="1">
        <v>40269</v>
      </c>
      <c r="E4723" s="2">
        <v>231000</v>
      </c>
      <c r="F4723" t="s">
        <v>4553</v>
      </c>
      <c r="G4723" s="17" t="str">
        <f>HYPERLINK("https://www.washoecounty.gov/assessor/cama/?command=sales&amp;parid=14077105","3866837")</f>
        <v>3866837</v>
      </c>
      <c r="H4723" t="s">
        <v>1905</v>
      </c>
      <c r="I4723">
        <v>2006</v>
      </c>
      <c r="J4723">
        <v>2006</v>
      </c>
      <c r="K4723" t="s">
        <v>4554</v>
      </c>
      <c r="L4723" t="s">
        <v>4555</v>
      </c>
      <c r="M4723" s="2">
        <v>1783</v>
      </c>
      <c r="N4723" t="s">
        <v>3147</v>
      </c>
      <c r="O4723">
        <v>3</v>
      </c>
      <c r="P4723">
        <v>2</v>
      </c>
      <c r="Q4723">
        <v>0</v>
      </c>
      <c r="R4723" t="s">
        <v>5281</v>
      </c>
      <c r="S4723" t="s">
        <v>4898</v>
      </c>
      <c r="T4723" t="s">
        <v>2704</v>
      </c>
      <c r="U4723" t="s">
        <v>4560</v>
      </c>
      <c r="V4723" s="2">
        <v>618</v>
      </c>
      <c r="W4723" t="s">
        <v>4655</v>
      </c>
      <c r="X4723" s="2">
        <v>0</v>
      </c>
      <c r="Y4723">
        <v>20</v>
      </c>
      <c r="Z4723" t="s">
        <v>5107</v>
      </c>
      <c r="AA4723" s="3">
        <v>0.18948577344417572</v>
      </c>
      <c r="AB4723" t="s">
        <v>24707</v>
      </c>
      <c r="AC4723" t="s">
        <v>4562</v>
      </c>
      <c r="AD4723" t="s">
        <v>24706</v>
      </c>
      <c r="AE4723" t="s">
        <v>4655</v>
      </c>
      <c r="AF4723" t="s">
        <v>4563</v>
      </c>
      <c r="AG4723" t="s">
        <v>4564</v>
      </c>
      <c r="AH4723" t="s">
        <v>5197</v>
      </c>
      <c r="AI4723" t="s">
        <v>4145</v>
      </c>
      <c r="AJ4723" t="s">
        <v>1906</v>
      </c>
      <c r="AK4723" t="s">
        <v>24708</v>
      </c>
      <c r="AL4723" s="13" t="s">
        <v>3430</v>
      </c>
      <c r="AM4723" s="14">
        <v>1</v>
      </c>
      <c r="AN4723" s="15" t="s">
        <v>3879</v>
      </c>
    </row>
    <row r="4724" spans="1:40" x14ac:dyDescent="0.3">
      <c r="A4724" s="10" t="str">
        <f>HYPERLINK("http://www.washoecounty.gov/assessor/cama/?parid=140-771-06&amp;CardNumber=1","140-771-06")</f>
        <v>140-771-06</v>
      </c>
      <c r="B4724" t="s">
        <v>4655</v>
      </c>
      <c r="C4724" t="s">
        <v>24709</v>
      </c>
      <c r="D4724" s="1">
        <v>40521</v>
      </c>
      <c r="E4724" s="2">
        <v>305000</v>
      </c>
      <c r="F4724" t="s">
        <v>4567</v>
      </c>
      <c r="G4724" s="17" t="str">
        <f>HYPERLINK("https://www.washoecounty.gov/assessor/cama/?command=sales&amp;parid=14077106","3951582")</f>
        <v>3951582</v>
      </c>
      <c r="H4724" t="s">
        <v>1905</v>
      </c>
      <c r="I4724">
        <v>2006</v>
      </c>
      <c r="J4724">
        <v>2006</v>
      </c>
      <c r="K4724" t="s">
        <v>4554</v>
      </c>
      <c r="L4724" t="s">
        <v>3974</v>
      </c>
      <c r="M4724" s="2">
        <v>3193</v>
      </c>
      <c r="N4724" t="s">
        <v>3147</v>
      </c>
      <c r="O4724">
        <v>4</v>
      </c>
      <c r="P4724">
        <v>3</v>
      </c>
      <c r="Q4724">
        <v>0</v>
      </c>
      <c r="R4724" t="s">
        <v>5281</v>
      </c>
      <c r="S4724" t="s">
        <v>4898</v>
      </c>
      <c r="T4724" t="s">
        <v>2704</v>
      </c>
      <c r="U4724" t="s">
        <v>5631</v>
      </c>
      <c r="V4724" s="2">
        <v>704</v>
      </c>
      <c r="W4724" t="s">
        <v>4655</v>
      </c>
      <c r="X4724" s="2">
        <v>0</v>
      </c>
      <c r="Y4724">
        <v>20</v>
      </c>
      <c r="Z4724" t="s">
        <v>5107</v>
      </c>
      <c r="AA4724" s="3">
        <v>0.26916897296905501</v>
      </c>
      <c r="AB4724" t="s">
        <v>23986</v>
      </c>
      <c r="AC4724" t="s">
        <v>4562</v>
      </c>
      <c r="AD4724" t="s">
        <v>24710</v>
      </c>
      <c r="AE4724" t="s">
        <v>4655</v>
      </c>
      <c r="AF4724" t="s">
        <v>4563</v>
      </c>
      <c r="AG4724" t="s">
        <v>4564</v>
      </c>
      <c r="AH4724" t="s">
        <v>5197</v>
      </c>
      <c r="AI4724" t="s">
        <v>1328</v>
      </c>
      <c r="AJ4724" t="s">
        <v>1906</v>
      </c>
      <c r="AK4724" t="s">
        <v>24711</v>
      </c>
      <c r="AL4724" s="13" t="s">
        <v>3430</v>
      </c>
      <c r="AM4724">
        <v>1</v>
      </c>
      <c r="AN4724" s="15" t="s">
        <v>3879</v>
      </c>
    </row>
    <row r="4725" spans="1:40" x14ac:dyDescent="0.3">
      <c r="A4725" s="10" t="str">
        <f>HYPERLINK("http://www.washoecounty.gov/assessor/cama/?parid=140-771-09&amp;CardNumber=1","140-771-09")</f>
        <v>140-771-09</v>
      </c>
      <c r="B4725" t="s">
        <v>4655</v>
      </c>
      <c r="C4725" t="s">
        <v>24712</v>
      </c>
      <c r="D4725" s="1">
        <v>40322</v>
      </c>
      <c r="E4725" s="2">
        <v>320000</v>
      </c>
      <c r="F4725" t="s">
        <v>4567</v>
      </c>
      <c r="G4725" s="17" t="str">
        <f>HYPERLINK("https://www.washoecounty.gov/assessor/cama/?command=sales&amp;parid=14077109","3884195")</f>
        <v>3884195</v>
      </c>
      <c r="H4725" t="s">
        <v>1905</v>
      </c>
      <c r="I4725">
        <v>2006</v>
      </c>
      <c r="J4725">
        <v>2006</v>
      </c>
      <c r="K4725" t="s">
        <v>4554</v>
      </c>
      <c r="L4725" t="s">
        <v>3974</v>
      </c>
      <c r="M4725" s="2">
        <v>3193</v>
      </c>
      <c r="N4725" t="s">
        <v>3147</v>
      </c>
      <c r="O4725">
        <v>4</v>
      </c>
      <c r="P4725">
        <v>3</v>
      </c>
      <c r="Q4725">
        <v>0</v>
      </c>
      <c r="R4725" t="s">
        <v>5281</v>
      </c>
      <c r="S4725" t="s">
        <v>4898</v>
      </c>
      <c r="T4725" t="s">
        <v>2704</v>
      </c>
      <c r="U4725" t="s">
        <v>5631</v>
      </c>
      <c r="V4725" s="2">
        <v>704</v>
      </c>
      <c r="W4725" t="s">
        <v>4655</v>
      </c>
      <c r="X4725" s="2">
        <v>0</v>
      </c>
      <c r="Y4725">
        <v>20</v>
      </c>
      <c r="Z4725" t="s">
        <v>5107</v>
      </c>
      <c r="AA4725" s="3">
        <v>0.19795684516429901</v>
      </c>
      <c r="AB4725" t="s">
        <v>24713</v>
      </c>
      <c r="AC4725" t="s">
        <v>4562</v>
      </c>
      <c r="AD4725" t="s">
        <v>24712</v>
      </c>
      <c r="AE4725" t="s">
        <v>4655</v>
      </c>
      <c r="AF4725" t="s">
        <v>4563</v>
      </c>
      <c r="AG4725" t="s">
        <v>4564</v>
      </c>
      <c r="AH4725" t="s">
        <v>5197</v>
      </c>
      <c r="AI4725" t="s">
        <v>24714</v>
      </c>
      <c r="AJ4725" t="s">
        <v>1906</v>
      </c>
      <c r="AK4725" t="s">
        <v>24715</v>
      </c>
      <c r="AL4725" s="13" t="s">
        <v>3430</v>
      </c>
      <c r="AM4725">
        <v>1</v>
      </c>
      <c r="AN4725" s="15" t="s">
        <v>3879</v>
      </c>
    </row>
    <row r="4726" spans="1:40" x14ac:dyDescent="0.3">
      <c r="A4726" s="10" t="str">
        <f>HYPERLINK("http://www.washoecounty.gov/assessor/cama/?parid=140-771-11&amp;CardNumber=1","140-771-11")</f>
        <v>140-771-11</v>
      </c>
      <c r="B4726" t="s">
        <v>4655</v>
      </c>
      <c r="C4726" t="s">
        <v>24716</v>
      </c>
      <c r="D4726" s="1">
        <v>40252</v>
      </c>
      <c r="E4726" s="2">
        <v>258500</v>
      </c>
      <c r="F4726" t="s">
        <v>4553</v>
      </c>
      <c r="G4726" s="17" t="str">
        <f>HYPERLINK("https://www.washoecounty.gov/assessor/cama/?command=sales&amp;parid=14077111","3859687")</f>
        <v>3859687</v>
      </c>
      <c r="H4726" t="s">
        <v>1905</v>
      </c>
      <c r="I4726">
        <v>2006</v>
      </c>
      <c r="J4726">
        <v>2006</v>
      </c>
      <c r="K4726" t="s">
        <v>4554</v>
      </c>
      <c r="L4726" t="s">
        <v>4555</v>
      </c>
      <c r="M4726" s="2">
        <v>2545</v>
      </c>
      <c r="N4726" t="s">
        <v>3147</v>
      </c>
      <c r="O4726">
        <v>4</v>
      </c>
      <c r="P4726">
        <v>3</v>
      </c>
      <c r="Q4726">
        <v>1</v>
      </c>
      <c r="R4726" t="s">
        <v>5281</v>
      </c>
      <c r="S4726" t="s">
        <v>4898</v>
      </c>
      <c r="T4726" t="s">
        <v>2704</v>
      </c>
      <c r="U4726" t="s">
        <v>4560</v>
      </c>
      <c r="V4726" s="2">
        <v>669</v>
      </c>
      <c r="W4726" t="s">
        <v>4655</v>
      </c>
      <c r="X4726" s="2">
        <v>0</v>
      </c>
      <c r="Y4726">
        <v>20</v>
      </c>
      <c r="Z4726" t="s">
        <v>5107</v>
      </c>
      <c r="AA4726" s="3">
        <v>0.20534893870353699</v>
      </c>
      <c r="AB4726" t="s">
        <v>24717</v>
      </c>
      <c r="AC4726" t="s">
        <v>4562</v>
      </c>
      <c r="AD4726" t="s">
        <v>24718</v>
      </c>
      <c r="AE4726" t="s">
        <v>4655</v>
      </c>
      <c r="AF4726" t="s">
        <v>4563</v>
      </c>
      <c r="AG4726" t="s">
        <v>4564</v>
      </c>
      <c r="AH4726" t="s">
        <v>5197</v>
      </c>
      <c r="AI4726" t="s">
        <v>4503</v>
      </c>
      <c r="AJ4726" t="s">
        <v>1906</v>
      </c>
      <c r="AK4726" t="s">
        <v>24719</v>
      </c>
      <c r="AL4726" s="13" t="s">
        <v>3430</v>
      </c>
      <c r="AM4726">
        <v>1</v>
      </c>
      <c r="AN4726" s="15" t="s">
        <v>3879</v>
      </c>
    </row>
    <row r="4727" spans="1:40" x14ac:dyDescent="0.3">
      <c r="A4727" s="10" t="str">
        <f>HYPERLINK("http://www.washoecounty.gov/assessor/cama/?parid=140-772-13&amp;CardNumber=1","140-772-13")</f>
        <v>140-772-13</v>
      </c>
      <c r="B4727" t="s">
        <v>4655</v>
      </c>
      <c r="C4727" t="s">
        <v>24720</v>
      </c>
      <c r="D4727" s="1">
        <v>40465</v>
      </c>
      <c r="E4727" s="2">
        <v>249900</v>
      </c>
      <c r="F4727" t="s">
        <v>4553</v>
      </c>
      <c r="G4727" s="17" t="str">
        <f>HYPERLINK("https://www.washoecounty.gov/assessor/cama/?command=sales&amp;parid=14077213","3933108")</f>
        <v>3933108</v>
      </c>
      <c r="H4727" t="s">
        <v>1905</v>
      </c>
      <c r="I4727">
        <v>2005</v>
      </c>
      <c r="J4727">
        <v>2005</v>
      </c>
      <c r="K4727" t="s">
        <v>4554</v>
      </c>
      <c r="L4727" t="s">
        <v>3974</v>
      </c>
      <c r="M4727" s="2">
        <v>2861</v>
      </c>
      <c r="N4727" t="s">
        <v>3147</v>
      </c>
      <c r="O4727">
        <v>5</v>
      </c>
      <c r="P4727">
        <v>3</v>
      </c>
      <c r="Q4727">
        <v>0</v>
      </c>
      <c r="R4727" t="s">
        <v>5281</v>
      </c>
      <c r="S4727" t="s">
        <v>4898</v>
      </c>
      <c r="T4727" t="s">
        <v>2704</v>
      </c>
      <c r="U4727" t="s">
        <v>5631</v>
      </c>
      <c r="V4727" s="2">
        <v>644</v>
      </c>
      <c r="W4727" t="s">
        <v>4655</v>
      </c>
      <c r="X4727" s="2">
        <v>0</v>
      </c>
      <c r="Y4727">
        <v>20</v>
      </c>
      <c r="Z4727" t="s">
        <v>5107</v>
      </c>
      <c r="AA4727" s="3">
        <v>0.16372819244861603</v>
      </c>
      <c r="AB4727" t="s">
        <v>24721</v>
      </c>
      <c r="AC4727" t="s">
        <v>4562</v>
      </c>
      <c r="AD4727" t="s">
        <v>24720</v>
      </c>
      <c r="AE4727" t="s">
        <v>4655</v>
      </c>
      <c r="AF4727" t="s">
        <v>4563</v>
      </c>
      <c r="AG4727" t="s">
        <v>4564</v>
      </c>
      <c r="AH4727" t="s">
        <v>5197</v>
      </c>
      <c r="AI4727" t="s">
        <v>4045</v>
      </c>
      <c r="AJ4727" t="s">
        <v>1906</v>
      </c>
      <c r="AK4727" t="s">
        <v>24722</v>
      </c>
      <c r="AL4727" s="13" t="s">
        <v>3430</v>
      </c>
      <c r="AM4727">
        <v>1</v>
      </c>
      <c r="AN4727" s="15" t="s">
        <v>3879</v>
      </c>
    </row>
    <row r="4728" spans="1:40" x14ac:dyDescent="0.3">
      <c r="A4728" s="10" t="str">
        <f>HYPERLINK("http://www.washoecounty.gov/assessor/cama/?parid=140-772-22&amp;CardNumber=1","140-772-22")</f>
        <v>140-772-22</v>
      </c>
      <c r="B4728" t="s">
        <v>4655</v>
      </c>
      <c r="C4728" t="s">
        <v>24723</v>
      </c>
      <c r="D4728" s="1">
        <v>40312</v>
      </c>
      <c r="E4728" s="2">
        <v>255000</v>
      </c>
      <c r="F4728" t="s">
        <v>4567</v>
      </c>
      <c r="G4728" s="17" t="str">
        <f>HYPERLINK("https://www.washoecounty.gov/assessor/cama/?command=sales&amp;parid=14077222","3881853")</f>
        <v>3881853</v>
      </c>
      <c r="H4728" t="s">
        <v>1905</v>
      </c>
      <c r="I4728">
        <v>2006</v>
      </c>
      <c r="J4728">
        <v>2006</v>
      </c>
      <c r="K4728" t="s">
        <v>4554</v>
      </c>
      <c r="L4728" t="s">
        <v>4555</v>
      </c>
      <c r="M4728" s="2">
        <v>2102</v>
      </c>
      <c r="N4728" t="s">
        <v>3147</v>
      </c>
      <c r="O4728">
        <v>4</v>
      </c>
      <c r="P4728">
        <v>2</v>
      </c>
      <c r="Q4728">
        <v>0</v>
      </c>
      <c r="R4728" t="s">
        <v>5281</v>
      </c>
      <c r="S4728" t="s">
        <v>4898</v>
      </c>
      <c r="T4728" t="s">
        <v>2704</v>
      </c>
      <c r="U4728" t="s">
        <v>4560</v>
      </c>
      <c r="V4728" s="2">
        <v>660</v>
      </c>
      <c r="W4728" t="s">
        <v>4655</v>
      </c>
      <c r="X4728" s="2">
        <v>0</v>
      </c>
      <c r="Y4728">
        <v>20</v>
      </c>
      <c r="Z4728" t="s">
        <v>5107</v>
      </c>
      <c r="AA4728" s="3">
        <v>0.16388888657093001</v>
      </c>
      <c r="AB4728" t="s">
        <v>24724</v>
      </c>
      <c r="AC4728" t="s">
        <v>4575</v>
      </c>
      <c r="AD4728" t="s">
        <v>24725</v>
      </c>
      <c r="AE4728" t="s">
        <v>24726</v>
      </c>
      <c r="AF4728" t="s">
        <v>4563</v>
      </c>
      <c r="AG4728" t="s">
        <v>4564</v>
      </c>
      <c r="AH4728">
        <v>89511</v>
      </c>
      <c r="AI4728" t="s">
        <v>24727</v>
      </c>
      <c r="AJ4728" t="s">
        <v>1906</v>
      </c>
      <c r="AK4728" t="s">
        <v>24728</v>
      </c>
      <c r="AL4728" s="13" t="s">
        <v>3430</v>
      </c>
      <c r="AM4728" s="14">
        <v>1</v>
      </c>
      <c r="AN4728" s="15" t="s">
        <v>3879</v>
      </c>
    </row>
    <row r="4729" spans="1:40" x14ac:dyDescent="0.3">
      <c r="A4729" s="10" t="str">
        <f>HYPERLINK("http://www.washoecounty.gov/assessor/cama/?parid=140-791-08&amp;CardNumber=1","140-791-08")</f>
        <v>140-791-08</v>
      </c>
      <c r="B4729" t="s">
        <v>4655</v>
      </c>
      <c r="C4729" t="s">
        <v>24729</v>
      </c>
      <c r="D4729" s="1">
        <v>40540</v>
      </c>
      <c r="E4729" s="2">
        <v>220000</v>
      </c>
      <c r="F4729" t="s">
        <v>4553</v>
      </c>
      <c r="G4729" s="17" t="str">
        <f>HYPERLINK("https://www.washoecounty.gov/assessor/cama/?command=sales&amp;parid=14079108","3958044")</f>
        <v>3958044</v>
      </c>
      <c r="H4729" t="s">
        <v>1905</v>
      </c>
      <c r="I4729">
        <v>2006</v>
      </c>
      <c r="J4729">
        <v>2006</v>
      </c>
      <c r="K4729" t="s">
        <v>4554</v>
      </c>
      <c r="L4729" t="s">
        <v>3974</v>
      </c>
      <c r="M4729" s="2">
        <v>2333</v>
      </c>
      <c r="N4729" t="s">
        <v>3147</v>
      </c>
      <c r="O4729">
        <v>4</v>
      </c>
      <c r="P4729">
        <v>2</v>
      </c>
      <c r="Q4729">
        <v>1</v>
      </c>
      <c r="R4729" t="s">
        <v>5281</v>
      </c>
      <c r="S4729" t="s">
        <v>4898</v>
      </c>
      <c r="T4729" t="s">
        <v>2704</v>
      </c>
      <c r="U4729" t="s">
        <v>4560</v>
      </c>
      <c r="V4729" s="2">
        <v>537</v>
      </c>
      <c r="W4729" t="s">
        <v>4655</v>
      </c>
      <c r="X4729" s="2">
        <v>0</v>
      </c>
      <c r="Y4729">
        <v>20</v>
      </c>
      <c r="Z4729" t="s">
        <v>5107</v>
      </c>
      <c r="AA4729" s="3">
        <v>0.137741044163704</v>
      </c>
      <c r="AB4729" t="s">
        <v>24730</v>
      </c>
      <c r="AC4729" t="s">
        <v>4562</v>
      </c>
      <c r="AD4729" t="s">
        <v>24731</v>
      </c>
      <c r="AE4729" t="s">
        <v>4655</v>
      </c>
      <c r="AF4729" t="s">
        <v>4563</v>
      </c>
      <c r="AG4729" t="s">
        <v>4564</v>
      </c>
      <c r="AH4729" t="s">
        <v>5197</v>
      </c>
      <c r="AI4729" t="s">
        <v>4903</v>
      </c>
      <c r="AJ4729" t="s">
        <v>1907</v>
      </c>
      <c r="AK4729" t="s">
        <v>24732</v>
      </c>
      <c r="AL4729" s="13" t="s">
        <v>3430</v>
      </c>
      <c r="AM4729" s="14">
        <v>1</v>
      </c>
      <c r="AN4729" s="15" t="s">
        <v>3879</v>
      </c>
    </row>
    <row r="4730" spans="1:40" x14ac:dyDescent="0.3">
      <c r="A4730" s="10" t="str">
        <f>HYPERLINK("http://www.washoecounty.gov/assessor/cama/?parid=140-791-23&amp;CardNumber=1","140-791-23")</f>
        <v>140-791-23</v>
      </c>
      <c r="B4730" t="s">
        <v>4655</v>
      </c>
      <c r="C4730" t="s">
        <v>24733</v>
      </c>
      <c r="D4730" s="1">
        <v>40312</v>
      </c>
      <c r="E4730" s="2">
        <v>241000</v>
      </c>
      <c r="F4730" t="s">
        <v>4567</v>
      </c>
      <c r="G4730" s="17" t="str">
        <f>HYPERLINK("https://www.washoecounty.gov/assessor/cama/?command=sales&amp;parid=14079123","3881705")</f>
        <v>3881705</v>
      </c>
      <c r="H4730" t="s">
        <v>1905</v>
      </c>
      <c r="I4730">
        <v>2006</v>
      </c>
      <c r="J4730">
        <v>2006</v>
      </c>
      <c r="K4730" t="s">
        <v>4554</v>
      </c>
      <c r="L4730" t="s">
        <v>4555</v>
      </c>
      <c r="M4730" s="2">
        <v>1800</v>
      </c>
      <c r="N4730" t="s">
        <v>3147</v>
      </c>
      <c r="O4730">
        <v>3</v>
      </c>
      <c r="P4730">
        <v>2</v>
      </c>
      <c r="Q4730">
        <v>0</v>
      </c>
      <c r="R4730" t="s">
        <v>5281</v>
      </c>
      <c r="S4730" t="s">
        <v>4898</v>
      </c>
      <c r="T4730" t="s">
        <v>2704</v>
      </c>
      <c r="U4730" t="s">
        <v>4560</v>
      </c>
      <c r="V4730" s="2">
        <v>420</v>
      </c>
      <c r="W4730" t="s">
        <v>4655</v>
      </c>
      <c r="X4730" s="2">
        <v>0</v>
      </c>
      <c r="Y4730">
        <v>20</v>
      </c>
      <c r="Z4730" t="s">
        <v>5107</v>
      </c>
      <c r="AA4730" s="3">
        <v>0.137764006853104</v>
      </c>
      <c r="AB4730" t="s">
        <v>24734</v>
      </c>
      <c r="AC4730" t="s">
        <v>4562</v>
      </c>
      <c r="AD4730" t="s">
        <v>24733</v>
      </c>
      <c r="AE4730" t="s">
        <v>4655</v>
      </c>
      <c r="AF4730" t="s">
        <v>4563</v>
      </c>
      <c r="AG4730" t="s">
        <v>4564</v>
      </c>
      <c r="AH4730" t="s">
        <v>5197</v>
      </c>
      <c r="AI4730" t="s">
        <v>24735</v>
      </c>
      <c r="AJ4730" t="s">
        <v>1907</v>
      </c>
      <c r="AK4730" t="s">
        <v>24736</v>
      </c>
      <c r="AL4730" s="13" t="s">
        <v>3430</v>
      </c>
      <c r="AM4730">
        <v>1</v>
      </c>
      <c r="AN4730" s="15" t="s">
        <v>3879</v>
      </c>
    </row>
    <row r="4731" spans="1:40" x14ac:dyDescent="0.3">
      <c r="A4731" s="10" t="str">
        <f>HYPERLINK("http://www.washoecounty.gov/assessor/cama/?parid=140-791-36&amp;CardNumber=1","140-791-36")</f>
        <v>140-791-36</v>
      </c>
      <c r="B4731" t="s">
        <v>4655</v>
      </c>
      <c r="C4731" t="s">
        <v>24737</v>
      </c>
      <c r="D4731" s="1">
        <v>40399</v>
      </c>
      <c r="E4731" s="2">
        <v>205000</v>
      </c>
      <c r="F4731" t="s">
        <v>4567</v>
      </c>
      <c r="G4731" s="17" t="str">
        <f>HYPERLINK("https://www.washoecounty.gov/assessor/cama/?command=sales&amp;parid=14079136","3909984")</f>
        <v>3909984</v>
      </c>
      <c r="H4731" t="s">
        <v>1905</v>
      </c>
      <c r="I4731">
        <v>2007</v>
      </c>
      <c r="J4731">
        <v>2007</v>
      </c>
      <c r="K4731" t="s">
        <v>4554</v>
      </c>
      <c r="L4731" t="s">
        <v>4555</v>
      </c>
      <c r="M4731" s="2">
        <v>1800</v>
      </c>
      <c r="N4731" t="s">
        <v>3147</v>
      </c>
      <c r="O4731">
        <v>3</v>
      </c>
      <c r="P4731">
        <v>2</v>
      </c>
      <c r="Q4731">
        <v>0</v>
      </c>
      <c r="R4731" t="s">
        <v>5281</v>
      </c>
      <c r="S4731" t="s">
        <v>4898</v>
      </c>
      <c r="T4731" t="s">
        <v>2704</v>
      </c>
      <c r="U4731" t="s">
        <v>4560</v>
      </c>
      <c r="V4731" s="2">
        <v>420</v>
      </c>
      <c r="W4731" t="s">
        <v>4655</v>
      </c>
      <c r="X4731" s="2">
        <v>0</v>
      </c>
      <c r="Y4731">
        <v>20</v>
      </c>
      <c r="Z4731" t="s">
        <v>5107</v>
      </c>
      <c r="AA4731" s="3">
        <v>0.13808539509773299</v>
      </c>
      <c r="AB4731" t="s">
        <v>24738</v>
      </c>
      <c r="AC4731" t="s">
        <v>4562</v>
      </c>
      <c r="AD4731" t="s">
        <v>24737</v>
      </c>
      <c r="AE4731" t="s">
        <v>4655</v>
      </c>
      <c r="AF4731" t="s">
        <v>4563</v>
      </c>
      <c r="AG4731" t="s">
        <v>4564</v>
      </c>
      <c r="AH4731" t="s">
        <v>5197</v>
      </c>
      <c r="AI4731" t="s">
        <v>24739</v>
      </c>
      <c r="AJ4731" t="s">
        <v>1907</v>
      </c>
      <c r="AK4731" t="s">
        <v>24740</v>
      </c>
      <c r="AL4731" s="13" t="s">
        <v>3430</v>
      </c>
      <c r="AM4731">
        <v>1</v>
      </c>
      <c r="AN4731" s="15" t="s">
        <v>3879</v>
      </c>
    </row>
    <row r="4732" spans="1:40" x14ac:dyDescent="0.3">
      <c r="A4732" s="10" t="str">
        <f>HYPERLINK("http://www.washoecounty.gov/assessor/cama/?parid=140-791-49&amp;CardNumber=1","140-791-49")</f>
        <v>140-791-49</v>
      </c>
      <c r="B4732" t="s">
        <v>4655</v>
      </c>
      <c r="C4732" t="s">
        <v>24741</v>
      </c>
      <c r="D4732" s="1">
        <v>40252</v>
      </c>
      <c r="E4732" s="2">
        <v>227700</v>
      </c>
      <c r="F4732" t="s">
        <v>4567</v>
      </c>
      <c r="G4732" s="17" t="str">
        <f>HYPERLINK("https://www.washoecounty.gov/assessor/cama/?command=sales&amp;parid=14079149","3859743")</f>
        <v>3859743</v>
      </c>
      <c r="H4732" t="s">
        <v>1905</v>
      </c>
      <c r="I4732">
        <v>2007</v>
      </c>
      <c r="J4732">
        <v>2007</v>
      </c>
      <c r="K4732" t="s">
        <v>4554</v>
      </c>
      <c r="L4732" t="s">
        <v>4555</v>
      </c>
      <c r="M4732" s="2">
        <v>1800</v>
      </c>
      <c r="N4732" t="s">
        <v>3147</v>
      </c>
      <c r="O4732">
        <v>3</v>
      </c>
      <c r="P4732">
        <v>2</v>
      </c>
      <c r="Q4732">
        <v>0</v>
      </c>
      <c r="R4732" t="s">
        <v>5281</v>
      </c>
      <c r="S4732" t="s">
        <v>4898</v>
      </c>
      <c r="T4732" t="s">
        <v>2704</v>
      </c>
      <c r="U4732" t="s">
        <v>4560</v>
      </c>
      <c r="V4732" s="2">
        <v>420</v>
      </c>
      <c r="W4732" t="s">
        <v>4655</v>
      </c>
      <c r="X4732" s="2">
        <v>0</v>
      </c>
      <c r="Y4732">
        <v>20</v>
      </c>
      <c r="Z4732" t="s">
        <v>5107</v>
      </c>
      <c r="AA4732" s="3">
        <v>0.137741044163704</v>
      </c>
      <c r="AB4732" t="s">
        <v>24742</v>
      </c>
      <c r="AC4732" t="s">
        <v>4562</v>
      </c>
      <c r="AD4732" t="s">
        <v>24741</v>
      </c>
      <c r="AE4732" t="s">
        <v>4655</v>
      </c>
      <c r="AF4732" t="s">
        <v>4563</v>
      </c>
      <c r="AG4732" t="s">
        <v>4564</v>
      </c>
      <c r="AH4732" t="s">
        <v>5197</v>
      </c>
      <c r="AI4732" t="s">
        <v>24743</v>
      </c>
      <c r="AJ4732" t="s">
        <v>1907</v>
      </c>
      <c r="AK4732" t="s">
        <v>24744</v>
      </c>
      <c r="AL4732" s="13" t="s">
        <v>3430</v>
      </c>
      <c r="AM4732">
        <v>1</v>
      </c>
      <c r="AN4732" s="15" t="s">
        <v>3879</v>
      </c>
    </row>
    <row r="4733" spans="1:40" x14ac:dyDescent="0.3">
      <c r="A4733" s="10" t="str">
        <f>HYPERLINK("http://www.washoecounty.gov/assessor/cama/?parid=140-791-51&amp;CardNumber=1","140-791-51")</f>
        <v>140-791-51</v>
      </c>
      <c r="B4733" t="s">
        <v>4655</v>
      </c>
      <c r="C4733" t="s">
        <v>24745</v>
      </c>
      <c r="D4733" s="1">
        <v>40253</v>
      </c>
      <c r="E4733" s="2">
        <v>290000</v>
      </c>
      <c r="F4733" t="s">
        <v>4553</v>
      </c>
      <c r="G4733" s="17" t="str">
        <f>HYPERLINK("https://www.washoecounty.gov/assessor/cama/?command=sales&amp;parid=14079151","3860417")</f>
        <v>3860417</v>
      </c>
      <c r="H4733" t="s">
        <v>1905</v>
      </c>
      <c r="I4733">
        <v>2007</v>
      </c>
      <c r="J4733">
        <v>2007</v>
      </c>
      <c r="K4733" t="s">
        <v>4554</v>
      </c>
      <c r="L4733" t="s">
        <v>3974</v>
      </c>
      <c r="M4733" s="2">
        <v>2695</v>
      </c>
      <c r="N4733" t="s">
        <v>3147</v>
      </c>
      <c r="O4733">
        <v>4</v>
      </c>
      <c r="P4733">
        <v>2</v>
      </c>
      <c r="Q4733">
        <v>1</v>
      </c>
      <c r="R4733" t="s">
        <v>5281</v>
      </c>
      <c r="S4733" t="s">
        <v>4898</v>
      </c>
      <c r="T4733" t="s">
        <v>2704</v>
      </c>
      <c r="U4733" t="s">
        <v>5631</v>
      </c>
      <c r="V4733" s="2">
        <v>751</v>
      </c>
      <c r="W4733" t="s">
        <v>4655</v>
      </c>
      <c r="X4733" s="2">
        <v>0</v>
      </c>
      <c r="Y4733">
        <v>20</v>
      </c>
      <c r="Z4733" t="s">
        <v>5107</v>
      </c>
      <c r="AA4733" s="3">
        <v>0.137718096375465</v>
      </c>
      <c r="AB4733" t="s">
        <v>24746</v>
      </c>
      <c r="AC4733" t="s">
        <v>4562</v>
      </c>
      <c r="AD4733" t="s">
        <v>24745</v>
      </c>
      <c r="AE4733" t="s">
        <v>4655</v>
      </c>
      <c r="AF4733" t="s">
        <v>4563</v>
      </c>
      <c r="AG4733" t="s">
        <v>4564</v>
      </c>
      <c r="AH4733" t="s">
        <v>5197</v>
      </c>
      <c r="AI4733" t="s">
        <v>4903</v>
      </c>
      <c r="AJ4733" t="s">
        <v>1907</v>
      </c>
      <c r="AK4733" t="s">
        <v>24747</v>
      </c>
      <c r="AL4733" s="13" t="s">
        <v>3430</v>
      </c>
      <c r="AM4733">
        <v>1</v>
      </c>
      <c r="AN4733" s="15" t="s">
        <v>3879</v>
      </c>
    </row>
    <row r="4734" spans="1:40" x14ac:dyDescent="0.3">
      <c r="A4734" s="10" t="str">
        <f>HYPERLINK("http://www.washoecounty.gov/assessor/cama/?parid=140-791-57&amp;CardNumber=1","140-791-57")</f>
        <v>140-791-57</v>
      </c>
      <c r="B4734" t="s">
        <v>4655</v>
      </c>
      <c r="C4734" t="s">
        <v>24748</v>
      </c>
      <c r="D4734" s="1">
        <v>40494</v>
      </c>
      <c r="E4734" s="2">
        <v>228000</v>
      </c>
      <c r="F4734" t="s">
        <v>4567</v>
      </c>
      <c r="G4734" s="17" t="str">
        <f>HYPERLINK("https://www.washoecounty.gov/assessor/cama/?command=sales&amp;parid=14079157","3942285")</f>
        <v>3942285</v>
      </c>
      <c r="H4734" t="s">
        <v>1905</v>
      </c>
      <c r="I4734">
        <v>2007</v>
      </c>
      <c r="J4734">
        <v>2007</v>
      </c>
      <c r="K4734" t="s">
        <v>4554</v>
      </c>
      <c r="L4734" t="s">
        <v>4555</v>
      </c>
      <c r="M4734" s="2">
        <v>1800</v>
      </c>
      <c r="N4734" t="s">
        <v>3147</v>
      </c>
      <c r="O4734">
        <v>3</v>
      </c>
      <c r="P4734">
        <v>2</v>
      </c>
      <c r="Q4734">
        <v>0</v>
      </c>
      <c r="R4734" t="s">
        <v>5281</v>
      </c>
      <c r="S4734" t="s">
        <v>4898</v>
      </c>
      <c r="T4734" t="s">
        <v>2704</v>
      </c>
      <c r="U4734" t="s">
        <v>4560</v>
      </c>
      <c r="V4734" s="2">
        <v>420</v>
      </c>
      <c r="W4734" t="s">
        <v>4655</v>
      </c>
      <c r="X4734" s="2">
        <v>0</v>
      </c>
      <c r="Y4734">
        <v>20</v>
      </c>
      <c r="Z4734" t="s">
        <v>5107</v>
      </c>
      <c r="AA4734" s="3">
        <v>0.137764006853104</v>
      </c>
      <c r="AB4734" t="s">
        <v>24749</v>
      </c>
      <c r="AC4734" t="s">
        <v>4562</v>
      </c>
      <c r="AD4734" t="s">
        <v>24748</v>
      </c>
      <c r="AE4734" t="s">
        <v>4655</v>
      </c>
      <c r="AF4734" t="s">
        <v>4563</v>
      </c>
      <c r="AG4734" t="s">
        <v>4564</v>
      </c>
      <c r="AH4734" t="s">
        <v>5197</v>
      </c>
      <c r="AI4734" t="s">
        <v>24750</v>
      </c>
      <c r="AJ4734" t="s">
        <v>1907</v>
      </c>
      <c r="AK4734" t="s">
        <v>24751</v>
      </c>
      <c r="AL4734" s="13" t="s">
        <v>3430</v>
      </c>
      <c r="AM4734" s="14">
        <v>1</v>
      </c>
      <c r="AN4734" s="15" t="s">
        <v>3879</v>
      </c>
    </row>
    <row r="4735" spans="1:40" x14ac:dyDescent="0.3">
      <c r="A4735" s="10" t="str">
        <f>HYPERLINK("http://www.washoecounty.gov/assessor/cama/?parid=140-811-08&amp;CardNumber=1","140-811-08")</f>
        <v>140-811-08</v>
      </c>
      <c r="B4735" t="s">
        <v>4655</v>
      </c>
      <c r="C4735" t="s">
        <v>24752</v>
      </c>
      <c r="D4735" s="1">
        <v>40476</v>
      </c>
      <c r="E4735" s="2">
        <v>194820</v>
      </c>
      <c r="F4735" t="s">
        <v>4567</v>
      </c>
      <c r="G4735" s="17" t="str">
        <f>HYPERLINK("https://www.washoecounty.gov/assessor/cama/?command=sales&amp;parid=14081108","3936299")</f>
        <v>3936299</v>
      </c>
      <c r="H4735" t="s">
        <v>3653</v>
      </c>
      <c r="I4735">
        <v>2010</v>
      </c>
      <c r="J4735">
        <v>2010</v>
      </c>
      <c r="K4735" t="s">
        <v>4554</v>
      </c>
      <c r="L4735" t="s">
        <v>4555</v>
      </c>
      <c r="M4735" s="2">
        <v>1528</v>
      </c>
      <c r="N4735" t="s">
        <v>5280</v>
      </c>
      <c r="O4735">
        <v>3</v>
      </c>
      <c r="P4735">
        <v>2</v>
      </c>
      <c r="Q4735">
        <v>0</v>
      </c>
      <c r="R4735" t="s">
        <v>5281</v>
      </c>
      <c r="S4735" t="s">
        <v>4898</v>
      </c>
      <c r="T4735" t="s">
        <v>2704</v>
      </c>
      <c r="U4735" t="s">
        <v>4560</v>
      </c>
      <c r="V4735" s="2">
        <v>594</v>
      </c>
      <c r="W4735" t="s">
        <v>4655</v>
      </c>
      <c r="X4735" s="2">
        <v>0</v>
      </c>
      <c r="Y4735">
        <v>20</v>
      </c>
      <c r="Z4735" t="s">
        <v>5107</v>
      </c>
      <c r="AA4735" s="3">
        <v>0.123186409473419</v>
      </c>
      <c r="AB4735" t="s">
        <v>24753</v>
      </c>
      <c r="AC4735" t="s">
        <v>4562</v>
      </c>
      <c r="AD4735" t="s">
        <v>24752</v>
      </c>
      <c r="AE4735" t="s">
        <v>4655</v>
      </c>
      <c r="AF4735" t="s">
        <v>4563</v>
      </c>
      <c r="AG4735" t="s">
        <v>4564</v>
      </c>
      <c r="AH4735" t="s">
        <v>5197</v>
      </c>
      <c r="AI4735" t="s">
        <v>1576</v>
      </c>
      <c r="AJ4735" t="s">
        <v>3656</v>
      </c>
      <c r="AK4735" t="s">
        <v>24754</v>
      </c>
      <c r="AL4735" s="13" t="s">
        <v>2257</v>
      </c>
      <c r="AM4735">
        <v>1</v>
      </c>
      <c r="AN4735" s="15" t="s">
        <v>5005</v>
      </c>
    </row>
    <row r="4736" spans="1:40" x14ac:dyDescent="0.3">
      <c r="A4736" s="10" t="str">
        <f>HYPERLINK("http://www.washoecounty.gov/assessor/cama/?parid=140-811-09&amp;CardNumber=1","140-811-09")</f>
        <v>140-811-09</v>
      </c>
      <c r="B4736" t="s">
        <v>4655</v>
      </c>
      <c r="C4736" t="s">
        <v>24755</v>
      </c>
      <c r="D4736" s="1">
        <v>40451</v>
      </c>
      <c r="E4736" s="2">
        <v>241050</v>
      </c>
      <c r="F4736" t="s">
        <v>4567</v>
      </c>
      <c r="G4736" s="17" t="str">
        <f>HYPERLINK("https://www.washoecounty.gov/assessor/cama/?command=sales&amp;parid=14081109","3928003")</f>
        <v>3928003</v>
      </c>
      <c r="H4736" t="s">
        <v>3653</v>
      </c>
      <c r="I4736">
        <v>2010</v>
      </c>
      <c r="J4736">
        <v>2010</v>
      </c>
      <c r="K4736" t="s">
        <v>4554</v>
      </c>
      <c r="L4736" t="s">
        <v>3974</v>
      </c>
      <c r="M4736" s="2">
        <v>2300</v>
      </c>
      <c r="N4736" t="s">
        <v>5280</v>
      </c>
      <c r="O4736">
        <v>4</v>
      </c>
      <c r="P4736">
        <v>2</v>
      </c>
      <c r="Q4736">
        <v>1</v>
      </c>
      <c r="R4736" t="s">
        <v>5281</v>
      </c>
      <c r="S4736" t="s">
        <v>4898</v>
      </c>
      <c r="T4736" t="s">
        <v>2704</v>
      </c>
      <c r="U4736" t="s">
        <v>5631</v>
      </c>
      <c r="V4736" s="2">
        <v>610</v>
      </c>
      <c r="W4736" t="s">
        <v>4655</v>
      </c>
      <c r="X4736" s="2">
        <v>0</v>
      </c>
      <c r="Y4736">
        <v>20</v>
      </c>
      <c r="Z4736" t="s">
        <v>5107</v>
      </c>
      <c r="AA4736" s="3">
        <v>0.123186409473419</v>
      </c>
      <c r="AB4736" t="s">
        <v>24756</v>
      </c>
      <c r="AC4736" t="s">
        <v>4562</v>
      </c>
      <c r="AD4736" t="s">
        <v>24757</v>
      </c>
      <c r="AE4736" t="s">
        <v>4655</v>
      </c>
      <c r="AF4736" t="s">
        <v>4563</v>
      </c>
      <c r="AG4736" t="s">
        <v>4564</v>
      </c>
      <c r="AH4736" t="s">
        <v>5197</v>
      </c>
      <c r="AI4736" t="s">
        <v>1576</v>
      </c>
      <c r="AJ4736" t="s">
        <v>3656</v>
      </c>
      <c r="AK4736" t="s">
        <v>24758</v>
      </c>
      <c r="AL4736" s="13" t="s">
        <v>2257</v>
      </c>
      <c r="AM4736">
        <v>1</v>
      </c>
      <c r="AN4736" s="15" t="s">
        <v>5005</v>
      </c>
    </row>
    <row r="4737" spans="1:40" x14ac:dyDescent="0.3">
      <c r="A4737" s="10" t="str">
        <f>HYPERLINK("http://www.washoecounty.gov/assessor/cama/?parid=140-811-10&amp;CardNumber=1","140-811-10")</f>
        <v>140-811-10</v>
      </c>
      <c r="B4737" t="s">
        <v>4655</v>
      </c>
      <c r="C4737" t="s">
        <v>24759</v>
      </c>
      <c r="D4737" s="1">
        <v>40451</v>
      </c>
      <c r="E4737" s="2">
        <v>221450</v>
      </c>
      <c r="F4737" t="s">
        <v>4567</v>
      </c>
      <c r="G4737" s="17" t="str">
        <f>HYPERLINK("https://www.washoecounty.gov/assessor/cama/?command=sales&amp;parid=14081110","3928173")</f>
        <v>3928173</v>
      </c>
      <c r="H4737" t="s">
        <v>3653</v>
      </c>
      <c r="I4737">
        <v>2010</v>
      </c>
      <c r="J4737">
        <v>2010</v>
      </c>
      <c r="K4737" t="s">
        <v>4554</v>
      </c>
      <c r="L4737" t="s">
        <v>3974</v>
      </c>
      <c r="M4737" s="2">
        <v>2076</v>
      </c>
      <c r="N4737" t="s">
        <v>5280</v>
      </c>
      <c r="O4737">
        <v>3</v>
      </c>
      <c r="P4737">
        <v>2</v>
      </c>
      <c r="Q4737">
        <v>1</v>
      </c>
      <c r="R4737" t="s">
        <v>5281</v>
      </c>
      <c r="S4737" t="s">
        <v>4898</v>
      </c>
      <c r="T4737" t="s">
        <v>2704</v>
      </c>
      <c r="U4737" t="s">
        <v>4560</v>
      </c>
      <c r="V4737" s="2">
        <v>660</v>
      </c>
      <c r="W4737" t="s">
        <v>4655</v>
      </c>
      <c r="X4737" s="2">
        <v>0</v>
      </c>
      <c r="Y4737">
        <v>20</v>
      </c>
      <c r="Z4737" t="s">
        <v>5107</v>
      </c>
      <c r="AA4737" s="3">
        <v>0.123186409473419</v>
      </c>
      <c r="AB4737" t="s">
        <v>24760</v>
      </c>
      <c r="AC4737" t="s">
        <v>4575</v>
      </c>
      <c r="AD4737" t="s">
        <v>24761</v>
      </c>
      <c r="AE4737" t="s">
        <v>4655</v>
      </c>
      <c r="AF4737" t="s">
        <v>4563</v>
      </c>
      <c r="AG4737" t="s">
        <v>4564</v>
      </c>
      <c r="AH4737" t="s">
        <v>5197</v>
      </c>
      <c r="AI4737" t="s">
        <v>1576</v>
      </c>
      <c r="AJ4737" t="s">
        <v>3656</v>
      </c>
      <c r="AK4737" t="s">
        <v>24762</v>
      </c>
      <c r="AL4737" s="13" t="s">
        <v>2257</v>
      </c>
      <c r="AM4737" s="14">
        <v>1</v>
      </c>
      <c r="AN4737" s="15" t="s">
        <v>5005</v>
      </c>
    </row>
    <row r="4738" spans="1:40" x14ac:dyDescent="0.3">
      <c r="A4738" s="10" t="str">
        <f>HYPERLINK("http://www.washoecounty.gov/assessor/cama/?parid=140-812-01&amp;CardNumber=1","140-812-01")</f>
        <v>140-812-01</v>
      </c>
      <c r="B4738" t="s">
        <v>4655</v>
      </c>
      <c r="C4738" t="s">
        <v>24763</v>
      </c>
      <c r="D4738" s="1">
        <v>40485</v>
      </c>
      <c r="E4738" s="2">
        <v>272000</v>
      </c>
      <c r="F4738" t="s">
        <v>4567</v>
      </c>
      <c r="G4738" s="17" t="str">
        <f>HYPERLINK("https://www.washoecounty.gov/assessor/cama/?command=sales&amp;parid=14081201","3939251")</f>
        <v>3939251</v>
      </c>
      <c r="H4738" t="s">
        <v>3653</v>
      </c>
      <c r="I4738">
        <v>2010</v>
      </c>
      <c r="J4738">
        <v>2010</v>
      </c>
      <c r="K4738" t="s">
        <v>4554</v>
      </c>
      <c r="L4738" t="s">
        <v>3974</v>
      </c>
      <c r="M4738" s="2">
        <v>2801</v>
      </c>
      <c r="N4738" t="s">
        <v>5280</v>
      </c>
      <c r="O4738">
        <v>5</v>
      </c>
      <c r="P4738">
        <v>3</v>
      </c>
      <c r="Q4738">
        <v>0</v>
      </c>
      <c r="R4738" t="s">
        <v>5281</v>
      </c>
      <c r="S4738" t="s">
        <v>4898</v>
      </c>
      <c r="T4738" t="s">
        <v>2704</v>
      </c>
      <c r="U4738" t="s">
        <v>4560</v>
      </c>
      <c r="V4738" s="2">
        <v>665</v>
      </c>
      <c r="W4738" t="s">
        <v>4655</v>
      </c>
      <c r="X4738" s="2">
        <v>0</v>
      </c>
      <c r="Y4738">
        <v>20</v>
      </c>
      <c r="Z4738" t="s">
        <v>5107</v>
      </c>
      <c r="AA4738" s="3">
        <v>0.124173551797867</v>
      </c>
      <c r="AB4738" t="s">
        <v>24764</v>
      </c>
      <c r="AC4738" t="s">
        <v>4562</v>
      </c>
      <c r="AD4738" t="s">
        <v>24763</v>
      </c>
      <c r="AE4738" t="s">
        <v>4655</v>
      </c>
      <c r="AF4738" t="s">
        <v>4563</v>
      </c>
      <c r="AG4738" t="s">
        <v>4564</v>
      </c>
      <c r="AH4738" t="s">
        <v>5197</v>
      </c>
      <c r="AI4738" t="s">
        <v>1576</v>
      </c>
      <c r="AJ4738" t="s">
        <v>3656</v>
      </c>
      <c r="AK4738" t="s">
        <v>24765</v>
      </c>
      <c r="AL4738" s="13" t="s">
        <v>2257</v>
      </c>
      <c r="AM4738" s="14">
        <v>1</v>
      </c>
      <c r="AN4738" s="15" t="s">
        <v>5005</v>
      </c>
    </row>
    <row r="4739" spans="1:40" x14ac:dyDescent="0.3">
      <c r="A4739" s="10" t="str">
        <f>HYPERLINK("http://www.washoecounty.gov/assessor/cama/?parid=140-812-05&amp;CardNumber=1","140-812-05")</f>
        <v>140-812-05</v>
      </c>
      <c r="B4739" t="s">
        <v>4655</v>
      </c>
      <c r="C4739" t="s">
        <v>24766</v>
      </c>
      <c r="D4739" s="1">
        <v>40431</v>
      </c>
      <c r="E4739" s="2">
        <v>183000</v>
      </c>
      <c r="F4739" t="s">
        <v>4553</v>
      </c>
      <c r="G4739" s="17" t="str">
        <f>HYPERLINK("https://www.washoecounty.gov/assessor/cama/?command=sales&amp;parid=14081205","3920911")</f>
        <v>3920911</v>
      </c>
      <c r="H4739" t="s">
        <v>3653</v>
      </c>
      <c r="I4739">
        <v>2006</v>
      </c>
      <c r="J4739">
        <v>2006</v>
      </c>
      <c r="K4739" t="s">
        <v>4554</v>
      </c>
      <c r="L4739" t="s">
        <v>3974</v>
      </c>
      <c r="M4739" s="2">
        <v>1794</v>
      </c>
      <c r="N4739" t="s">
        <v>5280</v>
      </c>
      <c r="O4739">
        <v>4</v>
      </c>
      <c r="P4739">
        <v>2</v>
      </c>
      <c r="Q4739">
        <v>1</v>
      </c>
      <c r="R4739" t="s">
        <v>4557</v>
      </c>
      <c r="S4739" t="s">
        <v>4558</v>
      </c>
      <c r="T4739" t="s">
        <v>4559</v>
      </c>
      <c r="U4739" t="s">
        <v>4560</v>
      </c>
      <c r="V4739" s="2">
        <v>480</v>
      </c>
      <c r="W4739" t="s">
        <v>4655</v>
      </c>
      <c r="X4739" s="2">
        <v>0</v>
      </c>
      <c r="Y4739">
        <v>20</v>
      </c>
      <c r="Z4739" t="s">
        <v>5107</v>
      </c>
      <c r="AA4739" s="3">
        <v>0.123048670589924</v>
      </c>
      <c r="AB4739" t="s">
        <v>24767</v>
      </c>
      <c r="AC4739" t="s">
        <v>4562</v>
      </c>
      <c r="AD4739" t="s">
        <v>24768</v>
      </c>
      <c r="AE4739" t="s">
        <v>4655</v>
      </c>
      <c r="AF4739" t="s">
        <v>1670</v>
      </c>
      <c r="AG4739" t="s">
        <v>4209</v>
      </c>
      <c r="AH4739">
        <v>80205</v>
      </c>
      <c r="AI4739" t="s">
        <v>4903</v>
      </c>
      <c r="AJ4739" t="s">
        <v>3656</v>
      </c>
      <c r="AK4739" t="s">
        <v>24769</v>
      </c>
      <c r="AL4739" s="13" t="s">
        <v>2257</v>
      </c>
      <c r="AM4739">
        <v>1</v>
      </c>
      <c r="AN4739" s="15" t="s">
        <v>5005</v>
      </c>
    </row>
    <row r="4740" spans="1:40" x14ac:dyDescent="0.3">
      <c r="A4740" s="10" t="str">
        <f>HYPERLINK("http://www.washoecounty.gov/assessor/cama/?parid=140-812-11&amp;CardNumber=1","140-812-11")</f>
        <v>140-812-11</v>
      </c>
      <c r="B4740" t="s">
        <v>4655</v>
      </c>
      <c r="C4740" t="s">
        <v>24770</v>
      </c>
      <c r="D4740" s="1">
        <v>40343</v>
      </c>
      <c r="E4740" s="2">
        <v>179730</v>
      </c>
      <c r="F4740" t="s">
        <v>4567</v>
      </c>
      <c r="G4740" s="17" t="str">
        <f>HYPERLINK("https://www.washoecounty.gov/assessor/cama/?command=sales&amp;parid=14081211","3891248")</f>
        <v>3891248</v>
      </c>
      <c r="H4740" t="s">
        <v>3653</v>
      </c>
      <c r="I4740">
        <v>2008</v>
      </c>
      <c r="J4740">
        <v>2010</v>
      </c>
      <c r="K4740" t="s">
        <v>4554</v>
      </c>
      <c r="L4740" t="s">
        <v>4555</v>
      </c>
      <c r="M4740" s="2">
        <v>1345</v>
      </c>
      <c r="N4740" t="s">
        <v>5280</v>
      </c>
      <c r="O4740">
        <v>3</v>
      </c>
      <c r="P4740">
        <v>2</v>
      </c>
      <c r="Q4740">
        <v>0</v>
      </c>
      <c r="R4740" t="s">
        <v>5281</v>
      </c>
      <c r="S4740" t="s">
        <v>4558</v>
      </c>
      <c r="T4740" t="s">
        <v>4559</v>
      </c>
      <c r="U4740" t="s">
        <v>4560</v>
      </c>
      <c r="V4740" s="2">
        <v>435</v>
      </c>
      <c r="W4740" t="s">
        <v>4655</v>
      </c>
      <c r="X4740" s="2">
        <v>0</v>
      </c>
      <c r="Y4740">
        <v>20</v>
      </c>
      <c r="Z4740" t="s">
        <v>5107</v>
      </c>
      <c r="AA4740" s="3">
        <v>0.12532140314578999</v>
      </c>
      <c r="AB4740" t="s">
        <v>24771</v>
      </c>
      <c r="AC4740" t="s">
        <v>4562</v>
      </c>
      <c r="AD4740" t="s">
        <v>24772</v>
      </c>
      <c r="AE4740" t="s">
        <v>4655</v>
      </c>
      <c r="AF4740" t="s">
        <v>4563</v>
      </c>
      <c r="AG4740" t="s">
        <v>4564</v>
      </c>
      <c r="AH4740">
        <v>89511</v>
      </c>
      <c r="AI4740" t="s">
        <v>24773</v>
      </c>
      <c r="AJ4740" t="s">
        <v>3656</v>
      </c>
      <c r="AK4740" t="s">
        <v>24774</v>
      </c>
      <c r="AL4740" s="13" t="s">
        <v>2257</v>
      </c>
      <c r="AM4740">
        <v>1</v>
      </c>
      <c r="AN4740" s="15" t="s">
        <v>5005</v>
      </c>
    </row>
    <row r="4741" spans="1:40" x14ac:dyDescent="0.3">
      <c r="A4741" s="10" t="str">
        <f>HYPERLINK("http://www.washoecounty.gov/assessor/cama/?parid=140-813-04&amp;CardNumber=1","140-813-04")</f>
        <v>140-813-04</v>
      </c>
      <c r="B4741" t="s">
        <v>4655</v>
      </c>
      <c r="C4741" t="s">
        <v>24775</v>
      </c>
      <c r="D4741" s="1">
        <v>40479</v>
      </c>
      <c r="E4741" s="2">
        <v>232570</v>
      </c>
      <c r="F4741" t="s">
        <v>4567</v>
      </c>
      <c r="G4741" s="17" t="str">
        <f>HYPERLINK("https://www.washoecounty.gov/assessor/cama/?command=sales&amp;parid=14081304","3937984")</f>
        <v>3937984</v>
      </c>
      <c r="H4741" t="s">
        <v>3653</v>
      </c>
      <c r="I4741">
        <v>2010</v>
      </c>
      <c r="J4741">
        <v>2010</v>
      </c>
      <c r="K4741" t="s">
        <v>4554</v>
      </c>
      <c r="L4741" t="s">
        <v>3974</v>
      </c>
      <c r="M4741" s="2">
        <v>2076</v>
      </c>
      <c r="N4741" t="s">
        <v>5280</v>
      </c>
      <c r="O4741">
        <v>3</v>
      </c>
      <c r="P4741">
        <v>2</v>
      </c>
      <c r="Q4741">
        <v>1</v>
      </c>
      <c r="R4741" t="s">
        <v>5281</v>
      </c>
      <c r="S4741" t="s">
        <v>4898</v>
      </c>
      <c r="T4741" t="s">
        <v>2704</v>
      </c>
      <c r="U4741" t="s">
        <v>4560</v>
      </c>
      <c r="V4741" s="2">
        <v>660</v>
      </c>
      <c r="W4741" t="s">
        <v>4655</v>
      </c>
      <c r="X4741" s="2">
        <v>0</v>
      </c>
      <c r="Y4741">
        <v>20</v>
      </c>
      <c r="Z4741" t="s">
        <v>5107</v>
      </c>
      <c r="AA4741" s="3">
        <v>0.14313590526580799</v>
      </c>
      <c r="AB4741" t="s">
        <v>24776</v>
      </c>
      <c r="AC4741" t="s">
        <v>4575</v>
      </c>
      <c r="AD4741" t="s">
        <v>24777</v>
      </c>
      <c r="AE4741" t="s">
        <v>4655</v>
      </c>
      <c r="AF4741" t="s">
        <v>4563</v>
      </c>
      <c r="AG4741" t="s">
        <v>4564</v>
      </c>
      <c r="AH4741" t="s">
        <v>5197</v>
      </c>
      <c r="AI4741" t="s">
        <v>1576</v>
      </c>
      <c r="AJ4741" t="s">
        <v>3656</v>
      </c>
      <c r="AK4741" t="s">
        <v>24778</v>
      </c>
      <c r="AL4741" s="13" t="s">
        <v>2257</v>
      </c>
      <c r="AM4741">
        <v>1</v>
      </c>
      <c r="AN4741" s="15" t="s">
        <v>5005</v>
      </c>
    </row>
    <row r="4742" spans="1:40" x14ac:dyDescent="0.3">
      <c r="A4742" s="10" t="str">
        <f>HYPERLINK("http://www.washoecounty.gov/assessor/cama/?parid=140-814-01&amp;CardNumber=1","140-814-01")</f>
        <v>140-814-01</v>
      </c>
      <c r="B4742" t="s">
        <v>4655</v>
      </c>
      <c r="C4742" t="s">
        <v>24779</v>
      </c>
      <c r="D4742" s="1">
        <v>40205</v>
      </c>
      <c r="E4742" s="2">
        <v>198768</v>
      </c>
      <c r="F4742" t="s">
        <v>4567</v>
      </c>
      <c r="G4742" s="17" t="str">
        <f>HYPERLINK("https://www.washoecounty.gov/assessor/cama/?command=sales&amp;parid=14081401","3843246")</f>
        <v>3843246</v>
      </c>
      <c r="H4742" t="s">
        <v>3653</v>
      </c>
      <c r="I4742">
        <v>2007</v>
      </c>
      <c r="J4742">
        <v>2009</v>
      </c>
      <c r="K4742" t="s">
        <v>4554</v>
      </c>
      <c r="L4742" t="s">
        <v>4555</v>
      </c>
      <c r="M4742" s="2">
        <v>1345</v>
      </c>
      <c r="N4742" t="s">
        <v>5280</v>
      </c>
      <c r="O4742">
        <v>3</v>
      </c>
      <c r="P4742">
        <v>2</v>
      </c>
      <c r="Q4742">
        <v>0</v>
      </c>
      <c r="R4742" t="s">
        <v>4557</v>
      </c>
      <c r="S4742" t="s">
        <v>4558</v>
      </c>
      <c r="T4742" t="s">
        <v>4559</v>
      </c>
      <c r="U4742" t="s">
        <v>4560</v>
      </c>
      <c r="V4742" s="2">
        <v>435</v>
      </c>
      <c r="W4742" t="s">
        <v>4655</v>
      </c>
      <c r="X4742" s="2">
        <v>0</v>
      </c>
      <c r="Y4742">
        <v>20</v>
      </c>
      <c r="Z4742" t="s">
        <v>5107</v>
      </c>
      <c r="AA4742" s="3">
        <v>0.13301193714141801</v>
      </c>
      <c r="AB4742" t="s">
        <v>5208</v>
      </c>
      <c r="AC4742" t="s">
        <v>4562</v>
      </c>
      <c r="AD4742" t="s">
        <v>3654</v>
      </c>
      <c r="AE4742" t="s">
        <v>4655</v>
      </c>
      <c r="AF4742" t="s">
        <v>4563</v>
      </c>
      <c r="AG4742" t="s">
        <v>4564</v>
      </c>
      <c r="AH4742">
        <v>89511</v>
      </c>
      <c r="AI4742" t="s">
        <v>3655</v>
      </c>
      <c r="AJ4742" t="s">
        <v>3656</v>
      </c>
      <c r="AK4742" t="s">
        <v>24780</v>
      </c>
      <c r="AL4742" s="13" t="s">
        <v>2257</v>
      </c>
      <c r="AM4742">
        <v>1</v>
      </c>
      <c r="AN4742" s="15" t="s">
        <v>5005</v>
      </c>
    </row>
    <row r="4743" spans="1:40" x14ac:dyDescent="0.3">
      <c r="A4743" s="10" t="str">
        <f>HYPERLINK("http://www.washoecounty.gov/assessor/cama/?parid=140-814-06&amp;CardNumber=1","140-814-06")</f>
        <v>140-814-06</v>
      </c>
      <c r="B4743" t="s">
        <v>4655</v>
      </c>
      <c r="C4743" t="s">
        <v>24781</v>
      </c>
      <c r="D4743" s="1">
        <v>40478</v>
      </c>
      <c r="E4743" s="2">
        <v>245220</v>
      </c>
      <c r="F4743" t="s">
        <v>4567</v>
      </c>
      <c r="G4743" s="17" t="str">
        <f>HYPERLINK("https://www.washoecounty.gov/assessor/cama/?command=sales&amp;parid=14081406","3937276")</f>
        <v>3937276</v>
      </c>
      <c r="H4743" t="s">
        <v>3653</v>
      </c>
      <c r="I4743">
        <v>2010</v>
      </c>
      <c r="J4743">
        <v>2010</v>
      </c>
      <c r="K4743" t="s">
        <v>4554</v>
      </c>
      <c r="L4743" t="s">
        <v>3974</v>
      </c>
      <c r="M4743" s="2">
        <v>2300</v>
      </c>
      <c r="N4743" t="s">
        <v>5280</v>
      </c>
      <c r="O4743">
        <v>4</v>
      </c>
      <c r="P4743">
        <v>2</v>
      </c>
      <c r="Q4743">
        <v>1</v>
      </c>
      <c r="R4743" t="s">
        <v>5281</v>
      </c>
      <c r="S4743" t="s">
        <v>4898</v>
      </c>
      <c r="T4743" t="s">
        <v>2704</v>
      </c>
      <c r="U4743" t="s">
        <v>5631</v>
      </c>
      <c r="V4743" s="2">
        <v>610</v>
      </c>
      <c r="W4743" t="s">
        <v>4655</v>
      </c>
      <c r="X4743" s="2">
        <v>0</v>
      </c>
      <c r="Y4743">
        <v>20</v>
      </c>
      <c r="Z4743" t="s">
        <v>5107</v>
      </c>
      <c r="AA4743" s="3">
        <v>0.13480256497859999</v>
      </c>
      <c r="AB4743" t="s">
        <v>24782</v>
      </c>
      <c r="AC4743" t="s">
        <v>4562</v>
      </c>
      <c r="AD4743" t="s">
        <v>24783</v>
      </c>
      <c r="AE4743" t="s">
        <v>4655</v>
      </c>
      <c r="AF4743" t="s">
        <v>4563</v>
      </c>
      <c r="AG4743" t="s">
        <v>4564</v>
      </c>
      <c r="AH4743" t="s">
        <v>5197</v>
      </c>
      <c r="AI4743" t="s">
        <v>1576</v>
      </c>
      <c r="AJ4743" t="s">
        <v>3656</v>
      </c>
      <c r="AK4743" t="s">
        <v>24784</v>
      </c>
      <c r="AL4743" s="13" t="s">
        <v>2257</v>
      </c>
      <c r="AM4743">
        <v>1</v>
      </c>
      <c r="AN4743" s="15" t="s">
        <v>5005</v>
      </c>
    </row>
    <row r="4744" spans="1:40" x14ac:dyDescent="0.3">
      <c r="A4744" s="10" t="str">
        <f>HYPERLINK("http://www.washoecounty.gov/assessor/cama/?parid=140-815-15&amp;CardNumber=1","140-815-15")</f>
        <v>140-815-15</v>
      </c>
      <c r="B4744" t="s">
        <v>4655</v>
      </c>
      <c r="C4744" t="s">
        <v>24785</v>
      </c>
      <c r="D4744" s="1">
        <v>40347</v>
      </c>
      <c r="E4744" s="2">
        <v>192000</v>
      </c>
      <c r="F4744" t="s">
        <v>4553</v>
      </c>
      <c r="G4744" s="17" t="str">
        <f>HYPERLINK("https://www.washoecounty.gov/assessor/cama/?command=sales&amp;parid=14081515","3893481")</f>
        <v>3893481</v>
      </c>
      <c r="H4744" t="s">
        <v>3653</v>
      </c>
      <c r="I4744">
        <v>2006</v>
      </c>
      <c r="J4744">
        <v>2006</v>
      </c>
      <c r="K4744" t="s">
        <v>4554</v>
      </c>
      <c r="L4744" t="s">
        <v>3974</v>
      </c>
      <c r="M4744" s="2">
        <v>1794</v>
      </c>
      <c r="N4744" t="s">
        <v>5280</v>
      </c>
      <c r="O4744">
        <v>3</v>
      </c>
      <c r="P4744">
        <v>2</v>
      </c>
      <c r="Q4744">
        <v>1</v>
      </c>
      <c r="R4744" t="s">
        <v>4557</v>
      </c>
      <c r="S4744" t="s">
        <v>4558</v>
      </c>
      <c r="T4744" t="s">
        <v>4559</v>
      </c>
      <c r="U4744" t="s">
        <v>4560</v>
      </c>
      <c r="V4744" s="2">
        <v>480</v>
      </c>
      <c r="W4744" t="s">
        <v>4655</v>
      </c>
      <c r="X4744" s="2">
        <v>0</v>
      </c>
      <c r="Y4744">
        <v>20</v>
      </c>
      <c r="Z4744" t="s">
        <v>5107</v>
      </c>
      <c r="AA4744" s="3">
        <v>0.11485307663679099</v>
      </c>
      <c r="AB4744" t="s">
        <v>24786</v>
      </c>
      <c r="AC4744" t="s">
        <v>4562</v>
      </c>
      <c r="AD4744" t="s">
        <v>24787</v>
      </c>
      <c r="AE4744" t="s">
        <v>4655</v>
      </c>
      <c r="AF4744" t="s">
        <v>2180</v>
      </c>
      <c r="AG4744" t="s">
        <v>4584</v>
      </c>
      <c r="AH4744">
        <v>92109</v>
      </c>
      <c r="AI4744" t="s">
        <v>4655</v>
      </c>
      <c r="AJ4744" t="s">
        <v>3656</v>
      </c>
      <c r="AK4744" t="s">
        <v>24788</v>
      </c>
      <c r="AL4744" s="13" t="s">
        <v>2257</v>
      </c>
      <c r="AM4744">
        <v>1</v>
      </c>
      <c r="AN4744" s="15" t="s">
        <v>5005</v>
      </c>
    </row>
    <row r="4745" spans="1:40" x14ac:dyDescent="0.3">
      <c r="A4745" s="10" t="str">
        <f>HYPERLINK("http://www.washoecounty.gov/assessor/cama/?parid=140-853-05&amp;CardNumber=1","140-853-05")</f>
        <v>140-853-05</v>
      </c>
      <c r="B4745" t="s">
        <v>4655</v>
      </c>
      <c r="C4745" t="s">
        <v>24789</v>
      </c>
      <c r="D4745" s="1">
        <v>40408</v>
      </c>
      <c r="E4745" s="2">
        <v>656000</v>
      </c>
      <c r="F4745" t="s">
        <v>4567</v>
      </c>
      <c r="G4745" s="17" t="str">
        <f>HYPERLINK("https://www.washoecounty.gov/assessor/cama/?command=sales&amp;parid=14085305","3913331")</f>
        <v>3913331</v>
      </c>
      <c r="H4745" t="s">
        <v>5105</v>
      </c>
      <c r="I4745">
        <v>2007</v>
      </c>
      <c r="J4745">
        <v>2007</v>
      </c>
      <c r="K4745" t="s">
        <v>4554</v>
      </c>
      <c r="L4745" t="s">
        <v>3974</v>
      </c>
      <c r="M4745" s="2">
        <v>4686</v>
      </c>
      <c r="N4745" t="s">
        <v>5106</v>
      </c>
      <c r="O4745">
        <v>5</v>
      </c>
      <c r="P4745">
        <v>5</v>
      </c>
      <c r="Q4745">
        <v>1</v>
      </c>
      <c r="R4745" t="s">
        <v>5281</v>
      </c>
      <c r="S4745" t="s">
        <v>4898</v>
      </c>
      <c r="T4745" t="s">
        <v>2704</v>
      </c>
      <c r="U4745" t="s">
        <v>4560</v>
      </c>
      <c r="V4745" s="2">
        <v>474</v>
      </c>
      <c r="W4745" t="s">
        <v>4655</v>
      </c>
      <c r="X4745" s="2">
        <v>0</v>
      </c>
      <c r="Y4745">
        <v>20</v>
      </c>
      <c r="Z4745" t="s">
        <v>5107</v>
      </c>
      <c r="AA4745" s="3">
        <v>0.443388432264328</v>
      </c>
      <c r="AB4745" t="s">
        <v>24790</v>
      </c>
      <c r="AC4745" t="s">
        <v>4562</v>
      </c>
      <c r="AD4745" t="s">
        <v>24789</v>
      </c>
      <c r="AE4745" t="s">
        <v>4655</v>
      </c>
      <c r="AF4745" t="s">
        <v>4563</v>
      </c>
      <c r="AG4745" t="s">
        <v>4564</v>
      </c>
      <c r="AH4745" t="s">
        <v>5197</v>
      </c>
      <c r="AI4745" t="s">
        <v>3872</v>
      </c>
      <c r="AJ4745" t="s">
        <v>3873</v>
      </c>
      <c r="AK4745" t="s">
        <v>24791</v>
      </c>
      <c r="AL4745" s="13" t="s">
        <v>2257</v>
      </c>
      <c r="AM4745" s="14">
        <v>1</v>
      </c>
      <c r="AN4745" s="15" t="s">
        <v>3874</v>
      </c>
    </row>
    <row r="4746" spans="1:40" x14ac:dyDescent="0.3">
      <c r="A4746" s="10" t="str">
        <f>HYPERLINK("http://www.washoecounty.gov/assessor/cama/?parid=140-853-06&amp;CardNumber=1","140-853-06")</f>
        <v>140-853-06</v>
      </c>
      <c r="B4746" t="s">
        <v>4655</v>
      </c>
      <c r="C4746" t="s">
        <v>24792</v>
      </c>
      <c r="D4746" s="1">
        <v>40183</v>
      </c>
      <c r="E4746" s="2">
        <v>610000</v>
      </c>
      <c r="F4746" t="s">
        <v>4567</v>
      </c>
      <c r="G4746" s="17" t="str">
        <f>HYPERLINK("https://www.washoecounty.gov/assessor/cama/?command=sales&amp;parid=14085306","3836430")</f>
        <v>3836430</v>
      </c>
      <c r="H4746" t="s">
        <v>5105</v>
      </c>
      <c r="I4746">
        <v>2007</v>
      </c>
      <c r="J4746">
        <v>2007</v>
      </c>
      <c r="K4746" t="s">
        <v>4554</v>
      </c>
      <c r="L4746" t="s">
        <v>3974</v>
      </c>
      <c r="M4746" s="2">
        <v>4149</v>
      </c>
      <c r="N4746" t="s">
        <v>5106</v>
      </c>
      <c r="O4746">
        <v>4</v>
      </c>
      <c r="P4746">
        <v>3</v>
      </c>
      <c r="Q4746">
        <v>1</v>
      </c>
      <c r="R4746" t="s">
        <v>5281</v>
      </c>
      <c r="S4746" t="s">
        <v>4898</v>
      </c>
      <c r="T4746" t="s">
        <v>2704</v>
      </c>
      <c r="U4746" t="s">
        <v>5631</v>
      </c>
      <c r="V4746" s="2">
        <v>798</v>
      </c>
      <c r="W4746" t="s">
        <v>4655</v>
      </c>
      <c r="X4746" s="2">
        <v>0</v>
      </c>
      <c r="Y4746">
        <v>20</v>
      </c>
      <c r="Z4746" t="s">
        <v>5107</v>
      </c>
      <c r="AA4746" s="3">
        <v>0.36370524764061002</v>
      </c>
      <c r="AB4746" t="s">
        <v>24793</v>
      </c>
      <c r="AC4746" t="s">
        <v>4562</v>
      </c>
      <c r="AD4746" t="s">
        <v>24794</v>
      </c>
      <c r="AE4746" t="s">
        <v>4655</v>
      </c>
      <c r="AF4746" t="s">
        <v>4563</v>
      </c>
      <c r="AG4746" t="s">
        <v>4564</v>
      </c>
      <c r="AH4746" t="s">
        <v>5197</v>
      </c>
      <c r="AI4746" t="s">
        <v>3872</v>
      </c>
      <c r="AJ4746" t="s">
        <v>3873</v>
      </c>
      <c r="AK4746" t="s">
        <v>24795</v>
      </c>
      <c r="AL4746" s="13" t="s">
        <v>2257</v>
      </c>
      <c r="AM4746">
        <v>1</v>
      </c>
      <c r="AN4746" s="15" t="s">
        <v>3874</v>
      </c>
    </row>
    <row r="4747" spans="1:40" x14ac:dyDescent="0.3">
      <c r="A4747" s="10" t="str">
        <f>HYPERLINK("http://www.washoecounty.gov/assessor/cama/?parid=140-853-13&amp;CardNumber=1","140-853-13")</f>
        <v>140-853-13</v>
      </c>
      <c r="B4747" t="s">
        <v>4655</v>
      </c>
      <c r="C4747" t="s">
        <v>24796</v>
      </c>
      <c r="D4747" s="1">
        <v>40479</v>
      </c>
      <c r="E4747" s="2">
        <v>479900</v>
      </c>
      <c r="F4747" t="s">
        <v>4567</v>
      </c>
      <c r="G4747" s="17" t="str">
        <f>HYPERLINK("https://www.washoecounty.gov/assessor/cama/?command=sales&amp;parid=14085313","3937642")</f>
        <v>3937642</v>
      </c>
      <c r="H4747" t="s">
        <v>5105</v>
      </c>
      <c r="I4747">
        <v>2008</v>
      </c>
      <c r="J4747">
        <v>2008</v>
      </c>
      <c r="K4747" t="s">
        <v>4554</v>
      </c>
      <c r="L4747" t="s">
        <v>4555</v>
      </c>
      <c r="M4747" s="2">
        <v>3283</v>
      </c>
      <c r="N4747" t="s">
        <v>5106</v>
      </c>
      <c r="O4747">
        <v>3</v>
      </c>
      <c r="P4747">
        <v>3</v>
      </c>
      <c r="Q4747">
        <v>1</v>
      </c>
      <c r="R4747" t="s">
        <v>5281</v>
      </c>
      <c r="S4747" t="s">
        <v>4898</v>
      </c>
      <c r="T4747" t="s">
        <v>2704</v>
      </c>
      <c r="U4747" t="s">
        <v>4560</v>
      </c>
      <c r="V4747" s="2">
        <v>798</v>
      </c>
      <c r="W4747" t="s">
        <v>4655</v>
      </c>
      <c r="X4747" s="2">
        <v>0</v>
      </c>
      <c r="Y4747">
        <v>20</v>
      </c>
      <c r="Z4747" t="s">
        <v>5107</v>
      </c>
      <c r="AA4747" s="3">
        <v>0.40371900796890298</v>
      </c>
      <c r="AB4747" t="s">
        <v>24797</v>
      </c>
      <c r="AC4747" t="s">
        <v>4562</v>
      </c>
      <c r="AD4747" t="s">
        <v>24798</v>
      </c>
      <c r="AE4747" t="s">
        <v>4655</v>
      </c>
      <c r="AF4747" t="s">
        <v>4563</v>
      </c>
      <c r="AG4747" t="s">
        <v>4564</v>
      </c>
      <c r="AH4747">
        <v>89511</v>
      </c>
      <c r="AI4747" t="s">
        <v>3872</v>
      </c>
      <c r="AJ4747" t="s">
        <v>3873</v>
      </c>
      <c r="AK4747" t="s">
        <v>24799</v>
      </c>
      <c r="AL4747" s="13" t="s">
        <v>2257</v>
      </c>
      <c r="AM4747" s="14">
        <v>1</v>
      </c>
      <c r="AN4747" s="15" t="s">
        <v>3874</v>
      </c>
    </row>
    <row r="4748" spans="1:40" x14ac:dyDescent="0.3">
      <c r="A4748" s="10" t="str">
        <f>HYPERLINK("http://www.washoecounty.gov/assessor/cama/?parid=140-861-09&amp;CardNumber=1","140-861-09")</f>
        <v>140-861-09</v>
      </c>
      <c r="B4748" t="s">
        <v>4655</v>
      </c>
      <c r="C4748" t="s">
        <v>24800</v>
      </c>
      <c r="D4748" s="1">
        <v>40263</v>
      </c>
      <c r="E4748" s="2">
        <v>545000</v>
      </c>
      <c r="F4748" t="s">
        <v>4567</v>
      </c>
      <c r="G4748" s="17" t="str">
        <f>HYPERLINK("https://www.washoecounty.gov/assessor/cama/?command=sales&amp;parid=14086109","3864569")</f>
        <v>3864569</v>
      </c>
      <c r="H4748" t="s">
        <v>5105</v>
      </c>
      <c r="I4748">
        <v>2007</v>
      </c>
      <c r="J4748">
        <v>2007</v>
      </c>
      <c r="K4748" t="s">
        <v>4554</v>
      </c>
      <c r="L4748" t="s">
        <v>3974</v>
      </c>
      <c r="M4748" s="2">
        <v>4380</v>
      </c>
      <c r="N4748" t="s">
        <v>5106</v>
      </c>
      <c r="O4748">
        <v>5</v>
      </c>
      <c r="P4748">
        <v>4</v>
      </c>
      <c r="Q4748">
        <v>1</v>
      </c>
      <c r="R4748" t="s">
        <v>5281</v>
      </c>
      <c r="S4748" t="s">
        <v>4898</v>
      </c>
      <c r="T4748" t="s">
        <v>2704</v>
      </c>
      <c r="U4748" t="s">
        <v>162</v>
      </c>
      <c r="V4748" s="2">
        <v>714</v>
      </c>
      <c r="W4748" t="s">
        <v>4655</v>
      </c>
      <c r="X4748" s="2">
        <v>0</v>
      </c>
      <c r="Y4748">
        <v>20</v>
      </c>
      <c r="Z4748" t="s">
        <v>5107</v>
      </c>
      <c r="AA4748" s="3">
        <v>0.44196510314941401</v>
      </c>
      <c r="AB4748" t="s">
        <v>24801</v>
      </c>
      <c r="AC4748" t="s">
        <v>4562</v>
      </c>
      <c r="AD4748" t="s">
        <v>24800</v>
      </c>
      <c r="AE4748" t="s">
        <v>4655</v>
      </c>
      <c r="AF4748" t="s">
        <v>4563</v>
      </c>
      <c r="AG4748" t="s">
        <v>4564</v>
      </c>
      <c r="AH4748" t="s">
        <v>5197</v>
      </c>
      <c r="AI4748" t="s">
        <v>24802</v>
      </c>
      <c r="AJ4748" t="s">
        <v>3873</v>
      </c>
      <c r="AK4748" t="s">
        <v>24803</v>
      </c>
      <c r="AL4748" s="13" t="s">
        <v>2257</v>
      </c>
      <c r="AM4748">
        <v>1</v>
      </c>
      <c r="AN4748" s="15" t="s">
        <v>3874</v>
      </c>
    </row>
    <row r="4749" spans="1:40" x14ac:dyDescent="0.3">
      <c r="A4749" s="10" t="str">
        <f>HYPERLINK("http://www.washoecounty.gov/assessor/cama/?parid=140-861-11&amp;CardNumber=1","140-861-11")</f>
        <v>140-861-11</v>
      </c>
      <c r="B4749" t="s">
        <v>4655</v>
      </c>
      <c r="C4749" t="s">
        <v>24804</v>
      </c>
      <c r="D4749" s="1">
        <v>40451</v>
      </c>
      <c r="E4749" s="2">
        <v>454000</v>
      </c>
      <c r="F4749" t="s">
        <v>4567</v>
      </c>
      <c r="G4749" s="17" t="str">
        <f>HYPERLINK("https://www.washoecounty.gov/assessor/cama/?command=sales&amp;parid=14086111","3928009")</f>
        <v>3928009</v>
      </c>
      <c r="H4749" t="s">
        <v>5105</v>
      </c>
      <c r="I4749">
        <v>2008</v>
      </c>
      <c r="J4749">
        <v>2008</v>
      </c>
      <c r="K4749" t="s">
        <v>4554</v>
      </c>
      <c r="L4749" t="s">
        <v>3974</v>
      </c>
      <c r="M4749" s="2">
        <v>4159</v>
      </c>
      <c r="N4749" t="s">
        <v>5106</v>
      </c>
      <c r="O4749">
        <v>4</v>
      </c>
      <c r="P4749">
        <v>3</v>
      </c>
      <c r="Q4749">
        <v>1</v>
      </c>
      <c r="R4749" t="s">
        <v>5281</v>
      </c>
      <c r="S4749" t="s">
        <v>4898</v>
      </c>
      <c r="T4749" t="s">
        <v>2704</v>
      </c>
      <c r="U4749" t="s">
        <v>5631</v>
      </c>
      <c r="V4749" s="2">
        <v>828</v>
      </c>
      <c r="W4749" t="s">
        <v>4655</v>
      </c>
      <c r="X4749" s="2">
        <v>0</v>
      </c>
      <c r="Y4749">
        <v>20</v>
      </c>
      <c r="Z4749" t="s">
        <v>5107</v>
      </c>
      <c r="AA4749" s="3">
        <v>0.27086776494979897</v>
      </c>
      <c r="AB4749" t="s">
        <v>24805</v>
      </c>
      <c r="AC4749" t="s">
        <v>4562</v>
      </c>
      <c r="AD4749" t="s">
        <v>24806</v>
      </c>
      <c r="AE4749" t="s">
        <v>4655</v>
      </c>
      <c r="AF4749" t="s">
        <v>4563</v>
      </c>
      <c r="AG4749" t="s">
        <v>4564</v>
      </c>
      <c r="AH4749">
        <v>89502</v>
      </c>
      <c r="AI4749" t="s">
        <v>3872</v>
      </c>
      <c r="AJ4749" t="s">
        <v>3873</v>
      </c>
      <c r="AK4749" t="s">
        <v>24807</v>
      </c>
      <c r="AL4749" s="13" t="s">
        <v>2257</v>
      </c>
      <c r="AM4749" s="14">
        <v>1</v>
      </c>
      <c r="AN4749" s="15" t="s">
        <v>3874</v>
      </c>
    </row>
    <row r="4750" spans="1:40" x14ac:dyDescent="0.3">
      <c r="A4750" s="10" t="str">
        <f>HYPERLINK("http://www.washoecounty.gov/assessor/cama/?parid=140-871-02&amp;CardNumber=1","140-871-02")</f>
        <v>140-871-02</v>
      </c>
      <c r="B4750" t="s">
        <v>4655</v>
      </c>
      <c r="C4750" t="s">
        <v>24808</v>
      </c>
      <c r="D4750" s="1">
        <v>40445</v>
      </c>
      <c r="E4750" s="2">
        <v>193000</v>
      </c>
      <c r="F4750" t="s">
        <v>4567</v>
      </c>
      <c r="G4750" s="17" t="str">
        <f>HYPERLINK("https://www.washoecounty.gov/assessor/cama/?command=sales&amp;parid=14087102","3925756")</f>
        <v>3925756</v>
      </c>
      <c r="H4750" t="s">
        <v>3657</v>
      </c>
      <c r="I4750">
        <v>2007</v>
      </c>
      <c r="J4750">
        <v>2007</v>
      </c>
      <c r="K4750" t="s">
        <v>4897</v>
      </c>
      <c r="L4750" t="s">
        <v>3974</v>
      </c>
      <c r="M4750" s="2">
        <v>1760</v>
      </c>
      <c r="N4750" t="s">
        <v>5280</v>
      </c>
      <c r="O4750">
        <v>3</v>
      </c>
      <c r="P4750">
        <v>2</v>
      </c>
      <c r="Q4750">
        <v>1</v>
      </c>
      <c r="R4750" t="s">
        <v>5281</v>
      </c>
      <c r="S4750" t="s">
        <v>4898</v>
      </c>
      <c r="T4750" t="s">
        <v>2704</v>
      </c>
      <c r="U4750" t="s">
        <v>5631</v>
      </c>
      <c r="V4750" s="2">
        <v>516</v>
      </c>
      <c r="W4750" t="s">
        <v>4655</v>
      </c>
      <c r="X4750" s="2">
        <v>0</v>
      </c>
      <c r="Y4750">
        <v>21</v>
      </c>
      <c r="Z4750" t="s">
        <v>5107</v>
      </c>
      <c r="AA4750" s="3">
        <v>4.74747456610203E-2</v>
      </c>
      <c r="AB4750" t="s">
        <v>4707</v>
      </c>
      <c r="AC4750" t="s">
        <v>4575</v>
      </c>
      <c r="AD4750" t="s">
        <v>24809</v>
      </c>
      <c r="AE4750" t="s">
        <v>4655</v>
      </c>
      <c r="AF4750" t="s">
        <v>4563</v>
      </c>
      <c r="AG4750" t="s">
        <v>4564</v>
      </c>
      <c r="AH4750" t="s">
        <v>5197</v>
      </c>
      <c r="AI4750" t="s">
        <v>24810</v>
      </c>
      <c r="AJ4750" t="s">
        <v>3196</v>
      </c>
      <c r="AK4750" t="s">
        <v>24811</v>
      </c>
      <c r="AL4750" s="13" t="s">
        <v>2257</v>
      </c>
      <c r="AM4750">
        <v>1</v>
      </c>
      <c r="AN4750" s="15" t="s">
        <v>3198</v>
      </c>
    </row>
    <row r="4751" spans="1:40" x14ac:dyDescent="0.3">
      <c r="A4751" s="10" t="str">
        <f>HYPERLINK("http://www.washoecounty.gov/assessor/cama/?parid=140-872-19&amp;CardNumber=1","140-872-19")</f>
        <v>140-872-19</v>
      </c>
      <c r="B4751" t="s">
        <v>4655</v>
      </c>
      <c r="C4751" t="s">
        <v>24812</v>
      </c>
      <c r="D4751" s="1">
        <v>40298</v>
      </c>
      <c r="E4751" s="2">
        <v>160000</v>
      </c>
      <c r="F4751" t="s">
        <v>4567</v>
      </c>
      <c r="G4751" s="17" t="str">
        <f>HYPERLINK("https://www.washoecounty.gov/assessor/cama/?command=sales&amp;parid=14087219","3876787")</f>
        <v>3876787</v>
      </c>
      <c r="H4751" t="s">
        <v>3657</v>
      </c>
      <c r="I4751">
        <v>2007</v>
      </c>
      <c r="J4751">
        <v>2007</v>
      </c>
      <c r="K4751" t="s">
        <v>4897</v>
      </c>
      <c r="L4751" t="s">
        <v>3974</v>
      </c>
      <c r="M4751" s="2">
        <v>1330</v>
      </c>
      <c r="N4751" t="s">
        <v>5280</v>
      </c>
      <c r="O4751">
        <v>2</v>
      </c>
      <c r="P4751">
        <v>2</v>
      </c>
      <c r="Q4751">
        <v>0</v>
      </c>
      <c r="R4751" t="s">
        <v>5281</v>
      </c>
      <c r="S4751" t="s">
        <v>4898</v>
      </c>
      <c r="T4751" t="s">
        <v>2704</v>
      </c>
      <c r="U4751" t="s">
        <v>5631</v>
      </c>
      <c r="V4751" s="2">
        <v>220</v>
      </c>
      <c r="W4751" t="s">
        <v>4655</v>
      </c>
      <c r="X4751" s="2">
        <v>0</v>
      </c>
      <c r="Y4751">
        <v>21</v>
      </c>
      <c r="Z4751" t="s">
        <v>5107</v>
      </c>
      <c r="AA4751" s="3">
        <v>3.4090910106897403E-2</v>
      </c>
      <c r="AB4751" t="s">
        <v>24813</v>
      </c>
      <c r="AC4751" t="s">
        <v>4562</v>
      </c>
      <c r="AD4751" t="s">
        <v>24814</v>
      </c>
      <c r="AE4751" t="s">
        <v>4655</v>
      </c>
      <c r="AF4751" t="s">
        <v>4563</v>
      </c>
      <c r="AG4751" t="s">
        <v>4564</v>
      </c>
      <c r="AH4751" t="s">
        <v>5197</v>
      </c>
      <c r="AI4751" t="s">
        <v>549</v>
      </c>
      <c r="AJ4751" t="s">
        <v>3196</v>
      </c>
      <c r="AK4751" t="s">
        <v>3197</v>
      </c>
      <c r="AL4751" s="13" t="s">
        <v>2257</v>
      </c>
      <c r="AM4751" s="14">
        <v>1</v>
      </c>
      <c r="AN4751" s="15" t="s">
        <v>3198</v>
      </c>
    </row>
    <row r="4752" spans="1:40" x14ac:dyDescent="0.3">
      <c r="A4752" s="10" t="str">
        <f>HYPERLINK("http://www.washoecounty.gov/assessor/cama/?parid=140-872-20&amp;CardNumber=1","140-872-20")</f>
        <v>140-872-20</v>
      </c>
      <c r="B4752" t="s">
        <v>4655</v>
      </c>
      <c r="C4752" t="s">
        <v>24812</v>
      </c>
      <c r="D4752" s="1">
        <v>40298</v>
      </c>
      <c r="E4752" s="2">
        <v>195000</v>
      </c>
      <c r="F4752" t="s">
        <v>4567</v>
      </c>
      <c r="G4752" s="17" t="str">
        <f>HYPERLINK("https://www.washoecounty.gov/assessor/cama/?command=sales&amp;parid=14087220","3876891")</f>
        <v>3876891</v>
      </c>
      <c r="H4752" t="s">
        <v>3657</v>
      </c>
      <c r="I4752">
        <v>2007</v>
      </c>
      <c r="J4752">
        <v>2007</v>
      </c>
      <c r="K4752" t="s">
        <v>4897</v>
      </c>
      <c r="L4752" t="s">
        <v>3974</v>
      </c>
      <c r="M4752" s="2">
        <v>1760</v>
      </c>
      <c r="N4752" t="s">
        <v>5280</v>
      </c>
      <c r="O4752">
        <v>3</v>
      </c>
      <c r="P4752">
        <v>2</v>
      </c>
      <c r="Q4752">
        <v>1</v>
      </c>
      <c r="R4752" t="s">
        <v>5281</v>
      </c>
      <c r="S4752" t="s">
        <v>4898</v>
      </c>
      <c r="T4752" t="s">
        <v>2704</v>
      </c>
      <c r="U4752" t="s">
        <v>5631</v>
      </c>
      <c r="V4752" s="2">
        <v>516</v>
      </c>
      <c r="W4752" t="s">
        <v>4655</v>
      </c>
      <c r="X4752" s="2">
        <v>0</v>
      </c>
      <c r="Y4752">
        <v>21</v>
      </c>
      <c r="Z4752" t="s">
        <v>5107</v>
      </c>
      <c r="AA4752" s="3">
        <v>4.7543618828058201E-2</v>
      </c>
      <c r="AB4752" t="s">
        <v>24815</v>
      </c>
      <c r="AC4752" t="s">
        <v>4575</v>
      </c>
      <c r="AD4752" t="s">
        <v>24816</v>
      </c>
      <c r="AE4752" t="s">
        <v>4655</v>
      </c>
      <c r="AF4752" t="s">
        <v>4623</v>
      </c>
      <c r="AG4752" t="s">
        <v>4584</v>
      </c>
      <c r="AH4752">
        <v>94085</v>
      </c>
      <c r="AI4752" t="s">
        <v>549</v>
      </c>
      <c r="AJ4752" t="s">
        <v>3196</v>
      </c>
      <c r="AK4752" t="s">
        <v>24811</v>
      </c>
      <c r="AL4752" s="13" t="s">
        <v>2257</v>
      </c>
      <c r="AM4752" s="14">
        <v>1</v>
      </c>
      <c r="AN4752" s="15" t="s">
        <v>3198</v>
      </c>
    </row>
    <row r="4753" spans="1:40" x14ac:dyDescent="0.3">
      <c r="A4753" s="10" t="str">
        <f>HYPERLINK("http://www.washoecounty.gov/assessor/cama/?parid=140-872-21&amp;CardNumber=1","140-872-21")</f>
        <v>140-872-21</v>
      </c>
      <c r="B4753" t="s">
        <v>4655</v>
      </c>
      <c r="C4753" t="s">
        <v>24812</v>
      </c>
      <c r="D4753" s="1">
        <v>40297</v>
      </c>
      <c r="E4753" s="2">
        <v>221000</v>
      </c>
      <c r="F4753" t="s">
        <v>4567</v>
      </c>
      <c r="G4753" s="17" t="str">
        <f>HYPERLINK("https://www.washoecounty.gov/assessor/cama/?command=sales&amp;parid=14087221","3876123")</f>
        <v>3876123</v>
      </c>
      <c r="H4753" t="s">
        <v>3657</v>
      </c>
      <c r="I4753">
        <v>2007</v>
      </c>
      <c r="J4753">
        <v>2007</v>
      </c>
      <c r="K4753" t="s">
        <v>4897</v>
      </c>
      <c r="L4753" t="s">
        <v>3974</v>
      </c>
      <c r="M4753" s="2">
        <v>1840</v>
      </c>
      <c r="N4753" t="s">
        <v>5280</v>
      </c>
      <c r="O4753">
        <v>3</v>
      </c>
      <c r="P4753">
        <v>2</v>
      </c>
      <c r="Q4753">
        <v>1</v>
      </c>
      <c r="R4753" t="s">
        <v>5281</v>
      </c>
      <c r="S4753" t="s">
        <v>4898</v>
      </c>
      <c r="T4753" t="s">
        <v>2704</v>
      </c>
      <c r="U4753" t="s">
        <v>5631</v>
      </c>
      <c r="V4753" s="2">
        <v>440</v>
      </c>
      <c r="W4753" t="s">
        <v>4655</v>
      </c>
      <c r="X4753" s="2">
        <v>0</v>
      </c>
      <c r="Y4753">
        <v>21</v>
      </c>
      <c r="Z4753" t="s">
        <v>5107</v>
      </c>
      <c r="AA4753" s="3">
        <v>5.1561065018176998E-2</v>
      </c>
      <c r="AB4753" t="s">
        <v>24817</v>
      </c>
      <c r="AC4753" t="s">
        <v>4562</v>
      </c>
      <c r="AD4753" t="s">
        <v>24818</v>
      </c>
      <c r="AE4753" t="s">
        <v>4655</v>
      </c>
      <c r="AF4753" t="s">
        <v>4563</v>
      </c>
      <c r="AG4753" t="s">
        <v>4564</v>
      </c>
      <c r="AH4753" t="s">
        <v>5197</v>
      </c>
      <c r="AI4753" t="s">
        <v>549</v>
      </c>
      <c r="AJ4753" t="s">
        <v>3196</v>
      </c>
      <c r="AK4753" t="s">
        <v>2803</v>
      </c>
      <c r="AL4753" s="13" t="s">
        <v>2257</v>
      </c>
      <c r="AM4753">
        <v>1</v>
      </c>
      <c r="AN4753" s="15" t="s">
        <v>3198</v>
      </c>
    </row>
    <row r="4754" spans="1:40" x14ac:dyDescent="0.3">
      <c r="A4754" s="10" t="str">
        <f>HYPERLINK("http://www.washoecounty.gov/assessor/cama/?parid=140-872-22&amp;CardNumber=1","140-872-22")</f>
        <v>140-872-22</v>
      </c>
      <c r="B4754" t="s">
        <v>4655</v>
      </c>
      <c r="C4754" t="s">
        <v>24819</v>
      </c>
      <c r="D4754" s="1">
        <v>40267</v>
      </c>
      <c r="E4754" s="2">
        <v>202000</v>
      </c>
      <c r="F4754" t="s">
        <v>4567</v>
      </c>
      <c r="G4754" s="17" t="str">
        <f>HYPERLINK("https://www.washoecounty.gov/assessor/cama/?command=sales&amp;parid=14087222","3865369")</f>
        <v>3865369</v>
      </c>
      <c r="H4754" t="s">
        <v>3657</v>
      </c>
      <c r="I4754">
        <v>2010</v>
      </c>
      <c r="J4754">
        <v>2010</v>
      </c>
      <c r="K4754" t="s">
        <v>4897</v>
      </c>
      <c r="L4754" t="s">
        <v>3974</v>
      </c>
      <c r="M4754" s="2">
        <v>1840</v>
      </c>
      <c r="N4754" t="s">
        <v>5280</v>
      </c>
      <c r="O4754">
        <v>3</v>
      </c>
      <c r="P4754">
        <v>2</v>
      </c>
      <c r="Q4754">
        <v>1</v>
      </c>
      <c r="R4754" t="s">
        <v>5281</v>
      </c>
      <c r="S4754" t="s">
        <v>4898</v>
      </c>
      <c r="T4754" t="s">
        <v>2704</v>
      </c>
      <c r="U4754" t="s">
        <v>5631</v>
      </c>
      <c r="V4754" s="2">
        <v>440</v>
      </c>
      <c r="W4754" t="s">
        <v>4655</v>
      </c>
      <c r="X4754" s="2">
        <v>0</v>
      </c>
      <c r="Y4754">
        <v>21</v>
      </c>
      <c r="Z4754" t="s">
        <v>5107</v>
      </c>
      <c r="AA4754" s="3">
        <v>5.0872359424829497E-2</v>
      </c>
      <c r="AB4754" t="s">
        <v>24820</v>
      </c>
      <c r="AC4754" t="s">
        <v>4575</v>
      </c>
      <c r="AD4754" t="s">
        <v>24821</v>
      </c>
      <c r="AE4754" t="s">
        <v>4655</v>
      </c>
      <c r="AF4754" t="s">
        <v>4563</v>
      </c>
      <c r="AG4754" t="s">
        <v>4564</v>
      </c>
      <c r="AH4754" t="s">
        <v>24822</v>
      </c>
      <c r="AI4754" t="s">
        <v>549</v>
      </c>
      <c r="AJ4754" t="s">
        <v>3196</v>
      </c>
      <c r="AK4754" t="s">
        <v>2803</v>
      </c>
      <c r="AL4754" s="13" t="s">
        <v>2257</v>
      </c>
      <c r="AM4754" s="14">
        <v>1</v>
      </c>
      <c r="AN4754" s="15" t="s">
        <v>3198</v>
      </c>
    </row>
    <row r="4755" spans="1:40" x14ac:dyDescent="0.3">
      <c r="A4755" s="10" t="str">
        <f>HYPERLINK("http://www.washoecounty.gov/assessor/cama/?parid=140-872-23&amp;CardNumber=1","140-872-23")</f>
        <v>140-872-23</v>
      </c>
      <c r="B4755" t="s">
        <v>4655</v>
      </c>
      <c r="C4755" t="s">
        <v>24819</v>
      </c>
      <c r="D4755" s="1">
        <v>40267</v>
      </c>
      <c r="E4755" s="2">
        <v>189817</v>
      </c>
      <c r="F4755" t="s">
        <v>4567</v>
      </c>
      <c r="G4755" s="17" t="str">
        <f>HYPERLINK("https://www.washoecounty.gov/assessor/cama/?command=sales&amp;parid=14087223","3865444")</f>
        <v>3865444</v>
      </c>
      <c r="H4755" t="s">
        <v>3657</v>
      </c>
      <c r="I4755">
        <v>2010</v>
      </c>
      <c r="J4755">
        <v>2010</v>
      </c>
      <c r="K4755" t="s">
        <v>4897</v>
      </c>
      <c r="L4755" t="s">
        <v>3974</v>
      </c>
      <c r="M4755" s="2">
        <v>1760</v>
      </c>
      <c r="N4755" t="s">
        <v>5280</v>
      </c>
      <c r="O4755">
        <v>3</v>
      </c>
      <c r="P4755">
        <v>2</v>
      </c>
      <c r="Q4755">
        <v>1</v>
      </c>
      <c r="R4755" t="s">
        <v>5281</v>
      </c>
      <c r="S4755" t="s">
        <v>4898</v>
      </c>
      <c r="T4755" t="s">
        <v>2704</v>
      </c>
      <c r="U4755" t="s">
        <v>5631</v>
      </c>
      <c r="V4755" s="2">
        <v>516</v>
      </c>
      <c r="W4755" t="s">
        <v>4655</v>
      </c>
      <c r="X4755" s="2">
        <v>0</v>
      </c>
      <c r="Y4755">
        <v>21</v>
      </c>
      <c r="Z4755" t="s">
        <v>5107</v>
      </c>
      <c r="AA4755" s="3">
        <v>4.7543618828058201E-2</v>
      </c>
      <c r="AB4755" t="s">
        <v>24823</v>
      </c>
      <c r="AC4755" t="s">
        <v>4562</v>
      </c>
      <c r="AD4755" t="s">
        <v>24824</v>
      </c>
      <c r="AE4755" t="s">
        <v>4655</v>
      </c>
      <c r="AF4755" t="s">
        <v>4563</v>
      </c>
      <c r="AG4755" t="s">
        <v>4564</v>
      </c>
      <c r="AH4755" t="s">
        <v>5197</v>
      </c>
      <c r="AI4755" t="s">
        <v>549</v>
      </c>
      <c r="AJ4755" t="s">
        <v>3196</v>
      </c>
      <c r="AK4755" t="s">
        <v>24811</v>
      </c>
      <c r="AL4755" s="13" t="s">
        <v>2257</v>
      </c>
      <c r="AM4755">
        <v>1</v>
      </c>
      <c r="AN4755" s="15" t="s">
        <v>3198</v>
      </c>
    </row>
    <row r="4756" spans="1:40" x14ac:dyDescent="0.3">
      <c r="A4756" s="10" t="str">
        <f>HYPERLINK("http://www.washoecounty.gov/assessor/cama/?parid=140-872-24&amp;CardNumber=1","140-872-24")</f>
        <v>140-872-24</v>
      </c>
      <c r="B4756" t="s">
        <v>4655</v>
      </c>
      <c r="C4756" t="s">
        <v>24819</v>
      </c>
      <c r="D4756" s="1">
        <v>40266</v>
      </c>
      <c r="E4756" s="2">
        <v>155500</v>
      </c>
      <c r="F4756" t="s">
        <v>4567</v>
      </c>
      <c r="G4756" s="17" t="str">
        <f>HYPERLINK("https://www.washoecounty.gov/assessor/cama/?command=sales&amp;parid=14087224","3865059")</f>
        <v>3865059</v>
      </c>
      <c r="H4756" t="s">
        <v>3657</v>
      </c>
      <c r="I4756">
        <v>2010</v>
      </c>
      <c r="J4756">
        <v>2010</v>
      </c>
      <c r="K4756" t="s">
        <v>4897</v>
      </c>
      <c r="L4756" t="s">
        <v>3974</v>
      </c>
      <c r="M4756" s="2">
        <v>1330</v>
      </c>
      <c r="N4756" t="s">
        <v>5280</v>
      </c>
      <c r="O4756">
        <v>2</v>
      </c>
      <c r="P4756">
        <v>2</v>
      </c>
      <c r="Q4756">
        <v>0</v>
      </c>
      <c r="R4756" t="s">
        <v>5281</v>
      </c>
      <c r="S4756" t="s">
        <v>4898</v>
      </c>
      <c r="T4756" t="s">
        <v>2704</v>
      </c>
      <c r="U4756" t="s">
        <v>5631</v>
      </c>
      <c r="V4756" s="2">
        <v>220</v>
      </c>
      <c r="W4756" t="s">
        <v>4655</v>
      </c>
      <c r="X4756" s="2">
        <v>0</v>
      </c>
      <c r="Y4756">
        <v>20</v>
      </c>
      <c r="Z4756" t="s">
        <v>5107</v>
      </c>
      <c r="AA4756" s="3">
        <v>3.4090910106897403E-2</v>
      </c>
      <c r="AB4756" t="s">
        <v>24825</v>
      </c>
      <c r="AC4756" t="s">
        <v>4562</v>
      </c>
      <c r="AD4756" t="s">
        <v>24826</v>
      </c>
      <c r="AE4756" t="s">
        <v>4655</v>
      </c>
      <c r="AF4756" t="s">
        <v>3596</v>
      </c>
      <c r="AG4756" t="s">
        <v>4584</v>
      </c>
      <c r="AH4756" t="s">
        <v>8039</v>
      </c>
      <c r="AI4756" t="s">
        <v>549</v>
      </c>
      <c r="AJ4756" t="s">
        <v>3196</v>
      </c>
      <c r="AK4756" t="s">
        <v>3197</v>
      </c>
      <c r="AL4756" s="13" t="s">
        <v>2257</v>
      </c>
      <c r="AM4756">
        <v>1</v>
      </c>
      <c r="AN4756" s="15" t="s">
        <v>3198</v>
      </c>
    </row>
    <row r="4757" spans="1:40" x14ac:dyDescent="0.3">
      <c r="A4757" s="10" t="str">
        <f>HYPERLINK("http://www.washoecounty.gov/assessor/cama/?parid=140-873-01&amp;CardNumber=1","140-873-01")</f>
        <v>140-873-01</v>
      </c>
      <c r="B4757" t="s">
        <v>4655</v>
      </c>
      <c r="C4757" t="s">
        <v>24827</v>
      </c>
      <c r="D4757" s="1">
        <v>40227</v>
      </c>
      <c r="E4757" s="2">
        <v>155000</v>
      </c>
      <c r="F4757" t="s">
        <v>4567</v>
      </c>
      <c r="G4757" s="17" t="str">
        <f>HYPERLINK("https://www.washoecounty.gov/assessor/cama/?command=sales&amp;parid=14087301","3850738")</f>
        <v>3850738</v>
      </c>
      <c r="H4757" t="s">
        <v>3657</v>
      </c>
      <c r="I4757">
        <v>2007</v>
      </c>
      <c r="J4757">
        <v>2007</v>
      </c>
      <c r="K4757" t="s">
        <v>4897</v>
      </c>
      <c r="L4757" t="s">
        <v>3974</v>
      </c>
      <c r="M4757" s="2">
        <v>1330</v>
      </c>
      <c r="N4757" t="s">
        <v>5280</v>
      </c>
      <c r="O4757">
        <v>2</v>
      </c>
      <c r="P4757">
        <v>2</v>
      </c>
      <c r="Q4757">
        <v>0</v>
      </c>
      <c r="R4757" t="s">
        <v>5281</v>
      </c>
      <c r="S4757" t="s">
        <v>4898</v>
      </c>
      <c r="T4757" t="s">
        <v>2704</v>
      </c>
      <c r="U4757" t="s">
        <v>5631</v>
      </c>
      <c r="V4757" s="2">
        <v>220</v>
      </c>
      <c r="W4757" t="s">
        <v>4655</v>
      </c>
      <c r="X4757" s="2">
        <v>0</v>
      </c>
      <c r="Y4757">
        <v>21</v>
      </c>
      <c r="Z4757" t="s">
        <v>5107</v>
      </c>
      <c r="AA4757" s="3">
        <v>3.4090910106897403E-2</v>
      </c>
      <c r="AB4757" t="s">
        <v>24828</v>
      </c>
      <c r="AC4757" t="s">
        <v>4562</v>
      </c>
      <c r="AD4757" t="s">
        <v>24829</v>
      </c>
      <c r="AE4757" t="s">
        <v>4655</v>
      </c>
      <c r="AF4757" t="s">
        <v>4563</v>
      </c>
      <c r="AG4757" t="s">
        <v>4564</v>
      </c>
      <c r="AH4757">
        <v>89506</v>
      </c>
      <c r="AI4757" t="s">
        <v>24830</v>
      </c>
      <c r="AJ4757" t="s">
        <v>3196</v>
      </c>
      <c r="AK4757" t="s">
        <v>3197</v>
      </c>
      <c r="AL4757" s="13" t="s">
        <v>2257</v>
      </c>
      <c r="AM4757" s="14">
        <v>1</v>
      </c>
      <c r="AN4757" s="15" t="s">
        <v>3198</v>
      </c>
    </row>
    <row r="4758" spans="1:40" x14ac:dyDescent="0.3">
      <c r="A4758" s="10" t="str">
        <f>HYPERLINK("http://www.washoecounty.gov/assessor/cama/?parid=140-873-12&amp;CardNumber=1","140-873-12")</f>
        <v>140-873-12</v>
      </c>
      <c r="B4758" t="s">
        <v>4655</v>
      </c>
      <c r="C4758" t="s">
        <v>24831</v>
      </c>
      <c r="D4758" s="1">
        <v>40252</v>
      </c>
      <c r="E4758" s="2">
        <v>153000</v>
      </c>
      <c r="F4758" t="s">
        <v>4567</v>
      </c>
      <c r="G4758" s="17" t="str">
        <f>HYPERLINK("https://www.washoecounty.gov/assessor/cama/?command=sales&amp;parid=14087312","3859898")</f>
        <v>3859898</v>
      </c>
      <c r="H4758" t="s">
        <v>3657</v>
      </c>
      <c r="I4758">
        <v>2007</v>
      </c>
      <c r="J4758">
        <v>2007</v>
      </c>
      <c r="K4758" t="s">
        <v>4897</v>
      </c>
      <c r="L4758" t="s">
        <v>3974</v>
      </c>
      <c r="M4758" s="2">
        <v>1330</v>
      </c>
      <c r="N4758" t="s">
        <v>5280</v>
      </c>
      <c r="O4758">
        <v>2</v>
      </c>
      <c r="P4758">
        <v>2</v>
      </c>
      <c r="Q4758">
        <v>0</v>
      </c>
      <c r="R4758" t="s">
        <v>5281</v>
      </c>
      <c r="S4758" t="s">
        <v>4898</v>
      </c>
      <c r="T4758" t="s">
        <v>2704</v>
      </c>
      <c r="U4758" t="s">
        <v>5631</v>
      </c>
      <c r="V4758" s="2">
        <v>220</v>
      </c>
      <c r="W4758" t="s">
        <v>4655</v>
      </c>
      <c r="X4758" s="2">
        <v>0</v>
      </c>
      <c r="Y4758">
        <v>21</v>
      </c>
      <c r="Z4758" t="s">
        <v>5107</v>
      </c>
      <c r="AA4758" s="3">
        <v>3.4090910106897403E-2</v>
      </c>
      <c r="AB4758" t="s">
        <v>24832</v>
      </c>
      <c r="AC4758" t="s">
        <v>4562</v>
      </c>
      <c r="AD4758" t="s">
        <v>24833</v>
      </c>
      <c r="AE4758" t="s">
        <v>4655</v>
      </c>
      <c r="AF4758" t="s">
        <v>4563</v>
      </c>
      <c r="AG4758" t="s">
        <v>4564</v>
      </c>
      <c r="AH4758" t="s">
        <v>5197</v>
      </c>
      <c r="AI4758" t="s">
        <v>24834</v>
      </c>
      <c r="AJ4758" t="s">
        <v>3196</v>
      </c>
      <c r="AK4758" t="s">
        <v>3197</v>
      </c>
      <c r="AL4758" s="13" t="s">
        <v>2257</v>
      </c>
      <c r="AM4758">
        <v>1</v>
      </c>
      <c r="AN4758" s="15" t="s">
        <v>3198</v>
      </c>
    </row>
    <row r="4759" spans="1:40" x14ac:dyDescent="0.3">
      <c r="A4759" s="10" t="str">
        <f>HYPERLINK("http://www.washoecounty.gov/assessor/cama/?parid=140-874-03&amp;CardNumber=1","140-874-03")</f>
        <v>140-874-03</v>
      </c>
      <c r="B4759" t="s">
        <v>4655</v>
      </c>
      <c r="C4759" t="s">
        <v>4540</v>
      </c>
      <c r="D4759" s="1">
        <v>40448</v>
      </c>
      <c r="E4759" s="2">
        <v>177000</v>
      </c>
      <c r="F4759" t="s">
        <v>4567</v>
      </c>
      <c r="G4759" s="17" t="str">
        <f>HYPERLINK("https://www.washoecounty.gov/assessor/cama/?command=sales&amp;parid=14087403","3926683")</f>
        <v>3926683</v>
      </c>
      <c r="H4759" t="s">
        <v>3657</v>
      </c>
      <c r="I4759">
        <v>2008</v>
      </c>
      <c r="J4759">
        <v>2008</v>
      </c>
      <c r="K4759" t="s">
        <v>4897</v>
      </c>
      <c r="L4759" t="s">
        <v>3974</v>
      </c>
      <c r="M4759" s="2">
        <v>1840</v>
      </c>
      <c r="N4759" t="s">
        <v>5280</v>
      </c>
      <c r="O4759">
        <v>3</v>
      </c>
      <c r="P4759">
        <v>2</v>
      </c>
      <c r="Q4759">
        <v>1</v>
      </c>
      <c r="R4759" t="s">
        <v>5281</v>
      </c>
      <c r="S4759" t="s">
        <v>4898</v>
      </c>
      <c r="T4759" t="s">
        <v>2704</v>
      </c>
      <c r="U4759" t="s">
        <v>5631</v>
      </c>
      <c r="V4759" s="2">
        <v>440</v>
      </c>
      <c r="W4759" t="s">
        <v>4655</v>
      </c>
      <c r="X4759" s="2">
        <v>0</v>
      </c>
      <c r="Y4759">
        <v>21</v>
      </c>
      <c r="Z4759" t="s">
        <v>5107</v>
      </c>
      <c r="AA4759" s="3">
        <v>5.0872359424829497E-2</v>
      </c>
      <c r="AB4759" t="s">
        <v>24835</v>
      </c>
      <c r="AC4759" t="s">
        <v>4562</v>
      </c>
      <c r="AD4759" t="s">
        <v>24836</v>
      </c>
      <c r="AE4759" t="s">
        <v>4655</v>
      </c>
      <c r="AF4759" t="s">
        <v>4563</v>
      </c>
      <c r="AG4759" t="s">
        <v>4564</v>
      </c>
      <c r="AH4759">
        <v>89511</v>
      </c>
      <c r="AI4759" t="s">
        <v>24837</v>
      </c>
      <c r="AJ4759" t="s">
        <v>3196</v>
      </c>
      <c r="AK4759" t="s">
        <v>2803</v>
      </c>
      <c r="AL4759" s="13" t="s">
        <v>2257</v>
      </c>
      <c r="AM4759" s="14">
        <v>1</v>
      </c>
      <c r="AN4759" s="15" t="s">
        <v>3198</v>
      </c>
    </row>
    <row r="4760" spans="1:40" x14ac:dyDescent="0.3">
      <c r="A4760" s="10" t="str">
        <f>HYPERLINK("http://www.washoecounty.gov/assessor/cama/?parid=140-892-23&amp;CardNumber=1","140-892-23")</f>
        <v>140-892-23</v>
      </c>
      <c r="B4760" t="s">
        <v>4655</v>
      </c>
      <c r="C4760" t="s">
        <v>24838</v>
      </c>
      <c r="D4760" s="1">
        <v>40351</v>
      </c>
      <c r="E4760" s="2">
        <v>199900</v>
      </c>
      <c r="F4760" t="s">
        <v>4567</v>
      </c>
      <c r="G4760" s="17" t="str">
        <f>HYPERLINK("https://www.washoecounty.gov/assessor/cama/?command=sales&amp;parid=14089223","3894244")</f>
        <v>3894244</v>
      </c>
      <c r="H4760" t="s">
        <v>24839</v>
      </c>
      <c r="I4760">
        <v>2010</v>
      </c>
      <c r="J4760">
        <v>2010</v>
      </c>
      <c r="K4760" t="s">
        <v>4897</v>
      </c>
      <c r="L4760" t="s">
        <v>3974</v>
      </c>
      <c r="M4760" s="2">
        <v>1916</v>
      </c>
      <c r="N4760" t="s">
        <v>5280</v>
      </c>
      <c r="O4760">
        <v>3</v>
      </c>
      <c r="P4760">
        <v>2</v>
      </c>
      <c r="Q4760">
        <v>1</v>
      </c>
      <c r="R4760" t="s">
        <v>5281</v>
      </c>
      <c r="S4760" t="s">
        <v>4898</v>
      </c>
      <c r="T4760" t="s">
        <v>4559</v>
      </c>
      <c r="U4760" t="s">
        <v>5631</v>
      </c>
      <c r="V4760" s="2">
        <v>440</v>
      </c>
      <c r="W4760" t="s">
        <v>4655</v>
      </c>
      <c r="X4760" s="2">
        <v>0</v>
      </c>
      <c r="Y4760">
        <v>20</v>
      </c>
      <c r="Z4760" t="s">
        <v>5107</v>
      </c>
      <c r="AA4760" s="3">
        <v>8.0348946154117598E-2</v>
      </c>
      <c r="AB4760" t="s">
        <v>24840</v>
      </c>
      <c r="AC4760" t="s">
        <v>4562</v>
      </c>
      <c r="AD4760" t="s">
        <v>24841</v>
      </c>
      <c r="AE4760" t="s">
        <v>4655</v>
      </c>
      <c r="AF4760" t="s">
        <v>4563</v>
      </c>
      <c r="AG4760" t="s">
        <v>4564</v>
      </c>
      <c r="AH4760" t="s">
        <v>5197</v>
      </c>
      <c r="AI4760" t="s">
        <v>3286</v>
      </c>
      <c r="AJ4760" t="s">
        <v>24842</v>
      </c>
      <c r="AK4760" t="s">
        <v>24843</v>
      </c>
      <c r="AL4760" s="13" t="s">
        <v>2257</v>
      </c>
      <c r="AM4760">
        <v>1</v>
      </c>
      <c r="AN4760" s="15" t="s">
        <v>4395</v>
      </c>
    </row>
    <row r="4761" spans="1:40" x14ac:dyDescent="0.3">
      <c r="A4761" s="10" t="str">
        <f>HYPERLINK("http://www.washoecounty.gov/assessor/cama/?parid=140-892-24&amp;CardNumber=1","140-892-24")</f>
        <v>140-892-24</v>
      </c>
      <c r="B4761" t="s">
        <v>4655</v>
      </c>
      <c r="C4761" t="s">
        <v>24844</v>
      </c>
      <c r="D4761" s="1">
        <v>40268</v>
      </c>
      <c r="E4761" s="2">
        <v>202948</v>
      </c>
      <c r="F4761" t="s">
        <v>4567</v>
      </c>
      <c r="G4761" s="17" t="str">
        <f>HYPERLINK("https://www.washoecounty.gov/assessor/cama/?command=sales&amp;parid=14089224","3866470")</f>
        <v>3866470</v>
      </c>
      <c r="H4761" t="s">
        <v>24839</v>
      </c>
      <c r="I4761">
        <v>2010</v>
      </c>
      <c r="J4761">
        <v>2010</v>
      </c>
      <c r="K4761" t="s">
        <v>4897</v>
      </c>
      <c r="L4761" t="s">
        <v>3974</v>
      </c>
      <c r="M4761" s="2">
        <v>1780</v>
      </c>
      <c r="N4761" t="s">
        <v>5280</v>
      </c>
      <c r="O4761">
        <v>3</v>
      </c>
      <c r="P4761">
        <v>2</v>
      </c>
      <c r="Q4761">
        <v>1</v>
      </c>
      <c r="R4761" t="s">
        <v>5281</v>
      </c>
      <c r="S4761" t="s">
        <v>4898</v>
      </c>
      <c r="T4761" t="s">
        <v>4559</v>
      </c>
      <c r="U4761" t="s">
        <v>5631</v>
      </c>
      <c r="V4761" s="2">
        <v>440</v>
      </c>
      <c r="W4761" t="s">
        <v>4655</v>
      </c>
      <c r="X4761" s="2">
        <v>0</v>
      </c>
      <c r="Y4761">
        <v>20</v>
      </c>
      <c r="Z4761" t="s">
        <v>5107</v>
      </c>
      <c r="AA4761" s="3">
        <v>8.3700641989707905E-2</v>
      </c>
      <c r="AB4761" t="s">
        <v>24845</v>
      </c>
      <c r="AC4761" t="s">
        <v>4562</v>
      </c>
      <c r="AD4761" t="s">
        <v>24846</v>
      </c>
      <c r="AE4761" t="s">
        <v>4655</v>
      </c>
      <c r="AF4761" t="s">
        <v>4563</v>
      </c>
      <c r="AG4761" t="s">
        <v>4564</v>
      </c>
      <c r="AH4761" t="s">
        <v>5197</v>
      </c>
      <c r="AI4761" t="s">
        <v>3286</v>
      </c>
      <c r="AJ4761" t="s">
        <v>24842</v>
      </c>
      <c r="AK4761" t="s">
        <v>24847</v>
      </c>
      <c r="AL4761" s="13" t="s">
        <v>2257</v>
      </c>
      <c r="AM4761">
        <v>1</v>
      </c>
      <c r="AN4761" s="15" t="s">
        <v>4395</v>
      </c>
    </row>
    <row r="4762" spans="1:40" x14ac:dyDescent="0.3">
      <c r="A4762" s="10" t="str">
        <f>HYPERLINK("http://www.washoecounty.gov/assessor/cama/?parid=140-892-46&amp;CardNumber=1","140-892-46")</f>
        <v>140-892-46</v>
      </c>
      <c r="B4762" t="s">
        <v>4655</v>
      </c>
      <c r="C4762" t="s">
        <v>24848</v>
      </c>
      <c r="D4762" s="1">
        <v>40452</v>
      </c>
      <c r="E4762" s="2">
        <v>199000</v>
      </c>
      <c r="F4762" t="s">
        <v>4567</v>
      </c>
      <c r="G4762" s="17" t="str">
        <f>HYPERLINK("https://www.washoecounty.gov/assessor/cama/?command=sales&amp;parid=14089246","3928752")</f>
        <v>3928752</v>
      </c>
      <c r="H4762" t="s">
        <v>1417</v>
      </c>
      <c r="I4762">
        <v>2011</v>
      </c>
      <c r="J4762">
        <v>2011</v>
      </c>
      <c r="K4762" t="s">
        <v>4897</v>
      </c>
      <c r="L4762" t="s">
        <v>3974</v>
      </c>
      <c r="M4762" s="2">
        <v>1834</v>
      </c>
      <c r="N4762" t="s">
        <v>5280</v>
      </c>
      <c r="O4762">
        <v>3</v>
      </c>
      <c r="P4762">
        <v>2</v>
      </c>
      <c r="Q4762">
        <v>1</v>
      </c>
      <c r="R4762" t="s">
        <v>5281</v>
      </c>
      <c r="S4762" t="s">
        <v>4898</v>
      </c>
      <c r="T4762" t="s">
        <v>4559</v>
      </c>
      <c r="U4762" t="s">
        <v>5631</v>
      </c>
      <c r="V4762" s="2">
        <v>440</v>
      </c>
      <c r="W4762" t="s">
        <v>4655</v>
      </c>
      <c r="X4762" s="2">
        <v>0</v>
      </c>
      <c r="Y4762">
        <v>20</v>
      </c>
      <c r="Z4762" t="s">
        <v>5107</v>
      </c>
      <c r="AA4762" s="3">
        <v>7.1395777165889698E-2</v>
      </c>
      <c r="AB4762" t="s">
        <v>24849</v>
      </c>
      <c r="AC4762" t="s">
        <v>4562</v>
      </c>
      <c r="AD4762" t="s">
        <v>24848</v>
      </c>
      <c r="AE4762" t="s">
        <v>4655</v>
      </c>
      <c r="AF4762" t="s">
        <v>4563</v>
      </c>
      <c r="AG4762" t="s">
        <v>4564</v>
      </c>
      <c r="AH4762" t="s">
        <v>5197</v>
      </c>
      <c r="AI4762" t="s">
        <v>3286</v>
      </c>
      <c r="AJ4762" t="s">
        <v>1418</v>
      </c>
      <c r="AK4762" t="s">
        <v>24850</v>
      </c>
      <c r="AL4762" s="13" t="s">
        <v>2257</v>
      </c>
      <c r="AM4762">
        <v>1</v>
      </c>
      <c r="AN4762" s="15" t="s">
        <v>4395</v>
      </c>
    </row>
    <row r="4763" spans="1:40" x14ac:dyDescent="0.3">
      <c r="A4763" s="10" t="str">
        <f>HYPERLINK("http://www.washoecounty.gov/assessor/cama/?parid=140-892-47&amp;CardNumber=1","140-892-47")</f>
        <v>140-892-47</v>
      </c>
      <c r="B4763" t="s">
        <v>4655</v>
      </c>
      <c r="C4763" t="s">
        <v>5054</v>
      </c>
      <c r="D4763" s="1">
        <v>40444</v>
      </c>
      <c r="E4763" s="2">
        <v>198000</v>
      </c>
      <c r="F4763" t="s">
        <v>4567</v>
      </c>
      <c r="G4763" s="17" t="str">
        <f>HYPERLINK("https://www.washoecounty.gov/assessor/cama/?command=sales&amp;parid=14089247","3925633")</f>
        <v>3925633</v>
      </c>
      <c r="H4763" t="s">
        <v>1417</v>
      </c>
      <c r="I4763">
        <v>2011</v>
      </c>
      <c r="J4763">
        <v>2011</v>
      </c>
      <c r="K4763" t="s">
        <v>4897</v>
      </c>
      <c r="L4763" t="s">
        <v>3974</v>
      </c>
      <c r="M4763" s="2">
        <v>1860</v>
      </c>
      <c r="N4763" t="s">
        <v>5280</v>
      </c>
      <c r="O4763">
        <v>3</v>
      </c>
      <c r="P4763">
        <v>2</v>
      </c>
      <c r="Q4763">
        <v>1</v>
      </c>
      <c r="R4763" t="s">
        <v>5281</v>
      </c>
      <c r="S4763" t="s">
        <v>4898</v>
      </c>
      <c r="T4763" t="s">
        <v>4559</v>
      </c>
      <c r="U4763" t="s">
        <v>5631</v>
      </c>
      <c r="V4763" s="2">
        <v>440</v>
      </c>
      <c r="W4763" t="s">
        <v>4655</v>
      </c>
      <c r="X4763" s="2">
        <v>0</v>
      </c>
      <c r="Y4763">
        <v>11</v>
      </c>
      <c r="Z4763" t="s">
        <v>5107</v>
      </c>
      <c r="AA4763" s="3">
        <v>7.3530763387680095E-2</v>
      </c>
      <c r="AB4763" t="s">
        <v>5055</v>
      </c>
      <c r="AC4763" t="s">
        <v>4575</v>
      </c>
      <c r="AD4763" t="s">
        <v>5054</v>
      </c>
      <c r="AE4763" t="s">
        <v>4655</v>
      </c>
      <c r="AF4763" t="s">
        <v>4563</v>
      </c>
      <c r="AG4763" t="s">
        <v>4564</v>
      </c>
      <c r="AH4763" t="s">
        <v>5197</v>
      </c>
      <c r="AI4763" t="s">
        <v>4655</v>
      </c>
      <c r="AJ4763" t="s">
        <v>1418</v>
      </c>
      <c r="AK4763" t="s">
        <v>5056</v>
      </c>
      <c r="AL4763" s="13" t="s">
        <v>2257</v>
      </c>
      <c r="AM4763">
        <v>1</v>
      </c>
      <c r="AN4763" s="15" t="s">
        <v>4395</v>
      </c>
    </row>
    <row r="4764" spans="1:40" x14ac:dyDescent="0.3">
      <c r="A4764" s="10" t="str">
        <f>HYPERLINK("http://www.washoecounty.gov/assessor/cama/?parid=140-892-48&amp;CardNumber=1","140-892-48")</f>
        <v>140-892-48</v>
      </c>
      <c r="B4764" t="s">
        <v>4655</v>
      </c>
      <c r="C4764" t="s">
        <v>24851</v>
      </c>
      <c r="D4764" s="1">
        <v>40351</v>
      </c>
      <c r="E4764" s="2">
        <v>211802</v>
      </c>
      <c r="F4764" t="s">
        <v>4567</v>
      </c>
      <c r="G4764" s="17" t="str">
        <f>HYPERLINK("https://www.washoecounty.gov/assessor/cama/?command=sales&amp;parid=14089248","3894267")</f>
        <v>3894267</v>
      </c>
      <c r="H4764" t="s">
        <v>1417</v>
      </c>
      <c r="I4764">
        <v>2010</v>
      </c>
      <c r="J4764">
        <v>2010</v>
      </c>
      <c r="K4764" t="s">
        <v>4897</v>
      </c>
      <c r="L4764" t="s">
        <v>4555</v>
      </c>
      <c r="M4764" s="2">
        <v>1546</v>
      </c>
      <c r="N4764" t="s">
        <v>5280</v>
      </c>
      <c r="O4764">
        <v>3</v>
      </c>
      <c r="P4764">
        <v>2</v>
      </c>
      <c r="Q4764">
        <v>0</v>
      </c>
      <c r="R4764" t="s">
        <v>5281</v>
      </c>
      <c r="S4764" t="s">
        <v>4898</v>
      </c>
      <c r="T4764" t="s">
        <v>4559</v>
      </c>
      <c r="U4764" t="s">
        <v>4560</v>
      </c>
      <c r="V4764" s="2">
        <v>420</v>
      </c>
      <c r="W4764" t="s">
        <v>4655</v>
      </c>
      <c r="X4764" s="2">
        <v>0</v>
      </c>
      <c r="Y4764">
        <v>20</v>
      </c>
      <c r="Z4764" t="s">
        <v>5107</v>
      </c>
      <c r="AA4764" s="3">
        <v>9.6969693899154705E-2</v>
      </c>
      <c r="AB4764" t="s">
        <v>24852</v>
      </c>
      <c r="AC4764" t="s">
        <v>4562</v>
      </c>
      <c r="AD4764" t="s">
        <v>24853</v>
      </c>
      <c r="AE4764" t="s">
        <v>4655</v>
      </c>
      <c r="AF4764" t="s">
        <v>4563</v>
      </c>
      <c r="AG4764" t="s">
        <v>4564</v>
      </c>
      <c r="AH4764" t="s">
        <v>5197</v>
      </c>
      <c r="AI4764" t="s">
        <v>3286</v>
      </c>
      <c r="AJ4764" t="s">
        <v>1418</v>
      </c>
      <c r="AK4764" t="s">
        <v>24854</v>
      </c>
      <c r="AL4764" s="13" t="s">
        <v>2257</v>
      </c>
      <c r="AM4764">
        <v>1</v>
      </c>
      <c r="AN4764" s="15" t="s">
        <v>4395</v>
      </c>
    </row>
    <row r="4765" spans="1:40" x14ac:dyDescent="0.3">
      <c r="A4765" s="10" t="str">
        <f>HYPERLINK("http://www.washoecounty.gov/assessor/cama/?parid=140-892-49&amp;CardNumber=1","140-892-49")</f>
        <v>140-892-49</v>
      </c>
      <c r="B4765" t="s">
        <v>4655</v>
      </c>
      <c r="C4765" t="s">
        <v>24855</v>
      </c>
      <c r="D4765" s="1">
        <v>40354</v>
      </c>
      <c r="E4765" s="2">
        <v>208273</v>
      </c>
      <c r="F4765" t="s">
        <v>4567</v>
      </c>
      <c r="G4765" s="17" t="str">
        <f>HYPERLINK("https://www.washoecounty.gov/assessor/cama/?command=sales&amp;parid=14089249","3895483")</f>
        <v>3895483</v>
      </c>
      <c r="H4765" t="s">
        <v>1417</v>
      </c>
      <c r="I4765">
        <v>2010</v>
      </c>
      <c r="J4765">
        <v>2010</v>
      </c>
      <c r="K4765" t="s">
        <v>4897</v>
      </c>
      <c r="L4765" t="s">
        <v>4555</v>
      </c>
      <c r="M4765" s="2">
        <v>1546</v>
      </c>
      <c r="N4765" t="s">
        <v>5280</v>
      </c>
      <c r="O4765">
        <v>3</v>
      </c>
      <c r="P4765">
        <v>2</v>
      </c>
      <c r="Q4765">
        <v>0</v>
      </c>
      <c r="R4765" t="s">
        <v>5281</v>
      </c>
      <c r="S4765" t="s">
        <v>4898</v>
      </c>
      <c r="T4765" t="s">
        <v>4559</v>
      </c>
      <c r="U4765" t="s">
        <v>4560</v>
      </c>
      <c r="V4765" s="2">
        <v>420</v>
      </c>
      <c r="W4765" t="s">
        <v>4655</v>
      </c>
      <c r="X4765" s="2">
        <v>0</v>
      </c>
      <c r="Y4765">
        <v>20</v>
      </c>
      <c r="Z4765" t="s">
        <v>5107</v>
      </c>
      <c r="AA4765" s="3">
        <v>0.103099174797535</v>
      </c>
      <c r="AB4765" t="s">
        <v>24856</v>
      </c>
      <c r="AC4765" t="s">
        <v>4575</v>
      </c>
      <c r="AD4765" t="s">
        <v>24857</v>
      </c>
      <c r="AE4765" t="s">
        <v>4655</v>
      </c>
      <c r="AF4765" t="s">
        <v>4563</v>
      </c>
      <c r="AG4765" t="s">
        <v>4564</v>
      </c>
      <c r="AH4765" t="s">
        <v>5197</v>
      </c>
      <c r="AI4765" t="s">
        <v>3286</v>
      </c>
      <c r="AJ4765" t="s">
        <v>1418</v>
      </c>
      <c r="AK4765" t="s">
        <v>24858</v>
      </c>
      <c r="AL4765" s="13" t="s">
        <v>2257</v>
      </c>
      <c r="AM4765">
        <v>1</v>
      </c>
      <c r="AN4765" s="15" t="s">
        <v>4395</v>
      </c>
    </row>
    <row r="4766" spans="1:40" x14ac:dyDescent="0.3">
      <c r="A4766" s="10" t="str">
        <f>HYPERLINK("http://www.washoecounty.gov/assessor/cama/?parid=140-893-22&amp;CardNumber=1","140-893-22")</f>
        <v>140-893-22</v>
      </c>
      <c r="B4766" t="s">
        <v>4655</v>
      </c>
      <c r="C4766" t="s">
        <v>24859</v>
      </c>
      <c r="D4766" s="1">
        <v>40357</v>
      </c>
      <c r="E4766" s="2">
        <v>200000</v>
      </c>
      <c r="F4766" t="s">
        <v>4567</v>
      </c>
      <c r="G4766" s="17" t="str">
        <f>HYPERLINK("https://www.washoecounty.gov/assessor/cama/?command=sales&amp;parid=14089322","3896109")</f>
        <v>3896109</v>
      </c>
      <c r="H4766" t="s">
        <v>24860</v>
      </c>
      <c r="I4766">
        <v>2009</v>
      </c>
      <c r="J4766">
        <v>2009</v>
      </c>
      <c r="K4766" t="s">
        <v>4897</v>
      </c>
      <c r="L4766" t="s">
        <v>4555</v>
      </c>
      <c r="M4766" s="2">
        <v>1546</v>
      </c>
      <c r="N4766" t="s">
        <v>5280</v>
      </c>
      <c r="O4766">
        <v>3</v>
      </c>
      <c r="P4766">
        <v>2</v>
      </c>
      <c r="Q4766">
        <v>0</v>
      </c>
      <c r="R4766" t="s">
        <v>5281</v>
      </c>
      <c r="S4766" t="s">
        <v>4898</v>
      </c>
      <c r="T4766" t="s">
        <v>4559</v>
      </c>
      <c r="U4766" t="s">
        <v>4560</v>
      </c>
      <c r="V4766" s="2">
        <v>420</v>
      </c>
      <c r="W4766" t="s">
        <v>4655</v>
      </c>
      <c r="X4766" s="2">
        <v>0</v>
      </c>
      <c r="Y4766">
        <v>20</v>
      </c>
      <c r="Z4766" t="s">
        <v>5107</v>
      </c>
      <c r="AA4766" s="3">
        <v>0.104453630745411</v>
      </c>
      <c r="AB4766" t="s">
        <v>24861</v>
      </c>
      <c r="AC4766" t="s">
        <v>4562</v>
      </c>
      <c r="AD4766" t="s">
        <v>24859</v>
      </c>
      <c r="AE4766" t="s">
        <v>4655</v>
      </c>
      <c r="AF4766" t="s">
        <v>4563</v>
      </c>
      <c r="AG4766" t="s">
        <v>4564</v>
      </c>
      <c r="AH4766" t="s">
        <v>5197</v>
      </c>
      <c r="AI4766" t="s">
        <v>24862</v>
      </c>
      <c r="AJ4766" t="s">
        <v>24863</v>
      </c>
      <c r="AK4766" t="s">
        <v>24864</v>
      </c>
      <c r="AL4766" s="13" t="s">
        <v>2257</v>
      </c>
      <c r="AM4766" s="14">
        <v>1</v>
      </c>
      <c r="AN4766" s="15" t="s">
        <v>4395</v>
      </c>
    </row>
    <row r="4767" spans="1:40" x14ac:dyDescent="0.3">
      <c r="A4767" s="10" t="str">
        <f>HYPERLINK("http://www.washoecounty.gov/assessor/cama/?parid=140-893-24&amp;CardNumber=1","140-893-24")</f>
        <v>140-893-24</v>
      </c>
      <c r="B4767" t="s">
        <v>4655</v>
      </c>
      <c r="C4767" t="s">
        <v>24865</v>
      </c>
      <c r="D4767" s="1">
        <v>40379</v>
      </c>
      <c r="E4767" s="2">
        <v>192175</v>
      </c>
      <c r="F4767" t="s">
        <v>4567</v>
      </c>
      <c r="G4767" s="17" t="str">
        <f>HYPERLINK("https://www.washoecounty.gov/assessor/cama/?command=sales&amp;parid=14089324","3903307")</f>
        <v>3903307</v>
      </c>
      <c r="H4767" t="s">
        <v>24860</v>
      </c>
      <c r="I4767">
        <v>2010</v>
      </c>
      <c r="J4767">
        <v>2010</v>
      </c>
      <c r="K4767" t="s">
        <v>4897</v>
      </c>
      <c r="L4767" t="s">
        <v>4555</v>
      </c>
      <c r="M4767" s="2">
        <v>1546</v>
      </c>
      <c r="N4767" t="s">
        <v>5280</v>
      </c>
      <c r="O4767">
        <v>3</v>
      </c>
      <c r="P4767">
        <v>2</v>
      </c>
      <c r="Q4767">
        <v>0</v>
      </c>
      <c r="R4767" t="s">
        <v>5281</v>
      </c>
      <c r="S4767" t="s">
        <v>4898</v>
      </c>
      <c r="T4767" t="s">
        <v>4559</v>
      </c>
      <c r="U4767" t="s">
        <v>4560</v>
      </c>
      <c r="V4767" s="2">
        <v>420</v>
      </c>
      <c r="W4767" t="s">
        <v>4655</v>
      </c>
      <c r="X4767" s="2">
        <v>0</v>
      </c>
      <c r="Y4767">
        <v>20</v>
      </c>
      <c r="Z4767" t="s">
        <v>5107</v>
      </c>
      <c r="AA4767" s="3">
        <v>0.102754823863506</v>
      </c>
      <c r="AB4767" t="s">
        <v>24866</v>
      </c>
      <c r="AC4767" t="s">
        <v>4562</v>
      </c>
      <c r="AD4767" t="s">
        <v>24865</v>
      </c>
      <c r="AE4767" t="s">
        <v>4655</v>
      </c>
      <c r="AF4767" t="s">
        <v>4563</v>
      </c>
      <c r="AG4767" t="s">
        <v>4564</v>
      </c>
      <c r="AH4767" t="s">
        <v>5197</v>
      </c>
      <c r="AI4767" t="s">
        <v>3286</v>
      </c>
      <c r="AJ4767" t="s">
        <v>24867</v>
      </c>
      <c r="AK4767" t="s">
        <v>24868</v>
      </c>
      <c r="AL4767" s="13" t="s">
        <v>2257</v>
      </c>
      <c r="AM4767">
        <v>1</v>
      </c>
      <c r="AN4767" s="15" t="s">
        <v>4395</v>
      </c>
    </row>
    <row r="4768" spans="1:40" x14ac:dyDescent="0.3">
      <c r="A4768" s="10" t="str">
        <f>HYPERLINK("http://www.washoecounty.gov/assessor/cama/?parid=140-893-25&amp;CardNumber=1","140-893-25")</f>
        <v>140-893-25</v>
      </c>
      <c r="B4768" t="s">
        <v>4655</v>
      </c>
      <c r="C4768" t="s">
        <v>24869</v>
      </c>
      <c r="D4768" s="1">
        <v>40389</v>
      </c>
      <c r="E4768" s="2">
        <v>204453</v>
      </c>
      <c r="F4768" t="s">
        <v>4567</v>
      </c>
      <c r="G4768" s="17" t="str">
        <f>HYPERLINK("https://www.washoecounty.gov/assessor/cama/?command=sales&amp;parid=14089325","3907541")</f>
        <v>3907541</v>
      </c>
      <c r="H4768" t="s">
        <v>24860</v>
      </c>
      <c r="I4768">
        <v>2010</v>
      </c>
      <c r="J4768">
        <v>2010</v>
      </c>
      <c r="K4768" t="s">
        <v>4897</v>
      </c>
      <c r="L4768" t="s">
        <v>4555</v>
      </c>
      <c r="M4768" s="2">
        <v>1546</v>
      </c>
      <c r="N4768" t="s">
        <v>5280</v>
      </c>
      <c r="O4768">
        <v>3</v>
      </c>
      <c r="P4768">
        <v>2</v>
      </c>
      <c r="Q4768">
        <v>0</v>
      </c>
      <c r="R4768" t="s">
        <v>5281</v>
      </c>
      <c r="S4768" t="s">
        <v>4898</v>
      </c>
      <c r="T4768" t="s">
        <v>4559</v>
      </c>
      <c r="U4768" t="s">
        <v>4560</v>
      </c>
      <c r="V4768" s="2">
        <v>420</v>
      </c>
      <c r="W4768" t="s">
        <v>4655</v>
      </c>
      <c r="X4768" s="2">
        <v>0</v>
      </c>
      <c r="Y4768">
        <v>20</v>
      </c>
      <c r="Z4768" t="s">
        <v>5107</v>
      </c>
      <c r="AA4768" s="3">
        <v>9.8048672080040006E-2</v>
      </c>
      <c r="AB4768" t="s">
        <v>24870</v>
      </c>
      <c r="AC4768" t="s">
        <v>4575</v>
      </c>
      <c r="AD4768" t="s">
        <v>24871</v>
      </c>
      <c r="AE4768" t="s">
        <v>24872</v>
      </c>
      <c r="AF4768" t="s">
        <v>4563</v>
      </c>
      <c r="AG4768" t="s">
        <v>4564</v>
      </c>
      <c r="AH4768" t="s">
        <v>5197</v>
      </c>
      <c r="AI4768" t="s">
        <v>24873</v>
      </c>
      <c r="AJ4768" t="s">
        <v>24874</v>
      </c>
      <c r="AK4768" t="s">
        <v>24875</v>
      </c>
      <c r="AL4768" s="13" t="s">
        <v>2257</v>
      </c>
      <c r="AM4768">
        <v>1</v>
      </c>
      <c r="AN4768" s="15" t="s">
        <v>4395</v>
      </c>
    </row>
    <row r="4769" spans="1:40" x14ac:dyDescent="0.3">
      <c r="A4769" s="10" t="str">
        <f>HYPERLINK("http://www.washoecounty.gov/assessor/cama/?parid=140-911-11&amp;CardNumber=1","140-911-11")</f>
        <v>140-911-11</v>
      </c>
      <c r="B4769" t="s">
        <v>4655</v>
      </c>
      <c r="C4769" t="s">
        <v>24876</v>
      </c>
      <c r="D4769" s="1">
        <v>40183</v>
      </c>
      <c r="E4769" s="2">
        <v>160000</v>
      </c>
      <c r="F4769" t="s">
        <v>4567</v>
      </c>
      <c r="G4769" s="17" t="str">
        <f>HYPERLINK("https://www.washoecounty.gov/assessor/cama/?command=sales&amp;parid=14091111","3836654")</f>
        <v>3836654</v>
      </c>
      <c r="H4769" t="s">
        <v>24877</v>
      </c>
      <c r="I4769">
        <v>2009</v>
      </c>
      <c r="J4769">
        <v>2009</v>
      </c>
      <c r="K4769" t="s">
        <v>4897</v>
      </c>
      <c r="L4769" t="s">
        <v>3974</v>
      </c>
      <c r="M4769" s="2">
        <v>1840</v>
      </c>
      <c r="N4769" t="s">
        <v>5280</v>
      </c>
      <c r="O4769">
        <v>3</v>
      </c>
      <c r="P4769">
        <v>2</v>
      </c>
      <c r="Q4769">
        <v>1</v>
      </c>
      <c r="R4769" t="s">
        <v>5281</v>
      </c>
      <c r="S4769" t="s">
        <v>4898</v>
      </c>
      <c r="T4769" t="s">
        <v>2704</v>
      </c>
      <c r="U4769" t="s">
        <v>5631</v>
      </c>
      <c r="V4769" s="2">
        <v>440</v>
      </c>
      <c r="W4769" t="s">
        <v>4655</v>
      </c>
      <c r="X4769" s="2">
        <v>0</v>
      </c>
      <c r="Y4769">
        <v>21</v>
      </c>
      <c r="Z4769" t="s">
        <v>5107</v>
      </c>
      <c r="AA4769" s="3">
        <v>5.0872359424829497E-2</v>
      </c>
      <c r="AB4769" t="s">
        <v>24878</v>
      </c>
      <c r="AC4769" t="s">
        <v>4575</v>
      </c>
      <c r="AD4769" t="s">
        <v>24879</v>
      </c>
      <c r="AE4769" t="s">
        <v>4655</v>
      </c>
      <c r="AF4769" t="s">
        <v>4563</v>
      </c>
      <c r="AG4769" t="s">
        <v>4564</v>
      </c>
      <c r="AH4769" t="s">
        <v>5197</v>
      </c>
      <c r="AI4769" t="s">
        <v>24880</v>
      </c>
      <c r="AJ4769" t="s">
        <v>24881</v>
      </c>
      <c r="AK4769" t="s">
        <v>24882</v>
      </c>
      <c r="AL4769" s="13" t="s">
        <v>2257</v>
      </c>
      <c r="AM4769">
        <v>1</v>
      </c>
      <c r="AN4769" s="15" t="s">
        <v>3198</v>
      </c>
    </row>
    <row r="4770" spans="1:40" x14ac:dyDescent="0.3">
      <c r="A4770" s="10" t="str">
        <f>HYPERLINK("http://www.washoecounty.gov/assessor/cama/?parid=140-913-03&amp;CardNumber=1","140-913-03")</f>
        <v>140-913-03</v>
      </c>
      <c r="B4770" t="s">
        <v>4655</v>
      </c>
      <c r="C4770" t="s">
        <v>24883</v>
      </c>
      <c r="D4770" s="1">
        <v>40263</v>
      </c>
      <c r="E4770" s="2">
        <v>180000</v>
      </c>
      <c r="F4770" t="s">
        <v>4567</v>
      </c>
      <c r="G4770" s="17" t="str">
        <f>HYPERLINK("https://www.washoecounty.gov/assessor/cama/?command=sales&amp;parid=14091303","3864461")</f>
        <v>3864461</v>
      </c>
      <c r="H4770" t="s">
        <v>3657</v>
      </c>
      <c r="I4770">
        <v>2009</v>
      </c>
      <c r="J4770">
        <v>2009</v>
      </c>
      <c r="K4770" t="s">
        <v>4897</v>
      </c>
      <c r="L4770" t="s">
        <v>3974</v>
      </c>
      <c r="M4770" s="2">
        <v>1840</v>
      </c>
      <c r="N4770" t="s">
        <v>5280</v>
      </c>
      <c r="O4770">
        <v>3</v>
      </c>
      <c r="P4770">
        <v>2</v>
      </c>
      <c r="Q4770">
        <v>1</v>
      </c>
      <c r="R4770" t="s">
        <v>5281</v>
      </c>
      <c r="S4770" t="s">
        <v>4898</v>
      </c>
      <c r="T4770" t="s">
        <v>2704</v>
      </c>
      <c r="U4770" t="s">
        <v>5631</v>
      </c>
      <c r="V4770" s="2">
        <v>440</v>
      </c>
      <c r="W4770" t="s">
        <v>4655</v>
      </c>
      <c r="X4770" s="2">
        <v>0</v>
      </c>
      <c r="Y4770">
        <v>21</v>
      </c>
      <c r="Z4770" t="s">
        <v>5107</v>
      </c>
      <c r="AA4770" s="3">
        <v>5.0872359424829497E-2</v>
      </c>
      <c r="AB4770" t="s">
        <v>24884</v>
      </c>
      <c r="AC4770" t="s">
        <v>4562</v>
      </c>
      <c r="AD4770" t="s">
        <v>24885</v>
      </c>
      <c r="AE4770" t="s">
        <v>4655</v>
      </c>
      <c r="AF4770" t="s">
        <v>4563</v>
      </c>
      <c r="AG4770" t="s">
        <v>4564</v>
      </c>
      <c r="AH4770" t="s">
        <v>5197</v>
      </c>
      <c r="AI4770" t="s">
        <v>549</v>
      </c>
      <c r="AJ4770" t="s">
        <v>24881</v>
      </c>
      <c r="AK4770" t="s">
        <v>24886</v>
      </c>
      <c r="AL4770" s="13" t="s">
        <v>2257</v>
      </c>
      <c r="AM4770" s="14">
        <v>1</v>
      </c>
      <c r="AN4770" s="15" t="s">
        <v>3198</v>
      </c>
    </row>
    <row r="4771" spans="1:40" x14ac:dyDescent="0.3">
      <c r="A4771" s="10" t="str">
        <f>HYPERLINK("http://www.washoecounty.gov/assessor/cama/?parid=140-913-10&amp;CardNumber=1","140-913-10")</f>
        <v>140-913-10</v>
      </c>
      <c r="B4771" t="s">
        <v>4655</v>
      </c>
      <c r="C4771" t="s">
        <v>24887</v>
      </c>
      <c r="D4771" s="1">
        <v>40277</v>
      </c>
      <c r="E4771" s="2">
        <v>184000</v>
      </c>
      <c r="F4771" t="s">
        <v>4567</v>
      </c>
      <c r="G4771" s="17" t="str">
        <f>HYPERLINK("https://www.washoecounty.gov/assessor/cama/?command=sales&amp;parid=14091310","3869531")</f>
        <v>3869531</v>
      </c>
      <c r="H4771" t="s">
        <v>3657</v>
      </c>
      <c r="I4771">
        <v>2009</v>
      </c>
      <c r="J4771">
        <v>2009</v>
      </c>
      <c r="K4771" t="s">
        <v>4897</v>
      </c>
      <c r="L4771" t="s">
        <v>3974</v>
      </c>
      <c r="M4771" s="2">
        <v>1840</v>
      </c>
      <c r="N4771" t="s">
        <v>5280</v>
      </c>
      <c r="O4771">
        <v>3</v>
      </c>
      <c r="P4771">
        <v>2</v>
      </c>
      <c r="Q4771">
        <v>1</v>
      </c>
      <c r="R4771" t="s">
        <v>5281</v>
      </c>
      <c r="S4771" t="s">
        <v>4898</v>
      </c>
      <c r="T4771" t="s">
        <v>2704</v>
      </c>
      <c r="U4771" t="s">
        <v>5631</v>
      </c>
      <c r="V4771" s="2">
        <v>440</v>
      </c>
      <c r="W4771" t="s">
        <v>4655</v>
      </c>
      <c r="X4771" s="2">
        <v>0</v>
      </c>
      <c r="Y4771">
        <v>21</v>
      </c>
      <c r="Z4771" t="s">
        <v>5107</v>
      </c>
      <c r="AA4771" s="3">
        <v>5.0872359424829497E-2</v>
      </c>
      <c r="AB4771" t="s">
        <v>24888</v>
      </c>
      <c r="AC4771" t="s">
        <v>4562</v>
      </c>
      <c r="AD4771" t="s">
        <v>24889</v>
      </c>
      <c r="AE4771" t="s">
        <v>4655</v>
      </c>
      <c r="AF4771" t="s">
        <v>4563</v>
      </c>
      <c r="AG4771" t="s">
        <v>4564</v>
      </c>
      <c r="AH4771" t="s">
        <v>5197</v>
      </c>
      <c r="AI4771" t="s">
        <v>549</v>
      </c>
      <c r="AJ4771" t="s">
        <v>24881</v>
      </c>
      <c r="AK4771" t="s">
        <v>24886</v>
      </c>
      <c r="AL4771" s="13" t="s">
        <v>2257</v>
      </c>
      <c r="AM4771" s="14">
        <v>1</v>
      </c>
      <c r="AN4771" s="15" t="s">
        <v>3198</v>
      </c>
    </row>
    <row r="4772" spans="1:40" x14ac:dyDescent="0.3">
      <c r="A4772" s="10" t="str">
        <f>HYPERLINK("http://www.washoecounty.gov/assessor/cama/?parid=140-913-11&amp;CardNumber=1","140-913-11")</f>
        <v>140-913-11</v>
      </c>
      <c r="B4772" t="s">
        <v>4655</v>
      </c>
      <c r="C4772" t="s">
        <v>24890</v>
      </c>
      <c r="D4772" s="1">
        <v>40291</v>
      </c>
      <c r="E4772" s="2">
        <v>185000</v>
      </c>
      <c r="F4772" t="s">
        <v>4567</v>
      </c>
      <c r="G4772" s="17" t="str">
        <f>HYPERLINK("https://www.washoecounty.gov/assessor/cama/?command=sales&amp;parid=14091311","3873939")</f>
        <v>3873939</v>
      </c>
      <c r="H4772" t="s">
        <v>3657</v>
      </c>
      <c r="I4772">
        <v>2009</v>
      </c>
      <c r="J4772">
        <v>2009</v>
      </c>
      <c r="K4772" t="s">
        <v>4897</v>
      </c>
      <c r="L4772" t="s">
        <v>3974</v>
      </c>
      <c r="M4772" s="2">
        <v>1840</v>
      </c>
      <c r="N4772" t="s">
        <v>5280</v>
      </c>
      <c r="O4772">
        <v>3</v>
      </c>
      <c r="P4772">
        <v>2</v>
      </c>
      <c r="Q4772">
        <v>1</v>
      </c>
      <c r="R4772" t="s">
        <v>5281</v>
      </c>
      <c r="S4772" t="s">
        <v>4898</v>
      </c>
      <c r="T4772" t="s">
        <v>2704</v>
      </c>
      <c r="U4772" t="s">
        <v>5631</v>
      </c>
      <c r="V4772" s="2">
        <v>440</v>
      </c>
      <c r="W4772" t="s">
        <v>4655</v>
      </c>
      <c r="X4772" s="2">
        <v>0</v>
      </c>
      <c r="Y4772">
        <v>21</v>
      </c>
      <c r="Z4772" t="s">
        <v>5107</v>
      </c>
      <c r="AA4772" s="3">
        <v>5.0872359424829497E-2</v>
      </c>
      <c r="AB4772" t="s">
        <v>24891</v>
      </c>
      <c r="AC4772" t="s">
        <v>4562</v>
      </c>
      <c r="AD4772" t="s">
        <v>24892</v>
      </c>
      <c r="AE4772" t="s">
        <v>4655</v>
      </c>
      <c r="AF4772" t="s">
        <v>5737</v>
      </c>
      <c r="AG4772" t="s">
        <v>4331</v>
      </c>
      <c r="AH4772">
        <v>2116</v>
      </c>
      <c r="AI4772" t="s">
        <v>549</v>
      </c>
      <c r="AJ4772" t="s">
        <v>24881</v>
      </c>
      <c r="AK4772" t="s">
        <v>24886</v>
      </c>
      <c r="AL4772" s="13" t="s">
        <v>2257</v>
      </c>
      <c r="AM4772">
        <v>1</v>
      </c>
      <c r="AN4772" s="15" t="s">
        <v>3198</v>
      </c>
    </row>
    <row r="4773" spans="1:40" x14ac:dyDescent="0.3">
      <c r="A4773" s="10" t="str">
        <f>HYPERLINK("http://www.washoecounty.gov/assessor/cama/?parid=140-913-12&amp;CardNumber=1","140-913-12")</f>
        <v>140-913-12</v>
      </c>
      <c r="B4773" t="s">
        <v>4655</v>
      </c>
      <c r="C4773" t="s">
        <v>24890</v>
      </c>
      <c r="D4773" s="1">
        <v>40429</v>
      </c>
      <c r="E4773" s="2">
        <v>177000</v>
      </c>
      <c r="F4773" t="s">
        <v>4567</v>
      </c>
      <c r="G4773" s="17" t="str">
        <f>HYPERLINK("https://www.washoecounty.gov/assessor/cama/?command=sales&amp;parid=14091312","3919993")</f>
        <v>3919993</v>
      </c>
      <c r="H4773" t="s">
        <v>3657</v>
      </c>
      <c r="I4773">
        <v>2009</v>
      </c>
      <c r="J4773">
        <v>2009</v>
      </c>
      <c r="K4773" t="s">
        <v>4897</v>
      </c>
      <c r="L4773" t="s">
        <v>3974</v>
      </c>
      <c r="M4773" s="2">
        <v>1760</v>
      </c>
      <c r="N4773" t="s">
        <v>5280</v>
      </c>
      <c r="O4773">
        <v>3</v>
      </c>
      <c r="P4773">
        <v>2</v>
      </c>
      <c r="Q4773">
        <v>1</v>
      </c>
      <c r="R4773" t="s">
        <v>5281</v>
      </c>
      <c r="S4773" t="s">
        <v>4898</v>
      </c>
      <c r="T4773" t="s">
        <v>2704</v>
      </c>
      <c r="U4773" t="s">
        <v>5631</v>
      </c>
      <c r="V4773" s="2">
        <v>516</v>
      </c>
      <c r="W4773" t="s">
        <v>4655</v>
      </c>
      <c r="X4773" s="2">
        <v>0</v>
      </c>
      <c r="Y4773">
        <v>21</v>
      </c>
      <c r="Z4773" t="s">
        <v>5107</v>
      </c>
      <c r="AA4773" s="3">
        <v>4.7543618828058201E-2</v>
      </c>
      <c r="AB4773" t="s">
        <v>24893</v>
      </c>
      <c r="AC4773" t="s">
        <v>4562</v>
      </c>
      <c r="AD4773" t="s">
        <v>24894</v>
      </c>
      <c r="AE4773" t="s">
        <v>4655</v>
      </c>
      <c r="AF4773" t="s">
        <v>4563</v>
      </c>
      <c r="AG4773" t="s">
        <v>4564</v>
      </c>
      <c r="AH4773" t="s">
        <v>5197</v>
      </c>
      <c r="AI4773" t="s">
        <v>4655</v>
      </c>
      <c r="AJ4773" t="s">
        <v>24881</v>
      </c>
      <c r="AK4773" t="s">
        <v>24895</v>
      </c>
      <c r="AL4773" s="13" t="s">
        <v>2257</v>
      </c>
      <c r="AM4773">
        <v>1</v>
      </c>
      <c r="AN4773" s="15" t="s">
        <v>3198</v>
      </c>
    </row>
    <row r="4774" spans="1:40" x14ac:dyDescent="0.3">
      <c r="A4774" s="10" t="str">
        <f>HYPERLINK("http://www.washoecounty.gov/assessor/cama/?parid=140-913-13&amp;CardNumber=1","140-913-13")</f>
        <v>140-913-13</v>
      </c>
      <c r="B4774" t="s">
        <v>4655</v>
      </c>
      <c r="C4774" t="s">
        <v>24896</v>
      </c>
      <c r="D4774" s="1">
        <v>40268</v>
      </c>
      <c r="E4774" s="2">
        <v>180899</v>
      </c>
      <c r="F4774" t="s">
        <v>4567</v>
      </c>
      <c r="G4774" s="17" t="str">
        <f>HYPERLINK("https://www.washoecounty.gov/assessor/cama/?command=sales&amp;parid=14091313","3866343")</f>
        <v>3866343</v>
      </c>
      <c r="H4774" t="s">
        <v>3657</v>
      </c>
      <c r="I4774">
        <v>2009</v>
      </c>
      <c r="J4774">
        <v>2009</v>
      </c>
      <c r="K4774" t="s">
        <v>4897</v>
      </c>
      <c r="L4774" t="s">
        <v>3974</v>
      </c>
      <c r="M4774" s="2">
        <v>1760</v>
      </c>
      <c r="N4774" t="s">
        <v>5280</v>
      </c>
      <c r="O4774">
        <v>3</v>
      </c>
      <c r="P4774">
        <v>2</v>
      </c>
      <c r="Q4774">
        <v>1</v>
      </c>
      <c r="R4774" t="s">
        <v>5281</v>
      </c>
      <c r="S4774" t="s">
        <v>4898</v>
      </c>
      <c r="T4774" t="s">
        <v>2704</v>
      </c>
      <c r="U4774" t="s">
        <v>5631</v>
      </c>
      <c r="V4774" s="2">
        <v>516</v>
      </c>
      <c r="W4774" t="s">
        <v>4655</v>
      </c>
      <c r="X4774" s="2">
        <v>0</v>
      </c>
      <c r="Y4774">
        <v>21</v>
      </c>
      <c r="Z4774" t="s">
        <v>5107</v>
      </c>
      <c r="AA4774" s="3">
        <v>4.74747456610203E-2</v>
      </c>
      <c r="AB4774" t="s">
        <v>24897</v>
      </c>
      <c r="AC4774" t="s">
        <v>4575</v>
      </c>
      <c r="AD4774" t="s">
        <v>24898</v>
      </c>
      <c r="AE4774" t="s">
        <v>4655</v>
      </c>
      <c r="AF4774" t="s">
        <v>4563</v>
      </c>
      <c r="AG4774" t="s">
        <v>5529</v>
      </c>
      <c r="AH4774" t="s">
        <v>5197</v>
      </c>
      <c r="AI4774" t="s">
        <v>549</v>
      </c>
      <c r="AJ4774" t="s">
        <v>24881</v>
      </c>
      <c r="AK4774" t="s">
        <v>24895</v>
      </c>
      <c r="AL4774" s="13" t="s">
        <v>2257</v>
      </c>
      <c r="AM4774">
        <v>1</v>
      </c>
      <c r="AN4774" s="15" t="s">
        <v>3198</v>
      </c>
    </row>
    <row r="4775" spans="1:40" x14ac:dyDescent="0.3">
      <c r="A4775" s="10" t="str">
        <f>HYPERLINK("http://www.washoecounty.gov/assessor/cama/?parid=140-913-14&amp;CardNumber=1","140-913-14")</f>
        <v>140-913-14</v>
      </c>
      <c r="B4775" t="s">
        <v>4655</v>
      </c>
      <c r="C4775" t="s">
        <v>24896</v>
      </c>
      <c r="D4775" s="1">
        <v>40324</v>
      </c>
      <c r="E4775" s="2">
        <v>187870</v>
      </c>
      <c r="F4775" t="s">
        <v>4567</v>
      </c>
      <c r="G4775" s="17" t="str">
        <f>HYPERLINK("https://www.washoecounty.gov/assessor/cama/?command=sales&amp;parid=14091314","3885607")</f>
        <v>3885607</v>
      </c>
      <c r="H4775" t="s">
        <v>3657</v>
      </c>
      <c r="I4775">
        <v>2009</v>
      </c>
      <c r="J4775">
        <v>2009</v>
      </c>
      <c r="K4775" t="s">
        <v>4897</v>
      </c>
      <c r="L4775" t="s">
        <v>3974</v>
      </c>
      <c r="M4775" s="2">
        <v>1840</v>
      </c>
      <c r="N4775" t="s">
        <v>5280</v>
      </c>
      <c r="O4775">
        <v>3</v>
      </c>
      <c r="P4775">
        <v>2</v>
      </c>
      <c r="Q4775">
        <v>1</v>
      </c>
      <c r="R4775" t="s">
        <v>5281</v>
      </c>
      <c r="S4775" t="s">
        <v>4898</v>
      </c>
      <c r="T4775" t="s">
        <v>2704</v>
      </c>
      <c r="U4775" t="s">
        <v>5631</v>
      </c>
      <c r="V4775" s="2">
        <v>440</v>
      </c>
      <c r="W4775" t="s">
        <v>4655</v>
      </c>
      <c r="X4775" s="2">
        <v>0</v>
      </c>
      <c r="Y4775">
        <v>21</v>
      </c>
      <c r="Z4775" t="s">
        <v>5107</v>
      </c>
      <c r="AA4775" s="3">
        <v>5.0872359424829497E-2</v>
      </c>
      <c r="AB4775" t="s">
        <v>24899</v>
      </c>
      <c r="AC4775" t="s">
        <v>4562</v>
      </c>
      <c r="AD4775" t="s">
        <v>24900</v>
      </c>
      <c r="AE4775" t="s">
        <v>4655</v>
      </c>
      <c r="AF4775" t="s">
        <v>4563</v>
      </c>
      <c r="AG4775" t="s">
        <v>4564</v>
      </c>
      <c r="AH4775" t="s">
        <v>5197</v>
      </c>
      <c r="AI4775" t="s">
        <v>549</v>
      </c>
      <c r="AJ4775" t="s">
        <v>24881</v>
      </c>
      <c r="AK4775" t="s">
        <v>24886</v>
      </c>
      <c r="AL4775" s="13" t="s">
        <v>2257</v>
      </c>
      <c r="AM4775">
        <v>1</v>
      </c>
      <c r="AN4775" s="15" t="s">
        <v>3198</v>
      </c>
    </row>
    <row r="4776" spans="1:40" x14ac:dyDescent="0.3">
      <c r="A4776" s="10" t="str">
        <f>HYPERLINK("http://www.washoecounty.gov/assessor/cama/?parid=140-913-15&amp;CardNumber=1","140-913-15")</f>
        <v>140-913-15</v>
      </c>
      <c r="B4776" t="s">
        <v>4655</v>
      </c>
      <c r="C4776" t="s">
        <v>24901</v>
      </c>
      <c r="D4776" s="1">
        <v>40326</v>
      </c>
      <c r="E4776" s="2">
        <v>185000</v>
      </c>
      <c r="F4776" t="s">
        <v>4567</v>
      </c>
      <c r="G4776" s="17" t="str">
        <f>HYPERLINK("https://www.washoecounty.gov/assessor/cama/?command=sales&amp;parid=14091315","3886387")</f>
        <v>3886387</v>
      </c>
      <c r="H4776" t="s">
        <v>3657</v>
      </c>
      <c r="I4776">
        <v>2009</v>
      </c>
      <c r="J4776">
        <v>2009</v>
      </c>
      <c r="K4776" t="s">
        <v>4897</v>
      </c>
      <c r="L4776" t="s">
        <v>3974</v>
      </c>
      <c r="M4776" s="2">
        <v>1840</v>
      </c>
      <c r="N4776" t="s">
        <v>5280</v>
      </c>
      <c r="O4776">
        <v>3</v>
      </c>
      <c r="P4776">
        <v>2</v>
      </c>
      <c r="Q4776">
        <v>1</v>
      </c>
      <c r="R4776" t="s">
        <v>5281</v>
      </c>
      <c r="S4776" t="s">
        <v>4898</v>
      </c>
      <c r="T4776" t="s">
        <v>2704</v>
      </c>
      <c r="U4776" t="s">
        <v>5631</v>
      </c>
      <c r="V4776" s="2">
        <v>440</v>
      </c>
      <c r="W4776" t="s">
        <v>4655</v>
      </c>
      <c r="X4776" s="2">
        <v>0</v>
      </c>
      <c r="Y4776">
        <v>21</v>
      </c>
      <c r="Z4776" t="s">
        <v>5107</v>
      </c>
      <c r="AA4776" s="3">
        <v>5.15599995851517E-2</v>
      </c>
      <c r="AB4776" t="s">
        <v>24902</v>
      </c>
      <c r="AC4776" t="s">
        <v>4575</v>
      </c>
      <c r="AD4776" t="s">
        <v>24600</v>
      </c>
      <c r="AE4776" t="s">
        <v>4655</v>
      </c>
      <c r="AF4776" t="s">
        <v>1407</v>
      </c>
      <c r="AG4776" t="s">
        <v>4564</v>
      </c>
      <c r="AH4776">
        <v>89703</v>
      </c>
      <c r="AI4776" t="s">
        <v>549</v>
      </c>
      <c r="AJ4776" t="s">
        <v>24881</v>
      </c>
      <c r="AK4776" t="s">
        <v>24903</v>
      </c>
      <c r="AL4776" s="13" t="s">
        <v>2257</v>
      </c>
      <c r="AM4776" s="14">
        <v>1</v>
      </c>
      <c r="AN4776" s="15" t="s">
        <v>3198</v>
      </c>
    </row>
    <row r="4777" spans="1:40" x14ac:dyDescent="0.3">
      <c r="A4777" s="10" t="str">
        <f>HYPERLINK("http://www.washoecounty.gov/assessor/cama/?parid=140-913-16&amp;CardNumber=1","140-913-16")</f>
        <v>140-913-16</v>
      </c>
      <c r="B4777" t="s">
        <v>4655</v>
      </c>
      <c r="C4777" t="s">
        <v>24901</v>
      </c>
      <c r="D4777" s="1">
        <v>40343</v>
      </c>
      <c r="E4777" s="2">
        <v>177786</v>
      </c>
      <c r="F4777" t="s">
        <v>4567</v>
      </c>
      <c r="G4777" s="17" t="str">
        <f>HYPERLINK("https://www.washoecounty.gov/assessor/cama/?command=sales&amp;parid=14091316","3891555")</f>
        <v>3891555</v>
      </c>
      <c r="H4777" t="s">
        <v>3657</v>
      </c>
      <c r="I4777">
        <v>2009</v>
      </c>
      <c r="J4777">
        <v>2009</v>
      </c>
      <c r="K4777" t="s">
        <v>4897</v>
      </c>
      <c r="L4777" t="s">
        <v>3974</v>
      </c>
      <c r="M4777" s="2">
        <v>1760</v>
      </c>
      <c r="N4777" t="s">
        <v>5280</v>
      </c>
      <c r="O4777">
        <v>3</v>
      </c>
      <c r="P4777">
        <v>2</v>
      </c>
      <c r="Q4777">
        <v>1</v>
      </c>
      <c r="R4777" t="s">
        <v>5281</v>
      </c>
      <c r="S4777" t="s">
        <v>4898</v>
      </c>
      <c r="T4777" t="s">
        <v>2704</v>
      </c>
      <c r="U4777" t="s">
        <v>5631</v>
      </c>
      <c r="V4777" s="2">
        <v>516</v>
      </c>
      <c r="W4777" t="s">
        <v>4655</v>
      </c>
      <c r="X4777" s="2">
        <v>0</v>
      </c>
      <c r="Y4777">
        <v>21</v>
      </c>
      <c r="Z4777" t="s">
        <v>5107</v>
      </c>
      <c r="AA4777" s="3">
        <v>4.7543618828058201E-2</v>
      </c>
      <c r="AB4777" t="s">
        <v>24904</v>
      </c>
      <c r="AC4777" t="s">
        <v>4562</v>
      </c>
      <c r="AD4777" t="s">
        <v>24905</v>
      </c>
      <c r="AE4777" t="s">
        <v>4655</v>
      </c>
      <c r="AF4777" t="s">
        <v>4563</v>
      </c>
      <c r="AG4777" t="s">
        <v>4564</v>
      </c>
      <c r="AH4777" t="s">
        <v>5197</v>
      </c>
      <c r="AI4777" t="s">
        <v>549</v>
      </c>
      <c r="AJ4777" t="s">
        <v>24881</v>
      </c>
      <c r="AK4777" t="s">
        <v>24895</v>
      </c>
      <c r="AL4777" s="13" t="s">
        <v>2257</v>
      </c>
      <c r="AM4777">
        <v>1</v>
      </c>
      <c r="AN4777" s="15" t="s">
        <v>3198</v>
      </c>
    </row>
    <row r="4778" spans="1:40" x14ac:dyDescent="0.3">
      <c r="A4778" s="10" t="str">
        <f>HYPERLINK("http://www.washoecounty.gov/assessor/cama/?parid=140-913-17&amp;CardNumber=1","140-913-17")</f>
        <v>140-913-17</v>
      </c>
      <c r="B4778" t="s">
        <v>4655</v>
      </c>
      <c r="C4778" t="s">
        <v>24906</v>
      </c>
      <c r="D4778" s="1">
        <v>40298</v>
      </c>
      <c r="E4778" s="2">
        <v>176000</v>
      </c>
      <c r="F4778" t="s">
        <v>4567</v>
      </c>
      <c r="G4778" s="17" t="str">
        <f>HYPERLINK("https://www.washoecounty.gov/assessor/cama/?command=sales&amp;parid=14091317","3877104")</f>
        <v>3877104</v>
      </c>
      <c r="H4778" t="s">
        <v>3657</v>
      </c>
      <c r="I4778">
        <v>2009</v>
      </c>
      <c r="J4778">
        <v>2009</v>
      </c>
      <c r="K4778" t="s">
        <v>4897</v>
      </c>
      <c r="L4778" t="s">
        <v>3974</v>
      </c>
      <c r="M4778" s="2">
        <v>1760</v>
      </c>
      <c r="N4778" t="s">
        <v>5280</v>
      </c>
      <c r="O4778">
        <v>3</v>
      </c>
      <c r="P4778">
        <v>2</v>
      </c>
      <c r="Q4778">
        <v>1</v>
      </c>
      <c r="R4778" t="s">
        <v>5281</v>
      </c>
      <c r="S4778" t="s">
        <v>4898</v>
      </c>
      <c r="T4778" t="s">
        <v>2704</v>
      </c>
      <c r="U4778" t="s">
        <v>5631</v>
      </c>
      <c r="V4778" s="2">
        <v>516</v>
      </c>
      <c r="W4778" t="s">
        <v>4655</v>
      </c>
      <c r="X4778" s="2">
        <v>0</v>
      </c>
      <c r="Y4778">
        <v>21</v>
      </c>
      <c r="Z4778" t="s">
        <v>5107</v>
      </c>
      <c r="AA4778" s="3">
        <v>4.74747456610203E-2</v>
      </c>
      <c r="AB4778" t="s">
        <v>24907</v>
      </c>
      <c r="AC4778" t="s">
        <v>4562</v>
      </c>
      <c r="AD4778" t="s">
        <v>24908</v>
      </c>
      <c r="AE4778" t="s">
        <v>4655</v>
      </c>
      <c r="AF4778" t="s">
        <v>4563</v>
      </c>
      <c r="AG4778" t="s">
        <v>4564</v>
      </c>
      <c r="AH4778" t="s">
        <v>5197</v>
      </c>
      <c r="AI4778" t="s">
        <v>549</v>
      </c>
      <c r="AJ4778" t="s">
        <v>24881</v>
      </c>
      <c r="AK4778" t="s">
        <v>24895</v>
      </c>
      <c r="AL4778" s="13" t="s">
        <v>2257</v>
      </c>
      <c r="AM4778" s="14">
        <v>1</v>
      </c>
      <c r="AN4778" s="15" t="s">
        <v>3198</v>
      </c>
    </row>
    <row r="4779" spans="1:40" x14ac:dyDescent="0.3">
      <c r="A4779" s="10" t="str">
        <f>HYPERLINK("http://www.washoecounty.gov/assessor/cama/?parid=140-913-18&amp;CardNumber=1","140-913-18")</f>
        <v>140-913-18</v>
      </c>
      <c r="B4779" t="s">
        <v>4655</v>
      </c>
      <c r="C4779" t="s">
        <v>24906</v>
      </c>
      <c r="D4779" s="1">
        <v>40268</v>
      </c>
      <c r="E4779" s="2">
        <v>189000</v>
      </c>
      <c r="F4779" t="s">
        <v>4567</v>
      </c>
      <c r="G4779" s="17" t="str">
        <f>HYPERLINK("https://www.washoecounty.gov/assessor/cama/?command=sales&amp;parid=14091318","3866360")</f>
        <v>3866360</v>
      </c>
      <c r="H4779" t="s">
        <v>3657</v>
      </c>
      <c r="I4779">
        <v>2009</v>
      </c>
      <c r="J4779">
        <v>2009</v>
      </c>
      <c r="K4779" t="s">
        <v>4897</v>
      </c>
      <c r="L4779" t="s">
        <v>3974</v>
      </c>
      <c r="M4779" s="2">
        <v>1840</v>
      </c>
      <c r="N4779" t="s">
        <v>5280</v>
      </c>
      <c r="O4779">
        <v>3</v>
      </c>
      <c r="P4779">
        <v>2</v>
      </c>
      <c r="Q4779">
        <v>1</v>
      </c>
      <c r="R4779" t="s">
        <v>5281</v>
      </c>
      <c r="S4779" t="s">
        <v>4898</v>
      </c>
      <c r="T4779" t="s">
        <v>2704</v>
      </c>
      <c r="U4779" t="s">
        <v>5631</v>
      </c>
      <c r="V4779" s="2">
        <v>440</v>
      </c>
      <c r="W4779" t="s">
        <v>4655</v>
      </c>
      <c r="X4779" s="2">
        <v>0</v>
      </c>
      <c r="Y4779">
        <v>21</v>
      </c>
      <c r="Z4779" t="s">
        <v>5107</v>
      </c>
      <c r="AA4779" s="3">
        <v>5.0872359424829497E-2</v>
      </c>
      <c r="AB4779" t="s">
        <v>24909</v>
      </c>
      <c r="AC4779" t="s">
        <v>4562</v>
      </c>
      <c r="AD4779" t="s">
        <v>24910</v>
      </c>
      <c r="AE4779" t="s">
        <v>4655</v>
      </c>
      <c r="AF4779" t="s">
        <v>4563</v>
      </c>
      <c r="AG4779" t="s">
        <v>4564</v>
      </c>
      <c r="AH4779" t="s">
        <v>5197</v>
      </c>
      <c r="AI4779" t="s">
        <v>549</v>
      </c>
      <c r="AJ4779" t="s">
        <v>24881</v>
      </c>
      <c r="AK4779" t="s">
        <v>24886</v>
      </c>
      <c r="AL4779" s="13" t="s">
        <v>2257</v>
      </c>
      <c r="AM4779">
        <v>1</v>
      </c>
      <c r="AN4779" s="15" t="s">
        <v>3198</v>
      </c>
    </row>
    <row r="4780" spans="1:40" x14ac:dyDescent="0.3">
      <c r="A4780" s="10" t="str">
        <f>HYPERLINK("http://www.washoecounty.gov/assessor/cama/?parid=140-913-19&amp;CardNumber=1","140-913-19")</f>
        <v>140-913-19</v>
      </c>
      <c r="B4780" t="s">
        <v>4655</v>
      </c>
      <c r="C4780" t="s">
        <v>24911</v>
      </c>
      <c r="D4780" s="1">
        <v>40262</v>
      </c>
      <c r="E4780" s="2">
        <v>192779</v>
      </c>
      <c r="F4780" t="s">
        <v>4567</v>
      </c>
      <c r="G4780" s="17" t="str">
        <f>HYPERLINK("https://www.washoecounty.gov/assessor/cama/?command=sales&amp;parid=14091319","3863871")</f>
        <v>3863871</v>
      </c>
      <c r="H4780" t="s">
        <v>3657</v>
      </c>
      <c r="I4780">
        <v>2009</v>
      </c>
      <c r="J4780">
        <v>2009</v>
      </c>
      <c r="K4780" t="s">
        <v>4897</v>
      </c>
      <c r="L4780" t="s">
        <v>3974</v>
      </c>
      <c r="M4780" s="2">
        <v>1840</v>
      </c>
      <c r="N4780" t="s">
        <v>5280</v>
      </c>
      <c r="O4780">
        <v>3</v>
      </c>
      <c r="P4780">
        <v>2</v>
      </c>
      <c r="Q4780">
        <v>1</v>
      </c>
      <c r="R4780" t="s">
        <v>5281</v>
      </c>
      <c r="S4780" t="s">
        <v>4898</v>
      </c>
      <c r="T4780" t="s">
        <v>2704</v>
      </c>
      <c r="U4780" t="s">
        <v>5631</v>
      </c>
      <c r="V4780" s="2">
        <v>440</v>
      </c>
      <c r="W4780" t="s">
        <v>4655</v>
      </c>
      <c r="X4780" s="2">
        <v>0</v>
      </c>
      <c r="Y4780">
        <v>21</v>
      </c>
      <c r="Z4780" t="s">
        <v>5107</v>
      </c>
      <c r="AA4780" s="3">
        <v>5.0872359424829497E-2</v>
      </c>
      <c r="AB4780" t="s">
        <v>24912</v>
      </c>
      <c r="AC4780" t="s">
        <v>4575</v>
      </c>
      <c r="AD4780" t="s">
        <v>24911</v>
      </c>
      <c r="AE4780" t="s">
        <v>4655</v>
      </c>
      <c r="AF4780" t="s">
        <v>4563</v>
      </c>
      <c r="AG4780" t="s">
        <v>4564</v>
      </c>
      <c r="AH4780" t="s">
        <v>5197</v>
      </c>
      <c r="AI4780" t="s">
        <v>549</v>
      </c>
      <c r="AJ4780" t="s">
        <v>24881</v>
      </c>
      <c r="AK4780" t="s">
        <v>24886</v>
      </c>
      <c r="AL4780" s="13" t="s">
        <v>2257</v>
      </c>
      <c r="AM4780">
        <v>1</v>
      </c>
      <c r="AN4780" s="15" t="s">
        <v>3198</v>
      </c>
    </row>
    <row r="4781" spans="1:40" x14ac:dyDescent="0.3">
      <c r="A4781" s="10" t="str">
        <f>HYPERLINK("http://www.washoecounty.gov/assessor/cama/?parid=140-913-20&amp;CardNumber=1","140-913-20")</f>
        <v>140-913-20</v>
      </c>
      <c r="B4781" t="s">
        <v>4655</v>
      </c>
      <c r="C4781" t="s">
        <v>24911</v>
      </c>
      <c r="D4781" s="1">
        <v>40267</v>
      </c>
      <c r="E4781" s="2">
        <v>180000</v>
      </c>
      <c r="F4781" t="s">
        <v>4567</v>
      </c>
      <c r="G4781" s="17" t="str">
        <f>HYPERLINK("https://www.washoecounty.gov/assessor/cama/?command=sales&amp;parid=14091320","3865976")</f>
        <v>3865976</v>
      </c>
      <c r="H4781" t="s">
        <v>3657</v>
      </c>
      <c r="I4781">
        <v>2009</v>
      </c>
      <c r="J4781">
        <v>2009</v>
      </c>
      <c r="K4781" t="s">
        <v>4897</v>
      </c>
      <c r="L4781" t="s">
        <v>3974</v>
      </c>
      <c r="M4781" s="2">
        <v>1760</v>
      </c>
      <c r="N4781" t="s">
        <v>5280</v>
      </c>
      <c r="O4781">
        <v>3</v>
      </c>
      <c r="P4781">
        <v>2</v>
      </c>
      <c r="Q4781">
        <v>1</v>
      </c>
      <c r="R4781" t="s">
        <v>5281</v>
      </c>
      <c r="S4781" t="s">
        <v>4898</v>
      </c>
      <c r="T4781" t="s">
        <v>2704</v>
      </c>
      <c r="U4781" t="s">
        <v>5631</v>
      </c>
      <c r="V4781" s="2">
        <v>516</v>
      </c>
      <c r="W4781" t="s">
        <v>4655</v>
      </c>
      <c r="X4781" s="2">
        <v>0</v>
      </c>
      <c r="Y4781">
        <v>21</v>
      </c>
      <c r="Z4781" t="s">
        <v>5107</v>
      </c>
      <c r="AA4781" s="3">
        <v>4.7543618828058201E-2</v>
      </c>
      <c r="AB4781" t="s">
        <v>24913</v>
      </c>
      <c r="AC4781" t="s">
        <v>4575</v>
      </c>
      <c r="AD4781" t="s">
        <v>24914</v>
      </c>
      <c r="AE4781" t="s">
        <v>4655</v>
      </c>
      <c r="AF4781" t="s">
        <v>4563</v>
      </c>
      <c r="AG4781" t="s">
        <v>4564</v>
      </c>
      <c r="AH4781" t="s">
        <v>5197</v>
      </c>
      <c r="AI4781" t="s">
        <v>549</v>
      </c>
      <c r="AJ4781" t="s">
        <v>24881</v>
      </c>
      <c r="AK4781" t="s">
        <v>24895</v>
      </c>
      <c r="AL4781" s="13" t="s">
        <v>2257</v>
      </c>
      <c r="AM4781" s="14">
        <v>1</v>
      </c>
      <c r="AN4781" s="15" t="s">
        <v>3198</v>
      </c>
    </row>
    <row r="4782" spans="1:40" x14ac:dyDescent="0.3">
      <c r="A4782" s="10" t="str">
        <f>HYPERLINK("http://www.washoecounty.gov/assessor/cama/?parid=140-914-07&amp;CardNumber=1","140-914-07")</f>
        <v>140-914-07</v>
      </c>
      <c r="B4782" t="s">
        <v>4655</v>
      </c>
      <c r="C4782" t="s">
        <v>24896</v>
      </c>
      <c r="D4782" s="1">
        <v>40263</v>
      </c>
      <c r="E4782" s="2">
        <v>144402</v>
      </c>
      <c r="F4782" t="s">
        <v>4567</v>
      </c>
      <c r="G4782" s="17" t="str">
        <f>HYPERLINK("https://www.washoecounty.gov/assessor/cama/?command=sales&amp;parid=14091407","3864457")</f>
        <v>3864457</v>
      </c>
      <c r="H4782" t="s">
        <v>3657</v>
      </c>
      <c r="I4782">
        <v>2009</v>
      </c>
      <c r="J4782">
        <v>2009</v>
      </c>
      <c r="K4782" t="s">
        <v>4897</v>
      </c>
      <c r="L4782" t="s">
        <v>3974</v>
      </c>
      <c r="M4782" s="2">
        <v>1330</v>
      </c>
      <c r="N4782" t="s">
        <v>5280</v>
      </c>
      <c r="O4782">
        <v>2</v>
      </c>
      <c r="P4782">
        <v>2</v>
      </c>
      <c r="Q4782">
        <v>0</v>
      </c>
      <c r="R4782" t="s">
        <v>5281</v>
      </c>
      <c r="S4782" t="s">
        <v>4898</v>
      </c>
      <c r="T4782" t="s">
        <v>2704</v>
      </c>
      <c r="U4782" t="s">
        <v>5631</v>
      </c>
      <c r="V4782" s="2">
        <v>220</v>
      </c>
      <c r="W4782" t="s">
        <v>4655</v>
      </c>
      <c r="X4782" s="2">
        <v>0</v>
      </c>
      <c r="Y4782">
        <v>21</v>
      </c>
      <c r="Z4782" t="s">
        <v>5107</v>
      </c>
      <c r="AA4782" s="3">
        <v>3.4090910106897403E-2</v>
      </c>
      <c r="AB4782" t="s">
        <v>24915</v>
      </c>
      <c r="AC4782" t="s">
        <v>4575</v>
      </c>
      <c r="AD4782" t="s">
        <v>24916</v>
      </c>
      <c r="AE4782" t="s">
        <v>4655</v>
      </c>
      <c r="AF4782" t="s">
        <v>4563</v>
      </c>
      <c r="AG4782" t="s">
        <v>4564</v>
      </c>
      <c r="AH4782" t="s">
        <v>5197</v>
      </c>
      <c r="AI4782" t="s">
        <v>549</v>
      </c>
      <c r="AJ4782" t="s">
        <v>24881</v>
      </c>
      <c r="AK4782" t="s">
        <v>24917</v>
      </c>
      <c r="AL4782" s="13" t="s">
        <v>2257</v>
      </c>
      <c r="AM4782" s="14">
        <v>1</v>
      </c>
      <c r="AN4782" s="15" t="s">
        <v>3198</v>
      </c>
    </row>
    <row r="4783" spans="1:40" x14ac:dyDescent="0.3">
      <c r="A4783" s="10" t="str">
        <f>HYPERLINK("http://www.washoecounty.gov/assessor/cama/?parid=140-914-08&amp;CardNumber=1","140-914-08")</f>
        <v>140-914-08</v>
      </c>
      <c r="B4783" t="s">
        <v>4655</v>
      </c>
      <c r="C4783" t="s">
        <v>24901</v>
      </c>
      <c r="D4783" s="1">
        <v>40268</v>
      </c>
      <c r="E4783" s="2">
        <v>150000</v>
      </c>
      <c r="F4783" t="s">
        <v>4567</v>
      </c>
      <c r="G4783" s="17" t="str">
        <f>HYPERLINK("https://www.washoecounty.gov/assessor/cama/?command=sales&amp;parid=14091408","3866385")</f>
        <v>3866385</v>
      </c>
      <c r="H4783" t="s">
        <v>3657</v>
      </c>
      <c r="I4783">
        <v>2009</v>
      </c>
      <c r="J4783">
        <v>2009</v>
      </c>
      <c r="K4783" t="s">
        <v>4897</v>
      </c>
      <c r="L4783" t="s">
        <v>3974</v>
      </c>
      <c r="M4783" s="2">
        <v>1330</v>
      </c>
      <c r="N4783" t="s">
        <v>5280</v>
      </c>
      <c r="O4783">
        <v>2</v>
      </c>
      <c r="P4783">
        <v>2</v>
      </c>
      <c r="Q4783">
        <v>0</v>
      </c>
      <c r="R4783" t="s">
        <v>5281</v>
      </c>
      <c r="S4783" t="s">
        <v>4898</v>
      </c>
      <c r="T4783" t="s">
        <v>2704</v>
      </c>
      <c r="U4783" t="s">
        <v>5631</v>
      </c>
      <c r="V4783" s="2">
        <v>220</v>
      </c>
      <c r="W4783" t="s">
        <v>4655</v>
      </c>
      <c r="X4783" s="2">
        <v>0</v>
      </c>
      <c r="Y4783">
        <v>21</v>
      </c>
      <c r="Z4783" t="s">
        <v>5107</v>
      </c>
      <c r="AA4783" s="3">
        <v>3.4090910106897403E-2</v>
      </c>
      <c r="AB4783" t="s">
        <v>24918</v>
      </c>
      <c r="AC4783" t="s">
        <v>4562</v>
      </c>
      <c r="AD4783" t="s">
        <v>24919</v>
      </c>
      <c r="AE4783" t="s">
        <v>4655</v>
      </c>
      <c r="AF4783" t="s">
        <v>4563</v>
      </c>
      <c r="AG4783" t="s">
        <v>4564</v>
      </c>
      <c r="AH4783" t="s">
        <v>5197</v>
      </c>
      <c r="AI4783" t="s">
        <v>549</v>
      </c>
      <c r="AJ4783" t="s">
        <v>24881</v>
      </c>
      <c r="AK4783" t="s">
        <v>24917</v>
      </c>
      <c r="AL4783" s="13" t="s">
        <v>2257</v>
      </c>
      <c r="AM4783" s="14">
        <v>1</v>
      </c>
      <c r="AN4783" s="15" t="s">
        <v>3198</v>
      </c>
    </row>
    <row r="4784" spans="1:40" x14ac:dyDescent="0.3">
      <c r="A4784" s="10" t="str">
        <f>HYPERLINK("http://www.washoecounty.gov/assessor/cama/?parid=140-914-09&amp;CardNumber=1","140-914-09")</f>
        <v>140-914-09</v>
      </c>
      <c r="B4784" t="s">
        <v>4655</v>
      </c>
      <c r="C4784" t="s">
        <v>24906</v>
      </c>
      <c r="D4784" s="1">
        <v>40248</v>
      </c>
      <c r="E4784" s="2">
        <v>153705</v>
      </c>
      <c r="F4784" t="s">
        <v>4567</v>
      </c>
      <c r="G4784" s="17" t="str">
        <f>HYPERLINK("https://www.washoecounty.gov/assessor/cama/?command=sales&amp;parid=14091409","3858660")</f>
        <v>3858660</v>
      </c>
      <c r="H4784" t="s">
        <v>3657</v>
      </c>
      <c r="I4784">
        <v>2009</v>
      </c>
      <c r="J4784">
        <v>2009</v>
      </c>
      <c r="K4784" t="s">
        <v>4897</v>
      </c>
      <c r="L4784" t="s">
        <v>3974</v>
      </c>
      <c r="M4784" s="2">
        <v>1330</v>
      </c>
      <c r="N4784" t="s">
        <v>5280</v>
      </c>
      <c r="O4784">
        <v>2</v>
      </c>
      <c r="P4784">
        <v>2</v>
      </c>
      <c r="Q4784">
        <v>0</v>
      </c>
      <c r="R4784" t="s">
        <v>5281</v>
      </c>
      <c r="S4784" t="s">
        <v>4898</v>
      </c>
      <c r="T4784" t="s">
        <v>2704</v>
      </c>
      <c r="U4784" t="s">
        <v>5631</v>
      </c>
      <c r="V4784" s="2">
        <v>220</v>
      </c>
      <c r="W4784" t="s">
        <v>4655</v>
      </c>
      <c r="X4784" s="2">
        <v>0</v>
      </c>
      <c r="Y4784">
        <v>21</v>
      </c>
      <c r="Z4784" t="s">
        <v>5107</v>
      </c>
      <c r="AA4784" s="3">
        <v>3.4090910106897403E-2</v>
      </c>
      <c r="AB4784" t="s">
        <v>24920</v>
      </c>
      <c r="AC4784" t="s">
        <v>4575</v>
      </c>
      <c r="AD4784" t="s">
        <v>24921</v>
      </c>
      <c r="AE4784" t="s">
        <v>4655</v>
      </c>
      <c r="AF4784" t="s">
        <v>4563</v>
      </c>
      <c r="AG4784" t="s">
        <v>4564</v>
      </c>
      <c r="AH4784" t="s">
        <v>5197</v>
      </c>
      <c r="AI4784" t="s">
        <v>24922</v>
      </c>
      <c r="AJ4784" t="s">
        <v>24881</v>
      </c>
      <c r="AK4784" t="s">
        <v>24923</v>
      </c>
      <c r="AL4784" s="13" t="s">
        <v>2257</v>
      </c>
      <c r="AM4784">
        <v>1</v>
      </c>
      <c r="AN4784" s="15" t="s">
        <v>3198</v>
      </c>
    </row>
    <row r="4785" spans="1:40" x14ac:dyDescent="0.3">
      <c r="A4785" s="10" t="str">
        <f>HYPERLINK("http://www.washoecounty.gov/assessor/cama/?parid=140-914-10&amp;CardNumber=1","140-914-10")</f>
        <v>140-914-10</v>
      </c>
      <c r="B4785" t="s">
        <v>4655</v>
      </c>
      <c r="C4785" t="s">
        <v>24911</v>
      </c>
      <c r="D4785" s="1">
        <v>40248</v>
      </c>
      <c r="E4785" s="2">
        <v>148000</v>
      </c>
      <c r="F4785" t="s">
        <v>4567</v>
      </c>
      <c r="G4785" s="17" t="str">
        <f>HYPERLINK("https://www.washoecounty.gov/assessor/cama/?command=sales&amp;parid=14091410","3858681")</f>
        <v>3858681</v>
      </c>
      <c r="H4785" t="s">
        <v>3657</v>
      </c>
      <c r="I4785">
        <v>2009</v>
      </c>
      <c r="J4785">
        <v>2009</v>
      </c>
      <c r="K4785" t="s">
        <v>4897</v>
      </c>
      <c r="L4785" t="s">
        <v>3974</v>
      </c>
      <c r="M4785" s="2">
        <v>1330</v>
      </c>
      <c r="N4785" t="s">
        <v>5280</v>
      </c>
      <c r="O4785">
        <v>2</v>
      </c>
      <c r="P4785">
        <v>2</v>
      </c>
      <c r="Q4785">
        <v>0</v>
      </c>
      <c r="R4785" t="s">
        <v>5281</v>
      </c>
      <c r="S4785" t="s">
        <v>4898</v>
      </c>
      <c r="T4785" t="s">
        <v>2704</v>
      </c>
      <c r="U4785" t="s">
        <v>5631</v>
      </c>
      <c r="V4785" s="2">
        <v>220</v>
      </c>
      <c r="W4785" t="s">
        <v>4655</v>
      </c>
      <c r="X4785" s="2">
        <v>0</v>
      </c>
      <c r="Y4785">
        <v>21</v>
      </c>
      <c r="Z4785" t="s">
        <v>5107</v>
      </c>
      <c r="AA4785" s="3">
        <v>3.4090910106897403E-2</v>
      </c>
      <c r="AB4785" t="s">
        <v>24924</v>
      </c>
      <c r="AC4785" t="s">
        <v>4562</v>
      </c>
      <c r="AD4785" t="s">
        <v>24925</v>
      </c>
      <c r="AE4785" t="s">
        <v>4655</v>
      </c>
      <c r="AF4785" t="s">
        <v>4563</v>
      </c>
      <c r="AG4785" t="s">
        <v>4564</v>
      </c>
      <c r="AH4785" t="s">
        <v>5197</v>
      </c>
      <c r="AI4785" t="s">
        <v>549</v>
      </c>
      <c r="AJ4785" t="s">
        <v>24881</v>
      </c>
      <c r="AK4785" t="s">
        <v>24917</v>
      </c>
      <c r="AL4785" s="13" t="s">
        <v>2257</v>
      </c>
      <c r="AM4785" s="14">
        <v>1</v>
      </c>
      <c r="AN4785" s="15" t="s">
        <v>3198</v>
      </c>
    </row>
    <row r="4786" spans="1:40" x14ac:dyDescent="0.3">
      <c r="A4786" s="10" t="str">
        <f>HYPERLINK("http://www.washoecounty.gov/assessor/cama/?parid=141-051-01&amp;CardNumber=1","141-051-01")</f>
        <v>141-051-01</v>
      </c>
      <c r="B4786" t="s">
        <v>4655</v>
      </c>
      <c r="C4786" t="s">
        <v>24926</v>
      </c>
      <c r="D4786" s="1">
        <v>40372</v>
      </c>
      <c r="E4786" s="2">
        <v>38800</v>
      </c>
      <c r="F4786" t="s">
        <v>3174</v>
      </c>
      <c r="G4786" s="17" t="str">
        <f>HYPERLINK("https://www.washoecounty.gov/assessor/cama/?command=sales&amp;parid=14105101","3900916")</f>
        <v>3900916</v>
      </c>
      <c r="H4786" t="s">
        <v>24927</v>
      </c>
      <c r="I4786">
        <v>0</v>
      </c>
      <c r="J4786">
        <v>0</v>
      </c>
      <c r="K4786" t="s">
        <v>4655</v>
      </c>
      <c r="L4786" t="s">
        <v>4655</v>
      </c>
      <c r="M4786" s="2">
        <v>0</v>
      </c>
      <c r="N4786" t="s">
        <v>4655</v>
      </c>
      <c r="O4786">
        <v>0</v>
      </c>
      <c r="P4786">
        <v>0</v>
      </c>
      <c r="Q4786">
        <v>0</v>
      </c>
      <c r="R4786" t="s">
        <v>4655</v>
      </c>
      <c r="S4786" t="s">
        <v>4655</v>
      </c>
      <c r="T4786" t="s">
        <v>4655</v>
      </c>
      <c r="U4786" t="s">
        <v>4655</v>
      </c>
      <c r="V4786" s="2">
        <v>0</v>
      </c>
      <c r="W4786" t="s">
        <v>4655</v>
      </c>
      <c r="X4786" s="2">
        <v>0</v>
      </c>
      <c r="Y4786">
        <v>11</v>
      </c>
      <c r="Z4786" t="s">
        <v>5107</v>
      </c>
      <c r="AA4786" s="3">
        <v>0.119100093841553</v>
      </c>
      <c r="AB4786" t="s">
        <v>24928</v>
      </c>
      <c r="AC4786" t="s">
        <v>4562</v>
      </c>
      <c r="AD4786" t="s">
        <v>10677</v>
      </c>
      <c r="AE4786" t="s">
        <v>4655</v>
      </c>
      <c r="AF4786" t="s">
        <v>5201</v>
      </c>
      <c r="AG4786" t="s">
        <v>4564</v>
      </c>
      <c r="AH4786" t="s">
        <v>5202</v>
      </c>
      <c r="AI4786" t="s">
        <v>1576</v>
      </c>
      <c r="AJ4786" t="s">
        <v>24929</v>
      </c>
      <c r="AK4786" t="s">
        <v>24930</v>
      </c>
      <c r="AL4786" s="13" t="s">
        <v>2257</v>
      </c>
      <c r="AM4786">
        <v>0</v>
      </c>
      <c r="AN4786" s="15" t="s">
        <v>24931</v>
      </c>
    </row>
    <row r="4787" spans="1:40" x14ac:dyDescent="0.3">
      <c r="A4787" s="10" t="str">
        <f>HYPERLINK("http://www.washoecounty.gov/assessor/cama/?parid=141-052-14&amp;CardNumber=1","141-052-14")</f>
        <v>141-052-14</v>
      </c>
      <c r="B4787" t="s">
        <v>4655</v>
      </c>
      <c r="C4787" t="s">
        <v>24926</v>
      </c>
      <c r="D4787" s="1">
        <v>40372</v>
      </c>
      <c r="E4787" s="2">
        <v>38800</v>
      </c>
      <c r="F4787" t="s">
        <v>3174</v>
      </c>
      <c r="G4787" s="17" t="str">
        <f>HYPERLINK("https://www.washoecounty.gov/assessor/cama/?command=sales&amp;parid=14105214","3900916")</f>
        <v>3900916</v>
      </c>
      <c r="H4787" t="s">
        <v>24927</v>
      </c>
      <c r="I4787">
        <v>0</v>
      </c>
      <c r="J4787">
        <v>0</v>
      </c>
      <c r="K4787" t="s">
        <v>4655</v>
      </c>
      <c r="L4787" t="s">
        <v>4655</v>
      </c>
      <c r="M4787" s="2">
        <v>0</v>
      </c>
      <c r="N4787" t="s">
        <v>4655</v>
      </c>
      <c r="O4787">
        <v>0</v>
      </c>
      <c r="P4787">
        <v>0</v>
      </c>
      <c r="Q4787">
        <v>0</v>
      </c>
      <c r="R4787" t="s">
        <v>4655</v>
      </c>
      <c r="S4787" t="s">
        <v>4655</v>
      </c>
      <c r="T4787" t="s">
        <v>4655</v>
      </c>
      <c r="U4787" t="s">
        <v>4655</v>
      </c>
      <c r="V4787" s="2">
        <v>0</v>
      </c>
      <c r="W4787" t="s">
        <v>4655</v>
      </c>
      <c r="X4787" s="2">
        <v>0</v>
      </c>
      <c r="Y4787">
        <v>11</v>
      </c>
      <c r="Z4787" t="s">
        <v>5107</v>
      </c>
      <c r="AA4787" s="3">
        <v>0.11333792656660099</v>
      </c>
      <c r="AB4787" t="s">
        <v>24928</v>
      </c>
      <c r="AC4787" t="s">
        <v>4562</v>
      </c>
      <c r="AD4787" t="s">
        <v>10677</v>
      </c>
      <c r="AE4787" t="s">
        <v>4655</v>
      </c>
      <c r="AF4787" t="s">
        <v>5201</v>
      </c>
      <c r="AG4787" t="s">
        <v>4564</v>
      </c>
      <c r="AH4787" t="s">
        <v>5202</v>
      </c>
      <c r="AI4787" t="s">
        <v>1576</v>
      </c>
      <c r="AJ4787" t="s">
        <v>24929</v>
      </c>
      <c r="AK4787" t="s">
        <v>24932</v>
      </c>
      <c r="AL4787" s="13" t="s">
        <v>2257</v>
      </c>
      <c r="AM4787">
        <v>0</v>
      </c>
      <c r="AN4787" s="15" t="s">
        <v>24931</v>
      </c>
    </row>
    <row r="4788" spans="1:40" x14ac:dyDescent="0.3">
      <c r="A4788" s="10" t="str">
        <f>HYPERLINK("http://www.washoecounty.gov/assessor/cama/?parid=141-052-15&amp;CardNumber=1","141-052-15")</f>
        <v>141-052-15</v>
      </c>
      <c r="B4788" t="s">
        <v>4655</v>
      </c>
      <c r="C4788" t="s">
        <v>24926</v>
      </c>
      <c r="D4788" s="1">
        <v>40372</v>
      </c>
      <c r="E4788" s="2">
        <v>38800</v>
      </c>
      <c r="F4788" t="s">
        <v>3174</v>
      </c>
      <c r="G4788" s="17" t="str">
        <f>HYPERLINK("https://www.washoecounty.gov/assessor/cama/?command=sales&amp;parid=14105215","3900916")</f>
        <v>3900916</v>
      </c>
      <c r="H4788" t="s">
        <v>24927</v>
      </c>
      <c r="I4788">
        <v>0</v>
      </c>
      <c r="J4788">
        <v>0</v>
      </c>
      <c r="K4788" t="s">
        <v>4655</v>
      </c>
      <c r="L4788" t="s">
        <v>4655</v>
      </c>
      <c r="M4788" s="2">
        <v>0</v>
      </c>
      <c r="N4788" t="s">
        <v>4655</v>
      </c>
      <c r="O4788">
        <v>0</v>
      </c>
      <c r="P4788">
        <v>0</v>
      </c>
      <c r="Q4788">
        <v>0</v>
      </c>
      <c r="R4788" t="s">
        <v>4655</v>
      </c>
      <c r="S4788" t="s">
        <v>4655</v>
      </c>
      <c r="T4788" t="s">
        <v>4655</v>
      </c>
      <c r="U4788" t="s">
        <v>4655</v>
      </c>
      <c r="V4788" s="2">
        <v>0</v>
      </c>
      <c r="W4788" t="s">
        <v>4655</v>
      </c>
      <c r="X4788" s="2">
        <v>0</v>
      </c>
      <c r="Y4788">
        <v>11</v>
      </c>
      <c r="Z4788" t="s">
        <v>5107</v>
      </c>
      <c r="AA4788" s="3">
        <v>0.13882002234458901</v>
      </c>
      <c r="AB4788" t="s">
        <v>24928</v>
      </c>
      <c r="AC4788" t="s">
        <v>4562</v>
      </c>
      <c r="AD4788" t="s">
        <v>10677</v>
      </c>
      <c r="AE4788" t="s">
        <v>4655</v>
      </c>
      <c r="AF4788" t="s">
        <v>5201</v>
      </c>
      <c r="AG4788" t="s">
        <v>4564</v>
      </c>
      <c r="AH4788" t="s">
        <v>5202</v>
      </c>
      <c r="AI4788" t="s">
        <v>1576</v>
      </c>
      <c r="AJ4788" t="s">
        <v>24929</v>
      </c>
      <c r="AK4788" t="s">
        <v>24933</v>
      </c>
      <c r="AL4788" s="13" t="s">
        <v>2257</v>
      </c>
      <c r="AM4788">
        <v>0</v>
      </c>
      <c r="AN4788" s="15" t="s">
        <v>24931</v>
      </c>
    </row>
    <row r="4789" spans="1:40" x14ac:dyDescent="0.3">
      <c r="A4789" s="10" t="str">
        <f>HYPERLINK("http://www.washoecounty.gov/assessor/cama/?parid=141-082-14&amp;CardNumber=1","141-082-14")</f>
        <v>141-082-14</v>
      </c>
      <c r="B4789" t="s">
        <v>4655</v>
      </c>
      <c r="C4789" t="s">
        <v>24934</v>
      </c>
      <c r="D4789" s="1">
        <v>40372</v>
      </c>
      <c r="E4789" s="2">
        <v>38800</v>
      </c>
      <c r="F4789" t="s">
        <v>3174</v>
      </c>
      <c r="G4789" s="17" t="str">
        <f>HYPERLINK("https://www.washoecounty.gov/assessor/cama/?command=sales&amp;parid=14108214","3900916")</f>
        <v>3900916</v>
      </c>
      <c r="H4789" t="s">
        <v>24927</v>
      </c>
      <c r="I4789">
        <v>0</v>
      </c>
      <c r="J4789">
        <v>0</v>
      </c>
      <c r="K4789" t="s">
        <v>4655</v>
      </c>
      <c r="L4789" t="s">
        <v>4655</v>
      </c>
      <c r="M4789" s="2">
        <v>0</v>
      </c>
      <c r="N4789" t="s">
        <v>4655</v>
      </c>
      <c r="O4789">
        <v>0</v>
      </c>
      <c r="P4789">
        <v>0</v>
      </c>
      <c r="Q4789">
        <v>0</v>
      </c>
      <c r="R4789" t="s">
        <v>4655</v>
      </c>
      <c r="S4789" t="s">
        <v>4655</v>
      </c>
      <c r="T4789" t="s">
        <v>4655</v>
      </c>
      <c r="U4789" t="s">
        <v>4655</v>
      </c>
      <c r="V4789" s="2">
        <v>0</v>
      </c>
      <c r="W4789" t="s">
        <v>4655</v>
      </c>
      <c r="X4789" s="2">
        <v>0</v>
      </c>
      <c r="Y4789">
        <v>11</v>
      </c>
      <c r="Z4789" t="s">
        <v>5107</v>
      </c>
      <c r="AA4789" s="3">
        <v>0.123829200863838</v>
      </c>
      <c r="AB4789" t="s">
        <v>24928</v>
      </c>
      <c r="AC4789" t="s">
        <v>4562</v>
      </c>
      <c r="AD4789" t="s">
        <v>10677</v>
      </c>
      <c r="AE4789" t="s">
        <v>4655</v>
      </c>
      <c r="AF4789" t="s">
        <v>5201</v>
      </c>
      <c r="AG4789" t="s">
        <v>4564</v>
      </c>
      <c r="AH4789" t="s">
        <v>5202</v>
      </c>
      <c r="AI4789" t="s">
        <v>1576</v>
      </c>
      <c r="AJ4789" t="s">
        <v>24929</v>
      </c>
      <c r="AK4789" t="s">
        <v>24935</v>
      </c>
      <c r="AL4789" s="13" t="s">
        <v>2257</v>
      </c>
      <c r="AM4789">
        <v>0</v>
      </c>
      <c r="AN4789" s="15" t="s">
        <v>24931</v>
      </c>
    </row>
    <row r="4790" spans="1:40" x14ac:dyDescent="0.3">
      <c r="A4790" s="10" t="str">
        <f>HYPERLINK("http://www.washoecounty.gov/assessor/cama/?parid=141-082-15&amp;CardNumber=1","141-082-15")</f>
        <v>141-082-15</v>
      </c>
      <c r="B4790" t="s">
        <v>4655</v>
      </c>
      <c r="C4790" t="s">
        <v>24934</v>
      </c>
      <c r="D4790" s="1">
        <v>40372</v>
      </c>
      <c r="E4790" s="2">
        <v>38800</v>
      </c>
      <c r="F4790" t="s">
        <v>3174</v>
      </c>
      <c r="G4790" s="17" t="str">
        <f>HYPERLINK("https://www.washoecounty.gov/assessor/cama/?command=sales&amp;parid=14108215","3900916")</f>
        <v>3900916</v>
      </c>
      <c r="H4790" t="s">
        <v>24927</v>
      </c>
      <c r="I4790">
        <v>0</v>
      </c>
      <c r="J4790">
        <v>0</v>
      </c>
      <c r="K4790" t="s">
        <v>4655</v>
      </c>
      <c r="L4790" t="s">
        <v>4655</v>
      </c>
      <c r="M4790" s="2">
        <v>0</v>
      </c>
      <c r="N4790" t="s">
        <v>4655</v>
      </c>
      <c r="O4790">
        <v>0</v>
      </c>
      <c r="P4790">
        <v>0</v>
      </c>
      <c r="Q4790">
        <v>0</v>
      </c>
      <c r="R4790" t="s">
        <v>4655</v>
      </c>
      <c r="S4790" t="s">
        <v>4655</v>
      </c>
      <c r="T4790" t="s">
        <v>4655</v>
      </c>
      <c r="U4790" t="s">
        <v>4655</v>
      </c>
      <c r="V4790" s="2">
        <v>0</v>
      </c>
      <c r="W4790" t="s">
        <v>4655</v>
      </c>
      <c r="X4790" s="2">
        <v>0</v>
      </c>
      <c r="Y4790">
        <v>11</v>
      </c>
      <c r="Z4790" t="s">
        <v>5107</v>
      </c>
      <c r="AA4790" s="3">
        <v>0.12203856557607699</v>
      </c>
      <c r="AB4790" t="s">
        <v>24928</v>
      </c>
      <c r="AC4790" t="s">
        <v>4562</v>
      </c>
      <c r="AD4790" t="s">
        <v>10677</v>
      </c>
      <c r="AE4790" t="s">
        <v>4655</v>
      </c>
      <c r="AF4790" t="s">
        <v>5201</v>
      </c>
      <c r="AG4790" t="s">
        <v>4564</v>
      </c>
      <c r="AH4790" t="s">
        <v>5202</v>
      </c>
      <c r="AI4790" t="s">
        <v>1576</v>
      </c>
      <c r="AJ4790" t="s">
        <v>24929</v>
      </c>
      <c r="AK4790" t="s">
        <v>24936</v>
      </c>
      <c r="AL4790" s="13" t="s">
        <v>2257</v>
      </c>
      <c r="AM4790">
        <v>0</v>
      </c>
      <c r="AN4790" s="15" t="s">
        <v>24931</v>
      </c>
    </row>
    <row r="4791" spans="1:40" x14ac:dyDescent="0.3">
      <c r="A4791" s="10" t="str">
        <f>HYPERLINK("http://www.washoecounty.gov/assessor/cama/?parid=142-011-06&amp;CardNumber=1","142-011-06")</f>
        <v>142-011-06</v>
      </c>
      <c r="B4791" t="s">
        <v>4655</v>
      </c>
      <c r="C4791" t="s">
        <v>320</v>
      </c>
      <c r="D4791" s="1">
        <v>40541</v>
      </c>
      <c r="E4791" s="2">
        <v>710153</v>
      </c>
      <c r="F4791" t="s">
        <v>3528</v>
      </c>
      <c r="G4791" s="17" t="str">
        <f>HYPERLINK("https://www.washoecounty.gov/assessor/cama/?command=sales&amp;parid=14201106","3958822")</f>
        <v>3958822</v>
      </c>
      <c r="H4791" t="s">
        <v>24937</v>
      </c>
      <c r="I4791">
        <v>0</v>
      </c>
      <c r="J4791">
        <v>0</v>
      </c>
      <c r="K4791" t="s">
        <v>4655</v>
      </c>
      <c r="L4791" t="s">
        <v>4655</v>
      </c>
      <c r="M4791" s="2">
        <v>0</v>
      </c>
      <c r="N4791" t="s">
        <v>4655</v>
      </c>
      <c r="O4791">
        <v>0</v>
      </c>
      <c r="P4791">
        <v>0</v>
      </c>
      <c r="Q4791">
        <v>0</v>
      </c>
      <c r="R4791" t="s">
        <v>4655</v>
      </c>
      <c r="S4791" t="s">
        <v>4655</v>
      </c>
      <c r="T4791" t="s">
        <v>4655</v>
      </c>
      <c r="U4791" t="s">
        <v>4655</v>
      </c>
      <c r="V4791" s="2">
        <v>0</v>
      </c>
      <c r="W4791" t="s">
        <v>4655</v>
      </c>
      <c r="X4791" s="2">
        <v>0</v>
      </c>
      <c r="Y4791">
        <v>11</v>
      </c>
      <c r="Z4791" t="s">
        <v>5107</v>
      </c>
      <c r="AA4791" s="3">
        <v>23.534000396728501</v>
      </c>
      <c r="AB4791" t="s">
        <v>24938</v>
      </c>
      <c r="AC4791" t="s">
        <v>4575</v>
      </c>
      <c r="AD4791" t="s">
        <v>24939</v>
      </c>
      <c r="AE4791" t="s">
        <v>4655</v>
      </c>
      <c r="AF4791" t="s">
        <v>4563</v>
      </c>
      <c r="AG4791" t="s">
        <v>4564</v>
      </c>
      <c r="AH4791" t="s">
        <v>416</v>
      </c>
      <c r="AI4791" t="s">
        <v>24940</v>
      </c>
      <c r="AJ4791" t="s">
        <v>24941</v>
      </c>
      <c r="AK4791" t="s">
        <v>24942</v>
      </c>
      <c r="AL4791" s="13" t="s">
        <v>2257</v>
      </c>
      <c r="AM4791">
        <v>0</v>
      </c>
      <c r="AN4791" s="15" t="s">
        <v>24943</v>
      </c>
    </row>
    <row r="4792" spans="1:40" x14ac:dyDescent="0.3">
      <c r="A4792" s="10" t="str">
        <f>HYPERLINK("http://www.washoecounty.gov/assessor/cama/?parid=142-011-09&amp;CardNumber=1","142-011-09")</f>
        <v>142-011-09</v>
      </c>
      <c r="B4792" t="s">
        <v>4655</v>
      </c>
      <c r="C4792" t="s">
        <v>24944</v>
      </c>
      <c r="D4792" s="1">
        <v>40541</v>
      </c>
      <c r="E4792" s="2">
        <v>2846590</v>
      </c>
      <c r="F4792" t="s">
        <v>3174</v>
      </c>
      <c r="G4792" s="17" t="str">
        <f>HYPERLINK("https://www.washoecounty.gov/assessor/cama/?command=sales&amp;parid=14201109","3958821")</f>
        <v>3958821</v>
      </c>
      <c r="H4792" t="s">
        <v>24945</v>
      </c>
      <c r="I4792">
        <v>0</v>
      </c>
      <c r="J4792">
        <v>0</v>
      </c>
      <c r="K4792" t="s">
        <v>4655</v>
      </c>
      <c r="L4792" t="s">
        <v>4655</v>
      </c>
      <c r="M4792" s="2">
        <v>0</v>
      </c>
      <c r="N4792" t="s">
        <v>4655</v>
      </c>
      <c r="O4792">
        <v>0</v>
      </c>
      <c r="P4792">
        <v>0</v>
      </c>
      <c r="Q4792">
        <v>0</v>
      </c>
      <c r="R4792" t="s">
        <v>4655</v>
      </c>
      <c r="S4792" t="s">
        <v>4655</v>
      </c>
      <c r="T4792" t="s">
        <v>4655</v>
      </c>
      <c r="U4792" t="s">
        <v>4655</v>
      </c>
      <c r="V4792" s="2">
        <v>0</v>
      </c>
      <c r="W4792" t="s">
        <v>4655</v>
      </c>
      <c r="X4792" s="2">
        <v>0</v>
      </c>
      <c r="Y4792">
        <v>11</v>
      </c>
      <c r="Z4792" t="s">
        <v>5107</v>
      </c>
      <c r="AA4792" s="3">
        <v>41.271999359130803</v>
      </c>
      <c r="AB4792" t="s">
        <v>24938</v>
      </c>
      <c r="AC4792" t="s">
        <v>4575</v>
      </c>
      <c r="AD4792" t="s">
        <v>24939</v>
      </c>
      <c r="AE4792" t="s">
        <v>4655</v>
      </c>
      <c r="AF4792" t="s">
        <v>4563</v>
      </c>
      <c r="AG4792" t="s">
        <v>4564</v>
      </c>
      <c r="AH4792" t="s">
        <v>416</v>
      </c>
      <c r="AI4792" t="s">
        <v>24940</v>
      </c>
      <c r="AJ4792" t="s">
        <v>24946</v>
      </c>
      <c r="AK4792" t="s">
        <v>24947</v>
      </c>
      <c r="AL4792" s="13" t="s">
        <v>2257</v>
      </c>
      <c r="AM4792" s="14">
        <v>0</v>
      </c>
      <c r="AN4792" s="15" t="s">
        <v>24943</v>
      </c>
    </row>
    <row r="4793" spans="1:40" x14ac:dyDescent="0.3">
      <c r="A4793" s="10" t="str">
        <f>HYPERLINK("http://www.washoecounty.gov/assessor/cama/?parid=142-051-14&amp;CardNumber=1","142-051-14")</f>
        <v>142-051-14</v>
      </c>
      <c r="B4793" t="s">
        <v>4655</v>
      </c>
      <c r="C4793" t="s">
        <v>24948</v>
      </c>
      <c r="D4793" s="1">
        <v>40487</v>
      </c>
      <c r="E4793" s="2">
        <v>430000</v>
      </c>
      <c r="F4793" t="s">
        <v>4567</v>
      </c>
      <c r="G4793" s="17" t="str">
        <f>HYPERLINK("https://www.washoecounty.gov/assessor/cama/?command=sales&amp;parid=14205114","3940489")</f>
        <v>3940489</v>
      </c>
      <c r="H4793" t="s">
        <v>2142</v>
      </c>
      <c r="I4793">
        <v>1998</v>
      </c>
      <c r="J4793">
        <v>1998</v>
      </c>
      <c r="K4793" t="s">
        <v>4554</v>
      </c>
      <c r="L4793" t="s">
        <v>4555</v>
      </c>
      <c r="M4793" s="2">
        <v>2887</v>
      </c>
      <c r="N4793" t="s">
        <v>3147</v>
      </c>
      <c r="O4793">
        <v>5</v>
      </c>
      <c r="P4793">
        <v>2</v>
      </c>
      <c r="Q4793">
        <v>1</v>
      </c>
      <c r="R4793" t="s">
        <v>5281</v>
      </c>
      <c r="S4793" t="s">
        <v>4898</v>
      </c>
      <c r="T4793" t="s">
        <v>2704</v>
      </c>
      <c r="U4793" t="s">
        <v>4560</v>
      </c>
      <c r="V4793" s="2">
        <v>1039</v>
      </c>
      <c r="W4793" t="s">
        <v>4655</v>
      </c>
      <c r="X4793" s="2">
        <v>0</v>
      </c>
      <c r="Y4793">
        <v>20</v>
      </c>
      <c r="Z4793" t="s">
        <v>3884</v>
      </c>
      <c r="AA4793" s="3">
        <v>0.88900369405746404</v>
      </c>
      <c r="AB4793" t="s">
        <v>24949</v>
      </c>
      <c r="AC4793" t="s">
        <v>4562</v>
      </c>
      <c r="AD4793" t="s">
        <v>24948</v>
      </c>
      <c r="AE4793" t="s">
        <v>4655</v>
      </c>
      <c r="AF4793" t="s">
        <v>4563</v>
      </c>
      <c r="AG4793" t="s">
        <v>4564</v>
      </c>
      <c r="AH4793">
        <v>89511</v>
      </c>
      <c r="AI4793" t="s">
        <v>24950</v>
      </c>
      <c r="AJ4793" t="s">
        <v>2143</v>
      </c>
      <c r="AK4793" t="s">
        <v>24951</v>
      </c>
      <c r="AL4793" s="13" t="s">
        <v>1889</v>
      </c>
      <c r="AM4793">
        <v>1</v>
      </c>
      <c r="AN4793" s="15" t="s">
        <v>2144</v>
      </c>
    </row>
    <row r="4794" spans="1:40" x14ac:dyDescent="0.3">
      <c r="A4794" s="10" t="str">
        <f>HYPERLINK("http://www.washoecounty.gov/assessor/cama/?parid=142-061-01&amp;CardNumber=1","142-061-01")</f>
        <v>142-061-01</v>
      </c>
      <c r="B4794" t="s">
        <v>4655</v>
      </c>
      <c r="C4794" t="s">
        <v>24952</v>
      </c>
      <c r="D4794" s="1">
        <v>40400</v>
      </c>
      <c r="E4794" s="2">
        <v>221000</v>
      </c>
      <c r="F4794" t="s">
        <v>4567</v>
      </c>
      <c r="G4794" s="17" t="str">
        <f>HYPERLINK("https://www.washoecounty.gov/assessor/cama/?command=sales&amp;parid=14206101","3910459")</f>
        <v>3910459</v>
      </c>
      <c r="H4794" t="s">
        <v>24953</v>
      </c>
      <c r="I4794">
        <v>1996</v>
      </c>
      <c r="J4794">
        <v>1996</v>
      </c>
      <c r="K4794" t="s">
        <v>4554</v>
      </c>
      <c r="L4794" t="s">
        <v>4555</v>
      </c>
      <c r="M4794" s="2">
        <v>1808</v>
      </c>
      <c r="N4794" t="s">
        <v>5280</v>
      </c>
      <c r="O4794">
        <v>3</v>
      </c>
      <c r="P4794">
        <v>2</v>
      </c>
      <c r="Q4794">
        <v>0</v>
      </c>
      <c r="R4794" t="s">
        <v>4557</v>
      </c>
      <c r="S4794" t="s">
        <v>4558</v>
      </c>
      <c r="T4794" t="s">
        <v>4559</v>
      </c>
      <c r="U4794" t="s">
        <v>4560</v>
      </c>
      <c r="V4794" s="2">
        <v>480</v>
      </c>
      <c r="W4794" t="s">
        <v>4655</v>
      </c>
      <c r="X4794" s="2">
        <v>0</v>
      </c>
      <c r="Y4794">
        <v>20</v>
      </c>
      <c r="Z4794" t="s">
        <v>5508</v>
      </c>
      <c r="AA4794" s="3">
        <v>0.45899906754493702</v>
      </c>
      <c r="AB4794" t="s">
        <v>24954</v>
      </c>
      <c r="AC4794" t="s">
        <v>4562</v>
      </c>
      <c r="AD4794" t="s">
        <v>24955</v>
      </c>
      <c r="AE4794" t="s">
        <v>4655</v>
      </c>
      <c r="AF4794" t="s">
        <v>2873</v>
      </c>
      <c r="AG4794" t="s">
        <v>4564</v>
      </c>
      <c r="AH4794" t="s">
        <v>24956</v>
      </c>
      <c r="AI4794" t="s">
        <v>24957</v>
      </c>
      <c r="AJ4794" t="s">
        <v>24958</v>
      </c>
      <c r="AK4794" t="s">
        <v>24959</v>
      </c>
      <c r="AL4794" s="13" t="s">
        <v>3431</v>
      </c>
      <c r="AM4794" s="14">
        <v>1</v>
      </c>
      <c r="AN4794" s="15" t="s">
        <v>595</v>
      </c>
    </row>
    <row r="4795" spans="1:40" x14ac:dyDescent="0.3">
      <c r="A4795" s="10" t="str">
        <f>HYPERLINK("http://www.washoecounty.gov/assessor/cama/?parid=142-091-03&amp;CardNumber=1","142-091-03")</f>
        <v>142-091-03</v>
      </c>
      <c r="B4795" t="s">
        <v>4655</v>
      </c>
      <c r="C4795" t="s">
        <v>24960</v>
      </c>
      <c r="D4795" s="1">
        <v>40487</v>
      </c>
      <c r="E4795" s="2">
        <v>255000</v>
      </c>
      <c r="F4795" t="s">
        <v>4567</v>
      </c>
      <c r="G4795" s="17" t="str">
        <f>HYPERLINK("https://www.washoecounty.gov/assessor/cama/?command=sales&amp;parid=14209103","3940466")</f>
        <v>3940466</v>
      </c>
      <c r="H4795" t="s">
        <v>24961</v>
      </c>
      <c r="I4795">
        <v>1997</v>
      </c>
      <c r="J4795">
        <v>1997</v>
      </c>
      <c r="K4795" t="s">
        <v>4554</v>
      </c>
      <c r="L4795" t="s">
        <v>4555</v>
      </c>
      <c r="M4795" s="2">
        <v>2078</v>
      </c>
      <c r="N4795" t="s">
        <v>5280</v>
      </c>
      <c r="O4795">
        <v>4</v>
      </c>
      <c r="P4795">
        <v>2</v>
      </c>
      <c r="Q4795">
        <v>0</v>
      </c>
      <c r="R4795" t="s">
        <v>4557</v>
      </c>
      <c r="S4795" t="s">
        <v>4558</v>
      </c>
      <c r="T4795" t="s">
        <v>4559</v>
      </c>
      <c r="U4795" t="s">
        <v>4560</v>
      </c>
      <c r="V4795" s="2">
        <v>480</v>
      </c>
      <c r="W4795" t="s">
        <v>4655</v>
      </c>
      <c r="X4795" s="2">
        <v>0</v>
      </c>
      <c r="Y4795">
        <v>20</v>
      </c>
      <c r="Z4795" t="s">
        <v>5508</v>
      </c>
      <c r="AA4795" s="3">
        <v>0.28700643777847301</v>
      </c>
      <c r="AB4795" t="s">
        <v>24962</v>
      </c>
      <c r="AC4795" t="s">
        <v>4562</v>
      </c>
      <c r="AD4795" t="s">
        <v>24960</v>
      </c>
      <c r="AE4795" t="s">
        <v>4655</v>
      </c>
      <c r="AF4795" t="s">
        <v>4563</v>
      </c>
      <c r="AG4795" t="s">
        <v>4564</v>
      </c>
      <c r="AH4795">
        <v>89511</v>
      </c>
      <c r="AI4795" t="s">
        <v>24963</v>
      </c>
      <c r="AJ4795" t="s">
        <v>24964</v>
      </c>
      <c r="AK4795" t="s">
        <v>24965</v>
      </c>
      <c r="AL4795" s="13" t="s">
        <v>3431</v>
      </c>
      <c r="AM4795">
        <v>1</v>
      </c>
      <c r="AN4795" s="15" t="s">
        <v>595</v>
      </c>
    </row>
    <row r="4796" spans="1:40" x14ac:dyDescent="0.3">
      <c r="A4796" s="10" t="str">
        <f>HYPERLINK("http://www.washoecounty.gov/assessor/cama/?parid=142-124-04&amp;CardNumber=1","142-124-04")</f>
        <v>142-124-04</v>
      </c>
      <c r="B4796" t="s">
        <v>4655</v>
      </c>
      <c r="C4796" s="20" t="s">
        <v>283</v>
      </c>
      <c r="D4796" s="1">
        <v>40186</v>
      </c>
      <c r="E4796" s="2">
        <v>429000</v>
      </c>
      <c r="F4796" t="s">
        <v>4553</v>
      </c>
      <c r="G4796" s="20" t="s">
        <v>282</v>
      </c>
      <c r="H4796" t="s">
        <v>24966</v>
      </c>
      <c r="I4796">
        <v>2001</v>
      </c>
      <c r="J4796">
        <v>2001</v>
      </c>
      <c r="K4796" t="s">
        <v>4554</v>
      </c>
      <c r="L4796" t="s">
        <v>4555</v>
      </c>
      <c r="M4796" s="2">
        <v>3104</v>
      </c>
      <c r="N4796" t="s">
        <v>5106</v>
      </c>
      <c r="O4796">
        <v>4</v>
      </c>
      <c r="P4796">
        <v>3</v>
      </c>
      <c r="Q4796">
        <v>1</v>
      </c>
      <c r="R4796" t="s">
        <v>5281</v>
      </c>
      <c r="S4796" t="s">
        <v>4898</v>
      </c>
      <c r="T4796" t="s">
        <v>2704</v>
      </c>
      <c r="U4796" t="s">
        <v>4560</v>
      </c>
      <c r="V4796" s="2">
        <v>1104</v>
      </c>
      <c r="W4796" t="s">
        <v>4655</v>
      </c>
      <c r="X4796" s="2">
        <v>0</v>
      </c>
      <c r="Y4796">
        <v>20</v>
      </c>
      <c r="Z4796" t="s">
        <v>3884</v>
      </c>
      <c r="AA4796" s="3">
        <v>0.69999998807907104</v>
      </c>
      <c r="AB4796" s="20" t="s">
        <v>8865</v>
      </c>
      <c r="AD4796" t="s">
        <v>283</v>
      </c>
      <c r="AE4796" t="s">
        <v>283</v>
      </c>
      <c r="AF4796" t="s">
        <v>283</v>
      </c>
      <c r="AG4796" t="s">
        <v>4564</v>
      </c>
      <c r="AH4796" t="s">
        <v>3101</v>
      </c>
      <c r="AI4796" t="s">
        <v>8865</v>
      </c>
      <c r="AJ4796" t="s">
        <v>24967</v>
      </c>
      <c r="AK4796" t="s">
        <v>8865</v>
      </c>
      <c r="AL4796" s="13" t="s">
        <v>3424</v>
      </c>
      <c r="AM4796" s="14">
        <v>1</v>
      </c>
      <c r="AN4796" s="15" t="s">
        <v>2028</v>
      </c>
    </row>
    <row r="4797" spans="1:40" x14ac:dyDescent="0.3">
      <c r="A4797" s="10" t="str">
        <f>HYPERLINK("http://www.washoecounty.gov/assessor/cama/?parid=142-125-03&amp;CardNumber=1","142-125-03")</f>
        <v>142-125-03</v>
      </c>
      <c r="B4797" t="s">
        <v>4655</v>
      </c>
      <c r="C4797" t="s">
        <v>24968</v>
      </c>
      <c r="D4797" s="1">
        <v>40268</v>
      </c>
      <c r="E4797" s="2">
        <v>670000</v>
      </c>
      <c r="F4797" t="s">
        <v>4567</v>
      </c>
      <c r="G4797" s="17" t="str">
        <f>HYPERLINK("https://www.washoecounty.gov/assessor/cama/?command=sales&amp;parid=14212503","3866513")</f>
        <v>3866513</v>
      </c>
      <c r="H4797" t="s">
        <v>24966</v>
      </c>
      <c r="I4797">
        <v>2001</v>
      </c>
      <c r="J4797">
        <v>2001</v>
      </c>
      <c r="K4797" t="s">
        <v>4554</v>
      </c>
      <c r="L4797" t="s">
        <v>4555</v>
      </c>
      <c r="M4797" s="2">
        <v>4076</v>
      </c>
      <c r="N4797" t="s">
        <v>5106</v>
      </c>
      <c r="O4797">
        <v>4</v>
      </c>
      <c r="P4797">
        <v>4</v>
      </c>
      <c r="Q4797">
        <v>2</v>
      </c>
      <c r="R4797" t="s">
        <v>5281</v>
      </c>
      <c r="S4797" t="s">
        <v>4898</v>
      </c>
      <c r="T4797" t="s">
        <v>2704</v>
      </c>
      <c r="U4797" t="s">
        <v>4560</v>
      </c>
      <c r="V4797" s="2">
        <v>1246</v>
      </c>
      <c r="W4797" t="s">
        <v>4655</v>
      </c>
      <c r="X4797" s="2">
        <v>0</v>
      </c>
      <c r="Y4797">
        <v>20</v>
      </c>
      <c r="Z4797" t="s">
        <v>3884</v>
      </c>
      <c r="AA4797" s="3">
        <v>0.66799813508987405</v>
      </c>
      <c r="AB4797" t="s">
        <v>24969</v>
      </c>
      <c r="AC4797" t="s">
        <v>4562</v>
      </c>
      <c r="AD4797" t="s">
        <v>24970</v>
      </c>
      <c r="AE4797" t="s">
        <v>4655</v>
      </c>
      <c r="AF4797" t="s">
        <v>4563</v>
      </c>
      <c r="AG4797" t="s">
        <v>4564</v>
      </c>
      <c r="AH4797">
        <v>89511</v>
      </c>
      <c r="AI4797" t="s">
        <v>24971</v>
      </c>
      <c r="AJ4797" t="s">
        <v>24972</v>
      </c>
      <c r="AK4797" t="s">
        <v>24973</v>
      </c>
      <c r="AL4797" s="13" t="s">
        <v>3424</v>
      </c>
      <c r="AM4797">
        <v>1</v>
      </c>
      <c r="AN4797" s="15" t="s">
        <v>2028</v>
      </c>
    </row>
    <row r="4798" spans="1:40" x14ac:dyDescent="0.3">
      <c r="A4798" s="10" t="str">
        <f>HYPERLINK("http://www.washoecounty.gov/assessor/cama/?parid=142-126-13&amp;CardNumber=1","142-126-13")</f>
        <v>142-126-13</v>
      </c>
      <c r="B4798" t="s">
        <v>4655</v>
      </c>
      <c r="C4798" t="s">
        <v>24974</v>
      </c>
      <c r="D4798" s="1">
        <v>40491</v>
      </c>
      <c r="E4798" s="2">
        <v>544000</v>
      </c>
      <c r="F4798" t="s">
        <v>4567</v>
      </c>
      <c r="G4798" s="17" t="str">
        <f>HYPERLINK("https://www.washoecounty.gov/assessor/cama/?command=sales&amp;parid=14212613","3941311")</f>
        <v>3941311</v>
      </c>
      <c r="H4798" t="s">
        <v>24966</v>
      </c>
      <c r="I4798">
        <v>2001</v>
      </c>
      <c r="J4798">
        <v>2002</v>
      </c>
      <c r="K4798" t="s">
        <v>4554</v>
      </c>
      <c r="L4798" t="s">
        <v>4555</v>
      </c>
      <c r="M4798" s="2">
        <v>3610</v>
      </c>
      <c r="N4798" t="s">
        <v>5106</v>
      </c>
      <c r="O4798">
        <v>4</v>
      </c>
      <c r="P4798">
        <v>3</v>
      </c>
      <c r="Q4798">
        <v>1</v>
      </c>
      <c r="R4798" t="s">
        <v>5281</v>
      </c>
      <c r="S4798" t="s">
        <v>4898</v>
      </c>
      <c r="T4798" t="s">
        <v>4559</v>
      </c>
      <c r="U4798" t="s">
        <v>4560</v>
      </c>
      <c r="V4798" s="2">
        <v>1105</v>
      </c>
      <c r="W4798" t="s">
        <v>4655</v>
      </c>
      <c r="X4798" s="2">
        <v>0</v>
      </c>
      <c r="Y4798">
        <v>20</v>
      </c>
      <c r="Z4798" t="s">
        <v>3884</v>
      </c>
      <c r="AA4798" s="3">
        <v>0.60700184106826705</v>
      </c>
      <c r="AB4798" t="s">
        <v>24975</v>
      </c>
      <c r="AC4798" t="s">
        <v>4575</v>
      </c>
      <c r="AD4798" t="s">
        <v>24974</v>
      </c>
      <c r="AE4798" t="s">
        <v>4655</v>
      </c>
      <c r="AF4798" t="s">
        <v>4563</v>
      </c>
      <c r="AG4798" t="s">
        <v>4564</v>
      </c>
      <c r="AH4798">
        <v>89511</v>
      </c>
      <c r="AI4798" t="s">
        <v>24976</v>
      </c>
      <c r="AJ4798" t="s">
        <v>24977</v>
      </c>
      <c r="AK4798" t="s">
        <v>24978</v>
      </c>
      <c r="AL4798" s="13" t="s">
        <v>3424</v>
      </c>
      <c r="AM4798" s="14">
        <v>1</v>
      </c>
      <c r="AN4798" s="15" t="s">
        <v>2028</v>
      </c>
    </row>
    <row r="4799" spans="1:40" x14ac:dyDescent="0.3">
      <c r="A4799" s="10" t="str">
        <f>HYPERLINK("http://www.washoecounty.gov/assessor/cama/?parid=142-126-16&amp;CardNumber=1","142-126-16")</f>
        <v>142-126-16</v>
      </c>
      <c r="B4799" t="s">
        <v>4655</v>
      </c>
      <c r="C4799" t="s">
        <v>24979</v>
      </c>
      <c r="D4799" s="1">
        <v>40239</v>
      </c>
      <c r="E4799" s="2">
        <v>420000</v>
      </c>
      <c r="F4799" t="s">
        <v>4553</v>
      </c>
      <c r="G4799" s="17" t="str">
        <f>HYPERLINK("https://www.washoecounty.gov/assessor/cama/?command=sales&amp;parid=14212616","3854314")</f>
        <v>3854314</v>
      </c>
      <c r="H4799" t="s">
        <v>24966</v>
      </c>
      <c r="I4799">
        <v>2001</v>
      </c>
      <c r="J4799">
        <v>2001</v>
      </c>
      <c r="K4799" t="s">
        <v>4554</v>
      </c>
      <c r="L4799" t="s">
        <v>3974</v>
      </c>
      <c r="M4799" s="2">
        <v>3557</v>
      </c>
      <c r="N4799" t="s">
        <v>5106</v>
      </c>
      <c r="O4799">
        <v>6</v>
      </c>
      <c r="P4799">
        <v>3</v>
      </c>
      <c r="Q4799">
        <v>2</v>
      </c>
      <c r="R4799" t="s">
        <v>5281</v>
      </c>
      <c r="S4799" t="s">
        <v>4898</v>
      </c>
      <c r="T4799" t="s">
        <v>2704</v>
      </c>
      <c r="U4799" t="s">
        <v>4560</v>
      </c>
      <c r="V4799" s="2">
        <v>1376</v>
      </c>
      <c r="W4799" t="s">
        <v>4655</v>
      </c>
      <c r="X4799" s="2">
        <v>0</v>
      </c>
      <c r="Y4799">
        <v>20</v>
      </c>
      <c r="Z4799" t="s">
        <v>4051</v>
      </c>
      <c r="AA4799" s="3">
        <v>0.73700642585754295</v>
      </c>
      <c r="AB4799" t="s">
        <v>24980</v>
      </c>
      <c r="AC4799" t="s">
        <v>4575</v>
      </c>
      <c r="AD4799" t="s">
        <v>24981</v>
      </c>
      <c r="AE4799" t="s">
        <v>4655</v>
      </c>
      <c r="AF4799" t="s">
        <v>24982</v>
      </c>
      <c r="AG4799" t="s">
        <v>2109</v>
      </c>
      <c r="AH4799" t="s">
        <v>24983</v>
      </c>
      <c r="AI4799" t="s">
        <v>4503</v>
      </c>
      <c r="AJ4799" t="s">
        <v>24977</v>
      </c>
      <c r="AK4799" t="s">
        <v>24984</v>
      </c>
      <c r="AL4799" s="13" t="s">
        <v>3424</v>
      </c>
      <c r="AM4799">
        <v>1</v>
      </c>
      <c r="AN4799" s="15" t="s">
        <v>2028</v>
      </c>
    </row>
    <row r="4800" spans="1:40" x14ac:dyDescent="0.3">
      <c r="A4800" s="10" t="str">
        <f>HYPERLINK("http://www.washoecounty.gov/assessor/cama/?parid=142-143-19&amp;CardNumber=1","142-143-19")</f>
        <v>142-143-19</v>
      </c>
      <c r="B4800" t="s">
        <v>4655</v>
      </c>
      <c r="C4800" t="s">
        <v>24985</v>
      </c>
      <c r="D4800" s="1">
        <v>40199</v>
      </c>
      <c r="E4800" s="2">
        <v>340000</v>
      </c>
      <c r="F4800" t="s">
        <v>4567</v>
      </c>
      <c r="G4800" s="17" t="str">
        <f>HYPERLINK("https://www.washoecounty.gov/assessor/cama/?command=sales&amp;parid=14214319","3841405")</f>
        <v>3841405</v>
      </c>
      <c r="H4800" t="s">
        <v>24986</v>
      </c>
      <c r="I4800">
        <v>2000</v>
      </c>
      <c r="J4800">
        <v>2000</v>
      </c>
      <c r="K4800" t="s">
        <v>4554</v>
      </c>
      <c r="L4800" t="s">
        <v>3974</v>
      </c>
      <c r="M4800" s="2">
        <v>2886</v>
      </c>
      <c r="N4800" t="s">
        <v>5280</v>
      </c>
      <c r="O4800">
        <v>4</v>
      </c>
      <c r="P4800">
        <v>3</v>
      </c>
      <c r="Q4800">
        <v>1</v>
      </c>
      <c r="R4800" t="s">
        <v>5281</v>
      </c>
      <c r="S4800" t="s">
        <v>4558</v>
      </c>
      <c r="T4800" t="s">
        <v>4559</v>
      </c>
      <c r="U4800" t="s">
        <v>5631</v>
      </c>
      <c r="V4800" s="2">
        <v>766</v>
      </c>
      <c r="W4800" t="s">
        <v>4655</v>
      </c>
      <c r="X4800" s="2">
        <v>0</v>
      </c>
      <c r="Y4800">
        <v>20</v>
      </c>
      <c r="Z4800" t="s">
        <v>5508</v>
      </c>
      <c r="AA4800" s="3">
        <v>0.34201100468635598</v>
      </c>
      <c r="AB4800" t="s">
        <v>24987</v>
      </c>
      <c r="AC4800" t="s">
        <v>4575</v>
      </c>
      <c r="AD4800" t="s">
        <v>24988</v>
      </c>
      <c r="AE4800" t="s">
        <v>24985</v>
      </c>
      <c r="AF4800" t="s">
        <v>4563</v>
      </c>
      <c r="AG4800" t="s">
        <v>4564</v>
      </c>
      <c r="AH4800">
        <v>89511</v>
      </c>
      <c r="AI4800" t="s">
        <v>24989</v>
      </c>
      <c r="AJ4800" t="s">
        <v>24990</v>
      </c>
      <c r="AK4800" t="s">
        <v>24991</v>
      </c>
      <c r="AL4800" s="13" t="s">
        <v>3431</v>
      </c>
      <c r="AM4800">
        <v>1</v>
      </c>
      <c r="AN4800" s="15" t="s">
        <v>595</v>
      </c>
    </row>
    <row r="4801" spans="1:40" x14ac:dyDescent="0.3">
      <c r="A4801" s="10" t="str">
        <f>HYPERLINK("http://www.washoecounty.gov/assessor/cama/?parid=142-143-20&amp;CardNumber=1","142-143-20")</f>
        <v>142-143-20</v>
      </c>
      <c r="B4801" t="s">
        <v>4655</v>
      </c>
      <c r="C4801" t="s">
        <v>24992</v>
      </c>
      <c r="D4801" s="1">
        <v>40291</v>
      </c>
      <c r="E4801" s="2">
        <v>357000</v>
      </c>
      <c r="F4801" t="s">
        <v>4567</v>
      </c>
      <c r="G4801" s="17" t="str">
        <f>HYPERLINK("https://www.washoecounty.gov/assessor/cama/?command=sales&amp;parid=14214320","3874220")</f>
        <v>3874220</v>
      </c>
      <c r="H4801" t="s">
        <v>24986</v>
      </c>
      <c r="I4801">
        <v>2000</v>
      </c>
      <c r="J4801">
        <v>2000</v>
      </c>
      <c r="K4801" t="s">
        <v>4554</v>
      </c>
      <c r="L4801" t="s">
        <v>3974</v>
      </c>
      <c r="M4801" s="2">
        <v>2698</v>
      </c>
      <c r="N4801" t="s">
        <v>5280</v>
      </c>
      <c r="O4801">
        <v>4</v>
      </c>
      <c r="P4801">
        <v>3</v>
      </c>
      <c r="Q4801">
        <v>0</v>
      </c>
      <c r="R4801" t="s">
        <v>5281</v>
      </c>
      <c r="S4801" t="s">
        <v>4558</v>
      </c>
      <c r="T4801" t="s">
        <v>4559</v>
      </c>
      <c r="U4801" t="s">
        <v>4560</v>
      </c>
      <c r="V4801" s="2">
        <v>693</v>
      </c>
      <c r="W4801" t="s">
        <v>4655</v>
      </c>
      <c r="X4801" s="2">
        <v>0</v>
      </c>
      <c r="Y4801">
        <v>20</v>
      </c>
      <c r="Z4801" t="s">
        <v>5508</v>
      </c>
      <c r="AA4801" s="3">
        <v>0.36400365829467801</v>
      </c>
      <c r="AB4801" t="s">
        <v>24993</v>
      </c>
      <c r="AC4801" t="s">
        <v>4562</v>
      </c>
      <c r="AD4801" t="s">
        <v>24992</v>
      </c>
      <c r="AE4801" t="s">
        <v>4655</v>
      </c>
      <c r="AF4801" t="s">
        <v>4563</v>
      </c>
      <c r="AG4801" t="s">
        <v>4564</v>
      </c>
      <c r="AH4801">
        <v>89511</v>
      </c>
      <c r="AI4801" t="s">
        <v>24802</v>
      </c>
      <c r="AJ4801" t="s">
        <v>24990</v>
      </c>
      <c r="AK4801" t="s">
        <v>24994</v>
      </c>
      <c r="AL4801" s="13" t="s">
        <v>3431</v>
      </c>
      <c r="AM4801" s="14">
        <v>1</v>
      </c>
      <c r="AN4801" s="15" t="s">
        <v>595</v>
      </c>
    </row>
    <row r="4802" spans="1:40" x14ac:dyDescent="0.3">
      <c r="A4802" s="10" t="str">
        <f>HYPERLINK("http://www.washoecounty.gov/assessor/cama/?parid=142-151-19&amp;CardNumber=1","142-151-19")</f>
        <v>142-151-19</v>
      </c>
      <c r="B4802" t="s">
        <v>4655</v>
      </c>
      <c r="C4802" t="s">
        <v>24995</v>
      </c>
      <c r="D4802" s="1">
        <v>40210</v>
      </c>
      <c r="E4802" s="2">
        <v>299900</v>
      </c>
      <c r="F4802" t="s">
        <v>4553</v>
      </c>
      <c r="G4802" s="17" t="str">
        <f>HYPERLINK("https://www.washoecounty.gov/assessor/cama/?command=sales&amp;parid=14215119","3844709")</f>
        <v>3844709</v>
      </c>
      <c r="H4802" t="s">
        <v>24996</v>
      </c>
      <c r="I4802">
        <v>2001</v>
      </c>
      <c r="J4802">
        <v>2001</v>
      </c>
      <c r="K4802" t="s">
        <v>4554</v>
      </c>
      <c r="L4802" t="s">
        <v>3974</v>
      </c>
      <c r="M4802" s="2">
        <v>2583</v>
      </c>
      <c r="N4802" t="s">
        <v>3147</v>
      </c>
      <c r="O4802">
        <v>5</v>
      </c>
      <c r="P4802">
        <v>2</v>
      </c>
      <c r="Q4802">
        <v>1</v>
      </c>
      <c r="R4802" t="s">
        <v>5281</v>
      </c>
      <c r="S4802" t="s">
        <v>4558</v>
      </c>
      <c r="T4802" t="s">
        <v>2704</v>
      </c>
      <c r="U4802" t="s">
        <v>5631</v>
      </c>
      <c r="V4802" s="2">
        <v>682</v>
      </c>
      <c r="W4802" t="s">
        <v>4655</v>
      </c>
      <c r="X4802" s="2">
        <v>0</v>
      </c>
      <c r="Y4802">
        <v>20</v>
      </c>
      <c r="Z4802" t="s">
        <v>5508</v>
      </c>
      <c r="AA4802" s="3">
        <v>0.36999541521072399</v>
      </c>
      <c r="AB4802" t="s">
        <v>24997</v>
      </c>
      <c r="AC4802" t="s">
        <v>4562</v>
      </c>
      <c r="AD4802" t="s">
        <v>24998</v>
      </c>
      <c r="AE4802" t="s">
        <v>4655</v>
      </c>
      <c r="AF4802" t="s">
        <v>24999</v>
      </c>
      <c r="AG4802" t="s">
        <v>4584</v>
      </c>
      <c r="AH4802" t="s">
        <v>596</v>
      </c>
      <c r="AI4802" t="s">
        <v>5751</v>
      </c>
      <c r="AJ4802" t="s">
        <v>597</v>
      </c>
      <c r="AK4802" t="s">
        <v>25000</v>
      </c>
      <c r="AL4802" s="13" t="s">
        <v>1894</v>
      </c>
      <c r="AM4802">
        <v>1</v>
      </c>
      <c r="AN4802" s="15" t="s">
        <v>2031</v>
      </c>
    </row>
    <row r="4803" spans="1:40" x14ac:dyDescent="0.3">
      <c r="A4803" s="10" t="str">
        <f>HYPERLINK("http://www.washoecounty.gov/assessor/cama/?parid=142-153-02&amp;CardNumber=1","142-153-02")</f>
        <v>142-153-02</v>
      </c>
      <c r="B4803" t="s">
        <v>4655</v>
      </c>
      <c r="C4803" t="s">
        <v>25001</v>
      </c>
      <c r="D4803" s="1">
        <v>40385</v>
      </c>
      <c r="E4803" s="2">
        <v>385000</v>
      </c>
      <c r="F4803" t="s">
        <v>4567</v>
      </c>
      <c r="G4803" s="17" t="str">
        <f>HYPERLINK("https://www.washoecounty.gov/assessor/cama/?command=sales&amp;parid=14215302","3904969")</f>
        <v>3904969</v>
      </c>
      <c r="H4803" t="s">
        <v>24996</v>
      </c>
      <c r="I4803">
        <v>2001</v>
      </c>
      <c r="J4803">
        <v>2001</v>
      </c>
      <c r="K4803" t="s">
        <v>4554</v>
      </c>
      <c r="L4803" t="s">
        <v>3974</v>
      </c>
      <c r="M4803" s="2">
        <v>3416</v>
      </c>
      <c r="N4803" t="s">
        <v>3147</v>
      </c>
      <c r="O4803">
        <v>4</v>
      </c>
      <c r="P4803">
        <v>3</v>
      </c>
      <c r="Q4803">
        <v>0</v>
      </c>
      <c r="R4803" t="s">
        <v>4557</v>
      </c>
      <c r="S4803" t="s">
        <v>4558</v>
      </c>
      <c r="T4803" t="s">
        <v>2704</v>
      </c>
      <c r="U4803" t="s">
        <v>5631</v>
      </c>
      <c r="V4803" s="2">
        <v>635</v>
      </c>
      <c r="W4803" t="s">
        <v>4655</v>
      </c>
      <c r="X4803" s="2">
        <v>0</v>
      </c>
      <c r="Y4803">
        <v>20</v>
      </c>
      <c r="Z4803" t="s">
        <v>5508</v>
      </c>
      <c r="AA4803" s="3">
        <v>0.38399907946586598</v>
      </c>
      <c r="AB4803" t="s">
        <v>25002</v>
      </c>
      <c r="AC4803" t="s">
        <v>4562</v>
      </c>
      <c r="AD4803" t="s">
        <v>25001</v>
      </c>
      <c r="AE4803" t="s">
        <v>4655</v>
      </c>
      <c r="AF4803" t="s">
        <v>4563</v>
      </c>
      <c r="AG4803" t="s">
        <v>4564</v>
      </c>
      <c r="AH4803">
        <v>89511</v>
      </c>
      <c r="AI4803" t="s">
        <v>25003</v>
      </c>
      <c r="AJ4803" t="s">
        <v>597</v>
      </c>
      <c r="AK4803" t="s">
        <v>25004</v>
      </c>
      <c r="AL4803" s="13" t="s">
        <v>1894</v>
      </c>
      <c r="AM4803">
        <v>1</v>
      </c>
      <c r="AN4803" s="15" t="s">
        <v>2031</v>
      </c>
    </row>
    <row r="4804" spans="1:40" x14ac:dyDescent="0.3">
      <c r="A4804" s="10" t="str">
        <f>HYPERLINK("http://www.washoecounty.gov/assessor/cama/?parid=142-153-03&amp;CardNumber=1","142-153-03")</f>
        <v>142-153-03</v>
      </c>
      <c r="B4804" t="s">
        <v>4655</v>
      </c>
      <c r="C4804" t="s">
        <v>25005</v>
      </c>
      <c r="D4804" s="1">
        <v>40478</v>
      </c>
      <c r="E4804" s="2">
        <v>275000</v>
      </c>
      <c r="F4804" t="s">
        <v>4567</v>
      </c>
      <c r="G4804" s="17" t="str">
        <f>HYPERLINK("https://www.washoecounty.gov/assessor/cama/?command=sales&amp;parid=14215303","3937350")</f>
        <v>3937350</v>
      </c>
      <c r="H4804" t="s">
        <v>3566</v>
      </c>
      <c r="I4804">
        <v>2001</v>
      </c>
      <c r="J4804">
        <v>2001</v>
      </c>
      <c r="K4804" t="s">
        <v>4554</v>
      </c>
      <c r="L4804" t="s">
        <v>3974</v>
      </c>
      <c r="M4804" s="2">
        <v>2595</v>
      </c>
      <c r="N4804" t="s">
        <v>3147</v>
      </c>
      <c r="O4804">
        <v>6</v>
      </c>
      <c r="P4804">
        <v>2</v>
      </c>
      <c r="Q4804">
        <v>1</v>
      </c>
      <c r="R4804" t="s">
        <v>5281</v>
      </c>
      <c r="S4804" t="s">
        <v>4558</v>
      </c>
      <c r="T4804" t="s">
        <v>2704</v>
      </c>
      <c r="U4804" t="s">
        <v>5631</v>
      </c>
      <c r="V4804" s="2">
        <v>682</v>
      </c>
      <c r="W4804" t="s">
        <v>4655</v>
      </c>
      <c r="X4804" s="2">
        <v>0</v>
      </c>
      <c r="Y4804">
        <v>20</v>
      </c>
      <c r="Z4804" t="s">
        <v>5508</v>
      </c>
      <c r="AA4804" s="3">
        <v>0.35300734639167802</v>
      </c>
      <c r="AB4804" t="s">
        <v>3591</v>
      </c>
      <c r="AC4804" t="s">
        <v>4562</v>
      </c>
      <c r="AD4804" t="s">
        <v>3592</v>
      </c>
      <c r="AE4804" t="s">
        <v>4655</v>
      </c>
      <c r="AF4804" t="s">
        <v>3170</v>
      </c>
      <c r="AG4804" t="s">
        <v>4584</v>
      </c>
      <c r="AH4804">
        <v>95070</v>
      </c>
      <c r="AI4804" t="s">
        <v>25006</v>
      </c>
      <c r="AJ4804" t="s">
        <v>597</v>
      </c>
      <c r="AK4804" t="s">
        <v>25007</v>
      </c>
      <c r="AL4804" s="13" t="s">
        <v>1894</v>
      </c>
      <c r="AM4804" s="14">
        <v>1</v>
      </c>
      <c r="AN4804" s="15" t="s">
        <v>2031</v>
      </c>
    </row>
    <row r="4805" spans="1:40" x14ac:dyDescent="0.3">
      <c r="A4805" s="10" t="str">
        <f>HYPERLINK("http://www.washoecounty.gov/assessor/cama/?parid=142-171-03&amp;CardNumber=1","142-171-03")</f>
        <v>142-171-03</v>
      </c>
      <c r="B4805" t="s">
        <v>4655</v>
      </c>
      <c r="C4805" t="s">
        <v>25008</v>
      </c>
      <c r="D4805" s="1">
        <v>40436</v>
      </c>
      <c r="E4805" s="2">
        <v>263000</v>
      </c>
      <c r="F4805" t="s">
        <v>4567</v>
      </c>
      <c r="G4805" s="17" t="str">
        <f>HYPERLINK("https://www.washoecounty.gov/assessor/cama/?command=sales&amp;parid=14217103","3922740")</f>
        <v>3922740</v>
      </c>
      <c r="H4805" t="s">
        <v>1829</v>
      </c>
      <c r="I4805">
        <v>2001</v>
      </c>
      <c r="J4805">
        <v>2001</v>
      </c>
      <c r="K4805" t="s">
        <v>4554</v>
      </c>
      <c r="L4805" t="s">
        <v>3974</v>
      </c>
      <c r="M4805" s="2">
        <v>2898</v>
      </c>
      <c r="N4805" t="s">
        <v>5280</v>
      </c>
      <c r="O4805">
        <v>5</v>
      </c>
      <c r="P4805">
        <v>3</v>
      </c>
      <c r="Q4805">
        <v>0</v>
      </c>
      <c r="R4805" t="s">
        <v>4557</v>
      </c>
      <c r="S4805" t="s">
        <v>4558</v>
      </c>
      <c r="T4805" t="s">
        <v>2704</v>
      </c>
      <c r="U4805" t="s">
        <v>4560</v>
      </c>
      <c r="V4805" s="2">
        <v>705</v>
      </c>
      <c r="W4805" t="s">
        <v>4655</v>
      </c>
      <c r="X4805" s="2">
        <v>0</v>
      </c>
      <c r="Y4805">
        <v>20</v>
      </c>
      <c r="Z4805" t="s">
        <v>5508</v>
      </c>
      <c r="AA4805" s="3">
        <v>0.28298899531364441</v>
      </c>
      <c r="AB4805" t="s">
        <v>25009</v>
      </c>
      <c r="AC4805" t="s">
        <v>4575</v>
      </c>
      <c r="AD4805" t="s">
        <v>25010</v>
      </c>
      <c r="AE4805" t="s">
        <v>25008</v>
      </c>
      <c r="AF4805" t="s">
        <v>4563</v>
      </c>
      <c r="AG4805" t="s">
        <v>4564</v>
      </c>
      <c r="AH4805">
        <v>89511</v>
      </c>
      <c r="AI4805" t="s">
        <v>25011</v>
      </c>
      <c r="AJ4805" t="s">
        <v>2213</v>
      </c>
      <c r="AK4805" t="s">
        <v>25012</v>
      </c>
      <c r="AL4805" s="13" t="s">
        <v>3431</v>
      </c>
      <c r="AM4805" s="14">
        <v>1</v>
      </c>
      <c r="AN4805" s="15" t="s">
        <v>595</v>
      </c>
    </row>
    <row r="4806" spans="1:40" x14ac:dyDescent="0.3">
      <c r="A4806" s="10" t="str">
        <f>HYPERLINK("http://www.washoecounty.gov/assessor/cama/?parid=142-173-16&amp;CardNumber=1","142-173-16")</f>
        <v>142-173-16</v>
      </c>
      <c r="B4806" t="s">
        <v>4655</v>
      </c>
      <c r="C4806" t="s">
        <v>25013</v>
      </c>
      <c r="D4806" s="1">
        <v>40309</v>
      </c>
      <c r="E4806" s="2">
        <v>329000</v>
      </c>
      <c r="F4806" t="s">
        <v>4567</v>
      </c>
      <c r="G4806" s="17" t="str">
        <f>HYPERLINK("https://www.washoecounty.gov/assessor/cama/?command=sales&amp;parid=14217316","3880186")</f>
        <v>3880186</v>
      </c>
      <c r="H4806" t="s">
        <v>1829</v>
      </c>
      <c r="I4806">
        <v>2000</v>
      </c>
      <c r="J4806">
        <v>2000</v>
      </c>
      <c r="K4806" t="s">
        <v>4554</v>
      </c>
      <c r="L4806" t="s">
        <v>3974</v>
      </c>
      <c r="M4806" s="2">
        <v>2495</v>
      </c>
      <c r="N4806" t="s">
        <v>5280</v>
      </c>
      <c r="O4806">
        <v>4</v>
      </c>
      <c r="P4806">
        <v>3</v>
      </c>
      <c r="Q4806">
        <v>0</v>
      </c>
      <c r="R4806" t="s">
        <v>4557</v>
      </c>
      <c r="S4806" t="s">
        <v>4558</v>
      </c>
      <c r="T4806" t="s">
        <v>4559</v>
      </c>
      <c r="U4806" t="s">
        <v>5631</v>
      </c>
      <c r="V4806" s="2">
        <v>668</v>
      </c>
      <c r="W4806" t="s">
        <v>4655</v>
      </c>
      <c r="X4806" s="2">
        <v>0</v>
      </c>
      <c r="Y4806">
        <v>20</v>
      </c>
      <c r="Z4806" t="s">
        <v>5508</v>
      </c>
      <c r="AA4806" s="3">
        <v>0.27699723839759827</v>
      </c>
      <c r="AB4806" t="s">
        <v>25014</v>
      </c>
      <c r="AC4806" t="s">
        <v>4562</v>
      </c>
      <c r="AD4806" t="s">
        <v>25015</v>
      </c>
      <c r="AE4806" t="s">
        <v>4655</v>
      </c>
      <c r="AF4806" t="s">
        <v>4563</v>
      </c>
      <c r="AG4806" t="s">
        <v>4564</v>
      </c>
      <c r="AH4806">
        <v>89511</v>
      </c>
      <c r="AI4806" t="s">
        <v>25016</v>
      </c>
      <c r="AJ4806" t="s">
        <v>2213</v>
      </c>
      <c r="AK4806" t="s">
        <v>25017</v>
      </c>
      <c r="AL4806" s="13" t="s">
        <v>3431</v>
      </c>
      <c r="AM4806" s="14">
        <v>1</v>
      </c>
      <c r="AN4806" s="15" t="s">
        <v>595</v>
      </c>
    </row>
    <row r="4807" spans="1:40" x14ac:dyDescent="0.3">
      <c r="A4807" s="10" t="str">
        <f>HYPERLINK("http://www.washoecounty.gov/assessor/cama/?parid=142-191-02&amp;CardNumber=1","142-191-02")</f>
        <v>142-191-02</v>
      </c>
      <c r="B4807" t="s">
        <v>4655</v>
      </c>
      <c r="C4807" t="s">
        <v>25018</v>
      </c>
      <c r="D4807" s="1">
        <v>40200</v>
      </c>
      <c r="E4807" s="2">
        <v>1288500</v>
      </c>
      <c r="F4807" t="s">
        <v>4567</v>
      </c>
      <c r="G4807" s="17" t="str">
        <f>HYPERLINK("https://www.washoecounty.gov/assessor/cama/?command=sales&amp;parid=14219102","3841897")</f>
        <v>3841897</v>
      </c>
      <c r="H4807" t="s">
        <v>598</v>
      </c>
      <c r="I4807">
        <v>2006</v>
      </c>
      <c r="J4807">
        <v>2006</v>
      </c>
      <c r="K4807" t="s">
        <v>4554</v>
      </c>
      <c r="L4807" t="s">
        <v>4555</v>
      </c>
      <c r="M4807" s="2">
        <v>3826</v>
      </c>
      <c r="N4807" t="s">
        <v>8283</v>
      </c>
      <c r="O4807">
        <v>5</v>
      </c>
      <c r="P4807">
        <v>4</v>
      </c>
      <c r="Q4807">
        <v>1</v>
      </c>
      <c r="R4807" t="s">
        <v>5281</v>
      </c>
      <c r="S4807" t="s">
        <v>4898</v>
      </c>
      <c r="T4807" t="s">
        <v>2704</v>
      </c>
      <c r="U4807" t="s">
        <v>4560</v>
      </c>
      <c r="V4807" s="2">
        <v>2652</v>
      </c>
      <c r="W4807" t="s">
        <v>4571</v>
      </c>
      <c r="X4807" s="2">
        <v>1356</v>
      </c>
      <c r="Y4807">
        <v>20</v>
      </c>
      <c r="Z4807" t="s">
        <v>3884</v>
      </c>
      <c r="AA4807" s="3">
        <v>1.0260101556777901</v>
      </c>
      <c r="AB4807" t="s">
        <v>25019</v>
      </c>
      <c r="AC4807" t="s">
        <v>4562</v>
      </c>
      <c r="AD4807" t="s">
        <v>25020</v>
      </c>
      <c r="AE4807" t="s">
        <v>4655</v>
      </c>
      <c r="AF4807" t="s">
        <v>4563</v>
      </c>
      <c r="AG4807" t="s">
        <v>4564</v>
      </c>
      <c r="AH4807">
        <v>89511</v>
      </c>
      <c r="AI4807" t="s">
        <v>18222</v>
      </c>
      <c r="AJ4807" t="s">
        <v>599</v>
      </c>
      <c r="AK4807" t="s">
        <v>25021</v>
      </c>
      <c r="AL4807" s="13" t="s">
        <v>3424</v>
      </c>
      <c r="AM4807">
        <v>1</v>
      </c>
      <c r="AN4807" s="15" t="s">
        <v>600</v>
      </c>
    </row>
    <row r="4808" spans="1:40" x14ac:dyDescent="0.3">
      <c r="A4808" s="10" t="str">
        <f>HYPERLINK("http://www.washoecounty.gov/assessor/cama/?parid=142-200-24&amp;CardNumber=1","142-200-24")</f>
        <v>142-200-24</v>
      </c>
      <c r="B4808" t="s">
        <v>4655</v>
      </c>
      <c r="C4808" t="s">
        <v>25022</v>
      </c>
      <c r="D4808" s="1">
        <v>40275</v>
      </c>
      <c r="E4808" s="2">
        <v>900000</v>
      </c>
      <c r="F4808" t="s">
        <v>4567</v>
      </c>
      <c r="G4808" s="17" t="str">
        <f>HYPERLINK("https://www.washoecounty.gov/assessor/cama/?command=sales&amp;parid=14220024","3868477")</f>
        <v>3868477</v>
      </c>
      <c r="H4808" t="s">
        <v>1879</v>
      </c>
      <c r="I4808">
        <v>2006</v>
      </c>
      <c r="J4808">
        <v>2006</v>
      </c>
      <c r="K4808" t="s">
        <v>4554</v>
      </c>
      <c r="L4808" t="s">
        <v>4555</v>
      </c>
      <c r="M4808" s="2">
        <v>4257</v>
      </c>
      <c r="N4808" t="s">
        <v>2012</v>
      </c>
      <c r="O4808">
        <v>4</v>
      </c>
      <c r="P4808">
        <v>4</v>
      </c>
      <c r="Q4808">
        <v>1</v>
      </c>
      <c r="R4808" t="s">
        <v>5281</v>
      </c>
      <c r="S4808" t="s">
        <v>4898</v>
      </c>
      <c r="T4808" t="s">
        <v>2704</v>
      </c>
      <c r="U4808" t="s">
        <v>4560</v>
      </c>
      <c r="V4808" s="2">
        <v>1748</v>
      </c>
      <c r="W4808" t="s">
        <v>4655</v>
      </c>
      <c r="X4808" s="2">
        <v>0</v>
      </c>
      <c r="Y4808">
        <v>20</v>
      </c>
      <c r="Z4808" t="s">
        <v>5508</v>
      </c>
      <c r="AA4808" s="3">
        <v>1.1325757503509499</v>
      </c>
      <c r="AB4808" t="s">
        <v>25023</v>
      </c>
      <c r="AC4808" t="s">
        <v>4575</v>
      </c>
      <c r="AD4808" t="s">
        <v>25022</v>
      </c>
      <c r="AE4808" t="s">
        <v>4655</v>
      </c>
      <c r="AF4808" t="s">
        <v>4563</v>
      </c>
      <c r="AG4808" t="s">
        <v>4564</v>
      </c>
      <c r="AH4808">
        <v>89511</v>
      </c>
      <c r="AI4808" t="s">
        <v>25024</v>
      </c>
      <c r="AJ4808" t="s">
        <v>1880</v>
      </c>
      <c r="AK4808" t="s">
        <v>25025</v>
      </c>
      <c r="AL4808" s="13" t="s">
        <v>3424</v>
      </c>
      <c r="AM4808" s="14">
        <v>1</v>
      </c>
      <c r="AN4808" s="15" t="s">
        <v>600</v>
      </c>
    </row>
    <row r="4809" spans="1:40" x14ac:dyDescent="0.3">
      <c r="A4809" s="10" t="str">
        <f>HYPERLINK("http://www.washoecounty.gov/assessor/cama/?parid=142-200-31&amp;CardNumber=1","142-200-31")</f>
        <v>142-200-31</v>
      </c>
      <c r="B4809" t="s">
        <v>4655</v>
      </c>
      <c r="C4809" t="s">
        <v>25026</v>
      </c>
      <c r="D4809" s="1">
        <v>40473</v>
      </c>
      <c r="E4809" s="2">
        <v>500000</v>
      </c>
      <c r="F4809" t="s">
        <v>4553</v>
      </c>
      <c r="G4809" s="17" t="str">
        <f>HYPERLINK("https://www.washoecounty.gov/assessor/cama/?command=sales&amp;parid=14220031","3935663")</f>
        <v>3935663</v>
      </c>
      <c r="H4809" t="s">
        <v>1879</v>
      </c>
      <c r="I4809">
        <v>2008</v>
      </c>
      <c r="J4809">
        <v>2008</v>
      </c>
      <c r="K4809" t="s">
        <v>4554</v>
      </c>
      <c r="L4809" t="s">
        <v>3974</v>
      </c>
      <c r="M4809" s="2">
        <v>7113</v>
      </c>
      <c r="N4809" t="s">
        <v>2631</v>
      </c>
      <c r="O4809">
        <v>5</v>
      </c>
      <c r="P4809">
        <v>6</v>
      </c>
      <c r="Q4809">
        <v>2</v>
      </c>
      <c r="R4809" t="s">
        <v>2632</v>
      </c>
      <c r="S4809" t="s">
        <v>4898</v>
      </c>
      <c r="T4809" t="s">
        <v>2704</v>
      </c>
      <c r="U4809" t="s">
        <v>5631</v>
      </c>
      <c r="V4809" s="2">
        <v>1185</v>
      </c>
      <c r="W4809" t="s">
        <v>4655</v>
      </c>
      <c r="X4809" s="2">
        <v>0</v>
      </c>
      <c r="Y4809">
        <v>20</v>
      </c>
      <c r="Z4809" t="s">
        <v>3884</v>
      </c>
      <c r="AA4809" s="3">
        <v>1.01691913604736</v>
      </c>
      <c r="AB4809" t="s">
        <v>25027</v>
      </c>
      <c r="AC4809" t="s">
        <v>4575</v>
      </c>
      <c r="AD4809" t="s">
        <v>25028</v>
      </c>
      <c r="AE4809" t="s">
        <v>4655</v>
      </c>
      <c r="AF4809" t="s">
        <v>4563</v>
      </c>
      <c r="AG4809" t="s">
        <v>4564</v>
      </c>
      <c r="AH4809">
        <v>89511</v>
      </c>
      <c r="AI4809" t="s">
        <v>25027</v>
      </c>
      <c r="AJ4809" t="s">
        <v>1880</v>
      </c>
      <c r="AK4809" t="s">
        <v>25029</v>
      </c>
      <c r="AL4809" s="13" t="s">
        <v>3424</v>
      </c>
      <c r="AM4809" s="14">
        <v>1</v>
      </c>
      <c r="AN4809" s="15" t="s">
        <v>600</v>
      </c>
    </row>
    <row r="4810" spans="1:40" x14ac:dyDescent="0.3">
      <c r="A4810" s="10" t="str">
        <f>HYPERLINK("http://www.washoecounty.gov/assessor/cama/?parid=142-241-28&amp;CardNumber=1","142-241-28")</f>
        <v>142-241-28</v>
      </c>
      <c r="B4810" t="s">
        <v>4655</v>
      </c>
      <c r="C4810" t="s">
        <v>25030</v>
      </c>
      <c r="D4810" s="1">
        <v>40316</v>
      </c>
      <c r="E4810" s="2">
        <v>88500</v>
      </c>
      <c r="F4810" t="s">
        <v>4553</v>
      </c>
      <c r="G4810" s="17" t="str">
        <f>HYPERLINK("https://www.washoecounty.gov/assessor/cama/?command=sales&amp;parid=14224128","3882655")</f>
        <v>3882655</v>
      </c>
      <c r="H4810" t="s">
        <v>25031</v>
      </c>
      <c r="I4810">
        <v>0</v>
      </c>
      <c r="J4810">
        <v>0</v>
      </c>
      <c r="K4810" t="s">
        <v>4655</v>
      </c>
      <c r="L4810" t="s">
        <v>4655</v>
      </c>
      <c r="M4810" s="2">
        <v>0</v>
      </c>
      <c r="N4810" t="s">
        <v>4655</v>
      </c>
      <c r="O4810">
        <v>0</v>
      </c>
      <c r="P4810">
        <v>0</v>
      </c>
      <c r="Q4810">
        <v>0</v>
      </c>
      <c r="R4810" t="s">
        <v>4655</v>
      </c>
      <c r="S4810" t="s">
        <v>4655</v>
      </c>
      <c r="T4810" t="s">
        <v>4655</v>
      </c>
      <c r="U4810" t="s">
        <v>4655</v>
      </c>
      <c r="V4810" s="2">
        <v>0</v>
      </c>
      <c r="W4810" t="s">
        <v>4655</v>
      </c>
      <c r="X4810" s="2">
        <v>0</v>
      </c>
      <c r="Y4810">
        <v>12</v>
      </c>
      <c r="Z4810" t="s">
        <v>1376</v>
      </c>
      <c r="AA4810" s="3">
        <v>2.5</v>
      </c>
      <c r="AB4810" t="s">
        <v>25032</v>
      </c>
      <c r="AC4810" t="s">
        <v>4562</v>
      </c>
      <c r="AD4810" t="s">
        <v>25033</v>
      </c>
      <c r="AE4810" t="s">
        <v>4655</v>
      </c>
      <c r="AF4810" t="s">
        <v>4563</v>
      </c>
      <c r="AG4810" t="s">
        <v>4564</v>
      </c>
      <c r="AH4810">
        <v>89503</v>
      </c>
      <c r="AI4810" t="s">
        <v>6198</v>
      </c>
      <c r="AJ4810" t="s">
        <v>4655</v>
      </c>
      <c r="AK4810" t="s">
        <v>25034</v>
      </c>
      <c r="AL4810" s="13" t="s">
        <v>1895</v>
      </c>
      <c r="AM4810">
        <v>0</v>
      </c>
      <c r="AN4810" s="15" t="s">
        <v>562</v>
      </c>
    </row>
    <row r="4811" spans="1:40" x14ac:dyDescent="0.3">
      <c r="A4811" s="10" t="str">
        <f>HYPERLINK("http://www.washoecounty.gov/assessor/cama/?parid=142-241-62&amp;CardNumber=1","142-241-62")</f>
        <v>142-241-62</v>
      </c>
      <c r="B4811" t="s">
        <v>4655</v>
      </c>
      <c r="C4811" t="s">
        <v>25035</v>
      </c>
      <c r="D4811" s="1">
        <v>40221</v>
      </c>
      <c r="E4811" s="2">
        <v>451076</v>
      </c>
      <c r="F4811" t="s">
        <v>4567</v>
      </c>
      <c r="G4811" s="17" t="str">
        <f>HYPERLINK("https://www.washoecounty.gov/assessor/cama/?command=sales&amp;parid=14224162","3848921")</f>
        <v>3848921</v>
      </c>
      <c r="H4811" t="s">
        <v>25036</v>
      </c>
      <c r="I4811">
        <v>1997</v>
      </c>
      <c r="J4811">
        <v>1997</v>
      </c>
      <c r="K4811" t="s">
        <v>4554</v>
      </c>
      <c r="L4811" t="s">
        <v>3974</v>
      </c>
      <c r="M4811" s="2">
        <v>4466</v>
      </c>
      <c r="N4811" t="s">
        <v>3887</v>
      </c>
      <c r="O4811">
        <v>6</v>
      </c>
      <c r="P4811">
        <v>4</v>
      </c>
      <c r="Q4811">
        <v>1</v>
      </c>
      <c r="R4811" t="s">
        <v>5281</v>
      </c>
      <c r="S4811" t="s">
        <v>4558</v>
      </c>
      <c r="T4811" t="s">
        <v>4559</v>
      </c>
      <c r="U4811" t="s">
        <v>4560</v>
      </c>
      <c r="V4811" s="2">
        <v>1078</v>
      </c>
      <c r="W4811" t="s">
        <v>4655</v>
      </c>
      <c r="X4811" s="2">
        <v>0</v>
      </c>
      <c r="Y4811">
        <v>20</v>
      </c>
      <c r="Z4811" t="s">
        <v>1376</v>
      </c>
      <c r="AA4811" s="3">
        <v>2.5</v>
      </c>
      <c r="AB4811" t="s">
        <v>25037</v>
      </c>
      <c r="AC4811" t="s">
        <v>4575</v>
      </c>
      <c r="AD4811" t="s">
        <v>25038</v>
      </c>
      <c r="AE4811" t="s">
        <v>4655</v>
      </c>
      <c r="AF4811" t="s">
        <v>4563</v>
      </c>
      <c r="AG4811" t="s">
        <v>4564</v>
      </c>
      <c r="AH4811">
        <v>89511</v>
      </c>
      <c r="AI4811" t="s">
        <v>25039</v>
      </c>
      <c r="AJ4811" t="s">
        <v>4655</v>
      </c>
      <c r="AK4811" t="s">
        <v>25040</v>
      </c>
      <c r="AL4811" s="13" t="s">
        <v>1894</v>
      </c>
      <c r="AM4811">
        <v>1</v>
      </c>
      <c r="AN4811" s="15" t="s">
        <v>562</v>
      </c>
    </row>
    <row r="4812" spans="1:40" x14ac:dyDescent="0.3">
      <c r="A4812" s="10" t="str">
        <f>HYPERLINK("http://www.washoecounty.gov/assessor/cama/?parid=142-241-64&amp;CardNumber=1","142-241-64")</f>
        <v>142-241-64</v>
      </c>
      <c r="B4812" t="s">
        <v>4655</v>
      </c>
      <c r="C4812" t="s">
        <v>25041</v>
      </c>
      <c r="D4812" s="1">
        <v>40340</v>
      </c>
      <c r="E4812" s="2">
        <v>105000</v>
      </c>
      <c r="F4812" t="s">
        <v>3259</v>
      </c>
      <c r="G4812" s="17" t="str">
        <f>HYPERLINK("https://www.washoecounty.gov/assessor/cama/?command=sales&amp;parid=14224164","3890838")</f>
        <v>3890838</v>
      </c>
      <c r="H4812" t="s">
        <v>4655</v>
      </c>
      <c r="I4812">
        <v>0</v>
      </c>
      <c r="J4812">
        <v>0</v>
      </c>
      <c r="K4812" t="s">
        <v>4655</v>
      </c>
      <c r="L4812" t="s">
        <v>4655</v>
      </c>
      <c r="M4812" s="2">
        <v>0</v>
      </c>
      <c r="N4812" t="s">
        <v>4655</v>
      </c>
      <c r="O4812">
        <v>0</v>
      </c>
      <c r="P4812">
        <v>0</v>
      </c>
      <c r="Q4812">
        <v>0</v>
      </c>
      <c r="R4812" t="s">
        <v>4655</v>
      </c>
      <c r="S4812" t="s">
        <v>4655</v>
      </c>
      <c r="T4812" t="s">
        <v>4655</v>
      </c>
      <c r="U4812" t="s">
        <v>4655</v>
      </c>
      <c r="V4812" s="2">
        <v>0</v>
      </c>
      <c r="W4812" t="s">
        <v>4655</v>
      </c>
      <c r="X4812" s="2">
        <v>0</v>
      </c>
      <c r="Y4812">
        <v>12</v>
      </c>
      <c r="Z4812" t="s">
        <v>3884</v>
      </c>
      <c r="AA4812" s="3">
        <v>2.5</v>
      </c>
      <c r="AB4812" t="s">
        <v>25042</v>
      </c>
      <c r="AC4812" t="s">
        <v>4575</v>
      </c>
      <c r="AD4812" t="s">
        <v>25043</v>
      </c>
      <c r="AE4812" t="s">
        <v>25044</v>
      </c>
      <c r="AF4812" t="s">
        <v>4563</v>
      </c>
      <c r="AG4812" t="s">
        <v>4564</v>
      </c>
      <c r="AH4812">
        <v>89511</v>
      </c>
      <c r="AI4812" t="s">
        <v>25045</v>
      </c>
      <c r="AJ4812" t="s">
        <v>4655</v>
      </c>
      <c r="AK4812" t="s">
        <v>25046</v>
      </c>
      <c r="AL4812" s="13" t="s">
        <v>1895</v>
      </c>
      <c r="AM4812" s="14">
        <v>0</v>
      </c>
      <c r="AN4812" s="15" t="s">
        <v>562</v>
      </c>
    </row>
    <row r="4813" spans="1:40" x14ac:dyDescent="0.3">
      <c r="A4813" s="10" t="str">
        <f>HYPERLINK("http://www.washoecounty.gov/assessor/cama/?parid=142-271-01&amp;CardNumber=1","142-271-01")</f>
        <v>142-271-01</v>
      </c>
      <c r="B4813" t="s">
        <v>4655</v>
      </c>
      <c r="C4813" t="s">
        <v>675</v>
      </c>
      <c r="D4813" s="1">
        <v>40253</v>
      </c>
      <c r="E4813" s="2">
        <v>87500</v>
      </c>
      <c r="F4813" t="s">
        <v>3259</v>
      </c>
      <c r="G4813" s="17" t="str">
        <f>HYPERLINK("https://www.washoecounty.gov/assessor/cama/?command=sales&amp;parid=14227101","3860297")</f>
        <v>3860297</v>
      </c>
      <c r="H4813" t="s">
        <v>676</v>
      </c>
      <c r="I4813">
        <v>2011</v>
      </c>
      <c r="J4813">
        <v>2011</v>
      </c>
      <c r="K4813" t="s">
        <v>4554</v>
      </c>
      <c r="L4813" t="s">
        <v>4555</v>
      </c>
      <c r="M4813" s="2">
        <v>2796</v>
      </c>
      <c r="N4813" t="s">
        <v>5106</v>
      </c>
      <c r="O4813">
        <v>3</v>
      </c>
      <c r="P4813">
        <v>3</v>
      </c>
      <c r="Q4813">
        <v>0</v>
      </c>
      <c r="R4813" t="s">
        <v>5281</v>
      </c>
      <c r="S4813" t="s">
        <v>4898</v>
      </c>
      <c r="T4813" t="s">
        <v>2704</v>
      </c>
      <c r="U4813" t="s">
        <v>4560</v>
      </c>
      <c r="V4813" s="2">
        <v>679</v>
      </c>
      <c r="W4813" t="s">
        <v>4655</v>
      </c>
      <c r="X4813" s="2">
        <v>0</v>
      </c>
      <c r="Y4813">
        <v>12</v>
      </c>
      <c r="Z4813" t="s">
        <v>5508</v>
      </c>
      <c r="AA4813" s="3">
        <v>0.63374656438827515</v>
      </c>
      <c r="AB4813" t="s">
        <v>677</v>
      </c>
      <c r="AC4813" t="s">
        <v>4562</v>
      </c>
      <c r="AD4813" t="s">
        <v>25047</v>
      </c>
      <c r="AE4813" t="s">
        <v>4655</v>
      </c>
      <c r="AF4813" t="s">
        <v>4563</v>
      </c>
      <c r="AG4813" t="s">
        <v>4564</v>
      </c>
      <c r="AH4813" t="s">
        <v>2330</v>
      </c>
      <c r="AI4813" t="s">
        <v>25048</v>
      </c>
      <c r="AJ4813" t="s">
        <v>678</v>
      </c>
      <c r="AK4813" t="s">
        <v>25049</v>
      </c>
      <c r="AL4813" s="13" t="s">
        <v>3431</v>
      </c>
      <c r="AM4813">
        <v>1</v>
      </c>
      <c r="AN4813" s="15" t="s">
        <v>679</v>
      </c>
    </row>
    <row r="4814" spans="1:40" x14ac:dyDescent="0.3">
      <c r="A4814" s="10" t="str">
        <f>HYPERLINK("http://www.washoecounty.gov/assessor/cama/?parid=142-271-04&amp;CardNumber=1","142-271-04")</f>
        <v>142-271-04</v>
      </c>
      <c r="B4814" t="s">
        <v>4655</v>
      </c>
      <c r="C4814" t="s">
        <v>25050</v>
      </c>
      <c r="D4814" s="1">
        <v>40268</v>
      </c>
      <c r="E4814" s="2">
        <v>120000</v>
      </c>
      <c r="F4814" t="s">
        <v>3259</v>
      </c>
      <c r="G4814" s="17" t="str">
        <f>HYPERLINK("https://www.washoecounty.gov/assessor/cama/?command=sales&amp;parid=14227104","3866135")</f>
        <v>3866135</v>
      </c>
      <c r="H4814" t="s">
        <v>676</v>
      </c>
      <c r="I4814">
        <v>0</v>
      </c>
      <c r="J4814">
        <v>0</v>
      </c>
      <c r="K4814" t="s">
        <v>4655</v>
      </c>
      <c r="L4814" t="s">
        <v>4655</v>
      </c>
      <c r="M4814" s="2">
        <v>0</v>
      </c>
      <c r="N4814" t="s">
        <v>4655</v>
      </c>
      <c r="O4814">
        <v>0</v>
      </c>
      <c r="P4814">
        <v>0</v>
      </c>
      <c r="Q4814">
        <v>0</v>
      </c>
      <c r="R4814" t="s">
        <v>4655</v>
      </c>
      <c r="S4814" t="s">
        <v>4655</v>
      </c>
      <c r="T4814" t="s">
        <v>4655</v>
      </c>
      <c r="U4814" t="s">
        <v>4655</v>
      </c>
      <c r="V4814" s="2">
        <v>0</v>
      </c>
      <c r="W4814" t="s">
        <v>4655</v>
      </c>
      <c r="X4814" s="2">
        <v>0</v>
      </c>
      <c r="Y4814">
        <v>12</v>
      </c>
      <c r="Z4814" t="s">
        <v>3884</v>
      </c>
      <c r="AA4814" s="3">
        <v>1.9825527667999268</v>
      </c>
      <c r="AB4814" t="s">
        <v>25051</v>
      </c>
      <c r="AC4814" t="s">
        <v>4575</v>
      </c>
      <c r="AD4814" t="s">
        <v>25052</v>
      </c>
      <c r="AE4814" t="s">
        <v>25053</v>
      </c>
      <c r="AF4814" t="s">
        <v>10063</v>
      </c>
      <c r="AG4814" t="s">
        <v>2109</v>
      </c>
      <c r="AH4814" t="s">
        <v>25054</v>
      </c>
      <c r="AI4814" t="s">
        <v>25048</v>
      </c>
      <c r="AJ4814" t="s">
        <v>678</v>
      </c>
      <c r="AK4814" t="s">
        <v>25055</v>
      </c>
      <c r="AL4814" s="13" t="s">
        <v>3431</v>
      </c>
      <c r="AM4814">
        <v>0</v>
      </c>
      <c r="AN4814" s="15" t="s">
        <v>679</v>
      </c>
    </row>
    <row r="4815" spans="1:40" x14ac:dyDescent="0.3">
      <c r="A4815" s="10" t="str">
        <f>HYPERLINK("http://www.washoecounty.gov/assessor/cama/?parid=142-271-07&amp;CardNumber=1","142-271-07")</f>
        <v>142-271-07</v>
      </c>
      <c r="B4815" t="s">
        <v>4655</v>
      </c>
      <c r="C4815" t="s">
        <v>25056</v>
      </c>
      <c r="D4815" s="1">
        <v>40423</v>
      </c>
      <c r="E4815" s="2">
        <v>112000</v>
      </c>
      <c r="F4815" t="s">
        <v>3528</v>
      </c>
      <c r="G4815" s="17" t="str">
        <f>HYPERLINK("https://www.washoecounty.gov/assessor/cama/?command=sales&amp;parid=14227107","3918555")</f>
        <v>3918555</v>
      </c>
      <c r="H4815" t="s">
        <v>4302</v>
      </c>
      <c r="I4815">
        <v>0</v>
      </c>
      <c r="J4815">
        <v>0</v>
      </c>
      <c r="K4815" t="s">
        <v>4655</v>
      </c>
      <c r="L4815" t="s">
        <v>4655</v>
      </c>
      <c r="M4815" s="2">
        <v>0</v>
      </c>
      <c r="N4815" t="s">
        <v>4655</v>
      </c>
      <c r="O4815">
        <v>0</v>
      </c>
      <c r="P4815">
        <v>0</v>
      </c>
      <c r="Q4815">
        <v>0</v>
      </c>
      <c r="R4815" t="s">
        <v>4655</v>
      </c>
      <c r="S4815" t="s">
        <v>4655</v>
      </c>
      <c r="T4815" t="s">
        <v>4655</v>
      </c>
      <c r="U4815" t="s">
        <v>4655</v>
      </c>
      <c r="V4815" s="2">
        <v>0</v>
      </c>
      <c r="W4815" t="s">
        <v>4655</v>
      </c>
      <c r="X4815" s="2">
        <v>0</v>
      </c>
      <c r="Y4815">
        <v>12</v>
      </c>
      <c r="Z4815" t="s">
        <v>3884</v>
      </c>
      <c r="AA4815" s="3">
        <v>1.1738522052764799</v>
      </c>
      <c r="AB4815" t="s">
        <v>18097</v>
      </c>
      <c r="AC4815" t="s">
        <v>4562</v>
      </c>
      <c r="AD4815" t="s">
        <v>18098</v>
      </c>
      <c r="AE4815" t="s">
        <v>4655</v>
      </c>
      <c r="AF4815" t="s">
        <v>18099</v>
      </c>
      <c r="AG4815" t="s">
        <v>18100</v>
      </c>
      <c r="AH4815">
        <v>40160</v>
      </c>
      <c r="AI4815" t="s">
        <v>9284</v>
      </c>
      <c r="AJ4815" t="s">
        <v>4571</v>
      </c>
      <c r="AK4815" t="s">
        <v>25057</v>
      </c>
      <c r="AL4815" s="13" t="s">
        <v>3431</v>
      </c>
      <c r="AM4815">
        <v>0</v>
      </c>
      <c r="AN4815" s="15" t="s">
        <v>679</v>
      </c>
    </row>
    <row r="4816" spans="1:40" x14ac:dyDescent="0.3">
      <c r="A4816" s="10" t="str">
        <f>HYPERLINK("http://www.washoecounty.gov/assessor/cama/?parid=142-281-05&amp;CardNumber=1","142-281-05")</f>
        <v>142-281-05</v>
      </c>
      <c r="B4816" t="s">
        <v>4655</v>
      </c>
      <c r="C4816" t="s">
        <v>25058</v>
      </c>
      <c r="D4816" s="1">
        <v>40296</v>
      </c>
      <c r="E4816" s="2">
        <v>375000</v>
      </c>
      <c r="F4816" t="s">
        <v>4567</v>
      </c>
      <c r="G4816" s="17" t="str">
        <f>HYPERLINK("https://www.washoecounty.gov/assessor/cama/?command=sales&amp;parid=14228105","3875792")</f>
        <v>3875792</v>
      </c>
      <c r="H4816" t="s">
        <v>25059</v>
      </c>
      <c r="I4816">
        <v>2000</v>
      </c>
      <c r="J4816">
        <v>2000</v>
      </c>
      <c r="K4816" t="s">
        <v>4554</v>
      </c>
      <c r="L4816" t="s">
        <v>4555</v>
      </c>
      <c r="M4816" s="2">
        <v>2600</v>
      </c>
      <c r="N4816" t="s">
        <v>5280</v>
      </c>
      <c r="O4816">
        <v>3</v>
      </c>
      <c r="P4816">
        <v>2</v>
      </c>
      <c r="Q4816">
        <v>1</v>
      </c>
      <c r="R4816" t="s">
        <v>5281</v>
      </c>
      <c r="S4816" t="s">
        <v>4898</v>
      </c>
      <c r="T4816" t="s">
        <v>2704</v>
      </c>
      <c r="U4816" t="s">
        <v>4560</v>
      </c>
      <c r="V4816" s="2">
        <v>720</v>
      </c>
      <c r="W4816" t="s">
        <v>4655</v>
      </c>
      <c r="X4816" s="2">
        <v>0</v>
      </c>
      <c r="Y4816">
        <v>20</v>
      </c>
      <c r="Z4816" t="s">
        <v>5508</v>
      </c>
      <c r="AA4816" s="3">
        <v>0.75101011991500799</v>
      </c>
      <c r="AB4816" t="s">
        <v>25060</v>
      </c>
      <c r="AC4816" t="s">
        <v>4562</v>
      </c>
      <c r="AD4816" t="s">
        <v>25058</v>
      </c>
      <c r="AE4816" t="s">
        <v>4655</v>
      </c>
      <c r="AF4816" t="s">
        <v>4563</v>
      </c>
      <c r="AG4816" t="s">
        <v>4564</v>
      </c>
      <c r="AH4816">
        <v>89511</v>
      </c>
      <c r="AI4816" t="s">
        <v>25061</v>
      </c>
      <c r="AJ4816" t="s">
        <v>4571</v>
      </c>
      <c r="AK4816" t="s">
        <v>25062</v>
      </c>
      <c r="AL4816" s="13" t="s">
        <v>3431</v>
      </c>
      <c r="AM4816">
        <v>1</v>
      </c>
      <c r="AN4816" s="15" t="s">
        <v>679</v>
      </c>
    </row>
    <row r="4817" spans="1:40" x14ac:dyDescent="0.3">
      <c r="A4817" s="10" t="str">
        <f>HYPERLINK("http://www.washoecounty.gov/assessor/cama/?parid=142-281-09&amp;CardNumber=1","142-281-09")</f>
        <v>142-281-09</v>
      </c>
      <c r="B4817" t="s">
        <v>4655</v>
      </c>
      <c r="C4817" t="s">
        <v>25063</v>
      </c>
      <c r="D4817" s="1">
        <v>40295</v>
      </c>
      <c r="E4817" s="2">
        <v>558000</v>
      </c>
      <c r="F4817" t="s">
        <v>4567</v>
      </c>
      <c r="G4817" s="17" t="str">
        <f>HYPERLINK("https://www.washoecounty.gov/assessor/cama/?command=sales&amp;parid=14228109","3875026")</f>
        <v>3875026</v>
      </c>
      <c r="H4817" t="s">
        <v>25064</v>
      </c>
      <c r="I4817">
        <v>1948</v>
      </c>
      <c r="J4817">
        <v>1993</v>
      </c>
      <c r="K4817" t="s">
        <v>4554</v>
      </c>
      <c r="L4817" t="s">
        <v>4555</v>
      </c>
      <c r="M4817" s="2">
        <v>3490</v>
      </c>
      <c r="N4817" t="s">
        <v>1245</v>
      </c>
      <c r="O4817">
        <v>3</v>
      </c>
      <c r="P4817">
        <v>2</v>
      </c>
      <c r="Q4817">
        <v>1</v>
      </c>
      <c r="R4817" t="s">
        <v>5281</v>
      </c>
      <c r="S4817" t="s">
        <v>1927</v>
      </c>
      <c r="T4817" t="s">
        <v>4559</v>
      </c>
      <c r="U4817" t="s">
        <v>4560</v>
      </c>
      <c r="V4817" s="2">
        <v>697</v>
      </c>
      <c r="W4817" t="s">
        <v>4655</v>
      </c>
      <c r="X4817" s="2">
        <v>0</v>
      </c>
      <c r="Y4817">
        <v>20</v>
      </c>
      <c r="Z4817" t="s">
        <v>3884</v>
      </c>
      <c r="AA4817" s="3">
        <v>0.89155191183090199</v>
      </c>
      <c r="AB4817" t="s">
        <v>25065</v>
      </c>
      <c r="AC4817" t="s">
        <v>4575</v>
      </c>
      <c r="AD4817" t="s">
        <v>25066</v>
      </c>
      <c r="AE4817" t="s">
        <v>25063</v>
      </c>
      <c r="AF4817" t="s">
        <v>4563</v>
      </c>
      <c r="AG4817" t="s">
        <v>4564</v>
      </c>
      <c r="AH4817">
        <v>89511</v>
      </c>
      <c r="AI4817" t="s">
        <v>25067</v>
      </c>
      <c r="AJ4817" t="s">
        <v>25068</v>
      </c>
      <c r="AK4817" t="s">
        <v>25069</v>
      </c>
      <c r="AL4817" s="13" t="s">
        <v>3431</v>
      </c>
      <c r="AM4817" s="14">
        <v>1</v>
      </c>
      <c r="AN4817" s="15" t="s">
        <v>679</v>
      </c>
    </row>
    <row r="4818" spans="1:40" x14ac:dyDescent="0.3">
      <c r="A4818" s="10" t="str">
        <f>HYPERLINK("http://www.washoecounty.gov/assessor/cama/?parid=142-321-03&amp;CardNumber=1","142-321-03")</f>
        <v>142-321-03</v>
      </c>
      <c r="B4818" t="s">
        <v>4655</v>
      </c>
      <c r="C4818" t="s">
        <v>25070</v>
      </c>
      <c r="D4818" s="1">
        <v>40375</v>
      </c>
      <c r="E4818" s="2">
        <v>150000</v>
      </c>
      <c r="F4818" t="s">
        <v>4567</v>
      </c>
      <c r="G4818" s="17" t="str">
        <f>HYPERLINK("https://www.washoecounty.gov/assessor/cama/?command=sales&amp;parid=14232103","3902200")</f>
        <v>3902200</v>
      </c>
      <c r="H4818" t="s">
        <v>563</v>
      </c>
      <c r="I4818">
        <v>2005</v>
      </c>
      <c r="J4818">
        <v>2005</v>
      </c>
      <c r="K4818" t="s">
        <v>4897</v>
      </c>
      <c r="L4818" t="s">
        <v>2170</v>
      </c>
      <c r="M4818" s="2">
        <v>1477</v>
      </c>
      <c r="N4818" t="s">
        <v>3887</v>
      </c>
      <c r="O4818">
        <v>2</v>
      </c>
      <c r="P4818">
        <v>2</v>
      </c>
      <c r="Q4818">
        <v>0</v>
      </c>
      <c r="R4818" t="s">
        <v>5281</v>
      </c>
      <c r="S4818" t="s">
        <v>4898</v>
      </c>
      <c r="T4818" t="s">
        <v>2704</v>
      </c>
      <c r="U4818" t="s">
        <v>5631</v>
      </c>
      <c r="V4818" s="2">
        <v>450</v>
      </c>
      <c r="W4818" t="s">
        <v>4655</v>
      </c>
      <c r="X4818" s="2">
        <v>0</v>
      </c>
      <c r="Y4818">
        <v>21</v>
      </c>
      <c r="Z4818" t="s">
        <v>564</v>
      </c>
      <c r="AA4818" s="3">
        <v>1.0009182617068299E-2</v>
      </c>
      <c r="AB4818" t="s">
        <v>25071</v>
      </c>
      <c r="AC4818" t="s">
        <v>4562</v>
      </c>
      <c r="AD4818" t="s">
        <v>25072</v>
      </c>
      <c r="AE4818" t="s">
        <v>4655</v>
      </c>
      <c r="AF4818" t="s">
        <v>1904</v>
      </c>
      <c r="AG4818" t="s">
        <v>4203</v>
      </c>
      <c r="AH4818" t="s">
        <v>25073</v>
      </c>
      <c r="AI4818" t="s">
        <v>25074</v>
      </c>
      <c r="AJ4818" t="s">
        <v>730</v>
      </c>
      <c r="AK4818" t="s">
        <v>25075</v>
      </c>
      <c r="AL4818" s="13" t="s">
        <v>3430</v>
      </c>
      <c r="AM4818">
        <v>1</v>
      </c>
      <c r="AN4818" s="15" t="s">
        <v>731</v>
      </c>
    </row>
    <row r="4819" spans="1:40" x14ac:dyDescent="0.3">
      <c r="A4819" s="10" t="str">
        <f>HYPERLINK("http://www.washoecounty.gov/assessor/cama/?parid=142-321-04&amp;CardNumber=1","142-321-04")</f>
        <v>142-321-04</v>
      </c>
      <c r="B4819" t="s">
        <v>4655</v>
      </c>
      <c r="C4819" t="s">
        <v>25070</v>
      </c>
      <c r="D4819" s="1">
        <v>40511</v>
      </c>
      <c r="E4819" s="2">
        <v>136000</v>
      </c>
      <c r="F4819" t="s">
        <v>4567</v>
      </c>
      <c r="G4819" s="17" t="str">
        <f>HYPERLINK("https://www.washoecounty.gov/assessor/cama/?command=sales&amp;parid=14232104","3947265")</f>
        <v>3947265</v>
      </c>
      <c r="H4819" t="s">
        <v>563</v>
      </c>
      <c r="I4819">
        <v>2005</v>
      </c>
      <c r="J4819">
        <v>2005</v>
      </c>
      <c r="K4819" t="s">
        <v>4897</v>
      </c>
      <c r="L4819" t="s">
        <v>2170</v>
      </c>
      <c r="M4819" s="2">
        <v>1348</v>
      </c>
      <c r="N4819" t="s">
        <v>3887</v>
      </c>
      <c r="O4819">
        <v>2</v>
      </c>
      <c r="P4819">
        <v>2</v>
      </c>
      <c r="Q4819">
        <v>0</v>
      </c>
      <c r="R4819" t="s">
        <v>5281</v>
      </c>
      <c r="S4819" t="s">
        <v>4898</v>
      </c>
      <c r="T4819" t="s">
        <v>2704</v>
      </c>
      <c r="U4819" t="s">
        <v>5631</v>
      </c>
      <c r="V4819" s="2">
        <v>562</v>
      </c>
      <c r="W4819" t="s">
        <v>4655</v>
      </c>
      <c r="X4819" s="2">
        <v>0</v>
      </c>
      <c r="Y4819">
        <v>21</v>
      </c>
      <c r="Z4819" t="s">
        <v>564</v>
      </c>
      <c r="AA4819" s="3">
        <v>1.0009182617068299E-2</v>
      </c>
      <c r="AB4819" t="s">
        <v>25071</v>
      </c>
      <c r="AC4819" t="s">
        <v>4562</v>
      </c>
      <c r="AD4819" t="s">
        <v>25072</v>
      </c>
      <c r="AE4819" t="s">
        <v>4655</v>
      </c>
      <c r="AF4819" t="s">
        <v>1904</v>
      </c>
      <c r="AG4819" t="s">
        <v>4203</v>
      </c>
      <c r="AH4819" t="s">
        <v>25073</v>
      </c>
      <c r="AI4819" t="s">
        <v>25074</v>
      </c>
      <c r="AJ4819" t="s">
        <v>730</v>
      </c>
      <c r="AK4819" t="s">
        <v>25076</v>
      </c>
      <c r="AL4819" s="13" t="s">
        <v>3430</v>
      </c>
      <c r="AM4819" s="14">
        <v>1</v>
      </c>
      <c r="AN4819" s="15" t="s">
        <v>731</v>
      </c>
    </row>
    <row r="4820" spans="1:40" x14ac:dyDescent="0.3">
      <c r="A4820" s="10" t="str">
        <f>HYPERLINK("http://www.washoecounty.gov/assessor/cama/?parid=142-321-09&amp;CardNumber=1","142-321-09")</f>
        <v>142-321-09</v>
      </c>
      <c r="B4820" t="s">
        <v>4655</v>
      </c>
      <c r="C4820" t="s">
        <v>25070</v>
      </c>
      <c r="D4820" s="1">
        <v>40262</v>
      </c>
      <c r="E4820" s="2">
        <v>129000</v>
      </c>
      <c r="F4820" t="s">
        <v>4567</v>
      </c>
      <c r="G4820" s="17" t="str">
        <f>HYPERLINK("https://www.washoecounty.gov/assessor/cama/?command=sales&amp;parid=14232109","3864150")</f>
        <v>3864150</v>
      </c>
      <c r="H4820" t="s">
        <v>563</v>
      </c>
      <c r="I4820">
        <v>2005</v>
      </c>
      <c r="J4820">
        <v>2005</v>
      </c>
      <c r="K4820" t="s">
        <v>4897</v>
      </c>
      <c r="L4820" t="s">
        <v>4555</v>
      </c>
      <c r="M4820" s="2">
        <v>1317</v>
      </c>
      <c r="N4820" t="s">
        <v>3887</v>
      </c>
      <c r="O4820">
        <v>2</v>
      </c>
      <c r="P4820">
        <v>2</v>
      </c>
      <c r="Q4820">
        <v>0</v>
      </c>
      <c r="R4820" t="s">
        <v>5281</v>
      </c>
      <c r="S4820" t="s">
        <v>4898</v>
      </c>
      <c r="T4820" t="s">
        <v>2704</v>
      </c>
      <c r="U4820" t="s">
        <v>5631</v>
      </c>
      <c r="V4820" s="2">
        <v>534</v>
      </c>
      <c r="W4820" t="s">
        <v>4655</v>
      </c>
      <c r="X4820" s="2">
        <v>0</v>
      </c>
      <c r="Y4820">
        <v>21</v>
      </c>
      <c r="Z4820" t="s">
        <v>564</v>
      </c>
      <c r="AA4820" s="3">
        <v>1.0009182617068299E-2</v>
      </c>
      <c r="AB4820" t="s">
        <v>25077</v>
      </c>
      <c r="AC4820" t="s">
        <v>4575</v>
      </c>
      <c r="AD4820" t="s">
        <v>25078</v>
      </c>
      <c r="AE4820" t="s">
        <v>4655</v>
      </c>
      <c r="AF4820" t="s">
        <v>4563</v>
      </c>
      <c r="AG4820" t="s">
        <v>4564</v>
      </c>
      <c r="AH4820">
        <v>89511</v>
      </c>
      <c r="AI4820" t="s">
        <v>25079</v>
      </c>
      <c r="AJ4820" t="s">
        <v>730</v>
      </c>
      <c r="AK4820" t="s">
        <v>25080</v>
      </c>
      <c r="AL4820" s="13" t="s">
        <v>3430</v>
      </c>
      <c r="AM4820">
        <v>1</v>
      </c>
      <c r="AN4820" s="15" t="s">
        <v>731</v>
      </c>
    </row>
    <row r="4821" spans="1:40" x14ac:dyDescent="0.3">
      <c r="A4821" s="10" t="str">
        <f>HYPERLINK("http://www.washoecounty.gov/assessor/cama/?parid=142-321-20&amp;CardNumber=1","142-321-20")</f>
        <v>142-321-20</v>
      </c>
      <c r="B4821" t="s">
        <v>4655</v>
      </c>
      <c r="C4821" t="s">
        <v>25070</v>
      </c>
      <c r="D4821" s="1">
        <v>40417</v>
      </c>
      <c r="E4821" s="2">
        <v>145000</v>
      </c>
      <c r="F4821" t="s">
        <v>4553</v>
      </c>
      <c r="G4821" s="17" t="str">
        <f>HYPERLINK("https://www.washoecounty.gov/assessor/cama/?command=sales&amp;parid=14232120","3916414")</f>
        <v>3916414</v>
      </c>
      <c r="H4821" t="s">
        <v>563</v>
      </c>
      <c r="I4821">
        <v>2005</v>
      </c>
      <c r="J4821">
        <v>2005</v>
      </c>
      <c r="K4821" t="s">
        <v>4897</v>
      </c>
      <c r="L4821" t="s">
        <v>2170</v>
      </c>
      <c r="M4821" s="2">
        <v>1348</v>
      </c>
      <c r="N4821" t="s">
        <v>3887</v>
      </c>
      <c r="O4821">
        <v>2</v>
      </c>
      <c r="P4821">
        <v>2</v>
      </c>
      <c r="Q4821">
        <v>0</v>
      </c>
      <c r="R4821" t="s">
        <v>5281</v>
      </c>
      <c r="S4821" t="s">
        <v>4898</v>
      </c>
      <c r="T4821" t="s">
        <v>2704</v>
      </c>
      <c r="U4821" t="s">
        <v>5631</v>
      </c>
      <c r="V4821" s="2">
        <v>562</v>
      </c>
      <c r="W4821" t="s">
        <v>4655</v>
      </c>
      <c r="X4821" s="2">
        <v>0</v>
      </c>
      <c r="Y4821">
        <v>21</v>
      </c>
      <c r="Z4821" t="s">
        <v>564</v>
      </c>
      <c r="AA4821" s="3">
        <v>1.0009182617068299E-2</v>
      </c>
      <c r="AB4821" t="s">
        <v>25081</v>
      </c>
      <c r="AC4821" t="s">
        <v>4562</v>
      </c>
      <c r="AD4821" t="s">
        <v>25082</v>
      </c>
      <c r="AE4821" t="s">
        <v>4655</v>
      </c>
      <c r="AF4821" t="s">
        <v>4563</v>
      </c>
      <c r="AG4821" t="s">
        <v>4564</v>
      </c>
      <c r="AH4821">
        <v>89511</v>
      </c>
      <c r="AI4821" t="s">
        <v>949</v>
      </c>
      <c r="AJ4821" t="s">
        <v>730</v>
      </c>
      <c r="AK4821" t="s">
        <v>25083</v>
      </c>
      <c r="AL4821" s="13" t="s">
        <v>3430</v>
      </c>
      <c r="AM4821">
        <v>1</v>
      </c>
      <c r="AN4821" s="15" t="s">
        <v>731</v>
      </c>
    </row>
    <row r="4822" spans="1:40" x14ac:dyDescent="0.3">
      <c r="A4822" s="10" t="str">
        <f>HYPERLINK("http://www.washoecounty.gov/assessor/cama/?parid=142-321-40&amp;CardNumber=1","142-321-40")</f>
        <v>142-321-40</v>
      </c>
      <c r="B4822" t="s">
        <v>4655</v>
      </c>
      <c r="C4822" t="s">
        <v>25070</v>
      </c>
      <c r="D4822" s="1">
        <v>40318</v>
      </c>
      <c r="E4822" s="2">
        <v>90000</v>
      </c>
      <c r="F4822" t="s">
        <v>4567</v>
      </c>
      <c r="G4822" s="17" t="str">
        <f>HYPERLINK("https://www.washoecounty.gov/assessor/cama/?command=sales&amp;parid=14232140","3883310")</f>
        <v>3883310</v>
      </c>
      <c r="H4822" t="s">
        <v>563</v>
      </c>
      <c r="I4822">
        <v>2005</v>
      </c>
      <c r="J4822">
        <v>2005</v>
      </c>
      <c r="K4822" t="s">
        <v>3144</v>
      </c>
      <c r="L4822" t="s">
        <v>2170</v>
      </c>
      <c r="M4822" s="2">
        <v>1033</v>
      </c>
      <c r="N4822" t="s">
        <v>3887</v>
      </c>
      <c r="O4822">
        <v>1</v>
      </c>
      <c r="P4822">
        <v>1</v>
      </c>
      <c r="Q4822">
        <v>0</v>
      </c>
      <c r="R4822" t="s">
        <v>5281</v>
      </c>
      <c r="S4822" t="s">
        <v>4898</v>
      </c>
      <c r="T4822" t="s">
        <v>2704</v>
      </c>
      <c r="U4822" t="s">
        <v>5631</v>
      </c>
      <c r="V4822" s="2">
        <v>296</v>
      </c>
      <c r="W4822" t="s">
        <v>4655</v>
      </c>
      <c r="X4822" s="2">
        <v>0</v>
      </c>
      <c r="Y4822">
        <v>21</v>
      </c>
      <c r="Z4822" t="s">
        <v>564</v>
      </c>
      <c r="AA4822" s="3">
        <v>1.0009182617068299E-2</v>
      </c>
      <c r="AB4822" t="s">
        <v>25084</v>
      </c>
      <c r="AC4822" t="s">
        <v>4562</v>
      </c>
      <c r="AD4822" t="s">
        <v>25085</v>
      </c>
      <c r="AE4822" t="s">
        <v>4655</v>
      </c>
      <c r="AF4822" t="s">
        <v>4563</v>
      </c>
      <c r="AG4822" t="s">
        <v>4564</v>
      </c>
      <c r="AH4822">
        <v>89511</v>
      </c>
      <c r="AI4822" t="s">
        <v>25086</v>
      </c>
      <c r="AJ4822" t="s">
        <v>730</v>
      </c>
      <c r="AK4822" t="s">
        <v>25087</v>
      </c>
      <c r="AL4822" s="13" t="s">
        <v>3430</v>
      </c>
      <c r="AM4822">
        <v>1</v>
      </c>
      <c r="AN4822" s="15" t="s">
        <v>731</v>
      </c>
    </row>
    <row r="4823" spans="1:40" x14ac:dyDescent="0.3">
      <c r="A4823" s="10" t="str">
        <f>HYPERLINK("http://www.washoecounty.gov/assessor/cama/?parid=142-321-42&amp;CardNumber=1","142-321-42")</f>
        <v>142-321-42</v>
      </c>
      <c r="B4823" t="s">
        <v>4655</v>
      </c>
      <c r="C4823" t="s">
        <v>25070</v>
      </c>
      <c r="D4823" s="1">
        <v>40325</v>
      </c>
      <c r="E4823" s="2">
        <v>151900</v>
      </c>
      <c r="F4823" t="s">
        <v>4567</v>
      </c>
      <c r="G4823" s="17" t="str">
        <f>HYPERLINK("https://www.washoecounty.gov/assessor/cama/?command=sales&amp;parid=14232142","3885827")</f>
        <v>3885827</v>
      </c>
      <c r="H4823" t="s">
        <v>563</v>
      </c>
      <c r="I4823">
        <v>2005</v>
      </c>
      <c r="J4823">
        <v>2005</v>
      </c>
      <c r="K4823" t="s">
        <v>4897</v>
      </c>
      <c r="L4823" t="s">
        <v>2170</v>
      </c>
      <c r="M4823" s="2">
        <v>1477</v>
      </c>
      <c r="N4823" t="s">
        <v>3887</v>
      </c>
      <c r="O4823">
        <v>2</v>
      </c>
      <c r="P4823">
        <v>2</v>
      </c>
      <c r="Q4823">
        <v>0</v>
      </c>
      <c r="R4823" t="s">
        <v>5281</v>
      </c>
      <c r="S4823" t="s">
        <v>4898</v>
      </c>
      <c r="T4823" t="s">
        <v>2704</v>
      </c>
      <c r="U4823" t="s">
        <v>5631</v>
      </c>
      <c r="V4823" s="2">
        <v>450</v>
      </c>
      <c r="W4823" t="s">
        <v>4655</v>
      </c>
      <c r="X4823" s="2">
        <v>0</v>
      </c>
      <c r="Y4823">
        <v>21</v>
      </c>
      <c r="Z4823" t="s">
        <v>564</v>
      </c>
      <c r="AA4823" s="3">
        <v>1.0009182617068299E-2</v>
      </c>
      <c r="AB4823" t="s">
        <v>25088</v>
      </c>
      <c r="AC4823" t="s">
        <v>4562</v>
      </c>
      <c r="AD4823" t="s">
        <v>25089</v>
      </c>
      <c r="AE4823" t="s">
        <v>4655</v>
      </c>
      <c r="AF4823" t="s">
        <v>25090</v>
      </c>
      <c r="AG4823" t="s">
        <v>4203</v>
      </c>
      <c r="AH4823" t="s">
        <v>25091</v>
      </c>
      <c r="AI4823" t="s">
        <v>25092</v>
      </c>
      <c r="AJ4823" t="s">
        <v>730</v>
      </c>
      <c r="AK4823" t="s">
        <v>25093</v>
      </c>
      <c r="AL4823" s="13" t="s">
        <v>3430</v>
      </c>
      <c r="AM4823">
        <v>1</v>
      </c>
      <c r="AN4823" s="15" t="s">
        <v>731</v>
      </c>
    </row>
    <row r="4824" spans="1:40" x14ac:dyDescent="0.3">
      <c r="A4824" s="10" t="str">
        <f>HYPERLINK("http://www.washoecounty.gov/assessor/cama/?parid=142-321-47&amp;CardNumber=1","142-321-47")</f>
        <v>142-321-47</v>
      </c>
      <c r="B4824" t="s">
        <v>4655</v>
      </c>
      <c r="C4824" t="s">
        <v>25070</v>
      </c>
      <c r="D4824" s="1">
        <v>40354</v>
      </c>
      <c r="E4824" s="2">
        <v>105000</v>
      </c>
      <c r="F4824" t="s">
        <v>4567</v>
      </c>
      <c r="G4824" s="17" t="str">
        <f>HYPERLINK("https://www.washoecounty.gov/assessor/cama/?command=sales&amp;parid=14232147","3895351")</f>
        <v>3895351</v>
      </c>
      <c r="H4824" t="s">
        <v>563</v>
      </c>
      <c r="I4824">
        <v>2005</v>
      </c>
      <c r="J4824">
        <v>2005</v>
      </c>
      <c r="K4824" t="s">
        <v>3144</v>
      </c>
      <c r="L4824" t="s">
        <v>2170</v>
      </c>
      <c r="M4824" s="2">
        <v>1033</v>
      </c>
      <c r="N4824" t="s">
        <v>3887</v>
      </c>
      <c r="O4824">
        <v>1</v>
      </c>
      <c r="P4824">
        <v>1</v>
      </c>
      <c r="Q4824">
        <v>0</v>
      </c>
      <c r="R4824" t="s">
        <v>5281</v>
      </c>
      <c r="S4824" t="s">
        <v>4898</v>
      </c>
      <c r="T4824" t="s">
        <v>2704</v>
      </c>
      <c r="U4824" t="s">
        <v>5631</v>
      </c>
      <c r="V4824" s="2">
        <v>296</v>
      </c>
      <c r="W4824" t="s">
        <v>4655</v>
      </c>
      <c r="X4824" s="2">
        <v>0</v>
      </c>
      <c r="Y4824">
        <v>21</v>
      </c>
      <c r="Z4824" t="s">
        <v>564</v>
      </c>
      <c r="AA4824" s="3">
        <v>1.0009182617068299E-2</v>
      </c>
      <c r="AB4824" t="s">
        <v>2461</v>
      </c>
      <c r="AC4824" t="s">
        <v>4562</v>
      </c>
      <c r="AD4824" t="s">
        <v>2462</v>
      </c>
      <c r="AE4824" t="s">
        <v>4655</v>
      </c>
      <c r="AF4824" t="s">
        <v>3264</v>
      </c>
      <c r="AG4824" t="s">
        <v>4564</v>
      </c>
      <c r="AH4824">
        <v>89102</v>
      </c>
      <c r="AI4824" t="s">
        <v>25094</v>
      </c>
      <c r="AJ4824" t="s">
        <v>730</v>
      </c>
      <c r="AK4824" t="s">
        <v>25095</v>
      </c>
      <c r="AL4824" s="13" t="s">
        <v>3430</v>
      </c>
      <c r="AM4824" s="14">
        <v>1</v>
      </c>
      <c r="AN4824" s="15" t="s">
        <v>731</v>
      </c>
    </row>
    <row r="4825" spans="1:40" x14ac:dyDescent="0.3">
      <c r="A4825" s="10" t="str">
        <f>HYPERLINK("http://www.washoecounty.gov/assessor/cama/?parid=142-321-53&amp;CardNumber=1","142-321-53")</f>
        <v>142-321-53</v>
      </c>
      <c r="B4825" t="s">
        <v>4655</v>
      </c>
      <c r="C4825" t="s">
        <v>25070</v>
      </c>
      <c r="D4825" s="1">
        <v>40385</v>
      </c>
      <c r="E4825" s="2">
        <v>147000</v>
      </c>
      <c r="F4825" t="s">
        <v>4553</v>
      </c>
      <c r="G4825" s="17" t="str">
        <f>HYPERLINK("https://www.washoecounty.gov/assessor/cama/?command=sales&amp;parid=14232153","3904950")</f>
        <v>3904950</v>
      </c>
      <c r="H4825" t="s">
        <v>563</v>
      </c>
      <c r="I4825">
        <v>2005</v>
      </c>
      <c r="J4825">
        <v>2005</v>
      </c>
      <c r="K4825" t="s">
        <v>4897</v>
      </c>
      <c r="L4825" t="s">
        <v>2170</v>
      </c>
      <c r="M4825" s="2">
        <v>1348</v>
      </c>
      <c r="N4825" t="s">
        <v>3887</v>
      </c>
      <c r="O4825">
        <v>2</v>
      </c>
      <c r="P4825">
        <v>2</v>
      </c>
      <c r="Q4825">
        <v>0</v>
      </c>
      <c r="R4825" t="s">
        <v>5281</v>
      </c>
      <c r="S4825" t="s">
        <v>4898</v>
      </c>
      <c r="T4825" t="s">
        <v>2704</v>
      </c>
      <c r="U4825" t="s">
        <v>5631</v>
      </c>
      <c r="V4825" s="2">
        <v>562</v>
      </c>
      <c r="W4825" t="s">
        <v>4655</v>
      </c>
      <c r="X4825" s="2">
        <v>0</v>
      </c>
      <c r="Y4825">
        <v>21</v>
      </c>
      <c r="Z4825" t="s">
        <v>564</v>
      </c>
      <c r="AA4825" s="3">
        <v>1.0009182617068299E-2</v>
      </c>
      <c r="AB4825" t="s">
        <v>25096</v>
      </c>
      <c r="AC4825" t="s">
        <v>4562</v>
      </c>
      <c r="AD4825" t="s">
        <v>25097</v>
      </c>
      <c r="AE4825" t="s">
        <v>4655</v>
      </c>
      <c r="AF4825" t="s">
        <v>4563</v>
      </c>
      <c r="AG4825" t="s">
        <v>4564</v>
      </c>
      <c r="AH4825" t="s">
        <v>25098</v>
      </c>
      <c r="AI4825" t="s">
        <v>4565</v>
      </c>
      <c r="AJ4825" t="s">
        <v>730</v>
      </c>
      <c r="AK4825" t="s">
        <v>25099</v>
      </c>
      <c r="AL4825" s="13" t="s">
        <v>3430</v>
      </c>
      <c r="AM4825" s="14">
        <v>1</v>
      </c>
      <c r="AN4825" s="15" t="s">
        <v>731</v>
      </c>
    </row>
    <row r="4826" spans="1:40" x14ac:dyDescent="0.3">
      <c r="A4826" s="10" t="str">
        <f>HYPERLINK("http://www.washoecounty.gov/assessor/cama/?parid=142-321-57&amp;CardNumber=1","142-321-57")</f>
        <v>142-321-57</v>
      </c>
      <c r="B4826" t="s">
        <v>4655</v>
      </c>
      <c r="C4826" t="s">
        <v>25070</v>
      </c>
      <c r="D4826" s="1">
        <v>40255</v>
      </c>
      <c r="E4826" s="2">
        <v>130000</v>
      </c>
      <c r="F4826" t="s">
        <v>4567</v>
      </c>
      <c r="G4826" s="17" t="str">
        <f>HYPERLINK("https://www.washoecounty.gov/assessor/cama/?command=sales&amp;parid=14232157","3861287")</f>
        <v>3861287</v>
      </c>
      <c r="H4826" t="s">
        <v>563</v>
      </c>
      <c r="I4826">
        <v>2005</v>
      </c>
      <c r="J4826">
        <v>2005</v>
      </c>
      <c r="K4826" t="s">
        <v>4897</v>
      </c>
      <c r="L4826" t="s">
        <v>4555</v>
      </c>
      <c r="M4826" s="2">
        <v>1317</v>
      </c>
      <c r="N4826" t="s">
        <v>3887</v>
      </c>
      <c r="O4826">
        <v>2</v>
      </c>
      <c r="P4826">
        <v>2</v>
      </c>
      <c r="Q4826">
        <v>0</v>
      </c>
      <c r="R4826" t="s">
        <v>5281</v>
      </c>
      <c r="S4826" t="s">
        <v>4898</v>
      </c>
      <c r="T4826" t="s">
        <v>2704</v>
      </c>
      <c r="U4826" t="s">
        <v>5631</v>
      </c>
      <c r="V4826" s="2">
        <v>534</v>
      </c>
      <c r="W4826" t="s">
        <v>4655</v>
      </c>
      <c r="X4826" s="2">
        <v>0</v>
      </c>
      <c r="Y4826">
        <v>21</v>
      </c>
      <c r="Z4826" t="s">
        <v>564</v>
      </c>
      <c r="AA4826" s="3">
        <v>1.0009182617068299E-2</v>
      </c>
      <c r="AB4826" t="s">
        <v>25100</v>
      </c>
      <c r="AC4826" t="s">
        <v>4575</v>
      </c>
      <c r="AD4826" t="s">
        <v>25101</v>
      </c>
      <c r="AE4826" t="s">
        <v>4655</v>
      </c>
      <c r="AF4826" t="s">
        <v>4563</v>
      </c>
      <c r="AG4826" t="s">
        <v>4564</v>
      </c>
      <c r="AH4826">
        <v>89511</v>
      </c>
      <c r="AI4826" t="s">
        <v>25102</v>
      </c>
      <c r="AJ4826" t="s">
        <v>730</v>
      </c>
      <c r="AK4826" t="s">
        <v>25103</v>
      </c>
      <c r="AL4826" s="13" t="s">
        <v>3430</v>
      </c>
      <c r="AM4826">
        <v>1</v>
      </c>
      <c r="AN4826" s="15" t="s">
        <v>731</v>
      </c>
    </row>
    <row r="4827" spans="1:40" x14ac:dyDescent="0.3">
      <c r="A4827" s="10" t="str">
        <f>HYPERLINK("http://www.washoecounty.gov/assessor/cama/?parid=142-321-58&amp;CardNumber=1","142-321-58")</f>
        <v>142-321-58</v>
      </c>
      <c r="B4827" t="s">
        <v>4655</v>
      </c>
      <c r="C4827" t="s">
        <v>25070</v>
      </c>
      <c r="D4827" s="1">
        <v>40420</v>
      </c>
      <c r="E4827" s="2">
        <v>135000</v>
      </c>
      <c r="F4827" t="s">
        <v>4567</v>
      </c>
      <c r="G4827" s="17" t="str">
        <f>HYPERLINK("https://www.washoecounty.gov/assessor/cama/?command=sales&amp;parid=14232158","3917001")</f>
        <v>3917001</v>
      </c>
      <c r="H4827" t="s">
        <v>563</v>
      </c>
      <c r="I4827">
        <v>2005</v>
      </c>
      <c r="J4827">
        <v>2005</v>
      </c>
      <c r="K4827" t="s">
        <v>4897</v>
      </c>
      <c r="L4827" t="s">
        <v>4555</v>
      </c>
      <c r="M4827" s="2">
        <v>1317</v>
      </c>
      <c r="N4827" t="s">
        <v>3887</v>
      </c>
      <c r="O4827">
        <v>2</v>
      </c>
      <c r="P4827">
        <v>2</v>
      </c>
      <c r="Q4827">
        <v>0</v>
      </c>
      <c r="R4827" t="s">
        <v>5281</v>
      </c>
      <c r="S4827" t="s">
        <v>4898</v>
      </c>
      <c r="T4827" t="s">
        <v>2704</v>
      </c>
      <c r="U4827" t="s">
        <v>5631</v>
      </c>
      <c r="V4827" s="2">
        <v>534</v>
      </c>
      <c r="W4827" t="s">
        <v>4655</v>
      </c>
      <c r="X4827" s="2">
        <v>0</v>
      </c>
      <c r="Y4827">
        <v>21</v>
      </c>
      <c r="Z4827" t="s">
        <v>564</v>
      </c>
      <c r="AA4827" s="3">
        <v>1.0009182617068299E-2</v>
      </c>
      <c r="AB4827" t="s">
        <v>25104</v>
      </c>
      <c r="AC4827" t="s">
        <v>4575</v>
      </c>
      <c r="AD4827" t="s">
        <v>25105</v>
      </c>
      <c r="AE4827" t="s">
        <v>4655</v>
      </c>
      <c r="AF4827" t="s">
        <v>4563</v>
      </c>
      <c r="AG4827" t="s">
        <v>4564</v>
      </c>
      <c r="AH4827">
        <v>89511</v>
      </c>
      <c r="AI4827" t="s">
        <v>4655</v>
      </c>
      <c r="AJ4827" t="s">
        <v>730</v>
      </c>
      <c r="AK4827" t="s">
        <v>25106</v>
      </c>
      <c r="AL4827" s="13" t="s">
        <v>3430</v>
      </c>
      <c r="AM4827">
        <v>1</v>
      </c>
      <c r="AN4827" s="15" t="s">
        <v>731</v>
      </c>
    </row>
    <row r="4828" spans="1:40" x14ac:dyDescent="0.3">
      <c r="A4828" s="10" t="str">
        <f>HYPERLINK("http://www.washoecounty.gov/assessor/cama/?parid=142-321-60&amp;CardNumber=1","142-321-60")</f>
        <v>142-321-60</v>
      </c>
      <c r="B4828" t="s">
        <v>4655</v>
      </c>
      <c r="C4828" t="s">
        <v>25070</v>
      </c>
      <c r="D4828" s="1">
        <v>40214</v>
      </c>
      <c r="E4828" s="2">
        <v>140000</v>
      </c>
      <c r="F4828" t="s">
        <v>4567</v>
      </c>
      <c r="G4828" s="17" t="str">
        <f>HYPERLINK("https://www.washoecounty.gov/assessor/cama/?command=sales&amp;parid=14232160","3846316")</f>
        <v>3846316</v>
      </c>
      <c r="H4828" t="s">
        <v>563</v>
      </c>
      <c r="I4828">
        <v>2005</v>
      </c>
      <c r="J4828">
        <v>2005</v>
      </c>
      <c r="K4828" t="s">
        <v>4897</v>
      </c>
      <c r="L4828" t="s">
        <v>2170</v>
      </c>
      <c r="M4828" s="2">
        <v>1348</v>
      </c>
      <c r="N4828" t="s">
        <v>3887</v>
      </c>
      <c r="O4828">
        <v>2</v>
      </c>
      <c r="P4828">
        <v>2</v>
      </c>
      <c r="Q4828">
        <v>0</v>
      </c>
      <c r="R4828" t="s">
        <v>5281</v>
      </c>
      <c r="S4828" t="s">
        <v>4898</v>
      </c>
      <c r="T4828" t="s">
        <v>2704</v>
      </c>
      <c r="U4828" t="s">
        <v>5631</v>
      </c>
      <c r="V4828" s="2">
        <v>562</v>
      </c>
      <c r="W4828" t="s">
        <v>4655</v>
      </c>
      <c r="X4828" s="2">
        <v>0</v>
      </c>
      <c r="Y4828">
        <v>21</v>
      </c>
      <c r="Z4828" t="s">
        <v>564</v>
      </c>
      <c r="AA4828" s="3">
        <v>1.0009182617068299E-2</v>
      </c>
      <c r="AB4828" t="s">
        <v>9612</v>
      </c>
      <c r="AC4828" t="s">
        <v>4562</v>
      </c>
      <c r="AD4828" t="s">
        <v>25107</v>
      </c>
      <c r="AE4828" t="s">
        <v>25108</v>
      </c>
      <c r="AF4828" t="s">
        <v>4563</v>
      </c>
      <c r="AG4828" t="s">
        <v>4564</v>
      </c>
      <c r="AH4828" t="s">
        <v>2330</v>
      </c>
      <c r="AI4828" t="s">
        <v>25109</v>
      </c>
      <c r="AJ4828" t="s">
        <v>730</v>
      </c>
      <c r="AK4828" t="s">
        <v>25110</v>
      </c>
      <c r="AL4828" s="13" t="s">
        <v>3430</v>
      </c>
      <c r="AM4828">
        <v>1</v>
      </c>
      <c r="AN4828" s="15" t="s">
        <v>731</v>
      </c>
    </row>
    <row r="4829" spans="1:40" x14ac:dyDescent="0.3">
      <c r="A4829" s="10" t="str">
        <f>HYPERLINK("http://www.washoecounty.gov/assessor/cama/?parid=142-321-65&amp;CardNumber=1","142-321-65")</f>
        <v>142-321-65</v>
      </c>
      <c r="B4829" t="s">
        <v>4655</v>
      </c>
      <c r="C4829" t="s">
        <v>25070</v>
      </c>
      <c r="D4829" s="1">
        <v>40357</v>
      </c>
      <c r="E4829" s="2">
        <v>150000</v>
      </c>
      <c r="F4829" t="s">
        <v>4567</v>
      </c>
      <c r="G4829" s="17" t="str">
        <f>HYPERLINK("https://www.washoecounty.gov/assessor/cama/?command=sales&amp;parid=14232165","3895837")</f>
        <v>3895837</v>
      </c>
      <c r="H4829" t="s">
        <v>563</v>
      </c>
      <c r="I4829">
        <v>2005</v>
      </c>
      <c r="J4829">
        <v>2005</v>
      </c>
      <c r="K4829" t="s">
        <v>4897</v>
      </c>
      <c r="L4829" t="s">
        <v>4555</v>
      </c>
      <c r="M4829" s="2">
        <v>1317</v>
      </c>
      <c r="N4829" t="s">
        <v>3887</v>
      </c>
      <c r="O4829">
        <v>2</v>
      </c>
      <c r="P4829">
        <v>2</v>
      </c>
      <c r="Q4829">
        <v>0</v>
      </c>
      <c r="R4829" t="s">
        <v>5281</v>
      </c>
      <c r="S4829" t="s">
        <v>4898</v>
      </c>
      <c r="T4829" t="s">
        <v>2704</v>
      </c>
      <c r="U4829" t="s">
        <v>5631</v>
      </c>
      <c r="V4829" s="2">
        <v>534</v>
      </c>
      <c r="W4829" t="s">
        <v>4655</v>
      </c>
      <c r="X4829" s="2">
        <v>0</v>
      </c>
      <c r="Y4829">
        <v>21</v>
      </c>
      <c r="Z4829" t="s">
        <v>564</v>
      </c>
      <c r="AA4829" s="3">
        <v>1.0009182617068299E-2</v>
      </c>
      <c r="AB4829" t="s">
        <v>25111</v>
      </c>
      <c r="AC4829" t="s">
        <v>4575</v>
      </c>
      <c r="AD4829" t="s">
        <v>25112</v>
      </c>
      <c r="AE4829" t="s">
        <v>25113</v>
      </c>
      <c r="AF4829" t="s">
        <v>25114</v>
      </c>
      <c r="AG4829" t="s">
        <v>4209</v>
      </c>
      <c r="AH4829">
        <v>80217</v>
      </c>
      <c r="AI4829" t="s">
        <v>25111</v>
      </c>
      <c r="AJ4829" t="s">
        <v>730</v>
      </c>
      <c r="AK4829" t="s">
        <v>25115</v>
      </c>
      <c r="AL4829" s="13" t="s">
        <v>3430</v>
      </c>
      <c r="AM4829">
        <v>1</v>
      </c>
      <c r="AN4829" s="15" t="s">
        <v>731</v>
      </c>
    </row>
    <row r="4830" spans="1:40" x14ac:dyDescent="0.3">
      <c r="A4830" s="10" t="str">
        <f>HYPERLINK("http://www.washoecounty.gov/assessor/cama/?parid=142-321-66&amp;CardNumber=1","142-321-66")</f>
        <v>142-321-66</v>
      </c>
      <c r="B4830" t="s">
        <v>4655</v>
      </c>
      <c r="C4830" t="s">
        <v>25070</v>
      </c>
      <c r="D4830" s="1">
        <v>40487</v>
      </c>
      <c r="E4830" s="2">
        <v>157000</v>
      </c>
      <c r="F4830" t="s">
        <v>4567</v>
      </c>
      <c r="G4830" s="17" t="str">
        <f>HYPERLINK("https://www.washoecounty.gov/assessor/cama/?command=sales&amp;parid=14232166","3940377")</f>
        <v>3940377</v>
      </c>
      <c r="H4830" t="s">
        <v>563</v>
      </c>
      <c r="I4830">
        <v>2005</v>
      </c>
      <c r="J4830">
        <v>2005</v>
      </c>
      <c r="K4830" t="s">
        <v>4897</v>
      </c>
      <c r="L4830" t="s">
        <v>2170</v>
      </c>
      <c r="M4830" s="2">
        <v>1477</v>
      </c>
      <c r="N4830" t="s">
        <v>3887</v>
      </c>
      <c r="O4830">
        <v>2</v>
      </c>
      <c r="P4830">
        <v>2</v>
      </c>
      <c r="Q4830">
        <v>0</v>
      </c>
      <c r="R4830" t="s">
        <v>5281</v>
      </c>
      <c r="S4830" t="s">
        <v>4898</v>
      </c>
      <c r="T4830" t="s">
        <v>2704</v>
      </c>
      <c r="U4830" t="s">
        <v>5631</v>
      </c>
      <c r="V4830" s="2">
        <v>450</v>
      </c>
      <c r="W4830" t="s">
        <v>4655</v>
      </c>
      <c r="X4830" s="2">
        <v>0</v>
      </c>
      <c r="Y4830">
        <v>21</v>
      </c>
      <c r="Z4830" t="s">
        <v>564</v>
      </c>
      <c r="AA4830" s="3">
        <v>1.0009182617068299E-2</v>
      </c>
      <c r="AB4830" t="s">
        <v>25116</v>
      </c>
      <c r="AC4830" t="s">
        <v>4562</v>
      </c>
      <c r="AD4830" t="s">
        <v>25117</v>
      </c>
      <c r="AE4830" t="s">
        <v>4655</v>
      </c>
      <c r="AF4830" t="s">
        <v>4563</v>
      </c>
      <c r="AG4830" t="s">
        <v>4564</v>
      </c>
      <c r="AH4830">
        <v>89511</v>
      </c>
      <c r="AI4830" t="s">
        <v>25118</v>
      </c>
      <c r="AJ4830" t="s">
        <v>730</v>
      </c>
      <c r="AK4830" t="s">
        <v>25119</v>
      </c>
      <c r="AL4830" s="13" t="s">
        <v>3430</v>
      </c>
      <c r="AM4830">
        <v>1</v>
      </c>
      <c r="AN4830" s="15" t="s">
        <v>731</v>
      </c>
    </row>
    <row r="4831" spans="1:40" x14ac:dyDescent="0.3">
      <c r="A4831" s="10" t="str">
        <f>HYPERLINK("http://www.washoecounty.gov/assessor/cama/?parid=142-321-76&amp;CardNumber=1","142-321-76")</f>
        <v>142-321-76</v>
      </c>
      <c r="B4831" t="s">
        <v>4655</v>
      </c>
      <c r="C4831" t="s">
        <v>25070</v>
      </c>
      <c r="D4831" s="1">
        <v>40318</v>
      </c>
      <c r="E4831" s="2">
        <v>144500</v>
      </c>
      <c r="F4831" t="s">
        <v>4553</v>
      </c>
      <c r="G4831" s="17" t="str">
        <f>HYPERLINK("https://www.washoecounty.gov/assessor/cama/?command=sales&amp;parid=14232176","3883412")</f>
        <v>3883412</v>
      </c>
      <c r="H4831" t="s">
        <v>563</v>
      </c>
      <c r="I4831">
        <v>2005</v>
      </c>
      <c r="J4831">
        <v>2005</v>
      </c>
      <c r="K4831" t="s">
        <v>4897</v>
      </c>
      <c r="L4831" t="s">
        <v>2170</v>
      </c>
      <c r="M4831" s="2">
        <v>1348</v>
      </c>
      <c r="N4831" t="s">
        <v>3887</v>
      </c>
      <c r="O4831">
        <v>2</v>
      </c>
      <c r="P4831">
        <v>2</v>
      </c>
      <c r="Q4831">
        <v>0</v>
      </c>
      <c r="R4831" t="s">
        <v>5281</v>
      </c>
      <c r="S4831" t="s">
        <v>4898</v>
      </c>
      <c r="T4831" t="s">
        <v>2704</v>
      </c>
      <c r="U4831" t="s">
        <v>5631</v>
      </c>
      <c r="V4831" s="2">
        <v>562</v>
      </c>
      <c r="W4831" t="s">
        <v>4655</v>
      </c>
      <c r="X4831" s="2">
        <v>0</v>
      </c>
      <c r="Y4831">
        <v>21</v>
      </c>
      <c r="Z4831" t="s">
        <v>564</v>
      </c>
      <c r="AA4831" s="3">
        <v>1.0009182617068299E-2</v>
      </c>
      <c r="AB4831" t="s">
        <v>25120</v>
      </c>
      <c r="AC4831" t="s">
        <v>4562</v>
      </c>
      <c r="AD4831" t="s">
        <v>25121</v>
      </c>
      <c r="AE4831" t="s">
        <v>4655</v>
      </c>
      <c r="AF4831" t="s">
        <v>4563</v>
      </c>
      <c r="AG4831" t="s">
        <v>4564</v>
      </c>
      <c r="AH4831">
        <v>89511</v>
      </c>
      <c r="AI4831" t="s">
        <v>4565</v>
      </c>
      <c r="AJ4831" t="s">
        <v>730</v>
      </c>
      <c r="AK4831" t="s">
        <v>25122</v>
      </c>
      <c r="AL4831" s="13" t="s">
        <v>3430</v>
      </c>
      <c r="AM4831">
        <v>1</v>
      </c>
      <c r="AN4831" s="15" t="s">
        <v>731</v>
      </c>
    </row>
    <row r="4832" spans="1:40" x14ac:dyDescent="0.3">
      <c r="A4832" s="10" t="str">
        <f>HYPERLINK("http://www.washoecounty.gov/assessor/cama/?parid=142-322-11&amp;CardNumber=1","142-322-11")</f>
        <v>142-322-11</v>
      </c>
      <c r="B4832" t="s">
        <v>4655</v>
      </c>
      <c r="C4832" t="s">
        <v>25070</v>
      </c>
      <c r="D4832" s="1">
        <v>40417</v>
      </c>
      <c r="E4832" s="2">
        <v>140000</v>
      </c>
      <c r="F4832" t="s">
        <v>4553</v>
      </c>
      <c r="G4832" s="17" t="str">
        <f>HYPERLINK("https://www.washoecounty.gov/assessor/cama/?command=sales&amp;parid=14232211","3916408")</f>
        <v>3916408</v>
      </c>
      <c r="H4832" t="s">
        <v>563</v>
      </c>
      <c r="I4832">
        <v>2005</v>
      </c>
      <c r="J4832">
        <v>2005</v>
      </c>
      <c r="K4832" t="s">
        <v>4897</v>
      </c>
      <c r="L4832" t="s">
        <v>2170</v>
      </c>
      <c r="M4832" s="2">
        <v>1348</v>
      </c>
      <c r="N4832" t="s">
        <v>3887</v>
      </c>
      <c r="O4832">
        <v>2</v>
      </c>
      <c r="P4832">
        <v>2</v>
      </c>
      <c r="Q4832">
        <v>0</v>
      </c>
      <c r="R4832" t="s">
        <v>5281</v>
      </c>
      <c r="S4832" t="s">
        <v>4898</v>
      </c>
      <c r="T4832" t="s">
        <v>2704</v>
      </c>
      <c r="U4832" t="s">
        <v>5631</v>
      </c>
      <c r="V4832" s="2">
        <v>562</v>
      </c>
      <c r="W4832" t="s">
        <v>4655</v>
      </c>
      <c r="X4832" s="2">
        <v>0</v>
      </c>
      <c r="Y4832">
        <v>21</v>
      </c>
      <c r="Z4832" t="s">
        <v>564</v>
      </c>
      <c r="AA4832" s="3">
        <v>1.0009182617068299E-2</v>
      </c>
      <c r="AB4832" t="s">
        <v>25123</v>
      </c>
      <c r="AC4832" t="s">
        <v>4562</v>
      </c>
      <c r="AD4832" t="s">
        <v>25124</v>
      </c>
      <c r="AE4832" t="s">
        <v>4655</v>
      </c>
      <c r="AF4832" t="s">
        <v>4563</v>
      </c>
      <c r="AG4832" t="s">
        <v>4564</v>
      </c>
      <c r="AH4832">
        <v>89511</v>
      </c>
      <c r="AI4832" t="s">
        <v>4903</v>
      </c>
      <c r="AJ4832" t="s">
        <v>730</v>
      </c>
      <c r="AK4832" t="s">
        <v>25125</v>
      </c>
      <c r="AL4832" s="13" t="s">
        <v>3430</v>
      </c>
      <c r="AM4832">
        <v>1</v>
      </c>
      <c r="AN4832" s="15" t="s">
        <v>731</v>
      </c>
    </row>
    <row r="4833" spans="1:40" x14ac:dyDescent="0.3">
      <c r="A4833" s="10" t="str">
        <f>HYPERLINK("http://www.washoecounty.gov/assessor/cama/?parid=142-322-12&amp;CardNumber=1","142-322-12")</f>
        <v>142-322-12</v>
      </c>
      <c r="B4833" t="s">
        <v>4655</v>
      </c>
      <c r="C4833" t="s">
        <v>25070</v>
      </c>
      <c r="D4833" s="1">
        <v>40438</v>
      </c>
      <c r="E4833" s="2">
        <v>100000</v>
      </c>
      <c r="F4833" t="s">
        <v>4567</v>
      </c>
      <c r="G4833" s="17" t="str">
        <f>HYPERLINK("https://www.washoecounty.gov/assessor/cama/?command=sales&amp;parid=14232212","3923766")</f>
        <v>3923766</v>
      </c>
      <c r="H4833" t="s">
        <v>563</v>
      </c>
      <c r="I4833">
        <v>2005</v>
      </c>
      <c r="J4833">
        <v>2005</v>
      </c>
      <c r="K4833" t="s">
        <v>3144</v>
      </c>
      <c r="L4833" t="s">
        <v>2170</v>
      </c>
      <c r="M4833" s="2">
        <v>1033</v>
      </c>
      <c r="N4833" t="s">
        <v>3887</v>
      </c>
      <c r="O4833">
        <v>1</v>
      </c>
      <c r="P4833">
        <v>1</v>
      </c>
      <c r="Q4833">
        <v>0</v>
      </c>
      <c r="R4833" t="s">
        <v>5281</v>
      </c>
      <c r="S4833" t="s">
        <v>4898</v>
      </c>
      <c r="T4833" t="s">
        <v>2704</v>
      </c>
      <c r="U4833" t="s">
        <v>5631</v>
      </c>
      <c r="V4833" s="2">
        <v>296</v>
      </c>
      <c r="W4833" t="s">
        <v>4655</v>
      </c>
      <c r="X4833" s="2">
        <v>0</v>
      </c>
      <c r="Y4833">
        <v>21</v>
      </c>
      <c r="Z4833" t="s">
        <v>564</v>
      </c>
      <c r="AA4833" s="3">
        <v>1.0009182617068299E-2</v>
      </c>
      <c r="AB4833" t="s">
        <v>25126</v>
      </c>
      <c r="AC4833" t="s">
        <v>4562</v>
      </c>
      <c r="AD4833" t="s">
        <v>25127</v>
      </c>
      <c r="AE4833" t="s">
        <v>4655</v>
      </c>
      <c r="AF4833" t="s">
        <v>4563</v>
      </c>
      <c r="AG4833" t="s">
        <v>4564</v>
      </c>
      <c r="AH4833">
        <v>89509</v>
      </c>
      <c r="AI4833" t="s">
        <v>25128</v>
      </c>
      <c r="AJ4833" t="s">
        <v>730</v>
      </c>
      <c r="AK4833" t="s">
        <v>25129</v>
      </c>
      <c r="AL4833" s="13" t="s">
        <v>3430</v>
      </c>
      <c r="AM4833">
        <v>1</v>
      </c>
      <c r="AN4833" s="15" t="s">
        <v>731</v>
      </c>
    </row>
    <row r="4834" spans="1:40" x14ac:dyDescent="0.3">
      <c r="A4834" s="10" t="str">
        <f>HYPERLINK("http://www.washoecounty.gov/assessor/cama/?parid=142-322-18&amp;CardNumber=1","142-322-18")</f>
        <v>142-322-18</v>
      </c>
      <c r="B4834" t="s">
        <v>4655</v>
      </c>
      <c r="C4834" t="s">
        <v>25070</v>
      </c>
      <c r="D4834" s="1">
        <v>40375</v>
      </c>
      <c r="E4834" s="2">
        <v>139900</v>
      </c>
      <c r="F4834" t="s">
        <v>4553</v>
      </c>
      <c r="G4834" s="17" t="str">
        <f>HYPERLINK("https://www.washoecounty.gov/assessor/cama/?command=sales&amp;parid=14232218","3902135")</f>
        <v>3902135</v>
      </c>
      <c r="H4834" t="s">
        <v>563</v>
      </c>
      <c r="I4834">
        <v>2005</v>
      </c>
      <c r="J4834">
        <v>2005</v>
      </c>
      <c r="K4834" t="s">
        <v>4897</v>
      </c>
      <c r="L4834" t="s">
        <v>2170</v>
      </c>
      <c r="M4834" s="2">
        <v>1348</v>
      </c>
      <c r="N4834" t="s">
        <v>3887</v>
      </c>
      <c r="O4834">
        <v>2</v>
      </c>
      <c r="P4834">
        <v>2</v>
      </c>
      <c r="Q4834">
        <v>0</v>
      </c>
      <c r="R4834" t="s">
        <v>5281</v>
      </c>
      <c r="S4834" t="s">
        <v>4898</v>
      </c>
      <c r="T4834" t="s">
        <v>2704</v>
      </c>
      <c r="U4834" t="s">
        <v>5631</v>
      </c>
      <c r="V4834" s="2">
        <v>562</v>
      </c>
      <c r="W4834" t="s">
        <v>4655</v>
      </c>
      <c r="X4834" s="2">
        <v>0</v>
      </c>
      <c r="Y4834">
        <v>21</v>
      </c>
      <c r="Z4834" t="s">
        <v>564</v>
      </c>
      <c r="AA4834" s="3">
        <v>1.0009182617068299E-2</v>
      </c>
      <c r="AB4834" t="s">
        <v>25130</v>
      </c>
      <c r="AC4834" t="s">
        <v>4575</v>
      </c>
      <c r="AD4834" t="s">
        <v>25131</v>
      </c>
      <c r="AE4834" t="s">
        <v>4655</v>
      </c>
      <c r="AF4834" t="s">
        <v>3660</v>
      </c>
      <c r="AG4834" t="s">
        <v>4584</v>
      </c>
      <c r="AH4834" t="s">
        <v>1340</v>
      </c>
      <c r="AI4834" t="s">
        <v>25132</v>
      </c>
      <c r="AJ4834" t="s">
        <v>730</v>
      </c>
      <c r="AK4834" t="s">
        <v>25133</v>
      </c>
      <c r="AL4834" s="13" t="s">
        <v>3430</v>
      </c>
      <c r="AM4834">
        <v>1</v>
      </c>
      <c r="AN4834" s="15" t="s">
        <v>731</v>
      </c>
    </row>
    <row r="4835" spans="1:40" x14ac:dyDescent="0.3">
      <c r="A4835" s="10" t="str">
        <f>HYPERLINK("http://www.washoecounty.gov/assessor/cama/?parid=142-322-21&amp;CardNumber=1","142-322-21")</f>
        <v>142-322-21</v>
      </c>
      <c r="B4835" t="s">
        <v>4655</v>
      </c>
      <c r="C4835" t="s">
        <v>25070</v>
      </c>
      <c r="D4835" s="1">
        <v>40542</v>
      </c>
      <c r="E4835" s="2">
        <v>156900</v>
      </c>
      <c r="F4835" t="s">
        <v>4553</v>
      </c>
      <c r="G4835" s="17" t="str">
        <f>HYPERLINK("https://www.washoecounty.gov/assessor/cama/?command=sales&amp;parid=14232221","3958866")</f>
        <v>3958866</v>
      </c>
      <c r="H4835" t="s">
        <v>563</v>
      </c>
      <c r="I4835">
        <v>2005</v>
      </c>
      <c r="J4835">
        <v>2005</v>
      </c>
      <c r="K4835" t="s">
        <v>4897</v>
      </c>
      <c r="L4835" t="s">
        <v>2170</v>
      </c>
      <c r="M4835" s="2">
        <v>1477</v>
      </c>
      <c r="N4835" t="s">
        <v>3887</v>
      </c>
      <c r="O4835">
        <v>2</v>
      </c>
      <c r="P4835">
        <v>2</v>
      </c>
      <c r="Q4835">
        <v>0</v>
      </c>
      <c r="R4835" t="s">
        <v>5281</v>
      </c>
      <c r="S4835" t="s">
        <v>4898</v>
      </c>
      <c r="T4835" t="s">
        <v>2704</v>
      </c>
      <c r="U4835" t="s">
        <v>5631</v>
      </c>
      <c r="V4835" s="2">
        <v>450</v>
      </c>
      <c r="W4835" t="s">
        <v>4655</v>
      </c>
      <c r="X4835" s="2">
        <v>0</v>
      </c>
      <c r="Y4835">
        <v>21</v>
      </c>
      <c r="Z4835" t="s">
        <v>564</v>
      </c>
      <c r="AA4835" s="3">
        <v>1.0009182617068299E-2</v>
      </c>
      <c r="AB4835" t="s">
        <v>25134</v>
      </c>
      <c r="AC4835" t="s">
        <v>4575</v>
      </c>
      <c r="AD4835" t="s">
        <v>25135</v>
      </c>
      <c r="AE4835" t="s">
        <v>4655</v>
      </c>
      <c r="AF4835" t="s">
        <v>3114</v>
      </c>
      <c r="AG4835" t="s">
        <v>4564</v>
      </c>
      <c r="AH4835" t="s">
        <v>5197</v>
      </c>
      <c r="AI4835" t="s">
        <v>4903</v>
      </c>
      <c r="AJ4835" t="s">
        <v>730</v>
      </c>
      <c r="AK4835" t="s">
        <v>25136</v>
      </c>
      <c r="AL4835" s="13" t="s">
        <v>3430</v>
      </c>
      <c r="AM4835">
        <v>1</v>
      </c>
      <c r="AN4835" s="15" t="s">
        <v>731</v>
      </c>
    </row>
    <row r="4836" spans="1:40" x14ac:dyDescent="0.3">
      <c r="A4836" s="10" t="str">
        <f>HYPERLINK("http://www.washoecounty.gov/assessor/cama/?parid=142-322-22&amp;CardNumber=1","142-322-22")</f>
        <v>142-322-22</v>
      </c>
      <c r="B4836" t="s">
        <v>4655</v>
      </c>
      <c r="C4836" t="s">
        <v>25070</v>
      </c>
      <c r="D4836" s="1">
        <v>40465</v>
      </c>
      <c r="E4836" s="2">
        <v>130000</v>
      </c>
      <c r="F4836" t="s">
        <v>4567</v>
      </c>
      <c r="G4836" s="17" t="str">
        <f>HYPERLINK("https://www.washoecounty.gov/assessor/cama/?command=sales&amp;parid=14232222","3932950")</f>
        <v>3932950</v>
      </c>
      <c r="H4836" t="s">
        <v>563</v>
      </c>
      <c r="I4836">
        <v>2005</v>
      </c>
      <c r="J4836">
        <v>2005</v>
      </c>
      <c r="K4836" t="s">
        <v>4897</v>
      </c>
      <c r="L4836" t="s">
        <v>4555</v>
      </c>
      <c r="M4836" s="2">
        <v>1317</v>
      </c>
      <c r="N4836" t="s">
        <v>3887</v>
      </c>
      <c r="O4836">
        <v>2</v>
      </c>
      <c r="P4836">
        <v>2</v>
      </c>
      <c r="Q4836">
        <v>0</v>
      </c>
      <c r="R4836" t="s">
        <v>5281</v>
      </c>
      <c r="S4836" t="s">
        <v>4898</v>
      </c>
      <c r="T4836" t="s">
        <v>2704</v>
      </c>
      <c r="U4836" t="s">
        <v>5631</v>
      </c>
      <c r="V4836" s="2">
        <v>534</v>
      </c>
      <c r="W4836" t="s">
        <v>4655</v>
      </c>
      <c r="X4836" s="2">
        <v>0</v>
      </c>
      <c r="Y4836">
        <v>21</v>
      </c>
      <c r="Z4836" t="s">
        <v>564</v>
      </c>
      <c r="AA4836" s="3">
        <v>1.0009182617068299E-2</v>
      </c>
      <c r="AB4836" t="s">
        <v>25137</v>
      </c>
      <c r="AC4836" t="s">
        <v>4562</v>
      </c>
      <c r="AD4836" t="s">
        <v>25138</v>
      </c>
      <c r="AE4836" t="s">
        <v>25139</v>
      </c>
      <c r="AF4836" t="s">
        <v>22467</v>
      </c>
      <c r="AG4836" t="s">
        <v>4584</v>
      </c>
      <c r="AH4836">
        <v>94110</v>
      </c>
      <c r="AI4836" t="s">
        <v>25140</v>
      </c>
      <c r="AJ4836" t="s">
        <v>730</v>
      </c>
      <c r="AK4836" t="s">
        <v>25141</v>
      </c>
      <c r="AL4836" s="13" t="s">
        <v>3430</v>
      </c>
      <c r="AM4836" s="14">
        <v>1</v>
      </c>
      <c r="AN4836" s="15" t="s">
        <v>731</v>
      </c>
    </row>
    <row r="4837" spans="1:40" x14ac:dyDescent="0.3">
      <c r="A4837" s="10" t="str">
        <f>HYPERLINK("http://www.washoecounty.gov/assessor/cama/?parid=142-322-26&amp;CardNumber=1","142-322-26")</f>
        <v>142-322-26</v>
      </c>
      <c r="B4837" t="s">
        <v>4655</v>
      </c>
      <c r="C4837" t="s">
        <v>25070</v>
      </c>
      <c r="D4837" s="1">
        <v>40193</v>
      </c>
      <c r="E4837" s="2">
        <v>100000</v>
      </c>
      <c r="F4837" t="s">
        <v>4567</v>
      </c>
      <c r="G4837" s="17" t="str">
        <f>HYPERLINK("https://www.washoecounty.gov/assessor/cama/?command=sales&amp;parid=14232226","3839430")</f>
        <v>3839430</v>
      </c>
      <c r="H4837" t="s">
        <v>563</v>
      </c>
      <c r="I4837">
        <v>2005</v>
      </c>
      <c r="J4837">
        <v>2005</v>
      </c>
      <c r="K4837" t="s">
        <v>3144</v>
      </c>
      <c r="L4837" t="s">
        <v>2170</v>
      </c>
      <c r="M4837" s="2">
        <v>1033</v>
      </c>
      <c r="N4837" t="s">
        <v>3887</v>
      </c>
      <c r="O4837">
        <v>1</v>
      </c>
      <c r="P4837">
        <v>1</v>
      </c>
      <c r="Q4837">
        <v>0</v>
      </c>
      <c r="R4837" t="s">
        <v>5281</v>
      </c>
      <c r="S4837" t="s">
        <v>4898</v>
      </c>
      <c r="T4837" t="s">
        <v>2704</v>
      </c>
      <c r="U4837" t="s">
        <v>5631</v>
      </c>
      <c r="V4837" s="2">
        <v>296</v>
      </c>
      <c r="W4837" t="s">
        <v>4655</v>
      </c>
      <c r="X4837" s="2">
        <v>0</v>
      </c>
      <c r="Y4837">
        <v>21</v>
      </c>
      <c r="Z4837" t="s">
        <v>564</v>
      </c>
      <c r="AA4837" s="3">
        <v>1.0009182617068299E-2</v>
      </c>
      <c r="AB4837" t="s">
        <v>25142</v>
      </c>
      <c r="AC4837" t="s">
        <v>4575</v>
      </c>
      <c r="AD4837" t="s">
        <v>25143</v>
      </c>
      <c r="AE4837" t="s">
        <v>4655</v>
      </c>
      <c r="AF4837" t="s">
        <v>25144</v>
      </c>
      <c r="AG4837" t="s">
        <v>4584</v>
      </c>
      <c r="AH4837" t="s">
        <v>25145</v>
      </c>
      <c r="AI4837" t="s">
        <v>25146</v>
      </c>
      <c r="AJ4837" t="s">
        <v>730</v>
      </c>
      <c r="AK4837" t="s">
        <v>25147</v>
      </c>
      <c r="AL4837" s="13" t="s">
        <v>3430</v>
      </c>
      <c r="AM4837">
        <v>1</v>
      </c>
      <c r="AN4837" s="15" t="s">
        <v>731</v>
      </c>
    </row>
    <row r="4838" spans="1:40" x14ac:dyDescent="0.3">
      <c r="A4838" s="10" t="str">
        <f>HYPERLINK("http://www.washoecounty.gov/assessor/cama/?parid=142-322-40&amp;CardNumber=1","142-322-40")</f>
        <v>142-322-40</v>
      </c>
      <c r="B4838" t="s">
        <v>4655</v>
      </c>
      <c r="C4838" t="s">
        <v>25070</v>
      </c>
      <c r="D4838" s="1">
        <v>40395</v>
      </c>
      <c r="E4838" s="2">
        <v>88000</v>
      </c>
      <c r="F4838" t="s">
        <v>4567</v>
      </c>
      <c r="G4838" s="17" t="str">
        <f>HYPERLINK("https://www.washoecounty.gov/assessor/cama/?command=sales&amp;parid=14232240","3909252")</f>
        <v>3909252</v>
      </c>
      <c r="H4838" t="s">
        <v>563</v>
      </c>
      <c r="I4838">
        <v>2005</v>
      </c>
      <c r="J4838">
        <v>2005</v>
      </c>
      <c r="K4838" t="s">
        <v>3144</v>
      </c>
      <c r="L4838" t="s">
        <v>2170</v>
      </c>
      <c r="M4838" s="2">
        <v>1033</v>
      </c>
      <c r="N4838" t="s">
        <v>3887</v>
      </c>
      <c r="O4838">
        <v>1</v>
      </c>
      <c r="P4838">
        <v>1</v>
      </c>
      <c r="Q4838">
        <v>0</v>
      </c>
      <c r="R4838" t="s">
        <v>5281</v>
      </c>
      <c r="S4838" t="s">
        <v>4898</v>
      </c>
      <c r="T4838" t="s">
        <v>2704</v>
      </c>
      <c r="U4838" t="s">
        <v>5631</v>
      </c>
      <c r="V4838" s="2">
        <v>296</v>
      </c>
      <c r="W4838" t="s">
        <v>4655</v>
      </c>
      <c r="X4838" s="2">
        <v>0</v>
      </c>
      <c r="Y4838">
        <v>21</v>
      </c>
      <c r="Z4838" t="s">
        <v>564</v>
      </c>
      <c r="AA4838" s="3">
        <v>1.0009182617068299E-2</v>
      </c>
      <c r="AB4838" t="s">
        <v>928</v>
      </c>
      <c r="AC4838" t="s">
        <v>4562</v>
      </c>
      <c r="AD4838" t="s">
        <v>929</v>
      </c>
      <c r="AE4838" t="s">
        <v>4655</v>
      </c>
      <c r="AF4838" t="s">
        <v>930</v>
      </c>
      <c r="AG4838" t="s">
        <v>1188</v>
      </c>
      <c r="AH4838">
        <v>99509</v>
      </c>
      <c r="AI4838" t="s">
        <v>25148</v>
      </c>
      <c r="AJ4838" t="s">
        <v>730</v>
      </c>
      <c r="AK4838" t="s">
        <v>25149</v>
      </c>
      <c r="AL4838" s="13" t="s">
        <v>3430</v>
      </c>
      <c r="AM4838" s="14">
        <v>1</v>
      </c>
      <c r="AN4838" s="15" t="s">
        <v>731</v>
      </c>
    </row>
    <row r="4839" spans="1:40" x14ac:dyDescent="0.3">
      <c r="A4839" s="10" t="str">
        <f>HYPERLINK("http://www.washoecounty.gov/assessor/cama/?parid=142-322-59&amp;CardNumber=1","142-322-59")</f>
        <v>142-322-59</v>
      </c>
      <c r="B4839" t="s">
        <v>4655</v>
      </c>
      <c r="C4839" t="s">
        <v>25070</v>
      </c>
      <c r="D4839" s="1">
        <v>40298</v>
      </c>
      <c r="E4839" s="2">
        <v>151900</v>
      </c>
      <c r="F4839" t="s">
        <v>4567</v>
      </c>
      <c r="G4839" s="17" t="str">
        <f>HYPERLINK("https://www.washoecounty.gov/assessor/cama/?command=sales&amp;parid=14232259","3877102")</f>
        <v>3877102</v>
      </c>
      <c r="H4839" t="s">
        <v>563</v>
      </c>
      <c r="I4839">
        <v>2005</v>
      </c>
      <c r="J4839">
        <v>2005</v>
      </c>
      <c r="K4839" t="s">
        <v>4897</v>
      </c>
      <c r="L4839" t="s">
        <v>2170</v>
      </c>
      <c r="M4839" s="2">
        <v>1477</v>
      </c>
      <c r="N4839" t="s">
        <v>3887</v>
      </c>
      <c r="O4839">
        <v>2</v>
      </c>
      <c r="P4839">
        <v>2</v>
      </c>
      <c r="Q4839">
        <v>0</v>
      </c>
      <c r="R4839" t="s">
        <v>5281</v>
      </c>
      <c r="S4839" t="s">
        <v>4898</v>
      </c>
      <c r="T4839" t="s">
        <v>2704</v>
      </c>
      <c r="U4839" t="s">
        <v>5631</v>
      </c>
      <c r="V4839" s="2">
        <v>450</v>
      </c>
      <c r="W4839" t="s">
        <v>4655</v>
      </c>
      <c r="X4839" s="2">
        <v>0</v>
      </c>
      <c r="Y4839">
        <v>21</v>
      </c>
      <c r="Z4839" t="s">
        <v>564</v>
      </c>
      <c r="AA4839" s="3">
        <v>1.0009182617068299E-2</v>
      </c>
      <c r="AB4839" t="s">
        <v>25088</v>
      </c>
      <c r="AC4839" t="s">
        <v>4562</v>
      </c>
      <c r="AD4839" t="s">
        <v>25150</v>
      </c>
      <c r="AE4839" t="s">
        <v>4655</v>
      </c>
      <c r="AF4839" t="s">
        <v>4563</v>
      </c>
      <c r="AG4839" t="s">
        <v>4564</v>
      </c>
      <c r="AH4839">
        <v>89511</v>
      </c>
      <c r="AI4839" t="s">
        <v>25151</v>
      </c>
      <c r="AJ4839" t="s">
        <v>730</v>
      </c>
      <c r="AK4839" t="s">
        <v>25152</v>
      </c>
      <c r="AL4839" s="13" t="s">
        <v>3430</v>
      </c>
      <c r="AM4839">
        <v>1</v>
      </c>
      <c r="AN4839" s="15" t="s">
        <v>731</v>
      </c>
    </row>
    <row r="4840" spans="1:40" x14ac:dyDescent="0.3">
      <c r="A4840" s="10" t="str">
        <f>HYPERLINK("http://www.washoecounty.gov/assessor/cama/?parid=142-322-61&amp;CardNumber=1","142-322-61")</f>
        <v>142-322-61</v>
      </c>
      <c r="B4840" t="s">
        <v>4655</v>
      </c>
      <c r="C4840" t="s">
        <v>25070</v>
      </c>
      <c r="D4840" s="1">
        <v>40227</v>
      </c>
      <c r="E4840" s="2">
        <v>92500</v>
      </c>
      <c r="F4840" t="s">
        <v>4553</v>
      </c>
      <c r="G4840" s="17" t="str">
        <f>HYPERLINK("https://www.washoecounty.gov/assessor/cama/?command=sales&amp;parid=14232261","3850426")</f>
        <v>3850426</v>
      </c>
      <c r="H4840" t="s">
        <v>563</v>
      </c>
      <c r="I4840">
        <v>2005</v>
      </c>
      <c r="J4840">
        <v>2005</v>
      </c>
      <c r="K4840" t="s">
        <v>3144</v>
      </c>
      <c r="L4840" t="s">
        <v>2170</v>
      </c>
      <c r="M4840" s="2">
        <v>1033</v>
      </c>
      <c r="N4840" t="s">
        <v>3887</v>
      </c>
      <c r="O4840">
        <v>1</v>
      </c>
      <c r="P4840">
        <v>1</v>
      </c>
      <c r="Q4840">
        <v>0</v>
      </c>
      <c r="R4840" t="s">
        <v>5281</v>
      </c>
      <c r="S4840" t="s">
        <v>4898</v>
      </c>
      <c r="T4840" t="s">
        <v>2704</v>
      </c>
      <c r="U4840" t="s">
        <v>5631</v>
      </c>
      <c r="V4840" s="2">
        <v>296</v>
      </c>
      <c r="W4840" t="s">
        <v>4655</v>
      </c>
      <c r="X4840" s="2">
        <v>0</v>
      </c>
      <c r="Y4840">
        <v>21</v>
      </c>
      <c r="Z4840" t="s">
        <v>564</v>
      </c>
      <c r="AA4840" s="3">
        <v>1.0009182617068299E-2</v>
      </c>
      <c r="AB4840" t="s">
        <v>25153</v>
      </c>
      <c r="AC4840" t="s">
        <v>4562</v>
      </c>
      <c r="AD4840" t="s">
        <v>25154</v>
      </c>
      <c r="AE4840" t="s">
        <v>4655</v>
      </c>
      <c r="AF4840" t="s">
        <v>4563</v>
      </c>
      <c r="AG4840" t="s">
        <v>4564</v>
      </c>
      <c r="AH4840">
        <v>89511</v>
      </c>
      <c r="AI4840" t="s">
        <v>25155</v>
      </c>
      <c r="AJ4840" t="s">
        <v>730</v>
      </c>
      <c r="AK4840" t="s">
        <v>25156</v>
      </c>
      <c r="AL4840" s="13" t="s">
        <v>3430</v>
      </c>
      <c r="AM4840">
        <v>1</v>
      </c>
      <c r="AN4840" s="15" t="s">
        <v>731</v>
      </c>
    </row>
    <row r="4841" spans="1:40" x14ac:dyDescent="0.3">
      <c r="A4841" s="10" t="str">
        <f>HYPERLINK("http://www.washoecounty.gov/assessor/cama/?parid=142-322-61&amp;CardNumber=1","142-322-61")</f>
        <v>142-322-61</v>
      </c>
      <c r="B4841" t="s">
        <v>4655</v>
      </c>
      <c r="C4841" t="s">
        <v>25070</v>
      </c>
      <c r="D4841" s="1">
        <v>40283</v>
      </c>
      <c r="E4841" s="2">
        <v>118000</v>
      </c>
      <c r="F4841" t="s">
        <v>4567</v>
      </c>
      <c r="G4841" s="17" t="str">
        <f>HYPERLINK("https://www.washoecounty.gov/assessor/cama/?command=sales&amp;parid=14232261","3871467")</f>
        <v>3871467</v>
      </c>
      <c r="H4841" t="s">
        <v>563</v>
      </c>
      <c r="I4841">
        <v>2005</v>
      </c>
      <c r="J4841">
        <v>2005</v>
      </c>
      <c r="K4841" t="s">
        <v>3144</v>
      </c>
      <c r="L4841" t="s">
        <v>2170</v>
      </c>
      <c r="M4841" s="2">
        <v>1033</v>
      </c>
      <c r="N4841" t="s">
        <v>3887</v>
      </c>
      <c r="O4841">
        <v>1</v>
      </c>
      <c r="P4841">
        <v>1</v>
      </c>
      <c r="Q4841">
        <v>0</v>
      </c>
      <c r="R4841" t="s">
        <v>5281</v>
      </c>
      <c r="S4841" t="s">
        <v>4898</v>
      </c>
      <c r="T4841" t="s">
        <v>2704</v>
      </c>
      <c r="U4841" t="s">
        <v>5631</v>
      </c>
      <c r="V4841" s="2">
        <v>296</v>
      </c>
      <c r="W4841" t="s">
        <v>4655</v>
      </c>
      <c r="X4841" s="2">
        <v>0</v>
      </c>
      <c r="Y4841">
        <v>21</v>
      </c>
      <c r="Z4841" t="s">
        <v>564</v>
      </c>
      <c r="AA4841" s="3">
        <v>1.0009182617068299E-2</v>
      </c>
      <c r="AB4841" t="s">
        <v>25153</v>
      </c>
      <c r="AC4841" t="s">
        <v>4562</v>
      </c>
      <c r="AD4841" t="s">
        <v>25154</v>
      </c>
      <c r="AE4841" t="s">
        <v>4655</v>
      </c>
      <c r="AF4841" t="s">
        <v>4563</v>
      </c>
      <c r="AG4841" t="s">
        <v>4564</v>
      </c>
      <c r="AH4841">
        <v>89511</v>
      </c>
      <c r="AI4841" t="s">
        <v>25155</v>
      </c>
      <c r="AJ4841" t="s">
        <v>730</v>
      </c>
      <c r="AK4841" t="s">
        <v>25156</v>
      </c>
      <c r="AL4841" s="13" t="s">
        <v>3430</v>
      </c>
      <c r="AM4841">
        <v>1</v>
      </c>
      <c r="AN4841" s="15" t="s">
        <v>731</v>
      </c>
    </row>
    <row r="4842" spans="1:40" x14ac:dyDescent="0.3">
      <c r="A4842" s="10" t="str">
        <f>HYPERLINK("http://www.washoecounty.gov/assessor/cama/?parid=142-322-62&amp;CardNumber=1","142-322-62")</f>
        <v>142-322-62</v>
      </c>
      <c r="B4842" t="s">
        <v>4655</v>
      </c>
      <c r="C4842" t="s">
        <v>25070</v>
      </c>
      <c r="D4842" s="1">
        <v>40267</v>
      </c>
      <c r="E4842" s="2">
        <v>135000</v>
      </c>
      <c r="F4842" t="s">
        <v>4567</v>
      </c>
      <c r="G4842" s="17" t="str">
        <f>HYPERLINK("https://www.washoecounty.gov/assessor/cama/?command=sales&amp;parid=14232262","3865417")</f>
        <v>3865417</v>
      </c>
      <c r="H4842" t="s">
        <v>563</v>
      </c>
      <c r="I4842">
        <v>2005</v>
      </c>
      <c r="J4842">
        <v>2005</v>
      </c>
      <c r="K4842" t="s">
        <v>4897</v>
      </c>
      <c r="L4842" t="s">
        <v>2170</v>
      </c>
      <c r="M4842" s="2">
        <v>1348</v>
      </c>
      <c r="N4842" t="s">
        <v>3887</v>
      </c>
      <c r="O4842">
        <v>2</v>
      </c>
      <c r="P4842">
        <v>2</v>
      </c>
      <c r="Q4842">
        <v>0</v>
      </c>
      <c r="R4842" t="s">
        <v>5281</v>
      </c>
      <c r="S4842" t="s">
        <v>4898</v>
      </c>
      <c r="T4842" t="s">
        <v>2704</v>
      </c>
      <c r="U4842" t="s">
        <v>5631</v>
      </c>
      <c r="V4842" s="2">
        <v>562</v>
      </c>
      <c r="W4842" t="s">
        <v>4655</v>
      </c>
      <c r="X4842" s="2">
        <v>0</v>
      </c>
      <c r="Y4842">
        <v>21</v>
      </c>
      <c r="Z4842" t="s">
        <v>564</v>
      </c>
      <c r="AA4842" s="3">
        <v>1.0009182617068299E-2</v>
      </c>
      <c r="AB4842" t="s">
        <v>25157</v>
      </c>
      <c r="AC4842" t="s">
        <v>4575</v>
      </c>
      <c r="AD4842" t="s">
        <v>25158</v>
      </c>
      <c r="AE4842" t="s">
        <v>25159</v>
      </c>
      <c r="AF4842" t="s">
        <v>4563</v>
      </c>
      <c r="AG4842" t="s">
        <v>4564</v>
      </c>
      <c r="AH4842" t="s">
        <v>5197</v>
      </c>
      <c r="AI4842" t="s">
        <v>25160</v>
      </c>
      <c r="AJ4842" t="s">
        <v>730</v>
      </c>
      <c r="AK4842" t="s">
        <v>25161</v>
      </c>
      <c r="AL4842" s="13" t="s">
        <v>3430</v>
      </c>
      <c r="AM4842">
        <v>1</v>
      </c>
      <c r="AN4842" s="15" t="s">
        <v>731</v>
      </c>
    </row>
    <row r="4843" spans="1:40" x14ac:dyDescent="0.3">
      <c r="A4843" s="10" t="str">
        <f>HYPERLINK("http://www.washoecounty.gov/assessor/cama/?parid=142-322-64&amp;CardNumber=1","142-322-64")</f>
        <v>142-322-64</v>
      </c>
      <c r="B4843" t="s">
        <v>4655</v>
      </c>
      <c r="C4843" t="s">
        <v>25070</v>
      </c>
      <c r="D4843" s="1">
        <v>40205</v>
      </c>
      <c r="E4843" s="2">
        <v>125000</v>
      </c>
      <c r="F4843" t="s">
        <v>4567</v>
      </c>
      <c r="G4843" s="17" t="str">
        <f>HYPERLINK("https://www.washoecounty.gov/assessor/cama/?command=sales&amp;parid=14232264","3843347")</f>
        <v>3843347</v>
      </c>
      <c r="H4843" t="s">
        <v>563</v>
      </c>
      <c r="I4843">
        <v>2005</v>
      </c>
      <c r="J4843">
        <v>2005</v>
      </c>
      <c r="K4843" t="s">
        <v>4897</v>
      </c>
      <c r="L4843" t="s">
        <v>4555</v>
      </c>
      <c r="M4843" s="2">
        <v>1317</v>
      </c>
      <c r="N4843" t="s">
        <v>3887</v>
      </c>
      <c r="O4843">
        <v>2</v>
      </c>
      <c r="P4843">
        <v>2</v>
      </c>
      <c r="Q4843">
        <v>0</v>
      </c>
      <c r="R4843" t="s">
        <v>5281</v>
      </c>
      <c r="S4843" t="s">
        <v>4898</v>
      </c>
      <c r="T4843" t="s">
        <v>2704</v>
      </c>
      <c r="U4843" t="s">
        <v>5631</v>
      </c>
      <c r="V4843" s="2">
        <v>534</v>
      </c>
      <c r="W4843" t="s">
        <v>4655</v>
      </c>
      <c r="X4843" s="2">
        <v>0</v>
      </c>
      <c r="Y4843">
        <v>21</v>
      </c>
      <c r="Z4843" t="s">
        <v>564</v>
      </c>
      <c r="AA4843" s="3">
        <v>1.0009182617068299E-2</v>
      </c>
      <c r="AB4843" t="s">
        <v>25162</v>
      </c>
      <c r="AC4843" t="s">
        <v>4562</v>
      </c>
      <c r="AD4843" t="s">
        <v>25163</v>
      </c>
      <c r="AE4843" t="s">
        <v>4655</v>
      </c>
      <c r="AF4843" t="s">
        <v>4563</v>
      </c>
      <c r="AG4843" t="s">
        <v>4564</v>
      </c>
      <c r="AH4843">
        <v>89511</v>
      </c>
      <c r="AI4843" t="s">
        <v>25164</v>
      </c>
      <c r="AJ4843" t="s">
        <v>730</v>
      </c>
      <c r="AK4843" t="s">
        <v>25165</v>
      </c>
      <c r="AL4843" s="13" t="s">
        <v>3430</v>
      </c>
      <c r="AM4843">
        <v>1</v>
      </c>
      <c r="AN4843" s="15" t="s">
        <v>731</v>
      </c>
    </row>
    <row r="4844" spans="1:40" x14ac:dyDescent="0.3">
      <c r="A4844" s="10" t="str">
        <f>HYPERLINK("http://www.washoecounty.gov/assessor/cama/?parid=142-323-19&amp;CardNumber=1","142-323-19")</f>
        <v>142-323-19</v>
      </c>
      <c r="B4844" t="s">
        <v>4655</v>
      </c>
      <c r="C4844" t="s">
        <v>25070</v>
      </c>
      <c r="D4844" s="1">
        <v>40408</v>
      </c>
      <c r="E4844" s="2">
        <v>90000</v>
      </c>
      <c r="F4844" t="s">
        <v>4567</v>
      </c>
      <c r="G4844" s="17" t="str">
        <f>HYPERLINK("https://www.washoecounty.gov/assessor/cama/?command=sales&amp;parid=14232319","3913422")</f>
        <v>3913422</v>
      </c>
      <c r="H4844" t="s">
        <v>563</v>
      </c>
      <c r="I4844">
        <v>2005</v>
      </c>
      <c r="J4844">
        <v>2005</v>
      </c>
      <c r="K4844" t="s">
        <v>3144</v>
      </c>
      <c r="L4844" t="s">
        <v>2170</v>
      </c>
      <c r="M4844" s="2">
        <v>1033</v>
      </c>
      <c r="N4844" t="s">
        <v>3887</v>
      </c>
      <c r="O4844">
        <v>1</v>
      </c>
      <c r="P4844">
        <v>1</v>
      </c>
      <c r="Q4844">
        <v>0</v>
      </c>
      <c r="R4844" t="s">
        <v>5281</v>
      </c>
      <c r="S4844" t="s">
        <v>4898</v>
      </c>
      <c r="T4844" t="s">
        <v>2704</v>
      </c>
      <c r="U4844" t="s">
        <v>5631</v>
      </c>
      <c r="V4844" s="2">
        <v>296</v>
      </c>
      <c r="W4844" t="s">
        <v>4655</v>
      </c>
      <c r="X4844" s="2">
        <v>0</v>
      </c>
      <c r="Y4844">
        <v>21</v>
      </c>
      <c r="Z4844" t="s">
        <v>564</v>
      </c>
      <c r="AA4844" s="3">
        <v>1.0009182617068299E-2</v>
      </c>
      <c r="AB4844" t="s">
        <v>1693</v>
      </c>
      <c r="AC4844" t="s">
        <v>4575</v>
      </c>
      <c r="AD4844" t="s">
        <v>1694</v>
      </c>
      <c r="AE4844" t="s">
        <v>4655</v>
      </c>
      <c r="AF4844" t="s">
        <v>4563</v>
      </c>
      <c r="AG4844" t="s">
        <v>4564</v>
      </c>
      <c r="AH4844">
        <v>89511</v>
      </c>
      <c r="AI4844" t="s">
        <v>25166</v>
      </c>
      <c r="AJ4844" t="s">
        <v>730</v>
      </c>
      <c r="AK4844" t="s">
        <v>25167</v>
      </c>
      <c r="AL4844" s="13" t="s">
        <v>3430</v>
      </c>
      <c r="AM4844">
        <v>1</v>
      </c>
      <c r="AN4844" s="15" t="s">
        <v>731</v>
      </c>
    </row>
    <row r="4845" spans="1:40" x14ac:dyDescent="0.3">
      <c r="A4845" s="10" t="str">
        <f>HYPERLINK("http://www.washoecounty.gov/assessor/cama/?parid=142-323-21&amp;CardNumber=1","142-323-21")</f>
        <v>142-323-21</v>
      </c>
      <c r="B4845" t="s">
        <v>4655</v>
      </c>
      <c r="C4845" t="s">
        <v>25070</v>
      </c>
      <c r="D4845" s="1">
        <v>40452</v>
      </c>
      <c r="E4845" s="2">
        <v>157000</v>
      </c>
      <c r="F4845" t="s">
        <v>4567</v>
      </c>
      <c r="G4845" s="17" t="str">
        <f>HYPERLINK("https://www.washoecounty.gov/assessor/cama/?command=sales&amp;parid=14232321","3928845")</f>
        <v>3928845</v>
      </c>
      <c r="H4845" t="s">
        <v>563</v>
      </c>
      <c r="I4845">
        <v>2005</v>
      </c>
      <c r="J4845">
        <v>2005</v>
      </c>
      <c r="K4845" t="s">
        <v>4897</v>
      </c>
      <c r="L4845" t="s">
        <v>2170</v>
      </c>
      <c r="M4845" s="2">
        <v>1477</v>
      </c>
      <c r="N4845" t="s">
        <v>3887</v>
      </c>
      <c r="O4845">
        <v>2</v>
      </c>
      <c r="P4845">
        <v>2</v>
      </c>
      <c r="Q4845">
        <v>0</v>
      </c>
      <c r="R4845" t="s">
        <v>5281</v>
      </c>
      <c r="S4845" t="s">
        <v>4898</v>
      </c>
      <c r="T4845" t="s">
        <v>2704</v>
      </c>
      <c r="U4845" t="s">
        <v>5631</v>
      </c>
      <c r="V4845" s="2">
        <v>450</v>
      </c>
      <c r="W4845" t="s">
        <v>4655</v>
      </c>
      <c r="X4845" s="2">
        <v>0</v>
      </c>
      <c r="Y4845">
        <v>21</v>
      </c>
      <c r="Z4845" t="s">
        <v>564</v>
      </c>
      <c r="AA4845" s="3">
        <v>1.0009182617068299E-2</v>
      </c>
      <c r="AB4845" t="s">
        <v>25168</v>
      </c>
      <c r="AC4845" t="s">
        <v>4562</v>
      </c>
      <c r="AD4845" t="s">
        <v>25169</v>
      </c>
      <c r="AE4845" t="s">
        <v>4655</v>
      </c>
      <c r="AF4845" t="s">
        <v>4563</v>
      </c>
      <c r="AG4845" t="s">
        <v>4564</v>
      </c>
      <c r="AH4845">
        <v>89511</v>
      </c>
      <c r="AI4845" t="s">
        <v>25170</v>
      </c>
      <c r="AJ4845" t="s">
        <v>730</v>
      </c>
      <c r="AK4845" t="s">
        <v>25171</v>
      </c>
      <c r="AL4845" s="13" t="s">
        <v>3430</v>
      </c>
      <c r="AM4845" s="14">
        <v>1</v>
      </c>
      <c r="AN4845" s="15" t="s">
        <v>731</v>
      </c>
    </row>
    <row r="4846" spans="1:40" x14ac:dyDescent="0.3">
      <c r="A4846" s="10" t="str">
        <f>HYPERLINK("http://www.washoecounty.gov/assessor/cama/?parid=142-323-25&amp;CardNumber=1","142-323-25")</f>
        <v>142-323-25</v>
      </c>
      <c r="B4846" t="s">
        <v>4655</v>
      </c>
      <c r="C4846" t="s">
        <v>25070</v>
      </c>
      <c r="D4846" s="1">
        <v>40540</v>
      </c>
      <c r="E4846" s="2">
        <v>148000</v>
      </c>
      <c r="F4846" t="s">
        <v>4567</v>
      </c>
      <c r="G4846" s="17" t="str">
        <f>HYPERLINK("https://www.washoecounty.gov/assessor/cama/?command=sales&amp;parid=14232325","3958172")</f>
        <v>3958172</v>
      </c>
      <c r="H4846" t="s">
        <v>563</v>
      </c>
      <c r="I4846">
        <v>2005</v>
      </c>
      <c r="J4846">
        <v>2005</v>
      </c>
      <c r="K4846" t="s">
        <v>4897</v>
      </c>
      <c r="L4846" t="s">
        <v>2170</v>
      </c>
      <c r="M4846" s="2">
        <v>1348</v>
      </c>
      <c r="N4846" t="s">
        <v>3887</v>
      </c>
      <c r="O4846">
        <v>2</v>
      </c>
      <c r="P4846">
        <v>2</v>
      </c>
      <c r="Q4846">
        <v>0</v>
      </c>
      <c r="R4846" t="s">
        <v>5281</v>
      </c>
      <c r="S4846" t="s">
        <v>4898</v>
      </c>
      <c r="T4846" t="s">
        <v>2704</v>
      </c>
      <c r="U4846" t="s">
        <v>5631</v>
      </c>
      <c r="V4846" s="2">
        <v>562</v>
      </c>
      <c r="W4846" t="s">
        <v>4655</v>
      </c>
      <c r="X4846" s="2">
        <v>0</v>
      </c>
      <c r="Y4846">
        <v>21</v>
      </c>
      <c r="Z4846" t="s">
        <v>564</v>
      </c>
      <c r="AA4846" s="3">
        <v>1.0009182617068299E-2</v>
      </c>
      <c r="AB4846" t="s">
        <v>25172</v>
      </c>
      <c r="AC4846" t="s">
        <v>4562</v>
      </c>
      <c r="AD4846" t="s">
        <v>25173</v>
      </c>
      <c r="AE4846" t="s">
        <v>4655</v>
      </c>
      <c r="AF4846" t="s">
        <v>4563</v>
      </c>
      <c r="AG4846" t="s">
        <v>4564</v>
      </c>
      <c r="AH4846">
        <v>89511</v>
      </c>
      <c r="AI4846" t="s">
        <v>1475</v>
      </c>
      <c r="AJ4846" t="s">
        <v>730</v>
      </c>
      <c r="AK4846" t="s">
        <v>25174</v>
      </c>
      <c r="AL4846" s="13" t="s">
        <v>3430</v>
      </c>
      <c r="AM4846">
        <v>1</v>
      </c>
      <c r="AN4846" s="15" t="s">
        <v>731</v>
      </c>
    </row>
    <row r="4847" spans="1:40" x14ac:dyDescent="0.3">
      <c r="A4847" s="10" t="str">
        <f>HYPERLINK("http://www.washoecounty.gov/assessor/cama/?parid=142-323-60&amp;CardNumber=1","142-323-60")</f>
        <v>142-323-60</v>
      </c>
      <c r="B4847" t="s">
        <v>4655</v>
      </c>
      <c r="C4847" t="s">
        <v>25070</v>
      </c>
      <c r="D4847" s="1">
        <v>40389</v>
      </c>
      <c r="E4847" s="2">
        <v>140000</v>
      </c>
      <c r="F4847" t="s">
        <v>4567</v>
      </c>
      <c r="G4847" s="17" t="str">
        <f>HYPERLINK("https://www.washoecounty.gov/assessor/cama/?command=sales&amp;parid=14232360","3907186")</f>
        <v>3907186</v>
      </c>
      <c r="H4847" t="s">
        <v>563</v>
      </c>
      <c r="I4847">
        <v>2005</v>
      </c>
      <c r="J4847">
        <v>2005</v>
      </c>
      <c r="K4847" t="s">
        <v>4897</v>
      </c>
      <c r="L4847" t="s">
        <v>2170</v>
      </c>
      <c r="M4847" s="2">
        <v>1348</v>
      </c>
      <c r="N4847" t="s">
        <v>3887</v>
      </c>
      <c r="O4847">
        <v>2</v>
      </c>
      <c r="P4847">
        <v>2</v>
      </c>
      <c r="Q4847">
        <v>0</v>
      </c>
      <c r="R4847" t="s">
        <v>5281</v>
      </c>
      <c r="S4847" t="s">
        <v>4898</v>
      </c>
      <c r="T4847" t="s">
        <v>2704</v>
      </c>
      <c r="U4847" t="s">
        <v>5631</v>
      </c>
      <c r="V4847" s="2">
        <v>562</v>
      </c>
      <c r="W4847" t="s">
        <v>4655</v>
      </c>
      <c r="X4847" s="2">
        <v>0</v>
      </c>
      <c r="Y4847">
        <v>21</v>
      </c>
      <c r="Z4847" t="s">
        <v>564</v>
      </c>
      <c r="AA4847" s="3">
        <v>1.0009182617068299E-2</v>
      </c>
      <c r="AB4847" t="s">
        <v>25175</v>
      </c>
      <c r="AC4847" t="s">
        <v>4575</v>
      </c>
      <c r="AD4847" t="s">
        <v>25176</v>
      </c>
      <c r="AE4847" t="s">
        <v>4655</v>
      </c>
      <c r="AF4847" t="s">
        <v>3643</v>
      </c>
      <c r="AG4847" t="s">
        <v>4584</v>
      </c>
      <c r="AH4847" t="s">
        <v>3080</v>
      </c>
      <c r="AI4847" t="s">
        <v>931</v>
      </c>
      <c r="AJ4847" t="s">
        <v>730</v>
      </c>
      <c r="AK4847" t="s">
        <v>25177</v>
      </c>
      <c r="AL4847" s="13" t="s">
        <v>3430</v>
      </c>
      <c r="AM4847" s="14">
        <v>1</v>
      </c>
      <c r="AN4847" s="15" t="s">
        <v>731</v>
      </c>
    </row>
    <row r="4848" spans="1:40" x14ac:dyDescent="0.3">
      <c r="A4848" s="10" t="str">
        <f>HYPERLINK("http://www.washoecounty.gov/assessor/cama/?parid=142-323-69&amp;CardNumber=1","142-323-69")</f>
        <v>142-323-69</v>
      </c>
      <c r="B4848" t="s">
        <v>4655</v>
      </c>
      <c r="C4848" t="s">
        <v>25070</v>
      </c>
      <c r="D4848" s="1">
        <v>40325</v>
      </c>
      <c r="E4848" s="2">
        <v>140250</v>
      </c>
      <c r="F4848" t="s">
        <v>4553</v>
      </c>
      <c r="G4848" s="17" t="str">
        <f>HYPERLINK("https://www.washoecounty.gov/assessor/cama/?command=sales&amp;parid=14232369","3885852")</f>
        <v>3885852</v>
      </c>
      <c r="H4848" t="s">
        <v>563</v>
      </c>
      <c r="I4848">
        <v>2005</v>
      </c>
      <c r="J4848">
        <v>2005</v>
      </c>
      <c r="K4848" t="s">
        <v>4897</v>
      </c>
      <c r="L4848" t="s">
        <v>2170</v>
      </c>
      <c r="M4848" s="2">
        <v>1348</v>
      </c>
      <c r="N4848" t="s">
        <v>3887</v>
      </c>
      <c r="O4848">
        <v>2</v>
      </c>
      <c r="P4848">
        <v>2</v>
      </c>
      <c r="Q4848">
        <v>0</v>
      </c>
      <c r="R4848" t="s">
        <v>5281</v>
      </c>
      <c r="S4848" t="s">
        <v>4898</v>
      </c>
      <c r="T4848" t="s">
        <v>2704</v>
      </c>
      <c r="U4848" t="s">
        <v>5631</v>
      </c>
      <c r="V4848" s="2">
        <v>562</v>
      </c>
      <c r="W4848" t="s">
        <v>4655</v>
      </c>
      <c r="X4848" s="2">
        <v>0</v>
      </c>
      <c r="Y4848">
        <v>21</v>
      </c>
      <c r="Z4848" t="s">
        <v>564</v>
      </c>
      <c r="AA4848" s="3">
        <v>1.0009182617068299E-2</v>
      </c>
      <c r="AB4848" t="s">
        <v>18691</v>
      </c>
      <c r="AC4848" t="s">
        <v>4575</v>
      </c>
      <c r="AD4848" t="s">
        <v>18692</v>
      </c>
      <c r="AE4848" t="s">
        <v>4655</v>
      </c>
      <c r="AF4848" t="s">
        <v>1407</v>
      </c>
      <c r="AG4848" t="s">
        <v>4564</v>
      </c>
      <c r="AH4848">
        <v>89704</v>
      </c>
      <c r="AI4848" t="s">
        <v>25178</v>
      </c>
      <c r="AJ4848" t="s">
        <v>730</v>
      </c>
      <c r="AK4848" t="s">
        <v>25179</v>
      </c>
      <c r="AL4848" s="13" t="s">
        <v>3430</v>
      </c>
      <c r="AM4848">
        <v>1</v>
      </c>
      <c r="AN4848" s="15" t="s">
        <v>731</v>
      </c>
    </row>
    <row r="4849" spans="1:40" x14ac:dyDescent="0.3">
      <c r="A4849" s="10" t="str">
        <f>HYPERLINK("http://www.washoecounty.gov/assessor/cama/?parid=142-332-05&amp;CardNumber=1","142-332-05")</f>
        <v>142-332-05</v>
      </c>
      <c r="B4849" t="s">
        <v>4655</v>
      </c>
      <c r="C4849" t="s">
        <v>25180</v>
      </c>
      <c r="D4849" s="1">
        <v>40268</v>
      </c>
      <c r="E4849" s="2">
        <v>2500000</v>
      </c>
      <c r="F4849" t="s">
        <v>4201</v>
      </c>
      <c r="G4849" s="17" t="str">
        <f>HYPERLINK("https://www.washoecounty.gov/assessor/cama/?command=sales&amp;parid=14233205","3866062")</f>
        <v>3866062</v>
      </c>
      <c r="H4849" t="s">
        <v>25181</v>
      </c>
      <c r="I4849">
        <v>2006</v>
      </c>
      <c r="J4849">
        <v>2006</v>
      </c>
      <c r="K4849" t="s">
        <v>3037</v>
      </c>
      <c r="L4849" t="s">
        <v>1366</v>
      </c>
      <c r="M4849" s="2">
        <v>6992</v>
      </c>
      <c r="N4849" t="s">
        <v>4580</v>
      </c>
      <c r="O4849">
        <v>0</v>
      </c>
      <c r="P4849">
        <v>0</v>
      </c>
      <c r="Q4849">
        <v>0</v>
      </c>
      <c r="R4849" t="s">
        <v>1395</v>
      </c>
      <c r="S4849" t="s">
        <v>1819</v>
      </c>
      <c r="T4849" t="s">
        <v>4655</v>
      </c>
      <c r="U4849" t="s">
        <v>4655</v>
      </c>
      <c r="V4849" s="2">
        <v>0</v>
      </c>
      <c r="W4849" t="s">
        <v>4655</v>
      </c>
      <c r="X4849" s="2">
        <v>0</v>
      </c>
      <c r="Y4849">
        <v>40</v>
      </c>
      <c r="Z4849" t="s">
        <v>25182</v>
      </c>
      <c r="AA4849" s="3">
        <v>0.37323233485221863</v>
      </c>
      <c r="AB4849" t="s">
        <v>25183</v>
      </c>
      <c r="AC4849" t="s">
        <v>4562</v>
      </c>
      <c r="AD4849" t="s">
        <v>25184</v>
      </c>
      <c r="AE4849" t="s">
        <v>4655</v>
      </c>
      <c r="AF4849" t="s">
        <v>1661</v>
      </c>
      <c r="AG4849" t="s">
        <v>4584</v>
      </c>
      <c r="AH4849" t="s">
        <v>2194</v>
      </c>
      <c r="AI4849" t="s">
        <v>25185</v>
      </c>
      <c r="AJ4849" t="s">
        <v>4571</v>
      </c>
      <c r="AK4849" t="s">
        <v>25186</v>
      </c>
      <c r="AL4849" s="13" t="s">
        <v>2257</v>
      </c>
      <c r="AM4849" s="14">
        <v>1</v>
      </c>
      <c r="AN4849" s="15" t="s">
        <v>25187</v>
      </c>
    </row>
    <row r="4850" spans="1:40" x14ac:dyDescent="0.3">
      <c r="A4850" s="10" t="str">
        <f>HYPERLINK("http://www.washoecounty.gov/assessor/cama/?parid=142-343-07&amp;CardNumber=1","142-343-07")</f>
        <v>142-343-07</v>
      </c>
      <c r="B4850" t="s">
        <v>4655</v>
      </c>
      <c r="C4850" t="s">
        <v>25188</v>
      </c>
      <c r="D4850" s="1">
        <v>40522</v>
      </c>
      <c r="E4850" s="2">
        <v>981004</v>
      </c>
      <c r="F4850" t="s">
        <v>4567</v>
      </c>
      <c r="G4850" s="17" t="str">
        <f>HYPERLINK("https://www.washoecounty.gov/assessor/cama/?command=sales&amp;parid=14234307","3952339")</f>
        <v>3952339</v>
      </c>
      <c r="H4850" t="s">
        <v>674</v>
      </c>
      <c r="I4850">
        <v>2010</v>
      </c>
      <c r="J4850">
        <v>2010</v>
      </c>
      <c r="K4850" t="s">
        <v>4554</v>
      </c>
      <c r="L4850" t="s">
        <v>4555</v>
      </c>
      <c r="M4850" s="2">
        <v>2528</v>
      </c>
      <c r="N4850" t="s">
        <v>2012</v>
      </c>
      <c r="O4850">
        <v>4</v>
      </c>
      <c r="P4850">
        <v>3</v>
      </c>
      <c r="Q4850">
        <v>1</v>
      </c>
      <c r="R4850" t="s">
        <v>5281</v>
      </c>
      <c r="S4850" t="s">
        <v>4898</v>
      </c>
      <c r="T4850" t="s">
        <v>2704</v>
      </c>
      <c r="U4850" t="s">
        <v>4560</v>
      </c>
      <c r="V4850" s="2">
        <v>956</v>
      </c>
      <c r="W4850" t="s">
        <v>3201</v>
      </c>
      <c r="X4850" s="2">
        <v>1558</v>
      </c>
      <c r="Y4850">
        <v>20</v>
      </c>
      <c r="Z4850" t="s">
        <v>4051</v>
      </c>
      <c r="AA4850" s="3">
        <v>0.56329202651977495</v>
      </c>
      <c r="AB4850" t="s">
        <v>25189</v>
      </c>
      <c r="AC4850" t="s">
        <v>4575</v>
      </c>
      <c r="AD4850" t="s">
        <v>25190</v>
      </c>
      <c r="AE4850" t="s">
        <v>4655</v>
      </c>
      <c r="AF4850" t="s">
        <v>4563</v>
      </c>
      <c r="AG4850" t="s">
        <v>4564</v>
      </c>
      <c r="AH4850">
        <v>89511</v>
      </c>
      <c r="AI4850" t="s">
        <v>4807</v>
      </c>
      <c r="AJ4850" t="s">
        <v>814</v>
      </c>
      <c r="AK4850" t="s">
        <v>25191</v>
      </c>
      <c r="AL4850" s="13" t="s">
        <v>1894</v>
      </c>
      <c r="AM4850" s="14">
        <v>1</v>
      </c>
      <c r="AN4850" s="15" t="s">
        <v>815</v>
      </c>
    </row>
    <row r="4851" spans="1:40" x14ac:dyDescent="0.3">
      <c r="A4851" s="10" t="str">
        <f>HYPERLINK("http://www.washoecounty.gov/assessor/cama/?parid=142-344-11&amp;CardNumber=1","142-344-11")</f>
        <v>142-344-11</v>
      </c>
      <c r="B4851" t="s">
        <v>4655</v>
      </c>
      <c r="C4851" t="s">
        <v>25192</v>
      </c>
      <c r="D4851" s="1">
        <v>40282</v>
      </c>
      <c r="E4851" s="2">
        <v>595000</v>
      </c>
      <c r="F4851" t="s">
        <v>4567</v>
      </c>
      <c r="G4851" s="17" t="str">
        <f>HYPERLINK("https://www.washoecounty.gov/assessor/cama/?command=sales&amp;parid=14234411","3870839")</f>
        <v>3870839</v>
      </c>
      <c r="H4851" t="s">
        <v>674</v>
      </c>
      <c r="I4851">
        <v>2009</v>
      </c>
      <c r="J4851">
        <v>2009</v>
      </c>
      <c r="K4851" t="s">
        <v>4554</v>
      </c>
      <c r="L4851" t="s">
        <v>4555</v>
      </c>
      <c r="M4851" s="2">
        <v>3543</v>
      </c>
      <c r="N4851" t="s">
        <v>2012</v>
      </c>
      <c r="O4851">
        <v>3</v>
      </c>
      <c r="P4851">
        <v>4</v>
      </c>
      <c r="Q4851">
        <v>0</v>
      </c>
      <c r="R4851" t="s">
        <v>5281</v>
      </c>
      <c r="S4851" t="s">
        <v>4898</v>
      </c>
      <c r="T4851" t="s">
        <v>2704</v>
      </c>
      <c r="U4851" t="s">
        <v>4560</v>
      </c>
      <c r="V4851" s="2">
        <v>985</v>
      </c>
      <c r="W4851" t="s">
        <v>4655</v>
      </c>
      <c r="X4851" s="2">
        <v>0</v>
      </c>
      <c r="Y4851">
        <v>20</v>
      </c>
      <c r="Z4851" t="s">
        <v>5508</v>
      </c>
      <c r="AA4851" s="3">
        <v>0.57084482908248901</v>
      </c>
      <c r="AB4851" t="s">
        <v>25193</v>
      </c>
      <c r="AC4851" t="s">
        <v>4575</v>
      </c>
      <c r="AD4851" t="s">
        <v>25194</v>
      </c>
      <c r="AE4851" t="s">
        <v>4655</v>
      </c>
      <c r="AF4851" t="s">
        <v>4563</v>
      </c>
      <c r="AG4851" t="s">
        <v>4564</v>
      </c>
      <c r="AH4851">
        <v>89511</v>
      </c>
      <c r="AI4851" t="s">
        <v>25195</v>
      </c>
      <c r="AJ4851" t="s">
        <v>814</v>
      </c>
      <c r="AK4851" t="s">
        <v>25196</v>
      </c>
      <c r="AL4851" s="13" t="s">
        <v>1894</v>
      </c>
      <c r="AM4851" s="14">
        <v>1</v>
      </c>
      <c r="AN4851" s="15" t="s">
        <v>815</v>
      </c>
    </row>
    <row r="4852" spans="1:40" x14ac:dyDescent="0.3">
      <c r="A4852" s="10" t="str">
        <f>HYPERLINK("http://www.washoecounty.gov/assessor/cama/?parid=142-350-01&amp;CardNumber=1","142-350-01")</f>
        <v>142-350-01</v>
      </c>
      <c r="B4852" t="s">
        <v>4655</v>
      </c>
      <c r="C4852" t="s">
        <v>24944</v>
      </c>
      <c r="D4852" s="1">
        <v>40541</v>
      </c>
      <c r="E4852" s="2">
        <v>2846590</v>
      </c>
      <c r="F4852" t="s">
        <v>3174</v>
      </c>
      <c r="G4852" s="17" t="str">
        <f>HYPERLINK("https://www.washoecounty.gov/assessor/cama/?command=sales&amp;parid=14235001","3958821")</f>
        <v>3958821</v>
      </c>
      <c r="H4852" t="s">
        <v>3977</v>
      </c>
      <c r="I4852">
        <v>0</v>
      </c>
      <c r="J4852">
        <v>0</v>
      </c>
      <c r="K4852" t="s">
        <v>4655</v>
      </c>
      <c r="L4852" t="s">
        <v>4655</v>
      </c>
      <c r="M4852" s="2">
        <v>0</v>
      </c>
      <c r="N4852" t="s">
        <v>4655</v>
      </c>
      <c r="O4852">
        <v>0</v>
      </c>
      <c r="P4852">
        <v>0</v>
      </c>
      <c r="Q4852">
        <v>0</v>
      </c>
      <c r="R4852" t="s">
        <v>4655</v>
      </c>
      <c r="S4852" t="s">
        <v>4655</v>
      </c>
      <c r="T4852" t="s">
        <v>4655</v>
      </c>
      <c r="U4852" t="s">
        <v>4655</v>
      </c>
      <c r="V4852" s="2">
        <v>0</v>
      </c>
      <c r="W4852" t="s">
        <v>4655</v>
      </c>
      <c r="X4852" s="2">
        <v>0</v>
      </c>
      <c r="Y4852">
        <v>11</v>
      </c>
      <c r="Z4852" t="s">
        <v>642</v>
      </c>
      <c r="AA4852" s="3">
        <v>61.25</v>
      </c>
      <c r="AB4852" t="s">
        <v>24938</v>
      </c>
      <c r="AC4852" t="s">
        <v>4575</v>
      </c>
      <c r="AD4852" t="s">
        <v>24939</v>
      </c>
      <c r="AE4852" t="s">
        <v>4655</v>
      </c>
      <c r="AF4852" t="s">
        <v>4563</v>
      </c>
      <c r="AG4852" t="s">
        <v>4564</v>
      </c>
      <c r="AH4852" t="s">
        <v>416</v>
      </c>
      <c r="AI4852" t="s">
        <v>24940</v>
      </c>
      <c r="AJ4852" t="s">
        <v>3979</v>
      </c>
      <c r="AK4852" t="s">
        <v>25197</v>
      </c>
      <c r="AL4852" s="13" t="s">
        <v>2257</v>
      </c>
      <c r="AM4852" s="14">
        <v>0</v>
      </c>
      <c r="AN4852" s="15" t="s">
        <v>3980</v>
      </c>
    </row>
    <row r="4853" spans="1:40" x14ac:dyDescent="0.3">
      <c r="A4853" s="10" t="str">
        <f>HYPERLINK("http://www.washoecounty.gov/assessor/cama/?parid=142-350-14&amp;CardNumber=1","142-350-14")</f>
        <v>142-350-14</v>
      </c>
      <c r="B4853" t="s">
        <v>4655</v>
      </c>
      <c r="C4853" t="s">
        <v>25198</v>
      </c>
      <c r="D4853" s="1">
        <v>40541</v>
      </c>
      <c r="E4853" s="2">
        <v>2846590</v>
      </c>
      <c r="F4853" t="s">
        <v>3174</v>
      </c>
      <c r="G4853" s="17" t="str">
        <f>HYPERLINK("https://www.washoecounty.gov/assessor/cama/?command=sales&amp;parid=14235014","3958821")</f>
        <v>3958821</v>
      </c>
      <c r="H4853" t="s">
        <v>3977</v>
      </c>
      <c r="I4853">
        <v>0</v>
      </c>
      <c r="J4853">
        <v>0</v>
      </c>
      <c r="K4853" t="s">
        <v>4655</v>
      </c>
      <c r="L4853" t="s">
        <v>4655</v>
      </c>
      <c r="M4853" s="2">
        <v>0</v>
      </c>
      <c r="N4853" t="s">
        <v>4655</v>
      </c>
      <c r="O4853">
        <v>0</v>
      </c>
      <c r="P4853">
        <v>0</v>
      </c>
      <c r="Q4853">
        <v>0</v>
      </c>
      <c r="R4853" t="s">
        <v>4655</v>
      </c>
      <c r="S4853" t="s">
        <v>4655</v>
      </c>
      <c r="T4853" t="s">
        <v>4655</v>
      </c>
      <c r="U4853" t="s">
        <v>4655</v>
      </c>
      <c r="V4853" s="2">
        <v>0</v>
      </c>
      <c r="W4853" t="s">
        <v>4655</v>
      </c>
      <c r="X4853" s="2">
        <v>0</v>
      </c>
      <c r="Y4853">
        <v>11</v>
      </c>
      <c r="Z4853" t="s">
        <v>642</v>
      </c>
      <c r="AA4853" s="3">
        <v>11.8140001296997</v>
      </c>
      <c r="AB4853" t="s">
        <v>24938</v>
      </c>
      <c r="AC4853" t="s">
        <v>4575</v>
      </c>
      <c r="AD4853" t="s">
        <v>24939</v>
      </c>
      <c r="AE4853" t="s">
        <v>4655</v>
      </c>
      <c r="AF4853" t="s">
        <v>4563</v>
      </c>
      <c r="AG4853" t="s">
        <v>4564</v>
      </c>
      <c r="AH4853" t="s">
        <v>416</v>
      </c>
      <c r="AI4853" t="s">
        <v>24940</v>
      </c>
      <c r="AJ4853" t="s">
        <v>25199</v>
      </c>
      <c r="AK4853" t="s">
        <v>25200</v>
      </c>
      <c r="AL4853" s="13" t="s">
        <v>2257</v>
      </c>
      <c r="AM4853">
        <v>0</v>
      </c>
      <c r="AN4853" s="15" t="s">
        <v>3980</v>
      </c>
    </row>
    <row r="4854" spans="1:40" x14ac:dyDescent="0.3">
      <c r="A4854" s="10" t="str">
        <f>HYPERLINK("http://www.washoecounty.gov/assessor/cama/?parid=142-361-03&amp;CardNumber=1","142-361-03")</f>
        <v>142-361-03</v>
      </c>
      <c r="B4854" t="s">
        <v>4655</v>
      </c>
      <c r="C4854" t="s">
        <v>25201</v>
      </c>
      <c r="D4854" s="1">
        <v>40451</v>
      </c>
      <c r="E4854" s="2">
        <v>470000</v>
      </c>
      <c r="F4854" t="s">
        <v>4567</v>
      </c>
      <c r="G4854" s="17" t="str">
        <f>HYPERLINK("https://www.washoecounty.gov/assessor/cama/?command=sales&amp;parid=14236103","3928107")</f>
        <v>3928107</v>
      </c>
      <c r="H4854" t="s">
        <v>3977</v>
      </c>
      <c r="I4854">
        <v>2010</v>
      </c>
      <c r="J4854">
        <v>2010</v>
      </c>
      <c r="K4854" t="s">
        <v>4554</v>
      </c>
      <c r="L4854" t="s">
        <v>4555</v>
      </c>
      <c r="M4854" s="2">
        <v>2913</v>
      </c>
      <c r="N4854" t="s">
        <v>5106</v>
      </c>
      <c r="O4854">
        <v>3</v>
      </c>
      <c r="P4854">
        <v>3</v>
      </c>
      <c r="Q4854">
        <v>1</v>
      </c>
      <c r="R4854" t="s">
        <v>5281</v>
      </c>
      <c r="S4854" t="s">
        <v>4898</v>
      </c>
      <c r="T4854" t="s">
        <v>2704</v>
      </c>
      <c r="U4854" t="s">
        <v>4560</v>
      </c>
      <c r="V4854" s="2">
        <v>663</v>
      </c>
      <c r="W4854" t="s">
        <v>4655</v>
      </c>
      <c r="X4854" s="2">
        <v>0</v>
      </c>
      <c r="Y4854">
        <v>20</v>
      </c>
      <c r="Z4854" t="s">
        <v>642</v>
      </c>
      <c r="AA4854" s="3">
        <v>0.30775940418243403</v>
      </c>
      <c r="AB4854" t="s">
        <v>25202</v>
      </c>
      <c r="AC4854" t="s">
        <v>4575</v>
      </c>
      <c r="AD4854" t="s">
        <v>25203</v>
      </c>
      <c r="AE4854" t="s">
        <v>4655</v>
      </c>
      <c r="AF4854" t="s">
        <v>4563</v>
      </c>
      <c r="AG4854" t="s">
        <v>4564</v>
      </c>
      <c r="AH4854">
        <v>89511</v>
      </c>
      <c r="AI4854" t="s">
        <v>3978</v>
      </c>
      <c r="AJ4854" t="s">
        <v>3979</v>
      </c>
      <c r="AK4854" t="s">
        <v>25204</v>
      </c>
      <c r="AL4854" s="13" t="s">
        <v>2257</v>
      </c>
      <c r="AM4854">
        <v>1</v>
      </c>
      <c r="AN4854" s="15" t="s">
        <v>3980</v>
      </c>
    </row>
    <row r="4855" spans="1:40" x14ac:dyDescent="0.3">
      <c r="A4855" s="10" t="str">
        <f>HYPERLINK("http://www.washoecounty.gov/assessor/cama/?parid=142-361-04&amp;CardNumber=1","142-361-04")</f>
        <v>142-361-04</v>
      </c>
      <c r="B4855" t="s">
        <v>4655</v>
      </c>
      <c r="C4855" t="s">
        <v>25205</v>
      </c>
      <c r="D4855" s="1">
        <v>40487</v>
      </c>
      <c r="E4855" s="2">
        <v>500000</v>
      </c>
      <c r="F4855" t="s">
        <v>4567</v>
      </c>
      <c r="G4855" s="17" t="str">
        <f>HYPERLINK("https://www.washoecounty.gov/assessor/cama/?command=sales&amp;parid=14236104","3940428")</f>
        <v>3940428</v>
      </c>
      <c r="H4855" t="s">
        <v>3977</v>
      </c>
      <c r="I4855">
        <v>2010</v>
      </c>
      <c r="J4855">
        <v>2010</v>
      </c>
      <c r="K4855" t="s">
        <v>4554</v>
      </c>
      <c r="L4855" t="s">
        <v>4555</v>
      </c>
      <c r="M4855" s="2">
        <v>3298</v>
      </c>
      <c r="N4855" t="s">
        <v>5106</v>
      </c>
      <c r="O4855">
        <v>3</v>
      </c>
      <c r="P4855">
        <v>3</v>
      </c>
      <c r="Q4855">
        <v>1</v>
      </c>
      <c r="R4855" t="s">
        <v>5281</v>
      </c>
      <c r="S4855" t="s">
        <v>4898</v>
      </c>
      <c r="T4855" t="s">
        <v>2704</v>
      </c>
      <c r="U4855" t="s">
        <v>4560</v>
      </c>
      <c r="V4855" s="2">
        <v>836</v>
      </c>
      <c r="W4855" t="s">
        <v>4655</v>
      </c>
      <c r="X4855" s="2">
        <v>0</v>
      </c>
      <c r="Y4855">
        <v>20</v>
      </c>
      <c r="Z4855" t="s">
        <v>642</v>
      </c>
      <c r="AA4855" s="3">
        <v>0.33057850599288902</v>
      </c>
      <c r="AB4855" t="s">
        <v>25206</v>
      </c>
      <c r="AC4855" t="s">
        <v>4562</v>
      </c>
      <c r="AD4855" t="s">
        <v>25205</v>
      </c>
      <c r="AE4855" t="s">
        <v>4655</v>
      </c>
      <c r="AF4855" t="s">
        <v>4563</v>
      </c>
      <c r="AG4855" t="s">
        <v>4564</v>
      </c>
      <c r="AH4855">
        <v>89511</v>
      </c>
      <c r="AI4855" t="s">
        <v>3978</v>
      </c>
      <c r="AJ4855" t="s">
        <v>3979</v>
      </c>
      <c r="AK4855" t="s">
        <v>25207</v>
      </c>
      <c r="AL4855" s="13" t="s">
        <v>2257</v>
      </c>
      <c r="AM4855">
        <v>1</v>
      </c>
      <c r="AN4855" s="15" t="s">
        <v>3980</v>
      </c>
    </row>
    <row r="4856" spans="1:40" x14ac:dyDescent="0.3">
      <c r="A4856" s="10" t="str">
        <f>HYPERLINK("http://www.washoecounty.gov/assessor/cama/?parid=142-361-05&amp;CardNumber=1","142-361-05")</f>
        <v>142-361-05</v>
      </c>
      <c r="B4856" t="s">
        <v>4655</v>
      </c>
      <c r="C4856" t="s">
        <v>25208</v>
      </c>
      <c r="D4856" s="1">
        <v>40374</v>
      </c>
      <c r="E4856" s="2">
        <v>475000</v>
      </c>
      <c r="F4856" t="s">
        <v>4567</v>
      </c>
      <c r="G4856" s="17" t="str">
        <f>HYPERLINK("https://www.washoecounty.gov/assessor/cama/?command=sales&amp;parid=14236105","3901726")</f>
        <v>3901726</v>
      </c>
      <c r="H4856" t="s">
        <v>3977</v>
      </c>
      <c r="I4856">
        <v>2010</v>
      </c>
      <c r="J4856">
        <v>2010</v>
      </c>
      <c r="K4856" t="s">
        <v>4554</v>
      </c>
      <c r="L4856" t="s">
        <v>4555</v>
      </c>
      <c r="M4856" s="2">
        <v>2913</v>
      </c>
      <c r="N4856" t="s">
        <v>5106</v>
      </c>
      <c r="O4856">
        <v>3</v>
      </c>
      <c r="P4856">
        <v>3</v>
      </c>
      <c r="Q4856">
        <v>1</v>
      </c>
      <c r="R4856" t="s">
        <v>5281</v>
      </c>
      <c r="S4856" t="s">
        <v>4898</v>
      </c>
      <c r="T4856" t="s">
        <v>2704</v>
      </c>
      <c r="U4856" t="s">
        <v>4560</v>
      </c>
      <c r="V4856" s="2">
        <v>663</v>
      </c>
      <c r="W4856" t="s">
        <v>4655</v>
      </c>
      <c r="X4856" s="2">
        <v>0</v>
      </c>
      <c r="Y4856">
        <v>20</v>
      </c>
      <c r="Z4856" t="s">
        <v>642</v>
      </c>
      <c r="AA4856" s="3">
        <v>0.33057850599288902</v>
      </c>
      <c r="AB4856" t="s">
        <v>25209</v>
      </c>
      <c r="AC4856" t="s">
        <v>4562</v>
      </c>
      <c r="AD4856" t="s">
        <v>25208</v>
      </c>
      <c r="AE4856" t="s">
        <v>4655</v>
      </c>
      <c r="AF4856" t="s">
        <v>4563</v>
      </c>
      <c r="AG4856" t="s">
        <v>4564</v>
      </c>
      <c r="AH4856">
        <v>89511</v>
      </c>
      <c r="AI4856" t="s">
        <v>3978</v>
      </c>
      <c r="AJ4856" t="s">
        <v>3979</v>
      </c>
      <c r="AK4856" t="s">
        <v>25210</v>
      </c>
      <c r="AL4856" s="13" t="s">
        <v>2257</v>
      </c>
      <c r="AM4856">
        <v>0</v>
      </c>
      <c r="AN4856" s="15" t="s">
        <v>3980</v>
      </c>
    </row>
    <row r="4857" spans="1:40" x14ac:dyDescent="0.3">
      <c r="A4857" s="10" t="str">
        <f>HYPERLINK("http://www.washoecounty.gov/assessor/cama/?parid=142-364-03&amp;CardNumber=1","142-364-03")</f>
        <v>142-364-03</v>
      </c>
      <c r="B4857" t="s">
        <v>4655</v>
      </c>
      <c r="C4857" t="s">
        <v>25211</v>
      </c>
      <c r="D4857" s="1">
        <v>40249</v>
      </c>
      <c r="E4857" s="2">
        <v>505000</v>
      </c>
      <c r="F4857" t="s">
        <v>4567</v>
      </c>
      <c r="G4857" s="17" t="str">
        <f>HYPERLINK("https://www.washoecounty.gov/assessor/cama/?command=sales&amp;parid=14236403","3859507")</f>
        <v>3859507</v>
      </c>
      <c r="H4857" t="s">
        <v>3977</v>
      </c>
      <c r="I4857">
        <v>2010</v>
      </c>
      <c r="J4857">
        <v>2010</v>
      </c>
      <c r="K4857" t="s">
        <v>4554</v>
      </c>
      <c r="L4857" t="s">
        <v>4555</v>
      </c>
      <c r="M4857" s="2">
        <v>3298</v>
      </c>
      <c r="N4857" t="s">
        <v>5106</v>
      </c>
      <c r="O4857">
        <v>3</v>
      </c>
      <c r="P4857">
        <v>3</v>
      </c>
      <c r="Q4857">
        <v>1</v>
      </c>
      <c r="R4857" t="s">
        <v>5281</v>
      </c>
      <c r="S4857" t="s">
        <v>4898</v>
      </c>
      <c r="T4857" t="s">
        <v>2704</v>
      </c>
      <c r="U4857" t="s">
        <v>4560</v>
      </c>
      <c r="V4857" s="2">
        <v>836</v>
      </c>
      <c r="W4857" t="s">
        <v>4655</v>
      </c>
      <c r="X4857" s="2">
        <v>0</v>
      </c>
      <c r="Y4857">
        <v>20</v>
      </c>
      <c r="Z4857" t="s">
        <v>642</v>
      </c>
      <c r="AA4857" s="3">
        <v>0.30573922395706199</v>
      </c>
      <c r="AB4857" t="s">
        <v>25212</v>
      </c>
      <c r="AC4857" t="s">
        <v>4575</v>
      </c>
      <c r="AD4857" t="s">
        <v>25211</v>
      </c>
      <c r="AE4857" t="s">
        <v>4655</v>
      </c>
      <c r="AF4857" t="s">
        <v>4563</v>
      </c>
      <c r="AG4857" t="s">
        <v>4564</v>
      </c>
      <c r="AH4857" t="s">
        <v>5197</v>
      </c>
      <c r="AI4857" t="s">
        <v>3978</v>
      </c>
      <c r="AJ4857" t="s">
        <v>3979</v>
      </c>
      <c r="AK4857" t="s">
        <v>25213</v>
      </c>
      <c r="AL4857" s="13" t="s">
        <v>2257</v>
      </c>
      <c r="AM4857" s="14">
        <v>0</v>
      </c>
      <c r="AN4857" s="15" t="s">
        <v>3980</v>
      </c>
    </row>
    <row r="4858" spans="1:40" x14ac:dyDescent="0.3">
      <c r="A4858" s="10" t="str">
        <f>HYPERLINK("http://www.washoecounty.gov/assessor/cama/?parid=142-364-06&amp;CardNumber=1","142-364-06")</f>
        <v>142-364-06</v>
      </c>
      <c r="B4858" t="s">
        <v>4655</v>
      </c>
      <c r="C4858" t="s">
        <v>25214</v>
      </c>
      <c r="D4858" s="1">
        <v>40238</v>
      </c>
      <c r="E4858" s="2">
        <v>495248</v>
      </c>
      <c r="F4858" t="s">
        <v>4567</v>
      </c>
      <c r="G4858" s="17" t="str">
        <f>HYPERLINK("https://www.washoecounty.gov/assessor/cama/?command=sales&amp;parid=14236406","3853758")</f>
        <v>3853758</v>
      </c>
      <c r="H4858" t="s">
        <v>3977</v>
      </c>
      <c r="I4858">
        <v>2010</v>
      </c>
      <c r="J4858">
        <v>2010</v>
      </c>
      <c r="K4858" t="s">
        <v>4554</v>
      </c>
      <c r="L4858" t="s">
        <v>4555</v>
      </c>
      <c r="M4858" s="2">
        <v>2913</v>
      </c>
      <c r="N4858" t="s">
        <v>5106</v>
      </c>
      <c r="O4858">
        <v>3</v>
      </c>
      <c r="P4858">
        <v>3</v>
      </c>
      <c r="Q4858">
        <v>1</v>
      </c>
      <c r="R4858" t="s">
        <v>5281</v>
      </c>
      <c r="S4858" t="s">
        <v>4898</v>
      </c>
      <c r="T4858" t="s">
        <v>2704</v>
      </c>
      <c r="U4858" t="s">
        <v>4560</v>
      </c>
      <c r="V4858" s="2">
        <v>663</v>
      </c>
      <c r="W4858" t="s">
        <v>4655</v>
      </c>
      <c r="X4858" s="2">
        <v>0</v>
      </c>
      <c r="Y4858">
        <v>20</v>
      </c>
      <c r="Z4858" t="s">
        <v>642</v>
      </c>
      <c r="AA4858" s="3">
        <v>0.31724059581756597</v>
      </c>
      <c r="AB4858" t="s">
        <v>25215</v>
      </c>
      <c r="AC4858" t="s">
        <v>4562</v>
      </c>
      <c r="AD4858" t="s">
        <v>25216</v>
      </c>
      <c r="AE4858" t="s">
        <v>4655</v>
      </c>
      <c r="AF4858" t="s">
        <v>4563</v>
      </c>
      <c r="AG4858" t="s">
        <v>4564</v>
      </c>
      <c r="AH4858" t="s">
        <v>5197</v>
      </c>
      <c r="AI4858" t="s">
        <v>3978</v>
      </c>
      <c r="AJ4858" t="s">
        <v>3979</v>
      </c>
      <c r="AK4858" t="s">
        <v>25217</v>
      </c>
      <c r="AL4858" s="13" t="s">
        <v>2257</v>
      </c>
      <c r="AM4858">
        <v>1</v>
      </c>
      <c r="AN4858" s="15" t="s">
        <v>3980</v>
      </c>
    </row>
    <row r="4859" spans="1:40" x14ac:dyDescent="0.3">
      <c r="A4859" s="10" t="str">
        <f>HYPERLINK("http://www.washoecounty.gov/assessor/cama/?parid=142-365-05&amp;CardNumber=1","142-365-05")</f>
        <v>142-365-05</v>
      </c>
      <c r="B4859" t="s">
        <v>4655</v>
      </c>
      <c r="C4859" t="s">
        <v>25218</v>
      </c>
      <c r="D4859" s="1">
        <v>40479</v>
      </c>
      <c r="E4859" s="2">
        <v>552594</v>
      </c>
      <c r="F4859" t="s">
        <v>4567</v>
      </c>
      <c r="G4859" s="17" t="str">
        <f>HYPERLINK("https://www.washoecounty.gov/assessor/cama/?command=sales&amp;parid=14236505","3937745")</f>
        <v>3937745</v>
      </c>
      <c r="H4859" t="s">
        <v>3977</v>
      </c>
      <c r="I4859">
        <v>2011</v>
      </c>
      <c r="J4859">
        <v>2011</v>
      </c>
      <c r="K4859" t="s">
        <v>4554</v>
      </c>
      <c r="L4859" t="s">
        <v>4555</v>
      </c>
      <c r="M4859" s="2">
        <v>3298</v>
      </c>
      <c r="N4859" t="s">
        <v>5106</v>
      </c>
      <c r="O4859">
        <v>3</v>
      </c>
      <c r="P4859">
        <v>3</v>
      </c>
      <c r="Q4859">
        <v>1</v>
      </c>
      <c r="R4859" t="s">
        <v>5281</v>
      </c>
      <c r="S4859" t="s">
        <v>4898</v>
      </c>
      <c r="T4859" t="s">
        <v>2704</v>
      </c>
      <c r="U4859" t="s">
        <v>4560</v>
      </c>
      <c r="V4859" s="2">
        <v>1036</v>
      </c>
      <c r="W4859" t="s">
        <v>4655</v>
      </c>
      <c r="X4859" s="2">
        <v>0</v>
      </c>
      <c r="Y4859">
        <v>20</v>
      </c>
      <c r="Z4859" t="s">
        <v>642</v>
      </c>
      <c r="AA4859" s="3">
        <v>0.362258940935135</v>
      </c>
      <c r="AB4859" t="s">
        <v>25219</v>
      </c>
      <c r="AC4859" t="s">
        <v>4562</v>
      </c>
      <c r="AD4859" t="s">
        <v>25220</v>
      </c>
      <c r="AE4859" t="s">
        <v>4655</v>
      </c>
      <c r="AF4859" t="s">
        <v>4563</v>
      </c>
      <c r="AG4859" t="s">
        <v>4564</v>
      </c>
      <c r="AH4859">
        <v>89511</v>
      </c>
      <c r="AI4859" t="s">
        <v>3978</v>
      </c>
      <c r="AJ4859" t="s">
        <v>3979</v>
      </c>
      <c r="AK4859" t="s">
        <v>25221</v>
      </c>
      <c r="AL4859" s="13" t="s">
        <v>2257</v>
      </c>
      <c r="AM4859">
        <v>1</v>
      </c>
      <c r="AN4859" s="15" t="s">
        <v>3980</v>
      </c>
    </row>
    <row r="4860" spans="1:40" x14ac:dyDescent="0.3">
      <c r="A4860" s="10" t="str">
        <f>HYPERLINK("http://www.washoecounty.gov/assessor/cama/?parid=142-374-01&amp;CardNumber=1","142-374-01")</f>
        <v>142-374-01</v>
      </c>
      <c r="B4860" t="s">
        <v>4655</v>
      </c>
      <c r="C4860" t="s">
        <v>25222</v>
      </c>
      <c r="D4860" s="1">
        <v>40428</v>
      </c>
      <c r="E4860" s="2">
        <v>601000</v>
      </c>
      <c r="F4860" t="s">
        <v>4567</v>
      </c>
      <c r="G4860" s="17" t="str">
        <f>HYPERLINK("https://www.washoecounty.gov/assessor/cama/?command=sales&amp;parid=14237401","3919359")</f>
        <v>3919359</v>
      </c>
      <c r="H4860" t="s">
        <v>3977</v>
      </c>
      <c r="I4860">
        <v>2008</v>
      </c>
      <c r="J4860">
        <v>2008</v>
      </c>
      <c r="K4860" t="s">
        <v>4554</v>
      </c>
      <c r="L4860" t="s">
        <v>3974</v>
      </c>
      <c r="M4860" s="2">
        <v>4359</v>
      </c>
      <c r="N4860" t="s">
        <v>5106</v>
      </c>
      <c r="O4860">
        <v>5</v>
      </c>
      <c r="P4860">
        <v>5</v>
      </c>
      <c r="Q4860">
        <v>1</v>
      </c>
      <c r="R4860" t="s">
        <v>5281</v>
      </c>
      <c r="S4860" t="s">
        <v>4898</v>
      </c>
      <c r="T4860" t="s">
        <v>2704</v>
      </c>
      <c r="U4860" t="s">
        <v>4560</v>
      </c>
      <c r="V4860" s="2">
        <v>770</v>
      </c>
      <c r="W4860" t="s">
        <v>4655</v>
      </c>
      <c r="X4860" s="2">
        <v>0</v>
      </c>
      <c r="Y4860">
        <v>20</v>
      </c>
      <c r="Z4860" t="s">
        <v>642</v>
      </c>
      <c r="AA4860" s="3">
        <v>0.47770890593528698</v>
      </c>
      <c r="AB4860" t="s">
        <v>25223</v>
      </c>
      <c r="AC4860" t="s">
        <v>4575</v>
      </c>
      <c r="AD4860" t="s">
        <v>25224</v>
      </c>
      <c r="AE4860" t="s">
        <v>4655</v>
      </c>
      <c r="AF4860" t="s">
        <v>3114</v>
      </c>
      <c r="AG4860" t="s">
        <v>4564</v>
      </c>
      <c r="AH4860">
        <v>89511</v>
      </c>
      <c r="AI4860" t="s">
        <v>25225</v>
      </c>
      <c r="AJ4860" t="s">
        <v>3979</v>
      </c>
      <c r="AK4860" t="s">
        <v>25226</v>
      </c>
      <c r="AL4860" s="13" t="s">
        <v>2257</v>
      </c>
      <c r="AM4860" s="14">
        <v>1</v>
      </c>
      <c r="AN4860" s="15" t="s">
        <v>3980</v>
      </c>
    </row>
    <row r="4861" spans="1:40" x14ac:dyDescent="0.3">
      <c r="A4861" s="10" t="str">
        <f>HYPERLINK("http://www.washoecounty.gov/assessor/cama/?parid=142-381-01&amp;CardNumber=1","142-381-01")</f>
        <v>142-381-01</v>
      </c>
      <c r="B4861" t="s">
        <v>4655</v>
      </c>
      <c r="C4861" t="s">
        <v>25227</v>
      </c>
      <c r="D4861" s="1">
        <v>40235</v>
      </c>
      <c r="E4861" s="2">
        <v>485000</v>
      </c>
      <c r="F4861" t="s">
        <v>4567</v>
      </c>
      <c r="G4861" s="17" t="str">
        <f>HYPERLINK("https://www.washoecounty.gov/assessor/cama/?command=sales&amp;parid=14238101","3853324")</f>
        <v>3853324</v>
      </c>
      <c r="H4861" t="s">
        <v>3977</v>
      </c>
      <c r="I4861">
        <v>2006</v>
      </c>
      <c r="J4861">
        <v>2006</v>
      </c>
      <c r="K4861" t="s">
        <v>4554</v>
      </c>
      <c r="L4861" t="s">
        <v>4555</v>
      </c>
      <c r="M4861" s="2">
        <v>3298</v>
      </c>
      <c r="N4861" t="s">
        <v>5106</v>
      </c>
      <c r="O4861">
        <v>3</v>
      </c>
      <c r="P4861">
        <v>3</v>
      </c>
      <c r="Q4861">
        <v>1</v>
      </c>
      <c r="R4861" t="s">
        <v>5281</v>
      </c>
      <c r="S4861" t="s">
        <v>4898</v>
      </c>
      <c r="T4861" t="s">
        <v>2704</v>
      </c>
      <c r="U4861" t="s">
        <v>4560</v>
      </c>
      <c r="V4861" s="2">
        <v>836</v>
      </c>
      <c r="W4861" t="s">
        <v>4655</v>
      </c>
      <c r="X4861" s="2">
        <v>0</v>
      </c>
      <c r="Y4861">
        <v>20</v>
      </c>
      <c r="Z4861" t="s">
        <v>642</v>
      </c>
      <c r="AA4861" s="3">
        <v>0.915105581283569</v>
      </c>
      <c r="AB4861" t="s">
        <v>25228</v>
      </c>
      <c r="AC4861" t="s">
        <v>4562</v>
      </c>
      <c r="AD4861" t="s">
        <v>25227</v>
      </c>
      <c r="AE4861" t="s">
        <v>4655</v>
      </c>
      <c r="AF4861" t="s">
        <v>4563</v>
      </c>
      <c r="AG4861" t="s">
        <v>4564</v>
      </c>
      <c r="AH4861">
        <v>89511</v>
      </c>
      <c r="AI4861" t="s">
        <v>25229</v>
      </c>
      <c r="AJ4861" t="s">
        <v>3979</v>
      </c>
      <c r="AK4861" t="s">
        <v>25230</v>
      </c>
      <c r="AL4861" s="13" t="s">
        <v>2257</v>
      </c>
      <c r="AM4861" s="14">
        <v>1</v>
      </c>
      <c r="AN4861" s="15" t="s">
        <v>3980</v>
      </c>
    </row>
    <row r="4862" spans="1:40" x14ac:dyDescent="0.3">
      <c r="A4862" s="10" t="str">
        <f>HYPERLINK("http://www.washoecounty.gov/assessor/cama/?parid=142-441-01&amp;CardNumber=1","142-441-01")</f>
        <v>142-441-01</v>
      </c>
      <c r="B4862" t="s">
        <v>4655</v>
      </c>
      <c r="C4862" t="s">
        <v>25198</v>
      </c>
      <c r="D4862" s="1">
        <v>40541</v>
      </c>
      <c r="E4862" s="2">
        <v>2846590</v>
      </c>
      <c r="F4862" t="s">
        <v>3174</v>
      </c>
      <c r="G4862" s="17" t="str">
        <f>HYPERLINK("https://www.washoecounty.gov/assessor/cama/?command=sales&amp;parid=14244101","3958821")</f>
        <v>3958821</v>
      </c>
      <c r="H4862" t="s">
        <v>25231</v>
      </c>
      <c r="I4862">
        <v>0</v>
      </c>
      <c r="J4862">
        <v>0</v>
      </c>
      <c r="K4862" t="s">
        <v>4655</v>
      </c>
      <c r="L4862" t="s">
        <v>4655</v>
      </c>
      <c r="M4862" s="2">
        <v>0</v>
      </c>
      <c r="N4862" t="s">
        <v>4655</v>
      </c>
      <c r="O4862">
        <v>0</v>
      </c>
      <c r="P4862">
        <v>0</v>
      </c>
      <c r="Q4862">
        <v>0</v>
      </c>
      <c r="R4862" t="s">
        <v>4655</v>
      </c>
      <c r="S4862" t="s">
        <v>4655</v>
      </c>
      <c r="T4862" t="s">
        <v>4655</v>
      </c>
      <c r="U4862" t="s">
        <v>4655</v>
      </c>
      <c r="V4862" s="2">
        <v>0</v>
      </c>
      <c r="W4862" t="s">
        <v>4655</v>
      </c>
      <c r="X4862" s="2">
        <v>0</v>
      </c>
      <c r="Y4862">
        <v>11</v>
      </c>
      <c r="Z4862" t="s">
        <v>11399</v>
      </c>
      <c r="AA4862" s="3">
        <v>0.50798898935317904</v>
      </c>
      <c r="AB4862" t="s">
        <v>24938</v>
      </c>
      <c r="AC4862" t="s">
        <v>4575</v>
      </c>
      <c r="AD4862" t="s">
        <v>24939</v>
      </c>
      <c r="AE4862" t="s">
        <v>4655</v>
      </c>
      <c r="AF4862" t="s">
        <v>4563</v>
      </c>
      <c r="AG4862" t="s">
        <v>4564</v>
      </c>
      <c r="AH4862" t="s">
        <v>416</v>
      </c>
      <c r="AI4862" t="s">
        <v>24940</v>
      </c>
      <c r="AJ4862" t="s">
        <v>25232</v>
      </c>
      <c r="AK4862" t="s">
        <v>25233</v>
      </c>
      <c r="AL4862" s="13" t="s">
        <v>2257</v>
      </c>
      <c r="AM4862">
        <v>0</v>
      </c>
      <c r="AN4862" s="15" t="s">
        <v>3980</v>
      </c>
    </row>
    <row r="4863" spans="1:40" x14ac:dyDescent="0.3">
      <c r="A4863" s="10" t="str">
        <f>HYPERLINK("http://www.washoecounty.gov/assessor/cama/?parid=142-442-01&amp;CardNumber=1","142-442-01")</f>
        <v>142-442-01</v>
      </c>
      <c r="B4863" t="s">
        <v>4655</v>
      </c>
      <c r="C4863" t="s">
        <v>25198</v>
      </c>
      <c r="D4863" s="1">
        <v>40541</v>
      </c>
      <c r="E4863" s="2">
        <v>2846590</v>
      </c>
      <c r="F4863" t="s">
        <v>3174</v>
      </c>
      <c r="G4863" s="17" t="str">
        <f>HYPERLINK("https://www.washoecounty.gov/assessor/cama/?command=sales&amp;parid=14244201","3958821")</f>
        <v>3958821</v>
      </c>
      <c r="H4863" t="s">
        <v>25231</v>
      </c>
      <c r="I4863">
        <v>0</v>
      </c>
      <c r="J4863">
        <v>0</v>
      </c>
      <c r="K4863" t="s">
        <v>4655</v>
      </c>
      <c r="L4863" t="s">
        <v>4655</v>
      </c>
      <c r="M4863" s="2">
        <v>0</v>
      </c>
      <c r="N4863" t="s">
        <v>4655</v>
      </c>
      <c r="O4863">
        <v>0</v>
      </c>
      <c r="P4863">
        <v>0</v>
      </c>
      <c r="Q4863">
        <v>0</v>
      </c>
      <c r="R4863" t="s">
        <v>4655</v>
      </c>
      <c r="S4863" t="s">
        <v>4655</v>
      </c>
      <c r="T4863" t="s">
        <v>4655</v>
      </c>
      <c r="U4863" t="s">
        <v>4655</v>
      </c>
      <c r="V4863" s="2">
        <v>0</v>
      </c>
      <c r="W4863" t="s">
        <v>4655</v>
      </c>
      <c r="X4863" s="2">
        <v>0</v>
      </c>
      <c r="Y4863">
        <v>11</v>
      </c>
      <c r="Z4863" t="s">
        <v>11399</v>
      </c>
      <c r="AA4863" s="3">
        <v>0.32874196767807001</v>
      </c>
      <c r="AB4863" t="s">
        <v>24938</v>
      </c>
      <c r="AC4863" t="s">
        <v>4575</v>
      </c>
      <c r="AD4863" t="s">
        <v>24939</v>
      </c>
      <c r="AE4863" t="s">
        <v>4655</v>
      </c>
      <c r="AF4863" t="s">
        <v>4563</v>
      </c>
      <c r="AG4863" t="s">
        <v>4564</v>
      </c>
      <c r="AH4863" t="s">
        <v>416</v>
      </c>
      <c r="AI4863" t="s">
        <v>24940</v>
      </c>
      <c r="AJ4863" t="s">
        <v>25232</v>
      </c>
      <c r="AK4863" t="s">
        <v>25234</v>
      </c>
      <c r="AL4863" s="13" t="s">
        <v>2257</v>
      </c>
      <c r="AM4863">
        <v>0</v>
      </c>
      <c r="AN4863" s="15" t="s">
        <v>3980</v>
      </c>
    </row>
    <row r="4864" spans="1:40" x14ac:dyDescent="0.3">
      <c r="A4864" s="10" t="str">
        <f>HYPERLINK("http://www.washoecounty.gov/assessor/cama/?parid=142-443-01&amp;CardNumber=1","142-443-01")</f>
        <v>142-443-01</v>
      </c>
      <c r="B4864" t="s">
        <v>4655</v>
      </c>
      <c r="C4864" t="s">
        <v>25235</v>
      </c>
      <c r="D4864" s="1">
        <v>40541</v>
      </c>
      <c r="E4864" s="2">
        <v>2846590</v>
      </c>
      <c r="F4864" t="s">
        <v>3174</v>
      </c>
      <c r="G4864" s="17" t="str">
        <f>HYPERLINK("https://www.washoecounty.gov/assessor/cama/?command=sales&amp;parid=14244301","3958821")</f>
        <v>3958821</v>
      </c>
      <c r="H4864" t="s">
        <v>25231</v>
      </c>
      <c r="I4864">
        <v>0</v>
      </c>
      <c r="J4864">
        <v>0</v>
      </c>
      <c r="K4864" t="s">
        <v>4655</v>
      </c>
      <c r="L4864" t="s">
        <v>4655</v>
      </c>
      <c r="M4864" s="2">
        <v>0</v>
      </c>
      <c r="N4864" t="s">
        <v>4655</v>
      </c>
      <c r="O4864">
        <v>0</v>
      </c>
      <c r="P4864">
        <v>0</v>
      </c>
      <c r="Q4864">
        <v>0</v>
      </c>
      <c r="R4864" t="s">
        <v>4655</v>
      </c>
      <c r="S4864" t="s">
        <v>4655</v>
      </c>
      <c r="T4864" t="s">
        <v>4655</v>
      </c>
      <c r="U4864" t="s">
        <v>4655</v>
      </c>
      <c r="V4864" s="2">
        <v>0</v>
      </c>
      <c r="W4864" t="s">
        <v>4655</v>
      </c>
      <c r="X4864" s="2">
        <v>0</v>
      </c>
      <c r="Y4864">
        <v>11</v>
      </c>
      <c r="Z4864" t="s">
        <v>11399</v>
      </c>
      <c r="AA4864" s="3">
        <v>0.47431129217147799</v>
      </c>
      <c r="AB4864" t="s">
        <v>24938</v>
      </c>
      <c r="AC4864" t="s">
        <v>4575</v>
      </c>
      <c r="AD4864" t="s">
        <v>24939</v>
      </c>
      <c r="AE4864" t="s">
        <v>4655</v>
      </c>
      <c r="AF4864" t="s">
        <v>4563</v>
      </c>
      <c r="AG4864" t="s">
        <v>4564</v>
      </c>
      <c r="AH4864" t="s">
        <v>416</v>
      </c>
      <c r="AI4864" t="s">
        <v>24940</v>
      </c>
      <c r="AJ4864" t="s">
        <v>25236</v>
      </c>
      <c r="AK4864" t="s">
        <v>25237</v>
      </c>
      <c r="AL4864" s="13" t="s">
        <v>2257</v>
      </c>
      <c r="AM4864">
        <v>0</v>
      </c>
      <c r="AN4864" s="15" t="s">
        <v>3980</v>
      </c>
    </row>
    <row r="4865" spans="1:40" x14ac:dyDescent="0.3">
      <c r="A4865" s="10" t="str">
        <f>HYPERLINK("http://www.washoecounty.gov/assessor/cama/?parid=142-443-02&amp;CardNumber=1","142-443-02")</f>
        <v>142-443-02</v>
      </c>
      <c r="B4865" t="s">
        <v>4655</v>
      </c>
      <c r="C4865" t="s">
        <v>25235</v>
      </c>
      <c r="D4865" s="1">
        <v>40541</v>
      </c>
      <c r="E4865" s="2">
        <v>2846590</v>
      </c>
      <c r="F4865" t="s">
        <v>3174</v>
      </c>
      <c r="G4865" s="17" t="str">
        <f>HYPERLINK("https://www.washoecounty.gov/assessor/cama/?command=sales&amp;parid=14244302","3958821")</f>
        <v>3958821</v>
      </c>
      <c r="H4865" t="s">
        <v>25231</v>
      </c>
      <c r="I4865">
        <v>0</v>
      </c>
      <c r="J4865">
        <v>0</v>
      </c>
      <c r="K4865" t="s">
        <v>4655</v>
      </c>
      <c r="L4865" t="s">
        <v>4655</v>
      </c>
      <c r="M4865" s="2">
        <v>0</v>
      </c>
      <c r="N4865" t="s">
        <v>4655</v>
      </c>
      <c r="O4865">
        <v>0</v>
      </c>
      <c r="P4865">
        <v>0</v>
      </c>
      <c r="Q4865">
        <v>0</v>
      </c>
      <c r="R4865" t="s">
        <v>4655</v>
      </c>
      <c r="S4865" t="s">
        <v>4655</v>
      </c>
      <c r="T4865" t="s">
        <v>4655</v>
      </c>
      <c r="U4865" t="s">
        <v>4655</v>
      </c>
      <c r="V4865" s="2">
        <v>0</v>
      </c>
      <c r="W4865" t="s">
        <v>4655</v>
      </c>
      <c r="X4865" s="2">
        <v>0</v>
      </c>
      <c r="Y4865">
        <v>11</v>
      </c>
      <c r="Z4865" t="s">
        <v>11399</v>
      </c>
      <c r="AA4865" s="3">
        <v>0.47293388843536377</v>
      </c>
      <c r="AB4865" t="s">
        <v>24938</v>
      </c>
      <c r="AC4865" t="s">
        <v>4575</v>
      </c>
      <c r="AD4865" t="s">
        <v>24939</v>
      </c>
      <c r="AE4865" t="s">
        <v>4655</v>
      </c>
      <c r="AF4865" t="s">
        <v>4563</v>
      </c>
      <c r="AG4865" t="s">
        <v>4564</v>
      </c>
      <c r="AH4865" t="s">
        <v>416</v>
      </c>
      <c r="AI4865" t="s">
        <v>24940</v>
      </c>
      <c r="AJ4865" t="s">
        <v>25236</v>
      </c>
      <c r="AK4865" t="s">
        <v>25238</v>
      </c>
      <c r="AL4865" s="13" t="s">
        <v>2257</v>
      </c>
      <c r="AM4865">
        <v>0</v>
      </c>
      <c r="AN4865" s="15" t="s">
        <v>3980</v>
      </c>
    </row>
    <row r="4866" spans="1:40" x14ac:dyDescent="0.3">
      <c r="A4866" s="10" t="str">
        <f>HYPERLINK("http://www.washoecounty.gov/assessor/cama/?parid=142-443-03&amp;CardNumber=1","142-443-03")</f>
        <v>142-443-03</v>
      </c>
      <c r="B4866" t="s">
        <v>4655</v>
      </c>
      <c r="C4866" t="s">
        <v>25235</v>
      </c>
      <c r="D4866" s="1">
        <v>40541</v>
      </c>
      <c r="E4866" s="2">
        <v>2846590</v>
      </c>
      <c r="F4866" t="s">
        <v>3174</v>
      </c>
      <c r="G4866" s="17" t="str">
        <f>HYPERLINK("https://www.washoecounty.gov/assessor/cama/?command=sales&amp;parid=14244303","3958821")</f>
        <v>3958821</v>
      </c>
      <c r="H4866" t="s">
        <v>25231</v>
      </c>
      <c r="I4866">
        <v>0</v>
      </c>
      <c r="J4866">
        <v>0</v>
      </c>
      <c r="K4866" t="s">
        <v>4655</v>
      </c>
      <c r="L4866" t="s">
        <v>4655</v>
      </c>
      <c r="M4866" s="2">
        <v>0</v>
      </c>
      <c r="N4866" t="s">
        <v>4655</v>
      </c>
      <c r="O4866">
        <v>0</v>
      </c>
      <c r="P4866">
        <v>0</v>
      </c>
      <c r="Q4866">
        <v>0</v>
      </c>
      <c r="R4866" t="s">
        <v>4655</v>
      </c>
      <c r="S4866" t="s">
        <v>4655</v>
      </c>
      <c r="T4866" t="s">
        <v>4655</v>
      </c>
      <c r="U4866" t="s">
        <v>4655</v>
      </c>
      <c r="V4866" s="2">
        <v>0</v>
      </c>
      <c r="W4866" t="s">
        <v>4655</v>
      </c>
      <c r="X4866" s="2">
        <v>0</v>
      </c>
      <c r="Y4866">
        <v>11</v>
      </c>
      <c r="Z4866" t="s">
        <v>11399</v>
      </c>
      <c r="AA4866" s="3">
        <v>0.48652434349060097</v>
      </c>
      <c r="AB4866" t="s">
        <v>24938</v>
      </c>
      <c r="AC4866" t="s">
        <v>4575</v>
      </c>
      <c r="AD4866" t="s">
        <v>24939</v>
      </c>
      <c r="AE4866" t="s">
        <v>4655</v>
      </c>
      <c r="AF4866" t="s">
        <v>4563</v>
      </c>
      <c r="AG4866" t="s">
        <v>4564</v>
      </c>
      <c r="AH4866" t="s">
        <v>416</v>
      </c>
      <c r="AI4866" t="s">
        <v>24940</v>
      </c>
      <c r="AJ4866" t="s">
        <v>25236</v>
      </c>
      <c r="AK4866" t="s">
        <v>25239</v>
      </c>
      <c r="AL4866" s="13" t="s">
        <v>2257</v>
      </c>
      <c r="AM4866">
        <v>0</v>
      </c>
      <c r="AN4866" s="15" t="s">
        <v>3980</v>
      </c>
    </row>
    <row r="4867" spans="1:40" x14ac:dyDescent="0.3">
      <c r="A4867" s="10" t="str">
        <f>HYPERLINK("http://www.washoecounty.gov/assessor/cama/?parid=143-040-03&amp;CardNumber=1","143-040-03")</f>
        <v>143-040-03</v>
      </c>
      <c r="B4867" t="s">
        <v>4655</v>
      </c>
      <c r="C4867" t="s">
        <v>25240</v>
      </c>
      <c r="D4867" s="1">
        <v>40451</v>
      </c>
      <c r="E4867" s="2">
        <v>260000</v>
      </c>
      <c r="F4867" t="s">
        <v>4567</v>
      </c>
      <c r="G4867" s="17" t="str">
        <f>HYPERLINK("https://www.washoecounty.gov/assessor/cama/?command=sales&amp;parid=14304003","3928297")</f>
        <v>3928297</v>
      </c>
      <c r="H4867" t="s">
        <v>5279</v>
      </c>
      <c r="I4867">
        <v>1982</v>
      </c>
      <c r="J4867">
        <v>1982</v>
      </c>
      <c r="K4867" t="s">
        <v>4554</v>
      </c>
      <c r="L4867" t="s">
        <v>4555</v>
      </c>
      <c r="M4867" s="2">
        <v>2288</v>
      </c>
      <c r="N4867" t="s">
        <v>3147</v>
      </c>
      <c r="O4867">
        <v>3</v>
      </c>
      <c r="P4867">
        <v>3</v>
      </c>
      <c r="Q4867">
        <v>0</v>
      </c>
      <c r="R4867" t="s">
        <v>2015</v>
      </c>
      <c r="S4867" t="s">
        <v>4135</v>
      </c>
      <c r="T4867" t="s">
        <v>4143</v>
      </c>
      <c r="U4867" t="s">
        <v>4560</v>
      </c>
      <c r="V4867" s="2">
        <v>962</v>
      </c>
      <c r="W4867" t="s">
        <v>3149</v>
      </c>
      <c r="X4867" s="2">
        <v>2288</v>
      </c>
      <c r="Y4867">
        <v>20</v>
      </c>
      <c r="Z4867" t="s">
        <v>1776</v>
      </c>
      <c r="AA4867" s="3">
        <v>1</v>
      </c>
      <c r="AB4867" t="s">
        <v>25241</v>
      </c>
      <c r="AC4867" t="s">
        <v>4562</v>
      </c>
      <c r="AD4867" t="s">
        <v>25242</v>
      </c>
      <c r="AE4867" t="s">
        <v>10677</v>
      </c>
      <c r="AF4867" t="s">
        <v>5201</v>
      </c>
      <c r="AG4867" t="s">
        <v>4564</v>
      </c>
      <c r="AH4867" t="s">
        <v>5202</v>
      </c>
      <c r="AI4867" t="s">
        <v>25243</v>
      </c>
      <c r="AJ4867" t="s">
        <v>25244</v>
      </c>
      <c r="AK4867" t="s">
        <v>25245</v>
      </c>
      <c r="AL4867" s="13" t="s">
        <v>1889</v>
      </c>
      <c r="AM4867">
        <v>1</v>
      </c>
      <c r="AN4867" s="15" t="s">
        <v>10681</v>
      </c>
    </row>
    <row r="4868" spans="1:40" x14ac:dyDescent="0.3">
      <c r="A4868" s="10" t="str">
        <f>HYPERLINK("http://www.washoecounty.gov/assessor/cama/?parid=143-061-28&amp;CardNumber=1","143-061-28")</f>
        <v>143-061-28</v>
      </c>
      <c r="B4868" t="s">
        <v>4655</v>
      </c>
      <c r="C4868" t="s">
        <v>25246</v>
      </c>
      <c r="D4868" s="1">
        <v>40182</v>
      </c>
      <c r="E4868" s="2">
        <v>270000</v>
      </c>
      <c r="F4868" t="s">
        <v>4567</v>
      </c>
      <c r="G4868" s="17" t="str">
        <f>HYPERLINK("https://www.washoecounty.gov/assessor/cama/?command=sales&amp;parid=14306128","3836073")</f>
        <v>3836073</v>
      </c>
      <c r="H4868" t="s">
        <v>3875</v>
      </c>
      <c r="I4868">
        <v>2008</v>
      </c>
      <c r="J4868">
        <v>2008</v>
      </c>
      <c r="K4868" t="s">
        <v>4554</v>
      </c>
      <c r="L4868" t="s">
        <v>4555</v>
      </c>
      <c r="M4868" s="2">
        <v>2291</v>
      </c>
      <c r="N4868" t="s">
        <v>3147</v>
      </c>
      <c r="O4868">
        <v>4</v>
      </c>
      <c r="P4868">
        <v>2</v>
      </c>
      <c r="Q4868">
        <v>1</v>
      </c>
      <c r="R4868" t="s">
        <v>5281</v>
      </c>
      <c r="S4868" t="s">
        <v>4898</v>
      </c>
      <c r="T4868" t="s">
        <v>2704</v>
      </c>
      <c r="U4868" t="s">
        <v>4560</v>
      </c>
      <c r="V4868" s="2">
        <v>445</v>
      </c>
      <c r="W4868" t="s">
        <v>4655</v>
      </c>
      <c r="X4868" s="2">
        <v>0</v>
      </c>
      <c r="Y4868">
        <v>20</v>
      </c>
      <c r="Z4868" t="s">
        <v>5107</v>
      </c>
      <c r="AA4868" s="3">
        <v>0.192240580916405</v>
      </c>
      <c r="AB4868" t="s">
        <v>24389</v>
      </c>
      <c r="AC4868" t="s">
        <v>4575</v>
      </c>
      <c r="AD4868" t="s">
        <v>24390</v>
      </c>
      <c r="AE4868" t="s">
        <v>4655</v>
      </c>
      <c r="AF4868" t="s">
        <v>3876</v>
      </c>
      <c r="AG4868" t="s">
        <v>4564</v>
      </c>
      <c r="AH4868" t="s">
        <v>3877</v>
      </c>
      <c r="AI4868" t="s">
        <v>24391</v>
      </c>
      <c r="AJ4868" t="s">
        <v>3878</v>
      </c>
      <c r="AK4868" t="s">
        <v>25247</v>
      </c>
      <c r="AL4868" s="13" t="s">
        <v>2257</v>
      </c>
      <c r="AM4868" s="14">
        <v>1</v>
      </c>
      <c r="AN4868" s="15" t="s">
        <v>3879</v>
      </c>
    </row>
    <row r="4869" spans="1:40" x14ac:dyDescent="0.3">
      <c r="A4869" s="10" t="str">
        <f>HYPERLINK("http://www.washoecounty.gov/assessor/cama/?parid=143-073-04&amp;CardNumber=1","143-073-04")</f>
        <v>143-073-04</v>
      </c>
      <c r="B4869" t="s">
        <v>4655</v>
      </c>
      <c r="C4869" t="s">
        <v>25248</v>
      </c>
      <c r="D4869" s="1">
        <v>40430</v>
      </c>
      <c r="E4869" s="2">
        <v>295000</v>
      </c>
      <c r="F4869" t="s">
        <v>4567</v>
      </c>
      <c r="G4869" s="17" t="str">
        <f>HYPERLINK("https://www.washoecounty.gov/assessor/cama/?command=sales&amp;parid=14307304","3920674")</f>
        <v>3920674</v>
      </c>
      <c r="H4869" t="s">
        <v>3875</v>
      </c>
      <c r="I4869">
        <v>2006</v>
      </c>
      <c r="J4869">
        <v>2006</v>
      </c>
      <c r="K4869" t="s">
        <v>4554</v>
      </c>
      <c r="L4869" t="s">
        <v>3974</v>
      </c>
      <c r="M4869" s="2">
        <v>2927</v>
      </c>
      <c r="N4869" t="s">
        <v>3147</v>
      </c>
      <c r="O4869">
        <v>4</v>
      </c>
      <c r="P4869">
        <v>2</v>
      </c>
      <c r="Q4869">
        <v>1</v>
      </c>
      <c r="R4869" t="s">
        <v>5281</v>
      </c>
      <c r="S4869" t="s">
        <v>4898</v>
      </c>
      <c r="T4869" t="s">
        <v>2704</v>
      </c>
      <c r="U4869" t="s">
        <v>4560</v>
      </c>
      <c r="V4869" s="2">
        <v>707</v>
      </c>
      <c r="W4869" t="s">
        <v>4655</v>
      </c>
      <c r="X4869" s="2">
        <v>0</v>
      </c>
      <c r="Y4869">
        <v>20</v>
      </c>
      <c r="Z4869" t="s">
        <v>5107</v>
      </c>
      <c r="AA4869" s="3">
        <v>0.14015151560306499</v>
      </c>
      <c r="AB4869" t="s">
        <v>25249</v>
      </c>
      <c r="AC4869" t="s">
        <v>4562</v>
      </c>
      <c r="AD4869" t="s">
        <v>25248</v>
      </c>
      <c r="AE4869" t="s">
        <v>4655</v>
      </c>
      <c r="AF4869" t="s">
        <v>4563</v>
      </c>
      <c r="AG4869" t="s">
        <v>4564</v>
      </c>
      <c r="AH4869" t="s">
        <v>5197</v>
      </c>
      <c r="AI4869" t="s">
        <v>25250</v>
      </c>
      <c r="AJ4869" t="s">
        <v>3878</v>
      </c>
      <c r="AK4869" t="s">
        <v>25251</v>
      </c>
      <c r="AL4869" s="13" t="s">
        <v>2257</v>
      </c>
      <c r="AM4869" s="14">
        <v>1</v>
      </c>
      <c r="AN4869" s="15" t="s">
        <v>3879</v>
      </c>
    </row>
    <row r="4870" spans="1:40" x14ac:dyDescent="0.3">
      <c r="A4870" s="10" t="str">
        <f>HYPERLINK("http://www.washoecounty.gov/assessor/cama/?parid=143-091-01&amp;CardNumber=1","143-091-01")</f>
        <v>143-091-01</v>
      </c>
      <c r="B4870" t="s">
        <v>4655</v>
      </c>
      <c r="C4870" t="s">
        <v>25252</v>
      </c>
      <c r="D4870" s="1">
        <v>40318</v>
      </c>
      <c r="E4870" s="2">
        <v>201530</v>
      </c>
      <c r="F4870" t="s">
        <v>4567</v>
      </c>
      <c r="G4870" s="17" t="str">
        <f>HYPERLINK("https://www.washoecounty.gov/assessor/cama/?command=sales&amp;parid=14309101","3883335")</f>
        <v>3883335</v>
      </c>
      <c r="H4870" t="s">
        <v>3880</v>
      </c>
      <c r="I4870">
        <v>2010</v>
      </c>
      <c r="J4870">
        <v>2010</v>
      </c>
      <c r="K4870" t="s">
        <v>4554</v>
      </c>
      <c r="L4870" t="s">
        <v>4555</v>
      </c>
      <c r="M4870" s="2">
        <v>1455</v>
      </c>
      <c r="N4870" t="s">
        <v>3147</v>
      </c>
      <c r="O4870">
        <v>3</v>
      </c>
      <c r="P4870">
        <v>2</v>
      </c>
      <c r="Q4870">
        <v>0</v>
      </c>
      <c r="R4870" t="s">
        <v>5281</v>
      </c>
      <c r="S4870" t="s">
        <v>4898</v>
      </c>
      <c r="T4870" t="s">
        <v>2704</v>
      </c>
      <c r="U4870" t="s">
        <v>4560</v>
      </c>
      <c r="V4870" s="2">
        <v>420</v>
      </c>
      <c r="W4870" t="s">
        <v>4655</v>
      </c>
      <c r="X4870" s="2">
        <v>0</v>
      </c>
      <c r="Y4870">
        <v>20</v>
      </c>
      <c r="Z4870" t="s">
        <v>4561</v>
      </c>
      <c r="AA4870" s="3">
        <v>0.16547290980815901</v>
      </c>
      <c r="AB4870" t="s">
        <v>25253</v>
      </c>
      <c r="AC4870" t="s">
        <v>4562</v>
      </c>
      <c r="AD4870" t="s">
        <v>25252</v>
      </c>
      <c r="AE4870" t="s">
        <v>4655</v>
      </c>
      <c r="AF4870" t="s">
        <v>4563</v>
      </c>
      <c r="AG4870" t="s">
        <v>4564</v>
      </c>
      <c r="AH4870" t="s">
        <v>5197</v>
      </c>
      <c r="AI4870" t="s">
        <v>3881</v>
      </c>
      <c r="AJ4870" t="s">
        <v>3882</v>
      </c>
      <c r="AK4870" t="s">
        <v>25254</v>
      </c>
      <c r="AL4870" s="13" t="s">
        <v>2255</v>
      </c>
      <c r="AM4870">
        <v>1</v>
      </c>
      <c r="AN4870" s="15" t="s">
        <v>3879</v>
      </c>
    </row>
    <row r="4871" spans="1:40" x14ac:dyDescent="0.3">
      <c r="A4871" s="10" t="str">
        <f>HYPERLINK("http://www.washoecounty.gov/assessor/cama/?parid=143-091-02&amp;CardNumber=1","143-091-02")</f>
        <v>143-091-02</v>
      </c>
      <c r="B4871" t="s">
        <v>4655</v>
      </c>
      <c r="C4871" t="s">
        <v>25255</v>
      </c>
      <c r="D4871" s="1">
        <v>40312</v>
      </c>
      <c r="E4871" s="2">
        <v>185000</v>
      </c>
      <c r="F4871" t="s">
        <v>4567</v>
      </c>
      <c r="G4871" s="17" t="str">
        <f>HYPERLINK("https://www.washoecounty.gov/assessor/cama/?command=sales&amp;parid=14309102","3881559")</f>
        <v>3881559</v>
      </c>
      <c r="H4871" t="s">
        <v>3880</v>
      </c>
      <c r="I4871">
        <v>2010</v>
      </c>
      <c r="J4871">
        <v>2010</v>
      </c>
      <c r="K4871" t="s">
        <v>4554</v>
      </c>
      <c r="L4871" t="s">
        <v>4555</v>
      </c>
      <c r="M4871" s="2">
        <v>1455</v>
      </c>
      <c r="N4871" t="s">
        <v>3147</v>
      </c>
      <c r="O4871">
        <v>3</v>
      </c>
      <c r="P4871">
        <v>2</v>
      </c>
      <c r="Q4871">
        <v>0</v>
      </c>
      <c r="R4871" t="s">
        <v>5281</v>
      </c>
      <c r="S4871" t="s">
        <v>4898</v>
      </c>
      <c r="T4871" t="s">
        <v>2704</v>
      </c>
      <c r="U4871" t="s">
        <v>4560</v>
      </c>
      <c r="V4871" s="2">
        <v>420</v>
      </c>
      <c r="W4871" t="s">
        <v>4655</v>
      </c>
      <c r="X4871" s="2">
        <v>0</v>
      </c>
      <c r="Y4871">
        <v>20</v>
      </c>
      <c r="Z4871" t="s">
        <v>4561</v>
      </c>
      <c r="AA4871" s="3">
        <v>0.16923783719539642</v>
      </c>
      <c r="AB4871" t="s">
        <v>25256</v>
      </c>
      <c r="AC4871" t="s">
        <v>4562</v>
      </c>
      <c r="AD4871" t="s">
        <v>25255</v>
      </c>
      <c r="AE4871" t="s">
        <v>4655</v>
      </c>
      <c r="AF4871" t="s">
        <v>4563</v>
      </c>
      <c r="AG4871" t="s">
        <v>4564</v>
      </c>
      <c r="AH4871" t="s">
        <v>5197</v>
      </c>
      <c r="AI4871" t="s">
        <v>3881</v>
      </c>
      <c r="AJ4871" t="s">
        <v>3882</v>
      </c>
      <c r="AK4871" t="s">
        <v>25257</v>
      </c>
      <c r="AL4871" s="13" t="s">
        <v>2255</v>
      </c>
      <c r="AM4871">
        <v>1</v>
      </c>
      <c r="AN4871" s="15" t="s">
        <v>3879</v>
      </c>
    </row>
    <row r="4872" spans="1:40" x14ac:dyDescent="0.3">
      <c r="A4872" s="10" t="str">
        <f>HYPERLINK("http://www.washoecounty.gov/assessor/cama/?parid=143-091-03&amp;CardNumber=1","143-091-03")</f>
        <v>143-091-03</v>
      </c>
      <c r="B4872" t="s">
        <v>4655</v>
      </c>
      <c r="C4872" t="s">
        <v>25258</v>
      </c>
      <c r="D4872" s="1">
        <v>40294</v>
      </c>
      <c r="E4872" s="2">
        <v>188677</v>
      </c>
      <c r="F4872" t="s">
        <v>4567</v>
      </c>
      <c r="G4872" s="17" t="str">
        <f>HYPERLINK("https://www.washoecounty.gov/assessor/cama/?command=sales&amp;parid=14309103","3874678")</f>
        <v>3874678</v>
      </c>
      <c r="H4872" t="s">
        <v>3880</v>
      </c>
      <c r="I4872">
        <v>2010</v>
      </c>
      <c r="J4872">
        <v>2010</v>
      </c>
      <c r="K4872" t="s">
        <v>4554</v>
      </c>
      <c r="L4872" t="s">
        <v>4555</v>
      </c>
      <c r="M4872" s="2">
        <v>1323</v>
      </c>
      <c r="N4872" t="s">
        <v>3147</v>
      </c>
      <c r="O4872">
        <v>3</v>
      </c>
      <c r="P4872">
        <v>2</v>
      </c>
      <c r="Q4872">
        <v>0</v>
      </c>
      <c r="R4872" t="s">
        <v>5281</v>
      </c>
      <c r="S4872" t="s">
        <v>4898</v>
      </c>
      <c r="T4872" t="s">
        <v>2704</v>
      </c>
      <c r="U4872" t="s">
        <v>4560</v>
      </c>
      <c r="V4872" s="2">
        <v>424</v>
      </c>
      <c r="W4872" t="s">
        <v>4655</v>
      </c>
      <c r="X4872" s="2">
        <v>0</v>
      </c>
      <c r="Y4872">
        <v>20</v>
      </c>
      <c r="Z4872" t="s">
        <v>4561</v>
      </c>
      <c r="AA4872" s="3">
        <v>0.17011019587516801</v>
      </c>
      <c r="AB4872" t="s">
        <v>25259</v>
      </c>
      <c r="AC4872" t="s">
        <v>4562</v>
      </c>
      <c r="AD4872" t="s">
        <v>25258</v>
      </c>
      <c r="AE4872" t="s">
        <v>4655</v>
      </c>
      <c r="AF4872" t="s">
        <v>4563</v>
      </c>
      <c r="AG4872" t="s">
        <v>4564</v>
      </c>
      <c r="AH4872" t="s">
        <v>5197</v>
      </c>
      <c r="AI4872" t="s">
        <v>3881</v>
      </c>
      <c r="AJ4872" t="s">
        <v>3882</v>
      </c>
      <c r="AK4872" t="s">
        <v>25260</v>
      </c>
      <c r="AL4872" s="13" t="s">
        <v>2255</v>
      </c>
      <c r="AM4872">
        <v>1</v>
      </c>
      <c r="AN4872" s="15" t="s">
        <v>3879</v>
      </c>
    </row>
    <row r="4873" spans="1:40" x14ac:dyDescent="0.3">
      <c r="A4873" s="10" t="str">
        <f>HYPERLINK("http://www.washoecounty.gov/assessor/cama/?parid=143-091-04&amp;CardNumber=1","143-091-04")</f>
        <v>143-091-04</v>
      </c>
      <c r="B4873" t="s">
        <v>4655</v>
      </c>
      <c r="C4873" t="s">
        <v>25261</v>
      </c>
      <c r="D4873" s="1">
        <v>40326</v>
      </c>
      <c r="E4873" s="2">
        <v>246000</v>
      </c>
      <c r="F4873" t="s">
        <v>4567</v>
      </c>
      <c r="G4873" s="17" t="str">
        <f>HYPERLINK("https://www.washoecounty.gov/assessor/cama/?command=sales&amp;parid=14309104","3886746")</f>
        <v>3886746</v>
      </c>
      <c r="H4873" t="s">
        <v>3880</v>
      </c>
      <c r="I4873">
        <v>2007</v>
      </c>
      <c r="J4873">
        <v>2007</v>
      </c>
      <c r="K4873" t="s">
        <v>4554</v>
      </c>
      <c r="L4873" t="s">
        <v>4555</v>
      </c>
      <c r="M4873" s="2">
        <v>1837</v>
      </c>
      <c r="N4873" t="s">
        <v>3147</v>
      </c>
      <c r="O4873">
        <v>3</v>
      </c>
      <c r="P4873">
        <v>2</v>
      </c>
      <c r="Q4873">
        <v>0</v>
      </c>
      <c r="R4873" t="s">
        <v>5281</v>
      </c>
      <c r="S4873" t="s">
        <v>4898</v>
      </c>
      <c r="T4873" t="s">
        <v>2704</v>
      </c>
      <c r="U4873" t="s">
        <v>4560</v>
      </c>
      <c r="V4873" s="2">
        <v>420</v>
      </c>
      <c r="W4873" t="s">
        <v>4655</v>
      </c>
      <c r="X4873" s="2">
        <v>0</v>
      </c>
      <c r="Y4873">
        <v>20</v>
      </c>
      <c r="Z4873" t="s">
        <v>4561</v>
      </c>
      <c r="AA4873" s="3">
        <v>0.17011019587516801</v>
      </c>
      <c r="AB4873" t="s">
        <v>25262</v>
      </c>
      <c r="AC4873" t="s">
        <v>4575</v>
      </c>
      <c r="AD4873" t="s">
        <v>25263</v>
      </c>
      <c r="AE4873" t="s">
        <v>4655</v>
      </c>
      <c r="AF4873" t="s">
        <v>4563</v>
      </c>
      <c r="AG4873" t="s">
        <v>4564</v>
      </c>
      <c r="AH4873">
        <v>89511</v>
      </c>
      <c r="AI4873" t="s">
        <v>25264</v>
      </c>
      <c r="AJ4873" t="s">
        <v>3882</v>
      </c>
      <c r="AK4873" t="s">
        <v>25265</v>
      </c>
      <c r="AL4873" s="13" t="s">
        <v>2255</v>
      </c>
      <c r="AM4873">
        <v>1</v>
      </c>
      <c r="AN4873" s="15" t="s">
        <v>3879</v>
      </c>
    </row>
    <row r="4874" spans="1:40" x14ac:dyDescent="0.3">
      <c r="A4874" s="10" t="str">
        <f>HYPERLINK("http://www.washoecounty.gov/assessor/cama/?parid=143-091-05&amp;CardNumber=1","143-091-05")</f>
        <v>143-091-05</v>
      </c>
      <c r="B4874" t="s">
        <v>4655</v>
      </c>
      <c r="C4874" t="s">
        <v>25266</v>
      </c>
      <c r="D4874" s="1">
        <v>40354</v>
      </c>
      <c r="E4874" s="2">
        <v>259000</v>
      </c>
      <c r="F4874" t="s">
        <v>4567</v>
      </c>
      <c r="G4874" s="17" t="str">
        <f>HYPERLINK("https://www.washoecounty.gov/assessor/cama/?command=sales&amp;parid=14309105","3895435")</f>
        <v>3895435</v>
      </c>
      <c r="H4874" t="s">
        <v>3880</v>
      </c>
      <c r="I4874">
        <v>2007</v>
      </c>
      <c r="J4874">
        <v>2007</v>
      </c>
      <c r="K4874" t="s">
        <v>4554</v>
      </c>
      <c r="L4874" t="s">
        <v>3974</v>
      </c>
      <c r="M4874" s="2">
        <v>2523</v>
      </c>
      <c r="N4874" t="s">
        <v>3147</v>
      </c>
      <c r="O4874">
        <v>3</v>
      </c>
      <c r="P4874">
        <v>2</v>
      </c>
      <c r="Q4874">
        <v>1</v>
      </c>
      <c r="R4874" t="s">
        <v>5281</v>
      </c>
      <c r="S4874" t="s">
        <v>4898</v>
      </c>
      <c r="T4874" t="s">
        <v>2704</v>
      </c>
      <c r="U4874" t="s">
        <v>5631</v>
      </c>
      <c r="V4874" s="2">
        <v>406</v>
      </c>
      <c r="W4874" t="s">
        <v>4655</v>
      </c>
      <c r="X4874" s="2">
        <v>0</v>
      </c>
      <c r="Y4874">
        <v>20</v>
      </c>
      <c r="Z4874" t="s">
        <v>4561</v>
      </c>
      <c r="AA4874" s="3">
        <v>0.17011019587516801</v>
      </c>
      <c r="AB4874" t="s">
        <v>25267</v>
      </c>
      <c r="AC4874" t="s">
        <v>4562</v>
      </c>
      <c r="AD4874" t="s">
        <v>1031</v>
      </c>
      <c r="AE4874" t="s">
        <v>4655</v>
      </c>
      <c r="AF4874" t="s">
        <v>4563</v>
      </c>
      <c r="AG4874" t="s">
        <v>4564</v>
      </c>
      <c r="AH4874" t="s">
        <v>5197</v>
      </c>
      <c r="AI4874" t="s">
        <v>25268</v>
      </c>
      <c r="AJ4874" t="s">
        <v>3882</v>
      </c>
      <c r="AK4874" t="s">
        <v>25269</v>
      </c>
      <c r="AL4874" s="13" t="s">
        <v>2255</v>
      </c>
      <c r="AM4874" s="14">
        <v>1</v>
      </c>
      <c r="AN4874" s="15" t="s">
        <v>3879</v>
      </c>
    </row>
    <row r="4875" spans="1:40" x14ac:dyDescent="0.3">
      <c r="A4875" s="10" t="str">
        <f>HYPERLINK("http://www.washoecounty.gov/assessor/cama/?parid=143-091-06&amp;CardNumber=1","143-091-06")</f>
        <v>143-091-06</v>
      </c>
      <c r="B4875" t="s">
        <v>4655</v>
      </c>
      <c r="C4875" t="s">
        <v>25270</v>
      </c>
      <c r="D4875" s="1">
        <v>40452</v>
      </c>
      <c r="E4875" s="2">
        <v>260000</v>
      </c>
      <c r="F4875" t="s">
        <v>4567</v>
      </c>
      <c r="G4875" s="17" t="str">
        <f>HYPERLINK("https://www.washoecounty.gov/assessor/cama/?command=sales&amp;parid=14309106","3928617")</f>
        <v>3928617</v>
      </c>
      <c r="H4875" t="s">
        <v>3880</v>
      </c>
      <c r="I4875">
        <v>2007</v>
      </c>
      <c r="J4875">
        <v>2007</v>
      </c>
      <c r="K4875" t="s">
        <v>4554</v>
      </c>
      <c r="L4875" t="s">
        <v>3974</v>
      </c>
      <c r="M4875" s="2">
        <v>2633</v>
      </c>
      <c r="N4875" t="s">
        <v>3147</v>
      </c>
      <c r="O4875">
        <v>3</v>
      </c>
      <c r="P4875">
        <v>2</v>
      </c>
      <c r="Q4875">
        <v>1</v>
      </c>
      <c r="R4875" t="s">
        <v>5281</v>
      </c>
      <c r="S4875" t="s">
        <v>4898</v>
      </c>
      <c r="T4875" t="s">
        <v>2704</v>
      </c>
      <c r="U4875" t="s">
        <v>4560</v>
      </c>
      <c r="V4875" s="2">
        <v>404</v>
      </c>
      <c r="W4875" t="s">
        <v>4655</v>
      </c>
      <c r="X4875" s="2">
        <v>0</v>
      </c>
      <c r="Y4875">
        <v>20</v>
      </c>
      <c r="Z4875" t="s">
        <v>4561</v>
      </c>
      <c r="AA4875" s="3">
        <v>0.17011019587516801</v>
      </c>
      <c r="AB4875" t="s">
        <v>25271</v>
      </c>
      <c r="AC4875" t="s">
        <v>4562</v>
      </c>
      <c r="AD4875" t="s">
        <v>25270</v>
      </c>
      <c r="AE4875" t="s">
        <v>4655</v>
      </c>
      <c r="AF4875" t="s">
        <v>4563</v>
      </c>
      <c r="AG4875" t="s">
        <v>4564</v>
      </c>
      <c r="AH4875" t="s">
        <v>5197</v>
      </c>
      <c r="AI4875" t="s">
        <v>25268</v>
      </c>
      <c r="AJ4875" t="s">
        <v>3882</v>
      </c>
      <c r="AK4875" t="s">
        <v>25272</v>
      </c>
      <c r="AL4875" s="13" t="s">
        <v>2255</v>
      </c>
      <c r="AM4875">
        <v>1</v>
      </c>
      <c r="AN4875" s="15" t="s">
        <v>3879</v>
      </c>
    </row>
    <row r="4876" spans="1:40" x14ac:dyDescent="0.3">
      <c r="A4876" s="10" t="str">
        <f>HYPERLINK("http://www.washoecounty.gov/assessor/cama/?parid=143-091-07&amp;CardNumber=1","143-091-07")</f>
        <v>143-091-07</v>
      </c>
      <c r="B4876" t="s">
        <v>4655</v>
      </c>
      <c r="C4876" t="s">
        <v>25273</v>
      </c>
      <c r="D4876" s="1">
        <v>40326</v>
      </c>
      <c r="E4876" s="2">
        <v>290000</v>
      </c>
      <c r="F4876" t="s">
        <v>4567</v>
      </c>
      <c r="G4876" s="17" t="str">
        <f>HYPERLINK("https://www.washoecounty.gov/assessor/cama/?command=sales&amp;parid=14309107","3886709")</f>
        <v>3886709</v>
      </c>
      <c r="H4876" t="s">
        <v>3880</v>
      </c>
      <c r="I4876">
        <v>2007</v>
      </c>
      <c r="J4876">
        <v>2007</v>
      </c>
      <c r="K4876" t="s">
        <v>4554</v>
      </c>
      <c r="L4876" t="s">
        <v>3974</v>
      </c>
      <c r="M4876" s="2">
        <v>3171</v>
      </c>
      <c r="N4876" t="s">
        <v>3147</v>
      </c>
      <c r="O4876">
        <v>5</v>
      </c>
      <c r="P4876">
        <v>4</v>
      </c>
      <c r="Q4876">
        <v>0</v>
      </c>
      <c r="R4876" t="s">
        <v>5281</v>
      </c>
      <c r="S4876" t="s">
        <v>4898</v>
      </c>
      <c r="T4876" t="s">
        <v>2704</v>
      </c>
      <c r="U4876" t="s">
        <v>5631</v>
      </c>
      <c r="V4876" s="2">
        <v>783</v>
      </c>
      <c r="W4876" t="s">
        <v>4655</v>
      </c>
      <c r="X4876" s="2">
        <v>0</v>
      </c>
      <c r="Y4876">
        <v>20</v>
      </c>
      <c r="Z4876" t="s">
        <v>4561</v>
      </c>
      <c r="AA4876" s="3">
        <v>0.17011019587516801</v>
      </c>
      <c r="AB4876" t="s">
        <v>25274</v>
      </c>
      <c r="AC4876" t="s">
        <v>4562</v>
      </c>
      <c r="AD4876" t="s">
        <v>25273</v>
      </c>
      <c r="AE4876" t="s">
        <v>4655</v>
      </c>
      <c r="AF4876" t="s">
        <v>4563</v>
      </c>
      <c r="AG4876" t="s">
        <v>4564</v>
      </c>
      <c r="AH4876" t="s">
        <v>5197</v>
      </c>
      <c r="AI4876" t="s">
        <v>25268</v>
      </c>
      <c r="AJ4876" t="s">
        <v>3882</v>
      </c>
      <c r="AK4876" t="s">
        <v>25275</v>
      </c>
      <c r="AL4876" s="13" t="s">
        <v>2255</v>
      </c>
      <c r="AM4876">
        <v>1</v>
      </c>
      <c r="AN4876" s="15" t="s">
        <v>3879</v>
      </c>
    </row>
    <row r="4877" spans="1:40" x14ac:dyDescent="0.3">
      <c r="A4877" s="10" t="str">
        <f>HYPERLINK("http://www.washoecounty.gov/assessor/cama/?parid=143-091-08&amp;CardNumber=1","143-091-08")</f>
        <v>143-091-08</v>
      </c>
      <c r="B4877" t="s">
        <v>4655</v>
      </c>
      <c r="C4877" t="s">
        <v>25276</v>
      </c>
      <c r="D4877" s="1">
        <v>40326</v>
      </c>
      <c r="E4877" s="2">
        <v>319000</v>
      </c>
      <c r="F4877" t="s">
        <v>4567</v>
      </c>
      <c r="G4877" s="17" t="str">
        <f>HYPERLINK("https://www.washoecounty.gov/assessor/cama/?command=sales&amp;parid=14309108","3886701")</f>
        <v>3886701</v>
      </c>
      <c r="H4877" t="s">
        <v>3880</v>
      </c>
      <c r="I4877">
        <v>2007</v>
      </c>
      <c r="J4877">
        <v>2007</v>
      </c>
      <c r="K4877" t="s">
        <v>4554</v>
      </c>
      <c r="L4877" t="s">
        <v>3974</v>
      </c>
      <c r="M4877" s="2">
        <v>3451</v>
      </c>
      <c r="N4877" t="s">
        <v>3147</v>
      </c>
      <c r="O4877">
        <v>4</v>
      </c>
      <c r="P4877">
        <v>3</v>
      </c>
      <c r="Q4877">
        <v>0</v>
      </c>
      <c r="R4877" t="s">
        <v>5281</v>
      </c>
      <c r="S4877" t="s">
        <v>4898</v>
      </c>
      <c r="T4877" t="s">
        <v>2704</v>
      </c>
      <c r="U4877" t="s">
        <v>5631</v>
      </c>
      <c r="V4877" s="2">
        <v>666</v>
      </c>
      <c r="W4877" t="s">
        <v>4655</v>
      </c>
      <c r="X4877" s="2">
        <v>0</v>
      </c>
      <c r="Y4877">
        <v>20</v>
      </c>
      <c r="Z4877" t="s">
        <v>4561</v>
      </c>
      <c r="AA4877" s="3">
        <v>0.17011019587516801</v>
      </c>
      <c r="AB4877" t="s">
        <v>25277</v>
      </c>
      <c r="AC4877" t="s">
        <v>4562</v>
      </c>
      <c r="AD4877" t="s">
        <v>25276</v>
      </c>
      <c r="AE4877" t="s">
        <v>4655</v>
      </c>
      <c r="AF4877" t="s">
        <v>4563</v>
      </c>
      <c r="AG4877" t="s">
        <v>4564</v>
      </c>
      <c r="AH4877" t="s">
        <v>5197</v>
      </c>
      <c r="AI4877" t="s">
        <v>25278</v>
      </c>
      <c r="AJ4877" t="s">
        <v>3882</v>
      </c>
      <c r="AK4877" t="s">
        <v>25279</v>
      </c>
      <c r="AL4877" s="13" t="s">
        <v>2255</v>
      </c>
      <c r="AM4877">
        <v>1</v>
      </c>
      <c r="AN4877" s="15" t="s">
        <v>3879</v>
      </c>
    </row>
    <row r="4878" spans="1:40" x14ac:dyDescent="0.3">
      <c r="A4878" s="10" t="str">
        <f>HYPERLINK("http://www.washoecounty.gov/assessor/cama/?parid=143-091-10&amp;CardNumber=1","143-091-10")</f>
        <v>143-091-10</v>
      </c>
      <c r="B4878" t="s">
        <v>4655</v>
      </c>
      <c r="C4878" t="s">
        <v>25280</v>
      </c>
      <c r="D4878" s="1">
        <v>40515</v>
      </c>
      <c r="E4878" s="2">
        <v>367900</v>
      </c>
      <c r="F4878" t="s">
        <v>4553</v>
      </c>
      <c r="G4878" s="17" t="str">
        <f>HYPERLINK("https://www.washoecounty.gov/assessor/cama/?command=sales&amp;parid=14309110","3949399")</f>
        <v>3949399</v>
      </c>
      <c r="H4878" t="s">
        <v>3880</v>
      </c>
      <c r="I4878">
        <v>2007</v>
      </c>
      <c r="J4878">
        <v>2007</v>
      </c>
      <c r="K4878" t="s">
        <v>4554</v>
      </c>
      <c r="L4878" t="s">
        <v>3974</v>
      </c>
      <c r="M4878" s="2">
        <v>3577</v>
      </c>
      <c r="N4878" t="s">
        <v>3147</v>
      </c>
      <c r="O4878">
        <v>5</v>
      </c>
      <c r="P4878">
        <v>3</v>
      </c>
      <c r="Q4878">
        <v>1</v>
      </c>
      <c r="R4878" t="s">
        <v>5281</v>
      </c>
      <c r="S4878" t="s">
        <v>4898</v>
      </c>
      <c r="T4878" t="s">
        <v>2704</v>
      </c>
      <c r="U4878" t="s">
        <v>4560</v>
      </c>
      <c r="V4878" s="2">
        <v>679</v>
      </c>
      <c r="W4878" t="s">
        <v>4655</v>
      </c>
      <c r="X4878" s="2">
        <v>0</v>
      </c>
      <c r="Y4878">
        <v>20</v>
      </c>
      <c r="Z4878" t="s">
        <v>4561</v>
      </c>
      <c r="AA4878" s="3">
        <v>0.17011019587516801</v>
      </c>
      <c r="AB4878" t="s">
        <v>25281</v>
      </c>
      <c r="AC4878" t="s">
        <v>4562</v>
      </c>
      <c r="AD4878" t="s">
        <v>25280</v>
      </c>
      <c r="AE4878" t="s">
        <v>4655</v>
      </c>
      <c r="AF4878" t="s">
        <v>4563</v>
      </c>
      <c r="AG4878" t="s">
        <v>4564</v>
      </c>
      <c r="AH4878">
        <v>89502</v>
      </c>
      <c r="AI4878" t="s">
        <v>4903</v>
      </c>
      <c r="AJ4878" t="s">
        <v>3882</v>
      </c>
      <c r="AK4878" t="s">
        <v>25282</v>
      </c>
      <c r="AL4878" s="13" t="s">
        <v>2255</v>
      </c>
      <c r="AM4878">
        <v>1</v>
      </c>
      <c r="AN4878" s="15" t="s">
        <v>3879</v>
      </c>
    </row>
    <row r="4879" spans="1:40" x14ac:dyDescent="0.3">
      <c r="A4879" s="10" t="str">
        <f>HYPERLINK("http://www.washoecounty.gov/assessor/cama/?parid=143-092-14&amp;CardNumber=1","143-092-14")</f>
        <v>143-092-14</v>
      </c>
      <c r="B4879" t="s">
        <v>4655</v>
      </c>
      <c r="C4879" t="s">
        <v>25283</v>
      </c>
      <c r="D4879" s="1">
        <v>40483</v>
      </c>
      <c r="E4879" s="2">
        <v>300000</v>
      </c>
      <c r="F4879" t="s">
        <v>4567</v>
      </c>
      <c r="G4879" s="17" t="str">
        <f>HYPERLINK("https://www.washoecounty.gov/assessor/cama/?command=sales&amp;parid=14309214","3938820")</f>
        <v>3938820</v>
      </c>
      <c r="H4879" t="s">
        <v>3880</v>
      </c>
      <c r="I4879">
        <v>2007</v>
      </c>
      <c r="J4879">
        <v>2007</v>
      </c>
      <c r="K4879" t="s">
        <v>4554</v>
      </c>
      <c r="L4879" t="s">
        <v>3974</v>
      </c>
      <c r="M4879" s="2">
        <v>3387</v>
      </c>
      <c r="N4879" t="s">
        <v>3147</v>
      </c>
      <c r="O4879">
        <v>5</v>
      </c>
      <c r="P4879">
        <v>4</v>
      </c>
      <c r="Q4879">
        <v>0</v>
      </c>
      <c r="R4879" t="s">
        <v>5281</v>
      </c>
      <c r="S4879" t="s">
        <v>4898</v>
      </c>
      <c r="T4879" t="s">
        <v>2704</v>
      </c>
      <c r="U4879" t="s">
        <v>5631</v>
      </c>
      <c r="V4879" s="2">
        <v>783</v>
      </c>
      <c r="W4879" t="s">
        <v>4655</v>
      </c>
      <c r="X4879" s="2">
        <v>0</v>
      </c>
      <c r="Y4879">
        <v>20</v>
      </c>
      <c r="Z4879" t="s">
        <v>4561</v>
      </c>
      <c r="AA4879" s="3">
        <v>0.18636363744735718</v>
      </c>
      <c r="AB4879" t="s">
        <v>25284</v>
      </c>
      <c r="AC4879" t="s">
        <v>4562</v>
      </c>
      <c r="AD4879" t="s">
        <v>25285</v>
      </c>
      <c r="AE4879" t="s">
        <v>4655</v>
      </c>
      <c r="AF4879" t="s">
        <v>4752</v>
      </c>
      <c r="AG4879" t="s">
        <v>4564</v>
      </c>
      <c r="AH4879" t="s">
        <v>5197</v>
      </c>
      <c r="AI4879" t="s">
        <v>4655</v>
      </c>
      <c r="AJ4879" t="s">
        <v>3882</v>
      </c>
      <c r="AK4879" t="s">
        <v>25286</v>
      </c>
      <c r="AL4879" s="13" t="s">
        <v>2255</v>
      </c>
      <c r="AM4879" s="14">
        <v>1</v>
      </c>
      <c r="AN4879" s="15" t="s">
        <v>3879</v>
      </c>
    </row>
    <row r="4880" spans="1:40" x14ac:dyDescent="0.3">
      <c r="A4880" s="10" t="str">
        <f>HYPERLINK("http://www.washoecounty.gov/assessor/cama/?parid=143-092-26&amp;CardNumber=1","143-092-26")</f>
        <v>143-092-26</v>
      </c>
      <c r="B4880" t="s">
        <v>4655</v>
      </c>
      <c r="C4880" t="s">
        <v>25287</v>
      </c>
      <c r="D4880" s="1">
        <v>40443</v>
      </c>
      <c r="E4880" s="2">
        <v>320000</v>
      </c>
      <c r="F4880" t="s">
        <v>4567</v>
      </c>
      <c r="G4880" s="17" t="str">
        <f>HYPERLINK("https://www.washoecounty.gov/assessor/cama/?command=sales&amp;parid=14309226","3925133")</f>
        <v>3925133</v>
      </c>
      <c r="H4880" t="s">
        <v>3880</v>
      </c>
      <c r="I4880">
        <v>2006</v>
      </c>
      <c r="J4880">
        <v>2006</v>
      </c>
      <c r="K4880" t="s">
        <v>4554</v>
      </c>
      <c r="L4880" t="s">
        <v>3974</v>
      </c>
      <c r="M4880" s="2">
        <v>3205</v>
      </c>
      <c r="N4880" t="s">
        <v>3147</v>
      </c>
      <c r="O4880">
        <v>5</v>
      </c>
      <c r="P4880">
        <v>3</v>
      </c>
      <c r="Q4880">
        <v>0</v>
      </c>
      <c r="R4880" t="s">
        <v>5281</v>
      </c>
      <c r="S4880" t="s">
        <v>4898</v>
      </c>
      <c r="T4880" t="s">
        <v>2704</v>
      </c>
      <c r="U4880" t="s">
        <v>4560</v>
      </c>
      <c r="V4880" s="2">
        <v>636</v>
      </c>
      <c r="W4880" t="s">
        <v>4655</v>
      </c>
      <c r="X4880" s="2">
        <v>0</v>
      </c>
      <c r="Y4880">
        <v>20</v>
      </c>
      <c r="Z4880" t="s">
        <v>4561</v>
      </c>
      <c r="AA4880" s="3">
        <v>0.20927456021308899</v>
      </c>
      <c r="AB4880" t="s">
        <v>25288</v>
      </c>
      <c r="AC4880" t="s">
        <v>4562</v>
      </c>
      <c r="AD4880" t="s">
        <v>25289</v>
      </c>
      <c r="AE4880" t="s">
        <v>4655</v>
      </c>
      <c r="AF4880" t="s">
        <v>4563</v>
      </c>
      <c r="AG4880" t="s">
        <v>4564</v>
      </c>
      <c r="AH4880" t="s">
        <v>5197</v>
      </c>
      <c r="AI4880" t="s">
        <v>5443</v>
      </c>
      <c r="AJ4880" t="s">
        <v>3882</v>
      </c>
      <c r="AK4880" t="s">
        <v>25290</v>
      </c>
      <c r="AL4880" s="13" t="s">
        <v>2255</v>
      </c>
      <c r="AM4880" s="14">
        <v>1</v>
      </c>
      <c r="AN4880" s="15" t="s">
        <v>3879</v>
      </c>
    </row>
    <row r="4881" spans="1:40" x14ac:dyDescent="0.3">
      <c r="A4881" s="10" t="str">
        <f>HYPERLINK("http://www.washoecounty.gov/assessor/cama/?parid=143-092-27&amp;CardNumber=1","143-092-27")</f>
        <v>143-092-27</v>
      </c>
      <c r="B4881" t="s">
        <v>4655</v>
      </c>
      <c r="C4881" t="s">
        <v>25291</v>
      </c>
      <c r="D4881" s="1">
        <v>40207</v>
      </c>
      <c r="E4881" s="2">
        <v>500</v>
      </c>
      <c r="F4881" t="s">
        <v>3584</v>
      </c>
      <c r="G4881" s="17" t="str">
        <f>HYPERLINK("https://www.washoecounty.gov/assessor/cama/?command=sales&amp;parid=14309227","3844452")</f>
        <v>3844452</v>
      </c>
      <c r="H4881" t="s">
        <v>3880</v>
      </c>
      <c r="I4881">
        <v>0</v>
      </c>
      <c r="J4881">
        <v>0</v>
      </c>
      <c r="K4881" t="s">
        <v>4655</v>
      </c>
      <c r="L4881" t="s">
        <v>4655</v>
      </c>
      <c r="M4881" s="2">
        <v>0</v>
      </c>
      <c r="N4881" t="s">
        <v>4655</v>
      </c>
      <c r="O4881">
        <v>0</v>
      </c>
      <c r="P4881">
        <v>0</v>
      </c>
      <c r="Q4881">
        <v>0</v>
      </c>
      <c r="R4881" t="s">
        <v>4655</v>
      </c>
      <c r="S4881" t="s">
        <v>4655</v>
      </c>
      <c r="T4881" t="s">
        <v>4655</v>
      </c>
      <c r="U4881" t="s">
        <v>4655</v>
      </c>
      <c r="V4881" s="2">
        <v>0</v>
      </c>
      <c r="W4881" t="s">
        <v>4655</v>
      </c>
      <c r="X4881" s="2">
        <v>0</v>
      </c>
      <c r="Y4881">
        <v>24</v>
      </c>
      <c r="Z4881" t="s">
        <v>4561</v>
      </c>
      <c r="AA4881" s="3">
        <v>5.1193754188716403E-3</v>
      </c>
      <c r="AB4881" t="s">
        <v>25292</v>
      </c>
      <c r="AC4881" t="s">
        <v>4562</v>
      </c>
      <c r="AD4881" t="s">
        <v>25293</v>
      </c>
      <c r="AE4881" t="s">
        <v>25294</v>
      </c>
      <c r="AF4881" t="s">
        <v>4563</v>
      </c>
      <c r="AG4881" t="s">
        <v>4564</v>
      </c>
      <c r="AH4881">
        <v>89502</v>
      </c>
      <c r="AI4881" t="s">
        <v>25292</v>
      </c>
      <c r="AJ4881" t="s">
        <v>3882</v>
      </c>
      <c r="AK4881" t="s">
        <v>25295</v>
      </c>
      <c r="AL4881" s="13" t="s">
        <v>2255</v>
      </c>
      <c r="AM4881">
        <v>0</v>
      </c>
      <c r="AN4881" s="15" t="s">
        <v>25296</v>
      </c>
    </row>
    <row r="4882" spans="1:40" x14ac:dyDescent="0.3">
      <c r="A4882" s="10" t="str">
        <f>HYPERLINK("http://www.washoecounty.gov/assessor/cama/?parid=143-092-38&amp;CardNumber=1","143-092-38")</f>
        <v>143-092-38</v>
      </c>
      <c r="B4882" t="s">
        <v>4655</v>
      </c>
      <c r="C4882" t="s">
        <v>25297</v>
      </c>
      <c r="D4882" s="1">
        <v>40218</v>
      </c>
      <c r="E4882" s="2">
        <v>205741</v>
      </c>
      <c r="F4882" t="s">
        <v>4567</v>
      </c>
      <c r="G4882" s="17" t="str">
        <f>HYPERLINK("https://www.washoecounty.gov/assessor/cama/?command=sales&amp;parid=14309238","3847416")</f>
        <v>3847416</v>
      </c>
      <c r="H4882" t="s">
        <v>3880</v>
      </c>
      <c r="I4882">
        <v>2009</v>
      </c>
      <c r="J4882">
        <v>2009</v>
      </c>
      <c r="K4882" t="s">
        <v>4554</v>
      </c>
      <c r="L4882" t="s">
        <v>4555</v>
      </c>
      <c r="M4882" s="2">
        <v>1455</v>
      </c>
      <c r="N4882" t="s">
        <v>3147</v>
      </c>
      <c r="O4882">
        <v>3</v>
      </c>
      <c r="P4882">
        <v>2</v>
      </c>
      <c r="Q4882">
        <v>0</v>
      </c>
      <c r="R4882" t="s">
        <v>5281</v>
      </c>
      <c r="S4882" t="s">
        <v>4898</v>
      </c>
      <c r="T4882" t="s">
        <v>2704</v>
      </c>
      <c r="U4882" t="s">
        <v>4560</v>
      </c>
      <c r="V4882" s="2">
        <v>420</v>
      </c>
      <c r="W4882" t="s">
        <v>4655</v>
      </c>
      <c r="X4882" s="2">
        <v>0</v>
      </c>
      <c r="Y4882">
        <v>20</v>
      </c>
      <c r="Z4882" t="s">
        <v>4561</v>
      </c>
      <c r="AA4882" s="3">
        <v>0.171602383255959</v>
      </c>
      <c r="AB4882" t="s">
        <v>25298</v>
      </c>
      <c r="AC4882" t="s">
        <v>4562</v>
      </c>
      <c r="AD4882" t="s">
        <v>25297</v>
      </c>
      <c r="AE4882" t="s">
        <v>4655</v>
      </c>
      <c r="AF4882" t="s">
        <v>4563</v>
      </c>
      <c r="AG4882" t="s">
        <v>4564</v>
      </c>
      <c r="AH4882" t="s">
        <v>5197</v>
      </c>
      <c r="AI4882" t="s">
        <v>3881</v>
      </c>
      <c r="AJ4882" t="s">
        <v>3882</v>
      </c>
      <c r="AK4882" t="s">
        <v>25299</v>
      </c>
      <c r="AL4882" s="13" t="s">
        <v>2255</v>
      </c>
      <c r="AM4882">
        <v>1</v>
      </c>
      <c r="AN4882" s="15" t="s">
        <v>3879</v>
      </c>
    </row>
    <row r="4883" spans="1:40" x14ac:dyDescent="0.3">
      <c r="A4883" s="10" t="str">
        <f>HYPERLINK("http://www.washoecounty.gov/assessor/cama/?parid=143-092-39&amp;CardNumber=1","143-092-39")</f>
        <v>143-092-39</v>
      </c>
      <c r="B4883" t="s">
        <v>4655</v>
      </c>
      <c r="C4883" t="s">
        <v>25300</v>
      </c>
      <c r="D4883" s="1">
        <v>40184</v>
      </c>
      <c r="E4883" s="2">
        <v>306067</v>
      </c>
      <c r="F4883" t="s">
        <v>4567</v>
      </c>
      <c r="G4883" s="17" t="str">
        <f>HYPERLINK("https://www.washoecounty.gov/assessor/cama/?command=sales&amp;parid=14309239","3836962")</f>
        <v>3836962</v>
      </c>
      <c r="H4883" t="s">
        <v>3880</v>
      </c>
      <c r="I4883">
        <v>2009</v>
      </c>
      <c r="J4883">
        <v>2009</v>
      </c>
      <c r="K4883" t="s">
        <v>4554</v>
      </c>
      <c r="L4883" t="s">
        <v>3974</v>
      </c>
      <c r="M4883" s="2">
        <v>2711</v>
      </c>
      <c r="N4883" t="s">
        <v>3147</v>
      </c>
      <c r="O4883">
        <v>4</v>
      </c>
      <c r="P4883">
        <v>2</v>
      </c>
      <c r="Q4883">
        <v>1</v>
      </c>
      <c r="R4883" t="s">
        <v>5281</v>
      </c>
      <c r="S4883" t="s">
        <v>4898</v>
      </c>
      <c r="T4883" t="s">
        <v>2704</v>
      </c>
      <c r="U4883" t="s">
        <v>5631</v>
      </c>
      <c r="V4883" s="2">
        <v>681</v>
      </c>
      <c r="W4883" t="s">
        <v>4655</v>
      </c>
      <c r="X4883" s="2">
        <v>0</v>
      </c>
      <c r="Y4883">
        <v>20</v>
      </c>
      <c r="Z4883" t="s">
        <v>4561</v>
      </c>
      <c r="AA4883" s="3">
        <v>0.171602383255959</v>
      </c>
      <c r="AB4883" t="s">
        <v>25301</v>
      </c>
      <c r="AC4883" t="s">
        <v>4562</v>
      </c>
      <c r="AD4883" t="s">
        <v>25300</v>
      </c>
      <c r="AE4883" t="s">
        <v>4655</v>
      </c>
      <c r="AF4883" t="s">
        <v>4563</v>
      </c>
      <c r="AG4883" t="s">
        <v>4564</v>
      </c>
      <c r="AH4883" t="s">
        <v>5197</v>
      </c>
      <c r="AI4883" t="s">
        <v>25302</v>
      </c>
      <c r="AJ4883" t="s">
        <v>3882</v>
      </c>
      <c r="AK4883" t="s">
        <v>25303</v>
      </c>
      <c r="AL4883" s="13" t="s">
        <v>2255</v>
      </c>
      <c r="AM4883">
        <v>1</v>
      </c>
      <c r="AN4883" s="15" t="s">
        <v>3879</v>
      </c>
    </row>
    <row r="4884" spans="1:40" x14ac:dyDescent="0.3">
      <c r="A4884" s="10" t="str">
        <f>HYPERLINK("http://www.washoecounty.gov/assessor/cama/?parid=143-092-40&amp;CardNumber=1","143-092-40")</f>
        <v>143-092-40</v>
      </c>
      <c r="B4884" t="s">
        <v>4655</v>
      </c>
      <c r="C4884" t="s">
        <v>25304</v>
      </c>
      <c r="D4884" s="1">
        <v>40193</v>
      </c>
      <c r="E4884" s="2">
        <v>188663</v>
      </c>
      <c r="F4884" t="s">
        <v>4567</v>
      </c>
      <c r="G4884" s="17" t="str">
        <f>HYPERLINK("https://www.washoecounty.gov/assessor/cama/?command=sales&amp;parid=14309240","3839952")</f>
        <v>3839952</v>
      </c>
      <c r="H4884" t="s">
        <v>3880</v>
      </c>
      <c r="I4884">
        <v>2009</v>
      </c>
      <c r="J4884">
        <v>2009</v>
      </c>
      <c r="K4884" t="s">
        <v>4554</v>
      </c>
      <c r="L4884" t="s">
        <v>4555</v>
      </c>
      <c r="M4884" s="2">
        <v>1323</v>
      </c>
      <c r="N4884" t="s">
        <v>3147</v>
      </c>
      <c r="O4884">
        <v>3</v>
      </c>
      <c r="P4884">
        <v>2</v>
      </c>
      <c r="Q4884">
        <v>0</v>
      </c>
      <c r="R4884" t="s">
        <v>5281</v>
      </c>
      <c r="S4884" t="s">
        <v>4898</v>
      </c>
      <c r="T4884" t="s">
        <v>2704</v>
      </c>
      <c r="U4884" t="s">
        <v>4560</v>
      </c>
      <c r="V4884" s="2">
        <v>424</v>
      </c>
      <c r="W4884" t="s">
        <v>4655</v>
      </c>
      <c r="X4884" s="2">
        <v>0</v>
      </c>
      <c r="Y4884">
        <v>20</v>
      </c>
      <c r="Z4884" t="s">
        <v>4561</v>
      </c>
      <c r="AA4884" s="3">
        <v>0.171602383255959</v>
      </c>
      <c r="AB4884" t="s">
        <v>25305</v>
      </c>
      <c r="AC4884" t="s">
        <v>4575</v>
      </c>
      <c r="AD4884" t="s">
        <v>25306</v>
      </c>
      <c r="AE4884" t="s">
        <v>4655</v>
      </c>
      <c r="AF4884" t="s">
        <v>4563</v>
      </c>
      <c r="AG4884" t="s">
        <v>4564</v>
      </c>
      <c r="AH4884" t="s">
        <v>5197</v>
      </c>
      <c r="AI4884" t="s">
        <v>3881</v>
      </c>
      <c r="AJ4884" t="s">
        <v>3882</v>
      </c>
      <c r="AK4884" t="s">
        <v>25307</v>
      </c>
      <c r="AL4884" s="13" t="s">
        <v>2255</v>
      </c>
      <c r="AM4884">
        <v>1</v>
      </c>
      <c r="AN4884" s="15" t="s">
        <v>3879</v>
      </c>
    </row>
    <row r="4885" spans="1:40" x14ac:dyDescent="0.3">
      <c r="A4885" s="10" t="str">
        <f>HYPERLINK("http://www.washoecounty.gov/assessor/cama/?parid=143-092-42&amp;CardNumber=1","143-092-42")</f>
        <v>143-092-42</v>
      </c>
      <c r="B4885" t="s">
        <v>4655</v>
      </c>
      <c r="C4885" t="s">
        <v>25308</v>
      </c>
      <c r="D4885" s="1">
        <v>40220</v>
      </c>
      <c r="E4885" s="2">
        <v>241352</v>
      </c>
      <c r="F4885" t="s">
        <v>4567</v>
      </c>
      <c r="G4885" s="17" t="str">
        <f>HYPERLINK("https://www.washoecounty.gov/assessor/cama/?command=sales&amp;parid=14309242","3848448")</f>
        <v>3848448</v>
      </c>
      <c r="H4885" t="s">
        <v>3880</v>
      </c>
      <c r="I4885">
        <v>2009</v>
      </c>
      <c r="J4885">
        <v>2009</v>
      </c>
      <c r="K4885" t="s">
        <v>4554</v>
      </c>
      <c r="L4885" t="s">
        <v>3974</v>
      </c>
      <c r="M4885" s="2">
        <v>1972</v>
      </c>
      <c r="N4885" t="s">
        <v>3147</v>
      </c>
      <c r="O4885">
        <v>4</v>
      </c>
      <c r="P4885">
        <v>2</v>
      </c>
      <c r="Q4885">
        <v>1</v>
      </c>
      <c r="R4885" t="s">
        <v>5281</v>
      </c>
      <c r="S4885" t="s">
        <v>4898</v>
      </c>
      <c r="T4885" t="s">
        <v>2704</v>
      </c>
      <c r="U4885" t="s">
        <v>5631</v>
      </c>
      <c r="V4885" s="2">
        <v>426</v>
      </c>
      <c r="W4885" t="s">
        <v>4655</v>
      </c>
      <c r="X4885" s="2">
        <v>0</v>
      </c>
      <c r="Y4885">
        <v>20</v>
      </c>
      <c r="Z4885" t="s">
        <v>4561</v>
      </c>
      <c r="AA4885" s="3">
        <v>0.183172628283501</v>
      </c>
      <c r="AB4885" t="s">
        <v>25309</v>
      </c>
      <c r="AC4885" t="s">
        <v>4562</v>
      </c>
      <c r="AD4885" t="s">
        <v>25308</v>
      </c>
      <c r="AE4885" t="s">
        <v>4655</v>
      </c>
      <c r="AF4885" t="s">
        <v>4563</v>
      </c>
      <c r="AG4885" t="s">
        <v>4564</v>
      </c>
      <c r="AH4885" t="s">
        <v>5197</v>
      </c>
      <c r="AI4885" t="s">
        <v>3881</v>
      </c>
      <c r="AJ4885" t="s">
        <v>3882</v>
      </c>
      <c r="AK4885" t="s">
        <v>25310</v>
      </c>
      <c r="AL4885" s="13" t="s">
        <v>2255</v>
      </c>
      <c r="AM4885">
        <v>1</v>
      </c>
      <c r="AN4885" s="15" t="s">
        <v>3879</v>
      </c>
    </row>
    <row r="4886" spans="1:40" x14ac:dyDescent="0.3">
      <c r="A4886" s="10" t="str">
        <f>HYPERLINK("http://www.washoecounty.gov/assessor/cama/?parid=143-092-44&amp;CardNumber=1","143-092-44")</f>
        <v>143-092-44</v>
      </c>
      <c r="B4886" t="s">
        <v>4655</v>
      </c>
      <c r="C4886" t="s">
        <v>25311</v>
      </c>
      <c r="D4886" s="1">
        <v>40310</v>
      </c>
      <c r="E4886" s="2">
        <v>235793</v>
      </c>
      <c r="F4886" t="s">
        <v>4567</v>
      </c>
      <c r="G4886" s="17" t="str">
        <f>HYPERLINK("https://www.washoecounty.gov/assessor/cama/?command=sales&amp;parid=14309244","3880785")</f>
        <v>3880785</v>
      </c>
      <c r="H4886" t="s">
        <v>3880</v>
      </c>
      <c r="I4886">
        <v>2010</v>
      </c>
      <c r="J4886">
        <v>2010</v>
      </c>
      <c r="K4886" t="s">
        <v>4554</v>
      </c>
      <c r="L4886" t="s">
        <v>3974</v>
      </c>
      <c r="M4886" s="2">
        <v>1972</v>
      </c>
      <c r="N4886" t="s">
        <v>3147</v>
      </c>
      <c r="O4886">
        <v>4</v>
      </c>
      <c r="P4886">
        <v>2</v>
      </c>
      <c r="Q4886">
        <v>1</v>
      </c>
      <c r="R4886" t="s">
        <v>5281</v>
      </c>
      <c r="S4886" t="s">
        <v>4898</v>
      </c>
      <c r="T4886" t="s">
        <v>2704</v>
      </c>
      <c r="U4886" t="s">
        <v>5631</v>
      </c>
      <c r="V4886" s="2">
        <v>426</v>
      </c>
      <c r="W4886" t="s">
        <v>4655</v>
      </c>
      <c r="X4886" s="2">
        <v>0</v>
      </c>
      <c r="Y4886">
        <v>20</v>
      </c>
      <c r="Z4886" t="s">
        <v>4561</v>
      </c>
      <c r="AA4886" s="3">
        <v>0.16315427422523499</v>
      </c>
      <c r="AB4886" t="s">
        <v>25312</v>
      </c>
      <c r="AC4886" t="s">
        <v>4562</v>
      </c>
      <c r="AD4886" t="s">
        <v>25311</v>
      </c>
      <c r="AE4886" t="s">
        <v>4655</v>
      </c>
      <c r="AF4886" t="s">
        <v>4563</v>
      </c>
      <c r="AG4886" t="s">
        <v>4564</v>
      </c>
      <c r="AH4886" t="s">
        <v>5197</v>
      </c>
      <c r="AI4886" t="s">
        <v>3881</v>
      </c>
      <c r="AJ4886" t="s">
        <v>3882</v>
      </c>
      <c r="AK4886" t="s">
        <v>25313</v>
      </c>
      <c r="AL4886" s="13" t="s">
        <v>2255</v>
      </c>
      <c r="AM4886">
        <v>1</v>
      </c>
      <c r="AN4886" s="15" t="s">
        <v>3879</v>
      </c>
    </row>
    <row r="4887" spans="1:40" x14ac:dyDescent="0.3">
      <c r="A4887" s="10" t="str">
        <f>HYPERLINK("http://www.washoecounty.gov/assessor/cama/?parid=143-092-45&amp;CardNumber=1","143-092-45")</f>
        <v>143-092-45</v>
      </c>
      <c r="B4887" t="s">
        <v>4655</v>
      </c>
      <c r="C4887" t="s">
        <v>25314</v>
      </c>
      <c r="D4887" s="1">
        <v>40445</v>
      </c>
      <c r="E4887" s="2">
        <v>226000</v>
      </c>
      <c r="F4887" t="s">
        <v>4567</v>
      </c>
      <c r="G4887" s="17" t="str">
        <f>HYPERLINK("https://www.washoecounty.gov/assessor/cama/?command=sales&amp;parid=14309245","3926176")</f>
        <v>3926176</v>
      </c>
      <c r="H4887" t="s">
        <v>3880</v>
      </c>
      <c r="I4887">
        <v>2010</v>
      </c>
      <c r="J4887">
        <v>2010</v>
      </c>
      <c r="K4887" t="s">
        <v>4554</v>
      </c>
      <c r="L4887" t="s">
        <v>3974</v>
      </c>
      <c r="M4887" s="2">
        <v>2300</v>
      </c>
      <c r="N4887" t="s">
        <v>3147</v>
      </c>
      <c r="O4887">
        <v>4</v>
      </c>
      <c r="P4887">
        <v>2</v>
      </c>
      <c r="Q4887">
        <v>1</v>
      </c>
      <c r="R4887" t="s">
        <v>5281</v>
      </c>
      <c r="S4887" t="s">
        <v>4898</v>
      </c>
      <c r="T4887" t="s">
        <v>2704</v>
      </c>
      <c r="U4887" t="s">
        <v>5631</v>
      </c>
      <c r="V4887" s="2">
        <v>426</v>
      </c>
      <c r="W4887" t="s">
        <v>4655</v>
      </c>
      <c r="X4887" s="2">
        <v>0</v>
      </c>
      <c r="Y4887">
        <v>20</v>
      </c>
      <c r="Z4887" t="s">
        <v>4561</v>
      </c>
      <c r="AA4887" s="3">
        <v>0.16223599016666401</v>
      </c>
      <c r="AB4887" t="s">
        <v>25315</v>
      </c>
      <c r="AC4887" t="s">
        <v>4562</v>
      </c>
      <c r="AD4887" t="s">
        <v>25314</v>
      </c>
      <c r="AE4887" t="s">
        <v>4655</v>
      </c>
      <c r="AF4887" t="s">
        <v>4563</v>
      </c>
      <c r="AG4887" t="s">
        <v>4564</v>
      </c>
      <c r="AH4887">
        <v>89511</v>
      </c>
      <c r="AI4887" t="s">
        <v>25316</v>
      </c>
      <c r="AJ4887" t="s">
        <v>3882</v>
      </c>
      <c r="AK4887" t="s">
        <v>25317</v>
      </c>
      <c r="AL4887" s="13" t="s">
        <v>2255</v>
      </c>
      <c r="AM4887" s="14">
        <v>1</v>
      </c>
      <c r="AN4887" s="15" t="s">
        <v>3879</v>
      </c>
    </row>
    <row r="4888" spans="1:40" x14ac:dyDescent="0.3">
      <c r="A4888" s="10" t="str">
        <f>HYPERLINK("http://www.washoecounty.gov/assessor/cama/?parid=143-101-01&amp;CardNumber=1","143-101-01")</f>
        <v>143-101-01</v>
      </c>
      <c r="B4888" t="s">
        <v>4655</v>
      </c>
      <c r="C4888" s="20" t="s">
        <v>283</v>
      </c>
      <c r="D4888" s="1">
        <v>40247</v>
      </c>
      <c r="E4888" s="2">
        <v>206805</v>
      </c>
      <c r="F4888" t="s">
        <v>4567</v>
      </c>
      <c r="G4888" s="20" t="s">
        <v>282</v>
      </c>
      <c r="H4888" t="s">
        <v>3880</v>
      </c>
      <c r="I4888">
        <v>2010</v>
      </c>
      <c r="J4888">
        <v>2010</v>
      </c>
      <c r="K4888" t="s">
        <v>4554</v>
      </c>
      <c r="L4888" t="s">
        <v>4555</v>
      </c>
      <c r="M4888" s="2">
        <v>1455</v>
      </c>
      <c r="N4888" t="s">
        <v>3147</v>
      </c>
      <c r="O4888">
        <v>3</v>
      </c>
      <c r="P4888">
        <v>2</v>
      </c>
      <c r="Q4888">
        <v>0</v>
      </c>
      <c r="R4888" t="s">
        <v>5281</v>
      </c>
      <c r="S4888" t="s">
        <v>4898</v>
      </c>
      <c r="T4888" t="s">
        <v>2704</v>
      </c>
      <c r="U4888" t="s">
        <v>4560</v>
      </c>
      <c r="V4888" s="2">
        <v>420</v>
      </c>
      <c r="W4888" t="s">
        <v>4655</v>
      </c>
      <c r="X4888" s="2">
        <v>0</v>
      </c>
      <c r="Y4888">
        <v>20</v>
      </c>
      <c r="Z4888" t="s">
        <v>385</v>
      </c>
      <c r="AA4888" s="3">
        <v>0.16827364265918732</v>
      </c>
      <c r="AB4888" s="20" t="s">
        <v>8865</v>
      </c>
      <c r="AD4888" t="s">
        <v>283</v>
      </c>
      <c r="AE4888" t="s">
        <v>283</v>
      </c>
      <c r="AF4888" t="s">
        <v>283</v>
      </c>
      <c r="AG4888" t="s">
        <v>4564</v>
      </c>
      <c r="AH4888" t="s">
        <v>3101</v>
      </c>
      <c r="AI4888" t="s">
        <v>8865</v>
      </c>
      <c r="AJ4888" t="s">
        <v>3882</v>
      </c>
      <c r="AK4888" t="s">
        <v>8865</v>
      </c>
      <c r="AL4888" s="13" t="s">
        <v>2255</v>
      </c>
      <c r="AM4888" s="14">
        <v>1</v>
      </c>
      <c r="AN4888" s="15" t="s">
        <v>3879</v>
      </c>
    </row>
    <row r="4889" spans="1:40" x14ac:dyDescent="0.3">
      <c r="A4889" s="10" t="str">
        <f>HYPERLINK("http://www.washoecounty.gov/assessor/cama/?parid=143-101-02&amp;CardNumber=1","143-101-02")</f>
        <v>143-101-02</v>
      </c>
      <c r="B4889" t="s">
        <v>4655</v>
      </c>
      <c r="C4889" t="s">
        <v>25318</v>
      </c>
      <c r="D4889" s="1">
        <v>40234</v>
      </c>
      <c r="E4889" s="2">
        <v>251125</v>
      </c>
      <c r="F4889" t="s">
        <v>4567</v>
      </c>
      <c r="G4889" s="17" t="str">
        <f>HYPERLINK("https://www.washoecounty.gov/assessor/cama/?command=sales&amp;parid=14310102","3852702")</f>
        <v>3852702</v>
      </c>
      <c r="H4889" t="s">
        <v>3880</v>
      </c>
      <c r="I4889">
        <v>2010</v>
      </c>
      <c r="J4889">
        <v>2010</v>
      </c>
      <c r="K4889" t="s">
        <v>4554</v>
      </c>
      <c r="L4889" t="s">
        <v>3974</v>
      </c>
      <c r="M4889" s="2">
        <v>2300</v>
      </c>
      <c r="N4889" t="s">
        <v>3147</v>
      </c>
      <c r="O4889">
        <v>4</v>
      </c>
      <c r="P4889">
        <v>2</v>
      </c>
      <c r="Q4889">
        <v>1</v>
      </c>
      <c r="R4889" t="s">
        <v>5281</v>
      </c>
      <c r="S4889" t="s">
        <v>4898</v>
      </c>
      <c r="T4889" t="s">
        <v>2704</v>
      </c>
      <c r="U4889" t="s">
        <v>5631</v>
      </c>
      <c r="V4889" s="2">
        <v>426</v>
      </c>
      <c r="W4889" t="s">
        <v>4655</v>
      </c>
      <c r="X4889" s="2">
        <v>0</v>
      </c>
      <c r="Y4889">
        <v>20</v>
      </c>
      <c r="Z4889" t="s">
        <v>385</v>
      </c>
      <c r="AA4889" s="3">
        <v>0.15780532360076899</v>
      </c>
      <c r="AB4889" t="s">
        <v>25319</v>
      </c>
      <c r="AC4889" t="s">
        <v>4562</v>
      </c>
      <c r="AD4889" t="s">
        <v>25318</v>
      </c>
      <c r="AE4889" t="s">
        <v>4655</v>
      </c>
      <c r="AF4889" t="s">
        <v>4563</v>
      </c>
      <c r="AG4889" t="s">
        <v>4564</v>
      </c>
      <c r="AH4889" t="s">
        <v>5197</v>
      </c>
      <c r="AI4889" t="s">
        <v>3881</v>
      </c>
      <c r="AJ4889" t="s">
        <v>3882</v>
      </c>
      <c r="AK4889" t="s">
        <v>25320</v>
      </c>
      <c r="AL4889" s="13" t="s">
        <v>2255</v>
      </c>
      <c r="AM4889" s="14">
        <v>1</v>
      </c>
      <c r="AN4889" s="15" t="s">
        <v>3879</v>
      </c>
    </row>
    <row r="4890" spans="1:40" x14ac:dyDescent="0.3">
      <c r="A4890" s="10" t="str">
        <f>HYPERLINK("http://www.washoecounty.gov/assessor/cama/?parid=143-101-03&amp;CardNumber=1","143-101-03")</f>
        <v>143-101-03</v>
      </c>
      <c r="B4890" t="s">
        <v>4655</v>
      </c>
      <c r="C4890" t="s">
        <v>25321</v>
      </c>
      <c r="D4890" s="1">
        <v>40256</v>
      </c>
      <c r="E4890" s="2">
        <v>236890</v>
      </c>
      <c r="F4890" t="s">
        <v>4567</v>
      </c>
      <c r="G4890" s="17" t="str">
        <f>HYPERLINK("https://www.washoecounty.gov/assessor/cama/?command=sales&amp;parid=14310103","3861664")</f>
        <v>3861664</v>
      </c>
      <c r="H4890" t="s">
        <v>3880</v>
      </c>
      <c r="I4890">
        <v>2010</v>
      </c>
      <c r="J4890">
        <v>2010</v>
      </c>
      <c r="K4890" t="s">
        <v>4554</v>
      </c>
      <c r="L4890" t="s">
        <v>3974</v>
      </c>
      <c r="M4890" s="2">
        <v>1972</v>
      </c>
      <c r="N4890" t="s">
        <v>3147</v>
      </c>
      <c r="O4890">
        <v>4</v>
      </c>
      <c r="P4890">
        <v>2</v>
      </c>
      <c r="Q4890">
        <v>1</v>
      </c>
      <c r="R4890" t="s">
        <v>5281</v>
      </c>
      <c r="S4890" t="s">
        <v>4898</v>
      </c>
      <c r="T4890" t="s">
        <v>2704</v>
      </c>
      <c r="U4890" t="s">
        <v>5631</v>
      </c>
      <c r="V4890" s="2">
        <v>426</v>
      </c>
      <c r="W4890" t="s">
        <v>4655</v>
      </c>
      <c r="X4890" s="2">
        <v>0</v>
      </c>
      <c r="Y4890">
        <v>20</v>
      </c>
      <c r="Z4890" t="s">
        <v>385</v>
      </c>
      <c r="AA4890" s="3">
        <v>0.14582185447216034</v>
      </c>
      <c r="AB4890" t="s">
        <v>25322</v>
      </c>
      <c r="AC4890" t="s">
        <v>4562</v>
      </c>
      <c r="AD4890" t="s">
        <v>25321</v>
      </c>
      <c r="AE4890" t="s">
        <v>4655</v>
      </c>
      <c r="AF4890" t="s">
        <v>4563</v>
      </c>
      <c r="AG4890" t="s">
        <v>4564</v>
      </c>
      <c r="AH4890" t="s">
        <v>5197</v>
      </c>
      <c r="AI4890" t="s">
        <v>3881</v>
      </c>
      <c r="AJ4890" t="s">
        <v>3882</v>
      </c>
      <c r="AK4890" t="s">
        <v>25323</v>
      </c>
      <c r="AL4890" s="13" t="s">
        <v>2255</v>
      </c>
      <c r="AM4890" s="14">
        <v>1</v>
      </c>
      <c r="AN4890" s="15" t="s">
        <v>3879</v>
      </c>
    </row>
    <row r="4891" spans="1:40" x14ac:dyDescent="0.3">
      <c r="A4891" s="10" t="str">
        <f>HYPERLINK("http://www.washoecounty.gov/assessor/cama/?parid=143-102-09&amp;CardNumber=1","143-102-09")</f>
        <v>143-102-09</v>
      </c>
      <c r="B4891" t="s">
        <v>4655</v>
      </c>
      <c r="C4891" t="s">
        <v>25324</v>
      </c>
      <c r="D4891" s="1">
        <v>40326</v>
      </c>
      <c r="E4891" s="2">
        <v>220000</v>
      </c>
      <c r="F4891" t="s">
        <v>4567</v>
      </c>
      <c r="G4891" s="17" t="str">
        <f>HYPERLINK("https://www.washoecounty.gov/assessor/cama/?command=sales&amp;parid=14310209","3886741")</f>
        <v>3886741</v>
      </c>
      <c r="H4891" t="s">
        <v>3880</v>
      </c>
      <c r="I4891">
        <v>2010</v>
      </c>
      <c r="J4891">
        <v>2010</v>
      </c>
      <c r="K4891" t="s">
        <v>4554</v>
      </c>
      <c r="L4891" t="s">
        <v>3974</v>
      </c>
      <c r="M4891" s="2">
        <v>1972</v>
      </c>
      <c r="N4891" t="s">
        <v>3147</v>
      </c>
      <c r="O4891">
        <v>4</v>
      </c>
      <c r="P4891">
        <v>2</v>
      </c>
      <c r="Q4891">
        <v>1</v>
      </c>
      <c r="R4891" t="s">
        <v>5281</v>
      </c>
      <c r="S4891" t="s">
        <v>4898</v>
      </c>
      <c r="T4891" t="s">
        <v>2704</v>
      </c>
      <c r="U4891" t="s">
        <v>5631</v>
      </c>
      <c r="V4891" s="2">
        <v>426</v>
      </c>
      <c r="W4891" t="s">
        <v>4655</v>
      </c>
      <c r="X4891" s="2">
        <v>0</v>
      </c>
      <c r="Y4891">
        <v>20</v>
      </c>
      <c r="Z4891" t="s">
        <v>4561</v>
      </c>
      <c r="AA4891" s="3">
        <v>0.16168503463268299</v>
      </c>
      <c r="AB4891" t="s">
        <v>25325</v>
      </c>
      <c r="AC4891" t="s">
        <v>4562</v>
      </c>
      <c r="AD4891" t="s">
        <v>25326</v>
      </c>
      <c r="AE4891" t="s">
        <v>4655</v>
      </c>
      <c r="AF4891" t="s">
        <v>4563</v>
      </c>
      <c r="AG4891" t="s">
        <v>4564</v>
      </c>
      <c r="AH4891" t="s">
        <v>5197</v>
      </c>
      <c r="AI4891" t="s">
        <v>3881</v>
      </c>
      <c r="AJ4891" t="s">
        <v>3882</v>
      </c>
      <c r="AK4891" t="s">
        <v>25327</v>
      </c>
      <c r="AL4891" s="13" t="s">
        <v>2255</v>
      </c>
      <c r="AM4891">
        <v>1</v>
      </c>
      <c r="AN4891" s="15" t="s">
        <v>3879</v>
      </c>
    </row>
    <row r="4892" spans="1:40" x14ac:dyDescent="0.3">
      <c r="A4892" s="10" t="str">
        <f>HYPERLINK("http://www.washoecounty.gov/assessor/cama/?parid=143-102-10&amp;CardNumber=1","143-102-10")</f>
        <v>143-102-10</v>
      </c>
      <c r="B4892" t="s">
        <v>4655</v>
      </c>
      <c r="C4892" t="s">
        <v>25328</v>
      </c>
      <c r="D4892" s="1">
        <v>40324</v>
      </c>
      <c r="E4892" s="2">
        <v>240607</v>
      </c>
      <c r="F4892" t="s">
        <v>4567</v>
      </c>
      <c r="G4892" s="17" t="str">
        <f>HYPERLINK("https://www.washoecounty.gov/assessor/cama/?command=sales&amp;parid=14310210","3885285")</f>
        <v>3885285</v>
      </c>
      <c r="H4892" t="s">
        <v>3880</v>
      </c>
      <c r="I4892">
        <v>2010</v>
      </c>
      <c r="J4892">
        <v>2010</v>
      </c>
      <c r="K4892" t="s">
        <v>4554</v>
      </c>
      <c r="L4892" t="s">
        <v>3974</v>
      </c>
      <c r="M4892" s="2">
        <v>2300</v>
      </c>
      <c r="N4892" t="s">
        <v>3147</v>
      </c>
      <c r="O4892">
        <v>4</v>
      </c>
      <c r="P4892">
        <v>2</v>
      </c>
      <c r="Q4892">
        <v>1</v>
      </c>
      <c r="R4892" t="s">
        <v>5281</v>
      </c>
      <c r="S4892" t="s">
        <v>4898</v>
      </c>
      <c r="T4892" t="s">
        <v>2704</v>
      </c>
      <c r="U4892" t="s">
        <v>5631</v>
      </c>
      <c r="V4892" s="2">
        <v>426</v>
      </c>
      <c r="W4892" t="s">
        <v>4655</v>
      </c>
      <c r="X4892" s="2">
        <v>0</v>
      </c>
      <c r="Y4892">
        <v>20</v>
      </c>
      <c r="Z4892" t="s">
        <v>4561</v>
      </c>
      <c r="AA4892" s="3">
        <v>0.160697892308235</v>
      </c>
      <c r="AB4892" t="s">
        <v>25329</v>
      </c>
      <c r="AC4892" t="s">
        <v>4575</v>
      </c>
      <c r="AD4892" t="s">
        <v>25328</v>
      </c>
      <c r="AE4892" t="s">
        <v>4655</v>
      </c>
      <c r="AF4892" t="s">
        <v>4563</v>
      </c>
      <c r="AG4892" t="s">
        <v>4564</v>
      </c>
      <c r="AH4892" t="s">
        <v>5197</v>
      </c>
      <c r="AI4892" t="s">
        <v>3881</v>
      </c>
      <c r="AJ4892" t="s">
        <v>3882</v>
      </c>
      <c r="AK4892" t="s">
        <v>25330</v>
      </c>
      <c r="AL4892" s="13" t="s">
        <v>2255</v>
      </c>
      <c r="AM4892" s="14">
        <v>1</v>
      </c>
      <c r="AN4892" s="15" t="s">
        <v>3879</v>
      </c>
    </row>
    <row r="4893" spans="1:40" x14ac:dyDescent="0.3">
      <c r="A4893" s="10" t="str">
        <f>HYPERLINK("http://www.washoecounty.gov/assessor/cama/?parid=143-102-11&amp;CardNumber=1","143-102-11")</f>
        <v>143-102-11</v>
      </c>
      <c r="B4893" t="s">
        <v>4655</v>
      </c>
      <c r="C4893" t="s">
        <v>25331</v>
      </c>
      <c r="D4893" s="1">
        <v>40324</v>
      </c>
      <c r="E4893" s="2">
        <v>192155</v>
      </c>
      <c r="F4893" t="s">
        <v>4567</v>
      </c>
      <c r="G4893" s="17" t="str">
        <f>HYPERLINK("https://www.washoecounty.gov/assessor/cama/?command=sales&amp;parid=14310211","3885547")</f>
        <v>3885547</v>
      </c>
      <c r="H4893" t="s">
        <v>3880</v>
      </c>
      <c r="I4893">
        <v>2010</v>
      </c>
      <c r="J4893">
        <v>2010</v>
      </c>
      <c r="K4893" t="s">
        <v>4554</v>
      </c>
      <c r="L4893" t="s">
        <v>4555</v>
      </c>
      <c r="M4893" s="2">
        <v>1455</v>
      </c>
      <c r="N4893" t="s">
        <v>3147</v>
      </c>
      <c r="O4893">
        <v>3</v>
      </c>
      <c r="P4893">
        <v>2</v>
      </c>
      <c r="Q4893">
        <v>0</v>
      </c>
      <c r="R4893" t="s">
        <v>5281</v>
      </c>
      <c r="S4893" t="s">
        <v>4898</v>
      </c>
      <c r="T4893" t="s">
        <v>2704</v>
      </c>
      <c r="U4893" t="s">
        <v>4560</v>
      </c>
      <c r="V4893" s="2">
        <v>420</v>
      </c>
      <c r="W4893" t="s">
        <v>4655</v>
      </c>
      <c r="X4893" s="2">
        <v>0</v>
      </c>
      <c r="Y4893">
        <v>20</v>
      </c>
      <c r="Z4893" t="s">
        <v>4561</v>
      </c>
      <c r="AA4893" s="3">
        <v>0.13815426826477051</v>
      </c>
      <c r="AB4893" t="s">
        <v>25332</v>
      </c>
      <c r="AC4893" t="s">
        <v>4562</v>
      </c>
      <c r="AD4893" t="s">
        <v>25331</v>
      </c>
      <c r="AE4893" t="s">
        <v>4655</v>
      </c>
      <c r="AF4893" t="s">
        <v>4563</v>
      </c>
      <c r="AG4893" t="s">
        <v>4564</v>
      </c>
      <c r="AH4893" t="s">
        <v>5197</v>
      </c>
      <c r="AI4893" t="s">
        <v>3881</v>
      </c>
      <c r="AJ4893" t="s">
        <v>3882</v>
      </c>
      <c r="AK4893" t="s">
        <v>25333</v>
      </c>
      <c r="AL4893" s="13" t="s">
        <v>2255</v>
      </c>
      <c r="AM4893">
        <v>1</v>
      </c>
      <c r="AN4893" s="15" t="s">
        <v>3879</v>
      </c>
    </row>
    <row r="4894" spans="1:40" x14ac:dyDescent="0.3">
      <c r="A4894" s="10" t="str">
        <f>HYPERLINK("http://www.washoecounty.gov/assessor/cama/?parid=143-102-12&amp;CardNumber=1","143-102-12")</f>
        <v>143-102-12</v>
      </c>
      <c r="B4894" t="s">
        <v>4655</v>
      </c>
      <c r="C4894" t="s">
        <v>25334</v>
      </c>
      <c r="D4894" s="1">
        <v>40345</v>
      </c>
      <c r="E4894" s="2">
        <v>181000</v>
      </c>
      <c r="F4894" t="s">
        <v>4567</v>
      </c>
      <c r="G4894" s="17" t="str">
        <f>HYPERLINK("https://www.washoecounty.gov/assessor/cama/?command=sales&amp;parid=14310212","3892278")</f>
        <v>3892278</v>
      </c>
      <c r="H4894" t="s">
        <v>3880</v>
      </c>
      <c r="I4894">
        <v>2010</v>
      </c>
      <c r="J4894">
        <v>2010</v>
      </c>
      <c r="K4894" t="s">
        <v>4554</v>
      </c>
      <c r="L4894" t="s">
        <v>4555</v>
      </c>
      <c r="M4894" s="2">
        <v>1323</v>
      </c>
      <c r="N4894" t="s">
        <v>3147</v>
      </c>
      <c r="O4894">
        <v>3</v>
      </c>
      <c r="P4894">
        <v>2</v>
      </c>
      <c r="Q4894">
        <v>0</v>
      </c>
      <c r="R4894" t="s">
        <v>5281</v>
      </c>
      <c r="S4894" t="s">
        <v>4898</v>
      </c>
      <c r="T4894" t="s">
        <v>2704</v>
      </c>
      <c r="U4894" t="s">
        <v>4560</v>
      </c>
      <c r="V4894" s="2">
        <v>424</v>
      </c>
      <c r="W4894" t="s">
        <v>4655</v>
      </c>
      <c r="X4894" s="2">
        <v>0</v>
      </c>
      <c r="Y4894">
        <v>20</v>
      </c>
      <c r="Z4894" t="s">
        <v>4561</v>
      </c>
      <c r="AA4894" s="3">
        <v>0.17061524093151101</v>
      </c>
      <c r="AB4894" t="s">
        <v>25335</v>
      </c>
      <c r="AC4894" t="s">
        <v>4562</v>
      </c>
      <c r="AD4894" t="s">
        <v>25336</v>
      </c>
      <c r="AE4894" t="s">
        <v>4655</v>
      </c>
      <c r="AF4894" t="s">
        <v>4563</v>
      </c>
      <c r="AG4894" t="s">
        <v>4564</v>
      </c>
      <c r="AH4894" t="s">
        <v>5197</v>
      </c>
      <c r="AI4894" t="s">
        <v>3881</v>
      </c>
      <c r="AJ4894" t="s">
        <v>3882</v>
      </c>
      <c r="AK4894" t="s">
        <v>25337</v>
      </c>
      <c r="AL4894" s="13" t="s">
        <v>2255</v>
      </c>
      <c r="AM4894">
        <v>1</v>
      </c>
      <c r="AN4894" s="15" t="s">
        <v>3879</v>
      </c>
    </row>
    <row r="4895" spans="1:40" x14ac:dyDescent="0.3">
      <c r="A4895" s="10" t="str">
        <f>HYPERLINK("http://www.washoecounty.gov/assessor/cama/?parid=143-102-13&amp;CardNumber=1","143-102-13")</f>
        <v>143-102-13</v>
      </c>
      <c r="B4895" t="s">
        <v>4655</v>
      </c>
      <c r="C4895" t="s">
        <v>25338</v>
      </c>
      <c r="D4895" s="1">
        <v>40324</v>
      </c>
      <c r="E4895" s="2">
        <v>197106</v>
      </c>
      <c r="F4895" t="s">
        <v>4567</v>
      </c>
      <c r="G4895" s="17" t="str">
        <f>HYPERLINK("https://www.washoecounty.gov/assessor/cama/?command=sales&amp;parid=14310213","3885491")</f>
        <v>3885491</v>
      </c>
      <c r="H4895" t="s">
        <v>3880</v>
      </c>
      <c r="I4895">
        <v>2010</v>
      </c>
      <c r="J4895">
        <v>2010</v>
      </c>
      <c r="K4895" t="s">
        <v>4554</v>
      </c>
      <c r="L4895" t="s">
        <v>4555</v>
      </c>
      <c r="M4895" s="2">
        <v>1455</v>
      </c>
      <c r="N4895" t="s">
        <v>3147</v>
      </c>
      <c r="O4895">
        <v>3</v>
      </c>
      <c r="P4895">
        <v>2</v>
      </c>
      <c r="Q4895">
        <v>0</v>
      </c>
      <c r="R4895" t="s">
        <v>5281</v>
      </c>
      <c r="S4895" t="s">
        <v>4898</v>
      </c>
      <c r="T4895" t="s">
        <v>2704</v>
      </c>
      <c r="U4895" t="s">
        <v>4560</v>
      </c>
      <c r="V4895" s="2">
        <v>420</v>
      </c>
      <c r="W4895" t="s">
        <v>4655</v>
      </c>
      <c r="X4895" s="2">
        <v>0</v>
      </c>
      <c r="Y4895">
        <v>20</v>
      </c>
      <c r="Z4895" t="s">
        <v>4561</v>
      </c>
      <c r="AA4895" s="3">
        <v>0.16101928055286399</v>
      </c>
      <c r="AB4895" t="s">
        <v>25339</v>
      </c>
      <c r="AC4895" t="s">
        <v>4562</v>
      </c>
      <c r="AD4895" t="s">
        <v>25338</v>
      </c>
      <c r="AE4895" t="s">
        <v>4655</v>
      </c>
      <c r="AF4895" t="s">
        <v>4563</v>
      </c>
      <c r="AG4895" t="s">
        <v>4564</v>
      </c>
      <c r="AH4895" t="s">
        <v>5197</v>
      </c>
      <c r="AI4895" t="s">
        <v>3881</v>
      </c>
      <c r="AJ4895" t="s">
        <v>3882</v>
      </c>
      <c r="AK4895" t="s">
        <v>25340</v>
      </c>
      <c r="AL4895" s="13" t="s">
        <v>2255</v>
      </c>
      <c r="AM4895" s="14">
        <v>1</v>
      </c>
      <c r="AN4895" s="15" t="s">
        <v>3879</v>
      </c>
    </row>
    <row r="4896" spans="1:40" x14ac:dyDescent="0.3">
      <c r="A4896" s="10" t="str">
        <f>HYPERLINK("http://www.washoecounty.gov/assessor/cama/?parid=143-102-14&amp;CardNumber=1","143-102-14")</f>
        <v>143-102-14</v>
      </c>
      <c r="B4896" t="s">
        <v>4655</v>
      </c>
      <c r="C4896" t="s">
        <v>25341</v>
      </c>
      <c r="D4896" s="1">
        <v>40333</v>
      </c>
      <c r="E4896" s="2">
        <v>210000</v>
      </c>
      <c r="F4896" t="s">
        <v>4567</v>
      </c>
      <c r="G4896" s="17" t="str">
        <f>HYPERLINK("https://www.washoecounty.gov/assessor/cama/?command=sales&amp;parid=14310214","3888571")</f>
        <v>3888571</v>
      </c>
      <c r="H4896" t="s">
        <v>3880</v>
      </c>
      <c r="I4896">
        <v>2010</v>
      </c>
      <c r="J4896">
        <v>2010</v>
      </c>
      <c r="K4896" t="s">
        <v>4554</v>
      </c>
      <c r="L4896" t="s">
        <v>4555</v>
      </c>
      <c r="M4896" s="2">
        <v>1628</v>
      </c>
      <c r="N4896" t="s">
        <v>3147</v>
      </c>
      <c r="O4896">
        <v>5</v>
      </c>
      <c r="P4896">
        <v>2</v>
      </c>
      <c r="Q4896">
        <v>0</v>
      </c>
      <c r="R4896" t="s">
        <v>5281</v>
      </c>
      <c r="S4896" t="s">
        <v>4898</v>
      </c>
      <c r="T4896" t="s">
        <v>2704</v>
      </c>
      <c r="U4896" t="s">
        <v>4560</v>
      </c>
      <c r="V4896" s="2">
        <v>438</v>
      </c>
      <c r="W4896" t="s">
        <v>4655</v>
      </c>
      <c r="X4896" s="2">
        <v>0</v>
      </c>
      <c r="Y4896">
        <v>20</v>
      </c>
      <c r="Z4896" t="s">
        <v>4561</v>
      </c>
      <c r="AA4896" s="3">
        <v>0.23549127578735399</v>
      </c>
      <c r="AB4896" t="s">
        <v>25342</v>
      </c>
      <c r="AC4896" t="s">
        <v>4562</v>
      </c>
      <c r="AD4896" t="s">
        <v>25343</v>
      </c>
      <c r="AE4896" t="s">
        <v>4655</v>
      </c>
      <c r="AF4896" t="s">
        <v>4563</v>
      </c>
      <c r="AG4896" t="s">
        <v>4564</v>
      </c>
      <c r="AH4896" t="s">
        <v>5197</v>
      </c>
      <c r="AI4896" t="s">
        <v>4655</v>
      </c>
      <c r="AJ4896" t="s">
        <v>3882</v>
      </c>
      <c r="AK4896" t="s">
        <v>25344</v>
      </c>
      <c r="AL4896" s="13" t="s">
        <v>2255</v>
      </c>
      <c r="AM4896">
        <v>1</v>
      </c>
      <c r="AN4896" s="15" t="s">
        <v>3879</v>
      </c>
    </row>
    <row r="4897" spans="1:40" x14ac:dyDescent="0.3">
      <c r="A4897" s="10" t="str">
        <f>HYPERLINK("http://www.washoecounty.gov/assessor/cama/?parid=143-102-15&amp;CardNumber=1","143-102-15")</f>
        <v>143-102-15</v>
      </c>
      <c r="B4897" t="s">
        <v>4655</v>
      </c>
      <c r="C4897" t="s">
        <v>25345</v>
      </c>
      <c r="D4897" s="1">
        <v>40319</v>
      </c>
      <c r="E4897" s="2">
        <v>221593</v>
      </c>
      <c r="F4897" t="s">
        <v>4567</v>
      </c>
      <c r="G4897" s="17" t="str">
        <f>HYPERLINK("https://www.washoecounty.gov/assessor/cama/?command=sales&amp;parid=14310215","3883703")</f>
        <v>3883703</v>
      </c>
      <c r="H4897" t="s">
        <v>3880</v>
      </c>
      <c r="I4897">
        <v>2010</v>
      </c>
      <c r="J4897">
        <v>2010</v>
      </c>
      <c r="K4897" t="s">
        <v>4554</v>
      </c>
      <c r="L4897" t="s">
        <v>3974</v>
      </c>
      <c r="M4897" s="2">
        <v>1972</v>
      </c>
      <c r="N4897" t="s">
        <v>3147</v>
      </c>
      <c r="O4897">
        <v>4</v>
      </c>
      <c r="P4897">
        <v>2</v>
      </c>
      <c r="Q4897">
        <v>1</v>
      </c>
      <c r="R4897" t="s">
        <v>5281</v>
      </c>
      <c r="S4897" t="s">
        <v>4898</v>
      </c>
      <c r="T4897" t="s">
        <v>2704</v>
      </c>
      <c r="U4897" t="s">
        <v>5631</v>
      </c>
      <c r="V4897" s="2">
        <v>426</v>
      </c>
      <c r="W4897" t="s">
        <v>4655</v>
      </c>
      <c r="X4897" s="2">
        <v>0</v>
      </c>
      <c r="Y4897">
        <v>20</v>
      </c>
      <c r="Z4897" t="s">
        <v>4561</v>
      </c>
      <c r="AA4897" s="3">
        <v>0.17288796603679699</v>
      </c>
      <c r="AB4897" t="s">
        <v>25346</v>
      </c>
      <c r="AC4897" t="s">
        <v>4562</v>
      </c>
      <c r="AD4897" t="s">
        <v>25345</v>
      </c>
      <c r="AE4897" t="s">
        <v>4655</v>
      </c>
      <c r="AF4897" t="s">
        <v>4563</v>
      </c>
      <c r="AG4897" t="s">
        <v>4564</v>
      </c>
      <c r="AH4897" t="s">
        <v>5197</v>
      </c>
      <c r="AI4897" t="s">
        <v>3881</v>
      </c>
      <c r="AJ4897" t="s">
        <v>3882</v>
      </c>
      <c r="AK4897" t="s">
        <v>25347</v>
      </c>
      <c r="AL4897" s="13" t="s">
        <v>2255</v>
      </c>
      <c r="AM4897">
        <v>1</v>
      </c>
      <c r="AN4897" s="15" t="s">
        <v>3879</v>
      </c>
    </row>
    <row r="4898" spans="1:40" x14ac:dyDescent="0.3">
      <c r="A4898" s="10" t="str">
        <f>HYPERLINK("http://www.washoecounty.gov/assessor/cama/?parid=143-102-16&amp;CardNumber=1","143-102-16")</f>
        <v>143-102-16</v>
      </c>
      <c r="B4898" t="s">
        <v>4655</v>
      </c>
      <c r="C4898" t="s">
        <v>25348</v>
      </c>
      <c r="D4898" s="1">
        <v>40319</v>
      </c>
      <c r="E4898" s="2">
        <v>195000</v>
      </c>
      <c r="F4898" t="s">
        <v>4567</v>
      </c>
      <c r="G4898" s="17" t="str">
        <f>HYPERLINK("https://www.washoecounty.gov/assessor/cama/?command=sales&amp;parid=14310216","3883951")</f>
        <v>3883951</v>
      </c>
      <c r="H4898" t="s">
        <v>3880</v>
      </c>
      <c r="I4898">
        <v>2010</v>
      </c>
      <c r="J4898">
        <v>2010</v>
      </c>
      <c r="K4898" t="s">
        <v>4554</v>
      </c>
      <c r="L4898" t="s">
        <v>4555</v>
      </c>
      <c r="M4898" s="2">
        <v>1628</v>
      </c>
      <c r="N4898" t="s">
        <v>3147</v>
      </c>
      <c r="O4898">
        <v>5</v>
      </c>
      <c r="P4898">
        <v>2</v>
      </c>
      <c r="Q4898">
        <v>0</v>
      </c>
      <c r="R4898" t="s">
        <v>5281</v>
      </c>
      <c r="S4898" t="s">
        <v>4898</v>
      </c>
      <c r="T4898" t="s">
        <v>2704</v>
      </c>
      <c r="U4898" t="s">
        <v>4560</v>
      </c>
      <c r="V4898" s="2">
        <v>438</v>
      </c>
      <c r="W4898" t="s">
        <v>4655</v>
      </c>
      <c r="X4898" s="2">
        <v>0</v>
      </c>
      <c r="Y4898">
        <v>20</v>
      </c>
      <c r="Z4898" t="s">
        <v>4561</v>
      </c>
      <c r="AA4898" s="3">
        <v>0.138957753777504</v>
      </c>
      <c r="AB4898" t="s">
        <v>25349</v>
      </c>
      <c r="AC4898" t="s">
        <v>4562</v>
      </c>
      <c r="AD4898" t="s">
        <v>25348</v>
      </c>
      <c r="AE4898" t="s">
        <v>4655</v>
      </c>
      <c r="AF4898" t="s">
        <v>4563</v>
      </c>
      <c r="AG4898" t="s">
        <v>4564</v>
      </c>
      <c r="AH4898" t="s">
        <v>5197</v>
      </c>
      <c r="AI4898" t="s">
        <v>3881</v>
      </c>
      <c r="AJ4898" t="s">
        <v>3882</v>
      </c>
      <c r="AK4898" t="s">
        <v>25350</v>
      </c>
      <c r="AL4898" s="13" t="s">
        <v>2255</v>
      </c>
      <c r="AM4898">
        <v>1</v>
      </c>
      <c r="AN4898" s="15" t="s">
        <v>3879</v>
      </c>
    </row>
    <row r="4899" spans="1:40" x14ac:dyDescent="0.3">
      <c r="A4899" s="10" t="str">
        <f>HYPERLINK("http://www.washoecounty.gov/assessor/cama/?parid=143-102-17&amp;CardNumber=1","143-102-17")</f>
        <v>143-102-17</v>
      </c>
      <c r="B4899" t="s">
        <v>4655</v>
      </c>
      <c r="C4899" t="s">
        <v>25351</v>
      </c>
      <c r="D4899" s="1">
        <v>40319</v>
      </c>
      <c r="E4899" s="2">
        <v>235980</v>
      </c>
      <c r="F4899" t="s">
        <v>4567</v>
      </c>
      <c r="G4899" s="17" t="str">
        <f>HYPERLINK("https://www.washoecounty.gov/assessor/cama/?command=sales&amp;parid=14310217","3883963")</f>
        <v>3883963</v>
      </c>
      <c r="H4899" t="s">
        <v>3880</v>
      </c>
      <c r="I4899">
        <v>2010</v>
      </c>
      <c r="J4899">
        <v>2010</v>
      </c>
      <c r="K4899" t="s">
        <v>4554</v>
      </c>
      <c r="L4899" t="s">
        <v>3974</v>
      </c>
      <c r="M4899" s="2">
        <v>2300</v>
      </c>
      <c r="N4899" t="s">
        <v>3147</v>
      </c>
      <c r="O4899">
        <v>4</v>
      </c>
      <c r="P4899">
        <v>2</v>
      </c>
      <c r="Q4899">
        <v>1</v>
      </c>
      <c r="R4899" t="s">
        <v>5281</v>
      </c>
      <c r="S4899" t="s">
        <v>4898</v>
      </c>
      <c r="T4899" t="s">
        <v>2704</v>
      </c>
      <c r="U4899" t="s">
        <v>5631</v>
      </c>
      <c r="V4899" s="2">
        <v>426</v>
      </c>
      <c r="W4899" t="s">
        <v>4655</v>
      </c>
      <c r="X4899" s="2">
        <v>0</v>
      </c>
      <c r="Y4899">
        <v>20</v>
      </c>
      <c r="Z4899" t="s">
        <v>4561</v>
      </c>
      <c r="AA4899" s="3">
        <v>0.17865014076232899</v>
      </c>
      <c r="AB4899" t="s">
        <v>25352</v>
      </c>
      <c r="AC4899" t="s">
        <v>4562</v>
      </c>
      <c r="AD4899" t="s">
        <v>25353</v>
      </c>
      <c r="AE4899" t="s">
        <v>25351</v>
      </c>
      <c r="AF4899" t="s">
        <v>4563</v>
      </c>
      <c r="AG4899" t="s">
        <v>4564</v>
      </c>
      <c r="AH4899" t="s">
        <v>5197</v>
      </c>
      <c r="AI4899" t="s">
        <v>3881</v>
      </c>
      <c r="AJ4899" t="s">
        <v>3882</v>
      </c>
      <c r="AK4899" t="s">
        <v>25354</v>
      </c>
      <c r="AL4899" s="13" t="s">
        <v>2255</v>
      </c>
      <c r="AM4899">
        <v>1</v>
      </c>
      <c r="AN4899" s="15" t="s">
        <v>3879</v>
      </c>
    </row>
    <row r="4900" spans="1:40" x14ac:dyDescent="0.3">
      <c r="A4900" s="10" t="str">
        <f>HYPERLINK("http://www.washoecounty.gov/assessor/cama/?parid=143-102-18&amp;CardNumber=1","143-102-18")</f>
        <v>143-102-18</v>
      </c>
      <c r="B4900" t="s">
        <v>4655</v>
      </c>
      <c r="C4900" t="s">
        <v>25355</v>
      </c>
      <c r="D4900" s="1">
        <v>40347</v>
      </c>
      <c r="E4900" s="2">
        <v>252363</v>
      </c>
      <c r="F4900" t="s">
        <v>4567</v>
      </c>
      <c r="G4900" s="17" t="str">
        <f>HYPERLINK("https://www.washoecounty.gov/assessor/cama/?command=sales&amp;parid=14310218","3893460")</f>
        <v>3893460</v>
      </c>
      <c r="H4900" t="s">
        <v>3880</v>
      </c>
      <c r="I4900">
        <v>2010</v>
      </c>
      <c r="J4900">
        <v>2010</v>
      </c>
      <c r="K4900" t="s">
        <v>4554</v>
      </c>
      <c r="L4900" t="s">
        <v>3974</v>
      </c>
      <c r="M4900" s="2">
        <v>2300</v>
      </c>
      <c r="N4900" t="s">
        <v>3147</v>
      </c>
      <c r="O4900">
        <v>4</v>
      </c>
      <c r="P4900">
        <v>2</v>
      </c>
      <c r="Q4900">
        <v>1</v>
      </c>
      <c r="R4900" t="s">
        <v>5281</v>
      </c>
      <c r="S4900" t="s">
        <v>4898</v>
      </c>
      <c r="T4900" t="s">
        <v>2704</v>
      </c>
      <c r="U4900" t="s">
        <v>5631</v>
      </c>
      <c r="V4900" s="2">
        <v>426</v>
      </c>
      <c r="W4900" t="s">
        <v>4655</v>
      </c>
      <c r="X4900" s="2">
        <v>0</v>
      </c>
      <c r="Y4900">
        <v>20</v>
      </c>
      <c r="Z4900" t="s">
        <v>4561</v>
      </c>
      <c r="AA4900" s="3">
        <v>0.17711202800273901</v>
      </c>
      <c r="AB4900" t="s">
        <v>25356</v>
      </c>
      <c r="AC4900" t="s">
        <v>4562</v>
      </c>
      <c r="AD4900" t="s">
        <v>25355</v>
      </c>
      <c r="AE4900" t="s">
        <v>4655</v>
      </c>
      <c r="AF4900" t="s">
        <v>4563</v>
      </c>
      <c r="AG4900" t="s">
        <v>4564</v>
      </c>
      <c r="AH4900" t="s">
        <v>5197</v>
      </c>
      <c r="AI4900" t="s">
        <v>3881</v>
      </c>
      <c r="AJ4900" t="s">
        <v>3882</v>
      </c>
      <c r="AK4900" t="s">
        <v>25357</v>
      </c>
      <c r="AL4900" s="13" t="s">
        <v>2255</v>
      </c>
      <c r="AM4900">
        <v>1</v>
      </c>
      <c r="AN4900" s="15" t="s">
        <v>3879</v>
      </c>
    </row>
    <row r="4901" spans="1:40" x14ac:dyDescent="0.3">
      <c r="A4901" s="10" t="str">
        <f>HYPERLINK("http://www.washoecounty.gov/assessor/cama/?parid=143-102-19&amp;CardNumber=1","143-102-19")</f>
        <v>143-102-19</v>
      </c>
      <c r="B4901" t="s">
        <v>4655</v>
      </c>
      <c r="C4901" t="s">
        <v>25358</v>
      </c>
      <c r="D4901" s="1">
        <v>40351</v>
      </c>
      <c r="E4901" s="2">
        <v>179000</v>
      </c>
      <c r="F4901" t="s">
        <v>4567</v>
      </c>
      <c r="G4901" s="17" t="str">
        <f>HYPERLINK("https://www.washoecounty.gov/assessor/cama/?command=sales&amp;parid=14310219","3894091")</f>
        <v>3894091</v>
      </c>
      <c r="H4901" t="s">
        <v>3880</v>
      </c>
      <c r="I4901">
        <v>2010</v>
      </c>
      <c r="J4901">
        <v>2010</v>
      </c>
      <c r="K4901" t="s">
        <v>4554</v>
      </c>
      <c r="L4901" t="s">
        <v>4555</v>
      </c>
      <c r="M4901" s="2">
        <v>1323</v>
      </c>
      <c r="N4901" t="s">
        <v>3147</v>
      </c>
      <c r="O4901">
        <v>3</v>
      </c>
      <c r="P4901">
        <v>2</v>
      </c>
      <c r="Q4901">
        <v>0</v>
      </c>
      <c r="R4901" t="s">
        <v>5281</v>
      </c>
      <c r="S4901" t="s">
        <v>4898</v>
      </c>
      <c r="T4901" t="s">
        <v>2704</v>
      </c>
      <c r="U4901" t="s">
        <v>4560</v>
      </c>
      <c r="V4901" s="2">
        <v>424</v>
      </c>
      <c r="W4901" t="s">
        <v>4655</v>
      </c>
      <c r="X4901" s="2">
        <v>0</v>
      </c>
      <c r="Y4901">
        <v>20</v>
      </c>
      <c r="Z4901" t="s">
        <v>4561</v>
      </c>
      <c r="AA4901" s="3">
        <v>0.17497704923152901</v>
      </c>
      <c r="AB4901" t="s">
        <v>25359</v>
      </c>
      <c r="AC4901" t="s">
        <v>4562</v>
      </c>
      <c r="AD4901" t="s">
        <v>25360</v>
      </c>
      <c r="AE4901" t="s">
        <v>4655</v>
      </c>
      <c r="AF4901" t="s">
        <v>25361</v>
      </c>
      <c r="AG4901" t="s">
        <v>4584</v>
      </c>
      <c r="AH4901" t="s">
        <v>25362</v>
      </c>
      <c r="AI4901" t="s">
        <v>25363</v>
      </c>
      <c r="AJ4901" t="s">
        <v>3882</v>
      </c>
      <c r="AK4901" t="s">
        <v>25364</v>
      </c>
      <c r="AL4901" s="13" t="s">
        <v>2255</v>
      </c>
      <c r="AM4901">
        <v>1</v>
      </c>
      <c r="AN4901" s="15" t="s">
        <v>3879</v>
      </c>
    </row>
    <row r="4902" spans="1:40" x14ac:dyDescent="0.3">
      <c r="A4902" s="10" t="str">
        <f>HYPERLINK("http://www.washoecounty.gov/assessor/cama/?parid=143-102-20&amp;CardNumber=1","143-102-20")</f>
        <v>143-102-20</v>
      </c>
      <c r="B4902" t="s">
        <v>4655</v>
      </c>
      <c r="C4902" t="s">
        <v>25365</v>
      </c>
      <c r="D4902" s="1">
        <v>40319</v>
      </c>
      <c r="E4902" s="2">
        <v>196167</v>
      </c>
      <c r="F4902" t="s">
        <v>4567</v>
      </c>
      <c r="G4902" s="17" t="str">
        <f>HYPERLINK("https://www.washoecounty.gov/assessor/cama/?command=sales&amp;parid=14310220","3883979")</f>
        <v>3883979</v>
      </c>
      <c r="H4902" t="s">
        <v>3880</v>
      </c>
      <c r="I4902">
        <v>2010</v>
      </c>
      <c r="J4902">
        <v>2010</v>
      </c>
      <c r="K4902" t="s">
        <v>4554</v>
      </c>
      <c r="L4902" t="s">
        <v>4555</v>
      </c>
      <c r="M4902" s="2">
        <v>1455</v>
      </c>
      <c r="N4902" t="s">
        <v>3147</v>
      </c>
      <c r="O4902">
        <v>3</v>
      </c>
      <c r="P4902">
        <v>2</v>
      </c>
      <c r="Q4902">
        <v>0</v>
      </c>
      <c r="R4902" t="s">
        <v>5281</v>
      </c>
      <c r="S4902" t="s">
        <v>4898</v>
      </c>
      <c r="T4902" t="s">
        <v>2704</v>
      </c>
      <c r="U4902" t="s">
        <v>4560</v>
      </c>
      <c r="V4902" s="2">
        <v>420</v>
      </c>
      <c r="W4902" t="s">
        <v>4655</v>
      </c>
      <c r="X4902" s="2">
        <v>0</v>
      </c>
      <c r="Y4902">
        <v>20</v>
      </c>
      <c r="Z4902" t="s">
        <v>4561</v>
      </c>
      <c r="AA4902" s="3">
        <v>0.16111111640930201</v>
      </c>
      <c r="AB4902" t="s">
        <v>25366</v>
      </c>
      <c r="AC4902" t="s">
        <v>4562</v>
      </c>
      <c r="AD4902" t="s">
        <v>25365</v>
      </c>
      <c r="AE4902" t="s">
        <v>4655</v>
      </c>
      <c r="AF4902" t="s">
        <v>4563</v>
      </c>
      <c r="AG4902" t="s">
        <v>4564</v>
      </c>
      <c r="AH4902" t="s">
        <v>5197</v>
      </c>
      <c r="AI4902" t="s">
        <v>3881</v>
      </c>
      <c r="AJ4902" t="s">
        <v>3882</v>
      </c>
      <c r="AK4902" t="s">
        <v>25367</v>
      </c>
      <c r="AL4902" s="13" t="s">
        <v>2255</v>
      </c>
      <c r="AM4902">
        <v>1</v>
      </c>
      <c r="AN4902" s="15" t="s">
        <v>3879</v>
      </c>
    </row>
    <row r="4903" spans="1:40" x14ac:dyDescent="0.3">
      <c r="A4903" s="10" t="str">
        <f>HYPERLINK("http://www.washoecounty.gov/assessor/cama/?parid=143-102-21&amp;CardNumber=1","143-102-21")</f>
        <v>143-102-21</v>
      </c>
      <c r="B4903" t="s">
        <v>4655</v>
      </c>
      <c r="C4903" t="s">
        <v>25368</v>
      </c>
      <c r="D4903" s="1">
        <v>40339</v>
      </c>
      <c r="E4903" s="2">
        <v>240145</v>
      </c>
      <c r="F4903" t="s">
        <v>4567</v>
      </c>
      <c r="G4903" s="17" t="str">
        <f>HYPERLINK("https://www.washoecounty.gov/assessor/cama/?command=sales&amp;parid=14310221","3890694")</f>
        <v>3890694</v>
      </c>
      <c r="H4903" t="s">
        <v>3880</v>
      </c>
      <c r="I4903">
        <v>2010</v>
      </c>
      <c r="J4903">
        <v>2010</v>
      </c>
      <c r="K4903" t="s">
        <v>4554</v>
      </c>
      <c r="L4903" t="s">
        <v>3974</v>
      </c>
      <c r="M4903" s="2">
        <v>2300</v>
      </c>
      <c r="N4903" t="s">
        <v>3147</v>
      </c>
      <c r="O4903">
        <v>4</v>
      </c>
      <c r="P4903">
        <v>2</v>
      </c>
      <c r="Q4903">
        <v>1</v>
      </c>
      <c r="R4903" t="s">
        <v>5281</v>
      </c>
      <c r="S4903" t="s">
        <v>4898</v>
      </c>
      <c r="T4903" t="s">
        <v>2704</v>
      </c>
      <c r="U4903" t="s">
        <v>5631</v>
      </c>
      <c r="V4903" s="2">
        <v>426</v>
      </c>
      <c r="W4903" t="s">
        <v>4655</v>
      </c>
      <c r="X4903" s="2">
        <v>0</v>
      </c>
      <c r="Y4903">
        <v>20</v>
      </c>
      <c r="Z4903" t="s">
        <v>4561</v>
      </c>
      <c r="AA4903" s="3">
        <v>0.17033976316451999</v>
      </c>
      <c r="AB4903" t="s">
        <v>25369</v>
      </c>
      <c r="AC4903" t="s">
        <v>4562</v>
      </c>
      <c r="AD4903" t="s">
        <v>25370</v>
      </c>
      <c r="AE4903" t="s">
        <v>4655</v>
      </c>
      <c r="AF4903" t="s">
        <v>4563</v>
      </c>
      <c r="AG4903" t="s">
        <v>4564</v>
      </c>
      <c r="AH4903" t="s">
        <v>5197</v>
      </c>
      <c r="AI4903" t="s">
        <v>3881</v>
      </c>
      <c r="AJ4903" t="s">
        <v>3882</v>
      </c>
      <c r="AK4903" t="s">
        <v>25371</v>
      </c>
      <c r="AL4903" s="13" t="s">
        <v>2255</v>
      </c>
      <c r="AM4903">
        <v>1</v>
      </c>
      <c r="AN4903" s="15" t="s">
        <v>3879</v>
      </c>
    </row>
    <row r="4904" spans="1:40" x14ac:dyDescent="0.3">
      <c r="A4904" s="10" t="str">
        <f>HYPERLINK("http://www.washoecounty.gov/assessor/cama/?parid=143-102-22&amp;CardNumber=1","143-102-22")</f>
        <v>143-102-22</v>
      </c>
      <c r="B4904" t="s">
        <v>4655</v>
      </c>
      <c r="C4904" t="s">
        <v>25372</v>
      </c>
      <c r="D4904" s="1">
        <v>40207</v>
      </c>
      <c r="E4904" s="2">
        <v>500</v>
      </c>
      <c r="F4904" t="s">
        <v>3584</v>
      </c>
      <c r="G4904" s="17" t="str">
        <f>HYPERLINK("https://www.washoecounty.gov/assessor/cama/?command=sales&amp;parid=14310222","3844452")</f>
        <v>3844452</v>
      </c>
      <c r="H4904" t="s">
        <v>3880</v>
      </c>
      <c r="I4904">
        <v>0</v>
      </c>
      <c r="J4904">
        <v>0</v>
      </c>
      <c r="K4904" t="s">
        <v>4655</v>
      </c>
      <c r="L4904" t="s">
        <v>4655</v>
      </c>
      <c r="M4904" s="2">
        <v>0</v>
      </c>
      <c r="N4904" t="s">
        <v>4655</v>
      </c>
      <c r="O4904">
        <v>0</v>
      </c>
      <c r="P4904">
        <v>0</v>
      </c>
      <c r="Q4904">
        <v>0</v>
      </c>
      <c r="R4904" t="s">
        <v>4655</v>
      </c>
      <c r="S4904" t="s">
        <v>4655</v>
      </c>
      <c r="T4904" t="s">
        <v>4655</v>
      </c>
      <c r="U4904" t="s">
        <v>4655</v>
      </c>
      <c r="V4904" s="2">
        <v>0</v>
      </c>
      <c r="W4904" t="s">
        <v>4655</v>
      </c>
      <c r="X4904" s="2">
        <v>0</v>
      </c>
      <c r="Y4904">
        <v>24</v>
      </c>
      <c r="Z4904" t="s">
        <v>4561</v>
      </c>
      <c r="AA4904" s="3">
        <v>5.19054159522057E-2</v>
      </c>
      <c r="AB4904" t="s">
        <v>25292</v>
      </c>
      <c r="AC4904" t="s">
        <v>4562</v>
      </c>
      <c r="AD4904" t="s">
        <v>25293</v>
      </c>
      <c r="AE4904" t="s">
        <v>25294</v>
      </c>
      <c r="AF4904" t="s">
        <v>4563</v>
      </c>
      <c r="AG4904" t="s">
        <v>4564</v>
      </c>
      <c r="AH4904">
        <v>89502</v>
      </c>
      <c r="AI4904" t="s">
        <v>25292</v>
      </c>
      <c r="AJ4904" t="s">
        <v>3882</v>
      </c>
      <c r="AK4904" t="s">
        <v>25373</v>
      </c>
      <c r="AL4904" s="13" t="s">
        <v>2255</v>
      </c>
      <c r="AM4904" s="14">
        <v>0</v>
      </c>
      <c r="AN4904" s="15" t="s">
        <v>25296</v>
      </c>
    </row>
    <row r="4905" spans="1:40" x14ac:dyDescent="0.3">
      <c r="A4905" s="10" t="str">
        <f>HYPERLINK("http://www.washoecounty.gov/assessor/cama/?parid=143-103-01&amp;CardNumber=1","143-103-01")</f>
        <v>143-103-01</v>
      </c>
      <c r="B4905" t="s">
        <v>4655</v>
      </c>
      <c r="C4905" t="s">
        <v>25374</v>
      </c>
      <c r="D4905" s="1">
        <v>40459</v>
      </c>
      <c r="E4905" s="2">
        <v>235000</v>
      </c>
      <c r="F4905" t="s">
        <v>4567</v>
      </c>
      <c r="G4905" s="17" t="str">
        <f>HYPERLINK("https://www.washoecounty.gov/assessor/cama/?command=sales&amp;parid=14310301","3931200")</f>
        <v>3931200</v>
      </c>
      <c r="H4905" t="s">
        <v>3880</v>
      </c>
      <c r="I4905">
        <v>2007</v>
      </c>
      <c r="J4905">
        <v>2007</v>
      </c>
      <c r="K4905" t="s">
        <v>4554</v>
      </c>
      <c r="L4905" t="s">
        <v>4555</v>
      </c>
      <c r="M4905" s="2">
        <v>2447</v>
      </c>
      <c r="N4905" t="s">
        <v>3147</v>
      </c>
      <c r="O4905">
        <v>4</v>
      </c>
      <c r="P4905">
        <v>2</v>
      </c>
      <c r="Q4905">
        <v>1</v>
      </c>
      <c r="R4905" t="s">
        <v>5281</v>
      </c>
      <c r="S4905" t="s">
        <v>4898</v>
      </c>
      <c r="T4905" t="s">
        <v>2704</v>
      </c>
      <c r="U4905" t="s">
        <v>4560</v>
      </c>
      <c r="V4905" s="2">
        <v>585</v>
      </c>
      <c r="W4905" t="s">
        <v>4655</v>
      </c>
      <c r="X4905" s="2">
        <v>0</v>
      </c>
      <c r="Y4905">
        <v>20</v>
      </c>
      <c r="Z4905" t="s">
        <v>4561</v>
      </c>
      <c r="AA4905" s="3">
        <v>0.17247474193572998</v>
      </c>
      <c r="AB4905" t="s">
        <v>25375</v>
      </c>
      <c r="AC4905" t="s">
        <v>4575</v>
      </c>
      <c r="AD4905" t="s">
        <v>25376</v>
      </c>
      <c r="AE4905" t="s">
        <v>4655</v>
      </c>
      <c r="AF4905" t="s">
        <v>2855</v>
      </c>
      <c r="AG4905" t="s">
        <v>4564</v>
      </c>
      <c r="AH4905" t="s">
        <v>4290</v>
      </c>
      <c r="AI4905" t="s">
        <v>3013</v>
      </c>
      <c r="AJ4905" t="s">
        <v>3882</v>
      </c>
      <c r="AK4905" t="s">
        <v>25377</v>
      </c>
      <c r="AL4905" s="13" t="s">
        <v>2255</v>
      </c>
      <c r="AM4905">
        <v>1</v>
      </c>
      <c r="AN4905" s="15" t="s">
        <v>3879</v>
      </c>
    </row>
    <row r="4906" spans="1:40" x14ac:dyDescent="0.3">
      <c r="A4906" s="10" t="str">
        <f>HYPERLINK("http://www.washoecounty.gov/assessor/cama/?parid=143-103-02&amp;CardNumber=1","143-103-02")</f>
        <v>143-103-02</v>
      </c>
      <c r="B4906" t="s">
        <v>4655</v>
      </c>
      <c r="C4906" t="s">
        <v>25378</v>
      </c>
      <c r="D4906" s="1">
        <v>40511</v>
      </c>
      <c r="E4906" s="2">
        <v>239000</v>
      </c>
      <c r="F4906" t="s">
        <v>4567</v>
      </c>
      <c r="G4906" s="17" t="str">
        <f>HYPERLINK("https://www.washoecounty.gov/assessor/cama/?command=sales&amp;parid=14310302","3947363")</f>
        <v>3947363</v>
      </c>
      <c r="H4906" t="s">
        <v>3880</v>
      </c>
      <c r="I4906">
        <v>2006</v>
      </c>
      <c r="J4906">
        <v>2006</v>
      </c>
      <c r="K4906" t="s">
        <v>4554</v>
      </c>
      <c r="L4906" t="s">
        <v>4555</v>
      </c>
      <c r="M4906" s="2">
        <v>2447</v>
      </c>
      <c r="N4906" t="s">
        <v>3147</v>
      </c>
      <c r="O4906">
        <v>4</v>
      </c>
      <c r="P4906">
        <v>2</v>
      </c>
      <c r="Q4906">
        <v>1</v>
      </c>
      <c r="R4906" t="s">
        <v>5281</v>
      </c>
      <c r="S4906" t="s">
        <v>4898</v>
      </c>
      <c r="T4906" t="s">
        <v>2704</v>
      </c>
      <c r="U4906" t="s">
        <v>4560</v>
      </c>
      <c r="V4906" s="2">
        <v>589</v>
      </c>
      <c r="W4906" t="s">
        <v>4655</v>
      </c>
      <c r="X4906" s="2">
        <v>0</v>
      </c>
      <c r="Y4906">
        <v>20</v>
      </c>
      <c r="Z4906" t="s">
        <v>4561</v>
      </c>
      <c r="AA4906" s="3">
        <v>0.17539027333259599</v>
      </c>
      <c r="AB4906" t="s">
        <v>25379</v>
      </c>
      <c r="AC4906" t="s">
        <v>4562</v>
      </c>
      <c r="AD4906" t="s">
        <v>25378</v>
      </c>
      <c r="AE4906" t="s">
        <v>4655</v>
      </c>
      <c r="AF4906" t="s">
        <v>4563</v>
      </c>
      <c r="AG4906" t="s">
        <v>4564</v>
      </c>
      <c r="AH4906" t="s">
        <v>5197</v>
      </c>
      <c r="AI4906" t="s">
        <v>25380</v>
      </c>
      <c r="AJ4906" t="s">
        <v>3882</v>
      </c>
      <c r="AK4906" t="s">
        <v>25381</v>
      </c>
      <c r="AL4906" s="13" t="s">
        <v>2255</v>
      </c>
      <c r="AM4906">
        <v>1</v>
      </c>
      <c r="AN4906" s="15" t="s">
        <v>3879</v>
      </c>
    </row>
    <row r="4907" spans="1:40" x14ac:dyDescent="0.3">
      <c r="A4907" s="10" t="str">
        <f>HYPERLINK("http://www.washoecounty.gov/assessor/cama/?parid=143-103-16&amp;CardNumber=1","143-103-16")</f>
        <v>143-103-16</v>
      </c>
      <c r="B4907" t="s">
        <v>4655</v>
      </c>
      <c r="C4907" t="s">
        <v>25382</v>
      </c>
      <c r="D4907" s="1">
        <v>40487</v>
      </c>
      <c r="E4907" s="2">
        <v>229572</v>
      </c>
      <c r="F4907" t="s">
        <v>4567</v>
      </c>
      <c r="G4907" s="17" t="str">
        <f>HYPERLINK("https://www.washoecounty.gov/assessor/cama/?command=sales&amp;parid=14310316","3940624")</f>
        <v>3940624</v>
      </c>
      <c r="H4907" t="s">
        <v>3880</v>
      </c>
      <c r="I4907">
        <v>2010</v>
      </c>
      <c r="J4907">
        <v>2010</v>
      </c>
      <c r="K4907" t="s">
        <v>4554</v>
      </c>
      <c r="L4907" t="s">
        <v>3974</v>
      </c>
      <c r="M4907" s="2">
        <v>2547</v>
      </c>
      <c r="N4907" t="s">
        <v>3147</v>
      </c>
      <c r="O4907">
        <v>4</v>
      </c>
      <c r="P4907">
        <v>2</v>
      </c>
      <c r="Q4907">
        <v>1</v>
      </c>
      <c r="R4907" t="s">
        <v>5281</v>
      </c>
      <c r="S4907" t="s">
        <v>4898</v>
      </c>
      <c r="T4907" t="s">
        <v>2704</v>
      </c>
      <c r="U4907" t="s">
        <v>5631</v>
      </c>
      <c r="V4907" s="2">
        <v>426</v>
      </c>
      <c r="W4907" t="s">
        <v>4655</v>
      </c>
      <c r="X4907" s="2">
        <v>0</v>
      </c>
      <c r="Y4907">
        <v>20</v>
      </c>
      <c r="Z4907" t="s">
        <v>4561</v>
      </c>
      <c r="AA4907" s="3">
        <v>0.1464187353849411</v>
      </c>
      <c r="AB4907" t="s">
        <v>18258</v>
      </c>
      <c r="AC4907" t="s">
        <v>4562</v>
      </c>
      <c r="AD4907" t="s">
        <v>25382</v>
      </c>
      <c r="AE4907" t="s">
        <v>4655</v>
      </c>
      <c r="AF4907" t="s">
        <v>4563</v>
      </c>
      <c r="AG4907" t="s">
        <v>4564</v>
      </c>
      <c r="AH4907" t="s">
        <v>5197</v>
      </c>
      <c r="AI4907" t="s">
        <v>3881</v>
      </c>
      <c r="AJ4907" t="s">
        <v>3882</v>
      </c>
      <c r="AK4907" t="s">
        <v>25383</v>
      </c>
      <c r="AL4907" s="13" t="s">
        <v>2255</v>
      </c>
      <c r="AM4907">
        <v>1</v>
      </c>
      <c r="AN4907" s="15" t="s">
        <v>3879</v>
      </c>
    </row>
    <row r="4908" spans="1:40" x14ac:dyDescent="0.3">
      <c r="A4908" s="10" t="str">
        <f>HYPERLINK("http://www.washoecounty.gov/assessor/cama/?parid=143-103-17&amp;CardNumber=1","143-103-17")</f>
        <v>143-103-17</v>
      </c>
      <c r="B4908" t="s">
        <v>4655</v>
      </c>
      <c r="C4908" t="s">
        <v>25384</v>
      </c>
      <c r="D4908" s="1">
        <v>40366</v>
      </c>
      <c r="E4908" s="2">
        <v>205969</v>
      </c>
      <c r="F4908" t="s">
        <v>4567</v>
      </c>
      <c r="G4908" s="17" t="str">
        <f>HYPERLINK("https://www.washoecounty.gov/assessor/cama/?command=sales&amp;parid=14310317","3899061")</f>
        <v>3899061</v>
      </c>
      <c r="H4908" t="s">
        <v>3880</v>
      </c>
      <c r="I4908">
        <v>2010</v>
      </c>
      <c r="J4908">
        <v>2010</v>
      </c>
      <c r="K4908" t="s">
        <v>4554</v>
      </c>
      <c r="L4908" t="s">
        <v>4555</v>
      </c>
      <c r="M4908" s="2">
        <v>1455</v>
      </c>
      <c r="N4908" t="s">
        <v>3147</v>
      </c>
      <c r="O4908">
        <v>4</v>
      </c>
      <c r="P4908">
        <v>2</v>
      </c>
      <c r="Q4908">
        <v>0</v>
      </c>
      <c r="R4908" t="s">
        <v>5281</v>
      </c>
      <c r="S4908" t="s">
        <v>4898</v>
      </c>
      <c r="T4908" t="s">
        <v>2704</v>
      </c>
      <c r="U4908" t="s">
        <v>4560</v>
      </c>
      <c r="V4908" s="2">
        <v>420</v>
      </c>
      <c r="W4908" t="s">
        <v>4655</v>
      </c>
      <c r="X4908" s="2">
        <v>0</v>
      </c>
      <c r="Y4908">
        <v>20</v>
      </c>
      <c r="Z4908" t="s">
        <v>4561</v>
      </c>
      <c r="AA4908" s="3">
        <v>0.13783288002014199</v>
      </c>
      <c r="AB4908" t="s">
        <v>25385</v>
      </c>
      <c r="AC4908" t="s">
        <v>4562</v>
      </c>
      <c r="AD4908" t="s">
        <v>25386</v>
      </c>
      <c r="AE4908" t="s">
        <v>4655</v>
      </c>
      <c r="AF4908" t="s">
        <v>4563</v>
      </c>
      <c r="AG4908" t="s">
        <v>4564</v>
      </c>
      <c r="AH4908" t="s">
        <v>5197</v>
      </c>
      <c r="AI4908" t="s">
        <v>4655</v>
      </c>
      <c r="AJ4908" t="s">
        <v>3882</v>
      </c>
      <c r="AK4908" t="s">
        <v>25387</v>
      </c>
      <c r="AL4908" s="13" t="s">
        <v>2255</v>
      </c>
      <c r="AM4908">
        <v>1</v>
      </c>
      <c r="AN4908" s="15" t="s">
        <v>3879</v>
      </c>
    </row>
    <row r="4909" spans="1:40" x14ac:dyDescent="0.3">
      <c r="A4909" s="10" t="str">
        <f>HYPERLINK("http://www.washoecounty.gov/assessor/cama/?parid=143-103-22&amp;CardNumber=1","143-103-22")</f>
        <v>143-103-22</v>
      </c>
      <c r="B4909" t="s">
        <v>4655</v>
      </c>
      <c r="C4909" t="s">
        <v>25372</v>
      </c>
      <c r="D4909" s="1">
        <v>40207</v>
      </c>
      <c r="E4909" s="2">
        <v>500</v>
      </c>
      <c r="F4909" t="s">
        <v>3584</v>
      </c>
      <c r="G4909" s="17" t="str">
        <f>HYPERLINK("https://www.washoecounty.gov/assessor/cama/?command=sales&amp;parid=14310322","3844452")</f>
        <v>3844452</v>
      </c>
      <c r="H4909" t="s">
        <v>3880</v>
      </c>
      <c r="I4909">
        <v>0</v>
      </c>
      <c r="J4909">
        <v>0</v>
      </c>
      <c r="K4909" t="s">
        <v>4655</v>
      </c>
      <c r="L4909" t="s">
        <v>4655</v>
      </c>
      <c r="M4909" s="2">
        <v>0</v>
      </c>
      <c r="N4909" t="s">
        <v>4655</v>
      </c>
      <c r="O4909">
        <v>0</v>
      </c>
      <c r="P4909">
        <v>0</v>
      </c>
      <c r="Q4909">
        <v>0</v>
      </c>
      <c r="R4909" t="s">
        <v>4655</v>
      </c>
      <c r="S4909" t="s">
        <v>4655</v>
      </c>
      <c r="T4909" t="s">
        <v>4655</v>
      </c>
      <c r="U4909" t="s">
        <v>4655</v>
      </c>
      <c r="V4909" s="2">
        <v>0</v>
      </c>
      <c r="W4909" t="s">
        <v>4655</v>
      </c>
      <c r="X4909" s="2">
        <v>0</v>
      </c>
      <c r="Y4909">
        <v>24</v>
      </c>
      <c r="Z4909" t="s">
        <v>4561</v>
      </c>
      <c r="AA4909" s="3">
        <v>6.9857664406299605E-2</v>
      </c>
      <c r="AB4909" t="s">
        <v>25292</v>
      </c>
      <c r="AC4909" t="s">
        <v>4562</v>
      </c>
      <c r="AD4909" t="s">
        <v>25293</v>
      </c>
      <c r="AE4909" t="s">
        <v>25294</v>
      </c>
      <c r="AF4909" t="s">
        <v>4563</v>
      </c>
      <c r="AG4909" t="s">
        <v>4564</v>
      </c>
      <c r="AH4909">
        <v>89502</v>
      </c>
      <c r="AI4909" t="s">
        <v>25292</v>
      </c>
      <c r="AJ4909" t="s">
        <v>3882</v>
      </c>
      <c r="AK4909" t="s">
        <v>25388</v>
      </c>
      <c r="AL4909" s="13" t="s">
        <v>2255</v>
      </c>
      <c r="AM4909">
        <v>0</v>
      </c>
      <c r="AN4909" s="15" t="s">
        <v>25296</v>
      </c>
    </row>
    <row r="4910" spans="1:40" x14ac:dyDescent="0.3">
      <c r="A4910" s="10" t="str">
        <f>HYPERLINK("http://www.washoecounty.gov/assessor/cama/?parid=143-111-01&amp;CardNumber=1","143-111-01")</f>
        <v>143-111-01</v>
      </c>
      <c r="B4910" t="s">
        <v>4655</v>
      </c>
      <c r="C4910" t="s">
        <v>25389</v>
      </c>
      <c r="D4910" s="1">
        <v>40298</v>
      </c>
      <c r="E4910" s="2">
        <v>240000</v>
      </c>
      <c r="F4910" t="s">
        <v>4567</v>
      </c>
      <c r="G4910" s="17" t="str">
        <f>HYPERLINK("https://www.washoecounty.gov/assessor/cama/?command=sales&amp;parid=14311101","3876586")</f>
        <v>3876586</v>
      </c>
      <c r="H4910" t="s">
        <v>3880</v>
      </c>
      <c r="I4910">
        <v>2006</v>
      </c>
      <c r="J4910">
        <v>2006</v>
      </c>
      <c r="K4910" t="s">
        <v>4554</v>
      </c>
      <c r="L4910" t="s">
        <v>3974</v>
      </c>
      <c r="M4910" s="2">
        <v>2523</v>
      </c>
      <c r="N4910" t="s">
        <v>3147</v>
      </c>
      <c r="O4910">
        <v>4</v>
      </c>
      <c r="P4910">
        <v>2</v>
      </c>
      <c r="Q4910">
        <v>1</v>
      </c>
      <c r="R4910" t="s">
        <v>5281</v>
      </c>
      <c r="S4910" t="s">
        <v>4898</v>
      </c>
      <c r="T4910" t="s">
        <v>2704</v>
      </c>
      <c r="U4910" t="s">
        <v>5631</v>
      </c>
      <c r="V4910" s="2">
        <v>406</v>
      </c>
      <c r="W4910" t="s">
        <v>4655</v>
      </c>
      <c r="X4910" s="2">
        <v>0</v>
      </c>
      <c r="Y4910">
        <v>20</v>
      </c>
      <c r="Z4910" t="s">
        <v>5107</v>
      </c>
      <c r="AA4910" s="3">
        <v>0.12134986370801901</v>
      </c>
      <c r="AB4910" t="s">
        <v>25390</v>
      </c>
      <c r="AC4910" t="s">
        <v>4562</v>
      </c>
      <c r="AD4910" t="s">
        <v>25389</v>
      </c>
      <c r="AE4910" t="s">
        <v>4655</v>
      </c>
      <c r="AF4910" t="s">
        <v>4563</v>
      </c>
      <c r="AG4910" t="s">
        <v>4564</v>
      </c>
      <c r="AH4910" t="s">
        <v>5197</v>
      </c>
      <c r="AI4910" t="s">
        <v>25391</v>
      </c>
      <c r="AJ4910" t="s">
        <v>3882</v>
      </c>
      <c r="AK4910" t="s">
        <v>25392</v>
      </c>
      <c r="AL4910" s="13" t="s">
        <v>2255</v>
      </c>
      <c r="AM4910">
        <v>1</v>
      </c>
      <c r="AN4910" s="15" t="s">
        <v>3879</v>
      </c>
    </row>
    <row r="4911" spans="1:40" x14ac:dyDescent="0.3">
      <c r="A4911" s="10" t="str">
        <f>HYPERLINK("http://www.washoecounty.gov/assessor/cama/?parid=143-111-20&amp;CardNumber=1","143-111-20")</f>
        <v>143-111-20</v>
      </c>
      <c r="B4911" t="s">
        <v>4655</v>
      </c>
      <c r="C4911" t="s">
        <v>25393</v>
      </c>
      <c r="D4911" s="1">
        <v>40541</v>
      </c>
      <c r="E4911" s="2">
        <v>202000</v>
      </c>
      <c r="F4911" t="s">
        <v>4567</v>
      </c>
      <c r="G4911" s="17" t="str">
        <f>HYPERLINK("https://www.washoecounty.gov/assessor/cama/?command=sales&amp;parid=14311120","3958730")</f>
        <v>3958730</v>
      </c>
      <c r="H4911" t="s">
        <v>3880</v>
      </c>
      <c r="I4911">
        <v>2007</v>
      </c>
      <c r="J4911">
        <v>2007</v>
      </c>
      <c r="K4911" t="s">
        <v>4554</v>
      </c>
      <c r="L4911" t="s">
        <v>4555</v>
      </c>
      <c r="M4911" s="2">
        <v>1837</v>
      </c>
      <c r="N4911" t="s">
        <v>3147</v>
      </c>
      <c r="O4911">
        <v>3</v>
      </c>
      <c r="P4911">
        <v>2</v>
      </c>
      <c r="Q4911">
        <v>0</v>
      </c>
      <c r="R4911" t="s">
        <v>5281</v>
      </c>
      <c r="S4911" t="s">
        <v>4898</v>
      </c>
      <c r="T4911" t="s">
        <v>2704</v>
      </c>
      <c r="U4911" t="s">
        <v>4560</v>
      </c>
      <c r="V4911" s="2">
        <v>420</v>
      </c>
      <c r="W4911" t="s">
        <v>4655</v>
      </c>
      <c r="X4911" s="2">
        <v>0</v>
      </c>
      <c r="Y4911">
        <v>20</v>
      </c>
      <c r="Z4911" t="s">
        <v>5107</v>
      </c>
      <c r="AA4911" s="3">
        <v>0.121143251657486</v>
      </c>
      <c r="AB4911" t="s">
        <v>25394</v>
      </c>
      <c r="AC4911" t="s">
        <v>4575</v>
      </c>
      <c r="AD4911" t="s">
        <v>25393</v>
      </c>
      <c r="AE4911" t="s">
        <v>4655</v>
      </c>
      <c r="AF4911" t="s">
        <v>4563</v>
      </c>
      <c r="AG4911" t="s">
        <v>4564</v>
      </c>
      <c r="AH4911" t="s">
        <v>5197</v>
      </c>
      <c r="AI4911" t="s">
        <v>25395</v>
      </c>
      <c r="AJ4911" t="s">
        <v>3882</v>
      </c>
      <c r="AK4911" t="s">
        <v>25396</v>
      </c>
      <c r="AL4911" s="13" t="s">
        <v>2255</v>
      </c>
      <c r="AM4911" s="14">
        <v>1</v>
      </c>
      <c r="AN4911" s="15" t="s">
        <v>3879</v>
      </c>
    </row>
    <row r="4912" spans="1:40" x14ac:dyDescent="0.3">
      <c r="A4912" s="10" t="str">
        <f>HYPERLINK("http://www.washoecounty.gov/assessor/cama/?parid=143-111-38&amp;CardNumber=1","143-111-38")</f>
        <v>143-111-38</v>
      </c>
      <c r="B4912" t="s">
        <v>4655</v>
      </c>
      <c r="C4912" t="s">
        <v>25397</v>
      </c>
      <c r="D4912" s="1">
        <v>40207</v>
      </c>
      <c r="E4912" s="2">
        <v>500</v>
      </c>
      <c r="F4912" t="s">
        <v>3584</v>
      </c>
      <c r="G4912" s="17" t="str">
        <f>HYPERLINK("https://www.washoecounty.gov/assessor/cama/?command=sales&amp;parid=14311138","3844452")</f>
        <v>3844452</v>
      </c>
      <c r="H4912" t="s">
        <v>3880</v>
      </c>
      <c r="I4912">
        <v>0</v>
      </c>
      <c r="J4912">
        <v>0</v>
      </c>
      <c r="K4912" t="s">
        <v>4655</v>
      </c>
      <c r="L4912" t="s">
        <v>4655</v>
      </c>
      <c r="M4912" s="2">
        <v>0</v>
      </c>
      <c r="N4912" t="s">
        <v>4655</v>
      </c>
      <c r="O4912">
        <v>0</v>
      </c>
      <c r="P4912">
        <v>0</v>
      </c>
      <c r="Q4912">
        <v>0</v>
      </c>
      <c r="R4912" t="s">
        <v>4655</v>
      </c>
      <c r="S4912" t="s">
        <v>4655</v>
      </c>
      <c r="T4912" t="s">
        <v>4655</v>
      </c>
      <c r="U4912" t="s">
        <v>4655</v>
      </c>
      <c r="V4912" s="2">
        <v>0</v>
      </c>
      <c r="W4912" t="s">
        <v>4655</v>
      </c>
      <c r="X4912" s="2">
        <v>0</v>
      </c>
      <c r="Y4912">
        <v>24</v>
      </c>
      <c r="Z4912" t="s">
        <v>5107</v>
      </c>
      <c r="AA4912" s="3">
        <v>0.432483941316605</v>
      </c>
      <c r="AB4912" t="s">
        <v>25292</v>
      </c>
      <c r="AC4912" t="s">
        <v>4562</v>
      </c>
      <c r="AD4912" t="s">
        <v>25293</v>
      </c>
      <c r="AE4912" t="s">
        <v>25294</v>
      </c>
      <c r="AF4912" t="s">
        <v>4563</v>
      </c>
      <c r="AG4912" t="s">
        <v>4564</v>
      </c>
      <c r="AH4912">
        <v>89502</v>
      </c>
      <c r="AI4912" t="s">
        <v>25292</v>
      </c>
      <c r="AJ4912" t="s">
        <v>3882</v>
      </c>
      <c r="AK4912" t="s">
        <v>25398</v>
      </c>
      <c r="AL4912" s="13" t="s">
        <v>2255</v>
      </c>
      <c r="AM4912" s="14">
        <v>0</v>
      </c>
      <c r="AN4912" s="15" t="s">
        <v>25296</v>
      </c>
    </row>
    <row r="4913" spans="1:40" x14ac:dyDescent="0.3">
      <c r="A4913" s="10" t="str">
        <f>HYPERLINK("http://www.washoecounty.gov/assessor/cama/?parid=143-112-16&amp;CardNumber=1","143-112-16")</f>
        <v>143-112-16</v>
      </c>
      <c r="B4913" t="s">
        <v>4655</v>
      </c>
      <c r="C4913" t="s">
        <v>25399</v>
      </c>
      <c r="D4913" s="1">
        <v>40534</v>
      </c>
      <c r="E4913" s="2">
        <v>298000</v>
      </c>
      <c r="F4913" t="s">
        <v>4553</v>
      </c>
      <c r="G4913" s="17" t="str">
        <f>HYPERLINK("https://www.washoecounty.gov/assessor/cama/?command=sales&amp;parid=14311216","3956265")</f>
        <v>3956265</v>
      </c>
      <c r="H4913" t="s">
        <v>3880</v>
      </c>
      <c r="I4913">
        <v>2006</v>
      </c>
      <c r="J4913">
        <v>2006</v>
      </c>
      <c r="K4913" t="s">
        <v>4554</v>
      </c>
      <c r="L4913" t="s">
        <v>3974</v>
      </c>
      <c r="M4913" s="2">
        <v>3057</v>
      </c>
      <c r="N4913" t="s">
        <v>3147</v>
      </c>
      <c r="O4913">
        <v>6</v>
      </c>
      <c r="P4913">
        <v>3</v>
      </c>
      <c r="Q4913">
        <v>0</v>
      </c>
      <c r="R4913" t="s">
        <v>5281</v>
      </c>
      <c r="S4913" t="s">
        <v>4898</v>
      </c>
      <c r="T4913" t="s">
        <v>2704</v>
      </c>
      <c r="U4913" t="s">
        <v>162</v>
      </c>
      <c r="V4913" s="2">
        <v>783</v>
      </c>
      <c r="W4913" t="s">
        <v>4655</v>
      </c>
      <c r="X4913" s="2">
        <v>0</v>
      </c>
      <c r="Y4913">
        <v>20</v>
      </c>
      <c r="Z4913" t="s">
        <v>5107</v>
      </c>
      <c r="AA4913" s="3">
        <v>0.1697428822517395</v>
      </c>
      <c r="AB4913" t="s">
        <v>25400</v>
      </c>
      <c r="AC4913" t="s">
        <v>4562</v>
      </c>
      <c r="AD4913" t="s">
        <v>25401</v>
      </c>
      <c r="AE4913" t="s">
        <v>4655</v>
      </c>
      <c r="AF4913" t="s">
        <v>4563</v>
      </c>
      <c r="AG4913" t="s">
        <v>4564</v>
      </c>
      <c r="AH4913" t="s">
        <v>5197</v>
      </c>
      <c r="AI4913" t="s">
        <v>4903</v>
      </c>
      <c r="AJ4913" t="s">
        <v>3882</v>
      </c>
      <c r="AK4913" t="s">
        <v>25402</v>
      </c>
      <c r="AL4913" s="13" t="s">
        <v>2255</v>
      </c>
      <c r="AM4913">
        <v>1</v>
      </c>
      <c r="AN4913" s="15" t="s">
        <v>3879</v>
      </c>
    </row>
    <row r="4914" spans="1:40" x14ac:dyDescent="0.3">
      <c r="A4914" s="10" t="str">
        <f>HYPERLINK("http://www.washoecounty.gov/assessor/cama/?parid=143-114-22&amp;CardNumber=1","143-114-22")</f>
        <v>143-114-22</v>
      </c>
      <c r="B4914" t="s">
        <v>4655</v>
      </c>
      <c r="C4914" t="s">
        <v>25403</v>
      </c>
      <c r="D4914" s="1">
        <v>40301</v>
      </c>
      <c r="E4914" s="2">
        <v>229000</v>
      </c>
      <c r="F4914" t="s">
        <v>4553</v>
      </c>
      <c r="G4914" s="17" t="str">
        <f>HYPERLINK("https://www.washoecounty.gov/assessor/cama/?command=sales&amp;parid=14311422","3877328")</f>
        <v>3877328</v>
      </c>
      <c r="H4914" t="s">
        <v>3880</v>
      </c>
      <c r="I4914">
        <v>2007</v>
      </c>
      <c r="J4914">
        <v>2007</v>
      </c>
      <c r="K4914" t="s">
        <v>4554</v>
      </c>
      <c r="L4914" t="s">
        <v>4555</v>
      </c>
      <c r="M4914" s="2">
        <v>1837</v>
      </c>
      <c r="N4914" t="s">
        <v>3147</v>
      </c>
      <c r="O4914">
        <v>4</v>
      </c>
      <c r="P4914">
        <v>2</v>
      </c>
      <c r="Q4914">
        <v>0</v>
      </c>
      <c r="R4914" t="s">
        <v>5281</v>
      </c>
      <c r="S4914" t="s">
        <v>4898</v>
      </c>
      <c r="T4914" t="s">
        <v>2704</v>
      </c>
      <c r="U4914" t="s">
        <v>4560</v>
      </c>
      <c r="V4914" s="2">
        <v>420</v>
      </c>
      <c r="W4914" t="s">
        <v>4655</v>
      </c>
      <c r="X4914" s="2">
        <v>0</v>
      </c>
      <c r="Y4914">
        <v>20</v>
      </c>
      <c r="Z4914" t="s">
        <v>5107</v>
      </c>
      <c r="AA4914" s="3">
        <v>0.125505045056343</v>
      </c>
      <c r="AB4914" t="s">
        <v>25404</v>
      </c>
      <c r="AC4914" t="s">
        <v>4562</v>
      </c>
      <c r="AD4914" t="s">
        <v>25405</v>
      </c>
      <c r="AE4914" t="s">
        <v>4655</v>
      </c>
      <c r="AF4914" t="s">
        <v>4563</v>
      </c>
      <c r="AG4914" t="s">
        <v>4564</v>
      </c>
      <c r="AH4914" t="s">
        <v>5197</v>
      </c>
      <c r="AI4914" t="s">
        <v>4655</v>
      </c>
      <c r="AJ4914" t="s">
        <v>3882</v>
      </c>
      <c r="AK4914" t="s">
        <v>25406</v>
      </c>
      <c r="AL4914" s="13" t="s">
        <v>2255</v>
      </c>
      <c r="AM4914" s="14">
        <v>1</v>
      </c>
      <c r="AN4914" s="15" t="s">
        <v>3879</v>
      </c>
    </row>
    <row r="4915" spans="1:40" x14ac:dyDescent="0.3">
      <c r="A4915" s="10" t="str">
        <f>HYPERLINK("http://www.washoecounty.gov/assessor/cama/?parid=143-131-05&amp;CardNumber=1","143-131-05")</f>
        <v>143-131-05</v>
      </c>
      <c r="B4915" t="s">
        <v>4655</v>
      </c>
      <c r="C4915" t="s">
        <v>25407</v>
      </c>
      <c r="D4915" s="1">
        <v>40435</v>
      </c>
      <c r="E4915" s="2">
        <v>235969</v>
      </c>
      <c r="F4915" t="s">
        <v>4567</v>
      </c>
      <c r="G4915" s="17" t="str">
        <f>HYPERLINK("https://www.washoecounty.gov/assessor/cama/?command=sales&amp;parid=14313105","3922337")</f>
        <v>3922337</v>
      </c>
      <c r="H4915" t="s">
        <v>2557</v>
      </c>
      <c r="I4915">
        <v>2010</v>
      </c>
      <c r="J4915">
        <v>2010</v>
      </c>
      <c r="K4915" t="s">
        <v>4554</v>
      </c>
      <c r="L4915" t="s">
        <v>3974</v>
      </c>
      <c r="M4915" s="2">
        <v>2547</v>
      </c>
      <c r="N4915" t="s">
        <v>3147</v>
      </c>
      <c r="O4915">
        <v>4</v>
      </c>
      <c r="P4915">
        <v>2</v>
      </c>
      <c r="Q4915">
        <v>1</v>
      </c>
      <c r="R4915" t="s">
        <v>5281</v>
      </c>
      <c r="S4915" t="s">
        <v>4898</v>
      </c>
      <c r="T4915" t="s">
        <v>2704</v>
      </c>
      <c r="U4915" t="s">
        <v>5631</v>
      </c>
      <c r="V4915" s="2">
        <v>426</v>
      </c>
      <c r="W4915" t="s">
        <v>4655</v>
      </c>
      <c r="X4915" s="2">
        <v>0</v>
      </c>
      <c r="Y4915">
        <v>20</v>
      </c>
      <c r="Z4915" t="s">
        <v>4561</v>
      </c>
      <c r="AA4915" s="3">
        <v>0.17011019587516801</v>
      </c>
      <c r="AB4915" t="s">
        <v>25408</v>
      </c>
      <c r="AC4915" t="s">
        <v>4575</v>
      </c>
      <c r="AD4915" t="s">
        <v>25407</v>
      </c>
      <c r="AE4915" t="s">
        <v>4655</v>
      </c>
      <c r="AF4915" t="s">
        <v>4563</v>
      </c>
      <c r="AG4915" t="s">
        <v>4564</v>
      </c>
      <c r="AH4915" t="s">
        <v>5197</v>
      </c>
      <c r="AI4915" t="s">
        <v>3881</v>
      </c>
      <c r="AJ4915" t="s">
        <v>2558</v>
      </c>
      <c r="AK4915" t="s">
        <v>25409</v>
      </c>
      <c r="AL4915" s="13" t="s">
        <v>2255</v>
      </c>
      <c r="AM4915">
        <v>1</v>
      </c>
      <c r="AN4915" s="15" t="s">
        <v>3879</v>
      </c>
    </row>
    <row r="4916" spans="1:40" x14ac:dyDescent="0.3">
      <c r="A4916" s="10" t="str">
        <f>HYPERLINK("http://www.washoecounty.gov/assessor/cama/?parid=143-131-06&amp;CardNumber=1","143-131-06")</f>
        <v>143-131-06</v>
      </c>
      <c r="B4916" t="s">
        <v>4655</v>
      </c>
      <c r="C4916" t="s">
        <v>25410</v>
      </c>
      <c r="D4916" s="1">
        <v>40410</v>
      </c>
      <c r="E4916" s="2">
        <v>185616</v>
      </c>
      <c r="F4916" t="s">
        <v>3259</v>
      </c>
      <c r="G4916" s="17" t="str">
        <f>HYPERLINK("https://www.washoecounty.gov/assessor/cama/?command=sales&amp;parid=14313106","3914328")</f>
        <v>3914328</v>
      </c>
      <c r="H4916" t="s">
        <v>2557</v>
      </c>
      <c r="I4916">
        <v>2010</v>
      </c>
      <c r="J4916">
        <v>2010</v>
      </c>
      <c r="K4916" t="s">
        <v>4554</v>
      </c>
      <c r="L4916" t="s">
        <v>4555</v>
      </c>
      <c r="M4916" s="2">
        <v>1455</v>
      </c>
      <c r="N4916" t="s">
        <v>3147</v>
      </c>
      <c r="O4916">
        <v>3</v>
      </c>
      <c r="P4916">
        <v>2</v>
      </c>
      <c r="Q4916">
        <v>0</v>
      </c>
      <c r="R4916" t="s">
        <v>5281</v>
      </c>
      <c r="S4916" t="s">
        <v>4898</v>
      </c>
      <c r="T4916" t="s">
        <v>2704</v>
      </c>
      <c r="U4916" t="s">
        <v>4560</v>
      </c>
      <c r="V4916" s="2">
        <v>420</v>
      </c>
      <c r="W4916" t="s">
        <v>4655</v>
      </c>
      <c r="X4916" s="2">
        <v>0</v>
      </c>
      <c r="Y4916">
        <v>11</v>
      </c>
      <c r="Z4916" t="s">
        <v>4561</v>
      </c>
      <c r="AA4916" s="3">
        <v>0.17011019587516801</v>
      </c>
      <c r="AB4916" t="s">
        <v>25411</v>
      </c>
      <c r="AC4916" t="s">
        <v>4575</v>
      </c>
      <c r="AD4916" t="s">
        <v>25412</v>
      </c>
      <c r="AE4916" t="s">
        <v>3058</v>
      </c>
      <c r="AF4916" t="s">
        <v>3059</v>
      </c>
      <c r="AG4916" t="s">
        <v>4209</v>
      </c>
      <c r="AH4916" t="s">
        <v>25413</v>
      </c>
      <c r="AI4916" t="s">
        <v>3881</v>
      </c>
      <c r="AJ4916" t="s">
        <v>2558</v>
      </c>
      <c r="AK4916" t="s">
        <v>25414</v>
      </c>
      <c r="AL4916" s="13" t="s">
        <v>2255</v>
      </c>
      <c r="AM4916" s="14">
        <v>1</v>
      </c>
      <c r="AN4916" s="15" t="s">
        <v>3879</v>
      </c>
    </row>
    <row r="4917" spans="1:40" x14ac:dyDescent="0.3">
      <c r="A4917" s="10" t="str">
        <f>HYPERLINK("http://www.washoecounty.gov/assessor/cama/?parid=143-131-07&amp;CardNumber=1","143-131-07")</f>
        <v>143-131-07</v>
      </c>
      <c r="B4917" t="s">
        <v>4655</v>
      </c>
      <c r="C4917" t="s">
        <v>25415</v>
      </c>
      <c r="D4917" s="1">
        <v>40473</v>
      </c>
      <c r="E4917" s="2">
        <v>179482</v>
      </c>
      <c r="F4917" t="s">
        <v>4567</v>
      </c>
      <c r="G4917" s="17" t="str">
        <f>HYPERLINK("https://www.washoecounty.gov/assessor/cama/?command=sales&amp;parid=14313107","3935633")</f>
        <v>3935633</v>
      </c>
      <c r="H4917" t="s">
        <v>2557</v>
      </c>
      <c r="I4917">
        <v>2010</v>
      </c>
      <c r="J4917">
        <v>2010</v>
      </c>
      <c r="K4917" t="s">
        <v>4554</v>
      </c>
      <c r="L4917" t="s">
        <v>4555</v>
      </c>
      <c r="M4917" s="2">
        <v>1323</v>
      </c>
      <c r="N4917" t="s">
        <v>3147</v>
      </c>
      <c r="O4917">
        <v>3</v>
      </c>
      <c r="P4917">
        <v>2</v>
      </c>
      <c r="Q4917">
        <v>0</v>
      </c>
      <c r="R4917" t="s">
        <v>5281</v>
      </c>
      <c r="S4917" t="s">
        <v>4898</v>
      </c>
      <c r="T4917" t="s">
        <v>2704</v>
      </c>
      <c r="U4917" t="s">
        <v>4560</v>
      </c>
      <c r="V4917" s="2">
        <v>424</v>
      </c>
      <c r="W4917" t="s">
        <v>4655</v>
      </c>
      <c r="X4917" s="2">
        <v>0</v>
      </c>
      <c r="Y4917">
        <v>11</v>
      </c>
      <c r="Z4917" t="s">
        <v>4561</v>
      </c>
      <c r="AA4917" s="3">
        <v>0.17011019587516801</v>
      </c>
      <c r="AB4917" t="s">
        <v>25416</v>
      </c>
      <c r="AC4917" t="s">
        <v>4575</v>
      </c>
      <c r="AD4917" t="s">
        <v>25415</v>
      </c>
      <c r="AE4917" t="s">
        <v>4655</v>
      </c>
      <c r="AF4917" t="s">
        <v>4563</v>
      </c>
      <c r="AG4917" t="s">
        <v>4564</v>
      </c>
      <c r="AH4917" t="s">
        <v>5197</v>
      </c>
      <c r="AI4917" t="s">
        <v>3881</v>
      </c>
      <c r="AJ4917" t="s">
        <v>2558</v>
      </c>
      <c r="AK4917" t="s">
        <v>25417</v>
      </c>
      <c r="AL4917" s="13" t="s">
        <v>2255</v>
      </c>
      <c r="AM4917">
        <v>1</v>
      </c>
      <c r="AN4917" s="15" t="s">
        <v>3879</v>
      </c>
    </row>
    <row r="4918" spans="1:40" x14ac:dyDescent="0.3">
      <c r="A4918" s="10" t="str">
        <f>HYPERLINK("http://www.washoecounty.gov/assessor/cama/?parid=143-131-08&amp;CardNumber=1","143-131-08")</f>
        <v>143-131-08</v>
      </c>
      <c r="B4918" t="s">
        <v>4655</v>
      </c>
      <c r="C4918" t="s">
        <v>25418</v>
      </c>
      <c r="D4918" s="1">
        <v>40487</v>
      </c>
      <c r="E4918" s="2">
        <v>180178</v>
      </c>
      <c r="F4918" t="s">
        <v>4567</v>
      </c>
      <c r="G4918" s="17" t="str">
        <f>HYPERLINK("https://www.washoecounty.gov/assessor/cama/?command=sales&amp;parid=14313108","3940502")</f>
        <v>3940502</v>
      </c>
      <c r="H4918" t="s">
        <v>2557</v>
      </c>
      <c r="I4918">
        <v>2010</v>
      </c>
      <c r="J4918">
        <v>2010</v>
      </c>
      <c r="K4918" t="s">
        <v>4554</v>
      </c>
      <c r="L4918" t="s">
        <v>4555</v>
      </c>
      <c r="M4918" s="2">
        <v>1455</v>
      </c>
      <c r="N4918" t="s">
        <v>3147</v>
      </c>
      <c r="O4918">
        <v>4</v>
      </c>
      <c r="P4918">
        <v>2</v>
      </c>
      <c r="Q4918">
        <v>0</v>
      </c>
      <c r="R4918" t="s">
        <v>5281</v>
      </c>
      <c r="S4918" t="s">
        <v>4898</v>
      </c>
      <c r="T4918" t="s">
        <v>2704</v>
      </c>
      <c r="U4918" t="s">
        <v>4560</v>
      </c>
      <c r="V4918" s="2">
        <v>420</v>
      </c>
      <c r="W4918" t="s">
        <v>4655</v>
      </c>
      <c r="X4918" s="2">
        <v>0</v>
      </c>
      <c r="Y4918">
        <v>20</v>
      </c>
      <c r="Z4918" t="s">
        <v>4561</v>
      </c>
      <c r="AA4918" s="3">
        <v>0.17011019587516801</v>
      </c>
      <c r="AB4918" t="s">
        <v>25419</v>
      </c>
      <c r="AC4918" t="s">
        <v>4562</v>
      </c>
      <c r="AD4918" t="s">
        <v>25418</v>
      </c>
      <c r="AE4918" t="s">
        <v>4655</v>
      </c>
      <c r="AF4918" t="s">
        <v>4563</v>
      </c>
      <c r="AG4918" t="s">
        <v>4564</v>
      </c>
      <c r="AH4918" t="s">
        <v>5197</v>
      </c>
      <c r="AI4918" t="s">
        <v>4655</v>
      </c>
      <c r="AJ4918" t="s">
        <v>2558</v>
      </c>
      <c r="AK4918" t="s">
        <v>25420</v>
      </c>
      <c r="AL4918" s="13" t="s">
        <v>2255</v>
      </c>
      <c r="AM4918">
        <v>1</v>
      </c>
      <c r="AN4918" s="15" t="s">
        <v>3879</v>
      </c>
    </row>
    <row r="4919" spans="1:40" x14ac:dyDescent="0.3">
      <c r="A4919" s="10" t="str">
        <f>HYPERLINK("http://www.washoecounty.gov/assessor/cama/?parid=143-131-09&amp;CardNumber=1","143-131-09")</f>
        <v>143-131-09</v>
      </c>
      <c r="B4919" t="s">
        <v>4655</v>
      </c>
      <c r="C4919" t="s">
        <v>25421</v>
      </c>
      <c r="D4919" s="1">
        <v>40465</v>
      </c>
      <c r="E4919" s="2">
        <v>201678</v>
      </c>
      <c r="F4919" t="s">
        <v>4567</v>
      </c>
      <c r="G4919" s="17" t="str">
        <f>HYPERLINK("https://www.washoecounty.gov/assessor/cama/?command=sales&amp;parid=14313109","3933198")</f>
        <v>3933198</v>
      </c>
      <c r="H4919" t="s">
        <v>2557</v>
      </c>
      <c r="I4919">
        <v>2010</v>
      </c>
      <c r="J4919">
        <v>2010</v>
      </c>
      <c r="K4919" t="s">
        <v>4554</v>
      </c>
      <c r="L4919" t="s">
        <v>4555</v>
      </c>
      <c r="M4919" s="2">
        <v>1323</v>
      </c>
      <c r="N4919" t="s">
        <v>3147</v>
      </c>
      <c r="O4919">
        <v>3</v>
      </c>
      <c r="P4919">
        <v>2</v>
      </c>
      <c r="Q4919">
        <v>0</v>
      </c>
      <c r="R4919" t="s">
        <v>5281</v>
      </c>
      <c r="S4919" t="s">
        <v>4898</v>
      </c>
      <c r="T4919" t="s">
        <v>2704</v>
      </c>
      <c r="U4919" t="s">
        <v>4560</v>
      </c>
      <c r="V4919" s="2">
        <v>424</v>
      </c>
      <c r="W4919" t="s">
        <v>4655</v>
      </c>
      <c r="X4919" s="2">
        <v>0</v>
      </c>
      <c r="Y4919">
        <v>20</v>
      </c>
      <c r="Z4919" t="s">
        <v>4561</v>
      </c>
      <c r="AA4919" s="3">
        <v>0.1764233261346817</v>
      </c>
      <c r="AB4919" t="s">
        <v>25422</v>
      </c>
      <c r="AC4919" t="s">
        <v>4575</v>
      </c>
      <c r="AD4919" t="s">
        <v>25423</v>
      </c>
      <c r="AE4919" t="s">
        <v>4655</v>
      </c>
      <c r="AF4919" t="s">
        <v>25424</v>
      </c>
      <c r="AG4919" t="s">
        <v>4584</v>
      </c>
      <c r="AH4919" t="s">
        <v>25425</v>
      </c>
      <c r="AI4919" t="s">
        <v>3881</v>
      </c>
      <c r="AJ4919" t="s">
        <v>2558</v>
      </c>
      <c r="AK4919" t="s">
        <v>25426</v>
      </c>
      <c r="AL4919" s="13" t="s">
        <v>2255</v>
      </c>
      <c r="AM4919">
        <v>1</v>
      </c>
      <c r="AN4919" s="15" t="s">
        <v>3879</v>
      </c>
    </row>
    <row r="4920" spans="1:40" x14ac:dyDescent="0.3">
      <c r="A4920" s="10" t="str">
        <f>HYPERLINK("http://www.washoecounty.gov/assessor/cama/?parid=143-132-02&amp;CardNumber=1","143-132-02")</f>
        <v>143-132-02</v>
      </c>
      <c r="B4920" t="s">
        <v>4655</v>
      </c>
      <c r="C4920" t="s">
        <v>25427</v>
      </c>
      <c r="D4920" s="1">
        <v>40233</v>
      </c>
      <c r="E4920" s="2">
        <v>207762</v>
      </c>
      <c r="F4920" t="s">
        <v>4567</v>
      </c>
      <c r="G4920" s="17" t="str">
        <f>HYPERLINK("https://www.washoecounty.gov/assessor/cama/?command=sales&amp;parid=14313202","3852403")</f>
        <v>3852403</v>
      </c>
      <c r="H4920" t="s">
        <v>1520</v>
      </c>
      <c r="I4920">
        <v>2010</v>
      </c>
      <c r="J4920">
        <v>2010</v>
      </c>
      <c r="K4920" t="s">
        <v>4554</v>
      </c>
      <c r="L4920" t="s">
        <v>4555</v>
      </c>
      <c r="M4920" s="2">
        <v>1646</v>
      </c>
      <c r="N4920" t="s">
        <v>3147</v>
      </c>
      <c r="O4920">
        <v>3</v>
      </c>
      <c r="P4920">
        <v>2</v>
      </c>
      <c r="Q4920">
        <v>0</v>
      </c>
      <c r="R4920" t="s">
        <v>5281</v>
      </c>
      <c r="S4920" t="s">
        <v>4898</v>
      </c>
      <c r="T4920" t="s">
        <v>2704</v>
      </c>
      <c r="U4920" t="s">
        <v>4560</v>
      </c>
      <c r="V4920" s="2">
        <v>420</v>
      </c>
      <c r="W4920" t="s">
        <v>4655</v>
      </c>
      <c r="X4920" s="2">
        <v>0</v>
      </c>
      <c r="Y4920">
        <v>20</v>
      </c>
      <c r="Z4920" t="s">
        <v>4561</v>
      </c>
      <c r="AA4920" s="3">
        <v>0.17607897520065299</v>
      </c>
      <c r="AB4920" t="s">
        <v>25428</v>
      </c>
      <c r="AC4920" t="s">
        <v>4562</v>
      </c>
      <c r="AD4920" t="s">
        <v>25427</v>
      </c>
      <c r="AE4920" t="s">
        <v>4655</v>
      </c>
      <c r="AF4920" t="s">
        <v>4563</v>
      </c>
      <c r="AG4920" t="s">
        <v>4564</v>
      </c>
      <c r="AH4920" t="s">
        <v>5197</v>
      </c>
      <c r="AI4920" t="s">
        <v>3881</v>
      </c>
      <c r="AJ4920" t="s">
        <v>1521</v>
      </c>
      <c r="AK4920" t="s">
        <v>25429</v>
      </c>
      <c r="AL4920" s="13" t="s">
        <v>2255</v>
      </c>
      <c r="AM4920" s="14">
        <v>1</v>
      </c>
      <c r="AN4920" s="15" t="s">
        <v>3879</v>
      </c>
    </row>
    <row r="4921" spans="1:40" x14ac:dyDescent="0.3">
      <c r="A4921" s="10" t="str">
        <f>HYPERLINK("http://www.washoecounty.gov/assessor/cama/?parid=143-132-14&amp;CardNumber=1","143-132-14")</f>
        <v>143-132-14</v>
      </c>
      <c r="B4921" t="s">
        <v>4655</v>
      </c>
      <c r="C4921" t="s">
        <v>25430</v>
      </c>
      <c r="D4921" s="1">
        <v>40491</v>
      </c>
      <c r="E4921" s="2">
        <v>197680</v>
      </c>
      <c r="F4921" t="s">
        <v>4567</v>
      </c>
      <c r="G4921" s="17" t="str">
        <f>HYPERLINK("https://www.washoecounty.gov/assessor/cama/?command=sales&amp;parid=14313214","3941340")</f>
        <v>3941340</v>
      </c>
      <c r="H4921" t="s">
        <v>2557</v>
      </c>
      <c r="I4921">
        <v>2010</v>
      </c>
      <c r="J4921">
        <v>2010</v>
      </c>
      <c r="K4921" t="s">
        <v>4554</v>
      </c>
      <c r="L4921" t="s">
        <v>4555</v>
      </c>
      <c r="M4921" s="2">
        <v>1455</v>
      </c>
      <c r="N4921" t="s">
        <v>3147</v>
      </c>
      <c r="O4921">
        <v>3</v>
      </c>
      <c r="P4921">
        <v>2</v>
      </c>
      <c r="Q4921">
        <v>0</v>
      </c>
      <c r="R4921" t="s">
        <v>5281</v>
      </c>
      <c r="S4921" t="s">
        <v>4898</v>
      </c>
      <c r="T4921" t="s">
        <v>2704</v>
      </c>
      <c r="U4921" t="s">
        <v>4560</v>
      </c>
      <c r="V4921" s="2">
        <v>420</v>
      </c>
      <c r="W4921" t="s">
        <v>4655</v>
      </c>
      <c r="X4921" s="2">
        <v>0</v>
      </c>
      <c r="Y4921">
        <v>20</v>
      </c>
      <c r="Z4921" t="s">
        <v>4561</v>
      </c>
      <c r="AA4921" s="3">
        <v>0.19194215536117601</v>
      </c>
      <c r="AB4921" t="s">
        <v>25431</v>
      </c>
      <c r="AC4921" t="s">
        <v>4575</v>
      </c>
      <c r="AD4921" t="s">
        <v>25430</v>
      </c>
      <c r="AE4921" t="s">
        <v>4655</v>
      </c>
      <c r="AF4921" t="s">
        <v>4563</v>
      </c>
      <c r="AG4921" t="s">
        <v>4564</v>
      </c>
      <c r="AH4921" t="s">
        <v>5197</v>
      </c>
      <c r="AI4921" t="s">
        <v>3881</v>
      </c>
      <c r="AJ4921" t="s">
        <v>2558</v>
      </c>
      <c r="AK4921" t="s">
        <v>25432</v>
      </c>
      <c r="AL4921" s="13" t="s">
        <v>2255</v>
      </c>
      <c r="AM4921" s="14">
        <v>1</v>
      </c>
      <c r="AN4921" s="15" t="s">
        <v>3879</v>
      </c>
    </row>
    <row r="4922" spans="1:40" x14ac:dyDescent="0.3">
      <c r="A4922" s="10" t="str">
        <f>HYPERLINK("http://www.washoecounty.gov/assessor/cama/?parid=143-132-15&amp;CardNumber=1","143-132-15")</f>
        <v>143-132-15</v>
      </c>
      <c r="B4922" t="s">
        <v>4655</v>
      </c>
      <c r="C4922" t="s">
        <v>25433</v>
      </c>
      <c r="D4922" s="1">
        <v>40443</v>
      </c>
      <c r="E4922" s="2">
        <v>188270</v>
      </c>
      <c r="F4922" t="s">
        <v>4567</v>
      </c>
      <c r="G4922" s="17" t="str">
        <f>HYPERLINK("https://www.washoecounty.gov/assessor/cama/?command=sales&amp;parid=14313215","3925016")</f>
        <v>3925016</v>
      </c>
      <c r="H4922" t="s">
        <v>2557</v>
      </c>
      <c r="I4922">
        <v>2010</v>
      </c>
      <c r="J4922">
        <v>2010</v>
      </c>
      <c r="K4922" t="s">
        <v>4554</v>
      </c>
      <c r="L4922" t="s">
        <v>4555</v>
      </c>
      <c r="M4922" s="2">
        <v>1455</v>
      </c>
      <c r="N4922" t="s">
        <v>3147</v>
      </c>
      <c r="O4922">
        <v>4</v>
      </c>
      <c r="P4922">
        <v>2</v>
      </c>
      <c r="Q4922">
        <v>0</v>
      </c>
      <c r="R4922" t="s">
        <v>5281</v>
      </c>
      <c r="S4922" t="s">
        <v>4898</v>
      </c>
      <c r="T4922" t="s">
        <v>2704</v>
      </c>
      <c r="U4922" t="s">
        <v>4560</v>
      </c>
      <c r="V4922" s="2">
        <v>420</v>
      </c>
      <c r="W4922" t="s">
        <v>4655</v>
      </c>
      <c r="X4922" s="2">
        <v>0</v>
      </c>
      <c r="Y4922">
        <v>11</v>
      </c>
      <c r="Z4922" t="s">
        <v>4561</v>
      </c>
      <c r="AA4922" s="3">
        <v>0.17931587994098699</v>
      </c>
      <c r="AB4922" t="s">
        <v>25434</v>
      </c>
      <c r="AC4922" t="s">
        <v>4562</v>
      </c>
      <c r="AD4922" t="s">
        <v>25433</v>
      </c>
      <c r="AE4922" t="s">
        <v>4655</v>
      </c>
      <c r="AF4922" t="s">
        <v>4563</v>
      </c>
      <c r="AG4922" t="s">
        <v>4564</v>
      </c>
      <c r="AH4922" t="s">
        <v>5197</v>
      </c>
      <c r="AI4922" t="s">
        <v>3881</v>
      </c>
      <c r="AJ4922" t="s">
        <v>2558</v>
      </c>
      <c r="AK4922" t="s">
        <v>25435</v>
      </c>
      <c r="AL4922" s="13" t="s">
        <v>2255</v>
      </c>
      <c r="AM4922">
        <v>1</v>
      </c>
      <c r="AN4922" s="15" t="s">
        <v>3879</v>
      </c>
    </row>
    <row r="4923" spans="1:40" x14ac:dyDescent="0.3">
      <c r="A4923" s="10" t="str">
        <f>HYPERLINK("http://www.washoecounty.gov/assessor/cama/?parid=143-132-16&amp;CardNumber=1","143-132-16")</f>
        <v>143-132-16</v>
      </c>
      <c r="B4923" t="s">
        <v>4655</v>
      </c>
      <c r="C4923" t="s">
        <v>25436</v>
      </c>
      <c r="D4923" s="1">
        <v>40463</v>
      </c>
      <c r="E4923" s="2">
        <v>222131</v>
      </c>
      <c r="F4923" t="s">
        <v>4567</v>
      </c>
      <c r="G4923" s="17" t="str">
        <f>HYPERLINK("https://www.washoecounty.gov/assessor/cama/?command=sales&amp;parid=14313216","3931807")</f>
        <v>3931807</v>
      </c>
      <c r="H4923" t="s">
        <v>2557</v>
      </c>
      <c r="I4923">
        <v>2010</v>
      </c>
      <c r="J4923">
        <v>2010</v>
      </c>
      <c r="K4923" t="s">
        <v>4554</v>
      </c>
      <c r="L4923" t="s">
        <v>3974</v>
      </c>
      <c r="M4923" s="2">
        <v>1972</v>
      </c>
      <c r="N4923" t="s">
        <v>3147</v>
      </c>
      <c r="O4923">
        <v>4</v>
      </c>
      <c r="P4923">
        <v>2</v>
      </c>
      <c r="Q4923">
        <v>1</v>
      </c>
      <c r="R4923" t="s">
        <v>5281</v>
      </c>
      <c r="S4923" t="s">
        <v>4898</v>
      </c>
      <c r="T4923" t="s">
        <v>2704</v>
      </c>
      <c r="U4923" t="s">
        <v>5631</v>
      </c>
      <c r="V4923" s="2">
        <v>426</v>
      </c>
      <c r="W4923" t="s">
        <v>4655</v>
      </c>
      <c r="X4923" s="2">
        <v>0</v>
      </c>
      <c r="Y4923">
        <v>20</v>
      </c>
      <c r="Z4923" t="s">
        <v>4561</v>
      </c>
      <c r="AA4923" s="3">
        <v>0.176056012511253</v>
      </c>
      <c r="AB4923" t="s">
        <v>25437</v>
      </c>
      <c r="AC4923" t="s">
        <v>4562</v>
      </c>
      <c r="AD4923" t="s">
        <v>25436</v>
      </c>
      <c r="AE4923" t="s">
        <v>4655</v>
      </c>
      <c r="AF4923" t="s">
        <v>4563</v>
      </c>
      <c r="AG4923" t="s">
        <v>4564</v>
      </c>
      <c r="AH4923" t="s">
        <v>5197</v>
      </c>
      <c r="AI4923" t="s">
        <v>3881</v>
      </c>
      <c r="AJ4923" t="s">
        <v>2558</v>
      </c>
      <c r="AK4923" t="s">
        <v>25438</v>
      </c>
      <c r="AL4923" s="13" t="s">
        <v>2255</v>
      </c>
      <c r="AM4923">
        <v>1</v>
      </c>
      <c r="AN4923" s="15" t="s">
        <v>3879</v>
      </c>
    </row>
    <row r="4924" spans="1:40" x14ac:dyDescent="0.3">
      <c r="A4924" s="10" t="str">
        <f>HYPERLINK("http://www.washoecounty.gov/assessor/cama/?parid=143-132-17&amp;CardNumber=1","143-132-17")</f>
        <v>143-132-17</v>
      </c>
      <c r="B4924" t="s">
        <v>4655</v>
      </c>
      <c r="C4924" t="s">
        <v>25439</v>
      </c>
      <c r="D4924" s="1">
        <v>40466</v>
      </c>
      <c r="E4924" s="2">
        <v>185008</v>
      </c>
      <c r="F4924" t="s">
        <v>4567</v>
      </c>
      <c r="G4924" s="17" t="str">
        <f>HYPERLINK("https://www.washoecounty.gov/assessor/cama/?command=sales&amp;parid=14313217","3933689")</f>
        <v>3933689</v>
      </c>
      <c r="H4924" t="s">
        <v>2557</v>
      </c>
      <c r="I4924">
        <v>2010</v>
      </c>
      <c r="J4924">
        <v>2010</v>
      </c>
      <c r="K4924" t="s">
        <v>4554</v>
      </c>
      <c r="L4924" t="s">
        <v>4555</v>
      </c>
      <c r="M4924" s="2">
        <v>1455</v>
      </c>
      <c r="N4924" t="s">
        <v>3147</v>
      </c>
      <c r="O4924">
        <v>4</v>
      </c>
      <c r="P4924">
        <v>2</v>
      </c>
      <c r="Q4924">
        <v>0</v>
      </c>
      <c r="R4924" t="s">
        <v>5281</v>
      </c>
      <c r="S4924" t="s">
        <v>4898</v>
      </c>
      <c r="T4924" t="s">
        <v>2704</v>
      </c>
      <c r="U4924" t="s">
        <v>4560</v>
      </c>
      <c r="V4924" s="2">
        <v>420</v>
      </c>
      <c r="W4924" t="s">
        <v>4655</v>
      </c>
      <c r="X4924" s="2">
        <v>0</v>
      </c>
      <c r="Y4924">
        <v>11</v>
      </c>
      <c r="Z4924" t="s">
        <v>4561</v>
      </c>
      <c r="AA4924" s="3">
        <v>0.17607897520065299</v>
      </c>
      <c r="AB4924" t="s">
        <v>25440</v>
      </c>
      <c r="AC4924" t="s">
        <v>4562</v>
      </c>
      <c r="AD4924" t="s">
        <v>25439</v>
      </c>
      <c r="AE4924" t="s">
        <v>4655</v>
      </c>
      <c r="AF4924" t="s">
        <v>4563</v>
      </c>
      <c r="AG4924" t="s">
        <v>4564</v>
      </c>
      <c r="AH4924" t="s">
        <v>5197</v>
      </c>
      <c r="AI4924" t="s">
        <v>3881</v>
      </c>
      <c r="AJ4924" t="s">
        <v>2558</v>
      </c>
      <c r="AK4924" t="s">
        <v>25441</v>
      </c>
      <c r="AL4924" s="13" t="s">
        <v>2255</v>
      </c>
      <c r="AM4924">
        <v>1</v>
      </c>
      <c r="AN4924" s="15" t="s">
        <v>3879</v>
      </c>
    </row>
    <row r="4925" spans="1:40" x14ac:dyDescent="0.3">
      <c r="A4925" s="10" t="str">
        <f>HYPERLINK("http://www.washoecounty.gov/assessor/cama/?parid=143-133-17&amp;CardNumber=1","143-133-17")</f>
        <v>143-133-17</v>
      </c>
      <c r="B4925" t="s">
        <v>4655</v>
      </c>
      <c r="C4925" t="s">
        <v>25442</v>
      </c>
      <c r="D4925" s="1">
        <v>40417</v>
      </c>
      <c r="E4925" s="2">
        <v>235000</v>
      </c>
      <c r="F4925" t="s">
        <v>4567</v>
      </c>
      <c r="G4925" s="17" t="str">
        <f>HYPERLINK("https://www.washoecounty.gov/assessor/cama/?command=sales&amp;parid=14313317","3916466")</f>
        <v>3916466</v>
      </c>
      <c r="H4925" t="s">
        <v>1520</v>
      </c>
      <c r="I4925">
        <v>2009</v>
      </c>
      <c r="J4925">
        <v>2009</v>
      </c>
      <c r="K4925" t="s">
        <v>4554</v>
      </c>
      <c r="L4925" t="s">
        <v>4555</v>
      </c>
      <c r="M4925" s="2">
        <v>1685</v>
      </c>
      <c r="N4925" t="s">
        <v>3147</v>
      </c>
      <c r="O4925">
        <v>3</v>
      </c>
      <c r="P4925">
        <v>2</v>
      </c>
      <c r="Q4925">
        <v>0</v>
      </c>
      <c r="R4925" t="s">
        <v>5281</v>
      </c>
      <c r="S4925" t="s">
        <v>4898</v>
      </c>
      <c r="T4925" t="s">
        <v>2704</v>
      </c>
      <c r="U4925" t="s">
        <v>4560</v>
      </c>
      <c r="V4925" s="2">
        <v>409</v>
      </c>
      <c r="W4925" t="s">
        <v>4655</v>
      </c>
      <c r="X4925" s="2">
        <v>0</v>
      </c>
      <c r="Y4925">
        <v>20</v>
      </c>
      <c r="Z4925" t="s">
        <v>4561</v>
      </c>
      <c r="AA4925" s="3">
        <v>0.17240588366985299</v>
      </c>
      <c r="AB4925" t="s">
        <v>25443</v>
      </c>
      <c r="AC4925" t="s">
        <v>4562</v>
      </c>
      <c r="AD4925" t="s">
        <v>25442</v>
      </c>
      <c r="AE4925" t="s">
        <v>4655</v>
      </c>
      <c r="AF4925" t="s">
        <v>4563</v>
      </c>
      <c r="AG4925" t="s">
        <v>4564</v>
      </c>
      <c r="AH4925" t="s">
        <v>5197</v>
      </c>
      <c r="AI4925" t="s">
        <v>289</v>
      </c>
      <c r="AJ4925" t="s">
        <v>1521</v>
      </c>
      <c r="AK4925" t="s">
        <v>25444</v>
      </c>
      <c r="AL4925" s="13" t="s">
        <v>2255</v>
      </c>
      <c r="AM4925">
        <v>1</v>
      </c>
      <c r="AN4925" s="15" t="s">
        <v>3879</v>
      </c>
    </row>
    <row r="4926" spans="1:40" x14ac:dyDescent="0.3">
      <c r="A4926" s="10" t="str">
        <f>HYPERLINK("http://www.washoecounty.gov/assessor/cama/?parid=143-141-01&amp;CardNumber=1","143-141-01")</f>
        <v>143-141-01</v>
      </c>
      <c r="B4926" t="s">
        <v>4655</v>
      </c>
      <c r="C4926" t="s">
        <v>25445</v>
      </c>
      <c r="D4926" s="1">
        <v>40280</v>
      </c>
      <c r="E4926" s="2">
        <v>185786</v>
      </c>
      <c r="F4926" t="s">
        <v>4567</v>
      </c>
      <c r="G4926" s="17" t="str">
        <f>HYPERLINK("https://www.washoecounty.gov/assessor/cama/?command=sales&amp;parid=14314101","3870036")</f>
        <v>3870036</v>
      </c>
      <c r="H4926" t="s">
        <v>1520</v>
      </c>
      <c r="I4926">
        <v>2010</v>
      </c>
      <c r="J4926">
        <v>2010</v>
      </c>
      <c r="K4926" t="s">
        <v>4554</v>
      </c>
      <c r="L4926" t="s">
        <v>4555</v>
      </c>
      <c r="M4926" s="2">
        <v>1323</v>
      </c>
      <c r="N4926" t="s">
        <v>3147</v>
      </c>
      <c r="O4926">
        <v>3</v>
      </c>
      <c r="P4926">
        <v>2</v>
      </c>
      <c r="Q4926">
        <v>0</v>
      </c>
      <c r="R4926" t="s">
        <v>5281</v>
      </c>
      <c r="S4926" t="s">
        <v>4898</v>
      </c>
      <c r="T4926" t="s">
        <v>2704</v>
      </c>
      <c r="U4926" t="s">
        <v>4560</v>
      </c>
      <c r="V4926" s="2">
        <v>424</v>
      </c>
      <c r="W4926" t="s">
        <v>4655</v>
      </c>
      <c r="X4926" s="2">
        <v>0</v>
      </c>
      <c r="Y4926">
        <v>20</v>
      </c>
      <c r="Z4926" t="s">
        <v>5107</v>
      </c>
      <c r="AA4926" s="3">
        <v>0.18209366500377699</v>
      </c>
      <c r="AB4926" t="s">
        <v>25446</v>
      </c>
      <c r="AC4926" t="s">
        <v>4575</v>
      </c>
      <c r="AD4926" t="s">
        <v>25445</v>
      </c>
      <c r="AE4926" t="s">
        <v>4655</v>
      </c>
      <c r="AF4926" t="s">
        <v>4563</v>
      </c>
      <c r="AG4926" t="s">
        <v>4564</v>
      </c>
      <c r="AH4926" t="s">
        <v>5197</v>
      </c>
      <c r="AI4926" t="s">
        <v>3881</v>
      </c>
      <c r="AJ4926" t="s">
        <v>1521</v>
      </c>
      <c r="AK4926" t="s">
        <v>25447</v>
      </c>
      <c r="AL4926" s="13" t="s">
        <v>2255</v>
      </c>
      <c r="AM4926">
        <v>1</v>
      </c>
      <c r="AN4926" s="15" t="s">
        <v>3879</v>
      </c>
    </row>
    <row r="4927" spans="1:40" x14ac:dyDescent="0.3">
      <c r="A4927" s="10" t="str">
        <f>HYPERLINK("http://www.washoecounty.gov/assessor/cama/?parid=143-141-02&amp;CardNumber=1","143-141-02")</f>
        <v>143-141-02</v>
      </c>
      <c r="B4927" t="s">
        <v>4655</v>
      </c>
      <c r="C4927" t="s">
        <v>25448</v>
      </c>
      <c r="D4927" s="1">
        <v>40263</v>
      </c>
      <c r="E4927" s="2">
        <v>253383</v>
      </c>
      <c r="F4927" t="s">
        <v>4567</v>
      </c>
      <c r="G4927" s="17" t="str">
        <f>HYPERLINK("https://www.washoecounty.gov/assessor/cama/?command=sales&amp;parid=14314102","3864691")</f>
        <v>3864691</v>
      </c>
      <c r="H4927" t="s">
        <v>1520</v>
      </c>
      <c r="I4927">
        <v>2010</v>
      </c>
      <c r="J4927">
        <v>2010</v>
      </c>
      <c r="K4927" t="s">
        <v>4554</v>
      </c>
      <c r="L4927" t="s">
        <v>3974</v>
      </c>
      <c r="M4927" s="2">
        <v>2300</v>
      </c>
      <c r="N4927" t="s">
        <v>3147</v>
      </c>
      <c r="O4927">
        <v>4</v>
      </c>
      <c r="P4927">
        <v>2</v>
      </c>
      <c r="Q4927">
        <v>1</v>
      </c>
      <c r="R4927" t="s">
        <v>5281</v>
      </c>
      <c r="S4927" t="s">
        <v>4898</v>
      </c>
      <c r="T4927" t="s">
        <v>2704</v>
      </c>
      <c r="U4927" t="s">
        <v>5631</v>
      </c>
      <c r="V4927" s="2">
        <v>426</v>
      </c>
      <c r="W4927" t="s">
        <v>4655</v>
      </c>
      <c r="X4927" s="2">
        <v>0</v>
      </c>
      <c r="Y4927">
        <v>20</v>
      </c>
      <c r="Z4927" t="s">
        <v>5107</v>
      </c>
      <c r="AA4927" s="3">
        <v>0.149104684591293</v>
      </c>
      <c r="AB4927" t="s">
        <v>25449</v>
      </c>
      <c r="AC4927" t="s">
        <v>4575</v>
      </c>
      <c r="AD4927" t="s">
        <v>25450</v>
      </c>
      <c r="AE4927" t="s">
        <v>25448</v>
      </c>
      <c r="AF4927" t="s">
        <v>4563</v>
      </c>
      <c r="AG4927" t="s">
        <v>4564</v>
      </c>
      <c r="AH4927" t="s">
        <v>5197</v>
      </c>
      <c r="AI4927" t="s">
        <v>3881</v>
      </c>
      <c r="AJ4927" t="s">
        <v>1521</v>
      </c>
      <c r="AK4927" t="s">
        <v>25451</v>
      </c>
      <c r="AL4927" s="13" t="s">
        <v>2255</v>
      </c>
      <c r="AM4927" s="14">
        <v>1</v>
      </c>
      <c r="AN4927" s="15" t="s">
        <v>3879</v>
      </c>
    </row>
    <row r="4928" spans="1:40" x14ac:dyDescent="0.3">
      <c r="A4928" s="10" t="str">
        <f>HYPERLINK("http://www.washoecounty.gov/assessor/cama/?parid=143-141-03&amp;CardNumber=1","143-141-03")</f>
        <v>143-141-03</v>
      </c>
      <c r="B4928" t="s">
        <v>4655</v>
      </c>
      <c r="C4928" t="s">
        <v>25452</v>
      </c>
      <c r="D4928" s="1">
        <v>40246</v>
      </c>
      <c r="E4928" s="2">
        <v>194923</v>
      </c>
      <c r="F4928" t="s">
        <v>4567</v>
      </c>
      <c r="G4928" s="17" t="str">
        <f>HYPERLINK("https://www.washoecounty.gov/assessor/cama/?command=sales&amp;parid=14314103","3857523")</f>
        <v>3857523</v>
      </c>
      <c r="H4928" t="s">
        <v>1520</v>
      </c>
      <c r="I4928">
        <v>2010</v>
      </c>
      <c r="J4928">
        <v>2010</v>
      </c>
      <c r="K4928" t="s">
        <v>4554</v>
      </c>
      <c r="L4928" t="s">
        <v>4555</v>
      </c>
      <c r="M4928" s="2">
        <v>1455</v>
      </c>
      <c r="N4928" t="s">
        <v>3147</v>
      </c>
      <c r="O4928">
        <v>3</v>
      </c>
      <c r="P4928">
        <v>2</v>
      </c>
      <c r="Q4928">
        <v>0</v>
      </c>
      <c r="R4928" t="s">
        <v>5281</v>
      </c>
      <c r="S4928" t="s">
        <v>4898</v>
      </c>
      <c r="T4928" t="s">
        <v>2704</v>
      </c>
      <c r="U4928" t="s">
        <v>4560</v>
      </c>
      <c r="V4928" s="2">
        <v>420</v>
      </c>
      <c r="W4928" t="s">
        <v>4655</v>
      </c>
      <c r="X4928" s="2">
        <v>0</v>
      </c>
      <c r="Y4928">
        <v>20</v>
      </c>
      <c r="Z4928" t="s">
        <v>5107</v>
      </c>
      <c r="AA4928" s="3">
        <v>0.16363635659217834</v>
      </c>
      <c r="AB4928" t="s">
        <v>25453</v>
      </c>
      <c r="AC4928" t="s">
        <v>4575</v>
      </c>
      <c r="AD4928" t="s">
        <v>25454</v>
      </c>
      <c r="AE4928" t="s">
        <v>25452</v>
      </c>
      <c r="AF4928" t="s">
        <v>4563</v>
      </c>
      <c r="AG4928" t="s">
        <v>4564</v>
      </c>
      <c r="AH4928" t="s">
        <v>5197</v>
      </c>
      <c r="AI4928" t="s">
        <v>25455</v>
      </c>
      <c r="AJ4928" t="s">
        <v>1521</v>
      </c>
      <c r="AK4928" t="s">
        <v>25456</v>
      </c>
      <c r="AL4928" s="13" t="s">
        <v>2255</v>
      </c>
      <c r="AM4928" s="14">
        <v>1</v>
      </c>
      <c r="AN4928" s="15" t="s">
        <v>3879</v>
      </c>
    </row>
    <row r="4929" spans="1:40" x14ac:dyDescent="0.3">
      <c r="A4929" s="10" t="str">
        <f>HYPERLINK("http://www.washoecounty.gov/assessor/cama/?parid=143-141-04&amp;CardNumber=1","143-141-04")</f>
        <v>143-141-04</v>
      </c>
      <c r="B4929" t="s">
        <v>4655</v>
      </c>
      <c r="C4929" t="s">
        <v>25457</v>
      </c>
      <c r="D4929" s="1">
        <v>40269</v>
      </c>
      <c r="E4929" s="2">
        <v>190362</v>
      </c>
      <c r="F4929" t="s">
        <v>4567</v>
      </c>
      <c r="G4929" s="17" t="str">
        <f>HYPERLINK("https://www.washoecounty.gov/assessor/cama/?command=sales&amp;parid=14314104","3866952")</f>
        <v>3866952</v>
      </c>
      <c r="H4929" t="s">
        <v>1520</v>
      </c>
      <c r="I4929">
        <v>2010</v>
      </c>
      <c r="J4929">
        <v>2010</v>
      </c>
      <c r="K4929" t="s">
        <v>4554</v>
      </c>
      <c r="L4929" t="s">
        <v>4555</v>
      </c>
      <c r="M4929" s="2">
        <v>1323</v>
      </c>
      <c r="N4929" t="s">
        <v>3147</v>
      </c>
      <c r="O4929">
        <v>3</v>
      </c>
      <c r="P4929">
        <v>2</v>
      </c>
      <c r="Q4929">
        <v>0</v>
      </c>
      <c r="R4929" t="s">
        <v>5281</v>
      </c>
      <c r="S4929" t="s">
        <v>4898</v>
      </c>
      <c r="T4929" t="s">
        <v>2704</v>
      </c>
      <c r="U4929" t="s">
        <v>4560</v>
      </c>
      <c r="V4929" s="2">
        <v>424</v>
      </c>
      <c r="W4929" t="s">
        <v>4655</v>
      </c>
      <c r="X4929" s="2">
        <v>0</v>
      </c>
      <c r="Y4929">
        <v>20</v>
      </c>
      <c r="Z4929" t="s">
        <v>5107</v>
      </c>
      <c r="AA4929" s="3">
        <v>0.15612947940826399</v>
      </c>
      <c r="AB4929" t="s">
        <v>25458</v>
      </c>
      <c r="AC4929" t="s">
        <v>4562</v>
      </c>
      <c r="AD4929" t="s">
        <v>25459</v>
      </c>
      <c r="AE4929" t="s">
        <v>4655</v>
      </c>
      <c r="AF4929" t="s">
        <v>4563</v>
      </c>
      <c r="AG4929" t="s">
        <v>4564</v>
      </c>
      <c r="AH4929" t="s">
        <v>5197</v>
      </c>
      <c r="AI4929" t="s">
        <v>3881</v>
      </c>
      <c r="AJ4929" t="s">
        <v>1521</v>
      </c>
      <c r="AK4929" t="s">
        <v>25460</v>
      </c>
      <c r="AL4929" s="13" t="s">
        <v>2255</v>
      </c>
      <c r="AM4929">
        <v>1</v>
      </c>
      <c r="AN4929" s="15" t="s">
        <v>3879</v>
      </c>
    </row>
    <row r="4930" spans="1:40" x14ac:dyDescent="0.3">
      <c r="A4930" s="10" t="str">
        <f>HYPERLINK("http://www.washoecounty.gov/assessor/cama/?parid=143-141-05&amp;CardNumber=1","143-141-05")</f>
        <v>143-141-05</v>
      </c>
      <c r="B4930" t="s">
        <v>4655</v>
      </c>
      <c r="C4930" t="s">
        <v>25461</v>
      </c>
      <c r="D4930" s="1">
        <v>40266</v>
      </c>
      <c r="E4930" s="2">
        <v>193979</v>
      </c>
      <c r="F4930" t="s">
        <v>4567</v>
      </c>
      <c r="G4930" s="17" t="str">
        <f>HYPERLINK("https://www.washoecounty.gov/assessor/cama/?command=sales&amp;parid=14314105","3864970")</f>
        <v>3864970</v>
      </c>
      <c r="H4930" t="s">
        <v>1520</v>
      </c>
      <c r="I4930">
        <v>2010</v>
      </c>
      <c r="J4930">
        <v>2010</v>
      </c>
      <c r="K4930" t="s">
        <v>4554</v>
      </c>
      <c r="L4930" t="s">
        <v>4555</v>
      </c>
      <c r="M4930" s="2">
        <v>1455</v>
      </c>
      <c r="N4930" t="s">
        <v>3147</v>
      </c>
      <c r="O4930">
        <v>3</v>
      </c>
      <c r="P4930">
        <v>2</v>
      </c>
      <c r="Q4930">
        <v>0</v>
      </c>
      <c r="R4930" t="s">
        <v>5281</v>
      </c>
      <c r="S4930" t="s">
        <v>4898</v>
      </c>
      <c r="T4930" t="s">
        <v>2704</v>
      </c>
      <c r="U4930" t="s">
        <v>4560</v>
      </c>
      <c r="V4930" s="2">
        <v>420</v>
      </c>
      <c r="W4930" t="s">
        <v>4655</v>
      </c>
      <c r="X4930" s="2">
        <v>0</v>
      </c>
      <c r="Y4930">
        <v>20</v>
      </c>
      <c r="Z4930" t="s">
        <v>5107</v>
      </c>
      <c r="AA4930" s="3">
        <v>0.149609729647636</v>
      </c>
      <c r="AB4930" t="s">
        <v>25462</v>
      </c>
      <c r="AC4930" t="s">
        <v>4562</v>
      </c>
      <c r="AD4930" t="s">
        <v>25461</v>
      </c>
      <c r="AE4930" t="s">
        <v>4655</v>
      </c>
      <c r="AF4930" t="s">
        <v>4563</v>
      </c>
      <c r="AG4930" t="s">
        <v>4564</v>
      </c>
      <c r="AH4930" t="s">
        <v>5197</v>
      </c>
      <c r="AI4930" t="s">
        <v>3881</v>
      </c>
      <c r="AJ4930" t="s">
        <v>1521</v>
      </c>
      <c r="AK4930" t="s">
        <v>25463</v>
      </c>
      <c r="AL4930" s="13" t="s">
        <v>2255</v>
      </c>
      <c r="AM4930">
        <v>1</v>
      </c>
      <c r="AN4930" s="15" t="s">
        <v>3879</v>
      </c>
    </row>
    <row r="4931" spans="1:40" x14ac:dyDescent="0.3">
      <c r="A4931" s="10" t="str">
        <f>HYPERLINK("http://www.washoecounty.gov/assessor/cama/?parid=143-141-06&amp;CardNumber=1","143-141-06")</f>
        <v>143-141-06</v>
      </c>
      <c r="B4931" t="s">
        <v>4655</v>
      </c>
      <c r="C4931" t="s">
        <v>25464</v>
      </c>
      <c r="D4931" s="1">
        <v>40276</v>
      </c>
      <c r="E4931" s="2">
        <v>208147</v>
      </c>
      <c r="F4931" t="s">
        <v>4567</v>
      </c>
      <c r="G4931" s="17" t="str">
        <f>HYPERLINK("https://www.washoecounty.gov/assessor/cama/?command=sales&amp;parid=14314106","3865973")</f>
        <v>3865973</v>
      </c>
      <c r="H4931" t="s">
        <v>1520</v>
      </c>
      <c r="I4931">
        <v>2010</v>
      </c>
      <c r="J4931">
        <v>2010</v>
      </c>
      <c r="K4931" t="s">
        <v>4554</v>
      </c>
      <c r="L4931" t="s">
        <v>4555</v>
      </c>
      <c r="M4931" s="2">
        <v>1455</v>
      </c>
      <c r="N4931" t="s">
        <v>3147</v>
      </c>
      <c r="O4931">
        <v>3</v>
      </c>
      <c r="P4931">
        <v>2</v>
      </c>
      <c r="Q4931">
        <v>0</v>
      </c>
      <c r="R4931" t="s">
        <v>5281</v>
      </c>
      <c r="S4931" t="s">
        <v>4898</v>
      </c>
      <c r="T4931" t="s">
        <v>2704</v>
      </c>
      <c r="U4931" t="s">
        <v>4560</v>
      </c>
      <c r="V4931" s="2">
        <v>420</v>
      </c>
      <c r="W4931" t="s">
        <v>4655</v>
      </c>
      <c r="X4931" s="2">
        <v>0</v>
      </c>
      <c r="Y4931">
        <v>20</v>
      </c>
      <c r="Z4931" t="s">
        <v>5107</v>
      </c>
      <c r="AA4931" s="3">
        <v>0.150252521038055</v>
      </c>
      <c r="AB4931" t="s">
        <v>25465</v>
      </c>
      <c r="AC4931" t="s">
        <v>4562</v>
      </c>
      <c r="AD4931" t="s">
        <v>25464</v>
      </c>
      <c r="AE4931" t="s">
        <v>4655</v>
      </c>
      <c r="AF4931" t="s">
        <v>4563</v>
      </c>
      <c r="AG4931" t="s">
        <v>4564</v>
      </c>
      <c r="AH4931" t="s">
        <v>5197</v>
      </c>
      <c r="AI4931" t="s">
        <v>3881</v>
      </c>
      <c r="AJ4931" t="s">
        <v>1521</v>
      </c>
      <c r="AK4931" t="s">
        <v>25466</v>
      </c>
      <c r="AL4931" s="13" t="s">
        <v>2255</v>
      </c>
      <c r="AM4931" s="14">
        <v>1</v>
      </c>
      <c r="AN4931" s="15" t="s">
        <v>3879</v>
      </c>
    </row>
    <row r="4932" spans="1:40" x14ac:dyDescent="0.3">
      <c r="A4932" s="10" t="str">
        <f>HYPERLINK("http://www.washoecounty.gov/assessor/cama/?parid=143-141-07&amp;CardNumber=1","143-141-07")</f>
        <v>143-141-07</v>
      </c>
      <c r="B4932" t="s">
        <v>4655</v>
      </c>
      <c r="C4932" t="s">
        <v>25467</v>
      </c>
      <c r="D4932" s="1">
        <v>40291</v>
      </c>
      <c r="E4932" s="2">
        <v>192840</v>
      </c>
      <c r="F4932" t="s">
        <v>4567</v>
      </c>
      <c r="G4932" s="17" t="str">
        <f>HYPERLINK("https://www.washoecounty.gov/assessor/cama/?command=sales&amp;parid=14314107","3874053")</f>
        <v>3874053</v>
      </c>
      <c r="H4932" t="s">
        <v>1520</v>
      </c>
      <c r="I4932">
        <v>2010</v>
      </c>
      <c r="J4932">
        <v>2010</v>
      </c>
      <c r="K4932" t="s">
        <v>4554</v>
      </c>
      <c r="L4932" t="s">
        <v>4555</v>
      </c>
      <c r="M4932" s="2">
        <v>1323</v>
      </c>
      <c r="N4932" t="s">
        <v>3147</v>
      </c>
      <c r="O4932">
        <v>3</v>
      </c>
      <c r="P4932">
        <v>2</v>
      </c>
      <c r="Q4932">
        <v>0</v>
      </c>
      <c r="R4932" t="s">
        <v>5281</v>
      </c>
      <c r="S4932" t="s">
        <v>4898</v>
      </c>
      <c r="T4932" t="s">
        <v>2704</v>
      </c>
      <c r="U4932" t="s">
        <v>4560</v>
      </c>
      <c r="V4932" s="2">
        <v>424</v>
      </c>
      <c r="W4932" t="s">
        <v>4655</v>
      </c>
      <c r="X4932" s="2">
        <v>0</v>
      </c>
      <c r="Y4932">
        <v>20</v>
      </c>
      <c r="Z4932" t="s">
        <v>5107</v>
      </c>
      <c r="AA4932" s="3">
        <v>0.158126726746559</v>
      </c>
      <c r="AB4932" t="s">
        <v>25468</v>
      </c>
      <c r="AC4932" t="s">
        <v>4562</v>
      </c>
      <c r="AD4932" t="s">
        <v>25467</v>
      </c>
      <c r="AE4932" t="s">
        <v>4655</v>
      </c>
      <c r="AF4932" t="s">
        <v>4563</v>
      </c>
      <c r="AG4932" t="s">
        <v>4564</v>
      </c>
      <c r="AH4932" t="s">
        <v>5197</v>
      </c>
      <c r="AI4932" t="s">
        <v>3881</v>
      </c>
      <c r="AJ4932" t="s">
        <v>1521</v>
      </c>
      <c r="AK4932" t="s">
        <v>25469</v>
      </c>
      <c r="AL4932" s="13" t="s">
        <v>2255</v>
      </c>
      <c r="AM4932" s="14">
        <v>1</v>
      </c>
      <c r="AN4932" s="15" t="s">
        <v>3879</v>
      </c>
    </row>
    <row r="4933" spans="1:40" x14ac:dyDescent="0.3">
      <c r="A4933" s="10" t="str">
        <f>HYPERLINK("http://www.washoecounty.gov/assessor/cama/?parid=143-141-08&amp;CardNumber=1","143-141-08")</f>
        <v>143-141-08</v>
      </c>
      <c r="B4933" t="s">
        <v>4655</v>
      </c>
      <c r="C4933" t="s">
        <v>25470</v>
      </c>
      <c r="D4933" s="1">
        <v>40274</v>
      </c>
      <c r="E4933" s="2">
        <v>259376</v>
      </c>
      <c r="F4933" t="s">
        <v>4567</v>
      </c>
      <c r="G4933" s="17" t="str">
        <f>HYPERLINK("https://www.washoecounty.gov/assessor/cama/?command=sales&amp;parid=14314108","3868235")</f>
        <v>3868235</v>
      </c>
      <c r="H4933" t="s">
        <v>1520</v>
      </c>
      <c r="I4933">
        <v>2010</v>
      </c>
      <c r="J4933">
        <v>2010</v>
      </c>
      <c r="K4933" t="s">
        <v>4554</v>
      </c>
      <c r="L4933" t="s">
        <v>3974</v>
      </c>
      <c r="M4933" s="2">
        <v>2300</v>
      </c>
      <c r="N4933" t="s">
        <v>3147</v>
      </c>
      <c r="O4933">
        <v>4</v>
      </c>
      <c r="P4933">
        <v>2</v>
      </c>
      <c r="Q4933">
        <v>1</v>
      </c>
      <c r="R4933" t="s">
        <v>5281</v>
      </c>
      <c r="S4933" t="s">
        <v>4898</v>
      </c>
      <c r="T4933" t="s">
        <v>2704</v>
      </c>
      <c r="U4933" t="s">
        <v>5631</v>
      </c>
      <c r="V4933" s="2">
        <v>426</v>
      </c>
      <c r="W4933" t="s">
        <v>4655</v>
      </c>
      <c r="X4933" s="2">
        <v>0</v>
      </c>
      <c r="Y4933">
        <v>20</v>
      </c>
      <c r="Z4933" t="s">
        <v>5107</v>
      </c>
      <c r="AA4933" s="3">
        <v>0.15881542861461639</v>
      </c>
      <c r="AB4933" t="s">
        <v>25471</v>
      </c>
      <c r="AC4933" t="s">
        <v>4562</v>
      </c>
      <c r="AD4933" t="s">
        <v>25472</v>
      </c>
      <c r="AE4933" t="s">
        <v>4655</v>
      </c>
      <c r="AF4933" t="s">
        <v>4563</v>
      </c>
      <c r="AG4933" t="s">
        <v>4564</v>
      </c>
      <c r="AH4933" t="s">
        <v>5197</v>
      </c>
      <c r="AI4933" t="s">
        <v>3881</v>
      </c>
      <c r="AJ4933" t="s">
        <v>1521</v>
      </c>
      <c r="AK4933" t="s">
        <v>25473</v>
      </c>
      <c r="AL4933" s="13" t="s">
        <v>2255</v>
      </c>
      <c r="AM4933">
        <v>1</v>
      </c>
      <c r="AN4933" s="15" t="s">
        <v>3879</v>
      </c>
    </row>
    <row r="4934" spans="1:40" x14ac:dyDescent="0.3">
      <c r="A4934" s="10" t="str">
        <f>HYPERLINK("http://www.washoecounty.gov/assessor/cama/?parid=143-141-09&amp;CardNumber=1","143-141-09")</f>
        <v>143-141-09</v>
      </c>
      <c r="B4934" t="s">
        <v>4655</v>
      </c>
      <c r="C4934" t="s">
        <v>25474</v>
      </c>
      <c r="D4934" s="1">
        <v>40280</v>
      </c>
      <c r="E4934" s="2">
        <v>196033</v>
      </c>
      <c r="F4934" t="s">
        <v>4567</v>
      </c>
      <c r="G4934" s="17" t="str">
        <f>HYPERLINK("https://www.washoecounty.gov/assessor/cama/?command=sales&amp;parid=14314109","3870061")</f>
        <v>3870061</v>
      </c>
      <c r="H4934" t="s">
        <v>1520</v>
      </c>
      <c r="I4934">
        <v>2010</v>
      </c>
      <c r="J4934">
        <v>2010</v>
      </c>
      <c r="K4934" t="s">
        <v>4554</v>
      </c>
      <c r="L4934" t="s">
        <v>4555</v>
      </c>
      <c r="M4934" s="2">
        <v>1323</v>
      </c>
      <c r="N4934" t="s">
        <v>3147</v>
      </c>
      <c r="O4934">
        <v>3</v>
      </c>
      <c r="P4934">
        <v>2</v>
      </c>
      <c r="Q4934">
        <v>0</v>
      </c>
      <c r="R4934" t="s">
        <v>5281</v>
      </c>
      <c r="S4934" t="s">
        <v>4898</v>
      </c>
      <c r="T4934" t="s">
        <v>2704</v>
      </c>
      <c r="U4934" t="s">
        <v>4560</v>
      </c>
      <c r="V4934" s="2">
        <v>424</v>
      </c>
      <c r="W4934" t="s">
        <v>4655</v>
      </c>
      <c r="X4934" s="2">
        <v>0</v>
      </c>
      <c r="Y4934">
        <v>20</v>
      </c>
      <c r="Z4934" t="s">
        <v>5107</v>
      </c>
      <c r="AA4934" s="3">
        <v>0.15709365904331199</v>
      </c>
      <c r="AB4934" t="s">
        <v>25475</v>
      </c>
      <c r="AC4934" t="s">
        <v>4575</v>
      </c>
      <c r="AD4934" t="s">
        <v>25474</v>
      </c>
      <c r="AE4934" t="s">
        <v>4655</v>
      </c>
      <c r="AF4934" t="s">
        <v>4563</v>
      </c>
      <c r="AG4934" t="s">
        <v>4564</v>
      </c>
      <c r="AH4934" t="s">
        <v>5197</v>
      </c>
      <c r="AI4934" t="s">
        <v>3881</v>
      </c>
      <c r="AJ4934" t="s">
        <v>1521</v>
      </c>
      <c r="AK4934" t="s">
        <v>25476</v>
      </c>
      <c r="AL4934" s="13" t="s">
        <v>2255</v>
      </c>
      <c r="AM4934">
        <v>1</v>
      </c>
      <c r="AN4934" s="15" t="s">
        <v>3879</v>
      </c>
    </row>
    <row r="4935" spans="1:40" x14ac:dyDescent="0.3">
      <c r="A4935" s="10" t="str">
        <f>HYPERLINK("http://www.washoecounty.gov/assessor/cama/?parid=143-142-01&amp;CardNumber=1","143-142-01")</f>
        <v>143-142-01</v>
      </c>
      <c r="B4935" t="s">
        <v>4655</v>
      </c>
      <c r="C4935" t="s">
        <v>25477</v>
      </c>
      <c r="D4935" s="1">
        <v>40287</v>
      </c>
      <c r="E4935" s="2">
        <v>211781</v>
      </c>
      <c r="F4935" t="s">
        <v>4567</v>
      </c>
      <c r="G4935" s="17" t="str">
        <f>HYPERLINK("https://www.washoecounty.gov/assessor/cama/?command=sales&amp;parid=14314201","3872533")</f>
        <v>3872533</v>
      </c>
      <c r="H4935" t="s">
        <v>1520</v>
      </c>
      <c r="I4935">
        <v>2010</v>
      </c>
      <c r="J4935">
        <v>2010</v>
      </c>
      <c r="K4935" t="s">
        <v>4554</v>
      </c>
      <c r="L4935" t="s">
        <v>4555</v>
      </c>
      <c r="M4935" s="2">
        <v>1455</v>
      </c>
      <c r="N4935" t="s">
        <v>3147</v>
      </c>
      <c r="O4935">
        <v>3</v>
      </c>
      <c r="P4935">
        <v>2</v>
      </c>
      <c r="Q4935">
        <v>0</v>
      </c>
      <c r="R4935" t="s">
        <v>5281</v>
      </c>
      <c r="S4935" t="s">
        <v>4898</v>
      </c>
      <c r="T4935" t="s">
        <v>2704</v>
      </c>
      <c r="U4935" t="s">
        <v>4560</v>
      </c>
      <c r="V4935" s="2">
        <v>420</v>
      </c>
      <c r="W4935" t="s">
        <v>4655</v>
      </c>
      <c r="X4935" s="2">
        <v>0</v>
      </c>
      <c r="Y4935">
        <v>20</v>
      </c>
      <c r="Z4935" t="s">
        <v>5107</v>
      </c>
      <c r="AA4935" s="3">
        <v>0.14139118790626501</v>
      </c>
      <c r="AB4935" t="s">
        <v>25478</v>
      </c>
      <c r="AC4935" t="s">
        <v>4562</v>
      </c>
      <c r="AD4935" t="s">
        <v>25477</v>
      </c>
      <c r="AE4935" t="s">
        <v>4655</v>
      </c>
      <c r="AF4935" t="s">
        <v>4563</v>
      </c>
      <c r="AG4935" t="s">
        <v>4564</v>
      </c>
      <c r="AH4935" t="s">
        <v>5197</v>
      </c>
      <c r="AI4935" t="s">
        <v>3881</v>
      </c>
      <c r="AJ4935" t="s">
        <v>1521</v>
      </c>
      <c r="AK4935" t="s">
        <v>25479</v>
      </c>
      <c r="AL4935" s="13" t="s">
        <v>2255</v>
      </c>
      <c r="AM4935" s="14">
        <v>1</v>
      </c>
      <c r="AN4935" s="15" t="s">
        <v>3879</v>
      </c>
    </row>
    <row r="4936" spans="1:40" x14ac:dyDescent="0.3">
      <c r="A4936" s="10" t="str">
        <f>HYPERLINK("http://www.washoecounty.gov/assessor/cama/?parid=143-142-02&amp;CardNumber=1","143-142-02")</f>
        <v>143-142-02</v>
      </c>
      <c r="B4936" t="s">
        <v>4655</v>
      </c>
      <c r="C4936" t="s">
        <v>25480</v>
      </c>
      <c r="D4936" s="1">
        <v>40296</v>
      </c>
      <c r="E4936" s="2">
        <v>194526</v>
      </c>
      <c r="F4936" t="s">
        <v>4567</v>
      </c>
      <c r="G4936" s="17" t="str">
        <f>HYPERLINK("https://www.washoecounty.gov/assessor/cama/?command=sales&amp;parid=14314202","3875827")</f>
        <v>3875827</v>
      </c>
      <c r="H4936" t="s">
        <v>1520</v>
      </c>
      <c r="I4936">
        <v>2010</v>
      </c>
      <c r="J4936">
        <v>2010</v>
      </c>
      <c r="K4936" t="s">
        <v>4554</v>
      </c>
      <c r="L4936" t="s">
        <v>4555</v>
      </c>
      <c r="M4936" s="2">
        <v>1455</v>
      </c>
      <c r="N4936" t="s">
        <v>3147</v>
      </c>
      <c r="O4936">
        <v>3</v>
      </c>
      <c r="P4936">
        <v>2</v>
      </c>
      <c r="Q4936">
        <v>0</v>
      </c>
      <c r="R4936" t="s">
        <v>5281</v>
      </c>
      <c r="S4936" t="s">
        <v>4898</v>
      </c>
      <c r="T4936" t="s">
        <v>2704</v>
      </c>
      <c r="U4936" t="s">
        <v>4560</v>
      </c>
      <c r="V4936" s="2">
        <v>420</v>
      </c>
      <c r="W4936" t="s">
        <v>4655</v>
      </c>
      <c r="X4936" s="2">
        <v>0</v>
      </c>
      <c r="Y4936">
        <v>20</v>
      </c>
      <c r="Z4936" t="s">
        <v>5107</v>
      </c>
      <c r="AA4936" s="3">
        <v>0.141919195652008</v>
      </c>
      <c r="AB4936" t="s">
        <v>25481</v>
      </c>
      <c r="AC4936" t="s">
        <v>4575</v>
      </c>
      <c r="AD4936" t="s">
        <v>25480</v>
      </c>
      <c r="AE4936" t="s">
        <v>4655</v>
      </c>
      <c r="AF4936" t="s">
        <v>4563</v>
      </c>
      <c r="AG4936" t="s">
        <v>4564</v>
      </c>
      <c r="AH4936" t="s">
        <v>5197</v>
      </c>
      <c r="AI4936" t="s">
        <v>4655</v>
      </c>
      <c r="AJ4936" t="s">
        <v>1521</v>
      </c>
      <c r="AK4936" t="s">
        <v>25482</v>
      </c>
      <c r="AL4936" s="13" t="s">
        <v>2255</v>
      </c>
      <c r="AM4936">
        <v>1</v>
      </c>
      <c r="AN4936" s="15" t="s">
        <v>3879</v>
      </c>
    </row>
    <row r="4937" spans="1:40" x14ac:dyDescent="0.3">
      <c r="A4937" s="10" t="str">
        <f>HYPERLINK("http://www.washoecounty.gov/assessor/cama/?parid=143-142-03&amp;CardNumber=1","143-142-03")</f>
        <v>143-142-03</v>
      </c>
      <c r="B4937" t="s">
        <v>4655</v>
      </c>
      <c r="C4937" t="s">
        <v>25483</v>
      </c>
      <c r="D4937" s="1">
        <v>40318</v>
      </c>
      <c r="E4937" s="2">
        <v>188036</v>
      </c>
      <c r="F4937" t="s">
        <v>4567</v>
      </c>
      <c r="G4937" s="17" t="str">
        <f>HYPERLINK("https://www.washoecounty.gov/assessor/cama/?command=sales&amp;parid=14314203","3883326")</f>
        <v>3883326</v>
      </c>
      <c r="H4937" t="s">
        <v>1520</v>
      </c>
      <c r="I4937">
        <v>2010</v>
      </c>
      <c r="J4937">
        <v>2010</v>
      </c>
      <c r="K4937" t="s">
        <v>4554</v>
      </c>
      <c r="L4937" t="s">
        <v>4555</v>
      </c>
      <c r="M4937" s="2">
        <v>1323</v>
      </c>
      <c r="N4937" t="s">
        <v>3147</v>
      </c>
      <c r="O4937">
        <v>3</v>
      </c>
      <c r="P4937">
        <v>2</v>
      </c>
      <c r="Q4937">
        <v>0</v>
      </c>
      <c r="R4937" t="s">
        <v>5281</v>
      </c>
      <c r="S4937" t="s">
        <v>4898</v>
      </c>
      <c r="T4937" t="s">
        <v>2704</v>
      </c>
      <c r="U4937" t="s">
        <v>4560</v>
      </c>
      <c r="V4937" s="2">
        <v>424</v>
      </c>
      <c r="W4937" t="s">
        <v>4655</v>
      </c>
      <c r="X4937" s="2">
        <v>0</v>
      </c>
      <c r="Y4937">
        <v>20</v>
      </c>
      <c r="Z4937" t="s">
        <v>5107</v>
      </c>
      <c r="AA4937" s="3">
        <v>0.14235536754131317</v>
      </c>
      <c r="AB4937" t="s">
        <v>25484</v>
      </c>
      <c r="AC4937" t="s">
        <v>4575</v>
      </c>
      <c r="AD4937" t="s">
        <v>25483</v>
      </c>
      <c r="AE4937" t="s">
        <v>4655</v>
      </c>
      <c r="AF4937" t="s">
        <v>4563</v>
      </c>
      <c r="AG4937" t="s">
        <v>4564</v>
      </c>
      <c r="AH4937" t="s">
        <v>5197</v>
      </c>
      <c r="AI4937" t="s">
        <v>3881</v>
      </c>
      <c r="AJ4937" t="s">
        <v>1521</v>
      </c>
      <c r="AK4937" t="s">
        <v>25485</v>
      </c>
      <c r="AL4937" s="13" t="s">
        <v>2255</v>
      </c>
      <c r="AM4937" s="14">
        <v>1</v>
      </c>
      <c r="AN4937" s="15" t="s">
        <v>3879</v>
      </c>
    </row>
    <row r="4938" spans="1:40" x14ac:dyDescent="0.3">
      <c r="A4938" s="10" t="str">
        <f>HYPERLINK("http://www.washoecounty.gov/assessor/cama/?parid=143-142-04&amp;CardNumber=1","143-142-04")</f>
        <v>143-142-04</v>
      </c>
      <c r="B4938" t="s">
        <v>4655</v>
      </c>
      <c r="C4938" t="s">
        <v>25486</v>
      </c>
      <c r="D4938" s="1">
        <v>40277</v>
      </c>
      <c r="E4938" s="2">
        <v>191021</v>
      </c>
      <c r="F4938" t="s">
        <v>4567</v>
      </c>
      <c r="G4938" s="17" t="str">
        <f>HYPERLINK("https://www.washoecounty.gov/assessor/cama/?command=sales&amp;parid=14314204","3869584")</f>
        <v>3869584</v>
      </c>
      <c r="H4938" t="s">
        <v>1520</v>
      </c>
      <c r="I4938">
        <v>2010</v>
      </c>
      <c r="J4938">
        <v>2010</v>
      </c>
      <c r="K4938" t="s">
        <v>4554</v>
      </c>
      <c r="L4938" t="s">
        <v>4555</v>
      </c>
      <c r="M4938" s="2">
        <v>1455</v>
      </c>
      <c r="N4938" t="s">
        <v>3147</v>
      </c>
      <c r="O4938">
        <v>3</v>
      </c>
      <c r="P4938">
        <v>2</v>
      </c>
      <c r="Q4938">
        <v>0</v>
      </c>
      <c r="R4938" t="s">
        <v>5281</v>
      </c>
      <c r="S4938" t="s">
        <v>4898</v>
      </c>
      <c r="T4938" t="s">
        <v>2704</v>
      </c>
      <c r="U4938" t="s">
        <v>4560</v>
      </c>
      <c r="V4938" s="2">
        <v>420</v>
      </c>
      <c r="W4938" t="s">
        <v>4655</v>
      </c>
      <c r="X4938" s="2">
        <v>0</v>
      </c>
      <c r="Y4938">
        <v>20</v>
      </c>
      <c r="Z4938" t="s">
        <v>5107</v>
      </c>
      <c r="AA4938" s="3">
        <v>0.145431593060493</v>
      </c>
      <c r="AB4938" t="s">
        <v>25487</v>
      </c>
      <c r="AC4938" t="s">
        <v>4562</v>
      </c>
      <c r="AD4938" t="s">
        <v>25486</v>
      </c>
      <c r="AE4938" t="s">
        <v>4655</v>
      </c>
      <c r="AF4938" t="s">
        <v>4563</v>
      </c>
      <c r="AG4938" t="s">
        <v>4564</v>
      </c>
      <c r="AH4938" t="s">
        <v>5197</v>
      </c>
      <c r="AI4938" t="s">
        <v>3881</v>
      </c>
      <c r="AJ4938" t="s">
        <v>1521</v>
      </c>
      <c r="AK4938" t="s">
        <v>25488</v>
      </c>
      <c r="AL4938" s="13" t="s">
        <v>2255</v>
      </c>
      <c r="AM4938">
        <v>1</v>
      </c>
      <c r="AN4938" s="15" t="s">
        <v>3879</v>
      </c>
    </row>
    <row r="4939" spans="1:40" x14ac:dyDescent="0.3">
      <c r="A4939" s="10" t="str">
        <f>HYPERLINK("http://www.washoecounty.gov/assessor/cama/?parid=143-142-05&amp;CardNumber=1","143-142-05")</f>
        <v>143-142-05</v>
      </c>
      <c r="B4939" t="s">
        <v>4655</v>
      </c>
      <c r="C4939" t="s">
        <v>25489</v>
      </c>
      <c r="D4939" s="1">
        <v>40343</v>
      </c>
      <c r="E4939" s="2">
        <v>256860</v>
      </c>
      <c r="F4939" t="s">
        <v>4567</v>
      </c>
      <c r="G4939" s="17" t="str">
        <f>HYPERLINK("https://www.washoecounty.gov/assessor/cama/?command=sales&amp;parid=14314205","3891547")</f>
        <v>3891547</v>
      </c>
      <c r="H4939" t="s">
        <v>1520</v>
      </c>
      <c r="I4939">
        <v>2010</v>
      </c>
      <c r="J4939">
        <v>2010</v>
      </c>
      <c r="K4939" t="s">
        <v>4554</v>
      </c>
      <c r="L4939" t="s">
        <v>3974</v>
      </c>
      <c r="M4939" s="2">
        <v>2300</v>
      </c>
      <c r="N4939" t="s">
        <v>3147</v>
      </c>
      <c r="O4939">
        <v>4</v>
      </c>
      <c r="P4939">
        <v>2</v>
      </c>
      <c r="Q4939">
        <v>1</v>
      </c>
      <c r="R4939" t="s">
        <v>5281</v>
      </c>
      <c r="S4939" t="s">
        <v>4898</v>
      </c>
      <c r="T4939" t="s">
        <v>2704</v>
      </c>
      <c r="U4939" t="s">
        <v>5631</v>
      </c>
      <c r="V4939" s="2">
        <v>426</v>
      </c>
      <c r="W4939" t="s">
        <v>4655</v>
      </c>
      <c r="X4939" s="2">
        <v>0</v>
      </c>
      <c r="Y4939">
        <v>20</v>
      </c>
      <c r="Z4939" t="s">
        <v>5107</v>
      </c>
      <c r="AA4939" s="3">
        <v>0.146786049008369</v>
      </c>
      <c r="AB4939" t="s">
        <v>25490</v>
      </c>
      <c r="AC4939" t="s">
        <v>4562</v>
      </c>
      <c r="AD4939" t="s">
        <v>25491</v>
      </c>
      <c r="AE4939" t="s">
        <v>4655</v>
      </c>
      <c r="AF4939" t="s">
        <v>4563</v>
      </c>
      <c r="AG4939" t="s">
        <v>4564</v>
      </c>
      <c r="AH4939" t="s">
        <v>5197</v>
      </c>
      <c r="AI4939" t="s">
        <v>3881</v>
      </c>
      <c r="AJ4939" t="s">
        <v>1521</v>
      </c>
      <c r="AK4939" t="s">
        <v>25492</v>
      </c>
      <c r="AL4939" s="13" t="s">
        <v>2255</v>
      </c>
      <c r="AM4939">
        <v>1</v>
      </c>
      <c r="AN4939" s="15" t="s">
        <v>3879</v>
      </c>
    </row>
    <row r="4940" spans="1:40" x14ac:dyDescent="0.3">
      <c r="A4940" s="10" t="str">
        <f>HYPERLINK("http://www.washoecounty.gov/assessor/cama/?parid=143-142-06&amp;CardNumber=1","143-142-06")</f>
        <v>143-142-06</v>
      </c>
      <c r="B4940" t="s">
        <v>4655</v>
      </c>
      <c r="C4940" t="s">
        <v>25493</v>
      </c>
      <c r="D4940" s="1">
        <v>40193</v>
      </c>
      <c r="E4940" s="2">
        <v>183726</v>
      </c>
      <c r="F4940" t="s">
        <v>4567</v>
      </c>
      <c r="G4940" s="17" t="str">
        <f>HYPERLINK("https://www.washoecounty.gov/assessor/cama/?command=sales&amp;parid=14314206","3839449")</f>
        <v>3839449</v>
      </c>
      <c r="H4940" t="s">
        <v>1520</v>
      </c>
      <c r="I4940">
        <v>2010</v>
      </c>
      <c r="J4940">
        <v>2010</v>
      </c>
      <c r="K4940" t="s">
        <v>4554</v>
      </c>
      <c r="L4940" t="s">
        <v>4555</v>
      </c>
      <c r="M4940" s="2">
        <v>1323</v>
      </c>
      <c r="N4940" t="s">
        <v>3147</v>
      </c>
      <c r="O4940">
        <v>3</v>
      </c>
      <c r="P4940">
        <v>2</v>
      </c>
      <c r="Q4940">
        <v>0</v>
      </c>
      <c r="R4940" t="s">
        <v>5281</v>
      </c>
      <c r="S4940" t="s">
        <v>4898</v>
      </c>
      <c r="T4940" t="s">
        <v>2704</v>
      </c>
      <c r="U4940" t="s">
        <v>4560</v>
      </c>
      <c r="V4940" s="2">
        <v>424</v>
      </c>
      <c r="W4940" t="s">
        <v>4655</v>
      </c>
      <c r="X4940" s="2">
        <v>0</v>
      </c>
      <c r="Y4940">
        <v>20</v>
      </c>
      <c r="Z4940" t="s">
        <v>5107</v>
      </c>
      <c r="AA4940" s="3">
        <v>0.14485767483711201</v>
      </c>
      <c r="AB4940" t="s">
        <v>25494</v>
      </c>
      <c r="AC4940" t="s">
        <v>4562</v>
      </c>
      <c r="AD4940" t="s">
        <v>25495</v>
      </c>
      <c r="AE4940" t="s">
        <v>4655</v>
      </c>
      <c r="AF4940" t="s">
        <v>1407</v>
      </c>
      <c r="AG4940" t="s">
        <v>4564</v>
      </c>
      <c r="AH4940">
        <v>89702</v>
      </c>
      <c r="AI4940" t="s">
        <v>3881</v>
      </c>
      <c r="AJ4940" t="s">
        <v>1521</v>
      </c>
      <c r="AK4940" t="s">
        <v>25496</v>
      </c>
      <c r="AL4940" s="13" t="s">
        <v>2255</v>
      </c>
      <c r="AM4940" s="14">
        <v>1</v>
      </c>
      <c r="AN4940" s="15" t="s">
        <v>3879</v>
      </c>
    </row>
    <row r="4941" spans="1:40" x14ac:dyDescent="0.3">
      <c r="A4941" s="10" t="str">
        <f>HYPERLINK("http://www.washoecounty.gov/assessor/cama/?parid=143-142-08&amp;CardNumber=1","143-142-08")</f>
        <v>143-142-08</v>
      </c>
      <c r="B4941" t="s">
        <v>4655</v>
      </c>
      <c r="C4941" t="s">
        <v>25497</v>
      </c>
      <c r="D4941" s="1">
        <v>40291</v>
      </c>
      <c r="E4941" s="2">
        <v>241909</v>
      </c>
      <c r="F4941" t="s">
        <v>4567</v>
      </c>
      <c r="G4941" s="17" t="str">
        <f>HYPERLINK("https://www.washoecounty.gov/assessor/cama/?command=sales&amp;parid=14314208","3874192")</f>
        <v>3874192</v>
      </c>
      <c r="H4941" t="s">
        <v>1520</v>
      </c>
      <c r="I4941">
        <v>2010</v>
      </c>
      <c r="J4941">
        <v>2010</v>
      </c>
      <c r="K4941" t="s">
        <v>4554</v>
      </c>
      <c r="L4941" t="s">
        <v>3974</v>
      </c>
      <c r="M4941" s="2">
        <v>2300</v>
      </c>
      <c r="N4941" t="s">
        <v>3147</v>
      </c>
      <c r="O4941">
        <v>4</v>
      </c>
      <c r="P4941">
        <v>2</v>
      </c>
      <c r="Q4941">
        <v>1</v>
      </c>
      <c r="R4941" t="s">
        <v>5281</v>
      </c>
      <c r="S4941" t="s">
        <v>4898</v>
      </c>
      <c r="T4941" t="s">
        <v>2704</v>
      </c>
      <c r="U4941" t="s">
        <v>5631</v>
      </c>
      <c r="V4941" s="2">
        <v>426</v>
      </c>
      <c r="W4941" t="s">
        <v>4655</v>
      </c>
      <c r="X4941" s="2">
        <v>0</v>
      </c>
      <c r="Y4941">
        <v>20</v>
      </c>
      <c r="Z4941" t="s">
        <v>5107</v>
      </c>
      <c r="AA4941" s="3">
        <v>0.139370977878571</v>
      </c>
      <c r="AB4941" t="s">
        <v>25498</v>
      </c>
      <c r="AC4941" t="s">
        <v>4562</v>
      </c>
      <c r="AD4941" t="s">
        <v>25497</v>
      </c>
      <c r="AE4941" t="s">
        <v>4655</v>
      </c>
      <c r="AF4941" t="s">
        <v>4563</v>
      </c>
      <c r="AG4941" t="s">
        <v>4564</v>
      </c>
      <c r="AH4941" t="s">
        <v>5197</v>
      </c>
      <c r="AI4941" t="s">
        <v>3881</v>
      </c>
      <c r="AJ4941" t="s">
        <v>1521</v>
      </c>
      <c r="AK4941" t="s">
        <v>25499</v>
      </c>
      <c r="AL4941" s="13" t="s">
        <v>2255</v>
      </c>
      <c r="AM4941">
        <v>1</v>
      </c>
      <c r="AN4941" s="15" t="s">
        <v>3879</v>
      </c>
    </row>
    <row r="4942" spans="1:40" x14ac:dyDescent="0.3">
      <c r="A4942" s="10" t="str">
        <f>HYPERLINK("http://www.washoecounty.gov/assessor/cama/?parid=143-142-09&amp;CardNumber=1","143-142-09")</f>
        <v>143-142-09</v>
      </c>
      <c r="B4942" t="s">
        <v>4655</v>
      </c>
      <c r="C4942" t="s">
        <v>25500</v>
      </c>
      <c r="D4942" s="1">
        <v>40284</v>
      </c>
      <c r="E4942" s="2">
        <v>239522</v>
      </c>
      <c r="F4942" t="s">
        <v>4567</v>
      </c>
      <c r="G4942" s="17" t="str">
        <f>HYPERLINK("https://www.washoecounty.gov/assessor/cama/?command=sales&amp;parid=14314209","3871810")</f>
        <v>3871810</v>
      </c>
      <c r="H4942" t="s">
        <v>1520</v>
      </c>
      <c r="I4942">
        <v>2010</v>
      </c>
      <c r="J4942">
        <v>2010</v>
      </c>
      <c r="K4942" t="s">
        <v>4554</v>
      </c>
      <c r="L4942" t="s">
        <v>3974</v>
      </c>
      <c r="M4942" s="2">
        <v>2300</v>
      </c>
      <c r="N4942" t="s">
        <v>3147</v>
      </c>
      <c r="O4942">
        <v>4</v>
      </c>
      <c r="P4942">
        <v>2</v>
      </c>
      <c r="Q4942">
        <v>1</v>
      </c>
      <c r="R4942" t="s">
        <v>5281</v>
      </c>
      <c r="S4942" t="s">
        <v>4898</v>
      </c>
      <c r="T4942" t="s">
        <v>2704</v>
      </c>
      <c r="U4942" t="s">
        <v>5631</v>
      </c>
      <c r="V4942" s="2">
        <v>426</v>
      </c>
      <c r="W4942" t="s">
        <v>4655</v>
      </c>
      <c r="X4942" s="2">
        <v>0</v>
      </c>
      <c r="Y4942">
        <v>20</v>
      </c>
      <c r="Z4942" t="s">
        <v>5107</v>
      </c>
      <c r="AA4942" s="3">
        <v>0.137741044163704</v>
      </c>
      <c r="AB4942" t="s">
        <v>25501</v>
      </c>
      <c r="AC4942" t="s">
        <v>4562</v>
      </c>
      <c r="AD4942" t="s">
        <v>25500</v>
      </c>
      <c r="AE4942" t="s">
        <v>4655</v>
      </c>
      <c r="AF4942" t="s">
        <v>4563</v>
      </c>
      <c r="AG4942" t="s">
        <v>4564</v>
      </c>
      <c r="AH4942" t="s">
        <v>5197</v>
      </c>
      <c r="AI4942" t="s">
        <v>3881</v>
      </c>
      <c r="AJ4942" t="s">
        <v>1521</v>
      </c>
      <c r="AK4942" t="s">
        <v>25502</v>
      </c>
      <c r="AL4942" s="13" t="s">
        <v>2255</v>
      </c>
      <c r="AM4942">
        <v>1</v>
      </c>
      <c r="AN4942" s="15" t="s">
        <v>3879</v>
      </c>
    </row>
    <row r="4943" spans="1:40" x14ac:dyDescent="0.3">
      <c r="A4943" s="10" t="str">
        <f>HYPERLINK("http://www.washoecounty.gov/assessor/cama/?parid=143-142-14&amp;CardNumber=1","143-142-14")</f>
        <v>143-142-14</v>
      </c>
      <c r="B4943" t="s">
        <v>4655</v>
      </c>
      <c r="C4943" t="s">
        <v>25503</v>
      </c>
      <c r="D4943" s="1">
        <v>40228</v>
      </c>
      <c r="E4943" s="2">
        <v>186283</v>
      </c>
      <c r="F4943" t="s">
        <v>4567</v>
      </c>
      <c r="G4943" s="17" t="str">
        <f>HYPERLINK("https://www.washoecounty.gov/assessor/cama/?command=sales&amp;parid=14314214","3851248")</f>
        <v>3851248</v>
      </c>
      <c r="H4943" t="s">
        <v>1520</v>
      </c>
      <c r="I4943">
        <v>2010</v>
      </c>
      <c r="J4943">
        <v>2010</v>
      </c>
      <c r="K4943" t="s">
        <v>4554</v>
      </c>
      <c r="L4943" t="s">
        <v>4555</v>
      </c>
      <c r="M4943" s="2">
        <v>1323</v>
      </c>
      <c r="N4943" t="s">
        <v>3147</v>
      </c>
      <c r="O4943">
        <v>3</v>
      </c>
      <c r="P4943">
        <v>2</v>
      </c>
      <c r="Q4943">
        <v>0</v>
      </c>
      <c r="R4943" t="s">
        <v>5281</v>
      </c>
      <c r="S4943" t="s">
        <v>4898</v>
      </c>
      <c r="T4943" t="s">
        <v>2704</v>
      </c>
      <c r="U4943" t="s">
        <v>4560</v>
      </c>
      <c r="V4943" s="2">
        <v>424</v>
      </c>
      <c r="W4943" t="s">
        <v>4655</v>
      </c>
      <c r="X4943" s="2">
        <v>0</v>
      </c>
      <c r="Y4943">
        <v>20</v>
      </c>
      <c r="Z4943" t="s">
        <v>5107</v>
      </c>
      <c r="AA4943" s="3">
        <v>0.155578508973122</v>
      </c>
      <c r="AB4943" t="s">
        <v>25504</v>
      </c>
      <c r="AC4943" t="s">
        <v>4562</v>
      </c>
      <c r="AD4943" t="s">
        <v>25503</v>
      </c>
      <c r="AE4943" t="s">
        <v>4655</v>
      </c>
      <c r="AF4943" t="s">
        <v>4563</v>
      </c>
      <c r="AG4943" t="s">
        <v>4564</v>
      </c>
      <c r="AH4943" t="s">
        <v>5197</v>
      </c>
      <c r="AI4943" t="s">
        <v>3881</v>
      </c>
      <c r="AJ4943" t="s">
        <v>1521</v>
      </c>
      <c r="AK4943" t="s">
        <v>25505</v>
      </c>
      <c r="AL4943" s="13" t="s">
        <v>2255</v>
      </c>
      <c r="AM4943" s="14">
        <v>1</v>
      </c>
      <c r="AN4943" s="15" t="s">
        <v>3879</v>
      </c>
    </row>
    <row r="4944" spans="1:40" x14ac:dyDescent="0.3">
      <c r="A4944" s="10" t="str">
        <f>HYPERLINK("http://www.washoecounty.gov/assessor/cama/?parid=143-142-15&amp;CardNumber=1","143-142-15")</f>
        <v>143-142-15</v>
      </c>
      <c r="B4944" t="s">
        <v>4655</v>
      </c>
      <c r="C4944" t="s">
        <v>25506</v>
      </c>
      <c r="D4944" s="1">
        <v>40268</v>
      </c>
      <c r="E4944" s="2">
        <v>198381</v>
      </c>
      <c r="F4944" t="s">
        <v>4567</v>
      </c>
      <c r="G4944" s="17" t="str">
        <f>HYPERLINK("https://www.washoecounty.gov/assessor/cama/?command=sales&amp;parid=14314215","3866505")</f>
        <v>3866505</v>
      </c>
      <c r="H4944" t="s">
        <v>1520</v>
      </c>
      <c r="I4944">
        <v>2010</v>
      </c>
      <c r="J4944">
        <v>2010</v>
      </c>
      <c r="K4944" t="s">
        <v>4554</v>
      </c>
      <c r="L4944" t="s">
        <v>4555</v>
      </c>
      <c r="M4944" s="2">
        <v>1455</v>
      </c>
      <c r="N4944" t="s">
        <v>3147</v>
      </c>
      <c r="O4944">
        <v>3</v>
      </c>
      <c r="P4944">
        <v>2</v>
      </c>
      <c r="Q4944">
        <v>0</v>
      </c>
      <c r="R4944" t="s">
        <v>5281</v>
      </c>
      <c r="S4944" t="s">
        <v>4898</v>
      </c>
      <c r="T4944" t="s">
        <v>2704</v>
      </c>
      <c r="U4944" t="s">
        <v>4560</v>
      </c>
      <c r="V4944" s="2">
        <v>420</v>
      </c>
      <c r="W4944" t="s">
        <v>4655</v>
      </c>
      <c r="X4944" s="2">
        <v>0</v>
      </c>
      <c r="Y4944">
        <v>20</v>
      </c>
      <c r="Z4944" t="s">
        <v>5107</v>
      </c>
      <c r="AA4944" s="3">
        <v>0.13806244730949399</v>
      </c>
      <c r="AB4944" t="s">
        <v>25507</v>
      </c>
      <c r="AC4944" t="s">
        <v>4562</v>
      </c>
      <c r="AD4944" t="s">
        <v>25506</v>
      </c>
      <c r="AE4944" t="s">
        <v>4655</v>
      </c>
      <c r="AF4944" t="s">
        <v>4563</v>
      </c>
      <c r="AG4944" t="s">
        <v>4564</v>
      </c>
      <c r="AH4944" t="s">
        <v>5197</v>
      </c>
      <c r="AI4944" t="s">
        <v>3881</v>
      </c>
      <c r="AJ4944" t="s">
        <v>1521</v>
      </c>
      <c r="AK4944" t="s">
        <v>25508</v>
      </c>
      <c r="AL4944" s="13" t="s">
        <v>2255</v>
      </c>
      <c r="AM4944">
        <v>1</v>
      </c>
      <c r="AN4944" s="15" t="s">
        <v>3879</v>
      </c>
    </row>
    <row r="4945" spans="1:40" x14ac:dyDescent="0.3">
      <c r="A4945" s="10" t="str">
        <f>HYPERLINK("http://www.washoecounty.gov/assessor/cama/?parid=143-142-16&amp;CardNumber=1","143-142-16")</f>
        <v>143-142-16</v>
      </c>
      <c r="B4945" t="s">
        <v>4655</v>
      </c>
      <c r="C4945" t="s">
        <v>25509</v>
      </c>
      <c r="D4945" s="1">
        <v>40233</v>
      </c>
      <c r="E4945" s="2">
        <v>202687</v>
      </c>
      <c r="F4945" t="s">
        <v>4567</v>
      </c>
      <c r="G4945" s="17" t="str">
        <f>HYPERLINK("https://www.washoecounty.gov/assessor/cama/?command=sales&amp;parid=14314216","3852397")</f>
        <v>3852397</v>
      </c>
      <c r="H4945" t="s">
        <v>1520</v>
      </c>
      <c r="I4945">
        <v>2010</v>
      </c>
      <c r="J4945">
        <v>2010</v>
      </c>
      <c r="K4945" t="s">
        <v>4554</v>
      </c>
      <c r="L4945" t="s">
        <v>4555</v>
      </c>
      <c r="M4945" s="2">
        <v>1323</v>
      </c>
      <c r="N4945" t="s">
        <v>3147</v>
      </c>
      <c r="O4945">
        <v>3</v>
      </c>
      <c r="P4945">
        <v>2</v>
      </c>
      <c r="Q4945">
        <v>0</v>
      </c>
      <c r="R4945" t="s">
        <v>5281</v>
      </c>
      <c r="S4945" t="s">
        <v>4898</v>
      </c>
      <c r="T4945" t="s">
        <v>2704</v>
      </c>
      <c r="U4945" t="s">
        <v>4560</v>
      </c>
      <c r="V4945" s="2">
        <v>424</v>
      </c>
      <c r="W4945" t="s">
        <v>4655</v>
      </c>
      <c r="X4945" s="2">
        <v>0</v>
      </c>
      <c r="Y4945">
        <v>20</v>
      </c>
      <c r="Z4945" t="s">
        <v>5107</v>
      </c>
      <c r="AA4945" s="3">
        <v>0.16317722201347401</v>
      </c>
      <c r="AB4945" t="s">
        <v>25510</v>
      </c>
      <c r="AC4945" t="s">
        <v>4562</v>
      </c>
      <c r="AD4945" t="s">
        <v>25509</v>
      </c>
      <c r="AE4945" t="s">
        <v>4655</v>
      </c>
      <c r="AF4945" t="s">
        <v>4563</v>
      </c>
      <c r="AG4945" t="s">
        <v>4564</v>
      </c>
      <c r="AH4945" t="s">
        <v>5197</v>
      </c>
      <c r="AI4945" t="s">
        <v>3881</v>
      </c>
      <c r="AJ4945" t="s">
        <v>1521</v>
      </c>
      <c r="AK4945" t="s">
        <v>25511</v>
      </c>
      <c r="AL4945" s="13" t="s">
        <v>2255</v>
      </c>
      <c r="AM4945" s="14">
        <v>1</v>
      </c>
      <c r="AN4945" s="15" t="s">
        <v>3879</v>
      </c>
    </row>
    <row r="4946" spans="1:40" x14ac:dyDescent="0.3">
      <c r="A4946" s="10" t="str">
        <f>HYPERLINK("http://www.washoecounty.gov/assessor/cama/?parid=143-142-26&amp;CardNumber=1","143-142-26")</f>
        <v>143-142-26</v>
      </c>
      <c r="B4946" t="s">
        <v>4655</v>
      </c>
      <c r="C4946" t="s">
        <v>25512</v>
      </c>
      <c r="D4946" s="1">
        <v>40337</v>
      </c>
      <c r="E4946" s="2">
        <v>204027</v>
      </c>
      <c r="F4946" t="s">
        <v>4567</v>
      </c>
      <c r="G4946" s="17" t="str">
        <f>HYPERLINK("https://www.washoecounty.gov/assessor/cama/?command=sales&amp;parid=14314226","3887200")</f>
        <v>3887200</v>
      </c>
      <c r="H4946" t="s">
        <v>1520</v>
      </c>
      <c r="I4946">
        <v>2010</v>
      </c>
      <c r="J4946">
        <v>2010</v>
      </c>
      <c r="K4946" t="s">
        <v>4554</v>
      </c>
      <c r="L4946" t="s">
        <v>4555</v>
      </c>
      <c r="M4946" s="2">
        <v>1455</v>
      </c>
      <c r="N4946" t="s">
        <v>3147</v>
      </c>
      <c r="O4946">
        <v>3</v>
      </c>
      <c r="P4946">
        <v>2</v>
      </c>
      <c r="Q4946">
        <v>0</v>
      </c>
      <c r="R4946" t="s">
        <v>5281</v>
      </c>
      <c r="S4946" t="s">
        <v>4898</v>
      </c>
      <c r="T4946" t="s">
        <v>2704</v>
      </c>
      <c r="U4946" t="s">
        <v>4560</v>
      </c>
      <c r="V4946" s="2">
        <v>420</v>
      </c>
      <c r="W4946" t="s">
        <v>4655</v>
      </c>
      <c r="X4946" s="2">
        <v>0</v>
      </c>
      <c r="Y4946">
        <v>20</v>
      </c>
      <c r="Z4946" t="s">
        <v>5107</v>
      </c>
      <c r="AA4946" s="3">
        <v>0.15135444700717901</v>
      </c>
      <c r="AB4946" t="s">
        <v>25513</v>
      </c>
      <c r="AC4946" t="s">
        <v>4562</v>
      </c>
      <c r="AD4946" t="s">
        <v>25512</v>
      </c>
      <c r="AE4946" t="s">
        <v>4655</v>
      </c>
      <c r="AF4946" t="s">
        <v>4563</v>
      </c>
      <c r="AG4946" t="s">
        <v>4564</v>
      </c>
      <c r="AH4946" t="s">
        <v>5197</v>
      </c>
      <c r="AI4946" t="s">
        <v>3881</v>
      </c>
      <c r="AJ4946" t="s">
        <v>1521</v>
      </c>
      <c r="AK4946" t="s">
        <v>25514</v>
      </c>
      <c r="AL4946" s="13" t="s">
        <v>2255</v>
      </c>
      <c r="AM4946">
        <v>1</v>
      </c>
      <c r="AN4946" s="15" t="s">
        <v>3879</v>
      </c>
    </row>
    <row r="4947" spans="1:40" x14ac:dyDescent="0.3">
      <c r="A4947" s="10" t="str">
        <f>HYPERLINK("http://www.washoecounty.gov/assessor/cama/?parid=143-142-27&amp;CardNumber=1","143-142-27")</f>
        <v>143-142-27</v>
      </c>
      <c r="B4947" t="s">
        <v>4655</v>
      </c>
      <c r="C4947" s="20" t="s">
        <v>283</v>
      </c>
      <c r="D4947" s="1">
        <v>40459</v>
      </c>
      <c r="E4947" s="2">
        <v>223885</v>
      </c>
      <c r="F4947" t="s">
        <v>4567</v>
      </c>
      <c r="G4947" s="20" t="s">
        <v>282</v>
      </c>
      <c r="H4947" t="s">
        <v>1520</v>
      </c>
      <c r="I4947">
        <v>2010</v>
      </c>
      <c r="J4947">
        <v>2010</v>
      </c>
      <c r="K4947" t="s">
        <v>4554</v>
      </c>
      <c r="L4947" t="s">
        <v>4555</v>
      </c>
      <c r="M4947" s="2">
        <v>1862</v>
      </c>
      <c r="N4947" t="s">
        <v>3147</v>
      </c>
      <c r="O4947">
        <v>3</v>
      </c>
      <c r="P4947">
        <v>2</v>
      </c>
      <c r="Q4947">
        <v>0</v>
      </c>
      <c r="R4947" t="s">
        <v>5281</v>
      </c>
      <c r="S4947" t="s">
        <v>4898</v>
      </c>
      <c r="T4947" t="s">
        <v>2704</v>
      </c>
      <c r="U4947" t="s">
        <v>4560</v>
      </c>
      <c r="V4947" s="2">
        <v>440</v>
      </c>
      <c r="W4947" t="s">
        <v>4655</v>
      </c>
      <c r="X4947" s="2">
        <v>0</v>
      </c>
      <c r="Y4947">
        <v>20</v>
      </c>
      <c r="Z4947" t="s">
        <v>5107</v>
      </c>
      <c r="AA4947" s="3">
        <v>0.15158402919769301</v>
      </c>
      <c r="AB4947" s="20" t="s">
        <v>8865</v>
      </c>
      <c r="AD4947" t="s">
        <v>283</v>
      </c>
      <c r="AE4947" t="s">
        <v>283</v>
      </c>
      <c r="AF4947" t="s">
        <v>283</v>
      </c>
      <c r="AG4947" t="s">
        <v>4564</v>
      </c>
      <c r="AH4947" t="s">
        <v>3101</v>
      </c>
      <c r="AI4947" t="s">
        <v>8865</v>
      </c>
      <c r="AJ4947" t="s">
        <v>1521</v>
      </c>
      <c r="AK4947" t="s">
        <v>25515</v>
      </c>
      <c r="AL4947" s="13" t="s">
        <v>2255</v>
      </c>
      <c r="AM4947">
        <v>1</v>
      </c>
      <c r="AN4947" s="15" t="s">
        <v>3879</v>
      </c>
    </row>
    <row r="4948" spans="1:40" x14ac:dyDescent="0.3">
      <c r="A4948" s="10" t="str">
        <f>HYPERLINK("http://www.washoecounty.gov/assessor/cama/?parid=143-142-28&amp;CardNumber=1","143-142-28")</f>
        <v>143-142-28</v>
      </c>
      <c r="B4948" t="s">
        <v>4655</v>
      </c>
      <c r="C4948" t="s">
        <v>25516</v>
      </c>
      <c r="D4948" s="1">
        <v>40336</v>
      </c>
      <c r="E4948" s="2">
        <v>191919</v>
      </c>
      <c r="F4948" t="s">
        <v>4567</v>
      </c>
      <c r="G4948" s="17" t="str">
        <f>HYPERLINK("https://www.washoecounty.gov/assessor/cama/?command=sales&amp;parid=14314228","3888820")</f>
        <v>3888820</v>
      </c>
      <c r="H4948" t="s">
        <v>1520</v>
      </c>
      <c r="I4948">
        <v>2010</v>
      </c>
      <c r="J4948">
        <v>2010</v>
      </c>
      <c r="K4948" t="s">
        <v>4554</v>
      </c>
      <c r="L4948" t="s">
        <v>4555</v>
      </c>
      <c r="M4948" s="2">
        <v>1455</v>
      </c>
      <c r="N4948" t="s">
        <v>3147</v>
      </c>
      <c r="O4948">
        <v>3</v>
      </c>
      <c r="P4948">
        <v>2</v>
      </c>
      <c r="Q4948">
        <v>0</v>
      </c>
      <c r="R4948" t="s">
        <v>5281</v>
      </c>
      <c r="S4948" t="s">
        <v>4898</v>
      </c>
      <c r="T4948" t="s">
        <v>2704</v>
      </c>
      <c r="U4948" t="s">
        <v>4560</v>
      </c>
      <c r="V4948" s="2">
        <v>420</v>
      </c>
      <c r="W4948" t="s">
        <v>4655</v>
      </c>
      <c r="X4948" s="2">
        <v>0</v>
      </c>
      <c r="Y4948">
        <v>20</v>
      </c>
      <c r="Z4948" t="s">
        <v>5107</v>
      </c>
      <c r="AA4948" s="3">
        <v>0.138888895511627</v>
      </c>
      <c r="AB4948" t="s">
        <v>25517</v>
      </c>
      <c r="AC4948" t="s">
        <v>4562</v>
      </c>
      <c r="AD4948" t="s">
        <v>25518</v>
      </c>
      <c r="AE4948" t="s">
        <v>4655</v>
      </c>
      <c r="AF4948" t="s">
        <v>4563</v>
      </c>
      <c r="AG4948" t="s">
        <v>4564</v>
      </c>
      <c r="AH4948" t="s">
        <v>5197</v>
      </c>
      <c r="AI4948" t="s">
        <v>3881</v>
      </c>
      <c r="AJ4948" t="s">
        <v>1521</v>
      </c>
      <c r="AK4948" t="s">
        <v>25519</v>
      </c>
      <c r="AL4948" s="13" t="s">
        <v>2255</v>
      </c>
      <c r="AM4948" s="14">
        <v>1</v>
      </c>
      <c r="AN4948" s="15" t="s">
        <v>3879</v>
      </c>
    </row>
    <row r="4949" spans="1:40" x14ac:dyDescent="0.3">
      <c r="A4949" s="10" t="str">
        <f>HYPERLINK("http://www.washoecounty.gov/assessor/cama/?parid=143-142-29&amp;CardNumber=1","143-142-29")</f>
        <v>143-142-29</v>
      </c>
      <c r="B4949" t="s">
        <v>4655</v>
      </c>
      <c r="C4949" t="s">
        <v>25520</v>
      </c>
      <c r="D4949" s="1">
        <v>40466</v>
      </c>
      <c r="E4949" s="2">
        <v>211690</v>
      </c>
      <c r="F4949" t="s">
        <v>4567</v>
      </c>
      <c r="G4949" s="17" t="str">
        <f>HYPERLINK("https://www.washoecounty.gov/assessor/cama/?command=sales&amp;parid=14314229","3933614")</f>
        <v>3933614</v>
      </c>
      <c r="H4949" t="s">
        <v>1520</v>
      </c>
      <c r="I4949">
        <v>2010</v>
      </c>
      <c r="J4949">
        <v>2010</v>
      </c>
      <c r="K4949" t="s">
        <v>4554</v>
      </c>
      <c r="L4949" t="s">
        <v>3974</v>
      </c>
      <c r="M4949" s="2">
        <v>1972</v>
      </c>
      <c r="N4949" t="s">
        <v>3147</v>
      </c>
      <c r="O4949">
        <v>4</v>
      </c>
      <c r="P4949">
        <v>2</v>
      </c>
      <c r="Q4949">
        <v>1</v>
      </c>
      <c r="R4949" t="s">
        <v>5281</v>
      </c>
      <c r="S4949" t="s">
        <v>4898</v>
      </c>
      <c r="T4949" t="s">
        <v>2704</v>
      </c>
      <c r="U4949" t="s">
        <v>5631</v>
      </c>
      <c r="V4949" s="2">
        <v>426</v>
      </c>
      <c r="W4949" t="s">
        <v>4655</v>
      </c>
      <c r="X4949" s="2">
        <v>0</v>
      </c>
      <c r="Y4949">
        <v>20</v>
      </c>
      <c r="Z4949" t="s">
        <v>5107</v>
      </c>
      <c r="AA4949" s="3">
        <v>0.140082642436028</v>
      </c>
      <c r="AB4949" t="s">
        <v>25521</v>
      </c>
      <c r="AC4949" t="s">
        <v>4562</v>
      </c>
      <c r="AD4949" t="s">
        <v>25522</v>
      </c>
      <c r="AE4949" t="s">
        <v>4655</v>
      </c>
      <c r="AF4949" t="s">
        <v>4563</v>
      </c>
      <c r="AG4949" t="s">
        <v>4564</v>
      </c>
      <c r="AH4949" t="s">
        <v>5197</v>
      </c>
      <c r="AI4949" t="s">
        <v>3881</v>
      </c>
      <c r="AJ4949" t="s">
        <v>1521</v>
      </c>
      <c r="AK4949" t="s">
        <v>25523</v>
      </c>
      <c r="AL4949" s="13" t="s">
        <v>2255</v>
      </c>
      <c r="AM4949">
        <v>1</v>
      </c>
      <c r="AN4949" s="15" t="s">
        <v>3879</v>
      </c>
    </row>
    <row r="4950" spans="1:40" x14ac:dyDescent="0.3">
      <c r="A4950" s="10" t="str">
        <f>HYPERLINK("http://www.washoecounty.gov/assessor/cama/?parid=143-142-30&amp;CardNumber=1","143-142-30")</f>
        <v>143-142-30</v>
      </c>
      <c r="B4950" t="s">
        <v>4655</v>
      </c>
      <c r="C4950" t="s">
        <v>25524</v>
      </c>
      <c r="D4950" s="1">
        <v>40501</v>
      </c>
      <c r="E4950" s="2">
        <v>229697</v>
      </c>
      <c r="F4950" t="s">
        <v>4567</v>
      </c>
      <c r="G4950" s="17" t="str">
        <f>HYPERLINK("https://www.washoecounty.gov/assessor/cama/?command=sales&amp;parid=14314230","3945201")</f>
        <v>3945201</v>
      </c>
      <c r="H4950" t="s">
        <v>1520</v>
      </c>
      <c r="I4950">
        <v>2010</v>
      </c>
      <c r="J4950">
        <v>2010</v>
      </c>
      <c r="K4950" t="s">
        <v>4554</v>
      </c>
      <c r="L4950" t="s">
        <v>3974</v>
      </c>
      <c r="M4950" s="2">
        <v>2547</v>
      </c>
      <c r="N4950" t="s">
        <v>3147</v>
      </c>
      <c r="O4950">
        <v>4</v>
      </c>
      <c r="P4950">
        <v>2</v>
      </c>
      <c r="Q4950">
        <v>1</v>
      </c>
      <c r="R4950" t="s">
        <v>5281</v>
      </c>
      <c r="S4950" t="s">
        <v>4898</v>
      </c>
      <c r="T4950" t="s">
        <v>2704</v>
      </c>
      <c r="U4950" t="s">
        <v>5631</v>
      </c>
      <c r="V4950" s="2">
        <v>426</v>
      </c>
      <c r="W4950" t="s">
        <v>4655</v>
      </c>
      <c r="X4950" s="2">
        <v>0</v>
      </c>
      <c r="Y4950">
        <v>20</v>
      </c>
      <c r="Z4950" t="s">
        <v>5107</v>
      </c>
      <c r="AA4950" s="3">
        <v>0.14370982348918901</v>
      </c>
      <c r="AB4950" t="s">
        <v>25525</v>
      </c>
      <c r="AC4950" t="s">
        <v>4575</v>
      </c>
      <c r="AD4950" t="s">
        <v>25526</v>
      </c>
      <c r="AE4950" t="s">
        <v>4655</v>
      </c>
      <c r="AF4950" t="s">
        <v>4563</v>
      </c>
      <c r="AG4950" t="s">
        <v>4564</v>
      </c>
      <c r="AH4950" t="s">
        <v>5197</v>
      </c>
      <c r="AI4950" t="s">
        <v>3881</v>
      </c>
      <c r="AJ4950" t="s">
        <v>1521</v>
      </c>
      <c r="AK4950" t="s">
        <v>25527</v>
      </c>
      <c r="AL4950" s="13" t="s">
        <v>2255</v>
      </c>
      <c r="AM4950" s="14">
        <v>1</v>
      </c>
      <c r="AN4950" s="15" t="s">
        <v>3879</v>
      </c>
    </row>
    <row r="4951" spans="1:40" x14ac:dyDescent="0.3">
      <c r="A4951" s="10" t="str">
        <f>HYPERLINK("http://www.washoecounty.gov/assessor/cama/?parid=143-143-01&amp;CardNumber=1","143-143-01")</f>
        <v>143-143-01</v>
      </c>
      <c r="B4951" t="s">
        <v>4655</v>
      </c>
      <c r="C4951" t="s">
        <v>25528</v>
      </c>
      <c r="D4951" s="1">
        <v>40400</v>
      </c>
      <c r="E4951" s="2">
        <v>244098</v>
      </c>
      <c r="F4951" t="s">
        <v>3259</v>
      </c>
      <c r="G4951" s="17" t="str">
        <f>HYPERLINK("https://www.washoecounty.gov/assessor/cama/?command=sales&amp;parid=14314301","3910321")</f>
        <v>3910321</v>
      </c>
      <c r="H4951" t="s">
        <v>1520</v>
      </c>
      <c r="I4951">
        <v>2010</v>
      </c>
      <c r="J4951">
        <v>2010</v>
      </c>
      <c r="K4951" t="s">
        <v>4554</v>
      </c>
      <c r="L4951" t="s">
        <v>3974</v>
      </c>
      <c r="M4951" s="2">
        <v>2300</v>
      </c>
      <c r="N4951" t="s">
        <v>3147</v>
      </c>
      <c r="O4951">
        <v>4</v>
      </c>
      <c r="P4951">
        <v>2</v>
      </c>
      <c r="Q4951">
        <v>1</v>
      </c>
      <c r="R4951" t="s">
        <v>5281</v>
      </c>
      <c r="S4951" t="s">
        <v>4898</v>
      </c>
      <c r="T4951" t="s">
        <v>2704</v>
      </c>
      <c r="U4951" t="s">
        <v>5631</v>
      </c>
      <c r="V4951" s="2">
        <v>426</v>
      </c>
      <c r="W4951" t="s">
        <v>4655</v>
      </c>
      <c r="X4951" s="2">
        <v>0</v>
      </c>
      <c r="Y4951">
        <v>12</v>
      </c>
      <c r="Z4951" t="s">
        <v>5107</v>
      </c>
      <c r="AA4951" s="3">
        <v>0.17157943546772003</v>
      </c>
      <c r="AB4951" t="s">
        <v>25529</v>
      </c>
      <c r="AC4951" t="s">
        <v>4562</v>
      </c>
      <c r="AD4951" t="s">
        <v>25530</v>
      </c>
      <c r="AE4951" t="s">
        <v>4655</v>
      </c>
      <c r="AF4951" t="s">
        <v>4563</v>
      </c>
      <c r="AG4951" t="s">
        <v>4564</v>
      </c>
      <c r="AH4951" t="s">
        <v>5197</v>
      </c>
      <c r="AI4951" t="s">
        <v>3881</v>
      </c>
      <c r="AJ4951" t="s">
        <v>1521</v>
      </c>
      <c r="AK4951" t="s">
        <v>25531</v>
      </c>
      <c r="AL4951" s="13" t="s">
        <v>2255</v>
      </c>
      <c r="AM4951">
        <v>1</v>
      </c>
      <c r="AN4951" s="15" t="s">
        <v>3879</v>
      </c>
    </row>
    <row r="4952" spans="1:40" x14ac:dyDescent="0.3">
      <c r="A4952" s="10" t="str">
        <f>HYPERLINK("http://www.washoecounty.gov/assessor/cama/?parid=143-143-02&amp;CardNumber=1","143-143-02")</f>
        <v>143-143-02</v>
      </c>
      <c r="B4952" t="s">
        <v>4655</v>
      </c>
      <c r="C4952" t="s">
        <v>25532</v>
      </c>
      <c r="D4952" s="1">
        <v>40344</v>
      </c>
      <c r="E4952" s="2">
        <v>200155</v>
      </c>
      <c r="F4952" t="s">
        <v>4567</v>
      </c>
      <c r="G4952" s="17" t="str">
        <f>HYPERLINK("https://www.washoecounty.gov/assessor/cama/?command=sales&amp;parid=14314302","3891830")</f>
        <v>3891830</v>
      </c>
      <c r="H4952" t="s">
        <v>1520</v>
      </c>
      <c r="I4952">
        <v>2010</v>
      </c>
      <c r="J4952">
        <v>2010</v>
      </c>
      <c r="K4952" t="s">
        <v>4554</v>
      </c>
      <c r="L4952" t="s">
        <v>4555</v>
      </c>
      <c r="M4952" s="2">
        <v>1455</v>
      </c>
      <c r="N4952" t="s">
        <v>3147</v>
      </c>
      <c r="O4952">
        <v>3</v>
      </c>
      <c r="P4952">
        <v>2</v>
      </c>
      <c r="Q4952">
        <v>0</v>
      </c>
      <c r="R4952" t="s">
        <v>5281</v>
      </c>
      <c r="S4952" t="s">
        <v>4898</v>
      </c>
      <c r="T4952" t="s">
        <v>2704</v>
      </c>
      <c r="U4952" t="s">
        <v>4560</v>
      </c>
      <c r="V4952" s="2">
        <v>420</v>
      </c>
      <c r="W4952" t="s">
        <v>4655</v>
      </c>
      <c r="X4952" s="2">
        <v>0</v>
      </c>
      <c r="Y4952">
        <v>20</v>
      </c>
      <c r="Z4952" t="s">
        <v>5107</v>
      </c>
      <c r="AA4952" s="3">
        <v>0.174127638339996</v>
      </c>
      <c r="AB4952" t="s">
        <v>25533</v>
      </c>
      <c r="AC4952" t="s">
        <v>4562</v>
      </c>
      <c r="AD4952" t="s">
        <v>25534</v>
      </c>
      <c r="AE4952" t="s">
        <v>4655</v>
      </c>
      <c r="AF4952" t="s">
        <v>4563</v>
      </c>
      <c r="AG4952" t="s">
        <v>4564</v>
      </c>
      <c r="AH4952" t="s">
        <v>5197</v>
      </c>
      <c r="AI4952" t="s">
        <v>3881</v>
      </c>
      <c r="AJ4952" t="s">
        <v>1521</v>
      </c>
      <c r="AK4952" t="s">
        <v>25535</v>
      </c>
      <c r="AL4952" s="13" t="s">
        <v>2255</v>
      </c>
      <c r="AM4952" s="14">
        <v>1</v>
      </c>
      <c r="AN4952" s="15" t="s">
        <v>3879</v>
      </c>
    </row>
    <row r="4953" spans="1:40" x14ac:dyDescent="0.3">
      <c r="A4953" s="10" t="str">
        <f>HYPERLINK("http://www.washoecounty.gov/assessor/cama/?parid=143-143-03&amp;CardNumber=1","143-143-03")</f>
        <v>143-143-03</v>
      </c>
      <c r="B4953" t="s">
        <v>4655</v>
      </c>
      <c r="C4953" t="s">
        <v>25536</v>
      </c>
      <c r="D4953" s="1">
        <v>40343</v>
      </c>
      <c r="E4953" s="2">
        <v>195599</v>
      </c>
      <c r="F4953" t="s">
        <v>4567</v>
      </c>
      <c r="G4953" s="17" t="str">
        <f>HYPERLINK("https://www.washoecounty.gov/assessor/cama/?command=sales&amp;parid=14314303","3891563")</f>
        <v>3891563</v>
      </c>
      <c r="H4953" t="s">
        <v>1520</v>
      </c>
      <c r="I4953">
        <v>2010</v>
      </c>
      <c r="J4953">
        <v>2010</v>
      </c>
      <c r="K4953" t="s">
        <v>4554</v>
      </c>
      <c r="L4953" t="s">
        <v>4555</v>
      </c>
      <c r="M4953" s="2">
        <v>1323</v>
      </c>
      <c r="N4953" t="s">
        <v>3147</v>
      </c>
      <c r="O4953">
        <v>3</v>
      </c>
      <c r="P4953">
        <v>2</v>
      </c>
      <c r="Q4953">
        <v>0</v>
      </c>
      <c r="R4953" t="s">
        <v>5281</v>
      </c>
      <c r="S4953" t="s">
        <v>4898</v>
      </c>
      <c r="T4953" t="s">
        <v>2704</v>
      </c>
      <c r="U4953" t="s">
        <v>4560</v>
      </c>
      <c r="V4953" s="2">
        <v>424</v>
      </c>
      <c r="W4953" t="s">
        <v>4655</v>
      </c>
      <c r="X4953" s="2">
        <v>0</v>
      </c>
      <c r="Y4953">
        <v>20</v>
      </c>
      <c r="Z4953" t="s">
        <v>5107</v>
      </c>
      <c r="AA4953" s="3">
        <v>0.164692372083664</v>
      </c>
      <c r="AB4953" t="s">
        <v>25537</v>
      </c>
      <c r="AC4953" t="s">
        <v>4562</v>
      </c>
      <c r="AD4953" t="s">
        <v>25538</v>
      </c>
      <c r="AE4953" t="s">
        <v>4655</v>
      </c>
      <c r="AF4953" t="s">
        <v>4563</v>
      </c>
      <c r="AG4953" t="s">
        <v>4564</v>
      </c>
      <c r="AH4953" t="s">
        <v>5197</v>
      </c>
      <c r="AI4953" t="s">
        <v>3881</v>
      </c>
      <c r="AJ4953" t="s">
        <v>1521</v>
      </c>
      <c r="AK4953" t="s">
        <v>25539</v>
      </c>
      <c r="AL4953" s="13" t="s">
        <v>2255</v>
      </c>
      <c r="AM4953" s="14">
        <v>1</v>
      </c>
      <c r="AN4953" s="15" t="s">
        <v>3879</v>
      </c>
    </row>
    <row r="4954" spans="1:40" x14ac:dyDescent="0.3">
      <c r="A4954" s="10" t="str">
        <f>HYPERLINK("http://www.washoecounty.gov/assessor/cama/?parid=143-143-04&amp;CardNumber=1","143-143-04")</f>
        <v>143-143-04</v>
      </c>
      <c r="B4954" t="s">
        <v>4655</v>
      </c>
      <c r="C4954" t="s">
        <v>25540</v>
      </c>
      <c r="D4954" s="1">
        <v>40382</v>
      </c>
      <c r="E4954" s="2">
        <v>216602</v>
      </c>
      <c r="F4954" t="s">
        <v>4567</v>
      </c>
      <c r="G4954" s="17" t="str">
        <f>HYPERLINK("https://www.washoecounty.gov/assessor/cama/?command=sales&amp;parid=14314304","3904193")</f>
        <v>3904193</v>
      </c>
      <c r="H4954" t="s">
        <v>1520</v>
      </c>
      <c r="I4954">
        <v>2010</v>
      </c>
      <c r="J4954">
        <v>2010</v>
      </c>
      <c r="K4954" t="s">
        <v>4554</v>
      </c>
      <c r="L4954" t="s">
        <v>4555</v>
      </c>
      <c r="M4954" s="2">
        <v>1628</v>
      </c>
      <c r="N4954" t="s">
        <v>3147</v>
      </c>
      <c r="O4954">
        <v>4</v>
      </c>
      <c r="P4954">
        <v>2</v>
      </c>
      <c r="Q4954">
        <v>0</v>
      </c>
      <c r="R4954" t="s">
        <v>5281</v>
      </c>
      <c r="S4954" t="s">
        <v>4898</v>
      </c>
      <c r="T4954" t="s">
        <v>2704</v>
      </c>
      <c r="U4954" t="s">
        <v>4560</v>
      </c>
      <c r="V4954" s="2">
        <v>438</v>
      </c>
      <c r="W4954" t="s">
        <v>4655</v>
      </c>
      <c r="X4954" s="2">
        <v>0</v>
      </c>
      <c r="Y4954">
        <v>20</v>
      </c>
      <c r="Z4954" t="s">
        <v>5107</v>
      </c>
      <c r="AA4954" s="3">
        <v>0.15358126163482699</v>
      </c>
      <c r="AB4954" t="s">
        <v>25541</v>
      </c>
      <c r="AC4954" t="s">
        <v>4562</v>
      </c>
      <c r="AD4954" t="s">
        <v>25540</v>
      </c>
      <c r="AE4954" t="s">
        <v>4655</v>
      </c>
      <c r="AF4954" t="s">
        <v>4563</v>
      </c>
      <c r="AG4954" t="s">
        <v>4564</v>
      </c>
      <c r="AH4954" t="s">
        <v>5197</v>
      </c>
      <c r="AI4954" t="s">
        <v>3881</v>
      </c>
      <c r="AJ4954" t="s">
        <v>1521</v>
      </c>
      <c r="AK4954" t="s">
        <v>25542</v>
      </c>
      <c r="AL4954" s="13" t="s">
        <v>2255</v>
      </c>
      <c r="AM4954" s="14">
        <v>1</v>
      </c>
      <c r="AN4954" s="15" t="s">
        <v>3879</v>
      </c>
    </row>
    <row r="4955" spans="1:40" x14ac:dyDescent="0.3">
      <c r="A4955" s="10" t="str">
        <f>HYPERLINK("http://www.washoecounty.gov/assessor/cama/?parid=143-143-05&amp;CardNumber=1","143-143-05")</f>
        <v>143-143-05</v>
      </c>
      <c r="B4955" t="s">
        <v>4655</v>
      </c>
      <c r="C4955" t="s">
        <v>25543</v>
      </c>
      <c r="D4955" s="1">
        <v>40219</v>
      </c>
      <c r="E4955" s="2">
        <v>221862</v>
      </c>
      <c r="F4955" t="s">
        <v>4567</v>
      </c>
      <c r="G4955" s="17" t="str">
        <f>HYPERLINK("https://www.washoecounty.gov/assessor/cama/?command=sales&amp;parid=14314305","3847694")</f>
        <v>3847694</v>
      </c>
      <c r="H4955" t="s">
        <v>1520</v>
      </c>
      <c r="I4955">
        <v>2010</v>
      </c>
      <c r="J4955">
        <v>2010</v>
      </c>
      <c r="K4955" t="s">
        <v>4554</v>
      </c>
      <c r="L4955" t="s">
        <v>3974</v>
      </c>
      <c r="M4955" s="2">
        <v>1972</v>
      </c>
      <c r="N4955" t="s">
        <v>3147</v>
      </c>
      <c r="O4955">
        <v>3</v>
      </c>
      <c r="P4955">
        <v>2</v>
      </c>
      <c r="Q4955">
        <v>1</v>
      </c>
      <c r="R4955" t="s">
        <v>5281</v>
      </c>
      <c r="S4955" t="s">
        <v>4898</v>
      </c>
      <c r="T4955" t="s">
        <v>2704</v>
      </c>
      <c r="U4955" t="s">
        <v>5631</v>
      </c>
      <c r="V4955" s="2">
        <v>426</v>
      </c>
      <c r="W4955" t="s">
        <v>4655</v>
      </c>
      <c r="X4955" s="2">
        <v>0</v>
      </c>
      <c r="Y4955">
        <v>20</v>
      </c>
      <c r="Z4955" t="s">
        <v>5107</v>
      </c>
      <c r="AA4955" s="3">
        <v>0.15089531242847401</v>
      </c>
      <c r="AB4955" t="s">
        <v>25544</v>
      </c>
      <c r="AC4955" t="s">
        <v>4562</v>
      </c>
      <c r="AD4955" t="s">
        <v>25543</v>
      </c>
      <c r="AE4955" t="s">
        <v>4655</v>
      </c>
      <c r="AF4955" t="s">
        <v>4563</v>
      </c>
      <c r="AG4955" t="s">
        <v>4564</v>
      </c>
      <c r="AH4955" t="s">
        <v>5197</v>
      </c>
      <c r="AI4955" t="s">
        <v>3881</v>
      </c>
      <c r="AJ4955" t="s">
        <v>1521</v>
      </c>
      <c r="AK4955" t="s">
        <v>25545</v>
      </c>
      <c r="AL4955" s="13" t="s">
        <v>2255</v>
      </c>
      <c r="AM4955">
        <v>1</v>
      </c>
      <c r="AN4955" s="15" t="s">
        <v>3879</v>
      </c>
    </row>
    <row r="4956" spans="1:40" x14ac:dyDescent="0.3">
      <c r="A4956" s="10" t="str">
        <f>HYPERLINK("http://www.washoecounty.gov/assessor/cama/?parid=143-153-01&amp;CardNumber=1","143-153-01")</f>
        <v>143-153-01</v>
      </c>
      <c r="B4956" t="s">
        <v>4655</v>
      </c>
      <c r="C4956" t="s">
        <v>25546</v>
      </c>
      <c r="D4956" s="1">
        <v>40498</v>
      </c>
      <c r="E4956" s="2">
        <v>179540</v>
      </c>
      <c r="F4956" t="s">
        <v>4567</v>
      </c>
      <c r="G4956" s="17" t="str">
        <f>HYPERLINK("https://www.washoecounty.gov/assessor/cama/?command=sales&amp;parid=14315301","3943479")</f>
        <v>3943479</v>
      </c>
      <c r="H4956" t="s">
        <v>1520</v>
      </c>
      <c r="I4956">
        <v>2010</v>
      </c>
      <c r="J4956">
        <v>2010</v>
      </c>
      <c r="K4956" t="s">
        <v>4554</v>
      </c>
      <c r="L4956" t="s">
        <v>4555</v>
      </c>
      <c r="M4956" s="2">
        <v>1455</v>
      </c>
      <c r="N4956" t="s">
        <v>3147</v>
      </c>
      <c r="O4956">
        <v>4</v>
      </c>
      <c r="P4956">
        <v>2</v>
      </c>
      <c r="Q4956">
        <v>0</v>
      </c>
      <c r="R4956" t="s">
        <v>5281</v>
      </c>
      <c r="S4956" t="s">
        <v>4898</v>
      </c>
      <c r="T4956" t="s">
        <v>2704</v>
      </c>
      <c r="U4956" t="s">
        <v>4560</v>
      </c>
      <c r="V4956" s="2">
        <v>420</v>
      </c>
      <c r="W4956" t="s">
        <v>4655</v>
      </c>
      <c r="X4956" s="2">
        <v>0</v>
      </c>
      <c r="Y4956">
        <v>20</v>
      </c>
      <c r="Z4956" t="s">
        <v>1491</v>
      </c>
      <c r="AA4956" s="3">
        <v>0.132874190807343</v>
      </c>
      <c r="AB4956" t="s">
        <v>25547</v>
      </c>
      <c r="AC4956" t="s">
        <v>4562</v>
      </c>
      <c r="AD4956" t="s">
        <v>25548</v>
      </c>
      <c r="AE4956" t="s">
        <v>4655</v>
      </c>
      <c r="AF4956" t="s">
        <v>4563</v>
      </c>
      <c r="AG4956" t="s">
        <v>4564</v>
      </c>
      <c r="AH4956" t="s">
        <v>5197</v>
      </c>
      <c r="AI4956" t="s">
        <v>3881</v>
      </c>
      <c r="AJ4956" t="s">
        <v>1521</v>
      </c>
      <c r="AK4956" t="s">
        <v>25549</v>
      </c>
      <c r="AL4956" s="13" t="s">
        <v>2255</v>
      </c>
      <c r="AM4956">
        <v>1</v>
      </c>
      <c r="AN4956" s="15" t="s">
        <v>3879</v>
      </c>
    </row>
    <row r="4957" spans="1:40" x14ac:dyDescent="0.3">
      <c r="A4957" s="10" t="str">
        <f>HYPERLINK("http://www.washoecounty.gov/assessor/cama/?parid=143-153-02&amp;CardNumber=1","143-153-02")</f>
        <v>143-153-02</v>
      </c>
      <c r="B4957" t="s">
        <v>4655</v>
      </c>
      <c r="C4957" t="s">
        <v>25550</v>
      </c>
      <c r="D4957" s="1">
        <v>40477</v>
      </c>
      <c r="E4957" s="2">
        <v>169000</v>
      </c>
      <c r="F4957" t="s">
        <v>4567</v>
      </c>
      <c r="G4957" s="17" t="str">
        <f>HYPERLINK("https://www.washoecounty.gov/assessor/cama/?command=sales&amp;parid=14315302","3936506")</f>
        <v>3936506</v>
      </c>
      <c r="H4957" t="s">
        <v>1520</v>
      </c>
      <c r="I4957">
        <v>2010</v>
      </c>
      <c r="J4957">
        <v>2010</v>
      </c>
      <c r="K4957" t="s">
        <v>4554</v>
      </c>
      <c r="L4957" t="s">
        <v>4555</v>
      </c>
      <c r="M4957" s="2">
        <v>1323</v>
      </c>
      <c r="N4957" t="s">
        <v>3147</v>
      </c>
      <c r="O4957">
        <v>3</v>
      </c>
      <c r="P4957">
        <v>2</v>
      </c>
      <c r="Q4957">
        <v>0</v>
      </c>
      <c r="R4957" t="s">
        <v>5281</v>
      </c>
      <c r="S4957" t="s">
        <v>4898</v>
      </c>
      <c r="T4957" t="s">
        <v>2704</v>
      </c>
      <c r="U4957" t="s">
        <v>4560</v>
      </c>
      <c r="V4957" s="2">
        <v>424</v>
      </c>
      <c r="W4957" t="s">
        <v>4655</v>
      </c>
      <c r="X4957" s="2">
        <v>0</v>
      </c>
      <c r="Y4957">
        <v>20</v>
      </c>
      <c r="Z4957" t="s">
        <v>1491</v>
      </c>
      <c r="AA4957" s="3">
        <v>0.13154269754886627</v>
      </c>
      <c r="AB4957" t="s">
        <v>25551</v>
      </c>
      <c r="AC4957" t="s">
        <v>4562</v>
      </c>
      <c r="AD4957" t="s">
        <v>25550</v>
      </c>
      <c r="AE4957" t="s">
        <v>4655</v>
      </c>
      <c r="AF4957" t="s">
        <v>4563</v>
      </c>
      <c r="AG4957" t="s">
        <v>4564</v>
      </c>
      <c r="AH4957" t="s">
        <v>5197</v>
      </c>
      <c r="AI4957" t="s">
        <v>3881</v>
      </c>
      <c r="AJ4957" t="s">
        <v>1521</v>
      </c>
      <c r="AK4957" t="s">
        <v>25552</v>
      </c>
      <c r="AL4957" s="13" t="s">
        <v>2255</v>
      </c>
      <c r="AM4957">
        <v>1</v>
      </c>
      <c r="AN4957" s="15" t="s">
        <v>3879</v>
      </c>
    </row>
    <row r="4958" spans="1:40" x14ac:dyDescent="0.3">
      <c r="A4958" s="10" t="str">
        <f>HYPERLINK("http://www.washoecounty.gov/assessor/cama/?parid=143-153-03&amp;CardNumber=1","143-153-03")</f>
        <v>143-153-03</v>
      </c>
      <c r="B4958" t="s">
        <v>4655</v>
      </c>
      <c r="C4958" t="s">
        <v>25553</v>
      </c>
      <c r="D4958" s="1">
        <v>40529</v>
      </c>
      <c r="E4958" s="2">
        <v>208890</v>
      </c>
      <c r="F4958" t="s">
        <v>4567</v>
      </c>
      <c r="G4958" s="17" t="str">
        <f>HYPERLINK("https://www.washoecounty.gov/assessor/cama/?command=sales&amp;parid=14315303","3955109")</f>
        <v>3955109</v>
      </c>
      <c r="H4958" t="s">
        <v>1520</v>
      </c>
      <c r="I4958">
        <v>2010</v>
      </c>
      <c r="J4958">
        <v>2010</v>
      </c>
      <c r="K4958" t="s">
        <v>4554</v>
      </c>
      <c r="L4958" t="s">
        <v>4555</v>
      </c>
      <c r="M4958" s="2">
        <v>1862</v>
      </c>
      <c r="N4958" t="s">
        <v>3147</v>
      </c>
      <c r="O4958">
        <v>3</v>
      </c>
      <c r="P4958">
        <v>2</v>
      </c>
      <c r="Q4958">
        <v>0</v>
      </c>
      <c r="R4958" t="s">
        <v>5281</v>
      </c>
      <c r="S4958" t="s">
        <v>4898</v>
      </c>
      <c r="T4958" t="s">
        <v>2704</v>
      </c>
      <c r="U4958" t="s">
        <v>4560</v>
      </c>
      <c r="V4958" s="2">
        <v>440</v>
      </c>
      <c r="W4958" t="s">
        <v>4655</v>
      </c>
      <c r="X4958" s="2">
        <v>0</v>
      </c>
      <c r="Y4958">
        <v>20</v>
      </c>
      <c r="Z4958" t="s">
        <v>1491</v>
      </c>
      <c r="AA4958" s="3">
        <v>0.140541777014732</v>
      </c>
      <c r="AB4958" t="s">
        <v>25554</v>
      </c>
      <c r="AC4958" t="s">
        <v>4562</v>
      </c>
      <c r="AD4958" t="s">
        <v>25553</v>
      </c>
      <c r="AE4958" t="s">
        <v>4655</v>
      </c>
      <c r="AF4958" t="s">
        <v>4563</v>
      </c>
      <c r="AG4958" t="s">
        <v>4564</v>
      </c>
      <c r="AH4958" t="s">
        <v>5197</v>
      </c>
      <c r="AI4958" t="s">
        <v>3881</v>
      </c>
      <c r="AJ4958" t="s">
        <v>1521</v>
      </c>
      <c r="AK4958" t="s">
        <v>25555</v>
      </c>
      <c r="AL4958" s="13" t="s">
        <v>2255</v>
      </c>
      <c r="AM4958">
        <v>1</v>
      </c>
      <c r="AN4958" s="15" t="s">
        <v>3879</v>
      </c>
    </row>
    <row r="4959" spans="1:40" x14ac:dyDescent="0.3">
      <c r="A4959" s="10" t="str">
        <f>HYPERLINK("http://www.washoecounty.gov/assessor/cama/?parid=143-153-05&amp;CardNumber=1","143-153-05")</f>
        <v>143-153-05</v>
      </c>
      <c r="B4959" t="s">
        <v>4655</v>
      </c>
      <c r="C4959" t="s">
        <v>25556</v>
      </c>
      <c r="D4959" s="1">
        <v>40505</v>
      </c>
      <c r="E4959" s="2">
        <v>219314</v>
      </c>
      <c r="F4959" t="s">
        <v>4567</v>
      </c>
      <c r="G4959" s="17" t="str">
        <f>HYPERLINK("https://www.washoecounty.gov/assessor/cama/?command=sales&amp;parid=14315305","3945979")</f>
        <v>3945979</v>
      </c>
      <c r="H4959" t="s">
        <v>1520</v>
      </c>
      <c r="I4959">
        <v>2010</v>
      </c>
      <c r="J4959">
        <v>2010</v>
      </c>
      <c r="K4959" t="s">
        <v>4554</v>
      </c>
      <c r="L4959" t="s">
        <v>3974</v>
      </c>
      <c r="M4959" s="2">
        <v>1972</v>
      </c>
      <c r="N4959" t="s">
        <v>3147</v>
      </c>
      <c r="O4959">
        <v>4</v>
      </c>
      <c r="P4959">
        <v>2</v>
      </c>
      <c r="Q4959">
        <v>1</v>
      </c>
      <c r="R4959" t="s">
        <v>5281</v>
      </c>
      <c r="S4959" t="s">
        <v>4898</v>
      </c>
      <c r="T4959" t="s">
        <v>2704</v>
      </c>
      <c r="U4959" t="s">
        <v>5631</v>
      </c>
      <c r="V4959" s="2">
        <v>426</v>
      </c>
      <c r="W4959" t="s">
        <v>4655</v>
      </c>
      <c r="X4959" s="2">
        <v>0</v>
      </c>
      <c r="Y4959">
        <v>20</v>
      </c>
      <c r="Z4959" t="s">
        <v>1491</v>
      </c>
      <c r="AA4959" s="3">
        <v>0.14685490727424599</v>
      </c>
      <c r="AB4959" t="s">
        <v>25557</v>
      </c>
      <c r="AC4959" t="s">
        <v>4562</v>
      </c>
      <c r="AD4959" t="s">
        <v>25558</v>
      </c>
      <c r="AE4959" t="s">
        <v>4655</v>
      </c>
      <c r="AF4959" t="s">
        <v>4563</v>
      </c>
      <c r="AG4959" t="s">
        <v>4564</v>
      </c>
      <c r="AH4959" t="s">
        <v>5197</v>
      </c>
      <c r="AI4959" t="s">
        <v>3881</v>
      </c>
      <c r="AJ4959" t="s">
        <v>1521</v>
      </c>
      <c r="AK4959" t="s">
        <v>25559</v>
      </c>
      <c r="AL4959" s="13" t="s">
        <v>2255</v>
      </c>
      <c r="AM4959">
        <v>1</v>
      </c>
      <c r="AN4959" s="15" t="s">
        <v>3879</v>
      </c>
    </row>
    <row r="4960" spans="1:40" x14ac:dyDescent="0.3">
      <c r="A4960" s="10" t="str">
        <f>HYPERLINK("http://www.washoecounty.gov/assessor/cama/?parid=143-154-05&amp;CardNumber=1","143-154-05")</f>
        <v>143-154-05</v>
      </c>
      <c r="B4960" t="s">
        <v>4655</v>
      </c>
      <c r="C4960" t="s">
        <v>25560</v>
      </c>
      <c r="D4960" s="1">
        <v>40483</v>
      </c>
      <c r="E4960" s="2">
        <v>182575</v>
      </c>
      <c r="F4960" t="s">
        <v>4567</v>
      </c>
      <c r="G4960" s="17" t="str">
        <f>HYPERLINK("https://www.washoecounty.gov/assessor/cama/?command=sales&amp;parid=14315405","3938577")</f>
        <v>3938577</v>
      </c>
      <c r="H4960" t="s">
        <v>1520</v>
      </c>
      <c r="I4960">
        <v>2010</v>
      </c>
      <c r="J4960">
        <v>2010</v>
      </c>
      <c r="K4960" t="s">
        <v>4554</v>
      </c>
      <c r="L4960" t="s">
        <v>4555</v>
      </c>
      <c r="M4960" s="2">
        <v>1323</v>
      </c>
      <c r="N4960" t="s">
        <v>3147</v>
      </c>
      <c r="O4960">
        <v>3</v>
      </c>
      <c r="P4960">
        <v>2</v>
      </c>
      <c r="Q4960">
        <v>0</v>
      </c>
      <c r="R4960" t="s">
        <v>5281</v>
      </c>
      <c r="S4960" t="s">
        <v>4898</v>
      </c>
      <c r="T4960" t="s">
        <v>2704</v>
      </c>
      <c r="U4960" t="s">
        <v>4560</v>
      </c>
      <c r="V4960" s="2">
        <v>424</v>
      </c>
      <c r="W4960" t="s">
        <v>4655</v>
      </c>
      <c r="X4960" s="2">
        <v>0</v>
      </c>
      <c r="Y4960">
        <v>20</v>
      </c>
      <c r="Z4960" t="s">
        <v>1491</v>
      </c>
      <c r="AA4960" s="3">
        <v>0.14674012362957001</v>
      </c>
      <c r="AB4960" t="s">
        <v>25561</v>
      </c>
      <c r="AC4960" t="s">
        <v>4562</v>
      </c>
      <c r="AD4960" t="s">
        <v>25562</v>
      </c>
      <c r="AE4960" t="s">
        <v>4655</v>
      </c>
      <c r="AF4960" t="s">
        <v>4563</v>
      </c>
      <c r="AG4960" t="s">
        <v>4564</v>
      </c>
      <c r="AH4960" t="s">
        <v>5197</v>
      </c>
      <c r="AI4960" t="s">
        <v>3881</v>
      </c>
      <c r="AJ4960" t="s">
        <v>1521</v>
      </c>
      <c r="AK4960" t="s">
        <v>25563</v>
      </c>
      <c r="AL4960" s="13" t="s">
        <v>2255</v>
      </c>
      <c r="AM4960" s="14">
        <v>1</v>
      </c>
      <c r="AN4960" s="15" t="s">
        <v>3879</v>
      </c>
    </row>
    <row r="4961" spans="1:40" x14ac:dyDescent="0.3">
      <c r="A4961" s="10" t="str">
        <f>HYPERLINK("http://www.washoecounty.gov/assessor/cama/?parid=143-154-06&amp;CardNumber=1","143-154-06")</f>
        <v>143-154-06</v>
      </c>
      <c r="B4961" t="s">
        <v>4655</v>
      </c>
      <c r="C4961" t="s">
        <v>25564</v>
      </c>
      <c r="D4961" s="1">
        <v>40498</v>
      </c>
      <c r="E4961" s="2">
        <v>176869</v>
      </c>
      <c r="F4961" t="s">
        <v>4567</v>
      </c>
      <c r="G4961" s="17" t="str">
        <f>HYPERLINK("https://www.washoecounty.gov/assessor/cama/?command=sales&amp;parid=14315406","3943509")</f>
        <v>3943509</v>
      </c>
      <c r="H4961" t="s">
        <v>1520</v>
      </c>
      <c r="I4961">
        <v>2010</v>
      </c>
      <c r="J4961">
        <v>2010</v>
      </c>
      <c r="K4961" t="s">
        <v>4554</v>
      </c>
      <c r="L4961" t="s">
        <v>4555</v>
      </c>
      <c r="M4961" s="2">
        <v>1455</v>
      </c>
      <c r="N4961" t="s">
        <v>3147</v>
      </c>
      <c r="O4961">
        <v>3</v>
      </c>
      <c r="P4961">
        <v>2</v>
      </c>
      <c r="Q4961">
        <v>0</v>
      </c>
      <c r="R4961" t="s">
        <v>5281</v>
      </c>
      <c r="S4961" t="s">
        <v>4898</v>
      </c>
      <c r="T4961" t="s">
        <v>2704</v>
      </c>
      <c r="U4961" t="s">
        <v>4560</v>
      </c>
      <c r="V4961" s="2">
        <v>420</v>
      </c>
      <c r="W4961" t="s">
        <v>4655</v>
      </c>
      <c r="X4961" s="2">
        <v>0</v>
      </c>
      <c r="Y4961">
        <v>20</v>
      </c>
      <c r="Z4961" t="s">
        <v>1491</v>
      </c>
      <c r="AA4961" s="3">
        <v>0.138452708721161</v>
      </c>
      <c r="AB4961" t="s">
        <v>140</v>
      </c>
      <c r="AC4961" t="s">
        <v>4575</v>
      </c>
      <c r="AD4961" t="s">
        <v>25565</v>
      </c>
      <c r="AE4961" t="s">
        <v>4655</v>
      </c>
      <c r="AF4961" t="s">
        <v>4563</v>
      </c>
      <c r="AG4961" t="s">
        <v>4564</v>
      </c>
      <c r="AH4961" t="s">
        <v>5197</v>
      </c>
      <c r="AI4961" t="s">
        <v>25566</v>
      </c>
      <c r="AJ4961" t="s">
        <v>1521</v>
      </c>
      <c r="AK4961" t="s">
        <v>25567</v>
      </c>
      <c r="AL4961" s="13" t="s">
        <v>2255</v>
      </c>
      <c r="AM4961">
        <v>1</v>
      </c>
      <c r="AN4961" s="15" t="s">
        <v>3879</v>
      </c>
    </row>
    <row r="4962" spans="1:40" x14ac:dyDescent="0.3">
      <c r="A4962" s="10" t="str">
        <f>HYPERLINK("http://www.washoecounty.gov/assessor/cama/?parid=143-154-07&amp;CardNumber=1","143-154-07")</f>
        <v>143-154-07</v>
      </c>
      <c r="B4962" t="s">
        <v>4655</v>
      </c>
      <c r="C4962" t="s">
        <v>25568</v>
      </c>
      <c r="D4962" s="1">
        <v>40492</v>
      </c>
      <c r="E4962" s="2">
        <v>202257</v>
      </c>
      <c r="F4962" t="s">
        <v>4567</v>
      </c>
      <c r="G4962" s="17" t="str">
        <f>HYPERLINK("https://www.washoecounty.gov/assessor/cama/?command=sales&amp;parid=14315407","3941919")</f>
        <v>3941919</v>
      </c>
      <c r="H4962" t="s">
        <v>1520</v>
      </c>
      <c r="I4962">
        <v>2010</v>
      </c>
      <c r="J4962">
        <v>2010</v>
      </c>
      <c r="K4962" t="s">
        <v>4554</v>
      </c>
      <c r="L4962" t="s">
        <v>3974</v>
      </c>
      <c r="M4962" s="2">
        <v>1972</v>
      </c>
      <c r="N4962" t="s">
        <v>3147</v>
      </c>
      <c r="O4962">
        <v>4</v>
      </c>
      <c r="P4962">
        <v>2</v>
      </c>
      <c r="Q4962">
        <v>1</v>
      </c>
      <c r="R4962" t="s">
        <v>5281</v>
      </c>
      <c r="S4962" t="s">
        <v>4898</v>
      </c>
      <c r="T4962" t="s">
        <v>2704</v>
      </c>
      <c r="U4962" t="s">
        <v>5631</v>
      </c>
      <c r="V4962" s="2">
        <v>426</v>
      </c>
      <c r="W4962" t="s">
        <v>4655</v>
      </c>
      <c r="X4962" s="2">
        <v>0</v>
      </c>
      <c r="Y4962">
        <v>12</v>
      </c>
      <c r="Z4962" t="s">
        <v>1491</v>
      </c>
      <c r="AA4962" s="3">
        <v>0.13016529381275199</v>
      </c>
      <c r="AB4962" t="s">
        <v>25569</v>
      </c>
      <c r="AC4962" t="s">
        <v>4562</v>
      </c>
      <c r="AD4962" t="s">
        <v>25568</v>
      </c>
      <c r="AE4962" t="s">
        <v>4655</v>
      </c>
      <c r="AF4962" t="s">
        <v>4563</v>
      </c>
      <c r="AG4962" t="s">
        <v>4564</v>
      </c>
      <c r="AH4962" t="s">
        <v>5197</v>
      </c>
      <c r="AI4962" t="s">
        <v>3881</v>
      </c>
      <c r="AJ4962" t="s">
        <v>1521</v>
      </c>
      <c r="AK4962" t="s">
        <v>25570</v>
      </c>
      <c r="AL4962" s="13" t="s">
        <v>2255</v>
      </c>
      <c r="AM4962" s="14">
        <v>1</v>
      </c>
      <c r="AN4962" s="15" t="s">
        <v>3879</v>
      </c>
    </row>
    <row r="4963" spans="1:40" x14ac:dyDescent="0.3">
      <c r="A4963" s="10" t="str">
        <f>HYPERLINK("http://www.washoecounty.gov/assessor/cama/?parid=143-154-08&amp;CardNumber=1","143-154-08")</f>
        <v>143-154-08</v>
      </c>
      <c r="B4963" t="s">
        <v>4655</v>
      </c>
      <c r="C4963" t="s">
        <v>25571</v>
      </c>
      <c r="D4963" s="1">
        <v>40464</v>
      </c>
      <c r="E4963" s="2">
        <v>191236</v>
      </c>
      <c r="F4963" t="s">
        <v>4567</v>
      </c>
      <c r="G4963" s="17" t="str">
        <f>HYPERLINK("https://www.washoecounty.gov/assessor/cama/?command=sales&amp;parid=14315408","3932266")</f>
        <v>3932266</v>
      </c>
      <c r="H4963" t="s">
        <v>1520</v>
      </c>
      <c r="I4963">
        <v>2010</v>
      </c>
      <c r="J4963">
        <v>2010</v>
      </c>
      <c r="K4963" t="s">
        <v>4554</v>
      </c>
      <c r="L4963" t="s">
        <v>4555</v>
      </c>
      <c r="M4963" s="2">
        <v>1455</v>
      </c>
      <c r="N4963" t="s">
        <v>3147</v>
      </c>
      <c r="O4963">
        <v>3</v>
      </c>
      <c r="P4963">
        <v>2</v>
      </c>
      <c r="Q4963">
        <v>0</v>
      </c>
      <c r="R4963" t="s">
        <v>5281</v>
      </c>
      <c r="S4963" t="s">
        <v>4898</v>
      </c>
      <c r="T4963" t="s">
        <v>2704</v>
      </c>
      <c r="U4963" t="s">
        <v>4560</v>
      </c>
      <c r="V4963" s="2">
        <v>420</v>
      </c>
      <c r="W4963" t="s">
        <v>4655</v>
      </c>
      <c r="X4963" s="2">
        <v>0</v>
      </c>
      <c r="Y4963">
        <v>20</v>
      </c>
      <c r="Z4963" t="s">
        <v>1491</v>
      </c>
      <c r="AA4963" s="3">
        <v>0.20507346093654599</v>
      </c>
      <c r="AB4963" t="s">
        <v>25572</v>
      </c>
      <c r="AC4963" t="s">
        <v>4562</v>
      </c>
      <c r="AD4963" t="s">
        <v>25573</v>
      </c>
      <c r="AE4963" t="s">
        <v>4655</v>
      </c>
      <c r="AF4963" t="s">
        <v>4563</v>
      </c>
      <c r="AG4963" t="s">
        <v>4564</v>
      </c>
      <c r="AH4963" t="s">
        <v>5197</v>
      </c>
      <c r="AI4963" t="s">
        <v>3881</v>
      </c>
      <c r="AJ4963" t="s">
        <v>1521</v>
      </c>
      <c r="AK4963" t="s">
        <v>25574</v>
      </c>
      <c r="AL4963" s="13" t="s">
        <v>2255</v>
      </c>
      <c r="AM4963">
        <v>1</v>
      </c>
      <c r="AN4963" s="15" t="s">
        <v>3879</v>
      </c>
    </row>
    <row r="4964" spans="1:40" x14ac:dyDescent="0.3">
      <c r="A4964" s="10" t="str">
        <f>HYPERLINK("http://www.washoecounty.gov/assessor/cama/?parid=143-154-09&amp;CardNumber=1","143-154-09")</f>
        <v>143-154-09</v>
      </c>
      <c r="B4964" t="s">
        <v>4655</v>
      </c>
      <c r="C4964" t="s">
        <v>25575</v>
      </c>
      <c r="D4964" s="1">
        <v>40485</v>
      </c>
      <c r="E4964" s="2">
        <v>178356</v>
      </c>
      <c r="F4964" t="s">
        <v>4567</v>
      </c>
      <c r="G4964" s="17" t="str">
        <f>HYPERLINK("https://www.washoecounty.gov/assessor/cama/?command=sales&amp;parid=14315409","3939423")</f>
        <v>3939423</v>
      </c>
      <c r="H4964" t="s">
        <v>1520</v>
      </c>
      <c r="I4964">
        <v>2010</v>
      </c>
      <c r="J4964">
        <v>2010</v>
      </c>
      <c r="K4964" t="s">
        <v>4554</v>
      </c>
      <c r="L4964" t="s">
        <v>4555</v>
      </c>
      <c r="M4964" s="2">
        <v>1323</v>
      </c>
      <c r="N4964" t="s">
        <v>3147</v>
      </c>
      <c r="O4964">
        <v>3</v>
      </c>
      <c r="P4964">
        <v>2</v>
      </c>
      <c r="Q4964">
        <v>0</v>
      </c>
      <c r="R4964" t="s">
        <v>5281</v>
      </c>
      <c r="S4964" t="s">
        <v>4898</v>
      </c>
      <c r="T4964" t="s">
        <v>2704</v>
      </c>
      <c r="U4964" t="s">
        <v>4560</v>
      </c>
      <c r="V4964" s="2">
        <v>424</v>
      </c>
      <c r="W4964" t="s">
        <v>4655</v>
      </c>
      <c r="X4964" s="2">
        <v>0</v>
      </c>
      <c r="Y4964">
        <v>20</v>
      </c>
      <c r="Z4964" t="s">
        <v>1491</v>
      </c>
      <c r="AA4964" s="3">
        <v>0.13762626051902799</v>
      </c>
      <c r="AB4964" t="s">
        <v>25576</v>
      </c>
      <c r="AC4964" t="s">
        <v>4575</v>
      </c>
      <c r="AD4964" t="s">
        <v>25575</v>
      </c>
      <c r="AE4964" t="s">
        <v>4655</v>
      </c>
      <c r="AF4964" t="s">
        <v>4563</v>
      </c>
      <c r="AG4964" t="s">
        <v>4564</v>
      </c>
      <c r="AH4964" t="s">
        <v>5197</v>
      </c>
      <c r="AI4964" t="s">
        <v>3881</v>
      </c>
      <c r="AJ4964" t="s">
        <v>1521</v>
      </c>
      <c r="AK4964" t="s">
        <v>25577</v>
      </c>
      <c r="AL4964" s="13" t="s">
        <v>2255</v>
      </c>
      <c r="AM4964">
        <v>1</v>
      </c>
      <c r="AN4964" s="15" t="s">
        <v>3879</v>
      </c>
    </row>
    <row r="4965" spans="1:40" x14ac:dyDescent="0.3">
      <c r="A4965" s="10" t="str">
        <f>HYPERLINK("http://www.washoecounty.gov/assessor/cama/?parid=143-154-10&amp;CardNumber=1","143-154-10")</f>
        <v>143-154-10</v>
      </c>
      <c r="B4965" t="s">
        <v>4655</v>
      </c>
      <c r="C4965" t="s">
        <v>25578</v>
      </c>
      <c r="D4965" s="1">
        <v>40458</v>
      </c>
      <c r="E4965" s="2">
        <v>248594</v>
      </c>
      <c r="F4965" t="s">
        <v>4567</v>
      </c>
      <c r="G4965" s="17" t="str">
        <f>HYPERLINK("https://www.washoecounty.gov/assessor/cama/?command=sales&amp;parid=14315410","3930851")</f>
        <v>3930851</v>
      </c>
      <c r="H4965" t="s">
        <v>1520</v>
      </c>
      <c r="I4965">
        <v>2010</v>
      </c>
      <c r="J4965">
        <v>2010</v>
      </c>
      <c r="K4965" t="s">
        <v>4554</v>
      </c>
      <c r="L4965" t="s">
        <v>3974</v>
      </c>
      <c r="M4965" s="2">
        <v>2547</v>
      </c>
      <c r="N4965" t="s">
        <v>3147</v>
      </c>
      <c r="O4965">
        <v>4</v>
      </c>
      <c r="P4965">
        <v>2</v>
      </c>
      <c r="Q4965">
        <v>1</v>
      </c>
      <c r="R4965" t="s">
        <v>5281</v>
      </c>
      <c r="S4965" t="s">
        <v>4898</v>
      </c>
      <c r="T4965" t="s">
        <v>2704</v>
      </c>
      <c r="U4965" t="s">
        <v>5631</v>
      </c>
      <c r="V4965" s="2">
        <v>426</v>
      </c>
      <c r="W4965" t="s">
        <v>4655</v>
      </c>
      <c r="X4965" s="2">
        <v>0</v>
      </c>
      <c r="Y4965">
        <v>20</v>
      </c>
      <c r="Z4965" t="s">
        <v>1491</v>
      </c>
      <c r="AA4965" s="3">
        <v>0.15413223206996901</v>
      </c>
      <c r="AB4965" t="s">
        <v>25579</v>
      </c>
      <c r="AC4965" t="s">
        <v>4562</v>
      </c>
      <c r="AD4965" t="s">
        <v>25580</v>
      </c>
      <c r="AE4965" t="s">
        <v>4655</v>
      </c>
      <c r="AF4965" t="s">
        <v>4563</v>
      </c>
      <c r="AG4965" t="s">
        <v>4564</v>
      </c>
      <c r="AH4965" t="s">
        <v>5197</v>
      </c>
      <c r="AI4965" t="s">
        <v>3881</v>
      </c>
      <c r="AJ4965" t="s">
        <v>1521</v>
      </c>
      <c r="AK4965" t="s">
        <v>25581</v>
      </c>
      <c r="AL4965" s="13" t="s">
        <v>2255</v>
      </c>
      <c r="AM4965" s="14">
        <v>1</v>
      </c>
      <c r="AN4965" s="15" t="s">
        <v>3879</v>
      </c>
    </row>
    <row r="4966" spans="1:40" x14ac:dyDescent="0.3">
      <c r="A4966" s="10" t="str">
        <f>HYPERLINK("http://www.washoecounty.gov/assessor/cama/?parid=143-161-01&amp;CardNumber=1","143-161-01")</f>
        <v>143-161-01</v>
      </c>
      <c r="B4966" t="s">
        <v>4655</v>
      </c>
      <c r="C4966" t="s">
        <v>25582</v>
      </c>
      <c r="D4966" s="1">
        <v>40448</v>
      </c>
      <c r="E4966" s="2">
        <v>239452</v>
      </c>
      <c r="F4966" t="s">
        <v>4567</v>
      </c>
      <c r="G4966" s="17" t="str">
        <f>HYPERLINK("https://www.washoecounty.gov/assessor/cama/?command=sales&amp;parid=14316101","3926603")</f>
        <v>3926603</v>
      </c>
      <c r="H4966" t="s">
        <v>5582</v>
      </c>
      <c r="I4966">
        <v>2010</v>
      </c>
      <c r="J4966">
        <v>2010</v>
      </c>
      <c r="K4966" t="s">
        <v>4554</v>
      </c>
      <c r="L4966" t="s">
        <v>4555</v>
      </c>
      <c r="M4966" s="2">
        <v>1862</v>
      </c>
      <c r="N4966" t="s">
        <v>3147</v>
      </c>
      <c r="O4966">
        <v>4</v>
      </c>
      <c r="P4966">
        <v>2</v>
      </c>
      <c r="Q4966">
        <v>0</v>
      </c>
      <c r="R4966" t="s">
        <v>5281</v>
      </c>
      <c r="S4966" t="s">
        <v>4898</v>
      </c>
      <c r="T4966" t="s">
        <v>2704</v>
      </c>
      <c r="U4966" t="s">
        <v>4560</v>
      </c>
      <c r="V4966" s="2">
        <v>440</v>
      </c>
      <c r="W4966" t="s">
        <v>4655</v>
      </c>
      <c r="X4966" s="2">
        <v>0</v>
      </c>
      <c r="Y4966">
        <v>20</v>
      </c>
      <c r="Z4966" t="s">
        <v>4561</v>
      </c>
      <c r="AA4966" s="3">
        <v>0.17155647277832031</v>
      </c>
      <c r="AB4966" t="s">
        <v>25583</v>
      </c>
      <c r="AC4966" t="s">
        <v>4562</v>
      </c>
      <c r="AD4966" t="s">
        <v>25582</v>
      </c>
      <c r="AE4966" t="s">
        <v>4655</v>
      </c>
      <c r="AF4966" t="s">
        <v>4563</v>
      </c>
      <c r="AG4966" t="s">
        <v>4564</v>
      </c>
      <c r="AH4966" t="s">
        <v>5197</v>
      </c>
      <c r="AI4966" t="s">
        <v>3881</v>
      </c>
      <c r="AJ4966" t="s">
        <v>5583</v>
      </c>
      <c r="AK4966" t="s">
        <v>25584</v>
      </c>
      <c r="AL4966" s="13" t="s">
        <v>2255</v>
      </c>
      <c r="AM4966">
        <v>1</v>
      </c>
      <c r="AN4966" s="15" t="s">
        <v>3879</v>
      </c>
    </row>
    <row r="4967" spans="1:40" x14ac:dyDescent="0.3">
      <c r="A4967" s="10" t="str">
        <f>HYPERLINK("http://www.washoecounty.gov/assessor/cama/?parid=143-161-03&amp;CardNumber=1","143-161-03")</f>
        <v>143-161-03</v>
      </c>
      <c r="B4967" t="s">
        <v>4655</v>
      </c>
      <c r="C4967" t="s">
        <v>25585</v>
      </c>
      <c r="D4967" s="1">
        <v>40506</v>
      </c>
      <c r="E4967" s="2">
        <v>242869</v>
      </c>
      <c r="F4967" t="s">
        <v>4567</v>
      </c>
      <c r="G4967" s="17" t="str">
        <f>HYPERLINK("https://www.washoecounty.gov/assessor/cama/?command=sales&amp;parid=14316103","3946532")</f>
        <v>3946532</v>
      </c>
      <c r="H4967" t="s">
        <v>5582</v>
      </c>
      <c r="I4967">
        <v>2010</v>
      </c>
      <c r="J4967">
        <v>2010</v>
      </c>
      <c r="K4967" t="s">
        <v>4554</v>
      </c>
      <c r="L4967" t="s">
        <v>4555</v>
      </c>
      <c r="M4967" s="2">
        <v>1862</v>
      </c>
      <c r="N4967" t="s">
        <v>3147</v>
      </c>
      <c r="O4967">
        <v>3</v>
      </c>
      <c r="P4967">
        <v>2</v>
      </c>
      <c r="Q4967">
        <v>0</v>
      </c>
      <c r="R4967" t="s">
        <v>5281</v>
      </c>
      <c r="S4967" t="s">
        <v>4898</v>
      </c>
      <c r="T4967" t="s">
        <v>2704</v>
      </c>
      <c r="U4967" t="s">
        <v>4560</v>
      </c>
      <c r="V4967" s="2">
        <v>440</v>
      </c>
      <c r="W4967" t="s">
        <v>4655</v>
      </c>
      <c r="X4967" s="2">
        <v>0</v>
      </c>
      <c r="Y4967">
        <v>20</v>
      </c>
      <c r="Z4967" t="s">
        <v>4561</v>
      </c>
      <c r="AA4967" s="3">
        <v>0.24508723616600001</v>
      </c>
      <c r="AB4967" t="s">
        <v>25586</v>
      </c>
      <c r="AC4967" t="s">
        <v>4575</v>
      </c>
      <c r="AD4967" t="s">
        <v>25585</v>
      </c>
      <c r="AE4967" t="s">
        <v>4655</v>
      </c>
      <c r="AF4967" t="s">
        <v>4563</v>
      </c>
      <c r="AG4967" t="s">
        <v>4564</v>
      </c>
      <c r="AH4967" t="s">
        <v>5197</v>
      </c>
      <c r="AI4967" t="s">
        <v>3881</v>
      </c>
      <c r="AJ4967" t="s">
        <v>5583</v>
      </c>
      <c r="AK4967" t="s">
        <v>25587</v>
      </c>
      <c r="AL4967" s="13" t="s">
        <v>2255</v>
      </c>
      <c r="AM4967" s="14">
        <v>1</v>
      </c>
      <c r="AN4967" s="15" t="s">
        <v>3879</v>
      </c>
    </row>
    <row r="4968" spans="1:40" x14ac:dyDescent="0.3">
      <c r="A4968" s="10" t="str">
        <f>HYPERLINK("http://www.washoecounty.gov/assessor/cama/?parid=143-161-05&amp;CardNumber=1","143-161-05")</f>
        <v>143-161-05</v>
      </c>
      <c r="B4968" t="s">
        <v>4655</v>
      </c>
      <c r="C4968" t="s">
        <v>25588</v>
      </c>
      <c r="D4968" s="1">
        <v>40486</v>
      </c>
      <c r="E4968" s="2">
        <v>263554</v>
      </c>
      <c r="F4968" t="s">
        <v>4567</v>
      </c>
      <c r="G4968" s="17" t="str">
        <f>HYPERLINK("https://www.washoecounty.gov/assessor/cama/?command=sales&amp;parid=14316105","3940024")</f>
        <v>3940024</v>
      </c>
      <c r="H4968" t="s">
        <v>5582</v>
      </c>
      <c r="I4968">
        <v>2010</v>
      </c>
      <c r="J4968">
        <v>2010</v>
      </c>
      <c r="K4968" t="s">
        <v>4554</v>
      </c>
      <c r="L4968" t="s">
        <v>3974</v>
      </c>
      <c r="M4968" s="2">
        <v>2547</v>
      </c>
      <c r="N4968" t="s">
        <v>3147</v>
      </c>
      <c r="O4968">
        <v>4</v>
      </c>
      <c r="P4968">
        <v>2</v>
      </c>
      <c r="Q4968">
        <v>1</v>
      </c>
      <c r="R4968" t="s">
        <v>5281</v>
      </c>
      <c r="S4968" t="s">
        <v>4898</v>
      </c>
      <c r="T4968" t="s">
        <v>2704</v>
      </c>
      <c r="U4968" t="s">
        <v>5631</v>
      </c>
      <c r="V4968" s="2">
        <v>426</v>
      </c>
      <c r="W4968" t="s">
        <v>4655</v>
      </c>
      <c r="X4968" s="2">
        <v>0</v>
      </c>
      <c r="Y4968">
        <v>20</v>
      </c>
      <c r="Z4968" t="s">
        <v>4561</v>
      </c>
      <c r="AA4968" s="3">
        <v>0.19304408133029899</v>
      </c>
      <c r="AB4968" t="s">
        <v>25589</v>
      </c>
      <c r="AC4968" t="s">
        <v>4562</v>
      </c>
      <c r="AD4968" t="s">
        <v>25590</v>
      </c>
      <c r="AE4968" t="s">
        <v>4655</v>
      </c>
      <c r="AF4968" t="s">
        <v>4563</v>
      </c>
      <c r="AG4968" t="s">
        <v>4564</v>
      </c>
      <c r="AH4968" t="s">
        <v>5197</v>
      </c>
      <c r="AI4968" t="s">
        <v>3881</v>
      </c>
      <c r="AJ4968" t="s">
        <v>5583</v>
      </c>
      <c r="AK4968" t="s">
        <v>25591</v>
      </c>
      <c r="AL4968" s="13" t="s">
        <v>2255</v>
      </c>
      <c r="AM4968">
        <v>1</v>
      </c>
      <c r="AN4968" s="15" t="s">
        <v>3879</v>
      </c>
    </row>
    <row r="4969" spans="1:40" x14ac:dyDescent="0.3">
      <c r="A4969" s="10" t="str">
        <f>HYPERLINK("http://www.washoecounty.gov/assessor/cama/?parid=143-161-07&amp;CardNumber=1","143-161-07")</f>
        <v>143-161-07</v>
      </c>
      <c r="B4969" t="s">
        <v>4655</v>
      </c>
      <c r="C4969" t="s">
        <v>25592</v>
      </c>
      <c r="D4969" s="1">
        <v>40463</v>
      </c>
      <c r="E4969" s="2">
        <v>233613</v>
      </c>
      <c r="F4969" t="s">
        <v>4567</v>
      </c>
      <c r="G4969" s="17" t="str">
        <f>HYPERLINK("https://www.washoecounty.gov/assessor/cama/?command=sales&amp;parid=14316107","3931918")</f>
        <v>3931918</v>
      </c>
      <c r="H4969" t="s">
        <v>5582</v>
      </c>
      <c r="I4969">
        <v>2010</v>
      </c>
      <c r="J4969">
        <v>2010</v>
      </c>
      <c r="K4969" t="s">
        <v>4554</v>
      </c>
      <c r="L4969" t="s">
        <v>3974</v>
      </c>
      <c r="M4969" s="2">
        <v>1972</v>
      </c>
      <c r="N4969" t="s">
        <v>3147</v>
      </c>
      <c r="O4969">
        <v>4</v>
      </c>
      <c r="P4969">
        <v>2</v>
      </c>
      <c r="Q4969">
        <v>1</v>
      </c>
      <c r="R4969" t="s">
        <v>5281</v>
      </c>
      <c r="S4969" t="s">
        <v>4898</v>
      </c>
      <c r="T4969" t="s">
        <v>2704</v>
      </c>
      <c r="U4969" t="s">
        <v>5631</v>
      </c>
      <c r="V4969" s="2">
        <v>426</v>
      </c>
      <c r="W4969" t="s">
        <v>4655</v>
      </c>
      <c r="X4969" s="2">
        <v>0</v>
      </c>
      <c r="Y4969">
        <v>20</v>
      </c>
      <c r="Z4969" t="s">
        <v>4561</v>
      </c>
      <c r="AA4969" s="3">
        <v>0.16207529604435</v>
      </c>
      <c r="AB4969" t="s">
        <v>25593</v>
      </c>
      <c r="AC4969" t="s">
        <v>4575</v>
      </c>
      <c r="AD4969" t="s">
        <v>25592</v>
      </c>
      <c r="AE4969" t="s">
        <v>4655</v>
      </c>
      <c r="AF4969" t="s">
        <v>4563</v>
      </c>
      <c r="AG4969" t="s">
        <v>4564</v>
      </c>
      <c r="AH4969" t="s">
        <v>5197</v>
      </c>
      <c r="AI4969" t="s">
        <v>3881</v>
      </c>
      <c r="AJ4969" t="s">
        <v>5583</v>
      </c>
      <c r="AK4969" t="s">
        <v>25594</v>
      </c>
      <c r="AL4969" s="13" t="s">
        <v>2255</v>
      </c>
      <c r="AM4969" s="14">
        <v>1</v>
      </c>
      <c r="AN4969" s="15" t="s">
        <v>3879</v>
      </c>
    </row>
    <row r="4970" spans="1:40" x14ac:dyDescent="0.3">
      <c r="A4970" s="10" t="str">
        <f>HYPERLINK("http://www.washoecounty.gov/assessor/cama/?parid=143-161-08&amp;CardNumber=1","143-161-08")</f>
        <v>143-161-08</v>
      </c>
      <c r="B4970" t="s">
        <v>4655</v>
      </c>
      <c r="C4970" t="s">
        <v>25595</v>
      </c>
      <c r="D4970" s="1">
        <v>40487</v>
      </c>
      <c r="E4970" s="2">
        <v>195612</v>
      </c>
      <c r="F4970" t="s">
        <v>4567</v>
      </c>
      <c r="G4970" s="17" t="str">
        <f>HYPERLINK("https://www.washoecounty.gov/assessor/cama/?command=sales&amp;parid=14316108","3940522")</f>
        <v>3940522</v>
      </c>
      <c r="H4970" t="s">
        <v>5582</v>
      </c>
      <c r="I4970">
        <v>2010</v>
      </c>
      <c r="J4970">
        <v>2010</v>
      </c>
      <c r="K4970" t="s">
        <v>4554</v>
      </c>
      <c r="L4970" t="s">
        <v>4555</v>
      </c>
      <c r="M4970" s="2">
        <v>1455</v>
      </c>
      <c r="N4970" t="s">
        <v>3147</v>
      </c>
      <c r="O4970">
        <v>3</v>
      </c>
      <c r="P4970">
        <v>2</v>
      </c>
      <c r="Q4970">
        <v>0</v>
      </c>
      <c r="R4970" t="s">
        <v>5281</v>
      </c>
      <c r="S4970" t="s">
        <v>4898</v>
      </c>
      <c r="T4970" t="s">
        <v>2704</v>
      </c>
      <c r="U4970" t="s">
        <v>4560</v>
      </c>
      <c r="V4970" s="2">
        <v>420</v>
      </c>
      <c r="W4970" t="s">
        <v>4655</v>
      </c>
      <c r="X4970" s="2">
        <v>0</v>
      </c>
      <c r="Y4970">
        <v>20</v>
      </c>
      <c r="Z4970" t="s">
        <v>4561</v>
      </c>
      <c r="AA4970" s="3">
        <v>0.16834251582622528</v>
      </c>
      <c r="AB4970" t="s">
        <v>25596</v>
      </c>
      <c r="AC4970" t="s">
        <v>4562</v>
      </c>
      <c r="AD4970" t="s">
        <v>25595</v>
      </c>
      <c r="AE4970" t="s">
        <v>4655</v>
      </c>
      <c r="AF4970" t="s">
        <v>4563</v>
      </c>
      <c r="AG4970" t="s">
        <v>4564</v>
      </c>
      <c r="AH4970" t="s">
        <v>5197</v>
      </c>
      <c r="AI4970" t="s">
        <v>3881</v>
      </c>
      <c r="AJ4970" t="s">
        <v>5583</v>
      </c>
      <c r="AK4970" t="s">
        <v>25597</v>
      </c>
      <c r="AL4970" s="13" t="s">
        <v>2255</v>
      </c>
      <c r="AM4970">
        <v>1</v>
      </c>
      <c r="AN4970" s="15" t="s">
        <v>3879</v>
      </c>
    </row>
    <row r="4971" spans="1:40" x14ac:dyDescent="0.3">
      <c r="A4971" s="10" t="str">
        <f>HYPERLINK("http://www.washoecounty.gov/assessor/cama/?parid=143-163-01&amp;CardNumber=1","143-163-01")</f>
        <v>143-163-01</v>
      </c>
      <c r="B4971" t="s">
        <v>4655</v>
      </c>
      <c r="C4971" t="s">
        <v>25598</v>
      </c>
      <c r="D4971" s="1">
        <v>40491</v>
      </c>
      <c r="E4971" s="2">
        <v>232009</v>
      </c>
      <c r="F4971" t="s">
        <v>4567</v>
      </c>
      <c r="G4971" s="17" t="str">
        <f>HYPERLINK("https://www.washoecounty.gov/assessor/cama/?command=sales&amp;parid=14316301","3941332")</f>
        <v>3941332</v>
      </c>
      <c r="H4971" t="s">
        <v>5582</v>
      </c>
      <c r="I4971">
        <v>2010</v>
      </c>
      <c r="J4971">
        <v>2010</v>
      </c>
      <c r="K4971" t="s">
        <v>4554</v>
      </c>
      <c r="L4971" t="s">
        <v>3974</v>
      </c>
      <c r="M4971" s="2">
        <v>2300</v>
      </c>
      <c r="N4971" t="s">
        <v>3147</v>
      </c>
      <c r="O4971">
        <v>4</v>
      </c>
      <c r="P4971">
        <v>2</v>
      </c>
      <c r="Q4971">
        <v>1</v>
      </c>
      <c r="R4971" t="s">
        <v>5281</v>
      </c>
      <c r="S4971" t="s">
        <v>4898</v>
      </c>
      <c r="T4971" t="s">
        <v>2704</v>
      </c>
      <c r="U4971" t="s">
        <v>5631</v>
      </c>
      <c r="V4971" s="2">
        <v>426</v>
      </c>
      <c r="W4971" t="s">
        <v>4655</v>
      </c>
      <c r="X4971" s="2">
        <v>0</v>
      </c>
      <c r="Y4971">
        <v>20</v>
      </c>
      <c r="Z4971" t="s">
        <v>4561</v>
      </c>
      <c r="AA4971" s="3">
        <v>0.1886133998632431</v>
      </c>
      <c r="AB4971" t="s">
        <v>25599</v>
      </c>
      <c r="AC4971" t="s">
        <v>4562</v>
      </c>
      <c r="AD4971" t="s">
        <v>25598</v>
      </c>
      <c r="AE4971" t="s">
        <v>4655</v>
      </c>
      <c r="AF4971" t="s">
        <v>4563</v>
      </c>
      <c r="AG4971" t="s">
        <v>4564</v>
      </c>
      <c r="AH4971" t="s">
        <v>5197</v>
      </c>
      <c r="AI4971" t="s">
        <v>3881</v>
      </c>
      <c r="AJ4971" t="s">
        <v>5583</v>
      </c>
      <c r="AK4971" t="s">
        <v>25600</v>
      </c>
      <c r="AL4971" s="13" t="s">
        <v>2255</v>
      </c>
      <c r="AM4971">
        <v>1</v>
      </c>
      <c r="AN4971" s="15" t="s">
        <v>3879</v>
      </c>
    </row>
    <row r="4972" spans="1:40" x14ac:dyDescent="0.3">
      <c r="A4972" s="10" t="str">
        <f>HYPERLINK("http://www.washoecounty.gov/assessor/cama/?parid=144-033-04&amp;CardNumber=1","144-033-04")</f>
        <v>144-033-04</v>
      </c>
      <c r="B4972" t="s">
        <v>4655</v>
      </c>
      <c r="C4972" t="s">
        <v>25601</v>
      </c>
      <c r="D4972" s="1">
        <v>40242</v>
      </c>
      <c r="E4972" s="2">
        <v>330000</v>
      </c>
      <c r="F4972" t="s">
        <v>4567</v>
      </c>
      <c r="G4972" s="17" t="str">
        <f>HYPERLINK("https://www.washoecounty.gov/assessor/cama/?command=sales&amp;parid=14403304","3856480")</f>
        <v>3856480</v>
      </c>
      <c r="H4972" t="s">
        <v>83</v>
      </c>
      <c r="I4972">
        <v>1997</v>
      </c>
      <c r="J4972">
        <v>1997</v>
      </c>
      <c r="K4972" t="s">
        <v>4554</v>
      </c>
      <c r="L4972" t="s">
        <v>3974</v>
      </c>
      <c r="M4972" s="2">
        <v>2807</v>
      </c>
      <c r="N4972" t="s">
        <v>5280</v>
      </c>
      <c r="O4972">
        <v>3</v>
      </c>
      <c r="P4972">
        <v>2</v>
      </c>
      <c r="Q4972">
        <v>1</v>
      </c>
      <c r="R4972" t="s">
        <v>5281</v>
      </c>
      <c r="S4972" t="s">
        <v>4558</v>
      </c>
      <c r="T4972" t="s">
        <v>2704</v>
      </c>
      <c r="U4972" t="s">
        <v>5631</v>
      </c>
      <c r="V4972" s="2">
        <v>644</v>
      </c>
      <c r="W4972" t="s">
        <v>4655</v>
      </c>
      <c r="X4972" s="2">
        <v>0</v>
      </c>
      <c r="Y4972">
        <v>20</v>
      </c>
      <c r="Z4972" t="s">
        <v>5508</v>
      </c>
      <c r="AA4972" s="3">
        <v>0.32899448275566101</v>
      </c>
      <c r="AB4972" t="s">
        <v>25602</v>
      </c>
      <c r="AC4972" t="s">
        <v>4562</v>
      </c>
      <c r="AD4972" t="s">
        <v>25601</v>
      </c>
      <c r="AE4972" t="s">
        <v>4655</v>
      </c>
      <c r="AF4972" t="s">
        <v>4563</v>
      </c>
      <c r="AG4972" t="s">
        <v>4564</v>
      </c>
      <c r="AH4972">
        <v>89511</v>
      </c>
      <c r="AI4972" t="s">
        <v>84</v>
      </c>
      <c r="AJ4972" t="s">
        <v>85</v>
      </c>
      <c r="AK4972" t="s">
        <v>25603</v>
      </c>
      <c r="AL4972" s="13" t="s">
        <v>1894</v>
      </c>
      <c r="AM4972" s="14">
        <v>1</v>
      </c>
      <c r="AN4972" s="15" t="s">
        <v>1524</v>
      </c>
    </row>
    <row r="4973" spans="1:40" x14ac:dyDescent="0.3">
      <c r="A4973" s="10" t="str">
        <f>HYPERLINK("http://www.washoecounty.gov/assessor/cama/?parid=144-043-03&amp;CardNumber=1","144-043-03")</f>
        <v>144-043-03</v>
      </c>
      <c r="B4973" t="s">
        <v>4655</v>
      </c>
      <c r="C4973" t="s">
        <v>25604</v>
      </c>
      <c r="D4973" s="1">
        <v>40455</v>
      </c>
      <c r="E4973" s="2">
        <v>287500</v>
      </c>
      <c r="F4973" t="s">
        <v>4567</v>
      </c>
      <c r="G4973" s="17" t="str">
        <f>HYPERLINK("https://www.washoecounty.gov/assessor/cama/?command=sales&amp;parid=14404303","3929386")</f>
        <v>3929386</v>
      </c>
      <c r="H4973" t="s">
        <v>83</v>
      </c>
      <c r="I4973">
        <v>1997</v>
      </c>
      <c r="J4973">
        <v>1997</v>
      </c>
      <c r="K4973" t="s">
        <v>4554</v>
      </c>
      <c r="L4973" t="s">
        <v>4555</v>
      </c>
      <c r="M4973" s="2">
        <v>2020</v>
      </c>
      <c r="N4973" t="s">
        <v>5280</v>
      </c>
      <c r="O4973">
        <v>3</v>
      </c>
      <c r="P4973">
        <v>2</v>
      </c>
      <c r="Q4973">
        <v>0</v>
      </c>
      <c r="R4973" t="s">
        <v>4557</v>
      </c>
      <c r="S4973" t="s">
        <v>4558</v>
      </c>
      <c r="T4973" t="s">
        <v>2704</v>
      </c>
      <c r="U4973" t="s">
        <v>4560</v>
      </c>
      <c r="V4973" s="2">
        <v>616</v>
      </c>
      <c r="W4973" t="s">
        <v>4655</v>
      </c>
      <c r="X4973" s="2">
        <v>0</v>
      </c>
      <c r="Y4973">
        <v>20</v>
      </c>
      <c r="Z4973" t="s">
        <v>5508</v>
      </c>
      <c r="AA4973" s="3">
        <v>0.31000918149948098</v>
      </c>
      <c r="AB4973" t="s">
        <v>25605</v>
      </c>
      <c r="AC4973" t="s">
        <v>4562</v>
      </c>
      <c r="AD4973" t="s">
        <v>25606</v>
      </c>
      <c r="AE4973" t="s">
        <v>4655</v>
      </c>
      <c r="AF4973" t="s">
        <v>1498</v>
      </c>
      <c r="AG4973" t="s">
        <v>4564</v>
      </c>
      <c r="AH4973">
        <v>89511</v>
      </c>
      <c r="AI4973" t="s">
        <v>25607</v>
      </c>
      <c r="AJ4973" t="s">
        <v>85</v>
      </c>
      <c r="AK4973" t="s">
        <v>25608</v>
      </c>
      <c r="AL4973" s="13" t="s">
        <v>1894</v>
      </c>
      <c r="AM4973">
        <v>1</v>
      </c>
      <c r="AN4973" s="15" t="s">
        <v>1524</v>
      </c>
    </row>
    <row r="4974" spans="1:40" x14ac:dyDescent="0.3">
      <c r="A4974" s="10" t="str">
        <f>HYPERLINK("http://www.washoecounty.gov/assessor/cama/?parid=144-101-05&amp;CardNumber=1","144-101-05")</f>
        <v>144-101-05</v>
      </c>
      <c r="B4974" t="s">
        <v>4655</v>
      </c>
      <c r="C4974" t="s">
        <v>25609</v>
      </c>
      <c r="D4974" s="1">
        <v>40225</v>
      </c>
      <c r="E4974" s="2">
        <v>365000</v>
      </c>
      <c r="F4974" t="s">
        <v>4567</v>
      </c>
      <c r="G4974" s="17" t="str">
        <f>HYPERLINK("https://www.washoecounty.gov/assessor/cama/?command=sales&amp;parid=14410105","3849676")</f>
        <v>3849676</v>
      </c>
      <c r="H4974" t="s">
        <v>4384</v>
      </c>
      <c r="I4974">
        <v>1998</v>
      </c>
      <c r="J4974">
        <v>1998</v>
      </c>
      <c r="K4974" t="s">
        <v>4554</v>
      </c>
      <c r="L4974" t="s">
        <v>3974</v>
      </c>
      <c r="M4974" s="2">
        <v>2583</v>
      </c>
      <c r="N4974" t="s">
        <v>5280</v>
      </c>
      <c r="O4974">
        <v>3</v>
      </c>
      <c r="P4974">
        <v>2</v>
      </c>
      <c r="Q4974">
        <v>1</v>
      </c>
      <c r="R4974" t="s">
        <v>5281</v>
      </c>
      <c r="S4974" t="s">
        <v>4558</v>
      </c>
      <c r="T4974" t="s">
        <v>2704</v>
      </c>
      <c r="U4974" t="s">
        <v>5631</v>
      </c>
      <c r="V4974" s="2">
        <v>970</v>
      </c>
      <c r="W4974" t="s">
        <v>4655</v>
      </c>
      <c r="X4974" s="2">
        <v>0</v>
      </c>
      <c r="Y4974">
        <v>20</v>
      </c>
      <c r="Z4974" t="s">
        <v>5508</v>
      </c>
      <c r="AA4974" s="3">
        <v>0.3219926655292511</v>
      </c>
      <c r="AB4974" t="s">
        <v>25610</v>
      </c>
      <c r="AC4974" t="s">
        <v>4562</v>
      </c>
      <c r="AD4974" t="s">
        <v>25611</v>
      </c>
      <c r="AE4974" t="s">
        <v>4655</v>
      </c>
      <c r="AF4974" t="s">
        <v>25612</v>
      </c>
      <c r="AG4974" t="s">
        <v>22861</v>
      </c>
      <c r="AH4974" t="s">
        <v>25613</v>
      </c>
      <c r="AI4974" t="s">
        <v>25614</v>
      </c>
      <c r="AJ4974" t="s">
        <v>4811</v>
      </c>
      <c r="AK4974" t="s">
        <v>25615</v>
      </c>
      <c r="AL4974" s="13" t="s">
        <v>1894</v>
      </c>
      <c r="AM4974">
        <v>1</v>
      </c>
      <c r="AN4974" s="15" t="s">
        <v>1524</v>
      </c>
    </row>
    <row r="4975" spans="1:40" x14ac:dyDescent="0.3">
      <c r="A4975" s="10" t="str">
        <f>HYPERLINK("http://www.washoecounty.gov/assessor/cama/?parid=144-143-03&amp;CardNumber=1","144-143-03")</f>
        <v>144-143-03</v>
      </c>
      <c r="B4975" t="s">
        <v>4655</v>
      </c>
      <c r="C4975" t="s">
        <v>25616</v>
      </c>
      <c r="D4975" s="1">
        <v>40375</v>
      </c>
      <c r="E4975" s="2">
        <v>362500</v>
      </c>
      <c r="F4975" t="s">
        <v>4567</v>
      </c>
      <c r="G4975" s="17" t="str">
        <f>HYPERLINK("https://www.washoecounty.gov/assessor/cama/?command=sales&amp;parid=14414303","3901996")</f>
        <v>3901996</v>
      </c>
      <c r="H4975" t="s">
        <v>25617</v>
      </c>
      <c r="I4975">
        <v>1999</v>
      </c>
      <c r="J4975">
        <v>1999</v>
      </c>
      <c r="K4975" t="s">
        <v>4554</v>
      </c>
      <c r="L4975" t="s">
        <v>3974</v>
      </c>
      <c r="M4975" s="2">
        <v>2609</v>
      </c>
      <c r="N4975" t="s">
        <v>5280</v>
      </c>
      <c r="O4975">
        <v>3</v>
      </c>
      <c r="P4975">
        <v>2</v>
      </c>
      <c r="Q4975">
        <v>1</v>
      </c>
      <c r="R4975" t="s">
        <v>5281</v>
      </c>
      <c r="S4975" t="s">
        <v>4558</v>
      </c>
      <c r="T4975" t="s">
        <v>2704</v>
      </c>
      <c r="U4975" t="s">
        <v>5631</v>
      </c>
      <c r="V4975" s="2">
        <v>605</v>
      </c>
      <c r="W4975" t="s">
        <v>4655</v>
      </c>
      <c r="X4975" s="2">
        <v>0</v>
      </c>
      <c r="Y4975">
        <v>20</v>
      </c>
      <c r="Z4975" t="s">
        <v>4051</v>
      </c>
      <c r="AA4975" s="3">
        <v>0.35399448871612499</v>
      </c>
      <c r="AB4975" t="s">
        <v>25618</v>
      </c>
      <c r="AC4975" t="s">
        <v>4562</v>
      </c>
      <c r="AD4975" t="s">
        <v>25616</v>
      </c>
      <c r="AE4975" t="s">
        <v>4655</v>
      </c>
      <c r="AF4975" t="s">
        <v>4563</v>
      </c>
      <c r="AG4975" t="s">
        <v>4564</v>
      </c>
      <c r="AH4975">
        <v>89511</v>
      </c>
      <c r="AI4975" t="s">
        <v>25619</v>
      </c>
      <c r="AJ4975" t="s">
        <v>25620</v>
      </c>
      <c r="AK4975" t="s">
        <v>25621</v>
      </c>
      <c r="AL4975" s="13" t="s">
        <v>1894</v>
      </c>
      <c r="AM4975" s="14">
        <v>1</v>
      </c>
      <c r="AN4975" s="15" t="s">
        <v>1524</v>
      </c>
    </row>
    <row r="4976" spans="1:40" x14ac:dyDescent="0.3">
      <c r="A4976" s="10" t="str">
        <f>HYPERLINK("http://www.washoecounty.gov/assessor/cama/?parid=144-161-04&amp;CardNumber=1","144-161-04")</f>
        <v>144-161-04</v>
      </c>
      <c r="B4976" t="s">
        <v>4655</v>
      </c>
      <c r="C4976" t="s">
        <v>25622</v>
      </c>
      <c r="D4976" s="1">
        <v>40514</v>
      </c>
      <c r="E4976" s="2">
        <v>275000</v>
      </c>
      <c r="F4976" t="s">
        <v>4567</v>
      </c>
      <c r="G4976" s="17" t="str">
        <f>HYPERLINK("https://www.washoecounty.gov/assessor/cama/?command=sales&amp;parid=14416104","3948884")</f>
        <v>3948884</v>
      </c>
      <c r="H4976" t="s">
        <v>4850</v>
      </c>
      <c r="I4976">
        <v>1999</v>
      </c>
      <c r="J4976">
        <v>1999</v>
      </c>
      <c r="K4976" t="s">
        <v>4554</v>
      </c>
      <c r="L4976" t="s">
        <v>4555</v>
      </c>
      <c r="M4976" s="2">
        <v>2020</v>
      </c>
      <c r="N4976" t="s">
        <v>5280</v>
      </c>
      <c r="O4976">
        <v>4</v>
      </c>
      <c r="P4976">
        <v>2</v>
      </c>
      <c r="Q4976">
        <v>0</v>
      </c>
      <c r="R4976" t="s">
        <v>5281</v>
      </c>
      <c r="S4976" t="s">
        <v>4558</v>
      </c>
      <c r="T4976" t="s">
        <v>2704</v>
      </c>
      <c r="U4976" t="s">
        <v>4560</v>
      </c>
      <c r="V4976" s="2">
        <v>616</v>
      </c>
      <c r="W4976" t="s">
        <v>4655</v>
      </c>
      <c r="X4976" s="2">
        <v>0</v>
      </c>
      <c r="Y4976">
        <v>20</v>
      </c>
      <c r="Z4976" t="s">
        <v>4051</v>
      </c>
      <c r="AA4976" s="3">
        <v>0.28700643777847301</v>
      </c>
      <c r="AB4976" t="s">
        <v>25623</v>
      </c>
      <c r="AC4976" t="s">
        <v>4562</v>
      </c>
      <c r="AD4976" t="s">
        <v>25622</v>
      </c>
      <c r="AE4976" t="s">
        <v>4655</v>
      </c>
      <c r="AF4976" t="s">
        <v>4563</v>
      </c>
      <c r="AG4976" t="s">
        <v>4564</v>
      </c>
      <c r="AH4976">
        <v>89511</v>
      </c>
      <c r="AI4976" t="s">
        <v>25624</v>
      </c>
      <c r="AJ4976" t="s">
        <v>4732</v>
      </c>
      <c r="AK4976" t="s">
        <v>25625</v>
      </c>
      <c r="AL4976" s="13" t="s">
        <v>1894</v>
      </c>
      <c r="AM4976">
        <v>1</v>
      </c>
      <c r="AN4976" s="15" t="s">
        <v>1524</v>
      </c>
    </row>
    <row r="4977" spans="1:40" x14ac:dyDescent="0.3">
      <c r="A4977" s="10" t="str">
        <f>HYPERLINK("http://www.washoecounty.gov/assessor/cama/?parid=144-162-03&amp;CardNumber=1","144-162-03")</f>
        <v>144-162-03</v>
      </c>
      <c r="B4977" t="s">
        <v>4655</v>
      </c>
      <c r="C4977" t="s">
        <v>25626</v>
      </c>
      <c r="D4977" s="1">
        <v>40252</v>
      </c>
      <c r="E4977" s="2">
        <v>264000</v>
      </c>
      <c r="F4977" t="s">
        <v>4567</v>
      </c>
      <c r="G4977" s="17" t="str">
        <f>HYPERLINK("https://www.washoecounty.gov/assessor/cama/?command=sales&amp;parid=14416203","3860046")</f>
        <v>3860046</v>
      </c>
      <c r="H4977" t="s">
        <v>4850</v>
      </c>
      <c r="I4977">
        <v>1999</v>
      </c>
      <c r="J4977">
        <v>1999</v>
      </c>
      <c r="K4977" t="s">
        <v>4554</v>
      </c>
      <c r="L4977" t="s">
        <v>4555</v>
      </c>
      <c r="M4977" s="2">
        <v>2020</v>
      </c>
      <c r="N4977" t="s">
        <v>5280</v>
      </c>
      <c r="O4977">
        <v>4</v>
      </c>
      <c r="P4977">
        <v>2</v>
      </c>
      <c r="Q4977">
        <v>0</v>
      </c>
      <c r="R4977" t="s">
        <v>5281</v>
      </c>
      <c r="S4977" t="s">
        <v>4558</v>
      </c>
      <c r="T4977" t="s">
        <v>2704</v>
      </c>
      <c r="U4977" t="s">
        <v>4560</v>
      </c>
      <c r="V4977" s="2">
        <v>616</v>
      </c>
      <c r="W4977" t="s">
        <v>4655</v>
      </c>
      <c r="X4977" s="2">
        <v>0</v>
      </c>
      <c r="Y4977">
        <v>20</v>
      </c>
      <c r="Z4977" t="s">
        <v>4051</v>
      </c>
      <c r="AA4977" s="3">
        <v>0.28298899531364441</v>
      </c>
      <c r="AB4977" t="s">
        <v>4099</v>
      </c>
      <c r="AC4977" t="s">
        <v>4575</v>
      </c>
      <c r="AD4977" t="s">
        <v>4731</v>
      </c>
      <c r="AE4977" t="s">
        <v>4655</v>
      </c>
      <c r="AF4977" t="s">
        <v>4563</v>
      </c>
      <c r="AG4977" t="s">
        <v>4564</v>
      </c>
      <c r="AH4977">
        <v>89511</v>
      </c>
      <c r="AI4977" t="s">
        <v>25627</v>
      </c>
      <c r="AJ4977" t="s">
        <v>4732</v>
      </c>
      <c r="AK4977" t="s">
        <v>25628</v>
      </c>
      <c r="AL4977" s="13" t="s">
        <v>1894</v>
      </c>
      <c r="AM4977">
        <v>1</v>
      </c>
      <c r="AN4977" s="15" t="s">
        <v>1524</v>
      </c>
    </row>
    <row r="4978" spans="1:40" x14ac:dyDescent="0.3">
      <c r="A4978" s="10" t="str">
        <f>HYPERLINK("http://www.washoecounty.gov/assessor/cama/?parid=144-172-01&amp;CardNumber=1","144-172-01")</f>
        <v>144-172-01</v>
      </c>
      <c r="B4978" t="s">
        <v>4655</v>
      </c>
      <c r="C4978" t="s">
        <v>25629</v>
      </c>
      <c r="D4978" s="1">
        <v>40450</v>
      </c>
      <c r="E4978" s="2">
        <v>345000</v>
      </c>
      <c r="F4978" t="s">
        <v>4553</v>
      </c>
      <c r="G4978" s="17" t="str">
        <f>HYPERLINK("https://www.washoecounty.gov/assessor/cama/?command=sales&amp;parid=14417201","3927684")</f>
        <v>3927684</v>
      </c>
      <c r="H4978" t="s">
        <v>4850</v>
      </c>
      <c r="I4978">
        <v>1999</v>
      </c>
      <c r="J4978">
        <v>1999</v>
      </c>
      <c r="K4978" t="s">
        <v>4554</v>
      </c>
      <c r="L4978" t="s">
        <v>3974</v>
      </c>
      <c r="M4978" s="2">
        <v>2966</v>
      </c>
      <c r="N4978" t="s">
        <v>5280</v>
      </c>
      <c r="O4978">
        <v>4</v>
      </c>
      <c r="P4978">
        <v>3</v>
      </c>
      <c r="Q4978">
        <v>0</v>
      </c>
      <c r="R4978" t="s">
        <v>5281</v>
      </c>
      <c r="S4978" t="s">
        <v>4558</v>
      </c>
      <c r="T4978" t="s">
        <v>2704</v>
      </c>
      <c r="U4978" t="s">
        <v>162</v>
      </c>
      <c r="V4978" s="2">
        <v>1151</v>
      </c>
      <c r="W4978" t="s">
        <v>4655</v>
      </c>
      <c r="X4978" s="2">
        <v>0</v>
      </c>
      <c r="Y4978">
        <v>20</v>
      </c>
      <c r="Z4978" t="s">
        <v>4051</v>
      </c>
      <c r="AA4978" s="3">
        <v>0.33000460267067</v>
      </c>
      <c r="AB4978" t="s">
        <v>25630</v>
      </c>
      <c r="AC4978" t="s">
        <v>4575</v>
      </c>
      <c r="AD4978" t="s">
        <v>25629</v>
      </c>
      <c r="AE4978" t="s">
        <v>4655</v>
      </c>
      <c r="AF4978" t="s">
        <v>25631</v>
      </c>
      <c r="AG4978" t="s">
        <v>4564</v>
      </c>
      <c r="AH4978">
        <v>89511</v>
      </c>
      <c r="AI4978" t="s">
        <v>15035</v>
      </c>
      <c r="AJ4978" t="s">
        <v>4732</v>
      </c>
      <c r="AK4978" t="s">
        <v>25632</v>
      </c>
      <c r="AL4978" s="13" t="s">
        <v>1894</v>
      </c>
      <c r="AM4978" s="14">
        <v>1</v>
      </c>
      <c r="AN4978" s="15" t="s">
        <v>1524</v>
      </c>
    </row>
    <row r="4979" spans="1:40" x14ac:dyDescent="0.3">
      <c r="A4979" s="10" t="str">
        <f>HYPERLINK("http://www.washoecounty.gov/assessor/cama/?parid=144-191-11&amp;CardNumber=1","144-191-11")</f>
        <v>144-191-11</v>
      </c>
      <c r="B4979" t="s">
        <v>4655</v>
      </c>
      <c r="C4979" t="s">
        <v>25633</v>
      </c>
      <c r="D4979" s="1">
        <v>40451</v>
      </c>
      <c r="E4979" s="2">
        <v>325000</v>
      </c>
      <c r="F4979" t="s">
        <v>4567</v>
      </c>
      <c r="G4979" s="17" t="str">
        <f>HYPERLINK("https://www.washoecounty.gov/assessor/cama/?command=sales&amp;parid=14419111","3928176")</f>
        <v>3928176</v>
      </c>
      <c r="H4979" t="s">
        <v>5584</v>
      </c>
      <c r="I4979">
        <v>1999</v>
      </c>
      <c r="J4979">
        <v>1999</v>
      </c>
      <c r="K4979" t="s">
        <v>4554</v>
      </c>
      <c r="L4979" t="s">
        <v>3974</v>
      </c>
      <c r="M4979" s="2">
        <v>2583</v>
      </c>
      <c r="N4979" t="s">
        <v>5280</v>
      </c>
      <c r="O4979">
        <v>4</v>
      </c>
      <c r="P4979">
        <v>2</v>
      </c>
      <c r="Q4979">
        <v>1</v>
      </c>
      <c r="R4979" t="s">
        <v>5281</v>
      </c>
      <c r="S4979" t="s">
        <v>4558</v>
      </c>
      <c r="T4979" t="s">
        <v>2704</v>
      </c>
      <c r="U4979" t="s">
        <v>5631</v>
      </c>
      <c r="V4979" s="2">
        <v>682</v>
      </c>
      <c r="W4979" t="s">
        <v>4655</v>
      </c>
      <c r="X4979" s="2">
        <v>0</v>
      </c>
      <c r="Y4979">
        <v>20</v>
      </c>
      <c r="Z4979" t="s">
        <v>5508</v>
      </c>
      <c r="AA4979" s="3">
        <v>0.27601009607315102</v>
      </c>
      <c r="AB4979" t="s">
        <v>5585</v>
      </c>
      <c r="AC4979" t="s">
        <v>4575</v>
      </c>
      <c r="AD4979" t="s">
        <v>5586</v>
      </c>
      <c r="AE4979" t="s">
        <v>4655</v>
      </c>
      <c r="AF4979" t="s">
        <v>5206</v>
      </c>
      <c r="AG4979" t="s">
        <v>4564</v>
      </c>
      <c r="AH4979" t="s">
        <v>5207</v>
      </c>
      <c r="AI4979" t="s">
        <v>25634</v>
      </c>
      <c r="AJ4979" t="s">
        <v>25635</v>
      </c>
      <c r="AK4979" t="s">
        <v>25636</v>
      </c>
      <c r="AL4979" s="13" t="s">
        <v>1894</v>
      </c>
      <c r="AM4979">
        <v>1</v>
      </c>
      <c r="AN4979" s="15" t="s">
        <v>1524</v>
      </c>
    </row>
    <row r="4980" spans="1:40" x14ac:dyDescent="0.3">
      <c r="A4980" s="10" t="str">
        <f>HYPERLINK("http://www.washoecounty.gov/assessor/cama/?parid=144-201-05&amp;CardNumber=1","144-201-05")</f>
        <v>144-201-05</v>
      </c>
      <c r="B4980" t="s">
        <v>4655</v>
      </c>
      <c r="C4980" t="s">
        <v>25637</v>
      </c>
      <c r="D4980" s="1">
        <v>40448</v>
      </c>
      <c r="E4980" s="2">
        <v>335000</v>
      </c>
      <c r="F4980" t="s">
        <v>4567</v>
      </c>
      <c r="G4980" s="17" t="str">
        <f>HYPERLINK("https://www.washoecounty.gov/assessor/cama/?command=sales&amp;parid=14420105","3926469")</f>
        <v>3926469</v>
      </c>
      <c r="H4980" t="s">
        <v>25638</v>
      </c>
      <c r="I4980">
        <v>2000</v>
      </c>
      <c r="J4980">
        <v>2000</v>
      </c>
      <c r="K4980" t="s">
        <v>4554</v>
      </c>
      <c r="L4980" t="s">
        <v>4555</v>
      </c>
      <c r="M4980" s="2">
        <v>2020</v>
      </c>
      <c r="N4980" t="s">
        <v>5280</v>
      </c>
      <c r="O4980">
        <v>4</v>
      </c>
      <c r="P4980">
        <v>2</v>
      </c>
      <c r="Q4980">
        <v>0</v>
      </c>
      <c r="R4980" t="s">
        <v>4557</v>
      </c>
      <c r="S4980" t="s">
        <v>4558</v>
      </c>
      <c r="T4980" t="s">
        <v>2704</v>
      </c>
      <c r="U4980" t="s">
        <v>4560</v>
      </c>
      <c r="V4980" s="2">
        <v>616</v>
      </c>
      <c r="W4980" t="s">
        <v>4655</v>
      </c>
      <c r="X4980" s="2">
        <v>0</v>
      </c>
      <c r="Y4980">
        <v>20</v>
      </c>
      <c r="Z4980" t="s">
        <v>5508</v>
      </c>
      <c r="AA4980" s="3">
        <v>0.45399448275566101</v>
      </c>
      <c r="AB4980" t="s">
        <v>22790</v>
      </c>
      <c r="AC4980" t="s">
        <v>4575</v>
      </c>
      <c r="AD4980" t="s">
        <v>25637</v>
      </c>
      <c r="AE4980" t="s">
        <v>4655</v>
      </c>
      <c r="AF4980" t="s">
        <v>4563</v>
      </c>
      <c r="AG4980" t="s">
        <v>4564</v>
      </c>
      <c r="AH4980">
        <v>89511</v>
      </c>
      <c r="AI4980" t="s">
        <v>25639</v>
      </c>
      <c r="AJ4980" t="s">
        <v>25640</v>
      </c>
      <c r="AK4980" t="s">
        <v>25641</v>
      </c>
      <c r="AL4980" s="13" t="s">
        <v>1894</v>
      </c>
      <c r="AM4980" s="14">
        <v>1</v>
      </c>
      <c r="AN4980" s="15" t="s">
        <v>1524</v>
      </c>
    </row>
    <row r="4981" spans="1:40" x14ac:dyDescent="0.3">
      <c r="A4981" s="10" t="str">
        <f>HYPERLINK("http://www.washoecounty.gov/assessor/cama/?parid=144-201-06&amp;CardNumber=1","144-201-06")</f>
        <v>144-201-06</v>
      </c>
      <c r="B4981" t="s">
        <v>4655</v>
      </c>
      <c r="C4981" t="s">
        <v>25642</v>
      </c>
      <c r="D4981" s="1">
        <v>40298</v>
      </c>
      <c r="E4981" s="2">
        <v>325000</v>
      </c>
      <c r="F4981" t="s">
        <v>4567</v>
      </c>
      <c r="G4981" s="17" t="str">
        <f>HYPERLINK("https://www.washoecounty.gov/assessor/cama/?command=sales&amp;parid=14420106","3876796")</f>
        <v>3876796</v>
      </c>
      <c r="H4981" t="s">
        <v>25638</v>
      </c>
      <c r="I4981">
        <v>2000</v>
      </c>
      <c r="J4981">
        <v>2000</v>
      </c>
      <c r="K4981" t="s">
        <v>4554</v>
      </c>
      <c r="L4981" t="s">
        <v>3974</v>
      </c>
      <c r="M4981" s="2">
        <v>3416</v>
      </c>
      <c r="N4981" t="s">
        <v>5280</v>
      </c>
      <c r="O4981">
        <v>3</v>
      </c>
      <c r="P4981">
        <v>3</v>
      </c>
      <c r="Q4981">
        <v>0</v>
      </c>
      <c r="R4981" t="s">
        <v>5281</v>
      </c>
      <c r="S4981" t="s">
        <v>4558</v>
      </c>
      <c r="T4981" t="s">
        <v>2704</v>
      </c>
      <c r="U4981" t="s">
        <v>5631</v>
      </c>
      <c r="V4981" s="2">
        <v>635</v>
      </c>
      <c r="W4981" t="s">
        <v>4655</v>
      </c>
      <c r="X4981" s="2">
        <v>0</v>
      </c>
      <c r="Y4981">
        <v>20</v>
      </c>
      <c r="Z4981" t="s">
        <v>5508</v>
      </c>
      <c r="AA4981" s="3">
        <v>0.55300736427307096</v>
      </c>
      <c r="AB4981" t="s">
        <v>25643</v>
      </c>
      <c r="AC4981" t="s">
        <v>4562</v>
      </c>
      <c r="AD4981" t="s">
        <v>25642</v>
      </c>
      <c r="AE4981" t="s">
        <v>4655</v>
      </c>
      <c r="AF4981" t="s">
        <v>4563</v>
      </c>
      <c r="AG4981" t="s">
        <v>4564</v>
      </c>
      <c r="AH4981">
        <v>89511</v>
      </c>
      <c r="AI4981" t="s">
        <v>25644</v>
      </c>
      <c r="AJ4981" t="s">
        <v>25640</v>
      </c>
      <c r="AK4981" t="s">
        <v>25645</v>
      </c>
      <c r="AL4981" s="13" t="s">
        <v>1894</v>
      </c>
      <c r="AM4981">
        <v>1</v>
      </c>
      <c r="AN4981" s="15" t="s">
        <v>1524</v>
      </c>
    </row>
    <row r="4982" spans="1:40" x14ac:dyDescent="0.3">
      <c r="A4982" s="10" t="str">
        <f>HYPERLINK("http://www.washoecounty.gov/assessor/cama/?parid=144-211-04&amp;CardNumber=1","144-211-04")</f>
        <v>144-211-04</v>
      </c>
      <c r="B4982" t="s">
        <v>4655</v>
      </c>
      <c r="C4982" t="s">
        <v>25646</v>
      </c>
      <c r="D4982" s="1">
        <v>40325</v>
      </c>
      <c r="E4982" s="2">
        <v>355000</v>
      </c>
      <c r="F4982" t="s">
        <v>4553</v>
      </c>
      <c r="G4982" s="17" t="str">
        <f>HYPERLINK("https://www.washoecounty.gov/assessor/cama/?command=sales&amp;parid=14421104","3886188")</f>
        <v>3886188</v>
      </c>
      <c r="H4982" t="s">
        <v>25638</v>
      </c>
      <c r="I4982">
        <v>2000</v>
      </c>
      <c r="J4982">
        <v>2000</v>
      </c>
      <c r="K4982" t="s">
        <v>4554</v>
      </c>
      <c r="L4982" t="s">
        <v>3974</v>
      </c>
      <c r="M4982" s="2">
        <v>2583</v>
      </c>
      <c r="N4982" t="s">
        <v>5280</v>
      </c>
      <c r="O4982">
        <v>4</v>
      </c>
      <c r="P4982">
        <v>2</v>
      </c>
      <c r="Q4982">
        <v>1</v>
      </c>
      <c r="R4982" t="s">
        <v>4557</v>
      </c>
      <c r="S4982" t="s">
        <v>4558</v>
      </c>
      <c r="T4982" t="s">
        <v>2704</v>
      </c>
      <c r="U4982" t="s">
        <v>5631</v>
      </c>
      <c r="V4982" s="2">
        <v>682</v>
      </c>
      <c r="W4982" t="s">
        <v>4655</v>
      </c>
      <c r="X4982" s="2">
        <v>0</v>
      </c>
      <c r="Y4982">
        <v>20</v>
      </c>
      <c r="Z4982" t="s">
        <v>5508</v>
      </c>
      <c r="AA4982" s="3">
        <v>0.31999540328979498</v>
      </c>
      <c r="AB4982" t="s">
        <v>25647</v>
      </c>
      <c r="AC4982" t="s">
        <v>4562</v>
      </c>
      <c r="AD4982" t="s">
        <v>25646</v>
      </c>
      <c r="AE4982" t="s">
        <v>4655</v>
      </c>
      <c r="AF4982" t="s">
        <v>4563</v>
      </c>
      <c r="AG4982" t="s">
        <v>4564</v>
      </c>
      <c r="AH4982">
        <v>89511</v>
      </c>
      <c r="AI4982" t="s">
        <v>4524</v>
      </c>
      <c r="AJ4982" t="s">
        <v>25640</v>
      </c>
      <c r="AK4982" t="s">
        <v>25648</v>
      </c>
      <c r="AL4982" s="13" t="s">
        <v>1894</v>
      </c>
      <c r="AM4982" s="14">
        <v>1</v>
      </c>
      <c r="AN4982" s="15" t="s">
        <v>1524</v>
      </c>
    </row>
    <row r="4983" spans="1:40" x14ac:dyDescent="0.3">
      <c r="A4983" s="10" t="str">
        <f>HYPERLINK("http://www.washoecounty.gov/assessor/cama/?parid=144-221-03&amp;CardNumber=1","144-221-03")</f>
        <v>144-221-03</v>
      </c>
      <c r="B4983" t="s">
        <v>4655</v>
      </c>
      <c r="C4983" t="s">
        <v>25649</v>
      </c>
      <c r="D4983" s="1">
        <v>40326</v>
      </c>
      <c r="E4983" s="2">
        <v>265000</v>
      </c>
      <c r="F4983" t="s">
        <v>4567</v>
      </c>
      <c r="G4983" s="17" t="str">
        <f>HYPERLINK("https://www.washoecounty.gov/assessor/cama/?command=sales&amp;parid=14422103","3886657")</f>
        <v>3886657</v>
      </c>
      <c r="H4983" t="s">
        <v>1522</v>
      </c>
      <c r="I4983">
        <v>2004</v>
      </c>
      <c r="J4983">
        <v>2004</v>
      </c>
      <c r="K4983" t="s">
        <v>4554</v>
      </c>
      <c r="L4983" t="s">
        <v>4555</v>
      </c>
      <c r="M4983" s="2">
        <v>2329</v>
      </c>
      <c r="N4983" t="s">
        <v>3147</v>
      </c>
      <c r="O4983">
        <v>4</v>
      </c>
      <c r="P4983">
        <v>3</v>
      </c>
      <c r="Q4983">
        <v>0</v>
      </c>
      <c r="R4983" t="s">
        <v>5281</v>
      </c>
      <c r="S4983" t="s">
        <v>4898</v>
      </c>
      <c r="T4983" t="s">
        <v>2704</v>
      </c>
      <c r="U4983" t="s">
        <v>4560</v>
      </c>
      <c r="V4983" s="2">
        <v>622</v>
      </c>
      <c r="W4983" t="s">
        <v>4655</v>
      </c>
      <c r="X4983" s="2">
        <v>0</v>
      </c>
      <c r="Y4983">
        <v>20</v>
      </c>
      <c r="Z4983" t="s">
        <v>5508</v>
      </c>
      <c r="AA4983" s="3">
        <v>0.305440783500671</v>
      </c>
      <c r="AB4983" t="s">
        <v>25650</v>
      </c>
      <c r="AC4983" t="s">
        <v>4575</v>
      </c>
      <c r="AD4983" t="s">
        <v>25651</v>
      </c>
      <c r="AE4983" t="s">
        <v>4655</v>
      </c>
      <c r="AF4983" t="s">
        <v>4563</v>
      </c>
      <c r="AG4983" t="s">
        <v>4564</v>
      </c>
      <c r="AH4983">
        <v>89511</v>
      </c>
      <c r="AI4983" t="s">
        <v>25652</v>
      </c>
      <c r="AJ4983" t="s">
        <v>1523</v>
      </c>
      <c r="AK4983" t="s">
        <v>25653</v>
      </c>
      <c r="AL4983" s="13" t="s">
        <v>1895</v>
      </c>
      <c r="AM4983">
        <v>1</v>
      </c>
      <c r="AN4983" s="15" t="s">
        <v>1524</v>
      </c>
    </row>
    <row r="4984" spans="1:40" x14ac:dyDescent="0.3">
      <c r="A4984" s="10" t="str">
        <f>HYPERLINK("http://www.washoecounty.gov/assessor/cama/?parid=144-221-05&amp;CardNumber=1","144-221-05")</f>
        <v>144-221-05</v>
      </c>
      <c r="B4984" t="s">
        <v>4655</v>
      </c>
      <c r="C4984" t="s">
        <v>25654</v>
      </c>
      <c r="D4984" s="1">
        <v>40203</v>
      </c>
      <c r="E4984" s="2">
        <v>295000</v>
      </c>
      <c r="F4984" t="s">
        <v>4553</v>
      </c>
      <c r="G4984" s="17" t="str">
        <f>HYPERLINK("https://www.washoecounty.gov/assessor/cama/?command=sales&amp;parid=14422105","3842486")</f>
        <v>3842486</v>
      </c>
      <c r="H4984" t="s">
        <v>1522</v>
      </c>
      <c r="I4984">
        <v>2004</v>
      </c>
      <c r="J4984">
        <v>2004</v>
      </c>
      <c r="K4984" t="s">
        <v>4554</v>
      </c>
      <c r="L4984" t="s">
        <v>3974</v>
      </c>
      <c r="M4984" s="2">
        <v>2689</v>
      </c>
      <c r="N4984" t="s">
        <v>3147</v>
      </c>
      <c r="O4984">
        <v>4</v>
      </c>
      <c r="P4984">
        <v>2</v>
      </c>
      <c r="Q4984">
        <v>1</v>
      </c>
      <c r="R4984" t="s">
        <v>5281</v>
      </c>
      <c r="S4984" t="s">
        <v>4898</v>
      </c>
      <c r="T4984" t="s">
        <v>2704</v>
      </c>
      <c r="U4984" t="s">
        <v>4560</v>
      </c>
      <c r="V4984" s="2">
        <v>629</v>
      </c>
      <c r="W4984" t="s">
        <v>4655</v>
      </c>
      <c r="X4984" s="2">
        <v>0</v>
      </c>
      <c r="Y4984">
        <v>20</v>
      </c>
      <c r="Z4984" t="s">
        <v>5508</v>
      </c>
      <c r="AA4984" s="3">
        <v>0.32215335965156555</v>
      </c>
      <c r="AB4984" t="s">
        <v>25655</v>
      </c>
      <c r="AC4984" t="s">
        <v>4575</v>
      </c>
      <c r="AD4984" t="s">
        <v>25656</v>
      </c>
      <c r="AE4984" t="s">
        <v>25657</v>
      </c>
      <c r="AF4984" t="s">
        <v>4563</v>
      </c>
      <c r="AG4984" t="s">
        <v>4564</v>
      </c>
      <c r="AH4984">
        <v>89511</v>
      </c>
      <c r="AI4984" t="s">
        <v>25658</v>
      </c>
      <c r="AJ4984" t="s">
        <v>1523</v>
      </c>
      <c r="AK4984" t="s">
        <v>25659</v>
      </c>
      <c r="AL4984" s="13" t="s">
        <v>1895</v>
      </c>
      <c r="AM4984">
        <v>1</v>
      </c>
      <c r="AN4984" s="15" t="s">
        <v>1524</v>
      </c>
    </row>
    <row r="4985" spans="1:40" x14ac:dyDescent="0.3">
      <c r="A4985" s="10" t="str">
        <f>HYPERLINK("http://www.washoecounty.gov/assessor/cama/?parid=144-222-08&amp;CardNumber=1","144-222-08")</f>
        <v>144-222-08</v>
      </c>
      <c r="B4985" t="s">
        <v>4655</v>
      </c>
      <c r="C4985" t="s">
        <v>25660</v>
      </c>
      <c r="D4985" s="1">
        <v>40464</v>
      </c>
      <c r="E4985" s="2">
        <v>291000</v>
      </c>
      <c r="F4985" t="s">
        <v>4553</v>
      </c>
      <c r="G4985" s="17" t="str">
        <f>HYPERLINK("https://www.washoecounty.gov/assessor/cama/?command=sales&amp;parid=14422208","3932615")</f>
        <v>3932615</v>
      </c>
      <c r="H4985" t="s">
        <v>1522</v>
      </c>
      <c r="I4985">
        <v>2004</v>
      </c>
      <c r="J4985">
        <v>2004</v>
      </c>
      <c r="K4985" t="s">
        <v>4554</v>
      </c>
      <c r="L4985" t="s">
        <v>3974</v>
      </c>
      <c r="M4985" s="2">
        <v>2970</v>
      </c>
      <c r="N4985" t="s">
        <v>3147</v>
      </c>
      <c r="O4985">
        <v>5</v>
      </c>
      <c r="P4985">
        <v>3</v>
      </c>
      <c r="Q4985">
        <v>0</v>
      </c>
      <c r="R4985" t="s">
        <v>5281</v>
      </c>
      <c r="S4985" t="s">
        <v>4898</v>
      </c>
      <c r="T4985" t="s">
        <v>2704</v>
      </c>
      <c r="U4985" t="s">
        <v>4560</v>
      </c>
      <c r="V4985" s="2">
        <v>688</v>
      </c>
      <c r="W4985" t="s">
        <v>4655</v>
      </c>
      <c r="X4985" s="2">
        <v>0</v>
      </c>
      <c r="Y4985">
        <v>20</v>
      </c>
      <c r="Z4985" t="s">
        <v>5508</v>
      </c>
      <c r="AA4985" s="3">
        <v>0.27667585015296903</v>
      </c>
      <c r="AB4985" t="s">
        <v>25661</v>
      </c>
      <c r="AC4985" t="s">
        <v>4562</v>
      </c>
      <c r="AD4985" t="s">
        <v>25662</v>
      </c>
      <c r="AE4985" t="s">
        <v>4655</v>
      </c>
      <c r="AF4985" t="s">
        <v>4563</v>
      </c>
      <c r="AG4985" t="s">
        <v>4564</v>
      </c>
      <c r="AH4985">
        <v>89511</v>
      </c>
      <c r="AI4985" t="s">
        <v>1602</v>
      </c>
      <c r="AJ4985" t="s">
        <v>1523</v>
      </c>
      <c r="AK4985" t="s">
        <v>25663</v>
      </c>
      <c r="AL4985" s="13" t="s">
        <v>1895</v>
      </c>
      <c r="AM4985" s="14">
        <v>1</v>
      </c>
      <c r="AN4985" s="15" t="s">
        <v>1524</v>
      </c>
    </row>
    <row r="4986" spans="1:40" x14ac:dyDescent="0.3">
      <c r="A4986" s="10" t="str">
        <f>HYPERLINK("http://www.washoecounty.gov/assessor/cama/?parid=144-222-15&amp;CardNumber=1","144-222-15")</f>
        <v>144-222-15</v>
      </c>
      <c r="B4986" t="s">
        <v>4655</v>
      </c>
      <c r="C4986" t="s">
        <v>25664</v>
      </c>
      <c r="D4986" s="1">
        <v>40386</v>
      </c>
      <c r="E4986" s="2">
        <v>299900</v>
      </c>
      <c r="F4986" t="s">
        <v>4553</v>
      </c>
      <c r="G4986" s="17" t="str">
        <f>HYPERLINK("https://www.washoecounty.gov/assessor/cama/?command=sales&amp;parid=14422215","3905437")</f>
        <v>3905437</v>
      </c>
      <c r="H4986" t="s">
        <v>1522</v>
      </c>
      <c r="I4986">
        <v>2004</v>
      </c>
      <c r="J4986">
        <v>2004</v>
      </c>
      <c r="K4986" t="s">
        <v>4554</v>
      </c>
      <c r="L4986" t="s">
        <v>3974</v>
      </c>
      <c r="M4986" s="2">
        <v>2970</v>
      </c>
      <c r="N4986" t="s">
        <v>3147</v>
      </c>
      <c r="O4986">
        <v>5</v>
      </c>
      <c r="P4986">
        <v>3</v>
      </c>
      <c r="Q4986">
        <v>0</v>
      </c>
      <c r="R4986" t="s">
        <v>5281</v>
      </c>
      <c r="S4986" t="s">
        <v>4898</v>
      </c>
      <c r="T4986" t="s">
        <v>2704</v>
      </c>
      <c r="U4986" t="s">
        <v>4560</v>
      </c>
      <c r="V4986" s="2">
        <v>688</v>
      </c>
      <c r="W4986" t="s">
        <v>4655</v>
      </c>
      <c r="X4986" s="2">
        <v>0</v>
      </c>
      <c r="Y4986">
        <v>20</v>
      </c>
      <c r="Z4986" t="s">
        <v>5508</v>
      </c>
      <c r="AA4986" s="3">
        <v>0.27557390928268399</v>
      </c>
      <c r="AB4986" t="s">
        <v>25665</v>
      </c>
      <c r="AC4986" t="s">
        <v>4562</v>
      </c>
      <c r="AD4986" t="s">
        <v>25664</v>
      </c>
      <c r="AE4986" t="s">
        <v>4655</v>
      </c>
      <c r="AF4986" t="s">
        <v>4563</v>
      </c>
      <c r="AG4986" t="s">
        <v>4564</v>
      </c>
      <c r="AH4986">
        <v>89511</v>
      </c>
      <c r="AI4986" t="s">
        <v>2399</v>
      </c>
      <c r="AJ4986" t="s">
        <v>1523</v>
      </c>
      <c r="AK4986" t="s">
        <v>25666</v>
      </c>
      <c r="AL4986" s="13" t="s">
        <v>1895</v>
      </c>
      <c r="AM4986" s="14">
        <v>1</v>
      </c>
      <c r="AN4986" s="15" t="s">
        <v>1524</v>
      </c>
    </row>
    <row r="4987" spans="1:40" x14ac:dyDescent="0.3">
      <c r="A4987" s="10" t="str">
        <f>HYPERLINK("http://www.washoecounty.gov/assessor/cama/?parid=144-222-17&amp;CardNumber=1","144-222-17")</f>
        <v>144-222-17</v>
      </c>
      <c r="B4987" t="s">
        <v>4655</v>
      </c>
      <c r="C4987" t="s">
        <v>25667</v>
      </c>
      <c r="D4987" s="1">
        <v>40323</v>
      </c>
      <c r="E4987" s="2">
        <v>350000</v>
      </c>
      <c r="F4987" t="s">
        <v>4567</v>
      </c>
      <c r="G4987" s="17" t="str">
        <f>HYPERLINK("https://www.washoecounty.gov/assessor/cama/?command=sales&amp;parid=14422217","3884871")</f>
        <v>3884871</v>
      </c>
      <c r="H4987" t="s">
        <v>1522</v>
      </c>
      <c r="I4987">
        <v>2004</v>
      </c>
      <c r="J4987">
        <v>2004</v>
      </c>
      <c r="K4987" t="s">
        <v>4554</v>
      </c>
      <c r="L4987" t="s">
        <v>3974</v>
      </c>
      <c r="M4987" s="2">
        <v>2970</v>
      </c>
      <c r="N4987" t="s">
        <v>3147</v>
      </c>
      <c r="O4987">
        <v>5</v>
      </c>
      <c r="P4987">
        <v>3</v>
      </c>
      <c r="Q4987">
        <v>0</v>
      </c>
      <c r="R4987" t="s">
        <v>5281</v>
      </c>
      <c r="S4987" t="s">
        <v>4898</v>
      </c>
      <c r="T4987" t="s">
        <v>2704</v>
      </c>
      <c r="U4987" t="s">
        <v>4560</v>
      </c>
      <c r="V4987" s="2">
        <v>688</v>
      </c>
      <c r="W4987" t="s">
        <v>4655</v>
      </c>
      <c r="X4987" s="2">
        <v>0</v>
      </c>
      <c r="Y4987">
        <v>20</v>
      </c>
      <c r="Z4987" t="s">
        <v>5508</v>
      </c>
      <c r="AA4987" s="3">
        <v>0.296579420566559</v>
      </c>
      <c r="AB4987" t="s">
        <v>25668</v>
      </c>
      <c r="AC4987" t="s">
        <v>4562</v>
      </c>
      <c r="AD4987" t="s">
        <v>25667</v>
      </c>
      <c r="AE4987" t="s">
        <v>4655</v>
      </c>
      <c r="AF4987" t="s">
        <v>4563</v>
      </c>
      <c r="AG4987" t="s">
        <v>4564</v>
      </c>
      <c r="AH4987">
        <v>89511</v>
      </c>
      <c r="AI4987" t="s">
        <v>25669</v>
      </c>
      <c r="AJ4987" t="s">
        <v>1523</v>
      </c>
      <c r="AK4987" t="s">
        <v>25670</v>
      </c>
      <c r="AL4987" s="13" t="s">
        <v>1895</v>
      </c>
      <c r="AM4987">
        <v>1</v>
      </c>
      <c r="AN4987" s="15" t="s">
        <v>1524</v>
      </c>
    </row>
    <row r="4988" spans="1:40" x14ac:dyDescent="0.3">
      <c r="A4988" s="10" t="str">
        <f>HYPERLINK("http://www.washoecounty.gov/assessor/cama/?parid=144-231-08&amp;CardNumber=1","144-231-08")</f>
        <v>144-231-08</v>
      </c>
      <c r="B4988" t="s">
        <v>4655</v>
      </c>
      <c r="C4988" t="s">
        <v>5616</v>
      </c>
      <c r="D4988" s="1">
        <v>40486</v>
      </c>
      <c r="E4988" s="2">
        <v>200000</v>
      </c>
      <c r="F4988" t="s">
        <v>4567</v>
      </c>
      <c r="G4988" s="17" t="str">
        <f>HYPERLINK("https://www.washoecounty.gov/assessor/cama/?command=sales&amp;parid=14423108","3940114")</f>
        <v>3940114</v>
      </c>
      <c r="H4988" t="s">
        <v>5617</v>
      </c>
      <c r="I4988">
        <v>2004</v>
      </c>
      <c r="J4988">
        <v>2004</v>
      </c>
      <c r="K4988" t="s">
        <v>4554</v>
      </c>
      <c r="L4988" t="s">
        <v>3974</v>
      </c>
      <c r="M4988" s="2">
        <v>2467</v>
      </c>
      <c r="N4988" t="s">
        <v>3147</v>
      </c>
      <c r="O4988">
        <v>4</v>
      </c>
      <c r="P4988">
        <v>2</v>
      </c>
      <c r="Q4988">
        <v>1</v>
      </c>
      <c r="R4988" t="s">
        <v>4557</v>
      </c>
      <c r="S4988" t="s">
        <v>4898</v>
      </c>
      <c r="T4988" t="s">
        <v>4559</v>
      </c>
      <c r="U4988" t="s">
        <v>4560</v>
      </c>
      <c r="V4988" s="2">
        <v>711</v>
      </c>
      <c r="W4988" t="s">
        <v>4655</v>
      </c>
      <c r="X4988" s="2">
        <v>0</v>
      </c>
      <c r="Y4988">
        <v>20</v>
      </c>
      <c r="Z4988" t="s">
        <v>5508</v>
      </c>
      <c r="AA4988" s="3">
        <v>0.36999541521072399</v>
      </c>
      <c r="AB4988" t="s">
        <v>4202</v>
      </c>
      <c r="AC4988" t="s">
        <v>4562</v>
      </c>
      <c r="AD4988" t="s">
        <v>1318</v>
      </c>
      <c r="AE4988" t="s">
        <v>4655</v>
      </c>
      <c r="AF4988" t="s">
        <v>4563</v>
      </c>
      <c r="AG4988" t="s">
        <v>4564</v>
      </c>
      <c r="AH4988" t="s">
        <v>2330</v>
      </c>
      <c r="AI4988" t="s">
        <v>25671</v>
      </c>
      <c r="AJ4988" t="s">
        <v>5618</v>
      </c>
      <c r="AK4988" t="s">
        <v>5619</v>
      </c>
      <c r="AL4988" s="13" t="s">
        <v>1894</v>
      </c>
      <c r="AM4988">
        <v>1</v>
      </c>
      <c r="AN4988" s="15" t="s">
        <v>1524</v>
      </c>
    </row>
    <row r="4989" spans="1:40" x14ac:dyDescent="0.3">
      <c r="A4989" s="10" t="str">
        <f>HYPERLINK("http://www.washoecounty.gov/assessor/cama/?parid=144-231-13&amp;CardNumber=1","144-231-13")</f>
        <v>144-231-13</v>
      </c>
      <c r="B4989" t="s">
        <v>4655</v>
      </c>
      <c r="C4989" t="s">
        <v>25672</v>
      </c>
      <c r="D4989" s="1">
        <v>40282</v>
      </c>
      <c r="E4989" s="2">
        <v>261000</v>
      </c>
      <c r="F4989" t="s">
        <v>4567</v>
      </c>
      <c r="G4989" s="17" t="str">
        <f>HYPERLINK("https://www.washoecounty.gov/assessor/cama/?command=sales&amp;parid=14423113","3870835")</f>
        <v>3870835</v>
      </c>
      <c r="H4989" t="s">
        <v>25673</v>
      </c>
      <c r="I4989">
        <v>2005</v>
      </c>
      <c r="J4989">
        <v>2005</v>
      </c>
      <c r="K4989" t="s">
        <v>4554</v>
      </c>
      <c r="L4989" t="s">
        <v>4555</v>
      </c>
      <c r="M4989" s="2">
        <v>1705</v>
      </c>
      <c r="N4989" t="s">
        <v>3147</v>
      </c>
      <c r="O4989">
        <v>3</v>
      </c>
      <c r="P4989">
        <v>3</v>
      </c>
      <c r="Q4989">
        <v>0</v>
      </c>
      <c r="R4989" t="s">
        <v>5281</v>
      </c>
      <c r="S4989" t="s">
        <v>4898</v>
      </c>
      <c r="T4989" t="s">
        <v>4559</v>
      </c>
      <c r="U4989" t="s">
        <v>4560</v>
      </c>
      <c r="V4989" s="2">
        <v>600</v>
      </c>
      <c r="W4989" t="s">
        <v>4655</v>
      </c>
      <c r="X4989" s="2">
        <v>0</v>
      </c>
      <c r="Y4989">
        <v>20</v>
      </c>
      <c r="Z4989" t="s">
        <v>5508</v>
      </c>
      <c r="AA4989" s="3">
        <v>0.30608355998992898</v>
      </c>
      <c r="AB4989" t="s">
        <v>25674</v>
      </c>
      <c r="AC4989" t="s">
        <v>4562</v>
      </c>
      <c r="AD4989" t="s">
        <v>25672</v>
      </c>
      <c r="AE4989" t="s">
        <v>4655</v>
      </c>
      <c r="AF4989" t="s">
        <v>4563</v>
      </c>
      <c r="AG4989" t="s">
        <v>4564</v>
      </c>
      <c r="AH4989">
        <v>89511</v>
      </c>
      <c r="AI4989" t="s">
        <v>25675</v>
      </c>
      <c r="AJ4989" t="s">
        <v>25676</v>
      </c>
      <c r="AK4989" t="s">
        <v>25677</v>
      </c>
      <c r="AL4989" s="13" t="s">
        <v>1894</v>
      </c>
      <c r="AM4989" s="14">
        <v>1</v>
      </c>
      <c r="AN4989" s="15" t="s">
        <v>1524</v>
      </c>
    </row>
    <row r="4990" spans="1:40" x14ac:dyDescent="0.3">
      <c r="A4990" s="10" t="str">
        <f>HYPERLINK("http://www.washoecounty.gov/assessor/cama/?parid=145-020-10&amp;CardNumber=1","145-020-10")</f>
        <v>145-020-10</v>
      </c>
      <c r="B4990" t="s">
        <v>4655</v>
      </c>
      <c r="C4990" t="s">
        <v>25678</v>
      </c>
      <c r="D4990" s="1">
        <v>40451</v>
      </c>
      <c r="E4990" s="2">
        <v>515500</v>
      </c>
      <c r="F4990" t="s">
        <v>4567</v>
      </c>
      <c r="G4990" s="17" t="str">
        <f>HYPERLINK("https://www.washoecounty.gov/assessor/cama/?command=sales&amp;parid=14502010","3928249")</f>
        <v>3928249</v>
      </c>
      <c r="H4990" t="s">
        <v>353</v>
      </c>
      <c r="I4990">
        <v>1951</v>
      </c>
      <c r="J4990">
        <v>1951</v>
      </c>
      <c r="K4990" t="s">
        <v>4554</v>
      </c>
      <c r="L4990" t="s">
        <v>4555</v>
      </c>
      <c r="M4990" s="2">
        <v>930</v>
      </c>
      <c r="N4990" t="s">
        <v>4672</v>
      </c>
      <c r="O4990">
        <v>2</v>
      </c>
      <c r="P4990">
        <v>1</v>
      </c>
      <c r="Q4990">
        <v>0</v>
      </c>
      <c r="R4990" t="s">
        <v>4134</v>
      </c>
      <c r="S4990" t="s">
        <v>4574</v>
      </c>
      <c r="T4990" t="s">
        <v>1101</v>
      </c>
      <c r="U4990" t="s">
        <v>4655</v>
      </c>
      <c r="V4990" s="2">
        <v>0</v>
      </c>
      <c r="W4990" t="s">
        <v>4655</v>
      </c>
      <c r="X4990" s="2">
        <v>0</v>
      </c>
      <c r="Y4990">
        <v>20</v>
      </c>
      <c r="Z4990" t="s">
        <v>3754</v>
      </c>
      <c r="AA4990" s="3">
        <v>2.8199999332427979</v>
      </c>
      <c r="AB4990" t="s">
        <v>5587</v>
      </c>
      <c r="AC4990" t="s">
        <v>4562</v>
      </c>
      <c r="AD4990" t="s">
        <v>5588</v>
      </c>
      <c r="AE4990" t="s">
        <v>4655</v>
      </c>
      <c r="AF4990" t="s">
        <v>4563</v>
      </c>
      <c r="AG4990" t="s">
        <v>4564</v>
      </c>
      <c r="AH4990">
        <v>89511</v>
      </c>
      <c r="AI4990" t="s">
        <v>25679</v>
      </c>
      <c r="AJ4990" t="s">
        <v>25680</v>
      </c>
      <c r="AK4990" t="s">
        <v>5589</v>
      </c>
      <c r="AL4990" s="13" t="s">
        <v>2255</v>
      </c>
      <c r="AM4990">
        <v>1</v>
      </c>
      <c r="AN4990" s="15" t="s">
        <v>5590</v>
      </c>
    </row>
    <row r="4991" spans="1:40" x14ac:dyDescent="0.3">
      <c r="A4991" s="10" t="str">
        <f>HYPERLINK("http://www.washoecounty.gov/assessor/cama/?parid=145-041-15&amp;CardNumber=1","145-041-15")</f>
        <v>145-041-15</v>
      </c>
      <c r="B4991" t="s">
        <v>4655</v>
      </c>
      <c r="C4991" t="s">
        <v>1412</v>
      </c>
      <c r="D4991" s="1">
        <v>40499</v>
      </c>
      <c r="E4991" s="2">
        <v>346071</v>
      </c>
      <c r="F4991" t="s">
        <v>3174</v>
      </c>
      <c r="G4991" s="17" t="str">
        <f>HYPERLINK("https://www.washoecounty.gov/assessor/cama/?command=sales&amp;parid=14504115","3944139")</f>
        <v>3944139</v>
      </c>
      <c r="H4991" t="s">
        <v>3981</v>
      </c>
      <c r="I4991">
        <v>2011</v>
      </c>
      <c r="J4991">
        <v>2011</v>
      </c>
      <c r="K4991" t="s">
        <v>4554</v>
      </c>
      <c r="L4991" t="s">
        <v>4555</v>
      </c>
      <c r="M4991" s="2">
        <v>3003</v>
      </c>
      <c r="N4991" t="s">
        <v>3147</v>
      </c>
      <c r="O4991">
        <v>4</v>
      </c>
      <c r="P4991">
        <v>3</v>
      </c>
      <c r="Q4991">
        <v>0</v>
      </c>
      <c r="R4991" t="s">
        <v>5281</v>
      </c>
      <c r="S4991" t="s">
        <v>4898</v>
      </c>
      <c r="T4991" t="s">
        <v>2704</v>
      </c>
      <c r="U4991" t="s">
        <v>4560</v>
      </c>
      <c r="V4991" s="2">
        <v>881</v>
      </c>
      <c r="W4991" t="s">
        <v>4655</v>
      </c>
      <c r="X4991" s="2">
        <v>0</v>
      </c>
      <c r="Y4991">
        <v>12</v>
      </c>
      <c r="Z4991" t="s">
        <v>5282</v>
      </c>
      <c r="AA4991" s="3">
        <v>0.36930671334266701</v>
      </c>
      <c r="AB4991" t="s">
        <v>180</v>
      </c>
      <c r="AC4991" t="s">
        <v>4562</v>
      </c>
      <c r="AD4991" t="s">
        <v>181</v>
      </c>
      <c r="AE4991" t="s">
        <v>4655</v>
      </c>
      <c r="AF4991" t="s">
        <v>4563</v>
      </c>
      <c r="AG4991" t="s">
        <v>4564</v>
      </c>
      <c r="AH4991" t="s">
        <v>5197</v>
      </c>
      <c r="AI4991" t="s">
        <v>182</v>
      </c>
      <c r="AJ4991" t="s">
        <v>3985</v>
      </c>
      <c r="AK4991" t="s">
        <v>258</v>
      </c>
      <c r="AL4991" s="13" t="s">
        <v>2255</v>
      </c>
      <c r="AM4991">
        <v>1</v>
      </c>
      <c r="AN4991" s="15" t="s">
        <v>3986</v>
      </c>
    </row>
    <row r="4992" spans="1:40" x14ac:dyDescent="0.3">
      <c r="A4992" s="10" t="str">
        <f>HYPERLINK("http://www.washoecounty.gov/assessor/cama/?parid=145-041-16&amp;CardNumber=1","145-041-16")</f>
        <v>145-041-16</v>
      </c>
      <c r="B4992" t="s">
        <v>4655</v>
      </c>
      <c r="C4992" t="s">
        <v>259</v>
      </c>
      <c r="D4992" s="1">
        <v>40499</v>
      </c>
      <c r="E4992" s="2">
        <v>346071</v>
      </c>
      <c r="F4992" t="s">
        <v>3174</v>
      </c>
      <c r="G4992" s="17" t="str">
        <f>HYPERLINK("https://www.washoecounty.gov/assessor/cama/?command=sales&amp;parid=14504116","3944139")</f>
        <v>3944139</v>
      </c>
      <c r="H4992" t="s">
        <v>3981</v>
      </c>
      <c r="I4992">
        <v>2011</v>
      </c>
      <c r="J4992">
        <v>2011</v>
      </c>
      <c r="K4992" t="s">
        <v>4554</v>
      </c>
      <c r="L4992" t="s">
        <v>4555</v>
      </c>
      <c r="M4992" s="2">
        <v>3147</v>
      </c>
      <c r="N4992" t="s">
        <v>3147</v>
      </c>
      <c r="O4992">
        <v>5</v>
      </c>
      <c r="P4992">
        <v>3</v>
      </c>
      <c r="Q4992">
        <v>0</v>
      </c>
      <c r="R4992" t="s">
        <v>5281</v>
      </c>
      <c r="S4992" t="s">
        <v>4898</v>
      </c>
      <c r="T4992" t="s">
        <v>2704</v>
      </c>
      <c r="U4992" t="s">
        <v>4560</v>
      </c>
      <c r="V4992" s="2">
        <v>737</v>
      </c>
      <c r="W4992" t="s">
        <v>4655</v>
      </c>
      <c r="X4992" s="2">
        <v>0</v>
      </c>
      <c r="Y4992">
        <v>12</v>
      </c>
      <c r="Z4992" t="s">
        <v>5282</v>
      </c>
      <c r="AA4992" s="3">
        <v>0.33468779921531677</v>
      </c>
      <c r="AB4992" t="s">
        <v>183</v>
      </c>
      <c r="AC4992" t="s">
        <v>4562</v>
      </c>
      <c r="AD4992" t="s">
        <v>259</v>
      </c>
      <c r="AE4992" t="s">
        <v>4655</v>
      </c>
      <c r="AF4992" t="s">
        <v>4563</v>
      </c>
      <c r="AG4992" t="s">
        <v>4564</v>
      </c>
      <c r="AH4992" t="s">
        <v>5197</v>
      </c>
      <c r="AI4992" t="s">
        <v>1974</v>
      </c>
      <c r="AJ4992" t="s">
        <v>3985</v>
      </c>
      <c r="AK4992" t="s">
        <v>260</v>
      </c>
      <c r="AL4992" s="13" t="s">
        <v>2255</v>
      </c>
      <c r="AM4992" s="14">
        <v>1</v>
      </c>
      <c r="AN4992" s="15" t="s">
        <v>3986</v>
      </c>
    </row>
    <row r="4993" spans="1:40" x14ac:dyDescent="0.3">
      <c r="A4993" s="10" t="str">
        <f>HYPERLINK("http://www.washoecounty.gov/assessor/cama/?parid=145-042-03&amp;CardNumber=1","145-042-03")</f>
        <v>145-042-03</v>
      </c>
      <c r="B4993" t="s">
        <v>4655</v>
      </c>
      <c r="C4993" t="s">
        <v>261</v>
      </c>
      <c r="D4993" s="1">
        <v>40499</v>
      </c>
      <c r="E4993" s="2">
        <v>346071</v>
      </c>
      <c r="F4993" t="s">
        <v>3174</v>
      </c>
      <c r="G4993" s="17" t="str">
        <f>HYPERLINK("https://www.washoecounty.gov/assessor/cama/?command=sales&amp;parid=14504203","3944139")</f>
        <v>3944139</v>
      </c>
      <c r="H4993" t="s">
        <v>3981</v>
      </c>
      <c r="I4993">
        <v>2011</v>
      </c>
      <c r="J4993">
        <v>2011</v>
      </c>
      <c r="K4993" t="s">
        <v>4554</v>
      </c>
      <c r="L4993" t="s">
        <v>4555</v>
      </c>
      <c r="M4993" s="2">
        <v>2568</v>
      </c>
      <c r="N4993" t="s">
        <v>3147</v>
      </c>
      <c r="O4993">
        <v>4</v>
      </c>
      <c r="P4993">
        <v>3</v>
      </c>
      <c r="Q4993">
        <v>0</v>
      </c>
      <c r="R4993" t="s">
        <v>5281</v>
      </c>
      <c r="S4993" t="s">
        <v>4898</v>
      </c>
      <c r="T4993" t="s">
        <v>2704</v>
      </c>
      <c r="U4993" t="s">
        <v>4560</v>
      </c>
      <c r="V4993" s="2">
        <v>768</v>
      </c>
      <c r="W4993" t="s">
        <v>4655</v>
      </c>
      <c r="X4993" s="2">
        <v>0</v>
      </c>
      <c r="Y4993">
        <v>12</v>
      </c>
      <c r="Z4993" t="s">
        <v>5282</v>
      </c>
      <c r="AA4993" s="3">
        <v>0.24754361808299999</v>
      </c>
      <c r="AB4993" t="s">
        <v>182</v>
      </c>
      <c r="AC4993" t="s">
        <v>4562</v>
      </c>
      <c r="AD4993" t="s">
        <v>1975</v>
      </c>
      <c r="AE4993" t="s">
        <v>4655</v>
      </c>
      <c r="AF4993" t="s">
        <v>1976</v>
      </c>
      <c r="AG4993" t="s">
        <v>4584</v>
      </c>
      <c r="AH4993" t="s">
        <v>1977</v>
      </c>
      <c r="AI4993" t="s">
        <v>1978</v>
      </c>
      <c r="AJ4993" t="s">
        <v>3985</v>
      </c>
      <c r="AK4993" t="s">
        <v>262</v>
      </c>
      <c r="AL4993" s="13" t="s">
        <v>2255</v>
      </c>
      <c r="AM4993">
        <v>1</v>
      </c>
      <c r="AN4993" s="15" t="s">
        <v>3986</v>
      </c>
    </row>
    <row r="4994" spans="1:40" x14ac:dyDescent="0.3">
      <c r="A4994" s="10" t="str">
        <f>HYPERLINK("http://www.washoecounty.gov/assessor/cama/?parid=145-051-03&amp;CardNumber=1","145-051-03")</f>
        <v>145-051-03</v>
      </c>
      <c r="B4994" t="s">
        <v>4655</v>
      </c>
      <c r="C4994" t="s">
        <v>25681</v>
      </c>
      <c r="D4994" s="1">
        <v>40235</v>
      </c>
      <c r="E4994" s="2">
        <v>352000</v>
      </c>
      <c r="F4994" t="s">
        <v>4553</v>
      </c>
      <c r="G4994" s="17" t="str">
        <f>HYPERLINK("https://www.washoecounty.gov/assessor/cama/?command=sales&amp;parid=14505103","3853156")</f>
        <v>3853156</v>
      </c>
      <c r="H4994" t="s">
        <v>3981</v>
      </c>
      <c r="I4994">
        <v>2007</v>
      </c>
      <c r="J4994">
        <v>2007</v>
      </c>
      <c r="K4994" t="s">
        <v>4554</v>
      </c>
      <c r="L4994" t="s">
        <v>4555</v>
      </c>
      <c r="M4994" s="2">
        <v>2568</v>
      </c>
      <c r="N4994" t="s">
        <v>3147</v>
      </c>
      <c r="O4994">
        <v>3</v>
      </c>
      <c r="P4994">
        <v>3</v>
      </c>
      <c r="Q4994">
        <v>0</v>
      </c>
      <c r="R4994" t="s">
        <v>5281</v>
      </c>
      <c r="S4994" t="s">
        <v>4898</v>
      </c>
      <c r="T4994" t="s">
        <v>2704</v>
      </c>
      <c r="U4994" t="s">
        <v>4560</v>
      </c>
      <c r="V4994" s="2">
        <v>768</v>
      </c>
      <c r="W4994" t="s">
        <v>4655</v>
      </c>
      <c r="X4994" s="2">
        <v>0</v>
      </c>
      <c r="Y4994">
        <v>20</v>
      </c>
      <c r="Z4994" t="s">
        <v>5282</v>
      </c>
      <c r="AA4994" s="3">
        <v>0.33904957771301297</v>
      </c>
      <c r="AB4994" t="s">
        <v>3982</v>
      </c>
      <c r="AC4994" t="s">
        <v>4575</v>
      </c>
      <c r="AD4994" t="s">
        <v>25681</v>
      </c>
      <c r="AE4994" t="s">
        <v>4655</v>
      </c>
      <c r="AF4994" t="s">
        <v>4563</v>
      </c>
      <c r="AG4994" t="s">
        <v>4564</v>
      </c>
      <c r="AH4994" t="s">
        <v>5197</v>
      </c>
      <c r="AI4994" t="s">
        <v>3982</v>
      </c>
      <c r="AJ4994" t="s">
        <v>3985</v>
      </c>
      <c r="AK4994" t="s">
        <v>25682</v>
      </c>
      <c r="AL4994" s="13" t="s">
        <v>2255</v>
      </c>
      <c r="AM4994">
        <v>1</v>
      </c>
      <c r="AN4994" s="15" t="s">
        <v>3986</v>
      </c>
    </row>
    <row r="4995" spans="1:40" x14ac:dyDescent="0.3">
      <c r="A4995" s="10" t="str">
        <f>HYPERLINK("http://www.washoecounty.gov/assessor/cama/?parid=145-051-08&amp;CardNumber=1","145-051-08")</f>
        <v>145-051-08</v>
      </c>
      <c r="B4995" t="s">
        <v>4655</v>
      </c>
      <c r="C4995" t="s">
        <v>263</v>
      </c>
      <c r="D4995" s="1">
        <v>40499</v>
      </c>
      <c r="E4995" s="2">
        <v>346071</v>
      </c>
      <c r="F4995" t="s">
        <v>3174</v>
      </c>
      <c r="G4995" s="17" t="str">
        <f>HYPERLINK("https://www.washoecounty.gov/assessor/cama/?command=sales&amp;parid=14505108","3944139")</f>
        <v>3944139</v>
      </c>
      <c r="H4995" t="s">
        <v>3981</v>
      </c>
      <c r="I4995">
        <v>2011</v>
      </c>
      <c r="J4995">
        <v>2011</v>
      </c>
      <c r="K4995" t="s">
        <v>4554</v>
      </c>
      <c r="L4995" t="s">
        <v>4555</v>
      </c>
      <c r="M4995" s="2">
        <v>2568</v>
      </c>
      <c r="N4995" t="s">
        <v>3147</v>
      </c>
      <c r="O4995">
        <v>4</v>
      </c>
      <c r="P4995">
        <v>3</v>
      </c>
      <c r="Q4995">
        <v>0</v>
      </c>
      <c r="R4995" t="s">
        <v>5281</v>
      </c>
      <c r="S4995" t="s">
        <v>4898</v>
      </c>
      <c r="T4995" t="s">
        <v>2704</v>
      </c>
      <c r="U4995" t="s">
        <v>4560</v>
      </c>
      <c r="V4995" s="2">
        <v>768</v>
      </c>
      <c r="W4995" t="s">
        <v>4655</v>
      </c>
      <c r="X4995" s="2">
        <v>0</v>
      </c>
      <c r="Y4995">
        <v>12</v>
      </c>
      <c r="Z4995" t="s">
        <v>5282</v>
      </c>
      <c r="AA4995" s="3">
        <v>0.28810834884643599</v>
      </c>
      <c r="AB4995" t="s">
        <v>182</v>
      </c>
      <c r="AC4995" t="s">
        <v>4562</v>
      </c>
      <c r="AD4995" t="s">
        <v>1975</v>
      </c>
      <c r="AE4995" t="s">
        <v>4655</v>
      </c>
      <c r="AF4995" t="s">
        <v>1976</v>
      </c>
      <c r="AG4995" t="s">
        <v>4584</v>
      </c>
      <c r="AH4995" t="s">
        <v>1977</v>
      </c>
      <c r="AI4995" t="s">
        <v>5676</v>
      </c>
      <c r="AJ4995" t="s">
        <v>3985</v>
      </c>
      <c r="AK4995" t="s">
        <v>264</v>
      </c>
      <c r="AL4995" s="13" t="s">
        <v>2255</v>
      </c>
      <c r="AM4995">
        <v>1</v>
      </c>
      <c r="AN4995" s="15" t="s">
        <v>3986</v>
      </c>
    </row>
    <row r="4996" spans="1:40" x14ac:dyDescent="0.3">
      <c r="A4996" s="10" t="str">
        <f>HYPERLINK("http://www.washoecounty.gov/assessor/cama/?parid=145-051-17&amp;CardNumber=1","145-051-17")</f>
        <v>145-051-17</v>
      </c>
      <c r="B4996" t="s">
        <v>4655</v>
      </c>
      <c r="C4996" t="s">
        <v>25683</v>
      </c>
      <c r="D4996" s="1">
        <v>40277</v>
      </c>
      <c r="E4996" s="2">
        <v>380000</v>
      </c>
      <c r="F4996" t="s">
        <v>4567</v>
      </c>
      <c r="G4996" s="17" t="str">
        <f>HYPERLINK("https://www.washoecounty.gov/assessor/cama/?command=sales&amp;parid=14505117","3869220")</f>
        <v>3869220</v>
      </c>
      <c r="H4996" t="s">
        <v>3981</v>
      </c>
      <c r="I4996">
        <v>2006</v>
      </c>
      <c r="J4996">
        <v>2006</v>
      </c>
      <c r="K4996" t="s">
        <v>4554</v>
      </c>
      <c r="L4996" t="s">
        <v>4555</v>
      </c>
      <c r="M4996" s="2">
        <v>3003</v>
      </c>
      <c r="N4996" t="s">
        <v>3147</v>
      </c>
      <c r="O4996">
        <v>4</v>
      </c>
      <c r="P4996">
        <v>3</v>
      </c>
      <c r="Q4996">
        <v>0</v>
      </c>
      <c r="R4996" t="s">
        <v>5281</v>
      </c>
      <c r="S4996" t="s">
        <v>4898</v>
      </c>
      <c r="T4996" t="s">
        <v>2704</v>
      </c>
      <c r="U4996" t="s">
        <v>4560</v>
      </c>
      <c r="V4996" s="2">
        <v>881</v>
      </c>
      <c r="W4996" t="s">
        <v>4655</v>
      </c>
      <c r="X4996" s="2">
        <v>0</v>
      </c>
      <c r="Y4996">
        <v>20</v>
      </c>
      <c r="Z4996" t="s">
        <v>5282</v>
      </c>
      <c r="AA4996" s="3">
        <v>0.237718090415001</v>
      </c>
      <c r="AB4996" t="s">
        <v>25684</v>
      </c>
      <c r="AC4996" t="s">
        <v>4562</v>
      </c>
      <c r="AD4996" t="s">
        <v>25683</v>
      </c>
      <c r="AE4996" t="s">
        <v>4655</v>
      </c>
      <c r="AF4996" t="s">
        <v>4563</v>
      </c>
      <c r="AG4996" t="s">
        <v>4564</v>
      </c>
      <c r="AH4996" t="s">
        <v>5197</v>
      </c>
      <c r="AI4996" t="s">
        <v>25685</v>
      </c>
      <c r="AJ4996" t="s">
        <v>3985</v>
      </c>
      <c r="AK4996" t="s">
        <v>25686</v>
      </c>
      <c r="AL4996" s="13" t="s">
        <v>2255</v>
      </c>
      <c r="AM4996" s="14">
        <v>1</v>
      </c>
      <c r="AN4996" s="15" t="s">
        <v>3986</v>
      </c>
    </row>
    <row r="4997" spans="1:40" x14ac:dyDescent="0.3">
      <c r="A4997" s="10" t="str">
        <f>HYPERLINK("http://www.washoecounty.gov/assessor/cama/?parid=145-052-10&amp;CardNumber=1","145-052-10")</f>
        <v>145-052-10</v>
      </c>
      <c r="B4997" t="s">
        <v>4655</v>
      </c>
      <c r="C4997" t="s">
        <v>25687</v>
      </c>
      <c r="D4997" s="1">
        <v>40325</v>
      </c>
      <c r="E4997" s="2">
        <v>365000</v>
      </c>
      <c r="F4997" t="s">
        <v>4553</v>
      </c>
      <c r="G4997" s="17" t="str">
        <f>HYPERLINK("https://www.washoecounty.gov/assessor/cama/?command=sales&amp;parid=14505210","3885832")</f>
        <v>3885832</v>
      </c>
      <c r="H4997" t="s">
        <v>3981</v>
      </c>
      <c r="I4997">
        <v>2007</v>
      </c>
      <c r="J4997">
        <v>2007</v>
      </c>
      <c r="K4997" t="s">
        <v>4554</v>
      </c>
      <c r="L4997" t="s">
        <v>4555</v>
      </c>
      <c r="M4997" s="2">
        <v>3171</v>
      </c>
      <c r="N4997" t="s">
        <v>3147</v>
      </c>
      <c r="O4997">
        <v>5</v>
      </c>
      <c r="P4997">
        <v>3</v>
      </c>
      <c r="Q4997">
        <v>0</v>
      </c>
      <c r="R4997" t="s">
        <v>5281</v>
      </c>
      <c r="S4997" t="s">
        <v>4898</v>
      </c>
      <c r="T4997" t="s">
        <v>2704</v>
      </c>
      <c r="U4997" t="s">
        <v>4560</v>
      </c>
      <c r="V4997" s="2">
        <v>713</v>
      </c>
      <c r="W4997" t="s">
        <v>4655</v>
      </c>
      <c r="X4997" s="2">
        <v>0</v>
      </c>
      <c r="Y4997">
        <v>20</v>
      </c>
      <c r="Z4997" t="s">
        <v>5282</v>
      </c>
      <c r="AA4997" s="3">
        <v>0.29680898785591098</v>
      </c>
      <c r="AB4997" t="s">
        <v>25688</v>
      </c>
      <c r="AC4997" t="s">
        <v>4562</v>
      </c>
      <c r="AD4997" t="s">
        <v>25687</v>
      </c>
      <c r="AE4997" t="s">
        <v>4655</v>
      </c>
      <c r="AF4997" t="s">
        <v>4563</v>
      </c>
      <c r="AG4997" t="s">
        <v>4564</v>
      </c>
      <c r="AH4997" t="s">
        <v>5197</v>
      </c>
      <c r="AI4997" t="s">
        <v>25689</v>
      </c>
      <c r="AJ4997" t="s">
        <v>3985</v>
      </c>
      <c r="AK4997" t="s">
        <v>25690</v>
      </c>
      <c r="AL4997" s="13" t="s">
        <v>2255</v>
      </c>
      <c r="AM4997">
        <v>1</v>
      </c>
      <c r="AN4997" s="15" t="s">
        <v>3986</v>
      </c>
    </row>
    <row r="4998" spans="1:40" x14ac:dyDescent="0.3">
      <c r="A4998" s="10" t="str">
        <f>HYPERLINK("http://www.washoecounty.gov/assessor/cama/?parid=145-055-01&amp;CardNumber=1","145-055-01")</f>
        <v>145-055-01</v>
      </c>
      <c r="B4998" t="s">
        <v>4655</v>
      </c>
      <c r="C4998" t="s">
        <v>265</v>
      </c>
      <c r="D4998" s="1">
        <v>40499</v>
      </c>
      <c r="E4998" s="2">
        <v>346071</v>
      </c>
      <c r="F4998" t="s">
        <v>3174</v>
      </c>
      <c r="G4998" s="17" t="str">
        <f>HYPERLINK("https://www.washoecounty.gov/assessor/cama/?command=sales&amp;parid=14505501","3944139")</f>
        <v>3944139</v>
      </c>
      <c r="H4998" t="s">
        <v>3981</v>
      </c>
      <c r="I4998">
        <v>2011</v>
      </c>
      <c r="J4998">
        <v>2011</v>
      </c>
      <c r="K4998" t="s">
        <v>4554</v>
      </c>
      <c r="L4998" t="s">
        <v>4555</v>
      </c>
      <c r="M4998" s="2">
        <v>3003</v>
      </c>
      <c r="N4998" t="s">
        <v>3147</v>
      </c>
      <c r="O4998">
        <v>4</v>
      </c>
      <c r="P4998">
        <v>3</v>
      </c>
      <c r="Q4998">
        <v>0</v>
      </c>
      <c r="R4998" t="s">
        <v>5281</v>
      </c>
      <c r="S4998" t="s">
        <v>4898</v>
      </c>
      <c r="T4998" t="s">
        <v>2704</v>
      </c>
      <c r="U4998" t="s">
        <v>4560</v>
      </c>
      <c r="V4998" s="2">
        <v>881</v>
      </c>
      <c r="W4998" t="s">
        <v>4655</v>
      </c>
      <c r="X4998" s="2">
        <v>0</v>
      </c>
      <c r="Y4998">
        <v>12</v>
      </c>
      <c r="Z4998" t="s">
        <v>5282</v>
      </c>
      <c r="AA4998" s="3">
        <v>0.30587694048881497</v>
      </c>
      <c r="AB4998" t="s">
        <v>5677</v>
      </c>
      <c r="AC4998" t="s">
        <v>4562</v>
      </c>
      <c r="AD4998" t="s">
        <v>5678</v>
      </c>
      <c r="AE4998" t="s">
        <v>4655</v>
      </c>
      <c r="AF4998" t="s">
        <v>4054</v>
      </c>
      <c r="AG4998" t="s">
        <v>4564</v>
      </c>
      <c r="AH4998" t="s">
        <v>5275</v>
      </c>
      <c r="AI4998" t="s">
        <v>182</v>
      </c>
      <c r="AJ4998" t="s">
        <v>3985</v>
      </c>
      <c r="AK4998" t="s">
        <v>266</v>
      </c>
      <c r="AL4998" s="13" t="s">
        <v>2255</v>
      </c>
      <c r="AM4998" s="14">
        <v>1</v>
      </c>
      <c r="AN4998" s="15" t="s">
        <v>3986</v>
      </c>
    </row>
    <row r="4999" spans="1:40" x14ac:dyDescent="0.3">
      <c r="A4999" s="10" t="str">
        <f>HYPERLINK("http://www.washoecounty.gov/assessor/cama/?parid=145-061-03&amp;CardNumber=1","145-061-03")</f>
        <v>145-061-03</v>
      </c>
      <c r="B4999" t="s">
        <v>4655</v>
      </c>
      <c r="C4999" t="s">
        <v>25691</v>
      </c>
      <c r="D4999" s="1">
        <v>40379</v>
      </c>
      <c r="E4999" s="2">
        <v>243000</v>
      </c>
      <c r="F4999" t="s">
        <v>4553</v>
      </c>
      <c r="G4999" s="17" t="str">
        <f>HYPERLINK("https://www.washoecounty.gov/assessor/cama/?command=sales&amp;parid=14506103","3903298")</f>
        <v>3903298</v>
      </c>
      <c r="H4999" t="s">
        <v>3981</v>
      </c>
      <c r="I4999">
        <v>2007</v>
      </c>
      <c r="J4999">
        <v>2007</v>
      </c>
      <c r="K4999" t="s">
        <v>4554</v>
      </c>
      <c r="L4999" t="s">
        <v>4555</v>
      </c>
      <c r="M4999" s="2">
        <v>1904</v>
      </c>
      <c r="N4999" t="s">
        <v>3147</v>
      </c>
      <c r="O4999">
        <v>3</v>
      </c>
      <c r="P4999">
        <v>2</v>
      </c>
      <c r="Q4999">
        <v>0</v>
      </c>
      <c r="R4999" t="s">
        <v>5281</v>
      </c>
      <c r="S4999" t="s">
        <v>4898</v>
      </c>
      <c r="T4999" t="s">
        <v>2704</v>
      </c>
      <c r="U4999" t="s">
        <v>4560</v>
      </c>
      <c r="V4999" s="2">
        <v>634</v>
      </c>
      <c r="W4999" t="s">
        <v>4655</v>
      </c>
      <c r="X4999" s="2">
        <v>0</v>
      </c>
      <c r="Y4999">
        <v>20</v>
      </c>
      <c r="Z4999" t="s">
        <v>5282</v>
      </c>
      <c r="AA4999" s="3">
        <v>0.50303030014037997</v>
      </c>
      <c r="AB4999" t="s">
        <v>25692</v>
      </c>
      <c r="AC4999" t="s">
        <v>4575</v>
      </c>
      <c r="AD4999" t="s">
        <v>25693</v>
      </c>
      <c r="AE4999" t="s">
        <v>4655</v>
      </c>
      <c r="AF4999" t="s">
        <v>4563</v>
      </c>
      <c r="AG4999" t="s">
        <v>4564</v>
      </c>
      <c r="AH4999">
        <v>89511</v>
      </c>
      <c r="AI4999" t="s">
        <v>25694</v>
      </c>
      <c r="AJ4999" t="s">
        <v>3985</v>
      </c>
      <c r="AK4999" t="s">
        <v>25695</v>
      </c>
      <c r="AL4999" s="13" t="s">
        <v>2255</v>
      </c>
      <c r="AM4999">
        <v>1</v>
      </c>
      <c r="AN4999" s="15" t="s">
        <v>3986</v>
      </c>
    </row>
    <row r="5000" spans="1:40" x14ac:dyDescent="0.3">
      <c r="A5000" s="10" t="str">
        <f>HYPERLINK("http://www.washoecounty.gov/assessor/cama/?parid=145-061-05&amp;CardNumber=1","145-061-05")</f>
        <v>145-061-05</v>
      </c>
      <c r="B5000" t="s">
        <v>4655</v>
      </c>
      <c r="C5000" t="s">
        <v>25696</v>
      </c>
      <c r="D5000" s="1">
        <v>40234</v>
      </c>
      <c r="E5000" s="2">
        <v>299000</v>
      </c>
      <c r="F5000" t="s">
        <v>4567</v>
      </c>
      <c r="G5000" s="17" t="str">
        <f>HYPERLINK("https://www.washoecounty.gov/assessor/cama/?command=sales&amp;parid=14506105","3852773")</f>
        <v>3852773</v>
      </c>
      <c r="H5000" t="s">
        <v>3981</v>
      </c>
      <c r="I5000">
        <v>2007</v>
      </c>
      <c r="J5000">
        <v>2007</v>
      </c>
      <c r="K5000" t="s">
        <v>4554</v>
      </c>
      <c r="L5000" t="s">
        <v>3974</v>
      </c>
      <c r="M5000" s="2">
        <v>2740</v>
      </c>
      <c r="N5000" t="s">
        <v>3147</v>
      </c>
      <c r="O5000">
        <v>5</v>
      </c>
      <c r="P5000">
        <v>3</v>
      </c>
      <c r="Q5000">
        <v>0</v>
      </c>
      <c r="R5000" t="s">
        <v>5281</v>
      </c>
      <c r="S5000" t="s">
        <v>4898</v>
      </c>
      <c r="T5000" t="s">
        <v>2704</v>
      </c>
      <c r="U5000" t="s">
        <v>4560</v>
      </c>
      <c r="V5000" s="2">
        <v>641</v>
      </c>
      <c r="W5000" t="s">
        <v>4655</v>
      </c>
      <c r="X5000" s="2">
        <v>0</v>
      </c>
      <c r="Y5000">
        <v>20</v>
      </c>
      <c r="Z5000" t="s">
        <v>5282</v>
      </c>
      <c r="AA5000" s="3">
        <v>0.38953167200088501</v>
      </c>
      <c r="AB5000" t="s">
        <v>25697</v>
      </c>
      <c r="AC5000" t="s">
        <v>4562</v>
      </c>
      <c r="AD5000" t="s">
        <v>25696</v>
      </c>
      <c r="AE5000" t="s">
        <v>4655</v>
      </c>
      <c r="AF5000" t="s">
        <v>4563</v>
      </c>
      <c r="AG5000" t="s">
        <v>4564</v>
      </c>
      <c r="AH5000" t="s">
        <v>5197</v>
      </c>
      <c r="AI5000" t="s">
        <v>25698</v>
      </c>
      <c r="AJ5000" t="s">
        <v>3985</v>
      </c>
      <c r="AK5000" t="s">
        <v>25699</v>
      </c>
      <c r="AL5000" s="13" t="s">
        <v>2255</v>
      </c>
      <c r="AM5000">
        <v>1</v>
      </c>
      <c r="AN5000" s="15" t="s">
        <v>3986</v>
      </c>
    </row>
    <row r="5001" spans="1:40" x14ac:dyDescent="0.3">
      <c r="A5001" s="10" t="str">
        <f>HYPERLINK("http://www.washoecounty.gov/assessor/cama/?parid=145-061-09&amp;CardNumber=1","145-061-09")</f>
        <v>145-061-09</v>
      </c>
      <c r="B5001" t="s">
        <v>4655</v>
      </c>
      <c r="C5001" t="s">
        <v>25700</v>
      </c>
      <c r="D5001" s="1">
        <v>40471</v>
      </c>
      <c r="E5001" s="2">
        <v>286000</v>
      </c>
      <c r="F5001" t="s">
        <v>4567</v>
      </c>
      <c r="G5001" s="17" t="str">
        <f>HYPERLINK("https://www.washoecounty.gov/assessor/cama/?command=sales&amp;parid=14506109","3935045")</f>
        <v>3935045</v>
      </c>
      <c r="H5001" t="s">
        <v>3981</v>
      </c>
      <c r="I5001">
        <v>2007</v>
      </c>
      <c r="J5001">
        <v>2007</v>
      </c>
      <c r="K5001" t="s">
        <v>4554</v>
      </c>
      <c r="L5001" t="s">
        <v>4555</v>
      </c>
      <c r="M5001" s="2">
        <v>2191</v>
      </c>
      <c r="N5001" t="s">
        <v>3147</v>
      </c>
      <c r="O5001">
        <v>4</v>
      </c>
      <c r="P5001">
        <v>2</v>
      </c>
      <c r="Q5001">
        <v>1</v>
      </c>
      <c r="R5001" t="s">
        <v>5281</v>
      </c>
      <c r="S5001" t="s">
        <v>4898</v>
      </c>
      <c r="T5001" t="s">
        <v>2704</v>
      </c>
      <c r="U5001" t="s">
        <v>4560</v>
      </c>
      <c r="V5001" s="2">
        <v>649</v>
      </c>
      <c r="W5001" t="s">
        <v>4655</v>
      </c>
      <c r="X5001" s="2">
        <v>0</v>
      </c>
      <c r="Y5001">
        <v>20</v>
      </c>
      <c r="Z5001" t="s">
        <v>5282</v>
      </c>
      <c r="AA5001" s="3">
        <v>0.81062901020050004</v>
      </c>
      <c r="AB5001" t="s">
        <v>25701</v>
      </c>
      <c r="AC5001" t="s">
        <v>4575</v>
      </c>
      <c r="AD5001" t="s">
        <v>25700</v>
      </c>
      <c r="AE5001" t="s">
        <v>4655</v>
      </c>
      <c r="AF5001" t="s">
        <v>4563</v>
      </c>
      <c r="AG5001" t="s">
        <v>4564</v>
      </c>
      <c r="AH5001" t="s">
        <v>5197</v>
      </c>
      <c r="AI5001" t="s">
        <v>4100</v>
      </c>
      <c r="AJ5001" t="s">
        <v>3985</v>
      </c>
      <c r="AK5001" t="s">
        <v>25702</v>
      </c>
      <c r="AL5001" s="13" t="s">
        <v>2255</v>
      </c>
      <c r="AM5001" s="14">
        <v>1</v>
      </c>
      <c r="AN5001" s="15" t="s">
        <v>3986</v>
      </c>
    </row>
    <row r="5002" spans="1:40" x14ac:dyDescent="0.3">
      <c r="A5002" s="10" t="str">
        <f>HYPERLINK("http://www.washoecounty.gov/assessor/cama/?parid=145-071-09&amp;CardNumber=1","145-071-09")</f>
        <v>145-071-09</v>
      </c>
      <c r="B5002" t="s">
        <v>4655</v>
      </c>
      <c r="C5002" t="s">
        <v>25703</v>
      </c>
      <c r="D5002" s="1">
        <v>40431</v>
      </c>
      <c r="E5002" s="2">
        <v>285000</v>
      </c>
      <c r="F5002" t="s">
        <v>4553</v>
      </c>
      <c r="G5002" s="17" t="str">
        <f>HYPERLINK("https://www.washoecounty.gov/assessor/cama/?command=sales&amp;parid=14507109","3921114")</f>
        <v>3921114</v>
      </c>
      <c r="H5002" t="s">
        <v>3981</v>
      </c>
      <c r="I5002">
        <v>2007</v>
      </c>
      <c r="J5002">
        <v>2007</v>
      </c>
      <c r="K5002" t="s">
        <v>4554</v>
      </c>
      <c r="L5002" t="s">
        <v>3974</v>
      </c>
      <c r="M5002" s="2">
        <v>2944</v>
      </c>
      <c r="N5002" t="s">
        <v>3147</v>
      </c>
      <c r="O5002">
        <v>5</v>
      </c>
      <c r="P5002">
        <v>3</v>
      </c>
      <c r="Q5002">
        <v>0</v>
      </c>
      <c r="R5002" t="s">
        <v>5281</v>
      </c>
      <c r="S5002" t="s">
        <v>4898</v>
      </c>
      <c r="T5002" t="s">
        <v>2704</v>
      </c>
      <c r="U5002" t="s">
        <v>4560</v>
      </c>
      <c r="V5002" s="2">
        <v>641</v>
      </c>
      <c r="W5002" t="s">
        <v>4655</v>
      </c>
      <c r="X5002" s="2">
        <v>0</v>
      </c>
      <c r="Y5002">
        <v>20</v>
      </c>
      <c r="Z5002" t="s">
        <v>5282</v>
      </c>
      <c r="AA5002" s="3">
        <v>0.32325527071952798</v>
      </c>
      <c r="AB5002" t="s">
        <v>25704</v>
      </c>
      <c r="AC5002" t="s">
        <v>4575</v>
      </c>
      <c r="AD5002" t="s">
        <v>25703</v>
      </c>
      <c r="AE5002" t="s">
        <v>4655</v>
      </c>
      <c r="AF5002" t="s">
        <v>4563</v>
      </c>
      <c r="AG5002" t="s">
        <v>4564</v>
      </c>
      <c r="AH5002" t="s">
        <v>5197</v>
      </c>
      <c r="AI5002" t="s">
        <v>1978</v>
      </c>
      <c r="AJ5002" t="s">
        <v>3985</v>
      </c>
      <c r="AK5002" t="s">
        <v>25705</v>
      </c>
      <c r="AL5002" s="13" t="s">
        <v>2255</v>
      </c>
      <c r="AM5002" s="14">
        <v>1</v>
      </c>
      <c r="AN5002" s="15" t="s">
        <v>3986</v>
      </c>
    </row>
    <row r="5003" spans="1:40" x14ac:dyDescent="0.3">
      <c r="A5003" s="10" t="str">
        <f>HYPERLINK("http://www.washoecounty.gov/assessor/cama/?parid=145-071-10&amp;CardNumber=1","145-071-10")</f>
        <v>145-071-10</v>
      </c>
      <c r="B5003" t="s">
        <v>4655</v>
      </c>
      <c r="C5003" t="s">
        <v>25706</v>
      </c>
      <c r="D5003" s="1">
        <v>40235</v>
      </c>
      <c r="E5003" s="2">
        <v>258600</v>
      </c>
      <c r="F5003" t="s">
        <v>4567</v>
      </c>
      <c r="G5003" s="17" t="str">
        <f>HYPERLINK("https://www.washoecounty.gov/assessor/cama/?command=sales&amp;parid=14507110","3852982")</f>
        <v>3852982</v>
      </c>
      <c r="H5003" t="s">
        <v>25707</v>
      </c>
      <c r="I5003">
        <v>2007</v>
      </c>
      <c r="J5003">
        <v>2007</v>
      </c>
      <c r="K5003" t="s">
        <v>4554</v>
      </c>
      <c r="L5003" t="s">
        <v>4555</v>
      </c>
      <c r="M5003" s="2">
        <v>1904</v>
      </c>
      <c r="N5003" t="s">
        <v>3147</v>
      </c>
      <c r="O5003">
        <v>3</v>
      </c>
      <c r="P5003">
        <v>2</v>
      </c>
      <c r="Q5003">
        <v>0</v>
      </c>
      <c r="R5003" t="s">
        <v>5281</v>
      </c>
      <c r="S5003" t="s">
        <v>4898</v>
      </c>
      <c r="T5003" t="s">
        <v>2704</v>
      </c>
      <c r="U5003" t="s">
        <v>4560</v>
      </c>
      <c r="V5003" s="2">
        <v>634</v>
      </c>
      <c r="W5003" t="s">
        <v>4655</v>
      </c>
      <c r="X5003" s="2">
        <v>0</v>
      </c>
      <c r="Y5003">
        <v>20</v>
      </c>
      <c r="Z5003" t="s">
        <v>5282</v>
      </c>
      <c r="AA5003" s="3">
        <v>0.31352159380912797</v>
      </c>
      <c r="AB5003" t="s">
        <v>25708</v>
      </c>
      <c r="AC5003" t="s">
        <v>4562</v>
      </c>
      <c r="AD5003" t="s">
        <v>25706</v>
      </c>
      <c r="AE5003" t="s">
        <v>4655</v>
      </c>
      <c r="AF5003" t="s">
        <v>4563</v>
      </c>
      <c r="AG5003" t="s">
        <v>4564</v>
      </c>
      <c r="AH5003" t="s">
        <v>5197</v>
      </c>
      <c r="AI5003" t="s">
        <v>25709</v>
      </c>
      <c r="AJ5003" t="s">
        <v>3985</v>
      </c>
      <c r="AK5003" t="s">
        <v>25710</v>
      </c>
      <c r="AL5003" s="13" t="s">
        <v>2255</v>
      </c>
      <c r="AM5003">
        <v>1</v>
      </c>
      <c r="AN5003" s="15" t="s">
        <v>3986</v>
      </c>
    </row>
    <row r="5004" spans="1:40" x14ac:dyDescent="0.3">
      <c r="A5004" s="10" t="str">
        <f>HYPERLINK("http://www.washoecounty.gov/assessor/cama/?parid=145-074-02&amp;CardNumber=1","145-074-02")</f>
        <v>145-074-02</v>
      </c>
      <c r="B5004" t="s">
        <v>4655</v>
      </c>
      <c r="C5004" t="s">
        <v>25711</v>
      </c>
      <c r="D5004" s="1">
        <v>40365</v>
      </c>
      <c r="E5004" s="2">
        <v>275000</v>
      </c>
      <c r="F5004" t="s">
        <v>4567</v>
      </c>
      <c r="G5004" s="17" t="str">
        <f>HYPERLINK("https://www.washoecounty.gov/assessor/cama/?command=sales&amp;parid=14507402","3898668")</f>
        <v>3898668</v>
      </c>
      <c r="H5004" t="s">
        <v>3981</v>
      </c>
      <c r="I5004">
        <v>2007</v>
      </c>
      <c r="J5004">
        <v>2007</v>
      </c>
      <c r="K5004" t="s">
        <v>4554</v>
      </c>
      <c r="L5004" t="s">
        <v>4555</v>
      </c>
      <c r="M5004" s="2">
        <v>1904</v>
      </c>
      <c r="N5004" t="s">
        <v>3147</v>
      </c>
      <c r="O5004">
        <v>3</v>
      </c>
      <c r="P5004">
        <v>2</v>
      </c>
      <c r="Q5004">
        <v>0</v>
      </c>
      <c r="R5004" t="s">
        <v>5281</v>
      </c>
      <c r="S5004" t="s">
        <v>4898</v>
      </c>
      <c r="T5004" t="s">
        <v>2704</v>
      </c>
      <c r="U5004" t="s">
        <v>4560</v>
      </c>
      <c r="V5004" s="2">
        <v>634</v>
      </c>
      <c r="W5004" t="s">
        <v>4655</v>
      </c>
      <c r="X5004" s="2">
        <v>0</v>
      </c>
      <c r="Y5004">
        <v>20</v>
      </c>
      <c r="Z5004" t="s">
        <v>5282</v>
      </c>
      <c r="AA5004" s="3">
        <v>0.35739210247993503</v>
      </c>
      <c r="AB5004" t="s">
        <v>25712</v>
      </c>
      <c r="AC5004" t="s">
        <v>4562</v>
      </c>
      <c r="AD5004" t="s">
        <v>25711</v>
      </c>
      <c r="AE5004" t="s">
        <v>4655</v>
      </c>
      <c r="AF5004" t="s">
        <v>4563</v>
      </c>
      <c r="AG5004" t="s">
        <v>4564</v>
      </c>
      <c r="AH5004" t="s">
        <v>5197</v>
      </c>
      <c r="AI5004" t="s">
        <v>25713</v>
      </c>
      <c r="AJ5004" t="s">
        <v>3985</v>
      </c>
      <c r="AK5004" t="s">
        <v>25714</v>
      </c>
      <c r="AL5004" s="13" t="s">
        <v>2255</v>
      </c>
      <c r="AM5004">
        <v>1</v>
      </c>
      <c r="AN5004" s="15" t="s">
        <v>3986</v>
      </c>
    </row>
    <row r="5005" spans="1:40" x14ac:dyDescent="0.3">
      <c r="A5005" s="10" t="str">
        <f>HYPERLINK("http://www.washoecounty.gov/assessor/cama/?parid=145-151-01&amp;CardNumber=1","145-151-01")</f>
        <v>145-151-01</v>
      </c>
      <c r="B5005" t="s">
        <v>4655</v>
      </c>
      <c r="C5005" t="s">
        <v>865</v>
      </c>
      <c r="D5005" s="1">
        <v>40420</v>
      </c>
      <c r="E5005" s="2">
        <v>221612</v>
      </c>
      <c r="F5005" t="s">
        <v>3528</v>
      </c>
      <c r="G5005" s="17" t="str">
        <f>HYPERLINK("https://www.washoecounty.gov/assessor/cama/?command=sales&amp;parid=14515101","3916813")</f>
        <v>3916813</v>
      </c>
      <c r="H5005" t="s">
        <v>1973</v>
      </c>
      <c r="I5005">
        <v>2010</v>
      </c>
      <c r="J5005">
        <v>2010</v>
      </c>
      <c r="K5005" t="s">
        <v>4554</v>
      </c>
      <c r="L5005" t="s">
        <v>4555</v>
      </c>
      <c r="M5005" s="2">
        <v>1904</v>
      </c>
      <c r="N5005" t="s">
        <v>3147</v>
      </c>
      <c r="O5005">
        <v>3</v>
      </c>
      <c r="P5005">
        <v>2</v>
      </c>
      <c r="Q5005">
        <v>0</v>
      </c>
      <c r="R5005" t="s">
        <v>5281</v>
      </c>
      <c r="S5005" t="s">
        <v>4898</v>
      </c>
      <c r="T5005" t="s">
        <v>2704</v>
      </c>
      <c r="U5005" t="s">
        <v>4560</v>
      </c>
      <c r="V5005" s="2">
        <v>634</v>
      </c>
      <c r="W5005" t="s">
        <v>4655</v>
      </c>
      <c r="X5005" s="2">
        <v>0</v>
      </c>
      <c r="Y5005">
        <v>20</v>
      </c>
      <c r="Z5005" t="s">
        <v>5282</v>
      </c>
      <c r="AA5005" s="3">
        <v>0.220339760184288</v>
      </c>
      <c r="AB5005" t="s">
        <v>864</v>
      </c>
      <c r="AC5005" t="s">
        <v>4562</v>
      </c>
      <c r="AD5005" t="s">
        <v>865</v>
      </c>
      <c r="AE5005" t="s">
        <v>4655</v>
      </c>
      <c r="AF5005" t="s">
        <v>4563</v>
      </c>
      <c r="AG5005" t="s">
        <v>4564</v>
      </c>
      <c r="AH5005" t="s">
        <v>5197</v>
      </c>
      <c r="AI5005" t="s">
        <v>1974</v>
      </c>
      <c r="AJ5005" t="s">
        <v>1979</v>
      </c>
      <c r="AK5005" t="s">
        <v>1502</v>
      </c>
      <c r="AL5005" s="13" t="s">
        <v>2255</v>
      </c>
      <c r="AM5005" s="14">
        <v>1</v>
      </c>
      <c r="AN5005" s="15" t="s">
        <v>3986</v>
      </c>
    </row>
    <row r="5006" spans="1:40" x14ac:dyDescent="0.3">
      <c r="A5006" s="10" t="str">
        <f>HYPERLINK("http://www.washoecounty.gov/assessor/cama/?parid=145-151-06&amp;CardNumber=1","145-151-06")</f>
        <v>145-151-06</v>
      </c>
      <c r="B5006" t="s">
        <v>4655</v>
      </c>
      <c r="C5006" t="s">
        <v>5604</v>
      </c>
      <c r="D5006" s="1">
        <v>40499</v>
      </c>
      <c r="E5006" s="2">
        <v>346071</v>
      </c>
      <c r="F5006" t="s">
        <v>3174</v>
      </c>
      <c r="G5006" s="17" t="str">
        <f>HYPERLINK("https://www.washoecounty.gov/assessor/cama/?command=sales&amp;parid=14515106","3944139")</f>
        <v>3944139</v>
      </c>
      <c r="H5006" t="s">
        <v>1973</v>
      </c>
      <c r="I5006">
        <v>2011</v>
      </c>
      <c r="J5006">
        <v>2011</v>
      </c>
      <c r="K5006" t="s">
        <v>4554</v>
      </c>
      <c r="L5006" t="s">
        <v>4555</v>
      </c>
      <c r="M5006" s="2">
        <v>2191</v>
      </c>
      <c r="N5006" t="s">
        <v>3147</v>
      </c>
      <c r="O5006">
        <v>4</v>
      </c>
      <c r="P5006">
        <v>2</v>
      </c>
      <c r="Q5006">
        <v>1</v>
      </c>
      <c r="R5006" t="s">
        <v>5281</v>
      </c>
      <c r="S5006" t="s">
        <v>4898</v>
      </c>
      <c r="T5006" t="s">
        <v>2704</v>
      </c>
      <c r="U5006" t="s">
        <v>4560</v>
      </c>
      <c r="V5006" s="2">
        <v>649</v>
      </c>
      <c r="W5006" t="s">
        <v>4655</v>
      </c>
      <c r="X5006" s="2">
        <v>0</v>
      </c>
      <c r="Y5006">
        <v>11</v>
      </c>
      <c r="Z5006" t="s">
        <v>5282</v>
      </c>
      <c r="AA5006" s="3">
        <v>0.41342976689338684</v>
      </c>
      <c r="AB5006" t="s">
        <v>132</v>
      </c>
      <c r="AC5006" t="s">
        <v>4562</v>
      </c>
      <c r="AD5006" t="s">
        <v>133</v>
      </c>
      <c r="AE5006" t="s">
        <v>4655</v>
      </c>
      <c r="AF5006" t="s">
        <v>134</v>
      </c>
      <c r="AG5006" t="s">
        <v>3674</v>
      </c>
      <c r="AH5006" t="s">
        <v>135</v>
      </c>
      <c r="AI5006" t="s">
        <v>1974</v>
      </c>
      <c r="AJ5006" t="s">
        <v>1979</v>
      </c>
      <c r="AK5006" t="s">
        <v>267</v>
      </c>
      <c r="AL5006" s="13" t="s">
        <v>2255</v>
      </c>
      <c r="AM5006">
        <v>1</v>
      </c>
      <c r="AN5006" s="15" t="s">
        <v>3986</v>
      </c>
    </row>
    <row r="5007" spans="1:40" x14ac:dyDescent="0.3">
      <c r="A5007" s="10" t="str">
        <f>HYPERLINK("http://www.washoecounty.gov/assessor/cama/?parid=145-151-07&amp;CardNumber=1","145-151-07")</f>
        <v>145-151-07</v>
      </c>
      <c r="B5007" t="s">
        <v>4655</v>
      </c>
      <c r="C5007" t="s">
        <v>5605</v>
      </c>
      <c r="D5007" s="1">
        <v>40499</v>
      </c>
      <c r="E5007" s="2">
        <v>346071</v>
      </c>
      <c r="F5007" t="s">
        <v>3174</v>
      </c>
      <c r="G5007" s="17" t="str">
        <f>HYPERLINK("https://www.washoecounty.gov/assessor/cama/?command=sales&amp;parid=14515107","3944139")</f>
        <v>3944139</v>
      </c>
      <c r="H5007" t="s">
        <v>1973</v>
      </c>
      <c r="I5007">
        <v>2011</v>
      </c>
      <c r="J5007">
        <v>2011</v>
      </c>
      <c r="K5007" t="s">
        <v>4554</v>
      </c>
      <c r="L5007" t="s">
        <v>4555</v>
      </c>
      <c r="M5007" s="2">
        <v>2191</v>
      </c>
      <c r="N5007" t="s">
        <v>3147</v>
      </c>
      <c r="O5007">
        <v>4</v>
      </c>
      <c r="P5007">
        <v>2</v>
      </c>
      <c r="Q5007">
        <v>1</v>
      </c>
      <c r="R5007" t="s">
        <v>5281</v>
      </c>
      <c r="S5007" t="s">
        <v>4898</v>
      </c>
      <c r="T5007" t="s">
        <v>2704</v>
      </c>
      <c r="U5007" t="s">
        <v>4560</v>
      </c>
      <c r="V5007" s="2">
        <v>649</v>
      </c>
      <c r="W5007" t="s">
        <v>4655</v>
      </c>
      <c r="X5007" s="2">
        <v>0</v>
      </c>
      <c r="Y5007">
        <v>12</v>
      </c>
      <c r="Z5007" t="s">
        <v>5282</v>
      </c>
      <c r="AA5007" s="3">
        <v>0.31457757949829102</v>
      </c>
      <c r="AB5007" t="s">
        <v>439</v>
      </c>
      <c r="AC5007" t="s">
        <v>4562</v>
      </c>
      <c r="AD5007" t="s">
        <v>5605</v>
      </c>
      <c r="AE5007" t="s">
        <v>4655</v>
      </c>
      <c r="AF5007" t="s">
        <v>4563</v>
      </c>
      <c r="AG5007" t="s">
        <v>4564</v>
      </c>
      <c r="AH5007" t="s">
        <v>5197</v>
      </c>
      <c r="AI5007" t="s">
        <v>1974</v>
      </c>
      <c r="AJ5007" t="s">
        <v>1979</v>
      </c>
      <c r="AK5007" t="s">
        <v>268</v>
      </c>
      <c r="AL5007" s="13" t="s">
        <v>2255</v>
      </c>
      <c r="AM5007">
        <v>1</v>
      </c>
      <c r="AN5007" s="15" t="s">
        <v>3986</v>
      </c>
    </row>
    <row r="5008" spans="1:40" x14ac:dyDescent="0.3">
      <c r="A5008" s="10" t="str">
        <f>HYPERLINK("http://www.washoecounty.gov/assessor/cama/?parid=145-151-08&amp;CardNumber=1","145-151-08")</f>
        <v>145-151-08</v>
      </c>
      <c r="B5008" t="s">
        <v>4655</v>
      </c>
      <c r="C5008" t="s">
        <v>311</v>
      </c>
      <c r="D5008" s="1">
        <v>40515</v>
      </c>
      <c r="E5008" s="2">
        <v>207612</v>
      </c>
      <c r="F5008" t="s">
        <v>3528</v>
      </c>
      <c r="G5008" s="17" t="str">
        <f>HYPERLINK("https://www.washoecounty.gov/assessor/cama/?command=sales&amp;parid=14515108","3949346")</f>
        <v>3949346</v>
      </c>
      <c r="H5008" t="s">
        <v>1973</v>
      </c>
      <c r="I5008">
        <v>0</v>
      </c>
      <c r="J5008">
        <v>0</v>
      </c>
      <c r="K5008" t="s">
        <v>4655</v>
      </c>
      <c r="L5008" t="s">
        <v>4655</v>
      </c>
      <c r="M5008" s="2">
        <v>0</v>
      </c>
      <c r="N5008" t="s">
        <v>4655</v>
      </c>
      <c r="O5008">
        <v>0</v>
      </c>
      <c r="P5008">
        <v>0</v>
      </c>
      <c r="Q5008">
        <v>0</v>
      </c>
      <c r="R5008" t="s">
        <v>4655</v>
      </c>
      <c r="S5008" t="s">
        <v>4655</v>
      </c>
      <c r="T5008" t="s">
        <v>4655</v>
      </c>
      <c r="U5008" t="s">
        <v>4655</v>
      </c>
      <c r="V5008" s="2">
        <v>0</v>
      </c>
      <c r="W5008" t="s">
        <v>4655</v>
      </c>
      <c r="X5008" s="2">
        <v>0</v>
      </c>
      <c r="Y5008">
        <v>11</v>
      </c>
      <c r="Z5008" t="s">
        <v>5282</v>
      </c>
      <c r="AA5008" s="3">
        <v>0.39453628659248352</v>
      </c>
      <c r="AB5008" t="s">
        <v>25715</v>
      </c>
      <c r="AC5008" t="s">
        <v>4562</v>
      </c>
      <c r="AD5008" t="s">
        <v>1975</v>
      </c>
      <c r="AE5008" t="s">
        <v>4655</v>
      </c>
      <c r="AF5008" t="s">
        <v>4870</v>
      </c>
      <c r="AG5008" t="s">
        <v>4584</v>
      </c>
      <c r="AH5008" t="s">
        <v>1977</v>
      </c>
      <c r="AI5008" t="s">
        <v>1978</v>
      </c>
      <c r="AJ5008" t="s">
        <v>1979</v>
      </c>
      <c r="AK5008" t="s">
        <v>5215</v>
      </c>
      <c r="AL5008" s="13" t="s">
        <v>2255</v>
      </c>
      <c r="AM5008">
        <v>0</v>
      </c>
      <c r="AN5008" s="15" t="s">
        <v>3986</v>
      </c>
    </row>
    <row r="5009" spans="1:40" x14ac:dyDescent="0.3">
      <c r="A5009" s="10" t="str">
        <f>HYPERLINK("http://www.washoecounty.gov/assessor/cama/?parid=145-151-09&amp;CardNumber=1","145-151-09")</f>
        <v>145-151-09</v>
      </c>
      <c r="B5009" t="s">
        <v>4655</v>
      </c>
      <c r="C5009" t="s">
        <v>370</v>
      </c>
      <c r="D5009" s="1">
        <v>40420</v>
      </c>
      <c r="E5009" s="2">
        <v>221612</v>
      </c>
      <c r="F5009" t="s">
        <v>3528</v>
      </c>
      <c r="G5009" s="17" t="str">
        <f>HYPERLINK("https://www.washoecounty.gov/assessor/cama/?command=sales&amp;parid=14515109","3916813")</f>
        <v>3916813</v>
      </c>
      <c r="H5009" t="s">
        <v>1973</v>
      </c>
      <c r="I5009">
        <v>2010</v>
      </c>
      <c r="J5009">
        <v>2010</v>
      </c>
      <c r="K5009" t="s">
        <v>4554</v>
      </c>
      <c r="L5009" t="s">
        <v>4555</v>
      </c>
      <c r="M5009" s="2">
        <v>2191</v>
      </c>
      <c r="N5009" t="s">
        <v>3147</v>
      </c>
      <c r="O5009">
        <v>4</v>
      </c>
      <c r="P5009">
        <v>2</v>
      </c>
      <c r="Q5009">
        <v>1</v>
      </c>
      <c r="R5009" t="s">
        <v>5281</v>
      </c>
      <c r="S5009" t="s">
        <v>4898</v>
      </c>
      <c r="T5009" t="s">
        <v>2704</v>
      </c>
      <c r="U5009" t="s">
        <v>4560</v>
      </c>
      <c r="V5009" s="2">
        <v>649</v>
      </c>
      <c r="W5009" t="s">
        <v>4655</v>
      </c>
      <c r="X5009" s="2">
        <v>0</v>
      </c>
      <c r="Y5009">
        <v>11</v>
      </c>
      <c r="Z5009" t="s">
        <v>5282</v>
      </c>
      <c r="AA5009" s="3">
        <v>0.32865014672279402</v>
      </c>
      <c r="AB5009" t="s">
        <v>245</v>
      </c>
      <c r="AC5009" t="s">
        <v>4562</v>
      </c>
      <c r="AD5009" t="s">
        <v>246</v>
      </c>
      <c r="AE5009" t="s">
        <v>4655</v>
      </c>
      <c r="AF5009" t="s">
        <v>4563</v>
      </c>
      <c r="AG5009" t="s">
        <v>4564</v>
      </c>
      <c r="AH5009" t="s">
        <v>5197</v>
      </c>
      <c r="AI5009" t="s">
        <v>1974</v>
      </c>
      <c r="AJ5009" t="s">
        <v>1979</v>
      </c>
      <c r="AK5009" t="s">
        <v>1503</v>
      </c>
      <c r="AL5009" s="13" t="s">
        <v>2255</v>
      </c>
      <c r="AM5009">
        <v>1</v>
      </c>
      <c r="AN5009" s="15" t="s">
        <v>3986</v>
      </c>
    </row>
    <row r="5010" spans="1:40" x14ac:dyDescent="0.3">
      <c r="A5010" s="10" t="str">
        <f>HYPERLINK("http://www.washoecounty.gov/assessor/cama/?parid=145-151-10&amp;CardNumber=1","145-151-10")</f>
        <v>145-151-10</v>
      </c>
      <c r="B5010" t="s">
        <v>4655</v>
      </c>
      <c r="C5010" t="s">
        <v>5523</v>
      </c>
      <c r="D5010" s="1">
        <v>40420</v>
      </c>
      <c r="E5010" s="2">
        <v>221612</v>
      </c>
      <c r="F5010" t="s">
        <v>3528</v>
      </c>
      <c r="G5010" s="17" t="str">
        <f>HYPERLINK("https://www.washoecounty.gov/assessor/cama/?command=sales&amp;parid=14515110","3916813")</f>
        <v>3916813</v>
      </c>
      <c r="H5010" t="s">
        <v>1973</v>
      </c>
      <c r="I5010">
        <v>2010</v>
      </c>
      <c r="J5010">
        <v>2010</v>
      </c>
      <c r="K5010" t="s">
        <v>4554</v>
      </c>
      <c r="L5010" t="s">
        <v>4555</v>
      </c>
      <c r="M5010" s="2">
        <v>2191</v>
      </c>
      <c r="N5010" t="s">
        <v>3147</v>
      </c>
      <c r="O5010">
        <v>4</v>
      </c>
      <c r="P5010">
        <v>2</v>
      </c>
      <c r="Q5010">
        <v>1</v>
      </c>
      <c r="R5010" t="s">
        <v>5281</v>
      </c>
      <c r="S5010" t="s">
        <v>4898</v>
      </c>
      <c r="T5010" t="s">
        <v>2704</v>
      </c>
      <c r="U5010" t="s">
        <v>4560</v>
      </c>
      <c r="V5010" s="2">
        <v>649</v>
      </c>
      <c r="W5010" t="s">
        <v>4655</v>
      </c>
      <c r="X5010" s="2">
        <v>0</v>
      </c>
      <c r="Y5010">
        <v>11</v>
      </c>
      <c r="Z5010" t="s">
        <v>5282</v>
      </c>
      <c r="AA5010" s="3">
        <v>0.22022497653961201</v>
      </c>
      <c r="AB5010" t="s">
        <v>5522</v>
      </c>
      <c r="AC5010" t="s">
        <v>4575</v>
      </c>
      <c r="AD5010" t="s">
        <v>5523</v>
      </c>
      <c r="AE5010" t="s">
        <v>4655</v>
      </c>
      <c r="AF5010" t="s">
        <v>4563</v>
      </c>
      <c r="AG5010" t="s">
        <v>4564</v>
      </c>
      <c r="AH5010" t="s">
        <v>5197</v>
      </c>
      <c r="AI5010" t="s">
        <v>1974</v>
      </c>
      <c r="AJ5010" t="s">
        <v>1979</v>
      </c>
      <c r="AK5010" t="s">
        <v>1504</v>
      </c>
      <c r="AL5010" s="13" t="s">
        <v>2255</v>
      </c>
      <c r="AM5010">
        <v>1</v>
      </c>
      <c r="AN5010" s="15" t="s">
        <v>3986</v>
      </c>
    </row>
    <row r="5011" spans="1:40" x14ac:dyDescent="0.3">
      <c r="A5011" s="10" t="str">
        <f>HYPERLINK("http://www.washoecounty.gov/assessor/cama/?parid=145-151-11&amp;CardNumber=1","145-151-11")</f>
        <v>145-151-11</v>
      </c>
      <c r="B5011" t="s">
        <v>4655</v>
      </c>
      <c r="C5011" t="s">
        <v>5606</v>
      </c>
      <c r="D5011" s="1">
        <v>40515</v>
      </c>
      <c r="E5011" s="2">
        <v>207612</v>
      </c>
      <c r="F5011" t="s">
        <v>3528</v>
      </c>
      <c r="G5011" s="17" t="str">
        <f>HYPERLINK("https://www.washoecounty.gov/assessor/cama/?command=sales&amp;parid=14515111","3949346")</f>
        <v>3949346</v>
      </c>
      <c r="H5011" t="s">
        <v>1973</v>
      </c>
      <c r="I5011">
        <v>2011</v>
      </c>
      <c r="J5011">
        <v>2011</v>
      </c>
      <c r="K5011" t="s">
        <v>4554</v>
      </c>
      <c r="L5011" t="s">
        <v>4555</v>
      </c>
      <c r="M5011" s="2">
        <v>1904</v>
      </c>
      <c r="N5011" t="s">
        <v>3147</v>
      </c>
      <c r="O5011">
        <v>3</v>
      </c>
      <c r="P5011">
        <v>2</v>
      </c>
      <c r="Q5011">
        <v>0</v>
      </c>
      <c r="R5011" t="s">
        <v>5281</v>
      </c>
      <c r="S5011" t="s">
        <v>4898</v>
      </c>
      <c r="T5011" t="s">
        <v>2704</v>
      </c>
      <c r="U5011" t="s">
        <v>4560</v>
      </c>
      <c r="V5011" s="2">
        <v>634</v>
      </c>
      <c r="W5011" t="s">
        <v>4655</v>
      </c>
      <c r="X5011" s="2">
        <v>0</v>
      </c>
      <c r="Y5011">
        <v>11</v>
      </c>
      <c r="Z5011" t="s">
        <v>5282</v>
      </c>
      <c r="AA5011" s="3">
        <v>0.28172636032104498</v>
      </c>
      <c r="AB5011" t="s">
        <v>3982</v>
      </c>
      <c r="AC5011" t="s">
        <v>4562</v>
      </c>
      <c r="AD5011" t="s">
        <v>5666</v>
      </c>
      <c r="AE5011" t="s">
        <v>4655</v>
      </c>
      <c r="AF5011" t="s">
        <v>3983</v>
      </c>
      <c r="AG5011" t="s">
        <v>4564</v>
      </c>
      <c r="AH5011" t="s">
        <v>3984</v>
      </c>
      <c r="AI5011" t="s">
        <v>5667</v>
      </c>
      <c r="AJ5011" t="s">
        <v>1979</v>
      </c>
      <c r="AK5011" t="s">
        <v>4871</v>
      </c>
      <c r="AL5011" s="13" t="s">
        <v>2255</v>
      </c>
      <c r="AM5011" s="14">
        <v>1</v>
      </c>
      <c r="AN5011" s="15" t="s">
        <v>3986</v>
      </c>
    </row>
    <row r="5012" spans="1:40" x14ac:dyDescent="0.3">
      <c r="A5012" s="10" t="str">
        <f>HYPERLINK("http://www.washoecounty.gov/assessor/cama/?parid=145-152-18&amp;CardNumber=1","145-152-18")</f>
        <v>145-152-18</v>
      </c>
      <c r="B5012" t="s">
        <v>4655</v>
      </c>
      <c r="C5012" t="s">
        <v>5607</v>
      </c>
      <c r="D5012" s="1">
        <v>40515</v>
      </c>
      <c r="E5012" s="2">
        <v>207612</v>
      </c>
      <c r="F5012" t="s">
        <v>3528</v>
      </c>
      <c r="G5012" s="17" t="str">
        <f>HYPERLINK("https://www.washoecounty.gov/assessor/cama/?command=sales&amp;parid=14515218","3949346")</f>
        <v>3949346</v>
      </c>
      <c r="H5012" t="s">
        <v>1973</v>
      </c>
      <c r="I5012">
        <v>2011</v>
      </c>
      <c r="J5012">
        <v>2011</v>
      </c>
      <c r="K5012" t="s">
        <v>4554</v>
      </c>
      <c r="L5012" t="s">
        <v>4555</v>
      </c>
      <c r="M5012" s="2">
        <v>2191</v>
      </c>
      <c r="N5012" t="s">
        <v>3147</v>
      </c>
      <c r="O5012">
        <v>4</v>
      </c>
      <c r="P5012">
        <v>2</v>
      </c>
      <c r="Q5012">
        <v>1</v>
      </c>
      <c r="R5012" t="s">
        <v>5281</v>
      </c>
      <c r="S5012" t="s">
        <v>4898</v>
      </c>
      <c r="T5012" t="s">
        <v>2704</v>
      </c>
      <c r="U5012" t="s">
        <v>4560</v>
      </c>
      <c r="V5012" s="2">
        <v>649</v>
      </c>
      <c r="W5012" t="s">
        <v>4655</v>
      </c>
      <c r="X5012" s="2">
        <v>0</v>
      </c>
      <c r="Y5012">
        <v>11</v>
      </c>
      <c r="Z5012" t="s">
        <v>5282</v>
      </c>
      <c r="AA5012" s="3">
        <v>0.28735077381134</v>
      </c>
      <c r="AB5012" t="s">
        <v>91</v>
      </c>
      <c r="AC5012" t="s">
        <v>4575</v>
      </c>
      <c r="AD5012" t="s">
        <v>5607</v>
      </c>
      <c r="AE5012" t="s">
        <v>4655</v>
      </c>
      <c r="AF5012" t="s">
        <v>4563</v>
      </c>
      <c r="AG5012" t="s">
        <v>4564</v>
      </c>
      <c r="AH5012" t="s">
        <v>5197</v>
      </c>
      <c r="AI5012" t="s">
        <v>5667</v>
      </c>
      <c r="AJ5012" t="s">
        <v>1979</v>
      </c>
      <c r="AK5012" t="s">
        <v>5214</v>
      </c>
      <c r="AL5012" s="13" t="s">
        <v>2255</v>
      </c>
      <c r="AM5012">
        <v>1</v>
      </c>
      <c r="AN5012" s="15" t="s">
        <v>3986</v>
      </c>
    </row>
    <row r="5013" spans="1:40" x14ac:dyDescent="0.3">
      <c r="A5013" s="10" t="str">
        <f>HYPERLINK("http://www.washoecounty.gov/assessor/cama/?parid=145-152-19&amp;CardNumber=1","145-152-19")</f>
        <v>145-152-19</v>
      </c>
      <c r="B5013" t="s">
        <v>4655</v>
      </c>
      <c r="C5013" t="s">
        <v>5608</v>
      </c>
      <c r="D5013" s="1">
        <v>40515</v>
      </c>
      <c r="E5013" s="2">
        <v>207612</v>
      </c>
      <c r="F5013" t="s">
        <v>3528</v>
      </c>
      <c r="G5013" s="17" t="str">
        <f>HYPERLINK("https://www.washoecounty.gov/assessor/cama/?command=sales&amp;parid=14515219","3949346")</f>
        <v>3949346</v>
      </c>
      <c r="H5013" t="s">
        <v>1973</v>
      </c>
      <c r="I5013">
        <v>2011</v>
      </c>
      <c r="J5013">
        <v>2011</v>
      </c>
      <c r="K5013" t="s">
        <v>4554</v>
      </c>
      <c r="L5013" t="s">
        <v>4555</v>
      </c>
      <c r="M5013" s="2">
        <v>1904</v>
      </c>
      <c r="N5013" t="s">
        <v>3147</v>
      </c>
      <c r="O5013">
        <v>3</v>
      </c>
      <c r="P5013">
        <v>2</v>
      </c>
      <c r="Q5013">
        <v>0</v>
      </c>
      <c r="R5013" t="s">
        <v>5281</v>
      </c>
      <c r="S5013" t="s">
        <v>4898</v>
      </c>
      <c r="T5013" t="s">
        <v>2704</v>
      </c>
      <c r="U5013" t="s">
        <v>4560</v>
      </c>
      <c r="V5013" s="2">
        <v>634</v>
      </c>
      <c r="W5013" t="s">
        <v>4655</v>
      </c>
      <c r="X5013" s="2">
        <v>0</v>
      </c>
      <c r="Y5013">
        <v>11</v>
      </c>
      <c r="Z5013" t="s">
        <v>5282</v>
      </c>
      <c r="AA5013" s="3">
        <v>0.25732323527336121</v>
      </c>
      <c r="AB5013" t="s">
        <v>25715</v>
      </c>
      <c r="AC5013" t="s">
        <v>4562</v>
      </c>
      <c r="AD5013" t="s">
        <v>1975</v>
      </c>
      <c r="AE5013" t="s">
        <v>4655</v>
      </c>
      <c r="AF5013" t="s">
        <v>4870</v>
      </c>
      <c r="AG5013" t="s">
        <v>4584</v>
      </c>
      <c r="AH5013" t="s">
        <v>1977</v>
      </c>
      <c r="AI5013" t="s">
        <v>4655</v>
      </c>
      <c r="AJ5013" t="s">
        <v>1979</v>
      </c>
      <c r="AK5013" t="s">
        <v>4868</v>
      </c>
      <c r="AL5013" s="13" t="s">
        <v>2255</v>
      </c>
      <c r="AM5013" s="14">
        <v>1</v>
      </c>
      <c r="AN5013" s="15" t="s">
        <v>3986</v>
      </c>
    </row>
    <row r="5014" spans="1:40" x14ac:dyDescent="0.3">
      <c r="A5014" s="10" t="str">
        <f>HYPERLINK("http://www.washoecounty.gov/assessor/cama/?parid=145-152-20&amp;CardNumber=1","145-152-20")</f>
        <v>145-152-20</v>
      </c>
      <c r="B5014" t="s">
        <v>4655</v>
      </c>
      <c r="C5014" t="s">
        <v>371</v>
      </c>
      <c r="D5014" s="1">
        <v>40420</v>
      </c>
      <c r="E5014" s="2">
        <v>221612</v>
      </c>
      <c r="F5014" t="s">
        <v>3528</v>
      </c>
      <c r="G5014" s="17" t="str">
        <f>HYPERLINK("https://www.washoecounty.gov/assessor/cama/?command=sales&amp;parid=14515220","3916813")</f>
        <v>3916813</v>
      </c>
      <c r="H5014" t="s">
        <v>1973</v>
      </c>
      <c r="I5014">
        <v>2010</v>
      </c>
      <c r="J5014">
        <v>2010</v>
      </c>
      <c r="K5014" t="s">
        <v>4554</v>
      </c>
      <c r="L5014" t="s">
        <v>4555</v>
      </c>
      <c r="M5014" s="2">
        <v>2191</v>
      </c>
      <c r="N5014" t="s">
        <v>3147</v>
      </c>
      <c r="O5014">
        <v>4</v>
      </c>
      <c r="P5014">
        <v>2</v>
      </c>
      <c r="Q5014">
        <v>1</v>
      </c>
      <c r="R5014" t="s">
        <v>5281</v>
      </c>
      <c r="S5014" t="s">
        <v>4898</v>
      </c>
      <c r="T5014" t="s">
        <v>2704</v>
      </c>
      <c r="U5014" t="s">
        <v>4560</v>
      </c>
      <c r="V5014" s="2">
        <v>649</v>
      </c>
      <c r="W5014" t="s">
        <v>4655</v>
      </c>
      <c r="X5014" s="2">
        <v>0</v>
      </c>
      <c r="Y5014">
        <v>11</v>
      </c>
      <c r="Z5014" t="s">
        <v>5282</v>
      </c>
      <c r="AA5014" s="3">
        <v>0.26744720339775102</v>
      </c>
      <c r="AB5014" t="s">
        <v>5396</v>
      </c>
      <c r="AC5014" t="s">
        <v>4575</v>
      </c>
      <c r="AD5014" t="s">
        <v>5397</v>
      </c>
      <c r="AE5014" t="s">
        <v>4655</v>
      </c>
      <c r="AF5014" t="s">
        <v>1407</v>
      </c>
      <c r="AG5014" t="s">
        <v>4564</v>
      </c>
      <c r="AH5014">
        <v>89702</v>
      </c>
      <c r="AI5014" t="s">
        <v>1974</v>
      </c>
      <c r="AJ5014" t="s">
        <v>1979</v>
      </c>
      <c r="AK5014" t="s">
        <v>1505</v>
      </c>
      <c r="AL5014" s="13" t="s">
        <v>2255</v>
      </c>
      <c r="AM5014" s="14">
        <v>1</v>
      </c>
      <c r="AN5014" s="15" t="s">
        <v>3986</v>
      </c>
    </row>
    <row r="5015" spans="1:40" x14ac:dyDescent="0.3">
      <c r="A5015" s="10" t="str">
        <f>HYPERLINK("http://www.washoecounty.gov/assessor/cama/?parid=148-041-24&amp;CardNumber=1","148-041-24")</f>
        <v>148-041-24</v>
      </c>
      <c r="B5015" t="s">
        <v>4655</v>
      </c>
      <c r="C5015" t="s">
        <v>25716</v>
      </c>
      <c r="D5015" s="1">
        <v>40478</v>
      </c>
      <c r="E5015" s="2">
        <v>644000</v>
      </c>
      <c r="F5015" t="s">
        <v>4567</v>
      </c>
      <c r="G5015" s="17" t="str">
        <f>HYPERLINK("https://www.washoecounty.gov/assessor/cama/?command=sales&amp;parid=14804124","3937193")</f>
        <v>3937193</v>
      </c>
      <c r="H5015" t="s">
        <v>25717</v>
      </c>
      <c r="I5015">
        <v>2002</v>
      </c>
      <c r="J5015">
        <v>2002</v>
      </c>
      <c r="K5015" t="s">
        <v>4554</v>
      </c>
      <c r="L5015" t="s">
        <v>4555</v>
      </c>
      <c r="M5015" s="2">
        <v>4154</v>
      </c>
      <c r="N5015" t="s">
        <v>1245</v>
      </c>
      <c r="O5015">
        <v>5</v>
      </c>
      <c r="P5015">
        <v>4</v>
      </c>
      <c r="Q5015">
        <v>0</v>
      </c>
      <c r="R5015" t="s">
        <v>4557</v>
      </c>
      <c r="S5015" t="s">
        <v>4135</v>
      </c>
      <c r="T5015" t="s">
        <v>4559</v>
      </c>
      <c r="U5015" t="s">
        <v>4560</v>
      </c>
      <c r="V5015" s="2">
        <v>2016</v>
      </c>
      <c r="W5015" t="s">
        <v>4655</v>
      </c>
      <c r="X5015" s="2">
        <v>0</v>
      </c>
      <c r="Y5015">
        <v>20</v>
      </c>
      <c r="Z5015" t="s">
        <v>3884</v>
      </c>
      <c r="AA5015" s="3">
        <v>1.01000916957855</v>
      </c>
      <c r="AB5015" t="s">
        <v>25718</v>
      </c>
      <c r="AC5015" t="s">
        <v>4575</v>
      </c>
      <c r="AD5015" t="s">
        <v>25716</v>
      </c>
      <c r="AE5015" t="s">
        <v>4655</v>
      </c>
      <c r="AF5015" t="s">
        <v>4563</v>
      </c>
      <c r="AG5015" t="s">
        <v>4564</v>
      </c>
      <c r="AH5015">
        <v>89511</v>
      </c>
      <c r="AI5015" t="s">
        <v>25719</v>
      </c>
      <c r="AJ5015" t="s">
        <v>25720</v>
      </c>
      <c r="AK5015" t="s">
        <v>25721</v>
      </c>
      <c r="AL5015" s="13" t="s">
        <v>3428</v>
      </c>
      <c r="AM5015">
        <v>1</v>
      </c>
      <c r="AN5015" s="15" t="s">
        <v>889</v>
      </c>
    </row>
    <row r="5016" spans="1:40" x14ac:dyDescent="0.3">
      <c r="A5016" s="10" t="str">
        <f>HYPERLINK("http://www.washoecounty.gov/assessor/cama/?parid=148-061-16&amp;CardNumber=1","148-061-16")</f>
        <v>148-061-16</v>
      </c>
      <c r="B5016" t="s">
        <v>4655</v>
      </c>
      <c r="C5016" t="s">
        <v>25722</v>
      </c>
      <c r="D5016" s="1">
        <v>40490</v>
      </c>
      <c r="E5016" s="2">
        <v>120000</v>
      </c>
      <c r="F5016" t="s">
        <v>3259</v>
      </c>
      <c r="G5016" s="17" t="str">
        <f>HYPERLINK("https://www.washoecounty.gov/assessor/cama/?command=sales&amp;parid=14806116","3940705")</f>
        <v>3940705</v>
      </c>
      <c r="H5016" t="s">
        <v>4223</v>
      </c>
      <c r="I5016">
        <v>0</v>
      </c>
      <c r="J5016">
        <v>0</v>
      </c>
      <c r="K5016" t="s">
        <v>4655</v>
      </c>
      <c r="L5016" t="s">
        <v>4655</v>
      </c>
      <c r="M5016" s="2">
        <v>0</v>
      </c>
      <c r="N5016" t="s">
        <v>4655</v>
      </c>
      <c r="O5016">
        <v>0</v>
      </c>
      <c r="P5016">
        <v>0</v>
      </c>
      <c r="Q5016">
        <v>0</v>
      </c>
      <c r="R5016" t="s">
        <v>4655</v>
      </c>
      <c r="S5016" t="s">
        <v>4655</v>
      </c>
      <c r="T5016" t="s">
        <v>4655</v>
      </c>
      <c r="U5016" t="s">
        <v>4655</v>
      </c>
      <c r="V5016" s="2">
        <v>0</v>
      </c>
      <c r="W5016" t="s">
        <v>4655</v>
      </c>
      <c r="X5016" s="2">
        <v>0</v>
      </c>
      <c r="Y5016">
        <v>12</v>
      </c>
      <c r="Z5016" t="s">
        <v>3884</v>
      </c>
      <c r="AA5016" s="3">
        <v>0.44299817085266102</v>
      </c>
      <c r="AB5016" t="s">
        <v>25723</v>
      </c>
      <c r="AC5016" t="s">
        <v>4575</v>
      </c>
      <c r="AD5016" t="s">
        <v>25724</v>
      </c>
      <c r="AE5016" t="s">
        <v>4655</v>
      </c>
      <c r="AF5016" t="s">
        <v>4563</v>
      </c>
      <c r="AG5016" t="s">
        <v>4564</v>
      </c>
      <c r="AH5016">
        <v>89511</v>
      </c>
      <c r="AI5016" t="s">
        <v>4655</v>
      </c>
      <c r="AJ5016" t="s">
        <v>4224</v>
      </c>
      <c r="AK5016" t="s">
        <v>25725</v>
      </c>
      <c r="AL5016" s="13" t="s">
        <v>3428</v>
      </c>
      <c r="AM5016">
        <v>0</v>
      </c>
      <c r="AN5016" s="15" t="s">
        <v>1226</v>
      </c>
    </row>
    <row r="5017" spans="1:40" x14ac:dyDescent="0.3">
      <c r="A5017" s="10" t="str">
        <f>HYPERLINK("http://www.washoecounty.gov/assessor/cama/?parid=148-061-27&amp;CardNumber=1","148-061-27")</f>
        <v>148-061-27</v>
      </c>
      <c r="B5017" t="s">
        <v>4655</v>
      </c>
      <c r="C5017" t="s">
        <v>25726</v>
      </c>
      <c r="D5017" s="1">
        <v>40326</v>
      </c>
      <c r="E5017" s="2">
        <v>735000</v>
      </c>
      <c r="F5017" t="s">
        <v>4553</v>
      </c>
      <c r="G5017" s="17" t="str">
        <f>HYPERLINK("https://www.washoecounty.gov/assessor/cama/?command=sales&amp;parid=14806127","3886712")</f>
        <v>3886712</v>
      </c>
      <c r="H5017" t="s">
        <v>4223</v>
      </c>
      <c r="I5017">
        <v>1998</v>
      </c>
      <c r="J5017">
        <v>1998</v>
      </c>
      <c r="K5017" t="s">
        <v>4554</v>
      </c>
      <c r="L5017" t="s">
        <v>3974</v>
      </c>
      <c r="M5017" s="2">
        <v>4103</v>
      </c>
      <c r="N5017" t="s">
        <v>5629</v>
      </c>
      <c r="O5017">
        <v>4</v>
      </c>
      <c r="P5017">
        <v>3</v>
      </c>
      <c r="Q5017">
        <v>1</v>
      </c>
      <c r="R5017" t="s">
        <v>2632</v>
      </c>
      <c r="S5017" t="s">
        <v>4898</v>
      </c>
      <c r="T5017" t="s">
        <v>2704</v>
      </c>
      <c r="U5017" t="s">
        <v>4560</v>
      </c>
      <c r="V5017" s="2">
        <v>891</v>
      </c>
      <c r="W5017" t="s">
        <v>4655</v>
      </c>
      <c r="X5017" s="2">
        <v>0</v>
      </c>
      <c r="Y5017">
        <v>20</v>
      </c>
      <c r="Z5017" t="s">
        <v>3884</v>
      </c>
      <c r="AA5017" s="3">
        <v>0.50399446487426702</v>
      </c>
      <c r="AB5017" t="s">
        <v>25727</v>
      </c>
      <c r="AC5017" t="s">
        <v>4575</v>
      </c>
      <c r="AD5017" t="s">
        <v>25726</v>
      </c>
      <c r="AE5017" t="s">
        <v>4655</v>
      </c>
      <c r="AF5017" t="s">
        <v>4563</v>
      </c>
      <c r="AG5017" t="s">
        <v>4564</v>
      </c>
      <c r="AH5017">
        <v>89511</v>
      </c>
      <c r="AI5017" t="s">
        <v>4045</v>
      </c>
      <c r="AJ5017" t="s">
        <v>4224</v>
      </c>
      <c r="AK5017" t="s">
        <v>25728</v>
      </c>
      <c r="AL5017" s="13" t="s">
        <v>3428</v>
      </c>
      <c r="AM5017">
        <v>1</v>
      </c>
      <c r="AN5017" s="15" t="s">
        <v>1226</v>
      </c>
    </row>
    <row r="5018" spans="1:40" x14ac:dyDescent="0.3">
      <c r="A5018" s="10" t="str">
        <f>HYPERLINK("http://www.washoecounty.gov/assessor/cama/?parid=148-061-34&amp;CardNumber=1","148-061-34")</f>
        <v>148-061-34</v>
      </c>
      <c r="B5018" t="s">
        <v>4655</v>
      </c>
      <c r="C5018" t="s">
        <v>25729</v>
      </c>
      <c r="D5018" s="1">
        <v>40388</v>
      </c>
      <c r="E5018" s="2">
        <v>875000</v>
      </c>
      <c r="F5018" t="s">
        <v>4567</v>
      </c>
      <c r="G5018" s="17" t="str">
        <f>HYPERLINK("https://www.washoecounty.gov/assessor/cama/?command=sales&amp;parid=14806134","3906748")</f>
        <v>3906748</v>
      </c>
      <c r="H5018" t="s">
        <v>4223</v>
      </c>
      <c r="I5018">
        <v>2000</v>
      </c>
      <c r="J5018">
        <v>2000</v>
      </c>
      <c r="K5018" t="s">
        <v>4554</v>
      </c>
      <c r="L5018" t="s">
        <v>3974</v>
      </c>
      <c r="M5018" s="2">
        <v>4503</v>
      </c>
      <c r="N5018" t="s">
        <v>5629</v>
      </c>
      <c r="O5018">
        <v>5</v>
      </c>
      <c r="P5018">
        <v>5</v>
      </c>
      <c r="Q5018">
        <v>1</v>
      </c>
      <c r="R5018" t="s">
        <v>2632</v>
      </c>
      <c r="S5018" t="s">
        <v>4898</v>
      </c>
      <c r="T5018" t="s">
        <v>2704</v>
      </c>
      <c r="U5018" t="s">
        <v>4560</v>
      </c>
      <c r="V5018" s="2">
        <v>1076</v>
      </c>
      <c r="W5018" t="s">
        <v>4655</v>
      </c>
      <c r="X5018" s="2">
        <v>0</v>
      </c>
      <c r="Y5018">
        <v>20</v>
      </c>
      <c r="Z5018" t="s">
        <v>3884</v>
      </c>
      <c r="AA5018" s="3">
        <v>0.48999083042144798</v>
      </c>
      <c r="AB5018" t="s">
        <v>782</v>
      </c>
      <c r="AC5018" t="s">
        <v>4575</v>
      </c>
      <c r="AD5018" t="s">
        <v>25730</v>
      </c>
      <c r="AE5018" t="s">
        <v>4655</v>
      </c>
      <c r="AF5018" t="s">
        <v>2408</v>
      </c>
      <c r="AG5018" t="s">
        <v>4584</v>
      </c>
      <c r="AH5018">
        <v>94010</v>
      </c>
      <c r="AI5018" t="s">
        <v>25731</v>
      </c>
      <c r="AJ5018" t="s">
        <v>4224</v>
      </c>
      <c r="AK5018" t="s">
        <v>25732</v>
      </c>
      <c r="AL5018" s="13" t="s">
        <v>3428</v>
      </c>
      <c r="AM5018">
        <v>1</v>
      </c>
      <c r="AN5018" s="15" t="s">
        <v>1226</v>
      </c>
    </row>
    <row r="5019" spans="1:40" x14ac:dyDescent="0.3">
      <c r="A5019" s="10" t="str">
        <f>HYPERLINK("http://www.washoecounty.gov/assessor/cama/?parid=148-061-48&amp;CardNumber=1","148-061-48")</f>
        <v>148-061-48</v>
      </c>
      <c r="B5019" t="s">
        <v>4655</v>
      </c>
      <c r="C5019" t="s">
        <v>25733</v>
      </c>
      <c r="D5019" s="1">
        <v>40294</v>
      </c>
      <c r="E5019" s="2">
        <v>950000</v>
      </c>
      <c r="F5019" t="s">
        <v>4553</v>
      </c>
      <c r="G5019" s="17" t="str">
        <f>HYPERLINK("https://www.washoecounty.gov/assessor/cama/?command=sales&amp;parid=14806148","3874762")</f>
        <v>3874762</v>
      </c>
      <c r="H5019" t="s">
        <v>4223</v>
      </c>
      <c r="I5019">
        <v>2004</v>
      </c>
      <c r="J5019">
        <v>2004</v>
      </c>
      <c r="K5019" t="s">
        <v>4554</v>
      </c>
      <c r="L5019" t="s">
        <v>3974</v>
      </c>
      <c r="M5019" s="2">
        <v>4807</v>
      </c>
      <c r="N5019" t="s">
        <v>5076</v>
      </c>
      <c r="O5019">
        <v>3</v>
      </c>
      <c r="P5019">
        <v>3</v>
      </c>
      <c r="Q5019">
        <v>1</v>
      </c>
      <c r="R5019" t="s">
        <v>2632</v>
      </c>
      <c r="S5019" t="s">
        <v>4898</v>
      </c>
      <c r="T5019" t="s">
        <v>2704</v>
      </c>
      <c r="U5019" t="s">
        <v>5631</v>
      </c>
      <c r="V5019" s="2">
        <v>1105</v>
      </c>
      <c r="W5019" t="s">
        <v>4655</v>
      </c>
      <c r="X5019" s="2">
        <v>0</v>
      </c>
      <c r="Y5019">
        <v>20</v>
      </c>
      <c r="Z5019" t="s">
        <v>3884</v>
      </c>
      <c r="AA5019" s="3">
        <v>0.57199263572692871</v>
      </c>
      <c r="AB5019" t="s">
        <v>25734</v>
      </c>
      <c r="AC5019" t="s">
        <v>4575</v>
      </c>
      <c r="AD5019" t="s">
        <v>25733</v>
      </c>
      <c r="AE5019" t="s">
        <v>4655</v>
      </c>
      <c r="AF5019" t="s">
        <v>4563</v>
      </c>
      <c r="AG5019" t="s">
        <v>4564</v>
      </c>
      <c r="AH5019">
        <v>89511</v>
      </c>
      <c r="AI5019" t="s">
        <v>25735</v>
      </c>
      <c r="AJ5019" t="s">
        <v>4224</v>
      </c>
      <c r="AK5019" t="s">
        <v>25736</v>
      </c>
      <c r="AL5019" s="13" t="s">
        <v>3428</v>
      </c>
      <c r="AM5019" s="14">
        <v>1</v>
      </c>
      <c r="AN5019" s="15" t="s">
        <v>1226</v>
      </c>
    </row>
    <row r="5020" spans="1:40" x14ac:dyDescent="0.3">
      <c r="A5020" s="10" t="str">
        <f>HYPERLINK("http://www.washoecounty.gov/assessor/cama/?parid=148-062-16&amp;CardNumber=1","148-062-16")</f>
        <v>148-062-16</v>
      </c>
      <c r="B5020" t="s">
        <v>4655</v>
      </c>
      <c r="C5020" t="s">
        <v>25737</v>
      </c>
      <c r="D5020" s="1">
        <v>40529</v>
      </c>
      <c r="E5020" s="2">
        <v>815000</v>
      </c>
      <c r="F5020" t="s">
        <v>4553</v>
      </c>
      <c r="G5020" s="17" t="str">
        <f>HYPERLINK("https://www.washoecounty.gov/assessor/cama/?command=sales&amp;parid=14806216","3954985")</f>
        <v>3954985</v>
      </c>
      <c r="H5020" t="s">
        <v>4223</v>
      </c>
      <c r="I5020">
        <v>2007</v>
      </c>
      <c r="J5020">
        <v>2007</v>
      </c>
      <c r="K5020" t="s">
        <v>4554</v>
      </c>
      <c r="L5020" t="s">
        <v>3974</v>
      </c>
      <c r="M5020" s="2">
        <v>4563</v>
      </c>
      <c r="N5020" t="s">
        <v>2967</v>
      </c>
      <c r="O5020">
        <v>4</v>
      </c>
      <c r="P5020">
        <v>4</v>
      </c>
      <c r="Q5020">
        <v>1</v>
      </c>
      <c r="R5020" t="s">
        <v>2632</v>
      </c>
      <c r="S5020" t="s">
        <v>4898</v>
      </c>
      <c r="T5020" t="s">
        <v>2704</v>
      </c>
      <c r="U5020" t="s">
        <v>4560</v>
      </c>
      <c r="V5020" s="2">
        <v>996</v>
      </c>
      <c r="W5020" t="s">
        <v>4655</v>
      </c>
      <c r="X5020" s="2">
        <v>0</v>
      </c>
      <c r="Y5020">
        <v>20</v>
      </c>
      <c r="Z5020" t="s">
        <v>3884</v>
      </c>
      <c r="AA5020" s="3">
        <v>0.44299817085266102</v>
      </c>
      <c r="AB5020" t="s">
        <v>25738</v>
      </c>
      <c r="AC5020" t="s">
        <v>4562</v>
      </c>
      <c r="AD5020" t="s">
        <v>25737</v>
      </c>
      <c r="AE5020" t="s">
        <v>4655</v>
      </c>
      <c r="AF5020" t="s">
        <v>4563</v>
      </c>
      <c r="AG5020" t="s">
        <v>4564</v>
      </c>
      <c r="AH5020">
        <v>89511</v>
      </c>
      <c r="AI5020" t="s">
        <v>20478</v>
      </c>
      <c r="AJ5020" t="s">
        <v>4224</v>
      </c>
      <c r="AK5020" t="s">
        <v>25739</v>
      </c>
      <c r="AL5020" s="13" t="s">
        <v>3428</v>
      </c>
      <c r="AM5020" s="14">
        <v>1</v>
      </c>
      <c r="AN5020" s="15" t="s">
        <v>1226</v>
      </c>
    </row>
    <row r="5021" spans="1:40" x14ac:dyDescent="0.3">
      <c r="A5021" s="10" t="str">
        <f>HYPERLINK("http://www.washoecounty.gov/assessor/cama/?parid=148-062-19&amp;CardNumber=1","148-062-19")</f>
        <v>148-062-19</v>
      </c>
      <c r="B5021" t="s">
        <v>4655</v>
      </c>
      <c r="C5021" t="s">
        <v>25740</v>
      </c>
      <c r="D5021" s="1">
        <v>40512</v>
      </c>
      <c r="E5021" s="2">
        <v>890000</v>
      </c>
      <c r="F5021" t="s">
        <v>4567</v>
      </c>
      <c r="G5021" s="17" t="str">
        <f>HYPERLINK("https://www.washoecounty.gov/assessor/cama/?command=sales&amp;parid=14806219","3947819")</f>
        <v>3947819</v>
      </c>
      <c r="H5021" t="s">
        <v>4223</v>
      </c>
      <c r="I5021">
        <v>2005</v>
      </c>
      <c r="J5021">
        <v>2005</v>
      </c>
      <c r="K5021" t="s">
        <v>4554</v>
      </c>
      <c r="L5021" t="s">
        <v>2170</v>
      </c>
      <c r="M5021" s="2">
        <v>4324</v>
      </c>
      <c r="N5021" t="s">
        <v>5629</v>
      </c>
      <c r="O5021">
        <v>5</v>
      </c>
      <c r="P5021">
        <v>4</v>
      </c>
      <c r="Q5021">
        <v>0</v>
      </c>
      <c r="R5021" t="s">
        <v>2632</v>
      </c>
      <c r="S5021" t="s">
        <v>4898</v>
      </c>
      <c r="T5021" t="s">
        <v>2704</v>
      </c>
      <c r="U5021" t="s">
        <v>5631</v>
      </c>
      <c r="V5021" s="2">
        <v>940</v>
      </c>
      <c r="W5021" t="s">
        <v>4655</v>
      </c>
      <c r="X5021" s="2">
        <v>0</v>
      </c>
      <c r="Y5021">
        <v>20</v>
      </c>
      <c r="Z5021" t="s">
        <v>3884</v>
      </c>
      <c r="AA5021" s="3">
        <v>0.50700181722640902</v>
      </c>
      <c r="AB5021" t="s">
        <v>25741</v>
      </c>
      <c r="AC5021" t="s">
        <v>4575</v>
      </c>
      <c r="AD5021" t="s">
        <v>25740</v>
      </c>
      <c r="AE5021" t="s">
        <v>4655</v>
      </c>
      <c r="AF5021" t="s">
        <v>4563</v>
      </c>
      <c r="AG5021" t="s">
        <v>4564</v>
      </c>
      <c r="AH5021">
        <v>89511</v>
      </c>
      <c r="AI5021" t="s">
        <v>25742</v>
      </c>
      <c r="AJ5021" t="s">
        <v>4224</v>
      </c>
      <c r="AK5021" t="s">
        <v>25743</v>
      </c>
      <c r="AL5021" s="13" t="s">
        <v>3428</v>
      </c>
      <c r="AM5021">
        <v>1</v>
      </c>
      <c r="AN5021" s="15" t="s">
        <v>1226</v>
      </c>
    </row>
    <row r="5022" spans="1:40" x14ac:dyDescent="0.3">
      <c r="A5022" s="10" t="str">
        <f>HYPERLINK("http://www.washoecounty.gov/assessor/cama/?parid=148-081-07&amp;CardNumber=1","148-081-07")</f>
        <v>148-081-07</v>
      </c>
      <c r="B5022" t="s">
        <v>4655</v>
      </c>
      <c r="C5022" t="s">
        <v>25744</v>
      </c>
      <c r="D5022" s="1">
        <v>40298</v>
      </c>
      <c r="E5022" s="2">
        <v>1000000</v>
      </c>
      <c r="F5022" t="s">
        <v>4567</v>
      </c>
      <c r="G5022" s="17" t="str">
        <f>HYPERLINK("https://www.washoecounty.gov/assessor/cama/?command=sales&amp;parid=14808107","3876531")</f>
        <v>3876531</v>
      </c>
      <c r="H5022" t="s">
        <v>1223</v>
      </c>
      <c r="I5022">
        <v>1998</v>
      </c>
      <c r="J5022">
        <v>1998</v>
      </c>
      <c r="K5022" t="s">
        <v>4554</v>
      </c>
      <c r="L5022" t="s">
        <v>2170</v>
      </c>
      <c r="M5022" s="2">
        <v>3597</v>
      </c>
      <c r="N5022" t="s">
        <v>22</v>
      </c>
      <c r="O5022">
        <v>4</v>
      </c>
      <c r="P5022">
        <v>4</v>
      </c>
      <c r="Q5022">
        <v>1</v>
      </c>
      <c r="R5022" t="s">
        <v>2632</v>
      </c>
      <c r="S5022" t="s">
        <v>4898</v>
      </c>
      <c r="T5022" t="s">
        <v>2704</v>
      </c>
      <c r="U5022" t="s">
        <v>5631</v>
      </c>
      <c r="V5022" s="2">
        <v>1003</v>
      </c>
      <c r="W5022" t="s">
        <v>4655</v>
      </c>
      <c r="X5022" s="2">
        <v>0</v>
      </c>
      <c r="Y5022">
        <v>20</v>
      </c>
      <c r="Z5022" t="s">
        <v>3884</v>
      </c>
      <c r="AA5022" s="3">
        <v>0.68700641393661399</v>
      </c>
      <c r="AB5022" t="s">
        <v>25745</v>
      </c>
      <c r="AC5022" t="s">
        <v>4562</v>
      </c>
      <c r="AD5022" t="s">
        <v>25746</v>
      </c>
      <c r="AE5022" t="s">
        <v>4655</v>
      </c>
      <c r="AF5022" t="s">
        <v>2451</v>
      </c>
      <c r="AG5022" t="s">
        <v>4584</v>
      </c>
      <c r="AH5022" t="s">
        <v>25747</v>
      </c>
      <c r="AI5022" t="s">
        <v>25748</v>
      </c>
      <c r="AJ5022" t="s">
        <v>1225</v>
      </c>
      <c r="AK5022" t="s">
        <v>25749</v>
      </c>
      <c r="AL5022" s="13" t="s">
        <v>3428</v>
      </c>
      <c r="AM5022" s="14">
        <v>1</v>
      </c>
      <c r="AN5022" s="15" t="s">
        <v>1226</v>
      </c>
    </row>
    <row r="5023" spans="1:40" x14ac:dyDescent="0.3">
      <c r="A5023" s="10" t="str">
        <f>HYPERLINK("http://www.washoecounty.gov/assessor/cama/?parid=148-082-02&amp;CardNumber=1","148-082-02")</f>
        <v>148-082-02</v>
      </c>
      <c r="B5023" t="s">
        <v>4655</v>
      </c>
      <c r="C5023" t="s">
        <v>25750</v>
      </c>
      <c r="D5023" s="1">
        <v>40301</v>
      </c>
      <c r="E5023" s="2">
        <v>1200000</v>
      </c>
      <c r="F5023" t="s">
        <v>4567</v>
      </c>
      <c r="G5023" s="17" t="str">
        <f>HYPERLINK("https://www.washoecounty.gov/assessor/cama/?command=sales&amp;parid=14808202","3877351")</f>
        <v>3877351</v>
      </c>
      <c r="H5023" t="s">
        <v>1223</v>
      </c>
      <c r="I5023">
        <v>2005</v>
      </c>
      <c r="J5023">
        <v>2005</v>
      </c>
      <c r="K5023" t="s">
        <v>4554</v>
      </c>
      <c r="L5023" t="s">
        <v>3974</v>
      </c>
      <c r="M5023" s="2">
        <v>5231</v>
      </c>
      <c r="N5023" t="s">
        <v>5076</v>
      </c>
      <c r="O5023">
        <v>4</v>
      </c>
      <c r="P5023">
        <v>4</v>
      </c>
      <c r="Q5023">
        <v>1</v>
      </c>
      <c r="R5023" t="s">
        <v>2632</v>
      </c>
      <c r="S5023" t="s">
        <v>4898</v>
      </c>
      <c r="T5023" t="s">
        <v>2704</v>
      </c>
      <c r="U5023" t="s">
        <v>4560</v>
      </c>
      <c r="V5023" s="2">
        <v>1315</v>
      </c>
      <c r="W5023" t="s">
        <v>4655</v>
      </c>
      <c r="X5023" s="2">
        <v>0</v>
      </c>
      <c r="Y5023">
        <v>20</v>
      </c>
      <c r="Z5023" t="s">
        <v>3884</v>
      </c>
      <c r="AA5023" s="3">
        <v>1.0379935503005899</v>
      </c>
      <c r="AB5023" t="s">
        <v>25751</v>
      </c>
      <c r="AC5023" t="s">
        <v>4562</v>
      </c>
      <c r="AD5023" t="s">
        <v>25750</v>
      </c>
      <c r="AE5023" t="s">
        <v>4655</v>
      </c>
      <c r="AF5023" t="s">
        <v>4563</v>
      </c>
      <c r="AG5023" t="s">
        <v>4564</v>
      </c>
      <c r="AH5023">
        <v>89511</v>
      </c>
      <c r="AI5023" t="s">
        <v>25752</v>
      </c>
      <c r="AJ5023" t="s">
        <v>1225</v>
      </c>
      <c r="AK5023" t="s">
        <v>25753</v>
      </c>
      <c r="AL5023" s="13" t="s">
        <v>3428</v>
      </c>
      <c r="AM5023" s="14">
        <v>1</v>
      </c>
      <c r="AN5023" s="15" t="s">
        <v>1226</v>
      </c>
    </row>
    <row r="5024" spans="1:40" x14ac:dyDescent="0.3">
      <c r="A5024" s="10" t="str">
        <f>HYPERLINK("http://www.washoecounty.gov/assessor/cama/?parid=148-092-05&amp;CardNumber=1","148-092-05")</f>
        <v>148-092-05</v>
      </c>
      <c r="B5024" t="s">
        <v>4655</v>
      </c>
      <c r="C5024" t="s">
        <v>25754</v>
      </c>
      <c r="D5024" s="1">
        <v>40227</v>
      </c>
      <c r="E5024" s="2">
        <v>350000</v>
      </c>
      <c r="F5024" t="s">
        <v>4567</v>
      </c>
      <c r="G5024" s="17" t="str">
        <f>HYPERLINK("https://www.washoecounty.gov/assessor/cama/?command=sales&amp;parid=14809205","3850561")</f>
        <v>3850561</v>
      </c>
      <c r="H5024" t="s">
        <v>1223</v>
      </c>
      <c r="I5024">
        <v>2011</v>
      </c>
      <c r="J5024">
        <v>2011</v>
      </c>
      <c r="K5024" t="s">
        <v>4554</v>
      </c>
      <c r="L5024" t="s">
        <v>3886</v>
      </c>
      <c r="M5024" s="2">
        <v>6250</v>
      </c>
      <c r="N5024" t="s">
        <v>5679</v>
      </c>
      <c r="O5024">
        <v>4</v>
      </c>
      <c r="P5024">
        <v>5</v>
      </c>
      <c r="Q5024">
        <v>1</v>
      </c>
      <c r="R5024" t="s">
        <v>2632</v>
      </c>
      <c r="S5024" t="s">
        <v>1187</v>
      </c>
      <c r="T5024" t="s">
        <v>2704</v>
      </c>
      <c r="U5024" t="s">
        <v>4560</v>
      </c>
      <c r="V5024" s="2">
        <v>1375</v>
      </c>
      <c r="W5024" t="s">
        <v>4655</v>
      </c>
      <c r="X5024" s="2">
        <v>0</v>
      </c>
      <c r="Y5024">
        <v>12</v>
      </c>
      <c r="Z5024" t="s">
        <v>3884</v>
      </c>
      <c r="AA5024" s="3">
        <v>1</v>
      </c>
      <c r="AB5024" t="s">
        <v>25755</v>
      </c>
      <c r="AC5024" t="s">
        <v>4575</v>
      </c>
      <c r="AD5024" t="s">
        <v>25756</v>
      </c>
      <c r="AE5024" t="s">
        <v>4655</v>
      </c>
      <c r="AF5024" t="s">
        <v>3114</v>
      </c>
      <c r="AG5024" t="s">
        <v>4564</v>
      </c>
      <c r="AH5024">
        <v>89511</v>
      </c>
      <c r="AI5024" t="s">
        <v>25757</v>
      </c>
      <c r="AJ5024" t="s">
        <v>1225</v>
      </c>
      <c r="AK5024" t="s">
        <v>25758</v>
      </c>
      <c r="AL5024" s="13" t="s">
        <v>3428</v>
      </c>
      <c r="AM5024" s="14">
        <v>1</v>
      </c>
      <c r="AN5024" s="15" t="s">
        <v>1226</v>
      </c>
    </row>
    <row r="5025" spans="1:40" x14ac:dyDescent="0.3">
      <c r="A5025" s="10" t="str">
        <f>HYPERLINK("http://www.washoecounty.gov/assessor/cama/?parid=148-110-10&amp;CardNumber=1","148-110-10")</f>
        <v>148-110-10</v>
      </c>
      <c r="B5025" t="s">
        <v>4655</v>
      </c>
      <c r="C5025" t="s">
        <v>25759</v>
      </c>
      <c r="D5025" s="1">
        <v>40220</v>
      </c>
      <c r="E5025" s="2">
        <v>501000</v>
      </c>
      <c r="F5025" t="s">
        <v>4553</v>
      </c>
      <c r="G5025" s="17" t="str">
        <f>HYPERLINK("https://www.washoecounty.gov/assessor/cama/?command=sales&amp;parid=14811010","3848377")</f>
        <v>3848377</v>
      </c>
      <c r="H5025" t="s">
        <v>21</v>
      </c>
      <c r="I5025">
        <v>2000</v>
      </c>
      <c r="J5025">
        <v>2000</v>
      </c>
      <c r="K5025" t="s">
        <v>4554</v>
      </c>
      <c r="L5025" t="s">
        <v>3974</v>
      </c>
      <c r="M5025" s="2">
        <v>2259</v>
      </c>
      <c r="N5025" t="s">
        <v>22</v>
      </c>
      <c r="O5025">
        <v>3</v>
      </c>
      <c r="P5025">
        <v>2</v>
      </c>
      <c r="Q5025">
        <v>1</v>
      </c>
      <c r="R5025" t="s">
        <v>2632</v>
      </c>
      <c r="S5025" t="s">
        <v>4397</v>
      </c>
      <c r="T5025" t="s">
        <v>2704</v>
      </c>
      <c r="U5025" t="s">
        <v>4560</v>
      </c>
      <c r="V5025" s="2">
        <v>564</v>
      </c>
      <c r="W5025" t="s">
        <v>4655</v>
      </c>
      <c r="X5025" s="2">
        <v>0</v>
      </c>
      <c r="Y5025">
        <v>20</v>
      </c>
      <c r="Z5025" t="s">
        <v>3884</v>
      </c>
      <c r="AA5025" s="3">
        <v>0.217998161911964</v>
      </c>
      <c r="AB5025" t="s">
        <v>25760</v>
      </c>
      <c r="AC5025" t="s">
        <v>4562</v>
      </c>
      <c r="AD5025" t="s">
        <v>25761</v>
      </c>
      <c r="AE5025" t="s">
        <v>4655</v>
      </c>
      <c r="AF5025" t="s">
        <v>2946</v>
      </c>
      <c r="AG5025" t="s">
        <v>4584</v>
      </c>
      <c r="AH5025" t="s">
        <v>4429</v>
      </c>
      <c r="AI5025" t="s">
        <v>25762</v>
      </c>
      <c r="AJ5025" t="s">
        <v>24</v>
      </c>
      <c r="AK5025" t="s">
        <v>25763</v>
      </c>
      <c r="AL5025" s="13" t="s">
        <v>3428</v>
      </c>
      <c r="AM5025">
        <v>1</v>
      </c>
      <c r="AN5025" s="15" t="s">
        <v>25</v>
      </c>
    </row>
    <row r="5026" spans="1:40" x14ac:dyDescent="0.3">
      <c r="A5026" s="10" t="str">
        <f>HYPERLINK("http://www.washoecounty.gov/assessor/cama/?parid=148-110-30&amp;CardNumber=1","148-110-30")</f>
        <v>148-110-30</v>
      </c>
      <c r="B5026" t="s">
        <v>4655</v>
      </c>
      <c r="C5026" t="s">
        <v>25764</v>
      </c>
      <c r="D5026" s="1">
        <v>40490</v>
      </c>
      <c r="E5026" s="2">
        <v>585000</v>
      </c>
      <c r="F5026" t="s">
        <v>4567</v>
      </c>
      <c r="G5026" s="17" t="str">
        <f>HYPERLINK("https://www.washoecounty.gov/assessor/cama/?command=sales&amp;parid=14811030","3940713")</f>
        <v>3940713</v>
      </c>
      <c r="H5026" t="s">
        <v>21</v>
      </c>
      <c r="I5026">
        <v>2003</v>
      </c>
      <c r="J5026">
        <v>2003</v>
      </c>
      <c r="K5026" t="s">
        <v>4554</v>
      </c>
      <c r="L5026" t="s">
        <v>3886</v>
      </c>
      <c r="M5026" s="2">
        <v>2255</v>
      </c>
      <c r="N5026" t="s">
        <v>22</v>
      </c>
      <c r="O5026">
        <v>3</v>
      </c>
      <c r="P5026">
        <v>2</v>
      </c>
      <c r="Q5026">
        <v>1</v>
      </c>
      <c r="R5026" t="s">
        <v>2632</v>
      </c>
      <c r="S5026" t="s">
        <v>4397</v>
      </c>
      <c r="T5026" t="s">
        <v>2704</v>
      </c>
      <c r="U5026" t="s">
        <v>4560</v>
      </c>
      <c r="V5026" s="2">
        <v>566</v>
      </c>
      <c r="W5026" t="s">
        <v>4655</v>
      </c>
      <c r="X5026" s="2">
        <v>0</v>
      </c>
      <c r="Y5026">
        <v>20</v>
      </c>
      <c r="Z5026" t="s">
        <v>3884</v>
      </c>
      <c r="AA5026" s="3">
        <v>0.20000000298023199</v>
      </c>
      <c r="AB5026" t="s">
        <v>25765</v>
      </c>
      <c r="AC5026" t="s">
        <v>4562</v>
      </c>
      <c r="AD5026" t="s">
        <v>25766</v>
      </c>
      <c r="AE5026" t="s">
        <v>4655</v>
      </c>
      <c r="AF5026" t="s">
        <v>5620</v>
      </c>
      <c r="AG5026" t="s">
        <v>4584</v>
      </c>
      <c r="AH5026">
        <v>94507</v>
      </c>
      <c r="AI5026" t="s">
        <v>25767</v>
      </c>
      <c r="AJ5026" t="s">
        <v>24</v>
      </c>
      <c r="AK5026" t="s">
        <v>25768</v>
      </c>
      <c r="AL5026" s="13" t="s">
        <v>3428</v>
      </c>
      <c r="AM5026">
        <v>1</v>
      </c>
      <c r="AN5026" s="15" t="s">
        <v>25</v>
      </c>
    </row>
    <row r="5027" spans="1:40" x14ac:dyDescent="0.3">
      <c r="A5027" s="10" t="str">
        <f>HYPERLINK("http://www.washoecounty.gov/assessor/cama/?parid=148-180-10&amp;CardNumber=1","148-180-10")</f>
        <v>148-180-10</v>
      </c>
      <c r="B5027" t="s">
        <v>4655</v>
      </c>
      <c r="C5027" t="s">
        <v>25769</v>
      </c>
      <c r="D5027" s="1">
        <v>40350</v>
      </c>
      <c r="E5027" s="2">
        <v>800000</v>
      </c>
      <c r="F5027" t="s">
        <v>4553</v>
      </c>
      <c r="G5027" s="17" t="str">
        <f>HYPERLINK("https://www.washoecounty.gov/assessor/cama/?command=sales&amp;parid=14818010","3893906")</f>
        <v>3893906</v>
      </c>
      <c r="H5027" t="s">
        <v>25770</v>
      </c>
      <c r="I5027">
        <v>2001</v>
      </c>
      <c r="J5027">
        <v>2001</v>
      </c>
      <c r="K5027" t="s">
        <v>4554</v>
      </c>
      <c r="L5027" t="s">
        <v>3974</v>
      </c>
      <c r="M5027" s="2">
        <v>4555</v>
      </c>
      <c r="N5027" t="s">
        <v>4588</v>
      </c>
      <c r="O5027">
        <v>4</v>
      </c>
      <c r="P5027">
        <v>3</v>
      </c>
      <c r="Q5027">
        <v>1</v>
      </c>
      <c r="R5027" t="s">
        <v>2632</v>
      </c>
      <c r="S5027" t="s">
        <v>4898</v>
      </c>
      <c r="T5027" t="s">
        <v>2704</v>
      </c>
      <c r="U5027" t="s">
        <v>4560</v>
      </c>
      <c r="V5027" s="2">
        <v>1082</v>
      </c>
      <c r="W5027" t="s">
        <v>4655</v>
      </c>
      <c r="X5027" s="2">
        <v>0</v>
      </c>
      <c r="Y5027">
        <v>20</v>
      </c>
      <c r="Z5027" t="s">
        <v>3884</v>
      </c>
      <c r="AA5027" s="3">
        <v>0.76400369405746404</v>
      </c>
      <c r="AB5027" t="s">
        <v>25771</v>
      </c>
      <c r="AC5027" t="s">
        <v>4575</v>
      </c>
      <c r="AD5027" t="s">
        <v>25772</v>
      </c>
      <c r="AE5027" t="s">
        <v>4655</v>
      </c>
      <c r="AF5027" t="s">
        <v>4563</v>
      </c>
      <c r="AG5027" t="s">
        <v>4564</v>
      </c>
      <c r="AH5027">
        <v>89511</v>
      </c>
      <c r="AI5027" t="s">
        <v>4045</v>
      </c>
      <c r="AJ5027" t="s">
        <v>25773</v>
      </c>
      <c r="AK5027" t="s">
        <v>25774</v>
      </c>
      <c r="AL5027" s="13" t="s">
        <v>3428</v>
      </c>
      <c r="AM5027" s="14">
        <v>1</v>
      </c>
      <c r="AN5027" s="15" t="s">
        <v>1226</v>
      </c>
    </row>
    <row r="5028" spans="1:40" x14ac:dyDescent="0.3">
      <c r="A5028" s="10" t="str">
        <f>HYPERLINK("http://www.washoecounty.gov/assessor/cama/?parid=148-180-19&amp;CardNumber=1","148-180-19")</f>
        <v>148-180-19</v>
      </c>
      <c r="B5028" t="s">
        <v>4655</v>
      </c>
      <c r="C5028" t="s">
        <v>25775</v>
      </c>
      <c r="D5028" s="1">
        <v>40527</v>
      </c>
      <c r="E5028" s="2">
        <v>135000</v>
      </c>
      <c r="F5028" t="s">
        <v>3528</v>
      </c>
      <c r="G5028" s="17" t="str">
        <f>HYPERLINK("https://www.washoecounty.gov/assessor/cama/?command=sales&amp;parid=14818019","3953827")</f>
        <v>3953827</v>
      </c>
      <c r="H5028" t="s">
        <v>25776</v>
      </c>
      <c r="I5028">
        <v>0</v>
      </c>
      <c r="J5028">
        <v>0</v>
      </c>
      <c r="K5028" t="s">
        <v>4655</v>
      </c>
      <c r="L5028" t="s">
        <v>4655</v>
      </c>
      <c r="M5028" s="2">
        <v>0</v>
      </c>
      <c r="N5028" t="s">
        <v>4655</v>
      </c>
      <c r="O5028">
        <v>0</v>
      </c>
      <c r="P5028">
        <v>0</v>
      </c>
      <c r="Q5028">
        <v>0</v>
      </c>
      <c r="R5028" t="s">
        <v>4655</v>
      </c>
      <c r="S5028" t="s">
        <v>4655</v>
      </c>
      <c r="T5028" t="s">
        <v>4655</v>
      </c>
      <c r="U5028" t="s">
        <v>4655</v>
      </c>
      <c r="V5028" s="2">
        <v>0</v>
      </c>
      <c r="W5028" t="s">
        <v>4655</v>
      </c>
      <c r="X5028" s="2">
        <v>0</v>
      </c>
      <c r="Y5028">
        <v>12</v>
      </c>
      <c r="Z5028" t="s">
        <v>3884</v>
      </c>
      <c r="AA5028" s="3">
        <v>1.0940082073211601</v>
      </c>
      <c r="AB5028" t="s">
        <v>25777</v>
      </c>
      <c r="AC5028" t="s">
        <v>4562</v>
      </c>
      <c r="AD5028" t="s">
        <v>25778</v>
      </c>
      <c r="AE5028" t="s">
        <v>4655</v>
      </c>
      <c r="AF5028" t="s">
        <v>4563</v>
      </c>
      <c r="AG5028" t="s">
        <v>4564</v>
      </c>
      <c r="AH5028">
        <v>89509</v>
      </c>
      <c r="AI5028" t="s">
        <v>4242</v>
      </c>
      <c r="AJ5028" t="s">
        <v>25779</v>
      </c>
      <c r="AK5028" t="s">
        <v>25780</v>
      </c>
      <c r="AL5028" s="13" t="s">
        <v>3428</v>
      </c>
      <c r="AM5028">
        <v>0</v>
      </c>
      <c r="AN5028" s="15" t="s">
        <v>1226</v>
      </c>
    </row>
    <row r="5029" spans="1:40" x14ac:dyDescent="0.3">
      <c r="A5029" s="10" t="str">
        <f>HYPERLINK("http://www.washoecounty.gov/assessor/cama/?parid=148-191-10&amp;CardNumber=1","148-191-10")</f>
        <v>148-191-10</v>
      </c>
      <c r="B5029" t="s">
        <v>4655</v>
      </c>
      <c r="C5029" t="s">
        <v>25781</v>
      </c>
      <c r="D5029" s="1">
        <v>40424</v>
      </c>
      <c r="E5029" s="2">
        <v>2050000</v>
      </c>
      <c r="F5029" t="s">
        <v>4567</v>
      </c>
      <c r="G5029" s="17" t="str">
        <f>HYPERLINK("https://www.washoecounty.gov/assessor/cama/?command=sales&amp;parid=14819110","3918719")</f>
        <v>3918719</v>
      </c>
      <c r="H5029" t="s">
        <v>25782</v>
      </c>
      <c r="I5029">
        <v>2004</v>
      </c>
      <c r="J5029">
        <v>2004</v>
      </c>
      <c r="K5029" t="s">
        <v>4554</v>
      </c>
      <c r="L5029" t="s">
        <v>4555</v>
      </c>
      <c r="M5029" s="2">
        <v>5606</v>
      </c>
      <c r="N5029" t="s">
        <v>4588</v>
      </c>
      <c r="O5029">
        <v>4</v>
      </c>
      <c r="P5029">
        <v>4</v>
      </c>
      <c r="Q5029">
        <v>2</v>
      </c>
      <c r="R5029" t="s">
        <v>2632</v>
      </c>
      <c r="S5029" t="s">
        <v>4898</v>
      </c>
      <c r="T5029" t="s">
        <v>3713</v>
      </c>
      <c r="U5029" t="s">
        <v>4560</v>
      </c>
      <c r="V5029" s="2">
        <v>1416</v>
      </c>
      <c r="W5029" t="s">
        <v>4655</v>
      </c>
      <c r="X5029" s="2">
        <v>0</v>
      </c>
      <c r="Y5029">
        <v>20</v>
      </c>
      <c r="Z5029" t="s">
        <v>4051</v>
      </c>
      <c r="AA5029" s="3">
        <v>1</v>
      </c>
      <c r="AB5029" t="s">
        <v>25783</v>
      </c>
      <c r="AC5029" t="s">
        <v>4562</v>
      </c>
      <c r="AD5029" t="s">
        <v>25781</v>
      </c>
      <c r="AE5029" t="s">
        <v>4655</v>
      </c>
      <c r="AF5029" t="s">
        <v>4563</v>
      </c>
      <c r="AG5029" t="s">
        <v>4564</v>
      </c>
      <c r="AH5029">
        <v>89511</v>
      </c>
      <c r="AI5029" t="s">
        <v>25784</v>
      </c>
      <c r="AJ5029" t="s">
        <v>25785</v>
      </c>
      <c r="AK5029" t="s">
        <v>25786</v>
      </c>
      <c r="AL5029" s="13" t="s">
        <v>3428</v>
      </c>
      <c r="AM5029" s="14">
        <v>1</v>
      </c>
      <c r="AN5029" s="15" t="s">
        <v>1226</v>
      </c>
    </row>
    <row r="5030" spans="1:40" x14ac:dyDescent="0.3">
      <c r="A5030" s="10" t="str">
        <f>HYPERLINK("http://www.washoecounty.gov/assessor/cama/?parid=148-200-10&amp;CardNumber=1","148-200-10")</f>
        <v>148-200-10</v>
      </c>
      <c r="B5030" t="s">
        <v>4655</v>
      </c>
      <c r="C5030" t="s">
        <v>25787</v>
      </c>
      <c r="D5030" s="1">
        <v>40340</v>
      </c>
      <c r="E5030" s="2">
        <v>925000</v>
      </c>
      <c r="F5030" t="s">
        <v>4567</v>
      </c>
      <c r="G5030" s="17" t="str">
        <f>HYPERLINK("https://www.washoecounty.gov/assessor/cama/?command=sales&amp;parid=14820010","3890767")</f>
        <v>3890767</v>
      </c>
      <c r="H5030" t="s">
        <v>25788</v>
      </c>
      <c r="I5030">
        <v>2005</v>
      </c>
      <c r="J5030">
        <v>2005</v>
      </c>
      <c r="K5030" t="s">
        <v>4554</v>
      </c>
      <c r="L5030" t="s">
        <v>4555</v>
      </c>
      <c r="M5030" s="2">
        <v>2918</v>
      </c>
      <c r="N5030" t="s">
        <v>5629</v>
      </c>
      <c r="O5030">
        <v>4</v>
      </c>
      <c r="P5030">
        <v>3</v>
      </c>
      <c r="Q5030">
        <v>1</v>
      </c>
      <c r="R5030" t="s">
        <v>2632</v>
      </c>
      <c r="S5030" t="s">
        <v>4397</v>
      </c>
      <c r="T5030" t="s">
        <v>2704</v>
      </c>
      <c r="U5030" t="s">
        <v>4560</v>
      </c>
      <c r="V5030" s="2">
        <v>784</v>
      </c>
      <c r="W5030" t="s">
        <v>4655</v>
      </c>
      <c r="X5030" s="2">
        <v>0</v>
      </c>
      <c r="Y5030">
        <v>20</v>
      </c>
      <c r="Z5030" t="s">
        <v>3884</v>
      </c>
      <c r="AA5030" s="3">
        <v>0.30720844864845298</v>
      </c>
      <c r="AB5030" t="s">
        <v>25789</v>
      </c>
      <c r="AC5030" t="s">
        <v>4575</v>
      </c>
      <c r="AD5030" t="s">
        <v>25790</v>
      </c>
      <c r="AE5030" t="s">
        <v>4655</v>
      </c>
      <c r="AF5030" t="s">
        <v>3170</v>
      </c>
      <c r="AG5030" t="s">
        <v>4584</v>
      </c>
      <c r="AH5030">
        <v>95070</v>
      </c>
      <c r="AI5030" t="s">
        <v>25791</v>
      </c>
      <c r="AJ5030" t="s">
        <v>25792</v>
      </c>
      <c r="AK5030" t="s">
        <v>25793</v>
      </c>
      <c r="AL5030" s="13" t="s">
        <v>3428</v>
      </c>
      <c r="AM5030">
        <v>1</v>
      </c>
      <c r="AN5030" s="15" t="s">
        <v>1226</v>
      </c>
    </row>
    <row r="5031" spans="1:40" x14ac:dyDescent="0.3">
      <c r="A5031" s="10" t="str">
        <f>HYPERLINK("http://www.washoecounty.gov/assessor/cama/?parid=148-223-01&amp;CardNumber=1","148-223-01")</f>
        <v>148-223-01</v>
      </c>
      <c r="B5031" t="s">
        <v>4655</v>
      </c>
      <c r="C5031" t="s">
        <v>25794</v>
      </c>
      <c r="D5031" s="1">
        <v>40421</v>
      </c>
      <c r="E5031" s="2">
        <v>725000</v>
      </c>
      <c r="F5031" t="s">
        <v>4553</v>
      </c>
      <c r="G5031" s="17" t="str">
        <f>HYPERLINK("https://www.washoecounty.gov/assessor/cama/?command=sales&amp;parid=14822301","3917460")</f>
        <v>3917460</v>
      </c>
      <c r="H5031" t="s">
        <v>2348</v>
      </c>
      <c r="I5031">
        <v>2008</v>
      </c>
      <c r="J5031">
        <v>2008</v>
      </c>
      <c r="K5031" t="s">
        <v>4554</v>
      </c>
      <c r="L5031" t="s">
        <v>2170</v>
      </c>
      <c r="M5031" s="2">
        <v>4413</v>
      </c>
      <c r="N5031" t="s">
        <v>2008</v>
      </c>
      <c r="O5031">
        <v>4</v>
      </c>
      <c r="P5031">
        <v>4</v>
      </c>
      <c r="Q5031">
        <v>1</v>
      </c>
      <c r="R5031" t="s">
        <v>5281</v>
      </c>
      <c r="S5031" t="s">
        <v>4898</v>
      </c>
      <c r="T5031" t="s">
        <v>4559</v>
      </c>
      <c r="U5031" t="s">
        <v>4560</v>
      </c>
      <c r="V5031" s="2">
        <v>1669</v>
      </c>
      <c r="W5031" t="s">
        <v>4655</v>
      </c>
      <c r="X5031" s="2">
        <v>0</v>
      </c>
      <c r="Y5031">
        <v>20</v>
      </c>
      <c r="Z5031" t="s">
        <v>3884</v>
      </c>
      <c r="AA5031" s="3">
        <v>1.37770891189575</v>
      </c>
      <c r="AB5031" t="s">
        <v>2370</v>
      </c>
      <c r="AC5031" t="s">
        <v>4562</v>
      </c>
      <c r="AD5031" t="s">
        <v>2371</v>
      </c>
      <c r="AE5031" t="s">
        <v>4655</v>
      </c>
      <c r="AF5031" t="s">
        <v>4563</v>
      </c>
      <c r="AG5031" t="s">
        <v>4564</v>
      </c>
      <c r="AH5031">
        <v>89511</v>
      </c>
      <c r="AI5031" t="s">
        <v>25795</v>
      </c>
      <c r="AJ5031" t="s">
        <v>25796</v>
      </c>
      <c r="AK5031" t="s">
        <v>25797</v>
      </c>
      <c r="AL5031" s="13" t="s">
        <v>3428</v>
      </c>
      <c r="AM5031">
        <v>1</v>
      </c>
      <c r="AN5031" s="15" t="s">
        <v>645</v>
      </c>
    </row>
    <row r="5032" spans="1:40" x14ac:dyDescent="0.3">
      <c r="A5032" s="10" t="str">
        <f>HYPERLINK("http://www.washoecounty.gov/assessor/cama/?parid=148-240-04&amp;CardNumber=1","148-240-04")</f>
        <v>148-240-04</v>
      </c>
      <c r="B5032" t="s">
        <v>4655</v>
      </c>
      <c r="C5032" t="s">
        <v>25798</v>
      </c>
      <c r="D5032" s="1">
        <v>40533</v>
      </c>
      <c r="E5032" s="2">
        <v>1000000</v>
      </c>
      <c r="F5032" t="s">
        <v>4567</v>
      </c>
      <c r="G5032" s="17" t="str">
        <f>HYPERLINK("https://www.washoecounty.gov/assessor/cama/?command=sales&amp;parid=14824004","3955979")</f>
        <v>3955979</v>
      </c>
      <c r="H5032" t="s">
        <v>25799</v>
      </c>
      <c r="I5032">
        <v>2003</v>
      </c>
      <c r="J5032">
        <v>2003</v>
      </c>
      <c r="K5032" t="s">
        <v>4554</v>
      </c>
      <c r="L5032" t="s">
        <v>4555</v>
      </c>
      <c r="M5032" s="2">
        <v>4663</v>
      </c>
      <c r="N5032" t="s">
        <v>5629</v>
      </c>
      <c r="O5032">
        <v>5</v>
      </c>
      <c r="P5032">
        <v>4</v>
      </c>
      <c r="Q5032">
        <v>1</v>
      </c>
      <c r="R5032" t="s">
        <v>2632</v>
      </c>
      <c r="S5032" t="s">
        <v>4397</v>
      </c>
      <c r="T5032" t="s">
        <v>2704</v>
      </c>
      <c r="U5032" t="s">
        <v>4560</v>
      </c>
      <c r="V5032" s="2">
        <v>1869</v>
      </c>
      <c r="W5032" t="s">
        <v>4655</v>
      </c>
      <c r="X5032" s="2">
        <v>0</v>
      </c>
      <c r="Y5032">
        <v>20</v>
      </c>
      <c r="Z5032" t="s">
        <v>3884</v>
      </c>
      <c r="AA5032" s="3">
        <v>1.09511017799377</v>
      </c>
      <c r="AB5032" t="s">
        <v>5664</v>
      </c>
      <c r="AC5032" t="s">
        <v>4575</v>
      </c>
      <c r="AD5032" t="s">
        <v>25798</v>
      </c>
      <c r="AE5032" t="s">
        <v>4655</v>
      </c>
      <c r="AF5032" t="s">
        <v>4563</v>
      </c>
      <c r="AG5032" t="s">
        <v>4564</v>
      </c>
      <c r="AH5032">
        <v>89511</v>
      </c>
      <c r="AI5032" t="s">
        <v>25800</v>
      </c>
      <c r="AJ5032" t="s">
        <v>4655</v>
      </c>
      <c r="AK5032" t="s">
        <v>25801</v>
      </c>
      <c r="AL5032" s="13" t="s">
        <v>3428</v>
      </c>
      <c r="AM5032">
        <v>1</v>
      </c>
      <c r="AN5032" s="15" t="s">
        <v>1226</v>
      </c>
    </row>
    <row r="5033" spans="1:40" x14ac:dyDescent="0.3">
      <c r="A5033" s="10" t="str">
        <f>HYPERLINK("http://www.washoecounty.gov/assessor/cama/?parid=148-240-07&amp;CardNumber=1","148-240-07")</f>
        <v>148-240-07</v>
      </c>
      <c r="B5033" t="s">
        <v>4655</v>
      </c>
      <c r="C5033" t="s">
        <v>25802</v>
      </c>
      <c r="D5033" s="1">
        <v>40331</v>
      </c>
      <c r="E5033" s="2">
        <v>191000</v>
      </c>
      <c r="F5033" t="s">
        <v>4553</v>
      </c>
      <c r="G5033" s="17" t="str">
        <f>HYPERLINK("https://www.washoecounty.gov/assessor/cama/?command=sales&amp;parid=14824007","3887464")</f>
        <v>3887464</v>
      </c>
      <c r="H5033" t="s">
        <v>25799</v>
      </c>
      <c r="I5033">
        <v>0</v>
      </c>
      <c r="J5033">
        <v>0</v>
      </c>
      <c r="K5033" t="s">
        <v>4655</v>
      </c>
      <c r="L5033" t="s">
        <v>4655</v>
      </c>
      <c r="M5033" s="2">
        <v>0</v>
      </c>
      <c r="N5033" t="s">
        <v>4655</v>
      </c>
      <c r="O5033">
        <v>0</v>
      </c>
      <c r="P5033">
        <v>0</v>
      </c>
      <c r="Q5033">
        <v>0</v>
      </c>
      <c r="R5033" t="s">
        <v>4655</v>
      </c>
      <c r="S5033" t="s">
        <v>4655</v>
      </c>
      <c r="T5033" t="s">
        <v>4655</v>
      </c>
      <c r="U5033" t="s">
        <v>4655</v>
      </c>
      <c r="V5033" s="2">
        <v>0</v>
      </c>
      <c r="W5033" t="s">
        <v>4655</v>
      </c>
      <c r="X5033" s="2">
        <v>0</v>
      </c>
      <c r="Y5033">
        <v>12</v>
      </c>
      <c r="Z5033" t="s">
        <v>3884</v>
      </c>
      <c r="AA5033" s="3">
        <v>1.05296146869659</v>
      </c>
      <c r="AB5033" t="s">
        <v>25803</v>
      </c>
      <c r="AC5033" t="s">
        <v>4562</v>
      </c>
      <c r="AD5033" t="s">
        <v>25804</v>
      </c>
      <c r="AE5033" t="s">
        <v>4655</v>
      </c>
      <c r="AF5033" t="s">
        <v>4563</v>
      </c>
      <c r="AG5033" t="s">
        <v>4564</v>
      </c>
      <c r="AH5033">
        <v>89511</v>
      </c>
      <c r="AI5033" t="s">
        <v>2009</v>
      </c>
      <c r="AJ5033" t="s">
        <v>4655</v>
      </c>
      <c r="AK5033" t="s">
        <v>25805</v>
      </c>
      <c r="AL5033" s="13" t="s">
        <v>3428</v>
      </c>
      <c r="AM5033">
        <v>0</v>
      </c>
      <c r="AN5033" s="15" t="s">
        <v>1226</v>
      </c>
    </row>
    <row r="5034" spans="1:40" x14ac:dyDescent="0.3">
      <c r="A5034" s="10" t="str">
        <f>HYPERLINK("http://www.washoecounty.gov/assessor/cama/?parid=148-255-02&amp;CardNumber=1","148-255-02")</f>
        <v>148-255-02</v>
      </c>
      <c r="B5034" t="s">
        <v>4655</v>
      </c>
      <c r="C5034" t="s">
        <v>25806</v>
      </c>
      <c r="D5034" s="1">
        <v>40214</v>
      </c>
      <c r="E5034" s="2">
        <v>617500</v>
      </c>
      <c r="F5034" t="s">
        <v>4553</v>
      </c>
      <c r="G5034" s="17" t="str">
        <f>HYPERLINK("https://www.washoecounty.gov/assessor/cama/?command=sales&amp;parid=14825502","3846538")</f>
        <v>3846538</v>
      </c>
      <c r="H5034" t="s">
        <v>270</v>
      </c>
      <c r="I5034">
        <v>2005</v>
      </c>
      <c r="J5034">
        <v>2005</v>
      </c>
      <c r="K5034" t="s">
        <v>4554</v>
      </c>
      <c r="L5034" t="s">
        <v>4555</v>
      </c>
      <c r="M5034" s="2">
        <v>3482</v>
      </c>
      <c r="N5034" t="s">
        <v>2008</v>
      </c>
      <c r="O5034">
        <v>3</v>
      </c>
      <c r="P5034">
        <v>3</v>
      </c>
      <c r="Q5034">
        <v>1</v>
      </c>
      <c r="R5034" t="s">
        <v>5281</v>
      </c>
      <c r="S5034" t="s">
        <v>4898</v>
      </c>
      <c r="T5034" t="s">
        <v>2704</v>
      </c>
      <c r="U5034" t="s">
        <v>4560</v>
      </c>
      <c r="V5034" s="2">
        <v>1051</v>
      </c>
      <c r="W5034" t="s">
        <v>4655</v>
      </c>
      <c r="X5034" s="2">
        <v>0</v>
      </c>
      <c r="Y5034">
        <v>20</v>
      </c>
      <c r="Z5034" t="s">
        <v>3884</v>
      </c>
      <c r="AA5034" s="3">
        <v>0.62458676099777199</v>
      </c>
      <c r="AB5034" t="s">
        <v>271</v>
      </c>
      <c r="AC5034" t="s">
        <v>4575</v>
      </c>
      <c r="AD5034" t="s">
        <v>4770</v>
      </c>
      <c r="AE5034" t="s">
        <v>4655</v>
      </c>
      <c r="AF5034" t="s">
        <v>4563</v>
      </c>
      <c r="AG5034" t="s">
        <v>4564</v>
      </c>
      <c r="AH5034">
        <v>89511</v>
      </c>
      <c r="AI5034" t="s">
        <v>4145</v>
      </c>
      <c r="AJ5034" t="s">
        <v>272</v>
      </c>
      <c r="AK5034" t="s">
        <v>25807</v>
      </c>
      <c r="AL5034" s="13" t="s">
        <v>3428</v>
      </c>
      <c r="AM5034" s="14">
        <v>1</v>
      </c>
      <c r="AN5034" s="15" t="s">
        <v>273</v>
      </c>
    </row>
    <row r="5035" spans="1:40" x14ac:dyDescent="0.3">
      <c r="A5035" s="10" t="str">
        <f>HYPERLINK("http://www.washoecounty.gov/assessor/cama/?parid=148-321-01&amp;CardNumber=1","148-321-01")</f>
        <v>148-321-01</v>
      </c>
      <c r="B5035" t="s">
        <v>4655</v>
      </c>
      <c r="C5035" t="s">
        <v>25808</v>
      </c>
      <c r="D5035" s="1">
        <v>40344</v>
      </c>
      <c r="E5035" s="2">
        <v>99000</v>
      </c>
      <c r="F5035" t="s">
        <v>4187</v>
      </c>
      <c r="G5035" s="17" t="str">
        <f>HYPERLINK("https://www.washoecounty.gov/assessor/cama/?command=sales&amp;parid=14832101","3891822")</f>
        <v>3891822</v>
      </c>
      <c r="H5035" t="s">
        <v>740</v>
      </c>
      <c r="I5035">
        <v>0</v>
      </c>
      <c r="J5035">
        <v>0</v>
      </c>
      <c r="K5035" t="s">
        <v>4655</v>
      </c>
      <c r="L5035" t="s">
        <v>4655</v>
      </c>
      <c r="M5035" s="2">
        <v>0</v>
      </c>
      <c r="N5035" t="s">
        <v>4655</v>
      </c>
      <c r="O5035">
        <v>0</v>
      </c>
      <c r="P5035">
        <v>0</v>
      </c>
      <c r="Q5035">
        <v>0</v>
      </c>
      <c r="R5035" t="s">
        <v>4655</v>
      </c>
      <c r="S5035" t="s">
        <v>4655</v>
      </c>
      <c r="T5035" t="s">
        <v>4655</v>
      </c>
      <c r="U5035" t="s">
        <v>4655</v>
      </c>
      <c r="V5035" s="2">
        <v>0</v>
      </c>
      <c r="W5035" t="s">
        <v>4655</v>
      </c>
      <c r="X5035" s="2">
        <v>0</v>
      </c>
      <c r="Y5035">
        <v>12</v>
      </c>
      <c r="Z5035" t="s">
        <v>3884</v>
      </c>
      <c r="AA5035" s="3">
        <v>1.1414370536804099</v>
      </c>
      <c r="AB5035" t="s">
        <v>25809</v>
      </c>
      <c r="AC5035" t="s">
        <v>4562</v>
      </c>
      <c r="AD5035" t="s">
        <v>25810</v>
      </c>
      <c r="AE5035" t="s">
        <v>4655</v>
      </c>
      <c r="AF5035" t="s">
        <v>25811</v>
      </c>
      <c r="AG5035" t="s">
        <v>4209</v>
      </c>
      <c r="AH5035" t="s">
        <v>25812</v>
      </c>
      <c r="AI5035" t="s">
        <v>3111</v>
      </c>
      <c r="AJ5035" t="s">
        <v>741</v>
      </c>
      <c r="AK5035" t="s">
        <v>25813</v>
      </c>
      <c r="AL5035" s="13" t="s">
        <v>3428</v>
      </c>
      <c r="AM5035">
        <v>0</v>
      </c>
      <c r="AN5035" s="15" t="s">
        <v>1226</v>
      </c>
    </row>
    <row r="5036" spans="1:40" x14ac:dyDescent="0.3">
      <c r="A5036" s="10" t="str">
        <f>HYPERLINK("http://www.washoecounty.gov/assessor/cama/?parid=148-323-04&amp;CardNumber=1","148-323-04")</f>
        <v>148-323-04</v>
      </c>
      <c r="B5036" t="s">
        <v>4655</v>
      </c>
      <c r="C5036" t="s">
        <v>25814</v>
      </c>
      <c r="D5036" s="1">
        <v>40365</v>
      </c>
      <c r="E5036" s="2">
        <v>1150000</v>
      </c>
      <c r="F5036" t="s">
        <v>4567</v>
      </c>
      <c r="G5036" s="17" t="str">
        <f>HYPERLINK("https://www.washoecounty.gov/assessor/cama/?command=sales&amp;parid=14832304","3898438")</f>
        <v>3898438</v>
      </c>
      <c r="H5036" t="s">
        <v>740</v>
      </c>
      <c r="I5036">
        <v>2008</v>
      </c>
      <c r="J5036">
        <v>2008</v>
      </c>
      <c r="K5036" t="s">
        <v>4554</v>
      </c>
      <c r="L5036" t="s">
        <v>2170</v>
      </c>
      <c r="M5036" s="2">
        <v>3266</v>
      </c>
      <c r="N5036" t="s">
        <v>5629</v>
      </c>
      <c r="O5036">
        <v>4</v>
      </c>
      <c r="P5036">
        <v>4</v>
      </c>
      <c r="Q5036">
        <v>1</v>
      </c>
      <c r="R5036" t="s">
        <v>2632</v>
      </c>
      <c r="S5036" t="s">
        <v>4898</v>
      </c>
      <c r="T5036" t="s">
        <v>2704</v>
      </c>
      <c r="U5036" t="s">
        <v>4560</v>
      </c>
      <c r="V5036" s="2">
        <v>912</v>
      </c>
      <c r="W5036" t="s">
        <v>4655</v>
      </c>
      <c r="X5036" s="2">
        <v>0</v>
      </c>
      <c r="Y5036">
        <v>20</v>
      </c>
      <c r="Z5036" t="s">
        <v>3884</v>
      </c>
      <c r="AA5036" s="3">
        <v>0.30950412154197698</v>
      </c>
      <c r="AB5036" t="s">
        <v>25815</v>
      </c>
      <c r="AC5036" t="s">
        <v>4562</v>
      </c>
      <c r="AD5036" t="s">
        <v>25814</v>
      </c>
      <c r="AE5036" t="s">
        <v>4655</v>
      </c>
      <c r="AF5036" t="s">
        <v>4563</v>
      </c>
      <c r="AG5036" t="s">
        <v>4564</v>
      </c>
      <c r="AH5036">
        <v>89511</v>
      </c>
      <c r="AI5036" t="s">
        <v>25816</v>
      </c>
      <c r="AJ5036" t="s">
        <v>741</v>
      </c>
      <c r="AK5036" t="s">
        <v>25817</v>
      </c>
      <c r="AL5036" s="13" t="s">
        <v>3428</v>
      </c>
      <c r="AM5036">
        <v>1</v>
      </c>
      <c r="AN5036" s="15" t="s">
        <v>1226</v>
      </c>
    </row>
    <row r="5037" spans="1:40" x14ac:dyDescent="0.3">
      <c r="A5037" s="10" t="str">
        <f>HYPERLINK("http://www.washoecounty.gov/assessor/cama/?parid=148-323-05&amp;CardNumber=1","148-323-05")</f>
        <v>148-323-05</v>
      </c>
      <c r="B5037" t="s">
        <v>4655</v>
      </c>
      <c r="C5037" t="s">
        <v>25818</v>
      </c>
      <c r="D5037" s="1">
        <v>40529</v>
      </c>
      <c r="E5037" s="2">
        <v>1108500</v>
      </c>
      <c r="F5037" t="s">
        <v>4567</v>
      </c>
      <c r="G5037" s="17" t="str">
        <f>HYPERLINK("https://www.washoecounty.gov/assessor/cama/?command=sales&amp;parid=14832305","3955036")</f>
        <v>3955036</v>
      </c>
      <c r="H5037" t="s">
        <v>740</v>
      </c>
      <c r="I5037">
        <v>2008</v>
      </c>
      <c r="J5037">
        <v>2008</v>
      </c>
      <c r="K5037" t="s">
        <v>4554</v>
      </c>
      <c r="L5037" t="s">
        <v>2170</v>
      </c>
      <c r="M5037" s="2">
        <v>3609</v>
      </c>
      <c r="N5037" t="s">
        <v>5629</v>
      </c>
      <c r="O5037">
        <v>4</v>
      </c>
      <c r="P5037">
        <v>4</v>
      </c>
      <c r="Q5037">
        <v>1</v>
      </c>
      <c r="R5037" t="s">
        <v>2632</v>
      </c>
      <c r="S5037" t="s">
        <v>4898</v>
      </c>
      <c r="T5037" t="s">
        <v>2704</v>
      </c>
      <c r="U5037" t="s">
        <v>4560</v>
      </c>
      <c r="V5037" s="2">
        <v>1092</v>
      </c>
      <c r="W5037" t="s">
        <v>4655</v>
      </c>
      <c r="X5037" s="2">
        <v>0</v>
      </c>
      <c r="Y5037">
        <v>20</v>
      </c>
      <c r="Z5037" t="s">
        <v>3884</v>
      </c>
      <c r="AA5037" s="3">
        <v>0.307529836893082</v>
      </c>
      <c r="AB5037" t="s">
        <v>25819</v>
      </c>
      <c r="AC5037" t="s">
        <v>4575</v>
      </c>
      <c r="AD5037" t="s">
        <v>25818</v>
      </c>
      <c r="AE5037" t="s">
        <v>4655</v>
      </c>
      <c r="AF5037" t="s">
        <v>4563</v>
      </c>
      <c r="AG5037" t="s">
        <v>4564</v>
      </c>
      <c r="AH5037">
        <v>89511</v>
      </c>
      <c r="AI5037" t="s">
        <v>25819</v>
      </c>
      <c r="AJ5037" t="s">
        <v>741</v>
      </c>
      <c r="AK5037" t="s">
        <v>25820</v>
      </c>
      <c r="AL5037" s="13" t="s">
        <v>3428</v>
      </c>
      <c r="AM5037" s="14">
        <v>1</v>
      </c>
      <c r="AN5037" s="15" t="s">
        <v>1226</v>
      </c>
    </row>
    <row r="5038" spans="1:40" x14ac:dyDescent="0.3">
      <c r="A5038" s="10" t="str">
        <f>HYPERLINK("http://www.washoecounty.gov/assessor/cama/?parid=148-341-01&amp;CardNumber=1","148-341-01")</f>
        <v>148-341-01</v>
      </c>
      <c r="B5038" t="s">
        <v>4655</v>
      </c>
      <c r="C5038" t="s">
        <v>25821</v>
      </c>
      <c r="D5038" s="1">
        <v>40233</v>
      </c>
      <c r="E5038" s="2">
        <v>93000</v>
      </c>
      <c r="F5038" t="s">
        <v>4567</v>
      </c>
      <c r="G5038" s="17" t="str">
        <f>HYPERLINK("https://www.washoecounty.gov/assessor/cama/?command=sales&amp;parid=14834101","3852387")</f>
        <v>3852387</v>
      </c>
      <c r="H5038" t="s">
        <v>4812</v>
      </c>
      <c r="I5038">
        <v>2007</v>
      </c>
      <c r="J5038">
        <v>2007</v>
      </c>
      <c r="K5038" t="s">
        <v>4554</v>
      </c>
      <c r="L5038" t="s">
        <v>4555</v>
      </c>
      <c r="M5038" s="2">
        <v>3482</v>
      </c>
      <c r="N5038" t="s">
        <v>2008</v>
      </c>
      <c r="O5038">
        <v>4</v>
      </c>
      <c r="P5038">
        <v>3</v>
      </c>
      <c r="Q5038">
        <v>1</v>
      </c>
      <c r="R5038" t="s">
        <v>5281</v>
      </c>
      <c r="S5038" t="s">
        <v>4898</v>
      </c>
      <c r="T5038" t="s">
        <v>2704</v>
      </c>
      <c r="U5038" t="s">
        <v>4560</v>
      </c>
      <c r="V5038" s="2">
        <v>1051</v>
      </c>
      <c r="W5038" t="s">
        <v>4655</v>
      </c>
      <c r="X5038" s="2">
        <v>0</v>
      </c>
      <c r="Y5038">
        <v>20</v>
      </c>
      <c r="Z5038" t="s">
        <v>3884</v>
      </c>
      <c r="AA5038" s="3">
        <v>0.64455920457839899</v>
      </c>
      <c r="AB5038" t="s">
        <v>25822</v>
      </c>
      <c r="AC5038" t="s">
        <v>4562</v>
      </c>
      <c r="AD5038" t="s">
        <v>25823</v>
      </c>
      <c r="AE5038" t="s">
        <v>4655</v>
      </c>
      <c r="AF5038" t="s">
        <v>4563</v>
      </c>
      <c r="AG5038" t="s">
        <v>4564</v>
      </c>
      <c r="AH5038">
        <v>89511</v>
      </c>
      <c r="AI5038" t="s">
        <v>25824</v>
      </c>
      <c r="AJ5038" t="s">
        <v>4813</v>
      </c>
      <c r="AK5038" t="s">
        <v>25825</v>
      </c>
      <c r="AL5038" s="13" t="s">
        <v>3428</v>
      </c>
      <c r="AM5038">
        <v>1</v>
      </c>
      <c r="AN5038" s="15" t="s">
        <v>273</v>
      </c>
    </row>
    <row r="5039" spans="1:40" x14ac:dyDescent="0.3">
      <c r="A5039" s="10" t="str">
        <f>HYPERLINK("http://www.washoecounty.gov/assessor/cama/?parid=148-341-01&amp;CardNumber=1","148-341-01")</f>
        <v>148-341-01</v>
      </c>
      <c r="B5039" t="s">
        <v>4655</v>
      </c>
      <c r="C5039" t="s">
        <v>25821</v>
      </c>
      <c r="D5039" s="1">
        <v>40434</v>
      </c>
      <c r="E5039" s="2">
        <v>775000</v>
      </c>
      <c r="F5039" t="s">
        <v>4567</v>
      </c>
      <c r="G5039" s="17" t="str">
        <f>HYPERLINK("https://www.washoecounty.gov/assessor/cama/?command=sales&amp;parid=14834101","3921500")</f>
        <v>3921500</v>
      </c>
      <c r="H5039" t="s">
        <v>4812</v>
      </c>
      <c r="I5039">
        <v>2007</v>
      </c>
      <c r="J5039">
        <v>2007</v>
      </c>
      <c r="K5039" t="s">
        <v>4554</v>
      </c>
      <c r="L5039" t="s">
        <v>4555</v>
      </c>
      <c r="M5039" s="2">
        <v>3482</v>
      </c>
      <c r="N5039" t="s">
        <v>2008</v>
      </c>
      <c r="O5039">
        <v>4</v>
      </c>
      <c r="P5039">
        <v>3</v>
      </c>
      <c r="Q5039">
        <v>1</v>
      </c>
      <c r="R5039" t="s">
        <v>5281</v>
      </c>
      <c r="S5039" t="s">
        <v>4898</v>
      </c>
      <c r="T5039" t="s">
        <v>2704</v>
      </c>
      <c r="U5039" t="s">
        <v>4560</v>
      </c>
      <c r="V5039" s="2">
        <v>1051</v>
      </c>
      <c r="W5039" t="s">
        <v>4655</v>
      </c>
      <c r="X5039" s="2">
        <v>0</v>
      </c>
      <c r="Y5039">
        <v>20</v>
      </c>
      <c r="Z5039" t="s">
        <v>3884</v>
      </c>
      <c r="AA5039" s="3">
        <v>0.64455920457839899</v>
      </c>
      <c r="AB5039" t="s">
        <v>25822</v>
      </c>
      <c r="AC5039" t="s">
        <v>4562</v>
      </c>
      <c r="AD5039" t="s">
        <v>25823</v>
      </c>
      <c r="AE5039" t="s">
        <v>4655</v>
      </c>
      <c r="AF5039" t="s">
        <v>4563</v>
      </c>
      <c r="AG5039" t="s">
        <v>4564</v>
      </c>
      <c r="AH5039">
        <v>89511</v>
      </c>
      <c r="AI5039" t="s">
        <v>25824</v>
      </c>
      <c r="AJ5039" t="s">
        <v>4813</v>
      </c>
      <c r="AK5039" t="s">
        <v>25825</v>
      </c>
      <c r="AL5039" s="13" t="s">
        <v>3428</v>
      </c>
      <c r="AM5039">
        <v>1</v>
      </c>
      <c r="AN5039" s="15" t="s">
        <v>273</v>
      </c>
    </row>
    <row r="5040" spans="1:40" x14ac:dyDescent="0.3">
      <c r="A5040" s="10" t="str">
        <f>HYPERLINK("http://www.washoecounty.gov/assessor/cama/?parid=148-343-10&amp;CardNumber=1","148-343-10")</f>
        <v>148-343-10</v>
      </c>
      <c r="B5040" t="s">
        <v>4655</v>
      </c>
      <c r="C5040" t="s">
        <v>25826</v>
      </c>
      <c r="D5040" s="1">
        <v>40333</v>
      </c>
      <c r="E5040" s="2">
        <v>670000</v>
      </c>
      <c r="F5040" t="s">
        <v>4567</v>
      </c>
      <c r="G5040" s="17" t="str">
        <f>HYPERLINK("https://www.washoecounty.gov/assessor/cama/?command=sales&amp;parid=14834310","3888627")</f>
        <v>3888627</v>
      </c>
      <c r="H5040" t="s">
        <v>4812</v>
      </c>
      <c r="I5040">
        <v>2007</v>
      </c>
      <c r="J5040">
        <v>2007</v>
      </c>
      <c r="K5040" t="s">
        <v>4554</v>
      </c>
      <c r="L5040" t="s">
        <v>4555</v>
      </c>
      <c r="M5040" s="2">
        <v>3230</v>
      </c>
      <c r="N5040" t="s">
        <v>2008</v>
      </c>
      <c r="O5040">
        <v>3</v>
      </c>
      <c r="P5040">
        <v>3</v>
      </c>
      <c r="Q5040">
        <v>1</v>
      </c>
      <c r="R5040" t="s">
        <v>5281</v>
      </c>
      <c r="S5040" t="s">
        <v>4898</v>
      </c>
      <c r="T5040" t="s">
        <v>2704</v>
      </c>
      <c r="U5040" t="s">
        <v>4560</v>
      </c>
      <c r="V5040" s="2">
        <v>1153</v>
      </c>
      <c r="W5040" t="s">
        <v>4655</v>
      </c>
      <c r="X5040" s="2">
        <v>0</v>
      </c>
      <c r="Y5040">
        <v>20</v>
      </c>
      <c r="Z5040" t="s">
        <v>3668</v>
      </c>
      <c r="AA5040" s="3">
        <v>0.72486227750778098</v>
      </c>
      <c r="AB5040" t="s">
        <v>25827</v>
      </c>
      <c r="AC5040" t="s">
        <v>4562</v>
      </c>
      <c r="AD5040" t="s">
        <v>25828</v>
      </c>
      <c r="AE5040" t="s">
        <v>4655</v>
      </c>
      <c r="AF5040" t="s">
        <v>4563</v>
      </c>
      <c r="AG5040" t="s">
        <v>4564</v>
      </c>
      <c r="AH5040">
        <v>89511</v>
      </c>
      <c r="AI5040" t="s">
        <v>4226</v>
      </c>
      <c r="AJ5040" t="s">
        <v>4813</v>
      </c>
      <c r="AK5040" t="s">
        <v>25829</v>
      </c>
      <c r="AL5040" s="13" t="s">
        <v>3428</v>
      </c>
      <c r="AM5040">
        <v>1</v>
      </c>
      <c r="AN5040" s="15" t="s">
        <v>273</v>
      </c>
    </row>
    <row r="5041" spans="1:40" x14ac:dyDescent="0.3">
      <c r="A5041" s="10" t="str">
        <f>HYPERLINK("http://www.washoecounty.gov/assessor/cama/?parid=148-343-12&amp;CardNumber=1","148-343-12")</f>
        <v>148-343-12</v>
      </c>
      <c r="B5041" t="s">
        <v>4655</v>
      </c>
      <c r="C5041" t="s">
        <v>4225</v>
      </c>
      <c r="D5041" s="1">
        <v>40294</v>
      </c>
      <c r="E5041" s="2">
        <v>90000</v>
      </c>
      <c r="F5041" t="s">
        <v>4187</v>
      </c>
      <c r="G5041" s="17" t="str">
        <f>HYPERLINK("https://www.washoecounty.gov/assessor/cama/?command=sales&amp;parid=14834312","3874520")</f>
        <v>3874520</v>
      </c>
      <c r="H5041" t="s">
        <v>4812</v>
      </c>
      <c r="I5041">
        <v>2010</v>
      </c>
      <c r="J5041">
        <v>2010</v>
      </c>
      <c r="K5041" t="s">
        <v>4554</v>
      </c>
      <c r="L5041" t="s">
        <v>4555</v>
      </c>
      <c r="M5041" s="2">
        <v>3838</v>
      </c>
      <c r="N5041" t="s">
        <v>2008</v>
      </c>
      <c r="O5041">
        <v>4</v>
      </c>
      <c r="P5041">
        <v>4</v>
      </c>
      <c r="Q5041">
        <v>1</v>
      </c>
      <c r="R5041" t="s">
        <v>5281</v>
      </c>
      <c r="S5041" t="s">
        <v>4898</v>
      </c>
      <c r="T5041" t="s">
        <v>2704</v>
      </c>
      <c r="U5041" t="s">
        <v>4560</v>
      </c>
      <c r="V5041" s="2">
        <v>918</v>
      </c>
      <c r="W5041" t="s">
        <v>4655</v>
      </c>
      <c r="X5041" s="2">
        <v>0</v>
      </c>
      <c r="Y5041">
        <v>20</v>
      </c>
      <c r="Z5041" t="s">
        <v>3668</v>
      </c>
      <c r="AA5041" s="3">
        <v>0.71981173753738403</v>
      </c>
      <c r="AB5041" t="s">
        <v>184</v>
      </c>
      <c r="AC5041" t="s">
        <v>4562</v>
      </c>
      <c r="AD5041" t="s">
        <v>4225</v>
      </c>
      <c r="AE5041" t="s">
        <v>4655</v>
      </c>
      <c r="AF5041" t="s">
        <v>4563</v>
      </c>
      <c r="AG5041" t="s">
        <v>4564</v>
      </c>
      <c r="AH5041">
        <v>89511</v>
      </c>
      <c r="AI5041" t="s">
        <v>446</v>
      </c>
      <c r="AJ5041" t="s">
        <v>4813</v>
      </c>
      <c r="AK5041" t="s">
        <v>5039</v>
      </c>
      <c r="AL5041" s="13" t="s">
        <v>3428</v>
      </c>
      <c r="AM5041">
        <v>1</v>
      </c>
      <c r="AN5041" s="15" t="s">
        <v>273</v>
      </c>
    </row>
    <row r="5042" spans="1:40" x14ac:dyDescent="0.3">
      <c r="A5042" s="10" t="str">
        <f>HYPERLINK("http://www.washoecounty.gov/assessor/cama/?parid=148-343-13&amp;CardNumber=1","148-343-13")</f>
        <v>148-343-13</v>
      </c>
      <c r="B5042" t="s">
        <v>4655</v>
      </c>
      <c r="C5042" t="s">
        <v>25830</v>
      </c>
      <c r="D5042" s="1">
        <v>40459</v>
      </c>
      <c r="E5042" s="2">
        <v>595000</v>
      </c>
      <c r="F5042" t="s">
        <v>4567</v>
      </c>
      <c r="G5042" s="17" t="str">
        <f>HYPERLINK("https://www.washoecounty.gov/assessor/cama/?command=sales&amp;parid=14834313","3931267")</f>
        <v>3931267</v>
      </c>
      <c r="H5042" t="s">
        <v>4812</v>
      </c>
      <c r="I5042">
        <v>2007</v>
      </c>
      <c r="J5042">
        <v>2007</v>
      </c>
      <c r="K5042" t="s">
        <v>4554</v>
      </c>
      <c r="L5042" t="s">
        <v>4555</v>
      </c>
      <c r="M5042" s="2">
        <v>3482</v>
      </c>
      <c r="N5042" t="s">
        <v>2008</v>
      </c>
      <c r="O5042">
        <v>4</v>
      </c>
      <c r="P5042">
        <v>3</v>
      </c>
      <c r="Q5042">
        <v>1</v>
      </c>
      <c r="R5042" t="s">
        <v>5281</v>
      </c>
      <c r="S5042" t="s">
        <v>4898</v>
      </c>
      <c r="T5042" t="s">
        <v>2704</v>
      </c>
      <c r="U5042" t="s">
        <v>4560</v>
      </c>
      <c r="V5042" s="2">
        <v>1051</v>
      </c>
      <c r="W5042" t="s">
        <v>4655</v>
      </c>
      <c r="X5042" s="2">
        <v>0</v>
      </c>
      <c r="Y5042">
        <v>20</v>
      </c>
      <c r="Z5042" t="s">
        <v>3668</v>
      </c>
      <c r="AA5042" s="3">
        <v>0.64444446563720703</v>
      </c>
      <c r="AB5042" t="s">
        <v>25831</v>
      </c>
      <c r="AC5042" t="s">
        <v>4575</v>
      </c>
      <c r="AD5042" t="s">
        <v>25830</v>
      </c>
      <c r="AE5042" t="s">
        <v>4655</v>
      </c>
      <c r="AF5042" t="s">
        <v>4563</v>
      </c>
      <c r="AG5042" t="s">
        <v>4564</v>
      </c>
      <c r="AH5042">
        <v>89511</v>
      </c>
      <c r="AI5042" t="s">
        <v>4226</v>
      </c>
      <c r="AJ5042" t="s">
        <v>4813</v>
      </c>
      <c r="AK5042" t="s">
        <v>25832</v>
      </c>
      <c r="AL5042" s="13" t="s">
        <v>3428</v>
      </c>
      <c r="AM5042">
        <v>1</v>
      </c>
      <c r="AN5042" s="15" t="s">
        <v>273</v>
      </c>
    </row>
    <row r="5043" spans="1:40" x14ac:dyDescent="0.3">
      <c r="A5043" s="10" t="str">
        <f>HYPERLINK("http://www.washoecounty.gov/assessor/cama/?parid=148-343-14&amp;CardNumber=1","148-343-14")</f>
        <v>148-343-14</v>
      </c>
      <c r="B5043" t="s">
        <v>4655</v>
      </c>
      <c r="C5043" t="s">
        <v>25833</v>
      </c>
      <c r="D5043" s="1">
        <v>40234</v>
      </c>
      <c r="E5043" s="2">
        <v>89000</v>
      </c>
      <c r="F5043" t="s">
        <v>4567</v>
      </c>
      <c r="G5043" s="17" t="str">
        <f>HYPERLINK("https://www.washoecounty.gov/assessor/cama/?command=sales&amp;parid=14834314","3852831")</f>
        <v>3852831</v>
      </c>
      <c r="H5043" t="s">
        <v>4812</v>
      </c>
      <c r="I5043">
        <v>0</v>
      </c>
      <c r="J5043">
        <v>0</v>
      </c>
      <c r="K5043" t="s">
        <v>4655</v>
      </c>
      <c r="L5043" t="s">
        <v>4655</v>
      </c>
      <c r="M5043" s="2">
        <v>0</v>
      </c>
      <c r="N5043" t="s">
        <v>4655</v>
      </c>
      <c r="O5043">
        <v>0</v>
      </c>
      <c r="P5043">
        <v>0</v>
      </c>
      <c r="Q5043">
        <v>0</v>
      </c>
      <c r="R5043" t="s">
        <v>4655</v>
      </c>
      <c r="S5043" t="s">
        <v>4655</v>
      </c>
      <c r="T5043" t="s">
        <v>4655</v>
      </c>
      <c r="U5043" t="s">
        <v>4655</v>
      </c>
      <c r="V5043" s="2">
        <v>0</v>
      </c>
      <c r="W5043" t="s">
        <v>4655</v>
      </c>
      <c r="X5043" s="2">
        <v>0</v>
      </c>
      <c r="Y5043">
        <v>12</v>
      </c>
      <c r="Z5043" t="s">
        <v>4051</v>
      </c>
      <c r="AA5043" s="3">
        <v>0.82224518060684204</v>
      </c>
      <c r="AB5043" t="s">
        <v>25834</v>
      </c>
      <c r="AC5043" t="s">
        <v>4562</v>
      </c>
      <c r="AD5043" t="s">
        <v>25835</v>
      </c>
      <c r="AE5043" t="s">
        <v>4655</v>
      </c>
      <c r="AF5043" t="s">
        <v>4563</v>
      </c>
      <c r="AG5043" t="s">
        <v>4564</v>
      </c>
      <c r="AH5043">
        <v>89511</v>
      </c>
      <c r="AI5043" t="s">
        <v>25836</v>
      </c>
      <c r="AJ5043" t="s">
        <v>4813</v>
      </c>
      <c r="AK5043" t="s">
        <v>25837</v>
      </c>
      <c r="AL5043" s="13" t="s">
        <v>3428</v>
      </c>
      <c r="AM5043">
        <v>0</v>
      </c>
      <c r="AN5043" s="15" t="s">
        <v>273</v>
      </c>
    </row>
    <row r="5044" spans="1:40" x14ac:dyDescent="0.3">
      <c r="A5044" s="10" t="str">
        <f>HYPERLINK("http://www.washoecounty.gov/assessor/cama/?parid=148-343-15&amp;CardNumber=1","148-343-15")</f>
        <v>148-343-15</v>
      </c>
      <c r="B5044" t="s">
        <v>4655</v>
      </c>
      <c r="C5044" t="s">
        <v>25838</v>
      </c>
      <c r="D5044" s="1">
        <v>40354</v>
      </c>
      <c r="E5044" s="2">
        <v>85000</v>
      </c>
      <c r="F5044" t="s">
        <v>3259</v>
      </c>
      <c r="G5044" s="17" t="str">
        <f>HYPERLINK("https://www.washoecounty.gov/assessor/cama/?command=sales&amp;parid=14834315","3895270")</f>
        <v>3895270</v>
      </c>
      <c r="H5044" t="s">
        <v>4812</v>
      </c>
      <c r="I5044">
        <v>0</v>
      </c>
      <c r="J5044">
        <v>0</v>
      </c>
      <c r="K5044" t="s">
        <v>4655</v>
      </c>
      <c r="L5044" t="s">
        <v>4655</v>
      </c>
      <c r="M5044" s="2">
        <v>0</v>
      </c>
      <c r="N5044" t="s">
        <v>4655</v>
      </c>
      <c r="O5044">
        <v>0</v>
      </c>
      <c r="P5044">
        <v>0</v>
      </c>
      <c r="Q5044">
        <v>0</v>
      </c>
      <c r="R5044" t="s">
        <v>4655</v>
      </c>
      <c r="S5044" t="s">
        <v>4655</v>
      </c>
      <c r="T5044" t="s">
        <v>4655</v>
      </c>
      <c r="U5044" t="s">
        <v>4655</v>
      </c>
      <c r="V5044" s="2">
        <v>0</v>
      </c>
      <c r="W5044" t="s">
        <v>4655</v>
      </c>
      <c r="X5044" s="2">
        <v>0</v>
      </c>
      <c r="Y5044">
        <v>12</v>
      </c>
      <c r="Z5044" t="s">
        <v>4051</v>
      </c>
      <c r="AA5044" s="3">
        <v>0.68092286586761397</v>
      </c>
      <c r="AB5044" t="s">
        <v>25839</v>
      </c>
      <c r="AC5044" t="s">
        <v>4575</v>
      </c>
      <c r="AD5044" t="s">
        <v>25840</v>
      </c>
      <c r="AE5044" t="s">
        <v>4655</v>
      </c>
      <c r="AF5044" t="s">
        <v>4054</v>
      </c>
      <c r="AG5044" t="s">
        <v>4564</v>
      </c>
      <c r="AH5044" t="s">
        <v>5275</v>
      </c>
      <c r="AI5044" t="s">
        <v>25836</v>
      </c>
      <c r="AJ5044" t="s">
        <v>4813</v>
      </c>
      <c r="AK5044" t="s">
        <v>25841</v>
      </c>
      <c r="AL5044" s="13" t="s">
        <v>3428</v>
      </c>
      <c r="AM5044" s="14">
        <v>0</v>
      </c>
      <c r="AN5044" s="15" t="s">
        <v>273</v>
      </c>
    </row>
    <row r="5045" spans="1:40" x14ac:dyDescent="0.3">
      <c r="A5045" s="10" t="str">
        <f>HYPERLINK("http://www.washoecounty.gov/assessor/cama/?parid=148-343-17&amp;CardNumber=1","148-343-17")</f>
        <v>148-343-17</v>
      </c>
      <c r="B5045" t="s">
        <v>4655</v>
      </c>
      <c r="C5045" t="s">
        <v>25842</v>
      </c>
      <c r="D5045" s="1">
        <v>40394</v>
      </c>
      <c r="E5045" s="2">
        <v>55000</v>
      </c>
      <c r="F5045" t="s">
        <v>3528</v>
      </c>
      <c r="G5045" s="17" t="str">
        <f>HYPERLINK("https://www.washoecounty.gov/assessor/cama/?command=sales&amp;parid=14834317","3908705")</f>
        <v>3908705</v>
      </c>
      <c r="H5045" t="s">
        <v>4812</v>
      </c>
      <c r="I5045">
        <v>0</v>
      </c>
      <c r="J5045">
        <v>0</v>
      </c>
      <c r="K5045" t="s">
        <v>4655</v>
      </c>
      <c r="L5045" t="s">
        <v>4655</v>
      </c>
      <c r="M5045" s="2">
        <v>0</v>
      </c>
      <c r="N5045" t="s">
        <v>4655</v>
      </c>
      <c r="O5045">
        <v>0</v>
      </c>
      <c r="P5045">
        <v>0</v>
      </c>
      <c r="Q5045">
        <v>0</v>
      </c>
      <c r="R5045" t="s">
        <v>4655</v>
      </c>
      <c r="S5045" t="s">
        <v>4655</v>
      </c>
      <c r="T5045" t="s">
        <v>4655</v>
      </c>
      <c r="U5045" t="s">
        <v>4655</v>
      </c>
      <c r="V5045" s="2">
        <v>0</v>
      </c>
      <c r="W5045" t="s">
        <v>4655</v>
      </c>
      <c r="X5045" s="2">
        <v>0</v>
      </c>
      <c r="Y5045">
        <v>12</v>
      </c>
      <c r="Z5045" t="s">
        <v>3884</v>
      </c>
      <c r="AA5045" s="3">
        <v>0.78714418411254805</v>
      </c>
      <c r="AB5045" t="s">
        <v>4226</v>
      </c>
      <c r="AC5045" t="s">
        <v>4562</v>
      </c>
      <c r="AD5045" t="s">
        <v>5038</v>
      </c>
      <c r="AE5045" t="s">
        <v>4655</v>
      </c>
      <c r="AF5045" t="s">
        <v>4563</v>
      </c>
      <c r="AG5045" t="s">
        <v>4564</v>
      </c>
      <c r="AH5045">
        <v>89507</v>
      </c>
      <c r="AI5045" t="s">
        <v>25843</v>
      </c>
      <c r="AJ5045" t="s">
        <v>4813</v>
      </c>
      <c r="AK5045" t="s">
        <v>25844</v>
      </c>
      <c r="AL5045" s="13" t="s">
        <v>3428</v>
      </c>
      <c r="AM5045">
        <v>0</v>
      </c>
      <c r="AN5045" s="15" t="s">
        <v>273</v>
      </c>
    </row>
    <row r="5046" spans="1:40" x14ac:dyDescent="0.3">
      <c r="A5046" s="10" t="str">
        <f>HYPERLINK("http://www.washoecounty.gov/assessor/cama/?parid=148-361-03&amp;CardNumber=1","148-361-03")</f>
        <v>148-361-03</v>
      </c>
      <c r="B5046" t="s">
        <v>4655</v>
      </c>
      <c r="C5046" t="s">
        <v>25845</v>
      </c>
      <c r="D5046" s="1">
        <v>40350</v>
      </c>
      <c r="E5046" s="2">
        <v>117000</v>
      </c>
      <c r="F5046" t="s">
        <v>3259</v>
      </c>
      <c r="G5046" s="17" t="str">
        <f>HYPERLINK("https://www.washoecounty.gov/assessor/cama/?command=sales&amp;parid=14836103","3893937")</f>
        <v>3893937</v>
      </c>
      <c r="H5046" t="s">
        <v>1924</v>
      </c>
      <c r="I5046">
        <v>0</v>
      </c>
      <c r="J5046">
        <v>0</v>
      </c>
      <c r="K5046" t="s">
        <v>4655</v>
      </c>
      <c r="L5046" t="s">
        <v>4655</v>
      </c>
      <c r="M5046" s="2">
        <v>0</v>
      </c>
      <c r="N5046" t="s">
        <v>4655</v>
      </c>
      <c r="O5046">
        <v>0</v>
      </c>
      <c r="P5046">
        <v>0</v>
      </c>
      <c r="Q5046">
        <v>0</v>
      </c>
      <c r="R5046" t="s">
        <v>4655</v>
      </c>
      <c r="S5046" t="s">
        <v>4655</v>
      </c>
      <c r="T5046" t="s">
        <v>4655</v>
      </c>
      <c r="U5046" t="s">
        <v>4655</v>
      </c>
      <c r="V5046" s="2">
        <v>0</v>
      </c>
      <c r="W5046" t="s">
        <v>4655</v>
      </c>
      <c r="X5046" s="2">
        <v>0</v>
      </c>
      <c r="Y5046">
        <v>12</v>
      </c>
      <c r="Z5046" t="s">
        <v>3884</v>
      </c>
      <c r="AA5046" s="3">
        <v>0.59488064050674405</v>
      </c>
      <c r="AB5046" t="s">
        <v>25846</v>
      </c>
      <c r="AC5046" t="s">
        <v>4575</v>
      </c>
      <c r="AD5046" t="s">
        <v>25847</v>
      </c>
      <c r="AE5046" t="s">
        <v>4655</v>
      </c>
      <c r="AF5046" t="s">
        <v>4563</v>
      </c>
      <c r="AG5046" t="s">
        <v>4564</v>
      </c>
      <c r="AH5046">
        <v>89511</v>
      </c>
      <c r="AI5046" t="s">
        <v>25848</v>
      </c>
      <c r="AJ5046" t="s">
        <v>25849</v>
      </c>
      <c r="AK5046" t="s">
        <v>25850</v>
      </c>
      <c r="AL5046" s="13" t="s">
        <v>3428</v>
      </c>
      <c r="AM5046">
        <v>0</v>
      </c>
      <c r="AN5046" s="15" t="s">
        <v>1226</v>
      </c>
    </row>
    <row r="5047" spans="1:40" x14ac:dyDescent="0.3">
      <c r="A5047" s="10" t="str">
        <f>HYPERLINK("http://www.washoecounty.gov/assessor/cama/?parid=148-371-05&amp;CardNumber=1","148-371-05")</f>
        <v>148-371-05</v>
      </c>
      <c r="B5047" t="s">
        <v>4655</v>
      </c>
      <c r="C5047" t="s">
        <v>25851</v>
      </c>
      <c r="D5047" s="1">
        <v>40470</v>
      </c>
      <c r="E5047" s="2">
        <v>750000</v>
      </c>
      <c r="F5047" t="s">
        <v>4553</v>
      </c>
      <c r="G5047" s="17" t="str">
        <f>HYPERLINK("https://www.washoecounty.gov/assessor/cama/?command=sales&amp;parid=14837105","3934449")</f>
        <v>3934449</v>
      </c>
      <c r="H5047" t="s">
        <v>2206</v>
      </c>
      <c r="I5047">
        <v>2007</v>
      </c>
      <c r="J5047">
        <v>2007</v>
      </c>
      <c r="K5047" t="s">
        <v>4554</v>
      </c>
      <c r="L5047" t="s">
        <v>3886</v>
      </c>
      <c r="M5047" s="2">
        <v>4634</v>
      </c>
      <c r="N5047" t="s">
        <v>5076</v>
      </c>
      <c r="O5047">
        <v>4</v>
      </c>
      <c r="P5047">
        <v>4</v>
      </c>
      <c r="Q5047">
        <v>1</v>
      </c>
      <c r="R5047" t="s">
        <v>2632</v>
      </c>
      <c r="S5047" t="s">
        <v>4898</v>
      </c>
      <c r="T5047" t="s">
        <v>2704</v>
      </c>
      <c r="U5047" t="s">
        <v>4560</v>
      </c>
      <c r="V5047" s="2">
        <v>1543</v>
      </c>
      <c r="W5047" t="s">
        <v>1500</v>
      </c>
      <c r="X5047" s="2">
        <v>226</v>
      </c>
      <c r="Y5047">
        <v>20</v>
      </c>
      <c r="Z5047" t="s">
        <v>3884</v>
      </c>
      <c r="AA5047" s="3">
        <v>0.62601011991500799</v>
      </c>
      <c r="AB5047" t="s">
        <v>25852</v>
      </c>
      <c r="AC5047" t="s">
        <v>4575</v>
      </c>
      <c r="AD5047" t="s">
        <v>25851</v>
      </c>
      <c r="AE5047" t="s">
        <v>4655</v>
      </c>
      <c r="AF5047" t="s">
        <v>4563</v>
      </c>
      <c r="AG5047" t="s">
        <v>4564</v>
      </c>
      <c r="AH5047">
        <v>89511</v>
      </c>
      <c r="AI5047" t="s">
        <v>25853</v>
      </c>
      <c r="AJ5047" t="s">
        <v>2207</v>
      </c>
      <c r="AK5047" t="s">
        <v>25854</v>
      </c>
      <c r="AL5047" s="13" t="s">
        <v>3428</v>
      </c>
      <c r="AM5047">
        <v>1</v>
      </c>
      <c r="AN5047" s="15" t="s">
        <v>1226</v>
      </c>
    </row>
    <row r="5048" spans="1:40" x14ac:dyDescent="0.3">
      <c r="A5048" s="10" t="str">
        <f>HYPERLINK("http://www.washoecounty.gov/assessor/cama/?parid=148-381-01&amp;CardNumber=1","148-381-01")</f>
        <v>148-381-01</v>
      </c>
      <c r="B5048" t="s">
        <v>4655</v>
      </c>
      <c r="C5048" t="s">
        <v>25855</v>
      </c>
      <c r="D5048" s="1">
        <v>40261</v>
      </c>
      <c r="E5048" s="2">
        <v>111000</v>
      </c>
      <c r="F5048" t="s">
        <v>4553</v>
      </c>
      <c r="G5048" s="17" t="str">
        <f>HYPERLINK("https://www.washoecounty.gov/assessor/cama/?command=sales&amp;parid=14838101","3863250")</f>
        <v>3863250</v>
      </c>
      <c r="H5048" t="s">
        <v>2206</v>
      </c>
      <c r="I5048">
        <v>0</v>
      </c>
      <c r="J5048">
        <v>0</v>
      </c>
      <c r="K5048" t="s">
        <v>4655</v>
      </c>
      <c r="L5048" t="s">
        <v>4655</v>
      </c>
      <c r="M5048" s="2">
        <v>0</v>
      </c>
      <c r="N5048" t="s">
        <v>4655</v>
      </c>
      <c r="O5048">
        <v>0</v>
      </c>
      <c r="P5048">
        <v>0</v>
      </c>
      <c r="Q5048">
        <v>0</v>
      </c>
      <c r="R5048" t="s">
        <v>4655</v>
      </c>
      <c r="S5048" t="s">
        <v>4655</v>
      </c>
      <c r="T5048" t="s">
        <v>4655</v>
      </c>
      <c r="U5048" t="s">
        <v>4655</v>
      </c>
      <c r="V5048" s="2">
        <v>0</v>
      </c>
      <c r="W5048" t="s">
        <v>4655</v>
      </c>
      <c r="X5048" s="2">
        <v>0</v>
      </c>
      <c r="Y5048">
        <v>12</v>
      </c>
      <c r="Z5048" t="s">
        <v>3884</v>
      </c>
      <c r="AA5048" s="3">
        <v>0.81209826469421298</v>
      </c>
      <c r="AB5048" t="s">
        <v>25856</v>
      </c>
      <c r="AC5048" t="s">
        <v>4575</v>
      </c>
      <c r="AD5048" t="s">
        <v>25857</v>
      </c>
      <c r="AE5048" t="s">
        <v>25858</v>
      </c>
      <c r="AF5048" t="s">
        <v>4563</v>
      </c>
      <c r="AG5048" t="s">
        <v>4564</v>
      </c>
      <c r="AH5048">
        <v>89511</v>
      </c>
      <c r="AI5048" t="s">
        <v>3916</v>
      </c>
      <c r="AJ5048" t="s">
        <v>2207</v>
      </c>
      <c r="AK5048" t="s">
        <v>25859</v>
      </c>
      <c r="AL5048" s="13" t="s">
        <v>3428</v>
      </c>
      <c r="AM5048">
        <v>0</v>
      </c>
      <c r="AN5048" s="15" t="s">
        <v>1226</v>
      </c>
    </row>
    <row r="5049" spans="1:40" x14ac:dyDescent="0.3">
      <c r="A5049" s="10" t="str">
        <f>HYPERLINK("http://www.washoecounty.gov/assessor/cama/?parid=148-381-07&amp;CardNumber=1","148-381-07")</f>
        <v>148-381-07</v>
      </c>
      <c r="B5049" t="s">
        <v>4655</v>
      </c>
      <c r="C5049" t="s">
        <v>25860</v>
      </c>
      <c r="D5049" s="1">
        <v>40486</v>
      </c>
      <c r="E5049" s="2">
        <v>1025000</v>
      </c>
      <c r="F5049" t="s">
        <v>4553</v>
      </c>
      <c r="G5049" s="17" t="str">
        <f>HYPERLINK("https://www.washoecounty.gov/assessor/cama/?command=sales&amp;parid=14838107","3939890")</f>
        <v>3939890</v>
      </c>
      <c r="H5049" t="s">
        <v>2206</v>
      </c>
      <c r="I5049">
        <v>2008</v>
      </c>
      <c r="J5049">
        <v>2008</v>
      </c>
      <c r="K5049" t="s">
        <v>4554</v>
      </c>
      <c r="L5049" t="s">
        <v>4555</v>
      </c>
      <c r="M5049" s="2">
        <v>4441</v>
      </c>
      <c r="N5049" t="s">
        <v>2967</v>
      </c>
      <c r="O5049">
        <v>4</v>
      </c>
      <c r="P5049">
        <v>4</v>
      </c>
      <c r="Q5049">
        <v>1</v>
      </c>
      <c r="R5049" t="s">
        <v>2632</v>
      </c>
      <c r="S5049" t="s">
        <v>4898</v>
      </c>
      <c r="T5049" t="s">
        <v>2704</v>
      </c>
      <c r="U5049" t="s">
        <v>4560</v>
      </c>
      <c r="V5049" s="2">
        <v>894</v>
      </c>
      <c r="W5049" t="s">
        <v>4655</v>
      </c>
      <c r="X5049" s="2">
        <v>0</v>
      </c>
      <c r="Y5049">
        <v>20</v>
      </c>
      <c r="Z5049" t="s">
        <v>3884</v>
      </c>
      <c r="AA5049" s="3">
        <v>0.88092285394668501</v>
      </c>
      <c r="AB5049" t="s">
        <v>25861</v>
      </c>
      <c r="AC5049" t="s">
        <v>4575</v>
      </c>
      <c r="AD5049" t="s">
        <v>25862</v>
      </c>
      <c r="AE5049" t="s">
        <v>4655</v>
      </c>
      <c r="AF5049" t="s">
        <v>3556</v>
      </c>
      <c r="AG5049" t="s">
        <v>4584</v>
      </c>
      <c r="AH5049" t="s">
        <v>25863</v>
      </c>
      <c r="AI5049" t="s">
        <v>25864</v>
      </c>
      <c r="AJ5049" t="s">
        <v>2207</v>
      </c>
      <c r="AK5049" t="s">
        <v>25865</v>
      </c>
      <c r="AL5049" s="13" t="s">
        <v>3428</v>
      </c>
      <c r="AM5049" s="14">
        <v>1</v>
      </c>
      <c r="AN5049" s="15" t="s">
        <v>1226</v>
      </c>
    </row>
    <row r="5050" spans="1:40" x14ac:dyDescent="0.3">
      <c r="A5050" s="10" t="str">
        <f>HYPERLINK("http://www.washoecounty.gov/assessor/cama/?parid=148-381-09&amp;CardNumber=1","148-381-09")</f>
        <v>148-381-09</v>
      </c>
      <c r="B5050" t="s">
        <v>4655</v>
      </c>
      <c r="C5050" t="s">
        <v>25866</v>
      </c>
      <c r="D5050" s="1">
        <v>40360</v>
      </c>
      <c r="E5050" s="2">
        <v>120000</v>
      </c>
      <c r="F5050" t="s">
        <v>3259</v>
      </c>
      <c r="G5050" s="17" t="str">
        <f>HYPERLINK("https://www.washoecounty.gov/assessor/cama/?command=sales&amp;parid=14838109","3897899")</f>
        <v>3897899</v>
      </c>
      <c r="H5050" t="s">
        <v>2206</v>
      </c>
      <c r="I5050">
        <v>0</v>
      </c>
      <c r="J5050">
        <v>0</v>
      </c>
      <c r="K5050" t="s">
        <v>4655</v>
      </c>
      <c r="L5050" t="s">
        <v>4655</v>
      </c>
      <c r="M5050" s="2">
        <v>0</v>
      </c>
      <c r="N5050" t="s">
        <v>4655</v>
      </c>
      <c r="O5050">
        <v>0</v>
      </c>
      <c r="P5050">
        <v>0</v>
      </c>
      <c r="Q5050">
        <v>0</v>
      </c>
      <c r="R5050" t="s">
        <v>4655</v>
      </c>
      <c r="S5050" t="s">
        <v>4655</v>
      </c>
      <c r="T5050" t="s">
        <v>4655</v>
      </c>
      <c r="U5050" t="s">
        <v>4655</v>
      </c>
      <c r="V5050" s="2">
        <v>0</v>
      </c>
      <c r="W5050" t="s">
        <v>4655</v>
      </c>
      <c r="X5050" s="2">
        <v>0</v>
      </c>
      <c r="Y5050">
        <v>12</v>
      </c>
      <c r="Z5050" t="s">
        <v>3884</v>
      </c>
      <c r="AA5050" s="3">
        <v>0.63629478216171198</v>
      </c>
      <c r="AB5050" t="s">
        <v>25867</v>
      </c>
      <c r="AC5050" t="s">
        <v>4575</v>
      </c>
      <c r="AD5050" t="s">
        <v>25868</v>
      </c>
      <c r="AE5050" t="s">
        <v>4655</v>
      </c>
      <c r="AF5050" t="s">
        <v>3476</v>
      </c>
      <c r="AG5050" t="s">
        <v>4584</v>
      </c>
      <c r="AH5050" t="s">
        <v>25869</v>
      </c>
      <c r="AI5050" t="s">
        <v>4655</v>
      </c>
      <c r="AJ5050" t="s">
        <v>2207</v>
      </c>
      <c r="AK5050" t="s">
        <v>25870</v>
      </c>
      <c r="AL5050" s="13" t="s">
        <v>3428</v>
      </c>
      <c r="AM5050">
        <v>0</v>
      </c>
      <c r="AN5050" s="15" t="s">
        <v>1226</v>
      </c>
    </row>
    <row r="5051" spans="1:40" x14ac:dyDescent="0.3">
      <c r="A5051" s="10" t="str">
        <f>HYPERLINK("http://www.washoecounty.gov/assessor/cama/?parid=148-390-02&amp;CardNumber=1","148-390-02")</f>
        <v>148-390-02</v>
      </c>
      <c r="B5051" t="s">
        <v>4655</v>
      </c>
      <c r="C5051" t="s">
        <v>25871</v>
      </c>
      <c r="D5051" s="1">
        <v>40324</v>
      </c>
      <c r="E5051" s="2">
        <v>500</v>
      </c>
      <c r="F5051" t="s">
        <v>3174</v>
      </c>
      <c r="G5051" s="17" t="str">
        <f>HYPERLINK("https://www.washoecounty.gov/assessor/cama/?command=sales&amp;parid=14839002","3885162")</f>
        <v>3885162</v>
      </c>
      <c r="H5051" t="s">
        <v>3899</v>
      </c>
      <c r="I5051">
        <v>0</v>
      </c>
      <c r="J5051">
        <v>0</v>
      </c>
      <c r="K5051" t="s">
        <v>4655</v>
      </c>
      <c r="L5051" t="s">
        <v>4655</v>
      </c>
      <c r="M5051" s="2">
        <v>0</v>
      </c>
      <c r="N5051" t="s">
        <v>4655</v>
      </c>
      <c r="O5051">
        <v>0</v>
      </c>
      <c r="P5051">
        <v>0</v>
      </c>
      <c r="Q5051">
        <v>0</v>
      </c>
      <c r="R5051" t="s">
        <v>4655</v>
      </c>
      <c r="S5051" t="s">
        <v>4655</v>
      </c>
      <c r="T5051" t="s">
        <v>4655</v>
      </c>
      <c r="U5051" t="s">
        <v>4655</v>
      </c>
      <c r="V5051" s="2">
        <v>0</v>
      </c>
      <c r="W5051" t="s">
        <v>4655</v>
      </c>
      <c r="X5051" s="2">
        <v>0</v>
      </c>
      <c r="Y5051">
        <v>24</v>
      </c>
      <c r="Z5051" t="s">
        <v>4051</v>
      </c>
      <c r="AA5051" s="3">
        <v>6.6789999008178702</v>
      </c>
      <c r="AB5051" t="s">
        <v>3900</v>
      </c>
      <c r="AC5051" t="s">
        <v>4562</v>
      </c>
      <c r="AD5051" t="s">
        <v>3901</v>
      </c>
      <c r="AE5051" t="s">
        <v>4655</v>
      </c>
      <c r="AF5051" t="s">
        <v>4563</v>
      </c>
      <c r="AG5051" t="s">
        <v>4564</v>
      </c>
      <c r="AH5051">
        <v>89511</v>
      </c>
      <c r="AI5051" t="s">
        <v>3902</v>
      </c>
      <c r="AJ5051" t="s">
        <v>25872</v>
      </c>
      <c r="AK5051" t="s">
        <v>25873</v>
      </c>
      <c r="AL5051" s="13" t="s">
        <v>3428</v>
      </c>
      <c r="AM5051">
        <v>0</v>
      </c>
      <c r="AN5051" s="15" t="s">
        <v>25874</v>
      </c>
    </row>
    <row r="5052" spans="1:40" x14ac:dyDescent="0.3">
      <c r="A5052" s="10" t="str">
        <f>HYPERLINK("http://www.washoecounty.gov/assessor/cama/?parid=148-390-03&amp;CardNumber=1","148-390-03")</f>
        <v>148-390-03</v>
      </c>
      <c r="B5052" t="s">
        <v>4655</v>
      </c>
      <c r="C5052" t="s">
        <v>25871</v>
      </c>
      <c r="D5052" s="1">
        <v>40324</v>
      </c>
      <c r="E5052" s="2">
        <v>500</v>
      </c>
      <c r="F5052" t="s">
        <v>3174</v>
      </c>
      <c r="G5052" s="17" t="str">
        <f>HYPERLINK("https://www.washoecounty.gov/assessor/cama/?command=sales&amp;parid=14839003","3885162")</f>
        <v>3885162</v>
      </c>
      <c r="H5052" t="s">
        <v>3899</v>
      </c>
      <c r="I5052">
        <v>0</v>
      </c>
      <c r="J5052">
        <v>0</v>
      </c>
      <c r="K5052" t="s">
        <v>4655</v>
      </c>
      <c r="L5052" t="s">
        <v>4655</v>
      </c>
      <c r="M5052" s="2">
        <v>0</v>
      </c>
      <c r="N5052" t="s">
        <v>4655</v>
      </c>
      <c r="O5052">
        <v>0</v>
      </c>
      <c r="P5052">
        <v>0</v>
      </c>
      <c r="Q5052">
        <v>0</v>
      </c>
      <c r="R5052" t="s">
        <v>4655</v>
      </c>
      <c r="S5052" t="s">
        <v>4655</v>
      </c>
      <c r="T5052" t="s">
        <v>4655</v>
      </c>
      <c r="U5052" t="s">
        <v>4655</v>
      </c>
      <c r="V5052" s="2">
        <v>0</v>
      </c>
      <c r="W5052" t="s">
        <v>4655</v>
      </c>
      <c r="X5052" s="2">
        <v>0</v>
      </c>
      <c r="Y5052">
        <v>17</v>
      </c>
      <c r="Z5052" t="s">
        <v>4051</v>
      </c>
      <c r="AA5052" s="3">
        <v>6.1589999198913574</v>
      </c>
      <c r="AB5052" t="s">
        <v>3900</v>
      </c>
      <c r="AC5052" t="s">
        <v>4562</v>
      </c>
      <c r="AD5052" t="s">
        <v>3901</v>
      </c>
      <c r="AE5052" t="s">
        <v>4655</v>
      </c>
      <c r="AF5052" t="s">
        <v>4563</v>
      </c>
      <c r="AG5052" t="s">
        <v>4564</v>
      </c>
      <c r="AH5052">
        <v>89511</v>
      </c>
      <c r="AI5052" t="s">
        <v>3902</v>
      </c>
      <c r="AJ5052" t="s">
        <v>25872</v>
      </c>
      <c r="AK5052" t="s">
        <v>25875</v>
      </c>
      <c r="AL5052" s="13" t="s">
        <v>3428</v>
      </c>
      <c r="AM5052" s="14">
        <v>0</v>
      </c>
      <c r="AN5052" s="15" t="s">
        <v>25874</v>
      </c>
    </row>
    <row r="5053" spans="1:40" x14ac:dyDescent="0.3">
      <c r="A5053" s="10" t="str">
        <f>HYPERLINK("http://www.washoecounty.gov/assessor/cama/?parid=148-401-02&amp;CardNumber=1","148-401-02")</f>
        <v>148-401-02</v>
      </c>
      <c r="B5053" t="s">
        <v>4655</v>
      </c>
      <c r="C5053" t="s">
        <v>25876</v>
      </c>
      <c r="D5053" s="1">
        <v>40324</v>
      </c>
      <c r="E5053" s="2">
        <v>500</v>
      </c>
      <c r="F5053" t="s">
        <v>3174</v>
      </c>
      <c r="G5053" s="17" t="str">
        <f>HYPERLINK("https://www.washoecounty.gov/assessor/cama/?command=sales&amp;parid=14840102","3885162")</f>
        <v>3885162</v>
      </c>
      <c r="H5053" t="s">
        <v>3899</v>
      </c>
      <c r="I5053">
        <v>0</v>
      </c>
      <c r="J5053">
        <v>0</v>
      </c>
      <c r="K5053" t="s">
        <v>4655</v>
      </c>
      <c r="L5053" t="s">
        <v>4655</v>
      </c>
      <c r="M5053" s="2">
        <v>0</v>
      </c>
      <c r="N5053" t="s">
        <v>4655</v>
      </c>
      <c r="O5053">
        <v>0</v>
      </c>
      <c r="P5053">
        <v>0</v>
      </c>
      <c r="Q5053">
        <v>0</v>
      </c>
      <c r="R5053" t="s">
        <v>4655</v>
      </c>
      <c r="S5053" t="s">
        <v>4655</v>
      </c>
      <c r="T5053" t="s">
        <v>4655</v>
      </c>
      <c r="U5053" t="s">
        <v>4655</v>
      </c>
      <c r="V5053" s="2">
        <v>0</v>
      </c>
      <c r="W5053" t="s">
        <v>4655</v>
      </c>
      <c r="X5053" s="2">
        <v>0</v>
      </c>
      <c r="Y5053">
        <v>24</v>
      </c>
      <c r="Z5053" t="s">
        <v>3884</v>
      </c>
      <c r="AA5053" s="3">
        <v>0.115955002605915</v>
      </c>
      <c r="AB5053" t="s">
        <v>3900</v>
      </c>
      <c r="AC5053" t="s">
        <v>4562</v>
      </c>
      <c r="AD5053" t="s">
        <v>3901</v>
      </c>
      <c r="AE5053" t="s">
        <v>4655</v>
      </c>
      <c r="AF5053" t="s">
        <v>4563</v>
      </c>
      <c r="AG5053" t="s">
        <v>4564</v>
      </c>
      <c r="AH5053">
        <v>89511</v>
      </c>
      <c r="AI5053" t="s">
        <v>3902</v>
      </c>
      <c r="AJ5053" t="s">
        <v>25872</v>
      </c>
      <c r="AK5053" t="s">
        <v>25877</v>
      </c>
      <c r="AL5053" s="13" t="s">
        <v>3428</v>
      </c>
      <c r="AM5053">
        <v>0</v>
      </c>
      <c r="AN5053" s="15" t="s">
        <v>25874</v>
      </c>
    </row>
    <row r="5054" spans="1:40" x14ac:dyDescent="0.3">
      <c r="A5054" s="10" t="str">
        <f>HYPERLINK("http://www.washoecounty.gov/assessor/cama/?parid=148-423-04&amp;CardNumber=1","148-423-04")</f>
        <v>148-423-04</v>
      </c>
      <c r="B5054" t="s">
        <v>4655</v>
      </c>
      <c r="C5054" t="s">
        <v>25878</v>
      </c>
      <c r="D5054" s="1">
        <v>40324</v>
      </c>
      <c r="E5054" s="2">
        <v>500</v>
      </c>
      <c r="F5054" t="s">
        <v>3174</v>
      </c>
      <c r="G5054" s="17" t="str">
        <f>HYPERLINK("https://www.washoecounty.gov/assessor/cama/?command=sales&amp;parid=14842304","3885162")</f>
        <v>3885162</v>
      </c>
      <c r="H5054" t="s">
        <v>3899</v>
      </c>
      <c r="I5054">
        <v>0</v>
      </c>
      <c r="J5054">
        <v>0</v>
      </c>
      <c r="K5054" t="s">
        <v>4655</v>
      </c>
      <c r="L5054" t="s">
        <v>4655</v>
      </c>
      <c r="M5054" s="2">
        <v>0</v>
      </c>
      <c r="N5054" t="s">
        <v>4655</v>
      </c>
      <c r="O5054">
        <v>0</v>
      </c>
      <c r="P5054">
        <v>0</v>
      </c>
      <c r="Q5054">
        <v>0</v>
      </c>
      <c r="R5054" t="s">
        <v>4655</v>
      </c>
      <c r="S5054" t="s">
        <v>4655</v>
      </c>
      <c r="T5054" t="s">
        <v>4655</v>
      </c>
      <c r="U5054" t="s">
        <v>4655</v>
      </c>
      <c r="V5054" s="2">
        <v>0</v>
      </c>
      <c r="W5054" t="s">
        <v>4655</v>
      </c>
      <c r="X5054" s="2">
        <v>0</v>
      </c>
      <c r="Y5054">
        <v>24</v>
      </c>
      <c r="Z5054" t="s">
        <v>3884</v>
      </c>
      <c r="AA5054" s="3">
        <v>0.66108816862106301</v>
      </c>
      <c r="AB5054" t="s">
        <v>3900</v>
      </c>
      <c r="AC5054" t="s">
        <v>4562</v>
      </c>
      <c r="AD5054" t="s">
        <v>3901</v>
      </c>
      <c r="AE5054" t="s">
        <v>4655</v>
      </c>
      <c r="AF5054" t="s">
        <v>4563</v>
      </c>
      <c r="AG5054" t="s">
        <v>4564</v>
      </c>
      <c r="AH5054">
        <v>89511</v>
      </c>
      <c r="AI5054" t="s">
        <v>3902</v>
      </c>
      <c r="AJ5054" t="s">
        <v>25872</v>
      </c>
      <c r="AK5054" t="s">
        <v>25879</v>
      </c>
      <c r="AL5054" s="13" t="s">
        <v>3428</v>
      </c>
      <c r="AM5054">
        <v>0</v>
      </c>
      <c r="AN5054" s="15" t="s">
        <v>25874</v>
      </c>
    </row>
    <row r="5055" spans="1:40" x14ac:dyDescent="0.3">
      <c r="A5055" s="10" t="str">
        <f>HYPERLINK("http://www.washoecounty.gov/assessor/cama/?parid=148-424-04&amp;CardNumber=1","148-424-04")</f>
        <v>148-424-04</v>
      </c>
      <c r="B5055" t="s">
        <v>4655</v>
      </c>
      <c r="C5055" t="s">
        <v>25880</v>
      </c>
      <c r="D5055" s="1">
        <v>40324</v>
      </c>
      <c r="E5055" s="2">
        <v>500</v>
      </c>
      <c r="F5055" t="s">
        <v>3174</v>
      </c>
      <c r="G5055" s="17" t="str">
        <f>HYPERLINK("https://www.washoecounty.gov/assessor/cama/?command=sales&amp;parid=14842404","3885162")</f>
        <v>3885162</v>
      </c>
      <c r="H5055" t="s">
        <v>3899</v>
      </c>
      <c r="I5055">
        <v>0</v>
      </c>
      <c r="J5055">
        <v>0</v>
      </c>
      <c r="K5055" t="s">
        <v>4655</v>
      </c>
      <c r="L5055" t="s">
        <v>4655</v>
      </c>
      <c r="M5055" s="2">
        <v>0</v>
      </c>
      <c r="N5055" t="s">
        <v>4655</v>
      </c>
      <c r="O5055">
        <v>0</v>
      </c>
      <c r="P5055">
        <v>0</v>
      </c>
      <c r="Q5055">
        <v>0</v>
      </c>
      <c r="R5055" t="s">
        <v>4655</v>
      </c>
      <c r="S5055" t="s">
        <v>4655</v>
      </c>
      <c r="T5055" t="s">
        <v>4655</v>
      </c>
      <c r="U5055" t="s">
        <v>4655</v>
      </c>
      <c r="V5055" s="2">
        <v>0</v>
      </c>
      <c r="W5055" t="s">
        <v>4655</v>
      </c>
      <c r="X5055" s="2">
        <v>0</v>
      </c>
      <c r="Y5055">
        <v>24</v>
      </c>
      <c r="Z5055" t="s">
        <v>3884</v>
      </c>
      <c r="AA5055" s="3">
        <v>0.640955030918121</v>
      </c>
      <c r="AB5055" t="s">
        <v>3900</v>
      </c>
      <c r="AC5055" t="s">
        <v>4562</v>
      </c>
      <c r="AD5055" t="s">
        <v>3901</v>
      </c>
      <c r="AE5055" t="s">
        <v>4655</v>
      </c>
      <c r="AF5055" t="s">
        <v>4563</v>
      </c>
      <c r="AG5055" t="s">
        <v>4564</v>
      </c>
      <c r="AH5055">
        <v>89511</v>
      </c>
      <c r="AI5055" t="s">
        <v>3902</v>
      </c>
      <c r="AJ5055" t="s">
        <v>25872</v>
      </c>
      <c r="AK5055" t="s">
        <v>25881</v>
      </c>
      <c r="AL5055" s="13" t="s">
        <v>3428</v>
      </c>
      <c r="AM5055" s="14">
        <v>0</v>
      </c>
      <c r="AN5055" s="15" t="s">
        <v>25874</v>
      </c>
    </row>
    <row r="5056" spans="1:40" x14ac:dyDescent="0.3">
      <c r="A5056" s="10" t="str">
        <f>HYPERLINK("http://www.washoecounty.gov/assessor/cama/?parid=150-072-14&amp;CardNumber=1","150-072-14")</f>
        <v>150-072-14</v>
      </c>
      <c r="B5056" t="s">
        <v>4655</v>
      </c>
      <c r="C5056" t="s">
        <v>25882</v>
      </c>
      <c r="D5056" s="1">
        <v>40308</v>
      </c>
      <c r="E5056" s="2">
        <v>1050000</v>
      </c>
      <c r="F5056" t="s">
        <v>4567</v>
      </c>
      <c r="G5056" s="17" t="str">
        <f>HYPERLINK("https://www.washoecounty.gov/assessor/cama/?command=sales&amp;parid=15007214","3879870")</f>
        <v>3879870</v>
      </c>
      <c r="H5056" t="s">
        <v>25883</v>
      </c>
      <c r="I5056">
        <v>2003</v>
      </c>
      <c r="J5056">
        <v>2003</v>
      </c>
      <c r="K5056" t="s">
        <v>4554</v>
      </c>
      <c r="L5056" t="s">
        <v>3886</v>
      </c>
      <c r="M5056" s="2">
        <v>5160</v>
      </c>
      <c r="N5056" t="s">
        <v>8283</v>
      </c>
      <c r="O5056">
        <v>4</v>
      </c>
      <c r="P5056">
        <v>4</v>
      </c>
      <c r="Q5056">
        <v>2</v>
      </c>
      <c r="R5056" t="s">
        <v>5281</v>
      </c>
      <c r="S5056" t="s">
        <v>4898</v>
      </c>
      <c r="T5056" t="s">
        <v>2704</v>
      </c>
      <c r="U5056" t="s">
        <v>4560</v>
      </c>
      <c r="V5056" s="2">
        <v>2634</v>
      </c>
      <c r="W5056" t="s">
        <v>4655</v>
      </c>
      <c r="X5056" s="2">
        <v>0</v>
      </c>
      <c r="Y5056">
        <v>20</v>
      </c>
      <c r="Z5056" t="s">
        <v>3884</v>
      </c>
      <c r="AA5056" s="3">
        <v>1.81531226634979</v>
      </c>
      <c r="AB5056" t="s">
        <v>25884</v>
      </c>
      <c r="AC5056" t="s">
        <v>4562</v>
      </c>
      <c r="AD5056" t="s">
        <v>25885</v>
      </c>
      <c r="AE5056" t="s">
        <v>4655</v>
      </c>
      <c r="AF5056" t="s">
        <v>4563</v>
      </c>
      <c r="AG5056" t="s">
        <v>4564</v>
      </c>
      <c r="AH5056">
        <v>89511</v>
      </c>
      <c r="AI5056" t="s">
        <v>25886</v>
      </c>
      <c r="AJ5056" t="s">
        <v>4655</v>
      </c>
      <c r="AK5056" t="s">
        <v>25883</v>
      </c>
      <c r="AL5056" s="13" t="s">
        <v>1894</v>
      </c>
      <c r="AM5056" s="14">
        <v>1</v>
      </c>
      <c r="AN5056" s="15" t="s">
        <v>1676</v>
      </c>
    </row>
    <row r="5057" spans="1:40" x14ac:dyDescent="0.3">
      <c r="A5057" s="10" t="str">
        <f>HYPERLINK("http://www.washoecounty.gov/assessor/cama/?parid=150-073-04&amp;CardNumber=1","150-073-04")</f>
        <v>150-073-04</v>
      </c>
      <c r="B5057" t="s">
        <v>4655</v>
      </c>
      <c r="C5057" t="s">
        <v>25887</v>
      </c>
      <c r="D5057" s="1">
        <v>40259</v>
      </c>
      <c r="E5057" s="2">
        <v>500000</v>
      </c>
      <c r="F5057" t="s">
        <v>4553</v>
      </c>
      <c r="G5057" s="17" t="str">
        <f>HYPERLINK("https://www.washoecounty.gov/assessor/cama/?command=sales&amp;parid=15007304","3862378")</f>
        <v>3862378</v>
      </c>
      <c r="H5057" t="s">
        <v>25888</v>
      </c>
      <c r="I5057">
        <v>2001</v>
      </c>
      <c r="J5057">
        <v>2001</v>
      </c>
      <c r="K5057" t="s">
        <v>4554</v>
      </c>
      <c r="L5057" t="s">
        <v>3886</v>
      </c>
      <c r="M5057" s="2">
        <v>3352</v>
      </c>
      <c r="N5057" t="s">
        <v>2008</v>
      </c>
      <c r="O5057">
        <v>4</v>
      </c>
      <c r="P5057">
        <v>4</v>
      </c>
      <c r="Q5057">
        <v>0</v>
      </c>
      <c r="R5057" t="s">
        <v>5281</v>
      </c>
      <c r="S5057" t="s">
        <v>4898</v>
      </c>
      <c r="T5057" t="s">
        <v>2704</v>
      </c>
      <c r="U5057" t="s">
        <v>5631</v>
      </c>
      <c r="V5057" s="2">
        <v>790</v>
      </c>
      <c r="W5057" t="s">
        <v>4655</v>
      </c>
      <c r="X5057" s="2">
        <v>0</v>
      </c>
      <c r="Y5057">
        <v>20</v>
      </c>
      <c r="Z5057" t="s">
        <v>3884</v>
      </c>
      <c r="AA5057" s="3">
        <v>0.782001852989196</v>
      </c>
      <c r="AB5057" t="s">
        <v>25889</v>
      </c>
      <c r="AC5057" t="s">
        <v>4562</v>
      </c>
      <c r="AD5057" t="s">
        <v>25890</v>
      </c>
      <c r="AE5057" t="s">
        <v>4655</v>
      </c>
      <c r="AF5057" t="s">
        <v>1358</v>
      </c>
      <c r="AG5057" t="s">
        <v>4584</v>
      </c>
      <c r="AH5057" t="s">
        <v>1359</v>
      </c>
      <c r="AI5057" t="s">
        <v>4145</v>
      </c>
      <c r="AJ5057" t="s">
        <v>25891</v>
      </c>
      <c r="AK5057" t="s">
        <v>25892</v>
      </c>
      <c r="AL5057" s="13" t="s">
        <v>1894</v>
      </c>
      <c r="AM5057" s="14">
        <v>1</v>
      </c>
      <c r="AN5057" s="15" t="s">
        <v>1676</v>
      </c>
    </row>
    <row r="5058" spans="1:40" x14ac:dyDescent="0.3">
      <c r="A5058" s="10" t="str">
        <f>HYPERLINK("http://www.washoecounty.gov/assessor/cama/?parid=150-113-01&amp;CardNumber=1","150-113-01")</f>
        <v>150-113-01</v>
      </c>
      <c r="B5058" t="s">
        <v>4655</v>
      </c>
      <c r="C5058" t="s">
        <v>25893</v>
      </c>
      <c r="D5058" s="1">
        <v>40511</v>
      </c>
      <c r="E5058" s="2">
        <v>425000</v>
      </c>
      <c r="F5058" t="s">
        <v>4567</v>
      </c>
      <c r="G5058" s="17" t="str">
        <f>HYPERLINK("https://www.washoecounty.gov/assessor/cama/?command=sales&amp;parid=15011301","3947358")</f>
        <v>3947358</v>
      </c>
      <c r="H5058" t="s">
        <v>3883</v>
      </c>
      <c r="I5058">
        <v>1996</v>
      </c>
      <c r="J5058">
        <v>1996</v>
      </c>
      <c r="K5058" t="s">
        <v>4554</v>
      </c>
      <c r="L5058" t="s">
        <v>4555</v>
      </c>
      <c r="M5058" s="2">
        <v>3235</v>
      </c>
      <c r="N5058" t="s">
        <v>2012</v>
      </c>
      <c r="O5058">
        <v>4</v>
      </c>
      <c r="P5058">
        <v>4</v>
      </c>
      <c r="Q5058">
        <v>0</v>
      </c>
      <c r="R5058" t="s">
        <v>5281</v>
      </c>
      <c r="S5058" t="s">
        <v>4898</v>
      </c>
      <c r="T5058" t="s">
        <v>2704</v>
      </c>
      <c r="U5058" t="s">
        <v>4560</v>
      </c>
      <c r="V5058" s="2">
        <v>710</v>
      </c>
      <c r="W5058" t="s">
        <v>4655</v>
      </c>
      <c r="X5058" s="2">
        <v>0</v>
      </c>
      <c r="Y5058">
        <v>20</v>
      </c>
      <c r="Z5058" t="s">
        <v>3884</v>
      </c>
      <c r="AA5058" s="3">
        <v>0.40300735831260698</v>
      </c>
      <c r="AB5058" t="s">
        <v>25894</v>
      </c>
      <c r="AC5058" t="s">
        <v>4562</v>
      </c>
      <c r="AD5058" t="s">
        <v>25893</v>
      </c>
      <c r="AE5058" t="s">
        <v>4655</v>
      </c>
      <c r="AF5058" t="s">
        <v>4563</v>
      </c>
      <c r="AG5058" t="s">
        <v>4564</v>
      </c>
      <c r="AH5058">
        <v>89511</v>
      </c>
      <c r="AI5058" t="s">
        <v>25895</v>
      </c>
      <c r="AJ5058" t="s">
        <v>25896</v>
      </c>
      <c r="AK5058" t="s">
        <v>25897</v>
      </c>
      <c r="AL5058" s="13" t="s">
        <v>1894</v>
      </c>
      <c r="AM5058" s="14">
        <v>1</v>
      </c>
      <c r="AN5058" s="15" t="s">
        <v>3413</v>
      </c>
    </row>
    <row r="5059" spans="1:40" x14ac:dyDescent="0.3">
      <c r="A5059" s="10" t="str">
        <f>HYPERLINK("http://www.washoecounty.gov/assessor/cama/?parid=150-113-03&amp;CardNumber=1","150-113-03")</f>
        <v>150-113-03</v>
      </c>
      <c r="B5059" t="s">
        <v>4655</v>
      </c>
      <c r="C5059" t="s">
        <v>25898</v>
      </c>
      <c r="D5059" s="1">
        <v>40182</v>
      </c>
      <c r="E5059" s="2">
        <v>380000</v>
      </c>
      <c r="F5059" t="s">
        <v>4567</v>
      </c>
      <c r="G5059" s="17" t="str">
        <f>HYPERLINK("https://www.washoecounty.gov/assessor/cama/?command=sales&amp;parid=15011303","3836010")</f>
        <v>3836010</v>
      </c>
      <c r="H5059" t="s">
        <v>3883</v>
      </c>
      <c r="I5059">
        <v>1990</v>
      </c>
      <c r="J5059">
        <v>1990</v>
      </c>
      <c r="K5059" t="s">
        <v>4554</v>
      </c>
      <c r="L5059" t="s">
        <v>4555</v>
      </c>
      <c r="M5059" s="2">
        <v>2309</v>
      </c>
      <c r="N5059" t="s">
        <v>3887</v>
      </c>
      <c r="O5059">
        <v>3</v>
      </c>
      <c r="P5059">
        <v>2</v>
      </c>
      <c r="Q5059">
        <v>1</v>
      </c>
      <c r="R5059" t="s">
        <v>4557</v>
      </c>
      <c r="S5059" t="s">
        <v>4135</v>
      </c>
      <c r="T5059" t="s">
        <v>2704</v>
      </c>
      <c r="U5059" t="s">
        <v>4560</v>
      </c>
      <c r="V5059" s="2">
        <v>624</v>
      </c>
      <c r="W5059" t="s">
        <v>4655</v>
      </c>
      <c r="X5059" s="2">
        <v>0</v>
      </c>
      <c r="Y5059">
        <v>20</v>
      </c>
      <c r="Z5059" t="s">
        <v>3884</v>
      </c>
      <c r="AA5059" s="3">
        <v>0.45899906754493702</v>
      </c>
      <c r="AB5059" t="s">
        <v>25899</v>
      </c>
      <c r="AC5059" t="s">
        <v>4562</v>
      </c>
      <c r="AD5059" t="s">
        <v>25898</v>
      </c>
      <c r="AE5059" t="s">
        <v>4655</v>
      </c>
      <c r="AF5059" t="s">
        <v>4563</v>
      </c>
      <c r="AG5059" t="s">
        <v>4564</v>
      </c>
      <c r="AH5059">
        <v>89511</v>
      </c>
      <c r="AI5059" t="s">
        <v>25899</v>
      </c>
      <c r="AJ5059" t="s">
        <v>25900</v>
      </c>
      <c r="AK5059" t="s">
        <v>25901</v>
      </c>
      <c r="AL5059" s="13" t="s">
        <v>1894</v>
      </c>
      <c r="AM5059">
        <v>1</v>
      </c>
      <c r="AN5059" s="15" t="s">
        <v>3413</v>
      </c>
    </row>
    <row r="5060" spans="1:40" x14ac:dyDescent="0.3">
      <c r="A5060" s="10" t="str">
        <f>HYPERLINK("http://www.washoecounty.gov/assessor/cama/?parid=150-113-14&amp;CardNumber=1","150-113-14")</f>
        <v>150-113-14</v>
      </c>
      <c r="B5060" t="s">
        <v>4655</v>
      </c>
      <c r="C5060" t="s">
        <v>25902</v>
      </c>
      <c r="D5060" s="1">
        <v>40476</v>
      </c>
      <c r="E5060" s="2">
        <v>427550</v>
      </c>
      <c r="F5060" t="s">
        <v>4567</v>
      </c>
      <c r="G5060" s="17" t="str">
        <f>HYPERLINK("https://www.washoecounty.gov/assessor/cama/?command=sales&amp;parid=15011314","3936283")</f>
        <v>3936283</v>
      </c>
      <c r="H5060" t="s">
        <v>3883</v>
      </c>
      <c r="I5060">
        <v>1990</v>
      </c>
      <c r="J5060">
        <v>1990</v>
      </c>
      <c r="K5060" t="s">
        <v>4554</v>
      </c>
      <c r="L5060" t="s">
        <v>4555</v>
      </c>
      <c r="M5060" s="2">
        <v>2515</v>
      </c>
      <c r="N5060" t="s">
        <v>1245</v>
      </c>
      <c r="O5060">
        <v>3</v>
      </c>
      <c r="P5060">
        <v>2</v>
      </c>
      <c r="Q5060">
        <v>1</v>
      </c>
      <c r="R5060" t="s">
        <v>4557</v>
      </c>
      <c r="S5060" t="s">
        <v>4135</v>
      </c>
      <c r="T5060" t="s">
        <v>2704</v>
      </c>
      <c r="U5060" t="s">
        <v>4560</v>
      </c>
      <c r="V5060" s="2">
        <v>906</v>
      </c>
      <c r="W5060" t="s">
        <v>4655</v>
      </c>
      <c r="X5060" s="2">
        <v>0</v>
      </c>
      <c r="Y5060">
        <v>20</v>
      </c>
      <c r="Z5060" t="s">
        <v>3884</v>
      </c>
      <c r="AA5060" s="3">
        <v>0.38000458478927601</v>
      </c>
      <c r="AB5060" t="s">
        <v>25903</v>
      </c>
      <c r="AC5060" t="s">
        <v>4575</v>
      </c>
      <c r="AD5060" t="s">
        <v>25902</v>
      </c>
      <c r="AE5060" t="s">
        <v>4655</v>
      </c>
      <c r="AF5060" t="s">
        <v>4563</v>
      </c>
      <c r="AG5060" t="s">
        <v>4564</v>
      </c>
      <c r="AH5060">
        <v>89511</v>
      </c>
      <c r="AI5060" t="s">
        <v>25904</v>
      </c>
      <c r="AJ5060" t="s">
        <v>25905</v>
      </c>
      <c r="AK5060" t="s">
        <v>25906</v>
      </c>
      <c r="AL5060" s="13" t="s">
        <v>1894</v>
      </c>
      <c r="AM5060">
        <v>1</v>
      </c>
      <c r="AN5060" s="15" t="s">
        <v>3413</v>
      </c>
    </row>
    <row r="5061" spans="1:40" x14ac:dyDescent="0.3">
      <c r="A5061" s="10" t="str">
        <f>HYPERLINK("http://www.washoecounty.gov/assessor/cama/?parid=150-113-18&amp;CardNumber=1","150-113-18")</f>
        <v>150-113-18</v>
      </c>
      <c r="B5061" t="s">
        <v>4655</v>
      </c>
      <c r="C5061" t="s">
        <v>25907</v>
      </c>
      <c r="D5061" s="1">
        <v>40382</v>
      </c>
      <c r="E5061" s="2">
        <v>440000</v>
      </c>
      <c r="F5061" t="s">
        <v>4567</v>
      </c>
      <c r="G5061" s="17" t="str">
        <f>HYPERLINK("https://www.washoecounty.gov/assessor/cama/?command=sales&amp;parid=15011318","3904307")</f>
        <v>3904307</v>
      </c>
      <c r="H5061" t="s">
        <v>25908</v>
      </c>
      <c r="I5061">
        <v>1994</v>
      </c>
      <c r="J5061">
        <v>1994</v>
      </c>
      <c r="K5061" t="s">
        <v>4554</v>
      </c>
      <c r="L5061" t="s">
        <v>4555</v>
      </c>
      <c r="M5061" s="2">
        <v>3127</v>
      </c>
      <c r="N5061" t="s">
        <v>5106</v>
      </c>
      <c r="O5061">
        <v>4</v>
      </c>
      <c r="P5061">
        <v>3</v>
      </c>
      <c r="Q5061">
        <v>1</v>
      </c>
      <c r="R5061" t="s">
        <v>5281</v>
      </c>
      <c r="S5061" t="s">
        <v>4135</v>
      </c>
      <c r="T5061" t="s">
        <v>4559</v>
      </c>
      <c r="U5061" t="s">
        <v>4560</v>
      </c>
      <c r="V5061" s="2">
        <v>814</v>
      </c>
      <c r="W5061" t="s">
        <v>4655</v>
      </c>
      <c r="X5061" s="2">
        <v>0</v>
      </c>
      <c r="Y5061">
        <v>20</v>
      </c>
      <c r="Z5061" t="s">
        <v>3884</v>
      </c>
      <c r="AA5061" s="3">
        <v>0.50798898935317904</v>
      </c>
      <c r="AB5061" t="s">
        <v>25909</v>
      </c>
      <c r="AC5061" t="s">
        <v>4562</v>
      </c>
      <c r="AD5061" t="s">
        <v>25907</v>
      </c>
      <c r="AE5061" t="s">
        <v>4655</v>
      </c>
      <c r="AF5061" t="s">
        <v>4563</v>
      </c>
      <c r="AG5061" t="s">
        <v>4564</v>
      </c>
      <c r="AH5061">
        <v>89511</v>
      </c>
      <c r="AI5061" t="s">
        <v>25910</v>
      </c>
      <c r="AJ5061" t="s">
        <v>25911</v>
      </c>
      <c r="AK5061" t="s">
        <v>25912</v>
      </c>
      <c r="AL5061" s="13" t="s">
        <v>1894</v>
      </c>
      <c r="AM5061">
        <v>1</v>
      </c>
      <c r="AN5061" s="15" t="s">
        <v>3413</v>
      </c>
    </row>
    <row r="5062" spans="1:40" x14ac:dyDescent="0.3">
      <c r="A5062" s="10" t="str">
        <f>HYPERLINK("http://www.washoecounty.gov/assessor/cama/?parid=150-121-10&amp;CardNumber=1","150-121-10")</f>
        <v>150-121-10</v>
      </c>
      <c r="B5062" t="s">
        <v>4655</v>
      </c>
      <c r="C5062" t="s">
        <v>25913</v>
      </c>
      <c r="D5062" s="1">
        <v>40358</v>
      </c>
      <c r="E5062" s="2">
        <v>440000</v>
      </c>
      <c r="F5062" t="s">
        <v>4553</v>
      </c>
      <c r="G5062" s="17" t="str">
        <f>HYPERLINK("https://www.washoecounty.gov/assessor/cama/?command=sales&amp;parid=15012110","3896370")</f>
        <v>3896370</v>
      </c>
      <c r="H5062" t="s">
        <v>25914</v>
      </c>
      <c r="I5062">
        <v>1991</v>
      </c>
      <c r="J5062">
        <v>1991</v>
      </c>
      <c r="K5062" t="s">
        <v>4554</v>
      </c>
      <c r="L5062" t="s">
        <v>4555</v>
      </c>
      <c r="M5062" s="2">
        <v>3235</v>
      </c>
      <c r="N5062" t="s">
        <v>1245</v>
      </c>
      <c r="O5062">
        <v>4</v>
      </c>
      <c r="P5062">
        <v>3</v>
      </c>
      <c r="Q5062">
        <v>0</v>
      </c>
      <c r="R5062" t="s">
        <v>5281</v>
      </c>
      <c r="S5062" t="s">
        <v>4135</v>
      </c>
      <c r="T5062" t="s">
        <v>4559</v>
      </c>
      <c r="U5062" t="s">
        <v>4560</v>
      </c>
      <c r="V5062" s="2">
        <v>722</v>
      </c>
      <c r="W5062" t="s">
        <v>4655</v>
      </c>
      <c r="X5062" s="2">
        <v>0</v>
      </c>
      <c r="Y5062">
        <v>20</v>
      </c>
      <c r="Z5062" t="s">
        <v>3884</v>
      </c>
      <c r="AA5062" s="3">
        <v>1.01000916957855</v>
      </c>
      <c r="AB5062" t="s">
        <v>25915</v>
      </c>
      <c r="AC5062" t="s">
        <v>4562</v>
      </c>
      <c r="AD5062" t="s">
        <v>25913</v>
      </c>
      <c r="AE5062" t="s">
        <v>4655</v>
      </c>
      <c r="AF5062" t="s">
        <v>4563</v>
      </c>
      <c r="AG5062" t="s">
        <v>4564</v>
      </c>
      <c r="AH5062">
        <v>89511</v>
      </c>
      <c r="AI5062" t="s">
        <v>687</v>
      </c>
      <c r="AJ5062" t="s">
        <v>25916</v>
      </c>
      <c r="AK5062" t="s">
        <v>25917</v>
      </c>
      <c r="AL5062" s="13" t="s">
        <v>1894</v>
      </c>
      <c r="AM5062">
        <v>1</v>
      </c>
      <c r="AN5062" s="15" t="s">
        <v>1676</v>
      </c>
    </row>
    <row r="5063" spans="1:40" x14ac:dyDescent="0.3">
      <c r="A5063" s="10" t="str">
        <f>HYPERLINK("http://www.washoecounty.gov/assessor/cama/?parid=150-121-14&amp;CardNumber=1","150-121-14")</f>
        <v>150-121-14</v>
      </c>
      <c r="B5063" t="s">
        <v>4655</v>
      </c>
      <c r="C5063" t="s">
        <v>25918</v>
      </c>
      <c r="D5063" s="1">
        <v>40185</v>
      </c>
      <c r="E5063" s="2">
        <v>1299000</v>
      </c>
      <c r="F5063" t="s">
        <v>4567</v>
      </c>
      <c r="G5063" s="17" t="str">
        <f>HYPERLINK("https://www.washoecounty.gov/assessor/cama/?command=sales&amp;parid=15012114","3837328")</f>
        <v>3837328</v>
      </c>
      <c r="H5063" t="s">
        <v>274</v>
      </c>
      <c r="I5063">
        <v>1999</v>
      </c>
      <c r="J5063">
        <v>1999</v>
      </c>
      <c r="K5063" t="s">
        <v>4554</v>
      </c>
      <c r="L5063" t="s">
        <v>4555</v>
      </c>
      <c r="M5063" s="2">
        <v>3980</v>
      </c>
      <c r="N5063" t="s">
        <v>2008</v>
      </c>
      <c r="O5063">
        <v>4</v>
      </c>
      <c r="P5063">
        <v>4</v>
      </c>
      <c r="Q5063">
        <v>1</v>
      </c>
      <c r="R5063" t="s">
        <v>5281</v>
      </c>
      <c r="S5063" t="s">
        <v>4898</v>
      </c>
      <c r="T5063" t="s">
        <v>2704</v>
      </c>
      <c r="U5063" t="s">
        <v>4560</v>
      </c>
      <c r="V5063" s="2">
        <v>932</v>
      </c>
      <c r="W5063" t="s">
        <v>4571</v>
      </c>
      <c r="X5063" s="2">
        <v>1858</v>
      </c>
      <c r="Y5063">
        <v>20</v>
      </c>
      <c r="Z5063" t="s">
        <v>3884</v>
      </c>
      <c r="AA5063" s="3">
        <v>0.78000462055206199</v>
      </c>
      <c r="AB5063" t="s">
        <v>25919</v>
      </c>
      <c r="AC5063" t="s">
        <v>4562</v>
      </c>
      <c r="AD5063" t="s">
        <v>25918</v>
      </c>
      <c r="AE5063" t="s">
        <v>4655</v>
      </c>
      <c r="AF5063" t="s">
        <v>4563</v>
      </c>
      <c r="AG5063" t="s">
        <v>4564</v>
      </c>
      <c r="AH5063">
        <v>89511</v>
      </c>
      <c r="AI5063" t="s">
        <v>25920</v>
      </c>
      <c r="AJ5063" t="s">
        <v>25921</v>
      </c>
      <c r="AK5063" t="s">
        <v>25922</v>
      </c>
      <c r="AL5063" s="13" t="s">
        <v>1894</v>
      </c>
      <c r="AM5063">
        <v>1</v>
      </c>
      <c r="AN5063" s="15" t="s">
        <v>1676</v>
      </c>
    </row>
    <row r="5064" spans="1:40" x14ac:dyDescent="0.3">
      <c r="A5064" s="10" t="str">
        <f>HYPERLINK("http://www.washoecounty.gov/assessor/cama/?parid=150-121-15&amp;CardNumber=1","150-121-15")</f>
        <v>150-121-15</v>
      </c>
      <c r="B5064" t="s">
        <v>4655</v>
      </c>
      <c r="C5064" t="s">
        <v>25923</v>
      </c>
      <c r="D5064" s="1">
        <v>40501</v>
      </c>
      <c r="E5064" s="2">
        <v>970000</v>
      </c>
      <c r="F5064" t="s">
        <v>4567</v>
      </c>
      <c r="G5064" s="17" t="str">
        <f>HYPERLINK("https://www.washoecounty.gov/assessor/cama/?command=sales&amp;parid=15012115","3945157")</f>
        <v>3945157</v>
      </c>
      <c r="H5064" t="s">
        <v>274</v>
      </c>
      <c r="I5064">
        <v>2001</v>
      </c>
      <c r="J5064">
        <v>2001</v>
      </c>
      <c r="K5064" t="s">
        <v>4554</v>
      </c>
      <c r="L5064" t="s">
        <v>4555</v>
      </c>
      <c r="M5064" s="2">
        <v>4108</v>
      </c>
      <c r="N5064" t="s">
        <v>2008</v>
      </c>
      <c r="O5064">
        <v>5</v>
      </c>
      <c r="P5064">
        <v>4</v>
      </c>
      <c r="Q5064">
        <v>1</v>
      </c>
      <c r="R5064" t="s">
        <v>5281</v>
      </c>
      <c r="S5064" t="s">
        <v>4898</v>
      </c>
      <c r="T5064" t="s">
        <v>2704</v>
      </c>
      <c r="U5064" t="s">
        <v>4560</v>
      </c>
      <c r="V5064" s="2">
        <v>1276</v>
      </c>
      <c r="W5064" t="s">
        <v>3201</v>
      </c>
      <c r="X5064" s="2">
        <v>1260</v>
      </c>
      <c r="Y5064">
        <v>20</v>
      </c>
      <c r="Z5064" t="s">
        <v>3884</v>
      </c>
      <c r="AA5064" s="3">
        <v>1.00899910926818</v>
      </c>
      <c r="AB5064" t="s">
        <v>25924</v>
      </c>
      <c r="AC5064" t="s">
        <v>4562</v>
      </c>
      <c r="AD5064" t="s">
        <v>25923</v>
      </c>
      <c r="AE5064" t="s">
        <v>4655</v>
      </c>
      <c r="AF5064" t="s">
        <v>4563</v>
      </c>
      <c r="AG5064" t="s">
        <v>4564</v>
      </c>
      <c r="AH5064">
        <v>89511</v>
      </c>
      <c r="AI5064" t="s">
        <v>25925</v>
      </c>
      <c r="AJ5064" t="s">
        <v>25926</v>
      </c>
      <c r="AK5064" t="s">
        <v>25927</v>
      </c>
      <c r="AL5064" s="13" t="s">
        <v>1894</v>
      </c>
      <c r="AM5064">
        <v>1</v>
      </c>
      <c r="AN5064" s="15" t="s">
        <v>1676</v>
      </c>
    </row>
    <row r="5065" spans="1:40" x14ac:dyDescent="0.3">
      <c r="A5065" s="10" t="str">
        <f>HYPERLINK("http://www.washoecounty.gov/assessor/cama/?parid=150-141-09&amp;CardNumber=1","150-141-09")</f>
        <v>150-141-09</v>
      </c>
      <c r="B5065" t="s">
        <v>4655</v>
      </c>
      <c r="C5065" t="s">
        <v>1437</v>
      </c>
      <c r="D5065" s="1">
        <v>40358</v>
      </c>
      <c r="E5065" s="2">
        <v>615000</v>
      </c>
      <c r="F5065" t="s">
        <v>4567</v>
      </c>
      <c r="G5065" s="17" t="str">
        <f>HYPERLINK("https://www.washoecounty.gov/assessor/cama/?command=sales&amp;parid=15014109","3896551")</f>
        <v>3896551</v>
      </c>
      <c r="H5065" t="s">
        <v>25914</v>
      </c>
      <c r="I5065">
        <v>1995</v>
      </c>
      <c r="J5065">
        <v>1995</v>
      </c>
      <c r="K5065" t="s">
        <v>4554</v>
      </c>
      <c r="L5065" t="s">
        <v>4555</v>
      </c>
      <c r="M5065" s="2">
        <v>3622</v>
      </c>
      <c r="N5065" t="s">
        <v>5106</v>
      </c>
      <c r="O5065">
        <v>3</v>
      </c>
      <c r="P5065">
        <v>3</v>
      </c>
      <c r="Q5065">
        <v>1</v>
      </c>
      <c r="R5065" t="s">
        <v>5281</v>
      </c>
      <c r="S5065" t="s">
        <v>4135</v>
      </c>
      <c r="T5065" t="s">
        <v>2704</v>
      </c>
      <c r="U5065" t="s">
        <v>4560</v>
      </c>
      <c r="V5065" s="2">
        <v>1391</v>
      </c>
      <c r="W5065" t="s">
        <v>4655</v>
      </c>
      <c r="X5065" s="2">
        <v>0</v>
      </c>
      <c r="Y5065">
        <v>20</v>
      </c>
      <c r="Z5065" t="s">
        <v>3884</v>
      </c>
      <c r="AA5065" s="3">
        <v>1.0379935503005899</v>
      </c>
      <c r="AB5065" t="s">
        <v>1438</v>
      </c>
      <c r="AC5065" t="s">
        <v>4562</v>
      </c>
      <c r="AD5065" t="s">
        <v>1437</v>
      </c>
      <c r="AE5065" t="s">
        <v>4655</v>
      </c>
      <c r="AF5065" t="s">
        <v>4563</v>
      </c>
      <c r="AG5065" t="s">
        <v>4564</v>
      </c>
      <c r="AH5065">
        <v>89511</v>
      </c>
      <c r="AI5065" t="s">
        <v>25928</v>
      </c>
      <c r="AJ5065" t="s">
        <v>25929</v>
      </c>
      <c r="AK5065" t="s">
        <v>25930</v>
      </c>
      <c r="AL5065" s="13" t="s">
        <v>1894</v>
      </c>
      <c r="AM5065" s="14">
        <v>1</v>
      </c>
      <c r="AN5065" s="15" t="s">
        <v>1676</v>
      </c>
    </row>
    <row r="5066" spans="1:40" x14ac:dyDescent="0.3">
      <c r="A5066" s="10" t="str">
        <f>HYPERLINK("http://www.washoecounty.gov/assessor/cama/?parid=150-181-07&amp;CardNumber=1","150-181-07")</f>
        <v>150-181-07</v>
      </c>
      <c r="B5066" t="s">
        <v>4655</v>
      </c>
      <c r="C5066" t="s">
        <v>25931</v>
      </c>
      <c r="D5066" s="1">
        <v>40214</v>
      </c>
      <c r="E5066" s="2">
        <v>480000</v>
      </c>
      <c r="F5066" t="s">
        <v>4567</v>
      </c>
      <c r="G5066" s="17" t="str">
        <f>HYPERLINK("https://www.washoecounty.gov/assessor/cama/?command=sales&amp;parid=15018107","3846648")</f>
        <v>3846648</v>
      </c>
      <c r="H5066" t="s">
        <v>25932</v>
      </c>
      <c r="I5066">
        <v>1997</v>
      </c>
      <c r="J5066">
        <v>1997</v>
      </c>
      <c r="K5066" t="s">
        <v>4554</v>
      </c>
      <c r="L5066" t="s">
        <v>4555</v>
      </c>
      <c r="M5066" s="2">
        <v>3380</v>
      </c>
      <c r="N5066" t="s">
        <v>5106</v>
      </c>
      <c r="O5066">
        <v>3</v>
      </c>
      <c r="P5066">
        <v>3</v>
      </c>
      <c r="Q5066">
        <v>0</v>
      </c>
      <c r="R5066" t="s">
        <v>5281</v>
      </c>
      <c r="S5066" t="s">
        <v>4135</v>
      </c>
      <c r="T5066" t="s">
        <v>4559</v>
      </c>
      <c r="U5066" t="s">
        <v>4560</v>
      </c>
      <c r="V5066" s="2">
        <v>816</v>
      </c>
      <c r="W5066" t="s">
        <v>4655</v>
      </c>
      <c r="X5066" s="2">
        <v>0</v>
      </c>
      <c r="Y5066">
        <v>20</v>
      </c>
      <c r="Z5066" t="s">
        <v>3884</v>
      </c>
      <c r="AA5066" s="3">
        <v>0.82075297832489003</v>
      </c>
      <c r="AB5066" t="s">
        <v>25933</v>
      </c>
      <c r="AC5066" t="s">
        <v>4562</v>
      </c>
      <c r="AD5066" t="s">
        <v>25931</v>
      </c>
      <c r="AE5066" t="s">
        <v>4655</v>
      </c>
      <c r="AF5066" t="s">
        <v>4563</v>
      </c>
      <c r="AG5066" t="s">
        <v>4564</v>
      </c>
      <c r="AH5066">
        <v>89511</v>
      </c>
      <c r="AI5066" t="s">
        <v>25934</v>
      </c>
      <c r="AJ5066" t="s">
        <v>25935</v>
      </c>
      <c r="AK5066" t="s">
        <v>25936</v>
      </c>
      <c r="AL5066" s="13" t="s">
        <v>1894</v>
      </c>
      <c r="AM5066">
        <v>1</v>
      </c>
      <c r="AN5066" s="15" t="s">
        <v>3413</v>
      </c>
    </row>
    <row r="5067" spans="1:40" x14ac:dyDescent="0.3">
      <c r="A5067" s="10" t="str">
        <f>HYPERLINK("http://www.washoecounty.gov/assessor/cama/?parid=150-202-18&amp;CardNumber=1","150-202-18")</f>
        <v>150-202-18</v>
      </c>
      <c r="B5067" t="s">
        <v>4655</v>
      </c>
      <c r="C5067" t="s">
        <v>25937</v>
      </c>
      <c r="D5067" s="1">
        <v>40277</v>
      </c>
      <c r="E5067" s="2">
        <v>620000</v>
      </c>
      <c r="F5067" t="s">
        <v>4567</v>
      </c>
      <c r="G5067" s="17" t="str">
        <f>HYPERLINK("https://www.washoecounty.gov/assessor/cama/?command=sales&amp;parid=15020218","3869402")</f>
        <v>3869402</v>
      </c>
      <c r="H5067" t="s">
        <v>25938</v>
      </c>
      <c r="I5067">
        <v>2002</v>
      </c>
      <c r="J5067">
        <v>2002</v>
      </c>
      <c r="K5067" t="s">
        <v>4554</v>
      </c>
      <c r="L5067" t="s">
        <v>3974</v>
      </c>
      <c r="M5067" s="2">
        <v>3353</v>
      </c>
      <c r="N5067" t="s">
        <v>2012</v>
      </c>
      <c r="O5067">
        <v>3</v>
      </c>
      <c r="P5067">
        <v>3</v>
      </c>
      <c r="Q5067">
        <v>2</v>
      </c>
      <c r="R5067" t="s">
        <v>5281</v>
      </c>
      <c r="S5067" t="s">
        <v>4898</v>
      </c>
      <c r="T5067" t="s">
        <v>2704</v>
      </c>
      <c r="U5067" t="s">
        <v>4560</v>
      </c>
      <c r="V5067" s="2">
        <v>1206</v>
      </c>
      <c r="W5067" t="s">
        <v>4655</v>
      </c>
      <c r="X5067" s="2">
        <v>0</v>
      </c>
      <c r="Y5067">
        <v>20</v>
      </c>
      <c r="Z5067" t="s">
        <v>3884</v>
      </c>
      <c r="AA5067" s="3">
        <v>0.503007352352142</v>
      </c>
      <c r="AB5067" t="s">
        <v>25939</v>
      </c>
      <c r="AC5067" t="s">
        <v>4575</v>
      </c>
      <c r="AD5067" t="s">
        <v>25940</v>
      </c>
      <c r="AE5067" t="s">
        <v>25937</v>
      </c>
      <c r="AF5067" t="s">
        <v>4563</v>
      </c>
      <c r="AG5067" t="s">
        <v>4564</v>
      </c>
      <c r="AH5067">
        <v>89511</v>
      </c>
      <c r="AI5067" t="s">
        <v>25941</v>
      </c>
      <c r="AJ5067" t="s">
        <v>25942</v>
      </c>
      <c r="AK5067" t="s">
        <v>25943</v>
      </c>
      <c r="AL5067" s="13" t="s">
        <v>1894</v>
      </c>
      <c r="AM5067">
        <v>1</v>
      </c>
      <c r="AN5067" s="15" t="s">
        <v>3413</v>
      </c>
    </row>
    <row r="5068" spans="1:40" x14ac:dyDescent="0.3">
      <c r="A5068" s="10" t="str">
        <f>HYPERLINK("http://www.washoecounty.gov/assessor/cama/?parid=150-203-07&amp;CardNumber=1","150-203-07")</f>
        <v>150-203-07</v>
      </c>
      <c r="B5068" t="s">
        <v>4655</v>
      </c>
      <c r="C5068" t="s">
        <v>25944</v>
      </c>
      <c r="D5068" s="1">
        <v>40451</v>
      </c>
      <c r="E5068" s="2">
        <v>430000</v>
      </c>
      <c r="F5068" t="s">
        <v>4567</v>
      </c>
      <c r="G5068" s="17" t="str">
        <f>HYPERLINK("https://www.washoecounty.gov/assessor/cama/?command=sales&amp;parid=15020307","3928388")</f>
        <v>3928388</v>
      </c>
      <c r="H5068" t="s">
        <v>25938</v>
      </c>
      <c r="I5068">
        <v>1994</v>
      </c>
      <c r="J5068">
        <v>1994</v>
      </c>
      <c r="K5068" t="s">
        <v>4554</v>
      </c>
      <c r="L5068" t="s">
        <v>4555</v>
      </c>
      <c r="M5068" s="2">
        <v>2647</v>
      </c>
      <c r="N5068" t="s">
        <v>1245</v>
      </c>
      <c r="O5068">
        <v>3</v>
      </c>
      <c r="P5068">
        <v>3</v>
      </c>
      <c r="Q5068">
        <v>0</v>
      </c>
      <c r="R5068" t="s">
        <v>4557</v>
      </c>
      <c r="S5068" t="s">
        <v>4898</v>
      </c>
      <c r="T5068" t="s">
        <v>4559</v>
      </c>
      <c r="U5068" t="s">
        <v>4560</v>
      </c>
      <c r="V5068" s="2">
        <v>1193</v>
      </c>
      <c r="W5068" t="s">
        <v>4655</v>
      </c>
      <c r="X5068" s="2">
        <v>0</v>
      </c>
      <c r="Y5068">
        <v>20</v>
      </c>
      <c r="Z5068" t="s">
        <v>3884</v>
      </c>
      <c r="AA5068" s="3">
        <v>0.35700184106826799</v>
      </c>
      <c r="AB5068" t="s">
        <v>25945</v>
      </c>
      <c r="AC5068" t="s">
        <v>4562</v>
      </c>
      <c r="AD5068" t="s">
        <v>25946</v>
      </c>
      <c r="AE5068" t="s">
        <v>4655</v>
      </c>
      <c r="AF5068" t="s">
        <v>25947</v>
      </c>
      <c r="AG5068" t="s">
        <v>4584</v>
      </c>
      <c r="AH5068" t="s">
        <v>4538</v>
      </c>
      <c r="AI5068" t="s">
        <v>25945</v>
      </c>
      <c r="AJ5068" t="s">
        <v>25948</v>
      </c>
      <c r="AK5068" t="s">
        <v>25949</v>
      </c>
      <c r="AL5068" s="13" t="s">
        <v>1894</v>
      </c>
      <c r="AM5068" s="14">
        <v>1</v>
      </c>
      <c r="AN5068" s="15" t="s">
        <v>3413</v>
      </c>
    </row>
    <row r="5069" spans="1:40" x14ac:dyDescent="0.3">
      <c r="A5069" s="10" t="str">
        <f>HYPERLINK("http://www.washoecounty.gov/assessor/cama/?parid=150-222-13&amp;CardNumber=1","150-222-13")</f>
        <v>150-222-13</v>
      </c>
      <c r="B5069" t="s">
        <v>4655</v>
      </c>
      <c r="C5069" t="s">
        <v>25950</v>
      </c>
      <c r="D5069" s="1">
        <v>40542</v>
      </c>
      <c r="E5069" s="2">
        <v>233000</v>
      </c>
      <c r="F5069" t="s">
        <v>4567</v>
      </c>
      <c r="G5069" s="17" t="str">
        <f>HYPERLINK("https://www.washoecounty.gov/assessor/cama/?command=sales&amp;parid=15022213","3959299")</f>
        <v>3959299</v>
      </c>
      <c r="H5069" t="s">
        <v>25951</v>
      </c>
      <c r="I5069">
        <v>1972</v>
      </c>
      <c r="J5069">
        <v>1972</v>
      </c>
      <c r="K5069" t="s">
        <v>4554</v>
      </c>
      <c r="L5069" t="s">
        <v>4555</v>
      </c>
      <c r="M5069" s="2">
        <v>1920</v>
      </c>
      <c r="N5069" t="s">
        <v>5280</v>
      </c>
      <c r="O5069">
        <v>3</v>
      </c>
      <c r="P5069">
        <v>2</v>
      </c>
      <c r="Q5069">
        <v>0</v>
      </c>
      <c r="R5069" t="s">
        <v>5205</v>
      </c>
      <c r="S5069" t="s">
        <v>4682</v>
      </c>
      <c r="T5069" t="s">
        <v>3888</v>
      </c>
      <c r="U5069" t="s">
        <v>4560</v>
      </c>
      <c r="V5069" s="2">
        <v>504</v>
      </c>
      <c r="W5069" t="s">
        <v>4655</v>
      </c>
      <c r="X5069" s="2">
        <v>0</v>
      </c>
      <c r="Y5069">
        <v>20</v>
      </c>
      <c r="Z5069" t="s">
        <v>3884</v>
      </c>
      <c r="AA5069" s="3">
        <v>1.1789945363998413</v>
      </c>
      <c r="AB5069" t="s">
        <v>25952</v>
      </c>
      <c r="AC5069" t="s">
        <v>4562</v>
      </c>
      <c r="AD5069" t="s">
        <v>25950</v>
      </c>
      <c r="AE5069" t="s">
        <v>4655</v>
      </c>
      <c r="AF5069" t="s">
        <v>4563</v>
      </c>
      <c r="AG5069" t="s">
        <v>4564</v>
      </c>
      <c r="AH5069">
        <v>89511</v>
      </c>
      <c r="AI5069" t="s">
        <v>25953</v>
      </c>
      <c r="AJ5069" t="s">
        <v>25954</v>
      </c>
      <c r="AK5069" t="s">
        <v>25955</v>
      </c>
      <c r="AL5069" s="13" t="s">
        <v>1895</v>
      </c>
      <c r="AM5069">
        <v>1</v>
      </c>
      <c r="AN5069" s="15" t="s">
        <v>2972</v>
      </c>
    </row>
    <row r="5070" spans="1:40" x14ac:dyDescent="0.3">
      <c r="A5070" s="10" t="str">
        <f>HYPERLINK("http://www.washoecounty.gov/assessor/cama/?parid=150-231-02&amp;CardNumber=1","150-231-02")</f>
        <v>150-231-02</v>
      </c>
      <c r="B5070" t="s">
        <v>4655</v>
      </c>
      <c r="C5070" t="s">
        <v>25956</v>
      </c>
      <c r="D5070" s="1">
        <v>40186</v>
      </c>
      <c r="E5070" s="2">
        <v>334000</v>
      </c>
      <c r="F5070" t="s">
        <v>4567</v>
      </c>
      <c r="G5070" s="17" t="str">
        <f>HYPERLINK("https://www.washoecounty.gov/assessor/cama/?command=sales&amp;parid=15023102","3837759")</f>
        <v>3837759</v>
      </c>
      <c r="H5070" t="s">
        <v>25957</v>
      </c>
      <c r="I5070">
        <v>1979</v>
      </c>
      <c r="J5070">
        <v>1982</v>
      </c>
      <c r="K5070" t="s">
        <v>4554</v>
      </c>
      <c r="L5070" t="s">
        <v>4555</v>
      </c>
      <c r="M5070" s="2">
        <v>2057</v>
      </c>
      <c r="N5070" t="s">
        <v>4048</v>
      </c>
      <c r="O5070">
        <v>3</v>
      </c>
      <c r="P5070">
        <v>2</v>
      </c>
      <c r="Q5070">
        <v>0</v>
      </c>
      <c r="R5070" t="s">
        <v>4557</v>
      </c>
      <c r="S5070" t="s">
        <v>4558</v>
      </c>
      <c r="T5070" t="s">
        <v>4559</v>
      </c>
      <c r="U5070" t="s">
        <v>4560</v>
      </c>
      <c r="V5070" s="2">
        <v>676</v>
      </c>
      <c r="W5070" t="s">
        <v>4655</v>
      </c>
      <c r="X5070" s="2">
        <v>0</v>
      </c>
      <c r="Y5070">
        <v>20</v>
      </c>
      <c r="Z5070" t="s">
        <v>3884</v>
      </c>
      <c r="AA5070" s="3">
        <v>1.24100089073181</v>
      </c>
      <c r="AB5070" t="s">
        <v>25958</v>
      </c>
      <c r="AC5070" t="s">
        <v>4562</v>
      </c>
      <c r="AD5070" t="s">
        <v>25956</v>
      </c>
      <c r="AE5070" t="s">
        <v>4655</v>
      </c>
      <c r="AF5070" t="s">
        <v>4563</v>
      </c>
      <c r="AG5070" t="s">
        <v>4564</v>
      </c>
      <c r="AH5070">
        <v>89511</v>
      </c>
      <c r="AI5070" t="s">
        <v>25959</v>
      </c>
      <c r="AJ5070" t="s">
        <v>25960</v>
      </c>
      <c r="AK5070" t="s">
        <v>25961</v>
      </c>
      <c r="AL5070" s="13" t="s">
        <v>1895</v>
      </c>
      <c r="AM5070">
        <v>1</v>
      </c>
      <c r="AN5070" s="15" t="s">
        <v>2972</v>
      </c>
    </row>
    <row r="5071" spans="1:40" x14ac:dyDescent="0.3">
      <c r="A5071" s="10" t="str">
        <f>HYPERLINK("http://www.washoecounty.gov/assessor/cama/?parid=150-231-03&amp;CardNumber=1","150-231-03")</f>
        <v>150-231-03</v>
      </c>
      <c r="B5071" t="s">
        <v>4655</v>
      </c>
      <c r="C5071" t="s">
        <v>25962</v>
      </c>
      <c r="D5071" s="1">
        <v>40267</v>
      </c>
      <c r="E5071" s="2">
        <v>256000</v>
      </c>
      <c r="F5071" t="s">
        <v>4553</v>
      </c>
      <c r="G5071" s="17" t="str">
        <f>HYPERLINK("https://www.washoecounty.gov/assessor/cama/?command=sales&amp;parid=15023103","3865571")</f>
        <v>3865571</v>
      </c>
      <c r="H5071" t="s">
        <v>25957</v>
      </c>
      <c r="I5071">
        <v>1979</v>
      </c>
      <c r="J5071">
        <v>1979</v>
      </c>
      <c r="K5071" t="s">
        <v>4554</v>
      </c>
      <c r="L5071" t="s">
        <v>4555</v>
      </c>
      <c r="M5071" s="2">
        <v>1758</v>
      </c>
      <c r="N5071" t="s">
        <v>4048</v>
      </c>
      <c r="O5071">
        <v>3</v>
      </c>
      <c r="P5071">
        <v>2</v>
      </c>
      <c r="Q5071">
        <v>0</v>
      </c>
      <c r="R5071" t="s">
        <v>4557</v>
      </c>
      <c r="S5071" t="s">
        <v>4558</v>
      </c>
      <c r="T5071" t="s">
        <v>4559</v>
      </c>
      <c r="U5071" t="s">
        <v>4560</v>
      </c>
      <c r="V5071" s="2">
        <v>440</v>
      </c>
      <c r="W5071" t="s">
        <v>4655</v>
      </c>
      <c r="X5071" s="2">
        <v>0</v>
      </c>
      <c r="Y5071">
        <v>20</v>
      </c>
      <c r="Z5071" t="s">
        <v>3884</v>
      </c>
      <c r="AA5071" s="3">
        <v>1.13500916957855</v>
      </c>
      <c r="AB5071" t="s">
        <v>25963</v>
      </c>
      <c r="AC5071" t="s">
        <v>4562</v>
      </c>
      <c r="AD5071" t="s">
        <v>25962</v>
      </c>
      <c r="AE5071" t="s">
        <v>4655</v>
      </c>
      <c r="AF5071" t="s">
        <v>4563</v>
      </c>
      <c r="AG5071" t="s">
        <v>4564</v>
      </c>
      <c r="AH5071">
        <v>89511</v>
      </c>
      <c r="AI5071" t="s">
        <v>4903</v>
      </c>
      <c r="AJ5071" t="s">
        <v>25964</v>
      </c>
      <c r="AK5071" t="s">
        <v>25965</v>
      </c>
      <c r="AL5071" s="13" t="s">
        <v>1895</v>
      </c>
      <c r="AM5071" s="14">
        <v>1</v>
      </c>
      <c r="AN5071" s="15" t="s">
        <v>2972</v>
      </c>
    </row>
    <row r="5072" spans="1:40" x14ac:dyDescent="0.3">
      <c r="A5072" s="10" t="str">
        <f>HYPERLINK("http://www.washoecounty.gov/assessor/cama/?parid=150-260-14&amp;CardNumber=1","150-260-14")</f>
        <v>150-260-14</v>
      </c>
      <c r="B5072" t="s">
        <v>4655</v>
      </c>
      <c r="C5072" t="s">
        <v>25966</v>
      </c>
      <c r="D5072" s="1">
        <v>40534</v>
      </c>
      <c r="E5072" s="2">
        <v>308500</v>
      </c>
      <c r="F5072" t="s">
        <v>4567</v>
      </c>
      <c r="G5072" s="17" t="str">
        <f>HYPERLINK("https://www.washoecounty.gov/assessor/cama/?command=sales&amp;parid=15026014","3956356")</f>
        <v>3956356</v>
      </c>
      <c r="H5072" t="s">
        <v>25967</v>
      </c>
      <c r="I5072">
        <v>1985</v>
      </c>
      <c r="J5072">
        <v>1985</v>
      </c>
      <c r="K5072" t="s">
        <v>4554</v>
      </c>
      <c r="L5072" t="s">
        <v>4555</v>
      </c>
      <c r="M5072" s="2">
        <v>1908</v>
      </c>
      <c r="N5072" t="s">
        <v>3147</v>
      </c>
      <c r="O5072">
        <v>3</v>
      </c>
      <c r="P5072">
        <v>2</v>
      </c>
      <c r="Q5072">
        <v>1</v>
      </c>
      <c r="R5072" t="s">
        <v>4557</v>
      </c>
      <c r="S5072" t="s">
        <v>4898</v>
      </c>
      <c r="T5072" t="s">
        <v>2704</v>
      </c>
      <c r="U5072" t="s">
        <v>4560</v>
      </c>
      <c r="V5072" s="2">
        <v>677</v>
      </c>
      <c r="W5072" t="s">
        <v>4655</v>
      </c>
      <c r="X5072" s="2">
        <v>0</v>
      </c>
      <c r="Y5072">
        <v>20</v>
      </c>
      <c r="Z5072" t="s">
        <v>1376</v>
      </c>
      <c r="AA5072" s="3">
        <v>2.5</v>
      </c>
      <c r="AB5072" t="s">
        <v>25968</v>
      </c>
      <c r="AC5072" t="s">
        <v>4562</v>
      </c>
      <c r="AD5072" t="s">
        <v>25969</v>
      </c>
      <c r="AE5072" t="s">
        <v>4655</v>
      </c>
      <c r="AF5072" t="s">
        <v>4563</v>
      </c>
      <c r="AG5072" t="s">
        <v>4564</v>
      </c>
      <c r="AH5072">
        <v>89511</v>
      </c>
      <c r="AI5072" t="s">
        <v>25970</v>
      </c>
      <c r="AJ5072" t="s">
        <v>25971</v>
      </c>
      <c r="AK5072" t="s">
        <v>25972</v>
      </c>
      <c r="AL5072" s="13" t="s">
        <v>1895</v>
      </c>
      <c r="AM5072">
        <v>1</v>
      </c>
      <c r="AN5072" s="15" t="s">
        <v>562</v>
      </c>
    </row>
    <row r="5073" spans="1:40" x14ac:dyDescent="0.3">
      <c r="A5073" s="10" t="str">
        <f>HYPERLINK("http://www.washoecounty.gov/assessor/cama/?parid=150-300-06&amp;CardNumber=1","150-300-06")</f>
        <v>150-300-06</v>
      </c>
      <c r="B5073" t="s">
        <v>4655</v>
      </c>
      <c r="C5073" t="s">
        <v>25973</v>
      </c>
      <c r="D5073" s="1">
        <v>40444</v>
      </c>
      <c r="E5073" s="2">
        <v>745000</v>
      </c>
      <c r="F5073" t="s">
        <v>4553</v>
      </c>
      <c r="G5073" s="17" t="str">
        <f>HYPERLINK("https://www.washoecounty.gov/assessor/cama/?command=sales&amp;parid=15030006","3925516")</f>
        <v>3925516</v>
      </c>
      <c r="H5073" t="s">
        <v>25974</v>
      </c>
      <c r="I5073">
        <v>2000</v>
      </c>
      <c r="J5073">
        <v>2001</v>
      </c>
      <c r="K5073" t="s">
        <v>4554</v>
      </c>
      <c r="L5073" t="s">
        <v>4555</v>
      </c>
      <c r="M5073" s="2">
        <v>4688</v>
      </c>
      <c r="N5073" t="s">
        <v>2012</v>
      </c>
      <c r="O5073">
        <v>4</v>
      </c>
      <c r="P5073">
        <v>4</v>
      </c>
      <c r="Q5073">
        <v>1</v>
      </c>
      <c r="R5073" t="s">
        <v>5281</v>
      </c>
      <c r="S5073" t="s">
        <v>4898</v>
      </c>
      <c r="T5073" t="s">
        <v>2704</v>
      </c>
      <c r="U5073" t="s">
        <v>4560</v>
      </c>
      <c r="V5073" s="2">
        <v>1016</v>
      </c>
      <c r="W5073" t="s">
        <v>4655</v>
      </c>
      <c r="X5073" s="2">
        <v>0</v>
      </c>
      <c r="Y5073">
        <v>20</v>
      </c>
      <c r="Z5073" t="s">
        <v>3884</v>
      </c>
      <c r="AA5073" s="3">
        <v>0.77734160423278797</v>
      </c>
      <c r="AB5073" t="s">
        <v>25975</v>
      </c>
      <c r="AC5073" t="s">
        <v>4562</v>
      </c>
      <c r="AD5073" t="s">
        <v>25973</v>
      </c>
      <c r="AE5073" t="s">
        <v>4655</v>
      </c>
      <c r="AF5073" t="s">
        <v>4563</v>
      </c>
      <c r="AG5073" t="s">
        <v>4564</v>
      </c>
      <c r="AH5073">
        <v>89511</v>
      </c>
      <c r="AI5073" t="s">
        <v>2351</v>
      </c>
      <c r="AJ5073" t="s">
        <v>25976</v>
      </c>
      <c r="AK5073" t="s">
        <v>25977</v>
      </c>
      <c r="AL5073" s="13" t="s">
        <v>1894</v>
      </c>
      <c r="AM5073">
        <v>1</v>
      </c>
      <c r="AN5073" s="15" t="s">
        <v>1676</v>
      </c>
    </row>
    <row r="5074" spans="1:40" x14ac:dyDescent="0.3">
      <c r="A5074" s="10" t="str">
        <f>HYPERLINK("http://www.washoecounty.gov/assessor/cama/?parid=150-300-11&amp;CardNumber=1","150-300-11")</f>
        <v>150-300-11</v>
      </c>
      <c r="B5074" t="s">
        <v>4655</v>
      </c>
      <c r="C5074" t="s">
        <v>25978</v>
      </c>
      <c r="D5074" s="1">
        <v>40305</v>
      </c>
      <c r="E5074" s="2">
        <v>672500</v>
      </c>
      <c r="F5074" t="s">
        <v>4567</v>
      </c>
      <c r="G5074" s="17" t="str">
        <f>HYPERLINK("https://www.washoecounty.gov/assessor/cama/?command=sales&amp;parid=15030011","3879116")</f>
        <v>3879116</v>
      </c>
      <c r="H5074" t="s">
        <v>25974</v>
      </c>
      <c r="I5074">
        <v>2000</v>
      </c>
      <c r="J5074">
        <v>2000</v>
      </c>
      <c r="K5074" t="s">
        <v>4554</v>
      </c>
      <c r="L5074" t="s">
        <v>4555</v>
      </c>
      <c r="M5074" s="2">
        <v>3220</v>
      </c>
      <c r="N5074" t="s">
        <v>2012</v>
      </c>
      <c r="O5074">
        <v>3</v>
      </c>
      <c r="P5074">
        <v>3</v>
      </c>
      <c r="Q5074">
        <v>0</v>
      </c>
      <c r="R5074" t="s">
        <v>5281</v>
      </c>
      <c r="S5074" t="s">
        <v>4898</v>
      </c>
      <c r="T5074" t="s">
        <v>2704</v>
      </c>
      <c r="U5074" t="s">
        <v>4560</v>
      </c>
      <c r="V5074" s="2">
        <v>1005</v>
      </c>
      <c r="W5074" t="s">
        <v>4655</v>
      </c>
      <c r="X5074" s="2">
        <v>0</v>
      </c>
      <c r="Y5074">
        <v>20</v>
      </c>
      <c r="Z5074" t="s">
        <v>3884</v>
      </c>
      <c r="AA5074" s="3">
        <v>0.92775481939315796</v>
      </c>
      <c r="AB5074" t="s">
        <v>25979</v>
      </c>
      <c r="AC5074" t="s">
        <v>4575</v>
      </c>
      <c r="AD5074" t="s">
        <v>25978</v>
      </c>
      <c r="AE5074" t="s">
        <v>4655</v>
      </c>
      <c r="AF5074" t="s">
        <v>4563</v>
      </c>
      <c r="AG5074" t="s">
        <v>4564</v>
      </c>
      <c r="AH5074">
        <v>89511</v>
      </c>
      <c r="AI5074" t="s">
        <v>25980</v>
      </c>
      <c r="AJ5074" t="s">
        <v>25976</v>
      </c>
      <c r="AK5074" t="s">
        <v>25981</v>
      </c>
      <c r="AL5074" s="13" t="s">
        <v>1894</v>
      </c>
      <c r="AM5074" s="14">
        <v>1</v>
      </c>
      <c r="AN5074" s="15" t="s">
        <v>1676</v>
      </c>
    </row>
    <row r="5075" spans="1:40" x14ac:dyDescent="0.3">
      <c r="A5075" s="10" t="str">
        <f>HYPERLINK("http://www.washoecounty.gov/assessor/cama/?parid=150-320-13&amp;CardNumber=1","150-320-13")</f>
        <v>150-320-13</v>
      </c>
      <c r="B5075" t="s">
        <v>4655</v>
      </c>
      <c r="C5075" t="s">
        <v>25982</v>
      </c>
      <c r="D5075" s="1">
        <v>40330</v>
      </c>
      <c r="E5075" s="2">
        <v>615000</v>
      </c>
      <c r="F5075" t="s">
        <v>4567</v>
      </c>
      <c r="G5075" s="17" t="str">
        <f>HYPERLINK("https://www.washoecounty.gov/assessor/cama/?command=sales&amp;parid=15032013","3887061")</f>
        <v>3887061</v>
      </c>
      <c r="H5075" t="s">
        <v>3247</v>
      </c>
      <c r="I5075">
        <v>2003</v>
      </c>
      <c r="J5075">
        <v>2003</v>
      </c>
      <c r="K5075" t="s">
        <v>4554</v>
      </c>
      <c r="L5075" t="s">
        <v>4555</v>
      </c>
      <c r="M5075" s="2">
        <v>3677</v>
      </c>
      <c r="N5075" t="s">
        <v>2008</v>
      </c>
      <c r="O5075">
        <v>3</v>
      </c>
      <c r="P5075">
        <v>4</v>
      </c>
      <c r="Q5075">
        <v>0</v>
      </c>
      <c r="R5075" t="s">
        <v>5281</v>
      </c>
      <c r="S5075" t="s">
        <v>4898</v>
      </c>
      <c r="T5075" t="s">
        <v>2704</v>
      </c>
      <c r="U5075" t="s">
        <v>4560</v>
      </c>
      <c r="V5075" s="2">
        <v>1308</v>
      </c>
      <c r="W5075" t="s">
        <v>4655</v>
      </c>
      <c r="X5075" s="2">
        <v>0</v>
      </c>
      <c r="Y5075">
        <v>20</v>
      </c>
      <c r="Z5075" t="s">
        <v>3884</v>
      </c>
      <c r="AA5075" s="3">
        <v>0.81262624263763406</v>
      </c>
      <c r="AB5075" t="s">
        <v>25983</v>
      </c>
      <c r="AC5075" t="s">
        <v>4562</v>
      </c>
      <c r="AD5075" t="s">
        <v>25984</v>
      </c>
      <c r="AE5075" t="s">
        <v>4655</v>
      </c>
      <c r="AF5075" t="s">
        <v>4563</v>
      </c>
      <c r="AG5075" t="s">
        <v>4564</v>
      </c>
      <c r="AH5075">
        <v>89511</v>
      </c>
      <c r="AI5075" t="s">
        <v>4655</v>
      </c>
      <c r="AJ5075" t="s">
        <v>3248</v>
      </c>
      <c r="AK5075" t="s">
        <v>25985</v>
      </c>
      <c r="AL5075" s="13" t="s">
        <v>1894</v>
      </c>
      <c r="AM5075">
        <v>1</v>
      </c>
      <c r="AN5075" s="15" t="s">
        <v>1676</v>
      </c>
    </row>
    <row r="5076" spans="1:40" x14ac:dyDescent="0.3">
      <c r="A5076" s="10" t="str">
        <f>HYPERLINK("http://www.washoecounty.gov/assessor/cama/?parid=150-330-19&amp;CardNumber=1","150-330-19")</f>
        <v>150-330-19</v>
      </c>
      <c r="B5076" t="s">
        <v>4655</v>
      </c>
      <c r="C5076" t="s">
        <v>25986</v>
      </c>
      <c r="D5076" s="1">
        <v>40395</v>
      </c>
      <c r="E5076" s="2">
        <v>829000</v>
      </c>
      <c r="F5076" t="s">
        <v>4567</v>
      </c>
      <c r="G5076" s="17" t="str">
        <f>HYPERLINK("https://www.washoecounty.gov/assessor/cama/?command=sales&amp;parid=15033019","3909047")</f>
        <v>3909047</v>
      </c>
      <c r="H5076" t="s">
        <v>25987</v>
      </c>
      <c r="I5076">
        <v>2003</v>
      </c>
      <c r="J5076">
        <v>2003</v>
      </c>
      <c r="K5076" t="s">
        <v>4554</v>
      </c>
      <c r="L5076" t="s">
        <v>4555</v>
      </c>
      <c r="M5076" s="2">
        <v>3599</v>
      </c>
      <c r="N5076" t="s">
        <v>8283</v>
      </c>
      <c r="O5076">
        <v>3</v>
      </c>
      <c r="P5076">
        <v>3</v>
      </c>
      <c r="Q5076">
        <v>1</v>
      </c>
      <c r="R5076" t="s">
        <v>5281</v>
      </c>
      <c r="S5076" t="s">
        <v>4898</v>
      </c>
      <c r="T5076" t="s">
        <v>2704</v>
      </c>
      <c r="U5076" t="s">
        <v>4560</v>
      </c>
      <c r="V5076" s="2">
        <v>1928</v>
      </c>
      <c r="W5076" t="s">
        <v>4655</v>
      </c>
      <c r="X5076" s="2">
        <v>0</v>
      </c>
      <c r="Y5076">
        <v>20</v>
      </c>
      <c r="Z5076" t="s">
        <v>3884</v>
      </c>
      <c r="AA5076" s="3">
        <v>0.48569789528846741</v>
      </c>
      <c r="AB5076" t="s">
        <v>25988</v>
      </c>
      <c r="AC5076" t="s">
        <v>4575</v>
      </c>
      <c r="AD5076" t="s">
        <v>25986</v>
      </c>
      <c r="AE5076" t="s">
        <v>4655</v>
      </c>
      <c r="AF5076" t="s">
        <v>4563</v>
      </c>
      <c r="AG5076" t="s">
        <v>4564</v>
      </c>
      <c r="AH5076">
        <v>89511</v>
      </c>
      <c r="AI5076" t="s">
        <v>25989</v>
      </c>
      <c r="AJ5076" t="s">
        <v>25990</v>
      </c>
      <c r="AK5076" t="s">
        <v>25991</v>
      </c>
      <c r="AL5076" s="13" t="s">
        <v>1894</v>
      </c>
      <c r="AM5076">
        <v>1</v>
      </c>
      <c r="AN5076" s="15" t="s">
        <v>1676</v>
      </c>
    </row>
    <row r="5077" spans="1:40" x14ac:dyDescent="0.3">
      <c r="A5077" s="10" t="str">
        <f>HYPERLINK("http://www.washoecounty.gov/assessor/cama/?parid=150-340-14&amp;CardNumber=1","150-340-14")</f>
        <v>150-340-14</v>
      </c>
      <c r="B5077" t="s">
        <v>4655</v>
      </c>
      <c r="C5077" t="s">
        <v>25992</v>
      </c>
      <c r="D5077" s="1">
        <v>40233</v>
      </c>
      <c r="E5077" s="2">
        <v>1200000</v>
      </c>
      <c r="F5077" t="s">
        <v>4567</v>
      </c>
      <c r="G5077" s="17" t="str">
        <f>HYPERLINK("https://www.washoecounty.gov/assessor/cama/?command=sales&amp;parid=15034014","3852176")</f>
        <v>3852176</v>
      </c>
      <c r="H5077" t="s">
        <v>25993</v>
      </c>
      <c r="I5077">
        <v>2005</v>
      </c>
      <c r="J5077">
        <v>2005</v>
      </c>
      <c r="K5077" t="s">
        <v>4554</v>
      </c>
      <c r="L5077" t="s">
        <v>4555</v>
      </c>
      <c r="M5077" s="2">
        <v>4352</v>
      </c>
      <c r="N5077" t="s">
        <v>2967</v>
      </c>
      <c r="O5077">
        <v>5</v>
      </c>
      <c r="P5077">
        <v>5</v>
      </c>
      <c r="Q5077">
        <v>1</v>
      </c>
      <c r="R5077" t="s">
        <v>2632</v>
      </c>
      <c r="S5077" t="s">
        <v>4898</v>
      </c>
      <c r="T5077" t="s">
        <v>2704</v>
      </c>
      <c r="U5077" t="s">
        <v>4560</v>
      </c>
      <c r="V5077" s="2">
        <v>1332</v>
      </c>
      <c r="W5077" t="s">
        <v>1500</v>
      </c>
      <c r="X5077" s="2">
        <v>1412</v>
      </c>
      <c r="Y5077">
        <v>20</v>
      </c>
      <c r="Z5077" t="s">
        <v>3884</v>
      </c>
      <c r="AA5077" s="3">
        <v>0.87389808893203702</v>
      </c>
      <c r="AB5077" t="s">
        <v>25994</v>
      </c>
      <c r="AC5077" t="s">
        <v>4562</v>
      </c>
      <c r="AD5077" t="s">
        <v>25995</v>
      </c>
      <c r="AE5077" t="s">
        <v>4655</v>
      </c>
      <c r="AF5077" t="s">
        <v>2017</v>
      </c>
      <c r="AG5077" t="s">
        <v>5204</v>
      </c>
      <c r="AH5077">
        <v>60654</v>
      </c>
      <c r="AI5077" t="s">
        <v>25996</v>
      </c>
      <c r="AJ5077" t="s">
        <v>25997</v>
      </c>
      <c r="AK5077" t="s">
        <v>25998</v>
      </c>
      <c r="AL5077" s="13" t="s">
        <v>1894</v>
      </c>
      <c r="AM5077">
        <v>1</v>
      </c>
      <c r="AN5077" s="15" t="s">
        <v>1676</v>
      </c>
    </row>
    <row r="5078" spans="1:40" x14ac:dyDescent="0.3">
      <c r="A5078" s="10" t="str">
        <f>HYPERLINK("http://www.washoecounty.gov/assessor/cama/?parid=150-352-04&amp;CardNumber=1","150-352-04")</f>
        <v>150-352-04</v>
      </c>
      <c r="B5078" t="s">
        <v>4655</v>
      </c>
      <c r="C5078" t="s">
        <v>25999</v>
      </c>
      <c r="D5078" s="1">
        <v>40344</v>
      </c>
      <c r="E5078" s="2">
        <v>670000</v>
      </c>
      <c r="F5078" t="s">
        <v>4567</v>
      </c>
      <c r="G5078" s="17" t="str">
        <f>HYPERLINK("https://www.washoecounty.gov/assessor/cama/?command=sales&amp;parid=15035204","3891828")</f>
        <v>3891828</v>
      </c>
      <c r="H5078" t="s">
        <v>742</v>
      </c>
      <c r="I5078">
        <v>2003</v>
      </c>
      <c r="J5078">
        <v>2004</v>
      </c>
      <c r="K5078" t="s">
        <v>4554</v>
      </c>
      <c r="L5078" t="s">
        <v>3886</v>
      </c>
      <c r="M5078" s="2">
        <v>3627</v>
      </c>
      <c r="N5078" t="s">
        <v>5106</v>
      </c>
      <c r="O5078">
        <v>4</v>
      </c>
      <c r="P5078">
        <v>3</v>
      </c>
      <c r="Q5078">
        <v>1</v>
      </c>
      <c r="R5078" t="s">
        <v>5281</v>
      </c>
      <c r="S5078" t="s">
        <v>4898</v>
      </c>
      <c r="T5078" t="s">
        <v>2704</v>
      </c>
      <c r="U5078" t="s">
        <v>162</v>
      </c>
      <c r="V5078" s="2">
        <v>1772</v>
      </c>
      <c r="W5078" t="s">
        <v>4655</v>
      </c>
      <c r="X5078" s="2">
        <v>0</v>
      </c>
      <c r="Y5078">
        <v>20</v>
      </c>
      <c r="Z5078" t="s">
        <v>3884</v>
      </c>
      <c r="AA5078" s="3">
        <v>0.80879247188568104</v>
      </c>
      <c r="AB5078" t="s">
        <v>26000</v>
      </c>
      <c r="AC5078" t="s">
        <v>4562</v>
      </c>
      <c r="AD5078" t="s">
        <v>26001</v>
      </c>
      <c r="AE5078" t="s">
        <v>4655</v>
      </c>
      <c r="AF5078" t="s">
        <v>4563</v>
      </c>
      <c r="AG5078" t="s">
        <v>4564</v>
      </c>
      <c r="AH5078">
        <v>89511</v>
      </c>
      <c r="AI5078" t="s">
        <v>17683</v>
      </c>
      <c r="AJ5078" t="s">
        <v>693</v>
      </c>
      <c r="AK5078" t="s">
        <v>26002</v>
      </c>
      <c r="AL5078" s="13" t="s">
        <v>1894</v>
      </c>
      <c r="AM5078" s="14">
        <v>1</v>
      </c>
      <c r="AN5078" s="15" t="s">
        <v>1676</v>
      </c>
    </row>
    <row r="5079" spans="1:40" x14ac:dyDescent="0.3">
      <c r="A5079" s="10" t="str">
        <f>HYPERLINK("http://www.washoecounty.gov/assessor/cama/?parid=150-391-04&amp;CardNumber=1","150-391-04")</f>
        <v>150-391-04</v>
      </c>
      <c r="B5079" t="s">
        <v>4655</v>
      </c>
      <c r="C5079" t="s">
        <v>26003</v>
      </c>
      <c r="D5079" s="1">
        <v>40491</v>
      </c>
      <c r="E5079" s="2">
        <v>549000</v>
      </c>
      <c r="F5079" t="s">
        <v>4567</v>
      </c>
      <c r="G5079" s="17" t="str">
        <f>HYPERLINK("https://www.washoecounty.gov/assessor/cama/?command=sales&amp;parid=15039104","3941348")</f>
        <v>3941348</v>
      </c>
      <c r="H5079" t="s">
        <v>3830</v>
      </c>
      <c r="I5079">
        <v>2004</v>
      </c>
      <c r="J5079">
        <v>2004</v>
      </c>
      <c r="K5079" t="s">
        <v>4554</v>
      </c>
      <c r="L5079" t="s">
        <v>4555</v>
      </c>
      <c r="M5079" s="2">
        <v>3884</v>
      </c>
      <c r="N5079" t="s">
        <v>5106</v>
      </c>
      <c r="O5079">
        <v>4</v>
      </c>
      <c r="P5079">
        <v>3</v>
      </c>
      <c r="Q5079">
        <v>1</v>
      </c>
      <c r="R5079" t="s">
        <v>5281</v>
      </c>
      <c r="S5079" t="s">
        <v>4898</v>
      </c>
      <c r="T5079" t="s">
        <v>2704</v>
      </c>
      <c r="U5079" t="s">
        <v>4560</v>
      </c>
      <c r="V5079" s="2">
        <v>972</v>
      </c>
      <c r="W5079" t="s">
        <v>4655</v>
      </c>
      <c r="X5079" s="2">
        <v>0</v>
      </c>
      <c r="Y5079">
        <v>20</v>
      </c>
      <c r="Z5079" t="s">
        <v>3884</v>
      </c>
      <c r="AA5079" s="3">
        <v>1.6146005392074501</v>
      </c>
      <c r="AB5079" t="s">
        <v>26004</v>
      </c>
      <c r="AC5079" t="s">
        <v>4562</v>
      </c>
      <c r="AD5079" t="s">
        <v>26003</v>
      </c>
      <c r="AE5079" t="s">
        <v>4655</v>
      </c>
      <c r="AF5079" t="s">
        <v>4563</v>
      </c>
      <c r="AG5079" t="s">
        <v>4564</v>
      </c>
      <c r="AH5079">
        <v>89511</v>
      </c>
      <c r="AI5079" t="s">
        <v>26005</v>
      </c>
      <c r="AJ5079" t="s">
        <v>3343</v>
      </c>
      <c r="AK5079" t="s">
        <v>26006</v>
      </c>
      <c r="AL5079" s="13" t="s">
        <v>1895</v>
      </c>
      <c r="AM5079">
        <v>1</v>
      </c>
      <c r="AN5079" s="15" t="s">
        <v>2923</v>
      </c>
    </row>
    <row r="5080" spans="1:40" x14ac:dyDescent="0.3">
      <c r="A5080" s="10" t="str">
        <f>HYPERLINK("http://www.washoecounty.gov/assessor/cama/?parid=150-391-05&amp;CardNumber=1","150-391-05")</f>
        <v>150-391-05</v>
      </c>
      <c r="B5080" t="s">
        <v>4655</v>
      </c>
      <c r="C5080" t="s">
        <v>26007</v>
      </c>
      <c r="D5080" s="1">
        <v>40273</v>
      </c>
      <c r="E5080" s="2">
        <v>640000</v>
      </c>
      <c r="F5080" t="s">
        <v>4567</v>
      </c>
      <c r="G5080" s="17" t="str">
        <f>HYPERLINK("https://www.washoecounty.gov/assessor/cama/?command=sales&amp;parid=15039105","3867761")</f>
        <v>3867761</v>
      </c>
      <c r="H5080" t="s">
        <v>3830</v>
      </c>
      <c r="I5080">
        <v>2004</v>
      </c>
      <c r="J5080">
        <v>2004</v>
      </c>
      <c r="K5080" t="s">
        <v>4554</v>
      </c>
      <c r="L5080" t="s">
        <v>4555</v>
      </c>
      <c r="M5080" s="2">
        <v>4409</v>
      </c>
      <c r="N5080" t="s">
        <v>5106</v>
      </c>
      <c r="O5080">
        <v>4</v>
      </c>
      <c r="P5080">
        <v>3</v>
      </c>
      <c r="Q5080">
        <v>1</v>
      </c>
      <c r="R5080" t="s">
        <v>5281</v>
      </c>
      <c r="S5080" t="s">
        <v>4898</v>
      </c>
      <c r="T5080" t="s">
        <v>2704</v>
      </c>
      <c r="U5080" t="s">
        <v>4560</v>
      </c>
      <c r="V5080" s="2">
        <v>1328</v>
      </c>
      <c r="W5080" t="s">
        <v>4655</v>
      </c>
      <c r="X5080" s="2">
        <v>0</v>
      </c>
      <c r="Y5080">
        <v>20</v>
      </c>
      <c r="Z5080" t="s">
        <v>3884</v>
      </c>
      <c r="AA5080" s="3">
        <v>1.74129939079284</v>
      </c>
      <c r="AB5080" t="s">
        <v>26008</v>
      </c>
      <c r="AC5080" t="s">
        <v>4562</v>
      </c>
      <c r="AD5080" t="s">
        <v>26007</v>
      </c>
      <c r="AE5080" t="s">
        <v>4655</v>
      </c>
      <c r="AF5080" t="s">
        <v>4563</v>
      </c>
      <c r="AG5080" t="s">
        <v>4564</v>
      </c>
      <c r="AH5080">
        <v>89511</v>
      </c>
      <c r="AI5080" t="s">
        <v>26009</v>
      </c>
      <c r="AJ5080" t="s">
        <v>3343</v>
      </c>
      <c r="AK5080" t="s">
        <v>26010</v>
      </c>
      <c r="AL5080" s="13" t="s">
        <v>1895</v>
      </c>
      <c r="AM5080">
        <v>1</v>
      </c>
      <c r="AN5080" s="15" t="s">
        <v>2923</v>
      </c>
    </row>
    <row r="5081" spans="1:40" x14ac:dyDescent="0.3">
      <c r="A5081" s="10" t="str">
        <f>HYPERLINK("http://www.washoecounty.gov/assessor/cama/?parid=150-391-09&amp;CardNumber=1","150-391-09")</f>
        <v>150-391-09</v>
      </c>
      <c r="B5081" t="s">
        <v>4655</v>
      </c>
      <c r="C5081" t="s">
        <v>26011</v>
      </c>
      <c r="D5081" s="1">
        <v>40291</v>
      </c>
      <c r="E5081" s="2">
        <v>409900</v>
      </c>
      <c r="F5081" t="s">
        <v>4553</v>
      </c>
      <c r="G5081" s="17" t="str">
        <f>HYPERLINK("https://www.washoecounty.gov/assessor/cama/?command=sales&amp;parid=15039109","3874178")</f>
        <v>3874178</v>
      </c>
      <c r="H5081" t="s">
        <v>3830</v>
      </c>
      <c r="I5081">
        <v>2005</v>
      </c>
      <c r="J5081">
        <v>2005</v>
      </c>
      <c r="K5081" t="s">
        <v>4554</v>
      </c>
      <c r="L5081" t="s">
        <v>4555</v>
      </c>
      <c r="M5081" s="2">
        <v>3884</v>
      </c>
      <c r="N5081" t="s">
        <v>5106</v>
      </c>
      <c r="O5081">
        <v>4</v>
      </c>
      <c r="P5081">
        <v>3</v>
      </c>
      <c r="Q5081">
        <v>1</v>
      </c>
      <c r="R5081" t="s">
        <v>5281</v>
      </c>
      <c r="S5081" t="s">
        <v>4898</v>
      </c>
      <c r="T5081" t="s">
        <v>2704</v>
      </c>
      <c r="U5081" t="s">
        <v>4560</v>
      </c>
      <c r="V5081" s="2">
        <v>972</v>
      </c>
      <c r="W5081" t="s">
        <v>4655</v>
      </c>
      <c r="X5081" s="2">
        <v>0</v>
      </c>
      <c r="Y5081">
        <v>20</v>
      </c>
      <c r="Z5081" t="s">
        <v>3884</v>
      </c>
      <c r="AA5081" s="3">
        <v>2.68300008773803</v>
      </c>
      <c r="AB5081" t="s">
        <v>26012</v>
      </c>
      <c r="AC5081" t="s">
        <v>4562</v>
      </c>
      <c r="AD5081" t="s">
        <v>26011</v>
      </c>
      <c r="AE5081" t="s">
        <v>4655</v>
      </c>
      <c r="AF5081" t="s">
        <v>4563</v>
      </c>
      <c r="AG5081" t="s">
        <v>4564</v>
      </c>
      <c r="AH5081">
        <v>89511</v>
      </c>
      <c r="AI5081" t="s">
        <v>4045</v>
      </c>
      <c r="AJ5081" t="s">
        <v>3343</v>
      </c>
      <c r="AK5081" t="s">
        <v>26013</v>
      </c>
      <c r="AL5081" s="13" t="s">
        <v>1895</v>
      </c>
      <c r="AM5081">
        <v>1</v>
      </c>
      <c r="AN5081" s="15" t="s">
        <v>2923</v>
      </c>
    </row>
    <row r="5082" spans="1:40" x14ac:dyDescent="0.3">
      <c r="A5082" s="10" t="str">
        <f>HYPERLINK("http://www.washoecounty.gov/assessor/cama/?parid=150-401-03&amp;CardNumber=1","150-401-03")</f>
        <v>150-401-03</v>
      </c>
      <c r="B5082" t="s">
        <v>4655</v>
      </c>
      <c r="C5082" t="s">
        <v>26014</v>
      </c>
      <c r="D5082" s="1">
        <v>40263</v>
      </c>
      <c r="E5082" s="2">
        <v>500000</v>
      </c>
      <c r="F5082" t="s">
        <v>4567</v>
      </c>
      <c r="G5082" s="17" t="str">
        <f>HYPERLINK("https://www.washoecounty.gov/assessor/cama/?command=sales&amp;parid=15040103","3864247")</f>
        <v>3864247</v>
      </c>
      <c r="H5082" t="s">
        <v>3830</v>
      </c>
      <c r="I5082">
        <v>2005</v>
      </c>
      <c r="J5082">
        <v>2005</v>
      </c>
      <c r="K5082" t="s">
        <v>4554</v>
      </c>
      <c r="L5082" t="s">
        <v>4555</v>
      </c>
      <c r="M5082" s="2">
        <v>2954</v>
      </c>
      <c r="N5082" t="s">
        <v>5106</v>
      </c>
      <c r="O5082">
        <v>5</v>
      </c>
      <c r="P5082">
        <v>3</v>
      </c>
      <c r="Q5082">
        <v>0</v>
      </c>
      <c r="R5082" t="s">
        <v>5281</v>
      </c>
      <c r="S5082" t="s">
        <v>4898</v>
      </c>
      <c r="T5082" t="s">
        <v>2704</v>
      </c>
      <c r="U5082" t="s">
        <v>4560</v>
      </c>
      <c r="V5082" s="2">
        <v>881</v>
      </c>
      <c r="W5082" t="s">
        <v>4655</v>
      </c>
      <c r="X5082" s="2">
        <v>0</v>
      </c>
      <c r="Y5082">
        <v>20</v>
      </c>
      <c r="Z5082" t="s">
        <v>3884</v>
      </c>
      <c r="AA5082" s="3">
        <v>1.6513085365295399</v>
      </c>
      <c r="AB5082" t="s">
        <v>26015</v>
      </c>
      <c r="AC5082" t="s">
        <v>4562</v>
      </c>
      <c r="AD5082" t="s">
        <v>26014</v>
      </c>
      <c r="AE5082" t="s">
        <v>4655</v>
      </c>
      <c r="AF5082" t="s">
        <v>4563</v>
      </c>
      <c r="AG5082" t="s">
        <v>4564</v>
      </c>
      <c r="AH5082">
        <v>89511</v>
      </c>
      <c r="AI5082" t="s">
        <v>26016</v>
      </c>
      <c r="AJ5082" t="s">
        <v>3343</v>
      </c>
      <c r="AK5082" t="s">
        <v>26017</v>
      </c>
      <c r="AL5082" s="13" t="s">
        <v>1895</v>
      </c>
      <c r="AM5082" s="14">
        <v>1</v>
      </c>
      <c r="AN5082" s="15" t="s">
        <v>2923</v>
      </c>
    </row>
    <row r="5083" spans="1:40" x14ac:dyDescent="0.3">
      <c r="A5083" s="10" t="str">
        <f>HYPERLINK("http://www.washoecounty.gov/assessor/cama/?parid=150-412-02&amp;CardNumber=1","150-412-02")</f>
        <v>150-412-02</v>
      </c>
      <c r="B5083" t="s">
        <v>4655</v>
      </c>
      <c r="C5083" t="s">
        <v>26018</v>
      </c>
      <c r="D5083" s="1">
        <v>40513</v>
      </c>
      <c r="E5083" s="2">
        <v>539000</v>
      </c>
      <c r="F5083" t="s">
        <v>4567</v>
      </c>
      <c r="G5083" s="17" t="str">
        <f>HYPERLINK("https://www.washoecounty.gov/assessor/cama/?command=sales&amp;parid=15041202","3948147")</f>
        <v>3948147</v>
      </c>
      <c r="H5083" t="s">
        <v>3830</v>
      </c>
      <c r="I5083">
        <v>2005</v>
      </c>
      <c r="J5083">
        <v>2005</v>
      </c>
      <c r="K5083" t="s">
        <v>4554</v>
      </c>
      <c r="L5083" t="s">
        <v>4555</v>
      </c>
      <c r="M5083" s="2">
        <v>2954</v>
      </c>
      <c r="N5083" t="s">
        <v>5106</v>
      </c>
      <c r="O5083">
        <v>4</v>
      </c>
      <c r="P5083">
        <v>3</v>
      </c>
      <c r="Q5083">
        <v>0</v>
      </c>
      <c r="R5083" t="s">
        <v>5281</v>
      </c>
      <c r="S5083" t="s">
        <v>4898</v>
      </c>
      <c r="T5083" t="s">
        <v>2704</v>
      </c>
      <c r="U5083" t="s">
        <v>4560</v>
      </c>
      <c r="V5083" s="2">
        <v>881</v>
      </c>
      <c r="W5083" t="s">
        <v>4655</v>
      </c>
      <c r="X5083" s="2">
        <v>0</v>
      </c>
      <c r="Y5083">
        <v>20</v>
      </c>
      <c r="Z5083" t="s">
        <v>3884</v>
      </c>
      <c r="AA5083" s="3">
        <v>1.09010565280914</v>
      </c>
      <c r="AB5083" t="s">
        <v>26019</v>
      </c>
      <c r="AC5083" t="s">
        <v>4562</v>
      </c>
      <c r="AD5083" t="s">
        <v>26020</v>
      </c>
      <c r="AE5083" t="s">
        <v>4655</v>
      </c>
      <c r="AF5083" t="s">
        <v>2108</v>
      </c>
      <c r="AG5083" t="s">
        <v>2109</v>
      </c>
      <c r="AH5083" t="s">
        <v>26021</v>
      </c>
      <c r="AI5083" t="s">
        <v>26022</v>
      </c>
      <c r="AJ5083" t="s">
        <v>3343</v>
      </c>
      <c r="AK5083" t="s">
        <v>26023</v>
      </c>
      <c r="AL5083" s="13" t="s">
        <v>1895</v>
      </c>
      <c r="AM5083" s="14">
        <v>1</v>
      </c>
      <c r="AN5083" s="15" t="s">
        <v>2923</v>
      </c>
    </row>
    <row r="5084" spans="1:40" x14ac:dyDescent="0.3">
      <c r="A5084" s="10" t="str">
        <f>HYPERLINK("http://www.washoecounty.gov/assessor/cama/?parid=150-412-06&amp;CardNumber=1","150-412-06")</f>
        <v>150-412-06</v>
      </c>
      <c r="B5084" t="s">
        <v>4655</v>
      </c>
      <c r="C5084" t="s">
        <v>26024</v>
      </c>
      <c r="D5084" s="1">
        <v>40388</v>
      </c>
      <c r="E5084" s="2">
        <v>640000</v>
      </c>
      <c r="F5084" t="s">
        <v>4567</v>
      </c>
      <c r="G5084" s="17" t="str">
        <f>HYPERLINK("https://www.washoecounty.gov/assessor/cama/?command=sales&amp;parid=15041206","3906637")</f>
        <v>3906637</v>
      </c>
      <c r="H5084" t="s">
        <v>3830</v>
      </c>
      <c r="I5084">
        <v>2005</v>
      </c>
      <c r="J5084">
        <v>2005</v>
      </c>
      <c r="K5084" t="s">
        <v>4554</v>
      </c>
      <c r="L5084" t="s">
        <v>4555</v>
      </c>
      <c r="M5084" s="2">
        <v>3666</v>
      </c>
      <c r="N5084" t="s">
        <v>5106</v>
      </c>
      <c r="O5084">
        <v>5</v>
      </c>
      <c r="P5084">
        <v>4</v>
      </c>
      <c r="Q5084">
        <v>0</v>
      </c>
      <c r="R5084" t="s">
        <v>5281</v>
      </c>
      <c r="S5084" t="s">
        <v>4898</v>
      </c>
      <c r="T5084" t="s">
        <v>2704</v>
      </c>
      <c r="U5084" t="s">
        <v>4560</v>
      </c>
      <c r="V5084" s="2">
        <v>1110</v>
      </c>
      <c r="W5084" t="s">
        <v>4655</v>
      </c>
      <c r="X5084" s="2">
        <v>0</v>
      </c>
      <c r="Y5084">
        <v>20</v>
      </c>
      <c r="Z5084" t="s">
        <v>3884</v>
      </c>
      <c r="AA5084" s="3">
        <v>1.0040633678436199</v>
      </c>
      <c r="AB5084" t="s">
        <v>26025</v>
      </c>
      <c r="AC5084" t="s">
        <v>4575</v>
      </c>
      <c r="AD5084" t="s">
        <v>26024</v>
      </c>
      <c r="AE5084" t="s">
        <v>4655</v>
      </c>
      <c r="AF5084" t="s">
        <v>4563</v>
      </c>
      <c r="AG5084" t="s">
        <v>4564</v>
      </c>
      <c r="AH5084">
        <v>89511</v>
      </c>
      <c r="AI5084" t="s">
        <v>26026</v>
      </c>
      <c r="AJ5084" t="s">
        <v>3343</v>
      </c>
      <c r="AK5084" t="s">
        <v>26027</v>
      </c>
      <c r="AL5084" s="13" t="s">
        <v>1895</v>
      </c>
      <c r="AM5084">
        <v>1</v>
      </c>
      <c r="AN5084" s="15" t="s">
        <v>2923</v>
      </c>
    </row>
    <row r="5085" spans="1:40" x14ac:dyDescent="0.3">
      <c r="A5085" s="10" t="str">
        <f>HYPERLINK("http://www.washoecounty.gov/assessor/cama/?parid=150-431-01&amp;CardNumber=1","150-431-01")</f>
        <v>150-431-01</v>
      </c>
      <c r="B5085" t="s">
        <v>4655</v>
      </c>
      <c r="C5085" t="s">
        <v>26028</v>
      </c>
      <c r="D5085" s="1">
        <v>40539</v>
      </c>
      <c r="E5085" s="2">
        <v>511750</v>
      </c>
      <c r="F5085" t="s">
        <v>4567</v>
      </c>
      <c r="G5085" s="17" t="str">
        <f>HYPERLINK("https://www.washoecounty.gov/assessor/cama/?command=sales&amp;parid=15043101","3957479")</f>
        <v>3957479</v>
      </c>
      <c r="H5085" t="s">
        <v>3847</v>
      </c>
      <c r="I5085">
        <v>2010</v>
      </c>
      <c r="J5085">
        <v>2010</v>
      </c>
      <c r="K5085" t="s">
        <v>4554</v>
      </c>
      <c r="L5085" t="s">
        <v>4555</v>
      </c>
      <c r="M5085" s="2">
        <v>3122</v>
      </c>
      <c r="N5085" t="s">
        <v>5106</v>
      </c>
      <c r="O5085">
        <v>5</v>
      </c>
      <c r="P5085">
        <v>3</v>
      </c>
      <c r="Q5085">
        <v>0</v>
      </c>
      <c r="R5085" t="s">
        <v>5281</v>
      </c>
      <c r="S5085" t="s">
        <v>4898</v>
      </c>
      <c r="T5085" t="s">
        <v>2704</v>
      </c>
      <c r="U5085" t="s">
        <v>4560</v>
      </c>
      <c r="V5085" s="2">
        <v>713</v>
      </c>
      <c r="W5085" t="s">
        <v>4655</v>
      </c>
      <c r="X5085" s="2">
        <v>0</v>
      </c>
      <c r="Y5085">
        <v>20</v>
      </c>
      <c r="Z5085" t="s">
        <v>3884</v>
      </c>
      <c r="AA5085" s="3">
        <v>1.3739440441131501</v>
      </c>
      <c r="AB5085" t="s">
        <v>26029</v>
      </c>
      <c r="AC5085" t="s">
        <v>4562</v>
      </c>
      <c r="AD5085" t="s">
        <v>26028</v>
      </c>
      <c r="AE5085" t="s">
        <v>4655</v>
      </c>
      <c r="AF5085" t="s">
        <v>4563</v>
      </c>
      <c r="AG5085" t="s">
        <v>4564</v>
      </c>
      <c r="AH5085">
        <v>89511</v>
      </c>
      <c r="AI5085" t="s">
        <v>3848</v>
      </c>
      <c r="AJ5085" t="s">
        <v>3849</v>
      </c>
      <c r="AK5085" t="s">
        <v>26030</v>
      </c>
      <c r="AL5085" s="13" t="s">
        <v>1895</v>
      </c>
      <c r="AM5085">
        <v>1</v>
      </c>
      <c r="AN5085" s="15" t="s">
        <v>2923</v>
      </c>
    </row>
    <row r="5086" spans="1:40" x14ac:dyDescent="0.3">
      <c r="A5086" s="10" t="str">
        <f>HYPERLINK("http://www.washoecounty.gov/assessor/cama/?parid=150-431-03&amp;CardNumber=1","150-431-03")</f>
        <v>150-431-03</v>
      </c>
      <c r="B5086" t="s">
        <v>4655</v>
      </c>
      <c r="C5086" t="s">
        <v>26031</v>
      </c>
      <c r="D5086" s="1">
        <v>40343</v>
      </c>
      <c r="E5086" s="2">
        <v>647982</v>
      </c>
      <c r="F5086" t="s">
        <v>4567</v>
      </c>
      <c r="G5086" s="17" t="str">
        <f>HYPERLINK("https://www.washoecounty.gov/assessor/cama/?command=sales&amp;parid=15043103","3891582")</f>
        <v>3891582</v>
      </c>
      <c r="H5086" t="s">
        <v>3847</v>
      </c>
      <c r="I5086">
        <v>2010</v>
      </c>
      <c r="J5086">
        <v>2010</v>
      </c>
      <c r="K5086" t="s">
        <v>4554</v>
      </c>
      <c r="L5086" t="s">
        <v>4555</v>
      </c>
      <c r="M5086" s="2">
        <v>3884</v>
      </c>
      <c r="N5086" t="s">
        <v>5106</v>
      </c>
      <c r="O5086">
        <v>4</v>
      </c>
      <c r="P5086">
        <v>3</v>
      </c>
      <c r="Q5086">
        <v>1</v>
      </c>
      <c r="R5086" t="s">
        <v>5281</v>
      </c>
      <c r="S5086" t="s">
        <v>4898</v>
      </c>
      <c r="T5086" t="s">
        <v>2704</v>
      </c>
      <c r="U5086" t="s">
        <v>4560</v>
      </c>
      <c r="V5086" s="2">
        <v>972</v>
      </c>
      <c r="W5086" t="s">
        <v>4655</v>
      </c>
      <c r="X5086" s="2">
        <v>0</v>
      </c>
      <c r="Y5086">
        <v>20</v>
      </c>
      <c r="Z5086" t="s">
        <v>3884</v>
      </c>
      <c r="AA5086" s="3">
        <v>1.3094123601913401</v>
      </c>
      <c r="AB5086" t="s">
        <v>26032</v>
      </c>
      <c r="AC5086" t="s">
        <v>4575</v>
      </c>
      <c r="AD5086" t="s">
        <v>26033</v>
      </c>
      <c r="AE5086" t="s">
        <v>4655</v>
      </c>
      <c r="AF5086" t="s">
        <v>4563</v>
      </c>
      <c r="AG5086" t="s">
        <v>4564</v>
      </c>
      <c r="AH5086">
        <v>89511</v>
      </c>
      <c r="AI5086" t="s">
        <v>3848</v>
      </c>
      <c r="AJ5086" t="s">
        <v>3849</v>
      </c>
      <c r="AK5086" t="s">
        <v>26034</v>
      </c>
      <c r="AL5086" s="13" t="s">
        <v>1895</v>
      </c>
      <c r="AM5086">
        <v>1</v>
      </c>
      <c r="AN5086" s="15" t="s">
        <v>2923</v>
      </c>
    </row>
    <row r="5087" spans="1:40" x14ac:dyDescent="0.3">
      <c r="A5087" s="10" t="str">
        <f>HYPERLINK("http://www.washoecounty.gov/assessor/cama/?parid=150-431-05&amp;CardNumber=1","150-431-05")</f>
        <v>150-431-05</v>
      </c>
      <c r="B5087" t="s">
        <v>4655</v>
      </c>
      <c r="C5087" t="s">
        <v>26035</v>
      </c>
      <c r="D5087" s="1">
        <v>40445</v>
      </c>
      <c r="E5087" s="2">
        <v>542775</v>
      </c>
      <c r="F5087" t="s">
        <v>4567</v>
      </c>
      <c r="G5087" s="17" t="str">
        <f>HYPERLINK("https://www.washoecounty.gov/assessor/cama/?command=sales&amp;parid=15043105","3925922")</f>
        <v>3925922</v>
      </c>
      <c r="H5087" t="s">
        <v>3847</v>
      </c>
      <c r="I5087">
        <v>2010</v>
      </c>
      <c r="J5087">
        <v>2010</v>
      </c>
      <c r="K5087" t="s">
        <v>4554</v>
      </c>
      <c r="L5087" t="s">
        <v>4555</v>
      </c>
      <c r="M5087" s="2">
        <v>3108</v>
      </c>
      <c r="N5087" t="s">
        <v>5106</v>
      </c>
      <c r="O5087">
        <v>4</v>
      </c>
      <c r="P5087">
        <v>3</v>
      </c>
      <c r="Q5087">
        <v>0</v>
      </c>
      <c r="R5087" t="s">
        <v>5281</v>
      </c>
      <c r="S5087" t="s">
        <v>4898</v>
      </c>
      <c r="T5087" t="s">
        <v>2704</v>
      </c>
      <c r="U5087" t="s">
        <v>4560</v>
      </c>
      <c r="V5087" s="2">
        <v>1284</v>
      </c>
      <c r="W5087" t="s">
        <v>4655</v>
      </c>
      <c r="X5087" s="2">
        <v>0</v>
      </c>
      <c r="Y5087">
        <v>20</v>
      </c>
      <c r="Z5087" t="s">
        <v>3668</v>
      </c>
      <c r="AA5087" s="3">
        <v>1.1387741565704299</v>
      </c>
      <c r="AB5087" t="s">
        <v>26036</v>
      </c>
      <c r="AC5087" t="s">
        <v>4562</v>
      </c>
      <c r="AD5087" t="s">
        <v>26037</v>
      </c>
      <c r="AE5087" t="s">
        <v>4655</v>
      </c>
      <c r="AF5087" t="s">
        <v>4563</v>
      </c>
      <c r="AG5087" t="s">
        <v>4564</v>
      </c>
      <c r="AH5087">
        <v>89511</v>
      </c>
      <c r="AI5087" t="s">
        <v>3848</v>
      </c>
      <c r="AJ5087" t="s">
        <v>3849</v>
      </c>
      <c r="AK5087" t="s">
        <v>26038</v>
      </c>
      <c r="AL5087" s="13" t="s">
        <v>1895</v>
      </c>
      <c r="AM5087" s="14">
        <v>1</v>
      </c>
      <c r="AN5087" s="15" t="s">
        <v>2923</v>
      </c>
    </row>
    <row r="5088" spans="1:40" x14ac:dyDescent="0.3">
      <c r="A5088" s="10" t="str">
        <f>HYPERLINK("http://www.washoecounty.gov/assessor/cama/?parid=150-431-06&amp;CardNumber=1","150-431-06")</f>
        <v>150-431-06</v>
      </c>
      <c r="B5088" t="s">
        <v>4655</v>
      </c>
      <c r="C5088" t="s">
        <v>26039</v>
      </c>
      <c r="D5088" s="1">
        <v>40373</v>
      </c>
      <c r="E5088" s="2">
        <v>585000</v>
      </c>
      <c r="F5088" t="s">
        <v>4567</v>
      </c>
      <c r="G5088" s="17" t="str">
        <f>HYPERLINK("https://www.washoecounty.gov/assessor/cama/?command=sales&amp;parid=15043106","3901077")</f>
        <v>3901077</v>
      </c>
      <c r="H5088" t="s">
        <v>3847</v>
      </c>
      <c r="I5088">
        <v>2007</v>
      </c>
      <c r="J5088">
        <v>2007</v>
      </c>
      <c r="K5088" t="s">
        <v>4554</v>
      </c>
      <c r="L5088" t="s">
        <v>4555</v>
      </c>
      <c r="M5088" s="2">
        <v>3666</v>
      </c>
      <c r="N5088" t="s">
        <v>5106</v>
      </c>
      <c r="O5088">
        <v>5</v>
      </c>
      <c r="P5088">
        <v>4</v>
      </c>
      <c r="Q5088">
        <v>0</v>
      </c>
      <c r="R5088" t="s">
        <v>5281</v>
      </c>
      <c r="S5088" t="s">
        <v>4898</v>
      </c>
      <c r="T5088" t="s">
        <v>2704</v>
      </c>
      <c r="U5088" t="s">
        <v>4560</v>
      </c>
      <c r="V5088" s="2">
        <v>1110</v>
      </c>
      <c r="W5088" t="s">
        <v>4655</v>
      </c>
      <c r="X5088" s="2">
        <v>0</v>
      </c>
      <c r="Y5088">
        <v>20</v>
      </c>
      <c r="Z5088" t="s">
        <v>3884</v>
      </c>
      <c r="AA5088" s="3">
        <v>1.242516040802</v>
      </c>
      <c r="AB5088" t="s">
        <v>26040</v>
      </c>
      <c r="AC5088" t="s">
        <v>4562</v>
      </c>
      <c r="AD5088" t="s">
        <v>26039</v>
      </c>
      <c r="AE5088" t="s">
        <v>4655</v>
      </c>
      <c r="AF5088" t="s">
        <v>4563</v>
      </c>
      <c r="AG5088" t="s">
        <v>4564</v>
      </c>
      <c r="AH5088">
        <v>89511</v>
      </c>
      <c r="AI5088" t="s">
        <v>3848</v>
      </c>
      <c r="AJ5088" t="s">
        <v>3849</v>
      </c>
      <c r="AK5088" t="s">
        <v>26041</v>
      </c>
      <c r="AL5088" s="13" t="s">
        <v>1895</v>
      </c>
      <c r="AM5088" s="14">
        <v>1</v>
      </c>
      <c r="AN5088" s="15" t="s">
        <v>2923</v>
      </c>
    </row>
    <row r="5089" spans="1:40" x14ac:dyDescent="0.3">
      <c r="A5089" s="10" t="str">
        <f>HYPERLINK("http://www.washoecounty.gov/assessor/cama/?parid=150-441-02&amp;CardNumber=1","150-441-02")</f>
        <v>150-441-02</v>
      </c>
      <c r="B5089" t="s">
        <v>4655</v>
      </c>
      <c r="C5089" t="s">
        <v>26042</v>
      </c>
      <c r="D5089" s="1">
        <v>40277</v>
      </c>
      <c r="E5089" s="2">
        <v>506945</v>
      </c>
      <c r="F5089" t="s">
        <v>4567</v>
      </c>
      <c r="G5089" s="17" t="str">
        <f>HYPERLINK("https://www.washoecounty.gov/assessor/cama/?command=sales&amp;parid=15044102","3869234")</f>
        <v>3869234</v>
      </c>
      <c r="H5089" t="s">
        <v>3847</v>
      </c>
      <c r="I5089">
        <v>2007</v>
      </c>
      <c r="J5089">
        <v>2008</v>
      </c>
      <c r="K5089" t="s">
        <v>4554</v>
      </c>
      <c r="L5089" t="s">
        <v>4555</v>
      </c>
      <c r="M5089" s="2">
        <v>2954</v>
      </c>
      <c r="N5089" t="s">
        <v>5106</v>
      </c>
      <c r="O5089">
        <v>4</v>
      </c>
      <c r="P5089">
        <v>3</v>
      </c>
      <c r="Q5089">
        <v>0</v>
      </c>
      <c r="R5089" t="s">
        <v>5281</v>
      </c>
      <c r="S5089" t="s">
        <v>4898</v>
      </c>
      <c r="T5089" t="s">
        <v>2704</v>
      </c>
      <c r="U5089" t="s">
        <v>4560</v>
      </c>
      <c r="V5089" s="2">
        <v>881</v>
      </c>
      <c r="W5089" t="s">
        <v>4655</v>
      </c>
      <c r="X5089" s="2">
        <v>0</v>
      </c>
      <c r="Y5089">
        <v>20</v>
      </c>
      <c r="Z5089" t="s">
        <v>3884</v>
      </c>
      <c r="AA5089" s="3">
        <v>1.02125799655914</v>
      </c>
      <c r="AB5089" t="s">
        <v>26043</v>
      </c>
      <c r="AC5089" t="s">
        <v>4562</v>
      </c>
      <c r="AD5089" t="s">
        <v>26042</v>
      </c>
      <c r="AE5089" t="s">
        <v>4655</v>
      </c>
      <c r="AF5089" t="s">
        <v>4563</v>
      </c>
      <c r="AG5089" t="s">
        <v>4564</v>
      </c>
      <c r="AH5089">
        <v>89511</v>
      </c>
      <c r="AI5089" t="s">
        <v>3848</v>
      </c>
      <c r="AJ5089" t="s">
        <v>3849</v>
      </c>
      <c r="AK5089" t="s">
        <v>26044</v>
      </c>
      <c r="AL5089" s="13" t="s">
        <v>1895</v>
      </c>
      <c r="AM5089">
        <v>1</v>
      </c>
      <c r="AN5089" s="15" t="s">
        <v>2923</v>
      </c>
    </row>
    <row r="5090" spans="1:40" x14ac:dyDescent="0.3">
      <c r="A5090" s="10" t="str">
        <f>HYPERLINK("http://www.washoecounty.gov/assessor/cama/?parid=150-443-06&amp;CardNumber=1","150-443-06")</f>
        <v>150-443-06</v>
      </c>
      <c r="B5090" t="s">
        <v>4655</v>
      </c>
      <c r="C5090" t="s">
        <v>26045</v>
      </c>
      <c r="D5090" s="1">
        <v>40289</v>
      </c>
      <c r="E5090" s="2">
        <v>610000</v>
      </c>
      <c r="F5090" t="s">
        <v>4567</v>
      </c>
      <c r="G5090" s="17" t="str">
        <f>HYPERLINK("https://www.washoecounty.gov/assessor/cama/?command=sales&amp;parid=15044306","3873240")</f>
        <v>3873240</v>
      </c>
      <c r="H5090" t="s">
        <v>3847</v>
      </c>
      <c r="I5090">
        <v>2007</v>
      </c>
      <c r="J5090">
        <v>2009</v>
      </c>
      <c r="K5090" t="s">
        <v>4554</v>
      </c>
      <c r="L5090" t="s">
        <v>4555</v>
      </c>
      <c r="M5090" s="2">
        <v>3666</v>
      </c>
      <c r="N5090" t="s">
        <v>5106</v>
      </c>
      <c r="O5090">
        <v>5</v>
      </c>
      <c r="P5090">
        <v>4</v>
      </c>
      <c r="Q5090">
        <v>0</v>
      </c>
      <c r="R5090" t="s">
        <v>5281</v>
      </c>
      <c r="S5090" t="s">
        <v>4898</v>
      </c>
      <c r="T5090" t="s">
        <v>2704</v>
      </c>
      <c r="U5090" t="s">
        <v>4560</v>
      </c>
      <c r="V5090" s="2">
        <v>1110</v>
      </c>
      <c r="W5090" t="s">
        <v>4655</v>
      </c>
      <c r="X5090" s="2">
        <v>0</v>
      </c>
      <c r="Y5090">
        <v>20</v>
      </c>
      <c r="Z5090" t="s">
        <v>3884</v>
      </c>
      <c r="AA5090" s="3">
        <v>1.2069789171218801</v>
      </c>
      <c r="AB5090" t="s">
        <v>26046</v>
      </c>
      <c r="AC5090" t="s">
        <v>4575</v>
      </c>
      <c r="AD5090" t="s">
        <v>26047</v>
      </c>
      <c r="AE5090" t="s">
        <v>4655</v>
      </c>
      <c r="AF5090" t="s">
        <v>4563</v>
      </c>
      <c r="AG5090" t="s">
        <v>4564</v>
      </c>
      <c r="AH5090">
        <v>89511</v>
      </c>
      <c r="AI5090" t="s">
        <v>3848</v>
      </c>
      <c r="AJ5090" t="s">
        <v>3849</v>
      </c>
      <c r="AK5090" t="s">
        <v>26048</v>
      </c>
      <c r="AL5090" s="13" t="s">
        <v>1895</v>
      </c>
      <c r="AM5090">
        <v>1</v>
      </c>
      <c r="AN5090" s="15" t="s">
        <v>2923</v>
      </c>
    </row>
    <row r="5091" spans="1:40" x14ac:dyDescent="0.3">
      <c r="A5091" s="10" t="str">
        <f>HYPERLINK("http://www.washoecounty.gov/assessor/cama/?parid=150-445-03&amp;CardNumber=1","150-445-03")</f>
        <v>150-445-03</v>
      </c>
      <c r="B5091" t="s">
        <v>4655</v>
      </c>
      <c r="C5091" t="s">
        <v>26049</v>
      </c>
      <c r="D5091" s="1">
        <v>40312</v>
      </c>
      <c r="E5091" s="2">
        <v>610000</v>
      </c>
      <c r="F5091" t="s">
        <v>4567</v>
      </c>
      <c r="G5091" s="17" t="str">
        <f>HYPERLINK("https://www.washoecounty.gov/assessor/cama/?command=sales&amp;parid=15044503","3881715")</f>
        <v>3881715</v>
      </c>
      <c r="H5091" t="s">
        <v>3847</v>
      </c>
      <c r="I5091">
        <v>2007</v>
      </c>
      <c r="J5091">
        <v>2009</v>
      </c>
      <c r="K5091" t="s">
        <v>4554</v>
      </c>
      <c r="L5091" t="s">
        <v>4555</v>
      </c>
      <c r="M5091" s="2">
        <v>3666</v>
      </c>
      <c r="N5091" t="s">
        <v>5106</v>
      </c>
      <c r="O5091">
        <v>5</v>
      </c>
      <c r="P5091">
        <v>4</v>
      </c>
      <c r="Q5091">
        <v>0</v>
      </c>
      <c r="R5091" t="s">
        <v>5281</v>
      </c>
      <c r="S5091" t="s">
        <v>4898</v>
      </c>
      <c r="T5091" t="s">
        <v>2704</v>
      </c>
      <c r="U5091" t="s">
        <v>4560</v>
      </c>
      <c r="V5091" s="2">
        <v>1110</v>
      </c>
      <c r="W5091" t="s">
        <v>4655</v>
      </c>
      <c r="X5091" s="2">
        <v>0</v>
      </c>
      <c r="Y5091">
        <v>20</v>
      </c>
      <c r="Z5091" t="s">
        <v>3884</v>
      </c>
      <c r="AA5091" s="3">
        <v>1.3266069889068599</v>
      </c>
      <c r="AB5091" t="s">
        <v>26050</v>
      </c>
      <c r="AC5091" t="s">
        <v>4575</v>
      </c>
      <c r="AD5091" t="s">
        <v>26051</v>
      </c>
      <c r="AE5091" t="s">
        <v>4655</v>
      </c>
      <c r="AF5091" t="s">
        <v>5206</v>
      </c>
      <c r="AG5091" t="s">
        <v>4564</v>
      </c>
      <c r="AH5091" t="s">
        <v>5275</v>
      </c>
      <c r="AI5091" t="s">
        <v>3848</v>
      </c>
      <c r="AJ5091" t="s">
        <v>3849</v>
      </c>
      <c r="AK5091" t="s">
        <v>26052</v>
      </c>
      <c r="AL5091" s="13" t="s">
        <v>1895</v>
      </c>
      <c r="AM5091" s="14">
        <v>1</v>
      </c>
      <c r="AN5091" s="15" t="s">
        <v>2923</v>
      </c>
    </row>
    <row r="5092" spans="1:40" x14ac:dyDescent="0.3">
      <c r="A5092" s="10" t="str">
        <f>HYPERLINK("http://www.washoecounty.gov/assessor/cama/?parid=150-445-04&amp;CardNumber=1","150-445-04")</f>
        <v>150-445-04</v>
      </c>
      <c r="B5092" t="s">
        <v>4655</v>
      </c>
      <c r="C5092" t="s">
        <v>26053</v>
      </c>
      <c r="D5092" s="1">
        <v>40316</v>
      </c>
      <c r="E5092" s="2">
        <v>531850</v>
      </c>
      <c r="F5092" t="s">
        <v>4567</v>
      </c>
      <c r="G5092" s="17" t="str">
        <f>HYPERLINK("https://www.washoecounty.gov/assessor/cama/?command=sales&amp;parid=15044504","3882714")</f>
        <v>3882714</v>
      </c>
      <c r="H5092" t="s">
        <v>3847</v>
      </c>
      <c r="I5092">
        <v>2007</v>
      </c>
      <c r="J5092">
        <v>2009</v>
      </c>
      <c r="K5092" t="s">
        <v>4554</v>
      </c>
      <c r="L5092" t="s">
        <v>4555</v>
      </c>
      <c r="M5092" s="2">
        <v>2954</v>
      </c>
      <c r="N5092" t="s">
        <v>5106</v>
      </c>
      <c r="O5092">
        <v>5</v>
      </c>
      <c r="P5092">
        <v>3</v>
      </c>
      <c r="Q5092">
        <v>0</v>
      </c>
      <c r="R5092" t="s">
        <v>5281</v>
      </c>
      <c r="S5092" t="s">
        <v>4898</v>
      </c>
      <c r="T5092" t="s">
        <v>2704</v>
      </c>
      <c r="U5092" t="s">
        <v>4560</v>
      </c>
      <c r="V5092" s="2">
        <v>881</v>
      </c>
      <c r="W5092" t="s">
        <v>4655</v>
      </c>
      <c r="X5092" s="2">
        <v>0</v>
      </c>
      <c r="Y5092">
        <v>20</v>
      </c>
      <c r="Z5092" t="s">
        <v>3884</v>
      </c>
      <c r="AA5092" s="3">
        <v>1.2729798555374146</v>
      </c>
      <c r="AB5092" t="s">
        <v>26054</v>
      </c>
      <c r="AC5092" t="s">
        <v>4562</v>
      </c>
      <c r="AD5092" t="s">
        <v>26055</v>
      </c>
      <c r="AE5092" t="s">
        <v>4655</v>
      </c>
      <c r="AF5092" t="s">
        <v>26056</v>
      </c>
      <c r="AG5092" t="s">
        <v>4584</v>
      </c>
      <c r="AH5092">
        <v>91304</v>
      </c>
      <c r="AI5092" t="s">
        <v>3848</v>
      </c>
      <c r="AJ5092" t="s">
        <v>3849</v>
      </c>
      <c r="AK5092" t="s">
        <v>26057</v>
      </c>
      <c r="AL5092" s="13" t="s">
        <v>1895</v>
      </c>
      <c r="AM5092" s="14">
        <v>1</v>
      </c>
      <c r="AN5092" s="15" t="s">
        <v>2923</v>
      </c>
    </row>
    <row r="5093" spans="1:40" x14ac:dyDescent="0.3">
      <c r="A5093" s="10" t="str">
        <f>HYPERLINK("http://www.washoecounty.gov/assessor/cama/?parid=150-451-11&amp;CardNumber=1","150-451-11")</f>
        <v>150-451-11</v>
      </c>
      <c r="B5093" t="s">
        <v>4655</v>
      </c>
      <c r="C5093" t="s">
        <v>26058</v>
      </c>
      <c r="D5093" s="1">
        <v>40372</v>
      </c>
      <c r="E5093" s="2">
        <v>550000</v>
      </c>
      <c r="F5093" t="s">
        <v>4567</v>
      </c>
      <c r="G5093" s="17" t="str">
        <f>HYPERLINK("https://www.washoecounty.gov/assessor/cama/?command=sales&amp;parid=15045111","3900866")</f>
        <v>3900866</v>
      </c>
      <c r="H5093" t="s">
        <v>3847</v>
      </c>
      <c r="I5093">
        <v>2005</v>
      </c>
      <c r="J5093">
        <v>2005</v>
      </c>
      <c r="K5093" t="s">
        <v>4554</v>
      </c>
      <c r="L5093" t="s">
        <v>4555</v>
      </c>
      <c r="M5093" s="2">
        <v>3884</v>
      </c>
      <c r="N5093" t="s">
        <v>5106</v>
      </c>
      <c r="O5093">
        <v>4</v>
      </c>
      <c r="P5093">
        <v>3</v>
      </c>
      <c r="Q5093">
        <v>1</v>
      </c>
      <c r="R5093" t="s">
        <v>5281</v>
      </c>
      <c r="S5093" t="s">
        <v>4898</v>
      </c>
      <c r="T5093" t="s">
        <v>2704</v>
      </c>
      <c r="U5093" t="s">
        <v>4560</v>
      </c>
      <c r="V5093" s="2">
        <v>972</v>
      </c>
      <c r="W5093" t="s">
        <v>4655</v>
      </c>
      <c r="X5093" s="2">
        <v>0</v>
      </c>
      <c r="Y5093">
        <v>20</v>
      </c>
      <c r="Z5093" t="s">
        <v>3884</v>
      </c>
      <c r="AA5093" s="3">
        <v>1.3283746242523193</v>
      </c>
      <c r="AB5093" t="s">
        <v>26059</v>
      </c>
      <c r="AC5093" t="s">
        <v>4575</v>
      </c>
      <c r="AD5093" t="s">
        <v>26058</v>
      </c>
      <c r="AE5093" t="s">
        <v>4655</v>
      </c>
      <c r="AF5093" t="s">
        <v>4563</v>
      </c>
      <c r="AG5093" t="s">
        <v>4564</v>
      </c>
      <c r="AH5093">
        <v>89511</v>
      </c>
      <c r="AI5093" t="s">
        <v>26060</v>
      </c>
      <c r="AJ5093" t="s">
        <v>447</v>
      </c>
      <c r="AK5093" t="s">
        <v>26061</v>
      </c>
      <c r="AL5093" s="13" t="s">
        <v>1895</v>
      </c>
      <c r="AM5093" s="14">
        <v>1</v>
      </c>
      <c r="AN5093" s="15" t="s">
        <v>2923</v>
      </c>
    </row>
    <row r="5094" spans="1:40" x14ac:dyDescent="0.3">
      <c r="A5094" s="10" t="str">
        <f>HYPERLINK("http://www.washoecounty.gov/assessor/cama/?parid=152-052-01&amp;CardNumber=1","152-052-01")</f>
        <v>152-052-01</v>
      </c>
      <c r="B5094" t="s">
        <v>4655</v>
      </c>
      <c r="C5094" t="s">
        <v>26062</v>
      </c>
      <c r="D5094" s="1">
        <v>40190</v>
      </c>
      <c r="E5094" s="2">
        <v>990000</v>
      </c>
      <c r="F5094" t="s">
        <v>4567</v>
      </c>
      <c r="G5094" s="17" t="str">
        <f>HYPERLINK("https://www.washoecounty.gov/assessor/cama/?command=sales&amp;parid=15205201","3838280")</f>
        <v>3838280</v>
      </c>
      <c r="H5094" t="s">
        <v>5085</v>
      </c>
      <c r="I5094">
        <v>2006</v>
      </c>
      <c r="J5094">
        <v>2006</v>
      </c>
      <c r="K5094" t="s">
        <v>4554</v>
      </c>
      <c r="L5094" t="s">
        <v>4555</v>
      </c>
      <c r="M5094" s="2">
        <v>4097</v>
      </c>
      <c r="N5094" t="s">
        <v>2967</v>
      </c>
      <c r="O5094">
        <v>4</v>
      </c>
      <c r="P5094">
        <v>3</v>
      </c>
      <c r="Q5094">
        <v>1</v>
      </c>
      <c r="R5094" t="s">
        <v>2632</v>
      </c>
      <c r="S5094" t="s">
        <v>4898</v>
      </c>
      <c r="T5094" t="s">
        <v>2704</v>
      </c>
      <c r="U5094" t="s">
        <v>4560</v>
      </c>
      <c r="V5094" s="2">
        <v>1917</v>
      </c>
      <c r="W5094" t="s">
        <v>4655</v>
      </c>
      <c r="X5094" s="2">
        <v>0</v>
      </c>
      <c r="Y5094">
        <v>20</v>
      </c>
      <c r="Z5094" t="s">
        <v>3884</v>
      </c>
      <c r="AA5094" s="3">
        <v>1.01705694198608</v>
      </c>
      <c r="AB5094" t="s">
        <v>26063</v>
      </c>
      <c r="AC5094" t="s">
        <v>4575</v>
      </c>
      <c r="AD5094" t="s">
        <v>26064</v>
      </c>
      <c r="AE5094" t="s">
        <v>4655</v>
      </c>
      <c r="AF5094" t="s">
        <v>4563</v>
      </c>
      <c r="AG5094" t="s">
        <v>4564</v>
      </c>
      <c r="AH5094">
        <v>89511</v>
      </c>
      <c r="AI5094" t="s">
        <v>26065</v>
      </c>
      <c r="AJ5094" t="s">
        <v>4991</v>
      </c>
      <c r="AK5094" t="s">
        <v>26066</v>
      </c>
      <c r="AL5094" s="13" t="s">
        <v>1895</v>
      </c>
      <c r="AM5094" s="14">
        <v>1</v>
      </c>
      <c r="AN5094" s="15" t="s">
        <v>4308</v>
      </c>
    </row>
    <row r="5095" spans="1:40" x14ac:dyDescent="0.3">
      <c r="A5095" s="10" t="str">
        <f>HYPERLINK("http://www.washoecounty.gov/assessor/cama/?parid=152-071-06&amp;CardNumber=1","152-071-06")</f>
        <v>152-071-06</v>
      </c>
      <c r="B5095" t="s">
        <v>4655</v>
      </c>
      <c r="C5095" t="s">
        <v>26067</v>
      </c>
      <c r="D5095" s="1">
        <v>40242</v>
      </c>
      <c r="E5095" s="2">
        <v>515000</v>
      </c>
      <c r="F5095" t="s">
        <v>4567</v>
      </c>
      <c r="G5095" s="17" t="str">
        <f>HYPERLINK("https://www.washoecounty.gov/assessor/cama/?command=sales&amp;parid=15207106","3856392")</f>
        <v>3856392</v>
      </c>
      <c r="H5095" t="s">
        <v>86</v>
      </c>
      <c r="I5095">
        <v>1999</v>
      </c>
      <c r="J5095">
        <v>1999</v>
      </c>
      <c r="K5095" t="s">
        <v>4554</v>
      </c>
      <c r="L5095" t="s">
        <v>2170</v>
      </c>
      <c r="M5095" s="2">
        <v>3839</v>
      </c>
      <c r="N5095" t="s">
        <v>2008</v>
      </c>
      <c r="O5095">
        <v>5</v>
      </c>
      <c r="P5095">
        <v>4</v>
      </c>
      <c r="Q5095">
        <v>1</v>
      </c>
      <c r="R5095" t="s">
        <v>5281</v>
      </c>
      <c r="S5095" t="s">
        <v>4898</v>
      </c>
      <c r="T5095" t="s">
        <v>2704</v>
      </c>
      <c r="U5095" t="s">
        <v>5631</v>
      </c>
      <c r="V5095" s="2">
        <v>1196</v>
      </c>
      <c r="W5095" t="s">
        <v>4655</v>
      </c>
      <c r="X5095" s="2">
        <v>0</v>
      </c>
      <c r="Y5095">
        <v>20</v>
      </c>
      <c r="Z5095" t="s">
        <v>1376</v>
      </c>
      <c r="AA5095" s="3">
        <v>0.52125805616378695</v>
      </c>
      <c r="AB5095" t="s">
        <v>26068</v>
      </c>
      <c r="AC5095" t="s">
        <v>4575</v>
      </c>
      <c r="AD5095" t="s">
        <v>26067</v>
      </c>
      <c r="AE5095" t="s">
        <v>4655</v>
      </c>
      <c r="AF5095" t="s">
        <v>4563</v>
      </c>
      <c r="AG5095" t="s">
        <v>4564</v>
      </c>
      <c r="AH5095">
        <v>89511</v>
      </c>
      <c r="AI5095" t="s">
        <v>26069</v>
      </c>
      <c r="AJ5095" t="s">
        <v>819</v>
      </c>
      <c r="AK5095" t="s">
        <v>26070</v>
      </c>
      <c r="AL5095" s="13" t="s">
        <v>1895</v>
      </c>
      <c r="AM5095" s="14">
        <v>1</v>
      </c>
      <c r="AN5095" s="15" t="s">
        <v>4308</v>
      </c>
    </row>
    <row r="5096" spans="1:40" x14ac:dyDescent="0.3">
      <c r="A5096" s="10" t="str">
        <f>HYPERLINK("http://www.washoecounty.gov/assessor/cama/?parid=152-101-09&amp;CardNumber=1","152-101-09")</f>
        <v>152-101-09</v>
      </c>
      <c r="B5096" t="s">
        <v>4655</v>
      </c>
      <c r="C5096" t="s">
        <v>4022</v>
      </c>
      <c r="D5096" s="1">
        <v>40281</v>
      </c>
      <c r="E5096" s="2">
        <v>37500</v>
      </c>
      <c r="F5096" t="s">
        <v>4553</v>
      </c>
      <c r="G5096" s="17" t="str">
        <f>HYPERLINK("https://www.washoecounty.gov/assessor/cama/?command=sales&amp;parid=15210109","3870533")</f>
        <v>3870533</v>
      </c>
      <c r="H5096" t="s">
        <v>4023</v>
      </c>
      <c r="I5096">
        <v>2011</v>
      </c>
      <c r="J5096">
        <v>2011</v>
      </c>
      <c r="K5096" t="s">
        <v>4554</v>
      </c>
      <c r="L5096" t="s">
        <v>4555</v>
      </c>
      <c r="M5096" s="2">
        <v>1661</v>
      </c>
      <c r="N5096" t="s">
        <v>2012</v>
      </c>
      <c r="O5096">
        <v>3</v>
      </c>
      <c r="P5096">
        <v>2</v>
      </c>
      <c r="Q5096">
        <v>1</v>
      </c>
      <c r="R5096" t="s">
        <v>5281</v>
      </c>
      <c r="S5096" t="s">
        <v>4898</v>
      </c>
      <c r="T5096" t="s">
        <v>4559</v>
      </c>
      <c r="U5096" t="s">
        <v>4560</v>
      </c>
      <c r="V5096" s="2">
        <v>676</v>
      </c>
      <c r="W5096" t="s">
        <v>3201</v>
      </c>
      <c r="X5096" s="2">
        <v>965</v>
      </c>
      <c r="Y5096">
        <v>12</v>
      </c>
      <c r="Z5096" t="s">
        <v>1376</v>
      </c>
      <c r="AA5096" s="3">
        <v>0.53700643777847201</v>
      </c>
      <c r="AB5096" t="s">
        <v>26071</v>
      </c>
      <c r="AC5096" t="s">
        <v>4562</v>
      </c>
      <c r="AD5096" t="s">
        <v>26072</v>
      </c>
      <c r="AE5096" t="s">
        <v>4655</v>
      </c>
      <c r="AF5096" t="s">
        <v>4563</v>
      </c>
      <c r="AG5096" t="s">
        <v>4564</v>
      </c>
      <c r="AH5096">
        <v>89509</v>
      </c>
      <c r="AI5096" t="s">
        <v>5390</v>
      </c>
      <c r="AJ5096" t="s">
        <v>4024</v>
      </c>
      <c r="AK5096" t="s">
        <v>4025</v>
      </c>
      <c r="AL5096" s="13" t="s">
        <v>1895</v>
      </c>
      <c r="AM5096" s="14">
        <v>1</v>
      </c>
      <c r="AN5096" s="15" t="s">
        <v>4308</v>
      </c>
    </row>
    <row r="5097" spans="1:40" x14ac:dyDescent="0.3">
      <c r="A5097" s="10" t="str">
        <f>HYPERLINK("http://www.washoecounty.gov/assessor/cama/?parid=152-101-09&amp;CardNumber=1","152-101-09")</f>
        <v>152-101-09</v>
      </c>
      <c r="B5097" t="s">
        <v>4655</v>
      </c>
      <c r="C5097" t="s">
        <v>4022</v>
      </c>
      <c r="D5097" s="1">
        <v>40298</v>
      </c>
      <c r="E5097" s="2">
        <v>60000</v>
      </c>
      <c r="F5097" t="s">
        <v>4187</v>
      </c>
      <c r="G5097" s="17" t="str">
        <f>HYPERLINK("https://www.washoecounty.gov/assessor/cama/?command=sales&amp;parid=15210109","3877081")</f>
        <v>3877081</v>
      </c>
      <c r="H5097" t="s">
        <v>4023</v>
      </c>
      <c r="I5097">
        <v>2011</v>
      </c>
      <c r="J5097">
        <v>2011</v>
      </c>
      <c r="K5097" t="s">
        <v>4554</v>
      </c>
      <c r="L5097" t="s">
        <v>4555</v>
      </c>
      <c r="M5097" s="2">
        <v>1661</v>
      </c>
      <c r="N5097" t="s">
        <v>2012</v>
      </c>
      <c r="O5097">
        <v>3</v>
      </c>
      <c r="P5097">
        <v>2</v>
      </c>
      <c r="Q5097">
        <v>1</v>
      </c>
      <c r="R5097" t="s">
        <v>5281</v>
      </c>
      <c r="S5097" t="s">
        <v>4898</v>
      </c>
      <c r="T5097" t="s">
        <v>4559</v>
      </c>
      <c r="U5097" t="s">
        <v>4560</v>
      </c>
      <c r="V5097" s="2">
        <v>676</v>
      </c>
      <c r="W5097" t="s">
        <v>3201</v>
      </c>
      <c r="X5097" s="2">
        <v>965</v>
      </c>
      <c r="Y5097">
        <v>12</v>
      </c>
      <c r="Z5097" t="s">
        <v>1376</v>
      </c>
      <c r="AA5097" s="3">
        <v>0.53700643777847201</v>
      </c>
      <c r="AB5097" t="s">
        <v>26071</v>
      </c>
      <c r="AC5097" t="s">
        <v>4562</v>
      </c>
      <c r="AD5097" t="s">
        <v>26072</v>
      </c>
      <c r="AE5097" t="s">
        <v>4655</v>
      </c>
      <c r="AF5097" t="s">
        <v>4563</v>
      </c>
      <c r="AG5097" t="s">
        <v>4564</v>
      </c>
      <c r="AH5097">
        <v>89509</v>
      </c>
      <c r="AI5097" t="s">
        <v>5390</v>
      </c>
      <c r="AJ5097" t="s">
        <v>4024</v>
      </c>
      <c r="AK5097" t="s">
        <v>4025</v>
      </c>
      <c r="AL5097" s="13" t="s">
        <v>1895</v>
      </c>
      <c r="AM5097">
        <v>1</v>
      </c>
      <c r="AN5097" s="15" t="s">
        <v>4308</v>
      </c>
    </row>
    <row r="5098" spans="1:40" x14ac:dyDescent="0.3">
      <c r="A5098" s="10" t="str">
        <f>HYPERLINK("http://www.washoecounty.gov/assessor/cama/?parid=152-110-13&amp;CardNumber=1","152-110-13")</f>
        <v>152-110-13</v>
      </c>
      <c r="B5098" t="s">
        <v>4655</v>
      </c>
      <c r="C5098" t="s">
        <v>26073</v>
      </c>
      <c r="D5098" s="1">
        <v>40193</v>
      </c>
      <c r="E5098" s="2">
        <v>365000</v>
      </c>
      <c r="F5098" t="s">
        <v>4553</v>
      </c>
      <c r="G5098" s="17" t="str">
        <f>HYPERLINK("https://www.washoecounty.gov/assessor/cama/?command=sales&amp;parid=15211013","3839457")</f>
        <v>3839457</v>
      </c>
      <c r="H5098" t="s">
        <v>4309</v>
      </c>
      <c r="I5098">
        <v>1999</v>
      </c>
      <c r="J5098">
        <v>1999</v>
      </c>
      <c r="K5098" t="s">
        <v>4554</v>
      </c>
      <c r="L5098" t="s">
        <v>4555</v>
      </c>
      <c r="M5098" s="2">
        <v>2153</v>
      </c>
      <c r="N5098" t="s">
        <v>3887</v>
      </c>
      <c r="O5098">
        <v>3</v>
      </c>
      <c r="P5098">
        <v>2</v>
      </c>
      <c r="Q5098">
        <v>0</v>
      </c>
      <c r="R5098" t="s">
        <v>5281</v>
      </c>
      <c r="S5098" t="s">
        <v>4898</v>
      </c>
      <c r="T5098" t="s">
        <v>2704</v>
      </c>
      <c r="U5098" t="s">
        <v>4560</v>
      </c>
      <c r="V5098" s="2">
        <v>778</v>
      </c>
      <c r="W5098" t="s">
        <v>4655</v>
      </c>
      <c r="X5098" s="2">
        <v>0</v>
      </c>
      <c r="Y5098">
        <v>20</v>
      </c>
      <c r="Z5098" t="s">
        <v>3884</v>
      </c>
      <c r="AA5098" s="3">
        <v>0.3379935622215271</v>
      </c>
      <c r="AB5098" t="s">
        <v>26074</v>
      </c>
      <c r="AC5098" t="s">
        <v>4575</v>
      </c>
      <c r="AD5098" t="s">
        <v>26075</v>
      </c>
      <c r="AE5098" t="s">
        <v>4655</v>
      </c>
      <c r="AF5098" t="s">
        <v>1189</v>
      </c>
      <c r="AG5098" t="s">
        <v>4564</v>
      </c>
      <c r="AH5098" t="s">
        <v>7837</v>
      </c>
      <c r="AI5098" t="s">
        <v>26076</v>
      </c>
      <c r="AJ5098" t="s">
        <v>1200</v>
      </c>
      <c r="AK5098" t="s">
        <v>26077</v>
      </c>
      <c r="AL5098" s="13" t="s">
        <v>1895</v>
      </c>
      <c r="AM5098" s="14">
        <v>1</v>
      </c>
      <c r="AN5098" s="15" t="s">
        <v>1169</v>
      </c>
    </row>
    <row r="5099" spans="1:40" x14ac:dyDescent="0.3">
      <c r="A5099" s="10" t="str">
        <f>HYPERLINK("http://www.washoecounty.gov/assessor/cama/?parid=152-110-23&amp;CardNumber=1","152-110-23")</f>
        <v>152-110-23</v>
      </c>
      <c r="B5099" t="s">
        <v>4655</v>
      </c>
      <c r="C5099" t="s">
        <v>26078</v>
      </c>
      <c r="D5099" s="1">
        <v>40512</v>
      </c>
      <c r="E5099" s="2">
        <v>326000</v>
      </c>
      <c r="F5099" t="s">
        <v>4553</v>
      </c>
      <c r="G5099" s="17" t="str">
        <f>HYPERLINK("https://www.washoecounty.gov/assessor/cama/?command=sales&amp;parid=15211023","3947762")</f>
        <v>3947762</v>
      </c>
      <c r="H5099" t="s">
        <v>4309</v>
      </c>
      <c r="I5099">
        <v>2001</v>
      </c>
      <c r="J5099">
        <v>2001</v>
      </c>
      <c r="K5099" t="s">
        <v>4554</v>
      </c>
      <c r="L5099" t="s">
        <v>4555</v>
      </c>
      <c r="M5099" s="2">
        <v>2220</v>
      </c>
      <c r="N5099" t="s">
        <v>3887</v>
      </c>
      <c r="O5099">
        <v>3</v>
      </c>
      <c r="P5099">
        <v>2</v>
      </c>
      <c r="Q5099">
        <v>0</v>
      </c>
      <c r="R5099" t="s">
        <v>4557</v>
      </c>
      <c r="S5099" t="s">
        <v>4898</v>
      </c>
      <c r="T5099" t="s">
        <v>2704</v>
      </c>
      <c r="U5099" t="s">
        <v>4560</v>
      </c>
      <c r="V5099" s="2">
        <v>692</v>
      </c>
      <c r="W5099" t="s">
        <v>4655</v>
      </c>
      <c r="X5099" s="2">
        <v>0</v>
      </c>
      <c r="Y5099">
        <v>20</v>
      </c>
      <c r="Z5099" t="s">
        <v>3884</v>
      </c>
      <c r="AA5099" s="3">
        <v>0.410009175539017</v>
      </c>
      <c r="AB5099" t="s">
        <v>26079</v>
      </c>
      <c r="AC5099" t="s">
        <v>4562</v>
      </c>
      <c r="AD5099" t="s">
        <v>4770</v>
      </c>
      <c r="AE5099" t="s">
        <v>4655</v>
      </c>
      <c r="AF5099" t="s">
        <v>4563</v>
      </c>
      <c r="AG5099" t="s">
        <v>4564</v>
      </c>
      <c r="AH5099">
        <v>89511</v>
      </c>
      <c r="AI5099" t="s">
        <v>4903</v>
      </c>
      <c r="AJ5099" t="s">
        <v>1200</v>
      </c>
      <c r="AK5099" t="s">
        <v>26080</v>
      </c>
      <c r="AL5099" s="13" t="s">
        <v>1895</v>
      </c>
      <c r="AM5099">
        <v>1</v>
      </c>
      <c r="AN5099" s="15" t="s">
        <v>1169</v>
      </c>
    </row>
    <row r="5100" spans="1:40" x14ac:dyDescent="0.3">
      <c r="A5100" s="10" t="str">
        <f>HYPERLINK("http://www.washoecounty.gov/assessor/cama/?parid=152-110-36&amp;CardNumber=1","152-110-36")</f>
        <v>152-110-36</v>
      </c>
      <c r="B5100" t="s">
        <v>4655</v>
      </c>
      <c r="C5100" t="s">
        <v>26081</v>
      </c>
      <c r="D5100" s="1">
        <v>40359</v>
      </c>
      <c r="E5100" s="2">
        <v>450000</v>
      </c>
      <c r="F5100" t="s">
        <v>4567</v>
      </c>
      <c r="G5100" s="17" t="str">
        <f>HYPERLINK("https://www.washoecounty.gov/assessor/cama/?command=sales&amp;parid=15211036","3897030")</f>
        <v>3897030</v>
      </c>
      <c r="H5100" t="s">
        <v>4309</v>
      </c>
      <c r="I5100">
        <v>1999</v>
      </c>
      <c r="J5100">
        <v>1999</v>
      </c>
      <c r="K5100" t="s">
        <v>4554</v>
      </c>
      <c r="L5100" t="s">
        <v>4555</v>
      </c>
      <c r="M5100" s="2">
        <v>2517</v>
      </c>
      <c r="N5100" t="s">
        <v>3887</v>
      </c>
      <c r="O5100">
        <v>3</v>
      </c>
      <c r="P5100">
        <v>2</v>
      </c>
      <c r="Q5100">
        <v>0</v>
      </c>
      <c r="R5100" t="s">
        <v>5281</v>
      </c>
      <c r="S5100" t="s">
        <v>4898</v>
      </c>
      <c r="T5100" t="s">
        <v>2704</v>
      </c>
      <c r="U5100" t="s">
        <v>4560</v>
      </c>
      <c r="V5100" s="2">
        <v>728</v>
      </c>
      <c r="W5100" t="s">
        <v>4655</v>
      </c>
      <c r="X5100" s="2">
        <v>0</v>
      </c>
      <c r="Y5100">
        <v>20</v>
      </c>
      <c r="Z5100" t="s">
        <v>3884</v>
      </c>
      <c r="AA5100" s="3">
        <v>0.451997250318527</v>
      </c>
      <c r="AB5100" t="s">
        <v>26082</v>
      </c>
      <c r="AC5100" t="s">
        <v>4575</v>
      </c>
      <c r="AD5100" t="s">
        <v>26081</v>
      </c>
      <c r="AE5100" t="s">
        <v>4655</v>
      </c>
      <c r="AF5100" t="s">
        <v>4563</v>
      </c>
      <c r="AG5100" t="s">
        <v>4564</v>
      </c>
      <c r="AH5100">
        <v>89511</v>
      </c>
      <c r="AI5100" t="s">
        <v>4655</v>
      </c>
      <c r="AJ5100" t="s">
        <v>1200</v>
      </c>
      <c r="AK5100" t="s">
        <v>26083</v>
      </c>
      <c r="AL5100" s="13" t="s">
        <v>1895</v>
      </c>
      <c r="AM5100" s="14">
        <v>1</v>
      </c>
      <c r="AN5100" s="15" t="s">
        <v>1169</v>
      </c>
    </row>
    <row r="5101" spans="1:40" x14ac:dyDescent="0.3">
      <c r="A5101" s="10" t="str">
        <f>HYPERLINK("http://www.washoecounty.gov/assessor/cama/?parid=152-110-38&amp;CardNumber=1","152-110-38")</f>
        <v>152-110-38</v>
      </c>
      <c r="B5101" t="s">
        <v>4655</v>
      </c>
      <c r="C5101" t="s">
        <v>26084</v>
      </c>
      <c r="D5101" s="1">
        <v>40340</v>
      </c>
      <c r="E5101" s="2">
        <v>430000</v>
      </c>
      <c r="F5101" t="s">
        <v>4567</v>
      </c>
      <c r="G5101" s="17" t="str">
        <f>HYPERLINK("https://www.washoecounty.gov/assessor/cama/?command=sales&amp;parid=15211038","3890868")</f>
        <v>3890868</v>
      </c>
      <c r="H5101" t="s">
        <v>4309</v>
      </c>
      <c r="I5101">
        <v>1999</v>
      </c>
      <c r="J5101">
        <v>1999</v>
      </c>
      <c r="K5101" t="s">
        <v>4554</v>
      </c>
      <c r="L5101" t="s">
        <v>4555</v>
      </c>
      <c r="M5101" s="2">
        <v>2512</v>
      </c>
      <c r="N5101" t="s">
        <v>3887</v>
      </c>
      <c r="O5101">
        <v>4</v>
      </c>
      <c r="P5101">
        <v>2</v>
      </c>
      <c r="Q5101">
        <v>0</v>
      </c>
      <c r="R5101" t="s">
        <v>5281</v>
      </c>
      <c r="S5101" t="s">
        <v>4898</v>
      </c>
      <c r="T5101" t="s">
        <v>2704</v>
      </c>
      <c r="U5101" t="s">
        <v>4560</v>
      </c>
      <c r="V5101" s="2">
        <v>589</v>
      </c>
      <c r="W5101" t="s">
        <v>4655</v>
      </c>
      <c r="X5101" s="2">
        <v>0</v>
      </c>
      <c r="Y5101">
        <v>20</v>
      </c>
      <c r="Z5101" t="s">
        <v>3884</v>
      </c>
      <c r="AA5101" s="3">
        <v>0.33000460267067</v>
      </c>
      <c r="AB5101" t="s">
        <v>26085</v>
      </c>
      <c r="AC5101" t="s">
        <v>4575</v>
      </c>
      <c r="AD5101" t="s">
        <v>26084</v>
      </c>
      <c r="AE5101" t="s">
        <v>4655</v>
      </c>
      <c r="AF5101" t="s">
        <v>4563</v>
      </c>
      <c r="AG5101" t="s">
        <v>4564</v>
      </c>
      <c r="AH5101">
        <v>89511</v>
      </c>
      <c r="AI5101" t="s">
        <v>26086</v>
      </c>
      <c r="AJ5101" t="s">
        <v>1200</v>
      </c>
      <c r="AK5101" t="s">
        <v>26087</v>
      </c>
      <c r="AL5101" s="13" t="s">
        <v>1895</v>
      </c>
      <c r="AM5101" s="14">
        <v>1</v>
      </c>
      <c r="AN5101" s="15" t="s">
        <v>1169</v>
      </c>
    </row>
    <row r="5102" spans="1:40" x14ac:dyDescent="0.3">
      <c r="A5102" s="10" t="str">
        <f>HYPERLINK("http://www.washoecounty.gov/assessor/cama/?parid=152-110-42&amp;CardNumber=1","152-110-42")</f>
        <v>152-110-42</v>
      </c>
      <c r="B5102" t="s">
        <v>4655</v>
      </c>
      <c r="C5102" t="s">
        <v>26088</v>
      </c>
      <c r="D5102" s="1">
        <v>40389</v>
      </c>
      <c r="E5102" s="2">
        <v>545000</v>
      </c>
      <c r="F5102" t="s">
        <v>4567</v>
      </c>
      <c r="G5102" s="17" t="str">
        <f>HYPERLINK("https://www.washoecounty.gov/assessor/cama/?command=sales&amp;parid=15211042","3907071")</f>
        <v>3907071</v>
      </c>
      <c r="H5102" t="s">
        <v>4309</v>
      </c>
      <c r="I5102">
        <v>1999</v>
      </c>
      <c r="J5102">
        <v>1999</v>
      </c>
      <c r="K5102" t="s">
        <v>4554</v>
      </c>
      <c r="L5102" t="s">
        <v>4555</v>
      </c>
      <c r="M5102" s="2">
        <v>2488</v>
      </c>
      <c r="N5102" t="s">
        <v>3887</v>
      </c>
      <c r="O5102">
        <v>3</v>
      </c>
      <c r="P5102">
        <v>2</v>
      </c>
      <c r="Q5102">
        <v>1</v>
      </c>
      <c r="R5102" t="s">
        <v>5281</v>
      </c>
      <c r="S5102" t="s">
        <v>4898</v>
      </c>
      <c r="T5102" t="s">
        <v>2704</v>
      </c>
      <c r="U5102" t="s">
        <v>4560</v>
      </c>
      <c r="V5102" s="2">
        <v>589</v>
      </c>
      <c r="W5102" t="s">
        <v>4655</v>
      </c>
      <c r="X5102" s="2">
        <v>0</v>
      </c>
      <c r="Y5102">
        <v>20</v>
      </c>
      <c r="Z5102" t="s">
        <v>3884</v>
      </c>
      <c r="AA5102" s="3">
        <v>0.43599632382392883</v>
      </c>
      <c r="AB5102" t="s">
        <v>26089</v>
      </c>
      <c r="AC5102" t="s">
        <v>4575</v>
      </c>
      <c r="AD5102" t="s">
        <v>26088</v>
      </c>
      <c r="AE5102" t="s">
        <v>4655</v>
      </c>
      <c r="AF5102" t="s">
        <v>4563</v>
      </c>
      <c r="AG5102" t="s">
        <v>4564</v>
      </c>
      <c r="AH5102">
        <v>89511</v>
      </c>
      <c r="AI5102" t="s">
        <v>25704</v>
      </c>
      <c r="AJ5102" t="s">
        <v>1200</v>
      </c>
      <c r="AK5102" t="s">
        <v>26090</v>
      </c>
      <c r="AL5102" s="13" t="s">
        <v>1895</v>
      </c>
      <c r="AM5102">
        <v>1</v>
      </c>
      <c r="AN5102" s="15" t="s">
        <v>1169</v>
      </c>
    </row>
    <row r="5103" spans="1:40" x14ac:dyDescent="0.3">
      <c r="A5103" s="10" t="str">
        <f>HYPERLINK("http://www.washoecounty.gov/assessor/cama/?parid=152-121-07&amp;CardNumber=1","152-121-07")</f>
        <v>152-121-07</v>
      </c>
      <c r="B5103" t="s">
        <v>4655</v>
      </c>
      <c r="C5103" t="s">
        <v>26091</v>
      </c>
      <c r="D5103" s="1">
        <v>40266</v>
      </c>
      <c r="E5103" s="2">
        <v>458000</v>
      </c>
      <c r="F5103" t="s">
        <v>4567</v>
      </c>
      <c r="G5103" s="17" t="str">
        <f>HYPERLINK("https://www.washoecounty.gov/assessor/cama/?command=sales&amp;parid=15212107","3865250")</f>
        <v>3865250</v>
      </c>
      <c r="H5103" t="s">
        <v>26092</v>
      </c>
      <c r="I5103">
        <v>2000</v>
      </c>
      <c r="J5103">
        <v>2000</v>
      </c>
      <c r="K5103" t="s">
        <v>4554</v>
      </c>
      <c r="L5103" t="s">
        <v>3974</v>
      </c>
      <c r="M5103" s="2">
        <v>3768</v>
      </c>
      <c r="N5103" t="s">
        <v>5106</v>
      </c>
      <c r="O5103">
        <v>4</v>
      </c>
      <c r="P5103">
        <v>3</v>
      </c>
      <c r="Q5103">
        <v>1</v>
      </c>
      <c r="R5103" t="s">
        <v>5281</v>
      </c>
      <c r="S5103" t="s">
        <v>4898</v>
      </c>
      <c r="T5103" t="s">
        <v>2704</v>
      </c>
      <c r="U5103" t="s">
        <v>4560</v>
      </c>
      <c r="V5103" s="2">
        <v>810</v>
      </c>
      <c r="W5103" t="s">
        <v>4655</v>
      </c>
      <c r="X5103" s="2">
        <v>0</v>
      </c>
      <c r="Y5103">
        <v>20</v>
      </c>
      <c r="Z5103" t="s">
        <v>3884</v>
      </c>
      <c r="AA5103" s="3">
        <v>0.40199723839759799</v>
      </c>
      <c r="AB5103" t="s">
        <v>26093</v>
      </c>
      <c r="AC5103" t="s">
        <v>4562</v>
      </c>
      <c r="AD5103" t="s">
        <v>26091</v>
      </c>
      <c r="AE5103" t="s">
        <v>4655</v>
      </c>
      <c r="AF5103" t="s">
        <v>4563</v>
      </c>
      <c r="AG5103" t="s">
        <v>4564</v>
      </c>
      <c r="AH5103">
        <v>89511</v>
      </c>
      <c r="AI5103" t="s">
        <v>26094</v>
      </c>
      <c r="AJ5103" t="s">
        <v>26095</v>
      </c>
      <c r="AK5103" t="s">
        <v>26096</v>
      </c>
      <c r="AL5103" s="13" t="s">
        <v>1895</v>
      </c>
      <c r="AM5103" s="14">
        <v>1</v>
      </c>
      <c r="AN5103" s="15" t="s">
        <v>379</v>
      </c>
    </row>
    <row r="5104" spans="1:40" x14ac:dyDescent="0.3">
      <c r="A5104" s="10" t="str">
        <f>HYPERLINK("http://www.washoecounty.gov/assessor/cama/?parid=152-121-10&amp;CardNumber=1","152-121-10")</f>
        <v>152-121-10</v>
      </c>
      <c r="B5104" t="s">
        <v>4655</v>
      </c>
      <c r="C5104" t="s">
        <v>26097</v>
      </c>
      <c r="D5104" s="1">
        <v>40241</v>
      </c>
      <c r="E5104" s="2">
        <v>455000</v>
      </c>
      <c r="F5104" t="s">
        <v>4553</v>
      </c>
      <c r="G5104" s="17" t="str">
        <f>HYPERLINK("https://www.washoecounty.gov/assessor/cama/?command=sales&amp;parid=15212110","3855761")</f>
        <v>3855761</v>
      </c>
      <c r="H5104" t="s">
        <v>26092</v>
      </c>
      <c r="I5104">
        <v>2000</v>
      </c>
      <c r="J5104">
        <v>2000</v>
      </c>
      <c r="K5104" t="s">
        <v>4554</v>
      </c>
      <c r="L5104" t="s">
        <v>4555</v>
      </c>
      <c r="M5104" s="2">
        <v>3475</v>
      </c>
      <c r="N5104" t="s">
        <v>5106</v>
      </c>
      <c r="O5104">
        <v>5</v>
      </c>
      <c r="P5104">
        <v>4</v>
      </c>
      <c r="Q5104">
        <v>0</v>
      </c>
      <c r="R5104" t="s">
        <v>5281</v>
      </c>
      <c r="S5104" t="s">
        <v>4898</v>
      </c>
      <c r="T5104" t="s">
        <v>2704</v>
      </c>
      <c r="U5104" t="s">
        <v>4560</v>
      </c>
      <c r="V5104" s="2">
        <v>853</v>
      </c>
      <c r="W5104" t="s">
        <v>4655</v>
      </c>
      <c r="X5104" s="2">
        <v>0</v>
      </c>
      <c r="Y5104">
        <v>20</v>
      </c>
      <c r="Z5104" t="s">
        <v>3884</v>
      </c>
      <c r="AA5104" s="3">
        <v>0.31499081850051902</v>
      </c>
      <c r="AB5104" t="s">
        <v>26098</v>
      </c>
      <c r="AC5104" t="s">
        <v>4575</v>
      </c>
      <c r="AD5104" t="s">
        <v>26099</v>
      </c>
      <c r="AE5104" t="s">
        <v>26097</v>
      </c>
      <c r="AF5104" t="s">
        <v>4563</v>
      </c>
      <c r="AG5104" t="s">
        <v>4564</v>
      </c>
      <c r="AH5104">
        <v>89511</v>
      </c>
      <c r="AI5104" t="s">
        <v>26100</v>
      </c>
      <c r="AJ5104" t="s">
        <v>26095</v>
      </c>
      <c r="AK5104" t="s">
        <v>26101</v>
      </c>
      <c r="AL5104" s="13" t="s">
        <v>1895</v>
      </c>
      <c r="AM5104" s="14">
        <v>1</v>
      </c>
      <c r="AN5104" s="15" t="s">
        <v>379</v>
      </c>
    </row>
    <row r="5105" spans="1:40" x14ac:dyDescent="0.3">
      <c r="A5105" s="10" t="str">
        <f>HYPERLINK("http://www.washoecounty.gov/assessor/cama/?parid=152-121-11&amp;CardNumber=1","152-121-11")</f>
        <v>152-121-11</v>
      </c>
      <c r="B5105" t="s">
        <v>4655</v>
      </c>
      <c r="C5105" t="s">
        <v>26102</v>
      </c>
      <c r="D5105" s="1">
        <v>40185</v>
      </c>
      <c r="E5105" s="2">
        <v>480000</v>
      </c>
      <c r="F5105" t="s">
        <v>4567</v>
      </c>
      <c r="G5105" s="17" t="str">
        <f>HYPERLINK("https://www.washoecounty.gov/assessor/cama/?command=sales&amp;parid=15212111","3837243")</f>
        <v>3837243</v>
      </c>
      <c r="H5105" t="s">
        <v>26092</v>
      </c>
      <c r="I5105">
        <v>2000</v>
      </c>
      <c r="J5105">
        <v>2000</v>
      </c>
      <c r="K5105" t="s">
        <v>4554</v>
      </c>
      <c r="L5105" t="s">
        <v>3974</v>
      </c>
      <c r="M5105" s="2">
        <v>4160</v>
      </c>
      <c r="N5105" t="s">
        <v>5106</v>
      </c>
      <c r="O5105">
        <v>5</v>
      </c>
      <c r="P5105">
        <v>4</v>
      </c>
      <c r="Q5105">
        <v>1</v>
      </c>
      <c r="R5105" t="s">
        <v>5281</v>
      </c>
      <c r="S5105" t="s">
        <v>4898</v>
      </c>
      <c r="T5105" t="s">
        <v>2704</v>
      </c>
      <c r="U5105" t="s">
        <v>5631</v>
      </c>
      <c r="V5105" s="2">
        <v>866</v>
      </c>
      <c r="W5105" t="s">
        <v>4655</v>
      </c>
      <c r="X5105" s="2">
        <v>0</v>
      </c>
      <c r="Y5105">
        <v>20</v>
      </c>
      <c r="Z5105" t="s">
        <v>3884</v>
      </c>
      <c r="AA5105" s="3">
        <v>0.38200184702873202</v>
      </c>
      <c r="AB5105" t="s">
        <v>26103</v>
      </c>
      <c r="AC5105" t="s">
        <v>4575</v>
      </c>
      <c r="AD5105" t="s">
        <v>26104</v>
      </c>
      <c r="AE5105" t="s">
        <v>26102</v>
      </c>
      <c r="AF5105" t="s">
        <v>4563</v>
      </c>
      <c r="AG5105" t="s">
        <v>4564</v>
      </c>
      <c r="AH5105">
        <v>89511</v>
      </c>
      <c r="AI5105" t="s">
        <v>26105</v>
      </c>
      <c r="AJ5105" t="s">
        <v>26095</v>
      </c>
      <c r="AK5105" t="s">
        <v>26106</v>
      </c>
      <c r="AL5105" s="13" t="s">
        <v>1895</v>
      </c>
      <c r="AM5105">
        <v>1</v>
      </c>
      <c r="AN5105" s="15" t="s">
        <v>379</v>
      </c>
    </row>
    <row r="5106" spans="1:40" x14ac:dyDescent="0.3">
      <c r="A5106" s="10" t="str">
        <f>HYPERLINK("http://www.washoecounty.gov/assessor/cama/?parid=152-121-15&amp;CardNumber=1","152-121-15")</f>
        <v>152-121-15</v>
      </c>
      <c r="B5106" t="s">
        <v>4655</v>
      </c>
      <c r="C5106" t="s">
        <v>26107</v>
      </c>
      <c r="D5106" s="1">
        <v>40449</v>
      </c>
      <c r="E5106" s="2">
        <v>549000</v>
      </c>
      <c r="F5106" t="s">
        <v>4567</v>
      </c>
      <c r="G5106" s="17" t="str">
        <f>HYPERLINK("https://www.washoecounty.gov/assessor/cama/?command=sales&amp;parid=15212115","3927138")</f>
        <v>3927138</v>
      </c>
      <c r="H5106" t="s">
        <v>26092</v>
      </c>
      <c r="I5106">
        <v>2000</v>
      </c>
      <c r="J5106">
        <v>2000</v>
      </c>
      <c r="K5106" t="s">
        <v>4554</v>
      </c>
      <c r="L5106" t="s">
        <v>4555</v>
      </c>
      <c r="M5106" s="2">
        <v>3748</v>
      </c>
      <c r="N5106" t="s">
        <v>5106</v>
      </c>
      <c r="O5106">
        <v>5</v>
      </c>
      <c r="P5106">
        <v>3</v>
      </c>
      <c r="Q5106">
        <v>1</v>
      </c>
      <c r="R5106" t="s">
        <v>5281</v>
      </c>
      <c r="S5106" t="s">
        <v>4898</v>
      </c>
      <c r="T5106" t="s">
        <v>2704</v>
      </c>
      <c r="U5106" t="s">
        <v>4560</v>
      </c>
      <c r="V5106" s="2">
        <v>558</v>
      </c>
      <c r="W5106" t="s">
        <v>4655</v>
      </c>
      <c r="X5106" s="2">
        <v>0</v>
      </c>
      <c r="Y5106">
        <v>20</v>
      </c>
      <c r="Z5106" t="s">
        <v>3884</v>
      </c>
      <c r="AA5106" s="3">
        <v>0.34400826692581199</v>
      </c>
      <c r="AB5106" t="s">
        <v>26108</v>
      </c>
      <c r="AC5106" t="s">
        <v>4562</v>
      </c>
      <c r="AD5106" t="s">
        <v>26107</v>
      </c>
      <c r="AE5106" t="s">
        <v>4655</v>
      </c>
      <c r="AF5106" t="s">
        <v>4563</v>
      </c>
      <c r="AG5106" t="s">
        <v>4564</v>
      </c>
      <c r="AH5106">
        <v>89511</v>
      </c>
      <c r="AI5106" t="s">
        <v>4655</v>
      </c>
      <c r="AJ5106" t="s">
        <v>26095</v>
      </c>
      <c r="AK5106" t="s">
        <v>26109</v>
      </c>
      <c r="AL5106" s="13" t="s">
        <v>1895</v>
      </c>
      <c r="AM5106">
        <v>1</v>
      </c>
      <c r="AN5106" s="15" t="s">
        <v>379</v>
      </c>
    </row>
    <row r="5107" spans="1:40" x14ac:dyDescent="0.3">
      <c r="A5107" s="10" t="str">
        <f>HYPERLINK("http://www.washoecounty.gov/assessor/cama/?parid=152-131-01&amp;CardNumber=1","152-131-01")</f>
        <v>152-131-01</v>
      </c>
      <c r="B5107" t="s">
        <v>4655</v>
      </c>
      <c r="C5107" t="s">
        <v>26110</v>
      </c>
      <c r="D5107" s="1">
        <v>40330</v>
      </c>
      <c r="E5107" s="2">
        <v>425000</v>
      </c>
      <c r="F5107" t="s">
        <v>4567</v>
      </c>
      <c r="G5107" s="17" t="str">
        <f>HYPERLINK("https://www.washoecounty.gov/assessor/cama/?command=sales&amp;parid=15213101","3886980")</f>
        <v>3886980</v>
      </c>
      <c r="H5107" t="s">
        <v>3246</v>
      </c>
      <c r="I5107">
        <v>2000</v>
      </c>
      <c r="J5107">
        <v>2000</v>
      </c>
      <c r="K5107" t="s">
        <v>4554</v>
      </c>
      <c r="L5107" t="s">
        <v>4555</v>
      </c>
      <c r="M5107" s="2">
        <v>3475</v>
      </c>
      <c r="N5107" t="s">
        <v>5106</v>
      </c>
      <c r="O5107">
        <v>5</v>
      </c>
      <c r="P5107">
        <v>4</v>
      </c>
      <c r="Q5107">
        <v>0</v>
      </c>
      <c r="R5107" t="s">
        <v>5281</v>
      </c>
      <c r="S5107" t="s">
        <v>4898</v>
      </c>
      <c r="T5107" t="s">
        <v>2704</v>
      </c>
      <c r="U5107" t="s">
        <v>4560</v>
      </c>
      <c r="V5107" s="2">
        <v>853</v>
      </c>
      <c r="W5107" t="s">
        <v>4655</v>
      </c>
      <c r="X5107" s="2">
        <v>0</v>
      </c>
      <c r="Y5107">
        <v>20</v>
      </c>
      <c r="Z5107" t="s">
        <v>1376</v>
      </c>
      <c r="AA5107" s="3">
        <v>0.43799358606338501</v>
      </c>
      <c r="AB5107" t="s">
        <v>26111</v>
      </c>
      <c r="AC5107" t="s">
        <v>4575</v>
      </c>
      <c r="AD5107" t="s">
        <v>26112</v>
      </c>
      <c r="AE5107" t="s">
        <v>26113</v>
      </c>
      <c r="AF5107" t="s">
        <v>4563</v>
      </c>
      <c r="AG5107" t="s">
        <v>4564</v>
      </c>
      <c r="AH5107" t="s">
        <v>2330</v>
      </c>
      <c r="AI5107" t="s">
        <v>26114</v>
      </c>
      <c r="AJ5107" t="s">
        <v>2690</v>
      </c>
      <c r="AK5107" t="s">
        <v>26115</v>
      </c>
      <c r="AL5107" s="13" t="s">
        <v>1895</v>
      </c>
      <c r="AM5107">
        <v>1</v>
      </c>
      <c r="AN5107" s="15" t="s">
        <v>379</v>
      </c>
    </row>
    <row r="5108" spans="1:40" x14ac:dyDescent="0.3">
      <c r="A5108" s="10" t="str">
        <f>HYPERLINK("http://www.washoecounty.gov/assessor/cama/?parid=152-131-08&amp;CardNumber=1","152-131-08")</f>
        <v>152-131-08</v>
      </c>
      <c r="B5108" t="s">
        <v>4655</v>
      </c>
      <c r="C5108" t="s">
        <v>26116</v>
      </c>
      <c r="D5108" s="1">
        <v>40422</v>
      </c>
      <c r="E5108" s="2">
        <v>457000</v>
      </c>
      <c r="F5108" t="s">
        <v>4553</v>
      </c>
      <c r="G5108" s="17" t="str">
        <f>HYPERLINK("https://www.washoecounty.gov/assessor/cama/?command=sales&amp;parid=15213108","3917780")</f>
        <v>3917780</v>
      </c>
      <c r="H5108" t="s">
        <v>3246</v>
      </c>
      <c r="I5108">
        <v>2000</v>
      </c>
      <c r="J5108">
        <v>2000</v>
      </c>
      <c r="K5108" t="s">
        <v>4554</v>
      </c>
      <c r="L5108" t="s">
        <v>4555</v>
      </c>
      <c r="M5108" s="2">
        <v>3014</v>
      </c>
      <c r="N5108" t="s">
        <v>5106</v>
      </c>
      <c r="O5108">
        <v>4</v>
      </c>
      <c r="P5108">
        <v>2</v>
      </c>
      <c r="Q5108">
        <v>1</v>
      </c>
      <c r="R5108" t="s">
        <v>5281</v>
      </c>
      <c r="S5108" t="s">
        <v>4898</v>
      </c>
      <c r="T5108" t="s">
        <v>2704</v>
      </c>
      <c r="U5108" t="s">
        <v>4560</v>
      </c>
      <c r="V5108" s="2">
        <v>876</v>
      </c>
      <c r="W5108" t="s">
        <v>4655</v>
      </c>
      <c r="X5108" s="2">
        <v>0</v>
      </c>
      <c r="Y5108">
        <v>20</v>
      </c>
      <c r="Z5108" t="s">
        <v>3884</v>
      </c>
      <c r="AA5108" s="3">
        <v>0.34400826692581199</v>
      </c>
      <c r="AB5108" t="s">
        <v>26117</v>
      </c>
      <c r="AC5108" t="s">
        <v>4562</v>
      </c>
      <c r="AD5108" t="s">
        <v>26116</v>
      </c>
      <c r="AE5108" t="s">
        <v>4655</v>
      </c>
      <c r="AF5108" t="s">
        <v>4563</v>
      </c>
      <c r="AG5108" t="s">
        <v>4564</v>
      </c>
      <c r="AH5108">
        <v>89511</v>
      </c>
      <c r="AI5108" t="s">
        <v>378</v>
      </c>
      <c r="AJ5108" t="s">
        <v>2690</v>
      </c>
      <c r="AK5108" t="s">
        <v>26118</v>
      </c>
      <c r="AL5108" s="13" t="s">
        <v>1895</v>
      </c>
      <c r="AM5108">
        <v>1</v>
      </c>
      <c r="AN5108" s="15" t="s">
        <v>379</v>
      </c>
    </row>
    <row r="5109" spans="1:40" x14ac:dyDescent="0.3">
      <c r="A5109" s="10" t="str">
        <f>HYPERLINK("http://www.washoecounty.gov/assessor/cama/?parid=152-132-24&amp;CardNumber=1","152-132-24")</f>
        <v>152-132-24</v>
      </c>
      <c r="B5109" t="s">
        <v>4655</v>
      </c>
      <c r="C5109" t="s">
        <v>26119</v>
      </c>
      <c r="D5109" s="1">
        <v>40337</v>
      </c>
      <c r="E5109" s="2">
        <v>403500</v>
      </c>
      <c r="F5109" t="s">
        <v>4567</v>
      </c>
      <c r="G5109" s="17" t="str">
        <f>HYPERLINK("https://www.washoecounty.gov/assessor/cama/?command=sales&amp;parid=15213224","3889127")</f>
        <v>3889127</v>
      </c>
      <c r="H5109" t="s">
        <v>3246</v>
      </c>
      <c r="I5109">
        <v>2001</v>
      </c>
      <c r="J5109">
        <v>2001</v>
      </c>
      <c r="K5109" t="s">
        <v>4554</v>
      </c>
      <c r="L5109" t="s">
        <v>4555</v>
      </c>
      <c r="M5109" s="2">
        <v>3014</v>
      </c>
      <c r="N5109" t="s">
        <v>5106</v>
      </c>
      <c r="O5109">
        <v>4</v>
      </c>
      <c r="P5109">
        <v>2</v>
      </c>
      <c r="Q5109">
        <v>1</v>
      </c>
      <c r="R5109" t="s">
        <v>5281</v>
      </c>
      <c r="S5109" t="s">
        <v>4898</v>
      </c>
      <c r="T5109" t="s">
        <v>2704</v>
      </c>
      <c r="U5109" t="s">
        <v>4560</v>
      </c>
      <c r="V5109" s="2">
        <v>906</v>
      </c>
      <c r="W5109" t="s">
        <v>4655</v>
      </c>
      <c r="X5109" s="2">
        <v>0</v>
      </c>
      <c r="Y5109">
        <v>20</v>
      </c>
      <c r="Z5109" t="s">
        <v>1376</v>
      </c>
      <c r="AA5109" s="3">
        <v>0.54898989200591997</v>
      </c>
      <c r="AB5109" t="s">
        <v>26120</v>
      </c>
      <c r="AC5109" t="s">
        <v>4562</v>
      </c>
      <c r="AD5109" t="s">
        <v>26121</v>
      </c>
      <c r="AE5109" t="s">
        <v>4655</v>
      </c>
      <c r="AF5109" t="s">
        <v>3293</v>
      </c>
      <c r="AG5109" t="s">
        <v>4584</v>
      </c>
      <c r="AH5109" t="s">
        <v>3294</v>
      </c>
      <c r="AI5109" t="s">
        <v>26122</v>
      </c>
      <c r="AJ5109" t="s">
        <v>2690</v>
      </c>
      <c r="AK5109" t="s">
        <v>26123</v>
      </c>
      <c r="AL5109" s="13" t="s">
        <v>1895</v>
      </c>
      <c r="AM5109" s="14">
        <v>1</v>
      </c>
      <c r="AN5109" s="15" t="s">
        <v>379</v>
      </c>
    </row>
    <row r="5110" spans="1:40" x14ac:dyDescent="0.3">
      <c r="A5110" s="10" t="str">
        <f>HYPERLINK("http://www.washoecounty.gov/assessor/cama/?parid=152-141-08&amp;CardNumber=1","152-141-08")</f>
        <v>152-141-08</v>
      </c>
      <c r="B5110" t="s">
        <v>4655</v>
      </c>
      <c r="C5110" t="s">
        <v>26124</v>
      </c>
      <c r="D5110" s="1">
        <v>40494</v>
      </c>
      <c r="E5110" s="2">
        <v>490000</v>
      </c>
      <c r="F5110" t="s">
        <v>4567</v>
      </c>
      <c r="G5110" s="17" t="str">
        <f>HYPERLINK("https://www.washoecounty.gov/assessor/cama/?command=sales&amp;parid=15214108","3942491")</f>
        <v>3942491</v>
      </c>
      <c r="H5110" t="s">
        <v>1853</v>
      </c>
      <c r="I5110">
        <v>2000</v>
      </c>
      <c r="J5110">
        <v>2001</v>
      </c>
      <c r="K5110" t="s">
        <v>4554</v>
      </c>
      <c r="L5110" t="s">
        <v>3974</v>
      </c>
      <c r="M5110" s="2">
        <v>3246</v>
      </c>
      <c r="N5110" t="s">
        <v>5106</v>
      </c>
      <c r="O5110">
        <v>5</v>
      </c>
      <c r="P5110">
        <v>3</v>
      </c>
      <c r="Q5110">
        <v>1</v>
      </c>
      <c r="R5110" t="s">
        <v>5281</v>
      </c>
      <c r="S5110" t="s">
        <v>4898</v>
      </c>
      <c r="T5110" t="s">
        <v>2704</v>
      </c>
      <c r="U5110" t="s">
        <v>162</v>
      </c>
      <c r="V5110" s="2">
        <v>776</v>
      </c>
      <c r="W5110" t="s">
        <v>4655</v>
      </c>
      <c r="X5110" s="2">
        <v>0</v>
      </c>
      <c r="Y5110">
        <v>20</v>
      </c>
      <c r="Z5110" t="s">
        <v>1376</v>
      </c>
      <c r="AA5110" s="3">
        <v>0.48298898339271545</v>
      </c>
      <c r="AB5110" t="s">
        <v>26125</v>
      </c>
      <c r="AC5110" t="s">
        <v>4562</v>
      </c>
      <c r="AD5110" t="s">
        <v>26124</v>
      </c>
      <c r="AE5110" t="s">
        <v>4655</v>
      </c>
      <c r="AF5110" t="s">
        <v>4563</v>
      </c>
      <c r="AG5110" t="s">
        <v>4564</v>
      </c>
      <c r="AH5110">
        <v>89511</v>
      </c>
      <c r="AI5110" t="s">
        <v>26126</v>
      </c>
      <c r="AJ5110" t="s">
        <v>1854</v>
      </c>
      <c r="AK5110" t="s">
        <v>26127</v>
      </c>
      <c r="AL5110" s="13" t="s">
        <v>1895</v>
      </c>
      <c r="AM5110">
        <v>1</v>
      </c>
      <c r="AN5110" s="15" t="s">
        <v>4308</v>
      </c>
    </row>
    <row r="5111" spans="1:40" x14ac:dyDescent="0.3">
      <c r="A5111" s="10" t="str">
        <f>HYPERLINK("http://www.washoecounty.gov/assessor/cama/?parid=152-141-09&amp;CardNumber=1","152-141-09")</f>
        <v>152-141-09</v>
      </c>
      <c r="B5111" t="s">
        <v>4655</v>
      </c>
      <c r="C5111" t="s">
        <v>26128</v>
      </c>
      <c r="D5111" s="1">
        <v>40332</v>
      </c>
      <c r="E5111" s="2">
        <v>499900</v>
      </c>
      <c r="F5111" t="s">
        <v>4553</v>
      </c>
      <c r="G5111" s="17" t="str">
        <f>HYPERLINK("https://www.washoecounty.gov/assessor/cama/?command=sales&amp;parid=15214109","3888232")</f>
        <v>3888232</v>
      </c>
      <c r="H5111" t="s">
        <v>1853</v>
      </c>
      <c r="I5111">
        <v>2001</v>
      </c>
      <c r="J5111">
        <v>2001</v>
      </c>
      <c r="K5111" t="s">
        <v>4554</v>
      </c>
      <c r="L5111" t="s">
        <v>4555</v>
      </c>
      <c r="M5111" s="2">
        <v>2038</v>
      </c>
      <c r="N5111" t="s">
        <v>2012</v>
      </c>
      <c r="O5111">
        <v>4</v>
      </c>
      <c r="P5111">
        <v>3</v>
      </c>
      <c r="Q5111">
        <v>1</v>
      </c>
      <c r="R5111" t="s">
        <v>5281</v>
      </c>
      <c r="S5111" t="s">
        <v>4898</v>
      </c>
      <c r="T5111" t="s">
        <v>4559</v>
      </c>
      <c r="U5111" t="s">
        <v>4560</v>
      </c>
      <c r="V5111" s="2">
        <v>1036</v>
      </c>
      <c r="W5111" t="s">
        <v>3201</v>
      </c>
      <c r="X5111" s="2">
        <v>1414</v>
      </c>
      <c r="Y5111">
        <v>20</v>
      </c>
      <c r="Z5111" t="s">
        <v>1376</v>
      </c>
      <c r="AA5111" s="3">
        <v>0.50399446487426702</v>
      </c>
      <c r="AB5111" t="s">
        <v>26129</v>
      </c>
      <c r="AC5111" t="s">
        <v>4562</v>
      </c>
      <c r="AD5111" t="s">
        <v>26128</v>
      </c>
      <c r="AE5111" t="s">
        <v>4655</v>
      </c>
      <c r="AF5111" t="s">
        <v>4563</v>
      </c>
      <c r="AG5111" t="s">
        <v>4564</v>
      </c>
      <c r="AH5111">
        <v>89511</v>
      </c>
      <c r="AI5111" t="s">
        <v>4534</v>
      </c>
      <c r="AJ5111" t="s">
        <v>1854</v>
      </c>
      <c r="AK5111" t="s">
        <v>26130</v>
      </c>
      <c r="AL5111" s="13" t="s">
        <v>1895</v>
      </c>
      <c r="AM5111">
        <v>1</v>
      </c>
      <c r="AN5111" s="15" t="s">
        <v>4308</v>
      </c>
    </row>
    <row r="5112" spans="1:40" x14ac:dyDescent="0.3">
      <c r="A5112" s="10" t="str">
        <f>HYPERLINK("http://www.washoecounty.gov/assessor/cama/?parid=152-142-05&amp;CardNumber=1","152-142-05")</f>
        <v>152-142-05</v>
      </c>
      <c r="B5112" t="s">
        <v>4655</v>
      </c>
      <c r="C5112" t="s">
        <v>26131</v>
      </c>
      <c r="D5112" s="1">
        <v>40400</v>
      </c>
      <c r="E5112" s="2">
        <v>700000</v>
      </c>
      <c r="F5112" t="s">
        <v>4567</v>
      </c>
      <c r="G5112" s="17" t="str">
        <f>HYPERLINK("https://www.washoecounty.gov/assessor/cama/?command=sales&amp;parid=15214205","3910530")</f>
        <v>3910530</v>
      </c>
      <c r="H5112" t="s">
        <v>1853</v>
      </c>
      <c r="I5112">
        <v>2004</v>
      </c>
      <c r="J5112">
        <v>2004</v>
      </c>
      <c r="K5112" t="s">
        <v>4554</v>
      </c>
      <c r="L5112" t="s">
        <v>3974</v>
      </c>
      <c r="M5112" s="2">
        <v>5089</v>
      </c>
      <c r="N5112" t="s">
        <v>2008</v>
      </c>
      <c r="O5112">
        <v>5</v>
      </c>
      <c r="P5112">
        <v>6</v>
      </c>
      <c r="Q5112">
        <v>0</v>
      </c>
      <c r="R5112" t="s">
        <v>5281</v>
      </c>
      <c r="S5112" t="s">
        <v>4898</v>
      </c>
      <c r="T5112" t="s">
        <v>2704</v>
      </c>
      <c r="U5112" t="s">
        <v>4560</v>
      </c>
      <c r="V5112" s="2">
        <v>1166</v>
      </c>
      <c r="W5112" t="s">
        <v>4655</v>
      </c>
      <c r="X5112" s="2">
        <v>0</v>
      </c>
      <c r="Y5112">
        <v>20</v>
      </c>
      <c r="Z5112" t="s">
        <v>1376</v>
      </c>
      <c r="AA5112" s="3">
        <v>0.560996353626251</v>
      </c>
      <c r="AB5112" t="s">
        <v>26132</v>
      </c>
      <c r="AC5112" t="s">
        <v>4562</v>
      </c>
      <c r="AD5112" t="s">
        <v>26133</v>
      </c>
      <c r="AE5112" t="s">
        <v>4655</v>
      </c>
      <c r="AF5112" t="s">
        <v>4563</v>
      </c>
      <c r="AG5112" t="s">
        <v>4564</v>
      </c>
      <c r="AH5112">
        <v>89511</v>
      </c>
      <c r="AI5112" t="s">
        <v>26134</v>
      </c>
      <c r="AJ5112" t="s">
        <v>1854</v>
      </c>
      <c r="AK5112" t="s">
        <v>26135</v>
      </c>
      <c r="AL5112" s="13" t="s">
        <v>1895</v>
      </c>
      <c r="AM5112">
        <v>1</v>
      </c>
      <c r="AN5112" s="15" t="s">
        <v>4308</v>
      </c>
    </row>
    <row r="5113" spans="1:40" x14ac:dyDescent="0.3">
      <c r="A5113" s="10" t="str">
        <f>HYPERLINK("http://www.washoecounty.gov/assessor/cama/?parid=152-142-05&amp;CardNumber=1","152-142-05")</f>
        <v>152-142-05</v>
      </c>
      <c r="B5113" t="s">
        <v>4655</v>
      </c>
      <c r="C5113" t="s">
        <v>26131</v>
      </c>
      <c r="D5113" s="1">
        <v>40466</v>
      </c>
      <c r="E5113" s="2">
        <v>699500</v>
      </c>
      <c r="F5113" t="s">
        <v>4567</v>
      </c>
      <c r="G5113" s="17" t="str">
        <f>HYPERLINK("https://www.washoecounty.gov/assessor/cama/?command=sales&amp;parid=15214205","3933672")</f>
        <v>3933672</v>
      </c>
      <c r="H5113" t="s">
        <v>1853</v>
      </c>
      <c r="I5113">
        <v>2004</v>
      </c>
      <c r="J5113">
        <v>2004</v>
      </c>
      <c r="K5113" t="s">
        <v>4554</v>
      </c>
      <c r="L5113" t="s">
        <v>3974</v>
      </c>
      <c r="M5113" s="2">
        <v>5089</v>
      </c>
      <c r="N5113" t="s">
        <v>2008</v>
      </c>
      <c r="O5113">
        <v>5</v>
      </c>
      <c r="P5113">
        <v>6</v>
      </c>
      <c r="Q5113">
        <v>0</v>
      </c>
      <c r="R5113" t="s">
        <v>5281</v>
      </c>
      <c r="S5113" t="s">
        <v>4898</v>
      </c>
      <c r="T5113" t="s">
        <v>2704</v>
      </c>
      <c r="U5113" t="s">
        <v>4560</v>
      </c>
      <c r="V5113" s="2">
        <v>1166</v>
      </c>
      <c r="W5113" t="s">
        <v>4655</v>
      </c>
      <c r="X5113" s="2">
        <v>0</v>
      </c>
      <c r="Y5113">
        <v>20</v>
      </c>
      <c r="Z5113" t="s">
        <v>1376</v>
      </c>
      <c r="AA5113" s="3">
        <v>0.560996353626251</v>
      </c>
      <c r="AB5113" t="s">
        <v>26132</v>
      </c>
      <c r="AC5113" t="s">
        <v>4562</v>
      </c>
      <c r="AD5113" t="s">
        <v>26133</v>
      </c>
      <c r="AE5113" t="s">
        <v>4655</v>
      </c>
      <c r="AF5113" t="s">
        <v>4563</v>
      </c>
      <c r="AG5113" t="s">
        <v>4564</v>
      </c>
      <c r="AH5113">
        <v>89511</v>
      </c>
      <c r="AI5113" t="s">
        <v>26134</v>
      </c>
      <c r="AJ5113" t="s">
        <v>1854</v>
      </c>
      <c r="AK5113" t="s">
        <v>26135</v>
      </c>
      <c r="AL5113" s="13" t="s">
        <v>1895</v>
      </c>
      <c r="AM5113">
        <v>1</v>
      </c>
      <c r="AN5113" s="15" t="s">
        <v>4308</v>
      </c>
    </row>
    <row r="5114" spans="1:40" x14ac:dyDescent="0.3">
      <c r="A5114" s="10" t="str">
        <f>HYPERLINK("http://www.washoecounty.gov/assessor/cama/?parid=152-142-09&amp;CardNumber=1","152-142-09")</f>
        <v>152-142-09</v>
      </c>
      <c r="B5114" t="s">
        <v>4655</v>
      </c>
      <c r="C5114" t="s">
        <v>26136</v>
      </c>
      <c r="D5114" s="1">
        <v>40323</v>
      </c>
      <c r="E5114" s="2">
        <v>467000</v>
      </c>
      <c r="F5114" t="s">
        <v>4553</v>
      </c>
      <c r="G5114" s="17" t="str">
        <f>HYPERLINK("https://www.washoecounty.gov/assessor/cama/?command=sales&amp;parid=15214209","3884612")</f>
        <v>3884612</v>
      </c>
      <c r="H5114" t="s">
        <v>1853</v>
      </c>
      <c r="I5114">
        <v>2001</v>
      </c>
      <c r="J5114">
        <v>2001</v>
      </c>
      <c r="K5114" t="s">
        <v>4554</v>
      </c>
      <c r="L5114" t="s">
        <v>4555</v>
      </c>
      <c r="M5114" s="2">
        <v>2152</v>
      </c>
      <c r="N5114" t="s">
        <v>8283</v>
      </c>
      <c r="O5114">
        <v>3</v>
      </c>
      <c r="P5114">
        <v>2</v>
      </c>
      <c r="Q5114">
        <v>1</v>
      </c>
      <c r="R5114" t="s">
        <v>5281</v>
      </c>
      <c r="S5114" t="s">
        <v>4898</v>
      </c>
      <c r="T5114" t="s">
        <v>2704</v>
      </c>
      <c r="U5114" t="s">
        <v>4560</v>
      </c>
      <c r="V5114" s="2">
        <v>1236</v>
      </c>
      <c r="W5114" t="s">
        <v>3201</v>
      </c>
      <c r="X5114" s="2">
        <v>1095</v>
      </c>
      <c r="Y5114">
        <v>20</v>
      </c>
      <c r="Z5114" t="s">
        <v>1376</v>
      </c>
      <c r="AA5114" s="3">
        <v>0.51200640201568604</v>
      </c>
      <c r="AB5114" t="s">
        <v>26137</v>
      </c>
      <c r="AC5114" t="s">
        <v>4562</v>
      </c>
      <c r="AD5114" t="s">
        <v>26138</v>
      </c>
      <c r="AE5114" t="s">
        <v>4655</v>
      </c>
      <c r="AF5114" t="s">
        <v>4563</v>
      </c>
      <c r="AG5114" t="s">
        <v>4564</v>
      </c>
      <c r="AH5114">
        <v>89511</v>
      </c>
      <c r="AI5114" t="s">
        <v>4655</v>
      </c>
      <c r="AJ5114" t="s">
        <v>1854</v>
      </c>
      <c r="AK5114" t="s">
        <v>26139</v>
      </c>
      <c r="AL5114" s="13" t="s">
        <v>1895</v>
      </c>
      <c r="AM5114">
        <v>1</v>
      </c>
      <c r="AN5114" s="15" t="s">
        <v>4308</v>
      </c>
    </row>
    <row r="5115" spans="1:40" x14ac:dyDescent="0.3">
      <c r="A5115" s="10" t="str">
        <f>HYPERLINK("http://www.washoecounty.gov/assessor/cama/?parid=152-151-01&amp;CardNumber=1","152-151-01")</f>
        <v>152-151-01</v>
      </c>
      <c r="B5115" t="s">
        <v>4655</v>
      </c>
      <c r="C5115" t="s">
        <v>26140</v>
      </c>
      <c r="D5115" s="1">
        <v>40226</v>
      </c>
      <c r="E5115" s="2">
        <v>550000</v>
      </c>
      <c r="F5115" t="s">
        <v>4553</v>
      </c>
      <c r="G5115" s="17" t="str">
        <f>HYPERLINK("https://www.washoecounty.gov/assessor/cama/?command=sales&amp;parid=15215101","3850211")</f>
        <v>3850211</v>
      </c>
      <c r="H5115" t="s">
        <v>26141</v>
      </c>
      <c r="I5115">
        <v>2000</v>
      </c>
      <c r="J5115">
        <v>2000</v>
      </c>
      <c r="K5115" t="s">
        <v>4554</v>
      </c>
      <c r="L5115" t="s">
        <v>4555</v>
      </c>
      <c r="M5115" s="2">
        <v>3484</v>
      </c>
      <c r="N5115" t="s">
        <v>2012</v>
      </c>
      <c r="O5115">
        <v>3</v>
      </c>
      <c r="P5115">
        <v>3</v>
      </c>
      <c r="Q5115">
        <v>1</v>
      </c>
      <c r="R5115" t="s">
        <v>5281</v>
      </c>
      <c r="S5115" t="s">
        <v>4898</v>
      </c>
      <c r="T5115" t="s">
        <v>2704</v>
      </c>
      <c r="U5115" t="s">
        <v>4560</v>
      </c>
      <c r="V5115" s="2">
        <v>900</v>
      </c>
      <c r="W5115" t="s">
        <v>4655</v>
      </c>
      <c r="X5115" s="2">
        <v>0</v>
      </c>
      <c r="Y5115">
        <v>20</v>
      </c>
      <c r="Z5115" t="s">
        <v>1376</v>
      </c>
      <c r="AA5115" s="3">
        <v>1.2280073165893499</v>
      </c>
      <c r="AB5115" t="s">
        <v>26142</v>
      </c>
      <c r="AC5115" t="s">
        <v>4575</v>
      </c>
      <c r="AD5115" t="s">
        <v>26143</v>
      </c>
      <c r="AE5115" t="s">
        <v>26144</v>
      </c>
      <c r="AF5115" t="s">
        <v>4563</v>
      </c>
      <c r="AG5115" t="s">
        <v>4564</v>
      </c>
      <c r="AH5115">
        <v>89511</v>
      </c>
      <c r="AI5115" t="s">
        <v>26145</v>
      </c>
      <c r="AJ5115" t="s">
        <v>26146</v>
      </c>
      <c r="AK5115" t="s">
        <v>26147</v>
      </c>
      <c r="AL5115" s="13" t="s">
        <v>1895</v>
      </c>
      <c r="AM5115">
        <v>1</v>
      </c>
      <c r="AN5115" s="15" t="s">
        <v>4308</v>
      </c>
    </row>
    <row r="5116" spans="1:40" x14ac:dyDescent="0.3">
      <c r="A5116" s="10" t="str">
        <f>HYPERLINK("http://www.washoecounty.gov/assessor/cama/?parid=152-151-03&amp;CardNumber=1","152-151-03")</f>
        <v>152-151-03</v>
      </c>
      <c r="B5116" t="s">
        <v>4655</v>
      </c>
      <c r="C5116" t="s">
        <v>26148</v>
      </c>
      <c r="D5116" s="1">
        <v>40406</v>
      </c>
      <c r="E5116" s="2">
        <v>1400000</v>
      </c>
      <c r="F5116" t="s">
        <v>3528</v>
      </c>
      <c r="G5116" s="17" t="str">
        <f>HYPERLINK("https://www.washoecounty.gov/assessor/cama/?command=sales&amp;parid=15215103","3912361")</f>
        <v>3912361</v>
      </c>
      <c r="H5116" t="s">
        <v>26141</v>
      </c>
      <c r="I5116">
        <v>2002</v>
      </c>
      <c r="J5116">
        <v>2002</v>
      </c>
      <c r="K5116" t="s">
        <v>4554</v>
      </c>
      <c r="L5116" t="s">
        <v>4555</v>
      </c>
      <c r="M5116" s="2">
        <v>4291</v>
      </c>
      <c r="N5116" t="s">
        <v>2967</v>
      </c>
      <c r="O5116">
        <v>4</v>
      </c>
      <c r="P5116">
        <v>5</v>
      </c>
      <c r="Q5116">
        <v>0</v>
      </c>
      <c r="R5116" t="s">
        <v>2632</v>
      </c>
      <c r="S5116" t="s">
        <v>4898</v>
      </c>
      <c r="T5116" t="s">
        <v>2704</v>
      </c>
      <c r="U5116" t="s">
        <v>4560</v>
      </c>
      <c r="V5116" s="2">
        <v>728</v>
      </c>
      <c r="W5116" t="s">
        <v>4571</v>
      </c>
      <c r="X5116" s="2">
        <v>2960</v>
      </c>
      <c r="Y5116">
        <v>20</v>
      </c>
      <c r="Z5116" t="s">
        <v>1376</v>
      </c>
      <c r="AA5116" s="3">
        <v>1.5059916973114</v>
      </c>
      <c r="AB5116" t="s">
        <v>26149</v>
      </c>
      <c r="AC5116" t="s">
        <v>4575</v>
      </c>
      <c r="AD5116" t="s">
        <v>26148</v>
      </c>
      <c r="AE5116" t="s">
        <v>4655</v>
      </c>
      <c r="AF5116" t="s">
        <v>4563</v>
      </c>
      <c r="AG5116" t="s">
        <v>4564</v>
      </c>
      <c r="AH5116">
        <v>89511</v>
      </c>
      <c r="AI5116" t="s">
        <v>26150</v>
      </c>
      <c r="AJ5116" t="s">
        <v>26146</v>
      </c>
      <c r="AK5116" t="s">
        <v>26151</v>
      </c>
      <c r="AL5116" s="13" t="s">
        <v>1895</v>
      </c>
      <c r="AM5116">
        <v>1</v>
      </c>
      <c r="AN5116" s="15" t="s">
        <v>4308</v>
      </c>
    </row>
    <row r="5117" spans="1:40" x14ac:dyDescent="0.3">
      <c r="A5117" s="10" t="str">
        <f>HYPERLINK("http://www.washoecounty.gov/assessor/cama/?parid=152-160-11&amp;CardNumber=1","152-160-11")</f>
        <v>152-160-11</v>
      </c>
      <c r="B5117" t="s">
        <v>4655</v>
      </c>
      <c r="C5117" t="s">
        <v>26152</v>
      </c>
      <c r="D5117" s="1">
        <v>40340</v>
      </c>
      <c r="E5117" s="2">
        <v>770000</v>
      </c>
      <c r="F5117" t="s">
        <v>4567</v>
      </c>
      <c r="G5117" s="17" t="str">
        <f>HYPERLINK("https://www.washoecounty.gov/assessor/cama/?command=sales&amp;parid=15216011","3890949")</f>
        <v>3890949</v>
      </c>
      <c r="H5117" t="s">
        <v>26153</v>
      </c>
      <c r="I5117">
        <v>2001</v>
      </c>
      <c r="J5117">
        <v>2001</v>
      </c>
      <c r="K5117" t="s">
        <v>4554</v>
      </c>
      <c r="L5117" t="s">
        <v>3974</v>
      </c>
      <c r="M5117" s="2">
        <v>3937</v>
      </c>
      <c r="N5117" t="s">
        <v>2008</v>
      </c>
      <c r="O5117">
        <v>3</v>
      </c>
      <c r="P5117">
        <v>2</v>
      </c>
      <c r="Q5117">
        <v>1</v>
      </c>
      <c r="R5117" t="s">
        <v>5281</v>
      </c>
      <c r="S5117" t="s">
        <v>4898</v>
      </c>
      <c r="T5117" t="s">
        <v>2704</v>
      </c>
      <c r="U5117" t="s">
        <v>4560</v>
      </c>
      <c r="V5117" s="2">
        <v>1144</v>
      </c>
      <c r="W5117" t="s">
        <v>4655</v>
      </c>
      <c r="X5117" s="2">
        <v>0</v>
      </c>
      <c r="Y5117">
        <v>20</v>
      </c>
      <c r="Z5117" t="s">
        <v>1376</v>
      </c>
      <c r="AA5117" s="3">
        <v>0.71400368213653498</v>
      </c>
      <c r="AB5117" t="s">
        <v>26154</v>
      </c>
      <c r="AC5117" t="s">
        <v>4575</v>
      </c>
      <c r="AD5117" t="s">
        <v>26152</v>
      </c>
      <c r="AE5117" t="s">
        <v>4655</v>
      </c>
      <c r="AF5117" t="s">
        <v>4563</v>
      </c>
      <c r="AG5117" t="s">
        <v>4564</v>
      </c>
      <c r="AH5117">
        <v>89511</v>
      </c>
      <c r="AI5117" t="s">
        <v>26155</v>
      </c>
      <c r="AJ5117" t="s">
        <v>26156</v>
      </c>
      <c r="AK5117" t="s">
        <v>26157</v>
      </c>
      <c r="AL5117" s="13" t="s">
        <v>1895</v>
      </c>
      <c r="AM5117">
        <v>1</v>
      </c>
      <c r="AN5117" s="15" t="s">
        <v>4308</v>
      </c>
    </row>
    <row r="5118" spans="1:40" x14ac:dyDescent="0.3">
      <c r="A5118" s="10" t="str">
        <f>HYPERLINK("http://www.washoecounty.gov/assessor/cama/?parid=152-181-01&amp;CardNumber=1","152-181-01")</f>
        <v>152-181-01</v>
      </c>
      <c r="B5118" t="s">
        <v>4655</v>
      </c>
      <c r="C5118" t="s">
        <v>26158</v>
      </c>
      <c r="D5118" s="1">
        <v>40296</v>
      </c>
      <c r="E5118" s="2">
        <v>625000</v>
      </c>
      <c r="F5118" t="s">
        <v>4567</v>
      </c>
      <c r="G5118" s="17" t="str">
        <f>HYPERLINK("https://www.washoecounty.gov/assessor/cama/?command=sales&amp;parid=15218101","3875675")</f>
        <v>3875675</v>
      </c>
      <c r="H5118" t="s">
        <v>2452</v>
      </c>
      <c r="I5118">
        <v>2001</v>
      </c>
      <c r="J5118">
        <v>2001</v>
      </c>
      <c r="K5118" t="s">
        <v>4554</v>
      </c>
      <c r="L5118" t="s">
        <v>4555</v>
      </c>
      <c r="M5118" s="2">
        <v>3640</v>
      </c>
      <c r="N5118" t="s">
        <v>3887</v>
      </c>
      <c r="O5118">
        <v>5</v>
      </c>
      <c r="P5118">
        <v>4</v>
      </c>
      <c r="Q5118">
        <v>0</v>
      </c>
      <c r="R5118" t="s">
        <v>5281</v>
      </c>
      <c r="S5118" t="s">
        <v>4898</v>
      </c>
      <c r="T5118" t="s">
        <v>2704</v>
      </c>
      <c r="U5118" t="s">
        <v>4560</v>
      </c>
      <c r="V5118" s="2">
        <v>1135</v>
      </c>
      <c r="W5118" t="s">
        <v>4655</v>
      </c>
      <c r="X5118" s="2">
        <v>0</v>
      </c>
      <c r="Y5118">
        <v>20</v>
      </c>
      <c r="Z5118" t="s">
        <v>3884</v>
      </c>
      <c r="AA5118" s="3">
        <v>2.5209999084472599</v>
      </c>
      <c r="AB5118" t="s">
        <v>18190</v>
      </c>
      <c r="AC5118" t="s">
        <v>4575</v>
      </c>
      <c r="AD5118" t="s">
        <v>26158</v>
      </c>
      <c r="AE5118" t="s">
        <v>4655</v>
      </c>
      <c r="AF5118" t="s">
        <v>4563</v>
      </c>
      <c r="AG5118" t="s">
        <v>4564</v>
      </c>
      <c r="AH5118">
        <v>89511</v>
      </c>
      <c r="AI5118" t="s">
        <v>26159</v>
      </c>
      <c r="AJ5118" t="s">
        <v>2070</v>
      </c>
      <c r="AK5118" t="s">
        <v>26160</v>
      </c>
      <c r="AL5118" s="13" t="s">
        <v>1889</v>
      </c>
      <c r="AM5118">
        <v>1</v>
      </c>
      <c r="AN5118" s="15" t="s">
        <v>2071</v>
      </c>
    </row>
    <row r="5119" spans="1:40" x14ac:dyDescent="0.3">
      <c r="A5119" s="10" t="str">
        <f>HYPERLINK("http://www.washoecounty.gov/assessor/cama/?parid=152-182-09&amp;CardNumber=1","152-182-09")</f>
        <v>152-182-09</v>
      </c>
      <c r="B5119" t="s">
        <v>4655</v>
      </c>
      <c r="C5119" t="s">
        <v>26161</v>
      </c>
      <c r="D5119" s="1">
        <v>40492</v>
      </c>
      <c r="E5119" s="2">
        <v>550000</v>
      </c>
      <c r="F5119" t="s">
        <v>4567</v>
      </c>
      <c r="G5119" s="17" t="str">
        <f>HYPERLINK("https://www.washoecounty.gov/assessor/cama/?command=sales&amp;parid=15218209","3941834")</f>
        <v>3941834</v>
      </c>
      <c r="H5119" t="s">
        <v>2452</v>
      </c>
      <c r="I5119">
        <v>2000</v>
      </c>
      <c r="J5119">
        <v>2000</v>
      </c>
      <c r="K5119" t="s">
        <v>4554</v>
      </c>
      <c r="L5119" t="s">
        <v>4555</v>
      </c>
      <c r="M5119" s="2">
        <v>3640</v>
      </c>
      <c r="N5119" t="s">
        <v>3887</v>
      </c>
      <c r="O5119">
        <v>5</v>
      </c>
      <c r="P5119">
        <v>4</v>
      </c>
      <c r="Q5119">
        <v>0</v>
      </c>
      <c r="R5119" t="s">
        <v>4557</v>
      </c>
      <c r="S5119" t="s">
        <v>4898</v>
      </c>
      <c r="T5119" t="s">
        <v>2704</v>
      </c>
      <c r="U5119" t="s">
        <v>4560</v>
      </c>
      <c r="V5119" s="2">
        <v>1175</v>
      </c>
      <c r="W5119" t="s">
        <v>4655</v>
      </c>
      <c r="X5119" s="2">
        <v>0</v>
      </c>
      <c r="Y5119">
        <v>20</v>
      </c>
      <c r="Z5119" t="s">
        <v>3884</v>
      </c>
      <c r="AA5119" s="3">
        <v>0.80399447679519598</v>
      </c>
      <c r="AB5119" t="s">
        <v>26162</v>
      </c>
      <c r="AC5119" t="s">
        <v>4562</v>
      </c>
      <c r="AD5119" t="s">
        <v>26163</v>
      </c>
      <c r="AE5119" t="s">
        <v>4655</v>
      </c>
      <c r="AF5119" t="s">
        <v>1812</v>
      </c>
      <c r="AG5119" t="s">
        <v>4584</v>
      </c>
      <c r="AH5119" t="s">
        <v>4241</v>
      </c>
      <c r="AI5119" t="s">
        <v>4655</v>
      </c>
      <c r="AJ5119" t="s">
        <v>2070</v>
      </c>
      <c r="AK5119" t="s">
        <v>26164</v>
      </c>
      <c r="AL5119" s="13" t="s">
        <v>1889</v>
      </c>
      <c r="AM5119" s="14">
        <v>1</v>
      </c>
      <c r="AN5119" s="15" t="s">
        <v>2071</v>
      </c>
    </row>
    <row r="5120" spans="1:40" x14ac:dyDescent="0.3">
      <c r="A5120" s="10" t="str">
        <f>HYPERLINK("http://www.washoecounty.gov/assessor/cama/?parid=152-183-07&amp;CardNumber=1","152-183-07")</f>
        <v>152-183-07</v>
      </c>
      <c r="B5120" t="s">
        <v>4655</v>
      </c>
      <c r="C5120" t="s">
        <v>26165</v>
      </c>
      <c r="D5120" s="1">
        <v>40340</v>
      </c>
      <c r="E5120" s="2">
        <v>405000</v>
      </c>
      <c r="F5120" t="s">
        <v>4567</v>
      </c>
      <c r="G5120" s="17" t="str">
        <f>HYPERLINK("https://www.washoecounty.gov/assessor/cama/?command=sales&amp;parid=15218307","3890938")</f>
        <v>3890938</v>
      </c>
      <c r="H5120" t="s">
        <v>2452</v>
      </c>
      <c r="I5120">
        <v>2000</v>
      </c>
      <c r="J5120">
        <v>2000</v>
      </c>
      <c r="K5120" t="s">
        <v>4554</v>
      </c>
      <c r="L5120" t="s">
        <v>4555</v>
      </c>
      <c r="M5120" s="2">
        <v>2624</v>
      </c>
      <c r="N5120" t="s">
        <v>3887</v>
      </c>
      <c r="O5120">
        <v>4</v>
      </c>
      <c r="P5120">
        <v>3</v>
      </c>
      <c r="Q5120">
        <v>0</v>
      </c>
      <c r="R5120" t="s">
        <v>4557</v>
      </c>
      <c r="S5120" t="s">
        <v>4898</v>
      </c>
      <c r="T5120" t="s">
        <v>2704</v>
      </c>
      <c r="U5120" t="s">
        <v>4560</v>
      </c>
      <c r="V5120" s="2">
        <v>1182</v>
      </c>
      <c r="W5120" t="s">
        <v>4655</v>
      </c>
      <c r="X5120" s="2">
        <v>0</v>
      </c>
      <c r="Y5120">
        <v>20</v>
      </c>
      <c r="Z5120" t="s">
        <v>3884</v>
      </c>
      <c r="AA5120" s="3">
        <v>0.84800273180007901</v>
      </c>
      <c r="AB5120" t="s">
        <v>26166</v>
      </c>
      <c r="AC5120" t="s">
        <v>4575</v>
      </c>
      <c r="AD5120" t="s">
        <v>26167</v>
      </c>
      <c r="AE5120" t="s">
        <v>4655</v>
      </c>
      <c r="AF5120" t="s">
        <v>4563</v>
      </c>
      <c r="AG5120" t="s">
        <v>4564</v>
      </c>
      <c r="AH5120">
        <v>89511</v>
      </c>
      <c r="AI5120" t="s">
        <v>26168</v>
      </c>
      <c r="AJ5120" t="s">
        <v>2070</v>
      </c>
      <c r="AK5120" t="s">
        <v>26169</v>
      </c>
      <c r="AL5120" s="13" t="s">
        <v>1889</v>
      </c>
      <c r="AM5120">
        <v>1</v>
      </c>
      <c r="AN5120" s="15" t="s">
        <v>2071</v>
      </c>
    </row>
    <row r="5121" spans="1:40" x14ac:dyDescent="0.3">
      <c r="A5121" s="10" t="str">
        <f>HYPERLINK("http://www.washoecounty.gov/assessor/cama/?parid=152-183-16&amp;CardNumber=1","152-183-16")</f>
        <v>152-183-16</v>
      </c>
      <c r="B5121" t="s">
        <v>4655</v>
      </c>
      <c r="C5121" t="s">
        <v>26170</v>
      </c>
      <c r="D5121" s="1">
        <v>40359</v>
      </c>
      <c r="E5121" s="2">
        <v>380000</v>
      </c>
      <c r="F5121" t="s">
        <v>4567</v>
      </c>
      <c r="G5121" s="17" t="str">
        <f>HYPERLINK("https://www.washoecounty.gov/assessor/cama/?command=sales&amp;parid=15218316","3897441")</f>
        <v>3897441</v>
      </c>
      <c r="H5121" t="s">
        <v>2452</v>
      </c>
      <c r="I5121">
        <v>2000</v>
      </c>
      <c r="J5121">
        <v>2000</v>
      </c>
      <c r="K5121" t="s">
        <v>4554</v>
      </c>
      <c r="L5121" t="s">
        <v>4555</v>
      </c>
      <c r="M5121" s="2">
        <v>2378</v>
      </c>
      <c r="N5121" t="s">
        <v>3887</v>
      </c>
      <c r="O5121">
        <v>4</v>
      </c>
      <c r="P5121">
        <v>2</v>
      </c>
      <c r="Q5121">
        <v>0</v>
      </c>
      <c r="R5121" t="s">
        <v>4557</v>
      </c>
      <c r="S5121" t="s">
        <v>4898</v>
      </c>
      <c r="T5121" t="s">
        <v>2704</v>
      </c>
      <c r="U5121" t="s">
        <v>4560</v>
      </c>
      <c r="V5121" s="2">
        <v>734</v>
      </c>
      <c r="W5121" t="s">
        <v>4655</v>
      </c>
      <c r="X5121" s="2">
        <v>0</v>
      </c>
      <c r="Y5121">
        <v>20</v>
      </c>
      <c r="Z5121" t="s">
        <v>3884</v>
      </c>
      <c r="AA5121" s="3">
        <v>0.36499083042144798</v>
      </c>
      <c r="AB5121" t="s">
        <v>26171</v>
      </c>
      <c r="AC5121" t="s">
        <v>4562</v>
      </c>
      <c r="AD5121" t="s">
        <v>26170</v>
      </c>
      <c r="AE5121" t="s">
        <v>4655</v>
      </c>
      <c r="AF5121" t="s">
        <v>4563</v>
      </c>
      <c r="AG5121" t="s">
        <v>4564</v>
      </c>
      <c r="AH5121">
        <v>89511</v>
      </c>
      <c r="AI5121" t="s">
        <v>26172</v>
      </c>
      <c r="AJ5121" t="s">
        <v>2070</v>
      </c>
      <c r="AK5121" t="s">
        <v>26173</v>
      </c>
      <c r="AL5121" s="13" t="s">
        <v>1889</v>
      </c>
      <c r="AM5121">
        <v>1</v>
      </c>
      <c r="AN5121" s="15" t="s">
        <v>2071</v>
      </c>
    </row>
    <row r="5122" spans="1:40" x14ac:dyDescent="0.3">
      <c r="A5122" s="10" t="str">
        <f>HYPERLINK("http://www.washoecounty.gov/assessor/cama/?parid=152-183-20&amp;CardNumber=1","152-183-20")</f>
        <v>152-183-20</v>
      </c>
      <c r="B5122" t="s">
        <v>4655</v>
      </c>
      <c r="C5122" t="s">
        <v>26174</v>
      </c>
      <c r="D5122" s="1">
        <v>40331</v>
      </c>
      <c r="E5122" s="2">
        <v>378000</v>
      </c>
      <c r="F5122" t="s">
        <v>4567</v>
      </c>
      <c r="G5122" s="17" t="str">
        <f>HYPERLINK("https://www.washoecounty.gov/assessor/cama/?command=sales&amp;parid=15218320","3887633")</f>
        <v>3887633</v>
      </c>
      <c r="H5122" t="s">
        <v>2452</v>
      </c>
      <c r="I5122">
        <v>2000</v>
      </c>
      <c r="J5122">
        <v>2000</v>
      </c>
      <c r="K5122" t="s">
        <v>4554</v>
      </c>
      <c r="L5122" t="s">
        <v>4555</v>
      </c>
      <c r="M5122" s="2">
        <v>2377</v>
      </c>
      <c r="N5122" t="s">
        <v>3887</v>
      </c>
      <c r="O5122">
        <v>4</v>
      </c>
      <c r="P5122">
        <v>2</v>
      </c>
      <c r="Q5122">
        <v>0</v>
      </c>
      <c r="R5122" t="s">
        <v>4557</v>
      </c>
      <c r="S5122" t="s">
        <v>4898</v>
      </c>
      <c r="T5122" t="s">
        <v>2704</v>
      </c>
      <c r="U5122" t="s">
        <v>4560</v>
      </c>
      <c r="V5122" s="2">
        <v>734</v>
      </c>
      <c r="W5122" t="s">
        <v>4655</v>
      </c>
      <c r="X5122" s="2">
        <v>0</v>
      </c>
      <c r="Y5122">
        <v>20</v>
      </c>
      <c r="Z5122" t="s">
        <v>3884</v>
      </c>
      <c r="AA5122" s="3">
        <v>0.38298898935317993</v>
      </c>
      <c r="AB5122" t="s">
        <v>26175</v>
      </c>
      <c r="AC5122" t="s">
        <v>4562</v>
      </c>
      <c r="AD5122" t="s">
        <v>26174</v>
      </c>
      <c r="AE5122" t="s">
        <v>4655</v>
      </c>
      <c r="AF5122" t="s">
        <v>4563</v>
      </c>
      <c r="AG5122" t="s">
        <v>4564</v>
      </c>
      <c r="AH5122">
        <v>89511</v>
      </c>
      <c r="AI5122" t="s">
        <v>26176</v>
      </c>
      <c r="AJ5122" t="s">
        <v>2070</v>
      </c>
      <c r="AK5122" t="s">
        <v>26177</v>
      </c>
      <c r="AL5122" s="13" t="s">
        <v>1889</v>
      </c>
      <c r="AM5122" s="14">
        <v>1</v>
      </c>
      <c r="AN5122" s="15" t="s">
        <v>2071</v>
      </c>
    </row>
    <row r="5123" spans="1:40" x14ac:dyDescent="0.3">
      <c r="A5123" s="10" t="str">
        <f>HYPERLINK("http://www.washoecounty.gov/assessor/cama/?parid=152-185-03&amp;CardNumber=1","152-185-03")</f>
        <v>152-185-03</v>
      </c>
      <c r="B5123" t="s">
        <v>4655</v>
      </c>
      <c r="C5123" t="s">
        <v>26178</v>
      </c>
      <c r="D5123" s="1">
        <v>40492</v>
      </c>
      <c r="E5123" s="2">
        <v>365000</v>
      </c>
      <c r="F5123" t="s">
        <v>4567</v>
      </c>
      <c r="G5123" s="17" t="str">
        <f>HYPERLINK("https://www.washoecounty.gov/assessor/cama/?command=sales&amp;parid=15218503","3941720")</f>
        <v>3941720</v>
      </c>
      <c r="H5123" t="s">
        <v>2452</v>
      </c>
      <c r="I5123">
        <v>2000</v>
      </c>
      <c r="J5123">
        <v>2000</v>
      </c>
      <c r="K5123" t="s">
        <v>4554</v>
      </c>
      <c r="L5123" t="s">
        <v>4555</v>
      </c>
      <c r="M5123" s="2">
        <v>2377</v>
      </c>
      <c r="N5123" t="s">
        <v>3887</v>
      </c>
      <c r="O5123">
        <v>4</v>
      </c>
      <c r="P5123">
        <v>2</v>
      </c>
      <c r="Q5123">
        <v>0</v>
      </c>
      <c r="R5123" t="s">
        <v>4557</v>
      </c>
      <c r="S5123" t="s">
        <v>4898</v>
      </c>
      <c r="T5123" t="s">
        <v>2704</v>
      </c>
      <c r="U5123" t="s">
        <v>4560</v>
      </c>
      <c r="V5123" s="2">
        <v>734</v>
      </c>
      <c r="W5123" t="s">
        <v>4655</v>
      </c>
      <c r="X5123" s="2">
        <v>0</v>
      </c>
      <c r="Y5123">
        <v>20</v>
      </c>
      <c r="Z5123" t="s">
        <v>3884</v>
      </c>
      <c r="AA5123" s="3">
        <v>0.40899908542633101</v>
      </c>
      <c r="AB5123" t="s">
        <v>26179</v>
      </c>
      <c r="AC5123" t="s">
        <v>4562</v>
      </c>
      <c r="AD5123" t="s">
        <v>26178</v>
      </c>
      <c r="AE5123" t="s">
        <v>4655</v>
      </c>
      <c r="AF5123" t="s">
        <v>4563</v>
      </c>
      <c r="AG5123" t="s">
        <v>4564</v>
      </c>
      <c r="AH5123">
        <v>89511</v>
      </c>
      <c r="AI5123" t="s">
        <v>26180</v>
      </c>
      <c r="AJ5123" t="s">
        <v>2070</v>
      </c>
      <c r="AK5123" t="s">
        <v>26181</v>
      </c>
      <c r="AL5123" s="13" t="s">
        <v>1889</v>
      </c>
      <c r="AM5123">
        <v>1</v>
      </c>
      <c r="AN5123" s="15" t="s">
        <v>2071</v>
      </c>
    </row>
    <row r="5124" spans="1:40" x14ac:dyDescent="0.3">
      <c r="A5124" s="10" t="str">
        <f>HYPERLINK("http://www.washoecounty.gov/assessor/cama/?parid=152-193-02&amp;CardNumber=1","152-193-02")</f>
        <v>152-193-02</v>
      </c>
      <c r="B5124" t="s">
        <v>4655</v>
      </c>
      <c r="C5124" t="s">
        <v>26182</v>
      </c>
      <c r="D5124" s="1">
        <v>40319</v>
      </c>
      <c r="E5124" s="2">
        <v>439000</v>
      </c>
      <c r="F5124" t="s">
        <v>4567</v>
      </c>
      <c r="G5124" s="17" t="str">
        <f>HYPERLINK("https://www.washoecounty.gov/assessor/cama/?command=sales&amp;parid=15219302","3883937")</f>
        <v>3883937</v>
      </c>
      <c r="H5124" t="s">
        <v>2452</v>
      </c>
      <c r="I5124">
        <v>2001</v>
      </c>
      <c r="J5124">
        <v>2001</v>
      </c>
      <c r="K5124" t="s">
        <v>4554</v>
      </c>
      <c r="L5124" t="s">
        <v>4555</v>
      </c>
      <c r="M5124" s="2">
        <v>2624</v>
      </c>
      <c r="N5124" t="s">
        <v>3887</v>
      </c>
      <c r="O5124">
        <v>4</v>
      </c>
      <c r="P5124">
        <v>3</v>
      </c>
      <c r="Q5124">
        <v>0</v>
      </c>
      <c r="R5124" t="s">
        <v>5281</v>
      </c>
      <c r="S5124" t="s">
        <v>4898</v>
      </c>
      <c r="T5124" t="s">
        <v>2704</v>
      </c>
      <c r="U5124" t="s">
        <v>4560</v>
      </c>
      <c r="V5124" s="2">
        <v>1182</v>
      </c>
      <c r="W5124" t="s">
        <v>4655</v>
      </c>
      <c r="X5124" s="2">
        <v>0</v>
      </c>
      <c r="Y5124">
        <v>20</v>
      </c>
      <c r="Z5124" t="s">
        <v>3884</v>
      </c>
      <c r="AA5124" s="3">
        <v>0.58500915765762296</v>
      </c>
      <c r="AB5124" t="s">
        <v>26183</v>
      </c>
      <c r="AC5124" t="s">
        <v>4562</v>
      </c>
      <c r="AD5124" t="s">
        <v>26182</v>
      </c>
      <c r="AE5124" t="s">
        <v>4655</v>
      </c>
      <c r="AF5124" t="s">
        <v>4563</v>
      </c>
      <c r="AG5124" t="s">
        <v>4564</v>
      </c>
      <c r="AH5124">
        <v>89511</v>
      </c>
      <c r="AI5124" t="s">
        <v>26184</v>
      </c>
      <c r="AJ5124" t="s">
        <v>2070</v>
      </c>
      <c r="AK5124" t="s">
        <v>26185</v>
      </c>
      <c r="AL5124" s="13" t="s">
        <v>1889</v>
      </c>
      <c r="AM5124" s="14">
        <v>1</v>
      </c>
      <c r="AN5124" s="15" t="s">
        <v>2071</v>
      </c>
    </row>
    <row r="5125" spans="1:40" x14ac:dyDescent="0.3">
      <c r="A5125" s="10" t="str">
        <f>HYPERLINK("http://www.washoecounty.gov/assessor/cama/?parid=152-193-09&amp;CardNumber=1","152-193-09")</f>
        <v>152-193-09</v>
      </c>
      <c r="B5125" t="s">
        <v>4655</v>
      </c>
      <c r="C5125" t="s">
        <v>26186</v>
      </c>
      <c r="D5125" s="1">
        <v>40519</v>
      </c>
      <c r="E5125" s="2">
        <v>546000</v>
      </c>
      <c r="F5125" t="s">
        <v>4567</v>
      </c>
      <c r="G5125" s="17" t="str">
        <f>HYPERLINK("https://www.washoecounty.gov/assessor/cama/?command=sales&amp;parid=15219309","3950496")</f>
        <v>3950496</v>
      </c>
      <c r="H5125" t="s">
        <v>2452</v>
      </c>
      <c r="I5125">
        <v>2001</v>
      </c>
      <c r="J5125">
        <v>2001</v>
      </c>
      <c r="K5125" t="s">
        <v>4554</v>
      </c>
      <c r="L5125" t="s">
        <v>4555</v>
      </c>
      <c r="M5125" s="2">
        <v>3643</v>
      </c>
      <c r="N5125" t="s">
        <v>3887</v>
      </c>
      <c r="O5125">
        <v>5</v>
      </c>
      <c r="P5125">
        <v>4</v>
      </c>
      <c r="Q5125">
        <v>0</v>
      </c>
      <c r="R5125" t="s">
        <v>5281</v>
      </c>
      <c r="S5125" t="s">
        <v>4898</v>
      </c>
      <c r="T5125" t="s">
        <v>2704</v>
      </c>
      <c r="U5125" t="s">
        <v>4560</v>
      </c>
      <c r="V5125" s="2">
        <v>1135</v>
      </c>
      <c r="W5125" t="s">
        <v>4655</v>
      </c>
      <c r="X5125" s="2">
        <v>0</v>
      </c>
      <c r="Y5125">
        <v>20</v>
      </c>
      <c r="Z5125" t="s">
        <v>3884</v>
      </c>
      <c r="AA5125" s="3">
        <v>0.66200643777847201</v>
      </c>
      <c r="AB5125" t="s">
        <v>26187</v>
      </c>
      <c r="AC5125" t="s">
        <v>4575</v>
      </c>
      <c r="AD5125" t="s">
        <v>26186</v>
      </c>
      <c r="AE5125" t="s">
        <v>4655</v>
      </c>
      <c r="AF5125" t="s">
        <v>4563</v>
      </c>
      <c r="AG5125" t="s">
        <v>4564</v>
      </c>
      <c r="AH5125">
        <v>89511</v>
      </c>
      <c r="AI5125" t="s">
        <v>26188</v>
      </c>
      <c r="AJ5125" t="s">
        <v>2070</v>
      </c>
      <c r="AK5125" t="s">
        <v>26189</v>
      </c>
      <c r="AL5125" s="13" t="s">
        <v>1889</v>
      </c>
      <c r="AM5125">
        <v>1</v>
      </c>
      <c r="AN5125" s="15" t="s">
        <v>2071</v>
      </c>
    </row>
    <row r="5126" spans="1:40" x14ac:dyDescent="0.3">
      <c r="A5126" s="10" t="str">
        <f>HYPERLINK("http://www.washoecounty.gov/assessor/cama/?parid=152-211-04&amp;CardNumber=1","152-211-04")</f>
        <v>152-211-04</v>
      </c>
      <c r="B5126" t="s">
        <v>4655</v>
      </c>
      <c r="C5126" t="s">
        <v>26190</v>
      </c>
      <c r="D5126" s="1">
        <v>40442</v>
      </c>
      <c r="E5126" s="2">
        <v>55000</v>
      </c>
      <c r="F5126" t="s">
        <v>3528</v>
      </c>
      <c r="G5126" s="17" t="str">
        <f>HYPERLINK("https://www.washoecounty.gov/assessor/cama/?command=sales&amp;parid=15221104","3924650")</f>
        <v>3924650</v>
      </c>
      <c r="H5126" t="s">
        <v>4156</v>
      </c>
      <c r="I5126">
        <v>0</v>
      </c>
      <c r="J5126">
        <v>0</v>
      </c>
      <c r="K5126" t="s">
        <v>4655</v>
      </c>
      <c r="L5126" t="s">
        <v>4655</v>
      </c>
      <c r="M5126" s="2">
        <v>0</v>
      </c>
      <c r="N5126" t="s">
        <v>4655</v>
      </c>
      <c r="O5126">
        <v>0</v>
      </c>
      <c r="P5126">
        <v>0</v>
      </c>
      <c r="Q5126">
        <v>0</v>
      </c>
      <c r="R5126" t="s">
        <v>4655</v>
      </c>
      <c r="S5126" t="s">
        <v>4655</v>
      </c>
      <c r="T5126" t="s">
        <v>4655</v>
      </c>
      <c r="U5126" t="s">
        <v>4655</v>
      </c>
      <c r="V5126" s="2">
        <v>0</v>
      </c>
      <c r="W5126" t="s">
        <v>4655</v>
      </c>
      <c r="X5126" s="2">
        <v>0</v>
      </c>
      <c r="Y5126">
        <v>12</v>
      </c>
      <c r="Z5126" t="s">
        <v>1376</v>
      </c>
      <c r="AA5126" s="3">
        <v>0.72899448871612504</v>
      </c>
      <c r="AB5126" t="s">
        <v>2449</v>
      </c>
      <c r="AC5126" t="s">
        <v>4575</v>
      </c>
      <c r="AD5126" t="s">
        <v>475</v>
      </c>
      <c r="AE5126" t="s">
        <v>4655</v>
      </c>
      <c r="AF5126" t="s">
        <v>2450</v>
      </c>
      <c r="AG5126" t="s">
        <v>4564</v>
      </c>
      <c r="AH5126" t="s">
        <v>4146</v>
      </c>
      <c r="AI5126" t="s">
        <v>26191</v>
      </c>
      <c r="AJ5126" t="s">
        <v>62</v>
      </c>
      <c r="AK5126" t="s">
        <v>26192</v>
      </c>
      <c r="AL5126" s="13" t="s">
        <v>1895</v>
      </c>
      <c r="AM5126">
        <v>0</v>
      </c>
      <c r="AN5126" s="15" t="s">
        <v>4308</v>
      </c>
    </row>
    <row r="5127" spans="1:40" x14ac:dyDescent="0.3">
      <c r="A5127" s="10" t="str">
        <f>HYPERLINK("http://www.washoecounty.gov/assessor/cama/?parid=152-213-10&amp;CardNumber=1","152-213-10")</f>
        <v>152-213-10</v>
      </c>
      <c r="B5127" t="s">
        <v>4655</v>
      </c>
      <c r="C5127" t="s">
        <v>26193</v>
      </c>
      <c r="D5127" s="1">
        <v>40389</v>
      </c>
      <c r="E5127" s="2">
        <v>775903</v>
      </c>
      <c r="F5127" t="s">
        <v>4553</v>
      </c>
      <c r="G5127" s="17" t="str">
        <f>HYPERLINK("https://www.washoecounty.gov/assessor/cama/?command=sales&amp;parid=15221310","3907225")</f>
        <v>3907225</v>
      </c>
      <c r="H5127" t="s">
        <v>4156</v>
      </c>
      <c r="I5127">
        <v>2001</v>
      </c>
      <c r="J5127">
        <v>2001</v>
      </c>
      <c r="K5127" t="s">
        <v>4554</v>
      </c>
      <c r="L5127" t="s">
        <v>4555</v>
      </c>
      <c r="M5127" s="2">
        <v>3476</v>
      </c>
      <c r="N5127" t="s">
        <v>2008</v>
      </c>
      <c r="O5127">
        <v>3</v>
      </c>
      <c r="P5127">
        <v>3</v>
      </c>
      <c r="Q5127">
        <v>1</v>
      </c>
      <c r="R5127" t="s">
        <v>5281</v>
      </c>
      <c r="S5127" t="s">
        <v>4898</v>
      </c>
      <c r="T5127" t="s">
        <v>2704</v>
      </c>
      <c r="U5127" t="s">
        <v>4560</v>
      </c>
      <c r="V5127" s="2">
        <v>1368</v>
      </c>
      <c r="W5127" t="s">
        <v>4571</v>
      </c>
      <c r="X5127" s="2">
        <v>2437</v>
      </c>
      <c r="Y5127">
        <v>20</v>
      </c>
      <c r="Z5127" t="s">
        <v>1376</v>
      </c>
      <c r="AA5127" s="3">
        <v>1.31499075889587</v>
      </c>
      <c r="AB5127" t="s">
        <v>26194</v>
      </c>
      <c r="AC5127" t="s">
        <v>4562</v>
      </c>
      <c r="AD5127" t="s">
        <v>26195</v>
      </c>
      <c r="AE5127" t="s">
        <v>4655</v>
      </c>
      <c r="AF5127" t="s">
        <v>3114</v>
      </c>
      <c r="AG5127" t="s">
        <v>4564</v>
      </c>
      <c r="AH5127">
        <v>89511</v>
      </c>
      <c r="AI5127" t="s">
        <v>4503</v>
      </c>
      <c r="AJ5127" t="s">
        <v>62</v>
      </c>
      <c r="AK5127" t="s">
        <v>26196</v>
      </c>
      <c r="AL5127" s="13" t="s">
        <v>1895</v>
      </c>
      <c r="AM5127">
        <v>1</v>
      </c>
      <c r="AN5127" s="15" t="s">
        <v>4308</v>
      </c>
    </row>
    <row r="5128" spans="1:40" x14ac:dyDescent="0.3">
      <c r="A5128" s="10" t="str">
        <f>HYPERLINK("http://www.washoecounty.gov/assessor/cama/?parid=152-220-03&amp;CardNumber=1","152-220-03")</f>
        <v>152-220-03</v>
      </c>
      <c r="B5128" t="s">
        <v>4655</v>
      </c>
      <c r="C5128" t="s">
        <v>26197</v>
      </c>
      <c r="D5128" s="1">
        <v>40486</v>
      </c>
      <c r="E5128" s="2">
        <v>1500000</v>
      </c>
      <c r="F5128" t="s">
        <v>4567</v>
      </c>
      <c r="G5128" s="17" t="str">
        <f>HYPERLINK("https://www.washoecounty.gov/assessor/cama/?command=sales&amp;parid=15222003","3939994")</f>
        <v>3939994</v>
      </c>
      <c r="H5128" t="s">
        <v>4156</v>
      </c>
      <c r="I5128">
        <v>2001</v>
      </c>
      <c r="J5128">
        <v>2001</v>
      </c>
      <c r="K5128" t="s">
        <v>4554</v>
      </c>
      <c r="L5128" t="s">
        <v>4555</v>
      </c>
      <c r="M5128" s="2">
        <v>4750</v>
      </c>
      <c r="N5128" t="s">
        <v>3457</v>
      </c>
      <c r="O5128">
        <v>4</v>
      </c>
      <c r="P5128">
        <v>5</v>
      </c>
      <c r="Q5128">
        <v>1</v>
      </c>
      <c r="R5128" t="s">
        <v>2632</v>
      </c>
      <c r="S5128" t="s">
        <v>4898</v>
      </c>
      <c r="T5128" t="s">
        <v>2704</v>
      </c>
      <c r="U5128" t="s">
        <v>4560</v>
      </c>
      <c r="V5128" s="2">
        <v>992</v>
      </c>
      <c r="W5128" t="s">
        <v>4571</v>
      </c>
      <c r="X5128" s="2">
        <v>3897</v>
      </c>
      <c r="Y5128">
        <v>20</v>
      </c>
      <c r="Z5128" t="s">
        <v>1376</v>
      </c>
      <c r="AA5128" s="3">
        <v>1.5359963178634644</v>
      </c>
      <c r="AB5128" t="s">
        <v>26198</v>
      </c>
      <c r="AC5128" t="s">
        <v>4575</v>
      </c>
      <c r="AD5128" t="s">
        <v>26197</v>
      </c>
      <c r="AE5128" t="s">
        <v>4655</v>
      </c>
      <c r="AF5128" t="s">
        <v>4563</v>
      </c>
      <c r="AG5128" t="s">
        <v>4564</v>
      </c>
      <c r="AH5128">
        <v>89511</v>
      </c>
      <c r="AI5128" t="s">
        <v>26199</v>
      </c>
      <c r="AJ5128" t="s">
        <v>62</v>
      </c>
      <c r="AK5128" t="s">
        <v>26200</v>
      </c>
      <c r="AL5128" s="13" t="s">
        <v>1895</v>
      </c>
      <c r="AM5128">
        <v>1</v>
      </c>
      <c r="AN5128" s="15" t="s">
        <v>4308</v>
      </c>
    </row>
    <row r="5129" spans="1:40" x14ac:dyDescent="0.3">
      <c r="A5129" s="10" t="str">
        <f>HYPERLINK("http://www.washoecounty.gov/assessor/cama/?parid=152-220-09&amp;CardNumber=1","152-220-09")</f>
        <v>152-220-09</v>
      </c>
      <c r="B5129" t="s">
        <v>4655</v>
      </c>
      <c r="C5129" t="s">
        <v>26201</v>
      </c>
      <c r="D5129" s="1">
        <v>40445</v>
      </c>
      <c r="E5129" s="2">
        <v>1150000</v>
      </c>
      <c r="F5129" t="s">
        <v>4567</v>
      </c>
      <c r="G5129" s="17" t="str">
        <f>HYPERLINK("https://www.washoecounty.gov/assessor/cama/?command=sales&amp;parid=15222009","3926240")</f>
        <v>3926240</v>
      </c>
      <c r="H5129" t="s">
        <v>4156</v>
      </c>
      <c r="I5129">
        <v>2000</v>
      </c>
      <c r="J5129">
        <v>2000</v>
      </c>
      <c r="K5129" t="s">
        <v>4554</v>
      </c>
      <c r="L5129" t="s">
        <v>4555</v>
      </c>
      <c r="M5129" s="2">
        <v>4640</v>
      </c>
      <c r="N5129" t="s">
        <v>3457</v>
      </c>
      <c r="O5129">
        <v>5</v>
      </c>
      <c r="P5129">
        <v>4</v>
      </c>
      <c r="Q5129">
        <v>1</v>
      </c>
      <c r="R5129" t="s">
        <v>2632</v>
      </c>
      <c r="S5129" t="s">
        <v>4898</v>
      </c>
      <c r="T5129" t="s">
        <v>2704</v>
      </c>
      <c r="U5129" t="s">
        <v>4560</v>
      </c>
      <c r="V5129" s="2">
        <v>1171</v>
      </c>
      <c r="W5129" t="s">
        <v>1500</v>
      </c>
      <c r="X5129" s="2">
        <v>1868</v>
      </c>
      <c r="Y5129">
        <v>20</v>
      </c>
      <c r="Z5129" t="s">
        <v>1376</v>
      </c>
      <c r="AA5129" s="3">
        <v>1.6730027198791499</v>
      </c>
      <c r="AB5129" t="s">
        <v>26202</v>
      </c>
      <c r="AC5129" t="s">
        <v>4562</v>
      </c>
      <c r="AD5129" t="s">
        <v>26203</v>
      </c>
      <c r="AE5129" t="s">
        <v>4655</v>
      </c>
      <c r="AF5129" t="s">
        <v>4563</v>
      </c>
      <c r="AG5129" t="s">
        <v>4564</v>
      </c>
      <c r="AH5129">
        <v>89511</v>
      </c>
      <c r="AI5129" t="s">
        <v>26204</v>
      </c>
      <c r="AJ5129" t="s">
        <v>62</v>
      </c>
      <c r="AK5129" t="s">
        <v>26205</v>
      </c>
      <c r="AL5129" s="13" t="s">
        <v>1895</v>
      </c>
      <c r="AM5129">
        <v>1</v>
      </c>
      <c r="AN5129" s="15" t="s">
        <v>4308</v>
      </c>
    </row>
    <row r="5130" spans="1:40" x14ac:dyDescent="0.3">
      <c r="A5130" s="10" t="str">
        <f>HYPERLINK("http://www.washoecounty.gov/assessor/cama/?parid=152-220-30&amp;CardNumber=1","152-220-30")</f>
        <v>152-220-30</v>
      </c>
      <c r="B5130" t="s">
        <v>4655</v>
      </c>
      <c r="C5130" t="s">
        <v>26206</v>
      </c>
      <c r="D5130" s="1">
        <v>40332</v>
      </c>
      <c r="E5130" s="2">
        <v>900000</v>
      </c>
      <c r="F5130" t="s">
        <v>4567</v>
      </c>
      <c r="G5130" s="17" t="str">
        <f>HYPERLINK("https://www.washoecounty.gov/assessor/cama/?command=sales&amp;parid=15222030","3888221")</f>
        <v>3888221</v>
      </c>
      <c r="H5130" t="s">
        <v>4156</v>
      </c>
      <c r="I5130">
        <v>2006</v>
      </c>
      <c r="J5130">
        <v>2006</v>
      </c>
      <c r="K5130" t="s">
        <v>4554</v>
      </c>
      <c r="L5130" t="s">
        <v>4555</v>
      </c>
      <c r="M5130" s="2">
        <v>4532</v>
      </c>
      <c r="N5130" t="s">
        <v>3457</v>
      </c>
      <c r="O5130">
        <v>4</v>
      </c>
      <c r="P5130">
        <v>4</v>
      </c>
      <c r="Q5130">
        <v>0</v>
      </c>
      <c r="R5130" t="s">
        <v>2632</v>
      </c>
      <c r="S5130" t="s">
        <v>4898</v>
      </c>
      <c r="T5130" t="s">
        <v>2704</v>
      </c>
      <c r="U5130" t="s">
        <v>4560</v>
      </c>
      <c r="V5130" s="2">
        <v>1406</v>
      </c>
      <c r="W5130" t="s">
        <v>4655</v>
      </c>
      <c r="X5130" s="2">
        <v>0</v>
      </c>
      <c r="Y5130">
        <v>20</v>
      </c>
      <c r="Z5130" t="s">
        <v>1376</v>
      </c>
      <c r="AA5130" s="3">
        <v>2.0910000801086399</v>
      </c>
      <c r="AB5130" t="s">
        <v>26207</v>
      </c>
      <c r="AC5130" t="s">
        <v>4562</v>
      </c>
      <c r="AD5130" t="s">
        <v>26206</v>
      </c>
      <c r="AE5130" t="s">
        <v>4655</v>
      </c>
      <c r="AF5130" t="s">
        <v>4563</v>
      </c>
      <c r="AG5130" t="s">
        <v>4564</v>
      </c>
      <c r="AH5130">
        <v>89511</v>
      </c>
      <c r="AI5130" t="s">
        <v>26208</v>
      </c>
      <c r="AJ5130" t="s">
        <v>26209</v>
      </c>
      <c r="AK5130" t="s">
        <v>26210</v>
      </c>
      <c r="AL5130" s="13" t="s">
        <v>1895</v>
      </c>
      <c r="AM5130">
        <v>1</v>
      </c>
      <c r="AN5130" s="15" t="s">
        <v>4308</v>
      </c>
    </row>
    <row r="5131" spans="1:40" x14ac:dyDescent="0.3">
      <c r="A5131" s="10" t="str">
        <f>HYPERLINK("http://www.washoecounty.gov/assessor/cama/?parid=152-242-01&amp;CardNumber=1","152-242-01")</f>
        <v>152-242-01</v>
      </c>
      <c r="B5131" t="s">
        <v>4655</v>
      </c>
      <c r="C5131" t="s">
        <v>26211</v>
      </c>
      <c r="D5131" s="1">
        <v>40408</v>
      </c>
      <c r="E5131" s="2">
        <v>393500</v>
      </c>
      <c r="F5131" t="s">
        <v>4553</v>
      </c>
      <c r="G5131" s="17" t="str">
        <f>HYPERLINK("https://www.washoecounty.gov/assessor/cama/?command=sales&amp;parid=15224201","3913236")</f>
        <v>3913236</v>
      </c>
      <c r="H5131" t="s">
        <v>694</v>
      </c>
      <c r="I5131">
        <v>2002</v>
      </c>
      <c r="J5131">
        <v>2002</v>
      </c>
      <c r="K5131" t="s">
        <v>4554</v>
      </c>
      <c r="L5131" t="s">
        <v>4555</v>
      </c>
      <c r="M5131" s="2">
        <v>2517</v>
      </c>
      <c r="N5131" t="s">
        <v>3887</v>
      </c>
      <c r="O5131">
        <v>3</v>
      </c>
      <c r="P5131">
        <v>2</v>
      </c>
      <c r="Q5131">
        <v>0</v>
      </c>
      <c r="R5131" t="s">
        <v>5281</v>
      </c>
      <c r="S5131" t="s">
        <v>4898</v>
      </c>
      <c r="T5131" t="s">
        <v>2704</v>
      </c>
      <c r="U5131" t="s">
        <v>4560</v>
      </c>
      <c r="V5131" s="2">
        <v>728</v>
      </c>
      <c r="W5131" t="s">
        <v>4655</v>
      </c>
      <c r="X5131" s="2">
        <v>0</v>
      </c>
      <c r="Y5131">
        <v>20</v>
      </c>
      <c r="Z5131" t="s">
        <v>1376</v>
      </c>
      <c r="AA5131" s="3">
        <v>0.32036271691322299</v>
      </c>
      <c r="AB5131" t="s">
        <v>26212</v>
      </c>
      <c r="AC5131" t="s">
        <v>4575</v>
      </c>
      <c r="AD5131" t="s">
        <v>24124</v>
      </c>
      <c r="AE5131" t="s">
        <v>4655</v>
      </c>
      <c r="AF5131" t="s">
        <v>22072</v>
      </c>
      <c r="AG5131" t="s">
        <v>3370</v>
      </c>
      <c r="AH5131" t="s">
        <v>24125</v>
      </c>
      <c r="AI5131" t="s">
        <v>695</v>
      </c>
      <c r="AJ5131" t="s">
        <v>696</v>
      </c>
      <c r="AK5131" t="s">
        <v>26213</v>
      </c>
      <c r="AL5131" s="13" t="s">
        <v>1895</v>
      </c>
      <c r="AM5131">
        <v>1</v>
      </c>
      <c r="AN5131" s="15" t="s">
        <v>459</v>
      </c>
    </row>
    <row r="5132" spans="1:40" x14ac:dyDescent="0.3">
      <c r="A5132" s="10" t="str">
        <f>HYPERLINK("http://www.washoecounty.gov/assessor/cama/?parid=152-252-11&amp;CardNumber=1","152-252-11")</f>
        <v>152-252-11</v>
      </c>
      <c r="B5132" t="s">
        <v>4655</v>
      </c>
      <c r="C5132" t="s">
        <v>26214</v>
      </c>
      <c r="D5132" s="1">
        <v>40520</v>
      </c>
      <c r="E5132" s="2">
        <v>365000</v>
      </c>
      <c r="F5132" t="s">
        <v>4553</v>
      </c>
      <c r="G5132" s="17" t="str">
        <f>HYPERLINK("https://www.washoecounty.gov/assessor/cama/?command=sales&amp;parid=15225211","3950916")</f>
        <v>3950916</v>
      </c>
      <c r="H5132" t="s">
        <v>694</v>
      </c>
      <c r="I5132">
        <v>2000</v>
      </c>
      <c r="J5132">
        <v>2000</v>
      </c>
      <c r="K5132" t="s">
        <v>4554</v>
      </c>
      <c r="L5132" t="s">
        <v>4555</v>
      </c>
      <c r="M5132" s="2">
        <v>2356</v>
      </c>
      <c r="N5132" t="s">
        <v>3887</v>
      </c>
      <c r="O5132">
        <v>4</v>
      </c>
      <c r="P5132">
        <v>3</v>
      </c>
      <c r="Q5132">
        <v>0</v>
      </c>
      <c r="R5132" t="s">
        <v>5281</v>
      </c>
      <c r="S5132" t="s">
        <v>4898</v>
      </c>
      <c r="T5132" t="s">
        <v>2704</v>
      </c>
      <c r="U5132" t="s">
        <v>4560</v>
      </c>
      <c r="V5132" s="2">
        <v>601</v>
      </c>
      <c r="W5132" t="s">
        <v>4655</v>
      </c>
      <c r="X5132" s="2">
        <v>0</v>
      </c>
      <c r="Y5132">
        <v>20</v>
      </c>
      <c r="Z5132" t="s">
        <v>1376</v>
      </c>
      <c r="AA5132" s="3">
        <v>0.35511937737464899</v>
      </c>
      <c r="AB5132" t="s">
        <v>26215</v>
      </c>
      <c r="AC5132" t="s">
        <v>4562</v>
      </c>
      <c r="AD5132" t="s">
        <v>26214</v>
      </c>
      <c r="AE5132" t="s">
        <v>4655</v>
      </c>
      <c r="AF5132" t="s">
        <v>4563</v>
      </c>
      <c r="AG5132" t="s">
        <v>4564</v>
      </c>
      <c r="AH5132">
        <v>89511</v>
      </c>
      <c r="AI5132" t="s">
        <v>2009</v>
      </c>
      <c r="AJ5132" t="s">
        <v>696</v>
      </c>
      <c r="AK5132" t="s">
        <v>26216</v>
      </c>
      <c r="AL5132" s="13" t="s">
        <v>1895</v>
      </c>
      <c r="AM5132">
        <v>1</v>
      </c>
      <c r="AN5132" s="15" t="s">
        <v>459</v>
      </c>
    </row>
    <row r="5133" spans="1:40" x14ac:dyDescent="0.3">
      <c r="A5133" s="10" t="str">
        <f>HYPERLINK("http://www.washoecounty.gov/assessor/cama/?parid=152-271-09&amp;CardNumber=1","152-271-09")</f>
        <v>152-271-09</v>
      </c>
      <c r="B5133" t="s">
        <v>4655</v>
      </c>
      <c r="C5133" t="s">
        <v>26217</v>
      </c>
      <c r="D5133" s="1">
        <v>40421</v>
      </c>
      <c r="E5133" s="2">
        <v>419000</v>
      </c>
      <c r="F5133" t="s">
        <v>4567</v>
      </c>
      <c r="G5133" s="17" t="str">
        <f>HYPERLINK("https://www.washoecounty.gov/assessor/cama/?command=sales&amp;parid=15227109","3917517")</f>
        <v>3917517</v>
      </c>
      <c r="H5133" t="s">
        <v>2262</v>
      </c>
      <c r="I5133">
        <v>2002</v>
      </c>
      <c r="J5133">
        <v>2002</v>
      </c>
      <c r="K5133" t="s">
        <v>4554</v>
      </c>
      <c r="L5133" t="s">
        <v>3974</v>
      </c>
      <c r="M5133" s="2">
        <v>2898</v>
      </c>
      <c r="N5133" t="s">
        <v>3887</v>
      </c>
      <c r="O5133">
        <v>3</v>
      </c>
      <c r="P5133">
        <v>2</v>
      </c>
      <c r="Q5133">
        <v>1</v>
      </c>
      <c r="R5133" t="s">
        <v>5281</v>
      </c>
      <c r="S5133" t="s">
        <v>4898</v>
      </c>
      <c r="T5133" t="s">
        <v>2704</v>
      </c>
      <c r="U5133" t="s">
        <v>5631</v>
      </c>
      <c r="V5133" s="2">
        <v>676</v>
      </c>
      <c r="W5133" t="s">
        <v>4655</v>
      </c>
      <c r="X5133" s="2">
        <v>0</v>
      </c>
      <c r="Y5133">
        <v>20</v>
      </c>
      <c r="Z5133" t="s">
        <v>1376</v>
      </c>
      <c r="AA5133" s="3">
        <v>0.34515610337257402</v>
      </c>
      <c r="AB5133" t="s">
        <v>26218</v>
      </c>
      <c r="AC5133" t="s">
        <v>4562</v>
      </c>
      <c r="AD5133" t="s">
        <v>26217</v>
      </c>
      <c r="AE5133" t="s">
        <v>4655</v>
      </c>
      <c r="AF5133" t="s">
        <v>4563</v>
      </c>
      <c r="AG5133" t="s">
        <v>4564</v>
      </c>
      <c r="AH5133">
        <v>89511</v>
      </c>
      <c r="AI5133" t="s">
        <v>26219</v>
      </c>
      <c r="AJ5133" t="s">
        <v>26220</v>
      </c>
      <c r="AK5133" t="s">
        <v>26221</v>
      </c>
      <c r="AL5133" s="13" t="s">
        <v>1895</v>
      </c>
      <c r="AM5133" s="14">
        <v>1</v>
      </c>
      <c r="AN5133" s="15" t="s">
        <v>459</v>
      </c>
    </row>
    <row r="5134" spans="1:40" x14ac:dyDescent="0.3">
      <c r="A5134" s="10" t="str">
        <f>HYPERLINK("http://www.washoecounty.gov/assessor/cama/?parid=152-280-10&amp;CardNumber=1","152-280-10")</f>
        <v>152-280-10</v>
      </c>
      <c r="B5134" t="s">
        <v>4655</v>
      </c>
      <c r="C5134" t="s">
        <v>26222</v>
      </c>
      <c r="D5134" s="1">
        <v>40339</v>
      </c>
      <c r="E5134" s="2">
        <v>360000</v>
      </c>
      <c r="F5134" t="s">
        <v>4567</v>
      </c>
      <c r="G5134" s="17" t="str">
        <f>HYPERLINK("https://www.washoecounty.gov/assessor/cama/?command=sales&amp;parid=15228010","3890186")</f>
        <v>3890186</v>
      </c>
      <c r="H5134" t="s">
        <v>2262</v>
      </c>
      <c r="I5134">
        <v>2002</v>
      </c>
      <c r="J5134">
        <v>2002</v>
      </c>
      <c r="K5134" t="s">
        <v>4554</v>
      </c>
      <c r="L5134" t="s">
        <v>4555</v>
      </c>
      <c r="M5134" s="2">
        <v>2330</v>
      </c>
      <c r="N5134" t="s">
        <v>3887</v>
      </c>
      <c r="O5134">
        <v>4</v>
      </c>
      <c r="P5134">
        <v>3</v>
      </c>
      <c r="Q5134">
        <v>1</v>
      </c>
      <c r="R5134" t="s">
        <v>5281</v>
      </c>
      <c r="S5134" t="s">
        <v>4898</v>
      </c>
      <c r="T5134" t="s">
        <v>2704</v>
      </c>
      <c r="U5134" t="s">
        <v>4560</v>
      </c>
      <c r="V5134" s="2">
        <v>600</v>
      </c>
      <c r="W5134" t="s">
        <v>4655</v>
      </c>
      <c r="X5134" s="2">
        <v>0</v>
      </c>
      <c r="Y5134">
        <v>20</v>
      </c>
      <c r="Z5134" t="s">
        <v>1376</v>
      </c>
      <c r="AA5134" s="3">
        <v>0.33585858345031699</v>
      </c>
      <c r="AB5134" t="s">
        <v>26223</v>
      </c>
      <c r="AC5134" t="s">
        <v>4562</v>
      </c>
      <c r="AD5134" t="s">
        <v>26224</v>
      </c>
      <c r="AE5134" t="s">
        <v>4655</v>
      </c>
      <c r="AF5134" t="s">
        <v>4563</v>
      </c>
      <c r="AG5134" t="s">
        <v>4564</v>
      </c>
      <c r="AH5134">
        <v>89511</v>
      </c>
      <c r="AI5134" t="s">
        <v>26225</v>
      </c>
      <c r="AJ5134" t="s">
        <v>26220</v>
      </c>
      <c r="AK5134" t="s">
        <v>26226</v>
      </c>
      <c r="AL5134" s="13" t="s">
        <v>1895</v>
      </c>
      <c r="AM5134">
        <v>1</v>
      </c>
      <c r="AN5134" s="15" t="s">
        <v>459</v>
      </c>
    </row>
    <row r="5135" spans="1:40" x14ac:dyDescent="0.3">
      <c r="A5135" s="10" t="str">
        <f>HYPERLINK("http://www.washoecounty.gov/assessor/cama/?parid=152-280-22&amp;CardNumber=1","152-280-22")</f>
        <v>152-280-22</v>
      </c>
      <c r="B5135" t="s">
        <v>4655</v>
      </c>
      <c r="C5135" t="s">
        <v>455</v>
      </c>
      <c r="D5135" s="1">
        <v>40228</v>
      </c>
      <c r="E5135" s="2">
        <v>362900</v>
      </c>
      <c r="F5135" t="s">
        <v>4553</v>
      </c>
      <c r="G5135" s="17" t="str">
        <f>HYPERLINK("https://www.washoecounty.gov/assessor/cama/?command=sales&amp;parid=15228022","3851218")</f>
        <v>3851218</v>
      </c>
      <c r="H5135" t="s">
        <v>456</v>
      </c>
      <c r="I5135">
        <v>2002</v>
      </c>
      <c r="J5135">
        <v>2002</v>
      </c>
      <c r="K5135" t="s">
        <v>4554</v>
      </c>
      <c r="L5135" t="s">
        <v>3974</v>
      </c>
      <c r="M5135" s="2">
        <v>2898</v>
      </c>
      <c r="N5135" t="s">
        <v>3887</v>
      </c>
      <c r="O5135">
        <v>3</v>
      </c>
      <c r="P5135">
        <v>2</v>
      </c>
      <c r="Q5135">
        <v>1</v>
      </c>
      <c r="R5135" t="s">
        <v>5281</v>
      </c>
      <c r="S5135" t="s">
        <v>4898</v>
      </c>
      <c r="T5135" t="s">
        <v>2704</v>
      </c>
      <c r="U5135" t="s">
        <v>5631</v>
      </c>
      <c r="V5135" s="2">
        <v>676</v>
      </c>
      <c r="W5135" t="s">
        <v>4655</v>
      </c>
      <c r="X5135" s="2">
        <v>0</v>
      </c>
      <c r="Y5135">
        <v>20</v>
      </c>
      <c r="Z5135" t="s">
        <v>1376</v>
      </c>
      <c r="AA5135" s="3">
        <v>0.331129491329193</v>
      </c>
      <c r="AB5135" t="s">
        <v>445</v>
      </c>
      <c r="AC5135" t="s">
        <v>4575</v>
      </c>
      <c r="AD5135" t="s">
        <v>455</v>
      </c>
      <c r="AE5135" t="s">
        <v>4655</v>
      </c>
      <c r="AF5135" t="s">
        <v>3114</v>
      </c>
      <c r="AG5135" t="s">
        <v>4564</v>
      </c>
      <c r="AH5135">
        <v>89511</v>
      </c>
      <c r="AI5135" t="s">
        <v>3112</v>
      </c>
      <c r="AJ5135" t="s">
        <v>457</v>
      </c>
      <c r="AK5135" t="s">
        <v>458</v>
      </c>
      <c r="AL5135" s="13" t="s">
        <v>1895</v>
      </c>
      <c r="AM5135">
        <v>1</v>
      </c>
      <c r="AN5135" s="15" t="s">
        <v>459</v>
      </c>
    </row>
    <row r="5136" spans="1:40" x14ac:dyDescent="0.3">
      <c r="A5136" s="10" t="str">
        <f>HYPERLINK("http://www.washoecounty.gov/assessor/cama/?parid=152-330-05&amp;CardNumber=1","152-330-05")</f>
        <v>152-330-05</v>
      </c>
      <c r="B5136" t="s">
        <v>4655</v>
      </c>
      <c r="C5136" t="s">
        <v>26227</v>
      </c>
      <c r="D5136" s="1">
        <v>40232</v>
      </c>
      <c r="E5136" s="2">
        <v>450000</v>
      </c>
      <c r="F5136" t="s">
        <v>4567</v>
      </c>
      <c r="G5136" s="17" t="str">
        <f>HYPERLINK("https://www.washoecounty.gov/assessor/cama/?command=sales&amp;parid=15233005","3851848")</f>
        <v>3851848</v>
      </c>
      <c r="H5136" t="s">
        <v>1170</v>
      </c>
      <c r="I5136">
        <v>2000</v>
      </c>
      <c r="J5136">
        <v>2000</v>
      </c>
      <c r="K5136" t="s">
        <v>4554</v>
      </c>
      <c r="L5136" t="s">
        <v>4555</v>
      </c>
      <c r="M5136" s="2">
        <v>2520</v>
      </c>
      <c r="N5136" t="s">
        <v>3887</v>
      </c>
      <c r="O5136">
        <v>3</v>
      </c>
      <c r="P5136">
        <v>2</v>
      </c>
      <c r="Q5136">
        <v>0</v>
      </c>
      <c r="R5136" t="s">
        <v>4557</v>
      </c>
      <c r="S5136" t="s">
        <v>4898</v>
      </c>
      <c r="T5136" t="s">
        <v>2704</v>
      </c>
      <c r="U5136" t="s">
        <v>4560</v>
      </c>
      <c r="V5136" s="2">
        <v>589</v>
      </c>
      <c r="W5136" t="s">
        <v>4655</v>
      </c>
      <c r="X5136" s="2">
        <v>0</v>
      </c>
      <c r="Y5136">
        <v>20</v>
      </c>
      <c r="Z5136" t="s">
        <v>4051</v>
      </c>
      <c r="AA5136" s="3">
        <v>0.86600089073181097</v>
      </c>
      <c r="AB5136" t="s">
        <v>26228</v>
      </c>
      <c r="AC5136" t="s">
        <v>4575</v>
      </c>
      <c r="AD5136" t="s">
        <v>26227</v>
      </c>
      <c r="AE5136" t="s">
        <v>4655</v>
      </c>
      <c r="AF5136" t="s">
        <v>4563</v>
      </c>
      <c r="AG5136" t="s">
        <v>4564</v>
      </c>
      <c r="AH5136">
        <v>89511</v>
      </c>
      <c r="AI5136" t="s">
        <v>26229</v>
      </c>
      <c r="AJ5136" t="s">
        <v>1171</v>
      </c>
      <c r="AK5136" t="s">
        <v>26230</v>
      </c>
      <c r="AL5136" s="13" t="s">
        <v>1895</v>
      </c>
      <c r="AM5136">
        <v>1</v>
      </c>
      <c r="AN5136" s="15" t="s">
        <v>1169</v>
      </c>
    </row>
    <row r="5137" spans="1:40" x14ac:dyDescent="0.3">
      <c r="A5137" s="10" t="str">
        <f>HYPERLINK("http://www.washoecounty.gov/assessor/cama/?parid=152-330-08&amp;CardNumber=1","152-330-08")</f>
        <v>152-330-08</v>
      </c>
      <c r="B5137" t="s">
        <v>4655</v>
      </c>
      <c r="C5137" t="s">
        <v>26231</v>
      </c>
      <c r="D5137" s="1">
        <v>40479</v>
      </c>
      <c r="E5137" s="2">
        <v>417000</v>
      </c>
      <c r="F5137" t="s">
        <v>4567</v>
      </c>
      <c r="G5137" s="17" t="str">
        <f>HYPERLINK("https://www.washoecounty.gov/assessor/cama/?command=sales&amp;parid=15233008","3937862")</f>
        <v>3937862</v>
      </c>
      <c r="H5137" t="s">
        <v>1170</v>
      </c>
      <c r="I5137">
        <v>2000</v>
      </c>
      <c r="J5137">
        <v>2000</v>
      </c>
      <c r="K5137" t="s">
        <v>4554</v>
      </c>
      <c r="L5137" t="s">
        <v>4555</v>
      </c>
      <c r="M5137" s="2">
        <v>3019</v>
      </c>
      <c r="N5137" t="s">
        <v>3887</v>
      </c>
      <c r="O5137">
        <v>3</v>
      </c>
      <c r="P5137">
        <v>3</v>
      </c>
      <c r="Q5137">
        <v>0</v>
      </c>
      <c r="R5137" t="s">
        <v>4557</v>
      </c>
      <c r="S5137" t="s">
        <v>4898</v>
      </c>
      <c r="T5137" t="s">
        <v>2704</v>
      </c>
      <c r="U5137" t="s">
        <v>4560</v>
      </c>
      <c r="V5137" s="2">
        <v>460</v>
      </c>
      <c r="W5137" t="s">
        <v>4655</v>
      </c>
      <c r="X5137" s="2">
        <v>0</v>
      </c>
      <c r="Y5137">
        <v>20</v>
      </c>
      <c r="Z5137" t="s">
        <v>1376</v>
      </c>
      <c r="AA5137" s="3">
        <v>0.592998147010803</v>
      </c>
      <c r="AB5137" t="s">
        <v>26232</v>
      </c>
      <c r="AC5137" t="s">
        <v>4562</v>
      </c>
      <c r="AD5137" t="s">
        <v>26231</v>
      </c>
      <c r="AE5137" t="s">
        <v>4655</v>
      </c>
      <c r="AF5137" t="s">
        <v>4563</v>
      </c>
      <c r="AG5137" t="s">
        <v>4564</v>
      </c>
      <c r="AH5137">
        <v>89511</v>
      </c>
      <c r="AI5137" t="s">
        <v>26233</v>
      </c>
      <c r="AJ5137" t="s">
        <v>1171</v>
      </c>
      <c r="AK5137" t="s">
        <v>26234</v>
      </c>
      <c r="AL5137" s="13" t="s">
        <v>1895</v>
      </c>
      <c r="AM5137">
        <v>1</v>
      </c>
      <c r="AN5137" s="15" t="s">
        <v>1169</v>
      </c>
    </row>
    <row r="5138" spans="1:40" x14ac:dyDescent="0.3">
      <c r="A5138" s="10" t="str">
        <f>HYPERLINK("http://www.washoecounty.gov/assessor/cama/?parid=152-330-13&amp;CardNumber=1","152-330-13")</f>
        <v>152-330-13</v>
      </c>
      <c r="B5138" t="s">
        <v>4655</v>
      </c>
      <c r="C5138" t="s">
        <v>26235</v>
      </c>
      <c r="D5138" s="1">
        <v>40442</v>
      </c>
      <c r="E5138" s="2">
        <v>380000</v>
      </c>
      <c r="F5138" t="s">
        <v>4567</v>
      </c>
      <c r="G5138" s="17" t="str">
        <f>HYPERLINK("https://www.washoecounty.gov/assessor/cama/?command=sales&amp;parid=15233013","3924745")</f>
        <v>3924745</v>
      </c>
      <c r="H5138" t="s">
        <v>1170</v>
      </c>
      <c r="I5138">
        <v>2000</v>
      </c>
      <c r="J5138">
        <v>2000</v>
      </c>
      <c r="K5138" t="s">
        <v>4554</v>
      </c>
      <c r="L5138" t="s">
        <v>4555</v>
      </c>
      <c r="M5138" s="2">
        <v>2237</v>
      </c>
      <c r="N5138" t="s">
        <v>3887</v>
      </c>
      <c r="O5138">
        <v>3</v>
      </c>
      <c r="P5138">
        <v>2</v>
      </c>
      <c r="Q5138">
        <v>0</v>
      </c>
      <c r="R5138" t="s">
        <v>4557</v>
      </c>
      <c r="S5138" t="s">
        <v>4898</v>
      </c>
      <c r="T5138" t="s">
        <v>2704</v>
      </c>
      <c r="U5138" t="s">
        <v>4560</v>
      </c>
      <c r="V5138" s="2">
        <v>778</v>
      </c>
      <c r="W5138" t="s">
        <v>4655</v>
      </c>
      <c r="X5138" s="2">
        <v>0</v>
      </c>
      <c r="Y5138">
        <v>20</v>
      </c>
      <c r="Z5138" t="s">
        <v>1376</v>
      </c>
      <c r="AA5138" s="3">
        <v>0.53298896551132202</v>
      </c>
      <c r="AB5138" t="s">
        <v>26236</v>
      </c>
      <c r="AC5138" t="s">
        <v>4562</v>
      </c>
      <c r="AD5138" t="s">
        <v>26235</v>
      </c>
      <c r="AE5138" t="s">
        <v>4655</v>
      </c>
      <c r="AF5138" t="s">
        <v>4563</v>
      </c>
      <c r="AG5138" t="s">
        <v>4564</v>
      </c>
      <c r="AH5138">
        <v>89511</v>
      </c>
      <c r="AI5138" t="s">
        <v>26237</v>
      </c>
      <c r="AJ5138" t="s">
        <v>1171</v>
      </c>
      <c r="AK5138" t="s">
        <v>26238</v>
      </c>
      <c r="AL5138" s="13" t="s">
        <v>1895</v>
      </c>
      <c r="AM5138" s="14">
        <v>1</v>
      </c>
      <c r="AN5138" s="15" t="s">
        <v>1169</v>
      </c>
    </row>
    <row r="5139" spans="1:40" x14ac:dyDescent="0.3">
      <c r="A5139" s="10" t="str">
        <f>HYPERLINK("http://www.washoecounty.gov/assessor/cama/?parid=152-330-23&amp;CardNumber=1","152-330-23")</f>
        <v>152-330-23</v>
      </c>
      <c r="B5139" t="s">
        <v>4655</v>
      </c>
      <c r="C5139" t="s">
        <v>26239</v>
      </c>
      <c r="D5139" s="1">
        <v>40204</v>
      </c>
      <c r="E5139" s="2">
        <v>392000</v>
      </c>
      <c r="F5139" t="s">
        <v>4567</v>
      </c>
      <c r="G5139" s="17" t="str">
        <f>HYPERLINK("https://www.washoecounty.gov/assessor/cama/?command=sales&amp;parid=15233023","3842736")</f>
        <v>3842736</v>
      </c>
      <c r="H5139" t="s">
        <v>1170</v>
      </c>
      <c r="I5139">
        <v>2000</v>
      </c>
      <c r="J5139">
        <v>2000</v>
      </c>
      <c r="K5139" t="s">
        <v>4554</v>
      </c>
      <c r="L5139" t="s">
        <v>4555</v>
      </c>
      <c r="M5139" s="2">
        <v>2236</v>
      </c>
      <c r="N5139" t="s">
        <v>3887</v>
      </c>
      <c r="O5139">
        <v>3</v>
      </c>
      <c r="P5139">
        <v>2</v>
      </c>
      <c r="Q5139">
        <v>0</v>
      </c>
      <c r="R5139" t="s">
        <v>5281</v>
      </c>
      <c r="S5139" t="s">
        <v>4898</v>
      </c>
      <c r="T5139" t="s">
        <v>2704</v>
      </c>
      <c r="U5139" t="s">
        <v>4560</v>
      </c>
      <c r="V5139" s="2">
        <v>779</v>
      </c>
      <c r="W5139" t="s">
        <v>4655</v>
      </c>
      <c r="X5139" s="2">
        <v>0</v>
      </c>
      <c r="Y5139">
        <v>20</v>
      </c>
      <c r="Z5139" t="s">
        <v>4051</v>
      </c>
      <c r="AA5139" s="3">
        <v>0.38500916957855202</v>
      </c>
      <c r="AB5139" t="s">
        <v>26240</v>
      </c>
      <c r="AC5139" t="s">
        <v>4562</v>
      </c>
      <c r="AD5139" t="s">
        <v>26239</v>
      </c>
      <c r="AE5139" t="s">
        <v>4655</v>
      </c>
      <c r="AF5139" t="s">
        <v>4563</v>
      </c>
      <c r="AG5139" t="s">
        <v>4564</v>
      </c>
      <c r="AH5139">
        <v>89511</v>
      </c>
      <c r="AI5139" t="s">
        <v>26241</v>
      </c>
      <c r="AJ5139" t="s">
        <v>1171</v>
      </c>
      <c r="AK5139" t="s">
        <v>26242</v>
      </c>
      <c r="AL5139" s="13" t="s">
        <v>1895</v>
      </c>
      <c r="AM5139">
        <v>1</v>
      </c>
      <c r="AN5139" s="15" t="s">
        <v>1169</v>
      </c>
    </row>
    <row r="5140" spans="1:40" x14ac:dyDescent="0.3">
      <c r="A5140" s="10" t="str">
        <f>HYPERLINK("http://www.washoecounty.gov/assessor/cama/?parid=152-340-07&amp;CardNumber=1","152-340-07")</f>
        <v>152-340-07</v>
      </c>
      <c r="B5140" t="s">
        <v>4655</v>
      </c>
      <c r="C5140" t="s">
        <v>26243</v>
      </c>
      <c r="D5140" s="1">
        <v>40476</v>
      </c>
      <c r="E5140" s="2">
        <v>122249</v>
      </c>
      <c r="F5140" t="s">
        <v>3512</v>
      </c>
      <c r="G5140" s="17" t="str">
        <f>HYPERLINK("https://www.washoecounty.gov/assessor/cama/?command=sales&amp;parid=15234007","3936269")</f>
        <v>3936269</v>
      </c>
      <c r="H5140" t="s">
        <v>4279</v>
      </c>
      <c r="I5140">
        <v>0</v>
      </c>
      <c r="J5140">
        <v>0</v>
      </c>
      <c r="K5140" t="s">
        <v>4655</v>
      </c>
      <c r="L5140" t="s">
        <v>4655</v>
      </c>
      <c r="M5140" s="2">
        <v>0</v>
      </c>
      <c r="N5140" t="s">
        <v>4655</v>
      </c>
      <c r="O5140">
        <v>0</v>
      </c>
      <c r="P5140">
        <v>0</v>
      </c>
      <c r="Q5140">
        <v>0</v>
      </c>
      <c r="R5140" t="s">
        <v>4655</v>
      </c>
      <c r="S5140" t="s">
        <v>4655</v>
      </c>
      <c r="T5140" t="s">
        <v>4655</v>
      </c>
      <c r="U5140" t="s">
        <v>4655</v>
      </c>
      <c r="V5140" s="2">
        <v>0</v>
      </c>
      <c r="W5140" t="s">
        <v>4655</v>
      </c>
      <c r="X5140" s="2">
        <v>0</v>
      </c>
      <c r="Y5140">
        <v>12</v>
      </c>
      <c r="Z5140" t="s">
        <v>1376</v>
      </c>
      <c r="AA5140" s="3">
        <v>0.85787421464920044</v>
      </c>
      <c r="AB5140" t="s">
        <v>26244</v>
      </c>
      <c r="AC5140" t="s">
        <v>4575</v>
      </c>
      <c r="AD5140" t="s">
        <v>26245</v>
      </c>
      <c r="AE5140" t="s">
        <v>4655</v>
      </c>
      <c r="AF5140" t="s">
        <v>4563</v>
      </c>
      <c r="AG5140" t="s">
        <v>4564</v>
      </c>
      <c r="AH5140">
        <v>89511</v>
      </c>
      <c r="AI5140" t="s">
        <v>26246</v>
      </c>
      <c r="AJ5140" t="s">
        <v>26247</v>
      </c>
      <c r="AK5140" t="s">
        <v>26248</v>
      </c>
      <c r="AL5140" s="13" t="s">
        <v>1895</v>
      </c>
      <c r="AM5140" s="14">
        <v>0</v>
      </c>
      <c r="AN5140" s="15" t="s">
        <v>4308</v>
      </c>
    </row>
    <row r="5141" spans="1:40" x14ac:dyDescent="0.3">
      <c r="A5141" s="10" t="str">
        <f>HYPERLINK("http://www.washoecounty.gov/assessor/cama/?parid=152-340-08&amp;CardNumber=1","152-340-08")</f>
        <v>152-340-08</v>
      </c>
      <c r="B5141" t="s">
        <v>4655</v>
      </c>
      <c r="C5141" t="s">
        <v>26249</v>
      </c>
      <c r="D5141" s="1">
        <v>40436</v>
      </c>
      <c r="E5141" s="2">
        <v>760000</v>
      </c>
      <c r="F5141" t="s">
        <v>4567</v>
      </c>
      <c r="G5141" s="17" t="str">
        <f>HYPERLINK("https://www.washoecounty.gov/assessor/cama/?command=sales&amp;parid=15234008","3922512")</f>
        <v>3922512</v>
      </c>
      <c r="H5141" t="s">
        <v>4279</v>
      </c>
      <c r="I5141">
        <v>2005</v>
      </c>
      <c r="J5141">
        <v>2005</v>
      </c>
      <c r="K5141" t="s">
        <v>4554</v>
      </c>
      <c r="L5141" t="s">
        <v>4555</v>
      </c>
      <c r="M5141" s="2">
        <v>3363</v>
      </c>
      <c r="N5141" t="s">
        <v>2631</v>
      </c>
      <c r="O5141">
        <v>3</v>
      </c>
      <c r="P5141">
        <v>3</v>
      </c>
      <c r="Q5141">
        <v>1</v>
      </c>
      <c r="R5141" t="s">
        <v>2632</v>
      </c>
      <c r="S5141" t="s">
        <v>4898</v>
      </c>
      <c r="T5141" t="s">
        <v>2704</v>
      </c>
      <c r="U5141" t="s">
        <v>4560</v>
      </c>
      <c r="V5141" s="2">
        <v>1451</v>
      </c>
      <c r="W5141" t="s">
        <v>4655</v>
      </c>
      <c r="X5141" s="2">
        <v>0</v>
      </c>
      <c r="Y5141">
        <v>20</v>
      </c>
      <c r="Z5141" t="s">
        <v>1376</v>
      </c>
      <c r="AA5141" s="3">
        <v>0.62644630670547397</v>
      </c>
      <c r="AB5141" t="s">
        <v>26250</v>
      </c>
      <c r="AC5141" t="s">
        <v>4575</v>
      </c>
      <c r="AD5141" t="s">
        <v>26249</v>
      </c>
      <c r="AE5141" t="s">
        <v>4655</v>
      </c>
      <c r="AF5141" t="s">
        <v>4563</v>
      </c>
      <c r="AG5141" t="s">
        <v>4564</v>
      </c>
      <c r="AH5141">
        <v>89511</v>
      </c>
      <c r="AI5141" t="s">
        <v>26251</v>
      </c>
      <c r="AJ5141" t="s">
        <v>26247</v>
      </c>
      <c r="AK5141" t="s">
        <v>26252</v>
      </c>
      <c r="AL5141" s="13" t="s">
        <v>1895</v>
      </c>
      <c r="AM5141">
        <v>1</v>
      </c>
      <c r="AN5141" s="15" t="s">
        <v>4308</v>
      </c>
    </row>
    <row r="5142" spans="1:40" x14ac:dyDescent="0.3">
      <c r="A5142" s="10" t="str">
        <f>HYPERLINK("http://www.washoecounty.gov/assessor/cama/?parid=152-351-11&amp;CardNumber=1","152-351-11")</f>
        <v>152-351-11</v>
      </c>
      <c r="B5142" t="s">
        <v>4655</v>
      </c>
      <c r="C5142" t="s">
        <v>26253</v>
      </c>
      <c r="D5142" s="1">
        <v>40200</v>
      </c>
      <c r="E5142" s="2">
        <v>600000</v>
      </c>
      <c r="F5142" t="s">
        <v>4567</v>
      </c>
      <c r="G5142" s="17" t="str">
        <f>HYPERLINK("https://www.washoecounty.gov/assessor/cama/?command=sales&amp;parid=15235111","3841913")</f>
        <v>3841913</v>
      </c>
      <c r="H5142" t="s">
        <v>4279</v>
      </c>
      <c r="I5142">
        <v>2002</v>
      </c>
      <c r="J5142">
        <v>2002</v>
      </c>
      <c r="K5142" t="s">
        <v>4554</v>
      </c>
      <c r="L5142" t="s">
        <v>3974</v>
      </c>
      <c r="M5142" s="2">
        <v>4424</v>
      </c>
      <c r="N5142" t="s">
        <v>3457</v>
      </c>
      <c r="O5142">
        <v>4</v>
      </c>
      <c r="P5142">
        <v>4</v>
      </c>
      <c r="Q5142">
        <v>2</v>
      </c>
      <c r="R5142" t="s">
        <v>2632</v>
      </c>
      <c r="S5142" t="s">
        <v>4898</v>
      </c>
      <c r="T5142" t="s">
        <v>2704</v>
      </c>
      <c r="U5142" t="s">
        <v>4560</v>
      </c>
      <c r="V5142" s="2">
        <v>942</v>
      </c>
      <c r="W5142" t="s">
        <v>4655</v>
      </c>
      <c r="X5142" s="2">
        <v>0</v>
      </c>
      <c r="Y5142">
        <v>20</v>
      </c>
      <c r="Z5142" t="s">
        <v>1376</v>
      </c>
      <c r="AA5142" s="3">
        <v>0.50612950325012196</v>
      </c>
      <c r="AB5142" t="s">
        <v>26254</v>
      </c>
      <c r="AC5142" t="s">
        <v>4575</v>
      </c>
      <c r="AD5142" t="s">
        <v>26253</v>
      </c>
      <c r="AE5142" t="s">
        <v>4655</v>
      </c>
      <c r="AF5142" t="s">
        <v>4563</v>
      </c>
      <c r="AG5142" t="s">
        <v>4564</v>
      </c>
      <c r="AH5142">
        <v>89511</v>
      </c>
      <c r="AI5142" t="s">
        <v>26255</v>
      </c>
      <c r="AJ5142" t="s">
        <v>26256</v>
      </c>
      <c r="AK5142" t="s">
        <v>26257</v>
      </c>
      <c r="AL5142" s="13" t="s">
        <v>1895</v>
      </c>
      <c r="AM5142">
        <v>1</v>
      </c>
      <c r="AN5142" s="15" t="s">
        <v>4308</v>
      </c>
    </row>
    <row r="5143" spans="1:40" x14ac:dyDescent="0.3">
      <c r="A5143" s="10" t="str">
        <f>HYPERLINK("http://www.washoecounty.gov/assessor/cama/?parid=152-370-05&amp;CardNumber=1","152-370-05")</f>
        <v>152-370-05</v>
      </c>
      <c r="B5143" t="s">
        <v>4655</v>
      </c>
      <c r="C5143" t="s">
        <v>26258</v>
      </c>
      <c r="D5143" s="1">
        <v>40479</v>
      </c>
      <c r="E5143" s="2">
        <v>515000</v>
      </c>
      <c r="F5143" t="s">
        <v>4567</v>
      </c>
      <c r="G5143" s="17" t="str">
        <f>HYPERLINK("https://www.washoecounty.gov/assessor/cama/?command=sales&amp;parid=15237005","3937949")</f>
        <v>3937949</v>
      </c>
      <c r="H5143" t="s">
        <v>4264</v>
      </c>
      <c r="I5143">
        <v>2001</v>
      </c>
      <c r="J5143">
        <v>2001</v>
      </c>
      <c r="K5143" t="s">
        <v>4554</v>
      </c>
      <c r="L5143" t="s">
        <v>3974</v>
      </c>
      <c r="M5143" s="2">
        <v>3904</v>
      </c>
      <c r="N5143" t="s">
        <v>5106</v>
      </c>
      <c r="O5143">
        <v>5</v>
      </c>
      <c r="P5143">
        <v>4</v>
      </c>
      <c r="Q5143">
        <v>1</v>
      </c>
      <c r="R5143" t="s">
        <v>5281</v>
      </c>
      <c r="S5143" t="s">
        <v>4898</v>
      </c>
      <c r="T5143" t="s">
        <v>2704</v>
      </c>
      <c r="U5143" t="s">
        <v>4560</v>
      </c>
      <c r="V5143" s="2">
        <v>832</v>
      </c>
      <c r="W5143" t="s">
        <v>4655</v>
      </c>
      <c r="X5143" s="2">
        <v>0</v>
      </c>
      <c r="Y5143">
        <v>20</v>
      </c>
      <c r="Z5143" t="s">
        <v>1376</v>
      </c>
      <c r="AA5143" s="3">
        <v>0.89299815893173218</v>
      </c>
      <c r="AB5143" t="s">
        <v>26259</v>
      </c>
      <c r="AC5143" t="s">
        <v>4562</v>
      </c>
      <c r="AD5143" t="s">
        <v>26258</v>
      </c>
      <c r="AE5143" t="s">
        <v>4655</v>
      </c>
      <c r="AF5143" t="s">
        <v>4563</v>
      </c>
      <c r="AG5143" t="s">
        <v>4564</v>
      </c>
      <c r="AH5143">
        <v>89511</v>
      </c>
      <c r="AI5143" t="s">
        <v>26260</v>
      </c>
      <c r="AJ5143" t="s">
        <v>4265</v>
      </c>
      <c r="AK5143" t="s">
        <v>26261</v>
      </c>
      <c r="AL5143" s="13" t="s">
        <v>1895</v>
      </c>
      <c r="AM5143">
        <v>1</v>
      </c>
      <c r="AN5143" s="15" t="s">
        <v>379</v>
      </c>
    </row>
    <row r="5144" spans="1:40" x14ac:dyDescent="0.3">
      <c r="A5144" s="10" t="str">
        <f>HYPERLINK("http://www.washoecounty.gov/assessor/cama/?parid=152-381-10&amp;CardNumber=1","152-381-10")</f>
        <v>152-381-10</v>
      </c>
      <c r="B5144" t="s">
        <v>4655</v>
      </c>
      <c r="C5144" t="s">
        <v>26262</v>
      </c>
      <c r="D5144" s="1">
        <v>40408</v>
      </c>
      <c r="E5144" s="2">
        <v>1060000</v>
      </c>
      <c r="F5144" t="s">
        <v>4567</v>
      </c>
      <c r="G5144" s="17" t="str">
        <f>HYPERLINK("https://www.washoecounty.gov/assessor/cama/?command=sales&amp;parid=15238110","3913376")</f>
        <v>3913376</v>
      </c>
      <c r="H5144" t="s">
        <v>3049</v>
      </c>
      <c r="I5144">
        <v>2006</v>
      </c>
      <c r="J5144">
        <v>2006</v>
      </c>
      <c r="K5144" t="s">
        <v>4554</v>
      </c>
      <c r="L5144" t="s">
        <v>4555</v>
      </c>
      <c r="M5144" s="2">
        <v>3937</v>
      </c>
      <c r="N5144" t="s">
        <v>3457</v>
      </c>
      <c r="O5144">
        <v>4</v>
      </c>
      <c r="P5144">
        <v>4</v>
      </c>
      <c r="Q5144">
        <v>1</v>
      </c>
      <c r="R5144" t="s">
        <v>2632</v>
      </c>
      <c r="S5144" t="s">
        <v>4898</v>
      </c>
      <c r="T5144" t="s">
        <v>2704</v>
      </c>
      <c r="U5144" t="s">
        <v>4560</v>
      </c>
      <c r="V5144" s="2">
        <v>1516</v>
      </c>
      <c r="W5144" t="s">
        <v>1500</v>
      </c>
      <c r="X5144" s="2">
        <v>1014</v>
      </c>
      <c r="Y5144">
        <v>20</v>
      </c>
      <c r="Z5144" t="s">
        <v>1376</v>
      </c>
      <c r="AA5144" s="3">
        <v>0.51400369405746404</v>
      </c>
      <c r="AB5144" t="s">
        <v>26263</v>
      </c>
      <c r="AC5144" t="s">
        <v>4575</v>
      </c>
      <c r="AD5144" t="s">
        <v>26262</v>
      </c>
      <c r="AE5144" t="s">
        <v>4655</v>
      </c>
      <c r="AF5144" t="s">
        <v>4563</v>
      </c>
      <c r="AG5144" t="s">
        <v>4564</v>
      </c>
      <c r="AH5144">
        <v>89511</v>
      </c>
      <c r="AI5144" t="s">
        <v>26264</v>
      </c>
      <c r="AJ5144" t="s">
        <v>3050</v>
      </c>
      <c r="AK5144" t="s">
        <v>26265</v>
      </c>
      <c r="AL5144" s="13" t="s">
        <v>1895</v>
      </c>
      <c r="AM5144" s="14">
        <v>1</v>
      </c>
      <c r="AN5144" s="15" t="s">
        <v>4308</v>
      </c>
    </row>
    <row r="5145" spans="1:40" x14ac:dyDescent="0.3">
      <c r="A5145" s="10" t="str">
        <f>HYPERLINK("http://www.washoecounty.gov/assessor/cama/?parid=152-401-07&amp;CardNumber=1","152-401-07")</f>
        <v>152-401-07</v>
      </c>
      <c r="B5145" t="s">
        <v>4655</v>
      </c>
      <c r="C5145" t="s">
        <v>26266</v>
      </c>
      <c r="D5145" s="1">
        <v>40403</v>
      </c>
      <c r="E5145" s="2">
        <v>389000</v>
      </c>
      <c r="F5145" t="s">
        <v>4553</v>
      </c>
      <c r="G5145" s="17" t="str">
        <f>HYPERLINK("https://www.washoecounty.gov/assessor/cama/?command=sales&amp;parid=15240107","3911566")</f>
        <v>3911566</v>
      </c>
      <c r="H5145" t="s">
        <v>533</v>
      </c>
      <c r="I5145">
        <v>2001</v>
      </c>
      <c r="J5145">
        <v>2001</v>
      </c>
      <c r="K5145" t="s">
        <v>4554</v>
      </c>
      <c r="L5145" t="s">
        <v>3886</v>
      </c>
      <c r="M5145" s="2">
        <v>3147</v>
      </c>
      <c r="N5145" t="s">
        <v>3887</v>
      </c>
      <c r="O5145">
        <v>4</v>
      </c>
      <c r="P5145">
        <v>3</v>
      </c>
      <c r="Q5145">
        <v>1</v>
      </c>
      <c r="R5145" t="s">
        <v>5281</v>
      </c>
      <c r="S5145" t="s">
        <v>4898</v>
      </c>
      <c r="T5145" t="s">
        <v>2704</v>
      </c>
      <c r="U5145" t="s">
        <v>4560</v>
      </c>
      <c r="V5145" s="2">
        <v>648</v>
      </c>
      <c r="W5145" t="s">
        <v>4655</v>
      </c>
      <c r="X5145" s="2">
        <v>0</v>
      </c>
      <c r="Y5145">
        <v>20</v>
      </c>
      <c r="Z5145" t="s">
        <v>1376</v>
      </c>
      <c r="AA5145" s="3">
        <v>0.27601009607315102</v>
      </c>
      <c r="AB5145" t="s">
        <v>26267</v>
      </c>
      <c r="AC5145" t="s">
        <v>4562</v>
      </c>
      <c r="AD5145" t="s">
        <v>26266</v>
      </c>
      <c r="AE5145" t="s">
        <v>4655</v>
      </c>
      <c r="AF5145" t="s">
        <v>4563</v>
      </c>
      <c r="AG5145" t="s">
        <v>4564</v>
      </c>
      <c r="AH5145">
        <v>89511</v>
      </c>
      <c r="AI5145" t="s">
        <v>4655</v>
      </c>
      <c r="AJ5145" t="s">
        <v>534</v>
      </c>
      <c r="AK5145" t="s">
        <v>26268</v>
      </c>
      <c r="AL5145" s="13" t="s">
        <v>1895</v>
      </c>
      <c r="AM5145">
        <v>1</v>
      </c>
      <c r="AN5145" s="15" t="s">
        <v>535</v>
      </c>
    </row>
    <row r="5146" spans="1:40" x14ac:dyDescent="0.3">
      <c r="A5146" s="10" t="str">
        <f>HYPERLINK("http://www.washoecounty.gov/assessor/cama/?parid=152-410-01&amp;CardNumber=1","152-410-01")</f>
        <v>152-410-01</v>
      </c>
      <c r="B5146" t="s">
        <v>4655</v>
      </c>
      <c r="C5146" t="s">
        <v>26269</v>
      </c>
      <c r="D5146" s="1">
        <v>40323</v>
      </c>
      <c r="E5146" s="2">
        <v>380000</v>
      </c>
      <c r="F5146" t="s">
        <v>4567</v>
      </c>
      <c r="G5146" s="17" t="str">
        <f>HYPERLINK("https://www.washoecounty.gov/assessor/cama/?command=sales&amp;parid=15241001","3884958")</f>
        <v>3884958</v>
      </c>
      <c r="H5146" t="s">
        <v>533</v>
      </c>
      <c r="I5146">
        <v>2001</v>
      </c>
      <c r="J5146">
        <v>2001</v>
      </c>
      <c r="K5146" t="s">
        <v>4554</v>
      </c>
      <c r="L5146" t="s">
        <v>3886</v>
      </c>
      <c r="M5146" s="2">
        <v>3152</v>
      </c>
      <c r="N5146" t="s">
        <v>3887</v>
      </c>
      <c r="O5146">
        <v>4</v>
      </c>
      <c r="P5146">
        <v>3</v>
      </c>
      <c r="Q5146">
        <v>1</v>
      </c>
      <c r="R5146" t="s">
        <v>5281</v>
      </c>
      <c r="S5146" t="s">
        <v>4898</v>
      </c>
      <c r="T5146" t="s">
        <v>2704</v>
      </c>
      <c r="U5146" t="s">
        <v>5631</v>
      </c>
      <c r="V5146" s="2">
        <v>672</v>
      </c>
      <c r="W5146" t="s">
        <v>4655</v>
      </c>
      <c r="X5146" s="2">
        <v>0</v>
      </c>
      <c r="Y5146">
        <v>20</v>
      </c>
      <c r="Z5146" t="s">
        <v>1376</v>
      </c>
      <c r="AA5146" s="3">
        <v>0.34400826692581199</v>
      </c>
      <c r="AB5146" t="s">
        <v>26270</v>
      </c>
      <c r="AC5146" t="s">
        <v>4562</v>
      </c>
      <c r="AD5146" t="s">
        <v>26269</v>
      </c>
      <c r="AE5146" t="s">
        <v>4655</v>
      </c>
      <c r="AF5146" t="s">
        <v>4563</v>
      </c>
      <c r="AG5146" t="s">
        <v>4564</v>
      </c>
      <c r="AH5146">
        <v>89511</v>
      </c>
      <c r="AI5146" t="s">
        <v>26271</v>
      </c>
      <c r="AJ5146" t="s">
        <v>534</v>
      </c>
      <c r="AK5146" t="s">
        <v>26272</v>
      </c>
      <c r="AL5146" s="13" t="s">
        <v>1895</v>
      </c>
      <c r="AM5146" s="14">
        <v>1</v>
      </c>
      <c r="AN5146" s="15" t="s">
        <v>535</v>
      </c>
    </row>
    <row r="5147" spans="1:40" x14ac:dyDescent="0.3">
      <c r="A5147" s="10" t="str">
        <f>HYPERLINK("http://www.washoecounty.gov/assessor/cama/?parid=152-410-02&amp;CardNumber=1","152-410-02")</f>
        <v>152-410-02</v>
      </c>
      <c r="B5147" t="s">
        <v>4655</v>
      </c>
      <c r="C5147" t="s">
        <v>26273</v>
      </c>
      <c r="D5147" s="1">
        <v>40256</v>
      </c>
      <c r="E5147" s="2">
        <v>550000</v>
      </c>
      <c r="F5147" t="s">
        <v>4567</v>
      </c>
      <c r="G5147" s="17" t="str">
        <f>HYPERLINK("https://www.washoecounty.gov/assessor/cama/?command=sales&amp;parid=15241002","3861466")</f>
        <v>3861466</v>
      </c>
      <c r="H5147" t="s">
        <v>533</v>
      </c>
      <c r="I5147">
        <v>2001</v>
      </c>
      <c r="J5147">
        <v>2001</v>
      </c>
      <c r="K5147" t="s">
        <v>4554</v>
      </c>
      <c r="L5147" t="s">
        <v>4555</v>
      </c>
      <c r="M5147" s="2">
        <v>2705</v>
      </c>
      <c r="N5147" t="s">
        <v>3887</v>
      </c>
      <c r="O5147">
        <v>3</v>
      </c>
      <c r="P5147">
        <v>2</v>
      </c>
      <c r="Q5147">
        <v>1</v>
      </c>
      <c r="R5147" t="s">
        <v>5281</v>
      </c>
      <c r="S5147" t="s">
        <v>4898</v>
      </c>
      <c r="T5147" t="s">
        <v>2704</v>
      </c>
      <c r="U5147" t="s">
        <v>4560</v>
      </c>
      <c r="V5147" s="2">
        <v>686</v>
      </c>
      <c r="W5147" t="s">
        <v>4655</v>
      </c>
      <c r="X5147" s="2">
        <v>0</v>
      </c>
      <c r="Y5147">
        <v>20</v>
      </c>
      <c r="Z5147" t="s">
        <v>1376</v>
      </c>
      <c r="AA5147" s="3">
        <v>0.31799817085266102</v>
      </c>
      <c r="AB5147" t="s">
        <v>26274</v>
      </c>
      <c r="AC5147" t="s">
        <v>4562</v>
      </c>
      <c r="AD5147" t="s">
        <v>26273</v>
      </c>
      <c r="AE5147" t="s">
        <v>4655</v>
      </c>
      <c r="AF5147" t="s">
        <v>4563</v>
      </c>
      <c r="AG5147" t="s">
        <v>4564</v>
      </c>
      <c r="AH5147">
        <v>89511</v>
      </c>
      <c r="AI5147" t="s">
        <v>26275</v>
      </c>
      <c r="AJ5147" t="s">
        <v>534</v>
      </c>
      <c r="AK5147" t="s">
        <v>26276</v>
      </c>
      <c r="AL5147" s="13" t="s">
        <v>1895</v>
      </c>
      <c r="AM5147" s="14">
        <v>1</v>
      </c>
      <c r="AN5147" s="15" t="s">
        <v>535</v>
      </c>
    </row>
    <row r="5148" spans="1:40" x14ac:dyDescent="0.3">
      <c r="A5148" s="10" t="str">
        <f>HYPERLINK("http://www.washoecounty.gov/assessor/cama/?parid=152-410-04&amp;CardNumber=1","152-410-04")</f>
        <v>152-410-04</v>
      </c>
      <c r="B5148" t="s">
        <v>4655</v>
      </c>
      <c r="C5148" t="s">
        <v>26277</v>
      </c>
      <c r="D5148" s="1">
        <v>40227</v>
      </c>
      <c r="E5148" s="2">
        <v>587000</v>
      </c>
      <c r="F5148" t="s">
        <v>4567</v>
      </c>
      <c r="G5148" s="17" t="str">
        <f>HYPERLINK("https://www.washoecounty.gov/assessor/cama/?command=sales&amp;parid=15241004","3850516")</f>
        <v>3850516</v>
      </c>
      <c r="H5148" t="s">
        <v>533</v>
      </c>
      <c r="I5148">
        <v>2001</v>
      </c>
      <c r="J5148">
        <v>2001</v>
      </c>
      <c r="K5148" t="s">
        <v>4554</v>
      </c>
      <c r="L5148" t="s">
        <v>4555</v>
      </c>
      <c r="M5148" s="2">
        <v>2705</v>
      </c>
      <c r="N5148" t="s">
        <v>3887</v>
      </c>
      <c r="O5148">
        <v>3</v>
      </c>
      <c r="P5148">
        <v>2</v>
      </c>
      <c r="Q5148">
        <v>1</v>
      </c>
      <c r="R5148" t="s">
        <v>5281</v>
      </c>
      <c r="S5148" t="s">
        <v>4898</v>
      </c>
      <c r="T5148" t="s">
        <v>2704</v>
      </c>
      <c r="U5148" t="s">
        <v>4560</v>
      </c>
      <c r="V5148" s="2">
        <v>686</v>
      </c>
      <c r="W5148" t="s">
        <v>4655</v>
      </c>
      <c r="X5148" s="2">
        <v>0</v>
      </c>
      <c r="Y5148">
        <v>20</v>
      </c>
      <c r="Z5148" t="s">
        <v>1376</v>
      </c>
      <c r="AA5148" s="3">
        <v>0.285009175539017</v>
      </c>
      <c r="AB5148" t="s">
        <v>26278</v>
      </c>
      <c r="AC5148" t="s">
        <v>4562</v>
      </c>
      <c r="AD5148" t="s">
        <v>26277</v>
      </c>
      <c r="AE5148" t="s">
        <v>4655</v>
      </c>
      <c r="AF5148" t="s">
        <v>4563</v>
      </c>
      <c r="AG5148" t="s">
        <v>4564</v>
      </c>
      <c r="AH5148">
        <v>89511</v>
      </c>
      <c r="AI5148" t="s">
        <v>26279</v>
      </c>
      <c r="AJ5148" t="s">
        <v>534</v>
      </c>
      <c r="AK5148" t="s">
        <v>26280</v>
      </c>
      <c r="AL5148" s="13" t="s">
        <v>1895</v>
      </c>
      <c r="AM5148">
        <v>1</v>
      </c>
      <c r="AN5148" s="15" t="s">
        <v>535</v>
      </c>
    </row>
    <row r="5149" spans="1:40" x14ac:dyDescent="0.3">
      <c r="A5149" s="10" t="str">
        <f>HYPERLINK("http://www.washoecounty.gov/assessor/cama/?parid=152-453-03&amp;CardNumber=1","152-453-03")</f>
        <v>152-453-03</v>
      </c>
      <c r="B5149" t="s">
        <v>4655</v>
      </c>
      <c r="C5149" t="s">
        <v>26281</v>
      </c>
      <c r="D5149" s="1">
        <v>40483</v>
      </c>
      <c r="E5149" s="2">
        <v>816000</v>
      </c>
      <c r="F5149" t="s">
        <v>4553</v>
      </c>
      <c r="G5149" s="17" t="str">
        <f>HYPERLINK("https://www.washoecounty.gov/assessor/cama/?command=sales&amp;parid=15245303","3938713")</f>
        <v>3938713</v>
      </c>
      <c r="H5149" t="s">
        <v>5307</v>
      </c>
      <c r="I5149">
        <v>2005</v>
      </c>
      <c r="J5149">
        <v>2005</v>
      </c>
      <c r="K5149" t="s">
        <v>4554</v>
      </c>
      <c r="L5149" t="s">
        <v>4555</v>
      </c>
      <c r="M5149" s="2">
        <v>4683</v>
      </c>
      <c r="N5149" t="s">
        <v>2967</v>
      </c>
      <c r="O5149">
        <v>4</v>
      </c>
      <c r="P5149">
        <v>3</v>
      </c>
      <c r="Q5149">
        <v>2</v>
      </c>
      <c r="R5149" t="s">
        <v>2632</v>
      </c>
      <c r="S5149" t="s">
        <v>4898</v>
      </c>
      <c r="T5149" t="s">
        <v>2704</v>
      </c>
      <c r="U5149" t="s">
        <v>4560</v>
      </c>
      <c r="V5149" s="2">
        <v>1209</v>
      </c>
      <c r="W5149" t="s">
        <v>4655</v>
      </c>
      <c r="X5149" s="2">
        <v>0</v>
      </c>
      <c r="Y5149">
        <v>20</v>
      </c>
      <c r="Z5149" t="s">
        <v>1376</v>
      </c>
      <c r="AA5149" s="3">
        <v>1.0614324808120701</v>
      </c>
      <c r="AB5149" t="s">
        <v>26282</v>
      </c>
      <c r="AC5149" t="s">
        <v>4562</v>
      </c>
      <c r="AD5149" t="s">
        <v>26283</v>
      </c>
      <c r="AE5149" t="s">
        <v>4655</v>
      </c>
      <c r="AF5149" t="s">
        <v>4563</v>
      </c>
      <c r="AG5149" t="s">
        <v>4564</v>
      </c>
      <c r="AH5149">
        <v>89511</v>
      </c>
      <c r="AI5149" t="s">
        <v>4045</v>
      </c>
      <c r="AJ5149" t="s">
        <v>5308</v>
      </c>
      <c r="AK5149" t="s">
        <v>26284</v>
      </c>
      <c r="AL5149" s="13" t="s">
        <v>1895</v>
      </c>
      <c r="AM5149">
        <v>1</v>
      </c>
      <c r="AN5149" s="15" t="s">
        <v>4308</v>
      </c>
    </row>
    <row r="5150" spans="1:40" x14ac:dyDescent="0.3">
      <c r="A5150" s="10" t="str">
        <f>HYPERLINK("http://www.washoecounty.gov/assessor/cama/?parid=152-455-10&amp;CardNumber=1","152-455-10")</f>
        <v>152-455-10</v>
      </c>
      <c r="B5150" t="s">
        <v>4655</v>
      </c>
      <c r="C5150" t="s">
        <v>26285</v>
      </c>
      <c r="D5150" s="1">
        <v>40499</v>
      </c>
      <c r="E5150" s="2">
        <v>64149</v>
      </c>
      <c r="F5150" t="s">
        <v>3512</v>
      </c>
      <c r="G5150" s="17" t="str">
        <f>HYPERLINK("https://www.washoecounty.gov/assessor/cama/?command=sales&amp;parid=15245510","3943892")</f>
        <v>3943892</v>
      </c>
      <c r="H5150" t="s">
        <v>5307</v>
      </c>
      <c r="I5150">
        <v>0</v>
      </c>
      <c r="J5150">
        <v>0</v>
      </c>
      <c r="K5150" t="s">
        <v>4655</v>
      </c>
      <c r="L5150" t="s">
        <v>4655</v>
      </c>
      <c r="M5150" s="2">
        <v>0</v>
      </c>
      <c r="N5150" t="s">
        <v>4655</v>
      </c>
      <c r="O5150">
        <v>0</v>
      </c>
      <c r="P5150">
        <v>0</v>
      </c>
      <c r="Q5150">
        <v>0</v>
      </c>
      <c r="R5150" t="s">
        <v>4655</v>
      </c>
      <c r="S5150" t="s">
        <v>4655</v>
      </c>
      <c r="T5150" t="s">
        <v>4655</v>
      </c>
      <c r="U5150" t="s">
        <v>4655</v>
      </c>
      <c r="V5150" s="2">
        <v>0</v>
      </c>
      <c r="W5150" t="s">
        <v>4655</v>
      </c>
      <c r="X5150" s="2">
        <v>0</v>
      </c>
      <c r="Y5150">
        <v>12</v>
      </c>
      <c r="Z5150" t="s">
        <v>1376</v>
      </c>
      <c r="AA5150" s="3">
        <v>1.26538109779357</v>
      </c>
      <c r="AB5150" t="s">
        <v>2449</v>
      </c>
      <c r="AC5150" t="s">
        <v>4575</v>
      </c>
      <c r="AD5150" t="s">
        <v>475</v>
      </c>
      <c r="AE5150" t="s">
        <v>4655</v>
      </c>
      <c r="AF5150" t="s">
        <v>2450</v>
      </c>
      <c r="AG5150" t="s">
        <v>4564</v>
      </c>
      <c r="AH5150" t="s">
        <v>4146</v>
      </c>
      <c r="AI5150" t="s">
        <v>4226</v>
      </c>
      <c r="AJ5150" t="s">
        <v>5308</v>
      </c>
      <c r="AK5150" t="s">
        <v>26286</v>
      </c>
      <c r="AL5150" s="13" t="s">
        <v>1895</v>
      </c>
      <c r="AM5150" s="14">
        <v>0</v>
      </c>
      <c r="AN5150" s="15" t="s">
        <v>4308</v>
      </c>
    </row>
    <row r="5151" spans="1:40" x14ac:dyDescent="0.3">
      <c r="A5151" s="10" t="str">
        <f>HYPERLINK("http://www.washoecounty.gov/assessor/cama/?parid=152-462-16&amp;CardNumber=1","152-462-16")</f>
        <v>152-462-16</v>
      </c>
      <c r="B5151" t="s">
        <v>4655</v>
      </c>
      <c r="C5151" t="s">
        <v>26287</v>
      </c>
      <c r="D5151" s="1">
        <v>40499</v>
      </c>
      <c r="E5151" s="2">
        <v>61249</v>
      </c>
      <c r="F5151" t="s">
        <v>3512</v>
      </c>
      <c r="G5151" s="17" t="str">
        <f>HYPERLINK("https://www.washoecounty.gov/assessor/cama/?command=sales&amp;parid=15246216","3943894")</f>
        <v>3943894</v>
      </c>
      <c r="H5151" t="s">
        <v>4478</v>
      </c>
      <c r="I5151">
        <v>0</v>
      </c>
      <c r="J5151">
        <v>0</v>
      </c>
      <c r="K5151" t="s">
        <v>4655</v>
      </c>
      <c r="L5151" t="s">
        <v>4655</v>
      </c>
      <c r="M5151" s="2">
        <v>0</v>
      </c>
      <c r="N5151" t="s">
        <v>4655</v>
      </c>
      <c r="O5151">
        <v>0</v>
      </c>
      <c r="P5151">
        <v>0</v>
      </c>
      <c r="Q5151">
        <v>0</v>
      </c>
      <c r="R5151" t="s">
        <v>4655</v>
      </c>
      <c r="S5151" t="s">
        <v>4655</v>
      </c>
      <c r="T5151" t="s">
        <v>4655</v>
      </c>
      <c r="U5151" t="s">
        <v>4655</v>
      </c>
      <c r="V5151" s="2">
        <v>0</v>
      </c>
      <c r="W5151" t="s">
        <v>4655</v>
      </c>
      <c r="X5151" s="2">
        <v>0</v>
      </c>
      <c r="Y5151">
        <v>12</v>
      </c>
      <c r="Z5151" t="s">
        <v>1376</v>
      </c>
      <c r="AA5151" s="3">
        <v>0.50009185075759799</v>
      </c>
      <c r="AB5151" t="s">
        <v>2449</v>
      </c>
      <c r="AC5151" t="s">
        <v>4575</v>
      </c>
      <c r="AD5151" t="s">
        <v>475</v>
      </c>
      <c r="AE5151" t="s">
        <v>4655</v>
      </c>
      <c r="AF5151" t="s">
        <v>2450</v>
      </c>
      <c r="AG5151" t="s">
        <v>4564</v>
      </c>
      <c r="AH5151" t="s">
        <v>4146</v>
      </c>
      <c r="AI5151" t="s">
        <v>4226</v>
      </c>
      <c r="AJ5151" t="s">
        <v>4480</v>
      </c>
      <c r="AK5151" t="s">
        <v>26288</v>
      </c>
      <c r="AL5151" s="13" t="s">
        <v>1895</v>
      </c>
      <c r="AM5151" s="14">
        <v>0</v>
      </c>
      <c r="AN5151" s="15" t="s">
        <v>4308</v>
      </c>
    </row>
    <row r="5152" spans="1:40" x14ac:dyDescent="0.3">
      <c r="A5152" s="10" t="str">
        <f>HYPERLINK("http://www.washoecounty.gov/assessor/cama/?parid=152-462-18&amp;CardNumber=1","152-462-18")</f>
        <v>152-462-18</v>
      </c>
      <c r="B5152" t="s">
        <v>4655</v>
      </c>
      <c r="C5152" t="s">
        <v>26289</v>
      </c>
      <c r="D5152" s="1">
        <v>40417</v>
      </c>
      <c r="E5152" s="2">
        <v>795000</v>
      </c>
      <c r="F5152" t="s">
        <v>4567</v>
      </c>
      <c r="G5152" s="17" t="str">
        <f>HYPERLINK("https://www.washoecounty.gov/assessor/cama/?command=sales&amp;parid=15246218","3916472")</f>
        <v>3916472</v>
      </c>
      <c r="H5152" t="s">
        <v>4478</v>
      </c>
      <c r="I5152">
        <v>2003</v>
      </c>
      <c r="J5152">
        <v>2003</v>
      </c>
      <c r="K5152" t="s">
        <v>4554</v>
      </c>
      <c r="L5152" t="s">
        <v>4555</v>
      </c>
      <c r="M5152" s="2">
        <v>5845</v>
      </c>
      <c r="N5152" t="s">
        <v>2631</v>
      </c>
      <c r="O5152">
        <v>5</v>
      </c>
      <c r="P5152">
        <v>6</v>
      </c>
      <c r="Q5152">
        <v>1</v>
      </c>
      <c r="R5152" t="s">
        <v>2632</v>
      </c>
      <c r="S5152" t="s">
        <v>4898</v>
      </c>
      <c r="T5152" t="s">
        <v>2704</v>
      </c>
      <c r="U5152" t="s">
        <v>4560</v>
      </c>
      <c r="V5152" s="2">
        <v>2032</v>
      </c>
      <c r="W5152" t="s">
        <v>4655</v>
      </c>
      <c r="X5152" s="2">
        <v>0</v>
      </c>
      <c r="Y5152">
        <v>20</v>
      </c>
      <c r="Z5152" t="s">
        <v>1376</v>
      </c>
      <c r="AA5152" s="3">
        <v>0.99106979370117099</v>
      </c>
      <c r="AB5152" t="s">
        <v>26290</v>
      </c>
      <c r="AC5152" t="s">
        <v>4562</v>
      </c>
      <c r="AD5152" t="s">
        <v>26291</v>
      </c>
      <c r="AE5152" t="s">
        <v>4655</v>
      </c>
      <c r="AF5152" t="s">
        <v>26292</v>
      </c>
      <c r="AG5152" t="s">
        <v>5204</v>
      </c>
      <c r="AH5152">
        <v>60025</v>
      </c>
      <c r="AI5152" t="s">
        <v>26293</v>
      </c>
      <c r="AJ5152" t="s">
        <v>4480</v>
      </c>
      <c r="AK5152" t="s">
        <v>26294</v>
      </c>
      <c r="AL5152" s="13" t="s">
        <v>1895</v>
      </c>
      <c r="AM5152" s="14">
        <v>1</v>
      </c>
      <c r="AN5152" s="15" t="s">
        <v>4308</v>
      </c>
    </row>
    <row r="5153" spans="1:40" x14ac:dyDescent="0.3">
      <c r="A5153" s="10" t="str">
        <f>HYPERLINK("http://www.washoecounty.gov/assessor/cama/?parid=152-462-21&amp;CardNumber=1","152-462-21")</f>
        <v>152-462-21</v>
      </c>
      <c r="B5153" t="s">
        <v>4655</v>
      </c>
      <c r="C5153" t="s">
        <v>4477</v>
      </c>
      <c r="D5153" s="1">
        <v>40263</v>
      </c>
      <c r="E5153" s="2">
        <v>49528</v>
      </c>
      <c r="F5153" t="s">
        <v>3512</v>
      </c>
      <c r="G5153" s="17" t="str">
        <f>HYPERLINK("https://www.washoecounty.gov/assessor/cama/?command=sales&amp;parid=15246221","3864579")</f>
        <v>3864579</v>
      </c>
      <c r="H5153" t="s">
        <v>4478</v>
      </c>
      <c r="I5153">
        <v>0</v>
      </c>
      <c r="J5153">
        <v>0</v>
      </c>
      <c r="K5153" t="s">
        <v>4655</v>
      </c>
      <c r="L5153" t="s">
        <v>4655</v>
      </c>
      <c r="M5153" s="2">
        <v>0</v>
      </c>
      <c r="N5153" t="s">
        <v>4655</v>
      </c>
      <c r="O5153">
        <v>0</v>
      </c>
      <c r="P5153">
        <v>0</v>
      </c>
      <c r="Q5153">
        <v>0</v>
      </c>
      <c r="R5153" t="s">
        <v>4655</v>
      </c>
      <c r="S5153" t="s">
        <v>4655</v>
      </c>
      <c r="T5153" t="s">
        <v>4655</v>
      </c>
      <c r="U5153" t="s">
        <v>4655</v>
      </c>
      <c r="V5153" s="2">
        <v>0</v>
      </c>
      <c r="W5153" t="s">
        <v>4655</v>
      </c>
      <c r="X5153" s="2">
        <v>0</v>
      </c>
      <c r="Y5153">
        <v>12</v>
      </c>
      <c r="Z5153" t="s">
        <v>1376</v>
      </c>
      <c r="AA5153" s="3">
        <v>0.62970614433288497</v>
      </c>
      <c r="AB5153" t="s">
        <v>4479</v>
      </c>
      <c r="AC5153" t="s">
        <v>4562</v>
      </c>
      <c r="AD5153" t="s">
        <v>26295</v>
      </c>
      <c r="AE5153" t="s">
        <v>4655</v>
      </c>
      <c r="AF5153" t="s">
        <v>4149</v>
      </c>
      <c r="AG5153" t="s">
        <v>5277</v>
      </c>
      <c r="AH5153">
        <v>85014</v>
      </c>
      <c r="AI5153" t="s">
        <v>26296</v>
      </c>
      <c r="AJ5153" t="s">
        <v>4480</v>
      </c>
      <c r="AK5153" t="s">
        <v>4481</v>
      </c>
      <c r="AL5153" s="13" t="s">
        <v>1895</v>
      </c>
      <c r="AM5153">
        <v>0</v>
      </c>
      <c r="AN5153" s="15" t="s">
        <v>4308</v>
      </c>
    </row>
    <row r="5154" spans="1:40" x14ac:dyDescent="0.3">
      <c r="A5154" s="10" t="str">
        <f>HYPERLINK("http://www.washoecounty.gov/assessor/cama/?parid=152-462-22&amp;CardNumber=1","152-462-22")</f>
        <v>152-462-22</v>
      </c>
      <c r="B5154" t="s">
        <v>4655</v>
      </c>
      <c r="C5154" t="s">
        <v>26297</v>
      </c>
      <c r="D5154" s="1">
        <v>40499</v>
      </c>
      <c r="E5154" s="2">
        <v>59249</v>
      </c>
      <c r="F5154" t="s">
        <v>3512</v>
      </c>
      <c r="G5154" s="17" t="str">
        <f>HYPERLINK("https://www.washoecounty.gov/assessor/cama/?command=sales&amp;parid=15246222","3943893")</f>
        <v>3943893</v>
      </c>
      <c r="H5154" t="s">
        <v>4478</v>
      </c>
      <c r="I5154">
        <v>0</v>
      </c>
      <c r="J5154">
        <v>0</v>
      </c>
      <c r="K5154" t="s">
        <v>4655</v>
      </c>
      <c r="L5154" t="s">
        <v>4655</v>
      </c>
      <c r="M5154" s="2">
        <v>0</v>
      </c>
      <c r="N5154" t="s">
        <v>4655</v>
      </c>
      <c r="O5154">
        <v>0</v>
      </c>
      <c r="P5154">
        <v>0</v>
      </c>
      <c r="Q5154">
        <v>0</v>
      </c>
      <c r="R5154" t="s">
        <v>4655</v>
      </c>
      <c r="S5154" t="s">
        <v>4655</v>
      </c>
      <c r="T5154" t="s">
        <v>4655</v>
      </c>
      <c r="U5154" t="s">
        <v>4655</v>
      </c>
      <c r="V5154" s="2">
        <v>0</v>
      </c>
      <c r="W5154" t="s">
        <v>4655</v>
      </c>
      <c r="X5154" s="2">
        <v>0</v>
      </c>
      <c r="Y5154">
        <v>12</v>
      </c>
      <c r="Z5154" t="s">
        <v>1376</v>
      </c>
      <c r="AA5154" s="3">
        <v>0.92369145154953003</v>
      </c>
      <c r="AB5154" t="s">
        <v>2449</v>
      </c>
      <c r="AC5154" t="s">
        <v>4575</v>
      </c>
      <c r="AD5154" t="s">
        <v>475</v>
      </c>
      <c r="AE5154" t="s">
        <v>4655</v>
      </c>
      <c r="AF5154" t="s">
        <v>2450</v>
      </c>
      <c r="AG5154" t="s">
        <v>4564</v>
      </c>
      <c r="AH5154" t="s">
        <v>4146</v>
      </c>
      <c r="AI5154" t="s">
        <v>4226</v>
      </c>
      <c r="AJ5154" t="s">
        <v>4480</v>
      </c>
      <c r="AK5154" t="s">
        <v>26298</v>
      </c>
      <c r="AL5154" s="13" t="s">
        <v>1895</v>
      </c>
      <c r="AM5154">
        <v>0</v>
      </c>
      <c r="AN5154" s="15" t="s">
        <v>4308</v>
      </c>
    </row>
    <row r="5155" spans="1:40" x14ac:dyDescent="0.3">
      <c r="A5155" s="10" t="str">
        <f>HYPERLINK("http://www.washoecounty.gov/assessor/cama/?parid=152-462-22&amp;CardNumber=1","152-462-22")</f>
        <v>152-462-22</v>
      </c>
      <c r="B5155" t="s">
        <v>4655</v>
      </c>
      <c r="C5155" t="s">
        <v>26297</v>
      </c>
      <c r="D5155" s="1">
        <v>40494</v>
      </c>
      <c r="E5155" s="2">
        <v>112000</v>
      </c>
      <c r="F5155" t="s">
        <v>3174</v>
      </c>
      <c r="G5155" s="17" t="str">
        <f>HYPERLINK("https://www.washoecounty.gov/assessor/cama/?command=sales&amp;parid=15246222","3942437")</f>
        <v>3942437</v>
      </c>
      <c r="H5155" t="s">
        <v>4478</v>
      </c>
      <c r="I5155">
        <v>0</v>
      </c>
      <c r="J5155">
        <v>0</v>
      </c>
      <c r="K5155" t="s">
        <v>4655</v>
      </c>
      <c r="L5155" t="s">
        <v>4655</v>
      </c>
      <c r="M5155" s="2">
        <v>0</v>
      </c>
      <c r="N5155" t="s">
        <v>4655</v>
      </c>
      <c r="O5155">
        <v>0</v>
      </c>
      <c r="P5155">
        <v>0</v>
      </c>
      <c r="Q5155">
        <v>0</v>
      </c>
      <c r="R5155" t="s">
        <v>4655</v>
      </c>
      <c r="S5155" t="s">
        <v>4655</v>
      </c>
      <c r="T5155" t="s">
        <v>4655</v>
      </c>
      <c r="U5155" t="s">
        <v>4655</v>
      </c>
      <c r="V5155" s="2">
        <v>0</v>
      </c>
      <c r="W5155" t="s">
        <v>4655</v>
      </c>
      <c r="X5155" s="2">
        <v>0</v>
      </c>
      <c r="Y5155">
        <v>12</v>
      </c>
      <c r="Z5155" t="s">
        <v>1376</v>
      </c>
      <c r="AA5155" s="3">
        <v>0.92369145154953003</v>
      </c>
      <c r="AB5155" t="s">
        <v>2449</v>
      </c>
      <c r="AC5155" t="s">
        <v>4575</v>
      </c>
      <c r="AD5155" t="s">
        <v>475</v>
      </c>
      <c r="AE5155" t="s">
        <v>4655</v>
      </c>
      <c r="AF5155" t="s">
        <v>2450</v>
      </c>
      <c r="AG5155" t="s">
        <v>4564</v>
      </c>
      <c r="AH5155" t="s">
        <v>4146</v>
      </c>
      <c r="AI5155" t="s">
        <v>4226</v>
      </c>
      <c r="AJ5155" t="s">
        <v>4480</v>
      </c>
      <c r="AK5155" t="s">
        <v>26298</v>
      </c>
      <c r="AL5155" s="13" t="s">
        <v>1895</v>
      </c>
      <c r="AM5155">
        <v>0</v>
      </c>
      <c r="AN5155" s="15" t="s">
        <v>4308</v>
      </c>
    </row>
    <row r="5156" spans="1:40" x14ac:dyDescent="0.3">
      <c r="A5156" s="10" t="str">
        <f>HYPERLINK("http://www.washoecounty.gov/assessor/cama/?parid=152-480-03&amp;CardNumber=1","152-480-03")</f>
        <v>152-480-03</v>
      </c>
      <c r="B5156" t="s">
        <v>4655</v>
      </c>
      <c r="C5156" t="s">
        <v>26299</v>
      </c>
      <c r="D5156" s="1">
        <v>40318</v>
      </c>
      <c r="E5156" s="2">
        <v>632367</v>
      </c>
      <c r="F5156" t="s">
        <v>4553</v>
      </c>
      <c r="G5156" s="17" t="str">
        <f>HYPERLINK("https://www.washoecounty.gov/assessor/cama/?command=sales&amp;parid=15248003","3883519")</f>
        <v>3883519</v>
      </c>
      <c r="H5156" t="s">
        <v>4366</v>
      </c>
      <c r="I5156">
        <v>2003</v>
      </c>
      <c r="J5156">
        <v>2003</v>
      </c>
      <c r="K5156" t="s">
        <v>4554</v>
      </c>
      <c r="L5156" t="s">
        <v>4555</v>
      </c>
      <c r="M5156" s="2">
        <v>3650</v>
      </c>
      <c r="N5156" t="s">
        <v>8283</v>
      </c>
      <c r="O5156">
        <v>3</v>
      </c>
      <c r="P5156">
        <v>3</v>
      </c>
      <c r="Q5156">
        <v>1</v>
      </c>
      <c r="R5156" t="s">
        <v>5281</v>
      </c>
      <c r="S5156" t="s">
        <v>4898</v>
      </c>
      <c r="T5156" t="s">
        <v>2704</v>
      </c>
      <c r="U5156" t="s">
        <v>4560</v>
      </c>
      <c r="V5156" s="2">
        <v>1546</v>
      </c>
      <c r="W5156" t="s">
        <v>4655</v>
      </c>
      <c r="X5156" s="2">
        <v>0</v>
      </c>
      <c r="Y5156">
        <v>20</v>
      </c>
      <c r="Z5156" t="s">
        <v>1376</v>
      </c>
      <c r="AA5156" s="3">
        <v>1</v>
      </c>
      <c r="AB5156" t="s">
        <v>26300</v>
      </c>
      <c r="AC5156" t="s">
        <v>4575</v>
      </c>
      <c r="AD5156" t="s">
        <v>26301</v>
      </c>
      <c r="AE5156" t="s">
        <v>4655</v>
      </c>
      <c r="AF5156" t="s">
        <v>26302</v>
      </c>
      <c r="AG5156" t="s">
        <v>2782</v>
      </c>
      <c r="AH5156" t="s">
        <v>26303</v>
      </c>
      <c r="AI5156" t="s">
        <v>26304</v>
      </c>
      <c r="AJ5156" t="s">
        <v>4840</v>
      </c>
      <c r="AK5156" t="s">
        <v>26305</v>
      </c>
      <c r="AL5156" s="13" t="s">
        <v>1895</v>
      </c>
      <c r="AM5156" s="14">
        <v>1</v>
      </c>
      <c r="AN5156" s="15" t="s">
        <v>4308</v>
      </c>
    </row>
    <row r="5157" spans="1:40" x14ac:dyDescent="0.3">
      <c r="A5157" s="10" t="str">
        <f>HYPERLINK("http://www.washoecounty.gov/assessor/cama/?parid=152-493-02&amp;CardNumber=1","152-493-02")</f>
        <v>152-493-02</v>
      </c>
      <c r="B5157" t="s">
        <v>4655</v>
      </c>
      <c r="C5157" t="s">
        <v>26306</v>
      </c>
      <c r="D5157" s="1">
        <v>40382</v>
      </c>
      <c r="E5157" s="2">
        <v>470000</v>
      </c>
      <c r="F5157" t="s">
        <v>4553</v>
      </c>
      <c r="G5157" s="17" t="str">
        <f>HYPERLINK("https://www.washoecounty.gov/assessor/cama/?command=sales&amp;parid=15249302","3904334")</f>
        <v>3904334</v>
      </c>
      <c r="H5157" t="s">
        <v>4366</v>
      </c>
      <c r="I5157">
        <v>2006</v>
      </c>
      <c r="J5157">
        <v>2006</v>
      </c>
      <c r="K5157" t="s">
        <v>4554</v>
      </c>
      <c r="L5157" t="s">
        <v>4555</v>
      </c>
      <c r="M5157" s="2">
        <v>3632</v>
      </c>
      <c r="N5157" t="s">
        <v>5106</v>
      </c>
      <c r="O5157">
        <v>4</v>
      </c>
      <c r="P5157">
        <v>4</v>
      </c>
      <c r="Q5157">
        <v>1</v>
      </c>
      <c r="R5157" t="s">
        <v>5281</v>
      </c>
      <c r="S5157" t="s">
        <v>4898</v>
      </c>
      <c r="T5157" t="s">
        <v>2704</v>
      </c>
      <c r="U5157" t="s">
        <v>4560</v>
      </c>
      <c r="V5157" s="2">
        <v>802</v>
      </c>
      <c r="W5157" t="s">
        <v>4655</v>
      </c>
      <c r="X5157" s="2">
        <v>0</v>
      </c>
      <c r="Y5157">
        <v>20</v>
      </c>
      <c r="Z5157" t="s">
        <v>1376</v>
      </c>
      <c r="AA5157" s="3">
        <v>0.38209366798400901</v>
      </c>
      <c r="AB5157" t="s">
        <v>26307</v>
      </c>
      <c r="AC5157" t="s">
        <v>4562</v>
      </c>
      <c r="AD5157" t="s">
        <v>26306</v>
      </c>
      <c r="AE5157" t="s">
        <v>4655</v>
      </c>
      <c r="AF5157" t="s">
        <v>4563</v>
      </c>
      <c r="AG5157" t="s">
        <v>4564</v>
      </c>
      <c r="AH5157">
        <v>89511</v>
      </c>
      <c r="AI5157" t="s">
        <v>22675</v>
      </c>
      <c r="AJ5157" t="s">
        <v>4840</v>
      </c>
      <c r="AK5157" t="s">
        <v>26308</v>
      </c>
      <c r="AL5157" s="13" t="s">
        <v>1895</v>
      </c>
      <c r="AM5157" s="14">
        <v>1</v>
      </c>
      <c r="AN5157" s="15" t="s">
        <v>3435</v>
      </c>
    </row>
    <row r="5158" spans="1:40" x14ac:dyDescent="0.3">
      <c r="A5158" s="10" t="str">
        <f>HYPERLINK("http://www.washoecounty.gov/assessor/cama/?parid=152-493-03&amp;CardNumber=1","152-493-03")</f>
        <v>152-493-03</v>
      </c>
      <c r="B5158" t="s">
        <v>4655</v>
      </c>
      <c r="C5158" t="s">
        <v>26309</v>
      </c>
      <c r="D5158" s="1">
        <v>40361</v>
      </c>
      <c r="E5158" s="2">
        <v>550000</v>
      </c>
      <c r="F5158" t="s">
        <v>4553</v>
      </c>
      <c r="G5158" s="17" t="str">
        <f>HYPERLINK("https://www.washoecounty.gov/assessor/cama/?command=sales&amp;parid=15249303","3898176")</f>
        <v>3898176</v>
      </c>
      <c r="H5158" t="s">
        <v>4366</v>
      </c>
      <c r="I5158">
        <v>2006</v>
      </c>
      <c r="J5158">
        <v>2006</v>
      </c>
      <c r="K5158" t="s">
        <v>4554</v>
      </c>
      <c r="L5158" t="s">
        <v>3974</v>
      </c>
      <c r="M5158" s="2">
        <v>4935</v>
      </c>
      <c r="N5158" t="s">
        <v>5106</v>
      </c>
      <c r="O5158">
        <v>6</v>
      </c>
      <c r="P5158">
        <v>5</v>
      </c>
      <c r="Q5158">
        <v>0</v>
      </c>
      <c r="R5158" t="s">
        <v>5281</v>
      </c>
      <c r="S5158" t="s">
        <v>4898</v>
      </c>
      <c r="T5158" t="s">
        <v>2704</v>
      </c>
      <c r="U5158" t="s">
        <v>4560</v>
      </c>
      <c r="V5158" s="2">
        <v>982</v>
      </c>
      <c r="W5158" t="s">
        <v>4655</v>
      </c>
      <c r="X5158" s="2">
        <v>0</v>
      </c>
      <c r="Y5158">
        <v>20</v>
      </c>
      <c r="Z5158" t="s">
        <v>1376</v>
      </c>
      <c r="AA5158" s="3">
        <v>0.34917354583740201</v>
      </c>
      <c r="AB5158" t="s">
        <v>26310</v>
      </c>
      <c r="AC5158" t="s">
        <v>4575</v>
      </c>
      <c r="AD5158" t="s">
        <v>26311</v>
      </c>
      <c r="AE5158" t="s">
        <v>26309</v>
      </c>
      <c r="AF5158" t="s">
        <v>4563</v>
      </c>
      <c r="AG5158" t="s">
        <v>4564</v>
      </c>
      <c r="AH5158">
        <v>89511</v>
      </c>
      <c r="AI5158" t="s">
        <v>22675</v>
      </c>
      <c r="AJ5158" t="s">
        <v>4840</v>
      </c>
      <c r="AK5158" t="s">
        <v>26312</v>
      </c>
      <c r="AL5158" s="13" t="s">
        <v>1895</v>
      </c>
      <c r="AM5158" s="14">
        <v>1</v>
      </c>
      <c r="AN5158" s="15" t="s">
        <v>3435</v>
      </c>
    </row>
    <row r="5159" spans="1:40" x14ac:dyDescent="0.3">
      <c r="A5159" s="10" t="str">
        <f>HYPERLINK("http://www.washoecounty.gov/assessor/cama/?parid=152-493-04&amp;CardNumber=1","152-493-04")</f>
        <v>152-493-04</v>
      </c>
      <c r="B5159" t="s">
        <v>4655</v>
      </c>
      <c r="C5159" t="s">
        <v>1925</v>
      </c>
      <c r="D5159" s="1">
        <v>40351</v>
      </c>
      <c r="E5159" s="2">
        <v>485000</v>
      </c>
      <c r="F5159" t="s">
        <v>4553</v>
      </c>
      <c r="G5159" s="17" t="str">
        <f>HYPERLINK("https://www.washoecounty.gov/assessor/cama/?command=sales&amp;parid=15249304","3894127")</f>
        <v>3894127</v>
      </c>
      <c r="H5159" t="s">
        <v>4366</v>
      </c>
      <c r="I5159">
        <v>2006</v>
      </c>
      <c r="J5159">
        <v>2006</v>
      </c>
      <c r="K5159" t="s">
        <v>4554</v>
      </c>
      <c r="L5159" t="s">
        <v>4555</v>
      </c>
      <c r="M5159" s="2">
        <v>3632</v>
      </c>
      <c r="N5159" t="s">
        <v>5106</v>
      </c>
      <c r="O5159">
        <v>4</v>
      </c>
      <c r="P5159">
        <v>4</v>
      </c>
      <c r="Q5159">
        <v>1</v>
      </c>
      <c r="R5159" t="s">
        <v>5281</v>
      </c>
      <c r="S5159" t="s">
        <v>4898</v>
      </c>
      <c r="T5159" t="s">
        <v>2704</v>
      </c>
      <c r="U5159" t="s">
        <v>4560</v>
      </c>
      <c r="V5159" s="2">
        <v>802</v>
      </c>
      <c r="W5159" t="s">
        <v>4655</v>
      </c>
      <c r="X5159" s="2">
        <v>0</v>
      </c>
      <c r="Y5159">
        <v>20</v>
      </c>
      <c r="Z5159" t="s">
        <v>1376</v>
      </c>
      <c r="AA5159" s="3">
        <v>0.39267677068710299</v>
      </c>
      <c r="AB5159" t="s">
        <v>5728</v>
      </c>
      <c r="AC5159" t="s">
        <v>4562</v>
      </c>
      <c r="AD5159" t="s">
        <v>1925</v>
      </c>
      <c r="AE5159" t="s">
        <v>4655</v>
      </c>
      <c r="AF5159" t="s">
        <v>4563</v>
      </c>
      <c r="AG5159" t="s">
        <v>4564</v>
      </c>
      <c r="AH5159">
        <v>89511</v>
      </c>
      <c r="AI5159" t="s">
        <v>2721</v>
      </c>
      <c r="AJ5159" t="s">
        <v>4840</v>
      </c>
      <c r="AK5159" t="s">
        <v>2722</v>
      </c>
      <c r="AL5159" s="13" t="s">
        <v>1895</v>
      </c>
      <c r="AM5159">
        <v>1</v>
      </c>
      <c r="AN5159" s="15" t="s">
        <v>3435</v>
      </c>
    </row>
    <row r="5160" spans="1:40" x14ac:dyDescent="0.3">
      <c r="A5160" s="10" t="str">
        <f>HYPERLINK("http://www.washoecounty.gov/assessor/cama/?parid=152-500-01&amp;CardNumber=1","152-500-01")</f>
        <v>152-500-01</v>
      </c>
      <c r="B5160" t="s">
        <v>4655</v>
      </c>
      <c r="C5160" t="s">
        <v>4841</v>
      </c>
      <c r="D5160" s="1">
        <v>40315</v>
      </c>
      <c r="E5160" s="2">
        <v>490000</v>
      </c>
      <c r="F5160" t="s">
        <v>4553</v>
      </c>
      <c r="G5160" s="17" t="str">
        <f>HYPERLINK("https://www.washoecounty.gov/assessor/cama/?command=sales&amp;parid=15250001","3882167")</f>
        <v>3882167</v>
      </c>
      <c r="H5160" t="s">
        <v>4366</v>
      </c>
      <c r="I5160">
        <v>2002</v>
      </c>
      <c r="J5160">
        <v>2002</v>
      </c>
      <c r="K5160" t="s">
        <v>4554</v>
      </c>
      <c r="L5160" t="s">
        <v>3974</v>
      </c>
      <c r="M5160" s="2">
        <v>4605</v>
      </c>
      <c r="N5160" t="s">
        <v>5106</v>
      </c>
      <c r="O5160">
        <v>4</v>
      </c>
      <c r="P5160">
        <v>5</v>
      </c>
      <c r="Q5160">
        <v>0</v>
      </c>
      <c r="R5160" t="s">
        <v>5281</v>
      </c>
      <c r="S5160" t="s">
        <v>4898</v>
      </c>
      <c r="T5160" t="s">
        <v>2704</v>
      </c>
      <c r="U5160" t="s">
        <v>4560</v>
      </c>
      <c r="V5160" s="2">
        <v>982</v>
      </c>
      <c r="W5160" t="s">
        <v>4655</v>
      </c>
      <c r="X5160" s="2">
        <v>0</v>
      </c>
      <c r="Y5160">
        <v>20</v>
      </c>
      <c r="Z5160" t="s">
        <v>1376</v>
      </c>
      <c r="AA5160" s="3">
        <v>0.38287419080734297</v>
      </c>
      <c r="AB5160" t="s">
        <v>4946</v>
      </c>
      <c r="AC5160" t="s">
        <v>4562</v>
      </c>
      <c r="AD5160" t="s">
        <v>4841</v>
      </c>
      <c r="AE5160" t="s">
        <v>4655</v>
      </c>
      <c r="AF5160" t="s">
        <v>4563</v>
      </c>
      <c r="AG5160" t="s">
        <v>4564</v>
      </c>
      <c r="AH5160">
        <v>89511</v>
      </c>
      <c r="AI5160" t="s">
        <v>4842</v>
      </c>
      <c r="AJ5160" t="s">
        <v>4840</v>
      </c>
      <c r="AK5160" t="s">
        <v>3434</v>
      </c>
      <c r="AL5160" s="13" t="s">
        <v>1895</v>
      </c>
      <c r="AM5160" s="14">
        <v>1</v>
      </c>
      <c r="AN5160" s="15" t="s">
        <v>3435</v>
      </c>
    </row>
    <row r="5161" spans="1:40" x14ac:dyDescent="0.3">
      <c r="A5161" s="10" t="str">
        <f>HYPERLINK("http://www.washoecounty.gov/assessor/cama/?parid=152-500-12&amp;CardNumber=1","152-500-12")</f>
        <v>152-500-12</v>
      </c>
      <c r="B5161" t="s">
        <v>4655</v>
      </c>
      <c r="C5161" t="s">
        <v>26313</v>
      </c>
      <c r="D5161" s="1">
        <v>40340</v>
      </c>
      <c r="E5161" s="2">
        <v>501000</v>
      </c>
      <c r="F5161" t="s">
        <v>4553</v>
      </c>
      <c r="G5161" s="17" t="str">
        <f>HYPERLINK("https://www.washoecounty.gov/assessor/cama/?command=sales&amp;parid=15250012","3890926")</f>
        <v>3890926</v>
      </c>
      <c r="H5161" t="s">
        <v>4366</v>
      </c>
      <c r="I5161">
        <v>2006</v>
      </c>
      <c r="J5161">
        <v>2006</v>
      </c>
      <c r="K5161" t="s">
        <v>4554</v>
      </c>
      <c r="L5161" t="s">
        <v>4555</v>
      </c>
      <c r="M5161" s="2">
        <v>3632</v>
      </c>
      <c r="N5161" t="s">
        <v>5106</v>
      </c>
      <c r="O5161">
        <v>4</v>
      </c>
      <c r="P5161">
        <v>4</v>
      </c>
      <c r="Q5161">
        <v>1</v>
      </c>
      <c r="R5161" t="s">
        <v>5281</v>
      </c>
      <c r="S5161" t="s">
        <v>4898</v>
      </c>
      <c r="T5161" t="s">
        <v>2704</v>
      </c>
      <c r="U5161" t="s">
        <v>4560</v>
      </c>
      <c r="V5161" s="2">
        <v>802</v>
      </c>
      <c r="W5161" t="s">
        <v>4655</v>
      </c>
      <c r="X5161" s="2">
        <v>0</v>
      </c>
      <c r="Y5161">
        <v>20</v>
      </c>
      <c r="Z5161" t="s">
        <v>1376</v>
      </c>
      <c r="AA5161" s="3">
        <v>0.41896235942840598</v>
      </c>
      <c r="AB5161" t="s">
        <v>26314</v>
      </c>
      <c r="AC5161" t="s">
        <v>4562</v>
      </c>
      <c r="AD5161" t="s">
        <v>26315</v>
      </c>
      <c r="AE5161" t="s">
        <v>4655</v>
      </c>
      <c r="AF5161" t="s">
        <v>4563</v>
      </c>
      <c r="AG5161" t="s">
        <v>4564</v>
      </c>
      <c r="AH5161">
        <v>89511</v>
      </c>
      <c r="AI5161" t="s">
        <v>22675</v>
      </c>
      <c r="AJ5161" t="s">
        <v>4840</v>
      </c>
      <c r="AK5161" t="s">
        <v>26316</v>
      </c>
      <c r="AL5161" s="13" t="s">
        <v>1895</v>
      </c>
      <c r="AM5161" s="14">
        <v>1</v>
      </c>
      <c r="AN5161" s="15" t="s">
        <v>3435</v>
      </c>
    </row>
    <row r="5162" spans="1:40" x14ac:dyDescent="0.3">
      <c r="A5162" s="10" t="str">
        <f>HYPERLINK("http://www.washoecounty.gov/assessor/cama/?parid=152-511-05&amp;CardNumber=1","152-511-05")</f>
        <v>152-511-05</v>
      </c>
      <c r="B5162" t="s">
        <v>4655</v>
      </c>
      <c r="C5162" t="s">
        <v>26317</v>
      </c>
      <c r="D5162" s="1">
        <v>40518</v>
      </c>
      <c r="E5162" s="2">
        <v>625000</v>
      </c>
      <c r="F5162" t="s">
        <v>4567</v>
      </c>
      <c r="G5162" s="17" t="str">
        <f>HYPERLINK("https://www.washoecounty.gov/assessor/cama/?command=sales&amp;parid=15251105","3949887")</f>
        <v>3949887</v>
      </c>
      <c r="H5162" t="s">
        <v>5369</v>
      </c>
      <c r="I5162">
        <v>2001</v>
      </c>
      <c r="J5162">
        <v>2001</v>
      </c>
      <c r="K5162" t="s">
        <v>4554</v>
      </c>
      <c r="L5162" t="s">
        <v>4555</v>
      </c>
      <c r="M5162" s="2">
        <v>3640</v>
      </c>
      <c r="N5162" t="s">
        <v>3887</v>
      </c>
      <c r="O5162">
        <v>5</v>
      </c>
      <c r="P5162">
        <v>4</v>
      </c>
      <c r="Q5162">
        <v>0</v>
      </c>
      <c r="R5162" t="s">
        <v>5281</v>
      </c>
      <c r="S5162" t="s">
        <v>4898</v>
      </c>
      <c r="T5162" t="s">
        <v>2704</v>
      </c>
      <c r="U5162" t="s">
        <v>4560</v>
      </c>
      <c r="V5162" s="2">
        <v>1135</v>
      </c>
      <c r="W5162" t="s">
        <v>4655</v>
      </c>
      <c r="X5162" s="2">
        <v>0</v>
      </c>
      <c r="Y5162">
        <v>20</v>
      </c>
      <c r="Z5162" t="s">
        <v>3884</v>
      </c>
      <c r="AA5162" s="3">
        <v>0.67272728681564331</v>
      </c>
      <c r="AB5162" t="s">
        <v>26318</v>
      </c>
      <c r="AC5162" t="s">
        <v>4562</v>
      </c>
      <c r="AD5162" t="s">
        <v>26317</v>
      </c>
      <c r="AE5162" t="s">
        <v>4655</v>
      </c>
      <c r="AF5162" t="s">
        <v>4563</v>
      </c>
      <c r="AG5162" t="s">
        <v>4564</v>
      </c>
      <c r="AH5162">
        <v>89511</v>
      </c>
      <c r="AI5162" t="s">
        <v>4655</v>
      </c>
      <c r="AJ5162" t="s">
        <v>5370</v>
      </c>
      <c r="AK5162" t="s">
        <v>26319</v>
      </c>
      <c r="AL5162" s="13" t="s">
        <v>1889</v>
      </c>
      <c r="AM5162">
        <v>1</v>
      </c>
      <c r="AN5162" s="15" t="s">
        <v>2071</v>
      </c>
    </row>
    <row r="5163" spans="1:40" x14ac:dyDescent="0.3">
      <c r="A5163" s="10" t="str">
        <f>HYPERLINK("http://www.washoecounty.gov/assessor/cama/?parid=152-551-05&amp;CardNumber=1","152-551-05")</f>
        <v>152-551-05</v>
      </c>
      <c r="B5163" t="s">
        <v>4655</v>
      </c>
      <c r="C5163" t="s">
        <v>26320</v>
      </c>
      <c r="D5163" s="1">
        <v>40406</v>
      </c>
      <c r="E5163" s="2">
        <v>472000</v>
      </c>
      <c r="F5163" t="s">
        <v>4567</v>
      </c>
      <c r="G5163" s="17" t="str">
        <f>HYPERLINK("https://www.washoecounty.gov/assessor/cama/?command=sales&amp;parid=15255105","3912450")</f>
        <v>3912450</v>
      </c>
      <c r="H5163" t="s">
        <v>697</v>
      </c>
      <c r="I5163">
        <v>2002</v>
      </c>
      <c r="J5163">
        <v>2002</v>
      </c>
      <c r="K5163" t="s">
        <v>4554</v>
      </c>
      <c r="L5163" t="s">
        <v>4555</v>
      </c>
      <c r="M5163" s="2">
        <v>3370</v>
      </c>
      <c r="N5163" t="s">
        <v>5106</v>
      </c>
      <c r="O5163">
        <v>3</v>
      </c>
      <c r="P5163">
        <v>3</v>
      </c>
      <c r="Q5163">
        <v>1</v>
      </c>
      <c r="R5163" t="s">
        <v>5281</v>
      </c>
      <c r="S5163" t="s">
        <v>4898</v>
      </c>
      <c r="T5163" t="s">
        <v>2704</v>
      </c>
      <c r="U5163" t="s">
        <v>4560</v>
      </c>
      <c r="V5163" s="2">
        <v>840</v>
      </c>
      <c r="W5163" t="s">
        <v>4655</v>
      </c>
      <c r="X5163" s="2">
        <v>0</v>
      </c>
      <c r="Y5163">
        <v>20</v>
      </c>
      <c r="Z5163" t="s">
        <v>1376</v>
      </c>
      <c r="AA5163" s="3">
        <v>0.365059673786163</v>
      </c>
      <c r="AB5163" t="s">
        <v>26321</v>
      </c>
      <c r="AC5163" t="s">
        <v>4562</v>
      </c>
      <c r="AD5163" t="s">
        <v>26322</v>
      </c>
      <c r="AE5163" t="s">
        <v>4655</v>
      </c>
      <c r="AF5163" t="s">
        <v>4563</v>
      </c>
      <c r="AG5163" t="s">
        <v>4564</v>
      </c>
      <c r="AH5163">
        <v>89511</v>
      </c>
      <c r="AI5163" t="s">
        <v>4655</v>
      </c>
      <c r="AJ5163" t="s">
        <v>698</v>
      </c>
      <c r="AK5163" t="s">
        <v>26323</v>
      </c>
      <c r="AL5163" s="13" t="s">
        <v>1895</v>
      </c>
      <c r="AM5163" s="14">
        <v>1</v>
      </c>
      <c r="AN5163" s="15" t="s">
        <v>538</v>
      </c>
    </row>
    <row r="5164" spans="1:40" x14ac:dyDescent="0.3">
      <c r="A5164" s="10" t="str">
        <f>HYPERLINK("http://www.washoecounty.gov/assessor/cama/?parid=152-571-02&amp;CardNumber=1","152-571-02")</f>
        <v>152-571-02</v>
      </c>
      <c r="B5164" t="s">
        <v>4655</v>
      </c>
      <c r="C5164" t="s">
        <v>26324</v>
      </c>
      <c r="D5164" s="1">
        <v>40393</v>
      </c>
      <c r="E5164" s="2">
        <v>58000</v>
      </c>
      <c r="F5164" t="s">
        <v>3259</v>
      </c>
      <c r="G5164" s="17" t="str">
        <f>HYPERLINK("https://www.washoecounty.gov/assessor/cama/?command=sales&amp;parid=15257102","3908158")</f>
        <v>3908158</v>
      </c>
      <c r="H5164" t="s">
        <v>4472</v>
      </c>
      <c r="I5164">
        <v>0</v>
      </c>
      <c r="J5164">
        <v>0</v>
      </c>
      <c r="K5164" t="s">
        <v>4655</v>
      </c>
      <c r="L5164" t="s">
        <v>4655</v>
      </c>
      <c r="M5164" s="2">
        <v>0</v>
      </c>
      <c r="N5164" t="s">
        <v>4655</v>
      </c>
      <c r="O5164">
        <v>0</v>
      </c>
      <c r="P5164">
        <v>0</v>
      </c>
      <c r="Q5164">
        <v>0</v>
      </c>
      <c r="R5164" t="s">
        <v>4655</v>
      </c>
      <c r="S5164" t="s">
        <v>4655</v>
      </c>
      <c r="T5164" t="s">
        <v>4655</v>
      </c>
      <c r="U5164" t="s">
        <v>4655</v>
      </c>
      <c r="V5164" s="2">
        <v>0</v>
      </c>
      <c r="W5164" t="s">
        <v>4655</v>
      </c>
      <c r="X5164" s="2">
        <v>0</v>
      </c>
      <c r="Y5164">
        <v>12</v>
      </c>
      <c r="Z5164" t="s">
        <v>1376</v>
      </c>
      <c r="AA5164" s="3">
        <v>1.09694671630859</v>
      </c>
      <c r="AB5164" t="s">
        <v>26325</v>
      </c>
      <c r="AC5164" t="s">
        <v>4562</v>
      </c>
      <c r="AD5164" t="s">
        <v>26326</v>
      </c>
      <c r="AE5164" t="s">
        <v>4655</v>
      </c>
      <c r="AF5164" t="s">
        <v>4563</v>
      </c>
      <c r="AG5164" t="s">
        <v>4564</v>
      </c>
      <c r="AH5164" t="s">
        <v>5197</v>
      </c>
      <c r="AI5164" t="s">
        <v>4503</v>
      </c>
      <c r="AJ5164" t="s">
        <v>4473</v>
      </c>
      <c r="AK5164" t="s">
        <v>26327</v>
      </c>
      <c r="AL5164" s="13" t="s">
        <v>1895</v>
      </c>
      <c r="AM5164">
        <v>0</v>
      </c>
      <c r="AN5164" s="15" t="s">
        <v>4308</v>
      </c>
    </row>
    <row r="5165" spans="1:40" x14ac:dyDescent="0.3">
      <c r="A5165" s="10" t="str">
        <f>HYPERLINK("http://www.washoecounty.gov/assessor/cama/?parid=152-571-09&amp;CardNumber=1","152-571-09")</f>
        <v>152-571-09</v>
      </c>
      <c r="B5165" t="s">
        <v>4655</v>
      </c>
      <c r="C5165" t="s">
        <v>26328</v>
      </c>
      <c r="D5165" s="1">
        <v>40436</v>
      </c>
      <c r="E5165" s="2">
        <v>755000</v>
      </c>
      <c r="F5165" t="s">
        <v>4553</v>
      </c>
      <c r="G5165" s="17" t="str">
        <f>HYPERLINK("https://www.washoecounty.gov/assessor/cama/?command=sales&amp;parid=15257109","3922484")</f>
        <v>3922484</v>
      </c>
      <c r="H5165" t="s">
        <v>4472</v>
      </c>
      <c r="I5165">
        <v>2006</v>
      </c>
      <c r="J5165">
        <v>2006</v>
      </c>
      <c r="K5165" t="s">
        <v>4554</v>
      </c>
      <c r="L5165" t="s">
        <v>4555</v>
      </c>
      <c r="M5165" s="2">
        <v>4302</v>
      </c>
      <c r="N5165" t="s">
        <v>3457</v>
      </c>
      <c r="O5165">
        <v>3</v>
      </c>
      <c r="P5165">
        <v>3</v>
      </c>
      <c r="Q5165">
        <v>1</v>
      </c>
      <c r="R5165" t="s">
        <v>2632</v>
      </c>
      <c r="S5165" t="s">
        <v>4898</v>
      </c>
      <c r="T5165" t="s">
        <v>2704</v>
      </c>
      <c r="U5165" t="s">
        <v>4560</v>
      </c>
      <c r="V5165" s="2">
        <v>1012</v>
      </c>
      <c r="W5165" t="s">
        <v>4655</v>
      </c>
      <c r="X5165" s="2">
        <v>0</v>
      </c>
      <c r="Y5165">
        <v>20</v>
      </c>
      <c r="Z5165" t="s">
        <v>1376</v>
      </c>
      <c r="AA5165" s="3">
        <v>1.30197429656982</v>
      </c>
      <c r="AB5165" t="s">
        <v>26329</v>
      </c>
      <c r="AC5165" t="s">
        <v>4562</v>
      </c>
      <c r="AD5165" t="s">
        <v>26328</v>
      </c>
      <c r="AE5165" t="s">
        <v>4655</v>
      </c>
      <c r="AF5165" t="s">
        <v>4563</v>
      </c>
      <c r="AG5165" t="s">
        <v>4564</v>
      </c>
      <c r="AH5165">
        <v>89511</v>
      </c>
      <c r="AI5165" t="s">
        <v>6198</v>
      </c>
      <c r="AJ5165" t="s">
        <v>4473</v>
      </c>
      <c r="AK5165" t="s">
        <v>26330</v>
      </c>
      <c r="AL5165" s="13" t="s">
        <v>1895</v>
      </c>
      <c r="AM5165">
        <v>1</v>
      </c>
      <c r="AN5165" s="15" t="s">
        <v>4308</v>
      </c>
    </row>
    <row r="5166" spans="1:40" x14ac:dyDescent="0.3">
      <c r="A5166" s="10" t="str">
        <f>HYPERLINK("http://www.washoecounty.gov/assessor/cama/?parid=152-571-10&amp;CardNumber=1","152-571-10")</f>
        <v>152-571-10</v>
      </c>
      <c r="B5166" t="s">
        <v>4655</v>
      </c>
      <c r="C5166" t="s">
        <v>3272</v>
      </c>
      <c r="D5166" s="1">
        <v>40466</v>
      </c>
      <c r="E5166" s="2">
        <v>52000</v>
      </c>
      <c r="F5166" t="s">
        <v>3259</v>
      </c>
      <c r="G5166" s="17" t="str">
        <f>HYPERLINK("https://www.washoecounty.gov/assessor/cama/?command=sales&amp;parid=15257110","3933356")</f>
        <v>3933356</v>
      </c>
      <c r="H5166" t="s">
        <v>4472</v>
      </c>
      <c r="I5166">
        <v>2011</v>
      </c>
      <c r="J5166">
        <v>2011</v>
      </c>
      <c r="K5166" t="s">
        <v>4554</v>
      </c>
      <c r="L5166" t="s">
        <v>3886</v>
      </c>
      <c r="M5166" s="2">
        <v>5185</v>
      </c>
      <c r="N5166" t="s">
        <v>2967</v>
      </c>
      <c r="O5166">
        <v>4</v>
      </c>
      <c r="P5166">
        <v>4</v>
      </c>
      <c r="Q5166">
        <v>1</v>
      </c>
      <c r="R5166" t="s">
        <v>2632</v>
      </c>
      <c r="S5166" t="s">
        <v>4898</v>
      </c>
      <c r="T5166" t="s">
        <v>2704</v>
      </c>
      <c r="U5166" t="s">
        <v>4560</v>
      </c>
      <c r="V5166" s="2">
        <v>1315</v>
      </c>
      <c r="W5166" t="s">
        <v>4655</v>
      </c>
      <c r="X5166" s="2">
        <v>0</v>
      </c>
      <c r="Y5166">
        <v>12</v>
      </c>
      <c r="Z5166" t="s">
        <v>1376</v>
      </c>
      <c r="AA5166" s="3">
        <v>1.0400596857070901</v>
      </c>
      <c r="AB5166" t="s">
        <v>2449</v>
      </c>
      <c r="AC5166" t="s">
        <v>4575</v>
      </c>
      <c r="AD5166" t="s">
        <v>475</v>
      </c>
      <c r="AE5166" t="s">
        <v>4655</v>
      </c>
      <c r="AF5166" t="s">
        <v>2450</v>
      </c>
      <c r="AG5166" t="s">
        <v>4564</v>
      </c>
      <c r="AH5166" t="s">
        <v>4146</v>
      </c>
      <c r="AI5166" t="s">
        <v>4226</v>
      </c>
      <c r="AJ5166" t="s">
        <v>4473</v>
      </c>
      <c r="AK5166" t="s">
        <v>3273</v>
      </c>
      <c r="AL5166" s="13" t="s">
        <v>1895</v>
      </c>
      <c r="AM5166">
        <v>1</v>
      </c>
      <c r="AN5166" s="15" t="s">
        <v>4308</v>
      </c>
    </row>
    <row r="5167" spans="1:40" x14ac:dyDescent="0.3">
      <c r="A5167" s="10" t="str">
        <f>HYPERLINK("http://www.washoecounty.gov/assessor/cama/?parid=152-571-14&amp;CardNumber=1","152-571-14")</f>
        <v>152-571-14</v>
      </c>
      <c r="B5167" t="s">
        <v>4655</v>
      </c>
      <c r="C5167" t="s">
        <v>310</v>
      </c>
      <c r="D5167" s="1">
        <v>40444</v>
      </c>
      <c r="E5167" s="2">
        <v>87000</v>
      </c>
      <c r="F5167" t="s">
        <v>4567</v>
      </c>
      <c r="G5167" s="17" t="str">
        <f>HYPERLINK("https://www.washoecounty.gov/assessor/cama/?command=sales&amp;parid=15257114","3925546")</f>
        <v>3925546</v>
      </c>
      <c r="H5167" t="s">
        <v>2021</v>
      </c>
      <c r="I5167">
        <v>0</v>
      </c>
      <c r="J5167">
        <v>0</v>
      </c>
      <c r="K5167" t="s">
        <v>4655</v>
      </c>
      <c r="L5167" t="s">
        <v>4655</v>
      </c>
      <c r="M5167" s="2">
        <v>0</v>
      </c>
      <c r="N5167" t="s">
        <v>4655</v>
      </c>
      <c r="O5167">
        <v>0</v>
      </c>
      <c r="P5167">
        <v>0</v>
      </c>
      <c r="Q5167">
        <v>0</v>
      </c>
      <c r="R5167" t="s">
        <v>4655</v>
      </c>
      <c r="S5167" t="s">
        <v>4655</v>
      </c>
      <c r="T5167" t="s">
        <v>4655</v>
      </c>
      <c r="U5167" t="s">
        <v>4655</v>
      </c>
      <c r="V5167" s="2">
        <v>0</v>
      </c>
      <c r="W5167" t="s">
        <v>4655</v>
      </c>
      <c r="X5167" s="2">
        <v>0</v>
      </c>
      <c r="Y5167">
        <v>12</v>
      </c>
      <c r="Z5167" t="s">
        <v>1376</v>
      </c>
      <c r="AA5167" s="3">
        <v>1.94488060474395</v>
      </c>
      <c r="AB5167" t="s">
        <v>26331</v>
      </c>
      <c r="AC5167" t="s">
        <v>4562</v>
      </c>
      <c r="AD5167" t="s">
        <v>26332</v>
      </c>
      <c r="AE5167" t="s">
        <v>4655</v>
      </c>
      <c r="AF5167" t="s">
        <v>4563</v>
      </c>
      <c r="AG5167" t="s">
        <v>4564</v>
      </c>
      <c r="AH5167">
        <v>89511</v>
      </c>
      <c r="AI5167" t="s">
        <v>26333</v>
      </c>
      <c r="AJ5167" t="s">
        <v>2937</v>
      </c>
      <c r="AK5167" t="s">
        <v>26334</v>
      </c>
      <c r="AL5167" s="13" t="s">
        <v>1895</v>
      </c>
      <c r="AM5167" s="14">
        <v>0</v>
      </c>
      <c r="AN5167" s="15" t="s">
        <v>4308</v>
      </c>
    </row>
    <row r="5168" spans="1:40" x14ac:dyDescent="0.3">
      <c r="A5168" s="10" t="str">
        <f>HYPERLINK("http://www.washoecounty.gov/assessor/cama/?parid=152-601-06&amp;CardNumber=1","152-601-06")</f>
        <v>152-601-06</v>
      </c>
      <c r="B5168" t="s">
        <v>4655</v>
      </c>
      <c r="C5168" t="s">
        <v>26335</v>
      </c>
      <c r="D5168" s="1">
        <v>40463</v>
      </c>
      <c r="E5168" s="2">
        <v>520000</v>
      </c>
      <c r="F5168" t="s">
        <v>4553</v>
      </c>
      <c r="G5168" s="17" t="str">
        <f>HYPERLINK("https://www.washoecounty.gov/assessor/cama/?command=sales&amp;parid=15260106","3932041")</f>
        <v>3932041</v>
      </c>
      <c r="H5168" t="s">
        <v>4539</v>
      </c>
      <c r="I5168">
        <v>2005</v>
      </c>
      <c r="J5168">
        <v>2005</v>
      </c>
      <c r="K5168" t="s">
        <v>4554</v>
      </c>
      <c r="L5168" t="s">
        <v>3974</v>
      </c>
      <c r="M5168" s="2">
        <v>4346</v>
      </c>
      <c r="N5168" t="s">
        <v>5106</v>
      </c>
      <c r="O5168">
        <v>4</v>
      </c>
      <c r="P5168">
        <v>4</v>
      </c>
      <c r="Q5168">
        <v>1</v>
      </c>
      <c r="R5168" t="s">
        <v>5281</v>
      </c>
      <c r="S5168" t="s">
        <v>4898</v>
      </c>
      <c r="T5168" t="s">
        <v>2704</v>
      </c>
      <c r="U5168" t="s">
        <v>162</v>
      </c>
      <c r="V5168" s="2">
        <v>714</v>
      </c>
      <c r="W5168" t="s">
        <v>4655</v>
      </c>
      <c r="X5168" s="2">
        <v>0</v>
      </c>
      <c r="Y5168">
        <v>20</v>
      </c>
      <c r="Z5168" t="s">
        <v>1376</v>
      </c>
      <c r="AA5168" s="3">
        <v>0.43560606241226202</v>
      </c>
      <c r="AB5168" t="s">
        <v>26336</v>
      </c>
      <c r="AC5168" t="s">
        <v>4575</v>
      </c>
      <c r="AD5168" t="s">
        <v>26337</v>
      </c>
      <c r="AE5168" t="s">
        <v>4655</v>
      </c>
      <c r="AF5168" t="s">
        <v>4563</v>
      </c>
      <c r="AG5168" t="s">
        <v>4564</v>
      </c>
      <c r="AH5168">
        <v>89511</v>
      </c>
      <c r="AI5168" t="s">
        <v>26338</v>
      </c>
      <c r="AJ5168" t="s">
        <v>5320</v>
      </c>
      <c r="AK5168" t="s">
        <v>26339</v>
      </c>
      <c r="AL5168" s="13" t="s">
        <v>1895</v>
      </c>
      <c r="AM5168">
        <v>1</v>
      </c>
      <c r="AN5168" s="15" t="s">
        <v>3435</v>
      </c>
    </row>
    <row r="5169" spans="1:40" x14ac:dyDescent="0.3">
      <c r="A5169" s="10" t="str">
        <f>HYPERLINK("http://www.washoecounty.gov/assessor/cama/?parid=152-601-21&amp;CardNumber=1","152-601-21")</f>
        <v>152-601-21</v>
      </c>
      <c r="B5169" t="s">
        <v>4655</v>
      </c>
      <c r="C5169" t="s">
        <v>26340</v>
      </c>
      <c r="D5169" s="1">
        <v>40451</v>
      </c>
      <c r="E5169" s="2">
        <v>510000</v>
      </c>
      <c r="F5169" t="s">
        <v>4553</v>
      </c>
      <c r="G5169" s="17" t="str">
        <f>HYPERLINK("https://www.washoecounty.gov/assessor/cama/?command=sales&amp;parid=15260121","3928241")</f>
        <v>3928241</v>
      </c>
      <c r="H5169" t="s">
        <v>4539</v>
      </c>
      <c r="I5169">
        <v>2003</v>
      </c>
      <c r="J5169">
        <v>2003</v>
      </c>
      <c r="K5169" t="s">
        <v>4554</v>
      </c>
      <c r="L5169" t="s">
        <v>3974</v>
      </c>
      <c r="M5169" s="2">
        <v>4935</v>
      </c>
      <c r="N5169" t="s">
        <v>5106</v>
      </c>
      <c r="O5169">
        <v>5</v>
      </c>
      <c r="P5169">
        <v>5</v>
      </c>
      <c r="Q5169">
        <v>0</v>
      </c>
      <c r="R5169" t="s">
        <v>5281</v>
      </c>
      <c r="S5169" t="s">
        <v>4898</v>
      </c>
      <c r="T5169" t="s">
        <v>2704</v>
      </c>
      <c r="U5169" t="s">
        <v>4560</v>
      </c>
      <c r="V5169" s="2">
        <v>982</v>
      </c>
      <c r="W5169" t="s">
        <v>4655</v>
      </c>
      <c r="X5169" s="2">
        <v>0</v>
      </c>
      <c r="Y5169">
        <v>20</v>
      </c>
      <c r="Z5169" t="s">
        <v>1376</v>
      </c>
      <c r="AA5169" s="3">
        <v>0.34713038802146901</v>
      </c>
      <c r="AB5169" t="s">
        <v>26341</v>
      </c>
      <c r="AC5169" t="s">
        <v>4562</v>
      </c>
      <c r="AD5169" t="s">
        <v>26342</v>
      </c>
      <c r="AE5169" t="s">
        <v>4655</v>
      </c>
      <c r="AF5169" t="s">
        <v>4563</v>
      </c>
      <c r="AG5169" t="s">
        <v>4564</v>
      </c>
      <c r="AH5169">
        <v>89511</v>
      </c>
      <c r="AI5169" t="s">
        <v>4585</v>
      </c>
      <c r="AJ5169" t="s">
        <v>5320</v>
      </c>
      <c r="AK5169" t="s">
        <v>26343</v>
      </c>
      <c r="AL5169" s="13" t="s">
        <v>1895</v>
      </c>
      <c r="AM5169">
        <v>1</v>
      </c>
      <c r="AN5169" s="15" t="s">
        <v>3435</v>
      </c>
    </row>
    <row r="5170" spans="1:40" x14ac:dyDescent="0.3">
      <c r="A5170" s="10" t="str">
        <f>HYPERLINK("http://www.washoecounty.gov/assessor/cama/?parid=152-623-09&amp;CardNumber=1","152-623-09")</f>
        <v>152-623-09</v>
      </c>
      <c r="B5170" t="s">
        <v>4655</v>
      </c>
      <c r="C5170" t="s">
        <v>26344</v>
      </c>
      <c r="D5170" s="1">
        <v>40353</v>
      </c>
      <c r="E5170" s="2">
        <v>985000</v>
      </c>
      <c r="F5170" t="s">
        <v>4567</v>
      </c>
      <c r="G5170" s="17" t="str">
        <f>HYPERLINK("https://www.washoecounty.gov/assessor/cama/?command=sales&amp;parid=15262309","3894957")</f>
        <v>3894957</v>
      </c>
      <c r="H5170" t="s">
        <v>2021</v>
      </c>
      <c r="I5170">
        <v>2008</v>
      </c>
      <c r="J5170">
        <v>2008</v>
      </c>
      <c r="K5170" t="s">
        <v>4554</v>
      </c>
      <c r="L5170" t="s">
        <v>4555</v>
      </c>
      <c r="M5170" s="2">
        <v>4806</v>
      </c>
      <c r="N5170" t="s">
        <v>2012</v>
      </c>
      <c r="O5170">
        <v>5</v>
      </c>
      <c r="P5170">
        <v>4</v>
      </c>
      <c r="Q5170">
        <v>1</v>
      </c>
      <c r="R5170" t="s">
        <v>5281</v>
      </c>
      <c r="S5170" t="s">
        <v>4898</v>
      </c>
      <c r="T5170" t="s">
        <v>2704</v>
      </c>
      <c r="U5170" t="s">
        <v>4560</v>
      </c>
      <c r="V5170" s="2">
        <v>1605</v>
      </c>
      <c r="W5170" t="s">
        <v>4655</v>
      </c>
      <c r="X5170" s="2">
        <v>0</v>
      </c>
      <c r="Y5170">
        <v>20</v>
      </c>
      <c r="Z5170" t="s">
        <v>1376</v>
      </c>
      <c r="AA5170" s="3">
        <v>1.27242887020111</v>
      </c>
      <c r="AB5170" t="s">
        <v>26345</v>
      </c>
      <c r="AC5170" t="s">
        <v>4562</v>
      </c>
      <c r="AD5170" t="s">
        <v>26344</v>
      </c>
      <c r="AE5170" t="s">
        <v>4655</v>
      </c>
      <c r="AF5170" t="s">
        <v>4563</v>
      </c>
      <c r="AG5170" t="s">
        <v>4564</v>
      </c>
      <c r="AH5170">
        <v>89511</v>
      </c>
      <c r="AI5170" t="s">
        <v>26346</v>
      </c>
      <c r="AJ5170" t="s">
        <v>2022</v>
      </c>
      <c r="AK5170" t="s">
        <v>26347</v>
      </c>
      <c r="AL5170" s="13" t="s">
        <v>1895</v>
      </c>
      <c r="AM5170">
        <v>1</v>
      </c>
      <c r="AN5170" s="15" t="s">
        <v>4308</v>
      </c>
    </row>
    <row r="5171" spans="1:40" x14ac:dyDescent="0.3">
      <c r="A5171" s="10" t="str">
        <f>HYPERLINK("http://www.washoecounty.gov/assessor/cama/?parid=152-641-01&amp;CardNumber=1","152-641-01")</f>
        <v>152-641-01</v>
      </c>
      <c r="B5171" t="s">
        <v>4655</v>
      </c>
      <c r="C5171" t="s">
        <v>26348</v>
      </c>
      <c r="D5171" s="1">
        <v>40394</v>
      </c>
      <c r="E5171" s="2">
        <v>449000</v>
      </c>
      <c r="F5171" t="s">
        <v>4567</v>
      </c>
      <c r="G5171" s="17" t="str">
        <f>HYPERLINK("https://www.washoecounty.gov/assessor/cama/?command=sales&amp;parid=15264101","3908872")</f>
        <v>3908872</v>
      </c>
      <c r="H5171" t="s">
        <v>2723</v>
      </c>
      <c r="I5171">
        <v>2002</v>
      </c>
      <c r="J5171">
        <v>2002</v>
      </c>
      <c r="K5171" t="s">
        <v>4554</v>
      </c>
      <c r="L5171" t="s">
        <v>4555</v>
      </c>
      <c r="M5171" s="2">
        <v>2535</v>
      </c>
      <c r="N5171" t="s">
        <v>3887</v>
      </c>
      <c r="O5171">
        <v>4</v>
      </c>
      <c r="P5171">
        <v>2</v>
      </c>
      <c r="Q5171">
        <v>0</v>
      </c>
      <c r="R5171" t="s">
        <v>5281</v>
      </c>
      <c r="S5171" t="s">
        <v>4898</v>
      </c>
      <c r="T5171" t="s">
        <v>2704</v>
      </c>
      <c r="U5171" t="s">
        <v>4560</v>
      </c>
      <c r="V5171" s="2">
        <v>734</v>
      </c>
      <c r="W5171" t="s">
        <v>4655</v>
      </c>
      <c r="X5171" s="2">
        <v>0</v>
      </c>
      <c r="Y5171">
        <v>20</v>
      </c>
      <c r="Z5171" t="s">
        <v>3884</v>
      </c>
      <c r="AA5171" s="3">
        <v>0.59478878974914551</v>
      </c>
      <c r="AB5171" t="s">
        <v>26349</v>
      </c>
      <c r="AC5171" t="s">
        <v>4562</v>
      </c>
      <c r="AD5171" t="s">
        <v>26348</v>
      </c>
      <c r="AE5171" t="s">
        <v>4655</v>
      </c>
      <c r="AF5171" t="s">
        <v>4563</v>
      </c>
      <c r="AG5171" t="s">
        <v>4564</v>
      </c>
      <c r="AH5171">
        <v>89511</v>
      </c>
      <c r="AI5171" t="s">
        <v>26350</v>
      </c>
      <c r="AJ5171" t="s">
        <v>1929</v>
      </c>
      <c r="AK5171" t="s">
        <v>26351</v>
      </c>
      <c r="AL5171" s="13" t="s">
        <v>1889</v>
      </c>
      <c r="AM5171">
        <v>1</v>
      </c>
      <c r="AN5171" s="15" t="s">
        <v>2071</v>
      </c>
    </row>
    <row r="5172" spans="1:40" x14ac:dyDescent="0.3">
      <c r="A5172" s="10" t="str">
        <f>HYPERLINK("http://www.washoecounty.gov/assessor/cama/?parid=152-641-06&amp;CardNumber=1","152-641-06")</f>
        <v>152-641-06</v>
      </c>
      <c r="B5172" t="s">
        <v>4655</v>
      </c>
      <c r="C5172" t="s">
        <v>26352</v>
      </c>
      <c r="D5172" s="1">
        <v>40351</v>
      </c>
      <c r="E5172" s="2">
        <v>430000</v>
      </c>
      <c r="F5172" t="s">
        <v>4567</v>
      </c>
      <c r="G5172" s="17" t="str">
        <f>HYPERLINK("https://www.washoecounty.gov/assessor/cama/?command=sales&amp;parid=15264106","3894226")</f>
        <v>3894226</v>
      </c>
      <c r="H5172" t="s">
        <v>2723</v>
      </c>
      <c r="I5172">
        <v>2002</v>
      </c>
      <c r="J5172">
        <v>2002</v>
      </c>
      <c r="K5172" t="s">
        <v>4554</v>
      </c>
      <c r="L5172" t="s">
        <v>4555</v>
      </c>
      <c r="M5172" s="2">
        <v>2378</v>
      </c>
      <c r="N5172" t="s">
        <v>3887</v>
      </c>
      <c r="O5172">
        <v>3</v>
      </c>
      <c r="P5172">
        <v>2</v>
      </c>
      <c r="Q5172">
        <v>0</v>
      </c>
      <c r="R5172" t="s">
        <v>5281</v>
      </c>
      <c r="S5172" t="s">
        <v>4898</v>
      </c>
      <c r="T5172" t="s">
        <v>2704</v>
      </c>
      <c r="U5172" t="s">
        <v>4560</v>
      </c>
      <c r="V5172" s="2">
        <v>734</v>
      </c>
      <c r="W5172" t="s">
        <v>4655</v>
      </c>
      <c r="X5172" s="2">
        <v>0</v>
      </c>
      <c r="Y5172">
        <v>20</v>
      </c>
      <c r="Z5172" t="s">
        <v>3884</v>
      </c>
      <c r="AA5172" s="3">
        <v>0.45716252923011802</v>
      </c>
      <c r="AB5172" t="s">
        <v>26353</v>
      </c>
      <c r="AC5172" t="s">
        <v>4562</v>
      </c>
      <c r="AD5172" t="s">
        <v>26352</v>
      </c>
      <c r="AE5172" t="s">
        <v>4655</v>
      </c>
      <c r="AF5172" t="s">
        <v>4563</v>
      </c>
      <c r="AG5172" t="s">
        <v>4564</v>
      </c>
      <c r="AH5172">
        <v>89509</v>
      </c>
      <c r="AI5172" t="s">
        <v>26354</v>
      </c>
      <c r="AJ5172" t="s">
        <v>1929</v>
      </c>
      <c r="AK5172" t="s">
        <v>26355</v>
      </c>
      <c r="AL5172" s="13" t="s">
        <v>1889</v>
      </c>
      <c r="AM5172">
        <v>1</v>
      </c>
      <c r="AN5172" s="15" t="s">
        <v>2071</v>
      </c>
    </row>
    <row r="5173" spans="1:40" x14ac:dyDescent="0.3">
      <c r="A5173" s="10" t="str">
        <f>HYPERLINK("http://www.washoecounty.gov/assessor/cama/?parid=152-643-06&amp;CardNumber=1","152-643-06")</f>
        <v>152-643-06</v>
      </c>
      <c r="B5173" t="s">
        <v>4655</v>
      </c>
      <c r="C5173" t="s">
        <v>26356</v>
      </c>
      <c r="D5173" s="1">
        <v>40466</v>
      </c>
      <c r="E5173" s="2">
        <v>355000</v>
      </c>
      <c r="F5173" t="s">
        <v>4567</v>
      </c>
      <c r="G5173" s="17" t="str">
        <f>HYPERLINK("https://www.washoecounty.gov/assessor/cama/?command=sales&amp;parid=15264306","3933527")</f>
        <v>3933527</v>
      </c>
      <c r="H5173" t="s">
        <v>2723</v>
      </c>
      <c r="I5173">
        <v>2002</v>
      </c>
      <c r="J5173">
        <v>2002</v>
      </c>
      <c r="K5173" t="s">
        <v>4554</v>
      </c>
      <c r="L5173" t="s">
        <v>4555</v>
      </c>
      <c r="M5173" s="2">
        <v>1909</v>
      </c>
      <c r="N5173" t="s">
        <v>3887</v>
      </c>
      <c r="O5173">
        <v>3</v>
      </c>
      <c r="P5173">
        <v>2</v>
      </c>
      <c r="Q5173">
        <v>0</v>
      </c>
      <c r="R5173" t="s">
        <v>5281</v>
      </c>
      <c r="S5173" t="s">
        <v>4898</v>
      </c>
      <c r="T5173" t="s">
        <v>2704</v>
      </c>
      <c r="U5173" t="s">
        <v>4560</v>
      </c>
      <c r="V5173" s="2">
        <v>662</v>
      </c>
      <c r="W5173" t="s">
        <v>4655</v>
      </c>
      <c r="X5173" s="2">
        <v>0</v>
      </c>
      <c r="Y5173">
        <v>20</v>
      </c>
      <c r="Z5173" t="s">
        <v>3884</v>
      </c>
      <c r="AA5173" s="3">
        <v>0.36271807551384</v>
      </c>
      <c r="AB5173" t="s">
        <v>26357</v>
      </c>
      <c r="AC5173" t="s">
        <v>4562</v>
      </c>
      <c r="AD5173" t="s">
        <v>26356</v>
      </c>
      <c r="AE5173" t="s">
        <v>4655</v>
      </c>
      <c r="AF5173" t="s">
        <v>4563</v>
      </c>
      <c r="AG5173" t="s">
        <v>4564</v>
      </c>
      <c r="AH5173">
        <v>89511</v>
      </c>
      <c r="AI5173" t="s">
        <v>3319</v>
      </c>
      <c r="AJ5173" t="s">
        <v>1929</v>
      </c>
      <c r="AK5173" t="s">
        <v>26358</v>
      </c>
      <c r="AL5173" s="13" t="s">
        <v>1889</v>
      </c>
      <c r="AM5173">
        <v>1</v>
      </c>
      <c r="AN5173" s="15" t="s">
        <v>2071</v>
      </c>
    </row>
    <row r="5174" spans="1:40" x14ac:dyDescent="0.3">
      <c r="A5174" s="10" t="str">
        <f>HYPERLINK("http://www.washoecounty.gov/assessor/cama/?parid=152-651-04&amp;CardNumber=1","152-651-04")</f>
        <v>152-651-04</v>
      </c>
      <c r="B5174" t="s">
        <v>4655</v>
      </c>
      <c r="C5174" t="s">
        <v>26359</v>
      </c>
      <c r="D5174" s="1">
        <v>40410</v>
      </c>
      <c r="E5174" s="2">
        <v>380000</v>
      </c>
      <c r="F5174" t="s">
        <v>4567</v>
      </c>
      <c r="G5174" s="17" t="str">
        <f>HYPERLINK("https://www.washoecounty.gov/assessor/cama/?command=sales&amp;parid=15265104","3914361")</f>
        <v>3914361</v>
      </c>
      <c r="H5174" t="s">
        <v>2723</v>
      </c>
      <c r="I5174">
        <v>2002</v>
      </c>
      <c r="J5174">
        <v>2002</v>
      </c>
      <c r="K5174" t="s">
        <v>4554</v>
      </c>
      <c r="L5174" t="s">
        <v>4555</v>
      </c>
      <c r="M5174" s="2">
        <v>2377</v>
      </c>
      <c r="N5174" t="s">
        <v>3887</v>
      </c>
      <c r="O5174">
        <v>4</v>
      </c>
      <c r="P5174">
        <v>2</v>
      </c>
      <c r="Q5174">
        <v>0</v>
      </c>
      <c r="R5174" t="s">
        <v>5281</v>
      </c>
      <c r="S5174" t="s">
        <v>4898</v>
      </c>
      <c r="T5174" t="s">
        <v>2704</v>
      </c>
      <c r="U5174" t="s">
        <v>4560</v>
      </c>
      <c r="V5174" s="2">
        <v>734</v>
      </c>
      <c r="W5174" t="s">
        <v>4655</v>
      </c>
      <c r="X5174" s="2">
        <v>0</v>
      </c>
      <c r="Y5174">
        <v>20</v>
      </c>
      <c r="Z5174" t="s">
        <v>3884</v>
      </c>
      <c r="AA5174" s="3">
        <v>0.42013314366340598</v>
      </c>
      <c r="AB5174" t="s">
        <v>26360</v>
      </c>
      <c r="AC5174" t="s">
        <v>4575</v>
      </c>
      <c r="AD5174" t="s">
        <v>26361</v>
      </c>
      <c r="AE5174" t="s">
        <v>26359</v>
      </c>
      <c r="AF5174" t="s">
        <v>4563</v>
      </c>
      <c r="AG5174" t="s">
        <v>4564</v>
      </c>
      <c r="AH5174">
        <v>89511</v>
      </c>
      <c r="AI5174" t="s">
        <v>26362</v>
      </c>
      <c r="AJ5174" t="s">
        <v>1929</v>
      </c>
      <c r="AK5174" t="s">
        <v>26363</v>
      </c>
      <c r="AL5174" s="13" t="s">
        <v>1889</v>
      </c>
      <c r="AM5174">
        <v>1</v>
      </c>
      <c r="AN5174" s="15" t="s">
        <v>2071</v>
      </c>
    </row>
    <row r="5175" spans="1:40" x14ac:dyDescent="0.3">
      <c r="A5175" s="10" t="str">
        <f>HYPERLINK("http://www.washoecounty.gov/assessor/cama/?parid=152-653-09&amp;CardNumber=1","152-653-09")</f>
        <v>152-653-09</v>
      </c>
      <c r="B5175" t="s">
        <v>4655</v>
      </c>
      <c r="C5175" t="s">
        <v>26364</v>
      </c>
      <c r="D5175" s="1">
        <v>40479</v>
      </c>
      <c r="E5175" s="2">
        <v>430000</v>
      </c>
      <c r="F5175" t="s">
        <v>4567</v>
      </c>
      <c r="G5175" s="17" t="str">
        <f>HYPERLINK("https://www.washoecounty.gov/assessor/cama/?command=sales&amp;parid=15265309","3937940")</f>
        <v>3937940</v>
      </c>
      <c r="H5175" t="s">
        <v>2723</v>
      </c>
      <c r="I5175">
        <v>2002</v>
      </c>
      <c r="J5175">
        <v>2002</v>
      </c>
      <c r="K5175" t="s">
        <v>4554</v>
      </c>
      <c r="L5175" t="s">
        <v>4555</v>
      </c>
      <c r="M5175" s="2">
        <v>2542</v>
      </c>
      <c r="N5175" t="s">
        <v>3887</v>
      </c>
      <c r="O5175">
        <v>4</v>
      </c>
      <c r="P5175">
        <v>3</v>
      </c>
      <c r="Q5175">
        <v>0</v>
      </c>
      <c r="R5175" t="s">
        <v>5281</v>
      </c>
      <c r="S5175" t="s">
        <v>4898</v>
      </c>
      <c r="T5175" t="s">
        <v>2704</v>
      </c>
      <c r="U5175" t="s">
        <v>4560</v>
      </c>
      <c r="V5175" s="2">
        <v>976</v>
      </c>
      <c r="W5175" t="s">
        <v>4655</v>
      </c>
      <c r="X5175" s="2">
        <v>0</v>
      </c>
      <c r="Y5175">
        <v>20</v>
      </c>
      <c r="Z5175" t="s">
        <v>3884</v>
      </c>
      <c r="AA5175" s="3">
        <v>0.35309916734695401</v>
      </c>
      <c r="AB5175" t="s">
        <v>26365</v>
      </c>
      <c r="AC5175" t="s">
        <v>4562</v>
      </c>
      <c r="AD5175" t="s">
        <v>26364</v>
      </c>
      <c r="AE5175" t="s">
        <v>4655</v>
      </c>
      <c r="AF5175" t="s">
        <v>4563</v>
      </c>
      <c r="AG5175" t="s">
        <v>4564</v>
      </c>
      <c r="AH5175">
        <v>89511</v>
      </c>
      <c r="AI5175" t="s">
        <v>26366</v>
      </c>
      <c r="AJ5175" t="s">
        <v>1929</v>
      </c>
      <c r="AK5175" t="s">
        <v>26367</v>
      </c>
      <c r="AL5175" s="13" t="s">
        <v>1889</v>
      </c>
      <c r="AM5175" s="14">
        <v>1</v>
      </c>
      <c r="AN5175" s="15" t="s">
        <v>2071</v>
      </c>
    </row>
    <row r="5176" spans="1:40" x14ac:dyDescent="0.3">
      <c r="A5176" s="10" t="str">
        <f>HYPERLINK("http://www.washoecounty.gov/assessor/cama/?parid=152-662-07&amp;CardNumber=1","152-662-07")</f>
        <v>152-662-07</v>
      </c>
      <c r="B5176" t="s">
        <v>4655</v>
      </c>
      <c r="C5176" t="s">
        <v>26368</v>
      </c>
      <c r="D5176" s="1">
        <v>40266</v>
      </c>
      <c r="E5176" s="2">
        <v>1325000</v>
      </c>
      <c r="F5176" t="s">
        <v>4567</v>
      </c>
      <c r="G5176" s="17" t="str">
        <f>HYPERLINK("https://www.washoecounty.gov/assessor/cama/?command=sales&amp;parid=15266207","3865011")</f>
        <v>3865011</v>
      </c>
      <c r="H5176" t="s">
        <v>26369</v>
      </c>
      <c r="I5176">
        <v>2008</v>
      </c>
      <c r="J5176">
        <v>2008</v>
      </c>
      <c r="K5176" t="s">
        <v>4554</v>
      </c>
      <c r="L5176" t="s">
        <v>4555</v>
      </c>
      <c r="M5176" s="2">
        <v>3637</v>
      </c>
      <c r="N5176" t="s">
        <v>8283</v>
      </c>
      <c r="O5176">
        <v>4</v>
      </c>
      <c r="P5176">
        <v>4</v>
      </c>
      <c r="Q5176">
        <v>1</v>
      </c>
      <c r="R5176" t="s">
        <v>5281</v>
      </c>
      <c r="S5176" t="s">
        <v>4898</v>
      </c>
      <c r="T5176" t="s">
        <v>2704</v>
      </c>
      <c r="U5176" t="s">
        <v>4560</v>
      </c>
      <c r="V5176" s="2">
        <v>1449</v>
      </c>
      <c r="W5176" t="s">
        <v>3201</v>
      </c>
      <c r="X5176" s="2">
        <v>1436</v>
      </c>
      <c r="Y5176">
        <v>20</v>
      </c>
      <c r="Z5176" t="s">
        <v>1376</v>
      </c>
      <c r="AA5176" s="3">
        <v>0.99951791763305597</v>
      </c>
      <c r="AB5176" t="s">
        <v>26370</v>
      </c>
      <c r="AC5176" t="s">
        <v>4575</v>
      </c>
      <c r="AD5176" t="s">
        <v>26371</v>
      </c>
      <c r="AE5176" t="s">
        <v>4655</v>
      </c>
      <c r="AF5176" t="s">
        <v>4563</v>
      </c>
      <c r="AG5176" t="s">
        <v>4564</v>
      </c>
      <c r="AH5176">
        <v>89511</v>
      </c>
      <c r="AI5176" t="s">
        <v>26372</v>
      </c>
      <c r="AJ5176" t="s">
        <v>4655</v>
      </c>
      <c r="AK5176" t="s">
        <v>26373</v>
      </c>
      <c r="AL5176" s="13" t="s">
        <v>1895</v>
      </c>
      <c r="AM5176">
        <v>1</v>
      </c>
      <c r="AN5176" s="15" t="s">
        <v>4308</v>
      </c>
    </row>
    <row r="5177" spans="1:40" x14ac:dyDescent="0.3">
      <c r="A5177" s="10" t="str">
        <f>HYPERLINK("http://www.washoecounty.gov/assessor/cama/?parid=152-671-06&amp;CardNumber=1","152-671-06")</f>
        <v>152-671-06</v>
      </c>
      <c r="B5177" t="s">
        <v>4655</v>
      </c>
      <c r="C5177" t="s">
        <v>26374</v>
      </c>
      <c r="D5177" s="1">
        <v>40234</v>
      </c>
      <c r="E5177" s="2">
        <v>835000</v>
      </c>
      <c r="F5177" t="s">
        <v>4567</v>
      </c>
      <c r="G5177" s="17" t="str">
        <f>HYPERLINK("https://www.washoecounty.gov/assessor/cama/?command=sales&amp;parid=15267106","3852736")</f>
        <v>3852736</v>
      </c>
      <c r="H5177" t="s">
        <v>26369</v>
      </c>
      <c r="I5177">
        <v>2006</v>
      </c>
      <c r="J5177">
        <v>2006</v>
      </c>
      <c r="K5177" t="s">
        <v>4554</v>
      </c>
      <c r="L5177" t="s">
        <v>4555</v>
      </c>
      <c r="M5177" s="2">
        <v>3855</v>
      </c>
      <c r="N5177" t="s">
        <v>2631</v>
      </c>
      <c r="O5177">
        <v>4</v>
      </c>
      <c r="P5177">
        <v>4</v>
      </c>
      <c r="Q5177">
        <v>1</v>
      </c>
      <c r="R5177" t="s">
        <v>2632</v>
      </c>
      <c r="S5177" t="s">
        <v>4898</v>
      </c>
      <c r="T5177" t="s">
        <v>2704</v>
      </c>
      <c r="U5177" t="s">
        <v>4560</v>
      </c>
      <c r="V5177" s="2">
        <v>1315</v>
      </c>
      <c r="W5177" t="s">
        <v>4655</v>
      </c>
      <c r="X5177" s="2">
        <v>0</v>
      </c>
      <c r="Y5177">
        <v>20</v>
      </c>
      <c r="Z5177" t="s">
        <v>1376</v>
      </c>
      <c r="AA5177" s="3">
        <v>1.3256887197494507</v>
      </c>
      <c r="AB5177" t="s">
        <v>26375</v>
      </c>
      <c r="AC5177" t="s">
        <v>4562</v>
      </c>
      <c r="AD5177" t="s">
        <v>26374</v>
      </c>
      <c r="AE5177" t="s">
        <v>4655</v>
      </c>
      <c r="AF5177" t="s">
        <v>4563</v>
      </c>
      <c r="AG5177" t="s">
        <v>4564</v>
      </c>
      <c r="AH5177">
        <v>89511</v>
      </c>
      <c r="AI5177" t="s">
        <v>4807</v>
      </c>
      <c r="AJ5177" t="s">
        <v>4655</v>
      </c>
      <c r="AK5177" t="s">
        <v>26376</v>
      </c>
      <c r="AL5177" s="13" t="s">
        <v>1895</v>
      </c>
      <c r="AM5177">
        <v>1</v>
      </c>
      <c r="AN5177" s="15" t="s">
        <v>4308</v>
      </c>
    </row>
    <row r="5178" spans="1:40" x14ac:dyDescent="0.3">
      <c r="A5178" s="10" t="str">
        <f>HYPERLINK("http://www.washoecounty.gov/assessor/cama/?parid=152-681-14&amp;CardNumber=1","152-681-14")</f>
        <v>152-681-14</v>
      </c>
      <c r="B5178" t="s">
        <v>4655</v>
      </c>
      <c r="C5178" t="s">
        <v>26377</v>
      </c>
      <c r="D5178" s="1">
        <v>40424</v>
      </c>
      <c r="E5178" s="2">
        <v>66000</v>
      </c>
      <c r="F5178" t="s">
        <v>3259</v>
      </c>
      <c r="G5178" s="17" t="str">
        <f>HYPERLINK("https://www.washoecounty.gov/assessor/cama/?command=sales&amp;parid=15268114","3918892")</f>
        <v>3918892</v>
      </c>
      <c r="H5178" t="s">
        <v>26378</v>
      </c>
      <c r="I5178">
        <v>0</v>
      </c>
      <c r="J5178">
        <v>0</v>
      </c>
      <c r="K5178" t="s">
        <v>4655</v>
      </c>
      <c r="L5178" t="s">
        <v>4655</v>
      </c>
      <c r="M5178" s="2">
        <v>0</v>
      </c>
      <c r="N5178" t="s">
        <v>4655</v>
      </c>
      <c r="O5178">
        <v>0</v>
      </c>
      <c r="P5178">
        <v>0</v>
      </c>
      <c r="Q5178">
        <v>0</v>
      </c>
      <c r="R5178" t="s">
        <v>4655</v>
      </c>
      <c r="S5178" t="s">
        <v>4655</v>
      </c>
      <c r="T5178" t="s">
        <v>4655</v>
      </c>
      <c r="U5178" t="s">
        <v>4655</v>
      </c>
      <c r="V5178" s="2">
        <v>0</v>
      </c>
      <c r="W5178" t="s">
        <v>4655</v>
      </c>
      <c r="X5178" s="2">
        <v>0</v>
      </c>
      <c r="Y5178">
        <v>12</v>
      </c>
      <c r="Z5178" t="s">
        <v>1376</v>
      </c>
      <c r="AA5178" s="3">
        <v>1.3202708959579399</v>
      </c>
      <c r="AB5178" t="s">
        <v>2449</v>
      </c>
      <c r="AC5178" t="s">
        <v>4575</v>
      </c>
      <c r="AD5178" t="s">
        <v>475</v>
      </c>
      <c r="AE5178" t="s">
        <v>4655</v>
      </c>
      <c r="AF5178" t="s">
        <v>2450</v>
      </c>
      <c r="AG5178" t="s">
        <v>4564</v>
      </c>
      <c r="AH5178" t="s">
        <v>4146</v>
      </c>
      <c r="AI5178" t="s">
        <v>4226</v>
      </c>
      <c r="AJ5178" t="s">
        <v>26379</v>
      </c>
      <c r="AK5178" t="s">
        <v>26380</v>
      </c>
      <c r="AL5178" s="13" t="s">
        <v>1895</v>
      </c>
      <c r="AM5178">
        <v>0</v>
      </c>
      <c r="AN5178" s="15" t="s">
        <v>4308</v>
      </c>
    </row>
    <row r="5179" spans="1:40" x14ac:dyDescent="0.3">
      <c r="A5179" s="10" t="str">
        <f>HYPERLINK("http://www.washoecounty.gov/assessor/cama/?parid=152-692-02&amp;CardNumber=1","152-692-02")</f>
        <v>152-692-02</v>
      </c>
      <c r="B5179" t="s">
        <v>4655</v>
      </c>
      <c r="C5179" t="s">
        <v>26381</v>
      </c>
      <c r="D5179" s="1">
        <v>40368</v>
      </c>
      <c r="E5179" s="2">
        <v>517000</v>
      </c>
      <c r="F5179" t="s">
        <v>4567</v>
      </c>
      <c r="G5179" s="17" t="str">
        <f>HYPERLINK("https://www.washoecounty.gov/assessor/cama/?command=sales&amp;parid=15269202","3899708")</f>
        <v>3899708</v>
      </c>
      <c r="H5179" t="s">
        <v>1712</v>
      </c>
      <c r="I5179">
        <v>2002</v>
      </c>
      <c r="J5179">
        <v>2002</v>
      </c>
      <c r="K5179" t="s">
        <v>4554</v>
      </c>
      <c r="L5179" t="s">
        <v>4555</v>
      </c>
      <c r="M5179" s="2">
        <v>3154</v>
      </c>
      <c r="N5179" t="s">
        <v>3887</v>
      </c>
      <c r="O5179">
        <v>5</v>
      </c>
      <c r="P5179">
        <v>3</v>
      </c>
      <c r="Q5179">
        <v>0</v>
      </c>
      <c r="R5179" t="s">
        <v>4557</v>
      </c>
      <c r="S5179" t="s">
        <v>4898</v>
      </c>
      <c r="T5179" t="s">
        <v>2704</v>
      </c>
      <c r="U5179" t="s">
        <v>4560</v>
      </c>
      <c r="V5179" s="2">
        <v>1231</v>
      </c>
      <c r="W5179" t="s">
        <v>4655</v>
      </c>
      <c r="X5179" s="2">
        <v>0</v>
      </c>
      <c r="Y5179">
        <v>20</v>
      </c>
      <c r="Z5179" t="s">
        <v>3884</v>
      </c>
      <c r="AA5179" s="3">
        <v>0.61186867952346802</v>
      </c>
      <c r="AB5179" t="s">
        <v>26382</v>
      </c>
      <c r="AC5179" t="s">
        <v>4562</v>
      </c>
      <c r="AD5179" t="s">
        <v>26381</v>
      </c>
      <c r="AE5179" t="s">
        <v>4655</v>
      </c>
      <c r="AF5179" t="s">
        <v>4563</v>
      </c>
      <c r="AG5179" t="s">
        <v>4564</v>
      </c>
      <c r="AH5179">
        <v>89511</v>
      </c>
      <c r="AI5179" t="s">
        <v>26383</v>
      </c>
      <c r="AJ5179" t="s">
        <v>2930</v>
      </c>
      <c r="AK5179" t="s">
        <v>26384</v>
      </c>
      <c r="AL5179" s="13" t="s">
        <v>1889</v>
      </c>
      <c r="AM5179">
        <v>1</v>
      </c>
      <c r="AN5179" s="15" t="s">
        <v>2071</v>
      </c>
    </row>
    <row r="5180" spans="1:40" x14ac:dyDescent="0.3">
      <c r="A5180" s="10" t="str">
        <f>HYPERLINK("http://www.washoecounty.gov/assessor/cama/?parid=152-721-09&amp;CardNumber=1","152-721-09")</f>
        <v>152-721-09</v>
      </c>
      <c r="B5180" t="s">
        <v>4655</v>
      </c>
      <c r="C5180" t="s">
        <v>26385</v>
      </c>
      <c r="D5180" s="1">
        <v>40368</v>
      </c>
      <c r="E5180" s="2">
        <v>615000</v>
      </c>
      <c r="F5180" t="s">
        <v>4567</v>
      </c>
      <c r="G5180" s="17" t="str">
        <f>HYPERLINK("https://www.washoecounty.gov/assessor/cama/?command=sales&amp;parid=15272109","3899663")</f>
        <v>3899663</v>
      </c>
      <c r="H5180" t="s">
        <v>2927</v>
      </c>
      <c r="I5180">
        <v>2004</v>
      </c>
      <c r="J5180">
        <v>2004</v>
      </c>
      <c r="K5180" t="s">
        <v>4554</v>
      </c>
      <c r="L5180" t="s">
        <v>4555</v>
      </c>
      <c r="M5180" s="2">
        <v>2815</v>
      </c>
      <c r="N5180" t="s">
        <v>2631</v>
      </c>
      <c r="O5180">
        <v>3</v>
      </c>
      <c r="P5180">
        <v>2</v>
      </c>
      <c r="Q5180">
        <v>1</v>
      </c>
      <c r="R5180" t="s">
        <v>2632</v>
      </c>
      <c r="S5180" t="s">
        <v>4898</v>
      </c>
      <c r="T5180" t="s">
        <v>2704</v>
      </c>
      <c r="U5180" t="s">
        <v>4560</v>
      </c>
      <c r="V5180" s="2">
        <v>782</v>
      </c>
      <c r="W5180" t="s">
        <v>4655</v>
      </c>
      <c r="X5180" s="2">
        <v>0</v>
      </c>
      <c r="Y5180">
        <v>20</v>
      </c>
      <c r="Z5180" t="s">
        <v>1376</v>
      </c>
      <c r="AA5180" s="3">
        <v>0.95342057943344105</v>
      </c>
      <c r="AB5180" t="s">
        <v>26386</v>
      </c>
      <c r="AC5180" t="s">
        <v>4575</v>
      </c>
      <c r="AD5180" t="s">
        <v>26387</v>
      </c>
      <c r="AE5180" t="s">
        <v>4655</v>
      </c>
      <c r="AF5180" t="s">
        <v>26388</v>
      </c>
      <c r="AG5180" t="s">
        <v>5277</v>
      </c>
      <c r="AH5180" t="s">
        <v>26389</v>
      </c>
      <c r="AI5180" t="s">
        <v>26390</v>
      </c>
      <c r="AJ5180" t="s">
        <v>2928</v>
      </c>
      <c r="AK5180" t="s">
        <v>26391</v>
      </c>
      <c r="AL5180" s="13" t="s">
        <v>1895</v>
      </c>
      <c r="AM5180">
        <v>1</v>
      </c>
      <c r="AN5180" s="15" t="s">
        <v>2929</v>
      </c>
    </row>
    <row r="5181" spans="1:40" x14ac:dyDescent="0.3">
      <c r="A5181" s="10" t="str">
        <f>HYPERLINK("http://www.washoecounty.gov/assessor/cama/?parid=152-732-05&amp;CardNumber=1","152-732-05")</f>
        <v>152-732-05</v>
      </c>
      <c r="B5181" t="s">
        <v>4655</v>
      </c>
      <c r="C5181" t="s">
        <v>26392</v>
      </c>
      <c r="D5181" s="1">
        <v>40403</v>
      </c>
      <c r="E5181" s="2">
        <v>615000</v>
      </c>
      <c r="F5181" t="s">
        <v>4567</v>
      </c>
      <c r="G5181" s="17" t="str">
        <f>HYPERLINK("https://www.washoecounty.gov/assessor/cama/?command=sales&amp;parid=15273205","3911859")</f>
        <v>3911859</v>
      </c>
      <c r="H5181" t="s">
        <v>2927</v>
      </c>
      <c r="I5181">
        <v>2005</v>
      </c>
      <c r="J5181">
        <v>2005</v>
      </c>
      <c r="K5181" t="s">
        <v>4554</v>
      </c>
      <c r="L5181" t="s">
        <v>4555</v>
      </c>
      <c r="M5181" s="2">
        <v>2847</v>
      </c>
      <c r="N5181" t="s">
        <v>2631</v>
      </c>
      <c r="O5181">
        <v>3</v>
      </c>
      <c r="P5181">
        <v>2</v>
      </c>
      <c r="Q5181">
        <v>1</v>
      </c>
      <c r="R5181" t="s">
        <v>2632</v>
      </c>
      <c r="S5181" t="s">
        <v>4898</v>
      </c>
      <c r="T5181" t="s">
        <v>2704</v>
      </c>
      <c r="U5181" t="s">
        <v>4560</v>
      </c>
      <c r="V5181" s="2">
        <v>828</v>
      </c>
      <c r="W5181" t="s">
        <v>4655</v>
      </c>
      <c r="X5181" s="2">
        <v>0</v>
      </c>
      <c r="Y5181">
        <v>20</v>
      </c>
      <c r="Z5181" t="s">
        <v>1376</v>
      </c>
      <c r="AA5181" s="3">
        <v>0.714485764503479</v>
      </c>
      <c r="AB5181" t="s">
        <v>26393</v>
      </c>
      <c r="AC5181" t="s">
        <v>4575</v>
      </c>
      <c r="AD5181" t="s">
        <v>26392</v>
      </c>
      <c r="AE5181" t="s">
        <v>4655</v>
      </c>
      <c r="AF5181" t="s">
        <v>4563</v>
      </c>
      <c r="AG5181" t="s">
        <v>4564</v>
      </c>
      <c r="AH5181">
        <v>89511</v>
      </c>
      <c r="AI5181" t="s">
        <v>4655</v>
      </c>
      <c r="AJ5181" t="s">
        <v>2928</v>
      </c>
      <c r="AK5181" t="s">
        <v>26394</v>
      </c>
      <c r="AL5181" s="13" t="s">
        <v>1895</v>
      </c>
      <c r="AM5181" s="14">
        <v>1</v>
      </c>
      <c r="AN5181" s="15" t="s">
        <v>2929</v>
      </c>
    </row>
    <row r="5182" spans="1:40" x14ac:dyDescent="0.3">
      <c r="A5182" s="10" t="str">
        <f>HYPERLINK("http://www.washoecounty.gov/assessor/cama/?parid=152-761-01&amp;CardNumber=1","152-761-01")</f>
        <v>152-761-01</v>
      </c>
      <c r="B5182" t="s">
        <v>4655</v>
      </c>
      <c r="C5182" t="s">
        <v>26395</v>
      </c>
      <c r="D5182" s="1">
        <v>40185</v>
      </c>
      <c r="E5182" s="2">
        <v>535000</v>
      </c>
      <c r="F5182" t="s">
        <v>4567</v>
      </c>
      <c r="G5182" s="17" t="str">
        <f>HYPERLINK("https://www.washoecounty.gov/assessor/cama/?command=sales&amp;parid=15276101","3837398")</f>
        <v>3837398</v>
      </c>
      <c r="H5182" t="s">
        <v>536</v>
      </c>
      <c r="I5182">
        <v>2003</v>
      </c>
      <c r="J5182">
        <v>2003</v>
      </c>
      <c r="K5182" t="s">
        <v>4554</v>
      </c>
      <c r="L5182" t="s">
        <v>4555</v>
      </c>
      <c r="M5182" s="2">
        <v>3370</v>
      </c>
      <c r="N5182" t="s">
        <v>5106</v>
      </c>
      <c r="O5182">
        <v>4</v>
      </c>
      <c r="P5182">
        <v>3</v>
      </c>
      <c r="Q5182">
        <v>1</v>
      </c>
      <c r="R5182" t="s">
        <v>5281</v>
      </c>
      <c r="S5182" t="s">
        <v>4898</v>
      </c>
      <c r="T5182" t="s">
        <v>2704</v>
      </c>
      <c r="U5182" t="s">
        <v>4560</v>
      </c>
      <c r="V5182" s="2">
        <v>840</v>
      </c>
      <c r="W5182" t="s">
        <v>4655</v>
      </c>
      <c r="X5182" s="2">
        <v>0</v>
      </c>
      <c r="Y5182">
        <v>20</v>
      </c>
      <c r="Z5182" t="s">
        <v>1376</v>
      </c>
      <c r="AA5182" s="3">
        <v>0.30431589484214799</v>
      </c>
      <c r="AB5182" t="s">
        <v>26396</v>
      </c>
      <c r="AC5182" t="s">
        <v>4562</v>
      </c>
      <c r="AD5182" t="s">
        <v>26395</v>
      </c>
      <c r="AE5182" t="s">
        <v>4655</v>
      </c>
      <c r="AF5182" t="s">
        <v>4563</v>
      </c>
      <c r="AG5182" t="s">
        <v>4564</v>
      </c>
      <c r="AH5182">
        <v>89511</v>
      </c>
      <c r="AI5182" t="s">
        <v>26397</v>
      </c>
      <c r="AJ5182" t="s">
        <v>537</v>
      </c>
      <c r="AK5182" t="s">
        <v>26398</v>
      </c>
      <c r="AL5182" s="13" t="s">
        <v>1895</v>
      </c>
      <c r="AM5182" s="14">
        <v>1</v>
      </c>
      <c r="AN5182" s="15" t="s">
        <v>538</v>
      </c>
    </row>
    <row r="5183" spans="1:40" x14ac:dyDescent="0.3">
      <c r="A5183" s="10" t="str">
        <f>HYPERLINK("http://www.washoecounty.gov/assessor/cama/?parid=152-762-02&amp;CardNumber=1","152-762-02")</f>
        <v>152-762-02</v>
      </c>
      <c r="B5183" t="s">
        <v>4655</v>
      </c>
      <c r="C5183" t="s">
        <v>26399</v>
      </c>
      <c r="D5183" s="1">
        <v>40262</v>
      </c>
      <c r="E5183" s="2">
        <v>525000</v>
      </c>
      <c r="F5183" t="s">
        <v>4567</v>
      </c>
      <c r="G5183" s="17" t="str">
        <f>HYPERLINK("https://www.washoecounty.gov/assessor/cama/?command=sales&amp;parid=15276202","3863796")</f>
        <v>3863796</v>
      </c>
      <c r="H5183" t="s">
        <v>536</v>
      </c>
      <c r="I5183">
        <v>2003</v>
      </c>
      <c r="J5183">
        <v>2003</v>
      </c>
      <c r="K5183" t="s">
        <v>4554</v>
      </c>
      <c r="L5183" t="s">
        <v>4555</v>
      </c>
      <c r="M5183" s="2">
        <v>3370</v>
      </c>
      <c r="N5183" t="s">
        <v>5106</v>
      </c>
      <c r="O5183">
        <v>3</v>
      </c>
      <c r="P5183">
        <v>3</v>
      </c>
      <c r="Q5183">
        <v>1</v>
      </c>
      <c r="R5183" t="s">
        <v>5281</v>
      </c>
      <c r="S5183" t="s">
        <v>4898</v>
      </c>
      <c r="T5183" t="s">
        <v>2704</v>
      </c>
      <c r="U5183" t="s">
        <v>4560</v>
      </c>
      <c r="V5183" s="2">
        <v>840</v>
      </c>
      <c r="W5183" t="s">
        <v>4655</v>
      </c>
      <c r="X5183" s="2">
        <v>0</v>
      </c>
      <c r="Y5183">
        <v>20</v>
      </c>
      <c r="Z5183" t="s">
        <v>1376</v>
      </c>
      <c r="AA5183" s="3">
        <v>0.40160697698593101</v>
      </c>
      <c r="AB5183" t="s">
        <v>26400</v>
      </c>
      <c r="AC5183" t="s">
        <v>4575</v>
      </c>
      <c r="AD5183" t="s">
        <v>26399</v>
      </c>
      <c r="AE5183" t="s">
        <v>4655</v>
      </c>
      <c r="AF5183" t="s">
        <v>4563</v>
      </c>
      <c r="AG5183" t="s">
        <v>4564</v>
      </c>
      <c r="AH5183">
        <v>89511</v>
      </c>
      <c r="AI5183" t="s">
        <v>26401</v>
      </c>
      <c r="AJ5183" t="s">
        <v>537</v>
      </c>
      <c r="AK5183" t="s">
        <v>26402</v>
      </c>
      <c r="AL5183" s="13" t="s">
        <v>1895</v>
      </c>
      <c r="AM5183">
        <v>1</v>
      </c>
      <c r="AN5183" s="15" t="s">
        <v>538</v>
      </c>
    </row>
    <row r="5184" spans="1:40" x14ac:dyDescent="0.3">
      <c r="A5184" s="10" t="str">
        <f>HYPERLINK("http://www.washoecounty.gov/assessor/cama/?parid=152-773-04&amp;CardNumber=1","152-773-04")</f>
        <v>152-773-04</v>
      </c>
      <c r="B5184" t="s">
        <v>4655</v>
      </c>
      <c r="C5184" t="s">
        <v>26403</v>
      </c>
      <c r="D5184" s="1">
        <v>40256</v>
      </c>
      <c r="E5184" s="2">
        <v>630000</v>
      </c>
      <c r="F5184" t="s">
        <v>4567</v>
      </c>
      <c r="G5184" s="17" t="str">
        <f>HYPERLINK("https://www.washoecounty.gov/assessor/cama/?command=sales&amp;parid=15277304","3861812")</f>
        <v>3861812</v>
      </c>
      <c r="H5184" t="s">
        <v>536</v>
      </c>
      <c r="I5184">
        <v>2003</v>
      </c>
      <c r="J5184">
        <v>2003</v>
      </c>
      <c r="K5184" t="s">
        <v>4554</v>
      </c>
      <c r="L5184" t="s">
        <v>4555</v>
      </c>
      <c r="M5184" s="2">
        <v>2681</v>
      </c>
      <c r="N5184" t="s">
        <v>5106</v>
      </c>
      <c r="O5184">
        <v>5</v>
      </c>
      <c r="P5184">
        <v>4</v>
      </c>
      <c r="Q5184">
        <v>0</v>
      </c>
      <c r="R5184" t="s">
        <v>5281</v>
      </c>
      <c r="S5184" t="s">
        <v>4898</v>
      </c>
      <c r="T5184" t="s">
        <v>2704</v>
      </c>
      <c r="U5184" t="s">
        <v>4560</v>
      </c>
      <c r="V5184" s="2">
        <v>856</v>
      </c>
      <c r="W5184" t="s">
        <v>3201</v>
      </c>
      <c r="X5184" s="2">
        <v>963</v>
      </c>
      <c r="Y5184">
        <v>20</v>
      </c>
      <c r="Z5184" t="s">
        <v>1376</v>
      </c>
      <c r="AA5184" s="3">
        <v>0.51958221197128196</v>
      </c>
      <c r="AB5184" t="s">
        <v>26404</v>
      </c>
      <c r="AC5184" t="s">
        <v>4562</v>
      </c>
      <c r="AD5184" t="s">
        <v>26403</v>
      </c>
      <c r="AE5184" t="s">
        <v>4655</v>
      </c>
      <c r="AF5184" t="s">
        <v>4563</v>
      </c>
      <c r="AG5184" t="s">
        <v>4564</v>
      </c>
      <c r="AH5184">
        <v>89511</v>
      </c>
      <c r="AI5184" t="s">
        <v>26405</v>
      </c>
      <c r="AJ5184" t="s">
        <v>537</v>
      </c>
      <c r="AK5184" t="s">
        <v>26406</v>
      </c>
      <c r="AL5184" s="13" t="s">
        <v>1895</v>
      </c>
      <c r="AM5184">
        <v>1</v>
      </c>
      <c r="AN5184" s="15" t="s">
        <v>538</v>
      </c>
    </row>
    <row r="5185" spans="1:40" x14ac:dyDescent="0.3">
      <c r="A5185" s="10" t="str">
        <f>HYPERLINK("http://www.washoecounty.gov/assessor/cama/?parid=152-792-09&amp;CardNumber=1","152-792-09")</f>
        <v>152-792-09</v>
      </c>
      <c r="B5185" t="s">
        <v>4655</v>
      </c>
      <c r="C5185" t="s">
        <v>26407</v>
      </c>
      <c r="D5185" s="1">
        <v>40323</v>
      </c>
      <c r="E5185" s="2">
        <v>444000</v>
      </c>
      <c r="F5185" t="s">
        <v>4567</v>
      </c>
      <c r="G5185" s="17" t="str">
        <f>HYPERLINK("https://www.washoecounty.gov/assessor/cama/?command=sales&amp;parid=15279209","3884782")</f>
        <v>3884782</v>
      </c>
      <c r="H5185" t="s">
        <v>26408</v>
      </c>
      <c r="I5185">
        <v>2002</v>
      </c>
      <c r="J5185">
        <v>2002</v>
      </c>
      <c r="K5185" t="s">
        <v>4554</v>
      </c>
      <c r="L5185" t="s">
        <v>4555</v>
      </c>
      <c r="M5185" s="2">
        <v>2624</v>
      </c>
      <c r="N5185" t="s">
        <v>3887</v>
      </c>
      <c r="O5185">
        <v>4</v>
      </c>
      <c r="P5185">
        <v>3</v>
      </c>
      <c r="Q5185">
        <v>0</v>
      </c>
      <c r="R5185" t="s">
        <v>4557</v>
      </c>
      <c r="S5185" t="s">
        <v>4898</v>
      </c>
      <c r="T5185" t="s">
        <v>2704</v>
      </c>
      <c r="U5185" t="s">
        <v>4560</v>
      </c>
      <c r="V5185" s="2">
        <v>879</v>
      </c>
      <c r="W5185" t="s">
        <v>4655</v>
      </c>
      <c r="X5185" s="2">
        <v>0</v>
      </c>
      <c r="Y5185">
        <v>20</v>
      </c>
      <c r="Z5185" t="s">
        <v>3884</v>
      </c>
      <c r="AA5185" s="3">
        <v>0.54288339614868164</v>
      </c>
      <c r="AB5185" t="s">
        <v>26409</v>
      </c>
      <c r="AC5185" t="s">
        <v>4562</v>
      </c>
      <c r="AD5185" t="s">
        <v>26407</v>
      </c>
      <c r="AE5185" t="s">
        <v>4655</v>
      </c>
      <c r="AF5185" t="s">
        <v>4563</v>
      </c>
      <c r="AG5185" t="s">
        <v>4564</v>
      </c>
      <c r="AH5185">
        <v>89511</v>
      </c>
      <c r="AI5185" t="s">
        <v>26410</v>
      </c>
      <c r="AJ5185" t="s">
        <v>1855</v>
      </c>
      <c r="AK5185" t="s">
        <v>26411</v>
      </c>
      <c r="AL5185" s="13" t="s">
        <v>1889</v>
      </c>
      <c r="AM5185">
        <v>1</v>
      </c>
      <c r="AN5185" s="15" t="s">
        <v>2071</v>
      </c>
    </row>
    <row r="5186" spans="1:40" x14ac:dyDescent="0.3">
      <c r="A5186" s="10" t="str">
        <f>HYPERLINK("http://www.washoecounty.gov/assessor/cama/?parid=152-861-03&amp;CardNumber=1","152-861-03")</f>
        <v>152-861-03</v>
      </c>
      <c r="B5186" t="s">
        <v>4655</v>
      </c>
      <c r="C5186" t="s">
        <v>26412</v>
      </c>
      <c r="D5186" s="1">
        <v>40522</v>
      </c>
      <c r="E5186" s="2">
        <v>780000</v>
      </c>
      <c r="F5186" t="s">
        <v>4567</v>
      </c>
      <c r="G5186" s="17" t="str">
        <f>HYPERLINK("https://www.washoecounty.gov/assessor/cama/?command=sales&amp;parid=15286103","3952095")</f>
        <v>3952095</v>
      </c>
      <c r="H5186" t="s">
        <v>540</v>
      </c>
      <c r="I5186">
        <v>2005</v>
      </c>
      <c r="J5186">
        <v>2005</v>
      </c>
      <c r="K5186" t="s">
        <v>4554</v>
      </c>
      <c r="L5186" t="s">
        <v>4555</v>
      </c>
      <c r="M5186" s="2">
        <v>3281</v>
      </c>
      <c r="N5186" t="s">
        <v>3457</v>
      </c>
      <c r="O5186">
        <v>4</v>
      </c>
      <c r="P5186">
        <v>4</v>
      </c>
      <c r="Q5186">
        <v>1</v>
      </c>
      <c r="R5186" t="s">
        <v>2632</v>
      </c>
      <c r="S5186" t="s">
        <v>4898</v>
      </c>
      <c r="T5186" t="s">
        <v>2704</v>
      </c>
      <c r="U5186" t="s">
        <v>4560</v>
      </c>
      <c r="V5186" s="2">
        <v>1659</v>
      </c>
      <c r="W5186" t="s">
        <v>1500</v>
      </c>
      <c r="X5186" s="2">
        <v>1434</v>
      </c>
      <c r="Y5186">
        <v>20</v>
      </c>
      <c r="Z5186" t="s">
        <v>5226</v>
      </c>
      <c r="AA5186" s="3">
        <v>1.1578742265701201</v>
      </c>
      <c r="AB5186" t="s">
        <v>26413</v>
      </c>
      <c r="AC5186" t="s">
        <v>4575</v>
      </c>
      <c r="AD5186" t="s">
        <v>26412</v>
      </c>
      <c r="AE5186" t="s">
        <v>4655</v>
      </c>
      <c r="AF5186" t="s">
        <v>4563</v>
      </c>
      <c r="AG5186" t="s">
        <v>4564</v>
      </c>
      <c r="AH5186">
        <v>89511</v>
      </c>
      <c r="AI5186" t="s">
        <v>26414</v>
      </c>
      <c r="AJ5186" t="s">
        <v>542</v>
      </c>
      <c r="AK5186" t="s">
        <v>26415</v>
      </c>
      <c r="AL5186" s="13" t="s">
        <v>1895</v>
      </c>
      <c r="AM5186">
        <v>1</v>
      </c>
      <c r="AN5186" s="15" t="s">
        <v>4308</v>
      </c>
    </row>
    <row r="5187" spans="1:40" x14ac:dyDescent="0.3">
      <c r="A5187" s="10" t="str">
        <f>HYPERLINK("http://www.washoecounty.gov/assessor/cama/?parid=152-863-06&amp;CardNumber=1","152-863-06")</f>
        <v>152-863-06</v>
      </c>
      <c r="B5187" t="s">
        <v>4655</v>
      </c>
      <c r="C5187" t="s">
        <v>26416</v>
      </c>
      <c r="D5187" s="1">
        <v>40247</v>
      </c>
      <c r="E5187" s="2">
        <v>91000</v>
      </c>
      <c r="F5187" t="s">
        <v>4553</v>
      </c>
      <c r="G5187" s="17" t="str">
        <f>HYPERLINK("https://www.washoecounty.gov/assessor/cama/?command=sales&amp;parid=15286306","3858376")</f>
        <v>3858376</v>
      </c>
      <c r="H5187" t="s">
        <v>540</v>
      </c>
      <c r="I5187">
        <v>0</v>
      </c>
      <c r="J5187">
        <v>0</v>
      </c>
      <c r="K5187" t="s">
        <v>4655</v>
      </c>
      <c r="L5187" t="s">
        <v>4655</v>
      </c>
      <c r="M5187" s="2">
        <v>0</v>
      </c>
      <c r="N5187" t="s">
        <v>4655</v>
      </c>
      <c r="O5187">
        <v>0</v>
      </c>
      <c r="P5187">
        <v>0</v>
      </c>
      <c r="Q5187">
        <v>0</v>
      </c>
      <c r="R5187" t="s">
        <v>4655</v>
      </c>
      <c r="S5187" t="s">
        <v>4655</v>
      </c>
      <c r="T5187" t="s">
        <v>4655</v>
      </c>
      <c r="U5187" t="s">
        <v>4655</v>
      </c>
      <c r="V5187" s="2">
        <v>0</v>
      </c>
      <c r="W5187" t="s">
        <v>4655</v>
      </c>
      <c r="X5187" s="2">
        <v>0</v>
      </c>
      <c r="Y5187">
        <v>12</v>
      </c>
      <c r="Z5187" t="s">
        <v>4051</v>
      </c>
      <c r="AA5187" s="3">
        <v>1.0001147985458301</v>
      </c>
      <c r="AB5187" t="s">
        <v>5354</v>
      </c>
      <c r="AC5187" t="s">
        <v>4562</v>
      </c>
      <c r="AD5187" t="s">
        <v>26417</v>
      </c>
      <c r="AE5187" t="s">
        <v>4655</v>
      </c>
      <c r="AF5187" t="s">
        <v>4563</v>
      </c>
      <c r="AG5187" t="s">
        <v>4564</v>
      </c>
      <c r="AH5187" t="s">
        <v>5197</v>
      </c>
      <c r="AI5187" t="s">
        <v>5354</v>
      </c>
      <c r="AJ5187" t="s">
        <v>542</v>
      </c>
      <c r="AK5187" t="s">
        <v>26418</v>
      </c>
      <c r="AL5187" s="13" t="s">
        <v>1895</v>
      </c>
      <c r="AM5187">
        <v>0</v>
      </c>
      <c r="AN5187" s="15" t="s">
        <v>4308</v>
      </c>
    </row>
    <row r="5188" spans="1:40" x14ac:dyDescent="0.3">
      <c r="A5188" s="10" t="str">
        <f>HYPERLINK("http://www.washoecounty.gov/assessor/cama/?parid=152-863-07&amp;CardNumber=1","152-863-07")</f>
        <v>152-863-07</v>
      </c>
      <c r="B5188" t="s">
        <v>4655</v>
      </c>
      <c r="C5188" t="s">
        <v>26419</v>
      </c>
      <c r="D5188" s="1">
        <v>40420</v>
      </c>
      <c r="E5188" s="2">
        <v>82575</v>
      </c>
      <c r="F5188" t="s">
        <v>3512</v>
      </c>
      <c r="G5188" s="17" t="str">
        <f>HYPERLINK("https://www.washoecounty.gov/assessor/cama/?command=sales&amp;parid=15286307","3916618")</f>
        <v>3916618</v>
      </c>
      <c r="H5188" t="s">
        <v>540</v>
      </c>
      <c r="I5188">
        <v>0</v>
      </c>
      <c r="J5188">
        <v>0</v>
      </c>
      <c r="K5188" t="s">
        <v>4655</v>
      </c>
      <c r="L5188" t="s">
        <v>4655</v>
      </c>
      <c r="M5188" s="2">
        <v>0</v>
      </c>
      <c r="N5188" t="s">
        <v>4655</v>
      </c>
      <c r="O5188">
        <v>0</v>
      </c>
      <c r="P5188">
        <v>0</v>
      </c>
      <c r="Q5188">
        <v>0</v>
      </c>
      <c r="R5188" t="s">
        <v>4655</v>
      </c>
      <c r="S5188" t="s">
        <v>4655</v>
      </c>
      <c r="T5188" t="s">
        <v>4655</v>
      </c>
      <c r="U5188" t="s">
        <v>4655</v>
      </c>
      <c r="V5188" s="2">
        <v>0</v>
      </c>
      <c r="W5188" t="s">
        <v>4655</v>
      </c>
      <c r="X5188" s="2">
        <v>0</v>
      </c>
      <c r="Y5188">
        <v>12</v>
      </c>
      <c r="Z5188" t="s">
        <v>4051</v>
      </c>
      <c r="AA5188" s="3">
        <v>1.0012396574020299</v>
      </c>
      <c r="AB5188" t="s">
        <v>26420</v>
      </c>
      <c r="AC5188" t="s">
        <v>4562</v>
      </c>
      <c r="AD5188" t="s">
        <v>26421</v>
      </c>
      <c r="AE5188" t="s">
        <v>4655</v>
      </c>
      <c r="AF5188" t="s">
        <v>4563</v>
      </c>
      <c r="AG5188" t="s">
        <v>4564</v>
      </c>
      <c r="AH5188" t="s">
        <v>2330</v>
      </c>
      <c r="AI5188" t="s">
        <v>4655</v>
      </c>
      <c r="AJ5188" t="s">
        <v>542</v>
      </c>
      <c r="AK5188" t="s">
        <v>26422</v>
      </c>
      <c r="AL5188" s="13" t="s">
        <v>1895</v>
      </c>
      <c r="AM5188">
        <v>0</v>
      </c>
      <c r="AN5188" s="15" t="s">
        <v>4308</v>
      </c>
    </row>
    <row r="5189" spans="1:40" x14ac:dyDescent="0.3">
      <c r="A5189" s="10" t="str">
        <f>HYPERLINK("http://www.washoecounty.gov/assessor/cama/?parid=152-863-07&amp;CardNumber=1","152-863-07")</f>
        <v>152-863-07</v>
      </c>
      <c r="B5189" t="s">
        <v>4655</v>
      </c>
      <c r="C5189" t="s">
        <v>26419</v>
      </c>
      <c r="D5189" s="1">
        <v>40501</v>
      </c>
      <c r="E5189" s="2">
        <v>85282</v>
      </c>
      <c r="F5189" t="s">
        <v>3512</v>
      </c>
      <c r="G5189" s="17" t="str">
        <f>HYPERLINK("https://www.washoecounty.gov/assessor/cama/?command=sales&amp;parid=15286307","3945178")</f>
        <v>3945178</v>
      </c>
      <c r="H5189" t="s">
        <v>540</v>
      </c>
      <c r="I5189">
        <v>0</v>
      </c>
      <c r="J5189">
        <v>0</v>
      </c>
      <c r="K5189" t="s">
        <v>4655</v>
      </c>
      <c r="L5189" t="s">
        <v>4655</v>
      </c>
      <c r="M5189" s="2">
        <v>0</v>
      </c>
      <c r="N5189" t="s">
        <v>4655</v>
      </c>
      <c r="O5189">
        <v>0</v>
      </c>
      <c r="P5189">
        <v>0</v>
      </c>
      <c r="Q5189">
        <v>0</v>
      </c>
      <c r="R5189" t="s">
        <v>4655</v>
      </c>
      <c r="S5189" t="s">
        <v>4655</v>
      </c>
      <c r="T5189" t="s">
        <v>4655</v>
      </c>
      <c r="U5189" t="s">
        <v>4655</v>
      </c>
      <c r="V5189" s="2">
        <v>0</v>
      </c>
      <c r="W5189" t="s">
        <v>4655</v>
      </c>
      <c r="X5189" s="2">
        <v>0</v>
      </c>
      <c r="Y5189">
        <v>12</v>
      </c>
      <c r="Z5189" t="s">
        <v>4051</v>
      </c>
      <c r="AA5189" s="3">
        <v>1.0012396574020299</v>
      </c>
      <c r="AB5189" t="s">
        <v>26420</v>
      </c>
      <c r="AC5189" t="s">
        <v>4562</v>
      </c>
      <c r="AD5189" t="s">
        <v>26421</v>
      </c>
      <c r="AE5189" t="s">
        <v>4655</v>
      </c>
      <c r="AF5189" t="s">
        <v>4563</v>
      </c>
      <c r="AG5189" t="s">
        <v>4564</v>
      </c>
      <c r="AH5189" t="s">
        <v>2330</v>
      </c>
      <c r="AI5189" t="s">
        <v>4655</v>
      </c>
      <c r="AJ5189" t="s">
        <v>542</v>
      </c>
      <c r="AK5189" t="s">
        <v>26422</v>
      </c>
      <c r="AL5189" s="13" t="s">
        <v>1895</v>
      </c>
      <c r="AM5189">
        <v>0</v>
      </c>
      <c r="AN5189" s="15" t="s">
        <v>4308</v>
      </c>
    </row>
    <row r="5190" spans="1:40" x14ac:dyDescent="0.3">
      <c r="A5190" s="10" t="str">
        <f>HYPERLINK("http://www.washoecounty.gov/assessor/cama/?parid=152-871-09&amp;CardNumber=1","152-871-09")</f>
        <v>152-871-09</v>
      </c>
      <c r="B5190" t="s">
        <v>4655</v>
      </c>
      <c r="C5190" t="s">
        <v>26423</v>
      </c>
      <c r="D5190" s="1">
        <v>40387</v>
      </c>
      <c r="E5190" s="2">
        <v>1600000</v>
      </c>
      <c r="F5190" t="s">
        <v>4567</v>
      </c>
      <c r="G5190" s="17" t="str">
        <f>HYPERLINK("https://www.washoecounty.gov/assessor/cama/?command=sales&amp;parid=15287109","3906156")</f>
        <v>3906156</v>
      </c>
      <c r="H5190" t="s">
        <v>540</v>
      </c>
      <c r="I5190">
        <v>2006</v>
      </c>
      <c r="J5190">
        <v>2006</v>
      </c>
      <c r="K5190" t="s">
        <v>4554</v>
      </c>
      <c r="L5190" t="s">
        <v>4555</v>
      </c>
      <c r="M5190" s="2">
        <v>6395</v>
      </c>
      <c r="N5190" t="s">
        <v>5629</v>
      </c>
      <c r="O5190">
        <v>4</v>
      </c>
      <c r="P5190">
        <v>4</v>
      </c>
      <c r="Q5190">
        <v>1</v>
      </c>
      <c r="R5190" t="s">
        <v>2632</v>
      </c>
      <c r="S5190" t="s">
        <v>4898</v>
      </c>
      <c r="T5190" t="s">
        <v>2704</v>
      </c>
      <c r="U5190" t="s">
        <v>4560</v>
      </c>
      <c r="V5190" s="2">
        <v>1793</v>
      </c>
      <c r="W5190" t="s">
        <v>1500</v>
      </c>
      <c r="X5190" s="2">
        <v>432</v>
      </c>
      <c r="Y5190">
        <v>20</v>
      </c>
      <c r="Z5190" t="s">
        <v>4051</v>
      </c>
      <c r="AA5190" s="3">
        <v>1.56767678260803</v>
      </c>
      <c r="AB5190" t="s">
        <v>26424</v>
      </c>
      <c r="AC5190" t="s">
        <v>4562</v>
      </c>
      <c r="AD5190" t="s">
        <v>26425</v>
      </c>
      <c r="AE5190" t="s">
        <v>4655</v>
      </c>
      <c r="AF5190" t="s">
        <v>686</v>
      </c>
      <c r="AG5190" t="s">
        <v>4584</v>
      </c>
      <c r="AH5190">
        <v>94111</v>
      </c>
      <c r="AI5190" t="s">
        <v>26426</v>
      </c>
      <c r="AJ5190" t="s">
        <v>542</v>
      </c>
      <c r="AK5190" t="s">
        <v>26427</v>
      </c>
      <c r="AL5190" s="13" t="s">
        <v>1895</v>
      </c>
      <c r="AM5190">
        <v>1</v>
      </c>
      <c r="AN5190" s="15" t="s">
        <v>4308</v>
      </c>
    </row>
    <row r="5191" spans="1:40" x14ac:dyDescent="0.3">
      <c r="A5191" s="10" t="str">
        <f>HYPERLINK("http://www.washoecounty.gov/assessor/cama/?parid=152-874-03&amp;CardNumber=1","152-874-03")</f>
        <v>152-874-03</v>
      </c>
      <c r="B5191" t="s">
        <v>4655</v>
      </c>
      <c r="C5191" t="s">
        <v>26428</v>
      </c>
      <c r="D5191" s="1">
        <v>40505</v>
      </c>
      <c r="E5191" s="2">
        <v>729000</v>
      </c>
      <c r="F5191" t="s">
        <v>4553</v>
      </c>
      <c r="G5191" s="17" t="str">
        <f>HYPERLINK("https://www.washoecounty.gov/assessor/cama/?command=sales&amp;parid=15287403","3946108")</f>
        <v>3946108</v>
      </c>
      <c r="H5191" t="s">
        <v>540</v>
      </c>
      <c r="I5191">
        <v>2007</v>
      </c>
      <c r="J5191">
        <v>2007</v>
      </c>
      <c r="K5191" t="s">
        <v>4554</v>
      </c>
      <c r="L5191" t="s">
        <v>4555</v>
      </c>
      <c r="M5191" s="2">
        <v>2909</v>
      </c>
      <c r="N5191" t="s">
        <v>8283</v>
      </c>
      <c r="O5191">
        <v>5</v>
      </c>
      <c r="P5191">
        <v>4</v>
      </c>
      <c r="Q5191">
        <v>0</v>
      </c>
      <c r="R5191" t="s">
        <v>5281</v>
      </c>
      <c r="S5191" t="s">
        <v>4898</v>
      </c>
      <c r="T5191" t="s">
        <v>2704</v>
      </c>
      <c r="U5191" t="s">
        <v>4560</v>
      </c>
      <c r="V5191" s="2">
        <v>942</v>
      </c>
      <c r="W5191" t="s">
        <v>3201</v>
      </c>
      <c r="X5191" s="2">
        <v>1839</v>
      </c>
      <c r="Y5191">
        <v>20</v>
      </c>
      <c r="Z5191" t="s">
        <v>1376</v>
      </c>
      <c r="AA5191" s="3">
        <v>0.76581728458404497</v>
      </c>
      <c r="AB5191" t="s">
        <v>26429</v>
      </c>
      <c r="AC5191" t="s">
        <v>4562</v>
      </c>
      <c r="AD5191" t="s">
        <v>26428</v>
      </c>
      <c r="AE5191" t="s">
        <v>4655</v>
      </c>
      <c r="AF5191" t="s">
        <v>4563</v>
      </c>
      <c r="AG5191" t="s">
        <v>4564</v>
      </c>
      <c r="AH5191">
        <v>89511</v>
      </c>
      <c r="AI5191" t="s">
        <v>26430</v>
      </c>
      <c r="AJ5191" t="s">
        <v>542</v>
      </c>
      <c r="AK5191" t="s">
        <v>26431</v>
      </c>
      <c r="AL5191" s="13" t="s">
        <v>1895</v>
      </c>
      <c r="AM5191">
        <v>1</v>
      </c>
      <c r="AN5191" s="15" t="s">
        <v>4308</v>
      </c>
    </row>
    <row r="5192" spans="1:40" x14ac:dyDescent="0.3">
      <c r="A5192" s="10" t="str">
        <f>HYPERLINK("http://www.washoecounty.gov/assessor/cama/?parid=152-875-03&amp;CardNumber=1","152-875-03")</f>
        <v>152-875-03</v>
      </c>
      <c r="B5192" t="s">
        <v>4655</v>
      </c>
      <c r="C5192" t="s">
        <v>539</v>
      </c>
      <c r="D5192" s="1">
        <v>40206</v>
      </c>
      <c r="E5192" s="2">
        <v>70000</v>
      </c>
      <c r="F5192" t="s">
        <v>4553</v>
      </c>
      <c r="G5192" s="17" t="str">
        <f>HYPERLINK("https://www.washoecounty.gov/assessor/cama/?command=sales&amp;parid=15287503","3843473")</f>
        <v>3843473</v>
      </c>
      <c r="H5192" t="s">
        <v>540</v>
      </c>
      <c r="I5192">
        <v>0</v>
      </c>
      <c r="J5192">
        <v>0</v>
      </c>
      <c r="K5192" t="s">
        <v>4655</v>
      </c>
      <c r="L5192" t="s">
        <v>4655</v>
      </c>
      <c r="M5192" s="2">
        <v>0</v>
      </c>
      <c r="N5192" t="s">
        <v>4655</v>
      </c>
      <c r="O5192">
        <v>0</v>
      </c>
      <c r="P5192">
        <v>0</v>
      </c>
      <c r="Q5192">
        <v>0</v>
      </c>
      <c r="R5192" t="s">
        <v>4655</v>
      </c>
      <c r="S5192" t="s">
        <v>4655</v>
      </c>
      <c r="T5192" t="s">
        <v>4655</v>
      </c>
      <c r="U5192" t="s">
        <v>4655</v>
      </c>
      <c r="V5192" s="2">
        <v>0</v>
      </c>
      <c r="W5192" t="s">
        <v>4655</v>
      </c>
      <c r="X5192" s="2">
        <v>0</v>
      </c>
      <c r="Y5192">
        <v>12</v>
      </c>
      <c r="Z5192" t="s">
        <v>4051</v>
      </c>
      <c r="AA5192" s="3">
        <v>0.62699723243713379</v>
      </c>
      <c r="AB5192" t="s">
        <v>5665</v>
      </c>
      <c r="AC5192" t="s">
        <v>4562</v>
      </c>
      <c r="AD5192" t="s">
        <v>1988</v>
      </c>
      <c r="AE5192" t="s">
        <v>4655</v>
      </c>
      <c r="AF5192" t="s">
        <v>4563</v>
      </c>
      <c r="AG5192" t="s">
        <v>4564</v>
      </c>
      <c r="AH5192">
        <v>89509</v>
      </c>
      <c r="AI5192" t="s">
        <v>541</v>
      </c>
      <c r="AJ5192" t="s">
        <v>542</v>
      </c>
      <c r="AK5192" t="s">
        <v>543</v>
      </c>
      <c r="AL5192" s="13" t="s">
        <v>1895</v>
      </c>
      <c r="AM5192">
        <v>0</v>
      </c>
      <c r="AN5192" s="15" t="s">
        <v>4308</v>
      </c>
    </row>
    <row r="5193" spans="1:40" x14ac:dyDescent="0.3">
      <c r="A5193" s="10" t="str">
        <f>HYPERLINK("http://www.washoecounty.gov/assessor/cama/?parid=152-891-06&amp;CardNumber=1","152-891-06")</f>
        <v>152-891-06</v>
      </c>
      <c r="B5193" t="s">
        <v>4655</v>
      </c>
      <c r="C5193" t="s">
        <v>2446</v>
      </c>
      <c r="D5193" s="1">
        <v>40401</v>
      </c>
      <c r="E5193" s="2">
        <v>50000</v>
      </c>
      <c r="F5193" t="s">
        <v>3259</v>
      </c>
      <c r="G5193" s="17" t="str">
        <f>HYPERLINK("https://www.washoecounty.gov/assessor/cama/?command=sales&amp;parid=15289106","3910748")</f>
        <v>3910748</v>
      </c>
      <c r="H5193" t="s">
        <v>3925</v>
      </c>
      <c r="I5193">
        <v>2010</v>
      </c>
      <c r="J5193">
        <v>2010</v>
      </c>
      <c r="K5193" t="s">
        <v>4554</v>
      </c>
      <c r="L5193" t="s">
        <v>4555</v>
      </c>
      <c r="M5193" s="2">
        <v>2502</v>
      </c>
      <c r="N5193" t="s">
        <v>5106</v>
      </c>
      <c r="O5193">
        <v>4</v>
      </c>
      <c r="P5193">
        <v>2</v>
      </c>
      <c r="Q5193">
        <v>1</v>
      </c>
      <c r="R5193" t="s">
        <v>5281</v>
      </c>
      <c r="S5193" t="s">
        <v>4898</v>
      </c>
      <c r="T5193" t="s">
        <v>2704</v>
      </c>
      <c r="U5193" t="s">
        <v>4560</v>
      </c>
      <c r="V5193" s="2">
        <v>762</v>
      </c>
      <c r="W5193" t="s">
        <v>4655</v>
      </c>
      <c r="X5193" s="2">
        <v>0</v>
      </c>
      <c r="Y5193">
        <v>12</v>
      </c>
      <c r="Z5193" t="s">
        <v>5226</v>
      </c>
      <c r="AA5193" s="3">
        <v>0.30502754449844399</v>
      </c>
      <c r="AB5193" t="s">
        <v>178</v>
      </c>
      <c r="AC5193" t="s">
        <v>4562</v>
      </c>
      <c r="AD5193" t="s">
        <v>179</v>
      </c>
      <c r="AE5193" t="s">
        <v>4655</v>
      </c>
      <c r="AF5193" t="s">
        <v>4563</v>
      </c>
      <c r="AG5193" t="s">
        <v>4564</v>
      </c>
      <c r="AH5193">
        <v>89511</v>
      </c>
      <c r="AI5193" t="s">
        <v>2447</v>
      </c>
      <c r="AJ5193" t="s">
        <v>2002</v>
      </c>
      <c r="AK5193" t="s">
        <v>2448</v>
      </c>
      <c r="AL5193" s="13" t="s">
        <v>1895</v>
      </c>
      <c r="AM5193" s="14">
        <v>1</v>
      </c>
      <c r="AN5193" s="15" t="s">
        <v>3254</v>
      </c>
    </row>
    <row r="5194" spans="1:40" x14ac:dyDescent="0.3">
      <c r="A5194" s="10" t="str">
        <f>HYPERLINK("http://www.washoecounty.gov/assessor/cama/?parid=152-891-23&amp;CardNumber=1","152-891-23")</f>
        <v>152-891-23</v>
      </c>
      <c r="B5194" t="s">
        <v>4655</v>
      </c>
      <c r="C5194" t="s">
        <v>26432</v>
      </c>
      <c r="D5194" s="1">
        <v>40268</v>
      </c>
      <c r="E5194" s="2">
        <v>550000</v>
      </c>
      <c r="F5194" t="s">
        <v>4553</v>
      </c>
      <c r="G5194" s="17" t="str">
        <f>HYPERLINK("https://www.washoecounty.gov/assessor/cama/?command=sales&amp;parid=15289123","3866271")</f>
        <v>3866271</v>
      </c>
      <c r="H5194" t="s">
        <v>3925</v>
      </c>
      <c r="I5194">
        <v>2006</v>
      </c>
      <c r="J5194">
        <v>2006</v>
      </c>
      <c r="K5194" t="s">
        <v>4554</v>
      </c>
      <c r="L5194" t="s">
        <v>3974</v>
      </c>
      <c r="M5194" s="2">
        <v>4483</v>
      </c>
      <c r="N5194" t="s">
        <v>5106</v>
      </c>
      <c r="O5194">
        <v>5</v>
      </c>
      <c r="P5194">
        <v>4</v>
      </c>
      <c r="Q5194">
        <v>1</v>
      </c>
      <c r="R5194" t="s">
        <v>5281</v>
      </c>
      <c r="S5194" t="s">
        <v>4898</v>
      </c>
      <c r="T5194" t="s">
        <v>2704</v>
      </c>
      <c r="U5194" t="s">
        <v>5631</v>
      </c>
      <c r="V5194" s="2">
        <v>823</v>
      </c>
      <c r="W5194" t="s">
        <v>4655</v>
      </c>
      <c r="X5194" s="2">
        <v>0</v>
      </c>
      <c r="Y5194">
        <v>20</v>
      </c>
      <c r="Z5194" t="s">
        <v>5226</v>
      </c>
      <c r="AA5194" s="3">
        <v>0.29097795486450201</v>
      </c>
      <c r="AB5194" t="s">
        <v>26433</v>
      </c>
      <c r="AC5194" t="s">
        <v>4575</v>
      </c>
      <c r="AD5194" t="s">
        <v>26434</v>
      </c>
      <c r="AE5194" t="s">
        <v>26435</v>
      </c>
      <c r="AF5194" t="s">
        <v>2001</v>
      </c>
      <c r="AG5194" t="s">
        <v>4584</v>
      </c>
      <c r="AH5194">
        <v>92127</v>
      </c>
      <c r="AI5194" t="s">
        <v>359</v>
      </c>
      <c r="AJ5194" t="s">
        <v>2002</v>
      </c>
      <c r="AK5194" t="s">
        <v>26436</v>
      </c>
      <c r="AL5194" s="13" t="s">
        <v>1895</v>
      </c>
      <c r="AM5194" s="14">
        <v>1</v>
      </c>
      <c r="AN5194" s="15" t="s">
        <v>3254</v>
      </c>
    </row>
    <row r="5195" spans="1:40" x14ac:dyDescent="0.3">
      <c r="A5195" s="10" t="str">
        <f>HYPERLINK("http://www.washoecounty.gov/assessor/cama/?parid=152-901-04&amp;CardNumber=1","152-901-04")</f>
        <v>152-901-04</v>
      </c>
      <c r="B5195" t="s">
        <v>4655</v>
      </c>
      <c r="C5195" t="s">
        <v>26437</v>
      </c>
      <c r="D5195" s="1">
        <v>40287</v>
      </c>
      <c r="E5195" s="2">
        <v>775000</v>
      </c>
      <c r="F5195" t="s">
        <v>4567</v>
      </c>
      <c r="G5195" s="17" t="str">
        <f>HYPERLINK("https://www.washoecounty.gov/assessor/cama/?command=sales&amp;parid=15290104","3872387")</f>
        <v>3872387</v>
      </c>
      <c r="H5195" t="s">
        <v>3925</v>
      </c>
      <c r="I5195">
        <v>2009</v>
      </c>
      <c r="J5195">
        <v>2009</v>
      </c>
      <c r="K5195" t="s">
        <v>4554</v>
      </c>
      <c r="L5195" t="s">
        <v>3974</v>
      </c>
      <c r="M5195" s="2">
        <v>4459</v>
      </c>
      <c r="N5195" t="s">
        <v>5106</v>
      </c>
      <c r="O5195">
        <v>5</v>
      </c>
      <c r="P5195">
        <v>4</v>
      </c>
      <c r="Q5195">
        <v>1</v>
      </c>
      <c r="R5195" t="s">
        <v>5281</v>
      </c>
      <c r="S5195" t="s">
        <v>4898</v>
      </c>
      <c r="T5195" t="s">
        <v>2704</v>
      </c>
      <c r="U5195" t="s">
        <v>5631</v>
      </c>
      <c r="V5195" s="2">
        <v>823</v>
      </c>
      <c r="W5195" t="s">
        <v>4655</v>
      </c>
      <c r="X5195" s="2">
        <v>0</v>
      </c>
      <c r="Y5195">
        <v>20</v>
      </c>
      <c r="Z5195" t="s">
        <v>5226</v>
      </c>
      <c r="AA5195" s="3">
        <v>0.37456381320953402</v>
      </c>
      <c r="AB5195" t="s">
        <v>26438</v>
      </c>
      <c r="AC5195" t="s">
        <v>4562</v>
      </c>
      <c r="AD5195" t="s">
        <v>26439</v>
      </c>
      <c r="AE5195" t="s">
        <v>4655</v>
      </c>
      <c r="AF5195" t="s">
        <v>4563</v>
      </c>
      <c r="AG5195" t="s">
        <v>4564</v>
      </c>
      <c r="AH5195">
        <v>89511</v>
      </c>
      <c r="AI5195" t="s">
        <v>4655</v>
      </c>
      <c r="AJ5195" t="s">
        <v>2002</v>
      </c>
      <c r="AK5195" t="s">
        <v>26440</v>
      </c>
      <c r="AL5195" s="13" t="s">
        <v>1895</v>
      </c>
      <c r="AM5195" s="14">
        <v>1</v>
      </c>
      <c r="AN5195" s="15" t="s">
        <v>3254</v>
      </c>
    </row>
    <row r="5196" spans="1:40" x14ac:dyDescent="0.3">
      <c r="A5196" s="10" t="str">
        <f>HYPERLINK("http://www.washoecounty.gov/assessor/cama/?parid=152-902-07&amp;CardNumber=1","152-902-07")</f>
        <v>152-902-07</v>
      </c>
      <c r="B5196" t="s">
        <v>4655</v>
      </c>
      <c r="C5196" t="s">
        <v>26441</v>
      </c>
      <c r="D5196" s="1">
        <v>40518</v>
      </c>
      <c r="E5196" s="2">
        <v>980000</v>
      </c>
      <c r="F5196" t="s">
        <v>4567</v>
      </c>
      <c r="G5196" s="17" t="str">
        <f>HYPERLINK("https://www.washoecounty.gov/assessor/cama/?command=sales&amp;parid=15290207","3949600")</f>
        <v>3949600</v>
      </c>
      <c r="H5196" t="s">
        <v>26442</v>
      </c>
      <c r="I5196">
        <v>2007</v>
      </c>
      <c r="J5196">
        <v>2007</v>
      </c>
      <c r="K5196" t="s">
        <v>4554</v>
      </c>
      <c r="L5196" t="s">
        <v>4555</v>
      </c>
      <c r="M5196" s="2">
        <v>5139</v>
      </c>
      <c r="N5196" t="s">
        <v>2631</v>
      </c>
      <c r="O5196">
        <v>5</v>
      </c>
      <c r="P5196">
        <v>3</v>
      </c>
      <c r="Q5196">
        <v>1</v>
      </c>
      <c r="R5196" t="s">
        <v>2632</v>
      </c>
      <c r="S5196" t="s">
        <v>4898</v>
      </c>
      <c r="T5196" t="s">
        <v>2704</v>
      </c>
      <c r="U5196" t="s">
        <v>4560</v>
      </c>
      <c r="V5196" s="2">
        <v>1783</v>
      </c>
      <c r="W5196" t="s">
        <v>4655</v>
      </c>
      <c r="X5196" s="2">
        <v>0</v>
      </c>
      <c r="Y5196">
        <v>20</v>
      </c>
      <c r="Z5196" t="s">
        <v>5226</v>
      </c>
      <c r="AA5196" s="3">
        <v>0.79903578758239702</v>
      </c>
      <c r="AB5196" t="s">
        <v>4700</v>
      </c>
      <c r="AC5196" t="s">
        <v>4562</v>
      </c>
      <c r="AD5196" t="s">
        <v>26441</v>
      </c>
      <c r="AE5196" t="s">
        <v>4655</v>
      </c>
      <c r="AF5196" t="s">
        <v>4563</v>
      </c>
      <c r="AG5196" t="s">
        <v>4564</v>
      </c>
      <c r="AH5196">
        <v>89511</v>
      </c>
      <c r="AI5196" t="s">
        <v>26443</v>
      </c>
      <c r="AJ5196" t="s">
        <v>26444</v>
      </c>
      <c r="AK5196" t="s">
        <v>26445</v>
      </c>
      <c r="AL5196" s="13" t="s">
        <v>1895</v>
      </c>
      <c r="AM5196" s="14">
        <v>1</v>
      </c>
      <c r="AN5196" s="15" t="s">
        <v>4308</v>
      </c>
    </row>
    <row r="5197" spans="1:40" x14ac:dyDescent="0.3">
      <c r="A5197" s="10" t="str">
        <f>HYPERLINK("http://www.washoecounty.gov/assessor/cama/?parid=152-911-03&amp;CardNumber=1","152-911-03")</f>
        <v>152-911-03</v>
      </c>
      <c r="B5197" t="s">
        <v>4655</v>
      </c>
      <c r="C5197" t="s">
        <v>26446</v>
      </c>
      <c r="D5197" s="1">
        <v>40470</v>
      </c>
      <c r="E5197" s="2">
        <v>57249</v>
      </c>
      <c r="F5197" t="s">
        <v>3512</v>
      </c>
      <c r="G5197" s="17" t="str">
        <f>HYPERLINK("https://www.washoecounty.gov/assessor/cama/?command=sales&amp;parid=15291103","3934539")</f>
        <v>3934539</v>
      </c>
      <c r="H5197" t="s">
        <v>743</v>
      </c>
      <c r="I5197">
        <v>0</v>
      </c>
      <c r="J5197">
        <v>0</v>
      </c>
      <c r="K5197" t="s">
        <v>4655</v>
      </c>
      <c r="L5197" t="s">
        <v>4655</v>
      </c>
      <c r="M5197" s="2">
        <v>0</v>
      </c>
      <c r="N5197" t="s">
        <v>4655</v>
      </c>
      <c r="O5197">
        <v>0</v>
      </c>
      <c r="P5197">
        <v>0</v>
      </c>
      <c r="Q5197">
        <v>0</v>
      </c>
      <c r="R5197" t="s">
        <v>4655</v>
      </c>
      <c r="S5197" t="s">
        <v>4655</v>
      </c>
      <c r="T5197" t="s">
        <v>4655</v>
      </c>
      <c r="U5197" t="s">
        <v>4655</v>
      </c>
      <c r="V5197" s="2">
        <v>0</v>
      </c>
      <c r="W5197" t="s">
        <v>4655</v>
      </c>
      <c r="X5197" s="2">
        <v>0</v>
      </c>
      <c r="Y5197">
        <v>12</v>
      </c>
      <c r="Z5197" t="s">
        <v>5226</v>
      </c>
      <c r="AA5197" s="3">
        <v>1.08489441871643</v>
      </c>
      <c r="AB5197" t="s">
        <v>26447</v>
      </c>
      <c r="AC5197" t="s">
        <v>4562</v>
      </c>
      <c r="AD5197" t="s">
        <v>26448</v>
      </c>
      <c r="AE5197" t="s">
        <v>4655</v>
      </c>
      <c r="AF5197" t="s">
        <v>4563</v>
      </c>
      <c r="AG5197" t="s">
        <v>4564</v>
      </c>
      <c r="AH5197" t="s">
        <v>5197</v>
      </c>
      <c r="AI5197" t="s">
        <v>4771</v>
      </c>
      <c r="AJ5197" t="s">
        <v>744</v>
      </c>
      <c r="AK5197" t="s">
        <v>26449</v>
      </c>
      <c r="AL5197" s="13" t="s">
        <v>1895</v>
      </c>
      <c r="AM5197">
        <v>0</v>
      </c>
      <c r="AN5197" s="15" t="s">
        <v>4308</v>
      </c>
    </row>
    <row r="5198" spans="1:40" x14ac:dyDescent="0.3">
      <c r="A5198" s="10" t="str">
        <f>HYPERLINK("http://www.washoecounty.gov/assessor/cama/?parid=152-911-05&amp;CardNumber=1","152-911-05")</f>
        <v>152-911-05</v>
      </c>
      <c r="B5198" t="s">
        <v>4655</v>
      </c>
      <c r="C5198" t="s">
        <v>26450</v>
      </c>
      <c r="D5198" s="1">
        <v>40456</v>
      </c>
      <c r="E5198" s="2">
        <v>256996</v>
      </c>
      <c r="F5198" t="s">
        <v>2900</v>
      </c>
      <c r="G5198" s="17" t="str">
        <f>HYPERLINK("https://www.washoecounty.gov/assessor/cama/?command=sales&amp;parid=15291105","3929936")</f>
        <v>3929936</v>
      </c>
      <c r="H5198" t="s">
        <v>743</v>
      </c>
      <c r="I5198">
        <v>0</v>
      </c>
      <c r="J5198">
        <v>0</v>
      </c>
      <c r="K5198" t="s">
        <v>4655</v>
      </c>
      <c r="L5198" t="s">
        <v>4655</v>
      </c>
      <c r="M5198" s="2">
        <v>0</v>
      </c>
      <c r="N5198" t="s">
        <v>4655</v>
      </c>
      <c r="O5198">
        <v>0</v>
      </c>
      <c r="P5198">
        <v>0</v>
      </c>
      <c r="Q5198">
        <v>0</v>
      </c>
      <c r="R5198" t="s">
        <v>4655</v>
      </c>
      <c r="S5198" t="s">
        <v>4655</v>
      </c>
      <c r="T5198" t="s">
        <v>4655</v>
      </c>
      <c r="U5198" t="s">
        <v>4655</v>
      </c>
      <c r="V5198" s="2">
        <v>0</v>
      </c>
      <c r="W5198" t="s">
        <v>4655</v>
      </c>
      <c r="X5198" s="2">
        <v>0</v>
      </c>
      <c r="Y5198">
        <v>12</v>
      </c>
      <c r="Z5198" t="s">
        <v>4051</v>
      </c>
      <c r="AA5198" s="3">
        <v>0.80213499069213801</v>
      </c>
      <c r="AB5198" t="s">
        <v>2449</v>
      </c>
      <c r="AC5198" t="s">
        <v>4575</v>
      </c>
      <c r="AD5198" t="s">
        <v>26451</v>
      </c>
      <c r="AE5198" t="s">
        <v>26452</v>
      </c>
      <c r="AF5198" t="s">
        <v>2450</v>
      </c>
      <c r="AG5198" t="s">
        <v>4564</v>
      </c>
      <c r="AH5198" t="s">
        <v>4146</v>
      </c>
      <c r="AI5198" t="s">
        <v>4771</v>
      </c>
      <c r="AJ5198" t="s">
        <v>744</v>
      </c>
      <c r="AK5198" t="s">
        <v>26453</v>
      </c>
      <c r="AL5198" s="13" t="s">
        <v>1895</v>
      </c>
      <c r="AM5198">
        <v>0</v>
      </c>
      <c r="AN5198" s="15" t="s">
        <v>4308</v>
      </c>
    </row>
    <row r="5199" spans="1:40" x14ac:dyDescent="0.3">
      <c r="A5199" s="10" t="str">
        <f>HYPERLINK("http://www.washoecounty.gov/assessor/cama/?parid=152-911-09&amp;CardNumber=1","152-911-09")</f>
        <v>152-911-09</v>
      </c>
      <c r="B5199" t="s">
        <v>4655</v>
      </c>
      <c r="C5199" t="s">
        <v>26454</v>
      </c>
      <c r="D5199" s="1">
        <v>40456</v>
      </c>
      <c r="E5199" s="2">
        <v>256996</v>
      </c>
      <c r="F5199" t="s">
        <v>2900</v>
      </c>
      <c r="G5199" s="17" t="str">
        <f>HYPERLINK("https://www.washoecounty.gov/assessor/cama/?command=sales&amp;parid=15291109","3929936")</f>
        <v>3929936</v>
      </c>
      <c r="H5199" t="s">
        <v>743</v>
      </c>
      <c r="I5199">
        <v>0</v>
      </c>
      <c r="J5199">
        <v>0</v>
      </c>
      <c r="K5199" t="s">
        <v>4655</v>
      </c>
      <c r="L5199" t="s">
        <v>4655</v>
      </c>
      <c r="M5199" s="2">
        <v>0</v>
      </c>
      <c r="N5199" t="s">
        <v>4655</v>
      </c>
      <c r="O5199">
        <v>0</v>
      </c>
      <c r="P5199">
        <v>0</v>
      </c>
      <c r="Q5199">
        <v>0</v>
      </c>
      <c r="R5199" t="s">
        <v>4655</v>
      </c>
      <c r="S5199" t="s">
        <v>4655</v>
      </c>
      <c r="T5199" t="s">
        <v>4655</v>
      </c>
      <c r="U5199" t="s">
        <v>4655</v>
      </c>
      <c r="V5199" s="2">
        <v>0</v>
      </c>
      <c r="W5199" t="s">
        <v>4655</v>
      </c>
      <c r="X5199" s="2">
        <v>0</v>
      </c>
      <c r="Y5199">
        <v>12</v>
      </c>
      <c r="Z5199" t="s">
        <v>5226</v>
      </c>
      <c r="AA5199" s="3">
        <v>0.78657025098800604</v>
      </c>
      <c r="AB5199" t="s">
        <v>2449</v>
      </c>
      <c r="AC5199" t="s">
        <v>4575</v>
      </c>
      <c r="AD5199" t="s">
        <v>26451</v>
      </c>
      <c r="AE5199" t="s">
        <v>26452</v>
      </c>
      <c r="AF5199" t="s">
        <v>2450</v>
      </c>
      <c r="AG5199" t="s">
        <v>4564</v>
      </c>
      <c r="AH5199" t="s">
        <v>4146</v>
      </c>
      <c r="AI5199" t="s">
        <v>4771</v>
      </c>
      <c r="AJ5199" t="s">
        <v>744</v>
      </c>
      <c r="AK5199" t="s">
        <v>26455</v>
      </c>
      <c r="AL5199" s="13" t="s">
        <v>1895</v>
      </c>
      <c r="AM5199">
        <v>0</v>
      </c>
      <c r="AN5199" s="15" t="s">
        <v>4308</v>
      </c>
    </row>
    <row r="5200" spans="1:40" x14ac:dyDescent="0.3">
      <c r="A5200" s="10" t="str">
        <f>HYPERLINK("http://www.washoecounty.gov/assessor/cama/?parid=152-911-14&amp;CardNumber=1","152-911-14")</f>
        <v>152-911-14</v>
      </c>
      <c r="B5200" t="s">
        <v>4655</v>
      </c>
      <c r="C5200" t="s">
        <v>26456</v>
      </c>
      <c r="D5200" s="1">
        <v>40402</v>
      </c>
      <c r="E5200" s="2">
        <v>62709</v>
      </c>
      <c r="F5200" t="s">
        <v>3512</v>
      </c>
      <c r="G5200" s="17" t="str">
        <f>HYPERLINK("https://www.washoecounty.gov/assessor/cama/?command=sales&amp;parid=15291114","3911002")</f>
        <v>3911002</v>
      </c>
      <c r="H5200" t="s">
        <v>743</v>
      </c>
      <c r="I5200">
        <v>0</v>
      </c>
      <c r="J5200">
        <v>0</v>
      </c>
      <c r="K5200" t="s">
        <v>4655</v>
      </c>
      <c r="L5200" t="s">
        <v>4655</v>
      </c>
      <c r="M5200" s="2">
        <v>0</v>
      </c>
      <c r="N5200" t="s">
        <v>4655</v>
      </c>
      <c r="O5200">
        <v>0</v>
      </c>
      <c r="P5200">
        <v>0</v>
      </c>
      <c r="Q5200">
        <v>0</v>
      </c>
      <c r="R5200" t="s">
        <v>4655</v>
      </c>
      <c r="S5200" t="s">
        <v>4655</v>
      </c>
      <c r="T5200" t="s">
        <v>4655</v>
      </c>
      <c r="U5200" t="s">
        <v>4655</v>
      </c>
      <c r="V5200" s="2">
        <v>0</v>
      </c>
      <c r="W5200" t="s">
        <v>4655</v>
      </c>
      <c r="X5200" s="2">
        <v>0</v>
      </c>
      <c r="Y5200">
        <v>12</v>
      </c>
      <c r="Z5200" t="s">
        <v>5226</v>
      </c>
      <c r="AA5200" s="3">
        <v>1.9792240858078001</v>
      </c>
      <c r="AB5200" t="s">
        <v>2449</v>
      </c>
      <c r="AC5200" t="s">
        <v>4575</v>
      </c>
      <c r="AD5200" t="s">
        <v>26451</v>
      </c>
      <c r="AE5200" t="s">
        <v>26452</v>
      </c>
      <c r="AF5200" t="s">
        <v>2450</v>
      </c>
      <c r="AG5200" t="s">
        <v>4564</v>
      </c>
      <c r="AH5200" t="s">
        <v>4146</v>
      </c>
      <c r="AI5200" t="s">
        <v>4226</v>
      </c>
      <c r="AJ5200" t="s">
        <v>744</v>
      </c>
      <c r="AK5200" t="s">
        <v>26457</v>
      </c>
      <c r="AL5200" s="13" t="s">
        <v>1895</v>
      </c>
      <c r="AM5200">
        <v>0</v>
      </c>
      <c r="AN5200" s="15" t="s">
        <v>4308</v>
      </c>
    </row>
    <row r="5201" spans="1:40" x14ac:dyDescent="0.3">
      <c r="A5201" s="10" t="str">
        <f>HYPERLINK("http://www.washoecounty.gov/assessor/cama/?parid=152-911-30&amp;CardNumber=1","152-911-30")</f>
        <v>152-911-30</v>
      </c>
      <c r="B5201" t="s">
        <v>4655</v>
      </c>
      <c r="C5201" t="s">
        <v>26458</v>
      </c>
      <c r="D5201" s="1">
        <v>40344</v>
      </c>
      <c r="E5201" s="2">
        <v>959000</v>
      </c>
      <c r="F5201" t="s">
        <v>4567</v>
      </c>
      <c r="G5201" s="17" t="str">
        <f>HYPERLINK("https://www.washoecounty.gov/assessor/cama/?command=sales&amp;parid=15291130","3891866")</f>
        <v>3891866</v>
      </c>
      <c r="H5201" t="s">
        <v>743</v>
      </c>
      <c r="I5201">
        <v>2007</v>
      </c>
      <c r="J5201">
        <v>2007</v>
      </c>
      <c r="K5201" t="s">
        <v>4554</v>
      </c>
      <c r="L5201" t="s">
        <v>4555</v>
      </c>
      <c r="M5201" s="2">
        <v>4730</v>
      </c>
      <c r="N5201" t="s">
        <v>2967</v>
      </c>
      <c r="O5201">
        <v>4</v>
      </c>
      <c r="P5201">
        <v>3</v>
      </c>
      <c r="Q5201">
        <v>1</v>
      </c>
      <c r="R5201" t="s">
        <v>2632</v>
      </c>
      <c r="S5201" t="s">
        <v>4898</v>
      </c>
      <c r="T5201" t="s">
        <v>2704</v>
      </c>
      <c r="U5201" t="s">
        <v>162</v>
      </c>
      <c r="V5201" s="2">
        <v>1474</v>
      </c>
      <c r="W5201" t="s">
        <v>4655</v>
      </c>
      <c r="X5201" s="2">
        <v>0</v>
      </c>
      <c r="Y5201">
        <v>20</v>
      </c>
      <c r="Z5201" t="s">
        <v>5226</v>
      </c>
      <c r="AA5201" s="3">
        <v>0.78418272733688354</v>
      </c>
      <c r="AB5201" t="s">
        <v>26459</v>
      </c>
      <c r="AC5201" t="s">
        <v>4575</v>
      </c>
      <c r="AD5201" t="s">
        <v>26460</v>
      </c>
      <c r="AE5201" t="s">
        <v>26461</v>
      </c>
      <c r="AF5201" t="s">
        <v>4563</v>
      </c>
      <c r="AG5201" t="s">
        <v>4564</v>
      </c>
      <c r="AH5201">
        <v>89511</v>
      </c>
      <c r="AI5201" t="s">
        <v>26462</v>
      </c>
      <c r="AJ5201" t="s">
        <v>744</v>
      </c>
      <c r="AK5201" t="s">
        <v>26463</v>
      </c>
      <c r="AL5201" s="13" t="s">
        <v>1895</v>
      </c>
      <c r="AM5201" s="14">
        <v>1</v>
      </c>
      <c r="AN5201" s="15" t="s">
        <v>4308</v>
      </c>
    </row>
    <row r="5202" spans="1:40" x14ac:dyDescent="0.3">
      <c r="A5202" s="10" t="str">
        <f>HYPERLINK("http://www.washoecounty.gov/assessor/cama/?parid=152-911-31&amp;CardNumber=1","152-911-31")</f>
        <v>152-911-31</v>
      </c>
      <c r="B5202" t="s">
        <v>4655</v>
      </c>
      <c r="C5202" t="s">
        <v>26464</v>
      </c>
      <c r="D5202" s="1">
        <v>40456</v>
      </c>
      <c r="E5202" s="2">
        <v>256996</v>
      </c>
      <c r="F5202" t="s">
        <v>2900</v>
      </c>
      <c r="G5202" s="17" t="str">
        <f>HYPERLINK("https://www.washoecounty.gov/assessor/cama/?command=sales&amp;parid=15291131","3929936")</f>
        <v>3929936</v>
      </c>
      <c r="H5202" t="s">
        <v>743</v>
      </c>
      <c r="I5202">
        <v>0</v>
      </c>
      <c r="J5202">
        <v>0</v>
      </c>
      <c r="K5202" t="s">
        <v>4655</v>
      </c>
      <c r="L5202" t="s">
        <v>4655</v>
      </c>
      <c r="M5202" s="2">
        <v>0</v>
      </c>
      <c r="N5202" t="s">
        <v>4655</v>
      </c>
      <c r="O5202">
        <v>0</v>
      </c>
      <c r="P5202">
        <v>0</v>
      </c>
      <c r="Q5202">
        <v>0</v>
      </c>
      <c r="R5202" t="s">
        <v>4655</v>
      </c>
      <c r="S5202" t="s">
        <v>4655</v>
      </c>
      <c r="T5202" t="s">
        <v>4655</v>
      </c>
      <c r="U5202" t="s">
        <v>4655</v>
      </c>
      <c r="V5202" s="2">
        <v>0</v>
      </c>
      <c r="W5202" t="s">
        <v>4655</v>
      </c>
      <c r="X5202" s="2">
        <v>0</v>
      </c>
      <c r="Y5202">
        <v>12</v>
      </c>
      <c r="Z5202" t="s">
        <v>5226</v>
      </c>
      <c r="AA5202" s="3">
        <v>0.66168504953384299</v>
      </c>
      <c r="AB5202" t="s">
        <v>2449</v>
      </c>
      <c r="AC5202" t="s">
        <v>4575</v>
      </c>
      <c r="AD5202" t="s">
        <v>26451</v>
      </c>
      <c r="AE5202" t="s">
        <v>26452</v>
      </c>
      <c r="AF5202" t="s">
        <v>2450</v>
      </c>
      <c r="AG5202" t="s">
        <v>4564</v>
      </c>
      <c r="AH5202" t="s">
        <v>4146</v>
      </c>
      <c r="AI5202" t="s">
        <v>4771</v>
      </c>
      <c r="AJ5202" t="s">
        <v>744</v>
      </c>
      <c r="AK5202" t="s">
        <v>26465</v>
      </c>
      <c r="AL5202" s="13" t="s">
        <v>1895</v>
      </c>
      <c r="AM5202">
        <v>0</v>
      </c>
      <c r="AN5202" s="15" t="s">
        <v>4308</v>
      </c>
    </row>
    <row r="5203" spans="1:40" x14ac:dyDescent="0.3">
      <c r="A5203" s="10" t="str">
        <f>HYPERLINK("http://www.washoecounty.gov/assessor/cama/?parid=152-911-32&amp;CardNumber=1","152-911-32")</f>
        <v>152-911-32</v>
      </c>
      <c r="B5203" t="s">
        <v>4655</v>
      </c>
      <c r="C5203" t="s">
        <v>26466</v>
      </c>
      <c r="D5203" s="1">
        <v>40456</v>
      </c>
      <c r="E5203" s="2">
        <v>256996</v>
      </c>
      <c r="F5203" t="s">
        <v>2900</v>
      </c>
      <c r="G5203" s="17" t="str">
        <f>HYPERLINK("https://www.washoecounty.gov/assessor/cama/?command=sales&amp;parid=15291132","3929936")</f>
        <v>3929936</v>
      </c>
      <c r="H5203" t="s">
        <v>743</v>
      </c>
      <c r="I5203">
        <v>0</v>
      </c>
      <c r="J5203">
        <v>0</v>
      </c>
      <c r="K5203" t="s">
        <v>4655</v>
      </c>
      <c r="L5203" t="s">
        <v>4655</v>
      </c>
      <c r="M5203" s="2">
        <v>0</v>
      </c>
      <c r="N5203" t="s">
        <v>4655</v>
      </c>
      <c r="O5203">
        <v>0</v>
      </c>
      <c r="P5203">
        <v>0</v>
      </c>
      <c r="Q5203">
        <v>0</v>
      </c>
      <c r="R5203" t="s">
        <v>4655</v>
      </c>
      <c r="S5203" t="s">
        <v>4655</v>
      </c>
      <c r="T5203" t="s">
        <v>4655</v>
      </c>
      <c r="U5203" t="s">
        <v>4655</v>
      </c>
      <c r="V5203" s="2">
        <v>0</v>
      </c>
      <c r="W5203" t="s">
        <v>4655</v>
      </c>
      <c r="X5203" s="2">
        <v>0</v>
      </c>
      <c r="Y5203">
        <v>12</v>
      </c>
      <c r="Z5203" t="s">
        <v>4051</v>
      </c>
      <c r="AA5203" s="3">
        <v>0.66450870037078802</v>
      </c>
      <c r="AB5203" t="s">
        <v>2449</v>
      </c>
      <c r="AC5203" t="s">
        <v>4575</v>
      </c>
      <c r="AD5203" t="s">
        <v>26451</v>
      </c>
      <c r="AE5203" t="s">
        <v>26452</v>
      </c>
      <c r="AF5203" t="s">
        <v>2450</v>
      </c>
      <c r="AG5203" t="s">
        <v>4564</v>
      </c>
      <c r="AH5203" t="s">
        <v>4146</v>
      </c>
      <c r="AI5203" t="s">
        <v>4771</v>
      </c>
      <c r="AJ5203" t="s">
        <v>744</v>
      </c>
      <c r="AK5203" t="s">
        <v>26467</v>
      </c>
      <c r="AL5203" s="13" t="s">
        <v>1895</v>
      </c>
      <c r="AM5203">
        <v>0</v>
      </c>
      <c r="AN5203" s="15" t="s">
        <v>4308</v>
      </c>
    </row>
    <row r="5204" spans="1:40" x14ac:dyDescent="0.3">
      <c r="A5204" s="10" t="str">
        <f>HYPERLINK("http://www.washoecounty.gov/assessor/cama/?parid=152-913-02&amp;CardNumber=1","152-913-02")</f>
        <v>152-913-02</v>
      </c>
      <c r="B5204" t="s">
        <v>4655</v>
      </c>
      <c r="C5204" t="s">
        <v>26468</v>
      </c>
      <c r="D5204" s="1">
        <v>40417</v>
      </c>
      <c r="E5204" s="2">
        <v>55000</v>
      </c>
      <c r="F5204" t="s">
        <v>3528</v>
      </c>
      <c r="G5204" s="17" t="str">
        <f>HYPERLINK("https://www.washoecounty.gov/assessor/cama/?command=sales&amp;parid=15291302","3916525")</f>
        <v>3916525</v>
      </c>
      <c r="H5204" t="s">
        <v>743</v>
      </c>
      <c r="I5204">
        <v>0</v>
      </c>
      <c r="J5204">
        <v>0</v>
      </c>
      <c r="K5204" t="s">
        <v>4655</v>
      </c>
      <c r="L5204" t="s">
        <v>4655</v>
      </c>
      <c r="M5204" s="2">
        <v>0</v>
      </c>
      <c r="N5204" t="s">
        <v>4655</v>
      </c>
      <c r="O5204">
        <v>0</v>
      </c>
      <c r="P5204">
        <v>0</v>
      </c>
      <c r="Q5204">
        <v>0</v>
      </c>
      <c r="R5204" t="s">
        <v>4655</v>
      </c>
      <c r="S5204" t="s">
        <v>4655</v>
      </c>
      <c r="T5204" t="s">
        <v>4655</v>
      </c>
      <c r="U5204" t="s">
        <v>4655</v>
      </c>
      <c r="V5204" s="2">
        <v>0</v>
      </c>
      <c r="W5204" t="s">
        <v>4655</v>
      </c>
      <c r="X5204" s="2">
        <v>0</v>
      </c>
      <c r="Y5204">
        <v>12</v>
      </c>
      <c r="Z5204" t="s">
        <v>3668</v>
      </c>
      <c r="AA5204" s="3">
        <v>0.75404042005538896</v>
      </c>
      <c r="AB5204" t="s">
        <v>4541</v>
      </c>
      <c r="AC5204" t="s">
        <v>4562</v>
      </c>
      <c r="AD5204" t="s">
        <v>5038</v>
      </c>
      <c r="AE5204" t="s">
        <v>4655</v>
      </c>
      <c r="AF5204" t="s">
        <v>4563</v>
      </c>
      <c r="AG5204" t="s">
        <v>4564</v>
      </c>
      <c r="AH5204">
        <v>89507</v>
      </c>
      <c r="AI5204" t="s">
        <v>6198</v>
      </c>
      <c r="AJ5204" t="s">
        <v>744</v>
      </c>
      <c r="AK5204" t="s">
        <v>26469</v>
      </c>
      <c r="AL5204" s="13" t="s">
        <v>1895</v>
      </c>
      <c r="AM5204" s="14">
        <v>0</v>
      </c>
      <c r="AN5204" s="15" t="s">
        <v>4308</v>
      </c>
    </row>
    <row r="5205" spans="1:40" x14ac:dyDescent="0.3">
      <c r="A5205" s="10" t="str">
        <f>HYPERLINK("http://www.washoecounty.gov/assessor/cama/?parid=152-913-05&amp;CardNumber=1","152-913-05")</f>
        <v>152-913-05</v>
      </c>
      <c r="B5205" t="s">
        <v>4655</v>
      </c>
      <c r="C5205" t="s">
        <v>26470</v>
      </c>
      <c r="D5205" s="1">
        <v>40483</v>
      </c>
      <c r="E5205" s="2">
        <v>54249</v>
      </c>
      <c r="F5205" t="s">
        <v>3512</v>
      </c>
      <c r="G5205" s="17" t="str">
        <f>HYPERLINK("https://www.washoecounty.gov/assessor/cama/?command=sales&amp;parid=15291305","3938424")</f>
        <v>3938424</v>
      </c>
      <c r="H5205" t="s">
        <v>743</v>
      </c>
      <c r="I5205">
        <v>0</v>
      </c>
      <c r="J5205">
        <v>0</v>
      </c>
      <c r="K5205" t="s">
        <v>4655</v>
      </c>
      <c r="L5205" t="s">
        <v>4655</v>
      </c>
      <c r="M5205" s="2">
        <v>0</v>
      </c>
      <c r="N5205" t="s">
        <v>4655</v>
      </c>
      <c r="O5205">
        <v>0</v>
      </c>
      <c r="P5205">
        <v>0</v>
      </c>
      <c r="Q5205">
        <v>0</v>
      </c>
      <c r="R5205" t="s">
        <v>4655</v>
      </c>
      <c r="S5205" t="s">
        <v>4655</v>
      </c>
      <c r="T5205" t="s">
        <v>4655</v>
      </c>
      <c r="U5205" t="s">
        <v>4655</v>
      </c>
      <c r="V5205" s="2">
        <v>0</v>
      </c>
      <c r="W5205" t="s">
        <v>4655</v>
      </c>
      <c r="X5205" s="2">
        <v>0</v>
      </c>
      <c r="Y5205">
        <v>12</v>
      </c>
      <c r="Z5205" t="s">
        <v>4051</v>
      </c>
      <c r="AA5205" s="3">
        <v>0.80888432264328003</v>
      </c>
      <c r="AB5205" t="s">
        <v>2449</v>
      </c>
      <c r="AC5205" t="s">
        <v>4575</v>
      </c>
      <c r="AD5205" t="s">
        <v>475</v>
      </c>
      <c r="AE5205" t="s">
        <v>4655</v>
      </c>
      <c r="AF5205" t="s">
        <v>2450</v>
      </c>
      <c r="AG5205" t="s">
        <v>4564</v>
      </c>
      <c r="AH5205" t="s">
        <v>4146</v>
      </c>
      <c r="AI5205" t="s">
        <v>4771</v>
      </c>
      <c r="AJ5205" t="s">
        <v>744</v>
      </c>
      <c r="AK5205" t="s">
        <v>26471</v>
      </c>
      <c r="AL5205" s="13" t="s">
        <v>1895</v>
      </c>
      <c r="AM5205" s="14">
        <v>0</v>
      </c>
      <c r="AN5205" s="15" t="s">
        <v>4308</v>
      </c>
    </row>
    <row r="5206" spans="1:40" x14ac:dyDescent="0.3">
      <c r="A5206" s="10" t="str">
        <f>HYPERLINK("http://www.washoecounty.gov/assessor/cama/?parid=154-063-10&amp;CardNumber=1","154-063-10")</f>
        <v>154-063-10</v>
      </c>
      <c r="B5206" t="s">
        <v>4655</v>
      </c>
      <c r="C5206" t="s">
        <v>26472</v>
      </c>
      <c r="D5206" s="1">
        <v>40542</v>
      </c>
      <c r="E5206" s="2">
        <v>130000</v>
      </c>
      <c r="F5206" t="s">
        <v>3259</v>
      </c>
      <c r="G5206" s="17" t="str">
        <f>HYPERLINK("https://www.washoecounty.gov/assessor/cama/?command=sales&amp;parid=15406310","3959346")</f>
        <v>3959346</v>
      </c>
      <c r="H5206" t="s">
        <v>26473</v>
      </c>
      <c r="I5206">
        <v>0</v>
      </c>
      <c r="J5206">
        <v>0</v>
      </c>
      <c r="K5206" t="s">
        <v>4655</v>
      </c>
      <c r="L5206" t="s">
        <v>4655</v>
      </c>
      <c r="M5206" s="2">
        <v>0</v>
      </c>
      <c r="N5206" t="s">
        <v>4655</v>
      </c>
      <c r="O5206">
        <v>0</v>
      </c>
      <c r="P5206">
        <v>0</v>
      </c>
      <c r="Q5206">
        <v>0</v>
      </c>
      <c r="R5206" t="s">
        <v>4655</v>
      </c>
      <c r="S5206" t="s">
        <v>4655</v>
      </c>
      <c r="T5206" t="s">
        <v>4655</v>
      </c>
      <c r="U5206" t="s">
        <v>4655</v>
      </c>
      <c r="V5206" s="2">
        <v>0</v>
      </c>
      <c r="W5206" t="s">
        <v>4655</v>
      </c>
      <c r="X5206" s="2">
        <v>0</v>
      </c>
      <c r="Y5206">
        <v>12</v>
      </c>
      <c r="Z5206" t="s">
        <v>3884</v>
      </c>
      <c r="AA5206" s="3">
        <v>1</v>
      </c>
      <c r="AB5206" t="s">
        <v>26474</v>
      </c>
      <c r="AC5206" t="s">
        <v>4562</v>
      </c>
      <c r="AD5206" t="s">
        <v>26475</v>
      </c>
      <c r="AE5206" t="s">
        <v>4655</v>
      </c>
      <c r="AF5206" t="s">
        <v>26476</v>
      </c>
      <c r="AG5206" t="s">
        <v>4584</v>
      </c>
      <c r="AH5206" t="s">
        <v>26477</v>
      </c>
      <c r="AI5206" t="s">
        <v>26478</v>
      </c>
      <c r="AJ5206" t="s">
        <v>26479</v>
      </c>
      <c r="AK5206" t="s">
        <v>26480</v>
      </c>
      <c r="AL5206" s="13" t="s">
        <v>3428</v>
      </c>
      <c r="AM5206">
        <v>0</v>
      </c>
      <c r="AN5206" s="15" t="s">
        <v>5058</v>
      </c>
    </row>
    <row r="5207" spans="1:40" x14ac:dyDescent="0.3">
      <c r="A5207" s="10" t="str">
        <f>HYPERLINK("http://www.washoecounty.gov/assessor/cama/?parid=156-061-02&amp;CardNumber=1","156-061-02")</f>
        <v>156-061-02</v>
      </c>
      <c r="B5207" t="s">
        <v>4655</v>
      </c>
      <c r="C5207" t="s">
        <v>26481</v>
      </c>
      <c r="D5207" s="1">
        <v>40420</v>
      </c>
      <c r="E5207" s="2">
        <v>480000</v>
      </c>
      <c r="F5207" t="s">
        <v>4567</v>
      </c>
      <c r="G5207" s="17" t="str">
        <f>HYPERLINK("https://www.washoecounty.gov/assessor/cama/?command=sales&amp;parid=15606102","3917078")</f>
        <v>3917078</v>
      </c>
      <c r="H5207" t="s">
        <v>4482</v>
      </c>
      <c r="I5207">
        <v>2004</v>
      </c>
      <c r="J5207">
        <v>2004</v>
      </c>
      <c r="K5207" t="s">
        <v>4554</v>
      </c>
      <c r="L5207" t="s">
        <v>3974</v>
      </c>
      <c r="M5207" s="2">
        <v>3617</v>
      </c>
      <c r="N5207" t="s">
        <v>2008</v>
      </c>
      <c r="O5207">
        <v>4</v>
      </c>
      <c r="P5207">
        <v>4</v>
      </c>
      <c r="Q5207">
        <v>0</v>
      </c>
      <c r="R5207" t="s">
        <v>5281</v>
      </c>
      <c r="S5207" t="s">
        <v>4898</v>
      </c>
      <c r="T5207" t="s">
        <v>2704</v>
      </c>
      <c r="U5207" t="s">
        <v>4560</v>
      </c>
      <c r="V5207" s="2">
        <v>853</v>
      </c>
      <c r="W5207" t="s">
        <v>4655</v>
      </c>
      <c r="X5207" s="2">
        <v>0</v>
      </c>
      <c r="Y5207">
        <v>20</v>
      </c>
      <c r="Z5207" t="s">
        <v>4051</v>
      </c>
      <c r="AA5207" s="3">
        <v>1.2260100841522199</v>
      </c>
      <c r="AB5207" t="s">
        <v>26482</v>
      </c>
      <c r="AC5207" t="s">
        <v>4562</v>
      </c>
      <c r="AD5207" t="s">
        <v>26483</v>
      </c>
      <c r="AE5207" t="s">
        <v>4655</v>
      </c>
      <c r="AF5207" t="s">
        <v>4563</v>
      </c>
      <c r="AG5207" t="s">
        <v>4564</v>
      </c>
      <c r="AH5207">
        <v>89511</v>
      </c>
      <c r="AI5207" t="s">
        <v>26484</v>
      </c>
      <c r="AJ5207" t="s">
        <v>4483</v>
      </c>
      <c r="AK5207" t="s">
        <v>26485</v>
      </c>
      <c r="AL5207" s="13" t="s">
        <v>3428</v>
      </c>
      <c r="AM5207" s="14">
        <v>1</v>
      </c>
      <c r="AN5207" s="15" t="s">
        <v>5284</v>
      </c>
    </row>
    <row r="5208" spans="1:40" x14ac:dyDescent="0.3">
      <c r="A5208" s="10" t="str">
        <f>HYPERLINK("http://www.washoecounty.gov/assessor/cama/?parid=156-061-04&amp;CardNumber=1","156-061-04")</f>
        <v>156-061-04</v>
      </c>
      <c r="B5208" t="s">
        <v>4655</v>
      </c>
      <c r="C5208" t="s">
        <v>26486</v>
      </c>
      <c r="D5208" s="1">
        <v>40263</v>
      </c>
      <c r="E5208" s="2">
        <v>540000</v>
      </c>
      <c r="F5208" t="s">
        <v>4567</v>
      </c>
      <c r="G5208" s="17" t="str">
        <f>HYPERLINK("https://www.washoecounty.gov/assessor/cama/?command=sales&amp;parid=15606104","3864548")</f>
        <v>3864548</v>
      </c>
      <c r="H5208" t="s">
        <v>4482</v>
      </c>
      <c r="I5208">
        <v>2005</v>
      </c>
      <c r="J5208">
        <v>2005</v>
      </c>
      <c r="K5208" t="s">
        <v>4554</v>
      </c>
      <c r="L5208" t="s">
        <v>4555</v>
      </c>
      <c r="M5208" s="2">
        <v>3381</v>
      </c>
      <c r="N5208" t="s">
        <v>2012</v>
      </c>
      <c r="O5208">
        <v>4</v>
      </c>
      <c r="P5208">
        <v>3</v>
      </c>
      <c r="Q5208">
        <v>1</v>
      </c>
      <c r="R5208" t="s">
        <v>5281</v>
      </c>
      <c r="S5208" t="s">
        <v>4898</v>
      </c>
      <c r="T5208" t="s">
        <v>4559</v>
      </c>
      <c r="U5208" t="s">
        <v>162</v>
      </c>
      <c r="V5208" s="2">
        <v>1849</v>
      </c>
      <c r="W5208" t="s">
        <v>4655</v>
      </c>
      <c r="X5208" s="2">
        <v>0</v>
      </c>
      <c r="Y5208">
        <v>20</v>
      </c>
      <c r="Z5208" t="s">
        <v>4051</v>
      </c>
      <c r="AA5208" s="3">
        <v>1.167998194694519</v>
      </c>
      <c r="AB5208" t="s">
        <v>26487</v>
      </c>
      <c r="AC5208" t="s">
        <v>4562</v>
      </c>
      <c r="AD5208" t="s">
        <v>26486</v>
      </c>
      <c r="AE5208" t="s">
        <v>4655</v>
      </c>
      <c r="AF5208" t="s">
        <v>4563</v>
      </c>
      <c r="AG5208" t="s">
        <v>4564</v>
      </c>
      <c r="AH5208">
        <v>89511</v>
      </c>
      <c r="AI5208" t="s">
        <v>26488</v>
      </c>
      <c r="AJ5208" t="s">
        <v>4483</v>
      </c>
      <c r="AK5208" t="s">
        <v>26489</v>
      </c>
      <c r="AL5208" s="13" t="s">
        <v>3428</v>
      </c>
      <c r="AM5208">
        <v>1</v>
      </c>
      <c r="AN5208" s="15" t="s">
        <v>5284</v>
      </c>
    </row>
    <row r="5209" spans="1:40" x14ac:dyDescent="0.3">
      <c r="A5209" s="10" t="str">
        <f>HYPERLINK("http://www.washoecounty.gov/assessor/cama/?parid=156-061-10&amp;CardNumber=1","156-061-10")</f>
        <v>156-061-10</v>
      </c>
      <c r="B5209" t="s">
        <v>4655</v>
      </c>
      <c r="C5209" t="s">
        <v>26490</v>
      </c>
      <c r="D5209" s="1">
        <v>40414</v>
      </c>
      <c r="E5209" s="2">
        <v>631000</v>
      </c>
      <c r="F5209" t="s">
        <v>4567</v>
      </c>
      <c r="G5209" s="17" t="str">
        <f>HYPERLINK("https://www.washoecounty.gov/assessor/cama/?command=sales&amp;parid=15606110","3915212")</f>
        <v>3915212</v>
      </c>
      <c r="H5209" t="s">
        <v>4482</v>
      </c>
      <c r="I5209">
        <v>2003</v>
      </c>
      <c r="J5209">
        <v>2003</v>
      </c>
      <c r="K5209" t="s">
        <v>4554</v>
      </c>
      <c r="L5209" t="s">
        <v>4555</v>
      </c>
      <c r="M5209" s="2">
        <v>3686</v>
      </c>
      <c r="N5209" t="s">
        <v>8283</v>
      </c>
      <c r="O5209">
        <v>4</v>
      </c>
      <c r="P5209">
        <v>4</v>
      </c>
      <c r="Q5209">
        <v>1</v>
      </c>
      <c r="R5209" t="s">
        <v>5281</v>
      </c>
      <c r="S5209" t="s">
        <v>4898</v>
      </c>
      <c r="T5209" t="s">
        <v>2704</v>
      </c>
      <c r="U5209" t="s">
        <v>4560</v>
      </c>
      <c r="V5209" s="2">
        <v>1026</v>
      </c>
      <c r="W5209" t="s">
        <v>4655</v>
      </c>
      <c r="X5209" s="2">
        <v>0</v>
      </c>
      <c r="Y5209">
        <v>20</v>
      </c>
      <c r="Z5209" t="s">
        <v>3884</v>
      </c>
      <c r="AA5209" s="3">
        <v>1.0059916973114</v>
      </c>
      <c r="AB5209" t="s">
        <v>26491</v>
      </c>
      <c r="AC5209" t="s">
        <v>4562</v>
      </c>
      <c r="AD5209" t="s">
        <v>26492</v>
      </c>
      <c r="AE5209" t="s">
        <v>4655</v>
      </c>
      <c r="AF5209" t="s">
        <v>4563</v>
      </c>
      <c r="AG5209" t="s">
        <v>4564</v>
      </c>
      <c r="AH5209">
        <v>89511</v>
      </c>
      <c r="AI5209" t="s">
        <v>4655</v>
      </c>
      <c r="AJ5209" t="s">
        <v>4483</v>
      </c>
      <c r="AK5209" t="s">
        <v>26493</v>
      </c>
      <c r="AL5209" s="13" t="s">
        <v>3428</v>
      </c>
      <c r="AM5209">
        <v>1</v>
      </c>
      <c r="AN5209" s="15" t="s">
        <v>5284</v>
      </c>
    </row>
    <row r="5210" spans="1:40" x14ac:dyDescent="0.3">
      <c r="A5210" s="10" t="str">
        <f>HYPERLINK("http://www.washoecounty.gov/assessor/cama/?parid=156-061-19&amp;CardNumber=1","156-061-19")</f>
        <v>156-061-19</v>
      </c>
      <c r="B5210" t="s">
        <v>4655</v>
      </c>
      <c r="C5210" t="s">
        <v>26494</v>
      </c>
      <c r="D5210" s="1">
        <v>40445</v>
      </c>
      <c r="E5210" s="2">
        <v>114000</v>
      </c>
      <c r="F5210" t="s">
        <v>3259</v>
      </c>
      <c r="G5210" s="17" t="str">
        <f>HYPERLINK("https://www.washoecounty.gov/assessor/cama/?command=sales&amp;parid=15606119","3926131")</f>
        <v>3926131</v>
      </c>
      <c r="H5210" t="s">
        <v>4482</v>
      </c>
      <c r="I5210">
        <v>0</v>
      </c>
      <c r="J5210">
        <v>0</v>
      </c>
      <c r="K5210" t="s">
        <v>4655</v>
      </c>
      <c r="L5210" t="s">
        <v>4655</v>
      </c>
      <c r="M5210" s="2">
        <v>0</v>
      </c>
      <c r="N5210" t="s">
        <v>4655</v>
      </c>
      <c r="O5210">
        <v>0</v>
      </c>
      <c r="P5210">
        <v>0</v>
      </c>
      <c r="Q5210">
        <v>0</v>
      </c>
      <c r="R5210" t="s">
        <v>4655</v>
      </c>
      <c r="S5210" t="s">
        <v>4655</v>
      </c>
      <c r="T5210" t="s">
        <v>4655</v>
      </c>
      <c r="U5210" t="s">
        <v>4655</v>
      </c>
      <c r="V5210" s="2">
        <v>0</v>
      </c>
      <c r="W5210" t="s">
        <v>4655</v>
      </c>
      <c r="X5210" s="2">
        <v>0</v>
      </c>
      <c r="Y5210">
        <v>12</v>
      </c>
      <c r="Z5210" t="s">
        <v>3884</v>
      </c>
      <c r="AA5210" s="3">
        <v>1</v>
      </c>
      <c r="AB5210" t="s">
        <v>5414</v>
      </c>
      <c r="AC5210" t="s">
        <v>4575</v>
      </c>
      <c r="AD5210" t="s">
        <v>26495</v>
      </c>
      <c r="AE5210" t="s">
        <v>26496</v>
      </c>
      <c r="AF5210" t="s">
        <v>4563</v>
      </c>
      <c r="AG5210" t="s">
        <v>4564</v>
      </c>
      <c r="AH5210">
        <v>89511</v>
      </c>
      <c r="AI5210" t="s">
        <v>26497</v>
      </c>
      <c r="AJ5210" t="s">
        <v>4483</v>
      </c>
      <c r="AK5210" t="s">
        <v>26498</v>
      </c>
      <c r="AL5210" s="13" t="s">
        <v>3428</v>
      </c>
      <c r="AM5210" s="14">
        <v>0</v>
      </c>
      <c r="AN5210" s="15" t="s">
        <v>5284</v>
      </c>
    </row>
    <row r="5211" spans="1:40" x14ac:dyDescent="0.3">
      <c r="A5211" s="10" t="str">
        <f>HYPERLINK("http://www.washoecounty.gov/assessor/cama/?parid=156-062-11&amp;CardNumber=1","156-062-11")</f>
        <v>156-062-11</v>
      </c>
      <c r="B5211" t="s">
        <v>4655</v>
      </c>
      <c r="C5211" t="s">
        <v>26499</v>
      </c>
      <c r="D5211" s="1">
        <v>40378</v>
      </c>
      <c r="E5211" s="2">
        <v>490000</v>
      </c>
      <c r="F5211" t="s">
        <v>4567</v>
      </c>
      <c r="G5211" s="17" t="str">
        <f>HYPERLINK("https://www.washoecounty.gov/assessor/cama/?command=sales&amp;parid=15606211","3902613")</f>
        <v>3902613</v>
      </c>
      <c r="H5211" t="s">
        <v>4482</v>
      </c>
      <c r="I5211">
        <v>2003</v>
      </c>
      <c r="J5211">
        <v>2003</v>
      </c>
      <c r="K5211" t="s">
        <v>4554</v>
      </c>
      <c r="L5211" t="s">
        <v>3886</v>
      </c>
      <c r="M5211" s="2">
        <v>3555</v>
      </c>
      <c r="N5211" t="s">
        <v>5106</v>
      </c>
      <c r="O5211">
        <v>3</v>
      </c>
      <c r="P5211">
        <v>3</v>
      </c>
      <c r="Q5211">
        <v>1</v>
      </c>
      <c r="R5211" t="s">
        <v>5281</v>
      </c>
      <c r="S5211" t="s">
        <v>4898</v>
      </c>
      <c r="T5211" t="s">
        <v>2704</v>
      </c>
      <c r="U5211" t="s">
        <v>5631</v>
      </c>
      <c r="V5211" s="2">
        <v>888</v>
      </c>
      <c r="W5211" t="s">
        <v>4655</v>
      </c>
      <c r="X5211" s="2">
        <v>0</v>
      </c>
      <c r="Y5211">
        <v>20</v>
      </c>
      <c r="Z5211" t="s">
        <v>4051</v>
      </c>
      <c r="AA5211" s="3">
        <v>1.142998218536377</v>
      </c>
      <c r="AB5211" t="s">
        <v>26500</v>
      </c>
      <c r="AC5211" t="s">
        <v>4562</v>
      </c>
      <c r="AD5211" t="s">
        <v>26499</v>
      </c>
      <c r="AE5211" t="s">
        <v>4655</v>
      </c>
      <c r="AF5211" t="s">
        <v>4563</v>
      </c>
      <c r="AG5211" t="s">
        <v>4564</v>
      </c>
      <c r="AH5211">
        <v>89511</v>
      </c>
      <c r="AI5211" t="s">
        <v>26501</v>
      </c>
      <c r="AJ5211" t="s">
        <v>4483</v>
      </c>
      <c r="AK5211" t="s">
        <v>26502</v>
      </c>
      <c r="AL5211" s="13" t="s">
        <v>3428</v>
      </c>
      <c r="AM5211" s="14">
        <v>1</v>
      </c>
      <c r="AN5211" s="15" t="s">
        <v>5284</v>
      </c>
    </row>
    <row r="5212" spans="1:40" x14ac:dyDescent="0.3">
      <c r="A5212" s="10" t="str">
        <f>HYPERLINK("http://www.washoecounty.gov/assessor/cama/?parid=156-063-04&amp;CardNumber=1","156-063-04")</f>
        <v>156-063-04</v>
      </c>
      <c r="B5212" t="s">
        <v>4655</v>
      </c>
      <c r="C5212" t="s">
        <v>26503</v>
      </c>
      <c r="D5212" s="1">
        <v>40441</v>
      </c>
      <c r="E5212" s="2">
        <v>550000</v>
      </c>
      <c r="F5212" t="s">
        <v>4567</v>
      </c>
      <c r="G5212" s="17" t="str">
        <f>HYPERLINK("https://www.washoecounty.gov/assessor/cama/?command=sales&amp;parid=15606304","3924158")</f>
        <v>3924158</v>
      </c>
      <c r="H5212" t="s">
        <v>4482</v>
      </c>
      <c r="I5212">
        <v>2004</v>
      </c>
      <c r="J5212">
        <v>2004</v>
      </c>
      <c r="K5212" t="s">
        <v>4554</v>
      </c>
      <c r="L5212" t="s">
        <v>4555</v>
      </c>
      <c r="M5212" s="2">
        <v>3438</v>
      </c>
      <c r="N5212" t="s">
        <v>2012</v>
      </c>
      <c r="O5212">
        <v>4</v>
      </c>
      <c r="P5212">
        <v>4</v>
      </c>
      <c r="Q5212">
        <v>0</v>
      </c>
      <c r="R5212" t="s">
        <v>4557</v>
      </c>
      <c r="S5212" t="s">
        <v>4898</v>
      </c>
      <c r="T5212" t="s">
        <v>4559</v>
      </c>
      <c r="U5212" t="s">
        <v>4560</v>
      </c>
      <c r="V5212" s="2">
        <v>933</v>
      </c>
      <c r="W5212" t="s">
        <v>4655</v>
      </c>
      <c r="X5212" s="2">
        <v>0</v>
      </c>
      <c r="Y5212">
        <v>20</v>
      </c>
      <c r="Z5212" t="s">
        <v>3884</v>
      </c>
      <c r="AA5212" s="3">
        <v>1.0210055112838701</v>
      </c>
      <c r="AB5212" t="s">
        <v>26504</v>
      </c>
      <c r="AC5212" t="s">
        <v>4562</v>
      </c>
      <c r="AD5212" t="s">
        <v>26505</v>
      </c>
      <c r="AE5212" t="s">
        <v>4655</v>
      </c>
      <c r="AF5212" t="s">
        <v>4563</v>
      </c>
      <c r="AG5212" t="s">
        <v>4564</v>
      </c>
      <c r="AH5212">
        <v>89511</v>
      </c>
      <c r="AI5212" t="s">
        <v>26506</v>
      </c>
      <c r="AJ5212" t="s">
        <v>4483</v>
      </c>
      <c r="AK5212" t="s">
        <v>26507</v>
      </c>
      <c r="AL5212" s="13" t="s">
        <v>3428</v>
      </c>
      <c r="AM5212">
        <v>1</v>
      </c>
      <c r="AN5212" s="15" t="s">
        <v>5284</v>
      </c>
    </row>
    <row r="5213" spans="1:40" x14ac:dyDescent="0.3">
      <c r="A5213" s="10" t="str">
        <f>HYPERLINK("http://www.washoecounty.gov/assessor/cama/?parid=156-071-03&amp;CardNumber=1","156-071-03")</f>
        <v>156-071-03</v>
      </c>
      <c r="B5213" t="s">
        <v>4655</v>
      </c>
      <c r="C5213" t="s">
        <v>26508</v>
      </c>
      <c r="D5213" s="1">
        <v>40228</v>
      </c>
      <c r="E5213" s="2">
        <v>250000</v>
      </c>
      <c r="F5213" t="s">
        <v>3259</v>
      </c>
      <c r="G5213" s="17" t="str">
        <f>HYPERLINK("https://www.washoecounty.gov/assessor/cama/?command=sales&amp;parid=15607103","3851064")</f>
        <v>3851064</v>
      </c>
      <c r="H5213" t="s">
        <v>573</v>
      </c>
      <c r="I5213">
        <v>0</v>
      </c>
      <c r="J5213">
        <v>0</v>
      </c>
      <c r="K5213" t="s">
        <v>4655</v>
      </c>
      <c r="L5213" t="s">
        <v>4655</v>
      </c>
      <c r="M5213" s="2">
        <v>0</v>
      </c>
      <c r="N5213" t="s">
        <v>4655</v>
      </c>
      <c r="O5213">
        <v>0</v>
      </c>
      <c r="P5213">
        <v>0</v>
      </c>
      <c r="Q5213">
        <v>0</v>
      </c>
      <c r="R5213" t="s">
        <v>4655</v>
      </c>
      <c r="S5213" t="s">
        <v>4655</v>
      </c>
      <c r="T5213" t="s">
        <v>4655</v>
      </c>
      <c r="U5213" t="s">
        <v>4655</v>
      </c>
      <c r="V5213" s="2">
        <v>0</v>
      </c>
      <c r="W5213" t="s">
        <v>4655</v>
      </c>
      <c r="X5213" s="2">
        <v>0</v>
      </c>
      <c r="Y5213">
        <v>12</v>
      </c>
      <c r="Z5213" t="s">
        <v>3884</v>
      </c>
      <c r="AA5213" s="3">
        <v>1.8920110464096001</v>
      </c>
      <c r="AB5213" t="s">
        <v>26509</v>
      </c>
      <c r="AC5213" t="s">
        <v>4575</v>
      </c>
      <c r="AD5213" t="s">
        <v>26510</v>
      </c>
      <c r="AE5213" t="s">
        <v>4655</v>
      </c>
      <c r="AF5213" t="s">
        <v>3114</v>
      </c>
      <c r="AG5213" t="s">
        <v>4564</v>
      </c>
      <c r="AH5213">
        <v>89511</v>
      </c>
      <c r="AI5213" t="s">
        <v>26511</v>
      </c>
      <c r="AJ5213" t="s">
        <v>625</v>
      </c>
      <c r="AK5213" t="s">
        <v>26512</v>
      </c>
      <c r="AL5213" s="13" t="s">
        <v>3428</v>
      </c>
      <c r="AM5213">
        <v>0</v>
      </c>
      <c r="AN5213" s="15" t="s">
        <v>626</v>
      </c>
    </row>
    <row r="5214" spans="1:40" x14ac:dyDescent="0.3">
      <c r="A5214" s="10" t="str">
        <f>HYPERLINK("http://www.washoecounty.gov/assessor/cama/?parid=156-091-06&amp;CardNumber=1","156-091-06")</f>
        <v>156-091-06</v>
      </c>
      <c r="B5214" t="s">
        <v>4655</v>
      </c>
      <c r="C5214" t="s">
        <v>26513</v>
      </c>
      <c r="D5214" s="1">
        <v>40332</v>
      </c>
      <c r="E5214" s="2">
        <v>695000</v>
      </c>
      <c r="F5214" t="s">
        <v>4567</v>
      </c>
      <c r="G5214" s="17" t="str">
        <f>HYPERLINK("https://www.washoecounty.gov/assessor/cama/?command=sales&amp;parid=15609106","3888295")</f>
        <v>3888295</v>
      </c>
      <c r="H5214" t="s">
        <v>26514</v>
      </c>
      <c r="I5214">
        <v>2005</v>
      </c>
      <c r="J5214">
        <v>2005</v>
      </c>
      <c r="K5214" t="s">
        <v>4554</v>
      </c>
      <c r="L5214" t="s">
        <v>4555</v>
      </c>
      <c r="M5214" s="2">
        <v>3946</v>
      </c>
      <c r="N5214" t="s">
        <v>2008</v>
      </c>
      <c r="O5214">
        <v>4</v>
      </c>
      <c r="P5214">
        <v>4</v>
      </c>
      <c r="Q5214">
        <v>1</v>
      </c>
      <c r="R5214" t="s">
        <v>5281</v>
      </c>
      <c r="S5214" t="s">
        <v>4898</v>
      </c>
      <c r="T5214" t="s">
        <v>4559</v>
      </c>
      <c r="U5214" t="s">
        <v>4560</v>
      </c>
      <c r="V5214" s="2">
        <v>1576</v>
      </c>
      <c r="W5214" t="s">
        <v>4655</v>
      </c>
      <c r="X5214" s="2">
        <v>0</v>
      </c>
      <c r="Y5214">
        <v>20</v>
      </c>
      <c r="Z5214" t="s">
        <v>3884</v>
      </c>
      <c r="AA5214" s="3">
        <v>1.0390496253967201</v>
      </c>
      <c r="AB5214" t="s">
        <v>26515</v>
      </c>
      <c r="AC5214" t="s">
        <v>4562</v>
      </c>
      <c r="AD5214" t="s">
        <v>26513</v>
      </c>
      <c r="AE5214" t="s">
        <v>4655</v>
      </c>
      <c r="AF5214" t="s">
        <v>3114</v>
      </c>
      <c r="AG5214" t="s">
        <v>4564</v>
      </c>
      <c r="AH5214">
        <v>89511</v>
      </c>
      <c r="AI5214" t="s">
        <v>26516</v>
      </c>
      <c r="AJ5214" t="s">
        <v>26517</v>
      </c>
      <c r="AK5214" t="s">
        <v>26518</v>
      </c>
      <c r="AL5214" s="13" t="s">
        <v>3428</v>
      </c>
      <c r="AM5214">
        <v>1</v>
      </c>
      <c r="AN5214" s="15" t="s">
        <v>5284</v>
      </c>
    </row>
    <row r="5215" spans="1:40" x14ac:dyDescent="0.3">
      <c r="A5215" s="10" t="str">
        <f>HYPERLINK("http://www.washoecounty.gov/assessor/cama/?parid=156-111-05&amp;CardNumber=1","156-111-05")</f>
        <v>156-111-05</v>
      </c>
      <c r="B5215" t="s">
        <v>4655</v>
      </c>
      <c r="C5215" t="s">
        <v>26519</v>
      </c>
      <c r="D5215" s="1">
        <v>40520</v>
      </c>
      <c r="E5215" s="2">
        <v>650000</v>
      </c>
      <c r="F5215" t="s">
        <v>4553</v>
      </c>
      <c r="G5215" s="17" t="str">
        <f>HYPERLINK("https://www.washoecounty.gov/assessor/cama/?command=sales&amp;parid=15611105","3951027")</f>
        <v>3951027</v>
      </c>
      <c r="H5215" t="s">
        <v>4701</v>
      </c>
      <c r="I5215">
        <v>2007</v>
      </c>
      <c r="J5215">
        <v>2007</v>
      </c>
      <c r="K5215" t="s">
        <v>4554</v>
      </c>
      <c r="L5215" t="s">
        <v>4555</v>
      </c>
      <c r="M5215" s="2">
        <v>4445</v>
      </c>
      <c r="N5215" t="s">
        <v>8283</v>
      </c>
      <c r="O5215">
        <v>4</v>
      </c>
      <c r="P5215">
        <v>3</v>
      </c>
      <c r="Q5215">
        <v>0</v>
      </c>
      <c r="R5215" t="s">
        <v>5281</v>
      </c>
      <c r="S5215" t="s">
        <v>4898</v>
      </c>
      <c r="T5215" t="s">
        <v>2704</v>
      </c>
      <c r="U5215" t="s">
        <v>4560</v>
      </c>
      <c r="V5215" s="2">
        <v>2009</v>
      </c>
      <c r="W5215" t="s">
        <v>4655</v>
      </c>
      <c r="X5215" s="2">
        <v>0</v>
      </c>
      <c r="Y5215">
        <v>20</v>
      </c>
      <c r="Z5215" t="s">
        <v>3884</v>
      </c>
      <c r="AA5215" s="3">
        <v>1.1992194652557373</v>
      </c>
      <c r="AB5215" t="s">
        <v>26520</v>
      </c>
      <c r="AC5215" t="s">
        <v>4562</v>
      </c>
      <c r="AD5215" t="s">
        <v>26519</v>
      </c>
      <c r="AE5215" t="s">
        <v>4655</v>
      </c>
      <c r="AF5215" t="s">
        <v>4563</v>
      </c>
      <c r="AG5215" t="s">
        <v>4564</v>
      </c>
      <c r="AH5215">
        <v>89511</v>
      </c>
      <c r="AI5215" t="s">
        <v>4655</v>
      </c>
      <c r="AJ5215" t="s">
        <v>4571</v>
      </c>
      <c r="AK5215" t="s">
        <v>26521</v>
      </c>
      <c r="AL5215" s="13" t="s">
        <v>3428</v>
      </c>
      <c r="AM5215">
        <v>1</v>
      </c>
      <c r="AN5215" s="15" t="s">
        <v>5284</v>
      </c>
    </row>
    <row r="5216" spans="1:40" x14ac:dyDescent="0.3">
      <c r="A5216" s="10" t="str">
        <f>HYPERLINK("http://www.washoecounty.gov/assessor/cama/?parid=160-084-02&amp;CardNumber=1","160-084-02")</f>
        <v>160-084-02</v>
      </c>
      <c r="B5216" t="s">
        <v>4655</v>
      </c>
      <c r="C5216" t="s">
        <v>26522</v>
      </c>
      <c r="D5216" s="1">
        <v>40542</v>
      </c>
      <c r="E5216" s="2">
        <v>1250000</v>
      </c>
      <c r="F5216" t="s">
        <v>3528</v>
      </c>
      <c r="G5216" s="17" t="str">
        <f>HYPERLINK("https://www.washoecounty.gov/assessor/cama/?command=sales&amp;parid=16008402","3959179")</f>
        <v>3959179</v>
      </c>
      <c r="H5216" t="s">
        <v>26523</v>
      </c>
      <c r="I5216">
        <v>1990</v>
      </c>
      <c r="J5216">
        <v>1990</v>
      </c>
      <c r="K5216" t="s">
        <v>1375</v>
      </c>
      <c r="L5216" t="s">
        <v>1366</v>
      </c>
      <c r="M5216" s="2">
        <v>8400</v>
      </c>
      <c r="N5216" t="s">
        <v>4672</v>
      </c>
      <c r="O5216">
        <v>0</v>
      </c>
      <c r="P5216">
        <v>0</v>
      </c>
      <c r="Q5216">
        <v>0</v>
      </c>
      <c r="R5216" t="s">
        <v>1395</v>
      </c>
      <c r="S5216" t="s">
        <v>1369</v>
      </c>
      <c r="T5216" t="s">
        <v>4655</v>
      </c>
      <c r="U5216" t="s">
        <v>4655</v>
      </c>
      <c r="V5216" s="2">
        <v>0</v>
      </c>
      <c r="W5216" t="s">
        <v>4655</v>
      </c>
      <c r="X5216" s="2">
        <v>0</v>
      </c>
      <c r="Y5216">
        <v>40</v>
      </c>
      <c r="Z5216" t="s">
        <v>3889</v>
      </c>
      <c r="AA5216" s="3">
        <v>2.9679999351501398</v>
      </c>
      <c r="AB5216" t="s">
        <v>26524</v>
      </c>
      <c r="AC5216" t="s">
        <v>4575</v>
      </c>
      <c r="AD5216" t="s">
        <v>26525</v>
      </c>
      <c r="AE5216" t="s">
        <v>26526</v>
      </c>
      <c r="AF5216" t="s">
        <v>4563</v>
      </c>
      <c r="AG5216" t="s">
        <v>4564</v>
      </c>
      <c r="AH5216">
        <v>89511</v>
      </c>
      <c r="AI5216" t="s">
        <v>1787</v>
      </c>
      <c r="AJ5216" t="s">
        <v>26527</v>
      </c>
      <c r="AK5216" t="s">
        <v>26528</v>
      </c>
      <c r="AL5216" s="13" t="s">
        <v>3420</v>
      </c>
      <c r="AM5216">
        <v>1</v>
      </c>
      <c r="AN5216" s="15" t="s">
        <v>147</v>
      </c>
    </row>
    <row r="5217" spans="1:40" x14ac:dyDescent="0.3">
      <c r="A5217" s="10" t="str">
        <f>HYPERLINK("http://www.washoecounty.gov/assessor/cama/?parid=160-124-06&amp;CardNumber=1","160-124-06")</f>
        <v>160-124-06</v>
      </c>
      <c r="B5217" t="s">
        <v>4655</v>
      </c>
      <c r="C5217" t="s">
        <v>26529</v>
      </c>
      <c r="D5217" s="1">
        <v>40346</v>
      </c>
      <c r="E5217" s="2">
        <v>213000</v>
      </c>
      <c r="F5217" t="s">
        <v>4567</v>
      </c>
      <c r="G5217" s="17" t="str">
        <f>HYPERLINK("https://www.washoecounty.gov/assessor/cama/?command=sales&amp;parid=16012406","3893068")</f>
        <v>3893068</v>
      </c>
      <c r="H5217" t="s">
        <v>355</v>
      </c>
      <c r="I5217">
        <v>1997</v>
      </c>
      <c r="J5217">
        <v>1997</v>
      </c>
      <c r="K5217" t="s">
        <v>4554</v>
      </c>
      <c r="L5217" t="s">
        <v>4555</v>
      </c>
      <c r="M5217" s="2">
        <v>1632</v>
      </c>
      <c r="N5217" t="s">
        <v>5280</v>
      </c>
      <c r="O5217">
        <v>3</v>
      </c>
      <c r="P5217">
        <v>2</v>
      </c>
      <c r="Q5217">
        <v>0</v>
      </c>
      <c r="R5217" t="s">
        <v>5281</v>
      </c>
      <c r="S5217" t="s">
        <v>4898</v>
      </c>
      <c r="T5217" t="s">
        <v>2704</v>
      </c>
      <c r="U5217" t="s">
        <v>4560</v>
      </c>
      <c r="V5217" s="2">
        <v>475</v>
      </c>
      <c r="W5217" t="s">
        <v>4655</v>
      </c>
      <c r="X5217" s="2">
        <v>0</v>
      </c>
      <c r="Y5217">
        <v>20</v>
      </c>
      <c r="Z5217" t="s">
        <v>1491</v>
      </c>
      <c r="AA5217" s="3">
        <v>0.16299356520175901</v>
      </c>
      <c r="AB5217" t="s">
        <v>26530</v>
      </c>
      <c r="AC5217" t="s">
        <v>4562</v>
      </c>
      <c r="AD5217" t="s">
        <v>26529</v>
      </c>
      <c r="AE5217" t="s">
        <v>4655</v>
      </c>
      <c r="AF5217" t="s">
        <v>4563</v>
      </c>
      <c r="AG5217" t="s">
        <v>4564</v>
      </c>
      <c r="AH5217" t="s">
        <v>5197</v>
      </c>
      <c r="AI5217" t="s">
        <v>5298</v>
      </c>
      <c r="AJ5217" t="s">
        <v>356</v>
      </c>
      <c r="AK5217" t="s">
        <v>26531</v>
      </c>
      <c r="AL5217" s="13" t="s">
        <v>2257</v>
      </c>
      <c r="AM5217">
        <v>1</v>
      </c>
      <c r="AN5217" s="15" t="s">
        <v>532</v>
      </c>
    </row>
    <row r="5218" spans="1:40" x14ac:dyDescent="0.3">
      <c r="A5218" s="10" t="str">
        <f>HYPERLINK("http://www.washoecounty.gov/assessor/cama/?parid=160-124-07&amp;CardNumber=1","160-124-07")</f>
        <v>160-124-07</v>
      </c>
      <c r="B5218" t="s">
        <v>4655</v>
      </c>
      <c r="C5218" t="s">
        <v>26532</v>
      </c>
      <c r="D5218" s="1">
        <v>40304</v>
      </c>
      <c r="E5218" s="2">
        <v>275000</v>
      </c>
      <c r="F5218" t="s">
        <v>4553</v>
      </c>
      <c r="G5218" s="17" t="str">
        <f>HYPERLINK("https://www.washoecounty.gov/assessor/cama/?command=sales&amp;parid=16012407","3878800")</f>
        <v>3878800</v>
      </c>
      <c r="H5218" t="s">
        <v>355</v>
      </c>
      <c r="I5218">
        <v>1997</v>
      </c>
      <c r="J5218">
        <v>1997</v>
      </c>
      <c r="K5218" t="s">
        <v>4554</v>
      </c>
      <c r="L5218" t="s">
        <v>3974</v>
      </c>
      <c r="M5218" s="2">
        <v>2477</v>
      </c>
      <c r="N5218" t="s">
        <v>5280</v>
      </c>
      <c r="O5218">
        <v>4</v>
      </c>
      <c r="P5218">
        <v>3</v>
      </c>
      <c r="Q5218">
        <v>0</v>
      </c>
      <c r="R5218" t="s">
        <v>5281</v>
      </c>
      <c r="S5218" t="s">
        <v>4898</v>
      </c>
      <c r="T5218" t="s">
        <v>2704</v>
      </c>
      <c r="U5218" t="s">
        <v>4560</v>
      </c>
      <c r="V5218" s="2">
        <v>654</v>
      </c>
      <c r="W5218" t="s">
        <v>4655</v>
      </c>
      <c r="X5218" s="2">
        <v>0</v>
      </c>
      <c r="Y5218">
        <v>20</v>
      </c>
      <c r="Z5218" t="s">
        <v>1491</v>
      </c>
      <c r="AA5218" s="3">
        <v>0.16299356520175901</v>
      </c>
      <c r="AB5218" t="s">
        <v>26533</v>
      </c>
      <c r="AC5218" t="s">
        <v>4575</v>
      </c>
      <c r="AD5218" t="s">
        <v>26534</v>
      </c>
      <c r="AE5218" t="s">
        <v>26535</v>
      </c>
      <c r="AF5218" t="s">
        <v>4563</v>
      </c>
      <c r="AG5218" t="s">
        <v>4564</v>
      </c>
      <c r="AH5218" t="s">
        <v>5197</v>
      </c>
      <c r="AI5218" t="s">
        <v>3625</v>
      </c>
      <c r="AJ5218" t="s">
        <v>356</v>
      </c>
      <c r="AK5218" t="s">
        <v>26536</v>
      </c>
      <c r="AL5218" s="13" t="s">
        <v>2257</v>
      </c>
      <c r="AM5218" s="14">
        <v>1</v>
      </c>
      <c r="AN5218" s="15" t="s">
        <v>532</v>
      </c>
    </row>
    <row r="5219" spans="1:40" x14ac:dyDescent="0.3">
      <c r="A5219" s="10" t="str">
        <f>HYPERLINK("http://www.washoecounty.gov/assessor/cama/?parid=160-131-12&amp;CardNumber=1","160-131-12")</f>
        <v>160-131-12</v>
      </c>
      <c r="B5219" t="s">
        <v>4655</v>
      </c>
      <c r="C5219" t="s">
        <v>26537</v>
      </c>
      <c r="D5219" s="1">
        <v>40389</v>
      </c>
      <c r="E5219" s="2">
        <v>358000</v>
      </c>
      <c r="F5219" t="s">
        <v>4567</v>
      </c>
      <c r="G5219" s="17" t="str">
        <f>HYPERLINK("https://www.washoecounty.gov/assessor/cama/?command=sales&amp;parid=16013112","3907227")</f>
        <v>3907227</v>
      </c>
      <c r="H5219" t="s">
        <v>2344</v>
      </c>
      <c r="I5219">
        <v>1997</v>
      </c>
      <c r="J5219">
        <v>1997</v>
      </c>
      <c r="K5219" t="s">
        <v>4554</v>
      </c>
      <c r="L5219" t="s">
        <v>3974</v>
      </c>
      <c r="M5219" s="2">
        <v>3018</v>
      </c>
      <c r="N5219" t="s">
        <v>3147</v>
      </c>
      <c r="O5219">
        <v>5</v>
      </c>
      <c r="P5219">
        <v>3</v>
      </c>
      <c r="Q5219">
        <v>0</v>
      </c>
      <c r="R5219" t="s">
        <v>5281</v>
      </c>
      <c r="S5219" t="s">
        <v>4898</v>
      </c>
      <c r="T5219" t="s">
        <v>2704</v>
      </c>
      <c r="U5219" t="s">
        <v>5631</v>
      </c>
      <c r="V5219" s="2">
        <v>601</v>
      </c>
      <c r="W5219" t="s">
        <v>4655</v>
      </c>
      <c r="X5219" s="2">
        <v>0</v>
      </c>
      <c r="Y5219">
        <v>20</v>
      </c>
      <c r="Z5219" t="s">
        <v>4561</v>
      </c>
      <c r="AA5219" s="3">
        <v>0.16900826990604401</v>
      </c>
      <c r="AB5219" t="s">
        <v>26538</v>
      </c>
      <c r="AC5219" t="s">
        <v>4562</v>
      </c>
      <c r="AD5219" t="s">
        <v>26537</v>
      </c>
      <c r="AE5219" t="s">
        <v>4655</v>
      </c>
      <c r="AF5219" t="s">
        <v>4563</v>
      </c>
      <c r="AG5219" t="s">
        <v>4564</v>
      </c>
      <c r="AH5219" t="s">
        <v>5197</v>
      </c>
      <c r="AI5219" t="s">
        <v>26539</v>
      </c>
      <c r="AJ5219" t="s">
        <v>1496</v>
      </c>
      <c r="AK5219" t="s">
        <v>26540</v>
      </c>
      <c r="AL5219" s="13" t="s">
        <v>2257</v>
      </c>
      <c r="AM5219">
        <v>1</v>
      </c>
      <c r="AN5219" s="15" t="s">
        <v>569</v>
      </c>
    </row>
    <row r="5220" spans="1:40" x14ac:dyDescent="0.3">
      <c r="A5220" s="10" t="str">
        <f>HYPERLINK("http://www.washoecounty.gov/assessor/cama/?parid=160-131-14&amp;CardNumber=1","160-131-14")</f>
        <v>160-131-14</v>
      </c>
      <c r="B5220" t="s">
        <v>4655</v>
      </c>
      <c r="C5220" t="s">
        <v>26541</v>
      </c>
      <c r="D5220" s="1">
        <v>40500</v>
      </c>
      <c r="E5220" s="2">
        <v>260000</v>
      </c>
      <c r="F5220" t="s">
        <v>4567</v>
      </c>
      <c r="G5220" s="17" t="str">
        <f>HYPERLINK("https://www.washoecounty.gov/assessor/cama/?command=sales&amp;parid=16013114","3944678")</f>
        <v>3944678</v>
      </c>
      <c r="H5220" t="s">
        <v>2344</v>
      </c>
      <c r="I5220">
        <v>1997</v>
      </c>
      <c r="J5220">
        <v>1997</v>
      </c>
      <c r="K5220" t="s">
        <v>4554</v>
      </c>
      <c r="L5220" t="s">
        <v>4555</v>
      </c>
      <c r="M5220" s="2">
        <v>2410</v>
      </c>
      <c r="N5220" t="s">
        <v>3147</v>
      </c>
      <c r="O5220">
        <v>3</v>
      </c>
      <c r="P5220">
        <v>2</v>
      </c>
      <c r="Q5220">
        <v>1</v>
      </c>
      <c r="R5220" t="s">
        <v>5281</v>
      </c>
      <c r="S5220" t="s">
        <v>4898</v>
      </c>
      <c r="T5220" t="s">
        <v>2704</v>
      </c>
      <c r="U5220" t="s">
        <v>4560</v>
      </c>
      <c r="V5220" s="2">
        <v>598</v>
      </c>
      <c r="W5220" t="s">
        <v>4655</v>
      </c>
      <c r="X5220" s="2">
        <v>0</v>
      </c>
      <c r="Y5220">
        <v>20</v>
      </c>
      <c r="Z5220" t="s">
        <v>4561</v>
      </c>
      <c r="AA5220" s="3">
        <v>0.16900826990604401</v>
      </c>
      <c r="AB5220" t="s">
        <v>26542</v>
      </c>
      <c r="AC5220" t="s">
        <v>4575</v>
      </c>
      <c r="AD5220" t="s">
        <v>26543</v>
      </c>
      <c r="AE5220" t="s">
        <v>26544</v>
      </c>
      <c r="AF5220" t="s">
        <v>4563</v>
      </c>
      <c r="AG5220" t="s">
        <v>4564</v>
      </c>
      <c r="AH5220" t="s">
        <v>5197</v>
      </c>
      <c r="AI5220" t="s">
        <v>26545</v>
      </c>
      <c r="AJ5220" t="s">
        <v>1496</v>
      </c>
      <c r="AK5220" t="s">
        <v>26546</v>
      </c>
      <c r="AL5220" s="13" t="s">
        <v>2257</v>
      </c>
      <c r="AM5220">
        <v>1</v>
      </c>
      <c r="AN5220" s="15" t="s">
        <v>569</v>
      </c>
    </row>
    <row r="5221" spans="1:40" x14ac:dyDescent="0.3">
      <c r="A5221" s="10" t="str">
        <f>HYPERLINK("http://www.washoecounty.gov/assessor/cama/?parid=160-162-03&amp;CardNumber=1","160-162-03")</f>
        <v>160-162-03</v>
      </c>
      <c r="B5221" t="s">
        <v>4655</v>
      </c>
      <c r="C5221" t="s">
        <v>26547</v>
      </c>
      <c r="D5221" s="1">
        <v>40235</v>
      </c>
      <c r="E5221" s="2">
        <v>200000</v>
      </c>
      <c r="F5221" t="s">
        <v>4567</v>
      </c>
      <c r="G5221" s="17" t="str">
        <f>HYPERLINK("https://www.washoecounty.gov/assessor/cama/?command=sales&amp;parid=16016203","3853129")</f>
        <v>3853129</v>
      </c>
      <c r="H5221" t="s">
        <v>4808</v>
      </c>
      <c r="I5221">
        <v>1997</v>
      </c>
      <c r="J5221">
        <v>1997</v>
      </c>
      <c r="K5221" t="s">
        <v>4554</v>
      </c>
      <c r="L5221" t="s">
        <v>4555</v>
      </c>
      <c r="M5221" s="2">
        <v>1362</v>
      </c>
      <c r="N5221" t="s">
        <v>5280</v>
      </c>
      <c r="O5221">
        <v>3</v>
      </c>
      <c r="P5221">
        <v>2</v>
      </c>
      <c r="Q5221">
        <v>0</v>
      </c>
      <c r="R5221" t="s">
        <v>4557</v>
      </c>
      <c r="S5221" t="s">
        <v>4898</v>
      </c>
      <c r="T5221" t="s">
        <v>2704</v>
      </c>
      <c r="U5221" t="s">
        <v>4560</v>
      </c>
      <c r="V5221" s="2">
        <v>454</v>
      </c>
      <c r="W5221" t="s">
        <v>4655</v>
      </c>
      <c r="X5221" s="2">
        <v>0</v>
      </c>
      <c r="Y5221">
        <v>20</v>
      </c>
      <c r="Z5221" t="s">
        <v>1491</v>
      </c>
      <c r="AA5221" s="3">
        <v>0.14898990094661699</v>
      </c>
      <c r="AB5221" t="s">
        <v>26548</v>
      </c>
      <c r="AC5221" t="s">
        <v>4575</v>
      </c>
      <c r="AD5221" t="s">
        <v>26549</v>
      </c>
      <c r="AE5221" t="s">
        <v>4655</v>
      </c>
      <c r="AF5221" t="s">
        <v>4563</v>
      </c>
      <c r="AG5221" t="s">
        <v>4564</v>
      </c>
      <c r="AH5221">
        <v>89511</v>
      </c>
      <c r="AI5221" t="s">
        <v>26550</v>
      </c>
      <c r="AJ5221" t="s">
        <v>2954</v>
      </c>
      <c r="AK5221" t="s">
        <v>26551</v>
      </c>
      <c r="AL5221" s="13" t="s">
        <v>2257</v>
      </c>
      <c r="AM5221">
        <v>1</v>
      </c>
      <c r="AN5221" s="15" t="s">
        <v>532</v>
      </c>
    </row>
    <row r="5222" spans="1:40" x14ac:dyDescent="0.3">
      <c r="A5222" s="10" t="str">
        <f>HYPERLINK("http://www.washoecounty.gov/assessor/cama/?parid=160-171-08&amp;CardNumber=1","160-171-08")</f>
        <v>160-171-08</v>
      </c>
      <c r="B5222" t="s">
        <v>4655</v>
      </c>
      <c r="C5222" t="s">
        <v>26552</v>
      </c>
      <c r="D5222" s="1">
        <v>40522</v>
      </c>
      <c r="E5222" s="2">
        <v>144900</v>
      </c>
      <c r="F5222" t="s">
        <v>4553</v>
      </c>
      <c r="G5222" s="17" t="str">
        <f>HYPERLINK("https://www.washoecounty.gov/assessor/cama/?command=sales&amp;parid=16017108","3952101")</f>
        <v>3952101</v>
      </c>
      <c r="H5222" t="s">
        <v>4808</v>
      </c>
      <c r="I5222">
        <v>1998</v>
      </c>
      <c r="J5222">
        <v>1998</v>
      </c>
      <c r="K5222" t="s">
        <v>4554</v>
      </c>
      <c r="L5222" t="s">
        <v>4555</v>
      </c>
      <c r="M5222" s="2">
        <v>1362</v>
      </c>
      <c r="N5222" t="s">
        <v>5280</v>
      </c>
      <c r="O5222">
        <v>3</v>
      </c>
      <c r="P5222">
        <v>2</v>
      </c>
      <c r="Q5222">
        <v>0</v>
      </c>
      <c r="R5222" t="s">
        <v>5281</v>
      </c>
      <c r="S5222" t="s">
        <v>4558</v>
      </c>
      <c r="T5222" t="s">
        <v>2704</v>
      </c>
      <c r="U5222" t="s">
        <v>4560</v>
      </c>
      <c r="V5222" s="2">
        <v>454</v>
      </c>
      <c r="W5222" t="s">
        <v>4655</v>
      </c>
      <c r="X5222" s="2">
        <v>0</v>
      </c>
      <c r="Y5222">
        <v>20</v>
      </c>
      <c r="Z5222" t="s">
        <v>1491</v>
      </c>
      <c r="AA5222" s="3">
        <v>0.14499540627002699</v>
      </c>
      <c r="AB5222" t="s">
        <v>26553</v>
      </c>
      <c r="AC5222" t="s">
        <v>4562</v>
      </c>
      <c r="AD5222" t="s">
        <v>26554</v>
      </c>
      <c r="AE5222" t="s">
        <v>4655</v>
      </c>
      <c r="AF5222" t="s">
        <v>4563</v>
      </c>
      <c r="AG5222" t="s">
        <v>4564</v>
      </c>
      <c r="AH5222">
        <v>89511</v>
      </c>
      <c r="AI5222" t="s">
        <v>2399</v>
      </c>
      <c r="AJ5222" t="s">
        <v>2954</v>
      </c>
      <c r="AK5222" t="s">
        <v>26555</v>
      </c>
      <c r="AL5222" s="13" t="s">
        <v>2257</v>
      </c>
      <c r="AM5222">
        <v>1</v>
      </c>
      <c r="AN5222" s="15" t="s">
        <v>532</v>
      </c>
    </row>
    <row r="5223" spans="1:40" x14ac:dyDescent="0.3">
      <c r="A5223" s="10" t="str">
        <f>HYPERLINK("http://www.washoecounty.gov/assessor/cama/?parid=160-172-18&amp;CardNumber=1","160-172-18")</f>
        <v>160-172-18</v>
      </c>
      <c r="B5223" t="s">
        <v>4655</v>
      </c>
      <c r="C5223" t="s">
        <v>26556</v>
      </c>
      <c r="D5223" s="1">
        <v>40483</v>
      </c>
      <c r="E5223" s="2">
        <v>206000</v>
      </c>
      <c r="F5223" t="s">
        <v>4567</v>
      </c>
      <c r="G5223" s="17" t="str">
        <f>HYPERLINK("https://www.washoecounty.gov/assessor/cama/?command=sales&amp;parid=16017218","3938725")</f>
        <v>3938725</v>
      </c>
      <c r="H5223" t="s">
        <v>4808</v>
      </c>
      <c r="I5223">
        <v>1999</v>
      </c>
      <c r="J5223">
        <v>1999</v>
      </c>
      <c r="K5223" t="s">
        <v>4554</v>
      </c>
      <c r="L5223" t="s">
        <v>4555</v>
      </c>
      <c r="M5223" s="2">
        <v>1618</v>
      </c>
      <c r="N5223" t="s">
        <v>5280</v>
      </c>
      <c r="O5223">
        <v>3</v>
      </c>
      <c r="P5223">
        <v>2</v>
      </c>
      <c r="Q5223">
        <v>0</v>
      </c>
      <c r="R5223" t="s">
        <v>5281</v>
      </c>
      <c r="S5223" t="s">
        <v>4898</v>
      </c>
      <c r="T5223" t="s">
        <v>2704</v>
      </c>
      <c r="U5223" t="s">
        <v>4560</v>
      </c>
      <c r="V5223" s="2">
        <v>440</v>
      </c>
      <c r="W5223" t="s">
        <v>4655</v>
      </c>
      <c r="X5223" s="2">
        <v>0</v>
      </c>
      <c r="Y5223">
        <v>20</v>
      </c>
      <c r="Z5223" t="s">
        <v>1491</v>
      </c>
      <c r="AA5223" s="3">
        <v>0.12100551277399101</v>
      </c>
      <c r="AB5223" t="s">
        <v>26557</v>
      </c>
      <c r="AC5223" t="s">
        <v>4575</v>
      </c>
      <c r="AD5223" t="s">
        <v>26556</v>
      </c>
      <c r="AE5223" t="s">
        <v>4655</v>
      </c>
      <c r="AF5223" t="s">
        <v>4563</v>
      </c>
      <c r="AG5223" t="s">
        <v>4564</v>
      </c>
      <c r="AH5223" t="s">
        <v>5197</v>
      </c>
      <c r="AI5223" t="s">
        <v>26558</v>
      </c>
      <c r="AJ5223" t="s">
        <v>2954</v>
      </c>
      <c r="AK5223" t="s">
        <v>26559</v>
      </c>
      <c r="AL5223" s="13" t="s">
        <v>2257</v>
      </c>
      <c r="AM5223">
        <v>1</v>
      </c>
      <c r="AN5223" s="15" t="s">
        <v>532</v>
      </c>
    </row>
    <row r="5224" spans="1:40" x14ac:dyDescent="0.3">
      <c r="A5224" s="10" t="str">
        <f>HYPERLINK("http://www.washoecounty.gov/assessor/cama/?parid=160-172-26&amp;CardNumber=1","160-172-26")</f>
        <v>160-172-26</v>
      </c>
      <c r="B5224" t="s">
        <v>4655</v>
      </c>
      <c r="C5224" t="s">
        <v>26560</v>
      </c>
      <c r="D5224" s="1">
        <v>40479</v>
      </c>
      <c r="E5224" s="2">
        <v>200000</v>
      </c>
      <c r="F5224" t="s">
        <v>4567</v>
      </c>
      <c r="G5224" s="17" t="str">
        <f>HYPERLINK("https://www.washoecounty.gov/assessor/cama/?command=sales&amp;parid=16017226","3937957")</f>
        <v>3937957</v>
      </c>
      <c r="H5224" t="s">
        <v>4808</v>
      </c>
      <c r="I5224">
        <v>1998</v>
      </c>
      <c r="J5224">
        <v>1998</v>
      </c>
      <c r="K5224" t="s">
        <v>4554</v>
      </c>
      <c r="L5224" t="s">
        <v>3974</v>
      </c>
      <c r="M5224" s="2">
        <v>1565</v>
      </c>
      <c r="N5224" t="s">
        <v>5280</v>
      </c>
      <c r="O5224">
        <v>3</v>
      </c>
      <c r="P5224">
        <v>2</v>
      </c>
      <c r="Q5224">
        <v>1</v>
      </c>
      <c r="R5224" t="s">
        <v>5281</v>
      </c>
      <c r="S5224" t="s">
        <v>4558</v>
      </c>
      <c r="T5224" t="s">
        <v>2704</v>
      </c>
      <c r="U5224" t="s">
        <v>5631</v>
      </c>
      <c r="V5224" s="2">
        <v>691</v>
      </c>
      <c r="W5224" t="s">
        <v>4655</v>
      </c>
      <c r="X5224" s="2">
        <v>0</v>
      </c>
      <c r="Y5224">
        <v>20</v>
      </c>
      <c r="Z5224" t="s">
        <v>1491</v>
      </c>
      <c r="AA5224" s="3">
        <v>0.13298897445201899</v>
      </c>
      <c r="AB5224" t="s">
        <v>26561</v>
      </c>
      <c r="AC5224" t="s">
        <v>4562</v>
      </c>
      <c r="AD5224" t="s">
        <v>26560</v>
      </c>
      <c r="AE5224" t="s">
        <v>4655</v>
      </c>
      <c r="AF5224" t="s">
        <v>4563</v>
      </c>
      <c r="AG5224" t="s">
        <v>4564</v>
      </c>
      <c r="AH5224" t="s">
        <v>5197</v>
      </c>
      <c r="AI5224" t="s">
        <v>26562</v>
      </c>
      <c r="AJ5224" t="s">
        <v>2954</v>
      </c>
      <c r="AK5224" t="s">
        <v>26563</v>
      </c>
      <c r="AL5224" s="13" t="s">
        <v>2257</v>
      </c>
      <c r="AM5224">
        <v>1</v>
      </c>
      <c r="AN5224" s="15" t="s">
        <v>532</v>
      </c>
    </row>
    <row r="5225" spans="1:40" x14ac:dyDescent="0.3">
      <c r="A5225" s="10" t="str">
        <f>HYPERLINK("http://www.washoecounty.gov/assessor/cama/?parid=160-173-05&amp;CardNumber=1","160-173-05")</f>
        <v>160-173-05</v>
      </c>
      <c r="B5225" t="s">
        <v>4655</v>
      </c>
      <c r="C5225" t="s">
        <v>26564</v>
      </c>
      <c r="D5225" s="1">
        <v>40358</v>
      </c>
      <c r="E5225" s="2">
        <v>183000</v>
      </c>
      <c r="F5225" t="s">
        <v>4567</v>
      </c>
      <c r="G5225" s="17" t="str">
        <f>HYPERLINK("https://www.washoecounty.gov/assessor/cama/?command=sales&amp;parid=16017305","3896850")</f>
        <v>3896850</v>
      </c>
      <c r="H5225" t="s">
        <v>4808</v>
      </c>
      <c r="I5225">
        <v>1999</v>
      </c>
      <c r="J5225">
        <v>1999</v>
      </c>
      <c r="K5225" t="s">
        <v>4554</v>
      </c>
      <c r="L5225" t="s">
        <v>4555</v>
      </c>
      <c r="M5225" s="2">
        <v>1494</v>
      </c>
      <c r="N5225" t="s">
        <v>5280</v>
      </c>
      <c r="O5225">
        <v>4</v>
      </c>
      <c r="P5225">
        <v>2</v>
      </c>
      <c r="Q5225">
        <v>0</v>
      </c>
      <c r="R5225" t="s">
        <v>5281</v>
      </c>
      <c r="S5225" t="s">
        <v>4558</v>
      </c>
      <c r="T5225" t="s">
        <v>2704</v>
      </c>
      <c r="U5225" t="s">
        <v>4560</v>
      </c>
      <c r="V5225" s="2">
        <v>462</v>
      </c>
      <c r="W5225" t="s">
        <v>4655</v>
      </c>
      <c r="X5225" s="2">
        <v>0</v>
      </c>
      <c r="Y5225">
        <v>20</v>
      </c>
      <c r="Z5225" t="s">
        <v>1491</v>
      </c>
      <c r="AA5225" s="3">
        <v>0.13700643181800801</v>
      </c>
      <c r="AB5225" t="s">
        <v>26565</v>
      </c>
      <c r="AC5225" t="s">
        <v>4562</v>
      </c>
      <c r="AD5225" t="s">
        <v>26564</v>
      </c>
      <c r="AE5225" t="s">
        <v>4655</v>
      </c>
      <c r="AF5225" t="s">
        <v>4563</v>
      </c>
      <c r="AG5225" t="s">
        <v>4564</v>
      </c>
      <c r="AH5225" t="s">
        <v>5197</v>
      </c>
      <c r="AI5225" t="s">
        <v>26566</v>
      </c>
      <c r="AJ5225" t="s">
        <v>2954</v>
      </c>
      <c r="AK5225" t="s">
        <v>26567</v>
      </c>
      <c r="AL5225" s="13" t="s">
        <v>2257</v>
      </c>
      <c r="AM5225" s="14">
        <v>1</v>
      </c>
      <c r="AN5225" s="15" t="s">
        <v>532</v>
      </c>
    </row>
    <row r="5226" spans="1:40" x14ac:dyDescent="0.3">
      <c r="A5226" s="10" t="str">
        <f>HYPERLINK("http://www.washoecounty.gov/assessor/cama/?parid=160-181-10&amp;CardNumber=1","160-181-10")</f>
        <v>160-181-10</v>
      </c>
      <c r="B5226" t="s">
        <v>4655</v>
      </c>
      <c r="C5226" t="s">
        <v>26568</v>
      </c>
      <c r="D5226" s="1">
        <v>40274</v>
      </c>
      <c r="E5226" s="2">
        <v>220000</v>
      </c>
      <c r="F5226" t="s">
        <v>4567</v>
      </c>
      <c r="G5226" s="17" t="str">
        <f>HYPERLINK("https://www.washoecounty.gov/assessor/cama/?command=sales&amp;parid=16018110","3868056")</f>
        <v>3868056</v>
      </c>
      <c r="H5226" t="s">
        <v>26569</v>
      </c>
      <c r="I5226">
        <v>1997</v>
      </c>
      <c r="J5226">
        <v>1997</v>
      </c>
      <c r="K5226" t="s">
        <v>4554</v>
      </c>
      <c r="L5226" t="s">
        <v>3974</v>
      </c>
      <c r="M5226" s="2">
        <v>2106</v>
      </c>
      <c r="N5226" t="s">
        <v>5280</v>
      </c>
      <c r="O5226">
        <v>3</v>
      </c>
      <c r="P5226">
        <v>2</v>
      </c>
      <c r="Q5226">
        <v>1</v>
      </c>
      <c r="R5226" t="s">
        <v>5281</v>
      </c>
      <c r="S5226" t="s">
        <v>4898</v>
      </c>
      <c r="T5226" t="s">
        <v>2704</v>
      </c>
      <c r="U5226" t="s">
        <v>5631</v>
      </c>
      <c r="V5226" s="2">
        <v>556</v>
      </c>
      <c r="W5226" t="s">
        <v>4655</v>
      </c>
      <c r="X5226" s="2">
        <v>0</v>
      </c>
      <c r="Y5226">
        <v>20</v>
      </c>
      <c r="Z5226" t="s">
        <v>4561</v>
      </c>
      <c r="AA5226" s="3">
        <v>0.17100550234317799</v>
      </c>
      <c r="AB5226" t="s">
        <v>26570</v>
      </c>
      <c r="AC5226" t="s">
        <v>4562</v>
      </c>
      <c r="AD5226" t="s">
        <v>26571</v>
      </c>
      <c r="AE5226" t="s">
        <v>4655</v>
      </c>
      <c r="AF5226" t="s">
        <v>4563</v>
      </c>
      <c r="AG5226" t="s">
        <v>4564</v>
      </c>
      <c r="AH5226" t="s">
        <v>5197</v>
      </c>
      <c r="AI5226" t="s">
        <v>26572</v>
      </c>
      <c r="AJ5226" t="s">
        <v>26573</v>
      </c>
      <c r="AK5226" t="s">
        <v>26574</v>
      </c>
      <c r="AL5226" s="13" t="s">
        <v>2257</v>
      </c>
      <c r="AM5226">
        <v>1</v>
      </c>
      <c r="AN5226" s="15" t="s">
        <v>532</v>
      </c>
    </row>
    <row r="5227" spans="1:40" x14ac:dyDescent="0.3">
      <c r="A5227" s="10" t="str">
        <f>HYPERLINK("http://www.washoecounty.gov/assessor/cama/?parid=160-182-01&amp;CardNumber=1","160-182-01")</f>
        <v>160-182-01</v>
      </c>
      <c r="B5227" t="s">
        <v>4655</v>
      </c>
      <c r="C5227" t="s">
        <v>26575</v>
      </c>
      <c r="D5227" s="1">
        <v>40206</v>
      </c>
      <c r="E5227" s="2">
        <v>238000</v>
      </c>
      <c r="F5227" t="s">
        <v>4567</v>
      </c>
      <c r="G5227" s="17" t="str">
        <f>HYPERLINK("https://www.washoecounty.gov/assessor/cama/?command=sales&amp;parid=16018201","3843734")</f>
        <v>3843734</v>
      </c>
      <c r="H5227" t="s">
        <v>26569</v>
      </c>
      <c r="I5227">
        <v>1997</v>
      </c>
      <c r="J5227">
        <v>1997</v>
      </c>
      <c r="K5227" t="s">
        <v>4554</v>
      </c>
      <c r="L5227" t="s">
        <v>3974</v>
      </c>
      <c r="M5227" s="2">
        <v>2181</v>
      </c>
      <c r="N5227" t="s">
        <v>5280</v>
      </c>
      <c r="O5227">
        <v>4</v>
      </c>
      <c r="P5227">
        <v>3</v>
      </c>
      <c r="Q5227">
        <v>0</v>
      </c>
      <c r="R5227" t="s">
        <v>5281</v>
      </c>
      <c r="S5227" t="s">
        <v>4898</v>
      </c>
      <c r="T5227" t="s">
        <v>2704</v>
      </c>
      <c r="U5227" t="s">
        <v>4560</v>
      </c>
      <c r="V5227" s="2">
        <v>440</v>
      </c>
      <c r="W5227" t="s">
        <v>4655</v>
      </c>
      <c r="X5227" s="2">
        <v>0</v>
      </c>
      <c r="Y5227">
        <v>20</v>
      </c>
      <c r="Z5227" t="s">
        <v>4561</v>
      </c>
      <c r="AA5227" s="3">
        <v>0.18099173903465299</v>
      </c>
      <c r="AB5227" t="s">
        <v>26576</v>
      </c>
      <c r="AC5227" t="s">
        <v>4562</v>
      </c>
      <c r="AD5227" t="s">
        <v>26577</v>
      </c>
      <c r="AE5227" t="s">
        <v>4655</v>
      </c>
      <c r="AF5227" t="s">
        <v>4563</v>
      </c>
      <c r="AG5227" t="s">
        <v>4564</v>
      </c>
      <c r="AH5227">
        <v>89509</v>
      </c>
      <c r="AI5227" t="s">
        <v>26578</v>
      </c>
      <c r="AJ5227" t="s">
        <v>26573</v>
      </c>
      <c r="AK5227" t="s">
        <v>26579</v>
      </c>
      <c r="AL5227" s="13" t="s">
        <v>2257</v>
      </c>
      <c r="AM5227" s="14">
        <v>1</v>
      </c>
      <c r="AN5227" s="15" t="s">
        <v>532</v>
      </c>
    </row>
    <row r="5228" spans="1:40" x14ac:dyDescent="0.3">
      <c r="A5228" s="10" t="str">
        <f>HYPERLINK("http://www.washoecounty.gov/assessor/cama/?parid=160-182-05&amp;CardNumber=1","160-182-05")</f>
        <v>160-182-05</v>
      </c>
      <c r="B5228" t="s">
        <v>4655</v>
      </c>
      <c r="C5228" t="s">
        <v>26580</v>
      </c>
      <c r="D5228" s="1">
        <v>40316</v>
      </c>
      <c r="E5228" s="2">
        <v>215000</v>
      </c>
      <c r="F5228" t="s">
        <v>4567</v>
      </c>
      <c r="G5228" s="17" t="str">
        <f>HYPERLINK("https://www.washoecounty.gov/assessor/cama/?command=sales&amp;parid=16018205","3882788")</f>
        <v>3882788</v>
      </c>
      <c r="H5228" t="s">
        <v>26569</v>
      </c>
      <c r="I5228">
        <v>1997</v>
      </c>
      <c r="J5228">
        <v>1997</v>
      </c>
      <c r="K5228" t="s">
        <v>4554</v>
      </c>
      <c r="L5228" t="s">
        <v>3974</v>
      </c>
      <c r="M5228" s="2">
        <v>2181</v>
      </c>
      <c r="N5228" t="s">
        <v>5280</v>
      </c>
      <c r="O5228">
        <v>4</v>
      </c>
      <c r="P5228">
        <v>3</v>
      </c>
      <c r="Q5228">
        <v>0</v>
      </c>
      <c r="R5228" t="s">
        <v>4557</v>
      </c>
      <c r="S5228" t="s">
        <v>4898</v>
      </c>
      <c r="T5228" t="s">
        <v>2704</v>
      </c>
      <c r="U5228" t="s">
        <v>4560</v>
      </c>
      <c r="V5228" s="2">
        <v>440</v>
      </c>
      <c r="W5228" t="s">
        <v>4655</v>
      </c>
      <c r="X5228" s="2">
        <v>0</v>
      </c>
      <c r="Y5228">
        <v>20</v>
      </c>
      <c r="Z5228" t="s">
        <v>4561</v>
      </c>
      <c r="AA5228" s="3">
        <v>0.14299815893173218</v>
      </c>
      <c r="AB5228" t="s">
        <v>26581</v>
      </c>
      <c r="AC5228" t="s">
        <v>4562</v>
      </c>
      <c r="AD5228" t="s">
        <v>26580</v>
      </c>
      <c r="AE5228" t="s">
        <v>4655</v>
      </c>
      <c r="AF5228" t="s">
        <v>4563</v>
      </c>
      <c r="AG5228" t="s">
        <v>4564</v>
      </c>
      <c r="AH5228" t="s">
        <v>5197</v>
      </c>
      <c r="AI5228" t="s">
        <v>4655</v>
      </c>
      <c r="AJ5228" t="s">
        <v>26573</v>
      </c>
      <c r="AK5228" t="s">
        <v>26582</v>
      </c>
      <c r="AL5228" s="13" t="s">
        <v>2257</v>
      </c>
      <c r="AM5228">
        <v>1</v>
      </c>
      <c r="AN5228" s="15" t="s">
        <v>532</v>
      </c>
    </row>
    <row r="5229" spans="1:40" x14ac:dyDescent="0.3">
      <c r="A5229" s="10" t="str">
        <f>HYPERLINK("http://www.washoecounty.gov/assessor/cama/?parid=160-183-10&amp;CardNumber=1","160-183-10")</f>
        <v>160-183-10</v>
      </c>
      <c r="B5229" t="s">
        <v>4655</v>
      </c>
      <c r="C5229" t="s">
        <v>26583</v>
      </c>
      <c r="D5229" s="1">
        <v>40442</v>
      </c>
      <c r="E5229" s="2">
        <v>222000</v>
      </c>
      <c r="F5229" t="s">
        <v>4567</v>
      </c>
      <c r="G5229" s="17" t="str">
        <f>HYPERLINK("https://www.washoecounty.gov/assessor/cama/?command=sales&amp;parid=16018310","3924568")</f>
        <v>3924568</v>
      </c>
      <c r="H5229" t="s">
        <v>26569</v>
      </c>
      <c r="I5229">
        <v>1997</v>
      </c>
      <c r="J5229">
        <v>1997</v>
      </c>
      <c r="K5229" t="s">
        <v>4554</v>
      </c>
      <c r="L5229" t="s">
        <v>3974</v>
      </c>
      <c r="M5229" s="2">
        <v>2106</v>
      </c>
      <c r="N5229" t="s">
        <v>5280</v>
      </c>
      <c r="O5229">
        <v>3</v>
      </c>
      <c r="P5229">
        <v>2</v>
      </c>
      <c r="Q5229">
        <v>1</v>
      </c>
      <c r="R5229" t="s">
        <v>4557</v>
      </c>
      <c r="S5229" t="s">
        <v>4898</v>
      </c>
      <c r="T5229" t="s">
        <v>2704</v>
      </c>
      <c r="U5229" t="s">
        <v>5631</v>
      </c>
      <c r="V5229" s="2">
        <v>441</v>
      </c>
      <c r="W5229" t="s">
        <v>4655</v>
      </c>
      <c r="X5229" s="2">
        <v>0</v>
      </c>
      <c r="Y5229">
        <v>20</v>
      </c>
      <c r="Z5229" t="s">
        <v>4561</v>
      </c>
      <c r="AA5229" s="3">
        <v>0.20000000298023199</v>
      </c>
      <c r="AB5229" t="s">
        <v>26584</v>
      </c>
      <c r="AC5229" t="s">
        <v>4575</v>
      </c>
      <c r="AD5229" t="s">
        <v>26583</v>
      </c>
      <c r="AE5229" t="s">
        <v>4655</v>
      </c>
      <c r="AF5229" t="s">
        <v>4563</v>
      </c>
      <c r="AG5229" t="s">
        <v>4564</v>
      </c>
      <c r="AH5229" t="s">
        <v>5197</v>
      </c>
      <c r="AI5229" t="s">
        <v>26585</v>
      </c>
      <c r="AJ5229" t="s">
        <v>26573</v>
      </c>
      <c r="AK5229" t="s">
        <v>26586</v>
      </c>
      <c r="AL5229" s="13" t="s">
        <v>2257</v>
      </c>
      <c r="AM5229" s="14">
        <v>1</v>
      </c>
      <c r="AN5229" s="15" t="s">
        <v>532</v>
      </c>
    </row>
    <row r="5230" spans="1:40" x14ac:dyDescent="0.3">
      <c r="A5230" s="10" t="str">
        <f>HYPERLINK("http://www.washoecounty.gov/assessor/cama/?parid=160-183-12&amp;CardNumber=1","160-183-12")</f>
        <v>160-183-12</v>
      </c>
      <c r="B5230" t="s">
        <v>4655</v>
      </c>
      <c r="C5230" t="s">
        <v>26587</v>
      </c>
      <c r="D5230" s="1">
        <v>40528</v>
      </c>
      <c r="E5230" s="2">
        <v>176572</v>
      </c>
      <c r="F5230" t="s">
        <v>4567</v>
      </c>
      <c r="G5230" s="17" t="str">
        <f>HYPERLINK("https://www.washoecounty.gov/assessor/cama/?command=sales&amp;parid=16018312","3954633")</f>
        <v>3954633</v>
      </c>
      <c r="H5230" t="s">
        <v>26569</v>
      </c>
      <c r="I5230">
        <v>1997</v>
      </c>
      <c r="J5230">
        <v>1997</v>
      </c>
      <c r="K5230" t="s">
        <v>4554</v>
      </c>
      <c r="L5230" t="s">
        <v>4555</v>
      </c>
      <c r="M5230" s="2">
        <v>1607</v>
      </c>
      <c r="N5230" t="s">
        <v>5280</v>
      </c>
      <c r="O5230">
        <v>3</v>
      </c>
      <c r="P5230">
        <v>2</v>
      </c>
      <c r="Q5230">
        <v>0</v>
      </c>
      <c r="R5230" t="s">
        <v>5281</v>
      </c>
      <c r="S5230" t="s">
        <v>4898</v>
      </c>
      <c r="T5230" t="s">
        <v>2704</v>
      </c>
      <c r="U5230" t="s">
        <v>4560</v>
      </c>
      <c r="V5230" s="2">
        <v>409</v>
      </c>
      <c r="W5230" t="s">
        <v>4655</v>
      </c>
      <c r="X5230" s="2">
        <v>0</v>
      </c>
      <c r="Y5230">
        <v>20</v>
      </c>
      <c r="Z5230" t="s">
        <v>4561</v>
      </c>
      <c r="AA5230" s="3">
        <v>0.189003676176071</v>
      </c>
      <c r="AB5230" t="s">
        <v>17928</v>
      </c>
      <c r="AC5230" t="s">
        <v>4562</v>
      </c>
      <c r="AD5230" t="s">
        <v>26588</v>
      </c>
      <c r="AE5230" t="s">
        <v>4655</v>
      </c>
      <c r="AF5230" t="s">
        <v>4563</v>
      </c>
      <c r="AG5230" t="s">
        <v>4564</v>
      </c>
      <c r="AH5230">
        <v>89511</v>
      </c>
      <c r="AI5230" t="s">
        <v>4655</v>
      </c>
      <c r="AJ5230" t="s">
        <v>26573</v>
      </c>
      <c r="AK5230" t="s">
        <v>26589</v>
      </c>
      <c r="AL5230" s="13" t="s">
        <v>2257</v>
      </c>
      <c r="AM5230">
        <v>1</v>
      </c>
      <c r="AN5230" s="15" t="s">
        <v>532</v>
      </c>
    </row>
    <row r="5231" spans="1:40" x14ac:dyDescent="0.3">
      <c r="A5231" s="10" t="str">
        <f>HYPERLINK("http://www.washoecounty.gov/assessor/cama/?parid=160-191-27&amp;CardNumber=1","160-191-27")</f>
        <v>160-191-27</v>
      </c>
      <c r="B5231" t="s">
        <v>4655</v>
      </c>
      <c r="C5231" t="s">
        <v>26590</v>
      </c>
      <c r="D5231" s="1">
        <v>40486</v>
      </c>
      <c r="E5231" s="2">
        <v>230000</v>
      </c>
      <c r="F5231" t="s">
        <v>4567</v>
      </c>
      <c r="G5231" s="17" t="str">
        <f>HYPERLINK("https://www.washoecounty.gov/assessor/cama/?command=sales&amp;parid=16019127","3939922")</f>
        <v>3939922</v>
      </c>
      <c r="H5231" t="s">
        <v>567</v>
      </c>
      <c r="I5231">
        <v>2000</v>
      </c>
      <c r="J5231">
        <v>2000</v>
      </c>
      <c r="K5231" t="s">
        <v>4554</v>
      </c>
      <c r="L5231" t="s">
        <v>4555</v>
      </c>
      <c r="M5231" s="2">
        <v>1923</v>
      </c>
      <c r="N5231" t="s">
        <v>3147</v>
      </c>
      <c r="O5231">
        <v>3</v>
      </c>
      <c r="P5231">
        <v>2</v>
      </c>
      <c r="Q5231">
        <v>0</v>
      </c>
      <c r="R5231" t="s">
        <v>5281</v>
      </c>
      <c r="S5231" t="s">
        <v>4898</v>
      </c>
      <c r="T5231" t="s">
        <v>2704</v>
      </c>
      <c r="U5231" t="s">
        <v>4560</v>
      </c>
      <c r="V5231" s="2">
        <v>646</v>
      </c>
      <c r="W5231" t="s">
        <v>4655</v>
      </c>
      <c r="X5231" s="2">
        <v>0</v>
      </c>
      <c r="Y5231">
        <v>20</v>
      </c>
      <c r="Z5231" t="s">
        <v>1491</v>
      </c>
      <c r="AA5231" s="3">
        <v>0.18500918149948101</v>
      </c>
      <c r="AB5231" t="s">
        <v>26591</v>
      </c>
      <c r="AC5231" t="s">
        <v>4562</v>
      </c>
      <c r="AD5231" t="s">
        <v>26592</v>
      </c>
      <c r="AE5231" t="s">
        <v>4655</v>
      </c>
      <c r="AF5231" t="s">
        <v>4563</v>
      </c>
      <c r="AG5231" t="s">
        <v>4564</v>
      </c>
      <c r="AH5231">
        <v>89511</v>
      </c>
      <c r="AI5231" t="s">
        <v>26593</v>
      </c>
      <c r="AJ5231" t="s">
        <v>568</v>
      </c>
      <c r="AK5231" t="s">
        <v>26594</v>
      </c>
      <c r="AL5231" s="13" t="s">
        <v>2257</v>
      </c>
      <c r="AM5231">
        <v>1</v>
      </c>
      <c r="AN5231" s="15" t="s">
        <v>569</v>
      </c>
    </row>
    <row r="5232" spans="1:40" x14ac:dyDescent="0.3">
      <c r="A5232" s="10" t="str">
        <f>HYPERLINK("http://www.washoecounty.gov/assessor/cama/?parid=160-191-34&amp;CardNumber=1","160-191-34")</f>
        <v>160-191-34</v>
      </c>
      <c r="B5232" t="s">
        <v>4655</v>
      </c>
      <c r="C5232" t="s">
        <v>26595</v>
      </c>
      <c r="D5232" s="1">
        <v>40218</v>
      </c>
      <c r="E5232" s="2">
        <v>260000</v>
      </c>
      <c r="F5232" t="s">
        <v>4567</v>
      </c>
      <c r="G5232" s="17" t="str">
        <f>HYPERLINK("https://www.washoecounty.gov/assessor/cama/?command=sales&amp;parid=16019134","384736")</f>
        <v>384736</v>
      </c>
      <c r="H5232" t="s">
        <v>567</v>
      </c>
      <c r="I5232">
        <v>2000</v>
      </c>
      <c r="J5232">
        <v>2000</v>
      </c>
      <c r="K5232" t="s">
        <v>4554</v>
      </c>
      <c r="L5232" t="s">
        <v>3974</v>
      </c>
      <c r="M5232" s="2">
        <v>2335</v>
      </c>
      <c r="N5232" t="s">
        <v>3147</v>
      </c>
      <c r="O5232">
        <v>3</v>
      </c>
      <c r="P5232">
        <v>2</v>
      </c>
      <c r="Q5232">
        <v>1</v>
      </c>
      <c r="R5232" t="s">
        <v>5281</v>
      </c>
      <c r="S5232" t="s">
        <v>4898</v>
      </c>
      <c r="T5232" t="s">
        <v>2704</v>
      </c>
      <c r="U5232" t="s">
        <v>4560</v>
      </c>
      <c r="V5232" s="2">
        <v>683</v>
      </c>
      <c r="W5232" t="s">
        <v>4655</v>
      </c>
      <c r="X5232" s="2">
        <v>0</v>
      </c>
      <c r="Y5232">
        <v>20</v>
      </c>
      <c r="Z5232" t="s">
        <v>1491</v>
      </c>
      <c r="AA5232" s="3">
        <v>0.17199265956878662</v>
      </c>
      <c r="AB5232" t="s">
        <v>26596</v>
      </c>
      <c r="AC5232" t="s">
        <v>4562</v>
      </c>
      <c r="AD5232" t="s">
        <v>26597</v>
      </c>
      <c r="AE5232" t="s">
        <v>4655</v>
      </c>
      <c r="AF5232" t="s">
        <v>4563</v>
      </c>
      <c r="AG5232" t="s">
        <v>4564</v>
      </c>
      <c r="AH5232" t="s">
        <v>5197</v>
      </c>
      <c r="AI5232" t="s">
        <v>2351</v>
      </c>
      <c r="AJ5232" t="s">
        <v>568</v>
      </c>
      <c r="AK5232" t="s">
        <v>26598</v>
      </c>
      <c r="AL5232" s="13" t="s">
        <v>2257</v>
      </c>
      <c r="AM5232">
        <v>1</v>
      </c>
      <c r="AN5232" s="15" t="s">
        <v>569</v>
      </c>
    </row>
    <row r="5233" spans="1:40" x14ac:dyDescent="0.3">
      <c r="A5233" s="10" t="str">
        <f>HYPERLINK("http://www.washoecounty.gov/assessor/cama/?parid=160-191-34&amp;CardNumber=1","160-191-34")</f>
        <v>160-191-34</v>
      </c>
      <c r="B5233" t="s">
        <v>4655</v>
      </c>
      <c r="C5233" t="s">
        <v>26595</v>
      </c>
      <c r="D5233" s="1">
        <v>40275</v>
      </c>
      <c r="E5233" s="2">
        <v>249900</v>
      </c>
      <c r="F5233" t="s">
        <v>4553</v>
      </c>
      <c r="G5233" s="17" t="str">
        <f>HYPERLINK("https://www.washoecounty.gov/assessor/cama/?command=sales&amp;parid=16019134","3868581")</f>
        <v>3868581</v>
      </c>
      <c r="H5233" t="s">
        <v>567</v>
      </c>
      <c r="I5233">
        <v>2000</v>
      </c>
      <c r="J5233">
        <v>2000</v>
      </c>
      <c r="K5233" t="s">
        <v>4554</v>
      </c>
      <c r="L5233" t="s">
        <v>3974</v>
      </c>
      <c r="M5233" s="2">
        <v>2335</v>
      </c>
      <c r="N5233" t="s">
        <v>3147</v>
      </c>
      <c r="O5233">
        <v>3</v>
      </c>
      <c r="P5233">
        <v>2</v>
      </c>
      <c r="Q5233">
        <v>1</v>
      </c>
      <c r="R5233" t="s">
        <v>5281</v>
      </c>
      <c r="S5233" t="s">
        <v>4898</v>
      </c>
      <c r="T5233" t="s">
        <v>2704</v>
      </c>
      <c r="U5233" t="s">
        <v>4560</v>
      </c>
      <c r="V5233" s="2">
        <v>683</v>
      </c>
      <c r="W5233" t="s">
        <v>4655</v>
      </c>
      <c r="X5233" s="2">
        <v>0</v>
      </c>
      <c r="Y5233">
        <v>20</v>
      </c>
      <c r="Z5233" t="s">
        <v>1491</v>
      </c>
      <c r="AA5233" s="3">
        <v>0.17199265956878662</v>
      </c>
      <c r="AB5233" t="s">
        <v>26596</v>
      </c>
      <c r="AC5233" t="s">
        <v>4562</v>
      </c>
      <c r="AD5233" t="s">
        <v>26597</v>
      </c>
      <c r="AE5233" t="s">
        <v>4655</v>
      </c>
      <c r="AF5233" t="s">
        <v>4563</v>
      </c>
      <c r="AG5233" t="s">
        <v>4564</v>
      </c>
      <c r="AH5233" t="s">
        <v>5197</v>
      </c>
      <c r="AI5233" t="s">
        <v>2351</v>
      </c>
      <c r="AJ5233" t="s">
        <v>568</v>
      </c>
      <c r="AK5233" t="s">
        <v>26598</v>
      </c>
      <c r="AL5233" s="13" t="s">
        <v>2257</v>
      </c>
      <c r="AM5233">
        <v>1</v>
      </c>
      <c r="AN5233" s="15" t="s">
        <v>569</v>
      </c>
    </row>
    <row r="5234" spans="1:40" x14ac:dyDescent="0.3">
      <c r="A5234" s="10" t="str">
        <f>HYPERLINK("http://www.washoecounty.gov/assessor/cama/?parid=160-203-01&amp;CardNumber=1","160-203-01")</f>
        <v>160-203-01</v>
      </c>
      <c r="B5234" t="s">
        <v>4655</v>
      </c>
      <c r="C5234" t="s">
        <v>26599</v>
      </c>
      <c r="D5234" s="1">
        <v>40542</v>
      </c>
      <c r="E5234" s="2">
        <v>238000</v>
      </c>
      <c r="F5234" t="s">
        <v>4553</v>
      </c>
      <c r="G5234" s="17" t="str">
        <f>HYPERLINK("https://www.washoecounty.gov/assessor/cama/?command=sales&amp;parid=16020301","3958909")</f>
        <v>3958909</v>
      </c>
      <c r="H5234" t="s">
        <v>4440</v>
      </c>
      <c r="I5234">
        <v>1997</v>
      </c>
      <c r="J5234">
        <v>1997</v>
      </c>
      <c r="K5234" t="s">
        <v>4554</v>
      </c>
      <c r="L5234" t="s">
        <v>3974</v>
      </c>
      <c r="M5234" s="2">
        <v>2477</v>
      </c>
      <c r="N5234" t="s">
        <v>5280</v>
      </c>
      <c r="O5234">
        <v>4</v>
      </c>
      <c r="P5234">
        <v>3</v>
      </c>
      <c r="Q5234">
        <v>0</v>
      </c>
      <c r="R5234" t="s">
        <v>5281</v>
      </c>
      <c r="S5234" t="s">
        <v>4898</v>
      </c>
      <c r="T5234" t="s">
        <v>2704</v>
      </c>
      <c r="U5234" t="s">
        <v>4560</v>
      </c>
      <c r="V5234" s="2">
        <v>654</v>
      </c>
      <c r="W5234" t="s">
        <v>4655</v>
      </c>
      <c r="X5234" s="2">
        <v>0</v>
      </c>
      <c r="Y5234">
        <v>20</v>
      </c>
      <c r="Z5234" t="s">
        <v>1491</v>
      </c>
      <c r="AA5234" s="3">
        <v>0.18399907648563399</v>
      </c>
      <c r="AB5234" t="s">
        <v>26600</v>
      </c>
      <c r="AC5234" t="s">
        <v>4562</v>
      </c>
      <c r="AD5234" t="s">
        <v>26599</v>
      </c>
      <c r="AE5234" t="s">
        <v>4655</v>
      </c>
      <c r="AF5234" t="s">
        <v>4563</v>
      </c>
      <c r="AG5234" t="s">
        <v>4564</v>
      </c>
      <c r="AH5234" t="s">
        <v>5197</v>
      </c>
      <c r="AI5234" t="s">
        <v>4202</v>
      </c>
      <c r="AJ5234" t="s">
        <v>4441</v>
      </c>
      <c r="AK5234" t="s">
        <v>26601</v>
      </c>
      <c r="AL5234" s="13" t="s">
        <v>2257</v>
      </c>
      <c r="AM5234">
        <v>1</v>
      </c>
      <c r="AN5234" s="15" t="s">
        <v>532</v>
      </c>
    </row>
    <row r="5235" spans="1:40" x14ac:dyDescent="0.3">
      <c r="A5235" s="10" t="str">
        <f>HYPERLINK("http://www.washoecounty.gov/assessor/cama/?parid=160-331-07&amp;CardNumber=1","160-331-07")</f>
        <v>160-331-07</v>
      </c>
      <c r="B5235" t="s">
        <v>4655</v>
      </c>
      <c r="C5235" t="s">
        <v>26602</v>
      </c>
      <c r="D5235" s="1">
        <v>40472</v>
      </c>
      <c r="E5235" s="2">
        <v>152900</v>
      </c>
      <c r="F5235" t="s">
        <v>4553</v>
      </c>
      <c r="G5235" s="17" t="str">
        <f>HYPERLINK("https://www.washoecounty.gov/assessor/cama/?command=sales&amp;parid=16033107","3935363")</f>
        <v>3935363</v>
      </c>
      <c r="H5235" t="s">
        <v>2938</v>
      </c>
      <c r="I5235">
        <v>1997</v>
      </c>
      <c r="J5235">
        <v>1997</v>
      </c>
      <c r="K5235" t="s">
        <v>4554</v>
      </c>
      <c r="L5235" t="s">
        <v>3974</v>
      </c>
      <c r="M5235" s="2">
        <v>1715</v>
      </c>
      <c r="N5235" t="s">
        <v>5280</v>
      </c>
      <c r="O5235">
        <v>3</v>
      </c>
      <c r="P5235">
        <v>2</v>
      </c>
      <c r="Q5235">
        <v>1</v>
      </c>
      <c r="R5235" t="s">
        <v>5281</v>
      </c>
      <c r="S5235" t="s">
        <v>4898</v>
      </c>
      <c r="T5235" t="s">
        <v>2704</v>
      </c>
      <c r="U5235" t="s">
        <v>4560</v>
      </c>
      <c r="V5235" s="2">
        <v>400</v>
      </c>
      <c r="W5235" t="s">
        <v>4655</v>
      </c>
      <c r="X5235" s="2">
        <v>0</v>
      </c>
      <c r="Y5235">
        <v>20</v>
      </c>
      <c r="Z5235" t="s">
        <v>4144</v>
      </c>
      <c r="AA5235" s="3">
        <v>9.1873280704021495E-2</v>
      </c>
      <c r="AB5235" t="s">
        <v>26603</v>
      </c>
      <c r="AC5235" t="s">
        <v>4562</v>
      </c>
      <c r="AD5235" t="s">
        <v>26604</v>
      </c>
      <c r="AE5235" t="s">
        <v>4655</v>
      </c>
      <c r="AF5235" t="s">
        <v>26605</v>
      </c>
      <c r="AG5235" t="s">
        <v>4584</v>
      </c>
      <c r="AH5235" t="s">
        <v>26606</v>
      </c>
      <c r="AI5235" t="s">
        <v>4045</v>
      </c>
      <c r="AJ5235" t="s">
        <v>4442</v>
      </c>
      <c r="AK5235" t="s">
        <v>26607</v>
      </c>
      <c r="AL5235" s="13" t="s">
        <v>2257</v>
      </c>
      <c r="AM5235">
        <v>1</v>
      </c>
      <c r="AN5235" s="15" t="s">
        <v>571</v>
      </c>
    </row>
    <row r="5236" spans="1:40" x14ac:dyDescent="0.3">
      <c r="A5236" s="10" t="str">
        <f>HYPERLINK("http://www.washoecounty.gov/assessor/cama/?parid=160-334-05&amp;CardNumber=1","160-334-05")</f>
        <v>160-334-05</v>
      </c>
      <c r="B5236" t="s">
        <v>4655</v>
      </c>
      <c r="C5236" t="s">
        <v>26608</v>
      </c>
      <c r="D5236" s="1">
        <v>40535</v>
      </c>
      <c r="E5236" s="2">
        <v>172500</v>
      </c>
      <c r="F5236" t="s">
        <v>4553</v>
      </c>
      <c r="G5236" s="17" t="str">
        <f>HYPERLINK("https://www.washoecounty.gov/assessor/cama/?command=sales&amp;parid=16033405","3956979")</f>
        <v>3956979</v>
      </c>
      <c r="H5236" t="s">
        <v>331</v>
      </c>
      <c r="I5236">
        <v>1998</v>
      </c>
      <c r="J5236">
        <v>1998</v>
      </c>
      <c r="K5236" t="s">
        <v>4554</v>
      </c>
      <c r="L5236" t="s">
        <v>3974</v>
      </c>
      <c r="M5236" s="2">
        <v>1675</v>
      </c>
      <c r="N5236" t="s">
        <v>5280</v>
      </c>
      <c r="O5236">
        <v>3</v>
      </c>
      <c r="P5236">
        <v>2</v>
      </c>
      <c r="Q5236">
        <v>1</v>
      </c>
      <c r="R5236" t="s">
        <v>5281</v>
      </c>
      <c r="S5236" t="s">
        <v>4898</v>
      </c>
      <c r="T5236" t="s">
        <v>2704</v>
      </c>
      <c r="U5236" t="s">
        <v>5631</v>
      </c>
      <c r="V5236" s="2">
        <v>460</v>
      </c>
      <c r="W5236" t="s">
        <v>4655</v>
      </c>
      <c r="X5236" s="2">
        <v>0</v>
      </c>
      <c r="Y5236">
        <v>20</v>
      </c>
      <c r="Z5236" t="s">
        <v>4144</v>
      </c>
      <c r="AA5236" s="3">
        <v>7.4563823640346499E-2</v>
      </c>
      <c r="AB5236" t="s">
        <v>26609</v>
      </c>
      <c r="AC5236" t="s">
        <v>4575</v>
      </c>
      <c r="AD5236" t="s">
        <v>26610</v>
      </c>
      <c r="AE5236" t="s">
        <v>4655</v>
      </c>
      <c r="AF5236" t="s">
        <v>4563</v>
      </c>
      <c r="AG5236" t="s">
        <v>4564</v>
      </c>
      <c r="AH5236" t="s">
        <v>5197</v>
      </c>
      <c r="AI5236" t="s">
        <v>26611</v>
      </c>
      <c r="AJ5236" t="s">
        <v>4442</v>
      </c>
      <c r="AK5236" t="s">
        <v>26612</v>
      </c>
      <c r="AL5236" s="13" t="s">
        <v>2257</v>
      </c>
      <c r="AM5236">
        <v>1</v>
      </c>
      <c r="AN5236" s="15" t="s">
        <v>571</v>
      </c>
    </row>
    <row r="5237" spans="1:40" x14ac:dyDescent="0.3">
      <c r="A5237" s="10" t="str">
        <f>HYPERLINK("http://www.washoecounty.gov/assessor/cama/?parid=160-334-15&amp;CardNumber=1","160-334-15")</f>
        <v>160-334-15</v>
      </c>
      <c r="B5237" t="s">
        <v>4655</v>
      </c>
      <c r="C5237" t="s">
        <v>26613</v>
      </c>
      <c r="D5237" s="1">
        <v>40457</v>
      </c>
      <c r="E5237" s="2">
        <v>139900</v>
      </c>
      <c r="F5237" t="s">
        <v>4553</v>
      </c>
      <c r="G5237" s="17" t="str">
        <f>HYPERLINK("https://www.washoecounty.gov/assessor/cama/?command=sales&amp;parid=16033415","3930143")</f>
        <v>3930143</v>
      </c>
      <c r="H5237" t="s">
        <v>2938</v>
      </c>
      <c r="I5237">
        <v>1998</v>
      </c>
      <c r="J5237">
        <v>1998</v>
      </c>
      <c r="K5237" t="s">
        <v>4554</v>
      </c>
      <c r="L5237" t="s">
        <v>3974</v>
      </c>
      <c r="M5237" s="2">
        <v>1545</v>
      </c>
      <c r="N5237" t="s">
        <v>5280</v>
      </c>
      <c r="O5237">
        <v>3</v>
      </c>
      <c r="P5237">
        <v>2</v>
      </c>
      <c r="Q5237">
        <v>1</v>
      </c>
      <c r="R5237" t="s">
        <v>5281</v>
      </c>
      <c r="S5237" t="s">
        <v>4898</v>
      </c>
      <c r="T5237" t="s">
        <v>2704</v>
      </c>
      <c r="U5237" t="s">
        <v>5631</v>
      </c>
      <c r="V5237" s="2">
        <v>460</v>
      </c>
      <c r="W5237" t="s">
        <v>4655</v>
      </c>
      <c r="X5237" s="2">
        <v>0</v>
      </c>
      <c r="Y5237">
        <v>20</v>
      </c>
      <c r="Z5237" t="s">
        <v>4144</v>
      </c>
      <c r="AA5237" s="3">
        <v>8.63177254796028E-2</v>
      </c>
      <c r="AB5237" t="s">
        <v>26614</v>
      </c>
      <c r="AC5237" t="s">
        <v>4562</v>
      </c>
      <c r="AD5237" t="s">
        <v>26615</v>
      </c>
      <c r="AE5237" t="s">
        <v>4655</v>
      </c>
      <c r="AF5237" t="s">
        <v>4563</v>
      </c>
      <c r="AG5237" t="s">
        <v>4564</v>
      </c>
      <c r="AH5237" t="s">
        <v>5197</v>
      </c>
      <c r="AI5237" t="s">
        <v>26616</v>
      </c>
      <c r="AJ5237" t="s">
        <v>26617</v>
      </c>
      <c r="AK5237" t="s">
        <v>26618</v>
      </c>
      <c r="AL5237" s="13" t="s">
        <v>2257</v>
      </c>
      <c r="AM5237">
        <v>1</v>
      </c>
      <c r="AN5237" s="15" t="s">
        <v>571</v>
      </c>
    </row>
    <row r="5238" spans="1:40" x14ac:dyDescent="0.3">
      <c r="A5238" s="10" t="str">
        <f>HYPERLINK("http://www.washoecounty.gov/assessor/cama/?parid=160-351-03&amp;CardNumber=1","160-351-03")</f>
        <v>160-351-03</v>
      </c>
      <c r="B5238" t="s">
        <v>4655</v>
      </c>
      <c r="C5238" t="s">
        <v>26619</v>
      </c>
      <c r="D5238" s="1">
        <v>40198</v>
      </c>
      <c r="E5238" s="2">
        <v>202500</v>
      </c>
      <c r="F5238" t="s">
        <v>4567</v>
      </c>
      <c r="G5238" s="17" t="str">
        <f>HYPERLINK("https://www.washoecounty.gov/assessor/cama/?command=sales&amp;parid=16035103","3841105")</f>
        <v>3841105</v>
      </c>
      <c r="H5238" t="s">
        <v>26620</v>
      </c>
      <c r="I5238">
        <v>1998</v>
      </c>
      <c r="J5238">
        <v>1998</v>
      </c>
      <c r="K5238" t="s">
        <v>4554</v>
      </c>
      <c r="L5238" t="s">
        <v>3974</v>
      </c>
      <c r="M5238" s="2">
        <v>1675</v>
      </c>
      <c r="N5238" t="s">
        <v>5280</v>
      </c>
      <c r="O5238">
        <v>4</v>
      </c>
      <c r="P5238">
        <v>2</v>
      </c>
      <c r="Q5238">
        <v>1</v>
      </c>
      <c r="R5238" t="s">
        <v>5281</v>
      </c>
      <c r="S5238" t="s">
        <v>4898</v>
      </c>
      <c r="T5238" t="s">
        <v>2704</v>
      </c>
      <c r="U5238" t="s">
        <v>5631</v>
      </c>
      <c r="V5238" s="2">
        <v>460</v>
      </c>
      <c r="W5238" t="s">
        <v>4655</v>
      </c>
      <c r="X5238" s="2">
        <v>0</v>
      </c>
      <c r="Y5238">
        <v>20</v>
      </c>
      <c r="Z5238" t="s">
        <v>4144</v>
      </c>
      <c r="AA5238" s="3">
        <v>8.9990817010402693E-2</v>
      </c>
      <c r="AB5238" t="s">
        <v>26621</v>
      </c>
      <c r="AC5238" t="s">
        <v>4562</v>
      </c>
      <c r="AD5238" t="s">
        <v>26622</v>
      </c>
      <c r="AE5238" t="s">
        <v>4655</v>
      </c>
      <c r="AF5238" t="s">
        <v>4563</v>
      </c>
      <c r="AG5238" t="s">
        <v>4564</v>
      </c>
      <c r="AH5238" t="s">
        <v>5197</v>
      </c>
      <c r="AI5238" t="s">
        <v>26623</v>
      </c>
      <c r="AJ5238" t="s">
        <v>570</v>
      </c>
      <c r="AK5238" t="s">
        <v>26624</v>
      </c>
      <c r="AL5238" s="13" t="s">
        <v>2257</v>
      </c>
      <c r="AM5238" s="14">
        <v>1</v>
      </c>
      <c r="AN5238" s="15" t="s">
        <v>571</v>
      </c>
    </row>
    <row r="5239" spans="1:40" x14ac:dyDescent="0.3">
      <c r="A5239" s="10" t="str">
        <f>HYPERLINK("http://www.washoecounty.gov/assessor/cama/?parid=160-372-02&amp;CardNumber=1","160-372-02")</f>
        <v>160-372-02</v>
      </c>
      <c r="B5239" t="s">
        <v>4655</v>
      </c>
      <c r="C5239" t="s">
        <v>26625</v>
      </c>
      <c r="D5239" s="1">
        <v>40317</v>
      </c>
      <c r="E5239" s="2">
        <v>207000</v>
      </c>
      <c r="F5239" t="s">
        <v>4567</v>
      </c>
      <c r="G5239" s="17" t="str">
        <f>HYPERLINK("https://www.washoecounty.gov/assessor/cama/?command=sales&amp;parid=16037202","3882871")</f>
        <v>3882871</v>
      </c>
      <c r="H5239" t="s">
        <v>1059</v>
      </c>
      <c r="I5239">
        <v>2000</v>
      </c>
      <c r="J5239">
        <v>2000</v>
      </c>
      <c r="K5239" t="s">
        <v>4554</v>
      </c>
      <c r="L5239" t="s">
        <v>3974</v>
      </c>
      <c r="M5239" s="2">
        <v>2145</v>
      </c>
      <c r="N5239" t="s">
        <v>5280</v>
      </c>
      <c r="O5239">
        <v>4</v>
      </c>
      <c r="P5239">
        <v>3</v>
      </c>
      <c r="Q5239">
        <v>0</v>
      </c>
      <c r="R5239" t="s">
        <v>5281</v>
      </c>
      <c r="S5239" t="s">
        <v>4898</v>
      </c>
      <c r="T5239" t="s">
        <v>2704</v>
      </c>
      <c r="U5239" t="s">
        <v>4560</v>
      </c>
      <c r="V5239" s="2">
        <v>420</v>
      </c>
      <c r="W5239" t="s">
        <v>4655</v>
      </c>
      <c r="X5239" s="2">
        <v>0</v>
      </c>
      <c r="Y5239">
        <v>20</v>
      </c>
      <c r="Z5239" t="s">
        <v>1491</v>
      </c>
      <c r="AA5239" s="3">
        <v>0.16900826990604401</v>
      </c>
      <c r="AB5239" t="s">
        <v>26626</v>
      </c>
      <c r="AC5239" t="s">
        <v>4562</v>
      </c>
      <c r="AD5239" t="s">
        <v>26625</v>
      </c>
      <c r="AE5239" t="s">
        <v>4655</v>
      </c>
      <c r="AF5239" t="s">
        <v>4563</v>
      </c>
      <c r="AG5239" t="s">
        <v>4564</v>
      </c>
      <c r="AH5239" t="s">
        <v>5197</v>
      </c>
      <c r="AI5239" t="s">
        <v>4655</v>
      </c>
      <c r="AJ5239" t="s">
        <v>1060</v>
      </c>
      <c r="AK5239" t="s">
        <v>26627</v>
      </c>
      <c r="AL5239" s="13" t="s">
        <v>2257</v>
      </c>
      <c r="AM5239">
        <v>1</v>
      </c>
      <c r="AN5239" s="15" t="s">
        <v>532</v>
      </c>
    </row>
    <row r="5240" spans="1:40" x14ac:dyDescent="0.3">
      <c r="A5240" s="10" t="str">
        <f>HYPERLINK("http://www.washoecounty.gov/assessor/cama/?parid=160-372-22&amp;CardNumber=1","160-372-22")</f>
        <v>160-372-22</v>
      </c>
      <c r="B5240" t="s">
        <v>4655</v>
      </c>
      <c r="C5240" t="s">
        <v>26628</v>
      </c>
      <c r="D5240" s="1">
        <v>40259</v>
      </c>
      <c r="E5240" s="2">
        <v>218000</v>
      </c>
      <c r="F5240" t="s">
        <v>4567</v>
      </c>
      <c r="G5240" s="17" t="str">
        <f>HYPERLINK("https://www.washoecounty.gov/assessor/cama/?command=sales&amp;parid=16037222","3862586")</f>
        <v>3862586</v>
      </c>
      <c r="H5240" t="s">
        <v>1059</v>
      </c>
      <c r="I5240">
        <v>2000</v>
      </c>
      <c r="J5240">
        <v>2000</v>
      </c>
      <c r="K5240" t="s">
        <v>4554</v>
      </c>
      <c r="L5240" t="s">
        <v>4555</v>
      </c>
      <c r="M5240" s="2">
        <v>1787</v>
      </c>
      <c r="N5240" t="s">
        <v>5280</v>
      </c>
      <c r="O5240">
        <v>3</v>
      </c>
      <c r="P5240">
        <v>2</v>
      </c>
      <c r="Q5240">
        <v>0</v>
      </c>
      <c r="R5240" t="s">
        <v>5281</v>
      </c>
      <c r="S5240" t="s">
        <v>4898</v>
      </c>
      <c r="T5240" t="s">
        <v>2704</v>
      </c>
      <c r="U5240" t="s">
        <v>4560</v>
      </c>
      <c r="V5240" s="2">
        <v>440</v>
      </c>
      <c r="W5240" t="s">
        <v>4655</v>
      </c>
      <c r="X5240" s="2">
        <v>0</v>
      </c>
      <c r="Y5240">
        <v>20</v>
      </c>
      <c r="Z5240" t="s">
        <v>1491</v>
      </c>
      <c r="AA5240" s="3">
        <v>0.14201101660728499</v>
      </c>
      <c r="AB5240" t="s">
        <v>26629</v>
      </c>
      <c r="AC5240" t="s">
        <v>4562</v>
      </c>
      <c r="AD5240" t="s">
        <v>26628</v>
      </c>
      <c r="AE5240" t="s">
        <v>4655</v>
      </c>
      <c r="AF5240" t="s">
        <v>4563</v>
      </c>
      <c r="AG5240" t="s">
        <v>4564</v>
      </c>
      <c r="AH5240" t="s">
        <v>5197</v>
      </c>
      <c r="AI5240" t="s">
        <v>26630</v>
      </c>
      <c r="AJ5240" t="s">
        <v>1060</v>
      </c>
      <c r="AK5240" t="s">
        <v>26631</v>
      </c>
      <c r="AL5240" s="13" t="s">
        <v>2257</v>
      </c>
      <c r="AM5240">
        <v>1</v>
      </c>
      <c r="AN5240" s="15" t="s">
        <v>532</v>
      </c>
    </row>
    <row r="5241" spans="1:40" x14ac:dyDescent="0.3">
      <c r="A5241" s="10" t="str">
        <f>HYPERLINK("http://www.washoecounty.gov/assessor/cama/?parid=160-372-28&amp;CardNumber=1","160-372-28")</f>
        <v>160-372-28</v>
      </c>
      <c r="B5241" t="s">
        <v>4655</v>
      </c>
      <c r="C5241" t="s">
        <v>26632</v>
      </c>
      <c r="D5241" s="1">
        <v>40406</v>
      </c>
      <c r="E5241" s="2">
        <v>218000</v>
      </c>
      <c r="F5241" t="s">
        <v>4567</v>
      </c>
      <c r="G5241" s="17" t="str">
        <f>HYPERLINK("https://www.washoecounty.gov/assessor/cama/?command=sales&amp;parid=16037228","3912464")</f>
        <v>3912464</v>
      </c>
      <c r="H5241" t="s">
        <v>1059</v>
      </c>
      <c r="I5241">
        <v>1999</v>
      </c>
      <c r="J5241">
        <v>1999</v>
      </c>
      <c r="K5241" t="s">
        <v>4554</v>
      </c>
      <c r="L5241" t="s">
        <v>4555</v>
      </c>
      <c r="M5241" s="2">
        <v>1969</v>
      </c>
      <c r="N5241" t="s">
        <v>5280</v>
      </c>
      <c r="O5241">
        <v>4</v>
      </c>
      <c r="P5241">
        <v>2</v>
      </c>
      <c r="Q5241">
        <v>1</v>
      </c>
      <c r="R5241" t="s">
        <v>5281</v>
      </c>
      <c r="S5241" t="s">
        <v>4898</v>
      </c>
      <c r="T5241" t="s">
        <v>2704</v>
      </c>
      <c r="U5241" t="s">
        <v>4560</v>
      </c>
      <c r="V5241" s="2">
        <v>444</v>
      </c>
      <c r="W5241" t="s">
        <v>4655</v>
      </c>
      <c r="X5241" s="2">
        <v>0</v>
      </c>
      <c r="Y5241">
        <v>20</v>
      </c>
      <c r="Z5241" t="s">
        <v>1491</v>
      </c>
      <c r="AA5241" s="3">
        <v>0.16099633276462599</v>
      </c>
      <c r="AB5241" t="s">
        <v>26633</v>
      </c>
      <c r="AC5241" t="s">
        <v>4562</v>
      </c>
      <c r="AD5241" t="s">
        <v>26632</v>
      </c>
      <c r="AE5241" t="s">
        <v>4655</v>
      </c>
      <c r="AF5241" t="s">
        <v>4563</v>
      </c>
      <c r="AG5241" t="s">
        <v>4564</v>
      </c>
      <c r="AH5241" t="s">
        <v>5197</v>
      </c>
      <c r="AI5241" t="s">
        <v>4655</v>
      </c>
      <c r="AJ5241" t="s">
        <v>1060</v>
      </c>
      <c r="AK5241" t="s">
        <v>26634</v>
      </c>
      <c r="AL5241" s="13" t="s">
        <v>2257</v>
      </c>
      <c r="AM5241">
        <v>1</v>
      </c>
      <c r="AN5241" s="15" t="s">
        <v>532</v>
      </c>
    </row>
    <row r="5242" spans="1:40" x14ac:dyDescent="0.3">
      <c r="A5242" s="10" t="str">
        <f>HYPERLINK("http://www.washoecounty.gov/assessor/cama/?parid=160-373-09&amp;CardNumber=1","160-373-09")</f>
        <v>160-373-09</v>
      </c>
      <c r="B5242" t="s">
        <v>4655</v>
      </c>
      <c r="C5242" t="s">
        <v>26635</v>
      </c>
      <c r="D5242" s="1">
        <v>40254</v>
      </c>
      <c r="E5242" s="2">
        <v>212000</v>
      </c>
      <c r="F5242" t="s">
        <v>4567</v>
      </c>
      <c r="G5242" s="17" t="str">
        <f>HYPERLINK("https://www.washoecounty.gov/assessor/cama/?command=sales&amp;parid=16037309","3860759")</f>
        <v>3860759</v>
      </c>
      <c r="H5242" t="s">
        <v>1059</v>
      </c>
      <c r="I5242">
        <v>2000</v>
      </c>
      <c r="J5242">
        <v>2000</v>
      </c>
      <c r="K5242" t="s">
        <v>4554</v>
      </c>
      <c r="L5242" t="s">
        <v>4555</v>
      </c>
      <c r="M5242" s="2">
        <v>1787</v>
      </c>
      <c r="N5242" t="s">
        <v>5280</v>
      </c>
      <c r="O5242">
        <v>3</v>
      </c>
      <c r="P5242">
        <v>2</v>
      </c>
      <c r="Q5242">
        <v>0</v>
      </c>
      <c r="R5242" t="s">
        <v>5281</v>
      </c>
      <c r="S5242" t="s">
        <v>4898</v>
      </c>
      <c r="T5242" t="s">
        <v>2704</v>
      </c>
      <c r="U5242" t="s">
        <v>4560</v>
      </c>
      <c r="V5242" s="2">
        <v>440</v>
      </c>
      <c r="W5242" t="s">
        <v>4655</v>
      </c>
      <c r="X5242" s="2">
        <v>0</v>
      </c>
      <c r="Y5242">
        <v>20</v>
      </c>
      <c r="Z5242" t="s">
        <v>1491</v>
      </c>
      <c r="AA5242" s="3">
        <v>0.13799357414245605</v>
      </c>
      <c r="AB5242" t="s">
        <v>26636</v>
      </c>
      <c r="AC5242" t="s">
        <v>4575</v>
      </c>
      <c r="AD5242" t="s">
        <v>26637</v>
      </c>
      <c r="AE5242" t="s">
        <v>26635</v>
      </c>
      <c r="AF5242" t="s">
        <v>4563</v>
      </c>
      <c r="AG5242" t="s">
        <v>4564</v>
      </c>
      <c r="AH5242" t="s">
        <v>5197</v>
      </c>
      <c r="AI5242" t="s">
        <v>26638</v>
      </c>
      <c r="AJ5242" t="s">
        <v>1060</v>
      </c>
      <c r="AK5242" t="s">
        <v>26639</v>
      </c>
      <c r="AL5242" s="13" t="s">
        <v>2257</v>
      </c>
      <c r="AM5242">
        <v>1</v>
      </c>
      <c r="AN5242" s="15" t="s">
        <v>532</v>
      </c>
    </row>
    <row r="5243" spans="1:40" x14ac:dyDescent="0.3">
      <c r="A5243" s="10" t="str">
        <f>HYPERLINK("http://www.washoecounty.gov/assessor/cama/?parid=160-373-09&amp;CardNumber=1","160-373-09")</f>
        <v>160-373-09</v>
      </c>
      <c r="B5243" t="s">
        <v>4655</v>
      </c>
      <c r="C5243" t="s">
        <v>26635</v>
      </c>
      <c r="D5243" s="1">
        <v>40375</v>
      </c>
      <c r="E5243" s="2">
        <v>243000</v>
      </c>
      <c r="F5243" t="s">
        <v>4567</v>
      </c>
      <c r="G5243" s="17" t="str">
        <f>HYPERLINK("https://www.washoecounty.gov/assessor/cama/?command=sales&amp;parid=16037309","3902303")</f>
        <v>3902303</v>
      </c>
      <c r="H5243" t="s">
        <v>1059</v>
      </c>
      <c r="I5243">
        <v>2000</v>
      </c>
      <c r="J5243">
        <v>2000</v>
      </c>
      <c r="K5243" t="s">
        <v>4554</v>
      </c>
      <c r="L5243" t="s">
        <v>4555</v>
      </c>
      <c r="M5243" s="2">
        <v>1787</v>
      </c>
      <c r="N5243" t="s">
        <v>5280</v>
      </c>
      <c r="O5243">
        <v>3</v>
      </c>
      <c r="P5243">
        <v>2</v>
      </c>
      <c r="Q5243">
        <v>0</v>
      </c>
      <c r="R5243" t="s">
        <v>5281</v>
      </c>
      <c r="S5243" t="s">
        <v>4898</v>
      </c>
      <c r="T5243" t="s">
        <v>2704</v>
      </c>
      <c r="U5243" t="s">
        <v>4560</v>
      </c>
      <c r="V5243" s="2">
        <v>440</v>
      </c>
      <c r="W5243" t="s">
        <v>4655</v>
      </c>
      <c r="X5243" s="2">
        <v>0</v>
      </c>
      <c r="Y5243">
        <v>20</v>
      </c>
      <c r="Z5243" t="s">
        <v>1491</v>
      </c>
      <c r="AA5243" s="3">
        <v>0.13799357414245605</v>
      </c>
      <c r="AB5243" t="s">
        <v>26636</v>
      </c>
      <c r="AC5243" t="s">
        <v>4575</v>
      </c>
      <c r="AD5243" t="s">
        <v>26637</v>
      </c>
      <c r="AE5243" t="s">
        <v>26635</v>
      </c>
      <c r="AF5243" t="s">
        <v>4563</v>
      </c>
      <c r="AG5243" t="s">
        <v>4564</v>
      </c>
      <c r="AH5243" t="s">
        <v>5197</v>
      </c>
      <c r="AI5243" t="s">
        <v>26638</v>
      </c>
      <c r="AJ5243" t="s">
        <v>1060</v>
      </c>
      <c r="AK5243" t="s">
        <v>26639</v>
      </c>
      <c r="AL5243" s="13" t="s">
        <v>2257</v>
      </c>
      <c r="AM5243" s="14">
        <v>1</v>
      </c>
      <c r="AN5243" s="15" t="s">
        <v>532</v>
      </c>
    </row>
    <row r="5244" spans="1:40" x14ac:dyDescent="0.3">
      <c r="A5244" s="10" t="str">
        <f>HYPERLINK("http://www.washoecounty.gov/assessor/cama/?parid=160-381-11&amp;CardNumber=1","160-381-11")</f>
        <v>160-381-11</v>
      </c>
      <c r="B5244" t="s">
        <v>4655</v>
      </c>
      <c r="C5244" t="s">
        <v>26640</v>
      </c>
      <c r="D5244" s="1">
        <v>40417</v>
      </c>
      <c r="E5244" s="2">
        <v>235000</v>
      </c>
      <c r="F5244" t="s">
        <v>4567</v>
      </c>
      <c r="G5244" s="17" t="str">
        <f>HYPERLINK("https://www.washoecounty.gov/assessor/cama/?command=sales&amp;parid=16038111","3916594")</f>
        <v>3916594</v>
      </c>
      <c r="H5244" t="s">
        <v>3850</v>
      </c>
      <c r="I5244">
        <v>1998</v>
      </c>
      <c r="J5244">
        <v>1998</v>
      </c>
      <c r="K5244" t="s">
        <v>4554</v>
      </c>
      <c r="L5244" t="s">
        <v>3974</v>
      </c>
      <c r="M5244" s="2">
        <v>2238</v>
      </c>
      <c r="N5244" t="s">
        <v>5280</v>
      </c>
      <c r="O5244">
        <v>4</v>
      </c>
      <c r="P5244">
        <v>3</v>
      </c>
      <c r="Q5244">
        <v>0</v>
      </c>
      <c r="R5244" t="s">
        <v>5281</v>
      </c>
      <c r="S5244" t="s">
        <v>4898</v>
      </c>
      <c r="T5244" t="s">
        <v>2704</v>
      </c>
      <c r="U5244" t="s">
        <v>4560</v>
      </c>
      <c r="V5244" s="2">
        <v>652</v>
      </c>
      <c r="W5244" t="s">
        <v>4655</v>
      </c>
      <c r="X5244" s="2">
        <v>0</v>
      </c>
      <c r="Y5244">
        <v>20</v>
      </c>
      <c r="Z5244" t="s">
        <v>1491</v>
      </c>
      <c r="AA5244" s="3">
        <v>0.16600091755390201</v>
      </c>
      <c r="AB5244" t="s">
        <v>26641</v>
      </c>
      <c r="AC5244" t="s">
        <v>4562</v>
      </c>
      <c r="AD5244" t="s">
        <v>26642</v>
      </c>
      <c r="AE5244" t="s">
        <v>4655</v>
      </c>
      <c r="AF5244" t="s">
        <v>26643</v>
      </c>
      <c r="AG5244" t="s">
        <v>4584</v>
      </c>
      <c r="AH5244" t="s">
        <v>4507</v>
      </c>
      <c r="AI5244" t="s">
        <v>26644</v>
      </c>
      <c r="AJ5244" t="s">
        <v>3851</v>
      </c>
      <c r="AK5244" t="s">
        <v>26645</v>
      </c>
      <c r="AL5244" s="13" t="s">
        <v>2257</v>
      </c>
      <c r="AM5244" s="14">
        <v>1</v>
      </c>
      <c r="AN5244" s="15" t="s">
        <v>532</v>
      </c>
    </row>
    <row r="5245" spans="1:40" x14ac:dyDescent="0.3">
      <c r="A5245" s="10" t="str">
        <f>HYPERLINK("http://www.washoecounty.gov/assessor/cama/?parid=160-382-05&amp;CardNumber=1","160-382-05")</f>
        <v>160-382-05</v>
      </c>
      <c r="B5245" t="s">
        <v>4655</v>
      </c>
      <c r="C5245" t="s">
        <v>26646</v>
      </c>
      <c r="D5245" s="1">
        <v>40273</v>
      </c>
      <c r="E5245" s="2">
        <v>248000</v>
      </c>
      <c r="F5245" t="s">
        <v>4567</v>
      </c>
      <c r="G5245" s="17" t="str">
        <f>HYPERLINK("https://www.washoecounty.gov/assessor/cama/?command=sales&amp;parid=16038205","3867791")</f>
        <v>3867791</v>
      </c>
      <c r="H5245" t="s">
        <v>3850</v>
      </c>
      <c r="I5245">
        <v>1998</v>
      </c>
      <c r="J5245">
        <v>1998</v>
      </c>
      <c r="K5245" t="s">
        <v>4554</v>
      </c>
      <c r="L5245" t="s">
        <v>3974</v>
      </c>
      <c r="M5245" s="2">
        <v>2477</v>
      </c>
      <c r="N5245" t="s">
        <v>5280</v>
      </c>
      <c r="O5245">
        <v>4</v>
      </c>
      <c r="P5245">
        <v>3</v>
      </c>
      <c r="Q5245">
        <v>0</v>
      </c>
      <c r="R5245" t="s">
        <v>5281</v>
      </c>
      <c r="S5245" t="s">
        <v>4898</v>
      </c>
      <c r="T5245" t="s">
        <v>2704</v>
      </c>
      <c r="U5245" t="s">
        <v>4560</v>
      </c>
      <c r="V5245" s="2">
        <v>654</v>
      </c>
      <c r="W5245" t="s">
        <v>4655</v>
      </c>
      <c r="X5245" s="2">
        <v>0</v>
      </c>
      <c r="Y5245">
        <v>20</v>
      </c>
      <c r="Z5245" t="s">
        <v>1491</v>
      </c>
      <c r="AA5245" s="3">
        <v>0.14499540627002699</v>
      </c>
      <c r="AB5245" t="s">
        <v>26647</v>
      </c>
      <c r="AC5245" t="s">
        <v>4575</v>
      </c>
      <c r="AD5245" t="s">
        <v>26648</v>
      </c>
      <c r="AE5245" t="s">
        <v>26646</v>
      </c>
      <c r="AF5245" t="s">
        <v>4563</v>
      </c>
      <c r="AG5245" t="s">
        <v>4564</v>
      </c>
      <c r="AH5245" t="s">
        <v>5197</v>
      </c>
      <c r="AI5245" t="s">
        <v>26649</v>
      </c>
      <c r="AJ5245" t="s">
        <v>3851</v>
      </c>
      <c r="AK5245" t="s">
        <v>26650</v>
      </c>
      <c r="AL5245" s="13" t="s">
        <v>2257</v>
      </c>
      <c r="AM5245">
        <v>1</v>
      </c>
      <c r="AN5245" s="15" t="s">
        <v>532</v>
      </c>
    </row>
    <row r="5246" spans="1:40" x14ac:dyDescent="0.3">
      <c r="A5246" s="10" t="str">
        <f>HYPERLINK("http://www.washoecounty.gov/assessor/cama/?parid=160-401-02&amp;CardNumber=1","160-401-02")</f>
        <v>160-401-02</v>
      </c>
      <c r="B5246" t="s">
        <v>4655</v>
      </c>
      <c r="C5246" t="s">
        <v>26651</v>
      </c>
      <c r="D5246" s="1">
        <v>40375</v>
      </c>
      <c r="E5246" s="2">
        <v>160000</v>
      </c>
      <c r="F5246" t="s">
        <v>4567</v>
      </c>
      <c r="G5246" s="17" t="str">
        <f>HYPERLINK("https://www.washoecounty.gov/assessor/cama/?command=sales&amp;parid=16040102","3902239")</f>
        <v>3902239</v>
      </c>
      <c r="H5246" t="s">
        <v>1808</v>
      </c>
      <c r="I5246">
        <v>1997</v>
      </c>
      <c r="J5246">
        <v>1997</v>
      </c>
      <c r="K5246" t="s">
        <v>4554</v>
      </c>
      <c r="L5246" t="s">
        <v>4555</v>
      </c>
      <c r="M5246" s="2">
        <v>1480</v>
      </c>
      <c r="N5246" t="s">
        <v>5280</v>
      </c>
      <c r="O5246">
        <v>3</v>
      </c>
      <c r="P5246">
        <v>2</v>
      </c>
      <c r="Q5246">
        <v>0</v>
      </c>
      <c r="R5246" t="s">
        <v>4557</v>
      </c>
      <c r="S5246" t="s">
        <v>4898</v>
      </c>
      <c r="T5246" t="s">
        <v>2704</v>
      </c>
      <c r="U5246" t="s">
        <v>4560</v>
      </c>
      <c r="V5246" s="2">
        <v>420</v>
      </c>
      <c r="W5246" t="s">
        <v>4655</v>
      </c>
      <c r="X5246" s="2">
        <v>0</v>
      </c>
      <c r="Y5246">
        <v>20</v>
      </c>
      <c r="Z5246" t="s">
        <v>1491</v>
      </c>
      <c r="AA5246" s="3">
        <v>0.17100550234317799</v>
      </c>
      <c r="AB5246" t="s">
        <v>26652</v>
      </c>
      <c r="AC5246" t="s">
        <v>4562</v>
      </c>
      <c r="AD5246" t="s">
        <v>26651</v>
      </c>
      <c r="AE5246" t="s">
        <v>4655</v>
      </c>
      <c r="AF5246" t="s">
        <v>4563</v>
      </c>
      <c r="AG5246" t="s">
        <v>4564</v>
      </c>
      <c r="AH5246" t="s">
        <v>5197</v>
      </c>
      <c r="AI5246" t="s">
        <v>26653</v>
      </c>
      <c r="AJ5246" t="s">
        <v>1809</v>
      </c>
      <c r="AK5246" t="s">
        <v>26654</v>
      </c>
      <c r="AL5246" s="13" t="s">
        <v>2257</v>
      </c>
      <c r="AM5246" s="14">
        <v>1</v>
      </c>
      <c r="AN5246" s="15" t="s">
        <v>532</v>
      </c>
    </row>
    <row r="5247" spans="1:40" x14ac:dyDescent="0.3">
      <c r="A5247" s="10" t="str">
        <f>HYPERLINK("http://www.washoecounty.gov/assessor/cama/?parid=160-411-02&amp;CardNumber=1","160-411-02")</f>
        <v>160-411-02</v>
      </c>
      <c r="B5247" t="s">
        <v>4655</v>
      </c>
      <c r="C5247" t="s">
        <v>26655</v>
      </c>
      <c r="D5247" s="1">
        <v>40268</v>
      </c>
      <c r="E5247" s="2">
        <v>190000</v>
      </c>
      <c r="F5247" t="s">
        <v>4567</v>
      </c>
      <c r="G5247" s="17" t="str">
        <f>HYPERLINK("https://www.washoecounty.gov/assessor/cama/?command=sales&amp;parid=16041102","3866643")</f>
        <v>3866643</v>
      </c>
      <c r="H5247" t="s">
        <v>1808</v>
      </c>
      <c r="I5247">
        <v>1998</v>
      </c>
      <c r="J5247">
        <v>1998</v>
      </c>
      <c r="K5247" t="s">
        <v>4554</v>
      </c>
      <c r="L5247" t="s">
        <v>4555</v>
      </c>
      <c r="M5247" s="2">
        <v>1480</v>
      </c>
      <c r="N5247" t="s">
        <v>5280</v>
      </c>
      <c r="O5247">
        <v>3</v>
      </c>
      <c r="P5247">
        <v>2</v>
      </c>
      <c r="Q5247">
        <v>0</v>
      </c>
      <c r="R5247" t="s">
        <v>5281</v>
      </c>
      <c r="S5247" t="s">
        <v>4135</v>
      </c>
      <c r="T5247" t="s">
        <v>2704</v>
      </c>
      <c r="U5247" t="s">
        <v>4560</v>
      </c>
      <c r="V5247" s="2">
        <v>420</v>
      </c>
      <c r="W5247" t="s">
        <v>4655</v>
      </c>
      <c r="X5247" s="2">
        <v>0</v>
      </c>
      <c r="Y5247">
        <v>20</v>
      </c>
      <c r="Z5247" t="s">
        <v>1491</v>
      </c>
      <c r="AA5247" s="3">
        <v>0.15199723839759827</v>
      </c>
      <c r="AB5247" t="s">
        <v>24828</v>
      </c>
      <c r="AC5247" t="s">
        <v>4562</v>
      </c>
      <c r="AD5247" t="s">
        <v>24829</v>
      </c>
      <c r="AE5247" t="s">
        <v>4655</v>
      </c>
      <c r="AF5247" t="s">
        <v>4563</v>
      </c>
      <c r="AG5247" t="s">
        <v>4564</v>
      </c>
      <c r="AH5247">
        <v>89506</v>
      </c>
      <c r="AI5247" t="s">
        <v>26656</v>
      </c>
      <c r="AJ5247" t="s">
        <v>1809</v>
      </c>
      <c r="AK5247" t="s">
        <v>26657</v>
      </c>
      <c r="AL5247" s="13" t="s">
        <v>2257</v>
      </c>
      <c r="AM5247">
        <v>1</v>
      </c>
      <c r="AN5247" s="15" t="s">
        <v>532</v>
      </c>
    </row>
    <row r="5248" spans="1:40" x14ac:dyDescent="0.3">
      <c r="A5248" s="10" t="str">
        <f>HYPERLINK("http://www.washoecounty.gov/assessor/cama/?parid=160-415-02&amp;CardNumber=1","160-415-02")</f>
        <v>160-415-02</v>
      </c>
      <c r="B5248" t="s">
        <v>4655</v>
      </c>
      <c r="C5248" t="s">
        <v>26658</v>
      </c>
      <c r="D5248" s="1">
        <v>40471</v>
      </c>
      <c r="E5248" s="2">
        <v>205000</v>
      </c>
      <c r="F5248" t="s">
        <v>4567</v>
      </c>
      <c r="G5248" s="17" t="str">
        <f>HYPERLINK("https://www.washoecounty.gov/assessor/cama/?command=sales&amp;parid=16041502","3935078")</f>
        <v>3935078</v>
      </c>
      <c r="H5248" t="s">
        <v>1808</v>
      </c>
      <c r="I5248">
        <v>1998</v>
      </c>
      <c r="J5248">
        <v>1998</v>
      </c>
      <c r="K5248" t="s">
        <v>4554</v>
      </c>
      <c r="L5248" t="s">
        <v>4555</v>
      </c>
      <c r="M5248" s="2">
        <v>1480</v>
      </c>
      <c r="N5248" t="s">
        <v>5280</v>
      </c>
      <c r="O5248">
        <v>3</v>
      </c>
      <c r="P5248">
        <v>2</v>
      </c>
      <c r="Q5248">
        <v>0</v>
      </c>
      <c r="R5248" t="s">
        <v>5281</v>
      </c>
      <c r="S5248" t="s">
        <v>4135</v>
      </c>
      <c r="T5248" t="s">
        <v>2704</v>
      </c>
      <c r="U5248" t="s">
        <v>4560</v>
      </c>
      <c r="V5248" s="2">
        <v>420</v>
      </c>
      <c r="W5248" t="s">
        <v>4655</v>
      </c>
      <c r="X5248" s="2">
        <v>0</v>
      </c>
      <c r="Y5248">
        <v>20</v>
      </c>
      <c r="Z5248" t="s">
        <v>1491</v>
      </c>
      <c r="AA5248" s="3">
        <v>0.128007352352142</v>
      </c>
      <c r="AB5248" t="s">
        <v>26659</v>
      </c>
      <c r="AC5248" t="s">
        <v>4575</v>
      </c>
      <c r="AD5248" t="s">
        <v>26658</v>
      </c>
      <c r="AE5248" t="s">
        <v>4655</v>
      </c>
      <c r="AF5248" t="s">
        <v>4563</v>
      </c>
      <c r="AG5248" t="s">
        <v>4564</v>
      </c>
      <c r="AH5248" t="s">
        <v>5197</v>
      </c>
      <c r="AI5248" t="s">
        <v>26660</v>
      </c>
      <c r="AJ5248" t="s">
        <v>1809</v>
      </c>
      <c r="AK5248" t="s">
        <v>26661</v>
      </c>
      <c r="AL5248" s="13" t="s">
        <v>2257</v>
      </c>
      <c r="AM5248">
        <v>1</v>
      </c>
      <c r="AN5248" s="15" t="s">
        <v>532</v>
      </c>
    </row>
    <row r="5249" spans="1:40" x14ac:dyDescent="0.3">
      <c r="A5249" s="10" t="str">
        <f>HYPERLINK("http://www.washoecounty.gov/assessor/cama/?parid=160-431-01&amp;CardNumber=1","160-431-01")</f>
        <v>160-431-01</v>
      </c>
      <c r="B5249" t="s">
        <v>4655</v>
      </c>
      <c r="C5249" t="s">
        <v>26662</v>
      </c>
      <c r="D5249" s="1">
        <v>40413</v>
      </c>
      <c r="E5249" s="2">
        <v>180000</v>
      </c>
      <c r="F5249" t="s">
        <v>4553</v>
      </c>
      <c r="G5249" s="17" t="str">
        <f>HYPERLINK("https://www.washoecounty.gov/assessor/cama/?command=sales&amp;parid=16043101","3914628")</f>
        <v>3914628</v>
      </c>
      <c r="H5249" t="s">
        <v>820</v>
      </c>
      <c r="I5249">
        <v>1998</v>
      </c>
      <c r="J5249">
        <v>1998</v>
      </c>
      <c r="K5249" t="s">
        <v>4554</v>
      </c>
      <c r="L5249" t="s">
        <v>4555</v>
      </c>
      <c r="M5249" s="2">
        <v>1676</v>
      </c>
      <c r="N5249" t="s">
        <v>5280</v>
      </c>
      <c r="O5249">
        <v>4</v>
      </c>
      <c r="P5249">
        <v>2</v>
      </c>
      <c r="Q5249">
        <v>0</v>
      </c>
      <c r="R5249" t="s">
        <v>4557</v>
      </c>
      <c r="S5249" t="s">
        <v>4898</v>
      </c>
      <c r="T5249" t="s">
        <v>2704</v>
      </c>
      <c r="U5249" t="s">
        <v>4560</v>
      </c>
      <c r="V5249" s="2">
        <v>457</v>
      </c>
      <c r="W5249" t="s">
        <v>4655</v>
      </c>
      <c r="X5249" s="2">
        <v>0</v>
      </c>
      <c r="Y5249">
        <v>20</v>
      </c>
      <c r="Z5249" t="s">
        <v>1491</v>
      </c>
      <c r="AA5249" s="3">
        <v>0.13700643181800801</v>
      </c>
      <c r="AB5249" t="s">
        <v>26663</v>
      </c>
      <c r="AC5249" t="s">
        <v>4562</v>
      </c>
      <c r="AD5249" t="s">
        <v>26662</v>
      </c>
      <c r="AE5249" t="s">
        <v>4655</v>
      </c>
      <c r="AF5249" t="s">
        <v>4563</v>
      </c>
      <c r="AG5249" t="s">
        <v>4564</v>
      </c>
      <c r="AH5249" t="s">
        <v>5197</v>
      </c>
      <c r="AI5249" t="s">
        <v>4903</v>
      </c>
      <c r="AJ5249" t="s">
        <v>822</v>
      </c>
      <c r="AK5249" t="s">
        <v>26664</v>
      </c>
      <c r="AL5249" s="13" t="s">
        <v>2257</v>
      </c>
      <c r="AM5249">
        <v>1</v>
      </c>
      <c r="AN5249" s="15" t="s">
        <v>532</v>
      </c>
    </row>
    <row r="5250" spans="1:40" x14ac:dyDescent="0.3">
      <c r="A5250" s="10" t="str">
        <f>HYPERLINK("http://www.washoecounty.gov/assessor/cama/?parid=160-432-02&amp;CardNumber=1","160-432-02")</f>
        <v>160-432-02</v>
      </c>
      <c r="B5250" t="s">
        <v>4655</v>
      </c>
      <c r="C5250" t="s">
        <v>26665</v>
      </c>
      <c r="D5250" s="1">
        <v>40240</v>
      </c>
      <c r="E5250" s="2">
        <v>181500</v>
      </c>
      <c r="F5250" t="s">
        <v>4553</v>
      </c>
      <c r="G5250" s="17" t="str">
        <f>HYPERLINK("https://www.washoecounty.gov/assessor/cama/?command=sales&amp;parid=16043202","3855420")</f>
        <v>3855420</v>
      </c>
      <c r="H5250" t="s">
        <v>820</v>
      </c>
      <c r="I5250">
        <v>1998</v>
      </c>
      <c r="J5250">
        <v>1998</v>
      </c>
      <c r="K5250" t="s">
        <v>4554</v>
      </c>
      <c r="L5250" t="s">
        <v>4555</v>
      </c>
      <c r="M5250" s="2">
        <v>1676</v>
      </c>
      <c r="N5250" t="s">
        <v>5280</v>
      </c>
      <c r="O5250">
        <v>4</v>
      </c>
      <c r="P5250">
        <v>2</v>
      </c>
      <c r="Q5250">
        <v>0</v>
      </c>
      <c r="R5250" t="s">
        <v>5281</v>
      </c>
      <c r="S5250" t="s">
        <v>4898</v>
      </c>
      <c r="T5250" t="s">
        <v>2704</v>
      </c>
      <c r="U5250" t="s">
        <v>4560</v>
      </c>
      <c r="V5250" s="2">
        <v>457</v>
      </c>
      <c r="W5250" t="s">
        <v>4655</v>
      </c>
      <c r="X5250" s="2">
        <v>0</v>
      </c>
      <c r="Y5250">
        <v>20</v>
      </c>
      <c r="Z5250" t="s">
        <v>1491</v>
      </c>
      <c r="AA5250" s="3">
        <v>0.13000458478927601</v>
      </c>
      <c r="AB5250" t="s">
        <v>821</v>
      </c>
      <c r="AC5250" t="s">
        <v>4562</v>
      </c>
      <c r="AD5250" t="s">
        <v>26665</v>
      </c>
      <c r="AE5250" t="s">
        <v>4655</v>
      </c>
      <c r="AF5250" t="s">
        <v>26666</v>
      </c>
      <c r="AG5250" t="s">
        <v>4564</v>
      </c>
      <c r="AH5250" t="s">
        <v>5197</v>
      </c>
      <c r="AI5250" t="s">
        <v>4903</v>
      </c>
      <c r="AJ5250" t="s">
        <v>822</v>
      </c>
      <c r="AK5250" t="s">
        <v>26667</v>
      </c>
      <c r="AL5250" s="13" t="s">
        <v>2257</v>
      </c>
      <c r="AM5250">
        <v>1</v>
      </c>
      <c r="AN5250" s="15" t="s">
        <v>532</v>
      </c>
    </row>
    <row r="5251" spans="1:40" x14ac:dyDescent="0.3">
      <c r="A5251" s="10" t="str">
        <f>HYPERLINK("http://www.washoecounty.gov/assessor/cama/?parid=160-452-02&amp;CardNumber=1","160-452-02")</f>
        <v>160-452-02</v>
      </c>
      <c r="B5251" t="s">
        <v>4655</v>
      </c>
      <c r="C5251" t="s">
        <v>26668</v>
      </c>
      <c r="D5251" s="1">
        <v>40200</v>
      </c>
      <c r="E5251" s="2">
        <v>275000</v>
      </c>
      <c r="F5251" t="s">
        <v>4567</v>
      </c>
      <c r="G5251" s="17" t="str">
        <f>HYPERLINK("https://www.washoecounty.gov/assessor/cama/?command=sales&amp;parid=16045202","3838645")</f>
        <v>3838645</v>
      </c>
      <c r="H5251" t="s">
        <v>26669</v>
      </c>
      <c r="I5251">
        <v>1998</v>
      </c>
      <c r="J5251">
        <v>1998</v>
      </c>
      <c r="K5251" t="s">
        <v>4554</v>
      </c>
      <c r="L5251" t="s">
        <v>4555</v>
      </c>
      <c r="M5251" s="2">
        <v>2410</v>
      </c>
      <c r="N5251" t="s">
        <v>3147</v>
      </c>
      <c r="O5251">
        <v>4</v>
      </c>
      <c r="P5251">
        <v>2</v>
      </c>
      <c r="Q5251">
        <v>1</v>
      </c>
      <c r="R5251" t="s">
        <v>5281</v>
      </c>
      <c r="S5251" t="s">
        <v>4898</v>
      </c>
      <c r="T5251" t="s">
        <v>2704</v>
      </c>
      <c r="U5251" t="s">
        <v>4560</v>
      </c>
      <c r="V5251" s="2">
        <v>598</v>
      </c>
      <c r="W5251" t="s">
        <v>4655</v>
      </c>
      <c r="X5251" s="2">
        <v>0</v>
      </c>
      <c r="Y5251">
        <v>20</v>
      </c>
      <c r="Z5251" t="s">
        <v>1491</v>
      </c>
      <c r="AA5251" s="3">
        <v>0.173002749681473</v>
      </c>
      <c r="AB5251" t="s">
        <v>26670</v>
      </c>
      <c r="AC5251" t="s">
        <v>4562</v>
      </c>
      <c r="AD5251" t="s">
        <v>26668</v>
      </c>
      <c r="AE5251" t="s">
        <v>4655</v>
      </c>
      <c r="AF5251" t="s">
        <v>4563</v>
      </c>
      <c r="AG5251" t="s">
        <v>4564</v>
      </c>
      <c r="AH5251" t="s">
        <v>5197</v>
      </c>
      <c r="AI5251" t="s">
        <v>26671</v>
      </c>
      <c r="AJ5251" t="s">
        <v>26672</v>
      </c>
      <c r="AK5251" t="s">
        <v>26673</v>
      </c>
      <c r="AL5251" s="13" t="s">
        <v>2257</v>
      </c>
      <c r="AM5251">
        <v>1</v>
      </c>
      <c r="AN5251" s="15" t="s">
        <v>569</v>
      </c>
    </row>
    <row r="5252" spans="1:40" x14ac:dyDescent="0.3">
      <c r="A5252" s="10" t="str">
        <f>HYPERLINK("http://www.washoecounty.gov/assessor/cama/?parid=160-453-04&amp;CardNumber=1","160-453-04")</f>
        <v>160-453-04</v>
      </c>
      <c r="B5252" t="s">
        <v>4655</v>
      </c>
      <c r="C5252" t="s">
        <v>26674</v>
      </c>
      <c r="D5252" s="1">
        <v>40359</v>
      </c>
      <c r="E5252" s="2">
        <v>259900</v>
      </c>
      <c r="F5252" t="s">
        <v>4567</v>
      </c>
      <c r="G5252" s="17" t="str">
        <f>HYPERLINK("https://www.washoecounty.gov/assessor/cama/?command=sales&amp;parid=16045304","3897274")</f>
        <v>3897274</v>
      </c>
      <c r="H5252" t="s">
        <v>26669</v>
      </c>
      <c r="I5252">
        <v>1998</v>
      </c>
      <c r="J5252">
        <v>1998</v>
      </c>
      <c r="K5252" t="s">
        <v>4554</v>
      </c>
      <c r="L5252" t="s">
        <v>4555</v>
      </c>
      <c r="M5252" s="2">
        <v>1923</v>
      </c>
      <c r="N5252" t="s">
        <v>3147</v>
      </c>
      <c r="O5252">
        <v>3</v>
      </c>
      <c r="P5252">
        <v>2</v>
      </c>
      <c r="Q5252">
        <v>0</v>
      </c>
      <c r="R5252" t="s">
        <v>5281</v>
      </c>
      <c r="S5252" t="s">
        <v>4898</v>
      </c>
      <c r="T5252" t="s">
        <v>2704</v>
      </c>
      <c r="U5252" t="s">
        <v>4560</v>
      </c>
      <c r="V5252" s="2">
        <v>646</v>
      </c>
      <c r="W5252" t="s">
        <v>4655</v>
      </c>
      <c r="X5252" s="2">
        <v>0</v>
      </c>
      <c r="Y5252">
        <v>20</v>
      </c>
      <c r="Z5252" t="s">
        <v>1491</v>
      </c>
      <c r="AA5252" s="3">
        <v>0.18500918149948101</v>
      </c>
      <c r="AB5252" t="s">
        <v>26675</v>
      </c>
      <c r="AC5252" t="s">
        <v>4562</v>
      </c>
      <c r="AD5252" t="s">
        <v>26674</v>
      </c>
      <c r="AE5252" t="s">
        <v>4655</v>
      </c>
      <c r="AF5252" t="s">
        <v>4563</v>
      </c>
      <c r="AG5252" t="s">
        <v>4564</v>
      </c>
      <c r="AH5252" t="s">
        <v>5197</v>
      </c>
      <c r="AI5252" t="s">
        <v>26676</v>
      </c>
      <c r="AJ5252" t="s">
        <v>26672</v>
      </c>
      <c r="AK5252" t="s">
        <v>26677</v>
      </c>
      <c r="AL5252" s="13" t="s">
        <v>2257</v>
      </c>
      <c r="AM5252">
        <v>1</v>
      </c>
      <c r="AN5252" s="15" t="s">
        <v>569</v>
      </c>
    </row>
    <row r="5253" spans="1:40" x14ac:dyDescent="0.3">
      <c r="A5253" s="10" t="str">
        <f>HYPERLINK("http://www.washoecounty.gov/assessor/cama/?parid=160-460-24&amp;CardNumber=1","160-460-24")</f>
        <v>160-460-24</v>
      </c>
      <c r="B5253" t="s">
        <v>4655</v>
      </c>
      <c r="C5253" t="s">
        <v>26678</v>
      </c>
      <c r="D5253" s="1">
        <v>40421</v>
      </c>
      <c r="E5253" s="2">
        <v>260000</v>
      </c>
      <c r="F5253" t="s">
        <v>4567</v>
      </c>
      <c r="G5253" s="17" t="str">
        <f>HYPERLINK("https://www.washoecounty.gov/assessor/cama/?command=sales&amp;parid=16046024","3917364")</f>
        <v>3917364</v>
      </c>
      <c r="H5253" t="s">
        <v>2164</v>
      </c>
      <c r="I5253">
        <v>1998</v>
      </c>
      <c r="J5253">
        <v>1998</v>
      </c>
      <c r="K5253" t="s">
        <v>4554</v>
      </c>
      <c r="L5253" t="s">
        <v>4555</v>
      </c>
      <c r="M5253" s="2">
        <v>1884</v>
      </c>
      <c r="N5253" t="s">
        <v>5280</v>
      </c>
      <c r="O5253">
        <v>3</v>
      </c>
      <c r="P5253">
        <v>2</v>
      </c>
      <c r="Q5253">
        <v>0</v>
      </c>
      <c r="R5253" t="s">
        <v>5281</v>
      </c>
      <c r="S5253" t="s">
        <v>4898</v>
      </c>
      <c r="T5253" t="s">
        <v>2704</v>
      </c>
      <c r="U5253" t="s">
        <v>4560</v>
      </c>
      <c r="V5253" s="2">
        <v>580</v>
      </c>
      <c r="W5253" t="s">
        <v>4655</v>
      </c>
      <c r="X5253" s="2">
        <v>0</v>
      </c>
      <c r="Y5253">
        <v>20</v>
      </c>
      <c r="Z5253" t="s">
        <v>1491</v>
      </c>
      <c r="AA5253" s="3">
        <v>0.157001838088036</v>
      </c>
      <c r="AB5253" t="s">
        <v>26679</v>
      </c>
      <c r="AC5253" t="s">
        <v>4575</v>
      </c>
      <c r="AD5253" t="s">
        <v>26678</v>
      </c>
      <c r="AE5253" t="s">
        <v>4655</v>
      </c>
      <c r="AF5253" t="s">
        <v>4563</v>
      </c>
      <c r="AG5253" t="s">
        <v>4564</v>
      </c>
      <c r="AH5253" t="s">
        <v>5197</v>
      </c>
      <c r="AI5253" t="s">
        <v>26680</v>
      </c>
      <c r="AJ5253" t="s">
        <v>2165</v>
      </c>
      <c r="AK5253" t="s">
        <v>26681</v>
      </c>
      <c r="AL5253" s="13" t="s">
        <v>2257</v>
      </c>
      <c r="AM5253">
        <v>1</v>
      </c>
      <c r="AN5253" s="15" t="s">
        <v>532</v>
      </c>
    </row>
    <row r="5254" spans="1:40" x14ac:dyDescent="0.3">
      <c r="A5254" s="10" t="str">
        <f>HYPERLINK("http://www.washoecounty.gov/assessor/cama/?parid=160-460-26&amp;CardNumber=1","160-460-26")</f>
        <v>160-460-26</v>
      </c>
      <c r="B5254" t="s">
        <v>4655</v>
      </c>
      <c r="C5254" t="s">
        <v>26682</v>
      </c>
      <c r="D5254" s="1">
        <v>40270</v>
      </c>
      <c r="E5254" s="2">
        <v>257400</v>
      </c>
      <c r="F5254" t="s">
        <v>4567</v>
      </c>
      <c r="G5254" s="17" t="str">
        <f>HYPERLINK("https://www.washoecounty.gov/assessor/cama/?command=sales&amp;parid=16046026","3867265")</f>
        <v>3867265</v>
      </c>
      <c r="H5254" t="s">
        <v>2164</v>
      </c>
      <c r="I5254">
        <v>1998</v>
      </c>
      <c r="J5254">
        <v>1998</v>
      </c>
      <c r="K5254" t="s">
        <v>4554</v>
      </c>
      <c r="L5254" t="s">
        <v>4555</v>
      </c>
      <c r="M5254" s="2">
        <v>1780</v>
      </c>
      <c r="N5254" t="s">
        <v>5280</v>
      </c>
      <c r="O5254">
        <v>3</v>
      </c>
      <c r="P5254">
        <v>2</v>
      </c>
      <c r="Q5254">
        <v>0</v>
      </c>
      <c r="R5254" t="s">
        <v>5281</v>
      </c>
      <c r="S5254" t="s">
        <v>4898</v>
      </c>
      <c r="T5254" t="s">
        <v>2704</v>
      </c>
      <c r="U5254" t="s">
        <v>4560</v>
      </c>
      <c r="V5254" s="2">
        <v>749</v>
      </c>
      <c r="W5254" t="s">
        <v>4655</v>
      </c>
      <c r="X5254" s="2">
        <v>0</v>
      </c>
      <c r="Y5254">
        <v>20</v>
      </c>
      <c r="Z5254" t="s">
        <v>1491</v>
      </c>
      <c r="AA5254" s="3">
        <v>0.157001838088036</v>
      </c>
      <c r="AB5254" t="s">
        <v>26683</v>
      </c>
      <c r="AC5254" t="s">
        <v>4575</v>
      </c>
      <c r="AD5254" t="s">
        <v>26682</v>
      </c>
      <c r="AE5254" t="s">
        <v>4655</v>
      </c>
      <c r="AF5254" t="s">
        <v>4563</v>
      </c>
      <c r="AG5254" t="s">
        <v>4564</v>
      </c>
      <c r="AH5254" t="s">
        <v>5197</v>
      </c>
      <c r="AI5254" t="s">
        <v>26683</v>
      </c>
      <c r="AJ5254" t="s">
        <v>2165</v>
      </c>
      <c r="AK5254" t="s">
        <v>26684</v>
      </c>
      <c r="AL5254" s="13" t="s">
        <v>2257</v>
      </c>
      <c r="AM5254" s="14">
        <v>1</v>
      </c>
      <c r="AN5254" s="15" t="s">
        <v>532</v>
      </c>
    </row>
    <row r="5255" spans="1:40" x14ac:dyDescent="0.3">
      <c r="A5255" s="10" t="str">
        <f>HYPERLINK("http://www.washoecounty.gov/assessor/cama/?parid=160-470-19&amp;CardNumber=1","160-470-19")</f>
        <v>160-470-19</v>
      </c>
      <c r="B5255" t="s">
        <v>4655</v>
      </c>
      <c r="C5255" t="s">
        <v>26685</v>
      </c>
      <c r="D5255" s="1">
        <v>40262</v>
      </c>
      <c r="E5255" s="2">
        <v>268000</v>
      </c>
      <c r="F5255" t="s">
        <v>4567</v>
      </c>
      <c r="G5255" s="17" t="str">
        <f>HYPERLINK("https://www.washoecounty.gov/assessor/cama/?command=sales&amp;parid=16047019","3864157")</f>
        <v>3864157</v>
      </c>
      <c r="H5255" t="s">
        <v>2164</v>
      </c>
      <c r="I5255">
        <v>2001</v>
      </c>
      <c r="J5255">
        <v>2001</v>
      </c>
      <c r="K5255" t="s">
        <v>4554</v>
      </c>
      <c r="L5255" t="s">
        <v>4555</v>
      </c>
      <c r="M5255" s="2">
        <v>2259</v>
      </c>
      <c r="N5255" t="s">
        <v>5280</v>
      </c>
      <c r="O5255">
        <v>3</v>
      </c>
      <c r="P5255">
        <v>2</v>
      </c>
      <c r="Q5255">
        <v>1</v>
      </c>
      <c r="R5255" t="s">
        <v>5281</v>
      </c>
      <c r="S5255" t="s">
        <v>4898</v>
      </c>
      <c r="T5255" t="s">
        <v>2704</v>
      </c>
      <c r="U5255" t="s">
        <v>4560</v>
      </c>
      <c r="V5255" s="2">
        <v>632</v>
      </c>
      <c r="W5255" t="s">
        <v>4655</v>
      </c>
      <c r="X5255" s="2">
        <v>0</v>
      </c>
      <c r="Y5255">
        <v>20</v>
      </c>
      <c r="Z5255" t="s">
        <v>1491</v>
      </c>
      <c r="AA5255" s="3">
        <v>0.157001838088036</v>
      </c>
      <c r="AB5255" t="s">
        <v>26686</v>
      </c>
      <c r="AC5255" t="s">
        <v>4575</v>
      </c>
      <c r="AD5255" t="s">
        <v>26685</v>
      </c>
      <c r="AE5255" t="s">
        <v>4655</v>
      </c>
      <c r="AF5255" t="s">
        <v>4563</v>
      </c>
      <c r="AG5255" t="s">
        <v>4564</v>
      </c>
      <c r="AH5255" t="s">
        <v>5197</v>
      </c>
      <c r="AI5255" t="s">
        <v>26687</v>
      </c>
      <c r="AJ5255" t="s">
        <v>2165</v>
      </c>
      <c r="AK5255" t="s">
        <v>26688</v>
      </c>
      <c r="AL5255" s="13" t="s">
        <v>2257</v>
      </c>
      <c r="AM5255">
        <v>1</v>
      </c>
      <c r="AN5255" s="15" t="s">
        <v>532</v>
      </c>
    </row>
    <row r="5256" spans="1:40" x14ac:dyDescent="0.3">
      <c r="A5256" s="10" t="str">
        <f>HYPERLINK("http://www.washoecounty.gov/assessor/cama/?parid=160-494-06&amp;CardNumber=1","160-494-06")</f>
        <v>160-494-06</v>
      </c>
      <c r="B5256" t="s">
        <v>4655</v>
      </c>
      <c r="C5256" t="s">
        <v>26689</v>
      </c>
      <c r="D5256" s="1">
        <v>40207</v>
      </c>
      <c r="E5256" s="2">
        <v>305000</v>
      </c>
      <c r="F5256" t="s">
        <v>4567</v>
      </c>
      <c r="G5256" s="17" t="str">
        <f>HYPERLINK("https://www.washoecounty.gov/assessor/cama/?command=sales&amp;parid=16049406","3844488")</f>
        <v>3844488</v>
      </c>
      <c r="H5256" t="s">
        <v>2057</v>
      </c>
      <c r="I5256">
        <v>1999</v>
      </c>
      <c r="J5256">
        <v>1999</v>
      </c>
      <c r="K5256" t="s">
        <v>4554</v>
      </c>
      <c r="L5256" t="s">
        <v>4555</v>
      </c>
      <c r="M5256" s="2">
        <v>2499</v>
      </c>
      <c r="N5256" t="s">
        <v>3147</v>
      </c>
      <c r="O5256">
        <v>3</v>
      </c>
      <c r="P5256">
        <v>2</v>
      </c>
      <c r="Q5256">
        <v>1</v>
      </c>
      <c r="R5256" t="s">
        <v>5281</v>
      </c>
      <c r="S5256" t="s">
        <v>4898</v>
      </c>
      <c r="T5256" t="s">
        <v>2704</v>
      </c>
      <c r="U5256" t="s">
        <v>4560</v>
      </c>
      <c r="V5256" s="2">
        <v>680</v>
      </c>
      <c r="W5256" t="s">
        <v>4655</v>
      </c>
      <c r="X5256" s="2">
        <v>0</v>
      </c>
      <c r="Y5256">
        <v>20</v>
      </c>
      <c r="Z5256" t="s">
        <v>4561</v>
      </c>
      <c r="AA5256" s="3">
        <v>0.16900826990604401</v>
      </c>
      <c r="AB5256" t="s">
        <v>26690</v>
      </c>
      <c r="AC5256" t="s">
        <v>4562</v>
      </c>
      <c r="AD5256" t="s">
        <v>26689</v>
      </c>
      <c r="AE5256" t="s">
        <v>4655</v>
      </c>
      <c r="AF5256" t="s">
        <v>4563</v>
      </c>
      <c r="AG5256" t="s">
        <v>4564</v>
      </c>
      <c r="AH5256" t="s">
        <v>5197</v>
      </c>
      <c r="AI5256" t="s">
        <v>26691</v>
      </c>
      <c r="AJ5256" t="s">
        <v>2058</v>
      </c>
      <c r="AK5256" t="s">
        <v>26692</v>
      </c>
      <c r="AL5256" s="13" t="s">
        <v>2257</v>
      </c>
      <c r="AM5256" s="14">
        <v>1</v>
      </c>
      <c r="AN5256" s="15" t="s">
        <v>569</v>
      </c>
    </row>
    <row r="5257" spans="1:40" x14ac:dyDescent="0.3">
      <c r="A5257" s="10" t="str">
        <f>HYPERLINK("http://www.washoecounty.gov/assessor/cama/?parid=160-512-01&amp;CardNumber=1","160-512-01")</f>
        <v>160-512-01</v>
      </c>
      <c r="B5257" t="s">
        <v>4655</v>
      </c>
      <c r="C5257" t="s">
        <v>26693</v>
      </c>
      <c r="D5257" s="1">
        <v>40429</v>
      </c>
      <c r="E5257" s="2">
        <v>162000</v>
      </c>
      <c r="F5257" t="s">
        <v>4553</v>
      </c>
      <c r="G5257" s="17" t="str">
        <f>HYPERLINK("https://www.washoecounty.gov/assessor/cama/?command=sales&amp;parid=16051201","3919967")</f>
        <v>3919967</v>
      </c>
      <c r="H5257" t="s">
        <v>3524</v>
      </c>
      <c r="I5257">
        <v>1999</v>
      </c>
      <c r="J5257">
        <v>1999</v>
      </c>
      <c r="K5257" t="s">
        <v>4554</v>
      </c>
      <c r="L5257" t="s">
        <v>3974</v>
      </c>
      <c r="M5257" s="2">
        <v>1675</v>
      </c>
      <c r="N5257" t="s">
        <v>5280</v>
      </c>
      <c r="O5257">
        <v>3</v>
      </c>
      <c r="P5257">
        <v>2</v>
      </c>
      <c r="Q5257">
        <v>1</v>
      </c>
      <c r="R5257" t="s">
        <v>5281</v>
      </c>
      <c r="S5257" t="s">
        <v>4898</v>
      </c>
      <c r="T5257" t="s">
        <v>2704</v>
      </c>
      <c r="U5257" t="s">
        <v>5631</v>
      </c>
      <c r="V5257" s="2">
        <v>460</v>
      </c>
      <c r="W5257" t="s">
        <v>4655</v>
      </c>
      <c r="X5257" s="2">
        <v>0</v>
      </c>
      <c r="Y5257">
        <v>20</v>
      </c>
      <c r="Z5257" t="s">
        <v>4144</v>
      </c>
      <c r="AA5257" s="3">
        <v>7.6010100543499007E-2</v>
      </c>
      <c r="AB5257" t="s">
        <v>26694</v>
      </c>
      <c r="AC5257" t="s">
        <v>4575</v>
      </c>
      <c r="AD5257" t="s">
        <v>26693</v>
      </c>
      <c r="AE5257" t="s">
        <v>4655</v>
      </c>
      <c r="AF5257" t="s">
        <v>4563</v>
      </c>
      <c r="AG5257" t="s">
        <v>4564</v>
      </c>
      <c r="AH5257">
        <v>89501</v>
      </c>
      <c r="AI5257" t="s">
        <v>4655</v>
      </c>
      <c r="AJ5257" t="s">
        <v>3525</v>
      </c>
      <c r="AK5257" t="s">
        <v>26695</v>
      </c>
      <c r="AL5257" s="13" t="s">
        <v>2257</v>
      </c>
      <c r="AM5257" s="14">
        <v>1</v>
      </c>
      <c r="AN5257" s="15" t="s">
        <v>571</v>
      </c>
    </row>
    <row r="5258" spans="1:40" x14ac:dyDescent="0.3">
      <c r="A5258" s="10" t="str">
        <f>HYPERLINK("http://www.washoecounty.gov/assessor/cama/?parid=160-512-09&amp;CardNumber=1","160-512-09")</f>
        <v>160-512-09</v>
      </c>
      <c r="B5258" t="s">
        <v>4655</v>
      </c>
      <c r="C5258" t="s">
        <v>586</v>
      </c>
      <c r="D5258" s="1">
        <v>40533</v>
      </c>
      <c r="E5258" s="2">
        <v>195000</v>
      </c>
      <c r="F5258" t="s">
        <v>4567</v>
      </c>
      <c r="G5258" s="17" t="str">
        <f>HYPERLINK("https://www.washoecounty.gov/assessor/cama/?command=sales&amp;parid=16051209","3955972")</f>
        <v>3955972</v>
      </c>
      <c r="H5258" t="s">
        <v>3524</v>
      </c>
      <c r="I5258">
        <v>1999</v>
      </c>
      <c r="J5258">
        <v>1999</v>
      </c>
      <c r="K5258" t="s">
        <v>4554</v>
      </c>
      <c r="L5258" t="s">
        <v>3974</v>
      </c>
      <c r="M5258" s="2">
        <v>1675</v>
      </c>
      <c r="N5258" t="s">
        <v>5280</v>
      </c>
      <c r="O5258">
        <v>3</v>
      </c>
      <c r="P5258">
        <v>2</v>
      </c>
      <c r="Q5258">
        <v>1</v>
      </c>
      <c r="R5258" t="s">
        <v>5281</v>
      </c>
      <c r="S5258" t="s">
        <v>4898</v>
      </c>
      <c r="T5258" t="s">
        <v>2704</v>
      </c>
      <c r="U5258" t="s">
        <v>5631</v>
      </c>
      <c r="V5258" s="2">
        <v>460</v>
      </c>
      <c r="W5258" t="s">
        <v>4655</v>
      </c>
      <c r="X5258" s="2">
        <v>0</v>
      </c>
      <c r="Y5258">
        <v>20</v>
      </c>
      <c r="Z5258" t="s">
        <v>4144</v>
      </c>
      <c r="AA5258" s="3">
        <v>7.6010100543499007E-2</v>
      </c>
      <c r="AB5258" t="s">
        <v>10932</v>
      </c>
      <c r="AC5258" t="s">
        <v>4575</v>
      </c>
      <c r="AD5258" t="s">
        <v>26696</v>
      </c>
      <c r="AE5258" t="s">
        <v>26697</v>
      </c>
      <c r="AF5258" t="s">
        <v>4563</v>
      </c>
      <c r="AG5258" t="s">
        <v>4564</v>
      </c>
      <c r="AH5258" t="s">
        <v>5197</v>
      </c>
      <c r="AI5258" t="s">
        <v>26698</v>
      </c>
      <c r="AJ5258" t="s">
        <v>3525</v>
      </c>
      <c r="AK5258" t="s">
        <v>587</v>
      </c>
      <c r="AL5258" s="13" t="s">
        <v>2257</v>
      </c>
      <c r="AM5258">
        <v>1</v>
      </c>
      <c r="AN5258" s="15" t="s">
        <v>571</v>
      </c>
    </row>
    <row r="5259" spans="1:40" x14ac:dyDescent="0.3">
      <c r="A5259" s="10" t="str">
        <f>HYPERLINK("http://www.washoecounty.gov/assessor/cama/?parid=160-523-01&amp;CardNumber=1","160-523-01")</f>
        <v>160-523-01</v>
      </c>
      <c r="B5259" t="s">
        <v>4655</v>
      </c>
      <c r="C5259" t="s">
        <v>26699</v>
      </c>
      <c r="D5259" s="1">
        <v>40289</v>
      </c>
      <c r="E5259" s="2">
        <v>247000</v>
      </c>
      <c r="F5259" t="s">
        <v>4567</v>
      </c>
      <c r="G5259" s="17" t="str">
        <f>HYPERLINK("https://www.washoecounty.gov/assessor/cama/?command=sales&amp;parid=16052301","3873213")</f>
        <v>3873213</v>
      </c>
      <c r="H5259" t="s">
        <v>5323</v>
      </c>
      <c r="I5259">
        <v>2001</v>
      </c>
      <c r="J5259">
        <v>2001</v>
      </c>
      <c r="K5259" t="s">
        <v>4554</v>
      </c>
      <c r="L5259" t="s">
        <v>4555</v>
      </c>
      <c r="M5259" s="2">
        <v>1645</v>
      </c>
      <c r="N5259" t="s">
        <v>5280</v>
      </c>
      <c r="O5259">
        <v>3</v>
      </c>
      <c r="P5259">
        <v>2</v>
      </c>
      <c r="Q5259">
        <v>0</v>
      </c>
      <c r="R5259" t="s">
        <v>5281</v>
      </c>
      <c r="S5259" t="s">
        <v>4898</v>
      </c>
      <c r="T5259" t="s">
        <v>2704</v>
      </c>
      <c r="U5259" t="s">
        <v>4560</v>
      </c>
      <c r="V5259" s="2">
        <v>480</v>
      </c>
      <c r="W5259" t="s">
        <v>4655</v>
      </c>
      <c r="X5259" s="2">
        <v>0</v>
      </c>
      <c r="Y5259">
        <v>20</v>
      </c>
      <c r="Z5259" t="s">
        <v>1491</v>
      </c>
      <c r="AA5259" s="3">
        <v>0.13900367915630299</v>
      </c>
      <c r="AB5259" t="s">
        <v>26700</v>
      </c>
      <c r="AC5259" t="s">
        <v>4575</v>
      </c>
      <c r="AD5259" t="s">
        <v>26699</v>
      </c>
      <c r="AE5259" t="s">
        <v>4655</v>
      </c>
      <c r="AF5259" t="s">
        <v>4563</v>
      </c>
      <c r="AG5259" t="s">
        <v>4564</v>
      </c>
      <c r="AH5259" t="s">
        <v>5197</v>
      </c>
      <c r="AI5259" t="s">
        <v>26701</v>
      </c>
      <c r="AJ5259" t="s">
        <v>5324</v>
      </c>
      <c r="AK5259" t="s">
        <v>26702</v>
      </c>
      <c r="AL5259" s="13" t="s">
        <v>2257</v>
      </c>
      <c r="AM5259">
        <v>1</v>
      </c>
      <c r="AN5259" s="15" t="s">
        <v>571</v>
      </c>
    </row>
    <row r="5260" spans="1:40" x14ac:dyDescent="0.3">
      <c r="A5260" s="10" t="str">
        <f>HYPERLINK("http://www.washoecounty.gov/assessor/cama/?parid=160-523-14&amp;CardNumber=1","160-523-14")</f>
        <v>160-523-14</v>
      </c>
      <c r="B5260" t="s">
        <v>4655</v>
      </c>
      <c r="C5260" t="s">
        <v>26703</v>
      </c>
      <c r="D5260" s="1">
        <v>40399</v>
      </c>
      <c r="E5260" s="2">
        <v>170000</v>
      </c>
      <c r="F5260" t="s">
        <v>4567</v>
      </c>
      <c r="G5260" s="17" t="str">
        <f>HYPERLINK("https://www.washoecounty.gov/assessor/cama/?command=sales&amp;parid=16052314","3910056")</f>
        <v>3910056</v>
      </c>
      <c r="H5260" t="s">
        <v>5323</v>
      </c>
      <c r="I5260">
        <v>2000</v>
      </c>
      <c r="J5260">
        <v>2000</v>
      </c>
      <c r="K5260" t="s">
        <v>4554</v>
      </c>
      <c r="L5260" t="s">
        <v>4555</v>
      </c>
      <c r="M5260" s="2">
        <v>1272</v>
      </c>
      <c r="N5260" t="s">
        <v>5280</v>
      </c>
      <c r="O5260">
        <v>2</v>
      </c>
      <c r="P5260">
        <v>2</v>
      </c>
      <c r="Q5260">
        <v>0</v>
      </c>
      <c r="R5260" t="s">
        <v>5281</v>
      </c>
      <c r="S5260" t="s">
        <v>4898</v>
      </c>
      <c r="T5260" t="s">
        <v>2704</v>
      </c>
      <c r="U5260" t="s">
        <v>4560</v>
      </c>
      <c r="V5260" s="2">
        <v>528</v>
      </c>
      <c r="W5260" t="s">
        <v>4655</v>
      </c>
      <c r="X5260" s="2">
        <v>0</v>
      </c>
      <c r="Y5260">
        <v>20</v>
      </c>
      <c r="Z5260" t="s">
        <v>1491</v>
      </c>
      <c r="AA5260" s="3">
        <v>0.101010099053383</v>
      </c>
      <c r="AB5260" t="s">
        <v>26704</v>
      </c>
      <c r="AC5260" t="s">
        <v>4562</v>
      </c>
      <c r="AD5260" t="s">
        <v>26703</v>
      </c>
      <c r="AE5260" t="s">
        <v>4655</v>
      </c>
      <c r="AF5260" t="s">
        <v>4563</v>
      </c>
      <c r="AG5260" t="s">
        <v>4564</v>
      </c>
      <c r="AH5260" t="s">
        <v>5197</v>
      </c>
      <c r="AI5260" t="s">
        <v>26705</v>
      </c>
      <c r="AJ5260" t="s">
        <v>5324</v>
      </c>
      <c r="AK5260" t="s">
        <v>26706</v>
      </c>
      <c r="AL5260" s="13" t="s">
        <v>2257</v>
      </c>
      <c r="AM5260">
        <v>1</v>
      </c>
      <c r="AN5260" s="15" t="s">
        <v>571</v>
      </c>
    </row>
    <row r="5261" spans="1:40" x14ac:dyDescent="0.3">
      <c r="A5261" s="10" t="str">
        <f>HYPERLINK("http://www.washoecounty.gov/assessor/cama/?parid=160-531-02&amp;CardNumber=1","160-531-02")</f>
        <v>160-531-02</v>
      </c>
      <c r="B5261" t="s">
        <v>4655</v>
      </c>
      <c r="C5261" t="s">
        <v>26707</v>
      </c>
      <c r="D5261" s="1">
        <v>40375</v>
      </c>
      <c r="E5261" s="2">
        <v>180000</v>
      </c>
      <c r="F5261" t="s">
        <v>4567</v>
      </c>
      <c r="G5261" s="17" t="str">
        <f>HYPERLINK("https://www.washoecounty.gov/assessor/cama/?command=sales&amp;parid=16053102","3902224")</f>
        <v>3902224</v>
      </c>
      <c r="H5261" t="s">
        <v>5323</v>
      </c>
      <c r="I5261">
        <v>1999</v>
      </c>
      <c r="J5261">
        <v>1999</v>
      </c>
      <c r="K5261" t="s">
        <v>4554</v>
      </c>
      <c r="L5261" t="s">
        <v>4555</v>
      </c>
      <c r="M5261" s="2">
        <v>1645</v>
      </c>
      <c r="N5261" t="s">
        <v>5280</v>
      </c>
      <c r="O5261">
        <v>3</v>
      </c>
      <c r="P5261">
        <v>2</v>
      </c>
      <c r="Q5261">
        <v>0</v>
      </c>
      <c r="R5261" t="s">
        <v>5281</v>
      </c>
      <c r="S5261" t="s">
        <v>4898</v>
      </c>
      <c r="T5261" t="s">
        <v>2704</v>
      </c>
      <c r="U5261" t="s">
        <v>4560</v>
      </c>
      <c r="V5261" s="2">
        <v>480</v>
      </c>
      <c r="W5261" t="s">
        <v>4655</v>
      </c>
      <c r="X5261" s="2">
        <v>0</v>
      </c>
      <c r="Y5261">
        <v>20</v>
      </c>
      <c r="Z5261" t="s">
        <v>1491</v>
      </c>
      <c r="AA5261" s="3">
        <v>0.10500459372997301</v>
      </c>
      <c r="AB5261" t="s">
        <v>26708</v>
      </c>
      <c r="AC5261" t="s">
        <v>4562</v>
      </c>
      <c r="AD5261" t="s">
        <v>26709</v>
      </c>
      <c r="AE5261" t="s">
        <v>4655</v>
      </c>
      <c r="AF5261" t="s">
        <v>2855</v>
      </c>
      <c r="AG5261" t="s">
        <v>4564</v>
      </c>
      <c r="AH5261" t="s">
        <v>4290</v>
      </c>
      <c r="AI5261" t="s">
        <v>26710</v>
      </c>
      <c r="AJ5261" t="s">
        <v>5324</v>
      </c>
      <c r="AK5261" t="s">
        <v>26711</v>
      </c>
      <c r="AL5261" s="13" t="s">
        <v>2257</v>
      </c>
      <c r="AM5261" s="14">
        <v>1</v>
      </c>
      <c r="AN5261" s="15" t="s">
        <v>571</v>
      </c>
    </row>
    <row r="5262" spans="1:40" x14ac:dyDescent="0.3">
      <c r="A5262" s="10" t="str">
        <f>HYPERLINK("http://www.washoecounty.gov/assessor/cama/?parid=160-532-03&amp;CardNumber=1","160-532-03")</f>
        <v>160-532-03</v>
      </c>
      <c r="B5262" t="s">
        <v>4655</v>
      </c>
      <c r="C5262" t="s">
        <v>26712</v>
      </c>
      <c r="D5262" s="1">
        <v>40367</v>
      </c>
      <c r="E5262" s="2">
        <v>160000</v>
      </c>
      <c r="F5262" t="s">
        <v>4567</v>
      </c>
      <c r="G5262" s="17" t="str">
        <f>HYPERLINK("https://www.washoecounty.gov/assessor/cama/?command=sales&amp;parid=16053203","3899531")</f>
        <v>3899531</v>
      </c>
      <c r="H5262" t="s">
        <v>5323</v>
      </c>
      <c r="I5262">
        <v>1999</v>
      </c>
      <c r="J5262">
        <v>1999</v>
      </c>
      <c r="K5262" t="s">
        <v>4554</v>
      </c>
      <c r="L5262" t="s">
        <v>4555</v>
      </c>
      <c r="M5262" s="2">
        <v>1272</v>
      </c>
      <c r="N5262" t="s">
        <v>5280</v>
      </c>
      <c r="O5262">
        <v>2</v>
      </c>
      <c r="P5262">
        <v>2</v>
      </c>
      <c r="Q5262">
        <v>0</v>
      </c>
      <c r="R5262" t="s">
        <v>5281</v>
      </c>
      <c r="S5262" t="s">
        <v>4898</v>
      </c>
      <c r="T5262" t="s">
        <v>2704</v>
      </c>
      <c r="U5262" t="s">
        <v>4560</v>
      </c>
      <c r="V5262" s="2">
        <v>528</v>
      </c>
      <c r="W5262" t="s">
        <v>4655</v>
      </c>
      <c r="X5262" s="2">
        <v>0</v>
      </c>
      <c r="Y5262">
        <v>20</v>
      </c>
      <c r="Z5262" t="s">
        <v>1491</v>
      </c>
      <c r="AA5262" s="3">
        <v>0.10500459372997301</v>
      </c>
      <c r="AB5262" t="s">
        <v>26713</v>
      </c>
      <c r="AC5262" t="s">
        <v>4562</v>
      </c>
      <c r="AD5262" t="s">
        <v>26714</v>
      </c>
      <c r="AE5262" t="s">
        <v>26715</v>
      </c>
      <c r="AF5262" t="s">
        <v>4752</v>
      </c>
      <c r="AG5262" t="s">
        <v>4564</v>
      </c>
      <c r="AH5262">
        <v>89502</v>
      </c>
      <c r="AI5262" t="s">
        <v>26716</v>
      </c>
      <c r="AJ5262" t="s">
        <v>5324</v>
      </c>
      <c r="AK5262" t="s">
        <v>26717</v>
      </c>
      <c r="AL5262" s="13" t="s">
        <v>2257</v>
      </c>
      <c r="AM5262">
        <v>1</v>
      </c>
      <c r="AN5262" s="15" t="s">
        <v>571</v>
      </c>
    </row>
    <row r="5263" spans="1:40" x14ac:dyDescent="0.3">
      <c r="A5263" s="10" t="str">
        <f>HYPERLINK("http://www.washoecounty.gov/assessor/cama/?parid=160-533-14&amp;CardNumber=1","160-533-14")</f>
        <v>160-533-14</v>
      </c>
      <c r="B5263" t="s">
        <v>4655</v>
      </c>
      <c r="C5263" t="s">
        <v>26718</v>
      </c>
      <c r="D5263" s="1">
        <v>40501</v>
      </c>
      <c r="E5263" s="2">
        <v>155000</v>
      </c>
      <c r="F5263" t="s">
        <v>4567</v>
      </c>
      <c r="G5263" s="17" t="str">
        <f>HYPERLINK("https://www.washoecounty.gov/assessor/cama/?command=sales&amp;parid=16053314","3945002")</f>
        <v>3945002</v>
      </c>
      <c r="H5263" t="s">
        <v>5323</v>
      </c>
      <c r="I5263">
        <v>1999</v>
      </c>
      <c r="J5263">
        <v>1999</v>
      </c>
      <c r="K5263" t="s">
        <v>4554</v>
      </c>
      <c r="L5263" t="s">
        <v>4555</v>
      </c>
      <c r="M5263" s="2">
        <v>1272</v>
      </c>
      <c r="N5263" t="s">
        <v>5280</v>
      </c>
      <c r="O5263">
        <v>2</v>
      </c>
      <c r="P5263">
        <v>2</v>
      </c>
      <c r="Q5263">
        <v>0</v>
      </c>
      <c r="R5263" t="s">
        <v>5281</v>
      </c>
      <c r="S5263" t="s">
        <v>4898</v>
      </c>
      <c r="T5263" t="s">
        <v>2704</v>
      </c>
      <c r="U5263" t="s">
        <v>4560</v>
      </c>
      <c r="V5263" s="2">
        <v>528</v>
      </c>
      <c r="W5263" t="s">
        <v>4655</v>
      </c>
      <c r="X5263" s="2">
        <v>0</v>
      </c>
      <c r="Y5263">
        <v>20</v>
      </c>
      <c r="Z5263" t="s">
        <v>1491</v>
      </c>
      <c r="AA5263" s="3">
        <v>0.107988983392715</v>
      </c>
      <c r="AB5263" t="s">
        <v>26719</v>
      </c>
      <c r="AC5263" t="s">
        <v>4562</v>
      </c>
      <c r="AD5263" t="s">
        <v>26718</v>
      </c>
      <c r="AE5263" t="s">
        <v>4655</v>
      </c>
      <c r="AF5263" t="s">
        <v>4563</v>
      </c>
      <c r="AG5263" t="s">
        <v>4564</v>
      </c>
      <c r="AH5263" t="s">
        <v>5197</v>
      </c>
      <c r="AI5263" t="s">
        <v>11997</v>
      </c>
      <c r="AJ5263" t="s">
        <v>5324</v>
      </c>
      <c r="AK5263" t="s">
        <v>26720</v>
      </c>
      <c r="AL5263" s="13" t="s">
        <v>2257</v>
      </c>
      <c r="AM5263">
        <v>1</v>
      </c>
      <c r="AN5263" s="15" t="s">
        <v>571</v>
      </c>
    </row>
    <row r="5264" spans="1:40" x14ac:dyDescent="0.3">
      <c r="A5264" s="10" t="str">
        <f>HYPERLINK("http://www.washoecounty.gov/assessor/cama/?parid=160-534-03&amp;CardNumber=1","160-534-03")</f>
        <v>160-534-03</v>
      </c>
      <c r="B5264" t="s">
        <v>4655</v>
      </c>
      <c r="C5264" t="s">
        <v>26721</v>
      </c>
      <c r="D5264" s="1">
        <v>40515</v>
      </c>
      <c r="E5264" s="2">
        <v>160000</v>
      </c>
      <c r="F5264" t="s">
        <v>4567</v>
      </c>
      <c r="G5264" s="17" t="str">
        <f>HYPERLINK("https://www.washoecounty.gov/assessor/cama/?command=sales&amp;parid=16053403","3949168")</f>
        <v>3949168</v>
      </c>
      <c r="H5264" t="s">
        <v>5323</v>
      </c>
      <c r="I5264">
        <v>2003</v>
      </c>
      <c r="J5264">
        <v>2003</v>
      </c>
      <c r="K5264" t="s">
        <v>4554</v>
      </c>
      <c r="L5264" t="s">
        <v>4555</v>
      </c>
      <c r="M5264" s="2">
        <v>1470</v>
      </c>
      <c r="N5264" t="s">
        <v>5280</v>
      </c>
      <c r="O5264">
        <v>3</v>
      </c>
      <c r="P5264">
        <v>2</v>
      </c>
      <c r="Q5264">
        <v>0</v>
      </c>
      <c r="R5264" t="s">
        <v>5281</v>
      </c>
      <c r="S5264" t="s">
        <v>4898</v>
      </c>
      <c r="T5264" t="s">
        <v>2704</v>
      </c>
      <c r="U5264" t="s">
        <v>4560</v>
      </c>
      <c r="V5264" s="2">
        <v>480</v>
      </c>
      <c r="W5264" t="s">
        <v>4655</v>
      </c>
      <c r="X5264" s="2">
        <v>0</v>
      </c>
      <c r="Y5264">
        <v>20</v>
      </c>
      <c r="Z5264" t="s">
        <v>1491</v>
      </c>
      <c r="AA5264" s="3">
        <v>9.8002754151821095E-2</v>
      </c>
      <c r="AB5264" t="s">
        <v>26722</v>
      </c>
      <c r="AC5264" t="s">
        <v>4575</v>
      </c>
      <c r="AD5264" t="s">
        <v>26723</v>
      </c>
      <c r="AE5264" t="s">
        <v>4655</v>
      </c>
      <c r="AF5264" t="s">
        <v>4563</v>
      </c>
      <c r="AG5264" t="s">
        <v>4564</v>
      </c>
      <c r="AH5264" t="s">
        <v>5197</v>
      </c>
      <c r="AI5264" t="s">
        <v>26724</v>
      </c>
      <c r="AJ5264" t="s">
        <v>5324</v>
      </c>
      <c r="AK5264" t="s">
        <v>26725</v>
      </c>
      <c r="AL5264" s="13" t="s">
        <v>2257</v>
      </c>
      <c r="AM5264">
        <v>1</v>
      </c>
      <c r="AN5264" s="15" t="s">
        <v>571</v>
      </c>
    </row>
    <row r="5265" spans="1:40" x14ac:dyDescent="0.3">
      <c r="A5265" s="10" t="str">
        <f>HYPERLINK("http://www.washoecounty.gov/assessor/cama/?parid=160-561-08&amp;CardNumber=1","160-561-08")</f>
        <v>160-561-08</v>
      </c>
      <c r="B5265" t="s">
        <v>4655</v>
      </c>
      <c r="C5265" t="s">
        <v>26726</v>
      </c>
      <c r="D5265" s="1">
        <v>40277</v>
      </c>
      <c r="E5265" s="2">
        <v>175000</v>
      </c>
      <c r="F5265" t="s">
        <v>4567</v>
      </c>
      <c r="G5265" s="17" t="str">
        <f>HYPERLINK("https://www.washoecounty.gov/assessor/cama/?command=sales&amp;parid=16056108","3869218")</f>
        <v>3869218</v>
      </c>
      <c r="H5265" t="s">
        <v>2059</v>
      </c>
      <c r="I5265">
        <v>1999</v>
      </c>
      <c r="J5265">
        <v>1999</v>
      </c>
      <c r="K5265" t="s">
        <v>4554</v>
      </c>
      <c r="L5265" t="s">
        <v>4555</v>
      </c>
      <c r="M5265" s="2">
        <v>1272</v>
      </c>
      <c r="N5265" t="s">
        <v>5280</v>
      </c>
      <c r="O5265">
        <v>3</v>
      </c>
      <c r="P5265">
        <v>2</v>
      </c>
      <c r="Q5265">
        <v>0</v>
      </c>
      <c r="R5265" t="s">
        <v>5281</v>
      </c>
      <c r="S5265" t="s">
        <v>4898</v>
      </c>
      <c r="T5265" t="s">
        <v>2704</v>
      </c>
      <c r="U5265" t="s">
        <v>4560</v>
      </c>
      <c r="V5265" s="2">
        <v>440</v>
      </c>
      <c r="W5265" t="s">
        <v>4655</v>
      </c>
      <c r="X5265" s="2">
        <v>0</v>
      </c>
      <c r="Y5265">
        <v>20</v>
      </c>
      <c r="Z5265" t="s">
        <v>4144</v>
      </c>
      <c r="AA5265" s="3">
        <v>0.10000000149011599</v>
      </c>
      <c r="AB5265" t="s">
        <v>26727</v>
      </c>
      <c r="AC5265" t="s">
        <v>4575</v>
      </c>
      <c r="AD5265" t="s">
        <v>26728</v>
      </c>
      <c r="AE5265" t="s">
        <v>4655</v>
      </c>
      <c r="AF5265" t="s">
        <v>4563</v>
      </c>
      <c r="AG5265" t="s">
        <v>4564</v>
      </c>
      <c r="AH5265">
        <v>89501</v>
      </c>
      <c r="AI5265" t="s">
        <v>26729</v>
      </c>
      <c r="AJ5265" t="s">
        <v>2060</v>
      </c>
      <c r="AK5265" t="s">
        <v>26730</v>
      </c>
      <c r="AL5265" s="13" t="s">
        <v>2257</v>
      </c>
      <c r="AM5265">
        <v>1</v>
      </c>
      <c r="AN5265" s="15" t="s">
        <v>571</v>
      </c>
    </row>
    <row r="5266" spans="1:40" x14ac:dyDescent="0.3">
      <c r="A5266" s="10" t="str">
        <f>HYPERLINK("http://www.washoecounty.gov/assessor/cama/?parid=160-563-17&amp;CardNumber=1","160-563-17")</f>
        <v>160-563-17</v>
      </c>
      <c r="B5266" t="s">
        <v>4655</v>
      </c>
      <c r="C5266" t="s">
        <v>26731</v>
      </c>
      <c r="D5266" s="1">
        <v>40213</v>
      </c>
      <c r="E5266" s="2">
        <v>180000</v>
      </c>
      <c r="F5266" t="s">
        <v>4553</v>
      </c>
      <c r="G5266" s="17" t="str">
        <f>HYPERLINK("https://www.washoecounty.gov/assessor/cama/?command=sales&amp;parid=16056317","3845914")</f>
        <v>3845914</v>
      </c>
      <c r="H5266" t="s">
        <v>2059</v>
      </c>
      <c r="I5266">
        <v>1999</v>
      </c>
      <c r="J5266">
        <v>1999</v>
      </c>
      <c r="K5266" t="s">
        <v>4554</v>
      </c>
      <c r="L5266" t="s">
        <v>4555</v>
      </c>
      <c r="M5266" s="2">
        <v>1272</v>
      </c>
      <c r="N5266" t="s">
        <v>5280</v>
      </c>
      <c r="O5266">
        <v>3</v>
      </c>
      <c r="P5266">
        <v>2</v>
      </c>
      <c r="Q5266">
        <v>0</v>
      </c>
      <c r="R5266" t="s">
        <v>5281</v>
      </c>
      <c r="S5266" t="s">
        <v>4898</v>
      </c>
      <c r="T5266" t="s">
        <v>2704</v>
      </c>
      <c r="U5266" t="s">
        <v>4560</v>
      </c>
      <c r="V5266" s="2">
        <v>440</v>
      </c>
      <c r="W5266" t="s">
        <v>4655</v>
      </c>
      <c r="X5266" s="2">
        <v>0</v>
      </c>
      <c r="Y5266">
        <v>20</v>
      </c>
      <c r="Z5266" t="s">
        <v>4144</v>
      </c>
      <c r="AA5266" s="3">
        <v>8.9990817010402693E-2</v>
      </c>
      <c r="AB5266" t="s">
        <v>26732</v>
      </c>
      <c r="AC5266" t="s">
        <v>4562</v>
      </c>
      <c r="AD5266" t="s">
        <v>26731</v>
      </c>
      <c r="AE5266" t="s">
        <v>4655</v>
      </c>
      <c r="AF5266" t="s">
        <v>4563</v>
      </c>
      <c r="AG5266" t="s">
        <v>4564</v>
      </c>
      <c r="AH5266" t="s">
        <v>5197</v>
      </c>
      <c r="AI5266" t="s">
        <v>26733</v>
      </c>
      <c r="AJ5266" t="s">
        <v>2060</v>
      </c>
      <c r="AK5266" t="s">
        <v>26734</v>
      </c>
      <c r="AL5266" s="13" t="s">
        <v>2257</v>
      </c>
      <c r="AM5266">
        <v>1</v>
      </c>
      <c r="AN5266" s="15" t="s">
        <v>571</v>
      </c>
    </row>
    <row r="5267" spans="1:40" x14ac:dyDescent="0.3">
      <c r="A5267" s="10" t="str">
        <f>HYPERLINK("http://www.washoecounty.gov/assessor/cama/?parid=160-563-20&amp;CardNumber=1","160-563-20")</f>
        <v>160-563-20</v>
      </c>
      <c r="B5267" t="s">
        <v>4655</v>
      </c>
      <c r="C5267" t="s">
        <v>26735</v>
      </c>
      <c r="D5267" s="1">
        <v>40308</v>
      </c>
      <c r="E5267" s="2">
        <v>175000</v>
      </c>
      <c r="F5267" t="s">
        <v>4567</v>
      </c>
      <c r="G5267" s="17" t="str">
        <f>HYPERLINK("https://www.washoecounty.gov/assessor/cama/?command=sales&amp;parid=16056320","3879922")</f>
        <v>3879922</v>
      </c>
      <c r="H5267" t="s">
        <v>2059</v>
      </c>
      <c r="I5267">
        <v>1999</v>
      </c>
      <c r="J5267">
        <v>1999</v>
      </c>
      <c r="K5267" t="s">
        <v>4554</v>
      </c>
      <c r="L5267" t="s">
        <v>4555</v>
      </c>
      <c r="M5267" s="2">
        <v>1272</v>
      </c>
      <c r="N5267" t="s">
        <v>5280</v>
      </c>
      <c r="O5267">
        <v>2</v>
      </c>
      <c r="P5267">
        <v>2</v>
      </c>
      <c r="Q5267">
        <v>0</v>
      </c>
      <c r="R5267" t="s">
        <v>5281</v>
      </c>
      <c r="S5267" t="s">
        <v>4898</v>
      </c>
      <c r="T5267" t="s">
        <v>2704</v>
      </c>
      <c r="U5267" t="s">
        <v>4560</v>
      </c>
      <c r="V5267" s="2">
        <v>440</v>
      </c>
      <c r="W5267" t="s">
        <v>4655</v>
      </c>
      <c r="X5267" s="2">
        <v>0</v>
      </c>
      <c r="Y5267">
        <v>20</v>
      </c>
      <c r="Z5267" t="s">
        <v>4144</v>
      </c>
      <c r="AA5267" s="3">
        <v>8.0004587769508403E-2</v>
      </c>
      <c r="AB5267" t="s">
        <v>26736</v>
      </c>
      <c r="AC5267" t="s">
        <v>4562</v>
      </c>
      <c r="AD5267" t="s">
        <v>26737</v>
      </c>
      <c r="AE5267" t="s">
        <v>4655</v>
      </c>
      <c r="AF5267" t="s">
        <v>4563</v>
      </c>
      <c r="AG5267" t="s">
        <v>4564</v>
      </c>
      <c r="AH5267">
        <v>89509</v>
      </c>
      <c r="AI5267" t="s">
        <v>26738</v>
      </c>
      <c r="AJ5267" t="s">
        <v>2060</v>
      </c>
      <c r="AK5267" t="s">
        <v>26739</v>
      </c>
      <c r="AL5267" s="13" t="s">
        <v>2257</v>
      </c>
      <c r="AM5267">
        <v>1</v>
      </c>
      <c r="AN5267" s="15" t="s">
        <v>571</v>
      </c>
    </row>
    <row r="5268" spans="1:40" x14ac:dyDescent="0.3">
      <c r="A5268" s="10" t="str">
        <f>HYPERLINK("http://www.washoecounty.gov/assessor/cama/?parid=160-563-22&amp;CardNumber=1","160-563-22")</f>
        <v>160-563-22</v>
      </c>
      <c r="B5268" t="s">
        <v>4655</v>
      </c>
      <c r="C5268" t="s">
        <v>26740</v>
      </c>
      <c r="D5268" s="1">
        <v>40294</v>
      </c>
      <c r="E5268" s="2">
        <v>149625</v>
      </c>
      <c r="F5268" t="s">
        <v>4553</v>
      </c>
      <c r="G5268" s="17" t="str">
        <f>HYPERLINK("https://www.washoecounty.gov/assessor/cama/?command=sales&amp;parid=16056322","3874665")</f>
        <v>3874665</v>
      </c>
      <c r="H5268" t="s">
        <v>2059</v>
      </c>
      <c r="I5268">
        <v>1999</v>
      </c>
      <c r="J5268">
        <v>1999</v>
      </c>
      <c r="K5268" t="s">
        <v>4554</v>
      </c>
      <c r="L5268" t="s">
        <v>3974</v>
      </c>
      <c r="M5268" s="2">
        <v>1675</v>
      </c>
      <c r="N5268" t="s">
        <v>5280</v>
      </c>
      <c r="O5268">
        <v>3</v>
      </c>
      <c r="P5268">
        <v>2</v>
      </c>
      <c r="Q5268">
        <v>1</v>
      </c>
      <c r="R5268" t="s">
        <v>5281</v>
      </c>
      <c r="S5268" t="s">
        <v>4898</v>
      </c>
      <c r="T5268" t="s">
        <v>2704</v>
      </c>
      <c r="U5268" t="s">
        <v>5631</v>
      </c>
      <c r="V5268" s="2">
        <v>460</v>
      </c>
      <c r="W5268" t="s">
        <v>4655</v>
      </c>
      <c r="X5268" s="2">
        <v>0</v>
      </c>
      <c r="Y5268">
        <v>20</v>
      </c>
      <c r="Z5268" t="s">
        <v>4144</v>
      </c>
      <c r="AA5268" s="3">
        <v>7.5000002980232197E-2</v>
      </c>
      <c r="AB5268" t="s">
        <v>26741</v>
      </c>
      <c r="AC5268" t="s">
        <v>4562</v>
      </c>
      <c r="AD5268" t="s">
        <v>2549</v>
      </c>
      <c r="AE5268" t="s">
        <v>4655</v>
      </c>
      <c r="AF5268" t="s">
        <v>4563</v>
      </c>
      <c r="AG5268" t="s">
        <v>4564</v>
      </c>
      <c r="AH5268" t="s">
        <v>2330</v>
      </c>
      <c r="AI5268" t="s">
        <v>4903</v>
      </c>
      <c r="AJ5268" t="s">
        <v>2060</v>
      </c>
      <c r="AK5268" t="s">
        <v>26742</v>
      </c>
      <c r="AL5268" s="13" t="s">
        <v>2257</v>
      </c>
      <c r="AM5268" s="14">
        <v>1</v>
      </c>
      <c r="AN5268" s="15" t="s">
        <v>571</v>
      </c>
    </row>
    <row r="5269" spans="1:40" x14ac:dyDescent="0.3">
      <c r="A5269" s="10" t="str">
        <f>HYPERLINK("http://www.washoecounty.gov/assessor/cama/?parid=160-563-23&amp;CardNumber=1","160-563-23")</f>
        <v>160-563-23</v>
      </c>
      <c r="B5269" t="s">
        <v>4655</v>
      </c>
      <c r="C5269" t="s">
        <v>26743</v>
      </c>
      <c r="D5269" s="1">
        <v>40423</v>
      </c>
      <c r="E5269" s="2">
        <v>189000</v>
      </c>
      <c r="F5269" t="s">
        <v>4567</v>
      </c>
      <c r="G5269" s="17" t="str">
        <f>HYPERLINK("https://www.washoecounty.gov/assessor/cama/?command=sales&amp;parid=16056323","3918199")</f>
        <v>3918199</v>
      </c>
      <c r="H5269" t="s">
        <v>2059</v>
      </c>
      <c r="I5269">
        <v>1999</v>
      </c>
      <c r="J5269">
        <v>1999</v>
      </c>
      <c r="K5269" t="s">
        <v>4554</v>
      </c>
      <c r="L5269" t="s">
        <v>3974</v>
      </c>
      <c r="M5269" s="2">
        <v>1675</v>
      </c>
      <c r="N5269" t="s">
        <v>5280</v>
      </c>
      <c r="O5269">
        <v>3</v>
      </c>
      <c r="P5269">
        <v>2</v>
      </c>
      <c r="Q5269">
        <v>1</v>
      </c>
      <c r="R5269" t="s">
        <v>5281</v>
      </c>
      <c r="S5269" t="s">
        <v>4898</v>
      </c>
      <c r="T5269" t="s">
        <v>2704</v>
      </c>
      <c r="U5269" t="s">
        <v>5631</v>
      </c>
      <c r="V5269" s="2">
        <v>460</v>
      </c>
      <c r="W5269" t="s">
        <v>4655</v>
      </c>
      <c r="X5269" s="2">
        <v>0</v>
      </c>
      <c r="Y5269">
        <v>20</v>
      </c>
      <c r="Z5269" t="s">
        <v>4144</v>
      </c>
      <c r="AA5269" s="3">
        <v>7.8994490206241594E-2</v>
      </c>
      <c r="AB5269" t="s">
        <v>26744</v>
      </c>
      <c r="AC5269" t="s">
        <v>4575</v>
      </c>
      <c r="AD5269" t="s">
        <v>26745</v>
      </c>
      <c r="AE5269" t="s">
        <v>26743</v>
      </c>
      <c r="AF5269" t="s">
        <v>4563</v>
      </c>
      <c r="AG5269" t="s">
        <v>4564</v>
      </c>
      <c r="AH5269" t="s">
        <v>5197</v>
      </c>
      <c r="AI5269" t="s">
        <v>26746</v>
      </c>
      <c r="AJ5269" t="s">
        <v>2060</v>
      </c>
      <c r="AK5269" t="s">
        <v>26747</v>
      </c>
      <c r="AL5269" s="13" t="s">
        <v>2257</v>
      </c>
      <c r="AM5269">
        <v>1</v>
      </c>
      <c r="AN5269" s="15" t="s">
        <v>571</v>
      </c>
    </row>
    <row r="5270" spans="1:40" x14ac:dyDescent="0.3">
      <c r="A5270" s="10" t="str">
        <f>HYPERLINK("http://www.washoecounty.gov/assessor/cama/?parid=160-571-07&amp;CardNumber=1","160-571-07")</f>
        <v>160-571-07</v>
      </c>
      <c r="B5270" t="s">
        <v>4655</v>
      </c>
      <c r="C5270" t="s">
        <v>26748</v>
      </c>
      <c r="D5270" s="1">
        <v>40421</v>
      </c>
      <c r="E5270" s="2">
        <v>285000</v>
      </c>
      <c r="F5270" t="s">
        <v>4567</v>
      </c>
      <c r="G5270" s="17" t="str">
        <f>HYPERLINK("https://www.washoecounty.gov/assessor/cama/?command=sales&amp;parid=16057107","3917651")</f>
        <v>3917651</v>
      </c>
      <c r="H5270" t="s">
        <v>26749</v>
      </c>
      <c r="I5270">
        <v>2000</v>
      </c>
      <c r="J5270">
        <v>2000</v>
      </c>
      <c r="K5270" t="s">
        <v>4554</v>
      </c>
      <c r="L5270" t="s">
        <v>4555</v>
      </c>
      <c r="M5270" s="2">
        <v>2410</v>
      </c>
      <c r="N5270" t="s">
        <v>3147</v>
      </c>
      <c r="O5270">
        <v>3</v>
      </c>
      <c r="P5270">
        <v>2</v>
      </c>
      <c r="Q5270">
        <v>1</v>
      </c>
      <c r="R5270" t="s">
        <v>5281</v>
      </c>
      <c r="S5270" t="s">
        <v>4898</v>
      </c>
      <c r="T5270" t="s">
        <v>2704</v>
      </c>
      <c r="U5270" t="s">
        <v>4560</v>
      </c>
      <c r="V5270" s="2">
        <v>598</v>
      </c>
      <c r="W5270" t="s">
        <v>4655</v>
      </c>
      <c r="X5270" s="2">
        <v>0</v>
      </c>
      <c r="Y5270">
        <v>20</v>
      </c>
      <c r="Z5270" t="s">
        <v>1491</v>
      </c>
      <c r="AA5270" s="3">
        <v>0.16900826990604401</v>
      </c>
      <c r="AB5270" t="s">
        <v>26750</v>
      </c>
      <c r="AC5270" t="s">
        <v>4575</v>
      </c>
      <c r="AD5270" t="s">
        <v>26751</v>
      </c>
      <c r="AE5270" t="s">
        <v>26748</v>
      </c>
      <c r="AF5270" t="s">
        <v>4563</v>
      </c>
      <c r="AG5270" t="s">
        <v>4564</v>
      </c>
      <c r="AH5270" t="s">
        <v>5197</v>
      </c>
      <c r="AI5270" t="s">
        <v>4655</v>
      </c>
      <c r="AJ5270" t="s">
        <v>26752</v>
      </c>
      <c r="AK5270" t="s">
        <v>26753</v>
      </c>
      <c r="AL5270" s="13" t="s">
        <v>2257</v>
      </c>
      <c r="AM5270">
        <v>1</v>
      </c>
      <c r="AN5270" s="15" t="s">
        <v>569</v>
      </c>
    </row>
    <row r="5271" spans="1:40" x14ac:dyDescent="0.3">
      <c r="A5271" s="10" t="str">
        <f>HYPERLINK("http://www.washoecounty.gov/assessor/cama/?parid=160-571-10&amp;CardNumber=1","160-571-10")</f>
        <v>160-571-10</v>
      </c>
      <c r="B5271" t="s">
        <v>4655</v>
      </c>
      <c r="C5271" t="s">
        <v>26754</v>
      </c>
      <c r="D5271" s="1">
        <v>40193</v>
      </c>
      <c r="E5271" s="2">
        <v>265000</v>
      </c>
      <c r="F5271" t="s">
        <v>4567</v>
      </c>
      <c r="G5271" s="17" t="str">
        <f>HYPERLINK("https://www.washoecounty.gov/assessor/cama/?command=sales&amp;parid=16057110","3840057")</f>
        <v>3840057</v>
      </c>
      <c r="H5271" t="s">
        <v>26749</v>
      </c>
      <c r="I5271">
        <v>2000</v>
      </c>
      <c r="J5271">
        <v>2000</v>
      </c>
      <c r="K5271" t="s">
        <v>4554</v>
      </c>
      <c r="L5271" t="s">
        <v>3974</v>
      </c>
      <c r="M5271" s="2">
        <v>2335</v>
      </c>
      <c r="N5271" t="s">
        <v>3147</v>
      </c>
      <c r="O5271">
        <v>3</v>
      </c>
      <c r="P5271">
        <v>2</v>
      </c>
      <c r="Q5271">
        <v>1</v>
      </c>
      <c r="R5271" t="s">
        <v>5281</v>
      </c>
      <c r="S5271" t="s">
        <v>4898</v>
      </c>
      <c r="T5271" t="s">
        <v>2704</v>
      </c>
      <c r="U5271" t="s">
        <v>4560</v>
      </c>
      <c r="V5271" s="2">
        <v>683</v>
      </c>
      <c r="W5271" t="s">
        <v>4655</v>
      </c>
      <c r="X5271" s="2">
        <v>0</v>
      </c>
      <c r="Y5271">
        <v>20</v>
      </c>
      <c r="Z5271" t="s">
        <v>1491</v>
      </c>
      <c r="AA5271" s="3">
        <v>0.173002749681473</v>
      </c>
      <c r="AB5271" t="s">
        <v>26755</v>
      </c>
      <c r="AC5271" t="s">
        <v>4575</v>
      </c>
      <c r="AD5271" t="s">
        <v>26756</v>
      </c>
      <c r="AE5271" t="s">
        <v>26757</v>
      </c>
      <c r="AF5271" t="s">
        <v>4563</v>
      </c>
      <c r="AG5271" t="s">
        <v>4564</v>
      </c>
      <c r="AH5271" t="s">
        <v>2330</v>
      </c>
      <c r="AI5271" t="s">
        <v>26758</v>
      </c>
      <c r="AJ5271" t="s">
        <v>26752</v>
      </c>
      <c r="AK5271" t="s">
        <v>26759</v>
      </c>
      <c r="AL5271" s="13" t="s">
        <v>2257</v>
      </c>
      <c r="AM5271" s="14">
        <v>1</v>
      </c>
      <c r="AN5271" s="15" t="s">
        <v>569</v>
      </c>
    </row>
    <row r="5272" spans="1:40" x14ac:dyDescent="0.3">
      <c r="A5272" s="10" t="str">
        <f>HYPERLINK("http://www.washoecounty.gov/assessor/cama/?parid=160-572-09&amp;CardNumber=1","160-572-09")</f>
        <v>160-572-09</v>
      </c>
      <c r="B5272" t="s">
        <v>4655</v>
      </c>
      <c r="C5272" t="s">
        <v>26760</v>
      </c>
      <c r="D5272" s="1">
        <v>40207</v>
      </c>
      <c r="E5272" s="2">
        <v>250000</v>
      </c>
      <c r="F5272" t="s">
        <v>4567</v>
      </c>
      <c r="G5272" s="17" t="str">
        <f>HYPERLINK("https://www.washoecounty.gov/assessor/cama/?command=sales&amp;parid=16057209","3844055")</f>
        <v>3844055</v>
      </c>
      <c r="H5272" t="s">
        <v>26749</v>
      </c>
      <c r="I5272">
        <v>1999</v>
      </c>
      <c r="J5272">
        <v>1999</v>
      </c>
      <c r="K5272" t="s">
        <v>4554</v>
      </c>
      <c r="L5272" t="s">
        <v>3974</v>
      </c>
      <c r="M5272" s="2">
        <v>2335</v>
      </c>
      <c r="N5272" t="s">
        <v>3147</v>
      </c>
      <c r="O5272">
        <v>3</v>
      </c>
      <c r="P5272">
        <v>2</v>
      </c>
      <c r="Q5272">
        <v>1</v>
      </c>
      <c r="R5272" t="s">
        <v>5281</v>
      </c>
      <c r="S5272" t="s">
        <v>4898</v>
      </c>
      <c r="T5272" t="s">
        <v>2704</v>
      </c>
      <c r="U5272" t="s">
        <v>4560</v>
      </c>
      <c r="V5272" s="2">
        <v>683</v>
      </c>
      <c r="W5272" t="s">
        <v>4655</v>
      </c>
      <c r="X5272" s="2">
        <v>0</v>
      </c>
      <c r="Y5272">
        <v>20</v>
      </c>
      <c r="Z5272" t="s">
        <v>1491</v>
      </c>
      <c r="AA5272" s="3">
        <v>0.16400367021560699</v>
      </c>
      <c r="AB5272" t="s">
        <v>26761</v>
      </c>
      <c r="AC5272" t="s">
        <v>4562</v>
      </c>
      <c r="AD5272" t="s">
        <v>26762</v>
      </c>
      <c r="AE5272" t="s">
        <v>4655</v>
      </c>
      <c r="AF5272" t="s">
        <v>4563</v>
      </c>
      <c r="AG5272" t="s">
        <v>4564</v>
      </c>
      <c r="AH5272" t="s">
        <v>5197</v>
      </c>
      <c r="AI5272" t="s">
        <v>26763</v>
      </c>
      <c r="AJ5272" t="s">
        <v>26752</v>
      </c>
      <c r="AK5272" t="s">
        <v>26764</v>
      </c>
      <c r="AL5272" s="13" t="s">
        <v>2257</v>
      </c>
      <c r="AM5272">
        <v>1</v>
      </c>
      <c r="AN5272" s="15" t="s">
        <v>569</v>
      </c>
    </row>
    <row r="5273" spans="1:40" x14ac:dyDescent="0.3">
      <c r="A5273" s="10" t="str">
        <f>HYPERLINK("http://www.washoecounty.gov/assessor/cama/?parid=160-592-01&amp;CardNumber=1","160-592-01")</f>
        <v>160-592-01</v>
      </c>
      <c r="B5273" t="s">
        <v>4655</v>
      </c>
      <c r="C5273" t="s">
        <v>26765</v>
      </c>
      <c r="D5273" s="1">
        <v>40466</v>
      </c>
      <c r="E5273" s="2">
        <v>185000</v>
      </c>
      <c r="F5273" t="s">
        <v>4567</v>
      </c>
      <c r="G5273" s="17" t="str">
        <f>HYPERLINK("https://www.washoecounty.gov/assessor/cama/?command=sales&amp;parid=16059201","3933343")</f>
        <v>3933343</v>
      </c>
      <c r="H5273" t="s">
        <v>1122</v>
      </c>
      <c r="I5273">
        <v>2001</v>
      </c>
      <c r="J5273">
        <v>2001</v>
      </c>
      <c r="K5273" t="s">
        <v>4554</v>
      </c>
      <c r="L5273" t="s">
        <v>4555</v>
      </c>
      <c r="M5273" s="2">
        <v>1465</v>
      </c>
      <c r="N5273" t="s">
        <v>5280</v>
      </c>
      <c r="O5273">
        <v>3</v>
      </c>
      <c r="P5273">
        <v>2</v>
      </c>
      <c r="Q5273">
        <v>0</v>
      </c>
      <c r="R5273" t="s">
        <v>5281</v>
      </c>
      <c r="S5273" t="s">
        <v>4898</v>
      </c>
      <c r="T5273" t="s">
        <v>2704</v>
      </c>
      <c r="U5273" t="s">
        <v>4560</v>
      </c>
      <c r="V5273" s="2">
        <v>480</v>
      </c>
      <c r="W5273" t="s">
        <v>4655</v>
      </c>
      <c r="X5273" s="2">
        <v>0</v>
      </c>
      <c r="Y5273">
        <v>20</v>
      </c>
      <c r="Z5273" t="s">
        <v>1491</v>
      </c>
      <c r="AA5273" s="3">
        <v>0.192011013627052</v>
      </c>
      <c r="AB5273" t="s">
        <v>26766</v>
      </c>
      <c r="AC5273" t="s">
        <v>4575</v>
      </c>
      <c r="AD5273" t="s">
        <v>26765</v>
      </c>
      <c r="AE5273" t="s">
        <v>4655</v>
      </c>
      <c r="AF5273" t="s">
        <v>4563</v>
      </c>
      <c r="AG5273" t="s">
        <v>4564</v>
      </c>
      <c r="AH5273" t="s">
        <v>5197</v>
      </c>
      <c r="AI5273" t="s">
        <v>26767</v>
      </c>
      <c r="AJ5273" t="s">
        <v>1123</v>
      </c>
      <c r="AK5273" t="s">
        <v>26768</v>
      </c>
      <c r="AL5273" s="13" t="s">
        <v>2257</v>
      </c>
      <c r="AM5273">
        <v>1</v>
      </c>
      <c r="AN5273" s="15" t="s">
        <v>1124</v>
      </c>
    </row>
    <row r="5274" spans="1:40" x14ac:dyDescent="0.3">
      <c r="A5274" s="10" t="str">
        <f>HYPERLINK("http://www.washoecounty.gov/assessor/cama/?parid=160-593-05&amp;CardNumber=1","160-593-05")</f>
        <v>160-593-05</v>
      </c>
      <c r="B5274" t="s">
        <v>4655</v>
      </c>
      <c r="C5274" t="s">
        <v>26769</v>
      </c>
      <c r="D5274" s="1">
        <v>40344</v>
      </c>
      <c r="E5274" s="2">
        <v>160000</v>
      </c>
      <c r="F5274" t="s">
        <v>4567</v>
      </c>
      <c r="G5274" s="17" t="str">
        <f>HYPERLINK("https://www.washoecounty.gov/assessor/cama/?command=sales&amp;parid=16059305","3892133")</f>
        <v>3892133</v>
      </c>
      <c r="H5274" t="s">
        <v>1122</v>
      </c>
      <c r="I5274">
        <v>2002</v>
      </c>
      <c r="J5274">
        <v>2002</v>
      </c>
      <c r="K5274" t="s">
        <v>4554</v>
      </c>
      <c r="L5274" t="s">
        <v>4555</v>
      </c>
      <c r="M5274" s="2">
        <v>1272</v>
      </c>
      <c r="N5274" t="s">
        <v>5280</v>
      </c>
      <c r="O5274">
        <v>2</v>
      </c>
      <c r="P5274">
        <v>2</v>
      </c>
      <c r="Q5274">
        <v>0</v>
      </c>
      <c r="R5274" t="s">
        <v>5281</v>
      </c>
      <c r="S5274" t="s">
        <v>4898</v>
      </c>
      <c r="T5274" t="s">
        <v>2704</v>
      </c>
      <c r="U5274" t="s">
        <v>4560</v>
      </c>
      <c r="V5274" s="2">
        <v>528</v>
      </c>
      <c r="W5274" t="s">
        <v>4655</v>
      </c>
      <c r="X5274" s="2">
        <v>0</v>
      </c>
      <c r="Y5274">
        <v>20</v>
      </c>
      <c r="Z5274" t="s">
        <v>1491</v>
      </c>
      <c r="AA5274" s="3">
        <v>0.114003673195839</v>
      </c>
      <c r="AB5274" t="s">
        <v>26770</v>
      </c>
      <c r="AC5274" t="s">
        <v>4562</v>
      </c>
      <c r="AD5274" t="s">
        <v>26771</v>
      </c>
      <c r="AE5274" t="s">
        <v>26772</v>
      </c>
      <c r="AF5274" t="s">
        <v>4563</v>
      </c>
      <c r="AG5274" t="s">
        <v>4564</v>
      </c>
      <c r="AH5274" t="s">
        <v>5197</v>
      </c>
      <c r="AI5274" t="s">
        <v>26773</v>
      </c>
      <c r="AJ5274" t="s">
        <v>1123</v>
      </c>
      <c r="AK5274" t="s">
        <v>26774</v>
      </c>
      <c r="AL5274" s="13" t="s">
        <v>2257</v>
      </c>
      <c r="AM5274" s="14">
        <v>1</v>
      </c>
      <c r="AN5274" s="15" t="s">
        <v>1124</v>
      </c>
    </row>
    <row r="5275" spans="1:40" x14ac:dyDescent="0.3">
      <c r="A5275" s="10" t="str">
        <f>HYPERLINK("http://www.washoecounty.gov/assessor/cama/?parid=160-593-14&amp;CardNumber=1","160-593-14")</f>
        <v>160-593-14</v>
      </c>
      <c r="B5275" t="s">
        <v>4655</v>
      </c>
      <c r="C5275" t="s">
        <v>26775</v>
      </c>
      <c r="D5275" s="1">
        <v>40340</v>
      </c>
      <c r="E5275" s="2">
        <v>220000</v>
      </c>
      <c r="F5275" t="s">
        <v>4567</v>
      </c>
      <c r="G5275" s="17" t="str">
        <f>HYPERLINK("https://www.washoecounty.gov/assessor/cama/?command=sales&amp;parid=16059314","3890790")</f>
        <v>3890790</v>
      </c>
      <c r="H5275" t="s">
        <v>1122</v>
      </c>
      <c r="I5275">
        <v>2000</v>
      </c>
      <c r="J5275">
        <v>2000</v>
      </c>
      <c r="K5275" t="s">
        <v>4554</v>
      </c>
      <c r="L5275" t="s">
        <v>4555</v>
      </c>
      <c r="M5275" s="2">
        <v>2135</v>
      </c>
      <c r="N5275" t="s">
        <v>5280</v>
      </c>
      <c r="O5275">
        <v>4</v>
      </c>
      <c r="P5275">
        <v>2</v>
      </c>
      <c r="Q5275">
        <v>1</v>
      </c>
      <c r="R5275" t="s">
        <v>5281</v>
      </c>
      <c r="S5275" t="s">
        <v>4898</v>
      </c>
      <c r="T5275" t="s">
        <v>2704</v>
      </c>
      <c r="U5275" t="s">
        <v>4560</v>
      </c>
      <c r="V5275" s="2">
        <v>664</v>
      </c>
      <c r="W5275" t="s">
        <v>4655</v>
      </c>
      <c r="X5275" s="2">
        <v>0</v>
      </c>
      <c r="Y5275">
        <v>20</v>
      </c>
      <c r="Z5275" t="s">
        <v>1491</v>
      </c>
      <c r="AA5275" s="3">
        <v>0.157001838088036</v>
      </c>
      <c r="AB5275" t="s">
        <v>26776</v>
      </c>
      <c r="AC5275" t="s">
        <v>4575</v>
      </c>
      <c r="AD5275" t="s">
        <v>26777</v>
      </c>
      <c r="AE5275" t="s">
        <v>4655</v>
      </c>
      <c r="AF5275" t="s">
        <v>4563</v>
      </c>
      <c r="AG5275" t="s">
        <v>4564</v>
      </c>
      <c r="AH5275" t="s">
        <v>5197</v>
      </c>
      <c r="AI5275" t="s">
        <v>4655</v>
      </c>
      <c r="AJ5275" t="s">
        <v>1123</v>
      </c>
      <c r="AK5275" t="s">
        <v>26778</v>
      </c>
      <c r="AL5275" s="13" t="s">
        <v>2257</v>
      </c>
      <c r="AM5275" s="14">
        <v>1</v>
      </c>
      <c r="AN5275" s="15" t="s">
        <v>1124</v>
      </c>
    </row>
    <row r="5276" spans="1:40" x14ac:dyDescent="0.3">
      <c r="A5276" s="10" t="str">
        <f>HYPERLINK("http://www.washoecounty.gov/assessor/cama/?parid=160-593-31&amp;CardNumber=1","160-593-31")</f>
        <v>160-593-31</v>
      </c>
      <c r="B5276" t="s">
        <v>4655</v>
      </c>
      <c r="C5276" t="s">
        <v>26779</v>
      </c>
      <c r="D5276" s="1">
        <v>40375</v>
      </c>
      <c r="E5276" s="2">
        <v>205000</v>
      </c>
      <c r="F5276" t="s">
        <v>4553</v>
      </c>
      <c r="G5276" s="17" t="str">
        <f>HYPERLINK("https://www.washoecounty.gov/assessor/cama/?command=sales&amp;parid=16059331","3902375")</f>
        <v>3902375</v>
      </c>
      <c r="H5276" t="s">
        <v>1122</v>
      </c>
      <c r="I5276">
        <v>2001</v>
      </c>
      <c r="J5276">
        <v>2001</v>
      </c>
      <c r="K5276" t="s">
        <v>4554</v>
      </c>
      <c r="L5276" t="s">
        <v>4555</v>
      </c>
      <c r="M5276" s="2">
        <v>1733</v>
      </c>
      <c r="N5276" t="s">
        <v>5280</v>
      </c>
      <c r="O5276">
        <v>2</v>
      </c>
      <c r="P5276">
        <v>2</v>
      </c>
      <c r="Q5276">
        <v>0</v>
      </c>
      <c r="R5276" t="s">
        <v>5281</v>
      </c>
      <c r="S5276" t="s">
        <v>4898</v>
      </c>
      <c r="T5276" t="s">
        <v>2704</v>
      </c>
      <c r="U5276" t="s">
        <v>4560</v>
      </c>
      <c r="V5276" s="2">
        <v>384</v>
      </c>
      <c r="W5276" t="s">
        <v>4655</v>
      </c>
      <c r="X5276" s="2">
        <v>0</v>
      </c>
      <c r="Y5276">
        <v>20</v>
      </c>
      <c r="Z5276" t="s">
        <v>1491</v>
      </c>
      <c r="AA5276" s="3">
        <v>0.108999080955982</v>
      </c>
      <c r="AB5276" t="s">
        <v>26780</v>
      </c>
      <c r="AC5276" t="s">
        <v>4562</v>
      </c>
      <c r="AD5276" t="s">
        <v>26779</v>
      </c>
      <c r="AE5276" t="s">
        <v>4655</v>
      </c>
      <c r="AF5276" t="s">
        <v>4563</v>
      </c>
      <c r="AG5276" t="s">
        <v>4564</v>
      </c>
      <c r="AH5276" t="s">
        <v>5197</v>
      </c>
      <c r="AI5276" t="s">
        <v>1384</v>
      </c>
      <c r="AJ5276" t="s">
        <v>1123</v>
      </c>
      <c r="AK5276" t="s">
        <v>26781</v>
      </c>
      <c r="AL5276" s="13" t="s">
        <v>2257</v>
      </c>
      <c r="AM5276" s="14">
        <v>1</v>
      </c>
      <c r="AN5276" s="15" t="s">
        <v>1124</v>
      </c>
    </row>
    <row r="5277" spans="1:40" x14ac:dyDescent="0.3">
      <c r="A5277" s="10" t="str">
        <f>HYPERLINK("http://www.washoecounty.gov/assessor/cama/?parid=160-594-03&amp;CardNumber=1","160-594-03")</f>
        <v>160-594-03</v>
      </c>
      <c r="B5277" t="s">
        <v>4655</v>
      </c>
      <c r="C5277" t="s">
        <v>26782</v>
      </c>
      <c r="D5277" s="1">
        <v>40527</v>
      </c>
      <c r="E5277" s="2">
        <v>270000</v>
      </c>
      <c r="F5277" t="s">
        <v>4567</v>
      </c>
      <c r="G5277" s="17" t="str">
        <f>HYPERLINK("https://www.washoecounty.gov/assessor/cama/?command=sales&amp;parid=16059403","3953668")</f>
        <v>3953668</v>
      </c>
      <c r="H5277" t="s">
        <v>1122</v>
      </c>
      <c r="I5277">
        <v>2000</v>
      </c>
      <c r="J5277">
        <v>2000</v>
      </c>
      <c r="K5277" t="s">
        <v>4554</v>
      </c>
      <c r="L5277" t="s">
        <v>4555</v>
      </c>
      <c r="M5277" s="2">
        <v>2476</v>
      </c>
      <c r="N5277" t="s">
        <v>5280</v>
      </c>
      <c r="O5277">
        <v>4</v>
      </c>
      <c r="P5277">
        <v>2</v>
      </c>
      <c r="Q5277">
        <v>1</v>
      </c>
      <c r="R5277" t="s">
        <v>5281</v>
      </c>
      <c r="S5277" t="s">
        <v>4898</v>
      </c>
      <c r="T5277" t="s">
        <v>2704</v>
      </c>
      <c r="U5277" t="s">
        <v>4560</v>
      </c>
      <c r="V5277" s="2">
        <v>664</v>
      </c>
      <c r="W5277" t="s">
        <v>4655</v>
      </c>
      <c r="X5277" s="2">
        <v>0</v>
      </c>
      <c r="Y5277">
        <v>20</v>
      </c>
      <c r="Z5277" t="s">
        <v>1491</v>
      </c>
      <c r="AA5277" s="3">
        <v>0.146992653608322</v>
      </c>
      <c r="AB5277" t="s">
        <v>26783</v>
      </c>
      <c r="AC5277" t="s">
        <v>4575</v>
      </c>
      <c r="AD5277" t="s">
        <v>26784</v>
      </c>
      <c r="AE5277" t="s">
        <v>4655</v>
      </c>
      <c r="AF5277" t="s">
        <v>4563</v>
      </c>
      <c r="AG5277" t="s">
        <v>4564</v>
      </c>
      <c r="AH5277">
        <v>89511</v>
      </c>
      <c r="AI5277" t="s">
        <v>26785</v>
      </c>
      <c r="AJ5277" t="s">
        <v>1123</v>
      </c>
      <c r="AK5277" t="s">
        <v>26786</v>
      </c>
      <c r="AL5277" s="13" t="s">
        <v>2257</v>
      </c>
      <c r="AM5277">
        <v>1</v>
      </c>
      <c r="AN5277" s="15" t="s">
        <v>1124</v>
      </c>
    </row>
    <row r="5278" spans="1:40" x14ac:dyDescent="0.3">
      <c r="A5278" s="10" t="str">
        <f>HYPERLINK("http://www.washoecounty.gov/assessor/cama/?parid=160-601-05&amp;CardNumber=1","160-601-05")</f>
        <v>160-601-05</v>
      </c>
      <c r="B5278" t="s">
        <v>4655</v>
      </c>
      <c r="C5278" t="s">
        <v>26787</v>
      </c>
      <c r="D5278" s="1">
        <v>40347</v>
      </c>
      <c r="E5278" s="2">
        <v>180000</v>
      </c>
      <c r="F5278" t="s">
        <v>4567</v>
      </c>
      <c r="G5278" s="17" t="str">
        <f>HYPERLINK("https://www.washoecounty.gov/assessor/cama/?command=sales&amp;parid=16060105","3893552")</f>
        <v>3893552</v>
      </c>
      <c r="H5278" t="s">
        <v>1122</v>
      </c>
      <c r="I5278">
        <v>1999</v>
      </c>
      <c r="J5278">
        <v>1999</v>
      </c>
      <c r="K5278" t="s">
        <v>4554</v>
      </c>
      <c r="L5278" t="s">
        <v>4555</v>
      </c>
      <c r="M5278" s="2">
        <v>1733</v>
      </c>
      <c r="N5278" t="s">
        <v>5280</v>
      </c>
      <c r="O5278">
        <v>2</v>
      </c>
      <c r="P5278">
        <v>2</v>
      </c>
      <c r="Q5278">
        <v>0</v>
      </c>
      <c r="R5278" t="s">
        <v>5281</v>
      </c>
      <c r="S5278" t="s">
        <v>4898</v>
      </c>
      <c r="T5278" t="s">
        <v>2704</v>
      </c>
      <c r="U5278" t="s">
        <v>4560</v>
      </c>
      <c r="V5278" s="2">
        <v>384</v>
      </c>
      <c r="W5278" t="s">
        <v>4655</v>
      </c>
      <c r="X5278" s="2">
        <v>0</v>
      </c>
      <c r="Y5278">
        <v>20</v>
      </c>
      <c r="Z5278" t="s">
        <v>1491</v>
      </c>
      <c r="AA5278" s="3">
        <v>0.108999080955982</v>
      </c>
      <c r="AB5278" t="s">
        <v>26788</v>
      </c>
      <c r="AC5278" t="s">
        <v>4562</v>
      </c>
      <c r="AD5278" t="s">
        <v>26787</v>
      </c>
      <c r="AE5278" t="s">
        <v>4655</v>
      </c>
      <c r="AF5278" t="s">
        <v>4563</v>
      </c>
      <c r="AG5278" t="s">
        <v>4564</v>
      </c>
      <c r="AH5278" t="s">
        <v>5197</v>
      </c>
      <c r="AI5278" t="s">
        <v>26789</v>
      </c>
      <c r="AJ5278" t="s">
        <v>1123</v>
      </c>
      <c r="AK5278" t="s">
        <v>26790</v>
      </c>
      <c r="AL5278" s="13" t="s">
        <v>2257</v>
      </c>
      <c r="AM5278" s="14">
        <v>1</v>
      </c>
      <c r="AN5278" s="15" t="s">
        <v>1124</v>
      </c>
    </row>
    <row r="5279" spans="1:40" x14ac:dyDescent="0.3">
      <c r="A5279" s="10" t="str">
        <f>HYPERLINK("http://www.washoecounty.gov/assessor/cama/?parid=160-602-03&amp;CardNumber=1","160-602-03")</f>
        <v>160-602-03</v>
      </c>
      <c r="B5279" t="s">
        <v>4655</v>
      </c>
      <c r="C5279" t="s">
        <v>26791</v>
      </c>
      <c r="D5279" s="1">
        <v>40527</v>
      </c>
      <c r="E5279" s="2">
        <v>196000</v>
      </c>
      <c r="F5279" t="s">
        <v>4553</v>
      </c>
      <c r="G5279" s="17" t="str">
        <f>HYPERLINK("https://www.washoecounty.gov/assessor/cama/?command=sales&amp;parid=16060203","3953690")</f>
        <v>3953690</v>
      </c>
      <c r="H5279" t="s">
        <v>1122</v>
      </c>
      <c r="I5279">
        <v>1999</v>
      </c>
      <c r="J5279">
        <v>1999</v>
      </c>
      <c r="K5279" t="s">
        <v>4554</v>
      </c>
      <c r="L5279" t="s">
        <v>4555</v>
      </c>
      <c r="M5279" s="2">
        <v>1733</v>
      </c>
      <c r="N5279" t="s">
        <v>5280</v>
      </c>
      <c r="O5279">
        <v>2</v>
      </c>
      <c r="P5279">
        <v>2</v>
      </c>
      <c r="Q5279">
        <v>0</v>
      </c>
      <c r="R5279" t="s">
        <v>5281</v>
      </c>
      <c r="S5279" t="s">
        <v>4898</v>
      </c>
      <c r="T5279" t="s">
        <v>2704</v>
      </c>
      <c r="U5279" t="s">
        <v>4560</v>
      </c>
      <c r="V5279" s="2">
        <v>384</v>
      </c>
      <c r="W5279" t="s">
        <v>4655</v>
      </c>
      <c r="X5279" s="2">
        <v>0</v>
      </c>
      <c r="Y5279">
        <v>20</v>
      </c>
      <c r="Z5279" t="s">
        <v>1491</v>
      </c>
      <c r="AA5279" s="3">
        <v>0.11799816042184801</v>
      </c>
      <c r="AB5279" t="s">
        <v>26792</v>
      </c>
      <c r="AC5279" t="s">
        <v>4562</v>
      </c>
      <c r="AD5279" t="s">
        <v>26791</v>
      </c>
      <c r="AE5279" t="s">
        <v>4655</v>
      </c>
      <c r="AF5279" t="s">
        <v>4563</v>
      </c>
      <c r="AG5279" t="s">
        <v>4564</v>
      </c>
      <c r="AH5279" t="s">
        <v>5197</v>
      </c>
      <c r="AI5279" t="s">
        <v>4565</v>
      </c>
      <c r="AJ5279" t="s">
        <v>1123</v>
      </c>
      <c r="AK5279" t="s">
        <v>26793</v>
      </c>
      <c r="AL5279" s="13" t="s">
        <v>2257</v>
      </c>
      <c r="AM5279">
        <v>1</v>
      </c>
      <c r="AN5279" s="15" t="s">
        <v>1124</v>
      </c>
    </row>
    <row r="5280" spans="1:40" x14ac:dyDescent="0.3">
      <c r="A5280" s="10" t="str">
        <f>HYPERLINK("http://www.washoecounty.gov/assessor/cama/?parid=160-612-27&amp;CardNumber=1","160-612-27")</f>
        <v>160-612-27</v>
      </c>
      <c r="B5280" t="s">
        <v>4655</v>
      </c>
      <c r="C5280" t="s">
        <v>26794</v>
      </c>
      <c r="D5280" s="1">
        <v>40359</v>
      </c>
      <c r="E5280" s="2">
        <v>217000</v>
      </c>
      <c r="F5280" t="s">
        <v>4567</v>
      </c>
      <c r="G5280" s="17" t="str">
        <f>HYPERLINK("https://www.washoecounty.gov/assessor/cama/?command=sales&amp;parid=16061227","3897502")</f>
        <v>3897502</v>
      </c>
      <c r="H5280" t="s">
        <v>4912</v>
      </c>
      <c r="I5280">
        <v>2001</v>
      </c>
      <c r="J5280">
        <v>2001</v>
      </c>
      <c r="K5280" t="s">
        <v>4554</v>
      </c>
      <c r="L5280" t="s">
        <v>4555</v>
      </c>
      <c r="M5280" s="2">
        <v>1943</v>
      </c>
      <c r="N5280" t="s">
        <v>5280</v>
      </c>
      <c r="O5280">
        <v>3</v>
      </c>
      <c r="P5280">
        <v>2</v>
      </c>
      <c r="Q5280">
        <v>0</v>
      </c>
      <c r="R5280" t="s">
        <v>5281</v>
      </c>
      <c r="S5280" t="s">
        <v>4898</v>
      </c>
      <c r="T5280" t="s">
        <v>2704</v>
      </c>
      <c r="U5280" t="s">
        <v>4560</v>
      </c>
      <c r="V5280" s="2">
        <v>462</v>
      </c>
      <c r="W5280" t="s">
        <v>4655</v>
      </c>
      <c r="X5280" s="2">
        <v>0</v>
      </c>
      <c r="Y5280">
        <v>20</v>
      </c>
      <c r="Z5280" t="s">
        <v>1491</v>
      </c>
      <c r="AA5280" s="3">
        <v>0.14201101660728499</v>
      </c>
      <c r="AB5280" t="s">
        <v>26795</v>
      </c>
      <c r="AC5280" t="s">
        <v>4562</v>
      </c>
      <c r="AD5280" t="s">
        <v>26794</v>
      </c>
      <c r="AE5280" t="s">
        <v>4655</v>
      </c>
      <c r="AF5280" t="s">
        <v>4563</v>
      </c>
      <c r="AG5280" t="s">
        <v>4564</v>
      </c>
      <c r="AH5280" t="s">
        <v>5197</v>
      </c>
      <c r="AI5280" t="s">
        <v>4913</v>
      </c>
      <c r="AJ5280" t="s">
        <v>4914</v>
      </c>
      <c r="AK5280" t="s">
        <v>26796</v>
      </c>
      <c r="AL5280" s="13" t="s">
        <v>2257</v>
      </c>
      <c r="AM5280">
        <v>1</v>
      </c>
      <c r="AN5280" s="15" t="s">
        <v>1124</v>
      </c>
    </row>
    <row r="5281" spans="1:40" x14ac:dyDescent="0.3">
      <c r="A5281" s="10" t="str">
        <f>HYPERLINK("http://www.washoecounty.gov/assessor/cama/?parid=160-652-04&amp;CardNumber=1","160-652-04")</f>
        <v>160-652-04</v>
      </c>
      <c r="B5281" t="s">
        <v>4655</v>
      </c>
      <c r="C5281" t="s">
        <v>26797</v>
      </c>
      <c r="D5281" s="1">
        <v>40373</v>
      </c>
      <c r="E5281" s="2">
        <v>197500</v>
      </c>
      <c r="F5281" t="s">
        <v>4553</v>
      </c>
      <c r="G5281" s="17" t="str">
        <f>HYPERLINK("https://www.washoecounty.gov/assessor/cama/?command=sales&amp;parid=16065204","3901453")</f>
        <v>3901453</v>
      </c>
      <c r="H5281" t="s">
        <v>2826</v>
      </c>
      <c r="I5281">
        <v>2005</v>
      </c>
      <c r="J5281">
        <v>2005</v>
      </c>
      <c r="K5281" t="s">
        <v>4554</v>
      </c>
      <c r="L5281" t="s">
        <v>4555</v>
      </c>
      <c r="M5281" s="2">
        <v>1593</v>
      </c>
      <c r="N5281" t="s">
        <v>5280</v>
      </c>
      <c r="O5281">
        <v>3</v>
      </c>
      <c r="P5281">
        <v>2</v>
      </c>
      <c r="Q5281">
        <v>0</v>
      </c>
      <c r="R5281" t="s">
        <v>5281</v>
      </c>
      <c r="S5281" t="s">
        <v>4898</v>
      </c>
      <c r="T5281" t="s">
        <v>2704</v>
      </c>
      <c r="U5281" t="s">
        <v>4560</v>
      </c>
      <c r="V5281" s="2">
        <v>540</v>
      </c>
      <c r="W5281" t="s">
        <v>4655</v>
      </c>
      <c r="X5281" s="2">
        <v>0</v>
      </c>
      <c r="Y5281">
        <v>20</v>
      </c>
      <c r="Z5281" t="s">
        <v>1491</v>
      </c>
      <c r="AA5281" s="3">
        <v>0.17800734937191001</v>
      </c>
      <c r="AB5281" t="s">
        <v>26798</v>
      </c>
      <c r="AC5281" t="s">
        <v>4575</v>
      </c>
      <c r="AD5281" t="s">
        <v>26799</v>
      </c>
      <c r="AE5281" t="s">
        <v>26800</v>
      </c>
      <c r="AF5281" t="s">
        <v>4563</v>
      </c>
      <c r="AG5281" t="s">
        <v>4564</v>
      </c>
      <c r="AH5281">
        <v>89511</v>
      </c>
      <c r="AI5281" t="s">
        <v>2351</v>
      </c>
      <c r="AJ5281" t="s">
        <v>2827</v>
      </c>
      <c r="AK5281" t="s">
        <v>26801</v>
      </c>
      <c r="AL5281" s="13" t="s">
        <v>2257</v>
      </c>
      <c r="AM5281">
        <v>1</v>
      </c>
      <c r="AN5281" s="15" t="s">
        <v>532</v>
      </c>
    </row>
    <row r="5282" spans="1:40" x14ac:dyDescent="0.3">
      <c r="A5282" s="10" t="str">
        <f>HYPERLINK("http://www.washoecounty.gov/assessor/cama/?parid=160-652-11&amp;CardNumber=1","160-652-11")</f>
        <v>160-652-11</v>
      </c>
      <c r="B5282" t="s">
        <v>4655</v>
      </c>
      <c r="C5282" t="s">
        <v>26802</v>
      </c>
      <c r="D5282" s="1">
        <v>40200</v>
      </c>
      <c r="E5282" s="2">
        <v>222000</v>
      </c>
      <c r="F5282" t="s">
        <v>4553</v>
      </c>
      <c r="G5282" s="17" t="str">
        <f>HYPERLINK("https://www.washoecounty.gov/assessor/cama/?command=sales&amp;parid=16065211","3842039")</f>
        <v>3842039</v>
      </c>
      <c r="H5282" t="s">
        <v>2826</v>
      </c>
      <c r="I5282">
        <v>2000</v>
      </c>
      <c r="J5282">
        <v>2000</v>
      </c>
      <c r="K5282" t="s">
        <v>4554</v>
      </c>
      <c r="L5282" t="s">
        <v>4555</v>
      </c>
      <c r="M5282" s="2">
        <v>1443</v>
      </c>
      <c r="N5282" t="s">
        <v>5280</v>
      </c>
      <c r="O5282">
        <v>3</v>
      </c>
      <c r="P5282">
        <v>2</v>
      </c>
      <c r="Q5282">
        <v>0</v>
      </c>
      <c r="R5282" t="s">
        <v>5281</v>
      </c>
      <c r="S5282" t="s">
        <v>4898</v>
      </c>
      <c r="T5282" t="s">
        <v>2704</v>
      </c>
      <c r="U5282" t="s">
        <v>4560</v>
      </c>
      <c r="V5282" s="2">
        <v>484</v>
      </c>
      <c r="W5282" t="s">
        <v>4655</v>
      </c>
      <c r="X5282" s="2">
        <v>0</v>
      </c>
      <c r="Y5282">
        <v>20</v>
      </c>
      <c r="Z5282" t="s">
        <v>1491</v>
      </c>
      <c r="AA5282" s="3">
        <v>0.20700183510780301</v>
      </c>
      <c r="AB5282" t="s">
        <v>26803</v>
      </c>
      <c r="AC5282" t="s">
        <v>4562</v>
      </c>
      <c r="AD5282" t="s">
        <v>26802</v>
      </c>
      <c r="AE5282" t="s">
        <v>4655</v>
      </c>
      <c r="AF5282" t="s">
        <v>4563</v>
      </c>
      <c r="AG5282" t="s">
        <v>4564</v>
      </c>
      <c r="AH5282" t="s">
        <v>5197</v>
      </c>
      <c r="AI5282" t="s">
        <v>4903</v>
      </c>
      <c r="AJ5282" t="s">
        <v>2827</v>
      </c>
      <c r="AK5282" t="s">
        <v>26804</v>
      </c>
      <c r="AL5282" s="13" t="s">
        <v>2257</v>
      </c>
      <c r="AM5282">
        <v>1</v>
      </c>
      <c r="AN5282" s="15" t="s">
        <v>532</v>
      </c>
    </row>
    <row r="5283" spans="1:40" x14ac:dyDescent="0.3">
      <c r="A5283" s="10" t="str">
        <f>HYPERLINK("http://www.washoecounty.gov/assessor/cama/?parid=160-652-13&amp;CardNumber=1","160-652-13")</f>
        <v>160-652-13</v>
      </c>
      <c r="B5283" t="s">
        <v>4655</v>
      </c>
      <c r="C5283" t="s">
        <v>26805</v>
      </c>
      <c r="D5283" s="1">
        <v>40305</v>
      </c>
      <c r="E5283" s="2">
        <v>187590</v>
      </c>
      <c r="F5283" t="s">
        <v>4567</v>
      </c>
      <c r="G5283" s="17" t="str">
        <f>HYPERLINK("https://www.washoecounty.gov/assessor/cama/?command=sales&amp;parid=16065213","3879477")</f>
        <v>3879477</v>
      </c>
      <c r="H5283" t="s">
        <v>2826</v>
      </c>
      <c r="I5283">
        <v>2000</v>
      </c>
      <c r="J5283">
        <v>2000</v>
      </c>
      <c r="K5283" t="s">
        <v>4554</v>
      </c>
      <c r="L5283" t="s">
        <v>4555</v>
      </c>
      <c r="M5283" s="2">
        <v>1443</v>
      </c>
      <c r="N5283" t="s">
        <v>5280</v>
      </c>
      <c r="O5283">
        <v>3</v>
      </c>
      <c r="P5283">
        <v>2</v>
      </c>
      <c r="Q5283">
        <v>0</v>
      </c>
      <c r="R5283" t="s">
        <v>5281</v>
      </c>
      <c r="S5283" t="s">
        <v>4898</v>
      </c>
      <c r="T5283" t="s">
        <v>2704</v>
      </c>
      <c r="U5283" t="s">
        <v>4560</v>
      </c>
      <c r="V5283" s="2">
        <v>484</v>
      </c>
      <c r="W5283" t="s">
        <v>4655</v>
      </c>
      <c r="X5283" s="2">
        <v>0</v>
      </c>
      <c r="Y5283">
        <v>20</v>
      </c>
      <c r="Z5283" t="s">
        <v>1491</v>
      </c>
      <c r="AA5283" s="3">
        <v>0.15300734341144601</v>
      </c>
      <c r="AB5283" t="s">
        <v>26806</v>
      </c>
      <c r="AC5283" t="s">
        <v>4575</v>
      </c>
      <c r="AD5283" t="s">
        <v>26807</v>
      </c>
      <c r="AE5283" t="s">
        <v>4655</v>
      </c>
      <c r="AF5283" t="s">
        <v>225</v>
      </c>
      <c r="AG5283" t="s">
        <v>4584</v>
      </c>
      <c r="AH5283" t="s">
        <v>2595</v>
      </c>
      <c r="AI5283" t="s">
        <v>26808</v>
      </c>
      <c r="AJ5283" t="s">
        <v>2827</v>
      </c>
      <c r="AK5283" t="s">
        <v>26809</v>
      </c>
      <c r="AL5283" s="13" t="s">
        <v>2257</v>
      </c>
      <c r="AM5283">
        <v>1</v>
      </c>
      <c r="AN5283" s="15" t="s">
        <v>532</v>
      </c>
    </row>
    <row r="5284" spans="1:40" x14ac:dyDescent="0.3">
      <c r="A5284" s="10" t="str">
        <f>HYPERLINK("http://www.washoecounty.gov/assessor/cama/?parid=160-652-19&amp;CardNumber=1","160-652-19")</f>
        <v>160-652-19</v>
      </c>
      <c r="B5284" t="s">
        <v>4655</v>
      </c>
      <c r="C5284" t="s">
        <v>26810</v>
      </c>
      <c r="D5284" s="1">
        <v>40326</v>
      </c>
      <c r="E5284" s="2">
        <v>180000</v>
      </c>
      <c r="F5284" t="s">
        <v>4567</v>
      </c>
      <c r="G5284" s="17" t="str">
        <f>HYPERLINK("https://www.washoecounty.gov/assessor/cama/?command=sales&amp;parid=16065219","3886812")</f>
        <v>3886812</v>
      </c>
      <c r="H5284" t="s">
        <v>2826</v>
      </c>
      <c r="I5284">
        <v>2001</v>
      </c>
      <c r="J5284">
        <v>2001</v>
      </c>
      <c r="K5284" t="s">
        <v>4554</v>
      </c>
      <c r="L5284" t="s">
        <v>4555</v>
      </c>
      <c r="M5284" s="2">
        <v>1593</v>
      </c>
      <c r="N5284" t="s">
        <v>5280</v>
      </c>
      <c r="O5284">
        <v>3</v>
      </c>
      <c r="P5284">
        <v>2</v>
      </c>
      <c r="Q5284">
        <v>0</v>
      </c>
      <c r="R5284" t="s">
        <v>5281</v>
      </c>
      <c r="S5284" t="s">
        <v>4898</v>
      </c>
      <c r="T5284" t="s">
        <v>2704</v>
      </c>
      <c r="U5284" t="s">
        <v>4560</v>
      </c>
      <c r="V5284" s="2">
        <v>540</v>
      </c>
      <c r="W5284" t="s">
        <v>4655</v>
      </c>
      <c r="X5284" s="2">
        <v>0</v>
      </c>
      <c r="Y5284">
        <v>20</v>
      </c>
      <c r="Z5284" t="s">
        <v>1491</v>
      </c>
      <c r="AA5284" s="3">
        <v>0.135009184479713</v>
      </c>
      <c r="AB5284" t="s">
        <v>26811</v>
      </c>
      <c r="AC5284" t="s">
        <v>4575</v>
      </c>
      <c r="AD5284" t="s">
        <v>26812</v>
      </c>
      <c r="AE5284" t="s">
        <v>4655</v>
      </c>
      <c r="AF5284" t="s">
        <v>4563</v>
      </c>
      <c r="AG5284" t="s">
        <v>4564</v>
      </c>
      <c r="AH5284" t="s">
        <v>5197</v>
      </c>
      <c r="AI5284" t="s">
        <v>26813</v>
      </c>
      <c r="AJ5284" t="s">
        <v>2827</v>
      </c>
      <c r="AK5284" t="s">
        <v>26814</v>
      </c>
      <c r="AL5284" s="13" t="s">
        <v>2257</v>
      </c>
      <c r="AM5284">
        <v>1</v>
      </c>
      <c r="AN5284" s="15" t="s">
        <v>532</v>
      </c>
    </row>
    <row r="5285" spans="1:40" x14ac:dyDescent="0.3">
      <c r="A5285" s="10" t="str">
        <f>HYPERLINK("http://www.washoecounty.gov/assessor/cama/?parid=160-654-01&amp;CardNumber=1","160-654-01")</f>
        <v>160-654-01</v>
      </c>
      <c r="B5285" t="s">
        <v>4655</v>
      </c>
      <c r="C5285" t="s">
        <v>26815</v>
      </c>
      <c r="D5285" s="1">
        <v>40382</v>
      </c>
      <c r="E5285" s="2">
        <v>215000</v>
      </c>
      <c r="F5285" t="s">
        <v>4567</v>
      </c>
      <c r="G5285" s="17" t="str">
        <f>HYPERLINK("https://www.washoecounty.gov/assessor/cama/?command=sales&amp;parid=16065401","3904414")</f>
        <v>3904414</v>
      </c>
      <c r="H5285" t="s">
        <v>2826</v>
      </c>
      <c r="I5285">
        <v>2000</v>
      </c>
      <c r="J5285">
        <v>2000</v>
      </c>
      <c r="K5285" t="s">
        <v>4554</v>
      </c>
      <c r="L5285" t="s">
        <v>4555</v>
      </c>
      <c r="M5285" s="2">
        <v>1593</v>
      </c>
      <c r="N5285" t="s">
        <v>5280</v>
      </c>
      <c r="O5285">
        <v>3</v>
      </c>
      <c r="P5285">
        <v>2</v>
      </c>
      <c r="Q5285">
        <v>0</v>
      </c>
      <c r="R5285" t="s">
        <v>5281</v>
      </c>
      <c r="S5285" t="s">
        <v>4898</v>
      </c>
      <c r="T5285" t="s">
        <v>2704</v>
      </c>
      <c r="U5285" t="s">
        <v>4560</v>
      </c>
      <c r="V5285" s="2">
        <v>540</v>
      </c>
      <c r="W5285" t="s">
        <v>4655</v>
      </c>
      <c r="X5285" s="2">
        <v>0</v>
      </c>
      <c r="Y5285">
        <v>20</v>
      </c>
      <c r="Z5285" t="s">
        <v>1491</v>
      </c>
      <c r="AA5285" s="3">
        <v>0.24100092053413399</v>
      </c>
      <c r="AB5285" t="s">
        <v>26816</v>
      </c>
      <c r="AC5285" t="s">
        <v>4562</v>
      </c>
      <c r="AD5285" t="s">
        <v>26815</v>
      </c>
      <c r="AE5285" t="s">
        <v>4655</v>
      </c>
      <c r="AF5285" t="s">
        <v>4563</v>
      </c>
      <c r="AG5285" t="s">
        <v>4564</v>
      </c>
      <c r="AH5285" t="s">
        <v>5197</v>
      </c>
      <c r="AI5285" t="s">
        <v>26817</v>
      </c>
      <c r="AJ5285" t="s">
        <v>2827</v>
      </c>
      <c r="AK5285" t="s">
        <v>26818</v>
      </c>
      <c r="AL5285" s="13" t="s">
        <v>2257</v>
      </c>
      <c r="AM5285" s="14">
        <v>1</v>
      </c>
      <c r="AN5285" s="15" t="s">
        <v>532</v>
      </c>
    </row>
    <row r="5286" spans="1:40" x14ac:dyDescent="0.3">
      <c r="A5286" s="10" t="str">
        <f>HYPERLINK("http://www.washoecounty.gov/assessor/cama/?parid=160-671-02&amp;CardNumber=1","160-671-02")</f>
        <v>160-671-02</v>
      </c>
      <c r="B5286" t="s">
        <v>4655</v>
      </c>
      <c r="C5286" t="s">
        <v>26819</v>
      </c>
      <c r="D5286" s="1">
        <v>40515</v>
      </c>
      <c r="E5286" s="2">
        <v>248000</v>
      </c>
      <c r="F5286" t="s">
        <v>4553</v>
      </c>
      <c r="G5286" s="17" t="str">
        <f>HYPERLINK("https://www.washoecounty.gov/assessor/cama/?command=sales&amp;parid=16067102","3949180")</f>
        <v>3949180</v>
      </c>
      <c r="H5286" t="s">
        <v>4317</v>
      </c>
      <c r="I5286">
        <v>2002</v>
      </c>
      <c r="J5286">
        <v>2002</v>
      </c>
      <c r="K5286" t="s">
        <v>4554</v>
      </c>
      <c r="L5286" t="s">
        <v>3974</v>
      </c>
      <c r="M5286" s="2">
        <v>2582</v>
      </c>
      <c r="N5286" t="s">
        <v>5280</v>
      </c>
      <c r="O5286">
        <v>4</v>
      </c>
      <c r="P5286">
        <v>3</v>
      </c>
      <c r="Q5286">
        <v>0</v>
      </c>
      <c r="R5286" t="s">
        <v>5281</v>
      </c>
      <c r="S5286" t="s">
        <v>4898</v>
      </c>
      <c r="T5286" t="s">
        <v>2704</v>
      </c>
      <c r="U5286" t="s">
        <v>5631</v>
      </c>
      <c r="V5286" s="2">
        <v>519</v>
      </c>
      <c r="W5286" t="s">
        <v>4655</v>
      </c>
      <c r="X5286" s="2">
        <v>0</v>
      </c>
      <c r="Y5286">
        <v>20</v>
      </c>
      <c r="Z5286" t="s">
        <v>1491</v>
      </c>
      <c r="AA5286" s="3">
        <v>0.148002758622169</v>
      </c>
      <c r="AB5286" t="s">
        <v>26820</v>
      </c>
      <c r="AC5286" t="s">
        <v>4562</v>
      </c>
      <c r="AD5286" t="s">
        <v>26821</v>
      </c>
      <c r="AE5286" t="s">
        <v>4655</v>
      </c>
      <c r="AF5286" t="s">
        <v>4563</v>
      </c>
      <c r="AG5286" t="s">
        <v>4564</v>
      </c>
      <c r="AH5286" t="s">
        <v>5197</v>
      </c>
      <c r="AI5286" t="s">
        <v>4655</v>
      </c>
      <c r="AJ5286" t="s">
        <v>4318</v>
      </c>
      <c r="AK5286" t="s">
        <v>26822</v>
      </c>
      <c r="AL5286" s="13" t="s">
        <v>2257</v>
      </c>
      <c r="AM5286">
        <v>1</v>
      </c>
      <c r="AN5286" s="15" t="s">
        <v>532</v>
      </c>
    </row>
    <row r="5287" spans="1:40" x14ac:dyDescent="0.3">
      <c r="A5287" s="10" t="str">
        <f>HYPERLINK("http://www.washoecounty.gov/assessor/cama/?parid=160-681-04&amp;CardNumber=1","160-681-04")</f>
        <v>160-681-04</v>
      </c>
      <c r="B5287" t="s">
        <v>4655</v>
      </c>
      <c r="C5287" t="s">
        <v>26823</v>
      </c>
      <c r="D5287" s="1">
        <v>40315</v>
      </c>
      <c r="E5287" s="2">
        <v>275000</v>
      </c>
      <c r="F5287" t="s">
        <v>4567</v>
      </c>
      <c r="G5287" s="17" t="str">
        <f>HYPERLINK("https://www.washoecounty.gov/assessor/cama/?command=sales&amp;parid=16068104","3882058")</f>
        <v>3882058</v>
      </c>
      <c r="H5287" t="s">
        <v>4317</v>
      </c>
      <c r="I5287">
        <v>2002</v>
      </c>
      <c r="J5287">
        <v>2002</v>
      </c>
      <c r="K5287" t="s">
        <v>4554</v>
      </c>
      <c r="L5287" t="s">
        <v>3974</v>
      </c>
      <c r="M5287" s="2">
        <v>2582</v>
      </c>
      <c r="N5287" t="s">
        <v>5280</v>
      </c>
      <c r="O5287">
        <v>4</v>
      </c>
      <c r="P5287">
        <v>2</v>
      </c>
      <c r="Q5287">
        <v>1</v>
      </c>
      <c r="R5287" t="s">
        <v>4557</v>
      </c>
      <c r="S5287" t="s">
        <v>4898</v>
      </c>
      <c r="T5287" t="s">
        <v>2704</v>
      </c>
      <c r="U5287" t="s">
        <v>5631</v>
      </c>
      <c r="V5287" s="2">
        <v>519</v>
      </c>
      <c r="W5287" t="s">
        <v>4655</v>
      </c>
      <c r="X5287" s="2">
        <v>0</v>
      </c>
      <c r="Y5287">
        <v>20</v>
      </c>
      <c r="Z5287" t="s">
        <v>1491</v>
      </c>
      <c r="AA5287" s="3">
        <v>0.14400826394558</v>
      </c>
      <c r="AB5287" t="s">
        <v>26824</v>
      </c>
      <c r="AC5287" t="s">
        <v>4562</v>
      </c>
      <c r="AD5287" t="s">
        <v>26823</v>
      </c>
      <c r="AE5287" t="s">
        <v>4655</v>
      </c>
      <c r="AF5287" t="s">
        <v>4563</v>
      </c>
      <c r="AG5287" t="s">
        <v>4564</v>
      </c>
      <c r="AH5287" t="s">
        <v>5197</v>
      </c>
      <c r="AI5287" t="s">
        <v>26825</v>
      </c>
      <c r="AJ5287" t="s">
        <v>4318</v>
      </c>
      <c r="AK5287" t="s">
        <v>26826</v>
      </c>
      <c r="AL5287" s="13" t="s">
        <v>2257</v>
      </c>
      <c r="AM5287">
        <v>1</v>
      </c>
      <c r="AN5287" s="15" t="s">
        <v>532</v>
      </c>
    </row>
    <row r="5288" spans="1:40" x14ac:dyDescent="0.3">
      <c r="A5288" s="10" t="str">
        <f>HYPERLINK("http://www.washoecounty.gov/assessor/cama/?parid=160-681-09&amp;CardNumber=1","160-681-09")</f>
        <v>160-681-09</v>
      </c>
      <c r="B5288" t="s">
        <v>4655</v>
      </c>
      <c r="C5288" t="s">
        <v>26827</v>
      </c>
      <c r="D5288" s="1">
        <v>40479</v>
      </c>
      <c r="E5288" s="2">
        <v>160000</v>
      </c>
      <c r="F5288" t="s">
        <v>4567</v>
      </c>
      <c r="G5288" s="17" t="str">
        <f>HYPERLINK("https://www.washoecounty.gov/assessor/cama/?command=sales&amp;parid=16068109","3937985")</f>
        <v>3937985</v>
      </c>
      <c r="H5288" t="s">
        <v>4317</v>
      </c>
      <c r="I5288">
        <v>2002</v>
      </c>
      <c r="J5288">
        <v>2002</v>
      </c>
      <c r="K5288" t="s">
        <v>4554</v>
      </c>
      <c r="L5288" t="s">
        <v>4555</v>
      </c>
      <c r="M5288" s="2">
        <v>1398</v>
      </c>
      <c r="N5288" t="s">
        <v>5280</v>
      </c>
      <c r="O5288">
        <v>2</v>
      </c>
      <c r="P5288">
        <v>2</v>
      </c>
      <c r="Q5288">
        <v>0</v>
      </c>
      <c r="R5288" t="s">
        <v>4557</v>
      </c>
      <c r="S5288" t="s">
        <v>4898</v>
      </c>
      <c r="T5288" t="s">
        <v>2704</v>
      </c>
      <c r="U5288" t="s">
        <v>4560</v>
      </c>
      <c r="V5288" s="2">
        <v>397</v>
      </c>
      <c r="W5288" t="s">
        <v>4655</v>
      </c>
      <c r="X5288" s="2">
        <v>0</v>
      </c>
      <c r="Y5288">
        <v>20</v>
      </c>
      <c r="Z5288" t="s">
        <v>1491</v>
      </c>
      <c r="AA5288" s="3">
        <v>0.13599632680416099</v>
      </c>
      <c r="AB5288" t="s">
        <v>26828</v>
      </c>
      <c r="AC5288" t="s">
        <v>4562</v>
      </c>
      <c r="AD5288" t="s">
        <v>26829</v>
      </c>
      <c r="AE5288" t="s">
        <v>4655</v>
      </c>
      <c r="AF5288" t="s">
        <v>4563</v>
      </c>
      <c r="AG5288" t="s">
        <v>4564</v>
      </c>
      <c r="AH5288" t="s">
        <v>5197</v>
      </c>
      <c r="AI5288" t="s">
        <v>26830</v>
      </c>
      <c r="AJ5288" t="s">
        <v>4318</v>
      </c>
      <c r="AK5288" t="s">
        <v>26831</v>
      </c>
      <c r="AL5288" s="13" t="s">
        <v>2257</v>
      </c>
      <c r="AM5288" s="14">
        <v>1</v>
      </c>
      <c r="AN5288" s="15" t="s">
        <v>532</v>
      </c>
    </row>
    <row r="5289" spans="1:40" x14ac:dyDescent="0.3">
      <c r="A5289" s="10" t="str">
        <f>HYPERLINK("http://www.washoecounty.gov/assessor/cama/?parid=160-682-10&amp;CardNumber=1","160-682-10")</f>
        <v>160-682-10</v>
      </c>
      <c r="B5289" t="s">
        <v>4655</v>
      </c>
      <c r="C5289" t="s">
        <v>26832</v>
      </c>
      <c r="D5289" s="1">
        <v>40500</v>
      </c>
      <c r="E5289" s="2">
        <v>245680</v>
      </c>
      <c r="F5289" t="s">
        <v>4567</v>
      </c>
      <c r="G5289" s="17" t="str">
        <f>HYPERLINK("https://www.washoecounty.gov/assessor/cama/?command=sales&amp;parid=16068210","3944650")</f>
        <v>3944650</v>
      </c>
      <c r="H5289" t="s">
        <v>4317</v>
      </c>
      <c r="I5289">
        <v>2002</v>
      </c>
      <c r="J5289">
        <v>2002</v>
      </c>
      <c r="K5289" t="s">
        <v>4554</v>
      </c>
      <c r="L5289" t="s">
        <v>3974</v>
      </c>
      <c r="M5289" s="2">
        <v>2582</v>
      </c>
      <c r="N5289" t="s">
        <v>5280</v>
      </c>
      <c r="O5289">
        <v>4</v>
      </c>
      <c r="P5289">
        <v>3</v>
      </c>
      <c r="Q5289">
        <v>0</v>
      </c>
      <c r="R5289" t="s">
        <v>5281</v>
      </c>
      <c r="S5289" t="s">
        <v>4898</v>
      </c>
      <c r="T5289" t="s">
        <v>2704</v>
      </c>
      <c r="U5289" t="s">
        <v>5631</v>
      </c>
      <c r="V5289" s="2">
        <v>519</v>
      </c>
      <c r="W5289" t="s">
        <v>4655</v>
      </c>
      <c r="X5289" s="2">
        <v>0</v>
      </c>
      <c r="Y5289">
        <v>20</v>
      </c>
      <c r="Z5289" t="s">
        <v>1491</v>
      </c>
      <c r="AA5289" s="3">
        <v>0.13599632680416099</v>
      </c>
      <c r="AB5289" t="s">
        <v>26833</v>
      </c>
      <c r="AC5289" t="s">
        <v>4575</v>
      </c>
      <c r="AD5289" t="s">
        <v>26834</v>
      </c>
      <c r="AE5289" t="s">
        <v>4655</v>
      </c>
      <c r="AF5289" t="s">
        <v>2851</v>
      </c>
      <c r="AG5289" t="s">
        <v>4584</v>
      </c>
      <c r="AH5289" t="s">
        <v>45</v>
      </c>
      <c r="AI5289" t="s">
        <v>26835</v>
      </c>
      <c r="AJ5289" t="s">
        <v>4318</v>
      </c>
      <c r="AK5289" t="s">
        <v>26836</v>
      </c>
      <c r="AL5289" s="13" t="s">
        <v>2257</v>
      </c>
      <c r="AM5289">
        <v>1</v>
      </c>
      <c r="AN5289" s="15" t="s">
        <v>532</v>
      </c>
    </row>
    <row r="5290" spans="1:40" x14ac:dyDescent="0.3">
      <c r="A5290" s="10" t="str">
        <f>HYPERLINK("http://www.washoecounty.gov/assessor/cama/?parid=160-686-14&amp;CardNumber=1","160-686-14")</f>
        <v>160-686-14</v>
      </c>
      <c r="B5290" t="s">
        <v>4655</v>
      </c>
      <c r="C5290" t="s">
        <v>26837</v>
      </c>
      <c r="D5290" s="1">
        <v>40438</v>
      </c>
      <c r="E5290" s="2">
        <v>184000</v>
      </c>
      <c r="F5290" t="s">
        <v>4553</v>
      </c>
      <c r="G5290" s="17" t="str">
        <f>HYPERLINK("https://www.washoecounty.gov/assessor/cama/?command=sales&amp;parid=16068614","3923616")</f>
        <v>3923616</v>
      </c>
      <c r="H5290" t="s">
        <v>4317</v>
      </c>
      <c r="I5290">
        <v>2002</v>
      </c>
      <c r="J5290">
        <v>2002</v>
      </c>
      <c r="K5290" t="s">
        <v>4554</v>
      </c>
      <c r="L5290" t="s">
        <v>4555</v>
      </c>
      <c r="M5290" s="2">
        <v>1765</v>
      </c>
      <c r="N5290" t="s">
        <v>5280</v>
      </c>
      <c r="O5290">
        <v>3</v>
      </c>
      <c r="P5290">
        <v>2</v>
      </c>
      <c r="Q5290">
        <v>0</v>
      </c>
      <c r="R5290" t="s">
        <v>5281</v>
      </c>
      <c r="S5290" t="s">
        <v>4898</v>
      </c>
      <c r="T5290" t="s">
        <v>2704</v>
      </c>
      <c r="U5290" t="s">
        <v>4560</v>
      </c>
      <c r="V5290" s="2">
        <v>440</v>
      </c>
      <c r="W5290" t="s">
        <v>4655</v>
      </c>
      <c r="X5290" s="2">
        <v>0</v>
      </c>
      <c r="Y5290">
        <v>20</v>
      </c>
      <c r="Z5290" t="s">
        <v>1491</v>
      </c>
      <c r="AA5290" s="3">
        <v>0.17398989200591999</v>
      </c>
      <c r="AB5290" t="s">
        <v>26838</v>
      </c>
      <c r="AC5290" t="s">
        <v>4562</v>
      </c>
      <c r="AD5290" t="s">
        <v>26837</v>
      </c>
      <c r="AE5290" t="s">
        <v>4655</v>
      </c>
      <c r="AF5290" t="s">
        <v>4563</v>
      </c>
      <c r="AG5290" t="s">
        <v>4564</v>
      </c>
      <c r="AH5290">
        <v>89501</v>
      </c>
      <c r="AI5290" t="s">
        <v>1673</v>
      </c>
      <c r="AJ5290" t="s">
        <v>26839</v>
      </c>
      <c r="AK5290" t="s">
        <v>26840</v>
      </c>
      <c r="AL5290" s="13" t="s">
        <v>2257</v>
      </c>
      <c r="AM5290">
        <v>1</v>
      </c>
      <c r="AN5290" s="15" t="s">
        <v>532</v>
      </c>
    </row>
    <row r="5291" spans="1:40" x14ac:dyDescent="0.3">
      <c r="A5291" s="10" t="str">
        <f>HYPERLINK("http://www.washoecounty.gov/assessor/cama/?parid=160-710-08&amp;CardNumber=1","160-710-08")</f>
        <v>160-710-08</v>
      </c>
      <c r="B5291" t="s">
        <v>4655</v>
      </c>
      <c r="C5291" t="s">
        <v>26841</v>
      </c>
      <c r="D5291" s="1">
        <v>40379</v>
      </c>
      <c r="E5291" s="2">
        <v>255000</v>
      </c>
      <c r="F5291" t="s">
        <v>4567</v>
      </c>
      <c r="G5291" s="17" t="str">
        <f>HYPERLINK("https://www.washoecounty.gov/assessor/cama/?command=sales&amp;parid=16071008","3903230")</f>
        <v>3903230</v>
      </c>
      <c r="H5291" t="s">
        <v>3460</v>
      </c>
      <c r="I5291">
        <v>2001</v>
      </c>
      <c r="J5291">
        <v>2001</v>
      </c>
      <c r="K5291" t="s">
        <v>4554</v>
      </c>
      <c r="L5291" t="s">
        <v>4555</v>
      </c>
      <c r="M5291" s="2">
        <v>1943</v>
      </c>
      <c r="N5291" t="s">
        <v>5280</v>
      </c>
      <c r="O5291">
        <v>3</v>
      </c>
      <c r="P5291">
        <v>2</v>
      </c>
      <c r="Q5291">
        <v>0</v>
      </c>
      <c r="R5291" t="s">
        <v>5281</v>
      </c>
      <c r="S5291" t="s">
        <v>4898</v>
      </c>
      <c r="T5291" t="s">
        <v>2704</v>
      </c>
      <c r="U5291" t="s">
        <v>4560</v>
      </c>
      <c r="V5291" s="2">
        <v>580</v>
      </c>
      <c r="W5291" t="s">
        <v>4655</v>
      </c>
      <c r="X5291" s="2">
        <v>0</v>
      </c>
      <c r="Y5291">
        <v>20</v>
      </c>
      <c r="Z5291" t="s">
        <v>1491</v>
      </c>
      <c r="AA5291" s="3">
        <v>0.18298898637294769</v>
      </c>
      <c r="AB5291" t="s">
        <v>26842</v>
      </c>
      <c r="AC5291" t="s">
        <v>4562</v>
      </c>
      <c r="AD5291" t="s">
        <v>26841</v>
      </c>
      <c r="AE5291" t="s">
        <v>4655</v>
      </c>
      <c r="AF5291" t="s">
        <v>4563</v>
      </c>
      <c r="AG5291" t="s">
        <v>4564</v>
      </c>
      <c r="AH5291" t="s">
        <v>5197</v>
      </c>
      <c r="AI5291" t="s">
        <v>26843</v>
      </c>
      <c r="AJ5291" t="s">
        <v>4034</v>
      </c>
      <c r="AK5291" t="s">
        <v>26844</v>
      </c>
      <c r="AL5291" s="13" t="s">
        <v>2257</v>
      </c>
      <c r="AM5291">
        <v>1</v>
      </c>
      <c r="AN5291" s="15" t="s">
        <v>532</v>
      </c>
    </row>
    <row r="5292" spans="1:40" x14ac:dyDescent="0.3">
      <c r="A5292" s="10" t="str">
        <f>HYPERLINK("http://www.washoecounty.gov/assessor/cama/?parid=160-721-20&amp;CardNumber=1","160-721-20")</f>
        <v>160-721-20</v>
      </c>
      <c r="B5292" t="s">
        <v>4655</v>
      </c>
      <c r="C5292" t="s">
        <v>26845</v>
      </c>
      <c r="D5292" s="1">
        <v>40354</v>
      </c>
      <c r="E5292" s="2">
        <v>269500</v>
      </c>
      <c r="F5292" t="s">
        <v>4567</v>
      </c>
      <c r="G5292" s="17" t="str">
        <f>HYPERLINK("https://www.washoecounty.gov/assessor/cama/?command=sales&amp;parid=16072120","3895253")</f>
        <v>3895253</v>
      </c>
      <c r="H5292" t="s">
        <v>2056</v>
      </c>
      <c r="I5292">
        <v>2001</v>
      </c>
      <c r="J5292">
        <v>2001</v>
      </c>
      <c r="K5292" t="s">
        <v>4554</v>
      </c>
      <c r="L5292" t="s">
        <v>4555</v>
      </c>
      <c r="M5292" s="2">
        <v>2234</v>
      </c>
      <c r="N5292" t="s">
        <v>5280</v>
      </c>
      <c r="O5292">
        <v>4</v>
      </c>
      <c r="P5292">
        <v>2</v>
      </c>
      <c r="Q5292">
        <v>0</v>
      </c>
      <c r="R5292" t="s">
        <v>5281</v>
      </c>
      <c r="S5292" t="s">
        <v>4898</v>
      </c>
      <c r="T5292" t="s">
        <v>2704</v>
      </c>
      <c r="U5292" t="s">
        <v>4560</v>
      </c>
      <c r="V5292" s="2">
        <v>592</v>
      </c>
      <c r="W5292" t="s">
        <v>4655</v>
      </c>
      <c r="X5292" s="2">
        <v>0</v>
      </c>
      <c r="Y5292">
        <v>20</v>
      </c>
      <c r="Z5292" t="s">
        <v>1491</v>
      </c>
      <c r="AA5292" s="3">
        <v>0.17199265956878662</v>
      </c>
      <c r="AB5292" t="s">
        <v>26846</v>
      </c>
      <c r="AC5292" t="s">
        <v>4575</v>
      </c>
      <c r="AD5292" t="s">
        <v>26847</v>
      </c>
      <c r="AE5292" t="s">
        <v>4655</v>
      </c>
      <c r="AF5292" t="s">
        <v>5151</v>
      </c>
      <c r="AG5292" t="s">
        <v>4564</v>
      </c>
      <c r="AH5292">
        <v>89701</v>
      </c>
      <c r="AI5292" t="s">
        <v>26848</v>
      </c>
      <c r="AJ5292" t="s">
        <v>2459</v>
      </c>
      <c r="AK5292" t="s">
        <v>26849</v>
      </c>
      <c r="AL5292" s="13" t="s">
        <v>2257</v>
      </c>
      <c r="AM5292">
        <v>1</v>
      </c>
      <c r="AN5292" s="15" t="s">
        <v>532</v>
      </c>
    </row>
    <row r="5293" spans="1:40" x14ac:dyDescent="0.3">
      <c r="A5293" s="10" t="str">
        <f>HYPERLINK("http://www.washoecounty.gov/assessor/cama/?parid=160-721-31&amp;CardNumber=1","160-721-31")</f>
        <v>160-721-31</v>
      </c>
      <c r="B5293" t="s">
        <v>4655</v>
      </c>
      <c r="C5293" t="s">
        <v>26850</v>
      </c>
      <c r="D5293" s="1">
        <v>40527</v>
      </c>
      <c r="E5293" s="2">
        <v>209000</v>
      </c>
      <c r="F5293" t="s">
        <v>4567</v>
      </c>
      <c r="G5293" s="17" t="str">
        <f>HYPERLINK("https://www.washoecounty.gov/assessor/cama/?command=sales&amp;parid=16072131","3953705")</f>
        <v>3953705</v>
      </c>
      <c r="H5293" t="s">
        <v>2056</v>
      </c>
      <c r="I5293">
        <v>2000</v>
      </c>
      <c r="J5293">
        <v>2000</v>
      </c>
      <c r="K5293" t="s">
        <v>4554</v>
      </c>
      <c r="L5293" t="s">
        <v>4555</v>
      </c>
      <c r="M5293" s="2">
        <v>1706</v>
      </c>
      <c r="N5293" t="s">
        <v>5280</v>
      </c>
      <c r="O5293">
        <v>3</v>
      </c>
      <c r="P5293">
        <v>2</v>
      </c>
      <c r="Q5293">
        <v>0</v>
      </c>
      <c r="R5293" t="s">
        <v>5281</v>
      </c>
      <c r="S5293" t="s">
        <v>4898</v>
      </c>
      <c r="T5293" t="s">
        <v>2704</v>
      </c>
      <c r="U5293" t="s">
        <v>4560</v>
      </c>
      <c r="V5293" s="2">
        <v>587</v>
      </c>
      <c r="W5293" t="s">
        <v>4655</v>
      </c>
      <c r="X5293" s="2">
        <v>0</v>
      </c>
      <c r="Y5293">
        <v>20</v>
      </c>
      <c r="Z5293" t="s">
        <v>1491</v>
      </c>
      <c r="AA5293" s="3">
        <v>0.21999540925025901</v>
      </c>
      <c r="AB5293" t="s">
        <v>26851</v>
      </c>
      <c r="AC5293" t="s">
        <v>4575</v>
      </c>
      <c r="AD5293" t="s">
        <v>26852</v>
      </c>
      <c r="AE5293" t="s">
        <v>4655</v>
      </c>
      <c r="AF5293" t="s">
        <v>2849</v>
      </c>
      <c r="AG5293" t="s">
        <v>4584</v>
      </c>
      <c r="AH5293" t="s">
        <v>2178</v>
      </c>
      <c r="AI5293" t="s">
        <v>26853</v>
      </c>
      <c r="AJ5293" t="s">
        <v>2459</v>
      </c>
      <c r="AK5293" t="s">
        <v>26854</v>
      </c>
      <c r="AL5293" s="13" t="s">
        <v>2257</v>
      </c>
      <c r="AM5293" s="14">
        <v>1</v>
      </c>
      <c r="AN5293" s="15" t="s">
        <v>532</v>
      </c>
    </row>
    <row r="5294" spans="1:40" x14ac:dyDescent="0.3">
      <c r="A5294" s="10" t="str">
        <f>HYPERLINK("http://www.washoecounty.gov/assessor/cama/?parid=160-722-12&amp;CardNumber=1","160-722-12")</f>
        <v>160-722-12</v>
      </c>
      <c r="B5294" t="s">
        <v>4655</v>
      </c>
      <c r="C5294" t="s">
        <v>26855</v>
      </c>
      <c r="D5294" s="1">
        <v>40542</v>
      </c>
      <c r="E5294" s="2">
        <v>183000</v>
      </c>
      <c r="F5294" t="s">
        <v>4567</v>
      </c>
      <c r="G5294" s="17" t="str">
        <f>HYPERLINK("https://www.washoecounty.gov/assessor/cama/?command=sales&amp;parid=16072212","3959384")</f>
        <v>3959384</v>
      </c>
      <c r="H5294" t="s">
        <v>2056</v>
      </c>
      <c r="I5294">
        <v>2001</v>
      </c>
      <c r="J5294">
        <v>2001</v>
      </c>
      <c r="K5294" t="s">
        <v>4554</v>
      </c>
      <c r="L5294" t="s">
        <v>4555</v>
      </c>
      <c r="M5294" s="2">
        <v>1706</v>
      </c>
      <c r="N5294" t="s">
        <v>5280</v>
      </c>
      <c r="O5294">
        <v>3</v>
      </c>
      <c r="P5294">
        <v>2</v>
      </c>
      <c r="Q5294">
        <v>0</v>
      </c>
      <c r="R5294" t="s">
        <v>5281</v>
      </c>
      <c r="S5294" t="s">
        <v>4898</v>
      </c>
      <c r="T5294" t="s">
        <v>2704</v>
      </c>
      <c r="U5294" t="s">
        <v>4560</v>
      </c>
      <c r="V5294" s="2">
        <v>587</v>
      </c>
      <c r="W5294" t="s">
        <v>4655</v>
      </c>
      <c r="X5294" s="2">
        <v>0</v>
      </c>
      <c r="Y5294">
        <v>20</v>
      </c>
      <c r="Z5294" t="s">
        <v>1491</v>
      </c>
      <c r="AA5294" s="3">
        <v>0.18500918149948101</v>
      </c>
      <c r="AB5294" t="s">
        <v>26856</v>
      </c>
      <c r="AC5294" t="s">
        <v>4562</v>
      </c>
      <c r="AD5294" t="s">
        <v>26857</v>
      </c>
      <c r="AE5294" t="s">
        <v>4655</v>
      </c>
      <c r="AF5294" t="s">
        <v>4563</v>
      </c>
      <c r="AG5294" t="s">
        <v>4564</v>
      </c>
      <c r="AH5294" t="s">
        <v>5197</v>
      </c>
      <c r="AI5294" t="s">
        <v>26858</v>
      </c>
      <c r="AJ5294" t="s">
        <v>2459</v>
      </c>
      <c r="AK5294" t="s">
        <v>26859</v>
      </c>
      <c r="AL5294" s="13" t="s">
        <v>2257</v>
      </c>
      <c r="AM5294">
        <v>1</v>
      </c>
      <c r="AN5294" s="15" t="s">
        <v>532</v>
      </c>
    </row>
    <row r="5295" spans="1:40" x14ac:dyDescent="0.3">
      <c r="A5295" s="10" t="str">
        <f>HYPERLINK("http://www.washoecounty.gov/assessor/cama/?parid=160-722-20&amp;CardNumber=1","160-722-20")</f>
        <v>160-722-20</v>
      </c>
      <c r="B5295" t="s">
        <v>4655</v>
      </c>
      <c r="C5295" t="s">
        <v>26860</v>
      </c>
      <c r="D5295" s="1">
        <v>40500</v>
      </c>
      <c r="E5295" s="2">
        <v>189900</v>
      </c>
      <c r="F5295" t="s">
        <v>4553</v>
      </c>
      <c r="G5295" s="17" t="str">
        <f>HYPERLINK("https://www.washoecounty.gov/assessor/cama/?command=sales&amp;parid=16072220","3944271")</f>
        <v>3944271</v>
      </c>
      <c r="H5295" t="s">
        <v>2056</v>
      </c>
      <c r="I5295">
        <v>2001</v>
      </c>
      <c r="J5295">
        <v>2001</v>
      </c>
      <c r="K5295" t="s">
        <v>4554</v>
      </c>
      <c r="L5295" t="s">
        <v>4555</v>
      </c>
      <c r="M5295" s="2">
        <v>1706</v>
      </c>
      <c r="N5295" t="s">
        <v>5280</v>
      </c>
      <c r="O5295">
        <v>3</v>
      </c>
      <c r="P5295">
        <v>2</v>
      </c>
      <c r="Q5295">
        <v>0</v>
      </c>
      <c r="R5295" t="s">
        <v>5281</v>
      </c>
      <c r="S5295" t="s">
        <v>4898</v>
      </c>
      <c r="T5295" t="s">
        <v>2704</v>
      </c>
      <c r="U5295" t="s">
        <v>4560</v>
      </c>
      <c r="V5295" s="2">
        <v>587</v>
      </c>
      <c r="W5295" t="s">
        <v>4655</v>
      </c>
      <c r="X5295" s="2">
        <v>0</v>
      </c>
      <c r="Y5295">
        <v>20</v>
      </c>
      <c r="Z5295" t="s">
        <v>1491</v>
      </c>
      <c r="AA5295" s="3">
        <v>0.20101010799408001</v>
      </c>
      <c r="AB5295" t="s">
        <v>26861</v>
      </c>
      <c r="AC5295" t="s">
        <v>4562</v>
      </c>
      <c r="AD5295" t="s">
        <v>26860</v>
      </c>
      <c r="AE5295" t="s">
        <v>4655</v>
      </c>
      <c r="AF5295" t="s">
        <v>4563</v>
      </c>
      <c r="AG5295" t="s">
        <v>4564</v>
      </c>
      <c r="AH5295" t="s">
        <v>5197</v>
      </c>
      <c r="AI5295" t="s">
        <v>4655</v>
      </c>
      <c r="AJ5295" t="s">
        <v>2459</v>
      </c>
      <c r="AK5295" t="s">
        <v>26862</v>
      </c>
      <c r="AL5295" s="13" t="s">
        <v>2257</v>
      </c>
      <c r="AM5295">
        <v>1</v>
      </c>
      <c r="AN5295" s="15" t="s">
        <v>532</v>
      </c>
    </row>
    <row r="5296" spans="1:40" x14ac:dyDescent="0.3">
      <c r="A5296" s="10" t="str">
        <f>HYPERLINK("http://www.washoecounty.gov/assessor/cama/?parid=160-751-14&amp;CardNumber=1","160-751-14")</f>
        <v>160-751-14</v>
      </c>
      <c r="B5296" t="s">
        <v>4655</v>
      </c>
      <c r="C5296" t="s">
        <v>26863</v>
      </c>
      <c r="D5296" s="1">
        <v>40290</v>
      </c>
      <c r="E5296" s="2">
        <v>255000</v>
      </c>
      <c r="F5296" t="s">
        <v>4567</v>
      </c>
      <c r="G5296" s="17" t="str">
        <f>HYPERLINK("https://www.washoecounty.gov/assessor/cama/?command=sales&amp;parid=16075114","3873835")</f>
        <v>3873835</v>
      </c>
      <c r="H5296" t="s">
        <v>2828</v>
      </c>
      <c r="I5296">
        <v>2001</v>
      </c>
      <c r="J5296">
        <v>2001</v>
      </c>
      <c r="K5296" t="s">
        <v>4554</v>
      </c>
      <c r="L5296" t="s">
        <v>4555</v>
      </c>
      <c r="M5296" s="2">
        <v>2234</v>
      </c>
      <c r="N5296" t="s">
        <v>5280</v>
      </c>
      <c r="O5296">
        <v>3</v>
      </c>
      <c r="P5296">
        <v>2</v>
      </c>
      <c r="Q5296">
        <v>0</v>
      </c>
      <c r="R5296" t="s">
        <v>5281</v>
      </c>
      <c r="S5296" t="s">
        <v>4898</v>
      </c>
      <c r="T5296" t="s">
        <v>2704</v>
      </c>
      <c r="U5296" t="s">
        <v>4560</v>
      </c>
      <c r="V5296" s="2">
        <v>592</v>
      </c>
      <c r="W5296" t="s">
        <v>4655</v>
      </c>
      <c r="X5296" s="2">
        <v>0</v>
      </c>
      <c r="Y5296">
        <v>20</v>
      </c>
      <c r="Z5296" t="s">
        <v>1491</v>
      </c>
      <c r="AA5296" s="3">
        <v>0.167011022567749</v>
      </c>
      <c r="AB5296" t="s">
        <v>26864</v>
      </c>
      <c r="AC5296" t="s">
        <v>4562</v>
      </c>
      <c r="AD5296" t="s">
        <v>26865</v>
      </c>
      <c r="AE5296" t="s">
        <v>4655</v>
      </c>
      <c r="AF5296" t="s">
        <v>4563</v>
      </c>
      <c r="AG5296" t="s">
        <v>4564</v>
      </c>
      <c r="AH5296" t="s">
        <v>5197</v>
      </c>
      <c r="AI5296" t="s">
        <v>26866</v>
      </c>
      <c r="AJ5296" t="s">
        <v>2830</v>
      </c>
      <c r="AK5296" t="s">
        <v>26867</v>
      </c>
      <c r="AL5296" s="13" t="s">
        <v>2257</v>
      </c>
      <c r="AM5296">
        <v>1</v>
      </c>
      <c r="AN5296" s="15" t="s">
        <v>532</v>
      </c>
    </row>
    <row r="5297" spans="1:40" x14ac:dyDescent="0.3">
      <c r="A5297" s="10" t="str">
        <f>HYPERLINK("http://www.washoecounty.gov/assessor/cama/?parid=160-752-05&amp;CardNumber=1","160-752-05")</f>
        <v>160-752-05</v>
      </c>
      <c r="B5297" t="s">
        <v>4655</v>
      </c>
      <c r="C5297" t="s">
        <v>26868</v>
      </c>
      <c r="D5297" s="1">
        <v>40211</v>
      </c>
      <c r="E5297" s="2">
        <v>240000</v>
      </c>
      <c r="F5297" t="s">
        <v>4553</v>
      </c>
      <c r="G5297" s="17" t="str">
        <f>HYPERLINK("https://www.washoecounty.gov/assessor/cama/?command=sales&amp;parid=16075205","3845417")</f>
        <v>3845417</v>
      </c>
      <c r="H5297" t="s">
        <v>2828</v>
      </c>
      <c r="I5297">
        <v>2001</v>
      </c>
      <c r="J5297">
        <v>2001</v>
      </c>
      <c r="K5297" t="s">
        <v>4554</v>
      </c>
      <c r="L5297" t="s">
        <v>4555</v>
      </c>
      <c r="M5297" s="2">
        <v>1706</v>
      </c>
      <c r="N5297" t="s">
        <v>5280</v>
      </c>
      <c r="O5297">
        <v>3</v>
      </c>
      <c r="P5297">
        <v>2</v>
      </c>
      <c r="Q5297">
        <v>0</v>
      </c>
      <c r="R5297" t="s">
        <v>5281</v>
      </c>
      <c r="S5297" t="s">
        <v>4898</v>
      </c>
      <c r="T5297" t="s">
        <v>2704</v>
      </c>
      <c r="U5297" t="s">
        <v>4560</v>
      </c>
      <c r="V5297" s="2">
        <v>587</v>
      </c>
      <c r="W5297" t="s">
        <v>4655</v>
      </c>
      <c r="X5297" s="2">
        <v>0</v>
      </c>
      <c r="Y5297">
        <v>20</v>
      </c>
      <c r="Z5297" t="s">
        <v>1491</v>
      </c>
      <c r="AA5297" s="3">
        <v>0.160009175539017</v>
      </c>
      <c r="AB5297" t="s">
        <v>26869</v>
      </c>
      <c r="AC5297" t="s">
        <v>4562</v>
      </c>
      <c r="AD5297" t="s">
        <v>26868</v>
      </c>
      <c r="AE5297" t="s">
        <v>4655</v>
      </c>
      <c r="AF5297" t="s">
        <v>4563</v>
      </c>
      <c r="AG5297" t="s">
        <v>4564</v>
      </c>
      <c r="AH5297" t="s">
        <v>5197</v>
      </c>
      <c r="AI5297" t="s">
        <v>2829</v>
      </c>
      <c r="AJ5297" t="s">
        <v>2830</v>
      </c>
      <c r="AK5297" t="s">
        <v>26870</v>
      </c>
      <c r="AL5297" s="13" t="s">
        <v>2257</v>
      </c>
      <c r="AM5297">
        <v>1</v>
      </c>
      <c r="AN5297" s="15" t="s">
        <v>532</v>
      </c>
    </row>
    <row r="5298" spans="1:40" x14ac:dyDescent="0.3">
      <c r="A5298" s="10" t="str">
        <f>HYPERLINK("http://www.washoecounty.gov/assessor/cama/?parid=160-761-05&amp;CardNumber=1","160-761-05")</f>
        <v>160-761-05</v>
      </c>
      <c r="B5298" t="s">
        <v>4655</v>
      </c>
      <c r="C5298" t="s">
        <v>26871</v>
      </c>
      <c r="D5298" s="1">
        <v>40284</v>
      </c>
      <c r="E5298" s="2">
        <v>206900</v>
      </c>
      <c r="F5298" t="s">
        <v>4553</v>
      </c>
      <c r="G5298" s="17" t="str">
        <f>HYPERLINK("https://www.washoecounty.gov/assessor/cama/?command=sales&amp;parid=16076105","3871943")</f>
        <v>3871943</v>
      </c>
      <c r="H5298" t="s">
        <v>2336</v>
      </c>
      <c r="I5298">
        <v>2001</v>
      </c>
      <c r="J5298">
        <v>2001</v>
      </c>
      <c r="K5298" t="s">
        <v>4554</v>
      </c>
      <c r="L5298" t="s">
        <v>4555</v>
      </c>
      <c r="M5298" s="2">
        <v>1593</v>
      </c>
      <c r="N5298" t="s">
        <v>5280</v>
      </c>
      <c r="O5298">
        <v>3</v>
      </c>
      <c r="P5298">
        <v>2</v>
      </c>
      <c r="Q5298">
        <v>0</v>
      </c>
      <c r="R5298" t="s">
        <v>5281</v>
      </c>
      <c r="S5298" t="s">
        <v>4898</v>
      </c>
      <c r="T5298" t="s">
        <v>2704</v>
      </c>
      <c r="U5298" t="s">
        <v>4560</v>
      </c>
      <c r="V5298" s="2">
        <v>540</v>
      </c>
      <c r="W5298" t="s">
        <v>4655</v>
      </c>
      <c r="X5298" s="2">
        <v>0</v>
      </c>
      <c r="Y5298">
        <v>20</v>
      </c>
      <c r="Z5298" t="s">
        <v>1491</v>
      </c>
      <c r="AA5298" s="3">
        <v>0.13298897445201899</v>
      </c>
      <c r="AB5298" t="s">
        <v>12020</v>
      </c>
      <c r="AC5298" t="s">
        <v>4562</v>
      </c>
      <c r="AD5298" t="s">
        <v>26871</v>
      </c>
      <c r="AE5298" t="s">
        <v>4655</v>
      </c>
      <c r="AF5298" t="s">
        <v>4563</v>
      </c>
      <c r="AG5298" t="s">
        <v>4564</v>
      </c>
      <c r="AH5298" t="s">
        <v>5197</v>
      </c>
      <c r="AI5298" t="s">
        <v>4045</v>
      </c>
      <c r="AJ5298" t="s">
        <v>1969</v>
      </c>
      <c r="AK5298" t="s">
        <v>26872</v>
      </c>
      <c r="AL5298" s="13" t="s">
        <v>2257</v>
      </c>
      <c r="AM5298">
        <v>1</v>
      </c>
      <c r="AN5298" s="15" t="s">
        <v>532</v>
      </c>
    </row>
    <row r="5299" spans="1:40" x14ac:dyDescent="0.3">
      <c r="A5299" s="10" t="str">
        <f>HYPERLINK("http://www.washoecounty.gov/assessor/cama/?parid=160-761-09&amp;CardNumber=1","160-761-09")</f>
        <v>160-761-09</v>
      </c>
      <c r="B5299" t="s">
        <v>4655</v>
      </c>
      <c r="C5299" t="s">
        <v>26873</v>
      </c>
      <c r="D5299" s="1">
        <v>40277</v>
      </c>
      <c r="E5299" s="2">
        <v>210000</v>
      </c>
      <c r="F5299" t="s">
        <v>4567</v>
      </c>
      <c r="G5299" s="17" t="str">
        <f>HYPERLINK("https://www.washoecounty.gov/assessor/cama/?command=sales&amp;parid=16076109","3869505")</f>
        <v>3869505</v>
      </c>
      <c r="H5299" t="s">
        <v>2336</v>
      </c>
      <c r="I5299">
        <v>2001</v>
      </c>
      <c r="J5299">
        <v>2001</v>
      </c>
      <c r="K5299" t="s">
        <v>4554</v>
      </c>
      <c r="L5299" t="s">
        <v>4555</v>
      </c>
      <c r="M5299" s="2">
        <v>1443</v>
      </c>
      <c r="N5299" t="s">
        <v>5280</v>
      </c>
      <c r="O5299">
        <v>2</v>
      </c>
      <c r="P5299">
        <v>2</v>
      </c>
      <c r="Q5299">
        <v>0</v>
      </c>
      <c r="R5299" t="s">
        <v>5281</v>
      </c>
      <c r="S5299" t="s">
        <v>4898</v>
      </c>
      <c r="T5299" t="s">
        <v>2704</v>
      </c>
      <c r="U5299" t="s">
        <v>4560</v>
      </c>
      <c r="V5299" s="2">
        <v>484</v>
      </c>
      <c r="W5299" t="s">
        <v>4655</v>
      </c>
      <c r="X5299" s="2">
        <v>0</v>
      </c>
      <c r="Y5299">
        <v>20</v>
      </c>
      <c r="Z5299" t="s">
        <v>1491</v>
      </c>
      <c r="AA5299" s="3">
        <v>0.14201101660728499</v>
      </c>
      <c r="AB5299" t="s">
        <v>26874</v>
      </c>
      <c r="AC5299" t="s">
        <v>4562</v>
      </c>
      <c r="AD5299" t="s">
        <v>26873</v>
      </c>
      <c r="AE5299" t="s">
        <v>4655</v>
      </c>
      <c r="AF5299" t="s">
        <v>4563</v>
      </c>
      <c r="AG5299" t="s">
        <v>4564</v>
      </c>
      <c r="AH5299" t="s">
        <v>5197</v>
      </c>
      <c r="AI5299" t="s">
        <v>26875</v>
      </c>
      <c r="AJ5299" t="s">
        <v>1969</v>
      </c>
      <c r="AK5299" t="s">
        <v>26876</v>
      </c>
      <c r="AL5299" s="13" t="s">
        <v>2257</v>
      </c>
      <c r="AM5299" s="14">
        <v>1</v>
      </c>
      <c r="AN5299" s="15" t="s">
        <v>532</v>
      </c>
    </row>
    <row r="5300" spans="1:40" x14ac:dyDescent="0.3">
      <c r="A5300" s="10" t="str">
        <f>HYPERLINK("http://www.washoecounty.gov/assessor/cama/?parid=160-761-16&amp;CardNumber=1","160-761-16")</f>
        <v>160-761-16</v>
      </c>
      <c r="B5300" t="s">
        <v>4655</v>
      </c>
      <c r="C5300" t="s">
        <v>26877</v>
      </c>
      <c r="D5300" s="1">
        <v>40477</v>
      </c>
      <c r="E5300" s="2">
        <v>168500</v>
      </c>
      <c r="F5300" t="s">
        <v>4553</v>
      </c>
      <c r="G5300" s="17" t="str">
        <f>HYPERLINK("https://www.washoecounty.gov/assessor/cama/?command=sales&amp;parid=16076116","3936713")</f>
        <v>3936713</v>
      </c>
      <c r="H5300" t="s">
        <v>2336</v>
      </c>
      <c r="I5300">
        <v>2001</v>
      </c>
      <c r="J5300">
        <v>2001</v>
      </c>
      <c r="K5300" t="s">
        <v>4554</v>
      </c>
      <c r="L5300" t="s">
        <v>4555</v>
      </c>
      <c r="M5300" s="2">
        <v>1261</v>
      </c>
      <c r="N5300" t="s">
        <v>5280</v>
      </c>
      <c r="O5300">
        <v>2</v>
      </c>
      <c r="P5300">
        <v>2</v>
      </c>
      <c r="Q5300">
        <v>0</v>
      </c>
      <c r="R5300" t="s">
        <v>5281</v>
      </c>
      <c r="S5300" t="s">
        <v>4898</v>
      </c>
      <c r="T5300" t="s">
        <v>2704</v>
      </c>
      <c r="U5300" t="s">
        <v>4560</v>
      </c>
      <c r="V5300" s="2">
        <v>409</v>
      </c>
      <c r="W5300" t="s">
        <v>4655</v>
      </c>
      <c r="X5300" s="2">
        <v>0</v>
      </c>
      <c r="Y5300">
        <v>20</v>
      </c>
      <c r="Z5300" t="s">
        <v>1491</v>
      </c>
      <c r="AA5300" s="3">
        <v>0.13321854174137115</v>
      </c>
      <c r="AB5300" t="s">
        <v>26878</v>
      </c>
      <c r="AC5300" t="s">
        <v>4562</v>
      </c>
      <c r="AD5300" t="s">
        <v>26879</v>
      </c>
      <c r="AE5300" t="s">
        <v>4655</v>
      </c>
      <c r="AF5300" t="s">
        <v>4563</v>
      </c>
      <c r="AG5300" t="s">
        <v>4564</v>
      </c>
      <c r="AH5300" t="s">
        <v>5197</v>
      </c>
      <c r="AI5300" t="s">
        <v>4524</v>
      </c>
      <c r="AJ5300" t="s">
        <v>1969</v>
      </c>
      <c r="AK5300" t="s">
        <v>26880</v>
      </c>
      <c r="AL5300" s="13" t="s">
        <v>2257</v>
      </c>
      <c r="AM5300">
        <v>1</v>
      </c>
      <c r="AN5300" s="15" t="s">
        <v>532</v>
      </c>
    </row>
    <row r="5301" spans="1:40" x14ac:dyDescent="0.3">
      <c r="A5301" s="10" t="str">
        <f>HYPERLINK("http://www.washoecounty.gov/assessor/cama/?parid=160-761-26&amp;CardNumber=1","160-761-26")</f>
        <v>160-761-26</v>
      </c>
      <c r="B5301" t="s">
        <v>4655</v>
      </c>
      <c r="C5301" t="s">
        <v>26881</v>
      </c>
      <c r="D5301" s="1">
        <v>40533</v>
      </c>
      <c r="E5301" s="2">
        <v>169000</v>
      </c>
      <c r="F5301" t="s">
        <v>4567</v>
      </c>
      <c r="G5301" s="17" t="str">
        <f>HYPERLINK("https://www.washoecounty.gov/assessor/cama/?command=sales&amp;parid=16076126","3956058")</f>
        <v>3956058</v>
      </c>
      <c r="H5301" t="s">
        <v>2336</v>
      </c>
      <c r="I5301">
        <v>2001</v>
      </c>
      <c r="J5301">
        <v>2001</v>
      </c>
      <c r="K5301" t="s">
        <v>4554</v>
      </c>
      <c r="L5301" t="s">
        <v>4555</v>
      </c>
      <c r="M5301" s="2">
        <v>1261</v>
      </c>
      <c r="N5301" t="s">
        <v>5280</v>
      </c>
      <c r="O5301">
        <v>2</v>
      </c>
      <c r="P5301">
        <v>2</v>
      </c>
      <c r="Q5301">
        <v>0</v>
      </c>
      <c r="R5301" t="s">
        <v>5281</v>
      </c>
      <c r="S5301" t="s">
        <v>4898</v>
      </c>
      <c r="T5301" t="s">
        <v>2704</v>
      </c>
      <c r="U5301" t="s">
        <v>4560</v>
      </c>
      <c r="V5301" s="2">
        <v>409</v>
      </c>
      <c r="W5301" t="s">
        <v>4655</v>
      </c>
      <c r="X5301" s="2">
        <v>0</v>
      </c>
      <c r="Y5301">
        <v>20</v>
      </c>
      <c r="Z5301" t="s">
        <v>1491</v>
      </c>
      <c r="AA5301" s="3">
        <v>0.13900367915630299</v>
      </c>
      <c r="AB5301" t="s">
        <v>26882</v>
      </c>
      <c r="AC5301" t="s">
        <v>4562</v>
      </c>
      <c r="AD5301" t="s">
        <v>26881</v>
      </c>
      <c r="AE5301" t="s">
        <v>4655</v>
      </c>
      <c r="AF5301" t="s">
        <v>4563</v>
      </c>
      <c r="AG5301" t="s">
        <v>4564</v>
      </c>
      <c r="AH5301" t="s">
        <v>5197</v>
      </c>
      <c r="AI5301" t="s">
        <v>26883</v>
      </c>
      <c r="AJ5301" t="s">
        <v>1969</v>
      </c>
      <c r="AK5301" t="s">
        <v>26884</v>
      </c>
      <c r="AL5301" s="13" t="s">
        <v>2257</v>
      </c>
      <c r="AM5301">
        <v>1</v>
      </c>
      <c r="AN5301" s="15" t="s">
        <v>532</v>
      </c>
    </row>
    <row r="5302" spans="1:40" x14ac:dyDescent="0.3">
      <c r="A5302" s="10" t="str">
        <f>HYPERLINK("http://www.washoecounty.gov/assessor/cama/?parid=160-762-18&amp;CardNumber=1","160-762-18")</f>
        <v>160-762-18</v>
      </c>
      <c r="B5302" t="s">
        <v>4655</v>
      </c>
      <c r="C5302" t="s">
        <v>26885</v>
      </c>
      <c r="D5302" s="1">
        <v>40372</v>
      </c>
      <c r="E5302" s="2">
        <v>185000</v>
      </c>
      <c r="F5302" t="s">
        <v>4553</v>
      </c>
      <c r="G5302" s="17" t="str">
        <f>HYPERLINK("https://www.washoecounty.gov/assessor/cama/?command=sales&amp;parid=16076218","3900989")</f>
        <v>3900989</v>
      </c>
      <c r="H5302" t="s">
        <v>2336</v>
      </c>
      <c r="I5302">
        <v>2001</v>
      </c>
      <c r="J5302">
        <v>2001</v>
      </c>
      <c r="K5302" t="s">
        <v>4554</v>
      </c>
      <c r="L5302" t="s">
        <v>4555</v>
      </c>
      <c r="M5302" s="2">
        <v>1261</v>
      </c>
      <c r="N5302" t="s">
        <v>5280</v>
      </c>
      <c r="O5302">
        <v>3</v>
      </c>
      <c r="P5302">
        <v>2</v>
      </c>
      <c r="Q5302">
        <v>0</v>
      </c>
      <c r="R5302" t="s">
        <v>5281</v>
      </c>
      <c r="S5302" t="s">
        <v>4898</v>
      </c>
      <c r="T5302" t="s">
        <v>2704</v>
      </c>
      <c r="U5302" t="s">
        <v>4560</v>
      </c>
      <c r="V5302" s="2">
        <v>409</v>
      </c>
      <c r="W5302" t="s">
        <v>4655</v>
      </c>
      <c r="X5302" s="2">
        <v>0</v>
      </c>
      <c r="Y5302">
        <v>20</v>
      </c>
      <c r="Z5302" t="s">
        <v>1491</v>
      </c>
      <c r="AA5302" s="3">
        <v>0.19791093468666099</v>
      </c>
      <c r="AB5302" t="s">
        <v>26886</v>
      </c>
      <c r="AC5302" t="s">
        <v>4562</v>
      </c>
      <c r="AD5302" t="s">
        <v>26887</v>
      </c>
      <c r="AE5302" t="s">
        <v>4655</v>
      </c>
      <c r="AF5302" t="s">
        <v>26888</v>
      </c>
      <c r="AG5302" t="s">
        <v>4584</v>
      </c>
      <c r="AH5302" t="s">
        <v>4217</v>
      </c>
      <c r="AI5302" t="s">
        <v>4524</v>
      </c>
      <c r="AJ5302" t="s">
        <v>1969</v>
      </c>
      <c r="AK5302" t="s">
        <v>26889</v>
      </c>
      <c r="AL5302" s="13" t="s">
        <v>2257</v>
      </c>
      <c r="AM5302" s="14">
        <v>1</v>
      </c>
      <c r="AN5302" s="15" t="s">
        <v>532</v>
      </c>
    </row>
    <row r="5303" spans="1:40" x14ac:dyDescent="0.3">
      <c r="A5303" s="10" t="str">
        <f>HYPERLINK("http://www.washoecounty.gov/assessor/cama/?parid=160-772-08&amp;CardNumber=1","160-772-08")</f>
        <v>160-772-08</v>
      </c>
      <c r="B5303" t="s">
        <v>4655</v>
      </c>
      <c r="C5303" t="s">
        <v>26890</v>
      </c>
      <c r="D5303" s="1">
        <v>40287</v>
      </c>
      <c r="E5303" s="2">
        <v>163000</v>
      </c>
      <c r="F5303" t="s">
        <v>4553</v>
      </c>
      <c r="G5303" s="17" t="str">
        <f>HYPERLINK("https://www.washoecounty.gov/assessor/cama/?command=sales&amp;parid=16077208","3872216")</f>
        <v>3872216</v>
      </c>
      <c r="H5303" t="s">
        <v>2831</v>
      </c>
      <c r="I5303">
        <v>2002</v>
      </c>
      <c r="J5303">
        <v>2002</v>
      </c>
      <c r="K5303" t="s">
        <v>4554</v>
      </c>
      <c r="L5303" t="s">
        <v>4555</v>
      </c>
      <c r="M5303" s="2">
        <v>1470</v>
      </c>
      <c r="N5303" t="s">
        <v>5280</v>
      </c>
      <c r="O5303">
        <v>3</v>
      </c>
      <c r="P5303">
        <v>2</v>
      </c>
      <c r="Q5303">
        <v>0</v>
      </c>
      <c r="R5303" t="s">
        <v>5281</v>
      </c>
      <c r="S5303" t="s">
        <v>4898</v>
      </c>
      <c r="T5303" t="s">
        <v>2704</v>
      </c>
      <c r="U5303" t="s">
        <v>4560</v>
      </c>
      <c r="V5303" s="2">
        <v>480</v>
      </c>
      <c r="W5303" t="s">
        <v>4655</v>
      </c>
      <c r="X5303" s="2">
        <v>0</v>
      </c>
      <c r="Y5303">
        <v>20</v>
      </c>
      <c r="Z5303" t="s">
        <v>1491</v>
      </c>
      <c r="AA5303" s="3">
        <v>0.11391184478998199</v>
      </c>
      <c r="AB5303" t="s">
        <v>26891</v>
      </c>
      <c r="AC5303" t="s">
        <v>4562</v>
      </c>
      <c r="AD5303" t="s">
        <v>26890</v>
      </c>
      <c r="AE5303" t="s">
        <v>4655</v>
      </c>
      <c r="AF5303" t="s">
        <v>4563</v>
      </c>
      <c r="AG5303" t="s">
        <v>4564</v>
      </c>
      <c r="AH5303" t="s">
        <v>5197</v>
      </c>
      <c r="AI5303" t="s">
        <v>4848</v>
      </c>
      <c r="AJ5303" t="s">
        <v>2816</v>
      </c>
      <c r="AK5303" t="s">
        <v>26892</v>
      </c>
      <c r="AL5303" s="13" t="s">
        <v>2257</v>
      </c>
      <c r="AM5303" s="14">
        <v>1</v>
      </c>
      <c r="AN5303" s="15" t="s">
        <v>571</v>
      </c>
    </row>
    <row r="5304" spans="1:40" x14ac:dyDescent="0.3">
      <c r="A5304" s="10" t="str">
        <f>HYPERLINK("http://www.washoecounty.gov/assessor/cama/?parid=160-772-09&amp;CardNumber=1","160-772-09")</f>
        <v>160-772-09</v>
      </c>
      <c r="B5304" t="s">
        <v>4655</v>
      </c>
      <c r="C5304" t="s">
        <v>26893</v>
      </c>
      <c r="D5304" s="1">
        <v>40206</v>
      </c>
      <c r="E5304" s="2">
        <v>160000</v>
      </c>
      <c r="F5304" t="s">
        <v>4567</v>
      </c>
      <c r="G5304" s="17" t="str">
        <f>HYPERLINK("https://www.washoecounty.gov/assessor/cama/?command=sales&amp;parid=16077209","3843694")</f>
        <v>3843694</v>
      </c>
      <c r="H5304" t="s">
        <v>2831</v>
      </c>
      <c r="I5304">
        <v>2002</v>
      </c>
      <c r="J5304">
        <v>2002</v>
      </c>
      <c r="K5304" t="s">
        <v>4554</v>
      </c>
      <c r="L5304" t="s">
        <v>4555</v>
      </c>
      <c r="M5304" s="2">
        <v>1272</v>
      </c>
      <c r="N5304" t="s">
        <v>5280</v>
      </c>
      <c r="O5304">
        <v>2</v>
      </c>
      <c r="P5304">
        <v>2</v>
      </c>
      <c r="Q5304">
        <v>0</v>
      </c>
      <c r="R5304" t="s">
        <v>5281</v>
      </c>
      <c r="S5304" t="s">
        <v>4898</v>
      </c>
      <c r="T5304" t="s">
        <v>2704</v>
      </c>
      <c r="U5304" t="s">
        <v>4560</v>
      </c>
      <c r="V5304" s="2">
        <v>528</v>
      </c>
      <c r="W5304" t="s">
        <v>4655</v>
      </c>
      <c r="X5304" s="2">
        <v>0</v>
      </c>
      <c r="Y5304">
        <v>20</v>
      </c>
      <c r="Z5304" t="s">
        <v>1491</v>
      </c>
      <c r="AA5304" s="3">
        <v>0.110169880092144</v>
      </c>
      <c r="AB5304" t="s">
        <v>26894</v>
      </c>
      <c r="AC5304" t="s">
        <v>4575</v>
      </c>
      <c r="AD5304" t="s">
        <v>26893</v>
      </c>
      <c r="AE5304" t="s">
        <v>4655</v>
      </c>
      <c r="AF5304" t="s">
        <v>4563</v>
      </c>
      <c r="AG5304" t="s">
        <v>4564</v>
      </c>
      <c r="AH5304" t="s">
        <v>5197</v>
      </c>
      <c r="AI5304" t="s">
        <v>26895</v>
      </c>
      <c r="AJ5304" t="s">
        <v>2816</v>
      </c>
      <c r="AK5304" t="s">
        <v>26896</v>
      </c>
      <c r="AL5304" s="13" t="s">
        <v>2257</v>
      </c>
      <c r="AM5304">
        <v>1</v>
      </c>
      <c r="AN5304" s="15" t="s">
        <v>571</v>
      </c>
    </row>
    <row r="5305" spans="1:40" x14ac:dyDescent="0.3">
      <c r="A5305" s="10" t="str">
        <f>HYPERLINK("http://www.washoecounty.gov/assessor/cama/?parid=160-772-15&amp;CardNumber=1","160-772-15")</f>
        <v>160-772-15</v>
      </c>
      <c r="B5305" t="s">
        <v>4655</v>
      </c>
      <c r="C5305" t="s">
        <v>26897</v>
      </c>
      <c r="D5305" s="1">
        <v>40315</v>
      </c>
      <c r="E5305" s="2">
        <v>199900</v>
      </c>
      <c r="F5305" t="s">
        <v>4553</v>
      </c>
      <c r="G5305" s="17" t="str">
        <f>HYPERLINK("https://www.washoecounty.gov/assessor/cama/?command=sales&amp;parid=16077215","3882092")</f>
        <v>3882092</v>
      </c>
      <c r="H5305" t="s">
        <v>2831</v>
      </c>
      <c r="I5305">
        <v>2002</v>
      </c>
      <c r="J5305">
        <v>2002</v>
      </c>
      <c r="K5305" t="s">
        <v>4554</v>
      </c>
      <c r="L5305" t="s">
        <v>3974</v>
      </c>
      <c r="M5305" s="2">
        <v>2037</v>
      </c>
      <c r="N5305" t="s">
        <v>5280</v>
      </c>
      <c r="O5305">
        <v>3</v>
      </c>
      <c r="P5305">
        <v>3</v>
      </c>
      <c r="Q5305">
        <v>0</v>
      </c>
      <c r="R5305" t="s">
        <v>5281</v>
      </c>
      <c r="S5305" t="s">
        <v>4898</v>
      </c>
      <c r="T5305" t="s">
        <v>2704</v>
      </c>
      <c r="U5305" t="s">
        <v>4560</v>
      </c>
      <c r="V5305" s="2">
        <v>502</v>
      </c>
      <c r="W5305" t="s">
        <v>4655</v>
      </c>
      <c r="X5305" s="2">
        <v>0</v>
      </c>
      <c r="Y5305">
        <v>20</v>
      </c>
      <c r="Z5305" t="s">
        <v>1491</v>
      </c>
      <c r="AA5305" s="3">
        <v>8.3585858345031697E-2</v>
      </c>
      <c r="AB5305" t="s">
        <v>26898</v>
      </c>
      <c r="AC5305" t="s">
        <v>4562</v>
      </c>
      <c r="AD5305" t="s">
        <v>26899</v>
      </c>
      <c r="AE5305" t="s">
        <v>4655</v>
      </c>
      <c r="AF5305" t="s">
        <v>4563</v>
      </c>
      <c r="AG5305" t="s">
        <v>4564</v>
      </c>
      <c r="AH5305">
        <v>89511</v>
      </c>
      <c r="AI5305" t="s">
        <v>5203</v>
      </c>
      <c r="AJ5305" t="s">
        <v>2816</v>
      </c>
      <c r="AK5305" t="s">
        <v>26900</v>
      </c>
      <c r="AL5305" s="13" t="s">
        <v>2257</v>
      </c>
      <c r="AM5305">
        <v>1</v>
      </c>
      <c r="AN5305" s="15" t="s">
        <v>571</v>
      </c>
    </row>
    <row r="5306" spans="1:40" x14ac:dyDescent="0.3">
      <c r="A5306" s="10" t="str">
        <f>HYPERLINK("http://www.washoecounty.gov/assessor/cama/?parid=160-772-16&amp;CardNumber=1","160-772-16")</f>
        <v>160-772-16</v>
      </c>
      <c r="B5306" t="s">
        <v>4655</v>
      </c>
      <c r="C5306" t="s">
        <v>26901</v>
      </c>
      <c r="D5306" s="1">
        <v>40296</v>
      </c>
      <c r="E5306" s="2">
        <v>180000</v>
      </c>
      <c r="F5306" t="s">
        <v>4567</v>
      </c>
      <c r="G5306" s="17" t="str">
        <f>HYPERLINK("https://www.washoecounty.gov/assessor/cama/?command=sales&amp;parid=16077216","3875486")</f>
        <v>3875486</v>
      </c>
      <c r="H5306" t="s">
        <v>2831</v>
      </c>
      <c r="I5306">
        <v>2002</v>
      </c>
      <c r="J5306">
        <v>2002</v>
      </c>
      <c r="K5306" t="s">
        <v>4554</v>
      </c>
      <c r="L5306" t="s">
        <v>4555</v>
      </c>
      <c r="M5306" s="2">
        <v>1470</v>
      </c>
      <c r="N5306" t="s">
        <v>5280</v>
      </c>
      <c r="O5306">
        <v>2</v>
      </c>
      <c r="P5306">
        <v>2</v>
      </c>
      <c r="Q5306">
        <v>0</v>
      </c>
      <c r="R5306" t="s">
        <v>5281</v>
      </c>
      <c r="S5306" t="s">
        <v>4898</v>
      </c>
      <c r="T5306" t="s">
        <v>2704</v>
      </c>
      <c r="U5306" t="s">
        <v>4560</v>
      </c>
      <c r="V5306" s="2">
        <v>480</v>
      </c>
      <c r="W5306" t="s">
        <v>4655</v>
      </c>
      <c r="X5306" s="2">
        <v>0</v>
      </c>
      <c r="Y5306">
        <v>20</v>
      </c>
      <c r="Z5306" t="s">
        <v>1491</v>
      </c>
      <c r="AA5306" s="3">
        <v>0.100619837641716</v>
      </c>
      <c r="AB5306" t="s">
        <v>26902</v>
      </c>
      <c r="AC5306" t="s">
        <v>4575</v>
      </c>
      <c r="AD5306" t="s">
        <v>4992</v>
      </c>
      <c r="AE5306" t="s">
        <v>4655</v>
      </c>
      <c r="AF5306" t="s">
        <v>4563</v>
      </c>
      <c r="AG5306" t="s">
        <v>4564</v>
      </c>
      <c r="AH5306" t="s">
        <v>5197</v>
      </c>
      <c r="AI5306" t="s">
        <v>26903</v>
      </c>
      <c r="AJ5306" t="s">
        <v>2816</v>
      </c>
      <c r="AK5306" t="s">
        <v>26904</v>
      </c>
      <c r="AL5306" s="13" t="s">
        <v>2257</v>
      </c>
      <c r="AM5306" s="14">
        <v>1</v>
      </c>
      <c r="AN5306" s="15" t="s">
        <v>571</v>
      </c>
    </row>
    <row r="5307" spans="1:40" x14ac:dyDescent="0.3">
      <c r="A5307" s="10" t="str">
        <f>HYPERLINK("http://www.washoecounty.gov/assessor/cama/?parid=160-772-19&amp;CardNumber=1","160-772-19")</f>
        <v>160-772-19</v>
      </c>
      <c r="B5307" t="s">
        <v>4655</v>
      </c>
      <c r="C5307" t="s">
        <v>26905</v>
      </c>
      <c r="D5307" s="1">
        <v>40262</v>
      </c>
      <c r="E5307" s="2">
        <v>214000</v>
      </c>
      <c r="F5307" t="s">
        <v>4553</v>
      </c>
      <c r="G5307" s="17" t="str">
        <f>HYPERLINK("https://www.washoecounty.gov/assessor/cama/?command=sales&amp;parid=16077219","3863792")</f>
        <v>3863792</v>
      </c>
      <c r="H5307" t="s">
        <v>2831</v>
      </c>
      <c r="I5307">
        <v>2002</v>
      </c>
      <c r="J5307">
        <v>2002</v>
      </c>
      <c r="K5307" t="s">
        <v>4554</v>
      </c>
      <c r="L5307" t="s">
        <v>4555</v>
      </c>
      <c r="M5307" s="2">
        <v>1645</v>
      </c>
      <c r="N5307" t="s">
        <v>5280</v>
      </c>
      <c r="O5307">
        <v>3</v>
      </c>
      <c r="P5307">
        <v>2</v>
      </c>
      <c r="Q5307">
        <v>0</v>
      </c>
      <c r="R5307" t="s">
        <v>5281</v>
      </c>
      <c r="S5307" t="s">
        <v>4898</v>
      </c>
      <c r="T5307" t="s">
        <v>2704</v>
      </c>
      <c r="U5307" t="s">
        <v>4560</v>
      </c>
      <c r="V5307" s="2">
        <v>480</v>
      </c>
      <c r="W5307" t="s">
        <v>4655</v>
      </c>
      <c r="X5307" s="2">
        <v>0</v>
      </c>
      <c r="Y5307">
        <v>20</v>
      </c>
      <c r="Z5307" t="s">
        <v>1491</v>
      </c>
      <c r="AA5307" s="3">
        <v>0.109894394874573</v>
      </c>
      <c r="AB5307" t="s">
        <v>26906</v>
      </c>
      <c r="AC5307" t="s">
        <v>4562</v>
      </c>
      <c r="AD5307" t="s">
        <v>26905</v>
      </c>
      <c r="AE5307" t="s">
        <v>4655</v>
      </c>
      <c r="AF5307" t="s">
        <v>4563</v>
      </c>
      <c r="AG5307" t="s">
        <v>4564</v>
      </c>
      <c r="AH5307" t="s">
        <v>5197</v>
      </c>
      <c r="AI5307" t="s">
        <v>4565</v>
      </c>
      <c r="AJ5307" t="s">
        <v>2816</v>
      </c>
      <c r="AK5307" t="s">
        <v>26907</v>
      </c>
      <c r="AL5307" s="13" t="s">
        <v>2257</v>
      </c>
      <c r="AM5307" s="14">
        <v>1</v>
      </c>
      <c r="AN5307" s="15" t="s">
        <v>571</v>
      </c>
    </row>
    <row r="5308" spans="1:40" x14ac:dyDescent="0.3">
      <c r="A5308" s="10" t="str">
        <f>HYPERLINK("http://www.washoecounty.gov/assessor/cama/?parid=160-782-03&amp;CardNumber=1","160-782-03")</f>
        <v>160-782-03</v>
      </c>
      <c r="B5308" t="s">
        <v>4655</v>
      </c>
      <c r="C5308" t="s">
        <v>26908</v>
      </c>
      <c r="D5308" s="1">
        <v>40268</v>
      </c>
      <c r="E5308" s="2">
        <v>175000</v>
      </c>
      <c r="F5308" t="s">
        <v>4553</v>
      </c>
      <c r="G5308" s="17" t="str">
        <f>HYPERLINK("https://www.washoecounty.gov/assessor/cama/?command=sales&amp;parid=16078203","3866308")</f>
        <v>3866308</v>
      </c>
      <c r="H5308" t="s">
        <v>2831</v>
      </c>
      <c r="I5308">
        <v>2001</v>
      </c>
      <c r="J5308">
        <v>2001</v>
      </c>
      <c r="K5308" t="s">
        <v>4554</v>
      </c>
      <c r="L5308" t="s">
        <v>4555</v>
      </c>
      <c r="M5308" s="2">
        <v>1645</v>
      </c>
      <c r="N5308" t="s">
        <v>5280</v>
      </c>
      <c r="O5308">
        <v>3</v>
      </c>
      <c r="P5308">
        <v>2</v>
      </c>
      <c r="Q5308">
        <v>0</v>
      </c>
      <c r="R5308" t="s">
        <v>5281</v>
      </c>
      <c r="S5308" t="s">
        <v>4898</v>
      </c>
      <c r="T5308" t="s">
        <v>2704</v>
      </c>
      <c r="U5308" t="s">
        <v>4560</v>
      </c>
      <c r="V5308" s="2">
        <v>480</v>
      </c>
      <c r="W5308" t="s">
        <v>4655</v>
      </c>
      <c r="X5308" s="2">
        <v>0</v>
      </c>
      <c r="Y5308">
        <v>20</v>
      </c>
      <c r="Z5308" t="s">
        <v>1491</v>
      </c>
      <c r="AA5308" s="3">
        <v>0.104935720562935</v>
      </c>
      <c r="AB5308" t="s">
        <v>26909</v>
      </c>
      <c r="AC5308" t="s">
        <v>4562</v>
      </c>
      <c r="AD5308" t="s">
        <v>26910</v>
      </c>
      <c r="AE5308" t="s">
        <v>4655</v>
      </c>
      <c r="AF5308" t="s">
        <v>4563</v>
      </c>
      <c r="AG5308" t="s">
        <v>4564</v>
      </c>
      <c r="AH5308" t="s">
        <v>5197</v>
      </c>
      <c r="AI5308" t="s">
        <v>4145</v>
      </c>
      <c r="AJ5308" t="s">
        <v>2816</v>
      </c>
      <c r="AK5308" t="s">
        <v>26911</v>
      </c>
      <c r="AL5308" s="13" t="s">
        <v>2257</v>
      </c>
      <c r="AM5308" s="14">
        <v>1</v>
      </c>
      <c r="AN5308" s="15" t="s">
        <v>571</v>
      </c>
    </row>
    <row r="5309" spans="1:40" x14ac:dyDescent="0.3">
      <c r="A5309" s="10" t="str">
        <f>HYPERLINK("http://www.washoecounty.gov/assessor/cama/?parid=160-783-03&amp;CardNumber=1","160-783-03")</f>
        <v>160-783-03</v>
      </c>
      <c r="B5309" t="s">
        <v>4655</v>
      </c>
      <c r="C5309" t="s">
        <v>26912</v>
      </c>
      <c r="D5309" s="1">
        <v>40241</v>
      </c>
      <c r="E5309" s="2">
        <v>185000</v>
      </c>
      <c r="F5309" t="s">
        <v>4553</v>
      </c>
      <c r="G5309" s="17" t="str">
        <f>HYPERLINK("https://www.washoecounty.gov/assessor/cama/?command=sales&amp;parid=16078303","3855949")</f>
        <v>3855949</v>
      </c>
      <c r="H5309" t="s">
        <v>2831</v>
      </c>
      <c r="I5309">
        <v>2002</v>
      </c>
      <c r="J5309">
        <v>2002</v>
      </c>
      <c r="K5309" t="s">
        <v>4554</v>
      </c>
      <c r="L5309" t="s">
        <v>4555</v>
      </c>
      <c r="M5309" s="2">
        <v>1470</v>
      </c>
      <c r="N5309" t="s">
        <v>5280</v>
      </c>
      <c r="O5309">
        <v>3</v>
      </c>
      <c r="P5309">
        <v>2</v>
      </c>
      <c r="Q5309">
        <v>0</v>
      </c>
      <c r="R5309" t="s">
        <v>5281</v>
      </c>
      <c r="S5309" t="s">
        <v>4898</v>
      </c>
      <c r="T5309" t="s">
        <v>2704</v>
      </c>
      <c r="U5309" t="s">
        <v>4560</v>
      </c>
      <c r="V5309" s="2">
        <v>480</v>
      </c>
      <c r="W5309" t="s">
        <v>4655</v>
      </c>
      <c r="X5309" s="2">
        <v>0</v>
      </c>
      <c r="Y5309">
        <v>20</v>
      </c>
      <c r="Z5309" t="s">
        <v>1491</v>
      </c>
      <c r="AA5309" s="3">
        <v>0.10707070678472499</v>
      </c>
      <c r="AB5309" t="s">
        <v>26913</v>
      </c>
      <c r="AC5309" t="s">
        <v>4562</v>
      </c>
      <c r="AD5309" t="s">
        <v>26914</v>
      </c>
      <c r="AE5309" t="s">
        <v>4655</v>
      </c>
      <c r="AF5309" t="s">
        <v>4563</v>
      </c>
      <c r="AG5309" t="s">
        <v>4564</v>
      </c>
      <c r="AH5309" t="s">
        <v>5197</v>
      </c>
      <c r="AI5309" t="s">
        <v>4903</v>
      </c>
      <c r="AJ5309" t="s">
        <v>2816</v>
      </c>
      <c r="AK5309" t="s">
        <v>26915</v>
      </c>
      <c r="AL5309" s="13" t="s">
        <v>2257</v>
      </c>
      <c r="AM5309">
        <v>1</v>
      </c>
      <c r="AN5309" s="15" t="s">
        <v>571</v>
      </c>
    </row>
    <row r="5310" spans="1:40" x14ac:dyDescent="0.3">
      <c r="A5310" s="10" t="str">
        <f>HYPERLINK("http://www.washoecounty.gov/assessor/cama/?parid=160-801-09&amp;CardNumber=1","160-801-09")</f>
        <v>160-801-09</v>
      </c>
      <c r="B5310" t="s">
        <v>4655</v>
      </c>
      <c r="C5310" t="s">
        <v>26916</v>
      </c>
      <c r="D5310" s="1">
        <v>40491</v>
      </c>
      <c r="E5310" s="2">
        <v>229300</v>
      </c>
      <c r="F5310" t="s">
        <v>4553</v>
      </c>
      <c r="G5310" s="17" t="str">
        <f>HYPERLINK("https://www.washoecounty.gov/assessor/cama/?command=sales&amp;parid=16080109","3941404")</f>
        <v>3941404</v>
      </c>
      <c r="H5310" t="s">
        <v>3906</v>
      </c>
      <c r="I5310">
        <v>2001</v>
      </c>
      <c r="J5310">
        <v>2001</v>
      </c>
      <c r="K5310" t="s">
        <v>4554</v>
      </c>
      <c r="L5310" t="s">
        <v>4555</v>
      </c>
      <c r="M5310" s="2">
        <v>1884</v>
      </c>
      <c r="N5310" t="s">
        <v>5280</v>
      </c>
      <c r="O5310">
        <v>3</v>
      </c>
      <c r="P5310">
        <v>2</v>
      </c>
      <c r="Q5310">
        <v>0</v>
      </c>
      <c r="R5310" t="s">
        <v>5281</v>
      </c>
      <c r="S5310" t="s">
        <v>4898</v>
      </c>
      <c r="T5310" t="s">
        <v>2704</v>
      </c>
      <c r="U5310" t="s">
        <v>4560</v>
      </c>
      <c r="V5310" s="2">
        <v>580</v>
      </c>
      <c r="W5310" t="s">
        <v>4655</v>
      </c>
      <c r="X5310" s="2">
        <v>0</v>
      </c>
      <c r="Y5310">
        <v>20</v>
      </c>
      <c r="Z5310" t="s">
        <v>1491</v>
      </c>
      <c r="AA5310" s="3">
        <v>0.17493112385272999</v>
      </c>
      <c r="AB5310" t="s">
        <v>26917</v>
      </c>
      <c r="AC5310" t="s">
        <v>4562</v>
      </c>
      <c r="AD5310" t="s">
        <v>26916</v>
      </c>
      <c r="AE5310" t="s">
        <v>4655</v>
      </c>
      <c r="AF5310" t="s">
        <v>4563</v>
      </c>
      <c r="AG5310" t="s">
        <v>4564</v>
      </c>
      <c r="AH5310" t="s">
        <v>5197</v>
      </c>
      <c r="AI5310" t="s">
        <v>4503</v>
      </c>
      <c r="AJ5310" t="s">
        <v>3907</v>
      </c>
      <c r="AK5310" t="s">
        <v>26918</v>
      </c>
      <c r="AL5310" s="13" t="s">
        <v>2257</v>
      </c>
      <c r="AM5310">
        <v>1</v>
      </c>
      <c r="AN5310" s="15" t="s">
        <v>532</v>
      </c>
    </row>
    <row r="5311" spans="1:40" x14ac:dyDescent="0.3">
      <c r="A5311" s="10" t="str">
        <f>HYPERLINK("http://www.washoecounty.gov/assessor/cama/?parid=160-801-18&amp;CardNumber=1","160-801-18")</f>
        <v>160-801-18</v>
      </c>
      <c r="B5311" t="s">
        <v>4655</v>
      </c>
      <c r="C5311" t="s">
        <v>26919</v>
      </c>
      <c r="D5311" s="1">
        <v>40501</v>
      </c>
      <c r="E5311" s="2">
        <v>213054</v>
      </c>
      <c r="F5311" t="s">
        <v>4567</v>
      </c>
      <c r="G5311" s="17" t="str">
        <f>HYPERLINK("https://www.washoecounty.gov/assessor/cama/?command=sales&amp;parid=16080118","3944847")</f>
        <v>3944847</v>
      </c>
      <c r="H5311" t="s">
        <v>3906</v>
      </c>
      <c r="I5311">
        <v>2002</v>
      </c>
      <c r="J5311">
        <v>2002</v>
      </c>
      <c r="K5311" t="s">
        <v>4554</v>
      </c>
      <c r="L5311" t="s">
        <v>4555</v>
      </c>
      <c r="M5311" s="2">
        <v>2001</v>
      </c>
      <c r="N5311" t="s">
        <v>5280</v>
      </c>
      <c r="O5311">
        <v>3</v>
      </c>
      <c r="P5311">
        <v>2</v>
      </c>
      <c r="Q5311">
        <v>0</v>
      </c>
      <c r="R5311" t="s">
        <v>5281</v>
      </c>
      <c r="S5311" t="s">
        <v>4898</v>
      </c>
      <c r="T5311" t="s">
        <v>2704</v>
      </c>
      <c r="U5311" t="s">
        <v>4560</v>
      </c>
      <c r="V5311" s="2">
        <v>528</v>
      </c>
      <c r="W5311" t="s">
        <v>4655</v>
      </c>
      <c r="X5311" s="2">
        <v>0</v>
      </c>
      <c r="Y5311">
        <v>20</v>
      </c>
      <c r="Z5311" t="s">
        <v>1491</v>
      </c>
      <c r="AA5311" s="3">
        <v>0.18790175020694699</v>
      </c>
      <c r="AB5311" t="s">
        <v>26920</v>
      </c>
      <c r="AC5311" t="s">
        <v>4562</v>
      </c>
      <c r="AD5311" t="s">
        <v>26921</v>
      </c>
      <c r="AE5311" t="s">
        <v>26922</v>
      </c>
      <c r="AF5311" t="s">
        <v>4563</v>
      </c>
      <c r="AG5311" t="s">
        <v>4564</v>
      </c>
      <c r="AH5311">
        <v>89511</v>
      </c>
      <c r="AI5311" t="s">
        <v>26923</v>
      </c>
      <c r="AJ5311" t="s">
        <v>3907</v>
      </c>
      <c r="AK5311" t="s">
        <v>26924</v>
      </c>
      <c r="AL5311" s="13" t="s">
        <v>2257</v>
      </c>
      <c r="AM5311">
        <v>1</v>
      </c>
      <c r="AN5311" s="15" t="s">
        <v>532</v>
      </c>
    </row>
    <row r="5312" spans="1:40" x14ac:dyDescent="0.3">
      <c r="A5312" s="10" t="str">
        <f>HYPERLINK("http://www.washoecounty.gov/assessor/cama/?parid=160-801-29&amp;CardNumber=1","160-801-29")</f>
        <v>160-801-29</v>
      </c>
      <c r="B5312" t="s">
        <v>4655</v>
      </c>
      <c r="C5312" t="s">
        <v>26925</v>
      </c>
      <c r="D5312" s="1">
        <v>40316</v>
      </c>
      <c r="E5312" s="2">
        <v>248000</v>
      </c>
      <c r="F5312" t="s">
        <v>4567</v>
      </c>
      <c r="G5312" s="17" t="str">
        <f>HYPERLINK("https://www.washoecounty.gov/assessor/cama/?command=sales&amp;parid=16080129","3882580")</f>
        <v>3882580</v>
      </c>
      <c r="H5312" t="s">
        <v>3906</v>
      </c>
      <c r="I5312">
        <v>2001</v>
      </c>
      <c r="J5312">
        <v>2001</v>
      </c>
      <c r="K5312" t="s">
        <v>4554</v>
      </c>
      <c r="L5312" t="s">
        <v>4555</v>
      </c>
      <c r="M5312" s="2">
        <v>1884</v>
      </c>
      <c r="N5312" t="s">
        <v>5280</v>
      </c>
      <c r="O5312">
        <v>3</v>
      </c>
      <c r="P5312">
        <v>2</v>
      </c>
      <c r="Q5312">
        <v>0</v>
      </c>
      <c r="R5312" t="s">
        <v>5281</v>
      </c>
      <c r="S5312" t="s">
        <v>4898</v>
      </c>
      <c r="T5312" t="s">
        <v>2704</v>
      </c>
      <c r="U5312" t="s">
        <v>4560</v>
      </c>
      <c r="V5312" s="2">
        <v>580</v>
      </c>
      <c r="W5312" t="s">
        <v>4655</v>
      </c>
      <c r="X5312" s="2">
        <v>0</v>
      </c>
      <c r="Y5312">
        <v>20</v>
      </c>
      <c r="Z5312" t="s">
        <v>1491</v>
      </c>
      <c r="AA5312" s="3">
        <v>0.162763997912407</v>
      </c>
      <c r="AB5312" t="s">
        <v>26926</v>
      </c>
      <c r="AC5312" t="s">
        <v>4562</v>
      </c>
      <c r="AD5312" t="s">
        <v>26925</v>
      </c>
      <c r="AE5312" t="s">
        <v>4655</v>
      </c>
      <c r="AF5312" t="s">
        <v>4563</v>
      </c>
      <c r="AG5312" t="s">
        <v>4564</v>
      </c>
      <c r="AH5312" t="s">
        <v>5197</v>
      </c>
      <c r="AI5312" t="s">
        <v>26927</v>
      </c>
      <c r="AJ5312" t="s">
        <v>3907</v>
      </c>
      <c r="AK5312" t="s">
        <v>26928</v>
      </c>
      <c r="AL5312" s="13" t="s">
        <v>2257</v>
      </c>
      <c r="AM5312" s="14">
        <v>1</v>
      </c>
      <c r="AN5312" s="15" t="s">
        <v>532</v>
      </c>
    </row>
    <row r="5313" spans="1:40" x14ac:dyDescent="0.3">
      <c r="A5313" s="10" t="str">
        <f>HYPERLINK("http://www.washoecounty.gov/assessor/cama/?parid=160-822-21&amp;CardNumber=1","160-822-21")</f>
        <v>160-822-21</v>
      </c>
      <c r="B5313" t="s">
        <v>4655</v>
      </c>
      <c r="C5313" t="s">
        <v>26929</v>
      </c>
      <c r="D5313" s="1">
        <v>40205</v>
      </c>
      <c r="E5313" s="2">
        <v>183000</v>
      </c>
      <c r="F5313" t="s">
        <v>4553</v>
      </c>
      <c r="G5313" s="17" t="str">
        <f>HYPERLINK("https://www.washoecounty.gov/assessor/cama/?command=sales&amp;parid=16082221","3843236")</f>
        <v>3843236</v>
      </c>
      <c r="H5313" t="s">
        <v>4164</v>
      </c>
      <c r="I5313">
        <v>2002</v>
      </c>
      <c r="J5313">
        <v>2002</v>
      </c>
      <c r="K5313" t="s">
        <v>4554</v>
      </c>
      <c r="L5313" t="s">
        <v>4555</v>
      </c>
      <c r="M5313" s="2">
        <v>1470</v>
      </c>
      <c r="N5313" t="s">
        <v>5280</v>
      </c>
      <c r="O5313">
        <v>3</v>
      </c>
      <c r="P5313">
        <v>2</v>
      </c>
      <c r="Q5313">
        <v>0</v>
      </c>
      <c r="R5313" t="s">
        <v>5281</v>
      </c>
      <c r="S5313" t="s">
        <v>4898</v>
      </c>
      <c r="T5313" t="s">
        <v>2704</v>
      </c>
      <c r="U5313" t="s">
        <v>4560</v>
      </c>
      <c r="V5313" s="2">
        <v>480</v>
      </c>
      <c r="W5313" t="s">
        <v>4655</v>
      </c>
      <c r="X5313" s="2">
        <v>0</v>
      </c>
      <c r="Y5313">
        <v>20</v>
      </c>
      <c r="Z5313" t="s">
        <v>1491</v>
      </c>
      <c r="AA5313" s="3">
        <v>9.3732781708240495E-2</v>
      </c>
      <c r="AB5313" t="s">
        <v>26930</v>
      </c>
      <c r="AC5313" t="s">
        <v>4562</v>
      </c>
      <c r="AD5313" t="s">
        <v>26929</v>
      </c>
      <c r="AE5313" t="s">
        <v>4655</v>
      </c>
      <c r="AF5313" t="s">
        <v>4563</v>
      </c>
      <c r="AG5313" t="s">
        <v>4564</v>
      </c>
      <c r="AH5313" t="s">
        <v>5197</v>
      </c>
      <c r="AI5313" t="s">
        <v>4145</v>
      </c>
      <c r="AJ5313" t="s">
        <v>4165</v>
      </c>
      <c r="AK5313" t="s">
        <v>26931</v>
      </c>
      <c r="AL5313" s="13" t="s">
        <v>2257</v>
      </c>
      <c r="AM5313">
        <v>1</v>
      </c>
      <c r="AN5313" s="15" t="s">
        <v>571</v>
      </c>
    </row>
    <row r="5314" spans="1:40" x14ac:dyDescent="0.3">
      <c r="A5314" s="10" t="str">
        <f>HYPERLINK("http://www.washoecounty.gov/assessor/cama/?parid=160-823-03&amp;CardNumber=1","160-823-03")</f>
        <v>160-823-03</v>
      </c>
      <c r="B5314" t="s">
        <v>4655</v>
      </c>
      <c r="C5314" t="s">
        <v>26932</v>
      </c>
      <c r="D5314" s="1">
        <v>40357</v>
      </c>
      <c r="E5314" s="2">
        <v>212500</v>
      </c>
      <c r="F5314" t="s">
        <v>4567</v>
      </c>
      <c r="G5314" s="17" t="str">
        <f>HYPERLINK("https://www.washoecounty.gov/assessor/cama/?command=sales&amp;parid=16082303","3896119")</f>
        <v>3896119</v>
      </c>
      <c r="H5314" t="s">
        <v>4164</v>
      </c>
      <c r="I5314">
        <v>2002</v>
      </c>
      <c r="J5314">
        <v>2002</v>
      </c>
      <c r="K5314" t="s">
        <v>4554</v>
      </c>
      <c r="L5314" t="s">
        <v>4555</v>
      </c>
      <c r="M5314" s="2">
        <v>1645</v>
      </c>
      <c r="N5314" t="s">
        <v>5280</v>
      </c>
      <c r="O5314">
        <v>3</v>
      </c>
      <c r="P5314">
        <v>2</v>
      </c>
      <c r="Q5314">
        <v>0</v>
      </c>
      <c r="R5314" t="s">
        <v>5281</v>
      </c>
      <c r="S5314" t="s">
        <v>4898</v>
      </c>
      <c r="T5314" t="s">
        <v>2704</v>
      </c>
      <c r="U5314" t="s">
        <v>4560</v>
      </c>
      <c r="V5314" s="2">
        <v>480</v>
      </c>
      <c r="W5314" t="s">
        <v>4655</v>
      </c>
      <c r="X5314" s="2">
        <v>0</v>
      </c>
      <c r="Y5314">
        <v>20</v>
      </c>
      <c r="Z5314" t="s">
        <v>1491</v>
      </c>
      <c r="AA5314" s="3">
        <v>0.100550964474678</v>
      </c>
      <c r="AB5314" t="s">
        <v>26933</v>
      </c>
      <c r="AC5314" t="s">
        <v>4562</v>
      </c>
      <c r="AD5314" t="s">
        <v>26932</v>
      </c>
      <c r="AE5314" t="s">
        <v>4655</v>
      </c>
      <c r="AF5314" t="s">
        <v>4563</v>
      </c>
      <c r="AG5314" t="s">
        <v>4564</v>
      </c>
      <c r="AH5314" t="s">
        <v>5197</v>
      </c>
      <c r="AI5314" t="s">
        <v>26934</v>
      </c>
      <c r="AJ5314" t="s">
        <v>4165</v>
      </c>
      <c r="AK5314" t="s">
        <v>26935</v>
      </c>
      <c r="AL5314" s="13" t="s">
        <v>2257</v>
      </c>
      <c r="AM5314" s="14">
        <v>1</v>
      </c>
      <c r="AN5314" s="15" t="s">
        <v>571</v>
      </c>
    </row>
    <row r="5315" spans="1:40" x14ac:dyDescent="0.3">
      <c r="A5315" s="10" t="str">
        <f>HYPERLINK("http://www.washoecounty.gov/assessor/cama/?parid=160-831-02&amp;CardNumber=1","160-831-02")</f>
        <v>160-831-02</v>
      </c>
      <c r="B5315" t="s">
        <v>4655</v>
      </c>
      <c r="C5315" t="s">
        <v>26936</v>
      </c>
      <c r="D5315" s="1">
        <v>40297</v>
      </c>
      <c r="E5315" s="2">
        <v>270000</v>
      </c>
      <c r="F5315" t="s">
        <v>4553</v>
      </c>
      <c r="G5315" s="17" t="str">
        <f>HYPERLINK("https://www.washoecounty.gov/assessor/cama/?command=sales&amp;parid=16083102","3876170")</f>
        <v>3876170</v>
      </c>
      <c r="H5315" t="s">
        <v>2988</v>
      </c>
      <c r="I5315">
        <v>2002</v>
      </c>
      <c r="J5315">
        <v>2002</v>
      </c>
      <c r="K5315" t="s">
        <v>4554</v>
      </c>
      <c r="L5315" t="s">
        <v>3974</v>
      </c>
      <c r="M5315" s="2">
        <v>2582</v>
      </c>
      <c r="N5315" t="s">
        <v>5280</v>
      </c>
      <c r="O5315">
        <v>4</v>
      </c>
      <c r="P5315">
        <v>3</v>
      </c>
      <c r="Q5315">
        <v>0</v>
      </c>
      <c r="R5315" t="s">
        <v>5281</v>
      </c>
      <c r="S5315" t="s">
        <v>4898</v>
      </c>
      <c r="T5315" t="s">
        <v>2704</v>
      </c>
      <c r="U5315" t="s">
        <v>5631</v>
      </c>
      <c r="V5315" s="2">
        <v>519</v>
      </c>
      <c r="W5315" t="s">
        <v>4655</v>
      </c>
      <c r="X5315" s="2">
        <v>0</v>
      </c>
      <c r="Y5315">
        <v>20</v>
      </c>
      <c r="Z5315" t="s">
        <v>1491</v>
      </c>
      <c r="AA5315" s="3">
        <v>0.18356290459632901</v>
      </c>
      <c r="AB5315" t="s">
        <v>26937</v>
      </c>
      <c r="AC5315" t="s">
        <v>4562</v>
      </c>
      <c r="AD5315" t="s">
        <v>26936</v>
      </c>
      <c r="AE5315" t="s">
        <v>4655</v>
      </c>
      <c r="AF5315" t="s">
        <v>4563</v>
      </c>
      <c r="AG5315" t="s">
        <v>4564</v>
      </c>
      <c r="AH5315" t="s">
        <v>5197</v>
      </c>
      <c r="AI5315" t="s">
        <v>26938</v>
      </c>
      <c r="AJ5315" t="s">
        <v>3318</v>
      </c>
      <c r="AK5315" t="s">
        <v>26939</v>
      </c>
      <c r="AL5315" s="13" t="s">
        <v>2257</v>
      </c>
      <c r="AM5315" s="14">
        <v>1</v>
      </c>
      <c r="AN5315" s="15" t="s">
        <v>532</v>
      </c>
    </row>
    <row r="5316" spans="1:40" x14ac:dyDescent="0.3">
      <c r="A5316" s="10" t="str">
        <f>HYPERLINK("http://www.washoecounty.gov/assessor/cama/?parid=160-835-03&amp;CardNumber=1","160-835-03")</f>
        <v>160-835-03</v>
      </c>
      <c r="B5316" t="s">
        <v>4655</v>
      </c>
      <c r="C5316" t="s">
        <v>26940</v>
      </c>
      <c r="D5316" s="1">
        <v>40347</v>
      </c>
      <c r="E5316" s="2">
        <v>290000</v>
      </c>
      <c r="F5316" t="s">
        <v>4567</v>
      </c>
      <c r="G5316" s="17" t="str">
        <f>HYPERLINK("https://www.washoecounty.gov/assessor/cama/?command=sales&amp;parid=16083503","3893327")</f>
        <v>3893327</v>
      </c>
      <c r="H5316" t="s">
        <v>26941</v>
      </c>
      <c r="I5316">
        <v>2003</v>
      </c>
      <c r="J5316">
        <v>2003</v>
      </c>
      <c r="K5316" t="s">
        <v>4554</v>
      </c>
      <c r="L5316" t="s">
        <v>3974</v>
      </c>
      <c r="M5316" s="2">
        <v>2582</v>
      </c>
      <c r="N5316" t="s">
        <v>5280</v>
      </c>
      <c r="O5316">
        <v>3</v>
      </c>
      <c r="P5316">
        <v>3</v>
      </c>
      <c r="Q5316">
        <v>0</v>
      </c>
      <c r="R5316" t="s">
        <v>5281</v>
      </c>
      <c r="S5316" t="s">
        <v>4898</v>
      </c>
      <c r="T5316" t="s">
        <v>2704</v>
      </c>
      <c r="U5316" t="s">
        <v>5631</v>
      </c>
      <c r="V5316" s="2">
        <v>519</v>
      </c>
      <c r="W5316" t="s">
        <v>4655</v>
      </c>
      <c r="X5316" s="2">
        <v>0</v>
      </c>
      <c r="Y5316">
        <v>20</v>
      </c>
      <c r="Z5316" t="s">
        <v>1491</v>
      </c>
      <c r="AA5316" s="3">
        <v>0.17011019587516801</v>
      </c>
      <c r="AB5316" t="s">
        <v>26942</v>
      </c>
      <c r="AC5316" t="s">
        <v>4562</v>
      </c>
      <c r="AD5316" t="s">
        <v>26940</v>
      </c>
      <c r="AE5316" t="s">
        <v>4655</v>
      </c>
      <c r="AF5316" t="s">
        <v>4563</v>
      </c>
      <c r="AG5316" t="s">
        <v>4564</v>
      </c>
      <c r="AH5316" t="s">
        <v>5197</v>
      </c>
      <c r="AI5316" t="s">
        <v>26943</v>
      </c>
      <c r="AJ5316" t="s">
        <v>3318</v>
      </c>
      <c r="AK5316" t="s">
        <v>26944</v>
      </c>
      <c r="AL5316" s="13" t="s">
        <v>2257</v>
      </c>
      <c r="AM5316" s="14">
        <v>1</v>
      </c>
      <c r="AN5316" s="15" t="s">
        <v>532</v>
      </c>
    </row>
    <row r="5317" spans="1:40" x14ac:dyDescent="0.3">
      <c r="A5317" s="10" t="str">
        <f>HYPERLINK("http://www.washoecounty.gov/assessor/cama/?parid=160-841-10&amp;CardNumber=1","160-841-10")</f>
        <v>160-841-10</v>
      </c>
      <c r="B5317" t="s">
        <v>4655</v>
      </c>
      <c r="C5317" t="s">
        <v>26945</v>
      </c>
      <c r="D5317" s="1">
        <v>40449</v>
      </c>
      <c r="E5317" s="2">
        <v>162900</v>
      </c>
      <c r="F5317" t="s">
        <v>4553</v>
      </c>
      <c r="G5317" s="17" t="str">
        <f>HYPERLINK("https://www.washoecounty.gov/assessor/cama/?command=sales&amp;parid=16084110","3927105")</f>
        <v>3927105</v>
      </c>
      <c r="H5317" t="s">
        <v>5415</v>
      </c>
      <c r="I5317">
        <v>2003</v>
      </c>
      <c r="J5317">
        <v>2003</v>
      </c>
      <c r="K5317" t="s">
        <v>4554</v>
      </c>
      <c r="L5317" t="s">
        <v>4555</v>
      </c>
      <c r="M5317" s="2">
        <v>1470</v>
      </c>
      <c r="N5317" t="s">
        <v>5280</v>
      </c>
      <c r="O5317">
        <v>2</v>
      </c>
      <c r="P5317">
        <v>2</v>
      </c>
      <c r="Q5317">
        <v>0</v>
      </c>
      <c r="R5317" t="s">
        <v>5281</v>
      </c>
      <c r="S5317" t="s">
        <v>4898</v>
      </c>
      <c r="T5317" t="s">
        <v>2704</v>
      </c>
      <c r="U5317" t="s">
        <v>4560</v>
      </c>
      <c r="V5317" s="2">
        <v>480</v>
      </c>
      <c r="W5317" t="s">
        <v>4655</v>
      </c>
      <c r="X5317" s="2">
        <v>0</v>
      </c>
      <c r="Y5317">
        <v>20</v>
      </c>
      <c r="Z5317" t="s">
        <v>1491</v>
      </c>
      <c r="AA5317" s="3">
        <v>0.119742885231972</v>
      </c>
      <c r="AB5317" t="s">
        <v>26946</v>
      </c>
      <c r="AC5317" t="s">
        <v>4575</v>
      </c>
      <c r="AD5317" t="s">
        <v>26947</v>
      </c>
      <c r="AE5317" t="s">
        <v>4655</v>
      </c>
      <c r="AF5317" t="s">
        <v>4563</v>
      </c>
      <c r="AG5317" t="s">
        <v>4564</v>
      </c>
      <c r="AH5317" t="s">
        <v>5197</v>
      </c>
      <c r="AI5317" t="s">
        <v>26948</v>
      </c>
      <c r="AJ5317" t="s">
        <v>5416</v>
      </c>
      <c r="AK5317" t="s">
        <v>26949</v>
      </c>
      <c r="AL5317" s="13" t="s">
        <v>2257</v>
      </c>
      <c r="AM5317">
        <v>1</v>
      </c>
      <c r="AN5317" s="15" t="s">
        <v>571</v>
      </c>
    </row>
    <row r="5318" spans="1:40" x14ac:dyDescent="0.3">
      <c r="A5318" s="10" t="str">
        <f>HYPERLINK("http://www.washoecounty.gov/assessor/cama/?parid=160-841-16&amp;CardNumber=1","160-841-16")</f>
        <v>160-841-16</v>
      </c>
      <c r="B5318" t="s">
        <v>4655</v>
      </c>
      <c r="C5318" t="s">
        <v>26950</v>
      </c>
      <c r="D5318" s="1">
        <v>40459</v>
      </c>
      <c r="E5318" s="2">
        <v>195000</v>
      </c>
      <c r="F5318" t="s">
        <v>4553</v>
      </c>
      <c r="G5318" s="17" t="str">
        <f>HYPERLINK("https://www.washoecounty.gov/assessor/cama/?command=sales&amp;parid=16084116","3931283")</f>
        <v>3931283</v>
      </c>
      <c r="H5318" t="s">
        <v>5415</v>
      </c>
      <c r="I5318">
        <v>2003</v>
      </c>
      <c r="J5318">
        <v>2003</v>
      </c>
      <c r="K5318" t="s">
        <v>4554</v>
      </c>
      <c r="L5318" t="s">
        <v>3974</v>
      </c>
      <c r="M5318" s="2">
        <v>2037</v>
      </c>
      <c r="N5318" t="s">
        <v>5280</v>
      </c>
      <c r="O5318">
        <v>3</v>
      </c>
      <c r="P5318">
        <v>2</v>
      </c>
      <c r="Q5318">
        <v>1</v>
      </c>
      <c r="R5318" t="s">
        <v>5281</v>
      </c>
      <c r="S5318" t="s">
        <v>4898</v>
      </c>
      <c r="T5318" t="s">
        <v>2704</v>
      </c>
      <c r="U5318" t="s">
        <v>4560</v>
      </c>
      <c r="V5318" s="2">
        <v>502</v>
      </c>
      <c r="W5318" t="s">
        <v>4655</v>
      </c>
      <c r="X5318" s="2">
        <v>0</v>
      </c>
      <c r="Y5318">
        <v>20</v>
      </c>
      <c r="Z5318" t="s">
        <v>1491</v>
      </c>
      <c r="AA5318" s="3">
        <v>8.7258949875831604E-2</v>
      </c>
      <c r="AB5318" t="s">
        <v>26951</v>
      </c>
      <c r="AC5318" t="s">
        <v>4562</v>
      </c>
      <c r="AD5318" t="s">
        <v>26950</v>
      </c>
      <c r="AE5318" t="s">
        <v>4655</v>
      </c>
      <c r="AF5318" t="s">
        <v>4563</v>
      </c>
      <c r="AG5318" t="s">
        <v>4564</v>
      </c>
      <c r="AH5318" t="s">
        <v>5197</v>
      </c>
      <c r="AI5318" t="s">
        <v>4565</v>
      </c>
      <c r="AJ5318" t="s">
        <v>5416</v>
      </c>
      <c r="AK5318" t="s">
        <v>26952</v>
      </c>
      <c r="AL5318" s="13" t="s">
        <v>2257</v>
      </c>
      <c r="AM5318">
        <v>1</v>
      </c>
      <c r="AN5318" s="15" t="s">
        <v>571</v>
      </c>
    </row>
    <row r="5319" spans="1:40" x14ac:dyDescent="0.3">
      <c r="A5319" s="10" t="str">
        <f>HYPERLINK("http://www.washoecounty.gov/assessor/cama/?parid=160-843-22&amp;CardNumber=1","160-843-22")</f>
        <v>160-843-22</v>
      </c>
      <c r="B5319" t="s">
        <v>4655</v>
      </c>
      <c r="C5319" t="s">
        <v>588</v>
      </c>
      <c r="D5319" s="1">
        <v>40539</v>
      </c>
      <c r="E5319" s="2">
        <v>109250</v>
      </c>
      <c r="F5319" t="s">
        <v>4553</v>
      </c>
      <c r="G5319" s="17" t="str">
        <f>HYPERLINK("https://www.washoecounty.gov/assessor/cama/?command=sales&amp;parid=16084322","3957459")</f>
        <v>3957459</v>
      </c>
      <c r="H5319" t="s">
        <v>5415</v>
      </c>
      <c r="I5319">
        <v>2003</v>
      </c>
      <c r="J5319">
        <v>2003</v>
      </c>
      <c r="K5319" t="s">
        <v>4554</v>
      </c>
      <c r="L5319" t="s">
        <v>4555</v>
      </c>
      <c r="M5319" s="2">
        <v>1272</v>
      </c>
      <c r="N5319" t="s">
        <v>5280</v>
      </c>
      <c r="O5319">
        <v>2</v>
      </c>
      <c r="P5319">
        <v>2</v>
      </c>
      <c r="Q5319">
        <v>0</v>
      </c>
      <c r="R5319" t="s">
        <v>5281</v>
      </c>
      <c r="S5319" t="s">
        <v>4898</v>
      </c>
      <c r="T5319" t="s">
        <v>2704</v>
      </c>
      <c r="U5319" t="s">
        <v>4560</v>
      </c>
      <c r="V5319" s="2">
        <v>528</v>
      </c>
      <c r="W5319" t="s">
        <v>4655</v>
      </c>
      <c r="X5319" s="2">
        <v>0</v>
      </c>
      <c r="Y5319">
        <v>20</v>
      </c>
      <c r="Z5319" t="s">
        <v>1491</v>
      </c>
      <c r="AA5319" s="3">
        <v>0.10222681611776401</v>
      </c>
      <c r="AB5319" t="s">
        <v>177</v>
      </c>
      <c r="AC5319" t="s">
        <v>4562</v>
      </c>
      <c r="AD5319" t="s">
        <v>588</v>
      </c>
      <c r="AE5319" t="s">
        <v>4655</v>
      </c>
      <c r="AF5319" t="s">
        <v>4563</v>
      </c>
      <c r="AG5319" t="s">
        <v>4564</v>
      </c>
      <c r="AH5319" t="s">
        <v>5197</v>
      </c>
      <c r="AI5319" t="s">
        <v>3567</v>
      </c>
      <c r="AJ5319" t="s">
        <v>5416</v>
      </c>
      <c r="AK5319" t="s">
        <v>589</v>
      </c>
      <c r="AL5319" s="13" t="s">
        <v>2257</v>
      </c>
      <c r="AM5319">
        <v>1</v>
      </c>
      <c r="AN5319" s="15" t="s">
        <v>571</v>
      </c>
    </row>
    <row r="5320" spans="1:40" x14ac:dyDescent="0.3">
      <c r="A5320" s="10" t="str">
        <f>HYPERLINK("http://www.washoecounty.gov/assessor/cama/?parid=160-870-11&amp;CardNumber=1","160-870-11")</f>
        <v>160-870-11</v>
      </c>
      <c r="B5320" t="s">
        <v>4655</v>
      </c>
      <c r="C5320" t="s">
        <v>26953</v>
      </c>
      <c r="D5320" s="1">
        <v>40520</v>
      </c>
      <c r="E5320" s="2">
        <v>204000</v>
      </c>
      <c r="F5320" t="s">
        <v>4553</v>
      </c>
      <c r="G5320" s="17" t="str">
        <f>HYPERLINK("https://www.washoecounty.gov/assessor/cama/?command=sales&amp;parid=16087011","3951212")</f>
        <v>3951212</v>
      </c>
      <c r="H5320" t="s">
        <v>5321</v>
      </c>
      <c r="I5320">
        <v>2003</v>
      </c>
      <c r="J5320">
        <v>2003</v>
      </c>
      <c r="K5320" t="s">
        <v>4554</v>
      </c>
      <c r="L5320" t="s">
        <v>3974</v>
      </c>
      <c r="M5320" s="2">
        <v>2582</v>
      </c>
      <c r="N5320" t="s">
        <v>5280</v>
      </c>
      <c r="O5320">
        <v>4</v>
      </c>
      <c r="P5320">
        <v>3</v>
      </c>
      <c r="Q5320">
        <v>0</v>
      </c>
      <c r="R5320" t="s">
        <v>5281</v>
      </c>
      <c r="S5320" t="s">
        <v>4898</v>
      </c>
      <c r="T5320" t="s">
        <v>2704</v>
      </c>
      <c r="U5320" t="s">
        <v>5631</v>
      </c>
      <c r="V5320" s="2">
        <v>519</v>
      </c>
      <c r="W5320" t="s">
        <v>4655</v>
      </c>
      <c r="X5320" s="2">
        <v>0</v>
      </c>
      <c r="Y5320">
        <v>20</v>
      </c>
      <c r="Z5320" t="s">
        <v>1491</v>
      </c>
      <c r="AA5320" s="3">
        <v>0.14651055634021801</v>
      </c>
      <c r="AB5320" t="s">
        <v>26954</v>
      </c>
      <c r="AC5320" t="s">
        <v>4562</v>
      </c>
      <c r="AD5320" t="s">
        <v>3402</v>
      </c>
      <c r="AE5320" t="s">
        <v>4655</v>
      </c>
      <c r="AF5320" t="s">
        <v>4563</v>
      </c>
      <c r="AG5320" t="s">
        <v>4564</v>
      </c>
      <c r="AH5320">
        <v>89511</v>
      </c>
      <c r="AI5320" t="s">
        <v>4655</v>
      </c>
      <c r="AJ5320" t="s">
        <v>5322</v>
      </c>
      <c r="AK5320" t="s">
        <v>26955</v>
      </c>
      <c r="AL5320" s="13" t="s">
        <v>2257</v>
      </c>
      <c r="AM5320" s="14">
        <v>1</v>
      </c>
      <c r="AN5320" s="15" t="s">
        <v>532</v>
      </c>
    </row>
    <row r="5321" spans="1:40" x14ac:dyDescent="0.3">
      <c r="A5321" s="10" t="str">
        <f>HYPERLINK("http://www.washoecounty.gov/assessor/cama/?parid=160-881-11&amp;CardNumber=1","160-881-11")</f>
        <v>160-881-11</v>
      </c>
      <c r="B5321" t="s">
        <v>4655</v>
      </c>
      <c r="C5321" t="s">
        <v>26956</v>
      </c>
      <c r="D5321" s="1">
        <v>40466</v>
      </c>
      <c r="E5321" s="2">
        <v>204000</v>
      </c>
      <c r="F5321" t="s">
        <v>4567</v>
      </c>
      <c r="G5321" s="17" t="str">
        <f>HYPERLINK("https://www.washoecounty.gov/assessor/cama/?command=sales&amp;parid=16088111","3933479")</f>
        <v>3933479</v>
      </c>
      <c r="H5321" t="s">
        <v>5321</v>
      </c>
      <c r="I5321">
        <v>2004</v>
      </c>
      <c r="J5321">
        <v>2004</v>
      </c>
      <c r="K5321" t="s">
        <v>4554</v>
      </c>
      <c r="L5321" t="s">
        <v>4555</v>
      </c>
      <c r="M5321" s="2">
        <v>1951</v>
      </c>
      <c r="N5321" t="s">
        <v>5280</v>
      </c>
      <c r="O5321">
        <v>3</v>
      </c>
      <c r="P5321">
        <v>2</v>
      </c>
      <c r="Q5321">
        <v>0</v>
      </c>
      <c r="R5321" t="s">
        <v>5281</v>
      </c>
      <c r="S5321" t="s">
        <v>4898</v>
      </c>
      <c r="T5321" t="s">
        <v>2704</v>
      </c>
      <c r="U5321" t="s">
        <v>4560</v>
      </c>
      <c r="V5321" s="2">
        <v>598</v>
      </c>
      <c r="W5321" t="s">
        <v>4655</v>
      </c>
      <c r="X5321" s="2">
        <v>0</v>
      </c>
      <c r="Y5321">
        <v>20</v>
      </c>
      <c r="Z5321" t="s">
        <v>1491</v>
      </c>
      <c r="AA5321" s="3">
        <v>0.13567493855953217</v>
      </c>
      <c r="AB5321" t="s">
        <v>26957</v>
      </c>
      <c r="AC5321" t="s">
        <v>4562</v>
      </c>
      <c r="AD5321" t="s">
        <v>26956</v>
      </c>
      <c r="AE5321" t="s">
        <v>4655</v>
      </c>
      <c r="AF5321" t="s">
        <v>4563</v>
      </c>
      <c r="AG5321" t="s">
        <v>4564</v>
      </c>
      <c r="AH5321" t="s">
        <v>5197</v>
      </c>
      <c r="AI5321" t="s">
        <v>26958</v>
      </c>
      <c r="AJ5321" t="s">
        <v>5322</v>
      </c>
      <c r="AK5321" t="s">
        <v>26959</v>
      </c>
      <c r="AL5321" s="13" t="s">
        <v>2257</v>
      </c>
      <c r="AM5321">
        <v>1</v>
      </c>
      <c r="AN5321" s="15" t="s">
        <v>532</v>
      </c>
    </row>
    <row r="5322" spans="1:40" x14ac:dyDescent="0.3">
      <c r="A5322" s="10" t="str">
        <f>HYPERLINK("http://www.washoecounty.gov/assessor/cama/?parid=160-881-20&amp;CardNumber=1","160-881-20")</f>
        <v>160-881-20</v>
      </c>
      <c r="B5322" t="s">
        <v>4655</v>
      </c>
      <c r="C5322" t="s">
        <v>26960</v>
      </c>
      <c r="D5322" s="1">
        <v>40494</v>
      </c>
      <c r="E5322" s="2">
        <v>206000</v>
      </c>
      <c r="F5322" t="s">
        <v>4553</v>
      </c>
      <c r="G5322" s="17" t="str">
        <f>HYPERLINK("https://www.washoecounty.gov/assessor/cama/?command=sales&amp;parid=16088120","3942721")</f>
        <v>3942721</v>
      </c>
      <c r="H5322" t="s">
        <v>5321</v>
      </c>
      <c r="I5322">
        <v>2004</v>
      </c>
      <c r="J5322">
        <v>2004</v>
      </c>
      <c r="K5322" t="s">
        <v>4554</v>
      </c>
      <c r="L5322" t="s">
        <v>4555</v>
      </c>
      <c r="M5322" s="2">
        <v>1765</v>
      </c>
      <c r="N5322" t="s">
        <v>5280</v>
      </c>
      <c r="O5322">
        <v>4</v>
      </c>
      <c r="P5322">
        <v>2</v>
      </c>
      <c r="Q5322">
        <v>0</v>
      </c>
      <c r="R5322" t="s">
        <v>5281</v>
      </c>
      <c r="S5322" t="s">
        <v>4898</v>
      </c>
      <c r="T5322" t="s">
        <v>2704</v>
      </c>
      <c r="U5322" t="s">
        <v>4560</v>
      </c>
      <c r="V5322" s="2">
        <v>440</v>
      </c>
      <c r="W5322" t="s">
        <v>4655</v>
      </c>
      <c r="X5322" s="2">
        <v>0</v>
      </c>
      <c r="Y5322">
        <v>20</v>
      </c>
      <c r="Z5322" t="s">
        <v>1491</v>
      </c>
      <c r="AA5322" s="3">
        <v>0.1663452684879303</v>
      </c>
      <c r="AB5322" t="s">
        <v>26961</v>
      </c>
      <c r="AC5322" t="s">
        <v>4562</v>
      </c>
      <c r="AD5322" t="s">
        <v>26962</v>
      </c>
      <c r="AE5322" t="s">
        <v>4655</v>
      </c>
      <c r="AF5322" t="s">
        <v>4563</v>
      </c>
      <c r="AG5322" t="s">
        <v>4564</v>
      </c>
      <c r="AH5322" t="s">
        <v>5197</v>
      </c>
      <c r="AI5322" t="s">
        <v>4565</v>
      </c>
      <c r="AJ5322" t="s">
        <v>5322</v>
      </c>
      <c r="AK5322" t="s">
        <v>26963</v>
      </c>
      <c r="AL5322" s="13" t="s">
        <v>2257</v>
      </c>
      <c r="AM5322">
        <v>1</v>
      </c>
      <c r="AN5322" s="15" t="s">
        <v>532</v>
      </c>
    </row>
    <row r="5323" spans="1:40" x14ac:dyDescent="0.3">
      <c r="A5323" s="10" t="str">
        <f>HYPERLINK("http://www.washoecounty.gov/assessor/cama/?parid=160-881-27&amp;CardNumber=1","160-881-27")</f>
        <v>160-881-27</v>
      </c>
      <c r="B5323" t="s">
        <v>4655</v>
      </c>
      <c r="C5323" t="s">
        <v>26964</v>
      </c>
      <c r="D5323" s="1">
        <v>40448</v>
      </c>
      <c r="E5323" s="2">
        <v>195000</v>
      </c>
      <c r="F5323" t="s">
        <v>4553</v>
      </c>
      <c r="G5323" s="17" t="str">
        <f>HYPERLINK("https://www.washoecounty.gov/assessor/cama/?command=sales&amp;parid=16088127","3926632")</f>
        <v>3926632</v>
      </c>
      <c r="H5323" t="s">
        <v>5321</v>
      </c>
      <c r="I5323">
        <v>2004</v>
      </c>
      <c r="J5323">
        <v>2004</v>
      </c>
      <c r="K5323" t="s">
        <v>4554</v>
      </c>
      <c r="L5323" t="s">
        <v>4555</v>
      </c>
      <c r="M5323" s="2">
        <v>1765</v>
      </c>
      <c r="N5323" t="s">
        <v>5280</v>
      </c>
      <c r="O5323">
        <v>3</v>
      </c>
      <c r="P5323">
        <v>2</v>
      </c>
      <c r="Q5323">
        <v>0</v>
      </c>
      <c r="R5323" t="s">
        <v>4557</v>
      </c>
      <c r="S5323" t="s">
        <v>4898</v>
      </c>
      <c r="T5323" t="s">
        <v>2704</v>
      </c>
      <c r="U5323" t="s">
        <v>4560</v>
      </c>
      <c r="V5323" s="2">
        <v>440</v>
      </c>
      <c r="W5323" t="s">
        <v>4655</v>
      </c>
      <c r="X5323" s="2">
        <v>0</v>
      </c>
      <c r="Y5323">
        <v>20</v>
      </c>
      <c r="Z5323" t="s">
        <v>1491</v>
      </c>
      <c r="AA5323" s="3">
        <v>0.17011019587516801</v>
      </c>
      <c r="AB5323" t="s">
        <v>26965</v>
      </c>
      <c r="AC5323" t="s">
        <v>4562</v>
      </c>
      <c r="AD5323" t="s">
        <v>26964</v>
      </c>
      <c r="AE5323" t="s">
        <v>4655</v>
      </c>
      <c r="AF5323" t="s">
        <v>4563</v>
      </c>
      <c r="AG5323" t="s">
        <v>4564</v>
      </c>
      <c r="AH5323">
        <v>89502</v>
      </c>
      <c r="AI5323" t="s">
        <v>4565</v>
      </c>
      <c r="AJ5323" t="s">
        <v>5322</v>
      </c>
      <c r="AK5323" t="s">
        <v>26966</v>
      </c>
      <c r="AL5323" s="13" t="s">
        <v>2257</v>
      </c>
      <c r="AM5323">
        <v>1</v>
      </c>
      <c r="AN5323" s="15" t="s">
        <v>532</v>
      </c>
    </row>
    <row r="5324" spans="1:40" x14ac:dyDescent="0.3">
      <c r="A5324" s="10" t="str">
        <f>HYPERLINK("http://www.washoecounty.gov/assessor/cama/?parid=160-900-26&amp;CardNumber=1","160-900-26")</f>
        <v>160-900-26</v>
      </c>
      <c r="B5324" t="s">
        <v>4655</v>
      </c>
      <c r="C5324" t="s">
        <v>26967</v>
      </c>
      <c r="D5324" s="1">
        <v>40267</v>
      </c>
      <c r="E5324" s="2">
        <v>800000</v>
      </c>
      <c r="F5324" t="s">
        <v>3259</v>
      </c>
      <c r="G5324" s="17" t="str">
        <f>HYPERLINK("https://www.washoecounty.gov/assessor/cama/?command=sales&amp;parid=16090026","3865507")</f>
        <v>3865507</v>
      </c>
      <c r="H5324" t="s">
        <v>26968</v>
      </c>
      <c r="I5324">
        <v>2006</v>
      </c>
      <c r="J5324">
        <v>2006</v>
      </c>
      <c r="K5324" t="s">
        <v>26969</v>
      </c>
      <c r="L5324" t="s">
        <v>1366</v>
      </c>
      <c r="M5324" s="2">
        <v>5987</v>
      </c>
      <c r="N5324" t="s">
        <v>4580</v>
      </c>
      <c r="O5324">
        <v>0</v>
      </c>
      <c r="P5324">
        <v>0</v>
      </c>
      <c r="Q5324">
        <v>0</v>
      </c>
      <c r="R5324" t="s">
        <v>2861</v>
      </c>
      <c r="S5324" t="s">
        <v>2054</v>
      </c>
      <c r="T5324" t="s">
        <v>4655</v>
      </c>
      <c r="U5324" t="s">
        <v>4655</v>
      </c>
      <c r="V5324" s="2">
        <v>0</v>
      </c>
      <c r="W5324" t="s">
        <v>4655</v>
      </c>
      <c r="X5324" s="2">
        <v>0</v>
      </c>
      <c r="Y5324">
        <v>41</v>
      </c>
      <c r="Z5324" t="s">
        <v>1491</v>
      </c>
      <c r="AA5324" s="3">
        <v>0.16384297609329199</v>
      </c>
      <c r="AB5324" t="s">
        <v>26970</v>
      </c>
      <c r="AC5324" t="s">
        <v>4575</v>
      </c>
      <c r="AD5324" t="s">
        <v>26971</v>
      </c>
      <c r="AE5324" t="s">
        <v>26972</v>
      </c>
      <c r="AF5324" t="s">
        <v>26973</v>
      </c>
      <c r="AG5324" t="s">
        <v>1434</v>
      </c>
      <c r="AH5324">
        <v>97035</v>
      </c>
      <c r="AI5324" t="s">
        <v>26974</v>
      </c>
      <c r="AJ5324" t="s">
        <v>26975</v>
      </c>
      <c r="AK5324" t="s">
        <v>26976</v>
      </c>
      <c r="AL5324" s="13" t="s">
        <v>2257</v>
      </c>
      <c r="AM5324">
        <v>1</v>
      </c>
      <c r="AN5324" s="15" t="s">
        <v>1820</v>
      </c>
    </row>
    <row r="5325" spans="1:40" x14ac:dyDescent="0.3">
      <c r="A5325" s="10" t="str">
        <f>HYPERLINK("http://www.washoecounty.gov/assessor/cama/?parid=160-900-37&amp;CardNumber=1","160-900-37")</f>
        <v>160-900-37</v>
      </c>
      <c r="B5325" t="s">
        <v>4655</v>
      </c>
      <c r="C5325" t="s">
        <v>298</v>
      </c>
      <c r="D5325" s="1">
        <v>40466</v>
      </c>
      <c r="E5325" s="2">
        <v>1100000</v>
      </c>
      <c r="F5325" t="s">
        <v>3528</v>
      </c>
      <c r="G5325" s="17" t="str">
        <f>HYPERLINK("https://www.washoecounty.gov/assessor/cama/?command=sales&amp;parid=16090037","3933757")</f>
        <v>3933757</v>
      </c>
      <c r="H5325" t="s">
        <v>26977</v>
      </c>
      <c r="I5325">
        <v>2007</v>
      </c>
      <c r="J5325">
        <v>2007</v>
      </c>
      <c r="K5325" t="s">
        <v>3919</v>
      </c>
      <c r="L5325" t="s">
        <v>1366</v>
      </c>
      <c r="M5325" s="2">
        <v>7123</v>
      </c>
      <c r="N5325" t="s">
        <v>4580</v>
      </c>
      <c r="O5325">
        <v>0</v>
      </c>
      <c r="P5325">
        <v>0</v>
      </c>
      <c r="Q5325">
        <v>0</v>
      </c>
      <c r="R5325" t="s">
        <v>1395</v>
      </c>
      <c r="S5325" t="s">
        <v>2054</v>
      </c>
      <c r="T5325" t="s">
        <v>4655</v>
      </c>
      <c r="U5325" t="s">
        <v>4655</v>
      </c>
      <c r="V5325" s="2">
        <v>0</v>
      </c>
      <c r="W5325" t="s">
        <v>4655</v>
      </c>
      <c r="X5325" s="2">
        <v>0</v>
      </c>
      <c r="Y5325">
        <v>41</v>
      </c>
      <c r="Z5325" t="s">
        <v>1491</v>
      </c>
      <c r="AA5325" s="3">
        <v>0.18914140760898601</v>
      </c>
      <c r="AB5325" t="s">
        <v>26978</v>
      </c>
      <c r="AC5325" t="s">
        <v>4562</v>
      </c>
      <c r="AD5325" t="s">
        <v>26979</v>
      </c>
      <c r="AE5325" t="s">
        <v>26980</v>
      </c>
      <c r="AF5325" t="s">
        <v>3114</v>
      </c>
      <c r="AG5325" t="s">
        <v>4564</v>
      </c>
      <c r="AH5325" t="s">
        <v>2330</v>
      </c>
      <c r="AI5325" t="s">
        <v>358</v>
      </c>
      <c r="AJ5325" t="s">
        <v>26981</v>
      </c>
      <c r="AK5325" t="s">
        <v>26982</v>
      </c>
      <c r="AL5325" s="13" t="s">
        <v>2257</v>
      </c>
      <c r="AM5325">
        <v>1</v>
      </c>
      <c r="AN5325" s="15" t="s">
        <v>1820</v>
      </c>
    </row>
    <row r="5326" spans="1:40" x14ac:dyDescent="0.3">
      <c r="A5326" s="10" t="str">
        <f>HYPERLINK("http://www.washoecounty.gov/assessor/cama/?parid=160-911-06&amp;CardNumber=1","160-911-06")</f>
        <v>160-911-06</v>
      </c>
      <c r="B5326" t="s">
        <v>4655</v>
      </c>
      <c r="C5326" t="s">
        <v>380</v>
      </c>
      <c r="D5326" s="1">
        <v>40262</v>
      </c>
      <c r="E5326" s="2">
        <v>94500</v>
      </c>
      <c r="F5326" t="s">
        <v>4553</v>
      </c>
      <c r="G5326" s="17" t="str">
        <f>HYPERLINK("https://www.washoecounty.gov/assessor/cama/?command=sales&amp;parid=16091106","3864008")</f>
        <v>3864008</v>
      </c>
      <c r="H5326" t="s">
        <v>4166</v>
      </c>
      <c r="I5326">
        <v>2000</v>
      </c>
      <c r="J5326">
        <v>2000</v>
      </c>
      <c r="K5326" t="s">
        <v>3144</v>
      </c>
      <c r="L5326" t="s">
        <v>4555</v>
      </c>
      <c r="M5326" s="2">
        <v>829</v>
      </c>
      <c r="N5326" t="s">
        <v>3147</v>
      </c>
      <c r="O5326">
        <v>1</v>
      </c>
      <c r="P5326">
        <v>1</v>
      </c>
      <c r="Q5326">
        <v>0</v>
      </c>
      <c r="R5326" t="s">
        <v>5281</v>
      </c>
      <c r="S5326" t="s">
        <v>4898</v>
      </c>
      <c r="T5326" t="s">
        <v>2704</v>
      </c>
      <c r="U5326" t="s">
        <v>5631</v>
      </c>
      <c r="V5326" s="2">
        <v>336</v>
      </c>
      <c r="W5326" t="s">
        <v>4655</v>
      </c>
      <c r="X5326" s="2">
        <v>0</v>
      </c>
      <c r="Y5326">
        <v>21</v>
      </c>
      <c r="Z5326" t="s">
        <v>382</v>
      </c>
      <c r="AA5326" s="3">
        <v>1.00000004749745E-3</v>
      </c>
      <c r="AB5326" t="s">
        <v>26983</v>
      </c>
      <c r="AC5326" t="s">
        <v>4562</v>
      </c>
      <c r="AD5326" t="s">
        <v>26984</v>
      </c>
      <c r="AE5326" t="s">
        <v>4655</v>
      </c>
      <c r="AF5326" t="s">
        <v>1377</v>
      </c>
      <c r="AG5326" t="s">
        <v>4564</v>
      </c>
      <c r="AH5326">
        <v>89704</v>
      </c>
      <c r="AI5326" t="s">
        <v>26985</v>
      </c>
      <c r="AJ5326" t="s">
        <v>4167</v>
      </c>
      <c r="AK5326" t="s">
        <v>26986</v>
      </c>
      <c r="AL5326" s="13" t="s">
        <v>2257</v>
      </c>
      <c r="AM5326">
        <v>1</v>
      </c>
      <c r="AN5326" s="15" t="s">
        <v>1145</v>
      </c>
    </row>
    <row r="5327" spans="1:40" x14ac:dyDescent="0.3">
      <c r="A5327" s="10" t="str">
        <f>HYPERLINK("http://www.washoecounty.gov/assessor/cama/?parid=160-911-11&amp;CardNumber=1","160-911-11")</f>
        <v>160-911-11</v>
      </c>
      <c r="B5327" t="s">
        <v>4655</v>
      </c>
      <c r="C5327" t="s">
        <v>380</v>
      </c>
      <c r="D5327" s="1">
        <v>40205</v>
      </c>
      <c r="E5327" s="2">
        <v>92180</v>
      </c>
      <c r="F5327" t="s">
        <v>4567</v>
      </c>
      <c r="G5327" s="17" t="str">
        <f>HYPERLINK("https://www.washoecounty.gov/assessor/cama/?command=sales&amp;parid=16091111","3843223")</f>
        <v>3843223</v>
      </c>
      <c r="H5327" t="s">
        <v>4166</v>
      </c>
      <c r="I5327">
        <v>2000</v>
      </c>
      <c r="J5327">
        <v>2000</v>
      </c>
      <c r="K5327" t="s">
        <v>3144</v>
      </c>
      <c r="L5327" t="s">
        <v>4555</v>
      </c>
      <c r="M5327" s="2">
        <v>829</v>
      </c>
      <c r="N5327" t="s">
        <v>3147</v>
      </c>
      <c r="O5327">
        <v>1</v>
      </c>
      <c r="P5327">
        <v>1</v>
      </c>
      <c r="Q5327">
        <v>0</v>
      </c>
      <c r="R5327" t="s">
        <v>5281</v>
      </c>
      <c r="S5327" t="s">
        <v>4898</v>
      </c>
      <c r="T5327" t="s">
        <v>2704</v>
      </c>
      <c r="U5327" t="s">
        <v>5631</v>
      </c>
      <c r="V5327" s="2">
        <v>336</v>
      </c>
      <c r="W5327" t="s">
        <v>4655</v>
      </c>
      <c r="X5327" s="2">
        <v>0</v>
      </c>
      <c r="Y5327">
        <v>21</v>
      </c>
      <c r="Z5327" t="s">
        <v>382</v>
      </c>
      <c r="AA5327" s="3">
        <v>1.00000004749745E-3</v>
      </c>
      <c r="AB5327" t="s">
        <v>26987</v>
      </c>
      <c r="AC5327" t="s">
        <v>4575</v>
      </c>
      <c r="AD5327" t="s">
        <v>26988</v>
      </c>
      <c r="AE5327" t="s">
        <v>4655</v>
      </c>
      <c r="AF5327" t="s">
        <v>4563</v>
      </c>
      <c r="AG5327" t="s">
        <v>4564</v>
      </c>
      <c r="AH5327" t="s">
        <v>5197</v>
      </c>
      <c r="AI5327" t="s">
        <v>4655</v>
      </c>
      <c r="AJ5327" t="s">
        <v>4167</v>
      </c>
      <c r="AK5327" t="s">
        <v>26989</v>
      </c>
      <c r="AL5327" s="13" t="s">
        <v>2257</v>
      </c>
      <c r="AM5327" s="14">
        <v>1</v>
      </c>
      <c r="AN5327" s="15" t="s">
        <v>1145</v>
      </c>
    </row>
    <row r="5328" spans="1:40" x14ac:dyDescent="0.3">
      <c r="A5328" s="10" t="str">
        <f>HYPERLINK("http://www.washoecounty.gov/assessor/cama/?parid=160-911-18&amp;CardNumber=1","160-911-18")</f>
        <v>160-911-18</v>
      </c>
      <c r="B5328" t="s">
        <v>4655</v>
      </c>
      <c r="C5328" t="s">
        <v>380</v>
      </c>
      <c r="D5328" s="1">
        <v>40494</v>
      </c>
      <c r="E5328" s="2">
        <v>96200</v>
      </c>
      <c r="F5328" t="s">
        <v>4567</v>
      </c>
      <c r="G5328" s="17" t="str">
        <f>HYPERLINK("https://www.washoecounty.gov/assessor/cama/?command=sales&amp;parid=16091118","3942600")</f>
        <v>3942600</v>
      </c>
      <c r="H5328" t="s">
        <v>4166</v>
      </c>
      <c r="I5328">
        <v>2000</v>
      </c>
      <c r="J5328">
        <v>2000</v>
      </c>
      <c r="K5328" t="s">
        <v>3144</v>
      </c>
      <c r="L5328" t="s">
        <v>4555</v>
      </c>
      <c r="M5328" s="2">
        <v>829</v>
      </c>
      <c r="N5328" t="s">
        <v>3147</v>
      </c>
      <c r="O5328">
        <v>1</v>
      </c>
      <c r="P5328">
        <v>1</v>
      </c>
      <c r="Q5328">
        <v>0</v>
      </c>
      <c r="R5328" t="s">
        <v>5281</v>
      </c>
      <c r="S5328" t="s">
        <v>4898</v>
      </c>
      <c r="T5328" t="s">
        <v>2704</v>
      </c>
      <c r="U5328" t="s">
        <v>5631</v>
      </c>
      <c r="V5328" s="2">
        <v>336</v>
      </c>
      <c r="W5328" t="s">
        <v>4655</v>
      </c>
      <c r="X5328" s="2">
        <v>0</v>
      </c>
      <c r="Y5328">
        <v>21</v>
      </c>
      <c r="Z5328" t="s">
        <v>382</v>
      </c>
      <c r="AA5328" s="3">
        <v>1.00000004749745E-3</v>
      </c>
      <c r="AB5328" t="s">
        <v>26990</v>
      </c>
      <c r="AC5328" t="s">
        <v>4562</v>
      </c>
      <c r="AD5328" t="s">
        <v>26991</v>
      </c>
      <c r="AE5328" t="s">
        <v>4655</v>
      </c>
      <c r="AF5328" t="s">
        <v>4563</v>
      </c>
      <c r="AG5328" t="s">
        <v>4564</v>
      </c>
      <c r="AH5328" t="s">
        <v>5197</v>
      </c>
      <c r="AI5328" t="s">
        <v>26992</v>
      </c>
      <c r="AJ5328" t="s">
        <v>4167</v>
      </c>
      <c r="AK5328" t="s">
        <v>26993</v>
      </c>
      <c r="AL5328" s="13" t="s">
        <v>2257</v>
      </c>
      <c r="AM5328">
        <v>1</v>
      </c>
      <c r="AN5328" s="15" t="s">
        <v>1145</v>
      </c>
    </row>
    <row r="5329" spans="1:40" x14ac:dyDescent="0.3">
      <c r="A5329" s="10" t="str">
        <f>HYPERLINK("http://www.washoecounty.gov/assessor/cama/?parid=160-912-14&amp;CardNumber=1","160-912-14")</f>
        <v>160-912-14</v>
      </c>
      <c r="B5329" t="s">
        <v>4655</v>
      </c>
      <c r="C5329" t="s">
        <v>380</v>
      </c>
      <c r="D5329" s="1">
        <v>40296</v>
      </c>
      <c r="E5329" s="2">
        <v>119900</v>
      </c>
      <c r="F5329" t="s">
        <v>4567</v>
      </c>
      <c r="G5329" s="17" t="str">
        <f>HYPERLINK("https://www.washoecounty.gov/assessor/cama/?command=sales&amp;parid=16091214","3875687")</f>
        <v>3875687</v>
      </c>
      <c r="H5329" t="s">
        <v>4166</v>
      </c>
      <c r="I5329">
        <v>2000</v>
      </c>
      <c r="J5329">
        <v>2000</v>
      </c>
      <c r="K5329" t="s">
        <v>3144</v>
      </c>
      <c r="L5329" t="s">
        <v>4555</v>
      </c>
      <c r="M5329" s="2">
        <v>1127</v>
      </c>
      <c r="N5329" t="s">
        <v>3147</v>
      </c>
      <c r="O5329">
        <v>2</v>
      </c>
      <c r="P5329">
        <v>2</v>
      </c>
      <c r="Q5329">
        <v>0</v>
      </c>
      <c r="R5329" t="s">
        <v>5281</v>
      </c>
      <c r="S5329" t="s">
        <v>4898</v>
      </c>
      <c r="T5329" t="s">
        <v>2704</v>
      </c>
      <c r="U5329" t="s">
        <v>5631</v>
      </c>
      <c r="V5329" s="2">
        <v>288</v>
      </c>
      <c r="W5329" t="s">
        <v>4655</v>
      </c>
      <c r="X5329" s="2">
        <v>0</v>
      </c>
      <c r="Y5329">
        <v>21</v>
      </c>
      <c r="Z5329" t="s">
        <v>382</v>
      </c>
      <c r="AA5329" s="3">
        <v>1.00000004749745E-3</v>
      </c>
      <c r="AB5329" t="s">
        <v>14008</v>
      </c>
      <c r="AC5329" t="s">
        <v>4562</v>
      </c>
      <c r="AD5329" t="s">
        <v>26988</v>
      </c>
      <c r="AE5329" t="s">
        <v>4655</v>
      </c>
      <c r="AF5329" t="s">
        <v>4563</v>
      </c>
      <c r="AG5329" t="s">
        <v>4564</v>
      </c>
      <c r="AH5329" t="s">
        <v>5197</v>
      </c>
      <c r="AI5329" t="s">
        <v>26994</v>
      </c>
      <c r="AJ5329" t="s">
        <v>4167</v>
      </c>
      <c r="AK5329" t="s">
        <v>26995</v>
      </c>
      <c r="AL5329" s="13" t="s">
        <v>2257</v>
      </c>
      <c r="AM5329">
        <v>1</v>
      </c>
      <c r="AN5329" s="15" t="s">
        <v>1145</v>
      </c>
    </row>
    <row r="5330" spans="1:40" x14ac:dyDescent="0.3">
      <c r="A5330" s="10" t="str">
        <f>HYPERLINK("http://www.washoecounty.gov/assessor/cama/?parid=160-912-27&amp;CardNumber=1","160-912-27")</f>
        <v>160-912-27</v>
      </c>
      <c r="B5330" t="s">
        <v>4655</v>
      </c>
      <c r="C5330" t="s">
        <v>380</v>
      </c>
      <c r="D5330" s="1">
        <v>40436</v>
      </c>
      <c r="E5330" s="2">
        <v>125000</v>
      </c>
      <c r="F5330" t="s">
        <v>4553</v>
      </c>
      <c r="G5330" s="17" t="str">
        <f>HYPERLINK("https://www.washoecounty.gov/assessor/cama/?command=sales&amp;parid=16091227","3922439")</f>
        <v>3922439</v>
      </c>
      <c r="H5330" t="s">
        <v>4166</v>
      </c>
      <c r="I5330">
        <v>2000</v>
      </c>
      <c r="J5330">
        <v>2000</v>
      </c>
      <c r="K5330" t="s">
        <v>3144</v>
      </c>
      <c r="L5330" t="s">
        <v>4555</v>
      </c>
      <c r="M5330" s="2">
        <v>1127</v>
      </c>
      <c r="N5330" t="s">
        <v>3147</v>
      </c>
      <c r="O5330">
        <v>2</v>
      </c>
      <c r="P5330">
        <v>2</v>
      </c>
      <c r="Q5330">
        <v>0</v>
      </c>
      <c r="R5330" t="s">
        <v>5281</v>
      </c>
      <c r="S5330" t="s">
        <v>4898</v>
      </c>
      <c r="T5330" t="s">
        <v>2704</v>
      </c>
      <c r="U5330" t="s">
        <v>5631</v>
      </c>
      <c r="V5330" s="2">
        <v>288</v>
      </c>
      <c r="W5330" t="s">
        <v>4655</v>
      </c>
      <c r="X5330" s="2">
        <v>0</v>
      </c>
      <c r="Y5330">
        <v>21</v>
      </c>
      <c r="Z5330" t="s">
        <v>382</v>
      </c>
      <c r="AA5330" s="3">
        <v>1.00000004749745E-3</v>
      </c>
      <c r="AB5330" t="s">
        <v>26996</v>
      </c>
      <c r="AC5330" t="s">
        <v>4562</v>
      </c>
      <c r="AD5330" t="s">
        <v>26997</v>
      </c>
      <c r="AE5330" t="s">
        <v>4655</v>
      </c>
      <c r="AF5330" t="s">
        <v>4563</v>
      </c>
      <c r="AG5330" t="s">
        <v>4564</v>
      </c>
      <c r="AH5330" t="s">
        <v>5197</v>
      </c>
      <c r="AI5330" t="s">
        <v>26998</v>
      </c>
      <c r="AJ5330" t="s">
        <v>26999</v>
      </c>
      <c r="AK5330" t="s">
        <v>27000</v>
      </c>
      <c r="AL5330" s="13" t="s">
        <v>2257</v>
      </c>
      <c r="AM5330">
        <v>1</v>
      </c>
      <c r="AN5330" s="15" t="s">
        <v>1145</v>
      </c>
    </row>
    <row r="5331" spans="1:40" x14ac:dyDescent="0.3">
      <c r="A5331" s="10" t="str">
        <f>HYPERLINK("http://www.washoecounty.gov/assessor/cama/?parid=160-912-30&amp;CardNumber=1","160-912-30")</f>
        <v>160-912-30</v>
      </c>
      <c r="B5331" t="s">
        <v>4655</v>
      </c>
      <c r="C5331" t="s">
        <v>380</v>
      </c>
      <c r="D5331" s="1">
        <v>40331</v>
      </c>
      <c r="E5331" s="2">
        <v>137500</v>
      </c>
      <c r="F5331" t="s">
        <v>4567</v>
      </c>
      <c r="G5331" s="17" t="str">
        <f>HYPERLINK("https://www.washoecounty.gov/assessor/cama/?command=sales&amp;parid=16091230","3887738")</f>
        <v>3887738</v>
      </c>
      <c r="H5331" t="s">
        <v>4166</v>
      </c>
      <c r="I5331">
        <v>2000</v>
      </c>
      <c r="J5331">
        <v>2000</v>
      </c>
      <c r="K5331" t="s">
        <v>3144</v>
      </c>
      <c r="L5331" t="s">
        <v>4555</v>
      </c>
      <c r="M5331" s="2">
        <v>1127</v>
      </c>
      <c r="N5331" t="s">
        <v>3147</v>
      </c>
      <c r="O5331">
        <v>2</v>
      </c>
      <c r="P5331">
        <v>2</v>
      </c>
      <c r="Q5331">
        <v>0</v>
      </c>
      <c r="R5331" t="s">
        <v>5281</v>
      </c>
      <c r="S5331" t="s">
        <v>4898</v>
      </c>
      <c r="T5331" t="s">
        <v>2704</v>
      </c>
      <c r="U5331" t="s">
        <v>5631</v>
      </c>
      <c r="V5331" s="2">
        <v>288</v>
      </c>
      <c r="W5331" t="s">
        <v>4655</v>
      </c>
      <c r="X5331" s="2">
        <v>0</v>
      </c>
      <c r="Y5331">
        <v>21</v>
      </c>
      <c r="Z5331" t="s">
        <v>382</v>
      </c>
      <c r="AA5331" s="3">
        <v>1.00000004749745E-3</v>
      </c>
      <c r="AB5331" t="s">
        <v>27001</v>
      </c>
      <c r="AC5331" t="s">
        <v>4575</v>
      </c>
      <c r="AD5331" t="s">
        <v>27002</v>
      </c>
      <c r="AE5331" t="s">
        <v>4655</v>
      </c>
      <c r="AF5331" t="s">
        <v>4563</v>
      </c>
      <c r="AG5331" t="s">
        <v>4564</v>
      </c>
      <c r="AH5331" t="s">
        <v>1147</v>
      </c>
      <c r="AI5331" t="s">
        <v>27003</v>
      </c>
      <c r="AJ5331" t="s">
        <v>4167</v>
      </c>
      <c r="AK5331" t="s">
        <v>27004</v>
      </c>
      <c r="AL5331" s="13" t="s">
        <v>2257</v>
      </c>
      <c r="AM5331">
        <v>1</v>
      </c>
      <c r="AN5331" s="15" t="s">
        <v>1145</v>
      </c>
    </row>
    <row r="5332" spans="1:40" x14ac:dyDescent="0.3">
      <c r="A5332" s="10" t="str">
        <f>HYPERLINK("http://www.washoecounty.gov/assessor/cama/?parid=160-913-15&amp;CardNumber=1","160-913-15")</f>
        <v>160-913-15</v>
      </c>
      <c r="B5332" t="s">
        <v>4655</v>
      </c>
      <c r="C5332" t="s">
        <v>380</v>
      </c>
      <c r="D5332" s="1">
        <v>40422</v>
      </c>
      <c r="E5332" s="2">
        <v>94000</v>
      </c>
      <c r="F5332" t="s">
        <v>4567</v>
      </c>
      <c r="G5332" s="17" t="str">
        <f>HYPERLINK("https://www.washoecounty.gov/assessor/cama/?command=sales&amp;parid=16091315","3917865")</f>
        <v>3917865</v>
      </c>
      <c r="H5332" t="s">
        <v>4166</v>
      </c>
      <c r="I5332">
        <v>2000</v>
      </c>
      <c r="J5332">
        <v>2000</v>
      </c>
      <c r="K5332" t="s">
        <v>3144</v>
      </c>
      <c r="L5332" t="s">
        <v>4555</v>
      </c>
      <c r="M5332" s="2">
        <v>829</v>
      </c>
      <c r="N5332" t="s">
        <v>3147</v>
      </c>
      <c r="O5332">
        <v>1</v>
      </c>
      <c r="P5332">
        <v>1</v>
      </c>
      <c r="Q5332">
        <v>0</v>
      </c>
      <c r="R5332" t="s">
        <v>5281</v>
      </c>
      <c r="S5332" t="s">
        <v>4898</v>
      </c>
      <c r="T5332" t="s">
        <v>2704</v>
      </c>
      <c r="U5332" t="s">
        <v>5631</v>
      </c>
      <c r="V5332" s="2">
        <v>336</v>
      </c>
      <c r="W5332" t="s">
        <v>4655</v>
      </c>
      <c r="X5332" s="2">
        <v>0</v>
      </c>
      <c r="Y5332">
        <v>21</v>
      </c>
      <c r="Z5332" t="s">
        <v>382</v>
      </c>
      <c r="AA5332" s="3">
        <v>1.00000004749745E-3</v>
      </c>
      <c r="AB5332" t="s">
        <v>27005</v>
      </c>
      <c r="AC5332" t="s">
        <v>4562</v>
      </c>
      <c r="AD5332" t="s">
        <v>27006</v>
      </c>
      <c r="AE5332" t="s">
        <v>27007</v>
      </c>
      <c r="AF5332" t="s">
        <v>4563</v>
      </c>
      <c r="AG5332" t="s">
        <v>4564</v>
      </c>
      <c r="AH5332" t="s">
        <v>5197</v>
      </c>
      <c r="AI5332" t="s">
        <v>27008</v>
      </c>
      <c r="AJ5332" t="s">
        <v>4167</v>
      </c>
      <c r="AK5332" t="s">
        <v>27009</v>
      </c>
      <c r="AL5332" s="13" t="s">
        <v>2257</v>
      </c>
      <c r="AM5332">
        <v>1</v>
      </c>
      <c r="AN5332" s="15" t="s">
        <v>1145</v>
      </c>
    </row>
    <row r="5333" spans="1:40" x14ac:dyDescent="0.3">
      <c r="A5333" s="10" t="str">
        <f>HYPERLINK("http://www.washoecounty.gov/assessor/cama/?parid=160-913-16&amp;CardNumber=1","160-913-16")</f>
        <v>160-913-16</v>
      </c>
      <c r="B5333" t="s">
        <v>4655</v>
      </c>
      <c r="C5333" t="s">
        <v>380</v>
      </c>
      <c r="D5333" s="1">
        <v>40497</v>
      </c>
      <c r="E5333" s="2">
        <v>125000</v>
      </c>
      <c r="F5333" t="s">
        <v>4567</v>
      </c>
      <c r="G5333" s="17" t="str">
        <f>HYPERLINK("https://www.washoecounty.gov/assessor/cama/?command=sales&amp;parid=16091316","3942818")</f>
        <v>3942818</v>
      </c>
      <c r="H5333" t="s">
        <v>4166</v>
      </c>
      <c r="I5333">
        <v>2000</v>
      </c>
      <c r="J5333">
        <v>2000</v>
      </c>
      <c r="K5333" t="s">
        <v>4897</v>
      </c>
      <c r="L5333" t="s">
        <v>4555</v>
      </c>
      <c r="M5333" s="2">
        <v>1069</v>
      </c>
      <c r="N5333" t="s">
        <v>3147</v>
      </c>
      <c r="O5333">
        <v>2</v>
      </c>
      <c r="P5333">
        <v>2</v>
      </c>
      <c r="Q5333">
        <v>0</v>
      </c>
      <c r="R5333" t="s">
        <v>5281</v>
      </c>
      <c r="S5333" t="s">
        <v>4898</v>
      </c>
      <c r="T5333" t="s">
        <v>2704</v>
      </c>
      <c r="U5333" t="s">
        <v>4560</v>
      </c>
      <c r="V5333" s="2">
        <v>336</v>
      </c>
      <c r="W5333" t="s">
        <v>4655</v>
      </c>
      <c r="X5333" s="2">
        <v>0</v>
      </c>
      <c r="Y5333">
        <v>21</v>
      </c>
      <c r="Z5333" t="s">
        <v>382</v>
      </c>
      <c r="AA5333" s="3">
        <v>1.00000004749745E-3</v>
      </c>
      <c r="AB5333" t="s">
        <v>27010</v>
      </c>
      <c r="AC5333" t="s">
        <v>4575</v>
      </c>
      <c r="AD5333" t="s">
        <v>27011</v>
      </c>
      <c r="AE5333" t="s">
        <v>4655</v>
      </c>
      <c r="AF5333" t="s">
        <v>4563</v>
      </c>
      <c r="AG5333" t="s">
        <v>4564</v>
      </c>
      <c r="AH5333">
        <v>89502</v>
      </c>
      <c r="AI5333" t="s">
        <v>27012</v>
      </c>
      <c r="AJ5333" t="s">
        <v>4167</v>
      </c>
      <c r="AK5333" t="s">
        <v>27013</v>
      </c>
      <c r="AL5333" s="13" t="s">
        <v>2257</v>
      </c>
      <c r="AM5333">
        <v>1</v>
      </c>
      <c r="AN5333" s="15" t="s">
        <v>1145</v>
      </c>
    </row>
    <row r="5334" spans="1:40" x14ac:dyDescent="0.3">
      <c r="A5334" s="10" t="str">
        <f>HYPERLINK("http://www.washoecounty.gov/assessor/cama/?parid=160-913-19&amp;CardNumber=1","160-913-19")</f>
        <v>160-913-19</v>
      </c>
      <c r="B5334" t="s">
        <v>4655</v>
      </c>
      <c r="C5334" t="s">
        <v>380</v>
      </c>
      <c r="D5334" s="1">
        <v>40318</v>
      </c>
      <c r="E5334" s="2">
        <v>109900</v>
      </c>
      <c r="F5334" t="s">
        <v>4553</v>
      </c>
      <c r="G5334" s="17" t="str">
        <f>HYPERLINK("https://www.washoecounty.gov/assessor/cama/?command=sales&amp;parid=16091319","3883408")</f>
        <v>3883408</v>
      </c>
      <c r="H5334" t="s">
        <v>4166</v>
      </c>
      <c r="I5334">
        <v>2000</v>
      </c>
      <c r="J5334">
        <v>2000</v>
      </c>
      <c r="K5334" t="s">
        <v>3144</v>
      </c>
      <c r="L5334" t="s">
        <v>4555</v>
      </c>
      <c r="M5334" s="2">
        <v>829</v>
      </c>
      <c r="N5334" t="s">
        <v>3147</v>
      </c>
      <c r="O5334">
        <v>1</v>
      </c>
      <c r="P5334">
        <v>1</v>
      </c>
      <c r="Q5334">
        <v>0</v>
      </c>
      <c r="R5334" t="s">
        <v>5281</v>
      </c>
      <c r="S5334" t="s">
        <v>4898</v>
      </c>
      <c r="T5334" t="s">
        <v>2704</v>
      </c>
      <c r="U5334" t="s">
        <v>5631</v>
      </c>
      <c r="V5334" s="2">
        <v>336</v>
      </c>
      <c r="W5334" t="s">
        <v>4655</v>
      </c>
      <c r="X5334" s="2">
        <v>0</v>
      </c>
      <c r="Y5334">
        <v>21</v>
      </c>
      <c r="Z5334" t="s">
        <v>382</v>
      </c>
      <c r="AA5334" s="3">
        <v>1.00000004749745E-3</v>
      </c>
      <c r="AB5334" t="s">
        <v>27014</v>
      </c>
      <c r="AC5334" t="s">
        <v>4562</v>
      </c>
      <c r="AD5334" t="s">
        <v>27015</v>
      </c>
      <c r="AE5334" t="s">
        <v>4655</v>
      </c>
      <c r="AF5334" t="s">
        <v>4563</v>
      </c>
      <c r="AG5334" t="s">
        <v>4564</v>
      </c>
      <c r="AH5334">
        <v>89511</v>
      </c>
      <c r="AI5334" t="s">
        <v>4903</v>
      </c>
      <c r="AJ5334" t="s">
        <v>4167</v>
      </c>
      <c r="AK5334" t="s">
        <v>27016</v>
      </c>
      <c r="AL5334" s="13" t="s">
        <v>2257</v>
      </c>
      <c r="AM5334">
        <v>1</v>
      </c>
      <c r="AN5334" s="15" t="s">
        <v>1145</v>
      </c>
    </row>
    <row r="5335" spans="1:40" x14ac:dyDescent="0.3">
      <c r="A5335" s="10" t="str">
        <f>HYPERLINK("http://www.washoecounty.gov/assessor/cama/?parid=160-913-22&amp;CardNumber=1","160-913-22")</f>
        <v>160-913-22</v>
      </c>
      <c r="B5335" t="s">
        <v>4655</v>
      </c>
      <c r="C5335" t="s">
        <v>380</v>
      </c>
      <c r="D5335" s="1">
        <v>40450</v>
      </c>
      <c r="E5335" s="2">
        <v>95000</v>
      </c>
      <c r="F5335" t="s">
        <v>4567</v>
      </c>
      <c r="G5335" s="17" t="str">
        <f>HYPERLINK("https://www.washoecounty.gov/assessor/cama/?command=sales&amp;parid=16091322","3927642")</f>
        <v>3927642</v>
      </c>
      <c r="H5335" t="s">
        <v>4166</v>
      </c>
      <c r="I5335">
        <v>2000</v>
      </c>
      <c r="J5335">
        <v>2000</v>
      </c>
      <c r="K5335" t="s">
        <v>3144</v>
      </c>
      <c r="L5335" t="s">
        <v>4555</v>
      </c>
      <c r="M5335" s="2">
        <v>829</v>
      </c>
      <c r="N5335" t="s">
        <v>3147</v>
      </c>
      <c r="O5335">
        <v>1</v>
      </c>
      <c r="P5335">
        <v>1</v>
      </c>
      <c r="Q5335">
        <v>0</v>
      </c>
      <c r="R5335" t="s">
        <v>5281</v>
      </c>
      <c r="S5335" t="s">
        <v>4898</v>
      </c>
      <c r="T5335" t="s">
        <v>2704</v>
      </c>
      <c r="U5335" t="s">
        <v>5631</v>
      </c>
      <c r="V5335" s="2">
        <v>336</v>
      </c>
      <c r="W5335" t="s">
        <v>4655</v>
      </c>
      <c r="X5335" s="2">
        <v>0</v>
      </c>
      <c r="Y5335">
        <v>21</v>
      </c>
      <c r="Z5335" t="s">
        <v>382</v>
      </c>
      <c r="AA5335" s="3">
        <v>1.00000004749745E-3</v>
      </c>
      <c r="AB5335" t="s">
        <v>27017</v>
      </c>
      <c r="AC5335" t="s">
        <v>4575</v>
      </c>
      <c r="AD5335" t="s">
        <v>27018</v>
      </c>
      <c r="AE5335" t="s">
        <v>4655</v>
      </c>
      <c r="AF5335" t="s">
        <v>4563</v>
      </c>
      <c r="AG5335" t="s">
        <v>4564</v>
      </c>
      <c r="AH5335" t="s">
        <v>5197</v>
      </c>
      <c r="AI5335" t="s">
        <v>27019</v>
      </c>
      <c r="AJ5335" t="s">
        <v>4167</v>
      </c>
      <c r="AK5335" t="s">
        <v>27020</v>
      </c>
      <c r="AL5335" s="13" t="s">
        <v>2257</v>
      </c>
      <c r="AM5335" s="14">
        <v>1</v>
      </c>
      <c r="AN5335" s="15" t="s">
        <v>1145</v>
      </c>
    </row>
    <row r="5336" spans="1:40" x14ac:dyDescent="0.3">
      <c r="A5336" s="10" t="str">
        <f>HYPERLINK("http://www.washoecounty.gov/assessor/cama/?parid=160-913-28&amp;CardNumber=1","160-913-28")</f>
        <v>160-913-28</v>
      </c>
      <c r="B5336" t="s">
        <v>4655</v>
      </c>
      <c r="C5336" t="s">
        <v>380</v>
      </c>
      <c r="D5336" s="1">
        <v>40429</v>
      </c>
      <c r="E5336" s="2">
        <v>117504</v>
      </c>
      <c r="F5336" t="s">
        <v>4567</v>
      </c>
      <c r="G5336" s="17" t="str">
        <f>HYPERLINK("https://www.washoecounty.gov/assessor/cama/?command=sales&amp;parid=16091328","3919929")</f>
        <v>3919929</v>
      </c>
      <c r="H5336" t="s">
        <v>4166</v>
      </c>
      <c r="I5336">
        <v>2000</v>
      </c>
      <c r="J5336">
        <v>2000</v>
      </c>
      <c r="K5336" t="s">
        <v>4897</v>
      </c>
      <c r="L5336" t="s">
        <v>4555</v>
      </c>
      <c r="M5336" s="2">
        <v>1103</v>
      </c>
      <c r="N5336" t="s">
        <v>3147</v>
      </c>
      <c r="O5336">
        <v>2</v>
      </c>
      <c r="P5336">
        <v>2</v>
      </c>
      <c r="Q5336">
        <v>0</v>
      </c>
      <c r="R5336" t="s">
        <v>5281</v>
      </c>
      <c r="S5336" t="s">
        <v>4898</v>
      </c>
      <c r="T5336" t="s">
        <v>2704</v>
      </c>
      <c r="U5336" t="s">
        <v>5631</v>
      </c>
      <c r="V5336" s="2">
        <v>240</v>
      </c>
      <c r="W5336" t="s">
        <v>4655</v>
      </c>
      <c r="X5336" s="2">
        <v>0</v>
      </c>
      <c r="Y5336">
        <v>21</v>
      </c>
      <c r="Z5336" t="s">
        <v>382</v>
      </c>
      <c r="AA5336" s="3">
        <v>1.00000004749745E-3</v>
      </c>
      <c r="AB5336" t="s">
        <v>26987</v>
      </c>
      <c r="AC5336" t="s">
        <v>4575</v>
      </c>
      <c r="AD5336" t="s">
        <v>3526</v>
      </c>
      <c r="AE5336" t="s">
        <v>4655</v>
      </c>
      <c r="AF5336" t="s">
        <v>4563</v>
      </c>
      <c r="AG5336" t="s">
        <v>4564</v>
      </c>
      <c r="AH5336" t="s">
        <v>5197</v>
      </c>
      <c r="AI5336" t="s">
        <v>27021</v>
      </c>
      <c r="AJ5336" t="s">
        <v>4167</v>
      </c>
      <c r="AK5336" t="s">
        <v>27022</v>
      </c>
      <c r="AL5336" s="13" t="s">
        <v>2257</v>
      </c>
      <c r="AM5336" s="14">
        <v>1</v>
      </c>
      <c r="AN5336" s="15" t="s">
        <v>1145</v>
      </c>
    </row>
    <row r="5337" spans="1:40" x14ac:dyDescent="0.3">
      <c r="A5337" s="10" t="str">
        <f>HYPERLINK("http://www.washoecounty.gov/assessor/cama/?parid=160-913-31&amp;CardNumber=1","160-913-31")</f>
        <v>160-913-31</v>
      </c>
      <c r="B5337" t="s">
        <v>4655</v>
      </c>
      <c r="C5337" t="s">
        <v>380</v>
      </c>
      <c r="D5337" s="1">
        <v>40268</v>
      </c>
      <c r="E5337" s="2">
        <v>97500</v>
      </c>
      <c r="F5337" t="s">
        <v>4567</v>
      </c>
      <c r="G5337" s="17" t="str">
        <f>HYPERLINK("https://www.washoecounty.gov/assessor/cama/?command=sales&amp;parid=16091331","3866229")</f>
        <v>3866229</v>
      </c>
      <c r="H5337" t="s">
        <v>4166</v>
      </c>
      <c r="I5337">
        <v>2000</v>
      </c>
      <c r="J5337">
        <v>2000</v>
      </c>
      <c r="K5337" t="s">
        <v>3144</v>
      </c>
      <c r="L5337" t="s">
        <v>4555</v>
      </c>
      <c r="M5337" s="2">
        <v>829</v>
      </c>
      <c r="N5337" t="s">
        <v>3147</v>
      </c>
      <c r="O5337">
        <v>1</v>
      </c>
      <c r="P5337">
        <v>1</v>
      </c>
      <c r="Q5337">
        <v>0</v>
      </c>
      <c r="R5337" t="s">
        <v>5281</v>
      </c>
      <c r="S5337" t="s">
        <v>4898</v>
      </c>
      <c r="T5337" t="s">
        <v>2704</v>
      </c>
      <c r="U5337" t="s">
        <v>5631</v>
      </c>
      <c r="V5337" s="2">
        <v>336</v>
      </c>
      <c r="W5337" t="s">
        <v>4655</v>
      </c>
      <c r="X5337" s="2">
        <v>0</v>
      </c>
      <c r="Y5337">
        <v>21</v>
      </c>
      <c r="Z5337" t="s">
        <v>382</v>
      </c>
      <c r="AA5337" s="3">
        <v>1.00000004749745E-3</v>
      </c>
      <c r="AB5337" t="s">
        <v>27023</v>
      </c>
      <c r="AC5337" t="s">
        <v>4575</v>
      </c>
      <c r="AD5337" t="s">
        <v>27024</v>
      </c>
      <c r="AE5337" t="s">
        <v>4655</v>
      </c>
      <c r="AF5337" t="s">
        <v>4563</v>
      </c>
      <c r="AG5337" t="s">
        <v>4564</v>
      </c>
      <c r="AH5337">
        <v>89511</v>
      </c>
      <c r="AI5337" t="s">
        <v>27025</v>
      </c>
      <c r="AJ5337" t="s">
        <v>4167</v>
      </c>
      <c r="AK5337" t="s">
        <v>27026</v>
      </c>
      <c r="AL5337" s="13" t="s">
        <v>2257</v>
      </c>
      <c r="AM5337">
        <v>1</v>
      </c>
      <c r="AN5337" s="15" t="s">
        <v>1145</v>
      </c>
    </row>
    <row r="5338" spans="1:40" x14ac:dyDescent="0.3">
      <c r="A5338" s="10" t="str">
        <f>HYPERLINK("http://www.washoecounty.gov/assessor/cama/?parid=160-914-25&amp;CardNumber=1","160-914-25")</f>
        <v>160-914-25</v>
      </c>
      <c r="B5338" t="s">
        <v>4655</v>
      </c>
      <c r="C5338" t="s">
        <v>380</v>
      </c>
      <c r="D5338" s="1">
        <v>40332</v>
      </c>
      <c r="E5338" s="2">
        <v>218000</v>
      </c>
      <c r="F5338" t="s">
        <v>4567</v>
      </c>
      <c r="G5338" s="17" t="str">
        <f>HYPERLINK("https://www.washoecounty.gov/assessor/cama/?command=sales&amp;parid=16091425","3888086")</f>
        <v>3888086</v>
      </c>
      <c r="H5338" t="s">
        <v>4166</v>
      </c>
      <c r="I5338">
        <v>2000</v>
      </c>
      <c r="J5338">
        <v>2000</v>
      </c>
      <c r="K5338" t="s">
        <v>4897</v>
      </c>
      <c r="L5338" t="s">
        <v>4555</v>
      </c>
      <c r="M5338" s="2">
        <v>1546</v>
      </c>
      <c r="N5338" t="s">
        <v>3147</v>
      </c>
      <c r="O5338">
        <v>3</v>
      </c>
      <c r="P5338">
        <v>2</v>
      </c>
      <c r="Q5338">
        <v>0</v>
      </c>
      <c r="R5338" t="s">
        <v>5281</v>
      </c>
      <c r="S5338" t="s">
        <v>4898</v>
      </c>
      <c r="T5338" t="s">
        <v>2704</v>
      </c>
      <c r="U5338" t="s">
        <v>5631</v>
      </c>
      <c r="V5338" s="2">
        <v>240</v>
      </c>
      <c r="W5338" t="s">
        <v>4655</v>
      </c>
      <c r="X5338" s="2">
        <v>0</v>
      </c>
      <c r="Y5338">
        <v>21</v>
      </c>
      <c r="Z5338" t="s">
        <v>382</v>
      </c>
      <c r="AA5338" s="3">
        <v>1.00000004749745E-3</v>
      </c>
      <c r="AB5338" t="s">
        <v>27027</v>
      </c>
      <c r="AC5338" t="s">
        <v>4575</v>
      </c>
      <c r="AD5338" t="s">
        <v>27028</v>
      </c>
      <c r="AE5338" t="s">
        <v>4655</v>
      </c>
      <c r="AF5338" t="s">
        <v>3766</v>
      </c>
      <c r="AG5338" t="s">
        <v>4584</v>
      </c>
      <c r="AH5338" t="s">
        <v>3767</v>
      </c>
      <c r="AI5338" t="s">
        <v>27029</v>
      </c>
      <c r="AJ5338" t="s">
        <v>4167</v>
      </c>
      <c r="AK5338" t="s">
        <v>27030</v>
      </c>
      <c r="AL5338" s="13" t="s">
        <v>2257</v>
      </c>
      <c r="AM5338">
        <v>1</v>
      </c>
      <c r="AN5338" s="15" t="s">
        <v>1145</v>
      </c>
    </row>
    <row r="5339" spans="1:40" x14ac:dyDescent="0.3">
      <c r="A5339" s="10" t="str">
        <f>HYPERLINK("http://www.washoecounty.gov/assessor/cama/?parid=160-917-04&amp;CardNumber=1","160-917-04")</f>
        <v>160-917-04</v>
      </c>
      <c r="B5339" t="s">
        <v>4655</v>
      </c>
      <c r="C5339" t="s">
        <v>380</v>
      </c>
      <c r="D5339" s="1">
        <v>40284</v>
      </c>
      <c r="E5339" s="2">
        <v>144000</v>
      </c>
      <c r="F5339" t="s">
        <v>4567</v>
      </c>
      <c r="G5339" s="17" t="str">
        <f>HYPERLINK("https://www.washoecounty.gov/assessor/cama/?command=sales&amp;parid=16091704","3871820")</f>
        <v>3871820</v>
      </c>
      <c r="H5339" t="s">
        <v>4166</v>
      </c>
      <c r="I5339">
        <v>2000</v>
      </c>
      <c r="J5339">
        <v>2000</v>
      </c>
      <c r="K5339" t="s">
        <v>4897</v>
      </c>
      <c r="L5339" t="s">
        <v>4555</v>
      </c>
      <c r="M5339" s="2">
        <v>1103</v>
      </c>
      <c r="N5339" t="s">
        <v>3147</v>
      </c>
      <c r="O5339">
        <v>2</v>
      </c>
      <c r="P5339">
        <v>2</v>
      </c>
      <c r="Q5339">
        <v>0</v>
      </c>
      <c r="R5339" t="s">
        <v>5281</v>
      </c>
      <c r="S5339" t="s">
        <v>4898</v>
      </c>
      <c r="T5339" t="s">
        <v>2704</v>
      </c>
      <c r="U5339" t="s">
        <v>5631</v>
      </c>
      <c r="V5339" s="2">
        <v>240</v>
      </c>
      <c r="W5339" t="s">
        <v>4655</v>
      </c>
      <c r="X5339" s="2">
        <v>0</v>
      </c>
      <c r="Y5339">
        <v>21</v>
      </c>
      <c r="Z5339" t="s">
        <v>382</v>
      </c>
      <c r="AA5339" s="3">
        <v>1.00000004749745E-3</v>
      </c>
      <c r="AB5339" t="s">
        <v>27031</v>
      </c>
      <c r="AC5339" t="s">
        <v>4575</v>
      </c>
      <c r="AD5339" t="s">
        <v>27032</v>
      </c>
      <c r="AE5339" t="s">
        <v>4655</v>
      </c>
      <c r="AF5339" t="s">
        <v>4563</v>
      </c>
      <c r="AG5339" t="s">
        <v>4564</v>
      </c>
      <c r="AH5339" t="s">
        <v>5197</v>
      </c>
      <c r="AI5339" t="s">
        <v>27033</v>
      </c>
      <c r="AJ5339" t="s">
        <v>4167</v>
      </c>
      <c r="AK5339" t="s">
        <v>27034</v>
      </c>
      <c r="AL5339" s="13" t="s">
        <v>2257</v>
      </c>
      <c r="AM5339">
        <v>1</v>
      </c>
      <c r="AN5339" s="15" t="s">
        <v>1145</v>
      </c>
    </row>
    <row r="5340" spans="1:40" x14ac:dyDescent="0.3">
      <c r="A5340" s="10" t="str">
        <f>HYPERLINK("http://www.washoecounty.gov/assessor/cama/?parid=160-917-09&amp;CardNumber=1","160-917-09")</f>
        <v>160-917-09</v>
      </c>
      <c r="B5340" t="s">
        <v>4655</v>
      </c>
      <c r="C5340" t="s">
        <v>380</v>
      </c>
      <c r="D5340" s="1">
        <v>40298</v>
      </c>
      <c r="E5340" s="2">
        <v>202280</v>
      </c>
      <c r="F5340" t="s">
        <v>4567</v>
      </c>
      <c r="G5340" s="17" t="str">
        <f>HYPERLINK("https://www.washoecounty.gov/assessor/cama/?command=sales&amp;parid=16091709","3876916")</f>
        <v>3876916</v>
      </c>
      <c r="H5340" t="s">
        <v>4166</v>
      </c>
      <c r="I5340">
        <v>2000</v>
      </c>
      <c r="J5340">
        <v>2000</v>
      </c>
      <c r="K5340" t="s">
        <v>4897</v>
      </c>
      <c r="L5340" t="s">
        <v>4555</v>
      </c>
      <c r="M5340" s="2">
        <v>1069</v>
      </c>
      <c r="N5340" t="s">
        <v>3147</v>
      </c>
      <c r="O5340">
        <v>2</v>
      </c>
      <c r="P5340">
        <v>2</v>
      </c>
      <c r="Q5340">
        <v>0</v>
      </c>
      <c r="R5340" t="s">
        <v>5281</v>
      </c>
      <c r="S5340" t="s">
        <v>4898</v>
      </c>
      <c r="T5340" t="s">
        <v>2704</v>
      </c>
      <c r="U5340" t="s">
        <v>4560</v>
      </c>
      <c r="V5340" s="2">
        <v>336</v>
      </c>
      <c r="W5340" t="s">
        <v>4655</v>
      </c>
      <c r="X5340" s="2">
        <v>0</v>
      </c>
      <c r="Y5340">
        <v>21</v>
      </c>
      <c r="Z5340" t="s">
        <v>382</v>
      </c>
      <c r="AA5340" s="3">
        <v>1.00000004749745E-3</v>
      </c>
      <c r="AB5340" t="s">
        <v>27035</v>
      </c>
      <c r="AC5340" t="s">
        <v>4575</v>
      </c>
      <c r="AD5340" t="s">
        <v>27036</v>
      </c>
      <c r="AE5340" t="s">
        <v>4655</v>
      </c>
      <c r="AF5340" t="s">
        <v>4563</v>
      </c>
      <c r="AG5340" t="s">
        <v>4564</v>
      </c>
      <c r="AH5340" t="s">
        <v>5197</v>
      </c>
      <c r="AI5340" t="s">
        <v>27037</v>
      </c>
      <c r="AJ5340" t="s">
        <v>4167</v>
      </c>
      <c r="AK5340" t="s">
        <v>27038</v>
      </c>
      <c r="AL5340" s="13" t="s">
        <v>2257</v>
      </c>
      <c r="AM5340" s="14">
        <v>1</v>
      </c>
      <c r="AN5340" s="15" t="s">
        <v>1145</v>
      </c>
    </row>
    <row r="5341" spans="1:40" x14ac:dyDescent="0.3">
      <c r="A5341" s="10" t="str">
        <f>HYPERLINK("http://www.washoecounty.gov/assessor/cama/?parid=160-917-21&amp;CardNumber=1","160-917-21")</f>
        <v>160-917-21</v>
      </c>
      <c r="B5341" t="s">
        <v>4655</v>
      </c>
      <c r="C5341" t="s">
        <v>380</v>
      </c>
      <c r="D5341" s="1">
        <v>40372</v>
      </c>
      <c r="E5341" s="2">
        <v>124000</v>
      </c>
      <c r="F5341" t="s">
        <v>4553</v>
      </c>
      <c r="G5341" s="17" t="str">
        <f>HYPERLINK("https://www.washoecounty.gov/assessor/cama/?command=sales&amp;parid=16091721","3900930")</f>
        <v>3900930</v>
      </c>
      <c r="H5341" t="s">
        <v>4166</v>
      </c>
      <c r="I5341">
        <v>2000</v>
      </c>
      <c r="J5341">
        <v>2000</v>
      </c>
      <c r="K5341" t="s">
        <v>4897</v>
      </c>
      <c r="L5341" t="s">
        <v>4555</v>
      </c>
      <c r="M5341" s="2">
        <v>1103</v>
      </c>
      <c r="N5341" t="s">
        <v>3147</v>
      </c>
      <c r="O5341">
        <v>2</v>
      </c>
      <c r="P5341">
        <v>2</v>
      </c>
      <c r="Q5341">
        <v>0</v>
      </c>
      <c r="R5341" t="s">
        <v>5281</v>
      </c>
      <c r="S5341" t="s">
        <v>4898</v>
      </c>
      <c r="T5341" t="s">
        <v>2704</v>
      </c>
      <c r="U5341" t="s">
        <v>5631</v>
      </c>
      <c r="V5341" s="2">
        <v>240</v>
      </c>
      <c r="W5341" t="s">
        <v>4655</v>
      </c>
      <c r="X5341" s="2">
        <v>0</v>
      </c>
      <c r="Y5341">
        <v>21</v>
      </c>
      <c r="Z5341" t="s">
        <v>382</v>
      </c>
      <c r="AA5341" s="3">
        <v>1.00000004749745E-3</v>
      </c>
      <c r="AB5341" t="s">
        <v>27039</v>
      </c>
      <c r="AC5341" t="s">
        <v>4562</v>
      </c>
      <c r="AD5341" t="s">
        <v>27040</v>
      </c>
      <c r="AE5341" t="s">
        <v>4655</v>
      </c>
      <c r="AF5341" t="s">
        <v>686</v>
      </c>
      <c r="AG5341" t="s">
        <v>4584</v>
      </c>
      <c r="AH5341">
        <v>94107</v>
      </c>
      <c r="AI5341" t="s">
        <v>4655</v>
      </c>
      <c r="AJ5341" t="s">
        <v>4167</v>
      </c>
      <c r="AK5341" t="s">
        <v>27041</v>
      </c>
      <c r="AL5341" s="13" t="s">
        <v>2257</v>
      </c>
      <c r="AM5341">
        <v>1</v>
      </c>
      <c r="AN5341" s="15" t="s">
        <v>1145</v>
      </c>
    </row>
    <row r="5342" spans="1:40" x14ac:dyDescent="0.3">
      <c r="A5342" s="10" t="str">
        <f>HYPERLINK("http://www.washoecounty.gov/assessor/cama/?parid=160-918-16&amp;CardNumber=1","160-918-16")</f>
        <v>160-918-16</v>
      </c>
      <c r="B5342" t="s">
        <v>4655</v>
      </c>
      <c r="C5342" t="s">
        <v>380</v>
      </c>
      <c r="D5342" s="1">
        <v>40266</v>
      </c>
      <c r="E5342" s="2">
        <v>153000</v>
      </c>
      <c r="F5342" t="s">
        <v>4553</v>
      </c>
      <c r="G5342" s="17" t="str">
        <f>HYPERLINK("https://www.washoecounty.gov/assessor/cama/?command=sales&amp;parid=16091816","3864904")</f>
        <v>3864904</v>
      </c>
      <c r="H5342" t="s">
        <v>4166</v>
      </c>
      <c r="I5342">
        <v>2000</v>
      </c>
      <c r="J5342">
        <v>2000</v>
      </c>
      <c r="K5342" t="s">
        <v>4897</v>
      </c>
      <c r="L5342" t="s">
        <v>4555</v>
      </c>
      <c r="M5342" s="2">
        <v>1175</v>
      </c>
      <c r="N5342" t="s">
        <v>3147</v>
      </c>
      <c r="O5342">
        <v>2</v>
      </c>
      <c r="P5342">
        <v>2</v>
      </c>
      <c r="Q5342">
        <v>0</v>
      </c>
      <c r="R5342" t="s">
        <v>5281</v>
      </c>
      <c r="S5342" t="s">
        <v>4898</v>
      </c>
      <c r="T5342" t="s">
        <v>2704</v>
      </c>
      <c r="U5342" t="s">
        <v>4560</v>
      </c>
      <c r="V5342" s="2">
        <v>288</v>
      </c>
      <c r="W5342" t="s">
        <v>4655</v>
      </c>
      <c r="X5342" s="2">
        <v>0</v>
      </c>
      <c r="Y5342">
        <v>21</v>
      </c>
      <c r="Z5342" t="s">
        <v>382</v>
      </c>
      <c r="AA5342" s="3">
        <v>1.00000004749745E-3</v>
      </c>
      <c r="AB5342" t="s">
        <v>27042</v>
      </c>
      <c r="AC5342" t="s">
        <v>4562</v>
      </c>
      <c r="AD5342" t="s">
        <v>27043</v>
      </c>
      <c r="AE5342" t="s">
        <v>4655</v>
      </c>
      <c r="AF5342" t="s">
        <v>4563</v>
      </c>
      <c r="AG5342" t="s">
        <v>4564</v>
      </c>
      <c r="AH5342" t="s">
        <v>5197</v>
      </c>
      <c r="AI5342" t="s">
        <v>4903</v>
      </c>
      <c r="AJ5342" t="s">
        <v>4167</v>
      </c>
      <c r="AK5342" t="s">
        <v>27044</v>
      </c>
      <c r="AL5342" s="13" t="s">
        <v>2257</v>
      </c>
      <c r="AM5342">
        <v>1</v>
      </c>
      <c r="AN5342" s="15" t="s">
        <v>1145</v>
      </c>
    </row>
    <row r="5343" spans="1:40" x14ac:dyDescent="0.3">
      <c r="A5343" s="10" t="str">
        <f>HYPERLINK("http://www.washoecounty.gov/assessor/cama/?parid=160-921-17&amp;CardNumber=1","160-921-17")</f>
        <v>160-921-17</v>
      </c>
      <c r="B5343" t="s">
        <v>4655</v>
      </c>
      <c r="C5343" t="s">
        <v>380</v>
      </c>
      <c r="D5343" s="1">
        <v>40459</v>
      </c>
      <c r="E5343" s="2">
        <v>96900</v>
      </c>
      <c r="F5343" t="s">
        <v>4553</v>
      </c>
      <c r="G5343" s="17" t="str">
        <f>HYPERLINK("https://www.washoecounty.gov/assessor/cama/?command=sales&amp;parid=16092117","3931025")</f>
        <v>3931025</v>
      </c>
      <c r="H5343" t="s">
        <v>381</v>
      </c>
      <c r="I5343">
        <v>1999</v>
      </c>
      <c r="J5343">
        <v>1999</v>
      </c>
      <c r="K5343" t="s">
        <v>4897</v>
      </c>
      <c r="L5343" t="s">
        <v>4555</v>
      </c>
      <c r="M5343" s="2">
        <v>864</v>
      </c>
      <c r="N5343" t="s">
        <v>3147</v>
      </c>
      <c r="O5343">
        <v>1</v>
      </c>
      <c r="P5343">
        <v>1</v>
      </c>
      <c r="Q5343">
        <v>0</v>
      </c>
      <c r="R5343" t="s">
        <v>5281</v>
      </c>
      <c r="S5343" t="s">
        <v>4898</v>
      </c>
      <c r="T5343" t="s">
        <v>2704</v>
      </c>
      <c r="U5343" t="s">
        <v>5631</v>
      </c>
      <c r="V5343" s="2">
        <v>336</v>
      </c>
      <c r="W5343" t="s">
        <v>4655</v>
      </c>
      <c r="X5343" s="2">
        <v>0</v>
      </c>
      <c r="Y5343">
        <v>21</v>
      </c>
      <c r="Z5343" t="s">
        <v>382</v>
      </c>
      <c r="AA5343" s="3">
        <v>1.00000004749745E-3</v>
      </c>
      <c r="AB5343" t="s">
        <v>27045</v>
      </c>
      <c r="AC5343" t="s">
        <v>4575</v>
      </c>
      <c r="AD5343" t="s">
        <v>27046</v>
      </c>
      <c r="AE5343" t="s">
        <v>4655</v>
      </c>
      <c r="AF5343" t="s">
        <v>4563</v>
      </c>
      <c r="AG5343" t="s">
        <v>4564</v>
      </c>
      <c r="AH5343" t="s">
        <v>5197</v>
      </c>
      <c r="AI5343" t="s">
        <v>4903</v>
      </c>
      <c r="AJ5343" t="s">
        <v>1573</v>
      </c>
      <c r="AK5343" t="s">
        <v>27047</v>
      </c>
      <c r="AL5343" s="13" t="s">
        <v>2257</v>
      </c>
      <c r="AM5343" s="14">
        <v>1</v>
      </c>
      <c r="AN5343" s="15" t="s">
        <v>1145</v>
      </c>
    </row>
    <row r="5344" spans="1:40" x14ac:dyDescent="0.3">
      <c r="A5344" s="10" t="str">
        <f>HYPERLINK("http://www.washoecounty.gov/assessor/cama/?parid=160-922-02&amp;CardNumber=1","160-922-02")</f>
        <v>160-922-02</v>
      </c>
      <c r="B5344" t="s">
        <v>4655</v>
      </c>
      <c r="C5344" t="s">
        <v>380</v>
      </c>
      <c r="D5344" s="1">
        <v>40528</v>
      </c>
      <c r="E5344" s="2">
        <v>120000</v>
      </c>
      <c r="F5344" t="s">
        <v>4553</v>
      </c>
      <c r="G5344" s="17" t="str">
        <f>HYPERLINK("https://www.washoecounty.gov/assessor/cama/?command=sales&amp;parid=16092202","3954604")</f>
        <v>3954604</v>
      </c>
      <c r="H5344" t="s">
        <v>381</v>
      </c>
      <c r="I5344">
        <v>1999</v>
      </c>
      <c r="J5344">
        <v>1999</v>
      </c>
      <c r="K5344" t="s">
        <v>3144</v>
      </c>
      <c r="L5344" t="s">
        <v>4555</v>
      </c>
      <c r="M5344" s="2">
        <v>1127</v>
      </c>
      <c r="N5344" t="s">
        <v>3147</v>
      </c>
      <c r="O5344">
        <v>2</v>
      </c>
      <c r="P5344">
        <v>2</v>
      </c>
      <c r="Q5344">
        <v>0</v>
      </c>
      <c r="R5344" t="s">
        <v>5281</v>
      </c>
      <c r="S5344" t="s">
        <v>4898</v>
      </c>
      <c r="T5344" t="s">
        <v>2704</v>
      </c>
      <c r="U5344" t="s">
        <v>5631</v>
      </c>
      <c r="V5344" s="2">
        <v>288</v>
      </c>
      <c r="W5344" t="s">
        <v>4655</v>
      </c>
      <c r="X5344" s="2">
        <v>0</v>
      </c>
      <c r="Y5344">
        <v>21</v>
      </c>
      <c r="Z5344" t="s">
        <v>382</v>
      </c>
      <c r="AA5344" s="3">
        <v>1.00000004749745E-3</v>
      </c>
      <c r="AB5344" t="s">
        <v>27048</v>
      </c>
      <c r="AC5344" t="s">
        <v>4562</v>
      </c>
      <c r="AD5344" t="s">
        <v>27049</v>
      </c>
      <c r="AE5344" t="s">
        <v>4655</v>
      </c>
      <c r="AF5344" t="s">
        <v>18918</v>
      </c>
      <c r="AG5344" t="s">
        <v>4584</v>
      </c>
      <c r="AH5344">
        <v>91302</v>
      </c>
      <c r="AI5344" t="s">
        <v>27048</v>
      </c>
      <c r="AJ5344" t="s">
        <v>27050</v>
      </c>
      <c r="AK5344" t="s">
        <v>27051</v>
      </c>
      <c r="AL5344" s="13" t="s">
        <v>2257</v>
      </c>
      <c r="AM5344">
        <v>1</v>
      </c>
      <c r="AN5344" s="15" t="s">
        <v>1145</v>
      </c>
    </row>
    <row r="5345" spans="1:40" x14ac:dyDescent="0.3">
      <c r="A5345" s="10" t="str">
        <f>HYPERLINK("http://www.washoecounty.gov/assessor/cama/?parid=160-923-06&amp;CardNumber=1","160-923-06")</f>
        <v>160-923-06</v>
      </c>
      <c r="B5345" t="s">
        <v>4655</v>
      </c>
      <c r="C5345" t="s">
        <v>380</v>
      </c>
      <c r="D5345" s="1">
        <v>40417</v>
      </c>
      <c r="E5345" s="2">
        <v>99000</v>
      </c>
      <c r="F5345" t="s">
        <v>4567</v>
      </c>
      <c r="G5345" s="17" t="str">
        <f>HYPERLINK("https://www.washoecounty.gov/assessor/cama/?command=sales&amp;parid=16092306","3916356")</f>
        <v>3916356</v>
      </c>
      <c r="H5345" t="s">
        <v>381</v>
      </c>
      <c r="I5345">
        <v>1999</v>
      </c>
      <c r="J5345">
        <v>1999</v>
      </c>
      <c r="K5345" t="s">
        <v>3144</v>
      </c>
      <c r="L5345" t="s">
        <v>4555</v>
      </c>
      <c r="M5345" s="2">
        <v>829</v>
      </c>
      <c r="N5345" t="s">
        <v>3147</v>
      </c>
      <c r="O5345">
        <v>1</v>
      </c>
      <c r="P5345">
        <v>1</v>
      </c>
      <c r="Q5345">
        <v>0</v>
      </c>
      <c r="R5345" t="s">
        <v>5281</v>
      </c>
      <c r="S5345" t="s">
        <v>4898</v>
      </c>
      <c r="T5345" t="s">
        <v>2704</v>
      </c>
      <c r="U5345" t="s">
        <v>5631</v>
      </c>
      <c r="V5345" s="2">
        <v>336</v>
      </c>
      <c r="W5345" t="s">
        <v>4655</v>
      </c>
      <c r="X5345" s="2">
        <v>0</v>
      </c>
      <c r="Y5345">
        <v>21</v>
      </c>
      <c r="Z5345" t="s">
        <v>382</v>
      </c>
      <c r="AA5345" s="3">
        <v>1.00000004749745E-3</v>
      </c>
      <c r="AB5345" t="s">
        <v>3472</v>
      </c>
      <c r="AC5345" t="s">
        <v>4562</v>
      </c>
      <c r="AD5345" t="s">
        <v>3518</v>
      </c>
      <c r="AE5345" t="s">
        <v>4655</v>
      </c>
      <c r="AF5345" t="s">
        <v>4563</v>
      </c>
      <c r="AG5345" t="s">
        <v>4564</v>
      </c>
      <c r="AH5345" t="s">
        <v>5197</v>
      </c>
      <c r="AI5345" t="s">
        <v>27052</v>
      </c>
      <c r="AJ5345" t="s">
        <v>1573</v>
      </c>
      <c r="AK5345" t="s">
        <v>3519</v>
      </c>
      <c r="AL5345" s="13" t="s">
        <v>2257</v>
      </c>
      <c r="AM5345">
        <v>1</v>
      </c>
      <c r="AN5345" s="15" t="s">
        <v>1145</v>
      </c>
    </row>
    <row r="5346" spans="1:40" x14ac:dyDescent="0.3">
      <c r="A5346" s="10" t="str">
        <f>HYPERLINK("http://www.washoecounty.gov/assessor/cama/?parid=160-923-08&amp;CardNumber=1","160-923-08")</f>
        <v>160-923-08</v>
      </c>
      <c r="B5346" t="s">
        <v>4655</v>
      </c>
      <c r="C5346" t="s">
        <v>380</v>
      </c>
      <c r="D5346" s="1">
        <v>40192</v>
      </c>
      <c r="E5346" s="2">
        <v>93900</v>
      </c>
      <c r="F5346" t="s">
        <v>4553</v>
      </c>
      <c r="G5346" s="17" t="str">
        <f>HYPERLINK("https://www.washoecounty.gov/assessor/cama/?command=sales&amp;parid=16092308","3839106")</f>
        <v>3839106</v>
      </c>
      <c r="H5346" t="s">
        <v>381</v>
      </c>
      <c r="I5346">
        <v>1999</v>
      </c>
      <c r="J5346">
        <v>1999</v>
      </c>
      <c r="K5346" t="s">
        <v>4897</v>
      </c>
      <c r="L5346" t="s">
        <v>4555</v>
      </c>
      <c r="M5346" s="2">
        <v>864</v>
      </c>
      <c r="N5346" t="s">
        <v>3147</v>
      </c>
      <c r="O5346">
        <v>1</v>
      </c>
      <c r="P5346">
        <v>1</v>
      </c>
      <c r="Q5346">
        <v>0</v>
      </c>
      <c r="R5346" t="s">
        <v>5281</v>
      </c>
      <c r="S5346" t="s">
        <v>4898</v>
      </c>
      <c r="T5346" t="s">
        <v>2704</v>
      </c>
      <c r="U5346" t="s">
        <v>5631</v>
      </c>
      <c r="V5346" s="2">
        <v>336</v>
      </c>
      <c r="W5346" t="s">
        <v>4655</v>
      </c>
      <c r="X5346" s="2">
        <v>0</v>
      </c>
      <c r="Y5346">
        <v>21</v>
      </c>
      <c r="Z5346" t="s">
        <v>382</v>
      </c>
      <c r="AA5346" s="3">
        <v>1.00000004749745E-3</v>
      </c>
      <c r="AB5346" t="s">
        <v>27053</v>
      </c>
      <c r="AC5346" t="s">
        <v>4562</v>
      </c>
      <c r="AD5346" t="s">
        <v>27054</v>
      </c>
      <c r="AE5346" t="s">
        <v>4655</v>
      </c>
      <c r="AF5346" t="s">
        <v>3117</v>
      </c>
      <c r="AG5346" t="s">
        <v>4584</v>
      </c>
      <c r="AH5346" t="s">
        <v>27055</v>
      </c>
      <c r="AI5346" t="s">
        <v>4585</v>
      </c>
      <c r="AJ5346" t="s">
        <v>1573</v>
      </c>
      <c r="AK5346" t="s">
        <v>27056</v>
      </c>
      <c r="AL5346" s="13" t="s">
        <v>2257</v>
      </c>
      <c r="AM5346">
        <v>1</v>
      </c>
      <c r="AN5346" s="15" t="s">
        <v>1145</v>
      </c>
    </row>
    <row r="5347" spans="1:40" x14ac:dyDescent="0.3">
      <c r="A5347" s="10" t="str">
        <f>HYPERLINK("http://www.washoecounty.gov/assessor/cama/?parid=160-923-15&amp;CardNumber=1","160-923-15")</f>
        <v>160-923-15</v>
      </c>
      <c r="B5347" t="s">
        <v>4655</v>
      </c>
      <c r="C5347" t="s">
        <v>380</v>
      </c>
      <c r="D5347" s="1">
        <v>40326</v>
      </c>
      <c r="E5347" s="2">
        <v>96600</v>
      </c>
      <c r="F5347" t="s">
        <v>4553</v>
      </c>
      <c r="G5347" s="17" t="str">
        <f>HYPERLINK("https://www.washoecounty.gov/assessor/cama/?command=sales&amp;parid=16092315","3886436")</f>
        <v>3886436</v>
      </c>
      <c r="H5347" t="s">
        <v>381</v>
      </c>
      <c r="I5347">
        <v>1999</v>
      </c>
      <c r="J5347">
        <v>1999</v>
      </c>
      <c r="K5347" t="s">
        <v>3144</v>
      </c>
      <c r="L5347" t="s">
        <v>4555</v>
      </c>
      <c r="M5347" s="2">
        <v>829</v>
      </c>
      <c r="N5347" t="s">
        <v>3147</v>
      </c>
      <c r="O5347">
        <v>1</v>
      </c>
      <c r="P5347">
        <v>1</v>
      </c>
      <c r="Q5347">
        <v>0</v>
      </c>
      <c r="R5347" t="s">
        <v>5281</v>
      </c>
      <c r="S5347" t="s">
        <v>4898</v>
      </c>
      <c r="T5347" t="s">
        <v>2704</v>
      </c>
      <c r="U5347" t="s">
        <v>5631</v>
      </c>
      <c r="V5347" s="2">
        <v>336</v>
      </c>
      <c r="W5347" t="s">
        <v>4655</v>
      </c>
      <c r="X5347" s="2">
        <v>0</v>
      </c>
      <c r="Y5347">
        <v>21</v>
      </c>
      <c r="Z5347" t="s">
        <v>382</v>
      </c>
      <c r="AA5347" s="3">
        <v>1.00000004749745E-3</v>
      </c>
      <c r="AB5347" t="s">
        <v>27057</v>
      </c>
      <c r="AC5347" t="s">
        <v>4575</v>
      </c>
      <c r="AD5347" t="s">
        <v>27058</v>
      </c>
      <c r="AE5347" t="s">
        <v>4655</v>
      </c>
      <c r="AF5347" t="s">
        <v>4563</v>
      </c>
      <c r="AG5347" t="s">
        <v>4564</v>
      </c>
      <c r="AH5347" t="s">
        <v>5197</v>
      </c>
      <c r="AI5347" t="s">
        <v>27059</v>
      </c>
      <c r="AJ5347" t="s">
        <v>1573</v>
      </c>
      <c r="AK5347" t="s">
        <v>27060</v>
      </c>
      <c r="AL5347" s="13" t="s">
        <v>2257</v>
      </c>
      <c r="AM5347">
        <v>1</v>
      </c>
      <c r="AN5347" s="15" t="s">
        <v>1145</v>
      </c>
    </row>
    <row r="5348" spans="1:40" x14ac:dyDescent="0.3">
      <c r="A5348" s="10" t="str">
        <f>HYPERLINK("http://www.washoecounty.gov/assessor/cama/?parid=160-923-30&amp;CardNumber=1","160-923-30")</f>
        <v>160-923-30</v>
      </c>
      <c r="B5348" t="s">
        <v>4655</v>
      </c>
      <c r="C5348" t="s">
        <v>380</v>
      </c>
      <c r="D5348" s="1">
        <v>40471</v>
      </c>
      <c r="E5348" s="2">
        <v>90000</v>
      </c>
      <c r="F5348" t="s">
        <v>4553</v>
      </c>
      <c r="G5348" s="17" t="str">
        <f>HYPERLINK("https://www.washoecounty.gov/assessor/cama/?command=sales&amp;parid=16092330","3934872")</f>
        <v>3934872</v>
      </c>
      <c r="H5348" t="s">
        <v>381</v>
      </c>
      <c r="I5348">
        <v>1999</v>
      </c>
      <c r="J5348">
        <v>1999</v>
      </c>
      <c r="K5348" t="s">
        <v>3144</v>
      </c>
      <c r="L5348" t="s">
        <v>4555</v>
      </c>
      <c r="M5348" s="2">
        <v>829</v>
      </c>
      <c r="N5348" t="s">
        <v>3147</v>
      </c>
      <c r="O5348">
        <v>1</v>
      </c>
      <c r="P5348">
        <v>1</v>
      </c>
      <c r="Q5348">
        <v>0</v>
      </c>
      <c r="R5348" t="s">
        <v>5281</v>
      </c>
      <c r="S5348" t="s">
        <v>4898</v>
      </c>
      <c r="T5348" t="s">
        <v>2704</v>
      </c>
      <c r="U5348" t="s">
        <v>5631</v>
      </c>
      <c r="V5348" s="2">
        <v>336</v>
      </c>
      <c r="W5348" t="s">
        <v>4655</v>
      </c>
      <c r="X5348" s="2">
        <v>0</v>
      </c>
      <c r="Y5348">
        <v>21</v>
      </c>
      <c r="Z5348" t="s">
        <v>382</v>
      </c>
      <c r="AA5348" s="3">
        <v>1.00000004749745E-3</v>
      </c>
      <c r="AB5348" t="s">
        <v>27061</v>
      </c>
      <c r="AC5348" t="s">
        <v>4562</v>
      </c>
      <c r="AD5348" t="s">
        <v>27062</v>
      </c>
      <c r="AE5348" t="s">
        <v>4655</v>
      </c>
      <c r="AF5348" t="s">
        <v>4563</v>
      </c>
      <c r="AG5348" t="s">
        <v>4564</v>
      </c>
      <c r="AH5348" t="s">
        <v>5197</v>
      </c>
      <c r="AI5348" t="s">
        <v>11569</v>
      </c>
      <c r="AJ5348" t="s">
        <v>27063</v>
      </c>
      <c r="AK5348" t="s">
        <v>27064</v>
      </c>
      <c r="AL5348" s="13" t="s">
        <v>2257</v>
      </c>
      <c r="AM5348">
        <v>1</v>
      </c>
      <c r="AN5348" s="15" t="s">
        <v>1145</v>
      </c>
    </row>
    <row r="5349" spans="1:40" x14ac:dyDescent="0.3">
      <c r="A5349" s="10" t="str">
        <f>HYPERLINK("http://www.washoecounty.gov/assessor/cama/?parid=160-923-31&amp;CardNumber=1","160-923-31")</f>
        <v>160-923-31</v>
      </c>
      <c r="B5349" t="s">
        <v>4655</v>
      </c>
      <c r="C5349" t="s">
        <v>380</v>
      </c>
      <c r="D5349" s="1">
        <v>40407</v>
      </c>
      <c r="E5349" s="2">
        <v>95000</v>
      </c>
      <c r="F5349" t="s">
        <v>4567</v>
      </c>
      <c r="G5349" s="17" t="str">
        <f>HYPERLINK("https://www.washoecounty.gov/assessor/cama/?command=sales&amp;parid=16092331","3912594")</f>
        <v>3912594</v>
      </c>
      <c r="H5349" t="s">
        <v>1514</v>
      </c>
      <c r="I5349">
        <v>1999</v>
      </c>
      <c r="J5349">
        <v>1999</v>
      </c>
      <c r="K5349" t="s">
        <v>3144</v>
      </c>
      <c r="L5349" t="s">
        <v>4555</v>
      </c>
      <c r="M5349" s="2">
        <v>829</v>
      </c>
      <c r="N5349" t="s">
        <v>3147</v>
      </c>
      <c r="O5349">
        <v>1</v>
      </c>
      <c r="P5349">
        <v>1</v>
      </c>
      <c r="Q5349">
        <v>0</v>
      </c>
      <c r="R5349" t="s">
        <v>5281</v>
      </c>
      <c r="S5349" t="s">
        <v>4898</v>
      </c>
      <c r="T5349" t="s">
        <v>2704</v>
      </c>
      <c r="U5349" t="s">
        <v>5631</v>
      </c>
      <c r="V5349" s="2">
        <v>336</v>
      </c>
      <c r="W5349" t="s">
        <v>4655</v>
      </c>
      <c r="X5349" s="2">
        <v>0</v>
      </c>
      <c r="Y5349">
        <v>21</v>
      </c>
      <c r="Z5349" t="s">
        <v>382</v>
      </c>
      <c r="AA5349" s="3">
        <v>1.00000004749745E-3</v>
      </c>
      <c r="AB5349" t="s">
        <v>27065</v>
      </c>
      <c r="AC5349" t="s">
        <v>4575</v>
      </c>
      <c r="AD5349" t="s">
        <v>27066</v>
      </c>
      <c r="AE5349" t="s">
        <v>4655</v>
      </c>
      <c r="AF5349" t="s">
        <v>4563</v>
      </c>
      <c r="AG5349" t="s">
        <v>4564</v>
      </c>
      <c r="AH5349" t="s">
        <v>5197</v>
      </c>
      <c r="AI5349" t="s">
        <v>27067</v>
      </c>
      <c r="AJ5349" t="s">
        <v>1573</v>
      </c>
      <c r="AK5349" t="s">
        <v>27068</v>
      </c>
      <c r="AL5349" s="13" t="s">
        <v>2257</v>
      </c>
      <c r="AM5349">
        <v>1</v>
      </c>
      <c r="AN5349" s="15" t="s">
        <v>1145</v>
      </c>
    </row>
    <row r="5350" spans="1:40" x14ac:dyDescent="0.3">
      <c r="A5350" s="10" t="str">
        <f>HYPERLINK("http://www.washoecounty.gov/assessor/cama/?parid=160-923-32&amp;CardNumber=1","160-923-32")</f>
        <v>160-923-32</v>
      </c>
      <c r="B5350" t="s">
        <v>4655</v>
      </c>
      <c r="C5350" t="s">
        <v>380</v>
      </c>
      <c r="D5350" s="1">
        <v>40326</v>
      </c>
      <c r="E5350" s="2">
        <v>94500</v>
      </c>
      <c r="F5350" t="s">
        <v>4567</v>
      </c>
      <c r="G5350" s="17" t="str">
        <f>HYPERLINK("https://www.washoecounty.gov/assessor/cama/?command=sales&amp;parid=16092332","3886851")</f>
        <v>3886851</v>
      </c>
      <c r="H5350" t="s">
        <v>381</v>
      </c>
      <c r="I5350">
        <v>1999</v>
      </c>
      <c r="J5350">
        <v>1999</v>
      </c>
      <c r="K5350" t="s">
        <v>4897</v>
      </c>
      <c r="L5350" t="s">
        <v>4555</v>
      </c>
      <c r="M5350" s="2">
        <v>864</v>
      </c>
      <c r="N5350" t="s">
        <v>3147</v>
      </c>
      <c r="O5350">
        <v>1</v>
      </c>
      <c r="P5350">
        <v>1</v>
      </c>
      <c r="Q5350">
        <v>0</v>
      </c>
      <c r="R5350" t="s">
        <v>5281</v>
      </c>
      <c r="S5350" t="s">
        <v>4898</v>
      </c>
      <c r="T5350" t="s">
        <v>2704</v>
      </c>
      <c r="U5350" t="s">
        <v>5631</v>
      </c>
      <c r="V5350" s="2">
        <v>336</v>
      </c>
      <c r="W5350" t="s">
        <v>4655</v>
      </c>
      <c r="X5350" s="2">
        <v>0</v>
      </c>
      <c r="Y5350">
        <v>21</v>
      </c>
      <c r="Z5350" t="s">
        <v>382</v>
      </c>
      <c r="AA5350" s="3">
        <v>1.00000004749745E-3</v>
      </c>
      <c r="AB5350" t="s">
        <v>27069</v>
      </c>
      <c r="AC5350" t="s">
        <v>4575</v>
      </c>
      <c r="AD5350" t="s">
        <v>27070</v>
      </c>
      <c r="AE5350" t="s">
        <v>4655</v>
      </c>
      <c r="AF5350" t="s">
        <v>4563</v>
      </c>
      <c r="AG5350" t="s">
        <v>4564</v>
      </c>
      <c r="AH5350" t="s">
        <v>5197</v>
      </c>
      <c r="AI5350" t="s">
        <v>27071</v>
      </c>
      <c r="AJ5350" t="s">
        <v>1573</v>
      </c>
      <c r="AK5350" t="s">
        <v>27072</v>
      </c>
      <c r="AL5350" s="13" t="s">
        <v>2257</v>
      </c>
      <c r="AM5350">
        <v>1</v>
      </c>
      <c r="AN5350" s="15" t="s">
        <v>1145</v>
      </c>
    </row>
    <row r="5351" spans="1:40" x14ac:dyDescent="0.3">
      <c r="A5351" s="10" t="str">
        <f>HYPERLINK("http://www.washoecounty.gov/assessor/cama/?parid=160-924-13&amp;CardNumber=1","160-924-13")</f>
        <v>160-924-13</v>
      </c>
      <c r="B5351" t="s">
        <v>4655</v>
      </c>
      <c r="C5351" t="s">
        <v>380</v>
      </c>
      <c r="D5351" s="1">
        <v>40346</v>
      </c>
      <c r="E5351" s="2">
        <v>151000</v>
      </c>
      <c r="F5351" t="s">
        <v>4567</v>
      </c>
      <c r="G5351" s="17" t="str">
        <f>HYPERLINK("https://www.washoecounty.gov/assessor/cama/?command=sales&amp;parid=16092413","3893070")</f>
        <v>3893070</v>
      </c>
      <c r="H5351" t="s">
        <v>381</v>
      </c>
      <c r="I5351">
        <v>1999</v>
      </c>
      <c r="J5351">
        <v>1999</v>
      </c>
      <c r="K5351" t="s">
        <v>4897</v>
      </c>
      <c r="L5351" t="s">
        <v>4555</v>
      </c>
      <c r="M5351" s="2">
        <v>1422</v>
      </c>
      <c r="N5351" t="s">
        <v>3147</v>
      </c>
      <c r="O5351">
        <v>3</v>
      </c>
      <c r="P5351">
        <v>2</v>
      </c>
      <c r="Q5351">
        <v>0</v>
      </c>
      <c r="R5351" t="s">
        <v>5281</v>
      </c>
      <c r="S5351" t="s">
        <v>4898</v>
      </c>
      <c r="T5351" t="s">
        <v>2704</v>
      </c>
      <c r="U5351" t="s">
        <v>5631</v>
      </c>
      <c r="V5351" s="2">
        <v>288</v>
      </c>
      <c r="W5351" t="s">
        <v>4655</v>
      </c>
      <c r="X5351" s="2">
        <v>0</v>
      </c>
      <c r="Y5351">
        <v>21</v>
      </c>
      <c r="Z5351" t="s">
        <v>382</v>
      </c>
      <c r="AA5351" s="3">
        <v>1.00000004749745E-3</v>
      </c>
      <c r="AB5351" t="s">
        <v>27073</v>
      </c>
      <c r="AC5351" t="s">
        <v>4562</v>
      </c>
      <c r="AD5351" t="s">
        <v>27074</v>
      </c>
      <c r="AE5351" t="s">
        <v>4655</v>
      </c>
      <c r="AF5351" t="s">
        <v>4563</v>
      </c>
      <c r="AG5351" t="s">
        <v>4564</v>
      </c>
      <c r="AH5351" t="s">
        <v>5197</v>
      </c>
      <c r="AI5351" t="s">
        <v>27075</v>
      </c>
      <c r="AJ5351" t="s">
        <v>1573</v>
      </c>
      <c r="AK5351" t="s">
        <v>27076</v>
      </c>
      <c r="AL5351" s="13" t="s">
        <v>2257</v>
      </c>
      <c r="AM5351" s="14">
        <v>1</v>
      </c>
      <c r="AN5351" s="15" t="s">
        <v>1145</v>
      </c>
    </row>
    <row r="5352" spans="1:40" x14ac:dyDescent="0.3">
      <c r="A5352" s="10" t="str">
        <f>HYPERLINK("http://www.washoecounty.gov/assessor/cama/?parid=160-924-15&amp;CardNumber=1","160-924-15")</f>
        <v>160-924-15</v>
      </c>
      <c r="B5352" t="s">
        <v>4655</v>
      </c>
      <c r="C5352" t="s">
        <v>380</v>
      </c>
      <c r="D5352" s="1">
        <v>40337</v>
      </c>
      <c r="E5352" s="2">
        <v>127000</v>
      </c>
      <c r="F5352" t="s">
        <v>4567</v>
      </c>
      <c r="G5352" s="17" t="str">
        <f>HYPERLINK("https://www.washoecounty.gov/assessor/cama/?command=sales&amp;parid=16092415","3889434")</f>
        <v>3889434</v>
      </c>
      <c r="H5352" t="s">
        <v>381</v>
      </c>
      <c r="I5352">
        <v>1999</v>
      </c>
      <c r="J5352">
        <v>1999</v>
      </c>
      <c r="K5352" t="s">
        <v>3144</v>
      </c>
      <c r="L5352" t="s">
        <v>4555</v>
      </c>
      <c r="M5352" s="2">
        <v>1127</v>
      </c>
      <c r="N5352" t="s">
        <v>3147</v>
      </c>
      <c r="O5352">
        <v>2</v>
      </c>
      <c r="P5352">
        <v>2</v>
      </c>
      <c r="Q5352">
        <v>0</v>
      </c>
      <c r="R5352" t="s">
        <v>5281</v>
      </c>
      <c r="S5352" t="s">
        <v>4898</v>
      </c>
      <c r="T5352" t="s">
        <v>2704</v>
      </c>
      <c r="U5352" t="s">
        <v>5631</v>
      </c>
      <c r="V5352" s="2">
        <v>288</v>
      </c>
      <c r="W5352" t="s">
        <v>4655</v>
      </c>
      <c r="X5352" s="2">
        <v>0</v>
      </c>
      <c r="Y5352">
        <v>21</v>
      </c>
      <c r="Z5352" t="s">
        <v>382</v>
      </c>
      <c r="AA5352" s="3">
        <v>1.00000004749745E-3</v>
      </c>
      <c r="AB5352" t="s">
        <v>27077</v>
      </c>
      <c r="AC5352" t="s">
        <v>4562</v>
      </c>
      <c r="AD5352" t="s">
        <v>27078</v>
      </c>
      <c r="AE5352" t="s">
        <v>4655</v>
      </c>
      <c r="AF5352" t="s">
        <v>4563</v>
      </c>
      <c r="AG5352" t="s">
        <v>4564</v>
      </c>
      <c r="AH5352" t="s">
        <v>5197</v>
      </c>
      <c r="AI5352" t="s">
        <v>27079</v>
      </c>
      <c r="AJ5352" t="s">
        <v>27080</v>
      </c>
      <c r="AK5352" t="s">
        <v>27081</v>
      </c>
      <c r="AL5352" s="13" t="s">
        <v>2257</v>
      </c>
      <c r="AM5352" s="14">
        <v>1</v>
      </c>
      <c r="AN5352" s="15" t="s">
        <v>1145</v>
      </c>
    </row>
    <row r="5353" spans="1:40" x14ac:dyDescent="0.3">
      <c r="A5353" s="10" t="str">
        <f>HYPERLINK("http://www.washoecounty.gov/assessor/cama/?parid=160-924-23&amp;CardNumber=1","160-924-23")</f>
        <v>160-924-23</v>
      </c>
      <c r="B5353" t="s">
        <v>4655</v>
      </c>
      <c r="C5353" t="s">
        <v>380</v>
      </c>
      <c r="D5353" s="1">
        <v>40487</v>
      </c>
      <c r="E5353" s="2">
        <v>113000</v>
      </c>
      <c r="F5353" t="s">
        <v>4567</v>
      </c>
      <c r="G5353" s="17" t="str">
        <f>HYPERLINK("https://www.washoecounty.gov/assessor/cama/?command=sales&amp;parid=16092423","3940439")</f>
        <v>3940439</v>
      </c>
      <c r="H5353" t="s">
        <v>381</v>
      </c>
      <c r="I5353">
        <v>1999</v>
      </c>
      <c r="J5353">
        <v>1999</v>
      </c>
      <c r="K5353" t="s">
        <v>3144</v>
      </c>
      <c r="L5353" t="s">
        <v>4555</v>
      </c>
      <c r="M5353" s="2">
        <v>1127</v>
      </c>
      <c r="N5353" t="s">
        <v>3147</v>
      </c>
      <c r="O5353">
        <v>2</v>
      </c>
      <c r="P5353">
        <v>2</v>
      </c>
      <c r="Q5353">
        <v>0</v>
      </c>
      <c r="R5353" t="s">
        <v>5281</v>
      </c>
      <c r="S5353" t="s">
        <v>4898</v>
      </c>
      <c r="T5353" t="s">
        <v>2704</v>
      </c>
      <c r="U5353" t="s">
        <v>5631</v>
      </c>
      <c r="V5353" s="2">
        <v>288</v>
      </c>
      <c r="W5353" t="s">
        <v>4655</v>
      </c>
      <c r="X5353" s="2">
        <v>0</v>
      </c>
      <c r="Y5353">
        <v>21</v>
      </c>
      <c r="Z5353" t="s">
        <v>382</v>
      </c>
      <c r="AA5353" s="3">
        <v>1.00000004749745E-3</v>
      </c>
      <c r="AB5353" t="s">
        <v>27082</v>
      </c>
      <c r="AC5353" t="s">
        <v>4562</v>
      </c>
      <c r="AD5353" t="s">
        <v>27083</v>
      </c>
      <c r="AE5353" t="s">
        <v>4655</v>
      </c>
      <c r="AF5353" t="s">
        <v>4563</v>
      </c>
      <c r="AG5353" t="s">
        <v>4564</v>
      </c>
      <c r="AH5353" t="s">
        <v>5197</v>
      </c>
      <c r="AI5353" t="s">
        <v>4655</v>
      </c>
      <c r="AJ5353" t="s">
        <v>1573</v>
      </c>
      <c r="AK5353" t="s">
        <v>27084</v>
      </c>
      <c r="AL5353" s="13" t="s">
        <v>2257</v>
      </c>
      <c r="AM5353">
        <v>1</v>
      </c>
      <c r="AN5353" s="15" t="s">
        <v>1145</v>
      </c>
    </row>
    <row r="5354" spans="1:40" x14ac:dyDescent="0.3">
      <c r="A5354" s="10" t="str">
        <f>HYPERLINK("http://www.washoecounty.gov/assessor/cama/?parid=160-925-08&amp;CardNumber=1","160-925-08")</f>
        <v>160-925-08</v>
      </c>
      <c r="B5354" t="s">
        <v>4655</v>
      </c>
      <c r="C5354" t="s">
        <v>380</v>
      </c>
      <c r="D5354" s="1">
        <v>40325</v>
      </c>
      <c r="E5354" s="2">
        <v>129000</v>
      </c>
      <c r="F5354" t="s">
        <v>4553</v>
      </c>
      <c r="G5354" s="17" t="str">
        <f>HYPERLINK("https://www.washoecounty.gov/assessor/cama/?command=sales&amp;parid=16092508","3885705")</f>
        <v>3885705</v>
      </c>
      <c r="H5354" t="s">
        <v>381</v>
      </c>
      <c r="I5354">
        <v>1999</v>
      </c>
      <c r="J5354">
        <v>1999</v>
      </c>
      <c r="K5354" t="s">
        <v>4897</v>
      </c>
      <c r="L5354" t="s">
        <v>4555</v>
      </c>
      <c r="M5354" s="2">
        <v>1076</v>
      </c>
      <c r="N5354" t="s">
        <v>3147</v>
      </c>
      <c r="O5354">
        <v>2</v>
      </c>
      <c r="P5354">
        <v>2</v>
      </c>
      <c r="Q5354">
        <v>0</v>
      </c>
      <c r="R5354" t="s">
        <v>5281</v>
      </c>
      <c r="S5354" t="s">
        <v>4898</v>
      </c>
      <c r="T5354" t="s">
        <v>2704</v>
      </c>
      <c r="U5354" t="s">
        <v>4560</v>
      </c>
      <c r="V5354" s="2">
        <v>336</v>
      </c>
      <c r="W5354" t="s">
        <v>4655</v>
      </c>
      <c r="X5354" s="2">
        <v>0</v>
      </c>
      <c r="Y5354">
        <v>21</v>
      </c>
      <c r="Z5354" t="s">
        <v>382</v>
      </c>
      <c r="AA5354" s="3">
        <v>1.00000004749745E-3</v>
      </c>
      <c r="AB5354" t="s">
        <v>4513</v>
      </c>
      <c r="AC5354" t="s">
        <v>4575</v>
      </c>
      <c r="AD5354" t="s">
        <v>27085</v>
      </c>
      <c r="AE5354" t="s">
        <v>27086</v>
      </c>
      <c r="AF5354" t="s">
        <v>4535</v>
      </c>
      <c r="AG5354" t="s">
        <v>4584</v>
      </c>
      <c r="AH5354" t="s">
        <v>4217</v>
      </c>
      <c r="AI5354" t="s">
        <v>4903</v>
      </c>
      <c r="AJ5354" t="s">
        <v>1573</v>
      </c>
      <c r="AK5354" t="s">
        <v>27087</v>
      </c>
      <c r="AL5354" s="13" t="s">
        <v>2257</v>
      </c>
      <c r="AM5354">
        <v>1</v>
      </c>
      <c r="AN5354" s="15" t="s">
        <v>1145</v>
      </c>
    </row>
    <row r="5355" spans="1:40" x14ac:dyDescent="0.3">
      <c r="A5355" s="10" t="str">
        <f>HYPERLINK("http://www.washoecounty.gov/assessor/cama/?parid=160-925-19&amp;CardNumber=1","160-925-19")</f>
        <v>160-925-19</v>
      </c>
      <c r="B5355" t="s">
        <v>4655</v>
      </c>
      <c r="C5355" t="s">
        <v>380</v>
      </c>
      <c r="D5355" s="1">
        <v>40344</v>
      </c>
      <c r="E5355" s="2">
        <v>85000</v>
      </c>
      <c r="F5355" t="s">
        <v>4567</v>
      </c>
      <c r="G5355" s="17" t="str">
        <f>HYPERLINK("https://www.washoecounty.gov/assessor/cama/?command=sales&amp;parid=16092519","3892065")</f>
        <v>3892065</v>
      </c>
      <c r="H5355" t="s">
        <v>381</v>
      </c>
      <c r="I5355">
        <v>1999</v>
      </c>
      <c r="J5355">
        <v>1999</v>
      </c>
      <c r="K5355" t="s">
        <v>3144</v>
      </c>
      <c r="L5355" t="s">
        <v>4555</v>
      </c>
      <c r="M5355" s="2">
        <v>829</v>
      </c>
      <c r="N5355" t="s">
        <v>3147</v>
      </c>
      <c r="O5355">
        <v>1</v>
      </c>
      <c r="P5355">
        <v>1</v>
      </c>
      <c r="Q5355">
        <v>0</v>
      </c>
      <c r="R5355" t="s">
        <v>5281</v>
      </c>
      <c r="S5355" t="s">
        <v>4898</v>
      </c>
      <c r="T5355" t="s">
        <v>2704</v>
      </c>
      <c r="U5355" t="s">
        <v>5631</v>
      </c>
      <c r="V5355" s="2">
        <v>336</v>
      </c>
      <c r="W5355" t="s">
        <v>4655</v>
      </c>
      <c r="X5355" s="2">
        <v>0</v>
      </c>
      <c r="Y5355">
        <v>21</v>
      </c>
      <c r="Z5355" t="s">
        <v>382</v>
      </c>
      <c r="AA5355" s="3">
        <v>1.00000004749745E-3</v>
      </c>
      <c r="AB5355" t="s">
        <v>27088</v>
      </c>
      <c r="AC5355" t="s">
        <v>4562</v>
      </c>
      <c r="AD5355" t="s">
        <v>27089</v>
      </c>
      <c r="AE5355" t="s">
        <v>4655</v>
      </c>
      <c r="AF5355" t="s">
        <v>4563</v>
      </c>
      <c r="AG5355" t="s">
        <v>4564</v>
      </c>
      <c r="AH5355" t="s">
        <v>5197</v>
      </c>
      <c r="AI5355" t="s">
        <v>4655</v>
      </c>
      <c r="AJ5355" t="s">
        <v>1573</v>
      </c>
      <c r="AK5355" t="s">
        <v>27090</v>
      </c>
      <c r="AL5355" s="13" t="s">
        <v>2257</v>
      </c>
      <c r="AM5355">
        <v>1</v>
      </c>
      <c r="AN5355" s="15" t="s">
        <v>1145</v>
      </c>
    </row>
    <row r="5356" spans="1:40" x14ac:dyDescent="0.3">
      <c r="A5356" s="10" t="str">
        <f>HYPERLINK("http://www.washoecounty.gov/assessor/cama/?parid=160-926-04&amp;CardNumber=1","160-926-04")</f>
        <v>160-926-04</v>
      </c>
      <c r="B5356" t="s">
        <v>4655</v>
      </c>
      <c r="C5356" t="s">
        <v>380</v>
      </c>
      <c r="D5356" s="1">
        <v>40346</v>
      </c>
      <c r="E5356" s="2">
        <v>144900</v>
      </c>
      <c r="F5356" t="s">
        <v>4567</v>
      </c>
      <c r="G5356" s="17" t="str">
        <f>HYPERLINK("https://www.washoecounty.gov/assessor/cama/?command=sales&amp;parid=16092604","3892884")</f>
        <v>3892884</v>
      </c>
      <c r="H5356" t="s">
        <v>381</v>
      </c>
      <c r="I5356">
        <v>1999</v>
      </c>
      <c r="J5356">
        <v>1999</v>
      </c>
      <c r="K5356" t="s">
        <v>4897</v>
      </c>
      <c r="L5356" t="s">
        <v>4555</v>
      </c>
      <c r="M5356" s="2">
        <v>1422</v>
      </c>
      <c r="N5356" t="s">
        <v>3147</v>
      </c>
      <c r="O5356">
        <v>3</v>
      </c>
      <c r="P5356">
        <v>2</v>
      </c>
      <c r="Q5356">
        <v>0</v>
      </c>
      <c r="R5356" t="s">
        <v>5281</v>
      </c>
      <c r="S5356" t="s">
        <v>4898</v>
      </c>
      <c r="T5356" t="s">
        <v>2704</v>
      </c>
      <c r="U5356" t="s">
        <v>5631</v>
      </c>
      <c r="V5356" s="2">
        <v>288</v>
      </c>
      <c r="W5356" t="s">
        <v>4655</v>
      </c>
      <c r="X5356" s="2">
        <v>0</v>
      </c>
      <c r="Y5356">
        <v>21</v>
      </c>
      <c r="Z5356" t="s">
        <v>382</v>
      </c>
      <c r="AA5356" s="3">
        <v>1.00000004749745E-3</v>
      </c>
      <c r="AB5356" t="s">
        <v>4915</v>
      </c>
      <c r="AC5356" t="s">
        <v>4575</v>
      </c>
      <c r="AD5356" t="s">
        <v>4916</v>
      </c>
      <c r="AE5356" t="s">
        <v>4655</v>
      </c>
      <c r="AF5356" t="s">
        <v>4563</v>
      </c>
      <c r="AG5356" t="s">
        <v>4564</v>
      </c>
      <c r="AH5356" t="s">
        <v>5197</v>
      </c>
      <c r="AI5356" t="s">
        <v>27091</v>
      </c>
      <c r="AJ5356" t="s">
        <v>1573</v>
      </c>
      <c r="AK5356" t="s">
        <v>27092</v>
      </c>
      <c r="AL5356" s="13" t="s">
        <v>2257</v>
      </c>
      <c r="AM5356">
        <v>1</v>
      </c>
      <c r="AN5356" s="15" t="s">
        <v>1145</v>
      </c>
    </row>
    <row r="5357" spans="1:40" x14ac:dyDescent="0.3">
      <c r="A5357" s="10" t="str">
        <f>HYPERLINK("http://www.washoecounty.gov/assessor/cama/?parid=160-927-01&amp;CardNumber=1","160-927-01")</f>
        <v>160-927-01</v>
      </c>
      <c r="B5357" t="s">
        <v>4655</v>
      </c>
      <c r="C5357" t="s">
        <v>380</v>
      </c>
      <c r="D5357" s="1">
        <v>40511</v>
      </c>
      <c r="E5357" s="2">
        <v>125000</v>
      </c>
      <c r="F5357" t="s">
        <v>4567</v>
      </c>
      <c r="G5357" s="17" t="str">
        <f>HYPERLINK("https://www.washoecounty.gov/assessor/cama/?command=sales&amp;parid=16092701","3947341")</f>
        <v>3947341</v>
      </c>
      <c r="H5357" t="s">
        <v>381</v>
      </c>
      <c r="I5357">
        <v>1999</v>
      </c>
      <c r="J5357">
        <v>1999</v>
      </c>
      <c r="K5357" t="s">
        <v>4897</v>
      </c>
      <c r="L5357" t="s">
        <v>4555</v>
      </c>
      <c r="M5357" s="2">
        <v>1076</v>
      </c>
      <c r="N5357" t="s">
        <v>3147</v>
      </c>
      <c r="O5357">
        <v>2</v>
      </c>
      <c r="P5357">
        <v>2</v>
      </c>
      <c r="Q5357">
        <v>0</v>
      </c>
      <c r="R5357" t="s">
        <v>5281</v>
      </c>
      <c r="S5357" t="s">
        <v>4898</v>
      </c>
      <c r="T5357" t="s">
        <v>2704</v>
      </c>
      <c r="U5357" t="s">
        <v>4560</v>
      </c>
      <c r="V5357" s="2">
        <v>336</v>
      </c>
      <c r="W5357" t="s">
        <v>4655</v>
      </c>
      <c r="X5357" s="2">
        <v>0</v>
      </c>
      <c r="Y5357">
        <v>21</v>
      </c>
      <c r="Z5357" t="s">
        <v>382</v>
      </c>
      <c r="AA5357" s="3">
        <v>1.00000004749745E-3</v>
      </c>
      <c r="AB5357" t="s">
        <v>27093</v>
      </c>
      <c r="AC5357" t="s">
        <v>4575</v>
      </c>
      <c r="AD5357" t="s">
        <v>27094</v>
      </c>
      <c r="AE5357" t="s">
        <v>4655</v>
      </c>
      <c r="AF5357" t="s">
        <v>4563</v>
      </c>
      <c r="AG5357" t="s">
        <v>4564</v>
      </c>
      <c r="AH5357" t="s">
        <v>5197</v>
      </c>
      <c r="AI5357" t="s">
        <v>27095</v>
      </c>
      <c r="AJ5357" t="s">
        <v>1573</v>
      </c>
      <c r="AK5357" t="s">
        <v>27096</v>
      </c>
      <c r="AL5357" s="13" t="s">
        <v>2257</v>
      </c>
      <c r="AM5357">
        <v>1</v>
      </c>
      <c r="AN5357" s="15" t="s">
        <v>1145</v>
      </c>
    </row>
    <row r="5358" spans="1:40" x14ac:dyDescent="0.3">
      <c r="A5358" s="10" t="str">
        <f>HYPERLINK("http://www.washoecounty.gov/assessor/cama/?parid=160-927-09&amp;CardNumber=1","160-927-09")</f>
        <v>160-927-09</v>
      </c>
      <c r="B5358" t="s">
        <v>4655</v>
      </c>
      <c r="C5358" t="s">
        <v>380</v>
      </c>
      <c r="D5358" s="1">
        <v>40478</v>
      </c>
      <c r="E5358" s="2">
        <v>95000</v>
      </c>
      <c r="F5358" t="s">
        <v>4567</v>
      </c>
      <c r="G5358" s="17" t="str">
        <f>HYPERLINK("https://www.washoecounty.gov/assessor/cama/?command=sales&amp;parid=16092709","3937221")</f>
        <v>3937221</v>
      </c>
      <c r="H5358" t="s">
        <v>381</v>
      </c>
      <c r="I5358">
        <v>1999</v>
      </c>
      <c r="J5358">
        <v>1999</v>
      </c>
      <c r="K5358" t="s">
        <v>4897</v>
      </c>
      <c r="L5358" t="s">
        <v>4555</v>
      </c>
      <c r="M5358" s="2">
        <v>864</v>
      </c>
      <c r="N5358" t="s">
        <v>3147</v>
      </c>
      <c r="O5358">
        <v>1</v>
      </c>
      <c r="P5358">
        <v>1</v>
      </c>
      <c r="Q5358">
        <v>0</v>
      </c>
      <c r="R5358" t="s">
        <v>5281</v>
      </c>
      <c r="S5358" t="s">
        <v>4898</v>
      </c>
      <c r="T5358" t="s">
        <v>2704</v>
      </c>
      <c r="U5358" t="s">
        <v>5631</v>
      </c>
      <c r="V5358" s="2">
        <v>336</v>
      </c>
      <c r="W5358" t="s">
        <v>4655</v>
      </c>
      <c r="X5358" s="2">
        <v>0</v>
      </c>
      <c r="Y5358">
        <v>21</v>
      </c>
      <c r="Z5358" t="s">
        <v>382</v>
      </c>
      <c r="AA5358" s="3">
        <v>1.00000004749745E-3</v>
      </c>
      <c r="AB5358" t="s">
        <v>27097</v>
      </c>
      <c r="AC5358" t="s">
        <v>4562</v>
      </c>
      <c r="AD5358" t="s">
        <v>27098</v>
      </c>
      <c r="AE5358" t="s">
        <v>4655</v>
      </c>
      <c r="AF5358" t="s">
        <v>4563</v>
      </c>
      <c r="AG5358" t="s">
        <v>4564</v>
      </c>
      <c r="AH5358" t="s">
        <v>5197</v>
      </c>
      <c r="AI5358" t="s">
        <v>27099</v>
      </c>
      <c r="AJ5358" t="s">
        <v>1573</v>
      </c>
      <c r="AK5358" t="s">
        <v>27100</v>
      </c>
      <c r="AL5358" s="13" t="s">
        <v>2257</v>
      </c>
      <c r="AM5358" s="14">
        <v>1</v>
      </c>
      <c r="AN5358" s="15" t="s">
        <v>1145</v>
      </c>
    </row>
    <row r="5359" spans="1:40" x14ac:dyDescent="0.3">
      <c r="A5359" s="10" t="str">
        <f>HYPERLINK("http://www.washoecounty.gov/assessor/cama/?parid=160-927-14&amp;CardNumber=1","160-927-14")</f>
        <v>160-927-14</v>
      </c>
      <c r="B5359" t="s">
        <v>4655</v>
      </c>
      <c r="C5359" t="s">
        <v>380</v>
      </c>
      <c r="D5359" s="1">
        <v>40184</v>
      </c>
      <c r="E5359" s="2">
        <v>120000</v>
      </c>
      <c r="F5359" t="s">
        <v>4567</v>
      </c>
      <c r="G5359" s="17" t="str">
        <f>HYPERLINK("https://www.washoecounty.gov/assessor/cama/?command=sales&amp;parid=16092714","3836900")</f>
        <v>3836900</v>
      </c>
      <c r="H5359" t="s">
        <v>381</v>
      </c>
      <c r="I5359">
        <v>1999</v>
      </c>
      <c r="J5359">
        <v>1999</v>
      </c>
      <c r="K5359" t="s">
        <v>3144</v>
      </c>
      <c r="L5359" t="s">
        <v>4555</v>
      </c>
      <c r="M5359" s="2">
        <v>829</v>
      </c>
      <c r="N5359" t="s">
        <v>3147</v>
      </c>
      <c r="O5359">
        <v>1</v>
      </c>
      <c r="P5359">
        <v>1</v>
      </c>
      <c r="Q5359">
        <v>0</v>
      </c>
      <c r="R5359" t="s">
        <v>5281</v>
      </c>
      <c r="S5359" t="s">
        <v>4898</v>
      </c>
      <c r="T5359" t="s">
        <v>2704</v>
      </c>
      <c r="U5359" t="s">
        <v>5631</v>
      </c>
      <c r="V5359" s="2">
        <v>336</v>
      </c>
      <c r="W5359" t="s">
        <v>4655</v>
      </c>
      <c r="X5359" s="2">
        <v>0</v>
      </c>
      <c r="Y5359">
        <v>21</v>
      </c>
      <c r="Z5359" t="s">
        <v>382</v>
      </c>
      <c r="AA5359" s="3">
        <v>1.00000004749745E-3</v>
      </c>
      <c r="AB5359" t="s">
        <v>27101</v>
      </c>
      <c r="AC5359" t="s">
        <v>4575</v>
      </c>
      <c r="AD5359" t="s">
        <v>27102</v>
      </c>
      <c r="AE5359" t="s">
        <v>4655</v>
      </c>
      <c r="AF5359" t="s">
        <v>4563</v>
      </c>
      <c r="AG5359" t="s">
        <v>4564</v>
      </c>
      <c r="AH5359" t="s">
        <v>2330</v>
      </c>
      <c r="AI5359" t="s">
        <v>27103</v>
      </c>
      <c r="AJ5359" t="s">
        <v>1573</v>
      </c>
      <c r="AK5359" t="s">
        <v>27104</v>
      </c>
      <c r="AL5359" s="13" t="s">
        <v>2257</v>
      </c>
      <c r="AM5359">
        <v>1</v>
      </c>
      <c r="AN5359" s="15" t="s">
        <v>1145</v>
      </c>
    </row>
    <row r="5360" spans="1:40" x14ac:dyDescent="0.3">
      <c r="A5360" s="10" t="str">
        <f>HYPERLINK("http://www.washoecounty.gov/assessor/cama/?parid=160-927-14&amp;CardNumber=1","160-927-14")</f>
        <v>160-927-14</v>
      </c>
      <c r="B5360" t="s">
        <v>4655</v>
      </c>
      <c r="C5360" t="s">
        <v>380</v>
      </c>
      <c r="D5360" s="1">
        <v>40501</v>
      </c>
      <c r="E5360" s="2">
        <v>109000</v>
      </c>
      <c r="F5360" t="s">
        <v>4567</v>
      </c>
      <c r="G5360" s="17" t="str">
        <f>HYPERLINK("https://www.washoecounty.gov/assessor/cama/?command=sales&amp;parid=16092714","3945035")</f>
        <v>3945035</v>
      </c>
      <c r="H5360" t="s">
        <v>381</v>
      </c>
      <c r="I5360">
        <v>1999</v>
      </c>
      <c r="J5360">
        <v>1999</v>
      </c>
      <c r="K5360" t="s">
        <v>3144</v>
      </c>
      <c r="L5360" t="s">
        <v>4555</v>
      </c>
      <c r="M5360" s="2">
        <v>829</v>
      </c>
      <c r="N5360" t="s">
        <v>3147</v>
      </c>
      <c r="O5360">
        <v>1</v>
      </c>
      <c r="P5360">
        <v>1</v>
      </c>
      <c r="Q5360">
        <v>0</v>
      </c>
      <c r="R5360" t="s">
        <v>5281</v>
      </c>
      <c r="S5360" t="s">
        <v>4898</v>
      </c>
      <c r="T5360" t="s">
        <v>2704</v>
      </c>
      <c r="U5360" t="s">
        <v>5631</v>
      </c>
      <c r="V5360" s="2">
        <v>336</v>
      </c>
      <c r="W5360" t="s">
        <v>4655</v>
      </c>
      <c r="X5360" s="2">
        <v>0</v>
      </c>
      <c r="Y5360">
        <v>21</v>
      </c>
      <c r="Z5360" t="s">
        <v>382</v>
      </c>
      <c r="AA5360" s="3">
        <v>1.00000004749745E-3</v>
      </c>
      <c r="AB5360" t="s">
        <v>27101</v>
      </c>
      <c r="AC5360" t="s">
        <v>4575</v>
      </c>
      <c r="AD5360" t="s">
        <v>27102</v>
      </c>
      <c r="AE5360" t="s">
        <v>4655</v>
      </c>
      <c r="AF5360" t="s">
        <v>4563</v>
      </c>
      <c r="AG5360" t="s">
        <v>4564</v>
      </c>
      <c r="AH5360" t="s">
        <v>2330</v>
      </c>
      <c r="AI5360" t="s">
        <v>27103</v>
      </c>
      <c r="AJ5360" t="s">
        <v>1573</v>
      </c>
      <c r="AK5360" t="s">
        <v>27104</v>
      </c>
      <c r="AL5360" s="13" t="s">
        <v>2257</v>
      </c>
      <c r="AM5360">
        <v>1</v>
      </c>
      <c r="AN5360" s="15" t="s">
        <v>1145</v>
      </c>
    </row>
    <row r="5361" spans="1:40" x14ac:dyDescent="0.3">
      <c r="A5361" s="10" t="str">
        <f>HYPERLINK("http://www.washoecounty.gov/assessor/cama/?parid=160-928-05&amp;CardNumber=1","160-928-05")</f>
        <v>160-928-05</v>
      </c>
      <c r="B5361" t="s">
        <v>4655</v>
      </c>
      <c r="C5361" t="s">
        <v>380</v>
      </c>
      <c r="D5361" s="1">
        <v>40254</v>
      </c>
      <c r="E5361" s="2">
        <v>127000</v>
      </c>
      <c r="F5361" t="s">
        <v>4553</v>
      </c>
      <c r="G5361" s="17" t="str">
        <f>HYPERLINK("https://www.washoecounty.gov/assessor/cama/?command=sales&amp;parid=16092805","3860669")</f>
        <v>3860669</v>
      </c>
      <c r="H5361" t="s">
        <v>381</v>
      </c>
      <c r="I5361">
        <v>1999</v>
      </c>
      <c r="J5361">
        <v>1999</v>
      </c>
      <c r="K5361" t="s">
        <v>4897</v>
      </c>
      <c r="L5361" t="s">
        <v>4555</v>
      </c>
      <c r="M5361" s="2">
        <v>1175</v>
      </c>
      <c r="N5361" t="s">
        <v>3147</v>
      </c>
      <c r="O5361">
        <v>2</v>
      </c>
      <c r="P5361">
        <v>2</v>
      </c>
      <c r="Q5361">
        <v>0</v>
      </c>
      <c r="R5361" t="s">
        <v>5281</v>
      </c>
      <c r="S5361" t="s">
        <v>4898</v>
      </c>
      <c r="T5361" t="s">
        <v>2704</v>
      </c>
      <c r="U5361" t="s">
        <v>4560</v>
      </c>
      <c r="V5361" s="2">
        <v>288</v>
      </c>
      <c r="W5361" t="s">
        <v>4655</v>
      </c>
      <c r="X5361" s="2">
        <v>0</v>
      </c>
      <c r="Y5361">
        <v>21</v>
      </c>
      <c r="Z5361" t="s">
        <v>382</v>
      </c>
      <c r="AA5361" s="3">
        <v>1.00000004749745E-3</v>
      </c>
      <c r="AB5361" t="s">
        <v>27105</v>
      </c>
      <c r="AC5361" t="s">
        <v>4562</v>
      </c>
      <c r="AD5361" t="s">
        <v>27106</v>
      </c>
      <c r="AE5361" t="s">
        <v>4655</v>
      </c>
      <c r="AF5361" t="s">
        <v>3815</v>
      </c>
      <c r="AG5361" t="s">
        <v>4564</v>
      </c>
      <c r="AH5361" t="s">
        <v>3816</v>
      </c>
      <c r="AI5361" t="s">
        <v>4903</v>
      </c>
      <c r="AJ5361" t="s">
        <v>1573</v>
      </c>
      <c r="AK5361" t="s">
        <v>27107</v>
      </c>
      <c r="AL5361" s="13" t="s">
        <v>2257</v>
      </c>
      <c r="AM5361" s="14">
        <v>1</v>
      </c>
      <c r="AN5361" s="15" t="s">
        <v>1145</v>
      </c>
    </row>
    <row r="5362" spans="1:40" x14ac:dyDescent="0.3">
      <c r="A5362" s="10" t="str">
        <f>HYPERLINK("http://www.washoecounty.gov/assessor/cama/?parid=160-928-06&amp;CardNumber=1","160-928-06")</f>
        <v>160-928-06</v>
      </c>
      <c r="B5362" t="s">
        <v>4655</v>
      </c>
      <c r="C5362" t="s">
        <v>380</v>
      </c>
      <c r="D5362" s="1">
        <v>40532</v>
      </c>
      <c r="E5362" s="2">
        <v>130000</v>
      </c>
      <c r="F5362" t="s">
        <v>4553</v>
      </c>
      <c r="G5362" s="17" t="str">
        <f>HYPERLINK("https://www.washoecounty.gov/assessor/cama/?command=sales&amp;parid=16092806","3955643")</f>
        <v>3955643</v>
      </c>
      <c r="H5362" t="s">
        <v>381</v>
      </c>
      <c r="I5362">
        <v>1999</v>
      </c>
      <c r="J5362">
        <v>1999</v>
      </c>
      <c r="K5362" t="s">
        <v>3144</v>
      </c>
      <c r="L5362" t="s">
        <v>4555</v>
      </c>
      <c r="M5362" s="2">
        <v>1127</v>
      </c>
      <c r="N5362" t="s">
        <v>3147</v>
      </c>
      <c r="O5362">
        <v>2</v>
      </c>
      <c r="P5362">
        <v>2</v>
      </c>
      <c r="Q5362">
        <v>0</v>
      </c>
      <c r="R5362" t="s">
        <v>5281</v>
      </c>
      <c r="S5362" t="s">
        <v>4898</v>
      </c>
      <c r="T5362" t="s">
        <v>2704</v>
      </c>
      <c r="U5362" t="s">
        <v>5631</v>
      </c>
      <c r="V5362" s="2">
        <v>288</v>
      </c>
      <c r="W5362" t="s">
        <v>4655</v>
      </c>
      <c r="X5362" s="2">
        <v>0</v>
      </c>
      <c r="Y5362">
        <v>21</v>
      </c>
      <c r="Z5362" t="s">
        <v>382</v>
      </c>
      <c r="AA5362" s="3">
        <v>1.00000004749745E-3</v>
      </c>
      <c r="AB5362" t="s">
        <v>27108</v>
      </c>
      <c r="AC5362" t="s">
        <v>4575</v>
      </c>
      <c r="AD5362" t="s">
        <v>27109</v>
      </c>
      <c r="AE5362" t="s">
        <v>4655</v>
      </c>
      <c r="AF5362" t="s">
        <v>4563</v>
      </c>
      <c r="AG5362" t="s">
        <v>4564</v>
      </c>
      <c r="AH5362" t="s">
        <v>5197</v>
      </c>
      <c r="AI5362" t="s">
        <v>4903</v>
      </c>
      <c r="AJ5362" t="s">
        <v>27110</v>
      </c>
      <c r="AK5362" t="s">
        <v>27111</v>
      </c>
      <c r="AL5362" s="13" t="s">
        <v>2257</v>
      </c>
      <c r="AM5362" s="14">
        <v>1</v>
      </c>
      <c r="AN5362" s="15" t="s">
        <v>1145</v>
      </c>
    </row>
    <row r="5363" spans="1:40" x14ac:dyDescent="0.3">
      <c r="A5363" s="10" t="str">
        <f>HYPERLINK("http://www.washoecounty.gov/assessor/cama/?parid=161-021-04&amp;CardNumber=1","161-021-04")</f>
        <v>161-021-04</v>
      </c>
      <c r="B5363" t="s">
        <v>4655</v>
      </c>
      <c r="C5363" t="s">
        <v>27112</v>
      </c>
      <c r="D5363" s="1">
        <v>40522</v>
      </c>
      <c r="E5363" s="2">
        <v>211000</v>
      </c>
      <c r="F5363" t="s">
        <v>4553</v>
      </c>
      <c r="G5363" s="17" t="str">
        <f>HYPERLINK("https://www.washoecounty.gov/assessor/cama/?command=sales&amp;parid=16102104","3952274")</f>
        <v>3952274</v>
      </c>
      <c r="H5363" t="s">
        <v>976</v>
      </c>
      <c r="I5363">
        <v>2001</v>
      </c>
      <c r="J5363">
        <v>2001</v>
      </c>
      <c r="K5363" t="s">
        <v>4554</v>
      </c>
      <c r="L5363" t="s">
        <v>4555</v>
      </c>
      <c r="M5363" s="2">
        <v>1706</v>
      </c>
      <c r="N5363" t="s">
        <v>5280</v>
      </c>
      <c r="O5363">
        <v>3</v>
      </c>
      <c r="P5363">
        <v>2</v>
      </c>
      <c r="Q5363">
        <v>0</v>
      </c>
      <c r="R5363" t="s">
        <v>5281</v>
      </c>
      <c r="S5363" t="s">
        <v>4898</v>
      </c>
      <c r="T5363" t="s">
        <v>2704</v>
      </c>
      <c r="U5363" t="s">
        <v>4560</v>
      </c>
      <c r="V5363" s="2">
        <v>587</v>
      </c>
      <c r="W5363" t="s">
        <v>4655</v>
      </c>
      <c r="X5363" s="2">
        <v>0</v>
      </c>
      <c r="Y5363">
        <v>20</v>
      </c>
      <c r="Z5363" t="s">
        <v>1491</v>
      </c>
      <c r="AA5363" s="3">
        <v>0.159090906381607</v>
      </c>
      <c r="AB5363" t="s">
        <v>27113</v>
      </c>
      <c r="AC5363" t="s">
        <v>4562</v>
      </c>
      <c r="AD5363" t="s">
        <v>27112</v>
      </c>
      <c r="AE5363" t="s">
        <v>4655</v>
      </c>
      <c r="AF5363" t="s">
        <v>4563</v>
      </c>
      <c r="AG5363" t="s">
        <v>4564</v>
      </c>
      <c r="AH5363" t="s">
        <v>5197</v>
      </c>
      <c r="AI5363" t="s">
        <v>4565</v>
      </c>
      <c r="AJ5363" t="s">
        <v>2869</v>
      </c>
      <c r="AK5363" t="s">
        <v>27114</v>
      </c>
      <c r="AL5363" s="13" t="s">
        <v>2257</v>
      </c>
      <c r="AM5363" s="14">
        <v>1</v>
      </c>
      <c r="AN5363" s="15" t="s">
        <v>532</v>
      </c>
    </row>
    <row r="5364" spans="1:40" x14ac:dyDescent="0.3">
      <c r="A5364" s="10" t="str">
        <f>HYPERLINK("http://www.washoecounty.gov/assessor/cama/?parid=161-021-21&amp;CardNumber=1","161-021-21")</f>
        <v>161-021-21</v>
      </c>
      <c r="B5364" t="s">
        <v>4655</v>
      </c>
      <c r="C5364" t="s">
        <v>27115</v>
      </c>
      <c r="D5364" s="1">
        <v>40241</v>
      </c>
      <c r="E5364" s="2">
        <v>255000</v>
      </c>
      <c r="F5364" t="s">
        <v>4567</v>
      </c>
      <c r="G5364" s="17" t="str">
        <f>HYPERLINK("https://www.washoecounty.gov/assessor/cama/?command=sales&amp;parid=16102121","3855640")</f>
        <v>3855640</v>
      </c>
      <c r="H5364" t="s">
        <v>976</v>
      </c>
      <c r="I5364">
        <v>2001</v>
      </c>
      <c r="J5364">
        <v>2001</v>
      </c>
      <c r="K5364" t="s">
        <v>4554</v>
      </c>
      <c r="L5364" t="s">
        <v>4555</v>
      </c>
      <c r="M5364" s="2">
        <v>1706</v>
      </c>
      <c r="N5364" t="s">
        <v>5280</v>
      </c>
      <c r="O5364">
        <v>3</v>
      </c>
      <c r="P5364">
        <v>2</v>
      </c>
      <c r="Q5364">
        <v>0</v>
      </c>
      <c r="R5364" t="s">
        <v>5281</v>
      </c>
      <c r="S5364" t="s">
        <v>4898</v>
      </c>
      <c r="T5364" t="s">
        <v>2704</v>
      </c>
      <c r="U5364" t="s">
        <v>4560</v>
      </c>
      <c r="V5364" s="2">
        <v>587</v>
      </c>
      <c r="W5364" t="s">
        <v>4655</v>
      </c>
      <c r="X5364" s="2">
        <v>0</v>
      </c>
      <c r="Y5364">
        <v>20</v>
      </c>
      <c r="Z5364" t="s">
        <v>1491</v>
      </c>
      <c r="AA5364" s="3">
        <v>0.159090906381607</v>
      </c>
      <c r="AB5364" t="s">
        <v>27116</v>
      </c>
      <c r="AC5364" t="s">
        <v>4562</v>
      </c>
      <c r="AD5364" t="s">
        <v>27117</v>
      </c>
      <c r="AE5364" t="s">
        <v>4655</v>
      </c>
      <c r="AF5364" t="s">
        <v>4563</v>
      </c>
      <c r="AG5364" t="s">
        <v>4564</v>
      </c>
      <c r="AH5364">
        <v>89511</v>
      </c>
      <c r="AI5364" t="s">
        <v>27118</v>
      </c>
      <c r="AJ5364" t="s">
        <v>2869</v>
      </c>
      <c r="AK5364" t="s">
        <v>27119</v>
      </c>
      <c r="AL5364" s="13" t="s">
        <v>2257</v>
      </c>
      <c r="AM5364">
        <v>1</v>
      </c>
      <c r="AN5364" s="15" t="s">
        <v>532</v>
      </c>
    </row>
    <row r="5365" spans="1:40" x14ac:dyDescent="0.3">
      <c r="A5365" s="10" t="str">
        <f>HYPERLINK("http://www.washoecounty.gov/assessor/cama/?parid=161-032-05&amp;CardNumber=1","161-032-05")</f>
        <v>161-032-05</v>
      </c>
      <c r="B5365" t="s">
        <v>4655</v>
      </c>
      <c r="C5365" t="s">
        <v>27120</v>
      </c>
      <c r="D5365" s="1">
        <v>40298</v>
      </c>
      <c r="E5365" s="2">
        <v>254000</v>
      </c>
      <c r="F5365" t="s">
        <v>4567</v>
      </c>
      <c r="G5365" s="17" t="str">
        <f>HYPERLINK("https://www.washoecounty.gov/assessor/cama/?command=sales&amp;parid=16103205","3876909")</f>
        <v>3876909</v>
      </c>
      <c r="H5365" t="s">
        <v>976</v>
      </c>
      <c r="I5365">
        <v>2002</v>
      </c>
      <c r="J5365">
        <v>2002</v>
      </c>
      <c r="K5365" t="s">
        <v>4554</v>
      </c>
      <c r="L5365" t="s">
        <v>4555</v>
      </c>
      <c r="M5365" s="2">
        <v>2234</v>
      </c>
      <c r="N5365" t="s">
        <v>5280</v>
      </c>
      <c r="O5365">
        <v>3</v>
      </c>
      <c r="P5365">
        <v>2</v>
      </c>
      <c r="Q5365">
        <v>0</v>
      </c>
      <c r="R5365" t="s">
        <v>5281</v>
      </c>
      <c r="S5365" t="s">
        <v>4898</v>
      </c>
      <c r="T5365" t="s">
        <v>2704</v>
      </c>
      <c r="U5365" t="s">
        <v>4560</v>
      </c>
      <c r="V5365" s="2">
        <v>592</v>
      </c>
      <c r="W5365" t="s">
        <v>4655</v>
      </c>
      <c r="X5365" s="2">
        <v>0</v>
      </c>
      <c r="Y5365">
        <v>20</v>
      </c>
      <c r="Z5365" t="s">
        <v>1491</v>
      </c>
      <c r="AA5365" s="3">
        <v>0.2564738392829895</v>
      </c>
      <c r="AB5365" t="s">
        <v>3271</v>
      </c>
      <c r="AC5365" t="s">
        <v>4562</v>
      </c>
      <c r="AD5365" t="s">
        <v>27120</v>
      </c>
      <c r="AE5365" t="s">
        <v>4655</v>
      </c>
      <c r="AF5365" t="s">
        <v>4563</v>
      </c>
      <c r="AG5365" t="s">
        <v>4564</v>
      </c>
      <c r="AH5365" t="s">
        <v>5197</v>
      </c>
      <c r="AI5365" t="s">
        <v>27121</v>
      </c>
      <c r="AJ5365" t="s">
        <v>2869</v>
      </c>
      <c r="AK5365" t="s">
        <v>27122</v>
      </c>
      <c r="AL5365" s="13" t="s">
        <v>2257</v>
      </c>
      <c r="AM5365" s="14">
        <v>1</v>
      </c>
      <c r="AN5365" s="15" t="s">
        <v>532</v>
      </c>
    </row>
    <row r="5366" spans="1:40" x14ac:dyDescent="0.3">
      <c r="A5366" s="10" t="str">
        <f>HYPERLINK("http://www.washoecounty.gov/assessor/cama/?parid=161-042-02&amp;CardNumber=1","161-042-02")</f>
        <v>161-042-02</v>
      </c>
      <c r="B5366" t="s">
        <v>4655</v>
      </c>
      <c r="C5366" t="s">
        <v>27123</v>
      </c>
      <c r="D5366" s="1">
        <v>40436</v>
      </c>
      <c r="E5366" s="2">
        <v>256900</v>
      </c>
      <c r="F5366" t="s">
        <v>4553</v>
      </c>
      <c r="G5366" s="17" t="str">
        <f>HYPERLINK("https://www.washoecounty.gov/assessor/cama/?command=sales&amp;parid=16104202","3922617")</f>
        <v>3922617</v>
      </c>
      <c r="H5366" t="s">
        <v>4041</v>
      </c>
      <c r="I5366">
        <v>2002</v>
      </c>
      <c r="J5366">
        <v>2002</v>
      </c>
      <c r="K5366" t="s">
        <v>4554</v>
      </c>
      <c r="L5366" t="s">
        <v>4555</v>
      </c>
      <c r="M5366" s="2">
        <v>2234</v>
      </c>
      <c r="N5366" t="s">
        <v>5280</v>
      </c>
      <c r="O5366">
        <v>4</v>
      </c>
      <c r="P5366">
        <v>2</v>
      </c>
      <c r="Q5366">
        <v>0</v>
      </c>
      <c r="R5366" t="s">
        <v>5281</v>
      </c>
      <c r="S5366" t="s">
        <v>4898</v>
      </c>
      <c r="T5366" t="s">
        <v>2704</v>
      </c>
      <c r="U5366" t="s">
        <v>4560</v>
      </c>
      <c r="V5366" s="2">
        <v>592</v>
      </c>
      <c r="W5366" t="s">
        <v>4655</v>
      </c>
      <c r="X5366" s="2">
        <v>0</v>
      </c>
      <c r="Y5366">
        <v>20</v>
      </c>
      <c r="Z5366" t="s">
        <v>1491</v>
      </c>
      <c r="AA5366" s="3">
        <v>0.17633149027824399</v>
      </c>
      <c r="AB5366" t="s">
        <v>27124</v>
      </c>
      <c r="AC5366" t="s">
        <v>4575</v>
      </c>
      <c r="AD5366" t="s">
        <v>27123</v>
      </c>
      <c r="AE5366" t="s">
        <v>4655</v>
      </c>
      <c r="AF5366" t="s">
        <v>4563</v>
      </c>
      <c r="AG5366" t="s">
        <v>4564</v>
      </c>
      <c r="AH5366" t="s">
        <v>5197</v>
      </c>
      <c r="AI5366" t="s">
        <v>27125</v>
      </c>
      <c r="AJ5366" t="s">
        <v>4042</v>
      </c>
      <c r="AK5366" t="s">
        <v>27126</v>
      </c>
      <c r="AL5366" s="13" t="s">
        <v>2257</v>
      </c>
      <c r="AM5366">
        <v>1</v>
      </c>
      <c r="AN5366" s="15" t="s">
        <v>532</v>
      </c>
    </row>
    <row r="5367" spans="1:40" x14ac:dyDescent="0.3">
      <c r="A5367" s="10" t="str">
        <f>HYPERLINK("http://www.washoecounty.gov/assessor/cama/?parid=161-062-04&amp;CardNumber=1","161-062-04")</f>
        <v>161-062-04</v>
      </c>
      <c r="B5367" t="s">
        <v>4655</v>
      </c>
      <c r="C5367" t="s">
        <v>27127</v>
      </c>
      <c r="D5367" s="1">
        <v>40268</v>
      </c>
      <c r="E5367" s="2">
        <v>190000</v>
      </c>
      <c r="F5367" t="s">
        <v>4567</v>
      </c>
      <c r="G5367" s="17" t="str">
        <f>HYPERLINK("https://www.washoecounty.gov/assessor/cama/?command=sales&amp;parid=16106204","3866290")</f>
        <v>3866290</v>
      </c>
      <c r="H5367" t="s">
        <v>2226</v>
      </c>
      <c r="I5367">
        <v>2001</v>
      </c>
      <c r="J5367">
        <v>2001</v>
      </c>
      <c r="K5367" t="s">
        <v>4554</v>
      </c>
      <c r="L5367" t="s">
        <v>4555</v>
      </c>
      <c r="M5367" s="2">
        <v>1593</v>
      </c>
      <c r="N5367" t="s">
        <v>5280</v>
      </c>
      <c r="O5367">
        <v>3</v>
      </c>
      <c r="P5367">
        <v>2</v>
      </c>
      <c r="Q5367">
        <v>0</v>
      </c>
      <c r="R5367" t="s">
        <v>5281</v>
      </c>
      <c r="S5367" t="s">
        <v>4898</v>
      </c>
      <c r="T5367" t="s">
        <v>2704</v>
      </c>
      <c r="U5367" t="s">
        <v>4560</v>
      </c>
      <c r="V5367" s="2">
        <v>540</v>
      </c>
      <c r="W5367" t="s">
        <v>4655</v>
      </c>
      <c r="X5367" s="2">
        <v>0</v>
      </c>
      <c r="Y5367">
        <v>20</v>
      </c>
      <c r="Z5367" t="s">
        <v>1491</v>
      </c>
      <c r="AA5367" s="3">
        <v>0.13257575035095201</v>
      </c>
      <c r="AB5367" t="s">
        <v>27128</v>
      </c>
      <c r="AC5367" t="s">
        <v>4575</v>
      </c>
      <c r="AD5367" t="s">
        <v>27129</v>
      </c>
      <c r="AE5367" t="s">
        <v>27130</v>
      </c>
      <c r="AF5367" t="s">
        <v>4563</v>
      </c>
      <c r="AG5367" t="s">
        <v>4564</v>
      </c>
      <c r="AH5367" t="s">
        <v>5197</v>
      </c>
      <c r="AI5367" t="s">
        <v>27131</v>
      </c>
      <c r="AJ5367" t="s">
        <v>206</v>
      </c>
      <c r="AK5367" t="s">
        <v>27132</v>
      </c>
      <c r="AL5367" s="13" t="s">
        <v>2257</v>
      </c>
      <c r="AM5367">
        <v>1</v>
      </c>
      <c r="AN5367" s="15" t="s">
        <v>532</v>
      </c>
    </row>
    <row r="5368" spans="1:40" x14ac:dyDescent="0.3">
      <c r="A5368" s="10" t="str">
        <f>HYPERLINK("http://www.washoecounty.gov/assessor/cama/?parid=161-063-09&amp;CardNumber=1","161-063-09")</f>
        <v>161-063-09</v>
      </c>
      <c r="B5368" t="s">
        <v>4655</v>
      </c>
      <c r="C5368" t="s">
        <v>27133</v>
      </c>
      <c r="D5368" s="1">
        <v>40323</v>
      </c>
      <c r="E5368" s="2">
        <v>210000</v>
      </c>
      <c r="F5368" t="s">
        <v>4567</v>
      </c>
      <c r="G5368" s="17" t="str">
        <f>HYPERLINK("https://www.washoecounty.gov/assessor/cama/?command=sales&amp;parid=16106309","3884767")</f>
        <v>3884767</v>
      </c>
      <c r="H5368" t="s">
        <v>2226</v>
      </c>
      <c r="I5368">
        <v>2001</v>
      </c>
      <c r="J5368">
        <v>2001</v>
      </c>
      <c r="K5368" t="s">
        <v>4554</v>
      </c>
      <c r="L5368" t="s">
        <v>4555</v>
      </c>
      <c r="M5368" s="2">
        <v>1593</v>
      </c>
      <c r="N5368" t="s">
        <v>5280</v>
      </c>
      <c r="O5368">
        <v>3</v>
      </c>
      <c r="P5368">
        <v>2</v>
      </c>
      <c r="Q5368">
        <v>0</v>
      </c>
      <c r="R5368" t="s">
        <v>5281</v>
      </c>
      <c r="S5368" t="s">
        <v>4898</v>
      </c>
      <c r="T5368" t="s">
        <v>2704</v>
      </c>
      <c r="U5368" t="s">
        <v>4560</v>
      </c>
      <c r="V5368" s="2">
        <v>540</v>
      </c>
      <c r="W5368" t="s">
        <v>4655</v>
      </c>
      <c r="X5368" s="2">
        <v>0</v>
      </c>
      <c r="Y5368">
        <v>20</v>
      </c>
      <c r="Z5368" t="s">
        <v>1491</v>
      </c>
      <c r="AA5368" s="3">
        <v>0.19348025321960399</v>
      </c>
      <c r="AB5368" t="s">
        <v>27134</v>
      </c>
      <c r="AC5368" t="s">
        <v>4562</v>
      </c>
      <c r="AD5368" t="s">
        <v>27133</v>
      </c>
      <c r="AE5368" t="s">
        <v>4655</v>
      </c>
      <c r="AF5368" t="s">
        <v>4563</v>
      </c>
      <c r="AG5368" t="s">
        <v>4564</v>
      </c>
      <c r="AH5368" t="s">
        <v>5197</v>
      </c>
      <c r="AI5368" t="s">
        <v>27135</v>
      </c>
      <c r="AJ5368" t="s">
        <v>206</v>
      </c>
      <c r="AK5368" t="s">
        <v>27136</v>
      </c>
      <c r="AL5368" s="13" t="s">
        <v>2257</v>
      </c>
      <c r="AM5368">
        <v>1</v>
      </c>
      <c r="AN5368" s="15" t="s">
        <v>532</v>
      </c>
    </row>
    <row r="5369" spans="1:40" x14ac:dyDescent="0.3">
      <c r="A5369" s="10" t="str">
        <f>HYPERLINK("http://www.washoecounty.gov/assessor/cama/?parid=161-063-10&amp;CardNumber=1","161-063-10")</f>
        <v>161-063-10</v>
      </c>
      <c r="B5369" t="s">
        <v>4655</v>
      </c>
      <c r="C5369" t="s">
        <v>27137</v>
      </c>
      <c r="D5369" s="1">
        <v>40319</v>
      </c>
      <c r="E5369" s="2">
        <v>182500</v>
      </c>
      <c r="F5369" t="s">
        <v>4567</v>
      </c>
      <c r="G5369" s="17" t="str">
        <f>HYPERLINK("https://www.washoecounty.gov/assessor/cama/?command=sales&amp;parid=16106310","3883953")</f>
        <v>3883953</v>
      </c>
      <c r="H5369" t="s">
        <v>2226</v>
      </c>
      <c r="I5369">
        <v>2001</v>
      </c>
      <c r="J5369">
        <v>2001</v>
      </c>
      <c r="K5369" t="s">
        <v>4554</v>
      </c>
      <c r="L5369" t="s">
        <v>4555</v>
      </c>
      <c r="M5369" s="2">
        <v>1261</v>
      </c>
      <c r="N5369" t="s">
        <v>5280</v>
      </c>
      <c r="O5369">
        <v>3</v>
      </c>
      <c r="P5369">
        <v>2</v>
      </c>
      <c r="Q5369">
        <v>0</v>
      </c>
      <c r="R5369" t="s">
        <v>5281</v>
      </c>
      <c r="S5369" t="s">
        <v>4898</v>
      </c>
      <c r="T5369" t="s">
        <v>2704</v>
      </c>
      <c r="U5369" t="s">
        <v>4560</v>
      </c>
      <c r="V5369" s="2">
        <v>409</v>
      </c>
      <c r="W5369" t="s">
        <v>4655</v>
      </c>
      <c r="X5369" s="2">
        <v>0</v>
      </c>
      <c r="Y5369">
        <v>20</v>
      </c>
      <c r="Z5369" t="s">
        <v>1491</v>
      </c>
      <c r="AA5369" s="3">
        <v>0.13379247486591339</v>
      </c>
      <c r="AB5369" t="s">
        <v>27138</v>
      </c>
      <c r="AC5369" t="s">
        <v>4562</v>
      </c>
      <c r="AD5369" t="s">
        <v>27137</v>
      </c>
      <c r="AE5369" t="s">
        <v>4655</v>
      </c>
      <c r="AF5369" t="s">
        <v>4563</v>
      </c>
      <c r="AG5369" t="s">
        <v>4564</v>
      </c>
      <c r="AH5369" t="s">
        <v>5197</v>
      </c>
      <c r="AI5369" t="s">
        <v>27139</v>
      </c>
      <c r="AJ5369" t="s">
        <v>206</v>
      </c>
      <c r="AK5369" t="s">
        <v>27140</v>
      </c>
      <c r="AL5369" s="13" t="s">
        <v>2257</v>
      </c>
      <c r="AM5369" s="14">
        <v>1</v>
      </c>
      <c r="AN5369" s="15" t="s">
        <v>532</v>
      </c>
    </row>
    <row r="5370" spans="1:40" x14ac:dyDescent="0.3">
      <c r="A5370" s="10" t="str">
        <f>HYPERLINK("http://www.washoecounty.gov/assessor/cama/?parid=161-063-11&amp;CardNumber=1","161-063-11")</f>
        <v>161-063-11</v>
      </c>
      <c r="B5370" t="s">
        <v>4655</v>
      </c>
      <c r="C5370" t="s">
        <v>27141</v>
      </c>
      <c r="D5370" s="1">
        <v>40347</v>
      </c>
      <c r="E5370" s="2">
        <v>185000</v>
      </c>
      <c r="F5370" t="s">
        <v>4567</v>
      </c>
      <c r="G5370" s="17" t="str">
        <f>HYPERLINK("https://www.washoecounty.gov/assessor/cama/?command=sales&amp;parid=16106311","3893248")</f>
        <v>3893248</v>
      </c>
      <c r="H5370" t="s">
        <v>2226</v>
      </c>
      <c r="I5370">
        <v>2001</v>
      </c>
      <c r="J5370">
        <v>2001</v>
      </c>
      <c r="K5370" t="s">
        <v>4554</v>
      </c>
      <c r="L5370" t="s">
        <v>4555</v>
      </c>
      <c r="M5370" s="2">
        <v>1443</v>
      </c>
      <c r="N5370" t="s">
        <v>5280</v>
      </c>
      <c r="O5370">
        <v>3</v>
      </c>
      <c r="P5370">
        <v>2</v>
      </c>
      <c r="Q5370">
        <v>0</v>
      </c>
      <c r="R5370" t="s">
        <v>5281</v>
      </c>
      <c r="S5370" t="s">
        <v>4898</v>
      </c>
      <c r="T5370" t="s">
        <v>2704</v>
      </c>
      <c r="U5370" t="s">
        <v>4560</v>
      </c>
      <c r="V5370" s="2">
        <v>484</v>
      </c>
      <c r="W5370" t="s">
        <v>4655</v>
      </c>
      <c r="X5370" s="2">
        <v>0</v>
      </c>
      <c r="Y5370">
        <v>20</v>
      </c>
      <c r="Z5370" t="s">
        <v>1491</v>
      </c>
      <c r="AA5370" s="3">
        <v>0.13257575035095201</v>
      </c>
      <c r="AB5370" t="s">
        <v>27142</v>
      </c>
      <c r="AC5370" t="s">
        <v>4562</v>
      </c>
      <c r="AD5370" t="s">
        <v>3640</v>
      </c>
      <c r="AE5370" t="s">
        <v>4655</v>
      </c>
      <c r="AF5370" t="s">
        <v>4563</v>
      </c>
      <c r="AG5370" t="s">
        <v>4564</v>
      </c>
      <c r="AH5370">
        <v>89511</v>
      </c>
      <c r="AI5370" t="s">
        <v>27143</v>
      </c>
      <c r="AJ5370" t="s">
        <v>206</v>
      </c>
      <c r="AK5370" t="s">
        <v>27144</v>
      </c>
      <c r="AL5370" s="13" t="s">
        <v>2257</v>
      </c>
      <c r="AM5370" s="14">
        <v>1</v>
      </c>
      <c r="AN5370" s="15" t="s">
        <v>532</v>
      </c>
    </row>
    <row r="5371" spans="1:40" x14ac:dyDescent="0.3">
      <c r="A5371" s="10" t="str">
        <f>HYPERLINK("http://www.washoecounty.gov/assessor/cama/?parid=161-071-20&amp;CardNumber=1","161-071-20")</f>
        <v>161-071-20</v>
      </c>
      <c r="B5371" t="s">
        <v>4655</v>
      </c>
      <c r="C5371" t="s">
        <v>27145</v>
      </c>
      <c r="D5371" s="1">
        <v>40492</v>
      </c>
      <c r="E5371" s="2">
        <v>185000</v>
      </c>
      <c r="F5371" t="s">
        <v>4567</v>
      </c>
      <c r="G5371" s="17" t="str">
        <f>HYPERLINK("https://www.washoecounty.gov/assessor/cama/?command=sales&amp;parid=16107120","3941979")</f>
        <v>3941979</v>
      </c>
      <c r="H5371" t="s">
        <v>2470</v>
      </c>
      <c r="I5371">
        <v>2002</v>
      </c>
      <c r="J5371">
        <v>2002</v>
      </c>
      <c r="K5371" t="s">
        <v>4554</v>
      </c>
      <c r="L5371" t="s">
        <v>4555</v>
      </c>
      <c r="M5371" s="2">
        <v>1593</v>
      </c>
      <c r="N5371" t="s">
        <v>5280</v>
      </c>
      <c r="O5371">
        <v>3</v>
      </c>
      <c r="P5371">
        <v>2</v>
      </c>
      <c r="Q5371">
        <v>0</v>
      </c>
      <c r="R5371" t="s">
        <v>5281</v>
      </c>
      <c r="S5371" t="s">
        <v>4898</v>
      </c>
      <c r="T5371" t="s">
        <v>2704</v>
      </c>
      <c r="U5371" t="s">
        <v>4560</v>
      </c>
      <c r="V5371" s="2">
        <v>540</v>
      </c>
      <c r="W5371" t="s">
        <v>4655</v>
      </c>
      <c r="X5371" s="2">
        <v>0</v>
      </c>
      <c r="Y5371">
        <v>20</v>
      </c>
      <c r="Z5371" t="s">
        <v>1491</v>
      </c>
      <c r="AA5371" s="3">
        <v>0.17979797720909099</v>
      </c>
      <c r="AB5371" t="s">
        <v>27146</v>
      </c>
      <c r="AC5371" t="s">
        <v>4562</v>
      </c>
      <c r="AD5371" t="s">
        <v>27145</v>
      </c>
      <c r="AE5371" t="s">
        <v>4655</v>
      </c>
      <c r="AF5371" t="s">
        <v>4563</v>
      </c>
      <c r="AG5371" t="s">
        <v>4564</v>
      </c>
      <c r="AH5371" t="s">
        <v>5197</v>
      </c>
      <c r="AI5371" t="s">
        <v>4655</v>
      </c>
      <c r="AJ5371" t="s">
        <v>2471</v>
      </c>
      <c r="AK5371" t="s">
        <v>27147</v>
      </c>
      <c r="AL5371" s="13" t="s">
        <v>2257</v>
      </c>
      <c r="AM5371" s="14">
        <v>1</v>
      </c>
      <c r="AN5371" s="15" t="s">
        <v>532</v>
      </c>
    </row>
    <row r="5372" spans="1:40" x14ac:dyDescent="0.3">
      <c r="A5372" s="10" t="str">
        <f>HYPERLINK("http://www.washoecounty.gov/assessor/cama/?parid=161-071-27&amp;CardNumber=1","161-071-27")</f>
        <v>161-071-27</v>
      </c>
      <c r="B5372" t="s">
        <v>4655</v>
      </c>
      <c r="C5372" t="s">
        <v>27148</v>
      </c>
      <c r="D5372" s="1">
        <v>40295</v>
      </c>
      <c r="E5372" s="2">
        <v>209000</v>
      </c>
      <c r="F5372" t="s">
        <v>4567</v>
      </c>
      <c r="G5372" s="17" t="str">
        <f>HYPERLINK("https://www.washoecounty.gov/assessor/cama/?command=sales&amp;parid=16107127","3875290")</f>
        <v>3875290</v>
      </c>
      <c r="H5372" t="s">
        <v>2470</v>
      </c>
      <c r="I5372">
        <v>2002</v>
      </c>
      <c r="J5372">
        <v>2002</v>
      </c>
      <c r="K5372" t="s">
        <v>4554</v>
      </c>
      <c r="L5372" t="s">
        <v>4555</v>
      </c>
      <c r="M5372" s="2">
        <v>1593</v>
      </c>
      <c r="N5372" t="s">
        <v>5280</v>
      </c>
      <c r="O5372">
        <v>3</v>
      </c>
      <c r="P5372">
        <v>2</v>
      </c>
      <c r="Q5372">
        <v>0</v>
      </c>
      <c r="R5372" t="s">
        <v>5281</v>
      </c>
      <c r="S5372" t="s">
        <v>4898</v>
      </c>
      <c r="T5372" t="s">
        <v>2704</v>
      </c>
      <c r="U5372" t="s">
        <v>4560</v>
      </c>
      <c r="V5372" s="2">
        <v>540</v>
      </c>
      <c r="W5372" t="s">
        <v>4655</v>
      </c>
      <c r="X5372" s="2">
        <v>0</v>
      </c>
      <c r="Y5372">
        <v>20</v>
      </c>
      <c r="Z5372" t="s">
        <v>1491</v>
      </c>
      <c r="AA5372" s="3">
        <v>0.18188704550266299</v>
      </c>
      <c r="AB5372" t="s">
        <v>27149</v>
      </c>
      <c r="AC5372" t="s">
        <v>4562</v>
      </c>
      <c r="AD5372" t="s">
        <v>27148</v>
      </c>
      <c r="AE5372" t="s">
        <v>4655</v>
      </c>
      <c r="AF5372" t="s">
        <v>4563</v>
      </c>
      <c r="AG5372" t="s">
        <v>4564</v>
      </c>
      <c r="AH5372" t="s">
        <v>5197</v>
      </c>
      <c r="AI5372" t="s">
        <v>27150</v>
      </c>
      <c r="AJ5372" t="s">
        <v>2471</v>
      </c>
      <c r="AK5372" t="s">
        <v>27151</v>
      </c>
      <c r="AL5372" s="13" t="s">
        <v>2257</v>
      </c>
      <c r="AM5372" s="14">
        <v>1</v>
      </c>
      <c r="AN5372" s="15" t="s">
        <v>532</v>
      </c>
    </row>
    <row r="5373" spans="1:40" x14ac:dyDescent="0.3">
      <c r="A5373" s="10" t="str">
        <f>HYPERLINK("http://www.washoecounty.gov/assessor/cama/?parid=161-072-05&amp;CardNumber=1","161-072-05")</f>
        <v>161-072-05</v>
      </c>
      <c r="B5373" t="s">
        <v>4655</v>
      </c>
      <c r="C5373" t="s">
        <v>27152</v>
      </c>
      <c r="D5373" s="1">
        <v>40476</v>
      </c>
      <c r="E5373" s="2">
        <v>167500</v>
      </c>
      <c r="F5373" t="s">
        <v>4553</v>
      </c>
      <c r="G5373" s="17" t="str">
        <f>HYPERLINK("https://www.washoecounty.gov/assessor/cama/?command=sales&amp;parid=16107205","3936008")</f>
        <v>3936008</v>
      </c>
      <c r="H5373" t="s">
        <v>2470</v>
      </c>
      <c r="I5373">
        <v>2002</v>
      </c>
      <c r="J5373">
        <v>2002</v>
      </c>
      <c r="K5373" t="s">
        <v>4554</v>
      </c>
      <c r="L5373" t="s">
        <v>4555</v>
      </c>
      <c r="M5373" s="2">
        <v>1261</v>
      </c>
      <c r="N5373" t="s">
        <v>5280</v>
      </c>
      <c r="O5373">
        <v>3</v>
      </c>
      <c r="P5373">
        <v>2</v>
      </c>
      <c r="Q5373">
        <v>0</v>
      </c>
      <c r="R5373" t="s">
        <v>5281</v>
      </c>
      <c r="S5373" t="s">
        <v>4898</v>
      </c>
      <c r="T5373" t="s">
        <v>2704</v>
      </c>
      <c r="U5373" t="s">
        <v>4560</v>
      </c>
      <c r="V5373" s="2">
        <v>409</v>
      </c>
      <c r="W5373" t="s">
        <v>4655</v>
      </c>
      <c r="X5373" s="2">
        <v>0</v>
      </c>
      <c r="Y5373">
        <v>20</v>
      </c>
      <c r="Z5373" t="s">
        <v>1491</v>
      </c>
      <c r="AA5373" s="3">
        <v>0.179063364863396</v>
      </c>
      <c r="AB5373" t="s">
        <v>27153</v>
      </c>
      <c r="AC5373" t="s">
        <v>4562</v>
      </c>
      <c r="AD5373" t="s">
        <v>27152</v>
      </c>
      <c r="AE5373" t="s">
        <v>4655</v>
      </c>
      <c r="AF5373" t="s">
        <v>4563</v>
      </c>
      <c r="AG5373" t="s">
        <v>4564</v>
      </c>
      <c r="AH5373" t="s">
        <v>5197</v>
      </c>
      <c r="AI5373" t="s">
        <v>4903</v>
      </c>
      <c r="AJ5373" t="s">
        <v>2471</v>
      </c>
      <c r="AK5373" t="s">
        <v>27154</v>
      </c>
      <c r="AL5373" s="13" t="s">
        <v>2257</v>
      </c>
      <c r="AM5373">
        <v>1</v>
      </c>
      <c r="AN5373" s="15" t="s">
        <v>532</v>
      </c>
    </row>
    <row r="5374" spans="1:40" x14ac:dyDescent="0.3">
      <c r="A5374" s="10" t="str">
        <f>HYPERLINK("http://www.washoecounty.gov/assessor/cama/?parid=161-072-07&amp;CardNumber=1","161-072-07")</f>
        <v>161-072-07</v>
      </c>
      <c r="B5374" t="s">
        <v>4655</v>
      </c>
      <c r="C5374" t="s">
        <v>27155</v>
      </c>
      <c r="D5374" s="1">
        <v>40389</v>
      </c>
      <c r="E5374" s="2">
        <v>175000</v>
      </c>
      <c r="F5374" t="s">
        <v>4567</v>
      </c>
      <c r="G5374" s="17" t="str">
        <f>HYPERLINK("https://www.washoecounty.gov/assessor/cama/?command=sales&amp;parid=16107207","3907112")</f>
        <v>3907112</v>
      </c>
      <c r="H5374" t="s">
        <v>2470</v>
      </c>
      <c r="I5374">
        <v>2002</v>
      </c>
      <c r="J5374">
        <v>2002</v>
      </c>
      <c r="K5374" t="s">
        <v>4554</v>
      </c>
      <c r="L5374" t="s">
        <v>4555</v>
      </c>
      <c r="M5374" s="2">
        <v>1261</v>
      </c>
      <c r="N5374" t="s">
        <v>5280</v>
      </c>
      <c r="O5374">
        <v>3</v>
      </c>
      <c r="P5374">
        <v>2</v>
      </c>
      <c r="Q5374">
        <v>0</v>
      </c>
      <c r="R5374" t="s">
        <v>4557</v>
      </c>
      <c r="S5374" t="s">
        <v>4898</v>
      </c>
      <c r="T5374" t="s">
        <v>2704</v>
      </c>
      <c r="U5374" t="s">
        <v>4560</v>
      </c>
      <c r="V5374" s="2">
        <v>409</v>
      </c>
      <c r="W5374" t="s">
        <v>4655</v>
      </c>
      <c r="X5374" s="2">
        <v>0</v>
      </c>
      <c r="Y5374">
        <v>20</v>
      </c>
      <c r="Z5374" t="s">
        <v>1491</v>
      </c>
      <c r="AA5374" s="3">
        <v>0.139807164669037</v>
      </c>
      <c r="AB5374" t="s">
        <v>27156</v>
      </c>
      <c r="AC5374" t="s">
        <v>4562</v>
      </c>
      <c r="AD5374" t="s">
        <v>27157</v>
      </c>
      <c r="AE5374" t="s">
        <v>4655</v>
      </c>
      <c r="AF5374" t="s">
        <v>4563</v>
      </c>
      <c r="AG5374" t="s">
        <v>4564</v>
      </c>
      <c r="AH5374" t="s">
        <v>5197</v>
      </c>
      <c r="AI5374" t="s">
        <v>27158</v>
      </c>
      <c r="AJ5374" t="s">
        <v>2471</v>
      </c>
      <c r="AK5374" t="s">
        <v>27159</v>
      </c>
      <c r="AL5374" s="13" t="s">
        <v>2257</v>
      </c>
      <c r="AM5374">
        <v>1</v>
      </c>
      <c r="AN5374" s="15" t="s">
        <v>532</v>
      </c>
    </row>
    <row r="5375" spans="1:40" x14ac:dyDescent="0.3">
      <c r="A5375" s="10" t="str">
        <f>HYPERLINK("http://www.washoecounty.gov/assessor/cama/?parid=161-073-05&amp;CardNumber=1","161-073-05")</f>
        <v>161-073-05</v>
      </c>
      <c r="B5375" t="s">
        <v>4655</v>
      </c>
      <c r="C5375" t="s">
        <v>27160</v>
      </c>
      <c r="D5375" s="1">
        <v>40529</v>
      </c>
      <c r="E5375" s="2">
        <v>190000</v>
      </c>
      <c r="F5375" t="s">
        <v>4567</v>
      </c>
      <c r="G5375" s="17" t="str">
        <f>HYPERLINK("https://www.washoecounty.gov/assessor/cama/?command=sales&amp;parid=16107305","3954959")</f>
        <v>3954959</v>
      </c>
      <c r="H5375" t="s">
        <v>2470</v>
      </c>
      <c r="I5375">
        <v>2002</v>
      </c>
      <c r="J5375">
        <v>2002</v>
      </c>
      <c r="K5375" t="s">
        <v>4554</v>
      </c>
      <c r="L5375" t="s">
        <v>4555</v>
      </c>
      <c r="M5375" s="2">
        <v>1593</v>
      </c>
      <c r="N5375" t="s">
        <v>5280</v>
      </c>
      <c r="O5375">
        <v>3</v>
      </c>
      <c r="P5375">
        <v>2</v>
      </c>
      <c r="Q5375">
        <v>0</v>
      </c>
      <c r="R5375" t="s">
        <v>5281</v>
      </c>
      <c r="S5375" t="s">
        <v>4898</v>
      </c>
      <c r="T5375" t="s">
        <v>2704</v>
      </c>
      <c r="U5375" t="s">
        <v>4560</v>
      </c>
      <c r="V5375" s="2">
        <v>540</v>
      </c>
      <c r="W5375" t="s">
        <v>4655</v>
      </c>
      <c r="X5375" s="2">
        <v>0</v>
      </c>
      <c r="Y5375">
        <v>20</v>
      </c>
      <c r="Z5375" t="s">
        <v>1491</v>
      </c>
      <c r="AA5375" s="3">
        <v>0.13257575035095201</v>
      </c>
      <c r="AB5375" t="s">
        <v>27161</v>
      </c>
      <c r="AC5375" t="s">
        <v>4562</v>
      </c>
      <c r="AD5375" t="s">
        <v>27160</v>
      </c>
      <c r="AE5375" t="s">
        <v>4655</v>
      </c>
      <c r="AF5375" t="s">
        <v>4563</v>
      </c>
      <c r="AG5375" t="s">
        <v>4564</v>
      </c>
      <c r="AH5375" t="s">
        <v>5197</v>
      </c>
      <c r="AI5375" t="s">
        <v>27162</v>
      </c>
      <c r="AJ5375" t="s">
        <v>2471</v>
      </c>
      <c r="AK5375" t="s">
        <v>27163</v>
      </c>
      <c r="AL5375" s="13" t="s">
        <v>2257</v>
      </c>
      <c r="AM5375">
        <v>1</v>
      </c>
      <c r="AN5375" s="15" t="s">
        <v>532</v>
      </c>
    </row>
    <row r="5376" spans="1:40" x14ac:dyDescent="0.3">
      <c r="A5376" s="10" t="str">
        <f>HYPERLINK("http://www.washoecounty.gov/assessor/cama/?parid=161-082-09&amp;CardNumber=1","161-082-09")</f>
        <v>161-082-09</v>
      </c>
      <c r="B5376" t="s">
        <v>4655</v>
      </c>
      <c r="C5376" t="s">
        <v>2871</v>
      </c>
      <c r="D5376" s="1">
        <v>40501</v>
      </c>
      <c r="E5376" s="2">
        <v>240000</v>
      </c>
      <c r="F5376" t="s">
        <v>4567</v>
      </c>
      <c r="G5376" s="17" t="str">
        <f>HYPERLINK("https://www.washoecounty.gov/assessor/cama/?command=sales&amp;parid=16108209","3944941")</f>
        <v>3944941</v>
      </c>
      <c r="H5376" t="s">
        <v>2872</v>
      </c>
      <c r="I5376">
        <v>2002</v>
      </c>
      <c r="J5376">
        <v>2002</v>
      </c>
      <c r="K5376" t="s">
        <v>4897</v>
      </c>
      <c r="L5376" t="s">
        <v>4555</v>
      </c>
      <c r="M5376" s="2">
        <v>1958</v>
      </c>
      <c r="N5376" t="s">
        <v>1245</v>
      </c>
      <c r="O5376">
        <v>3</v>
      </c>
      <c r="P5376">
        <v>2</v>
      </c>
      <c r="Q5376">
        <v>0</v>
      </c>
      <c r="R5376" t="s">
        <v>5281</v>
      </c>
      <c r="S5376" t="s">
        <v>4898</v>
      </c>
      <c r="T5376" t="s">
        <v>2704</v>
      </c>
      <c r="U5376" t="s">
        <v>5631</v>
      </c>
      <c r="V5376" s="2">
        <v>500</v>
      </c>
      <c r="W5376" t="s">
        <v>4655</v>
      </c>
      <c r="X5376" s="2">
        <v>0</v>
      </c>
      <c r="Y5376">
        <v>21</v>
      </c>
      <c r="Z5376" t="s">
        <v>1491</v>
      </c>
      <c r="AA5376" s="3">
        <v>7.3829203844070407E-2</v>
      </c>
      <c r="AB5376" t="s">
        <v>27164</v>
      </c>
      <c r="AC5376" t="s">
        <v>4562</v>
      </c>
      <c r="AD5376" t="s">
        <v>27165</v>
      </c>
      <c r="AE5376" t="s">
        <v>4655</v>
      </c>
      <c r="AF5376" t="s">
        <v>5206</v>
      </c>
      <c r="AG5376" t="s">
        <v>4564</v>
      </c>
      <c r="AH5376" t="s">
        <v>5275</v>
      </c>
      <c r="AI5376" t="s">
        <v>27166</v>
      </c>
      <c r="AJ5376" t="s">
        <v>1695</v>
      </c>
      <c r="AK5376" t="s">
        <v>27167</v>
      </c>
      <c r="AL5376" s="13" t="s">
        <v>2257</v>
      </c>
      <c r="AM5376" s="14">
        <v>1</v>
      </c>
      <c r="AN5376" s="15" t="s">
        <v>128</v>
      </c>
    </row>
    <row r="5377" spans="1:40" x14ac:dyDescent="0.3">
      <c r="A5377" s="10" t="str">
        <f>HYPERLINK("http://www.washoecounty.gov/assessor/cama/?parid=161-082-13&amp;CardNumber=1","161-082-13")</f>
        <v>161-082-13</v>
      </c>
      <c r="B5377" t="s">
        <v>4655</v>
      </c>
      <c r="C5377" t="s">
        <v>2871</v>
      </c>
      <c r="D5377" s="1">
        <v>40402</v>
      </c>
      <c r="E5377" s="2">
        <v>225000</v>
      </c>
      <c r="F5377" t="s">
        <v>4567</v>
      </c>
      <c r="G5377" s="17" t="str">
        <f>HYPERLINK("https://www.washoecounty.gov/assessor/cama/?command=sales&amp;parid=16108213","3911007")</f>
        <v>3911007</v>
      </c>
      <c r="H5377" t="s">
        <v>2872</v>
      </c>
      <c r="I5377">
        <v>2002</v>
      </c>
      <c r="J5377">
        <v>2002</v>
      </c>
      <c r="K5377" t="s">
        <v>4897</v>
      </c>
      <c r="L5377" t="s">
        <v>4555</v>
      </c>
      <c r="M5377" s="2">
        <v>1958</v>
      </c>
      <c r="N5377" t="s">
        <v>1245</v>
      </c>
      <c r="O5377">
        <v>3</v>
      </c>
      <c r="P5377">
        <v>2</v>
      </c>
      <c r="Q5377">
        <v>0</v>
      </c>
      <c r="R5377" t="s">
        <v>5281</v>
      </c>
      <c r="S5377" t="s">
        <v>4898</v>
      </c>
      <c r="T5377" t="s">
        <v>2704</v>
      </c>
      <c r="U5377" t="s">
        <v>5631</v>
      </c>
      <c r="V5377" s="2">
        <v>500</v>
      </c>
      <c r="W5377" t="s">
        <v>4655</v>
      </c>
      <c r="X5377" s="2">
        <v>0</v>
      </c>
      <c r="Y5377">
        <v>21</v>
      </c>
      <c r="Z5377" t="s">
        <v>1491</v>
      </c>
      <c r="AA5377" s="3">
        <v>7.3829203844070407E-2</v>
      </c>
      <c r="AB5377" t="s">
        <v>27168</v>
      </c>
      <c r="AC5377" t="s">
        <v>4562</v>
      </c>
      <c r="AD5377" t="s">
        <v>27169</v>
      </c>
      <c r="AE5377" t="s">
        <v>4655</v>
      </c>
      <c r="AF5377" t="s">
        <v>4563</v>
      </c>
      <c r="AG5377" t="s">
        <v>4564</v>
      </c>
      <c r="AH5377">
        <v>89511</v>
      </c>
      <c r="AI5377" t="s">
        <v>27170</v>
      </c>
      <c r="AJ5377" t="s">
        <v>1695</v>
      </c>
      <c r="AK5377" t="s">
        <v>27171</v>
      </c>
      <c r="AL5377" s="13" t="s">
        <v>2257</v>
      </c>
      <c r="AM5377">
        <v>1</v>
      </c>
      <c r="AN5377" s="15" t="s">
        <v>128</v>
      </c>
    </row>
    <row r="5378" spans="1:40" x14ac:dyDescent="0.3">
      <c r="A5378" s="10" t="str">
        <f>HYPERLINK("http://www.washoecounty.gov/assessor/cama/?parid=161-084-04&amp;CardNumber=1","161-084-04")</f>
        <v>161-084-04</v>
      </c>
      <c r="B5378" t="s">
        <v>4655</v>
      </c>
      <c r="C5378" t="s">
        <v>2871</v>
      </c>
      <c r="D5378" s="1">
        <v>40492</v>
      </c>
      <c r="E5378" s="2">
        <v>230000</v>
      </c>
      <c r="F5378" t="s">
        <v>4553</v>
      </c>
      <c r="G5378" s="17" t="str">
        <f>HYPERLINK("https://www.washoecounty.gov/assessor/cama/?command=sales&amp;parid=16108404","3941820")</f>
        <v>3941820</v>
      </c>
      <c r="H5378" t="s">
        <v>2872</v>
      </c>
      <c r="I5378">
        <v>2002</v>
      </c>
      <c r="J5378">
        <v>2002</v>
      </c>
      <c r="K5378" t="s">
        <v>4897</v>
      </c>
      <c r="L5378" t="s">
        <v>4555</v>
      </c>
      <c r="M5378" s="2">
        <v>2452</v>
      </c>
      <c r="N5378" t="s">
        <v>1245</v>
      </c>
      <c r="O5378">
        <v>3</v>
      </c>
      <c r="P5378">
        <v>2</v>
      </c>
      <c r="Q5378">
        <v>0</v>
      </c>
      <c r="R5378" t="s">
        <v>5281</v>
      </c>
      <c r="S5378" t="s">
        <v>4898</v>
      </c>
      <c r="T5378" t="s">
        <v>2704</v>
      </c>
      <c r="U5378" t="s">
        <v>4560</v>
      </c>
      <c r="V5378" s="2">
        <v>546</v>
      </c>
      <c r="W5378" t="s">
        <v>4655</v>
      </c>
      <c r="X5378" s="2">
        <v>0</v>
      </c>
      <c r="Y5378">
        <v>21</v>
      </c>
      <c r="Z5378" t="s">
        <v>1491</v>
      </c>
      <c r="AA5378" s="3">
        <v>9.5798894762992901E-2</v>
      </c>
      <c r="AB5378" t="s">
        <v>27166</v>
      </c>
      <c r="AC5378" t="s">
        <v>4575</v>
      </c>
      <c r="AD5378" t="s">
        <v>27172</v>
      </c>
      <c r="AE5378" t="s">
        <v>4655</v>
      </c>
      <c r="AF5378" t="s">
        <v>4563</v>
      </c>
      <c r="AG5378" t="s">
        <v>4564</v>
      </c>
      <c r="AH5378" t="s">
        <v>5197</v>
      </c>
      <c r="AI5378" t="s">
        <v>27173</v>
      </c>
      <c r="AJ5378" t="s">
        <v>1695</v>
      </c>
      <c r="AK5378" t="s">
        <v>27174</v>
      </c>
      <c r="AL5378" s="13" t="s">
        <v>2257</v>
      </c>
      <c r="AM5378">
        <v>1</v>
      </c>
      <c r="AN5378" s="15" t="s">
        <v>128</v>
      </c>
    </row>
    <row r="5379" spans="1:40" x14ac:dyDescent="0.3">
      <c r="A5379" s="10" t="str">
        <f>HYPERLINK("http://www.washoecounty.gov/assessor/cama/?parid=161-084-10&amp;CardNumber=1","161-084-10")</f>
        <v>161-084-10</v>
      </c>
      <c r="B5379" t="s">
        <v>4655</v>
      </c>
      <c r="C5379" t="s">
        <v>2871</v>
      </c>
      <c r="D5379" s="1">
        <v>40438</v>
      </c>
      <c r="E5379" s="2">
        <v>140000</v>
      </c>
      <c r="F5379" t="s">
        <v>4567</v>
      </c>
      <c r="G5379" s="17" t="str">
        <f>HYPERLINK("https://www.washoecounty.gov/assessor/cama/?command=sales&amp;parid=16108410","3923771")</f>
        <v>3923771</v>
      </c>
      <c r="H5379" t="s">
        <v>2872</v>
      </c>
      <c r="I5379">
        <v>2003</v>
      </c>
      <c r="J5379">
        <v>2003</v>
      </c>
      <c r="K5379" t="s">
        <v>4897</v>
      </c>
      <c r="L5379" t="s">
        <v>4555</v>
      </c>
      <c r="M5379" s="2">
        <v>1513</v>
      </c>
      <c r="N5379" t="s">
        <v>1245</v>
      </c>
      <c r="O5379">
        <v>2</v>
      </c>
      <c r="P5379">
        <v>2</v>
      </c>
      <c r="Q5379">
        <v>0</v>
      </c>
      <c r="R5379" t="s">
        <v>5281</v>
      </c>
      <c r="S5379" t="s">
        <v>4898</v>
      </c>
      <c r="T5379" t="s">
        <v>2704</v>
      </c>
      <c r="U5379" t="s">
        <v>5631</v>
      </c>
      <c r="V5379" s="2">
        <v>525</v>
      </c>
      <c r="W5379" t="s">
        <v>4655</v>
      </c>
      <c r="X5379" s="2">
        <v>0</v>
      </c>
      <c r="Y5379">
        <v>21</v>
      </c>
      <c r="Z5379" t="s">
        <v>1491</v>
      </c>
      <c r="AA5379" s="3">
        <v>6.5863177180290194E-2</v>
      </c>
      <c r="AB5379" t="s">
        <v>27175</v>
      </c>
      <c r="AC5379" t="s">
        <v>4562</v>
      </c>
      <c r="AD5379" t="s">
        <v>27176</v>
      </c>
      <c r="AE5379" t="s">
        <v>4655</v>
      </c>
      <c r="AF5379" t="s">
        <v>4563</v>
      </c>
      <c r="AG5379" t="s">
        <v>4564</v>
      </c>
      <c r="AH5379" t="s">
        <v>5197</v>
      </c>
      <c r="AI5379" t="s">
        <v>27177</v>
      </c>
      <c r="AJ5379" t="s">
        <v>1695</v>
      </c>
      <c r="AK5379" t="s">
        <v>27178</v>
      </c>
      <c r="AL5379" s="13" t="s">
        <v>2257</v>
      </c>
      <c r="AM5379">
        <v>1</v>
      </c>
      <c r="AN5379" s="15" t="s">
        <v>128</v>
      </c>
    </row>
    <row r="5380" spans="1:40" x14ac:dyDescent="0.3">
      <c r="A5380" s="10" t="str">
        <f>HYPERLINK("http://www.washoecounty.gov/assessor/cama/?parid=161-085-05&amp;CardNumber=1","161-085-05")</f>
        <v>161-085-05</v>
      </c>
      <c r="B5380" t="s">
        <v>4655</v>
      </c>
      <c r="C5380" t="s">
        <v>2871</v>
      </c>
      <c r="D5380" s="1">
        <v>40501</v>
      </c>
      <c r="E5380" s="2">
        <v>230000</v>
      </c>
      <c r="F5380" t="s">
        <v>4567</v>
      </c>
      <c r="G5380" s="17" t="str">
        <f>HYPERLINK("https://www.washoecounty.gov/assessor/cama/?command=sales&amp;parid=16108505","3945182")</f>
        <v>3945182</v>
      </c>
      <c r="H5380" t="s">
        <v>2872</v>
      </c>
      <c r="I5380">
        <v>2002</v>
      </c>
      <c r="J5380">
        <v>2002</v>
      </c>
      <c r="K5380" t="s">
        <v>4897</v>
      </c>
      <c r="L5380" t="s">
        <v>4555</v>
      </c>
      <c r="M5380" s="2">
        <v>2428</v>
      </c>
      <c r="N5380" t="s">
        <v>1245</v>
      </c>
      <c r="O5380">
        <v>3</v>
      </c>
      <c r="P5380">
        <v>2</v>
      </c>
      <c r="Q5380">
        <v>0</v>
      </c>
      <c r="R5380" t="s">
        <v>5281</v>
      </c>
      <c r="S5380" t="s">
        <v>4898</v>
      </c>
      <c r="T5380" t="s">
        <v>2704</v>
      </c>
      <c r="U5380" t="s">
        <v>4560</v>
      </c>
      <c r="V5380" s="2">
        <v>540</v>
      </c>
      <c r="W5380" t="s">
        <v>4655</v>
      </c>
      <c r="X5380" s="2">
        <v>0</v>
      </c>
      <c r="Y5380">
        <v>21</v>
      </c>
      <c r="Z5380" t="s">
        <v>1491</v>
      </c>
      <c r="AA5380" s="3">
        <v>8.0991737544536604E-2</v>
      </c>
      <c r="AB5380" t="s">
        <v>27179</v>
      </c>
      <c r="AC5380" t="s">
        <v>4562</v>
      </c>
      <c r="AD5380" t="s">
        <v>27180</v>
      </c>
      <c r="AE5380" t="s">
        <v>4655</v>
      </c>
      <c r="AF5380" t="s">
        <v>27181</v>
      </c>
      <c r="AG5380" t="s">
        <v>1539</v>
      </c>
      <c r="AH5380">
        <v>98052</v>
      </c>
      <c r="AI5380" t="s">
        <v>27182</v>
      </c>
      <c r="AJ5380" t="s">
        <v>1695</v>
      </c>
      <c r="AK5380" t="s">
        <v>27183</v>
      </c>
      <c r="AL5380" s="13" t="s">
        <v>2257</v>
      </c>
      <c r="AM5380">
        <v>1</v>
      </c>
      <c r="AN5380" s="15" t="s">
        <v>128</v>
      </c>
    </row>
    <row r="5381" spans="1:40" x14ac:dyDescent="0.3">
      <c r="A5381" s="10" t="str">
        <f>HYPERLINK("http://www.washoecounty.gov/assessor/cama/?parid=161-085-06&amp;CardNumber=1","161-085-06")</f>
        <v>161-085-06</v>
      </c>
      <c r="B5381" t="s">
        <v>4655</v>
      </c>
      <c r="C5381" t="s">
        <v>2871</v>
      </c>
      <c r="D5381" s="1">
        <v>40339</v>
      </c>
      <c r="E5381" s="2">
        <v>232000</v>
      </c>
      <c r="F5381" t="s">
        <v>4567</v>
      </c>
      <c r="G5381" s="17" t="str">
        <f>HYPERLINK("https://www.washoecounty.gov/assessor/cama/?command=sales&amp;parid=16108506","3890673")</f>
        <v>3890673</v>
      </c>
      <c r="H5381" t="s">
        <v>2872</v>
      </c>
      <c r="I5381">
        <v>2002</v>
      </c>
      <c r="J5381">
        <v>2002</v>
      </c>
      <c r="K5381" t="s">
        <v>4897</v>
      </c>
      <c r="L5381" t="s">
        <v>4555</v>
      </c>
      <c r="M5381" s="2">
        <v>2640</v>
      </c>
      <c r="N5381" t="s">
        <v>1245</v>
      </c>
      <c r="O5381">
        <v>3</v>
      </c>
      <c r="P5381">
        <v>2</v>
      </c>
      <c r="Q5381">
        <v>0</v>
      </c>
      <c r="R5381" t="s">
        <v>5281</v>
      </c>
      <c r="S5381" t="s">
        <v>4898</v>
      </c>
      <c r="T5381" t="s">
        <v>2704</v>
      </c>
      <c r="U5381" t="s">
        <v>4560</v>
      </c>
      <c r="V5381" s="2">
        <v>480</v>
      </c>
      <c r="W5381" t="s">
        <v>4655</v>
      </c>
      <c r="X5381" s="2">
        <v>0</v>
      </c>
      <c r="Y5381">
        <v>21</v>
      </c>
      <c r="Z5381" t="s">
        <v>1491</v>
      </c>
      <c r="AA5381" s="3">
        <v>8.8016532361507402E-2</v>
      </c>
      <c r="AB5381" t="s">
        <v>25989</v>
      </c>
      <c r="AC5381" t="s">
        <v>4575</v>
      </c>
      <c r="AD5381" t="s">
        <v>27184</v>
      </c>
      <c r="AE5381" t="s">
        <v>4655</v>
      </c>
      <c r="AF5381" t="s">
        <v>4563</v>
      </c>
      <c r="AG5381" t="s">
        <v>4564</v>
      </c>
      <c r="AH5381" t="s">
        <v>5197</v>
      </c>
      <c r="AI5381" t="s">
        <v>27185</v>
      </c>
      <c r="AJ5381" t="s">
        <v>1695</v>
      </c>
      <c r="AK5381" t="s">
        <v>27186</v>
      </c>
      <c r="AL5381" s="13" t="s">
        <v>2257</v>
      </c>
      <c r="AM5381" s="14">
        <v>1</v>
      </c>
      <c r="AN5381" s="15" t="s">
        <v>128</v>
      </c>
    </row>
    <row r="5382" spans="1:40" x14ac:dyDescent="0.3">
      <c r="A5382" s="10" t="str">
        <f>HYPERLINK("http://www.washoecounty.gov/assessor/cama/?parid=161-085-24&amp;CardNumber=1","161-085-24")</f>
        <v>161-085-24</v>
      </c>
      <c r="B5382" t="s">
        <v>4655</v>
      </c>
      <c r="C5382" t="s">
        <v>2871</v>
      </c>
      <c r="D5382" s="1">
        <v>40350</v>
      </c>
      <c r="E5382" s="2">
        <v>187750</v>
      </c>
      <c r="F5382" t="s">
        <v>4567</v>
      </c>
      <c r="G5382" s="17" t="str">
        <f>HYPERLINK("https://www.washoecounty.gov/assessor/cama/?command=sales&amp;parid=16108524","3893869")</f>
        <v>3893869</v>
      </c>
      <c r="H5382" t="s">
        <v>2872</v>
      </c>
      <c r="I5382">
        <v>2002</v>
      </c>
      <c r="J5382">
        <v>2002</v>
      </c>
      <c r="K5382" t="s">
        <v>4897</v>
      </c>
      <c r="L5382" t="s">
        <v>4555</v>
      </c>
      <c r="M5382" s="2">
        <v>1905</v>
      </c>
      <c r="N5382" t="s">
        <v>1245</v>
      </c>
      <c r="O5382">
        <v>3</v>
      </c>
      <c r="P5382">
        <v>2</v>
      </c>
      <c r="Q5382">
        <v>0</v>
      </c>
      <c r="R5382" t="s">
        <v>5281</v>
      </c>
      <c r="S5382" t="s">
        <v>4898</v>
      </c>
      <c r="T5382" t="s">
        <v>2704</v>
      </c>
      <c r="U5382" t="s">
        <v>5631</v>
      </c>
      <c r="V5382" s="2">
        <v>558</v>
      </c>
      <c r="W5382" t="s">
        <v>4655</v>
      </c>
      <c r="X5382" s="2">
        <v>0</v>
      </c>
      <c r="Y5382">
        <v>21</v>
      </c>
      <c r="Z5382" t="s">
        <v>1491</v>
      </c>
      <c r="AA5382" s="3">
        <v>6.3475668430328397E-2</v>
      </c>
      <c r="AB5382" t="s">
        <v>27187</v>
      </c>
      <c r="AC5382" t="s">
        <v>4575</v>
      </c>
      <c r="AD5382" t="s">
        <v>27188</v>
      </c>
      <c r="AE5382" t="s">
        <v>4655</v>
      </c>
      <c r="AF5382" t="s">
        <v>3114</v>
      </c>
      <c r="AG5382" t="s">
        <v>4564</v>
      </c>
      <c r="AH5382" t="s">
        <v>5197</v>
      </c>
      <c r="AI5382" t="s">
        <v>27189</v>
      </c>
      <c r="AJ5382" t="s">
        <v>1695</v>
      </c>
      <c r="AK5382" t="s">
        <v>27190</v>
      </c>
      <c r="AL5382" s="13" t="s">
        <v>2257</v>
      </c>
      <c r="AM5382">
        <v>1</v>
      </c>
      <c r="AN5382" s="15" t="s">
        <v>128</v>
      </c>
    </row>
    <row r="5383" spans="1:40" x14ac:dyDescent="0.3">
      <c r="A5383" s="10" t="str">
        <f>HYPERLINK("http://www.washoecounty.gov/assessor/cama/?parid=161-085-32&amp;CardNumber=1","161-085-32")</f>
        <v>161-085-32</v>
      </c>
      <c r="B5383" t="s">
        <v>4655</v>
      </c>
      <c r="C5383" t="s">
        <v>2871</v>
      </c>
      <c r="D5383" s="1">
        <v>40191</v>
      </c>
      <c r="E5383" s="2">
        <v>168000</v>
      </c>
      <c r="F5383" t="s">
        <v>4567</v>
      </c>
      <c r="G5383" s="17" t="str">
        <f>HYPERLINK("https://www.washoecounty.gov/assessor/cama/?command=sales&amp;parid=16108532","3839032")</f>
        <v>3839032</v>
      </c>
      <c r="H5383" t="s">
        <v>2872</v>
      </c>
      <c r="I5383">
        <v>2002</v>
      </c>
      <c r="J5383">
        <v>2002</v>
      </c>
      <c r="K5383" t="s">
        <v>4897</v>
      </c>
      <c r="L5383" t="s">
        <v>4555</v>
      </c>
      <c r="M5383" s="2">
        <v>1554</v>
      </c>
      <c r="N5383" t="s">
        <v>1245</v>
      </c>
      <c r="O5383">
        <v>2</v>
      </c>
      <c r="P5383">
        <v>2</v>
      </c>
      <c r="Q5383">
        <v>0</v>
      </c>
      <c r="R5383" t="s">
        <v>5281</v>
      </c>
      <c r="S5383" t="s">
        <v>4898</v>
      </c>
      <c r="T5383" t="s">
        <v>2704</v>
      </c>
      <c r="U5383" t="s">
        <v>5631</v>
      </c>
      <c r="V5383" s="2">
        <v>533</v>
      </c>
      <c r="W5383" t="s">
        <v>4655</v>
      </c>
      <c r="X5383" s="2">
        <v>0</v>
      </c>
      <c r="Y5383">
        <v>21</v>
      </c>
      <c r="Z5383" t="s">
        <v>1491</v>
      </c>
      <c r="AA5383" s="3">
        <v>5.6313131004571901E-2</v>
      </c>
      <c r="AB5383" t="s">
        <v>27191</v>
      </c>
      <c r="AC5383" t="s">
        <v>4575</v>
      </c>
      <c r="AD5383" t="s">
        <v>27192</v>
      </c>
      <c r="AE5383" t="s">
        <v>4655</v>
      </c>
      <c r="AF5383" t="s">
        <v>23</v>
      </c>
      <c r="AG5383" t="s">
        <v>4584</v>
      </c>
      <c r="AH5383">
        <v>95123</v>
      </c>
      <c r="AI5383" t="s">
        <v>27193</v>
      </c>
      <c r="AJ5383" t="s">
        <v>127</v>
      </c>
      <c r="AK5383" t="s">
        <v>27194</v>
      </c>
      <c r="AL5383" s="13" t="s">
        <v>2257</v>
      </c>
      <c r="AM5383">
        <v>1</v>
      </c>
      <c r="AN5383" s="15" t="s">
        <v>128</v>
      </c>
    </row>
    <row r="5384" spans="1:40" x14ac:dyDescent="0.3">
      <c r="A5384" s="10" t="str">
        <f>HYPERLINK("http://www.washoecounty.gov/assessor/cama/?parid=161-087-06&amp;CardNumber=1","161-087-06")</f>
        <v>161-087-06</v>
      </c>
      <c r="B5384" t="s">
        <v>4655</v>
      </c>
      <c r="C5384" t="s">
        <v>2871</v>
      </c>
      <c r="D5384" s="1">
        <v>40450</v>
      </c>
      <c r="E5384" s="2">
        <v>224500</v>
      </c>
      <c r="F5384" t="s">
        <v>4567</v>
      </c>
      <c r="G5384" s="17" t="str">
        <f>HYPERLINK("https://www.washoecounty.gov/assessor/cama/?command=sales&amp;parid=16108706","3927231")</f>
        <v>3927231</v>
      </c>
      <c r="H5384" t="s">
        <v>2872</v>
      </c>
      <c r="I5384">
        <v>2003</v>
      </c>
      <c r="J5384">
        <v>2003</v>
      </c>
      <c r="K5384" t="s">
        <v>4897</v>
      </c>
      <c r="L5384" t="s">
        <v>4555</v>
      </c>
      <c r="M5384" s="2">
        <v>2428</v>
      </c>
      <c r="N5384" t="s">
        <v>1245</v>
      </c>
      <c r="O5384">
        <v>3</v>
      </c>
      <c r="P5384">
        <v>2</v>
      </c>
      <c r="Q5384">
        <v>0</v>
      </c>
      <c r="R5384" t="s">
        <v>5281</v>
      </c>
      <c r="S5384" t="s">
        <v>4898</v>
      </c>
      <c r="T5384" t="s">
        <v>2704</v>
      </c>
      <c r="U5384" t="s">
        <v>4560</v>
      </c>
      <c r="V5384" s="2">
        <v>540</v>
      </c>
      <c r="W5384" t="s">
        <v>4655</v>
      </c>
      <c r="X5384" s="2">
        <v>0</v>
      </c>
      <c r="Y5384">
        <v>21</v>
      </c>
      <c r="Z5384" t="s">
        <v>1491</v>
      </c>
      <c r="AA5384" s="3">
        <v>8.0991737544536604E-2</v>
      </c>
      <c r="AB5384" t="s">
        <v>27195</v>
      </c>
      <c r="AC5384" t="s">
        <v>4575</v>
      </c>
      <c r="AD5384" t="s">
        <v>27196</v>
      </c>
      <c r="AE5384" t="s">
        <v>4655</v>
      </c>
      <c r="AF5384" t="s">
        <v>4563</v>
      </c>
      <c r="AG5384" t="s">
        <v>4564</v>
      </c>
      <c r="AH5384" t="s">
        <v>5197</v>
      </c>
      <c r="AI5384" t="s">
        <v>27197</v>
      </c>
      <c r="AJ5384" t="s">
        <v>1695</v>
      </c>
      <c r="AK5384" t="s">
        <v>27198</v>
      </c>
      <c r="AL5384" s="13" t="s">
        <v>2257</v>
      </c>
      <c r="AM5384" s="14">
        <v>1</v>
      </c>
      <c r="AN5384" s="15" t="s">
        <v>128</v>
      </c>
    </row>
    <row r="5385" spans="1:40" x14ac:dyDescent="0.3">
      <c r="A5385" s="10" t="str">
        <f>HYPERLINK("http://www.washoecounty.gov/assessor/cama/?parid=161-087-25&amp;CardNumber=1","161-087-25")</f>
        <v>161-087-25</v>
      </c>
      <c r="B5385" t="s">
        <v>4655</v>
      </c>
      <c r="C5385" t="s">
        <v>2871</v>
      </c>
      <c r="D5385" s="1">
        <v>40389</v>
      </c>
      <c r="E5385" s="2">
        <v>230500</v>
      </c>
      <c r="F5385" t="s">
        <v>4567</v>
      </c>
      <c r="G5385" s="17" t="str">
        <f>HYPERLINK("https://www.washoecounty.gov/assessor/cama/?command=sales&amp;parid=16108725","3907321")</f>
        <v>3907321</v>
      </c>
      <c r="H5385" t="s">
        <v>2872</v>
      </c>
      <c r="I5385">
        <v>2003</v>
      </c>
      <c r="J5385">
        <v>2003</v>
      </c>
      <c r="K5385" t="s">
        <v>4897</v>
      </c>
      <c r="L5385" t="s">
        <v>4555</v>
      </c>
      <c r="M5385" s="2">
        <v>1905</v>
      </c>
      <c r="N5385" t="s">
        <v>1245</v>
      </c>
      <c r="O5385">
        <v>3</v>
      </c>
      <c r="P5385">
        <v>2</v>
      </c>
      <c r="Q5385">
        <v>0</v>
      </c>
      <c r="R5385" t="s">
        <v>5281</v>
      </c>
      <c r="S5385" t="s">
        <v>4898</v>
      </c>
      <c r="T5385" t="s">
        <v>2704</v>
      </c>
      <c r="U5385" t="s">
        <v>5631</v>
      </c>
      <c r="V5385" s="2">
        <v>558</v>
      </c>
      <c r="W5385" t="s">
        <v>4655</v>
      </c>
      <c r="X5385" s="2">
        <v>0</v>
      </c>
      <c r="Y5385">
        <v>21</v>
      </c>
      <c r="Z5385" t="s">
        <v>1491</v>
      </c>
      <c r="AA5385" s="3">
        <v>6.3475668430328397E-2</v>
      </c>
      <c r="AB5385" t="s">
        <v>27199</v>
      </c>
      <c r="AC5385" t="s">
        <v>4575</v>
      </c>
      <c r="AD5385" t="s">
        <v>27200</v>
      </c>
      <c r="AE5385" t="s">
        <v>27201</v>
      </c>
      <c r="AF5385" t="s">
        <v>1670</v>
      </c>
      <c r="AG5385" t="s">
        <v>4209</v>
      </c>
      <c r="AH5385">
        <v>80271</v>
      </c>
      <c r="AI5385" t="s">
        <v>27202</v>
      </c>
      <c r="AJ5385" t="s">
        <v>1695</v>
      </c>
      <c r="AK5385" t="s">
        <v>27203</v>
      </c>
      <c r="AL5385" s="13" t="s">
        <v>2257</v>
      </c>
      <c r="AM5385">
        <v>1</v>
      </c>
      <c r="AN5385" s="15" t="s">
        <v>128</v>
      </c>
    </row>
    <row r="5386" spans="1:40" x14ac:dyDescent="0.3">
      <c r="A5386" s="10" t="str">
        <f>HYPERLINK("http://www.washoecounty.gov/assessor/cama/?parid=161-087-37&amp;CardNumber=1","161-087-37")</f>
        <v>161-087-37</v>
      </c>
      <c r="B5386" t="s">
        <v>4655</v>
      </c>
      <c r="C5386" t="s">
        <v>2871</v>
      </c>
      <c r="D5386" s="1">
        <v>40368</v>
      </c>
      <c r="E5386" s="2">
        <v>236900</v>
      </c>
      <c r="F5386" t="s">
        <v>4553</v>
      </c>
      <c r="G5386" s="17" t="str">
        <f>HYPERLINK("https://www.washoecounty.gov/assessor/cama/?command=sales&amp;parid=16108737","3899855")</f>
        <v>3899855</v>
      </c>
      <c r="H5386" t="s">
        <v>2872</v>
      </c>
      <c r="I5386">
        <v>2003</v>
      </c>
      <c r="J5386">
        <v>2003</v>
      </c>
      <c r="K5386" t="s">
        <v>4897</v>
      </c>
      <c r="L5386" t="s">
        <v>4555</v>
      </c>
      <c r="M5386" s="2">
        <v>2640</v>
      </c>
      <c r="N5386" t="s">
        <v>1245</v>
      </c>
      <c r="O5386">
        <v>3</v>
      </c>
      <c r="P5386">
        <v>2</v>
      </c>
      <c r="Q5386">
        <v>0</v>
      </c>
      <c r="R5386" t="s">
        <v>5281</v>
      </c>
      <c r="S5386" t="s">
        <v>4898</v>
      </c>
      <c r="T5386" t="s">
        <v>2704</v>
      </c>
      <c r="U5386" t="s">
        <v>4560</v>
      </c>
      <c r="V5386" s="2">
        <v>480</v>
      </c>
      <c r="W5386" t="s">
        <v>4655</v>
      </c>
      <c r="X5386" s="2">
        <v>0</v>
      </c>
      <c r="Y5386">
        <v>21</v>
      </c>
      <c r="Z5386" t="s">
        <v>1491</v>
      </c>
      <c r="AA5386" s="3">
        <v>8.8016532361507402E-2</v>
      </c>
      <c r="AB5386" t="s">
        <v>27204</v>
      </c>
      <c r="AC5386" t="s">
        <v>4562</v>
      </c>
      <c r="AD5386" t="s">
        <v>27205</v>
      </c>
      <c r="AE5386" t="s">
        <v>4655</v>
      </c>
      <c r="AF5386" t="s">
        <v>4563</v>
      </c>
      <c r="AG5386" t="s">
        <v>4564</v>
      </c>
      <c r="AH5386">
        <v>89509</v>
      </c>
      <c r="AI5386" t="s">
        <v>4903</v>
      </c>
      <c r="AJ5386" t="s">
        <v>127</v>
      </c>
      <c r="AK5386" t="s">
        <v>27206</v>
      </c>
      <c r="AL5386" s="13" t="s">
        <v>2257</v>
      </c>
      <c r="AM5386">
        <v>1</v>
      </c>
      <c r="AN5386" s="15" t="s">
        <v>128</v>
      </c>
    </row>
    <row r="5387" spans="1:40" x14ac:dyDescent="0.3">
      <c r="A5387" s="10" t="str">
        <f>HYPERLINK("http://www.washoecounty.gov/assessor/cama/?parid=161-088-12&amp;CardNumber=1","161-088-12")</f>
        <v>161-088-12</v>
      </c>
      <c r="B5387" t="s">
        <v>4655</v>
      </c>
      <c r="C5387" t="s">
        <v>2871</v>
      </c>
      <c r="D5387" s="1">
        <v>40311</v>
      </c>
      <c r="E5387" s="2">
        <v>186000</v>
      </c>
      <c r="F5387" t="s">
        <v>4553</v>
      </c>
      <c r="G5387" s="17" t="str">
        <f>HYPERLINK("https://www.washoecounty.gov/assessor/cama/?command=sales&amp;parid=16108812","3881279")</f>
        <v>3881279</v>
      </c>
      <c r="H5387" t="s">
        <v>2872</v>
      </c>
      <c r="I5387">
        <v>2003</v>
      </c>
      <c r="J5387">
        <v>2003</v>
      </c>
      <c r="K5387" t="s">
        <v>4897</v>
      </c>
      <c r="L5387" t="s">
        <v>4555</v>
      </c>
      <c r="M5387" s="2">
        <v>2309</v>
      </c>
      <c r="N5387" t="s">
        <v>1245</v>
      </c>
      <c r="O5387">
        <v>3</v>
      </c>
      <c r="P5387">
        <v>2</v>
      </c>
      <c r="Q5387">
        <v>0</v>
      </c>
      <c r="R5387" t="s">
        <v>5281</v>
      </c>
      <c r="S5387" t="s">
        <v>4898</v>
      </c>
      <c r="T5387" t="s">
        <v>2704</v>
      </c>
      <c r="U5387" t="s">
        <v>4560</v>
      </c>
      <c r="V5387" s="2">
        <v>483</v>
      </c>
      <c r="W5387" t="s">
        <v>4655</v>
      </c>
      <c r="X5387" s="2">
        <v>0</v>
      </c>
      <c r="Y5387">
        <v>21</v>
      </c>
      <c r="Z5387" t="s">
        <v>1491</v>
      </c>
      <c r="AA5387" s="3">
        <v>8.5651971399784102E-2</v>
      </c>
      <c r="AB5387" t="s">
        <v>27207</v>
      </c>
      <c r="AC5387" t="s">
        <v>4562</v>
      </c>
      <c r="AD5387" t="s">
        <v>2589</v>
      </c>
      <c r="AE5387" t="s">
        <v>4655</v>
      </c>
      <c r="AF5387" t="s">
        <v>4563</v>
      </c>
      <c r="AG5387" t="s">
        <v>4564</v>
      </c>
      <c r="AH5387">
        <v>89511</v>
      </c>
      <c r="AI5387" t="s">
        <v>4145</v>
      </c>
      <c r="AJ5387" t="s">
        <v>127</v>
      </c>
      <c r="AK5387" t="s">
        <v>27208</v>
      </c>
      <c r="AL5387" s="13" t="s">
        <v>2257</v>
      </c>
      <c r="AM5387" s="14">
        <v>1</v>
      </c>
      <c r="AN5387" s="15" t="s">
        <v>128</v>
      </c>
    </row>
    <row r="5388" spans="1:40" x14ac:dyDescent="0.3">
      <c r="A5388" s="10" t="str">
        <f>HYPERLINK("http://www.washoecounty.gov/assessor/cama/?parid=161-089-08&amp;CardNumber=1","161-089-08")</f>
        <v>161-089-08</v>
      </c>
      <c r="B5388" t="s">
        <v>4655</v>
      </c>
      <c r="C5388" t="s">
        <v>2871</v>
      </c>
      <c r="D5388" s="1">
        <v>40386</v>
      </c>
      <c r="E5388" s="2">
        <v>160000</v>
      </c>
      <c r="F5388" t="s">
        <v>4553</v>
      </c>
      <c r="G5388" s="17" t="str">
        <f>HYPERLINK("https://www.washoecounty.gov/assessor/cama/?command=sales&amp;parid=16108908","3905336")</f>
        <v>3905336</v>
      </c>
      <c r="H5388" t="s">
        <v>2872</v>
      </c>
      <c r="I5388">
        <v>2003</v>
      </c>
      <c r="J5388">
        <v>2003</v>
      </c>
      <c r="K5388" t="s">
        <v>4897</v>
      </c>
      <c r="L5388" t="s">
        <v>4555</v>
      </c>
      <c r="M5388" s="2">
        <v>1905</v>
      </c>
      <c r="N5388" t="s">
        <v>1245</v>
      </c>
      <c r="O5388">
        <v>3</v>
      </c>
      <c r="P5388">
        <v>2</v>
      </c>
      <c r="Q5388">
        <v>1</v>
      </c>
      <c r="R5388" t="s">
        <v>5281</v>
      </c>
      <c r="S5388" t="s">
        <v>4898</v>
      </c>
      <c r="T5388" t="s">
        <v>2704</v>
      </c>
      <c r="U5388" t="s">
        <v>5631</v>
      </c>
      <c r="V5388" s="2">
        <v>558</v>
      </c>
      <c r="W5388" t="s">
        <v>4655</v>
      </c>
      <c r="X5388" s="2">
        <v>0</v>
      </c>
      <c r="Y5388">
        <v>21</v>
      </c>
      <c r="Z5388" t="s">
        <v>1491</v>
      </c>
      <c r="AA5388" s="3">
        <v>6.3475668430328397E-2</v>
      </c>
      <c r="AB5388" t="s">
        <v>27209</v>
      </c>
      <c r="AC5388" t="s">
        <v>4562</v>
      </c>
      <c r="AD5388" t="s">
        <v>27210</v>
      </c>
      <c r="AE5388" t="s">
        <v>4655</v>
      </c>
      <c r="AF5388" t="s">
        <v>27211</v>
      </c>
      <c r="AG5388" t="s">
        <v>1188</v>
      </c>
      <c r="AH5388">
        <v>99603</v>
      </c>
      <c r="AI5388" t="s">
        <v>4565</v>
      </c>
      <c r="AJ5388" t="s">
        <v>1695</v>
      </c>
      <c r="AK5388" t="s">
        <v>27212</v>
      </c>
      <c r="AL5388" s="13" t="s">
        <v>2257</v>
      </c>
      <c r="AM5388">
        <v>1</v>
      </c>
      <c r="AN5388" s="15" t="s">
        <v>128</v>
      </c>
    </row>
    <row r="5389" spans="1:40" x14ac:dyDescent="0.3">
      <c r="A5389" s="10" t="str">
        <f>HYPERLINK("http://www.washoecounty.gov/assessor/cama/?parid=161-089-10&amp;CardNumber=1","161-089-10")</f>
        <v>161-089-10</v>
      </c>
      <c r="B5389" t="s">
        <v>4655</v>
      </c>
      <c r="C5389" t="s">
        <v>2871</v>
      </c>
      <c r="D5389" s="1">
        <v>40287</v>
      </c>
      <c r="E5389" s="2">
        <v>176900</v>
      </c>
      <c r="F5389" t="s">
        <v>4553</v>
      </c>
      <c r="G5389" s="17" t="str">
        <f>HYPERLINK("https://www.washoecounty.gov/assessor/cama/?command=sales&amp;parid=16108910","3872420")</f>
        <v>3872420</v>
      </c>
      <c r="H5389" t="s">
        <v>2872</v>
      </c>
      <c r="I5389">
        <v>2003</v>
      </c>
      <c r="J5389">
        <v>2003</v>
      </c>
      <c r="K5389" t="s">
        <v>4897</v>
      </c>
      <c r="L5389" t="s">
        <v>4555</v>
      </c>
      <c r="M5389" s="2">
        <v>2106</v>
      </c>
      <c r="N5389" t="s">
        <v>1245</v>
      </c>
      <c r="O5389">
        <v>3</v>
      </c>
      <c r="P5389">
        <v>2</v>
      </c>
      <c r="Q5389">
        <v>0</v>
      </c>
      <c r="R5389" t="s">
        <v>5281</v>
      </c>
      <c r="S5389" t="s">
        <v>4898</v>
      </c>
      <c r="T5389" t="s">
        <v>2704</v>
      </c>
      <c r="U5389" t="s">
        <v>5631</v>
      </c>
      <c r="V5389" s="2">
        <v>509</v>
      </c>
      <c r="W5389" t="s">
        <v>4655</v>
      </c>
      <c r="X5389" s="2">
        <v>0</v>
      </c>
      <c r="Y5389">
        <v>21</v>
      </c>
      <c r="Z5389" t="s">
        <v>1491</v>
      </c>
      <c r="AA5389" s="3">
        <v>7.24288374185562E-2</v>
      </c>
      <c r="AB5389" t="s">
        <v>1693</v>
      </c>
      <c r="AC5389" t="s">
        <v>4575</v>
      </c>
      <c r="AD5389" t="s">
        <v>1694</v>
      </c>
      <c r="AE5389" t="s">
        <v>4655</v>
      </c>
      <c r="AF5389" t="s">
        <v>4563</v>
      </c>
      <c r="AG5389" t="s">
        <v>4564</v>
      </c>
      <c r="AH5389">
        <v>89511</v>
      </c>
      <c r="AI5389" t="s">
        <v>1602</v>
      </c>
      <c r="AJ5389" t="s">
        <v>1695</v>
      </c>
      <c r="AK5389" t="s">
        <v>27213</v>
      </c>
      <c r="AL5389" s="13" t="s">
        <v>2257</v>
      </c>
      <c r="AM5389">
        <v>1</v>
      </c>
      <c r="AN5389" s="15" t="s">
        <v>128</v>
      </c>
    </row>
    <row r="5390" spans="1:40" x14ac:dyDescent="0.3">
      <c r="A5390" s="10" t="str">
        <f>HYPERLINK("http://www.washoecounty.gov/assessor/cama/?parid=161-104-01&amp;CardNumber=1","161-104-01")</f>
        <v>161-104-01</v>
      </c>
      <c r="B5390" t="s">
        <v>4655</v>
      </c>
      <c r="C5390" t="s">
        <v>27214</v>
      </c>
      <c r="D5390" s="1">
        <v>40332</v>
      </c>
      <c r="E5390" s="2">
        <v>365000</v>
      </c>
      <c r="F5390" t="s">
        <v>4567</v>
      </c>
      <c r="G5390" s="17" t="str">
        <f>HYPERLINK("https://www.washoecounty.gov/assessor/cama/?command=sales&amp;parid=16110401","3888245")</f>
        <v>3888245</v>
      </c>
      <c r="H5390" t="s">
        <v>4155</v>
      </c>
      <c r="I5390">
        <v>2002</v>
      </c>
      <c r="J5390">
        <v>2002</v>
      </c>
      <c r="K5390" t="s">
        <v>4554</v>
      </c>
      <c r="L5390" t="s">
        <v>4555</v>
      </c>
      <c r="M5390" s="2">
        <v>3202</v>
      </c>
      <c r="N5390" t="s">
        <v>3147</v>
      </c>
      <c r="O5390">
        <v>4</v>
      </c>
      <c r="P5390">
        <v>3</v>
      </c>
      <c r="Q5390">
        <v>0</v>
      </c>
      <c r="R5390" t="s">
        <v>5281</v>
      </c>
      <c r="S5390" t="s">
        <v>4898</v>
      </c>
      <c r="T5390" t="s">
        <v>2704</v>
      </c>
      <c r="U5390" t="s">
        <v>4560</v>
      </c>
      <c r="V5390" s="2">
        <v>909</v>
      </c>
      <c r="W5390" t="s">
        <v>4655</v>
      </c>
      <c r="X5390" s="2">
        <v>0</v>
      </c>
      <c r="Y5390">
        <v>20</v>
      </c>
      <c r="Z5390" t="s">
        <v>1491</v>
      </c>
      <c r="AA5390" s="3">
        <v>0.195018365979195</v>
      </c>
      <c r="AB5390" t="s">
        <v>27215</v>
      </c>
      <c r="AC5390" t="s">
        <v>4562</v>
      </c>
      <c r="AD5390" t="s">
        <v>27214</v>
      </c>
      <c r="AE5390" t="s">
        <v>4655</v>
      </c>
      <c r="AF5390" t="s">
        <v>4563</v>
      </c>
      <c r="AG5390" t="s">
        <v>4564</v>
      </c>
      <c r="AH5390" t="s">
        <v>5197</v>
      </c>
      <c r="AI5390" t="s">
        <v>27216</v>
      </c>
      <c r="AJ5390" t="s">
        <v>4935</v>
      </c>
      <c r="AK5390" t="s">
        <v>27217</v>
      </c>
      <c r="AL5390" s="13" t="s">
        <v>2257</v>
      </c>
      <c r="AM5390">
        <v>1</v>
      </c>
      <c r="AN5390" s="15" t="s">
        <v>3952</v>
      </c>
    </row>
    <row r="5391" spans="1:40" x14ac:dyDescent="0.3">
      <c r="A5391" s="10" t="str">
        <f>HYPERLINK("http://www.washoecounty.gov/assessor/cama/?parid=161-105-03&amp;CardNumber=1","161-105-03")</f>
        <v>161-105-03</v>
      </c>
      <c r="B5391" t="s">
        <v>4655</v>
      </c>
      <c r="C5391" t="s">
        <v>283</v>
      </c>
      <c r="D5391" s="1">
        <v>40409</v>
      </c>
      <c r="E5391" s="2">
        <v>360000</v>
      </c>
      <c r="F5391" t="s">
        <v>4567</v>
      </c>
      <c r="G5391" s="20" t="s">
        <v>282</v>
      </c>
      <c r="H5391" t="s">
        <v>4155</v>
      </c>
      <c r="I5391">
        <v>2003</v>
      </c>
      <c r="J5391">
        <v>2003</v>
      </c>
      <c r="K5391" t="s">
        <v>4554</v>
      </c>
      <c r="L5391" t="s">
        <v>4555</v>
      </c>
      <c r="M5391" s="2">
        <v>2908</v>
      </c>
      <c r="N5391" t="s">
        <v>3147</v>
      </c>
      <c r="O5391">
        <v>4</v>
      </c>
      <c r="P5391">
        <v>3</v>
      </c>
      <c r="Q5391">
        <v>0</v>
      </c>
      <c r="R5391" t="s">
        <v>5281</v>
      </c>
      <c r="S5391" t="s">
        <v>4898</v>
      </c>
      <c r="T5391" t="s">
        <v>2704</v>
      </c>
      <c r="U5391" t="s">
        <v>4560</v>
      </c>
      <c r="V5391" s="2">
        <v>704</v>
      </c>
      <c r="W5391" t="s">
        <v>4655</v>
      </c>
      <c r="X5391" s="2">
        <v>0</v>
      </c>
      <c r="Y5391">
        <v>20</v>
      </c>
      <c r="Z5391" t="s">
        <v>1491</v>
      </c>
      <c r="AA5391" s="3">
        <v>0.185537189245224</v>
      </c>
      <c r="AB5391" s="20" t="s">
        <v>8865</v>
      </c>
      <c r="AD5391" t="s">
        <v>283</v>
      </c>
      <c r="AE5391" t="s">
        <v>283</v>
      </c>
      <c r="AF5391" t="s">
        <v>283</v>
      </c>
      <c r="AG5391" t="s">
        <v>4564</v>
      </c>
      <c r="AH5391" t="s">
        <v>3101</v>
      </c>
      <c r="AI5391" t="s">
        <v>8865</v>
      </c>
      <c r="AJ5391" t="s">
        <v>4935</v>
      </c>
      <c r="AK5391" t="s">
        <v>27218</v>
      </c>
      <c r="AL5391" s="13" t="s">
        <v>2257</v>
      </c>
      <c r="AM5391">
        <v>1</v>
      </c>
      <c r="AN5391" s="15" t="s">
        <v>3952</v>
      </c>
    </row>
    <row r="5392" spans="1:40" x14ac:dyDescent="0.3">
      <c r="A5392" s="10" t="str">
        <f>HYPERLINK("http://www.washoecounty.gov/assessor/cama/?parid=161-115-05&amp;CardNumber=1","161-115-05")</f>
        <v>161-115-05</v>
      </c>
      <c r="B5392" t="s">
        <v>4655</v>
      </c>
      <c r="C5392" t="s">
        <v>27219</v>
      </c>
      <c r="D5392" s="1">
        <v>40414</v>
      </c>
      <c r="E5392" s="2">
        <v>339900</v>
      </c>
      <c r="F5392" t="s">
        <v>4567</v>
      </c>
      <c r="G5392" s="17" t="str">
        <f>HYPERLINK("https://www.washoecounty.gov/assessor/cama/?command=sales&amp;parid=16111505","3914932")</f>
        <v>3914932</v>
      </c>
      <c r="H5392" t="s">
        <v>4155</v>
      </c>
      <c r="I5392">
        <v>2002</v>
      </c>
      <c r="J5392">
        <v>2002</v>
      </c>
      <c r="K5392" t="s">
        <v>4554</v>
      </c>
      <c r="L5392" t="s">
        <v>4555</v>
      </c>
      <c r="M5392" s="2">
        <v>3202</v>
      </c>
      <c r="N5392" t="s">
        <v>3147</v>
      </c>
      <c r="O5392">
        <v>3</v>
      </c>
      <c r="P5392">
        <v>3</v>
      </c>
      <c r="Q5392">
        <v>0</v>
      </c>
      <c r="R5392" t="s">
        <v>4557</v>
      </c>
      <c r="S5392" t="s">
        <v>4898</v>
      </c>
      <c r="T5392" t="s">
        <v>2704</v>
      </c>
      <c r="U5392" t="s">
        <v>4560</v>
      </c>
      <c r="V5392" s="2">
        <v>909</v>
      </c>
      <c r="W5392" t="s">
        <v>4655</v>
      </c>
      <c r="X5392" s="2">
        <v>0</v>
      </c>
      <c r="Y5392">
        <v>20</v>
      </c>
      <c r="Z5392" t="s">
        <v>1491</v>
      </c>
      <c r="AA5392" s="3">
        <v>0.18078511953353901</v>
      </c>
      <c r="AB5392" t="s">
        <v>27220</v>
      </c>
      <c r="AC5392" t="s">
        <v>4562</v>
      </c>
      <c r="AD5392" t="s">
        <v>27219</v>
      </c>
      <c r="AE5392" t="s">
        <v>4655</v>
      </c>
      <c r="AF5392" t="s">
        <v>4563</v>
      </c>
      <c r="AG5392" t="s">
        <v>4564</v>
      </c>
      <c r="AH5392" t="s">
        <v>5197</v>
      </c>
      <c r="AI5392" t="s">
        <v>27221</v>
      </c>
      <c r="AJ5392" t="s">
        <v>4935</v>
      </c>
      <c r="AK5392" t="s">
        <v>27222</v>
      </c>
      <c r="AL5392" s="13" t="s">
        <v>2257</v>
      </c>
      <c r="AM5392">
        <v>1</v>
      </c>
      <c r="AN5392" s="15" t="s">
        <v>3952</v>
      </c>
    </row>
    <row r="5393" spans="1:40" x14ac:dyDescent="0.3">
      <c r="A5393" s="10" t="str">
        <f>HYPERLINK("http://www.washoecounty.gov/assessor/cama/?parid=161-122-25&amp;CardNumber=1","161-122-25")</f>
        <v>161-122-25</v>
      </c>
      <c r="B5393" t="s">
        <v>4655</v>
      </c>
      <c r="C5393" t="s">
        <v>27223</v>
      </c>
      <c r="D5393" s="1">
        <v>40413</v>
      </c>
      <c r="E5393" s="2">
        <v>190416</v>
      </c>
      <c r="F5393" t="s">
        <v>4567</v>
      </c>
      <c r="G5393" s="17" t="str">
        <f>HYPERLINK("https://www.washoecounty.gov/assessor/cama/?command=sales&amp;parid=16112225","3914703")</f>
        <v>3914703</v>
      </c>
      <c r="H5393" t="s">
        <v>823</v>
      </c>
      <c r="I5393">
        <v>2003</v>
      </c>
      <c r="J5393">
        <v>2003</v>
      </c>
      <c r="K5393" t="s">
        <v>4554</v>
      </c>
      <c r="L5393" t="s">
        <v>4555</v>
      </c>
      <c r="M5393" s="2">
        <v>1443</v>
      </c>
      <c r="N5393" t="s">
        <v>5280</v>
      </c>
      <c r="O5393">
        <v>3</v>
      </c>
      <c r="P5393">
        <v>2</v>
      </c>
      <c r="Q5393">
        <v>0</v>
      </c>
      <c r="R5393" t="s">
        <v>5281</v>
      </c>
      <c r="S5393" t="s">
        <v>4898</v>
      </c>
      <c r="T5393" t="s">
        <v>2704</v>
      </c>
      <c r="U5393" t="s">
        <v>4560</v>
      </c>
      <c r="V5393" s="2">
        <v>484</v>
      </c>
      <c r="W5393" t="s">
        <v>4655</v>
      </c>
      <c r="X5393" s="2">
        <v>0</v>
      </c>
      <c r="Y5393">
        <v>20</v>
      </c>
      <c r="Z5393" t="s">
        <v>1491</v>
      </c>
      <c r="AA5393" s="3">
        <v>0.14393939077854201</v>
      </c>
      <c r="AB5393" t="s">
        <v>27224</v>
      </c>
      <c r="AC5393" t="s">
        <v>4562</v>
      </c>
      <c r="AD5393" t="s">
        <v>27223</v>
      </c>
      <c r="AE5393" t="s">
        <v>4655</v>
      </c>
      <c r="AF5393" t="s">
        <v>4563</v>
      </c>
      <c r="AG5393" t="s">
        <v>4564</v>
      </c>
      <c r="AH5393" t="s">
        <v>5197</v>
      </c>
      <c r="AI5393" t="s">
        <v>27225</v>
      </c>
      <c r="AJ5393" t="s">
        <v>36</v>
      </c>
      <c r="AK5393" t="s">
        <v>27226</v>
      </c>
      <c r="AL5393" s="13" t="s">
        <v>2257</v>
      </c>
      <c r="AM5393">
        <v>1</v>
      </c>
      <c r="AN5393" s="15" t="s">
        <v>532</v>
      </c>
    </row>
    <row r="5394" spans="1:40" x14ac:dyDescent="0.3">
      <c r="A5394" s="10" t="str">
        <f>HYPERLINK("http://www.washoecounty.gov/assessor/cama/?parid=161-122-41&amp;CardNumber=1","161-122-41")</f>
        <v>161-122-41</v>
      </c>
      <c r="B5394" t="s">
        <v>4655</v>
      </c>
      <c r="D5394" s="1">
        <v>40242</v>
      </c>
      <c r="E5394" s="2">
        <v>190000</v>
      </c>
      <c r="F5394" t="s">
        <v>4553</v>
      </c>
      <c r="G5394" s="17" t="str">
        <f>HYPERLINK("https://www.washoecounty.gov/assessor/cama/?command=sales&amp;parid=01044219","NOT AVAILABLE ")</f>
        <v xml:space="preserve">NOT AVAILABLE </v>
      </c>
      <c r="H5394" t="s">
        <v>823</v>
      </c>
      <c r="I5394">
        <v>2002</v>
      </c>
      <c r="J5394">
        <v>2002</v>
      </c>
      <c r="K5394" t="s">
        <v>4554</v>
      </c>
      <c r="L5394" t="s">
        <v>4555</v>
      </c>
      <c r="M5394" s="2">
        <v>1261</v>
      </c>
      <c r="N5394" t="s">
        <v>5280</v>
      </c>
      <c r="O5394">
        <v>3</v>
      </c>
      <c r="P5394">
        <v>2</v>
      </c>
      <c r="Q5394">
        <v>0</v>
      </c>
      <c r="R5394" t="s">
        <v>5281</v>
      </c>
      <c r="S5394" t="s">
        <v>4898</v>
      </c>
      <c r="T5394" t="s">
        <v>2704</v>
      </c>
      <c r="U5394" t="s">
        <v>4560</v>
      </c>
      <c r="V5394" s="2">
        <v>409</v>
      </c>
      <c r="W5394" t="s">
        <v>4655</v>
      </c>
      <c r="X5394" s="2">
        <v>0</v>
      </c>
      <c r="Y5394">
        <v>20</v>
      </c>
      <c r="Z5394" t="s">
        <v>1491</v>
      </c>
      <c r="AA5394" s="3">
        <v>0.16267217695713043</v>
      </c>
      <c r="AB5394" t="s">
        <v>8865</v>
      </c>
      <c r="AC5394" t="s">
        <v>4562</v>
      </c>
      <c r="AD5394" t="s">
        <v>283</v>
      </c>
      <c r="AE5394" t="s">
        <v>283</v>
      </c>
      <c r="AF5394" t="s">
        <v>283</v>
      </c>
      <c r="AG5394" t="s">
        <v>4564</v>
      </c>
      <c r="AH5394" t="s">
        <v>3101</v>
      </c>
      <c r="AI5394" t="s">
        <v>8865</v>
      </c>
      <c r="AJ5394" t="s">
        <v>36</v>
      </c>
      <c r="AK5394" t="s">
        <v>8865</v>
      </c>
      <c r="AL5394" s="13" t="s">
        <v>2257</v>
      </c>
      <c r="AM5394">
        <v>1</v>
      </c>
      <c r="AN5394" s="15" t="s">
        <v>532</v>
      </c>
    </row>
    <row r="5395" spans="1:40" x14ac:dyDescent="0.3">
      <c r="A5395" s="10" t="str">
        <f>HYPERLINK("http://www.washoecounty.gov/assessor/cama/?parid=161-123-02&amp;CardNumber=1","161-123-02")</f>
        <v>161-123-02</v>
      </c>
      <c r="B5395" t="s">
        <v>4655</v>
      </c>
      <c r="C5395" t="s">
        <v>27228</v>
      </c>
      <c r="D5395" s="1">
        <v>40540</v>
      </c>
      <c r="E5395" s="2">
        <v>157500</v>
      </c>
      <c r="F5395" t="s">
        <v>4553</v>
      </c>
      <c r="G5395" s="17" t="str">
        <f>HYPERLINK("https://www.washoecounty.gov/assessor/cama/?command=sales&amp;parid=16112302","3958249")</f>
        <v>3958249</v>
      </c>
      <c r="H5395" t="s">
        <v>823</v>
      </c>
      <c r="I5395">
        <v>2002</v>
      </c>
      <c r="J5395">
        <v>2002</v>
      </c>
      <c r="K5395" t="s">
        <v>4554</v>
      </c>
      <c r="L5395" t="s">
        <v>4555</v>
      </c>
      <c r="M5395" s="2">
        <v>1261</v>
      </c>
      <c r="N5395" t="s">
        <v>5280</v>
      </c>
      <c r="O5395">
        <v>3</v>
      </c>
      <c r="P5395">
        <v>2</v>
      </c>
      <c r="Q5395">
        <v>0</v>
      </c>
      <c r="R5395" t="s">
        <v>5281</v>
      </c>
      <c r="S5395" t="s">
        <v>4898</v>
      </c>
      <c r="T5395" t="s">
        <v>2704</v>
      </c>
      <c r="U5395" t="s">
        <v>4560</v>
      </c>
      <c r="V5395" s="2">
        <v>409</v>
      </c>
      <c r="W5395" t="s">
        <v>4655</v>
      </c>
      <c r="X5395" s="2">
        <v>0</v>
      </c>
      <c r="Y5395">
        <v>20</v>
      </c>
      <c r="Z5395" t="s">
        <v>1491</v>
      </c>
      <c r="AA5395" s="3">
        <v>0.12649218738079099</v>
      </c>
      <c r="AB5395" t="s">
        <v>27229</v>
      </c>
      <c r="AC5395" t="s">
        <v>4562</v>
      </c>
      <c r="AD5395" t="s">
        <v>27230</v>
      </c>
      <c r="AE5395" t="s">
        <v>4655</v>
      </c>
      <c r="AF5395" t="s">
        <v>4563</v>
      </c>
      <c r="AG5395" t="s">
        <v>4564</v>
      </c>
      <c r="AH5395" t="s">
        <v>5197</v>
      </c>
      <c r="AI5395" t="s">
        <v>4655</v>
      </c>
      <c r="AJ5395" t="s">
        <v>36</v>
      </c>
      <c r="AK5395" t="s">
        <v>27231</v>
      </c>
      <c r="AL5395" s="13" t="s">
        <v>2257</v>
      </c>
      <c r="AM5395">
        <v>1</v>
      </c>
      <c r="AN5395" s="15" t="s">
        <v>532</v>
      </c>
    </row>
    <row r="5396" spans="1:40" x14ac:dyDescent="0.3">
      <c r="A5396" s="10" t="str">
        <f>HYPERLINK("http://www.washoecounty.gov/assessor/cama/?parid=161-124-05&amp;CardNumber=1","161-124-05")</f>
        <v>161-124-05</v>
      </c>
      <c r="B5396" t="s">
        <v>4655</v>
      </c>
      <c r="C5396" t="s">
        <v>27232</v>
      </c>
      <c r="D5396" s="1">
        <v>40506</v>
      </c>
      <c r="E5396" s="2">
        <v>177900</v>
      </c>
      <c r="F5396" t="s">
        <v>4567</v>
      </c>
      <c r="G5396" s="17" t="str">
        <f>HYPERLINK("https://www.washoecounty.gov/assessor/cama/?command=sales&amp;parid=16112405","3946541")</f>
        <v>3946541</v>
      </c>
      <c r="H5396" t="s">
        <v>823</v>
      </c>
      <c r="I5396">
        <v>2002</v>
      </c>
      <c r="J5396">
        <v>2002</v>
      </c>
      <c r="K5396" t="s">
        <v>4554</v>
      </c>
      <c r="L5396" t="s">
        <v>4555</v>
      </c>
      <c r="M5396" s="2">
        <v>1261</v>
      </c>
      <c r="N5396" t="s">
        <v>5280</v>
      </c>
      <c r="O5396">
        <v>3</v>
      </c>
      <c r="P5396">
        <v>2</v>
      </c>
      <c r="Q5396">
        <v>0</v>
      </c>
      <c r="R5396" t="s">
        <v>5281</v>
      </c>
      <c r="S5396" t="s">
        <v>4898</v>
      </c>
      <c r="T5396" t="s">
        <v>2704</v>
      </c>
      <c r="U5396" t="s">
        <v>4560</v>
      </c>
      <c r="V5396" s="2">
        <v>409</v>
      </c>
      <c r="W5396" t="s">
        <v>4655</v>
      </c>
      <c r="X5396" s="2">
        <v>0</v>
      </c>
      <c r="Y5396">
        <v>20</v>
      </c>
      <c r="Z5396" t="s">
        <v>1491</v>
      </c>
      <c r="AA5396" s="3">
        <v>0.145179063081741</v>
      </c>
      <c r="AB5396" t="s">
        <v>27233</v>
      </c>
      <c r="AC5396" t="s">
        <v>4562</v>
      </c>
      <c r="AD5396" t="s">
        <v>27232</v>
      </c>
      <c r="AE5396" t="s">
        <v>4655</v>
      </c>
      <c r="AF5396" t="s">
        <v>4563</v>
      </c>
      <c r="AG5396" t="s">
        <v>4564</v>
      </c>
      <c r="AH5396" t="s">
        <v>5197</v>
      </c>
      <c r="AI5396" t="s">
        <v>27234</v>
      </c>
      <c r="AJ5396" t="s">
        <v>36</v>
      </c>
      <c r="AK5396" t="s">
        <v>27235</v>
      </c>
      <c r="AL5396" s="13" t="s">
        <v>2257</v>
      </c>
      <c r="AM5396" s="14">
        <v>1</v>
      </c>
      <c r="AN5396" s="15" t="s">
        <v>532</v>
      </c>
    </row>
    <row r="5397" spans="1:40" x14ac:dyDescent="0.3">
      <c r="A5397" s="10" t="str">
        <f>HYPERLINK("http://www.washoecounty.gov/assessor/cama/?parid=161-132-04&amp;CardNumber=1","161-132-04")</f>
        <v>161-132-04</v>
      </c>
      <c r="B5397" t="s">
        <v>4655</v>
      </c>
      <c r="C5397" t="s">
        <v>27236</v>
      </c>
      <c r="D5397" s="1">
        <v>40203</v>
      </c>
      <c r="E5397" s="2">
        <v>235000</v>
      </c>
      <c r="F5397" t="s">
        <v>4567</v>
      </c>
      <c r="G5397" s="17" t="str">
        <f>HYPERLINK("https://www.washoecounty.gov/assessor/cama/?command=sales&amp;parid=16113204","3842491")</f>
        <v>3842491</v>
      </c>
      <c r="H5397" t="s">
        <v>129</v>
      </c>
      <c r="I5397">
        <v>2003</v>
      </c>
      <c r="J5397">
        <v>2003</v>
      </c>
      <c r="K5397" t="s">
        <v>4554</v>
      </c>
      <c r="L5397" t="s">
        <v>4555</v>
      </c>
      <c r="M5397" s="2">
        <v>1706</v>
      </c>
      <c r="N5397" t="s">
        <v>5280</v>
      </c>
      <c r="O5397">
        <v>3</v>
      </c>
      <c r="P5397">
        <v>2</v>
      </c>
      <c r="Q5397">
        <v>0</v>
      </c>
      <c r="R5397" t="s">
        <v>5281</v>
      </c>
      <c r="S5397" t="s">
        <v>4898</v>
      </c>
      <c r="T5397" t="s">
        <v>2704</v>
      </c>
      <c r="U5397" t="s">
        <v>4560</v>
      </c>
      <c r="V5397" s="2">
        <v>587</v>
      </c>
      <c r="W5397" t="s">
        <v>4655</v>
      </c>
      <c r="X5397" s="2">
        <v>0</v>
      </c>
      <c r="Y5397">
        <v>20</v>
      </c>
      <c r="Z5397" t="s">
        <v>1491</v>
      </c>
      <c r="AA5397" s="3">
        <v>0.19896693527698517</v>
      </c>
      <c r="AB5397" t="s">
        <v>27237</v>
      </c>
      <c r="AC5397" t="s">
        <v>4562</v>
      </c>
      <c r="AD5397" t="s">
        <v>27236</v>
      </c>
      <c r="AE5397" t="s">
        <v>4655</v>
      </c>
      <c r="AF5397" t="s">
        <v>4563</v>
      </c>
      <c r="AG5397" t="s">
        <v>4564</v>
      </c>
      <c r="AH5397" t="s">
        <v>5197</v>
      </c>
      <c r="AI5397" t="s">
        <v>27238</v>
      </c>
      <c r="AJ5397" t="s">
        <v>130</v>
      </c>
      <c r="AK5397" t="s">
        <v>27239</v>
      </c>
      <c r="AL5397" s="13" t="s">
        <v>2257</v>
      </c>
      <c r="AM5397" s="14">
        <v>1</v>
      </c>
      <c r="AN5397" s="15" t="s">
        <v>532</v>
      </c>
    </row>
    <row r="5398" spans="1:40" x14ac:dyDescent="0.3">
      <c r="A5398" s="10" t="str">
        <f>HYPERLINK("http://www.washoecounty.gov/assessor/cama/?parid=161-132-06&amp;CardNumber=1","161-132-06")</f>
        <v>161-132-06</v>
      </c>
      <c r="B5398" t="s">
        <v>4655</v>
      </c>
      <c r="C5398" t="s">
        <v>27240</v>
      </c>
      <c r="D5398" s="1">
        <v>40389</v>
      </c>
      <c r="E5398" s="2">
        <v>234900</v>
      </c>
      <c r="F5398" t="s">
        <v>4553</v>
      </c>
      <c r="G5398" s="17" t="str">
        <f>HYPERLINK("https://www.washoecounty.gov/assessor/cama/?command=sales&amp;parid=16113206","3907365")</f>
        <v>3907365</v>
      </c>
      <c r="H5398" t="s">
        <v>129</v>
      </c>
      <c r="I5398">
        <v>2002</v>
      </c>
      <c r="J5398">
        <v>2002</v>
      </c>
      <c r="K5398" t="s">
        <v>4554</v>
      </c>
      <c r="L5398" t="s">
        <v>4555</v>
      </c>
      <c r="M5398" s="2">
        <v>2068</v>
      </c>
      <c r="N5398" t="s">
        <v>5280</v>
      </c>
      <c r="O5398">
        <v>3</v>
      </c>
      <c r="P5398">
        <v>2</v>
      </c>
      <c r="Q5398">
        <v>0</v>
      </c>
      <c r="R5398" t="s">
        <v>5281</v>
      </c>
      <c r="S5398" t="s">
        <v>4898</v>
      </c>
      <c r="T5398" t="s">
        <v>2704</v>
      </c>
      <c r="U5398" t="s">
        <v>4560</v>
      </c>
      <c r="V5398" s="2">
        <v>615</v>
      </c>
      <c r="W5398" t="s">
        <v>4655</v>
      </c>
      <c r="X5398" s="2">
        <v>0</v>
      </c>
      <c r="Y5398">
        <v>20</v>
      </c>
      <c r="Z5398" t="s">
        <v>1491</v>
      </c>
      <c r="AA5398" s="3">
        <v>0.225665748119354</v>
      </c>
      <c r="AB5398" t="s">
        <v>27241</v>
      </c>
      <c r="AC5398" t="s">
        <v>4575</v>
      </c>
      <c r="AD5398" t="s">
        <v>27240</v>
      </c>
      <c r="AE5398" t="s">
        <v>4655</v>
      </c>
      <c r="AF5398" t="s">
        <v>4563</v>
      </c>
      <c r="AG5398" t="s">
        <v>4564</v>
      </c>
      <c r="AH5398" t="s">
        <v>5197</v>
      </c>
      <c r="AI5398" t="s">
        <v>4903</v>
      </c>
      <c r="AJ5398" t="s">
        <v>130</v>
      </c>
      <c r="AK5398" t="s">
        <v>27242</v>
      </c>
      <c r="AL5398" s="13" t="s">
        <v>2257</v>
      </c>
      <c r="AM5398">
        <v>1</v>
      </c>
      <c r="AN5398" s="15" t="s">
        <v>532</v>
      </c>
    </row>
    <row r="5399" spans="1:40" x14ac:dyDescent="0.3">
      <c r="A5399" s="10" t="str">
        <f>HYPERLINK("http://www.washoecounty.gov/assessor/cama/?parid=161-134-13&amp;CardNumber=1","161-134-13")</f>
        <v>161-134-13</v>
      </c>
      <c r="B5399" t="s">
        <v>4655</v>
      </c>
      <c r="C5399" t="s">
        <v>27243</v>
      </c>
      <c r="D5399" s="1">
        <v>40310</v>
      </c>
      <c r="E5399" s="2">
        <v>260000</v>
      </c>
      <c r="F5399" t="s">
        <v>4567</v>
      </c>
      <c r="G5399" s="17" t="str">
        <f>HYPERLINK("https://www.washoecounty.gov/assessor/cama/?command=sales&amp;parid=16113413","3880822")</f>
        <v>3880822</v>
      </c>
      <c r="H5399" t="s">
        <v>129</v>
      </c>
      <c r="I5399">
        <v>2003</v>
      </c>
      <c r="J5399">
        <v>2003</v>
      </c>
      <c r="K5399" t="s">
        <v>4554</v>
      </c>
      <c r="L5399" t="s">
        <v>4555</v>
      </c>
      <c r="M5399" s="2">
        <v>2234</v>
      </c>
      <c r="N5399" t="s">
        <v>5280</v>
      </c>
      <c r="O5399">
        <v>3</v>
      </c>
      <c r="P5399">
        <v>2</v>
      </c>
      <c r="Q5399">
        <v>0</v>
      </c>
      <c r="R5399" t="s">
        <v>5281</v>
      </c>
      <c r="S5399" t="s">
        <v>4898</v>
      </c>
      <c r="T5399" t="s">
        <v>2704</v>
      </c>
      <c r="U5399" t="s">
        <v>4560</v>
      </c>
      <c r="V5399" s="2">
        <v>592</v>
      </c>
      <c r="W5399" t="s">
        <v>4655</v>
      </c>
      <c r="X5399" s="2">
        <v>0</v>
      </c>
      <c r="Y5399">
        <v>20</v>
      </c>
      <c r="Z5399" t="s">
        <v>1491</v>
      </c>
      <c r="AA5399" s="3">
        <v>0.20617538690567</v>
      </c>
      <c r="AB5399" t="s">
        <v>27244</v>
      </c>
      <c r="AC5399" t="s">
        <v>4562</v>
      </c>
      <c r="AD5399" t="s">
        <v>27243</v>
      </c>
      <c r="AE5399" t="s">
        <v>4655</v>
      </c>
      <c r="AF5399" t="s">
        <v>4563</v>
      </c>
      <c r="AG5399" t="s">
        <v>4564</v>
      </c>
      <c r="AH5399" t="s">
        <v>5197</v>
      </c>
      <c r="AI5399" t="s">
        <v>27245</v>
      </c>
      <c r="AJ5399" t="s">
        <v>130</v>
      </c>
      <c r="AK5399" t="s">
        <v>27246</v>
      </c>
      <c r="AL5399" s="13" t="s">
        <v>2257</v>
      </c>
      <c r="AM5399">
        <v>1</v>
      </c>
      <c r="AN5399" s="15" t="s">
        <v>532</v>
      </c>
    </row>
    <row r="5400" spans="1:40" x14ac:dyDescent="0.3">
      <c r="A5400" s="10" t="str">
        <f>HYPERLINK("http://www.washoecounty.gov/assessor/cama/?parid=161-134-15&amp;CardNumber=1","161-134-15")</f>
        <v>161-134-15</v>
      </c>
      <c r="B5400" t="s">
        <v>4655</v>
      </c>
      <c r="C5400" t="s">
        <v>27247</v>
      </c>
      <c r="D5400" s="1">
        <v>40340</v>
      </c>
      <c r="E5400" s="2">
        <v>260000</v>
      </c>
      <c r="F5400" t="s">
        <v>4567</v>
      </c>
      <c r="G5400" s="17" t="str">
        <f>HYPERLINK("https://www.washoecounty.gov/assessor/cama/?command=sales&amp;parid=16113415","3891039")</f>
        <v>3891039</v>
      </c>
      <c r="H5400" t="s">
        <v>129</v>
      </c>
      <c r="I5400">
        <v>2003</v>
      </c>
      <c r="J5400">
        <v>2003</v>
      </c>
      <c r="K5400" t="s">
        <v>4554</v>
      </c>
      <c r="L5400" t="s">
        <v>4555</v>
      </c>
      <c r="M5400" s="2">
        <v>2234</v>
      </c>
      <c r="N5400" t="s">
        <v>5280</v>
      </c>
      <c r="O5400">
        <v>3</v>
      </c>
      <c r="P5400">
        <v>2</v>
      </c>
      <c r="Q5400">
        <v>0</v>
      </c>
      <c r="R5400" t="s">
        <v>5281</v>
      </c>
      <c r="S5400" t="s">
        <v>4898</v>
      </c>
      <c r="T5400" t="s">
        <v>2704</v>
      </c>
      <c r="U5400" t="s">
        <v>4560</v>
      </c>
      <c r="V5400" s="2">
        <v>592</v>
      </c>
      <c r="W5400" t="s">
        <v>4655</v>
      </c>
      <c r="X5400" s="2">
        <v>0</v>
      </c>
      <c r="Y5400">
        <v>20</v>
      </c>
      <c r="Z5400" t="s">
        <v>1491</v>
      </c>
      <c r="AA5400" s="3">
        <v>0.23195591568946838</v>
      </c>
      <c r="AB5400" t="s">
        <v>27248</v>
      </c>
      <c r="AC5400" t="s">
        <v>4575</v>
      </c>
      <c r="AD5400" t="s">
        <v>27249</v>
      </c>
      <c r="AE5400" t="s">
        <v>4655</v>
      </c>
      <c r="AF5400" t="s">
        <v>4563</v>
      </c>
      <c r="AG5400" t="s">
        <v>4564</v>
      </c>
      <c r="AH5400" t="s">
        <v>5197</v>
      </c>
      <c r="AI5400" t="s">
        <v>27250</v>
      </c>
      <c r="AJ5400" t="s">
        <v>130</v>
      </c>
      <c r="AK5400" t="s">
        <v>27251</v>
      </c>
      <c r="AL5400" s="13" t="s">
        <v>2257</v>
      </c>
      <c r="AM5400" s="14">
        <v>1</v>
      </c>
      <c r="AN5400" s="15" t="s">
        <v>532</v>
      </c>
    </row>
    <row r="5401" spans="1:40" x14ac:dyDescent="0.3">
      <c r="A5401" s="10" t="str">
        <f>HYPERLINK("http://www.washoecounty.gov/assessor/cama/?parid=161-143-05&amp;CardNumber=1","161-143-05")</f>
        <v>161-143-05</v>
      </c>
      <c r="B5401" t="s">
        <v>4655</v>
      </c>
      <c r="C5401" t="s">
        <v>27252</v>
      </c>
      <c r="D5401" s="1">
        <v>40519</v>
      </c>
      <c r="E5401" s="2">
        <v>198000</v>
      </c>
      <c r="F5401" t="s">
        <v>4553</v>
      </c>
      <c r="G5401" s="17" t="str">
        <f>HYPERLINK("https://www.washoecounty.gov/assessor/cama/?command=sales&amp;parid=16114305","3950342")</f>
        <v>3950342</v>
      </c>
      <c r="H5401" t="s">
        <v>701</v>
      </c>
      <c r="I5401">
        <v>2003</v>
      </c>
      <c r="J5401">
        <v>2003</v>
      </c>
      <c r="K5401" t="s">
        <v>4554</v>
      </c>
      <c r="L5401" t="s">
        <v>3974</v>
      </c>
      <c r="M5401" s="2">
        <v>2092</v>
      </c>
      <c r="N5401" t="s">
        <v>5280</v>
      </c>
      <c r="O5401">
        <v>3</v>
      </c>
      <c r="P5401">
        <v>2</v>
      </c>
      <c r="Q5401">
        <v>1</v>
      </c>
      <c r="R5401" t="s">
        <v>5281</v>
      </c>
      <c r="S5401" t="s">
        <v>4898</v>
      </c>
      <c r="T5401" t="s">
        <v>2704</v>
      </c>
      <c r="U5401" t="s">
        <v>5631</v>
      </c>
      <c r="V5401" s="2">
        <v>491</v>
      </c>
      <c r="W5401" t="s">
        <v>4655</v>
      </c>
      <c r="X5401" s="2">
        <v>0</v>
      </c>
      <c r="Y5401">
        <v>20</v>
      </c>
      <c r="Z5401" t="s">
        <v>1491</v>
      </c>
      <c r="AA5401" s="3">
        <v>0.115059688687325</v>
      </c>
      <c r="AB5401" t="s">
        <v>27253</v>
      </c>
      <c r="AC5401" t="s">
        <v>4562</v>
      </c>
      <c r="AD5401" t="s">
        <v>27254</v>
      </c>
      <c r="AE5401" t="s">
        <v>4655</v>
      </c>
      <c r="AF5401" t="s">
        <v>4563</v>
      </c>
      <c r="AG5401" t="s">
        <v>4564</v>
      </c>
      <c r="AH5401" t="s">
        <v>5197</v>
      </c>
      <c r="AI5401" t="s">
        <v>4655</v>
      </c>
      <c r="AJ5401" t="s">
        <v>702</v>
      </c>
      <c r="AK5401" t="s">
        <v>27255</v>
      </c>
      <c r="AL5401" s="13" t="s">
        <v>2257</v>
      </c>
      <c r="AM5401" s="14">
        <v>1</v>
      </c>
      <c r="AN5401" s="15" t="s">
        <v>532</v>
      </c>
    </row>
    <row r="5402" spans="1:40" x14ac:dyDescent="0.3">
      <c r="A5402" s="10" t="str">
        <f>HYPERLINK("http://www.washoecounty.gov/assessor/cama/?parid=161-201-08&amp;CardNumber=1","161-201-08")</f>
        <v>161-201-08</v>
      </c>
      <c r="B5402" t="s">
        <v>4655</v>
      </c>
      <c r="C5402" t="s">
        <v>27256</v>
      </c>
      <c r="D5402" s="1">
        <v>40333</v>
      </c>
      <c r="E5402" s="2">
        <v>410000</v>
      </c>
      <c r="F5402" t="s">
        <v>4567</v>
      </c>
      <c r="G5402" s="17" t="str">
        <f>HYPERLINK("https://www.washoecounty.gov/assessor/cama/?command=sales&amp;parid=16120108","3888576")</f>
        <v>3888576</v>
      </c>
      <c r="H5402" t="s">
        <v>37</v>
      </c>
      <c r="I5402">
        <v>2003</v>
      </c>
      <c r="J5402">
        <v>2003</v>
      </c>
      <c r="K5402" t="s">
        <v>4554</v>
      </c>
      <c r="L5402" t="s">
        <v>3974</v>
      </c>
      <c r="M5402" s="2">
        <v>3847</v>
      </c>
      <c r="N5402" t="s">
        <v>3147</v>
      </c>
      <c r="O5402">
        <v>4</v>
      </c>
      <c r="P5402">
        <v>4</v>
      </c>
      <c r="Q5402">
        <v>0</v>
      </c>
      <c r="R5402" t="s">
        <v>5281</v>
      </c>
      <c r="S5402" t="s">
        <v>4898</v>
      </c>
      <c r="T5402" t="s">
        <v>2704</v>
      </c>
      <c r="U5402" t="s">
        <v>4560</v>
      </c>
      <c r="V5402" s="2">
        <v>800</v>
      </c>
      <c r="W5402" t="s">
        <v>4655</v>
      </c>
      <c r="X5402" s="2">
        <v>0</v>
      </c>
      <c r="Y5402">
        <v>20</v>
      </c>
      <c r="Z5402" t="s">
        <v>1491</v>
      </c>
      <c r="AA5402" s="3">
        <v>0.211753904819489</v>
      </c>
      <c r="AB5402" t="s">
        <v>27257</v>
      </c>
      <c r="AC5402" t="s">
        <v>4562</v>
      </c>
      <c r="AD5402" t="s">
        <v>27258</v>
      </c>
      <c r="AE5402" t="s">
        <v>4655</v>
      </c>
      <c r="AF5402" t="s">
        <v>27259</v>
      </c>
      <c r="AG5402" t="s">
        <v>4584</v>
      </c>
      <c r="AH5402" t="s">
        <v>5031</v>
      </c>
      <c r="AI5402" t="s">
        <v>27260</v>
      </c>
      <c r="AJ5402" t="s">
        <v>38</v>
      </c>
      <c r="AK5402" t="s">
        <v>27261</v>
      </c>
      <c r="AL5402" s="13" t="s">
        <v>2257</v>
      </c>
      <c r="AM5402">
        <v>1</v>
      </c>
      <c r="AN5402" s="15" t="s">
        <v>3952</v>
      </c>
    </row>
    <row r="5403" spans="1:40" x14ac:dyDescent="0.3">
      <c r="A5403" s="10" t="str">
        <f>HYPERLINK("http://www.washoecounty.gov/assessor/cama/?parid=161-211-05&amp;CardNumber=1","161-211-05")</f>
        <v>161-211-05</v>
      </c>
      <c r="B5403" t="s">
        <v>4655</v>
      </c>
      <c r="C5403" t="s">
        <v>27262</v>
      </c>
      <c r="D5403" s="1">
        <v>40497</v>
      </c>
      <c r="E5403" s="2">
        <v>359000</v>
      </c>
      <c r="F5403" t="s">
        <v>4567</v>
      </c>
      <c r="G5403" s="17" t="str">
        <f>HYPERLINK("https://www.washoecounty.gov/assessor/cama/?command=sales&amp;parid=16121105","3942905")</f>
        <v>3942905</v>
      </c>
      <c r="H5403" t="s">
        <v>37</v>
      </c>
      <c r="I5403">
        <v>2004</v>
      </c>
      <c r="J5403">
        <v>2004</v>
      </c>
      <c r="K5403" t="s">
        <v>4554</v>
      </c>
      <c r="L5403" t="s">
        <v>4555</v>
      </c>
      <c r="M5403" s="2">
        <v>2983</v>
      </c>
      <c r="N5403" t="s">
        <v>3147</v>
      </c>
      <c r="O5403">
        <v>3</v>
      </c>
      <c r="P5403">
        <v>3</v>
      </c>
      <c r="Q5403">
        <v>0</v>
      </c>
      <c r="R5403" t="s">
        <v>5281</v>
      </c>
      <c r="S5403" t="s">
        <v>4898</v>
      </c>
      <c r="T5403" t="s">
        <v>2704</v>
      </c>
      <c r="U5403" t="s">
        <v>4560</v>
      </c>
      <c r="V5403" s="2">
        <v>903</v>
      </c>
      <c r="W5403" t="s">
        <v>4655</v>
      </c>
      <c r="X5403" s="2">
        <v>0</v>
      </c>
      <c r="Y5403">
        <v>20</v>
      </c>
      <c r="Z5403" t="s">
        <v>1491</v>
      </c>
      <c r="AA5403" s="3">
        <v>0.26662075519561801</v>
      </c>
      <c r="AB5403" t="s">
        <v>27263</v>
      </c>
      <c r="AC5403" t="s">
        <v>4562</v>
      </c>
      <c r="AD5403" t="s">
        <v>27262</v>
      </c>
      <c r="AE5403" t="s">
        <v>4655</v>
      </c>
      <c r="AF5403" t="s">
        <v>4563</v>
      </c>
      <c r="AG5403" t="s">
        <v>4564</v>
      </c>
      <c r="AH5403" t="s">
        <v>5197</v>
      </c>
      <c r="AI5403" t="s">
        <v>27264</v>
      </c>
      <c r="AJ5403" t="s">
        <v>38</v>
      </c>
      <c r="AK5403" t="s">
        <v>27265</v>
      </c>
      <c r="AL5403" s="13" t="s">
        <v>2257</v>
      </c>
      <c r="AM5403">
        <v>1</v>
      </c>
      <c r="AN5403" s="15" t="s">
        <v>3952</v>
      </c>
    </row>
    <row r="5404" spans="1:40" x14ac:dyDescent="0.3">
      <c r="A5404" s="10" t="str">
        <f>HYPERLINK("http://www.washoecounty.gov/assessor/cama/?parid=161-212-06&amp;CardNumber=1","161-212-06")</f>
        <v>161-212-06</v>
      </c>
      <c r="B5404" t="s">
        <v>4655</v>
      </c>
      <c r="C5404" t="s">
        <v>27266</v>
      </c>
      <c r="D5404" s="1">
        <v>40242</v>
      </c>
      <c r="E5404" s="2">
        <v>386000</v>
      </c>
      <c r="F5404" t="s">
        <v>4553</v>
      </c>
      <c r="G5404" s="17" t="str">
        <f>HYPERLINK("https://www.washoecounty.gov/assessor/cama/?command=sales&amp;parid=16121206","3856406")</f>
        <v>3856406</v>
      </c>
      <c r="H5404" t="s">
        <v>37</v>
      </c>
      <c r="I5404">
        <v>2004</v>
      </c>
      <c r="J5404">
        <v>2004</v>
      </c>
      <c r="K5404" t="s">
        <v>4554</v>
      </c>
      <c r="L5404" t="s">
        <v>3974</v>
      </c>
      <c r="M5404" s="2">
        <v>3847</v>
      </c>
      <c r="N5404" t="s">
        <v>3147</v>
      </c>
      <c r="O5404">
        <v>4</v>
      </c>
      <c r="P5404">
        <v>4</v>
      </c>
      <c r="Q5404">
        <v>0</v>
      </c>
      <c r="R5404" t="s">
        <v>5281</v>
      </c>
      <c r="S5404" t="s">
        <v>4898</v>
      </c>
      <c r="T5404" t="s">
        <v>2704</v>
      </c>
      <c r="U5404" t="s">
        <v>4560</v>
      </c>
      <c r="V5404" s="2">
        <v>800</v>
      </c>
      <c r="W5404" t="s">
        <v>4655</v>
      </c>
      <c r="X5404" s="2">
        <v>0</v>
      </c>
      <c r="Y5404">
        <v>20</v>
      </c>
      <c r="Z5404" t="s">
        <v>1491</v>
      </c>
      <c r="AA5404" s="3">
        <v>0.25169879198074302</v>
      </c>
      <c r="AB5404" t="s">
        <v>27267</v>
      </c>
      <c r="AC5404" t="s">
        <v>4562</v>
      </c>
      <c r="AD5404" t="s">
        <v>27266</v>
      </c>
      <c r="AE5404" t="s">
        <v>4655</v>
      </c>
      <c r="AF5404" t="s">
        <v>4563</v>
      </c>
      <c r="AG5404" t="s">
        <v>4564</v>
      </c>
      <c r="AH5404" t="s">
        <v>5197</v>
      </c>
      <c r="AI5404" t="s">
        <v>2351</v>
      </c>
      <c r="AJ5404" t="s">
        <v>38</v>
      </c>
      <c r="AK5404" t="s">
        <v>27268</v>
      </c>
      <c r="AL5404" s="13" t="s">
        <v>2257</v>
      </c>
      <c r="AM5404" s="14">
        <v>1</v>
      </c>
      <c r="AN5404" s="15" t="s">
        <v>3952</v>
      </c>
    </row>
    <row r="5405" spans="1:40" x14ac:dyDescent="0.3">
      <c r="A5405" s="10" t="str">
        <f>HYPERLINK("http://www.washoecounty.gov/assessor/cama/?parid=161-221-04&amp;CardNumber=1","161-221-04")</f>
        <v>161-221-04</v>
      </c>
      <c r="B5405" t="s">
        <v>4655</v>
      </c>
      <c r="C5405" t="s">
        <v>27269</v>
      </c>
      <c r="D5405" s="1">
        <v>40451</v>
      </c>
      <c r="E5405" s="2">
        <v>230000</v>
      </c>
      <c r="F5405" t="s">
        <v>4553</v>
      </c>
      <c r="G5405" s="17" t="str">
        <f>HYPERLINK("https://www.washoecounty.gov/assessor/cama/?command=sales&amp;parid=16122104","3928203")</f>
        <v>3928203</v>
      </c>
      <c r="H5405" t="s">
        <v>2166</v>
      </c>
      <c r="I5405">
        <v>2003</v>
      </c>
      <c r="J5405">
        <v>2003</v>
      </c>
      <c r="K5405" t="s">
        <v>4554</v>
      </c>
      <c r="L5405" t="s">
        <v>4555</v>
      </c>
      <c r="M5405" s="2">
        <v>2068</v>
      </c>
      <c r="N5405" t="s">
        <v>5280</v>
      </c>
      <c r="O5405">
        <v>4</v>
      </c>
      <c r="P5405">
        <v>2</v>
      </c>
      <c r="Q5405">
        <v>0</v>
      </c>
      <c r="R5405" t="s">
        <v>5281</v>
      </c>
      <c r="S5405" t="s">
        <v>4898</v>
      </c>
      <c r="T5405" t="s">
        <v>2704</v>
      </c>
      <c r="U5405" t="s">
        <v>4560</v>
      </c>
      <c r="V5405" s="2">
        <v>615</v>
      </c>
      <c r="W5405" t="s">
        <v>4655</v>
      </c>
      <c r="X5405" s="2">
        <v>0</v>
      </c>
      <c r="Y5405">
        <v>20</v>
      </c>
      <c r="Z5405" t="s">
        <v>1491</v>
      </c>
      <c r="AA5405" s="3">
        <v>0.17679063975810999</v>
      </c>
      <c r="AB5405" t="s">
        <v>27270</v>
      </c>
      <c r="AC5405" t="s">
        <v>4562</v>
      </c>
      <c r="AD5405" t="s">
        <v>27271</v>
      </c>
      <c r="AE5405" t="s">
        <v>4655</v>
      </c>
      <c r="AF5405" t="s">
        <v>4563</v>
      </c>
      <c r="AG5405" t="s">
        <v>4564</v>
      </c>
      <c r="AH5405" t="s">
        <v>5197</v>
      </c>
      <c r="AI5405" t="s">
        <v>4565</v>
      </c>
      <c r="AJ5405" t="s">
        <v>2167</v>
      </c>
      <c r="AK5405" t="s">
        <v>27272</v>
      </c>
      <c r="AL5405" s="13" t="s">
        <v>2257</v>
      </c>
      <c r="AM5405">
        <v>1</v>
      </c>
      <c r="AN5405" s="15" t="s">
        <v>532</v>
      </c>
    </row>
    <row r="5406" spans="1:40" x14ac:dyDescent="0.3">
      <c r="A5406" s="10" t="str">
        <f>HYPERLINK("http://www.washoecounty.gov/assessor/cama/?parid=161-222-10&amp;CardNumber=1","161-222-10")</f>
        <v>161-222-10</v>
      </c>
      <c r="B5406" t="s">
        <v>4655</v>
      </c>
      <c r="C5406" t="s">
        <v>27273</v>
      </c>
      <c r="D5406" s="1">
        <v>40283</v>
      </c>
      <c r="E5406" s="2">
        <v>275000</v>
      </c>
      <c r="F5406" t="s">
        <v>4553</v>
      </c>
      <c r="G5406" s="17" t="str">
        <f>HYPERLINK("https://www.washoecounty.gov/assessor/cama/?command=sales&amp;parid=16122210","3871455")</f>
        <v>3871455</v>
      </c>
      <c r="H5406" t="s">
        <v>2166</v>
      </c>
      <c r="I5406">
        <v>2004</v>
      </c>
      <c r="J5406">
        <v>2004</v>
      </c>
      <c r="K5406" t="s">
        <v>4554</v>
      </c>
      <c r="L5406" t="s">
        <v>4555</v>
      </c>
      <c r="M5406" s="2">
        <v>2234</v>
      </c>
      <c r="N5406" t="s">
        <v>5280</v>
      </c>
      <c r="O5406">
        <v>4</v>
      </c>
      <c r="P5406">
        <v>2</v>
      </c>
      <c r="Q5406">
        <v>0</v>
      </c>
      <c r="R5406" t="s">
        <v>5281</v>
      </c>
      <c r="S5406" t="s">
        <v>4898</v>
      </c>
      <c r="T5406" t="s">
        <v>2704</v>
      </c>
      <c r="U5406" t="s">
        <v>4560</v>
      </c>
      <c r="V5406" s="2">
        <v>592</v>
      </c>
      <c r="W5406" t="s">
        <v>4655</v>
      </c>
      <c r="X5406" s="2">
        <v>0</v>
      </c>
      <c r="Y5406">
        <v>20</v>
      </c>
      <c r="Z5406" t="s">
        <v>1491</v>
      </c>
      <c r="AA5406" s="3">
        <v>0.24797980487346599</v>
      </c>
      <c r="AB5406" t="s">
        <v>27274</v>
      </c>
      <c r="AC5406" t="s">
        <v>4562</v>
      </c>
      <c r="AD5406" t="s">
        <v>27275</v>
      </c>
      <c r="AE5406" t="s">
        <v>4655</v>
      </c>
      <c r="AF5406" t="s">
        <v>4563</v>
      </c>
      <c r="AG5406" t="s">
        <v>4564</v>
      </c>
      <c r="AH5406" t="s">
        <v>5197</v>
      </c>
      <c r="AI5406" t="s">
        <v>949</v>
      </c>
      <c r="AJ5406" t="s">
        <v>2167</v>
      </c>
      <c r="AK5406" t="s">
        <v>27276</v>
      </c>
      <c r="AL5406" s="13" t="s">
        <v>2257</v>
      </c>
      <c r="AM5406" s="14">
        <v>1</v>
      </c>
      <c r="AN5406" s="15" t="s">
        <v>532</v>
      </c>
    </row>
    <row r="5407" spans="1:40" x14ac:dyDescent="0.3">
      <c r="A5407" s="10" t="str">
        <f>HYPERLINK("http://www.washoecounty.gov/assessor/cama/?parid=161-222-14&amp;CardNumber=1","161-222-14")</f>
        <v>161-222-14</v>
      </c>
      <c r="B5407" t="s">
        <v>4655</v>
      </c>
      <c r="C5407" t="s">
        <v>27277</v>
      </c>
      <c r="D5407" s="1">
        <v>40262</v>
      </c>
      <c r="E5407" s="2">
        <v>223900</v>
      </c>
      <c r="F5407" t="s">
        <v>4567</v>
      </c>
      <c r="G5407" s="17" t="str">
        <f>HYPERLINK("https://www.washoecounty.gov/assessor/cama/?command=sales&amp;parid=16122214","3863926")</f>
        <v>3863926</v>
      </c>
      <c r="H5407" t="s">
        <v>2166</v>
      </c>
      <c r="I5407">
        <v>2004</v>
      </c>
      <c r="J5407">
        <v>2004</v>
      </c>
      <c r="K5407" t="s">
        <v>4554</v>
      </c>
      <c r="L5407" t="s">
        <v>4555</v>
      </c>
      <c r="M5407" s="2">
        <v>1777</v>
      </c>
      <c r="N5407" t="s">
        <v>5280</v>
      </c>
      <c r="O5407">
        <v>3</v>
      </c>
      <c r="P5407">
        <v>2</v>
      </c>
      <c r="Q5407">
        <v>0</v>
      </c>
      <c r="R5407" t="s">
        <v>5281</v>
      </c>
      <c r="S5407" t="s">
        <v>4898</v>
      </c>
      <c r="T5407" t="s">
        <v>2704</v>
      </c>
      <c r="U5407" t="s">
        <v>4560</v>
      </c>
      <c r="V5407" s="2">
        <v>625</v>
      </c>
      <c r="W5407" t="s">
        <v>4655</v>
      </c>
      <c r="X5407" s="2">
        <v>0</v>
      </c>
      <c r="Y5407">
        <v>20</v>
      </c>
      <c r="Z5407" t="s">
        <v>1491</v>
      </c>
      <c r="AA5407" s="3">
        <v>0.162121206521988</v>
      </c>
      <c r="AB5407" t="s">
        <v>27278</v>
      </c>
      <c r="AC5407" t="s">
        <v>4562</v>
      </c>
      <c r="AD5407" t="s">
        <v>27277</v>
      </c>
      <c r="AE5407" t="s">
        <v>4655</v>
      </c>
      <c r="AF5407" t="s">
        <v>4563</v>
      </c>
      <c r="AG5407" t="s">
        <v>4564</v>
      </c>
      <c r="AH5407" t="s">
        <v>5197</v>
      </c>
      <c r="AI5407" t="s">
        <v>27279</v>
      </c>
      <c r="AJ5407" t="s">
        <v>2167</v>
      </c>
      <c r="AK5407" t="s">
        <v>27280</v>
      </c>
      <c r="AL5407" s="13" t="s">
        <v>2257</v>
      </c>
      <c r="AM5407" s="14">
        <v>1</v>
      </c>
      <c r="AN5407" s="15" t="s">
        <v>532</v>
      </c>
    </row>
    <row r="5408" spans="1:40" x14ac:dyDescent="0.3">
      <c r="A5408" s="10" t="str">
        <f>HYPERLINK("http://www.washoecounty.gov/assessor/cama/?parid=161-222-42&amp;CardNumber=1","161-222-42")</f>
        <v>161-222-42</v>
      </c>
      <c r="B5408" t="s">
        <v>4655</v>
      </c>
      <c r="C5408" t="s">
        <v>27281</v>
      </c>
      <c r="D5408" s="1">
        <v>40535</v>
      </c>
      <c r="E5408" s="2">
        <v>226000</v>
      </c>
      <c r="F5408" t="s">
        <v>4567</v>
      </c>
      <c r="G5408" s="17" t="str">
        <f>HYPERLINK("https://www.washoecounty.gov/assessor/cama/?command=sales&amp;parid=16122242","3956744")</f>
        <v>3956744</v>
      </c>
      <c r="H5408" t="s">
        <v>2166</v>
      </c>
      <c r="I5408">
        <v>2003</v>
      </c>
      <c r="J5408">
        <v>2003</v>
      </c>
      <c r="K5408" t="s">
        <v>4554</v>
      </c>
      <c r="L5408" t="s">
        <v>4555</v>
      </c>
      <c r="M5408" s="2">
        <v>1777</v>
      </c>
      <c r="N5408" t="s">
        <v>5280</v>
      </c>
      <c r="O5408">
        <v>3</v>
      </c>
      <c r="P5408">
        <v>2</v>
      </c>
      <c r="Q5408">
        <v>0</v>
      </c>
      <c r="R5408" t="s">
        <v>5281</v>
      </c>
      <c r="S5408" t="s">
        <v>4898</v>
      </c>
      <c r="T5408" t="s">
        <v>2704</v>
      </c>
      <c r="U5408" t="s">
        <v>4560</v>
      </c>
      <c r="V5408" s="2">
        <v>625</v>
      </c>
      <c r="W5408" t="s">
        <v>4655</v>
      </c>
      <c r="X5408" s="2">
        <v>0</v>
      </c>
      <c r="Y5408">
        <v>20</v>
      </c>
      <c r="Z5408" t="s">
        <v>1491</v>
      </c>
      <c r="AA5408" s="3">
        <v>0.15821854770183599</v>
      </c>
      <c r="AB5408" t="s">
        <v>27282</v>
      </c>
      <c r="AC5408" t="s">
        <v>4562</v>
      </c>
      <c r="AD5408" t="s">
        <v>27283</v>
      </c>
      <c r="AE5408" t="s">
        <v>4655</v>
      </c>
      <c r="AF5408" t="s">
        <v>4563</v>
      </c>
      <c r="AG5408" t="s">
        <v>4564</v>
      </c>
      <c r="AH5408" t="s">
        <v>5197</v>
      </c>
      <c r="AI5408" t="s">
        <v>27284</v>
      </c>
      <c r="AJ5408" t="s">
        <v>2167</v>
      </c>
      <c r="AK5408" t="s">
        <v>27285</v>
      </c>
      <c r="AL5408" s="13" t="s">
        <v>2257</v>
      </c>
      <c r="AM5408" s="14">
        <v>1</v>
      </c>
      <c r="AN5408" s="15" t="s">
        <v>532</v>
      </c>
    </row>
    <row r="5409" spans="1:40" x14ac:dyDescent="0.3">
      <c r="A5409" s="10" t="str">
        <f>HYPERLINK("http://www.washoecounty.gov/assessor/cama/?parid=161-223-08&amp;CardNumber=1","161-223-08")</f>
        <v>161-223-08</v>
      </c>
      <c r="B5409" t="s">
        <v>4655</v>
      </c>
      <c r="C5409" t="s">
        <v>27286</v>
      </c>
      <c r="D5409" s="1">
        <v>40386</v>
      </c>
      <c r="E5409" s="2">
        <v>227000</v>
      </c>
      <c r="F5409" t="s">
        <v>4567</v>
      </c>
      <c r="G5409" s="17" t="str">
        <f>HYPERLINK("https://www.washoecounty.gov/assessor/cama/?command=sales&amp;parid=16122308","3905304")</f>
        <v>3905304</v>
      </c>
      <c r="H5409" t="s">
        <v>2166</v>
      </c>
      <c r="I5409">
        <v>2004</v>
      </c>
      <c r="J5409">
        <v>2004</v>
      </c>
      <c r="K5409" t="s">
        <v>4554</v>
      </c>
      <c r="L5409" t="s">
        <v>4555</v>
      </c>
      <c r="M5409" s="2">
        <v>1777</v>
      </c>
      <c r="N5409" t="s">
        <v>5280</v>
      </c>
      <c r="O5409">
        <v>3</v>
      </c>
      <c r="P5409">
        <v>2</v>
      </c>
      <c r="Q5409">
        <v>0</v>
      </c>
      <c r="R5409" t="s">
        <v>5281</v>
      </c>
      <c r="S5409" t="s">
        <v>4898</v>
      </c>
      <c r="T5409" t="s">
        <v>2704</v>
      </c>
      <c r="U5409" t="s">
        <v>4560</v>
      </c>
      <c r="V5409" s="2">
        <v>625</v>
      </c>
      <c r="W5409" t="s">
        <v>4655</v>
      </c>
      <c r="X5409" s="2">
        <v>0</v>
      </c>
      <c r="Y5409">
        <v>20</v>
      </c>
      <c r="Z5409" t="s">
        <v>1491</v>
      </c>
      <c r="AA5409" s="3">
        <v>0.1628558337688446</v>
      </c>
      <c r="AB5409" t="s">
        <v>17824</v>
      </c>
      <c r="AC5409" t="s">
        <v>4562</v>
      </c>
      <c r="AD5409" t="s">
        <v>27286</v>
      </c>
      <c r="AE5409" t="s">
        <v>4655</v>
      </c>
      <c r="AF5409" t="s">
        <v>4563</v>
      </c>
      <c r="AG5409" t="s">
        <v>4564</v>
      </c>
      <c r="AH5409" t="s">
        <v>5197</v>
      </c>
      <c r="AI5409" t="s">
        <v>17366</v>
      </c>
      <c r="AJ5409" t="s">
        <v>2167</v>
      </c>
      <c r="AK5409" t="s">
        <v>27287</v>
      </c>
      <c r="AL5409" s="13" t="s">
        <v>2257</v>
      </c>
      <c r="AM5409" s="14">
        <v>1</v>
      </c>
      <c r="AN5409" s="15" t="s">
        <v>532</v>
      </c>
    </row>
    <row r="5410" spans="1:40" x14ac:dyDescent="0.3">
      <c r="A5410" s="10" t="str">
        <f>HYPERLINK("http://www.washoecounty.gov/assessor/cama/?parid=161-223-19&amp;CardNumber=1","161-223-19")</f>
        <v>161-223-19</v>
      </c>
      <c r="B5410" t="s">
        <v>4655</v>
      </c>
      <c r="C5410" t="s">
        <v>27288</v>
      </c>
      <c r="D5410" s="1">
        <v>40365</v>
      </c>
      <c r="E5410" s="2">
        <v>265000</v>
      </c>
      <c r="F5410" t="s">
        <v>4567</v>
      </c>
      <c r="G5410" s="17" t="str">
        <f>HYPERLINK("https://www.washoecounty.gov/assessor/cama/?command=sales&amp;parid=16122319","3898303")</f>
        <v>3898303</v>
      </c>
      <c r="H5410" t="s">
        <v>2166</v>
      </c>
      <c r="I5410">
        <v>2004</v>
      </c>
      <c r="J5410">
        <v>2004</v>
      </c>
      <c r="K5410" t="s">
        <v>4554</v>
      </c>
      <c r="L5410" t="s">
        <v>4555</v>
      </c>
      <c r="M5410" s="2">
        <v>1777</v>
      </c>
      <c r="N5410" t="s">
        <v>5280</v>
      </c>
      <c r="O5410">
        <v>3</v>
      </c>
      <c r="P5410">
        <v>2</v>
      </c>
      <c r="Q5410">
        <v>0</v>
      </c>
      <c r="R5410" t="s">
        <v>5281</v>
      </c>
      <c r="S5410" t="s">
        <v>4898</v>
      </c>
      <c r="T5410" t="s">
        <v>2704</v>
      </c>
      <c r="U5410" t="s">
        <v>4560</v>
      </c>
      <c r="V5410" s="2">
        <v>625</v>
      </c>
      <c r="W5410" t="s">
        <v>4655</v>
      </c>
      <c r="X5410" s="2">
        <v>0</v>
      </c>
      <c r="Y5410">
        <v>20</v>
      </c>
      <c r="Z5410" t="s">
        <v>1491</v>
      </c>
      <c r="AA5410" s="3">
        <v>0.16896234452724457</v>
      </c>
      <c r="AB5410" t="s">
        <v>27289</v>
      </c>
      <c r="AC5410" t="s">
        <v>4575</v>
      </c>
      <c r="AD5410" t="s">
        <v>27288</v>
      </c>
      <c r="AE5410" t="s">
        <v>4655</v>
      </c>
      <c r="AF5410" t="s">
        <v>4563</v>
      </c>
      <c r="AG5410" t="s">
        <v>4564</v>
      </c>
      <c r="AH5410" t="s">
        <v>5197</v>
      </c>
      <c r="AI5410" t="s">
        <v>27290</v>
      </c>
      <c r="AJ5410" t="s">
        <v>2167</v>
      </c>
      <c r="AK5410" t="s">
        <v>27291</v>
      </c>
      <c r="AL5410" s="13" t="s">
        <v>2257</v>
      </c>
      <c r="AM5410" s="14">
        <v>1</v>
      </c>
      <c r="AN5410" s="15" t="s">
        <v>532</v>
      </c>
    </row>
    <row r="5411" spans="1:40" x14ac:dyDescent="0.3">
      <c r="A5411" s="10" t="str">
        <f>HYPERLINK("http://www.washoecounty.gov/assessor/cama/?parid=161-234-07&amp;CardNumber=1","161-234-07")</f>
        <v>161-234-07</v>
      </c>
      <c r="B5411" t="s">
        <v>4655</v>
      </c>
      <c r="C5411" t="s">
        <v>2871</v>
      </c>
      <c r="D5411" s="1">
        <v>40295</v>
      </c>
      <c r="E5411" s="2">
        <v>158000</v>
      </c>
      <c r="F5411" t="s">
        <v>4553</v>
      </c>
      <c r="G5411" s="17" t="str">
        <f>HYPERLINK("https://www.washoecounty.gov/assessor/cama/?command=sales&amp;parid=16123407","3875272")</f>
        <v>3875272</v>
      </c>
      <c r="H5411" t="s">
        <v>3447</v>
      </c>
      <c r="I5411">
        <v>2004</v>
      </c>
      <c r="J5411">
        <v>2004</v>
      </c>
      <c r="K5411" t="s">
        <v>4897</v>
      </c>
      <c r="L5411" t="s">
        <v>4555</v>
      </c>
      <c r="M5411" s="2">
        <v>1958</v>
      </c>
      <c r="N5411" t="s">
        <v>1245</v>
      </c>
      <c r="O5411">
        <v>3</v>
      </c>
      <c r="P5411">
        <v>2</v>
      </c>
      <c r="Q5411">
        <v>0</v>
      </c>
      <c r="R5411" t="s">
        <v>5281</v>
      </c>
      <c r="S5411" t="s">
        <v>4898</v>
      </c>
      <c r="T5411" t="s">
        <v>2704</v>
      </c>
      <c r="U5411" t="s">
        <v>5631</v>
      </c>
      <c r="V5411" s="2">
        <v>500</v>
      </c>
      <c r="W5411" t="s">
        <v>4655</v>
      </c>
      <c r="X5411" s="2">
        <v>0</v>
      </c>
      <c r="Y5411">
        <v>21</v>
      </c>
      <c r="Z5411" t="s">
        <v>1491</v>
      </c>
      <c r="AA5411" s="3">
        <v>4.4008266180753701E-2</v>
      </c>
      <c r="AB5411" t="s">
        <v>27292</v>
      </c>
      <c r="AC5411" t="s">
        <v>4562</v>
      </c>
      <c r="AD5411" t="s">
        <v>27293</v>
      </c>
      <c r="AE5411" t="s">
        <v>4655</v>
      </c>
      <c r="AF5411" t="s">
        <v>4563</v>
      </c>
      <c r="AG5411" t="s">
        <v>4564</v>
      </c>
      <c r="AH5411" t="s">
        <v>5197</v>
      </c>
      <c r="AI5411" t="s">
        <v>4903</v>
      </c>
      <c r="AJ5411" t="s">
        <v>2204</v>
      </c>
      <c r="AK5411" t="s">
        <v>27294</v>
      </c>
      <c r="AL5411" s="13" t="s">
        <v>2257</v>
      </c>
      <c r="AM5411">
        <v>1</v>
      </c>
      <c r="AN5411" s="15" t="s">
        <v>128</v>
      </c>
    </row>
    <row r="5412" spans="1:40" x14ac:dyDescent="0.3">
      <c r="A5412" s="10" t="str">
        <f>HYPERLINK("http://www.washoecounty.gov/assessor/cama/?parid=161-235-13&amp;CardNumber=1","161-235-13")</f>
        <v>161-235-13</v>
      </c>
      <c r="B5412" t="s">
        <v>4655</v>
      </c>
      <c r="C5412" t="s">
        <v>2871</v>
      </c>
      <c r="D5412" s="1">
        <v>40234</v>
      </c>
      <c r="E5412" s="2">
        <v>143550</v>
      </c>
      <c r="F5412" t="s">
        <v>4553</v>
      </c>
      <c r="G5412" s="17" t="str">
        <f>HYPERLINK("https://www.washoecounty.gov/assessor/cama/?command=sales&amp;parid=16123513","3852661")</f>
        <v>3852661</v>
      </c>
      <c r="H5412" t="s">
        <v>3447</v>
      </c>
      <c r="I5412">
        <v>2004</v>
      </c>
      <c r="J5412">
        <v>2004</v>
      </c>
      <c r="K5412" t="s">
        <v>4897</v>
      </c>
      <c r="L5412" t="s">
        <v>4555</v>
      </c>
      <c r="M5412" s="2">
        <v>1651</v>
      </c>
      <c r="N5412" t="s">
        <v>1245</v>
      </c>
      <c r="O5412">
        <v>2</v>
      </c>
      <c r="P5412">
        <v>2</v>
      </c>
      <c r="Q5412">
        <v>0</v>
      </c>
      <c r="R5412" t="s">
        <v>5281</v>
      </c>
      <c r="S5412" t="s">
        <v>4898</v>
      </c>
      <c r="T5412" t="s">
        <v>2704</v>
      </c>
      <c r="U5412" t="s">
        <v>5631</v>
      </c>
      <c r="V5412" s="2">
        <v>500</v>
      </c>
      <c r="W5412" t="s">
        <v>4655</v>
      </c>
      <c r="X5412" s="2">
        <v>0</v>
      </c>
      <c r="Y5412">
        <v>21</v>
      </c>
      <c r="Z5412" t="s">
        <v>1491</v>
      </c>
      <c r="AA5412" s="3">
        <v>5.9710744768381098E-2</v>
      </c>
      <c r="AB5412" t="s">
        <v>27295</v>
      </c>
      <c r="AC5412" t="s">
        <v>4562</v>
      </c>
      <c r="AD5412" t="s">
        <v>27296</v>
      </c>
      <c r="AE5412" t="s">
        <v>4655</v>
      </c>
      <c r="AF5412" t="s">
        <v>4563</v>
      </c>
      <c r="AG5412" t="s">
        <v>4564</v>
      </c>
      <c r="AH5412" t="s">
        <v>5197</v>
      </c>
      <c r="AI5412" t="s">
        <v>2203</v>
      </c>
      <c r="AJ5412" t="s">
        <v>2204</v>
      </c>
      <c r="AK5412" t="s">
        <v>27297</v>
      </c>
      <c r="AL5412" s="13" t="s">
        <v>2257</v>
      </c>
      <c r="AM5412" s="14">
        <v>1</v>
      </c>
      <c r="AN5412" s="15" t="s">
        <v>128</v>
      </c>
    </row>
    <row r="5413" spans="1:40" x14ac:dyDescent="0.3">
      <c r="A5413" s="10" t="str">
        <f>HYPERLINK("http://www.washoecounty.gov/assessor/cama/?parid=161-235-13&amp;CardNumber=1","161-235-13")</f>
        <v>161-235-13</v>
      </c>
      <c r="B5413" t="s">
        <v>4655</v>
      </c>
      <c r="C5413" t="s">
        <v>2871</v>
      </c>
      <c r="D5413" s="1">
        <v>40337</v>
      </c>
      <c r="E5413" s="2">
        <v>167500</v>
      </c>
      <c r="F5413" t="s">
        <v>4567</v>
      </c>
      <c r="G5413" s="17" t="str">
        <f>HYPERLINK("https://www.washoecounty.gov/assessor/cama/?command=sales&amp;parid=16123513","3889101")</f>
        <v>3889101</v>
      </c>
      <c r="H5413" t="s">
        <v>3447</v>
      </c>
      <c r="I5413">
        <v>2004</v>
      </c>
      <c r="J5413">
        <v>2004</v>
      </c>
      <c r="K5413" t="s">
        <v>4897</v>
      </c>
      <c r="L5413" t="s">
        <v>4555</v>
      </c>
      <c r="M5413" s="2">
        <v>1651</v>
      </c>
      <c r="N5413" t="s">
        <v>1245</v>
      </c>
      <c r="O5413">
        <v>2</v>
      </c>
      <c r="P5413">
        <v>2</v>
      </c>
      <c r="Q5413">
        <v>0</v>
      </c>
      <c r="R5413" t="s">
        <v>5281</v>
      </c>
      <c r="S5413" t="s">
        <v>4898</v>
      </c>
      <c r="T5413" t="s">
        <v>2704</v>
      </c>
      <c r="U5413" t="s">
        <v>5631</v>
      </c>
      <c r="V5413" s="2">
        <v>500</v>
      </c>
      <c r="W5413" t="s">
        <v>4655</v>
      </c>
      <c r="X5413" s="2">
        <v>0</v>
      </c>
      <c r="Y5413">
        <v>21</v>
      </c>
      <c r="Z5413" t="s">
        <v>1491</v>
      </c>
      <c r="AA5413" s="3">
        <v>5.9710744768381098E-2</v>
      </c>
      <c r="AB5413" t="s">
        <v>27295</v>
      </c>
      <c r="AC5413" t="s">
        <v>4562</v>
      </c>
      <c r="AD5413" t="s">
        <v>27296</v>
      </c>
      <c r="AE5413" t="s">
        <v>4655</v>
      </c>
      <c r="AF5413" t="s">
        <v>4563</v>
      </c>
      <c r="AG5413" t="s">
        <v>4564</v>
      </c>
      <c r="AH5413" t="s">
        <v>5197</v>
      </c>
      <c r="AI5413" t="s">
        <v>2203</v>
      </c>
      <c r="AJ5413" t="s">
        <v>2204</v>
      </c>
      <c r="AK5413" t="s">
        <v>27297</v>
      </c>
      <c r="AL5413" s="13" t="s">
        <v>2257</v>
      </c>
      <c r="AM5413" s="14">
        <v>1</v>
      </c>
      <c r="AN5413" s="15" t="s">
        <v>128</v>
      </c>
    </row>
    <row r="5414" spans="1:40" x14ac:dyDescent="0.3">
      <c r="A5414" s="10" t="str">
        <f>HYPERLINK("http://www.washoecounty.gov/assessor/cama/?parid=161-235-15&amp;CardNumber=1","161-235-15")</f>
        <v>161-235-15</v>
      </c>
      <c r="B5414" t="s">
        <v>4655</v>
      </c>
      <c r="C5414" t="s">
        <v>2871</v>
      </c>
      <c r="D5414" s="1">
        <v>40464</v>
      </c>
      <c r="E5414" s="2">
        <v>131500</v>
      </c>
      <c r="F5414" t="s">
        <v>4567</v>
      </c>
      <c r="G5414" s="17" t="str">
        <f>HYPERLINK("https://www.washoecounty.gov/assessor/cama/?command=sales&amp;parid=16123515","3932623")</f>
        <v>3932623</v>
      </c>
      <c r="H5414" t="s">
        <v>3447</v>
      </c>
      <c r="I5414">
        <v>2004</v>
      </c>
      <c r="J5414">
        <v>2004</v>
      </c>
      <c r="K5414" t="s">
        <v>4897</v>
      </c>
      <c r="L5414" t="s">
        <v>4555</v>
      </c>
      <c r="M5414" s="2">
        <v>1554</v>
      </c>
      <c r="N5414" t="s">
        <v>1245</v>
      </c>
      <c r="O5414">
        <v>2</v>
      </c>
      <c r="P5414">
        <v>2</v>
      </c>
      <c r="Q5414">
        <v>0</v>
      </c>
      <c r="R5414" t="s">
        <v>5281</v>
      </c>
      <c r="S5414" t="s">
        <v>4898</v>
      </c>
      <c r="T5414" t="s">
        <v>2704</v>
      </c>
      <c r="U5414" t="s">
        <v>5631</v>
      </c>
      <c r="V5414" s="2">
        <v>533</v>
      </c>
      <c r="W5414" t="s">
        <v>4655</v>
      </c>
      <c r="X5414" s="2">
        <v>0</v>
      </c>
      <c r="Y5414">
        <v>21</v>
      </c>
      <c r="Z5414" t="s">
        <v>1491</v>
      </c>
      <c r="AA5414" s="3">
        <v>5.6313131004571901E-2</v>
      </c>
      <c r="AB5414" t="s">
        <v>27298</v>
      </c>
      <c r="AC5414" t="s">
        <v>4562</v>
      </c>
      <c r="AD5414" t="s">
        <v>27299</v>
      </c>
      <c r="AE5414" t="s">
        <v>4655</v>
      </c>
      <c r="AF5414" t="s">
        <v>4563</v>
      </c>
      <c r="AG5414" t="s">
        <v>4564</v>
      </c>
      <c r="AH5414" t="s">
        <v>5197</v>
      </c>
      <c r="AI5414" t="s">
        <v>27300</v>
      </c>
      <c r="AJ5414" t="s">
        <v>2204</v>
      </c>
      <c r="AK5414" t="s">
        <v>27301</v>
      </c>
      <c r="AL5414" s="13" t="s">
        <v>2257</v>
      </c>
      <c r="AM5414" s="14">
        <v>1</v>
      </c>
      <c r="AN5414" s="15" t="s">
        <v>128</v>
      </c>
    </row>
    <row r="5415" spans="1:40" x14ac:dyDescent="0.3">
      <c r="A5415" s="10" t="str">
        <f>HYPERLINK("http://www.washoecounty.gov/assessor/cama/?parid=161-235-23&amp;CardNumber=1","161-235-23")</f>
        <v>161-235-23</v>
      </c>
      <c r="B5415" t="s">
        <v>4655</v>
      </c>
      <c r="C5415" t="s">
        <v>2871</v>
      </c>
      <c r="D5415" s="1">
        <v>40283</v>
      </c>
      <c r="E5415" s="2">
        <v>200000</v>
      </c>
      <c r="F5415" t="s">
        <v>4553</v>
      </c>
      <c r="G5415" s="17" t="str">
        <f>HYPERLINK("https://www.washoecounty.gov/assessor/cama/?command=sales&amp;parid=16123523","3871473")</f>
        <v>3871473</v>
      </c>
      <c r="H5415" t="s">
        <v>3447</v>
      </c>
      <c r="I5415">
        <v>2003</v>
      </c>
      <c r="J5415">
        <v>2003</v>
      </c>
      <c r="K5415" t="s">
        <v>4897</v>
      </c>
      <c r="L5415" t="s">
        <v>4555</v>
      </c>
      <c r="M5415" s="2">
        <v>2428</v>
      </c>
      <c r="N5415" t="s">
        <v>1245</v>
      </c>
      <c r="O5415">
        <v>3</v>
      </c>
      <c r="P5415">
        <v>2</v>
      </c>
      <c r="Q5415">
        <v>0</v>
      </c>
      <c r="R5415" t="s">
        <v>5281</v>
      </c>
      <c r="S5415" t="s">
        <v>4898</v>
      </c>
      <c r="T5415" t="s">
        <v>2704</v>
      </c>
      <c r="U5415" t="s">
        <v>4560</v>
      </c>
      <c r="V5415" s="2">
        <v>540</v>
      </c>
      <c r="W5415" t="s">
        <v>4655</v>
      </c>
      <c r="X5415" s="2">
        <v>0</v>
      </c>
      <c r="Y5415">
        <v>21</v>
      </c>
      <c r="Z5415" t="s">
        <v>1491</v>
      </c>
      <c r="AA5415" s="3">
        <v>8.0991737544536604E-2</v>
      </c>
      <c r="AB5415" t="s">
        <v>27302</v>
      </c>
      <c r="AC5415" t="s">
        <v>4562</v>
      </c>
      <c r="AD5415" t="s">
        <v>27303</v>
      </c>
      <c r="AE5415" t="s">
        <v>4655</v>
      </c>
      <c r="AF5415" t="s">
        <v>4563</v>
      </c>
      <c r="AG5415" t="s">
        <v>4564</v>
      </c>
      <c r="AH5415" t="s">
        <v>5197</v>
      </c>
      <c r="AI5415" t="s">
        <v>791</v>
      </c>
      <c r="AJ5415" t="s">
        <v>2204</v>
      </c>
      <c r="AK5415" t="s">
        <v>27304</v>
      </c>
      <c r="AL5415" s="13" t="s">
        <v>2257</v>
      </c>
      <c r="AM5415" s="14">
        <v>1</v>
      </c>
      <c r="AN5415" s="15" t="s">
        <v>128</v>
      </c>
    </row>
    <row r="5416" spans="1:40" x14ac:dyDescent="0.3">
      <c r="A5416" s="10" t="str">
        <f>HYPERLINK("http://www.washoecounty.gov/assessor/cama/?parid=161-236-08&amp;CardNumber=1","161-236-08")</f>
        <v>161-236-08</v>
      </c>
      <c r="B5416" t="s">
        <v>4655</v>
      </c>
      <c r="C5416" t="s">
        <v>2871</v>
      </c>
      <c r="D5416" s="1">
        <v>40444</v>
      </c>
      <c r="E5416" s="2">
        <v>245000</v>
      </c>
      <c r="F5416" t="s">
        <v>4553</v>
      </c>
      <c r="G5416" s="17" t="str">
        <f>HYPERLINK("https://www.washoecounty.gov/assessor/cama/?command=sales&amp;parid=16123608","3925262")</f>
        <v>3925262</v>
      </c>
      <c r="H5416" t="s">
        <v>3447</v>
      </c>
      <c r="I5416">
        <v>2004</v>
      </c>
      <c r="J5416">
        <v>2004</v>
      </c>
      <c r="K5416" t="s">
        <v>4897</v>
      </c>
      <c r="L5416" t="s">
        <v>4555</v>
      </c>
      <c r="M5416" s="2">
        <v>2452</v>
      </c>
      <c r="N5416" t="s">
        <v>1245</v>
      </c>
      <c r="O5416">
        <v>3</v>
      </c>
      <c r="P5416">
        <v>2</v>
      </c>
      <c r="Q5416">
        <v>0</v>
      </c>
      <c r="R5416" t="s">
        <v>5281</v>
      </c>
      <c r="S5416" t="s">
        <v>4898</v>
      </c>
      <c r="T5416" t="s">
        <v>2704</v>
      </c>
      <c r="U5416" t="s">
        <v>4560</v>
      </c>
      <c r="V5416" s="2">
        <v>546</v>
      </c>
      <c r="W5416" t="s">
        <v>4655</v>
      </c>
      <c r="X5416" s="2">
        <v>0</v>
      </c>
      <c r="Y5416">
        <v>21</v>
      </c>
      <c r="Z5416" t="s">
        <v>1491</v>
      </c>
      <c r="AA5416" s="3">
        <v>5.7001836597919499E-2</v>
      </c>
      <c r="AB5416" t="s">
        <v>27305</v>
      </c>
      <c r="AC5416" t="s">
        <v>4562</v>
      </c>
      <c r="AD5416" t="s">
        <v>27306</v>
      </c>
      <c r="AE5416" t="s">
        <v>4655</v>
      </c>
      <c r="AF5416" t="s">
        <v>1849</v>
      </c>
      <c r="AG5416" t="s">
        <v>4564</v>
      </c>
      <c r="AH5416" t="s">
        <v>1850</v>
      </c>
      <c r="AI5416" t="s">
        <v>1620</v>
      </c>
      <c r="AJ5416" t="s">
        <v>2204</v>
      </c>
      <c r="AK5416" t="s">
        <v>27307</v>
      </c>
      <c r="AL5416" s="13" t="s">
        <v>2257</v>
      </c>
      <c r="AM5416" s="14">
        <v>1</v>
      </c>
      <c r="AN5416" s="15" t="s">
        <v>128</v>
      </c>
    </row>
    <row r="5417" spans="1:40" x14ac:dyDescent="0.3">
      <c r="A5417" s="10" t="str">
        <f>HYPERLINK("http://www.washoecounty.gov/assessor/cama/?parid=161-237-05&amp;CardNumber=1","161-237-05")</f>
        <v>161-237-05</v>
      </c>
      <c r="B5417" t="s">
        <v>4655</v>
      </c>
      <c r="C5417" t="s">
        <v>2871</v>
      </c>
      <c r="D5417" s="1">
        <v>40420</v>
      </c>
      <c r="E5417" s="2">
        <v>175000</v>
      </c>
      <c r="F5417" t="s">
        <v>4567</v>
      </c>
      <c r="G5417" s="17" t="str">
        <f>HYPERLINK("https://www.washoecounty.gov/assessor/cama/?command=sales&amp;parid=16123705","3917082")</f>
        <v>3917082</v>
      </c>
      <c r="H5417" t="s">
        <v>3447</v>
      </c>
      <c r="I5417">
        <v>2004</v>
      </c>
      <c r="J5417">
        <v>2004</v>
      </c>
      <c r="K5417" t="s">
        <v>4897</v>
      </c>
      <c r="L5417" t="s">
        <v>4555</v>
      </c>
      <c r="M5417" s="2">
        <v>1651</v>
      </c>
      <c r="N5417" t="s">
        <v>1245</v>
      </c>
      <c r="O5417">
        <v>2</v>
      </c>
      <c r="P5417">
        <v>2</v>
      </c>
      <c r="Q5417">
        <v>0</v>
      </c>
      <c r="R5417" t="s">
        <v>5281</v>
      </c>
      <c r="S5417" t="s">
        <v>4898</v>
      </c>
      <c r="T5417" t="s">
        <v>2704</v>
      </c>
      <c r="U5417" t="s">
        <v>5631</v>
      </c>
      <c r="V5417" s="2">
        <v>500</v>
      </c>
      <c r="W5417" t="s">
        <v>4655</v>
      </c>
      <c r="X5417" s="2">
        <v>0</v>
      </c>
      <c r="Y5417">
        <v>21</v>
      </c>
      <c r="Z5417" t="s">
        <v>1491</v>
      </c>
      <c r="AA5417" s="3">
        <v>5.9710744768381098E-2</v>
      </c>
      <c r="AB5417" t="s">
        <v>27308</v>
      </c>
      <c r="AC5417" t="s">
        <v>4562</v>
      </c>
      <c r="AD5417" t="s">
        <v>27309</v>
      </c>
      <c r="AE5417" t="s">
        <v>4655</v>
      </c>
      <c r="AF5417" t="s">
        <v>27310</v>
      </c>
      <c r="AG5417" t="s">
        <v>1766</v>
      </c>
      <c r="AH5417">
        <v>12901</v>
      </c>
      <c r="AI5417" t="s">
        <v>27311</v>
      </c>
      <c r="AJ5417" t="s">
        <v>2204</v>
      </c>
      <c r="AK5417" t="s">
        <v>27312</v>
      </c>
      <c r="AL5417" s="13" t="s">
        <v>2257</v>
      </c>
      <c r="AM5417">
        <v>1</v>
      </c>
      <c r="AN5417" s="15" t="s">
        <v>128</v>
      </c>
    </row>
    <row r="5418" spans="1:40" x14ac:dyDescent="0.3">
      <c r="A5418" s="10" t="str">
        <f>HYPERLINK("http://www.washoecounty.gov/assessor/cama/?parid=161-237-07&amp;CardNumber=1","161-237-07")</f>
        <v>161-237-07</v>
      </c>
      <c r="B5418" t="s">
        <v>4655</v>
      </c>
      <c r="C5418" t="s">
        <v>2871</v>
      </c>
      <c r="D5418" s="1">
        <v>40277</v>
      </c>
      <c r="E5418" s="2">
        <v>210000</v>
      </c>
      <c r="F5418" t="s">
        <v>4567</v>
      </c>
      <c r="G5418" s="17" t="str">
        <f>HYPERLINK("https://www.washoecounty.gov/assessor/cama/?command=sales&amp;parid=16123707","3869590")</f>
        <v>3869590</v>
      </c>
      <c r="H5418" t="s">
        <v>3447</v>
      </c>
      <c r="I5418">
        <v>2004</v>
      </c>
      <c r="J5418">
        <v>2004</v>
      </c>
      <c r="K5418" t="s">
        <v>4897</v>
      </c>
      <c r="L5418" t="s">
        <v>4555</v>
      </c>
      <c r="M5418" s="2">
        <v>1905</v>
      </c>
      <c r="N5418" t="s">
        <v>1245</v>
      </c>
      <c r="O5418">
        <v>3</v>
      </c>
      <c r="P5418">
        <v>2</v>
      </c>
      <c r="Q5418">
        <v>0</v>
      </c>
      <c r="R5418" t="s">
        <v>5281</v>
      </c>
      <c r="S5418" t="s">
        <v>4898</v>
      </c>
      <c r="T5418" t="s">
        <v>2704</v>
      </c>
      <c r="U5418" t="s">
        <v>5631</v>
      </c>
      <c r="V5418" s="2">
        <v>558</v>
      </c>
      <c r="W5418" t="s">
        <v>4655</v>
      </c>
      <c r="X5418" s="2">
        <v>0</v>
      </c>
      <c r="Y5418">
        <v>21</v>
      </c>
      <c r="Z5418" t="s">
        <v>1491</v>
      </c>
      <c r="AA5418" s="3">
        <v>6.3475668430328397E-2</v>
      </c>
      <c r="AB5418" t="s">
        <v>27313</v>
      </c>
      <c r="AC5418" t="s">
        <v>4575</v>
      </c>
      <c r="AD5418" t="s">
        <v>27314</v>
      </c>
      <c r="AE5418" t="s">
        <v>27315</v>
      </c>
      <c r="AF5418" t="s">
        <v>4563</v>
      </c>
      <c r="AG5418" t="s">
        <v>4564</v>
      </c>
      <c r="AH5418">
        <v>89511</v>
      </c>
      <c r="AI5418" t="s">
        <v>27316</v>
      </c>
      <c r="AJ5418" t="s">
        <v>2204</v>
      </c>
      <c r="AK5418" t="s">
        <v>27317</v>
      </c>
      <c r="AL5418" s="13" t="s">
        <v>2257</v>
      </c>
      <c r="AM5418">
        <v>1</v>
      </c>
      <c r="AN5418" s="15" t="s">
        <v>128</v>
      </c>
    </row>
    <row r="5419" spans="1:40" x14ac:dyDescent="0.3">
      <c r="A5419" s="10" t="str">
        <f>HYPERLINK("http://www.washoecounty.gov/assessor/cama/?parid=161-237-23&amp;CardNumber=1","161-237-23")</f>
        <v>161-237-23</v>
      </c>
      <c r="B5419" t="s">
        <v>4655</v>
      </c>
      <c r="C5419" t="s">
        <v>2871</v>
      </c>
      <c r="D5419" s="1">
        <v>40445</v>
      </c>
      <c r="E5419" s="2">
        <v>200000</v>
      </c>
      <c r="F5419" t="s">
        <v>4553</v>
      </c>
      <c r="G5419" s="17" t="str">
        <f>HYPERLINK("https://www.washoecounty.gov/assessor/cama/?command=sales&amp;parid=16123723","3925998")</f>
        <v>3925998</v>
      </c>
      <c r="H5419" t="s">
        <v>3447</v>
      </c>
      <c r="I5419">
        <v>2004</v>
      </c>
      <c r="J5419">
        <v>2004</v>
      </c>
      <c r="K5419" t="s">
        <v>4897</v>
      </c>
      <c r="L5419" t="s">
        <v>4555</v>
      </c>
      <c r="M5419" s="2">
        <v>2428</v>
      </c>
      <c r="N5419" t="s">
        <v>1245</v>
      </c>
      <c r="O5419">
        <v>3</v>
      </c>
      <c r="P5419">
        <v>2</v>
      </c>
      <c r="Q5419">
        <v>0</v>
      </c>
      <c r="R5419" t="s">
        <v>5281</v>
      </c>
      <c r="S5419" t="s">
        <v>4898</v>
      </c>
      <c r="T5419" t="s">
        <v>2704</v>
      </c>
      <c r="U5419" t="s">
        <v>4560</v>
      </c>
      <c r="V5419" s="2">
        <v>540</v>
      </c>
      <c r="W5419" t="s">
        <v>4655</v>
      </c>
      <c r="X5419" s="2">
        <v>0</v>
      </c>
      <c r="Y5419">
        <v>21</v>
      </c>
      <c r="Z5419" t="s">
        <v>1491</v>
      </c>
      <c r="AA5419" s="3">
        <v>8.0991737544536604E-2</v>
      </c>
      <c r="AB5419" t="s">
        <v>27318</v>
      </c>
      <c r="AC5419" t="s">
        <v>4562</v>
      </c>
      <c r="AD5419" t="s">
        <v>27319</v>
      </c>
      <c r="AE5419" t="s">
        <v>4655</v>
      </c>
      <c r="AF5419" t="s">
        <v>4563</v>
      </c>
      <c r="AG5419" t="s">
        <v>4564</v>
      </c>
      <c r="AH5419" t="s">
        <v>5197</v>
      </c>
      <c r="AI5419" t="s">
        <v>4565</v>
      </c>
      <c r="AJ5419" t="s">
        <v>2204</v>
      </c>
      <c r="AK5419" t="s">
        <v>27320</v>
      </c>
      <c r="AL5419" s="13" t="s">
        <v>2257</v>
      </c>
      <c r="AM5419">
        <v>1</v>
      </c>
      <c r="AN5419" s="15" t="s">
        <v>128</v>
      </c>
    </row>
    <row r="5420" spans="1:40" x14ac:dyDescent="0.3">
      <c r="A5420" s="10" t="str">
        <f>HYPERLINK("http://www.washoecounty.gov/assessor/cama/?parid=161-241-17&amp;CardNumber=1","161-241-17")</f>
        <v>161-241-17</v>
      </c>
      <c r="B5420" t="s">
        <v>4655</v>
      </c>
      <c r="C5420" t="s">
        <v>27321</v>
      </c>
      <c r="D5420" s="1">
        <v>40214</v>
      </c>
      <c r="E5420" s="2">
        <v>220000</v>
      </c>
      <c r="F5420" t="s">
        <v>4567</v>
      </c>
      <c r="G5420" s="17" t="str">
        <f>HYPERLINK("https://www.washoecounty.gov/assessor/cama/?command=sales&amp;parid=16124117","3846470")</f>
        <v>3846470</v>
      </c>
      <c r="H5420" t="s">
        <v>156</v>
      </c>
      <c r="I5420">
        <v>2003</v>
      </c>
      <c r="J5420">
        <v>2003</v>
      </c>
      <c r="K5420" t="s">
        <v>4554</v>
      </c>
      <c r="L5420" t="s">
        <v>4555</v>
      </c>
      <c r="M5420" s="2">
        <v>1593</v>
      </c>
      <c r="N5420" t="s">
        <v>5280</v>
      </c>
      <c r="O5420">
        <v>3</v>
      </c>
      <c r="P5420">
        <v>2</v>
      </c>
      <c r="Q5420">
        <v>0</v>
      </c>
      <c r="R5420" t="s">
        <v>4557</v>
      </c>
      <c r="S5420" t="s">
        <v>4898</v>
      </c>
      <c r="T5420" t="s">
        <v>2704</v>
      </c>
      <c r="U5420" t="s">
        <v>4560</v>
      </c>
      <c r="V5420" s="2">
        <v>540</v>
      </c>
      <c r="W5420" t="s">
        <v>4655</v>
      </c>
      <c r="X5420" s="2">
        <v>0</v>
      </c>
      <c r="Y5420">
        <v>20</v>
      </c>
      <c r="Z5420" t="s">
        <v>1491</v>
      </c>
      <c r="AA5420" s="3">
        <v>0.16983471810817699</v>
      </c>
      <c r="AB5420" t="s">
        <v>27322</v>
      </c>
      <c r="AC5420" t="s">
        <v>4562</v>
      </c>
      <c r="AD5420" t="s">
        <v>27321</v>
      </c>
      <c r="AE5420" t="s">
        <v>4655</v>
      </c>
      <c r="AF5420" t="s">
        <v>4563</v>
      </c>
      <c r="AG5420" t="s">
        <v>4564</v>
      </c>
      <c r="AH5420" t="s">
        <v>5197</v>
      </c>
      <c r="AI5420" t="s">
        <v>27323</v>
      </c>
      <c r="AJ5420" t="s">
        <v>640</v>
      </c>
      <c r="AK5420" t="s">
        <v>27324</v>
      </c>
      <c r="AL5420" s="13" t="s">
        <v>2257</v>
      </c>
      <c r="AM5420">
        <v>1</v>
      </c>
      <c r="AN5420" s="15" t="s">
        <v>532</v>
      </c>
    </row>
    <row r="5421" spans="1:40" x14ac:dyDescent="0.3">
      <c r="A5421" s="10" t="str">
        <f>HYPERLINK("http://www.washoecounty.gov/assessor/cama/?parid=161-241-22&amp;CardNumber=1","161-241-22")</f>
        <v>161-241-22</v>
      </c>
      <c r="B5421" t="s">
        <v>4655</v>
      </c>
      <c r="C5421" t="s">
        <v>27325</v>
      </c>
      <c r="D5421" s="1">
        <v>40245</v>
      </c>
      <c r="E5421" s="2">
        <v>224000</v>
      </c>
      <c r="F5421" t="s">
        <v>4567</v>
      </c>
      <c r="G5421" s="17" t="str">
        <f>HYPERLINK("https://www.washoecounty.gov/assessor/cama/?command=sales&amp;parid=16124122","3857115")</f>
        <v>3857115</v>
      </c>
      <c r="H5421" t="s">
        <v>156</v>
      </c>
      <c r="I5421">
        <v>2004</v>
      </c>
      <c r="J5421">
        <v>2004</v>
      </c>
      <c r="K5421" t="s">
        <v>4554</v>
      </c>
      <c r="L5421" t="s">
        <v>4555</v>
      </c>
      <c r="M5421" s="2">
        <v>1443</v>
      </c>
      <c r="N5421" t="s">
        <v>5280</v>
      </c>
      <c r="O5421">
        <v>3</v>
      </c>
      <c r="P5421">
        <v>2</v>
      </c>
      <c r="Q5421">
        <v>0</v>
      </c>
      <c r="R5421" t="s">
        <v>5281</v>
      </c>
      <c r="S5421" t="s">
        <v>4898</v>
      </c>
      <c r="T5421" t="s">
        <v>2704</v>
      </c>
      <c r="U5421" t="s">
        <v>4560</v>
      </c>
      <c r="V5421" s="2">
        <v>484</v>
      </c>
      <c r="W5421" t="s">
        <v>4655</v>
      </c>
      <c r="X5421" s="2">
        <v>0</v>
      </c>
      <c r="Y5421">
        <v>20</v>
      </c>
      <c r="Z5421" t="s">
        <v>1491</v>
      </c>
      <c r="AA5421" s="3">
        <v>0.24859963357448578</v>
      </c>
      <c r="AB5421" t="s">
        <v>27326</v>
      </c>
      <c r="AC5421" t="s">
        <v>4562</v>
      </c>
      <c r="AD5421" t="s">
        <v>27325</v>
      </c>
      <c r="AE5421" t="s">
        <v>4655</v>
      </c>
      <c r="AF5421" t="s">
        <v>4563</v>
      </c>
      <c r="AG5421" t="s">
        <v>4564</v>
      </c>
      <c r="AH5421" t="s">
        <v>5197</v>
      </c>
      <c r="AI5421" t="s">
        <v>27327</v>
      </c>
      <c r="AJ5421" t="s">
        <v>640</v>
      </c>
      <c r="AK5421" t="s">
        <v>27328</v>
      </c>
      <c r="AL5421" s="13" t="s">
        <v>2257</v>
      </c>
      <c r="AM5421" s="14">
        <v>1</v>
      </c>
      <c r="AN5421" s="15" t="s">
        <v>532</v>
      </c>
    </row>
    <row r="5422" spans="1:40" x14ac:dyDescent="0.3">
      <c r="A5422" s="10" t="str">
        <f>HYPERLINK("http://www.washoecounty.gov/assessor/cama/?parid=161-241-36&amp;CardNumber=1","161-241-36")</f>
        <v>161-241-36</v>
      </c>
      <c r="B5422" t="s">
        <v>4655</v>
      </c>
      <c r="C5422" t="s">
        <v>27329</v>
      </c>
      <c r="D5422" s="1">
        <v>40420</v>
      </c>
      <c r="E5422" s="2">
        <v>223000</v>
      </c>
      <c r="F5422" t="s">
        <v>4567</v>
      </c>
      <c r="G5422" s="17" t="str">
        <f>HYPERLINK("https://www.washoecounty.gov/assessor/cama/?command=sales&amp;parid=16124136","3916921")</f>
        <v>3916921</v>
      </c>
      <c r="H5422" t="s">
        <v>156</v>
      </c>
      <c r="I5422">
        <v>2004</v>
      </c>
      <c r="J5422">
        <v>2004</v>
      </c>
      <c r="K5422" t="s">
        <v>4554</v>
      </c>
      <c r="L5422" t="s">
        <v>4555</v>
      </c>
      <c r="M5422" s="2">
        <v>1667</v>
      </c>
      <c r="N5422" t="s">
        <v>5280</v>
      </c>
      <c r="O5422">
        <v>3</v>
      </c>
      <c r="P5422">
        <v>2</v>
      </c>
      <c r="Q5422">
        <v>0</v>
      </c>
      <c r="R5422" t="s">
        <v>5281</v>
      </c>
      <c r="S5422" t="s">
        <v>4898</v>
      </c>
      <c r="T5422" t="s">
        <v>2704</v>
      </c>
      <c r="U5422" t="s">
        <v>4560</v>
      </c>
      <c r="V5422" s="2">
        <v>484</v>
      </c>
      <c r="W5422" t="s">
        <v>4655</v>
      </c>
      <c r="X5422" s="2">
        <v>0</v>
      </c>
      <c r="Y5422">
        <v>20</v>
      </c>
      <c r="Z5422" t="s">
        <v>1491</v>
      </c>
      <c r="AA5422" s="3">
        <v>0.16971991956233978</v>
      </c>
      <c r="AB5422" t="s">
        <v>27330</v>
      </c>
      <c r="AC5422" t="s">
        <v>4562</v>
      </c>
      <c r="AD5422" t="s">
        <v>27331</v>
      </c>
      <c r="AE5422" t="s">
        <v>27332</v>
      </c>
      <c r="AF5422" t="s">
        <v>3114</v>
      </c>
      <c r="AG5422" t="s">
        <v>4564</v>
      </c>
      <c r="AH5422">
        <v>89503</v>
      </c>
      <c r="AI5422" t="s">
        <v>27333</v>
      </c>
      <c r="AJ5422" t="s">
        <v>640</v>
      </c>
      <c r="AK5422" t="s">
        <v>27334</v>
      </c>
      <c r="AL5422" s="13" t="s">
        <v>2257</v>
      </c>
      <c r="AM5422">
        <v>1</v>
      </c>
      <c r="AN5422" s="15" t="s">
        <v>532</v>
      </c>
    </row>
    <row r="5423" spans="1:40" x14ac:dyDescent="0.3">
      <c r="A5423" s="10" t="str">
        <f>HYPERLINK("http://www.washoecounty.gov/assessor/cama/?parid=161-262-05&amp;CardNumber=1","161-262-05")</f>
        <v>161-262-05</v>
      </c>
      <c r="B5423" t="s">
        <v>4655</v>
      </c>
      <c r="C5423" t="s">
        <v>27335</v>
      </c>
      <c r="D5423" s="1">
        <v>40385</v>
      </c>
      <c r="E5423" s="2">
        <v>205000</v>
      </c>
      <c r="F5423" t="s">
        <v>4567</v>
      </c>
      <c r="G5423" s="17" t="str">
        <f>HYPERLINK("https://www.washoecounty.gov/assessor/cama/?command=sales&amp;parid=16126205","3905029")</f>
        <v>3905029</v>
      </c>
      <c r="H5423" t="s">
        <v>4102</v>
      </c>
      <c r="I5423">
        <v>2004</v>
      </c>
      <c r="J5423">
        <v>2004</v>
      </c>
      <c r="K5423" t="s">
        <v>4554</v>
      </c>
      <c r="L5423" t="s">
        <v>3974</v>
      </c>
      <c r="M5423" s="2">
        <v>2092</v>
      </c>
      <c r="N5423" t="s">
        <v>5280</v>
      </c>
      <c r="O5423">
        <v>2</v>
      </c>
      <c r="P5423">
        <v>2</v>
      </c>
      <c r="Q5423">
        <v>1</v>
      </c>
      <c r="R5423" t="s">
        <v>5281</v>
      </c>
      <c r="S5423" t="s">
        <v>4898</v>
      </c>
      <c r="T5423" t="s">
        <v>2704</v>
      </c>
      <c r="U5423" t="s">
        <v>5631</v>
      </c>
      <c r="V5423" s="2">
        <v>491</v>
      </c>
      <c r="W5423" t="s">
        <v>4655</v>
      </c>
      <c r="X5423" s="2">
        <v>0</v>
      </c>
      <c r="Y5423">
        <v>20</v>
      </c>
      <c r="Z5423" t="s">
        <v>1491</v>
      </c>
      <c r="AA5423" s="3">
        <v>0.110537193715572</v>
      </c>
      <c r="AB5423" t="s">
        <v>27336</v>
      </c>
      <c r="AC5423" t="s">
        <v>4562</v>
      </c>
      <c r="AD5423" t="s">
        <v>27335</v>
      </c>
      <c r="AE5423" t="s">
        <v>4655</v>
      </c>
      <c r="AF5423" t="s">
        <v>4563</v>
      </c>
      <c r="AG5423" t="s">
        <v>4564</v>
      </c>
      <c r="AH5423" t="s">
        <v>5197</v>
      </c>
      <c r="AI5423" t="s">
        <v>27337</v>
      </c>
      <c r="AJ5423" t="s">
        <v>4103</v>
      </c>
      <c r="AK5423" t="s">
        <v>27338</v>
      </c>
      <c r="AL5423" s="13" t="s">
        <v>2257</v>
      </c>
      <c r="AM5423">
        <v>1</v>
      </c>
      <c r="AN5423" s="15" t="s">
        <v>532</v>
      </c>
    </row>
    <row r="5424" spans="1:40" x14ac:dyDescent="0.3">
      <c r="A5424" s="10" t="str">
        <f>HYPERLINK("http://www.washoecounty.gov/assessor/cama/?parid=161-262-08&amp;CardNumber=1","161-262-08")</f>
        <v>161-262-08</v>
      </c>
      <c r="B5424" t="s">
        <v>4655</v>
      </c>
      <c r="C5424" t="s">
        <v>27339</v>
      </c>
      <c r="D5424" s="1">
        <v>40351</v>
      </c>
      <c r="E5424" s="2">
        <v>220000</v>
      </c>
      <c r="F5424" t="s">
        <v>4567</v>
      </c>
      <c r="G5424" s="17" t="str">
        <f>HYPERLINK("https://www.washoecounty.gov/assessor/cama/?command=sales&amp;parid=16126208","3894163")</f>
        <v>3894163</v>
      </c>
      <c r="H5424" t="s">
        <v>4102</v>
      </c>
      <c r="I5424">
        <v>2004</v>
      </c>
      <c r="J5424">
        <v>2004</v>
      </c>
      <c r="K5424" t="s">
        <v>4554</v>
      </c>
      <c r="L5424" t="s">
        <v>3974</v>
      </c>
      <c r="M5424" s="2">
        <v>2309</v>
      </c>
      <c r="N5424" t="s">
        <v>5280</v>
      </c>
      <c r="O5424">
        <v>4</v>
      </c>
      <c r="P5424">
        <v>3</v>
      </c>
      <c r="Q5424">
        <v>0</v>
      </c>
      <c r="R5424" t="s">
        <v>5281</v>
      </c>
      <c r="S5424" t="s">
        <v>4898</v>
      </c>
      <c r="T5424" t="s">
        <v>2704</v>
      </c>
      <c r="U5424" t="s">
        <v>5631</v>
      </c>
      <c r="V5424" s="2">
        <v>420</v>
      </c>
      <c r="W5424" t="s">
        <v>4655</v>
      </c>
      <c r="X5424" s="2">
        <v>0</v>
      </c>
      <c r="Y5424">
        <v>20</v>
      </c>
      <c r="Z5424" t="s">
        <v>1491</v>
      </c>
      <c r="AA5424" s="3">
        <v>0.110537193715572</v>
      </c>
      <c r="AB5424" t="s">
        <v>27340</v>
      </c>
      <c r="AC5424" t="s">
        <v>4575</v>
      </c>
      <c r="AD5424" t="s">
        <v>27341</v>
      </c>
      <c r="AE5424" t="s">
        <v>27342</v>
      </c>
      <c r="AF5424" t="s">
        <v>4563</v>
      </c>
      <c r="AG5424" t="s">
        <v>4564</v>
      </c>
      <c r="AH5424" t="s">
        <v>5197</v>
      </c>
      <c r="AI5424" t="s">
        <v>27343</v>
      </c>
      <c r="AJ5424" t="s">
        <v>4103</v>
      </c>
      <c r="AK5424" t="s">
        <v>27344</v>
      </c>
      <c r="AL5424" s="13" t="s">
        <v>2257</v>
      </c>
      <c r="AM5424" s="14">
        <v>1</v>
      </c>
      <c r="AN5424" s="15" t="s">
        <v>532</v>
      </c>
    </row>
    <row r="5425" spans="1:40" x14ac:dyDescent="0.3">
      <c r="A5425" s="10" t="str">
        <f>HYPERLINK("http://www.washoecounty.gov/assessor/cama/?parid=161-282-10&amp;CardNumber=1","161-282-10")</f>
        <v>161-282-10</v>
      </c>
      <c r="B5425" t="s">
        <v>4655</v>
      </c>
      <c r="C5425" t="s">
        <v>27345</v>
      </c>
      <c r="D5425" s="1">
        <v>40513</v>
      </c>
      <c r="E5425" s="2">
        <v>228000</v>
      </c>
      <c r="F5425" t="s">
        <v>4567</v>
      </c>
      <c r="G5425" s="17" t="str">
        <f>HYPERLINK("https://www.washoecounty.gov/assessor/cama/?command=sales&amp;parid=16128210","3948152")</f>
        <v>3948152</v>
      </c>
      <c r="H5425" t="s">
        <v>690</v>
      </c>
      <c r="I5425">
        <v>2005</v>
      </c>
      <c r="J5425">
        <v>2005</v>
      </c>
      <c r="K5425" t="s">
        <v>4554</v>
      </c>
      <c r="L5425" t="s">
        <v>4555</v>
      </c>
      <c r="M5425" s="2">
        <v>2234</v>
      </c>
      <c r="N5425" t="s">
        <v>5280</v>
      </c>
      <c r="O5425">
        <v>3</v>
      </c>
      <c r="P5425">
        <v>2</v>
      </c>
      <c r="Q5425">
        <v>0</v>
      </c>
      <c r="R5425" t="s">
        <v>5281</v>
      </c>
      <c r="S5425" t="s">
        <v>4898</v>
      </c>
      <c r="T5425" t="s">
        <v>2704</v>
      </c>
      <c r="U5425" t="s">
        <v>4560</v>
      </c>
      <c r="V5425" s="2">
        <v>592</v>
      </c>
      <c r="W5425" t="s">
        <v>4655</v>
      </c>
      <c r="X5425" s="2">
        <v>0</v>
      </c>
      <c r="Y5425">
        <v>20</v>
      </c>
      <c r="Z5425" t="s">
        <v>1491</v>
      </c>
      <c r="AA5425" s="3">
        <v>0.16586317121982599</v>
      </c>
      <c r="AB5425" t="s">
        <v>27346</v>
      </c>
      <c r="AC5425" t="s">
        <v>4562</v>
      </c>
      <c r="AD5425" t="s">
        <v>27345</v>
      </c>
      <c r="AE5425" t="s">
        <v>4655</v>
      </c>
      <c r="AF5425" t="s">
        <v>4563</v>
      </c>
      <c r="AG5425" t="s">
        <v>4564</v>
      </c>
      <c r="AH5425" t="s">
        <v>5197</v>
      </c>
      <c r="AI5425" t="s">
        <v>27347</v>
      </c>
      <c r="AJ5425" t="s">
        <v>691</v>
      </c>
      <c r="AK5425" t="s">
        <v>27348</v>
      </c>
      <c r="AL5425" s="13" t="s">
        <v>2257</v>
      </c>
      <c r="AM5425">
        <v>1</v>
      </c>
      <c r="AN5425" s="15" t="s">
        <v>532</v>
      </c>
    </row>
    <row r="5426" spans="1:40" x14ac:dyDescent="0.3">
      <c r="A5426" s="10" t="str">
        <f>HYPERLINK("http://www.washoecounty.gov/assessor/cama/?parid=161-286-02&amp;CardNumber=1","161-286-02")</f>
        <v>161-286-02</v>
      </c>
      <c r="B5426" t="s">
        <v>4655</v>
      </c>
      <c r="C5426" t="s">
        <v>27349</v>
      </c>
      <c r="D5426" s="1">
        <v>40403</v>
      </c>
      <c r="E5426" s="2">
        <v>255000</v>
      </c>
      <c r="F5426" t="s">
        <v>4567</v>
      </c>
      <c r="G5426" s="17" t="str">
        <f>HYPERLINK("https://www.washoecounty.gov/assessor/cama/?command=sales&amp;parid=16128602","3912015")</f>
        <v>3912015</v>
      </c>
      <c r="H5426" t="s">
        <v>690</v>
      </c>
      <c r="I5426">
        <v>2005</v>
      </c>
      <c r="J5426">
        <v>2005</v>
      </c>
      <c r="K5426" t="s">
        <v>4554</v>
      </c>
      <c r="L5426" t="s">
        <v>4555</v>
      </c>
      <c r="M5426" s="2">
        <v>2068</v>
      </c>
      <c r="N5426" t="s">
        <v>5280</v>
      </c>
      <c r="O5426">
        <v>3</v>
      </c>
      <c r="P5426">
        <v>2</v>
      </c>
      <c r="Q5426">
        <v>0</v>
      </c>
      <c r="R5426" t="s">
        <v>5281</v>
      </c>
      <c r="S5426" t="s">
        <v>4898</v>
      </c>
      <c r="T5426" t="s">
        <v>2704</v>
      </c>
      <c r="U5426" t="s">
        <v>4560</v>
      </c>
      <c r="V5426" s="2">
        <v>615</v>
      </c>
      <c r="W5426" t="s">
        <v>4655</v>
      </c>
      <c r="X5426" s="2">
        <v>0</v>
      </c>
      <c r="Y5426">
        <v>20</v>
      </c>
      <c r="Z5426" t="s">
        <v>1491</v>
      </c>
      <c r="AA5426" s="3">
        <v>0.17100550234317799</v>
      </c>
      <c r="AB5426" t="s">
        <v>27350</v>
      </c>
      <c r="AC5426" t="s">
        <v>4562</v>
      </c>
      <c r="AD5426" t="s">
        <v>27351</v>
      </c>
      <c r="AE5426" t="s">
        <v>4655</v>
      </c>
      <c r="AF5426" t="s">
        <v>4563</v>
      </c>
      <c r="AG5426" t="s">
        <v>4564</v>
      </c>
      <c r="AH5426">
        <v>89511</v>
      </c>
      <c r="AI5426" t="s">
        <v>4655</v>
      </c>
      <c r="AJ5426" t="s">
        <v>691</v>
      </c>
      <c r="AK5426" t="s">
        <v>27352</v>
      </c>
      <c r="AL5426" s="13" t="s">
        <v>2257</v>
      </c>
      <c r="AM5426">
        <v>1</v>
      </c>
      <c r="AN5426" s="15" t="s">
        <v>532</v>
      </c>
    </row>
    <row r="5427" spans="1:40" x14ac:dyDescent="0.3">
      <c r="A5427" s="10" t="str">
        <f>HYPERLINK("http://www.washoecounty.gov/assessor/cama/?parid=161-292-01&amp;CardNumber=1","161-292-01")</f>
        <v>161-292-01</v>
      </c>
      <c r="B5427" t="s">
        <v>4655</v>
      </c>
      <c r="C5427" t="s">
        <v>27353</v>
      </c>
      <c r="D5427" s="1">
        <v>40357</v>
      </c>
      <c r="E5427" s="2">
        <v>178000</v>
      </c>
      <c r="F5427" t="s">
        <v>4567</v>
      </c>
      <c r="G5427" s="17" t="str">
        <f>HYPERLINK("https://www.washoecounty.gov/assessor/cama/?command=sales&amp;parid=16129201","3896025")</f>
        <v>3896025</v>
      </c>
      <c r="H5427" t="s">
        <v>1156</v>
      </c>
      <c r="I5427">
        <v>2005</v>
      </c>
      <c r="J5427">
        <v>2005</v>
      </c>
      <c r="K5427" t="s">
        <v>4554</v>
      </c>
      <c r="L5427" t="s">
        <v>4555</v>
      </c>
      <c r="M5427" s="2">
        <v>1261</v>
      </c>
      <c r="N5427" t="s">
        <v>5280</v>
      </c>
      <c r="O5427">
        <v>3</v>
      </c>
      <c r="P5427">
        <v>2</v>
      </c>
      <c r="Q5427">
        <v>0</v>
      </c>
      <c r="R5427" t="s">
        <v>5281</v>
      </c>
      <c r="S5427" t="s">
        <v>4898</v>
      </c>
      <c r="T5427" t="s">
        <v>2704</v>
      </c>
      <c r="U5427" t="s">
        <v>4560</v>
      </c>
      <c r="V5427" s="2">
        <v>409</v>
      </c>
      <c r="W5427" t="s">
        <v>4655</v>
      </c>
      <c r="X5427" s="2">
        <v>0</v>
      </c>
      <c r="Y5427">
        <v>20</v>
      </c>
      <c r="Z5427" t="s">
        <v>1491</v>
      </c>
      <c r="AA5427" s="3">
        <v>0.160009175539017</v>
      </c>
      <c r="AB5427" t="s">
        <v>27354</v>
      </c>
      <c r="AC5427" t="s">
        <v>4562</v>
      </c>
      <c r="AD5427" t="s">
        <v>27353</v>
      </c>
      <c r="AE5427" t="s">
        <v>4655</v>
      </c>
      <c r="AF5427" t="s">
        <v>4563</v>
      </c>
      <c r="AG5427" t="s">
        <v>4564</v>
      </c>
      <c r="AH5427" t="s">
        <v>5197</v>
      </c>
      <c r="AI5427" t="s">
        <v>27355</v>
      </c>
      <c r="AJ5427" t="s">
        <v>1157</v>
      </c>
      <c r="AK5427" t="s">
        <v>27356</v>
      </c>
      <c r="AL5427" s="13" t="s">
        <v>2257</v>
      </c>
      <c r="AM5427">
        <v>1</v>
      </c>
      <c r="AN5427" s="15" t="s">
        <v>532</v>
      </c>
    </row>
    <row r="5428" spans="1:40" x14ac:dyDescent="0.3">
      <c r="A5428" s="10" t="str">
        <f>HYPERLINK("http://www.washoecounty.gov/assessor/cama/?parid=161-293-05&amp;CardNumber=1","161-293-05")</f>
        <v>161-293-05</v>
      </c>
      <c r="B5428" t="s">
        <v>4655</v>
      </c>
      <c r="C5428" t="s">
        <v>27357</v>
      </c>
      <c r="D5428" s="1">
        <v>40415</v>
      </c>
      <c r="E5428" s="2">
        <v>200000</v>
      </c>
      <c r="F5428" t="s">
        <v>4567</v>
      </c>
      <c r="G5428" s="17" t="str">
        <f>HYPERLINK("https://www.washoecounty.gov/assessor/cama/?command=sales&amp;parid=16129305","3915455")</f>
        <v>3915455</v>
      </c>
      <c r="H5428" t="s">
        <v>1156</v>
      </c>
      <c r="I5428">
        <v>2005</v>
      </c>
      <c r="J5428">
        <v>2005</v>
      </c>
      <c r="K5428" t="s">
        <v>4554</v>
      </c>
      <c r="L5428" t="s">
        <v>4555</v>
      </c>
      <c r="M5428" s="2">
        <v>1593</v>
      </c>
      <c r="N5428" t="s">
        <v>5280</v>
      </c>
      <c r="O5428">
        <v>3</v>
      </c>
      <c r="P5428">
        <v>2</v>
      </c>
      <c r="Q5428">
        <v>0</v>
      </c>
      <c r="R5428" t="s">
        <v>5281</v>
      </c>
      <c r="S5428" t="s">
        <v>4898</v>
      </c>
      <c r="T5428" t="s">
        <v>2704</v>
      </c>
      <c r="U5428" t="s">
        <v>4560</v>
      </c>
      <c r="V5428" s="2">
        <v>540</v>
      </c>
      <c r="W5428" t="s">
        <v>4655</v>
      </c>
      <c r="X5428" s="2">
        <v>0</v>
      </c>
      <c r="Y5428">
        <v>20</v>
      </c>
      <c r="Z5428" t="s">
        <v>1491</v>
      </c>
      <c r="AA5428" s="3">
        <v>0.20369605720043199</v>
      </c>
      <c r="AB5428" t="s">
        <v>27358</v>
      </c>
      <c r="AC5428" t="s">
        <v>4562</v>
      </c>
      <c r="AD5428" t="s">
        <v>27357</v>
      </c>
      <c r="AE5428" t="s">
        <v>4655</v>
      </c>
      <c r="AF5428" t="s">
        <v>4563</v>
      </c>
      <c r="AG5428" t="s">
        <v>4564</v>
      </c>
      <c r="AH5428" t="s">
        <v>5197</v>
      </c>
      <c r="AI5428" t="s">
        <v>27359</v>
      </c>
      <c r="AJ5428" t="s">
        <v>1157</v>
      </c>
      <c r="AK5428" t="s">
        <v>27360</v>
      </c>
      <c r="AL5428" s="13" t="s">
        <v>2257</v>
      </c>
      <c r="AM5428">
        <v>1</v>
      </c>
      <c r="AN5428" s="15" t="s">
        <v>532</v>
      </c>
    </row>
    <row r="5429" spans="1:40" x14ac:dyDescent="0.3">
      <c r="A5429" s="10" t="str">
        <f>HYPERLINK("http://www.washoecounty.gov/assessor/cama/?parid=161-293-11&amp;CardNumber=1","161-293-11")</f>
        <v>161-293-11</v>
      </c>
      <c r="B5429" t="s">
        <v>4655</v>
      </c>
      <c r="C5429" t="s">
        <v>27361</v>
      </c>
      <c r="D5429" s="1">
        <v>40514</v>
      </c>
      <c r="E5429" s="2">
        <v>160000</v>
      </c>
      <c r="F5429" t="s">
        <v>4553</v>
      </c>
      <c r="G5429" s="17" t="str">
        <f>HYPERLINK("https://www.washoecounty.gov/assessor/cama/?command=sales&amp;parid=16129311","3948865")</f>
        <v>3948865</v>
      </c>
      <c r="H5429" t="s">
        <v>27362</v>
      </c>
      <c r="I5429">
        <v>2005</v>
      </c>
      <c r="J5429">
        <v>2005</v>
      </c>
      <c r="K5429" t="s">
        <v>4554</v>
      </c>
      <c r="L5429" t="s">
        <v>4555</v>
      </c>
      <c r="M5429" s="2">
        <v>1261</v>
      </c>
      <c r="N5429" t="s">
        <v>5280</v>
      </c>
      <c r="O5429">
        <v>3</v>
      </c>
      <c r="P5429">
        <v>2</v>
      </c>
      <c r="Q5429">
        <v>0</v>
      </c>
      <c r="R5429" t="s">
        <v>5281</v>
      </c>
      <c r="S5429" t="s">
        <v>4898</v>
      </c>
      <c r="T5429" t="s">
        <v>2704</v>
      </c>
      <c r="U5429" t="s">
        <v>4560</v>
      </c>
      <c r="V5429" s="2">
        <v>409</v>
      </c>
      <c r="W5429" t="s">
        <v>4655</v>
      </c>
      <c r="X5429" s="2">
        <v>0</v>
      </c>
      <c r="Y5429">
        <v>20</v>
      </c>
      <c r="Z5429" t="s">
        <v>1491</v>
      </c>
      <c r="AA5429" s="3">
        <v>0.13533057272434201</v>
      </c>
      <c r="AB5429" t="s">
        <v>27363</v>
      </c>
      <c r="AC5429" t="s">
        <v>4562</v>
      </c>
      <c r="AD5429" t="s">
        <v>27361</v>
      </c>
      <c r="AE5429" t="s">
        <v>4655</v>
      </c>
      <c r="AF5429" t="s">
        <v>4563</v>
      </c>
      <c r="AG5429" t="s">
        <v>4564</v>
      </c>
      <c r="AH5429" t="s">
        <v>5197</v>
      </c>
      <c r="AI5429" t="s">
        <v>4145</v>
      </c>
      <c r="AJ5429" t="s">
        <v>1157</v>
      </c>
      <c r="AK5429" t="s">
        <v>27364</v>
      </c>
      <c r="AL5429" s="13" t="s">
        <v>2257</v>
      </c>
      <c r="AM5429">
        <v>1</v>
      </c>
      <c r="AN5429" s="15" t="s">
        <v>532</v>
      </c>
    </row>
    <row r="5430" spans="1:40" x14ac:dyDescent="0.3">
      <c r="A5430" s="10" t="str">
        <f>HYPERLINK("http://www.washoecounty.gov/assessor/cama/?parid=161-294-06&amp;CardNumber=1","161-294-06")</f>
        <v>161-294-06</v>
      </c>
      <c r="B5430" t="s">
        <v>4655</v>
      </c>
      <c r="C5430" t="s">
        <v>27365</v>
      </c>
      <c r="D5430" s="1">
        <v>40249</v>
      </c>
      <c r="E5430" s="2">
        <v>200000</v>
      </c>
      <c r="F5430" t="s">
        <v>4567</v>
      </c>
      <c r="G5430" s="17" t="str">
        <f>HYPERLINK("https://www.washoecounty.gov/assessor/cama/?command=sales&amp;parid=16129406","3859008")</f>
        <v>3859008</v>
      </c>
      <c r="H5430" t="s">
        <v>1156</v>
      </c>
      <c r="I5430">
        <v>2005</v>
      </c>
      <c r="J5430">
        <v>2005</v>
      </c>
      <c r="K5430" t="s">
        <v>4554</v>
      </c>
      <c r="L5430" t="s">
        <v>4555</v>
      </c>
      <c r="M5430" s="2">
        <v>1593</v>
      </c>
      <c r="N5430" t="s">
        <v>5280</v>
      </c>
      <c r="O5430">
        <v>3</v>
      </c>
      <c r="P5430">
        <v>2</v>
      </c>
      <c r="Q5430">
        <v>0</v>
      </c>
      <c r="R5430" t="s">
        <v>5281</v>
      </c>
      <c r="S5430" t="s">
        <v>4898</v>
      </c>
      <c r="T5430" t="s">
        <v>2704</v>
      </c>
      <c r="U5430" t="s">
        <v>4560</v>
      </c>
      <c r="V5430" s="2">
        <v>540</v>
      </c>
      <c r="W5430" t="s">
        <v>4655</v>
      </c>
      <c r="X5430" s="2">
        <v>0</v>
      </c>
      <c r="Y5430">
        <v>20</v>
      </c>
      <c r="Z5430" t="s">
        <v>1491</v>
      </c>
      <c r="AA5430" s="3">
        <v>0.19173553586006201</v>
      </c>
      <c r="AB5430" t="s">
        <v>26548</v>
      </c>
      <c r="AC5430" t="s">
        <v>4575</v>
      </c>
      <c r="AD5430" t="s">
        <v>26549</v>
      </c>
      <c r="AE5430" t="s">
        <v>4655</v>
      </c>
      <c r="AF5430" t="s">
        <v>4563</v>
      </c>
      <c r="AG5430" t="s">
        <v>4564</v>
      </c>
      <c r="AH5430">
        <v>89511</v>
      </c>
      <c r="AI5430" t="s">
        <v>26550</v>
      </c>
      <c r="AJ5430" t="s">
        <v>1157</v>
      </c>
      <c r="AK5430" t="s">
        <v>27366</v>
      </c>
      <c r="AL5430" s="13" t="s">
        <v>2257</v>
      </c>
      <c r="AM5430">
        <v>1</v>
      </c>
      <c r="AN5430" s="15" t="s">
        <v>532</v>
      </c>
    </row>
    <row r="5431" spans="1:40" x14ac:dyDescent="0.3">
      <c r="A5431" s="10" t="str">
        <f>HYPERLINK("http://www.washoecounty.gov/assessor/cama/?parid=161-302-09&amp;CardNumber=1","161-302-09")</f>
        <v>161-302-09</v>
      </c>
      <c r="B5431" t="s">
        <v>4655</v>
      </c>
      <c r="C5431" t="s">
        <v>27367</v>
      </c>
      <c r="D5431" s="1">
        <v>40421</v>
      </c>
      <c r="E5431" s="2">
        <v>220000</v>
      </c>
      <c r="F5431" t="s">
        <v>4553</v>
      </c>
      <c r="G5431" s="17" t="str">
        <f>HYPERLINK("https://www.washoecounty.gov/assessor/cama/?command=sales&amp;parid=16130209","3917435")</f>
        <v>3917435</v>
      </c>
      <c r="H5431" t="s">
        <v>1156</v>
      </c>
      <c r="I5431">
        <v>2004</v>
      </c>
      <c r="J5431">
        <v>2004</v>
      </c>
      <c r="K5431" t="s">
        <v>4554</v>
      </c>
      <c r="L5431" t="s">
        <v>4555</v>
      </c>
      <c r="M5431" s="2">
        <v>1777</v>
      </c>
      <c r="N5431" t="s">
        <v>5280</v>
      </c>
      <c r="O5431">
        <v>3</v>
      </c>
      <c r="P5431">
        <v>2</v>
      </c>
      <c r="Q5431">
        <v>0</v>
      </c>
      <c r="R5431" t="s">
        <v>5281</v>
      </c>
      <c r="S5431" t="s">
        <v>4898</v>
      </c>
      <c r="T5431" t="s">
        <v>2704</v>
      </c>
      <c r="U5431" t="s">
        <v>4560</v>
      </c>
      <c r="V5431" s="2">
        <v>625</v>
      </c>
      <c r="W5431" t="s">
        <v>4655</v>
      </c>
      <c r="X5431" s="2">
        <v>0</v>
      </c>
      <c r="Y5431">
        <v>20</v>
      </c>
      <c r="Z5431" t="s">
        <v>1491</v>
      </c>
      <c r="AA5431" s="3">
        <v>0.162121206521988</v>
      </c>
      <c r="AB5431" t="s">
        <v>27368</v>
      </c>
      <c r="AC5431" t="s">
        <v>4562</v>
      </c>
      <c r="AD5431" t="s">
        <v>27367</v>
      </c>
      <c r="AE5431" t="s">
        <v>4655</v>
      </c>
      <c r="AF5431" t="s">
        <v>4563</v>
      </c>
      <c r="AG5431" t="s">
        <v>4564</v>
      </c>
      <c r="AH5431" t="s">
        <v>5197</v>
      </c>
      <c r="AI5431" t="s">
        <v>27369</v>
      </c>
      <c r="AJ5431" t="s">
        <v>1157</v>
      </c>
      <c r="AK5431" t="s">
        <v>27370</v>
      </c>
      <c r="AL5431" s="13" t="s">
        <v>2257</v>
      </c>
      <c r="AM5431" s="14">
        <v>1</v>
      </c>
      <c r="AN5431" s="15" t="s">
        <v>532</v>
      </c>
    </row>
    <row r="5432" spans="1:40" x14ac:dyDescent="0.3">
      <c r="A5432" s="10" t="str">
        <f>HYPERLINK("http://www.washoecounty.gov/assessor/cama/?parid=161-303-08&amp;CardNumber=1","161-303-08")</f>
        <v>161-303-08</v>
      </c>
      <c r="B5432" t="s">
        <v>4655</v>
      </c>
      <c r="C5432" t="s">
        <v>27371</v>
      </c>
      <c r="D5432" s="1">
        <v>40539</v>
      </c>
      <c r="E5432" s="2">
        <v>239900</v>
      </c>
      <c r="F5432" t="s">
        <v>4553</v>
      </c>
      <c r="G5432" s="17" t="str">
        <f>HYPERLINK("https://www.washoecounty.gov/assessor/cama/?command=sales&amp;parid=16130308","3957612")</f>
        <v>3957612</v>
      </c>
      <c r="H5432" t="s">
        <v>1156</v>
      </c>
      <c r="I5432">
        <v>2004</v>
      </c>
      <c r="J5432">
        <v>2004</v>
      </c>
      <c r="K5432" t="s">
        <v>4554</v>
      </c>
      <c r="L5432" t="s">
        <v>4555</v>
      </c>
      <c r="M5432" s="2">
        <v>2068</v>
      </c>
      <c r="N5432" t="s">
        <v>5280</v>
      </c>
      <c r="O5432">
        <v>4</v>
      </c>
      <c r="P5432">
        <v>2</v>
      </c>
      <c r="Q5432">
        <v>0</v>
      </c>
      <c r="R5432" t="s">
        <v>5281</v>
      </c>
      <c r="S5432" t="s">
        <v>4898</v>
      </c>
      <c r="T5432" t="s">
        <v>2704</v>
      </c>
      <c r="U5432" t="s">
        <v>4560</v>
      </c>
      <c r="V5432" s="2">
        <v>615</v>
      </c>
      <c r="W5432" t="s">
        <v>4655</v>
      </c>
      <c r="X5432" s="2">
        <v>0</v>
      </c>
      <c r="Y5432">
        <v>20</v>
      </c>
      <c r="Z5432" t="s">
        <v>1491</v>
      </c>
      <c r="AA5432" s="3">
        <v>0.19237832725048101</v>
      </c>
      <c r="AB5432" t="s">
        <v>27372</v>
      </c>
      <c r="AC5432" t="s">
        <v>4562</v>
      </c>
      <c r="AD5432" t="s">
        <v>27371</v>
      </c>
      <c r="AE5432" t="s">
        <v>4655</v>
      </c>
      <c r="AF5432" t="s">
        <v>4563</v>
      </c>
      <c r="AG5432" t="s">
        <v>4564</v>
      </c>
      <c r="AH5432" t="s">
        <v>5197</v>
      </c>
      <c r="AI5432" t="s">
        <v>27373</v>
      </c>
      <c r="AJ5432" t="s">
        <v>1157</v>
      </c>
      <c r="AK5432" t="s">
        <v>27374</v>
      </c>
      <c r="AL5432" s="13" t="s">
        <v>2257</v>
      </c>
      <c r="AM5432">
        <v>1</v>
      </c>
      <c r="AN5432" s="15" t="s">
        <v>532</v>
      </c>
    </row>
    <row r="5433" spans="1:40" x14ac:dyDescent="0.3">
      <c r="A5433" s="10" t="str">
        <f>HYPERLINK("http://www.washoecounty.gov/assessor/cama/?parid=161-304-01&amp;CardNumber=1","161-304-01")</f>
        <v>161-304-01</v>
      </c>
      <c r="B5433" t="s">
        <v>4655</v>
      </c>
      <c r="C5433" t="s">
        <v>27375</v>
      </c>
      <c r="D5433" s="1">
        <v>40387</v>
      </c>
      <c r="E5433" s="2">
        <v>180000</v>
      </c>
      <c r="F5433" t="s">
        <v>4567</v>
      </c>
      <c r="G5433" s="17" t="str">
        <f>HYPERLINK("https://www.washoecounty.gov/assessor/cama/?command=sales&amp;parid=16130401","3906246")</f>
        <v>3906246</v>
      </c>
      <c r="H5433" t="s">
        <v>1156</v>
      </c>
      <c r="I5433">
        <v>2004</v>
      </c>
      <c r="J5433">
        <v>2004</v>
      </c>
      <c r="K5433" t="s">
        <v>4554</v>
      </c>
      <c r="L5433" t="s">
        <v>4555</v>
      </c>
      <c r="M5433" s="2">
        <v>1593</v>
      </c>
      <c r="N5433" t="s">
        <v>5280</v>
      </c>
      <c r="O5433">
        <v>3</v>
      </c>
      <c r="P5433">
        <v>2</v>
      </c>
      <c r="Q5433">
        <v>0</v>
      </c>
      <c r="R5433" t="s">
        <v>5281</v>
      </c>
      <c r="S5433" t="s">
        <v>4898</v>
      </c>
      <c r="T5433" t="s">
        <v>2704</v>
      </c>
      <c r="U5433" t="s">
        <v>4560</v>
      </c>
      <c r="V5433" s="2">
        <v>540</v>
      </c>
      <c r="W5433" t="s">
        <v>4655</v>
      </c>
      <c r="X5433" s="2">
        <v>0</v>
      </c>
      <c r="Y5433">
        <v>20</v>
      </c>
      <c r="Z5433" t="s">
        <v>1491</v>
      </c>
      <c r="AA5433" s="3">
        <v>0.19892102479934701</v>
      </c>
      <c r="AB5433" t="s">
        <v>24331</v>
      </c>
      <c r="AC5433" t="s">
        <v>4575</v>
      </c>
      <c r="AD5433" t="s">
        <v>3269</v>
      </c>
      <c r="AE5433" t="s">
        <v>4655</v>
      </c>
      <c r="AF5433" t="s">
        <v>4563</v>
      </c>
      <c r="AG5433" t="s">
        <v>4564</v>
      </c>
      <c r="AH5433">
        <v>89511</v>
      </c>
      <c r="AI5433" t="s">
        <v>24331</v>
      </c>
      <c r="AJ5433" t="s">
        <v>1157</v>
      </c>
      <c r="AK5433" t="s">
        <v>27376</v>
      </c>
      <c r="AL5433" s="13" t="s">
        <v>2257</v>
      </c>
      <c r="AM5433">
        <v>1</v>
      </c>
      <c r="AN5433" s="15" t="s">
        <v>532</v>
      </c>
    </row>
    <row r="5434" spans="1:40" x14ac:dyDescent="0.3">
      <c r="A5434" s="10" t="str">
        <f>HYPERLINK("http://www.washoecounty.gov/assessor/cama/?parid=161-304-15&amp;CardNumber=1","161-304-15")</f>
        <v>161-304-15</v>
      </c>
      <c r="B5434" t="s">
        <v>4655</v>
      </c>
      <c r="C5434" t="s">
        <v>27377</v>
      </c>
      <c r="D5434" s="1">
        <v>40302</v>
      </c>
      <c r="E5434" s="2">
        <v>225000</v>
      </c>
      <c r="F5434" t="s">
        <v>4567</v>
      </c>
      <c r="G5434" s="17" t="str">
        <f>HYPERLINK("https://www.washoecounty.gov/assessor/cama/?command=sales&amp;parid=16130415","3878029")</f>
        <v>3878029</v>
      </c>
      <c r="H5434" t="s">
        <v>1156</v>
      </c>
      <c r="I5434">
        <v>2004</v>
      </c>
      <c r="J5434">
        <v>2004</v>
      </c>
      <c r="K5434" t="s">
        <v>4554</v>
      </c>
      <c r="L5434" t="s">
        <v>4555</v>
      </c>
      <c r="M5434" s="2">
        <v>1443</v>
      </c>
      <c r="N5434" t="s">
        <v>5280</v>
      </c>
      <c r="O5434">
        <v>3</v>
      </c>
      <c r="P5434">
        <v>2</v>
      </c>
      <c r="Q5434">
        <v>0</v>
      </c>
      <c r="R5434" t="s">
        <v>5281</v>
      </c>
      <c r="S5434" t="s">
        <v>4898</v>
      </c>
      <c r="T5434" t="s">
        <v>2704</v>
      </c>
      <c r="U5434" t="s">
        <v>4560</v>
      </c>
      <c r="V5434" s="2">
        <v>484</v>
      </c>
      <c r="W5434" t="s">
        <v>4655</v>
      </c>
      <c r="X5434" s="2">
        <v>0</v>
      </c>
      <c r="Y5434">
        <v>20</v>
      </c>
      <c r="Z5434" t="s">
        <v>1491</v>
      </c>
      <c r="AA5434" s="3">
        <v>0.17449495196342468</v>
      </c>
      <c r="AB5434" t="s">
        <v>27378</v>
      </c>
      <c r="AC5434" t="s">
        <v>4562</v>
      </c>
      <c r="AD5434" t="s">
        <v>27377</v>
      </c>
      <c r="AE5434" t="s">
        <v>4655</v>
      </c>
      <c r="AF5434" t="s">
        <v>4563</v>
      </c>
      <c r="AG5434" t="s">
        <v>4564</v>
      </c>
      <c r="AH5434" t="s">
        <v>5197</v>
      </c>
      <c r="AI5434" t="s">
        <v>27379</v>
      </c>
      <c r="AJ5434" t="s">
        <v>1157</v>
      </c>
      <c r="AK5434" t="s">
        <v>27380</v>
      </c>
      <c r="AL5434" s="13" t="s">
        <v>2257</v>
      </c>
      <c r="AM5434" s="14">
        <v>1</v>
      </c>
      <c r="AN5434" s="15" t="s">
        <v>532</v>
      </c>
    </row>
    <row r="5435" spans="1:40" x14ac:dyDescent="0.3">
      <c r="A5435" s="10" t="str">
        <f>HYPERLINK("http://www.washoecounty.gov/assessor/cama/?parid=161-312-15&amp;CardNumber=1","161-312-15")</f>
        <v>161-312-15</v>
      </c>
      <c r="B5435" t="s">
        <v>4655</v>
      </c>
      <c r="C5435" t="s">
        <v>27381</v>
      </c>
      <c r="D5435" s="1">
        <v>40338</v>
      </c>
      <c r="E5435" s="2">
        <v>370000</v>
      </c>
      <c r="F5435" t="s">
        <v>4567</v>
      </c>
      <c r="G5435" s="17" t="str">
        <f>HYPERLINK("https://www.washoecounty.gov/assessor/cama/?command=sales&amp;parid=16131215","3889683")</f>
        <v>3889683</v>
      </c>
      <c r="H5435" t="s">
        <v>4615</v>
      </c>
      <c r="I5435">
        <v>2005</v>
      </c>
      <c r="J5435">
        <v>2005</v>
      </c>
      <c r="K5435" t="s">
        <v>4554</v>
      </c>
      <c r="L5435" t="s">
        <v>3974</v>
      </c>
      <c r="M5435" s="2">
        <v>3847</v>
      </c>
      <c r="N5435" t="s">
        <v>3147</v>
      </c>
      <c r="O5435">
        <v>4</v>
      </c>
      <c r="P5435">
        <v>4</v>
      </c>
      <c r="Q5435">
        <v>0</v>
      </c>
      <c r="R5435" t="s">
        <v>5281</v>
      </c>
      <c r="S5435" t="s">
        <v>4898</v>
      </c>
      <c r="T5435" t="s">
        <v>2704</v>
      </c>
      <c r="U5435" t="s">
        <v>4560</v>
      </c>
      <c r="V5435" s="2">
        <v>800</v>
      </c>
      <c r="W5435" t="s">
        <v>4655</v>
      </c>
      <c r="X5435" s="2">
        <v>0</v>
      </c>
      <c r="Y5435">
        <v>20</v>
      </c>
      <c r="Z5435" t="s">
        <v>1491</v>
      </c>
      <c r="AA5435" s="3">
        <v>0.28939393162727356</v>
      </c>
      <c r="AB5435" t="s">
        <v>27382</v>
      </c>
      <c r="AC5435" t="s">
        <v>4562</v>
      </c>
      <c r="AD5435" t="s">
        <v>27381</v>
      </c>
      <c r="AE5435" t="s">
        <v>4655</v>
      </c>
      <c r="AF5435" t="s">
        <v>4563</v>
      </c>
      <c r="AG5435" t="s">
        <v>4564</v>
      </c>
      <c r="AH5435" t="s">
        <v>5197</v>
      </c>
      <c r="AI5435" t="s">
        <v>4655</v>
      </c>
      <c r="AJ5435" t="s">
        <v>4616</v>
      </c>
      <c r="AK5435" t="s">
        <v>27383</v>
      </c>
      <c r="AL5435" s="13" t="s">
        <v>2257</v>
      </c>
      <c r="AM5435">
        <v>1</v>
      </c>
      <c r="AN5435" s="15" t="s">
        <v>3952</v>
      </c>
    </row>
    <row r="5436" spans="1:40" x14ac:dyDescent="0.3">
      <c r="A5436" s="10" t="str">
        <f>HYPERLINK("http://www.washoecounty.gov/assessor/cama/?parid=161-313-19&amp;CardNumber=1","161-313-19")</f>
        <v>161-313-19</v>
      </c>
      <c r="B5436" t="s">
        <v>4655</v>
      </c>
      <c r="C5436" t="s">
        <v>27384</v>
      </c>
      <c r="D5436" s="1">
        <v>40416</v>
      </c>
      <c r="E5436" s="2">
        <v>305000</v>
      </c>
      <c r="F5436" t="s">
        <v>4567</v>
      </c>
      <c r="G5436" s="17" t="str">
        <f>HYPERLINK("https://www.washoecounty.gov/assessor/cama/?command=sales&amp;parid=16131319","3916030")</f>
        <v>3916030</v>
      </c>
      <c r="H5436" t="s">
        <v>4615</v>
      </c>
      <c r="I5436">
        <v>2005</v>
      </c>
      <c r="J5436">
        <v>2005</v>
      </c>
      <c r="K5436" t="s">
        <v>4554</v>
      </c>
      <c r="L5436" t="s">
        <v>4555</v>
      </c>
      <c r="M5436" s="2">
        <v>2983</v>
      </c>
      <c r="N5436" t="s">
        <v>3147</v>
      </c>
      <c r="O5436">
        <v>4</v>
      </c>
      <c r="P5436">
        <v>3</v>
      </c>
      <c r="Q5436">
        <v>0</v>
      </c>
      <c r="R5436" t="s">
        <v>5281</v>
      </c>
      <c r="S5436" t="s">
        <v>4898</v>
      </c>
      <c r="T5436" t="s">
        <v>2704</v>
      </c>
      <c r="U5436" t="s">
        <v>4560</v>
      </c>
      <c r="V5436" s="2">
        <v>698</v>
      </c>
      <c r="W5436" t="s">
        <v>4655</v>
      </c>
      <c r="X5436" s="2">
        <v>0</v>
      </c>
      <c r="Y5436">
        <v>20</v>
      </c>
      <c r="Z5436" t="s">
        <v>1491</v>
      </c>
      <c r="AA5436" s="3">
        <v>0.193686872720718</v>
      </c>
      <c r="AB5436" t="s">
        <v>27385</v>
      </c>
      <c r="AC5436" t="s">
        <v>4575</v>
      </c>
      <c r="AD5436" t="s">
        <v>27384</v>
      </c>
      <c r="AE5436" t="s">
        <v>4655</v>
      </c>
      <c r="AF5436" t="s">
        <v>4563</v>
      </c>
      <c r="AG5436" t="s">
        <v>4564</v>
      </c>
      <c r="AH5436" t="s">
        <v>5197</v>
      </c>
      <c r="AI5436" t="s">
        <v>27386</v>
      </c>
      <c r="AJ5436" t="s">
        <v>4616</v>
      </c>
      <c r="AK5436" t="s">
        <v>27387</v>
      </c>
      <c r="AL5436" s="13" t="s">
        <v>2257</v>
      </c>
      <c r="AM5436">
        <v>1</v>
      </c>
      <c r="AN5436" s="15" t="s">
        <v>3952</v>
      </c>
    </row>
    <row r="5437" spans="1:40" x14ac:dyDescent="0.3">
      <c r="A5437" s="10" t="str">
        <f>HYPERLINK("http://www.washoecounty.gov/assessor/cama/?parid=161-321-01&amp;CardNumber=1","161-321-01")</f>
        <v>161-321-01</v>
      </c>
      <c r="B5437" t="s">
        <v>4655</v>
      </c>
      <c r="C5437" t="s">
        <v>27388</v>
      </c>
      <c r="D5437" s="1">
        <v>40506</v>
      </c>
      <c r="E5437" s="2">
        <v>319000</v>
      </c>
      <c r="F5437" t="s">
        <v>4553</v>
      </c>
      <c r="G5437" s="17" t="str">
        <f>HYPERLINK("https://www.washoecounty.gov/assessor/cama/?command=sales&amp;parid=16132101","3946828")</f>
        <v>3946828</v>
      </c>
      <c r="H5437" t="s">
        <v>4615</v>
      </c>
      <c r="I5437">
        <v>2005</v>
      </c>
      <c r="J5437">
        <v>2005</v>
      </c>
      <c r="K5437" t="s">
        <v>4554</v>
      </c>
      <c r="L5437" t="s">
        <v>3974</v>
      </c>
      <c r="M5437" s="2">
        <v>3240</v>
      </c>
      <c r="N5437" t="s">
        <v>3147</v>
      </c>
      <c r="O5437">
        <v>4</v>
      </c>
      <c r="P5437">
        <v>3</v>
      </c>
      <c r="Q5437">
        <v>0</v>
      </c>
      <c r="R5437" t="s">
        <v>5281</v>
      </c>
      <c r="S5437" t="s">
        <v>4898</v>
      </c>
      <c r="T5437" t="s">
        <v>2704</v>
      </c>
      <c r="U5437" t="s">
        <v>5631</v>
      </c>
      <c r="V5437" s="2">
        <v>726</v>
      </c>
      <c r="W5437" t="s">
        <v>4655</v>
      </c>
      <c r="X5437" s="2">
        <v>0</v>
      </c>
      <c r="Y5437">
        <v>20</v>
      </c>
      <c r="Z5437" t="s">
        <v>1491</v>
      </c>
      <c r="AA5437" s="3">
        <v>0.21572543680667899</v>
      </c>
      <c r="AB5437" t="s">
        <v>27389</v>
      </c>
      <c r="AC5437" t="s">
        <v>4562</v>
      </c>
      <c r="AD5437" t="s">
        <v>27388</v>
      </c>
      <c r="AE5437" t="s">
        <v>4655</v>
      </c>
      <c r="AF5437" t="s">
        <v>4563</v>
      </c>
      <c r="AG5437" t="s">
        <v>4564</v>
      </c>
      <c r="AH5437" t="s">
        <v>5197</v>
      </c>
      <c r="AI5437" t="s">
        <v>4903</v>
      </c>
      <c r="AJ5437" t="s">
        <v>4616</v>
      </c>
      <c r="AK5437" t="s">
        <v>27390</v>
      </c>
      <c r="AL5437" s="13" t="s">
        <v>2257</v>
      </c>
      <c r="AM5437">
        <v>1</v>
      </c>
      <c r="AN5437" s="15" t="s">
        <v>3952</v>
      </c>
    </row>
    <row r="5438" spans="1:40" x14ac:dyDescent="0.3">
      <c r="A5438" s="10" t="str">
        <f>HYPERLINK("http://www.washoecounty.gov/assessor/cama/?parid=161-323-09&amp;CardNumber=1","161-323-09")</f>
        <v>161-323-09</v>
      </c>
      <c r="B5438" t="s">
        <v>4655</v>
      </c>
      <c r="C5438" t="s">
        <v>27391</v>
      </c>
      <c r="D5438" s="1">
        <v>40396</v>
      </c>
      <c r="E5438" s="2">
        <v>320000</v>
      </c>
      <c r="F5438" t="s">
        <v>4567</v>
      </c>
      <c r="G5438" s="17" t="str">
        <f>HYPERLINK("https://www.washoecounty.gov/assessor/cama/?command=sales&amp;parid=16132309","3909549")</f>
        <v>3909549</v>
      </c>
      <c r="H5438" t="s">
        <v>4615</v>
      </c>
      <c r="I5438">
        <v>2005</v>
      </c>
      <c r="J5438">
        <v>2005</v>
      </c>
      <c r="K5438" t="s">
        <v>4554</v>
      </c>
      <c r="L5438" t="s">
        <v>4555</v>
      </c>
      <c r="M5438" s="2">
        <v>3145</v>
      </c>
      <c r="N5438" t="s">
        <v>3147</v>
      </c>
      <c r="O5438">
        <v>5</v>
      </c>
      <c r="P5438">
        <v>3</v>
      </c>
      <c r="Q5438">
        <v>0</v>
      </c>
      <c r="R5438" t="s">
        <v>5281</v>
      </c>
      <c r="S5438" t="s">
        <v>4898</v>
      </c>
      <c r="T5438" t="s">
        <v>2704</v>
      </c>
      <c r="U5438" t="s">
        <v>4560</v>
      </c>
      <c r="V5438" s="2">
        <v>741</v>
      </c>
      <c r="W5438" t="s">
        <v>4655</v>
      </c>
      <c r="X5438" s="2">
        <v>0</v>
      </c>
      <c r="Y5438">
        <v>20</v>
      </c>
      <c r="Z5438" t="s">
        <v>1491</v>
      </c>
      <c r="AA5438" s="3">
        <v>0.26347565650939903</v>
      </c>
      <c r="AB5438" t="s">
        <v>27392</v>
      </c>
      <c r="AC5438" t="s">
        <v>4562</v>
      </c>
      <c r="AD5438" t="s">
        <v>27393</v>
      </c>
      <c r="AE5438" t="s">
        <v>4655</v>
      </c>
      <c r="AF5438" t="s">
        <v>4563</v>
      </c>
      <c r="AG5438" t="s">
        <v>4564</v>
      </c>
      <c r="AH5438" t="s">
        <v>5197</v>
      </c>
      <c r="AI5438" t="s">
        <v>27394</v>
      </c>
      <c r="AJ5438" t="s">
        <v>4616</v>
      </c>
      <c r="AK5438" t="s">
        <v>27395</v>
      </c>
      <c r="AL5438" s="13" t="s">
        <v>2257</v>
      </c>
      <c r="AM5438" s="14">
        <v>1</v>
      </c>
      <c r="AN5438" s="15" t="s">
        <v>3952</v>
      </c>
    </row>
    <row r="5439" spans="1:40" x14ac:dyDescent="0.3">
      <c r="A5439" s="10" t="str">
        <f>HYPERLINK("http://www.washoecounty.gov/assessor/cama/?parid=161-323-11&amp;CardNumber=1","161-323-11")</f>
        <v>161-323-11</v>
      </c>
      <c r="B5439" t="s">
        <v>4655</v>
      </c>
      <c r="C5439" t="s">
        <v>27396</v>
      </c>
      <c r="D5439" s="1">
        <v>40438</v>
      </c>
      <c r="E5439" s="2">
        <v>334900</v>
      </c>
      <c r="F5439" t="s">
        <v>4567</v>
      </c>
      <c r="G5439" s="17" t="str">
        <f>HYPERLINK("https://www.washoecounty.gov/assessor/cama/?command=sales&amp;parid=16132311","3923499")</f>
        <v>3923499</v>
      </c>
      <c r="H5439" t="s">
        <v>4615</v>
      </c>
      <c r="I5439">
        <v>2005</v>
      </c>
      <c r="J5439">
        <v>2005</v>
      </c>
      <c r="K5439" t="s">
        <v>4554</v>
      </c>
      <c r="L5439" t="s">
        <v>4555</v>
      </c>
      <c r="M5439" s="2">
        <v>3145</v>
      </c>
      <c r="N5439" t="s">
        <v>3147</v>
      </c>
      <c r="O5439">
        <v>5</v>
      </c>
      <c r="P5439">
        <v>3</v>
      </c>
      <c r="Q5439">
        <v>0</v>
      </c>
      <c r="R5439" t="s">
        <v>5281</v>
      </c>
      <c r="S5439" t="s">
        <v>4898</v>
      </c>
      <c r="T5439" t="s">
        <v>2704</v>
      </c>
      <c r="U5439" t="s">
        <v>4560</v>
      </c>
      <c r="V5439" s="2">
        <v>741</v>
      </c>
      <c r="W5439" t="s">
        <v>4655</v>
      </c>
      <c r="X5439" s="2">
        <v>0</v>
      </c>
      <c r="Y5439">
        <v>20</v>
      </c>
      <c r="Z5439" t="s">
        <v>1491</v>
      </c>
      <c r="AA5439" s="3">
        <v>0.25179064273834201</v>
      </c>
      <c r="AB5439" t="s">
        <v>27397</v>
      </c>
      <c r="AC5439" t="s">
        <v>4562</v>
      </c>
      <c r="AD5439" t="s">
        <v>27398</v>
      </c>
      <c r="AE5439" t="s">
        <v>4655</v>
      </c>
      <c r="AF5439" t="s">
        <v>4563</v>
      </c>
      <c r="AG5439" t="s">
        <v>5529</v>
      </c>
      <c r="AH5439" t="s">
        <v>5197</v>
      </c>
      <c r="AI5439" t="s">
        <v>27399</v>
      </c>
      <c r="AJ5439" t="s">
        <v>4616</v>
      </c>
      <c r="AK5439" t="s">
        <v>27400</v>
      </c>
      <c r="AL5439" s="13" t="s">
        <v>2257</v>
      </c>
      <c r="AM5439">
        <v>1</v>
      </c>
      <c r="AN5439" s="15" t="s">
        <v>3952</v>
      </c>
    </row>
    <row r="5440" spans="1:40" x14ac:dyDescent="0.3">
      <c r="A5440" s="10" t="str">
        <f>HYPERLINK("http://www.washoecounty.gov/assessor/cama/?parid=161-324-04&amp;CardNumber=1","161-324-04")</f>
        <v>161-324-04</v>
      </c>
      <c r="B5440" t="s">
        <v>4655</v>
      </c>
      <c r="C5440" t="s">
        <v>27401</v>
      </c>
      <c r="D5440" s="1">
        <v>40535</v>
      </c>
      <c r="E5440" s="2">
        <v>345000</v>
      </c>
      <c r="F5440" t="s">
        <v>4567</v>
      </c>
      <c r="G5440" s="17" t="str">
        <f>HYPERLINK("https://www.washoecounty.gov/assessor/cama/?command=sales&amp;parid=16132404","3956686")</f>
        <v>3956686</v>
      </c>
      <c r="H5440" t="s">
        <v>4615</v>
      </c>
      <c r="I5440">
        <v>2005</v>
      </c>
      <c r="J5440">
        <v>2005</v>
      </c>
      <c r="K5440" t="s">
        <v>4554</v>
      </c>
      <c r="L5440" t="s">
        <v>4555</v>
      </c>
      <c r="M5440" s="2">
        <v>2983</v>
      </c>
      <c r="N5440" t="s">
        <v>3147</v>
      </c>
      <c r="O5440">
        <v>3</v>
      </c>
      <c r="P5440">
        <v>3</v>
      </c>
      <c r="Q5440">
        <v>0</v>
      </c>
      <c r="R5440" t="s">
        <v>5281</v>
      </c>
      <c r="S5440" t="s">
        <v>4898</v>
      </c>
      <c r="T5440" t="s">
        <v>2704</v>
      </c>
      <c r="U5440" t="s">
        <v>4560</v>
      </c>
      <c r="V5440" s="2">
        <v>903</v>
      </c>
      <c r="W5440" t="s">
        <v>4655</v>
      </c>
      <c r="X5440" s="2">
        <v>0</v>
      </c>
      <c r="Y5440">
        <v>20</v>
      </c>
      <c r="Z5440" t="s">
        <v>1491</v>
      </c>
      <c r="AA5440" s="3">
        <v>0.22233700752258301</v>
      </c>
      <c r="AB5440" t="s">
        <v>27402</v>
      </c>
      <c r="AC5440" t="s">
        <v>4562</v>
      </c>
      <c r="AD5440" t="s">
        <v>27401</v>
      </c>
      <c r="AE5440" t="s">
        <v>4655</v>
      </c>
      <c r="AF5440" t="s">
        <v>4563</v>
      </c>
      <c r="AG5440" t="s">
        <v>4564</v>
      </c>
      <c r="AH5440" t="s">
        <v>5197</v>
      </c>
      <c r="AI5440" t="s">
        <v>27403</v>
      </c>
      <c r="AJ5440" t="s">
        <v>4616</v>
      </c>
      <c r="AK5440" t="s">
        <v>27404</v>
      </c>
      <c r="AL5440" s="13" t="s">
        <v>2257</v>
      </c>
      <c r="AM5440">
        <v>1</v>
      </c>
      <c r="AN5440" s="15" t="s">
        <v>3952</v>
      </c>
    </row>
    <row r="5441" spans="1:40" x14ac:dyDescent="0.3">
      <c r="A5441" s="10" t="str">
        <f>HYPERLINK("http://www.washoecounty.gov/assessor/cama/?parid=161-341-05&amp;CardNumber=1","161-341-05")</f>
        <v>161-341-05</v>
      </c>
      <c r="B5441" t="s">
        <v>4655</v>
      </c>
      <c r="C5441" t="s">
        <v>27405</v>
      </c>
      <c r="D5441" s="1">
        <v>40521</v>
      </c>
      <c r="E5441" s="2">
        <v>230000</v>
      </c>
      <c r="F5441" t="s">
        <v>4567</v>
      </c>
      <c r="G5441" s="17" t="str">
        <f>HYPERLINK("https://www.washoecounty.gov/assessor/cama/?command=sales&amp;parid=16134105","3951433")</f>
        <v>3951433</v>
      </c>
      <c r="H5441" t="s">
        <v>641</v>
      </c>
      <c r="I5441">
        <v>2006</v>
      </c>
      <c r="J5441">
        <v>2006</v>
      </c>
      <c r="K5441" t="s">
        <v>4554</v>
      </c>
      <c r="L5441" t="s">
        <v>4555</v>
      </c>
      <c r="M5441" s="2">
        <v>2068</v>
      </c>
      <c r="N5441" t="s">
        <v>5280</v>
      </c>
      <c r="O5441">
        <v>3</v>
      </c>
      <c r="P5441">
        <v>2</v>
      </c>
      <c r="Q5441">
        <v>0</v>
      </c>
      <c r="R5441" t="s">
        <v>5281</v>
      </c>
      <c r="S5441" t="s">
        <v>4898</v>
      </c>
      <c r="T5441" t="s">
        <v>2704</v>
      </c>
      <c r="U5441" t="s">
        <v>4560</v>
      </c>
      <c r="V5441" s="2">
        <v>615</v>
      </c>
      <c r="W5441" t="s">
        <v>4655</v>
      </c>
      <c r="X5441" s="2">
        <v>0</v>
      </c>
      <c r="Y5441">
        <v>20</v>
      </c>
      <c r="Z5441" t="s">
        <v>1491</v>
      </c>
      <c r="AA5441" s="3">
        <v>0.18140496313571899</v>
      </c>
      <c r="AB5441" t="s">
        <v>27406</v>
      </c>
      <c r="AC5441" t="s">
        <v>4562</v>
      </c>
      <c r="AD5441" t="s">
        <v>27407</v>
      </c>
      <c r="AE5441" t="s">
        <v>4655</v>
      </c>
      <c r="AF5441" t="s">
        <v>23</v>
      </c>
      <c r="AG5441" t="s">
        <v>4584</v>
      </c>
      <c r="AH5441" t="s">
        <v>27408</v>
      </c>
      <c r="AI5441" t="s">
        <v>27409</v>
      </c>
      <c r="AJ5441" t="s">
        <v>4110</v>
      </c>
      <c r="AK5441" t="s">
        <v>27410</v>
      </c>
      <c r="AL5441" s="13" t="s">
        <v>2257</v>
      </c>
      <c r="AM5441">
        <v>1</v>
      </c>
      <c r="AN5441" s="15" t="s">
        <v>532</v>
      </c>
    </row>
    <row r="5442" spans="1:40" x14ac:dyDescent="0.3">
      <c r="A5442" s="10" t="str">
        <f>HYPERLINK("http://www.washoecounty.gov/assessor/cama/?parid=161-341-26&amp;CardNumber=1","161-341-26")</f>
        <v>161-341-26</v>
      </c>
      <c r="B5442" t="s">
        <v>4655</v>
      </c>
      <c r="C5442" t="s">
        <v>27411</v>
      </c>
      <c r="D5442" s="1">
        <v>40203</v>
      </c>
      <c r="E5442" s="2">
        <v>241000</v>
      </c>
      <c r="F5442" t="s">
        <v>4567</v>
      </c>
      <c r="G5442" s="17" t="str">
        <f>HYPERLINK("https://www.washoecounty.gov/assessor/cama/?command=sales&amp;parid=16134126","3842366")</f>
        <v>3842366</v>
      </c>
      <c r="H5442" t="s">
        <v>641</v>
      </c>
      <c r="I5442">
        <v>2005</v>
      </c>
      <c r="J5442">
        <v>2005</v>
      </c>
      <c r="K5442" t="s">
        <v>4554</v>
      </c>
      <c r="L5442" t="s">
        <v>4555</v>
      </c>
      <c r="M5442" s="2">
        <v>1777</v>
      </c>
      <c r="N5442" t="s">
        <v>5280</v>
      </c>
      <c r="O5442">
        <v>3</v>
      </c>
      <c r="P5442">
        <v>2</v>
      </c>
      <c r="Q5442">
        <v>0</v>
      </c>
      <c r="R5442" t="s">
        <v>5281</v>
      </c>
      <c r="S5442" t="s">
        <v>4898</v>
      </c>
      <c r="T5442" t="s">
        <v>2704</v>
      </c>
      <c r="U5442" t="s">
        <v>4560</v>
      </c>
      <c r="V5442" s="2">
        <v>625</v>
      </c>
      <c r="W5442" t="s">
        <v>4655</v>
      </c>
      <c r="X5442" s="2">
        <v>0</v>
      </c>
      <c r="Y5442">
        <v>20</v>
      </c>
      <c r="Z5442" t="s">
        <v>1491</v>
      </c>
      <c r="AA5442" s="3">
        <v>0.200137734413147</v>
      </c>
      <c r="AB5442" t="s">
        <v>27412</v>
      </c>
      <c r="AC5442" t="s">
        <v>4562</v>
      </c>
      <c r="AD5442" t="s">
        <v>27411</v>
      </c>
      <c r="AE5442" t="s">
        <v>4655</v>
      </c>
      <c r="AF5442" t="s">
        <v>4563</v>
      </c>
      <c r="AG5442" t="s">
        <v>4564</v>
      </c>
      <c r="AH5442" t="s">
        <v>5197</v>
      </c>
      <c r="AI5442" t="s">
        <v>27413</v>
      </c>
      <c r="AJ5442" t="s">
        <v>4110</v>
      </c>
      <c r="AK5442" t="s">
        <v>27414</v>
      </c>
      <c r="AL5442" s="13" t="s">
        <v>2257</v>
      </c>
      <c r="AM5442" s="14">
        <v>1</v>
      </c>
      <c r="AN5442" s="15" t="s">
        <v>532</v>
      </c>
    </row>
    <row r="5443" spans="1:40" x14ac:dyDescent="0.3">
      <c r="A5443" s="10" t="str">
        <f>HYPERLINK("http://www.washoecounty.gov/assessor/cama/?parid=161-341-30&amp;CardNumber=1","161-341-30")</f>
        <v>161-341-30</v>
      </c>
      <c r="B5443" t="s">
        <v>4655</v>
      </c>
      <c r="C5443" t="s">
        <v>27415</v>
      </c>
      <c r="D5443" s="1">
        <v>40484</v>
      </c>
      <c r="E5443" s="2">
        <v>222000</v>
      </c>
      <c r="F5443" t="s">
        <v>4567</v>
      </c>
      <c r="G5443" s="17" t="str">
        <f>HYPERLINK("https://www.washoecounty.gov/assessor/cama/?command=sales&amp;parid=16134130","3938877")</f>
        <v>3938877</v>
      </c>
      <c r="H5443" t="s">
        <v>641</v>
      </c>
      <c r="I5443">
        <v>2005</v>
      </c>
      <c r="J5443">
        <v>2005</v>
      </c>
      <c r="K5443" t="s">
        <v>4554</v>
      </c>
      <c r="L5443" t="s">
        <v>4555</v>
      </c>
      <c r="M5443" s="2">
        <v>1777</v>
      </c>
      <c r="N5443" t="s">
        <v>5280</v>
      </c>
      <c r="O5443">
        <v>3</v>
      </c>
      <c r="P5443">
        <v>2</v>
      </c>
      <c r="Q5443">
        <v>0</v>
      </c>
      <c r="R5443" t="s">
        <v>5281</v>
      </c>
      <c r="S5443" t="s">
        <v>4898</v>
      </c>
      <c r="T5443" t="s">
        <v>2704</v>
      </c>
      <c r="U5443" t="s">
        <v>4560</v>
      </c>
      <c r="V5443" s="2">
        <v>625</v>
      </c>
      <c r="W5443" t="s">
        <v>4655</v>
      </c>
      <c r="X5443" s="2">
        <v>0</v>
      </c>
      <c r="Y5443">
        <v>20</v>
      </c>
      <c r="Z5443" t="s">
        <v>1491</v>
      </c>
      <c r="AA5443" s="3">
        <v>0.17561984062194799</v>
      </c>
      <c r="AB5443" t="s">
        <v>27416</v>
      </c>
      <c r="AC5443" t="s">
        <v>4562</v>
      </c>
      <c r="AD5443" t="s">
        <v>24471</v>
      </c>
      <c r="AE5443" t="s">
        <v>4655</v>
      </c>
      <c r="AF5443" t="s">
        <v>1407</v>
      </c>
      <c r="AG5443" t="s">
        <v>4564</v>
      </c>
      <c r="AH5443">
        <v>89701</v>
      </c>
      <c r="AI5443" t="s">
        <v>27417</v>
      </c>
      <c r="AJ5443" t="s">
        <v>4110</v>
      </c>
      <c r="AK5443" t="s">
        <v>27418</v>
      </c>
      <c r="AL5443" s="13" t="s">
        <v>2257</v>
      </c>
      <c r="AM5443" s="14">
        <v>1</v>
      </c>
      <c r="AN5443" s="15" t="s">
        <v>532</v>
      </c>
    </row>
    <row r="5444" spans="1:40" x14ac:dyDescent="0.3">
      <c r="A5444" s="10" t="str">
        <f>HYPERLINK("http://www.washoecounty.gov/assessor/cama/?parid=161-343-03&amp;CardNumber=1","161-343-03")</f>
        <v>161-343-03</v>
      </c>
      <c r="B5444" t="s">
        <v>4655</v>
      </c>
      <c r="C5444" t="s">
        <v>27419</v>
      </c>
      <c r="D5444" s="1">
        <v>40434</v>
      </c>
      <c r="E5444" s="2">
        <v>249900</v>
      </c>
      <c r="F5444" t="s">
        <v>4567</v>
      </c>
      <c r="G5444" s="17" t="str">
        <f>HYPERLINK("https://www.washoecounty.gov/assessor/cama/?command=sales&amp;parid=16134303","3921678")</f>
        <v>3921678</v>
      </c>
      <c r="H5444" t="s">
        <v>641</v>
      </c>
      <c r="I5444">
        <v>2005</v>
      </c>
      <c r="J5444">
        <v>2005</v>
      </c>
      <c r="K5444" t="s">
        <v>4554</v>
      </c>
      <c r="L5444" t="s">
        <v>4555</v>
      </c>
      <c r="M5444" s="2">
        <v>1777</v>
      </c>
      <c r="N5444" t="s">
        <v>5280</v>
      </c>
      <c r="O5444">
        <v>3</v>
      </c>
      <c r="P5444">
        <v>2</v>
      </c>
      <c r="Q5444">
        <v>0</v>
      </c>
      <c r="R5444" t="s">
        <v>5281</v>
      </c>
      <c r="S5444" t="s">
        <v>4898</v>
      </c>
      <c r="T5444" t="s">
        <v>2704</v>
      </c>
      <c r="U5444" t="s">
        <v>4560</v>
      </c>
      <c r="V5444" s="2">
        <v>625</v>
      </c>
      <c r="W5444" t="s">
        <v>4655</v>
      </c>
      <c r="X5444" s="2">
        <v>0</v>
      </c>
      <c r="Y5444">
        <v>20</v>
      </c>
      <c r="Z5444" t="s">
        <v>1491</v>
      </c>
      <c r="AA5444" s="3">
        <v>0.19118458032607999</v>
      </c>
      <c r="AB5444" t="s">
        <v>27420</v>
      </c>
      <c r="AC5444" t="s">
        <v>4562</v>
      </c>
      <c r="AD5444" t="s">
        <v>27421</v>
      </c>
      <c r="AE5444" t="s">
        <v>4655</v>
      </c>
      <c r="AF5444" t="s">
        <v>4563</v>
      </c>
      <c r="AG5444" t="s">
        <v>4564</v>
      </c>
      <c r="AH5444" t="s">
        <v>5197</v>
      </c>
      <c r="AI5444" t="s">
        <v>27422</v>
      </c>
      <c r="AJ5444" t="s">
        <v>4110</v>
      </c>
      <c r="AK5444" t="s">
        <v>27423</v>
      </c>
      <c r="AL5444" s="13" t="s">
        <v>2257</v>
      </c>
      <c r="AM5444">
        <v>1</v>
      </c>
      <c r="AN5444" s="15" t="s">
        <v>532</v>
      </c>
    </row>
    <row r="5445" spans="1:40" x14ac:dyDescent="0.3">
      <c r="A5445" s="10" t="str">
        <f>HYPERLINK("http://www.washoecounty.gov/assessor/cama/?parid=161-343-10&amp;CardNumber=1","161-343-10")</f>
        <v>161-343-10</v>
      </c>
      <c r="B5445" t="s">
        <v>4655</v>
      </c>
      <c r="C5445" t="s">
        <v>27419</v>
      </c>
      <c r="D5445" s="1">
        <v>40470</v>
      </c>
      <c r="E5445" s="2">
        <v>239900</v>
      </c>
      <c r="F5445" t="s">
        <v>4567</v>
      </c>
      <c r="G5445" s="17" t="str">
        <f>HYPERLINK("https://www.washoecounty.gov/assessor/cama/?command=sales&amp;parid=16134310","3934372")</f>
        <v>3934372</v>
      </c>
      <c r="H5445" t="s">
        <v>641</v>
      </c>
      <c r="I5445">
        <v>2006</v>
      </c>
      <c r="J5445">
        <v>2006</v>
      </c>
      <c r="K5445" t="s">
        <v>4554</v>
      </c>
      <c r="L5445" t="s">
        <v>4555</v>
      </c>
      <c r="M5445" s="2">
        <v>1777</v>
      </c>
      <c r="N5445" t="s">
        <v>5280</v>
      </c>
      <c r="O5445">
        <v>3</v>
      </c>
      <c r="P5445">
        <v>2</v>
      </c>
      <c r="Q5445">
        <v>0</v>
      </c>
      <c r="R5445" t="s">
        <v>5281</v>
      </c>
      <c r="S5445" t="s">
        <v>4898</v>
      </c>
      <c r="T5445" t="s">
        <v>2704</v>
      </c>
      <c r="U5445" t="s">
        <v>4560</v>
      </c>
      <c r="V5445" s="2">
        <v>625</v>
      </c>
      <c r="W5445" t="s">
        <v>4655</v>
      </c>
      <c r="X5445" s="2">
        <v>0</v>
      </c>
      <c r="Y5445">
        <v>20</v>
      </c>
      <c r="Z5445" t="s">
        <v>1491</v>
      </c>
      <c r="AA5445" s="3">
        <v>0.162534430623055</v>
      </c>
      <c r="AB5445" t="s">
        <v>27424</v>
      </c>
      <c r="AC5445" t="s">
        <v>4562</v>
      </c>
      <c r="AD5445" t="s">
        <v>27425</v>
      </c>
      <c r="AE5445" t="s">
        <v>4655</v>
      </c>
      <c r="AF5445" t="s">
        <v>3114</v>
      </c>
      <c r="AG5445" t="s">
        <v>4564</v>
      </c>
      <c r="AH5445" t="s">
        <v>5197</v>
      </c>
      <c r="AI5445" t="s">
        <v>27426</v>
      </c>
      <c r="AJ5445" t="s">
        <v>4110</v>
      </c>
      <c r="AK5445" t="s">
        <v>27427</v>
      </c>
      <c r="AL5445" s="13" t="s">
        <v>2257</v>
      </c>
      <c r="AM5445">
        <v>1</v>
      </c>
      <c r="AN5445" s="15" t="s">
        <v>532</v>
      </c>
    </row>
    <row r="5446" spans="1:40" x14ac:dyDescent="0.3">
      <c r="A5446" s="10" t="str">
        <f>HYPERLINK("http://www.washoecounty.gov/assessor/cama/?parid=161-352-07&amp;CardNumber=1","161-352-07")</f>
        <v>161-352-07</v>
      </c>
      <c r="B5446" t="s">
        <v>4655</v>
      </c>
      <c r="C5446" t="s">
        <v>27428</v>
      </c>
      <c r="D5446" s="1">
        <v>40220</v>
      </c>
      <c r="E5446" s="2">
        <v>230000</v>
      </c>
      <c r="F5446" t="s">
        <v>4567</v>
      </c>
      <c r="G5446" s="17" t="str">
        <f>HYPERLINK("https://www.washoecounty.gov/assessor/cama/?command=sales&amp;parid=16135207","3848632")</f>
        <v>3848632</v>
      </c>
      <c r="H5446" t="s">
        <v>641</v>
      </c>
      <c r="I5446">
        <v>2005</v>
      </c>
      <c r="J5446">
        <v>2005</v>
      </c>
      <c r="K5446" t="s">
        <v>4554</v>
      </c>
      <c r="L5446" t="s">
        <v>4555</v>
      </c>
      <c r="M5446" s="2">
        <v>1777</v>
      </c>
      <c r="N5446" t="s">
        <v>5280</v>
      </c>
      <c r="O5446">
        <v>3</v>
      </c>
      <c r="P5446">
        <v>2</v>
      </c>
      <c r="Q5446">
        <v>0</v>
      </c>
      <c r="R5446" t="s">
        <v>5281</v>
      </c>
      <c r="S5446" t="s">
        <v>4898</v>
      </c>
      <c r="T5446" t="s">
        <v>2704</v>
      </c>
      <c r="U5446" t="s">
        <v>4560</v>
      </c>
      <c r="V5446" s="2">
        <v>625</v>
      </c>
      <c r="W5446" t="s">
        <v>4655</v>
      </c>
      <c r="X5446" s="2">
        <v>0</v>
      </c>
      <c r="Y5446">
        <v>20</v>
      </c>
      <c r="Z5446" t="s">
        <v>1491</v>
      </c>
      <c r="AA5446" s="3">
        <v>0.239370986819267</v>
      </c>
      <c r="AB5446" t="s">
        <v>27429</v>
      </c>
      <c r="AC5446" t="s">
        <v>4575</v>
      </c>
      <c r="AD5446" t="s">
        <v>27428</v>
      </c>
      <c r="AE5446" t="s">
        <v>4655</v>
      </c>
      <c r="AF5446" t="s">
        <v>4563</v>
      </c>
      <c r="AG5446" t="s">
        <v>4564</v>
      </c>
      <c r="AH5446" t="s">
        <v>5197</v>
      </c>
      <c r="AI5446" t="s">
        <v>27430</v>
      </c>
      <c r="AJ5446" t="s">
        <v>4110</v>
      </c>
      <c r="AK5446" t="s">
        <v>27431</v>
      </c>
      <c r="AL5446" s="13" t="s">
        <v>2257</v>
      </c>
      <c r="AM5446" s="14">
        <v>1</v>
      </c>
      <c r="AN5446" s="15" t="s">
        <v>532</v>
      </c>
    </row>
    <row r="5447" spans="1:40" x14ac:dyDescent="0.3">
      <c r="A5447" s="10" t="str">
        <f>HYPERLINK("http://www.washoecounty.gov/assessor/cama/?parid=161-361-01&amp;CardNumber=1","161-361-01")</f>
        <v>161-361-01</v>
      </c>
      <c r="B5447" t="s">
        <v>4655</v>
      </c>
      <c r="C5447" t="s">
        <v>27432</v>
      </c>
      <c r="D5447" s="1">
        <v>40319</v>
      </c>
      <c r="E5447" s="2">
        <v>375501</v>
      </c>
      <c r="F5447" t="s">
        <v>4553</v>
      </c>
      <c r="G5447" s="17" t="str">
        <f>HYPERLINK("https://www.washoecounty.gov/assessor/cama/?command=sales&amp;parid=16136101","3883975")</f>
        <v>3883975</v>
      </c>
      <c r="H5447" t="s">
        <v>4743</v>
      </c>
      <c r="I5447">
        <v>2005</v>
      </c>
      <c r="J5447">
        <v>2005</v>
      </c>
      <c r="K5447" t="s">
        <v>4554</v>
      </c>
      <c r="L5447" t="s">
        <v>3974</v>
      </c>
      <c r="M5447" s="2">
        <v>3847</v>
      </c>
      <c r="N5447" t="s">
        <v>3147</v>
      </c>
      <c r="O5447">
        <v>5</v>
      </c>
      <c r="P5447">
        <v>4</v>
      </c>
      <c r="Q5447">
        <v>0</v>
      </c>
      <c r="R5447" t="s">
        <v>5281</v>
      </c>
      <c r="S5447" t="s">
        <v>4898</v>
      </c>
      <c r="T5447" t="s">
        <v>2704</v>
      </c>
      <c r="U5447" t="s">
        <v>4560</v>
      </c>
      <c r="V5447" s="2">
        <v>800</v>
      </c>
      <c r="W5447" t="s">
        <v>4655</v>
      </c>
      <c r="X5447" s="2">
        <v>0</v>
      </c>
      <c r="Y5447">
        <v>20</v>
      </c>
      <c r="Z5447" t="s">
        <v>1491</v>
      </c>
      <c r="AA5447" s="3">
        <v>0.30913680791854897</v>
      </c>
      <c r="AB5447" t="s">
        <v>27433</v>
      </c>
      <c r="AC5447" t="s">
        <v>4562</v>
      </c>
      <c r="AD5447" t="s">
        <v>27432</v>
      </c>
      <c r="AE5447" t="s">
        <v>4655</v>
      </c>
      <c r="AF5447" t="s">
        <v>4563</v>
      </c>
      <c r="AG5447" t="s">
        <v>4564</v>
      </c>
      <c r="AH5447" t="s">
        <v>5197</v>
      </c>
      <c r="AI5447" t="s">
        <v>4565</v>
      </c>
      <c r="AJ5447" t="s">
        <v>4745</v>
      </c>
      <c r="AK5447" t="s">
        <v>27434</v>
      </c>
      <c r="AL5447" s="13" t="s">
        <v>2257</v>
      </c>
      <c r="AM5447">
        <v>1</v>
      </c>
      <c r="AN5447" s="15" t="s">
        <v>3952</v>
      </c>
    </row>
    <row r="5448" spans="1:40" x14ac:dyDescent="0.3">
      <c r="A5448" s="10" t="str">
        <f>HYPERLINK("http://www.washoecounty.gov/assessor/cama/?parid=161-361-02&amp;CardNumber=1","161-361-02")</f>
        <v>161-361-02</v>
      </c>
      <c r="B5448" t="s">
        <v>4655</v>
      </c>
      <c r="C5448" t="s">
        <v>27435</v>
      </c>
      <c r="D5448" s="1">
        <v>40499</v>
      </c>
      <c r="E5448" s="2">
        <v>360500</v>
      </c>
      <c r="F5448" t="s">
        <v>4567</v>
      </c>
      <c r="G5448" s="17" t="str">
        <f>HYPERLINK("https://www.washoecounty.gov/assessor/cama/?command=sales&amp;parid=16136102","3944129")</f>
        <v>3944129</v>
      </c>
      <c r="H5448" t="s">
        <v>4743</v>
      </c>
      <c r="I5448">
        <v>2005</v>
      </c>
      <c r="J5448">
        <v>2005</v>
      </c>
      <c r="K5448" t="s">
        <v>4554</v>
      </c>
      <c r="L5448" t="s">
        <v>4555</v>
      </c>
      <c r="M5448" s="2">
        <v>3145</v>
      </c>
      <c r="N5448" t="s">
        <v>3147</v>
      </c>
      <c r="O5448">
        <v>4</v>
      </c>
      <c r="P5448">
        <v>3</v>
      </c>
      <c r="Q5448">
        <v>0</v>
      </c>
      <c r="R5448" t="s">
        <v>5281</v>
      </c>
      <c r="S5448" t="s">
        <v>4898</v>
      </c>
      <c r="T5448" t="s">
        <v>2704</v>
      </c>
      <c r="U5448" t="s">
        <v>4560</v>
      </c>
      <c r="V5448" s="2">
        <v>721</v>
      </c>
      <c r="W5448" t="s">
        <v>4655</v>
      </c>
      <c r="X5448" s="2">
        <v>0</v>
      </c>
      <c r="Y5448">
        <v>20</v>
      </c>
      <c r="Z5448" t="s">
        <v>1491</v>
      </c>
      <c r="AA5448" s="3">
        <v>0.29338842630386402</v>
      </c>
      <c r="AB5448" t="s">
        <v>27436</v>
      </c>
      <c r="AC5448" t="s">
        <v>4562</v>
      </c>
      <c r="AD5448" t="s">
        <v>27435</v>
      </c>
      <c r="AE5448" t="s">
        <v>4655</v>
      </c>
      <c r="AF5448" t="s">
        <v>4563</v>
      </c>
      <c r="AG5448" t="s">
        <v>4564</v>
      </c>
      <c r="AH5448" t="s">
        <v>5197</v>
      </c>
      <c r="AI5448" t="s">
        <v>27413</v>
      </c>
      <c r="AJ5448" t="s">
        <v>4745</v>
      </c>
      <c r="AK5448" t="s">
        <v>27437</v>
      </c>
      <c r="AL5448" s="13" t="s">
        <v>2257</v>
      </c>
      <c r="AM5448">
        <v>1</v>
      </c>
      <c r="AN5448" s="15" t="s">
        <v>3952</v>
      </c>
    </row>
    <row r="5449" spans="1:40" x14ac:dyDescent="0.3">
      <c r="A5449" s="10" t="str">
        <f>HYPERLINK("http://www.washoecounty.gov/assessor/cama/?parid=161-361-16&amp;CardNumber=1","161-361-16")</f>
        <v>161-361-16</v>
      </c>
      <c r="B5449" t="s">
        <v>4655</v>
      </c>
      <c r="C5449" t="s">
        <v>4742</v>
      </c>
      <c r="D5449" s="1">
        <v>40198</v>
      </c>
      <c r="E5449" s="2">
        <v>310999</v>
      </c>
      <c r="F5449" t="s">
        <v>4553</v>
      </c>
      <c r="G5449" s="17" t="str">
        <f>HYPERLINK("https://www.washoecounty.gov/assessor/cama/?command=sales&amp;parid=16136116","3841051")</f>
        <v>3841051</v>
      </c>
      <c r="H5449" t="s">
        <v>4743</v>
      </c>
      <c r="I5449">
        <v>2005</v>
      </c>
      <c r="J5449">
        <v>2005</v>
      </c>
      <c r="K5449" t="s">
        <v>4554</v>
      </c>
      <c r="L5449" t="s">
        <v>3974</v>
      </c>
      <c r="M5449" s="2">
        <v>3847</v>
      </c>
      <c r="N5449" t="s">
        <v>3147</v>
      </c>
      <c r="O5449">
        <v>5</v>
      </c>
      <c r="P5449">
        <v>3</v>
      </c>
      <c r="Q5449">
        <v>0</v>
      </c>
      <c r="R5449" t="s">
        <v>5281</v>
      </c>
      <c r="S5449" t="s">
        <v>4898</v>
      </c>
      <c r="T5449" t="s">
        <v>2704</v>
      </c>
      <c r="U5449" t="s">
        <v>4560</v>
      </c>
      <c r="V5449" s="2">
        <v>800</v>
      </c>
      <c r="W5449" t="s">
        <v>4655</v>
      </c>
      <c r="X5449" s="2">
        <v>0</v>
      </c>
      <c r="Y5449">
        <v>20</v>
      </c>
      <c r="Z5449" t="s">
        <v>1491</v>
      </c>
      <c r="AA5449" s="3">
        <v>0.214256197214127</v>
      </c>
      <c r="AB5449" t="s">
        <v>4744</v>
      </c>
      <c r="AC5449" t="s">
        <v>4562</v>
      </c>
      <c r="AD5449" t="s">
        <v>4742</v>
      </c>
      <c r="AE5449" t="s">
        <v>4655</v>
      </c>
      <c r="AF5449" t="s">
        <v>4563</v>
      </c>
      <c r="AG5449" t="s">
        <v>4564</v>
      </c>
      <c r="AH5449" t="s">
        <v>5197</v>
      </c>
      <c r="AI5449" t="s">
        <v>4655</v>
      </c>
      <c r="AJ5449" t="s">
        <v>4745</v>
      </c>
      <c r="AK5449" t="s">
        <v>3951</v>
      </c>
      <c r="AL5449" s="13" t="s">
        <v>2257</v>
      </c>
      <c r="AM5449" s="14">
        <v>1</v>
      </c>
      <c r="AN5449" s="15" t="s">
        <v>3952</v>
      </c>
    </row>
    <row r="5450" spans="1:40" x14ac:dyDescent="0.3">
      <c r="A5450" s="10" t="str">
        <f>HYPERLINK("http://www.washoecounty.gov/assessor/cama/?parid=161-362-04&amp;CardNumber=1","161-362-04")</f>
        <v>161-362-04</v>
      </c>
      <c r="B5450" t="s">
        <v>4655</v>
      </c>
      <c r="C5450" t="s">
        <v>27438</v>
      </c>
      <c r="D5450" s="1">
        <v>40326</v>
      </c>
      <c r="E5450" s="2">
        <v>350000</v>
      </c>
      <c r="F5450" t="s">
        <v>4553</v>
      </c>
      <c r="G5450" s="17" t="str">
        <f>HYPERLINK("https://www.washoecounty.gov/assessor/cama/?command=sales&amp;parid=16136204","3886562")</f>
        <v>3886562</v>
      </c>
      <c r="H5450" t="s">
        <v>4743</v>
      </c>
      <c r="I5450">
        <v>2005</v>
      </c>
      <c r="J5450">
        <v>2005</v>
      </c>
      <c r="K5450" t="s">
        <v>4554</v>
      </c>
      <c r="L5450" t="s">
        <v>4555</v>
      </c>
      <c r="M5450" s="2">
        <v>3175</v>
      </c>
      <c r="N5450" t="s">
        <v>3147</v>
      </c>
      <c r="O5450">
        <v>5</v>
      </c>
      <c r="P5450">
        <v>3</v>
      </c>
      <c r="Q5450">
        <v>0</v>
      </c>
      <c r="R5450" t="s">
        <v>5281</v>
      </c>
      <c r="S5450" t="s">
        <v>4898</v>
      </c>
      <c r="T5450" t="s">
        <v>2704</v>
      </c>
      <c r="U5450" t="s">
        <v>4560</v>
      </c>
      <c r="V5450" s="2">
        <v>506</v>
      </c>
      <c r="W5450" t="s">
        <v>4655</v>
      </c>
      <c r="X5450" s="2">
        <v>0</v>
      </c>
      <c r="Y5450">
        <v>20</v>
      </c>
      <c r="Z5450" t="s">
        <v>1491</v>
      </c>
      <c r="AA5450" s="3">
        <v>0.31207528710365301</v>
      </c>
      <c r="AB5450" t="s">
        <v>27439</v>
      </c>
      <c r="AC5450" t="s">
        <v>4575</v>
      </c>
      <c r="AD5450" t="s">
        <v>27438</v>
      </c>
      <c r="AE5450" t="s">
        <v>4655</v>
      </c>
      <c r="AF5450" t="s">
        <v>4563</v>
      </c>
      <c r="AG5450" t="s">
        <v>4564</v>
      </c>
      <c r="AH5450" t="s">
        <v>5197</v>
      </c>
      <c r="AI5450" t="s">
        <v>4585</v>
      </c>
      <c r="AJ5450" t="s">
        <v>4745</v>
      </c>
      <c r="AK5450" t="s">
        <v>27440</v>
      </c>
      <c r="AL5450" s="13" t="s">
        <v>2257</v>
      </c>
      <c r="AM5450" s="14">
        <v>1</v>
      </c>
      <c r="AN5450" s="15" t="s">
        <v>3952</v>
      </c>
    </row>
    <row r="5451" spans="1:40" x14ac:dyDescent="0.3">
      <c r="A5451" s="10" t="str">
        <f>HYPERLINK("http://www.washoecounty.gov/assessor/cama/?parid=161-363-01&amp;CardNumber=1","161-363-01")</f>
        <v>161-363-01</v>
      </c>
      <c r="B5451" t="s">
        <v>4655</v>
      </c>
      <c r="C5451" t="s">
        <v>27441</v>
      </c>
      <c r="D5451" s="1">
        <v>40330</v>
      </c>
      <c r="E5451" s="2">
        <v>360000</v>
      </c>
      <c r="F5451" t="s">
        <v>4567</v>
      </c>
      <c r="G5451" s="17" t="str">
        <f>HYPERLINK("https://www.washoecounty.gov/assessor/cama/?command=sales&amp;parid=16136301","3887275")</f>
        <v>3887275</v>
      </c>
      <c r="H5451" t="s">
        <v>4743</v>
      </c>
      <c r="I5451">
        <v>2005</v>
      </c>
      <c r="J5451">
        <v>2005</v>
      </c>
      <c r="K5451" t="s">
        <v>4554</v>
      </c>
      <c r="L5451" t="s">
        <v>3974</v>
      </c>
      <c r="M5451" s="2">
        <v>3847</v>
      </c>
      <c r="N5451" t="s">
        <v>3147</v>
      </c>
      <c r="O5451">
        <v>4</v>
      </c>
      <c r="P5451">
        <v>4</v>
      </c>
      <c r="Q5451">
        <v>0</v>
      </c>
      <c r="R5451" t="s">
        <v>5281</v>
      </c>
      <c r="S5451" t="s">
        <v>4898</v>
      </c>
      <c r="T5451" t="s">
        <v>2704</v>
      </c>
      <c r="U5451" t="s">
        <v>4560</v>
      </c>
      <c r="V5451" s="2">
        <v>800</v>
      </c>
      <c r="W5451" t="s">
        <v>4655</v>
      </c>
      <c r="X5451" s="2">
        <v>0</v>
      </c>
      <c r="Y5451">
        <v>20</v>
      </c>
      <c r="Z5451" t="s">
        <v>1491</v>
      </c>
      <c r="AA5451" s="3">
        <v>0.28257575631141701</v>
      </c>
      <c r="AB5451" t="s">
        <v>27442</v>
      </c>
      <c r="AC5451" t="s">
        <v>4575</v>
      </c>
      <c r="AD5451" t="s">
        <v>27443</v>
      </c>
      <c r="AE5451" t="s">
        <v>4655</v>
      </c>
      <c r="AF5451" t="s">
        <v>4563</v>
      </c>
      <c r="AG5451" t="s">
        <v>4564</v>
      </c>
      <c r="AH5451" t="s">
        <v>5197</v>
      </c>
      <c r="AI5451" t="s">
        <v>27444</v>
      </c>
      <c r="AJ5451" t="s">
        <v>4745</v>
      </c>
      <c r="AK5451" t="s">
        <v>27445</v>
      </c>
      <c r="AL5451" s="13" t="s">
        <v>2257</v>
      </c>
      <c r="AM5451">
        <v>1</v>
      </c>
      <c r="AN5451" s="15" t="s">
        <v>3952</v>
      </c>
    </row>
    <row r="5452" spans="1:40" x14ac:dyDescent="0.3">
      <c r="A5452" s="10" t="str">
        <f>HYPERLINK("http://www.washoecounty.gov/assessor/cama/?parid=161-363-05&amp;CardNumber=1","161-363-05")</f>
        <v>161-363-05</v>
      </c>
      <c r="B5452" t="s">
        <v>4655</v>
      </c>
      <c r="C5452" t="s">
        <v>27446</v>
      </c>
      <c r="D5452" s="1">
        <v>40240</v>
      </c>
      <c r="E5452" s="2">
        <v>365000</v>
      </c>
      <c r="F5452" t="s">
        <v>4553</v>
      </c>
      <c r="G5452" s="17" t="str">
        <f>HYPERLINK("https://www.washoecounty.gov/assessor/cama/?command=sales&amp;parid=16136305","3855432")</f>
        <v>3855432</v>
      </c>
      <c r="H5452" t="s">
        <v>4743</v>
      </c>
      <c r="I5452">
        <v>2005</v>
      </c>
      <c r="J5452">
        <v>2005</v>
      </c>
      <c r="K5452" t="s">
        <v>4554</v>
      </c>
      <c r="L5452" t="s">
        <v>3974</v>
      </c>
      <c r="M5452" s="2">
        <v>3847</v>
      </c>
      <c r="N5452" t="s">
        <v>3147</v>
      </c>
      <c r="O5452">
        <v>6</v>
      </c>
      <c r="P5452">
        <v>4</v>
      </c>
      <c r="Q5452">
        <v>0</v>
      </c>
      <c r="R5452" t="s">
        <v>5281</v>
      </c>
      <c r="S5452" t="s">
        <v>4898</v>
      </c>
      <c r="T5452" t="s">
        <v>2704</v>
      </c>
      <c r="U5452" t="s">
        <v>4560</v>
      </c>
      <c r="V5452" s="2">
        <v>800</v>
      </c>
      <c r="W5452" t="s">
        <v>4655</v>
      </c>
      <c r="X5452" s="2">
        <v>0</v>
      </c>
      <c r="Y5452">
        <v>20</v>
      </c>
      <c r="Z5452" t="s">
        <v>1491</v>
      </c>
      <c r="AA5452" s="3">
        <v>0.24669422209262801</v>
      </c>
      <c r="AB5452" t="s">
        <v>27447</v>
      </c>
      <c r="AC5452" t="s">
        <v>4562</v>
      </c>
      <c r="AD5452" t="s">
        <v>27446</v>
      </c>
      <c r="AE5452" t="s">
        <v>4655</v>
      </c>
      <c r="AF5452" t="s">
        <v>4563</v>
      </c>
      <c r="AG5452" t="s">
        <v>4564</v>
      </c>
      <c r="AH5452" t="s">
        <v>5197</v>
      </c>
      <c r="AI5452" t="s">
        <v>27447</v>
      </c>
      <c r="AJ5452" t="s">
        <v>4745</v>
      </c>
      <c r="AK5452" t="s">
        <v>27448</v>
      </c>
      <c r="AL5452" s="13" t="s">
        <v>2257</v>
      </c>
      <c r="AM5452">
        <v>1</v>
      </c>
      <c r="AN5452" s="15" t="s">
        <v>3952</v>
      </c>
    </row>
    <row r="5453" spans="1:40" x14ac:dyDescent="0.3">
      <c r="A5453" s="10" t="str">
        <f>HYPERLINK("http://www.washoecounty.gov/assessor/cama/?parid=161-371-03&amp;CardNumber=1","161-371-03")</f>
        <v>161-371-03</v>
      </c>
      <c r="B5453" t="s">
        <v>4655</v>
      </c>
      <c r="C5453" t="s">
        <v>27449</v>
      </c>
      <c r="D5453" s="1">
        <v>40332</v>
      </c>
      <c r="E5453" s="2">
        <v>310000</v>
      </c>
      <c r="F5453" t="s">
        <v>4567</v>
      </c>
      <c r="G5453" s="17" t="str">
        <f>HYPERLINK("https://www.washoecounty.gov/assessor/cama/?command=sales&amp;parid=16137103","3888129")</f>
        <v>3888129</v>
      </c>
      <c r="H5453" t="s">
        <v>4743</v>
      </c>
      <c r="I5453">
        <v>2005</v>
      </c>
      <c r="J5453">
        <v>2005</v>
      </c>
      <c r="K5453" t="s">
        <v>4554</v>
      </c>
      <c r="L5453" t="s">
        <v>4555</v>
      </c>
      <c r="M5453" s="2">
        <v>2983</v>
      </c>
      <c r="N5453" t="s">
        <v>3147</v>
      </c>
      <c r="O5453">
        <v>4</v>
      </c>
      <c r="P5453">
        <v>3</v>
      </c>
      <c r="Q5453">
        <v>0</v>
      </c>
      <c r="R5453" t="s">
        <v>5281</v>
      </c>
      <c r="S5453" t="s">
        <v>4898</v>
      </c>
      <c r="T5453" t="s">
        <v>2704</v>
      </c>
      <c r="U5453" t="s">
        <v>4560</v>
      </c>
      <c r="V5453" s="2">
        <v>903</v>
      </c>
      <c r="W5453" t="s">
        <v>4655</v>
      </c>
      <c r="X5453" s="2">
        <v>0</v>
      </c>
      <c r="Y5453">
        <v>20</v>
      </c>
      <c r="Z5453" t="s">
        <v>1491</v>
      </c>
      <c r="AA5453" s="3">
        <v>0.26790633797645602</v>
      </c>
      <c r="AB5453" t="s">
        <v>27450</v>
      </c>
      <c r="AC5453" t="s">
        <v>4562</v>
      </c>
      <c r="AD5453" t="s">
        <v>27449</v>
      </c>
      <c r="AE5453" t="s">
        <v>4655</v>
      </c>
      <c r="AF5453" t="s">
        <v>4563</v>
      </c>
      <c r="AG5453" t="s">
        <v>4564</v>
      </c>
      <c r="AH5453" t="s">
        <v>5197</v>
      </c>
      <c r="AI5453" t="s">
        <v>27451</v>
      </c>
      <c r="AJ5453" t="s">
        <v>4745</v>
      </c>
      <c r="AK5453" t="s">
        <v>27452</v>
      </c>
      <c r="AL5453" s="13" t="s">
        <v>2257</v>
      </c>
      <c r="AM5453">
        <v>1</v>
      </c>
      <c r="AN5453" s="15" t="s">
        <v>3952</v>
      </c>
    </row>
    <row r="5454" spans="1:40" x14ac:dyDescent="0.3">
      <c r="A5454" s="10" t="str">
        <f>HYPERLINK("http://www.washoecounty.gov/assessor/cama/?parid=162-062-01&amp;CardNumber=1","162-062-01")</f>
        <v>162-062-01</v>
      </c>
      <c r="B5454" t="s">
        <v>4655</v>
      </c>
      <c r="C5454" t="s">
        <v>27453</v>
      </c>
      <c r="D5454" s="1">
        <v>40512</v>
      </c>
      <c r="E5454" s="2">
        <v>390000</v>
      </c>
      <c r="F5454" t="s">
        <v>4567</v>
      </c>
      <c r="G5454" s="17" t="str">
        <f>HYPERLINK("https://www.washoecounty.gov/assessor/cama/?command=sales&amp;parid=16206201","3947931")</f>
        <v>3947931</v>
      </c>
      <c r="H5454" t="s">
        <v>27454</v>
      </c>
      <c r="I5454">
        <v>1977</v>
      </c>
      <c r="J5454">
        <v>1977</v>
      </c>
      <c r="K5454" t="s">
        <v>4554</v>
      </c>
      <c r="L5454" t="s">
        <v>4555</v>
      </c>
      <c r="M5454" s="2">
        <v>2790</v>
      </c>
      <c r="N5454" t="s">
        <v>1245</v>
      </c>
      <c r="O5454">
        <v>4</v>
      </c>
      <c r="P5454">
        <v>2</v>
      </c>
      <c r="Q5454">
        <v>1</v>
      </c>
      <c r="R5454" t="s">
        <v>5281</v>
      </c>
      <c r="S5454" t="s">
        <v>4135</v>
      </c>
      <c r="T5454" t="s">
        <v>4143</v>
      </c>
      <c r="U5454" t="s">
        <v>4560</v>
      </c>
      <c r="V5454" s="2">
        <v>816</v>
      </c>
      <c r="W5454" t="s">
        <v>4655</v>
      </c>
      <c r="X5454" s="2">
        <v>0</v>
      </c>
      <c r="Y5454">
        <v>20</v>
      </c>
      <c r="Z5454" t="s">
        <v>3884</v>
      </c>
      <c r="AA5454" s="3">
        <v>0.98399907350540095</v>
      </c>
      <c r="AB5454" t="s">
        <v>27455</v>
      </c>
      <c r="AC5454" t="s">
        <v>4562</v>
      </c>
      <c r="AD5454" t="s">
        <v>27453</v>
      </c>
      <c r="AE5454" t="s">
        <v>4655</v>
      </c>
      <c r="AF5454" t="s">
        <v>4563</v>
      </c>
      <c r="AG5454" t="s">
        <v>4564</v>
      </c>
      <c r="AH5454">
        <v>89511</v>
      </c>
      <c r="AI5454" t="s">
        <v>27456</v>
      </c>
      <c r="AJ5454" t="s">
        <v>27457</v>
      </c>
      <c r="AK5454" t="s">
        <v>27458</v>
      </c>
      <c r="AL5454" s="13" t="s">
        <v>1889</v>
      </c>
      <c r="AM5454">
        <v>1</v>
      </c>
      <c r="AN5454" s="15" t="s">
        <v>4323</v>
      </c>
    </row>
    <row r="5455" spans="1:40" x14ac:dyDescent="0.3">
      <c r="A5455" s="10" t="str">
        <f>HYPERLINK("http://www.washoecounty.gov/assessor/cama/?parid=162-063-20&amp;CardNumber=1","162-063-20")</f>
        <v>162-063-20</v>
      </c>
      <c r="B5455" t="s">
        <v>4655</v>
      </c>
      <c r="C5455" t="s">
        <v>27459</v>
      </c>
      <c r="D5455" s="1">
        <v>40234</v>
      </c>
      <c r="E5455" s="2">
        <v>272000</v>
      </c>
      <c r="F5455" t="s">
        <v>4553</v>
      </c>
      <c r="G5455" s="17" t="str">
        <f>HYPERLINK("https://www.washoecounty.gov/assessor/cama/?command=sales&amp;parid=16206320","3852810")</f>
        <v>3852810</v>
      </c>
      <c r="H5455" t="s">
        <v>27460</v>
      </c>
      <c r="I5455">
        <v>1971</v>
      </c>
      <c r="J5455">
        <v>1982</v>
      </c>
      <c r="K5455" t="s">
        <v>4554</v>
      </c>
      <c r="L5455" t="s">
        <v>3974</v>
      </c>
      <c r="M5455" s="2">
        <v>3600</v>
      </c>
      <c r="N5455" t="s">
        <v>5280</v>
      </c>
      <c r="O5455">
        <v>4</v>
      </c>
      <c r="P5455">
        <v>2</v>
      </c>
      <c r="Q5455">
        <v>1</v>
      </c>
      <c r="R5455" t="s">
        <v>5281</v>
      </c>
      <c r="S5455" t="s">
        <v>4558</v>
      </c>
      <c r="T5455" t="s">
        <v>1101</v>
      </c>
      <c r="U5455" t="s">
        <v>4560</v>
      </c>
      <c r="V5455" s="2">
        <v>576</v>
      </c>
      <c r="W5455" t="s">
        <v>4655</v>
      </c>
      <c r="X5455" s="2">
        <v>0</v>
      </c>
      <c r="Y5455">
        <v>20</v>
      </c>
      <c r="Z5455" t="s">
        <v>3884</v>
      </c>
      <c r="AA5455" s="3">
        <v>0.85399448871612504</v>
      </c>
      <c r="AB5455" t="s">
        <v>27461</v>
      </c>
      <c r="AC5455" t="s">
        <v>4562</v>
      </c>
      <c r="AD5455" t="s">
        <v>27459</v>
      </c>
      <c r="AE5455" t="s">
        <v>4655</v>
      </c>
      <c r="AF5455" t="s">
        <v>4563</v>
      </c>
      <c r="AG5455" t="s">
        <v>4564</v>
      </c>
      <c r="AH5455">
        <v>89511</v>
      </c>
      <c r="AI5455" t="s">
        <v>4655</v>
      </c>
      <c r="AJ5455" t="s">
        <v>27462</v>
      </c>
      <c r="AK5455" t="s">
        <v>27463</v>
      </c>
      <c r="AL5455" s="13" t="s">
        <v>3420</v>
      </c>
      <c r="AM5455">
        <v>1</v>
      </c>
      <c r="AN5455" s="15" t="s">
        <v>4323</v>
      </c>
    </row>
    <row r="5456" spans="1:40" x14ac:dyDescent="0.3">
      <c r="A5456" s="10" t="str">
        <f>HYPERLINK("http://www.washoecounty.gov/assessor/cama/?parid=162-063-23&amp;CardNumber=1","162-063-23")</f>
        <v>162-063-23</v>
      </c>
      <c r="B5456" t="s">
        <v>4655</v>
      </c>
      <c r="C5456" t="s">
        <v>27464</v>
      </c>
      <c r="D5456" s="1">
        <v>40421</v>
      </c>
      <c r="E5456" s="2">
        <v>238000</v>
      </c>
      <c r="F5456" t="s">
        <v>4567</v>
      </c>
      <c r="G5456" s="17" t="str">
        <f>HYPERLINK("https://www.washoecounty.gov/assessor/cama/?command=sales&amp;parid=16206323","3917489")</f>
        <v>3917489</v>
      </c>
      <c r="H5456" t="s">
        <v>2347</v>
      </c>
      <c r="I5456">
        <v>1979</v>
      </c>
      <c r="J5456">
        <v>1982</v>
      </c>
      <c r="K5456" t="s">
        <v>4554</v>
      </c>
      <c r="L5456" t="s">
        <v>4555</v>
      </c>
      <c r="M5456" s="2">
        <v>1880</v>
      </c>
      <c r="N5456" t="s">
        <v>5280</v>
      </c>
      <c r="O5456">
        <v>2</v>
      </c>
      <c r="P5456">
        <v>2</v>
      </c>
      <c r="Q5456">
        <v>1</v>
      </c>
      <c r="R5456" t="s">
        <v>4557</v>
      </c>
      <c r="S5456" t="s">
        <v>4135</v>
      </c>
      <c r="T5456" t="s">
        <v>4559</v>
      </c>
      <c r="U5456" t="s">
        <v>4560</v>
      </c>
      <c r="V5456" s="2">
        <v>504</v>
      </c>
      <c r="W5456" t="s">
        <v>4655</v>
      </c>
      <c r="X5456" s="2">
        <v>0</v>
      </c>
      <c r="Y5456">
        <v>20</v>
      </c>
      <c r="Z5456" t="s">
        <v>3884</v>
      </c>
      <c r="AA5456" s="3">
        <v>1</v>
      </c>
      <c r="AB5456" t="s">
        <v>27465</v>
      </c>
      <c r="AC5456" t="s">
        <v>4562</v>
      </c>
      <c r="AD5456" t="s">
        <v>27464</v>
      </c>
      <c r="AE5456" t="s">
        <v>4655</v>
      </c>
      <c r="AF5456" t="s">
        <v>4563</v>
      </c>
      <c r="AG5456" t="s">
        <v>4564</v>
      </c>
      <c r="AH5456">
        <v>89511</v>
      </c>
      <c r="AI5456" t="s">
        <v>27466</v>
      </c>
      <c r="AJ5456" t="s">
        <v>27467</v>
      </c>
      <c r="AK5456" t="s">
        <v>27468</v>
      </c>
      <c r="AL5456" s="13" t="s">
        <v>3420</v>
      </c>
      <c r="AM5456">
        <v>1</v>
      </c>
      <c r="AN5456" s="15" t="s">
        <v>4323</v>
      </c>
    </row>
    <row r="5457" spans="1:40" x14ac:dyDescent="0.3">
      <c r="A5457" s="10" t="str">
        <f>HYPERLINK("http://www.washoecounty.gov/assessor/cama/?parid=162-073-01&amp;CardNumber=1","162-073-01")</f>
        <v>162-073-01</v>
      </c>
      <c r="B5457" t="s">
        <v>4655</v>
      </c>
      <c r="C5457" t="s">
        <v>27469</v>
      </c>
      <c r="D5457" s="1">
        <v>40532</v>
      </c>
      <c r="E5457" s="2">
        <v>280000</v>
      </c>
      <c r="F5457" t="s">
        <v>4567</v>
      </c>
      <c r="G5457" s="17" t="str">
        <f>HYPERLINK("https://www.washoecounty.gov/assessor/cama/?command=sales&amp;parid=16207301","3955691")</f>
        <v>3955691</v>
      </c>
      <c r="H5457" t="s">
        <v>369</v>
      </c>
      <c r="I5457">
        <v>1976</v>
      </c>
      <c r="J5457">
        <v>1976</v>
      </c>
      <c r="K5457" t="s">
        <v>4554</v>
      </c>
      <c r="L5457" t="s">
        <v>4555</v>
      </c>
      <c r="M5457" s="2">
        <v>2059</v>
      </c>
      <c r="N5457" t="s">
        <v>3887</v>
      </c>
      <c r="O5457">
        <v>3</v>
      </c>
      <c r="P5457">
        <v>2</v>
      </c>
      <c r="Q5457">
        <v>0</v>
      </c>
      <c r="R5457" t="s">
        <v>4557</v>
      </c>
      <c r="S5457" t="s">
        <v>4135</v>
      </c>
      <c r="T5457" t="s">
        <v>4559</v>
      </c>
      <c r="U5457" t="s">
        <v>162</v>
      </c>
      <c r="V5457" s="2">
        <v>1560</v>
      </c>
      <c r="W5457" t="s">
        <v>4655</v>
      </c>
      <c r="X5457" s="2">
        <v>0</v>
      </c>
      <c r="Y5457">
        <v>20</v>
      </c>
      <c r="Z5457" t="s">
        <v>3884</v>
      </c>
      <c r="AA5457" s="3">
        <v>1.1800045967102</v>
      </c>
      <c r="AB5457" t="s">
        <v>27470</v>
      </c>
      <c r="AC5457" t="s">
        <v>4562</v>
      </c>
      <c r="AD5457" t="s">
        <v>27471</v>
      </c>
      <c r="AE5457" t="s">
        <v>4655</v>
      </c>
      <c r="AF5457" t="s">
        <v>4563</v>
      </c>
      <c r="AG5457" t="s">
        <v>4564</v>
      </c>
      <c r="AH5457">
        <v>89511</v>
      </c>
      <c r="AI5457" t="s">
        <v>5298</v>
      </c>
      <c r="AJ5457" t="s">
        <v>27472</v>
      </c>
      <c r="AK5457" t="s">
        <v>27473</v>
      </c>
      <c r="AL5457" s="13" t="s">
        <v>1889</v>
      </c>
      <c r="AM5457" s="14">
        <v>1</v>
      </c>
      <c r="AN5457" s="15" t="s">
        <v>4323</v>
      </c>
    </row>
    <row r="5458" spans="1:40" x14ac:dyDescent="0.3">
      <c r="A5458" s="10" t="str">
        <f>HYPERLINK("http://www.washoecounty.gov/assessor/cama/?parid=162-082-03&amp;CardNumber=1","162-082-03")</f>
        <v>162-082-03</v>
      </c>
      <c r="B5458" t="s">
        <v>4655</v>
      </c>
      <c r="C5458" t="s">
        <v>27474</v>
      </c>
      <c r="D5458" s="1">
        <v>40207</v>
      </c>
      <c r="E5458" s="2">
        <v>288500</v>
      </c>
      <c r="F5458" t="s">
        <v>4567</v>
      </c>
      <c r="G5458" s="17" t="str">
        <f>HYPERLINK("https://www.washoecounty.gov/assessor/cama/?command=sales&amp;parid=16208203","3844245")</f>
        <v>3844245</v>
      </c>
      <c r="H5458" t="s">
        <v>3953</v>
      </c>
      <c r="I5458">
        <v>1981</v>
      </c>
      <c r="J5458">
        <v>1981</v>
      </c>
      <c r="K5458" t="s">
        <v>4554</v>
      </c>
      <c r="L5458" t="s">
        <v>2170</v>
      </c>
      <c r="M5458" s="2">
        <v>2719</v>
      </c>
      <c r="N5458" t="s">
        <v>5106</v>
      </c>
      <c r="O5458">
        <v>4</v>
      </c>
      <c r="P5458">
        <v>3</v>
      </c>
      <c r="Q5458">
        <v>0</v>
      </c>
      <c r="R5458" t="s">
        <v>5205</v>
      </c>
      <c r="S5458" t="s">
        <v>4558</v>
      </c>
      <c r="T5458" t="s">
        <v>4143</v>
      </c>
      <c r="U5458" t="s">
        <v>162</v>
      </c>
      <c r="V5458" s="2">
        <v>1359</v>
      </c>
      <c r="W5458" t="s">
        <v>4655</v>
      </c>
      <c r="X5458" s="2">
        <v>0</v>
      </c>
      <c r="Y5458">
        <v>20</v>
      </c>
      <c r="Z5458" t="s">
        <v>3884</v>
      </c>
      <c r="AA5458" s="3">
        <v>1.00899910926818</v>
      </c>
      <c r="AB5458" t="s">
        <v>27475</v>
      </c>
      <c r="AC5458" t="s">
        <v>4562</v>
      </c>
      <c r="AD5458" t="s">
        <v>27474</v>
      </c>
      <c r="AE5458" t="s">
        <v>4655</v>
      </c>
      <c r="AF5458" t="s">
        <v>4563</v>
      </c>
      <c r="AG5458" t="s">
        <v>4564</v>
      </c>
      <c r="AH5458">
        <v>89511</v>
      </c>
      <c r="AI5458" t="s">
        <v>27476</v>
      </c>
      <c r="AJ5458" t="s">
        <v>27477</v>
      </c>
      <c r="AK5458" t="s">
        <v>27478</v>
      </c>
      <c r="AL5458" s="13" t="s">
        <v>1889</v>
      </c>
      <c r="AM5458">
        <v>1</v>
      </c>
      <c r="AN5458" s="15" t="s">
        <v>4323</v>
      </c>
    </row>
    <row r="5459" spans="1:40" x14ac:dyDescent="0.3">
      <c r="A5459" s="10" t="str">
        <f>HYPERLINK("http://www.washoecounty.gov/assessor/cama/?parid=162-271-19&amp;CardNumber=1","162-271-19")</f>
        <v>162-271-19</v>
      </c>
      <c r="B5459" t="s">
        <v>4655</v>
      </c>
      <c r="C5459" t="s">
        <v>27479</v>
      </c>
      <c r="D5459" s="1">
        <v>40479</v>
      </c>
      <c r="E5459" s="2">
        <v>165000</v>
      </c>
      <c r="F5459" t="s">
        <v>4201</v>
      </c>
      <c r="G5459" s="17" t="str">
        <f>HYPERLINK("https://www.washoecounty.gov/assessor/cama/?command=sales&amp;parid=16227119","3937758")</f>
        <v>3937758</v>
      </c>
      <c r="H5459" t="s">
        <v>2023</v>
      </c>
      <c r="I5459">
        <v>0</v>
      </c>
      <c r="J5459">
        <v>0</v>
      </c>
      <c r="K5459" t="s">
        <v>4655</v>
      </c>
      <c r="L5459" t="s">
        <v>4655</v>
      </c>
      <c r="M5459" s="2">
        <v>0</v>
      </c>
      <c r="N5459" t="s">
        <v>4655</v>
      </c>
      <c r="O5459">
        <v>0</v>
      </c>
      <c r="P5459">
        <v>0</v>
      </c>
      <c r="Q5459">
        <v>0</v>
      </c>
      <c r="R5459" t="s">
        <v>4655</v>
      </c>
      <c r="S5459" t="s">
        <v>4655</v>
      </c>
      <c r="T5459" t="s">
        <v>4655</v>
      </c>
      <c r="U5459" t="s">
        <v>4655</v>
      </c>
      <c r="V5459" s="2">
        <v>0</v>
      </c>
      <c r="W5459" t="s">
        <v>4655</v>
      </c>
      <c r="X5459" s="2">
        <v>0</v>
      </c>
      <c r="Y5459">
        <v>12</v>
      </c>
      <c r="Z5459" t="s">
        <v>3884</v>
      </c>
      <c r="AA5459" s="3">
        <v>0.80594581365585305</v>
      </c>
      <c r="AB5459" t="s">
        <v>7838</v>
      </c>
      <c r="AC5459" t="s">
        <v>4562</v>
      </c>
      <c r="AD5459" t="s">
        <v>27480</v>
      </c>
      <c r="AE5459" t="s">
        <v>4655</v>
      </c>
      <c r="AF5459" t="s">
        <v>4563</v>
      </c>
      <c r="AG5459" t="s">
        <v>4564</v>
      </c>
      <c r="AH5459">
        <v>89511</v>
      </c>
      <c r="AI5459" t="s">
        <v>7843</v>
      </c>
      <c r="AJ5459" t="s">
        <v>2024</v>
      </c>
      <c r="AK5459" t="s">
        <v>27481</v>
      </c>
      <c r="AL5459" s="13" t="s">
        <v>3420</v>
      </c>
      <c r="AM5459">
        <v>0</v>
      </c>
      <c r="AN5459" s="15" t="s">
        <v>2025</v>
      </c>
    </row>
    <row r="5460" spans="1:40" x14ac:dyDescent="0.3">
      <c r="A5460" s="10" t="str">
        <f>HYPERLINK("http://www.washoecounty.gov/assessor/cama/?parid=162-271-23&amp;CardNumber=1","162-271-23")</f>
        <v>162-271-23</v>
      </c>
      <c r="B5460" t="s">
        <v>4655</v>
      </c>
      <c r="C5460" t="s">
        <v>27482</v>
      </c>
      <c r="D5460" s="1">
        <v>40353</v>
      </c>
      <c r="E5460" s="2">
        <v>900000</v>
      </c>
      <c r="F5460" t="s">
        <v>4567</v>
      </c>
      <c r="G5460" s="17" t="str">
        <f>HYPERLINK("https://www.washoecounty.gov/assessor/cama/?command=sales&amp;parid=16227123","3894933")</f>
        <v>3894933</v>
      </c>
      <c r="H5460" t="s">
        <v>2023</v>
      </c>
      <c r="I5460">
        <v>2005</v>
      </c>
      <c r="J5460">
        <v>2005</v>
      </c>
      <c r="K5460" t="s">
        <v>4554</v>
      </c>
      <c r="L5460" t="s">
        <v>4555</v>
      </c>
      <c r="M5460" s="2">
        <v>3784</v>
      </c>
      <c r="N5460" t="s">
        <v>8283</v>
      </c>
      <c r="O5460">
        <v>3</v>
      </c>
      <c r="P5460">
        <v>3</v>
      </c>
      <c r="Q5460">
        <v>2</v>
      </c>
      <c r="R5460" t="s">
        <v>1186</v>
      </c>
      <c r="S5460" t="s">
        <v>4898</v>
      </c>
      <c r="T5460" t="s">
        <v>4559</v>
      </c>
      <c r="U5460" t="s">
        <v>4560</v>
      </c>
      <c r="V5460" s="2">
        <v>2004</v>
      </c>
      <c r="W5460" t="s">
        <v>4655</v>
      </c>
      <c r="X5460" s="2">
        <v>0</v>
      </c>
      <c r="Y5460">
        <v>20</v>
      </c>
      <c r="Z5460" t="s">
        <v>3884</v>
      </c>
      <c r="AA5460" s="3">
        <v>0.89873737096786399</v>
      </c>
      <c r="AB5460" t="s">
        <v>27483</v>
      </c>
      <c r="AC5460" t="s">
        <v>4575</v>
      </c>
      <c r="AD5460" t="s">
        <v>27482</v>
      </c>
      <c r="AE5460" t="s">
        <v>4655</v>
      </c>
      <c r="AF5460" t="s">
        <v>4563</v>
      </c>
      <c r="AG5460" t="s">
        <v>4564</v>
      </c>
      <c r="AH5460">
        <v>89511</v>
      </c>
      <c r="AI5460" t="s">
        <v>27484</v>
      </c>
      <c r="AJ5460" t="s">
        <v>2024</v>
      </c>
      <c r="AK5460" t="s">
        <v>27485</v>
      </c>
      <c r="AL5460" s="13" t="s">
        <v>3420</v>
      </c>
      <c r="AM5460">
        <v>1</v>
      </c>
      <c r="AN5460" s="15" t="s">
        <v>2025</v>
      </c>
    </row>
    <row r="5461" spans="1:40" x14ac:dyDescent="0.3">
      <c r="A5461" s="10" t="str">
        <f>HYPERLINK("http://www.washoecounty.gov/assessor/cama/?parid=163-042-05&amp;CardNumber=1","163-042-05")</f>
        <v>163-042-05</v>
      </c>
      <c r="B5461" t="s">
        <v>4655</v>
      </c>
      <c r="C5461" t="s">
        <v>4324</v>
      </c>
      <c r="D5461" s="1">
        <v>40330</v>
      </c>
      <c r="E5461" s="2">
        <v>133500</v>
      </c>
      <c r="F5461" t="s">
        <v>4567</v>
      </c>
      <c r="G5461" s="17" t="str">
        <f>HYPERLINK("https://www.washoecounty.gov/assessor/cama/?command=sales&amp;parid=16304205","3887291")</f>
        <v>3887291</v>
      </c>
      <c r="H5461" t="s">
        <v>4325</v>
      </c>
      <c r="I5461">
        <v>2004</v>
      </c>
      <c r="J5461">
        <v>2004</v>
      </c>
      <c r="K5461" t="s">
        <v>4897</v>
      </c>
      <c r="L5461" t="s">
        <v>4555</v>
      </c>
      <c r="M5461" s="2">
        <v>1322</v>
      </c>
      <c r="N5461" t="s">
        <v>3887</v>
      </c>
      <c r="O5461">
        <v>2</v>
      </c>
      <c r="P5461">
        <v>2</v>
      </c>
      <c r="Q5461">
        <v>0</v>
      </c>
      <c r="R5461" t="s">
        <v>5281</v>
      </c>
      <c r="S5461" t="s">
        <v>4898</v>
      </c>
      <c r="T5461" t="s">
        <v>2704</v>
      </c>
      <c r="U5461" t="s">
        <v>5631</v>
      </c>
      <c r="V5461" s="2">
        <v>472</v>
      </c>
      <c r="W5461" t="s">
        <v>4655</v>
      </c>
      <c r="X5461" s="2">
        <v>0</v>
      </c>
      <c r="Y5461">
        <v>21</v>
      </c>
      <c r="Z5461" t="s">
        <v>382</v>
      </c>
      <c r="AA5461" s="3">
        <v>4.1528925299644498E-2</v>
      </c>
      <c r="AB5461" t="s">
        <v>27486</v>
      </c>
      <c r="AC5461" t="s">
        <v>4562</v>
      </c>
      <c r="AD5461" t="s">
        <v>27487</v>
      </c>
      <c r="AE5461" t="s">
        <v>4655</v>
      </c>
      <c r="AF5461" t="s">
        <v>27488</v>
      </c>
      <c r="AG5461" t="s">
        <v>4584</v>
      </c>
      <c r="AH5461">
        <v>96103</v>
      </c>
      <c r="AI5461" t="s">
        <v>3190</v>
      </c>
      <c r="AJ5461" t="s">
        <v>27489</v>
      </c>
      <c r="AK5461" t="s">
        <v>27490</v>
      </c>
      <c r="AL5461" s="13" t="s">
        <v>2257</v>
      </c>
      <c r="AM5461">
        <v>1</v>
      </c>
      <c r="AN5461" s="15" t="s">
        <v>3329</v>
      </c>
    </row>
    <row r="5462" spans="1:40" x14ac:dyDescent="0.3">
      <c r="A5462" s="10" t="str">
        <f>HYPERLINK("http://www.washoecounty.gov/assessor/cama/?parid=163-042-14&amp;CardNumber=1","163-042-14")</f>
        <v>163-042-14</v>
      </c>
      <c r="B5462" t="s">
        <v>4655</v>
      </c>
      <c r="C5462" t="s">
        <v>4324</v>
      </c>
      <c r="D5462" s="1">
        <v>40191</v>
      </c>
      <c r="E5462" s="2">
        <v>129900</v>
      </c>
      <c r="F5462" t="s">
        <v>4553</v>
      </c>
      <c r="G5462" s="17" t="str">
        <f>HYPERLINK("https://www.washoecounty.gov/assessor/cama/?command=sales&amp;parid=16304214","3839009")</f>
        <v>3839009</v>
      </c>
      <c r="H5462" t="s">
        <v>4325</v>
      </c>
      <c r="I5462">
        <v>2004</v>
      </c>
      <c r="J5462">
        <v>2004</v>
      </c>
      <c r="K5462" t="s">
        <v>4897</v>
      </c>
      <c r="L5462" t="s">
        <v>4555</v>
      </c>
      <c r="M5462" s="2">
        <v>1340</v>
      </c>
      <c r="N5462" t="s">
        <v>3887</v>
      </c>
      <c r="O5462">
        <v>2</v>
      </c>
      <c r="P5462">
        <v>2</v>
      </c>
      <c r="Q5462">
        <v>0</v>
      </c>
      <c r="R5462" t="s">
        <v>5281</v>
      </c>
      <c r="S5462" t="s">
        <v>4898</v>
      </c>
      <c r="T5462" t="s">
        <v>2704</v>
      </c>
      <c r="U5462" t="s">
        <v>5631</v>
      </c>
      <c r="V5462" s="2">
        <v>512</v>
      </c>
      <c r="W5462" t="s">
        <v>4655</v>
      </c>
      <c r="X5462" s="2">
        <v>0</v>
      </c>
      <c r="Y5462">
        <v>21</v>
      </c>
      <c r="Z5462" t="s">
        <v>382</v>
      </c>
      <c r="AA5462" s="3">
        <v>1.4990816824138199E-2</v>
      </c>
      <c r="AB5462" t="s">
        <v>27491</v>
      </c>
      <c r="AC5462" t="s">
        <v>4562</v>
      </c>
      <c r="AD5462" t="s">
        <v>27492</v>
      </c>
      <c r="AE5462" t="s">
        <v>4655</v>
      </c>
      <c r="AF5462" t="s">
        <v>4563</v>
      </c>
      <c r="AG5462" t="s">
        <v>4564</v>
      </c>
      <c r="AH5462" t="s">
        <v>5197</v>
      </c>
      <c r="AI5462" t="s">
        <v>11569</v>
      </c>
      <c r="AJ5462" t="s">
        <v>27493</v>
      </c>
      <c r="AK5462" t="s">
        <v>27494</v>
      </c>
      <c r="AL5462" s="13" t="s">
        <v>2257</v>
      </c>
      <c r="AM5462">
        <v>1</v>
      </c>
      <c r="AN5462" s="15" t="s">
        <v>3329</v>
      </c>
    </row>
    <row r="5463" spans="1:40" x14ac:dyDescent="0.3">
      <c r="A5463" s="10" t="str">
        <f>HYPERLINK("http://www.washoecounty.gov/assessor/cama/?parid=163-042-25&amp;CardNumber=1","163-042-25")</f>
        <v>163-042-25</v>
      </c>
      <c r="B5463" t="s">
        <v>4655</v>
      </c>
      <c r="C5463" t="s">
        <v>4324</v>
      </c>
      <c r="D5463" s="1">
        <v>40227</v>
      </c>
      <c r="E5463" s="2">
        <v>92000</v>
      </c>
      <c r="F5463" t="s">
        <v>4567</v>
      </c>
      <c r="G5463" s="17" t="str">
        <f>HYPERLINK("https://www.washoecounty.gov/assessor/cama/?command=sales&amp;parid=16304225","3850489")</f>
        <v>3850489</v>
      </c>
      <c r="H5463" t="s">
        <v>4325</v>
      </c>
      <c r="I5463">
        <v>2004</v>
      </c>
      <c r="J5463">
        <v>2004</v>
      </c>
      <c r="K5463" t="s">
        <v>3144</v>
      </c>
      <c r="L5463" t="s">
        <v>4555</v>
      </c>
      <c r="M5463" s="2">
        <v>1033</v>
      </c>
      <c r="N5463" t="s">
        <v>3887</v>
      </c>
      <c r="O5463">
        <v>1</v>
      </c>
      <c r="P5463">
        <v>1</v>
      </c>
      <c r="Q5463">
        <v>0</v>
      </c>
      <c r="R5463" t="s">
        <v>5281</v>
      </c>
      <c r="S5463" t="s">
        <v>4898</v>
      </c>
      <c r="T5463" t="s">
        <v>2704</v>
      </c>
      <c r="U5463" t="s">
        <v>5631</v>
      </c>
      <c r="V5463" s="2">
        <v>242</v>
      </c>
      <c r="W5463" t="s">
        <v>4655</v>
      </c>
      <c r="X5463" s="2">
        <v>0</v>
      </c>
      <c r="Y5463">
        <v>21</v>
      </c>
      <c r="Z5463" t="s">
        <v>382</v>
      </c>
      <c r="AA5463" s="3">
        <v>7.9889809712767601E-3</v>
      </c>
      <c r="AB5463" t="s">
        <v>27495</v>
      </c>
      <c r="AC5463" t="s">
        <v>4575</v>
      </c>
      <c r="AD5463" t="s">
        <v>27496</v>
      </c>
      <c r="AE5463" t="s">
        <v>4655</v>
      </c>
      <c r="AF5463" t="s">
        <v>27497</v>
      </c>
      <c r="AG5463" t="s">
        <v>3674</v>
      </c>
      <c r="AH5463">
        <v>53120</v>
      </c>
      <c r="AI5463" t="s">
        <v>27498</v>
      </c>
      <c r="AJ5463" t="s">
        <v>27499</v>
      </c>
      <c r="AK5463" t="s">
        <v>27500</v>
      </c>
      <c r="AL5463" s="13" t="s">
        <v>2257</v>
      </c>
      <c r="AM5463">
        <v>1</v>
      </c>
      <c r="AN5463" s="15" t="s">
        <v>3329</v>
      </c>
    </row>
    <row r="5464" spans="1:40" x14ac:dyDescent="0.3">
      <c r="A5464" s="10" t="str">
        <f>HYPERLINK("http://www.washoecounty.gov/assessor/cama/?parid=163-101-01&amp;CardNumber=1","163-101-01")</f>
        <v>163-101-01</v>
      </c>
      <c r="B5464" t="s">
        <v>4655</v>
      </c>
      <c r="C5464" t="s">
        <v>304</v>
      </c>
      <c r="D5464" s="1">
        <v>40533</v>
      </c>
      <c r="E5464" s="2">
        <v>315000</v>
      </c>
      <c r="F5464" t="s">
        <v>3528</v>
      </c>
      <c r="G5464" s="17" t="str">
        <f>HYPERLINK("https://www.washoecounty.gov/assessor/cama/?command=sales&amp;parid=16310101","3955807")</f>
        <v>3955807</v>
      </c>
      <c r="H5464" t="s">
        <v>27501</v>
      </c>
      <c r="I5464">
        <v>0</v>
      </c>
      <c r="J5464">
        <v>0</v>
      </c>
      <c r="K5464" t="s">
        <v>4655</v>
      </c>
      <c r="L5464" t="s">
        <v>4655</v>
      </c>
      <c r="M5464" s="2">
        <v>0</v>
      </c>
      <c r="N5464" t="s">
        <v>4655</v>
      </c>
      <c r="O5464">
        <v>0</v>
      </c>
      <c r="P5464">
        <v>0</v>
      </c>
      <c r="Q5464">
        <v>0</v>
      </c>
      <c r="R5464" t="s">
        <v>4655</v>
      </c>
      <c r="S5464" t="s">
        <v>4655</v>
      </c>
      <c r="T5464" t="s">
        <v>4655</v>
      </c>
      <c r="U5464" t="s">
        <v>4655</v>
      </c>
      <c r="V5464" s="2">
        <v>0</v>
      </c>
      <c r="W5464" t="s">
        <v>4655</v>
      </c>
      <c r="X5464" s="2">
        <v>0</v>
      </c>
      <c r="Y5464">
        <v>14</v>
      </c>
      <c r="Z5464" t="s">
        <v>1491</v>
      </c>
      <c r="AA5464" s="3">
        <v>0.78728193044662398</v>
      </c>
      <c r="AB5464" t="s">
        <v>27502</v>
      </c>
      <c r="AC5464" t="s">
        <v>4562</v>
      </c>
      <c r="AD5464" t="s">
        <v>27503</v>
      </c>
      <c r="AE5464" t="s">
        <v>4655</v>
      </c>
      <c r="AF5464" t="s">
        <v>1407</v>
      </c>
      <c r="AG5464" t="s">
        <v>4564</v>
      </c>
      <c r="AH5464">
        <v>89706</v>
      </c>
      <c r="AI5464" t="s">
        <v>27504</v>
      </c>
      <c r="AJ5464" t="s">
        <v>27505</v>
      </c>
      <c r="AK5464" t="s">
        <v>27506</v>
      </c>
      <c r="AL5464" s="13" t="s">
        <v>2257</v>
      </c>
      <c r="AM5464" s="14">
        <v>0</v>
      </c>
      <c r="AN5464" s="15" t="s">
        <v>27507</v>
      </c>
    </row>
    <row r="5465" spans="1:40" x14ac:dyDescent="0.3">
      <c r="A5465" s="10" t="str">
        <f>HYPERLINK("http://www.washoecounty.gov/assessor/cama/?parid=163-101-02&amp;CardNumber=1","163-101-02")</f>
        <v>163-101-02</v>
      </c>
      <c r="B5465" t="s">
        <v>4655</v>
      </c>
      <c r="C5465" t="s">
        <v>27508</v>
      </c>
      <c r="D5465" s="1">
        <v>40528</v>
      </c>
      <c r="E5465" s="2">
        <v>2750000</v>
      </c>
      <c r="F5465" t="s">
        <v>3528</v>
      </c>
      <c r="G5465" s="17" t="str">
        <f>HYPERLINK("https://www.washoecounty.gov/assessor/cama/?command=sales&amp;parid=16310102","3953893")</f>
        <v>3953893</v>
      </c>
      <c r="H5465" t="s">
        <v>27501</v>
      </c>
      <c r="I5465">
        <v>2004</v>
      </c>
      <c r="J5465">
        <v>2004</v>
      </c>
      <c r="K5465" t="s">
        <v>5064</v>
      </c>
      <c r="L5465" t="s">
        <v>1366</v>
      </c>
      <c r="M5465" s="2">
        <v>37308</v>
      </c>
      <c r="N5465" t="s">
        <v>4580</v>
      </c>
      <c r="O5465">
        <v>0</v>
      </c>
      <c r="P5465">
        <v>0</v>
      </c>
      <c r="Q5465">
        <v>0</v>
      </c>
      <c r="R5465" t="s">
        <v>1395</v>
      </c>
      <c r="S5465" t="s">
        <v>1819</v>
      </c>
      <c r="T5465" t="s">
        <v>4655</v>
      </c>
      <c r="U5465" t="s">
        <v>4655</v>
      </c>
      <c r="V5465" s="2">
        <v>0</v>
      </c>
      <c r="W5465" t="s">
        <v>4655</v>
      </c>
      <c r="X5465" s="2">
        <v>0</v>
      </c>
      <c r="Y5465">
        <v>40</v>
      </c>
      <c r="Z5465" t="s">
        <v>1491</v>
      </c>
      <c r="AA5465" s="3">
        <v>3.2520000934600799</v>
      </c>
      <c r="AB5465" t="s">
        <v>27509</v>
      </c>
      <c r="AC5465" t="s">
        <v>4562</v>
      </c>
      <c r="AD5465" t="s">
        <v>27510</v>
      </c>
      <c r="AE5465" t="s">
        <v>4655</v>
      </c>
      <c r="AF5465" t="s">
        <v>5151</v>
      </c>
      <c r="AG5465" t="s">
        <v>4564</v>
      </c>
      <c r="AH5465">
        <v>89702</v>
      </c>
      <c r="AI5465" t="s">
        <v>27511</v>
      </c>
      <c r="AJ5465" t="s">
        <v>27512</v>
      </c>
      <c r="AK5465" t="s">
        <v>27513</v>
      </c>
      <c r="AL5465" s="13" t="s">
        <v>2257</v>
      </c>
      <c r="AM5465">
        <v>1</v>
      </c>
      <c r="AN5465" s="15" t="s">
        <v>27507</v>
      </c>
    </row>
    <row r="5466" spans="1:40" x14ac:dyDescent="0.3">
      <c r="A5466" s="10" t="str">
        <f>HYPERLINK("http://www.washoecounty.gov/assessor/cama/?parid=163-102-12&amp;CardNumber=1","163-102-12")</f>
        <v>163-102-12</v>
      </c>
      <c r="B5466" t="s">
        <v>4655</v>
      </c>
      <c r="C5466" t="s">
        <v>27514</v>
      </c>
      <c r="D5466" s="1">
        <v>40203</v>
      </c>
      <c r="E5466" s="2">
        <v>2009205</v>
      </c>
      <c r="F5466" t="s">
        <v>4201</v>
      </c>
      <c r="G5466" s="17" t="str">
        <f>HYPERLINK("https://www.washoecounty.gov/assessor/cama/?command=sales&amp;parid=16310212","3842351")</f>
        <v>3842351</v>
      </c>
      <c r="H5466" t="s">
        <v>27515</v>
      </c>
      <c r="I5466">
        <v>2010</v>
      </c>
      <c r="J5466">
        <v>2010</v>
      </c>
      <c r="K5466" t="s">
        <v>3919</v>
      </c>
      <c r="L5466" t="s">
        <v>3038</v>
      </c>
      <c r="M5466" s="2">
        <v>53437</v>
      </c>
      <c r="N5466" t="s">
        <v>3531</v>
      </c>
      <c r="O5466">
        <v>0</v>
      </c>
      <c r="P5466">
        <v>0</v>
      </c>
      <c r="Q5466">
        <v>0</v>
      </c>
      <c r="R5466" t="s">
        <v>4581</v>
      </c>
      <c r="S5466" t="s">
        <v>4599</v>
      </c>
      <c r="T5466" t="s">
        <v>4655</v>
      </c>
      <c r="U5466" t="s">
        <v>4655</v>
      </c>
      <c r="V5466" s="2">
        <v>0</v>
      </c>
      <c r="W5466" t="s">
        <v>4655</v>
      </c>
      <c r="X5466" s="2">
        <v>0</v>
      </c>
      <c r="Y5466">
        <v>15</v>
      </c>
      <c r="Z5466" t="s">
        <v>1491</v>
      </c>
      <c r="AA5466" s="3">
        <v>3.6900000572204501</v>
      </c>
      <c r="AB5466" t="s">
        <v>27516</v>
      </c>
      <c r="AC5466" t="s">
        <v>4562</v>
      </c>
      <c r="AD5466" t="s">
        <v>27517</v>
      </c>
      <c r="AE5466" t="s">
        <v>4655</v>
      </c>
      <c r="AF5466" t="s">
        <v>27518</v>
      </c>
      <c r="AG5466" t="s">
        <v>5204</v>
      </c>
      <c r="AH5466">
        <v>60085</v>
      </c>
      <c r="AI5466" t="s">
        <v>27519</v>
      </c>
      <c r="AJ5466" t="s">
        <v>27520</v>
      </c>
      <c r="AK5466" t="s">
        <v>27521</v>
      </c>
      <c r="AL5466" s="13" t="s">
        <v>2257</v>
      </c>
      <c r="AM5466">
        <v>1</v>
      </c>
      <c r="AN5466" s="15" t="s">
        <v>2460</v>
      </c>
    </row>
    <row r="5467" spans="1:40" x14ac:dyDescent="0.3">
      <c r="A5467" s="10" t="str">
        <f>HYPERLINK("http://www.washoecounty.gov/assessor/cama/?parid=163-150-08&amp;CardNumber=1","163-150-08")</f>
        <v>163-150-08</v>
      </c>
      <c r="B5467" t="s">
        <v>4655</v>
      </c>
      <c r="C5467" t="s">
        <v>320</v>
      </c>
      <c r="D5467" s="1">
        <v>40332</v>
      </c>
      <c r="E5467" s="2">
        <v>285000</v>
      </c>
      <c r="F5467" t="s">
        <v>4201</v>
      </c>
      <c r="G5467" s="17" t="str">
        <f>HYPERLINK("https://www.washoecounty.gov/assessor/cama/?command=sales&amp;parid=16315008","3888242")</f>
        <v>3888242</v>
      </c>
      <c r="H5467" t="s">
        <v>4936</v>
      </c>
      <c r="I5467">
        <v>2003</v>
      </c>
      <c r="J5467">
        <v>2003</v>
      </c>
      <c r="K5467" t="s">
        <v>1394</v>
      </c>
      <c r="L5467" t="s">
        <v>1366</v>
      </c>
      <c r="M5467" s="2">
        <v>3047</v>
      </c>
      <c r="N5467" t="s">
        <v>1431</v>
      </c>
      <c r="O5467">
        <v>0</v>
      </c>
      <c r="P5467">
        <v>0</v>
      </c>
      <c r="Q5467">
        <v>0</v>
      </c>
      <c r="R5467" t="s">
        <v>1368</v>
      </c>
      <c r="S5467" t="s">
        <v>4599</v>
      </c>
      <c r="T5467" t="s">
        <v>4655</v>
      </c>
      <c r="U5467" t="s">
        <v>4655</v>
      </c>
      <c r="V5467" s="2">
        <v>0</v>
      </c>
      <c r="W5467" t="s">
        <v>4655</v>
      </c>
      <c r="X5467" s="2">
        <v>0</v>
      </c>
      <c r="Y5467">
        <v>51</v>
      </c>
      <c r="Z5467" t="s">
        <v>1491</v>
      </c>
      <c r="AA5467" s="3">
        <v>0.15950413048267401</v>
      </c>
      <c r="AB5467" t="s">
        <v>27522</v>
      </c>
      <c r="AC5467" t="s">
        <v>4575</v>
      </c>
      <c r="AD5467" t="s">
        <v>27523</v>
      </c>
      <c r="AE5467" t="s">
        <v>4655</v>
      </c>
      <c r="AF5467" t="s">
        <v>4563</v>
      </c>
      <c r="AG5467" t="s">
        <v>4564</v>
      </c>
      <c r="AH5467">
        <v>89511</v>
      </c>
      <c r="AI5467" t="s">
        <v>27524</v>
      </c>
      <c r="AJ5467" t="s">
        <v>27525</v>
      </c>
      <c r="AK5467" t="s">
        <v>27526</v>
      </c>
      <c r="AL5467" s="13" t="s">
        <v>2257</v>
      </c>
      <c r="AM5467">
        <v>0</v>
      </c>
      <c r="AN5467" s="15" t="s">
        <v>1547</v>
      </c>
    </row>
    <row r="5468" spans="1:40" x14ac:dyDescent="0.3">
      <c r="A5468" s="10" t="str">
        <f>HYPERLINK("http://www.washoecounty.gov/assessor/cama/?parid=163-170-01&amp;CardNumber=1","163-170-01")</f>
        <v>163-170-01</v>
      </c>
      <c r="B5468" t="s">
        <v>4655</v>
      </c>
      <c r="C5468" t="s">
        <v>27527</v>
      </c>
      <c r="D5468" s="1">
        <v>40422</v>
      </c>
      <c r="E5468" s="2">
        <v>500000</v>
      </c>
      <c r="F5468" t="s">
        <v>3174</v>
      </c>
      <c r="G5468" s="17" t="str">
        <f>HYPERLINK("https://www.washoecounty.gov/assessor/cama/?command=sales&amp;parid=16317001","3917891")</f>
        <v>3917891</v>
      </c>
      <c r="H5468" t="s">
        <v>27528</v>
      </c>
      <c r="I5468">
        <v>0</v>
      </c>
      <c r="J5468">
        <v>0</v>
      </c>
      <c r="K5468" t="s">
        <v>4655</v>
      </c>
      <c r="L5468" t="s">
        <v>4655</v>
      </c>
      <c r="M5468" s="2">
        <v>0</v>
      </c>
      <c r="N5468" t="s">
        <v>4655</v>
      </c>
      <c r="O5468">
        <v>0</v>
      </c>
      <c r="P5468">
        <v>0</v>
      </c>
      <c r="Q5468">
        <v>0</v>
      </c>
      <c r="R5468" t="s">
        <v>4655</v>
      </c>
      <c r="S5468" t="s">
        <v>4655</v>
      </c>
      <c r="T5468" t="s">
        <v>4655</v>
      </c>
      <c r="U5468" t="s">
        <v>4655</v>
      </c>
      <c r="V5468" s="2">
        <v>0</v>
      </c>
      <c r="W5468" t="s">
        <v>4655</v>
      </c>
      <c r="X5468" s="2">
        <v>0</v>
      </c>
      <c r="Y5468">
        <v>14</v>
      </c>
      <c r="Z5468" t="s">
        <v>1491</v>
      </c>
      <c r="AA5468" s="3">
        <v>7.1877866983413696E-2</v>
      </c>
      <c r="AB5468" t="s">
        <v>27529</v>
      </c>
      <c r="AC5468" t="s">
        <v>4562</v>
      </c>
      <c r="AD5468" t="s">
        <v>27530</v>
      </c>
      <c r="AE5468" t="s">
        <v>4655</v>
      </c>
      <c r="AF5468" t="s">
        <v>4563</v>
      </c>
      <c r="AG5468" t="s">
        <v>4564</v>
      </c>
      <c r="AH5468">
        <v>89502</v>
      </c>
      <c r="AI5468" t="s">
        <v>1398</v>
      </c>
      <c r="AJ5468" t="s">
        <v>27531</v>
      </c>
      <c r="AK5468" t="s">
        <v>27532</v>
      </c>
      <c r="AL5468" s="13" t="s">
        <v>2257</v>
      </c>
      <c r="AM5468" s="14">
        <v>0</v>
      </c>
      <c r="AN5468" s="15" t="s">
        <v>1820</v>
      </c>
    </row>
    <row r="5469" spans="1:40" x14ac:dyDescent="0.3">
      <c r="A5469" s="10" t="str">
        <f>HYPERLINK("http://www.washoecounty.gov/assessor/cama/?parid=163-210-06&amp;CardNumber=1","163-210-06")</f>
        <v>163-210-06</v>
      </c>
      <c r="B5469" t="s">
        <v>4655</v>
      </c>
      <c r="C5469" t="s">
        <v>27533</v>
      </c>
      <c r="D5469" s="1">
        <v>40443</v>
      </c>
      <c r="E5469" s="2">
        <v>457385</v>
      </c>
      <c r="F5469" t="s">
        <v>3528</v>
      </c>
      <c r="G5469" s="17" t="str">
        <f>HYPERLINK("https://www.washoecounty.gov/assessor/cama/?command=sales&amp;parid=16321006","3924961")</f>
        <v>3924961</v>
      </c>
      <c r="H5469" t="s">
        <v>27534</v>
      </c>
      <c r="I5469">
        <v>2003</v>
      </c>
      <c r="J5469">
        <v>2003</v>
      </c>
      <c r="K5469" t="s">
        <v>1394</v>
      </c>
      <c r="L5469" t="s">
        <v>1366</v>
      </c>
      <c r="M5469" s="2">
        <v>5381</v>
      </c>
      <c r="N5469" t="s">
        <v>1431</v>
      </c>
      <c r="O5469">
        <v>0</v>
      </c>
      <c r="P5469">
        <v>0</v>
      </c>
      <c r="Q5469">
        <v>0</v>
      </c>
      <c r="R5469" t="s">
        <v>1368</v>
      </c>
      <c r="S5469" t="s">
        <v>4599</v>
      </c>
      <c r="T5469" t="s">
        <v>4655</v>
      </c>
      <c r="U5469" t="s">
        <v>4655</v>
      </c>
      <c r="V5469" s="2">
        <v>0</v>
      </c>
      <c r="W5469" t="s">
        <v>4655</v>
      </c>
      <c r="X5469" s="2">
        <v>0</v>
      </c>
      <c r="Y5469">
        <v>51</v>
      </c>
      <c r="Z5469" t="s">
        <v>1491</v>
      </c>
      <c r="AA5469" s="3">
        <v>0.123025715351105</v>
      </c>
      <c r="AB5469" t="s">
        <v>27535</v>
      </c>
      <c r="AC5469" t="s">
        <v>4562</v>
      </c>
      <c r="AD5469" t="s">
        <v>27536</v>
      </c>
      <c r="AE5469" t="s">
        <v>4655</v>
      </c>
      <c r="AF5469" t="s">
        <v>2108</v>
      </c>
      <c r="AG5469" t="s">
        <v>2109</v>
      </c>
      <c r="AH5469" t="s">
        <v>27537</v>
      </c>
      <c r="AI5469" t="s">
        <v>27538</v>
      </c>
      <c r="AJ5469" t="s">
        <v>27539</v>
      </c>
      <c r="AK5469" t="s">
        <v>27540</v>
      </c>
      <c r="AL5469" s="13" t="s">
        <v>2257</v>
      </c>
      <c r="AM5469">
        <v>0</v>
      </c>
      <c r="AN5469" s="15" t="s">
        <v>1179</v>
      </c>
    </row>
    <row r="5470" spans="1:40" x14ac:dyDescent="0.3">
      <c r="A5470" s="10" t="str">
        <f>HYPERLINK("http://www.washoecounty.gov/assessor/cama/?parid=163-210-19&amp;CardNumber=1","163-210-19")</f>
        <v>163-210-19</v>
      </c>
      <c r="B5470" t="s">
        <v>4655</v>
      </c>
      <c r="C5470" t="s">
        <v>1175</v>
      </c>
      <c r="D5470" s="1">
        <v>40234</v>
      </c>
      <c r="E5470" s="2">
        <v>500000</v>
      </c>
      <c r="F5470" t="s">
        <v>3259</v>
      </c>
      <c r="G5470" s="17" t="str">
        <f>HYPERLINK("https://www.washoecounty.gov/assessor/cama/?command=sales&amp;parid=16321019","3852571")</f>
        <v>3852571</v>
      </c>
      <c r="H5470" t="s">
        <v>1176</v>
      </c>
      <c r="I5470">
        <v>2003</v>
      </c>
      <c r="J5470">
        <v>2003</v>
      </c>
      <c r="K5470" t="s">
        <v>1394</v>
      </c>
      <c r="L5470" t="s">
        <v>1366</v>
      </c>
      <c r="M5470" s="2">
        <v>5507</v>
      </c>
      <c r="N5470" t="s">
        <v>1431</v>
      </c>
      <c r="O5470">
        <v>0</v>
      </c>
      <c r="P5470">
        <v>0</v>
      </c>
      <c r="Q5470">
        <v>0</v>
      </c>
      <c r="R5470" t="s">
        <v>1368</v>
      </c>
      <c r="S5470" t="s">
        <v>4599</v>
      </c>
      <c r="T5470" t="s">
        <v>4655</v>
      </c>
      <c r="U5470" t="s">
        <v>4655</v>
      </c>
      <c r="V5470" s="2">
        <v>0</v>
      </c>
      <c r="W5470" t="s">
        <v>4655</v>
      </c>
      <c r="X5470" s="2">
        <v>0</v>
      </c>
      <c r="Y5470">
        <v>51</v>
      </c>
      <c r="Z5470" t="s">
        <v>1491</v>
      </c>
      <c r="AA5470" s="3">
        <v>0.12653811275959001</v>
      </c>
      <c r="AB5470" t="s">
        <v>5712</v>
      </c>
      <c r="AC5470" t="s">
        <v>4562</v>
      </c>
      <c r="AD5470" t="s">
        <v>5713</v>
      </c>
      <c r="AE5470" t="s">
        <v>4655</v>
      </c>
      <c r="AF5470" t="s">
        <v>4563</v>
      </c>
      <c r="AG5470" t="s">
        <v>4564</v>
      </c>
      <c r="AH5470">
        <v>89511</v>
      </c>
      <c r="AI5470" t="s">
        <v>5675</v>
      </c>
      <c r="AJ5470" t="s">
        <v>1177</v>
      </c>
      <c r="AK5470" t="s">
        <v>1178</v>
      </c>
      <c r="AL5470" s="13" t="s">
        <v>2257</v>
      </c>
      <c r="AM5470">
        <v>0</v>
      </c>
      <c r="AN5470" s="15" t="s">
        <v>1179</v>
      </c>
    </row>
    <row r="5471" spans="1:40" x14ac:dyDescent="0.3">
      <c r="A5471" s="10" t="str">
        <f>HYPERLINK("http://www.washoecounty.gov/assessor/cama/?parid=163-240-07&amp;CardNumber=1","163-240-07")</f>
        <v>163-240-07</v>
      </c>
      <c r="B5471" t="s">
        <v>4655</v>
      </c>
      <c r="C5471" t="s">
        <v>27541</v>
      </c>
      <c r="D5471" s="1">
        <v>40438</v>
      </c>
      <c r="E5471" s="2">
        <v>337920</v>
      </c>
      <c r="F5471" t="s">
        <v>3259</v>
      </c>
      <c r="G5471" s="17" t="str">
        <f>HYPERLINK("https://www.washoecounty.gov/assessor/cama/?command=sales&amp;parid=16324007","3923483")</f>
        <v>3923483</v>
      </c>
      <c r="H5471" t="s">
        <v>27542</v>
      </c>
      <c r="I5471">
        <v>2008</v>
      </c>
      <c r="J5471">
        <v>2008</v>
      </c>
      <c r="K5471" t="s">
        <v>1394</v>
      </c>
      <c r="L5471" t="s">
        <v>1366</v>
      </c>
      <c r="M5471" s="2">
        <v>2656</v>
      </c>
      <c r="N5471" t="s">
        <v>1431</v>
      </c>
      <c r="O5471">
        <v>0</v>
      </c>
      <c r="P5471">
        <v>0</v>
      </c>
      <c r="Q5471">
        <v>0</v>
      </c>
      <c r="R5471" t="s">
        <v>1395</v>
      </c>
      <c r="S5471" t="s">
        <v>4599</v>
      </c>
      <c r="T5471" t="s">
        <v>4655</v>
      </c>
      <c r="U5471" t="s">
        <v>4655</v>
      </c>
      <c r="V5471" s="2">
        <v>0</v>
      </c>
      <c r="W5471" t="s">
        <v>4655</v>
      </c>
      <c r="X5471" s="2">
        <v>0</v>
      </c>
      <c r="Y5471">
        <v>51</v>
      </c>
      <c r="Z5471" t="s">
        <v>1491</v>
      </c>
      <c r="AA5471" s="3">
        <v>7.29568377137184E-2</v>
      </c>
      <c r="AB5471" t="s">
        <v>27543</v>
      </c>
      <c r="AC5471" t="s">
        <v>4562</v>
      </c>
      <c r="AD5471" t="s">
        <v>27544</v>
      </c>
      <c r="AE5471" t="s">
        <v>4655</v>
      </c>
      <c r="AF5471" t="s">
        <v>4563</v>
      </c>
      <c r="AG5471" t="s">
        <v>4564</v>
      </c>
      <c r="AH5471" t="s">
        <v>2330</v>
      </c>
      <c r="AI5471" t="s">
        <v>27545</v>
      </c>
      <c r="AJ5471" t="s">
        <v>27546</v>
      </c>
      <c r="AK5471" t="s">
        <v>27547</v>
      </c>
      <c r="AL5471" s="13" t="s">
        <v>2257</v>
      </c>
      <c r="AM5471">
        <v>1</v>
      </c>
      <c r="AN5471" s="15" t="s">
        <v>1179</v>
      </c>
    </row>
    <row r="5472" spans="1:40" x14ac:dyDescent="0.3">
      <c r="A5472" s="10" t="str">
        <f>HYPERLINK("http://www.washoecounty.gov/assessor/cama/?parid=163-251-03&amp;CardNumber=1","163-251-03")</f>
        <v>163-251-03</v>
      </c>
      <c r="B5472" t="s">
        <v>4655</v>
      </c>
      <c r="C5472" t="s">
        <v>304</v>
      </c>
      <c r="D5472" s="1">
        <v>40528</v>
      </c>
      <c r="E5472" s="2">
        <v>130000</v>
      </c>
      <c r="F5472" t="s">
        <v>3174</v>
      </c>
      <c r="G5472" s="17" t="str">
        <f>HYPERLINK("https://www.washoecounty.gov/assessor/cama/?command=sales&amp;parid=16325103","3954572")</f>
        <v>3954572</v>
      </c>
      <c r="H5472" t="s">
        <v>27548</v>
      </c>
      <c r="I5472">
        <v>0</v>
      </c>
      <c r="J5472">
        <v>0</v>
      </c>
      <c r="K5472" t="s">
        <v>4655</v>
      </c>
      <c r="L5472" t="s">
        <v>4655</v>
      </c>
      <c r="M5472" s="2">
        <v>0</v>
      </c>
      <c r="N5472" t="s">
        <v>4655</v>
      </c>
      <c r="O5472">
        <v>0</v>
      </c>
      <c r="P5472">
        <v>0</v>
      </c>
      <c r="Q5472">
        <v>0</v>
      </c>
      <c r="R5472" t="s">
        <v>4655</v>
      </c>
      <c r="S5472" t="s">
        <v>4655</v>
      </c>
      <c r="T5472" t="s">
        <v>4655</v>
      </c>
      <c r="U5472" t="s">
        <v>4655</v>
      </c>
      <c r="V5472" s="2">
        <v>0</v>
      </c>
      <c r="W5472" t="s">
        <v>4655</v>
      </c>
      <c r="X5472" s="2">
        <v>0</v>
      </c>
      <c r="Y5472">
        <v>14</v>
      </c>
      <c r="Z5472" t="s">
        <v>1491</v>
      </c>
      <c r="AA5472" s="3">
        <v>0.16030761599540699</v>
      </c>
      <c r="AB5472" t="s">
        <v>27549</v>
      </c>
      <c r="AC5472" t="s">
        <v>4562</v>
      </c>
      <c r="AD5472" t="s">
        <v>4082</v>
      </c>
      <c r="AE5472" t="s">
        <v>4655</v>
      </c>
      <c r="AF5472" t="s">
        <v>4563</v>
      </c>
      <c r="AG5472" t="s">
        <v>4564</v>
      </c>
      <c r="AH5472">
        <v>89511</v>
      </c>
      <c r="AI5472" t="s">
        <v>27549</v>
      </c>
      <c r="AJ5472" t="s">
        <v>27550</v>
      </c>
      <c r="AK5472" t="s">
        <v>27551</v>
      </c>
      <c r="AL5472" s="13" t="s">
        <v>2257</v>
      </c>
      <c r="AM5472" s="14">
        <v>0</v>
      </c>
      <c r="AN5472" s="15" t="s">
        <v>1820</v>
      </c>
    </row>
    <row r="5473" spans="1:40" x14ac:dyDescent="0.3">
      <c r="A5473" s="10" t="str">
        <f>HYPERLINK("http://www.washoecounty.gov/assessor/cama/?parid=163-251-05&amp;CardNumber=1","163-251-05")</f>
        <v>163-251-05</v>
      </c>
      <c r="B5473" t="s">
        <v>4655</v>
      </c>
      <c r="C5473" t="s">
        <v>304</v>
      </c>
      <c r="D5473" s="1">
        <v>40528</v>
      </c>
      <c r="E5473" s="2">
        <v>130000</v>
      </c>
      <c r="F5473" t="s">
        <v>3174</v>
      </c>
      <c r="G5473" s="17" t="str">
        <f>HYPERLINK("https://www.washoecounty.gov/assessor/cama/?command=sales&amp;parid=16325105","3954572")</f>
        <v>3954572</v>
      </c>
      <c r="H5473" t="s">
        <v>27552</v>
      </c>
      <c r="I5473">
        <v>0</v>
      </c>
      <c r="J5473">
        <v>0</v>
      </c>
      <c r="K5473" t="s">
        <v>4655</v>
      </c>
      <c r="L5473" t="s">
        <v>4655</v>
      </c>
      <c r="M5473" s="2">
        <v>0</v>
      </c>
      <c r="N5473" t="s">
        <v>4655</v>
      </c>
      <c r="O5473">
        <v>0</v>
      </c>
      <c r="P5473">
        <v>0</v>
      </c>
      <c r="Q5473">
        <v>0</v>
      </c>
      <c r="R5473" t="s">
        <v>4655</v>
      </c>
      <c r="S5473" t="s">
        <v>4655</v>
      </c>
      <c r="T5473" t="s">
        <v>4655</v>
      </c>
      <c r="U5473" t="s">
        <v>4655</v>
      </c>
      <c r="V5473" s="2">
        <v>0</v>
      </c>
      <c r="W5473" t="s">
        <v>4655</v>
      </c>
      <c r="X5473" s="2">
        <v>0</v>
      </c>
      <c r="Y5473">
        <v>14</v>
      </c>
      <c r="Z5473" t="s">
        <v>1491</v>
      </c>
      <c r="AA5473" s="3">
        <v>0.160697892308235</v>
      </c>
      <c r="AB5473" t="s">
        <v>27549</v>
      </c>
      <c r="AC5473" t="s">
        <v>4562</v>
      </c>
      <c r="AD5473" t="s">
        <v>4082</v>
      </c>
      <c r="AE5473" t="s">
        <v>4655</v>
      </c>
      <c r="AF5473" t="s">
        <v>4563</v>
      </c>
      <c r="AG5473" t="s">
        <v>4564</v>
      </c>
      <c r="AH5473">
        <v>89511</v>
      </c>
      <c r="AI5473" t="s">
        <v>27549</v>
      </c>
      <c r="AJ5473" t="s">
        <v>27553</v>
      </c>
      <c r="AK5473" t="s">
        <v>27554</v>
      </c>
      <c r="AL5473" s="13" t="s">
        <v>2257</v>
      </c>
      <c r="AM5473" s="14">
        <v>0</v>
      </c>
      <c r="AN5473" s="15" t="s">
        <v>1820</v>
      </c>
    </row>
    <row r="5474" spans="1:40" x14ac:dyDescent="0.3">
      <c r="A5474" s="10" t="str">
        <f>HYPERLINK("http://www.washoecounty.gov/assessor/cama/?parid=163-251-06&amp;CardNumber=1","163-251-06")</f>
        <v>163-251-06</v>
      </c>
      <c r="B5474" t="s">
        <v>4655</v>
      </c>
      <c r="C5474" t="s">
        <v>304</v>
      </c>
      <c r="D5474" s="1">
        <v>40528</v>
      </c>
      <c r="E5474" s="2">
        <v>130000</v>
      </c>
      <c r="F5474" t="s">
        <v>3174</v>
      </c>
      <c r="G5474" s="17" t="str">
        <f>HYPERLINK("https://www.washoecounty.gov/assessor/cama/?command=sales&amp;parid=16325106","3954572")</f>
        <v>3954572</v>
      </c>
      <c r="H5474" t="s">
        <v>27552</v>
      </c>
      <c r="I5474">
        <v>0</v>
      </c>
      <c r="J5474">
        <v>0</v>
      </c>
      <c r="K5474" t="s">
        <v>4655</v>
      </c>
      <c r="L5474" t="s">
        <v>4655</v>
      </c>
      <c r="M5474" s="2">
        <v>0</v>
      </c>
      <c r="N5474" t="s">
        <v>4655</v>
      </c>
      <c r="O5474">
        <v>0</v>
      </c>
      <c r="P5474">
        <v>0</v>
      </c>
      <c r="Q5474">
        <v>0</v>
      </c>
      <c r="R5474" t="s">
        <v>4655</v>
      </c>
      <c r="S5474" t="s">
        <v>4655</v>
      </c>
      <c r="T5474" t="s">
        <v>4655</v>
      </c>
      <c r="U5474" t="s">
        <v>4655</v>
      </c>
      <c r="V5474" s="2">
        <v>0</v>
      </c>
      <c r="W5474" t="s">
        <v>4655</v>
      </c>
      <c r="X5474" s="2">
        <v>0</v>
      </c>
      <c r="Y5474">
        <v>14</v>
      </c>
      <c r="Z5474" t="s">
        <v>1491</v>
      </c>
      <c r="AA5474" s="3">
        <v>0.160697892308235</v>
      </c>
      <c r="AB5474" t="s">
        <v>27549</v>
      </c>
      <c r="AC5474" t="s">
        <v>4562</v>
      </c>
      <c r="AD5474" t="s">
        <v>4082</v>
      </c>
      <c r="AE5474" t="s">
        <v>4655</v>
      </c>
      <c r="AF5474" t="s">
        <v>4563</v>
      </c>
      <c r="AG5474" t="s">
        <v>4564</v>
      </c>
      <c r="AH5474">
        <v>89511</v>
      </c>
      <c r="AI5474" t="s">
        <v>27549</v>
      </c>
      <c r="AJ5474" t="s">
        <v>27553</v>
      </c>
      <c r="AK5474" t="s">
        <v>27555</v>
      </c>
      <c r="AL5474" s="13" t="s">
        <v>2257</v>
      </c>
      <c r="AM5474">
        <v>0</v>
      </c>
      <c r="AN5474" s="15" t="s">
        <v>1820</v>
      </c>
    </row>
    <row r="5475" spans="1:40" x14ac:dyDescent="0.3">
      <c r="A5475" s="10" t="str">
        <f>HYPERLINK("http://www.washoecounty.gov/assessor/cama/?parid=163-291-01&amp;CardNumber=1","163-291-01")</f>
        <v>163-291-01</v>
      </c>
      <c r="B5475" t="s">
        <v>4655</v>
      </c>
      <c r="C5475" t="s">
        <v>27556</v>
      </c>
      <c r="D5475" s="1">
        <v>40422</v>
      </c>
      <c r="E5475" s="2">
        <v>500000</v>
      </c>
      <c r="F5475" t="s">
        <v>3174</v>
      </c>
      <c r="G5475" s="17" t="str">
        <f>HYPERLINK("https://www.washoecounty.gov/assessor/cama/?command=sales&amp;parid=16329101","3917891")</f>
        <v>3917891</v>
      </c>
      <c r="H5475" t="s">
        <v>27557</v>
      </c>
      <c r="I5475">
        <v>2006</v>
      </c>
      <c r="J5475">
        <v>2006</v>
      </c>
      <c r="K5475" t="s">
        <v>3919</v>
      </c>
      <c r="L5475" t="s">
        <v>1366</v>
      </c>
      <c r="M5475" s="2">
        <v>2400</v>
      </c>
      <c r="N5475" t="s">
        <v>1431</v>
      </c>
      <c r="O5475">
        <v>0</v>
      </c>
      <c r="P5475">
        <v>0</v>
      </c>
      <c r="Q5475">
        <v>0</v>
      </c>
      <c r="R5475" t="s">
        <v>1395</v>
      </c>
      <c r="S5475" t="s">
        <v>1819</v>
      </c>
      <c r="T5475" t="s">
        <v>4655</v>
      </c>
      <c r="U5475" t="s">
        <v>4655</v>
      </c>
      <c r="V5475" s="2">
        <v>0</v>
      </c>
      <c r="W5475" t="s">
        <v>4655</v>
      </c>
      <c r="X5475" s="2">
        <v>0</v>
      </c>
      <c r="Y5475">
        <v>41</v>
      </c>
      <c r="Z5475" t="s">
        <v>1491</v>
      </c>
      <c r="AA5475" s="3">
        <v>5.5096417665481602E-2</v>
      </c>
      <c r="AB5475" t="s">
        <v>27529</v>
      </c>
      <c r="AC5475" t="s">
        <v>4562</v>
      </c>
      <c r="AD5475" t="s">
        <v>27530</v>
      </c>
      <c r="AE5475" t="s">
        <v>4655</v>
      </c>
      <c r="AF5475" t="s">
        <v>4563</v>
      </c>
      <c r="AG5475" t="s">
        <v>4564</v>
      </c>
      <c r="AH5475">
        <v>89502</v>
      </c>
      <c r="AI5475" t="s">
        <v>1398</v>
      </c>
      <c r="AJ5475" t="s">
        <v>27558</v>
      </c>
      <c r="AK5475" t="s">
        <v>27559</v>
      </c>
      <c r="AL5475" s="13" t="s">
        <v>2257</v>
      </c>
      <c r="AM5475">
        <v>0</v>
      </c>
      <c r="AN5475" s="15" t="s">
        <v>1820</v>
      </c>
    </row>
    <row r="5476" spans="1:40" x14ac:dyDescent="0.3">
      <c r="A5476" s="10" t="str">
        <f>HYPERLINK("http://www.washoecounty.gov/assessor/cama/?parid=163-291-02&amp;CardNumber=1","163-291-02")</f>
        <v>163-291-02</v>
      </c>
      <c r="B5476" t="s">
        <v>4655</v>
      </c>
      <c r="C5476" t="s">
        <v>27560</v>
      </c>
      <c r="D5476" s="1">
        <v>40422</v>
      </c>
      <c r="E5476" s="2">
        <v>500000</v>
      </c>
      <c r="F5476" t="s">
        <v>3174</v>
      </c>
      <c r="G5476" s="17" t="str">
        <f>HYPERLINK("https://www.washoecounty.gov/assessor/cama/?command=sales&amp;parid=16329102","3917891")</f>
        <v>3917891</v>
      </c>
      <c r="H5476" t="s">
        <v>27557</v>
      </c>
      <c r="I5476">
        <v>2006</v>
      </c>
      <c r="J5476">
        <v>2006</v>
      </c>
      <c r="K5476" t="s">
        <v>3919</v>
      </c>
      <c r="L5476" t="s">
        <v>1366</v>
      </c>
      <c r="M5476" s="2">
        <v>1800</v>
      </c>
      <c r="N5476" t="s">
        <v>1431</v>
      </c>
      <c r="O5476">
        <v>0</v>
      </c>
      <c r="P5476">
        <v>0</v>
      </c>
      <c r="Q5476">
        <v>0</v>
      </c>
      <c r="R5476" t="s">
        <v>1395</v>
      </c>
      <c r="S5476" t="s">
        <v>1819</v>
      </c>
      <c r="T5476" t="s">
        <v>4655</v>
      </c>
      <c r="U5476" t="s">
        <v>4655</v>
      </c>
      <c r="V5476" s="2">
        <v>0</v>
      </c>
      <c r="W5476" t="s">
        <v>4655</v>
      </c>
      <c r="X5476" s="2">
        <v>0</v>
      </c>
      <c r="Y5476">
        <v>41</v>
      </c>
      <c r="Z5476" t="s">
        <v>1491</v>
      </c>
      <c r="AA5476" s="3">
        <v>4.1322313249111203E-2</v>
      </c>
      <c r="AB5476" t="s">
        <v>27529</v>
      </c>
      <c r="AC5476" t="s">
        <v>4562</v>
      </c>
      <c r="AD5476" t="s">
        <v>27530</v>
      </c>
      <c r="AE5476" t="s">
        <v>4655</v>
      </c>
      <c r="AF5476" t="s">
        <v>4563</v>
      </c>
      <c r="AG5476" t="s">
        <v>4564</v>
      </c>
      <c r="AH5476">
        <v>89502</v>
      </c>
      <c r="AI5476" t="s">
        <v>1398</v>
      </c>
      <c r="AJ5476" t="s">
        <v>27558</v>
      </c>
      <c r="AK5476" t="s">
        <v>27561</v>
      </c>
      <c r="AL5476" s="13" t="s">
        <v>2257</v>
      </c>
      <c r="AM5476" s="14">
        <v>0</v>
      </c>
      <c r="AN5476" s="15" t="s">
        <v>1820</v>
      </c>
    </row>
    <row r="5477" spans="1:40" x14ac:dyDescent="0.3">
      <c r="A5477" s="10" t="str">
        <f>HYPERLINK("http://www.washoecounty.gov/assessor/cama/?parid=163-291-03&amp;CardNumber=1","163-291-03")</f>
        <v>163-291-03</v>
      </c>
      <c r="B5477" t="s">
        <v>4655</v>
      </c>
      <c r="C5477" t="s">
        <v>27556</v>
      </c>
      <c r="D5477" s="1">
        <v>40422</v>
      </c>
      <c r="E5477" s="2">
        <v>500000</v>
      </c>
      <c r="F5477" t="s">
        <v>3174</v>
      </c>
      <c r="G5477" s="17" t="str">
        <f>HYPERLINK("https://www.washoecounty.gov/assessor/cama/?command=sales&amp;parid=16329103","3917891")</f>
        <v>3917891</v>
      </c>
      <c r="H5477" t="s">
        <v>27557</v>
      </c>
      <c r="I5477">
        <v>2006</v>
      </c>
      <c r="J5477">
        <v>2006</v>
      </c>
      <c r="K5477" t="s">
        <v>3919</v>
      </c>
      <c r="L5477" t="s">
        <v>1366</v>
      </c>
      <c r="M5477" s="2">
        <v>1800</v>
      </c>
      <c r="N5477" t="s">
        <v>1431</v>
      </c>
      <c r="O5477">
        <v>0</v>
      </c>
      <c r="P5477">
        <v>0</v>
      </c>
      <c r="Q5477">
        <v>0</v>
      </c>
      <c r="R5477" t="s">
        <v>1395</v>
      </c>
      <c r="S5477" t="s">
        <v>1819</v>
      </c>
      <c r="T5477" t="s">
        <v>4655</v>
      </c>
      <c r="U5477" t="s">
        <v>4655</v>
      </c>
      <c r="V5477" s="2">
        <v>0</v>
      </c>
      <c r="W5477" t="s">
        <v>4655</v>
      </c>
      <c r="X5477" s="2">
        <v>0</v>
      </c>
      <c r="Y5477">
        <v>41</v>
      </c>
      <c r="Z5477" t="s">
        <v>1491</v>
      </c>
      <c r="AA5477" s="3">
        <v>4.1322313249111203E-2</v>
      </c>
      <c r="AB5477" t="s">
        <v>27529</v>
      </c>
      <c r="AC5477" t="s">
        <v>4562</v>
      </c>
      <c r="AD5477" t="s">
        <v>27530</v>
      </c>
      <c r="AE5477" t="s">
        <v>4655</v>
      </c>
      <c r="AF5477" t="s">
        <v>4563</v>
      </c>
      <c r="AG5477" t="s">
        <v>4564</v>
      </c>
      <c r="AH5477">
        <v>89502</v>
      </c>
      <c r="AI5477" t="s">
        <v>1398</v>
      </c>
      <c r="AJ5477" t="s">
        <v>27558</v>
      </c>
      <c r="AK5477" t="s">
        <v>27562</v>
      </c>
      <c r="AL5477" s="13" t="s">
        <v>2257</v>
      </c>
      <c r="AM5477">
        <v>0</v>
      </c>
      <c r="AN5477" s="15" t="s">
        <v>1820</v>
      </c>
    </row>
    <row r="5478" spans="1:40" x14ac:dyDescent="0.3">
      <c r="A5478" s="10" t="str">
        <f>HYPERLINK("http://www.washoecounty.gov/assessor/cama/?parid=163-291-05&amp;CardNumber=1","163-291-05")</f>
        <v>163-291-05</v>
      </c>
      <c r="B5478" t="s">
        <v>4655</v>
      </c>
      <c r="C5478" t="s">
        <v>27563</v>
      </c>
      <c r="D5478" s="1">
        <v>40422</v>
      </c>
      <c r="E5478" s="2">
        <v>500000</v>
      </c>
      <c r="F5478" t="s">
        <v>3174</v>
      </c>
      <c r="G5478" s="17" t="str">
        <f>HYPERLINK("https://www.washoecounty.gov/assessor/cama/?command=sales&amp;parid=16329105","3917891")</f>
        <v>3917891</v>
      </c>
      <c r="H5478" t="s">
        <v>27557</v>
      </c>
      <c r="I5478">
        <v>0</v>
      </c>
      <c r="J5478">
        <v>0</v>
      </c>
      <c r="K5478" t="s">
        <v>4655</v>
      </c>
      <c r="L5478" t="s">
        <v>4655</v>
      </c>
      <c r="M5478" s="2">
        <v>0</v>
      </c>
      <c r="N5478" t="s">
        <v>4655</v>
      </c>
      <c r="O5478">
        <v>0</v>
      </c>
      <c r="P5478">
        <v>0</v>
      </c>
      <c r="Q5478">
        <v>0</v>
      </c>
      <c r="R5478" t="s">
        <v>4655</v>
      </c>
      <c r="S5478" t="s">
        <v>4655</v>
      </c>
      <c r="T5478" t="s">
        <v>4655</v>
      </c>
      <c r="U5478" t="s">
        <v>4655</v>
      </c>
      <c r="V5478" s="2">
        <v>0</v>
      </c>
      <c r="W5478" t="s">
        <v>4655</v>
      </c>
      <c r="X5478" s="2">
        <v>0</v>
      </c>
      <c r="Y5478">
        <v>24</v>
      </c>
      <c r="Z5478" t="s">
        <v>1491</v>
      </c>
      <c r="AA5478" s="3">
        <v>0.70397150516509999</v>
      </c>
      <c r="AB5478" t="s">
        <v>27529</v>
      </c>
      <c r="AC5478" t="s">
        <v>4562</v>
      </c>
      <c r="AD5478" t="s">
        <v>27530</v>
      </c>
      <c r="AE5478" t="s">
        <v>4655</v>
      </c>
      <c r="AF5478" t="s">
        <v>4563</v>
      </c>
      <c r="AG5478" t="s">
        <v>4564</v>
      </c>
      <c r="AH5478">
        <v>89502</v>
      </c>
      <c r="AI5478" t="s">
        <v>1398</v>
      </c>
      <c r="AJ5478" t="s">
        <v>27558</v>
      </c>
      <c r="AK5478" t="s">
        <v>27564</v>
      </c>
      <c r="AL5478" s="13" t="s">
        <v>2257</v>
      </c>
      <c r="AM5478">
        <v>0</v>
      </c>
      <c r="AN5478" s="15" t="s">
        <v>27565</v>
      </c>
    </row>
    <row r="5479" spans="1:40" x14ac:dyDescent="0.3">
      <c r="A5479" s="10" t="str">
        <f>HYPERLINK("http://www.washoecounty.gov/assessor/cama/?parid=163-291-06&amp;CardNumber=1","163-291-06")</f>
        <v>163-291-06</v>
      </c>
      <c r="B5479" t="s">
        <v>4655</v>
      </c>
      <c r="C5479" t="s">
        <v>27556</v>
      </c>
      <c r="D5479" s="1">
        <v>40422</v>
      </c>
      <c r="E5479" s="2">
        <v>500000</v>
      </c>
      <c r="F5479" t="s">
        <v>3174</v>
      </c>
      <c r="G5479" s="17" t="str">
        <f>HYPERLINK("https://www.washoecounty.gov/assessor/cama/?command=sales&amp;parid=16329106","3917891")</f>
        <v>3917891</v>
      </c>
      <c r="H5479" t="s">
        <v>27566</v>
      </c>
      <c r="I5479">
        <v>2006</v>
      </c>
      <c r="J5479">
        <v>2006</v>
      </c>
      <c r="K5479" t="s">
        <v>3919</v>
      </c>
      <c r="L5479" t="s">
        <v>1366</v>
      </c>
      <c r="M5479" s="2">
        <v>1800</v>
      </c>
      <c r="N5479" t="s">
        <v>1431</v>
      </c>
      <c r="O5479">
        <v>0</v>
      </c>
      <c r="P5479">
        <v>0</v>
      </c>
      <c r="Q5479">
        <v>0</v>
      </c>
      <c r="R5479" t="s">
        <v>1395</v>
      </c>
      <c r="S5479" t="s">
        <v>1819</v>
      </c>
      <c r="T5479" t="s">
        <v>4655</v>
      </c>
      <c r="U5479" t="s">
        <v>4655</v>
      </c>
      <c r="V5479" s="2">
        <v>0</v>
      </c>
      <c r="W5479" t="s">
        <v>4655</v>
      </c>
      <c r="X5479" s="2">
        <v>0</v>
      </c>
      <c r="Y5479">
        <v>41</v>
      </c>
      <c r="Z5479" t="s">
        <v>1491</v>
      </c>
      <c r="AA5479" s="3">
        <v>4.1322313249111203E-2</v>
      </c>
      <c r="AB5479" t="s">
        <v>27529</v>
      </c>
      <c r="AC5479" t="s">
        <v>4562</v>
      </c>
      <c r="AD5479" t="s">
        <v>27530</v>
      </c>
      <c r="AE5479" t="s">
        <v>4655</v>
      </c>
      <c r="AF5479" t="s">
        <v>4563</v>
      </c>
      <c r="AG5479" t="s">
        <v>4564</v>
      </c>
      <c r="AH5479">
        <v>89502</v>
      </c>
      <c r="AI5479" t="s">
        <v>1398</v>
      </c>
      <c r="AJ5479" t="s">
        <v>27567</v>
      </c>
      <c r="AK5479" t="s">
        <v>27568</v>
      </c>
      <c r="AL5479" s="13" t="s">
        <v>2257</v>
      </c>
      <c r="AM5479" s="14">
        <v>0</v>
      </c>
      <c r="AN5479" s="15" t="s">
        <v>1820</v>
      </c>
    </row>
    <row r="5480" spans="1:40" x14ac:dyDescent="0.3">
      <c r="A5480" s="10" t="str">
        <f>HYPERLINK("http://www.washoecounty.gov/assessor/cama/?parid=163-291-07&amp;CardNumber=1","163-291-07")</f>
        <v>163-291-07</v>
      </c>
      <c r="B5480" t="s">
        <v>4655</v>
      </c>
      <c r="C5480" t="s">
        <v>27556</v>
      </c>
      <c r="D5480" s="1">
        <v>40422</v>
      </c>
      <c r="E5480" s="2">
        <v>500000</v>
      </c>
      <c r="F5480" t="s">
        <v>3174</v>
      </c>
      <c r="G5480" s="17" t="str">
        <f>HYPERLINK("https://www.washoecounty.gov/assessor/cama/?command=sales&amp;parid=16329107","3917891")</f>
        <v>3917891</v>
      </c>
      <c r="H5480" t="s">
        <v>27566</v>
      </c>
      <c r="I5480">
        <v>2006</v>
      </c>
      <c r="J5480">
        <v>2006</v>
      </c>
      <c r="K5480" t="s">
        <v>3919</v>
      </c>
      <c r="L5480" t="s">
        <v>1366</v>
      </c>
      <c r="M5480" s="2">
        <v>2400</v>
      </c>
      <c r="N5480" t="s">
        <v>1431</v>
      </c>
      <c r="O5480">
        <v>0</v>
      </c>
      <c r="P5480">
        <v>0</v>
      </c>
      <c r="Q5480">
        <v>0</v>
      </c>
      <c r="R5480" t="s">
        <v>1395</v>
      </c>
      <c r="S5480" t="s">
        <v>1819</v>
      </c>
      <c r="T5480" t="s">
        <v>4655</v>
      </c>
      <c r="U5480" t="s">
        <v>4655</v>
      </c>
      <c r="V5480" s="2">
        <v>0</v>
      </c>
      <c r="W5480" t="s">
        <v>4655</v>
      </c>
      <c r="X5480" s="2">
        <v>0</v>
      </c>
      <c r="Y5480">
        <v>41</v>
      </c>
      <c r="Z5480" t="s">
        <v>1491</v>
      </c>
      <c r="AA5480" s="3">
        <v>5.31680434942245E-2</v>
      </c>
      <c r="AB5480" t="s">
        <v>27529</v>
      </c>
      <c r="AC5480" t="s">
        <v>4562</v>
      </c>
      <c r="AD5480" t="s">
        <v>27530</v>
      </c>
      <c r="AE5480" t="s">
        <v>4655</v>
      </c>
      <c r="AF5480" t="s">
        <v>4563</v>
      </c>
      <c r="AG5480" t="s">
        <v>4564</v>
      </c>
      <c r="AH5480">
        <v>89502</v>
      </c>
      <c r="AI5480" t="s">
        <v>1398</v>
      </c>
      <c r="AJ5480" t="s">
        <v>27567</v>
      </c>
      <c r="AK5480" t="s">
        <v>27569</v>
      </c>
      <c r="AL5480" s="13" t="s">
        <v>2257</v>
      </c>
      <c r="AM5480" s="14">
        <v>0</v>
      </c>
      <c r="AN5480" s="15" t="s">
        <v>1820</v>
      </c>
    </row>
    <row r="5481" spans="1:40" x14ac:dyDescent="0.3">
      <c r="A5481" s="10" t="str">
        <f>HYPERLINK("http://www.washoecounty.gov/assessor/cama/?parid=164-053-05&amp;CardNumber=1","164-053-05")</f>
        <v>164-053-05</v>
      </c>
      <c r="B5481" t="s">
        <v>4655</v>
      </c>
      <c r="C5481" t="s">
        <v>27570</v>
      </c>
      <c r="D5481" s="1">
        <v>40421</v>
      </c>
      <c r="E5481" s="2">
        <v>222000</v>
      </c>
      <c r="F5481" t="s">
        <v>4567</v>
      </c>
      <c r="G5481" s="17" t="str">
        <f>HYPERLINK("https://www.washoecounty.gov/assessor/cama/?command=sales&amp;parid=16405305","3917233")</f>
        <v>3917233</v>
      </c>
      <c r="H5481" t="s">
        <v>4016</v>
      </c>
      <c r="I5481">
        <v>1998</v>
      </c>
      <c r="J5481">
        <v>1998</v>
      </c>
      <c r="K5481" t="s">
        <v>4554</v>
      </c>
      <c r="L5481" t="s">
        <v>3974</v>
      </c>
      <c r="M5481" s="2">
        <v>2139</v>
      </c>
      <c r="N5481" t="s">
        <v>5280</v>
      </c>
      <c r="O5481">
        <v>3</v>
      </c>
      <c r="P5481">
        <v>2</v>
      </c>
      <c r="Q5481">
        <v>1</v>
      </c>
      <c r="R5481" t="s">
        <v>5281</v>
      </c>
      <c r="S5481" t="s">
        <v>4558</v>
      </c>
      <c r="T5481" t="s">
        <v>4559</v>
      </c>
      <c r="U5481" t="s">
        <v>4655</v>
      </c>
      <c r="V5481" s="2">
        <v>0</v>
      </c>
      <c r="W5481" t="s">
        <v>4655</v>
      </c>
      <c r="X5481" s="2">
        <v>0</v>
      </c>
      <c r="Y5481">
        <v>20</v>
      </c>
      <c r="Z5481" t="s">
        <v>4561</v>
      </c>
      <c r="AA5481" s="3">
        <v>0.13799357414245605</v>
      </c>
      <c r="AB5481" t="s">
        <v>27571</v>
      </c>
      <c r="AC5481" t="s">
        <v>4562</v>
      </c>
      <c r="AD5481" t="s">
        <v>27570</v>
      </c>
      <c r="AE5481" t="s">
        <v>4655</v>
      </c>
      <c r="AF5481" t="s">
        <v>4563</v>
      </c>
      <c r="AG5481" t="s">
        <v>4564</v>
      </c>
      <c r="AH5481">
        <v>89511</v>
      </c>
      <c r="AI5481" t="s">
        <v>27572</v>
      </c>
      <c r="AJ5481" t="s">
        <v>3521</v>
      </c>
      <c r="AK5481" t="s">
        <v>27573</v>
      </c>
      <c r="AL5481" s="13" t="s">
        <v>2255</v>
      </c>
      <c r="AM5481">
        <v>1</v>
      </c>
      <c r="AN5481" s="15" t="s">
        <v>982</v>
      </c>
    </row>
    <row r="5482" spans="1:40" x14ac:dyDescent="0.3">
      <c r="A5482" s="10" t="str">
        <f>HYPERLINK("http://www.washoecounty.gov/assessor/cama/?parid=164-071-04&amp;CardNumber=1","164-071-04")</f>
        <v>164-071-04</v>
      </c>
      <c r="B5482" t="s">
        <v>4655</v>
      </c>
      <c r="C5482" t="s">
        <v>3845</v>
      </c>
      <c r="D5482" s="1">
        <v>40322</v>
      </c>
      <c r="E5482" s="2">
        <v>39000</v>
      </c>
      <c r="F5482" t="s">
        <v>4567</v>
      </c>
      <c r="G5482" s="17" t="str">
        <f>HYPERLINK("https://www.washoecounty.gov/assessor/cama/?command=sales&amp;parid=16407104","3884186")</f>
        <v>3884186</v>
      </c>
      <c r="H5482" t="s">
        <v>3846</v>
      </c>
      <c r="I5482">
        <v>1986</v>
      </c>
      <c r="J5482">
        <v>1986</v>
      </c>
      <c r="K5482" t="s">
        <v>3144</v>
      </c>
      <c r="L5482" t="s">
        <v>4555</v>
      </c>
      <c r="M5482" s="2">
        <v>665</v>
      </c>
      <c r="N5482" t="s">
        <v>4048</v>
      </c>
      <c r="O5482">
        <v>1</v>
      </c>
      <c r="P5482">
        <v>1</v>
      </c>
      <c r="Q5482">
        <v>0</v>
      </c>
      <c r="R5482" t="s">
        <v>5281</v>
      </c>
      <c r="S5482" t="s">
        <v>4558</v>
      </c>
      <c r="T5482" t="s">
        <v>2704</v>
      </c>
      <c r="U5482" t="s">
        <v>4655</v>
      </c>
      <c r="V5482" s="2">
        <v>0</v>
      </c>
      <c r="W5482" t="s">
        <v>4655</v>
      </c>
      <c r="X5482" s="2">
        <v>0</v>
      </c>
      <c r="Y5482">
        <v>21</v>
      </c>
      <c r="Z5482" t="s">
        <v>2705</v>
      </c>
      <c r="AA5482" s="3">
        <v>1.00000004749745E-3</v>
      </c>
      <c r="AB5482" t="s">
        <v>5714</v>
      </c>
      <c r="AC5482" t="s">
        <v>4575</v>
      </c>
      <c r="AD5482" t="s">
        <v>5715</v>
      </c>
      <c r="AE5482" t="s">
        <v>4655</v>
      </c>
      <c r="AF5482" t="s">
        <v>4563</v>
      </c>
      <c r="AG5482" t="s">
        <v>4564</v>
      </c>
      <c r="AH5482" t="s">
        <v>1147</v>
      </c>
      <c r="AI5482" t="s">
        <v>3071</v>
      </c>
      <c r="AJ5482" t="s">
        <v>27574</v>
      </c>
      <c r="AK5482" t="s">
        <v>27575</v>
      </c>
      <c r="AL5482" s="13" t="s">
        <v>2257</v>
      </c>
      <c r="AM5482">
        <v>1</v>
      </c>
      <c r="AN5482" s="15" t="s">
        <v>5149</v>
      </c>
    </row>
    <row r="5483" spans="1:40" x14ac:dyDescent="0.3">
      <c r="A5483" s="10" t="str">
        <f>HYPERLINK("http://www.washoecounty.gov/assessor/cama/?parid=164-071-24&amp;CardNumber=1","164-071-24")</f>
        <v>164-071-24</v>
      </c>
      <c r="B5483" t="s">
        <v>4655</v>
      </c>
      <c r="C5483" t="s">
        <v>3845</v>
      </c>
      <c r="D5483" s="1">
        <v>40501</v>
      </c>
      <c r="E5483" s="2">
        <v>44000</v>
      </c>
      <c r="F5483" t="s">
        <v>4553</v>
      </c>
      <c r="G5483" s="17" t="str">
        <f>HYPERLINK("https://www.washoecounty.gov/assessor/cama/?command=sales&amp;parid=16407124","3945186")</f>
        <v>3945186</v>
      </c>
      <c r="H5483" t="s">
        <v>3846</v>
      </c>
      <c r="I5483">
        <v>1986</v>
      </c>
      <c r="J5483">
        <v>1986</v>
      </c>
      <c r="K5483" t="s">
        <v>4897</v>
      </c>
      <c r="L5483" t="s">
        <v>4555</v>
      </c>
      <c r="M5483" s="2">
        <v>835</v>
      </c>
      <c r="N5483" t="s">
        <v>4048</v>
      </c>
      <c r="O5483">
        <v>2</v>
      </c>
      <c r="P5483">
        <v>1</v>
      </c>
      <c r="Q5483">
        <v>0</v>
      </c>
      <c r="R5483" t="s">
        <v>5281</v>
      </c>
      <c r="S5483" t="s">
        <v>4558</v>
      </c>
      <c r="T5483" t="s">
        <v>2704</v>
      </c>
      <c r="U5483" t="s">
        <v>4655</v>
      </c>
      <c r="V5483" s="2">
        <v>0</v>
      </c>
      <c r="W5483" t="s">
        <v>4655</v>
      </c>
      <c r="X5483" s="2">
        <v>0</v>
      </c>
      <c r="Y5483">
        <v>21</v>
      </c>
      <c r="Z5483" t="s">
        <v>2705</v>
      </c>
      <c r="AA5483" s="3">
        <v>1.00000004749745E-3</v>
      </c>
      <c r="AB5483" t="s">
        <v>27576</v>
      </c>
      <c r="AC5483" t="s">
        <v>4575</v>
      </c>
      <c r="AD5483" t="s">
        <v>27577</v>
      </c>
      <c r="AE5483" t="s">
        <v>4655</v>
      </c>
      <c r="AF5483" t="s">
        <v>4563</v>
      </c>
      <c r="AG5483" t="s">
        <v>4564</v>
      </c>
      <c r="AH5483">
        <v>89511</v>
      </c>
      <c r="AI5483" t="s">
        <v>27578</v>
      </c>
      <c r="AJ5483" t="s">
        <v>27579</v>
      </c>
      <c r="AK5483" t="s">
        <v>27580</v>
      </c>
      <c r="AL5483" s="13" t="s">
        <v>2257</v>
      </c>
      <c r="AM5483">
        <v>1</v>
      </c>
      <c r="AN5483" s="15" t="s">
        <v>5149</v>
      </c>
    </row>
    <row r="5484" spans="1:40" x14ac:dyDescent="0.3">
      <c r="A5484" s="10" t="str">
        <f>HYPERLINK("http://www.washoecounty.gov/assessor/cama/?parid=164-071-26&amp;CardNumber=1","164-071-26")</f>
        <v>164-071-26</v>
      </c>
      <c r="B5484" t="s">
        <v>4655</v>
      </c>
      <c r="C5484" t="s">
        <v>3845</v>
      </c>
      <c r="D5484" s="1">
        <v>40522</v>
      </c>
      <c r="E5484" s="2">
        <v>46500</v>
      </c>
      <c r="F5484" t="s">
        <v>4567</v>
      </c>
      <c r="G5484" s="17" t="str">
        <f>HYPERLINK("https://www.washoecounty.gov/assessor/cama/?command=sales&amp;parid=16407126","3952322")</f>
        <v>3952322</v>
      </c>
      <c r="H5484" t="s">
        <v>3846</v>
      </c>
      <c r="I5484">
        <v>1986</v>
      </c>
      <c r="J5484">
        <v>1986</v>
      </c>
      <c r="K5484" t="s">
        <v>4897</v>
      </c>
      <c r="L5484" t="s">
        <v>4555</v>
      </c>
      <c r="M5484" s="2">
        <v>835</v>
      </c>
      <c r="N5484" t="s">
        <v>4048</v>
      </c>
      <c r="O5484">
        <v>2</v>
      </c>
      <c r="P5484">
        <v>1</v>
      </c>
      <c r="Q5484">
        <v>0</v>
      </c>
      <c r="R5484" t="s">
        <v>5281</v>
      </c>
      <c r="S5484" t="s">
        <v>4558</v>
      </c>
      <c r="T5484" t="s">
        <v>2704</v>
      </c>
      <c r="U5484" t="s">
        <v>4655</v>
      </c>
      <c r="V5484" s="2">
        <v>0</v>
      </c>
      <c r="W5484" t="s">
        <v>4655</v>
      </c>
      <c r="X5484" s="2">
        <v>0</v>
      </c>
      <c r="Y5484">
        <v>21</v>
      </c>
      <c r="Z5484" t="s">
        <v>2705</v>
      </c>
      <c r="AA5484" s="3">
        <v>1.00000004749745E-3</v>
      </c>
      <c r="AB5484" t="s">
        <v>27581</v>
      </c>
      <c r="AC5484" t="s">
        <v>4562</v>
      </c>
      <c r="AD5484" t="s">
        <v>27582</v>
      </c>
      <c r="AE5484" t="s">
        <v>4655</v>
      </c>
      <c r="AF5484" t="s">
        <v>4563</v>
      </c>
      <c r="AG5484" t="s">
        <v>4564</v>
      </c>
      <c r="AH5484">
        <v>89509</v>
      </c>
      <c r="AI5484" t="s">
        <v>27583</v>
      </c>
      <c r="AJ5484" t="s">
        <v>27584</v>
      </c>
      <c r="AK5484" t="s">
        <v>27585</v>
      </c>
      <c r="AL5484" s="13" t="s">
        <v>2257</v>
      </c>
      <c r="AM5484">
        <v>1</v>
      </c>
      <c r="AN5484" s="15" t="s">
        <v>5149</v>
      </c>
    </row>
    <row r="5485" spans="1:40" x14ac:dyDescent="0.3">
      <c r="A5485" s="10" t="str">
        <f>HYPERLINK("http://www.washoecounty.gov/assessor/cama/?parid=164-071-39&amp;CardNumber=1","164-071-39")</f>
        <v>164-071-39</v>
      </c>
      <c r="B5485" t="s">
        <v>4655</v>
      </c>
      <c r="C5485" t="s">
        <v>3845</v>
      </c>
      <c r="D5485" s="1">
        <v>40322</v>
      </c>
      <c r="E5485" s="2">
        <v>59000</v>
      </c>
      <c r="F5485" t="s">
        <v>4567</v>
      </c>
      <c r="G5485" s="17" t="str">
        <f>HYPERLINK("https://www.washoecounty.gov/assessor/cama/?command=sales&amp;parid=16407139","3884200")</f>
        <v>3884200</v>
      </c>
      <c r="H5485" t="s">
        <v>3846</v>
      </c>
      <c r="I5485">
        <v>1986</v>
      </c>
      <c r="J5485">
        <v>1986</v>
      </c>
      <c r="K5485" t="s">
        <v>4897</v>
      </c>
      <c r="L5485" t="s">
        <v>4555</v>
      </c>
      <c r="M5485" s="2">
        <v>887</v>
      </c>
      <c r="N5485" t="s">
        <v>4048</v>
      </c>
      <c r="O5485">
        <v>2</v>
      </c>
      <c r="P5485">
        <v>2</v>
      </c>
      <c r="Q5485">
        <v>0</v>
      </c>
      <c r="R5485" t="s">
        <v>5281</v>
      </c>
      <c r="S5485" t="s">
        <v>4558</v>
      </c>
      <c r="T5485" t="s">
        <v>2704</v>
      </c>
      <c r="U5485" t="s">
        <v>4655</v>
      </c>
      <c r="V5485" s="2">
        <v>0</v>
      </c>
      <c r="W5485" t="s">
        <v>4655</v>
      </c>
      <c r="X5485" s="2">
        <v>0</v>
      </c>
      <c r="Y5485">
        <v>21</v>
      </c>
      <c r="Z5485" t="s">
        <v>2705</v>
      </c>
      <c r="AA5485" s="3">
        <v>1.00000004749745E-3</v>
      </c>
      <c r="AB5485" t="s">
        <v>27586</v>
      </c>
      <c r="AC5485" t="s">
        <v>4575</v>
      </c>
      <c r="AD5485" t="s">
        <v>27587</v>
      </c>
      <c r="AE5485" t="s">
        <v>4655</v>
      </c>
      <c r="AF5485" t="s">
        <v>1767</v>
      </c>
      <c r="AG5485" t="s">
        <v>4584</v>
      </c>
      <c r="AH5485" t="s">
        <v>4316</v>
      </c>
      <c r="AI5485" t="s">
        <v>27588</v>
      </c>
      <c r="AJ5485" t="s">
        <v>27589</v>
      </c>
      <c r="AK5485" t="s">
        <v>27590</v>
      </c>
      <c r="AL5485" s="13" t="s">
        <v>2257</v>
      </c>
      <c r="AM5485">
        <v>1</v>
      </c>
      <c r="AN5485" s="15" t="s">
        <v>5149</v>
      </c>
    </row>
    <row r="5486" spans="1:40" x14ac:dyDescent="0.3">
      <c r="A5486" s="10" t="str">
        <f>HYPERLINK("http://www.washoecounty.gov/assessor/cama/?parid=164-071-59&amp;CardNumber=1","164-071-59")</f>
        <v>164-071-59</v>
      </c>
      <c r="B5486" t="s">
        <v>4655</v>
      </c>
      <c r="C5486" t="s">
        <v>3845</v>
      </c>
      <c r="D5486" s="1">
        <v>40375</v>
      </c>
      <c r="E5486" s="2">
        <v>34000</v>
      </c>
      <c r="F5486" t="s">
        <v>4553</v>
      </c>
      <c r="G5486" s="17" t="str">
        <f>HYPERLINK("https://www.washoecounty.gov/assessor/cama/?command=sales&amp;parid=16407159","3902046")</f>
        <v>3902046</v>
      </c>
      <c r="H5486" t="s">
        <v>3846</v>
      </c>
      <c r="I5486">
        <v>1986</v>
      </c>
      <c r="J5486">
        <v>1986</v>
      </c>
      <c r="K5486" t="s">
        <v>3144</v>
      </c>
      <c r="L5486" t="s">
        <v>4555</v>
      </c>
      <c r="M5486" s="2">
        <v>665</v>
      </c>
      <c r="N5486" t="s">
        <v>4048</v>
      </c>
      <c r="O5486">
        <v>1</v>
      </c>
      <c r="P5486">
        <v>1</v>
      </c>
      <c r="Q5486">
        <v>0</v>
      </c>
      <c r="R5486" t="s">
        <v>5281</v>
      </c>
      <c r="S5486" t="s">
        <v>4558</v>
      </c>
      <c r="T5486" t="s">
        <v>2704</v>
      </c>
      <c r="U5486" t="s">
        <v>4655</v>
      </c>
      <c r="V5486" s="2">
        <v>0</v>
      </c>
      <c r="W5486" t="s">
        <v>4655</v>
      </c>
      <c r="X5486" s="2">
        <v>0</v>
      </c>
      <c r="Y5486">
        <v>21</v>
      </c>
      <c r="Z5486" t="s">
        <v>2705</v>
      </c>
      <c r="AA5486" s="3">
        <v>1.00000004749745E-3</v>
      </c>
      <c r="AB5486" t="s">
        <v>27591</v>
      </c>
      <c r="AC5486" t="s">
        <v>4575</v>
      </c>
      <c r="AD5486" t="s">
        <v>27592</v>
      </c>
      <c r="AE5486" t="s">
        <v>4655</v>
      </c>
      <c r="AF5486" t="s">
        <v>4563</v>
      </c>
      <c r="AG5486" t="s">
        <v>4564</v>
      </c>
      <c r="AH5486">
        <v>89511</v>
      </c>
      <c r="AI5486" t="s">
        <v>4903</v>
      </c>
      <c r="AJ5486" t="s">
        <v>27593</v>
      </c>
      <c r="AK5486" t="s">
        <v>27594</v>
      </c>
      <c r="AL5486" s="13" t="s">
        <v>2257</v>
      </c>
      <c r="AM5486">
        <v>1</v>
      </c>
      <c r="AN5486" s="15" t="s">
        <v>5149</v>
      </c>
    </row>
    <row r="5487" spans="1:40" x14ac:dyDescent="0.3">
      <c r="A5487" s="10" t="str">
        <f>HYPERLINK("http://www.washoecounty.gov/assessor/cama/?parid=164-071-70&amp;CardNumber=1","164-071-70")</f>
        <v>164-071-70</v>
      </c>
      <c r="B5487" t="s">
        <v>4655</v>
      </c>
      <c r="C5487" t="s">
        <v>3845</v>
      </c>
      <c r="D5487" s="1">
        <v>40450</v>
      </c>
      <c r="E5487" s="2">
        <v>53200</v>
      </c>
      <c r="F5487" t="s">
        <v>4553</v>
      </c>
      <c r="G5487" s="17" t="str">
        <f>HYPERLINK("https://www.washoecounty.gov/assessor/cama/?command=sales&amp;parid=16407170","3927355")</f>
        <v>3927355</v>
      </c>
      <c r="H5487" t="s">
        <v>3846</v>
      </c>
      <c r="I5487">
        <v>1986</v>
      </c>
      <c r="J5487">
        <v>1986</v>
      </c>
      <c r="K5487" t="s">
        <v>4897</v>
      </c>
      <c r="L5487" t="s">
        <v>4555</v>
      </c>
      <c r="M5487" s="2">
        <v>835</v>
      </c>
      <c r="N5487" t="s">
        <v>4048</v>
      </c>
      <c r="O5487">
        <v>2</v>
      </c>
      <c r="P5487">
        <v>1</v>
      </c>
      <c r="Q5487">
        <v>0</v>
      </c>
      <c r="R5487" t="s">
        <v>5281</v>
      </c>
      <c r="S5487" t="s">
        <v>4558</v>
      </c>
      <c r="T5487" t="s">
        <v>2704</v>
      </c>
      <c r="U5487" t="s">
        <v>4655</v>
      </c>
      <c r="V5487" s="2">
        <v>0</v>
      </c>
      <c r="W5487" t="s">
        <v>4655</v>
      </c>
      <c r="X5487" s="2">
        <v>0</v>
      </c>
      <c r="Y5487">
        <v>21</v>
      </c>
      <c r="Z5487" t="s">
        <v>2705</v>
      </c>
      <c r="AA5487" s="3">
        <v>1.00000004749745E-3</v>
      </c>
      <c r="AB5487" t="s">
        <v>5517</v>
      </c>
      <c r="AC5487" t="s">
        <v>4562</v>
      </c>
      <c r="AD5487" t="s">
        <v>5518</v>
      </c>
      <c r="AE5487" t="s">
        <v>4655</v>
      </c>
      <c r="AF5487" t="s">
        <v>4563</v>
      </c>
      <c r="AG5487" t="s">
        <v>4564</v>
      </c>
      <c r="AH5487">
        <v>89511</v>
      </c>
      <c r="AI5487" t="s">
        <v>4536</v>
      </c>
      <c r="AJ5487" t="s">
        <v>27595</v>
      </c>
      <c r="AK5487" t="s">
        <v>4537</v>
      </c>
      <c r="AL5487" s="13" t="s">
        <v>2257</v>
      </c>
      <c r="AM5487">
        <v>1</v>
      </c>
      <c r="AN5487" s="15" t="s">
        <v>5149</v>
      </c>
    </row>
    <row r="5488" spans="1:40" x14ac:dyDescent="0.3">
      <c r="A5488" s="10" t="str">
        <f>HYPERLINK("http://www.washoecounty.gov/assessor/cama/?parid=164-072-01&amp;CardNumber=1","164-072-01")</f>
        <v>164-072-01</v>
      </c>
      <c r="B5488" t="s">
        <v>4655</v>
      </c>
      <c r="C5488" t="s">
        <v>3845</v>
      </c>
      <c r="D5488" s="1">
        <v>40429</v>
      </c>
      <c r="E5488" s="2">
        <v>34000</v>
      </c>
      <c r="F5488" t="s">
        <v>4553</v>
      </c>
      <c r="G5488" s="17" t="str">
        <f>HYPERLINK("https://www.washoecounty.gov/assessor/cama/?command=sales&amp;parid=16407201","3919876")</f>
        <v>3919876</v>
      </c>
      <c r="H5488" t="s">
        <v>3846</v>
      </c>
      <c r="I5488">
        <v>1986</v>
      </c>
      <c r="J5488">
        <v>1986</v>
      </c>
      <c r="K5488" t="s">
        <v>4897</v>
      </c>
      <c r="L5488" t="s">
        <v>4555</v>
      </c>
      <c r="M5488" s="2">
        <v>665</v>
      </c>
      <c r="N5488" t="s">
        <v>4048</v>
      </c>
      <c r="O5488">
        <v>1</v>
      </c>
      <c r="P5488">
        <v>1</v>
      </c>
      <c r="Q5488">
        <v>0</v>
      </c>
      <c r="R5488" t="s">
        <v>5281</v>
      </c>
      <c r="S5488" t="s">
        <v>4558</v>
      </c>
      <c r="T5488" t="s">
        <v>2704</v>
      </c>
      <c r="U5488" t="s">
        <v>4655</v>
      </c>
      <c r="V5488" s="2">
        <v>0</v>
      </c>
      <c r="W5488" t="s">
        <v>4655</v>
      </c>
      <c r="X5488" s="2">
        <v>0</v>
      </c>
      <c r="Y5488">
        <v>21</v>
      </c>
      <c r="Z5488" t="s">
        <v>2705</v>
      </c>
      <c r="AA5488" s="3">
        <v>1.00000004749745E-3</v>
      </c>
      <c r="AB5488" t="s">
        <v>27596</v>
      </c>
      <c r="AC5488" t="s">
        <v>4562</v>
      </c>
      <c r="AD5488" t="s">
        <v>3993</v>
      </c>
      <c r="AE5488" t="s">
        <v>4655</v>
      </c>
      <c r="AF5488" t="s">
        <v>5025</v>
      </c>
      <c r="AG5488" t="s">
        <v>4564</v>
      </c>
      <c r="AH5488">
        <v>89406</v>
      </c>
      <c r="AI5488" t="s">
        <v>4045</v>
      </c>
      <c r="AJ5488" t="s">
        <v>27597</v>
      </c>
      <c r="AK5488" t="s">
        <v>27598</v>
      </c>
      <c r="AL5488" s="13" t="s">
        <v>2257</v>
      </c>
      <c r="AM5488" s="14">
        <v>1</v>
      </c>
      <c r="AN5488" s="15" t="s">
        <v>5149</v>
      </c>
    </row>
    <row r="5489" spans="1:40" x14ac:dyDescent="0.3">
      <c r="A5489" s="10" t="str">
        <f>HYPERLINK("http://www.washoecounty.gov/assessor/cama/?parid=164-072-15&amp;CardNumber=1","164-072-15")</f>
        <v>164-072-15</v>
      </c>
      <c r="B5489" t="s">
        <v>4655</v>
      </c>
      <c r="C5489" t="s">
        <v>3845</v>
      </c>
      <c r="D5489" s="1">
        <v>40449</v>
      </c>
      <c r="E5489" s="2">
        <v>22000</v>
      </c>
      <c r="F5489" t="s">
        <v>4567</v>
      </c>
      <c r="G5489" s="17" t="str">
        <f>HYPERLINK("https://www.washoecounty.gov/assessor/cama/?command=sales&amp;parid=16407215","3926849")</f>
        <v>3926849</v>
      </c>
      <c r="H5489" t="s">
        <v>3846</v>
      </c>
      <c r="I5489">
        <v>1986</v>
      </c>
      <c r="J5489">
        <v>1986</v>
      </c>
      <c r="K5489" t="s">
        <v>3144</v>
      </c>
      <c r="L5489" t="s">
        <v>4555</v>
      </c>
      <c r="M5489" s="2">
        <v>665</v>
      </c>
      <c r="N5489" t="s">
        <v>4048</v>
      </c>
      <c r="O5489">
        <v>1</v>
      </c>
      <c r="P5489">
        <v>1</v>
      </c>
      <c r="Q5489">
        <v>0</v>
      </c>
      <c r="R5489" t="s">
        <v>5281</v>
      </c>
      <c r="S5489" t="s">
        <v>4558</v>
      </c>
      <c r="T5489" t="s">
        <v>2704</v>
      </c>
      <c r="U5489" t="s">
        <v>4655</v>
      </c>
      <c r="V5489" s="2">
        <v>0</v>
      </c>
      <c r="W5489" t="s">
        <v>4655</v>
      </c>
      <c r="X5489" s="2">
        <v>0</v>
      </c>
      <c r="Y5489">
        <v>21</v>
      </c>
      <c r="Z5489" t="s">
        <v>2705</v>
      </c>
      <c r="AA5489" s="3">
        <v>1.00000004749745E-3</v>
      </c>
      <c r="AB5489" t="s">
        <v>27599</v>
      </c>
      <c r="AC5489" t="s">
        <v>4575</v>
      </c>
      <c r="AD5489" t="s">
        <v>27600</v>
      </c>
      <c r="AE5489" t="s">
        <v>4655</v>
      </c>
      <c r="AF5489" t="s">
        <v>4809</v>
      </c>
      <c r="AG5489" t="s">
        <v>4564</v>
      </c>
      <c r="AH5489" t="s">
        <v>1605</v>
      </c>
      <c r="AI5489" t="s">
        <v>4655</v>
      </c>
      <c r="AJ5489" t="s">
        <v>27601</v>
      </c>
      <c r="AK5489" t="s">
        <v>27602</v>
      </c>
      <c r="AL5489" s="13" t="s">
        <v>2257</v>
      </c>
      <c r="AM5489">
        <v>1</v>
      </c>
      <c r="AN5489" s="15" t="s">
        <v>5149</v>
      </c>
    </row>
    <row r="5490" spans="1:40" x14ac:dyDescent="0.3">
      <c r="A5490" s="10" t="str">
        <f>HYPERLINK("http://www.washoecounty.gov/assessor/cama/?parid=164-072-44&amp;CardNumber=1","164-072-44")</f>
        <v>164-072-44</v>
      </c>
      <c r="B5490" t="s">
        <v>4655</v>
      </c>
      <c r="C5490" t="s">
        <v>3845</v>
      </c>
      <c r="D5490" s="1">
        <v>40399</v>
      </c>
      <c r="E5490" s="2">
        <v>59900</v>
      </c>
      <c r="F5490" t="s">
        <v>4553</v>
      </c>
      <c r="G5490" s="17" t="str">
        <f>HYPERLINK("https://www.washoecounty.gov/assessor/cama/?command=sales&amp;parid=16407244","3909953")</f>
        <v>3909953</v>
      </c>
      <c r="H5490" t="s">
        <v>3846</v>
      </c>
      <c r="I5490">
        <v>1986</v>
      </c>
      <c r="J5490">
        <v>1986</v>
      </c>
      <c r="K5490" t="s">
        <v>4897</v>
      </c>
      <c r="L5490" t="s">
        <v>4555</v>
      </c>
      <c r="M5490" s="2">
        <v>887</v>
      </c>
      <c r="N5490" t="s">
        <v>4048</v>
      </c>
      <c r="O5490">
        <v>2</v>
      </c>
      <c r="P5490">
        <v>2</v>
      </c>
      <c r="Q5490">
        <v>0</v>
      </c>
      <c r="R5490" t="s">
        <v>5281</v>
      </c>
      <c r="S5490" t="s">
        <v>4558</v>
      </c>
      <c r="T5490" t="s">
        <v>2704</v>
      </c>
      <c r="U5490" t="s">
        <v>4655</v>
      </c>
      <c r="V5490" s="2">
        <v>0</v>
      </c>
      <c r="W5490" t="s">
        <v>4655</v>
      </c>
      <c r="X5490" s="2">
        <v>0</v>
      </c>
      <c r="Y5490">
        <v>21</v>
      </c>
      <c r="Z5490" t="s">
        <v>2705</v>
      </c>
      <c r="AA5490" s="3">
        <v>1.00000004749745E-3</v>
      </c>
      <c r="AB5490" t="s">
        <v>27603</v>
      </c>
      <c r="AC5490" t="s">
        <v>4575</v>
      </c>
      <c r="AD5490" t="s">
        <v>27604</v>
      </c>
      <c r="AE5490" t="s">
        <v>27605</v>
      </c>
      <c r="AF5490" t="s">
        <v>4563</v>
      </c>
      <c r="AG5490" t="s">
        <v>4564</v>
      </c>
      <c r="AH5490">
        <v>89509</v>
      </c>
      <c r="AI5490" t="s">
        <v>1922</v>
      </c>
      <c r="AJ5490" t="s">
        <v>27606</v>
      </c>
      <c r="AK5490" t="s">
        <v>27607</v>
      </c>
      <c r="AL5490" s="13" t="s">
        <v>2257</v>
      </c>
      <c r="AM5490" s="14">
        <v>1</v>
      </c>
      <c r="AN5490" s="15" t="s">
        <v>5149</v>
      </c>
    </row>
    <row r="5491" spans="1:40" x14ac:dyDescent="0.3">
      <c r="A5491" s="10" t="str">
        <f>HYPERLINK("http://www.washoecounty.gov/assessor/cama/?parid=164-072-53&amp;CardNumber=1","164-072-53")</f>
        <v>164-072-53</v>
      </c>
      <c r="B5491" t="s">
        <v>4655</v>
      </c>
      <c r="C5491" t="s">
        <v>3845</v>
      </c>
      <c r="D5491" s="1">
        <v>40353</v>
      </c>
      <c r="E5491" s="2">
        <v>30000</v>
      </c>
      <c r="F5491" t="s">
        <v>4567</v>
      </c>
      <c r="G5491" s="17" t="str">
        <f>HYPERLINK("https://www.washoecounty.gov/assessor/cama/?command=sales&amp;parid=16407253","3895012")</f>
        <v>3895012</v>
      </c>
      <c r="H5491" t="s">
        <v>3846</v>
      </c>
      <c r="I5491">
        <v>1986</v>
      </c>
      <c r="J5491">
        <v>1986</v>
      </c>
      <c r="K5491" t="s">
        <v>4897</v>
      </c>
      <c r="L5491" t="s">
        <v>4555</v>
      </c>
      <c r="M5491" s="2">
        <v>665</v>
      </c>
      <c r="N5491" t="s">
        <v>4048</v>
      </c>
      <c r="O5491">
        <v>1</v>
      </c>
      <c r="P5491">
        <v>1</v>
      </c>
      <c r="Q5491">
        <v>0</v>
      </c>
      <c r="R5491" t="s">
        <v>5281</v>
      </c>
      <c r="S5491" t="s">
        <v>4558</v>
      </c>
      <c r="T5491" t="s">
        <v>2704</v>
      </c>
      <c r="U5491" t="s">
        <v>4655</v>
      </c>
      <c r="V5491" s="2">
        <v>0</v>
      </c>
      <c r="W5491" t="s">
        <v>4655</v>
      </c>
      <c r="X5491" s="2">
        <v>0</v>
      </c>
      <c r="Y5491">
        <v>21</v>
      </c>
      <c r="Z5491" t="s">
        <v>2705</v>
      </c>
      <c r="AA5491" s="3">
        <v>1.00000004749745E-3</v>
      </c>
      <c r="AB5491" t="s">
        <v>27608</v>
      </c>
      <c r="AC5491" t="s">
        <v>4562</v>
      </c>
      <c r="AD5491" t="s">
        <v>27609</v>
      </c>
      <c r="AE5491" t="s">
        <v>4655</v>
      </c>
      <c r="AF5491" t="s">
        <v>4563</v>
      </c>
      <c r="AG5491" t="s">
        <v>4564</v>
      </c>
      <c r="AH5491" t="s">
        <v>5197</v>
      </c>
      <c r="AI5491" t="s">
        <v>27610</v>
      </c>
      <c r="AJ5491" t="s">
        <v>27611</v>
      </c>
      <c r="AK5491" t="s">
        <v>27612</v>
      </c>
      <c r="AL5491" s="13" t="s">
        <v>2257</v>
      </c>
      <c r="AM5491" s="14">
        <v>1</v>
      </c>
      <c r="AN5491" s="15" t="s">
        <v>5149</v>
      </c>
    </row>
    <row r="5492" spans="1:40" x14ac:dyDescent="0.3">
      <c r="A5492" s="10" t="str">
        <f>HYPERLINK("http://www.washoecounty.gov/assessor/cama/?parid=164-072-55&amp;CardNumber=1","164-072-55")</f>
        <v>164-072-55</v>
      </c>
      <c r="B5492" t="s">
        <v>4655</v>
      </c>
      <c r="C5492" t="s">
        <v>3845</v>
      </c>
      <c r="D5492" s="1">
        <v>40221</v>
      </c>
      <c r="E5492" s="2">
        <v>40000</v>
      </c>
      <c r="F5492" t="s">
        <v>4553</v>
      </c>
      <c r="G5492" s="17" t="str">
        <f>HYPERLINK("https://www.washoecounty.gov/assessor/cama/?command=sales&amp;parid=16407255","3848861")</f>
        <v>3848861</v>
      </c>
      <c r="H5492" t="s">
        <v>3846</v>
      </c>
      <c r="I5492">
        <v>1986</v>
      </c>
      <c r="J5492">
        <v>1986</v>
      </c>
      <c r="K5492" t="s">
        <v>4897</v>
      </c>
      <c r="L5492" t="s">
        <v>4555</v>
      </c>
      <c r="M5492" s="2">
        <v>665</v>
      </c>
      <c r="N5492" t="s">
        <v>4048</v>
      </c>
      <c r="O5492">
        <v>1</v>
      </c>
      <c r="P5492">
        <v>1</v>
      </c>
      <c r="Q5492">
        <v>0</v>
      </c>
      <c r="R5492" t="s">
        <v>5281</v>
      </c>
      <c r="S5492" t="s">
        <v>4558</v>
      </c>
      <c r="T5492" t="s">
        <v>2704</v>
      </c>
      <c r="U5492" t="s">
        <v>4655</v>
      </c>
      <c r="V5492" s="2">
        <v>0</v>
      </c>
      <c r="W5492" t="s">
        <v>4655</v>
      </c>
      <c r="X5492" s="2">
        <v>0</v>
      </c>
      <c r="Y5492">
        <v>21</v>
      </c>
      <c r="Z5492" t="s">
        <v>2705</v>
      </c>
      <c r="AA5492" s="3">
        <v>1.00000004749745E-3</v>
      </c>
      <c r="AB5492" t="s">
        <v>27613</v>
      </c>
      <c r="AC5492" t="s">
        <v>4562</v>
      </c>
      <c r="AD5492" t="s">
        <v>27614</v>
      </c>
      <c r="AE5492" t="s">
        <v>4655</v>
      </c>
      <c r="AF5492" t="s">
        <v>5148</v>
      </c>
      <c r="AG5492" t="s">
        <v>4564</v>
      </c>
      <c r="AH5492" t="s">
        <v>680</v>
      </c>
      <c r="AI5492" t="s">
        <v>4045</v>
      </c>
      <c r="AJ5492" t="s">
        <v>27615</v>
      </c>
      <c r="AK5492" t="s">
        <v>27616</v>
      </c>
      <c r="AL5492" s="13" t="s">
        <v>2257</v>
      </c>
      <c r="AM5492">
        <v>1</v>
      </c>
      <c r="AN5492" s="15" t="s">
        <v>5149</v>
      </c>
    </row>
    <row r="5493" spans="1:40" x14ac:dyDescent="0.3">
      <c r="A5493" s="10" t="str">
        <f>HYPERLINK("http://www.washoecounty.gov/assessor/cama/?parid=164-072-59&amp;CardNumber=1","164-072-59")</f>
        <v>164-072-59</v>
      </c>
      <c r="B5493" t="s">
        <v>4655</v>
      </c>
      <c r="C5493" t="s">
        <v>3845</v>
      </c>
      <c r="D5493" s="1">
        <v>40275</v>
      </c>
      <c r="E5493" s="2">
        <v>34000</v>
      </c>
      <c r="F5493" t="s">
        <v>4553</v>
      </c>
      <c r="G5493" s="17" t="str">
        <f>HYPERLINK("https://www.washoecounty.gov/assessor/cama/?command=sales&amp;parid=16407259","3868507")</f>
        <v>3868507</v>
      </c>
      <c r="H5493" t="s">
        <v>3846</v>
      </c>
      <c r="I5493">
        <v>1986</v>
      </c>
      <c r="J5493">
        <v>1986</v>
      </c>
      <c r="K5493" t="s">
        <v>3144</v>
      </c>
      <c r="L5493" t="s">
        <v>4555</v>
      </c>
      <c r="M5493" s="2">
        <v>665</v>
      </c>
      <c r="N5493" t="s">
        <v>4048</v>
      </c>
      <c r="O5493">
        <v>1</v>
      </c>
      <c r="P5493">
        <v>1</v>
      </c>
      <c r="Q5493">
        <v>0</v>
      </c>
      <c r="R5493" t="s">
        <v>5281</v>
      </c>
      <c r="S5493" t="s">
        <v>4558</v>
      </c>
      <c r="T5493" t="s">
        <v>2704</v>
      </c>
      <c r="U5493" t="s">
        <v>4655</v>
      </c>
      <c r="V5493" s="2">
        <v>0</v>
      </c>
      <c r="W5493" t="s">
        <v>4655</v>
      </c>
      <c r="X5493" s="2">
        <v>0</v>
      </c>
      <c r="Y5493">
        <v>21</v>
      </c>
      <c r="Z5493" t="s">
        <v>2705</v>
      </c>
      <c r="AA5493" s="3">
        <v>1.00000004749745E-3</v>
      </c>
      <c r="AB5493" t="s">
        <v>27617</v>
      </c>
      <c r="AC5493" t="s">
        <v>4562</v>
      </c>
      <c r="AD5493" t="s">
        <v>27618</v>
      </c>
      <c r="AE5493" t="s">
        <v>4655</v>
      </c>
      <c r="AF5493" t="s">
        <v>5025</v>
      </c>
      <c r="AG5493" t="s">
        <v>4564</v>
      </c>
      <c r="AH5493">
        <v>89406</v>
      </c>
      <c r="AI5493" t="s">
        <v>5203</v>
      </c>
      <c r="AJ5493" t="s">
        <v>27619</v>
      </c>
      <c r="AK5493" t="s">
        <v>27620</v>
      </c>
      <c r="AL5493" s="13" t="s">
        <v>2257</v>
      </c>
      <c r="AM5493" s="14">
        <v>1</v>
      </c>
      <c r="AN5493" s="15" t="s">
        <v>5149</v>
      </c>
    </row>
    <row r="5494" spans="1:40" x14ac:dyDescent="0.3">
      <c r="A5494" s="10" t="str">
        <f>HYPERLINK("http://www.washoecounty.gov/assessor/cama/?parid=164-072-65&amp;CardNumber=1","164-072-65")</f>
        <v>164-072-65</v>
      </c>
      <c r="B5494" t="s">
        <v>4655</v>
      </c>
      <c r="C5494" t="s">
        <v>3845</v>
      </c>
      <c r="D5494" s="1">
        <v>40451</v>
      </c>
      <c r="E5494" s="2">
        <v>44900</v>
      </c>
      <c r="F5494" t="s">
        <v>4567</v>
      </c>
      <c r="G5494" s="17" t="str">
        <f>HYPERLINK("https://www.washoecounty.gov/assessor/cama/?command=sales&amp;parid=16407265","3928461")</f>
        <v>3928461</v>
      </c>
      <c r="H5494" t="s">
        <v>3846</v>
      </c>
      <c r="I5494">
        <v>1986</v>
      </c>
      <c r="J5494">
        <v>1986</v>
      </c>
      <c r="K5494" t="s">
        <v>3144</v>
      </c>
      <c r="L5494" t="s">
        <v>4555</v>
      </c>
      <c r="M5494" s="2">
        <v>835</v>
      </c>
      <c r="N5494" t="s">
        <v>4048</v>
      </c>
      <c r="O5494">
        <v>2</v>
      </c>
      <c r="P5494">
        <v>1</v>
      </c>
      <c r="Q5494">
        <v>0</v>
      </c>
      <c r="R5494" t="s">
        <v>5281</v>
      </c>
      <c r="S5494" t="s">
        <v>4558</v>
      </c>
      <c r="T5494" t="s">
        <v>2704</v>
      </c>
      <c r="U5494" t="s">
        <v>4655</v>
      </c>
      <c r="V5494" s="2">
        <v>0</v>
      </c>
      <c r="W5494" t="s">
        <v>4655</v>
      </c>
      <c r="X5494" s="2">
        <v>0</v>
      </c>
      <c r="Y5494">
        <v>21</v>
      </c>
      <c r="Z5494" t="s">
        <v>2705</v>
      </c>
      <c r="AA5494" s="3">
        <v>1.00000004749745E-3</v>
      </c>
      <c r="AB5494" t="s">
        <v>27621</v>
      </c>
      <c r="AC5494" t="s">
        <v>4562</v>
      </c>
      <c r="AD5494" t="s">
        <v>27622</v>
      </c>
      <c r="AE5494" t="s">
        <v>27582</v>
      </c>
      <c r="AF5494" t="s">
        <v>4563</v>
      </c>
      <c r="AG5494" t="s">
        <v>4564</v>
      </c>
      <c r="AH5494">
        <v>89509</v>
      </c>
      <c r="AI5494" t="s">
        <v>27623</v>
      </c>
      <c r="AJ5494" t="s">
        <v>27624</v>
      </c>
      <c r="AK5494" t="s">
        <v>27625</v>
      </c>
      <c r="AL5494" s="13" t="s">
        <v>2257</v>
      </c>
      <c r="AM5494">
        <v>1</v>
      </c>
      <c r="AN5494" s="15" t="s">
        <v>5149</v>
      </c>
    </row>
    <row r="5495" spans="1:40" x14ac:dyDescent="0.3">
      <c r="A5495" s="10" t="str">
        <f>HYPERLINK("http://www.washoecounty.gov/assessor/cama/?parid=164-072-67&amp;CardNumber=1","164-072-67")</f>
        <v>164-072-67</v>
      </c>
      <c r="B5495" t="s">
        <v>4655</v>
      </c>
      <c r="C5495" t="s">
        <v>3845</v>
      </c>
      <c r="D5495" s="1">
        <v>40338</v>
      </c>
      <c r="E5495" s="2">
        <v>47500</v>
      </c>
      <c r="F5495" t="s">
        <v>4553</v>
      </c>
      <c r="G5495" s="17" t="str">
        <f>HYPERLINK("https://www.washoecounty.gov/assessor/cama/?command=sales&amp;parid=16407267","3889596")</f>
        <v>3889596</v>
      </c>
      <c r="H5495" t="s">
        <v>3846</v>
      </c>
      <c r="I5495">
        <v>1986</v>
      </c>
      <c r="J5495">
        <v>1986</v>
      </c>
      <c r="K5495" t="s">
        <v>4897</v>
      </c>
      <c r="L5495" t="s">
        <v>4555</v>
      </c>
      <c r="M5495" s="2">
        <v>835</v>
      </c>
      <c r="N5495" t="s">
        <v>4048</v>
      </c>
      <c r="O5495">
        <v>2</v>
      </c>
      <c r="P5495">
        <v>1</v>
      </c>
      <c r="Q5495">
        <v>0</v>
      </c>
      <c r="R5495" t="s">
        <v>5281</v>
      </c>
      <c r="S5495" t="s">
        <v>4558</v>
      </c>
      <c r="T5495" t="s">
        <v>2704</v>
      </c>
      <c r="U5495" t="s">
        <v>4655</v>
      </c>
      <c r="V5495" s="2">
        <v>0</v>
      </c>
      <c r="W5495" t="s">
        <v>4655</v>
      </c>
      <c r="X5495" s="2">
        <v>0</v>
      </c>
      <c r="Y5495">
        <v>21</v>
      </c>
      <c r="Z5495" t="s">
        <v>2705</v>
      </c>
      <c r="AA5495" s="3">
        <v>1.00000004749745E-3</v>
      </c>
      <c r="AB5495" t="s">
        <v>27626</v>
      </c>
      <c r="AC5495" t="s">
        <v>4562</v>
      </c>
      <c r="AD5495" t="s">
        <v>27627</v>
      </c>
      <c r="AE5495" t="s">
        <v>4655</v>
      </c>
      <c r="AF5495" t="s">
        <v>4563</v>
      </c>
      <c r="AG5495" t="s">
        <v>4564</v>
      </c>
      <c r="AH5495">
        <v>89511</v>
      </c>
      <c r="AI5495" t="s">
        <v>2351</v>
      </c>
      <c r="AJ5495" t="s">
        <v>27628</v>
      </c>
      <c r="AK5495" t="s">
        <v>27629</v>
      </c>
      <c r="AL5495" s="13" t="s">
        <v>2257</v>
      </c>
      <c r="AM5495">
        <v>1</v>
      </c>
      <c r="AN5495" s="15" t="s">
        <v>5149</v>
      </c>
    </row>
    <row r="5496" spans="1:40" x14ac:dyDescent="0.3">
      <c r="A5496" s="10" t="str">
        <f>HYPERLINK("http://www.washoecounty.gov/assessor/cama/?parid=164-073-09&amp;CardNumber=1","164-073-09")</f>
        <v>164-073-09</v>
      </c>
      <c r="B5496" t="s">
        <v>4655</v>
      </c>
      <c r="C5496" t="s">
        <v>27630</v>
      </c>
      <c r="D5496" s="1">
        <v>40259</v>
      </c>
      <c r="E5496" s="2">
        <v>34900</v>
      </c>
      <c r="F5496" t="s">
        <v>4553</v>
      </c>
      <c r="G5496" s="17" t="str">
        <f>HYPERLINK("https://www.washoecounty.gov/assessor/cama/?command=sales&amp;parid=16407309","3862157")</f>
        <v>3862157</v>
      </c>
      <c r="H5496" t="s">
        <v>3846</v>
      </c>
      <c r="I5496">
        <v>1986</v>
      </c>
      <c r="J5496">
        <v>1986</v>
      </c>
      <c r="K5496" t="s">
        <v>4897</v>
      </c>
      <c r="L5496" t="s">
        <v>4555</v>
      </c>
      <c r="M5496" s="2">
        <v>665</v>
      </c>
      <c r="N5496" t="s">
        <v>4048</v>
      </c>
      <c r="O5496">
        <v>1</v>
      </c>
      <c r="P5496">
        <v>1</v>
      </c>
      <c r="Q5496">
        <v>0</v>
      </c>
      <c r="R5496" t="s">
        <v>5281</v>
      </c>
      <c r="S5496" t="s">
        <v>4558</v>
      </c>
      <c r="T5496" t="s">
        <v>2704</v>
      </c>
      <c r="U5496" t="s">
        <v>4655</v>
      </c>
      <c r="V5496" s="2">
        <v>0</v>
      </c>
      <c r="W5496" t="s">
        <v>4655</v>
      </c>
      <c r="X5496" s="2">
        <v>0</v>
      </c>
      <c r="Y5496">
        <v>21</v>
      </c>
      <c r="Z5496" t="s">
        <v>2705</v>
      </c>
      <c r="AA5496" s="3">
        <v>1.00000004749745E-3</v>
      </c>
      <c r="AB5496" t="s">
        <v>27631</v>
      </c>
      <c r="AC5496" t="s">
        <v>4575</v>
      </c>
      <c r="AD5496" t="s">
        <v>27632</v>
      </c>
      <c r="AE5496" t="s">
        <v>4655</v>
      </c>
      <c r="AF5496" t="s">
        <v>5201</v>
      </c>
      <c r="AG5496" t="s">
        <v>4564</v>
      </c>
      <c r="AH5496" t="s">
        <v>5202</v>
      </c>
      <c r="AI5496" t="s">
        <v>27633</v>
      </c>
      <c r="AJ5496" t="s">
        <v>27634</v>
      </c>
      <c r="AK5496" t="s">
        <v>27635</v>
      </c>
      <c r="AL5496" s="13" t="s">
        <v>2257</v>
      </c>
      <c r="AM5496">
        <v>1</v>
      </c>
      <c r="AN5496" s="15" t="s">
        <v>5149</v>
      </c>
    </row>
    <row r="5497" spans="1:40" x14ac:dyDescent="0.3">
      <c r="A5497" s="10" t="str">
        <f>HYPERLINK("http://www.washoecounty.gov/assessor/cama/?parid=164-074-07&amp;CardNumber=1","164-074-07")</f>
        <v>164-074-07</v>
      </c>
      <c r="B5497" t="s">
        <v>4655</v>
      </c>
      <c r="C5497" t="s">
        <v>5150</v>
      </c>
      <c r="D5497" s="1">
        <v>40231</v>
      </c>
      <c r="E5497" s="2">
        <v>30500</v>
      </c>
      <c r="F5497" t="s">
        <v>4553</v>
      </c>
      <c r="G5497" s="17" t="str">
        <f>HYPERLINK("https://www.washoecounty.gov/assessor/cama/?command=sales&amp;parid=16407407","3851321")</f>
        <v>3851321</v>
      </c>
      <c r="H5497" t="s">
        <v>3846</v>
      </c>
      <c r="I5497">
        <v>1986</v>
      </c>
      <c r="J5497">
        <v>1986</v>
      </c>
      <c r="K5497" t="s">
        <v>4897</v>
      </c>
      <c r="L5497" t="s">
        <v>4555</v>
      </c>
      <c r="M5497" s="2">
        <v>665</v>
      </c>
      <c r="N5497" t="s">
        <v>4048</v>
      </c>
      <c r="O5497">
        <v>1</v>
      </c>
      <c r="P5497">
        <v>1</v>
      </c>
      <c r="Q5497">
        <v>0</v>
      </c>
      <c r="R5497" t="s">
        <v>5281</v>
      </c>
      <c r="S5497" t="s">
        <v>4558</v>
      </c>
      <c r="T5497" t="s">
        <v>2704</v>
      </c>
      <c r="U5497" t="s">
        <v>4655</v>
      </c>
      <c r="V5497" s="2">
        <v>0</v>
      </c>
      <c r="W5497" t="s">
        <v>4655</v>
      </c>
      <c r="X5497" s="2">
        <v>0</v>
      </c>
      <c r="Y5497">
        <v>21</v>
      </c>
      <c r="Z5497" t="s">
        <v>2705</v>
      </c>
      <c r="AA5497" s="3">
        <v>1.00000004749745E-3</v>
      </c>
      <c r="AB5497" t="s">
        <v>27636</v>
      </c>
      <c r="AC5497" t="s">
        <v>4562</v>
      </c>
      <c r="AD5497" t="s">
        <v>27637</v>
      </c>
      <c r="AE5497" t="s">
        <v>4655</v>
      </c>
      <c r="AF5497" t="s">
        <v>5151</v>
      </c>
      <c r="AG5497" t="s">
        <v>4564</v>
      </c>
      <c r="AH5497">
        <v>89703</v>
      </c>
      <c r="AI5497" t="s">
        <v>27638</v>
      </c>
      <c r="AJ5497" t="s">
        <v>27639</v>
      </c>
      <c r="AK5497" t="s">
        <v>27640</v>
      </c>
      <c r="AL5497" s="13" t="s">
        <v>2257</v>
      </c>
      <c r="AM5497">
        <v>1</v>
      </c>
      <c r="AN5497" s="15" t="s">
        <v>5149</v>
      </c>
    </row>
    <row r="5498" spans="1:40" x14ac:dyDescent="0.3">
      <c r="A5498" s="10" t="str">
        <f>HYPERLINK("http://www.washoecounty.gov/assessor/cama/?parid=164-074-10&amp;CardNumber=1","164-074-10")</f>
        <v>164-074-10</v>
      </c>
      <c r="B5498" t="s">
        <v>4655</v>
      </c>
      <c r="C5498" t="s">
        <v>5150</v>
      </c>
      <c r="D5498" s="1">
        <v>40389</v>
      </c>
      <c r="E5498" s="2">
        <v>40200</v>
      </c>
      <c r="F5498" t="s">
        <v>4567</v>
      </c>
      <c r="G5498" s="17" t="str">
        <f>HYPERLINK("https://www.washoecounty.gov/assessor/cama/?command=sales&amp;parid=16407410","3907183")</f>
        <v>3907183</v>
      </c>
      <c r="H5498" t="s">
        <v>3846</v>
      </c>
      <c r="I5498">
        <v>1986</v>
      </c>
      <c r="J5498">
        <v>1986</v>
      </c>
      <c r="K5498" t="s">
        <v>4897</v>
      </c>
      <c r="L5498" t="s">
        <v>4555</v>
      </c>
      <c r="M5498" s="2">
        <v>665</v>
      </c>
      <c r="N5498" t="s">
        <v>4048</v>
      </c>
      <c r="O5498">
        <v>1</v>
      </c>
      <c r="P5498">
        <v>1</v>
      </c>
      <c r="Q5498">
        <v>0</v>
      </c>
      <c r="R5498" t="s">
        <v>5281</v>
      </c>
      <c r="S5498" t="s">
        <v>4558</v>
      </c>
      <c r="T5498" t="s">
        <v>2704</v>
      </c>
      <c r="U5498" t="s">
        <v>4655</v>
      </c>
      <c r="V5498" s="2">
        <v>0</v>
      </c>
      <c r="W5498" t="s">
        <v>4655</v>
      </c>
      <c r="X5498" s="2">
        <v>0</v>
      </c>
      <c r="Y5498">
        <v>21</v>
      </c>
      <c r="Z5498" t="s">
        <v>2705</v>
      </c>
      <c r="AA5498" s="3">
        <v>1.00000004749745E-3</v>
      </c>
      <c r="AB5498" t="s">
        <v>27641</v>
      </c>
      <c r="AC5498" t="s">
        <v>4575</v>
      </c>
      <c r="AD5498" t="s">
        <v>27642</v>
      </c>
      <c r="AE5498" t="s">
        <v>4655</v>
      </c>
      <c r="AF5498" t="s">
        <v>4563</v>
      </c>
      <c r="AG5498" t="s">
        <v>4564</v>
      </c>
      <c r="AH5498" t="s">
        <v>2330</v>
      </c>
      <c r="AI5498" t="s">
        <v>27643</v>
      </c>
      <c r="AJ5498" t="s">
        <v>27644</v>
      </c>
      <c r="AK5498" t="s">
        <v>27645</v>
      </c>
      <c r="AL5498" s="13" t="s">
        <v>2257</v>
      </c>
      <c r="AM5498">
        <v>1</v>
      </c>
      <c r="AN5498" s="15" t="s">
        <v>5149</v>
      </c>
    </row>
    <row r="5499" spans="1:40" x14ac:dyDescent="0.3">
      <c r="A5499" s="10" t="str">
        <f>HYPERLINK("http://www.washoecounty.gov/assessor/cama/?parid=164-074-12&amp;CardNumber=1","164-074-12")</f>
        <v>164-074-12</v>
      </c>
      <c r="B5499" t="s">
        <v>4655</v>
      </c>
      <c r="C5499" t="s">
        <v>5150</v>
      </c>
      <c r="D5499" s="1">
        <v>40421</v>
      </c>
      <c r="E5499" s="2">
        <v>25000</v>
      </c>
      <c r="F5499" t="s">
        <v>4567</v>
      </c>
      <c r="G5499" s="17" t="str">
        <f>HYPERLINK("https://www.washoecounty.gov/assessor/cama/?command=sales&amp;parid=16407412","3917548")</f>
        <v>3917548</v>
      </c>
      <c r="H5499" t="s">
        <v>3846</v>
      </c>
      <c r="I5499">
        <v>1986</v>
      </c>
      <c r="J5499">
        <v>1986</v>
      </c>
      <c r="K5499" t="s">
        <v>4897</v>
      </c>
      <c r="L5499" t="s">
        <v>4555</v>
      </c>
      <c r="M5499" s="2">
        <v>665</v>
      </c>
      <c r="N5499" t="s">
        <v>4048</v>
      </c>
      <c r="O5499">
        <v>1</v>
      </c>
      <c r="P5499">
        <v>1</v>
      </c>
      <c r="Q5499">
        <v>0</v>
      </c>
      <c r="R5499" t="s">
        <v>5281</v>
      </c>
      <c r="S5499" t="s">
        <v>4558</v>
      </c>
      <c r="T5499" t="s">
        <v>2704</v>
      </c>
      <c r="U5499" t="s">
        <v>4655</v>
      </c>
      <c r="V5499" s="2">
        <v>0</v>
      </c>
      <c r="W5499" t="s">
        <v>4655</v>
      </c>
      <c r="X5499" s="2">
        <v>0</v>
      </c>
      <c r="Y5499">
        <v>21</v>
      </c>
      <c r="Z5499" t="s">
        <v>2705</v>
      </c>
      <c r="AA5499" s="3">
        <v>1.00000004749745E-3</v>
      </c>
      <c r="AB5499" t="s">
        <v>27646</v>
      </c>
      <c r="AC5499" t="s">
        <v>4562</v>
      </c>
      <c r="AD5499" t="s">
        <v>27647</v>
      </c>
      <c r="AE5499" t="s">
        <v>4655</v>
      </c>
      <c r="AF5499" t="s">
        <v>4563</v>
      </c>
      <c r="AG5499" t="s">
        <v>4564</v>
      </c>
      <c r="AH5499">
        <v>89511</v>
      </c>
      <c r="AI5499" t="s">
        <v>27648</v>
      </c>
      <c r="AJ5499" t="s">
        <v>27649</v>
      </c>
      <c r="AK5499" t="s">
        <v>27650</v>
      </c>
      <c r="AL5499" s="13" t="s">
        <v>2257</v>
      </c>
      <c r="AM5499">
        <v>1</v>
      </c>
      <c r="AN5499" s="15" t="s">
        <v>5149</v>
      </c>
    </row>
    <row r="5500" spans="1:40" x14ac:dyDescent="0.3">
      <c r="A5500" s="10" t="str">
        <f>HYPERLINK("http://www.washoecounty.gov/assessor/cama/?parid=164-074-15&amp;CardNumber=1","164-074-15")</f>
        <v>164-074-15</v>
      </c>
      <c r="B5500" t="s">
        <v>4655</v>
      </c>
      <c r="C5500" t="s">
        <v>5150</v>
      </c>
      <c r="D5500" s="1">
        <v>40247</v>
      </c>
      <c r="E5500" s="2">
        <v>34000</v>
      </c>
      <c r="F5500" t="s">
        <v>4553</v>
      </c>
      <c r="G5500" s="17" t="str">
        <f>HYPERLINK("https://www.washoecounty.gov/assessor/cama/?command=sales&amp;parid=16407415","3858165")</f>
        <v>3858165</v>
      </c>
      <c r="H5500" t="s">
        <v>3846</v>
      </c>
      <c r="I5500">
        <v>1986</v>
      </c>
      <c r="J5500">
        <v>1986</v>
      </c>
      <c r="K5500" t="s">
        <v>4897</v>
      </c>
      <c r="L5500" t="s">
        <v>4555</v>
      </c>
      <c r="M5500" s="2">
        <v>665</v>
      </c>
      <c r="N5500" t="s">
        <v>4048</v>
      </c>
      <c r="O5500">
        <v>1</v>
      </c>
      <c r="P5500">
        <v>1</v>
      </c>
      <c r="Q5500">
        <v>0</v>
      </c>
      <c r="R5500" t="s">
        <v>5281</v>
      </c>
      <c r="S5500" t="s">
        <v>4558</v>
      </c>
      <c r="T5500" t="s">
        <v>2704</v>
      </c>
      <c r="U5500" t="s">
        <v>4655</v>
      </c>
      <c r="V5500" s="2">
        <v>0</v>
      </c>
      <c r="W5500" t="s">
        <v>4655</v>
      </c>
      <c r="X5500" s="2">
        <v>0</v>
      </c>
      <c r="Y5500">
        <v>21</v>
      </c>
      <c r="Z5500" t="s">
        <v>2705</v>
      </c>
      <c r="AA5500" s="3">
        <v>1.00000004749745E-3</v>
      </c>
      <c r="AB5500" t="s">
        <v>3072</v>
      </c>
      <c r="AC5500" t="s">
        <v>4575</v>
      </c>
      <c r="AD5500" t="s">
        <v>305</v>
      </c>
      <c r="AE5500" t="s">
        <v>4655</v>
      </c>
      <c r="AF5500" t="s">
        <v>4563</v>
      </c>
      <c r="AG5500" t="s">
        <v>4564</v>
      </c>
      <c r="AH5500">
        <v>89511</v>
      </c>
      <c r="AI5500" t="s">
        <v>4903</v>
      </c>
      <c r="AJ5500" t="s">
        <v>27651</v>
      </c>
      <c r="AK5500" t="s">
        <v>27652</v>
      </c>
      <c r="AL5500" s="13" t="s">
        <v>2257</v>
      </c>
      <c r="AM5500">
        <v>1</v>
      </c>
      <c r="AN5500" s="15" t="s">
        <v>5149</v>
      </c>
    </row>
    <row r="5501" spans="1:40" x14ac:dyDescent="0.3">
      <c r="A5501" s="10" t="str">
        <f>HYPERLINK("http://www.washoecounty.gov/assessor/cama/?parid=164-081-05&amp;CardNumber=1","164-081-05")</f>
        <v>164-081-05</v>
      </c>
      <c r="B5501" t="s">
        <v>4655</v>
      </c>
      <c r="C5501" t="s">
        <v>3214</v>
      </c>
      <c r="D5501" s="1">
        <v>40270</v>
      </c>
      <c r="E5501" s="2">
        <v>49040</v>
      </c>
      <c r="F5501" t="s">
        <v>4553</v>
      </c>
      <c r="G5501" s="17" t="str">
        <f>HYPERLINK("https://www.washoecounty.gov/assessor/cama/?command=sales&amp;parid=16408105","3867375")</f>
        <v>3867375</v>
      </c>
      <c r="H5501" t="s">
        <v>3215</v>
      </c>
      <c r="I5501">
        <v>1986</v>
      </c>
      <c r="J5501">
        <v>1986</v>
      </c>
      <c r="K5501" t="s">
        <v>3144</v>
      </c>
      <c r="L5501" t="s">
        <v>4555</v>
      </c>
      <c r="M5501" s="2">
        <v>835</v>
      </c>
      <c r="N5501" t="s">
        <v>4048</v>
      </c>
      <c r="O5501">
        <v>2</v>
      </c>
      <c r="P5501">
        <v>1</v>
      </c>
      <c r="Q5501">
        <v>0</v>
      </c>
      <c r="R5501" t="s">
        <v>5281</v>
      </c>
      <c r="S5501" t="s">
        <v>4558</v>
      </c>
      <c r="T5501" t="s">
        <v>2704</v>
      </c>
      <c r="U5501" t="s">
        <v>4655</v>
      </c>
      <c r="V5501" s="2">
        <v>0</v>
      </c>
      <c r="W5501" t="s">
        <v>4655</v>
      </c>
      <c r="X5501" s="2">
        <v>0</v>
      </c>
      <c r="Y5501">
        <v>21</v>
      </c>
      <c r="Z5501" t="s">
        <v>2705</v>
      </c>
      <c r="AA5501" s="3">
        <v>1.00000004749745E-3</v>
      </c>
      <c r="AB5501" t="s">
        <v>27653</v>
      </c>
      <c r="AC5501" t="s">
        <v>4562</v>
      </c>
      <c r="AD5501" t="s">
        <v>27654</v>
      </c>
      <c r="AE5501" t="s">
        <v>4655</v>
      </c>
      <c r="AF5501" t="s">
        <v>4563</v>
      </c>
      <c r="AG5501" t="s">
        <v>4564</v>
      </c>
      <c r="AH5501">
        <v>89511</v>
      </c>
      <c r="AI5501" t="s">
        <v>4903</v>
      </c>
      <c r="AJ5501" t="s">
        <v>27655</v>
      </c>
      <c r="AK5501" t="s">
        <v>27656</v>
      </c>
      <c r="AL5501" s="13" t="s">
        <v>2257</v>
      </c>
      <c r="AM5501">
        <v>1</v>
      </c>
      <c r="AN5501" s="15" t="s">
        <v>5149</v>
      </c>
    </row>
    <row r="5502" spans="1:40" x14ac:dyDescent="0.3">
      <c r="A5502" s="10" t="str">
        <f>HYPERLINK("http://www.washoecounty.gov/assessor/cama/?parid=164-082-04&amp;CardNumber=1","164-082-04")</f>
        <v>164-082-04</v>
      </c>
      <c r="B5502" t="s">
        <v>4655</v>
      </c>
      <c r="C5502" t="s">
        <v>1117</v>
      </c>
      <c r="D5502" s="1">
        <v>40379</v>
      </c>
      <c r="E5502" s="2">
        <v>26000</v>
      </c>
      <c r="F5502" t="s">
        <v>4553</v>
      </c>
      <c r="G5502" s="17" t="str">
        <f>HYPERLINK("https://www.washoecounty.gov/assessor/cama/?command=sales&amp;parid=16408204","3903284")</f>
        <v>3903284</v>
      </c>
      <c r="H5502" t="s">
        <v>27657</v>
      </c>
      <c r="I5502">
        <v>1986</v>
      </c>
      <c r="J5502">
        <v>1986</v>
      </c>
      <c r="K5502" t="s">
        <v>3144</v>
      </c>
      <c r="L5502" t="s">
        <v>4555</v>
      </c>
      <c r="M5502" s="2">
        <v>665</v>
      </c>
      <c r="N5502" t="s">
        <v>4048</v>
      </c>
      <c r="O5502">
        <v>1</v>
      </c>
      <c r="P5502">
        <v>1</v>
      </c>
      <c r="Q5502">
        <v>0</v>
      </c>
      <c r="R5502" t="s">
        <v>5281</v>
      </c>
      <c r="S5502" t="s">
        <v>4558</v>
      </c>
      <c r="T5502" t="s">
        <v>2704</v>
      </c>
      <c r="U5502" t="s">
        <v>4655</v>
      </c>
      <c r="V5502" s="2">
        <v>0</v>
      </c>
      <c r="W5502" t="s">
        <v>4655</v>
      </c>
      <c r="X5502" s="2">
        <v>0</v>
      </c>
      <c r="Y5502">
        <v>21</v>
      </c>
      <c r="Z5502" t="s">
        <v>2705</v>
      </c>
      <c r="AA5502" s="3">
        <v>1.00000004749745E-3</v>
      </c>
      <c r="AB5502" t="s">
        <v>27581</v>
      </c>
      <c r="AC5502" t="s">
        <v>4562</v>
      </c>
      <c r="AD5502" t="s">
        <v>27582</v>
      </c>
      <c r="AE5502" t="s">
        <v>4655</v>
      </c>
      <c r="AF5502" t="s">
        <v>4563</v>
      </c>
      <c r="AG5502" t="s">
        <v>4564</v>
      </c>
      <c r="AH5502">
        <v>89509</v>
      </c>
      <c r="AI5502" t="s">
        <v>27658</v>
      </c>
      <c r="AJ5502" t="s">
        <v>27659</v>
      </c>
      <c r="AK5502" t="s">
        <v>27660</v>
      </c>
      <c r="AL5502" s="13" t="s">
        <v>2257</v>
      </c>
      <c r="AM5502">
        <v>1</v>
      </c>
      <c r="AN5502" s="15" t="s">
        <v>5149</v>
      </c>
    </row>
    <row r="5503" spans="1:40" x14ac:dyDescent="0.3">
      <c r="A5503" s="10" t="str">
        <f>HYPERLINK("http://www.washoecounty.gov/assessor/cama/?parid=164-082-07&amp;CardNumber=1","164-082-07")</f>
        <v>164-082-07</v>
      </c>
      <c r="B5503" t="s">
        <v>4655</v>
      </c>
      <c r="C5503" t="s">
        <v>1117</v>
      </c>
      <c r="D5503" s="1">
        <v>40470</v>
      </c>
      <c r="E5503" s="2">
        <v>37500</v>
      </c>
      <c r="F5503" t="s">
        <v>4553</v>
      </c>
      <c r="G5503" s="17" t="str">
        <f>HYPERLINK("https://www.washoecounty.gov/assessor/cama/?command=sales&amp;parid=16408207","3934493")</f>
        <v>3934493</v>
      </c>
      <c r="H5503" t="s">
        <v>27657</v>
      </c>
      <c r="I5503">
        <v>1986</v>
      </c>
      <c r="J5503">
        <v>1986</v>
      </c>
      <c r="K5503" t="s">
        <v>4897</v>
      </c>
      <c r="L5503" t="s">
        <v>4555</v>
      </c>
      <c r="M5503" s="2">
        <v>665</v>
      </c>
      <c r="N5503" t="s">
        <v>4048</v>
      </c>
      <c r="O5503">
        <v>1</v>
      </c>
      <c r="P5503">
        <v>1</v>
      </c>
      <c r="Q5503">
        <v>0</v>
      </c>
      <c r="R5503" t="s">
        <v>5281</v>
      </c>
      <c r="S5503" t="s">
        <v>4558</v>
      </c>
      <c r="T5503" t="s">
        <v>2704</v>
      </c>
      <c r="U5503" t="s">
        <v>4655</v>
      </c>
      <c r="V5503" s="2">
        <v>0</v>
      </c>
      <c r="W5503" t="s">
        <v>4655</v>
      </c>
      <c r="X5503" s="2">
        <v>0</v>
      </c>
      <c r="Y5503">
        <v>21</v>
      </c>
      <c r="Z5503" t="s">
        <v>2705</v>
      </c>
      <c r="AA5503" s="3">
        <v>1.00000004749745E-3</v>
      </c>
      <c r="AB5503" t="s">
        <v>27586</v>
      </c>
      <c r="AC5503" t="s">
        <v>4575</v>
      </c>
      <c r="AD5503" t="s">
        <v>27587</v>
      </c>
      <c r="AE5503" t="s">
        <v>4655</v>
      </c>
      <c r="AF5503" t="s">
        <v>1767</v>
      </c>
      <c r="AG5503" t="s">
        <v>4584</v>
      </c>
      <c r="AH5503" t="s">
        <v>4316</v>
      </c>
      <c r="AI5503" t="s">
        <v>27661</v>
      </c>
      <c r="AJ5503" t="s">
        <v>27662</v>
      </c>
      <c r="AK5503" t="s">
        <v>27663</v>
      </c>
      <c r="AL5503" s="13" t="s">
        <v>2257</v>
      </c>
      <c r="AM5503">
        <v>1</v>
      </c>
      <c r="AN5503" s="15" t="s">
        <v>5149</v>
      </c>
    </row>
    <row r="5504" spans="1:40" x14ac:dyDescent="0.3">
      <c r="A5504" s="10" t="str">
        <f>HYPERLINK("http://www.washoecounty.gov/assessor/cama/?parid=164-082-12&amp;CardNumber=1","164-082-12")</f>
        <v>164-082-12</v>
      </c>
      <c r="B5504" t="s">
        <v>4655</v>
      </c>
      <c r="C5504" t="s">
        <v>1117</v>
      </c>
      <c r="D5504" s="1">
        <v>40436</v>
      </c>
      <c r="E5504" s="2">
        <v>53500</v>
      </c>
      <c r="F5504" t="s">
        <v>4567</v>
      </c>
      <c r="G5504" s="17" t="str">
        <f>HYPERLINK("https://www.washoecounty.gov/assessor/cama/?command=sales&amp;parid=16408212","3922739")</f>
        <v>3922739</v>
      </c>
      <c r="H5504" t="s">
        <v>3846</v>
      </c>
      <c r="I5504">
        <v>1986</v>
      </c>
      <c r="J5504">
        <v>1986</v>
      </c>
      <c r="K5504" t="s">
        <v>4897</v>
      </c>
      <c r="L5504" t="s">
        <v>4555</v>
      </c>
      <c r="M5504" s="2">
        <v>887</v>
      </c>
      <c r="N5504" t="s">
        <v>4048</v>
      </c>
      <c r="O5504">
        <v>2</v>
      </c>
      <c r="P5504">
        <v>2</v>
      </c>
      <c r="Q5504">
        <v>0</v>
      </c>
      <c r="R5504" t="s">
        <v>5281</v>
      </c>
      <c r="S5504" t="s">
        <v>4558</v>
      </c>
      <c r="T5504" t="s">
        <v>2704</v>
      </c>
      <c r="U5504" t="s">
        <v>4655</v>
      </c>
      <c r="V5504" s="2">
        <v>0</v>
      </c>
      <c r="W5504" t="s">
        <v>4655</v>
      </c>
      <c r="X5504" s="2">
        <v>0</v>
      </c>
      <c r="Y5504">
        <v>21</v>
      </c>
      <c r="Z5504" t="s">
        <v>2705</v>
      </c>
      <c r="AA5504" s="3">
        <v>1.00000004749745E-3</v>
      </c>
      <c r="AB5504" t="s">
        <v>27664</v>
      </c>
      <c r="AC5504" t="s">
        <v>4562</v>
      </c>
      <c r="AD5504" t="s">
        <v>27665</v>
      </c>
      <c r="AE5504" t="s">
        <v>4655</v>
      </c>
      <c r="AF5504" t="s">
        <v>4563</v>
      </c>
      <c r="AG5504" t="s">
        <v>4564</v>
      </c>
      <c r="AH5504">
        <v>89511</v>
      </c>
      <c r="AI5504" t="s">
        <v>5402</v>
      </c>
      <c r="AJ5504" t="s">
        <v>27666</v>
      </c>
      <c r="AK5504" t="s">
        <v>27667</v>
      </c>
      <c r="AL5504" s="13" t="s">
        <v>2257</v>
      </c>
      <c r="AM5504">
        <v>1</v>
      </c>
      <c r="AN5504" s="15" t="s">
        <v>5149</v>
      </c>
    </row>
    <row r="5505" spans="1:40" x14ac:dyDescent="0.3">
      <c r="A5505" s="10" t="str">
        <f>HYPERLINK("http://www.washoecounty.gov/assessor/cama/?parid=164-082-15&amp;CardNumber=1","164-082-15")</f>
        <v>164-082-15</v>
      </c>
      <c r="B5505" t="s">
        <v>4655</v>
      </c>
      <c r="C5505" t="s">
        <v>1117</v>
      </c>
      <c r="D5505" s="1">
        <v>40465</v>
      </c>
      <c r="E5505" s="2">
        <v>57750</v>
      </c>
      <c r="F5505" t="s">
        <v>4567</v>
      </c>
      <c r="G5505" s="17" t="str">
        <f>HYPERLINK("https://www.washoecounty.gov/assessor/cama/?command=sales&amp;parid=16408215","3932923")</f>
        <v>3932923</v>
      </c>
      <c r="H5505" t="s">
        <v>1118</v>
      </c>
      <c r="I5505">
        <v>1986</v>
      </c>
      <c r="J5505">
        <v>1986</v>
      </c>
      <c r="K5505" t="s">
        <v>3144</v>
      </c>
      <c r="L5505" t="s">
        <v>4555</v>
      </c>
      <c r="M5505" s="2">
        <v>887</v>
      </c>
      <c r="N5505" t="s">
        <v>4048</v>
      </c>
      <c r="O5505">
        <v>2</v>
      </c>
      <c r="P5505">
        <v>2</v>
      </c>
      <c r="Q5505">
        <v>0</v>
      </c>
      <c r="R5505" t="s">
        <v>5281</v>
      </c>
      <c r="S5505" t="s">
        <v>4558</v>
      </c>
      <c r="T5505" t="s">
        <v>2704</v>
      </c>
      <c r="U5505" t="s">
        <v>4655</v>
      </c>
      <c r="V5505" s="2">
        <v>0</v>
      </c>
      <c r="W5505" t="s">
        <v>4655</v>
      </c>
      <c r="X5505" s="2">
        <v>0</v>
      </c>
      <c r="Y5505">
        <v>21</v>
      </c>
      <c r="Z5505" t="s">
        <v>2705</v>
      </c>
      <c r="AA5505" s="3">
        <v>1.00000004749745E-3</v>
      </c>
      <c r="AB5505" t="s">
        <v>27668</v>
      </c>
      <c r="AC5505" t="s">
        <v>4562</v>
      </c>
      <c r="AD5505" t="s">
        <v>27669</v>
      </c>
      <c r="AE5505" t="s">
        <v>27670</v>
      </c>
      <c r="AF5505" t="s">
        <v>3660</v>
      </c>
      <c r="AG5505" t="s">
        <v>4584</v>
      </c>
      <c r="AH5505" t="s">
        <v>1340</v>
      </c>
      <c r="AI5505" t="s">
        <v>4655</v>
      </c>
      <c r="AJ5505" t="s">
        <v>27671</v>
      </c>
      <c r="AK5505" t="s">
        <v>27672</v>
      </c>
      <c r="AL5505" s="13" t="s">
        <v>2257</v>
      </c>
      <c r="AM5505" s="14">
        <v>1</v>
      </c>
      <c r="AN5505" s="15" t="s">
        <v>5149</v>
      </c>
    </row>
    <row r="5506" spans="1:40" x14ac:dyDescent="0.3">
      <c r="A5506" s="10" t="str">
        <f>HYPERLINK("http://www.washoecounty.gov/assessor/cama/?parid=164-083-03&amp;CardNumber=1","164-083-03")</f>
        <v>164-083-03</v>
      </c>
      <c r="B5506" t="s">
        <v>4655</v>
      </c>
      <c r="C5506" t="s">
        <v>3214</v>
      </c>
      <c r="D5506" s="1">
        <v>40287</v>
      </c>
      <c r="E5506" s="2">
        <v>45000</v>
      </c>
      <c r="F5506" t="s">
        <v>4567</v>
      </c>
      <c r="G5506" s="17" t="str">
        <f>HYPERLINK("https://www.washoecounty.gov/assessor/cama/?command=sales&amp;parid=16408303","3872260")</f>
        <v>3872260</v>
      </c>
      <c r="H5506" t="s">
        <v>3215</v>
      </c>
      <c r="I5506">
        <v>1986</v>
      </c>
      <c r="J5506">
        <v>1986</v>
      </c>
      <c r="K5506" t="s">
        <v>4897</v>
      </c>
      <c r="L5506" t="s">
        <v>4555</v>
      </c>
      <c r="M5506" s="2">
        <v>835</v>
      </c>
      <c r="N5506" t="s">
        <v>4048</v>
      </c>
      <c r="O5506">
        <v>2</v>
      </c>
      <c r="P5506">
        <v>1</v>
      </c>
      <c r="Q5506">
        <v>0</v>
      </c>
      <c r="R5506" t="s">
        <v>5281</v>
      </c>
      <c r="S5506" t="s">
        <v>4558</v>
      </c>
      <c r="T5506" t="s">
        <v>2704</v>
      </c>
      <c r="U5506" t="s">
        <v>4655</v>
      </c>
      <c r="V5506" s="2">
        <v>0</v>
      </c>
      <c r="W5506" t="s">
        <v>4655</v>
      </c>
      <c r="X5506" s="2">
        <v>0</v>
      </c>
      <c r="Y5506">
        <v>21</v>
      </c>
      <c r="Z5506" t="s">
        <v>2705</v>
      </c>
      <c r="AA5506" s="3">
        <v>1.00000004749745E-3</v>
      </c>
      <c r="AB5506" t="s">
        <v>27673</v>
      </c>
      <c r="AC5506" t="s">
        <v>4562</v>
      </c>
      <c r="AD5506" t="s">
        <v>27674</v>
      </c>
      <c r="AE5506" t="s">
        <v>4655</v>
      </c>
      <c r="AF5506" t="s">
        <v>2484</v>
      </c>
      <c r="AG5506" t="s">
        <v>4584</v>
      </c>
      <c r="AH5506" t="s">
        <v>2485</v>
      </c>
      <c r="AI5506" t="s">
        <v>27675</v>
      </c>
      <c r="AJ5506" t="s">
        <v>27676</v>
      </c>
      <c r="AK5506" t="s">
        <v>27677</v>
      </c>
      <c r="AL5506" s="13" t="s">
        <v>2257</v>
      </c>
      <c r="AM5506">
        <v>1</v>
      </c>
      <c r="AN5506" s="15" t="s">
        <v>5149</v>
      </c>
    </row>
    <row r="5507" spans="1:40" x14ac:dyDescent="0.3">
      <c r="A5507" s="10" t="str">
        <f>HYPERLINK("http://www.washoecounty.gov/assessor/cama/?parid=164-083-06&amp;CardNumber=1","164-083-06")</f>
        <v>164-083-06</v>
      </c>
      <c r="B5507" t="s">
        <v>4655</v>
      </c>
      <c r="C5507" t="s">
        <v>1117</v>
      </c>
      <c r="D5507" s="1">
        <v>40451</v>
      </c>
      <c r="E5507" s="2">
        <v>42500</v>
      </c>
      <c r="F5507" t="s">
        <v>4567</v>
      </c>
      <c r="G5507" s="17" t="str">
        <f>HYPERLINK("https://www.washoecounty.gov/assessor/cama/?command=sales&amp;parid=16408306","3927968")</f>
        <v>3927968</v>
      </c>
      <c r="H5507" t="s">
        <v>3215</v>
      </c>
      <c r="I5507">
        <v>1986</v>
      </c>
      <c r="J5507">
        <v>1986</v>
      </c>
      <c r="K5507" t="s">
        <v>3144</v>
      </c>
      <c r="L5507" t="s">
        <v>4555</v>
      </c>
      <c r="M5507" s="2">
        <v>835</v>
      </c>
      <c r="N5507" t="s">
        <v>4048</v>
      </c>
      <c r="O5507">
        <v>2</v>
      </c>
      <c r="P5507">
        <v>1</v>
      </c>
      <c r="Q5507">
        <v>0</v>
      </c>
      <c r="R5507" t="s">
        <v>5281</v>
      </c>
      <c r="S5507" t="s">
        <v>4558</v>
      </c>
      <c r="T5507" t="s">
        <v>2704</v>
      </c>
      <c r="U5507" t="s">
        <v>4655</v>
      </c>
      <c r="V5507" s="2">
        <v>0</v>
      </c>
      <c r="W5507" t="s">
        <v>4655</v>
      </c>
      <c r="X5507" s="2">
        <v>0</v>
      </c>
      <c r="Y5507">
        <v>21</v>
      </c>
      <c r="Z5507" t="s">
        <v>2705</v>
      </c>
      <c r="AA5507" s="3">
        <v>1.00000004749745E-3</v>
      </c>
      <c r="AB5507" t="s">
        <v>27673</v>
      </c>
      <c r="AC5507" t="s">
        <v>4562</v>
      </c>
      <c r="AD5507" t="s">
        <v>27674</v>
      </c>
      <c r="AE5507" t="s">
        <v>4655</v>
      </c>
      <c r="AF5507" t="s">
        <v>2484</v>
      </c>
      <c r="AG5507" t="s">
        <v>4584</v>
      </c>
      <c r="AH5507" t="s">
        <v>2485</v>
      </c>
      <c r="AI5507" t="s">
        <v>27678</v>
      </c>
      <c r="AJ5507" t="s">
        <v>27679</v>
      </c>
      <c r="AK5507" t="s">
        <v>27680</v>
      </c>
      <c r="AL5507" s="13" t="s">
        <v>2257</v>
      </c>
      <c r="AM5507" s="14">
        <v>1</v>
      </c>
      <c r="AN5507" s="15" t="s">
        <v>5149</v>
      </c>
    </row>
    <row r="5508" spans="1:40" x14ac:dyDescent="0.3">
      <c r="A5508" s="10" t="str">
        <f>HYPERLINK("http://www.washoecounty.gov/assessor/cama/?parid=164-083-11&amp;CardNumber=1","164-083-11")</f>
        <v>164-083-11</v>
      </c>
      <c r="B5508" t="s">
        <v>4655</v>
      </c>
      <c r="C5508" t="s">
        <v>1117</v>
      </c>
      <c r="D5508" s="1">
        <v>40403</v>
      </c>
      <c r="E5508" s="2">
        <v>42900</v>
      </c>
      <c r="F5508" t="s">
        <v>4553</v>
      </c>
      <c r="G5508" s="17" t="str">
        <f>HYPERLINK("https://www.washoecounty.gov/assessor/cama/?command=sales&amp;parid=16408311","3911962")</f>
        <v>3911962</v>
      </c>
      <c r="H5508" t="s">
        <v>27681</v>
      </c>
      <c r="I5508">
        <v>1986</v>
      </c>
      <c r="J5508">
        <v>1986</v>
      </c>
      <c r="K5508" t="s">
        <v>3144</v>
      </c>
      <c r="L5508" t="s">
        <v>4555</v>
      </c>
      <c r="M5508" s="2">
        <v>835</v>
      </c>
      <c r="N5508" t="s">
        <v>4048</v>
      </c>
      <c r="O5508">
        <v>2</v>
      </c>
      <c r="P5508">
        <v>1</v>
      </c>
      <c r="Q5508">
        <v>0</v>
      </c>
      <c r="R5508" t="s">
        <v>5281</v>
      </c>
      <c r="S5508" t="s">
        <v>4558</v>
      </c>
      <c r="T5508" t="s">
        <v>2704</v>
      </c>
      <c r="U5508" t="s">
        <v>4655</v>
      </c>
      <c r="V5508" s="2">
        <v>0</v>
      </c>
      <c r="W5508" t="s">
        <v>4655</v>
      </c>
      <c r="X5508" s="2">
        <v>0</v>
      </c>
      <c r="Y5508">
        <v>21</v>
      </c>
      <c r="Z5508" t="s">
        <v>2705</v>
      </c>
      <c r="AA5508" s="3">
        <v>1.00000004749745E-3</v>
      </c>
      <c r="AB5508" t="s">
        <v>27581</v>
      </c>
      <c r="AC5508" t="s">
        <v>4562</v>
      </c>
      <c r="AD5508" t="s">
        <v>27582</v>
      </c>
      <c r="AE5508" t="s">
        <v>4655</v>
      </c>
      <c r="AF5508" t="s">
        <v>4563</v>
      </c>
      <c r="AG5508" t="s">
        <v>4564</v>
      </c>
      <c r="AH5508">
        <v>89509</v>
      </c>
      <c r="AI5508" t="s">
        <v>27682</v>
      </c>
      <c r="AJ5508" t="s">
        <v>27683</v>
      </c>
      <c r="AK5508" t="s">
        <v>27684</v>
      </c>
      <c r="AL5508" s="13" t="s">
        <v>2257</v>
      </c>
      <c r="AM5508">
        <v>1</v>
      </c>
      <c r="AN5508" s="15" t="s">
        <v>5149</v>
      </c>
    </row>
    <row r="5509" spans="1:40" x14ac:dyDescent="0.3">
      <c r="A5509" s="10" t="str">
        <f>HYPERLINK("http://www.washoecounty.gov/assessor/cama/?parid=164-083-14&amp;CardNumber=1","164-083-14")</f>
        <v>164-083-14</v>
      </c>
      <c r="B5509" t="s">
        <v>4655</v>
      </c>
      <c r="C5509" t="s">
        <v>3214</v>
      </c>
      <c r="D5509" s="1">
        <v>40354</v>
      </c>
      <c r="E5509" s="2">
        <v>44500</v>
      </c>
      <c r="F5509" t="s">
        <v>4553</v>
      </c>
      <c r="G5509" s="17" t="str">
        <f>HYPERLINK("https://www.washoecounty.gov/assessor/cama/?command=sales&amp;parid=16408314","3895437")</f>
        <v>3895437</v>
      </c>
      <c r="H5509" t="s">
        <v>27681</v>
      </c>
      <c r="I5509">
        <v>1986</v>
      </c>
      <c r="J5509">
        <v>1986</v>
      </c>
      <c r="K5509" t="s">
        <v>3144</v>
      </c>
      <c r="L5509" t="s">
        <v>4555</v>
      </c>
      <c r="M5509" s="2">
        <v>835</v>
      </c>
      <c r="N5509" t="s">
        <v>4048</v>
      </c>
      <c r="O5509">
        <v>2</v>
      </c>
      <c r="P5509">
        <v>1</v>
      </c>
      <c r="Q5509">
        <v>0</v>
      </c>
      <c r="R5509" t="s">
        <v>5281</v>
      </c>
      <c r="S5509" t="s">
        <v>4558</v>
      </c>
      <c r="T5509" t="s">
        <v>2704</v>
      </c>
      <c r="U5509" t="s">
        <v>4655</v>
      </c>
      <c r="V5509" s="2">
        <v>0</v>
      </c>
      <c r="W5509" t="s">
        <v>4655</v>
      </c>
      <c r="X5509" s="2">
        <v>0</v>
      </c>
      <c r="Y5509">
        <v>21</v>
      </c>
      <c r="Z5509" t="s">
        <v>2705</v>
      </c>
      <c r="AA5509" s="3">
        <v>1.00000004749745E-3</v>
      </c>
      <c r="AB5509" t="s">
        <v>27641</v>
      </c>
      <c r="AC5509" t="s">
        <v>4575</v>
      </c>
      <c r="AD5509" t="s">
        <v>27642</v>
      </c>
      <c r="AE5509" t="s">
        <v>4655</v>
      </c>
      <c r="AF5509" t="s">
        <v>4563</v>
      </c>
      <c r="AG5509" t="s">
        <v>4564</v>
      </c>
      <c r="AH5509" t="s">
        <v>2330</v>
      </c>
      <c r="AI5509" t="s">
        <v>1673</v>
      </c>
      <c r="AJ5509" t="s">
        <v>27685</v>
      </c>
      <c r="AK5509" t="s">
        <v>27686</v>
      </c>
      <c r="AL5509" s="13" t="s">
        <v>2257</v>
      </c>
      <c r="AM5509">
        <v>1</v>
      </c>
      <c r="AN5509" s="15" t="s">
        <v>5149</v>
      </c>
    </row>
    <row r="5510" spans="1:40" x14ac:dyDescent="0.3">
      <c r="A5510" s="10" t="str">
        <f>HYPERLINK("http://www.washoecounty.gov/assessor/cama/?parid=164-084-07&amp;CardNumber=1","164-084-07")</f>
        <v>164-084-07</v>
      </c>
      <c r="B5510" t="s">
        <v>4655</v>
      </c>
      <c r="C5510" t="s">
        <v>1117</v>
      </c>
      <c r="D5510" s="1">
        <v>40473</v>
      </c>
      <c r="E5510" s="2">
        <v>36900</v>
      </c>
      <c r="F5510" t="s">
        <v>4567</v>
      </c>
      <c r="G5510" s="17" t="str">
        <f>HYPERLINK("https://www.washoecounty.gov/assessor/cama/?command=sales&amp;parid=16408407","3935446")</f>
        <v>3935446</v>
      </c>
      <c r="H5510" t="s">
        <v>27657</v>
      </c>
      <c r="I5510">
        <v>1986</v>
      </c>
      <c r="J5510">
        <v>1986</v>
      </c>
      <c r="K5510" t="s">
        <v>4897</v>
      </c>
      <c r="L5510" t="s">
        <v>4555</v>
      </c>
      <c r="M5510" s="2">
        <v>665</v>
      </c>
      <c r="N5510" t="s">
        <v>4048</v>
      </c>
      <c r="O5510">
        <v>1</v>
      </c>
      <c r="P5510">
        <v>1</v>
      </c>
      <c r="Q5510">
        <v>0</v>
      </c>
      <c r="R5510" t="s">
        <v>5281</v>
      </c>
      <c r="S5510" t="s">
        <v>4558</v>
      </c>
      <c r="T5510" t="s">
        <v>2704</v>
      </c>
      <c r="U5510" t="s">
        <v>4655</v>
      </c>
      <c r="V5510" s="2">
        <v>0</v>
      </c>
      <c r="W5510" t="s">
        <v>4655</v>
      </c>
      <c r="X5510" s="2">
        <v>0</v>
      </c>
      <c r="Y5510">
        <v>21</v>
      </c>
      <c r="Z5510" t="s">
        <v>2705</v>
      </c>
      <c r="AA5510" s="3">
        <v>1.00000004749745E-3</v>
      </c>
      <c r="AB5510" t="s">
        <v>27687</v>
      </c>
      <c r="AC5510" t="s">
        <v>4562</v>
      </c>
      <c r="AD5510" t="s">
        <v>27688</v>
      </c>
      <c r="AE5510" t="s">
        <v>4655</v>
      </c>
      <c r="AF5510" t="s">
        <v>4563</v>
      </c>
      <c r="AG5510" t="s">
        <v>4564</v>
      </c>
      <c r="AH5510">
        <v>89511</v>
      </c>
      <c r="AI5510" t="s">
        <v>27689</v>
      </c>
      <c r="AJ5510" t="s">
        <v>27690</v>
      </c>
      <c r="AK5510" t="s">
        <v>27691</v>
      </c>
      <c r="AL5510" s="13" t="s">
        <v>2257</v>
      </c>
      <c r="AM5510">
        <v>1</v>
      </c>
      <c r="AN5510" s="15" t="s">
        <v>5149</v>
      </c>
    </row>
    <row r="5511" spans="1:40" x14ac:dyDescent="0.3">
      <c r="A5511" s="10" t="str">
        <f>HYPERLINK("http://www.washoecounty.gov/assessor/cama/?parid=164-084-09&amp;CardNumber=1","164-084-09")</f>
        <v>164-084-09</v>
      </c>
      <c r="B5511" t="s">
        <v>4655</v>
      </c>
      <c r="C5511" t="s">
        <v>1117</v>
      </c>
      <c r="D5511" s="1">
        <v>40354</v>
      </c>
      <c r="E5511" s="2">
        <v>62500</v>
      </c>
      <c r="F5511" t="s">
        <v>4553</v>
      </c>
      <c r="G5511" s="17" t="str">
        <f>HYPERLINK("https://www.washoecounty.gov/assessor/cama/?command=sales&amp;parid=16408409","3895432")</f>
        <v>3895432</v>
      </c>
      <c r="H5511" t="s">
        <v>1118</v>
      </c>
      <c r="I5511">
        <v>1986</v>
      </c>
      <c r="J5511">
        <v>1986</v>
      </c>
      <c r="K5511" t="s">
        <v>4897</v>
      </c>
      <c r="L5511" t="s">
        <v>4555</v>
      </c>
      <c r="M5511" s="2">
        <v>887</v>
      </c>
      <c r="N5511" t="s">
        <v>4048</v>
      </c>
      <c r="O5511">
        <v>2</v>
      </c>
      <c r="P5511">
        <v>2</v>
      </c>
      <c r="Q5511">
        <v>0</v>
      </c>
      <c r="R5511" t="s">
        <v>5281</v>
      </c>
      <c r="S5511" t="s">
        <v>4558</v>
      </c>
      <c r="T5511" t="s">
        <v>2704</v>
      </c>
      <c r="U5511" t="s">
        <v>4655</v>
      </c>
      <c r="V5511" s="2">
        <v>0</v>
      </c>
      <c r="W5511" t="s">
        <v>4655</v>
      </c>
      <c r="X5511" s="2">
        <v>0</v>
      </c>
      <c r="Y5511">
        <v>21</v>
      </c>
      <c r="Z5511" t="s">
        <v>2705</v>
      </c>
      <c r="AA5511" s="3">
        <v>1.00000004749745E-3</v>
      </c>
      <c r="AB5511" t="s">
        <v>27692</v>
      </c>
      <c r="AC5511" t="s">
        <v>4562</v>
      </c>
      <c r="AD5511" t="s">
        <v>27693</v>
      </c>
      <c r="AE5511" t="s">
        <v>4655</v>
      </c>
      <c r="AF5511" t="s">
        <v>4563</v>
      </c>
      <c r="AG5511" t="s">
        <v>4564</v>
      </c>
      <c r="AH5511">
        <v>89511</v>
      </c>
      <c r="AI5511" t="s">
        <v>4655</v>
      </c>
      <c r="AJ5511" t="s">
        <v>27694</v>
      </c>
      <c r="AK5511" t="s">
        <v>27695</v>
      </c>
      <c r="AL5511" s="13" t="s">
        <v>2257</v>
      </c>
      <c r="AM5511">
        <v>1</v>
      </c>
      <c r="AN5511" s="15" t="s">
        <v>5149</v>
      </c>
    </row>
    <row r="5512" spans="1:40" x14ac:dyDescent="0.3">
      <c r="A5512" s="10" t="str">
        <f>HYPERLINK("http://www.washoecounty.gov/assessor/cama/?parid=164-091-18&amp;CardNumber=1","164-091-18")</f>
        <v>164-091-18</v>
      </c>
      <c r="B5512" t="s">
        <v>4655</v>
      </c>
      <c r="C5512" t="s">
        <v>5150</v>
      </c>
      <c r="D5512" s="1">
        <v>40487</v>
      </c>
      <c r="E5512" s="2">
        <v>58250</v>
      </c>
      <c r="F5512" t="s">
        <v>4553</v>
      </c>
      <c r="G5512" s="17" t="str">
        <f>HYPERLINK("https://www.washoecounty.gov/assessor/cama/?command=sales&amp;parid=16409118","3940389")</f>
        <v>3940389</v>
      </c>
      <c r="H5512" t="s">
        <v>3846</v>
      </c>
      <c r="I5512">
        <v>1986</v>
      </c>
      <c r="J5512">
        <v>1986</v>
      </c>
      <c r="K5512" t="s">
        <v>3144</v>
      </c>
      <c r="L5512" t="s">
        <v>4555</v>
      </c>
      <c r="M5512" s="2">
        <v>887</v>
      </c>
      <c r="N5512" t="s">
        <v>4048</v>
      </c>
      <c r="O5512">
        <v>2</v>
      </c>
      <c r="P5512">
        <v>2</v>
      </c>
      <c r="Q5512">
        <v>0</v>
      </c>
      <c r="R5512" t="s">
        <v>5281</v>
      </c>
      <c r="S5512" t="s">
        <v>4558</v>
      </c>
      <c r="T5512" t="s">
        <v>4559</v>
      </c>
      <c r="U5512" t="s">
        <v>4655</v>
      </c>
      <c r="V5512" s="2">
        <v>0</v>
      </c>
      <c r="W5512" t="s">
        <v>4655</v>
      </c>
      <c r="X5512" s="2">
        <v>0</v>
      </c>
      <c r="Y5512">
        <v>21</v>
      </c>
      <c r="Z5512" t="s">
        <v>2705</v>
      </c>
      <c r="AA5512" s="3">
        <v>1.00000004749745E-3</v>
      </c>
      <c r="AB5512" t="s">
        <v>27696</v>
      </c>
      <c r="AC5512" t="s">
        <v>4562</v>
      </c>
      <c r="AD5512" t="s">
        <v>27697</v>
      </c>
      <c r="AE5512" t="s">
        <v>4655</v>
      </c>
      <c r="AF5512" t="s">
        <v>4563</v>
      </c>
      <c r="AG5512" t="s">
        <v>4564</v>
      </c>
      <c r="AH5512">
        <v>89511</v>
      </c>
      <c r="AI5512" t="s">
        <v>1922</v>
      </c>
      <c r="AJ5512" t="s">
        <v>27698</v>
      </c>
      <c r="AK5512" t="s">
        <v>27699</v>
      </c>
      <c r="AL5512" s="13" t="s">
        <v>2257</v>
      </c>
      <c r="AM5512">
        <v>1</v>
      </c>
      <c r="AN5512" s="15" t="s">
        <v>5149</v>
      </c>
    </row>
    <row r="5513" spans="1:40" x14ac:dyDescent="0.3">
      <c r="A5513" s="10" t="str">
        <f>HYPERLINK("http://www.washoecounty.gov/assessor/cama/?parid=164-092-12&amp;CardNumber=1","164-092-12")</f>
        <v>164-092-12</v>
      </c>
      <c r="B5513" t="s">
        <v>4655</v>
      </c>
      <c r="C5513" t="s">
        <v>5150</v>
      </c>
      <c r="D5513" s="1">
        <v>40322</v>
      </c>
      <c r="E5513" s="2">
        <v>32500</v>
      </c>
      <c r="F5513" t="s">
        <v>4567</v>
      </c>
      <c r="G5513" s="17" t="str">
        <f>HYPERLINK("https://www.washoecounty.gov/assessor/cama/?command=sales&amp;parid=16409212","3884142")</f>
        <v>3884142</v>
      </c>
      <c r="H5513" t="s">
        <v>3846</v>
      </c>
      <c r="I5513">
        <v>1986</v>
      </c>
      <c r="J5513">
        <v>1986</v>
      </c>
      <c r="K5513" t="s">
        <v>4897</v>
      </c>
      <c r="L5513" t="s">
        <v>4555</v>
      </c>
      <c r="M5513" s="2">
        <v>665</v>
      </c>
      <c r="N5513" t="s">
        <v>4048</v>
      </c>
      <c r="O5513">
        <v>1</v>
      </c>
      <c r="P5513">
        <v>1</v>
      </c>
      <c r="Q5513">
        <v>0</v>
      </c>
      <c r="R5513" t="s">
        <v>5281</v>
      </c>
      <c r="S5513" t="s">
        <v>4558</v>
      </c>
      <c r="T5513" t="s">
        <v>4559</v>
      </c>
      <c r="U5513" t="s">
        <v>4655</v>
      </c>
      <c r="V5513" s="2">
        <v>0</v>
      </c>
      <c r="W5513" t="s">
        <v>4655</v>
      </c>
      <c r="X5513" s="2">
        <v>0</v>
      </c>
      <c r="Y5513">
        <v>21</v>
      </c>
      <c r="Z5513" t="s">
        <v>2705</v>
      </c>
      <c r="AA5513" s="3">
        <v>1.00000004749745E-3</v>
      </c>
      <c r="AB5513" t="s">
        <v>27700</v>
      </c>
      <c r="AC5513" t="s">
        <v>4562</v>
      </c>
      <c r="AD5513" t="s">
        <v>27701</v>
      </c>
      <c r="AE5513" t="s">
        <v>4655</v>
      </c>
      <c r="AF5513" t="s">
        <v>4563</v>
      </c>
      <c r="AG5513" t="s">
        <v>4564</v>
      </c>
      <c r="AH5513">
        <v>89511</v>
      </c>
      <c r="AI5513" t="s">
        <v>27702</v>
      </c>
      <c r="AJ5513" t="s">
        <v>27703</v>
      </c>
      <c r="AK5513" t="s">
        <v>27704</v>
      </c>
      <c r="AL5513" s="13" t="s">
        <v>2257</v>
      </c>
      <c r="AM5513" s="14">
        <v>1</v>
      </c>
      <c r="AN5513" s="15" t="s">
        <v>5149</v>
      </c>
    </row>
    <row r="5514" spans="1:40" x14ac:dyDescent="0.3">
      <c r="A5514" s="10" t="str">
        <f>HYPERLINK("http://www.washoecounty.gov/assessor/cama/?parid=164-092-35&amp;CardNumber=1","164-092-35")</f>
        <v>164-092-35</v>
      </c>
      <c r="B5514" t="s">
        <v>4655</v>
      </c>
      <c r="C5514" t="s">
        <v>5150</v>
      </c>
      <c r="D5514" s="1">
        <v>40266</v>
      </c>
      <c r="E5514" s="2">
        <v>50000</v>
      </c>
      <c r="F5514" t="s">
        <v>4553</v>
      </c>
      <c r="G5514" s="17" t="str">
        <f>HYPERLINK("https://www.washoecounty.gov/assessor/cama/?command=sales&amp;parid=16409235","3865145")</f>
        <v>3865145</v>
      </c>
      <c r="H5514" t="s">
        <v>3846</v>
      </c>
      <c r="I5514">
        <v>1986</v>
      </c>
      <c r="J5514">
        <v>1986</v>
      </c>
      <c r="K5514" t="s">
        <v>3144</v>
      </c>
      <c r="L5514" t="s">
        <v>4555</v>
      </c>
      <c r="M5514" s="2">
        <v>887</v>
      </c>
      <c r="N5514" t="s">
        <v>4048</v>
      </c>
      <c r="O5514">
        <v>2</v>
      </c>
      <c r="P5514">
        <v>2</v>
      </c>
      <c r="Q5514">
        <v>0</v>
      </c>
      <c r="R5514" t="s">
        <v>5281</v>
      </c>
      <c r="S5514" t="s">
        <v>4558</v>
      </c>
      <c r="T5514" t="s">
        <v>2704</v>
      </c>
      <c r="U5514" t="s">
        <v>4655</v>
      </c>
      <c r="V5514" s="2">
        <v>0</v>
      </c>
      <c r="W5514" t="s">
        <v>4655</v>
      </c>
      <c r="X5514" s="2">
        <v>0</v>
      </c>
      <c r="Y5514">
        <v>21</v>
      </c>
      <c r="Z5514" t="s">
        <v>2705</v>
      </c>
      <c r="AA5514" s="3">
        <v>1.00000004749745E-3</v>
      </c>
      <c r="AB5514" t="s">
        <v>27705</v>
      </c>
      <c r="AC5514" t="s">
        <v>4562</v>
      </c>
      <c r="AD5514" t="s">
        <v>27706</v>
      </c>
      <c r="AE5514" t="s">
        <v>4655</v>
      </c>
      <c r="AF5514" t="s">
        <v>4563</v>
      </c>
      <c r="AG5514" t="s">
        <v>4564</v>
      </c>
      <c r="AH5514">
        <v>89511</v>
      </c>
      <c r="AI5514" t="s">
        <v>4565</v>
      </c>
      <c r="AJ5514" t="s">
        <v>27707</v>
      </c>
      <c r="AK5514" t="s">
        <v>27708</v>
      </c>
      <c r="AL5514" s="13" t="s">
        <v>2257</v>
      </c>
      <c r="AM5514">
        <v>1</v>
      </c>
      <c r="AN5514" s="15" t="s">
        <v>5149</v>
      </c>
    </row>
    <row r="5515" spans="1:40" x14ac:dyDescent="0.3">
      <c r="A5515" s="10" t="str">
        <f>HYPERLINK("http://www.washoecounty.gov/assessor/cama/?parid=164-092-40&amp;CardNumber=1","164-092-40")</f>
        <v>164-092-40</v>
      </c>
      <c r="B5515" t="s">
        <v>4655</v>
      </c>
      <c r="C5515" t="s">
        <v>5150</v>
      </c>
      <c r="D5515" s="1">
        <v>40354</v>
      </c>
      <c r="E5515" s="2">
        <v>56000</v>
      </c>
      <c r="F5515" t="s">
        <v>4553</v>
      </c>
      <c r="G5515" s="17" t="str">
        <f>HYPERLINK("https://www.washoecounty.gov/assessor/cama/?command=sales&amp;parid=16409240","3895533")</f>
        <v>3895533</v>
      </c>
      <c r="H5515" t="s">
        <v>3846</v>
      </c>
      <c r="I5515">
        <v>1986</v>
      </c>
      <c r="J5515">
        <v>1986</v>
      </c>
      <c r="K5515" t="s">
        <v>4897</v>
      </c>
      <c r="L5515" t="s">
        <v>4555</v>
      </c>
      <c r="M5515" s="2">
        <v>887</v>
      </c>
      <c r="N5515" t="s">
        <v>4048</v>
      </c>
      <c r="O5515">
        <v>2</v>
      </c>
      <c r="P5515">
        <v>2</v>
      </c>
      <c r="Q5515">
        <v>0</v>
      </c>
      <c r="R5515" t="s">
        <v>5281</v>
      </c>
      <c r="S5515" t="s">
        <v>4558</v>
      </c>
      <c r="T5515" t="s">
        <v>2704</v>
      </c>
      <c r="U5515" t="s">
        <v>4655</v>
      </c>
      <c r="V5515" s="2">
        <v>0</v>
      </c>
      <c r="W5515" t="s">
        <v>4655</v>
      </c>
      <c r="X5515" s="2">
        <v>0</v>
      </c>
      <c r="Y5515">
        <v>21</v>
      </c>
      <c r="Z5515" t="s">
        <v>2705</v>
      </c>
      <c r="AA5515" s="3">
        <v>1.00000004749745E-3</v>
      </c>
      <c r="AB5515" t="s">
        <v>27709</v>
      </c>
      <c r="AC5515" t="s">
        <v>4562</v>
      </c>
      <c r="AD5515" t="s">
        <v>27710</v>
      </c>
      <c r="AE5515" t="s">
        <v>4655</v>
      </c>
      <c r="AF5515" t="s">
        <v>4563</v>
      </c>
      <c r="AG5515" t="s">
        <v>4564</v>
      </c>
      <c r="AH5515">
        <v>89511</v>
      </c>
      <c r="AI5515" t="s">
        <v>4655</v>
      </c>
      <c r="AJ5515" t="s">
        <v>27711</v>
      </c>
      <c r="AK5515" t="s">
        <v>27712</v>
      </c>
      <c r="AL5515" s="13" t="s">
        <v>2257</v>
      </c>
      <c r="AM5515">
        <v>1</v>
      </c>
      <c r="AN5515" s="15" t="s">
        <v>5149</v>
      </c>
    </row>
    <row r="5516" spans="1:40" x14ac:dyDescent="0.3">
      <c r="A5516" s="10" t="str">
        <f>HYPERLINK("http://www.washoecounty.gov/assessor/cama/?parid=164-121-05&amp;CardNumber=1","164-121-05")</f>
        <v>164-121-05</v>
      </c>
      <c r="B5516" t="s">
        <v>4655</v>
      </c>
      <c r="C5516" t="s">
        <v>27713</v>
      </c>
      <c r="D5516" s="1">
        <v>40192</v>
      </c>
      <c r="E5516" s="2">
        <v>614032</v>
      </c>
      <c r="F5516" t="s">
        <v>2900</v>
      </c>
      <c r="G5516" s="17" t="str">
        <f>HYPERLINK("https://www.washoecounty.gov/assessor/cama/?command=sales&amp;parid=16412105","3839372")</f>
        <v>3839372</v>
      </c>
      <c r="H5516" t="s">
        <v>27714</v>
      </c>
      <c r="I5516">
        <v>0</v>
      </c>
      <c r="J5516">
        <v>0</v>
      </c>
      <c r="K5516" t="s">
        <v>4655</v>
      </c>
      <c r="L5516" t="s">
        <v>4655</v>
      </c>
      <c r="M5516" s="2">
        <v>0</v>
      </c>
      <c r="N5516" t="s">
        <v>4655</v>
      </c>
      <c r="O5516">
        <v>0</v>
      </c>
      <c r="P5516">
        <v>0</v>
      </c>
      <c r="Q5516">
        <v>0</v>
      </c>
      <c r="R5516" t="s">
        <v>4655</v>
      </c>
      <c r="S5516" t="s">
        <v>4655</v>
      </c>
      <c r="T5516" t="s">
        <v>4655</v>
      </c>
      <c r="U5516" t="s">
        <v>4655</v>
      </c>
      <c r="V5516" s="2">
        <v>0</v>
      </c>
      <c r="W5516" t="s">
        <v>4655</v>
      </c>
      <c r="X5516" s="2">
        <v>0</v>
      </c>
      <c r="Y5516">
        <v>14</v>
      </c>
      <c r="Z5516" t="s">
        <v>4900</v>
      </c>
      <c r="AA5516" s="3">
        <v>0.38700643181800798</v>
      </c>
      <c r="AB5516" t="s">
        <v>27715</v>
      </c>
      <c r="AC5516" t="s">
        <v>4562</v>
      </c>
      <c r="AD5516" t="s">
        <v>27716</v>
      </c>
      <c r="AE5516" t="s">
        <v>4655</v>
      </c>
      <c r="AF5516" t="s">
        <v>4563</v>
      </c>
      <c r="AG5516" t="s">
        <v>4564</v>
      </c>
      <c r="AH5516">
        <v>89511</v>
      </c>
      <c r="AI5516" t="s">
        <v>4655</v>
      </c>
      <c r="AJ5516" t="s">
        <v>27717</v>
      </c>
      <c r="AK5516" t="s">
        <v>27718</v>
      </c>
      <c r="AL5516" s="13" t="s">
        <v>2257</v>
      </c>
      <c r="AM5516">
        <v>0</v>
      </c>
      <c r="AN5516" s="15" t="s">
        <v>3844</v>
      </c>
    </row>
    <row r="5517" spans="1:40" x14ac:dyDescent="0.3">
      <c r="A5517" s="10" t="str">
        <f>HYPERLINK("http://www.washoecounty.gov/assessor/cama/?parid=164-121-06&amp;CardNumber=1","164-121-06")</f>
        <v>164-121-06</v>
      </c>
      <c r="B5517" t="s">
        <v>4655</v>
      </c>
      <c r="C5517" t="s">
        <v>27719</v>
      </c>
      <c r="D5517" s="1">
        <v>40192</v>
      </c>
      <c r="E5517" s="2">
        <v>614032</v>
      </c>
      <c r="F5517" t="s">
        <v>2900</v>
      </c>
      <c r="G5517" s="17" t="str">
        <f>HYPERLINK("https://www.washoecounty.gov/assessor/cama/?command=sales&amp;parid=16412106","3839372")</f>
        <v>3839372</v>
      </c>
      <c r="H5517" t="s">
        <v>27714</v>
      </c>
      <c r="I5517">
        <v>0</v>
      </c>
      <c r="J5517">
        <v>0</v>
      </c>
      <c r="K5517" t="s">
        <v>4655</v>
      </c>
      <c r="L5517" t="s">
        <v>4655</v>
      </c>
      <c r="M5517" s="2">
        <v>0</v>
      </c>
      <c r="N5517" t="s">
        <v>4655</v>
      </c>
      <c r="O5517">
        <v>0</v>
      </c>
      <c r="P5517">
        <v>0</v>
      </c>
      <c r="Q5517">
        <v>0</v>
      </c>
      <c r="R5517" t="s">
        <v>4655</v>
      </c>
      <c r="S5517" t="s">
        <v>4655</v>
      </c>
      <c r="T5517" t="s">
        <v>4655</v>
      </c>
      <c r="U5517" t="s">
        <v>4655</v>
      </c>
      <c r="V5517" s="2">
        <v>0</v>
      </c>
      <c r="W5517" t="s">
        <v>4655</v>
      </c>
      <c r="X5517" s="2">
        <v>0</v>
      </c>
      <c r="Y5517">
        <v>14</v>
      </c>
      <c r="Z5517" t="s">
        <v>4900</v>
      </c>
      <c r="AA5517" s="3">
        <v>0.49400827288627602</v>
      </c>
      <c r="AB5517" t="s">
        <v>27715</v>
      </c>
      <c r="AC5517" t="s">
        <v>4562</v>
      </c>
      <c r="AD5517" t="s">
        <v>27716</v>
      </c>
      <c r="AE5517" t="s">
        <v>4655</v>
      </c>
      <c r="AF5517" t="s">
        <v>4563</v>
      </c>
      <c r="AG5517" t="s">
        <v>4564</v>
      </c>
      <c r="AH5517">
        <v>89511</v>
      </c>
      <c r="AI5517" t="s">
        <v>4655</v>
      </c>
      <c r="AJ5517" t="s">
        <v>27720</v>
      </c>
      <c r="AK5517" t="s">
        <v>27721</v>
      </c>
      <c r="AL5517" s="13" t="s">
        <v>2257</v>
      </c>
      <c r="AM5517" s="14">
        <v>0</v>
      </c>
      <c r="AN5517" s="15" t="s">
        <v>3844</v>
      </c>
    </row>
    <row r="5518" spans="1:40" x14ac:dyDescent="0.3">
      <c r="A5518" s="10" t="str">
        <f>HYPERLINK("http://www.washoecounty.gov/assessor/cama/?parid=164-121-07&amp;CardNumber=1","164-121-07")</f>
        <v>164-121-07</v>
      </c>
      <c r="B5518" t="s">
        <v>4655</v>
      </c>
      <c r="C5518" t="s">
        <v>27713</v>
      </c>
      <c r="D5518" s="1">
        <v>40192</v>
      </c>
      <c r="E5518" s="2">
        <v>614032</v>
      </c>
      <c r="F5518" t="s">
        <v>2900</v>
      </c>
      <c r="G5518" s="17" t="str">
        <f>HYPERLINK("https://www.washoecounty.gov/assessor/cama/?command=sales&amp;parid=16412107","3839372")</f>
        <v>3839372</v>
      </c>
      <c r="H5518" t="s">
        <v>27722</v>
      </c>
      <c r="I5518">
        <v>2010</v>
      </c>
      <c r="J5518">
        <v>2010</v>
      </c>
      <c r="K5518" t="s">
        <v>27723</v>
      </c>
      <c r="L5518" t="s">
        <v>3038</v>
      </c>
      <c r="M5518" s="2">
        <v>12368</v>
      </c>
      <c r="N5518" t="s">
        <v>1431</v>
      </c>
      <c r="O5518">
        <v>0</v>
      </c>
      <c r="P5518">
        <v>0</v>
      </c>
      <c r="Q5518">
        <v>0</v>
      </c>
      <c r="R5518" t="s">
        <v>1395</v>
      </c>
      <c r="S5518" t="s">
        <v>4856</v>
      </c>
      <c r="T5518" t="s">
        <v>4655</v>
      </c>
      <c r="U5518" t="s">
        <v>4655</v>
      </c>
      <c r="V5518" s="2">
        <v>0</v>
      </c>
      <c r="W5518" t="s">
        <v>4655</v>
      </c>
      <c r="X5518" s="2">
        <v>0</v>
      </c>
      <c r="Y5518">
        <v>14</v>
      </c>
      <c r="Z5518" t="s">
        <v>4900</v>
      </c>
      <c r="AA5518" s="3">
        <v>0.881267189979553</v>
      </c>
      <c r="AB5518" t="s">
        <v>27715</v>
      </c>
      <c r="AC5518" t="s">
        <v>4562</v>
      </c>
      <c r="AD5518" t="s">
        <v>27724</v>
      </c>
      <c r="AE5518" t="s">
        <v>4655</v>
      </c>
      <c r="AF5518" t="s">
        <v>4563</v>
      </c>
      <c r="AG5518" t="s">
        <v>4564</v>
      </c>
      <c r="AH5518">
        <v>89511</v>
      </c>
      <c r="AI5518" t="s">
        <v>4655</v>
      </c>
      <c r="AJ5518" t="s">
        <v>4571</v>
      </c>
      <c r="AK5518" t="s">
        <v>27725</v>
      </c>
      <c r="AL5518" s="13" t="s">
        <v>2257</v>
      </c>
      <c r="AM5518" s="14">
        <v>1</v>
      </c>
      <c r="AN5518" s="15" t="s">
        <v>27507</v>
      </c>
    </row>
    <row r="5519" spans="1:40" x14ac:dyDescent="0.3">
      <c r="A5519" s="10" t="str">
        <f>HYPERLINK("http://www.washoecounty.gov/assessor/cama/?parid=164-131-03&amp;CardNumber=1","164-131-03")</f>
        <v>164-131-03</v>
      </c>
      <c r="B5519" t="s">
        <v>4655</v>
      </c>
      <c r="C5519" t="s">
        <v>27726</v>
      </c>
      <c r="D5519" s="1">
        <v>40506</v>
      </c>
      <c r="E5519" s="2">
        <v>156000</v>
      </c>
      <c r="F5519" t="s">
        <v>4553</v>
      </c>
      <c r="G5519" s="17" t="str">
        <f>HYPERLINK("https://www.washoecounty.gov/assessor/cama/?command=sales&amp;parid=16413103","3946528")</f>
        <v>3946528</v>
      </c>
      <c r="H5519" t="s">
        <v>1810</v>
      </c>
      <c r="I5519">
        <v>1971</v>
      </c>
      <c r="J5519">
        <v>1971</v>
      </c>
      <c r="K5519" t="s">
        <v>4554</v>
      </c>
      <c r="L5519" t="s">
        <v>3886</v>
      </c>
      <c r="M5519" s="2">
        <v>2312</v>
      </c>
      <c r="N5519" t="s">
        <v>4048</v>
      </c>
      <c r="O5519">
        <v>3</v>
      </c>
      <c r="P5519">
        <v>2</v>
      </c>
      <c r="Q5519">
        <v>0</v>
      </c>
      <c r="R5519" t="s">
        <v>4557</v>
      </c>
      <c r="S5519" t="s">
        <v>4558</v>
      </c>
      <c r="T5519" t="s">
        <v>4559</v>
      </c>
      <c r="U5519" t="s">
        <v>4560</v>
      </c>
      <c r="V5519" s="2">
        <v>418</v>
      </c>
      <c r="W5519" t="s">
        <v>4655</v>
      </c>
      <c r="X5519" s="2">
        <v>0</v>
      </c>
      <c r="Y5519">
        <v>20</v>
      </c>
      <c r="Z5519" t="s">
        <v>4561</v>
      </c>
      <c r="AA5519" s="3">
        <v>0.17199265956878662</v>
      </c>
      <c r="AB5519" t="s">
        <v>27727</v>
      </c>
      <c r="AC5519" t="s">
        <v>4562</v>
      </c>
      <c r="AD5519" t="s">
        <v>27726</v>
      </c>
      <c r="AE5519" t="s">
        <v>4655</v>
      </c>
      <c r="AF5519" t="s">
        <v>4563</v>
      </c>
      <c r="AG5519" t="s">
        <v>4564</v>
      </c>
      <c r="AH5519">
        <v>89511</v>
      </c>
      <c r="AI5519" t="s">
        <v>1285</v>
      </c>
      <c r="AJ5519" t="s">
        <v>27728</v>
      </c>
      <c r="AK5519" t="s">
        <v>27729</v>
      </c>
      <c r="AL5519" s="13" t="s">
        <v>2257</v>
      </c>
      <c r="AM5519" s="14">
        <v>1</v>
      </c>
      <c r="AN5519" s="15" t="s">
        <v>3123</v>
      </c>
    </row>
    <row r="5520" spans="1:40" x14ac:dyDescent="0.3">
      <c r="A5520" s="10" t="str">
        <f>HYPERLINK("http://www.washoecounty.gov/assessor/cama/?parid=164-131-16&amp;CardNumber=1","164-131-16")</f>
        <v>164-131-16</v>
      </c>
      <c r="B5520" t="s">
        <v>4655</v>
      </c>
      <c r="C5520" t="s">
        <v>27730</v>
      </c>
      <c r="D5520" s="1">
        <v>40235</v>
      </c>
      <c r="E5520" s="2">
        <v>108000</v>
      </c>
      <c r="F5520" t="s">
        <v>4553</v>
      </c>
      <c r="G5520" s="17" t="str">
        <f>HYPERLINK("https://www.washoecounty.gov/assessor/cama/?command=sales&amp;parid=16413116","3853525")</f>
        <v>3853525</v>
      </c>
      <c r="H5520" t="s">
        <v>3383</v>
      </c>
      <c r="I5520">
        <v>1973</v>
      </c>
      <c r="J5520">
        <v>1973</v>
      </c>
      <c r="K5520" t="s">
        <v>4897</v>
      </c>
      <c r="L5520" t="s">
        <v>3974</v>
      </c>
      <c r="M5520" s="2">
        <v>1395</v>
      </c>
      <c r="N5520" t="s">
        <v>4048</v>
      </c>
      <c r="O5520">
        <v>3</v>
      </c>
      <c r="P5520">
        <v>2</v>
      </c>
      <c r="Q5520">
        <v>1</v>
      </c>
      <c r="R5520" t="s">
        <v>4557</v>
      </c>
      <c r="S5520" t="s">
        <v>4558</v>
      </c>
      <c r="T5520" t="s">
        <v>4559</v>
      </c>
      <c r="U5520" t="s">
        <v>5631</v>
      </c>
      <c r="V5520" s="2">
        <v>455</v>
      </c>
      <c r="W5520" t="s">
        <v>4655</v>
      </c>
      <c r="X5520" s="2">
        <v>0</v>
      </c>
      <c r="Y5520">
        <v>21</v>
      </c>
      <c r="Z5520" t="s">
        <v>2705</v>
      </c>
      <c r="AA5520" s="3">
        <v>8.2988977432251004E-2</v>
      </c>
      <c r="AB5520" t="s">
        <v>27731</v>
      </c>
      <c r="AC5520" t="s">
        <v>4562</v>
      </c>
      <c r="AD5520" t="s">
        <v>27730</v>
      </c>
      <c r="AE5520" t="s">
        <v>4655</v>
      </c>
      <c r="AF5520" t="s">
        <v>4563</v>
      </c>
      <c r="AG5520" t="s">
        <v>4564</v>
      </c>
      <c r="AH5520">
        <v>89511</v>
      </c>
      <c r="AI5520" t="s">
        <v>4903</v>
      </c>
      <c r="AJ5520" t="s">
        <v>27732</v>
      </c>
      <c r="AK5520" t="s">
        <v>27733</v>
      </c>
      <c r="AL5520" s="13" t="s">
        <v>2257</v>
      </c>
      <c r="AM5520">
        <v>1</v>
      </c>
      <c r="AN5520" s="15" t="s">
        <v>3121</v>
      </c>
    </row>
    <row r="5521" spans="1:40" x14ac:dyDescent="0.3">
      <c r="A5521" s="10" t="str">
        <f>HYPERLINK("http://www.washoecounty.gov/assessor/cama/?parid=164-141-04&amp;CardNumber=1","164-141-04")</f>
        <v>164-141-04</v>
      </c>
      <c r="B5521" t="s">
        <v>4655</v>
      </c>
      <c r="C5521" t="s">
        <v>4083</v>
      </c>
      <c r="D5521" s="1">
        <v>40520</v>
      </c>
      <c r="E5521" s="2">
        <v>56000</v>
      </c>
      <c r="F5521" t="s">
        <v>4553</v>
      </c>
      <c r="G5521" s="17" t="str">
        <f>HYPERLINK("https://www.washoecounty.gov/assessor/cama/?command=sales&amp;parid=16414104","3951139")</f>
        <v>3951139</v>
      </c>
      <c r="H5521" t="s">
        <v>2381</v>
      </c>
      <c r="I5521">
        <v>1983</v>
      </c>
      <c r="J5521">
        <v>1983</v>
      </c>
      <c r="K5521" t="s">
        <v>4897</v>
      </c>
      <c r="L5521" t="s">
        <v>4555</v>
      </c>
      <c r="M5521" s="2">
        <v>960</v>
      </c>
      <c r="N5521" t="s">
        <v>4048</v>
      </c>
      <c r="O5521">
        <v>2</v>
      </c>
      <c r="P5521">
        <v>2</v>
      </c>
      <c r="Q5521">
        <v>0</v>
      </c>
      <c r="R5521" t="s">
        <v>4557</v>
      </c>
      <c r="S5521" t="s">
        <v>4558</v>
      </c>
      <c r="T5521" t="s">
        <v>4559</v>
      </c>
      <c r="U5521" t="s">
        <v>4655</v>
      </c>
      <c r="V5521" s="2">
        <v>0</v>
      </c>
      <c r="W5521" t="s">
        <v>4655</v>
      </c>
      <c r="X5521" s="2">
        <v>0</v>
      </c>
      <c r="Y5521">
        <v>21</v>
      </c>
      <c r="Z5521" t="s">
        <v>2705</v>
      </c>
      <c r="AA5521" s="3">
        <v>1.00000004749745E-3</v>
      </c>
      <c r="AB5521" t="s">
        <v>27734</v>
      </c>
      <c r="AC5521" t="s">
        <v>4562</v>
      </c>
      <c r="AD5521" t="s">
        <v>27735</v>
      </c>
      <c r="AE5521" t="s">
        <v>4655</v>
      </c>
      <c r="AF5521" t="s">
        <v>4563</v>
      </c>
      <c r="AG5521" t="s">
        <v>4564</v>
      </c>
      <c r="AH5521">
        <v>89511</v>
      </c>
      <c r="AI5521" t="s">
        <v>1620</v>
      </c>
      <c r="AJ5521" t="s">
        <v>27736</v>
      </c>
      <c r="AK5521" t="s">
        <v>27737</v>
      </c>
      <c r="AL5521" s="13" t="s">
        <v>2257</v>
      </c>
      <c r="AM5521">
        <v>1</v>
      </c>
      <c r="AN5521" s="15" t="s">
        <v>5149</v>
      </c>
    </row>
    <row r="5522" spans="1:40" x14ac:dyDescent="0.3">
      <c r="A5522" s="10" t="str">
        <f>HYPERLINK("http://www.washoecounty.gov/assessor/cama/?parid=164-141-06&amp;CardNumber=1","164-141-06")</f>
        <v>164-141-06</v>
      </c>
      <c r="B5522" t="s">
        <v>4655</v>
      </c>
      <c r="C5522" t="s">
        <v>27738</v>
      </c>
      <c r="D5522" s="1">
        <v>40409</v>
      </c>
      <c r="E5522" s="2">
        <v>48500</v>
      </c>
      <c r="F5522" t="s">
        <v>4553</v>
      </c>
      <c r="G5522" s="17" t="str">
        <f>HYPERLINK("https://www.washoecounty.gov/assessor/cama/?command=sales&amp;parid=16414106","3913538")</f>
        <v>3913538</v>
      </c>
      <c r="H5522" t="s">
        <v>2381</v>
      </c>
      <c r="I5522">
        <v>1983</v>
      </c>
      <c r="J5522">
        <v>1983</v>
      </c>
      <c r="K5522" t="s">
        <v>4897</v>
      </c>
      <c r="L5522" t="s">
        <v>4555</v>
      </c>
      <c r="M5522" s="2">
        <v>960</v>
      </c>
      <c r="N5522" t="s">
        <v>4048</v>
      </c>
      <c r="O5522">
        <v>2</v>
      </c>
      <c r="P5522">
        <v>2</v>
      </c>
      <c r="Q5522">
        <v>0</v>
      </c>
      <c r="R5522" t="s">
        <v>5281</v>
      </c>
      <c r="S5522" t="s">
        <v>4558</v>
      </c>
      <c r="T5522" t="s">
        <v>4559</v>
      </c>
      <c r="U5522" t="s">
        <v>4655</v>
      </c>
      <c r="V5522" s="2">
        <v>0</v>
      </c>
      <c r="W5522" t="s">
        <v>4655</v>
      </c>
      <c r="X5522" s="2">
        <v>0</v>
      </c>
      <c r="Y5522">
        <v>21</v>
      </c>
      <c r="Z5522" t="s">
        <v>2705</v>
      </c>
      <c r="AA5522" s="3">
        <v>1.00000004749745E-3</v>
      </c>
      <c r="AB5522" t="s">
        <v>27739</v>
      </c>
      <c r="AC5522" t="s">
        <v>4562</v>
      </c>
      <c r="AD5522" t="s">
        <v>27740</v>
      </c>
      <c r="AE5522" t="s">
        <v>4655</v>
      </c>
      <c r="AF5522" t="s">
        <v>4563</v>
      </c>
      <c r="AG5522" t="s">
        <v>4564</v>
      </c>
      <c r="AH5522">
        <v>89511</v>
      </c>
      <c r="AI5522" t="s">
        <v>4045</v>
      </c>
      <c r="AJ5522" t="s">
        <v>27741</v>
      </c>
      <c r="AK5522" t="s">
        <v>27742</v>
      </c>
      <c r="AL5522" s="13" t="s">
        <v>2257</v>
      </c>
      <c r="AM5522">
        <v>1</v>
      </c>
      <c r="AN5522" s="15" t="s">
        <v>5149</v>
      </c>
    </row>
    <row r="5523" spans="1:40" x14ac:dyDescent="0.3">
      <c r="A5523" s="10" t="str">
        <f>HYPERLINK("http://www.washoecounty.gov/assessor/cama/?parid=164-142-08&amp;CardNumber=1","164-142-08")</f>
        <v>164-142-08</v>
      </c>
      <c r="B5523" t="s">
        <v>4655</v>
      </c>
      <c r="C5523" t="s">
        <v>27738</v>
      </c>
      <c r="D5523" s="1">
        <v>40378</v>
      </c>
      <c r="E5523" s="2">
        <v>38500</v>
      </c>
      <c r="F5523" t="s">
        <v>4553</v>
      </c>
      <c r="G5523" s="17" t="str">
        <f>HYPERLINK("https://www.washoecounty.gov/assessor/cama/?command=sales&amp;parid=16414208","3902765")</f>
        <v>3902765</v>
      </c>
      <c r="H5523" t="s">
        <v>2381</v>
      </c>
      <c r="I5523">
        <v>1983</v>
      </c>
      <c r="J5523">
        <v>1983</v>
      </c>
      <c r="K5523" t="s">
        <v>4897</v>
      </c>
      <c r="L5523" t="s">
        <v>4555</v>
      </c>
      <c r="M5523" s="2">
        <v>960</v>
      </c>
      <c r="N5523" t="s">
        <v>4048</v>
      </c>
      <c r="O5523">
        <v>2</v>
      </c>
      <c r="P5523">
        <v>2</v>
      </c>
      <c r="Q5523">
        <v>0</v>
      </c>
      <c r="R5523" t="s">
        <v>4557</v>
      </c>
      <c r="S5523" t="s">
        <v>4558</v>
      </c>
      <c r="T5523" t="s">
        <v>4559</v>
      </c>
      <c r="U5523" t="s">
        <v>4655</v>
      </c>
      <c r="V5523" s="2">
        <v>0</v>
      </c>
      <c r="W5523" t="s">
        <v>4655</v>
      </c>
      <c r="X5523" s="2">
        <v>0</v>
      </c>
      <c r="Y5523">
        <v>21</v>
      </c>
      <c r="Z5523" t="s">
        <v>2705</v>
      </c>
      <c r="AA5523" s="3">
        <v>1.00000004749745E-3</v>
      </c>
      <c r="AB5523" t="s">
        <v>27608</v>
      </c>
      <c r="AC5523" t="s">
        <v>4562</v>
      </c>
      <c r="AD5523" t="s">
        <v>27609</v>
      </c>
      <c r="AE5523" t="s">
        <v>4655</v>
      </c>
      <c r="AF5523" t="s">
        <v>4563</v>
      </c>
      <c r="AG5523" t="s">
        <v>4564</v>
      </c>
      <c r="AH5523" t="s">
        <v>5197</v>
      </c>
      <c r="AI5523" t="s">
        <v>4565</v>
      </c>
      <c r="AJ5523" t="s">
        <v>27743</v>
      </c>
      <c r="AK5523" t="s">
        <v>27744</v>
      </c>
      <c r="AL5523" s="13" t="s">
        <v>2257</v>
      </c>
      <c r="AM5523">
        <v>1</v>
      </c>
      <c r="AN5523" s="15" t="s">
        <v>5149</v>
      </c>
    </row>
    <row r="5524" spans="1:40" x14ac:dyDescent="0.3">
      <c r="A5524" s="10" t="str">
        <f>HYPERLINK("http://www.washoecounty.gov/assessor/cama/?parid=164-142-14&amp;CardNumber=1","164-142-14")</f>
        <v>164-142-14</v>
      </c>
      <c r="B5524" t="s">
        <v>4655</v>
      </c>
      <c r="C5524" t="s">
        <v>27745</v>
      </c>
      <c r="D5524" s="1">
        <v>40492</v>
      </c>
      <c r="E5524" s="2">
        <v>55000</v>
      </c>
      <c r="F5524" t="s">
        <v>4567</v>
      </c>
      <c r="G5524" s="17" t="str">
        <f>HYPERLINK("https://www.washoecounty.gov/assessor/cama/?command=sales&amp;parid=16414214","3941970")</f>
        <v>3941970</v>
      </c>
      <c r="H5524" t="s">
        <v>2381</v>
      </c>
      <c r="I5524">
        <v>1983</v>
      </c>
      <c r="J5524">
        <v>1983</v>
      </c>
      <c r="K5524" t="s">
        <v>4897</v>
      </c>
      <c r="L5524" t="s">
        <v>4555</v>
      </c>
      <c r="M5524" s="2">
        <v>960</v>
      </c>
      <c r="N5524" t="s">
        <v>4048</v>
      </c>
      <c r="O5524">
        <v>2</v>
      </c>
      <c r="P5524">
        <v>2</v>
      </c>
      <c r="Q5524">
        <v>0</v>
      </c>
      <c r="R5524" t="s">
        <v>4557</v>
      </c>
      <c r="S5524" t="s">
        <v>4558</v>
      </c>
      <c r="T5524" t="s">
        <v>4559</v>
      </c>
      <c r="U5524" t="s">
        <v>4655</v>
      </c>
      <c r="V5524" s="2">
        <v>0</v>
      </c>
      <c r="W5524" t="s">
        <v>4655</v>
      </c>
      <c r="X5524" s="2">
        <v>0</v>
      </c>
      <c r="Y5524">
        <v>21</v>
      </c>
      <c r="Z5524" t="s">
        <v>2705</v>
      </c>
      <c r="AA5524" s="3">
        <v>1.00000004749745E-3</v>
      </c>
      <c r="AB5524" t="s">
        <v>27746</v>
      </c>
      <c r="AC5524" t="s">
        <v>4575</v>
      </c>
      <c r="AD5524" t="s">
        <v>27747</v>
      </c>
      <c r="AE5524" t="s">
        <v>4655</v>
      </c>
      <c r="AF5524" t="s">
        <v>1767</v>
      </c>
      <c r="AG5524" t="s">
        <v>4584</v>
      </c>
      <c r="AH5524" t="s">
        <v>4316</v>
      </c>
      <c r="AI5524" t="s">
        <v>27748</v>
      </c>
      <c r="AJ5524" t="s">
        <v>27749</v>
      </c>
      <c r="AK5524" t="s">
        <v>27750</v>
      </c>
      <c r="AL5524" s="13" t="s">
        <v>2257</v>
      </c>
      <c r="AM5524">
        <v>1</v>
      </c>
      <c r="AN5524" s="15" t="s">
        <v>5149</v>
      </c>
    </row>
    <row r="5525" spans="1:40" x14ac:dyDescent="0.3">
      <c r="A5525" s="10" t="str">
        <f>HYPERLINK("http://www.washoecounty.gov/assessor/cama/?parid=164-150-06&amp;CardNumber=1","164-150-06")</f>
        <v>164-150-06</v>
      </c>
      <c r="B5525" t="s">
        <v>4655</v>
      </c>
      <c r="C5525" t="s">
        <v>27751</v>
      </c>
      <c r="D5525" s="1">
        <v>40416</v>
      </c>
      <c r="E5525" s="2">
        <v>69000</v>
      </c>
      <c r="F5525" t="s">
        <v>4553</v>
      </c>
      <c r="G5525" s="17" t="str">
        <f>HYPERLINK("https://www.washoecounty.gov/assessor/cama/?command=sales&amp;parid=16415006","3915662")</f>
        <v>3915662</v>
      </c>
      <c r="H5525" t="s">
        <v>27752</v>
      </c>
      <c r="I5525">
        <v>1986</v>
      </c>
      <c r="J5525">
        <v>1986</v>
      </c>
      <c r="K5525" t="s">
        <v>3144</v>
      </c>
      <c r="L5525" t="s">
        <v>3974</v>
      </c>
      <c r="M5525" s="2">
        <v>1242</v>
      </c>
      <c r="N5525" t="s">
        <v>4048</v>
      </c>
      <c r="O5525">
        <v>2</v>
      </c>
      <c r="P5525">
        <v>2</v>
      </c>
      <c r="Q5525">
        <v>1</v>
      </c>
      <c r="R5525" t="s">
        <v>5281</v>
      </c>
      <c r="S5525" t="s">
        <v>4558</v>
      </c>
      <c r="T5525" t="s">
        <v>2704</v>
      </c>
      <c r="U5525" t="s">
        <v>5631</v>
      </c>
      <c r="V5525" s="2">
        <v>220</v>
      </c>
      <c r="W5525" t="s">
        <v>4655</v>
      </c>
      <c r="X5525" s="2">
        <v>0</v>
      </c>
      <c r="Y5525">
        <v>21</v>
      </c>
      <c r="Z5525" t="s">
        <v>2705</v>
      </c>
      <c r="AA5525" s="3">
        <v>1.4003672637045401E-2</v>
      </c>
      <c r="AB5525" t="s">
        <v>27753</v>
      </c>
      <c r="AC5525" t="s">
        <v>4562</v>
      </c>
      <c r="AD5525" t="s">
        <v>27754</v>
      </c>
      <c r="AE5525" t="s">
        <v>4655</v>
      </c>
      <c r="AF5525" t="s">
        <v>4563</v>
      </c>
      <c r="AG5525" t="s">
        <v>4564</v>
      </c>
      <c r="AH5525">
        <v>89511</v>
      </c>
      <c r="AI5525" t="s">
        <v>4903</v>
      </c>
      <c r="AJ5525" t="s">
        <v>27755</v>
      </c>
      <c r="AK5525" t="s">
        <v>27756</v>
      </c>
      <c r="AL5525" s="13" t="s">
        <v>2257</v>
      </c>
      <c r="AM5525">
        <v>1</v>
      </c>
      <c r="AN5525" s="15" t="s">
        <v>5149</v>
      </c>
    </row>
    <row r="5526" spans="1:40" x14ac:dyDescent="0.3">
      <c r="A5526" s="10" t="str">
        <f>HYPERLINK("http://www.washoecounty.gov/assessor/cama/?parid=164-150-08&amp;CardNumber=1","164-150-08")</f>
        <v>164-150-08</v>
      </c>
      <c r="B5526" t="s">
        <v>4655</v>
      </c>
      <c r="C5526" t="s">
        <v>27757</v>
      </c>
      <c r="D5526" s="1">
        <v>40424</v>
      </c>
      <c r="E5526" s="2">
        <v>78000</v>
      </c>
      <c r="F5526" t="s">
        <v>4553</v>
      </c>
      <c r="G5526" s="17" t="str">
        <f>HYPERLINK("https://www.washoecounty.gov/assessor/cama/?command=sales&amp;parid=16415008","3918981")</f>
        <v>3918981</v>
      </c>
      <c r="H5526" t="s">
        <v>27752</v>
      </c>
      <c r="I5526">
        <v>1986</v>
      </c>
      <c r="J5526">
        <v>1986</v>
      </c>
      <c r="K5526" t="s">
        <v>4897</v>
      </c>
      <c r="L5526" t="s">
        <v>3974</v>
      </c>
      <c r="M5526" s="2">
        <v>1241</v>
      </c>
      <c r="N5526" t="s">
        <v>4048</v>
      </c>
      <c r="O5526">
        <v>2</v>
      </c>
      <c r="P5526">
        <v>2</v>
      </c>
      <c r="Q5526">
        <v>1</v>
      </c>
      <c r="R5526" t="s">
        <v>5281</v>
      </c>
      <c r="S5526" t="s">
        <v>4558</v>
      </c>
      <c r="T5526" t="s">
        <v>2704</v>
      </c>
      <c r="U5526" t="s">
        <v>5631</v>
      </c>
      <c r="V5526" s="2">
        <v>220</v>
      </c>
      <c r="W5526" t="s">
        <v>4655</v>
      </c>
      <c r="X5526" s="2">
        <v>0</v>
      </c>
      <c r="Y5526">
        <v>21</v>
      </c>
      <c r="Z5526" t="s">
        <v>2705</v>
      </c>
      <c r="AA5526" s="3">
        <v>1.4990816824138199E-2</v>
      </c>
      <c r="AB5526" t="s">
        <v>27758</v>
      </c>
      <c r="AC5526" t="s">
        <v>4575</v>
      </c>
      <c r="AD5526" t="s">
        <v>27759</v>
      </c>
      <c r="AE5526" t="s">
        <v>27760</v>
      </c>
      <c r="AF5526" t="s">
        <v>4315</v>
      </c>
      <c r="AG5526" t="s">
        <v>4584</v>
      </c>
      <c r="AH5526" t="s">
        <v>4316</v>
      </c>
      <c r="AI5526" t="s">
        <v>4903</v>
      </c>
      <c r="AJ5526" t="s">
        <v>27761</v>
      </c>
      <c r="AK5526" t="s">
        <v>27762</v>
      </c>
      <c r="AL5526" s="13" t="s">
        <v>2257</v>
      </c>
      <c r="AM5526" s="14">
        <v>1</v>
      </c>
      <c r="AN5526" s="15" t="s">
        <v>5149</v>
      </c>
    </row>
    <row r="5527" spans="1:40" x14ac:dyDescent="0.3">
      <c r="A5527" s="10" t="str">
        <f>HYPERLINK("http://www.washoecounty.gov/assessor/cama/?parid=164-161-03&amp;CardNumber=1","164-161-03")</f>
        <v>164-161-03</v>
      </c>
      <c r="B5527" t="s">
        <v>4655</v>
      </c>
      <c r="C5527" t="s">
        <v>27763</v>
      </c>
      <c r="D5527" s="1">
        <v>40235</v>
      </c>
      <c r="E5527" s="2">
        <v>115000</v>
      </c>
      <c r="F5527" t="s">
        <v>4567</v>
      </c>
      <c r="G5527" s="17" t="str">
        <f>HYPERLINK("https://www.washoecounty.gov/assessor/cama/?command=sales&amp;parid=16416103","3852976")</f>
        <v>3852976</v>
      </c>
      <c r="H5527" t="s">
        <v>3120</v>
      </c>
      <c r="I5527">
        <v>1981</v>
      </c>
      <c r="J5527">
        <v>1981</v>
      </c>
      <c r="K5527" t="s">
        <v>4897</v>
      </c>
      <c r="L5527" t="s">
        <v>3974</v>
      </c>
      <c r="M5527" s="2">
        <v>1540</v>
      </c>
      <c r="N5527" t="s">
        <v>4048</v>
      </c>
      <c r="O5527">
        <v>3</v>
      </c>
      <c r="P5527">
        <v>2</v>
      </c>
      <c r="Q5527">
        <v>1</v>
      </c>
      <c r="R5527" t="s">
        <v>4557</v>
      </c>
      <c r="S5527" t="s">
        <v>4558</v>
      </c>
      <c r="T5527" t="s">
        <v>4559</v>
      </c>
      <c r="U5527" t="s">
        <v>4560</v>
      </c>
      <c r="V5527" s="2">
        <v>484</v>
      </c>
      <c r="W5527" t="s">
        <v>4655</v>
      </c>
      <c r="X5527" s="2">
        <v>0</v>
      </c>
      <c r="Y5527">
        <v>21</v>
      </c>
      <c r="Z5527" t="s">
        <v>2705</v>
      </c>
      <c r="AA5527" s="3">
        <v>9.6005506813526195E-2</v>
      </c>
      <c r="AB5527" t="s">
        <v>27764</v>
      </c>
      <c r="AC5527" t="s">
        <v>4562</v>
      </c>
      <c r="AD5527" t="s">
        <v>27763</v>
      </c>
      <c r="AE5527" t="s">
        <v>4655</v>
      </c>
      <c r="AF5527" t="s">
        <v>4563</v>
      </c>
      <c r="AG5527" t="s">
        <v>4564</v>
      </c>
      <c r="AH5527">
        <v>89511</v>
      </c>
      <c r="AI5527" t="s">
        <v>27765</v>
      </c>
      <c r="AJ5527" t="s">
        <v>27766</v>
      </c>
      <c r="AK5527" t="s">
        <v>27767</v>
      </c>
      <c r="AL5527" s="13" t="s">
        <v>2257</v>
      </c>
      <c r="AM5527" s="14">
        <v>1</v>
      </c>
      <c r="AN5527" s="15" t="s">
        <v>3121</v>
      </c>
    </row>
    <row r="5528" spans="1:40" x14ac:dyDescent="0.3">
      <c r="A5528" s="10" t="str">
        <f>HYPERLINK("http://www.washoecounty.gov/assessor/cama/?parid=164-161-08&amp;CardNumber=1","164-161-08")</f>
        <v>164-161-08</v>
      </c>
      <c r="B5528" t="s">
        <v>4655</v>
      </c>
      <c r="C5528" t="s">
        <v>27768</v>
      </c>
      <c r="D5528" s="1">
        <v>40527</v>
      </c>
      <c r="E5528" s="2">
        <v>95000</v>
      </c>
      <c r="F5528" t="s">
        <v>4553</v>
      </c>
      <c r="G5528" s="17" t="str">
        <f>HYPERLINK("https://www.washoecounty.gov/assessor/cama/?command=sales&amp;parid=16416108","3953665")</f>
        <v>3953665</v>
      </c>
      <c r="H5528" t="s">
        <v>3120</v>
      </c>
      <c r="I5528">
        <v>1981</v>
      </c>
      <c r="J5528">
        <v>1981</v>
      </c>
      <c r="K5528" t="s">
        <v>4897</v>
      </c>
      <c r="L5528" t="s">
        <v>3974</v>
      </c>
      <c r="M5528" s="2">
        <v>1540</v>
      </c>
      <c r="N5528" t="s">
        <v>4048</v>
      </c>
      <c r="O5528">
        <v>3</v>
      </c>
      <c r="P5528">
        <v>2</v>
      </c>
      <c r="Q5528">
        <v>1</v>
      </c>
      <c r="R5528" t="s">
        <v>5281</v>
      </c>
      <c r="S5528" t="s">
        <v>4558</v>
      </c>
      <c r="T5528" t="s">
        <v>4559</v>
      </c>
      <c r="U5528" t="s">
        <v>4655</v>
      </c>
      <c r="V5528" s="2">
        <v>0</v>
      </c>
      <c r="W5528" t="s">
        <v>4655</v>
      </c>
      <c r="X5528" s="2">
        <v>0</v>
      </c>
      <c r="Y5528">
        <v>21</v>
      </c>
      <c r="Z5528" t="s">
        <v>2705</v>
      </c>
      <c r="AA5528" s="3">
        <v>6.7998163402080494E-2</v>
      </c>
      <c r="AB5528" t="s">
        <v>27769</v>
      </c>
      <c r="AC5528" t="s">
        <v>4562</v>
      </c>
      <c r="AD5528" t="s">
        <v>27768</v>
      </c>
      <c r="AE5528" t="s">
        <v>4655</v>
      </c>
      <c r="AF5528" t="s">
        <v>3114</v>
      </c>
      <c r="AG5528" t="s">
        <v>4564</v>
      </c>
      <c r="AH5528">
        <v>89511</v>
      </c>
      <c r="AI5528" t="s">
        <v>4903</v>
      </c>
      <c r="AJ5528" t="s">
        <v>27770</v>
      </c>
      <c r="AK5528" t="s">
        <v>27771</v>
      </c>
      <c r="AL5528" s="13" t="s">
        <v>2257</v>
      </c>
      <c r="AM5528">
        <v>1</v>
      </c>
      <c r="AN5528" s="15" t="s">
        <v>3121</v>
      </c>
    </row>
    <row r="5529" spans="1:40" x14ac:dyDescent="0.3">
      <c r="A5529" s="10" t="str">
        <f>HYPERLINK("http://www.washoecounty.gov/assessor/cama/?parid=164-161-32&amp;CardNumber=1","164-161-32")</f>
        <v>164-161-32</v>
      </c>
      <c r="B5529" t="s">
        <v>4655</v>
      </c>
      <c r="C5529" t="s">
        <v>27772</v>
      </c>
      <c r="D5529" s="1">
        <v>40464</v>
      </c>
      <c r="E5529" s="2">
        <v>90000</v>
      </c>
      <c r="F5529" t="s">
        <v>4567</v>
      </c>
      <c r="G5529" s="17" t="str">
        <f>HYPERLINK("https://www.washoecounty.gov/assessor/cama/?command=sales&amp;parid=16416132","3932406")</f>
        <v>3932406</v>
      </c>
      <c r="H5529" t="s">
        <v>3120</v>
      </c>
      <c r="I5529">
        <v>1981</v>
      </c>
      <c r="J5529">
        <v>1981</v>
      </c>
      <c r="K5529" t="s">
        <v>4897</v>
      </c>
      <c r="L5529" t="s">
        <v>3974</v>
      </c>
      <c r="M5529" s="2">
        <v>1540</v>
      </c>
      <c r="N5529" t="s">
        <v>4048</v>
      </c>
      <c r="O5529">
        <v>3</v>
      </c>
      <c r="P5529">
        <v>2</v>
      </c>
      <c r="Q5529">
        <v>1</v>
      </c>
      <c r="R5529" t="s">
        <v>4557</v>
      </c>
      <c r="S5529" t="s">
        <v>4558</v>
      </c>
      <c r="T5529" t="s">
        <v>4559</v>
      </c>
      <c r="U5529" t="s">
        <v>4655</v>
      </c>
      <c r="V5529" s="2">
        <v>0</v>
      </c>
      <c r="W5529" t="s">
        <v>4655</v>
      </c>
      <c r="X5529" s="2">
        <v>0</v>
      </c>
      <c r="Y5529">
        <v>21</v>
      </c>
      <c r="Z5529" t="s">
        <v>2705</v>
      </c>
      <c r="AA5529" s="3">
        <v>6.7998163402080494E-2</v>
      </c>
      <c r="AB5529" t="s">
        <v>27773</v>
      </c>
      <c r="AC5529" t="s">
        <v>4562</v>
      </c>
      <c r="AD5529" t="s">
        <v>27774</v>
      </c>
      <c r="AE5529" t="s">
        <v>4655</v>
      </c>
      <c r="AF5529" t="s">
        <v>4563</v>
      </c>
      <c r="AG5529" t="s">
        <v>4564</v>
      </c>
      <c r="AH5529">
        <v>89511</v>
      </c>
      <c r="AI5529" t="s">
        <v>27775</v>
      </c>
      <c r="AJ5529" t="s">
        <v>27776</v>
      </c>
      <c r="AK5529" t="s">
        <v>27777</v>
      </c>
      <c r="AL5529" s="13" t="s">
        <v>2257</v>
      </c>
      <c r="AM5529" s="14">
        <v>1</v>
      </c>
      <c r="AN5529" s="15" t="s">
        <v>3121</v>
      </c>
    </row>
    <row r="5530" spans="1:40" x14ac:dyDescent="0.3">
      <c r="A5530" s="10" t="str">
        <f>HYPERLINK("http://www.washoecounty.gov/assessor/cama/?parid=164-171-07&amp;CardNumber=1","164-171-07")</f>
        <v>164-171-07</v>
      </c>
      <c r="B5530" t="s">
        <v>4655</v>
      </c>
      <c r="C5530" t="s">
        <v>27778</v>
      </c>
      <c r="D5530" s="1">
        <v>40487</v>
      </c>
      <c r="E5530" s="2">
        <v>104000</v>
      </c>
      <c r="F5530" t="s">
        <v>4567</v>
      </c>
      <c r="G5530" s="17" t="str">
        <f>HYPERLINK("https://www.washoecounty.gov/assessor/cama/?command=sales&amp;parid=16417107","3940437")</f>
        <v>3940437</v>
      </c>
      <c r="H5530" t="s">
        <v>3120</v>
      </c>
      <c r="I5530">
        <v>1980</v>
      </c>
      <c r="J5530">
        <v>1980</v>
      </c>
      <c r="K5530" t="s">
        <v>4897</v>
      </c>
      <c r="L5530" t="s">
        <v>3974</v>
      </c>
      <c r="M5530" s="2">
        <v>1540</v>
      </c>
      <c r="N5530" t="s">
        <v>4048</v>
      </c>
      <c r="O5530">
        <v>3</v>
      </c>
      <c r="P5530">
        <v>2</v>
      </c>
      <c r="Q5530">
        <v>1</v>
      </c>
      <c r="R5530" t="s">
        <v>4557</v>
      </c>
      <c r="S5530" t="s">
        <v>4558</v>
      </c>
      <c r="T5530" t="s">
        <v>4559</v>
      </c>
      <c r="U5530" t="s">
        <v>4655</v>
      </c>
      <c r="V5530" s="2">
        <v>0</v>
      </c>
      <c r="W5530" t="s">
        <v>4655</v>
      </c>
      <c r="X5530" s="2">
        <v>0</v>
      </c>
      <c r="Y5530">
        <v>21</v>
      </c>
      <c r="Z5530" t="s">
        <v>2705</v>
      </c>
      <c r="AA5530" s="3">
        <v>7.6997242867946597E-2</v>
      </c>
      <c r="AB5530" t="s">
        <v>27779</v>
      </c>
      <c r="AC5530" t="s">
        <v>4562</v>
      </c>
      <c r="AD5530" t="s">
        <v>27778</v>
      </c>
      <c r="AE5530" t="s">
        <v>4655</v>
      </c>
      <c r="AF5530" t="s">
        <v>4563</v>
      </c>
      <c r="AG5530" t="s">
        <v>4564</v>
      </c>
      <c r="AH5530">
        <v>89511</v>
      </c>
      <c r="AI5530" t="s">
        <v>27780</v>
      </c>
      <c r="AJ5530" t="s">
        <v>27781</v>
      </c>
      <c r="AK5530" t="s">
        <v>27782</v>
      </c>
      <c r="AL5530" s="13" t="s">
        <v>2257</v>
      </c>
      <c r="AM5530">
        <v>1</v>
      </c>
      <c r="AN5530" s="15" t="s">
        <v>3121</v>
      </c>
    </row>
    <row r="5531" spans="1:40" x14ac:dyDescent="0.3">
      <c r="A5531" s="10" t="str">
        <f>HYPERLINK("http://www.washoecounty.gov/assessor/cama/?parid=164-171-11&amp;CardNumber=1","164-171-11")</f>
        <v>164-171-11</v>
      </c>
      <c r="B5531" t="s">
        <v>4655</v>
      </c>
      <c r="C5531" t="s">
        <v>27783</v>
      </c>
      <c r="D5531" s="1">
        <v>40359</v>
      </c>
      <c r="E5531" s="2">
        <v>113000</v>
      </c>
      <c r="F5531" t="s">
        <v>4567</v>
      </c>
      <c r="G5531" s="17" t="str">
        <f>HYPERLINK("https://www.washoecounty.gov/assessor/cama/?command=sales&amp;parid=16417111","3897061")</f>
        <v>3897061</v>
      </c>
      <c r="H5531" t="s">
        <v>3120</v>
      </c>
      <c r="I5531">
        <v>1980</v>
      </c>
      <c r="J5531">
        <v>1980</v>
      </c>
      <c r="K5531" t="s">
        <v>4897</v>
      </c>
      <c r="L5531" t="s">
        <v>3974</v>
      </c>
      <c r="M5531" s="2">
        <v>1540</v>
      </c>
      <c r="N5531" t="s">
        <v>4048</v>
      </c>
      <c r="O5531">
        <v>3</v>
      </c>
      <c r="P5531">
        <v>2</v>
      </c>
      <c r="Q5531">
        <v>1</v>
      </c>
      <c r="R5531" t="s">
        <v>4557</v>
      </c>
      <c r="S5531" t="s">
        <v>4558</v>
      </c>
      <c r="T5531" t="s">
        <v>4559</v>
      </c>
      <c r="U5531" t="s">
        <v>4560</v>
      </c>
      <c r="V5531" s="2">
        <v>484</v>
      </c>
      <c r="W5531" t="s">
        <v>4655</v>
      </c>
      <c r="X5531" s="2">
        <v>0</v>
      </c>
      <c r="Y5531">
        <v>21</v>
      </c>
      <c r="Z5531" t="s">
        <v>2705</v>
      </c>
      <c r="AA5531" s="3">
        <v>0.101010099053383</v>
      </c>
      <c r="AB5531" t="s">
        <v>27784</v>
      </c>
      <c r="AC5531" t="s">
        <v>4562</v>
      </c>
      <c r="AD5531" t="s">
        <v>27783</v>
      </c>
      <c r="AE5531" t="s">
        <v>4655</v>
      </c>
      <c r="AF5531" t="s">
        <v>4563</v>
      </c>
      <c r="AG5531" t="s">
        <v>4564</v>
      </c>
      <c r="AH5531">
        <v>89511</v>
      </c>
      <c r="AI5531" t="s">
        <v>27785</v>
      </c>
      <c r="AJ5531" t="s">
        <v>27786</v>
      </c>
      <c r="AK5531" t="s">
        <v>27787</v>
      </c>
      <c r="AL5531" s="13" t="s">
        <v>2257</v>
      </c>
      <c r="AM5531">
        <v>1</v>
      </c>
      <c r="AN5531" s="15" t="s">
        <v>3121</v>
      </c>
    </row>
    <row r="5532" spans="1:40" x14ac:dyDescent="0.3">
      <c r="A5532" s="10" t="str">
        <f>HYPERLINK("http://www.washoecounty.gov/assessor/cama/?parid=164-171-18&amp;CardNumber=1","164-171-18")</f>
        <v>164-171-18</v>
      </c>
      <c r="B5532" t="s">
        <v>4655</v>
      </c>
      <c r="C5532" t="s">
        <v>27788</v>
      </c>
      <c r="D5532" s="1">
        <v>40193</v>
      </c>
      <c r="E5532" s="2">
        <v>101750</v>
      </c>
      <c r="F5532" t="s">
        <v>4553</v>
      </c>
      <c r="G5532" s="17" t="str">
        <f>HYPERLINK("https://www.washoecounty.gov/assessor/cama/?command=sales&amp;parid=16417118","3840095")</f>
        <v>3840095</v>
      </c>
      <c r="H5532" t="s">
        <v>3120</v>
      </c>
      <c r="I5532">
        <v>1980</v>
      </c>
      <c r="J5532">
        <v>1980</v>
      </c>
      <c r="K5532" t="s">
        <v>4897</v>
      </c>
      <c r="L5532" t="s">
        <v>3974</v>
      </c>
      <c r="M5532" s="2">
        <v>1540</v>
      </c>
      <c r="N5532" t="s">
        <v>4048</v>
      </c>
      <c r="O5532">
        <v>3</v>
      </c>
      <c r="P5532">
        <v>2</v>
      </c>
      <c r="Q5532">
        <v>1</v>
      </c>
      <c r="R5532" t="s">
        <v>4557</v>
      </c>
      <c r="S5532" t="s">
        <v>4558</v>
      </c>
      <c r="T5532" t="s">
        <v>4559</v>
      </c>
      <c r="U5532" t="s">
        <v>4560</v>
      </c>
      <c r="V5532" s="2">
        <v>484</v>
      </c>
      <c r="W5532" t="s">
        <v>4655</v>
      </c>
      <c r="X5532" s="2">
        <v>0</v>
      </c>
      <c r="Y5532">
        <v>21</v>
      </c>
      <c r="Z5532" t="s">
        <v>2705</v>
      </c>
      <c r="AA5532" s="3">
        <v>6.9995410740375505E-2</v>
      </c>
      <c r="AB5532" t="s">
        <v>27789</v>
      </c>
      <c r="AC5532" t="s">
        <v>4562</v>
      </c>
      <c r="AD5532" t="s">
        <v>27790</v>
      </c>
      <c r="AE5532" t="s">
        <v>4655</v>
      </c>
      <c r="AF5532" t="s">
        <v>4563</v>
      </c>
      <c r="AG5532" t="s">
        <v>4564</v>
      </c>
      <c r="AH5532">
        <v>89511</v>
      </c>
      <c r="AI5532" t="s">
        <v>4903</v>
      </c>
      <c r="AJ5532" t="s">
        <v>27791</v>
      </c>
      <c r="AK5532" t="s">
        <v>27792</v>
      </c>
      <c r="AL5532" s="13" t="s">
        <v>2257</v>
      </c>
      <c r="AM5532">
        <v>1</v>
      </c>
      <c r="AN5532" s="15" t="s">
        <v>3121</v>
      </c>
    </row>
    <row r="5533" spans="1:40" x14ac:dyDescent="0.3">
      <c r="A5533" s="10" t="str">
        <f>HYPERLINK("http://www.washoecounty.gov/assessor/cama/?parid=164-181-22&amp;CardNumber=1","164-181-22")</f>
        <v>164-181-22</v>
      </c>
      <c r="B5533" t="s">
        <v>4655</v>
      </c>
      <c r="C5533" t="s">
        <v>27793</v>
      </c>
      <c r="D5533" s="1">
        <v>40389</v>
      </c>
      <c r="E5533" s="2">
        <v>104000</v>
      </c>
      <c r="F5533" t="s">
        <v>4567</v>
      </c>
      <c r="G5533" s="17" t="str">
        <f>HYPERLINK("https://www.washoecounty.gov/assessor/cama/?command=sales&amp;parid=16418122","3907256")</f>
        <v>3907256</v>
      </c>
      <c r="H5533" t="s">
        <v>3384</v>
      </c>
      <c r="I5533">
        <v>1984</v>
      </c>
      <c r="J5533">
        <v>1984</v>
      </c>
      <c r="K5533" t="s">
        <v>4897</v>
      </c>
      <c r="L5533" t="s">
        <v>3974</v>
      </c>
      <c r="M5533" s="2">
        <v>1540</v>
      </c>
      <c r="N5533" t="s">
        <v>4048</v>
      </c>
      <c r="O5533">
        <v>3</v>
      </c>
      <c r="P5533">
        <v>2</v>
      </c>
      <c r="Q5533">
        <v>1</v>
      </c>
      <c r="R5533" t="s">
        <v>5281</v>
      </c>
      <c r="S5533" t="s">
        <v>4558</v>
      </c>
      <c r="T5533" t="s">
        <v>4559</v>
      </c>
      <c r="U5533" t="s">
        <v>4560</v>
      </c>
      <c r="V5533" s="2">
        <v>484</v>
      </c>
      <c r="W5533" t="s">
        <v>4655</v>
      </c>
      <c r="X5533" s="2">
        <v>0</v>
      </c>
      <c r="Y5533">
        <v>21</v>
      </c>
      <c r="Z5533" t="s">
        <v>2705</v>
      </c>
      <c r="AA5533" s="3">
        <v>6.7998163402080494E-2</v>
      </c>
      <c r="AB5533" t="s">
        <v>27794</v>
      </c>
      <c r="AC5533" t="s">
        <v>4562</v>
      </c>
      <c r="AD5533" t="s">
        <v>27795</v>
      </c>
      <c r="AE5533" t="s">
        <v>4655</v>
      </c>
      <c r="AF5533" t="s">
        <v>2751</v>
      </c>
      <c r="AG5533" t="s">
        <v>4584</v>
      </c>
      <c r="AH5533">
        <v>90016</v>
      </c>
      <c r="AI5533" t="s">
        <v>27796</v>
      </c>
      <c r="AJ5533" t="s">
        <v>27797</v>
      </c>
      <c r="AK5533" t="s">
        <v>27798</v>
      </c>
      <c r="AL5533" s="13" t="s">
        <v>2257</v>
      </c>
      <c r="AM5533" s="14">
        <v>1</v>
      </c>
      <c r="AN5533" s="15" t="s">
        <v>3121</v>
      </c>
    </row>
    <row r="5534" spans="1:40" x14ac:dyDescent="0.3">
      <c r="A5534" s="10" t="str">
        <f>HYPERLINK("http://www.washoecounty.gov/assessor/cama/?parid=164-181-25&amp;CardNumber=1","164-181-25")</f>
        <v>164-181-25</v>
      </c>
      <c r="B5534" t="s">
        <v>4655</v>
      </c>
      <c r="C5534" t="s">
        <v>27799</v>
      </c>
      <c r="D5534" s="1">
        <v>40421</v>
      </c>
      <c r="E5534" s="2">
        <v>102500</v>
      </c>
      <c r="F5534" t="s">
        <v>4567</v>
      </c>
      <c r="G5534" s="17" t="str">
        <f>HYPERLINK("https://www.washoecounty.gov/assessor/cama/?command=sales&amp;parid=16418125","3917523")</f>
        <v>3917523</v>
      </c>
      <c r="H5534" t="s">
        <v>3384</v>
      </c>
      <c r="I5534">
        <v>1984</v>
      </c>
      <c r="J5534">
        <v>1984</v>
      </c>
      <c r="K5534" t="s">
        <v>4897</v>
      </c>
      <c r="L5534" t="s">
        <v>3974</v>
      </c>
      <c r="M5534" s="2">
        <v>1540</v>
      </c>
      <c r="N5534" t="s">
        <v>4048</v>
      </c>
      <c r="O5534">
        <v>3</v>
      </c>
      <c r="P5534">
        <v>2</v>
      </c>
      <c r="Q5534">
        <v>1</v>
      </c>
      <c r="R5534" t="s">
        <v>4557</v>
      </c>
      <c r="S5534" t="s">
        <v>4558</v>
      </c>
      <c r="T5534" t="s">
        <v>4559</v>
      </c>
      <c r="U5534" t="s">
        <v>4560</v>
      </c>
      <c r="V5534" s="2">
        <v>484</v>
      </c>
      <c r="W5534" t="s">
        <v>4655</v>
      </c>
      <c r="X5534" s="2">
        <v>0</v>
      </c>
      <c r="Y5534">
        <v>21</v>
      </c>
      <c r="Z5534" t="s">
        <v>2705</v>
      </c>
      <c r="AA5534" s="3">
        <v>9.6005506813526195E-2</v>
      </c>
      <c r="AB5534" t="s">
        <v>27800</v>
      </c>
      <c r="AC5534" t="s">
        <v>4562</v>
      </c>
      <c r="AD5534" t="s">
        <v>27799</v>
      </c>
      <c r="AE5534" t="s">
        <v>4655</v>
      </c>
      <c r="AF5534" t="s">
        <v>4563</v>
      </c>
      <c r="AG5534" t="s">
        <v>4564</v>
      </c>
      <c r="AH5534">
        <v>89511</v>
      </c>
      <c r="AI5534" t="s">
        <v>27801</v>
      </c>
      <c r="AJ5534" t="s">
        <v>27802</v>
      </c>
      <c r="AK5534" t="s">
        <v>27803</v>
      </c>
      <c r="AL5534" s="13" t="s">
        <v>2257</v>
      </c>
      <c r="AM5534" s="14">
        <v>1</v>
      </c>
      <c r="AN5534" s="15" t="s">
        <v>3121</v>
      </c>
    </row>
    <row r="5535" spans="1:40" x14ac:dyDescent="0.3">
      <c r="A5535" s="10" t="str">
        <f>HYPERLINK("http://www.washoecounty.gov/assessor/cama/?parid=164-191-14&amp;CardNumber=1","164-191-14")</f>
        <v>164-191-14</v>
      </c>
      <c r="B5535" t="s">
        <v>4655</v>
      </c>
      <c r="C5535" t="s">
        <v>27804</v>
      </c>
      <c r="D5535" s="1">
        <v>40235</v>
      </c>
      <c r="E5535" s="2">
        <v>119100</v>
      </c>
      <c r="F5535" t="s">
        <v>4553</v>
      </c>
      <c r="G5535" s="17" t="str">
        <f>HYPERLINK("https://www.washoecounty.gov/assessor/cama/?command=sales&amp;parid=16419114","3853555")</f>
        <v>3853555</v>
      </c>
      <c r="H5535" t="s">
        <v>3384</v>
      </c>
      <c r="I5535">
        <v>1983</v>
      </c>
      <c r="J5535">
        <v>1983</v>
      </c>
      <c r="K5535" t="s">
        <v>4897</v>
      </c>
      <c r="L5535" t="s">
        <v>3974</v>
      </c>
      <c r="M5535" s="2">
        <v>1540</v>
      </c>
      <c r="N5535" t="s">
        <v>4048</v>
      </c>
      <c r="O5535">
        <v>3</v>
      </c>
      <c r="P5535">
        <v>2</v>
      </c>
      <c r="Q5535">
        <v>1</v>
      </c>
      <c r="R5535" t="s">
        <v>4557</v>
      </c>
      <c r="S5535" t="s">
        <v>4558</v>
      </c>
      <c r="T5535" t="s">
        <v>4559</v>
      </c>
      <c r="U5535" t="s">
        <v>4560</v>
      </c>
      <c r="V5535" s="2">
        <v>484</v>
      </c>
      <c r="W5535" t="s">
        <v>4655</v>
      </c>
      <c r="X5535" s="2">
        <v>0</v>
      </c>
      <c r="Y5535">
        <v>21</v>
      </c>
      <c r="Z5535" t="s">
        <v>2705</v>
      </c>
      <c r="AA5535" s="3">
        <v>6.4003676176071195E-2</v>
      </c>
      <c r="AB5535" t="s">
        <v>27805</v>
      </c>
      <c r="AC5535" t="s">
        <v>4575</v>
      </c>
      <c r="AD5535" t="s">
        <v>27806</v>
      </c>
      <c r="AE5535" t="s">
        <v>27804</v>
      </c>
      <c r="AF5535" t="s">
        <v>4563</v>
      </c>
      <c r="AG5535" t="s">
        <v>4564</v>
      </c>
      <c r="AH5535">
        <v>89511</v>
      </c>
      <c r="AI5535" t="s">
        <v>27807</v>
      </c>
      <c r="AJ5535" t="s">
        <v>27808</v>
      </c>
      <c r="AK5535" t="s">
        <v>27809</v>
      </c>
      <c r="AL5535" s="13" t="s">
        <v>2257</v>
      </c>
      <c r="AM5535">
        <v>1</v>
      </c>
      <c r="AN5535" s="15" t="s">
        <v>3121</v>
      </c>
    </row>
    <row r="5536" spans="1:40" x14ac:dyDescent="0.3">
      <c r="A5536" s="10" t="str">
        <f>HYPERLINK("http://www.washoecounty.gov/assessor/cama/?parid=164-191-44&amp;CardNumber=1","164-191-44")</f>
        <v>164-191-44</v>
      </c>
      <c r="B5536" t="s">
        <v>4655</v>
      </c>
      <c r="C5536" t="s">
        <v>27810</v>
      </c>
      <c r="D5536" s="1">
        <v>40233</v>
      </c>
      <c r="E5536" s="2">
        <v>100000</v>
      </c>
      <c r="F5536" t="s">
        <v>4553</v>
      </c>
      <c r="G5536" s="17" t="str">
        <f>HYPERLINK("https://www.washoecounty.gov/assessor/cama/?command=sales&amp;parid=16419144","3852331")</f>
        <v>3852331</v>
      </c>
      <c r="H5536" t="s">
        <v>3384</v>
      </c>
      <c r="I5536">
        <v>1985</v>
      </c>
      <c r="J5536">
        <v>1985</v>
      </c>
      <c r="K5536" t="s">
        <v>4897</v>
      </c>
      <c r="L5536" t="s">
        <v>3974</v>
      </c>
      <c r="M5536" s="2">
        <v>1540</v>
      </c>
      <c r="N5536" t="s">
        <v>4048</v>
      </c>
      <c r="O5536">
        <v>3</v>
      </c>
      <c r="P5536">
        <v>2</v>
      </c>
      <c r="Q5536">
        <v>1</v>
      </c>
      <c r="R5536" t="s">
        <v>4557</v>
      </c>
      <c r="S5536" t="s">
        <v>4558</v>
      </c>
      <c r="T5536" t="s">
        <v>4559</v>
      </c>
      <c r="U5536" t="s">
        <v>4560</v>
      </c>
      <c r="V5536" s="2">
        <v>484</v>
      </c>
      <c r="W5536" t="s">
        <v>4655</v>
      </c>
      <c r="X5536" s="2">
        <v>0</v>
      </c>
      <c r="Y5536">
        <v>21</v>
      </c>
      <c r="Z5536" t="s">
        <v>2705</v>
      </c>
      <c r="AA5536" s="3">
        <v>5.5991735309362398E-2</v>
      </c>
      <c r="AB5536" t="s">
        <v>27811</v>
      </c>
      <c r="AC5536" t="s">
        <v>4562</v>
      </c>
      <c r="AD5536" t="s">
        <v>27812</v>
      </c>
      <c r="AE5536" t="s">
        <v>4655</v>
      </c>
      <c r="AF5536" t="s">
        <v>4563</v>
      </c>
      <c r="AG5536" t="s">
        <v>4564</v>
      </c>
      <c r="AH5536">
        <v>89511</v>
      </c>
      <c r="AI5536" t="s">
        <v>1078</v>
      </c>
      <c r="AJ5536" t="s">
        <v>27813</v>
      </c>
      <c r="AK5536" t="s">
        <v>27814</v>
      </c>
      <c r="AL5536" s="13" t="s">
        <v>2257</v>
      </c>
      <c r="AM5536">
        <v>1</v>
      </c>
      <c r="AN5536" s="15" t="s">
        <v>3121</v>
      </c>
    </row>
    <row r="5537" spans="1:40" x14ac:dyDescent="0.3">
      <c r="A5537" s="10" t="str">
        <f>HYPERLINK("http://www.washoecounty.gov/assessor/cama/?parid=164-201-03&amp;CardNumber=1","164-201-03")</f>
        <v>164-201-03</v>
      </c>
      <c r="B5537" t="s">
        <v>4655</v>
      </c>
      <c r="C5537" t="s">
        <v>27815</v>
      </c>
      <c r="D5537" s="1">
        <v>40437</v>
      </c>
      <c r="E5537" s="2">
        <v>141000</v>
      </c>
      <c r="F5537" t="s">
        <v>4553</v>
      </c>
      <c r="G5537" s="17" t="str">
        <f>HYPERLINK("https://www.washoecounty.gov/assessor/cama/?command=sales&amp;parid=16420103","3923121")</f>
        <v>3923121</v>
      </c>
      <c r="H5537" t="s">
        <v>1810</v>
      </c>
      <c r="I5537">
        <v>1972</v>
      </c>
      <c r="J5537">
        <v>1972</v>
      </c>
      <c r="K5537" t="s">
        <v>4554</v>
      </c>
      <c r="L5537" t="s">
        <v>3886</v>
      </c>
      <c r="M5537" s="2">
        <v>1926</v>
      </c>
      <c r="N5537" t="s">
        <v>4048</v>
      </c>
      <c r="O5537">
        <v>3</v>
      </c>
      <c r="P5537">
        <v>2</v>
      </c>
      <c r="Q5537">
        <v>0</v>
      </c>
      <c r="R5537" t="s">
        <v>4557</v>
      </c>
      <c r="S5537" t="s">
        <v>4558</v>
      </c>
      <c r="T5537" t="s">
        <v>4559</v>
      </c>
      <c r="U5537" t="s">
        <v>4560</v>
      </c>
      <c r="V5537" s="2">
        <v>437</v>
      </c>
      <c r="W5537" t="s">
        <v>4655</v>
      </c>
      <c r="X5537" s="2">
        <v>0</v>
      </c>
      <c r="Y5537">
        <v>20</v>
      </c>
      <c r="Z5537" t="s">
        <v>4561</v>
      </c>
      <c r="AA5537" s="3">
        <v>0.13799357414245605</v>
      </c>
      <c r="AB5537" t="s">
        <v>27816</v>
      </c>
      <c r="AC5537" t="s">
        <v>4562</v>
      </c>
      <c r="AD5537" t="s">
        <v>27817</v>
      </c>
      <c r="AE5537" t="s">
        <v>4655</v>
      </c>
      <c r="AF5537" t="s">
        <v>4563</v>
      </c>
      <c r="AG5537" t="s">
        <v>4564</v>
      </c>
      <c r="AH5537">
        <v>89511</v>
      </c>
      <c r="AI5537" t="s">
        <v>27818</v>
      </c>
      <c r="AJ5537" t="s">
        <v>27819</v>
      </c>
      <c r="AK5537" t="s">
        <v>27820</v>
      </c>
      <c r="AL5537" s="13" t="s">
        <v>2255</v>
      </c>
      <c r="AM5537" s="14">
        <v>1</v>
      </c>
      <c r="AN5537" s="15" t="s">
        <v>3123</v>
      </c>
    </row>
    <row r="5538" spans="1:40" x14ac:dyDescent="0.3">
      <c r="A5538" s="10" t="str">
        <f>HYPERLINK("http://www.washoecounty.gov/assessor/cama/?parid=164-213-19&amp;CardNumber=1","164-213-19")</f>
        <v>164-213-19</v>
      </c>
      <c r="B5538" t="s">
        <v>4655</v>
      </c>
      <c r="C5538" t="s">
        <v>27821</v>
      </c>
      <c r="D5538" s="1">
        <v>40298</v>
      </c>
      <c r="E5538" s="2">
        <v>138500</v>
      </c>
      <c r="F5538" t="s">
        <v>4553</v>
      </c>
      <c r="G5538" s="17" t="str">
        <f>HYPERLINK("https://www.washoecounty.gov/assessor/cama/?command=sales&amp;parid=16421319","3876802")</f>
        <v>3876802</v>
      </c>
      <c r="H5538" t="s">
        <v>1810</v>
      </c>
      <c r="I5538">
        <v>1970</v>
      </c>
      <c r="J5538">
        <v>1972</v>
      </c>
      <c r="K5538" t="s">
        <v>4554</v>
      </c>
      <c r="L5538" t="s">
        <v>3886</v>
      </c>
      <c r="M5538" s="2">
        <v>2332</v>
      </c>
      <c r="N5538" t="s">
        <v>4048</v>
      </c>
      <c r="O5538">
        <v>4</v>
      </c>
      <c r="P5538">
        <v>3</v>
      </c>
      <c r="Q5538">
        <v>0</v>
      </c>
      <c r="R5538" t="s">
        <v>4557</v>
      </c>
      <c r="S5538" t="s">
        <v>3148</v>
      </c>
      <c r="T5538" t="s">
        <v>3888</v>
      </c>
      <c r="U5538" t="s">
        <v>4560</v>
      </c>
      <c r="V5538" s="2">
        <v>437</v>
      </c>
      <c r="W5538" t="s">
        <v>4655</v>
      </c>
      <c r="X5538" s="2">
        <v>0</v>
      </c>
      <c r="Y5538">
        <v>20</v>
      </c>
      <c r="Z5538" t="s">
        <v>4561</v>
      </c>
      <c r="AA5538" s="3">
        <v>0.13799357414245605</v>
      </c>
      <c r="AB5538" t="s">
        <v>27822</v>
      </c>
      <c r="AC5538" t="s">
        <v>4575</v>
      </c>
      <c r="AD5538" t="s">
        <v>27821</v>
      </c>
      <c r="AE5538" t="s">
        <v>4655</v>
      </c>
      <c r="AF5538" t="s">
        <v>4563</v>
      </c>
      <c r="AG5538" t="s">
        <v>4564</v>
      </c>
      <c r="AH5538">
        <v>89511</v>
      </c>
      <c r="AI5538" t="s">
        <v>5163</v>
      </c>
      <c r="AJ5538" t="s">
        <v>27823</v>
      </c>
      <c r="AK5538" t="s">
        <v>27824</v>
      </c>
      <c r="AL5538" s="13" t="s">
        <v>2257</v>
      </c>
      <c r="AM5538">
        <v>1</v>
      </c>
      <c r="AN5538" s="15" t="s">
        <v>3123</v>
      </c>
    </row>
    <row r="5539" spans="1:40" x14ac:dyDescent="0.3">
      <c r="A5539" s="10" t="str">
        <f>HYPERLINK("http://www.washoecounty.gov/assessor/cama/?parid=164-213-20&amp;CardNumber=1","164-213-20")</f>
        <v>164-213-20</v>
      </c>
      <c r="B5539" t="s">
        <v>4655</v>
      </c>
      <c r="C5539" t="s">
        <v>27825</v>
      </c>
      <c r="D5539" s="1">
        <v>40372</v>
      </c>
      <c r="E5539" s="2">
        <v>98750</v>
      </c>
      <c r="F5539" t="s">
        <v>4553</v>
      </c>
      <c r="G5539" s="17" t="str">
        <f>HYPERLINK("https://www.washoecounty.gov/assessor/cama/?command=sales&amp;parid=16421320","3900841")</f>
        <v>3900841</v>
      </c>
      <c r="H5539" t="s">
        <v>1810</v>
      </c>
      <c r="I5539">
        <v>1971</v>
      </c>
      <c r="J5539">
        <v>1971</v>
      </c>
      <c r="K5539" t="s">
        <v>4554</v>
      </c>
      <c r="L5539" t="s">
        <v>2170</v>
      </c>
      <c r="M5539" s="2">
        <v>1641</v>
      </c>
      <c r="N5539" t="s">
        <v>4048</v>
      </c>
      <c r="O5539">
        <v>3</v>
      </c>
      <c r="P5539">
        <v>2</v>
      </c>
      <c r="Q5539">
        <v>1</v>
      </c>
      <c r="R5539" t="s">
        <v>4557</v>
      </c>
      <c r="S5539" t="s">
        <v>3148</v>
      </c>
      <c r="T5539" t="s">
        <v>4559</v>
      </c>
      <c r="U5539" t="s">
        <v>5631</v>
      </c>
      <c r="V5539" s="2">
        <v>483</v>
      </c>
      <c r="W5539" t="s">
        <v>4655</v>
      </c>
      <c r="X5539" s="2">
        <v>0</v>
      </c>
      <c r="Y5539">
        <v>20</v>
      </c>
      <c r="Z5539" t="s">
        <v>4561</v>
      </c>
      <c r="AA5539" s="3">
        <v>0.15199723839759827</v>
      </c>
      <c r="AB5539" t="s">
        <v>27826</v>
      </c>
      <c r="AC5539" t="s">
        <v>4575</v>
      </c>
      <c r="AD5539" t="s">
        <v>1084</v>
      </c>
      <c r="AE5539" t="s">
        <v>4655</v>
      </c>
      <c r="AF5539" t="s">
        <v>4563</v>
      </c>
      <c r="AG5539" t="s">
        <v>4564</v>
      </c>
      <c r="AH5539">
        <v>89509</v>
      </c>
      <c r="AI5539" t="s">
        <v>4585</v>
      </c>
      <c r="AJ5539" t="s">
        <v>27827</v>
      </c>
      <c r="AK5539" t="s">
        <v>27828</v>
      </c>
      <c r="AL5539" s="13" t="s">
        <v>2257</v>
      </c>
      <c r="AM5539" s="14">
        <v>1</v>
      </c>
      <c r="AN5539" s="15" t="s">
        <v>3123</v>
      </c>
    </row>
    <row r="5540" spans="1:40" x14ac:dyDescent="0.3">
      <c r="A5540" s="10" t="str">
        <f>HYPERLINK("http://www.washoecounty.gov/assessor/cama/?parid=164-222-12&amp;CardNumber=1","164-222-12")</f>
        <v>164-222-12</v>
      </c>
      <c r="B5540" t="s">
        <v>4655</v>
      </c>
      <c r="C5540" t="s">
        <v>27829</v>
      </c>
      <c r="D5540" s="1">
        <v>40521</v>
      </c>
      <c r="E5540" s="2">
        <v>150000</v>
      </c>
      <c r="F5540" t="s">
        <v>4567</v>
      </c>
      <c r="G5540" s="17" t="str">
        <f>HYPERLINK("https://www.washoecounty.gov/assessor/cama/?command=sales&amp;parid=16422212","3951562")</f>
        <v>3951562</v>
      </c>
      <c r="H5540" t="s">
        <v>1810</v>
      </c>
      <c r="I5540">
        <v>1972</v>
      </c>
      <c r="J5540">
        <v>1972</v>
      </c>
      <c r="K5540" t="s">
        <v>4554</v>
      </c>
      <c r="L5540" t="s">
        <v>3886</v>
      </c>
      <c r="M5540" s="2">
        <v>1926</v>
      </c>
      <c r="N5540" t="s">
        <v>4048</v>
      </c>
      <c r="O5540">
        <v>4</v>
      </c>
      <c r="P5540">
        <v>3</v>
      </c>
      <c r="Q5540">
        <v>0</v>
      </c>
      <c r="R5540" t="s">
        <v>4557</v>
      </c>
      <c r="S5540" t="s">
        <v>4558</v>
      </c>
      <c r="T5540" t="s">
        <v>4559</v>
      </c>
      <c r="U5540" t="s">
        <v>4560</v>
      </c>
      <c r="V5540" s="2">
        <v>437</v>
      </c>
      <c r="W5540" t="s">
        <v>4655</v>
      </c>
      <c r="X5540" s="2">
        <v>0</v>
      </c>
      <c r="Y5540">
        <v>20</v>
      </c>
      <c r="Z5540" t="s">
        <v>4561</v>
      </c>
      <c r="AA5540" s="3">
        <v>0.13799357414245605</v>
      </c>
      <c r="AB5540" t="s">
        <v>27830</v>
      </c>
      <c r="AC5540" t="s">
        <v>4562</v>
      </c>
      <c r="AD5540" t="s">
        <v>27829</v>
      </c>
      <c r="AE5540" t="s">
        <v>4655</v>
      </c>
      <c r="AF5540" t="s">
        <v>4563</v>
      </c>
      <c r="AG5540" t="s">
        <v>4564</v>
      </c>
      <c r="AH5540">
        <v>89511</v>
      </c>
      <c r="AI5540" t="s">
        <v>27831</v>
      </c>
      <c r="AJ5540" t="s">
        <v>27832</v>
      </c>
      <c r="AK5540" t="s">
        <v>27833</v>
      </c>
      <c r="AL5540" s="13" t="s">
        <v>2255</v>
      </c>
      <c r="AM5540">
        <v>1</v>
      </c>
      <c r="AN5540" s="15" t="s">
        <v>3123</v>
      </c>
    </row>
    <row r="5541" spans="1:40" x14ac:dyDescent="0.3">
      <c r="A5541" s="10" t="str">
        <f>HYPERLINK("http://www.washoecounty.gov/assessor/cama/?parid=164-222-32&amp;CardNumber=1","164-222-32")</f>
        <v>164-222-32</v>
      </c>
      <c r="B5541" t="s">
        <v>4655</v>
      </c>
      <c r="C5541" t="s">
        <v>27834</v>
      </c>
      <c r="D5541" s="1">
        <v>40479</v>
      </c>
      <c r="E5541" s="2">
        <v>145000</v>
      </c>
      <c r="F5541" t="s">
        <v>4567</v>
      </c>
      <c r="G5541" s="17" t="str">
        <f>HYPERLINK("https://www.washoecounty.gov/assessor/cama/?command=sales&amp;parid=16422232","3937693")</f>
        <v>3937693</v>
      </c>
      <c r="H5541" t="s">
        <v>1810</v>
      </c>
      <c r="I5541">
        <v>1972</v>
      </c>
      <c r="J5541">
        <v>1972</v>
      </c>
      <c r="K5541" t="s">
        <v>4554</v>
      </c>
      <c r="L5541" t="s">
        <v>2170</v>
      </c>
      <c r="M5541" s="2">
        <v>1641</v>
      </c>
      <c r="N5541" t="s">
        <v>4048</v>
      </c>
      <c r="O5541">
        <v>3</v>
      </c>
      <c r="P5541">
        <v>2</v>
      </c>
      <c r="Q5541">
        <v>1</v>
      </c>
      <c r="R5541" t="s">
        <v>4557</v>
      </c>
      <c r="S5541" t="s">
        <v>4558</v>
      </c>
      <c r="T5541" t="s">
        <v>4559</v>
      </c>
      <c r="U5541" t="s">
        <v>4655</v>
      </c>
      <c r="V5541" s="2">
        <v>0</v>
      </c>
      <c r="W5541" t="s">
        <v>4655</v>
      </c>
      <c r="X5541" s="2">
        <v>0</v>
      </c>
      <c r="Y5541">
        <v>20</v>
      </c>
      <c r="Z5541" t="s">
        <v>4561</v>
      </c>
      <c r="AA5541" s="3">
        <v>0.141000911593437</v>
      </c>
      <c r="AB5541" t="s">
        <v>27835</v>
      </c>
      <c r="AC5541" t="s">
        <v>4575</v>
      </c>
      <c r="AD5541" t="s">
        <v>27834</v>
      </c>
      <c r="AE5541" t="s">
        <v>4655</v>
      </c>
      <c r="AF5541" t="s">
        <v>4563</v>
      </c>
      <c r="AG5541" t="s">
        <v>4564</v>
      </c>
      <c r="AH5541">
        <v>89511</v>
      </c>
      <c r="AI5541" t="s">
        <v>27836</v>
      </c>
      <c r="AJ5541" t="s">
        <v>27837</v>
      </c>
      <c r="AK5541" t="s">
        <v>27838</v>
      </c>
      <c r="AL5541" s="13" t="s">
        <v>2257</v>
      </c>
      <c r="AM5541">
        <v>1</v>
      </c>
      <c r="AN5541" s="15" t="s">
        <v>3123</v>
      </c>
    </row>
    <row r="5542" spans="1:40" x14ac:dyDescent="0.3">
      <c r="A5542" s="10" t="str">
        <f>HYPERLINK("http://www.washoecounty.gov/assessor/cama/?parid=164-223-02&amp;CardNumber=1","164-223-02")</f>
        <v>164-223-02</v>
      </c>
      <c r="B5542" t="s">
        <v>4655</v>
      </c>
      <c r="C5542" t="s">
        <v>27839</v>
      </c>
      <c r="D5542" s="1">
        <v>40269</v>
      </c>
      <c r="E5542" s="2">
        <v>162500</v>
      </c>
      <c r="F5542" t="s">
        <v>4553</v>
      </c>
      <c r="G5542" s="17" t="str">
        <f>HYPERLINK("https://www.washoecounty.gov/assessor/cama/?command=sales&amp;parid=16422302","3866861")</f>
        <v>3866861</v>
      </c>
      <c r="H5542" t="s">
        <v>1810</v>
      </c>
      <c r="I5542">
        <v>1972</v>
      </c>
      <c r="J5542">
        <v>1972</v>
      </c>
      <c r="K5542" t="s">
        <v>4554</v>
      </c>
      <c r="L5542" t="s">
        <v>3886</v>
      </c>
      <c r="M5542" s="2">
        <v>1926</v>
      </c>
      <c r="N5542" t="s">
        <v>4048</v>
      </c>
      <c r="O5542">
        <v>4</v>
      </c>
      <c r="P5542">
        <v>2</v>
      </c>
      <c r="Q5542">
        <v>0</v>
      </c>
      <c r="R5542" t="s">
        <v>4557</v>
      </c>
      <c r="S5542" t="s">
        <v>4558</v>
      </c>
      <c r="T5542" t="s">
        <v>4559</v>
      </c>
      <c r="U5542" t="s">
        <v>4560</v>
      </c>
      <c r="V5542" s="2">
        <v>437</v>
      </c>
      <c r="W5542" t="s">
        <v>4655</v>
      </c>
      <c r="X5542" s="2">
        <v>0</v>
      </c>
      <c r="Y5542">
        <v>20</v>
      </c>
      <c r="Z5542" t="s">
        <v>4561</v>
      </c>
      <c r="AA5542" s="3">
        <v>0.13799357414245605</v>
      </c>
      <c r="AB5542" t="s">
        <v>27840</v>
      </c>
      <c r="AC5542" t="s">
        <v>4562</v>
      </c>
      <c r="AD5542" t="s">
        <v>27841</v>
      </c>
      <c r="AE5542" t="s">
        <v>4655</v>
      </c>
      <c r="AF5542" t="s">
        <v>4563</v>
      </c>
      <c r="AG5542" t="s">
        <v>4564</v>
      </c>
      <c r="AH5542">
        <v>89511</v>
      </c>
      <c r="AI5542" t="s">
        <v>359</v>
      </c>
      <c r="AJ5542" t="s">
        <v>27842</v>
      </c>
      <c r="AK5542" t="s">
        <v>27843</v>
      </c>
      <c r="AL5542" s="13" t="s">
        <v>2255</v>
      </c>
      <c r="AM5542">
        <v>1</v>
      </c>
      <c r="AN5542" s="15" t="s">
        <v>3123</v>
      </c>
    </row>
    <row r="5543" spans="1:40" x14ac:dyDescent="0.3">
      <c r="A5543" s="10" t="str">
        <f>HYPERLINK("http://www.washoecounty.gov/assessor/cama/?parid=164-223-11&amp;CardNumber=1","164-223-11")</f>
        <v>164-223-11</v>
      </c>
      <c r="B5543" t="s">
        <v>4655</v>
      </c>
      <c r="C5543" t="s">
        <v>27844</v>
      </c>
      <c r="D5543" s="1">
        <v>40487</v>
      </c>
      <c r="E5543" s="2">
        <v>150000</v>
      </c>
      <c r="F5543" t="s">
        <v>4567</v>
      </c>
      <c r="G5543" s="17" t="str">
        <f>HYPERLINK("https://www.washoecounty.gov/assessor/cama/?command=sales&amp;parid=16422311","3940434")</f>
        <v>3940434</v>
      </c>
      <c r="H5543" t="s">
        <v>1810</v>
      </c>
      <c r="I5543">
        <v>1972</v>
      </c>
      <c r="J5543">
        <v>1972</v>
      </c>
      <c r="K5543" t="s">
        <v>4554</v>
      </c>
      <c r="L5543" t="s">
        <v>3886</v>
      </c>
      <c r="M5543" s="2">
        <v>1926</v>
      </c>
      <c r="N5543" t="s">
        <v>4048</v>
      </c>
      <c r="O5543">
        <v>3</v>
      </c>
      <c r="P5543">
        <v>3</v>
      </c>
      <c r="Q5543">
        <v>0</v>
      </c>
      <c r="R5543" t="s">
        <v>4557</v>
      </c>
      <c r="S5543" t="s">
        <v>4558</v>
      </c>
      <c r="T5543" t="s">
        <v>4559</v>
      </c>
      <c r="U5543" t="s">
        <v>4560</v>
      </c>
      <c r="V5543" s="2">
        <v>437</v>
      </c>
      <c r="W5543" t="s">
        <v>4655</v>
      </c>
      <c r="X5543" s="2">
        <v>0</v>
      </c>
      <c r="Y5543">
        <v>20</v>
      </c>
      <c r="Z5543" t="s">
        <v>4561</v>
      </c>
      <c r="AA5543" s="3">
        <v>0.15399448573589325</v>
      </c>
      <c r="AB5543" t="s">
        <v>27845</v>
      </c>
      <c r="AC5543" t="s">
        <v>4562</v>
      </c>
      <c r="AD5543" t="s">
        <v>27844</v>
      </c>
      <c r="AE5543" t="s">
        <v>4655</v>
      </c>
      <c r="AF5543" t="s">
        <v>4563</v>
      </c>
      <c r="AG5543" t="s">
        <v>4564</v>
      </c>
      <c r="AH5543">
        <v>89511</v>
      </c>
      <c r="AI5543" t="s">
        <v>27846</v>
      </c>
      <c r="AJ5543" t="s">
        <v>27847</v>
      </c>
      <c r="AK5543" t="s">
        <v>27848</v>
      </c>
      <c r="AL5543" s="13" t="s">
        <v>2257</v>
      </c>
      <c r="AM5543" s="14">
        <v>1</v>
      </c>
      <c r="AN5543" s="15" t="s">
        <v>3123</v>
      </c>
    </row>
    <row r="5544" spans="1:40" x14ac:dyDescent="0.3">
      <c r="A5544" s="10" t="str">
        <f>HYPERLINK("http://www.washoecounty.gov/assessor/cama/?parid=164-223-17&amp;CardNumber=1","164-223-17")</f>
        <v>164-223-17</v>
      </c>
      <c r="B5544" t="s">
        <v>4655</v>
      </c>
      <c r="C5544" t="s">
        <v>27849</v>
      </c>
      <c r="D5544" s="1">
        <v>40337</v>
      </c>
      <c r="E5544" s="2">
        <v>153367</v>
      </c>
      <c r="F5544" t="s">
        <v>4553</v>
      </c>
      <c r="G5544" s="17" t="str">
        <f>HYPERLINK("https://www.washoecounty.gov/assessor/cama/?command=sales&amp;parid=16422317","3889214")</f>
        <v>3889214</v>
      </c>
      <c r="H5544" t="s">
        <v>1810</v>
      </c>
      <c r="I5544">
        <v>1972</v>
      </c>
      <c r="J5544">
        <v>1972</v>
      </c>
      <c r="K5544" t="s">
        <v>4554</v>
      </c>
      <c r="L5544" t="s">
        <v>2170</v>
      </c>
      <c r="M5544" s="2">
        <v>1641</v>
      </c>
      <c r="N5544" t="s">
        <v>4048</v>
      </c>
      <c r="O5544">
        <v>3</v>
      </c>
      <c r="P5544">
        <v>2</v>
      </c>
      <c r="Q5544">
        <v>1</v>
      </c>
      <c r="R5544" t="s">
        <v>4557</v>
      </c>
      <c r="S5544" t="s">
        <v>4558</v>
      </c>
      <c r="T5544" t="s">
        <v>4559</v>
      </c>
      <c r="U5544" t="s">
        <v>5631</v>
      </c>
      <c r="V5544" s="2">
        <v>483</v>
      </c>
      <c r="W5544" t="s">
        <v>4655</v>
      </c>
      <c r="X5544" s="2">
        <v>0</v>
      </c>
      <c r="Y5544">
        <v>20</v>
      </c>
      <c r="Z5544" t="s">
        <v>4561</v>
      </c>
      <c r="AA5544" s="3">
        <v>0.13799357414245605</v>
      </c>
      <c r="AB5544" t="s">
        <v>27850</v>
      </c>
      <c r="AC5544" t="s">
        <v>4562</v>
      </c>
      <c r="AD5544" t="s">
        <v>27851</v>
      </c>
      <c r="AE5544" t="s">
        <v>4655</v>
      </c>
      <c r="AF5544" t="s">
        <v>4563</v>
      </c>
      <c r="AG5544" t="s">
        <v>4564</v>
      </c>
      <c r="AH5544">
        <v>89511</v>
      </c>
      <c r="AI5544" t="s">
        <v>27227</v>
      </c>
      <c r="AJ5544" t="s">
        <v>27852</v>
      </c>
      <c r="AK5544" t="s">
        <v>27853</v>
      </c>
      <c r="AL5544" s="13" t="s">
        <v>2255</v>
      </c>
      <c r="AM5544" s="14">
        <v>1</v>
      </c>
      <c r="AN5544" s="15" t="s">
        <v>3123</v>
      </c>
    </row>
    <row r="5545" spans="1:40" x14ac:dyDescent="0.3">
      <c r="A5545" s="10" t="str">
        <f>HYPERLINK("http://www.washoecounty.gov/assessor/cama/?parid=164-232-07&amp;CardNumber=1","164-232-07")</f>
        <v>164-232-07</v>
      </c>
      <c r="B5545" t="s">
        <v>4655</v>
      </c>
      <c r="C5545" t="s">
        <v>27854</v>
      </c>
      <c r="D5545" s="1">
        <v>40319</v>
      </c>
      <c r="E5545" s="2">
        <v>80500</v>
      </c>
      <c r="F5545" t="s">
        <v>4553</v>
      </c>
      <c r="G5545" s="17" t="str">
        <f>HYPERLINK("https://www.washoecounty.gov/assessor/cama/?command=sales&amp;parid=16423207","3883994")</f>
        <v>3883994</v>
      </c>
      <c r="H5545" t="s">
        <v>3383</v>
      </c>
      <c r="I5545">
        <v>1974</v>
      </c>
      <c r="J5545">
        <v>1974</v>
      </c>
      <c r="K5545" t="s">
        <v>4897</v>
      </c>
      <c r="L5545" t="s">
        <v>3974</v>
      </c>
      <c r="M5545" s="2">
        <v>1395</v>
      </c>
      <c r="N5545" t="s">
        <v>4048</v>
      </c>
      <c r="O5545">
        <v>3</v>
      </c>
      <c r="P5545">
        <v>2</v>
      </c>
      <c r="Q5545">
        <v>1</v>
      </c>
      <c r="R5545" t="s">
        <v>4676</v>
      </c>
      <c r="S5545" t="s">
        <v>4558</v>
      </c>
      <c r="T5545" t="s">
        <v>4559</v>
      </c>
      <c r="U5545" t="s">
        <v>5631</v>
      </c>
      <c r="V5545" s="2">
        <v>455</v>
      </c>
      <c r="W5545" t="s">
        <v>4655</v>
      </c>
      <c r="X5545" s="2">
        <v>0</v>
      </c>
      <c r="Y5545">
        <v>21</v>
      </c>
      <c r="Z5545" t="s">
        <v>2705</v>
      </c>
      <c r="AA5545" s="3">
        <v>7.6997242867946597E-2</v>
      </c>
      <c r="AB5545" t="s">
        <v>27855</v>
      </c>
      <c r="AC5545" t="s">
        <v>4562</v>
      </c>
      <c r="AD5545" t="s">
        <v>27856</v>
      </c>
      <c r="AE5545" t="s">
        <v>4655</v>
      </c>
      <c r="AF5545" t="s">
        <v>4563</v>
      </c>
      <c r="AG5545" t="s">
        <v>4564</v>
      </c>
      <c r="AH5545">
        <v>89511</v>
      </c>
      <c r="AI5545" t="s">
        <v>4655</v>
      </c>
      <c r="AJ5545" t="s">
        <v>27857</v>
      </c>
      <c r="AK5545" t="s">
        <v>27858</v>
      </c>
      <c r="AL5545" s="13" t="s">
        <v>2257</v>
      </c>
      <c r="AM5545" s="14">
        <v>1</v>
      </c>
      <c r="AN5545" s="15" t="s">
        <v>3121</v>
      </c>
    </row>
    <row r="5546" spans="1:40" x14ac:dyDescent="0.3">
      <c r="A5546" s="10" t="str">
        <f>HYPERLINK("http://www.washoecounty.gov/assessor/cama/?parid=164-261-03&amp;CardNumber=1","164-261-03")</f>
        <v>164-261-03</v>
      </c>
      <c r="B5546" t="s">
        <v>4655</v>
      </c>
      <c r="C5546" t="s">
        <v>27859</v>
      </c>
      <c r="D5546" s="1">
        <v>40190</v>
      </c>
      <c r="E5546" s="2">
        <v>165000</v>
      </c>
      <c r="F5546" t="s">
        <v>4567</v>
      </c>
      <c r="G5546" s="17" t="str">
        <f>HYPERLINK("https://www.washoecounty.gov/assessor/cama/?command=sales&amp;parid=16426103","3838293")</f>
        <v>3838293</v>
      </c>
      <c r="H5546" t="s">
        <v>3122</v>
      </c>
      <c r="I5546">
        <v>1978</v>
      </c>
      <c r="J5546">
        <v>1978</v>
      </c>
      <c r="K5546" t="s">
        <v>4554</v>
      </c>
      <c r="L5546" t="s">
        <v>2170</v>
      </c>
      <c r="M5546" s="2">
        <v>1753</v>
      </c>
      <c r="N5546" t="s">
        <v>4048</v>
      </c>
      <c r="O5546">
        <v>3</v>
      </c>
      <c r="P5546">
        <v>2</v>
      </c>
      <c r="Q5546">
        <v>1</v>
      </c>
      <c r="R5546" t="s">
        <v>4557</v>
      </c>
      <c r="S5546" t="s">
        <v>4558</v>
      </c>
      <c r="T5546" t="s">
        <v>4559</v>
      </c>
      <c r="U5546" t="s">
        <v>5631</v>
      </c>
      <c r="V5546" s="2">
        <v>483</v>
      </c>
      <c r="W5546" t="s">
        <v>4655</v>
      </c>
      <c r="X5546" s="2">
        <v>0</v>
      </c>
      <c r="Y5546">
        <v>20</v>
      </c>
      <c r="Z5546" t="s">
        <v>4561</v>
      </c>
      <c r="AA5546" s="3">
        <v>0.15798898041248299</v>
      </c>
      <c r="AB5546" t="s">
        <v>27860</v>
      </c>
      <c r="AC5546" t="s">
        <v>4562</v>
      </c>
      <c r="AD5546" t="s">
        <v>27859</v>
      </c>
      <c r="AE5546" t="s">
        <v>4655</v>
      </c>
      <c r="AF5546" t="s">
        <v>4563</v>
      </c>
      <c r="AG5546" t="s">
        <v>4564</v>
      </c>
      <c r="AH5546">
        <v>89502</v>
      </c>
      <c r="AI5546" t="s">
        <v>27861</v>
      </c>
      <c r="AJ5546" t="s">
        <v>27862</v>
      </c>
      <c r="AK5546" t="s">
        <v>27863</v>
      </c>
      <c r="AL5546" s="13" t="s">
        <v>2257</v>
      </c>
      <c r="AM5546" s="14">
        <v>1</v>
      </c>
      <c r="AN5546" s="15" t="s">
        <v>3123</v>
      </c>
    </row>
    <row r="5547" spans="1:40" x14ac:dyDescent="0.3">
      <c r="A5547" s="10" t="str">
        <f>HYPERLINK("http://www.washoecounty.gov/assessor/cama/?parid=164-262-02&amp;CardNumber=1","164-262-02")</f>
        <v>164-262-02</v>
      </c>
      <c r="B5547" t="s">
        <v>4655</v>
      </c>
      <c r="C5547" t="s">
        <v>27864</v>
      </c>
      <c r="D5547" s="1">
        <v>40262</v>
      </c>
      <c r="E5547" s="2">
        <v>130000</v>
      </c>
      <c r="F5547" t="s">
        <v>4567</v>
      </c>
      <c r="G5547" s="17" t="str">
        <f>HYPERLINK("https://www.washoecounty.gov/assessor/cama/?command=sales&amp;parid=16426202","3863941")</f>
        <v>3863941</v>
      </c>
      <c r="H5547" t="s">
        <v>3122</v>
      </c>
      <c r="I5547">
        <v>1978</v>
      </c>
      <c r="J5547">
        <v>1978</v>
      </c>
      <c r="K5547" t="s">
        <v>4554</v>
      </c>
      <c r="L5547" t="s">
        <v>2170</v>
      </c>
      <c r="M5547" s="2">
        <v>1753</v>
      </c>
      <c r="N5547" t="s">
        <v>4048</v>
      </c>
      <c r="O5547">
        <v>3</v>
      </c>
      <c r="P5547">
        <v>2</v>
      </c>
      <c r="Q5547">
        <v>1</v>
      </c>
      <c r="R5547" t="s">
        <v>4557</v>
      </c>
      <c r="S5547" t="s">
        <v>4558</v>
      </c>
      <c r="T5547" t="s">
        <v>4559</v>
      </c>
      <c r="U5547" t="s">
        <v>5631</v>
      </c>
      <c r="V5547" s="2">
        <v>483</v>
      </c>
      <c r="W5547" t="s">
        <v>4655</v>
      </c>
      <c r="X5547" s="2">
        <v>0</v>
      </c>
      <c r="Y5547">
        <v>20</v>
      </c>
      <c r="Z5547" t="s">
        <v>4561</v>
      </c>
      <c r="AA5547" s="3">
        <v>0.15798898041248299</v>
      </c>
      <c r="AB5547" t="s">
        <v>27865</v>
      </c>
      <c r="AC5547" t="s">
        <v>4562</v>
      </c>
      <c r="AD5547" t="s">
        <v>27864</v>
      </c>
      <c r="AE5547" t="s">
        <v>4655</v>
      </c>
      <c r="AF5547" t="s">
        <v>4563</v>
      </c>
      <c r="AG5547" t="s">
        <v>4564</v>
      </c>
      <c r="AH5547">
        <v>89511</v>
      </c>
      <c r="AI5547" t="s">
        <v>27866</v>
      </c>
      <c r="AJ5547" t="s">
        <v>27867</v>
      </c>
      <c r="AK5547" t="s">
        <v>27868</v>
      </c>
      <c r="AL5547" s="13" t="s">
        <v>2257</v>
      </c>
      <c r="AM5547" s="14">
        <v>1</v>
      </c>
      <c r="AN5547" s="15" t="s">
        <v>3123</v>
      </c>
    </row>
    <row r="5548" spans="1:40" x14ac:dyDescent="0.3">
      <c r="A5548" s="10" t="str">
        <f>HYPERLINK("http://www.washoecounty.gov/assessor/cama/?parid=164-264-10&amp;CardNumber=1","164-264-10")</f>
        <v>164-264-10</v>
      </c>
      <c r="B5548" t="s">
        <v>4655</v>
      </c>
      <c r="C5548" t="s">
        <v>27869</v>
      </c>
      <c r="D5548" s="1">
        <v>40389</v>
      </c>
      <c r="E5548" s="2">
        <v>131000</v>
      </c>
      <c r="F5548" t="s">
        <v>4567</v>
      </c>
      <c r="G5548" s="17" t="str">
        <f>HYPERLINK("https://www.washoecounty.gov/assessor/cama/?command=sales&amp;parid=16426410","3907449")</f>
        <v>3907449</v>
      </c>
      <c r="H5548" t="s">
        <v>3122</v>
      </c>
      <c r="I5548">
        <v>1978</v>
      </c>
      <c r="J5548">
        <v>1978</v>
      </c>
      <c r="K5548" t="s">
        <v>4554</v>
      </c>
      <c r="L5548" t="s">
        <v>2170</v>
      </c>
      <c r="M5548" s="2">
        <v>1753</v>
      </c>
      <c r="N5548" t="s">
        <v>4048</v>
      </c>
      <c r="O5548">
        <v>3</v>
      </c>
      <c r="P5548">
        <v>2</v>
      </c>
      <c r="Q5548">
        <v>1</v>
      </c>
      <c r="R5548" t="s">
        <v>4557</v>
      </c>
      <c r="S5548" t="s">
        <v>4682</v>
      </c>
      <c r="T5548" t="s">
        <v>4559</v>
      </c>
      <c r="U5548" t="s">
        <v>5631</v>
      </c>
      <c r="V5548" s="2">
        <v>483</v>
      </c>
      <c r="W5548" t="s">
        <v>4655</v>
      </c>
      <c r="X5548" s="2">
        <v>0</v>
      </c>
      <c r="Y5548">
        <v>20</v>
      </c>
      <c r="Z5548" t="s">
        <v>4561</v>
      </c>
      <c r="AA5548" s="3">
        <v>0.16900826990604401</v>
      </c>
      <c r="AB5548" t="s">
        <v>27870</v>
      </c>
      <c r="AC5548" t="s">
        <v>4562</v>
      </c>
      <c r="AD5548" t="s">
        <v>27869</v>
      </c>
      <c r="AE5548" t="s">
        <v>4655</v>
      </c>
      <c r="AF5548" t="s">
        <v>4563</v>
      </c>
      <c r="AG5548" t="s">
        <v>4564</v>
      </c>
      <c r="AH5548">
        <v>89511</v>
      </c>
      <c r="AI5548" t="s">
        <v>894</v>
      </c>
      <c r="AJ5548" t="s">
        <v>27871</v>
      </c>
      <c r="AK5548" t="s">
        <v>27872</v>
      </c>
      <c r="AL5548" s="13" t="s">
        <v>2255</v>
      </c>
      <c r="AM5548" s="14">
        <v>1</v>
      </c>
      <c r="AN5548" s="15" t="s">
        <v>3123</v>
      </c>
    </row>
    <row r="5549" spans="1:40" x14ac:dyDescent="0.3">
      <c r="A5549" s="10" t="str">
        <f>HYPERLINK("http://www.washoecounty.gov/assessor/cama/?parid=164-265-04&amp;CardNumber=1","164-265-04")</f>
        <v>164-265-04</v>
      </c>
      <c r="B5549" t="s">
        <v>4655</v>
      </c>
      <c r="C5549" t="s">
        <v>27873</v>
      </c>
      <c r="D5549" s="1">
        <v>40381</v>
      </c>
      <c r="E5549" s="2">
        <v>125000</v>
      </c>
      <c r="F5549" t="s">
        <v>4553</v>
      </c>
      <c r="G5549" s="17" t="str">
        <f>HYPERLINK("https://www.washoecounty.gov/assessor/cama/?command=sales&amp;parid=16426504","3904024")</f>
        <v>3904024</v>
      </c>
      <c r="H5549" t="s">
        <v>3122</v>
      </c>
      <c r="I5549">
        <v>1978</v>
      </c>
      <c r="J5549">
        <v>1978</v>
      </c>
      <c r="K5549" t="s">
        <v>4554</v>
      </c>
      <c r="L5549" t="s">
        <v>2170</v>
      </c>
      <c r="M5549" s="2">
        <v>1753</v>
      </c>
      <c r="N5549" t="s">
        <v>4048</v>
      </c>
      <c r="O5549">
        <v>3</v>
      </c>
      <c r="P5549">
        <v>2</v>
      </c>
      <c r="Q5549">
        <v>1</v>
      </c>
      <c r="R5549" t="s">
        <v>4557</v>
      </c>
      <c r="S5549" t="s">
        <v>4558</v>
      </c>
      <c r="T5549" t="s">
        <v>4559</v>
      </c>
      <c r="U5549" t="s">
        <v>5631</v>
      </c>
      <c r="V5549" s="2">
        <v>483</v>
      </c>
      <c r="W5549" t="s">
        <v>4655</v>
      </c>
      <c r="X5549" s="2">
        <v>0</v>
      </c>
      <c r="Y5549">
        <v>20</v>
      </c>
      <c r="Z5549" t="s">
        <v>4561</v>
      </c>
      <c r="AA5549" s="3">
        <v>0.17100550234317799</v>
      </c>
      <c r="AB5549" t="s">
        <v>27874</v>
      </c>
      <c r="AC5549" t="s">
        <v>4562</v>
      </c>
      <c r="AD5549" t="s">
        <v>27873</v>
      </c>
      <c r="AE5549" t="s">
        <v>4655</v>
      </c>
      <c r="AF5549" t="s">
        <v>4563</v>
      </c>
      <c r="AG5549" t="s">
        <v>4564</v>
      </c>
      <c r="AH5549">
        <v>89511</v>
      </c>
      <c r="AI5549" t="s">
        <v>4655</v>
      </c>
      <c r="AJ5549" t="s">
        <v>27875</v>
      </c>
      <c r="AK5549" t="s">
        <v>27876</v>
      </c>
      <c r="AL5549" s="13" t="s">
        <v>2257</v>
      </c>
      <c r="AM5549">
        <v>1</v>
      </c>
      <c r="AN5549" s="15" t="s">
        <v>3123</v>
      </c>
    </row>
    <row r="5550" spans="1:40" x14ac:dyDescent="0.3">
      <c r="A5550" s="10" t="str">
        <f>HYPERLINK("http://www.washoecounty.gov/assessor/cama/?parid=164-265-10&amp;CardNumber=1","164-265-10")</f>
        <v>164-265-10</v>
      </c>
      <c r="B5550" t="s">
        <v>4655</v>
      </c>
      <c r="C5550" t="s">
        <v>27877</v>
      </c>
      <c r="D5550" s="1">
        <v>40387</v>
      </c>
      <c r="E5550" s="2">
        <v>150300</v>
      </c>
      <c r="F5550" t="s">
        <v>4567</v>
      </c>
      <c r="G5550" s="17" t="str">
        <f>HYPERLINK("https://www.washoecounty.gov/assessor/cama/?command=sales&amp;parid=16426510","3906176")</f>
        <v>3906176</v>
      </c>
      <c r="H5550" t="s">
        <v>3122</v>
      </c>
      <c r="I5550">
        <v>1978</v>
      </c>
      <c r="J5550">
        <v>1978</v>
      </c>
      <c r="K5550" t="s">
        <v>4554</v>
      </c>
      <c r="L5550" t="s">
        <v>3886</v>
      </c>
      <c r="M5550" s="2">
        <v>2110</v>
      </c>
      <c r="N5550" t="s">
        <v>4048</v>
      </c>
      <c r="O5550">
        <v>3</v>
      </c>
      <c r="P5550">
        <v>2</v>
      </c>
      <c r="Q5550">
        <v>0</v>
      </c>
      <c r="R5550" t="s">
        <v>4557</v>
      </c>
      <c r="S5550" t="s">
        <v>4558</v>
      </c>
      <c r="T5550" t="s">
        <v>4559</v>
      </c>
      <c r="U5550" t="s">
        <v>4560</v>
      </c>
      <c r="V5550" s="2">
        <v>437</v>
      </c>
      <c r="W5550" t="s">
        <v>4655</v>
      </c>
      <c r="X5550" s="2">
        <v>0</v>
      </c>
      <c r="Y5550">
        <v>20</v>
      </c>
      <c r="Z5550" t="s">
        <v>4561</v>
      </c>
      <c r="AA5550" s="3">
        <v>0.16099633276462599</v>
      </c>
      <c r="AB5550" t="s">
        <v>27878</v>
      </c>
      <c r="AC5550" t="s">
        <v>4575</v>
      </c>
      <c r="AD5550" t="s">
        <v>27877</v>
      </c>
      <c r="AE5550" t="s">
        <v>4655</v>
      </c>
      <c r="AF5550" t="s">
        <v>4563</v>
      </c>
      <c r="AG5550" t="s">
        <v>4564</v>
      </c>
      <c r="AH5550">
        <v>89511</v>
      </c>
      <c r="AI5550" t="s">
        <v>27879</v>
      </c>
      <c r="AJ5550" t="s">
        <v>27880</v>
      </c>
      <c r="AK5550" t="s">
        <v>27881</v>
      </c>
      <c r="AL5550" s="13" t="s">
        <v>2257</v>
      </c>
      <c r="AM5550">
        <v>1</v>
      </c>
      <c r="AN5550" s="15" t="s">
        <v>3123</v>
      </c>
    </row>
    <row r="5551" spans="1:40" x14ac:dyDescent="0.3">
      <c r="A5551" s="10" t="str">
        <f>HYPERLINK("http://www.washoecounty.gov/assessor/cama/?parid=164-266-01&amp;CardNumber=1","164-266-01")</f>
        <v>164-266-01</v>
      </c>
      <c r="B5551" t="s">
        <v>4655</v>
      </c>
      <c r="C5551" t="s">
        <v>27882</v>
      </c>
      <c r="D5551" s="1">
        <v>40441</v>
      </c>
      <c r="E5551" s="2">
        <v>145000</v>
      </c>
      <c r="F5551" t="s">
        <v>4567</v>
      </c>
      <c r="G5551" s="17" t="str">
        <f>HYPERLINK("https://www.washoecounty.gov/assessor/cama/?command=sales&amp;parid=16426601","3924202")</f>
        <v>3924202</v>
      </c>
      <c r="H5551" t="s">
        <v>3122</v>
      </c>
      <c r="I5551">
        <v>1978</v>
      </c>
      <c r="J5551">
        <v>1978</v>
      </c>
      <c r="K5551" t="s">
        <v>4554</v>
      </c>
      <c r="L5551" t="s">
        <v>2170</v>
      </c>
      <c r="M5551" s="2">
        <v>1753</v>
      </c>
      <c r="N5551" t="s">
        <v>4048</v>
      </c>
      <c r="O5551">
        <v>3</v>
      </c>
      <c r="P5551">
        <v>2</v>
      </c>
      <c r="Q5551">
        <v>1</v>
      </c>
      <c r="R5551" t="s">
        <v>4557</v>
      </c>
      <c r="S5551" t="s">
        <v>4558</v>
      </c>
      <c r="T5551" t="s">
        <v>4559</v>
      </c>
      <c r="U5551" t="s">
        <v>5631</v>
      </c>
      <c r="V5551" s="2">
        <v>483</v>
      </c>
      <c r="W5551" t="s">
        <v>4655</v>
      </c>
      <c r="X5551" s="2">
        <v>0</v>
      </c>
      <c r="Y5551">
        <v>20</v>
      </c>
      <c r="Z5551" t="s">
        <v>4561</v>
      </c>
      <c r="AA5551" s="3">
        <v>0.18200182914733901</v>
      </c>
      <c r="AB5551" t="s">
        <v>27883</v>
      </c>
      <c r="AC5551" t="s">
        <v>4562</v>
      </c>
      <c r="AD5551" t="s">
        <v>27882</v>
      </c>
      <c r="AE5551" t="s">
        <v>4655</v>
      </c>
      <c r="AF5551" t="s">
        <v>4563</v>
      </c>
      <c r="AG5551" t="s">
        <v>4564</v>
      </c>
      <c r="AH5551">
        <v>89511</v>
      </c>
      <c r="AI5551" t="s">
        <v>27884</v>
      </c>
      <c r="AJ5551" t="s">
        <v>27885</v>
      </c>
      <c r="AK5551" t="s">
        <v>27886</v>
      </c>
      <c r="AL5551" s="13" t="s">
        <v>2257</v>
      </c>
      <c r="AM5551">
        <v>1</v>
      </c>
      <c r="AN5551" s="15" t="s">
        <v>3123</v>
      </c>
    </row>
    <row r="5552" spans="1:40" x14ac:dyDescent="0.3">
      <c r="A5552" s="10" t="str">
        <f>HYPERLINK("http://www.washoecounty.gov/assessor/cama/?parid=164-272-11&amp;CardNumber=1","164-272-11")</f>
        <v>164-272-11</v>
      </c>
      <c r="B5552" t="s">
        <v>4655</v>
      </c>
      <c r="C5552" t="s">
        <v>27887</v>
      </c>
      <c r="D5552" s="1">
        <v>40416</v>
      </c>
      <c r="E5552" s="2">
        <v>150000</v>
      </c>
      <c r="F5552" t="s">
        <v>4567</v>
      </c>
      <c r="G5552" s="17" t="str">
        <f>HYPERLINK("https://www.washoecounty.gov/assessor/cama/?command=sales&amp;parid=16427211","3915748")</f>
        <v>3915748</v>
      </c>
      <c r="H5552" t="s">
        <v>27888</v>
      </c>
      <c r="I5552">
        <v>1981</v>
      </c>
      <c r="J5552">
        <v>1981</v>
      </c>
      <c r="K5552" t="s">
        <v>4554</v>
      </c>
      <c r="L5552" t="s">
        <v>3886</v>
      </c>
      <c r="M5552" s="2">
        <v>2110</v>
      </c>
      <c r="N5552" t="s">
        <v>4048</v>
      </c>
      <c r="O5552">
        <v>3</v>
      </c>
      <c r="P5552">
        <v>2</v>
      </c>
      <c r="Q5552">
        <v>0</v>
      </c>
      <c r="R5552" t="s">
        <v>4557</v>
      </c>
      <c r="S5552" t="s">
        <v>4558</v>
      </c>
      <c r="T5552" t="s">
        <v>4559</v>
      </c>
      <c r="U5552" t="s">
        <v>4560</v>
      </c>
      <c r="V5552" s="2">
        <v>412</v>
      </c>
      <c r="W5552" t="s">
        <v>4655</v>
      </c>
      <c r="X5552" s="2">
        <v>0</v>
      </c>
      <c r="Y5552">
        <v>20</v>
      </c>
      <c r="Z5552" t="s">
        <v>4561</v>
      </c>
      <c r="AA5552" s="3">
        <v>0.160009175539017</v>
      </c>
      <c r="AB5552" t="s">
        <v>27889</v>
      </c>
      <c r="AC5552" t="s">
        <v>4575</v>
      </c>
      <c r="AD5552" t="s">
        <v>27887</v>
      </c>
      <c r="AE5552" t="s">
        <v>4655</v>
      </c>
      <c r="AF5552" t="s">
        <v>4563</v>
      </c>
      <c r="AG5552" t="s">
        <v>4564</v>
      </c>
      <c r="AH5552">
        <v>89511</v>
      </c>
      <c r="AI5552" t="s">
        <v>4655</v>
      </c>
      <c r="AJ5552" t="s">
        <v>27890</v>
      </c>
      <c r="AK5552" t="s">
        <v>27891</v>
      </c>
      <c r="AL5552" s="13" t="s">
        <v>2257</v>
      </c>
      <c r="AM5552" s="14">
        <v>1</v>
      </c>
      <c r="AN5552" s="15" t="s">
        <v>3123</v>
      </c>
    </row>
    <row r="5553" spans="1:40" x14ac:dyDescent="0.3">
      <c r="A5553" s="10" t="str">
        <f>HYPERLINK("http://www.washoecounty.gov/assessor/cama/?parid=164-273-02&amp;CardNumber=1","164-273-02")</f>
        <v>164-273-02</v>
      </c>
      <c r="B5553" t="s">
        <v>4655</v>
      </c>
      <c r="C5553" t="s">
        <v>27892</v>
      </c>
      <c r="D5553" s="1">
        <v>40374</v>
      </c>
      <c r="E5553" s="2">
        <v>158000</v>
      </c>
      <c r="F5553" t="s">
        <v>4553</v>
      </c>
      <c r="G5553" s="17" t="str">
        <f>HYPERLINK("https://www.washoecounty.gov/assessor/cama/?command=sales&amp;parid=16427302","3901680")</f>
        <v>3901680</v>
      </c>
      <c r="H5553" t="s">
        <v>27888</v>
      </c>
      <c r="I5553">
        <v>1982</v>
      </c>
      <c r="J5553">
        <v>1982</v>
      </c>
      <c r="K5553" t="s">
        <v>4554</v>
      </c>
      <c r="L5553" t="s">
        <v>3886</v>
      </c>
      <c r="M5553" s="2">
        <v>2110</v>
      </c>
      <c r="N5553" t="s">
        <v>4048</v>
      </c>
      <c r="O5553">
        <v>3</v>
      </c>
      <c r="P5553">
        <v>2</v>
      </c>
      <c r="Q5553">
        <v>0</v>
      </c>
      <c r="R5553" t="s">
        <v>4557</v>
      </c>
      <c r="S5553" t="s">
        <v>4558</v>
      </c>
      <c r="T5553" t="s">
        <v>4559</v>
      </c>
      <c r="U5553" t="s">
        <v>4560</v>
      </c>
      <c r="V5553" s="2">
        <v>420</v>
      </c>
      <c r="W5553" t="s">
        <v>4655</v>
      </c>
      <c r="X5553" s="2">
        <v>0</v>
      </c>
      <c r="Y5553">
        <v>20</v>
      </c>
      <c r="Z5553" t="s">
        <v>4561</v>
      </c>
      <c r="AA5553" s="3">
        <v>0.160009175539017</v>
      </c>
      <c r="AB5553" t="s">
        <v>27893</v>
      </c>
      <c r="AC5553" t="s">
        <v>4562</v>
      </c>
      <c r="AD5553" t="s">
        <v>27892</v>
      </c>
      <c r="AE5553" t="s">
        <v>4655</v>
      </c>
      <c r="AF5553" t="s">
        <v>4563</v>
      </c>
      <c r="AG5553" t="s">
        <v>4564</v>
      </c>
      <c r="AH5553">
        <v>89511</v>
      </c>
      <c r="AI5553" t="s">
        <v>4503</v>
      </c>
      <c r="AJ5553" t="s">
        <v>27894</v>
      </c>
      <c r="AK5553" t="s">
        <v>27895</v>
      </c>
      <c r="AL5553" s="13" t="s">
        <v>2255</v>
      </c>
      <c r="AM5553" s="14">
        <v>1</v>
      </c>
      <c r="AN5553" s="15" t="s">
        <v>3123</v>
      </c>
    </row>
    <row r="5554" spans="1:40" x14ac:dyDescent="0.3">
      <c r="A5554" s="10" t="str">
        <f>HYPERLINK("http://www.washoecounty.gov/assessor/cama/?parid=164-302-05&amp;CardNumber=1","164-302-05")</f>
        <v>164-302-05</v>
      </c>
      <c r="B5554" t="s">
        <v>4655</v>
      </c>
      <c r="C5554" t="s">
        <v>27896</v>
      </c>
      <c r="D5554" s="1">
        <v>40466</v>
      </c>
      <c r="E5554" s="2">
        <v>155000</v>
      </c>
      <c r="F5554" t="s">
        <v>4553</v>
      </c>
      <c r="G5554" s="17" t="str">
        <f>HYPERLINK("https://www.washoecounty.gov/assessor/cama/?command=sales&amp;parid=16430205","3933710")</f>
        <v>3933710</v>
      </c>
      <c r="H5554" t="s">
        <v>4151</v>
      </c>
      <c r="I5554">
        <v>2000</v>
      </c>
      <c r="J5554">
        <v>2000</v>
      </c>
      <c r="K5554" t="s">
        <v>4554</v>
      </c>
      <c r="L5554" t="s">
        <v>4555</v>
      </c>
      <c r="M5554" s="2">
        <v>1649</v>
      </c>
      <c r="N5554" t="s">
        <v>5280</v>
      </c>
      <c r="O5554">
        <v>3</v>
      </c>
      <c r="P5554">
        <v>2</v>
      </c>
      <c r="Q5554">
        <v>0</v>
      </c>
      <c r="R5554" t="s">
        <v>5281</v>
      </c>
      <c r="S5554" t="s">
        <v>4558</v>
      </c>
      <c r="T5554" t="s">
        <v>4559</v>
      </c>
      <c r="U5554" t="s">
        <v>4560</v>
      </c>
      <c r="V5554" s="2">
        <v>420</v>
      </c>
      <c r="W5554" t="s">
        <v>4655</v>
      </c>
      <c r="X5554" s="2">
        <v>0</v>
      </c>
      <c r="Y5554">
        <v>20</v>
      </c>
      <c r="Z5554" t="s">
        <v>4561</v>
      </c>
      <c r="AA5554" s="3">
        <v>0.14600551128387501</v>
      </c>
      <c r="AB5554" t="s">
        <v>27897</v>
      </c>
      <c r="AC5554" t="s">
        <v>4562</v>
      </c>
      <c r="AD5554" t="s">
        <v>27898</v>
      </c>
      <c r="AE5554" t="s">
        <v>4655</v>
      </c>
      <c r="AF5554" t="s">
        <v>4563</v>
      </c>
      <c r="AG5554" t="s">
        <v>4564</v>
      </c>
      <c r="AH5554">
        <v>89511</v>
      </c>
      <c r="AI5554" t="s">
        <v>4565</v>
      </c>
      <c r="AJ5554" t="s">
        <v>4505</v>
      </c>
      <c r="AK5554" t="s">
        <v>27899</v>
      </c>
      <c r="AL5554" s="13" t="s">
        <v>2257</v>
      </c>
      <c r="AM5554">
        <v>1</v>
      </c>
      <c r="AN5554" s="15" t="s">
        <v>982</v>
      </c>
    </row>
    <row r="5555" spans="1:40" x14ac:dyDescent="0.3">
      <c r="A5555" s="10" t="str">
        <f>HYPERLINK("http://www.washoecounty.gov/assessor/cama/?parid=164-302-06&amp;CardNumber=1","164-302-06")</f>
        <v>164-302-06</v>
      </c>
      <c r="B5555" t="s">
        <v>4655</v>
      </c>
      <c r="C5555" t="s">
        <v>27900</v>
      </c>
      <c r="D5555" s="1">
        <v>40283</v>
      </c>
      <c r="E5555" s="2">
        <v>195000</v>
      </c>
      <c r="F5555" t="s">
        <v>4567</v>
      </c>
      <c r="G5555" s="17" t="str">
        <f>HYPERLINK("https://www.washoecounty.gov/assessor/cama/?command=sales&amp;parid=16430206","3871618")</f>
        <v>3871618</v>
      </c>
      <c r="H5555" t="s">
        <v>4151</v>
      </c>
      <c r="I5555">
        <v>1999</v>
      </c>
      <c r="J5555">
        <v>1999</v>
      </c>
      <c r="K5555" t="s">
        <v>4554</v>
      </c>
      <c r="L5555" t="s">
        <v>4555</v>
      </c>
      <c r="M5555" s="2">
        <v>1664</v>
      </c>
      <c r="N5555" t="s">
        <v>5280</v>
      </c>
      <c r="O5555">
        <v>3</v>
      </c>
      <c r="P5555">
        <v>2</v>
      </c>
      <c r="Q5555">
        <v>0</v>
      </c>
      <c r="R5555" t="s">
        <v>5281</v>
      </c>
      <c r="S5555" t="s">
        <v>4558</v>
      </c>
      <c r="T5555" t="s">
        <v>4559</v>
      </c>
      <c r="U5555" t="s">
        <v>4560</v>
      </c>
      <c r="V5555" s="2">
        <v>420</v>
      </c>
      <c r="W5555" t="s">
        <v>4655</v>
      </c>
      <c r="X5555" s="2">
        <v>0</v>
      </c>
      <c r="Y5555">
        <v>20</v>
      </c>
      <c r="Z5555" t="s">
        <v>4561</v>
      </c>
      <c r="AA5555" s="3">
        <v>0.14600551128387501</v>
      </c>
      <c r="AB5555" t="s">
        <v>27901</v>
      </c>
      <c r="AC5555" t="s">
        <v>4562</v>
      </c>
      <c r="AD5555" t="s">
        <v>27902</v>
      </c>
      <c r="AE5555" t="s">
        <v>4655</v>
      </c>
      <c r="AF5555" t="s">
        <v>4563</v>
      </c>
      <c r="AG5555" t="s">
        <v>4564</v>
      </c>
      <c r="AH5555">
        <v>89511</v>
      </c>
      <c r="AI5555" t="s">
        <v>27903</v>
      </c>
      <c r="AJ5555" t="s">
        <v>4505</v>
      </c>
      <c r="AK5555" t="s">
        <v>27904</v>
      </c>
      <c r="AL5555" s="13" t="s">
        <v>2257</v>
      </c>
      <c r="AM5555" s="14">
        <v>1</v>
      </c>
      <c r="AN5555" s="15" t="s">
        <v>982</v>
      </c>
    </row>
    <row r="5556" spans="1:40" x14ac:dyDescent="0.3">
      <c r="A5556" s="10" t="str">
        <f>HYPERLINK("http://www.washoecounty.gov/assessor/cama/?parid=164-303-02&amp;CardNumber=1","164-303-02")</f>
        <v>164-303-02</v>
      </c>
      <c r="B5556" t="s">
        <v>4655</v>
      </c>
      <c r="C5556" t="s">
        <v>27905</v>
      </c>
      <c r="D5556" s="1">
        <v>40479</v>
      </c>
      <c r="E5556" s="2">
        <v>193000</v>
      </c>
      <c r="F5556" t="s">
        <v>4553</v>
      </c>
      <c r="G5556" s="17" t="str">
        <f>HYPERLINK("https://www.washoecounty.gov/assessor/cama/?command=sales&amp;parid=16430302","3937890")</f>
        <v>3937890</v>
      </c>
      <c r="H5556" t="s">
        <v>4151</v>
      </c>
      <c r="I5556">
        <v>1999</v>
      </c>
      <c r="J5556">
        <v>1999</v>
      </c>
      <c r="K5556" t="s">
        <v>4554</v>
      </c>
      <c r="L5556" t="s">
        <v>3974</v>
      </c>
      <c r="M5556" s="2">
        <v>2139</v>
      </c>
      <c r="N5556" t="s">
        <v>5280</v>
      </c>
      <c r="O5556">
        <v>4</v>
      </c>
      <c r="P5556">
        <v>2</v>
      </c>
      <c r="Q5556">
        <v>1</v>
      </c>
      <c r="R5556" t="s">
        <v>5281</v>
      </c>
      <c r="S5556" t="s">
        <v>4558</v>
      </c>
      <c r="T5556" t="s">
        <v>4559</v>
      </c>
      <c r="U5556" t="s">
        <v>5631</v>
      </c>
      <c r="V5556" s="2">
        <v>423</v>
      </c>
      <c r="W5556" t="s">
        <v>4655</v>
      </c>
      <c r="X5556" s="2">
        <v>0</v>
      </c>
      <c r="Y5556">
        <v>20</v>
      </c>
      <c r="Z5556" t="s">
        <v>4561</v>
      </c>
      <c r="AA5556" s="3">
        <v>0.16400367021560699</v>
      </c>
      <c r="AB5556" t="s">
        <v>27906</v>
      </c>
      <c r="AC5556" t="s">
        <v>4562</v>
      </c>
      <c r="AD5556" t="s">
        <v>27907</v>
      </c>
      <c r="AE5556" t="s">
        <v>4655</v>
      </c>
      <c r="AF5556" t="s">
        <v>4563</v>
      </c>
      <c r="AG5556" t="s">
        <v>4564</v>
      </c>
      <c r="AH5556">
        <v>89511</v>
      </c>
      <c r="AI5556" t="s">
        <v>4903</v>
      </c>
      <c r="AJ5556" t="s">
        <v>4505</v>
      </c>
      <c r="AK5556" t="s">
        <v>27908</v>
      </c>
      <c r="AL5556" s="13" t="s">
        <v>2257</v>
      </c>
      <c r="AM5556">
        <v>1</v>
      </c>
      <c r="AN5556" s="15" t="s">
        <v>982</v>
      </c>
    </row>
    <row r="5557" spans="1:40" x14ac:dyDescent="0.3">
      <c r="A5557" s="10" t="str">
        <f>HYPERLINK("http://www.washoecounty.gov/assessor/cama/?parid=164-321-03&amp;CardNumber=1","164-321-03")</f>
        <v>164-321-03</v>
      </c>
      <c r="B5557" t="s">
        <v>4655</v>
      </c>
      <c r="C5557" t="s">
        <v>27909</v>
      </c>
      <c r="D5557" s="1">
        <v>40340</v>
      </c>
      <c r="E5557" s="2">
        <v>216395</v>
      </c>
      <c r="F5557" t="s">
        <v>4567</v>
      </c>
      <c r="G5557" s="17" t="str">
        <f>HYPERLINK("https://www.washoecounty.gov/assessor/cama/?command=sales&amp;parid=16432103","3891098")</f>
        <v>3891098</v>
      </c>
      <c r="H5557" t="s">
        <v>980</v>
      </c>
      <c r="I5557">
        <v>2001</v>
      </c>
      <c r="J5557">
        <v>2001</v>
      </c>
      <c r="K5557" t="s">
        <v>4554</v>
      </c>
      <c r="L5557" t="s">
        <v>3974</v>
      </c>
      <c r="M5557" s="2">
        <v>1915</v>
      </c>
      <c r="N5557" t="s">
        <v>5280</v>
      </c>
      <c r="O5557">
        <v>3</v>
      </c>
      <c r="P5557">
        <v>2</v>
      </c>
      <c r="Q5557">
        <v>1</v>
      </c>
      <c r="R5557" t="s">
        <v>5281</v>
      </c>
      <c r="S5557" t="s">
        <v>4558</v>
      </c>
      <c r="T5557" t="s">
        <v>4559</v>
      </c>
      <c r="U5557" t="s">
        <v>5631</v>
      </c>
      <c r="V5557" s="2">
        <v>421</v>
      </c>
      <c r="W5557" t="s">
        <v>4655</v>
      </c>
      <c r="X5557" s="2">
        <v>0</v>
      </c>
      <c r="Y5557">
        <v>20</v>
      </c>
      <c r="Z5557" t="s">
        <v>4561</v>
      </c>
      <c r="AA5557" s="3">
        <v>0.16200642287731201</v>
      </c>
      <c r="AB5557" t="s">
        <v>27910</v>
      </c>
      <c r="AC5557" t="s">
        <v>4562</v>
      </c>
      <c r="AD5557" t="s">
        <v>27909</v>
      </c>
      <c r="AE5557" t="s">
        <v>4655</v>
      </c>
      <c r="AF5557" t="s">
        <v>4563</v>
      </c>
      <c r="AG5557" t="s">
        <v>4564</v>
      </c>
      <c r="AH5557">
        <v>89511</v>
      </c>
      <c r="AI5557" t="s">
        <v>27911</v>
      </c>
      <c r="AJ5557" t="s">
        <v>981</v>
      </c>
      <c r="AK5557" t="s">
        <v>27912</v>
      </c>
      <c r="AL5557" s="13" t="s">
        <v>2255</v>
      </c>
      <c r="AM5557">
        <v>1</v>
      </c>
      <c r="AN5557" s="15" t="s">
        <v>982</v>
      </c>
    </row>
    <row r="5558" spans="1:40" x14ac:dyDescent="0.3">
      <c r="A5558" s="10" t="str">
        <f>HYPERLINK("http://www.washoecounty.gov/assessor/cama/?parid=164-321-11&amp;CardNumber=1","164-321-11")</f>
        <v>164-321-11</v>
      </c>
      <c r="B5558" t="s">
        <v>4655</v>
      </c>
      <c r="C5558" t="s">
        <v>27913</v>
      </c>
      <c r="D5558" s="1">
        <v>40261</v>
      </c>
      <c r="E5558" s="2">
        <v>189000</v>
      </c>
      <c r="F5558" t="s">
        <v>4567</v>
      </c>
      <c r="G5558" s="17" t="str">
        <f>HYPERLINK("https://www.washoecounty.gov/assessor/cama/?command=sales&amp;parid=16432111","3863692")</f>
        <v>3863692</v>
      </c>
      <c r="H5558" t="s">
        <v>980</v>
      </c>
      <c r="I5558">
        <v>2001</v>
      </c>
      <c r="J5558">
        <v>2001</v>
      </c>
      <c r="K5558" t="s">
        <v>4554</v>
      </c>
      <c r="L5558" t="s">
        <v>4555</v>
      </c>
      <c r="M5558" s="2">
        <v>1655</v>
      </c>
      <c r="N5558" t="s">
        <v>5280</v>
      </c>
      <c r="O5558">
        <v>3</v>
      </c>
      <c r="P5558">
        <v>2</v>
      </c>
      <c r="Q5558">
        <v>0</v>
      </c>
      <c r="R5558" t="s">
        <v>5281</v>
      </c>
      <c r="S5558" t="s">
        <v>4558</v>
      </c>
      <c r="T5558" t="s">
        <v>4559</v>
      </c>
      <c r="U5558" t="s">
        <v>4560</v>
      </c>
      <c r="V5558" s="2">
        <v>414</v>
      </c>
      <c r="W5558" t="s">
        <v>4655</v>
      </c>
      <c r="X5558" s="2">
        <v>0</v>
      </c>
      <c r="Y5558">
        <v>20</v>
      </c>
      <c r="Z5558" t="s">
        <v>4561</v>
      </c>
      <c r="AA5558" s="3">
        <v>0.13799357414245605</v>
      </c>
      <c r="AB5558" t="s">
        <v>27914</v>
      </c>
      <c r="AC5558" t="s">
        <v>4562</v>
      </c>
      <c r="AD5558" t="s">
        <v>27915</v>
      </c>
      <c r="AE5558" t="s">
        <v>4655</v>
      </c>
      <c r="AF5558" t="s">
        <v>4563</v>
      </c>
      <c r="AG5558" t="s">
        <v>4564</v>
      </c>
      <c r="AH5558">
        <v>89511</v>
      </c>
      <c r="AI5558" t="s">
        <v>27916</v>
      </c>
      <c r="AJ5558" t="s">
        <v>981</v>
      </c>
      <c r="AK5558" t="s">
        <v>27917</v>
      </c>
      <c r="AL5558" s="13" t="s">
        <v>2255</v>
      </c>
      <c r="AM5558" s="14">
        <v>1</v>
      </c>
      <c r="AN5558" s="15" t="s">
        <v>982</v>
      </c>
    </row>
    <row r="5559" spans="1:40" x14ac:dyDescent="0.3">
      <c r="A5559" s="10" t="str">
        <f>HYPERLINK("http://www.washoecounty.gov/assessor/cama/?parid=164-323-01&amp;CardNumber=1","164-323-01")</f>
        <v>164-323-01</v>
      </c>
      <c r="B5559" t="s">
        <v>4655</v>
      </c>
      <c r="C5559" t="s">
        <v>27918</v>
      </c>
      <c r="D5559" s="1">
        <v>40403</v>
      </c>
      <c r="E5559" s="2">
        <v>216000</v>
      </c>
      <c r="F5559" t="s">
        <v>4553</v>
      </c>
      <c r="G5559" s="17" t="str">
        <f>HYPERLINK("https://www.washoecounty.gov/assessor/cama/?command=sales&amp;parid=16432301","3911953")</f>
        <v>3911953</v>
      </c>
      <c r="H5559" t="s">
        <v>980</v>
      </c>
      <c r="I5559">
        <v>2000</v>
      </c>
      <c r="J5559">
        <v>2000</v>
      </c>
      <c r="K5559" t="s">
        <v>4554</v>
      </c>
      <c r="L5559" t="s">
        <v>4555</v>
      </c>
      <c r="M5559" s="2">
        <v>1760</v>
      </c>
      <c r="N5559" t="s">
        <v>5280</v>
      </c>
      <c r="O5559">
        <v>4</v>
      </c>
      <c r="P5559">
        <v>2</v>
      </c>
      <c r="Q5559">
        <v>0</v>
      </c>
      <c r="R5559" t="s">
        <v>5281</v>
      </c>
      <c r="S5559" t="s">
        <v>4558</v>
      </c>
      <c r="T5559" t="s">
        <v>4559</v>
      </c>
      <c r="U5559" t="s">
        <v>4560</v>
      </c>
      <c r="V5559" s="2">
        <v>632</v>
      </c>
      <c r="W5559" t="s">
        <v>4655</v>
      </c>
      <c r="X5559" s="2">
        <v>0</v>
      </c>
      <c r="Y5559">
        <v>20</v>
      </c>
      <c r="Z5559" t="s">
        <v>4561</v>
      </c>
      <c r="AA5559" s="3">
        <v>0.20899908244609799</v>
      </c>
      <c r="AB5559" t="s">
        <v>27919</v>
      </c>
      <c r="AC5559" t="s">
        <v>4562</v>
      </c>
      <c r="AD5559" t="s">
        <v>27918</v>
      </c>
      <c r="AE5559" t="s">
        <v>4655</v>
      </c>
      <c r="AF5559" t="s">
        <v>4563</v>
      </c>
      <c r="AG5559" t="s">
        <v>4564</v>
      </c>
      <c r="AH5559">
        <v>89511</v>
      </c>
      <c r="AI5559" t="s">
        <v>4903</v>
      </c>
      <c r="AJ5559" t="s">
        <v>981</v>
      </c>
      <c r="AK5559" t="s">
        <v>27920</v>
      </c>
      <c r="AL5559" s="13" t="s">
        <v>2255</v>
      </c>
      <c r="AM5559">
        <v>1</v>
      </c>
      <c r="AN5559" s="15" t="s">
        <v>982</v>
      </c>
    </row>
    <row r="5560" spans="1:40" x14ac:dyDescent="0.3">
      <c r="A5560" s="10" t="str">
        <f>HYPERLINK("http://www.washoecounty.gov/assessor/cama/?parid=164-362-09&amp;CardNumber=1","164-362-09")</f>
        <v>164-362-09</v>
      </c>
      <c r="B5560" t="s">
        <v>4655</v>
      </c>
      <c r="C5560" t="s">
        <v>306</v>
      </c>
      <c r="D5560" s="1">
        <v>40428</v>
      </c>
      <c r="E5560" s="2">
        <v>123000</v>
      </c>
      <c r="F5560" t="s">
        <v>4553</v>
      </c>
      <c r="G5560" s="17" t="str">
        <f>HYPERLINK("https://www.washoecounty.gov/assessor/cama/?command=sales&amp;parid=16436209","3919225")</f>
        <v>3919225</v>
      </c>
      <c r="H5560" t="s">
        <v>3125</v>
      </c>
      <c r="I5560">
        <v>2003</v>
      </c>
      <c r="J5560">
        <v>2003</v>
      </c>
      <c r="K5560" t="s">
        <v>4897</v>
      </c>
      <c r="L5560" t="s">
        <v>4555</v>
      </c>
      <c r="M5560" s="2">
        <v>1477</v>
      </c>
      <c r="N5560" t="s">
        <v>3887</v>
      </c>
      <c r="O5560">
        <v>2</v>
      </c>
      <c r="P5560">
        <v>2</v>
      </c>
      <c r="Q5560">
        <v>0</v>
      </c>
      <c r="R5560" t="s">
        <v>5281</v>
      </c>
      <c r="S5560" t="s">
        <v>4898</v>
      </c>
      <c r="T5560" t="s">
        <v>2704</v>
      </c>
      <c r="U5560" t="s">
        <v>5631</v>
      </c>
      <c r="V5560" s="2">
        <v>378</v>
      </c>
      <c r="W5560" t="s">
        <v>4655</v>
      </c>
      <c r="X5560" s="2">
        <v>0</v>
      </c>
      <c r="Y5560">
        <v>21</v>
      </c>
      <c r="Z5560" t="s">
        <v>4144</v>
      </c>
      <c r="AA5560" s="3">
        <v>5.76675832271576E-2</v>
      </c>
      <c r="AB5560" t="s">
        <v>27921</v>
      </c>
      <c r="AC5560" t="s">
        <v>4562</v>
      </c>
      <c r="AD5560" t="s">
        <v>27922</v>
      </c>
      <c r="AE5560" t="s">
        <v>4655</v>
      </c>
      <c r="AF5560" t="s">
        <v>13818</v>
      </c>
      <c r="AG5560" t="s">
        <v>4584</v>
      </c>
      <c r="AH5560" t="s">
        <v>5069</v>
      </c>
      <c r="AI5560" t="s">
        <v>2399</v>
      </c>
      <c r="AJ5560" t="s">
        <v>1009</v>
      </c>
      <c r="AK5560" t="s">
        <v>27923</v>
      </c>
      <c r="AL5560" s="13" t="s">
        <v>2257</v>
      </c>
      <c r="AM5560">
        <v>1</v>
      </c>
      <c r="AN5560" s="15" t="s">
        <v>1010</v>
      </c>
    </row>
    <row r="5561" spans="1:40" x14ac:dyDescent="0.3">
      <c r="A5561" s="10" t="str">
        <f>HYPERLINK("http://www.washoecounty.gov/assessor/cama/?parid=164-362-10&amp;CardNumber=1","164-362-10")</f>
        <v>164-362-10</v>
      </c>
      <c r="B5561" t="s">
        <v>4655</v>
      </c>
      <c r="C5561" t="s">
        <v>3124</v>
      </c>
      <c r="D5561" s="1">
        <v>40359</v>
      </c>
      <c r="E5561" s="2">
        <v>126500</v>
      </c>
      <c r="F5561" t="s">
        <v>4567</v>
      </c>
      <c r="G5561" s="17" t="str">
        <f>HYPERLINK("https://www.washoecounty.gov/assessor/cama/?command=sales&amp;parid=16436210","3897340")</f>
        <v>3897340</v>
      </c>
      <c r="H5561" t="s">
        <v>3125</v>
      </c>
      <c r="I5561">
        <v>2003</v>
      </c>
      <c r="J5561">
        <v>2003</v>
      </c>
      <c r="K5561" t="s">
        <v>4897</v>
      </c>
      <c r="L5561" t="s">
        <v>4555</v>
      </c>
      <c r="M5561" s="2">
        <v>1322</v>
      </c>
      <c r="N5561" t="s">
        <v>3887</v>
      </c>
      <c r="O5561">
        <v>2</v>
      </c>
      <c r="P5561">
        <v>2</v>
      </c>
      <c r="Q5561">
        <v>0</v>
      </c>
      <c r="R5561" t="s">
        <v>5281</v>
      </c>
      <c r="S5561" t="s">
        <v>4898</v>
      </c>
      <c r="T5561" t="s">
        <v>2704</v>
      </c>
      <c r="U5561" t="s">
        <v>5631</v>
      </c>
      <c r="V5561" s="2">
        <v>472</v>
      </c>
      <c r="W5561" t="s">
        <v>4655</v>
      </c>
      <c r="X5561" s="2">
        <v>0</v>
      </c>
      <c r="Y5561">
        <v>21</v>
      </c>
      <c r="Z5561" t="s">
        <v>4144</v>
      </c>
      <c r="AA5561" s="3">
        <v>4.1528925299644498E-2</v>
      </c>
      <c r="AB5561" t="s">
        <v>27924</v>
      </c>
      <c r="AC5561" t="s">
        <v>4562</v>
      </c>
      <c r="AD5561" t="s">
        <v>27925</v>
      </c>
      <c r="AE5561" t="s">
        <v>4655</v>
      </c>
      <c r="AF5561" t="s">
        <v>4563</v>
      </c>
      <c r="AG5561" t="s">
        <v>4564</v>
      </c>
      <c r="AH5561" t="s">
        <v>5197</v>
      </c>
      <c r="AI5561" t="s">
        <v>27926</v>
      </c>
      <c r="AJ5561" t="s">
        <v>1009</v>
      </c>
      <c r="AK5561" t="s">
        <v>27927</v>
      </c>
      <c r="AL5561" s="13" t="s">
        <v>2257</v>
      </c>
      <c r="AM5561" s="14">
        <v>1</v>
      </c>
      <c r="AN5561" s="15" t="s">
        <v>1010</v>
      </c>
    </row>
    <row r="5562" spans="1:40" x14ac:dyDescent="0.3">
      <c r="A5562" s="10" t="str">
        <f>HYPERLINK("http://www.washoecounty.gov/assessor/cama/?parid=164-362-43&amp;CardNumber=1","164-362-43")</f>
        <v>164-362-43</v>
      </c>
      <c r="B5562" t="s">
        <v>4655</v>
      </c>
      <c r="C5562" t="s">
        <v>306</v>
      </c>
      <c r="D5562" s="1">
        <v>40288</v>
      </c>
      <c r="E5562" s="2">
        <v>129000</v>
      </c>
      <c r="F5562" t="s">
        <v>4567</v>
      </c>
      <c r="G5562" s="17" t="str">
        <f>HYPERLINK("https://www.washoecounty.gov/assessor/cama/?command=sales&amp;parid=16436243","3872935")</f>
        <v>3872935</v>
      </c>
      <c r="H5562" t="s">
        <v>3125</v>
      </c>
      <c r="I5562">
        <v>2003</v>
      </c>
      <c r="J5562">
        <v>2003</v>
      </c>
      <c r="K5562" t="s">
        <v>4897</v>
      </c>
      <c r="L5562" t="s">
        <v>4555</v>
      </c>
      <c r="M5562" s="2">
        <v>1340</v>
      </c>
      <c r="N5562" t="s">
        <v>3887</v>
      </c>
      <c r="O5562">
        <v>2</v>
      </c>
      <c r="P5562">
        <v>2</v>
      </c>
      <c r="Q5562">
        <v>0</v>
      </c>
      <c r="R5562" t="s">
        <v>5281</v>
      </c>
      <c r="S5562" t="s">
        <v>4898</v>
      </c>
      <c r="T5562" t="s">
        <v>2704</v>
      </c>
      <c r="U5562" t="s">
        <v>5631</v>
      </c>
      <c r="V5562" s="2">
        <v>512</v>
      </c>
      <c r="W5562" t="s">
        <v>4655</v>
      </c>
      <c r="X5562" s="2">
        <v>0</v>
      </c>
      <c r="Y5562">
        <v>21</v>
      </c>
      <c r="Z5562" t="s">
        <v>4144</v>
      </c>
      <c r="AA5562" s="3">
        <v>5.3925618529319798E-2</v>
      </c>
      <c r="AB5562" t="s">
        <v>27928</v>
      </c>
      <c r="AC5562" t="s">
        <v>4562</v>
      </c>
      <c r="AD5562" t="s">
        <v>27929</v>
      </c>
      <c r="AE5562" t="s">
        <v>4655</v>
      </c>
      <c r="AF5562" t="s">
        <v>27930</v>
      </c>
      <c r="AG5562" t="s">
        <v>5204</v>
      </c>
      <c r="AH5562">
        <v>60564</v>
      </c>
      <c r="AI5562" t="s">
        <v>27931</v>
      </c>
      <c r="AJ5562" t="s">
        <v>1009</v>
      </c>
      <c r="AK5562" t="s">
        <v>27932</v>
      </c>
      <c r="AL5562" s="13" t="s">
        <v>2257</v>
      </c>
      <c r="AM5562" s="14">
        <v>1</v>
      </c>
      <c r="AN5562" s="15" t="s">
        <v>1010</v>
      </c>
    </row>
    <row r="5563" spans="1:40" x14ac:dyDescent="0.3">
      <c r="A5563" s="10" t="str">
        <f>HYPERLINK("http://www.washoecounty.gov/assessor/cama/?parid=164-362-46&amp;CardNumber=1","164-362-46")</f>
        <v>164-362-46</v>
      </c>
      <c r="B5563" t="s">
        <v>4655</v>
      </c>
      <c r="C5563" t="s">
        <v>306</v>
      </c>
      <c r="D5563" s="1">
        <v>40542</v>
      </c>
      <c r="E5563" s="2">
        <v>80000</v>
      </c>
      <c r="F5563" t="s">
        <v>4553</v>
      </c>
      <c r="G5563" s="17" t="str">
        <f>HYPERLINK("https://www.washoecounty.gov/assessor/cama/?command=sales&amp;parid=16436246","3959075")</f>
        <v>3959075</v>
      </c>
      <c r="H5563" t="s">
        <v>4439</v>
      </c>
      <c r="I5563">
        <v>2003</v>
      </c>
      <c r="J5563">
        <v>2003</v>
      </c>
      <c r="K5563" t="s">
        <v>3144</v>
      </c>
      <c r="L5563" t="s">
        <v>4555</v>
      </c>
      <c r="M5563" s="2">
        <v>1033</v>
      </c>
      <c r="N5563" t="s">
        <v>3887</v>
      </c>
      <c r="O5563">
        <v>1</v>
      </c>
      <c r="P5563">
        <v>1</v>
      </c>
      <c r="Q5563">
        <v>0</v>
      </c>
      <c r="R5563" t="s">
        <v>5281</v>
      </c>
      <c r="S5563" t="s">
        <v>4898</v>
      </c>
      <c r="T5563" t="s">
        <v>2704</v>
      </c>
      <c r="U5563" t="s">
        <v>5631</v>
      </c>
      <c r="V5563" s="2">
        <v>242</v>
      </c>
      <c r="W5563" t="s">
        <v>4655</v>
      </c>
      <c r="X5563" s="2">
        <v>0</v>
      </c>
      <c r="Y5563">
        <v>21</v>
      </c>
      <c r="Z5563" t="s">
        <v>4144</v>
      </c>
      <c r="AA5563" s="3">
        <v>4.0358126163482701E-2</v>
      </c>
      <c r="AB5563" t="s">
        <v>27933</v>
      </c>
      <c r="AC5563" t="s">
        <v>4562</v>
      </c>
      <c r="AD5563" t="s">
        <v>27934</v>
      </c>
      <c r="AE5563" t="s">
        <v>4655</v>
      </c>
      <c r="AF5563" t="s">
        <v>4563</v>
      </c>
      <c r="AG5563" t="s">
        <v>4564</v>
      </c>
      <c r="AH5563" t="s">
        <v>5197</v>
      </c>
      <c r="AI5563" t="s">
        <v>4903</v>
      </c>
      <c r="AJ5563" t="s">
        <v>1009</v>
      </c>
      <c r="AK5563" t="s">
        <v>27935</v>
      </c>
      <c r="AL5563" s="13" t="s">
        <v>2257</v>
      </c>
      <c r="AM5563">
        <v>1</v>
      </c>
      <c r="AN5563" s="15" t="s">
        <v>1010</v>
      </c>
    </row>
    <row r="5564" spans="1:40" x14ac:dyDescent="0.3">
      <c r="A5564" s="10" t="str">
        <f>HYPERLINK("http://www.washoecounty.gov/assessor/cama/?parid=164-362-49&amp;CardNumber=1","164-362-49")</f>
        <v>164-362-49</v>
      </c>
      <c r="B5564" t="s">
        <v>4655</v>
      </c>
      <c r="C5564" t="s">
        <v>306</v>
      </c>
      <c r="D5564" s="1">
        <v>40379</v>
      </c>
      <c r="E5564" s="2">
        <v>122000</v>
      </c>
      <c r="F5564" t="s">
        <v>4553</v>
      </c>
      <c r="G5564" s="17" t="str">
        <f>HYPERLINK("https://www.washoecounty.gov/assessor/cama/?command=sales&amp;parid=16436249","3902922")</f>
        <v>3902922</v>
      </c>
      <c r="H5564" t="s">
        <v>3125</v>
      </c>
      <c r="I5564">
        <v>2003</v>
      </c>
      <c r="J5564">
        <v>2003</v>
      </c>
      <c r="K5564" t="s">
        <v>4897</v>
      </c>
      <c r="L5564" t="s">
        <v>4555</v>
      </c>
      <c r="M5564" s="2">
        <v>1340</v>
      </c>
      <c r="N5564" t="s">
        <v>3887</v>
      </c>
      <c r="O5564">
        <v>2</v>
      </c>
      <c r="P5564">
        <v>2</v>
      </c>
      <c r="Q5564">
        <v>0</v>
      </c>
      <c r="R5564" t="s">
        <v>5281</v>
      </c>
      <c r="S5564" t="s">
        <v>4898</v>
      </c>
      <c r="T5564" t="s">
        <v>2704</v>
      </c>
      <c r="U5564" t="s">
        <v>5631</v>
      </c>
      <c r="V5564" s="2">
        <v>512</v>
      </c>
      <c r="W5564" t="s">
        <v>4655</v>
      </c>
      <c r="X5564" s="2">
        <v>0</v>
      </c>
      <c r="Y5564">
        <v>21</v>
      </c>
      <c r="Z5564" t="s">
        <v>4144</v>
      </c>
      <c r="AA5564" s="3">
        <v>5.3925618529319798E-2</v>
      </c>
      <c r="AB5564" t="s">
        <v>27936</v>
      </c>
      <c r="AC5564" t="s">
        <v>4575</v>
      </c>
      <c r="AD5564" t="s">
        <v>27937</v>
      </c>
      <c r="AE5564" t="s">
        <v>27938</v>
      </c>
      <c r="AF5564" t="s">
        <v>27939</v>
      </c>
      <c r="AG5564" t="s">
        <v>4584</v>
      </c>
      <c r="AH5564">
        <v>93901</v>
      </c>
      <c r="AI5564" t="s">
        <v>27940</v>
      </c>
      <c r="AJ5564" t="s">
        <v>1009</v>
      </c>
      <c r="AK5564" t="s">
        <v>27941</v>
      </c>
      <c r="AL5564" s="13" t="s">
        <v>2257</v>
      </c>
      <c r="AM5564" s="14">
        <v>1</v>
      </c>
      <c r="AN5564" s="15" t="s">
        <v>1010</v>
      </c>
    </row>
    <row r="5565" spans="1:40" x14ac:dyDescent="0.3">
      <c r="A5565" s="10" t="str">
        <f>HYPERLINK("http://www.washoecounty.gov/assessor/cama/?parid=164-362-53&amp;CardNumber=1","164-362-53")</f>
        <v>164-362-53</v>
      </c>
      <c r="B5565" t="s">
        <v>4655</v>
      </c>
      <c r="C5565" t="s">
        <v>3124</v>
      </c>
      <c r="D5565" s="1">
        <v>40204</v>
      </c>
      <c r="E5565" s="2">
        <v>99000</v>
      </c>
      <c r="F5565" t="s">
        <v>4553</v>
      </c>
      <c r="G5565" s="17" t="str">
        <f>HYPERLINK("https://www.washoecounty.gov/assessor/cama/?command=sales&amp;parid=16436253","3842750")</f>
        <v>3842750</v>
      </c>
      <c r="H5565" t="s">
        <v>3125</v>
      </c>
      <c r="I5565">
        <v>2003</v>
      </c>
      <c r="J5565">
        <v>2003</v>
      </c>
      <c r="K5565" t="s">
        <v>3144</v>
      </c>
      <c r="L5565" t="s">
        <v>4555</v>
      </c>
      <c r="M5565" s="2">
        <v>1033</v>
      </c>
      <c r="N5565" t="s">
        <v>3887</v>
      </c>
      <c r="O5565">
        <v>1</v>
      </c>
      <c r="P5565">
        <v>1</v>
      </c>
      <c r="Q5565">
        <v>0</v>
      </c>
      <c r="R5565" t="s">
        <v>5281</v>
      </c>
      <c r="S5565" t="s">
        <v>4898</v>
      </c>
      <c r="T5565" t="s">
        <v>2704</v>
      </c>
      <c r="U5565" t="s">
        <v>5631</v>
      </c>
      <c r="V5565" s="2">
        <v>242</v>
      </c>
      <c r="W5565" t="s">
        <v>4655</v>
      </c>
      <c r="X5565" s="2">
        <v>0</v>
      </c>
      <c r="Y5565">
        <v>21</v>
      </c>
      <c r="Z5565" t="s">
        <v>4144</v>
      </c>
      <c r="AA5565" s="3">
        <v>4.0358126163482701E-2</v>
      </c>
      <c r="AB5565" t="s">
        <v>27942</v>
      </c>
      <c r="AC5565" t="s">
        <v>4562</v>
      </c>
      <c r="AD5565" t="s">
        <v>27943</v>
      </c>
      <c r="AE5565" t="s">
        <v>4655</v>
      </c>
      <c r="AF5565" t="s">
        <v>4563</v>
      </c>
      <c r="AG5565" t="s">
        <v>4564</v>
      </c>
      <c r="AH5565" t="s">
        <v>5197</v>
      </c>
      <c r="AI5565" t="s">
        <v>4565</v>
      </c>
      <c r="AJ5565" t="s">
        <v>1009</v>
      </c>
      <c r="AK5565" t="s">
        <v>27944</v>
      </c>
      <c r="AL5565" s="13" t="s">
        <v>2257</v>
      </c>
      <c r="AM5565" s="14">
        <v>1</v>
      </c>
      <c r="AN5565" s="15" t="s">
        <v>1010</v>
      </c>
    </row>
    <row r="5566" spans="1:40" x14ac:dyDescent="0.3">
      <c r="A5566" s="10" t="str">
        <f>HYPERLINK("http://www.washoecounty.gov/assessor/cama/?parid=164-363-15&amp;CardNumber=1","164-363-15")</f>
        <v>164-363-15</v>
      </c>
      <c r="B5566" t="s">
        <v>4655</v>
      </c>
      <c r="C5566" t="s">
        <v>306</v>
      </c>
      <c r="D5566" s="1">
        <v>40200</v>
      </c>
      <c r="E5566" s="2">
        <v>134000</v>
      </c>
      <c r="F5566" t="s">
        <v>4553</v>
      </c>
      <c r="G5566" s="17" t="str">
        <f>HYPERLINK("https://www.washoecounty.gov/assessor/cama/?command=sales&amp;parid=16436315","3842116")</f>
        <v>3842116</v>
      </c>
      <c r="H5566" t="s">
        <v>3125</v>
      </c>
      <c r="I5566">
        <v>2003</v>
      </c>
      <c r="J5566">
        <v>2003</v>
      </c>
      <c r="K5566" t="s">
        <v>4897</v>
      </c>
      <c r="L5566" t="s">
        <v>4555</v>
      </c>
      <c r="M5566" s="2">
        <v>1340</v>
      </c>
      <c r="N5566" t="s">
        <v>3887</v>
      </c>
      <c r="O5566">
        <v>2</v>
      </c>
      <c r="P5566">
        <v>2</v>
      </c>
      <c r="Q5566">
        <v>0</v>
      </c>
      <c r="R5566" t="s">
        <v>5281</v>
      </c>
      <c r="S5566" t="s">
        <v>4898</v>
      </c>
      <c r="T5566" t="s">
        <v>2704</v>
      </c>
      <c r="U5566" t="s">
        <v>5631</v>
      </c>
      <c r="V5566" s="2">
        <v>512</v>
      </c>
      <c r="W5566" t="s">
        <v>4655</v>
      </c>
      <c r="X5566" s="2">
        <v>0</v>
      </c>
      <c r="Y5566">
        <v>21</v>
      </c>
      <c r="Z5566" t="s">
        <v>4144</v>
      </c>
      <c r="AA5566" s="3">
        <v>5.3925618529319798E-2</v>
      </c>
      <c r="AB5566" t="s">
        <v>27945</v>
      </c>
      <c r="AC5566" t="s">
        <v>4562</v>
      </c>
      <c r="AD5566" t="s">
        <v>27946</v>
      </c>
      <c r="AE5566" t="s">
        <v>4655</v>
      </c>
      <c r="AF5566" t="s">
        <v>4563</v>
      </c>
      <c r="AG5566" t="s">
        <v>4564</v>
      </c>
      <c r="AH5566" t="s">
        <v>5197</v>
      </c>
      <c r="AI5566" t="s">
        <v>9067</v>
      </c>
      <c r="AJ5566" t="s">
        <v>1009</v>
      </c>
      <c r="AK5566" t="s">
        <v>27947</v>
      </c>
      <c r="AL5566" s="13" t="s">
        <v>2257</v>
      </c>
      <c r="AM5566" s="14">
        <v>1</v>
      </c>
      <c r="AN5566" s="15" t="s">
        <v>1010</v>
      </c>
    </row>
    <row r="5567" spans="1:40" x14ac:dyDescent="0.3">
      <c r="A5567" s="10" t="str">
        <f>HYPERLINK("http://www.washoecounty.gov/assessor/cama/?parid=164-363-20&amp;CardNumber=1","164-363-20")</f>
        <v>164-363-20</v>
      </c>
      <c r="B5567" t="s">
        <v>4655</v>
      </c>
      <c r="C5567" t="s">
        <v>306</v>
      </c>
      <c r="D5567" s="1">
        <v>40288</v>
      </c>
      <c r="E5567" s="2">
        <v>132500</v>
      </c>
      <c r="F5567" t="s">
        <v>4553</v>
      </c>
      <c r="G5567" s="17" t="str">
        <f>HYPERLINK("https://www.washoecounty.gov/assessor/cama/?command=sales&amp;parid=16436320","3872968")</f>
        <v>3872968</v>
      </c>
      <c r="H5567" t="s">
        <v>3125</v>
      </c>
      <c r="I5567">
        <v>2003</v>
      </c>
      <c r="J5567">
        <v>2003</v>
      </c>
      <c r="K5567" t="s">
        <v>4897</v>
      </c>
      <c r="L5567" t="s">
        <v>4555</v>
      </c>
      <c r="M5567" s="2">
        <v>1477</v>
      </c>
      <c r="N5567" t="s">
        <v>3887</v>
      </c>
      <c r="O5567">
        <v>2</v>
      </c>
      <c r="P5567">
        <v>2</v>
      </c>
      <c r="Q5567">
        <v>0</v>
      </c>
      <c r="R5567" t="s">
        <v>5281</v>
      </c>
      <c r="S5567" t="s">
        <v>4898</v>
      </c>
      <c r="T5567" t="s">
        <v>2704</v>
      </c>
      <c r="U5567" t="s">
        <v>5631</v>
      </c>
      <c r="V5567" s="2">
        <v>378</v>
      </c>
      <c r="W5567" t="s">
        <v>4655</v>
      </c>
      <c r="X5567" s="2">
        <v>0</v>
      </c>
      <c r="Y5567">
        <v>21</v>
      </c>
      <c r="Z5567" t="s">
        <v>4144</v>
      </c>
      <c r="AA5567" s="3">
        <v>5.76675832271576E-2</v>
      </c>
      <c r="AB5567" t="s">
        <v>27948</v>
      </c>
      <c r="AC5567" t="s">
        <v>4562</v>
      </c>
      <c r="AD5567" t="s">
        <v>27949</v>
      </c>
      <c r="AE5567" t="s">
        <v>4655</v>
      </c>
      <c r="AF5567" t="s">
        <v>27950</v>
      </c>
      <c r="AG5567" t="s">
        <v>4584</v>
      </c>
      <c r="AH5567" t="s">
        <v>27951</v>
      </c>
      <c r="AI5567" t="s">
        <v>4565</v>
      </c>
      <c r="AJ5567" t="s">
        <v>1009</v>
      </c>
      <c r="AK5567" t="s">
        <v>27952</v>
      </c>
      <c r="AL5567" s="13" t="s">
        <v>2257</v>
      </c>
      <c r="AM5567">
        <v>1</v>
      </c>
      <c r="AN5567" s="15" t="s">
        <v>1010</v>
      </c>
    </row>
    <row r="5568" spans="1:40" x14ac:dyDescent="0.3">
      <c r="A5568" s="10" t="str">
        <f>HYPERLINK("http://www.washoecounty.gov/assessor/cama/?parid=164-363-32&amp;CardNumber=1","164-363-32")</f>
        <v>164-363-32</v>
      </c>
      <c r="B5568" t="s">
        <v>4655</v>
      </c>
      <c r="C5568" t="s">
        <v>306</v>
      </c>
      <c r="D5568" s="1">
        <v>40396</v>
      </c>
      <c r="E5568" s="2">
        <v>95000</v>
      </c>
      <c r="F5568" t="s">
        <v>4553</v>
      </c>
      <c r="G5568" s="17" t="str">
        <f>HYPERLINK("https://www.washoecounty.gov/assessor/cama/?command=sales&amp;parid=16436332","3909472")</f>
        <v>3909472</v>
      </c>
      <c r="H5568" t="s">
        <v>3125</v>
      </c>
      <c r="I5568">
        <v>2003</v>
      </c>
      <c r="J5568">
        <v>2003</v>
      </c>
      <c r="K5568" t="s">
        <v>3144</v>
      </c>
      <c r="L5568" t="s">
        <v>4555</v>
      </c>
      <c r="M5568" s="2">
        <v>1033</v>
      </c>
      <c r="N5568" t="s">
        <v>3887</v>
      </c>
      <c r="O5568">
        <v>1</v>
      </c>
      <c r="P5568">
        <v>1</v>
      </c>
      <c r="Q5568">
        <v>0</v>
      </c>
      <c r="R5568" t="s">
        <v>5281</v>
      </c>
      <c r="S5568" t="s">
        <v>4898</v>
      </c>
      <c r="T5568" t="s">
        <v>2704</v>
      </c>
      <c r="U5568" t="s">
        <v>5631</v>
      </c>
      <c r="V5568" s="2">
        <v>242</v>
      </c>
      <c r="W5568" t="s">
        <v>4655</v>
      </c>
      <c r="X5568" s="2">
        <v>0</v>
      </c>
      <c r="Y5568">
        <v>21</v>
      </c>
      <c r="Z5568" t="s">
        <v>4144</v>
      </c>
      <c r="AA5568" s="3">
        <v>4.0358126163482701E-2</v>
      </c>
      <c r="AB5568" t="s">
        <v>27953</v>
      </c>
      <c r="AC5568" t="s">
        <v>4562</v>
      </c>
      <c r="AD5568" t="s">
        <v>27954</v>
      </c>
      <c r="AE5568" t="s">
        <v>4655</v>
      </c>
      <c r="AF5568" t="s">
        <v>4563</v>
      </c>
      <c r="AG5568" t="s">
        <v>4564</v>
      </c>
      <c r="AH5568" t="s">
        <v>5197</v>
      </c>
      <c r="AI5568" t="s">
        <v>4903</v>
      </c>
      <c r="AJ5568" t="s">
        <v>1009</v>
      </c>
      <c r="AK5568" t="s">
        <v>27955</v>
      </c>
      <c r="AL5568" s="13" t="s">
        <v>2257</v>
      </c>
      <c r="AM5568" s="14">
        <v>1</v>
      </c>
      <c r="AN5568" s="15" t="s">
        <v>1010</v>
      </c>
    </row>
    <row r="5569" spans="1:40" x14ac:dyDescent="0.3">
      <c r="A5569" s="10" t="str">
        <f>HYPERLINK("http://www.washoecounty.gov/assessor/cama/?parid=164-363-37&amp;CardNumber=1","164-363-37")</f>
        <v>164-363-37</v>
      </c>
      <c r="B5569" t="s">
        <v>4655</v>
      </c>
      <c r="C5569" t="s">
        <v>306</v>
      </c>
      <c r="D5569" s="1">
        <v>40212</v>
      </c>
      <c r="E5569" s="2">
        <v>129000</v>
      </c>
      <c r="F5569" t="s">
        <v>4567</v>
      </c>
      <c r="G5569" s="17" t="str">
        <f>HYPERLINK("https://www.washoecounty.gov/assessor/cama/?command=sales&amp;parid=16436337","3845684")</f>
        <v>3845684</v>
      </c>
      <c r="H5569" t="s">
        <v>3125</v>
      </c>
      <c r="I5569">
        <v>2003</v>
      </c>
      <c r="J5569">
        <v>2003</v>
      </c>
      <c r="K5569" t="s">
        <v>4897</v>
      </c>
      <c r="L5569" t="s">
        <v>4555</v>
      </c>
      <c r="M5569" s="2">
        <v>1477</v>
      </c>
      <c r="N5569" t="s">
        <v>3887</v>
      </c>
      <c r="O5569">
        <v>2</v>
      </c>
      <c r="P5569">
        <v>2</v>
      </c>
      <c r="Q5569">
        <v>0</v>
      </c>
      <c r="R5569" t="s">
        <v>5281</v>
      </c>
      <c r="S5569" t="s">
        <v>4898</v>
      </c>
      <c r="T5569" t="s">
        <v>2704</v>
      </c>
      <c r="U5569" t="s">
        <v>5631</v>
      </c>
      <c r="V5569" s="2">
        <v>378</v>
      </c>
      <c r="W5569" t="s">
        <v>4655</v>
      </c>
      <c r="X5569" s="2">
        <v>0</v>
      </c>
      <c r="Y5569">
        <v>21</v>
      </c>
      <c r="Z5569" t="s">
        <v>4144</v>
      </c>
      <c r="AA5569" s="3">
        <v>5.76675832271576E-2</v>
      </c>
      <c r="AB5569" t="s">
        <v>27956</v>
      </c>
      <c r="AC5569" t="s">
        <v>4562</v>
      </c>
      <c r="AD5569" t="s">
        <v>27957</v>
      </c>
      <c r="AE5569" t="s">
        <v>4655</v>
      </c>
      <c r="AF5569" t="s">
        <v>4563</v>
      </c>
      <c r="AG5569" t="s">
        <v>4564</v>
      </c>
      <c r="AH5569" t="s">
        <v>5197</v>
      </c>
      <c r="AI5569" t="s">
        <v>4655</v>
      </c>
      <c r="AJ5569" t="s">
        <v>1009</v>
      </c>
      <c r="AK5569" t="s">
        <v>27958</v>
      </c>
      <c r="AL5569" s="13" t="s">
        <v>2257</v>
      </c>
      <c r="AM5569">
        <v>1</v>
      </c>
      <c r="AN5569" s="15" t="s">
        <v>1010</v>
      </c>
    </row>
    <row r="5570" spans="1:40" x14ac:dyDescent="0.3">
      <c r="A5570" s="10" t="str">
        <f>HYPERLINK("http://www.washoecounty.gov/assessor/cama/?parid=164-363-54&amp;CardNumber=1","164-363-54")</f>
        <v>164-363-54</v>
      </c>
      <c r="B5570" t="s">
        <v>4655</v>
      </c>
      <c r="C5570" t="s">
        <v>306</v>
      </c>
      <c r="D5570" s="1">
        <v>40512</v>
      </c>
      <c r="E5570" s="2">
        <v>113500</v>
      </c>
      <c r="F5570" t="s">
        <v>4553</v>
      </c>
      <c r="G5570" s="17" t="str">
        <f>HYPERLINK("https://www.washoecounty.gov/assessor/cama/?command=sales&amp;parid=16436354","3947864")</f>
        <v>3947864</v>
      </c>
      <c r="H5570" t="s">
        <v>3125</v>
      </c>
      <c r="I5570">
        <v>2003</v>
      </c>
      <c r="J5570">
        <v>2003</v>
      </c>
      <c r="K5570" t="s">
        <v>4897</v>
      </c>
      <c r="L5570" t="s">
        <v>4555</v>
      </c>
      <c r="M5570" s="2">
        <v>1322</v>
      </c>
      <c r="N5570" t="s">
        <v>3887</v>
      </c>
      <c r="O5570">
        <v>2</v>
      </c>
      <c r="P5570">
        <v>2</v>
      </c>
      <c r="Q5570">
        <v>0</v>
      </c>
      <c r="R5570" t="s">
        <v>5281</v>
      </c>
      <c r="S5570" t="s">
        <v>4898</v>
      </c>
      <c r="T5570" t="s">
        <v>2704</v>
      </c>
      <c r="U5570" t="s">
        <v>5631</v>
      </c>
      <c r="V5570" s="2">
        <v>472</v>
      </c>
      <c r="W5570" t="s">
        <v>4655</v>
      </c>
      <c r="X5570" s="2">
        <v>0</v>
      </c>
      <c r="Y5570">
        <v>21</v>
      </c>
      <c r="Z5570" t="s">
        <v>4144</v>
      </c>
      <c r="AA5570" s="3">
        <v>4.1528925299644498E-2</v>
      </c>
      <c r="AB5570" t="s">
        <v>27959</v>
      </c>
      <c r="AC5570" t="s">
        <v>4562</v>
      </c>
      <c r="AD5570" t="s">
        <v>27960</v>
      </c>
      <c r="AE5570" t="s">
        <v>4655</v>
      </c>
      <c r="AF5570" t="s">
        <v>4563</v>
      </c>
      <c r="AG5570" t="s">
        <v>4564</v>
      </c>
      <c r="AH5570" t="s">
        <v>5197</v>
      </c>
      <c r="AI5570" t="s">
        <v>2399</v>
      </c>
      <c r="AJ5570" t="s">
        <v>1009</v>
      </c>
      <c r="AK5570" t="s">
        <v>27961</v>
      </c>
      <c r="AL5570" s="13" t="s">
        <v>2257</v>
      </c>
      <c r="AM5570">
        <v>1</v>
      </c>
      <c r="AN5570" s="15" t="s">
        <v>1010</v>
      </c>
    </row>
    <row r="5571" spans="1:40" x14ac:dyDescent="0.3">
      <c r="A5571" s="10" t="str">
        <f>HYPERLINK("http://www.washoecounty.gov/assessor/cama/?parid=164-401-07&amp;CardNumber=1","164-401-07")</f>
        <v>164-401-07</v>
      </c>
      <c r="B5571" t="s">
        <v>4655</v>
      </c>
      <c r="C5571" t="s">
        <v>27962</v>
      </c>
      <c r="D5571" s="1">
        <v>40359</v>
      </c>
      <c r="E5571" s="2">
        <v>824000</v>
      </c>
      <c r="F5571" t="s">
        <v>3259</v>
      </c>
      <c r="G5571" s="17" t="str">
        <f>HYPERLINK("https://www.washoecounty.gov/assessor/cama/?command=sales&amp;parid=16440107","3897012")</f>
        <v>3897012</v>
      </c>
      <c r="H5571" t="s">
        <v>27963</v>
      </c>
      <c r="I5571">
        <v>2005</v>
      </c>
      <c r="J5571">
        <v>2005</v>
      </c>
      <c r="K5571" t="s">
        <v>3919</v>
      </c>
      <c r="L5571" t="s">
        <v>1366</v>
      </c>
      <c r="M5571" s="2">
        <v>4222</v>
      </c>
      <c r="N5571" t="s">
        <v>4580</v>
      </c>
      <c r="O5571">
        <v>0</v>
      </c>
      <c r="P5571">
        <v>0</v>
      </c>
      <c r="Q5571">
        <v>0</v>
      </c>
      <c r="R5571" t="s">
        <v>1395</v>
      </c>
      <c r="S5571" t="s">
        <v>2054</v>
      </c>
      <c r="T5571" t="s">
        <v>4655</v>
      </c>
      <c r="U5571" t="s">
        <v>4655</v>
      </c>
      <c r="V5571" s="2">
        <v>0</v>
      </c>
      <c r="W5571" t="s">
        <v>4655</v>
      </c>
      <c r="X5571" s="2">
        <v>0</v>
      </c>
      <c r="Y5571">
        <v>41</v>
      </c>
      <c r="Z5571" t="s">
        <v>1397</v>
      </c>
      <c r="AA5571" s="3">
        <v>0.116069786250591</v>
      </c>
      <c r="AB5571" t="s">
        <v>27964</v>
      </c>
      <c r="AC5571" t="s">
        <v>4562</v>
      </c>
      <c r="AD5571" t="s">
        <v>27965</v>
      </c>
      <c r="AE5571" t="s">
        <v>4655</v>
      </c>
      <c r="AF5571" t="s">
        <v>4563</v>
      </c>
      <c r="AG5571" t="s">
        <v>4564</v>
      </c>
      <c r="AH5571">
        <v>89511</v>
      </c>
      <c r="AI5571" t="s">
        <v>27966</v>
      </c>
      <c r="AJ5571" t="s">
        <v>27967</v>
      </c>
      <c r="AK5571" t="s">
        <v>27968</v>
      </c>
      <c r="AL5571" s="13" t="s">
        <v>2255</v>
      </c>
      <c r="AM5571">
        <v>0</v>
      </c>
      <c r="AN5571" s="15" t="s">
        <v>1820</v>
      </c>
    </row>
    <row r="5572" spans="1:40" x14ac:dyDescent="0.3">
      <c r="A5572" s="10" t="str">
        <f>HYPERLINK("http://www.washoecounty.gov/assessor/cama/?parid=164-421-17&amp;CardNumber=1","164-421-17")</f>
        <v>164-421-17</v>
      </c>
      <c r="B5572" t="s">
        <v>4655</v>
      </c>
      <c r="C5572" t="s">
        <v>27969</v>
      </c>
      <c r="D5572" s="1">
        <v>40359</v>
      </c>
      <c r="E5572" s="2">
        <v>1206887</v>
      </c>
      <c r="F5572" t="s">
        <v>2900</v>
      </c>
      <c r="G5572" s="17" t="str">
        <f>HYPERLINK("https://www.washoecounty.gov/assessor/cama/?command=sales&amp;parid=16442117","3897187")</f>
        <v>3897187</v>
      </c>
      <c r="H5572" t="s">
        <v>1206</v>
      </c>
      <c r="I5572">
        <v>2006</v>
      </c>
      <c r="J5572">
        <v>2006</v>
      </c>
      <c r="K5572" t="s">
        <v>3919</v>
      </c>
      <c r="L5572" t="s">
        <v>1366</v>
      </c>
      <c r="M5572" s="2">
        <v>3010</v>
      </c>
      <c r="N5572" t="s">
        <v>4580</v>
      </c>
      <c r="O5572">
        <v>0</v>
      </c>
      <c r="P5572">
        <v>0</v>
      </c>
      <c r="Q5572">
        <v>0</v>
      </c>
      <c r="R5572" t="s">
        <v>1395</v>
      </c>
      <c r="S5572" t="s">
        <v>2054</v>
      </c>
      <c r="T5572" t="s">
        <v>4655</v>
      </c>
      <c r="U5572" t="s">
        <v>4655</v>
      </c>
      <c r="V5572" s="2">
        <v>0</v>
      </c>
      <c r="W5572" t="s">
        <v>4655</v>
      </c>
      <c r="X5572" s="2">
        <v>0</v>
      </c>
      <c r="Y5572">
        <v>41</v>
      </c>
      <c r="Z5572" t="s">
        <v>1397</v>
      </c>
      <c r="AA5572" s="3">
        <v>9.3847565352916704E-2</v>
      </c>
      <c r="AB5572" t="s">
        <v>27970</v>
      </c>
      <c r="AC5572" t="s">
        <v>4562</v>
      </c>
      <c r="AD5572" t="s">
        <v>27971</v>
      </c>
      <c r="AE5572" t="s">
        <v>4655</v>
      </c>
      <c r="AF5572" t="s">
        <v>5206</v>
      </c>
      <c r="AG5572" t="s">
        <v>4564</v>
      </c>
      <c r="AH5572" t="s">
        <v>5275</v>
      </c>
      <c r="AI5572" t="s">
        <v>27972</v>
      </c>
      <c r="AJ5572" t="s">
        <v>27973</v>
      </c>
      <c r="AK5572" t="s">
        <v>27974</v>
      </c>
      <c r="AL5572" s="13" t="s">
        <v>2255</v>
      </c>
      <c r="AM5572">
        <v>1</v>
      </c>
      <c r="AN5572" s="15" t="s">
        <v>1820</v>
      </c>
    </row>
    <row r="5573" spans="1:40" x14ac:dyDescent="0.3">
      <c r="A5573" s="10" t="str">
        <f>HYPERLINK("http://www.washoecounty.gov/assessor/cama/?parid=164-421-18&amp;CardNumber=1","164-421-18")</f>
        <v>164-421-18</v>
      </c>
      <c r="B5573" t="s">
        <v>4655</v>
      </c>
      <c r="C5573" t="s">
        <v>27975</v>
      </c>
      <c r="D5573" s="1">
        <v>40359</v>
      </c>
      <c r="E5573" s="2">
        <v>1206887</v>
      </c>
      <c r="F5573" t="s">
        <v>2900</v>
      </c>
      <c r="G5573" s="17" t="str">
        <f>HYPERLINK("https://www.washoecounty.gov/assessor/cama/?command=sales&amp;parid=16442118","3897187")</f>
        <v>3897187</v>
      </c>
      <c r="H5573" t="s">
        <v>1206</v>
      </c>
      <c r="I5573">
        <v>2006</v>
      </c>
      <c r="J5573">
        <v>2006</v>
      </c>
      <c r="K5573" t="s">
        <v>3919</v>
      </c>
      <c r="L5573" t="s">
        <v>1366</v>
      </c>
      <c r="M5573" s="2">
        <v>2942</v>
      </c>
      <c r="N5573" t="s">
        <v>4580</v>
      </c>
      <c r="O5573">
        <v>0</v>
      </c>
      <c r="P5573">
        <v>0</v>
      </c>
      <c r="Q5573">
        <v>0</v>
      </c>
      <c r="R5573" t="s">
        <v>1395</v>
      </c>
      <c r="S5573" t="s">
        <v>2054</v>
      </c>
      <c r="T5573" t="s">
        <v>4655</v>
      </c>
      <c r="U5573" t="s">
        <v>4655</v>
      </c>
      <c r="V5573" s="2">
        <v>0</v>
      </c>
      <c r="W5573" t="s">
        <v>4655</v>
      </c>
      <c r="X5573" s="2">
        <v>0</v>
      </c>
      <c r="Y5573">
        <v>41</v>
      </c>
      <c r="Z5573" t="s">
        <v>1397</v>
      </c>
      <c r="AA5573" s="3">
        <v>9.0036727488040896E-2</v>
      </c>
      <c r="AB5573" t="s">
        <v>27970</v>
      </c>
      <c r="AC5573" t="s">
        <v>4562</v>
      </c>
      <c r="AD5573" t="s">
        <v>27976</v>
      </c>
      <c r="AE5573" t="s">
        <v>27977</v>
      </c>
      <c r="AF5573" t="s">
        <v>4563</v>
      </c>
      <c r="AG5573" t="s">
        <v>4564</v>
      </c>
      <c r="AH5573" t="s">
        <v>5197</v>
      </c>
      <c r="AI5573" t="s">
        <v>27972</v>
      </c>
      <c r="AJ5573" t="s">
        <v>27973</v>
      </c>
      <c r="AK5573" t="s">
        <v>27978</v>
      </c>
      <c r="AL5573" s="13" t="s">
        <v>2255</v>
      </c>
      <c r="AM5573">
        <v>1</v>
      </c>
      <c r="AN5573" s="15" t="s">
        <v>1820</v>
      </c>
    </row>
    <row r="5574" spans="1:40" x14ac:dyDescent="0.3">
      <c r="A5574" s="10" t="str">
        <f>HYPERLINK("http://www.washoecounty.gov/assessor/cama/?parid=165-033-01&amp;CardNumber=1","165-033-01")</f>
        <v>165-033-01</v>
      </c>
      <c r="B5574" t="s">
        <v>4655</v>
      </c>
      <c r="C5574" t="s">
        <v>27979</v>
      </c>
      <c r="D5574" s="1">
        <v>40235</v>
      </c>
      <c r="E5574" s="2">
        <v>613000</v>
      </c>
      <c r="F5574" t="s">
        <v>3174</v>
      </c>
      <c r="G5574" s="17" t="str">
        <f>HYPERLINK("https://www.washoecounty.gov/assessor/cama/?command=sales&amp;parid=16503301","3853439")</f>
        <v>3853439</v>
      </c>
      <c r="H5574" t="s">
        <v>2279</v>
      </c>
      <c r="I5574">
        <v>2010</v>
      </c>
      <c r="J5574">
        <v>2010</v>
      </c>
      <c r="K5574" t="s">
        <v>4554</v>
      </c>
      <c r="L5574" t="s">
        <v>4555</v>
      </c>
      <c r="M5574" s="2">
        <v>1910</v>
      </c>
      <c r="N5574" t="s">
        <v>5280</v>
      </c>
      <c r="O5574">
        <v>3</v>
      </c>
      <c r="P5574">
        <v>2</v>
      </c>
      <c r="Q5574">
        <v>0</v>
      </c>
      <c r="R5574" t="s">
        <v>5281</v>
      </c>
      <c r="S5574" t="s">
        <v>4898</v>
      </c>
      <c r="T5574" t="s">
        <v>2704</v>
      </c>
      <c r="U5574" t="s">
        <v>4560</v>
      </c>
      <c r="V5574" s="2">
        <v>420</v>
      </c>
      <c r="W5574" t="s">
        <v>4655</v>
      </c>
      <c r="X5574" s="2">
        <v>0</v>
      </c>
      <c r="Y5574">
        <v>12</v>
      </c>
      <c r="Z5574" t="s">
        <v>1491</v>
      </c>
      <c r="AA5574" s="3">
        <v>0.12180899828672399</v>
      </c>
      <c r="AB5574" t="s">
        <v>27980</v>
      </c>
      <c r="AC5574" t="s">
        <v>4575</v>
      </c>
      <c r="AD5574" t="s">
        <v>27981</v>
      </c>
      <c r="AE5574" t="s">
        <v>4655</v>
      </c>
      <c r="AF5574" t="s">
        <v>4563</v>
      </c>
      <c r="AG5574" t="s">
        <v>4564</v>
      </c>
      <c r="AH5574" t="s">
        <v>5197</v>
      </c>
      <c r="AI5574" t="s">
        <v>549</v>
      </c>
      <c r="AJ5574" t="s">
        <v>2280</v>
      </c>
      <c r="AK5574" t="s">
        <v>27982</v>
      </c>
      <c r="AL5574" s="13" t="s">
        <v>2255</v>
      </c>
      <c r="AM5574">
        <v>1</v>
      </c>
      <c r="AN5574" s="15" t="s">
        <v>964</v>
      </c>
    </row>
    <row r="5575" spans="1:40" x14ac:dyDescent="0.3">
      <c r="A5575" s="10" t="str">
        <f>HYPERLINK("http://www.washoecounty.gov/assessor/cama/?parid=165-033-01&amp;CardNumber=1","165-033-01")</f>
        <v>165-033-01</v>
      </c>
      <c r="B5575" t="s">
        <v>4655</v>
      </c>
      <c r="C5575" t="s">
        <v>27979</v>
      </c>
      <c r="D5575" s="1">
        <v>40354</v>
      </c>
      <c r="E5575" s="2">
        <v>250060</v>
      </c>
      <c r="F5575" t="s">
        <v>4567</v>
      </c>
      <c r="G5575" s="17" t="str">
        <f>HYPERLINK("https://www.washoecounty.gov/assessor/cama/?command=sales&amp;parid=16503301","3895466")</f>
        <v>3895466</v>
      </c>
      <c r="H5575" t="s">
        <v>2279</v>
      </c>
      <c r="I5575">
        <v>2010</v>
      </c>
      <c r="J5575">
        <v>2010</v>
      </c>
      <c r="K5575" t="s">
        <v>4554</v>
      </c>
      <c r="L5575" t="s">
        <v>4555</v>
      </c>
      <c r="M5575" s="2">
        <v>1910</v>
      </c>
      <c r="N5575" t="s">
        <v>5280</v>
      </c>
      <c r="O5575">
        <v>3</v>
      </c>
      <c r="P5575">
        <v>2</v>
      </c>
      <c r="Q5575">
        <v>0</v>
      </c>
      <c r="R5575" t="s">
        <v>5281</v>
      </c>
      <c r="S5575" t="s">
        <v>4898</v>
      </c>
      <c r="T5575" t="s">
        <v>2704</v>
      </c>
      <c r="U5575" t="s">
        <v>4560</v>
      </c>
      <c r="V5575" s="2">
        <v>420</v>
      </c>
      <c r="W5575" t="s">
        <v>4655</v>
      </c>
      <c r="X5575" s="2">
        <v>0</v>
      </c>
      <c r="Y5575">
        <v>20</v>
      </c>
      <c r="Z5575" t="s">
        <v>1491</v>
      </c>
      <c r="AA5575" s="3">
        <v>0.12180899828672399</v>
      </c>
      <c r="AB5575" t="s">
        <v>27980</v>
      </c>
      <c r="AC5575" t="s">
        <v>4575</v>
      </c>
      <c r="AD5575" t="s">
        <v>27981</v>
      </c>
      <c r="AE5575" t="s">
        <v>4655</v>
      </c>
      <c r="AF5575" t="s">
        <v>4563</v>
      </c>
      <c r="AG5575" t="s">
        <v>4564</v>
      </c>
      <c r="AH5575" t="s">
        <v>5197</v>
      </c>
      <c r="AI5575" t="s">
        <v>549</v>
      </c>
      <c r="AJ5575" t="s">
        <v>2280</v>
      </c>
      <c r="AK5575" t="s">
        <v>27982</v>
      </c>
      <c r="AL5575" s="13" t="s">
        <v>2255</v>
      </c>
      <c r="AM5575" s="14">
        <v>1</v>
      </c>
      <c r="AN5575" s="15" t="s">
        <v>964</v>
      </c>
    </row>
    <row r="5576" spans="1:40" x14ac:dyDescent="0.3">
      <c r="A5576" s="10" t="str">
        <f>HYPERLINK("http://www.washoecounty.gov/assessor/cama/?parid=165-033-02&amp;CardNumber=1","165-033-02")</f>
        <v>165-033-02</v>
      </c>
      <c r="B5576" t="s">
        <v>4655</v>
      </c>
      <c r="C5576" t="s">
        <v>27983</v>
      </c>
      <c r="D5576" s="1">
        <v>40235</v>
      </c>
      <c r="E5576" s="2">
        <v>613000</v>
      </c>
      <c r="F5576" t="s">
        <v>3174</v>
      </c>
      <c r="G5576" s="17" t="str">
        <f>HYPERLINK("https://www.washoecounty.gov/assessor/cama/?command=sales&amp;parid=16503302","3853439")</f>
        <v>3853439</v>
      </c>
      <c r="H5576" t="s">
        <v>2279</v>
      </c>
      <c r="I5576">
        <v>2010</v>
      </c>
      <c r="J5576">
        <v>2010</v>
      </c>
      <c r="K5576" t="s">
        <v>4554</v>
      </c>
      <c r="L5576" t="s">
        <v>3974</v>
      </c>
      <c r="M5576" s="2">
        <v>2166</v>
      </c>
      <c r="N5576" t="s">
        <v>5280</v>
      </c>
      <c r="O5576">
        <v>4</v>
      </c>
      <c r="P5576">
        <v>3</v>
      </c>
      <c r="Q5576">
        <v>0</v>
      </c>
      <c r="R5576" t="s">
        <v>5281</v>
      </c>
      <c r="S5576" t="s">
        <v>4898</v>
      </c>
      <c r="T5576" t="s">
        <v>2704</v>
      </c>
      <c r="U5576" t="s">
        <v>5631</v>
      </c>
      <c r="V5576" s="2">
        <v>462</v>
      </c>
      <c r="W5576" t="s">
        <v>4655</v>
      </c>
      <c r="X5576" s="2">
        <v>0</v>
      </c>
      <c r="Y5576">
        <v>12</v>
      </c>
      <c r="Z5576" t="s">
        <v>1491</v>
      </c>
      <c r="AA5576" s="3">
        <v>0.11788337677717201</v>
      </c>
      <c r="AB5576" t="s">
        <v>27984</v>
      </c>
      <c r="AC5576" t="s">
        <v>4562</v>
      </c>
      <c r="AD5576" t="s">
        <v>27983</v>
      </c>
      <c r="AE5576" t="s">
        <v>4655</v>
      </c>
      <c r="AF5576" t="s">
        <v>4563</v>
      </c>
      <c r="AG5576" t="s">
        <v>4564</v>
      </c>
      <c r="AH5576" t="s">
        <v>5197</v>
      </c>
      <c r="AI5576" t="s">
        <v>549</v>
      </c>
      <c r="AJ5576" t="s">
        <v>2280</v>
      </c>
      <c r="AK5576" t="s">
        <v>27985</v>
      </c>
      <c r="AL5576" s="13" t="s">
        <v>2255</v>
      </c>
      <c r="AM5576">
        <v>1</v>
      </c>
      <c r="AN5576" s="15" t="s">
        <v>964</v>
      </c>
    </row>
    <row r="5577" spans="1:40" x14ac:dyDescent="0.3">
      <c r="A5577" s="10" t="str">
        <f>HYPERLINK("http://www.washoecounty.gov/assessor/cama/?parid=165-033-02&amp;CardNumber=1","165-033-02")</f>
        <v>165-033-02</v>
      </c>
      <c r="B5577" t="s">
        <v>4655</v>
      </c>
      <c r="C5577" t="s">
        <v>27983</v>
      </c>
      <c r="D5577" s="1">
        <v>40504</v>
      </c>
      <c r="E5577" s="2">
        <v>242990</v>
      </c>
      <c r="F5577" t="s">
        <v>4567</v>
      </c>
      <c r="G5577" s="17" t="str">
        <f>HYPERLINK("https://www.washoecounty.gov/assessor/cama/?command=sales&amp;parid=16503302","3945655")</f>
        <v>3945655</v>
      </c>
      <c r="H5577" t="s">
        <v>2279</v>
      </c>
      <c r="I5577">
        <v>2010</v>
      </c>
      <c r="J5577">
        <v>2010</v>
      </c>
      <c r="K5577" t="s">
        <v>4554</v>
      </c>
      <c r="L5577" t="s">
        <v>3974</v>
      </c>
      <c r="M5577" s="2">
        <v>2166</v>
      </c>
      <c r="N5577" t="s">
        <v>5280</v>
      </c>
      <c r="O5577">
        <v>4</v>
      </c>
      <c r="P5577">
        <v>3</v>
      </c>
      <c r="Q5577">
        <v>0</v>
      </c>
      <c r="R5577" t="s">
        <v>5281</v>
      </c>
      <c r="S5577" t="s">
        <v>4898</v>
      </c>
      <c r="T5577" t="s">
        <v>2704</v>
      </c>
      <c r="U5577" t="s">
        <v>5631</v>
      </c>
      <c r="V5577" s="2">
        <v>462</v>
      </c>
      <c r="W5577" t="s">
        <v>4655</v>
      </c>
      <c r="X5577" s="2">
        <v>0</v>
      </c>
      <c r="Y5577">
        <v>20</v>
      </c>
      <c r="Z5577" t="s">
        <v>1491</v>
      </c>
      <c r="AA5577" s="3">
        <v>0.11788337677717201</v>
      </c>
      <c r="AB5577" t="s">
        <v>27984</v>
      </c>
      <c r="AC5577" t="s">
        <v>4562</v>
      </c>
      <c r="AD5577" t="s">
        <v>27983</v>
      </c>
      <c r="AE5577" t="s">
        <v>4655</v>
      </c>
      <c r="AF5577" t="s">
        <v>4563</v>
      </c>
      <c r="AG5577" t="s">
        <v>4564</v>
      </c>
      <c r="AH5577" t="s">
        <v>5197</v>
      </c>
      <c r="AI5577" t="s">
        <v>549</v>
      </c>
      <c r="AJ5577" t="s">
        <v>2280</v>
      </c>
      <c r="AK5577" t="s">
        <v>27985</v>
      </c>
      <c r="AL5577" s="13" t="s">
        <v>2255</v>
      </c>
      <c r="AM5577">
        <v>1</v>
      </c>
      <c r="AN5577" s="15" t="s">
        <v>964</v>
      </c>
    </row>
    <row r="5578" spans="1:40" x14ac:dyDescent="0.3">
      <c r="A5578" s="10" t="str">
        <f>HYPERLINK("http://www.washoecounty.gov/assessor/cama/?parid=165-033-03&amp;CardNumber=1","165-033-03")</f>
        <v>165-033-03</v>
      </c>
      <c r="B5578" t="s">
        <v>4655</v>
      </c>
      <c r="C5578" t="s">
        <v>27986</v>
      </c>
      <c r="D5578" s="1">
        <v>40235</v>
      </c>
      <c r="E5578" s="2">
        <v>613000</v>
      </c>
      <c r="F5578" t="s">
        <v>3174</v>
      </c>
      <c r="G5578" s="17" t="str">
        <f>HYPERLINK("https://www.washoecounty.gov/assessor/cama/?command=sales&amp;parid=16503303","3853439")</f>
        <v>3853439</v>
      </c>
      <c r="H5578" t="s">
        <v>2279</v>
      </c>
      <c r="I5578">
        <v>2010</v>
      </c>
      <c r="J5578">
        <v>2010</v>
      </c>
      <c r="K5578" t="s">
        <v>4554</v>
      </c>
      <c r="L5578" t="s">
        <v>3974</v>
      </c>
      <c r="M5578" s="2">
        <v>2396</v>
      </c>
      <c r="N5578" t="s">
        <v>5280</v>
      </c>
      <c r="O5578">
        <v>5</v>
      </c>
      <c r="P5578">
        <v>3</v>
      </c>
      <c r="Q5578">
        <v>0</v>
      </c>
      <c r="R5578" t="s">
        <v>5281</v>
      </c>
      <c r="S5578" t="s">
        <v>4898</v>
      </c>
      <c r="T5578" t="s">
        <v>2704</v>
      </c>
      <c r="U5578" t="s">
        <v>5631</v>
      </c>
      <c r="V5578" s="2">
        <v>488</v>
      </c>
      <c r="W5578" t="s">
        <v>4655</v>
      </c>
      <c r="X5578" s="2">
        <v>0</v>
      </c>
      <c r="Y5578">
        <v>12</v>
      </c>
      <c r="Z5578" t="s">
        <v>1491</v>
      </c>
      <c r="AA5578" s="3">
        <v>0.11788337677717201</v>
      </c>
      <c r="AB5578" t="s">
        <v>27987</v>
      </c>
      <c r="AC5578" t="s">
        <v>4575</v>
      </c>
      <c r="AD5578" t="s">
        <v>27986</v>
      </c>
      <c r="AE5578" t="s">
        <v>4655</v>
      </c>
      <c r="AF5578" t="s">
        <v>4563</v>
      </c>
      <c r="AG5578" t="s">
        <v>4564</v>
      </c>
      <c r="AH5578" t="s">
        <v>5197</v>
      </c>
      <c r="AI5578" t="s">
        <v>549</v>
      </c>
      <c r="AJ5578" t="s">
        <v>2280</v>
      </c>
      <c r="AK5578" t="s">
        <v>27988</v>
      </c>
      <c r="AL5578" s="13" t="s">
        <v>2255</v>
      </c>
      <c r="AM5578">
        <v>1</v>
      </c>
      <c r="AN5578" s="15" t="s">
        <v>964</v>
      </c>
    </row>
    <row r="5579" spans="1:40" x14ac:dyDescent="0.3">
      <c r="A5579" s="10" t="str">
        <f>HYPERLINK("http://www.washoecounty.gov/assessor/cama/?parid=165-033-03&amp;CardNumber=1","165-033-03")</f>
        <v>165-033-03</v>
      </c>
      <c r="B5579" t="s">
        <v>4655</v>
      </c>
      <c r="C5579" t="s">
        <v>27986</v>
      </c>
      <c r="D5579" s="1">
        <v>40444</v>
      </c>
      <c r="E5579" s="2">
        <v>255000</v>
      </c>
      <c r="F5579" t="s">
        <v>4567</v>
      </c>
      <c r="G5579" s="17" t="str">
        <f>HYPERLINK("https://www.washoecounty.gov/assessor/cama/?command=sales&amp;parid=16503303","3925587")</f>
        <v>3925587</v>
      </c>
      <c r="H5579" t="s">
        <v>2279</v>
      </c>
      <c r="I5579">
        <v>2010</v>
      </c>
      <c r="J5579">
        <v>2010</v>
      </c>
      <c r="K5579" t="s">
        <v>4554</v>
      </c>
      <c r="L5579" t="s">
        <v>3974</v>
      </c>
      <c r="M5579" s="2">
        <v>2396</v>
      </c>
      <c r="N5579" t="s">
        <v>5280</v>
      </c>
      <c r="O5579">
        <v>5</v>
      </c>
      <c r="P5579">
        <v>3</v>
      </c>
      <c r="Q5579">
        <v>0</v>
      </c>
      <c r="R5579" t="s">
        <v>5281</v>
      </c>
      <c r="S5579" t="s">
        <v>4898</v>
      </c>
      <c r="T5579" t="s">
        <v>2704</v>
      </c>
      <c r="U5579" t="s">
        <v>5631</v>
      </c>
      <c r="V5579" s="2">
        <v>488</v>
      </c>
      <c r="W5579" t="s">
        <v>4655</v>
      </c>
      <c r="X5579" s="2">
        <v>0</v>
      </c>
      <c r="Y5579">
        <v>20</v>
      </c>
      <c r="Z5579" t="s">
        <v>1491</v>
      </c>
      <c r="AA5579" s="3">
        <v>0.11788337677717201</v>
      </c>
      <c r="AB5579" t="s">
        <v>27987</v>
      </c>
      <c r="AC5579" t="s">
        <v>4575</v>
      </c>
      <c r="AD5579" t="s">
        <v>27986</v>
      </c>
      <c r="AE5579" t="s">
        <v>4655</v>
      </c>
      <c r="AF5579" t="s">
        <v>4563</v>
      </c>
      <c r="AG5579" t="s">
        <v>4564</v>
      </c>
      <c r="AH5579" t="s">
        <v>5197</v>
      </c>
      <c r="AI5579" t="s">
        <v>549</v>
      </c>
      <c r="AJ5579" t="s">
        <v>2280</v>
      </c>
      <c r="AK5579" t="s">
        <v>27988</v>
      </c>
      <c r="AL5579" s="13" t="s">
        <v>2255</v>
      </c>
      <c r="AM5579">
        <v>1</v>
      </c>
      <c r="AN5579" s="15" t="s">
        <v>964</v>
      </c>
    </row>
    <row r="5580" spans="1:40" x14ac:dyDescent="0.3">
      <c r="A5580" s="10" t="str">
        <f>HYPERLINK("http://www.washoecounty.gov/assessor/cama/?parid=165-033-04&amp;CardNumber=1","165-033-04")</f>
        <v>165-033-04</v>
      </c>
      <c r="B5580" t="s">
        <v>4655</v>
      </c>
      <c r="C5580" t="s">
        <v>27989</v>
      </c>
      <c r="D5580" s="1">
        <v>40235</v>
      </c>
      <c r="E5580" s="2">
        <v>613000</v>
      </c>
      <c r="F5580" t="s">
        <v>3174</v>
      </c>
      <c r="G5580" s="17" t="str">
        <f>HYPERLINK("https://www.washoecounty.gov/assessor/cama/?command=sales&amp;parid=16503304","3853439")</f>
        <v>3853439</v>
      </c>
      <c r="H5580" t="s">
        <v>2279</v>
      </c>
      <c r="I5580">
        <v>2010</v>
      </c>
      <c r="J5580">
        <v>2010</v>
      </c>
      <c r="K5580" t="s">
        <v>4554</v>
      </c>
      <c r="L5580" t="s">
        <v>4555</v>
      </c>
      <c r="M5580" s="2">
        <v>1910</v>
      </c>
      <c r="N5580" t="s">
        <v>5280</v>
      </c>
      <c r="O5580">
        <v>3</v>
      </c>
      <c r="P5580">
        <v>2</v>
      </c>
      <c r="Q5580">
        <v>0</v>
      </c>
      <c r="R5580" t="s">
        <v>5281</v>
      </c>
      <c r="S5580" t="s">
        <v>4898</v>
      </c>
      <c r="T5580" t="s">
        <v>2704</v>
      </c>
      <c r="U5580" t="s">
        <v>4560</v>
      </c>
      <c r="V5580" s="2">
        <v>420</v>
      </c>
      <c r="W5580" t="s">
        <v>4655</v>
      </c>
      <c r="X5580" s="2">
        <v>0</v>
      </c>
      <c r="Y5580">
        <v>12</v>
      </c>
      <c r="Z5580" t="s">
        <v>1491</v>
      </c>
      <c r="AA5580" s="3">
        <v>0.124058768153191</v>
      </c>
      <c r="AB5580" t="s">
        <v>27990</v>
      </c>
      <c r="AC5580" t="s">
        <v>4562</v>
      </c>
      <c r="AD5580" t="s">
        <v>27991</v>
      </c>
      <c r="AE5580" t="s">
        <v>4655</v>
      </c>
      <c r="AF5580" t="s">
        <v>4563</v>
      </c>
      <c r="AG5580" t="s">
        <v>4564</v>
      </c>
      <c r="AH5580" t="s">
        <v>5197</v>
      </c>
      <c r="AI5580" t="s">
        <v>549</v>
      </c>
      <c r="AJ5580" t="s">
        <v>2280</v>
      </c>
      <c r="AK5580" t="s">
        <v>27992</v>
      </c>
      <c r="AL5580" s="13" t="s">
        <v>2255</v>
      </c>
      <c r="AM5580">
        <v>1</v>
      </c>
      <c r="AN5580" s="15" t="s">
        <v>964</v>
      </c>
    </row>
    <row r="5581" spans="1:40" x14ac:dyDescent="0.3">
      <c r="A5581" s="10" t="str">
        <f>HYPERLINK("http://www.washoecounty.gov/assessor/cama/?parid=165-033-04&amp;CardNumber=1","165-033-04")</f>
        <v>165-033-04</v>
      </c>
      <c r="B5581" t="s">
        <v>4655</v>
      </c>
      <c r="C5581" t="s">
        <v>27989</v>
      </c>
      <c r="D5581" s="1">
        <v>40354</v>
      </c>
      <c r="E5581" s="2">
        <v>245218</v>
      </c>
      <c r="F5581" t="s">
        <v>4567</v>
      </c>
      <c r="G5581" s="17" t="str">
        <f>HYPERLINK("https://www.washoecounty.gov/assessor/cama/?command=sales&amp;parid=16503304","3895416")</f>
        <v>3895416</v>
      </c>
      <c r="H5581" t="s">
        <v>2279</v>
      </c>
      <c r="I5581">
        <v>2010</v>
      </c>
      <c r="J5581">
        <v>2010</v>
      </c>
      <c r="K5581" t="s">
        <v>4554</v>
      </c>
      <c r="L5581" t="s">
        <v>4555</v>
      </c>
      <c r="M5581" s="2">
        <v>1910</v>
      </c>
      <c r="N5581" t="s">
        <v>5280</v>
      </c>
      <c r="O5581">
        <v>3</v>
      </c>
      <c r="P5581">
        <v>2</v>
      </c>
      <c r="Q5581">
        <v>0</v>
      </c>
      <c r="R5581" t="s">
        <v>5281</v>
      </c>
      <c r="S5581" t="s">
        <v>4898</v>
      </c>
      <c r="T5581" t="s">
        <v>2704</v>
      </c>
      <c r="U5581" t="s">
        <v>4560</v>
      </c>
      <c r="V5581" s="2">
        <v>420</v>
      </c>
      <c r="W5581" t="s">
        <v>4655</v>
      </c>
      <c r="X5581" s="2">
        <v>0</v>
      </c>
      <c r="Y5581">
        <v>20</v>
      </c>
      <c r="Z5581" t="s">
        <v>1491</v>
      </c>
      <c r="AA5581" s="3">
        <v>0.124058768153191</v>
      </c>
      <c r="AB5581" t="s">
        <v>27990</v>
      </c>
      <c r="AC5581" t="s">
        <v>4562</v>
      </c>
      <c r="AD5581" t="s">
        <v>27991</v>
      </c>
      <c r="AE5581" t="s">
        <v>4655</v>
      </c>
      <c r="AF5581" t="s">
        <v>4563</v>
      </c>
      <c r="AG5581" t="s">
        <v>4564</v>
      </c>
      <c r="AH5581" t="s">
        <v>5197</v>
      </c>
      <c r="AI5581" t="s">
        <v>549</v>
      </c>
      <c r="AJ5581" t="s">
        <v>2280</v>
      </c>
      <c r="AK5581" t="s">
        <v>27992</v>
      </c>
      <c r="AL5581" s="13" t="s">
        <v>2255</v>
      </c>
      <c r="AM5581" s="14">
        <v>1</v>
      </c>
      <c r="AN5581" s="15" t="s">
        <v>964</v>
      </c>
    </row>
    <row r="5582" spans="1:40" x14ac:dyDescent="0.3">
      <c r="A5582" s="10" t="str">
        <f>HYPERLINK("http://www.washoecounty.gov/assessor/cama/?parid=165-034-18&amp;CardNumber=1","165-034-18")</f>
        <v>165-034-18</v>
      </c>
      <c r="B5582" t="s">
        <v>4655</v>
      </c>
      <c r="C5582" t="s">
        <v>27993</v>
      </c>
      <c r="D5582" s="1">
        <v>40297</v>
      </c>
      <c r="E5582" s="2">
        <v>270340</v>
      </c>
      <c r="F5582" t="s">
        <v>4567</v>
      </c>
      <c r="G5582" s="17" t="str">
        <f>HYPERLINK("https://www.washoecounty.gov/assessor/cama/?command=sales&amp;parid=16503418","3876224")</f>
        <v>3876224</v>
      </c>
      <c r="H5582" t="s">
        <v>2279</v>
      </c>
      <c r="I5582">
        <v>2010</v>
      </c>
      <c r="J5582">
        <v>2010</v>
      </c>
      <c r="K5582" t="s">
        <v>4554</v>
      </c>
      <c r="L5582" t="s">
        <v>3974</v>
      </c>
      <c r="M5582" s="2">
        <v>2710</v>
      </c>
      <c r="N5582" t="s">
        <v>5280</v>
      </c>
      <c r="O5582">
        <v>5</v>
      </c>
      <c r="P5582">
        <v>3</v>
      </c>
      <c r="Q5582">
        <v>0</v>
      </c>
      <c r="R5582" t="s">
        <v>5281</v>
      </c>
      <c r="S5582" t="s">
        <v>4898</v>
      </c>
      <c r="T5582" t="s">
        <v>2704</v>
      </c>
      <c r="U5582" t="s">
        <v>5631</v>
      </c>
      <c r="V5582" s="2">
        <v>660</v>
      </c>
      <c r="W5582" t="s">
        <v>4655</v>
      </c>
      <c r="X5582" s="2">
        <v>0</v>
      </c>
      <c r="Y5582">
        <v>20</v>
      </c>
      <c r="Z5582" t="s">
        <v>1491</v>
      </c>
      <c r="AA5582" s="3">
        <v>0.11556474119424801</v>
      </c>
      <c r="AB5582" t="s">
        <v>27994</v>
      </c>
      <c r="AC5582" t="s">
        <v>4562</v>
      </c>
      <c r="AD5582" t="s">
        <v>27995</v>
      </c>
      <c r="AE5582" t="s">
        <v>4655</v>
      </c>
      <c r="AF5582" t="s">
        <v>4563</v>
      </c>
      <c r="AG5582" t="s">
        <v>4564</v>
      </c>
      <c r="AH5582" t="s">
        <v>5197</v>
      </c>
      <c r="AI5582" t="s">
        <v>549</v>
      </c>
      <c r="AJ5582" t="s">
        <v>2280</v>
      </c>
      <c r="AK5582" t="s">
        <v>27996</v>
      </c>
      <c r="AL5582" s="13" t="s">
        <v>2255</v>
      </c>
      <c r="AM5582">
        <v>1</v>
      </c>
      <c r="AN5582" s="15" t="s">
        <v>964</v>
      </c>
    </row>
    <row r="5583" spans="1:40" x14ac:dyDescent="0.3">
      <c r="A5583" s="10" t="str">
        <f>HYPERLINK("http://www.washoecounty.gov/assessor/cama/?parid=165-034-19&amp;CardNumber=1","165-034-19")</f>
        <v>165-034-19</v>
      </c>
      <c r="B5583" t="s">
        <v>4655</v>
      </c>
      <c r="C5583" t="s">
        <v>27997</v>
      </c>
      <c r="D5583" s="1">
        <v>40325</v>
      </c>
      <c r="E5583" s="2">
        <v>233023</v>
      </c>
      <c r="F5583" t="s">
        <v>4567</v>
      </c>
      <c r="G5583" s="17" t="str">
        <f>HYPERLINK("https://www.washoecounty.gov/assessor/cama/?command=sales&amp;parid=16503419","3886210")</f>
        <v>3886210</v>
      </c>
      <c r="H5583" t="s">
        <v>2279</v>
      </c>
      <c r="I5583">
        <v>2010</v>
      </c>
      <c r="J5583">
        <v>2010</v>
      </c>
      <c r="K5583" t="s">
        <v>4554</v>
      </c>
      <c r="L5583" t="s">
        <v>4555</v>
      </c>
      <c r="M5583" s="2">
        <v>1910</v>
      </c>
      <c r="N5583" t="s">
        <v>5280</v>
      </c>
      <c r="O5583">
        <v>3</v>
      </c>
      <c r="P5583">
        <v>2</v>
      </c>
      <c r="Q5583">
        <v>0</v>
      </c>
      <c r="R5583" t="s">
        <v>5281</v>
      </c>
      <c r="S5583" t="s">
        <v>4898</v>
      </c>
      <c r="T5583" t="s">
        <v>2704</v>
      </c>
      <c r="U5583" t="s">
        <v>4560</v>
      </c>
      <c r="V5583" s="2">
        <v>420</v>
      </c>
      <c r="W5583" t="s">
        <v>4655</v>
      </c>
      <c r="X5583" s="2">
        <v>0</v>
      </c>
      <c r="Y5583">
        <v>20</v>
      </c>
      <c r="Z5583" t="s">
        <v>1491</v>
      </c>
      <c r="AA5583" s="3">
        <v>0.11556474119424801</v>
      </c>
      <c r="AB5583" t="s">
        <v>27998</v>
      </c>
      <c r="AC5583" t="s">
        <v>4562</v>
      </c>
      <c r="AD5583" t="s">
        <v>27997</v>
      </c>
      <c r="AE5583" t="s">
        <v>4655</v>
      </c>
      <c r="AF5583" t="s">
        <v>4563</v>
      </c>
      <c r="AG5583" t="s">
        <v>4564</v>
      </c>
      <c r="AH5583" t="s">
        <v>5197</v>
      </c>
      <c r="AI5583" t="s">
        <v>549</v>
      </c>
      <c r="AJ5583" t="s">
        <v>2280</v>
      </c>
      <c r="AK5583" t="s">
        <v>27999</v>
      </c>
      <c r="AL5583" s="13" t="s">
        <v>2255</v>
      </c>
      <c r="AM5583" s="14">
        <v>1</v>
      </c>
      <c r="AN5583" s="15" t="s">
        <v>964</v>
      </c>
    </row>
    <row r="5584" spans="1:40" x14ac:dyDescent="0.3">
      <c r="A5584" s="10" t="str">
        <f>HYPERLINK("http://www.washoecounty.gov/assessor/cama/?parid=165-034-20&amp;CardNumber=1","165-034-20")</f>
        <v>165-034-20</v>
      </c>
      <c r="B5584" t="s">
        <v>4655</v>
      </c>
      <c r="C5584" t="s">
        <v>28000</v>
      </c>
      <c r="D5584" s="1">
        <v>40442</v>
      </c>
      <c r="E5584" s="2">
        <v>255990</v>
      </c>
      <c r="F5584" t="s">
        <v>4567</v>
      </c>
      <c r="G5584" s="17" t="str">
        <f>HYPERLINK("https://www.washoecounty.gov/assessor/cama/?command=sales&amp;parid=16503420","3924662")</f>
        <v>3924662</v>
      </c>
      <c r="H5584" t="s">
        <v>2279</v>
      </c>
      <c r="I5584">
        <v>2010</v>
      </c>
      <c r="J5584">
        <v>2010</v>
      </c>
      <c r="K5584" t="s">
        <v>4554</v>
      </c>
      <c r="L5584" t="s">
        <v>3974</v>
      </c>
      <c r="M5584" s="2">
        <v>2396</v>
      </c>
      <c r="N5584" t="s">
        <v>5280</v>
      </c>
      <c r="O5584">
        <v>5</v>
      </c>
      <c r="P5584">
        <v>3</v>
      </c>
      <c r="Q5584">
        <v>0</v>
      </c>
      <c r="R5584" t="s">
        <v>5281</v>
      </c>
      <c r="S5584" t="s">
        <v>4898</v>
      </c>
      <c r="T5584" t="s">
        <v>2704</v>
      </c>
      <c r="U5584" t="s">
        <v>5631</v>
      </c>
      <c r="V5584" s="2">
        <v>488</v>
      </c>
      <c r="W5584" t="s">
        <v>4655</v>
      </c>
      <c r="X5584" s="2">
        <v>0</v>
      </c>
      <c r="Y5584">
        <v>20</v>
      </c>
      <c r="Z5584" t="s">
        <v>1491</v>
      </c>
      <c r="AA5584" s="3">
        <v>0.11556474119424801</v>
      </c>
      <c r="AB5584" t="s">
        <v>28001</v>
      </c>
      <c r="AC5584" t="s">
        <v>4562</v>
      </c>
      <c r="AD5584" t="s">
        <v>28000</v>
      </c>
      <c r="AE5584" t="s">
        <v>4655</v>
      </c>
      <c r="AF5584" t="s">
        <v>4563</v>
      </c>
      <c r="AG5584" t="s">
        <v>4564</v>
      </c>
      <c r="AH5584" t="s">
        <v>5197</v>
      </c>
      <c r="AI5584" t="s">
        <v>549</v>
      </c>
      <c r="AJ5584" t="s">
        <v>2280</v>
      </c>
      <c r="AK5584" t="s">
        <v>28002</v>
      </c>
      <c r="AL5584" s="13" t="s">
        <v>2255</v>
      </c>
      <c r="AM5584">
        <v>1</v>
      </c>
      <c r="AN5584" s="15" t="s">
        <v>964</v>
      </c>
    </row>
    <row r="5585" spans="1:40" x14ac:dyDescent="0.3">
      <c r="A5585" s="10" t="str">
        <f>HYPERLINK("http://www.washoecounty.gov/assessor/cama/?parid=165-034-21&amp;CardNumber=1","165-034-21")</f>
        <v>165-034-21</v>
      </c>
      <c r="B5585" t="s">
        <v>4655</v>
      </c>
      <c r="C5585" t="s">
        <v>28003</v>
      </c>
      <c r="D5585" s="1">
        <v>40522</v>
      </c>
      <c r="E5585" s="2">
        <v>214990</v>
      </c>
      <c r="F5585" t="s">
        <v>4567</v>
      </c>
      <c r="G5585" s="17" t="str">
        <f>HYPERLINK("https://www.washoecounty.gov/assessor/cama/?command=sales&amp;parid=16503421","3952330")</f>
        <v>3952330</v>
      </c>
      <c r="H5585" t="s">
        <v>2279</v>
      </c>
      <c r="I5585">
        <v>2010</v>
      </c>
      <c r="J5585">
        <v>2010</v>
      </c>
      <c r="K5585" t="s">
        <v>4554</v>
      </c>
      <c r="L5585" t="s">
        <v>3974</v>
      </c>
      <c r="M5585" s="2">
        <v>2166</v>
      </c>
      <c r="N5585" t="s">
        <v>5280</v>
      </c>
      <c r="O5585">
        <v>5</v>
      </c>
      <c r="P5585">
        <v>3</v>
      </c>
      <c r="Q5585">
        <v>0</v>
      </c>
      <c r="R5585" t="s">
        <v>5281</v>
      </c>
      <c r="S5585" t="s">
        <v>4898</v>
      </c>
      <c r="T5585" t="s">
        <v>2704</v>
      </c>
      <c r="U5585" t="s">
        <v>5631</v>
      </c>
      <c r="V5585" s="2">
        <v>462</v>
      </c>
      <c r="W5585" t="s">
        <v>4655</v>
      </c>
      <c r="X5585" s="2">
        <v>0</v>
      </c>
      <c r="Y5585">
        <v>20</v>
      </c>
      <c r="Z5585" t="s">
        <v>1491</v>
      </c>
      <c r="AA5585" s="3">
        <v>0.11556474119424801</v>
      </c>
      <c r="AB5585" t="s">
        <v>28004</v>
      </c>
      <c r="AC5585" t="s">
        <v>4562</v>
      </c>
      <c r="AD5585" t="s">
        <v>28005</v>
      </c>
      <c r="AE5585" t="s">
        <v>4655</v>
      </c>
      <c r="AF5585" t="s">
        <v>4563</v>
      </c>
      <c r="AG5585" t="s">
        <v>4564</v>
      </c>
      <c r="AH5585">
        <v>89511</v>
      </c>
      <c r="AI5585" t="s">
        <v>549</v>
      </c>
      <c r="AJ5585" t="s">
        <v>2280</v>
      </c>
      <c r="AK5585" t="s">
        <v>28006</v>
      </c>
      <c r="AL5585" s="13" t="s">
        <v>2255</v>
      </c>
      <c r="AM5585" s="14">
        <v>1</v>
      </c>
      <c r="AN5585" s="15" t="s">
        <v>964</v>
      </c>
    </row>
    <row r="5586" spans="1:40" x14ac:dyDescent="0.3">
      <c r="A5586" s="10" t="str">
        <f>HYPERLINK("http://www.washoecounty.gov/assessor/cama/?parid=165-034-22&amp;CardNumber=1","165-034-22")</f>
        <v>165-034-22</v>
      </c>
      <c r="B5586" t="s">
        <v>4655</v>
      </c>
      <c r="C5586" t="s">
        <v>28007</v>
      </c>
      <c r="D5586" s="1">
        <v>40322</v>
      </c>
      <c r="E5586" s="2">
        <v>265158</v>
      </c>
      <c r="F5586" t="s">
        <v>4567</v>
      </c>
      <c r="G5586" s="17" t="str">
        <f>HYPERLINK("https://www.washoecounty.gov/assessor/cama/?command=sales&amp;parid=16503422","3884302")</f>
        <v>3884302</v>
      </c>
      <c r="H5586" t="s">
        <v>2279</v>
      </c>
      <c r="I5586">
        <v>2010</v>
      </c>
      <c r="J5586">
        <v>2010</v>
      </c>
      <c r="K5586" t="s">
        <v>4554</v>
      </c>
      <c r="L5586" t="s">
        <v>3974</v>
      </c>
      <c r="M5586" s="2">
        <v>2396</v>
      </c>
      <c r="N5586" t="s">
        <v>5280</v>
      </c>
      <c r="O5586">
        <v>5</v>
      </c>
      <c r="P5586">
        <v>3</v>
      </c>
      <c r="Q5586">
        <v>0</v>
      </c>
      <c r="R5586" t="s">
        <v>5281</v>
      </c>
      <c r="S5586" t="s">
        <v>4898</v>
      </c>
      <c r="T5586" t="s">
        <v>2704</v>
      </c>
      <c r="U5586" t="s">
        <v>5631</v>
      </c>
      <c r="V5586" s="2">
        <v>488</v>
      </c>
      <c r="W5586" t="s">
        <v>4655</v>
      </c>
      <c r="X5586" s="2">
        <v>0</v>
      </c>
      <c r="Y5586">
        <v>20</v>
      </c>
      <c r="Z5586" t="s">
        <v>1491</v>
      </c>
      <c r="AA5586" s="3">
        <v>0.11556474119424801</v>
      </c>
      <c r="AB5586" t="s">
        <v>28008</v>
      </c>
      <c r="AC5586" t="s">
        <v>4575</v>
      </c>
      <c r="AD5586" t="s">
        <v>28009</v>
      </c>
      <c r="AE5586" t="s">
        <v>28010</v>
      </c>
      <c r="AF5586" t="s">
        <v>4563</v>
      </c>
      <c r="AG5586" t="s">
        <v>4564</v>
      </c>
      <c r="AH5586" t="s">
        <v>5197</v>
      </c>
      <c r="AI5586" t="s">
        <v>549</v>
      </c>
      <c r="AJ5586" t="s">
        <v>2280</v>
      </c>
      <c r="AK5586" t="s">
        <v>28011</v>
      </c>
      <c r="AL5586" s="13" t="s">
        <v>2255</v>
      </c>
      <c r="AM5586">
        <v>1</v>
      </c>
      <c r="AN5586" s="15" t="s">
        <v>964</v>
      </c>
    </row>
    <row r="5587" spans="1:40" x14ac:dyDescent="0.3">
      <c r="A5587" s="10" t="str">
        <f>HYPERLINK("http://www.washoecounty.gov/assessor/cama/?parid=165-034-23&amp;CardNumber=1","165-034-23")</f>
        <v>165-034-23</v>
      </c>
      <c r="B5587" t="s">
        <v>4655</v>
      </c>
      <c r="C5587" t="s">
        <v>28012</v>
      </c>
      <c r="D5587" s="1">
        <v>40305</v>
      </c>
      <c r="E5587" s="2">
        <v>233886</v>
      </c>
      <c r="F5587" t="s">
        <v>4567</v>
      </c>
      <c r="G5587" s="17" t="str">
        <f>HYPERLINK("https://www.washoecounty.gov/assessor/cama/?command=sales&amp;parid=16503423","3879446")</f>
        <v>3879446</v>
      </c>
      <c r="H5587" t="s">
        <v>2279</v>
      </c>
      <c r="I5587">
        <v>2010</v>
      </c>
      <c r="J5587">
        <v>2010</v>
      </c>
      <c r="K5587" t="s">
        <v>4554</v>
      </c>
      <c r="L5587" t="s">
        <v>4555</v>
      </c>
      <c r="M5587" s="2">
        <v>1910</v>
      </c>
      <c r="N5587" t="s">
        <v>5280</v>
      </c>
      <c r="O5587">
        <v>3</v>
      </c>
      <c r="P5587">
        <v>2</v>
      </c>
      <c r="Q5587">
        <v>0</v>
      </c>
      <c r="R5587" t="s">
        <v>5281</v>
      </c>
      <c r="S5587" t="s">
        <v>4898</v>
      </c>
      <c r="T5587" t="s">
        <v>2704</v>
      </c>
      <c r="U5587" t="s">
        <v>4560</v>
      </c>
      <c r="V5587" s="2">
        <v>420</v>
      </c>
      <c r="W5587" t="s">
        <v>4655</v>
      </c>
      <c r="X5587" s="2">
        <v>0</v>
      </c>
      <c r="Y5587">
        <v>20</v>
      </c>
      <c r="Z5587" t="s">
        <v>1491</v>
      </c>
      <c r="AA5587" s="3">
        <v>0.11556474119424801</v>
      </c>
      <c r="AB5587" t="s">
        <v>28013</v>
      </c>
      <c r="AC5587" t="s">
        <v>4562</v>
      </c>
      <c r="AD5587" t="s">
        <v>28012</v>
      </c>
      <c r="AE5587" t="s">
        <v>4655</v>
      </c>
      <c r="AF5587" t="s">
        <v>4563</v>
      </c>
      <c r="AG5587" t="s">
        <v>4564</v>
      </c>
      <c r="AH5587" t="s">
        <v>5197</v>
      </c>
      <c r="AI5587" t="s">
        <v>549</v>
      </c>
      <c r="AJ5587" t="s">
        <v>2280</v>
      </c>
      <c r="AK5587" t="s">
        <v>28014</v>
      </c>
      <c r="AL5587" s="13" t="s">
        <v>2255</v>
      </c>
      <c r="AM5587">
        <v>1</v>
      </c>
      <c r="AN5587" s="15" t="s">
        <v>964</v>
      </c>
    </row>
    <row r="5588" spans="1:40" x14ac:dyDescent="0.3">
      <c r="A5588" s="10" t="str">
        <f>HYPERLINK("http://www.washoecounty.gov/assessor/cama/?parid=165-035-03&amp;CardNumber=1","165-035-03")</f>
        <v>165-035-03</v>
      </c>
      <c r="B5588" t="s">
        <v>4655</v>
      </c>
      <c r="C5588" t="s">
        <v>28015</v>
      </c>
      <c r="D5588" s="1">
        <v>40238</v>
      </c>
      <c r="E5588" s="2">
        <v>372000</v>
      </c>
      <c r="F5588" t="s">
        <v>4567</v>
      </c>
      <c r="G5588" s="17" t="str">
        <f>HYPERLINK("https://www.washoecounty.gov/assessor/cama/?command=sales&amp;parid=16503503","3853751")</f>
        <v>3853751</v>
      </c>
      <c r="H5588" t="s">
        <v>2279</v>
      </c>
      <c r="I5588">
        <v>2008</v>
      </c>
      <c r="J5588">
        <v>2008</v>
      </c>
      <c r="K5588" t="s">
        <v>4554</v>
      </c>
      <c r="L5588" t="s">
        <v>3974</v>
      </c>
      <c r="M5588" s="2">
        <v>3579</v>
      </c>
      <c r="N5588" t="s">
        <v>5280</v>
      </c>
      <c r="O5588">
        <v>5</v>
      </c>
      <c r="P5588">
        <v>3</v>
      </c>
      <c r="Q5588">
        <v>1</v>
      </c>
      <c r="R5588" t="s">
        <v>5281</v>
      </c>
      <c r="S5588" t="s">
        <v>4898</v>
      </c>
      <c r="T5588" t="s">
        <v>4559</v>
      </c>
      <c r="U5588" t="s">
        <v>5631</v>
      </c>
      <c r="V5588" s="2">
        <v>616</v>
      </c>
      <c r="W5588" t="s">
        <v>4655</v>
      </c>
      <c r="X5588" s="2">
        <v>0</v>
      </c>
      <c r="Y5588">
        <v>20</v>
      </c>
      <c r="Z5588" t="s">
        <v>1491</v>
      </c>
      <c r="AA5588" s="3">
        <v>0.134067952632904</v>
      </c>
      <c r="AB5588" t="s">
        <v>28016</v>
      </c>
      <c r="AC5588" t="s">
        <v>4562</v>
      </c>
      <c r="AD5588" t="s">
        <v>28015</v>
      </c>
      <c r="AE5588" t="s">
        <v>4655</v>
      </c>
      <c r="AF5588" t="s">
        <v>4563</v>
      </c>
      <c r="AG5588" t="s">
        <v>4564</v>
      </c>
      <c r="AH5588" t="s">
        <v>5197</v>
      </c>
      <c r="AI5588" t="s">
        <v>28017</v>
      </c>
      <c r="AJ5588" t="s">
        <v>2280</v>
      </c>
      <c r="AK5588" t="s">
        <v>28018</v>
      </c>
      <c r="AL5588" s="13" t="s">
        <v>2255</v>
      </c>
      <c r="AM5588">
        <v>1</v>
      </c>
      <c r="AN5588" s="15" t="s">
        <v>964</v>
      </c>
    </row>
    <row r="5589" spans="1:40" x14ac:dyDescent="0.3">
      <c r="A5589" s="10" t="str">
        <f>HYPERLINK("http://www.washoecounty.gov/assessor/cama/?parid=165-035-11&amp;CardNumber=1","165-035-11")</f>
        <v>165-035-11</v>
      </c>
      <c r="B5589" t="s">
        <v>4655</v>
      </c>
      <c r="C5589" t="s">
        <v>28019</v>
      </c>
      <c r="D5589" s="1">
        <v>40512</v>
      </c>
      <c r="E5589" s="2">
        <v>220000</v>
      </c>
      <c r="F5589" t="s">
        <v>4567</v>
      </c>
      <c r="G5589" s="17" t="str">
        <f>HYPERLINK("https://www.washoecounty.gov/assessor/cama/?command=sales&amp;parid=16503511","3947758")</f>
        <v>3947758</v>
      </c>
      <c r="H5589" t="s">
        <v>2279</v>
      </c>
      <c r="I5589">
        <v>2008</v>
      </c>
      <c r="J5589">
        <v>2008</v>
      </c>
      <c r="K5589" t="s">
        <v>4554</v>
      </c>
      <c r="L5589" t="s">
        <v>3974</v>
      </c>
      <c r="M5589" s="2">
        <v>2594</v>
      </c>
      <c r="N5589" t="s">
        <v>5280</v>
      </c>
      <c r="O5589">
        <v>4</v>
      </c>
      <c r="P5589">
        <v>3</v>
      </c>
      <c r="Q5589">
        <v>0</v>
      </c>
      <c r="R5589" t="s">
        <v>5281</v>
      </c>
      <c r="S5589" t="s">
        <v>4898</v>
      </c>
      <c r="T5589" t="s">
        <v>4559</v>
      </c>
      <c r="U5589" t="s">
        <v>5631</v>
      </c>
      <c r="V5589" s="2">
        <v>655</v>
      </c>
      <c r="W5589" t="s">
        <v>4655</v>
      </c>
      <c r="X5589" s="2">
        <v>0</v>
      </c>
      <c r="Y5589">
        <v>20</v>
      </c>
      <c r="Z5589" t="s">
        <v>1491</v>
      </c>
      <c r="AA5589" s="3">
        <v>0.12435720860958099</v>
      </c>
      <c r="AB5589" t="s">
        <v>28020</v>
      </c>
      <c r="AC5589" t="s">
        <v>4562</v>
      </c>
      <c r="AD5589" t="s">
        <v>28019</v>
      </c>
      <c r="AE5589" t="s">
        <v>4655</v>
      </c>
      <c r="AF5589" t="s">
        <v>4563</v>
      </c>
      <c r="AG5589" t="s">
        <v>4564</v>
      </c>
      <c r="AH5589" t="s">
        <v>5197</v>
      </c>
      <c r="AI5589" t="s">
        <v>28021</v>
      </c>
      <c r="AJ5589" t="s">
        <v>2280</v>
      </c>
      <c r="AK5589" t="s">
        <v>28022</v>
      </c>
      <c r="AL5589" s="13" t="s">
        <v>2255</v>
      </c>
      <c r="AM5589">
        <v>1</v>
      </c>
      <c r="AN5589" s="15" t="s">
        <v>964</v>
      </c>
    </row>
    <row r="5590" spans="1:40" x14ac:dyDescent="0.3">
      <c r="A5590" s="10" t="str">
        <f>HYPERLINK("http://www.washoecounty.gov/assessor/cama/?parid=165-036-01&amp;CardNumber=1","165-036-01")</f>
        <v>165-036-01</v>
      </c>
      <c r="B5590" t="s">
        <v>4655</v>
      </c>
      <c r="C5590" t="s">
        <v>28023</v>
      </c>
      <c r="D5590" s="1">
        <v>40235</v>
      </c>
      <c r="E5590" s="2">
        <v>613000</v>
      </c>
      <c r="F5590" t="s">
        <v>3174</v>
      </c>
      <c r="G5590" s="17" t="str">
        <f>HYPERLINK("https://www.washoecounty.gov/assessor/cama/?command=sales&amp;parid=16503601","3853439")</f>
        <v>3853439</v>
      </c>
      <c r="H5590" t="s">
        <v>2279</v>
      </c>
      <c r="I5590">
        <v>2010</v>
      </c>
      <c r="J5590">
        <v>2010</v>
      </c>
      <c r="K5590" t="s">
        <v>4554</v>
      </c>
      <c r="L5590" t="s">
        <v>4555</v>
      </c>
      <c r="M5590" s="2">
        <v>1910</v>
      </c>
      <c r="N5590" t="s">
        <v>5280</v>
      </c>
      <c r="O5590">
        <v>3</v>
      </c>
      <c r="P5590">
        <v>2</v>
      </c>
      <c r="Q5590">
        <v>0</v>
      </c>
      <c r="R5590" t="s">
        <v>5281</v>
      </c>
      <c r="S5590" t="s">
        <v>4898</v>
      </c>
      <c r="T5590" t="s">
        <v>2704</v>
      </c>
      <c r="U5590" t="s">
        <v>4560</v>
      </c>
      <c r="V5590" s="2">
        <v>420</v>
      </c>
      <c r="W5590" t="s">
        <v>4655</v>
      </c>
      <c r="X5590" s="2">
        <v>0</v>
      </c>
      <c r="Y5590">
        <v>12</v>
      </c>
      <c r="Z5590" t="s">
        <v>1491</v>
      </c>
      <c r="AA5590" s="3">
        <v>0.15523415803909299</v>
      </c>
      <c r="AB5590" t="s">
        <v>28024</v>
      </c>
      <c r="AC5590" t="s">
        <v>4562</v>
      </c>
      <c r="AD5590" t="s">
        <v>28025</v>
      </c>
      <c r="AE5590" t="s">
        <v>4655</v>
      </c>
      <c r="AF5590" t="s">
        <v>4563</v>
      </c>
      <c r="AG5590" t="s">
        <v>4564</v>
      </c>
      <c r="AH5590" t="s">
        <v>5197</v>
      </c>
      <c r="AI5590" t="s">
        <v>549</v>
      </c>
      <c r="AJ5590" t="s">
        <v>2280</v>
      </c>
      <c r="AK5590" t="s">
        <v>28026</v>
      </c>
      <c r="AL5590" s="13" t="s">
        <v>2255</v>
      </c>
      <c r="AM5590">
        <v>1</v>
      </c>
      <c r="AN5590" s="15" t="s">
        <v>964</v>
      </c>
    </row>
    <row r="5591" spans="1:40" x14ac:dyDescent="0.3">
      <c r="A5591" s="10" t="str">
        <f>HYPERLINK("http://www.washoecounty.gov/assessor/cama/?parid=165-036-01&amp;CardNumber=1","165-036-01")</f>
        <v>165-036-01</v>
      </c>
      <c r="B5591" t="s">
        <v>4655</v>
      </c>
      <c r="C5591" t="s">
        <v>28023</v>
      </c>
      <c r="D5591" s="1">
        <v>40354</v>
      </c>
      <c r="E5591" s="2">
        <v>243500</v>
      </c>
      <c r="F5591" t="s">
        <v>4567</v>
      </c>
      <c r="G5591" s="17" t="str">
        <f>HYPERLINK("https://www.washoecounty.gov/assessor/cama/?command=sales&amp;parid=16503601","3895497")</f>
        <v>3895497</v>
      </c>
      <c r="H5591" t="s">
        <v>2279</v>
      </c>
      <c r="I5591">
        <v>2010</v>
      </c>
      <c r="J5591">
        <v>2010</v>
      </c>
      <c r="K5591" t="s">
        <v>4554</v>
      </c>
      <c r="L5591" t="s">
        <v>4555</v>
      </c>
      <c r="M5591" s="2">
        <v>1910</v>
      </c>
      <c r="N5591" t="s">
        <v>5280</v>
      </c>
      <c r="O5591">
        <v>3</v>
      </c>
      <c r="P5591">
        <v>2</v>
      </c>
      <c r="Q5591">
        <v>0</v>
      </c>
      <c r="R5591" t="s">
        <v>5281</v>
      </c>
      <c r="S5591" t="s">
        <v>4898</v>
      </c>
      <c r="T5591" t="s">
        <v>2704</v>
      </c>
      <c r="U5591" t="s">
        <v>4560</v>
      </c>
      <c r="V5591" s="2">
        <v>420</v>
      </c>
      <c r="W5591" t="s">
        <v>4655</v>
      </c>
      <c r="X5591" s="2">
        <v>0</v>
      </c>
      <c r="Y5591">
        <v>20</v>
      </c>
      <c r="Z5591" t="s">
        <v>1491</v>
      </c>
      <c r="AA5591" s="3">
        <v>0.15523415803909299</v>
      </c>
      <c r="AB5591" t="s">
        <v>28024</v>
      </c>
      <c r="AC5591" t="s">
        <v>4562</v>
      </c>
      <c r="AD5591" t="s">
        <v>28025</v>
      </c>
      <c r="AE5591" t="s">
        <v>4655</v>
      </c>
      <c r="AF5591" t="s">
        <v>4563</v>
      </c>
      <c r="AG5591" t="s">
        <v>4564</v>
      </c>
      <c r="AH5591" t="s">
        <v>5197</v>
      </c>
      <c r="AI5591" t="s">
        <v>549</v>
      </c>
      <c r="AJ5591" t="s">
        <v>2280</v>
      </c>
      <c r="AK5591" t="s">
        <v>28026</v>
      </c>
      <c r="AL5591" s="13" t="s">
        <v>2255</v>
      </c>
      <c r="AM5591">
        <v>1</v>
      </c>
      <c r="AN5591" s="15" t="s">
        <v>964</v>
      </c>
    </row>
    <row r="5592" spans="1:40" x14ac:dyDescent="0.3">
      <c r="A5592" s="10" t="str">
        <f>HYPERLINK("http://www.washoecounty.gov/assessor/cama/?parid=165-036-02&amp;CardNumber=1","165-036-02")</f>
        <v>165-036-02</v>
      </c>
      <c r="B5592" t="s">
        <v>4655</v>
      </c>
      <c r="C5592" t="s">
        <v>28027</v>
      </c>
      <c r="D5592" s="1">
        <v>40235</v>
      </c>
      <c r="E5592" s="2">
        <v>613000</v>
      </c>
      <c r="F5592" t="s">
        <v>3174</v>
      </c>
      <c r="G5592" s="17" t="str">
        <f>HYPERLINK("https://www.washoecounty.gov/assessor/cama/?command=sales&amp;parid=16503602","3853439")</f>
        <v>3853439</v>
      </c>
      <c r="H5592" t="s">
        <v>2279</v>
      </c>
      <c r="I5592">
        <v>2010</v>
      </c>
      <c r="J5592">
        <v>2010</v>
      </c>
      <c r="K5592" t="s">
        <v>4554</v>
      </c>
      <c r="L5592" t="s">
        <v>3974</v>
      </c>
      <c r="M5592" s="2">
        <v>2710</v>
      </c>
      <c r="N5592" t="s">
        <v>5280</v>
      </c>
      <c r="O5592">
        <v>5</v>
      </c>
      <c r="P5592">
        <v>3</v>
      </c>
      <c r="Q5592">
        <v>0</v>
      </c>
      <c r="R5592" t="s">
        <v>5281</v>
      </c>
      <c r="S5592" t="s">
        <v>4898</v>
      </c>
      <c r="T5592" t="s">
        <v>2704</v>
      </c>
      <c r="U5592" t="s">
        <v>5631</v>
      </c>
      <c r="V5592" s="2">
        <v>660</v>
      </c>
      <c r="W5592" t="s">
        <v>4655</v>
      </c>
      <c r="X5592" s="2">
        <v>0</v>
      </c>
      <c r="Y5592">
        <v>12</v>
      </c>
      <c r="Z5592" t="s">
        <v>1491</v>
      </c>
      <c r="AA5592" s="3">
        <v>0.121763087809086</v>
      </c>
      <c r="AB5592" t="s">
        <v>28028</v>
      </c>
      <c r="AC5592" t="s">
        <v>4562</v>
      </c>
      <c r="AD5592" t="s">
        <v>28027</v>
      </c>
      <c r="AE5592" t="s">
        <v>4655</v>
      </c>
      <c r="AF5592" t="s">
        <v>4563</v>
      </c>
      <c r="AG5592" t="s">
        <v>4564</v>
      </c>
      <c r="AH5592" t="s">
        <v>5197</v>
      </c>
      <c r="AI5592" t="s">
        <v>549</v>
      </c>
      <c r="AJ5592" t="s">
        <v>2280</v>
      </c>
      <c r="AK5592" t="s">
        <v>28029</v>
      </c>
      <c r="AL5592" s="13" t="s">
        <v>2255</v>
      </c>
      <c r="AM5592">
        <v>1</v>
      </c>
      <c r="AN5592" s="15" t="s">
        <v>964</v>
      </c>
    </row>
    <row r="5593" spans="1:40" x14ac:dyDescent="0.3">
      <c r="A5593" s="10" t="str">
        <f>HYPERLINK("http://www.washoecounty.gov/assessor/cama/?parid=165-036-02&amp;CardNumber=1","165-036-02")</f>
        <v>165-036-02</v>
      </c>
      <c r="B5593" t="s">
        <v>4655</v>
      </c>
      <c r="C5593" t="s">
        <v>28027</v>
      </c>
      <c r="D5593" s="1">
        <v>40347</v>
      </c>
      <c r="E5593" s="2">
        <v>287583</v>
      </c>
      <c r="F5593" t="s">
        <v>4567</v>
      </c>
      <c r="G5593" s="17" t="str">
        <f>HYPERLINK("https://www.washoecounty.gov/assessor/cama/?command=sales&amp;parid=16503602","3893539")</f>
        <v>3893539</v>
      </c>
      <c r="H5593" t="s">
        <v>2279</v>
      </c>
      <c r="I5593">
        <v>2010</v>
      </c>
      <c r="J5593">
        <v>2010</v>
      </c>
      <c r="K5593" t="s">
        <v>4554</v>
      </c>
      <c r="L5593" t="s">
        <v>3974</v>
      </c>
      <c r="M5593" s="2">
        <v>2710</v>
      </c>
      <c r="N5593" t="s">
        <v>5280</v>
      </c>
      <c r="O5593">
        <v>5</v>
      </c>
      <c r="P5593">
        <v>3</v>
      </c>
      <c r="Q5593">
        <v>0</v>
      </c>
      <c r="R5593" t="s">
        <v>5281</v>
      </c>
      <c r="S5593" t="s">
        <v>4898</v>
      </c>
      <c r="T5593" t="s">
        <v>2704</v>
      </c>
      <c r="U5593" t="s">
        <v>5631</v>
      </c>
      <c r="V5593" s="2">
        <v>660</v>
      </c>
      <c r="W5593" t="s">
        <v>4655</v>
      </c>
      <c r="X5593" s="2">
        <v>0</v>
      </c>
      <c r="Y5593">
        <v>20</v>
      </c>
      <c r="Z5593" t="s">
        <v>1491</v>
      </c>
      <c r="AA5593" s="3">
        <v>0.121763087809086</v>
      </c>
      <c r="AB5593" t="s">
        <v>28028</v>
      </c>
      <c r="AC5593" t="s">
        <v>4562</v>
      </c>
      <c r="AD5593" t="s">
        <v>28027</v>
      </c>
      <c r="AE5593" t="s">
        <v>4655</v>
      </c>
      <c r="AF5593" t="s">
        <v>4563</v>
      </c>
      <c r="AG5593" t="s">
        <v>4564</v>
      </c>
      <c r="AH5593" t="s">
        <v>5197</v>
      </c>
      <c r="AI5593" t="s">
        <v>549</v>
      </c>
      <c r="AJ5593" t="s">
        <v>2280</v>
      </c>
      <c r="AK5593" t="s">
        <v>28029</v>
      </c>
      <c r="AL5593" s="13" t="s">
        <v>2255</v>
      </c>
      <c r="AM5593">
        <v>1</v>
      </c>
      <c r="AN5593" s="15" t="s">
        <v>964</v>
      </c>
    </row>
    <row r="5594" spans="1:40" x14ac:dyDescent="0.3">
      <c r="A5594" s="10" t="str">
        <f>HYPERLINK("http://www.washoecounty.gov/assessor/cama/?parid=165-036-03&amp;CardNumber=1","165-036-03")</f>
        <v>165-036-03</v>
      </c>
      <c r="B5594" t="s">
        <v>4655</v>
      </c>
      <c r="C5594" t="s">
        <v>28030</v>
      </c>
      <c r="D5594" s="1">
        <v>40235</v>
      </c>
      <c r="E5594" s="2">
        <v>613000</v>
      </c>
      <c r="F5594" t="s">
        <v>3174</v>
      </c>
      <c r="G5594" s="17" t="str">
        <f>HYPERLINK("https://www.washoecounty.gov/assessor/cama/?command=sales&amp;parid=16503603","3853439")</f>
        <v>3853439</v>
      </c>
      <c r="H5594" t="s">
        <v>2279</v>
      </c>
      <c r="I5594">
        <v>2010</v>
      </c>
      <c r="J5594">
        <v>2010</v>
      </c>
      <c r="K5594" t="s">
        <v>4554</v>
      </c>
      <c r="L5594" t="s">
        <v>3974</v>
      </c>
      <c r="M5594" s="2">
        <v>2396</v>
      </c>
      <c r="N5594" t="s">
        <v>5280</v>
      </c>
      <c r="O5594">
        <v>5</v>
      </c>
      <c r="P5594">
        <v>3</v>
      </c>
      <c r="Q5594">
        <v>0</v>
      </c>
      <c r="R5594" t="s">
        <v>5281</v>
      </c>
      <c r="S5594" t="s">
        <v>4898</v>
      </c>
      <c r="T5594" t="s">
        <v>2704</v>
      </c>
      <c r="U5594" t="s">
        <v>5631</v>
      </c>
      <c r="V5594" s="2">
        <v>488</v>
      </c>
      <c r="W5594" t="s">
        <v>4655</v>
      </c>
      <c r="X5594" s="2">
        <v>0</v>
      </c>
      <c r="Y5594">
        <v>12</v>
      </c>
      <c r="Z5594" t="s">
        <v>1491</v>
      </c>
      <c r="AA5594" s="3">
        <v>0.121854916214943</v>
      </c>
      <c r="AB5594" t="s">
        <v>28031</v>
      </c>
      <c r="AC5594" t="s">
        <v>4562</v>
      </c>
      <c r="AD5594" t="s">
        <v>28032</v>
      </c>
      <c r="AE5594" t="s">
        <v>4655</v>
      </c>
      <c r="AF5594" t="s">
        <v>4563</v>
      </c>
      <c r="AG5594" t="s">
        <v>4564</v>
      </c>
      <c r="AH5594" t="s">
        <v>5197</v>
      </c>
      <c r="AI5594" t="s">
        <v>549</v>
      </c>
      <c r="AJ5594" t="s">
        <v>2280</v>
      </c>
      <c r="AK5594" t="s">
        <v>28033</v>
      </c>
      <c r="AL5594" s="13" t="s">
        <v>2255</v>
      </c>
      <c r="AM5594">
        <v>1</v>
      </c>
      <c r="AN5594" s="15" t="s">
        <v>964</v>
      </c>
    </row>
    <row r="5595" spans="1:40" x14ac:dyDescent="0.3">
      <c r="A5595" s="10" t="str">
        <f>HYPERLINK("http://www.washoecounty.gov/assessor/cama/?parid=165-036-03&amp;CardNumber=1","165-036-03")</f>
        <v>165-036-03</v>
      </c>
      <c r="B5595" t="s">
        <v>4655</v>
      </c>
      <c r="C5595" t="s">
        <v>28030</v>
      </c>
      <c r="D5595" s="1">
        <v>40451</v>
      </c>
      <c r="E5595" s="2">
        <v>256990</v>
      </c>
      <c r="F5595" t="s">
        <v>4567</v>
      </c>
      <c r="G5595" s="17" t="str">
        <f>HYPERLINK("https://www.washoecounty.gov/assessor/cama/?command=sales&amp;parid=16503603","3928211")</f>
        <v>3928211</v>
      </c>
      <c r="H5595" t="s">
        <v>2279</v>
      </c>
      <c r="I5595">
        <v>2010</v>
      </c>
      <c r="J5595">
        <v>2010</v>
      </c>
      <c r="K5595" t="s">
        <v>4554</v>
      </c>
      <c r="L5595" t="s">
        <v>3974</v>
      </c>
      <c r="M5595" s="2">
        <v>2396</v>
      </c>
      <c r="N5595" t="s">
        <v>5280</v>
      </c>
      <c r="O5595">
        <v>5</v>
      </c>
      <c r="P5595">
        <v>3</v>
      </c>
      <c r="Q5595">
        <v>0</v>
      </c>
      <c r="R5595" t="s">
        <v>5281</v>
      </c>
      <c r="S5595" t="s">
        <v>4898</v>
      </c>
      <c r="T5595" t="s">
        <v>2704</v>
      </c>
      <c r="U5595" t="s">
        <v>5631</v>
      </c>
      <c r="V5595" s="2">
        <v>488</v>
      </c>
      <c r="W5595" t="s">
        <v>4655</v>
      </c>
      <c r="X5595" s="2">
        <v>0</v>
      </c>
      <c r="Y5595">
        <v>20</v>
      </c>
      <c r="Z5595" t="s">
        <v>1491</v>
      </c>
      <c r="AA5595" s="3">
        <v>0.121854916214943</v>
      </c>
      <c r="AB5595" t="s">
        <v>28031</v>
      </c>
      <c r="AC5595" t="s">
        <v>4562</v>
      </c>
      <c r="AD5595" t="s">
        <v>28032</v>
      </c>
      <c r="AE5595" t="s">
        <v>4655</v>
      </c>
      <c r="AF5595" t="s">
        <v>4563</v>
      </c>
      <c r="AG5595" t="s">
        <v>4564</v>
      </c>
      <c r="AH5595" t="s">
        <v>5197</v>
      </c>
      <c r="AI5595" t="s">
        <v>549</v>
      </c>
      <c r="AJ5595" t="s">
        <v>2280</v>
      </c>
      <c r="AK5595" t="s">
        <v>28033</v>
      </c>
      <c r="AL5595" s="13" t="s">
        <v>2255</v>
      </c>
      <c r="AM5595">
        <v>1</v>
      </c>
      <c r="AN5595" s="15" t="s">
        <v>964</v>
      </c>
    </row>
    <row r="5596" spans="1:40" x14ac:dyDescent="0.3">
      <c r="A5596" s="10" t="str">
        <f>HYPERLINK("http://www.washoecounty.gov/assessor/cama/?parid=165-036-04&amp;CardNumber=1","165-036-04")</f>
        <v>165-036-04</v>
      </c>
      <c r="B5596" t="s">
        <v>4655</v>
      </c>
      <c r="C5596" t="s">
        <v>28034</v>
      </c>
      <c r="D5596" s="1">
        <v>40415</v>
      </c>
      <c r="E5596" s="2">
        <v>249732</v>
      </c>
      <c r="F5596" t="s">
        <v>4567</v>
      </c>
      <c r="G5596" s="17" t="str">
        <f>HYPERLINK("https://www.washoecounty.gov/assessor/cama/?command=sales&amp;parid=16503604","3915359")</f>
        <v>3915359</v>
      </c>
      <c r="H5596" t="s">
        <v>2279</v>
      </c>
      <c r="I5596">
        <v>2010</v>
      </c>
      <c r="J5596">
        <v>2010</v>
      </c>
      <c r="K5596" t="s">
        <v>4554</v>
      </c>
      <c r="L5596" t="s">
        <v>3974</v>
      </c>
      <c r="M5596" s="2">
        <v>2166</v>
      </c>
      <c r="N5596" t="s">
        <v>5280</v>
      </c>
      <c r="O5596">
        <v>4</v>
      </c>
      <c r="P5596">
        <v>3</v>
      </c>
      <c r="Q5596">
        <v>0</v>
      </c>
      <c r="R5596" t="s">
        <v>5281</v>
      </c>
      <c r="S5596" t="s">
        <v>4898</v>
      </c>
      <c r="T5596" t="s">
        <v>2704</v>
      </c>
      <c r="U5596" t="s">
        <v>5631</v>
      </c>
      <c r="V5596" s="2">
        <v>462</v>
      </c>
      <c r="W5596" t="s">
        <v>4655</v>
      </c>
      <c r="X5596" s="2">
        <v>0</v>
      </c>
      <c r="Y5596">
        <v>20</v>
      </c>
      <c r="Z5596" t="s">
        <v>1491</v>
      </c>
      <c r="AA5596" s="3">
        <v>0.121258035302162</v>
      </c>
      <c r="AB5596" t="s">
        <v>28035</v>
      </c>
      <c r="AC5596" t="s">
        <v>4562</v>
      </c>
      <c r="AD5596" t="s">
        <v>28036</v>
      </c>
      <c r="AE5596" t="s">
        <v>4655</v>
      </c>
      <c r="AF5596" t="s">
        <v>28037</v>
      </c>
      <c r="AG5596" t="s">
        <v>762</v>
      </c>
      <c r="AH5596" t="s">
        <v>2556</v>
      </c>
      <c r="AI5596" t="s">
        <v>549</v>
      </c>
      <c r="AJ5596" t="s">
        <v>2280</v>
      </c>
      <c r="AK5596" t="s">
        <v>28038</v>
      </c>
      <c r="AL5596" s="13" t="s">
        <v>2255</v>
      </c>
      <c r="AM5596">
        <v>1</v>
      </c>
      <c r="AN5596" s="15" t="s">
        <v>964</v>
      </c>
    </row>
    <row r="5597" spans="1:40" x14ac:dyDescent="0.3">
      <c r="A5597" s="10" t="str">
        <f>HYPERLINK("http://www.washoecounty.gov/assessor/cama/?parid=165-036-05&amp;CardNumber=1","165-036-05")</f>
        <v>165-036-05</v>
      </c>
      <c r="B5597" t="s">
        <v>4655</v>
      </c>
      <c r="C5597" t="s">
        <v>28039</v>
      </c>
      <c r="D5597" s="1">
        <v>40312</v>
      </c>
      <c r="E5597" s="2">
        <v>272863</v>
      </c>
      <c r="F5597" t="s">
        <v>4567</v>
      </c>
      <c r="G5597" s="17" t="str">
        <f>HYPERLINK("https://www.washoecounty.gov/assessor/cama/?command=sales&amp;parid=16503605","3881821")</f>
        <v>3881821</v>
      </c>
      <c r="H5597" t="s">
        <v>2279</v>
      </c>
      <c r="I5597">
        <v>2010</v>
      </c>
      <c r="J5597">
        <v>2010</v>
      </c>
      <c r="K5597" t="s">
        <v>4554</v>
      </c>
      <c r="L5597" t="s">
        <v>3974</v>
      </c>
      <c r="M5597" s="2">
        <v>2710</v>
      </c>
      <c r="N5597" t="s">
        <v>5280</v>
      </c>
      <c r="O5597">
        <v>5</v>
      </c>
      <c r="P5597">
        <v>3</v>
      </c>
      <c r="Q5597">
        <v>0</v>
      </c>
      <c r="R5597" t="s">
        <v>5281</v>
      </c>
      <c r="S5597" t="s">
        <v>4898</v>
      </c>
      <c r="T5597" t="s">
        <v>2704</v>
      </c>
      <c r="U5597" t="s">
        <v>5631</v>
      </c>
      <c r="V5597" s="2">
        <v>660</v>
      </c>
      <c r="W5597" t="s">
        <v>4655</v>
      </c>
      <c r="X5597" s="2">
        <v>0</v>
      </c>
      <c r="Y5597">
        <v>20</v>
      </c>
      <c r="Z5597" t="s">
        <v>1491</v>
      </c>
      <c r="AA5597" s="3">
        <v>0.120247930288315</v>
      </c>
      <c r="AB5597" t="s">
        <v>28040</v>
      </c>
      <c r="AC5597" t="s">
        <v>4562</v>
      </c>
      <c r="AD5597" t="s">
        <v>28039</v>
      </c>
      <c r="AE5597" t="s">
        <v>4655</v>
      </c>
      <c r="AF5597" t="s">
        <v>4563</v>
      </c>
      <c r="AG5597" t="s">
        <v>4564</v>
      </c>
      <c r="AH5597" t="s">
        <v>5197</v>
      </c>
      <c r="AI5597" t="s">
        <v>549</v>
      </c>
      <c r="AJ5597" t="s">
        <v>2280</v>
      </c>
      <c r="AK5597" t="s">
        <v>28041</v>
      </c>
      <c r="AL5597" s="13" t="s">
        <v>2255</v>
      </c>
      <c r="AM5597">
        <v>1</v>
      </c>
      <c r="AN5597" s="15" t="s">
        <v>964</v>
      </c>
    </row>
    <row r="5598" spans="1:40" x14ac:dyDescent="0.3">
      <c r="A5598" s="10" t="str">
        <f>HYPERLINK("http://www.washoecounty.gov/assessor/cama/?parid=165-036-06&amp;CardNumber=1","165-036-06")</f>
        <v>165-036-06</v>
      </c>
      <c r="B5598" t="s">
        <v>4655</v>
      </c>
      <c r="C5598" t="s">
        <v>28042</v>
      </c>
      <c r="D5598" s="1">
        <v>40312</v>
      </c>
      <c r="E5598" s="2">
        <v>235434</v>
      </c>
      <c r="F5598" t="s">
        <v>4567</v>
      </c>
      <c r="G5598" s="17" t="str">
        <f>HYPERLINK("https://www.washoecounty.gov/assessor/cama/?command=sales&amp;parid=16503606","3881700")</f>
        <v>3881700</v>
      </c>
      <c r="H5598" t="s">
        <v>2279</v>
      </c>
      <c r="I5598">
        <v>2010</v>
      </c>
      <c r="J5598">
        <v>2010</v>
      </c>
      <c r="K5598" t="s">
        <v>4554</v>
      </c>
      <c r="L5598" t="s">
        <v>4555</v>
      </c>
      <c r="M5598" s="2">
        <v>1910</v>
      </c>
      <c r="N5598" t="s">
        <v>5280</v>
      </c>
      <c r="O5598">
        <v>3</v>
      </c>
      <c r="P5598">
        <v>2</v>
      </c>
      <c r="Q5598">
        <v>0</v>
      </c>
      <c r="R5598" t="s">
        <v>5281</v>
      </c>
      <c r="S5598" t="s">
        <v>4898</v>
      </c>
      <c r="T5598" t="s">
        <v>2704</v>
      </c>
      <c r="U5598" t="s">
        <v>4560</v>
      </c>
      <c r="V5598" s="2">
        <v>420</v>
      </c>
      <c r="W5598" t="s">
        <v>4655</v>
      </c>
      <c r="X5598" s="2">
        <v>0</v>
      </c>
      <c r="Y5598">
        <v>20</v>
      </c>
      <c r="Z5598" t="s">
        <v>1491</v>
      </c>
      <c r="AA5598" s="3">
        <v>0.118755742907524</v>
      </c>
      <c r="AB5598" t="s">
        <v>28043</v>
      </c>
      <c r="AC5598" t="s">
        <v>4575</v>
      </c>
      <c r="AD5598" t="s">
        <v>28042</v>
      </c>
      <c r="AE5598" t="s">
        <v>4655</v>
      </c>
      <c r="AF5598" t="s">
        <v>4563</v>
      </c>
      <c r="AG5598" t="s">
        <v>4564</v>
      </c>
      <c r="AH5598" t="s">
        <v>5197</v>
      </c>
      <c r="AI5598" t="s">
        <v>549</v>
      </c>
      <c r="AJ5598" t="s">
        <v>2280</v>
      </c>
      <c r="AK5598" t="s">
        <v>28044</v>
      </c>
      <c r="AL5598" s="13" t="s">
        <v>2255</v>
      </c>
      <c r="AM5598">
        <v>1</v>
      </c>
      <c r="AN5598" s="15" t="s">
        <v>964</v>
      </c>
    </row>
    <row r="5599" spans="1:40" x14ac:dyDescent="0.3">
      <c r="A5599" s="10" t="str">
        <f>HYPERLINK("http://www.washoecounty.gov/assessor/cama/?parid=165-036-07&amp;CardNumber=1","165-036-07")</f>
        <v>165-036-07</v>
      </c>
      <c r="B5599" t="s">
        <v>4655</v>
      </c>
      <c r="C5599" t="s">
        <v>671</v>
      </c>
      <c r="D5599" s="1">
        <v>40539</v>
      </c>
      <c r="E5599" s="2">
        <v>214990</v>
      </c>
      <c r="F5599" t="s">
        <v>4567</v>
      </c>
      <c r="G5599" s="17" t="str">
        <f>HYPERLINK("https://www.washoecounty.gov/assessor/cama/?command=sales&amp;parid=16503607","3957654")</f>
        <v>3957654</v>
      </c>
      <c r="H5599" t="s">
        <v>2279</v>
      </c>
      <c r="I5599">
        <v>2010</v>
      </c>
      <c r="J5599">
        <v>2010</v>
      </c>
      <c r="K5599" t="s">
        <v>4554</v>
      </c>
      <c r="L5599" t="s">
        <v>3974</v>
      </c>
      <c r="M5599" s="2">
        <v>2166</v>
      </c>
      <c r="N5599" t="s">
        <v>5280</v>
      </c>
      <c r="O5599">
        <v>4</v>
      </c>
      <c r="P5599">
        <v>3</v>
      </c>
      <c r="Q5599">
        <v>0</v>
      </c>
      <c r="R5599" t="s">
        <v>5281</v>
      </c>
      <c r="S5599" t="s">
        <v>4898</v>
      </c>
      <c r="T5599" t="s">
        <v>2704</v>
      </c>
      <c r="U5599" t="s">
        <v>5631</v>
      </c>
      <c r="V5599" s="2">
        <v>462</v>
      </c>
      <c r="W5599" t="s">
        <v>4655</v>
      </c>
      <c r="X5599" s="2">
        <v>0</v>
      </c>
      <c r="Y5599">
        <v>20</v>
      </c>
      <c r="Z5599" t="s">
        <v>1491</v>
      </c>
      <c r="AA5599" s="3">
        <v>0.117378331720829</v>
      </c>
      <c r="AB5599" t="s">
        <v>4925</v>
      </c>
      <c r="AC5599" t="s">
        <v>4562</v>
      </c>
      <c r="AD5599" t="s">
        <v>4926</v>
      </c>
      <c r="AE5599" t="s">
        <v>4655</v>
      </c>
      <c r="AF5599" t="s">
        <v>3114</v>
      </c>
      <c r="AG5599" t="s">
        <v>4564</v>
      </c>
      <c r="AH5599">
        <v>89502</v>
      </c>
      <c r="AI5599" t="s">
        <v>28045</v>
      </c>
      <c r="AJ5599" t="s">
        <v>2280</v>
      </c>
      <c r="AK5599" t="s">
        <v>28046</v>
      </c>
      <c r="AL5599" s="13" t="s">
        <v>2255</v>
      </c>
      <c r="AM5599" s="14">
        <v>1</v>
      </c>
      <c r="AN5599" s="15" t="s">
        <v>964</v>
      </c>
    </row>
    <row r="5600" spans="1:40" x14ac:dyDescent="0.3">
      <c r="A5600" s="10" t="str">
        <f>HYPERLINK("http://www.washoecounty.gov/assessor/cama/?parid=165-036-08&amp;CardNumber=1","165-036-08")</f>
        <v>165-036-08</v>
      </c>
      <c r="B5600" t="s">
        <v>4655</v>
      </c>
      <c r="C5600" t="s">
        <v>28047</v>
      </c>
      <c r="D5600" s="1">
        <v>40338</v>
      </c>
      <c r="E5600" s="2">
        <v>260766</v>
      </c>
      <c r="F5600" t="s">
        <v>4567</v>
      </c>
      <c r="G5600" s="17" t="str">
        <f>HYPERLINK("https://www.washoecounty.gov/assessor/cama/?command=sales&amp;parid=16503608","3889932")</f>
        <v>3889932</v>
      </c>
      <c r="H5600" t="s">
        <v>2279</v>
      </c>
      <c r="I5600">
        <v>2010</v>
      </c>
      <c r="J5600">
        <v>2010</v>
      </c>
      <c r="K5600" t="s">
        <v>4554</v>
      </c>
      <c r="L5600" t="s">
        <v>3974</v>
      </c>
      <c r="M5600" s="2">
        <v>2396</v>
      </c>
      <c r="N5600" t="s">
        <v>5280</v>
      </c>
      <c r="O5600">
        <v>5</v>
      </c>
      <c r="P5600">
        <v>3</v>
      </c>
      <c r="Q5600">
        <v>0</v>
      </c>
      <c r="R5600" t="s">
        <v>5281</v>
      </c>
      <c r="S5600" t="s">
        <v>4898</v>
      </c>
      <c r="T5600" t="s">
        <v>2704</v>
      </c>
      <c r="U5600" t="s">
        <v>5631</v>
      </c>
      <c r="V5600" s="2">
        <v>488</v>
      </c>
      <c r="W5600" t="s">
        <v>4655</v>
      </c>
      <c r="X5600" s="2">
        <v>0</v>
      </c>
      <c r="Y5600">
        <v>20</v>
      </c>
      <c r="Z5600" t="s">
        <v>1491</v>
      </c>
      <c r="AA5600" s="3">
        <v>0.11733241379261</v>
      </c>
      <c r="AB5600" t="s">
        <v>28048</v>
      </c>
      <c r="AC5600" t="s">
        <v>4562</v>
      </c>
      <c r="AD5600" t="s">
        <v>28047</v>
      </c>
      <c r="AE5600" t="s">
        <v>4655</v>
      </c>
      <c r="AF5600" t="s">
        <v>4563</v>
      </c>
      <c r="AG5600" t="s">
        <v>4564</v>
      </c>
      <c r="AH5600" t="s">
        <v>5197</v>
      </c>
      <c r="AI5600" t="s">
        <v>549</v>
      </c>
      <c r="AJ5600" t="s">
        <v>2280</v>
      </c>
      <c r="AK5600" t="s">
        <v>28049</v>
      </c>
      <c r="AL5600" s="13" t="s">
        <v>2255</v>
      </c>
      <c r="AM5600" s="14">
        <v>1</v>
      </c>
      <c r="AN5600" s="15" t="s">
        <v>964</v>
      </c>
    </row>
    <row r="5601" spans="1:40" x14ac:dyDescent="0.3">
      <c r="A5601" s="10" t="str">
        <f>HYPERLINK("http://www.washoecounty.gov/assessor/cama/?parid=165-036-09&amp;CardNumber=1","165-036-09")</f>
        <v>165-036-09</v>
      </c>
      <c r="B5601" t="s">
        <v>4655</v>
      </c>
      <c r="C5601" t="s">
        <v>28050</v>
      </c>
      <c r="D5601" s="1">
        <v>40343</v>
      </c>
      <c r="E5601" s="2">
        <v>234458</v>
      </c>
      <c r="F5601" t="s">
        <v>4567</v>
      </c>
      <c r="G5601" s="17" t="str">
        <f>HYPERLINK("https://www.washoecounty.gov/assessor/cama/?command=sales&amp;parid=16503609","3891598")</f>
        <v>3891598</v>
      </c>
      <c r="H5601" t="s">
        <v>2279</v>
      </c>
      <c r="I5601">
        <v>2010</v>
      </c>
      <c r="J5601">
        <v>2010</v>
      </c>
      <c r="K5601" t="s">
        <v>4554</v>
      </c>
      <c r="L5601" t="s">
        <v>4555</v>
      </c>
      <c r="M5601" s="2">
        <v>1910</v>
      </c>
      <c r="N5601" t="s">
        <v>5280</v>
      </c>
      <c r="O5601">
        <v>3</v>
      </c>
      <c r="P5601">
        <v>2</v>
      </c>
      <c r="Q5601">
        <v>0</v>
      </c>
      <c r="R5601" t="s">
        <v>5281</v>
      </c>
      <c r="S5601" t="s">
        <v>4898</v>
      </c>
      <c r="T5601" t="s">
        <v>2704</v>
      </c>
      <c r="U5601" t="s">
        <v>4560</v>
      </c>
      <c r="V5601" s="2">
        <v>420</v>
      </c>
      <c r="W5601" t="s">
        <v>4655</v>
      </c>
      <c r="X5601" s="2">
        <v>0</v>
      </c>
      <c r="Y5601">
        <v>20</v>
      </c>
      <c r="Z5601" t="s">
        <v>1491</v>
      </c>
      <c r="AA5601" s="3">
        <v>0.11733241379261</v>
      </c>
      <c r="AB5601" t="s">
        <v>28051</v>
      </c>
      <c r="AC5601" t="s">
        <v>4562</v>
      </c>
      <c r="AD5601" t="s">
        <v>28052</v>
      </c>
      <c r="AE5601" t="s">
        <v>4655</v>
      </c>
      <c r="AF5601" t="s">
        <v>4563</v>
      </c>
      <c r="AG5601" t="s">
        <v>4564</v>
      </c>
      <c r="AH5601" t="s">
        <v>5197</v>
      </c>
      <c r="AI5601" t="s">
        <v>28053</v>
      </c>
      <c r="AJ5601" t="s">
        <v>2280</v>
      </c>
      <c r="AK5601" t="s">
        <v>28054</v>
      </c>
      <c r="AL5601" s="13" t="s">
        <v>2255</v>
      </c>
      <c r="AM5601">
        <v>1</v>
      </c>
      <c r="AN5601" s="15" t="s">
        <v>964</v>
      </c>
    </row>
    <row r="5602" spans="1:40" x14ac:dyDescent="0.3">
      <c r="A5602" s="10" t="str">
        <f>HYPERLINK("http://www.washoecounty.gov/assessor/cama/?parid=165-037-06&amp;CardNumber=1","165-037-06")</f>
        <v>165-037-06</v>
      </c>
      <c r="B5602" t="s">
        <v>4655</v>
      </c>
      <c r="C5602" t="s">
        <v>28055</v>
      </c>
      <c r="D5602" s="1">
        <v>40399</v>
      </c>
      <c r="E5602" s="2">
        <v>239900</v>
      </c>
      <c r="F5602" t="s">
        <v>4567</v>
      </c>
      <c r="G5602" s="17" t="str">
        <f>HYPERLINK("https://www.washoecounty.gov/assessor/cama/?command=sales&amp;parid=16503706","3909961")</f>
        <v>3909961</v>
      </c>
      <c r="H5602" t="s">
        <v>2279</v>
      </c>
      <c r="I5602">
        <v>2008</v>
      </c>
      <c r="J5602">
        <v>2008</v>
      </c>
      <c r="K5602" t="s">
        <v>4554</v>
      </c>
      <c r="L5602" t="s">
        <v>3974</v>
      </c>
      <c r="M5602" s="2">
        <v>2425</v>
      </c>
      <c r="N5602" t="s">
        <v>5280</v>
      </c>
      <c r="O5602">
        <v>4</v>
      </c>
      <c r="P5602">
        <v>3</v>
      </c>
      <c r="Q5602">
        <v>0</v>
      </c>
      <c r="R5602" t="s">
        <v>5281</v>
      </c>
      <c r="S5602" t="s">
        <v>4898</v>
      </c>
      <c r="T5602" t="s">
        <v>4559</v>
      </c>
      <c r="U5602" t="s">
        <v>162</v>
      </c>
      <c r="V5602" s="2">
        <v>752</v>
      </c>
      <c r="W5602" t="s">
        <v>4655</v>
      </c>
      <c r="X5602" s="2">
        <v>0</v>
      </c>
      <c r="Y5602">
        <v>20</v>
      </c>
      <c r="Z5602" t="s">
        <v>1491</v>
      </c>
      <c r="AA5602" s="3">
        <v>0.13397613167762756</v>
      </c>
      <c r="AB5602" t="s">
        <v>28056</v>
      </c>
      <c r="AC5602" t="s">
        <v>4562</v>
      </c>
      <c r="AD5602" t="s">
        <v>28055</v>
      </c>
      <c r="AE5602" t="s">
        <v>4655</v>
      </c>
      <c r="AF5602" t="s">
        <v>4563</v>
      </c>
      <c r="AG5602" t="s">
        <v>4564</v>
      </c>
      <c r="AH5602" t="s">
        <v>5197</v>
      </c>
      <c r="AI5602" t="s">
        <v>28057</v>
      </c>
      <c r="AJ5602" t="s">
        <v>2280</v>
      </c>
      <c r="AK5602" t="s">
        <v>28058</v>
      </c>
      <c r="AL5602" s="13" t="s">
        <v>2255</v>
      </c>
      <c r="AM5602">
        <v>1</v>
      </c>
      <c r="AN5602" s="15" t="s">
        <v>964</v>
      </c>
    </row>
    <row r="5603" spans="1:40" x14ac:dyDescent="0.3">
      <c r="A5603" s="10" t="str">
        <f>HYPERLINK("http://www.washoecounty.gov/assessor/cama/?parid=165-041-08&amp;CardNumber=1","165-041-08")</f>
        <v>165-041-08</v>
      </c>
      <c r="B5603" t="s">
        <v>4655</v>
      </c>
      <c r="C5603" t="s">
        <v>2092</v>
      </c>
      <c r="D5603" s="1">
        <v>40304</v>
      </c>
      <c r="E5603" s="2">
        <v>668000</v>
      </c>
      <c r="F5603" t="s">
        <v>3174</v>
      </c>
      <c r="G5603" s="17" t="str">
        <f>HYPERLINK("https://www.washoecounty.gov/assessor/cama/?command=sales&amp;parid=16504108","3878792")</f>
        <v>3878792</v>
      </c>
      <c r="H5603" t="s">
        <v>2279</v>
      </c>
      <c r="I5603">
        <v>2010</v>
      </c>
      <c r="J5603">
        <v>2010</v>
      </c>
      <c r="K5603" t="s">
        <v>4554</v>
      </c>
      <c r="L5603" t="s">
        <v>4555</v>
      </c>
      <c r="M5603" s="2">
        <v>1910</v>
      </c>
      <c r="N5603" t="s">
        <v>5280</v>
      </c>
      <c r="O5603">
        <v>3</v>
      </c>
      <c r="P5603">
        <v>2</v>
      </c>
      <c r="Q5603">
        <v>0</v>
      </c>
      <c r="R5603" t="s">
        <v>5281</v>
      </c>
      <c r="S5603" t="s">
        <v>4898</v>
      </c>
      <c r="T5603" t="s">
        <v>2704</v>
      </c>
      <c r="U5603" t="s">
        <v>4560</v>
      </c>
      <c r="V5603" s="2">
        <v>420</v>
      </c>
      <c r="W5603" t="s">
        <v>4655</v>
      </c>
      <c r="X5603" s="2">
        <v>0</v>
      </c>
      <c r="Y5603">
        <v>12</v>
      </c>
      <c r="Z5603" t="s">
        <v>1491</v>
      </c>
      <c r="AA5603" s="3">
        <v>0.140564739704132</v>
      </c>
      <c r="AB5603" t="s">
        <v>307</v>
      </c>
      <c r="AC5603" t="s">
        <v>4575</v>
      </c>
      <c r="AD5603" t="s">
        <v>308</v>
      </c>
      <c r="AE5603" t="s">
        <v>4655</v>
      </c>
      <c r="AF5603" t="s">
        <v>3809</v>
      </c>
      <c r="AG5603" t="s">
        <v>1434</v>
      </c>
      <c r="AH5603" t="s">
        <v>309</v>
      </c>
      <c r="AI5603" t="s">
        <v>549</v>
      </c>
      <c r="AJ5603" t="s">
        <v>2280</v>
      </c>
      <c r="AK5603" t="s">
        <v>2093</v>
      </c>
      <c r="AL5603" s="13" t="s">
        <v>2255</v>
      </c>
      <c r="AM5603">
        <v>1</v>
      </c>
      <c r="AN5603" s="15" t="s">
        <v>964</v>
      </c>
    </row>
    <row r="5604" spans="1:40" x14ac:dyDescent="0.3">
      <c r="A5604" s="10" t="str">
        <f>HYPERLINK("http://www.washoecounty.gov/assessor/cama/?parid=165-041-09&amp;CardNumber=1","165-041-09")</f>
        <v>165-041-09</v>
      </c>
      <c r="B5604" t="s">
        <v>4655</v>
      </c>
      <c r="C5604" t="s">
        <v>28059</v>
      </c>
      <c r="D5604" s="1">
        <v>40304</v>
      </c>
      <c r="E5604" s="2">
        <v>668000</v>
      </c>
      <c r="F5604" t="s">
        <v>3174</v>
      </c>
      <c r="G5604" s="17" t="str">
        <f>HYPERLINK("https://www.washoecounty.gov/assessor/cama/?command=sales&amp;parid=16504109","3878792")</f>
        <v>3878792</v>
      </c>
      <c r="H5604" t="s">
        <v>2279</v>
      </c>
      <c r="I5604">
        <v>2010</v>
      </c>
      <c r="J5604">
        <v>2010</v>
      </c>
      <c r="K5604" t="s">
        <v>4554</v>
      </c>
      <c r="L5604" t="s">
        <v>3974</v>
      </c>
      <c r="M5604" s="2">
        <v>2710</v>
      </c>
      <c r="N5604" t="s">
        <v>5280</v>
      </c>
      <c r="O5604">
        <v>5</v>
      </c>
      <c r="P5604">
        <v>3</v>
      </c>
      <c r="Q5604">
        <v>0</v>
      </c>
      <c r="R5604" t="s">
        <v>5281</v>
      </c>
      <c r="S5604" t="s">
        <v>4898</v>
      </c>
      <c r="T5604" t="s">
        <v>2704</v>
      </c>
      <c r="U5604" t="s">
        <v>5631</v>
      </c>
      <c r="V5604" s="2">
        <v>660</v>
      </c>
      <c r="W5604" t="s">
        <v>4655</v>
      </c>
      <c r="X5604" s="2">
        <v>0</v>
      </c>
      <c r="Y5604">
        <v>12</v>
      </c>
      <c r="Z5604" t="s">
        <v>1491</v>
      </c>
      <c r="AA5604" s="3">
        <v>0.15879246592521667</v>
      </c>
      <c r="AB5604" t="s">
        <v>28060</v>
      </c>
      <c r="AC5604" t="s">
        <v>4562</v>
      </c>
      <c r="AD5604" t="s">
        <v>28061</v>
      </c>
      <c r="AE5604" t="s">
        <v>4655</v>
      </c>
      <c r="AF5604" t="s">
        <v>4563</v>
      </c>
      <c r="AG5604" t="s">
        <v>4564</v>
      </c>
      <c r="AH5604" t="s">
        <v>5197</v>
      </c>
      <c r="AI5604" t="s">
        <v>549</v>
      </c>
      <c r="AJ5604" t="s">
        <v>2280</v>
      </c>
      <c r="AK5604" t="s">
        <v>28062</v>
      </c>
      <c r="AL5604" s="13" t="s">
        <v>2255</v>
      </c>
      <c r="AM5604">
        <v>1</v>
      </c>
      <c r="AN5604" s="15" t="s">
        <v>964</v>
      </c>
    </row>
    <row r="5605" spans="1:40" x14ac:dyDescent="0.3">
      <c r="A5605" s="10" t="str">
        <f>HYPERLINK("http://www.washoecounty.gov/assessor/cama/?parid=165-041-09&amp;CardNumber=1","165-041-09")</f>
        <v>165-041-09</v>
      </c>
      <c r="B5605" t="s">
        <v>4655</v>
      </c>
      <c r="C5605" t="s">
        <v>28059</v>
      </c>
      <c r="D5605" s="1">
        <v>40451</v>
      </c>
      <c r="E5605" s="2">
        <v>282854</v>
      </c>
      <c r="F5605" t="s">
        <v>4567</v>
      </c>
      <c r="G5605" s="17" t="str">
        <f>HYPERLINK("https://www.washoecounty.gov/assessor/cama/?command=sales&amp;parid=16504109","3928216")</f>
        <v>3928216</v>
      </c>
      <c r="H5605" t="s">
        <v>2279</v>
      </c>
      <c r="I5605">
        <v>2010</v>
      </c>
      <c r="J5605">
        <v>2010</v>
      </c>
      <c r="K5605" t="s">
        <v>4554</v>
      </c>
      <c r="L5605" t="s">
        <v>3974</v>
      </c>
      <c r="M5605" s="2">
        <v>2710</v>
      </c>
      <c r="N5605" t="s">
        <v>5280</v>
      </c>
      <c r="O5605">
        <v>5</v>
      </c>
      <c r="P5605">
        <v>3</v>
      </c>
      <c r="Q5605">
        <v>0</v>
      </c>
      <c r="R5605" t="s">
        <v>5281</v>
      </c>
      <c r="S5605" t="s">
        <v>4898</v>
      </c>
      <c r="T5605" t="s">
        <v>2704</v>
      </c>
      <c r="U5605" t="s">
        <v>5631</v>
      </c>
      <c r="V5605" s="2">
        <v>660</v>
      </c>
      <c r="W5605" t="s">
        <v>4655</v>
      </c>
      <c r="X5605" s="2">
        <v>0</v>
      </c>
      <c r="Y5605">
        <v>20</v>
      </c>
      <c r="Z5605" t="s">
        <v>1491</v>
      </c>
      <c r="AA5605" s="3">
        <v>0.15879246592521667</v>
      </c>
      <c r="AB5605" t="s">
        <v>28060</v>
      </c>
      <c r="AC5605" t="s">
        <v>4562</v>
      </c>
      <c r="AD5605" t="s">
        <v>28061</v>
      </c>
      <c r="AE5605" t="s">
        <v>4655</v>
      </c>
      <c r="AF5605" t="s">
        <v>4563</v>
      </c>
      <c r="AG5605" t="s">
        <v>4564</v>
      </c>
      <c r="AH5605" t="s">
        <v>5197</v>
      </c>
      <c r="AI5605" t="s">
        <v>549</v>
      </c>
      <c r="AJ5605" t="s">
        <v>2280</v>
      </c>
      <c r="AK5605" t="s">
        <v>28062</v>
      </c>
      <c r="AL5605" s="13" t="s">
        <v>2255</v>
      </c>
      <c r="AM5605">
        <v>1</v>
      </c>
      <c r="AN5605" s="15" t="s">
        <v>964</v>
      </c>
    </row>
    <row r="5606" spans="1:40" x14ac:dyDescent="0.3">
      <c r="A5606" s="10" t="str">
        <f>HYPERLINK("http://www.washoecounty.gov/assessor/cama/?parid=165-041-10&amp;CardNumber=1","165-041-10")</f>
        <v>165-041-10</v>
      </c>
      <c r="B5606" t="s">
        <v>4655</v>
      </c>
      <c r="C5606" t="s">
        <v>28063</v>
      </c>
      <c r="D5606" s="1">
        <v>40304</v>
      </c>
      <c r="E5606" s="2">
        <v>668000</v>
      </c>
      <c r="F5606" t="s">
        <v>3174</v>
      </c>
      <c r="G5606" s="17" t="str">
        <f>HYPERLINK("https://www.washoecounty.gov/assessor/cama/?command=sales&amp;parid=16504110","3878792")</f>
        <v>3878792</v>
      </c>
      <c r="H5606" t="s">
        <v>2279</v>
      </c>
      <c r="I5606">
        <v>2010</v>
      </c>
      <c r="J5606">
        <v>2010</v>
      </c>
      <c r="K5606" t="s">
        <v>4554</v>
      </c>
      <c r="L5606" t="s">
        <v>4555</v>
      </c>
      <c r="M5606" s="2">
        <v>1910</v>
      </c>
      <c r="N5606" t="s">
        <v>5280</v>
      </c>
      <c r="O5606">
        <v>3</v>
      </c>
      <c r="P5606">
        <v>2</v>
      </c>
      <c r="Q5606">
        <v>0</v>
      </c>
      <c r="R5606" t="s">
        <v>5281</v>
      </c>
      <c r="S5606" t="s">
        <v>4898</v>
      </c>
      <c r="T5606" t="s">
        <v>2704</v>
      </c>
      <c r="U5606" t="s">
        <v>4560</v>
      </c>
      <c r="V5606" s="2">
        <v>420</v>
      </c>
      <c r="W5606" t="s">
        <v>4655</v>
      </c>
      <c r="X5606" s="2">
        <v>0</v>
      </c>
      <c r="Y5606">
        <v>12</v>
      </c>
      <c r="Z5606" t="s">
        <v>1491</v>
      </c>
      <c r="AA5606" s="3">
        <v>0.13399907946586601</v>
      </c>
      <c r="AB5606" t="s">
        <v>24810</v>
      </c>
      <c r="AC5606" t="s">
        <v>4562</v>
      </c>
      <c r="AD5606" t="s">
        <v>28064</v>
      </c>
      <c r="AE5606" t="s">
        <v>4655</v>
      </c>
      <c r="AF5606" t="s">
        <v>4563</v>
      </c>
      <c r="AG5606" t="s">
        <v>4564</v>
      </c>
      <c r="AH5606" t="s">
        <v>5197</v>
      </c>
      <c r="AI5606" t="s">
        <v>549</v>
      </c>
      <c r="AJ5606" t="s">
        <v>2280</v>
      </c>
      <c r="AK5606" t="s">
        <v>28065</v>
      </c>
      <c r="AL5606" s="13" t="s">
        <v>2255</v>
      </c>
      <c r="AM5606" s="14">
        <v>1</v>
      </c>
      <c r="AN5606" s="15" t="s">
        <v>964</v>
      </c>
    </row>
    <row r="5607" spans="1:40" x14ac:dyDescent="0.3">
      <c r="A5607" s="10" t="str">
        <f>HYPERLINK("http://www.washoecounty.gov/assessor/cama/?parid=165-041-10&amp;CardNumber=1","165-041-10")</f>
        <v>165-041-10</v>
      </c>
      <c r="B5607" t="s">
        <v>4655</v>
      </c>
      <c r="C5607" t="s">
        <v>28063</v>
      </c>
      <c r="D5607" s="1">
        <v>40449</v>
      </c>
      <c r="E5607" s="2">
        <v>249000</v>
      </c>
      <c r="F5607" t="s">
        <v>4567</v>
      </c>
      <c r="G5607" s="17" t="str">
        <f>HYPERLINK("https://www.washoecounty.gov/assessor/cama/?command=sales&amp;parid=16504110","3927018")</f>
        <v>3927018</v>
      </c>
      <c r="H5607" t="s">
        <v>2279</v>
      </c>
      <c r="I5607">
        <v>2010</v>
      </c>
      <c r="J5607">
        <v>2010</v>
      </c>
      <c r="K5607" t="s">
        <v>4554</v>
      </c>
      <c r="L5607" t="s">
        <v>4555</v>
      </c>
      <c r="M5607" s="2">
        <v>1910</v>
      </c>
      <c r="N5607" t="s">
        <v>5280</v>
      </c>
      <c r="O5607">
        <v>3</v>
      </c>
      <c r="P5607">
        <v>2</v>
      </c>
      <c r="Q5607">
        <v>0</v>
      </c>
      <c r="R5607" t="s">
        <v>5281</v>
      </c>
      <c r="S5607" t="s">
        <v>4898</v>
      </c>
      <c r="T5607" t="s">
        <v>2704</v>
      </c>
      <c r="U5607" t="s">
        <v>4560</v>
      </c>
      <c r="V5607" s="2">
        <v>420</v>
      </c>
      <c r="W5607" t="s">
        <v>4655</v>
      </c>
      <c r="X5607" s="2">
        <v>0</v>
      </c>
      <c r="Y5607">
        <v>20</v>
      </c>
      <c r="Z5607" t="s">
        <v>1491</v>
      </c>
      <c r="AA5607" s="3">
        <v>0.13399907946586601</v>
      </c>
      <c r="AB5607" t="s">
        <v>24810</v>
      </c>
      <c r="AC5607" t="s">
        <v>4562</v>
      </c>
      <c r="AD5607" t="s">
        <v>28064</v>
      </c>
      <c r="AE5607" t="s">
        <v>4655</v>
      </c>
      <c r="AF5607" t="s">
        <v>4563</v>
      </c>
      <c r="AG5607" t="s">
        <v>4564</v>
      </c>
      <c r="AH5607" t="s">
        <v>5197</v>
      </c>
      <c r="AI5607" t="s">
        <v>549</v>
      </c>
      <c r="AJ5607" t="s">
        <v>2280</v>
      </c>
      <c r="AK5607" t="s">
        <v>28065</v>
      </c>
      <c r="AL5607" s="13" t="s">
        <v>2255</v>
      </c>
      <c r="AM5607">
        <v>1</v>
      </c>
      <c r="AN5607" s="15" t="s">
        <v>964</v>
      </c>
    </row>
    <row r="5608" spans="1:40" x14ac:dyDescent="0.3">
      <c r="A5608" s="10" t="str">
        <f>HYPERLINK("http://www.washoecounty.gov/assessor/cama/?parid=165-041-11&amp;CardNumber=1","165-041-11")</f>
        <v>165-041-11</v>
      </c>
      <c r="B5608" t="s">
        <v>4655</v>
      </c>
      <c r="C5608" t="s">
        <v>2118</v>
      </c>
      <c r="D5608" s="1">
        <v>40304</v>
      </c>
      <c r="E5608" s="2">
        <v>668000</v>
      </c>
      <c r="F5608" t="s">
        <v>3174</v>
      </c>
      <c r="G5608" s="17" t="str">
        <f>HYPERLINK("https://www.washoecounty.gov/assessor/cama/?command=sales&amp;parid=16504111","3878792")</f>
        <v>3878792</v>
      </c>
      <c r="H5608" t="s">
        <v>2279</v>
      </c>
      <c r="I5608">
        <v>2010</v>
      </c>
      <c r="J5608">
        <v>2010</v>
      </c>
      <c r="K5608" t="s">
        <v>4554</v>
      </c>
      <c r="L5608" t="s">
        <v>3974</v>
      </c>
      <c r="M5608" s="2">
        <v>2166</v>
      </c>
      <c r="N5608" t="s">
        <v>5280</v>
      </c>
      <c r="O5608">
        <v>4</v>
      </c>
      <c r="P5608">
        <v>3</v>
      </c>
      <c r="Q5608">
        <v>0</v>
      </c>
      <c r="R5608" t="s">
        <v>5281</v>
      </c>
      <c r="S5608" t="s">
        <v>4898</v>
      </c>
      <c r="T5608" t="s">
        <v>2704</v>
      </c>
      <c r="U5608" t="s">
        <v>5631</v>
      </c>
      <c r="V5608" s="2">
        <v>462</v>
      </c>
      <c r="W5608" t="s">
        <v>4655</v>
      </c>
      <c r="X5608" s="2">
        <v>0</v>
      </c>
      <c r="Y5608">
        <v>12</v>
      </c>
      <c r="Z5608" t="s">
        <v>1491</v>
      </c>
      <c r="AA5608" s="3">
        <v>0.130831032991409</v>
      </c>
      <c r="AB5608" t="s">
        <v>4945</v>
      </c>
      <c r="AC5608" t="s">
        <v>4562</v>
      </c>
      <c r="AD5608" t="s">
        <v>2118</v>
      </c>
      <c r="AE5608" t="s">
        <v>4655</v>
      </c>
      <c r="AF5608" t="s">
        <v>4563</v>
      </c>
      <c r="AG5608" t="s">
        <v>4564</v>
      </c>
      <c r="AH5608" t="s">
        <v>5197</v>
      </c>
      <c r="AI5608" t="s">
        <v>549</v>
      </c>
      <c r="AJ5608" t="s">
        <v>2280</v>
      </c>
      <c r="AK5608" t="s">
        <v>2119</v>
      </c>
      <c r="AL5608" s="13" t="s">
        <v>2255</v>
      </c>
      <c r="AM5608">
        <v>1</v>
      </c>
      <c r="AN5608" s="15" t="s">
        <v>964</v>
      </c>
    </row>
    <row r="5609" spans="1:40" x14ac:dyDescent="0.3">
      <c r="A5609" s="10" t="str">
        <f>HYPERLINK("http://www.washoecounty.gov/assessor/cama/?parid=165-041-12&amp;CardNumber=1","165-041-12")</f>
        <v>165-041-12</v>
      </c>
      <c r="B5609" t="s">
        <v>4655</v>
      </c>
      <c r="C5609" t="s">
        <v>28066</v>
      </c>
      <c r="D5609" s="1">
        <v>40304</v>
      </c>
      <c r="E5609" s="2">
        <v>668000</v>
      </c>
      <c r="F5609" t="s">
        <v>3174</v>
      </c>
      <c r="G5609" s="17" t="str">
        <f>HYPERLINK("https://www.washoecounty.gov/assessor/cama/?command=sales&amp;parid=16504112","3878792")</f>
        <v>3878792</v>
      </c>
      <c r="H5609" t="s">
        <v>2279</v>
      </c>
      <c r="I5609">
        <v>2010</v>
      </c>
      <c r="J5609">
        <v>2010</v>
      </c>
      <c r="K5609" t="s">
        <v>4554</v>
      </c>
      <c r="L5609" t="s">
        <v>4555</v>
      </c>
      <c r="M5609" s="2">
        <v>1910</v>
      </c>
      <c r="N5609" t="s">
        <v>5280</v>
      </c>
      <c r="O5609">
        <v>3</v>
      </c>
      <c r="P5609">
        <v>2</v>
      </c>
      <c r="Q5609">
        <v>0</v>
      </c>
      <c r="R5609" t="s">
        <v>5281</v>
      </c>
      <c r="S5609" t="s">
        <v>4898</v>
      </c>
      <c r="T5609" t="s">
        <v>2704</v>
      </c>
      <c r="U5609" t="s">
        <v>4560</v>
      </c>
      <c r="V5609" s="2">
        <v>420</v>
      </c>
      <c r="W5609" t="s">
        <v>4655</v>
      </c>
      <c r="X5609" s="2">
        <v>0</v>
      </c>
      <c r="Y5609">
        <v>12</v>
      </c>
      <c r="Z5609" t="s">
        <v>1491</v>
      </c>
      <c r="AA5609" s="3">
        <v>0.139187321066856</v>
      </c>
      <c r="AB5609" t="s">
        <v>24835</v>
      </c>
      <c r="AC5609" t="s">
        <v>4562</v>
      </c>
      <c r="AD5609" t="s">
        <v>24836</v>
      </c>
      <c r="AE5609" t="s">
        <v>4655</v>
      </c>
      <c r="AF5609" t="s">
        <v>4563</v>
      </c>
      <c r="AG5609" t="s">
        <v>4564</v>
      </c>
      <c r="AH5609">
        <v>89511</v>
      </c>
      <c r="AI5609" t="s">
        <v>549</v>
      </c>
      <c r="AJ5609" t="s">
        <v>2280</v>
      </c>
      <c r="AK5609" t="s">
        <v>28067</v>
      </c>
      <c r="AL5609" s="13" t="s">
        <v>2255</v>
      </c>
      <c r="AM5609" s="14">
        <v>1</v>
      </c>
      <c r="AN5609" s="15" t="s">
        <v>964</v>
      </c>
    </row>
    <row r="5610" spans="1:40" x14ac:dyDescent="0.3">
      <c r="A5610" s="10" t="str">
        <f>HYPERLINK("http://www.washoecounty.gov/assessor/cama/?parid=165-041-12&amp;CardNumber=1","165-041-12")</f>
        <v>165-041-12</v>
      </c>
      <c r="B5610" t="s">
        <v>4655</v>
      </c>
      <c r="C5610" t="s">
        <v>28066</v>
      </c>
      <c r="D5610" s="1">
        <v>40451</v>
      </c>
      <c r="E5610" s="2">
        <v>230000</v>
      </c>
      <c r="F5610" t="s">
        <v>4567</v>
      </c>
      <c r="G5610" s="17" t="str">
        <f>HYPERLINK("https://www.washoecounty.gov/assessor/cama/?command=sales&amp;parid=16504112","3928146")</f>
        <v>3928146</v>
      </c>
      <c r="H5610" t="s">
        <v>2279</v>
      </c>
      <c r="I5610">
        <v>2010</v>
      </c>
      <c r="J5610">
        <v>2010</v>
      </c>
      <c r="K5610" t="s">
        <v>4554</v>
      </c>
      <c r="L5610" t="s">
        <v>4555</v>
      </c>
      <c r="M5610" s="2">
        <v>1910</v>
      </c>
      <c r="N5610" t="s">
        <v>5280</v>
      </c>
      <c r="O5610">
        <v>3</v>
      </c>
      <c r="P5610">
        <v>2</v>
      </c>
      <c r="Q5610">
        <v>0</v>
      </c>
      <c r="R5610" t="s">
        <v>5281</v>
      </c>
      <c r="S5610" t="s">
        <v>4898</v>
      </c>
      <c r="T5610" t="s">
        <v>2704</v>
      </c>
      <c r="U5610" t="s">
        <v>4560</v>
      </c>
      <c r="V5610" s="2">
        <v>420</v>
      </c>
      <c r="W5610" t="s">
        <v>4655</v>
      </c>
      <c r="X5610" s="2">
        <v>0</v>
      </c>
      <c r="Y5610">
        <v>20</v>
      </c>
      <c r="Z5610" t="s">
        <v>1491</v>
      </c>
      <c r="AA5610" s="3">
        <v>0.139187321066856</v>
      </c>
      <c r="AB5610" t="s">
        <v>24835</v>
      </c>
      <c r="AC5610" t="s">
        <v>4562</v>
      </c>
      <c r="AD5610" t="s">
        <v>24836</v>
      </c>
      <c r="AE5610" t="s">
        <v>4655</v>
      </c>
      <c r="AF5610" t="s">
        <v>4563</v>
      </c>
      <c r="AG5610" t="s">
        <v>4564</v>
      </c>
      <c r="AH5610">
        <v>89511</v>
      </c>
      <c r="AI5610" t="s">
        <v>549</v>
      </c>
      <c r="AJ5610" t="s">
        <v>2280</v>
      </c>
      <c r="AK5610" t="s">
        <v>28067</v>
      </c>
      <c r="AL5610" s="13" t="s">
        <v>2255</v>
      </c>
      <c r="AM5610" s="14">
        <v>1</v>
      </c>
      <c r="AN5610" s="15" t="s">
        <v>964</v>
      </c>
    </row>
    <row r="5611" spans="1:40" x14ac:dyDescent="0.3">
      <c r="A5611" s="10" t="str">
        <f>HYPERLINK("http://www.washoecounty.gov/assessor/cama/?parid=165-041-13&amp;CardNumber=1","165-041-13")</f>
        <v>165-041-13</v>
      </c>
      <c r="B5611" t="s">
        <v>4655</v>
      </c>
      <c r="C5611" t="s">
        <v>28068</v>
      </c>
      <c r="D5611" s="1">
        <v>40304</v>
      </c>
      <c r="E5611" s="2">
        <v>668000</v>
      </c>
      <c r="F5611" t="s">
        <v>3174</v>
      </c>
      <c r="G5611" s="17" t="str">
        <f>HYPERLINK("https://www.washoecounty.gov/assessor/cama/?command=sales&amp;parid=16504113","3878792")</f>
        <v>3878792</v>
      </c>
      <c r="H5611" t="s">
        <v>2279</v>
      </c>
      <c r="I5611">
        <v>2010</v>
      </c>
      <c r="J5611">
        <v>2010</v>
      </c>
      <c r="K5611" t="s">
        <v>4554</v>
      </c>
      <c r="L5611" t="s">
        <v>3974</v>
      </c>
      <c r="M5611" s="2">
        <v>2710</v>
      </c>
      <c r="N5611" t="s">
        <v>5280</v>
      </c>
      <c r="O5611">
        <v>5</v>
      </c>
      <c r="P5611">
        <v>3</v>
      </c>
      <c r="Q5611">
        <v>0</v>
      </c>
      <c r="R5611" t="s">
        <v>5281</v>
      </c>
      <c r="S5611" t="s">
        <v>4898</v>
      </c>
      <c r="T5611" t="s">
        <v>2704</v>
      </c>
      <c r="U5611" t="s">
        <v>5631</v>
      </c>
      <c r="V5611" s="2">
        <v>660</v>
      </c>
      <c r="W5611" t="s">
        <v>4655</v>
      </c>
      <c r="X5611" s="2">
        <v>0</v>
      </c>
      <c r="Y5611">
        <v>12</v>
      </c>
      <c r="Z5611" t="s">
        <v>1491</v>
      </c>
      <c r="AA5611" s="3">
        <v>0.14141413569450401</v>
      </c>
      <c r="AB5611" t="s">
        <v>28069</v>
      </c>
      <c r="AC5611" t="s">
        <v>4575</v>
      </c>
      <c r="AD5611" t="s">
        <v>28070</v>
      </c>
      <c r="AE5611" t="s">
        <v>4655</v>
      </c>
      <c r="AF5611" t="s">
        <v>686</v>
      </c>
      <c r="AG5611" t="s">
        <v>4584</v>
      </c>
      <c r="AH5611">
        <v>94112</v>
      </c>
      <c r="AI5611" t="s">
        <v>4655</v>
      </c>
      <c r="AJ5611" t="s">
        <v>2280</v>
      </c>
      <c r="AK5611" t="s">
        <v>28071</v>
      </c>
      <c r="AL5611" s="13" t="s">
        <v>2255</v>
      </c>
      <c r="AM5611" s="14">
        <v>1</v>
      </c>
      <c r="AN5611" s="15" t="s">
        <v>964</v>
      </c>
    </row>
    <row r="5612" spans="1:40" x14ac:dyDescent="0.3">
      <c r="A5612" s="10" t="str">
        <f>HYPERLINK("http://www.washoecounty.gov/assessor/cama/?parid=165-041-13&amp;CardNumber=1","165-041-13")</f>
        <v>165-041-13</v>
      </c>
      <c r="B5612" t="s">
        <v>4655</v>
      </c>
      <c r="C5612" t="s">
        <v>28068</v>
      </c>
      <c r="D5612" s="1">
        <v>40452</v>
      </c>
      <c r="E5612" s="2">
        <v>292315</v>
      </c>
      <c r="F5612" t="s">
        <v>4567</v>
      </c>
      <c r="G5612" s="17" t="str">
        <f>HYPERLINK("https://www.washoecounty.gov/assessor/cama/?command=sales&amp;parid=16504113","3928711")</f>
        <v>3928711</v>
      </c>
      <c r="H5612" t="s">
        <v>2279</v>
      </c>
      <c r="I5612">
        <v>2010</v>
      </c>
      <c r="J5612">
        <v>2010</v>
      </c>
      <c r="K5612" t="s">
        <v>4554</v>
      </c>
      <c r="L5612" t="s">
        <v>3974</v>
      </c>
      <c r="M5612" s="2">
        <v>2710</v>
      </c>
      <c r="N5612" t="s">
        <v>5280</v>
      </c>
      <c r="O5612">
        <v>5</v>
      </c>
      <c r="P5612">
        <v>3</v>
      </c>
      <c r="Q5612">
        <v>0</v>
      </c>
      <c r="R5612" t="s">
        <v>5281</v>
      </c>
      <c r="S5612" t="s">
        <v>4898</v>
      </c>
      <c r="T5612" t="s">
        <v>2704</v>
      </c>
      <c r="U5612" t="s">
        <v>5631</v>
      </c>
      <c r="V5612" s="2">
        <v>660</v>
      </c>
      <c r="W5612" t="s">
        <v>4655</v>
      </c>
      <c r="X5612" s="2">
        <v>0</v>
      </c>
      <c r="Y5612">
        <v>20</v>
      </c>
      <c r="Z5612" t="s">
        <v>1491</v>
      </c>
      <c r="AA5612" s="3">
        <v>0.14141413569450401</v>
      </c>
      <c r="AB5612" t="s">
        <v>28069</v>
      </c>
      <c r="AC5612" t="s">
        <v>4575</v>
      </c>
      <c r="AD5612" t="s">
        <v>28070</v>
      </c>
      <c r="AE5612" t="s">
        <v>4655</v>
      </c>
      <c r="AF5612" t="s">
        <v>686</v>
      </c>
      <c r="AG5612" t="s">
        <v>4584</v>
      </c>
      <c r="AH5612">
        <v>94112</v>
      </c>
      <c r="AI5612" t="s">
        <v>4655</v>
      </c>
      <c r="AJ5612" t="s">
        <v>2280</v>
      </c>
      <c r="AK5612" t="s">
        <v>28071</v>
      </c>
      <c r="AL5612" s="13" t="s">
        <v>2255</v>
      </c>
      <c r="AM5612">
        <v>1</v>
      </c>
      <c r="AN5612" s="15" t="s">
        <v>964</v>
      </c>
    </row>
    <row r="5613" spans="1:40" x14ac:dyDescent="0.3">
      <c r="A5613" s="10" t="str">
        <f>HYPERLINK("http://www.washoecounty.gov/assessor/cama/?parid=165-041-14&amp;CardNumber=1","165-041-14")</f>
        <v>165-041-14</v>
      </c>
      <c r="B5613" t="s">
        <v>4655</v>
      </c>
      <c r="C5613" t="s">
        <v>2095</v>
      </c>
      <c r="D5613" s="1">
        <v>40304</v>
      </c>
      <c r="E5613" s="2">
        <v>668000</v>
      </c>
      <c r="F5613" t="s">
        <v>3174</v>
      </c>
      <c r="G5613" s="17" t="str">
        <f>HYPERLINK("https://www.washoecounty.gov/assessor/cama/?command=sales&amp;parid=16504114","3878792")</f>
        <v>3878792</v>
      </c>
      <c r="H5613" t="s">
        <v>2279</v>
      </c>
      <c r="I5613">
        <v>2010</v>
      </c>
      <c r="J5613">
        <v>2010</v>
      </c>
      <c r="K5613" t="s">
        <v>4554</v>
      </c>
      <c r="L5613" t="s">
        <v>4555</v>
      </c>
      <c r="M5613" s="2">
        <v>1910</v>
      </c>
      <c r="N5613" t="s">
        <v>5280</v>
      </c>
      <c r="O5613">
        <v>3</v>
      </c>
      <c r="P5613">
        <v>2</v>
      </c>
      <c r="Q5613">
        <v>0</v>
      </c>
      <c r="R5613" t="s">
        <v>5281</v>
      </c>
      <c r="S5613" t="s">
        <v>4898</v>
      </c>
      <c r="T5613" t="s">
        <v>2704</v>
      </c>
      <c r="U5613" t="s">
        <v>4560</v>
      </c>
      <c r="V5613" s="2">
        <v>420</v>
      </c>
      <c r="W5613" t="s">
        <v>4655</v>
      </c>
      <c r="X5613" s="2">
        <v>0</v>
      </c>
      <c r="Y5613">
        <v>12</v>
      </c>
      <c r="Z5613" t="s">
        <v>1491</v>
      </c>
      <c r="AA5613" s="3">
        <v>0.160055100917816</v>
      </c>
      <c r="AB5613" t="s">
        <v>307</v>
      </c>
      <c r="AC5613" t="s">
        <v>4575</v>
      </c>
      <c r="AD5613" t="s">
        <v>308</v>
      </c>
      <c r="AE5613" t="s">
        <v>4655</v>
      </c>
      <c r="AF5613" t="s">
        <v>3809</v>
      </c>
      <c r="AG5613" t="s">
        <v>1434</v>
      </c>
      <c r="AH5613" t="s">
        <v>309</v>
      </c>
      <c r="AI5613" t="s">
        <v>549</v>
      </c>
      <c r="AJ5613" t="s">
        <v>2280</v>
      </c>
      <c r="AK5613" t="s">
        <v>2096</v>
      </c>
      <c r="AL5613" s="13" t="s">
        <v>2255</v>
      </c>
      <c r="AM5613">
        <v>1</v>
      </c>
      <c r="AN5613" s="15" t="s">
        <v>964</v>
      </c>
    </row>
    <row r="5614" spans="1:40" x14ac:dyDescent="0.3">
      <c r="A5614" s="10" t="str">
        <f>HYPERLINK("http://www.washoecounty.gov/assessor/cama/?parid=165-042-08&amp;CardNumber=1","165-042-08")</f>
        <v>165-042-08</v>
      </c>
      <c r="B5614" t="s">
        <v>4655</v>
      </c>
      <c r="C5614" t="s">
        <v>28072</v>
      </c>
      <c r="D5614" s="1">
        <v>40542</v>
      </c>
      <c r="E5614" s="2">
        <v>239990</v>
      </c>
      <c r="F5614" t="s">
        <v>4567</v>
      </c>
      <c r="G5614" s="17" t="str">
        <f>HYPERLINK("https://www.washoecounty.gov/assessor/cama/?command=sales&amp;parid=16504208","3959030")</f>
        <v>3959030</v>
      </c>
      <c r="H5614" t="s">
        <v>2279</v>
      </c>
      <c r="I5614">
        <v>2010</v>
      </c>
      <c r="J5614">
        <v>2010</v>
      </c>
      <c r="K5614" t="s">
        <v>4554</v>
      </c>
      <c r="L5614" t="s">
        <v>3974</v>
      </c>
      <c r="M5614" s="2">
        <v>2396</v>
      </c>
      <c r="N5614" t="s">
        <v>5280</v>
      </c>
      <c r="O5614">
        <v>5</v>
      </c>
      <c r="P5614">
        <v>3</v>
      </c>
      <c r="Q5614">
        <v>0</v>
      </c>
      <c r="R5614" t="s">
        <v>5281</v>
      </c>
      <c r="S5614" t="s">
        <v>4898</v>
      </c>
      <c r="T5614" t="s">
        <v>2704</v>
      </c>
      <c r="U5614" t="s">
        <v>5631</v>
      </c>
      <c r="V5614" s="2">
        <v>488</v>
      </c>
      <c r="W5614" t="s">
        <v>4655</v>
      </c>
      <c r="X5614" s="2">
        <v>0</v>
      </c>
      <c r="Y5614">
        <v>20</v>
      </c>
      <c r="Z5614" t="s">
        <v>1491</v>
      </c>
      <c r="AA5614" s="3">
        <v>0.119765840470791</v>
      </c>
      <c r="AB5614" t="s">
        <v>28073</v>
      </c>
      <c r="AC5614" t="s">
        <v>4562</v>
      </c>
      <c r="AD5614" t="s">
        <v>28072</v>
      </c>
      <c r="AE5614" t="s">
        <v>4655</v>
      </c>
      <c r="AF5614" t="s">
        <v>4563</v>
      </c>
      <c r="AG5614" t="s">
        <v>4564</v>
      </c>
      <c r="AH5614" t="s">
        <v>5197</v>
      </c>
      <c r="AI5614" t="s">
        <v>549</v>
      </c>
      <c r="AJ5614" t="s">
        <v>2280</v>
      </c>
      <c r="AK5614" t="s">
        <v>28074</v>
      </c>
      <c r="AL5614" s="13" t="s">
        <v>2255</v>
      </c>
      <c r="AM5614">
        <v>1</v>
      </c>
      <c r="AN5614" s="15" t="s">
        <v>964</v>
      </c>
    </row>
    <row r="5615" spans="1:40" x14ac:dyDescent="0.3">
      <c r="A5615" s="10" t="str">
        <f>HYPERLINK("http://www.washoecounty.gov/assessor/cama/?parid=165-042-14&amp;CardNumber=1","165-042-14")</f>
        <v>165-042-14</v>
      </c>
      <c r="B5615" t="s">
        <v>4655</v>
      </c>
      <c r="C5615" t="s">
        <v>866</v>
      </c>
      <c r="D5615" s="1">
        <v>40541</v>
      </c>
      <c r="E5615" s="2">
        <v>550000</v>
      </c>
      <c r="F5615" t="s">
        <v>3174</v>
      </c>
      <c r="G5615" s="17" t="str">
        <f>HYPERLINK("https://www.washoecounty.gov/assessor/cama/?command=sales&amp;parid=16504214","3958648")</f>
        <v>3958648</v>
      </c>
      <c r="H5615" t="s">
        <v>2279</v>
      </c>
      <c r="I5615">
        <v>2011</v>
      </c>
      <c r="J5615">
        <v>2011</v>
      </c>
      <c r="K5615" t="s">
        <v>4554</v>
      </c>
      <c r="L5615" t="s">
        <v>3974</v>
      </c>
      <c r="M5615" s="2">
        <v>2396</v>
      </c>
      <c r="N5615" t="s">
        <v>5280</v>
      </c>
      <c r="O5615">
        <v>5</v>
      </c>
      <c r="P5615">
        <v>3</v>
      </c>
      <c r="Q5615">
        <v>0</v>
      </c>
      <c r="R5615" t="s">
        <v>5281</v>
      </c>
      <c r="S5615" t="s">
        <v>4898</v>
      </c>
      <c r="T5615" t="s">
        <v>2704</v>
      </c>
      <c r="U5615" t="s">
        <v>5631</v>
      </c>
      <c r="V5615" s="2">
        <v>488</v>
      </c>
      <c r="W5615" t="s">
        <v>4655</v>
      </c>
      <c r="X5615" s="2">
        <v>0</v>
      </c>
      <c r="Y5615">
        <v>12</v>
      </c>
      <c r="Z5615" t="s">
        <v>1491</v>
      </c>
      <c r="AA5615" s="3">
        <v>0.114784203469753</v>
      </c>
      <c r="AB5615" t="s">
        <v>549</v>
      </c>
      <c r="AC5615" t="s">
        <v>4562</v>
      </c>
      <c r="AD5615" t="s">
        <v>1385</v>
      </c>
      <c r="AE5615" t="s">
        <v>4655</v>
      </c>
      <c r="AF5615" t="s">
        <v>1386</v>
      </c>
      <c r="AG5615" t="s">
        <v>4584</v>
      </c>
      <c r="AH5615" t="s">
        <v>1387</v>
      </c>
      <c r="AI5615" t="s">
        <v>3351</v>
      </c>
      <c r="AJ5615" t="s">
        <v>2280</v>
      </c>
      <c r="AK5615" t="s">
        <v>867</v>
      </c>
      <c r="AL5615" s="13" t="s">
        <v>2255</v>
      </c>
      <c r="AM5615">
        <v>1</v>
      </c>
      <c r="AN5615" s="15" t="s">
        <v>964</v>
      </c>
    </row>
    <row r="5616" spans="1:40" x14ac:dyDescent="0.3">
      <c r="A5616" s="10" t="str">
        <f>HYPERLINK("http://www.washoecounty.gov/assessor/cama/?parid=165-042-15&amp;CardNumber=1","165-042-15")</f>
        <v>165-042-15</v>
      </c>
      <c r="B5616" t="s">
        <v>4655</v>
      </c>
      <c r="C5616" t="s">
        <v>868</v>
      </c>
      <c r="D5616" s="1">
        <v>40541</v>
      </c>
      <c r="E5616" s="2">
        <v>550000</v>
      </c>
      <c r="F5616" t="s">
        <v>3174</v>
      </c>
      <c r="G5616" s="17" t="str">
        <f>HYPERLINK("https://www.washoecounty.gov/assessor/cama/?command=sales&amp;parid=16504215","3958648")</f>
        <v>3958648</v>
      </c>
      <c r="H5616" t="s">
        <v>2279</v>
      </c>
      <c r="I5616">
        <v>2011</v>
      </c>
      <c r="J5616">
        <v>2011</v>
      </c>
      <c r="K5616" t="s">
        <v>4554</v>
      </c>
      <c r="L5616" t="s">
        <v>4555</v>
      </c>
      <c r="M5616" s="2">
        <v>1910</v>
      </c>
      <c r="N5616" t="s">
        <v>5280</v>
      </c>
      <c r="O5616">
        <v>3</v>
      </c>
      <c r="P5616">
        <v>2</v>
      </c>
      <c r="Q5616">
        <v>0</v>
      </c>
      <c r="R5616" t="s">
        <v>5281</v>
      </c>
      <c r="S5616" t="s">
        <v>4898</v>
      </c>
      <c r="T5616" t="s">
        <v>2704</v>
      </c>
      <c r="U5616" t="s">
        <v>4560</v>
      </c>
      <c r="V5616" s="2">
        <v>420</v>
      </c>
      <c r="W5616" t="s">
        <v>4655</v>
      </c>
      <c r="X5616" s="2">
        <v>0</v>
      </c>
      <c r="Y5616">
        <v>12</v>
      </c>
      <c r="Z5616" t="s">
        <v>1491</v>
      </c>
      <c r="AA5616" s="3">
        <v>0.114784203469753</v>
      </c>
      <c r="AB5616" t="s">
        <v>549</v>
      </c>
      <c r="AC5616" t="s">
        <v>4562</v>
      </c>
      <c r="AD5616" t="s">
        <v>1385</v>
      </c>
      <c r="AE5616" t="s">
        <v>4655</v>
      </c>
      <c r="AF5616" t="s">
        <v>1386</v>
      </c>
      <c r="AG5616" t="s">
        <v>4584</v>
      </c>
      <c r="AH5616" t="s">
        <v>1387</v>
      </c>
      <c r="AI5616" t="s">
        <v>3351</v>
      </c>
      <c r="AJ5616" t="s">
        <v>2280</v>
      </c>
      <c r="AK5616" t="s">
        <v>869</v>
      </c>
      <c r="AL5616" s="13" t="s">
        <v>2255</v>
      </c>
      <c r="AM5616">
        <v>1</v>
      </c>
      <c r="AN5616" s="15" t="s">
        <v>964</v>
      </c>
    </row>
    <row r="5617" spans="1:40" x14ac:dyDescent="0.3">
      <c r="A5617" s="10" t="str">
        <f>HYPERLINK("http://www.washoecounty.gov/assessor/cama/?parid=165-042-16&amp;CardNumber=1","165-042-16")</f>
        <v>165-042-16</v>
      </c>
      <c r="B5617" t="s">
        <v>4655</v>
      </c>
      <c r="C5617" t="s">
        <v>870</v>
      </c>
      <c r="D5617" s="1">
        <v>40541</v>
      </c>
      <c r="E5617" s="2">
        <v>550000</v>
      </c>
      <c r="F5617" t="s">
        <v>3174</v>
      </c>
      <c r="G5617" s="17" t="str">
        <f>HYPERLINK("https://www.washoecounty.gov/assessor/cama/?command=sales&amp;parid=16504216","3958648")</f>
        <v>3958648</v>
      </c>
      <c r="H5617" t="s">
        <v>2279</v>
      </c>
      <c r="I5617">
        <v>2011</v>
      </c>
      <c r="J5617">
        <v>2011</v>
      </c>
      <c r="K5617" t="s">
        <v>4554</v>
      </c>
      <c r="L5617" t="s">
        <v>3974</v>
      </c>
      <c r="M5617" s="2">
        <v>2710</v>
      </c>
      <c r="N5617" t="s">
        <v>5280</v>
      </c>
      <c r="O5617">
        <v>5</v>
      </c>
      <c r="P5617">
        <v>3</v>
      </c>
      <c r="Q5617">
        <v>0</v>
      </c>
      <c r="R5617" t="s">
        <v>5281</v>
      </c>
      <c r="S5617" t="s">
        <v>4898</v>
      </c>
      <c r="T5617" t="s">
        <v>2704</v>
      </c>
      <c r="U5617" t="s">
        <v>5631</v>
      </c>
      <c r="V5617" s="2">
        <v>660</v>
      </c>
      <c r="W5617" t="s">
        <v>4655</v>
      </c>
      <c r="X5617" s="2">
        <v>0</v>
      </c>
      <c r="Y5617">
        <v>12</v>
      </c>
      <c r="Z5617" t="s">
        <v>1491</v>
      </c>
      <c r="AA5617" s="3">
        <v>0.114784203469753</v>
      </c>
      <c r="AB5617" t="s">
        <v>549</v>
      </c>
      <c r="AC5617" t="s">
        <v>4562</v>
      </c>
      <c r="AD5617" t="s">
        <v>1385</v>
      </c>
      <c r="AE5617" t="s">
        <v>4655</v>
      </c>
      <c r="AF5617" t="s">
        <v>1386</v>
      </c>
      <c r="AG5617" t="s">
        <v>4584</v>
      </c>
      <c r="AH5617" t="s">
        <v>1387</v>
      </c>
      <c r="AI5617" t="s">
        <v>3351</v>
      </c>
      <c r="AJ5617" t="s">
        <v>2280</v>
      </c>
      <c r="AK5617" t="s">
        <v>871</v>
      </c>
      <c r="AL5617" s="13" t="s">
        <v>2255</v>
      </c>
      <c r="AM5617" s="14">
        <v>1</v>
      </c>
      <c r="AN5617" s="15" t="s">
        <v>964</v>
      </c>
    </row>
    <row r="5618" spans="1:40" x14ac:dyDescent="0.3">
      <c r="A5618" s="10" t="str">
        <f>HYPERLINK("http://www.washoecounty.gov/assessor/cama/?parid=165-042-17&amp;CardNumber=1","165-042-17")</f>
        <v>165-042-17</v>
      </c>
      <c r="B5618" t="s">
        <v>4655</v>
      </c>
      <c r="C5618" t="s">
        <v>28075</v>
      </c>
      <c r="D5618" s="1">
        <v>40541</v>
      </c>
      <c r="E5618" s="2">
        <v>550000</v>
      </c>
      <c r="F5618" t="s">
        <v>3174</v>
      </c>
      <c r="G5618" s="17" t="str">
        <f>HYPERLINK("https://www.washoecounty.gov/assessor/cama/?command=sales&amp;parid=16504217","3958648")</f>
        <v>3958648</v>
      </c>
      <c r="H5618" t="s">
        <v>2279</v>
      </c>
      <c r="I5618">
        <v>2011</v>
      </c>
      <c r="J5618">
        <v>2011</v>
      </c>
      <c r="K5618" t="s">
        <v>4554</v>
      </c>
      <c r="L5618" t="s">
        <v>3974</v>
      </c>
      <c r="M5618" s="2">
        <v>2396</v>
      </c>
      <c r="N5618" t="s">
        <v>5280</v>
      </c>
      <c r="O5618">
        <v>5</v>
      </c>
      <c r="P5618">
        <v>3</v>
      </c>
      <c r="Q5618">
        <v>0</v>
      </c>
      <c r="R5618" t="s">
        <v>5281</v>
      </c>
      <c r="S5618" t="s">
        <v>4898</v>
      </c>
      <c r="T5618" t="s">
        <v>2704</v>
      </c>
      <c r="U5618" t="s">
        <v>5631</v>
      </c>
      <c r="V5618" s="2">
        <v>488</v>
      </c>
      <c r="W5618" t="s">
        <v>4655</v>
      </c>
      <c r="X5618" s="2">
        <v>0</v>
      </c>
      <c r="Y5618">
        <v>12</v>
      </c>
      <c r="Z5618" t="s">
        <v>1491</v>
      </c>
      <c r="AA5618" s="3">
        <v>0.114784203469753</v>
      </c>
      <c r="AB5618" t="s">
        <v>549</v>
      </c>
      <c r="AC5618" t="s">
        <v>4562</v>
      </c>
      <c r="AD5618" t="s">
        <v>1385</v>
      </c>
      <c r="AE5618" t="s">
        <v>4655</v>
      </c>
      <c r="AF5618" t="s">
        <v>1386</v>
      </c>
      <c r="AG5618" t="s">
        <v>4584</v>
      </c>
      <c r="AH5618" t="s">
        <v>1387</v>
      </c>
      <c r="AI5618" t="s">
        <v>3351</v>
      </c>
      <c r="AJ5618" t="s">
        <v>2280</v>
      </c>
      <c r="AK5618" t="s">
        <v>28076</v>
      </c>
      <c r="AL5618" s="13" t="s">
        <v>2255</v>
      </c>
      <c r="AM5618" s="14">
        <v>1</v>
      </c>
      <c r="AN5618" s="15" t="s">
        <v>964</v>
      </c>
    </row>
    <row r="5619" spans="1:40" x14ac:dyDescent="0.3">
      <c r="A5619" s="10" t="str">
        <f>HYPERLINK("http://www.washoecounty.gov/assessor/cama/?parid=165-042-18&amp;CardNumber=1","165-042-18")</f>
        <v>165-042-18</v>
      </c>
      <c r="B5619" t="s">
        <v>4655</v>
      </c>
      <c r="C5619" t="s">
        <v>872</v>
      </c>
      <c r="D5619" s="1">
        <v>40541</v>
      </c>
      <c r="E5619" s="2">
        <v>550000</v>
      </c>
      <c r="F5619" t="s">
        <v>3174</v>
      </c>
      <c r="G5619" s="17" t="str">
        <f>HYPERLINK("https://www.washoecounty.gov/assessor/cama/?command=sales&amp;parid=16504218","3958648")</f>
        <v>3958648</v>
      </c>
      <c r="H5619" t="s">
        <v>2279</v>
      </c>
      <c r="I5619">
        <v>2011</v>
      </c>
      <c r="J5619">
        <v>2011</v>
      </c>
      <c r="K5619" t="s">
        <v>4554</v>
      </c>
      <c r="L5619" t="s">
        <v>4555</v>
      </c>
      <c r="M5619" s="2">
        <v>1910</v>
      </c>
      <c r="N5619" t="s">
        <v>5280</v>
      </c>
      <c r="O5619">
        <v>3</v>
      </c>
      <c r="P5619">
        <v>2</v>
      </c>
      <c r="Q5619">
        <v>0</v>
      </c>
      <c r="R5619" t="s">
        <v>5281</v>
      </c>
      <c r="S5619" t="s">
        <v>4898</v>
      </c>
      <c r="T5619" t="s">
        <v>2704</v>
      </c>
      <c r="U5619" t="s">
        <v>4560</v>
      </c>
      <c r="V5619" s="2">
        <v>420</v>
      </c>
      <c r="W5619" t="s">
        <v>4655</v>
      </c>
      <c r="X5619" s="2">
        <v>0</v>
      </c>
      <c r="Y5619">
        <v>12</v>
      </c>
      <c r="Z5619" t="s">
        <v>1491</v>
      </c>
      <c r="AA5619" s="3">
        <v>0.142424240708351</v>
      </c>
      <c r="AB5619" t="s">
        <v>549</v>
      </c>
      <c r="AC5619" t="s">
        <v>4562</v>
      </c>
      <c r="AD5619" t="s">
        <v>1385</v>
      </c>
      <c r="AE5619" t="s">
        <v>4655</v>
      </c>
      <c r="AF5619" t="s">
        <v>1386</v>
      </c>
      <c r="AG5619" t="s">
        <v>4584</v>
      </c>
      <c r="AH5619" t="s">
        <v>1387</v>
      </c>
      <c r="AI5619" t="s">
        <v>3351</v>
      </c>
      <c r="AJ5619" t="s">
        <v>2280</v>
      </c>
      <c r="AK5619" t="s">
        <v>873</v>
      </c>
      <c r="AL5619" s="13" t="s">
        <v>2255</v>
      </c>
      <c r="AM5619" s="14">
        <v>1</v>
      </c>
      <c r="AN5619" s="15" t="s">
        <v>964</v>
      </c>
    </row>
    <row r="5620" spans="1:40" x14ac:dyDescent="0.3">
      <c r="A5620" s="10" t="str">
        <f>HYPERLINK("http://www.washoecounty.gov/assessor/cama/?parid=165-044-05&amp;CardNumber=1","165-044-05")</f>
        <v>165-044-05</v>
      </c>
      <c r="B5620" t="s">
        <v>4655</v>
      </c>
      <c r="C5620" t="s">
        <v>874</v>
      </c>
      <c r="D5620" s="1">
        <v>40541</v>
      </c>
      <c r="E5620" s="2">
        <v>550000</v>
      </c>
      <c r="F5620" t="s">
        <v>3174</v>
      </c>
      <c r="G5620" s="17" t="str">
        <f>HYPERLINK("https://www.washoecounty.gov/assessor/cama/?command=sales&amp;parid=16504405","3958648")</f>
        <v>3958648</v>
      </c>
      <c r="H5620" t="s">
        <v>2279</v>
      </c>
      <c r="I5620">
        <v>2011</v>
      </c>
      <c r="J5620">
        <v>2011</v>
      </c>
      <c r="K5620" t="s">
        <v>4554</v>
      </c>
      <c r="L5620" t="s">
        <v>3974</v>
      </c>
      <c r="M5620" s="2">
        <v>2166</v>
      </c>
      <c r="N5620" t="s">
        <v>5280</v>
      </c>
      <c r="O5620">
        <v>4</v>
      </c>
      <c r="P5620">
        <v>3</v>
      </c>
      <c r="Q5620">
        <v>0</v>
      </c>
      <c r="R5620" t="s">
        <v>5281</v>
      </c>
      <c r="S5620" t="s">
        <v>4898</v>
      </c>
      <c r="T5620" t="s">
        <v>2704</v>
      </c>
      <c r="U5620" t="s">
        <v>5631</v>
      </c>
      <c r="V5620" s="2">
        <v>462</v>
      </c>
      <c r="W5620" t="s">
        <v>4655</v>
      </c>
      <c r="X5620" s="2">
        <v>0</v>
      </c>
      <c r="Y5620">
        <v>12</v>
      </c>
      <c r="Z5620" t="s">
        <v>1491</v>
      </c>
      <c r="AA5620" s="3">
        <v>0.117102846503258</v>
      </c>
      <c r="AB5620" t="s">
        <v>549</v>
      </c>
      <c r="AC5620" t="s">
        <v>4562</v>
      </c>
      <c r="AD5620" t="s">
        <v>1385</v>
      </c>
      <c r="AE5620" t="s">
        <v>4655</v>
      </c>
      <c r="AF5620" t="s">
        <v>1386</v>
      </c>
      <c r="AG5620" t="s">
        <v>4584</v>
      </c>
      <c r="AH5620" t="s">
        <v>1387</v>
      </c>
      <c r="AI5620" t="s">
        <v>3351</v>
      </c>
      <c r="AJ5620" t="s">
        <v>2280</v>
      </c>
      <c r="AK5620" t="s">
        <v>875</v>
      </c>
      <c r="AL5620" s="13" t="s">
        <v>2255</v>
      </c>
      <c r="AM5620">
        <v>1</v>
      </c>
      <c r="AN5620" s="15" t="s">
        <v>964</v>
      </c>
    </row>
    <row r="5621" spans="1:40" x14ac:dyDescent="0.3">
      <c r="A5621" s="10" t="str">
        <f>HYPERLINK("http://www.washoecounty.gov/assessor/cama/?parid=165-044-06&amp;CardNumber=1","165-044-06")</f>
        <v>165-044-06</v>
      </c>
      <c r="B5621" t="s">
        <v>4655</v>
      </c>
      <c r="C5621" t="s">
        <v>876</v>
      </c>
      <c r="D5621" s="1">
        <v>40541</v>
      </c>
      <c r="E5621" s="2">
        <v>550000</v>
      </c>
      <c r="F5621" t="s">
        <v>3174</v>
      </c>
      <c r="G5621" s="17" t="str">
        <f>HYPERLINK("https://www.washoecounty.gov/assessor/cama/?command=sales&amp;parid=16504406","3958648")</f>
        <v>3958648</v>
      </c>
      <c r="H5621" t="s">
        <v>2279</v>
      </c>
      <c r="I5621">
        <v>2010</v>
      </c>
      <c r="J5621">
        <v>2010</v>
      </c>
      <c r="K5621" t="s">
        <v>4554</v>
      </c>
      <c r="L5621" t="s">
        <v>3974</v>
      </c>
      <c r="M5621" s="2">
        <v>2710</v>
      </c>
      <c r="N5621" t="s">
        <v>5280</v>
      </c>
      <c r="O5621">
        <v>5</v>
      </c>
      <c r="P5621">
        <v>3</v>
      </c>
      <c r="Q5621">
        <v>0</v>
      </c>
      <c r="R5621" t="s">
        <v>5281</v>
      </c>
      <c r="S5621" t="s">
        <v>4898</v>
      </c>
      <c r="T5621" t="s">
        <v>2704</v>
      </c>
      <c r="U5621" t="s">
        <v>5631</v>
      </c>
      <c r="V5621" s="2">
        <v>660</v>
      </c>
      <c r="W5621" t="s">
        <v>4655</v>
      </c>
      <c r="X5621" s="2">
        <v>0</v>
      </c>
      <c r="Y5621">
        <v>12</v>
      </c>
      <c r="Z5621" t="s">
        <v>1491</v>
      </c>
      <c r="AA5621" s="3">
        <v>0.114807166159153</v>
      </c>
      <c r="AB5621" t="s">
        <v>549</v>
      </c>
      <c r="AC5621" t="s">
        <v>4562</v>
      </c>
      <c r="AD5621" t="s">
        <v>1385</v>
      </c>
      <c r="AE5621" t="s">
        <v>4655</v>
      </c>
      <c r="AF5621" t="s">
        <v>1386</v>
      </c>
      <c r="AG5621" t="s">
        <v>4584</v>
      </c>
      <c r="AH5621" t="s">
        <v>1387</v>
      </c>
      <c r="AI5621" t="s">
        <v>3351</v>
      </c>
      <c r="AJ5621" t="s">
        <v>2280</v>
      </c>
      <c r="AK5621" t="s">
        <v>877</v>
      </c>
      <c r="AL5621" s="13" t="s">
        <v>2255</v>
      </c>
      <c r="AM5621">
        <v>1</v>
      </c>
      <c r="AN5621" s="15" t="s">
        <v>964</v>
      </c>
    </row>
    <row r="5622" spans="1:40" x14ac:dyDescent="0.3">
      <c r="A5622" s="10" t="str">
        <f>HYPERLINK("http://www.washoecounty.gov/assessor/cama/?parid=165-044-07&amp;CardNumber=1","165-044-07")</f>
        <v>165-044-07</v>
      </c>
      <c r="B5622" t="s">
        <v>4655</v>
      </c>
      <c r="C5622" t="s">
        <v>994</v>
      </c>
      <c r="D5622" s="1">
        <v>40541</v>
      </c>
      <c r="E5622" s="2">
        <v>550000</v>
      </c>
      <c r="F5622" t="s">
        <v>3174</v>
      </c>
      <c r="G5622" s="17" t="str">
        <f>HYPERLINK("https://www.washoecounty.gov/assessor/cama/?command=sales&amp;parid=16504407","3958648")</f>
        <v>3958648</v>
      </c>
      <c r="H5622" t="s">
        <v>2279</v>
      </c>
      <c r="I5622">
        <v>2011</v>
      </c>
      <c r="J5622">
        <v>2011</v>
      </c>
      <c r="K5622" t="s">
        <v>4554</v>
      </c>
      <c r="L5622" t="s">
        <v>4555</v>
      </c>
      <c r="M5622" s="2">
        <v>1910</v>
      </c>
      <c r="N5622" t="s">
        <v>5280</v>
      </c>
      <c r="O5622">
        <v>3</v>
      </c>
      <c r="P5622">
        <v>2</v>
      </c>
      <c r="Q5622">
        <v>0</v>
      </c>
      <c r="R5622" t="s">
        <v>5281</v>
      </c>
      <c r="S5622" t="s">
        <v>4898</v>
      </c>
      <c r="T5622" t="s">
        <v>2704</v>
      </c>
      <c r="U5622" t="s">
        <v>4560</v>
      </c>
      <c r="V5622" s="2">
        <v>420</v>
      </c>
      <c r="W5622" t="s">
        <v>4655</v>
      </c>
      <c r="X5622" s="2">
        <v>0</v>
      </c>
      <c r="Y5622">
        <v>12</v>
      </c>
      <c r="Z5622" t="s">
        <v>1491</v>
      </c>
      <c r="AA5622" s="3">
        <v>0.14531680941581701</v>
      </c>
      <c r="AB5622" t="s">
        <v>5705</v>
      </c>
      <c r="AC5622" t="s">
        <v>4575</v>
      </c>
      <c r="AD5622" t="s">
        <v>5706</v>
      </c>
      <c r="AE5622" t="s">
        <v>4655</v>
      </c>
      <c r="AF5622" t="s">
        <v>5707</v>
      </c>
      <c r="AG5622" t="s">
        <v>1434</v>
      </c>
      <c r="AH5622" t="s">
        <v>309</v>
      </c>
      <c r="AI5622" t="s">
        <v>549</v>
      </c>
      <c r="AJ5622" t="s">
        <v>2280</v>
      </c>
      <c r="AK5622" t="s">
        <v>995</v>
      </c>
      <c r="AL5622" s="13" t="s">
        <v>2255</v>
      </c>
      <c r="AM5622" s="14">
        <v>1</v>
      </c>
      <c r="AN5622" s="15" t="s">
        <v>964</v>
      </c>
    </row>
    <row r="5623" spans="1:40" x14ac:dyDescent="0.3">
      <c r="A5623" s="10" t="str">
        <f>HYPERLINK("http://www.washoecounty.gov/assessor/cama/?parid=165-044-08&amp;CardNumber=1","165-044-08")</f>
        <v>165-044-08</v>
      </c>
      <c r="B5623" t="s">
        <v>4655</v>
      </c>
      <c r="C5623" t="s">
        <v>28077</v>
      </c>
      <c r="D5623" s="1">
        <v>40542</v>
      </c>
      <c r="E5623" s="2">
        <v>265000</v>
      </c>
      <c r="F5623" t="s">
        <v>4567</v>
      </c>
      <c r="G5623" s="17" t="str">
        <f>HYPERLINK("https://www.washoecounty.gov/assessor/cama/?command=sales&amp;parid=16504408","3959103")</f>
        <v>3959103</v>
      </c>
      <c r="H5623" t="s">
        <v>2279</v>
      </c>
      <c r="I5623">
        <v>2010</v>
      </c>
      <c r="J5623">
        <v>2010</v>
      </c>
      <c r="K5623" t="s">
        <v>4554</v>
      </c>
      <c r="L5623" t="s">
        <v>3974</v>
      </c>
      <c r="M5623" s="2">
        <v>2710</v>
      </c>
      <c r="N5623" t="s">
        <v>5280</v>
      </c>
      <c r="O5623">
        <v>5</v>
      </c>
      <c r="P5623">
        <v>3</v>
      </c>
      <c r="Q5623">
        <v>0</v>
      </c>
      <c r="R5623" t="s">
        <v>5281</v>
      </c>
      <c r="S5623" t="s">
        <v>4898</v>
      </c>
      <c r="T5623" t="s">
        <v>2704</v>
      </c>
      <c r="U5623" t="s">
        <v>5631</v>
      </c>
      <c r="V5623" s="2">
        <v>660</v>
      </c>
      <c r="W5623" t="s">
        <v>4655</v>
      </c>
      <c r="X5623" s="2">
        <v>0</v>
      </c>
      <c r="Y5623">
        <v>20</v>
      </c>
      <c r="Z5623" t="s">
        <v>1491</v>
      </c>
      <c r="AA5623" s="3">
        <v>0.17036271095275901</v>
      </c>
      <c r="AB5623" t="s">
        <v>28078</v>
      </c>
      <c r="AC5623" t="s">
        <v>4575</v>
      </c>
      <c r="AD5623" t="s">
        <v>28077</v>
      </c>
      <c r="AE5623" t="s">
        <v>4655</v>
      </c>
      <c r="AF5623" t="s">
        <v>4563</v>
      </c>
      <c r="AG5623" t="s">
        <v>4564</v>
      </c>
      <c r="AH5623" t="s">
        <v>5197</v>
      </c>
      <c r="AI5623" t="s">
        <v>549</v>
      </c>
      <c r="AJ5623" t="s">
        <v>2280</v>
      </c>
      <c r="AK5623" t="s">
        <v>28079</v>
      </c>
      <c r="AL5623" s="13" t="s">
        <v>2255</v>
      </c>
      <c r="AM5623">
        <v>1</v>
      </c>
      <c r="AN5623" s="15" t="s">
        <v>964</v>
      </c>
    </row>
    <row r="5624" spans="1:40" x14ac:dyDescent="0.3">
      <c r="A5624" s="10" t="str">
        <f>HYPERLINK("http://www.washoecounty.gov/assessor/cama/?parid=165-045-07&amp;CardNumber=1","165-045-07")</f>
        <v>165-045-07</v>
      </c>
      <c r="B5624" t="s">
        <v>4655</v>
      </c>
      <c r="C5624" t="s">
        <v>28080</v>
      </c>
      <c r="D5624" s="1">
        <v>40304</v>
      </c>
      <c r="E5624" s="2">
        <v>668000</v>
      </c>
      <c r="F5624" t="s">
        <v>3174</v>
      </c>
      <c r="G5624" s="17" t="str">
        <f>HYPERLINK("https://www.washoecounty.gov/assessor/cama/?command=sales&amp;parid=16504507","3878792")</f>
        <v>3878792</v>
      </c>
      <c r="H5624" t="s">
        <v>2279</v>
      </c>
      <c r="I5624">
        <v>2010</v>
      </c>
      <c r="J5624">
        <v>2010</v>
      </c>
      <c r="K5624" t="s">
        <v>4554</v>
      </c>
      <c r="L5624" t="s">
        <v>4555</v>
      </c>
      <c r="M5624" s="2">
        <v>1910</v>
      </c>
      <c r="N5624" t="s">
        <v>5280</v>
      </c>
      <c r="O5624">
        <v>3</v>
      </c>
      <c r="P5624">
        <v>2</v>
      </c>
      <c r="Q5624">
        <v>0</v>
      </c>
      <c r="R5624" t="s">
        <v>5281</v>
      </c>
      <c r="S5624" t="s">
        <v>4898</v>
      </c>
      <c r="T5624" t="s">
        <v>2704</v>
      </c>
      <c r="U5624" t="s">
        <v>4560</v>
      </c>
      <c r="V5624" s="2">
        <v>420</v>
      </c>
      <c r="W5624" t="s">
        <v>4655</v>
      </c>
      <c r="X5624" s="2">
        <v>0</v>
      </c>
      <c r="Y5624">
        <v>12</v>
      </c>
      <c r="Z5624" t="s">
        <v>1491</v>
      </c>
      <c r="AA5624" s="3">
        <v>0.149127647280693</v>
      </c>
      <c r="AB5624" t="s">
        <v>28081</v>
      </c>
      <c r="AC5624" t="s">
        <v>4575</v>
      </c>
      <c r="AD5624" t="s">
        <v>28080</v>
      </c>
      <c r="AE5624" t="s">
        <v>4655</v>
      </c>
      <c r="AF5624" t="s">
        <v>4563</v>
      </c>
      <c r="AG5624" t="s">
        <v>4564</v>
      </c>
      <c r="AH5624" t="s">
        <v>5197</v>
      </c>
      <c r="AI5624" t="s">
        <v>549</v>
      </c>
      <c r="AJ5624" t="s">
        <v>2280</v>
      </c>
      <c r="AK5624" t="s">
        <v>28082</v>
      </c>
      <c r="AL5624" s="13" t="s">
        <v>2255</v>
      </c>
      <c r="AM5624" s="14">
        <v>1</v>
      </c>
      <c r="AN5624" s="15" t="s">
        <v>964</v>
      </c>
    </row>
    <row r="5625" spans="1:40" x14ac:dyDescent="0.3">
      <c r="A5625" s="10" t="str">
        <f>HYPERLINK("http://www.washoecounty.gov/assessor/cama/?parid=165-045-07&amp;CardNumber=1","165-045-07")</f>
        <v>165-045-07</v>
      </c>
      <c r="B5625" t="s">
        <v>4655</v>
      </c>
      <c r="C5625" t="s">
        <v>28080</v>
      </c>
      <c r="D5625" s="1">
        <v>40442</v>
      </c>
      <c r="E5625" s="2">
        <v>246035</v>
      </c>
      <c r="F5625" t="s">
        <v>4567</v>
      </c>
      <c r="G5625" s="17" t="str">
        <f>HYPERLINK("https://www.washoecounty.gov/assessor/cama/?command=sales&amp;parid=16504507","3924691")</f>
        <v>3924691</v>
      </c>
      <c r="H5625" t="s">
        <v>2279</v>
      </c>
      <c r="I5625">
        <v>2010</v>
      </c>
      <c r="J5625">
        <v>2010</v>
      </c>
      <c r="K5625" t="s">
        <v>4554</v>
      </c>
      <c r="L5625" t="s">
        <v>4555</v>
      </c>
      <c r="M5625" s="2">
        <v>1910</v>
      </c>
      <c r="N5625" t="s">
        <v>5280</v>
      </c>
      <c r="O5625">
        <v>3</v>
      </c>
      <c r="P5625">
        <v>2</v>
      </c>
      <c r="Q5625">
        <v>0</v>
      </c>
      <c r="R5625" t="s">
        <v>5281</v>
      </c>
      <c r="S5625" t="s">
        <v>4898</v>
      </c>
      <c r="T5625" t="s">
        <v>2704</v>
      </c>
      <c r="U5625" t="s">
        <v>4560</v>
      </c>
      <c r="V5625" s="2">
        <v>420</v>
      </c>
      <c r="W5625" t="s">
        <v>4655</v>
      </c>
      <c r="X5625" s="2">
        <v>0</v>
      </c>
      <c r="Y5625">
        <v>20</v>
      </c>
      <c r="Z5625" t="s">
        <v>1491</v>
      </c>
      <c r="AA5625" s="3">
        <v>0.149127647280693</v>
      </c>
      <c r="AB5625" t="s">
        <v>28081</v>
      </c>
      <c r="AC5625" t="s">
        <v>4575</v>
      </c>
      <c r="AD5625" t="s">
        <v>28080</v>
      </c>
      <c r="AE5625" t="s">
        <v>4655</v>
      </c>
      <c r="AF5625" t="s">
        <v>4563</v>
      </c>
      <c r="AG5625" t="s">
        <v>4564</v>
      </c>
      <c r="AH5625" t="s">
        <v>5197</v>
      </c>
      <c r="AI5625" t="s">
        <v>549</v>
      </c>
      <c r="AJ5625" t="s">
        <v>2280</v>
      </c>
      <c r="AK5625" t="s">
        <v>28082</v>
      </c>
      <c r="AL5625" s="13" t="s">
        <v>2255</v>
      </c>
      <c r="AM5625">
        <v>1</v>
      </c>
      <c r="AN5625" s="15" t="s">
        <v>964</v>
      </c>
    </row>
    <row r="5626" spans="1:40" x14ac:dyDescent="0.3">
      <c r="A5626" s="10" t="str">
        <f>HYPERLINK("http://www.washoecounty.gov/assessor/cama/?parid=165-071-02&amp;CardNumber=1","165-071-02")</f>
        <v>165-071-02</v>
      </c>
      <c r="B5626" t="s">
        <v>4655</v>
      </c>
      <c r="C5626" t="s">
        <v>996</v>
      </c>
      <c r="D5626" s="1">
        <v>40541</v>
      </c>
      <c r="E5626" s="2">
        <v>550000</v>
      </c>
      <c r="F5626" t="s">
        <v>3174</v>
      </c>
      <c r="G5626" s="17" t="str">
        <f>HYPERLINK("https://www.washoecounty.gov/assessor/cama/?command=sales&amp;parid=16507102","3958648")</f>
        <v>3958648</v>
      </c>
      <c r="H5626" t="s">
        <v>2233</v>
      </c>
      <c r="I5626">
        <v>2011</v>
      </c>
      <c r="J5626">
        <v>2011</v>
      </c>
      <c r="K5626" t="s">
        <v>4554</v>
      </c>
      <c r="L5626" t="s">
        <v>3974</v>
      </c>
      <c r="M5626" s="2">
        <v>1835</v>
      </c>
      <c r="N5626" t="s">
        <v>4048</v>
      </c>
      <c r="O5626">
        <v>3</v>
      </c>
      <c r="P5626">
        <v>2</v>
      </c>
      <c r="Q5626">
        <v>1</v>
      </c>
      <c r="R5626" t="s">
        <v>5281</v>
      </c>
      <c r="S5626" t="s">
        <v>4898</v>
      </c>
      <c r="T5626" t="s">
        <v>2704</v>
      </c>
      <c r="U5626" t="s">
        <v>5631</v>
      </c>
      <c r="V5626" s="2">
        <v>429</v>
      </c>
      <c r="W5626" t="s">
        <v>4655</v>
      </c>
      <c r="X5626" s="2">
        <v>0</v>
      </c>
      <c r="Y5626">
        <v>12</v>
      </c>
      <c r="Z5626" t="s">
        <v>1491</v>
      </c>
      <c r="AA5626" s="3">
        <v>8.4481172263622298E-2</v>
      </c>
      <c r="AB5626" t="s">
        <v>549</v>
      </c>
      <c r="AC5626" t="s">
        <v>4562</v>
      </c>
      <c r="AD5626" t="s">
        <v>1385</v>
      </c>
      <c r="AE5626" t="s">
        <v>4655</v>
      </c>
      <c r="AF5626" t="s">
        <v>1386</v>
      </c>
      <c r="AG5626" t="s">
        <v>4584</v>
      </c>
      <c r="AH5626" t="s">
        <v>1387</v>
      </c>
      <c r="AI5626" t="s">
        <v>3351</v>
      </c>
      <c r="AJ5626" t="s">
        <v>2234</v>
      </c>
      <c r="AK5626" t="s">
        <v>997</v>
      </c>
      <c r="AL5626" s="13" t="s">
        <v>2255</v>
      </c>
      <c r="AM5626" s="14">
        <v>1</v>
      </c>
      <c r="AN5626" s="15" t="s">
        <v>2235</v>
      </c>
    </row>
    <row r="5627" spans="1:40" x14ac:dyDescent="0.3">
      <c r="A5627" s="10" t="str">
        <f>HYPERLINK("http://www.washoecounty.gov/assessor/cama/?parid=165-071-03&amp;CardNumber=1","165-071-03")</f>
        <v>165-071-03</v>
      </c>
      <c r="B5627" t="s">
        <v>4655</v>
      </c>
      <c r="C5627" t="s">
        <v>998</v>
      </c>
      <c r="D5627" s="1">
        <v>40541</v>
      </c>
      <c r="E5627" s="2">
        <v>550000</v>
      </c>
      <c r="F5627" t="s">
        <v>3174</v>
      </c>
      <c r="G5627" s="17" t="str">
        <f>HYPERLINK("https://www.washoecounty.gov/assessor/cama/?command=sales&amp;parid=16507103","3958648")</f>
        <v>3958648</v>
      </c>
      <c r="H5627" t="s">
        <v>2233</v>
      </c>
      <c r="I5627">
        <v>2011</v>
      </c>
      <c r="J5627">
        <v>2011</v>
      </c>
      <c r="K5627" t="s">
        <v>4554</v>
      </c>
      <c r="L5627" t="s">
        <v>3974</v>
      </c>
      <c r="M5627" s="2">
        <v>1539</v>
      </c>
      <c r="N5627" t="s">
        <v>4048</v>
      </c>
      <c r="O5627">
        <v>3</v>
      </c>
      <c r="P5627">
        <v>2</v>
      </c>
      <c r="Q5627">
        <v>1</v>
      </c>
      <c r="R5627" t="s">
        <v>5281</v>
      </c>
      <c r="S5627" t="s">
        <v>4898</v>
      </c>
      <c r="T5627" t="s">
        <v>2704</v>
      </c>
      <c r="U5627" t="s">
        <v>5631</v>
      </c>
      <c r="V5627" s="2">
        <v>440</v>
      </c>
      <c r="W5627" t="s">
        <v>4655</v>
      </c>
      <c r="X5627" s="2">
        <v>0</v>
      </c>
      <c r="Y5627">
        <v>12</v>
      </c>
      <c r="Z5627" t="s">
        <v>1491</v>
      </c>
      <c r="AA5627" s="3">
        <v>6.4279153943061801E-2</v>
      </c>
      <c r="AB5627" t="s">
        <v>549</v>
      </c>
      <c r="AC5627" t="s">
        <v>4562</v>
      </c>
      <c r="AD5627" t="s">
        <v>1385</v>
      </c>
      <c r="AE5627" t="s">
        <v>4655</v>
      </c>
      <c r="AF5627" t="s">
        <v>1386</v>
      </c>
      <c r="AG5627" t="s">
        <v>4584</v>
      </c>
      <c r="AH5627" t="s">
        <v>1387</v>
      </c>
      <c r="AI5627" t="s">
        <v>3351</v>
      </c>
      <c r="AJ5627" t="s">
        <v>2234</v>
      </c>
      <c r="AK5627" t="s">
        <v>999</v>
      </c>
      <c r="AL5627" s="13" t="s">
        <v>2255</v>
      </c>
      <c r="AM5627" s="14">
        <v>1</v>
      </c>
      <c r="AN5627" s="15" t="s">
        <v>2235</v>
      </c>
    </row>
    <row r="5628" spans="1:40" x14ac:dyDescent="0.3">
      <c r="A5628" s="10" t="str">
        <f>HYPERLINK("http://www.washoecounty.gov/assessor/cama/?parid=165-071-04&amp;CardNumber=1","165-071-04")</f>
        <v>165-071-04</v>
      </c>
      <c r="B5628" t="s">
        <v>4655</v>
      </c>
      <c r="C5628" t="s">
        <v>28083</v>
      </c>
      <c r="D5628" s="1">
        <v>40542</v>
      </c>
      <c r="E5628" s="2">
        <v>176990</v>
      </c>
      <c r="F5628" t="s">
        <v>4567</v>
      </c>
      <c r="G5628" s="17" t="str">
        <f>HYPERLINK("https://www.washoecounty.gov/assessor/cama/?command=sales&amp;parid=16507104","3959186")</f>
        <v>3959186</v>
      </c>
      <c r="H5628" t="s">
        <v>2233</v>
      </c>
      <c r="I5628">
        <v>2010</v>
      </c>
      <c r="J5628">
        <v>2010</v>
      </c>
      <c r="K5628" t="s">
        <v>4554</v>
      </c>
      <c r="L5628" t="s">
        <v>3974</v>
      </c>
      <c r="M5628" s="2">
        <v>1835</v>
      </c>
      <c r="N5628" t="s">
        <v>4048</v>
      </c>
      <c r="O5628">
        <v>3</v>
      </c>
      <c r="P5628">
        <v>2</v>
      </c>
      <c r="Q5628">
        <v>1</v>
      </c>
      <c r="R5628" t="s">
        <v>5281</v>
      </c>
      <c r="S5628" t="s">
        <v>4898</v>
      </c>
      <c r="T5628" t="s">
        <v>2704</v>
      </c>
      <c r="U5628" t="s">
        <v>5631</v>
      </c>
      <c r="V5628" s="2">
        <v>429</v>
      </c>
      <c r="W5628" t="s">
        <v>4655</v>
      </c>
      <c r="X5628" s="2">
        <v>0</v>
      </c>
      <c r="Y5628">
        <v>20</v>
      </c>
      <c r="Z5628" t="s">
        <v>1491</v>
      </c>
      <c r="AA5628" s="3">
        <v>6.4279153943061801E-2</v>
      </c>
      <c r="AB5628" t="s">
        <v>28084</v>
      </c>
      <c r="AC5628" t="s">
        <v>4562</v>
      </c>
      <c r="AD5628" t="s">
        <v>28083</v>
      </c>
      <c r="AE5628" t="s">
        <v>4655</v>
      </c>
      <c r="AF5628" t="s">
        <v>4563</v>
      </c>
      <c r="AG5628" t="s">
        <v>4564</v>
      </c>
      <c r="AH5628" t="s">
        <v>5197</v>
      </c>
      <c r="AI5628" t="s">
        <v>549</v>
      </c>
      <c r="AJ5628" t="s">
        <v>2234</v>
      </c>
      <c r="AK5628" t="s">
        <v>28085</v>
      </c>
      <c r="AL5628" s="13" t="s">
        <v>2255</v>
      </c>
      <c r="AM5628" s="14">
        <v>1</v>
      </c>
      <c r="AN5628" s="15" t="s">
        <v>2235</v>
      </c>
    </row>
    <row r="5629" spans="1:40" x14ac:dyDescent="0.3">
      <c r="A5629" s="10" t="str">
        <f>HYPERLINK("http://www.washoecounty.gov/assessor/cama/?parid=165-071-05&amp;CardNumber=1","165-071-05")</f>
        <v>165-071-05</v>
      </c>
      <c r="B5629" t="s">
        <v>4655</v>
      </c>
      <c r="C5629" t="s">
        <v>28086</v>
      </c>
      <c r="D5629" s="1">
        <v>40534</v>
      </c>
      <c r="E5629" s="2">
        <v>159990</v>
      </c>
      <c r="F5629" t="s">
        <v>4567</v>
      </c>
      <c r="G5629" s="17" t="str">
        <f>HYPERLINK("https://www.washoecounty.gov/assessor/cama/?command=sales&amp;parid=16507105","3956308")</f>
        <v>3956308</v>
      </c>
      <c r="H5629" t="s">
        <v>2233</v>
      </c>
      <c r="I5629">
        <v>2010</v>
      </c>
      <c r="J5629">
        <v>2010</v>
      </c>
      <c r="K5629" t="s">
        <v>4554</v>
      </c>
      <c r="L5629" t="s">
        <v>3974</v>
      </c>
      <c r="M5629" s="2">
        <v>1539</v>
      </c>
      <c r="N5629" t="s">
        <v>4048</v>
      </c>
      <c r="O5629">
        <v>3</v>
      </c>
      <c r="P5629">
        <v>2</v>
      </c>
      <c r="Q5629">
        <v>1</v>
      </c>
      <c r="R5629" t="s">
        <v>5281</v>
      </c>
      <c r="S5629" t="s">
        <v>4898</v>
      </c>
      <c r="T5629" t="s">
        <v>2704</v>
      </c>
      <c r="U5629" t="s">
        <v>5631</v>
      </c>
      <c r="V5629" s="2">
        <v>440</v>
      </c>
      <c r="W5629" t="s">
        <v>4655</v>
      </c>
      <c r="X5629" s="2">
        <v>0</v>
      </c>
      <c r="Y5629">
        <v>20</v>
      </c>
      <c r="Z5629" t="s">
        <v>1491</v>
      </c>
      <c r="AA5629" s="3">
        <v>6.4279153943061801E-2</v>
      </c>
      <c r="AB5629" t="s">
        <v>28087</v>
      </c>
      <c r="AC5629" t="s">
        <v>4575</v>
      </c>
      <c r="AD5629" t="s">
        <v>28088</v>
      </c>
      <c r="AE5629" t="s">
        <v>4655</v>
      </c>
      <c r="AF5629" t="s">
        <v>4563</v>
      </c>
      <c r="AG5629" t="s">
        <v>4564</v>
      </c>
      <c r="AH5629" t="s">
        <v>5197</v>
      </c>
      <c r="AI5629" t="s">
        <v>549</v>
      </c>
      <c r="AJ5629" t="s">
        <v>2234</v>
      </c>
      <c r="AK5629" t="s">
        <v>28089</v>
      </c>
      <c r="AL5629" s="13" t="s">
        <v>2255</v>
      </c>
      <c r="AM5629">
        <v>1</v>
      </c>
      <c r="AN5629" s="15" t="s">
        <v>2235</v>
      </c>
    </row>
    <row r="5630" spans="1:40" x14ac:dyDescent="0.3">
      <c r="A5630" s="10" t="str">
        <f>HYPERLINK("http://www.washoecounty.gov/assessor/cama/?parid=165-071-06&amp;CardNumber=1","165-071-06")</f>
        <v>165-071-06</v>
      </c>
      <c r="B5630" t="s">
        <v>4655</v>
      </c>
      <c r="C5630" t="s">
        <v>28090</v>
      </c>
      <c r="D5630" s="1">
        <v>40535</v>
      </c>
      <c r="E5630" s="2">
        <v>174990</v>
      </c>
      <c r="F5630" t="s">
        <v>4567</v>
      </c>
      <c r="G5630" s="17" t="str">
        <f>HYPERLINK("https://www.washoecounty.gov/assessor/cama/?command=sales&amp;parid=16507106","3956842")</f>
        <v>3956842</v>
      </c>
      <c r="H5630" t="s">
        <v>2233</v>
      </c>
      <c r="I5630">
        <v>2010</v>
      </c>
      <c r="J5630">
        <v>2010</v>
      </c>
      <c r="K5630" t="s">
        <v>4554</v>
      </c>
      <c r="L5630" t="s">
        <v>3974</v>
      </c>
      <c r="M5630" s="2">
        <v>1835</v>
      </c>
      <c r="N5630" t="s">
        <v>4048</v>
      </c>
      <c r="O5630">
        <v>3</v>
      </c>
      <c r="P5630">
        <v>2</v>
      </c>
      <c r="Q5630">
        <v>1</v>
      </c>
      <c r="R5630" t="s">
        <v>5281</v>
      </c>
      <c r="S5630" t="s">
        <v>4898</v>
      </c>
      <c r="T5630" t="s">
        <v>2704</v>
      </c>
      <c r="U5630" t="s">
        <v>5631</v>
      </c>
      <c r="V5630" s="2">
        <v>429</v>
      </c>
      <c r="W5630" t="s">
        <v>4655</v>
      </c>
      <c r="X5630" s="2">
        <v>0</v>
      </c>
      <c r="Y5630">
        <v>20</v>
      </c>
      <c r="Z5630" t="s">
        <v>1491</v>
      </c>
      <c r="AA5630" s="3">
        <v>6.4279153943061801E-2</v>
      </c>
      <c r="AB5630" t="s">
        <v>28091</v>
      </c>
      <c r="AC5630" t="s">
        <v>4562</v>
      </c>
      <c r="AD5630" t="s">
        <v>28090</v>
      </c>
      <c r="AE5630" t="s">
        <v>4655</v>
      </c>
      <c r="AF5630" t="s">
        <v>4563</v>
      </c>
      <c r="AG5630" t="s">
        <v>4564</v>
      </c>
      <c r="AH5630" t="s">
        <v>5197</v>
      </c>
      <c r="AI5630" t="s">
        <v>4655</v>
      </c>
      <c r="AJ5630" t="s">
        <v>2234</v>
      </c>
      <c r="AK5630" t="s">
        <v>28092</v>
      </c>
      <c r="AL5630" s="13" t="s">
        <v>2255</v>
      </c>
      <c r="AM5630" s="14">
        <v>1</v>
      </c>
      <c r="AN5630" s="15" t="s">
        <v>2235</v>
      </c>
    </row>
    <row r="5631" spans="1:40" x14ac:dyDescent="0.3">
      <c r="A5631" s="10" t="str">
        <f>HYPERLINK("http://www.washoecounty.gov/assessor/cama/?parid=165-071-07&amp;CardNumber=1","165-071-07")</f>
        <v>165-071-07</v>
      </c>
      <c r="B5631" t="s">
        <v>4655</v>
      </c>
      <c r="C5631" t="s">
        <v>2097</v>
      </c>
      <c r="D5631" s="1">
        <v>40304</v>
      </c>
      <c r="E5631" s="2">
        <v>668000</v>
      </c>
      <c r="F5631" t="s">
        <v>3174</v>
      </c>
      <c r="G5631" s="17" t="str">
        <f>HYPERLINK("https://www.washoecounty.gov/assessor/cama/?command=sales&amp;parid=16507107","3878792")</f>
        <v>3878792</v>
      </c>
      <c r="H5631" t="s">
        <v>2233</v>
      </c>
      <c r="I5631">
        <v>2010</v>
      </c>
      <c r="J5631">
        <v>2010</v>
      </c>
      <c r="K5631" t="s">
        <v>4554</v>
      </c>
      <c r="L5631" t="s">
        <v>3974</v>
      </c>
      <c r="M5631" s="2">
        <v>1539</v>
      </c>
      <c r="N5631" t="s">
        <v>4048</v>
      </c>
      <c r="O5631">
        <v>3</v>
      </c>
      <c r="P5631">
        <v>2</v>
      </c>
      <c r="Q5631">
        <v>1</v>
      </c>
      <c r="R5631" t="s">
        <v>5281</v>
      </c>
      <c r="S5631" t="s">
        <v>4898</v>
      </c>
      <c r="T5631" t="s">
        <v>2704</v>
      </c>
      <c r="U5631" t="s">
        <v>5631</v>
      </c>
      <c r="V5631" s="2">
        <v>440</v>
      </c>
      <c r="W5631" t="s">
        <v>4655</v>
      </c>
      <c r="X5631" s="2">
        <v>0</v>
      </c>
      <c r="Y5631">
        <v>12</v>
      </c>
      <c r="Z5631" t="s">
        <v>1491</v>
      </c>
      <c r="AA5631" s="3">
        <v>6.4279153943061801E-2</v>
      </c>
      <c r="AB5631" t="s">
        <v>232</v>
      </c>
      <c r="AC5631" t="s">
        <v>4562</v>
      </c>
      <c r="AD5631" t="s">
        <v>233</v>
      </c>
      <c r="AE5631" t="s">
        <v>4655</v>
      </c>
      <c r="AF5631" t="s">
        <v>3114</v>
      </c>
      <c r="AG5631" t="s">
        <v>4564</v>
      </c>
      <c r="AH5631" t="s">
        <v>5197</v>
      </c>
      <c r="AI5631" t="s">
        <v>549</v>
      </c>
      <c r="AJ5631" t="s">
        <v>2234</v>
      </c>
      <c r="AK5631" t="s">
        <v>2098</v>
      </c>
      <c r="AL5631" s="13" t="s">
        <v>2255</v>
      </c>
      <c r="AM5631">
        <v>1</v>
      </c>
      <c r="AN5631" s="15" t="s">
        <v>2235</v>
      </c>
    </row>
    <row r="5632" spans="1:40" x14ac:dyDescent="0.3">
      <c r="A5632" s="10" t="str">
        <f>HYPERLINK("http://www.washoecounty.gov/assessor/cama/?parid=165-071-08&amp;CardNumber=1","165-071-08")</f>
        <v>165-071-08</v>
      </c>
      <c r="B5632" t="s">
        <v>4655</v>
      </c>
      <c r="C5632" t="s">
        <v>2099</v>
      </c>
      <c r="D5632" s="1">
        <v>40304</v>
      </c>
      <c r="E5632" s="2">
        <v>668000</v>
      </c>
      <c r="F5632" t="s">
        <v>3174</v>
      </c>
      <c r="G5632" s="17" t="str">
        <f>HYPERLINK("https://www.washoecounty.gov/assessor/cama/?command=sales&amp;parid=16507108","3878792")</f>
        <v>3878792</v>
      </c>
      <c r="H5632" t="s">
        <v>2233</v>
      </c>
      <c r="I5632">
        <v>2010</v>
      </c>
      <c r="J5632">
        <v>2010</v>
      </c>
      <c r="K5632" t="s">
        <v>4554</v>
      </c>
      <c r="L5632" t="s">
        <v>3974</v>
      </c>
      <c r="M5632" s="2">
        <v>2128</v>
      </c>
      <c r="N5632" t="s">
        <v>4048</v>
      </c>
      <c r="O5632">
        <v>4</v>
      </c>
      <c r="P5632">
        <v>3</v>
      </c>
      <c r="Q5632">
        <v>0</v>
      </c>
      <c r="R5632" t="s">
        <v>5281</v>
      </c>
      <c r="S5632" t="s">
        <v>4898</v>
      </c>
      <c r="T5632" t="s">
        <v>2704</v>
      </c>
      <c r="U5632" t="s">
        <v>5631</v>
      </c>
      <c r="V5632" s="2">
        <v>420</v>
      </c>
      <c r="W5632" t="s">
        <v>4655</v>
      </c>
      <c r="X5632" s="2">
        <v>0</v>
      </c>
      <c r="Y5632">
        <v>12</v>
      </c>
      <c r="Z5632" t="s">
        <v>1491</v>
      </c>
      <c r="AA5632" s="3">
        <v>6.4279153943061801E-2</v>
      </c>
      <c r="AB5632" t="s">
        <v>244</v>
      </c>
      <c r="AC5632" t="s">
        <v>4562</v>
      </c>
      <c r="AD5632" t="s">
        <v>2099</v>
      </c>
      <c r="AE5632" t="s">
        <v>4655</v>
      </c>
      <c r="AF5632" t="s">
        <v>4563</v>
      </c>
      <c r="AG5632" t="s">
        <v>4564</v>
      </c>
      <c r="AH5632" t="s">
        <v>5197</v>
      </c>
      <c r="AI5632" t="s">
        <v>549</v>
      </c>
      <c r="AJ5632" t="s">
        <v>2234</v>
      </c>
      <c r="AK5632" t="s">
        <v>2100</v>
      </c>
      <c r="AL5632" s="13" t="s">
        <v>2255</v>
      </c>
      <c r="AM5632" s="14">
        <v>1</v>
      </c>
      <c r="AN5632" s="15" t="s">
        <v>2235</v>
      </c>
    </row>
    <row r="5633" spans="1:40" x14ac:dyDescent="0.3">
      <c r="A5633" s="10" t="str">
        <f>HYPERLINK("http://www.washoecounty.gov/assessor/cama/?parid=165-071-09&amp;CardNumber=1","165-071-09")</f>
        <v>165-071-09</v>
      </c>
      <c r="B5633" t="s">
        <v>4655</v>
      </c>
      <c r="C5633" t="s">
        <v>28093</v>
      </c>
      <c r="D5633" s="1">
        <v>40304</v>
      </c>
      <c r="E5633" s="2">
        <v>668000</v>
      </c>
      <c r="F5633" t="s">
        <v>3174</v>
      </c>
      <c r="G5633" s="17" t="str">
        <f>HYPERLINK("https://www.washoecounty.gov/assessor/cama/?command=sales&amp;parid=16507109","3878792")</f>
        <v>3878792</v>
      </c>
      <c r="H5633" t="s">
        <v>2233</v>
      </c>
      <c r="I5633">
        <v>2010</v>
      </c>
      <c r="J5633">
        <v>2010</v>
      </c>
      <c r="K5633" t="s">
        <v>4554</v>
      </c>
      <c r="L5633" t="s">
        <v>3974</v>
      </c>
      <c r="M5633" s="2">
        <v>1835</v>
      </c>
      <c r="N5633" t="s">
        <v>4048</v>
      </c>
      <c r="O5633">
        <v>3</v>
      </c>
      <c r="P5633">
        <v>2</v>
      </c>
      <c r="Q5633">
        <v>1</v>
      </c>
      <c r="R5633" t="s">
        <v>5281</v>
      </c>
      <c r="S5633" t="s">
        <v>4898</v>
      </c>
      <c r="T5633" t="s">
        <v>2704</v>
      </c>
      <c r="U5633" t="s">
        <v>5631</v>
      </c>
      <c r="V5633" s="2">
        <v>429</v>
      </c>
      <c r="W5633" t="s">
        <v>4655</v>
      </c>
      <c r="X5633" s="2">
        <v>0</v>
      </c>
      <c r="Y5633">
        <v>12</v>
      </c>
      <c r="Z5633" t="s">
        <v>1491</v>
      </c>
      <c r="AA5633" s="3">
        <v>6.4279153943061801E-2</v>
      </c>
      <c r="AB5633" t="s">
        <v>28094</v>
      </c>
      <c r="AC5633" t="s">
        <v>4562</v>
      </c>
      <c r="AD5633" t="s">
        <v>28095</v>
      </c>
      <c r="AE5633" t="s">
        <v>4655</v>
      </c>
      <c r="AF5633" t="s">
        <v>4563</v>
      </c>
      <c r="AG5633" t="s">
        <v>4564</v>
      </c>
      <c r="AH5633" t="s">
        <v>5197</v>
      </c>
      <c r="AI5633" t="s">
        <v>28094</v>
      </c>
      <c r="AJ5633" t="s">
        <v>2234</v>
      </c>
      <c r="AK5633" t="s">
        <v>28096</v>
      </c>
      <c r="AL5633" s="13" t="s">
        <v>2255</v>
      </c>
      <c r="AM5633" s="14">
        <v>1</v>
      </c>
      <c r="AN5633" s="15" t="s">
        <v>2235</v>
      </c>
    </row>
    <row r="5634" spans="1:40" x14ac:dyDescent="0.3">
      <c r="A5634" s="10" t="str">
        <f>HYPERLINK("http://www.washoecounty.gov/assessor/cama/?parid=165-071-09&amp;CardNumber=1","165-071-09")</f>
        <v>165-071-09</v>
      </c>
      <c r="B5634" t="s">
        <v>4655</v>
      </c>
      <c r="C5634" t="s">
        <v>28093</v>
      </c>
      <c r="D5634" s="1">
        <v>40501</v>
      </c>
      <c r="E5634" s="2">
        <v>179990</v>
      </c>
      <c r="F5634" t="s">
        <v>4567</v>
      </c>
      <c r="G5634" s="17" t="str">
        <f>HYPERLINK("https://www.washoecounty.gov/assessor/cama/?command=sales&amp;parid=16507109","3945034")</f>
        <v>3945034</v>
      </c>
      <c r="H5634" t="s">
        <v>2233</v>
      </c>
      <c r="I5634">
        <v>2010</v>
      </c>
      <c r="J5634">
        <v>2010</v>
      </c>
      <c r="K5634" t="s">
        <v>4554</v>
      </c>
      <c r="L5634" t="s">
        <v>3974</v>
      </c>
      <c r="M5634" s="2">
        <v>1835</v>
      </c>
      <c r="N5634" t="s">
        <v>4048</v>
      </c>
      <c r="O5634">
        <v>3</v>
      </c>
      <c r="P5634">
        <v>2</v>
      </c>
      <c r="Q5634">
        <v>1</v>
      </c>
      <c r="R5634" t="s">
        <v>5281</v>
      </c>
      <c r="S5634" t="s">
        <v>4898</v>
      </c>
      <c r="T5634" t="s">
        <v>2704</v>
      </c>
      <c r="U5634" t="s">
        <v>5631</v>
      </c>
      <c r="V5634" s="2">
        <v>429</v>
      </c>
      <c r="W5634" t="s">
        <v>4655</v>
      </c>
      <c r="X5634" s="2">
        <v>0</v>
      </c>
      <c r="Y5634">
        <v>20</v>
      </c>
      <c r="Z5634" t="s">
        <v>1491</v>
      </c>
      <c r="AA5634" s="3">
        <v>6.4279153943061801E-2</v>
      </c>
      <c r="AB5634" t="s">
        <v>28094</v>
      </c>
      <c r="AC5634" t="s">
        <v>4562</v>
      </c>
      <c r="AD5634" t="s">
        <v>28095</v>
      </c>
      <c r="AE5634" t="s">
        <v>4655</v>
      </c>
      <c r="AF5634" t="s">
        <v>4563</v>
      </c>
      <c r="AG5634" t="s">
        <v>4564</v>
      </c>
      <c r="AH5634" t="s">
        <v>5197</v>
      </c>
      <c r="AI5634" t="s">
        <v>28094</v>
      </c>
      <c r="AJ5634" t="s">
        <v>2234</v>
      </c>
      <c r="AK5634" t="s">
        <v>28096</v>
      </c>
      <c r="AL5634" s="13" t="s">
        <v>2255</v>
      </c>
      <c r="AM5634">
        <v>1</v>
      </c>
      <c r="AN5634" s="15" t="s">
        <v>2235</v>
      </c>
    </row>
    <row r="5635" spans="1:40" x14ac:dyDescent="0.3">
      <c r="A5635" s="10" t="str">
        <f>HYPERLINK("http://www.washoecounty.gov/assessor/cama/?parid=165-071-10&amp;CardNumber=1","165-071-10")</f>
        <v>165-071-10</v>
      </c>
      <c r="B5635" t="s">
        <v>4655</v>
      </c>
      <c r="C5635" t="s">
        <v>28097</v>
      </c>
      <c r="D5635" s="1">
        <v>40304</v>
      </c>
      <c r="E5635" s="2">
        <v>668000</v>
      </c>
      <c r="F5635" t="s">
        <v>3174</v>
      </c>
      <c r="G5635" s="17" t="str">
        <f>HYPERLINK("https://www.washoecounty.gov/assessor/cama/?command=sales&amp;parid=16507110","3878792")</f>
        <v>3878792</v>
      </c>
      <c r="H5635" t="s">
        <v>2233</v>
      </c>
      <c r="I5635">
        <v>2010</v>
      </c>
      <c r="J5635">
        <v>2010</v>
      </c>
      <c r="K5635" t="s">
        <v>4554</v>
      </c>
      <c r="L5635" t="s">
        <v>3974</v>
      </c>
      <c r="M5635" s="2">
        <v>1539</v>
      </c>
      <c r="N5635" t="s">
        <v>4048</v>
      </c>
      <c r="O5635">
        <v>3</v>
      </c>
      <c r="P5635">
        <v>2</v>
      </c>
      <c r="Q5635">
        <v>1</v>
      </c>
      <c r="R5635" t="s">
        <v>5281</v>
      </c>
      <c r="S5635" t="s">
        <v>4898</v>
      </c>
      <c r="T5635" t="s">
        <v>2704</v>
      </c>
      <c r="U5635" t="s">
        <v>5631</v>
      </c>
      <c r="V5635" s="2">
        <v>440</v>
      </c>
      <c r="W5635" t="s">
        <v>4655</v>
      </c>
      <c r="X5635" s="2">
        <v>0</v>
      </c>
      <c r="Y5635">
        <v>12</v>
      </c>
      <c r="Z5635" t="s">
        <v>1491</v>
      </c>
      <c r="AA5635" s="3">
        <v>6.4279153943061801E-2</v>
      </c>
      <c r="AB5635" t="s">
        <v>28098</v>
      </c>
      <c r="AC5635" t="s">
        <v>4575</v>
      </c>
      <c r="AD5635" t="s">
        <v>28097</v>
      </c>
      <c r="AE5635" t="s">
        <v>4655</v>
      </c>
      <c r="AF5635" t="s">
        <v>4563</v>
      </c>
      <c r="AG5635" t="s">
        <v>4564</v>
      </c>
      <c r="AH5635" t="s">
        <v>5197</v>
      </c>
      <c r="AI5635" t="s">
        <v>549</v>
      </c>
      <c r="AJ5635" t="s">
        <v>2234</v>
      </c>
      <c r="AK5635" t="s">
        <v>28099</v>
      </c>
      <c r="AL5635" s="13" t="s">
        <v>2255</v>
      </c>
      <c r="AM5635">
        <v>1</v>
      </c>
      <c r="AN5635" s="15" t="s">
        <v>2235</v>
      </c>
    </row>
    <row r="5636" spans="1:40" x14ac:dyDescent="0.3">
      <c r="A5636" s="10" t="str">
        <f>HYPERLINK("http://www.washoecounty.gov/assessor/cama/?parid=165-071-10&amp;CardNumber=1","165-071-10")</f>
        <v>165-071-10</v>
      </c>
      <c r="B5636" t="s">
        <v>4655</v>
      </c>
      <c r="C5636" t="s">
        <v>28097</v>
      </c>
      <c r="D5636" s="1">
        <v>40438</v>
      </c>
      <c r="E5636" s="2">
        <v>187091</v>
      </c>
      <c r="F5636" t="s">
        <v>4567</v>
      </c>
      <c r="G5636" s="17" t="str">
        <f>HYPERLINK("https://www.washoecounty.gov/assessor/cama/?command=sales&amp;parid=16507110","3923666")</f>
        <v>3923666</v>
      </c>
      <c r="H5636" t="s">
        <v>2233</v>
      </c>
      <c r="I5636">
        <v>2010</v>
      </c>
      <c r="J5636">
        <v>2010</v>
      </c>
      <c r="K5636" t="s">
        <v>4554</v>
      </c>
      <c r="L5636" t="s">
        <v>3974</v>
      </c>
      <c r="M5636" s="2">
        <v>1539</v>
      </c>
      <c r="N5636" t="s">
        <v>4048</v>
      </c>
      <c r="O5636">
        <v>3</v>
      </c>
      <c r="P5636">
        <v>2</v>
      </c>
      <c r="Q5636">
        <v>1</v>
      </c>
      <c r="R5636" t="s">
        <v>5281</v>
      </c>
      <c r="S5636" t="s">
        <v>4898</v>
      </c>
      <c r="T5636" t="s">
        <v>2704</v>
      </c>
      <c r="U5636" t="s">
        <v>5631</v>
      </c>
      <c r="V5636" s="2">
        <v>440</v>
      </c>
      <c r="W5636" t="s">
        <v>4655</v>
      </c>
      <c r="X5636" s="2">
        <v>0</v>
      </c>
      <c r="Y5636">
        <v>20</v>
      </c>
      <c r="Z5636" t="s">
        <v>1491</v>
      </c>
      <c r="AA5636" s="3">
        <v>6.4279153943061801E-2</v>
      </c>
      <c r="AB5636" t="s">
        <v>28098</v>
      </c>
      <c r="AC5636" t="s">
        <v>4575</v>
      </c>
      <c r="AD5636" t="s">
        <v>28097</v>
      </c>
      <c r="AE5636" t="s">
        <v>4655</v>
      </c>
      <c r="AF5636" t="s">
        <v>4563</v>
      </c>
      <c r="AG5636" t="s">
        <v>4564</v>
      </c>
      <c r="AH5636" t="s">
        <v>5197</v>
      </c>
      <c r="AI5636" t="s">
        <v>549</v>
      </c>
      <c r="AJ5636" t="s">
        <v>2234</v>
      </c>
      <c r="AK5636" t="s">
        <v>28099</v>
      </c>
      <c r="AL5636" s="13" t="s">
        <v>2255</v>
      </c>
      <c r="AM5636">
        <v>1</v>
      </c>
      <c r="AN5636" s="15" t="s">
        <v>2235</v>
      </c>
    </row>
    <row r="5637" spans="1:40" x14ac:dyDescent="0.3">
      <c r="A5637" s="10" t="str">
        <f>HYPERLINK("http://www.washoecounty.gov/assessor/cama/?parid=165-071-11&amp;CardNumber=1","165-071-11")</f>
        <v>165-071-11</v>
      </c>
      <c r="B5637" t="s">
        <v>4655</v>
      </c>
      <c r="C5637" t="s">
        <v>28100</v>
      </c>
      <c r="D5637" s="1">
        <v>40304</v>
      </c>
      <c r="E5637" s="2">
        <v>668000</v>
      </c>
      <c r="F5637" t="s">
        <v>3174</v>
      </c>
      <c r="G5637" s="17" t="str">
        <f>HYPERLINK("https://www.washoecounty.gov/assessor/cama/?command=sales&amp;parid=16507111","3878792")</f>
        <v>3878792</v>
      </c>
      <c r="H5637" t="s">
        <v>2233</v>
      </c>
      <c r="I5637">
        <v>2010</v>
      </c>
      <c r="J5637">
        <v>2010</v>
      </c>
      <c r="K5637" t="s">
        <v>4554</v>
      </c>
      <c r="L5637" t="s">
        <v>3974</v>
      </c>
      <c r="M5637" s="2">
        <v>1835</v>
      </c>
      <c r="N5637" t="s">
        <v>4048</v>
      </c>
      <c r="O5637">
        <v>3</v>
      </c>
      <c r="P5637">
        <v>2</v>
      </c>
      <c r="Q5637">
        <v>1</v>
      </c>
      <c r="R5637" t="s">
        <v>5281</v>
      </c>
      <c r="S5637" t="s">
        <v>4898</v>
      </c>
      <c r="T5637" t="s">
        <v>2704</v>
      </c>
      <c r="U5637" t="s">
        <v>5631</v>
      </c>
      <c r="V5637" s="2">
        <v>429</v>
      </c>
      <c r="W5637" t="s">
        <v>4655</v>
      </c>
      <c r="X5637" s="2">
        <v>0</v>
      </c>
      <c r="Y5637">
        <v>12</v>
      </c>
      <c r="Z5637" t="s">
        <v>1491</v>
      </c>
      <c r="AA5637" s="3">
        <v>6.4279153943061801E-2</v>
      </c>
      <c r="AB5637" t="s">
        <v>28101</v>
      </c>
      <c r="AC5637" t="s">
        <v>4575</v>
      </c>
      <c r="AD5637" t="s">
        <v>28102</v>
      </c>
      <c r="AE5637" t="s">
        <v>4655</v>
      </c>
      <c r="AF5637" t="s">
        <v>4563</v>
      </c>
      <c r="AG5637" t="s">
        <v>4564</v>
      </c>
      <c r="AH5637" t="s">
        <v>5197</v>
      </c>
      <c r="AI5637" t="s">
        <v>549</v>
      </c>
      <c r="AJ5637" t="s">
        <v>2234</v>
      </c>
      <c r="AK5637" t="s">
        <v>28103</v>
      </c>
      <c r="AL5637" s="13" t="s">
        <v>2255</v>
      </c>
      <c r="AM5637">
        <v>1</v>
      </c>
      <c r="AN5637" s="15" t="s">
        <v>2235</v>
      </c>
    </row>
    <row r="5638" spans="1:40" x14ac:dyDescent="0.3">
      <c r="A5638" s="10" t="str">
        <f>HYPERLINK("http://www.washoecounty.gov/assessor/cama/?parid=165-071-11&amp;CardNumber=1","165-071-11")</f>
        <v>165-071-11</v>
      </c>
      <c r="B5638" t="s">
        <v>4655</v>
      </c>
      <c r="C5638" t="s">
        <v>28100</v>
      </c>
      <c r="D5638" s="1">
        <v>40451</v>
      </c>
      <c r="E5638" s="2">
        <v>211990</v>
      </c>
      <c r="F5638" t="s">
        <v>4567</v>
      </c>
      <c r="G5638" s="17" t="str">
        <f>HYPERLINK("https://www.washoecounty.gov/assessor/cama/?command=sales&amp;parid=16507111","3928199")</f>
        <v>3928199</v>
      </c>
      <c r="H5638" t="s">
        <v>2233</v>
      </c>
      <c r="I5638">
        <v>2010</v>
      </c>
      <c r="J5638">
        <v>2010</v>
      </c>
      <c r="K5638" t="s">
        <v>4554</v>
      </c>
      <c r="L5638" t="s">
        <v>3974</v>
      </c>
      <c r="M5638" s="2">
        <v>1835</v>
      </c>
      <c r="N5638" t="s">
        <v>4048</v>
      </c>
      <c r="O5638">
        <v>3</v>
      </c>
      <c r="P5638">
        <v>2</v>
      </c>
      <c r="Q5638">
        <v>1</v>
      </c>
      <c r="R5638" t="s">
        <v>5281</v>
      </c>
      <c r="S5638" t="s">
        <v>4898</v>
      </c>
      <c r="T5638" t="s">
        <v>2704</v>
      </c>
      <c r="U5638" t="s">
        <v>5631</v>
      </c>
      <c r="V5638" s="2">
        <v>429</v>
      </c>
      <c r="W5638" t="s">
        <v>4655</v>
      </c>
      <c r="X5638" s="2">
        <v>0</v>
      </c>
      <c r="Y5638">
        <v>20</v>
      </c>
      <c r="Z5638" t="s">
        <v>1491</v>
      </c>
      <c r="AA5638" s="3">
        <v>6.4279153943061801E-2</v>
      </c>
      <c r="AB5638" t="s">
        <v>28101</v>
      </c>
      <c r="AC5638" t="s">
        <v>4575</v>
      </c>
      <c r="AD5638" t="s">
        <v>28102</v>
      </c>
      <c r="AE5638" t="s">
        <v>4655</v>
      </c>
      <c r="AF5638" t="s">
        <v>4563</v>
      </c>
      <c r="AG5638" t="s">
        <v>4564</v>
      </c>
      <c r="AH5638" t="s">
        <v>5197</v>
      </c>
      <c r="AI5638" t="s">
        <v>549</v>
      </c>
      <c r="AJ5638" t="s">
        <v>2234</v>
      </c>
      <c r="AK5638" t="s">
        <v>28103</v>
      </c>
      <c r="AL5638" s="13" t="s">
        <v>2255</v>
      </c>
      <c r="AM5638" s="14">
        <v>1</v>
      </c>
      <c r="AN5638" s="15" t="s">
        <v>2235</v>
      </c>
    </row>
    <row r="5639" spans="1:40" x14ac:dyDescent="0.3">
      <c r="A5639" s="10" t="str">
        <f>HYPERLINK("http://www.washoecounty.gov/assessor/cama/?parid=165-071-12&amp;CardNumber=1","165-071-12")</f>
        <v>165-071-12</v>
      </c>
      <c r="B5639" t="s">
        <v>4655</v>
      </c>
      <c r="C5639" t="s">
        <v>28104</v>
      </c>
      <c r="D5639" s="1">
        <v>40304</v>
      </c>
      <c r="E5639" s="2">
        <v>668000</v>
      </c>
      <c r="F5639" t="s">
        <v>3174</v>
      </c>
      <c r="G5639" s="17" t="str">
        <f>HYPERLINK("https://www.washoecounty.gov/assessor/cama/?command=sales&amp;parid=16507112","3878792")</f>
        <v>3878792</v>
      </c>
      <c r="H5639" t="s">
        <v>2233</v>
      </c>
      <c r="I5639">
        <v>2010</v>
      </c>
      <c r="J5639">
        <v>2010</v>
      </c>
      <c r="K5639" t="s">
        <v>4554</v>
      </c>
      <c r="L5639" t="s">
        <v>3974</v>
      </c>
      <c r="M5639" s="2">
        <v>2128</v>
      </c>
      <c r="N5639" t="s">
        <v>4048</v>
      </c>
      <c r="O5639">
        <v>4</v>
      </c>
      <c r="P5639">
        <v>3</v>
      </c>
      <c r="Q5639">
        <v>0</v>
      </c>
      <c r="R5639" t="s">
        <v>5281</v>
      </c>
      <c r="S5639" t="s">
        <v>4898</v>
      </c>
      <c r="T5639" t="s">
        <v>2704</v>
      </c>
      <c r="U5639" t="s">
        <v>5631</v>
      </c>
      <c r="V5639" s="2">
        <v>420</v>
      </c>
      <c r="W5639" t="s">
        <v>4655</v>
      </c>
      <c r="X5639" s="2">
        <v>0</v>
      </c>
      <c r="Y5639">
        <v>12</v>
      </c>
      <c r="Z5639" t="s">
        <v>1491</v>
      </c>
      <c r="AA5639" s="3">
        <v>6.4279153943061801E-2</v>
      </c>
      <c r="AB5639" t="s">
        <v>28105</v>
      </c>
      <c r="AC5639" t="s">
        <v>4562</v>
      </c>
      <c r="AD5639" t="s">
        <v>28104</v>
      </c>
      <c r="AE5639" t="s">
        <v>4655</v>
      </c>
      <c r="AF5639" t="s">
        <v>4563</v>
      </c>
      <c r="AG5639" t="s">
        <v>4564</v>
      </c>
      <c r="AH5639" t="s">
        <v>5197</v>
      </c>
      <c r="AI5639" t="s">
        <v>4655</v>
      </c>
      <c r="AJ5639" t="s">
        <v>2234</v>
      </c>
      <c r="AK5639" t="s">
        <v>28106</v>
      </c>
      <c r="AL5639" s="13" t="s">
        <v>2255</v>
      </c>
      <c r="AM5639">
        <v>1</v>
      </c>
      <c r="AN5639" s="15" t="s">
        <v>2235</v>
      </c>
    </row>
    <row r="5640" spans="1:40" x14ac:dyDescent="0.3">
      <c r="A5640" s="10" t="str">
        <f>HYPERLINK("http://www.washoecounty.gov/assessor/cama/?parid=165-071-13&amp;CardNumber=1","165-071-13")</f>
        <v>165-071-13</v>
      </c>
      <c r="B5640" t="s">
        <v>4655</v>
      </c>
      <c r="C5640" t="s">
        <v>28107</v>
      </c>
      <c r="D5640" s="1">
        <v>40235</v>
      </c>
      <c r="E5640" s="2">
        <v>613000</v>
      </c>
      <c r="F5640" t="s">
        <v>3174</v>
      </c>
      <c r="G5640" s="17" t="str">
        <f>HYPERLINK("https://www.washoecounty.gov/assessor/cama/?command=sales&amp;parid=16507113","3853439")</f>
        <v>3853439</v>
      </c>
      <c r="H5640" t="s">
        <v>2233</v>
      </c>
      <c r="I5640">
        <v>2010</v>
      </c>
      <c r="J5640">
        <v>2010</v>
      </c>
      <c r="K5640" t="s">
        <v>4554</v>
      </c>
      <c r="L5640" t="s">
        <v>3974</v>
      </c>
      <c r="M5640" s="2">
        <v>1539</v>
      </c>
      <c r="N5640" t="s">
        <v>4048</v>
      </c>
      <c r="O5640">
        <v>3</v>
      </c>
      <c r="P5640">
        <v>2</v>
      </c>
      <c r="Q5640">
        <v>1</v>
      </c>
      <c r="R5640" t="s">
        <v>5281</v>
      </c>
      <c r="S5640" t="s">
        <v>4898</v>
      </c>
      <c r="T5640" t="s">
        <v>2704</v>
      </c>
      <c r="U5640" t="s">
        <v>5631</v>
      </c>
      <c r="V5640" s="2">
        <v>440</v>
      </c>
      <c r="W5640" t="s">
        <v>4655</v>
      </c>
      <c r="X5640" s="2">
        <v>0</v>
      </c>
      <c r="Y5640">
        <v>12</v>
      </c>
      <c r="Z5640" t="s">
        <v>1491</v>
      </c>
      <c r="AA5640" s="3">
        <v>6.4348027110099806E-2</v>
      </c>
      <c r="AB5640" t="s">
        <v>28108</v>
      </c>
      <c r="AC5640" t="s">
        <v>4575</v>
      </c>
      <c r="AD5640" t="s">
        <v>28109</v>
      </c>
      <c r="AE5640" t="s">
        <v>4655</v>
      </c>
      <c r="AF5640" t="s">
        <v>4563</v>
      </c>
      <c r="AG5640" t="s">
        <v>4564</v>
      </c>
      <c r="AH5640" t="s">
        <v>5197</v>
      </c>
      <c r="AI5640" t="s">
        <v>549</v>
      </c>
      <c r="AJ5640" t="s">
        <v>2234</v>
      </c>
      <c r="AK5640" t="s">
        <v>28110</v>
      </c>
      <c r="AL5640" s="13" t="s">
        <v>2255</v>
      </c>
      <c r="AM5640" s="14">
        <v>1</v>
      </c>
      <c r="AN5640" s="15" t="s">
        <v>2235</v>
      </c>
    </row>
    <row r="5641" spans="1:40" x14ac:dyDescent="0.3">
      <c r="A5641" s="10" t="str">
        <f>HYPERLINK("http://www.washoecounty.gov/assessor/cama/?parid=165-071-13&amp;CardNumber=1","165-071-13")</f>
        <v>165-071-13</v>
      </c>
      <c r="B5641" t="s">
        <v>4655</v>
      </c>
      <c r="C5641" t="s">
        <v>28107</v>
      </c>
      <c r="D5641" s="1">
        <v>40483</v>
      </c>
      <c r="E5641" s="2">
        <v>189990</v>
      </c>
      <c r="F5641" t="s">
        <v>4567</v>
      </c>
      <c r="G5641" s="17" t="str">
        <f>HYPERLINK("https://www.washoecounty.gov/assessor/cama/?command=sales&amp;parid=16507113","3938329")</f>
        <v>3938329</v>
      </c>
      <c r="H5641" t="s">
        <v>2233</v>
      </c>
      <c r="I5641">
        <v>2010</v>
      </c>
      <c r="J5641">
        <v>2010</v>
      </c>
      <c r="K5641" t="s">
        <v>4554</v>
      </c>
      <c r="L5641" t="s">
        <v>3974</v>
      </c>
      <c r="M5641" s="2">
        <v>1539</v>
      </c>
      <c r="N5641" t="s">
        <v>4048</v>
      </c>
      <c r="O5641">
        <v>3</v>
      </c>
      <c r="P5641">
        <v>2</v>
      </c>
      <c r="Q5641">
        <v>1</v>
      </c>
      <c r="R5641" t="s">
        <v>5281</v>
      </c>
      <c r="S5641" t="s">
        <v>4898</v>
      </c>
      <c r="T5641" t="s">
        <v>2704</v>
      </c>
      <c r="U5641" t="s">
        <v>5631</v>
      </c>
      <c r="V5641" s="2">
        <v>440</v>
      </c>
      <c r="W5641" t="s">
        <v>4655</v>
      </c>
      <c r="X5641" s="2">
        <v>0</v>
      </c>
      <c r="Y5641">
        <v>20</v>
      </c>
      <c r="Z5641" t="s">
        <v>1491</v>
      </c>
      <c r="AA5641" s="3">
        <v>6.4348027110099806E-2</v>
      </c>
      <c r="AB5641" t="s">
        <v>28108</v>
      </c>
      <c r="AC5641" t="s">
        <v>4575</v>
      </c>
      <c r="AD5641" t="s">
        <v>28109</v>
      </c>
      <c r="AE5641" t="s">
        <v>4655</v>
      </c>
      <c r="AF5641" t="s">
        <v>4563</v>
      </c>
      <c r="AG5641" t="s">
        <v>4564</v>
      </c>
      <c r="AH5641" t="s">
        <v>5197</v>
      </c>
      <c r="AI5641" t="s">
        <v>549</v>
      </c>
      <c r="AJ5641" t="s">
        <v>2234</v>
      </c>
      <c r="AK5641" t="s">
        <v>28110</v>
      </c>
      <c r="AL5641" s="13" t="s">
        <v>2255</v>
      </c>
      <c r="AM5641">
        <v>1</v>
      </c>
      <c r="AN5641" s="15" t="s">
        <v>2235</v>
      </c>
    </row>
    <row r="5642" spans="1:40" x14ac:dyDescent="0.3">
      <c r="A5642" s="10" t="str">
        <f>HYPERLINK("http://www.washoecounty.gov/assessor/cama/?parid=165-071-14&amp;CardNumber=1","165-071-14")</f>
        <v>165-071-14</v>
      </c>
      <c r="B5642" t="s">
        <v>4655</v>
      </c>
      <c r="C5642" t="s">
        <v>2236</v>
      </c>
      <c r="D5642" s="1">
        <v>40235</v>
      </c>
      <c r="E5642" s="2">
        <v>613000</v>
      </c>
      <c r="F5642" t="s">
        <v>3174</v>
      </c>
      <c r="G5642" s="17" t="str">
        <f>HYPERLINK("https://www.washoecounty.gov/assessor/cama/?command=sales&amp;parid=16507114","3853439")</f>
        <v>3853439</v>
      </c>
      <c r="H5642" t="s">
        <v>2233</v>
      </c>
      <c r="I5642">
        <v>2010</v>
      </c>
      <c r="J5642">
        <v>2010</v>
      </c>
      <c r="K5642" t="s">
        <v>4554</v>
      </c>
      <c r="L5642" t="s">
        <v>3974</v>
      </c>
      <c r="M5642" s="2">
        <v>2128</v>
      </c>
      <c r="N5642" t="s">
        <v>4048</v>
      </c>
      <c r="O5642">
        <v>4</v>
      </c>
      <c r="P5642">
        <v>3</v>
      </c>
      <c r="Q5642">
        <v>0</v>
      </c>
      <c r="R5642" t="s">
        <v>5281</v>
      </c>
      <c r="S5642" t="s">
        <v>4898</v>
      </c>
      <c r="T5642" t="s">
        <v>2704</v>
      </c>
      <c r="U5642" t="s">
        <v>5631</v>
      </c>
      <c r="V5642" s="2">
        <v>420</v>
      </c>
      <c r="W5642" t="s">
        <v>4655</v>
      </c>
      <c r="X5642" s="2">
        <v>0</v>
      </c>
      <c r="Y5642">
        <v>12</v>
      </c>
      <c r="Z5642" t="s">
        <v>1491</v>
      </c>
      <c r="AA5642" s="3">
        <v>6.4967863261699704E-2</v>
      </c>
      <c r="AB5642" t="s">
        <v>5365</v>
      </c>
      <c r="AC5642" t="s">
        <v>4575</v>
      </c>
      <c r="AD5642" t="s">
        <v>829</v>
      </c>
      <c r="AE5642" t="s">
        <v>4655</v>
      </c>
      <c r="AF5642" t="s">
        <v>2180</v>
      </c>
      <c r="AG5642" t="s">
        <v>4584</v>
      </c>
      <c r="AH5642">
        <v>92127</v>
      </c>
      <c r="AI5642" t="s">
        <v>828</v>
      </c>
      <c r="AJ5642" t="s">
        <v>2234</v>
      </c>
      <c r="AK5642" t="s">
        <v>2237</v>
      </c>
      <c r="AL5642" s="13" t="s">
        <v>2255</v>
      </c>
      <c r="AM5642">
        <v>1</v>
      </c>
      <c r="AN5642" s="15" t="s">
        <v>2235</v>
      </c>
    </row>
    <row r="5643" spans="1:40" x14ac:dyDescent="0.3">
      <c r="A5643" s="10" t="str">
        <f>HYPERLINK("http://www.washoecounty.gov/assessor/cama/?parid=165-071-15&amp;CardNumber=1","165-071-15")</f>
        <v>165-071-15</v>
      </c>
      <c r="B5643" t="s">
        <v>4655</v>
      </c>
      <c r="C5643" t="s">
        <v>28111</v>
      </c>
      <c r="D5643" s="1">
        <v>40235</v>
      </c>
      <c r="E5643" s="2">
        <v>613000</v>
      </c>
      <c r="F5643" t="s">
        <v>3174</v>
      </c>
      <c r="G5643" s="17" t="str">
        <f>HYPERLINK("https://www.washoecounty.gov/assessor/cama/?command=sales&amp;parid=16507115","3853439")</f>
        <v>3853439</v>
      </c>
      <c r="H5643" t="s">
        <v>2233</v>
      </c>
      <c r="I5643">
        <v>2010</v>
      </c>
      <c r="J5643">
        <v>2010</v>
      </c>
      <c r="K5643" t="s">
        <v>4554</v>
      </c>
      <c r="L5643" t="s">
        <v>3974</v>
      </c>
      <c r="M5643" s="2">
        <v>1539</v>
      </c>
      <c r="N5643" t="s">
        <v>4048</v>
      </c>
      <c r="O5643">
        <v>3</v>
      </c>
      <c r="P5643">
        <v>2</v>
      </c>
      <c r="Q5643">
        <v>1</v>
      </c>
      <c r="R5643" t="s">
        <v>5281</v>
      </c>
      <c r="S5643" t="s">
        <v>4898</v>
      </c>
      <c r="T5643" t="s">
        <v>2704</v>
      </c>
      <c r="U5643" t="s">
        <v>5631</v>
      </c>
      <c r="V5643" s="2">
        <v>440</v>
      </c>
      <c r="W5643" t="s">
        <v>4655</v>
      </c>
      <c r="X5643" s="2">
        <v>0</v>
      </c>
      <c r="Y5643">
        <v>12</v>
      </c>
      <c r="Z5643" t="s">
        <v>1491</v>
      </c>
      <c r="AA5643" s="3">
        <v>7.3278233408927904E-2</v>
      </c>
      <c r="AB5643" t="s">
        <v>28112</v>
      </c>
      <c r="AC5643" t="s">
        <v>4562</v>
      </c>
      <c r="AD5643" t="s">
        <v>28113</v>
      </c>
      <c r="AE5643" t="s">
        <v>4655</v>
      </c>
      <c r="AF5643" t="s">
        <v>4563</v>
      </c>
      <c r="AG5643" t="s">
        <v>4564</v>
      </c>
      <c r="AH5643" t="s">
        <v>5197</v>
      </c>
      <c r="AI5643" t="s">
        <v>549</v>
      </c>
      <c r="AJ5643" t="s">
        <v>2234</v>
      </c>
      <c r="AK5643" t="s">
        <v>28114</v>
      </c>
      <c r="AL5643" s="13" t="s">
        <v>2255</v>
      </c>
      <c r="AM5643" s="14">
        <v>1</v>
      </c>
      <c r="AN5643" s="15" t="s">
        <v>2235</v>
      </c>
    </row>
    <row r="5644" spans="1:40" x14ac:dyDescent="0.3">
      <c r="A5644" s="10" t="str">
        <f>HYPERLINK("http://www.washoecounty.gov/assessor/cama/?parid=165-071-15&amp;CardNumber=1","165-071-15")</f>
        <v>165-071-15</v>
      </c>
      <c r="B5644" t="s">
        <v>4655</v>
      </c>
      <c r="C5644" t="s">
        <v>28111</v>
      </c>
      <c r="D5644" s="1">
        <v>40479</v>
      </c>
      <c r="E5644" s="2">
        <v>190000</v>
      </c>
      <c r="F5644" t="s">
        <v>4567</v>
      </c>
      <c r="G5644" s="17" t="str">
        <f>HYPERLINK("https://www.washoecounty.gov/assessor/cama/?command=sales&amp;parid=16507115","3937895")</f>
        <v>3937895</v>
      </c>
      <c r="H5644" t="s">
        <v>2233</v>
      </c>
      <c r="I5644">
        <v>2010</v>
      </c>
      <c r="J5644">
        <v>2010</v>
      </c>
      <c r="K5644" t="s">
        <v>4554</v>
      </c>
      <c r="L5644" t="s">
        <v>3974</v>
      </c>
      <c r="M5644" s="2">
        <v>1539</v>
      </c>
      <c r="N5644" t="s">
        <v>4048</v>
      </c>
      <c r="O5644">
        <v>3</v>
      </c>
      <c r="P5644">
        <v>2</v>
      </c>
      <c r="Q5644">
        <v>1</v>
      </c>
      <c r="R5644" t="s">
        <v>5281</v>
      </c>
      <c r="S5644" t="s">
        <v>4898</v>
      </c>
      <c r="T5644" t="s">
        <v>2704</v>
      </c>
      <c r="U5644" t="s">
        <v>5631</v>
      </c>
      <c r="V5644" s="2">
        <v>440</v>
      </c>
      <c r="W5644" t="s">
        <v>4655</v>
      </c>
      <c r="X5644" s="2">
        <v>0</v>
      </c>
      <c r="Y5644">
        <v>20</v>
      </c>
      <c r="Z5644" t="s">
        <v>1491</v>
      </c>
      <c r="AA5644" s="3">
        <v>7.3278233408927904E-2</v>
      </c>
      <c r="AB5644" t="s">
        <v>28112</v>
      </c>
      <c r="AC5644" t="s">
        <v>4562</v>
      </c>
      <c r="AD5644" t="s">
        <v>28113</v>
      </c>
      <c r="AE5644" t="s">
        <v>4655</v>
      </c>
      <c r="AF5644" t="s">
        <v>4563</v>
      </c>
      <c r="AG5644" t="s">
        <v>4564</v>
      </c>
      <c r="AH5644" t="s">
        <v>5197</v>
      </c>
      <c r="AI5644" t="s">
        <v>549</v>
      </c>
      <c r="AJ5644" t="s">
        <v>2234</v>
      </c>
      <c r="AK5644" t="s">
        <v>28114</v>
      </c>
      <c r="AL5644" s="13" t="s">
        <v>2255</v>
      </c>
      <c r="AM5644">
        <v>1</v>
      </c>
      <c r="AN5644" s="15" t="s">
        <v>2235</v>
      </c>
    </row>
    <row r="5645" spans="1:40" x14ac:dyDescent="0.3">
      <c r="A5645" s="10" t="str">
        <f>HYPERLINK("http://www.washoecounty.gov/assessor/cama/?parid=165-072-01&amp;CardNumber=1","165-072-01")</f>
        <v>165-072-01</v>
      </c>
      <c r="B5645" t="s">
        <v>4655</v>
      </c>
      <c r="C5645" t="s">
        <v>28115</v>
      </c>
      <c r="D5645" s="1">
        <v>40235</v>
      </c>
      <c r="E5645" s="2">
        <v>613000</v>
      </c>
      <c r="F5645" t="s">
        <v>3174</v>
      </c>
      <c r="G5645" s="17" t="str">
        <f>HYPERLINK("https://www.washoecounty.gov/assessor/cama/?command=sales&amp;parid=16507201","3853439")</f>
        <v>3853439</v>
      </c>
      <c r="H5645" t="s">
        <v>2233</v>
      </c>
      <c r="I5645">
        <v>2010</v>
      </c>
      <c r="J5645">
        <v>2010</v>
      </c>
      <c r="K5645" t="s">
        <v>4554</v>
      </c>
      <c r="L5645" t="s">
        <v>3974</v>
      </c>
      <c r="M5645" s="2">
        <v>1835</v>
      </c>
      <c r="N5645" t="s">
        <v>4048</v>
      </c>
      <c r="O5645">
        <v>3</v>
      </c>
      <c r="P5645">
        <v>2</v>
      </c>
      <c r="Q5645">
        <v>1</v>
      </c>
      <c r="R5645" t="s">
        <v>5281</v>
      </c>
      <c r="S5645" t="s">
        <v>4898</v>
      </c>
      <c r="T5645" t="s">
        <v>2704</v>
      </c>
      <c r="U5645" t="s">
        <v>5631</v>
      </c>
      <c r="V5645" s="2">
        <v>429</v>
      </c>
      <c r="W5645" t="s">
        <v>4655</v>
      </c>
      <c r="X5645" s="2">
        <v>0</v>
      </c>
      <c r="Y5645">
        <v>12</v>
      </c>
      <c r="Z5645" t="s">
        <v>1491</v>
      </c>
      <c r="AA5645" s="3">
        <v>0.10534894466400101</v>
      </c>
      <c r="AB5645" t="s">
        <v>28116</v>
      </c>
      <c r="AC5645" t="s">
        <v>4575</v>
      </c>
      <c r="AD5645" t="s">
        <v>28115</v>
      </c>
      <c r="AE5645" t="s">
        <v>4655</v>
      </c>
      <c r="AF5645" t="s">
        <v>4563</v>
      </c>
      <c r="AG5645" t="s">
        <v>4564</v>
      </c>
      <c r="AH5645" t="s">
        <v>5197</v>
      </c>
      <c r="AI5645" t="s">
        <v>549</v>
      </c>
      <c r="AJ5645" t="s">
        <v>2234</v>
      </c>
      <c r="AK5645" t="s">
        <v>28117</v>
      </c>
      <c r="AL5645" s="13" t="s">
        <v>2255</v>
      </c>
      <c r="AM5645">
        <v>1</v>
      </c>
      <c r="AN5645" s="15" t="s">
        <v>2235</v>
      </c>
    </row>
    <row r="5646" spans="1:40" x14ac:dyDescent="0.3">
      <c r="A5646" s="10" t="str">
        <f>HYPERLINK("http://www.washoecounty.gov/assessor/cama/?parid=165-072-01&amp;CardNumber=1","165-072-01")</f>
        <v>165-072-01</v>
      </c>
      <c r="B5646" t="s">
        <v>4655</v>
      </c>
      <c r="C5646" t="s">
        <v>28115</v>
      </c>
      <c r="D5646" s="1">
        <v>40501</v>
      </c>
      <c r="E5646" s="2">
        <v>208990</v>
      </c>
      <c r="F5646" t="s">
        <v>4567</v>
      </c>
      <c r="G5646" s="17" t="str">
        <f>HYPERLINK("https://www.washoecounty.gov/assessor/cama/?command=sales&amp;parid=16507201","3944960")</f>
        <v>3944960</v>
      </c>
      <c r="H5646" t="s">
        <v>2233</v>
      </c>
      <c r="I5646">
        <v>2010</v>
      </c>
      <c r="J5646">
        <v>2010</v>
      </c>
      <c r="K5646" t="s">
        <v>4554</v>
      </c>
      <c r="L5646" t="s">
        <v>3974</v>
      </c>
      <c r="M5646" s="2">
        <v>1835</v>
      </c>
      <c r="N5646" t="s">
        <v>4048</v>
      </c>
      <c r="O5646">
        <v>3</v>
      </c>
      <c r="P5646">
        <v>2</v>
      </c>
      <c r="Q5646">
        <v>1</v>
      </c>
      <c r="R5646" t="s">
        <v>5281</v>
      </c>
      <c r="S5646" t="s">
        <v>4898</v>
      </c>
      <c r="T5646" t="s">
        <v>2704</v>
      </c>
      <c r="U5646" t="s">
        <v>5631</v>
      </c>
      <c r="V5646" s="2">
        <v>429</v>
      </c>
      <c r="W5646" t="s">
        <v>4655</v>
      </c>
      <c r="X5646" s="2">
        <v>0</v>
      </c>
      <c r="Y5646">
        <v>20</v>
      </c>
      <c r="Z5646" t="s">
        <v>1491</v>
      </c>
      <c r="AA5646" s="3">
        <v>0.10534894466400101</v>
      </c>
      <c r="AB5646" t="s">
        <v>28116</v>
      </c>
      <c r="AC5646" t="s">
        <v>4575</v>
      </c>
      <c r="AD5646" t="s">
        <v>28115</v>
      </c>
      <c r="AE5646" t="s">
        <v>4655</v>
      </c>
      <c r="AF5646" t="s">
        <v>4563</v>
      </c>
      <c r="AG5646" t="s">
        <v>4564</v>
      </c>
      <c r="AH5646" t="s">
        <v>5197</v>
      </c>
      <c r="AI5646" t="s">
        <v>549</v>
      </c>
      <c r="AJ5646" t="s">
        <v>2234</v>
      </c>
      <c r="AK5646" t="s">
        <v>28117</v>
      </c>
      <c r="AL5646" s="13" t="s">
        <v>2255</v>
      </c>
      <c r="AM5646" s="14">
        <v>1</v>
      </c>
      <c r="AN5646" s="15" t="s">
        <v>2235</v>
      </c>
    </row>
    <row r="5647" spans="1:40" x14ac:dyDescent="0.3">
      <c r="A5647" s="10" t="str">
        <f>HYPERLINK("http://www.washoecounty.gov/assessor/cama/?parid=165-072-02&amp;CardNumber=1","165-072-02")</f>
        <v>165-072-02</v>
      </c>
      <c r="B5647" t="s">
        <v>4655</v>
      </c>
      <c r="C5647" t="s">
        <v>28118</v>
      </c>
      <c r="D5647" s="1">
        <v>40322</v>
      </c>
      <c r="E5647" s="2">
        <v>214105</v>
      </c>
      <c r="F5647" t="s">
        <v>4567</v>
      </c>
      <c r="G5647" s="17" t="str">
        <f>HYPERLINK("https://www.washoecounty.gov/assessor/cama/?command=sales&amp;parid=16507202","3884284")</f>
        <v>3884284</v>
      </c>
      <c r="H5647" t="s">
        <v>2233</v>
      </c>
      <c r="I5647">
        <v>2010</v>
      </c>
      <c r="J5647">
        <v>2010</v>
      </c>
      <c r="K5647" t="s">
        <v>4554</v>
      </c>
      <c r="L5647" t="s">
        <v>3974</v>
      </c>
      <c r="M5647" s="2">
        <v>1835</v>
      </c>
      <c r="N5647" t="s">
        <v>4048</v>
      </c>
      <c r="O5647">
        <v>3</v>
      </c>
      <c r="P5647">
        <v>2</v>
      </c>
      <c r="Q5647">
        <v>1</v>
      </c>
      <c r="R5647" t="s">
        <v>5281</v>
      </c>
      <c r="S5647" t="s">
        <v>4898</v>
      </c>
      <c r="T5647" t="s">
        <v>2704</v>
      </c>
      <c r="U5647" t="s">
        <v>5631</v>
      </c>
      <c r="V5647" s="2">
        <v>429</v>
      </c>
      <c r="W5647" t="s">
        <v>4655</v>
      </c>
      <c r="X5647" s="2">
        <v>0</v>
      </c>
      <c r="Y5647">
        <v>20</v>
      </c>
      <c r="Z5647" t="s">
        <v>1491</v>
      </c>
      <c r="AA5647" s="3">
        <v>0.101652890443802</v>
      </c>
      <c r="AB5647" t="s">
        <v>28119</v>
      </c>
      <c r="AC5647" t="s">
        <v>4575</v>
      </c>
      <c r="AD5647" t="s">
        <v>28120</v>
      </c>
      <c r="AE5647" t="s">
        <v>4655</v>
      </c>
      <c r="AF5647" t="s">
        <v>4563</v>
      </c>
      <c r="AG5647" t="s">
        <v>4564</v>
      </c>
      <c r="AH5647" t="s">
        <v>5197</v>
      </c>
      <c r="AI5647" t="s">
        <v>4655</v>
      </c>
      <c r="AJ5647" t="s">
        <v>2234</v>
      </c>
      <c r="AK5647" t="s">
        <v>28121</v>
      </c>
      <c r="AL5647" s="13" t="s">
        <v>2255</v>
      </c>
      <c r="AM5647">
        <v>1</v>
      </c>
      <c r="AN5647" s="15" t="s">
        <v>2235</v>
      </c>
    </row>
    <row r="5648" spans="1:40" x14ac:dyDescent="0.3">
      <c r="A5648" s="10" t="str">
        <f>HYPERLINK("http://www.washoecounty.gov/assessor/cama/?parid=165-072-03&amp;CardNumber=1","165-072-03")</f>
        <v>165-072-03</v>
      </c>
      <c r="B5648" t="s">
        <v>4655</v>
      </c>
      <c r="C5648" t="s">
        <v>28122</v>
      </c>
      <c r="D5648" s="1">
        <v>40318</v>
      </c>
      <c r="E5648" s="2">
        <v>191315</v>
      </c>
      <c r="F5648" t="s">
        <v>4567</v>
      </c>
      <c r="G5648" s="17" t="str">
        <f>HYPERLINK("https://www.washoecounty.gov/assessor/cama/?command=sales&amp;parid=16507203","3883483")</f>
        <v>3883483</v>
      </c>
      <c r="H5648" t="s">
        <v>2233</v>
      </c>
      <c r="I5648">
        <v>2010</v>
      </c>
      <c r="J5648">
        <v>2010</v>
      </c>
      <c r="K5648" t="s">
        <v>4554</v>
      </c>
      <c r="L5648" t="s">
        <v>3974</v>
      </c>
      <c r="M5648" s="2">
        <v>1539</v>
      </c>
      <c r="N5648" t="s">
        <v>4048</v>
      </c>
      <c r="O5648">
        <v>3</v>
      </c>
      <c r="P5648">
        <v>2</v>
      </c>
      <c r="Q5648">
        <v>1</v>
      </c>
      <c r="R5648" t="s">
        <v>5281</v>
      </c>
      <c r="S5648" t="s">
        <v>4898</v>
      </c>
      <c r="T5648" t="s">
        <v>2704</v>
      </c>
      <c r="U5648" t="s">
        <v>5631</v>
      </c>
      <c r="V5648" s="2">
        <v>440</v>
      </c>
      <c r="W5648" t="s">
        <v>4655</v>
      </c>
      <c r="X5648" s="2">
        <v>0</v>
      </c>
      <c r="Y5648">
        <v>20</v>
      </c>
      <c r="Z5648" t="s">
        <v>1491</v>
      </c>
      <c r="AA5648" s="3">
        <v>6.9329656660556793E-2</v>
      </c>
      <c r="AB5648" t="s">
        <v>28123</v>
      </c>
      <c r="AC5648" t="s">
        <v>4562</v>
      </c>
      <c r="AD5648" t="s">
        <v>28122</v>
      </c>
      <c r="AE5648" t="s">
        <v>4655</v>
      </c>
      <c r="AF5648" t="s">
        <v>4563</v>
      </c>
      <c r="AG5648" t="s">
        <v>4564</v>
      </c>
      <c r="AH5648" t="s">
        <v>5197</v>
      </c>
      <c r="AI5648" t="s">
        <v>549</v>
      </c>
      <c r="AJ5648" t="s">
        <v>2234</v>
      </c>
      <c r="AK5648" t="s">
        <v>28124</v>
      </c>
      <c r="AL5648" s="13" t="s">
        <v>2255</v>
      </c>
      <c r="AM5648">
        <v>1</v>
      </c>
      <c r="AN5648" s="15" t="s">
        <v>2235</v>
      </c>
    </row>
    <row r="5649" spans="1:40" x14ac:dyDescent="0.3">
      <c r="A5649" s="10" t="str">
        <f>HYPERLINK("http://www.washoecounty.gov/assessor/cama/?parid=165-072-04&amp;CardNumber=1","165-072-04")</f>
        <v>165-072-04</v>
      </c>
      <c r="B5649" t="s">
        <v>4655</v>
      </c>
      <c r="C5649" t="s">
        <v>28125</v>
      </c>
      <c r="D5649" s="1">
        <v>40382</v>
      </c>
      <c r="E5649" s="2">
        <v>227000</v>
      </c>
      <c r="F5649" t="s">
        <v>4567</v>
      </c>
      <c r="G5649" s="17" t="str">
        <f>HYPERLINK("https://www.washoecounty.gov/assessor/cama/?command=sales&amp;parid=16507204","3904269")</f>
        <v>3904269</v>
      </c>
      <c r="H5649" t="s">
        <v>2233</v>
      </c>
      <c r="I5649">
        <v>2010</v>
      </c>
      <c r="J5649">
        <v>2010</v>
      </c>
      <c r="K5649" t="s">
        <v>4554</v>
      </c>
      <c r="L5649" t="s">
        <v>3974</v>
      </c>
      <c r="M5649" s="2">
        <v>2128</v>
      </c>
      <c r="N5649" t="s">
        <v>4048</v>
      </c>
      <c r="O5649">
        <v>4</v>
      </c>
      <c r="P5649">
        <v>3</v>
      </c>
      <c r="Q5649">
        <v>0</v>
      </c>
      <c r="R5649" t="s">
        <v>5281</v>
      </c>
      <c r="S5649" t="s">
        <v>4898</v>
      </c>
      <c r="T5649" t="s">
        <v>2704</v>
      </c>
      <c r="U5649" t="s">
        <v>5631</v>
      </c>
      <c r="V5649" s="2">
        <v>420</v>
      </c>
      <c r="W5649" t="s">
        <v>4655</v>
      </c>
      <c r="X5649" s="2">
        <v>0</v>
      </c>
      <c r="Y5649">
        <v>20</v>
      </c>
      <c r="Z5649" t="s">
        <v>1491</v>
      </c>
      <c r="AA5649" s="3">
        <v>7.1740128099918393E-2</v>
      </c>
      <c r="AB5649" t="s">
        <v>28126</v>
      </c>
      <c r="AC5649" t="s">
        <v>4562</v>
      </c>
      <c r="AD5649" t="s">
        <v>28125</v>
      </c>
      <c r="AE5649" t="s">
        <v>4655</v>
      </c>
      <c r="AF5649" t="s">
        <v>4563</v>
      </c>
      <c r="AG5649" t="s">
        <v>4564</v>
      </c>
      <c r="AH5649" t="s">
        <v>5197</v>
      </c>
      <c r="AI5649" t="s">
        <v>549</v>
      </c>
      <c r="AJ5649" t="s">
        <v>2234</v>
      </c>
      <c r="AK5649" t="s">
        <v>28127</v>
      </c>
      <c r="AL5649" s="13" t="s">
        <v>2255</v>
      </c>
      <c r="AM5649">
        <v>1</v>
      </c>
      <c r="AN5649" s="15" t="s">
        <v>2235</v>
      </c>
    </row>
    <row r="5650" spans="1:40" x14ac:dyDescent="0.3">
      <c r="A5650" s="10" t="str">
        <f>HYPERLINK("http://www.washoecounty.gov/assessor/cama/?parid=165-072-05&amp;CardNumber=1","165-072-05")</f>
        <v>165-072-05</v>
      </c>
      <c r="B5650" t="s">
        <v>4655</v>
      </c>
      <c r="C5650" t="s">
        <v>28128</v>
      </c>
      <c r="D5650" s="1">
        <v>40312</v>
      </c>
      <c r="E5650" s="2">
        <v>212903</v>
      </c>
      <c r="F5650" t="s">
        <v>4567</v>
      </c>
      <c r="G5650" s="17" t="str">
        <f>HYPERLINK("https://www.washoecounty.gov/assessor/cama/?command=sales&amp;parid=16507205","3881649")</f>
        <v>3881649</v>
      </c>
      <c r="H5650" t="s">
        <v>2233</v>
      </c>
      <c r="I5650">
        <v>2010</v>
      </c>
      <c r="J5650">
        <v>2010</v>
      </c>
      <c r="K5650" t="s">
        <v>4554</v>
      </c>
      <c r="L5650" t="s">
        <v>3974</v>
      </c>
      <c r="M5650" s="2">
        <v>1835</v>
      </c>
      <c r="N5650" t="s">
        <v>4048</v>
      </c>
      <c r="O5650">
        <v>4</v>
      </c>
      <c r="P5650">
        <v>2</v>
      </c>
      <c r="Q5650">
        <v>1</v>
      </c>
      <c r="R5650" t="s">
        <v>5281</v>
      </c>
      <c r="S5650" t="s">
        <v>4898</v>
      </c>
      <c r="T5650" t="s">
        <v>2704</v>
      </c>
      <c r="U5650" t="s">
        <v>5631</v>
      </c>
      <c r="V5650" s="2">
        <v>429</v>
      </c>
      <c r="W5650" t="s">
        <v>4655</v>
      </c>
      <c r="X5650" s="2">
        <v>0</v>
      </c>
      <c r="Y5650">
        <v>20</v>
      </c>
      <c r="Z5650" t="s">
        <v>1491</v>
      </c>
      <c r="AA5650" s="3">
        <v>9.7520664334297194E-2</v>
      </c>
      <c r="AB5650" t="s">
        <v>28129</v>
      </c>
      <c r="AC5650" t="s">
        <v>4575</v>
      </c>
      <c r="AD5650" t="s">
        <v>28128</v>
      </c>
      <c r="AE5650" t="s">
        <v>4655</v>
      </c>
      <c r="AF5650" t="s">
        <v>4563</v>
      </c>
      <c r="AG5650" t="s">
        <v>4564</v>
      </c>
      <c r="AH5650" t="s">
        <v>5197</v>
      </c>
      <c r="AI5650" t="s">
        <v>549</v>
      </c>
      <c r="AJ5650" t="s">
        <v>2234</v>
      </c>
      <c r="AK5650" t="s">
        <v>28130</v>
      </c>
      <c r="AL5650" s="13" t="s">
        <v>2255</v>
      </c>
      <c r="AM5650">
        <v>1</v>
      </c>
      <c r="AN5650" s="15" t="s">
        <v>2235</v>
      </c>
    </row>
    <row r="5651" spans="1:40" x14ac:dyDescent="0.3">
      <c r="A5651" s="10" t="str">
        <f>HYPERLINK("http://www.washoecounty.gov/assessor/cama/?parid=165-073-01&amp;CardNumber=1","165-073-01")</f>
        <v>165-073-01</v>
      </c>
      <c r="B5651" t="s">
        <v>4655</v>
      </c>
      <c r="C5651" t="s">
        <v>28131</v>
      </c>
      <c r="D5651" s="1">
        <v>40445</v>
      </c>
      <c r="E5651" s="2">
        <v>218657</v>
      </c>
      <c r="F5651" t="s">
        <v>4567</v>
      </c>
      <c r="G5651" s="17" t="str">
        <f>HYPERLINK("https://www.washoecounty.gov/assessor/cama/?command=sales&amp;parid=16507301","3926200")</f>
        <v>3926200</v>
      </c>
      <c r="H5651" t="s">
        <v>2233</v>
      </c>
      <c r="I5651">
        <v>2010</v>
      </c>
      <c r="J5651">
        <v>2010</v>
      </c>
      <c r="K5651" t="s">
        <v>4554</v>
      </c>
      <c r="L5651" t="s">
        <v>3974</v>
      </c>
      <c r="M5651" s="2">
        <v>2128</v>
      </c>
      <c r="N5651" t="s">
        <v>4048</v>
      </c>
      <c r="O5651">
        <v>4</v>
      </c>
      <c r="P5651">
        <v>3</v>
      </c>
      <c r="Q5651">
        <v>0</v>
      </c>
      <c r="R5651" t="s">
        <v>5281</v>
      </c>
      <c r="S5651" t="s">
        <v>4898</v>
      </c>
      <c r="T5651" t="s">
        <v>2704</v>
      </c>
      <c r="U5651" t="s">
        <v>5631</v>
      </c>
      <c r="V5651" s="2">
        <v>420</v>
      </c>
      <c r="W5651" t="s">
        <v>4655</v>
      </c>
      <c r="X5651" s="2">
        <v>0</v>
      </c>
      <c r="Y5651">
        <v>20</v>
      </c>
      <c r="Z5651" t="s">
        <v>1491</v>
      </c>
      <c r="AA5651" s="3">
        <v>0.106083564460278</v>
      </c>
      <c r="AB5651" t="s">
        <v>28132</v>
      </c>
      <c r="AC5651" t="s">
        <v>4575</v>
      </c>
      <c r="AD5651" t="s">
        <v>28133</v>
      </c>
      <c r="AE5651" t="s">
        <v>28134</v>
      </c>
      <c r="AF5651" t="s">
        <v>4563</v>
      </c>
      <c r="AG5651" t="s">
        <v>4564</v>
      </c>
      <c r="AH5651" t="s">
        <v>5197</v>
      </c>
      <c r="AI5651" t="s">
        <v>549</v>
      </c>
      <c r="AJ5651" t="s">
        <v>2234</v>
      </c>
      <c r="AK5651" t="s">
        <v>28135</v>
      </c>
      <c r="AL5651" s="13" t="s">
        <v>2255</v>
      </c>
      <c r="AM5651">
        <v>1</v>
      </c>
      <c r="AN5651" s="15" t="s">
        <v>2235</v>
      </c>
    </row>
    <row r="5652" spans="1:40" x14ac:dyDescent="0.3">
      <c r="A5652" s="10" t="str">
        <f>HYPERLINK("http://www.washoecounty.gov/assessor/cama/?parid=165-073-02&amp;CardNumber=1","165-073-02")</f>
        <v>165-073-02</v>
      </c>
      <c r="B5652" t="s">
        <v>4655</v>
      </c>
      <c r="C5652" t="s">
        <v>28136</v>
      </c>
      <c r="D5652" s="1">
        <v>40344</v>
      </c>
      <c r="E5652" s="2">
        <v>191345</v>
      </c>
      <c r="F5652" t="s">
        <v>4567</v>
      </c>
      <c r="G5652" s="17" t="str">
        <f>HYPERLINK("https://www.washoecounty.gov/assessor/cama/?command=sales&amp;parid=16507302","3892077")</f>
        <v>3892077</v>
      </c>
      <c r="H5652" t="s">
        <v>2233</v>
      </c>
      <c r="I5652">
        <v>2010</v>
      </c>
      <c r="J5652">
        <v>2010</v>
      </c>
      <c r="K5652" t="s">
        <v>4554</v>
      </c>
      <c r="L5652" t="s">
        <v>3974</v>
      </c>
      <c r="M5652" s="2">
        <v>1539</v>
      </c>
      <c r="N5652" t="s">
        <v>4048</v>
      </c>
      <c r="O5652">
        <v>3</v>
      </c>
      <c r="P5652">
        <v>2</v>
      </c>
      <c r="Q5652">
        <v>1</v>
      </c>
      <c r="R5652" t="s">
        <v>5281</v>
      </c>
      <c r="S5652" t="s">
        <v>4898</v>
      </c>
      <c r="T5652" t="s">
        <v>2704</v>
      </c>
      <c r="U5652" t="s">
        <v>5631</v>
      </c>
      <c r="V5652" s="2">
        <v>440</v>
      </c>
      <c r="W5652" t="s">
        <v>4655</v>
      </c>
      <c r="X5652" s="2">
        <v>0</v>
      </c>
      <c r="Y5652">
        <v>20</v>
      </c>
      <c r="Z5652" t="s">
        <v>1491</v>
      </c>
      <c r="AA5652" s="3">
        <v>7.7203854918479906E-2</v>
      </c>
      <c r="AB5652" t="s">
        <v>2737</v>
      </c>
      <c r="AC5652" t="s">
        <v>4562</v>
      </c>
      <c r="AD5652" t="s">
        <v>2738</v>
      </c>
      <c r="AE5652" t="s">
        <v>4655</v>
      </c>
      <c r="AF5652" t="s">
        <v>3216</v>
      </c>
      <c r="AG5652" t="s">
        <v>4584</v>
      </c>
      <c r="AH5652">
        <v>94404</v>
      </c>
      <c r="AI5652" t="s">
        <v>549</v>
      </c>
      <c r="AJ5652" t="s">
        <v>2234</v>
      </c>
      <c r="AK5652" t="s">
        <v>28137</v>
      </c>
      <c r="AL5652" s="13" t="s">
        <v>2255</v>
      </c>
      <c r="AM5652">
        <v>1</v>
      </c>
      <c r="AN5652" s="15" t="s">
        <v>2235</v>
      </c>
    </row>
    <row r="5653" spans="1:40" x14ac:dyDescent="0.3">
      <c r="A5653" s="10" t="str">
        <f>HYPERLINK("http://www.washoecounty.gov/assessor/cama/?parid=165-073-03&amp;CardNumber=1","165-073-03")</f>
        <v>165-073-03</v>
      </c>
      <c r="B5653" t="s">
        <v>4655</v>
      </c>
      <c r="C5653" t="s">
        <v>28138</v>
      </c>
      <c r="D5653" s="1">
        <v>40312</v>
      </c>
      <c r="E5653" s="2">
        <v>212179</v>
      </c>
      <c r="F5653" t="s">
        <v>4567</v>
      </c>
      <c r="G5653" s="17" t="str">
        <f>HYPERLINK("https://www.washoecounty.gov/assessor/cama/?command=sales&amp;parid=16507303","3881533")</f>
        <v>3881533</v>
      </c>
      <c r="H5653" t="s">
        <v>2233</v>
      </c>
      <c r="I5653">
        <v>2010</v>
      </c>
      <c r="J5653">
        <v>2010</v>
      </c>
      <c r="K5653" t="s">
        <v>4554</v>
      </c>
      <c r="L5653" t="s">
        <v>3974</v>
      </c>
      <c r="M5653" s="2">
        <v>1835</v>
      </c>
      <c r="N5653" t="s">
        <v>4048</v>
      </c>
      <c r="O5653">
        <v>4</v>
      </c>
      <c r="P5653">
        <v>2</v>
      </c>
      <c r="Q5653">
        <v>1</v>
      </c>
      <c r="R5653" t="s">
        <v>5281</v>
      </c>
      <c r="S5653" t="s">
        <v>4898</v>
      </c>
      <c r="T5653" t="s">
        <v>2704</v>
      </c>
      <c r="U5653" t="s">
        <v>5631</v>
      </c>
      <c r="V5653" s="2">
        <v>429</v>
      </c>
      <c r="W5653" t="s">
        <v>4655</v>
      </c>
      <c r="X5653" s="2">
        <v>0</v>
      </c>
      <c r="Y5653">
        <v>20</v>
      </c>
      <c r="Z5653" t="s">
        <v>1491</v>
      </c>
      <c r="AA5653" s="3">
        <v>6.9788798689842196E-2</v>
      </c>
      <c r="AB5653" t="s">
        <v>28139</v>
      </c>
      <c r="AC5653" t="s">
        <v>4562</v>
      </c>
      <c r="AD5653" t="s">
        <v>28138</v>
      </c>
      <c r="AE5653" t="s">
        <v>4655</v>
      </c>
      <c r="AF5653" t="s">
        <v>4563</v>
      </c>
      <c r="AG5653" t="s">
        <v>4564</v>
      </c>
      <c r="AH5653" t="s">
        <v>5197</v>
      </c>
      <c r="AI5653" t="s">
        <v>4655</v>
      </c>
      <c r="AJ5653" t="s">
        <v>2234</v>
      </c>
      <c r="AK5653" t="s">
        <v>28140</v>
      </c>
      <c r="AL5653" s="13" t="s">
        <v>2255</v>
      </c>
      <c r="AM5653" s="14">
        <v>1</v>
      </c>
      <c r="AN5653" s="15" t="s">
        <v>2235</v>
      </c>
    </row>
    <row r="5654" spans="1:40" x14ac:dyDescent="0.3">
      <c r="A5654" s="10" t="str">
        <f>HYPERLINK("http://www.washoecounty.gov/assessor/cama/?parid=165-073-04&amp;CardNumber=1","165-073-04")</f>
        <v>165-073-04</v>
      </c>
      <c r="B5654" t="s">
        <v>4655</v>
      </c>
      <c r="C5654" t="s">
        <v>28141</v>
      </c>
      <c r="D5654" s="1">
        <v>40522</v>
      </c>
      <c r="E5654" s="2">
        <v>194990</v>
      </c>
      <c r="F5654" t="s">
        <v>4567</v>
      </c>
      <c r="G5654" s="17" t="str">
        <f>HYPERLINK("https://www.washoecounty.gov/assessor/cama/?command=sales&amp;parid=16507304","3952201")</f>
        <v>3952201</v>
      </c>
      <c r="H5654" t="s">
        <v>2233</v>
      </c>
      <c r="I5654">
        <v>2010</v>
      </c>
      <c r="J5654">
        <v>2010</v>
      </c>
      <c r="K5654" t="s">
        <v>4554</v>
      </c>
      <c r="L5654" t="s">
        <v>3974</v>
      </c>
      <c r="M5654" s="2">
        <v>2128</v>
      </c>
      <c r="N5654" t="s">
        <v>4048</v>
      </c>
      <c r="O5654">
        <v>4</v>
      </c>
      <c r="P5654">
        <v>3</v>
      </c>
      <c r="Q5654">
        <v>0</v>
      </c>
      <c r="R5654" t="s">
        <v>5281</v>
      </c>
      <c r="S5654" t="s">
        <v>4898</v>
      </c>
      <c r="T5654" t="s">
        <v>2704</v>
      </c>
      <c r="U5654" t="s">
        <v>5631</v>
      </c>
      <c r="V5654" s="2">
        <v>420</v>
      </c>
      <c r="W5654" t="s">
        <v>4655</v>
      </c>
      <c r="X5654" s="2">
        <v>0</v>
      </c>
      <c r="Y5654">
        <v>20</v>
      </c>
      <c r="Z5654" t="s">
        <v>1491</v>
      </c>
      <c r="AA5654" s="3">
        <v>6.9788798689842196E-2</v>
      </c>
      <c r="AB5654" t="s">
        <v>28142</v>
      </c>
      <c r="AC5654" t="s">
        <v>4575</v>
      </c>
      <c r="AD5654" t="s">
        <v>28143</v>
      </c>
      <c r="AE5654" t="s">
        <v>4655</v>
      </c>
      <c r="AF5654" t="s">
        <v>4563</v>
      </c>
      <c r="AG5654" t="s">
        <v>4564</v>
      </c>
      <c r="AH5654" t="s">
        <v>5197</v>
      </c>
      <c r="AI5654" t="s">
        <v>549</v>
      </c>
      <c r="AJ5654" t="s">
        <v>2234</v>
      </c>
      <c r="AK5654" t="s">
        <v>28144</v>
      </c>
      <c r="AL5654" s="13" t="s">
        <v>2255</v>
      </c>
      <c r="AM5654">
        <v>1</v>
      </c>
      <c r="AN5654" s="15" t="s">
        <v>2235</v>
      </c>
    </row>
    <row r="5655" spans="1:40" x14ac:dyDescent="0.3">
      <c r="A5655" s="10" t="str">
        <f>HYPERLINK("http://www.washoecounty.gov/assessor/cama/?parid=165-073-05&amp;CardNumber=1","165-073-05")</f>
        <v>165-073-05</v>
      </c>
      <c r="B5655" t="s">
        <v>4655</v>
      </c>
      <c r="C5655" t="s">
        <v>28145</v>
      </c>
      <c r="D5655" s="1">
        <v>40298</v>
      </c>
      <c r="E5655" s="2">
        <v>190745</v>
      </c>
      <c r="F5655" t="s">
        <v>4567</v>
      </c>
      <c r="G5655" s="17" t="str">
        <f>HYPERLINK("https://www.washoecounty.gov/assessor/cama/?command=sales&amp;parid=16507305","3876836")</f>
        <v>3876836</v>
      </c>
      <c r="H5655" t="s">
        <v>2233</v>
      </c>
      <c r="I5655">
        <v>2010</v>
      </c>
      <c r="J5655">
        <v>2010</v>
      </c>
      <c r="K5655" t="s">
        <v>4554</v>
      </c>
      <c r="L5655" t="s">
        <v>3974</v>
      </c>
      <c r="M5655" s="2">
        <v>1539</v>
      </c>
      <c r="N5655" t="s">
        <v>4048</v>
      </c>
      <c r="O5655">
        <v>3</v>
      </c>
      <c r="P5655">
        <v>2</v>
      </c>
      <c r="Q5655">
        <v>1</v>
      </c>
      <c r="R5655" t="s">
        <v>5281</v>
      </c>
      <c r="S5655" t="s">
        <v>4898</v>
      </c>
      <c r="T5655" t="s">
        <v>2704</v>
      </c>
      <c r="U5655" t="s">
        <v>5631</v>
      </c>
      <c r="V5655" s="2">
        <v>440</v>
      </c>
      <c r="W5655" t="s">
        <v>4655</v>
      </c>
      <c r="X5655" s="2">
        <v>0</v>
      </c>
      <c r="Y5655">
        <v>20</v>
      </c>
      <c r="Z5655" t="s">
        <v>1491</v>
      </c>
      <c r="AA5655" s="3">
        <v>7.6400369405746502E-2</v>
      </c>
      <c r="AB5655" t="s">
        <v>28146</v>
      </c>
      <c r="AC5655" t="s">
        <v>4575</v>
      </c>
      <c r="AD5655" t="s">
        <v>28145</v>
      </c>
      <c r="AE5655" t="s">
        <v>4655</v>
      </c>
      <c r="AF5655" t="s">
        <v>4563</v>
      </c>
      <c r="AG5655" t="s">
        <v>4564</v>
      </c>
      <c r="AH5655" t="s">
        <v>5197</v>
      </c>
      <c r="AI5655" t="s">
        <v>549</v>
      </c>
      <c r="AJ5655" t="s">
        <v>2234</v>
      </c>
      <c r="AK5655" t="s">
        <v>28147</v>
      </c>
      <c r="AL5655" s="13" t="s">
        <v>2255</v>
      </c>
      <c r="AM5655">
        <v>1</v>
      </c>
      <c r="AN5655" s="15" t="s">
        <v>2235</v>
      </c>
    </row>
    <row r="5656" spans="1:40" x14ac:dyDescent="0.3">
      <c r="A5656" s="10" t="str">
        <f>HYPERLINK("http://www.washoecounty.gov/assessor/cama/?parid=165-073-06&amp;CardNumber=1","165-073-06")</f>
        <v>165-073-06</v>
      </c>
      <c r="B5656" t="s">
        <v>4655</v>
      </c>
      <c r="C5656" t="s">
        <v>28148</v>
      </c>
      <c r="D5656" s="1">
        <v>40235</v>
      </c>
      <c r="E5656" s="2">
        <v>613000</v>
      </c>
      <c r="F5656" t="s">
        <v>3174</v>
      </c>
      <c r="G5656" s="17" t="str">
        <f>HYPERLINK("https://www.washoecounty.gov/assessor/cama/?command=sales&amp;parid=16507306","3853439")</f>
        <v>3853439</v>
      </c>
      <c r="H5656" t="s">
        <v>2233</v>
      </c>
      <c r="I5656">
        <v>2010</v>
      </c>
      <c r="J5656">
        <v>2010</v>
      </c>
      <c r="K5656" t="s">
        <v>4554</v>
      </c>
      <c r="L5656" t="s">
        <v>3974</v>
      </c>
      <c r="M5656" s="2">
        <v>2128</v>
      </c>
      <c r="N5656" t="s">
        <v>4048</v>
      </c>
      <c r="O5656">
        <v>4</v>
      </c>
      <c r="P5656">
        <v>3</v>
      </c>
      <c r="Q5656">
        <v>0</v>
      </c>
      <c r="R5656" t="s">
        <v>5281</v>
      </c>
      <c r="S5656" t="s">
        <v>4898</v>
      </c>
      <c r="T5656" t="s">
        <v>2704</v>
      </c>
      <c r="U5656" t="s">
        <v>5631</v>
      </c>
      <c r="V5656" s="2">
        <v>420</v>
      </c>
      <c r="W5656" t="s">
        <v>4655</v>
      </c>
      <c r="X5656" s="2">
        <v>0</v>
      </c>
      <c r="Y5656">
        <v>12</v>
      </c>
      <c r="Z5656" t="s">
        <v>1491</v>
      </c>
      <c r="AA5656" s="3">
        <v>8.0922864377498599E-2</v>
      </c>
      <c r="AB5656" t="s">
        <v>256</v>
      </c>
      <c r="AC5656" t="s">
        <v>4562</v>
      </c>
      <c r="AD5656" t="s">
        <v>257</v>
      </c>
      <c r="AE5656" t="s">
        <v>4655</v>
      </c>
      <c r="AF5656" t="s">
        <v>1407</v>
      </c>
      <c r="AG5656" t="s">
        <v>4564</v>
      </c>
      <c r="AH5656">
        <v>89703</v>
      </c>
      <c r="AI5656" t="s">
        <v>4655</v>
      </c>
      <c r="AJ5656" t="s">
        <v>2234</v>
      </c>
      <c r="AK5656" t="s">
        <v>28149</v>
      </c>
      <c r="AL5656" s="13" t="s">
        <v>2255</v>
      </c>
      <c r="AM5656">
        <v>1</v>
      </c>
      <c r="AN5656" s="15" t="s">
        <v>2235</v>
      </c>
    </row>
    <row r="5657" spans="1:40" x14ac:dyDescent="0.3">
      <c r="A5657" s="10" t="str">
        <f>HYPERLINK("http://www.washoecounty.gov/assessor/cama/?parid=165-073-06&amp;CardNumber=1","165-073-06")</f>
        <v>165-073-06</v>
      </c>
      <c r="B5657" t="s">
        <v>4655</v>
      </c>
      <c r="C5657" t="s">
        <v>28148</v>
      </c>
      <c r="D5657" s="1">
        <v>40529</v>
      </c>
      <c r="E5657" s="2">
        <v>189990</v>
      </c>
      <c r="F5657" t="s">
        <v>4567</v>
      </c>
      <c r="G5657" s="17" t="str">
        <f>HYPERLINK("https://www.washoecounty.gov/assessor/cama/?command=sales&amp;parid=16507306","3955123")</f>
        <v>3955123</v>
      </c>
      <c r="H5657" t="s">
        <v>2233</v>
      </c>
      <c r="I5657">
        <v>2010</v>
      </c>
      <c r="J5657">
        <v>2010</v>
      </c>
      <c r="K5657" t="s">
        <v>4554</v>
      </c>
      <c r="L5657" t="s">
        <v>3974</v>
      </c>
      <c r="M5657" s="2">
        <v>2128</v>
      </c>
      <c r="N5657" t="s">
        <v>4048</v>
      </c>
      <c r="O5657">
        <v>4</v>
      </c>
      <c r="P5657">
        <v>3</v>
      </c>
      <c r="Q5657">
        <v>0</v>
      </c>
      <c r="R5657" t="s">
        <v>5281</v>
      </c>
      <c r="S5657" t="s">
        <v>4898</v>
      </c>
      <c r="T5657" t="s">
        <v>2704</v>
      </c>
      <c r="U5657" t="s">
        <v>5631</v>
      </c>
      <c r="V5657" s="2">
        <v>420</v>
      </c>
      <c r="W5657" t="s">
        <v>4655</v>
      </c>
      <c r="X5657" s="2">
        <v>0</v>
      </c>
      <c r="Y5657">
        <v>20</v>
      </c>
      <c r="Z5657" t="s">
        <v>1491</v>
      </c>
      <c r="AA5657" s="3">
        <v>8.0922864377498599E-2</v>
      </c>
      <c r="AB5657" t="s">
        <v>256</v>
      </c>
      <c r="AC5657" t="s">
        <v>4562</v>
      </c>
      <c r="AD5657" t="s">
        <v>257</v>
      </c>
      <c r="AE5657" t="s">
        <v>4655</v>
      </c>
      <c r="AF5657" t="s">
        <v>1407</v>
      </c>
      <c r="AG5657" t="s">
        <v>4564</v>
      </c>
      <c r="AH5657">
        <v>89703</v>
      </c>
      <c r="AI5657" t="s">
        <v>4655</v>
      </c>
      <c r="AJ5657" t="s">
        <v>2234</v>
      </c>
      <c r="AK5657" t="s">
        <v>28149</v>
      </c>
      <c r="AL5657" s="13" t="s">
        <v>2255</v>
      </c>
      <c r="AM5657">
        <v>1</v>
      </c>
      <c r="AN5657" s="15" t="s">
        <v>2235</v>
      </c>
    </row>
    <row r="5658" spans="1:40" x14ac:dyDescent="0.3">
      <c r="A5658" s="10" t="str">
        <f>HYPERLINK("http://www.washoecounty.gov/assessor/cama/?parid=165-073-07&amp;CardNumber=1","165-073-07")</f>
        <v>165-073-07</v>
      </c>
      <c r="B5658" t="s">
        <v>4655</v>
      </c>
      <c r="C5658" t="s">
        <v>28150</v>
      </c>
      <c r="D5658" s="1">
        <v>40235</v>
      </c>
      <c r="E5658" s="2">
        <v>613000</v>
      </c>
      <c r="F5658" t="s">
        <v>3174</v>
      </c>
      <c r="G5658" s="17" t="str">
        <f>HYPERLINK("https://www.washoecounty.gov/assessor/cama/?command=sales&amp;parid=16507307","3853439")</f>
        <v>3853439</v>
      </c>
      <c r="H5658" t="s">
        <v>2233</v>
      </c>
      <c r="I5658">
        <v>2010</v>
      </c>
      <c r="J5658">
        <v>2010</v>
      </c>
      <c r="K5658" t="s">
        <v>4554</v>
      </c>
      <c r="L5658" t="s">
        <v>3974</v>
      </c>
      <c r="M5658" s="2">
        <v>1835</v>
      </c>
      <c r="N5658" t="s">
        <v>4048</v>
      </c>
      <c r="O5658">
        <v>3</v>
      </c>
      <c r="P5658">
        <v>2</v>
      </c>
      <c r="Q5658">
        <v>1</v>
      </c>
      <c r="R5658" t="s">
        <v>5281</v>
      </c>
      <c r="S5658" t="s">
        <v>4898</v>
      </c>
      <c r="T5658" t="s">
        <v>2704</v>
      </c>
      <c r="U5658" t="s">
        <v>5631</v>
      </c>
      <c r="V5658" s="2">
        <v>429</v>
      </c>
      <c r="W5658" t="s">
        <v>4655</v>
      </c>
      <c r="X5658" s="2">
        <v>0</v>
      </c>
      <c r="Y5658">
        <v>12</v>
      </c>
      <c r="Z5658" t="s">
        <v>1491</v>
      </c>
      <c r="AA5658" s="3">
        <v>8.1404961645603194E-2</v>
      </c>
      <c r="AB5658" t="s">
        <v>28151</v>
      </c>
      <c r="AC5658" t="s">
        <v>4562</v>
      </c>
      <c r="AD5658" t="s">
        <v>28150</v>
      </c>
      <c r="AE5658" t="s">
        <v>4655</v>
      </c>
      <c r="AF5658" t="s">
        <v>4563</v>
      </c>
      <c r="AG5658" t="s">
        <v>4564</v>
      </c>
      <c r="AH5658" t="s">
        <v>5197</v>
      </c>
      <c r="AI5658" t="s">
        <v>549</v>
      </c>
      <c r="AJ5658" t="s">
        <v>2234</v>
      </c>
      <c r="AK5658" t="s">
        <v>28152</v>
      </c>
      <c r="AL5658" s="13" t="s">
        <v>2255</v>
      </c>
      <c r="AM5658">
        <v>1</v>
      </c>
      <c r="AN5658" s="15" t="s">
        <v>2235</v>
      </c>
    </row>
    <row r="5659" spans="1:40" x14ac:dyDescent="0.3">
      <c r="A5659" s="10" t="str">
        <f>HYPERLINK("http://www.washoecounty.gov/assessor/cama/?parid=165-073-07&amp;CardNumber=1","165-073-07")</f>
        <v>165-073-07</v>
      </c>
      <c r="B5659" t="s">
        <v>4655</v>
      </c>
      <c r="C5659" t="s">
        <v>28150</v>
      </c>
      <c r="D5659" s="1">
        <v>40381</v>
      </c>
      <c r="E5659" s="2">
        <v>212000</v>
      </c>
      <c r="F5659" t="s">
        <v>4567</v>
      </c>
      <c r="G5659" s="17" t="str">
        <f>HYPERLINK("https://www.washoecounty.gov/assessor/cama/?command=sales&amp;parid=16507307","3904104")</f>
        <v>3904104</v>
      </c>
      <c r="H5659" t="s">
        <v>2233</v>
      </c>
      <c r="I5659">
        <v>2010</v>
      </c>
      <c r="J5659">
        <v>2010</v>
      </c>
      <c r="K5659" t="s">
        <v>4554</v>
      </c>
      <c r="L5659" t="s">
        <v>3974</v>
      </c>
      <c r="M5659" s="2">
        <v>1835</v>
      </c>
      <c r="N5659" t="s">
        <v>4048</v>
      </c>
      <c r="O5659">
        <v>3</v>
      </c>
      <c r="P5659">
        <v>2</v>
      </c>
      <c r="Q5659">
        <v>1</v>
      </c>
      <c r="R5659" t="s">
        <v>5281</v>
      </c>
      <c r="S5659" t="s">
        <v>4898</v>
      </c>
      <c r="T5659" t="s">
        <v>2704</v>
      </c>
      <c r="U5659" t="s">
        <v>5631</v>
      </c>
      <c r="V5659" s="2">
        <v>429</v>
      </c>
      <c r="W5659" t="s">
        <v>4655</v>
      </c>
      <c r="X5659" s="2">
        <v>0</v>
      </c>
      <c r="Y5659">
        <v>20</v>
      </c>
      <c r="Z5659" t="s">
        <v>1491</v>
      </c>
      <c r="AA5659" s="3">
        <v>8.1404961645603194E-2</v>
      </c>
      <c r="AB5659" t="s">
        <v>28151</v>
      </c>
      <c r="AC5659" t="s">
        <v>4562</v>
      </c>
      <c r="AD5659" t="s">
        <v>28150</v>
      </c>
      <c r="AE5659" t="s">
        <v>4655</v>
      </c>
      <c r="AF5659" t="s">
        <v>4563</v>
      </c>
      <c r="AG5659" t="s">
        <v>4564</v>
      </c>
      <c r="AH5659" t="s">
        <v>5197</v>
      </c>
      <c r="AI5659" t="s">
        <v>549</v>
      </c>
      <c r="AJ5659" t="s">
        <v>2234</v>
      </c>
      <c r="AK5659" t="s">
        <v>28152</v>
      </c>
      <c r="AL5659" s="13" t="s">
        <v>2255</v>
      </c>
      <c r="AM5659">
        <v>1</v>
      </c>
      <c r="AN5659" s="15" t="s">
        <v>2235</v>
      </c>
    </row>
    <row r="5660" spans="1:40" x14ac:dyDescent="0.3">
      <c r="A5660" s="10" t="str">
        <f>HYPERLINK("http://www.washoecounty.gov/assessor/cama/?parid=165-073-14&amp;CardNumber=1","165-073-14")</f>
        <v>165-073-14</v>
      </c>
      <c r="B5660" t="s">
        <v>4655</v>
      </c>
      <c r="C5660" t="s">
        <v>28153</v>
      </c>
      <c r="D5660" s="1">
        <v>40284</v>
      </c>
      <c r="E5660" s="2">
        <v>225000</v>
      </c>
      <c r="F5660" t="s">
        <v>4567</v>
      </c>
      <c r="G5660" s="17" t="str">
        <f>HYPERLINK("https://www.washoecounty.gov/assessor/cama/?command=sales&amp;parid=16507314","3871828")</f>
        <v>3871828</v>
      </c>
      <c r="H5660" t="s">
        <v>2233</v>
      </c>
      <c r="I5660">
        <v>2007</v>
      </c>
      <c r="J5660">
        <v>2007</v>
      </c>
      <c r="K5660" t="s">
        <v>4554</v>
      </c>
      <c r="L5660" t="s">
        <v>3974</v>
      </c>
      <c r="M5660" s="2">
        <v>1619</v>
      </c>
      <c r="N5660" t="s">
        <v>4048</v>
      </c>
      <c r="O5660">
        <v>3</v>
      </c>
      <c r="P5660">
        <v>2</v>
      </c>
      <c r="Q5660">
        <v>1</v>
      </c>
      <c r="R5660" t="s">
        <v>5281</v>
      </c>
      <c r="S5660" t="s">
        <v>4898</v>
      </c>
      <c r="T5660" t="s">
        <v>2704</v>
      </c>
      <c r="U5660" t="s">
        <v>5631</v>
      </c>
      <c r="V5660" s="2">
        <v>404</v>
      </c>
      <c r="W5660" t="s">
        <v>4655</v>
      </c>
      <c r="X5660" s="2">
        <v>0</v>
      </c>
      <c r="Y5660">
        <v>20</v>
      </c>
      <c r="Z5660" t="s">
        <v>1491</v>
      </c>
      <c r="AA5660" s="3">
        <v>6.4738288521766704E-2</v>
      </c>
      <c r="AB5660" t="s">
        <v>28154</v>
      </c>
      <c r="AC5660" t="s">
        <v>4562</v>
      </c>
      <c r="AD5660" t="s">
        <v>28155</v>
      </c>
      <c r="AE5660" t="s">
        <v>4655</v>
      </c>
      <c r="AF5660" t="s">
        <v>4563</v>
      </c>
      <c r="AG5660" t="s">
        <v>4564</v>
      </c>
      <c r="AH5660" t="s">
        <v>5197</v>
      </c>
      <c r="AI5660" t="s">
        <v>28156</v>
      </c>
      <c r="AJ5660" t="s">
        <v>2234</v>
      </c>
      <c r="AK5660" t="s">
        <v>28157</v>
      </c>
      <c r="AL5660" s="13" t="s">
        <v>2255</v>
      </c>
      <c r="AM5660">
        <v>1</v>
      </c>
      <c r="AN5660" s="15" t="s">
        <v>2235</v>
      </c>
    </row>
    <row r="5661" spans="1:40" x14ac:dyDescent="0.3">
      <c r="A5661" s="10" t="str">
        <f>HYPERLINK("http://www.washoecounty.gov/assessor/cama/?parid=165-074-13&amp;CardNumber=1","165-074-13")</f>
        <v>165-074-13</v>
      </c>
      <c r="B5661" t="s">
        <v>4655</v>
      </c>
      <c r="C5661" t="s">
        <v>1000</v>
      </c>
      <c r="D5661" s="1">
        <v>40541</v>
      </c>
      <c r="E5661" s="2">
        <v>550000</v>
      </c>
      <c r="F5661" t="s">
        <v>3174</v>
      </c>
      <c r="G5661" s="17" t="str">
        <f>HYPERLINK("https://www.washoecounty.gov/assessor/cama/?command=sales&amp;parid=16507413","3958648")</f>
        <v>3958648</v>
      </c>
      <c r="H5661" t="s">
        <v>1287</v>
      </c>
      <c r="I5661">
        <v>2011</v>
      </c>
      <c r="J5661">
        <v>2011</v>
      </c>
      <c r="K5661" t="s">
        <v>4554</v>
      </c>
      <c r="L5661" t="s">
        <v>3974</v>
      </c>
      <c r="M5661" s="2">
        <v>1539</v>
      </c>
      <c r="N5661" t="s">
        <v>4048</v>
      </c>
      <c r="O5661">
        <v>3</v>
      </c>
      <c r="P5661">
        <v>2</v>
      </c>
      <c r="Q5661">
        <v>1</v>
      </c>
      <c r="R5661" t="s">
        <v>5281</v>
      </c>
      <c r="S5661" t="s">
        <v>4898</v>
      </c>
      <c r="T5661" t="s">
        <v>2704</v>
      </c>
      <c r="U5661" t="s">
        <v>5631</v>
      </c>
      <c r="V5661" s="2">
        <v>440</v>
      </c>
      <c r="W5661" t="s">
        <v>4655</v>
      </c>
      <c r="X5661" s="2">
        <v>0</v>
      </c>
      <c r="Y5661">
        <v>12</v>
      </c>
      <c r="Z5661" t="s">
        <v>1491</v>
      </c>
      <c r="AA5661" s="3">
        <v>6.4279153943061801E-2</v>
      </c>
      <c r="AB5661" t="s">
        <v>549</v>
      </c>
      <c r="AC5661" t="s">
        <v>4562</v>
      </c>
      <c r="AD5661" t="s">
        <v>1385</v>
      </c>
      <c r="AE5661" t="s">
        <v>4655</v>
      </c>
      <c r="AF5661" t="s">
        <v>1386</v>
      </c>
      <c r="AG5661" t="s">
        <v>4584</v>
      </c>
      <c r="AH5661" t="s">
        <v>1387</v>
      </c>
      <c r="AI5661" t="s">
        <v>3351</v>
      </c>
      <c r="AJ5661" t="s">
        <v>2234</v>
      </c>
      <c r="AK5661" t="s">
        <v>1001</v>
      </c>
      <c r="AL5661" s="13" t="s">
        <v>2255</v>
      </c>
      <c r="AM5661" s="14">
        <v>1</v>
      </c>
      <c r="AN5661" s="15" t="s">
        <v>2235</v>
      </c>
    </row>
    <row r="5662" spans="1:40" x14ac:dyDescent="0.3">
      <c r="A5662" s="10" t="str">
        <f>HYPERLINK("http://www.washoecounty.gov/assessor/cama/?parid=165-074-14&amp;CardNumber=1","165-074-14")</f>
        <v>165-074-14</v>
      </c>
      <c r="B5662" t="s">
        <v>4655</v>
      </c>
      <c r="C5662" t="s">
        <v>1002</v>
      </c>
      <c r="D5662" s="1">
        <v>40541</v>
      </c>
      <c r="E5662" s="2">
        <v>550000</v>
      </c>
      <c r="F5662" t="s">
        <v>3174</v>
      </c>
      <c r="G5662" s="17" t="str">
        <f>HYPERLINK("https://www.washoecounty.gov/assessor/cama/?command=sales&amp;parid=16507414","3958648")</f>
        <v>3958648</v>
      </c>
      <c r="H5662" t="s">
        <v>1287</v>
      </c>
      <c r="I5662">
        <v>2011</v>
      </c>
      <c r="J5662">
        <v>2011</v>
      </c>
      <c r="K5662" t="s">
        <v>4554</v>
      </c>
      <c r="L5662" t="s">
        <v>3974</v>
      </c>
      <c r="M5662" s="2">
        <v>2128</v>
      </c>
      <c r="N5662" t="s">
        <v>4048</v>
      </c>
      <c r="O5662">
        <v>3</v>
      </c>
      <c r="P5662">
        <v>2</v>
      </c>
      <c r="Q5662">
        <v>1</v>
      </c>
      <c r="R5662" t="s">
        <v>5281</v>
      </c>
      <c r="S5662" t="s">
        <v>4898</v>
      </c>
      <c r="T5662" t="s">
        <v>2704</v>
      </c>
      <c r="U5662" t="s">
        <v>5631</v>
      </c>
      <c r="V5662" s="2">
        <v>420</v>
      </c>
      <c r="W5662" t="s">
        <v>4655</v>
      </c>
      <c r="X5662" s="2">
        <v>0</v>
      </c>
      <c r="Y5662">
        <v>12</v>
      </c>
      <c r="Z5662" t="s">
        <v>1491</v>
      </c>
      <c r="AA5662" s="3">
        <v>9.5454543828964206E-2</v>
      </c>
      <c r="AB5662" t="s">
        <v>549</v>
      </c>
      <c r="AC5662" t="s">
        <v>4562</v>
      </c>
      <c r="AD5662" t="s">
        <v>1385</v>
      </c>
      <c r="AE5662" t="s">
        <v>4655</v>
      </c>
      <c r="AF5662" t="s">
        <v>1386</v>
      </c>
      <c r="AG5662" t="s">
        <v>4584</v>
      </c>
      <c r="AH5662" t="s">
        <v>1387</v>
      </c>
      <c r="AI5662" t="s">
        <v>11056</v>
      </c>
      <c r="AJ5662" t="s">
        <v>2234</v>
      </c>
      <c r="AK5662" t="s">
        <v>1003</v>
      </c>
      <c r="AL5662" s="13" t="s">
        <v>2255</v>
      </c>
      <c r="AM5662" s="14">
        <v>1</v>
      </c>
      <c r="AN5662" s="15" t="s">
        <v>2235</v>
      </c>
    </row>
    <row r="5663" spans="1:40" x14ac:dyDescent="0.3">
      <c r="A5663" s="10" t="str">
        <f>HYPERLINK("http://www.washoecounty.gov/assessor/cama/?parid=165-081-01&amp;CardNumber=1","165-081-01")</f>
        <v>165-081-01</v>
      </c>
      <c r="B5663" t="s">
        <v>4655</v>
      </c>
      <c r="C5663" t="s">
        <v>28158</v>
      </c>
      <c r="D5663" s="1">
        <v>40539</v>
      </c>
      <c r="E5663" s="2">
        <v>194990</v>
      </c>
      <c r="F5663" t="s">
        <v>4567</v>
      </c>
      <c r="G5663" s="17" t="str">
        <f>HYPERLINK("https://www.washoecounty.gov/assessor/cama/?command=sales&amp;parid=16508101","3957635")</f>
        <v>3957635</v>
      </c>
      <c r="H5663" t="s">
        <v>2233</v>
      </c>
      <c r="I5663">
        <v>2010</v>
      </c>
      <c r="J5663">
        <v>2010</v>
      </c>
      <c r="K5663" t="s">
        <v>4554</v>
      </c>
      <c r="L5663" t="s">
        <v>3974</v>
      </c>
      <c r="M5663" s="2">
        <v>2128</v>
      </c>
      <c r="N5663" t="s">
        <v>4048</v>
      </c>
      <c r="O5663">
        <v>5</v>
      </c>
      <c r="P5663">
        <v>3</v>
      </c>
      <c r="Q5663">
        <v>0</v>
      </c>
      <c r="R5663" t="s">
        <v>5281</v>
      </c>
      <c r="S5663" t="s">
        <v>4898</v>
      </c>
      <c r="T5663" t="s">
        <v>2704</v>
      </c>
      <c r="U5663" t="s">
        <v>5631</v>
      </c>
      <c r="V5663" s="2">
        <v>420</v>
      </c>
      <c r="W5663" t="s">
        <v>4655</v>
      </c>
      <c r="X5663" s="2">
        <v>0</v>
      </c>
      <c r="Y5663">
        <v>20</v>
      </c>
      <c r="Z5663" t="s">
        <v>1491</v>
      </c>
      <c r="AA5663" s="3">
        <v>0.104017443954945</v>
      </c>
      <c r="AB5663" t="s">
        <v>4925</v>
      </c>
      <c r="AC5663" t="s">
        <v>4562</v>
      </c>
      <c r="AD5663" t="s">
        <v>4926</v>
      </c>
      <c r="AE5663" t="s">
        <v>4655</v>
      </c>
      <c r="AF5663" t="s">
        <v>3114</v>
      </c>
      <c r="AG5663" t="s">
        <v>4564</v>
      </c>
      <c r="AH5663">
        <v>89502</v>
      </c>
      <c r="AI5663" t="s">
        <v>28045</v>
      </c>
      <c r="AJ5663" t="s">
        <v>2234</v>
      </c>
      <c r="AK5663" t="s">
        <v>28159</v>
      </c>
      <c r="AL5663" s="13" t="s">
        <v>2255</v>
      </c>
      <c r="AM5663">
        <v>1</v>
      </c>
      <c r="AN5663" s="15" t="s">
        <v>2235</v>
      </c>
    </row>
    <row r="5664" spans="1:40" x14ac:dyDescent="0.3">
      <c r="A5664" s="10" t="str">
        <f>HYPERLINK("http://www.washoecounty.gov/assessor/cama/?parid=165-095-09&amp;CardNumber=1","165-095-09")</f>
        <v>165-095-09</v>
      </c>
      <c r="B5664" t="s">
        <v>4655</v>
      </c>
      <c r="C5664" t="s">
        <v>1004</v>
      </c>
      <c r="D5664" s="1">
        <v>40541</v>
      </c>
      <c r="E5664" s="2">
        <v>550000</v>
      </c>
      <c r="F5664" t="s">
        <v>3174</v>
      </c>
      <c r="G5664" s="17" t="str">
        <f>HYPERLINK("https://www.washoecounty.gov/assessor/cama/?command=sales&amp;parid=16509509","3958648")</f>
        <v>3958648</v>
      </c>
      <c r="H5664" t="s">
        <v>1287</v>
      </c>
      <c r="I5664">
        <v>2011</v>
      </c>
      <c r="J5664">
        <v>2011</v>
      </c>
      <c r="K5664" t="s">
        <v>4554</v>
      </c>
      <c r="L5664" t="s">
        <v>3974</v>
      </c>
      <c r="M5664" s="2">
        <v>1539</v>
      </c>
      <c r="N5664" t="s">
        <v>4048</v>
      </c>
      <c r="O5664">
        <v>3</v>
      </c>
      <c r="P5664">
        <v>2</v>
      </c>
      <c r="Q5664">
        <v>1</v>
      </c>
      <c r="R5664" t="s">
        <v>5281</v>
      </c>
      <c r="S5664" t="s">
        <v>4898</v>
      </c>
      <c r="T5664" t="s">
        <v>2704</v>
      </c>
      <c r="U5664" t="s">
        <v>5631</v>
      </c>
      <c r="V5664" s="2">
        <v>440</v>
      </c>
      <c r="W5664" t="s">
        <v>4655</v>
      </c>
      <c r="X5664" s="2">
        <v>0</v>
      </c>
      <c r="Y5664">
        <v>12</v>
      </c>
      <c r="Z5664" t="s">
        <v>1491</v>
      </c>
      <c r="AA5664" s="3">
        <v>8.9853078126907293E-2</v>
      </c>
      <c r="AB5664" t="s">
        <v>549</v>
      </c>
      <c r="AC5664" t="s">
        <v>4562</v>
      </c>
      <c r="AD5664" t="s">
        <v>1385</v>
      </c>
      <c r="AE5664" t="s">
        <v>4655</v>
      </c>
      <c r="AF5664" t="s">
        <v>1386</v>
      </c>
      <c r="AG5664" t="s">
        <v>4584</v>
      </c>
      <c r="AH5664" t="s">
        <v>1387</v>
      </c>
      <c r="AI5664" t="s">
        <v>3351</v>
      </c>
      <c r="AJ5664" t="s">
        <v>2234</v>
      </c>
      <c r="AK5664" t="s">
        <v>1005</v>
      </c>
      <c r="AL5664" s="13" t="s">
        <v>2255</v>
      </c>
      <c r="AM5664">
        <v>1</v>
      </c>
      <c r="AN5664" s="15" t="s">
        <v>2235</v>
      </c>
    </row>
    <row r="5665" spans="1:40" x14ac:dyDescent="0.3">
      <c r="A5665" s="10" t="str">
        <f>HYPERLINK("http://www.washoecounty.gov/assessor/cama/?parid=165-095-10&amp;CardNumber=1","165-095-10")</f>
        <v>165-095-10</v>
      </c>
      <c r="B5665" t="s">
        <v>4655</v>
      </c>
      <c r="C5665" t="s">
        <v>1006</v>
      </c>
      <c r="D5665" s="1">
        <v>40541</v>
      </c>
      <c r="E5665" s="2">
        <v>550000</v>
      </c>
      <c r="F5665" t="s">
        <v>3174</v>
      </c>
      <c r="G5665" s="17" t="str">
        <f>HYPERLINK("https://www.washoecounty.gov/assessor/cama/?command=sales&amp;parid=16509510","3958648")</f>
        <v>3958648</v>
      </c>
      <c r="H5665" t="s">
        <v>1287</v>
      </c>
      <c r="I5665">
        <v>2011</v>
      </c>
      <c r="J5665">
        <v>2011</v>
      </c>
      <c r="K5665" t="s">
        <v>4554</v>
      </c>
      <c r="L5665" t="s">
        <v>3974</v>
      </c>
      <c r="M5665" s="2">
        <v>1835</v>
      </c>
      <c r="N5665" t="s">
        <v>4048</v>
      </c>
      <c r="O5665">
        <v>3</v>
      </c>
      <c r="P5665">
        <v>2</v>
      </c>
      <c r="Q5665">
        <v>1</v>
      </c>
      <c r="R5665" t="s">
        <v>5281</v>
      </c>
      <c r="S5665" t="s">
        <v>4898</v>
      </c>
      <c r="T5665" t="s">
        <v>2704</v>
      </c>
      <c r="U5665" t="s">
        <v>5631</v>
      </c>
      <c r="V5665" s="2">
        <v>429</v>
      </c>
      <c r="W5665" t="s">
        <v>4655</v>
      </c>
      <c r="X5665" s="2">
        <v>0</v>
      </c>
      <c r="Y5665">
        <v>12</v>
      </c>
      <c r="Z5665" t="s">
        <v>1491</v>
      </c>
      <c r="AA5665" s="3">
        <v>7.3461890220642104E-2</v>
      </c>
      <c r="AB5665" t="s">
        <v>549</v>
      </c>
      <c r="AC5665" t="s">
        <v>4562</v>
      </c>
      <c r="AD5665" t="s">
        <v>1385</v>
      </c>
      <c r="AE5665" t="s">
        <v>4655</v>
      </c>
      <c r="AF5665" t="s">
        <v>1386</v>
      </c>
      <c r="AG5665" t="s">
        <v>4584</v>
      </c>
      <c r="AH5665" t="s">
        <v>1387</v>
      </c>
      <c r="AI5665" t="s">
        <v>3351</v>
      </c>
      <c r="AJ5665" t="s">
        <v>2234</v>
      </c>
      <c r="AK5665" t="s">
        <v>1007</v>
      </c>
      <c r="AL5665" s="13" t="s">
        <v>2255</v>
      </c>
      <c r="AM5665">
        <v>1</v>
      </c>
      <c r="AN5665" s="15" t="s">
        <v>2235</v>
      </c>
    </row>
    <row r="5666" spans="1:40" x14ac:dyDescent="0.3">
      <c r="A5666" s="10" t="str">
        <f>HYPERLINK("http://www.washoecounty.gov/assessor/cama/?parid=200-032-13&amp;CardNumber=1","200-032-13")</f>
        <v>200-032-13</v>
      </c>
      <c r="B5666" t="s">
        <v>4655</v>
      </c>
      <c r="C5666" t="s">
        <v>28160</v>
      </c>
      <c r="D5666" s="1">
        <v>40339</v>
      </c>
      <c r="E5666" s="2">
        <v>145725</v>
      </c>
      <c r="F5666" t="s">
        <v>4553</v>
      </c>
      <c r="G5666" s="17" t="str">
        <f>HYPERLINK("https://www.washoecounty.gov/assessor/cama/?command=sales&amp;parid=20003213","3889995")</f>
        <v>3889995</v>
      </c>
      <c r="H5666" t="s">
        <v>28161</v>
      </c>
      <c r="I5666">
        <v>1994</v>
      </c>
      <c r="J5666">
        <v>1994</v>
      </c>
      <c r="K5666" t="s">
        <v>4554</v>
      </c>
      <c r="L5666" t="s">
        <v>4555</v>
      </c>
      <c r="M5666" s="2">
        <v>1141</v>
      </c>
      <c r="N5666" t="s">
        <v>5280</v>
      </c>
      <c r="O5666">
        <v>3</v>
      </c>
      <c r="P5666">
        <v>2</v>
      </c>
      <c r="Q5666">
        <v>0</v>
      </c>
      <c r="R5666" t="s">
        <v>4557</v>
      </c>
      <c r="S5666" t="s">
        <v>4558</v>
      </c>
      <c r="T5666" t="s">
        <v>4559</v>
      </c>
      <c r="U5666" t="s">
        <v>4560</v>
      </c>
      <c r="V5666" s="2">
        <v>436</v>
      </c>
      <c r="W5666" t="s">
        <v>4655</v>
      </c>
      <c r="X5666" s="2">
        <v>0</v>
      </c>
      <c r="Y5666">
        <v>20</v>
      </c>
      <c r="Z5666" t="s">
        <v>4561</v>
      </c>
      <c r="AA5666" s="3">
        <v>0.110996328294277</v>
      </c>
      <c r="AB5666" t="s">
        <v>28162</v>
      </c>
      <c r="AC5666" t="s">
        <v>4562</v>
      </c>
      <c r="AD5666" t="s">
        <v>28163</v>
      </c>
      <c r="AE5666" t="s">
        <v>4655</v>
      </c>
      <c r="AF5666" t="s">
        <v>4563</v>
      </c>
      <c r="AG5666" t="s">
        <v>4564</v>
      </c>
      <c r="AH5666">
        <v>89509</v>
      </c>
      <c r="AI5666" t="s">
        <v>2435</v>
      </c>
      <c r="AJ5666" t="s">
        <v>28164</v>
      </c>
      <c r="AK5666" t="s">
        <v>28165</v>
      </c>
      <c r="AL5666" s="13" t="s">
        <v>2255</v>
      </c>
      <c r="AM5666">
        <v>1</v>
      </c>
      <c r="AN5666" s="15" t="s">
        <v>721</v>
      </c>
    </row>
    <row r="5667" spans="1:40" x14ac:dyDescent="0.3">
      <c r="A5667" s="10" t="str">
        <f>HYPERLINK("http://www.washoecounty.gov/assessor/cama/?parid=200-032-25&amp;CardNumber=1","200-032-25")</f>
        <v>200-032-25</v>
      </c>
      <c r="B5667" t="s">
        <v>4655</v>
      </c>
      <c r="C5667" t="s">
        <v>28166</v>
      </c>
      <c r="D5667" s="1">
        <v>40256</v>
      </c>
      <c r="E5667" s="2">
        <v>165000</v>
      </c>
      <c r="F5667" t="s">
        <v>4553</v>
      </c>
      <c r="G5667" s="17" t="str">
        <f>HYPERLINK("https://www.washoecounty.gov/assessor/cama/?command=sales&amp;parid=20003225","3861478")</f>
        <v>3861478</v>
      </c>
      <c r="H5667" t="s">
        <v>2253</v>
      </c>
      <c r="I5667">
        <v>1995</v>
      </c>
      <c r="J5667">
        <v>1995</v>
      </c>
      <c r="K5667" t="s">
        <v>4554</v>
      </c>
      <c r="L5667" t="s">
        <v>4555</v>
      </c>
      <c r="M5667" s="2">
        <v>1530</v>
      </c>
      <c r="N5667" t="s">
        <v>5280</v>
      </c>
      <c r="O5667">
        <v>3</v>
      </c>
      <c r="P5667">
        <v>2</v>
      </c>
      <c r="Q5667">
        <v>0</v>
      </c>
      <c r="R5667" t="s">
        <v>5281</v>
      </c>
      <c r="S5667" t="s">
        <v>4558</v>
      </c>
      <c r="T5667" t="s">
        <v>4559</v>
      </c>
      <c r="U5667" t="s">
        <v>4560</v>
      </c>
      <c r="V5667" s="2">
        <v>418</v>
      </c>
      <c r="W5667" t="s">
        <v>4655</v>
      </c>
      <c r="X5667" s="2">
        <v>0</v>
      </c>
      <c r="Y5667">
        <v>20</v>
      </c>
      <c r="Z5667" t="s">
        <v>4561</v>
      </c>
      <c r="AA5667" s="3">
        <v>0.14600551128387501</v>
      </c>
      <c r="AB5667" t="s">
        <v>8247</v>
      </c>
      <c r="AC5667" t="s">
        <v>4575</v>
      </c>
      <c r="AD5667" t="s">
        <v>28166</v>
      </c>
      <c r="AE5667" t="s">
        <v>4655</v>
      </c>
      <c r="AF5667" t="s">
        <v>4563</v>
      </c>
      <c r="AG5667" t="s">
        <v>4564</v>
      </c>
      <c r="AH5667" t="s">
        <v>1147</v>
      </c>
      <c r="AI5667" t="s">
        <v>1267</v>
      </c>
      <c r="AJ5667" t="s">
        <v>28167</v>
      </c>
      <c r="AK5667" t="s">
        <v>28168</v>
      </c>
      <c r="AL5667" s="13" t="s">
        <v>2255</v>
      </c>
      <c r="AM5667" s="14">
        <v>1</v>
      </c>
      <c r="AN5667" s="15" t="s">
        <v>721</v>
      </c>
    </row>
    <row r="5668" spans="1:40" x14ac:dyDescent="0.3">
      <c r="A5668" s="10" t="str">
        <f>HYPERLINK("http://www.washoecounty.gov/assessor/cama/?parid=200-032-32&amp;CardNumber=1","200-032-32")</f>
        <v>200-032-32</v>
      </c>
      <c r="B5668" t="s">
        <v>4655</v>
      </c>
      <c r="C5668" t="s">
        <v>28169</v>
      </c>
      <c r="D5668" s="1">
        <v>40359</v>
      </c>
      <c r="E5668" s="2">
        <v>165000</v>
      </c>
      <c r="F5668" t="s">
        <v>4567</v>
      </c>
      <c r="G5668" s="17" t="str">
        <f>HYPERLINK("https://www.washoecounty.gov/assessor/cama/?command=sales&amp;parid=20003232","3897508")</f>
        <v>3897508</v>
      </c>
      <c r="H5668" t="s">
        <v>2253</v>
      </c>
      <c r="I5668">
        <v>1996</v>
      </c>
      <c r="J5668">
        <v>1996</v>
      </c>
      <c r="K5668" t="s">
        <v>4554</v>
      </c>
      <c r="L5668" t="s">
        <v>4555</v>
      </c>
      <c r="M5668" s="2">
        <v>1141</v>
      </c>
      <c r="N5668" t="s">
        <v>5280</v>
      </c>
      <c r="O5668">
        <v>3</v>
      </c>
      <c r="P5668">
        <v>2</v>
      </c>
      <c r="Q5668">
        <v>0</v>
      </c>
      <c r="R5668" t="s">
        <v>5281</v>
      </c>
      <c r="S5668" t="s">
        <v>4558</v>
      </c>
      <c r="T5668" t="s">
        <v>4559</v>
      </c>
      <c r="U5668" t="s">
        <v>4560</v>
      </c>
      <c r="V5668" s="2">
        <v>436</v>
      </c>
      <c r="W5668" t="s">
        <v>4655</v>
      </c>
      <c r="X5668" s="2">
        <v>0</v>
      </c>
      <c r="Y5668">
        <v>20</v>
      </c>
      <c r="Z5668" t="s">
        <v>4561</v>
      </c>
      <c r="AA5668" s="3">
        <v>0.15199723839759827</v>
      </c>
      <c r="AB5668" t="s">
        <v>28170</v>
      </c>
      <c r="AC5668" t="s">
        <v>4575</v>
      </c>
      <c r="AD5668" t="s">
        <v>28169</v>
      </c>
      <c r="AE5668" t="s">
        <v>4655</v>
      </c>
      <c r="AF5668" t="s">
        <v>4563</v>
      </c>
      <c r="AG5668" t="s">
        <v>4564</v>
      </c>
      <c r="AH5668" t="s">
        <v>1147</v>
      </c>
      <c r="AI5668" t="s">
        <v>4655</v>
      </c>
      <c r="AJ5668" t="s">
        <v>28167</v>
      </c>
      <c r="AK5668" t="s">
        <v>28171</v>
      </c>
      <c r="AL5668" s="13" t="s">
        <v>2255</v>
      </c>
      <c r="AM5668">
        <v>1</v>
      </c>
      <c r="AN5668" s="15" t="s">
        <v>721</v>
      </c>
    </row>
    <row r="5669" spans="1:40" x14ac:dyDescent="0.3">
      <c r="A5669" s="10" t="str">
        <f>HYPERLINK("http://www.washoecounty.gov/assessor/cama/?parid=200-052-03&amp;CardNumber=1","200-052-03")</f>
        <v>200-052-03</v>
      </c>
      <c r="B5669" t="s">
        <v>4655</v>
      </c>
      <c r="C5669" t="s">
        <v>28172</v>
      </c>
      <c r="D5669" s="1">
        <v>40374</v>
      </c>
      <c r="E5669" s="2">
        <v>166700</v>
      </c>
      <c r="F5669" t="s">
        <v>4567</v>
      </c>
      <c r="G5669" s="17" t="str">
        <f>HYPERLINK("https://www.washoecounty.gov/assessor/cama/?command=sales&amp;parid=20005203","3901791")</f>
        <v>3901791</v>
      </c>
      <c r="H5669" t="s">
        <v>1129</v>
      </c>
      <c r="I5669">
        <v>1995</v>
      </c>
      <c r="J5669">
        <v>1995</v>
      </c>
      <c r="K5669" t="s">
        <v>4554</v>
      </c>
      <c r="L5669" t="s">
        <v>4555</v>
      </c>
      <c r="M5669" s="2">
        <v>1359</v>
      </c>
      <c r="N5669" t="s">
        <v>5280</v>
      </c>
      <c r="O5669">
        <v>3</v>
      </c>
      <c r="P5669">
        <v>2</v>
      </c>
      <c r="Q5669">
        <v>0</v>
      </c>
      <c r="R5669" t="s">
        <v>5281</v>
      </c>
      <c r="S5669" t="s">
        <v>4558</v>
      </c>
      <c r="T5669" t="s">
        <v>4559</v>
      </c>
      <c r="U5669" t="s">
        <v>4560</v>
      </c>
      <c r="V5669" s="2">
        <v>456</v>
      </c>
      <c r="W5669" t="s">
        <v>4655</v>
      </c>
      <c r="X5669" s="2">
        <v>0</v>
      </c>
      <c r="Y5669">
        <v>20</v>
      </c>
      <c r="Z5669" t="s">
        <v>4351</v>
      </c>
      <c r="AA5669" s="3">
        <v>0.14499540627002699</v>
      </c>
      <c r="AB5669" t="s">
        <v>28173</v>
      </c>
      <c r="AC5669" t="s">
        <v>4562</v>
      </c>
      <c r="AD5669" t="s">
        <v>28172</v>
      </c>
      <c r="AE5669" t="s">
        <v>4655</v>
      </c>
      <c r="AF5669" t="s">
        <v>4563</v>
      </c>
      <c r="AG5669" t="s">
        <v>4564</v>
      </c>
      <c r="AH5669" t="s">
        <v>1147</v>
      </c>
      <c r="AI5669" t="s">
        <v>4655</v>
      </c>
      <c r="AJ5669" t="s">
        <v>1130</v>
      </c>
      <c r="AK5669" t="s">
        <v>28174</v>
      </c>
      <c r="AL5669" s="13" t="s">
        <v>2255</v>
      </c>
      <c r="AM5669" s="14">
        <v>1</v>
      </c>
      <c r="AN5669" s="15" t="s">
        <v>3712</v>
      </c>
    </row>
    <row r="5670" spans="1:40" x14ac:dyDescent="0.3">
      <c r="A5670" s="10" t="str">
        <f>HYPERLINK("http://www.washoecounty.gov/assessor/cama/?parid=200-071-09&amp;CardNumber=1","200-071-09")</f>
        <v>200-071-09</v>
      </c>
      <c r="B5670" t="s">
        <v>4655</v>
      </c>
      <c r="C5670" t="s">
        <v>28175</v>
      </c>
      <c r="D5670" s="1">
        <v>40198</v>
      </c>
      <c r="E5670" s="2">
        <v>249500</v>
      </c>
      <c r="F5670" t="s">
        <v>4553</v>
      </c>
      <c r="G5670" s="17" t="str">
        <f>HYPERLINK("https://www.washoecounty.gov/assessor/cama/?command=sales&amp;parid=20007109","3841126")</f>
        <v>3841126</v>
      </c>
      <c r="H5670" t="s">
        <v>1873</v>
      </c>
      <c r="I5670">
        <v>1989</v>
      </c>
      <c r="J5670">
        <v>1989</v>
      </c>
      <c r="K5670" t="s">
        <v>4554</v>
      </c>
      <c r="L5670" t="s">
        <v>3974</v>
      </c>
      <c r="M5670" s="2">
        <v>2717</v>
      </c>
      <c r="N5670" t="s">
        <v>5280</v>
      </c>
      <c r="O5670">
        <v>4</v>
      </c>
      <c r="P5670">
        <v>3</v>
      </c>
      <c r="Q5670">
        <v>0</v>
      </c>
      <c r="R5670" t="s">
        <v>4557</v>
      </c>
      <c r="S5670" t="s">
        <v>4135</v>
      </c>
      <c r="T5670" t="s">
        <v>4559</v>
      </c>
      <c r="U5670" t="s">
        <v>5631</v>
      </c>
      <c r="V5670" s="2">
        <v>587</v>
      </c>
      <c r="W5670" t="s">
        <v>4655</v>
      </c>
      <c r="X5670" s="2">
        <v>0</v>
      </c>
      <c r="Y5670">
        <v>20</v>
      </c>
      <c r="Z5670" t="s">
        <v>4561</v>
      </c>
      <c r="AA5670" s="3">
        <v>0.18999081850051899</v>
      </c>
      <c r="AB5670" t="s">
        <v>28176</v>
      </c>
      <c r="AC5670" t="s">
        <v>4575</v>
      </c>
      <c r="AD5670" t="s">
        <v>28177</v>
      </c>
      <c r="AE5670" t="s">
        <v>4655</v>
      </c>
      <c r="AF5670" t="s">
        <v>1874</v>
      </c>
      <c r="AG5670" t="s">
        <v>4584</v>
      </c>
      <c r="AH5670" t="s">
        <v>28178</v>
      </c>
      <c r="AI5670" t="s">
        <v>28179</v>
      </c>
      <c r="AJ5670" t="s">
        <v>28180</v>
      </c>
      <c r="AK5670" t="s">
        <v>28181</v>
      </c>
      <c r="AL5670" s="13" t="s">
        <v>2255</v>
      </c>
      <c r="AM5670">
        <v>1</v>
      </c>
      <c r="AN5670" s="15" t="s">
        <v>383</v>
      </c>
    </row>
    <row r="5671" spans="1:40" x14ac:dyDescent="0.3">
      <c r="A5671" s="10" t="str">
        <f>HYPERLINK("http://www.washoecounty.gov/assessor/cama/?parid=200-073-03&amp;CardNumber=1","200-073-03")</f>
        <v>200-073-03</v>
      </c>
      <c r="B5671" t="s">
        <v>4655</v>
      </c>
      <c r="C5671" t="s">
        <v>28182</v>
      </c>
      <c r="D5671" s="1">
        <v>40409</v>
      </c>
      <c r="E5671" s="2">
        <v>228000</v>
      </c>
      <c r="F5671" t="s">
        <v>4567</v>
      </c>
      <c r="G5671" s="17" t="str">
        <f>HYPERLINK("https://www.washoecounty.gov/assessor/cama/?command=sales&amp;parid=20007303","3913862")</f>
        <v>3913862</v>
      </c>
      <c r="H5671" t="s">
        <v>1873</v>
      </c>
      <c r="I5671">
        <v>1988</v>
      </c>
      <c r="J5671">
        <v>1988</v>
      </c>
      <c r="K5671" t="s">
        <v>4554</v>
      </c>
      <c r="L5671" t="s">
        <v>4555</v>
      </c>
      <c r="M5671" s="2">
        <v>1881</v>
      </c>
      <c r="N5671" t="s">
        <v>5280</v>
      </c>
      <c r="O5671">
        <v>4</v>
      </c>
      <c r="P5671">
        <v>2</v>
      </c>
      <c r="Q5671">
        <v>0</v>
      </c>
      <c r="R5671" t="s">
        <v>4557</v>
      </c>
      <c r="S5671" t="s">
        <v>4558</v>
      </c>
      <c r="T5671" t="s">
        <v>4559</v>
      </c>
      <c r="U5671" t="s">
        <v>4560</v>
      </c>
      <c r="V5671" s="2">
        <v>460</v>
      </c>
      <c r="W5671" t="s">
        <v>4655</v>
      </c>
      <c r="X5671" s="2">
        <v>0</v>
      </c>
      <c r="Y5671">
        <v>20</v>
      </c>
      <c r="Z5671" t="s">
        <v>4561</v>
      </c>
      <c r="AA5671" s="3">
        <v>0.18500918149948101</v>
      </c>
      <c r="AB5671" t="s">
        <v>28183</v>
      </c>
      <c r="AC5671" t="s">
        <v>4575</v>
      </c>
      <c r="AD5671" t="s">
        <v>28184</v>
      </c>
      <c r="AE5671" t="s">
        <v>28182</v>
      </c>
      <c r="AF5671" t="s">
        <v>4563</v>
      </c>
      <c r="AG5671" t="s">
        <v>4564</v>
      </c>
      <c r="AH5671" t="s">
        <v>1147</v>
      </c>
      <c r="AI5671" t="s">
        <v>28185</v>
      </c>
      <c r="AJ5671" t="s">
        <v>28186</v>
      </c>
      <c r="AK5671" t="s">
        <v>28187</v>
      </c>
      <c r="AL5671" s="13" t="s">
        <v>2255</v>
      </c>
      <c r="AM5671">
        <v>1</v>
      </c>
      <c r="AN5671" s="15" t="s">
        <v>383</v>
      </c>
    </row>
    <row r="5672" spans="1:40" x14ac:dyDescent="0.3">
      <c r="A5672" s="10" t="str">
        <f>HYPERLINK("http://www.washoecounty.gov/assessor/cama/?parid=200-083-06&amp;CardNumber=1","200-083-06")</f>
        <v>200-083-06</v>
      </c>
      <c r="B5672" t="s">
        <v>4655</v>
      </c>
      <c r="C5672" t="s">
        <v>28188</v>
      </c>
      <c r="D5672" s="1">
        <v>40221</v>
      </c>
      <c r="E5672" s="2">
        <v>200000</v>
      </c>
      <c r="F5672" t="s">
        <v>4567</v>
      </c>
      <c r="G5672" s="17" t="str">
        <f>HYPERLINK("https://www.washoecounty.gov/assessor/cama/?command=sales&amp;parid=20008306","3849108")</f>
        <v>3849108</v>
      </c>
      <c r="H5672" t="s">
        <v>94</v>
      </c>
      <c r="I5672">
        <v>1987</v>
      </c>
      <c r="J5672">
        <v>1987</v>
      </c>
      <c r="K5672" t="s">
        <v>4554</v>
      </c>
      <c r="L5672" t="s">
        <v>4555</v>
      </c>
      <c r="M5672" s="2">
        <v>1692</v>
      </c>
      <c r="N5672" t="s">
        <v>5280</v>
      </c>
      <c r="O5672">
        <v>3</v>
      </c>
      <c r="P5672">
        <v>2</v>
      </c>
      <c r="Q5672">
        <v>0</v>
      </c>
      <c r="R5672" t="s">
        <v>4557</v>
      </c>
      <c r="S5672" t="s">
        <v>4558</v>
      </c>
      <c r="T5672" t="s">
        <v>4559</v>
      </c>
      <c r="U5672" t="s">
        <v>4560</v>
      </c>
      <c r="V5672" s="2">
        <v>446</v>
      </c>
      <c r="W5672" t="s">
        <v>4655</v>
      </c>
      <c r="X5672" s="2">
        <v>0</v>
      </c>
      <c r="Y5672">
        <v>20</v>
      </c>
      <c r="Z5672" t="s">
        <v>4561</v>
      </c>
      <c r="AA5672" s="3">
        <v>0.21900826692581199</v>
      </c>
      <c r="AB5672" t="s">
        <v>28189</v>
      </c>
      <c r="AC5672" t="s">
        <v>4562</v>
      </c>
      <c r="AD5672" t="s">
        <v>28188</v>
      </c>
      <c r="AE5672" t="s">
        <v>4655</v>
      </c>
      <c r="AF5672" t="s">
        <v>3114</v>
      </c>
      <c r="AG5672" t="s">
        <v>4564</v>
      </c>
      <c r="AH5672" t="s">
        <v>1147</v>
      </c>
      <c r="AI5672" t="s">
        <v>4655</v>
      </c>
      <c r="AJ5672" t="s">
        <v>28190</v>
      </c>
      <c r="AK5672" t="s">
        <v>28191</v>
      </c>
      <c r="AL5672" s="13" t="s">
        <v>2255</v>
      </c>
      <c r="AM5672">
        <v>1</v>
      </c>
      <c r="AN5672" s="15" t="s">
        <v>383</v>
      </c>
    </row>
    <row r="5673" spans="1:40" x14ac:dyDescent="0.3">
      <c r="A5673" s="10" t="str">
        <f>HYPERLINK("http://www.washoecounty.gov/assessor/cama/?parid=200-085-07&amp;CardNumber=1","200-085-07")</f>
        <v>200-085-07</v>
      </c>
      <c r="B5673" t="s">
        <v>4655</v>
      </c>
      <c r="C5673" t="s">
        <v>28192</v>
      </c>
      <c r="D5673" s="1">
        <v>40235</v>
      </c>
      <c r="E5673" s="2">
        <v>234900</v>
      </c>
      <c r="F5673" t="s">
        <v>4553</v>
      </c>
      <c r="G5673" s="17" t="str">
        <f>HYPERLINK("https://www.washoecounty.gov/assessor/cama/?command=sales&amp;parid=20008507","3853248")</f>
        <v>3853248</v>
      </c>
      <c r="H5673" t="s">
        <v>94</v>
      </c>
      <c r="I5673">
        <v>1987</v>
      </c>
      <c r="J5673">
        <v>1987</v>
      </c>
      <c r="K5673" t="s">
        <v>4554</v>
      </c>
      <c r="L5673" t="s">
        <v>3974</v>
      </c>
      <c r="M5673" s="2">
        <v>2717</v>
      </c>
      <c r="N5673" t="s">
        <v>5280</v>
      </c>
      <c r="O5673">
        <v>4</v>
      </c>
      <c r="P5673">
        <v>3</v>
      </c>
      <c r="Q5673">
        <v>0</v>
      </c>
      <c r="R5673" t="s">
        <v>5281</v>
      </c>
      <c r="S5673" t="s">
        <v>4558</v>
      </c>
      <c r="T5673" t="s">
        <v>4559</v>
      </c>
      <c r="U5673" t="s">
        <v>5631</v>
      </c>
      <c r="V5673" s="2">
        <v>587</v>
      </c>
      <c r="W5673" t="s">
        <v>4655</v>
      </c>
      <c r="X5673" s="2">
        <v>0</v>
      </c>
      <c r="Y5673">
        <v>20</v>
      </c>
      <c r="Z5673" t="s">
        <v>4561</v>
      </c>
      <c r="AA5673" s="3">
        <v>0.18298898637294769</v>
      </c>
      <c r="AB5673" t="s">
        <v>28193</v>
      </c>
      <c r="AC5673" t="s">
        <v>4562</v>
      </c>
      <c r="AD5673" t="s">
        <v>28192</v>
      </c>
      <c r="AE5673" t="s">
        <v>4655</v>
      </c>
      <c r="AF5673" t="s">
        <v>4563</v>
      </c>
      <c r="AG5673" t="s">
        <v>4564</v>
      </c>
      <c r="AH5673" t="s">
        <v>1147</v>
      </c>
      <c r="AI5673" t="s">
        <v>4565</v>
      </c>
      <c r="AJ5673" t="s">
        <v>28194</v>
      </c>
      <c r="AK5673" t="s">
        <v>28195</v>
      </c>
      <c r="AL5673" s="13" t="s">
        <v>2255</v>
      </c>
      <c r="AM5673" s="14">
        <v>1</v>
      </c>
      <c r="AN5673" s="15" t="s">
        <v>383</v>
      </c>
    </row>
    <row r="5674" spans="1:40" x14ac:dyDescent="0.3">
      <c r="A5674" s="10" t="str">
        <f>HYPERLINK("http://www.washoecounty.gov/assessor/cama/?parid=200-094-04&amp;CardNumber=1","200-094-04")</f>
        <v>200-094-04</v>
      </c>
      <c r="B5674" t="s">
        <v>4655</v>
      </c>
      <c r="C5674" t="s">
        <v>28196</v>
      </c>
      <c r="D5674" s="1">
        <v>40385</v>
      </c>
      <c r="E5674" s="2">
        <v>260000</v>
      </c>
      <c r="F5674" t="s">
        <v>4567</v>
      </c>
      <c r="G5674" s="17" t="str">
        <f>HYPERLINK("https://www.washoecounty.gov/assessor/cama/?command=sales&amp;parid=20009404","3904660")</f>
        <v>3904660</v>
      </c>
      <c r="H5674" t="s">
        <v>28197</v>
      </c>
      <c r="I5674">
        <v>1990</v>
      </c>
      <c r="J5674">
        <v>1990</v>
      </c>
      <c r="K5674" t="s">
        <v>4554</v>
      </c>
      <c r="L5674" t="s">
        <v>3974</v>
      </c>
      <c r="M5674" s="2">
        <v>2717</v>
      </c>
      <c r="N5674" t="s">
        <v>5280</v>
      </c>
      <c r="O5674">
        <v>4</v>
      </c>
      <c r="P5674">
        <v>3</v>
      </c>
      <c r="Q5674">
        <v>0</v>
      </c>
      <c r="R5674" t="s">
        <v>4557</v>
      </c>
      <c r="S5674" t="s">
        <v>4558</v>
      </c>
      <c r="T5674" t="s">
        <v>4559</v>
      </c>
      <c r="U5674" t="s">
        <v>5631</v>
      </c>
      <c r="V5674" s="2">
        <v>587</v>
      </c>
      <c r="W5674" t="s">
        <v>4655</v>
      </c>
      <c r="X5674" s="2">
        <v>0</v>
      </c>
      <c r="Y5674">
        <v>20</v>
      </c>
      <c r="Z5674" t="s">
        <v>4561</v>
      </c>
      <c r="AA5674" s="3">
        <v>0.217998161911964</v>
      </c>
      <c r="AB5674" t="s">
        <v>28198</v>
      </c>
      <c r="AC5674" t="s">
        <v>4562</v>
      </c>
      <c r="AD5674" t="s">
        <v>28196</v>
      </c>
      <c r="AE5674" t="s">
        <v>4655</v>
      </c>
      <c r="AF5674" t="s">
        <v>4563</v>
      </c>
      <c r="AG5674" t="s">
        <v>4564</v>
      </c>
      <c r="AH5674" t="s">
        <v>1147</v>
      </c>
      <c r="AI5674" t="s">
        <v>28199</v>
      </c>
      <c r="AJ5674" t="s">
        <v>28200</v>
      </c>
      <c r="AK5674" t="s">
        <v>28201</v>
      </c>
      <c r="AL5674" s="13" t="s">
        <v>2255</v>
      </c>
      <c r="AM5674" s="14">
        <v>1</v>
      </c>
      <c r="AN5674" s="15" t="s">
        <v>383</v>
      </c>
    </row>
    <row r="5675" spans="1:40" x14ac:dyDescent="0.3">
      <c r="A5675" s="10" t="str">
        <f>HYPERLINK("http://www.washoecounty.gov/assessor/cama/?parid=200-102-09&amp;CardNumber=1","200-102-09")</f>
        <v>200-102-09</v>
      </c>
      <c r="B5675" t="s">
        <v>4655</v>
      </c>
      <c r="C5675" t="s">
        <v>28202</v>
      </c>
      <c r="D5675" s="1">
        <v>40242</v>
      </c>
      <c r="E5675" s="2">
        <v>176000</v>
      </c>
      <c r="F5675" t="s">
        <v>4553</v>
      </c>
      <c r="G5675" s="17" t="str">
        <f>HYPERLINK("https://www.washoecounty.gov/assessor/cama/?command=sales&amp;parid=20010209","3856577")</f>
        <v>3856577</v>
      </c>
      <c r="H5675" t="s">
        <v>1331</v>
      </c>
      <c r="I5675">
        <v>1989</v>
      </c>
      <c r="J5675">
        <v>1989</v>
      </c>
      <c r="K5675" t="s">
        <v>4554</v>
      </c>
      <c r="L5675" t="s">
        <v>3974</v>
      </c>
      <c r="M5675" s="2">
        <v>1464</v>
      </c>
      <c r="N5675" t="s">
        <v>5280</v>
      </c>
      <c r="O5675">
        <v>3</v>
      </c>
      <c r="P5675">
        <v>2</v>
      </c>
      <c r="Q5675">
        <v>0</v>
      </c>
      <c r="R5675" t="s">
        <v>4557</v>
      </c>
      <c r="S5675" t="s">
        <v>4558</v>
      </c>
      <c r="T5675" t="s">
        <v>4559</v>
      </c>
      <c r="U5675" t="s">
        <v>5631</v>
      </c>
      <c r="V5675" s="2">
        <v>477</v>
      </c>
      <c r="W5675" t="s">
        <v>4655</v>
      </c>
      <c r="X5675" s="2">
        <v>0</v>
      </c>
      <c r="Y5675">
        <v>20</v>
      </c>
      <c r="Z5675" t="s">
        <v>4561</v>
      </c>
      <c r="AA5675" s="3">
        <v>0.207988977432251</v>
      </c>
      <c r="AB5675" t="s">
        <v>28203</v>
      </c>
      <c r="AC5675" t="s">
        <v>4562</v>
      </c>
      <c r="AD5675" t="s">
        <v>28202</v>
      </c>
      <c r="AE5675" t="s">
        <v>4655</v>
      </c>
      <c r="AF5675" t="s">
        <v>4563</v>
      </c>
      <c r="AG5675" t="s">
        <v>4564</v>
      </c>
      <c r="AH5675" t="s">
        <v>1147</v>
      </c>
      <c r="AI5675" t="s">
        <v>4655</v>
      </c>
      <c r="AJ5675" t="s">
        <v>28204</v>
      </c>
      <c r="AK5675" t="s">
        <v>28205</v>
      </c>
      <c r="AL5675" s="13" t="s">
        <v>2255</v>
      </c>
      <c r="AM5675" s="14">
        <v>1</v>
      </c>
      <c r="AN5675" s="15" t="s">
        <v>721</v>
      </c>
    </row>
    <row r="5676" spans="1:40" x14ac:dyDescent="0.3">
      <c r="A5676" s="10" t="str">
        <f>HYPERLINK("http://www.washoecounty.gov/assessor/cama/?parid=200-121-01&amp;CardNumber=1","200-121-01")</f>
        <v>200-121-01</v>
      </c>
      <c r="B5676" t="s">
        <v>4655</v>
      </c>
      <c r="C5676" t="s">
        <v>28206</v>
      </c>
      <c r="D5676" s="1">
        <v>40450</v>
      </c>
      <c r="E5676" s="2">
        <v>157000</v>
      </c>
      <c r="F5676" t="s">
        <v>4567</v>
      </c>
      <c r="G5676" s="17" t="str">
        <f>HYPERLINK("https://www.washoecounty.gov/assessor/cama/?command=sales&amp;parid=20012101","3927526")</f>
        <v>3927526</v>
      </c>
      <c r="H5676" t="s">
        <v>28207</v>
      </c>
      <c r="I5676">
        <v>1992</v>
      </c>
      <c r="J5676">
        <v>1992</v>
      </c>
      <c r="K5676" t="s">
        <v>4554</v>
      </c>
      <c r="L5676" t="s">
        <v>4555</v>
      </c>
      <c r="M5676" s="2">
        <v>1141</v>
      </c>
      <c r="N5676" t="s">
        <v>5280</v>
      </c>
      <c r="O5676">
        <v>3</v>
      </c>
      <c r="P5676">
        <v>2</v>
      </c>
      <c r="Q5676">
        <v>0</v>
      </c>
      <c r="R5676" t="s">
        <v>5281</v>
      </c>
      <c r="S5676" t="s">
        <v>4558</v>
      </c>
      <c r="T5676" t="s">
        <v>4559</v>
      </c>
      <c r="U5676" t="s">
        <v>4560</v>
      </c>
      <c r="V5676" s="2">
        <v>436</v>
      </c>
      <c r="W5676" t="s">
        <v>4655</v>
      </c>
      <c r="X5676" s="2">
        <v>0</v>
      </c>
      <c r="Y5676">
        <v>20</v>
      </c>
      <c r="Z5676" t="s">
        <v>4561</v>
      </c>
      <c r="AA5676" s="3">
        <v>0.13900367915630299</v>
      </c>
      <c r="AB5676" t="s">
        <v>28208</v>
      </c>
      <c r="AC5676" t="s">
        <v>4562</v>
      </c>
      <c r="AD5676" t="s">
        <v>28206</v>
      </c>
      <c r="AE5676" t="s">
        <v>4655</v>
      </c>
      <c r="AF5676" t="s">
        <v>4563</v>
      </c>
      <c r="AG5676" t="s">
        <v>4564</v>
      </c>
      <c r="AH5676" t="s">
        <v>1147</v>
      </c>
      <c r="AI5676" t="s">
        <v>1497</v>
      </c>
      <c r="AJ5676" t="s">
        <v>28209</v>
      </c>
      <c r="AK5676" t="s">
        <v>28210</v>
      </c>
      <c r="AL5676" s="13" t="s">
        <v>2255</v>
      </c>
      <c r="AM5676">
        <v>1</v>
      </c>
      <c r="AN5676" s="15" t="s">
        <v>721</v>
      </c>
    </row>
    <row r="5677" spans="1:40" x14ac:dyDescent="0.3">
      <c r="A5677" s="10" t="str">
        <f>HYPERLINK("http://www.washoecounty.gov/assessor/cama/?parid=200-121-10&amp;CardNumber=1","200-121-10")</f>
        <v>200-121-10</v>
      </c>
      <c r="B5677" t="s">
        <v>4655</v>
      </c>
      <c r="C5677" t="s">
        <v>28211</v>
      </c>
      <c r="D5677" s="1">
        <v>40382</v>
      </c>
      <c r="E5677" s="2">
        <v>195000</v>
      </c>
      <c r="F5677" t="s">
        <v>4567</v>
      </c>
      <c r="G5677" s="17" t="str">
        <f>HYPERLINK("https://www.washoecounty.gov/assessor/cama/?command=sales&amp;parid=20012110","3904499")</f>
        <v>3904499</v>
      </c>
      <c r="H5677" t="s">
        <v>28207</v>
      </c>
      <c r="I5677">
        <v>1992</v>
      </c>
      <c r="J5677">
        <v>1992</v>
      </c>
      <c r="K5677" t="s">
        <v>4554</v>
      </c>
      <c r="L5677" t="s">
        <v>3974</v>
      </c>
      <c r="M5677" s="2">
        <v>1607</v>
      </c>
      <c r="N5677" t="s">
        <v>5280</v>
      </c>
      <c r="O5677">
        <v>3</v>
      </c>
      <c r="P5677">
        <v>2</v>
      </c>
      <c r="Q5677">
        <v>1</v>
      </c>
      <c r="R5677" t="s">
        <v>5281</v>
      </c>
      <c r="S5677" t="s">
        <v>4558</v>
      </c>
      <c r="T5677" t="s">
        <v>4559</v>
      </c>
      <c r="U5677" t="s">
        <v>5631</v>
      </c>
      <c r="V5677" s="2">
        <v>449</v>
      </c>
      <c r="W5677" t="s">
        <v>4655</v>
      </c>
      <c r="X5677" s="2">
        <v>0</v>
      </c>
      <c r="Y5677">
        <v>20</v>
      </c>
      <c r="Z5677" t="s">
        <v>4561</v>
      </c>
      <c r="AA5677" s="3">
        <v>0.18000459671020499</v>
      </c>
      <c r="AB5677" t="s">
        <v>28212</v>
      </c>
      <c r="AC5677" t="s">
        <v>4562</v>
      </c>
      <c r="AD5677" t="s">
        <v>28211</v>
      </c>
      <c r="AE5677" t="s">
        <v>4655</v>
      </c>
      <c r="AF5677" t="s">
        <v>3114</v>
      </c>
      <c r="AG5677" t="s">
        <v>4564</v>
      </c>
      <c r="AH5677" t="s">
        <v>28213</v>
      </c>
      <c r="AI5677" t="s">
        <v>28214</v>
      </c>
      <c r="AJ5677" t="s">
        <v>28215</v>
      </c>
      <c r="AK5677" t="s">
        <v>28216</v>
      </c>
      <c r="AL5677" s="13" t="s">
        <v>2255</v>
      </c>
      <c r="AM5677">
        <v>1</v>
      </c>
      <c r="AN5677" s="15" t="s">
        <v>721</v>
      </c>
    </row>
    <row r="5678" spans="1:40" x14ac:dyDescent="0.3">
      <c r="A5678" s="10" t="str">
        <f>HYPERLINK("http://www.washoecounty.gov/assessor/cama/?parid=200-121-19&amp;CardNumber=1","200-121-19")</f>
        <v>200-121-19</v>
      </c>
      <c r="B5678" t="s">
        <v>4655</v>
      </c>
      <c r="C5678" t="s">
        <v>28217</v>
      </c>
      <c r="D5678" s="1">
        <v>40413</v>
      </c>
      <c r="E5678" s="2">
        <v>138000</v>
      </c>
      <c r="F5678" t="s">
        <v>4553</v>
      </c>
      <c r="G5678" s="17" t="str">
        <f>HYPERLINK("https://www.washoecounty.gov/assessor/cama/?command=sales&amp;parid=20012119","3914790")</f>
        <v>3914790</v>
      </c>
      <c r="H5678" t="s">
        <v>28207</v>
      </c>
      <c r="I5678">
        <v>1992</v>
      </c>
      <c r="J5678">
        <v>1992</v>
      </c>
      <c r="K5678" t="s">
        <v>4554</v>
      </c>
      <c r="L5678" t="s">
        <v>4555</v>
      </c>
      <c r="M5678" s="2">
        <v>1141</v>
      </c>
      <c r="N5678" t="s">
        <v>5280</v>
      </c>
      <c r="O5678">
        <v>3</v>
      </c>
      <c r="P5678">
        <v>2</v>
      </c>
      <c r="Q5678">
        <v>0</v>
      </c>
      <c r="R5678" t="s">
        <v>4557</v>
      </c>
      <c r="S5678" t="s">
        <v>4558</v>
      </c>
      <c r="T5678" t="s">
        <v>4559</v>
      </c>
      <c r="U5678" t="s">
        <v>4560</v>
      </c>
      <c r="V5678" s="2">
        <v>436</v>
      </c>
      <c r="W5678" t="s">
        <v>4655</v>
      </c>
      <c r="X5678" s="2">
        <v>0</v>
      </c>
      <c r="Y5678">
        <v>20</v>
      </c>
      <c r="Z5678" t="s">
        <v>4561</v>
      </c>
      <c r="AA5678" s="3">
        <v>0.114990815520287</v>
      </c>
      <c r="AB5678" t="s">
        <v>28218</v>
      </c>
      <c r="AC5678" t="s">
        <v>4562</v>
      </c>
      <c r="AD5678" t="s">
        <v>28217</v>
      </c>
      <c r="AE5678" t="s">
        <v>4655</v>
      </c>
      <c r="AF5678" t="s">
        <v>4563</v>
      </c>
      <c r="AG5678" t="s">
        <v>4564</v>
      </c>
      <c r="AH5678" t="s">
        <v>1147</v>
      </c>
      <c r="AI5678" t="s">
        <v>4903</v>
      </c>
      <c r="AJ5678" t="s">
        <v>28219</v>
      </c>
      <c r="AK5678" t="s">
        <v>28220</v>
      </c>
      <c r="AL5678" s="13" t="s">
        <v>2255</v>
      </c>
      <c r="AM5678">
        <v>1</v>
      </c>
      <c r="AN5678" s="15" t="s">
        <v>721</v>
      </c>
    </row>
    <row r="5679" spans="1:40" x14ac:dyDescent="0.3">
      <c r="A5679" s="10" t="str">
        <f>HYPERLINK("http://www.washoecounty.gov/assessor/cama/?parid=200-121-20&amp;CardNumber=1","200-121-20")</f>
        <v>200-121-20</v>
      </c>
      <c r="B5679" t="s">
        <v>4655</v>
      </c>
      <c r="C5679" t="s">
        <v>28221</v>
      </c>
      <c r="D5679" s="1">
        <v>40401</v>
      </c>
      <c r="E5679" s="2">
        <v>186000</v>
      </c>
      <c r="F5679" t="s">
        <v>4567</v>
      </c>
      <c r="G5679" s="17" t="str">
        <f>HYPERLINK("https://www.washoecounty.gov/assessor/cama/?command=sales&amp;parid=20012120","3910867")</f>
        <v>3910867</v>
      </c>
      <c r="H5679" t="s">
        <v>28207</v>
      </c>
      <c r="I5679">
        <v>1992</v>
      </c>
      <c r="J5679">
        <v>1992</v>
      </c>
      <c r="K5679" t="s">
        <v>4554</v>
      </c>
      <c r="L5679" t="s">
        <v>4555</v>
      </c>
      <c r="M5679" s="2">
        <v>1530</v>
      </c>
      <c r="N5679" t="s">
        <v>5280</v>
      </c>
      <c r="O5679">
        <v>3</v>
      </c>
      <c r="P5679">
        <v>2</v>
      </c>
      <c r="Q5679">
        <v>0</v>
      </c>
      <c r="R5679" t="s">
        <v>4557</v>
      </c>
      <c r="S5679" t="s">
        <v>4558</v>
      </c>
      <c r="T5679" t="s">
        <v>4559</v>
      </c>
      <c r="U5679" t="s">
        <v>4560</v>
      </c>
      <c r="V5679" s="2">
        <v>418</v>
      </c>
      <c r="W5679" t="s">
        <v>4655</v>
      </c>
      <c r="X5679" s="2">
        <v>0</v>
      </c>
      <c r="Y5679">
        <v>20</v>
      </c>
      <c r="Z5679" t="s">
        <v>4561</v>
      </c>
      <c r="AA5679" s="3">
        <v>0.114990815520287</v>
      </c>
      <c r="AB5679" t="s">
        <v>28222</v>
      </c>
      <c r="AC5679" t="s">
        <v>4562</v>
      </c>
      <c r="AD5679" t="s">
        <v>28221</v>
      </c>
      <c r="AE5679" t="s">
        <v>4655</v>
      </c>
      <c r="AF5679" t="s">
        <v>4563</v>
      </c>
      <c r="AG5679" t="s">
        <v>4564</v>
      </c>
      <c r="AH5679" t="s">
        <v>5197</v>
      </c>
      <c r="AI5679" t="s">
        <v>28223</v>
      </c>
      <c r="AJ5679" t="s">
        <v>28224</v>
      </c>
      <c r="AK5679" t="s">
        <v>28225</v>
      </c>
      <c r="AL5679" s="13" t="s">
        <v>2255</v>
      </c>
      <c r="AM5679" s="14">
        <v>1</v>
      </c>
      <c r="AN5679" s="15" t="s">
        <v>721</v>
      </c>
    </row>
    <row r="5680" spans="1:40" x14ac:dyDescent="0.3">
      <c r="A5680" s="10" t="str">
        <f>HYPERLINK("http://www.washoecounty.gov/assessor/cama/?parid=200-123-06&amp;CardNumber=1","200-123-06")</f>
        <v>200-123-06</v>
      </c>
      <c r="B5680" t="s">
        <v>4655</v>
      </c>
      <c r="C5680" t="s">
        <v>28226</v>
      </c>
      <c r="D5680" s="1">
        <v>40421</v>
      </c>
      <c r="E5680" s="2">
        <v>175000</v>
      </c>
      <c r="F5680" t="s">
        <v>4567</v>
      </c>
      <c r="G5680" s="17" t="str">
        <f>HYPERLINK("https://www.washoecounty.gov/assessor/cama/?command=sales&amp;parid=20012306","3917321")</f>
        <v>3917321</v>
      </c>
      <c r="H5680" t="s">
        <v>28207</v>
      </c>
      <c r="I5680">
        <v>1992</v>
      </c>
      <c r="J5680">
        <v>1992</v>
      </c>
      <c r="K5680" t="s">
        <v>4554</v>
      </c>
      <c r="L5680" t="s">
        <v>4555</v>
      </c>
      <c r="M5680" s="2">
        <v>1278</v>
      </c>
      <c r="N5680" t="s">
        <v>5280</v>
      </c>
      <c r="O5680">
        <v>3</v>
      </c>
      <c r="P5680">
        <v>2</v>
      </c>
      <c r="Q5680">
        <v>0</v>
      </c>
      <c r="R5680" t="s">
        <v>5281</v>
      </c>
      <c r="S5680" t="s">
        <v>4558</v>
      </c>
      <c r="T5680" t="s">
        <v>4559</v>
      </c>
      <c r="U5680" t="s">
        <v>4560</v>
      </c>
      <c r="V5680" s="2">
        <v>433</v>
      </c>
      <c r="W5680" t="s">
        <v>4655</v>
      </c>
      <c r="X5680" s="2">
        <v>0</v>
      </c>
      <c r="Y5680">
        <v>20</v>
      </c>
      <c r="Z5680" t="s">
        <v>4561</v>
      </c>
      <c r="AA5680" s="3">
        <v>0.15000000596046401</v>
      </c>
      <c r="AB5680" t="s">
        <v>28227</v>
      </c>
      <c r="AC5680" t="s">
        <v>4575</v>
      </c>
      <c r="AD5680" t="s">
        <v>28228</v>
      </c>
      <c r="AE5680" t="s">
        <v>4655</v>
      </c>
      <c r="AF5680" t="s">
        <v>4563</v>
      </c>
      <c r="AG5680" t="s">
        <v>4564</v>
      </c>
      <c r="AH5680">
        <v>89510</v>
      </c>
      <c r="AI5680" t="s">
        <v>28229</v>
      </c>
      <c r="AJ5680" t="s">
        <v>28230</v>
      </c>
      <c r="AK5680" t="s">
        <v>28231</v>
      </c>
      <c r="AL5680" s="13" t="s">
        <v>2255</v>
      </c>
      <c r="AM5680" s="14">
        <v>1</v>
      </c>
      <c r="AN5680" s="15" t="s">
        <v>721</v>
      </c>
    </row>
    <row r="5681" spans="1:40" x14ac:dyDescent="0.3">
      <c r="A5681" s="10" t="str">
        <f>HYPERLINK("http://www.washoecounty.gov/assessor/cama/?parid=200-124-01&amp;CardNumber=1","200-124-01")</f>
        <v>200-124-01</v>
      </c>
      <c r="B5681" t="s">
        <v>4655</v>
      </c>
      <c r="C5681" t="s">
        <v>28232</v>
      </c>
      <c r="D5681" s="1">
        <v>40505</v>
      </c>
      <c r="E5681" s="2">
        <v>173750</v>
      </c>
      <c r="F5681" t="s">
        <v>4553</v>
      </c>
      <c r="G5681" s="17" t="str">
        <f>HYPERLINK("https://www.washoecounty.gov/assessor/cama/?command=sales&amp;parid=20012401","3946189")</f>
        <v>3946189</v>
      </c>
      <c r="H5681" t="s">
        <v>28207</v>
      </c>
      <c r="I5681">
        <v>1991</v>
      </c>
      <c r="J5681">
        <v>1991</v>
      </c>
      <c r="K5681" t="s">
        <v>4554</v>
      </c>
      <c r="L5681" t="s">
        <v>4555</v>
      </c>
      <c r="M5681" s="2">
        <v>1530</v>
      </c>
      <c r="N5681" t="s">
        <v>5280</v>
      </c>
      <c r="O5681">
        <v>3</v>
      </c>
      <c r="P5681">
        <v>2</v>
      </c>
      <c r="Q5681">
        <v>0</v>
      </c>
      <c r="R5681" t="s">
        <v>4557</v>
      </c>
      <c r="S5681" t="s">
        <v>4558</v>
      </c>
      <c r="T5681" t="s">
        <v>4559</v>
      </c>
      <c r="U5681" t="s">
        <v>4560</v>
      </c>
      <c r="V5681" s="2">
        <v>418</v>
      </c>
      <c r="W5681" t="s">
        <v>4655</v>
      </c>
      <c r="X5681" s="2">
        <v>0</v>
      </c>
      <c r="Y5681">
        <v>20</v>
      </c>
      <c r="Z5681" t="s">
        <v>4561</v>
      </c>
      <c r="AA5681" s="3">
        <v>0.18000459671020499</v>
      </c>
      <c r="AB5681" t="s">
        <v>28233</v>
      </c>
      <c r="AC5681" t="s">
        <v>4575</v>
      </c>
      <c r="AD5681" t="s">
        <v>28234</v>
      </c>
      <c r="AE5681" t="s">
        <v>4655</v>
      </c>
      <c r="AF5681" t="s">
        <v>3660</v>
      </c>
      <c r="AG5681" t="s">
        <v>4584</v>
      </c>
      <c r="AH5681" t="s">
        <v>1340</v>
      </c>
      <c r="AI5681" t="s">
        <v>28233</v>
      </c>
      <c r="AJ5681" t="s">
        <v>28235</v>
      </c>
      <c r="AK5681" t="s">
        <v>28236</v>
      </c>
      <c r="AL5681" s="13" t="s">
        <v>2255</v>
      </c>
      <c r="AM5681" s="14">
        <v>1</v>
      </c>
      <c r="AN5681" s="15" t="s">
        <v>721</v>
      </c>
    </row>
    <row r="5682" spans="1:40" x14ac:dyDescent="0.3">
      <c r="A5682" s="10" t="str">
        <f>HYPERLINK("http://www.washoecounty.gov/assessor/cama/?parid=200-131-11&amp;CardNumber=1","200-131-11")</f>
        <v>200-131-11</v>
      </c>
      <c r="B5682" t="s">
        <v>4655</v>
      </c>
      <c r="C5682" t="s">
        <v>28237</v>
      </c>
      <c r="D5682" s="1">
        <v>40210</v>
      </c>
      <c r="E5682" s="2">
        <v>129000</v>
      </c>
      <c r="F5682" t="s">
        <v>4567</v>
      </c>
      <c r="G5682" s="17" t="str">
        <f>HYPERLINK("https://www.washoecounty.gov/assessor/cama/?command=sales&amp;parid=20013111","3844894")</f>
        <v>3844894</v>
      </c>
      <c r="H5682" t="s">
        <v>95</v>
      </c>
      <c r="I5682">
        <v>1986</v>
      </c>
      <c r="J5682">
        <v>1986</v>
      </c>
      <c r="K5682" t="s">
        <v>4554</v>
      </c>
      <c r="L5682" t="s">
        <v>4555</v>
      </c>
      <c r="M5682" s="2">
        <v>900</v>
      </c>
      <c r="N5682" t="s">
        <v>5280</v>
      </c>
      <c r="O5682">
        <v>2</v>
      </c>
      <c r="P5682">
        <v>1</v>
      </c>
      <c r="Q5682">
        <v>0</v>
      </c>
      <c r="R5682" t="s">
        <v>5281</v>
      </c>
      <c r="S5682" t="s">
        <v>4558</v>
      </c>
      <c r="T5682" t="s">
        <v>4559</v>
      </c>
      <c r="U5682" t="s">
        <v>4560</v>
      </c>
      <c r="V5682" s="2">
        <v>455</v>
      </c>
      <c r="W5682" t="s">
        <v>4655</v>
      </c>
      <c r="X5682" s="2">
        <v>0</v>
      </c>
      <c r="Y5682">
        <v>20</v>
      </c>
      <c r="Z5682" t="s">
        <v>4561</v>
      </c>
      <c r="AA5682" s="3">
        <v>0.125</v>
      </c>
      <c r="AB5682" t="s">
        <v>2113</v>
      </c>
      <c r="AC5682" t="s">
        <v>4575</v>
      </c>
      <c r="AD5682" t="s">
        <v>1857</v>
      </c>
      <c r="AE5682" t="s">
        <v>4655</v>
      </c>
      <c r="AF5682" t="s">
        <v>3890</v>
      </c>
      <c r="AG5682" t="s">
        <v>4564</v>
      </c>
      <c r="AH5682" t="s">
        <v>3891</v>
      </c>
      <c r="AI5682" t="s">
        <v>28238</v>
      </c>
      <c r="AJ5682" t="s">
        <v>28239</v>
      </c>
      <c r="AK5682" t="s">
        <v>28240</v>
      </c>
      <c r="AL5682" s="13" t="s">
        <v>2255</v>
      </c>
      <c r="AM5682">
        <v>1</v>
      </c>
      <c r="AN5682" s="15" t="s">
        <v>721</v>
      </c>
    </row>
    <row r="5683" spans="1:40" x14ac:dyDescent="0.3">
      <c r="A5683" s="10" t="str">
        <f>HYPERLINK("http://www.washoecounty.gov/assessor/cama/?parid=200-132-04&amp;CardNumber=1","200-132-04")</f>
        <v>200-132-04</v>
      </c>
      <c r="B5683" t="s">
        <v>4655</v>
      </c>
      <c r="C5683" t="s">
        <v>28241</v>
      </c>
      <c r="D5683" s="1">
        <v>40424</v>
      </c>
      <c r="E5683" s="2">
        <v>160000</v>
      </c>
      <c r="F5683" t="s">
        <v>4567</v>
      </c>
      <c r="G5683" s="17" t="str">
        <f>HYPERLINK("https://www.washoecounty.gov/assessor/cama/?command=sales&amp;parid=20013204","3918979")</f>
        <v>3918979</v>
      </c>
      <c r="H5683" t="s">
        <v>95</v>
      </c>
      <c r="I5683">
        <v>1987</v>
      </c>
      <c r="J5683">
        <v>1987</v>
      </c>
      <c r="K5683" t="s">
        <v>4554</v>
      </c>
      <c r="L5683" t="s">
        <v>3974</v>
      </c>
      <c r="M5683" s="2">
        <v>1464</v>
      </c>
      <c r="N5683" t="s">
        <v>5280</v>
      </c>
      <c r="O5683">
        <v>3</v>
      </c>
      <c r="P5683">
        <v>2</v>
      </c>
      <c r="Q5683">
        <v>0</v>
      </c>
      <c r="R5683" t="s">
        <v>4557</v>
      </c>
      <c r="S5683" t="s">
        <v>4558</v>
      </c>
      <c r="T5683" t="s">
        <v>4559</v>
      </c>
      <c r="U5683" t="s">
        <v>4560</v>
      </c>
      <c r="V5683" s="2">
        <v>477</v>
      </c>
      <c r="W5683" t="s">
        <v>4655</v>
      </c>
      <c r="X5683" s="2">
        <v>0</v>
      </c>
      <c r="Y5683">
        <v>20</v>
      </c>
      <c r="Z5683" t="s">
        <v>4561</v>
      </c>
      <c r="AA5683" s="3">
        <v>0.12601010501384699</v>
      </c>
      <c r="AB5683" t="s">
        <v>28242</v>
      </c>
      <c r="AC5683" t="s">
        <v>4562</v>
      </c>
      <c r="AD5683" t="s">
        <v>28243</v>
      </c>
      <c r="AE5683" t="s">
        <v>4655</v>
      </c>
      <c r="AF5683" t="s">
        <v>4563</v>
      </c>
      <c r="AG5683" t="s">
        <v>4564</v>
      </c>
      <c r="AH5683" t="s">
        <v>1147</v>
      </c>
      <c r="AI5683" t="s">
        <v>28244</v>
      </c>
      <c r="AJ5683" t="s">
        <v>28245</v>
      </c>
      <c r="AK5683" t="s">
        <v>28246</v>
      </c>
      <c r="AL5683" s="13" t="s">
        <v>2255</v>
      </c>
      <c r="AM5683">
        <v>1</v>
      </c>
      <c r="AN5683" s="15" t="s">
        <v>721</v>
      </c>
    </row>
    <row r="5684" spans="1:40" x14ac:dyDescent="0.3">
      <c r="A5684" s="10" t="str">
        <f>HYPERLINK("http://www.washoecounty.gov/assessor/cama/?parid=200-132-11&amp;CardNumber=1","200-132-11")</f>
        <v>200-132-11</v>
      </c>
      <c r="B5684" t="s">
        <v>4655</v>
      </c>
      <c r="C5684" t="s">
        <v>28247</v>
      </c>
      <c r="D5684" s="1">
        <v>40354</v>
      </c>
      <c r="E5684" s="2">
        <v>144000</v>
      </c>
      <c r="F5684" t="s">
        <v>4567</v>
      </c>
      <c r="G5684" s="17" t="str">
        <f>HYPERLINK("https://www.washoecounty.gov/assessor/cama/?command=sales&amp;parid=20013211","3895429")</f>
        <v>3895429</v>
      </c>
      <c r="H5684" t="s">
        <v>95</v>
      </c>
      <c r="I5684">
        <v>1987</v>
      </c>
      <c r="J5684">
        <v>1987</v>
      </c>
      <c r="K5684" t="s">
        <v>4554</v>
      </c>
      <c r="L5684" t="s">
        <v>4555</v>
      </c>
      <c r="M5684" s="2">
        <v>1278</v>
      </c>
      <c r="N5684" t="s">
        <v>5280</v>
      </c>
      <c r="O5684">
        <v>3</v>
      </c>
      <c r="P5684">
        <v>2</v>
      </c>
      <c r="Q5684">
        <v>0</v>
      </c>
      <c r="R5684" t="s">
        <v>4557</v>
      </c>
      <c r="S5684" t="s">
        <v>4558</v>
      </c>
      <c r="T5684" t="s">
        <v>4559</v>
      </c>
      <c r="U5684" t="s">
        <v>4560</v>
      </c>
      <c r="V5684" s="2">
        <v>433</v>
      </c>
      <c r="W5684" t="s">
        <v>4655</v>
      </c>
      <c r="X5684" s="2">
        <v>0</v>
      </c>
      <c r="Y5684">
        <v>20</v>
      </c>
      <c r="Z5684" t="s">
        <v>4561</v>
      </c>
      <c r="AA5684" s="3">
        <v>0.114003673195839</v>
      </c>
      <c r="AB5684" t="s">
        <v>28248</v>
      </c>
      <c r="AC5684" t="s">
        <v>4562</v>
      </c>
      <c r="AD5684" t="s">
        <v>28247</v>
      </c>
      <c r="AE5684" t="s">
        <v>4655</v>
      </c>
      <c r="AF5684" t="s">
        <v>4563</v>
      </c>
      <c r="AG5684" t="s">
        <v>4564</v>
      </c>
      <c r="AH5684" t="s">
        <v>1147</v>
      </c>
      <c r="AI5684" t="s">
        <v>28249</v>
      </c>
      <c r="AJ5684" t="s">
        <v>28250</v>
      </c>
      <c r="AK5684" t="s">
        <v>28251</v>
      </c>
      <c r="AL5684" s="13" t="s">
        <v>2255</v>
      </c>
      <c r="AM5684">
        <v>1</v>
      </c>
      <c r="AN5684" s="15" t="s">
        <v>721</v>
      </c>
    </row>
    <row r="5685" spans="1:40" x14ac:dyDescent="0.3">
      <c r="A5685" s="10" t="str">
        <f>HYPERLINK("http://www.washoecounty.gov/assessor/cama/?parid=200-141-02&amp;CardNumber=1","200-141-02")</f>
        <v>200-141-02</v>
      </c>
      <c r="B5685" t="s">
        <v>4655</v>
      </c>
      <c r="C5685" t="s">
        <v>28252</v>
      </c>
      <c r="D5685" s="1">
        <v>40522</v>
      </c>
      <c r="E5685" s="2">
        <v>138000</v>
      </c>
      <c r="F5685" t="s">
        <v>4553</v>
      </c>
      <c r="G5685" s="17" t="str">
        <f>HYPERLINK("https://www.washoecounty.gov/assessor/cama/?command=sales&amp;parid=20014102","3952212")</f>
        <v>3952212</v>
      </c>
      <c r="H5685" t="s">
        <v>895</v>
      </c>
      <c r="I5685">
        <v>1989</v>
      </c>
      <c r="J5685">
        <v>1989</v>
      </c>
      <c r="K5685" t="s">
        <v>4554</v>
      </c>
      <c r="L5685" t="s">
        <v>3974</v>
      </c>
      <c r="M5685" s="2">
        <v>1464</v>
      </c>
      <c r="N5685" t="s">
        <v>5280</v>
      </c>
      <c r="O5685">
        <v>3</v>
      </c>
      <c r="P5685">
        <v>2</v>
      </c>
      <c r="Q5685">
        <v>0</v>
      </c>
      <c r="R5685" t="s">
        <v>4557</v>
      </c>
      <c r="S5685" t="s">
        <v>4558</v>
      </c>
      <c r="T5685" t="s">
        <v>4559</v>
      </c>
      <c r="U5685" t="s">
        <v>4560</v>
      </c>
      <c r="V5685" s="2">
        <v>477</v>
      </c>
      <c r="W5685" t="s">
        <v>4655</v>
      </c>
      <c r="X5685" s="2">
        <v>0</v>
      </c>
      <c r="Y5685">
        <v>20</v>
      </c>
      <c r="Z5685" t="s">
        <v>4561</v>
      </c>
      <c r="AA5685" s="3">
        <v>0.169995412230492</v>
      </c>
      <c r="AB5685" t="s">
        <v>28253</v>
      </c>
      <c r="AC5685" t="s">
        <v>4562</v>
      </c>
      <c r="AD5685" t="s">
        <v>28254</v>
      </c>
      <c r="AE5685" t="s">
        <v>4655</v>
      </c>
      <c r="AF5685" t="s">
        <v>3114</v>
      </c>
      <c r="AG5685" t="s">
        <v>4564</v>
      </c>
      <c r="AH5685" t="s">
        <v>1147</v>
      </c>
      <c r="AI5685" t="s">
        <v>4045</v>
      </c>
      <c r="AJ5685" t="s">
        <v>28255</v>
      </c>
      <c r="AK5685" t="s">
        <v>28256</v>
      </c>
      <c r="AL5685" s="13" t="s">
        <v>2255</v>
      </c>
      <c r="AM5685">
        <v>1</v>
      </c>
      <c r="AN5685" s="15" t="s">
        <v>721</v>
      </c>
    </row>
    <row r="5686" spans="1:40" x14ac:dyDescent="0.3">
      <c r="A5686" s="10" t="str">
        <f>HYPERLINK("http://www.washoecounty.gov/assessor/cama/?parid=200-141-13&amp;CardNumber=1","200-141-13")</f>
        <v>200-141-13</v>
      </c>
      <c r="B5686" t="s">
        <v>4655</v>
      </c>
      <c r="C5686" t="s">
        <v>28257</v>
      </c>
      <c r="D5686" s="1">
        <v>40540</v>
      </c>
      <c r="E5686" s="2">
        <v>148500</v>
      </c>
      <c r="F5686" t="s">
        <v>4567</v>
      </c>
      <c r="G5686" s="17" t="str">
        <f>HYPERLINK("https://www.washoecounty.gov/assessor/cama/?command=sales&amp;parid=20014113","3958256")</f>
        <v>3958256</v>
      </c>
      <c r="H5686" t="s">
        <v>895</v>
      </c>
      <c r="I5686">
        <v>1990</v>
      </c>
      <c r="J5686">
        <v>1990</v>
      </c>
      <c r="K5686" t="s">
        <v>4554</v>
      </c>
      <c r="L5686" t="s">
        <v>3974</v>
      </c>
      <c r="M5686" s="2">
        <v>1464</v>
      </c>
      <c r="N5686" t="s">
        <v>5280</v>
      </c>
      <c r="O5686">
        <v>3</v>
      </c>
      <c r="P5686">
        <v>2</v>
      </c>
      <c r="Q5686">
        <v>0</v>
      </c>
      <c r="R5686" t="s">
        <v>4557</v>
      </c>
      <c r="S5686" t="s">
        <v>4558</v>
      </c>
      <c r="T5686" t="s">
        <v>4559</v>
      </c>
      <c r="U5686" t="s">
        <v>4560</v>
      </c>
      <c r="V5686" s="2">
        <v>477</v>
      </c>
      <c r="W5686" t="s">
        <v>4655</v>
      </c>
      <c r="X5686" s="2">
        <v>0</v>
      </c>
      <c r="Y5686">
        <v>20</v>
      </c>
      <c r="Z5686" t="s">
        <v>4561</v>
      </c>
      <c r="AA5686" s="3">
        <v>0.10599173605442</v>
      </c>
      <c r="AB5686" t="s">
        <v>28258</v>
      </c>
      <c r="AC5686" t="s">
        <v>4562</v>
      </c>
      <c r="AD5686" t="s">
        <v>28257</v>
      </c>
      <c r="AE5686" t="s">
        <v>4655</v>
      </c>
      <c r="AF5686" t="s">
        <v>4563</v>
      </c>
      <c r="AG5686" t="s">
        <v>4564</v>
      </c>
      <c r="AH5686" t="s">
        <v>1147</v>
      </c>
      <c r="AI5686" t="s">
        <v>28259</v>
      </c>
      <c r="AJ5686" t="s">
        <v>28260</v>
      </c>
      <c r="AK5686" t="s">
        <v>28261</v>
      </c>
      <c r="AL5686" s="13" t="s">
        <v>2255</v>
      </c>
      <c r="AM5686">
        <v>1</v>
      </c>
      <c r="AN5686" s="15" t="s">
        <v>721</v>
      </c>
    </row>
    <row r="5687" spans="1:40" x14ac:dyDescent="0.3">
      <c r="A5687" s="10" t="str">
        <f>HYPERLINK("http://www.washoecounty.gov/assessor/cama/?parid=200-144-05&amp;CardNumber=1","200-144-05")</f>
        <v>200-144-05</v>
      </c>
      <c r="B5687" t="s">
        <v>4655</v>
      </c>
      <c r="C5687" t="s">
        <v>28262</v>
      </c>
      <c r="D5687" s="1">
        <v>40389</v>
      </c>
      <c r="E5687" s="2">
        <v>121000</v>
      </c>
      <c r="F5687" t="s">
        <v>4567</v>
      </c>
      <c r="G5687" s="17" t="str">
        <f>HYPERLINK("https://www.washoecounty.gov/assessor/cama/?command=sales&amp;parid=20014405","3907475")</f>
        <v>3907475</v>
      </c>
      <c r="H5687" t="s">
        <v>895</v>
      </c>
      <c r="I5687">
        <v>1990</v>
      </c>
      <c r="J5687">
        <v>1990</v>
      </c>
      <c r="K5687" t="s">
        <v>4554</v>
      </c>
      <c r="L5687" t="s">
        <v>4555</v>
      </c>
      <c r="M5687" s="2">
        <v>900</v>
      </c>
      <c r="N5687" t="s">
        <v>5280</v>
      </c>
      <c r="O5687">
        <v>2</v>
      </c>
      <c r="P5687">
        <v>1</v>
      </c>
      <c r="Q5687">
        <v>0</v>
      </c>
      <c r="R5687" t="s">
        <v>4557</v>
      </c>
      <c r="S5687" t="s">
        <v>4558</v>
      </c>
      <c r="T5687" t="s">
        <v>4559</v>
      </c>
      <c r="U5687" t="s">
        <v>4560</v>
      </c>
      <c r="V5687" s="2">
        <v>455</v>
      </c>
      <c r="W5687" t="s">
        <v>4655</v>
      </c>
      <c r="X5687" s="2">
        <v>0</v>
      </c>
      <c r="Y5687">
        <v>20</v>
      </c>
      <c r="Z5687" t="s">
        <v>4561</v>
      </c>
      <c r="AA5687" s="3">
        <v>0.107988983392715</v>
      </c>
      <c r="AB5687" t="s">
        <v>1856</v>
      </c>
      <c r="AC5687" t="s">
        <v>4562</v>
      </c>
      <c r="AD5687" t="s">
        <v>2114</v>
      </c>
      <c r="AE5687" t="s">
        <v>4655</v>
      </c>
      <c r="AF5687" t="s">
        <v>3890</v>
      </c>
      <c r="AG5687" t="s">
        <v>4564</v>
      </c>
      <c r="AH5687" t="s">
        <v>3891</v>
      </c>
      <c r="AI5687" t="s">
        <v>28263</v>
      </c>
      <c r="AJ5687" t="s">
        <v>28264</v>
      </c>
      <c r="AK5687" t="s">
        <v>28265</v>
      </c>
      <c r="AL5687" s="13" t="s">
        <v>2255</v>
      </c>
      <c r="AM5687">
        <v>1</v>
      </c>
      <c r="AN5687" s="15" t="s">
        <v>721</v>
      </c>
    </row>
    <row r="5688" spans="1:40" x14ac:dyDescent="0.3">
      <c r="A5688" s="10" t="str">
        <f>HYPERLINK("http://www.washoecounty.gov/assessor/cama/?parid=200-152-23&amp;CardNumber=1","200-152-23")</f>
        <v>200-152-23</v>
      </c>
      <c r="B5688" t="s">
        <v>4655</v>
      </c>
      <c r="C5688" t="s">
        <v>28266</v>
      </c>
      <c r="D5688" s="1">
        <v>40254</v>
      </c>
      <c r="E5688" s="2">
        <v>140000</v>
      </c>
      <c r="F5688" t="s">
        <v>4567</v>
      </c>
      <c r="G5688" s="17" t="str">
        <f>HYPERLINK("https://www.washoecounty.gov/assessor/cama/?command=sales&amp;parid=20015223","3860813")</f>
        <v>3860813</v>
      </c>
      <c r="H5688" t="s">
        <v>2254</v>
      </c>
      <c r="I5688">
        <v>1986</v>
      </c>
      <c r="J5688">
        <v>1986</v>
      </c>
      <c r="K5688" t="s">
        <v>4554</v>
      </c>
      <c r="L5688" t="s">
        <v>4555</v>
      </c>
      <c r="M5688" s="2">
        <v>1101</v>
      </c>
      <c r="N5688" t="s">
        <v>5280</v>
      </c>
      <c r="O5688">
        <v>2</v>
      </c>
      <c r="P5688">
        <v>2</v>
      </c>
      <c r="Q5688">
        <v>0</v>
      </c>
      <c r="R5688" t="s">
        <v>5281</v>
      </c>
      <c r="S5688" t="s">
        <v>4558</v>
      </c>
      <c r="T5688" t="s">
        <v>4559</v>
      </c>
      <c r="U5688" t="s">
        <v>4560</v>
      </c>
      <c r="V5688" s="2">
        <v>436</v>
      </c>
      <c r="W5688" t="s">
        <v>4655</v>
      </c>
      <c r="X5688" s="2">
        <v>0</v>
      </c>
      <c r="Y5688">
        <v>20</v>
      </c>
      <c r="Z5688" t="s">
        <v>4561</v>
      </c>
      <c r="AA5688" s="3">
        <v>0.13799357414245605</v>
      </c>
      <c r="AB5688" t="s">
        <v>28267</v>
      </c>
      <c r="AC5688" t="s">
        <v>4575</v>
      </c>
      <c r="AD5688" t="s">
        <v>28266</v>
      </c>
      <c r="AE5688" t="s">
        <v>4655</v>
      </c>
      <c r="AF5688" t="s">
        <v>4563</v>
      </c>
      <c r="AG5688" t="s">
        <v>4564</v>
      </c>
      <c r="AH5688" t="s">
        <v>1147</v>
      </c>
      <c r="AI5688" t="s">
        <v>28268</v>
      </c>
      <c r="AJ5688" t="s">
        <v>28269</v>
      </c>
      <c r="AK5688" t="s">
        <v>28270</v>
      </c>
      <c r="AL5688" s="13" t="s">
        <v>2255</v>
      </c>
      <c r="AM5688">
        <v>1</v>
      </c>
      <c r="AN5688" s="15" t="s">
        <v>721</v>
      </c>
    </row>
    <row r="5689" spans="1:40" x14ac:dyDescent="0.3">
      <c r="A5689" s="10" t="str">
        <f>HYPERLINK("http://www.washoecounty.gov/assessor/cama/?parid=200-153-12&amp;CardNumber=1","200-153-12")</f>
        <v>200-153-12</v>
      </c>
      <c r="B5689" t="s">
        <v>4655</v>
      </c>
      <c r="C5689" t="s">
        <v>28271</v>
      </c>
      <c r="D5689" s="1">
        <v>40424</v>
      </c>
      <c r="E5689" s="2">
        <v>120900</v>
      </c>
      <c r="F5689" t="s">
        <v>4553</v>
      </c>
      <c r="G5689" s="17" t="str">
        <f>HYPERLINK("https://www.washoecounty.gov/assessor/cama/?command=sales&amp;parid=20015312","3918974")</f>
        <v>3918974</v>
      </c>
      <c r="H5689" t="s">
        <v>2254</v>
      </c>
      <c r="I5689">
        <v>1986</v>
      </c>
      <c r="J5689">
        <v>1986</v>
      </c>
      <c r="K5689" t="s">
        <v>4554</v>
      </c>
      <c r="L5689" t="s">
        <v>4555</v>
      </c>
      <c r="M5689" s="2">
        <v>1101</v>
      </c>
      <c r="N5689" t="s">
        <v>5280</v>
      </c>
      <c r="O5689">
        <v>2</v>
      </c>
      <c r="P5689">
        <v>2</v>
      </c>
      <c r="Q5689">
        <v>0</v>
      </c>
      <c r="R5689" t="s">
        <v>4557</v>
      </c>
      <c r="S5689" t="s">
        <v>4558</v>
      </c>
      <c r="T5689" t="s">
        <v>4559</v>
      </c>
      <c r="U5689" t="s">
        <v>4560</v>
      </c>
      <c r="V5689" s="2">
        <v>436</v>
      </c>
      <c r="W5689" t="s">
        <v>4655</v>
      </c>
      <c r="X5689" s="2">
        <v>0</v>
      </c>
      <c r="Y5689">
        <v>20</v>
      </c>
      <c r="Z5689" t="s">
        <v>4561</v>
      </c>
      <c r="AA5689" s="3">
        <v>9.8989896476268796E-2</v>
      </c>
      <c r="AB5689" t="s">
        <v>28272</v>
      </c>
      <c r="AC5689" t="s">
        <v>4562</v>
      </c>
      <c r="AD5689" t="s">
        <v>28271</v>
      </c>
      <c r="AE5689" t="s">
        <v>4655</v>
      </c>
      <c r="AF5689" t="s">
        <v>4563</v>
      </c>
      <c r="AG5689" t="s">
        <v>4564</v>
      </c>
      <c r="AH5689" t="s">
        <v>1147</v>
      </c>
      <c r="AI5689" t="s">
        <v>4045</v>
      </c>
      <c r="AJ5689" t="s">
        <v>28273</v>
      </c>
      <c r="AK5689" t="s">
        <v>28274</v>
      </c>
      <c r="AL5689" s="13" t="s">
        <v>2255</v>
      </c>
      <c r="AM5689">
        <v>1</v>
      </c>
      <c r="AN5689" s="15" t="s">
        <v>721</v>
      </c>
    </row>
    <row r="5690" spans="1:40" x14ac:dyDescent="0.3">
      <c r="A5690" s="10" t="str">
        <f>HYPERLINK("http://www.washoecounty.gov/assessor/cama/?parid=200-154-01&amp;CardNumber=1","200-154-01")</f>
        <v>200-154-01</v>
      </c>
      <c r="B5690" t="s">
        <v>4655</v>
      </c>
      <c r="C5690" t="s">
        <v>28275</v>
      </c>
      <c r="D5690" s="1">
        <v>40295</v>
      </c>
      <c r="E5690" s="2">
        <v>118000</v>
      </c>
      <c r="F5690" t="s">
        <v>4567</v>
      </c>
      <c r="G5690" s="17" t="str">
        <f>HYPERLINK("https://www.washoecounty.gov/assessor/cama/?command=sales&amp;parid=20015401","3875072")</f>
        <v>3875072</v>
      </c>
      <c r="H5690" t="s">
        <v>2254</v>
      </c>
      <c r="I5690">
        <v>1986</v>
      </c>
      <c r="J5690">
        <v>1986</v>
      </c>
      <c r="K5690" t="s">
        <v>4554</v>
      </c>
      <c r="L5690" t="s">
        <v>4555</v>
      </c>
      <c r="M5690" s="2">
        <v>1101</v>
      </c>
      <c r="N5690" t="s">
        <v>5280</v>
      </c>
      <c r="O5690">
        <v>2</v>
      </c>
      <c r="P5690">
        <v>2</v>
      </c>
      <c r="Q5690">
        <v>0</v>
      </c>
      <c r="R5690" t="s">
        <v>4557</v>
      </c>
      <c r="S5690" t="s">
        <v>4558</v>
      </c>
      <c r="T5690" t="s">
        <v>4559</v>
      </c>
      <c r="U5690" t="s">
        <v>4560</v>
      </c>
      <c r="V5690" s="2">
        <v>436</v>
      </c>
      <c r="W5690" t="s">
        <v>4655</v>
      </c>
      <c r="X5690" s="2">
        <v>0</v>
      </c>
      <c r="Y5690">
        <v>20</v>
      </c>
      <c r="Z5690" t="s">
        <v>4561</v>
      </c>
      <c r="AA5690" s="3">
        <v>0.14299815893173218</v>
      </c>
      <c r="AB5690" t="s">
        <v>28276</v>
      </c>
      <c r="AC5690" t="s">
        <v>4562</v>
      </c>
      <c r="AD5690" t="s">
        <v>28277</v>
      </c>
      <c r="AE5690" t="s">
        <v>4655</v>
      </c>
      <c r="AF5690" t="s">
        <v>28278</v>
      </c>
      <c r="AG5690" t="s">
        <v>4584</v>
      </c>
      <c r="AH5690">
        <v>96126</v>
      </c>
      <c r="AI5690" t="s">
        <v>28279</v>
      </c>
      <c r="AJ5690" t="s">
        <v>28280</v>
      </c>
      <c r="AK5690" t="s">
        <v>28281</v>
      </c>
      <c r="AL5690" s="13" t="s">
        <v>2255</v>
      </c>
      <c r="AM5690" s="14">
        <v>1</v>
      </c>
      <c r="AN5690" s="15" t="s">
        <v>721</v>
      </c>
    </row>
    <row r="5691" spans="1:40" x14ac:dyDescent="0.3">
      <c r="A5691" s="10" t="str">
        <f>HYPERLINK("http://www.washoecounty.gov/assessor/cama/?parid=200-163-02&amp;CardNumber=1","200-163-02")</f>
        <v>200-163-02</v>
      </c>
      <c r="B5691" t="s">
        <v>4655</v>
      </c>
      <c r="C5691" t="s">
        <v>28282</v>
      </c>
      <c r="D5691" s="1">
        <v>40312</v>
      </c>
      <c r="E5691" s="2">
        <v>175000</v>
      </c>
      <c r="F5691" t="s">
        <v>4553</v>
      </c>
      <c r="G5691" s="17" t="str">
        <f>HYPERLINK("https://www.washoecounty.gov/assessor/cama/?command=sales&amp;parid=20016302","3881486")</f>
        <v>3881486</v>
      </c>
      <c r="H5691" t="s">
        <v>4753</v>
      </c>
      <c r="I5691">
        <v>1985</v>
      </c>
      <c r="J5691">
        <v>1985</v>
      </c>
      <c r="K5691" t="s">
        <v>4554</v>
      </c>
      <c r="L5691" t="s">
        <v>4555</v>
      </c>
      <c r="M5691" s="2">
        <v>1270</v>
      </c>
      <c r="N5691" t="s">
        <v>5280</v>
      </c>
      <c r="O5691">
        <v>3</v>
      </c>
      <c r="P5691">
        <v>2</v>
      </c>
      <c r="Q5691">
        <v>0</v>
      </c>
      <c r="R5691" t="s">
        <v>4557</v>
      </c>
      <c r="S5691" t="s">
        <v>4558</v>
      </c>
      <c r="T5691" t="s">
        <v>4559</v>
      </c>
      <c r="U5691" t="s">
        <v>4560</v>
      </c>
      <c r="V5691" s="2">
        <v>441</v>
      </c>
      <c r="W5691" t="s">
        <v>4655</v>
      </c>
      <c r="X5691" s="2">
        <v>0</v>
      </c>
      <c r="Y5691">
        <v>20</v>
      </c>
      <c r="Z5691" t="s">
        <v>4561</v>
      </c>
      <c r="AA5691" s="3">
        <v>0.12601010501384699</v>
      </c>
      <c r="AB5691" t="s">
        <v>28283</v>
      </c>
      <c r="AC5691" t="s">
        <v>4562</v>
      </c>
      <c r="AD5691" t="s">
        <v>28282</v>
      </c>
      <c r="AE5691" t="s">
        <v>4655</v>
      </c>
      <c r="AF5691" t="s">
        <v>4563</v>
      </c>
      <c r="AG5691" t="s">
        <v>4564</v>
      </c>
      <c r="AH5691" t="s">
        <v>1147</v>
      </c>
      <c r="AI5691" t="s">
        <v>359</v>
      </c>
      <c r="AJ5691" t="s">
        <v>28284</v>
      </c>
      <c r="AK5691" t="s">
        <v>28285</v>
      </c>
      <c r="AL5691" s="13" t="s">
        <v>2255</v>
      </c>
      <c r="AM5691">
        <v>1</v>
      </c>
      <c r="AN5691" s="15" t="s">
        <v>721</v>
      </c>
    </row>
    <row r="5692" spans="1:40" x14ac:dyDescent="0.3">
      <c r="A5692" s="10" t="str">
        <f>HYPERLINK("http://www.washoecounty.gov/assessor/cama/?parid=200-163-08&amp;CardNumber=1","200-163-08")</f>
        <v>200-163-08</v>
      </c>
      <c r="B5692" t="s">
        <v>4655</v>
      </c>
      <c r="C5692" t="s">
        <v>28286</v>
      </c>
      <c r="D5692" s="1">
        <v>40539</v>
      </c>
      <c r="E5692" s="2">
        <v>110000</v>
      </c>
      <c r="F5692" t="s">
        <v>4567</v>
      </c>
      <c r="G5692" s="17" t="str">
        <f>HYPERLINK("https://www.washoecounty.gov/assessor/cama/?command=sales&amp;parid=20016308","3957578")</f>
        <v>3957578</v>
      </c>
      <c r="H5692" t="s">
        <v>4753</v>
      </c>
      <c r="I5692">
        <v>1985</v>
      </c>
      <c r="J5692">
        <v>1985</v>
      </c>
      <c r="K5692" t="s">
        <v>4554</v>
      </c>
      <c r="L5692" t="s">
        <v>4555</v>
      </c>
      <c r="M5692" s="2">
        <v>1101</v>
      </c>
      <c r="N5692" t="s">
        <v>5280</v>
      </c>
      <c r="O5692">
        <v>2</v>
      </c>
      <c r="P5692">
        <v>2</v>
      </c>
      <c r="Q5692">
        <v>0</v>
      </c>
      <c r="R5692" t="s">
        <v>4557</v>
      </c>
      <c r="S5692" t="s">
        <v>4558</v>
      </c>
      <c r="T5692" t="s">
        <v>4559</v>
      </c>
      <c r="U5692" t="s">
        <v>4560</v>
      </c>
      <c r="V5692" s="2">
        <v>436</v>
      </c>
      <c r="W5692" t="s">
        <v>4655</v>
      </c>
      <c r="X5692" s="2">
        <v>0</v>
      </c>
      <c r="Y5692">
        <v>20</v>
      </c>
      <c r="Z5692" t="s">
        <v>4561</v>
      </c>
      <c r="AA5692" s="3">
        <v>0.151010096073151</v>
      </c>
      <c r="AB5692" t="s">
        <v>1856</v>
      </c>
      <c r="AC5692" t="s">
        <v>4562</v>
      </c>
      <c r="AD5692" t="s">
        <v>2114</v>
      </c>
      <c r="AE5692" t="s">
        <v>4655</v>
      </c>
      <c r="AF5692" t="s">
        <v>3890</v>
      </c>
      <c r="AG5692" t="s">
        <v>4564</v>
      </c>
      <c r="AH5692" t="s">
        <v>3891</v>
      </c>
      <c r="AI5692" t="s">
        <v>28287</v>
      </c>
      <c r="AJ5692" t="s">
        <v>28288</v>
      </c>
      <c r="AK5692" t="s">
        <v>28289</v>
      </c>
      <c r="AL5692" s="13" t="s">
        <v>2255</v>
      </c>
      <c r="AM5692">
        <v>1</v>
      </c>
      <c r="AN5692" s="15" t="s">
        <v>721</v>
      </c>
    </row>
    <row r="5693" spans="1:40" x14ac:dyDescent="0.3">
      <c r="A5693" s="10" t="str">
        <f>HYPERLINK("http://www.washoecounty.gov/assessor/cama/?parid=200-183-03&amp;CardNumber=1","200-183-03")</f>
        <v>200-183-03</v>
      </c>
      <c r="B5693" t="s">
        <v>4655</v>
      </c>
      <c r="C5693" t="s">
        <v>28290</v>
      </c>
      <c r="D5693" s="1">
        <v>40420</v>
      </c>
      <c r="E5693" s="2">
        <v>144000</v>
      </c>
      <c r="F5693" t="s">
        <v>4567</v>
      </c>
      <c r="G5693" s="17" t="str">
        <f>HYPERLINK("https://www.washoecounty.gov/assessor/cama/?command=sales&amp;parid=20018303","3917094")</f>
        <v>3917094</v>
      </c>
      <c r="H5693" t="s">
        <v>3085</v>
      </c>
      <c r="I5693">
        <v>1985</v>
      </c>
      <c r="J5693">
        <v>1985</v>
      </c>
      <c r="K5693" t="s">
        <v>4554</v>
      </c>
      <c r="L5693" t="s">
        <v>4555</v>
      </c>
      <c r="M5693" s="2">
        <v>1270</v>
      </c>
      <c r="N5693" t="s">
        <v>5280</v>
      </c>
      <c r="O5693">
        <v>3</v>
      </c>
      <c r="P5693">
        <v>2</v>
      </c>
      <c r="Q5693">
        <v>0</v>
      </c>
      <c r="R5693" t="s">
        <v>4557</v>
      </c>
      <c r="S5693" t="s">
        <v>4558</v>
      </c>
      <c r="T5693" t="s">
        <v>4559</v>
      </c>
      <c r="U5693" t="s">
        <v>4560</v>
      </c>
      <c r="V5693" s="2">
        <v>441</v>
      </c>
      <c r="W5693" t="s">
        <v>4655</v>
      </c>
      <c r="X5693" s="2">
        <v>0</v>
      </c>
      <c r="Y5693">
        <v>20</v>
      </c>
      <c r="Z5693" t="s">
        <v>4561</v>
      </c>
      <c r="AA5693" s="3">
        <v>0.110996328294277</v>
      </c>
      <c r="AB5693" t="s">
        <v>28291</v>
      </c>
      <c r="AC5693" t="s">
        <v>4562</v>
      </c>
      <c r="AD5693" t="s">
        <v>28292</v>
      </c>
      <c r="AE5693" t="s">
        <v>4655</v>
      </c>
      <c r="AF5693" t="s">
        <v>4563</v>
      </c>
      <c r="AG5693" t="s">
        <v>4564</v>
      </c>
      <c r="AH5693" t="s">
        <v>1147</v>
      </c>
      <c r="AI5693" t="s">
        <v>14543</v>
      </c>
      <c r="AJ5693" t="s">
        <v>28293</v>
      </c>
      <c r="AK5693" t="s">
        <v>28294</v>
      </c>
      <c r="AL5693" s="13" t="s">
        <v>2255</v>
      </c>
      <c r="AM5693" s="14">
        <v>1</v>
      </c>
      <c r="AN5693" s="15" t="s">
        <v>721</v>
      </c>
    </row>
    <row r="5694" spans="1:40" x14ac:dyDescent="0.3">
      <c r="A5694" s="10" t="str">
        <f>HYPERLINK("http://www.washoecounty.gov/assessor/cama/?parid=200-192-05&amp;CardNumber=1","200-192-05")</f>
        <v>200-192-05</v>
      </c>
      <c r="B5694" t="s">
        <v>4655</v>
      </c>
      <c r="C5694" t="s">
        <v>28295</v>
      </c>
      <c r="D5694" s="1">
        <v>40529</v>
      </c>
      <c r="E5694" s="2">
        <v>199900</v>
      </c>
      <c r="F5694" t="s">
        <v>4553</v>
      </c>
      <c r="G5694" s="17" t="str">
        <f>HYPERLINK("https://www.washoecounty.gov/assessor/cama/?command=sales&amp;parid=20019205","3954917")</f>
        <v>3954917</v>
      </c>
      <c r="H5694" t="s">
        <v>4081</v>
      </c>
      <c r="I5694">
        <v>1990</v>
      </c>
      <c r="J5694">
        <v>1990</v>
      </c>
      <c r="K5694" t="s">
        <v>4554</v>
      </c>
      <c r="L5694" t="s">
        <v>3974</v>
      </c>
      <c r="M5694" s="2">
        <v>2144</v>
      </c>
      <c r="N5694" t="s">
        <v>5280</v>
      </c>
      <c r="O5694">
        <v>4</v>
      </c>
      <c r="P5694">
        <v>3</v>
      </c>
      <c r="Q5694">
        <v>0</v>
      </c>
      <c r="R5694" t="s">
        <v>4557</v>
      </c>
      <c r="S5694" t="s">
        <v>4558</v>
      </c>
      <c r="T5694" t="s">
        <v>4559</v>
      </c>
      <c r="U5694" t="s">
        <v>4560</v>
      </c>
      <c r="V5694" s="2">
        <v>462</v>
      </c>
      <c r="W5694" t="s">
        <v>4655</v>
      </c>
      <c r="X5694" s="2">
        <v>0</v>
      </c>
      <c r="Y5694">
        <v>20</v>
      </c>
      <c r="Z5694" t="s">
        <v>4561</v>
      </c>
      <c r="AA5694" s="3">
        <v>0.20300734043121299</v>
      </c>
      <c r="AB5694" t="s">
        <v>28296</v>
      </c>
      <c r="AC5694" t="s">
        <v>4562</v>
      </c>
      <c r="AD5694" t="s">
        <v>28295</v>
      </c>
      <c r="AE5694" t="s">
        <v>4655</v>
      </c>
      <c r="AF5694" t="s">
        <v>4563</v>
      </c>
      <c r="AG5694" t="s">
        <v>4564</v>
      </c>
      <c r="AH5694" t="s">
        <v>1147</v>
      </c>
      <c r="AI5694" t="s">
        <v>4145</v>
      </c>
      <c r="AJ5694" t="s">
        <v>28297</v>
      </c>
      <c r="AK5694" t="s">
        <v>28298</v>
      </c>
      <c r="AL5694" s="13" t="s">
        <v>2255</v>
      </c>
      <c r="AM5694">
        <v>1</v>
      </c>
      <c r="AN5694" s="15" t="s">
        <v>383</v>
      </c>
    </row>
    <row r="5695" spans="1:40" x14ac:dyDescent="0.3">
      <c r="A5695" s="10" t="str">
        <f>HYPERLINK("http://www.washoecounty.gov/assessor/cama/?parid=200-203-09&amp;CardNumber=1","200-203-09")</f>
        <v>200-203-09</v>
      </c>
      <c r="B5695" t="s">
        <v>4655</v>
      </c>
      <c r="C5695" t="s">
        <v>28299</v>
      </c>
      <c r="D5695" s="1">
        <v>40519</v>
      </c>
      <c r="E5695" s="2">
        <v>206500</v>
      </c>
      <c r="F5695" t="s">
        <v>4553</v>
      </c>
      <c r="G5695" s="17" t="str">
        <f>HYPERLINK("https://www.washoecounty.gov/assessor/cama/?command=sales&amp;parid=20020309","3950305")</f>
        <v>3950305</v>
      </c>
      <c r="H5695" t="s">
        <v>700</v>
      </c>
      <c r="I5695">
        <v>1989</v>
      </c>
      <c r="J5695">
        <v>1989</v>
      </c>
      <c r="K5695" t="s">
        <v>4554</v>
      </c>
      <c r="L5695" t="s">
        <v>4555</v>
      </c>
      <c r="M5695" s="2">
        <v>1881</v>
      </c>
      <c r="N5695" t="s">
        <v>5280</v>
      </c>
      <c r="O5695">
        <v>4</v>
      </c>
      <c r="P5695">
        <v>2</v>
      </c>
      <c r="Q5695">
        <v>0</v>
      </c>
      <c r="R5695" t="s">
        <v>4557</v>
      </c>
      <c r="S5695" t="s">
        <v>4558</v>
      </c>
      <c r="T5695" t="s">
        <v>4559</v>
      </c>
      <c r="U5695" t="s">
        <v>4560</v>
      </c>
      <c r="V5695" s="2">
        <v>460</v>
      </c>
      <c r="W5695" t="s">
        <v>4655</v>
      </c>
      <c r="X5695" s="2">
        <v>0</v>
      </c>
      <c r="Y5695">
        <v>20</v>
      </c>
      <c r="Z5695" t="s">
        <v>4561</v>
      </c>
      <c r="AA5695" s="3">
        <v>0.17100550234317799</v>
      </c>
      <c r="AB5695" t="s">
        <v>28300</v>
      </c>
      <c r="AC5695" t="s">
        <v>4562</v>
      </c>
      <c r="AD5695" t="s">
        <v>28301</v>
      </c>
      <c r="AE5695" t="s">
        <v>4655</v>
      </c>
      <c r="AF5695" t="s">
        <v>4563</v>
      </c>
      <c r="AG5695" t="s">
        <v>4564</v>
      </c>
      <c r="AH5695" t="s">
        <v>1147</v>
      </c>
      <c r="AI5695" t="s">
        <v>4202</v>
      </c>
      <c r="AJ5695" t="s">
        <v>28302</v>
      </c>
      <c r="AK5695" t="s">
        <v>28303</v>
      </c>
      <c r="AL5695" s="13" t="s">
        <v>2255</v>
      </c>
      <c r="AM5695">
        <v>1</v>
      </c>
      <c r="AN5695" s="15" t="s">
        <v>383</v>
      </c>
    </row>
    <row r="5696" spans="1:40" x14ac:dyDescent="0.3">
      <c r="A5696" s="10" t="str">
        <f>HYPERLINK("http://www.washoecounty.gov/assessor/cama/?parid=200-222-03&amp;CardNumber=1","200-222-03")</f>
        <v>200-222-03</v>
      </c>
      <c r="B5696" t="s">
        <v>4655</v>
      </c>
      <c r="C5696" t="s">
        <v>28304</v>
      </c>
      <c r="D5696" s="1">
        <v>40339</v>
      </c>
      <c r="E5696" s="2">
        <v>180000</v>
      </c>
      <c r="F5696" t="s">
        <v>4553</v>
      </c>
      <c r="G5696" s="17" t="str">
        <f>HYPERLINK("https://www.washoecounty.gov/assessor/cama/?command=sales&amp;parid=20022203","3890172")</f>
        <v>3890172</v>
      </c>
      <c r="H5696" t="s">
        <v>1469</v>
      </c>
      <c r="I5696">
        <v>1984</v>
      </c>
      <c r="J5696">
        <v>1984</v>
      </c>
      <c r="K5696" t="s">
        <v>4554</v>
      </c>
      <c r="L5696" t="s">
        <v>3974</v>
      </c>
      <c r="M5696" s="2">
        <v>2524</v>
      </c>
      <c r="N5696" t="s">
        <v>5280</v>
      </c>
      <c r="O5696">
        <v>3</v>
      </c>
      <c r="P5696">
        <v>2</v>
      </c>
      <c r="Q5696">
        <v>1</v>
      </c>
      <c r="R5696" t="s">
        <v>4557</v>
      </c>
      <c r="S5696" t="s">
        <v>4558</v>
      </c>
      <c r="T5696" t="s">
        <v>4143</v>
      </c>
      <c r="U5696" t="s">
        <v>5631</v>
      </c>
      <c r="V5696" s="2">
        <v>924</v>
      </c>
      <c r="W5696" t="s">
        <v>4655</v>
      </c>
      <c r="X5696" s="2">
        <v>0</v>
      </c>
      <c r="Y5696">
        <v>20</v>
      </c>
      <c r="Z5696" t="s">
        <v>4561</v>
      </c>
      <c r="AA5696" s="3">
        <v>0.17398989200591999</v>
      </c>
      <c r="AB5696" t="s">
        <v>28305</v>
      </c>
      <c r="AC5696" t="s">
        <v>4562</v>
      </c>
      <c r="AD5696" t="s">
        <v>28306</v>
      </c>
      <c r="AE5696" t="s">
        <v>4655</v>
      </c>
      <c r="AF5696" t="s">
        <v>4563</v>
      </c>
      <c r="AG5696" t="s">
        <v>4564</v>
      </c>
      <c r="AH5696" t="s">
        <v>1147</v>
      </c>
      <c r="AI5696" t="s">
        <v>4655</v>
      </c>
      <c r="AJ5696" t="s">
        <v>28307</v>
      </c>
      <c r="AK5696" t="s">
        <v>28308</v>
      </c>
      <c r="AL5696" s="13" t="s">
        <v>2255</v>
      </c>
      <c r="AM5696">
        <v>1</v>
      </c>
      <c r="AN5696" s="15" t="s">
        <v>383</v>
      </c>
    </row>
    <row r="5697" spans="1:40" x14ac:dyDescent="0.3">
      <c r="A5697" s="10" t="str">
        <f>HYPERLINK("http://www.washoecounty.gov/assessor/cama/?parid=200-222-17&amp;CardNumber=1","200-222-17")</f>
        <v>200-222-17</v>
      </c>
      <c r="B5697" t="s">
        <v>4655</v>
      </c>
      <c r="C5697" t="s">
        <v>28309</v>
      </c>
      <c r="D5697" s="1">
        <v>40226</v>
      </c>
      <c r="E5697" s="2">
        <v>226900</v>
      </c>
      <c r="F5697" t="s">
        <v>4567</v>
      </c>
      <c r="G5697" s="17" t="str">
        <f>HYPERLINK("https://www.washoecounty.gov/assessor/cama/?command=sales&amp;parid=20022217","3850112")</f>
        <v>3850112</v>
      </c>
      <c r="H5697" t="s">
        <v>1469</v>
      </c>
      <c r="I5697">
        <v>1986</v>
      </c>
      <c r="J5697">
        <v>1986</v>
      </c>
      <c r="K5697" t="s">
        <v>4554</v>
      </c>
      <c r="L5697" t="s">
        <v>3974</v>
      </c>
      <c r="M5697" s="2">
        <v>2882</v>
      </c>
      <c r="N5697" t="s">
        <v>5280</v>
      </c>
      <c r="O5697">
        <v>5</v>
      </c>
      <c r="P5697">
        <v>3</v>
      </c>
      <c r="Q5697">
        <v>0</v>
      </c>
      <c r="R5697" t="s">
        <v>4557</v>
      </c>
      <c r="S5697" t="s">
        <v>4558</v>
      </c>
      <c r="T5697" t="s">
        <v>4143</v>
      </c>
      <c r="U5697" t="s">
        <v>5631</v>
      </c>
      <c r="V5697" s="2">
        <v>430</v>
      </c>
      <c r="W5697" t="s">
        <v>4655</v>
      </c>
      <c r="X5697" s="2">
        <v>0</v>
      </c>
      <c r="Y5697">
        <v>20</v>
      </c>
      <c r="Z5697" t="s">
        <v>4561</v>
      </c>
      <c r="AA5697" s="3">
        <v>0.16099633276462599</v>
      </c>
      <c r="AB5697" t="s">
        <v>28310</v>
      </c>
      <c r="AC5697" t="s">
        <v>4562</v>
      </c>
      <c r="AD5697" t="s">
        <v>28311</v>
      </c>
      <c r="AE5697" t="s">
        <v>28312</v>
      </c>
      <c r="AF5697" t="s">
        <v>4563</v>
      </c>
      <c r="AG5697" t="s">
        <v>4564</v>
      </c>
      <c r="AH5697">
        <v>89503</v>
      </c>
      <c r="AI5697" t="s">
        <v>28313</v>
      </c>
      <c r="AJ5697" t="s">
        <v>28314</v>
      </c>
      <c r="AK5697" t="s">
        <v>28315</v>
      </c>
      <c r="AL5697" s="13" t="s">
        <v>2255</v>
      </c>
      <c r="AM5697">
        <v>1</v>
      </c>
      <c r="AN5697" s="15" t="s">
        <v>383</v>
      </c>
    </row>
    <row r="5698" spans="1:40" x14ac:dyDescent="0.3">
      <c r="A5698" s="10" t="str">
        <f>HYPERLINK("http://www.washoecounty.gov/assessor/cama/?parid=200-223-22&amp;CardNumber=1","200-223-22")</f>
        <v>200-223-22</v>
      </c>
      <c r="B5698" t="s">
        <v>4655</v>
      </c>
      <c r="C5698" t="s">
        <v>28316</v>
      </c>
      <c r="D5698" s="1">
        <v>40274</v>
      </c>
      <c r="E5698" s="2">
        <v>160700</v>
      </c>
      <c r="F5698" t="s">
        <v>4553</v>
      </c>
      <c r="G5698" s="17" t="str">
        <f>HYPERLINK("https://www.washoecounty.gov/assessor/cama/?command=sales&amp;parid=20022322","3868173")</f>
        <v>3868173</v>
      </c>
      <c r="H5698" t="s">
        <v>1469</v>
      </c>
      <c r="I5698">
        <v>1984</v>
      </c>
      <c r="J5698">
        <v>1984</v>
      </c>
      <c r="K5698" t="s">
        <v>4554</v>
      </c>
      <c r="L5698" t="s">
        <v>3974</v>
      </c>
      <c r="M5698" s="2">
        <v>1636</v>
      </c>
      <c r="N5698" t="s">
        <v>5280</v>
      </c>
      <c r="O5698">
        <v>3</v>
      </c>
      <c r="P5698">
        <v>2</v>
      </c>
      <c r="Q5698">
        <v>1</v>
      </c>
      <c r="R5698" t="s">
        <v>5281</v>
      </c>
      <c r="S5698" t="s">
        <v>4558</v>
      </c>
      <c r="T5698" t="s">
        <v>4143</v>
      </c>
      <c r="U5698" t="s">
        <v>4560</v>
      </c>
      <c r="V5698" s="2">
        <v>720</v>
      </c>
      <c r="W5698" t="s">
        <v>4655</v>
      </c>
      <c r="X5698" s="2">
        <v>0</v>
      </c>
      <c r="Y5698">
        <v>20</v>
      </c>
      <c r="Z5698" t="s">
        <v>4561</v>
      </c>
      <c r="AA5698" s="3">
        <v>0.15500459074974099</v>
      </c>
      <c r="AB5698" t="s">
        <v>28317</v>
      </c>
      <c r="AC5698" t="s">
        <v>4575</v>
      </c>
      <c r="AD5698" t="s">
        <v>28318</v>
      </c>
      <c r="AE5698" t="s">
        <v>4655</v>
      </c>
      <c r="AF5698" t="s">
        <v>4563</v>
      </c>
      <c r="AG5698" t="s">
        <v>4564</v>
      </c>
      <c r="AH5698">
        <v>89509</v>
      </c>
      <c r="AI5698" t="s">
        <v>2009</v>
      </c>
      <c r="AJ5698" t="s">
        <v>28319</v>
      </c>
      <c r="AK5698" t="s">
        <v>28320</v>
      </c>
      <c r="AL5698" s="13" t="s">
        <v>2255</v>
      </c>
      <c r="AM5698">
        <v>1</v>
      </c>
      <c r="AN5698" s="15" t="s">
        <v>383</v>
      </c>
    </row>
    <row r="5699" spans="1:40" x14ac:dyDescent="0.3">
      <c r="A5699" s="10" t="str">
        <f>HYPERLINK("http://www.washoecounty.gov/assessor/cama/?parid=200-231-08&amp;CardNumber=1","200-231-08")</f>
        <v>200-231-08</v>
      </c>
      <c r="B5699" t="s">
        <v>4655</v>
      </c>
      <c r="C5699" t="s">
        <v>28321</v>
      </c>
      <c r="D5699" s="1">
        <v>40256</v>
      </c>
      <c r="E5699" s="2">
        <v>229500</v>
      </c>
      <c r="F5699" t="s">
        <v>4567</v>
      </c>
      <c r="G5699" s="17" t="str">
        <f>HYPERLINK("https://www.washoecounty.gov/assessor/cama/?command=sales&amp;parid=20023108","3861613")</f>
        <v>3861613</v>
      </c>
      <c r="H5699" t="s">
        <v>28322</v>
      </c>
      <c r="I5699">
        <v>1986</v>
      </c>
      <c r="J5699">
        <v>1986</v>
      </c>
      <c r="K5699" t="s">
        <v>4554</v>
      </c>
      <c r="L5699" t="s">
        <v>4555</v>
      </c>
      <c r="M5699" s="2">
        <v>1881</v>
      </c>
      <c r="N5699" t="s">
        <v>5280</v>
      </c>
      <c r="O5699">
        <v>4</v>
      </c>
      <c r="P5699">
        <v>2</v>
      </c>
      <c r="Q5699">
        <v>0</v>
      </c>
      <c r="R5699" t="s">
        <v>4557</v>
      </c>
      <c r="S5699" t="s">
        <v>4558</v>
      </c>
      <c r="T5699" t="s">
        <v>4559</v>
      </c>
      <c r="U5699" t="s">
        <v>4560</v>
      </c>
      <c r="V5699" s="2">
        <v>460</v>
      </c>
      <c r="W5699" t="s">
        <v>4655</v>
      </c>
      <c r="X5699" s="2">
        <v>0</v>
      </c>
      <c r="Y5699">
        <v>20</v>
      </c>
      <c r="Z5699" t="s">
        <v>4561</v>
      </c>
      <c r="AA5699" s="3">
        <v>0.23500917851924899</v>
      </c>
      <c r="AB5699" t="s">
        <v>28323</v>
      </c>
      <c r="AC5699" t="s">
        <v>4562</v>
      </c>
      <c r="AD5699" t="s">
        <v>28321</v>
      </c>
      <c r="AE5699" t="s">
        <v>4655</v>
      </c>
      <c r="AF5699" t="s">
        <v>4563</v>
      </c>
      <c r="AG5699" t="s">
        <v>4564</v>
      </c>
      <c r="AH5699" t="s">
        <v>1147</v>
      </c>
      <c r="AI5699" t="s">
        <v>28324</v>
      </c>
      <c r="AJ5699" t="s">
        <v>28325</v>
      </c>
      <c r="AK5699" t="s">
        <v>28326</v>
      </c>
      <c r="AL5699" s="13" t="s">
        <v>2255</v>
      </c>
      <c r="AM5699">
        <v>1</v>
      </c>
      <c r="AN5699" s="15" t="s">
        <v>383</v>
      </c>
    </row>
    <row r="5700" spans="1:40" x14ac:dyDescent="0.3">
      <c r="A5700" s="10" t="str">
        <f>HYPERLINK("http://www.washoecounty.gov/assessor/cama/?parid=200-242-01&amp;CardNumber=1","200-242-01")</f>
        <v>200-242-01</v>
      </c>
      <c r="B5700" t="s">
        <v>4655</v>
      </c>
      <c r="C5700" t="s">
        <v>28327</v>
      </c>
      <c r="D5700" s="1">
        <v>40452</v>
      </c>
      <c r="E5700" s="2">
        <v>230000</v>
      </c>
      <c r="F5700" t="s">
        <v>4567</v>
      </c>
      <c r="G5700" s="17" t="str">
        <f>HYPERLINK("https://www.washoecounty.gov/assessor/cama/?command=sales&amp;parid=20024201","3928944")</f>
        <v>3928944</v>
      </c>
      <c r="H5700" t="s">
        <v>28328</v>
      </c>
      <c r="I5700">
        <v>1985</v>
      </c>
      <c r="J5700">
        <v>1985</v>
      </c>
      <c r="K5700" t="s">
        <v>4554</v>
      </c>
      <c r="L5700" t="s">
        <v>4555</v>
      </c>
      <c r="M5700" s="2">
        <v>1885</v>
      </c>
      <c r="N5700" t="s">
        <v>5280</v>
      </c>
      <c r="O5700">
        <v>3</v>
      </c>
      <c r="P5700">
        <v>2</v>
      </c>
      <c r="Q5700">
        <v>0</v>
      </c>
      <c r="R5700" t="s">
        <v>4557</v>
      </c>
      <c r="S5700" t="s">
        <v>4558</v>
      </c>
      <c r="T5700" t="s">
        <v>4143</v>
      </c>
      <c r="U5700" t="s">
        <v>4560</v>
      </c>
      <c r="V5700" s="2">
        <v>460</v>
      </c>
      <c r="W5700" t="s">
        <v>4655</v>
      </c>
      <c r="X5700" s="2">
        <v>0</v>
      </c>
      <c r="Y5700">
        <v>20</v>
      </c>
      <c r="Z5700" t="s">
        <v>4561</v>
      </c>
      <c r="AA5700" s="3">
        <v>0.22899448871612499</v>
      </c>
      <c r="AB5700" t="s">
        <v>28329</v>
      </c>
      <c r="AC5700" t="s">
        <v>4575</v>
      </c>
      <c r="AD5700" t="s">
        <v>28330</v>
      </c>
      <c r="AE5700" t="s">
        <v>4655</v>
      </c>
      <c r="AF5700" t="s">
        <v>4563</v>
      </c>
      <c r="AG5700" t="s">
        <v>4564</v>
      </c>
      <c r="AH5700" t="s">
        <v>1147</v>
      </c>
      <c r="AI5700" t="s">
        <v>28331</v>
      </c>
      <c r="AJ5700" t="s">
        <v>28332</v>
      </c>
      <c r="AK5700" t="s">
        <v>28333</v>
      </c>
      <c r="AL5700" s="13" t="s">
        <v>2255</v>
      </c>
      <c r="AM5700">
        <v>1</v>
      </c>
      <c r="AN5700" s="15" t="s">
        <v>383</v>
      </c>
    </row>
    <row r="5701" spans="1:40" x14ac:dyDescent="0.3">
      <c r="A5701" s="10" t="str">
        <f>HYPERLINK("http://www.washoecounty.gov/assessor/cama/?parid=200-243-09&amp;CardNumber=1","200-243-09")</f>
        <v>200-243-09</v>
      </c>
      <c r="B5701" t="s">
        <v>4655</v>
      </c>
      <c r="C5701" t="s">
        <v>28334</v>
      </c>
      <c r="D5701" s="1">
        <v>40532</v>
      </c>
      <c r="E5701" s="2">
        <v>152000</v>
      </c>
      <c r="F5701" t="s">
        <v>4553</v>
      </c>
      <c r="G5701" s="17" t="str">
        <f>HYPERLINK("https://www.washoecounty.gov/assessor/cama/?command=sales&amp;parid=20024309","3955671")</f>
        <v>3955671</v>
      </c>
      <c r="H5701" t="s">
        <v>28328</v>
      </c>
      <c r="I5701">
        <v>1985</v>
      </c>
      <c r="J5701">
        <v>1985</v>
      </c>
      <c r="K5701" t="s">
        <v>4554</v>
      </c>
      <c r="L5701" t="s">
        <v>3974</v>
      </c>
      <c r="M5701" s="2">
        <v>2144</v>
      </c>
      <c r="N5701" t="s">
        <v>5280</v>
      </c>
      <c r="O5701">
        <v>4</v>
      </c>
      <c r="P5701">
        <v>3</v>
      </c>
      <c r="Q5701">
        <v>0</v>
      </c>
      <c r="R5701" t="s">
        <v>5281</v>
      </c>
      <c r="S5701" t="s">
        <v>4135</v>
      </c>
      <c r="T5701" t="s">
        <v>4559</v>
      </c>
      <c r="U5701" t="s">
        <v>4560</v>
      </c>
      <c r="V5701" s="2">
        <v>630</v>
      </c>
      <c r="W5701" t="s">
        <v>4655</v>
      </c>
      <c r="X5701" s="2">
        <v>0</v>
      </c>
      <c r="Y5701">
        <v>20</v>
      </c>
      <c r="Z5701" t="s">
        <v>4561</v>
      </c>
      <c r="AA5701" s="3">
        <v>0.21200643479824099</v>
      </c>
      <c r="AB5701" t="s">
        <v>28335</v>
      </c>
      <c r="AC5701" t="s">
        <v>4562</v>
      </c>
      <c r="AD5701" t="s">
        <v>28336</v>
      </c>
      <c r="AE5701" t="s">
        <v>4655</v>
      </c>
      <c r="AF5701" t="s">
        <v>4563</v>
      </c>
      <c r="AG5701" t="s">
        <v>4564</v>
      </c>
      <c r="AH5701" t="s">
        <v>2330</v>
      </c>
      <c r="AI5701" t="s">
        <v>4145</v>
      </c>
      <c r="AJ5701" t="s">
        <v>28337</v>
      </c>
      <c r="AK5701" t="s">
        <v>28338</v>
      </c>
      <c r="AL5701" s="13" t="s">
        <v>2255</v>
      </c>
      <c r="AM5701">
        <v>1</v>
      </c>
      <c r="AN5701" s="15" t="s">
        <v>383</v>
      </c>
    </row>
    <row r="5702" spans="1:40" x14ac:dyDescent="0.3">
      <c r="A5702" s="10" t="str">
        <f>HYPERLINK("http://www.washoecounty.gov/assessor/cama/?parid=200-271-09&amp;CardNumber=1","200-271-09")</f>
        <v>200-271-09</v>
      </c>
      <c r="B5702" t="s">
        <v>4655</v>
      </c>
      <c r="C5702" t="s">
        <v>28339</v>
      </c>
      <c r="D5702" s="1">
        <v>40435</v>
      </c>
      <c r="E5702" s="2">
        <v>239000</v>
      </c>
      <c r="F5702" t="s">
        <v>4567</v>
      </c>
      <c r="G5702" s="17" t="str">
        <f>HYPERLINK("https://www.washoecounty.gov/assessor/cama/?command=sales&amp;parid=20027109","3922139")</f>
        <v>3922139</v>
      </c>
      <c r="H5702" t="s">
        <v>2472</v>
      </c>
      <c r="I5702">
        <v>1992</v>
      </c>
      <c r="J5702">
        <v>1992</v>
      </c>
      <c r="K5702" t="s">
        <v>4554</v>
      </c>
      <c r="L5702" t="s">
        <v>4555</v>
      </c>
      <c r="M5702" s="2">
        <v>1824</v>
      </c>
      <c r="N5702" t="s">
        <v>5280</v>
      </c>
      <c r="O5702">
        <v>4</v>
      </c>
      <c r="P5702">
        <v>2</v>
      </c>
      <c r="Q5702">
        <v>0</v>
      </c>
      <c r="R5702" t="s">
        <v>5281</v>
      </c>
      <c r="S5702" t="s">
        <v>4558</v>
      </c>
      <c r="T5702" t="s">
        <v>4559</v>
      </c>
      <c r="U5702" t="s">
        <v>4560</v>
      </c>
      <c r="V5702" s="2">
        <v>572</v>
      </c>
      <c r="W5702" t="s">
        <v>4655</v>
      </c>
      <c r="X5702" s="2">
        <v>0</v>
      </c>
      <c r="Y5702">
        <v>20</v>
      </c>
      <c r="Z5702" t="s">
        <v>4561</v>
      </c>
      <c r="AA5702" s="3">
        <v>0.19898989796638489</v>
      </c>
      <c r="AB5702" t="s">
        <v>28340</v>
      </c>
      <c r="AC5702" t="s">
        <v>4562</v>
      </c>
      <c r="AD5702" t="s">
        <v>28339</v>
      </c>
      <c r="AE5702" t="s">
        <v>4655</v>
      </c>
      <c r="AF5702" t="s">
        <v>4563</v>
      </c>
      <c r="AG5702" t="s">
        <v>4564</v>
      </c>
      <c r="AH5702" t="s">
        <v>1147</v>
      </c>
      <c r="AI5702" t="s">
        <v>28341</v>
      </c>
      <c r="AJ5702" t="s">
        <v>28342</v>
      </c>
      <c r="AK5702" t="s">
        <v>28343</v>
      </c>
      <c r="AL5702" s="13" t="s">
        <v>2255</v>
      </c>
      <c r="AM5702">
        <v>1</v>
      </c>
      <c r="AN5702" s="15" t="s">
        <v>383</v>
      </c>
    </row>
    <row r="5703" spans="1:40" x14ac:dyDescent="0.3">
      <c r="A5703" s="10" t="str">
        <f>HYPERLINK("http://www.washoecounty.gov/assessor/cama/?parid=200-274-09&amp;CardNumber=1","200-274-09")</f>
        <v>200-274-09</v>
      </c>
      <c r="B5703" t="s">
        <v>4655</v>
      </c>
      <c r="C5703" t="s">
        <v>28344</v>
      </c>
      <c r="D5703" s="1">
        <v>40298</v>
      </c>
      <c r="E5703" s="2">
        <v>240000</v>
      </c>
      <c r="F5703" t="s">
        <v>4567</v>
      </c>
      <c r="G5703" s="17" t="str">
        <f>HYPERLINK("https://www.washoecounty.gov/assessor/cama/?command=sales&amp;parid=20027409","3876795")</f>
        <v>3876795</v>
      </c>
      <c r="H5703" t="s">
        <v>2472</v>
      </c>
      <c r="I5703">
        <v>1991</v>
      </c>
      <c r="J5703">
        <v>1991</v>
      </c>
      <c r="K5703" t="s">
        <v>4554</v>
      </c>
      <c r="L5703" t="s">
        <v>3974</v>
      </c>
      <c r="M5703" s="2">
        <v>2276</v>
      </c>
      <c r="N5703" t="s">
        <v>5280</v>
      </c>
      <c r="O5703">
        <v>4</v>
      </c>
      <c r="P5703">
        <v>3</v>
      </c>
      <c r="Q5703">
        <v>0</v>
      </c>
      <c r="R5703" t="s">
        <v>4557</v>
      </c>
      <c r="S5703" t="s">
        <v>4558</v>
      </c>
      <c r="T5703" t="s">
        <v>4559</v>
      </c>
      <c r="U5703" t="s">
        <v>4560</v>
      </c>
      <c r="V5703" s="2">
        <v>637</v>
      </c>
      <c r="W5703" t="s">
        <v>4655</v>
      </c>
      <c r="X5703" s="2">
        <v>0</v>
      </c>
      <c r="Y5703">
        <v>20</v>
      </c>
      <c r="Z5703" t="s">
        <v>4561</v>
      </c>
      <c r="AA5703" s="3">
        <v>0.15199723839759827</v>
      </c>
      <c r="AB5703" t="s">
        <v>28345</v>
      </c>
      <c r="AC5703" t="s">
        <v>4575</v>
      </c>
      <c r="AD5703" t="s">
        <v>28344</v>
      </c>
      <c r="AE5703" t="s">
        <v>4655</v>
      </c>
      <c r="AF5703" t="s">
        <v>4563</v>
      </c>
      <c r="AG5703" t="s">
        <v>4564</v>
      </c>
      <c r="AH5703" t="s">
        <v>1147</v>
      </c>
      <c r="AI5703" t="s">
        <v>28346</v>
      </c>
      <c r="AJ5703" t="s">
        <v>28347</v>
      </c>
      <c r="AK5703" t="s">
        <v>28348</v>
      </c>
      <c r="AL5703" s="13" t="s">
        <v>2255</v>
      </c>
      <c r="AM5703">
        <v>1</v>
      </c>
      <c r="AN5703" s="15" t="s">
        <v>383</v>
      </c>
    </row>
    <row r="5704" spans="1:40" x14ac:dyDescent="0.3">
      <c r="A5704" s="10" t="str">
        <f>HYPERLINK("http://www.washoecounty.gov/assessor/cama/?parid=200-281-04&amp;CardNumber=1","200-281-04")</f>
        <v>200-281-04</v>
      </c>
      <c r="B5704" t="s">
        <v>4655</v>
      </c>
      <c r="C5704" t="s">
        <v>28349</v>
      </c>
      <c r="D5704" s="1">
        <v>40332</v>
      </c>
      <c r="E5704" s="2">
        <v>244000</v>
      </c>
      <c r="F5704" t="s">
        <v>4567</v>
      </c>
      <c r="G5704" s="17" t="str">
        <f>HYPERLINK("https://www.washoecounty.gov/assessor/cama/?command=sales&amp;parid=20028104","3888236")</f>
        <v>3888236</v>
      </c>
      <c r="H5704" t="s">
        <v>28350</v>
      </c>
      <c r="I5704">
        <v>1993</v>
      </c>
      <c r="J5704">
        <v>1993</v>
      </c>
      <c r="K5704" t="s">
        <v>4554</v>
      </c>
      <c r="L5704" t="s">
        <v>4555</v>
      </c>
      <c r="M5704" s="2">
        <v>1826</v>
      </c>
      <c r="N5704" t="s">
        <v>5280</v>
      </c>
      <c r="O5704">
        <v>4</v>
      </c>
      <c r="P5704">
        <v>2</v>
      </c>
      <c r="Q5704">
        <v>0</v>
      </c>
      <c r="R5704" t="s">
        <v>5281</v>
      </c>
      <c r="S5704" t="s">
        <v>4558</v>
      </c>
      <c r="T5704" t="s">
        <v>4559</v>
      </c>
      <c r="U5704" t="s">
        <v>4560</v>
      </c>
      <c r="V5704" s="2">
        <v>586</v>
      </c>
      <c r="W5704" t="s">
        <v>4655</v>
      </c>
      <c r="X5704" s="2">
        <v>0</v>
      </c>
      <c r="Y5704">
        <v>20</v>
      </c>
      <c r="Z5704" t="s">
        <v>4561</v>
      </c>
      <c r="AA5704" s="3">
        <v>0.24100092053413399</v>
      </c>
      <c r="AB5704" t="s">
        <v>28351</v>
      </c>
      <c r="AC5704" t="s">
        <v>4575</v>
      </c>
      <c r="AD5704" t="s">
        <v>28352</v>
      </c>
      <c r="AE5704" t="s">
        <v>28353</v>
      </c>
      <c r="AF5704" t="s">
        <v>203</v>
      </c>
      <c r="AG5704" t="s">
        <v>762</v>
      </c>
      <c r="AH5704">
        <v>77025</v>
      </c>
      <c r="AI5704" t="s">
        <v>28354</v>
      </c>
      <c r="AJ5704" t="s">
        <v>28355</v>
      </c>
      <c r="AK5704" t="s">
        <v>28356</v>
      </c>
      <c r="AL5704" s="13" t="s">
        <v>2255</v>
      </c>
      <c r="AM5704">
        <v>1</v>
      </c>
      <c r="AN5704" s="15" t="s">
        <v>383</v>
      </c>
    </row>
    <row r="5705" spans="1:40" x14ac:dyDescent="0.3">
      <c r="A5705" s="10" t="str">
        <f>HYPERLINK("http://www.washoecounty.gov/assessor/cama/?parid=200-282-04&amp;CardNumber=1","200-282-04")</f>
        <v>200-282-04</v>
      </c>
      <c r="B5705" t="s">
        <v>4655</v>
      </c>
      <c r="C5705" s="20" t="s">
        <v>283</v>
      </c>
      <c r="D5705" s="1">
        <v>40248</v>
      </c>
      <c r="E5705" s="2">
        <v>250000</v>
      </c>
      <c r="F5705" t="s">
        <v>4553</v>
      </c>
      <c r="G5705" s="20" t="s">
        <v>282</v>
      </c>
      <c r="H5705" t="s">
        <v>4655</v>
      </c>
      <c r="I5705">
        <v>1992</v>
      </c>
      <c r="J5705">
        <v>1992</v>
      </c>
      <c r="K5705" t="s">
        <v>4554</v>
      </c>
      <c r="L5705" t="s">
        <v>3974</v>
      </c>
      <c r="M5705" s="2">
        <v>2717</v>
      </c>
      <c r="N5705" t="s">
        <v>5280</v>
      </c>
      <c r="O5705">
        <v>4</v>
      </c>
      <c r="P5705">
        <v>3</v>
      </c>
      <c r="Q5705">
        <v>0</v>
      </c>
      <c r="R5705" t="s">
        <v>5281</v>
      </c>
      <c r="S5705" t="s">
        <v>4558</v>
      </c>
      <c r="T5705" t="s">
        <v>4559</v>
      </c>
      <c r="U5705" t="s">
        <v>5631</v>
      </c>
      <c r="V5705" s="2">
        <v>587</v>
      </c>
      <c r="W5705" t="s">
        <v>4655</v>
      </c>
      <c r="X5705" s="2">
        <v>0</v>
      </c>
      <c r="Y5705">
        <v>20</v>
      </c>
      <c r="Z5705" t="s">
        <v>4561</v>
      </c>
      <c r="AA5705" s="3">
        <v>0.18000459671020499</v>
      </c>
      <c r="AB5705" s="20" t="s">
        <v>8865</v>
      </c>
      <c r="AD5705" t="s">
        <v>283</v>
      </c>
      <c r="AE5705" t="s">
        <v>283</v>
      </c>
      <c r="AF5705" t="s">
        <v>283</v>
      </c>
      <c r="AG5705" t="s">
        <v>4564</v>
      </c>
      <c r="AH5705" t="s">
        <v>3101</v>
      </c>
      <c r="AI5705" t="s">
        <v>8865</v>
      </c>
      <c r="AJ5705" t="s">
        <v>28357</v>
      </c>
      <c r="AK5705" t="s">
        <v>8865</v>
      </c>
      <c r="AL5705" s="13" t="s">
        <v>2255</v>
      </c>
      <c r="AM5705">
        <v>1</v>
      </c>
      <c r="AN5705" s="15" t="s">
        <v>383</v>
      </c>
    </row>
    <row r="5706" spans="1:40" x14ac:dyDescent="0.3">
      <c r="A5706" s="10" t="str">
        <f>HYPERLINK("http://www.washoecounty.gov/assessor/cama/?parid=200-292-07&amp;CardNumber=1","200-292-07")</f>
        <v>200-292-07</v>
      </c>
      <c r="B5706" t="s">
        <v>4655</v>
      </c>
      <c r="C5706" t="s">
        <v>28358</v>
      </c>
      <c r="D5706" s="1">
        <v>40443</v>
      </c>
      <c r="E5706" s="2">
        <v>294000</v>
      </c>
      <c r="F5706" t="s">
        <v>4567</v>
      </c>
      <c r="G5706" s="17" t="str">
        <f>HYPERLINK("https://www.washoecounty.gov/assessor/cama/?command=sales&amp;parid=20029207","3925032")</f>
        <v>3925032</v>
      </c>
      <c r="H5706" t="s">
        <v>5409</v>
      </c>
      <c r="I5706">
        <v>1993</v>
      </c>
      <c r="J5706">
        <v>1993</v>
      </c>
      <c r="K5706" t="s">
        <v>4554</v>
      </c>
      <c r="L5706" t="s">
        <v>3974</v>
      </c>
      <c r="M5706" s="2">
        <v>2725</v>
      </c>
      <c r="N5706" t="s">
        <v>5280</v>
      </c>
      <c r="O5706">
        <v>5</v>
      </c>
      <c r="P5706">
        <v>3</v>
      </c>
      <c r="Q5706">
        <v>0</v>
      </c>
      <c r="R5706" t="s">
        <v>4557</v>
      </c>
      <c r="S5706" t="s">
        <v>4558</v>
      </c>
      <c r="T5706" t="s">
        <v>4559</v>
      </c>
      <c r="U5706" t="s">
        <v>5631</v>
      </c>
      <c r="V5706" s="2">
        <v>589</v>
      </c>
      <c r="W5706" t="s">
        <v>4655</v>
      </c>
      <c r="X5706" s="2">
        <v>0</v>
      </c>
      <c r="Y5706">
        <v>20</v>
      </c>
      <c r="Z5706" t="s">
        <v>4561</v>
      </c>
      <c r="AA5706" s="3">
        <v>0.17398989200591999</v>
      </c>
      <c r="AB5706" t="s">
        <v>28359</v>
      </c>
      <c r="AC5706" t="s">
        <v>4562</v>
      </c>
      <c r="AD5706" t="s">
        <v>28358</v>
      </c>
      <c r="AE5706" t="s">
        <v>4655</v>
      </c>
      <c r="AF5706" t="s">
        <v>4563</v>
      </c>
      <c r="AG5706" t="s">
        <v>4564</v>
      </c>
      <c r="AH5706" t="s">
        <v>1147</v>
      </c>
      <c r="AI5706" t="s">
        <v>28360</v>
      </c>
      <c r="AJ5706" t="s">
        <v>28361</v>
      </c>
      <c r="AK5706" t="s">
        <v>28362</v>
      </c>
      <c r="AL5706" s="13" t="s">
        <v>2255</v>
      </c>
      <c r="AM5706" s="14">
        <v>1</v>
      </c>
      <c r="AN5706" s="15" t="s">
        <v>383</v>
      </c>
    </row>
    <row r="5707" spans="1:40" x14ac:dyDescent="0.3">
      <c r="A5707" s="10" t="str">
        <f>HYPERLINK("http://www.washoecounty.gov/assessor/cama/?parid=200-302-09&amp;CardNumber=1","200-302-09")</f>
        <v>200-302-09</v>
      </c>
      <c r="B5707" t="s">
        <v>4655</v>
      </c>
      <c r="C5707" t="s">
        <v>28363</v>
      </c>
      <c r="D5707" s="1">
        <v>40359</v>
      </c>
      <c r="E5707" s="2">
        <v>252000</v>
      </c>
      <c r="F5707" t="s">
        <v>4567</v>
      </c>
      <c r="G5707" s="17" t="str">
        <f>HYPERLINK("https://www.washoecounty.gov/assessor/cama/?command=sales&amp;parid=20030209","3897113")</f>
        <v>3897113</v>
      </c>
      <c r="H5707" t="s">
        <v>2472</v>
      </c>
      <c r="I5707">
        <v>1991</v>
      </c>
      <c r="J5707">
        <v>1991</v>
      </c>
      <c r="K5707" t="s">
        <v>4554</v>
      </c>
      <c r="L5707" t="s">
        <v>3974</v>
      </c>
      <c r="M5707" s="2">
        <v>2276</v>
      </c>
      <c r="N5707" t="s">
        <v>5280</v>
      </c>
      <c r="O5707">
        <v>4</v>
      </c>
      <c r="P5707">
        <v>3</v>
      </c>
      <c r="Q5707">
        <v>0</v>
      </c>
      <c r="R5707" t="s">
        <v>5281</v>
      </c>
      <c r="S5707" t="s">
        <v>4558</v>
      </c>
      <c r="T5707" t="s">
        <v>4559</v>
      </c>
      <c r="U5707" t="s">
        <v>4560</v>
      </c>
      <c r="V5707" s="2">
        <v>637</v>
      </c>
      <c r="W5707" t="s">
        <v>4655</v>
      </c>
      <c r="X5707" s="2">
        <v>0</v>
      </c>
      <c r="Y5707">
        <v>20</v>
      </c>
      <c r="Z5707" t="s">
        <v>4561</v>
      </c>
      <c r="AA5707" s="3">
        <v>0.36299356818199158</v>
      </c>
      <c r="AB5707" t="s">
        <v>28364</v>
      </c>
      <c r="AC5707" t="s">
        <v>4575</v>
      </c>
      <c r="AD5707" t="s">
        <v>28363</v>
      </c>
      <c r="AE5707" t="s">
        <v>4655</v>
      </c>
      <c r="AF5707" t="s">
        <v>4563</v>
      </c>
      <c r="AG5707" t="s">
        <v>4564</v>
      </c>
      <c r="AH5707" t="s">
        <v>1147</v>
      </c>
      <c r="AI5707" t="s">
        <v>28365</v>
      </c>
      <c r="AJ5707" t="s">
        <v>28366</v>
      </c>
      <c r="AK5707" t="s">
        <v>28367</v>
      </c>
      <c r="AL5707" s="13" t="s">
        <v>2255</v>
      </c>
      <c r="AM5707">
        <v>1</v>
      </c>
      <c r="AN5707" s="15" t="s">
        <v>383</v>
      </c>
    </row>
    <row r="5708" spans="1:40" x14ac:dyDescent="0.3">
      <c r="A5708" s="10" t="str">
        <f>HYPERLINK("http://www.washoecounty.gov/assessor/cama/?parid=200-311-05&amp;CardNumber=1","200-311-05")</f>
        <v>200-311-05</v>
      </c>
      <c r="B5708" t="s">
        <v>4655</v>
      </c>
      <c r="C5708" t="s">
        <v>28368</v>
      </c>
      <c r="D5708" s="1">
        <v>40372</v>
      </c>
      <c r="E5708" s="2">
        <v>177000</v>
      </c>
      <c r="F5708" t="s">
        <v>4553</v>
      </c>
      <c r="G5708" s="17" t="str">
        <f>HYPERLINK("https://www.washoecounty.gov/assessor/cama/?command=sales&amp;parid=20031105","3900869")</f>
        <v>3900869</v>
      </c>
      <c r="H5708" t="s">
        <v>2893</v>
      </c>
      <c r="I5708">
        <v>1988</v>
      </c>
      <c r="J5708">
        <v>1988</v>
      </c>
      <c r="K5708" t="s">
        <v>4554</v>
      </c>
      <c r="L5708" t="s">
        <v>3974</v>
      </c>
      <c r="M5708" s="2">
        <v>1464</v>
      </c>
      <c r="N5708" t="s">
        <v>5280</v>
      </c>
      <c r="O5708">
        <v>3</v>
      </c>
      <c r="P5708">
        <v>2</v>
      </c>
      <c r="Q5708">
        <v>0</v>
      </c>
      <c r="R5708" t="s">
        <v>4557</v>
      </c>
      <c r="S5708" t="s">
        <v>4558</v>
      </c>
      <c r="T5708" t="s">
        <v>4559</v>
      </c>
      <c r="U5708" t="s">
        <v>4560</v>
      </c>
      <c r="V5708" s="2">
        <v>477</v>
      </c>
      <c r="W5708" t="s">
        <v>4655</v>
      </c>
      <c r="X5708" s="2">
        <v>0</v>
      </c>
      <c r="Y5708">
        <v>20</v>
      </c>
      <c r="Z5708" t="s">
        <v>4561</v>
      </c>
      <c r="AA5708" s="3">
        <v>0.146992653608322</v>
      </c>
      <c r="AB5708" t="s">
        <v>28369</v>
      </c>
      <c r="AC5708" t="s">
        <v>4575</v>
      </c>
      <c r="AD5708" t="s">
        <v>28368</v>
      </c>
      <c r="AE5708" t="s">
        <v>4655</v>
      </c>
      <c r="AF5708" t="s">
        <v>4563</v>
      </c>
      <c r="AG5708" t="s">
        <v>4564</v>
      </c>
      <c r="AH5708" t="s">
        <v>1147</v>
      </c>
      <c r="AI5708" t="s">
        <v>796</v>
      </c>
      <c r="AJ5708" t="s">
        <v>28370</v>
      </c>
      <c r="AK5708" t="s">
        <v>28371</v>
      </c>
      <c r="AL5708" s="13" t="s">
        <v>2255</v>
      </c>
      <c r="AM5708">
        <v>1</v>
      </c>
      <c r="AN5708" s="15" t="s">
        <v>721</v>
      </c>
    </row>
    <row r="5709" spans="1:40" x14ac:dyDescent="0.3">
      <c r="A5709" s="10" t="str">
        <f>HYPERLINK("http://www.washoecounty.gov/assessor/cama/?parid=200-311-10&amp;CardNumber=1","200-311-10")</f>
        <v>200-311-10</v>
      </c>
      <c r="B5709" t="s">
        <v>4655</v>
      </c>
      <c r="C5709" t="s">
        <v>28372</v>
      </c>
      <c r="D5709" s="1">
        <v>40296</v>
      </c>
      <c r="E5709" s="2">
        <v>163000</v>
      </c>
      <c r="F5709" t="s">
        <v>4553</v>
      </c>
      <c r="G5709" s="17" t="str">
        <f>HYPERLINK("https://www.washoecounty.gov/assessor/cama/?command=sales&amp;parid=20031110","3875645")</f>
        <v>3875645</v>
      </c>
      <c r="H5709" t="s">
        <v>2893</v>
      </c>
      <c r="I5709">
        <v>1988</v>
      </c>
      <c r="J5709">
        <v>1988</v>
      </c>
      <c r="K5709" t="s">
        <v>4554</v>
      </c>
      <c r="L5709" t="s">
        <v>4555</v>
      </c>
      <c r="M5709" s="2">
        <v>1270</v>
      </c>
      <c r="N5709" t="s">
        <v>5280</v>
      </c>
      <c r="O5709">
        <v>3</v>
      </c>
      <c r="P5709">
        <v>2</v>
      </c>
      <c r="Q5709">
        <v>0</v>
      </c>
      <c r="R5709" t="s">
        <v>5281</v>
      </c>
      <c r="S5709" t="s">
        <v>4558</v>
      </c>
      <c r="T5709" t="s">
        <v>4559</v>
      </c>
      <c r="U5709" t="s">
        <v>4560</v>
      </c>
      <c r="V5709" s="2">
        <v>441</v>
      </c>
      <c r="W5709" t="s">
        <v>4655</v>
      </c>
      <c r="X5709" s="2">
        <v>0</v>
      </c>
      <c r="Y5709">
        <v>20</v>
      </c>
      <c r="Z5709" t="s">
        <v>4561</v>
      </c>
      <c r="AA5709" s="3">
        <v>0.12699724733829501</v>
      </c>
      <c r="AB5709" t="s">
        <v>28373</v>
      </c>
      <c r="AC5709" t="s">
        <v>4575</v>
      </c>
      <c r="AD5709" t="s">
        <v>28372</v>
      </c>
      <c r="AE5709" t="s">
        <v>4655</v>
      </c>
      <c r="AF5709" t="s">
        <v>4563</v>
      </c>
      <c r="AG5709" t="s">
        <v>4564</v>
      </c>
      <c r="AH5709" t="s">
        <v>1147</v>
      </c>
      <c r="AI5709" t="s">
        <v>4903</v>
      </c>
      <c r="AJ5709" t="s">
        <v>28374</v>
      </c>
      <c r="AK5709" t="s">
        <v>28375</v>
      </c>
      <c r="AL5709" s="13" t="s">
        <v>2255</v>
      </c>
      <c r="AM5709">
        <v>1</v>
      </c>
      <c r="AN5709" s="15" t="s">
        <v>721</v>
      </c>
    </row>
    <row r="5710" spans="1:40" x14ac:dyDescent="0.3">
      <c r="A5710" s="10" t="str">
        <f>HYPERLINK("http://www.washoecounty.gov/assessor/cama/?parid=200-312-07&amp;CardNumber=1","200-312-07")</f>
        <v>200-312-07</v>
      </c>
      <c r="B5710" t="s">
        <v>4655</v>
      </c>
      <c r="C5710" t="s">
        <v>28376</v>
      </c>
      <c r="D5710" s="1">
        <v>40374</v>
      </c>
      <c r="E5710" s="2">
        <v>172900</v>
      </c>
      <c r="F5710" t="s">
        <v>4553</v>
      </c>
      <c r="G5710" s="17" t="str">
        <f>HYPERLINK("https://www.washoecounty.gov/assessor/cama/?command=sales&amp;parid=20031207","3901750")</f>
        <v>3901750</v>
      </c>
      <c r="H5710" t="s">
        <v>2893</v>
      </c>
      <c r="I5710">
        <v>1988</v>
      </c>
      <c r="J5710">
        <v>1988</v>
      </c>
      <c r="K5710" t="s">
        <v>4554</v>
      </c>
      <c r="L5710" t="s">
        <v>3974</v>
      </c>
      <c r="M5710" s="2">
        <v>1564</v>
      </c>
      <c r="N5710" t="s">
        <v>5280</v>
      </c>
      <c r="O5710">
        <v>4</v>
      </c>
      <c r="P5710">
        <v>3</v>
      </c>
      <c r="Q5710">
        <v>0</v>
      </c>
      <c r="R5710" t="s">
        <v>4557</v>
      </c>
      <c r="S5710" t="s">
        <v>4558</v>
      </c>
      <c r="T5710" t="s">
        <v>4559</v>
      </c>
      <c r="U5710" t="s">
        <v>4560</v>
      </c>
      <c r="V5710" s="2">
        <v>456</v>
      </c>
      <c r="W5710" t="s">
        <v>4655</v>
      </c>
      <c r="X5710" s="2">
        <v>0</v>
      </c>
      <c r="Y5710">
        <v>20</v>
      </c>
      <c r="Z5710" t="s">
        <v>4561</v>
      </c>
      <c r="AA5710" s="3">
        <v>0.16600091755390201</v>
      </c>
      <c r="AB5710" t="s">
        <v>1131</v>
      </c>
      <c r="AC5710" t="s">
        <v>4562</v>
      </c>
      <c r="AD5710" t="s">
        <v>14</v>
      </c>
      <c r="AE5710" t="s">
        <v>4655</v>
      </c>
      <c r="AF5710" t="s">
        <v>4563</v>
      </c>
      <c r="AG5710" t="s">
        <v>4564</v>
      </c>
      <c r="AH5710">
        <v>89511</v>
      </c>
      <c r="AI5710" t="s">
        <v>28377</v>
      </c>
      <c r="AJ5710" t="s">
        <v>28378</v>
      </c>
      <c r="AK5710" t="s">
        <v>28379</v>
      </c>
      <c r="AL5710" s="13" t="s">
        <v>2255</v>
      </c>
      <c r="AM5710" s="14">
        <v>1</v>
      </c>
      <c r="AN5710" s="15" t="s">
        <v>721</v>
      </c>
    </row>
    <row r="5711" spans="1:40" x14ac:dyDescent="0.3">
      <c r="A5711" s="10" t="str">
        <f>HYPERLINK("http://www.washoecounty.gov/assessor/cama/?parid=200-322-01&amp;CardNumber=1","200-322-01")</f>
        <v>200-322-01</v>
      </c>
      <c r="B5711" t="s">
        <v>4655</v>
      </c>
      <c r="C5711" t="s">
        <v>28380</v>
      </c>
      <c r="D5711" s="1">
        <v>40253</v>
      </c>
      <c r="E5711" s="2">
        <v>193000</v>
      </c>
      <c r="F5711" t="s">
        <v>4567</v>
      </c>
      <c r="G5711" s="17" t="str">
        <f>HYPERLINK("https://www.washoecounty.gov/assessor/cama/?command=sales&amp;parid=20032201","3860452")</f>
        <v>3860452</v>
      </c>
      <c r="H5711" t="s">
        <v>28322</v>
      </c>
      <c r="I5711">
        <v>1986</v>
      </c>
      <c r="J5711">
        <v>1986</v>
      </c>
      <c r="K5711" t="s">
        <v>4554</v>
      </c>
      <c r="L5711" t="s">
        <v>4555</v>
      </c>
      <c r="M5711" s="2">
        <v>1692</v>
      </c>
      <c r="N5711" t="s">
        <v>5280</v>
      </c>
      <c r="O5711">
        <v>3</v>
      </c>
      <c r="P5711">
        <v>2</v>
      </c>
      <c r="Q5711">
        <v>0</v>
      </c>
      <c r="R5711" t="s">
        <v>5281</v>
      </c>
      <c r="S5711" t="s">
        <v>4558</v>
      </c>
      <c r="T5711" t="s">
        <v>4559</v>
      </c>
      <c r="U5711" t="s">
        <v>4560</v>
      </c>
      <c r="V5711" s="2">
        <v>446</v>
      </c>
      <c r="W5711" t="s">
        <v>4655</v>
      </c>
      <c r="X5711" s="2">
        <v>0</v>
      </c>
      <c r="Y5711">
        <v>20</v>
      </c>
      <c r="Z5711" t="s">
        <v>4561</v>
      </c>
      <c r="AA5711" s="3">
        <v>0.192011013627052</v>
      </c>
      <c r="AB5711" t="s">
        <v>28381</v>
      </c>
      <c r="AC5711" t="s">
        <v>4562</v>
      </c>
      <c r="AD5711" t="s">
        <v>28382</v>
      </c>
      <c r="AE5711" t="s">
        <v>4655</v>
      </c>
      <c r="AF5711" t="s">
        <v>1189</v>
      </c>
      <c r="AG5711" t="s">
        <v>4564</v>
      </c>
      <c r="AH5711">
        <v>89129</v>
      </c>
      <c r="AI5711" t="s">
        <v>28383</v>
      </c>
      <c r="AJ5711" t="s">
        <v>28384</v>
      </c>
      <c r="AK5711" t="s">
        <v>28385</v>
      </c>
      <c r="AL5711" s="13" t="s">
        <v>2255</v>
      </c>
      <c r="AM5711" s="14">
        <v>1</v>
      </c>
      <c r="AN5711" s="15" t="s">
        <v>383</v>
      </c>
    </row>
    <row r="5712" spans="1:40" x14ac:dyDescent="0.3">
      <c r="A5712" s="10" t="str">
        <f>HYPERLINK("http://www.washoecounty.gov/assessor/cama/?parid=200-333-10&amp;CardNumber=1","200-333-10")</f>
        <v>200-333-10</v>
      </c>
      <c r="B5712" t="s">
        <v>4655</v>
      </c>
      <c r="C5712" t="s">
        <v>28386</v>
      </c>
      <c r="D5712" s="1">
        <v>40437</v>
      </c>
      <c r="E5712" s="2">
        <v>224000</v>
      </c>
      <c r="F5712" t="s">
        <v>4553</v>
      </c>
      <c r="G5712" s="17" t="str">
        <f>HYPERLINK("https://www.washoecounty.gov/assessor/cama/?command=sales&amp;parid=20033310","3923038")</f>
        <v>3923038</v>
      </c>
      <c r="H5712" t="s">
        <v>2393</v>
      </c>
      <c r="I5712">
        <v>1994</v>
      </c>
      <c r="J5712">
        <v>1994</v>
      </c>
      <c r="K5712" t="s">
        <v>4554</v>
      </c>
      <c r="L5712" t="s">
        <v>4555</v>
      </c>
      <c r="M5712" s="2">
        <v>1826</v>
      </c>
      <c r="N5712" t="s">
        <v>5280</v>
      </c>
      <c r="O5712">
        <v>4</v>
      </c>
      <c r="P5712">
        <v>2</v>
      </c>
      <c r="Q5712">
        <v>0</v>
      </c>
      <c r="R5712" t="s">
        <v>5281</v>
      </c>
      <c r="S5712" t="s">
        <v>4558</v>
      </c>
      <c r="T5712" t="s">
        <v>4559</v>
      </c>
      <c r="U5712" t="s">
        <v>4560</v>
      </c>
      <c r="V5712" s="2">
        <v>586</v>
      </c>
      <c r="W5712" t="s">
        <v>4655</v>
      </c>
      <c r="X5712" s="2">
        <v>0</v>
      </c>
      <c r="Y5712">
        <v>20</v>
      </c>
      <c r="Z5712" t="s">
        <v>4561</v>
      </c>
      <c r="AA5712" s="3">
        <v>0.22499999403953599</v>
      </c>
      <c r="AB5712" t="s">
        <v>28387</v>
      </c>
      <c r="AC5712" t="s">
        <v>4575</v>
      </c>
      <c r="AD5712" t="s">
        <v>28388</v>
      </c>
      <c r="AE5712" t="s">
        <v>4655</v>
      </c>
      <c r="AF5712" t="s">
        <v>4563</v>
      </c>
      <c r="AG5712" t="s">
        <v>4564</v>
      </c>
      <c r="AH5712" t="s">
        <v>1147</v>
      </c>
      <c r="AI5712" t="s">
        <v>4903</v>
      </c>
      <c r="AJ5712" t="s">
        <v>28389</v>
      </c>
      <c r="AK5712" t="s">
        <v>28390</v>
      </c>
      <c r="AL5712" s="13" t="s">
        <v>2255</v>
      </c>
      <c r="AM5712" s="14">
        <v>1</v>
      </c>
      <c r="AN5712" s="15" t="s">
        <v>383</v>
      </c>
    </row>
    <row r="5713" spans="1:40" x14ac:dyDescent="0.3">
      <c r="A5713" s="10" t="str">
        <f>HYPERLINK("http://www.washoecounty.gov/assessor/cama/?parid=200-340-13&amp;CardNumber=1","200-340-13")</f>
        <v>200-340-13</v>
      </c>
      <c r="B5713" t="s">
        <v>4655</v>
      </c>
      <c r="C5713" t="s">
        <v>28391</v>
      </c>
      <c r="D5713" s="1">
        <v>40266</v>
      </c>
      <c r="E5713" s="2">
        <v>150000</v>
      </c>
      <c r="F5713" t="s">
        <v>4553</v>
      </c>
      <c r="G5713" s="17" t="str">
        <f>HYPERLINK("https://www.washoecounty.gov/assessor/cama/?command=sales&amp;parid=20034013","3865140")</f>
        <v>3865140</v>
      </c>
      <c r="H5713" t="s">
        <v>983</v>
      </c>
      <c r="I5713">
        <v>1994</v>
      </c>
      <c r="J5713">
        <v>1994</v>
      </c>
      <c r="K5713" t="s">
        <v>4897</v>
      </c>
      <c r="L5713" t="s">
        <v>3974</v>
      </c>
      <c r="M5713" s="2">
        <v>1515</v>
      </c>
      <c r="N5713" t="s">
        <v>4048</v>
      </c>
      <c r="O5713">
        <v>4</v>
      </c>
      <c r="P5713">
        <v>2</v>
      </c>
      <c r="Q5713">
        <v>1</v>
      </c>
      <c r="R5713" t="s">
        <v>5281</v>
      </c>
      <c r="S5713" t="s">
        <v>4558</v>
      </c>
      <c r="T5713" t="s">
        <v>4559</v>
      </c>
      <c r="U5713" t="s">
        <v>5631</v>
      </c>
      <c r="V5713" s="2">
        <v>441</v>
      </c>
      <c r="W5713" t="s">
        <v>4655</v>
      </c>
      <c r="X5713" s="2">
        <v>0</v>
      </c>
      <c r="Y5713">
        <v>21</v>
      </c>
      <c r="Z5713" t="s">
        <v>4144</v>
      </c>
      <c r="AA5713" s="3">
        <v>1.00100003182888E-2</v>
      </c>
      <c r="AB5713" t="s">
        <v>28392</v>
      </c>
      <c r="AC5713" t="s">
        <v>4562</v>
      </c>
      <c r="AD5713" t="s">
        <v>28393</v>
      </c>
      <c r="AE5713" t="s">
        <v>4655</v>
      </c>
      <c r="AF5713" t="s">
        <v>4563</v>
      </c>
      <c r="AG5713" t="s">
        <v>4564</v>
      </c>
      <c r="AH5713" t="s">
        <v>1147</v>
      </c>
      <c r="AI5713" t="s">
        <v>4565</v>
      </c>
      <c r="AJ5713" t="s">
        <v>28394</v>
      </c>
      <c r="AK5713" t="s">
        <v>28395</v>
      </c>
      <c r="AL5713" s="13" t="s">
        <v>2255</v>
      </c>
      <c r="AM5713">
        <v>1</v>
      </c>
      <c r="AN5713" s="15" t="s">
        <v>984</v>
      </c>
    </row>
    <row r="5714" spans="1:40" x14ac:dyDescent="0.3">
      <c r="A5714" s="10" t="str">
        <f>HYPERLINK("http://www.washoecounty.gov/assessor/cama/?parid=200-350-38&amp;CardNumber=1","200-350-38")</f>
        <v>200-350-38</v>
      </c>
      <c r="B5714" t="s">
        <v>4655</v>
      </c>
      <c r="C5714" t="s">
        <v>28396</v>
      </c>
      <c r="D5714" s="1">
        <v>40308</v>
      </c>
      <c r="E5714" s="2">
        <v>131000</v>
      </c>
      <c r="F5714" t="s">
        <v>4567</v>
      </c>
      <c r="G5714" s="17" t="str">
        <f>HYPERLINK("https://www.washoecounty.gov/assessor/cama/?command=sales&amp;parid=20035038","3879857")</f>
        <v>3879857</v>
      </c>
      <c r="H5714" t="s">
        <v>3896</v>
      </c>
      <c r="I5714">
        <v>1985</v>
      </c>
      <c r="J5714">
        <v>1985</v>
      </c>
      <c r="K5714" t="s">
        <v>3144</v>
      </c>
      <c r="L5714" t="s">
        <v>4555</v>
      </c>
      <c r="M5714" s="2">
        <v>1048</v>
      </c>
      <c r="N5714" t="s">
        <v>4048</v>
      </c>
      <c r="O5714">
        <v>3</v>
      </c>
      <c r="P5714">
        <v>2</v>
      </c>
      <c r="Q5714">
        <v>0</v>
      </c>
      <c r="R5714" t="s">
        <v>4557</v>
      </c>
      <c r="S5714" t="s">
        <v>4558</v>
      </c>
      <c r="T5714" t="s">
        <v>4559</v>
      </c>
      <c r="U5714" t="s">
        <v>4560</v>
      </c>
      <c r="V5714" s="2">
        <v>423</v>
      </c>
      <c r="W5714" t="s">
        <v>4655</v>
      </c>
      <c r="X5714" s="2">
        <v>0</v>
      </c>
      <c r="Y5714">
        <v>21</v>
      </c>
      <c r="Z5714" t="s">
        <v>4144</v>
      </c>
      <c r="AA5714" s="3">
        <v>1.00000004749745E-3</v>
      </c>
      <c r="AB5714" t="s">
        <v>28397</v>
      </c>
      <c r="AC5714" t="s">
        <v>4562</v>
      </c>
      <c r="AD5714" t="s">
        <v>28396</v>
      </c>
      <c r="AE5714" t="s">
        <v>4655</v>
      </c>
      <c r="AF5714" t="s">
        <v>4563</v>
      </c>
      <c r="AG5714" t="s">
        <v>4564</v>
      </c>
      <c r="AH5714" t="s">
        <v>1147</v>
      </c>
      <c r="AI5714" t="s">
        <v>28398</v>
      </c>
      <c r="AJ5714" t="s">
        <v>28399</v>
      </c>
      <c r="AK5714" t="s">
        <v>28400</v>
      </c>
      <c r="AL5714" s="13" t="s">
        <v>2255</v>
      </c>
      <c r="AM5714" s="14">
        <v>1</v>
      </c>
      <c r="AN5714" s="15" t="s">
        <v>984</v>
      </c>
    </row>
    <row r="5715" spans="1:40" x14ac:dyDescent="0.3">
      <c r="A5715" s="10" t="str">
        <f>HYPERLINK("http://www.washoecounty.gov/assessor/cama/?parid=200-371-03&amp;CardNumber=1","200-371-03")</f>
        <v>200-371-03</v>
      </c>
      <c r="B5715" t="s">
        <v>4655</v>
      </c>
      <c r="C5715" t="s">
        <v>28401</v>
      </c>
      <c r="D5715" s="1">
        <v>40385</v>
      </c>
      <c r="E5715" s="2">
        <v>215000</v>
      </c>
      <c r="F5715" t="s">
        <v>4567</v>
      </c>
      <c r="G5715" s="17" t="str">
        <f>HYPERLINK("https://www.washoecounty.gov/assessor/cama/?command=sales&amp;parid=20037103","3904961")</f>
        <v>3904961</v>
      </c>
      <c r="H5715" t="s">
        <v>28402</v>
      </c>
      <c r="I5715">
        <v>1998</v>
      </c>
      <c r="J5715">
        <v>1998</v>
      </c>
      <c r="K5715" t="s">
        <v>4554</v>
      </c>
      <c r="L5715" t="s">
        <v>4555</v>
      </c>
      <c r="M5715" s="2">
        <v>1692</v>
      </c>
      <c r="N5715" t="s">
        <v>5280</v>
      </c>
      <c r="O5715">
        <v>3</v>
      </c>
      <c r="P5715">
        <v>2</v>
      </c>
      <c r="Q5715">
        <v>0</v>
      </c>
      <c r="R5715" t="s">
        <v>4557</v>
      </c>
      <c r="S5715" t="s">
        <v>4558</v>
      </c>
      <c r="T5715" t="s">
        <v>4559</v>
      </c>
      <c r="U5715" t="s">
        <v>4560</v>
      </c>
      <c r="V5715" s="2">
        <v>618</v>
      </c>
      <c r="W5715" t="s">
        <v>4655</v>
      </c>
      <c r="X5715" s="2">
        <v>0</v>
      </c>
      <c r="Y5715">
        <v>20</v>
      </c>
      <c r="Z5715" t="s">
        <v>4144</v>
      </c>
      <c r="AA5715" s="3">
        <v>0.17499999701976801</v>
      </c>
      <c r="AB5715" t="s">
        <v>28403</v>
      </c>
      <c r="AC5715" t="s">
        <v>4562</v>
      </c>
      <c r="AD5715" t="s">
        <v>28404</v>
      </c>
      <c r="AE5715" t="s">
        <v>4655</v>
      </c>
      <c r="AF5715" t="s">
        <v>4563</v>
      </c>
      <c r="AG5715" t="s">
        <v>4564</v>
      </c>
      <c r="AH5715" t="s">
        <v>1147</v>
      </c>
      <c r="AI5715" t="s">
        <v>28405</v>
      </c>
      <c r="AJ5715" t="s">
        <v>28406</v>
      </c>
      <c r="AK5715" t="s">
        <v>28407</v>
      </c>
      <c r="AL5715" s="13" t="s">
        <v>2255</v>
      </c>
      <c r="AM5715">
        <v>1</v>
      </c>
      <c r="AN5715" s="15" t="s">
        <v>383</v>
      </c>
    </row>
    <row r="5716" spans="1:40" x14ac:dyDescent="0.3">
      <c r="A5716" s="10" t="str">
        <f>HYPERLINK("http://www.washoecounty.gov/assessor/cama/?parid=200-391-02&amp;CardNumber=1","200-391-02")</f>
        <v>200-391-02</v>
      </c>
      <c r="B5716" t="s">
        <v>4655</v>
      </c>
      <c r="C5716" t="s">
        <v>28408</v>
      </c>
      <c r="D5716" s="1">
        <v>40501</v>
      </c>
      <c r="E5716" s="2">
        <v>119000</v>
      </c>
      <c r="F5716" t="s">
        <v>4553</v>
      </c>
      <c r="G5716" s="17" t="str">
        <f>HYPERLINK("https://www.washoecounty.gov/assessor/cama/?command=sales&amp;parid=20039102","3944943")</f>
        <v>3944943</v>
      </c>
      <c r="H5716" t="s">
        <v>4248</v>
      </c>
      <c r="I5716">
        <v>1987</v>
      </c>
      <c r="J5716">
        <v>1987</v>
      </c>
      <c r="K5716" t="s">
        <v>4554</v>
      </c>
      <c r="L5716" t="s">
        <v>4555</v>
      </c>
      <c r="M5716" s="2">
        <v>900</v>
      </c>
      <c r="N5716" t="s">
        <v>5280</v>
      </c>
      <c r="O5716">
        <v>2</v>
      </c>
      <c r="P5716">
        <v>1</v>
      </c>
      <c r="Q5716">
        <v>0</v>
      </c>
      <c r="R5716" t="s">
        <v>4557</v>
      </c>
      <c r="S5716" t="s">
        <v>4558</v>
      </c>
      <c r="T5716" t="s">
        <v>4559</v>
      </c>
      <c r="U5716" t="s">
        <v>4560</v>
      </c>
      <c r="V5716" s="2">
        <v>455</v>
      </c>
      <c r="W5716" t="s">
        <v>4655</v>
      </c>
      <c r="X5716" s="2">
        <v>0</v>
      </c>
      <c r="Y5716">
        <v>20</v>
      </c>
      <c r="Z5716" t="s">
        <v>4561</v>
      </c>
      <c r="AA5716" s="3">
        <v>0.14201101660728499</v>
      </c>
      <c r="AB5716" t="s">
        <v>1856</v>
      </c>
      <c r="AC5716" t="s">
        <v>4562</v>
      </c>
      <c r="AD5716" t="s">
        <v>1857</v>
      </c>
      <c r="AE5716" t="s">
        <v>4655</v>
      </c>
      <c r="AF5716" t="s">
        <v>3890</v>
      </c>
      <c r="AG5716" t="s">
        <v>4564</v>
      </c>
      <c r="AH5716" t="s">
        <v>3891</v>
      </c>
      <c r="AI5716" t="s">
        <v>4903</v>
      </c>
      <c r="AJ5716" t="s">
        <v>28409</v>
      </c>
      <c r="AK5716" t="s">
        <v>28410</v>
      </c>
      <c r="AL5716" s="13" t="s">
        <v>2255</v>
      </c>
      <c r="AM5716">
        <v>1</v>
      </c>
      <c r="AN5716" s="15" t="s">
        <v>721</v>
      </c>
    </row>
    <row r="5717" spans="1:40" x14ac:dyDescent="0.3">
      <c r="A5717" s="10" t="str">
        <f>HYPERLINK("http://www.washoecounty.gov/assessor/cama/?parid=200-394-03&amp;CardNumber=1","200-394-03")</f>
        <v>200-394-03</v>
      </c>
      <c r="B5717" t="s">
        <v>4655</v>
      </c>
      <c r="C5717" t="s">
        <v>28411</v>
      </c>
      <c r="D5717" s="1">
        <v>40494</v>
      </c>
      <c r="E5717" s="2">
        <v>124500</v>
      </c>
      <c r="F5717" t="s">
        <v>4553</v>
      </c>
      <c r="G5717" s="17" t="str">
        <f>HYPERLINK("https://www.washoecounty.gov/assessor/cama/?command=sales&amp;parid=20039403","3942593")</f>
        <v>3942593</v>
      </c>
      <c r="H5717" t="s">
        <v>4248</v>
      </c>
      <c r="I5717">
        <v>1987</v>
      </c>
      <c r="J5717">
        <v>1987</v>
      </c>
      <c r="K5717" t="s">
        <v>4554</v>
      </c>
      <c r="L5717" t="s">
        <v>4555</v>
      </c>
      <c r="M5717" s="2">
        <v>1141</v>
      </c>
      <c r="N5717" t="s">
        <v>5280</v>
      </c>
      <c r="O5717">
        <v>3</v>
      </c>
      <c r="P5717">
        <v>2</v>
      </c>
      <c r="Q5717">
        <v>0</v>
      </c>
      <c r="R5717" t="s">
        <v>4557</v>
      </c>
      <c r="S5717" t="s">
        <v>4558</v>
      </c>
      <c r="T5717" t="s">
        <v>4559</v>
      </c>
      <c r="U5717" t="s">
        <v>4560</v>
      </c>
      <c r="V5717" s="2">
        <v>436</v>
      </c>
      <c r="W5717" t="s">
        <v>4655</v>
      </c>
      <c r="X5717" s="2">
        <v>0</v>
      </c>
      <c r="Y5717">
        <v>20</v>
      </c>
      <c r="Z5717" t="s">
        <v>4561</v>
      </c>
      <c r="AA5717" s="3">
        <v>0.11000918596983</v>
      </c>
      <c r="AB5717" t="s">
        <v>28412</v>
      </c>
      <c r="AC5717" t="s">
        <v>4562</v>
      </c>
      <c r="AD5717" t="s">
        <v>28413</v>
      </c>
      <c r="AE5717" t="s">
        <v>4655</v>
      </c>
      <c r="AF5717" t="s">
        <v>4563</v>
      </c>
      <c r="AG5717" t="s">
        <v>4564</v>
      </c>
      <c r="AH5717" t="s">
        <v>1147</v>
      </c>
      <c r="AI5717" t="s">
        <v>4045</v>
      </c>
      <c r="AJ5717" t="s">
        <v>28414</v>
      </c>
      <c r="AK5717" t="s">
        <v>28415</v>
      </c>
      <c r="AL5717" s="13" t="s">
        <v>2255</v>
      </c>
      <c r="AM5717" s="14">
        <v>1</v>
      </c>
      <c r="AN5717" s="15" t="s">
        <v>721</v>
      </c>
    </row>
    <row r="5718" spans="1:40" x14ac:dyDescent="0.3">
      <c r="A5718" s="10" t="str">
        <f>HYPERLINK("http://www.washoecounty.gov/assessor/cama/?parid=200-401-11&amp;CardNumber=1","200-401-11")</f>
        <v>200-401-11</v>
      </c>
      <c r="B5718" t="s">
        <v>4655</v>
      </c>
      <c r="C5718" t="s">
        <v>28416</v>
      </c>
      <c r="D5718" s="1">
        <v>40542</v>
      </c>
      <c r="E5718" s="2">
        <v>171900</v>
      </c>
      <c r="F5718" t="s">
        <v>4553</v>
      </c>
      <c r="G5718" s="17" t="str">
        <f>HYPERLINK("https://www.washoecounty.gov/assessor/cama/?command=sales&amp;parid=20040111","3959160")</f>
        <v>3959160</v>
      </c>
      <c r="H5718" t="s">
        <v>28417</v>
      </c>
      <c r="I5718">
        <v>1993</v>
      </c>
      <c r="J5718">
        <v>1993</v>
      </c>
      <c r="K5718" t="s">
        <v>4554</v>
      </c>
      <c r="L5718" t="s">
        <v>4555</v>
      </c>
      <c r="M5718" s="2">
        <v>1530</v>
      </c>
      <c r="N5718" t="s">
        <v>5280</v>
      </c>
      <c r="O5718">
        <v>3</v>
      </c>
      <c r="P5718">
        <v>2</v>
      </c>
      <c r="Q5718">
        <v>0</v>
      </c>
      <c r="R5718" t="s">
        <v>5281</v>
      </c>
      <c r="S5718" t="s">
        <v>4558</v>
      </c>
      <c r="T5718" t="s">
        <v>4559</v>
      </c>
      <c r="U5718" t="s">
        <v>4560</v>
      </c>
      <c r="V5718" s="2">
        <v>418</v>
      </c>
      <c r="W5718" t="s">
        <v>4655</v>
      </c>
      <c r="X5718" s="2">
        <v>0</v>
      </c>
      <c r="Y5718">
        <v>20</v>
      </c>
      <c r="Z5718" t="s">
        <v>4561</v>
      </c>
      <c r="AA5718" s="3">
        <v>0.18399907648563399</v>
      </c>
      <c r="AB5718" t="s">
        <v>28418</v>
      </c>
      <c r="AC5718" t="s">
        <v>4562</v>
      </c>
      <c r="AD5718" t="s">
        <v>28419</v>
      </c>
      <c r="AE5718" t="s">
        <v>4655</v>
      </c>
      <c r="AF5718" t="s">
        <v>5546</v>
      </c>
      <c r="AG5718" t="s">
        <v>4584</v>
      </c>
      <c r="AH5718">
        <v>95603</v>
      </c>
      <c r="AI5718" t="s">
        <v>4655</v>
      </c>
      <c r="AJ5718" t="s">
        <v>28420</v>
      </c>
      <c r="AK5718" t="s">
        <v>28421</v>
      </c>
      <c r="AL5718" s="13" t="s">
        <v>2255</v>
      </c>
      <c r="AM5718">
        <v>1</v>
      </c>
      <c r="AN5718" s="15" t="s">
        <v>721</v>
      </c>
    </row>
    <row r="5719" spans="1:40" x14ac:dyDescent="0.3">
      <c r="A5719" s="10" t="str">
        <f>HYPERLINK("http://www.washoecounty.gov/assessor/cama/?parid=200-401-12&amp;CardNumber=1","200-401-12")</f>
        <v>200-401-12</v>
      </c>
      <c r="B5719" t="s">
        <v>4655</v>
      </c>
      <c r="C5719" t="s">
        <v>28422</v>
      </c>
      <c r="D5719" s="1">
        <v>40221</v>
      </c>
      <c r="E5719" s="2">
        <v>135000</v>
      </c>
      <c r="F5719" t="s">
        <v>4567</v>
      </c>
      <c r="G5719" s="17" t="str">
        <f>HYPERLINK("https://www.washoecounty.gov/assessor/cama/?command=sales&amp;parid=20040112","3849066")</f>
        <v>3849066</v>
      </c>
      <c r="H5719" t="s">
        <v>28417</v>
      </c>
      <c r="I5719">
        <v>1993</v>
      </c>
      <c r="J5719">
        <v>1993</v>
      </c>
      <c r="K5719" t="s">
        <v>4554</v>
      </c>
      <c r="L5719" t="s">
        <v>4555</v>
      </c>
      <c r="M5719" s="2">
        <v>1141</v>
      </c>
      <c r="N5719" t="s">
        <v>5280</v>
      </c>
      <c r="O5719">
        <v>3</v>
      </c>
      <c r="P5719">
        <v>2</v>
      </c>
      <c r="Q5719">
        <v>0</v>
      </c>
      <c r="R5719" t="s">
        <v>4557</v>
      </c>
      <c r="S5719" t="s">
        <v>4558</v>
      </c>
      <c r="T5719" t="s">
        <v>4559</v>
      </c>
      <c r="U5719" t="s">
        <v>4560</v>
      </c>
      <c r="V5719" s="2">
        <v>436</v>
      </c>
      <c r="W5719" t="s">
        <v>4655</v>
      </c>
      <c r="X5719" s="2">
        <v>0</v>
      </c>
      <c r="Y5719">
        <v>20</v>
      </c>
      <c r="Z5719" t="s">
        <v>4561</v>
      </c>
      <c r="AA5719" s="3">
        <v>0.21299357712268799</v>
      </c>
      <c r="AB5719" t="s">
        <v>28423</v>
      </c>
      <c r="AC5719" t="s">
        <v>4562</v>
      </c>
      <c r="AD5719" t="s">
        <v>28422</v>
      </c>
      <c r="AE5719" t="s">
        <v>4655</v>
      </c>
      <c r="AF5719" t="s">
        <v>4563</v>
      </c>
      <c r="AG5719" t="s">
        <v>4564</v>
      </c>
      <c r="AH5719" t="s">
        <v>1147</v>
      </c>
      <c r="AI5719" t="s">
        <v>28424</v>
      </c>
      <c r="AJ5719" t="s">
        <v>28425</v>
      </c>
      <c r="AK5719" t="s">
        <v>28426</v>
      </c>
      <c r="AL5719" s="13" t="s">
        <v>2255</v>
      </c>
      <c r="AM5719">
        <v>1</v>
      </c>
      <c r="AN5719" s="15" t="s">
        <v>721</v>
      </c>
    </row>
    <row r="5720" spans="1:40" x14ac:dyDescent="0.3">
      <c r="A5720" s="10" t="str">
        <f>HYPERLINK("http://www.washoecounty.gov/assessor/cama/?parid=200-402-09&amp;CardNumber=1","200-402-09")</f>
        <v>200-402-09</v>
      </c>
      <c r="B5720" t="s">
        <v>4655</v>
      </c>
      <c r="C5720" t="s">
        <v>28427</v>
      </c>
      <c r="D5720" s="1">
        <v>40296</v>
      </c>
      <c r="E5720" s="2">
        <v>150000</v>
      </c>
      <c r="F5720" t="s">
        <v>4567</v>
      </c>
      <c r="G5720" s="17" t="str">
        <f>HYPERLINK("https://www.washoecounty.gov/assessor/cama/?command=sales&amp;parid=20040209","3875445")</f>
        <v>3875445</v>
      </c>
      <c r="H5720" t="s">
        <v>28417</v>
      </c>
      <c r="I5720">
        <v>1993</v>
      </c>
      <c r="J5720">
        <v>1993</v>
      </c>
      <c r="K5720" t="s">
        <v>4554</v>
      </c>
      <c r="L5720" t="s">
        <v>4555</v>
      </c>
      <c r="M5720" s="2">
        <v>1270</v>
      </c>
      <c r="N5720" t="s">
        <v>5280</v>
      </c>
      <c r="O5720">
        <v>3</v>
      </c>
      <c r="P5720">
        <v>2</v>
      </c>
      <c r="Q5720">
        <v>0</v>
      </c>
      <c r="R5720" t="s">
        <v>4557</v>
      </c>
      <c r="S5720" t="s">
        <v>4558</v>
      </c>
      <c r="T5720" t="s">
        <v>4559</v>
      </c>
      <c r="U5720" t="s">
        <v>4560</v>
      </c>
      <c r="V5720" s="2">
        <v>441</v>
      </c>
      <c r="W5720" t="s">
        <v>4655</v>
      </c>
      <c r="X5720" s="2">
        <v>0</v>
      </c>
      <c r="Y5720">
        <v>20</v>
      </c>
      <c r="Z5720" t="s">
        <v>4561</v>
      </c>
      <c r="AA5720" s="3">
        <v>0.110996328294277</v>
      </c>
      <c r="AB5720" t="s">
        <v>28428</v>
      </c>
      <c r="AC5720" t="s">
        <v>4562</v>
      </c>
      <c r="AD5720" t="s">
        <v>28427</v>
      </c>
      <c r="AE5720" t="s">
        <v>4655</v>
      </c>
      <c r="AF5720" t="s">
        <v>4563</v>
      </c>
      <c r="AG5720" t="s">
        <v>4564</v>
      </c>
      <c r="AH5720" t="s">
        <v>1147</v>
      </c>
      <c r="AI5720" t="s">
        <v>28429</v>
      </c>
      <c r="AJ5720" t="s">
        <v>28430</v>
      </c>
      <c r="AK5720" t="s">
        <v>28431</v>
      </c>
      <c r="AL5720" s="13" t="s">
        <v>2255</v>
      </c>
      <c r="AM5720">
        <v>1</v>
      </c>
      <c r="AN5720" s="15" t="s">
        <v>721</v>
      </c>
    </row>
    <row r="5721" spans="1:40" x14ac:dyDescent="0.3">
      <c r="A5721" s="10" t="str">
        <f>HYPERLINK("http://www.washoecounty.gov/assessor/cama/?parid=200-413-06&amp;CardNumber=1","200-413-06")</f>
        <v>200-413-06</v>
      </c>
      <c r="B5721" t="s">
        <v>4655</v>
      </c>
      <c r="C5721" t="s">
        <v>28432</v>
      </c>
      <c r="D5721" s="1">
        <v>40452</v>
      </c>
      <c r="E5721" s="2">
        <v>178000</v>
      </c>
      <c r="F5721" t="s">
        <v>4553</v>
      </c>
      <c r="G5721" s="17" t="str">
        <f>HYPERLINK("https://www.washoecounty.gov/assessor/cama/?command=sales&amp;parid=20041306","3928671")</f>
        <v>3928671</v>
      </c>
      <c r="H5721" t="s">
        <v>3927</v>
      </c>
      <c r="I5721">
        <v>1991</v>
      </c>
      <c r="J5721">
        <v>1991</v>
      </c>
      <c r="K5721" t="s">
        <v>4554</v>
      </c>
      <c r="L5721" t="s">
        <v>4555</v>
      </c>
      <c r="M5721" s="2">
        <v>1742</v>
      </c>
      <c r="N5721" t="s">
        <v>5280</v>
      </c>
      <c r="O5721">
        <v>3</v>
      </c>
      <c r="P5721">
        <v>2</v>
      </c>
      <c r="Q5721">
        <v>0</v>
      </c>
      <c r="R5721" t="s">
        <v>5281</v>
      </c>
      <c r="S5721" t="s">
        <v>4558</v>
      </c>
      <c r="T5721" t="s">
        <v>4559</v>
      </c>
      <c r="U5721" t="s">
        <v>4560</v>
      </c>
      <c r="V5721" s="2">
        <v>398</v>
      </c>
      <c r="W5721" t="s">
        <v>4655</v>
      </c>
      <c r="X5721" s="2">
        <v>0</v>
      </c>
      <c r="Y5721">
        <v>20</v>
      </c>
      <c r="Z5721" t="s">
        <v>4561</v>
      </c>
      <c r="AA5721" s="3">
        <v>0.27199265360832198</v>
      </c>
      <c r="AB5721" t="s">
        <v>28433</v>
      </c>
      <c r="AC5721" t="s">
        <v>4562</v>
      </c>
      <c r="AD5721" t="s">
        <v>28432</v>
      </c>
      <c r="AE5721" t="s">
        <v>4655</v>
      </c>
      <c r="AF5721" t="s">
        <v>4563</v>
      </c>
      <c r="AG5721" t="s">
        <v>4564</v>
      </c>
      <c r="AH5721">
        <v>89503</v>
      </c>
      <c r="AI5721" t="s">
        <v>4903</v>
      </c>
      <c r="AJ5721" t="s">
        <v>28434</v>
      </c>
      <c r="AK5721" t="s">
        <v>28435</v>
      </c>
      <c r="AL5721" s="13" t="s">
        <v>2255</v>
      </c>
      <c r="AM5721">
        <v>1</v>
      </c>
      <c r="AN5721" s="15" t="s">
        <v>721</v>
      </c>
    </row>
    <row r="5722" spans="1:40" x14ac:dyDescent="0.3">
      <c r="A5722" s="10" t="str">
        <f>HYPERLINK("http://www.washoecounty.gov/assessor/cama/?parid=200-415-04&amp;CardNumber=1","200-415-04")</f>
        <v>200-415-04</v>
      </c>
      <c r="B5722" t="s">
        <v>4655</v>
      </c>
      <c r="C5722" t="s">
        <v>28436</v>
      </c>
      <c r="D5722" s="1">
        <v>40500</v>
      </c>
      <c r="E5722" s="2">
        <v>164900</v>
      </c>
      <c r="F5722" t="s">
        <v>4553</v>
      </c>
      <c r="G5722" s="17" t="str">
        <f>HYPERLINK("https://www.washoecounty.gov/assessor/cama/?command=sales&amp;parid=20041504","3944411")</f>
        <v>3944411</v>
      </c>
      <c r="H5722" t="s">
        <v>3927</v>
      </c>
      <c r="I5722">
        <v>1991</v>
      </c>
      <c r="J5722">
        <v>1991</v>
      </c>
      <c r="K5722" t="s">
        <v>4554</v>
      </c>
      <c r="L5722" t="s">
        <v>3974</v>
      </c>
      <c r="M5722" s="2">
        <v>1464</v>
      </c>
      <c r="N5722" t="s">
        <v>5280</v>
      </c>
      <c r="O5722">
        <v>3</v>
      </c>
      <c r="P5722">
        <v>2</v>
      </c>
      <c r="Q5722">
        <v>1</v>
      </c>
      <c r="R5722" t="s">
        <v>5281</v>
      </c>
      <c r="S5722" t="s">
        <v>4558</v>
      </c>
      <c r="T5722" t="s">
        <v>4559</v>
      </c>
      <c r="U5722" t="s">
        <v>5631</v>
      </c>
      <c r="V5722" s="2">
        <v>477</v>
      </c>
      <c r="W5722" t="s">
        <v>4655</v>
      </c>
      <c r="X5722" s="2">
        <v>0</v>
      </c>
      <c r="Y5722">
        <v>20</v>
      </c>
      <c r="Z5722" t="s">
        <v>4561</v>
      </c>
      <c r="AA5722" s="3">
        <v>0.128007352352142</v>
      </c>
      <c r="AB5722" t="s">
        <v>28437</v>
      </c>
      <c r="AC5722" t="s">
        <v>4562</v>
      </c>
      <c r="AD5722" t="s">
        <v>28436</v>
      </c>
      <c r="AE5722" t="s">
        <v>4655</v>
      </c>
      <c r="AF5722" t="s">
        <v>4563</v>
      </c>
      <c r="AG5722" t="s">
        <v>4564</v>
      </c>
      <c r="AH5722" t="s">
        <v>1147</v>
      </c>
      <c r="AI5722" t="s">
        <v>601</v>
      </c>
      <c r="AJ5722" t="s">
        <v>28438</v>
      </c>
      <c r="AK5722" t="s">
        <v>28439</v>
      </c>
      <c r="AL5722" s="13" t="s">
        <v>2255</v>
      </c>
      <c r="AM5722">
        <v>1</v>
      </c>
      <c r="AN5722" s="15" t="s">
        <v>721</v>
      </c>
    </row>
    <row r="5723" spans="1:40" x14ac:dyDescent="0.3">
      <c r="A5723" s="10" t="str">
        <f>HYPERLINK("http://www.washoecounty.gov/assessor/cama/?parid=200-415-05&amp;CardNumber=1","200-415-05")</f>
        <v>200-415-05</v>
      </c>
      <c r="B5723" t="s">
        <v>4655</v>
      </c>
      <c r="C5723" t="s">
        <v>28440</v>
      </c>
      <c r="D5723" s="1">
        <v>40262</v>
      </c>
      <c r="E5723" s="2">
        <v>190500</v>
      </c>
      <c r="F5723" t="s">
        <v>4567</v>
      </c>
      <c r="G5723" s="17" t="str">
        <f>HYPERLINK("https://www.washoecounty.gov/assessor/cama/?command=sales&amp;parid=20041505","3863921")</f>
        <v>3863921</v>
      </c>
      <c r="H5723" t="s">
        <v>3927</v>
      </c>
      <c r="I5723">
        <v>1991</v>
      </c>
      <c r="J5723">
        <v>1991</v>
      </c>
      <c r="K5723" t="s">
        <v>4554</v>
      </c>
      <c r="L5723" t="s">
        <v>3974</v>
      </c>
      <c r="M5723" s="2">
        <v>1722</v>
      </c>
      <c r="N5723" t="s">
        <v>5280</v>
      </c>
      <c r="O5723">
        <v>4</v>
      </c>
      <c r="P5723">
        <v>2</v>
      </c>
      <c r="Q5723">
        <v>1</v>
      </c>
      <c r="R5723" t="s">
        <v>4557</v>
      </c>
      <c r="S5723" t="s">
        <v>4558</v>
      </c>
      <c r="T5723" t="s">
        <v>4559</v>
      </c>
      <c r="U5723" t="s">
        <v>5631</v>
      </c>
      <c r="V5723" s="2">
        <v>458</v>
      </c>
      <c r="W5723" t="s">
        <v>4655</v>
      </c>
      <c r="X5723" s="2">
        <v>0</v>
      </c>
      <c r="Y5723">
        <v>20</v>
      </c>
      <c r="Z5723" t="s">
        <v>4561</v>
      </c>
      <c r="AA5723" s="3">
        <v>0.18999081850051899</v>
      </c>
      <c r="AB5723" t="s">
        <v>28441</v>
      </c>
      <c r="AC5723" t="s">
        <v>4562</v>
      </c>
      <c r="AD5723" t="s">
        <v>28442</v>
      </c>
      <c r="AE5723" t="s">
        <v>4655</v>
      </c>
      <c r="AF5723" t="s">
        <v>4563</v>
      </c>
      <c r="AG5723" t="s">
        <v>4564</v>
      </c>
      <c r="AH5723" t="s">
        <v>1147</v>
      </c>
      <c r="AI5723" t="s">
        <v>28443</v>
      </c>
      <c r="AJ5723" t="s">
        <v>28444</v>
      </c>
      <c r="AK5723" t="s">
        <v>28445</v>
      </c>
      <c r="AL5723" s="13" t="s">
        <v>2255</v>
      </c>
      <c r="AM5723">
        <v>1</v>
      </c>
      <c r="AN5723" s="15" t="s">
        <v>721</v>
      </c>
    </row>
    <row r="5724" spans="1:40" x14ac:dyDescent="0.3">
      <c r="A5724" s="10" t="str">
        <f>HYPERLINK("http://www.washoecounty.gov/assessor/cama/?parid=200-415-10&amp;CardNumber=1","200-415-10")</f>
        <v>200-415-10</v>
      </c>
      <c r="B5724" t="s">
        <v>4655</v>
      </c>
      <c r="C5724" t="s">
        <v>28446</v>
      </c>
      <c r="D5724" s="1">
        <v>40343</v>
      </c>
      <c r="E5724" s="2">
        <v>182850</v>
      </c>
      <c r="F5724" t="s">
        <v>4553</v>
      </c>
      <c r="G5724" s="17" t="str">
        <f>HYPERLINK("https://www.washoecounty.gov/assessor/cama/?command=sales&amp;parid=20041510","3891604")</f>
        <v>3891604</v>
      </c>
      <c r="H5724" t="s">
        <v>3927</v>
      </c>
      <c r="I5724">
        <v>1990</v>
      </c>
      <c r="J5724">
        <v>1990</v>
      </c>
      <c r="K5724" t="s">
        <v>4554</v>
      </c>
      <c r="L5724" t="s">
        <v>3974</v>
      </c>
      <c r="M5724" s="2">
        <v>1607</v>
      </c>
      <c r="N5724" t="s">
        <v>5280</v>
      </c>
      <c r="O5724">
        <v>3</v>
      </c>
      <c r="P5724">
        <v>2</v>
      </c>
      <c r="Q5724">
        <v>1</v>
      </c>
      <c r="R5724" t="s">
        <v>4557</v>
      </c>
      <c r="S5724" t="s">
        <v>4558</v>
      </c>
      <c r="T5724" t="s">
        <v>4559</v>
      </c>
      <c r="U5724" t="s">
        <v>5631</v>
      </c>
      <c r="V5724" s="2">
        <v>447</v>
      </c>
      <c r="W5724" t="s">
        <v>4655</v>
      </c>
      <c r="X5724" s="2">
        <v>0</v>
      </c>
      <c r="Y5724">
        <v>20</v>
      </c>
      <c r="Z5724" t="s">
        <v>4561</v>
      </c>
      <c r="AA5724" s="3">
        <v>0.12100551277399101</v>
      </c>
      <c r="AB5724" t="s">
        <v>28447</v>
      </c>
      <c r="AC5724" t="s">
        <v>4562</v>
      </c>
      <c r="AD5724" t="s">
        <v>28448</v>
      </c>
      <c r="AE5724" t="s">
        <v>4655</v>
      </c>
      <c r="AF5724" t="s">
        <v>4563</v>
      </c>
      <c r="AG5724" t="s">
        <v>4564</v>
      </c>
      <c r="AH5724" t="s">
        <v>1147</v>
      </c>
      <c r="AI5724" t="s">
        <v>4145</v>
      </c>
      <c r="AJ5724" t="s">
        <v>28449</v>
      </c>
      <c r="AK5724" t="s">
        <v>28450</v>
      </c>
      <c r="AL5724" s="13" t="s">
        <v>2255</v>
      </c>
      <c r="AM5724">
        <v>1</v>
      </c>
      <c r="AN5724" s="15" t="s">
        <v>721</v>
      </c>
    </row>
    <row r="5725" spans="1:40" x14ac:dyDescent="0.3">
      <c r="A5725" s="10" t="str">
        <f>HYPERLINK("http://www.washoecounty.gov/assessor/cama/?parid=200-421-08&amp;CardNumber=1","200-421-08")</f>
        <v>200-421-08</v>
      </c>
      <c r="B5725" t="s">
        <v>4655</v>
      </c>
      <c r="C5725" t="s">
        <v>28451</v>
      </c>
      <c r="D5725" s="1">
        <v>40443</v>
      </c>
      <c r="E5725" s="2">
        <v>135000</v>
      </c>
      <c r="F5725" t="s">
        <v>4567</v>
      </c>
      <c r="G5725" s="17" t="str">
        <f>HYPERLINK("https://www.washoecounty.gov/assessor/cama/?command=sales&amp;parid=20042108","3924976")</f>
        <v>3924976</v>
      </c>
      <c r="H5725" t="s">
        <v>28452</v>
      </c>
      <c r="I5725">
        <v>1992</v>
      </c>
      <c r="J5725">
        <v>1992</v>
      </c>
      <c r="K5725" t="s">
        <v>4554</v>
      </c>
      <c r="L5725" t="s">
        <v>3974</v>
      </c>
      <c r="M5725" s="2">
        <v>1607</v>
      </c>
      <c r="N5725" t="s">
        <v>5280</v>
      </c>
      <c r="O5725">
        <v>3</v>
      </c>
      <c r="P5725">
        <v>2</v>
      </c>
      <c r="Q5725">
        <v>1</v>
      </c>
      <c r="R5725" t="s">
        <v>4557</v>
      </c>
      <c r="S5725" t="s">
        <v>4558</v>
      </c>
      <c r="T5725" t="s">
        <v>4559</v>
      </c>
      <c r="U5725" t="s">
        <v>5631</v>
      </c>
      <c r="V5725" s="2">
        <v>447</v>
      </c>
      <c r="W5725" t="s">
        <v>4655</v>
      </c>
      <c r="X5725" s="2">
        <v>0</v>
      </c>
      <c r="Y5725">
        <v>20</v>
      </c>
      <c r="Z5725" t="s">
        <v>4561</v>
      </c>
      <c r="AA5725" s="3">
        <v>0.25700184702873202</v>
      </c>
      <c r="AB5725" t="s">
        <v>28453</v>
      </c>
      <c r="AC5725" t="s">
        <v>4562</v>
      </c>
      <c r="AD5725" t="s">
        <v>28451</v>
      </c>
      <c r="AE5725" t="s">
        <v>4655</v>
      </c>
      <c r="AF5725" t="s">
        <v>4563</v>
      </c>
      <c r="AG5725" t="s">
        <v>4564</v>
      </c>
      <c r="AH5725" t="s">
        <v>1147</v>
      </c>
      <c r="AI5725" t="s">
        <v>28454</v>
      </c>
      <c r="AJ5725" t="s">
        <v>28455</v>
      </c>
      <c r="AK5725" t="s">
        <v>28456</v>
      </c>
      <c r="AL5725" s="13" t="s">
        <v>2255</v>
      </c>
      <c r="AM5725" s="14">
        <v>1</v>
      </c>
      <c r="AN5725" s="15" t="s">
        <v>721</v>
      </c>
    </row>
    <row r="5726" spans="1:40" x14ac:dyDescent="0.3">
      <c r="A5726" s="10" t="str">
        <f>HYPERLINK("http://www.washoecounty.gov/assessor/cama/?parid=200-421-19&amp;CardNumber=1","200-421-19")</f>
        <v>200-421-19</v>
      </c>
      <c r="B5726" t="s">
        <v>4655</v>
      </c>
      <c r="C5726" t="s">
        <v>28457</v>
      </c>
      <c r="D5726" s="1">
        <v>40444</v>
      </c>
      <c r="E5726" s="2">
        <v>115000</v>
      </c>
      <c r="F5726" t="s">
        <v>4567</v>
      </c>
      <c r="G5726" s="17" t="str">
        <f>HYPERLINK("https://www.washoecounty.gov/assessor/cama/?command=sales&amp;parid=20042119","3925515")</f>
        <v>3925515</v>
      </c>
      <c r="H5726" t="s">
        <v>28452</v>
      </c>
      <c r="I5726">
        <v>1991</v>
      </c>
      <c r="J5726">
        <v>1991</v>
      </c>
      <c r="K5726" t="s">
        <v>4554</v>
      </c>
      <c r="L5726" t="s">
        <v>4555</v>
      </c>
      <c r="M5726" s="2">
        <v>1141</v>
      </c>
      <c r="N5726" t="s">
        <v>5280</v>
      </c>
      <c r="O5726">
        <v>3</v>
      </c>
      <c r="P5726">
        <v>2</v>
      </c>
      <c r="Q5726">
        <v>0</v>
      </c>
      <c r="R5726" t="s">
        <v>4557</v>
      </c>
      <c r="S5726" t="s">
        <v>4558</v>
      </c>
      <c r="T5726" t="s">
        <v>4559</v>
      </c>
      <c r="U5726" t="s">
        <v>4560</v>
      </c>
      <c r="V5726" s="2">
        <v>436</v>
      </c>
      <c r="W5726" t="s">
        <v>4655</v>
      </c>
      <c r="X5726" s="2">
        <v>0</v>
      </c>
      <c r="Y5726">
        <v>20</v>
      </c>
      <c r="Z5726" t="s">
        <v>4561</v>
      </c>
      <c r="AA5726" s="3">
        <v>0.14499540627002699</v>
      </c>
      <c r="AB5726" t="s">
        <v>2113</v>
      </c>
      <c r="AC5726" t="s">
        <v>4575</v>
      </c>
      <c r="AD5726" t="s">
        <v>1857</v>
      </c>
      <c r="AE5726" t="s">
        <v>4655</v>
      </c>
      <c r="AF5726" t="s">
        <v>3890</v>
      </c>
      <c r="AG5726" t="s">
        <v>4564</v>
      </c>
      <c r="AH5726" t="s">
        <v>3891</v>
      </c>
      <c r="AI5726" t="s">
        <v>28458</v>
      </c>
      <c r="AJ5726" t="s">
        <v>28459</v>
      </c>
      <c r="AK5726" t="s">
        <v>28460</v>
      </c>
      <c r="AL5726" s="13" t="s">
        <v>2255</v>
      </c>
      <c r="AM5726" s="14">
        <v>1</v>
      </c>
      <c r="AN5726" s="15" t="s">
        <v>721</v>
      </c>
    </row>
    <row r="5727" spans="1:40" x14ac:dyDescent="0.3">
      <c r="A5727" s="10" t="str">
        <f>HYPERLINK("http://www.washoecounty.gov/assessor/cama/?parid=200-431-05&amp;CardNumber=1","200-431-05")</f>
        <v>200-431-05</v>
      </c>
      <c r="B5727" t="s">
        <v>4655</v>
      </c>
      <c r="C5727" t="s">
        <v>28461</v>
      </c>
      <c r="D5727" s="1">
        <v>40310</v>
      </c>
      <c r="E5727" s="2">
        <v>156500</v>
      </c>
      <c r="F5727" t="s">
        <v>4553</v>
      </c>
      <c r="G5727" s="17" t="str">
        <f>HYPERLINK("https://www.washoecounty.gov/assessor/cama/?command=sales&amp;parid=20043105","3880860")</f>
        <v>3880860</v>
      </c>
      <c r="H5727" t="s">
        <v>4754</v>
      </c>
      <c r="I5727">
        <v>1995</v>
      </c>
      <c r="J5727">
        <v>1995</v>
      </c>
      <c r="K5727" t="s">
        <v>4554</v>
      </c>
      <c r="L5727" t="s">
        <v>4555</v>
      </c>
      <c r="M5727" s="2">
        <v>1359</v>
      </c>
      <c r="N5727" t="s">
        <v>5280</v>
      </c>
      <c r="O5727">
        <v>3</v>
      </c>
      <c r="P5727">
        <v>2</v>
      </c>
      <c r="Q5727">
        <v>0</v>
      </c>
      <c r="R5727" t="s">
        <v>4557</v>
      </c>
      <c r="S5727" t="s">
        <v>4558</v>
      </c>
      <c r="T5727" t="s">
        <v>4559</v>
      </c>
      <c r="U5727" t="s">
        <v>4560</v>
      </c>
      <c r="V5727" s="2">
        <v>456</v>
      </c>
      <c r="W5727" t="s">
        <v>4655</v>
      </c>
      <c r="X5727" s="2">
        <v>0</v>
      </c>
      <c r="Y5727">
        <v>20</v>
      </c>
      <c r="Z5727" t="s">
        <v>4351</v>
      </c>
      <c r="AA5727" s="3">
        <v>0.18999081850051899</v>
      </c>
      <c r="AB5727" t="s">
        <v>28462</v>
      </c>
      <c r="AC5727" t="s">
        <v>4562</v>
      </c>
      <c r="AD5727" t="s">
        <v>28463</v>
      </c>
      <c r="AE5727" t="s">
        <v>4655</v>
      </c>
      <c r="AF5727" t="s">
        <v>4563</v>
      </c>
      <c r="AG5727" t="s">
        <v>4564</v>
      </c>
      <c r="AH5727" t="s">
        <v>1147</v>
      </c>
      <c r="AI5727" t="s">
        <v>2351</v>
      </c>
      <c r="AJ5727" t="s">
        <v>28464</v>
      </c>
      <c r="AK5727" t="s">
        <v>28465</v>
      </c>
      <c r="AL5727" s="13" t="s">
        <v>2255</v>
      </c>
      <c r="AM5727">
        <v>1</v>
      </c>
      <c r="AN5727" s="15" t="s">
        <v>3712</v>
      </c>
    </row>
    <row r="5728" spans="1:40" x14ac:dyDescent="0.3">
      <c r="A5728" s="10" t="str">
        <f>HYPERLINK("http://www.washoecounty.gov/assessor/cama/?parid=200-432-07&amp;CardNumber=1","200-432-07")</f>
        <v>200-432-07</v>
      </c>
      <c r="B5728" t="s">
        <v>4655</v>
      </c>
      <c r="C5728" t="s">
        <v>28466</v>
      </c>
      <c r="D5728" s="1">
        <v>40343</v>
      </c>
      <c r="E5728" s="2">
        <v>172000</v>
      </c>
      <c r="F5728" t="s">
        <v>4567</v>
      </c>
      <c r="G5728" s="17" t="str">
        <f>HYPERLINK("https://www.washoecounty.gov/assessor/cama/?command=sales&amp;parid=20043207","3891376")</f>
        <v>3891376</v>
      </c>
      <c r="H5728" t="s">
        <v>4754</v>
      </c>
      <c r="I5728">
        <v>1995</v>
      </c>
      <c r="J5728">
        <v>1995</v>
      </c>
      <c r="K5728" t="s">
        <v>4554</v>
      </c>
      <c r="L5728" t="s">
        <v>4555</v>
      </c>
      <c r="M5728" s="2">
        <v>1270</v>
      </c>
      <c r="N5728" t="s">
        <v>5280</v>
      </c>
      <c r="O5728">
        <v>3</v>
      </c>
      <c r="P5728">
        <v>2</v>
      </c>
      <c r="Q5728">
        <v>0</v>
      </c>
      <c r="R5728" t="s">
        <v>4557</v>
      </c>
      <c r="S5728" t="s">
        <v>4558</v>
      </c>
      <c r="T5728" t="s">
        <v>4559</v>
      </c>
      <c r="U5728" t="s">
        <v>4560</v>
      </c>
      <c r="V5728" s="2">
        <v>454</v>
      </c>
      <c r="W5728" t="s">
        <v>4655</v>
      </c>
      <c r="X5728" s="2">
        <v>0</v>
      </c>
      <c r="Y5728">
        <v>20</v>
      </c>
      <c r="Z5728" t="s">
        <v>4351</v>
      </c>
      <c r="AA5728" s="3">
        <v>0.17499999701976801</v>
      </c>
      <c r="AB5728" t="s">
        <v>28467</v>
      </c>
      <c r="AC5728" t="s">
        <v>4562</v>
      </c>
      <c r="AD5728" t="s">
        <v>28468</v>
      </c>
      <c r="AE5728" t="s">
        <v>4655</v>
      </c>
      <c r="AF5728" t="s">
        <v>4563</v>
      </c>
      <c r="AG5728" t="s">
        <v>4564</v>
      </c>
      <c r="AH5728" t="s">
        <v>1147</v>
      </c>
      <c r="AI5728" t="s">
        <v>28469</v>
      </c>
      <c r="AJ5728" t="s">
        <v>28470</v>
      </c>
      <c r="AK5728" t="s">
        <v>28471</v>
      </c>
      <c r="AL5728" s="13" t="s">
        <v>2255</v>
      </c>
      <c r="AM5728">
        <v>1</v>
      </c>
      <c r="AN5728" s="15" t="s">
        <v>3712</v>
      </c>
    </row>
    <row r="5729" spans="1:40" x14ac:dyDescent="0.3">
      <c r="A5729" s="10" t="str">
        <f>HYPERLINK("http://www.washoecounty.gov/assessor/cama/?parid=200-433-13&amp;CardNumber=1","200-433-13")</f>
        <v>200-433-13</v>
      </c>
      <c r="B5729" t="s">
        <v>4655</v>
      </c>
      <c r="C5729" t="s">
        <v>28472</v>
      </c>
      <c r="D5729" s="1">
        <v>40347</v>
      </c>
      <c r="E5729" s="2">
        <v>150000</v>
      </c>
      <c r="F5729" t="s">
        <v>4567</v>
      </c>
      <c r="G5729" s="17" t="str">
        <f>HYPERLINK("https://www.washoecounty.gov/assessor/cama/?command=sales&amp;parid=20043313","3893287")</f>
        <v>3893287</v>
      </c>
      <c r="H5729" t="s">
        <v>4754</v>
      </c>
      <c r="I5729">
        <v>1995</v>
      </c>
      <c r="J5729">
        <v>1995</v>
      </c>
      <c r="K5729" t="s">
        <v>4554</v>
      </c>
      <c r="L5729" t="s">
        <v>4555</v>
      </c>
      <c r="M5729" s="2">
        <v>1063</v>
      </c>
      <c r="N5729" t="s">
        <v>5280</v>
      </c>
      <c r="O5729">
        <v>2</v>
      </c>
      <c r="P5729">
        <v>2</v>
      </c>
      <c r="Q5729">
        <v>0</v>
      </c>
      <c r="R5729" t="s">
        <v>5281</v>
      </c>
      <c r="S5729" t="s">
        <v>4558</v>
      </c>
      <c r="T5729" t="s">
        <v>4559</v>
      </c>
      <c r="U5729" t="s">
        <v>4560</v>
      </c>
      <c r="V5729" s="2">
        <v>451</v>
      </c>
      <c r="W5729" t="s">
        <v>4655</v>
      </c>
      <c r="X5729" s="2">
        <v>0</v>
      </c>
      <c r="Y5729">
        <v>20</v>
      </c>
      <c r="Z5729" t="s">
        <v>4351</v>
      </c>
      <c r="AA5729" s="3">
        <v>0.223989903926849</v>
      </c>
      <c r="AB5729" t="s">
        <v>28473</v>
      </c>
      <c r="AC5729" t="s">
        <v>4562</v>
      </c>
      <c r="AD5729" t="s">
        <v>28472</v>
      </c>
      <c r="AE5729" t="s">
        <v>4655</v>
      </c>
      <c r="AF5729" t="s">
        <v>4563</v>
      </c>
      <c r="AG5729" t="s">
        <v>4564</v>
      </c>
      <c r="AH5729" t="s">
        <v>1147</v>
      </c>
      <c r="AI5729" t="s">
        <v>28474</v>
      </c>
      <c r="AJ5729" t="s">
        <v>28475</v>
      </c>
      <c r="AK5729" t="s">
        <v>28476</v>
      </c>
      <c r="AL5729" s="13" t="s">
        <v>2255</v>
      </c>
      <c r="AM5729">
        <v>1</v>
      </c>
      <c r="AN5729" s="15" t="s">
        <v>3712</v>
      </c>
    </row>
    <row r="5730" spans="1:40" x14ac:dyDescent="0.3">
      <c r="A5730" s="10" t="str">
        <f>HYPERLINK("http://www.washoecounty.gov/assessor/cama/?parid=200-472-02&amp;CardNumber=1","200-472-02")</f>
        <v>200-472-02</v>
      </c>
      <c r="B5730" t="s">
        <v>4655</v>
      </c>
      <c r="C5730" t="s">
        <v>28477</v>
      </c>
      <c r="D5730" s="1">
        <v>40539</v>
      </c>
      <c r="E5730" s="2">
        <v>170000</v>
      </c>
      <c r="F5730" t="s">
        <v>4567</v>
      </c>
      <c r="G5730" s="17" t="str">
        <f>HYPERLINK("https://www.washoecounty.gov/assessor/cama/?command=sales&amp;parid=20047202","3957490")</f>
        <v>3957490</v>
      </c>
      <c r="H5730" t="s">
        <v>28478</v>
      </c>
      <c r="I5730">
        <v>1996</v>
      </c>
      <c r="J5730">
        <v>1996</v>
      </c>
      <c r="K5730" t="s">
        <v>4554</v>
      </c>
      <c r="L5730" t="s">
        <v>3974</v>
      </c>
      <c r="M5730" s="2">
        <v>1631</v>
      </c>
      <c r="N5730" t="s">
        <v>5280</v>
      </c>
      <c r="O5730">
        <v>3</v>
      </c>
      <c r="P5730">
        <v>2</v>
      </c>
      <c r="Q5730">
        <v>1</v>
      </c>
      <c r="R5730" t="s">
        <v>4557</v>
      </c>
      <c r="S5730" t="s">
        <v>4558</v>
      </c>
      <c r="T5730" t="s">
        <v>4559</v>
      </c>
      <c r="U5730" t="s">
        <v>4560</v>
      </c>
      <c r="V5730" s="2">
        <v>480</v>
      </c>
      <c r="W5730" t="s">
        <v>4655</v>
      </c>
      <c r="X5730" s="2">
        <v>0</v>
      </c>
      <c r="Y5730">
        <v>20</v>
      </c>
      <c r="Z5730" t="s">
        <v>4351</v>
      </c>
      <c r="AA5730" s="3">
        <v>0.12601010501384699</v>
      </c>
      <c r="AB5730" t="s">
        <v>28479</v>
      </c>
      <c r="AC5730" t="s">
        <v>4562</v>
      </c>
      <c r="AD5730" t="s">
        <v>28477</v>
      </c>
      <c r="AE5730" t="s">
        <v>4655</v>
      </c>
      <c r="AF5730" t="s">
        <v>4563</v>
      </c>
      <c r="AG5730" t="s">
        <v>4564</v>
      </c>
      <c r="AH5730" t="s">
        <v>1147</v>
      </c>
      <c r="AI5730" t="s">
        <v>28480</v>
      </c>
      <c r="AJ5730" t="s">
        <v>28481</v>
      </c>
      <c r="AK5730" t="s">
        <v>28482</v>
      </c>
      <c r="AL5730" s="13" t="s">
        <v>2255</v>
      </c>
      <c r="AM5730">
        <v>1</v>
      </c>
      <c r="AN5730" s="15" t="s">
        <v>3712</v>
      </c>
    </row>
    <row r="5731" spans="1:40" x14ac:dyDescent="0.3">
      <c r="A5731" s="10" t="str">
        <f>HYPERLINK("http://www.washoecounty.gov/assessor/cama/?parid=200-481-08&amp;CardNumber=1","200-481-08")</f>
        <v>200-481-08</v>
      </c>
      <c r="B5731" t="s">
        <v>4655</v>
      </c>
      <c r="C5731" t="s">
        <v>28483</v>
      </c>
      <c r="D5731" s="1">
        <v>40298</v>
      </c>
      <c r="E5731" s="2">
        <v>149900</v>
      </c>
      <c r="F5731" t="s">
        <v>4567</v>
      </c>
      <c r="G5731" s="17" t="str">
        <f>HYPERLINK("https://www.washoecounty.gov/assessor/cama/?command=sales&amp;parid=20048108","3876573")</f>
        <v>3876573</v>
      </c>
      <c r="H5731" t="s">
        <v>28478</v>
      </c>
      <c r="I5731">
        <v>1996</v>
      </c>
      <c r="J5731">
        <v>1996</v>
      </c>
      <c r="K5731" t="s">
        <v>4554</v>
      </c>
      <c r="L5731" t="s">
        <v>4555</v>
      </c>
      <c r="M5731" s="2">
        <v>1063</v>
      </c>
      <c r="N5731" t="s">
        <v>5280</v>
      </c>
      <c r="O5731">
        <v>2</v>
      </c>
      <c r="P5731">
        <v>2</v>
      </c>
      <c r="Q5731">
        <v>0</v>
      </c>
      <c r="R5731" t="s">
        <v>4557</v>
      </c>
      <c r="S5731" t="s">
        <v>4558</v>
      </c>
      <c r="T5731" t="s">
        <v>4559</v>
      </c>
      <c r="U5731" t="s">
        <v>4560</v>
      </c>
      <c r="V5731" s="2">
        <v>451</v>
      </c>
      <c r="W5731" t="s">
        <v>4655</v>
      </c>
      <c r="X5731" s="2">
        <v>0</v>
      </c>
      <c r="Y5731">
        <v>20</v>
      </c>
      <c r="Z5731" t="s">
        <v>4351</v>
      </c>
      <c r="AA5731" s="3">
        <v>0.18500918149948101</v>
      </c>
      <c r="AB5731" t="s">
        <v>28484</v>
      </c>
      <c r="AC5731" t="s">
        <v>4562</v>
      </c>
      <c r="AD5731" t="s">
        <v>28483</v>
      </c>
      <c r="AE5731" t="s">
        <v>4655</v>
      </c>
      <c r="AF5731" t="s">
        <v>4563</v>
      </c>
      <c r="AG5731" t="s">
        <v>4564</v>
      </c>
      <c r="AH5731" t="s">
        <v>1147</v>
      </c>
      <c r="AI5731" t="s">
        <v>28485</v>
      </c>
      <c r="AJ5731" t="s">
        <v>28481</v>
      </c>
      <c r="AK5731" t="s">
        <v>28486</v>
      </c>
      <c r="AL5731" s="13" t="s">
        <v>2255</v>
      </c>
      <c r="AM5731" s="14">
        <v>1</v>
      </c>
      <c r="AN5731" s="15" t="s">
        <v>3712</v>
      </c>
    </row>
    <row r="5732" spans="1:40" x14ac:dyDescent="0.3">
      <c r="A5732" s="10" t="str">
        <f>HYPERLINK("http://www.washoecounty.gov/assessor/cama/?parid=200-482-09&amp;CardNumber=1","200-482-09")</f>
        <v>200-482-09</v>
      </c>
      <c r="B5732" t="s">
        <v>4655</v>
      </c>
      <c r="C5732" t="s">
        <v>28487</v>
      </c>
      <c r="D5732" s="1">
        <v>40408</v>
      </c>
      <c r="E5732" s="2">
        <v>169500</v>
      </c>
      <c r="F5732" t="s">
        <v>4567</v>
      </c>
      <c r="G5732" s="17" t="str">
        <f>HYPERLINK("https://www.washoecounty.gov/assessor/cama/?command=sales&amp;parid=20048209","3913345")</f>
        <v>3913345</v>
      </c>
      <c r="H5732" t="s">
        <v>28478</v>
      </c>
      <c r="I5732">
        <v>1996</v>
      </c>
      <c r="J5732">
        <v>1996</v>
      </c>
      <c r="K5732" t="s">
        <v>4554</v>
      </c>
      <c r="L5732" t="s">
        <v>4555</v>
      </c>
      <c r="M5732" s="2">
        <v>1270</v>
      </c>
      <c r="N5732" t="s">
        <v>5280</v>
      </c>
      <c r="O5732">
        <v>3</v>
      </c>
      <c r="P5732">
        <v>2</v>
      </c>
      <c r="Q5732">
        <v>0</v>
      </c>
      <c r="R5732" t="s">
        <v>5281</v>
      </c>
      <c r="S5732" t="s">
        <v>4558</v>
      </c>
      <c r="T5732" t="s">
        <v>4559</v>
      </c>
      <c r="U5732" t="s">
        <v>4560</v>
      </c>
      <c r="V5732" s="2">
        <v>454</v>
      </c>
      <c r="W5732" t="s">
        <v>4655</v>
      </c>
      <c r="X5732" s="2">
        <v>0</v>
      </c>
      <c r="Y5732">
        <v>20</v>
      </c>
      <c r="Z5732" t="s">
        <v>4351</v>
      </c>
      <c r="AA5732" s="3">
        <v>0.119995407760143</v>
      </c>
      <c r="AB5732" t="s">
        <v>28488</v>
      </c>
      <c r="AC5732" t="s">
        <v>4562</v>
      </c>
      <c r="AD5732" t="s">
        <v>28489</v>
      </c>
      <c r="AE5732" t="s">
        <v>4655</v>
      </c>
      <c r="AF5732" t="s">
        <v>4563</v>
      </c>
      <c r="AG5732" t="s">
        <v>4564</v>
      </c>
      <c r="AH5732" t="s">
        <v>2330</v>
      </c>
      <c r="AI5732" t="s">
        <v>28490</v>
      </c>
      <c r="AJ5732" t="s">
        <v>28481</v>
      </c>
      <c r="AK5732" t="s">
        <v>28491</v>
      </c>
      <c r="AL5732" s="13" t="s">
        <v>2255</v>
      </c>
      <c r="AM5732" s="14">
        <v>1</v>
      </c>
      <c r="AN5732" s="15" t="s">
        <v>3712</v>
      </c>
    </row>
    <row r="5733" spans="1:40" x14ac:dyDescent="0.3">
      <c r="A5733" s="10" t="str">
        <f>HYPERLINK("http://www.washoecounty.gov/assessor/cama/?parid=200-491-01&amp;CardNumber=1","200-491-01")</f>
        <v>200-491-01</v>
      </c>
      <c r="B5733" t="s">
        <v>4655</v>
      </c>
      <c r="C5733" t="s">
        <v>28492</v>
      </c>
      <c r="D5733" s="1">
        <v>40443</v>
      </c>
      <c r="E5733" s="2">
        <v>182500</v>
      </c>
      <c r="F5733" t="s">
        <v>4567</v>
      </c>
      <c r="G5733" s="17" t="str">
        <f>HYPERLINK("https://www.washoecounty.gov/assessor/cama/?command=sales&amp;parid=20049101","3924836")</f>
        <v>3924836</v>
      </c>
      <c r="H5733" t="s">
        <v>5410</v>
      </c>
      <c r="I5733">
        <v>1996</v>
      </c>
      <c r="J5733">
        <v>1996</v>
      </c>
      <c r="K5733" t="s">
        <v>4554</v>
      </c>
      <c r="L5733" t="s">
        <v>4555</v>
      </c>
      <c r="M5733" s="2">
        <v>1530</v>
      </c>
      <c r="N5733" t="s">
        <v>5280</v>
      </c>
      <c r="O5733">
        <v>3</v>
      </c>
      <c r="P5733">
        <v>2</v>
      </c>
      <c r="Q5733">
        <v>0</v>
      </c>
      <c r="R5733" t="s">
        <v>5281</v>
      </c>
      <c r="S5733" t="s">
        <v>4558</v>
      </c>
      <c r="T5733" t="s">
        <v>4559</v>
      </c>
      <c r="U5733" t="s">
        <v>4560</v>
      </c>
      <c r="V5733" s="2">
        <v>418</v>
      </c>
      <c r="W5733" t="s">
        <v>4655</v>
      </c>
      <c r="X5733" s="2">
        <v>0</v>
      </c>
      <c r="Y5733">
        <v>20</v>
      </c>
      <c r="Z5733" t="s">
        <v>4561</v>
      </c>
      <c r="AA5733" s="3">
        <v>0.17199265956878662</v>
      </c>
      <c r="AB5733" t="s">
        <v>28493</v>
      </c>
      <c r="AC5733" t="s">
        <v>4575</v>
      </c>
      <c r="AD5733" t="s">
        <v>28494</v>
      </c>
      <c r="AE5733" t="s">
        <v>28495</v>
      </c>
      <c r="AF5733" t="s">
        <v>4563</v>
      </c>
      <c r="AG5733" t="s">
        <v>4564</v>
      </c>
      <c r="AH5733">
        <v>89503</v>
      </c>
      <c r="AI5733" t="s">
        <v>28496</v>
      </c>
      <c r="AJ5733" t="s">
        <v>5411</v>
      </c>
      <c r="AK5733" t="s">
        <v>28497</v>
      </c>
      <c r="AL5733" s="13" t="s">
        <v>2255</v>
      </c>
      <c r="AM5733">
        <v>1</v>
      </c>
      <c r="AN5733" s="15" t="s">
        <v>721</v>
      </c>
    </row>
    <row r="5734" spans="1:40" x14ac:dyDescent="0.3">
      <c r="A5734" s="10" t="str">
        <f>HYPERLINK("http://www.washoecounty.gov/assessor/cama/?parid=200-532-07&amp;CardNumber=1","200-532-07")</f>
        <v>200-532-07</v>
      </c>
      <c r="B5734" t="s">
        <v>4655</v>
      </c>
      <c r="C5734" t="s">
        <v>28498</v>
      </c>
      <c r="D5734" s="1">
        <v>40421</v>
      </c>
      <c r="E5734" s="2">
        <v>168000</v>
      </c>
      <c r="F5734" t="s">
        <v>4567</v>
      </c>
      <c r="G5734" s="17" t="str">
        <f>HYPERLINK("https://www.washoecounty.gov/assessor/cama/?command=sales&amp;parid=20053207","3917506")</f>
        <v>3917506</v>
      </c>
      <c r="H5734" t="s">
        <v>2074</v>
      </c>
      <c r="I5734">
        <v>1997</v>
      </c>
      <c r="J5734">
        <v>1997</v>
      </c>
      <c r="K5734" t="s">
        <v>4554</v>
      </c>
      <c r="L5734" t="s">
        <v>4555</v>
      </c>
      <c r="M5734" s="2">
        <v>1270</v>
      </c>
      <c r="N5734" t="s">
        <v>5280</v>
      </c>
      <c r="O5734">
        <v>3</v>
      </c>
      <c r="P5734">
        <v>2</v>
      </c>
      <c r="Q5734">
        <v>0</v>
      </c>
      <c r="R5734" t="s">
        <v>4557</v>
      </c>
      <c r="S5734" t="s">
        <v>4558</v>
      </c>
      <c r="T5734" t="s">
        <v>4559</v>
      </c>
      <c r="U5734" t="s">
        <v>4560</v>
      </c>
      <c r="V5734" s="2">
        <v>441</v>
      </c>
      <c r="W5734" t="s">
        <v>4655</v>
      </c>
      <c r="X5734" s="2">
        <v>0</v>
      </c>
      <c r="Y5734">
        <v>20</v>
      </c>
      <c r="Z5734" t="s">
        <v>4561</v>
      </c>
      <c r="AA5734" s="3">
        <v>0.26000916957855202</v>
      </c>
      <c r="AB5734" t="s">
        <v>28499</v>
      </c>
      <c r="AC5734" t="s">
        <v>4562</v>
      </c>
      <c r="AD5734" t="s">
        <v>28498</v>
      </c>
      <c r="AE5734" t="s">
        <v>4655</v>
      </c>
      <c r="AF5734" t="s">
        <v>4563</v>
      </c>
      <c r="AG5734" t="s">
        <v>4564</v>
      </c>
      <c r="AH5734" t="s">
        <v>1147</v>
      </c>
      <c r="AI5734" t="s">
        <v>4655</v>
      </c>
      <c r="AJ5734" t="s">
        <v>2075</v>
      </c>
      <c r="AK5734" t="s">
        <v>28500</v>
      </c>
      <c r="AL5734" s="13" t="s">
        <v>2255</v>
      </c>
      <c r="AM5734">
        <v>1</v>
      </c>
      <c r="AN5734" s="15" t="s">
        <v>721</v>
      </c>
    </row>
    <row r="5735" spans="1:40" x14ac:dyDescent="0.3">
      <c r="A5735" s="10" t="str">
        <f>HYPERLINK("http://www.washoecounty.gov/assessor/cama/?parid=200-532-12&amp;CardNumber=1","200-532-12")</f>
        <v>200-532-12</v>
      </c>
      <c r="B5735" t="s">
        <v>4655</v>
      </c>
      <c r="C5735" t="s">
        <v>28501</v>
      </c>
      <c r="D5735" s="1">
        <v>40295</v>
      </c>
      <c r="E5735" s="2">
        <v>180000</v>
      </c>
      <c r="F5735" t="s">
        <v>4553</v>
      </c>
      <c r="G5735" s="17" t="str">
        <f>HYPERLINK("https://www.washoecounty.gov/assessor/cama/?command=sales&amp;parid=20053212","3875086")</f>
        <v>3875086</v>
      </c>
      <c r="H5735" t="s">
        <v>2074</v>
      </c>
      <c r="I5735">
        <v>1997</v>
      </c>
      <c r="J5735">
        <v>1997</v>
      </c>
      <c r="K5735" t="s">
        <v>4554</v>
      </c>
      <c r="L5735" t="s">
        <v>3974</v>
      </c>
      <c r="M5735" s="2">
        <v>1722</v>
      </c>
      <c r="N5735" t="s">
        <v>5280</v>
      </c>
      <c r="O5735">
        <v>4</v>
      </c>
      <c r="P5735">
        <v>2</v>
      </c>
      <c r="Q5735">
        <v>1</v>
      </c>
      <c r="R5735" t="s">
        <v>5281</v>
      </c>
      <c r="S5735" t="s">
        <v>4558</v>
      </c>
      <c r="T5735" t="s">
        <v>4559</v>
      </c>
      <c r="U5735" t="s">
        <v>5631</v>
      </c>
      <c r="V5735" s="2">
        <v>458</v>
      </c>
      <c r="W5735" t="s">
        <v>4655</v>
      </c>
      <c r="X5735" s="2">
        <v>0</v>
      </c>
      <c r="Y5735">
        <v>20</v>
      </c>
      <c r="Z5735" t="s">
        <v>4561</v>
      </c>
      <c r="AA5735" s="3">
        <v>0.24201102554798101</v>
      </c>
      <c r="AB5735" t="s">
        <v>28502</v>
      </c>
      <c r="AC5735" t="s">
        <v>4562</v>
      </c>
      <c r="AD5735" t="s">
        <v>28501</v>
      </c>
      <c r="AE5735" t="s">
        <v>4655</v>
      </c>
      <c r="AF5735" t="s">
        <v>4563</v>
      </c>
      <c r="AG5735" t="s">
        <v>4564</v>
      </c>
      <c r="AH5735" t="s">
        <v>1147</v>
      </c>
      <c r="AI5735" t="s">
        <v>4848</v>
      </c>
      <c r="AJ5735" t="s">
        <v>2075</v>
      </c>
      <c r="AK5735" t="s">
        <v>28503</v>
      </c>
      <c r="AL5735" s="13" t="s">
        <v>2255</v>
      </c>
      <c r="AM5735">
        <v>1</v>
      </c>
      <c r="AN5735" s="15" t="s">
        <v>721</v>
      </c>
    </row>
    <row r="5736" spans="1:40" x14ac:dyDescent="0.3">
      <c r="A5736" s="10" t="str">
        <f>HYPERLINK("http://www.washoecounty.gov/assessor/cama/?parid=200-551-21&amp;CardNumber=1","200-551-21")</f>
        <v>200-551-21</v>
      </c>
      <c r="B5736" t="s">
        <v>4655</v>
      </c>
      <c r="C5736" t="s">
        <v>28504</v>
      </c>
      <c r="D5736" s="1">
        <v>40394</v>
      </c>
      <c r="E5736" s="2">
        <v>152000</v>
      </c>
      <c r="F5736" t="s">
        <v>4553</v>
      </c>
      <c r="G5736" s="17" t="str">
        <f>HYPERLINK("https://www.washoecounty.gov/assessor/cama/?command=sales&amp;parid=20055121","3908720")</f>
        <v>3908720</v>
      </c>
      <c r="H5736" t="s">
        <v>896</v>
      </c>
      <c r="I5736">
        <v>1998</v>
      </c>
      <c r="J5736">
        <v>1998</v>
      </c>
      <c r="K5736" t="s">
        <v>4554</v>
      </c>
      <c r="L5736" t="s">
        <v>4555</v>
      </c>
      <c r="M5736" s="2">
        <v>1063</v>
      </c>
      <c r="N5736" t="s">
        <v>5280</v>
      </c>
      <c r="O5736">
        <v>2</v>
      </c>
      <c r="P5736">
        <v>2</v>
      </c>
      <c r="Q5736">
        <v>0</v>
      </c>
      <c r="R5736" t="s">
        <v>5281</v>
      </c>
      <c r="S5736" t="s">
        <v>4558</v>
      </c>
      <c r="T5736" t="s">
        <v>4559</v>
      </c>
      <c r="U5736" t="s">
        <v>4560</v>
      </c>
      <c r="V5736" s="2">
        <v>451</v>
      </c>
      <c r="W5736" t="s">
        <v>4655</v>
      </c>
      <c r="X5736" s="2">
        <v>0</v>
      </c>
      <c r="Y5736">
        <v>20</v>
      </c>
      <c r="Z5736" t="s">
        <v>4561</v>
      </c>
      <c r="AA5736" s="3">
        <v>0.18200182914733901</v>
      </c>
      <c r="AB5736" t="s">
        <v>28505</v>
      </c>
      <c r="AC5736" t="s">
        <v>4562</v>
      </c>
      <c r="AD5736" t="s">
        <v>897</v>
      </c>
      <c r="AE5736" t="s">
        <v>4655</v>
      </c>
      <c r="AF5736" t="s">
        <v>28506</v>
      </c>
      <c r="AG5736" t="s">
        <v>3370</v>
      </c>
      <c r="AH5736">
        <v>32127</v>
      </c>
      <c r="AI5736" t="s">
        <v>2829</v>
      </c>
      <c r="AJ5736" t="s">
        <v>898</v>
      </c>
      <c r="AK5736" t="s">
        <v>28507</v>
      </c>
      <c r="AL5736" s="13" t="s">
        <v>2255</v>
      </c>
      <c r="AM5736">
        <v>1</v>
      </c>
      <c r="AN5736" s="15" t="s">
        <v>3712</v>
      </c>
    </row>
    <row r="5737" spans="1:40" x14ac:dyDescent="0.3">
      <c r="A5737" s="10" t="str">
        <f>HYPERLINK("http://www.washoecounty.gov/assessor/cama/?parid=200-581-11&amp;CardNumber=1","200-581-11")</f>
        <v>200-581-11</v>
      </c>
      <c r="B5737" t="s">
        <v>4655</v>
      </c>
      <c r="C5737" t="s">
        <v>28508</v>
      </c>
      <c r="D5737" s="1">
        <v>40323</v>
      </c>
      <c r="E5737" s="2">
        <v>178950</v>
      </c>
      <c r="F5737" t="s">
        <v>4567</v>
      </c>
      <c r="G5737" s="17" t="str">
        <f>HYPERLINK("https://www.washoecounty.gov/assessor/cama/?command=sales&amp;parid=20058111","3885084")</f>
        <v>3885084</v>
      </c>
      <c r="H5737" t="s">
        <v>2611</v>
      </c>
      <c r="I5737">
        <v>2010</v>
      </c>
      <c r="J5737">
        <v>2010</v>
      </c>
      <c r="K5737" t="s">
        <v>4554</v>
      </c>
      <c r="L5737" t="s">
        <v>4555</v>
      </c>
      <c r="M5737" s="2">
        <v>1304</v>
      </c>
      <c r="N5737" t="s">
        <v>5280</v>
      </c>
      <c r="O5737">
        <v>3</v>
      </c>
      <c r="P5737">
        <v>2</v>
      </c>
      <c r="Q5737">
        <v>0</v>
      </c>
      <c r="R5737" t="s">
        <v>5281</v>
      </c>
      <c r="S5737" t="s">
        <v>4898</v>
      </c>
      <c r="T5737" t="s">
        <v>2704</v>
      </c>
      <c r="U5737" t="s">
        <v>4560</v>
      </c>
      <c r="V5737" s="2">
        <v>400</v>
      </c>
      <c r="W5737" t="s">
        <v>4655</v>
      </c>
      <c r="X5737" s="2">
        <v>0</v>
      </c>
      <c r="Y5737">
        <v>20</v>
      </c>
      <c r="Z5737" t="s">
        <v>4144</v>
      </c>
      <c r="AA5737" s="3">
        <v>0.13799357414245605</v>
      </c>
      <c r="AB5737" t="s">
        <v>28509</v>
      </c>
      <c r="AC5737" t="s">
        <v>4575</v>
      </c>
      <c r="AD5737" t="s">
        <v>28510</v>
      </c>
      <c r="AE5737" t="s">
        <v>4655</v>
      </c>
      <c r="AF5737" t="s">
        <v>4563</v>
      </c>
      <c r="AG5737" t="s">
        <v>4564</v>
      </c>
      <c r="AH5737" t="s">
        <v>2330</v>
      </c>
      <c r="AI5737" t="s">
        <v>28511</v>
      </c>
      <c r="AJ5737" t="s">
        <v>1863</v>
      </c>
      <c r="AK5737" t="s">
        <v>28512</v>
      </c>
      <c r="AL5737" s="13" t="s">
        <v>2255</v>
      </c>
      <c r="AM5737" s="14">
        <v>1</v>
      </c>
      <c r="AN5737" s="15" t="s">
        <v>383</v>
      </c>
    </row>
    <row r="5738" spans="1:40" x14ac:dyDescent="0.3">
      <c r="A5738" s="10" t="str">
        <f>HYPERLINK("http://www.washoecounty.gov/assessor/cama/?parid=200-582-05&amp;CardNumber=1","200-582-05")</f>
        <v>200-582-05</v>
      </c>
      <c r="B5738" t="s">
        <v>4655</v>
      </c>
      <c r="C5738" t="s">
        <v>28513</v>
      </c>
      <c r="D5738" s="1">
        <v>40382</v>
      </c>
      <c r="E5738" s="2">
        <v>184900</v>
      </c>
      <c r="F5738" t="s">
        <v>4553</v>
      </c>
      <c r="G5738" s="17" t="str">
        <f>HYPERLINK("https://www.washoecounty.gov/assessor/cama/?command=sales&amp;parid=20058205","3904332")</f>
        <v>3904332</v>
      </c>
      <c r="H5738" t="s">
        <v>2611</v>
      </c>
      <c r="I5738">
        <v>2001</v>
      </c>
      <c r="J5738">
        <v>2001</v>
      </c>
      <c r="K5738" t="s">
        <v>4554</v>
      </c>
      <c r="L5738" t="s">
        <v>4555</v>
      </c>
      <c r="M5738" s="2">
        <v>1410</v>
      </c>
      <c r="N5738" t="s">
        <v>5280</v>
      </c>
      <c r="O5738">
        <v>3</v>
      </c>
      <c r="P5738">
        <v>2</v>
      </c>
      <c r="Q5738">
        <v>0</v>
      </c>
      <c r="R5738" t="s">
        <v>5281</v>
      </c>
      <c r="S5738" t="s">
        <v>4898</v>
      </c>
      <c r="T5738" t="s">
        <v>2704</v>
      </c>
      <c r="U5738" t="s">
        <v>4560</v>
      </c>
      <c r="V5738" s="2">
        <v>432</v>
      </c>
      <c r="W5738" t="s">
        <v>4655</v>
      </c>
      <c r="X5738" s="2">
        <v>0</v>
      </c>
      <c r="Y5738">
        <v>20</v>
      </c>
      <c r="Z5738" t="s">
        <v>4144</v>
      </c>
      <c r="AA5738" s="3">
        <v>0.14499540627002699</v>
      </c>
      <c r="AB5738" t="s">
        <v>28514</v>
      </c>
      <c r="AC5738" t="s">
        <v>4562</v>
      </c>
      <c r="AD5738" t="s">
        <v>28513</v>
      </c>
      <c r="AE5738" t="s">
        <v>4655</v>
      </c>
      <c r="AF5738" t="s">
        <v>4563</v>
      </c>
      <c r="AG5738" t="s">
        <v>4564</v>
      </c>
      <c r="AH5738" t="s">
        <v>1147</v>
      </c>
      <c r="AI5738" t="s">
        <v>4903</v>
      </c>
      <c r="AJ5738" t="s">
        <v>1863</v>
      </c>
      <c r="AK5738" t="s">
        <v>28515</v>
      </c>
      <c r="AL5738" s="13" t="s">
        <v>2255</v>
      </c>
      <c r="AM5738">
        <v>1</v>
      </c>
      <c r="AN5738" s="15" t="s">
        <v>383</v>
      </c>
    </row>
    <row r="5739" spans="1:40" x14ac:dyDescent="0.3">
      <c r="A5739" s="10" t="str">
        <f>HYPERLINK("http://www.washoecounty.gov/assessor/cama/?parid=200-582-08&amp;CardNumber=1","200-582-08")</f>
        <v>200-582-08</v>
      </c>
      <c r="B5739" t="s">
        <v>4655</v>
      </c>
      <c r="C5739" t="s">
        <v>28516</v>
      </c>
      <c r="D5739" s="1">
        <v>40512</v>
      </c>
      <c r="E5739" s="2">
        <v>190550</v>
      </c>
      <c r="F5739" t="s">
        <v>4567</v>
      </c>
      <c r="G5739" s="17" t="str">
        <f>HYPERLINK("https://www.washoecounty.gov/assessor/cama/?command=sales&amp;parid=20058208","3947988")</f>
        <v>3947988</v>
      </c>
      <c r="H5739" t="s">
        <v>2611</v>
      </c>
      <c r="I5739">
        <v>2001</v>
      </c>
      <c r="J5739">
        <v>2001</v>
      </c>
      <c r="K5739" t="s">
        <v>4554</v>
      </c>
      <c r="L5739" t="s">
        <v>3974</v>
      </c>
      <c r="M5739" s="2">
        <v>1780</v>
      </c>
      <c r="N5739" t="s">
        <v>5280</v>
      </c>
      <c r="O5739">
        <v>3</v>
      </c>
      <c r="P5739">
        <v>2</v>
      </c>
      <c r="Q5739">
        <v>1</v>
      </c>
      <c r="R5739" t="s">
        <v>5281</v>
      </c>
      <c r="S5739" t="s">
        <v>4898</v>
      </c>
      <c r="T5739" t="s">
        <v>2704</v>
      </c>
      <c r="U5739" t="s">
        <v>5631</v>
      </c>
      <c r="V5739" s="2">
        <v>477</v>
      </c>
      <c r="W5739" t="s">
        <v>4655</v>
      </c>
      <c r="X5739" s="2">
        <v>0</v>
      </c>
      <c r="Y5739">
        <v>20</v>
      </c>
      <c r="Z5739" t="s">
        <v>4144</v>
      </c>
      <c r="AA5739" s="3">
        <v>0.123002752661705</v>
      </c>
      <c r="AB5739" t="s">
        <v>28517</v>
      </c>
      <c r="AC5739" t="s">
        <v>4575</v>
      </c>
      <c r="AD5739" t="s">
        <v>28516</v>
      </c>
      <c r="AE5739" t="s">
        <v>4655</v>
      </c>
      <c r="AF5739" t="s">
        <v>4563</v>
      </c>
      <c r="AG5739" t="s">
        <v>4564</v>
      </c>
      <c r="AH5739" t="s">
        <v>1147</v>
      </c>
      <c r="AI5739" t="s">
        <v>28518</v>
      </c>
      <c r="AJ5739" t="s">
        <v>1863</v>
      </c>
      <c r="AK5739" t="s">
        <v>28519</v>
      </c>
      <c r="AL5739" s="13" t="s">
        <v>2255</v>
      </c>
      <c r="AM5739" s="14">
        <v>1</v>
      </c>
      <c r="AN5739" s="15" t="s">
        <v>383</v>
      </c>
    </row>
    <row r="5740" spans="1:40" x14ac:dyDescent="0.3">
      <c r="A5740" s="10" t="str">
        <f>HYPERLINK("http://www.washoecounty.gov/assessor/cama/?parid=200-584-11&amp;CardNumber=1","200-584-11")</f>
        <v>200-584-11</v>
      </c>
      <c r="B5740" t="s">
        <v>4655</v>
      </c>
      <c r="C5740" t="s">
        <v>28520</v>
      </c>
      <c r="D5740" s="1">
        <v>40416</v>
      </c>
      <c r="E5740" s="2">
        <v>196500</v>
      </c>
      <c r="F5740" t="s">
        <v>4567</v>
      </c>
      <c r="G5740" s="17" t="str">
        <f>HYPERLINK("https://www.washoecounty.gov/assessor/cama/?command=sales&amp;parid=20058411","3915863")</f>
        <v>3915863</v>
      </c>
      <c r="H5740" t="s">
        <v>2611</v>
      </c>
      <c r="I5740">
        <v>2001</v>
      </c>
      <c r="J5740">
        <v>2001</v>
      </c>
      <c r="K5740" t="s">
        <v>4554</v>
      </c>
      <c r="L5740" t="s">
        <v>4555</v>
      </c>
      <c r="M5740" s="2">
        <v>1294</v>
      </c>
      <c r="N5740" t="s">
        <v>5280</v>
      </c>
      <c r="O5740">
        <v>3</v>
      </c>
      <c r="P5740">
        <v>2</v>
      </c>
      <c r="Q5740">
        <v>0</v>
      </c>
      <c r="R5740" t="s">
        <v>4557</v>
      </c>
      <c r="S5740" t="s">
        <v>4898</v>
      </c>
      <c r="T5740" t="s">
        <v>2704</v>
      </c>
      <c r="U5740" t="s">
        <v>4560</v>
      </c>
      <c r="V5740" s="2">
        <v>400</v>
      </c>
      <c r="W5740" t="s">
        <v>4655</v>
      </c>
      <c r="X5740" s="2">
        <v>0</v>
      </c>
      <c r="Y5740">
        <v>20</v>
      </c>
      <c r="Z5740" t="s">
        <v>4144</v>
      </c>
      <c r="AA5740" s="3">
        <v>0.21299357712268799</v>
      </c>
      <c r="AB5740" t="s">
        <v>28521</v>
      </c>
      <c r="AC5740" t="s">
        <v>4562</v>
      </c>
      <c r="AD5740" t="s">
        <v>28520</v>
      </c>
      <c r="AE5740" t="s">
        <v>4655</v>
      </c>
      <c r="AF5740" t="s">
        <v>4563</v>
      </c>
      <c r="AG5740" t="s">
        <v>4564</v>
      </c>
      <c r="AH5740" t="s">
        <v>1147</v>
      </c>
      <c r="AI5740" t="s">
        <v>28522</v>
      </c>
      <c r="AJ5740" t="s">
        <v>1863</v>
      </c>
      <c r="AK5740" t="s">
        <v>28523</v>
      </c>
      <c r="AL5740" s="13" t="s">
        <v>2255</v>
      </c>
      <c r="AM5740">
        <v>1</v>
      </c>
      <c r="AN5740" s="15" t="s">
        <v>383</v>
      </c>
    </row>
    <row r="5741" spans="1:40" x14ac:dyDescent="0.3">
      <c r="A5741" s="10" t="str">
        <f>HYPERLINK("http://www.washoecounty.gov/assessor/cama/?parid=200-590-09&amp;CardNumber=1","200-590-09")</f>
        <v>200-590-09</v>
      </c>
      <c r="B5741" t="s">
        <v>4655</v>
      </c>
      <c r="C5741" t="s">
        <v>28524</v>
      </c>
      <c r="D5741" s="1">
        <v>40435</v>
      </c>
      <c r="E5741" s="2">
        <v>425000</v>
      </c>
      <c r="F5741" t="s">
        <v>4553</v>
      </c>
      <c r="G5741" s="17" t="str">
        <f>HYPERLINK("https://www.washoecounty.gov/assessor/cama/?command=sales&amp;parid=20059009","3922286")</f>
        <v>3922286</v>
      </c>
      <c r="H5741" t="s">
        <v>28525</v>
      </c>
      <c r="I5741">
        <v>2005</v>
      </c>
      <c r="J5741">
        <v>2005</v>
      </c>
      <c r="K5741" t="s">
        <v>5412</v>
      </c>
      <c r="L5741" t="s">
        <v>1366</v>
      </c>
      <c r="M5741" s="2">
        <v>1803</v>
      </c>
      <c r="N5741" t="s">
        <v>1431</v>
      </c>
      <c r="O5741">
        <v>0</v>
      </c>
      <c r="P5741">
        <v>0</v>
      </c>
      <c r="Q5741">
        <v>0</v>
      </c>
      <c r="R5741" t="s">
        <v>1395</v>
      </c>
      <c r="S5741" t="s">
        <v>2054</v>
      </c>
      <c r="T5741" t="s">
        <v>4655</v>
      </c>
      <c r="U5741" t="s">
        <v>4655</v>
      </c>
      <c r="V5741" s="2">
        <v>0</v>
      </c>
      <c r="W5741" t="s">
        <v>3041</v>
      </c>
      <c r="X5741" s="2">
        <v>1023</v>
      </c>
      <c r="Y5741">
        <v>40</v>
      </c>
      <c r="Z5741" t="s">
        <v>3288</v>
      </c>
      <c r="AA5741" s="3">
        <v>4.5913681387901299E-2</v>
      </c>
      <c r="AB5741" t="s">
        <v>5413</v>
      </c>
      <c r="AC5741" t="s">
        <v>4562</v>
      </c>
      <c r="AD5741" t="s">
        <v>28526</v>
      </c>
      <c r="AE5741" t="s">
        <v>4655</v>
      </c>
      <c r="AF5741" t="s">
        <v>4563</v>
      </c>
      <c r="AG5741" t="s">
        <v>4564</v>
      </c>
      <c r="AH5741">
        <v>89511</v>
      </c>
      <c r="AI5741" t="s">
        <v>28527</v>
      </c>
      <c r="AJ5741" t="s">
        <v>28528</v>
      </c>
      <c r="AK5741" t="s">
        <v>28529</v>
      </c>
      <c r="AL5741" s="13" t="s">
        <v>2255</v>
      </c>
      <c r="AM5741" s="14">
        <v>1</v>
      </c>
      <c r="AN5741" s="15" t="s">
        <v>28530</v>
      </c>
    </row>
    <row r="5742" spans="1:40" x14ac:dyDescent="0.3">
      <c r="A5742" s="10" t="str">
        <f>HYPERLINK("http://www.washoecounty.gov/assessor/cama/?parid=202-032-04&amp;CardNumber=1","202-032-04")</f>
        <v>202-032-04</v>
      </c>
      <c r="B5742" t="s">
        <v>4655</v>
      </c>
      <c r="C5742" t="s">
        <v>28531</v>
      </c>
      <c r="D5742" s="1">
        <v>40298</v>
      </c>
      <c r="E5742" s="2">
        <v>202900</v>
      </c>
      <c r="F5742" t="s">
        <v>4553</v>
      </c>
      <c r="G5742" s="17" t="str">
        <f>HYPERLINK("https://www.washoecounty.gov/assessor/cama/?command=sales&amp;parid=20203204","3876967")</f>
        <v>3876967</v>
      </c>
      <c r="H5742" t="s">
        <v>28532</v>
      </c>
      <c r="I5742">
        <v>1995</v>
      </c>
      <c r="J5742">
        <v>1995</v>
      </c>
      <c r="K5742" t="s">
        <v>4554</v>
      </c>
      <c r="L5742" t="s">
        <v>4555</v>
      </c>
      <c r="M5742" s="2">
        <v>1970</v>
      </c>
      <c r="N5742" t="s">
        <v>5280</v>
      </c>
      <c r="O5742">
        <v>3</v>
      </c>
      <c r="P5742">
        <v>2</v>
      </c>
      <c r="Q5742">
        <v>0</v>
      </c>
      <c r="R5742" t="s">
        <v>5281</v>
      </c>
      <c r="S5742" t="s">
        <v>4558</v>
      </c>
      <c r="T5742" t="s">
        <v>4559</v>
      </c>
      <c r="U5742" t="s">
        <v>4560</v>
      </c>
      <c r="V5742" s="2">
        <v>602</v>
      </c>
      <c r="W5742" t="s">
        <v>4655</v>
      </c>
      <c r="X5742" s="2">
        <v>0</v>
      </c>
      <c r="Y5742">
        <v>20</v>
      </c>
      <c r="Z5742" t="s">
        <v>4561</v>
      </c>
      <c r="AA5742" s="3">
        <v>0.207988977432251</v>
      </c>
      <c r="AB5742" t="s">
        <v>28533</v>
      </c>
      <c r="AC5742" t="s">
        <v>4562</v>
      </c>
      <c r="AD5742" t="s">
        <v>28534</v>
      </c>
      <c r="AE5742" t="s">
        <v>4655</v>
      </c>
      <c r="AF5742" t="s">
        <v>4563</v>
      </c>
      <c r="AG5742" t="s">
        <v>4564</v>
      </c>
      <c r="AH5742" t="s">
        <v>1147</v>
      </c>
      <c r="AI5742" t="s">
        <v>28535</v>
      </c>
      <c r="AJ5742" t="s">
        <v>28536</v>
      </c>
      <c r="AK5742" t="s">
        <v>28537</v>
      </c>
      <c r="AL5742" s="13" t="s">
        <v>2255</v>
      </c>
      <c r="AM5742" s="14">
        <v>1</v>
      </c>
      <c r="AN5742" s="15" t="s">
        <v>2115</v>
      </c>
    </row>
    <row r="5743" spans="1:40" x14ac:dyDescent="0.3">
      <c r="A5743" s="10" t="str">
        <f>HYPERLINK("http://www.washoecounty.gov/assessor/cama/?parid=202-032-04&amp;CardNumber=1","202-032-04")</f>
        <v>202-032-04</v>
      </c>
      <c r="B5743" t="s">
        <v>4655</v>
      </c>
      <c r="C5743" t="s">
        <v>28531</v>
      </c>
      <c r="D5743" s="1">
        <v>40344</v>
      </c>
      <c r="E5743" s="2">
        <v>225000</v>
      </c>
      <c r="F5743" t="s">
        <v>4567</v>
      </c>
      <c r="G5743" s="17" t="str">
        <f>HYPERLINK("https://www.washoecounty.gov/assessor/cama/?command=sales&amp;parid=20203204","3891921")</f>
        <v>3891921</v>
      </c>
      <c r="H5743" t="s">
        <v>28532</v>
      </c>
      <c r="I5743">
        <v>1995</v>
      </c>
      <c r="J5743">
        <v>1995</v>
      </c>
      <c r="K5743" t="s">
        <v>4554</v>
      </c>
      <c r="L5743" t="s">
        <v>4555</v>
      </c>
      <c r="M5743" s="2">
        <v>1970</v>
      </c>
      <c r="N5743" t="s">
        <v>5280</v>
      </c>
      <c r="O5743">
        <v>3</v>
      </c>
      <c r="P5743">
        <v>2</v>
      </c>
      <c r="Q5743">
        <v>0</v>
      </c>
      <c r="R5743" t="s">
        <v>5281</v>
      </c>
      <c r="S5743" t="s">
        <v>4558</v>
      </c>
      <c r="T5743" t="s">
        <v>4559</v>
      </c>
      <c r="U5743" t="s">
        <v>4560</v>
      </c>
      <c r="V5743" s="2">
        <v>602</v>
      </c>
      <c r="W5743" t="s">
        <v>4655</v>
      </c>
      <c r="X5743" s="2">
        <v>0</v>
      </c>
      <c r="Y5743">
        <v>20</v>
      </c>
      <c r="Z5743" t="s">
        <v>4561</v>
      </c>
      <c r="AA5743" s="3">
        <v>0.207988977432251</v>
      </c>
      <c r="AB5743" t="s">
        <v>28533</v>
      </c>
      <c r="AC5743" t="s">
        <v>4562</v>
      </c>
      <c r="AD5743" t="s">
        <v>28534</v>
      </c>
      <c r="AE5743" t="s">
        <v>4655</v>
      </c>
      <c r="AF5743" t="s">
        <v>4563</v>
      </c>
      <c r="AG5743" t="s">
        <v>4564</v>
      </c>
      <c r="AH5743" t="s">
        <v>1147</v>
      </c>
      <c r="AI5743" t="s">
        <v>28535</v>
      </c>
      <c r="AJ5743" t="s">
        <v>28536</v>
      </c>
      <c r="AK5743" t="s">
        <v>28537</v>
      </c>
      <c r="AL5743" s="13" t="s">
        <v>2255</v>
      </c>
      <c r="AM5743">
        <v>1</v>
      </c>
      <c r="AN5743" s="15" t="s">
        <v>2115</v>
      </c>
    </row>
    <row r="5744" spans="1:40" x14ac:dyDescent="0.3">
      <c r="A5744" s="10" t="str">
        <f>HYPERLINK("http://www.washoecounty.gov/assessor/cama/?parid=202-033-03&amp;CardNumber=1","202-033-03")</f>
        <v>202-033-03</v>
      </c>
      <c r="B5744" t="s">
        <v>4655</v>
      </c>
      <c r="C5744" t="s">
        <v>28538</v>
      </c>
      <c r="D5744" s="1">
        <v>40494</v>
      </c>
      <c r="E5744" s="2">
        <v>190000</v>
      </c>
      <c r="F5744" t="s">
        <v>4567</v>
      </c>
      <c r="G5744" s="17" t="str">
        <f>HYPERLINK("https://www.washoecounty.gov/assessor/cama/?command=sales&amp;parid=20203303","3942707")</f>
        <v>3942707</v>
      </c>
      <c r="H5744" t="s">
        <v>899</v>
      </c>
      <c r="I5744">
        <v>1996</v>
      </c>
      <c r="J5744">
        <v>1996</v>
      </c>
      <c r="K5744" t="s">
        <v>4554</v>
      </c>
      <c r="L5744" t="s">
        <v>3974</v>
      </c>
      <c r="M5744" s="2">
        <v>1837</v>
      </c>
      <c r="N5744" t="s">
        <v>5280</v>
      </c>
      <c r="O5744">
        <v>4</v>
      </c>
      <c r="P5744">
        <v>2</v>
      </c>
      <c r="Q5744">
        <v>1</v>
      </c>
      <c r="R5744" t="s">
        <v>5281</v>
      </c>
      <c r="S5744" t="s">
        <v>4558</v>
      </c>
      <c r="T5744" t="s">
        <v>4559</v>
      </c>
      <c r="U5744" t="s">
        <v>5631</v>
      </c>
      <c r="V5744" s="2">
        <v>454</v>
      </c>
      <c r="W5744" t="s">
        <v>4655</v>
      </c>
      <c r="X5744" s="2">
        <v>0</v>
      </c>
      <c r="Y5744">
        <v>20</v>
      </c>
      <c r="Z5744" t="s">
        <v>4561</v>
      </c>
      <c r="AA5744" s="3">
        <v>0.13799357414245605</v>
      </c>
      <c r="AB5744" t="s">
        <v>28539</v>
      </c>
      <c r="AC5744" t="s">
        <v>4575</v>
      </c>
      <c r="AD5744" t="s">
        <v>28540</v>
      </c>
      <c r="AE5744" t="s">
        <v>4655</v>
      </c>
      <c r="AF5744" t="s">
        <v>28541</v>
      </c>
      <c r="AG5744" t="s">
        <v>4584</v>
      </c>
      <c r="AH5744" t="s">
        <v>28542</v>
      </c>
      <c r="AI5744" t="s">
        <v>28543</v>
      </c>
      <c r="AJ5744" t="s">
        <v>4240</v>
      </c>
      <c r="AK5744" t="s">
        <v>28544</v>
      </c>
      <c r="AL5744" s="13" t="s">
        <v>2255</v>
      </c>
      <c r="AM5744">
        <v>1</v>
      </c>
      <c r="AN5744" s="15" t="s">
        <v>2115</v>
      </c>
    </row>
    <row r="5745" spans="1:40" x14ac:dyDescent="0.3">
      <c r="A5745" s="10" t="str">
        <f>HYPERLINK("http://www.washoecounty.gov/assessor/cama/?parid=202-041-03&amp;CardNumber=1","202-041-03")</f>
        <v>202-041-03</v>
      </c>
      <c r="B5745" t="s">
        <v>4655</v>
      </c>
      <c r="C5745" t="s">
        <v>28545</v>
      </c>
      <c r="D5745" s="1">
        <v>40389</v>
      </c>
      <c r="E5745" s="2">
        <v>205000</v>
      </c>
      <c r="F5745" t="s">
        <v>4567</v>
      </c>
      <c r="G5745" s="17" t="str">
        <f>HYPERLINK("https://www.washoecounty.gov/assessor/cama/?command=sales&amp;parid=20204103","3907300")</f>
        <v>3907300</v>
      </c>
      <c r="H5745" t="s">
        <v>899</v>
      </c>
      <c r="I5745">
        <v>1995</v>
      </c>
      <c r="J5745">
        <v>1995</v>
      </c>
      <c r="K5745" t="s">
        <v>4554</v>
      </c>
      <c r="L5745" t="s">
        <v>4555</v>
      </c>
      <c r="M5745" s="2">
        <v>1703</v>
      </c>
      <c r="N5745" t="s">
        <v>5280</v>
      </c>
      <c r="O5745">
        <v>3</v>
      </c>
      <c r="P5745">
        <v>2</v>
      </c>
      <c r="Q5745">
        <v>0</v>
      </c>
      <c r="R5745" t="s">
        <v>5281</v>
      </c>
      <c r="S5745" t="s">
        <v>4558</v>
      </c>
      <c r="T5745" t="s">
        <v>4559</v>
      </c>
      <c r="U5745" t="s">
        <v>4560</v>
      </c>
      <c r="V5745" s="2">
        <v>419</v>
      </c>
      <c r="W5745" t="s">
        <v>4655</v>
      </c>
      <c r="X5745" s="2">
        <v>0</v>
      </c>
      <c r="Y5745">
        <v>20</v>
      </c>
      <c r="Z5745" t="s">
        <v>4561</v>
      </c>
      <c r="AA5745" s="3">
        <v>0.28999081254005399</v>
      </c>
      <c r="AB5745" t="s">
        <v>28546</v>
      </c>
      <c r="AC5745" t="s">
        <v>4562</v>
      </c>
      <c r="AD5745" t="s">
        <v>28545</v>
      </c>
      <c r="AE5745" t="s">
        <v>4655</v>
      </c>
      <c r="AF5745" t="s">
        <v>4563</v>
      </c>
      <c r="AG5745" t="s">
        <v>4564</v>
      </c>
      <c r="AH5745" t="s">
        <v>1147</v>
      </c>
      <c r="AI5745" t="s">
        <v>28547</v>
      </c>
      <c r="AJ5745" t="s">
        <v>28548</v>
      </c>
      <c r="AK5745" t="s">
        <v>28549</v>
      </c>
      <c r="AL5745" s="13" t="s">
        <v>2255</v>
      </c>
      <c r="AM5745" s="14">
        <v>1</v>
      </c>
      <c r="AN5745" s="15" t="s">
        <v>2115</v>
      </c>
    </row>
    <row r="5746" spans="1:40" x14ac:dyDescent="0.3">
      <c r="A5746" s="10" t="str">
        <f>HYPERLINK("http://www.washoecounty.gov/assessor/cama/?parid=202-102-04&amp;CardNumber=1","202-102-04")</f>
        <v>202-102-04</v>
      </c>
      <c r="B5746" t="s">
        <v>4655</v>
      </c>
      <c r="C5746" t="s">
        <v>28550</v>
      </c>
      <c r="D5746" s="1">
        <v>40295</v>
      </c>
      <c r="E5746" s="2">
        <v>202900</v>
      </c>
      <c r="F5746" t="s">
        <v>4567</v>
      </c>
      <c r="G5746" s="17" t="str">
        <f>HYPERLINK("https://www.washoecounty.gov/assessor/cama/?command=sales&amp;parid=20210204","3875288")</f>
        <v>3875288</v>
      </c>
      <c r="H5746" t="s">
        <v>28551</v>
      </c>
      <c r="I5746">
        <v>1994</v>
      </c>
      <c r="J5746">
        <v>1994</v>
      </c>
      <c r="K5746" t="s">
        <v>4554</v>
      </c>
      <c r="L5746" t="s">
        <v>4555</v>
      </c>
      <c r="M5746" s="2">
        <v>1699</v>
      </c>
      <c r="N5746" t="s">
        <v>5280</v>
      </c>
      <c r="O5746">
        <v>3</v>
      </c>
      <c r="P5746">
        <v>2</v>
      </c>
      <c r="Q5746">
        <v>0</v>
      </c>
      <c r="R5746" t="s">
        <v>5281</v>
      </c>
      <c r="S5746" t="s">
        <v>4558</v>
      </c>
      <c r="T5746" t="s">
        <v>4559</v>
      </c>
      <c r="U5746" t="s">
        <v>4560</v>
      </c>
      <c r="V5746" s="2">
        <v>419</v>
      </c>
      <c r="W5746" t="s">
        <v>4655</v>
      </c>
      <c r="X5746" s="2">
        <v>0</v>
      </c>
      <c r="Y5746">
        <v>20</v>
      </c>
      <c r="Z5746" t="s">
        <v>4561</v>
      </c>
      <c r="AA5746" s="3">
        <v>0.15899908542633101</v>
      </c>
      <c r="AB5746" t="s">
        <v>28552</v>
      </c>
      <c r="AC5746" t="s">
        <v>4562</v>
      </c>
      <c r="AD5746" t="s">
        <v>28550</v>
      </c>
      <c r="AE5746" t="s">
        <v>4655</v>
      </c>
      <c r="AF5746" t="s">
        <v>4563</v>
      </c>
      <c r="AG5746" t="s">
        <v>4564</v>
      </c>
      <c r="AH5746" t="s">
        <v>1147</v>
      </c>
      <c r="AI5746" t="s">
        <v>28553</v>
      </c>
      <c r="AJ5746" t="s">
        <v>28554</v>
      </c>
      <c r="AK5746" t="s">
        <v>28555</v>
      </c>
      <c r="AL5746" s="13" t="s">
        <v>2255</v>
      </c>
      <c r="AM5746">
        <v>1</v>
      </c>
      <c r="AN5746" s="15" t="s">
        <v>2115</v>
      </c>
    </row>
    <row r="5747" spans="1:40" x14ac:dyDescent="0.3">
      <c r="A5747" s="10" t="str">
        <f>HYPERLINK("http://www.washoecounty.gov/assessor/cama/?parid=202-104-09&amp;CardNumber=1","202-104-09")</f>
        <v>202-104-09</v>
      </c>
      <c r="B5747" t="s">
        <v>4655</v>
      </c>
      <c r="C5747" t="s">
        <v>28556</v>
      </c>
      <c r="D5747" s="1">
        <v>40221</v>
      </c>
      <c r="E5747" s="2">
        <v>185000</v>
      </c>
      <c r="F5747" t="s">
        <v>4567</v>
      </c>
      <c r="G5747" s="17" t="str">
        <f>HYPERLINK("https://www.washoecounty.gov/assessor/cama/?command=sales&amp;parid=20210409","3848952")</f>
        <v>3848952</v>
      </c>
      <c r="H5747" t="s">
        <v>28557</v>
      </c>
      <c r="I5747">
        <v>1990</v>
      </c>
      <c r="J5747">
        <v>1990</v>
      </c>
      <c r="K5747" t="s">
        <v>4554</v>
      </c>
      <c r="L5747" t="s">
        <v>3974</v>
      </c>
      <c r="M5747" s="2">
        <v>1988</v>
      </c>
      <c r="N5747" t="s">
        <v>5280</v>
      </c>
      <c r="O5747">
        <v>3</v>
      </c>
      <c r="P5747">
        <v>2</v>
      </c>
      <c r="Q5747">
        <v>1</v>
      </c>
      <c r="R5747" t="s">
        <v>5281</v>
      </c>
      <c r="S5747" t="s">
        <v>4558</v>
      </c>
      <c r="T5747" t="s">
        <v>4559</v>
      </c>
      <c r="U5747" t="s">
        <v>5631</v>
      </c>
      <c r="V5747" s="2">
        <v>529</v>
      </c>
      <c r="W5747" t="s">
        <v>4655</v>
      </c>
      <c r="X5747" s="2">
        <v>0</v>
      </c>
      <c r="Y5747">
        <v>20</v>
      </c>
      <c r="Z5747" t="s">
        <v>4561</v>
      </c>
      <c r="AA5747" s="3">
        <v>0.13700643181800801</v>
      </c>
      <c r="AB5747" t="s">
        <v>28558</v>
      </c>
      <c r="AC5747" t="s">
        <v>4575</v>
      </c>
      <c r="AD5747" t="s">
        <v>28559</v>
      </c>
      <c r="AE5747" t="s">
        <v>4655</v>
      </c>
      <c r="AF5747" t="s">
        <v>4563</v>
      </c>
      <c r="AG5747" t="s">
        <v>4564</v>
      </c>
      <c r="AH5747" t="s">
        <v>1147</v>
      </c>
      <c r="AI5747" t="s">
        <v>4655</v>
      </c>
      <c r="AJ5747" t="s">
        <v>28560</v>
      </c>
      <c r="AK5747" t="s">
        <v>28561</v>
      </c>
      <c r="AL5747" s="13" t="s">
        <v>2255</v>
      </c>
      <c r="AM5747">
        <v>1</v>
      </c>
      <c r="AN5747" s="15" t="s">
        <v>2115</v>
      </c>
    </row>
    <row r="5748" spans="1:40" x14ac:dyDescent="0.3">
      <c r="A5748" s="10" t="str">
        <f>HYPERLINK("http://www.washoecounty.gov/assessor/cama/?parid=202-111-20&amp;CardNumber=1","202-111-20")</f>
        <v>202-111-20</v>
      </c>
      <c r="B5748" t="s">
        <v>4655</v>
      </c>
      <c r="C5748" t="s">
        <v>28562</v>
      </c>
      <c r="D5748" s="1">
        <v>40357</v>
      </c>
      <c r="E5748" s="2">
        <v>205000</v>
      </c>
      <c r="F5748" t="s">
        <v>4567</v>
      </c>
      <c r="G5748" s="17" t="str">
        <f>HYPERLINK("https://www.washoecounty.gov/assessor/cama/?command=sales&amp;parid=20211120","3895716")</f>
        <v>3895716</v>
      </c>
      <c r="H5748" t="s">
        <v>1436</v>
      </c>
      <c r="I5748">
        <v>1998</v>
      </c>
      <c r="J5748">
        <v>1998</v>
      </c>
      <c r="K5748" t="s">
        <v>4554</v>
      </c>
      <c r="L5748" t="s">
        <v>3974</v>
      </c>
      <c r="M5748" s="2">
        <v>1744</v>
      </c>
      <c r="N5748" t="s">
        <v>5280</v>
      </c>
      <c r="O5748">
        <v>3</v>
      </c>
      <c r="P5748">
        <v>2</v>
      </c>
      <c r="Q5748">
        <v>1</v>
      </c>
      <c r="R5748" t="s">
        <v>4557</v>
      </c>
      <c r="S5748" t="s">
        <v>4558</v>
      </c>
      <c r="T5748" t="s">
        <v>4559</v>
      </c>
      <c r="U5748" t="s">
        <v>5631</v>
      </c>
      <c r="V5748" s="2">
        <v>459</v>
      </c>
      <c r="W5748" t="s">
        <v>4655</v>
      </c>
      <c r="X5748" s="2">
        <v>0</v>
      </c>
      <c r="Y5748">
        <v>20</v>
      </c>
      <c r="Z5748" t="s">
        <v>4144</v>
      </c>
      <c r="AA5748" s="3">
        <v>0.151010096073151</v>
      </c>
      <c r="AB5748" t="s">
        <v>28563</v>
      </c>
      <c r="AC5748" t="s">
        <v>4575</v>
      </c>
      <c r="AD5748" t="s">
        <v>3177</v>
      </c>
      <c r="AE5748" t="s">
        <v>4655</v>
      </c>
      <c r="AF5748" t="s">
        <v>28564</v>
      </c>
      <c r="AG5748" t="s">
        <v>4584</v>
      </c>
      <c r="AH5748">
        <v>96006</v>
      </c>
      <c r="AI5748" t="s">
        <v>28565</v>
      </c>
      <c r="AJ5748" t="s">
        <v>28566</v>
      </c>
      <c r="AK5748" t="s">
        <v>28567</v>
      </c>
      <c r="AL5748" s="13" t="s">
        <v>2255</v>
      </c>
      <c r="AM5748">
        <v>1</v>
      </c>
      <c r="AN5748" s="15" t="s">
        <v>1579</v>
      </c>
    </row>
    <row r="5749" spans="1:40" x14ac:dyDescent="0.3">
      <c r="A5749" s="10" t="str">
        <f>HYPERLINK("http://www.washoecounty.gov/assessor/cama/?parid=202-111-44&amp;CardNumber=1","202-111-44")</f>
        <v>202-111-44</v>
      </c>
      <c r="B5749" t="s">
        <v>4655</v>
      </c>
      <c r="C5749" t="s">
        <v>28568</v>
      </c>
      <c r="D5749" s="1">
        <v>40389</v>
      </c>
      <c r="E5749" s="2">
        <v>174900</v>
      </c>
      <c r="F5749" t="s">
        <v>4553</v>
      </c>
      <c r="G5749" s="17" t="str">
        <f>HYPERLINK("https://www.washoecounty.gov/assessor/cama/?command=sales&amp;parid=20211144","3907299")</f>
        <v>3907299</v>
      </c>
      <c r="H5749" t="s">
        <v>60</v>
      </c>
      <c r="I5749">
        <v>1998</v>
      </c>
      <c r="J5749">
        <v>1998</v>
      </c>
      <c r="K5749" t="s">
        <v>4554</v>
      </c>
      <c r="L5749" t="s">
        <v>4555</v>
      </c>
      <c r="M5749" s="2">
        <v>1414</v>
      </c>
      <c r="N5749" t="s">
        <v>5280</v>
      </c>
      <c r="O5749">
        <v>3</v>
      </c>
      <c r="P5749">
        <v>2</v>
      </c>
      <c r="Q5749">
        <v>0</v>
      </c>
      <c r="R5749" t="s">
        <v>4557</v>
      </c>
      <c r="S5749" t="s">
        <v>4558</v>
      </c>
      <c r="T5749" t="s">
        <v>4559</v>
      </c>
      <c r="U5749" t="s">
        <v>4560</v>
      </c>
      <c r="V5749" s="2">
        <v>440</v>
      </c>
      <c r="W5749" t="s">
        <v>4655</v>
      </c>
      <c r="X5749" s="2">
        <v>0</v>
      </c>
      <c r="Y5749">
        <v>20</v>
      </c>
      <c r="Z5749" t="s">
        <v>4144</v>
      </c>
      <c r="AA5749" s="3">
        <v>0.42699724435806302</v>
      </c>
      <c r="AB5749" t="s">
        <v>28569</v>
      </c>
      <c r="AC5749" t="s">
        <v>4575</v>
      </c>
      <c r="AD5749" t="s">
        <v>28570</v>
      </c>
      <c r="AE5749" t="s">
        <v>4655</v>
      </c>
      <c r="AF5749" t="s">
        <v>4601</v>
      </c>
      <c r="AG5749" t="s">
        <v>4584</v>
      </c>
      <c r="AH5749" t="s">
        <v>4602</v>
      </c>
      <c r="AI5749" t="s">
        <v>4903</v>
      </c>
      <c r="AJ5749" t="s">
        <v>28571</v>
      </c>
      <c r="AK5749" t="s">
        <v>28572</v>
      </c>
      <c r="AL5749" s="13" t="s">
        <v>2255</v>
      </c>
      <c r="AM5749">
        <v>1</v>
      </c>
      <c r="AN5749" s="15" t="s">
        <v>1579</v>
      </c>
    </row>
    <row r="5750" spans="1:40" x14ac:dyDescent="0.3">
      <c r="A5750" s="10" t="str">
        <f>HYPERLINK("http://www.washoecounty.gov/assessor/cama/?parid=202-111-51&amp;CardNumber=1","202-111-51")</f>
        <v>202-111-51</v>
      </c>
      <c r="B5750" t="s">
        <v>4655</v>
      </c>
      <c r="C5750" t="s">
        <v>28573</v>
      </c>
      <c r="D5750" s="1">
        <v>40542</v>
      </c>
      <c r="E5750" s="2">
        <v>150000</v>
      </c>
      <c r="F5750" t="s">
        <v>4567</v>
      </c>
      <c r="G5750" s="17" t="str">
        <f>HYPERLINK("https://www.washoecounty.gov/assessor/cama/?command=sales&amp;parid=20211151","3959297")</f>
        <v>3959297</v>
      </c>
      <c r="H5750" t="s">
        <v>60</v>
      </c>
      <c r="I5750">
        <v>1998</v>
      </c>
      <c r="J5750">
        <v>1998</v>
      </c>
      <c r="K5750" t="s">
        <v>4554</v>
      </c>
      <c r="L5750" t="s">
        <v>3974</v>
      </c>
      <c r="M5750" s="2">
        <v>1744</v>
      </c>
      <c r="N5750" t="s">
        <v>5280</v>
      </c>
      <c r="O5750">
        <v>3</v>
      </c>
      <c r="P5750">
        <v>2</v>
      </c>
      <c r="Q5750">
        <v>1</v>
      </c>
      <c r="R5750" t="s">
        <v>5281</v>
      </c>
      <c r="S5750" t="s">
        <v>4558</v>
      </c>
      <c r="T5750" t="s">
        <v>4559</v>
      </c>
      <c r="U5750" t="s">
        <v>5631</v>
      </c>
      <c r="V5750" s="2">
        <v>459</v>
      </c>
      <c r="W5750" t="s">
        <v>4655</v>
      </c>
      <c r="X5750" s="2">
        <v>0</v>
      </c>
      <c r="Y5750">
        <v>20</v>
      </c>
      <c r="Z5750" t="s">
        <v>4144</v>
      </c>
      <c r="AA5750" s="3">
        <v>0.107001833617687</v>
      </c>
      <c r="AB5750" t="s">
        <v>26405</v>
      </c>
      <c r="AC5750" t="s">
        <v>4575</v>
      </c>
      <c r="AD5750" t="s">
        <v>28574</v>
      </c>
      <c r="AE5750" t="s">
        <v>4655</v>
      </c>
      <c r="AF5750" t="s">
        <v>4563</v>
      </c>
      <c r="AG5750" t="s">
        <v>4564</v>
      </c>
      <c r="AH5750">
        <v>89511</v>
      </c>
      <c r="AI5750" t="s">
        <v>28575</v>
      </c>
      <c r="AJ5750" t="s">
        <v>117</v>
      </c>
      <c r="AK5750" t="s">
        <v>28576</v>
      </c>
      <c r="AL5750" s="13" t="s">
        <v>2255</v>
      </c>
      <c r="AM5750">
        <v>1</v>
      </c>
      <c r="AN5750" s="15" t="s">
        <v>1579</v>
      </c>
    </row>
    <row r="5751" spans="1:40" x14ac:dyDescent="0.3">
      <c r="A5751" s="10" t="str">
        <f>HYPERLINK("http://www.washoecounty.gov/assessor/cama/?parid=202-140-02&amp;CardNumber=1","202-140-02")</f>
        <v>202-140-02</v>
      </c>
      <c r="B5751" t="s">
        <v>4655</v>
      </c>
      <c r="C5751" t="s">
        <v>28577</v>
      </c>
      <c r="D5751" s="1">
        <v>40262</v>
      </c>
      <c r="E5751" s="2">
        <v>190000</v>
      </c>
      <c r="F5751" t="s">
        <v>4567</v>
      </c>
      <c r="G5751" s="17" t="str">
        <f>HYPERLINK("https://www.washoecounty.gov/assessor/cama/?command=sales&amp;parid=20214002","3864092")</f>
        <v>3864092</v>
      </c>
      <c r="H5751" t="s">
        <v>3928</v>
      </c>
      <c r="I5751">
        <v>2001</v>
      </c>
      <c r="J5751">
        <v>2001</v>
      </c>
      <c r="K5751" t="s">
        <v>4554</v>
      </c>
      <c r="L5751" t="s">
        <v>4555</v>
      </c>
      <c r="M5751" s="2">
        <v>1710</v>
      </c>
      <c r="N5751" t="s">
        <v>5280</v>
      </c>
      <c r="O5751">
        <v>3</v>
      </c>
      <c r="P5751">
        <v>2</v>
      </c>
      <c r="Q5751">
        <v>0</v>
      </c>
      <c r="R5751" t="s">
        <v>5281</v>
      </c>
      <c r="S5751" t="s">
        <v>4898</v>
      </c>
      <c r="T5751" t="s">
        <v>4559</v>
      </c>
      <c r="U5751" t="s">
        <v>4560</v>
      </c>
      <c r="V5751" s="2">
        <v>615</v>
      </c>
      <c r="W5751" t="s">
        <v>4655</v>
      </c>
      <c r="X5751" s="2">
        <v>0</v>
      </c>
      <c r="Y5751">
        <v>20</v>
      </c>
      <c r="Z5751" t="s">
        <v>4561</v>
      </c>
      <c r="AA5751" s="3">
        <v>0.23500917851924899</v>
      </c>
      <c r="AB5751" t="s">
        <v>28578</v>
      </c>
      <c r="AC5751" t="s">
        <v>4562</v>
      </c>
      <c r="AD5751" t="s">
        <v>28577</v>
      </c>
      <c r="AE5751" t="s">
        <v>4655</v>
      </c>
      <c r="AF5751" t="s">
        <v>4563</v>
      </c>
      <c r="AG5751" t="s">
        <v>4564</v>
      </c>
      <c r="AH5751" t="s">
        <v>1147</v>
      </c>
      <c r="AI5751" t="s">
        <v>28579</v>
      </c>
      <c r="AJ5751" t="s">
        <v>3909</v>
      </c>
      <c r="AK5751" t="s">
        <v>28580</v>
      </c>
      <c r="AL5751" s="13" t="s">
        <v>2255</v>
      </c>
      <c r="AM5751" s="14">
        <v>1</v>
      </c>
      <c r="AN5751" s="15" t="s">
        <v>1579</v>
      </c>
    </row>
    <row r="5752" spans="1:40" x14ac:dyDescent="0.3">
      <c r="A5752" s="10" t="str">
        <f>HYPERLINK("http://www.washoecounty.gov/assessor/cama/?parid=202-140-12&amp;CardNumber=1","202-140-12")</f>
        <v>202-140-12</v>
      </c>
      <c r="B5752" t="s">
        <v>4655</v>
      </c>
      <c r="C5752" t="s">
        <v>28581</v>
      </c>
      <c r="D5752" s="1">
        <v>40275</v>
      </c>
      <c r="E5752" s="2">
        <v>228000</v>
      </c>
      <c r="F5752" t="s">
        <v>4567</v>
      </c>
      <c r="G5752" s="17" t="str">
        <f>HYPERLINK("https://www.washoecounty.gov/assessor/cama/?command=sales&amp;parid=20214012","3868690")</f>
        <v>3868690</v>
      </c>
      <c r="H5752" t="s">
        <v>3928</v>
      </c>
      <c r="I5752">
        <v>2000</v>
      </c>
      <c r="J5752">
        <v>2000</v>
      </c>
      <c r="K5752" t="s">
        <v>4554</v>
      </c>
      <c r="L5752" t="s">
        <v>3974</v>
      </c>
      <c r="M5752" s="2">
        <v>2100</v>
      </c>
      <c r="N5752" t="s">
        <v>5280</v>
      </c>
      <c r="O5752">
        <v>4</v>
      </c>
      <c r="P5752">
        <v>2</v>
      </c>
      <c r="Q5752">
        <v>1</v>
      </c>
      <c r="R5752" t="s">
        <v>5281</v>
      </c>
      <c r="S5752" t="s">
        <v>4898</v>
      </c>
      <c r="T5752" t="s">
        <v>4559</v>
      </c>
      <c r="U5752" t="s">
        <v>5631</v>
      </c>
      <c r="V5752" s="2">
        <v>588</v>
      </c>
      <c r="W5752" t="s">
        <v>4655</v>
      </c>
      <c r="X5752" s="2">
        <v>0</v>
      </c>
      <c r="Y5752">
        <v>20</v>
      </c>
      <c r="Z5752" t="s">
        <v>4561</v>
      </c>
      <c r="AA5752" s="3">
        <v>0.464990824460983</v>
      </c>
      <c r="AB5752" t="s">
        <v>28582</v>
      </c>
      <c r="AC5752" t="s">
        <v>4562</v>
      </c>
      <c r="AD5752" t="s">
        <v>28581</v>
      </c>
      <c r="AE5752" t="s">
        <v>4655</v>
      </c>
      <c r="AF5752" t="s">
        <v>4563</v>
      </c>
      <c r="AG5752" t="s">
        <v>4564</v>
      </c>
      <c r="AH5752" t="s">
        <v>1147</v>
      </c>
      <c r="AI5752" t="s">
        <v>28583</v>
      </c>
      <c r="AJ5752" t="s">
        <v>3909</v>
      </c>
      <c r="AK5752" t="s">
        <v>28584</v>
      </c>
      <c r="AL5752" s="13" t="s">
        <v>2255</v>
      </c>
      <c r="AM5752" s="14">
        <v>1</v>
      </c>
      <c r="AN5752" s="15" t="s">
        <v>1579</v>
      </c>
    </row>
    <row r="5753" spans="1:40" x14ac:dyDescent="0.3">
      <c r="A5753" s="10" t="str">
        <f>HYPERLINK("http://www.washoecounty.gov/assessor/cama/?parid=202-181-05&amp;CardNumber=1","202-181-05")</f>
        <v>202-181-05</v>
      </c>
      <c r="B5753" t="s">
        <v>4655</v>
      </c>
      <c r="C5753" t="s">
        <v>28585</v>
      </c>
      <c r="D5753" s="1">
        <v>40534</v>
      </c>
      <c r="E5753" s="2">
        <v>220000</v>
      </c>
      <c r="F5753" t="s">
        <v>4567</v>
      </c>
      <c r="G5753" s="17" t="str">
        <f>HYPERLINK("https://www.washoecounty.gov/assessor/cama/?command=sales&amp;parid=20218105","3956180")</f>
        <v>3956180</v>
      </c>
      <c r="H5753" t="s">
        <v>1575</v>
      </c>
      <c r="I5753">
        <v>2006</v>
      </c>
      <c r="J5753">
        <v>2006</v>
      </c>
      <c r="K5753" t="s">
        <v>4554</v>
      </c>
      <c r="L5753" t="s">
        <v>4555</v>
      </c>
      <c r="M5753" s="2">
        <v>1612</v>
      </c>
      <c r="N5753" t="s">
        <v>5280</v>
      </c>
      <c r="O5753">
        <v>3</v>
      </c>
      <c r="P5753">
        <v>2</v>
      </c>
      <c r="Q5753">
        <v>0</v>
      </c>
      <c r="R5753" t="s">
        <v>5281</v>
      </c>
      <c r="S5753" t="s">
        <v>4898</v>
      </c>
      <c r="T5753" t="s">
        <v>4559</v>
      </c>
      <c r="U5753" t="s">
        <v>4560</v>
      </c>
      <c r="V5753" s="2">
        <v>420</v>
      </c>
      <c r="W5753" t="s">
        <v>4655</v>
      </c>
      <c r="X5753" s="2">
        <v>0</v>
      </c>
      <c r="Y5753">
        <v>20</v>
      </c>
      <c r="Z5753" t="s">
        <v>4561</v>
      </c>
      <c r="AA5753" s="3">
        <v>0.13790173828601801</v>
      </c>
      <c r="AB5753" t="s">
        <v>28586</v>
      </c>
      <c r="AC5753" t="s">
        <v>4562</v>
      </c>
      <c r="AD5753" t="s">
        <v>28585</v>
      </c>
      <c r="AE5753" t="s">
        <v>4655</v>
      </c>
      <c r="AF5753" t="s">
        <v>4563</v>
      </c>
      <c r="AG5753" t="s">
        <v>4564</v>
      </c>
      <c r="AH5753" t="s">
        <v>1147</v>
      </c>
      <c r="AI5753" t="s">
        <v>28587</v>
      </c>
      <c r="AJ5753" t="s">
        <v>1577</v>
      </c>
      <c r="AK5753" t="s">
        <v>28588</v>
      </c>
      <c r="AL5753" s="13" t="s">
        <v>2255</v>
      </c>
      <c r="AM5753" s="14">
        <v>1</v>
      </c>
      <c r="AN5753" s="15" t="s">
        <v>1579</v>
      </c>
    </row>
    <row r="5754" spans="1:40" x14ac:dyDescent="0.3">
      <c r="A5754" s="10" t="str">
        <f>HYPERLINK("http://www.washoecounty.gov/assessor/cama/?parid=202-182-01&amp;CardNumber=1","202-182-01")</f>
        <v>202-182-01</v>
      </c>
      <c r="B5754" t="s">
        <v>4655</v>
      </c>
      <c r="C5754" t="s">
        <v>28589</v>
      </c>
      <c r="D5754" s="1">
        <v>40183</v>
      </c>
      <c r="E5754" s="2">
        <v>953900</v>
      </c>
      <c r="F5754" t="s">
        <v>2900</v>
      </c>
      <c r="G5754" s="17" t="str">
        <f>HYPERLINK("https://www.washoecounty.gov/assessor/cama/?command=sales&amp;parid=20218201","3836660")</f>
        <v>3836660</v>
      </c>
      <c r="H5754" t="s">
        <v>1575</v>
      </c>
      <c r="I5754">
        <v>2009</v>
      </c>
      <c r="J5754">
        <v>2009</v>
      </c>
      <c r="K5754" t="s">
        <v>4554</v>
      </c>
      <c r="L5754" t="s">
        <v>4555</v>
      </c>
      <c r="M5754" s="2">
        <v>1612</v>
      </c>
      <c r="N5754" t="s">
        <v>5280</v>
      </c>
      <c r="O5754">
        <v>3</v>
      </c>
      <c r="P5754">
        <v>2</v>
      </c>
      <c r="Q5754">
        <v>0</v>
      </c>
      <c r="R5754" t="s">
        <v>5281</v>
      </c>
      <c r="S5754" t="s">
        <v>4898</v>
      </c>
      <c r="T5754" t="s">
        <v>4559</v>
      </c>
      <c r="U5754" t="s">
        <v>4560</v>
      </c>
      <c r="V5754" s="2">
        <v>420</v>
      </c>
      <c r="W5754" t="s">
        <v>4655</v>
      </c>
      <c r="X5754" s="2">
        <v>0</v>
      </c>
      <c r="Y5754">
        <v>12</v>
      </c>
      <c r="Z5754" t="s">
        <v>4561</v>
      </c>
      <c r="AA5754" s="3">
        <v>0.184366390109062</v>
      </c>
      <c r="AB5754" t="s">
        <v>28590</v>
      </c>
      <c r="AC5754" t="s">
        <v>4562</v>
      </c>
      <c r="AD5754" t="s">
        <v>28589</v>
      </c>
      <c r="AE5754" t="s">
        <v>4655</v>
      </c>
      <c r="AF5754" t="s">
        <v>4563</v>
      </c>
      <c r="AG5754" t="s">
        <v>4564</v>
      </c>
      <c r="AH5754" t="s">
        <v>1147</v>
      </c>
      <c r="AI5754" t="s">
        <v>1576</v>
      </c>
      <c r="AJ5754" t="s">
        <v>1577</v>
      </c>
      <c r="AK5754" t="s">
        <v>28591</v>
      </c>
      <c r="AL5754" s="13" t="s">
        <v>2255</v>
      </c>
      <c r="AM5754">
        <v>1</v>
      </c>
      <c r="AN5754" s="15" t="s">
        <v>1579</v>
      </c>
    </row>
    <row r="5755" spans="1:40" x14ac:dyDescent="0.3">
      <c r="A5755" s="10" t="str">
        <f>HYPERLINK("http://www.washoecounty.gov/assessor/cama/?parid=202-182-01&amp;CardNumber=1","202-182-01")</f>
        <v>202-182-01</v>
      </c>
      <c r="B5755" t="s">
        <v>4655</v>
      </c>
      <c r="C5755" t="s">
        <v>28589</v>
      </c>
      <c r="D5755" s="1">
        <v>40347</v>
      </c>
      <c r="E5755" s="2">
        <v>219950</v>
      </c>
      <c r="F5755" t="s">
        <v>3259</v>
      </c>
      <c r="G5755" s="17" t="str">
        <f>HYPERLINK("https://www.washoecounty.gov/assessor/cama/?command=sales&amp;parid=20218201","3893474")</f>
        <v>3893474</v>
      </c>
      <c r="H5755" t="s">
        <v>1575</v>
      </c>
      <c r="I5755">
        <v>2009</v>
      </c>
      <c r="J5755">
        <v>2009</v>
      </c>
      <c r="K5755" t="s">
        <v>4554</v>
      </c>
      <c r="L5755" t="s">
        <v>4555</v>
      </c>
      <c r="M5755" s="2">
        <v>1612</v>
      </c>
      <c r="N5755" t="s">
        <v>5280</v>
      </c>
      <c r="O5755">
        <v>3</v>
      </c>
      <c r="P5755">
        <v>2</v>
      </c>
      <c r="Q5755">
        <v>0</v>
      </c>
      <c r="R5755" t="s">
        <v>5281</v>
      </c>
      <c r="S5755" t="s">
        <v>4898</v>
      </c>
      <c r="T5755" t="s">
        <v>4559</v>
      </c>
      <c r="U5755" t="s">
        <v>4560</v>
      </c>
      <c r="V5755" s="2">
        <v>420</v>
      </c>
      <c r="W5755" t="s">
        <v>4655</v>
      </c>
      <c r="X5755" s="2">
        <v>0</v>
      </c>
      <c r="Y5755">
        <v>20</v>
      </c>
      <c r="Z5755" t="s">
        <v>4561</v>
      </c>
      <c r="AA5755" s="3">
        <v>0.184366390109062</v>
      </c>
      <c r="AB5755" t="s">
        <v>28590</v>
      </c>
      <c r="AC5755" t="s">
        <v>4562</v>
      </c>
      <c r="AD5755" t="s">
        <v>28589</v>
      </c>
      <c r="AE5755" t="s">
        <v>4655</v>
      </c>
      <c r="AF5755" t="s">
        <v>4563</v>
      </c>
      <c r="AG5755" t="s">
        <v>4564</v>
      </c>
      <c r="AH5755" t="s">
        <v>1147</v>
      </c>
      <c r="AI5755" t="s">
        <v>1576</v>
      </c>
      <c r="AJ5755" t="s">
        <v>1577</v>
      </c>
      <c r="AK5755" t="s">
        <v>28591</v>
      </c>
      <c r="AL5755" s="13" t="s">
        <v>2255</v>
      </c>
      <c r="AM5755">
        <v>1</v>
      </c>
      <c r="AN5755" s="15" t="s">
        <v>1579</v>
      </c>
    </row>
    <row r="5756" spans="1:40" x14ac:dyDescent="0.3">
      <c r="A5756" s="10" t="str">
        <f>HYPERLINK("http://www.washoecounty.gov/assessor/cama/?parid=202-182-02&amp;CardNumber=1","202-182-02")</f>
        <v>202-182-02</v>
      </c>
      <c r="B5756" t="s">
        <v>4655</v>
      </c>
      <c r="C5756" t="s">
        <v>3568</v>
      </c>
      <c r="D5756" s="1">
        <v>40183</v>
      </c>
      <c r="E5756" s="2">
        <v>953900</v>
      </c>
      <c r="F5756" t="s">
        <v>2900</v>
      </c>
      <c r="G5756" s="17" t="str">
        <f>HYPERLINK("https://www.washoecounty.gov/assessor/cama/?command=sales&amp;parid=20218202","3836660")</f>
        <v>3836660</v>
      </c>
      <c r="H5756" t="s">
        <v>1575</v>
      </c>
      <c r="I5756">
        <v>0</v>
      </c>
      <c r="J5756">
        <v>0</v>
      </c>
      <c r="K5756" t="s">
        <v>4655</v>
      </c>
      <c r="L5756" t="s">
        <v>4655</v>
      </c>
      <c r="M5756" s="2">
        <v>0</v>
      </c>
      <c r="N5756" t="s">
        <v>4655</v>
      </c>
      <c r="O5756">
        <v>0</v>
      </c>
      <c r="P5756">
        <v>0</v>
      </c>
      <c r="Q5756">
        <v>0</v>
      </c>
      <c r="R5756" t="s">
        <v>4655</v>
      </c>
      <c r="S5756" t="s">
        <v>4655</v>
      </c>
      <c r="T5756" t="s">
        <v>4655</v>
      </c>
      <c r="U5756" t="s">
        <v>4655</v>
      </c>
      <c r="V5756" s="2">
        <v>0</v>
      </c>
      <c r="W5756" t="s">
        <v>4655</v>
      </c>
      <c r="X5756" s="2">
        <v>0</v>
      </c>
      <c r="Y5756">
        <v>12</v>
      </c>
      <c r="Z5756" t="s">
        <v>4561</v>
      </c>
      <c r="AA5756" s="3">
        <v>0.213613405823708</v>
      </c>
      <c r="AB5756" t="s">
        <v>1576</v>
      </c>
      <c r="AC5756" t="s">
        <v>4562</v>
      </c>
      <c r="AD5756" t="s">
        <v>28592</v>
      </c>
      <c r="AE5756" t="s">
        <v>4655</v>
      </c>
      <c r="AF5756" t="s">
        <v>4563</v>
      </c>
      <c r="AG5756" t="s">
        <v>4564</v>
      </c>
      <c r="AH5756" t="s">
        <v>5197</v>
      </c>
      <c r="AI5756" t="s">
        <v>28593</v>
      </c>
      <c r="AJ5756" t="s">
        <v>1577</v>
      </c>
      <c r="AK5756" t="s">
        <v>3569</v>
      </c>
      <c r="AL5756" s="13" t="s">
        <v>2255</v>
      </c>
      <c r="AM5756" s="14">
        <v>0</v>
      </c>
      <c r="AN5756" s="15" t="s">
        <v>1579</v>
      </c>
    </row>
    <row r="5757" spans="1:40" x14ac:dyDescent="0.3">
      <c r="A5757" s="10" t="str">
        <f>HYPERLINK("http://www.washoecounty.gov/assessor/cama/?parid=202-182-03&amp;CardNumber=1","202-182-03")</f>
        <v>202-182-03</v>
      </c>
      <c r="B5757" t="s">
        <v>4655</v>
      </c>
      <c r="C5757" t="s">
        <v>3570</v>
      </c>
      <c r="D5757" s="1">
        <v>40183</v>
      </c>
      <c r="E5757" s="2">
        <v>953900</v>
      </c>
      <c r="F5757" t="s">
        <v>2900</v>
      </c>
      <c r="G5757" s="17" t="str">
        <f>HYPERLINK("https://www.washoecounty.gov/assessor/cama/?command=sales&amp;parid=20218203","3836660")</f>
        <v>3836660</v>
      </c>
      <c r="H5757" t="s">
        <v>1575</v>
      </c>
      <c r="I5757">
        <v>0</v>
      </c>
      <c r="J5757">
        <v>0</v>
      </c>
      <c r="K5757" t="s">
        <v>4655</v>
      </c>
      <c r="L5757" t="s">
        <v>4655</v>
      </c>
      <c r="M5757" s="2">
        <v>0</v>
      </c>
      <c r="N5757" t="s">
        <v>4655</v>
      </c>
      <c r="O5757">
        <v>0</v>
      </c>
      <c r="P5757">
        <v>0</v>
      </c>
      <c r="Q5757">
        <v>0</v>
      </c>
      <c r="R5757" t="s">
        <v>4655</v>
      </c>
      <c r="S5757" t="s">
        <v>4655</v>
      </c>
      <c r="T5757" t="s">
        <v>4655</v>
      </c>
      <c r="U5757" t="s">
        <v>4655</v>
      </c>
      <c r="V5757" s="2">
        <v>0</v>
      </c>
      <c r="W5757" t="s">
        <v>4655</v>
      </c>
      <c r="X5757" s="2">
        <v>0</v>
      </c>
      <c r="Y5757">
        <v>12</v>
      </c>
      <c r="Z5757" t="s">
        <v>4561</v>
      </c>
      <c r="AA5757" s="3">
        <v>0.17842057347297699</v>
      </c>
      <c r="AB5757" t="s">
        <v>1576</v>
      </c>
      <c r="AC5757" t="s">
        <v>4562</v>
      </c>
      <c r="AD5757" t="s">
        <v>28592</v>
      </c>
      <c r="AE5757" t="s">
        <v>4655</v>
      </c>
      <c r="AF5757" t="s">
        <v>4563</v>
      </c>
      <c r="AG5757" t="s">
        <v>4564</v>
      </c>
      <c r="AH5757" t="s">
        <v>5197</v>
      </c>
      <c r="AI5757" t="s">
        <v>28593</v>
      </c>
      <c r="AJ5757" t="s">
        <v>1577</v>
      </c>
      <c r="AK5757" t="s">
        <v>3571</v>
      </c>
      <c r="AL5757" s="13" t="s">
        <v>2255</v>
      </c>
      <c r="AM5757">
        <v>0</v>
      </c>
      <c r="AN5757" s="15" t="s">
        <v>1579</v>
      </c>
    </row>
    <row r="5758" spans="1:40" x14ac:dyDescent="0.3">
      <c r="A5758" s="10" t="str">
        <f>HYPERLINK("http://www.washoecounty.gov/assessor/cama/?parid=202-182-04&amp;CardNumber=1","202-182-04")</f>
        <v>202-182-04</v>
      </c>
      <c r="B5758" t="s">
        <v>4655</v>
      </c>
      <c r="C5758" t="s">
        <v>3572</v>
      </c>
      <c r="D5758" s="1">
        <v>40183</v>
      </c>
      <c r="E5758" s="2">
        <v>953900</v>
      </c>
      <c r="F5758" t="s">
        <v>2900</v>
      </c>
      <c r="G5758" s="17" t="str">
        <f>HYPERLINK("https://www.washoecounty.gov/assessor/cama/?command=sales&amp;parid=20218204","3836660")</f>
        <v>3836660</v>
      </c>
      <c r="H5758" t="s">
        <v>1575</v>
      </c>
      <c r="I5758">
        <v>0</v>
      </c>
      <c r="J5758">
        <v>0</v>
      </c>
      <c r="K5758" t="s">
        <v>4655</v>
      </c>
      <c r="L5758" t="s">
        <v>4655</v>
      </c>
      <c r="M5758" s="2">
        <v>0</v>
      </c>
      <c r="N5758" t="s">
        <v>4655</v>
      </c>
      <c r="O5758">
        <v>0</v>
      </c>
      <c r="P5758">
        <v>0</v>
      </c>
      <c r="Q5758">
        <v>0</v>
      </c>
      <c r="R5758" t="s">
        <v>4655</v>
      </c>
      <c r="S5758" t="s">
        <v>4655</v>
      </c>
      <c r="T5758" t="s">
        <v>4655</v>
      </c>
      <c r="U5758" t="s">
        <v>4655</v>
      </c>
      <c r="V5758" s="2">
        <v>0</v>
      </c>
      <c r="W5758" t="s">
        <v>4655</v>
      </c>
      <c r="X5758" s="2">
        <v>0</v>
      </c>
      <c r="Y5758">
        <v>12</v>
      </c>
      <c r="Z5758" t="s">
        <v>4561</v>
      </c>
      <c r="AA5758" s="3">
        <v>0.138705238699913</v>
      </c>
      <c r="AB5758" t="s">
        <v>1576</v>
      </c>
      <c r="AC5758" t="s">
        <v>4562</v>
      </c>
      <c r="AD5758" t="s">
        <v>28592</v>
      </c>
      <c r="AE5758" t="s">
        <v>4655</v>
      </c>
      <c r="AF5758" t="s">
        <v>4563</v>
      </c>
      <c r="AG5758" t="s">
        <v>4564</v>
      </c>
      <c r="AH5758" t="s">
        <v>5197</v>
      </c>
      <c r="AI5758" t="s">
        <v>28593</v>
      </c>
      <c r="AJ5758" t="s">
        <v>1577</v>
      </c>
      <c r="AK5758" t="s">
        <v>3573</v>
      </c>
      <c r="AL5758" s="13" t="s">
        <v>2255</v>
      </c>
      <c r="AM5758">
        <v>0</v>
      </c>
      <c r="AN5758" s="15" t="s">
        <v>1579</v>
      </c>
    </row>
    <row r="5759" spans="1:40" x14ac:dyDescent="0.3">
      <c r="A5759" s="10" t="str">
        <f>HYPERLINK("http://www.washoecounty.gov/assessor/cama/?parid=202-182-09&amp;CardNumber=1","202-182-09")</f>
        <v>202-182-09</v>
      </c>
      <c r="B5759" t="s">
        <v>4655</v>
      </c>
      <c r="C5759" t="s">
        <v>3574</v>
      </c>
      <c r="D5759" s="1">
        <v>40183</v>
      </c>
      <c r="E5759" s="2">
        <v>953900</v>
      </c>
      <c r="F5759" t="s">
        <v>3174</v>
      </c>
      <c r="G5759" s="17" t="str">
        <f>HYPERLINK("https://www.washoecounty.gov/assessor/cama/?command=sales&amp;parid=20218209","3836660")</f>
        <v>3836660</v>
      </c>
      <c r="H5759" t="s">
        <v>3575</v>
      </c>
      <c r="I5759">
        <v>0</v>
      </c>
      <c r="J5759">
        <v>0</v>
      </c>
      <c r="K5759" t="s">
        <v>4655</v>
      </c>
      <c r="L5759" t="s">
        <v>4655</v>
      </c>
      <c r="M5759" s="2">
        <v>0</v>
      </c>
      <c r="N5759" t="s">
        <v>4655</v>
      </c>
      <c r="O5759">
        <v>0</v>
      </c>
      <c r="P5759">
        <v>0</v>
      </c>
      <c r="Q5759">
        <v>0</v>
      </c>
      <c r="R5759" t="s">
        <v>4655</v>
      </c>
      <c r="S5759" t="s">
        <v>4655</v>
      </c>
      <c r="T5759" t="s">
        <v>4655</v>
      </c>
      <c r="U5759" t="s">
        <v>4655</v>
      </c>
      <c r="V5759" s="2">
        <v>0</v>
      </c>
      <c r="W5759" t="s">
        <v>4655</v>
      </c>
      <c r="X5759" s="2">
        <v>0</v>
      </c>
      <c r="Y5759">
        <v>12</v>
      </c>
      <c r="Z5759" t="s">
        <v>4561</v>
      </c>
      <c r="AA5759" s="3">
        <v>0.14497245848178864</v>
      </c>
      <c r="AB5759" t="s">
        <v>1576</v>
      </c>
      <c r="AC5759" t="s">
        <v>4562</v>
      </c>
      <c r="AD5759" t="s">
        <v>28592</v>
      </c>
      <c r="AE5759" t="s">
        <v>4655</v>
      </c>
      <c r="AF5759" t="s">
        <v>4563</v>
      </c>
      <c r="AG5759" t="s">
        <v>4564</v>
      </c>
      <c r="AH5759" t="s">
        <v>5197</v>
      </c>
      <c r="AI5759" t="s">
        <v>28593</v>
      </c>
      <c r="AJ5759" t="s">
        <v>28594</v>
      </c>
      <c r="AK5759" t="s">
        <v>3576</v>
      </c>
      <c r="AL5759" s="13" t="s">
        <v>2255</v>
      </c>
      <c r="AM5759" s="14">
        <v>0</v>
      </c>
      <c r="AN5759" s="15" t="s">
        <v>1579</v>
      </c>
    </row>
    <row r="5760" spans="1:40" x14ac:dyDescent="0.3">
      <c r="A5760" s="10" t="str">
        <f>HYPERLINK("http://www.washoecounty.gov/assessor/cama/?parid=202-191-01&amp;CardNumber=1","202-191-01")</f>
        <v>202-191-01</v>
      </c>
      <c r="B5760" t="s">
        <v>4655</v>
      </c>
      <c r="C5760" t="s">
        <v>28595</v>
      </c>
      <c r="D5760" s="1">
        <v>40443</v>
      </c>
      <c r="E5760" s="2">
        <v>252800</v>
      </c>
      <c r="F5760" t="s">
        <v>4567</v>
      </c>
      <c r="G5760" s="17" t="str">
        <f>HYPERLINK("https://www.washoecounty.gov/assessor/cama/?command=sales&amp;parid=20219101","3924980")</f>
        <v>3924980</v>
      </c>
      <c r="H5760" t="s">
        <v>1575</v>
      </c>
      <c r="I5760">
        <v>2005</v>
      </c>
      <c r="J5760">
        <v>2005</v>
      </c>
      <c r="K5760" t="s">
        <v>4554</v>
      </c>
      <c r="L5760" t="s">
        <v>3974</v>
      </c>
      <c r="M5760" s="2">
        <v>2095</v>
      </c>
      <c r="N5760" t="s">
        <v>5280</v>
      </c>
      <c r="O5760">
        <v>4</v>
      </c>
      <c r="P5760">
        <v>2</v>
      </c>
      <c r="Q5760">
        <v>1</v>
      </c>
      <c r="R5760" t="s">
        <v>5281</v>
      </c>
      <c r="S5760" t="s">
        <v>4898</v>
      </c>
      <c r="T5760" t="s">
        <v>4559</v>
      </c>
      <c r="U5760" t="s">
        <v>4560</v>
      </c>
      <c r="V5760" s="2">
        <v>441</v>
      </c>
      <c r="W5760" t="s">
        <v>4655</v>
      </c>
      <c r="X5760" s="2">
        <v>0</v>
      </c>
      <c r="Y5760">
        <v>20</v>
      </c>
      <c r="Z5760" t="s">
        <v>4351</v>
      </c>
      <c r="AA5760" s="3">
        <v>0.123576678335667</v>
      </c>
      <c r="AB5760" t="s">
        <v>28596</v>
      </c>
      <c r="AC5760" t="s">
        <v>4562</v>
      </c>
      <c r="AD5760" t="s">
        <v>28595</v>
      </c>
      <c r="AE5760" t="s">
        <v>4655</v>
      </c>
      <c r="AF5760" t="s">
        <v>4563</v>
      </c>
      <c r="AG5760" t="s">
        <v>4564</v>
      </c>
      <c r="AH5760" t="s">
        <v>1147</v>
      </c>
      <c r="AI5760" t="s">
        <v>28593</v>
      </c>
      <c r="AJ5760" t="s">
        <v>1577</v>
      </c>
      <c r="AK5760" t="s">
        <v>28597</v>
      </c>
      <c r="AL5760" s="13" t="s">
        <v>2255</v>
      </c>
      <c r="AM5760">
        <v>1</v>
      </c>
      <c r="AN5760" s="15" t="s">
        <v>1579</v>
      </c>
    </row>
    <row r="5761" spans="1:40" x14ac:dyDescent="0.3">
      <c r="A5761" s="10" t="str">
        <f>HYPERLINK("http://www.washoecounty.gov/assessor/cama/?parid=202-191-02&amp;CardNumber=1","202-191-02")</f>
        <v>202-191-02</v>
      </c>
      <c r="B5761" t="s">
        <v>4655</v>
      </c>
      <c r="C5761" t="s">
        <v>28598</v>
      </c>
      <c r="D5761" s="1">
        <v>40245</v>
      </c>
      <c r="E5761" s="2">
        <v>248800</v>
      </c>
      <c r="F5761" t="s">
        <v>4567</v>
      </c>
      <c r="G5761" s="17" t="str">
        <f>HYPERLINK("https://www.washoecounty.gov/assessor/cama/?command=sales&amp;parid=20219102","3856743")</f>
        <v>3856743</v>
      </c>
      <c r="H5761" t="s">
        <v>1575</v>
      </c>
      <c r="I5761">
        <v>2005</v>
      </c>
      <c r="J5761">
        <v>2005</v>
      </c>
      <c r="K5761" t="s">
        <v>4554</v>
      </c>
      <c r="L5761" t="s">
        <v>3974</v>
      </c>
      <c r="M5761" s="2">
        <v>1950</v>
      </c>
      <c r="N5761" t="s">
        <v>5280</v>
      </c>
      <c r="O5761">
        <v>3</v>
      </c>
      <c r="P5761">
        <v>2</v>
      </c>
      <c r="Q5761">
        <v>1</v>
      </c>
      <c r="R5761" t="s">
        <v>5281</v>
      </c>
      <c r="S5761" t="s">
        <v>4135</v>
      </c>
      <c r="T5761" t="s">
        <v>4559</v>
      </c>
      <c r="U5761" t="s">
        <v>4560</v>
      </c>
      <c r="V5761" s="2">
        <v>420</v>
      </c>
      <c r="W5761" t="s">
        <v>4655</v>
      </c>
      <c r="X5761" s="2">
        <v>0</v>
      </c>
      <c r="Y5761">
        <v>20</v>
      </c>
      <c r="Z5761" t="s">
        <v>4351</v>
      </c>
      <c r="AA5761" s="3">
        <v>9.2906333506107303E-2</v>
      </c>
      <c r="AB5761" t="s">
        <v>28599</v>
      </c>
      <c r="AC5761" t="s">
        <v>4562</v>
      </c>
      <c r="AD5761" t="s">
        <v>28600</v>
      </c>
      <c r="AE5761" t="s">
        <v>4655</v>
      </c>
      <c r="AF5761" t="s">
        <v>3660</v>
      </c>
      <c r="AG5761" t="s">
        <v>4584</v>
      </c>
      <c r="AH5761" t="s">
        <v>3661</v>
      </c>
      <c r="AI5761" t="s">
        <v>28593</v>
      </c>
      <c r="AJ5761" t="s">
        <v>1577</v>
      </c>
      <c r="AK5761" t="s">
        <v>28601</v>
      </c>
      <c r="AL5761" s="13" t="s">
        <v>2255</v>
      </c>
      <c r="AM5761">
        <v>1</v>
      </c>
      <c r="AN5761" s="15" t="s">
        <v>1579</v>
      </c>
    </row>
    <row r="5762" spans="1:40" x14ac:dyDescent="0.3">
      <c r="A5762" s="10" t="str">
        <f>HYPERLINK("http://www.washoecounty.gov/assessor/cama/?parid=202-191-08&amp;CardNumber=1","202-191-08")</f>
        <v>202-191-08</v>
      </c>
      <c r="B5762" t="s">
        <v>4655</v>
      </c>
      <c r="C5762" t="s">
        <v>28602</v>
      </c>
      <c r="D5762" s="1">
        <v>40220</v>
      </c>
      <c r="E5762" s="2">
        <v>195000</v>
      </c>
      <c r="F5762" t="s">
        <v>4567</v>
      </c>
      <c r="G5762" s="17" t="str">
        <f>HYPERLINK("https://www.washoecounty.gov/assessor/cama/?command=sales&amp;parid=20219108","3848452")</f>
        <v>3848452</v>
      </c>
      <c r="H5762" t="s">
        <v>1575</v>
      </c>
      <c r="I5762">
        <v>2005</v>
      </c>
      <c r="J5762">
        <v>2005</v>
      </c>
      <c r="K5762" t="s">
        <v>4554</v>
      </c>
      <c r="L5762" t="s">
        <v>4555</v>
      </c>
      <c r="M5762" s="2">
        <v>1612</v>
      </c>
      <c r="N5762" t="s">
        <v>5280</v>
      </c>
      <c r="O5762">
        <v>3</v>
      </c>
      <c r="P5762">
        <v>2</v>
      </c>
      <c r="Q5762">
        <v>0</v>
      </c>
      <c r="R5762" t="s">
        <v>5281</v>
      </c>
      <c r="S5762" t="s">
        <v>4898</v>
      </c>
      <c r="T5762" t="s">
        <v>4559</v>
      </c>
      <c r="U5762" t="s">
        <v>4560</v>
      </c>
      <c r="V5762" s="2">
        <v>420</v>
      </c>
      <c r="W5762" t="s">
        <v>4655</v>
      </c>
      <c r="X5762" s="2">
        <v>0</v>
      </c>
      <c r="Y5762">
        <v>20</v>
      </c>
      <c r="Z5762" t="s">
        <v>4351</v>
      </c>
      <c r="AA5762" s="3">
        <v>0.153259873390198</v>
      </c>
      <c r="AB5762" t="s">
        <v>28603</v>
      </c>
      <c r="AC5762" t="s">
        <v>4562</v>
      </c>
      <c r="AD5762" t="s">
        <v>28602</v>
      </c>
      <c r="AE5762" t="s">
        <v>4655</v>
      </c>
      <c r="AF5762" t="s">
        <v>4563</v>
      </c>
      <c r="AG5762" t="s">
        <v>4564</v>
      </c>
      <c r="AH5762" t="s">
        <v>1147</v>
      </c>
      <c r="AI5762" t="s">
        <v>28604</v>
      </c>
      <c r="AJ5762" t="s">
        <v>1577</v>
      </c>
      <c r="AK5762" t="s">
        <v>28605</v>
      </c>
      <c r="AL5762" s="13" t="s">
        <v>2255</v>
      </c>
      <c r="AM5762" s="14">
        <v>1</v>
      </c>
      <c r="AN5762" s="15" t="s">
        <v>1579</v>
      </c>
    </row>
    <row r="5763" spans="1:40" x14ac:dyDescent="0.3">
      <c r="A5763" s="10" t="str">
        <f>HYPERLINK("http://www.washoecounty.gov/assessor/cama/?parid=202-191-12&amp;CardNumber=1","202-191-12")</f>
        <v>202-191-12</v>
      </c>
      <c r="B5763" t="s">
        <v>4655</v>
      </c>
      <c r="C5763" t="s">
        <v>28606</v>
      </c>
      <c r="D5763" s="1">
        <v>40282</v>
      </c>
      <c r="E5763" s="2">
        <v>227000</v>
      </c>
      <c r="F5763" t="s">
        <v>4553</v>
      </c>
      <c r="G5763" s="17" t="str">
        <f>HYPERLINK("https://www.washoecounty.gov/assessor/cama/?command=sales&amp;parid=20219112","3871059")</f>
        <v>3871059</v>
      </c>
      <c r="H5763" t="s">
        <v>1575</v>
      </c>
      <c r="I5763">
        <v>2005</v>
      </c>
      <c r="J5763">
        <v>2005</v>
      </c>
      <c r="K5763" t="s">
        <v>4554</v>
      </c>
      <c r="L5763" t="s">
        <v>3974</v>
      </c>
      <c r="M5763" s="2">
        <v>2098</v>
      </c>
      <c r="N5763" t="s">
        <v>5280</v>
      </c>
      <c r="O5763">
        <v>4</v>
      </c>
      <c r="P5763">
        <v>2</v>
      </c>
      <c r="Q5763">
        <v>1</v>
      </c>
      <c r="R5763" t="s">
        <v>5281</v>
      </c>
      <c r="S5763" t="s">
        <v>4135</v>
      </c>
      <c r="T5763" t="s">
        <v>4559</v>
      </c>
      <c r="U5763" t="s">
        <v>5631</v>
      </c>
      <c r="V5763" s="2">
        <v>441</v>
      </c>
      <c r="W5763" t="s">
        <v>4655</v>
      </c>
      <c r="X5763" s="2">
        <v>0</v>
      </c>
      <c r="Y5763">
        <v>20</v>
      </c>
      <c r="Z5763" t="s">
        <v>4351</v>
      </c>
      <c r="AA5763" s="3">
        <v>0.112970612943172</v>
      </c>
      <c r="AB5763" t="s">
        <v>28607</v>
      </c>
      <c r="AC5763" t="s">
        <v>4562</v>
      </c>
      <c r="AD5763" t="s">
        <v>28606</v>
      </c>
      <c r="AE5763" t="s">
        <v>4655</v>
      </c>
      <c r="AF5763" t="s">
        <v>4563</v>
      </c>
      <c r="AG5763" t="s">
        <v>4564</v>
      </c>
      <c r="AH5763" t="s">
        <v>1147</v>
      </c>
      <c r="AI5763" t="s">
        <v>4565</v>
      </c>
      <c r="AJ5763" t="s">
        <v>1577</v>
      </c>
      <c r="AK5763" t="s">
        <v>28608</v>
      </c>
      <c r="AL5763" s="13" t="s">
        <v>2255</v>
      </c>
      <c r="AM5763" s="14">
        <v>1</v>
      </c>
      <c r="AN5763" s="15" t="s">
        <v>1579</v>
      </c>
    </row>
    <row r="5764" spans="1:40" x14ac:dyDescent="0.3">
      <c r="A5764" s="10" t="str">
        <f>HYPERLINK("http://www.washoecounty.gov/assessor/cama/?parid=202-191-14&amp;CardNumber=1","202-191-14")</f>
        <v>202-191-14</v>
      </c>
      <c r="B5764" t="s">
        <v>4655</v>
      </c>
      <c r="C5764" t="s">
        <v>28609</v>
      </c>
      <c r="D5764" s="1">
        <v>40183</v>
      </c>
      <c r="E5764" s="2">
        <v>953900</v>
      </c>
      <c r="F5764" t="s">
        <v>2900</v>
      </c>
      <c r="G5764" s="17" t="str">
        <f>HYPERLINK("https://www.washoecounty.gov/assessor/cama/?command=sales&amp;parid=20219114","3836660")</f>
        <v>3836660</v>
      </c>
      <c r="H5764" t="s">
        <v>1575</v>
      </c>
      <c r="I5764">
        <v>2011</v>
      </c>
      <c r="J5764">
        <v>2011</v>
      </c>
      <c r="K5764" t="s">
        <v>4554</v>
      </c>
      <c r="L5764" t="s">
        <v>3974</v>
      </c>
      <c r="M5764" s="2">
        <v>1601</v>
      </c>
      <c r="N5764" t="s">
        <v>5280</v>
      </c>
      <c r="O5764">
        <v>4</v>
      </c>
      <c r="P5764">
        <v>2</v>
      </c>
      <c r="Q5764">
        <v>1</v>
      </c>
      <c r="R5764" t="s">
        <v>5281</v>
      </c>
      <c r="S5764" t="s">
        <v>4898</v>
      </c>
      <c r="T5764" t="s">
        <v>4559</v>
      </c>
      <c r="U5764" t="s">
        <v>4560</v>
      </c>
      <c r="V5764" s="2">
        <v>429</v>
      </c>
      <c r="W5764" t="s">
        <v>4655</v>
      </c>
      <c r="X5764" s="2">
        <v>0</v>
      </c>
      <c r="Y5764">
        <v>12</v>
      </c>
      <c r="Z5764" t="s">
        <v>4351</v>
      </c>
      <c r="AA5764" s="3">
        <v>0.19685491919517517</v>
      </c>
      <c r="AB5764" t="s">
        <v>28610</v>
      </c>
      <c r="AC5764" t="s">
        <v>4562</v>
      </c>
      <c r="AD5764" t="s">
        <v>28609</v>
      </c>
      <c r="AE5764" t="s">
        <v>4655</v>
      </c>
      <c r="AF5764" t="s">
        <v>4563</v>
      </c>
      <c r="AG5764" t="s">
        <v>4564</v>
      </c>
      <c r="AH5764" t="s">
        <v>1147</v>
      </c>
      <c r="AI5764" t="s">
        <v>1576</v>
      </c>
      <c r="AJ5764" t="s">
        <v>1577</v>
      </c>
      <c r="AK5764" t="s">
        <v>28611</v>
      </c>
      <c r="AL5764" s="13" t="s">
        <v>2255</v>
      </c>
      <c r="AM5764">
        <v>1</v>
      </c>
      <c r="AN5764" s="15" t="s">
        <v>1579</v>
      </c>
    </row>
    <row r="5765" spans="1:40" x14ac:dyDescent="0.3">
      <c r="A5765" s="10" t="str">
        <f>HYPERLINK("http://www.washoecounty.gov/assessor/cama/?parid=202-191-14&amp;CardNumber=1","202-191-14")</f>
        <v>202-191-14</v>
      </c>
      <c r="B5765" t="s">
        <v>4655</v>
      </c>
      <c r="C5765" t="s">
        <v>28609</v>
      </c>
      <c r="D5765" s="1">
        <v>40506</v>
      </c>
      <c r="E5765" s="2">
        <v>205000</v>
      </c>
      <c r="F5765" t="s">
        <v>4567</v>
      </c>
      <c r="G5765" s="17" t="str">
        <f>HYPERLINK("https://www.washoecounty.gov/assessor/cama/?command=sales&amp;parid=20219114","3946875")</f>
        <v>3946875</v>
      </c>
      <c r="H5765" t="s">
        <v>1575</v>
      </c>
      <c r="I5765">
        <v>2011</v>
      </c>
      <c r="J5765">
        <v>2011</v>
      </c>
      <c r="K5765" t="s">
        <v>4554</v>
      </c>
      <c r="L5765" t="s">
        <v>3974</v>
      </c>
      <c r="M5765" s="2">
        <v>1601</v>
      </c>
      <c r="N5765" t="s">
        <v>5280</v>
      </c>
      <c r="O5765">
        <v>4</v>
      </c>
      <c r="P5765">
        <v>2</v>
      </c>
      <c r="Q5765">
        <v>1</v>
      </c>
      <c r="R5765" t="s">
        <v>5281</v>
      </c>
      <c r="S5765" t="s">
        <v>4898</v>
      </c>
      <c r="T5765" t="s">
        <v>4559</v>
      </c>
      <c r="U5765" t="s">
        <v>4560</v>
      </c>
      <c r="V5765" s="2">
        <v>429</v>
      </c>
      <c r="W5765" t="s">
        <v>4655</v>
      </c>
      <c r="X5765" s="2">
        <v>0</v>
      </c>
      <c r="Y5765">
        <v>12</v>
      </c>
      <c r="Z5765" t="s">
        <v>4351</v>
      </c>
      <c r="AA5765" s="3">
        <v>0.19685491919517517</v>
      </c>
      <c r="AB5765" t="s">
        <v>28610</v>
      </c>
      <c r="AC5765" t="s">
        <v>4562</v>
      </c>
      <c r="AD5765" t="s">
        <v>28609</v>
      </c>
      <c r="AE5765" t="s">
        <v>4655</v>
      </c>
      <c r="AF5765" t="s">
        <v>4563</v>
      </c>
      <c r="AG5765" t="s">
        <v>4564</v>
      </c>
      <c r="AH5765" t="s">
        <v>1147</v>
      </c>
      <c r="AI5765" t="s">
        <v>1576</v>
      </c>
      <c r="AJ5765" t="s">
        <v>1577</v>
      </c>
      <c r="AK5765" t="s">
        <v>28611</v>
      </c>
      <c r="AL5765" s="13" t="s">
        <v>2255</v>
      </c>
      <c r="AM5765">
        <v>1</v>
      </c>
      <c r="AN5765" s="15" t="s">
        <v>1579</v>
      </c>
    </row>
    <row r="5766" spans="1:40" x14ac:dyDescent="0.3">
      <c r="A5766" s="10" t="str">
        <f>HYPERLINK("http://www.washoecounty.gov/assessor/cama/?parid=202-191-15&amp;CardNumber=1","202-191-15")</f>
        <v>202-191-15</v>
      </c>
      <c r="B5766" t="s">
        <v>4655</v>
      </c>
      <c r="C5766" t="s">
        <v>3179</v>
      </c>
      <c r="D5766" s="1">
        <v>40183</v>
      </c>
      <c r="E5766" s="2">
        <v>953900</v>
      </c>
      <c r="F5766" t="s">
        <v>2900</v>
      </c>
      <c r="G5766" s="17" t="str">
        <f>HYPERLINK("https://www.washoecounty.gov/assessor/cama/?command=sales&amp;parid=20219115","3836660")</f>
        <v>3836660</v>
      </c>
      <c r="H5766" t="s">
        <v>1575</v>
      </c>
      <c r="I5766">
        <v>2011</v>
      </c>
      <c r="J5766">
        <v>2011</v>
      </c>
      <c r="K5766" t="s">
        <v>4554</v>
      </c>
      <c r="L5766" t="s">
        <v>3974</v>
      </c>
      <c r="M5766" s="2">
        <v>1890</v>
      </c>
      <c r="N5766" t="s">
        <v>5280</v>
      </c>
      <c r="O5766">
        <v>4</v>
      </c>
      <c r="P5766">
        <v>2</v>
      </c>
      <c r="Q5766">
        <v>1</v>
      </c>
      <c r="R5766" t="s">
        <v>5281</v>
      </c>
      <c r="S5766" t="s">
        <v>4898</v>
      </c>
      <c r="T5766" t="s">
        <v>4559</v>
      </c>
      <c r="U5766" t="s">
        <v>5631</v>
      </c>
      <c r="V5766" s="2">
        <v>420</v>
      </c>
      <c r="W5766" t="s">
        <v>4655</v>
      </c>
      <c r="X5766" s="2">
        <v>0</v>
      </c>
      <c r="Y5766">
        <v>12</v>
      </c>
      <c r="Z5766" t="s">
        <v>4351</v>
      </c>
      <c r="AA5766" s="3">
        <v>0.16786041855812101</v>
      </c>
      <c r="AB5766" t="s">
        <v>5538</v>
      </c>
      <c r="AC5766" t="s">
        <v>4562</v>
      </c>
      <c r="AD5766" t="s">
        <v>5539</v>
      </c>
      <c r="AE5766" t="s">
        <v>4655</v>
      </c>
      <c r="AF5766" t="s">
        <v>4563</v>
      </c>
      <c r="AG5766" t="s">
        <v>4564</v>
      </c>
      <c r="AH5766" t="s">
        <v>1147</v>
      </c>
      <c r="AI5766" t="s">
        <v>1576</v>
      </c>
      <c r="AJ5766" t="s">
        <v>1577</v>
      </c>
      <c r="AK5766" t="s">
        <v>3180</v>
      </c>
      <c r="AL5766" s="13" t="s">
        <v>2255</v>
      </c>
      <c r="AM5766">
        <v>1</v>
      </c>
      <c r="AN5766" s="15" t="s">
        <v>1579</v>
      </c>
    </row>
    <row r="5767" spans="1:40" x14ac:dyDescent="0.3">
      <c r="A5767" s="10" t="str">
        <f>HYPERLINK("http://www.washoecounty.gov/assessor/cama/?parid=202-191-16&amp;CardNumber=1","202-191-16")</f>
        <v>202-191-16</v>
      </c>
      <c r="B5767" t="s">
        <v>4655</v>
      </c>
      <c r="C5767" t="s">
        <v>28612</v>
      </c>
      <c r="D5767" s="1">
        <v>40183</v>
      </c>
      <c r="E5767" s="2">
        <v>953900</v>
      </c>
      <c r="F5767" t="s">
        <v>2900</v>
      </c>
      <c r="G5767" s="17" t="str">
        <f>HYPERLINK("https://www.washoecounty.gov/assessor/cama/?command=sales&amp;parid=20219116","3836660")</f>
        <v>3836660</v>
      </c>
      <c r="H5767" t="s">
        <v>1575</v>
      </c>
      <c r="I5767">
        <v>2011</v>
      </c>
      <c r="J5767">
        <v>2011</v>
      </c>
      <c r="K5767" t="s">
        <v>4554</v>
      </c>
      <c r="L5767" t="s">
        <v>3974</v>
      </c>
      <c r="M5767" s="2">
        <v>1315</v>
      </c>
      <c r="N5767" t="s">
        <v>5280</v>
      </c>
      <c r="O5767">
        <v>3</v>
      </c>
      <c r="P5767">
        <v>2</v>
      </c>
      <c r="Q5767">
        <v>1</v>
      </c>
      <c r="R5767" t="s">
        <v>5281</v>
      </c>
      <c r="S5767" t="s">
        <v>4898</v>
      </c>
      <c r="T5767" t="s">
        <v>4559</v>
      </c>
      <c r="U5767" t="s">
        <v>4560</v>
      </c>
      <c r="V5767" s="2">
        <v>432</v>
      </c>
      <c r="W5767" t="s">
        <v>4655</v>
      </c>
      <c r="X5767" s="2">
        <v>0</v>
      </c>
      <c r="Y5767">
        <v>12</v>
      </c>
      <c r="Z5767" t="s">
        <v>4351</v>
      </c>
      <c r="AA5767" s="3">
        <v>0.13569788634777069</v>
      </c>
      <c r="AB5767" t="s">
        <v>28613</v>
      </c>
      <c r="AC5767" t="s">
        <v>4562</v>
      </c>
      <c r="AD5767" t="s">
        <v>28612</v>
      </c>
      <c r="AE5767" t="s">
        <v>4655</v>
      </c>
      <c r="AF5767" t="s">
        <v>4563</v>
      </c>
      <c r="AG5767" t="s">
        <v>4564</v>
      </c>
      <c r="AH5767" t="s">
        <v>1147</v>
      </c>
      <c r="AI5767" t="s">
        <v>1576</v>
      </c>
      <c r="AJ5767" t="s">
        <v>1577</v>
      </c>
      <c r="AK5767" t="s">
        <v>28614</v>
      </c>
      <c r="AL5767" s="13" t="s">
        <v>2255</v>
      </c>
      <c r="AM5767">
        <v>1</v>
      </c>
      <c r="AN5767" s="15" t="s">
        <v>1579</v>
      </c>
    </row>
    <row r="5768" spans="1:40" x14ac:dyDescent="0.3">
      <c r="A5768" s="10" t="str">
        <f>HYPERLINK("http://www.washoecounty.gov/assessor/cama/?parid=202-191-16&amp;CardNumber=1","202-191-16")</f>
        <v>202-191-16</v>
      </c>
      <c r="B5768" t="s">
        <v>4655</v>
      </c>
      <c r="C5768" t="s">
        <v>28612</v>
      </c>
      <c r="D5768" s="1">
        <v>40506</v>
      </c>
      <c r="E5768" s="2">
        <v>188000</v>
      </c>
      <c r="F5768" t="s">
        <v>4567</v>
      </c>
      <c r="G5768" s="17" t="str">
        <f>HYPERLINK("https://www.washoecounty.gov/assessor/cama/?command=sales&amp;parid=20219116","3946797")</f>
        <v>3946797</v>
      </c>
      <c r="H5768" t="s">
        <v>1575</v>
      </c>
      <c r="I5768">
        <v>2011</v>
      </c>
      <c r="J5768">
        <v>2011</v>
      </c>
      <c r="K5768" t="s">
        <v>4554</v>
      </c>
      <c r="L5768" t="s">
        <v>3974</v>
      </c>
      <c r="M5768" s="2">
        <v>1315</v>
      </c>
      <c r="N5768" t="s">
        <v>5280</v>
      </c>
      <c r="O5768">
        <v>3</v>
      </c>
      <c r="P5768">
        <v>2</v>
      </c>
      <c r="Q5768">
        <v>1</v>
      </c>
      <c r="R5768" t="s">
        <v>5281</v>
      </c>
      <c r="S5768" t="s">
        <v>4898</v>
      </c>
      <c r="T5768" t="s">
        <v>4559</v>
      </c>
      <c r="U5768" t="s">
        <v>4560</v>
      </c>
      <c r="V5768" s="2">
        <v>432</v>
      </c>
      <c r="W5768" t="s">
        <v>4655</v>
      </c>
      <c r="X5768" s="2">
        <v>0</v>
      </c>
      <c r="Y5768">
        <v>20</v>
      </c>
      <c r="Z5768" t="s">
        <v>4351</v>
      </c>
      <c r="AA5768" s="3">
        <v>0.13569788634777069</v>
      </c>
      <c r="AB5768" t="s">
        <v>28613</v>
      </c>
      <c r="AC5768" t="s">
        <v>4562</v>
      </c>
      <c r="AD5768" t="s">
        <v>28612</v>
      </c>
      <c r="AE5768" t="s">
        <v>4655</v>
      </c>
      <c r="AF5768" t="s">
        <v>4563</v>
      </c>
      <c r="AG5768" t="s">
        <v>4564</v>
      </c>
      <c r="AH5768" t="s">
        <v>1147</v>
      </c>
      <c r="AI5768" t="s">
        <v>1576</v>
      </c>
      <c r="AJ5768" t="s">
        <v>1577</v>
      </c>
      <c r="AK5768" t="s">
        <v>28614</v>
      </c>
      <c r="AL5768" s="13" t="s">
        <v>2255</v>
      </c>
      <c r="AM5768">
        <v>1</v>
      </c>
      <c r="AN5768" s="15" t="s">
        <v>1579</v>
      </c>
    </row>
    <row r="5769" spans="1:40" x14ac:dyDescent="0.3">
      <c r="A5769" s="10" t="str">
        <f>HYPERLINK("http://www.washoecounty.gov/assessor/cama/?parid=202-191-17&amp;CardNumber=1","202-191-17")</f>
        <v>202-191-17</v>
      </c>
      <c r="B5769" t="s">
        <v>4655</v>
      </c>
      <c r="C5769" t="s">
        <v>28615</v>
      </c>
      <c r="D5769" s="1">
        <v>40183</v>
      </c>
      <c r="E5769" s="2">
        <v>953900</v>
      </c>
      <c r="F5769" t="s">
        <v>2900</v>
      </c>
      <c r="G5769" s="17" t="str">
        <f>HYPERLINK("https://www.washoecounty.gov/assessor/cama/?command=sales&amp;parid=20219117","3836660")</f>
        <v>3836660</v>
      </c>
      <c r="H5769" t="s">
        <v>1575</v>
      </c>
      <c r="I5769">
        <v>2010</v>
      </c>
      <c r="J5769">
        <v>2010</v>
      </c>
      <c r="K5769" t="s">
        <v>4554</v>
      </c>
      <c r="L5769" t="s">
        <v>3974</v>
      </c>
      <c r="M5769" s="2">
        <v>1601</v>
      </c>
      <c r="N5769" t="s">
        <v>5280</v>
      </c>
      <c r="O5769">
        <v>4</v>
      </c>
      <c r="P5769">
        <v>2</v>
      </c>
      <c r="Q5769">
        <v>1</v>
      </c>
      <c r="R5769" t="s">
        <v>5281</v>
      </c>
      <c r="S5769" t="s">
        <v>4898</v>
      </c>
      <c r="T5769" t="s">
        <v>4559</v>
      </c>
      <c r="U5769" t="s">
        <v>4560</v>
      </c>
      <c r="V5769" s="2">
        <v>429</v>
      </c>
      <c r="W5769" t="s">
        <v>4655</v>
      </c>
      <c r="X5769" s="2">
        <v>0</v>
      </c>
      <c r="Y5769">
        <v>12</v>
      </c>
      <c r="Z5769" t="s">
        <v>4351</v>
      </c>
      <c r="AA5769" s="3">
        <v>0.11740128695964799</v>
      </c>
      <c r="AB5769" t="s">
        <v>28616</v>
      </c>
      <c r="AC5769" t="s">
        <v>4562</v>
      </c>
      <c r="AD5769" t="s">
        <v>28615</v>
      </c>
      <c r="AE5769" t="s">
        <v>4655</v>
      </c>
      <c r="AF5769" t="s">
        <v>4563</v>
      </c>
      <c r="AG5769" t="s">
        <v>4564</v>
      </c>
      <c r="AH5769" t="s">
        <v>1147</v>
      </c>
      <c r="AI5769" t="s">
        <v>1576</v>
      </c>
      <c r="AJ5769" t="s">
        <v>1577</v>
      </c>
      <c r="AK5769" t="s">
        <v>28617</v>
      </c>
      <c r="AL5769" s="13" t="s">
        <v>2255</v>
      </c>
      <c r="AM5769">
        <v>1</v>
      </c>
      <c r="AN5769" s="15" t="s">
        <v>1579</v>
      </c>
    </row>
    <row r="5770" spans="1:40" x14ac:dyDescent="0.3">
      <c r="A5770" s="10" t="str">
        <f>HYPERLINK("http://www.washoecounty.gov/assessor/cama/?parid=202-191-17&amp;CardNumber=1","202-191-17")</f>
        <v>202-191-17</v>
      </c>
      <c r="B5770" t="s">
        <v>4655</v>
      </c>
      <c r="C5770" t="s">
        <v>28615</v>
      </c>
      <c r="D5770" s="1">
        <v>40512</v>
      </c>
      <c r="E5770" s="2">
        <v>200900</v>
      </c>
      <c r="F5770" t="s">
        <v>4567</v>
      </c>
      <c r="G5770" s="17" t="str">
        <f>HYPERLINK("https://www.washoecounty.gov/assessor/cama/?command=sales&amp;parid=20219117","3948065")</f>
        <v>3948065</v>
      </c>
      <c r="H5770" t="s">
        <v>1575</v>
      </c>
      <c r="I5770">
        <v>2010</v>
      </c>
      <c r="J5770">
        <v>2010</v>
      </c>
      <c r="K5770" t="s">
        <v>4554</v>
      </c>
      <c r="L5770" t="s">
        <v>3974</v>
      </c>
      <c r="M5770" s="2">
        <v>1601</v>
      </c>
      <c r="N5770" t="s">
        <v>5280</v>
      </c>
      <c r="O5770">
        <v>4</v>
      </c>
      <c r="P5770">
        <v>2</v>
      </c>
      <c r="Q5770">
        <v>1</v>
      </c>
      <c r="R5770" t="s">
        <v>5281</v>
      </c>
      <c r="S5770" t="s">
        <v>4898</v>
      </c>
      <c r="T5770" t="s">
        <v>4559</v>
      </c>
      <c r="U5770" t="s">
        <v>4560</v>
      </c>
      <c r="V5770" s="2">
        <v>429</v>
      </c>
      <c r="W5770" t="s">
        <v>4655</v>
      </c>
      <c r="X5770" s="2">
        <v>0</v>
      </c>
      <c r="Y5770">
        <v>20</v>
      </c>
      <c r="Z5770" t="s">
        <v>4351</v>
      </c>
      <c r="AA5770" s="3">
        <v>0.11740128695964799</v>
      </c>
      <c r="AB5770" t="s">
        <v>28616</v>
      </c>
      <c r="AC5770" t="s">
        <v>4562</v>
      </c>
      <c r="AD5770" t="s">
        <v>28615</v>
      </c>
      <c r="AE5770" t="s">
        <v>4655</v>
      </c>
      <c r="AF5770" t="s">
        <v>4563</v>
      </c>
      <c r="AG5770" t="s">
        <v>4564</v>
      </c>
      <c r="AH5770" t="s">
        <v>1147</v>
      </c>
      <c r="AI5770" t="s">
        <v>1576</v>
      </c>
      <c r="AJ5770" t="s">
        <v>1577</v>
      </c>
      <c r="AK5770" t="s">
        <v>28617</v>
      </c>
      <c r="AL5770" s="13" t="s">
        <v>2255</v>
      </c>
      <c r="AM5770">
        <v>1</v>
      </c>
      <c r="AN5770" s="15" t="s">
        <v>1579</v>
      </c>
    </row>
    <row r="5771" spans="1:40" x14ac:dyDescent="0.3">
      <c r="A5771" s="10" t="str">
        <f>HYPERLINK("http://www.washoecounty.gov/assessor/cama/?parid=202-191-18&amp;CardNumber=1","202-191-18")</f>
        <v>202-191-18</v>
      </c>
      <c r="B5771" t="s">
        <v>4655</v>
      </c>
      <c r="C5771" t="s">
        <v>28618</v>
      </c>
      <c r="D5771" s="1">
        <v>40183</v>
      </c>
      <c r="E5771" s="2">
        <v>953900</v>
      </c>
      <c r="F5771" t="s">
        <v>2900</v>
      </c>
      <c r="G5771" s="17" t="str">
        <f>HYPERLINK("https://www.washoecounty.gov/assessor/cama/?command=sales&amp;parid=20219118","3836660")</f>
        <v>3836660</v>
      </c>
      <c r="H5771" t="s">
        <v>1575</v>
      </c>
      <c r="I5771">
        <v>2010</v>
      </c>
      <c r="J5771">
        <v>2010</v>
      </c>
      <c r="K5771" t="s">
        <v>4554</v>
      </c>
      <c r="L5771" t="s">
        <v>3974</v>
      </c>
      <c r="M5771" s="2">
        <v>1890</v>
      </c>
      <c r="N5771" t="s">
        <v>5280</v>
      </c>
      <c r="O5771">
        <v>4</v>
      </c>
      <c r="P5771">
        <v>2</v>
      </c>
      <c r="Q5771">
        <v>1</v>
      </c>
      <c r="R5771" t="s">
        <v>5281</v>
      </c>
      <c r="S5771" t="s">
        <v>4898</v>
      </c>
      <c r="T5771" t="s">
        <v>2704</v>
      </c>
      <c r="U5771" t="s">
        <v>5631</v>
      </c>
      <c r="V5771" s="2">
        <v>420</v>
      </c>
      <c r="W5771" t="s">
        <v>4655</v>
      </c>
      <c r="X5771" s="2">
        <v>0</v>
      </c>
      <c r="Y5771">
        <v>12</v>
      </c>
      <c r="Z5771" t="s">
        <v>4351</v>
      </c>
      <c r="AA5771" s="3">
        <v>0.121854916214943</v>
      </c>
      <c r="AB5771" t="s">
        <v>28619</v>
      </c>
      <c r="AC5771" t="s">
        <v>4575</v>
      </c>
      <c r="AD5771" t="s">
        <v>28618</v>
      </c>
      <c r="AE5771" t="s">
        <v>4655</v>
      </c>
      <c r="AF5771" t="s">
        <v>4563</v>
      </c>
      <c r="AG5771" t="s">
        <v>4564</v>
      </c>
      <c r="AH5771" t="s">
        <v>1147</v>
      </c>
      <c r="AI5771" t="s">
        <v>1576</v>
      </c>
      <c r="AJ5771" t="s">
        <v>1577</v>
      </c>
      <c r="AK5771" t="s">
        <v>28620</v>
      </c>
      <c r="AL5771" s="13" t="s">
        <v>2255</v>
      </c>
      <c r="AM5771" s="14">
        <v>1</v>
      </c>
      <c r="AN5771" s="15" t="s">
        <v>1579</v>
      </c>
    </row>
    <row r="5772" spans="1:40" x14ac:dyDescent="0.3">
      <c r="A5772" s="10" t="str">
        <f>HYPERLINK("http://www.washoecounty.gov/assessor/cama/?parid=202-191-18&amp;CardNumber=1","202-191-18")</f>
        <v>202-191-18</v>
      </c>
      <c r="B5772" t="s">
        <v>4655</v>
      </c>
      <c r="C5772" t="s">
        <v>28618</v>
      </c>
      <c r="D5772" s="1">
        <v>40423</v>
      </c>
      <c r="E5772" s="2">
        <v>236950</v>
      </c>
      <c r="F5772" t="s">
        <v>4567</v>
      </c>
      <c r="G5772" s="17" t="str">
        <f>HYPERLINK("https://www.washoecounty.gov/assessor/cama/?command=sales&amp;parid=20219118","3918271")</f>
        <v>3918271</v>
      </c>
      <c r="H5772" t="s">
        <v>1575</v>
      </c>
      <c r="I5772">
        <v>2010</v>
      </c>
      <c r="J5772">
        <v>2010</v>
      </c>
      <c r="K5772" t="s">
        <v>4554</v>
      </c>
      <c r="L5772" t="s">
        <v>3974</v>
      </c>
      <c r="M5772" s="2">
        <v>1890</v>
      </c>
      <c r="N5772" t="s">
        <v>5280</v>
      </c>
      <c r="O5772">
        <v>4</v>
      </c>
      <c r="P5772">
        <v>2</v>
      </c>
      <c r="Q5772">
        <v>1</v>
      </c>
      <c r="R5772" t="s">
        <v>5281</v>
      </c>
      <c r="S5772" t="s">
        <v>4898</v>
      </c>
      <c r="T5772" t="s">
        <v>2704</v>
      </c>
      <c r="U5772" t="s">
        <v>5631</v>
      </c>
      <c r="V5772" s="2">
        <v>420</v>
      </c>
      <c r="W5772" t="s">
        <v>4655</v>
      </c>
      <c r="X5772" s="2">
        <v>0</v>
      </c>
      <c r="Y5772">
        <v>20</v>
      </c>
      <c r="Z5772" t="s">
        <v>4351</v>
      </c>
      <c r="AA5772" s="3">
        <v>0.121854916214943</v>
      </c>
      <c r="AB5772" t="s">
        <v>28619</v>
      </c>
      <c r="AC5772" t="s">
        <v>4575</v>
      </c>
      <c r="AD5772" t="s">
        <v>28618</v>
      </c>
      <c r="AE5772" t="s">
        <v>4655</v>
      </c>
      <c r="AF5772" t="s">
        <v>4563</v>
      </c>
      <c r="AG5772" t="s">
        <v>4564</v>
      </c>
      <c r="AH5772" t="s">
        <v>1147</v>
      </c>
      <c r="AI5772" t="s">
        <v>1576</v>
      </c>
      <c r="AJ5772" t="s">
        <v>1577</v>
      </c>
      <c r="AK5772" t="s">
        <v>28620</v>
      </c>
      <c r="AL5772" s="13" t="s">
        <v>2255</v>
      </c>
      <c r="AM5772">
        <v>1</v>
      </c>
      <c r="AN5772" s="15" t="s">
        <v>1579</v>
      </c>
    </row>
    <row r="5773" spans="1:40" x14ac:dyDescent="0.3">
      <c r="A5773" s="10" t="str">
        <f>HYPERLINK("http://www.washoecounty.gov/assessor/cama/?parid=202-191-19&amp;CardNumber=1","202-191-19")</f>
        <v>202-191-19</v>
      </c>
      <c r="B5773" t="s">
        <v>4655</v>
      </c>
      <c r="C5773" t="s">
        <v>28621</v>
      </c>
      <c r="D5773" s="1">
        <v>40183</v>
      </c>
      <c r="E5773" s="2">
        <v>953900</v>
      </c>
      <c r="F5773" t="s">
        <v>2900</v>
      </c>
      <c r="G5773" s="17" t="str">
        <f>HYPERLINK("https://www.washoecounty.gov/assessor/cama/?command=sales&amp;parid=20219119","3836660")</f>
        <v>3836660</v>
      </c>
      <c r="H5773" t="s">
        <v>1575</v>
      </c>
      <c r="I5773">
        <v>2010</v>
      </c>
      <c r="J5773">
        <v>2010</v>
      </c>
      <c r="K5773" t="s">
        <v>4554</v>
      </c>
      <c r="L5773" t="s">
        <v>3974</v>
      </c>
      <c r="M5773" s="2">
        <v>1644</v>
      </c>
      <c r="N5773" t="s">
        <v>5280</v>
      </c>
      <c r="O5773">
        <v>4</v>
      </c>
      <c r="P5773">
        <v>2</v>
      </c>
      <c r="Q5773">
        <v>1</v>
      </c>
      <c r="R5773" t="s">
        <v>5281</v>
      </c>
      <c r="S5773" t="s">
        <v>4898</v>
      </c>
      <c r="T5773" t="s">
        <v>2704</v>
      </c>
      <c r="U5773" t="s">
        <v>4560</v>
      </c>
      <c r="V5773" s="2">
        <v>406</v>
      </c>
      <c r="W5773" t="s">
        <v>4655</v>
      </c>
      <c r="X5773" s="2">
        <v>0</v>
      </c>
      <c r="Y5773">
        <v>12</v>
      </c>
      <c r="Z5773" t="s">
        <v>4351</v>
      </c>
      <c r="AA5773" s="3">
        <v>0.119903579354286</v>
      </c>
      <c r="AB5773" t="s">
        <v>28622</v>
      </c>
      <c r="AC5773" t="s">
        <v>4562</v>
      </c>
      <c r="AD5773" t="s">
        <v>28621</v>
      </c>
      <c r="AE5773" t="s">
        <v>4655</v>
      </c>
      <c r="AF5773" t="s">
        <v>4563</v>
      </c>
      <c r="AG5773" t="s">
        <v>4564</v>
      </c>
      <c r="AH5773" t="s">
        <v>1147</v>
      </c>
      <c r="AI5773" t="s">
        <v>4655</v>
      </c>
      <c r="AJ5773" t="s">
        <v>1577</v>
      </c>
      <c r="AK5773" t="s">
        <v>28623</v>
      </c>
      <c r="AL5773" s="13" t="s">
        <v>2255</v>
      </c>
      <c r="AM5773" s="14">
        <v>1</v>
      </c>
      <c r="AN5773" s="15" t="s">
        <v>1579</v>
      </c>
    </row>
    <row r="5774" spans="1:40" x14ac:dyDescent="0.3">
      <c r="A5774" s="10" t="str">
        <f>HYPERLINK("http://www.washoecounty.gov/assessor/cama/?parid=202-191-19&amp;CardNumber=1","202-191-19")</f>
        <v>202-191-19</v>
      </c>
      <c r="B5774" t="s">
        <v>4655</v>
      </c>
      <c r="C5774" t="s">
        <v>28621</v>
      </c>
      <c r="D5774" s="1">
        <v>40478</v>
      </c>
      <c r="E5774" s="2">
        <v>201000</v>
      </c>
      <c r="F5774" t="s">
        <v>4567</v>
      </c>
      <c r="G5774" s="17" t="str">
        <f>HYPERLINK("https://www.washoecounty.gov/assessor/cama/?command=sales&amp;parid=20219119","3937057")</f>
        <v>3937057</v>
      </c>
      <c r="H5774" t="s">
        <v>1575</v>
      </c>
      <c r="I5774">
        <v>2010</v>
      </c>
      <c r="J5774">
        <v>2010</v>
      </c>
      <c r="K5774" t="s">
        <v>4554</v>
      </c>
      <c r="L5774" t="s">
        <v>3974</v>
      </c>
      <c r="M5774" s="2">
        <v>1644</v>
      </c>
      <c r="N5774" t="s">
        <v>5280</v>
      </c>
      <c r="O5774">
        <v>4</v>
      </c>
      <c r="P5774">
        <v>2</v>
      </c>
      <c r="Q5774">
        <v>1</v>
      </c>
      <c r="R5774" t="s">
        <v>5281</v>
      </c>
      <c r="S5774" t="s">
        <v>4898</v>
      </c>
      <c r="T5774" t="s">
        <v>2704</v>
      </c>
      <c r="U5774" t="s">
        <v>4560</v>
      </c>
      <c r="V5774" s="2">
        <v>406</v>
      </c>
      <c r="W5774" t="s">
        <v>4655</v>
      </c>
      <c r="X5774" s="2">
        <v>0</v>
      </c>
      <c r="Y5774">
        <v>20</v>
      </c>
      <c r="Z5774" t="s">
        <v>4351</v>
      </c>
      <c r="AA5774" s="3">
        <v>0.119903579354286</v>
      </c>
      <c r="AB5774" t="s">
        <v>28622</v>
      </c>
      <c r="AC5774" t="s">
        <v>4562</v>
      </c>
      <c r="AD5774" t="s">
        <v>28621</v>
      </c>
      <c r="AE5774" t="s">
        <v>4655</v>
      </c>
      <c r="AF5774" t="s">
        <v>4563</v>
      </c>
      <c r="AG5774" t="s">
        <v>4564</v>
      </c>
      <c r="AH5774" t="s">
        <v>1147</v>
      </c>
      <c r="AI5774" t="s">
        <v>4655</v>
      </c>
      <c r="AJ5774" t="s">
        <v>1577</v>
      </c>
      <c r="AK5774" t="s">
        <v>28623</v>
      </c>
      <c r="AL5774" s="13" t="s">
        <v>2255</v>
      </c>
      <c r="AM5774">
        <v>1</v>
      </c>
      <c r="AN5774" s="15" t="s">
        <v>1579</v>
      </c>
    </row>
    <row r="5775" spans="1:40" x14ac:dyDescent="0.3">
      <c r="A5775" s="10" t="str">
        <f>HYPERLINK("http://www.washoecounty.gov/assessor/cama/?parid=202-191-20&amp;CardNumber=1","202-191-20")</f>
        <v>202-191-20</v>
      </c>
      <c r="B5775" t="s">
        <v>4655</v>
      </c>
      <c r="C5775" t="s">
        <v>28624</v>
      </c>
      <c r="D5775" s="1">
        <v>40183</v>
      </c>
      <c r="E5775" s="2">
        <v>953900</v>
      </c>
      <c r="F5775" t="s">
        <v>2900</v>
      </c>
      <c r="G5775" s="17" t="str">
        <f>HYPERLINK("https://www.washoecounty.gov/assessor/cama/?command=sales&amp;parid=20219120","3836660")</f>
        <v>3836660</v>
      </c>
      <c r="H5775" t="s">
        <v>1575</v>
      </c>
      <c r="I5775">
        <v>2010</v>
      </c>
      <c r="J5775">
        <v>2010</v>
      </c>
      <c r="K5775" t="s">
        <v>4554</v>
      </c>
      <c r="L5775" t="s">
        <v>3974</v>
      </c>
      <c r="M5775" s="2">
        <v>1371</v>
      </c>
      <c r="N5775" t="s">
        <v>5280</v>
      </c>
      <c r="O5775">
        <v>3</v>
      </c>
      <c r="P5775">
        <v>2</v>
      </c>
      <c r="Q5775">
        <v>1</v>
      </c>
      <c r="R5775" t="s">
        <v>5281</v>
      </c>
      <c r="S5775" t="s">
        <v>4898</v>
      </c>
      <c r="T5775" t="s">
        <v>2704</v>
      </c>
      <c r="U5775" t="s">
        <v>4560</v>
      </c>
      <c r="V5775" s="2">
        <v>420</v>
      </c>
      <c r="W5775" t="s">
        <v>4655</v>
      </c>
      <c r="X5775" s="2">
        <v>0</v>
      </c>
      <c r="Y5775">
        <v>12</v>
      </c>
      <c r="Z5775" t="s">
        <v>4351</v>
      </c>
      <c r="AA5775" s="3">
        <v>0.12458677589893299</v>
      </c>
      <c r="AB5775" t="s">
        <v>28625</v>
      </c>
      <c r="AC5775" t="s">
        <v>4562</v>
      </c>
      <c r="AD5775" t="s">
        <v>28624</v>
      </c>
      <c r="AE5775" t="s">
        <v>4655</v>
      </c>
      <c r="AF5775" t="s">
        <v>4563</v>
      </c>
      <c r="AG5775" t="s">
        <v>4564</v>
      </c>
      <c r="AH5775" t="s">
        <v>1147</v>
      </c>
      <c r="AI5775" t="s">
        <v>1576</v>
      </c>
      <c r="AJ5775" t="s">
        <v>1577</v>
      </c>
      <c r="AK5775" t="s">
        <v>28626</v>
      </c>
      <c r="AL5775" s="13" t="s">
        <v>2255</v>
      </c>
      <c r="AM5775" s="14">
        <v>1</v>
      </c>
      <c r="AN5775" s="15" t="s">
        <v>1579</v>
      </c>
    </row>
    <row r="5776" spans="1:40" x14ac:dyDescent="0.3">
      <c r="A5776" s="10" t="str">
        <f>HYPERLINK("http://www.washoecounty.gov/assessor/cama/?parid=202-191-20&amp;CardNumber=1","202-191-20")</f>
        <v>202-191-20</v>
      </c>
      <c r="B5776" t="s">
        <v>4655</v>
      </c>
      <c r="C5776" t="s">
        <v>28624</v>
      </c>
      <c r="D5776" s="1">
        <v>40386</v>
      </c>
      <c r="E5776" s="2">
        <v>199950</v>
      </c>
      <c r="F5776" t="s">
        <v>4567</v>
      </c>
      <c r="G5776" s="17" t="str">
        <f>HYPERLINK("https://www.washoecounty.gov/assessor/cama/?command=sales&amp;parid=20219120","3905451")</f>
        <v>3905451</v>
      </c>
      <c r="H5776" t="s">
        <v>1575</v>
      </c>
      <c r="I5776">
        <v>2010</v>
      </c>
      <c r="J5776">
        <v>2010</v>
      </c>
      <c r="K5776" t="s">
        <v>4554</v>
      </c>
      <c r="L5776" t="s">
        <v>3974</v>
      </c>
      <c r="M5776" s="2">
        <v>1371</v>
      </c>
      <c r="N5776" t="s">
        <v>5280</v>
      </c>
      <c r="O5776">
        <v>3</v>
      </c>
      <c r="P5776">
        <v>2</v>
      </c>
      <c r="Q5776">
        <v>1</v>
      </c>
      <c r="R5776" t="s">
        <v>5281</v>
      </c>
      <c r="S5776" t="s">
        <v>4898</v>
      </c>
      <c r="T5776" t="s">
        <v>2704</v>
      </c>
      <c r="U5776" t="s">
        <v>4560</v>
      </c>
      <c r="V5776" s="2">
        <v>420</v>
      </c>
      <c r="W5776" t="s">
        <v>4655</v>
      </c>
      <c r="X5776" s="2">
        <v>0</v>
      </c>
      <c r="Y5776">
        <v>20</v>
      </c>
      <c r="Z5776" t="s">
        <v>4351</v>
      </c>
      <c r="AA5776" s="3">
        <v>0.12458677589893299</v>
      </c>
      <c r="AB5776" t="s">
        <v>28625</v>
      </c>
      <c r="AC5776" t="s">
        <v>4562</v>
      </c>
      <c r="AD5776" t="s">
        <v>28624</v>
      </c>
      <c r="AE5776" t="s">
        <v>4655</v>
      </c>
      <c r="AF5776" t="s">
        <v>4563</v>
      </c>
      <c r="AG5776" t="s">
        <v>4564</v>
      </c>
      <c r="AH5776" t="s">
        <v>1147</v>
      </c>
      <c r="AI5776" t="s">
        <v>1576</v>
      </c>
      <c r="AJ5776" t="s">
        <v>1577</v>
      </c>
      <c r="AK5776" t="s">
        <v>28626</v>
      </c>
      <c r="AL5776" s="13" t="s">
        <v>2255</v>
      </c>
      <c r="AM5776">
        <v>1</v>
      </c>
      <c r="AN5776" s="15" t="s">
        <v>1579</v>
      </c>
    </row>
    <row r="5777" spans="1:40" x14ac:dyDescent="0.3">
      <c r="A5777" s="10" t="str">
        <f>HYPERLINK("http://www.washoecounty.gov/assessor/cama/?parid=202-191-21&amp;CardNumber=1","202-191-21")</f>
        <v>202-191-21</v>
      </c>
      <c r="B5777" t="s">
        <v>4655</v>
      </c>
      <c r="C5777" t="s">
        <v>28627</v>
      </c>
      <c r="D5777" s="1">
        <v>40183</v>
      </c>
      <c r="E5777" s="2">
        <v>953900</v>
      </c>
      <c r="F5777" t="s">
        <v>2900</v>
      </c>
      <c r="G5777" s="17" t="str">
        <f>HYPERLINK("https://www.washoecounty.gov/assessor/cama/?command=sales&amp;parid=20219121","3836660")</f>
        <v>3836660</v>
      </c>
      <c r="H5777" t="s">
        <v>1575</v>
      </c>
      <c r="I5777">
        <v>2009</v>
      </c>
      <c r="J5777">
        <v>2009</v>
      </c>
      <c r="K5777" t="s">
        <v>4554</v>
      </c>
      <c r="L5777" t="s">
        <v>4555</v>
      </c>
      <c r="M5777" s="2">
        <v>1612</v>
      </c>
      <c r="N5777" t="s">
        <v>5280</v>
      </c>
      <c r="O5777">
        <v>3</v>
      </c>
      <c r="P5777">
        <v>2</v>
      </c>
      <c r="Q5777">
        <v>0</v>
      </c>
      <c r="R5777" t="s">
        <v>5281</v>
      </c>
      <c r="S5777" t="s">
        <v>4898</v>
      </c>
      <c r="T5777" t="s">
        <v>4559</v>
      </c>
      <c r="U5777" t="s">
        <v>4560</v>
      </c>
      <c r="V5777" s="2">
        <v>420</v>
      </c>
      <c r="W5777" t="s">
        <v>4655</v>
      </c>
      <c r="X5777" s="2">
        <v>0</v>
      </c>
      <c r="Y5777">
        <v>12</v>
      </c>
      <c r="Z5777" t="s">
        <v>4351</v>
      </c>
      <c r="AA5777" s="3">
        <v>0.18046373128891</v>
      </c>
      <c r="AB5777" t="s">
        <v>28628</v>
      </c>
      <c r="AC5777" t="s">
        <v>4562</v>
      </c>
      <c r="AD5777" t="s">
        <v>28627</v>
      </c>
      <c r="AE5777" t="s">
        <v>4655</v>
      </c>
      <c r="AF5777" t="s">
        <v>4563</v>
      </c>
      <c r="AG5777" t="s">
        <v>4564</v>
      </c>
      <c r="AH5777" t="s">
        <v>1147</v>
      </c>
      <c r="AI5777" t="s">
        <v>1576</v>
      </c>
      <c r="AJ5777" t="s">
        <v>1577</v>
      </c>
      <c r="AK5777" t="s">
        <v>28629</v>
      </c>
      <c r="AL5777" s="13" t="s">
        <v>2255</v>
      </c>
      <c r="AM5777">
        <v>1</v>
      </c>
      <c r="AN5777" s="15" t="s">
        <v>1579</v>
      </c>
    </row>
    <row r="5778" spans="1:40" x14ac:dyDescent="0.3">
      <c r="A5778" s="10" t="str">
        <f>HYPERLINK("http://www.washoecounty.gov/assessor/cama/?parid=202-191-21&amp;CardNumber=1","202-191-21")</f>
        <v>202-191-21</v>
      </c>
      <c r="B5778" t="s">
        <v>4655</v>
      </c>
      <c r="C5778" t="s">
        <v>28627</v>
      </c>
      <c r="D5778" s="1">
        <v>40423</v>
      </c>
      <c r="E5778" s="2">
        <v>222520</v>
      </c>
      <c r="F5778" t="s">
        <v>4567</v>
      </c>
      <c r="G5778" s="17" t="str">
        <f>HYPERLINK("https://www.washoecounty.gov/assessor/cama/?command=sales&amp;parid=20219121","3918220")</f>
        <v>3918220</v>
      </c>
      <c r="H5778" t="s">
        <v>1575</v>
      </c>
      <c r="I5778">
        <v>2009</v>
      </c>
      <c r="J5778">
        <v>2009</v>
      </c>
      <c r="K5778" t="s">
        <v>4554</v>
      </c>
      <c r="L5778" t="s">
        <v>4555</v>
      </c>
      <c r="M5778" s="2">
        <v>1612</v>
      </c>
      <c r="N5778" t="s">
        <v>5280</v>
      </c>
      <c r="O5778">
        <v>3</v>
      </c>
      <c r="P5778">
        <v>2</v>
      </c>
      <c r="Q5778">
        <v>0</v>
      </c>
      <c r="R5778" t="s">
        <v>5281</v>
      </c>
      <c r="S5778" t="s">
        <v>4898</v>
      </c>
      <c r="T5778" t="s">
        <v>4559</v>
      </c>
      <c r="U5778" t="s">
        <v>4560</v>
      </c>
      <c r="V5778" s="2">
        <v>420</v>
      </c>
      <c r="W5778" t="s">
        <v>4655</v>
      </c>
      <c r="X5778" s="2">
        <v>0</v>
      </c>
      <c r="Y5778">
        <v>20</v>
      </c>
      <c r="Z5778" t="s">
        <v>4351</v>
      </c>
      <c r="AA5778" s="3">
        <v>0.18046373128891</v>
      </c>
      <c r="AB5778" t="s">
        <v>28628</v>
      </c>
      <c r="AC5778" t="s">
        <v>4562</v>
      </c>
      <c r="AD5778" t="s">
        <v>28627</v>
      </c>
      <c r="AE5778" t="s">
        <v>4655</v>
      </c>
      <c r="AF5778" t="s">
        <v>4563</v>
      </c>
      <c r="AG5778" t="s">
        <v>4564</v>
      </c>
      <c r="AH5778" t="s">
        <v>1147</v>
      </c>
      <c r="AI5778" t="s">
        <v>1576</v>
      </c>
      <c r="AJ5778" t="s">
        <v>1577</v>
      </c>
      <c r="AK5778" t="s">
        <v>28629</v>
      </c>
      <c r="AL5778" s="13" t="s">
        <v>2255</v>
      </c>
      <c r="AM5778">
        <v>1</v>
      </c>
      <c r="AN5778" s="15" t="s">
        <v>1579</v>
      </c>
    </row>
    <row r="5779" spans="1:40" x14ac:dyDescent="0.3">
      <c r="A5779" s="10" t="str">
        <f>HYPERLINK("http://www.washoecounty.gov/assessor/cama/?parid=202-191-22&amp;CardNumber=1","202-191-22")</f>
        <v>202-191-22</v>
      </c>
      <c r="B5779" t="s">
        <v>4655</v>
      </c>
      <c r="C5779" t="s">
        <v>28630</v>
      </c>
      <c r="D5779" s="1">
        <v>40183</v>
      </c>
      <c r="E5779" s="2">
        <v>953900</v>
      </c>
      <c r="F5779" t="s">
        <v>2900</v>
      </c>
      <c r="G5779" s="17" t="str">
        <f>HYPERLINK("https://www.washoecounty.gov/assessor/cama/?command=sales&amp;parid=20219122","3836660")</f>
        <v>3836660</v>
      </c>
      <c r="H5779" t="s">
        <v>1575</v>
      </c>
      <c r="I5779">
        <v>2009</v>
      </c>
      <c r="J5779">
        <v>2009</v>
      </c>
      <c r="K5779" t="s">
        <v>4554</v>
      </c>
      <c r="L5779" t="s">
        <v>4555</v>
      </c>
      <c r="M5779" s="2">
        <v>1612</v>
      </c>
      <c r="N5779" t="s">
        <v>5280</v>
      </c>
      <c r="O5779">
        <v>3</v>
      </c>
      <c r="P5779">
        <v>2</v>
      </c>
      <c r="Q5779">
        <v>0</v>
      </c>
      <c r="R5779" t="s">
        <v>5281</v>
      </c>
      <c r="S5779" t="s">
        <v>4898</v>
      </c>
      <c r="T5779" t="s">
        <v>4559</v>
      </c>
      <c r="U5779" t="s">
        <v>4560</v>
      </c>
      <c r="V5779" s="2">
        <v>420</v>
      </c>
      <c r="W5779" t="s">
        <v>4655</v>
      </c>
      <c r="X5779" s="2">
        <v>0</v>
      </c>
      <c r="Y5779">
        <v>12</v>
      </c>
      <c r="Z5779" t="s">
        <v>4351</v>
      </c>
      <c r="AA5779" s="3">
        <v>0.17968319356441498</v>
      </c>
      <c r="AB5779" t="s">
        <v>28631</v>
      </c>
      <c r="AC5779" t="s">
        <v>4562</v>
      </c>
      <c r="AD5779" t="s">
        <v>28630</v>
      </c>
      <c r="AE5779" t="s">
        <v>4655</v>
      </c>
      <c r="AF5779" t="s">
        <v>4563</v>
      </c>
      <c r="AG5779" t="s">
        <v>4564</v>
      </c>
      <c r="AH5779" t="s">
        <v>1147</v>
      </c>
      <c r="AI5779" t="s">
        <v>28631</v>
      </c>
      <c r="AJ5779" t="s">
        <v>1577</v>
      </c>
      <c r="AK5779" t="s">
        <v>28632</v>
      </c>
      <c r="AL5779" s="13" t="s">
        <v>2255</v>
      </c>
      <c r="AM5779" s="14">
        <v>1</v>
      </c>
      <c r="AN5779" s="15" t="s">
        <v>1579</v>
      </c>
    </row>
    <row r="5780" spans="1:40" x14ac:dyDescent="0.3">
      <c r="A5780" s="10" t="str">
        <f>HYPERLINK("http://www.washoecounty.gov/assessor/cama/?parid=202-191-22&amp;CardNumber=1","202-191-22")</f>
        <v>202-191-22</v>
      </c>
      <c r="B5780" t="s">
        <v>4655</v>
      </c>
      <c r="C5780" t="s">
        <v>28630</v>
      </c>
      <c r="D5780" s="1">
        <v>40340</v>
      </c>
      <c r="E5780" s="2">
        <v>219950</v>
      </c>
      <c r="F5780" t="s">
        <v>4567</v>
      </c>
      <c r="G5780" s="17" t="str">
        <f>HYPERLINK("https://www.washoecounty.gov/assessor/cama/?command=sales&amp;parid=20219122","3890930")</f>
        <v>3890930</v>
      </c>
      <c r="H5780" t="s">
        <v>1575</v>
      </c>
      <c r="I5780">
        <v>2009</v>
      </c>
      <c r="J5780">
        <v>2009</v>
      </c>
      <c r="K5780" t="s">
        <v>4554</v>
      </c>
      <c r="L5780" t="s">
        <v>4555</v>
      </c>
      <c r="M5780" s="2">
        <v>1612</v>
      </c>
      <c r="N5780" t="s">
        <v>5280</v>
      </c>
      <c r="O5780">
        <v>3</v>
      </c>
      <c r="P5780">
        <v>2</v>
      </c>
      <c r="Q5780">
        <v>0</v>
      </c>
      <c r="R5780" t="s">
        <v>5281</v>
      </c>
      <c r="S5780" t="s">
        <v>4898</v>
      </c>
      <c r="T5780" t="s">
        <v>4559</v>
      </c>
      <c r="U5780" t="s">
        <v>4560</v>
      </c>
      <c r="V5780" s="2">
        <v>420</v>
      </c>
      <c r="W5780" t="s">
        <v>4655</v>
      </c>
      <c r="X5780" s="2">
        <v>0</v>
      </c>
      <c r="Y5780">
        <v>20</v>
      </c>
      <c r="Z5780" t="s">
        <v>4351</v>
      </c>
      <c r="AA5780" s="3">
        <v>0.17968319356441498</v>
      </c>
      <c r="AB5780" t="s">
        <v>28631</v>
      </c>
      <c r="AC5780" t="s">
        <v>4562</v>
      </c>
      <c r="AD5780" t="s">
        <v>28630</v>
      </c>
      <c r="AE5780" t="s">
        <v>4655</v>
      </c>
      <c r="AF5780" t="s">
        <v>4563</v>
      </c>
      <c r="AG5780" t="s">
        <v>4564</v>
      </c>
      <c r="AH5780" t="s">
        <v>1147</v>
      </c>
      <c r="AI5780" t="s">
        <v>28631</v>
      </c>
      <c r="AJ5780" t="s">
        <v>1577</v>
      </c>
      <c r="AK5780" t="s">
        <v>28632</v>
      </c>
      <c r="AL5780" s="13" t="s">
        <v>2255</v>
      </c>
      <c r="AM5780">
        <v>1</v>
      </c>
      <c r="AN5780" s="15" t="s">
        <v>1579</v>
      </c>
    </row>
    <row r="5781" spans="1:40" x14ac:dyDescent="0.3">
      <c r="A5781" s="10" t="str">
        <f>HYPERLINK("http://www.washoecounty.gov/assessor/cama/?parid=202-191-23&amp;CardNumber=1","202-191-23")</f>
        <v>202-191-23</v>
      </c>
      <c r="B5781" t="s">
        <v>4655</v>
      </c>
      <c r="C5781" t="s">
        <v>28633</v>
      </c>
      <c r="D5781" s="1">
        <v>40183</v>
      </c>
      <c r="E5781" s="2">
        <v>953900</v>
      </c>
      <c r="F5781" t="s">
        <v>2900</v>
      </c>
      <c r="G5781" s="17" t="str">
        <f>HYPERLINK("https://www.washoecounty.gov/assessor/cama/?command=sales&amp;parid=20219123","3836660")</f>
        <v>3836660</v>
      </c>
      <c r="H5781" t="s">
        <v>1575</v>
      </c>
      <c r="I5781">
        <v>2009</v>
      </c>
      <c r="J5781">
        <v>2009</v>
      </c>
      <c r="K5781" t="s">
        <v>4554</v>
      </c>
      <c r="L5781" t="s">
        <v>4555</v>
      </c>
      <c r="M5781" s="2">
        <v>1612</v>
      </c>
      <c r="N5781" t="s">
        <v>5280</v>
      </c>
      <c r="O5781">
        <v>3</v>
      </c>
      <c r="P5781">
        <v>2</v>
      </c>
      <c r="Q5781">
        <v>0</v>
      </c>
      <c r="R5781" t="s">
        <v>5281</v>
      </c>
      <c r="S5781" t="s">
        <v>4898</v>
      </c>
      <c r="T5781" t="s">
        <v>4559</v>
      </c>
      <c r="U5781" t="s">
        <v>4560</v>
      </c>
      <c r="V5781" s="2">
        <v>420</v>
      </c>
      <c r="W5781" t="s">
        <v>4655</v>
      </c>
      <c r="X5781" s="2">
        <v>0</v>
      </c>
      <c r="Y5781">
        <v>12</v>
      </c>
      <c r="Z5781" t="s">
        <v>4351</v>
      </c>
      <c r="AA5781" s="3">
        <v>0.17640036344528201</v>
      </c>
      <c r="AB5781" t="s">
        <v>28634</v>
      </c>
      <c r="AC5781" t="s">
        <v>4562</v>
      </c>
      <c r="AD5781" t="s">
        <v>28635</v>
      </c>
      <c r="AE5781" t="s">
        <v>4655</v>
      </c>
      <c r="AF5781" t="s">
        <v>4563</v>
      </c>
      <c r="AG5781" t="s">
        <v>4564</v>
      </c>
      <c r="AH5781" t="s">
        <v>1147</v>
      </c>
      <c r="AI5781" t="s">
        <v>28636</v>
      </c>
      <c r="AJ5781" t="s">
        <v>1577</v>
      </c>
      <c r="AK5781" t="s">
        <v>28637</v>
      </c>
      <c r="AL5781" s="13" t="s">
        <v>2255</v>
      </c>
      <c r="AM5781">
        <v>1</v>
      </c>
      <c r="AN5781" s="15" t="s">
        <v>1579</v>
      </c>
    </row>
    <row r="5782" spans="1:40" x14ac:dyDescent="0.3">
      <c r="A5782" s="10" t="str">
        <f>HYPERLINK("http://www.washoecounty.gov/assessor/cama/?parid=202-191-23&amp;CardNumber=1","202-191-23")</f>
        <v>202-191-23</v>
      </c>
      <c r="B5782" t="s">
        <v>4655</v>
      </c>
      <c r="C5782" t="s">
        <v>28633</v>
      </c>
      <c r="D5782" s="1">
        <v>40465</v>
      </c>
      <c r="E5782" s="2">
        <v>205900</v>
      </c>
      <c r="F5782" t="s">
        <v>4567</v>
      </c>
      <c r="G5782" s="17" t="str">
        <f>HYPERLINK("https://www.washoecounty.gov/assessor/cama/?command=sales&amp;parid=20219123","3933091")</f>
        <v>3933091</v>
      </c>
      <c r="H5782" t="s">
        <v>1575</v>
      </c>
      <c r="I5782">
        <v>2009</v>
      </c>
      <c r="J5782">
        <v>2009</v>
      </c>
      <c r="K5782" t="s">
        <v>4554</v>
      </c>
      <c r="L5782" t="s">
        <v>4555</v>
      </c>
      <c r="M5782" s="2">
        <v>1612</v>
      </c>
      <c r="N5782" t="s">
        <v>5280</v>
      </c>
      <c r="O5782">
        <v>3</v>
      </c>
      <c r="P5782">
        <v>2</v>
      </c>
      <c r="Q5782">
        <v>0</v>
      </c>
      <c r="R5782" t="s">
        <v>5281</v>
      </c>
      <c r="S5782" t="s">
        <v>4898</v>
      </c>
      <c r="T5782" t="s">
        <v>4559</v>
      </c>
      <c r="U5782" t="s">
        <v>4560</v>
      </c>
      <c r="V5782" s="2">
        <v>420</v>
      </c>
      <c r="W5782" t="s">
        <v>4655</v>
      </c>
      <c r="X5782" s="2">
        <v>0</v>
      </c>
      <c r="Y5782">
        <v>20</v>
      </c>
      <c r="Z5782" t="s">
        <v>4351</v>
      </c>
      <c r="AA5782" s="3">
        <v>0.17640036344528201</v>
      </c>
      <c r="AB5782" t="s">
        <v>28634</v>
      </c>
      <c r="AC5782" t="s">
        <v>4562</v>
      </c>
      <c r="AD5782" t="s">
        <v>28635</v>
      </c>
      <c r="AE5782" t="s">
        <v>4655</v>
      </c>
      <c r="AF5782" t="s">
        <v>4563</v>
      </c>
      <c r="AG5782" t="s">
        <v>4564</v>
      </c>
      <c r="AH5782" t="s">
        <v>1147</v>
      </c>
      <c r="AI5782" t="s">
        <v>28636</v>
      </c>
      <c r="AJ5782" t="s">
        <v>1577</v>
      </c>
      <c r="AK5782" t="s">
        <v>28637</v>
      </c>
      <c r="AL5782" s="13" t="s">
        <v>2255</v>
      </c>
      <c r="AM5782">
        <v>1</v>
      </c>
      <c r="AN5782" s="15" t="s">
        <v>1579</v>
      </c>
    </row>
    <row r="5783" spans="1:40" x14ac:dyDescent="0.3">
      <c r="A5783" s="10" t="str">
        <f>HYPERLINK("http://www.washoecounty.gov/assessor/cama/?parid=202-191-24&amp;CardNumber=1","202-191-24")</f>
        <v>202-191-24</v>
      </c>
      <c r="B5783" t="s">
        <v>4655</v>
      </c>
      <c r="C5783" t="s">
        <v>28638</v>
      </c>
      <c r="D5783" s="1">
        <v>40183</v>
      </c>
      <c r="E5783" s="2">
        <v>953900</v>
      </c>
      <c r="F5783" t="s">
        <v>2900</v>
      </c>
      <c r="G5783" s="17" t="str">
        <f>HYPERLINK("https://www.washoecounty.gov/assessor/cama/?command=sales&amp;parid=20219124","3836660")</f>
        <v>3836660</v>
      </c>
      <c r="H5783" t="s">
        <v>1575</v>
      </c>
      <c r="I5783">
        <v>2009</v>
      </c>
      <c r="J5783">
        <v>2009</v>
      </c>
      <c r="K5783" t="s">
        <v>4554</v>
      </c>
      <c r="L5783" t="s">
        <v>4555</v>
      </c>
      <c r="M5783" s="2">
        <v>1612</v>
      </c>
      <c r="N5783" t="s">
        <v>5280</v>
      </c>
      <c r="O5783">
        <v>3</v>
      </c>
      <c r="P5783">
        <v>2</v>
      </c>
      <c r="Q5783">
        <v>0</v>
      </c>
      <c r="R5783" t="s">
        <v>5281</v>
      </c>
      <c r="S5783" t="s">
        <v>4898</v>
      </c>
      <c r="T5783" t="s">
        <v>4559</v>
      </c>
      <c r="U5783" t="s">
        <v>4560</v>
      </c>
      <c r="V5783" s="2">
        <v>420</v>
      </c>
      <c r="W5783" t="s">
        <v>4655</v>
      </c>
      <c r="X5783" s="2">
        <v>0</v>
      </c>
      <c r="Y5783">
        <v>12</v>
      </c>
      <c r="Z5783" t="s">
        <v>4351</v>
      </c>
      <c r="AA5783" s="3">
        <v>0.17013314366340601</v>
      </c>
      <c r="AB5783" t="s">
        <v>28639</v>
      </c>
      <c r="AC5783" t="s">
        <v>4562</v>
      </c>
      <c r="AD5783" t="s">
        <v>28638</v>
      </c>
      <c r="AE5783" t="s">
        <v>4655</v>
      </c>
      <c r="AF5783" t="s">
        <v>4563</v>
      </c>
      <c r="AG5783" t="s">
        <v>4564</v>
      </c>
      <c r="AH5783" t="s">
        <v>1147</v>
      </c>
      <c r="AI5783" t="s">
        <v>1576</v>
      </c>
      <c r="AJ5783" t="s">
        <v>1577</v>
      </c>
      <c r="AK5783" t="s">
        <v>28640</v>
      </c>
      <c r="AL5783" s="13" t="s">
        <v>2255</v>
      </c>
      <c r="AM5783">
        <v>1</v>
      </c>
      <c r="AN5783" s="15" t="s">
        <v>1579</v>
      </c>
    </row>
    <row r="5784" spans="1:40" x14ac:dyDescent="0.3">
      <c r="A5784" s="10" t="str">
        <f>HYPERLINK("http://www.washoecounty.gov/assessor/cama/?parid=202-191-24&amp;CardNumber=1","202-191-24")</f>
        <v>202-191-24</v>
      </c>
      <c r="B5784" t="s">
        <v>4655</v>
      </c>
      <c r="C5784" t="s">
        <v>28638</v>
      </c>
      <c r="D5784" s="1">
        <v>40417</v>
      </c>
      <c r="E5784" s="2">
        <v>210000</v>
      </c>
      <c r="F5784" t="s">
        <v>4567</v>
      </c>
      <c r="G5784" s="17" t="str">
        <f>HYPERLINK("https://www.washoecounty.gov/assessor/cama/?command=sales&amp;parid=20219124","3916202")</f>
        <v>3916202</v>
      </c>
      <c r="H5784" t="s">
        <v>1575</v>
      </c>
      <c r="I5784">
        <v>2009</v>
      </c>
      <c r="J5784">
        <v>2009</v>
      </c>
      <c r="K5784" t="s">
        <v>4554</v>
      </c>
      <c r="L5784" t="s">
        <v>4555</v>
      </c>
      <c r="M5784" s="2">
        <v>1612</v>
      </c>
      <c r="N5784" t="s">
        <v>5280</v>
      </c>
      <c r="O5784">
        <v>3</v>
      </c>
      <c r="P5784">
        <v>2</v>
      </c>
      <c r="Q5784">
        <v>0</v>
      </c>
      <c r="R5784" t="s">
        <v>5281</v>
      </c>
      <c r="S5784" t="s">
        <v>4898</v>
      </c>
      <c r="T5784" t="s">
        <v>4559</v>
      </c>
      <c r="U5784" t="s">
        <v>4560</v>
      </c>
      <c r="V5784" s="2">
        <v>420</v>
      </c>
      <c r="W5784" t="s">
        <v>4655</v>
      </c>
      <c r="X5784" s="2">
        <v>0</v>
      </c>
      <c r="Y5784">
        <v>20</v>
      </c>
      <c r="Z5784" t="s">
        <v>4351</v>
      </c>
      <c r="AA5784" s="3">
        <v>0.17013314366340601</v>
      </c>
      <c r="AB5784" t="s">
        <v>28639</v>
      </c>
      <c r="AC5784" t="s">
        <v>4562</v>
      </c>
      <c r="AD5784" t="s">
        <v>28638</v>
      </c>
      <c r="AE5784" t="s">
        <v>4655</v>
      </c>
      <c r="AF5784" t="s">
        <v>4563</v>
      </c>
      <c r="AG5784" t="s">
        <v>4564</v>
      </c>
      <c r="AH5784" t="s">
        <v>1147</v>
      </c>
      <c r="AI5784" t="s">
        <v>1576</v>
      </c>
      <c r="AJ5784" t="s">
        <v>1577</v>
      </c>
      <c r="AK5784" t="s">
        <v>28640</v>
      </c>
      <c r="AL5784" s="13" t="s">
        <v>2255</v>
      </c>
      <c r="AM5784">
        <v>1</v>
      </c>
      <c r="AN5784" s="15" t="s">
        <v>1579</v>
      </c>
    </row>
    <row r="5785" spans="1:40" x14ac:dyDescent="0.3">
      <c r="A5785" s="10" t="str">
        <f>HYPERLINK("http://www.washoecounty.gov/assessor/cama/?parid=202-192-01&amp;CardNumber=1","202-192-01")</f>
        <v>202-192-01</v>
      </c>
      <c r="B5785" t="s">
        <v>4655</v>
      </c>
      <c r="C5785" t="s">
        <v>1574</v>
      </c>
      <c r="D5785" s="1">
        <v>40183</v>
      </c>
      <c r="E5785" s="2">
        <v>953900</v>
      </c>
      <c r="F5785" t="s">
        <v>2900</v>
      </c>
      <c r="G5785" s="17" t="str">
        <f>HYPERLINK("https://www.washoecounty.gov/assessor/cama/?command=sales&amp;parid=20219201","3836660")</f>
        <v>3836660</v>
      </c>
      <c r="H5785" t="s">
        <v>1575</v>
      </c>
      <c r="I5785">
        <v>2011</v>
      </c>
      <c r="J5785">
        <v>2011</v>
      </c>
      <c r="K5785" t="s">
        <v>4554</v>
      </c>
      <c r="L5785" t="s">
        <v>3974</v>
      </c>
      <c r="M5785" s="2">
        <v>1890</v>
      </c>
      <c r="N5785" t="s">
        <v>5280</v>
      </c>
      <c r="O5785">
        <v>4</v>
      </c>
      <c r="P5785">
        <v>2</v>
      </c>
      <c r="Q5785">
        <v>1</v>
      </c>
      <c r="R5785" t="s">
        <v>5281</v>
      </c>
      <c r="S5785" t="s">
        <v>4898</v>
      </c>
      <c r="T5785" t="s">
        <v>4559</v>
      </c>
      <c r="U5785" t="s">
        <v>5631</v>
      </c>
      <c r="V5785" s="2">
        <v>420</v>
      </c>
      <c r="W5785" t="s">
        <v>4655</v>
      </c>
      <c r="X5785" s="2">
        <v>0</v>
      </c>
      <c r="Y5785">
        <v>12</v>
      </c>
      <c r="Z5785" t="s">
        <v>4351</v>
      </c>
      <c r="AA5785" s="3">
        <v>0.111891642212868</v>
      </c>
      <c r="AB5785" t="s">
        <v>1576</v>
      </c>
      <c r="AC5785" t="s">
        <v>4562</v>
      </c>
      <c r="AD5785" t="s">
        <v>28592</v>
      </c>
      <c r="AE5785" t="s">
        <v>4655</v>
      </c>
      <c r="AF5785" t="s">
        <v>4563</v>
      </c>
      <c r="AG5785" t="s">
        <v>4564</v>
      </c>
      <c r="AH5785" t="s">
        <v>5197</v>
      </c>
      <c r="AI5785" t="s">
        <v>28593</v>
      </c>
      <c r="AJ5785" t="s">
        <v>1577</v>
      </c>
      <c r="AK5785" t="s">
        <v>1578</v>
      </c>
      <c r="AL5785" s="13" t="s">
        <v>2255</v>
      </c>
      <c r="AM5785" s="14">
        <v>1</v>
      </c>
      <c r="AN5785" s="15" t="s">
        <v>1579</v>
      </c>
    </row>
    <row r="5786" spans="1:40" x14ac:dyDescent="0.3">
      <c r="A5786" s="10" t="str">
        <f>HYPERLINK("http://www.washoecounty.gov/assessor/cama/?parid=202-192-02&amp;CardNumber=1","202-192-02")</f>
        <v>202-192-02</v>
      </c>
      <c r="B5786" t="s">
        <v>4655</v>
      </c>
      <c r="C5786" t="s">
        <v>1883</v>
      </c>
      <c r="D5786" s="1">
        <v>40183</v>
      </c>
      <c r="E5786" s="2">
        <v>953900</v>
      </c>
      <c r="F5786" t="s">
        <v>2900</v>
      </c>
      <c r="G5786" s="17" t="str">
        <f>HYPERLINK("https://www.washoecounty.gov/assessor/cama/?command=sales&amp;parid=20219202","3836660")</f>
        <v>3836660</v>
      </c>
      <c r="H5786" t="s">
        <v>1575</v>
      </c>
      <c r="I5786">
        <v>2011</v>
      </c>
      <c r="J5786">
        <v>2011</v>
      </c>
      <c r="K5786" t="s">
        <v>4554</v>
      </c>
      <c r="L5786" t="s">
        <v>3974</v>
      </c>
      <c r="M5786" s="2">
        <v>1601</v>
      </c>
      <c r="N5786" t="s">
        <v>5280</v>
      </c>
      <c r="O5786">
        <v>4</v>
      </c>
      <c r="P5786">
        <v>2</v>
      </c>
      <c r="Q5786">
        <v>1</v>
      </c>
      <c r="R5786" t="s">
        <v>5281</v>
      </c>
      <c r="S5786" t="s">
        <v>4898</v>
      </c>
      <c r="T5786" t="s">
        <v>4559</v>
      </c>
      <c r="U5786" t="s">
        <v>4560</v>
      </c>
      <c r="V5786" s="2">
        <v>429</v>
      </c>
      <c r="W5786" t="s">
        <v>4655</v>
      </c>
      <c r="X5786" s="2">
        <v>0</v>
      </c>
      <c r="Y5786">
        <v>12</v>
      </c>
      <c r="Z5786" t="s">
        <v>4351</v>
      </c>
      <c r="AA5786" s="3">
        <v>0.102157942950726</v>
      </c>
      <c r="AB5786" t="s">
        <v>1576</v>
      </c>
      <c r="AC5786" t="s">
        <v>4562</v>
      </c>
      <c r="AD5786" t="s">
        <v>28592</v>
      </c>
      <c r="AE5786" t="s">
        <v>4655</v>
      </c>
      <c r="AF5786" t="s">
        <v>4563</v>
      </c>
      <c r="AG5786" t="s">
        <v>4564</v>
      </c>
      <c r="AH5786" t="s">
        <v>5197</v>
      </c>
      <c r="AI5786" t="s">
        <v>28593</v>
      </c>
      <c r="AJ5786" t="s">
        <v>1577</v>
      </c>
      <c r="AK5786" t="s">
        <v>2245</v>
      </c>
      <c r="AL5786" s="13" t="s">
        <v>2255</v>
      </c>
      <c r="AM5786">
        <v>1</v>
      </c>
      <c r="AN5786" s="15" t="s">
        <v>1579</v>
      </c>
    </row>
    <row r="5787" spans="1:40" x14ac:dyDescent="0.3">
      <c r="A5787" s="10" t="str">
        <f>HYPERLINK("http://www.washoecounty.gov/assessor/cama/?parid=202-192-03&amp;CardNumber=1","202-192-03")</f>
        <v>202-192-03</v>
      </c>
      <c r="B5787" t="s">
        <v>4655</v>
      </c>
      <c r="C5787" t="s">
        <v>2246</v>
      </c>
      <c r="D5787" s="1">
        <v>40183</v>
      </c>
      <c r="E5787" s="2">
        <v>953900</v>
      </c>
      <c r="F5787" t="s">
        <v>2900</v>
      </c>
      <c r="G5787" s="17" t="str">
        <f>HYPERLINK("https://www.washoecounty.gov/assessor/cama/?command=sales&amp;parid=20219203","3836660")</f>
        <v>3836660</v>
      </c>
      <c r="H5787" t="s">
        <v>1575</v>
      </c>
      <c r="I5787">
        <v>2011</v>
      </c>
      <c r="J5787">
        <v>2011</v>
      </c>
      <c r="K5787" t="s">
        <v>4554</v>
      </c>
      <c r="L5787" t="s">
        <v>3974</v>
      </c>
      <c r="M5787" s="2">
        <v>1890</v>
      </c>
      <c r="N5787" t="s">
        <v>5280</v>
      </c>
      <c r="O5787">
        <v>4</v>
      </c>
      <c r="P5787">
        <v>2</v>
      </c>
      <c r="Q5787">
        <v>1</v>
      </c>
      <c r="R5787" t="s">
        <v>5281</v>
      </c>
      <c r="S5787" t="s">
        <v>4898</v>
      </c>
      <c r="T5787" t="s">
        <v>2704</v>
      </c>
      <c r="U5787" t="s">
        <v>5631</v>
      </c>
      <c r="V5787" s="2">
        <v>420</v>
      </c>
      <c r="W5787" t="s">
        <v>4655</v>
      </c>
      <c r="X5787" s="2">
        <v>0</v>
      </c>
      <c r="Y5787">
        <v>12</v>
      </c>
      <c r="Z5787" t="s">
        <v>4351</v>
      </c>
      <c r="AA5787" s="3">
        <v>9.3388430774211897E-2</v>
      </c>
      <c r="AB5787" t="s">
        <v>1576</v>
      </c>
      <c r="AC5787" t="s">
        <v>4562</v>
      </c>
      <c r="AD5787" t="s">
        <v>28592</v>
      </c>
      <c r="AE5787" t="s">
        <v>4655</v>
      </c>
      <c r="AF5787" t="s">
        <v>4563</v>
      </c>
      <c r="AG5787" t="s">
        <v>4564</v>
      </c>
      <c r="AH5787" t="s">
        <v>5197</v>
      </c>
      <c r="AI5787" t="s">
        <v>28593</v>
      </c>
      <c r="AJ5787" t="s">
        <v>1577</v>
      </c>
      <c r="AK5787" t="s">
        <v>1054</v>
      </c>
      <c r="AL5787" s="13" t="s">
        <v>2255</v>
      </c>
      <c r="AM5787">
        <v>1</v>
      </c>
      <c r="AN5787" s="15" t="s">
        <v>1579</v>
      </c>
    </row>
    <row r="5788" spans="1:40" x14ac:dyDescent="0.3">
      <c r="A5788" s="10" t="str">
        <f>HYPERLINK("http://www.washoecounty.gov/assessor/cama/?parid=202-192-04&amp;CardNumber=1","202-192-04")</f>
        <v>202-192-04</v>
      </c>
      <c r="B5788" t="s">
        <v>4655</v>
      </c>
      <c r="C5788" t="s">
        <v>1055</v>
      </c>
      <c r="D5788" s="1">
        <v>40183</v>
      </c>
      <c r="E5788" s="2">
        <v>953900</v>
      </c>
      <c r="F5788" t="s">
        <v>2900</v>
      </c>
      <c r="G5788" s="17" t="str">
        <f>HYPERLINK("https://www.washoecounty.gov/assessor/cama/?command=sales&amp;parid=20219204","3836660")</f>
        <v>3836660</v>
      </c>
      <c r="H5788" t="s">
        <v>1575</v>
      </c>
      <c r="I5788">
        <v>2011</v>
      </c>
      <c r="J5788">
        <v>2011</v>
      </c>
      <c r="K5788" t="s">
        <v>4554</v>
      </c>
      <c r="L5788" t="s">
        <v>3974</v>
      </c>
      <c r="M5788" s="2">
        <v>1315</v>
      </c>
      <c r="N5788" t="s">
        <v>5280</v>
      </c>
      <c r="O5788">
        <v>3</v>
      </c>
      <c r="P5788">
        <v>2</v>
      </c>
      <c r="Q5788">
        <v>1</v>
      </c>
      <c r="R5788" t="s">
        <v>5281</v>
      </c>
      <c r="S5788" t="s">
        <v>4898</v>
      </c>
      <c r="T5788" t="s">
        <v>4559</v>
      </c>
      <c r="U5788" t="s">
        <v>4560</v>
      </c>
      <c r="V5788" s="2">
        <v>432</v>
      </c>
      <c r="W5788" t="s">
        <v>4655</v>
      </c>
      <c r="X5788" s="2">
        <v>0</v>
      </c>
      <c r="Y5788">
        <v>12</v>
      </c>
      <c r="Z5788" t="s">
        <v>4351</v>
      </c>
      <c r="AA5788" s="3">
        <v>9.4651058316230802E-2</v>
      </c>
      <c r="AB5788" t="s">
        <v>5708</v>
      </c>
      <c r="AC5788" t="s">
        <v>4575</v>
      </c>
      <c r="AD5788" t="s">
        <v>5709</v>
      </c>
      <c r="AE5788" t="s">
        <v>4655</v>
      </c>
      <c r="AF5788" t="s">
        <v>4563</v>
      </c>
      <c r="AG5788" t="s">
        <v>4564</v>
      </c>
      <c r="AH5788" t="s">
        <v>2541</v>
      </c>
      <c r="AI5788" t="s">
        <v>1576</v>
      </c>
      <c r="AJ5788" t="s">
        <v>1577</v>
      </c>
      <c r="AK5788" t="s">
        <v>1933</v>
      </c>
      <c r="AL5788" s="13" t="s">
        <v>2255</v>
      </c>
      <c r="AM5788">
        <v>1</v>
      </c>
      <c r="AN5788" s="15" t="s">
        <v>1579</v>
      </c>
    </row>
    <row r="5789" spans="1:40" x14ac:dyDescent="0.3">
      <c r="A5789" s="10" t="str">
        <f>HYPERLINK("http://www.washoecounty.gov/assessor/cama/?parid=202-192-05&amp;CardNumber=1","202-192-05")</f>
        <v>202-192-05</v>
      </c>
      <c r="B5789" t="s">
        <v>4655</v>
      </c>
      <c r="C5789" t="s">
        <v>1934</v>
      </c>
      <c r="D5789" s="1">
        <v>40183</v>
      </c>
      <c r="E5789" s="2">
        <v>953900</v>
      </c>
      <c r="F5789" t="s">
        <v>2900</v>
      </c>
      <c r="G5789" s="17" t="str">
        <f>HYPERLINK("https://www.washoecounty.gov/assessor/cama/?command=sales&amp;parid=20219205","3836660")</f>
        <v>3836660</v>
      </c>
      <c r="H5789" t="s">
        <v>1575</v>
      </c>
      <c r="I5789">
        <v>2011</v>
      </c>
      <c r="J5789">
        <v>2011</v>
      </c>
      <c r="K5789" t="s">
        <v>4554</v>
      </c>
      <c r="L5789" t="s">
        <v>3974</v>
      </c>
      <c r="M5789" s="2">
        <v>1601</v>
      </c>
      <c r="N5789" t="s">
        <v>5280</v>
      </c>
      <c r="O5789">
        <v>4</v>
      </c>
      <c r="P5789">
        <v>2</v>
      </c>
      <c r="Q5789">
        <v>1</v>
      </c>
      <c r="R5789" t="s">
        <v>5281</v>
      </c>
      <c r="S5789" t="s">
        <v>4898</v>
      </c>
      <c r="T5789" t="s">
        <v>4559</v>
      </c>
      <c r="U5789" t="s">
        <v>4560</v>
      </c>
      <c r="V5789" s="2">
        <v>429</v>
      </c>
      <c r="W5789" t="s">
        <v>4655</v>
      </c>
      <c r="X5789" s="2">
        <v>0</v>
      </c>
      <c r="Y5789">
        <v>12</v>
      </c>
      <c r="Z5789" t="s">
        <v>4351</v>
      </c>
      <c r="AA5789" s="3">
        <v>0.102364555001259</v>
      </c>
      <c r="AB5789" t="s">
        <v>5710</v>
      </c>
      <c r="AC5789" t="s">
        <v>4562</v>
      </c>
      <c r="AD5789" t="s">
        <v>1934</v>
      </c>
      <c r="AE5789" t="s">
        <v>4655</v>
      </c>
      <c r="AF5789" t="s">
        <v>4563</v>
      </c>
      <c r="AG5789" t="s">
        <v>4564</v>
      </c>
      <c r="AH5789" t="s">
        <v>1147</v>
      </c>
      <c r="AI5789" t="s">
        <v>1576</v>
      </c>
      <c r="AJ5789" t="s">
        <v>1577</v>
      </c>
      <c r="AK5789" t="s">
        <v>1935</v>
      </c>
      <c r="AL5789" s="13" t="s">
        <v>2255</v>
      </c>
      <c r="AM5789" s="14">
        <v>1</v>
      </c>
      <c r="AN5789" s="15" t="s">
        <v>1579</v>
      </c>
    </row>
    <row r="5790" spans="1:40" x14ac:dyDescent="0.3">
      <c r="A5790" s="10" t="str">
        <f>HYPERLINK("http://www.washoecounty.gov/assessor/cama/?parid=202-192-06&amp;CardNumber=1","202-192-06")</f>
        <v>202-192-06</v>
      </c>
      <c r="B5790" t="s">
        <v>4655</v>
      </c>
      <c r="C5790" t="s">
        <v>1936</v>
      </c>
      <c r="D5790" s="1">
        <v>40183</v>
      </c>
      <c r="E5790" s="2">
        <v>953900</v>
      </c>
      <c r="F5790" t="s">
        <v>2900</v>
      </c>
      <c r="G5790" s="17" t="str">
        <f>HYPERLINK("https://www.washoecounty.gov/assessor/cama/?command=sales&amp;parid=20219206","3836660")</f>
        <v>3836660</v>
      </c>
      <c r="H5790" t="s">
        <v>1575</v>
      </c>
      <c r="I5790">
        <v>2011</v>
      </c>
      <c r="J5790">
        <v>2011</v>
      </c>
      <c r="K5790" t="s">
        <v>4554</v>
      </c>
      <c r="L5790" t="s">
        <v>3974</v>
      </c>
      <c r="M5790" s="2">
        <v>1315</v>
      </c>
      <c r="N5790" t="s">
        <v>5280</v>
      </c>
      <c r="O5790">
        <v>3</v>
      </c>
      <c r="P5790">
        <v>2</v>
      </c>
      <c r="Q5790">
        <v>1</v>
      </c>
      <c r="R5790" t="s">
        <v>5281</v>
      </c>
      <c r="S5790" t="s">
        <v>4898</v>
      </c>
      <c r="T5790" t="s">
        <v>4559</v>
      </c>
      <c r="U5790" t="s">
        <v>4560</v>
      </c>
      <c r="V5790" s="2">
        <v>432</v>
      </c>
      <c r="W5790" t="s">
        <v>4655</v>
      </c>
      <c r="X5790" s="2">
        <v>0</v>
      </c>
      <c r="Y5790">
        <v>12</v>
      </c>
      <c r="Z5790" t="s">
        <v>4351</v>
      </c>
      <c r="AA5790" s="3">
        <v>9.4742886722087902E-2</v>
      </c>
      <c r="AB5790" t="s">
        <v>5521</v>
      </c>
      <c r="AC5790" t="s">
        <v>4562</v>
      </c>
      <c r="AD5790" t="s">
        <v>1936</v>
      </c>
      <c r="AE5790" t="s">
        <v>4655</v>
      </c>
      <c r="AF5790" t="s">
        <v>4563</v>
      </c>
      <c r="AG5790" t="s">
        <v>4564</v>
      </c>
      <c r="AH5790" t="s">
        <v>1147</v>
      </c>
      <c r="AI5790" t="s">
        <v>4655</v>
      </c>
      <c r="AJ5790" t="s">
        <v>1577</v>
      </c>
      <c r="AK5790" t="s">
        <v>2685</v>
      </c>
      <c r="AL5790" s="13" t="s">
        <v>2255</v>
      </c>
      <c r="AM5790">
        <v>1</v>
      </c>
      <c r="AN5790" s="15" t="s">
        <v>1579</v>
      </c>
    </row>
    <row r="5791" spans="1:40" x14ac:dyDescent="0.3">
      <c r="A5791" s="10" t="str">
        <f>HYPERLINK("http://www.washoecounty.gov/assessor/cama/?parid=202-192-07&amp;CardNumber=1","202-192-07")</f>
        <v>202-192-07</v>
      </c>
      <c r="B5791" t="s">
        <v>4655</v>
      </c>
      <c r="C5791" t="s">
        <v>2686</v>
      </c>
      <c r="D5791" s="1">
        <v>40183</v>
      </c>
      <c r="E5791" s="2">
        <v>953900</v>
      </c>
      <c r="F5791" t="s">
        <v>2900</v>
      </c>
      <c r="G5791" s="17" t="str">
        <f>HYPERLINK("https://www.washoecounty.gov/assessor/cama/?command=sales&amp;parid=20219207","3836660")</f>
        <v>3836660</v>
      </c>
      <c r="H5791" t="s">
        <v>1575</v>
      </c>
      <c r="I5791">
        <v>2011</v>
      </c>
      <c r="J5791">
        <v>2011</v>
      </c>
      <c r="K5791" t="s">
        <v>4554</v>
      </c>
      <c r="L5791" t="s">
        <v>3974</v>
      </c>
      <c r="M5791" s="2">
        <v>1890</v>
      </c>
      <c r="N5791" t="s">
        <v>5280</v>
      </c>
      <c r="O5791">
        <v>4</v>
      </c>
      <c r="P5791">
        <v>2</v>
      </c>
      <c r="Q5791">
        <v>1</v>
      </c>
      <c r="R5791" t="s">
        <v>5281</v>
      </c>
      <c r="S5791" t="s">
        <v>4898</v>
      </c>
      <c r="T5791" t="s">
        <v>4559</v>
      </c>
      <c r="U5791" t="s">
        <v>5631</v>
      </c>
      <c r="V5791" s="2">
        <v>420</v>
      </c>
      <c r="W5791" t="s">
        <v>4655</v>
      </c>
      <c r="X5791" s="2">
        <v>0</v>
      </c>
      <c r="Y5791">
        <v>12</v>
      </c>
      <c r="Z5791" t="s">
        <v>4351</v>
      </c>
      <c r="AA5791" s="3">
        <v>0.101033054292202</v>
      </c>
      <c r="AB5791" t="s">
        <v>5673</v>
      </c>
      <c r="AC5791" t="s">
        <v>4562</v>
      </c>
      <c r="AD5791" t="s">
        <v>5674</v>
      </c>
      <c r="AE5791" t="s">
        <v>4655</v>
      </c>
      <c r="AF5791" t="s">
        <v>4563</v>
      </c>
      <c r="AG5791" t="s">
        <v>4564</v>
      </c>
      <c r="AH5791" t="s">
        <v>2541</v>
      </c>
      <c r="AI5791" t="s">
        <v>1576</v>
      </c>
      <c r="AJ5791" t="s">
        <v>1577</v>
      </c>
      <c r="AK5791" t="s">
        <v>2687</v>
      </c>
      <c r="AL5791" s="13" t="s">
        <v>2255</v>
      </c>
      <c r="AM5791" s="14">
        <v>1</v>
      </c>
      <c r="AN5791" s="15" t="s">
        <v>1579</v>
      </c>
    </row>
    <row r="5792" spans="1:40" x14ac:dyDescent="0.3">
      <c r="A5792" s="10" t="str">
        <f>HYPERLINK("http://www.washoecounty.gov/assessor/cama/?parid=202-192-08&amp;CardNumber=1","202-192-08")</f>
        <v>202-192-08</v>
      </c>
      <c r="B5792" t="s">
        <v>4655</v>
      </c>
      <c r="C5792" t="s">
        <v>4055</v>
      </c>
      <c r="D5792" s="1">
        <v>40183</v>
      </c>
      <c r="E5792" s="2">
        <v>953900</v>
      </c>
      <c r="F5792" t="s">
        <v>2900</v>
      </c>
      <c r="G5792" s="17" t="str">
        <f>HYPERLINK("https://www.washoecounty.gov/assessor/cama/?command=sales&amp;parid=20219208","3836660")</f>
        <v>3836660</v>
      </c>
      <c r="H5792" t="s">
        <v>1575</v>
      </c>
      <c r="I5792">
        <v>2011</v>
      </c>
      <c r="J5792">
        <v>2011</v>
      </c>
      <c r="K5792" t="s">
        <v>4554</v>
      </c>
      <c r="L5792" t="s">
        <v>3974</v>
      </c>
      <c r="M5792" s="2">
        <v>1315</v>
      </c>
      <c r="N5792" t="s">
        <v>5280</v>
      </c>
      <c r="O5792">
        <v>3</v>
      </c>
      <c r="P5792">
        <v>2</v>
      </c>
      <c r="Q5792">
        <v>1</v>
      </c>
      <c r="R5792" t="s">
        <v>5281</v>
      </c>
      <c r="S5792" t="s">
        <v>4898</v>
      </c>
      <c r="T5792" t="s">
        <v>4559</v>
      </c>
      <c r="U5792" t="s">
        <v>4560</v>
      </c>
      <c r="V5792" s="2">
        <v>432</v>
      </c>
      <c r="W5792" t="s">
        <v>4655</v>
      </c>
      <c r="X5792" s="2">
        <v>0</v>
      </c>
      <c r="Y5792">
        <v>12</v>
      </c>
      <c r="Z5792" t="s">
        <v>4351</v>
      </c>
      <c r="AA5792" s="3">
        <v>0.10638200491666799</v>
      </c>
      <c r="AB5792" t="s">
        <v>5711</v>
      </c>
      <c r="AC5792" t="s">
        <v>4562</v>
      </c>
      <c r="AD5792" t="s">
        <v>4055</v>
      </c>
      <c r="AE5792" t="s">
        <v>4655</v>
      </c>
      <c r="AF5792" t="s">
        <v>4563</v>
      </c>
      <c r="AG5792" t="s">
        <v>4564</v>
      </c>
      <c r="AH5792" t="s">
        <v>1147</v>
      </c>
      <c r="AI5792" t="s">
        <v>1576</v>
      </c>
      <c r="AJ5792" t="s">
        <v>1577</v>
      </c>
      <c r="AK5792" t="s">
        <v>4056</v>
      </c>
      <c r="AL5792" s="13" t="s">
        <v>2255</v>
      </c>
      <c r="AM5792" s="14">
        <v>1</v>
      </c>
      <c r="AN5792" s="15" t="s">
        <v>1579</v>
      </c>
    </row>
    <row r="5793" spans="1:40" x14ac:dyDescent="0.3">
      <c r="A5793" s="10" t="str">
        <f>HYPERLINK("http://www.washoecounty.gov/assessor/cama/?parid=202-192-09&amp;CardNumber=1","202-192-09")</f>
        <v>202-192-09</v>
      </c>
      <c r="B5793" t="s">
        <v>4655</v>
      </c>
      <c r="C5793" t="s">
        <v>4057</v>
      </c>
      <c r="D5793" s="1">
        <v>40183</v>
      </c>
      <c r="E5793" s="2">
        <v>953900</v>
      </c>
      <c r="F5793" t="s">
        <v>2900</v>
      </c>
      <c r="G5793" s="17" t="str">
        <f>HYPERLINK("https://www.washoecounty.gov/assessor/cama/?command=sales&amp;parid=20219209","3836660")</f>
        <v>3836660</v>
      </c>
      <c r="H5793" t="s">
        <v>1575</v>
      </c>
      <c r="I5793">
        <v>2011</v>
      </c>
      <c r="J5793">
        <v>2011</v>
      </c>
      <c r="K5793" t="s">
        <v>4554</v>
      </c>
      <c r="L5793" t="s">
        <v>3974</v>
      </c>
      <c r="M5793" s="2">
        <v>1890</v>
      </c>
      <c r="N5793" t="s">
        <v>5280</v>
      </c>
      <c r="O5793">
        <v>4</v>
      </c>
      <c r="P5793">
        <v>2</v>
      </c>
      <c r="Q5793">
        <v>1</v>
      </c>
      <c r="R5793" t="s">
        <v>5281</v>
      </c>
      <c r="S5793" t="s">
        <v>4898</v>
      </c>
      <c r="T5793" t="s">
        <v>4559</v>
      </c>
      <c r="U5793" t="s">
        <v>5631</v>
      </c>
      <c r="V5793" s="2">
        <v>420</v>
      </c>
      <c r="W5793" t="s">
        <v>4655</v>
      </c>
      <c r="X5793" s="2">
        <v>0</v>
      </c>
      <c r="Y5793">
        <v>12</v>
      </c>
      <c r="Z5793" t="s">
        <v>4351</v>
      </c>
      <c r="AA5793" s="3">
        <v>9.2079892754554707E-2</v>
      </c>
      <c r="AB5793" t="s">
        <v>5673</v>
      </c>
      <c r="AC5793" t="s">
        <v>4562</v>
      </c>
      <c r="AD5793" t="s">
        <v>5674</v>
      </c>
      <c r="AE5793" t="s">
        <v>4655</v>
      </c>
      <c r="AF5793" t="s">
        <v>4563</v>
      </c>
      <c r="AG5793" t="s">
        <v>4564</v>
      </c>
      <c r="AH5793" t="s">
        <v>2541</v>
      </c>
      <c r="AI5793" t="s">
        <v>1576</v>
      </c>
      <c r="AJ5793" t="s">
        <v>1577</v>
      </c>
      <c r="AK5793" t="s">
        <v>4058</v>
      </c>
      <c r="AL5793" s="13" t="s">
        <v>2255</v>
      </c>
      <c r="AM5793" s="14">
        <v>1</v>
      </c>
      <c r="AN5793" s="15" t="s">
        <v>1579</v>
      </c>
    </row>
    <row r="5794" spans="1:40" x14ac:dyDescent="0.3">
      <c r="A5794" s="10" t="str">
        <f>HYPERLINK("http://www.washoecounty.gov/assessor/cama/?parid=202-192-10&amp;CardNumber=1","202-192-10")</f>
        <v>202-192-10</v>
      </c>
      <c r="B5794" t="s">
        <v>4655</v>
      </c>
      <c r="C5794" t="s">
        <v>4059</v>
      </c>
      <c r="D5794" s="1">
        <v>40183</v>
      </c>
      <c r="E5794" s="2">
        <v>953900</v>
      </c>
      <c r="F5794" t="s">
        <v>2900</v>
      </c>
      <c r="G5794" s="17" t="str">
        <f>HYPERLINK("https://www.washoecounty.gov/assessor/cama/?command=sales&amp;parid=20219210","3836660")</f>
        <v>3836660</v>
      </c>
      <c r="H5794" t="s">
        <v>1575</v>
      </c>
      <c r="I5794">
        <v>2011</v>
      </c>
      <c r="J5794">
        <v>2011</v>
      </c>
      <c r="K5794" t="s">
        <v>4554</v>
      </c>
      <c r="L5794" t="s">
        <v>3974</v>
      </c>
      <c r="M5794" s="2">
        <v>1315</v>
      </c>
      <c r="N5794" t="s">
        <v>5280</v>
      </c>
      <c r="O5794">
        <v>3</v>
      </c>
      <c r="P5794">
        <v>2</v>
      </c>
      <c r="Q5794">
        <v>1</v>
      </c>
      <c r="R5794" t="s">
        <v>5281</v>
      </c>
      <c r="S5794" t="s">
        <v>4898</v>
      </c>
      <c r="T5794" t="s">
        <v>4559</v>
      </c>
      <c r="U5794" t="s">
        <v>4560</v>
      </c>
      <c r="V5794" s="2">
        <v>432</v>
      </c>
      <c r="W5794" t="s">
        <v>4655</v>
      </c>
      <c r="X5794" s="2">
        <v>0</v>
      </c>
      <c r="Y5794">
        <v>12</v>
      </c>
      <c r="Z5794" t="s">
        <v>4351</v>
      </c>
      <c r="AA5794" s="3">
        <v>9.1942146420478807E-2</v>
      </c>
      <c r="AB5794" t="s">
        <v>5381</v>
      </c>
      <c r="AC5794" t="s">
        <v>4562</v>
      </c>
      <c r="AD5794" t="s">
        <v>4059</v>
      </c>
      <c r="AE5794" t="s">
        <v>4655</v>
      </c>
      <c r="AF5794" t="s">
        <v>4563</v>
      </c>
      <c r="AG5794" t="s">
        <v>4564</v>
      </c>
      <c r="AH5794" t="s">
        <v>1147</v>
      </c>
      <c r="AI5794" t="s">
        <v>4655</v>
      </c>
      <c r="AJ5794" t="s">
        <v>1577</v>
      </c>
      <c r="AK5794" t="s">
        <v>4060</v>
      </c>
      <c r="AL5794" s="13" t="s">
        <v>2255</v>
      </c>
      <c r="AM5794">
        <v>1</v>
      </c>
      <c r="AN5794" s="15" t="s">
        <v>1579</v>
      </c>
    </row>
    <row r="5795" spans="1:40" x14ac:dyDescent="0.3">
      <c r="A5795" s="10" t="str">
        <f>HYPERLINK("http://www.washoecounty.gov/assessor/cama/?parid=202-192-12&amp;CardNumber=1","202-192-12")</f>
        <v>202-192-12</v>
      </c>
      <c r="B5795" t="s">
        <v>4655</v>
      </c>
      <c r="C5795" t="s">
        <v>28641</v>
      </c>
      <c r="D5795" s="1">
        <v>40326</v>
      </c>
      <c r="E5795" s="2">
        <v>232800</v>
      </c>
      <c r="F5795" t="s">
        <v>4567</v>
      </c>
      <c r="G5795" s="17" t="str">
        <f>HYPERLINK("https://www.washoecounty.gov/assessor/cama/?command=sales&amp;parid=20219212","3886777")</f>
        <v>3886777</v>
      </c>
      <c r="H5795" t="s">
        <v>1575</v>
      </c>
      <c r="I5795">
        <v>2006</v>
      </c>
      <c r="J5795">
        <v>2006</v>
      </c>
      <c r="K5795" t="s">
        <v>4554</v>
      </c>
      <c r="L5795" t="s">
        <v>3974</v>
      </c>
      <c r="M5795" s="2">
        <v>2095</v>
      </c>
      <c r="N5795" t="s">
        <v>5280</v>
      </c>
      <c r="O5795">
        <v>4</v>
      </c>
      <c r="P5795">
        <v>2</v>
      </c>
      <c r="Q5795">
        <v>1</v>
      </c>
      <c r="R5795" t="s">
        <v>5281</v>
      </c>
      <c r="S5795" t="s">
        <v>4898</v>
      </c>
      <c r="T5795" t="s">
        <v>4559</v>
      </c>
      <c r="U5795" t="s">
        <v>5631</v>
      </c>
      <c r="V5795" s="2">
        <v>441</v>
      </c>
      <c r="W5795" t="s">
        <v>4655</v>
      </c>
      <c r="X5795" s="2">
        <v>0</v>
      </c>
      <c r="Y5795">
        <v>20</v>
      </c>
      <c r="Z5795" t="s">
        <v>4351</v>
      </c>
      <c r="AA5795" s="3">
        <v>9.1942146420478807E-2</v>
      </c>
      <c r="AB5795" t="s">
        <v>28642</v>
      </c>
      <c r="AC5795" t="s">
        <v>4562</v>
      </c>
      <c r="AD5795" t="s">
        <v>28643</v>
      </c>
      <c r="AE5795" t="s">
        <v>4655</v>
      </c>
      <c r="AF5795" t="s">
        <v>4563</v>
      </c>
      <c r="AG5795" t="s">
        <v>4564</v>
      </c>
      <c r="AH5795" t="s">
        <v>1147</v>
      </c>
      <c r="AI5795" t="s">
        <v>28593</v>
      </c>
      <c r="AJ5795" t="s">
        <v>1577</v>
      </c>
      <c r="AK5795" t="s">
        <v>28644</v>
      </c>
      <c r="AL5795" s="13" t="s">
        <v>2255</v>
      </c>
      <c r="AM5795" s="14">
        <v>1</v>
      </c>
      <c r="AN5795" s="15" t="s">
        <v>1579</v>
      </c>
    </row>
    <row r="5796" spans="1:40" x14ac:dyDescent="0.3">
      <c r="A5796" s="10" t="str">
        <f>HYPERLINK("http://www.washoecounty.gov/assessor/cama/?parid=202-192-13&amp;CardNumber=1","202-192-13")</f>
        <v>202-192-13</v>
      </c>
      <c r="B5796" t="s">
        <v>4655</v>
      </c>
      <c r="C5796" t="s">
        <v>28645</v>
      </c>
      <c r="D5796" s="1">
        <v>40319</v>
      </c>
      <c r="E5796" s="2">
        <v>228800</v>
      </c>
      <c r="F5796" t="s">
        <v>4567</v>
      </c>
      <c r="G5796" s="17" t="str">
        <f>HYPERLINK("https://www.washoecounty.gov/assessor/cama/?command=sales&amp;parid=20219213","3883661")</f>
        <v>3883661</v>
      </c>
      <c r="H5796" t="s">
        <v>1575</v>
      </c>
      <c r="I5796">
        <v>2006</v>
      </c>
      <c r="J5796">
        <v>2006</v>
      </c>
      <c r="K5796" t="s">
        <v>4554</v>
      </c>
      <c r="L5796" t="s">
        <v>3974</v>
      </c>
      <c r="M5796" s="2">
        <v>1981</v>
      </c>
      <c r="N5796" t="s">
        <v>5280</v>
      </c>
      <c r="O5796">
        <v>3</v>
      </c>
      <c r="P5796">
        <v>2</v>
      </c>
      <c r="Q5796">
        <v>1</v>
      </c>
      <c r="R5796" t="s">
        <v>5281</v>
      </c>
      <c r="S5796" t="s">
        <v>4898</v>
      </c>
      <c r="T5796" t="s">
        <v>4559</v>
      </c>
      <c r="U5796" t="s">
        <v>4560</v>
      </c>
      <c r="V5796" s="2">
        <v>420</v>
      </c>
      <c r="W5796" t="s">
        <v>4655</v>
      </c>
      <c r="X5796" s="2">
        <v>0</v>
      </c>
      <c r="Y5796">
        <v>20</v>
      </c>
      <c r="Z5796" t="s">
        <v>4351</v>
      </c>
      <c r="AA5796" s="3">
        <v>9.1942146420478807E-2</v>
      </c>
      <c r="AB5796" t="s">
        <v>28646</v>
      </c>
      <c r="AC5796" t="s">
        <v>4562</v>
      </c>
      <c r="AD5796" t="s">
        <v>28645</v>
      </c>
      <c r="AE5796" t="s">
        <v>4655</v>
      </c>
      <c r="AF5796" t="s">
        <v>4563</v>
      </c>
      <c r="AG5796" t="s">
        <v>4564</v>
      </c>
      <c r="AH5796" t="s">
        <v>1147</v>
      </c>
      <c r="AI5796" t="s">
        <v>28593</v>
      </c>
      <c r="AJ5796" t="s">
        <v>1577</v>
      </c>
      <c r="AK5796" t="s">
        <v>28647</v>
      </c>
      <c r="AL5796" s="13" t="s">
        <v>2255</v>
      </c>
      <c r="AM5796">
        <v>1</v>
      </c>
      <c r="AN5796" s="15" t="s">
        <v>1579</v>
      </c>
    </row>
    <row r="5797" spans="1:40" x14ac:dyDescent="0.3">
      <c r="A5797" s="10" t="str">
        <f>HYPERLINK("http://www.washoecounty.gov/assessor/cama/?parid=202-192-14&amp;CardNumber=1","202-192-14")</f>
        <v>202-192-14</v>
      </c>
      <c r="B5797" t="s">
        <v>4655</v>
      </c>
      <c r="C5797" t="s">
        <v>28648</v>
      </c>
      <c r="D5797" s="1">
        <v>40532</v>
      </c>
      <c r="E5797" s="2">
        <v>225000</v>
      </c>
      <c r="F5797" t="s">
        <v>4567</v>
      </c>
      <c r="G5797" s="17" t="str">
        <f>HYPERLINK("https://www.washoecounty.gov/assessor/cama/?command=sales&amp;parid=20219214","3955468")</f>
        <v>3955468</v>
      </c>
      <c r="H5797" t="s">
        <v>1575</v>
      </c>
      <c r="I5797">
        <v>2006</v>
      </c>
      <c r="J5797">
        <v>2006</v>
      </c>
      <c r="K5797" t="s">
        <v>4554</v>
      </c>
      <c r="L5797" t="s">
        <v>3974</v>
      </c>
      <c r="M5797" s="2">
        <v>2098</v>
      </c>
      <c r="N5797" t="s">
        <v>5280</v>
      </c>
      <c r="O5797">
        <v>4</v>
      </c>
      <c r="P5797">
        <v>2</v>
      </c>
      <c r="Q5797">
        <v>1</v>
      </c>
      <c r="R5797" t="s">
        <v>5281</v>
      </c>
      <c r="S5797" t="s">
        <v>4135</v>
      </c>
      <c r="T5797" t="s">
        <v>4559</v>
      </c>
      <c r="U5797" t="s">
        <v>5631</v>
      </c>
      <c r="V5797" s="2">
        <v>441</v>
      </c>
      <c r="W5797" t="s">
        <v>4655</v>
      </c>
      <c r="X5797" s="2">
        <v>0</v>
      </c>
      <c r="Y5797">
        <v>20</v>
      </c>
      <c r="Z5797" t="s">
        <v>4351</v>
      </c>
      <c r="AA5797" s="3">
        <v>9.1942146420478807E-2</v>
      </c>
      <c r="AB5797" t="s">
        <v>28649</v>
      </c>
      <c r="AC5797" t="s">
        <v>4562</v>
      </c>
      <c r="AD5797" t="s">
        <v>28650</v>
      </c>
      <c r="AE5797" t="s">
        <v>4655</v>
      </c>
      <c r="AF5797" t="s">
        <v>4563</v>
      </c>
      <c r="AG5797" t="s">
        <v>4564</v>
      </c>
      <c r="AH5797">
        <v>89502</v>
      </c>
      <c r="AI5797" t="s">
        <v>4655</v>
      </c>
      <c r="AJ5797" t="s">
        <v>1577</v>
      </c>
      <c r="AK5797" t="s">
        <v>28651</v>
      </c>
      <c r="AL5797" s="13" t="s">
        <v>2255</v>
      </c>
      <c r="AM5797">
        <v>1</v>
      </c>
      <c r="AN5797" s="15" t="s">
        <v>1579</v>
      </c>
    </row>
    <row r="5798" spans="1:40" x14ac:dyDescent="0.3">
      <c r="A5798" s="10" t="str">
        <f>HYPERLINK("http://www.washoecounty.gov/assessor/cama/?parid=202-192-15&amp;CardNumber=1","202-192-15")</f>
        <v>202-192-15</v>
      </c>
      <c r="B5798" t="s">
        <v>4655</v>
      </c>
      <c r="C5798" t="s">
        <v>28652</v>
      </c>
      <c r="D5798" s="1">
        <v>40283</v>
      </c>
      <c r="E5798" s="2">
        <v>228800</v>
      </c>
      <c r="F5798" t="s">
        <v>4567</v>
      </c>
      <c r="G5798" s="17" t="str">
        <f>HYPERLINK("https://www.washoecounty.gov/assessor/cama/?command=sales&amp;parid=20219215","3871395")</f>
        <v>3871395</v>
      </c>
      <c r="H5798" t="s">
        <v>1575</v>
      </c>
      <c r="I5798">
        <v>2006</v>
      </c>
      <c r="J5798">
        <v>2006</v>
      </c>
      <c r="K5798" t="s">
        <v>4554</v>
      </c>
      <c r="L5798" t="s">
        <v>3974</v>
      </c>
      <c r="M5798" s="2">
        <v>1991</v>
      </c>
      <c r="N5798" t="s">
        <v>5280</v>
      </c>
      <c r="O5798">
        <v>3</v>
      </c>
      <c r="P5798">
        <v>2</v>
      </c>
      <c r="Q5798">
        <v>1</v>
      </c>
      <c r="R5798" t="s">
        <v>5281</v>
      </c>
      <c r="S5798" t="s">
        <v>4898</v>
      </c>
      <c r="T5798" t="s">
        <v>4559</v>
      </c>
      <c r="U5798" t="s">
        <v>4560</v>
      </c>
      <c r="V5798" s="2">
        <v>420</v>
      </c>
      <c r="W5798" t="s">
        <v>4655</v>
      </c>
      <c r="X5798" s="2">
        <v>0</v>
      </c>
      <c r="Y5798">
        <v>20</v>
      </c>
      <c r="Z5798" t="s">
        <v>4351</v>
      </c>
      <c r="AA5798" s="3">
        <v>9.1942146420478807E-2</v>
      </c>
      <c r="AB5798" t="s">
        <v>28653</v>
      </c>
      <c r="AC5798" t="s">
        <v>4562</v>
      </c>
      <c r="AD5798" t="s">
        <v>28654</v>
      </c>
      <c r="AE5798" t="s">
        <v>4655</v>
      </c>
      <c r="AF5798" t="s">
        <v>4563</v>
      </c>
      <c r="AG5798" t="s">
        <v>4564</v>
      </c>
      <c r="AH5798" t="s">
        <v>5197</v>
      </c>
      <c r="AI5798" t="s">
        <v>28593</v>
      </c>
      <c r="AJ5798" t="s">
        <v>1577</v>
      </c>
      <c r="AK5798" t="s">
        <v>28655</v>
      </c>
      <c r="AL5798" s="13" t="s">
        <v>2255</v>
      </c>
      <c r="AM5798" s="14">
        <v>1</v>
      </c>
      <c r="AN5798" s="15" t="s">
        <v>1579</v>
      </c>
    </row>
    <row r="5799" spans="1:40" x14ac:dyDescent="0.3">
      <c r="A5799" s="10" t="str">
        <f>HYPERLINK("http://www.washoecounty.gov/assessor/cama/?parid=202-192-21&amp;CardNumber=1","202-192-21")</f>
        <v>202-192-21</v>
      </c>
      <c r="B5799" t="s">
        <v>4655</v>
      </c>
      <c r="C5799" t="s">
        <v>28656</v>
      </c>
      <c r="D5799" s="1">
        <v>40277</v>
      </c>
      <c r="E5799" s="2">
        <v>232000</v>
      </c>
      <c r="F5799" t="s">
        <v>4567</v>
      </c>
      <c r="G5799" s="17" t="str">
        <f>HYPERLINK("https://www.washoecounty.gov/assessor/cama/?command=sales&amp;parid=20219221","3869467")</f>
        <v>3869467</v>
      </c>
      <c r="H5799" t="s">
        <v>1575</v>
      </c>
      <c r="I5799">
        <v>2005</v>
      </c>
      <c r="J5799">
        <v>2005</v>
      </c>
      <c r="K5799" t="s">
        <v>4554</v>
      </c>
      <c r="L5799" t="s">
        <v>3974</v>
      </c>
      <c r="M5799" s="2">
        <v>1991</v>
      </c>
      <c r="N5799" t="s">
        <v>5280</v>
      </c>
      <c r="O5799">
        <v>3</v>
      </c>
      <c r="P5799">
        <v>2</v>
      </c>
      <c r="Q5799">
        <v>1</v>
      </c>
      <c r="R5799" t="s">
        <v>5281</v>
      </c>
      <c r="S5799" t="s">
        <v>4135</v>
      </c>
      <c r="T5799" t="s">
        <v>4559</v>
      </c>
      <c r="U5799" t="s">
        <v>4560</v>
      </c>
      <c r="V5799" s="2">
        <v>420</v>
      </c>
      <c r="W5799" t="s">
        <v>4655</v>
      </c>
      <c r="X5799" s="2">
        <v>0</v>
      </c>
      <c r="Y5799">
        <v>20</v>
      </c>
      <c r="Z5799" t="s">
        <v>4351</v>
      </c>
      <c r="AA5799" s="3">
        <v>0.14951790869236001</v>
      </c>
      <c r="AB5799" t="s">
        <v>28657</v>
      </c>
      <c r="AC5799" t="s">
        <v>4575</v>
      </c>
      <c r="AD5799" t="s">
        <v>28656</v>
      </c>
      <c r="AE5799" t="s">
        <v>4655</v>
      </c>
      <c r="AF5799" t="s">
        <v>4563</v>
      </c>
      <c r="AG5799" t="s">
        <v>4564</v>
      </c>
      <c r="AH5799" t="s">
        <v>1147</v>
      </c>
      <c r="AI5799" t="s">
        <v>28593</v>
      </c>
      <c r="AJ5799" t="s">
        <v>1577</v>
      </c>
      <c r="AK5799" t="s">
        <v>28658</v>
      </c>
      <c r="AL5799" s="13" t="s">
        <v>2255</v>
      </c>
      <c r="AM5799">
        <v>1</v>
      </c>
      <c r="AN5799" s="15" t="s">
        <v>1579</v>
      </c>
    </row>
    <row r="5800" spans="1:40" x14ac:dyDescent="0.3">
      <c r="A5800" s="10" t="str">
        <f>HYPERLINK("http://www.washoecounty.gov/assessor/cama/?parid=202-193-06&amp;CardNumber=1","202-193-06")</f>
        <v>202-193-06</v>
      </c>
      <c r="B5800" t="s">
        <v>4655</v>
      </c>
      <c r="C5800" t="s">
        <v>28659</v>
      </c>
      <c r="D5800" s="1">
        <v>40304</v>
      </c>
      <c r="E5800" s="2">
        <v>188000</v>
      </c>
      <c r="F5800" t="s">
        <v>4553</v>
      </c>
      <c r="G5800" s="17" t="str">
        <f>HYPERLINK("https://www.washoecounty.gov/assessor/cama/?command=sales&amp;parid=20219306","3878661")</f>
        <v>3878661</v>
      </c>
      <c r="H5800" t="s">
        <v>1575</v>
      </c>
      <c r="I5800">
        <v>2006</v>
      </c>
      <c r="J5800">
        <v>2006</v>
      </c>
      <c r="K5800" t="s">
        <v>4554</v>
      </c>
      <c r="L5800" t="s">
        <v>3974</v>
      </c>
      <c r="M5800" s="2">
        <v>1991</v>
      </c>
      <c r="N5800" t="s">
        <v>5280</v>
      </c>
      <c r="O5800">
        <v>3</v>
      </c>
      <c r="P5800">
        <v>2</v>
      </c>
      <c r="Q5800">
        <v>1</v>
      </c>
      <c r="R5800" t="s">
        <v>5281</v>
      </c>
      <c r="S5800" t="s">
        <v>4135</v>
      </c>
      <c r="T5800" t="s">
        <v>4559</v>
      </c>
      <c r="U5800" t="s">
        <v>4560</v>
      </c>
      <c r="V5800" s="2">
        <v>420</v>
      </c>
      <c r="W5800" t="s">
        <v>4655</v>
      </c>
      <c r="X5800" s="2">
        <v>0</v>
      </c>
      <c r="Y5800">
        <v>20</v>
      </c>
      <c r="Z5800" t="s">
        <v>4351</v>
      </c>
      <c r="AA5800" s="3">
        <v>0.20748393237590801</v>
      </c>
      <c r="AB5800" t="s">
        <v>28660</v>
      </c>
      <c r="AC5800" t="s">
        <v>4575</v>
      </c>
      <c r="AD5800" t="s">
        <v>28661</v>
      </c>
      <c r="AE5800" t="s">
        <v>28662</v>
      </c>
      <c r="AF5800" t="s">
        <v>4563</v>
      </c>
      <c r="AG5800" t="s">
        <v>4564</v>
      </c>
      <c r="AH5800" t="s">
        <v>1147</v>
      </c>
      <c r="AI5800" t="s">
        <v>4585</v>
      </c>
      <c r="AJ5800" t="s">
        <v>1577</v>
      </c>
      <c r="AK5800" t="s">
        <v>28663</v>
      </c>
      <c r="AL5800" s="13" t="s">
        <v>2255</v>
      </c>
      <c r="AM5800" s="14">
        <v>1</v>
      </c>
      <c r="AN5800" s="15" t="s">
        <v>1579</v>
      </c>
    </row>
    <row r="5801" spans="1:40" x14ac:dyDescent="0.3">
      <c r="A5801" s="10" t="str">
        <f>HYPERLINK("http://www.washoecounty.gov/assessor/cama/?parid=202-193-09&amp;CardNumber=1","202-193-09")</f>
        <v>202-193-09</v>
      </c>
      <c r="B5801" t="s">
        <v>4655</v>
      </c>
      <c r="C5801" t="s">
        <v>3509</v>
      </c>
      <c r="D5801" s="1">
        <v>40183</v>
      </c>
      <c r="E5801" s="2">
        <v>953900</v>
      </c>
      <c r="F5801" t="s">
        <v>3174</v>
      </c>
      <c r="G5801" s="17" t="str">
        <f>HYPERLINK("https://www.washoecounty.gov/assessor/cama/?command=sales&amp;parid=20219309","3836660")</f>
        <v>3836660</v>
      </c>
      <c r="H5801" t="s">
        <v>1575</v>
      </c>
      <c r="I5801">
        <v>2011</v>
      </c>
      <c r="J5801">
        <v>2011</v>
      </c>
      <c r="K5801" t="s">
        <v>4554</v>
      </c>
      <c r="L5801" t="s">
        <v>3974</v>
      </c>
      <c r="M5801" s="2">
        <v>1890</v>
      </c>
      <c r="N5801" t="s">
        <v>5280</v>
      </c>
      <c r="O5801">
        <v>4</v>
      </c>
      <c r="P5801">
        <v>2</v>
      </c>
      <c r="Q5801">
        <v>1</v>
      </c>
      <c r="R5801" t="s">
        <v>5281</v>
      </c>
      <c r="S5801" t="s">
        <v>4898</v>
      </c>
      <c r="T5801" t="s">
        <v>4559</v>
      </c>
      <c r="U5801" t="s">
        <v>5631</v>
      </c>
      <c r="V5801" s="2">
        <v>420</v>
      </c>
      <c r="W5801" t="s">
        <v>4655</v>
      </c>
      <c r="X5801" s="2">
        <v>0</v>
      </c>
      <c r="Y5801">
        <v>12</v>
      </c>
      <c r="Z5801" t="s">
        <v>4351</v>
      </c>
      <c r="AA5801" s="3">
        <v>0.124173551797867</v>
      </c>
      <c r="AB5801" t="s">
        <v>5373</v>
      </c>
      <c r="AC5801" t="s">
        <v>4562</v>
      </c>
      <c r="AD5801" t="s">
        <v>5374</v>
      </c>
      <c r="AE5801" t="s">
        <v>4655</v>
      </c>
      <c r="AF5801" t="s">
        <v>4239</v>
      </c>
      <c r="AG5801" t="s">
        <v>4564</v>
      </c>
      <c r="AH5801" t="s">
        <v>3816</v>
      </c>
      <c r="AI5801" t="s">
        <v>1576</v>
      </c>
      <c r="AJ5801" t="s">
        <v>1577</v>
      </c>
      <c r="AK5801" t="s">
        <v>3510</v>
      </c>
      <c r="AL5801" s="13" t="s">
        <v>2255</v>
      </c>
      <c r="AM5801">
        <v>1</v>
      </c>
      <c r="AN5801" s="15" t="s">
        <v>1579</v>
      </c>
    </row>
    <row r="5802" spans="1:40" x14ac:dyDescent="0.3">
      <c r="A5802" s="10" t="str">
        <f>HYPERLINK("http://www.washoecounty.gov/assessor/cama/?parid=202-193-11&amp;CardNumber=1","202-193-11")</f>
        <v>202-193-11</v>
      </c>
      <c r="B5802" t="s">
        <v>4655</v>
      </c>
      <c r="C5802" t="s">
        <v>28664</v>
      </c>
      <c r="D5802" s="1">
        <v>40283</v>
      </c>
      <c r="E5802" s="2">
        <v>220000</v>
      </c>
      <c r="F5802" t="s">
        <v>4553</v>
      </c>
      <c r="G5802" s="17" t="str">
        <f>HYPERLINK("https://www.washoecounty.gov/assessor/cama/?command=sales&amp;parid=20219311","3871583")</f>
        <v>3871583</v>
      </c>
      <c r="H5802" t="s">
        <v>1575</v>
      </c>
      <c r="I5802">
        <v>2005</v>
      </c>
      <c r="J5802">
        <v>2005</v>
      </c>
      <c r="K5802" t="s">
        <v>4554</v>
      </c>
      <c r="L5802" t="s">
        <v>3974</v>
      </c>
      <c r="M5802" s="2">
        <v>1991</v>
      </c>
      <c r="N5802" t="s">
        <v>5280</v>
      </c>
      <c r="O5802">
        <v>3</v>
      </c>
      <c r="P5802">
        <v>2</v>
      </c>
      <c r="Q5802">
        <v>1</v>
      </c>
      <c r="R5802" t="s">
        <v>5281</v>
      </c>
      <c r="S5802" t="s">
        <v>4135</v>
      </c>
      <c r="T5802" t="s">
        <v>4559</v>
      </c>
      <c r="U5802" t="s">
        <v>4560</v>
      </c>
      <c r="V5802" s="2">
        <v>420</v>
      </c>
      <c r="W5802" t="s">
        <v>4655</v>
      </c>
      <c r="X5802" s="2">
        <v>0</v>
      </c>
      <c r="Y5802">
        <v>20</v>
      </c>
      <c r="Z5802" t="s">
        <v>4351</v>
      </c>
      <c r="AA5802" s="3">
        <v>0.116896234452724</v>
      </c>
      <c r="AB5802" t="s">
        <v>28665</v>
      </c>
      <c r="AC5802" t="s">
        <v>4562</v>
      </c>
      <c r="AD5802" t="s">
        <v>28666</v>
      </c>
      <c r="AE5802" t="s">
        <v>4655</v>
      </c>
      <c r="AF5802" t="s">
        <v>4563</v>
      </c>
      <c r="AG5802" t="s">
        <v>4564</v>
      </c>
      <c r="AH5802" t="s">
        <v>1147</v>
      </c>
      <c r="AI5802" t="s">
        <v>359</v>
      </c>
      <c r="AJ5802" t="s">
        <v>1577</v>
      </c>
      <c r="AK5802" t="s">
        <v>28667</v>
      </c>
      <c r="AL5802" s="13" t="s">
        <v>2255</v>
      </c>
      <c r="AM5802" s="14">
        <v>1</v>
      </c>
      <c r="AN5802" s="15" t="s">
        <v>1579</v>
      </c>
    </row>
    <row r="5803" spans="1:40" x14ac:dyDescent="0.3">
      <c r="A5803" s="10" t="str">
        <f>HYPERLINK("http://www.washoecounty.gov/assessor/cama/?parid=202-201-08&amp;CardNumber=1","202-201-08")</f>
        <v>202-201-08</v>
      </c>
      <c r="B5803" t="s">
        <v>4655</v>
      </c>
      <c r="C5803" t="s">
        <v>28668</v>
      </c>
      <c r="D5803" s="1">
        <v>40430</v>
      </c>
      <c r="E5803" s="2">
        <v>200000</v>
      </c>
      <c r="F5803" t="s">
        <v>4567</v>
      </c>
      <c r="G5803" s="17" t="str">
        <f>HYPERLINK("https://www.washoecounty.gov/assessor/cama/?command=sales&amp;parid=20220108","3920743")</f>
        <v>3920743</v>
      </c>
      <c r="H5803" t="s">
        <v>5311</v>
      </c>
      <c r="I5803">
        <v>2006</v>
      </c>
      <c r="J5803">
        <v>2006</v>
      </c>
      <c r="K5803" t="s">
        <v>4554</v>
      </c>
      <c r="L5803" t="s">
        <v>3974</v>
      </c>
      <c r="M5803" s="2">
        <v>1995</v>
      </c>
      <c r="N5803" t="s">
        <v>5280</v>
      </c>
      <c r="O5803">
        <v>3</v>
      </c>
      <c r="P5803">
        <v>2</v>
      </c>
      <c r="Q5803">
        <v>1</v>
      </c>
      <c r="R5803" t="s">
        <v>4557</v>
      </c>
      <c r="S5803" t="s">
        <v>4898</v>
      </c>
      <c r="T5803" t="s">
        <v>2704</v>
      </c>
      <c r="U5803" t="s">
        <v>4560</v>
      </c>
      <c r="V5803" s="2">
        <v>425</v>
      </c>
      <c r="W5803" t="s">
        <v>4655</v>
      </c>
      <c r="X5803" s="2">
        <v>0</v>
      </c>
      <c r="Y5803">
        <v>20</v>
      </c>
      <c r="Z5803" t="s">
        <v>4144</v>
      </c>
      <c r="AA5803" s="3">
        <v>0.14256198704242701</v>
      </c>
      <c r="AB5803" t="s">
        <v>28669</v>
      </c>
      <c r="AC5803" t="s">
        <v>4562</v>
      </c>
      <c r="AD5803" t="s">
        <v>28668</v>
      </c>
      <c r="AE5803" t="s">
        <v>4655</v>
      </c>
      <c r="AF5803" t="s">
        <v>4563</v>
      </c>
      <c r="AG5803" t="s">
        <v>4564</v>
      </c>
      <c r="AH5803" t="s">
        <v>1147</v>
      </c>
      <c r="AI5803" t="s">
        <v>28670</v>
      </c>
      <c r="AJ5803" t="s">
        <v>5312</v>
      </c>
      <c r="AK5803" t="s">
        <v>28671</v>
      </c>
      <c r="AL5803" s="13" t="s">
        <v>2255</v>
      </c>
      <c r="AM5803">
        <v>1</v>
      </c>
      <c r="AN5803" s="15" t="s">
        <v>1579</v>
      </c>
    </row>
    <row r="5804" spans="1:40" x14ac:dyDescent="0.3">
      <c r="A5804" s="10" t="str">
        <f>HYPERLINK("http://www.washoecounty.gov/assessor/cama/?parid=202-202-06&amp;CardNumber=1","202-202-06")</f>
        <v>202-202-06</v>
      </c>
      <c r="B5804" t="s">
        <v>4655</v>
      </c>
      <c r="C5804" t="s">
        <v>28672</v>
      </c>
      <c r="D5804" s="1">
        <v>40207</v>
      </c>
      <c r="E5804" s="2">
        <v>225000</v>
      </c>
      <c r="F5804" t="s">
        <v>4567</v>
      </c>
      <c r="G5804" s="17" t="str">
        <f>HYPERLINK("https://www.washoecounty.gov/assessor/cama/?command=sales&amp;parid=20220206","3844293")</f>
        <v>3844293</v>
      </c>
      <c r="H5804" t="s">
        <v>5311</v>
      </c>
      <c r="I5804">
        <v>2006</v>
      </c>
      <c r="J5804">
        <v>2006</v>
      </c>
      <c r="K5804" t="s">
        <v>4554</v>
      </c>
      <c r="L5804" t="s">
        <v>3974</v>
      </c>
      <c r="M5804" s="2">
        <v>1995</v>
      </c>
      <c r="N5804" t="s">
        <v>5280</v>
      </c>
      <c r="O5804">
        <v>3</v>
      </c>
      <c r="P5804">
        <v>2</v>
      </c>
      <c r="Q5804">
        <v>1</v>
      </c>
      <c r="R5804" t="s">
        <v>5281</v>
      </c>
      <c r="S5804" t="s">
        <v>4898</v>
      </c>
      <c r="T5804" t="s">
        <v>2704</v>
      </c>
      <c r="U5804" t="s">
        <v>4560</v>
      </c>
      <c r="V5804" s="2">
        <v>425</v>
      </c>
      <c r="W5804" t="s">
        <v>4655</v>
      </c>
      <c r="X5804" s="2">
        <v>0</v>
      </c>
      <c r="Y5804">
        <v>20</v>
      </c>
      <c r="Z5804" t="s">
        <v>4144</v>
      </c>
      <c r="AA5804" s="3">
        <v>0.124655649065971</v>
      </c>
      <c r="AB5804" t="s">
        <v>28673</v>
      </c>
      <c r="AC5804" t="s">
        <v>4562</v>
      </c>
      <c r="AD5804" t="s">
        <v>28674</v>
      </c>
      <c r="AE5804" t="s">
        <v>4655</v>
      </c>
      <c r="AF5804" t="s">
        <v>3114</v>
      </c>
      <c r="AG5804" t="s">
        <v>4564</v>
      </c>
      <c r="AH5804" t="s">
        <v>1147</v>
      </c>
      <c r="AI5804" t="s">
        <v>28675</v>
      </c>
      <c r="AJ5804" t="s">
        <v>5312</v>
      </c>
      <c r="AK5804" t="s">
        <v>28676</v>
      </c>
      <c r="AL5804" s="13" t="s">
        <v>2255</v>
      </c>
      <c r="AM5804">
        <v>1</v>
      </c>
      <c r="AN5804" s="15" t="s">
        <v>1579</v>
      </c>
    </row>
    <row r="5805" spans="1:40" x14ac:dyDescent="0.3">
      <c r="A5805" s="10" t="str">
        <f>HYPERLINK("http://www.washoecounty.gov/assessor/cama/?parid=202-211-02&amp;CardNumber=1","202-211-02")</f>
        <v>202-211-02</v>
      </c>
      <c r="B5805" t="s">
        <v>4655</v>
      </c>
      <c r="C5805" t="s">
        <v>28677</v>
      </c>
      <c r="D5805" s="1">
        <v>40249</v>
      </c>
      <c r="E5805" s="2">
        <v>220000</v>
      </c>
      <c r="F5805" t="s">
        <v>4567</v>
      </c>
      <c r="G5805" s="17" t="str">
        <f>HYPERLINK("https://www.washoecounty.gov/assessor/cama/?command=sales&amp;parid=20221102","3859535")</f>
        <v>3859535</v>
      </c>
      <c r="H5805" t="s">
        <v>5311</v>
      </c>
      <c r="I5805">
        <v>2006</v>
      </c>
      <c r="J5805">
        <v>2006</v>
      </c>
      <c r="K5805" t="s">
        <v>4554</v>
      </c>
      <c r="L5805" t="s">
        <v>3974</v>
      </c>
      <c r="M5805" s="2">
        <v>2206</v>
      </c>
      <c r="N5805" t="s">
        <v>5280</v>
      </c>
      <c r="O5805">
        <v>4</v>
      </c>
      <c r="P5805">
        <v>3</v>
      </c>
      <c r="Q5805">
        <v>0</v>
      </c>
      <c r="R5805" t="s">
        <v>4557</v>
      </c>
      <c r="S5805" t="s">
        <v>4898</v>
      </c>
      <c r="T5805" t="s">
        <v>2704</v>
      </c>
      <c r="U5805" t="s">
        <v>4560</v>
      </c>
      <c r="V5805" s="2">
        <v>399</v>
      </c>
      <c r="W5805" t="s">
        <v>4655</v>
      </c>
      <c r="X5805" s="2">
        <v>0</v>
      </c>
      <c r="Y5805">
        <v>20</v>
      </c>
      <c r="Z5805" t="s">
        <v>4144</v>
      </c>
      <c r="AA5805" s="3">
        <v>0.17690542340278601</v>
      </c>
      <c r="AB5805" t="s">
        <v>28678</v>
      </c>
      <c r="AC5805" t="s">
        <v>4562</v>
      </c>
      <c r="AD5805" t="s">
        <v>28677</v>
      </c>
      <c r="AE5805" t="s">
        <v>4655</v>
      </c>
      <c r="AF5805" t="s">
        <v>4563</v>
      </c>
      <c r="AG5805" t="s">
        <v>4564</v>
      </c>
      <c r="AH5805" t="s">
        <v>1147</v>
      </c>
      <c r="AI5805" t="s">
        <v>28679</v>
      </c>
      <c r="AJ5805" t="s">
        <v>5312</v>
      </c>
      <c r="AK5805" t="s">
        <v>28680</v>
      </c>
      <c r="AL5805" s="13" t="s">
        <v>2255</v>
      </c>
      <c r="AM5805">
        <v>1</v>
      </c>
      <c r="AN5805" s="15" t="s">
        <v>1579</v>
      </c>
    </row>
    <row r="5806" spans="1:40" x14ac:dyDescent="0.3">
      <c r="A5806" s="10" t="str">
        <f>HYPERLINK("http://www.washoecounty.gov/assessor/cama/?parid=202-211-03&amp;CardNumber=1","202-211-03")</f>
        <v>202-211-03</v>
      </c>
      <c r="B5806" t="s">
        <v>4655</v>
      </c>
      <c r="C5806" t="s">
        <v>28681</v>
      </c>
      <c r="D5806" s="1">
        <v>40331</v>
      </c>
      <c r="E5806" s="2">
        <v>175900</v>
      </c>
      <c r="F5806" t="s">
        <v>4567</v>
      </c>
      <c r="G5806" s="17" t="str">
        <f>HYPERLINK("https://www.washoecounty.gov/assessor/cama/?command=sales&amp;parid=20221103","3887802")</f>
        <v>3887802</v>
      </c>
      <c r="H5806" t="s">
        <v>5311</v>
      </c>
      <c r="I5806">
        <v>2006</v>
      </c>
      <c r="J5806">
        <v>2006</v>
      </c>
      <c r="K5806" t="s">
        <v>4554</v>
      </c>
      <c r="L5806" t="s">
        <v>4555</v>
      </c>
      <c r="M5806" s="2">
        <v>1542</v>
      </c>
      <c r="N5806" t="s">
        <v>5280</v>
      </c>
      <c r="O5806">
        <v>3</v>
      </c>
      <c r="P5806">
        <v>2</v>
      </c>
      <c r="Q5806">
        <v>0</v>
      </c>
      <c r="R5806" t="s">
        <v>5281</v>
      </c>
      <c r="S5806" t="s">
        <v>4898</v>
      </c>
      <c r="T5806" t="s">
        <v>2704</v>
      </c>
      <c r="U5806" t="s">
        <v>4560</v>
      </c>
      <c r="V5806" s="2">
        <v>400</v>
      </c>
      <c r="W5806" t="s">
        <v>4655</v>
      </c>
      <c r="X5806" s="2">
        <v>0</v>
      </c>
      <c r="Y5806">
        <v>20</v>
      </c>
      <c r="Z5806" t="s">
        <v>4144</v>
      </c>
      <c r="AA5806" s="3">
        <v>0.16354453563690199</v>
      </c>
      <c r="AB5806" t="s">
        <v>2604</v>
      </c>
      <c r="AC5806" t="s">
        <v>4562</v>
      </c>
      <c r="AD5806" t="s">
        <v>2605</v>
      </c>
      <c r="AE5806" t="s">
        <v>4655</v>
      </c>
      <c r="AF5806" t="s">
        <v>4563</v>
      </c>
      <c r="AG5806" t="s">
        <v>4564</v>
      </c>
      <c r="AH5806" t="s">
        <v>1147</v>
      </c>
      <c r="AI5806" t="s">
        <v>28682</v>
      </c>
      <c r="AJ5806" t="s">
        <v>5312</v>
      </c>
      <c r="AK5806" t="s">
        <v>28683</v>
      </c>
      <c r="AL5806" s="13" t="s">
        <v>2255</v>
      </c>
      <c r="AM5806" s="14">
        <v>1</v>
      </c>
      <c r="AN5806" s="15" t="s">
        <v>1579</v>
      </c>
    </row>
    <row r="5807" spans="1:40" x14ac:dyDescent="0.3">
      <c r="A5807" s="10" t="str">
        <f>HYPERLINK("http://www.washoecounty.gov/assessor/cama/?parid=202-241-22&amp;CardNumber=1","202-241-22")</f>
        <v>202-241-22</v>
      </c>
      <c r="B5807" t="s">
        <v>4655</v>
      </c>
      <c r="C5807" t="s">
        <v>28684</v>
      </c>
      <c r="D5807" s="1">
        <v>40410</v>
      </c>
      <c r="E5807" s="2">
        <v>354490</v>
      </c>
      <c r="F5807" t="s">
        <v>4567</v>
      </c>
      <c r="G5807" s="17" t="str">
        <f>HYPERLINK("https://www.washoecounty.gov/assessor/cama/?command=sales&amp;parid=20224122","3914359")</f>
        <v>3914359</v>
      </c>
      <c r="H5807" t="s">
        <v>4104</v>
      </c>
      <c r="I5807">
        <v>2010</v>
      </c>
      <c r="J5807">
        <v>2010</v>
      </c>
      <c r="K5807" t="s">
        <v>4554</v>
      </c>
      <c r="L5807" t="s">
        <v>4555</v>
      </c>
      <c r="M5807" s="2">
        <v>2380</v>
      </c>
      <c r="N5807" t="s">
        <v>5280</v>
      </c>
      <c r="O5807">
        <v>4</v>
      </c>
      <c r="P5807">
        <v>2</v>
      </c>
      <c r="Q5807">
        <v>1</v>
      </c>
      <c r="R5807" t="s">
        <v>5281</v>
      </c>
      <c r="S5807" t="s">
        <v>4898</v>
      </c>
      <c r="T5807" t="s">
        <v>2704</v>
      </c>
      <c r="U5807" t="s">
        <v>4560</v>
      </c>
      <c r="V5807" s="2">
        <v>642</v>
      </c>
      <c r="W5807" t="s">
        <v>4655</v>
      </c>
      <c r="X5807" s="2">
        <v>0</v>
      </c>
      <c r="Y5807">
        <v>20</v>
      </c>
      <c r="Z5807" t="s">
        <v>4561</v>
      </c>
      <c r="AA5807" s="3">
        <v>0.22277317941188801</v>
      </c>
      <c r="AB5807" t="s">
        <v>28685</v>
      </c>
      <c r="AC5807" t="s">
        <v>4562</v>
      </c>
      <c r="AD5807" t="s">
        <v>28686</v>
      </c>
      <c r="AE5807" t="s">
        <v>4655</v>
      </c>
      <c r="AF5807" t="s">
        <v>4563</v>
      </c>
      <c r="AG5807" t="s">
        <v>4564</v>
      </c>
      <c r="AH5807">
        <v>89509</v>
      </c>
      <c r="AI5807" t="s">
        <v>4105</v>
      </c>
      <c r="AJ5807" t="s">
        <v>4106</v>
      </c>
      <c r="AK5807" t="s">
        <v>28687</v>
      </c>
      <c r="AL5807" s="13" t="s">
        <v>2255</v>
      </c>
      <c r="AM5807">
        <v>1</v>
      </c>
      <c r="AN5807" s="15" t="s">
        <v>1579</v>
      </c>
    </row>
    <row r="5808" spans="1:40" x14ac:dyDescent="0.3">
      <c r="A5808" s="10" t="str">
        <f>HYPERLINK("http://www.washoecounty.gov/assessor/cama/?parid=202-241-23&amp;CardNumber=1","202-241-23")</f>
        <v>202-241-23</v>
      </c>
      <c r="B5808" t="s">
        <v>4655</v>
      </c>
      <c r="C5808" t="s">
        <v>28688</v>
      </c>
      <c r="D5808" s="1">
        <v>40431</v>
      </c>
      <c r="E5808" s="2">
        <v>260000</v>
      </c>
      <c r="F5808" t="s">
        <v>4567</v>
      </c>
      <c r="G5808" s="17" t="str">
        <f>HYPERLINK("https://www.washoecounty.gov/assessor/cama/?command=sales&amp;parid=20224123","3921066")</f>
        <v>3921066</v>
      </c>
      <c r="H5808" t="s">
        <v>4104</v>
      </c>
      <c r="I5808">
        <v>2010</v>
      </c>
      <c r="J5808">
        <v>2010</v>
      </c>
      <c r="K5808" t="s">
        <v>4554</v>
      </c>
      <c r="L5808" t="s">
        <v>4555</v>
      </c>
      <c r="M5808" s="2">
        <v>1767</v>
      </c>
      <c r="N5808" t="s">
        <v>5280</v>
      </c>
      <c r="O5808">
        <v>3</v>
      </c>
      <c r="P5808">
        <v>2</v>
      </c>
      <c r="Q5808">
        <v>0</v>
      </c>
      <c r="R5808" t="s">
        <v>5281</v>
      </c>
      <c r="S5808" t="s">
        <v>4898</v>
      </c>
      <c r="T5808" t="s">
        <v>2704</v>
      </c>
      <c r="U5808" t="s">
        <v>4560</v>
      </c>
      <c r="V5808" s="2">
        <v>468</v>
      </c>
      <c r="W5808" t="s">
        <v>4655</v>
      </c>
      <c r="X5808" s="2">
        <v>0</v>
      </c>
      <c r="Y5808">
        <v>20</v>
      </c>
      <c r="Z5808" t="s">
        <v>4561</v>
      </c>
      <c r="AA5808" s="3">
        <v>0.20213498175144201</v>
      </c>
      <c r="AB5808" t="s">
        <v>28689</v>
      </c>
      <c r="AC5808" t="s">
        <v>4575</v>
      </c>
      <c r="AD5808" t="s">
        <v>28690</v>
      </c>
      <c r="AE5808" t="s">
        <v>4655</v>
      </c>
      <c r="AF5808" t="s">
        <v>28691</v>
      </c>
      <c r="AG5808" t="s">
        <v>4584</v>
      </c>
      <c r="AH5808" t="s">
        <v>28692</v>
      </c>
      <c r="AI5808" t="s">
        <v>28693</v>
      </c>
      <c r="AJ5808" t="s">
        <v>4106</v>
      </c>
      <c r="AK5808" t="s">
        <v>28694</v>
      </c>
      <c r="AL5808" s="13" t="s">
        <v>2255</v>
      </c>
      <c r="AM5808" s="14">
        <v>1</v>
      </c>
      <c r="AN5808" s="15" t="s">
        <v>1579</v>
      </c>
    </row>
    <row r="5809" spans="1:40" x14ac:dyDescent="0.3">
      <c r="A5809" s="10" t="str">
        <f>HYPERLINK("http://www.washoecounty.gov/assessor/cama/?parid=202-241-25&amp;CardNumber=1","202-241-25")</f>
        <v>202-241-25</v>
      </c>
      <c r="B5809" t="s">
        <v>4655</v>
      </c>
      <c r="C5809" t="s">
        <v>28695</v>
      </c>
      <c r="D5809" s="1">
        <v>40365</v>
      </c>
      <c r="E5809" s="2">
        <v>357295</v>
      </c>
      <c r="F5809" t="s">
        <v>4567</v>
      </c>
      <c r="G5809" s="17" t="str">
        <f>HYPERLINK("https://www.washoecounty.gov/assessor/cama/?command=sales&amp;parid=20224125","3898400")</f>
        <v>3898400</v>
      </c>
      <c r="H5809" t="s">
        <v>4104</v>
      </c>
      <c r="I5809">
        <v>2010</v>
      </c>
      <c r="J5809">
        <v>2010</v>
      </c>
      <c r="K5809" t="s">
        <v>4554</v>
      </c>
      <c r="L5809" t="s">
        <v>4555</v>
      </c>
      <c r="M5809" s="2">
        <v>2380</v>
      </c>
      <c r="N5809" t="s">
        <v>5280</v>
      </c>
      <c r="O5809">
        <v>4</v>
      </c>
      <c r="P5809">
        <v>2</v>
      </c>
      <c r="Q5809">
        <v>1</v>
      </c>
      <c r="R5809" t="s">
        <v>5281</v>
      </c>
      <c r="S5809" t="s">
        <v>4898</v>
      </c>
      <c r="T5809" t="s">
        <v>2704</v>
      </c>
      <c r="U5809" t="s">
        <v>4560</v>
      </c>
      <c r="V5809" s="2">
        <v>642</v>
      </c>
      <c r="W5809" t="s">
        <v>4655</v>
      </c>
      <c r="X5809" s="2">
        <v>0</v>
      </c>
      <c r="Y5809">
        <v>20</v>
      </c>
      <c r="Z5809" t="s">
        <v>4561</v>
      </c>
      <c r="AA5809" s="3">
        <v>0.19765840470790899</v>
      </c>
      <c r="AB5809" t="s">
        <v>28696</v>
      </c>
      <c r="AC5809" t="s">
        <v>4562</v>
      </c>
      <c r="AD5809" t="s">
        <v>28695</v>
      </c>
      <c r="AE5809" t="s">
        <v>4655</v>
      </c>
      <c r="AF5809" t="s">
        <v>4563</v>
      </c>
      <c r="AG5809" t="s">
        <v>4564</v>
      </c>
      <c r="AH5809" t="s">
        <v>1147</v>
      </c>
      <c r="AI5809" t="s">
        <v>4105</v>
      </c>
      <c r="AJ5809" t="s">
        <v>4106</v>
      </c>
      <c r="AK5809" t="s">
        <v>28697</v>
      </c>
      <c r="AL5809" s="13" t="s">
        <v>2255</v>
      </c>
      <c r="AM5809">
        <v>1</v>
      </c>
      <c r="AN5809" s="15" t="s">
        <v>1579</v>
      </c>
    </row>
    <row r="5810" spans="1:40" x14ac:dyDescent="0.3">
      <c r="A5810" s="10" t="str">
        <f>HYPERLINK("http://www.washoecounty.gov/assessor/cama/?parid=202-241-26&amp;CardNumber=1","202-241-26")</f>
        <v>202-241-26</v>
      </c>
      <c r="B5810" t="s">
        <v>4655</v>
      </c>
      <c r="C5810" t="s">
        <v>28698</v>
      </c>
      <c r="D5810" s="1">
        <v>40375</v>
      </c>
      <c r="E5810" s="2">
        <v>271254</v>
      </c>
      <c r="F5810" t="s">
        <v>4567</v>
      </c>
      <c r="G5810" s="17" t="str">
        <f>HYPERLINK("https://www.washoecounty.gov/assessor/cama/?command=sales&amp;parid=20224126","3902253")</f>
        <v>3902253</v>
      </c>
      <c r="H5810" t="s">
        <v>4104</v>
      </c>
      <c r="I5810">
        <v>2010</v>
      </c>
      <c r="J5810">
        <v>2010</v>
      </c>
      <c r="K5810" t="s">
        <v>4554</v>
      </c>
      <c r="L5810" t="s">
        <v>4555</v>
      </c>
      <c r="M5810" s="2">
        <v>1767</v>
      </c>
      <c r="N5810" t="s">
        <v>5280</v>
      </c>
      <c r="O5810">
        <v>3</v>
      </c>
      <c r="P5810">
        <v>2</v>
      </c>
      <c r="Q5810">
        <v>0</v>
      </c>
      <c r="R5810" t="s">
        <v>5281</v>
      </c>
      <c r="S5810" t="s">
        <v>4898</v>
      </c>
      <c r="T5810" t="s">
        <v>2704</v>
      </c>
      <c r="U5810" t="s">
        <v>4560</v>
      </c>
      <c r="V5810" s="2">
        <v>468</v>
      </c>
      <c r="W5810" t="s">
        <v>4655</v>
      </c>
      <c r="X5810" s="2">
        <v>0</v>
      </c>
      <c r="Y5810">
        <v>20</v>
      </c>
      <c r="Z5810" t="s">
        <v>4561</v>
      </c>
      <c r="AA5810" s="3">
        <v>0.204545453190804</v>
      </c>
      <c r="AB5810" t="s">
        <v>28699</v>
      </c>
      <c r="AC5810" t="s">
        <v>4575</v>
      </c>
      <c r="AD5810" t="s">
        <v>28700</v>
      </c>
      <c r="AE5810" t="s">
        <v>28701</v>
      </c>
      <c r="AF5810" t="s">
        <v>4563</v>
      </c>
      <c r="AG5810" t="s">
        <v>4564</v>
      </c>
      <c r="AH5810" t="s">
        <v>1147</v>
      </c>
      <c r="AI5810" t="s">
        <v>4105</v>
      </c>
      <c r="AJ5810" t="s">
        <v>4106</v>
      </c>
      <c r="AK5810" t="s">
        <v>28702</v>
      </c>
      <c r="AL5810" s="13" t="s">
        <v>2255</v>
      </c>
      <c r="AM5810" s="14">
        <v>1</v>
      </c>
      <c r="AN5810" s="15" t="s">
        <v>1579</v>
      </c>
    </row>
    <row r="5811" spans="1:40" x14ac:dyDescent="0.3">
      <c r="A5811" s="10" t="str">
        <f>HYPERLINK("http://www.washoecounty.gov/assessor/cama/?parid=202-241-27&amp;CardNumber=1","202-241-27")</f>
        <v>202-241-27</v>
      </c>
      <c r="B5811" t="s">
        <v>4655</v>
      </c>
      <c r="C5811" t="s">
        <v>28703</v>
      </c>
      <c r="D5811" s="1">
        <v>40512</v>
      </c>
      <c r="E5811" s="2">
        <v>330000</v>
      </c>
      <c r="F5811" t="s">
        <v>4567</v>
      </c>
      <c r="G5811" s="17" t="str">
        <f>HYPERLINK("https://www.washoecounty.gov/assessor/cama/?command=sales&amp;parid=20224127","3947974")</f>
        <v>3947974</v>
      </c>
      <c r="H5811" t="s">
        <v>4104</v>
      </c>
      <c r="I5811">
        <v>2010</v>
      </c>
      <c r="J5811">
        <v>2010</v>
      </c>
      <c r="K5811" t="s">
        <v>4554</v>
      </c>
      <c r="L5811" t="s">
        <v>4555</v>
      </c>
      <c r="M5811" s="2">
        <v>2678</v>
      </c>
      <c r="N5811" t="s">
        <v>5280</v>
      </c>
      <c r="O5811">
        <v>4</v>
      </c>
      <c r="P5811">
        <v>2</v>
      </c>
      <c r="Q5811">
        <v>1</v>
      </c>
      <c r="R5811" t="s">
        <v>5281</v>
      </c>
      <c r="S5811" t="s">
        <v>4898</v>
      </c>
      <c r="T5811" t="s">
        <v>2704</v>
      </c>
      <c r="U5811" t="s">
        <v>4560</v>
      </c>
      <c r="V5811" s="2">
        <v>727</v>
      </c>
      <c r="W5811" t="s">
        <v>4655</v>
      </c>
      <c r="X5811" s="2">
        <v>0</v>
      </c>
      <c r="Y5811">
        <v>20</v>
      </c>
      <c r="Z5811" t="s">
        <v>4561</v>
      </c>
      <c r="AA5811" s="3">
        <v>0.294031232595444</v>
      </c>
      <c r="AB5811" t="s">
        <v>28704</v>
      </c>
      <c r="AC5811" t="s">
        <v>4575</v>
      </c>
      <c r="AD5811" t="s">
        <v>28705</v>
      </c>
      <c r="AE5811" t="s">
        <v>4655</v>
      </c>
      <c r="AF5811" t="s">
        <v>495</v>
      </c>
      <c r="AG5811" t="s">
        <v>4564</v>
      </c>
      <c r="AH5811">
        <v>89005</v>
      </c>
      <c r="AI5811" t="s">
        <v>4105</v>
      </c>
      <c r="AJ5811" t="s">
        <v>4106</v>
      </c>
      <c r="AK5811" t="s">
        <v>28706</v>
      </c>
      <c r="AL5811" s="13" t="s">
        <v>2255</v>
      </c>
      <c r="AM5811">
        <v>1</v>
      </c>
      <c r="AN5811" s="15" t="s">
        <v>1579</v>
      </c>
    </row>
    <row r="5812" spans="1:40" x14ac:dyDescent="0.3">
      <c r="A5812" s="10" t="str">
        <f>HYPERLINK("http://www.washoecounty.gov/assessor/cama/?parid=202-241-30&amp;CardNumber=1","202-241-30")</f>
        <v>202-241-30</v>
      </c>
      <c r="B5812" t="s">
        <v>4655</v>
      </c>
      <c r="C5812" t="s">
        <v>28707</v>
      </c>
      <c r="D5812" s="1">
        <v>40347</v>
      </c>
      <c r="E5812" s="2">
        <v>230968</v>
      </c>
      <c r="F5812" t="s">
        <v>4567</v>
      </c>
      <c r="G5812" s="17" t="str">
        <f>HYPERLINK("https://www.washoecounty.gov/assessor/cama/?command=sales&amp;parid=20224130","3893464")</f>
        <v>3893464</v>
      </c>
      <c r="H5812" t="s">
        <v>4104</v>
      </c>
      <c r="I5812">
        <v>2010</v>
      </c>
      <c r="J5812">
        <v>2010</v>
      </c>
      <c r="K5812" t="s">
        <v>4554</v>
      </c>
      <c r="L5812" t="s">
        <v>4555</v>
      </c>
      <c r="M5812" s="2">
        <v>1767</v>
      </c>
      <c r="N5812" t="s">
        <v>5280</v>
      </c>
      <c r="O5812">
        <v>3</v>
      </c>
      <c r="P5812">
        <v>2</v>
      </c>
      <c r="Q5812">
        <v>0</v>
      </c>
      <c r="R5812" t="s">
        <v>5281</v>
      </c>
      <c r="S5812" t="s">
        <v>4898</v>
      </c>
      <c r="T5812" t="s">
        <v>2704</v>
      </c>
      <c r="U5812" t="s">
        <v>4560</v>
      </c>
      <c r="V5812" s="2">
        <v>468</v>
      </c>
      <c r="W5812" t="s">
        <v>4655</v>
      </c>
      <c r="X5812" s="2">
        <v>0</v>
      </c>
      <c r="Y5812">
        <v>20</v>
      </c>
      <c r="Z5812" t="s">
        <v>4561</v>
      </c>
      <c r="AA5812" s="3">
        <v>0.21875573694705999</v>
      </c>
      <c r="AB5812" t="s">
        <v>28708</v>
      </c>
      <c r="AC5812" t="s">
        <v>4575</v>
      </c>
      <c r="AD5812" t="s">
        <v>28709</v>
      </c>
      <c r="AE5812" t="s">
        <v>4655</v>
      </c>
      <c r="AF5812" t="s">
        <v>4563</v>
      </c>
      <c r="AG5812" t="s">
        <v>4564</v>
      </c>
      <c r="AH5812" t="s">
        <v>1147</v>
      </c>
      <c r="AI5812" t="s">
        <v>4105</v>
      </c>
      <c r="AJ5812" t="s">
        <v>4106</v>
      </c>
      <c r="AK5812" t="s">
        <v>28710</v>
      </c>
      <c r="AL5812" s="13" t="s">
        <v>2255</v>
      </c>
      <c r="AM5812">
        <v>1</v>
      </c>
      <c r="AN5812" s="15" t="s">
        <v>1579</v>
      </c>
    </row>
    <row r="5813" spans="1:40" x14ac:dyDescent="0.3">
      <c r="A5813" s="10" t="str">
        <f>HYPERLINK("http://www.washoecounty.gov/assessor/cama/?parid=202-241-31&amp;CardNumber=1","202-241-31")</f>
        <v>202-241-31</v>
      </c>
      <c r="B5813" t="s">
        <v>4655</v>
      </c>
      <c r="C5813" t="s">
        <v>28711</v>
      </c>
      <c r="D5813" s="1">
        <v>40352</v>
      </c>
      <c r="E5813" s="2">
        <v>272450</v>
      </c>
      <c r="F5813" t="s">
        <v>4567</v>
      </c>
      <c r="G5813" s="17" t="str">
        <f>HYPERLINK("https://www.washoecounty.gov/assessor/cama/?command=sales&amp;parid=20224131","3894604")</f>
        <v>3894604</v>
      </c>
      <c r="H5813" t="s">
        <v>4104</v>
      </c>
      <c r="I5813">
        <v>2010</v>
      </c>
      <c r="J5813">
        <v>2010</v>
      </c>
      <c r="K5813" t="s">
        <v>4554</v>
      </c>
      <c r="L5813" t="s">
        <v>4555</v>
      </c>
      <c r="M5813" s="2">
        <v>2065</v>
      </c>
      <c r="N5813" t="s">
        <v>5280</v>
      </c>
      <c r="O5813">
        <v>3</v>
      </c>
      <c r="P5813">
        <v>2</v>
      </c>
      <c r="Q5813">
        <v>0</v>
      </c>
      <c r="R5813" t="s">
        <v>5281</v>
      </c>
      <c r="S5813" t="s">
        <v>4898</v>
      </c>
      <c r="T5813" t="s">
        <v>2704</v>
      </c>
      <c r="U5813" t="s">
        <v>4560</v>
      </c>
      <c r="V5813" s="2">
        <v>622</v>
      </c>
      <c r="W5813" t="s">
        <v>4655</v>
      </c>
      <c r="X5813" s="2">
        <v>0</v>
      </c>
      <c r="Y5813">
        <v>20</v>
      </c>
      <c r="Z5813" t="s">
        <v>4561</v>
      </c>
      <c r="AA5813" s="3">
        <v>0.25169879198074302</v>
      </c>
      <c r="AB5813" t="s">
        <v>28712</v>
      </c>
      <c r="AC5813" t="s">
        <v>4575</v>
      </c>
      <c r="AD5813" t="s">
        <v>28711</v>
      </c>
      <c r="AE5813" t="s">
        <v>4655</v>
      </c>
      <c r="AF5813" t="s">
        <v>3114</v>
      </c>
      <c r="AG5813" t="s">
        <v>4564</v>
      </c>
      <c r="AH5813" t="s">
        <v>1147</v>
      </c>
      <c r="AI5813" t="s">
        <v>4655</v>
      </c>
      <c r="AJ5813" t="s">
        <v>4106</v>
      </c>
      <c r="AK5813" t="s">
        <v>28713</v>
      </c>
      <c r="AL5813" s="13" t="s">
        <v>2255</v>
      </c>
      <c r="AM5813">
        <v>1</v>
      </c>
      <c r="AN5813" s="15" t="s">
        <v>1579</v>
      </c>
    </row>
    <row r="5814" spans="1:40" x14ac:dyDescent="0.3">
      <c r="A5814" s="10" t="str">
        <f>HYPERLINK("http://www.washoecounty.gov/assessor/cama/?parid=202-241-32&amp;CardNumber=1","202-241-32")</f>
        <v>202-241-32</v>
      </c>
      <c r="B5814" t="s">
        <v>4655</v>
      </c>
      <c r="C5814" t="s">
        <v>28714</v>
      </c>
      <c r="D5814" s="1">
        <v>40534</v>
      </c>
      <c r="E5814" s="2">
        <v>229900</v>
      </c>
      <c r="F5814" t="s">
        <v>4567</v>
      </c>
      <c r="G5814" s="17" t="str">
        <f>HYPERLINK("https://www.washoecounty.gov/assessor/cama/?command=sales&amp;parid=20224132","3956535")</f>
        <v>3956535</v>
      </c>
      <c r="H5814" t="s">
        <v>4104</v>
      </c>
      <c r="I5814">
        <v>2010</v>
      </c>
      <c r="J5814">
        <v>2010</v>
      </c>
      <c r="K5814" t="s">
        <v>4554</v>
      </c>
      <c r="L5814" t="s">
        <v>4555</v>
      </c>
      <c r="M5814" s="2">
        <v>1767</v>
      </c>
      <c r="N5814" t="s">
        <v>5280</v>
      </c>
      <c r="O5814">
        <v>3</v>
      </c>
      <c r="P5814">
        <v>2</v>
      </c>
      <c r="Q5814">
        <v>0</v>
      </c>
      <c r="R5814" t="s">
        <v>5281</v>
      </c>
      <c r="S5814" t="s">
        <v>4898</v>
      </c>
      <c r="T5814" t="s">
        <v>2704</v>
      </c>
      <c r="U5814" t="s">
        <v>4560</v>
      </c>
      <c r="V5814" s="2">
        <v>468</v>
      </c>
      <c r="W5814" t="s">
        <v>4655</v>
      </c>
      <c r="X5814" s="2">
        <v>0</v>
      </c>
      <c r="Y5814">
        <v>20</v>
      </c>
      <c r="Z5814" t="s">
        <v>4561</v>
      </c>
      <c r="AA5814" s="3">
        <v>0.23427456617355347</v>
      </c>
      <c r="AB5814" t="s">
        <v>28715</v>
      </c>
      <c r="AC5814" t="s">
        <v>4562</v>
      </c>
      <c r="AD5814" t="s">
        <v>28716</v>
      </c>
      <c r="AE5814" t="s">
        <v>4655</v>
      </c>
      <c r="AF5814" t="s">
        <v>4563</v>
      </c>
      <c r="AG5814" t="s">
        <v>4564</v>
      </c>
      <c r="AH5814" t="s">
        <v>1147</v>
      </c>
      <c r="AI5814" t="s">
        <v>4105</v>
      </c>
      <c r="AJ5814" t="s">
        <v>4106</v>
      </c>
      <c r="AK5814" t="s">
        <v>28717</v>
      </c>
      <c r="AL5814" s="13" t="s">
        <v>2255</v>
      </c>
      <c r="AM5814" s="14">
        <v>1</v>
      </c>
      <c r="AN5814" s="15" t="s">
        <v>1579</v>
      </c>
    </row>
    <row r="5815" spans="1:40" x14ac:dyDescent="0.3">
      <c r="A5815" s="10" t="str">
        <f>HYPERLINK("http://www.washoecounty.gov/assessor/cama/?parid=202-241-34&amp;CardNumber=1","202-241-34")</f>
        <v>202-241-34</v>
      </c>
      <c r="B5815" t="s">
        <v>4655</v>
      </c>
      <c r="C5815" t="s">
        <v>28718</v>
      </c>
      <c r="D5815" s="1">
        <v>40408</v>
      </c>
      <c r="E5815" s="2">
        <v>277507</v>
      </c>
      <c r="F5815" t="s">
        <v>4567</v>
      </c>
      <c r="G5815" s="17" t="str">
        <f>HYPERLINK("https://www.washoecounty.gov/assessor/cama/?command=sales&amp;parid=20224134","3913291")</f>
        <v>3913291</v>
      </c>
      <c r="H5815" t="s">
        <v>4104</v>
      </c>
      <c r="I5815">
        <v>2010</v>
      </c>
      <c r="J5815">
        <v>2010</v>
      </c>
      <c r="K5815" t="s">
        <v>4554</v>
      </c>
      <c r="L5815" t="s">
        <v>4555</v>
      </c>
      <c r="M5815" s="2">
        <v>2065</v>
      </c>
      <c r="N5815" t="s">
        <v>5280</v>
      </c>
      <c r="O5815">
        <v>3</v>
      </c>
      <c r="P5815">
        <v>2</v>
      </c>
      <c r="Q5815">
        <v>0</v>
      </c>
      <c r="R5815" t="s">
        <v>5281</v>
      </c>
      <c r="S5815" t="s">
        <v>4898</v>
      </c>
      <c r="T5815" t="s">
        <v>2704</v>
      </c>
      <c r="U5815" t="s">
        <v>4560</v>
      </c>
      <c r="V5815" s="2">
        <v>622</v>
      </c>
      <c r="W5815" t="s">
        <v>4655</v>
      </c>
      <c r="X5815" s="2">
        <v>0</v>
      </c>
      <c r="Y5815">
        <v>20</v>
      </c>
      <c r="Z5815" t="s">
        <v>4561</v>
      </c>
      <c r="AA5815" s="3">
        <v>0.23129017651081099</v>
      </c>
      <c r="AB5815" t="s">
        <v>28719</v>
      </c>
      <c r="AC5815" t="s">
        <v>4575</v>
      </c>
      <c r="AD5815" t="s">
        <v>28720</v>
      </c>
      <c r="AE5815" t="s">
        <v>28718</v>
      </c>
      <c r="AF5815" t="s">
        <v>4563</v>
      </c>
      <c r="AG5815" t="s">
        <v>4564</v>
      </c>
      <c r="AH5815" t="s">
        <v>1147</v>
      </c>
      <c r="AI5815" t="s">
        <v>4105</v>
      </c>
      <c r="AJ5815" t="s">
        <v>4106</v>
      </c>
      <c r="AK5815" t="s">
        <v>28721</v>
      </c>
      <c r="AL5815" s="13" t="s">
        <v>2255</v>
      </c>
      <c r="AM5815">
        <v>1</v>
      </c>
      <c r="AN5815" s="15" t="s">
        <v>1579</v>
      </c>
    </row>
    <row r="5816" spans="1:40" x14ac:dyDescent="0.3">
      <c r="A5816" s="10" t="str">
        <f>HYPERLINK("http://www.washoecounty.gov/assessor/cama/?parid=202-241-35&amp;CardNumber=1","202-241-35")</f>
        <v>202-241-35</v>
      </c>
      <c r="B5816" t="s">
        <v>4655</v>
      </c>
      <c r="C5816" t="s">
        <v>28722</v>
      </c>
      <c r="D5816" s="1">
        <v>40501</v>
      </c>
      <c r="E5816" s="2">
        <v>244357</v>
      </c>
      <c r="F5816" t="s">
        <v>4567</v>
      </c>
      <c r="G5816" s="17" t="str">
        <f>HYPERLINK("https://www.washoecounty.gov/assessor/cama/?command=sales&amp;parid=20224135","3945236")</f>
        <v>3945236</v>
      </c>
      <c r="H5816" t="s">
        <v>4104</v>
      </c>
      <c r="I5816">
        <v>2011</v>
      </c>
      <c r="J5816">
        <v>2011</v>
      </c>
      <c r="K5816" t="s">
        <v>4554</v>
      </c>
      <c r="L5816" t="s">
        <v>4555</v>
      </c>
      <c r="M5816" s="2">
        <v>1767</v>
      </c>
      <c r="N5816" t="s">
        <v>5280</v>
      </c>
      <c r="O5816">
        <v>3</v>
      </c>
      <c r="P5816">
        <v>2</v>
      </c>
      <c r="Q5816">
        <v>0</v>
      </c>
      <c r="R5816" t="s">
        <v>5281</v>
      </c>
      <c r="S5816" t="s">
        <v>4898</v>
      </c>
      <c r="T5816" t="s">
        <v>2704</v>
      </c>
      <c r="U5816" t="s">
        <v>4560</v>
      </c>
      <c r="V5816" s="2">
        <v>468</v>
      </c>
      <c r="W5816" t="s">
        <v>4655</v>
      </c>
      <c r="X5816" s="2">
        <v>0</v>
      </c>
      <c r="Y5816">
        <v>11</v>
      </c>
      <c r="Z5816" t="s">
        <v>4561</v>
      </c>
      <c r="AA5816" s="3">
        <v>0.23335629701614399</v>
      </c>
      <c r="AB5816" t="s">
        <v>28723</v>
      </c>
      <c r="AC5816" t="s">
        <v>4562</v>
      </c>
      <c r="AD5816" t="s">
        <v>28722</v>
      </c>
      <c r="AE5816" t="s">
        <v>4655</v>
      </c>
      <c r="AF5816" t="s">
        <v>4563</v>
      </c>
      <c r="AG5816" t="s">
        <v>4564</v>
      </c>
      <c r="AH5816" t="s">
        <v>1147</v>
      </c>
      <c r="AI5816" t="s">
        <v>4105</v>
      </c>
      <c r="AJ5816" t="s">
        <v>4106</v>
      </c>
      <c r="AK5816" t="s">
        <v>28724</v>
      </c>
      <c r="AL5816" s="13" t="s">
        <v>2255</v>
      </c>
      <c r="AM5816">
        <v>1</v>
      </c>
      <c r="AN5816" s="15" t="s">
        <v>1579</v>
      </c>
    </row>
    <row r="5817" spans="1:40" x14ac:dyDescent="0.3">
      <c r="A5817" s="10" t="str">
        <f>HYPERLINK("http://www.washoecounty.gov/assessor/cama/?parid=204-062-07&amp;CardNumber=1","204-062-07")</f>
        <v>204-062-07</v>
      </c>
      <c r="B5817" t="s">
        <v>4655</v>
      </c>
      <c r="C5817" t="s">
        <v>28725</v>
      </c>
      <c r="D5817" s="1">
        <v>40359</v>
      </c>
      <c r="E5817" s="2">
        <v>160000</v>
      </c>
      <c r="F5817" t="s">
        <v>4567</v>
      </c>
      <c r="G5817" s="17" t="str">
        <f>HYPERLINK("https://www.washoecounty.gov/assessor/cama/?command=sales&amp;parid=20406207","3897527")</f>
        <v>3897527</v>
      </c>
      <c r="H5817" t="s">
        <v>28726</v>
      </c>
      <c r="I5817">
        <v>1995</v>
      </c>
      <c r="J5817">
        <v>1995</v>
      </c>
      <c r="K5817" t="s">
        <v>4554</v>
      </c>
      <c r="L5817" t="s">
        <v>4555</v>
      </c>
      <c r="M5817" s="2">
        <v>1488</v>
      </c>
      <c r="N5817" t="s">
        <v>5280</v>
      </c>
      <c r="O5817">
        <v>2</v>
      </c>
      <c r="P5817">
        <v>2</v>
      </c>
      <c r="Q5817">
        <v>0</v>
      </c>
      <c r="R5817" t="s">
        <v>5281</v>
      </c>
      <c r="S5817" t="s">
        <v>4558</v>
      </c>
      <c r="T5817" t="s">
        <v>2704</v>
      </c>
      <c r="U5817" t="s">
        <v>4560</v>
      </c>
      <c r="V5817" s="2">
        <v>432</v>
      </c>
      <c r="W5817" t="s">
        <v>4655</v>
      </c>
      <c r="X5817" s="2">
        <v>0</v>
      </c>
      <c r="Y5817">
        <v>20</v>
      </c>
      <c r="Z5817" t="s">
        <v>4561</v>
      </c>
      <c r="AA5817" s="3">
        <v>0.18099173903465299</v>
      </c>
      <c r="AB5817" t="s">
        <v>28727</v>
      </c>
      <c r="AC5817" t="s">
        <v>4562</v>
      </c>
      <c r="AD5817" t="s">
        <v>28725</v>
      </c>
      <c r="AE5817" t="s">
        <v>4655</v>
      </c>
      <c r="AF5817" t="s">
        <v>4563</v>
      </c>
      <c r="AG5817" t="s">
        <v>4564</v>
      </c>
      <c r="AH5817" t="s">
        <v>1147</v>
      </c>
      <c r="AI5817" t="s">
        <v>28728</v>
      </c>
      <c r="AJ5817" t="s">
        <v>28729</v>
      </c>
      <c r="AK5817" t="s">
        <v>28730</v>
      </c>
      <c r="AL5817" s="13" t="s">
        <v>2255</v>
      </c>
      <c r="AM5817">
        <v>1</v>
      </c>
      <c r="AN5817" s="15" t="s">
        <v>383</v>
      </c>
    </row>
    <row r="5818" spans="1:40" x14ac:dyDescent="0.3">
      <c r="A5818" s="10" t="str">
        <f>HYPERLINK("http://www.washoecounty.gov/assessor/cama/?parid=204-073-08&amp;CardNumber=1","204-073-08")</f>
        <v>204-073-08</v>
      </c>
      <c r="B5818" t="s">
        <v>4655</v>
      </c>
      <c r="C5818" t="s">
        <v>28731</v>
      </c>
      <c r="D5818" s="1">
        <v>40540</v>
      </c>
      <c r="E5818" s="2">
        <v>221000</v>
      </c>
      <c r="F5818" t="s">
        <v>4553</v>
      </c>
      <c r="G5818" s="17" t="str">
        <f>HYPERLINK("https://www.washoecounty.gov/assessor/cama/?command=sales&amp;parid=20407308","3958056")</f>
        <v>3958056</v>
      </c>
      <c r="H5818" t="s">
        <v>28732</v>
      </c>
      <c r="I5818">
        <v>1995</v>
      </c>
      <c r="J5818">
        <v>1995</v>
      </c>
      <c r="K5818" t="s">
        <v>4554</v>
      </c>
      <c r="L5818" t="s">
        <v>3974</v>
      </c>
      <c r="M5818" s="2">
        <v>2082</v>
      </c>
      <c r="N5818" t="s">
        <v>5280</v>
      </c>
      <c r="O5818">
        <v>4</v>
      </c>
      <c r="P5818">
        <v>3</v>
      </c>
      <c r="Q5818">
        <v>0</v>
      </c>
      <c r="R5818" t="s">
        <v>5281</v>
      </c>
      <c r="S5818" t="s">
        <v>4558</v>
      </c>
      <c r="T5818" t="s">
        <v>2704</v>
      </c>
      <c r="U5818" t="s">
        <v>5631</v>
      </c>
      <c r="V5818" s="2">
        <v>576</v>
      </c>
      <c r="W5818" t="s">
        <v>4655</v>
      </c>
      <c r="X5818" s="2">
        <v>0</v>
      </c>
      <c r="Y5818">
        <v>20</v>
      </c>
      <c r="Z5818" t="s">
        <v>4561</v>
      </c>
      <c r="AA5818" s="3">
        <v>0.17899449169635773</v>
      </c>
      <c r="AB5818" t="s">
        <v>28733</v>
      </c>
      <c r="AC5818" t="s">
        <v>4575</v>
      </c>
      <c r="AD5818" t="s">
        <v>28734</v>
      </c>
      <c r="AE5818" t="s">
        <v>4655</v>
      </c>
      <c r="AF5818" t="s">
        <v>4563</v>
      </c>
      <c r="AG5818" t="s">
        <v>4564</v>
      </c>
      <c r="AH5818" t="s">
        <v>1147</v>
      </c>
      <c r="AI5818" t="s">
        <v>4503</v>
      </c>
      <c r="AJ5818" t="s">
        <v>28735</v>
      </c>
      <c r="AK5818" t="s">
        <v>28736</v>
      </c>
      <c r="AL5818" s="13" t="s">
        <v>2255</v>
      </c>
      <c r="AM5818">
        <v>1</v>
      </c>
      <c r="AN5818" s="15" t="s">
        <v>383</v>
      </c>
    </row>
    <row r="5819" spans="1:40" x14ac:dyDescent="0.3">
      <c r="A5819" s="10" t="str">
        <f>HYPERLINK("http://www.washoecounty.gov/assessor/cama/?parid=204-092-07&amp;CardNumber=1","204-092-07")</f>
        <v>204-092-07</v>
      </c>
      <c r="B5819" t="s">
        <v>4655</v>
      </c>
      <c r="C5819" t="s">
        <v>28737</v>
      </c>
      <c r="D5819" s="1">
        <v>40380</v>
      </c>
      <c r="E5819" s="2">
        <v>224900</v>
      </c>
      <c r="F5819" t="s">
        <v>4553</v>
      </c>
      <c r="G5819" s="17" t="str">
        <f>HYPERLINK("https://www.washoecounty.gov/assessor/cama/?command=sales&amp;parid=20409207","3903616")</f>
        <v>3903616</v>
      </c>
      <c r="H5819" t="s">
        <v>1132</v>
      </c>
      <c r="I5819">
        <v>1996</v>
      </c>
      <c r="J5819">
        <v>1996</v>
      </c>
      <c r="K5819" t="s">
        <v>4554</v>
      </c>
      <c r="L5819" t="s">
        <v>3974</v>
      </c>
      <c r="M5819" s="2">
        <v>2082</v>
      </c>
      <c r="N5819" t="s">
        <v>5280</v>
      </c>
      <c r="O5819">
        <v>3</v>
      </c>
      <c r="P5819">
        <v>3</v>
      </c>
      <c r="Q5819">
        <v>0</v>
      </c>
      <c r="R5819" t="s">
        <v>4557</v>
      </c>
      <c r="S5819" t="s">
        <v>4558</v>
      </c>
      <c r="T5819" t="s">
        <v>2704</v>
      </c>
      <c r="U5819" t="s">
        <v>5631</v>
      </c>
      <c r="V5819" s="2">
        <v>576</v>
      </c>
      <c r="W5819" t="s">
        <v>4655</v>
      </c>
      <c r="X5819" s="2">
        <v>0</v>
      </c>
      <c r="Y5819">
        <v>20</v>
      </c>
      <c r="Z5819" t="s">
        <v>4561</v>
      </c>
      <c r="AA5819" s="3">
        <v>0.157001838088036</v>
      </c>
      <c r="AB5819" t="s">
        <v>28738</v>
      </c>
      <c r="AC5819" t="s">
        <v>4562</v>
      </c>
      <c r="AD5819" t="s">
        <v>28739</v>
      </c>
      <c r="AE5819" t="s">
        <v>4655</v>
      </c>
      <c r="AF5819" t="s">
        <v>4563</v>
      </c>
      <c r="AG5819" t="s">
        <v>4564</v>
      </c>
      <c r="AH5819" t="s">
        <v>1147</v>
      </c>
      <c r="AI5819" t="s">
        <v>4903</v>
      </c>
      <c r="AJ5819" t="s">
        <v>28740</v>
      </c>
      <c r="AK5819" t="s">
        <v>28741</v>
      </c>
      <c r="AL5819" s="13" t="s">
        <v>2255</v>
      </c>
      <c r="AM5819">
        <v>1</v>
      </c>
      <c r="AN5819" s="15" t="s">
        <v>383</v>
      </c>
    </row>
    <row r="5820" spans="1:40" x14ac:dyDescent="0.3">
      <c r="A5820" s="10" t="str">
        <f>HYPERLINK("http://www.washoecounty.gov/assessor/cama/?parid=204-093-01&amp;CardNumber=1","204-093-01")</f>
        <v>204-093-01</v>
      </c>
      <c r="B5820" t="s">
        <v>4655</v>
      </c>
      <c r="C5820" t="s">
        <v>28742</v>
      </c>
      <c r="D5820" s="1">
        <v>40415</v>
      </c>
      <c r="E5820" s="2">
        <v>181500</v>
      </c>
      <c r="F5820" t="s">
        <v>4553</v>
      </c>
      <c r="G5820" s="17" t="str">
        <f>HYPERLINK("https://www.washoecounty.gov/assessor/cama/?command=sales&amp;parid=20409301","3915452")</f>
        <v>3915452</v>
      </c>
      <c r="H5820" t="s">
        <v>2133</v>
      </c>
      <c r="I5820">
        <v>1996</v>
      </c>
      <c r="J5820">
        <v>1996</v>
      </c>
      <c r="K5820" t="s">
        <v>4554</v>
      </c>
      <c r="L5820" t="s">
        <v>4555</v>
      </c>
      <c r="M5820" s="2">
        <v>1613</v>
      </c>
      <c r="N5820" t="s">
        <v>5280</v>
      </c>
      <c r="O5820">
        <v>3</v>
      </c>
      <c r="P5820">
        <v>2</v>
      </c>
      <c r="Q5820">
        <v>0</v>
      </c>
      <c r="R5820" t="s">
        <v>5281</v>
      </c>
      <c r="S5820" t="s">
        <v>4558</v>
      </c>
      <c r="T5820" t="s">
        <v>2704</v>
      </c>
      <c r="U5820" t="s">
        <v>4560</v>
      </c>
      <c r="V5820" s="2">
        <v>483</v>
      </c>
      <c r="W5820" t="s">
        <v>4655</v>
      </c>
      <c r="X5820" s="2">
        <v>0</v>
      </c>
      <c r="Y5820">
        <v>20</v>
      </c>
      <c r="Z5820" t="s">
        <v>4561</v>
      </c>
      <c r="AA5820" s="3">
        <v>0.20300734043121299</v>
      </c>
      <c r="AB5820" t="s">
        <v>28743</v>
      </c>
      <c r="AC5820" t="s">
        <v>4562</v>
      </c>
      <c r="AD5820" t="s">
        <v>28744</v>
      </c>
      <c r="AE5820" t="s">
        <v>4655</v>
      </c>
      <c r="AF5820" t="s">
        <v>4563</v>
      </c>
      <c r="AG5820" t="s">
        <v>4564</v>
      </c>
      <c r="AH5820" t="s">
        <v>1147</v>
      </c>
      <c r="AI5820" t="s">
        <v>4655</v>
      </c>
      <c r="AJ5820" t="s">
        <v>28745</v>
      </c>
      <c r="AK5820" t="s">
        <v>28746</v>
      </c>
      <c r="AL5820" s="13" t="s">
        <v>2255</v>
      </c>
      <c r="AM5820">
        <v>1</v>
      </c>
      <c r="AN5820" s="15" t="s">
        <v>383</v>
      </c>
    </row>
    <row r="5821" spans="1:40" x14ac:dyDescent="0.3">
      <c r="A5821" s="10" t="str">
        <f>HYPERLINK("http://www.washoecounty.gov/assessor/cama/?parid=204-093-08&amp;CardNumber=1","204-093-08")</f>
        <v>204-093-08</v>
      </c>
      <c r="B5821" t="s">
        <v>4655</v>
      </c>
      <c r="C5821" t="s">
        <v>28747</v>
      </c>
      <c r="D5821" s="1">
        <v>40338</v>
      </c>
      <c r="E5821" s="2">
        <v>215000</v>
      </c>
      <c r="F5821" t="s">
        <v>4553</v>
      </c>
      <c r="G5821" s="17" t="str">
        <f>HYPERLINK("https://www.washoecounty.gov/assessor/cama/?command=sales&amp;parid=20409308","3889517")</f>
        <v>3889517</v>
      </c>
      <c r="H5821" t="s">
        <v>28748</v>
      </c>
      <c r="I5821">
        <v>1996</v>
      </c>
      <c r="J5821">
        <v>1996</v>
      </c>
      <c r="K5821" t="s">
        <v>4554</v>
      </c>
      <c r="L5821" t="s">
        <v>3974</v>
      </c>
      <c r="M5821" s="2">
        <v>2082</v>
      </c>
      <c r="N5821" t="s">
        <v>5280</v>
      </c>
      <c r="O5821">
        <v>4</v>
      </c>
      <c r="P5821">
        <v>3</v>
      </c>
      <c r="Q5821">
        <v>0</v>
      </c>
      <c r="R5821" t="s">
        <v>4557</v>
      </c>
      <c r="S5821" t="s">
        <v>4558</v>
      </c>
      <c r="T5821" t="s">
        <v>2704</v>
      </c>
      <c r="U5821" t="s">
        <v>5631</v>
      </c>
      <c r="V5821" s="2">
        <v>576</v>
      </c>
      <c r="W5821" t="s">
        <v>4655</v>
      </c>
      <c r="X5821" s="2">
        <v>0</v>
      </c>
      <c r="Y5821">
        <v>20</v>
      </c>
      <c r="Z5821" t="s">
        <v>4561</v>
      </c>
      <c r="AA5821" s="3">
        <v>0.16400367021560699</v>
      </c>
      <c r="AB5821" t="s">
        <v>28749</v>
      </c>
      <c r="AC5821" t="s">
        <v>4562</v>
      </c>
      <c r="AD5821" t="s">
        <v>28747</v>
      </c>
      <c r="AE5821" t="s">
        <v>4655</v>
      </c>
      <c r="AF5821" t="s">
        <v>4563</v>
      </c>
      <c r="AG5821" t="s">
        <v>4564</v>
      </c>
      <c r="AH5821" t="s">
        <v>1147</v>
      </c>
      <c r="AI5821" t="s">
        <v>2351</v>
      </c>
      <c r="AJ5821" t="s">
        <v>28750</v>
      </c>
      <c r="AK5821" t="s">
        <v>28751</v>
      </c>
      <c r="AL5821" s="13" t="s">
        <v>2255</v>
      </c>
      <c r="AM5821">
        <v>1</v>
      </c>
      <c r="AN5821" s="15" t="s">
        <v>383</v>
      </c>
    </row>
    <row r="5822" spans="1:40" x14ac:dyDescent="0.3">
      <c r="A5822" s="10" t="str">
        <f>HYPERLINK("http://www.washoecounty.gov/assessor/cama/?parid=204-093-20&amp;CardNumber=1","204-093-20")</f>
        <v>204-093-20</v>
      </c>
      <c r="B5822" t="s">
        <v>4655</v>
      </c>
      <c r="C5822" t="s">
        <v>28752</v>
      </c>
      <c r="D5822" s="1">
        <v>40466</v>
      </c>
      <c r="E5822" s="2">
        <v>215000</v>
      </c>
      <c r="F5822" t="s">
        <v>4567</v>
      </c>
      <c r="G5822" s="17" t="str">
        <f>HYPERLINK("https://www.washoecounty.gov/assessor/cama/?command=sales&amp;parid=20409320","3933802")</f>
        <v>3933802</v>
      </c>
      <c r="H5822" t="s">
        <v>1132</v>
      </c>
      <c r="I5822">
        <v>1996</v>
      </c>
      <c r="J5822">
        <v>1996</v>
      </c>
      <c r="K5822" t="s">
        <v>4554</v>
      </c>
      <c r="L5822" t="s">
        <v>3974</v>
      </c>
      <c r="M5822" s="2">
        <v>2227</v>
      </c>
      <c r="N5822" t="s">
        <v>5280</v>
      </c>
      <c r="O5822">
        <v>5</v>
      </c>
      <c r="P5822">
        <v>2</v>
      </c>
      <c r="Q5822">
        <v>1</v>
      </c>
      <c r="R5822" t="s">
        <v>4557</v>
      </c>
      <c r="S5822" t="s">
        <v>4558</v>
      </c>
      <c r="T5822" t="s">
        <v>2704</v>
      </c>
      <c r="U5822" t="s">
        <v>5631</v>
      </c>
      <c r="V5822" s="2">
        <v>514</v>
      </c>
      <c r="W5822" t="s">
        <v>4655</v>
      </c>
      <c r="X5822" s="2">
        <v>0</v>
      </c>
      <c r="Y5822">
        <v>20</v>
      </c>
      <c r="Z5822" t="s">
        <v>4561</v>
      </c>
      <c r="AA5822" s="3">
        <v>0.18500918149948101</v>
      </c>
      <c r="AB5822" t="s">
        <v>28753</v>
      </c>
      <c r="AC5822" t="s">
        <v>4562</v>
      </c>
      <c r="AD5822" t="s">
        <v>28752</v>
      </c>
      <c r="AE5822" t="s">
        <v>4655</v>
      </c>
      <c r="AF5822" t="s">
        <v>4563</v>
      </c>
      <c r="AG5822" t="s">
        <v>4564</v>
      </c>
      <c r="AH5822" t="s">
        <v>1147</v>
      </c>
      <c r="AI5822" t="s">
        <v>28754</v>
      </c>
      <c r="AJ5822" t="s">
        <v>28755</v>
      </c>
      <c r="AK5822" t="s">
        <v>28756</v>
      </c>
      <c r="AL5822" s="13" t="s">
        <v>2255</v>
      </c>
      <c r="AM5822">
        <v>1</v>
      </c>
      <c r="AN5822" s="15" t="s">
        <v>383</v>
      </c>
    </row>
    <row r="5823" spans="1:40" x14ac:dyDescent="0.3">
      <c r="A5823" s="10" t="str">
        <f>HYPERLINK("http://www.washoecounty.gov/assessor/cama/?parid=204-112-16&amp;CardNumber=1","204-112-16")</f>
        <v>204-112-16</v>
      </c>
      <c r="B5823" t="s">
        <v>4655</v>
      </c>
      <c r="C5823" t="s">
        <v>28757</v>
      </c>
      <c r="D5823" s="1">
        <v>40452</v>
      </c>
      <c r="E5823" s="2">
        <v>321000</v>
      </c>
      <c r="F5823" t="s">
        <v>4567</v>
      </c>
      <c r="G5823" s="17" t="str">
        <f>HYPERLINK("https://www.washoecounty.gov/assessor/cama/?command=sales&amp;parid=20411216","3928922")</f>
        <v>3928922</v>
      </c>
      <c r="H5823" t="s">
        <v>4953</v>
      </c>
      <c r="I5823">
        <v>1996</v>
      </c>
      <c r="J5823">
        <v>1998</v>
      </c>
      <c r="K5823" t="s">
        <v>4554</v>
      </c>
      <c r="L5823" t="s">
        <v>3974</v>
      </c>
      <c r="M5823" s="2">
        <v>2780</v>
      </c>
      <c r="N5823" t="s">
        <v>5280</v>
      </c>
      <c r="O5823">
        <v>4</v>
      </c>
      <c r="P5823">
        <v>2</v>
      </c>
      <c r="Q5823">
        <v>1</v>
      </c>
      <c r="R5823" t="s">
        <v>4557</v>
      </c>
      <c r="S5823" t="s">
        <v>4558</v>
      </c>
      <c r="T5823" t="s">
        <v>2704</v>
      </c>
      <c r="U5823" t="s">
        <v>162</v>
      </c>
      <c r="V5823" s="2">
        <v>1088</v>
      </c>
      <c r="W5823" t="s">
        <v>4655</v>
      </c>
      <c r="X5823" s="2">
        <v>0</v>
      </c>
      <c r="Y5823">
        <v>20</v>
      </c>
      <c r="Z5823" t="s">
        <v>4561</v>
      </c>
      <c r="AA5823" s="3">
        <v>0.45736914873123202</v>
      </c>
      <c r="AB5823" t="s">
        <v>28758</v>
      </c>
      <c r="AC5823" t="s">
        <v>4562</v>
      </c>
      <c r="AD5823" t="s">
        <v>28757</v>
      </c>
      <c r="AE5823" t="s">
        <v>4655</v>
      </c>
      <c r="AF5823" t="s">
        <v>4563</v>
      </c>
      <c r="AG5823" t="s">
        <v>4564</v>
      </c>
      <c r="AH5823" t="s">
        <v>1147</v>
      </c>
      <c r="AI5823" t="s">
        <v>28759</v>
      </c>
      <c r="AJ5823" t="s">
        <v>28760</v>
      </c>
      <c r="AK5823" t="s">
        <v>28761</v>
      </c>
      <c r="AL5823" s="13" t="s">
        <v>2255</v>
      </c>
      <c r="AM5823" s="14">
        <v>1</v>
      </c>
      <c r="AN5823" s="15" t="s">
        <v>383</v>
      </c>
    </row>
    <row r="5824" spans="1:40" x14ac:dyDescent="0.3">
      <c r="A5824" s="10" t="str">
        <f>HYPERLINK("http://www.washoecounty.gov/assessor/cama/?parid=204-122-30&amp;CardNumber=1","204-122-30")</f>
        <v>204-122-30</v>
      </c>
      <c r="B5824" t="s">
        <v>4655</v>
      </c>
      <c r="C5824" t="s">
        <v>28762</v>
      </c>
      <c r="D5824" s="1">
        <v>40182</v>
      </c>
      <c r="E5824" s="2">
        <v>254900</v>
      </c>
      <c r="F5824" t="s">
        <v>4553</v>
      </c>
      <c r="G5824" s="17" t="str">
        <f>HYPERLINK("https://www.washoecounty.gov/assessor/cama/?command=sales&amp;parid=20412230","3835918")</f>
        <v>3835918</v>
      </c>
      <c r="H5824" t="s">
        <v>1146</v>
      </c>
      <c r="I5824">
        <v>1996</v>
      </c>
      <c r="J5824">
        <v>1996</v>
      </c>
      <c r="K5824" t="s">
        <v>4554</v>
      </c>
      <c r="L5824" t="s">
        <v>3974</v>
      </c>
      <c r="M5824" s="2">
        <v>2382</v>
      </c>
      <c r="N5824" t="s">
        <v>5280</v>
      </c>
      <c r="O5824">
        <v>4</v>
      </c>
      <c r="P5824">
        <v>2</v>
      </c>
      <c r="Q5824">
        <v>1</v>
      </c>
      <c r="R5824" t="s">
        <v>4557</v>
      </c>
      <c r="S5824" t="s">
        <v>4898</v>
      </c>
      <c r="T5824" t="s">
        <v>2704</v>
      </c>
      <c r="U5824" t="s">
        <v>5631</v>
      </c>
      <c r="V5824" s="2">
        <v>670</v>
      </c>
      <c r="W5824" t="s">
        <v>4655</v>
      </c>
      <c r="X5824" s="2">
        <v>0</v>
      </c>
      <c r="Y5824">
        <v>20</v>
      </c>
      <c r="Z5824" t="s">
        <v>4561</v>
      </c>
      <c r="AA5824" s="3">
        <v>0.176010102033615</v>
      </c>
      <c r="AB5824" t="s">
        <v>28763</v>
      </c>
      <c r="AC5824" t="s">
        <v>4575</v>
      </c>
      <c r="AD5824" t="s">
        <v>28762</v>
      </c>
      <c r="AE5824" t="s">
        <v>4655</v>
      </c>
      <c r="AF5824" t="s">
        <v>4563</v>
      </c>
      <c r="AG5824" t="s">
        <v>4564</v>
      </c>
      <c r="AH5824" t="s">
        <v>1147</v>
      </c>
      <c r="AI5824" t="s">
        <v>4903</v>
      </c>
      <c r="AJ5824" t="s">
        <v>1148</v>
      </c>
      <c r="AK5824" t="s">
        <v>28764</v>
      </c>
      <c r="AL5824" s="13" t="s">
        <v>2255</v>
      </c>
      <c r="AM5824">
        <v>1</v>
      </c>
      <c r="AN5824" s="15" t="s">
        <v>383</v>
      </c>
    </row>
    <row r="5825" spans="1:40" x14ac:dyDescent="0.3">
      <c r="A5825" s="10" t="str">
        <f>HYPERLINK("http://www.washoecounty.gov/assessor/cama/?parid=204-141-02&amp;CardNumber=1","204-141-02")</f>
        <v>204-141-02</v>
      </c>
      <c r="B5825" t="s">
        <v>4655</v>
      </c>
      <c r="C5825" t="s">
        <v>28765</v>
      </c>
      <c r="D5825" s="1">
        <v>40207</v>
      </c>
      <c r="E5825" s="2">
        <v>270000</v>
      </c>
      <c r="F5825" t="s">
        <v>4567</v>
      </c>
      <c r="G5825" s="17" t="str">
        <f>HYPERLINK("https://www.washoecounty.gov/assessor/cama/?command=sales&amp;parid=20414102","3844439")</f>
        <v>3844439</v>
      </c>
      <c r="H5825" t="s">
        <v>28766</v>
      </c>
      <c r="I5825">
        <v>1996</v>
      </c>
      <c r="J5825">
        <v>1996</v>
      </c>
      <c r="K5825" t="s">
        <v>4554</v>
      </c>
      <c r="L5825" t="s">
        <v>3974</v>
      </c>
      <c r="M5825" s="2">
        <v>2382</v>
      </c>
      <c r="N5825" t="s">
        <v>5280</v>
      </c>
      <c r="O5825">
        <v>3</v>
      </c>
      <c r="P5825">
        <v>2</v>
      </c>
      <c r="Q5825">
        <v>1</v>
      </c>
      <c r="R5825" t="s">
        <v>4557</v>
      </c>
      <c r="S5825" t="s">
        <v>4898</v>
      </c>
      <c r="T5825" t="s">
        <v>2704</v>
      </c>
      <c r="U5825" t="s">
        <v>5631</v>
      </c>
      <c r="V5825" s="2">
        <v>538</v>
      </c>
      <c r="W5825" t="s">
        <v>4655</v>
      </c>
      <c r="X5825" s="2">
        <v>0</v>
      </c>
      <c r="Y5825">
        <v>20</v>
      </c>
      <c r="Z5825" t="s">
        <v>4561</v>
      </c>
      <c r="AA5825" s="3">
        <v>0.14499540627002699</v>
      </c>
      <c r="AB5825" t="s">
        <v>28767</v>
      </c>
      <c r="AC5825" t="s">
        <v>4575</v>
      </c>
      <c r="AD5825" t="s">
        <v>28768</v>
      </c>
      <c r="AE5825" t="s">
        <v>28769</v>
      </c>
      <c r="AF5825" t="s">
        <v>4563</v>
      </c>
      <c r="AG5825" t="s">
        <v>4564</v>
      </c>
      <c r="AH5825" t="s">
        <v>1147</v>
      </c>
      <c r="AI5825" t="s">
        <v>3048</v>
      </c>
      <c r="AJ5825" t="s">
        <v>28770</v>
      </c>
      <c r="AK5825" t="s">
        <v>28771</v>
      </c>
      <c r="AL5825" s="13" t="s">
        <v>2255</v>
      </c>
      <c r="AM5825">
        <v>1</v>
      </c>
      <c r="AN5825" s="15" t="s">
        <v>383</v>
      </c>
    </row>
    <row r="5826" spans="1:40" x14ac:dyDescent="0.3">
      <c r="A5826" s="10" t="str">
        <f>HYPERLINK("http://www.washoecounty.gov/assessor/cama/?parid=204-142-28&amp;CardNumber=1","204-142-28")</f>
        <v>204-142-28</v>
      </c>
      <c r="B5826" t="s">
        <v>4655</v>
      </c>
      <c r="C5826" t="s">
        <v>28772</v>
      </c>
      <c r="D5826" s="1">
        <v>40441</v>
      </c>
      <c r="E5826" s="2">
        <v>180000</v>
      </c>
      <c r="F5826" t="s">
        <v>4567</v>
      </c>
      <c r="G5826" s="17" t="str">
        <f>HYPERLINK("https://www.washoecounty.gov/assessor/cama/?command=sales&amp;parid=20414228","3924219")</f>
        <v>3924219</v>
      </c>
      <c r="H5826" t="s">
        <v>28766</v>
      </c>
      <c r="I5826">
        <v>1995</v>
      </c>
      <c r="J5826">
        <v>1995</v>
      </c>
      <c r="K5826" t="s">
        <v>4554</v>
      </c>
      <c r="L5826" t="s">
        <v>4555</v>
      </c>
      <c r="M5826" s="2">
        <v>1446</v>
      </c>
      <c r="N5826" t="s">
        <v>5280</v>
      </c>
      <c r="O5826">
        <v>3</v>
      </c>
      <c r="P5826">
        <v>2</v>
      </c>
      <c r="Q5826">
        <v>0</v>
      </c>
      <c r="R5826" t="s">
        <v>5281</v>
      </c>
      <c r="S5826" t="s">
        <v>4558</v>
      </c>
      <c r="T5826" t="s">
        <v>2704</v>
      </c>
      <c r="U5826" t="s">
        <v>4560</v>
      </c>
      <c r="V5826" s="2">
        <v>440</v>
      </c>
      <c r="W5826" t="s">
        <v>4655</v>
      </c>
      <c r="X5826" s="2">
        <v>0</v>
      </c>
      <c r="Y5826">
        <v>20</v>
      </c>
      <c r="Z5826" t="s">
        <v>4561</v>
      </c>
      <c r="AA5826" s="3">
        <v>0.27601009607315102</v>
      </c>
      <c r="AB5826" t="s">
        <v>28773</v>
      </c>
      <c r="AC5826" t="s">
        <v>4562</v>
      </c>
      <c r="AD5826" t="s">
        <v>28774</v>
      </c>
      <c r="AE5826" t="s">
        <v>4655</v>
      </c>
      <c r="AF5826" t="s">
        <v>4563</v>
      </c>
      <c r="AG5826" t="s">
        <v>4564</v>
      </c>
      <c r="AH5826" t="s">
        <v>1147</v>
      </c>
      <c r="AI5826" t="s">
        <v>28775</v>
      </c>
      <c r="AJ5826" t="s">
        <v>28776</v>
      </c>
      <c r="AK5826" t="s">
        <v>28777</v>
      </c>
      <c r="AL5826" s="13" t="s">
        <v>2255</v>
      </c>
      <c r="AM5826">
        <v>1</v>
      </c>
      <c r="AN5826" s="15" t="s">
        <v>383</v>
      </c>
    </row>
    <row r="5827" spans="1:40" x14ac:dyDescent="0.3">
      <c r="A5827" s="10" t="str">
        <f>HYPERLINK("http://www.washoecounty.gov/assessor/cama/?parid=204-151-16&amp;CardNumber=1","204-151-16")</f>
        <v>204-151-16</v>
      </c>
      <c r="B5827" t="s">
        <v>4655</v>
      </c>
      <c r="C5827" t="s">
        <v>28778</v>
      </c>
      <c r="D5827" s="1">
        <v>40451</v>
      </c>
      <c r="E5827" s="2">
        <v>191000</v>
      </c>
      <c r="F5827" t="s">
        <v>4553</v>
      </c>
      <c r="G5827" s="17" t="str">
        <f>HYPERLINK("https://www.washoecounty.gov/assessor/cama/?command=sales&amp;parid=20415116","3927879")</f>
        <v>3927879</v>
      </c>
      <c r="H5827" t="s">
        <v>28779</v>
      </c>
      <c r="I5827">
        <v>1997</v>
      </c>
      <c r="J5827">
        <v>1997</v>
      </c>
      <c r="K5827" t="s">
        <v>4554</v>
      </c>
      <c r="L5827" t="s">
        <v>3974</v>
      </c>
      <c r="M5827" s="2">
        <v>2091</v>
      </c>
      <c r="N5827" t="s">
        <v>5280</v>
      </c>
      <c r="O5827">
        <v>3</v>
      </c>
      <c r="P5827">
        <v>2</v>
      </c>
      <c r="Q5827">
        <v>1</v>
      </c>
      <c r="R5827" t="s">
        <v>4557</v>
      </c>
      <c r="S5827" t="s">
        <v>4558</v>
      </c>
      <c r="T5827" t="s">
        <v>2704</v>
      </c>
      <c r="U5827" t="s">
        <v>5631</v>
      </c>
      <c r="V5827" s="2">
        <v>519</v>
      </c>
      <c r="W5827" t="s">
        <v>4655</v>
      </c>
      <c r="X5827" s="2">
        <v>0</v>
      </c>
      <c r="Y5827">
        <v>20</v>
      </c>
      <c r="Z5827" t="s">
        <v>4561</v>
      </c>
      <c r="AA5827" s="3">
        <v>0.14898990094661699</v>
      </c>
      <c r="AB5827" t="s">
        <v>28780</v>
      </c>
      <c r="AC5827" t="s">
        <v>4562</v>
      </c>
      <c r="AD5827" t="s">
        <v>28781</v>
      </c>
      <c r="AE5827" t="s">
        <v>4655</v>
      </c>
      <c r="AF5827" t="s">
        <v>4563</v>
      </c>
      <c r="AG5827" t="s">
        <v>4564</v>
      </c>
      <c r="AH5827" t="s">
        <v>1147</v>
      </c>
      <c r="AI5827" t="s">
        <v>4655</v>
      </c>
      <c r="AJ5827" t="s">
        <v>28782</v>
      </c>
      <c r="AK5827" t="s">
        <v>28783</v>
      </c>
      <c r="AL5827" s="13" t="s">
        <v>2255</v>
      </c>
      <c r="AM5827">
        <v>1</v>
      </c>
      <c r="AN5827" s="15" t="s">
        <v>383</v>
      </c>
    </row>
    <row r="5828" spans="1:40" x14ac:dyDescent="0.3">
      <c r="A5828" s="10" t="str">
        <f>HYPERLINK("http://www.washoecounty.gov/assessor/cama/?parid=204-153-01&amp;CardNumber=1","204-153-01")</f>
        <v>204-153-01</v>
      </c>
      <c r="B5828" t="s">
        <v>4655</v>
      </c>
      <c r="C5828" t="s">
        <v>28784</v>
      </c>
      <c r="D5828" s="1">
        <v>40287</v>
      </c>
      <c r="E5828" s="2">
        <v>234000</v>
      </c>
      <c r="F5828" t="s">
        <v>4567</v>
      </c>
      <c r="G5828" s="17" t="str">
        <f>HYPERLINK("https://www.washoecounty.gov/assessor/cama/?command=sales&amp;parid=20415301","3872413")</f>
        <v>3872413</v>
      </c>
      <c r="H5828" t="s">
        <v>28785</v>
      </c>
      <c r="I5828">
        <v>1996</v>
      </c>
      <c r="J5828">
        <v>1996</v>
      </c>
      <c r="K5828" t="s">
        <v>4554</v>
      </c>
      <c r="L5828" t="s">
        <v>3974</v>
      </c>
      <c r="M5828" s="2">
        <v>2082</v>
      </c>
      <c r="N5828" t="s">
        <v>5280</v>
      </c>
      <c r="O5828">
        <v>4</v>
      </c>
      <c r="P5828">
        <v>3</v>
      </c>
      <c r="Q5828">
        <v>0</v>
      </c>
      <c r="R5828" t="s">
        <v>5281</v>
      </c>
      <c r="S5828" t="s">
        <v>4558</v>
      </c>
      <c r="T5828" t="s">
        <v>2704</v>
      </c>
      <c r="U5828" t="s">
        <v>5631</v>
      </c>
      <c r="V5828" s="2">
        <v>576</v>
      </c>
      <c r="W5828" t="s">
        <v>4655</v>
      </c>
      <c r="X5828" s="2">
        <v>0</v>
      </c>
      <c r="Y5828">
        <v>20</v>
      </c>
      <c r="Z5828" t="s">
        <v>4561</v>
      </c>
      <c r="AA5828" s="3">
        <v>0.26799815893173218</v>
      </c>
      <c r="AB5828" t="s">
        <v>28786</v>
      </c>
      <c r="AC5828" t="s">
        <v>4562</v>
      </c>
      <c r="AD5828" t="s">
        <v>28787</v>
      </c>
      <c r="AE5828" t="s">
        <v>4655</v>
      </c>
      <c r="AF5828" t="s">
        <v>2180</v>
      </c>
      <c r="AG5828" t="s">
        <v>2486</v>
      </c>
      <c r="AH5828">
        <v>92126</v>
      </c>
      <c r="AI5828" t="s">
        <v>28788</v>
      </c>
      <c r="AJ5828" t="s">
        <v>28789</v>
      </c>
      <c r="AK5828" t="s">
        <v>28790</v>
      </c>
      <c r="AL5828" s="13" t="s">
        <v>2255</v>
      </c>
      <c r="AM5828">
        <v>1</v>
      </c>
      <c r="AN5828" s="15" t="s">
        <v>383</v>
      </c>
    </row>
    <row r="5829" spans="1:40" x14ac:dyDescent="0.3">
      <c r="A5829" s="10" t="str">
        <f>HYPERLINK("http://www.washoecounty.gov/assessor/cama/?parid=204-154-07&amp;CardNumber=1","204-154-07")</f>
        <v>204-154-07</v>
      </c>
      <c r="B5829" t="s">
        <v>4655</v>
      </c>
      <c r="C5829" t="s">
        <v>28791</v>
      </c>
      <c r="D5829" s="1">
        <v>40354</v>
      </c>
      <c r="E5829" s="2">
        <v>219900</v>
      </c>
      <c r="F5829" t="s">
        <v>4567</v>
      </c>
      <c r="G5829" s="17" t="str">
        <f>HYPERLINK("https://www.washoecounty.gov/assessor/cama/?command=sales&amp;parid=20415407","3895443")</f>
        <v>3895443</v>
      </c>
      <c r="H5829" t="s">
        <v>28785</v>
      </c>
      <c r="I5829">
        <v>1996</v>
      </c>
      <c r="J5829">
        <v>1996</v>
      </c>
      <c r="K5829" t="s">
        <v>4554</v>
      </c>
      <c r="L5829" t="s">
        <v>3974</v>
      </c>
      <c r="M5829" s="2">
        <v>2082</v>
      </c>
      <c r="N5829" t="s">
        <v>5280</v>
      </c>
      <c r="O5829">
        <v>4</v>
      </c>
      <c r="P5829">
        <v>3</v>
      </c>
      <c r="Q5829">
        <v>0</v>
      </c>
      <c r="R5829" t="s">
        <v>4557</v>
      </c>
      <c r="S5829" t="s">
        <v>4558</v>
      </c>
      <c r="T5829" t="s">
        <v>2704</v>
      </c>
      <c r="U5829" t="s">
        <v>5631</v>
      </c>
      <c r="V5829" s="2">
        <v>576</v>
      </c>
      <c r="W5829" t="s">
        <v>4655</v>
      </c>
      <c r="X5829" s="2">
        <v>0</v>
      </c>
      <c r="Y5829">
        <v>20</v>
      </c>
      <c r="Z5829" t="s">
        <v>4561</v>
      </c>
      <c r="AA5829" s="3">
        <v>0.189003676176071</v>
      </c>
      <c r="AB5829" t="s">
        <v>28792</v>
      </c>
      <c r="AC5829" t="s">
        <v>4562</v>
      </c>
      <c r="AD5829" t="s">
        <v>28793</v>
      </c>
      <c r="AE5829" t="s">
        <v>4655</v>
      </c>
      <c r="AF5829" t="s">
        <v>4563</v>
      </c>
      <c r="AG5829" t="s">
        <v>4564</v>
      </c>
      <c r="AH5829" t="s">
        <v>1147</v>
      </c>
      <c r="AI5829" t="s">
        <v>28794</v>
      </c>
      <c r="AJ5829" t="s">
        <v>28782</v>
      </c>
      <c r="AK5829" t="s">
        <v>28795</v>
      </c>
      <c r="AL5829" s="13" t="s">
        <v>2255</v>
      </c>
      <c r="AM5829" s="14">
        <v>1</v>
      </c>
      <c r="AN5829" s="15" t="s">
        <v>383</v>
      </c>
    </row>
    <row r="5830" spans="1:40" x14ac:dyDescent="0.3">
      <c r="A5830" s="10" t="str">
        <f>HYPERLINK("http://www.washoecounty.gov/assessor/cama/?parid=204-161-07&amp;CardNumber=1","204-161-07")</f>
        <v>204-161-07</v>
      </c>
      <c r="B5830" t="s">
        <v>4655</v>
      </c>
      <c r="C5830" t="s">
        <v>28796</v>
      </c>
      <c r="D5830" s="1">
        <v>40275</v>
      </c>
      <c r="E5830" s="2">
        <v>210000</v>
      </c>
      <c r="F5830" t="s">
        <v>4553</v>
      </c>
      <c r="G5830" s="17" t="str">
        <f>HYPERLINK("https://www.washoecounty.gov/assessor/cama/?command=sales&amp;parid=20416107","3868382")</f>
        <v>3868382</v>
      </c>
      <c r="H5830" t="s">
        <v>3651</v>
      </c>
      <c r="I5830">
        <v>1997</v>
      </c>
      <c r="J5830">
        <v>1997</v>
      </c>
      <c r="K5830" t="s">
        <v>4554</v>
      </c>
      <c r="L5830" t="s">
        <v>4555</v>
      </c>
      <c r="M5830" s="2">
        <v>1822</v>
      </c>
      <c r="N5830" t="s">
        <v>5280</v>
      </c>
      <c r="O5830">
        <v>4</v>
      </c>
      <c r="P5830">
        <v>2</v>
      </c>
      <c r="Q5830">
        <v>0</v>
      </c>
      <c r="R5830" t="s">
        <v>5281</v>
      </c>
      <c r="S5830" t="s">
        <v>4898</v>
      </c>
      <c r="T5830" t="s">
        <v>4559</v>
      </c>
      <c r="U5830" t="s">
        <v>4560</v>
      </c>
      <c r="V5830" s="2">
        <v>563</v>
      </c>
      <c r="W5830" t="s">
        <v>4655</v>
      </c>
      <c r="X5830" s="2">
        <v>0</v>
      </c>
      <c r="Y5830">
        <v>20</v>
      </c>
      <c r="Z5830" t="s">
        <v>4561</v>
      </c>
      <c r="AA5830" s="3">
        <v>0.192011013627052</v>
      </c>
      <c r="AB5830" t="s">
        <v>28797</v>
      </c>
      <c r="AC5830" t="s">
        <v>4575</v>
      </c>
      <c r="AD5830" t="s">
        <v>28798</v>
      </c>
      <c r="AE5830" t="s">
        <v>4655</v>
      </c>
      <c r="AF5830" t="s">
        <v>4563</v>
      </c>
      <c r="AG5830" t="s">
        <v>4564</v>
      </c>
      <c r="AH5830" t="s">
        <v>1147</v>
      </c>
      <c r="AI5830" t="s">
        <v>28799</v>
      </c>
      <c r="AJ5830" t="s">
        <v>3652</v>
      </c>
      <c r="AK5830" t="s">
        <v>28800</v>
      </c>
      <c r="AL5830" s="13" t="s">
        <v>2255</v>
      </c>
      <c r="AM5830" s="14">
        <v>1</v>
      </c>
      <c r="AN5830" s="15" t="s">
        <v>383</v>
      </c>
    </row>
    <row r="5831" spans="1:40" x14ac:dyDescent="0.3">
      <c r="A5831" s="10" t="str">
        <f>HYPERLINK("http://www.washoecounty.gov/assessor/cama/?parid=204-172-02&amp;CardNumber=1","204-172-02")</f>
        <v>204-172-02</v>
      </c>
      <c r="B5831" t="s">
        <v>4655</v>
      </c>
      <c r="C5831" t="s">
        <v>28801</v>
      </c>
      <c r="D5831" s="1">
        <v>40260</v>
      </c>
      <c r="E5831" s="2">
        <v>245000</v>
      </c>
      <c r="F5831" t="s">
        <v>4553</v>
      </c>
      <c r="G5831" s="17" t="str">
        <f>HYPERLINK("https://www.washoecounty.gov/assessor/cama/?command=sales&amp;parid=20417202","3862873")</f>
        <v>3862873</v>
      </c>
      <c r="H5831" t="s">
        <v>2666</v>
      </c>
      <c r="I5831">
        <v>1999</v>
      </c>
      <c r="J5831">
        <v>1999</v>
      </c>
      <c r="K5831" t="s">
        <v>4554</v>
      </c>
      <c r="L5831" t="s">
        <v>3974</v>
      </c>
      <c r="M5831" s="2">
        <v>2512</v>
      </c>
      <c r="N5831" t="s">
        <v>5280</v>
      </c>
      <c r="O5831">
        <v>4</v>
      </c>
      <c r="P5831">
        <v>3</v>
      </c>
      <c r="Q5831">
        <v>0</v>
      </c>
      <c r="R5831" t="s">
        <v>4557</v>
      </c>
      <c r="S5831" t="s">
        <v>4898</v>
      </c>
      <c r="T5831" t="s">
        <v>2704</v>
      </c>
      <c r="U5831" t="s">
        <v>162</v>
      </c>
      <c r="V5831" s="2">
        <v>647</v>
      </c>
      <c r="W5831" t="s">
        <v>4655</v>
      </c>
      <c r="X5831" s="2">
        <v>0</v>
      </c>
      <c r="Y5831">
        <v>20</v>
      </c>
      <c r="Z5831" t="s">
        <v>4561</v>
      </c>
      <c r="AA5831" s="3">
        <v>0.15399448573589325</v>
      </c>
      <c r="AB5831" t="s">
        <v>28802</v>
      </c>
      <c r="AC5831" t="s">
        <v>4562</v>
      </c>
      <c r="AD5831" t="s">
        <v>28803</v>
      </c>
      <c r="AE5831" t="s">
        <v>4655</v>
      </c>
      <c r="AF5831" t="s">
        <v>4563</v>
      </c>
      <c r="AG5831" t="s">
        <v>4564</v>
      </c>
      <c r="AH5831" t="s">
        <v>2541</v>
      </c>
      <c r="AI5831" t="s">
        <v>4503</v>
      </c>
      <c r="AJ5831" t="s">
        <v>2667</v>
      </c>
      <c r="AK5831" t="s">
        <v>28804</v>
      </c>
      <c r="AL5831" s="13" t="s">
        <v>2255</v>
      </c>
      <c r="AM5831">
        <v>1</v>
      </c>
      <c r="AN5831" s="15" t="s">
        <v>383</v>
      </c>
    </row>
    <row r="5832" spans="1:40" x14ac:dyDescent="0.3">
      <c r="A5832" s="10" t="str">
        <f>HYPERLINK("http://www.washoecounty.gov/assessor/cama/?parid=204-172-03&amp;CardNumber=1","204-172-03")</f>
        <v>204-172-03</v>
      </c>
      <c r="B5832" t="s">
        <v>4655</v>
      </c>
      <c r="C5832" t="s">
        <v>28805</v>
      </c>
      <c r="D5832" s="1">
        <v>40326</v>
      </c>
      <c r="E5832" s="2">
        <v>185000</v>
      </c>
      <c r="F5832" t="s">
        <v>4567</v>
      </c>
      <c r="G5832" s="17" t="str">
        <f>HYPERLINK("https://www.washoecounty.gov/assessor/cama/?command=sales&amp;parid=20417203","3886638")</f>
        <v>3886638</v>
      </c>
      <c r="H5832" t="s">
        <v>2666</v>
      </c>
      <c r="I5832">
        <v>1996</v>
      </c>
      <c r="J5832">
        <v>1996</v>
      </c>
      <c r="K5832" t="s">
        <v>4554</v>
      </c>
      <c r="L5832" t="s">
        <v>3974</v>
      </c>
      <c r="M5832" s="2">
        <v>1691</v>
      </c>
      <c r="N5832" t="s">
        <v>5280</v>
      </c>
      <c r="O5832">
        <v>3</v>
      </c>
      <c r="P5832">
        <v>2</v>
      </c>
      <c r="Q5832">
        <v>1</v>
      </c>
      <c r="R5832" t="s">
        <v>5281</v>
      </c>
      <c r="S5832" t="s">
        <v>4558</v>
      </c>
      <c r="T5832" t="s">
        <v>2704</v>
      </c>
      <c r="U5832" t="s">
        <v>4560</v>
      </c>
      <c r="V5832" s="2">
        <v>648</v>
      </c>
      <c r="W5832" t="s">
        <v>4655</v>
      </c>
      <c r="X5832" s="2">
        <v>0</v>
      </c>
      <c r="Y5832">
        <v>20</v>
      </c>
      <c r="Z5832" t="s">
        <v>4561</v>
      </c>
      <c r="AA5832" s="3">
        <v>0.17800734937191001</v>
      </c>
      <c r="AB5832" t="s">
        <v>28806</v>
      </c>
      <c r="AC5832" t="s">
        <v>4562</v>
      </c>
      <c r="AD5832" t="s">
        <v>28805</v>
      </c>
      <c r="AE5832" t="s">
        <v>4655</v>
      </c>
      <c r="AF5832" t="s">
        <v>4563</v>
      </c>
      <c r="AG5832" t="s">
        <v>4564</v>
      </c>
      <c r="AH5832" t="s">
        <v>1147</v>
      </c>
      <c r="AI5832" t="s">
        <v>4655</v>
      </c>
      <c r="AJ5832" t="s">
        <v>2667</v>
      </c>
      <c r="AK5832" t="s">
        <v>28807</v>
      </c>
      <c r="AL5832" s="13" t="s">
        <v>2255</v>
      </c>
      <c r="AM5832" s="14">
        <v>1</v>
      </c>
      <c r="AN5832" s="15" t="s">
        <v>383</v>
      </c>
    </row>
    <row r="5833" spans="1:40" x14ac:dyDescent="0.3">
      <c r="A5833" s="10" t="str">
        <f>HYPERLINK("http://www.washoecounty.gov/assessor/cama/?parid=204-172-12&amp;CardNumber=1","204-172-12")</f>
        <v>204-172-12</v>
      </c>
      <c r="B5833" t="s">
        <v>4655</v>
      </c>
      <c r="C5833" t="s">
        <v>28808</v>
      </c>
      <c r="D5833" s="1">
        <v>40436</v>
      </c>
      <c r="E5833" s="2">
        <v>220000</v>
      </c>
      <c r="F5833" t="s">
        <v>4553</v>
      </c>
      <c r="G5833" s="17" t="str">
        <f>HYPERLINK("https://www.washoecounty.gov/assessor/cama/?command=sales&amp;parid=20417212","3922563")</f>
        <v>3922563</v>
      </c>
      <c r="H5833" t="s">
        <v>2666</v>
      </c>
      <c r="I5833">
        <v>1996</v>
      </c>
      <c r="J5833">
        <v>1996</v>
      </c>
      <c r="K5833" t="s">
        <v>4554</v>
      </c>
      <c r="L5833" t="s">
        <v>3974</v>
      </c>
      <c r="M5833" s="2">
        <v>2084</v>
      </c>
      <c r="N5833" t="s">
        <v>5280</v>
      </c>
      <c r="O5833">
        <v>4</v>
      </c>
      <c r="P5833">
        <v>2</v>
      </c>
      <c r="Q5833">
        <v>1</v>
      </c>
      <c r="R5833" t="s">
        <v>5281</v>
      </c>
      <c r="S5833" t="s">
        <v>4558</v>
      </c>
      <c r="T5833" t="s">
        <v>2704</v>
      </c>
      <c r="U5833" t="s">
        <v>5631</v>
      </c>
      <c r="V5833" s="2">
        <v>558</v>
      </c>
      <c r="W5833" t="s">
        <v>4655</v>
      </c>
      <c r="X5833" s="2">
        <v>0</v>
      </c>
      <c r="Y5833">
        <v>20</v>
      </c>
      <c r="Z5833" t="s">
        <v>4561</v>
      </c>
      <c r="AA5833" s="3">
        <v>0.14499540627002699</v>
      </c>
      <c r="AB5833" t="s">
        <v>28809</v>
      </c>
      <c r="AC5833" t="s">
        <v>4562</v>
      </c>
      <c r="AD5833" t="s">
        <v>28808</v>
      </c>
      <c r="AE5833" t="s">
        <v>4655</v>
      </c>
      <c r="AF5833" t="s">
        <v>4563</v>
      </c>
      <c r="AG5833" t="s">
        <v>4564</v>
      </c>
      <c r="AH5833" t="s">
        <v>1147</v>
      </c>
      <c r="AI5833" t="s">
        <v>4903</v>
      </c>
      <c r="AJ5833" t="s">
        <v>2667</v>
      </c>
      <c r="AK5833" t="s">
        <v>28810</v>
      </c>
      <c r="AL5833" s="13" t="s">
        <v>2255</v>
      </c>
      <c r="AM5833">
        <v>1</v>
      </c>
      <c r="AN5833" s="15" t="s">
        <v>383</v>
      </c>
    </row>
    <row r="5834" spans="1:40" x14ac:dyDescent="0.3">
      <c r="A5834" s="10" t="str">
        <f>HYPERLINK("http://www.washoecounty.gov/assessor/cama/?parid=204-173-06&amp;CardNumber=1","204-173-06")</f>
        <v>204-173-06</v>
      </c>
      <c r="B5834" t="s">
        <v>4655</v>
      </c>
      <c r="C5834" t="s">
        <v>28811</v>
      </c>
      <c r="D5834" s="1">
        <v>40539</v>
      </c>
      <c r="E5834" s="2">
        <v>208000</v>
      </c>
      <c r="F5834" t="s">
        <v>4567</v>
      </c>
      <c r="G5834" s="17" t="str">
        <f>HYPERLINK("https://www.washoecounty.gov/assessor/cama/?command=sales&amp;parid=20417306","3957582")</f>
        <v>3957582</v>
      </c>
      <c r="H5834" t="s">
        <v>2666</v>
      </c>
      <c r="I5834">
        <v>1999</v>
      </c>
      <c r="J5834">
        <v>1999</v>
      </c>
      <c r="K5834" t="s">
        <v>4554</v>
      </c>
      <c r="L5834" t="s">
        <v>3974</v>
      </c>
      <c r="M5834" s="2">
        <v>2200</v>
      </c>
      <c r="N5834" t="s">
        <v>5280</v>
      </c>
      <c r="O5834">
        <v>4</v>
      </c>
      <c r="P5834">
        <v>3</v>
      </c>
      <c r="Q5834">
        <v>0</v>
      </c>
      <c r="R5834" t="s">
        <v>5281</v>
      </c>
      <c r="S5834" t="s">
        <v>4898</v>
      </c>
      <c r="T5834" t="s">
        <v>2704</v>
      </c>
      <c r="U5834" t="s">
        <v>5631</v>
      </c>
      <c r="V5834" s="2">
        <v>474</v>
      </c>
      <c r="W5834" t="s">
        <v>4655</v>
      </c>
      <c r="X5834" s="2">
        <v>0</v>
      </c>
      <c r="Y5834">
        <v>20</v>
      </c>
      <c r="Z5834" t="s">
        <v>4561</v>
      </c>
      <c r="AA5834" s="3">
        <v>0.15300734341144601</v>
      </c>
      <c r="AB5834" t="s">
        <v>28812</v>
      </c>
      <c r="AC5834" t="s">
        <v>4562</v>
      </c>
      <c r="AD5834" t="s">
        <v>28813</v>
      </c>
      <c r="AE5834" t="s">
        <v>4655</v>
      </c>
      <c r="AF5834" t="s">
        <v>18933</v>
      </c>
      <c r="AG5834" t="s">
        <v>4584</v>
      </c>
      <c r="AH5834" t="s">
        <v>5578</v>
      </c>
      <c r="AI5834" t="s">
        <v>28814</v>
      </c>
      <c r="AJ5834" t="s">
        <v>2667</v>
      </c>
      <c r="AK5834" t="s">
        <v>28815</v>
      </c>
      <c r="AL5834" s="13" t="s">
        <v>2255</v>
      </c>
      <c r="AM5834" s="14">
        <v>1</v>
      </c>
      <c r="AN5834" s="15" t="s">
        <v>383</v>
      </c>
    </row>
    <row r="5835" spans="1:40" x14ac:dyDescent="0.3">
      <c r="A5835" s="10" t="str">
        <f>HYPERLINK("http://www.washoecounty.gov/assessor/cama/?parid=204-173-25&amp;CardNumber=1","204-173-25")</f>
        <v>204-173-25</v>
      </c>
      <c r="B5835" t="s">
        <v>4655</v>
      </c>
      <c r="C5835" t="s">
        <v>28816</v>
      </c>
      <c r="D5835" s="1">
        <v>40421</v>
      </c>
      <c r="E5835" s="2">
        <v>215000</v>
      </c>
      <c r="F5835" t="s">
        <v>4567</v>
      </c>
      <c r="G5835" s="17" t="str">
        <f>HYPERLINK("https://www.washoecounty.gov/assessor/cama/?command=sales&amp;parid=20417325","3917642")</f>
        <v>3917642</v>
      </c>
      <c r="H5835" t="s">
        <v>4934</v>
      </c>
      <c r="I5835">
        <v>1998</v>
      </c>
      <c r="J5835">
        <v>1998</v>
      </c>
      <c r="K5835" t="s">
        <v>4554</v>
      </c>
      <c r="L5835" t="s">
        <v>3974</v>
      </c>
      <c r="M5835" s="2">
        <v>2142</v>
      </c>
      <c r="N5835" t="s">
        <v>5280</v>
      </c>
      <c r="O5835">
        <v>5</v>
      </c>
      <c r="P5835">
        <v>3</v>
      </c>
      <c r="Q5835">
        <v>0</v>
      </c>
      <c r="R5835" t="s">
        <v>4557</v>
      </c>
      <c r="S5835" t="s">
        <v>4558</v>
      </c>
      <c r="T5835" t="s">
        <v>2704</v>
      </c>
      <c r="U5835" t="s">
        <v>5631</v>
      </c>
      <c r="V5835" s="2">
        <v>507</v>
      </c>
      <c r="W5835" t="s">
        <v>4655</v>
      </c>
      <c r="X5835" s="2">
        <v>0</v>
      </c>
      <c r="Y5835">
        <v>20</v>
      </c>
      <c r="Z5835" t="s">
        <v>4561</v>
      </c>
      <c r="AA5835" s="3">
        <v>0.21400366723537401</v>
      </c>
      <c r="AB5835" t="s">
        <v>28817</v>
      </c>
      <c r="AC5835" t="s">
        <v>4562</v>
      </c>
      <c r="AD5835" t="s">
        <v>28816</v>
      </c>
      <c r="AE5835" t="s">
        <v>4655</v>
      </c>
      <c r="AF5835" t="s">
        <v>4563</v>
      </c>
      <c r="AG5835" t="s">
        <v>4564</v>
      </c>
      <c r="AH5835" t="s">
        <v>1147</v>
      </c>
      <c r="AI5835" t="s">
        <v>28818</v>
      </c>
      <c r="AJ5835" t="s">
        <v>2667</v>
      </c>
      <c r="AK5835" t="s">
        <v>28819</v>
      </c>
      <c r="AL5835" s="13" t="s">
        <v>2255</v>
      </c>
      <c r="AM5835" s="14">
        <v>1</v>
      </c>
      <c r="AN5835" s="15" t="s">
        <v>383</v>
      </c>
    </row>
    <row r="5836" spans="1:40" x14ac:dyDescent="0.3">
      <c r="A5836" s="10" t="str">
        <f>HYPERLINK("http://www.washoecounty.gov/assessor/cama/?parid=204-182-08&amp;CardNumber=1","204-182-08")</f>
        <v>204-182-08</v>
      </c>
      <c r="B5836" t="s">
        <v>4655</v>
      </c>
      <c r="C5836" t="s">
        <v>28820</v>
      </c>
      <c r="D5836" s="1">
        <v>40533</v>
      </c>
      <c r="E5836" s="2">
        <v>194000</v>
      </c>
      <c r="F5836" t="s">
        <v>4567</v>
      </c>
      <c r="G5836" s="17" t="str">
        <f>HYPERLINK("https://www.washoecounty.gov/assessor/cama/?command=sales&amp;parid=20418208","3955812")</f>
        <v>3955812</v>
      </c>
      <c r="H5836" t="s">
        <v>28821</v>
      </c>
      <c r="I5836">
        <v>1998</v>
      </c>
      <c r="J5836">
        <v>1998</v>
      </c>
      <c r="K5836" t="s">
        <v>4554</v>
      </c>
      <c r="L5836" t="s">
        <v>4555</v>
      </c>
      <c r="M5836" s="2">
        <v>1613</v>
      </c>
      <c r="N5836" t="s">
        <v>5280</v>
      </c>
      <c r="O5836">
        <v>4</v>
      </c>
      <c r="P5836">
        <v>2</v>
      </c>
      <c r="Q5836">
        <v>0</v>
      </c>
      <c r="R5836" t="s">
        <v>5281</v>
      </c>
      <c r="S5836" t="s">
        <v>4558</v>
      </c>
      <c r="T5836" t="s">
        <v>2704</v>
      </c>
      <c r="U5836" t="s">
        <v>4560</v>
      </c>
      <c r="V5836" s="2">
        <v>483</v>
      </c>
      <c r="W5836" t="s">
        <v>4655</v>
      </c>
      <c r="X5836" s="2">
        <v>0</v>
      </c>
      <c r="Y5836">
        <v>20</v>
      </c>
      <c r="Z5836" t="s">
        <v>4561</v>
      </c>
      <c r="AA5836" s="3">
        <v>0.14898990094661699</v>
      </c>
      <c r="AB5836" t="s">
        <v>28822</v>
      </c>
      <c r="AC5836" t="s">
        <v>4562</v>
      </c>
      <c r="AD5836" t="s">
        <v>28820</v>
      </c>
      <c r="AE5836" t="s">
        <v>4655</v>
      </c>
      <c r="AF5836" t="s">
        <v>4563</v>
      </c>
      <c r="AG5836" t="s">
        <v>4564</v>
      </c>
      <c r="AH5836" t="s">
        <v>1147</v>
      </c>
      <c r="AI5836" t="s">
        <v>28823</v>
      </c>
      <c r="AJ5836" t="s">
        <v>4962</v>
      </c>
      <c r="AK5836" t="s">
        <v>28824</v>
      </c>
      <c r="AL5836" s="13" t="s">
        <v>2255</v>
      </c>
      <c r="AM5836" s="14">
        <v>1</v>
      </c>
      <c r="AN5836" s="15" t="s">
        <v>383</v>
      </c>
    </row>
    <row r="5837" spans="1:40" x14ac:dyDescent="0.3">
      <c r="A5837" s="10" t="str">
        <f>HYPERLINK("http://www.washoecounty.gov/assessor/cama/?parid=204-183-09&amp;CardNumber=1","204-183-09")</f>
        <v>204-183-09</v>
      </c>
      <c r="B5837" t="s">
        <v>4655</v>
      </c>
      <c r="C5837" t="s">
        <v>28825</v>
      </c>
      <c r="D5837" s="1">
        <v>40542</v>
      </c>
      <c r="E5837" s="2">
        <v>155000</v>
      </c>
      <c r="F5837" t="s">
        <v>4567</v>
      </c>
      <c r="G5837" s="17" t="str">
        <f>HYPERLINK("https://www.washoecounty.gov/assessor/cama/?command=sales&amp;parid=20418309","3959254")</f>
        <v>3959254</v>
      </c>
      <c r="H5837" t="s">
        <v>28821</v>
      </c>
      <c r="I5837">
        <v>1998</v>
      </c>
      <c r="J5837">
        <v>1998</v>
      </c>
      <c r="K5837" t="s">
        <v>4554</v>
      </c>
      <c r="L5837" t="s">
        <v>4555</v>
      </c>
      <c r="M5837" s="2">
        <v>1488</v>
      </c>
      <c r="N5837" t="s">
        <v>5280</v>
      </c>
      <c r="O5837">
        <v>3</v>
      </c>
      <c r="P5837">
        <v>2</v>
      </c>
      <c r="Q5837">
        <v>0</v>
      </c>
      <c r="R5837" t="s">
        <v>4557</v>
      </c>
      <c r="S5837" t="s">
        <v>4558</v>
      </c>
      <c r="T5837" t="s">
        <v>2704</v>
      </c>
      <c r="U5837" t="s">
        <v>4560</v>
      </c>
      <c r="V5837" s="2">
        <v>432</v>
      </c>
      <c r="W5837" t="s">
        <v>4655</v>
      </c>
      <c r="X5837" s="2">
        <v>0</v>
      </c>
      <c r="Y5837">
        <v>20</v>
      </c>
      <c r="Z5837" t="s">
        <v>4561</v>
      </c>
      <c r="AA5837" s="3">
        <v>0.15599173307418801</v>
      </c>
      <c r="AB5837" t="s">
        <v>28826</v>
      </c>
      <c r="AC5837" t="s">
        <v>4562</v>
      </c>
      <c r="AD5837" t="s">
        <v>28825</v>
      </c>
      <c r="AE5837" t="s">
        <v>4655</v>
      </c>
      <c r="AF5837" t="s">
        <v>4563</v>
      </c>
      <c r="AG5837" t="s">
        <v>4564</v>
      </c>
      <c r="AH5837" t="s">
        <v>1147</v>
      </c>
      <c r="AI5837" t="s">
        <v>16351</v>
      </c>
      <c r="AJ5837" t="s">
        <v>4962</v>
      </c>
      <c r="AK5837" t="s">
        <v>28827</v>
      </c>
      <c r="AL5837" s="13" t="s">
        <v>2255</v>
      </c>
      <c r="AM5837">
        <v>1</v>
      </c>
      <c r="AN5837" s="15" t="s">
        <v>383</v>
      </c>
    </row>
    <row r="5838" spans="1:40" x14ac:dyDescent="0.3">
      <c r="A5838" s="10" t="str">
        <f>HYPERLINK("http://www.washoecounty.gov/assessor/cama/?parid=204-192-05&amp;CardNumber=1","204-192-05")</f>
        <v>204-192-05</v>
      </c>
      <c r="B5838" t="s">
        <v>4655</v>
      </c>
      <c r="C5838" t="s">
        <v>28828</v>
      </c>
      <c r="D5838" s="1">
        <v>40434</v>
      </c>
      <c r="E5838" s="2">
        <v>170000</v>
      </c>
      <c r="F5838" t="s">
        <v>4567</v>
      </c>
      <c r="G5838" s="17" t="str">
        <f>HYPERLINK("https://www.washoecounty.gov/assessor/cama/?command=sales&amp;parid=20419205","3921786")</f>
        <v>3921786</v>
      </c>
      <c r="H5838" t="s">
        <v>4860</v>
      </c>
      <c r="I5838">
        <v>1998</v>
      </c>
      <c r="J5838">
        <v>1998</v>
      </c>
      <c r="K5838" t="s">
        <v>4554</v>
      </c>
      <c r="L5838" t="s">
        <v>4555</v>
      </c>
      <c r="M5838" s="2">
        <v>1446</v>
      </c>
      <c r="N5838" t="s">
        <v>5280</v>
      </c>
      <c r="O5838">
        <v>3</v>
      </c>
      <c r="P5838">
        <v>2</v>
      </c>
      <c r="Q5838">
        <v>0</v>
      </c>
      <c r="R5838" t="s">
        <v>5281</v>
      </c>
      <c r="S5838" t="s">
        <v>4898</v>
      </c>
      <c r="T5838" t="s">
        <v>2704</v>
      </c>
      <c r="U5838" t="s">
        <v>4560</v>
      </c>
      <c r="V5838" s="2">
        <v>440</v>
      </c>
      <c r="W5838" t="s">
        <v>4655</v>
      </c>
      <c r="X5838" s="2">
        <v>0</v>
      </c>
      <c r="Y5838">
        <v>20</v>
      </c>
      <c r="Z5838" t="s">
        <v>4561</v>
      </c>
      <c r="AA5838" s="3">
        <v>0.301010102033615</v>
      </c>
      <c r="AB5838" t="s">
        <v>28829</v>
      </c>
      <c r="AC5838" t="s">
        <v>4575</v>
      </c>
      <c r="AD5838" t="s">
        <v>28830</v>
      </c>
      <c r="AE5838" t="s">
        <v>28828</v>
      </c>
      <c r="AF5838" t="s">
        <v>4563</v>
      </c>
      <c r="AG5838" t="s">
        <v>4564</v>
      </c>
      <c r="AH5838" t="s">
        <v>1147</v>
      </c>
      <c r="AI5838" t="s">
        <v>28831</v>
      </c>
      <c r="AJ5838" t="s">
        <v>28832</v>
      </c>
      <c r="AK5838" t="s">
        <v>28833</v>
      </c>
      <c r="AL5838" s="13" t="s">
        <v>2255</v>
      </c>
      <c r="AM5838">
        <v>1</v>
      </c>
      <c r="AN5838" s="15" t="s">
        <v>383</v>
      </c>
    </row>
    <row r="5839" spans="1:40" x14ac:dyDescent="0.3">
      <c r="A5839" s="10" t="str">
        <f>HYPERLINK("http://www.washoecounty.gov/assessor/cama/?parid=204-211-14&amp;CardNumber=1","204-211-14")</f>
        <v>204-211-14</v>
      </c>
      <c r="B5839" t="s">
        <v>4655</v>
      </c>
      <c r="C5839" t="s">
        <v>28834</v>
      </c>
      <c r="D5839" s="1">
        <v>40242</v>
      </c>
      <c r="E5839" s="2">
        <v>222000</v>
      </c>
      <c r="F5839" t="s">
        <v>4567</v>
      </c>
      <c r="G5839" s="17" t="str">
        <f>HYPERLINK("https://www.washoecounty.gov/assessor/cama/?command=sales&amp;parid=20421114","3856558")</f>
        <v>3856558</v>
      </c>
      <c r="H5839" t="s">
        <v>1332</v>
      </c>
      <c r="I5839">
        <v>1998</v>
      </c>
      <c r="J5839">
        <v>1998</v>
      </c>
      <c r="K5839" t="s">
        <v>4554</v>
      </c>
      <c r="L5839" t="s">
        <v>4555</v>
      </c>
      <c r="M5839" s="2">
        <v>1832</v>
      </c>
      <c r="N5839" t="s">
        <v>5280</v>
      </c>
      <c r="O5839">
        <v>3</v>
      </c>
      <c r="P5839">
        <v>2</v>
      </c>
      <c r="Q5839">
        <v>0</v>
      </c>
      <c r="R5839" t="s">
        <v>5281</v>
      </c>
      <c r="S5839" t="s">
        <v>4558</v>
      </c>
      <c r="T5839" t="s">
        <v>4559</v>
      </c>
      <c r="U5839" t="s">
        <v>4560</v>
      </c>
      <c r="V5839" s="2">
        <v>620</v>
      </c>
      <c r="W5839" t="s">
        <v>4655</v>
      </c>
      <c r="X5839" s="2">
        <v>0</v>
      </c>
      <c r="Y5839">
        <v>20</v>
      </c>
      <c r="Z5839" t="s">
        <v>4561</v>
      </c>
      <c r="AA5839" s="3">
        <v>0.21099632978439301</v>
      </c>
      <c r="AB5839" t="s">
        <v>28835</v>
      </c>
      <c r="AC5839" t="s">
        <v>4562</v>
      </c>
      <c r="AD5839" t="s">
        <v>28834</v>
      </c>
      <c r="AE5839" t="s">
        <v>4655</v>
      </c>
      <c r="AF5839" t="s">
        <v>4563</v>
      </c>
      <c r="AG5839" t="s">
        <v>4564</v>
      </c>
      <c r="AH5839" t="s">
        <v>1147</v>
      </c>
      <c r="AI5839" t="s">
        <v>28836</v>
      </c>
      <c r="AJ5839" t="s">
        <v>1333</v>
      </c>
      <c r="AK5839" t="s">
        <v>28837</v>
      </c>
      <c r="AL5839" s="13" t="s">
        <v>2255</v>
      </c>
      <c r="AM5839" s="14">
        <v>1</v>
      </c>
      <c r="AN5839" s="15" t="s">
        <v>383</v>
      </c>
    </row>
    <row r="5840" spans="1:40" x14ac:dyDescent="0.3">
      <c r="A5840" s="10" t="str">
        <f>HYPERLINK("http://www.washoecounty.gov/assessor/cama/?parid=204-211-17&amp;CardNumber=1","204-211-17")</f>
        <v>204-211-17</v>
      </c>
      <c r="B5840" t="s">
        <v>4655</v>
      </c>
      <c r="C5840" t="s">
        <v>28838</v>
      </c>
      <c r="D5840" s="1">
        <v>40487</v>
      </c>
      <c r="E5840" s="2">
        <v>169900</v>
      </c>
      <c r="F5840" t="s">
        <v>4567</v>
      </c>
      <c r="G5840" s="17" t="str">
        <f>HYPERLINK("https://www.washoecounty.gov/assessor/cama/?command=sales&amp;parid=20421117","3940347")</f>
        <v>3940347</v>
      </c>
      <c r="H5840" t="s">
        <v>1332</v>
      </c>
      <c r="I5840">
        <v>1998</v>
      </c>
      <c r="J5840">
        <v>1998</v>
      </c>
      <c r="K5840" t="s">
        <v>4554</v>
      </c>
      <c r="L5840" t="s">
        <v>4555</v>
      </c>
      <c r="M5840" s="2">
        <v>1645</v>
      </c>
      <c r="N5840" t="s">
        <v>5280</v>
      </c>
      <c r="O5840">
        <v>4</v>
      </c>
      <c r="P5840">
        <v>2</v>
      </c>
      <c r="Q5840">
        <v>0</v>
      </c>
      <c r="R5840" t="s">
        <v>4557</v>
      </c>
      <c r="S5840" t="s">
        <v>4558</v>
      </c>
      <c r="T5840" t="s">
        <v>4559</v>
      </c>
      <c r="U5840" t="s">
        <v>4560</v>
      </c>
      <c r="V5840" s="2">
        <v>406</v>
      </c>
      <c r="W5840" t="s">
        <v>4655</v>
      </c>
      <c r="X5840" s="2">
        <v>0</v>
      </c>
      <c r="Y5840">
        <v>20</v>
      </c>
      <c r="Z5840" t="s">
        <v>4561</v>
      </c>
      <c r="AA5840" s="3">
        <v>0.18999081850051899</v>
      </c>
      <c r="AB5840" t="s">
        <v>28839</v>
      </c>
      <c r="AC5840" t="s">
        <v>4575</v>
      </c>
      <c r="AD5840" t="s">
        <v>28838</v>
      </c>
      <c r="AE5840" t="s">
        <v>4655</v>
      </c>
      <c r="AF5840" t="s">
        <v>4563</v>
      </c>
      <c r="AG5840" t="s">
        <v>4564</v>
      </c>
      <c r="AH5840" t="s">
        <v>1147</v>
      </c>
      <c r="AI5840" t="s">
        <v>28840</v>
      </c>
      <c r="AJ5840" t="s">
        <v>1333</v>
      </c>
      <c r="AK5840" t="s">
        <v>28841</v>
      </c>
      <c r="AL5840" s="13" t="s">
        <v>2255</v>
      </c>
      <c r="AM5840" s="14">
        <v>1</v>
      </c>
      <c r="AN5840" s="15" t="s">
        <v>383</v>
      </c>
    </row>
    <row r="5841" spans="1:40" x14ac:dyDescent="0.3">
      <c r="A5841" s="10" t="str">
        <f>HYPERLINK("http://www.washoecounty.gov/assessor/cama/?parid=204-211-19&amp;CardNumber=1","204-211-19")</f>
        <v>204-211-19</v>
      </c>
      <c r="B5841" t="s">
        <v>4655</v>
      </c>
      <c r="C5841" t="s">
        <v>28842</v>
      </c>
      <c r="D5841" s="1">
        <v>40414</v>
      </c>
      <c r="E5841" s="2">
        <v>180000</v>
      </c>
      <c r="F5841" t="s">
        <v>4553</v>
      </c>
      <c r="G5841" s="17" t="str">
        <f>HYPERLINK("https://www.washoecounty.gov/assessor/cama/?command=sales&amp;parid=20421119","3915138")</f>
        <v>3915138</v>
      </c>
      <c r="H5841" t="s">
        <v>1332</v>
      </c>
      <c r="I5841">
        <v>1998</v>
      </c>
      <c r="J5841">
        <v>1998</v>
      </c>
      <c r="K5841" t="s">
        <v>4554</v>
      </c>
      <c r="L5841" t="s">
        <v>4555</v>
      </c>
      <c r="M5841" s="2">
        <v>1395</v>
      </c>
      <c r="N5841" t="s">
        <v>5280</v>
      </c>
      <c r="O5841">
        <v>3</v>
      </c>
      <c r="P5841">
        <v>2</v>
      </c>
      <c r="Q5841">
        <v>0</v>
      </c>
      <c r="R5841" t="s">
        <v>4557</v>
      </c>
      <c r="S5841" t="s">
        <v>4558</v>
      </c>
      <c r="T5841" t="s">
        <v>4559</v>
      </c>
      <c r="U5841" t="s">
        <v>4560</v>
      </c>
      <c r="V5841" s="2">
        <v>377</v>
      </c>
      <c r="W5841" t="s">
        <v>4655</v>
      </c>
      <c r="X5841" s="2">
        <v>0</v>
      </c>
      <c r="Y5841">
        <v>20</v>
      </c>
      <c r="Z5841" t="s">
        <v>4561</v>
      </c>
      <c r="AA5841" s="3">
        <v>0.22199265658855438</v>
      </c>
      <c r="AB5841" t="s">
        <v>28843</v>
      </c>
      <c r="AC5841" t="s">
        <v>4562</v>
      </c>
      <c r="AD5841" t="s">
        <v>28844</v>
      </c>
      <c r="AE5841" t="s">
        <v>4655</v>
      </c>
      <c r="AF5841" t="s">
        <v>4563</v>
      </c>
      <c r="AG5841" t="s">
        <v>4564</v>
      </c>
      <c r="AH5841" t="s">
        <v>1147</v>
      </c>
      <c r="AI5841" t="s">
        <v>4202</v>
      </c>
      <c r="AJ5841" t="s">
        <v>1333</v>
      </c>
      <c r="AK5841" t="s">
        <v>28845</v>
      </c>
      <c r="AL5841" s="13" t="s">
        <v>2255</v>
      </c>
      <c r="AM5841">
        <v>1</v>
      </c>
      <c r="AN5841" s="15" t="s">
        <v>383</v>
      </c>
    </row>
    <row r="5842" spans="1:40" x14ac:dyDescent="0.3">
      <c r="A5842" s="10" t="str">
        <f>HYPERLINK("http://www.washoecounty.gov/assessor/cama/?parid=204-212-03&amp;CardNumber=1","204-212-03")</f>
        <v>204-212-03</v>
      </c>
      <c r="B5842" t="s">
        <v>4655</v>
      </c>
      <c r="C5842" t="s">
        <v>28846</v>
      </c>
      <c r="D5842" s="1">
        <v>40466</v>
      </c>
      <c r="E5842" s="2">
        <v>160000</v>
      </c>
      <c r="F5842" t="s">
        <v>4567</v>
      </c>
      <c r="G5842" s="17" t="str">
        <f>HYPERLINK("https://www.washoecounty.gov/assessor/cama/?command=sales&amp;parid=20421203","3933523")</f>
        <v>3933523</v>
      </c>
      <c r="H5842" t="s">
        <v>1332</v>
      </c>
      <c r="I5842">
        <v>1999</v>
      </c>
      <c r="J5842">
        <v>1999</v>
      </c>
      <c r="K5842" t="s">
        <v>4554</v>
      </c>
      <c r="L5842" t="s">
        <v>4555</v>
      </c>
      <c r="M5842" s="2">
        <v>1645</v>
      </c>
      <c r="N5842" t="s">
        <v>5280</v>
      </c>
      <c r="O5842">
        <v>4</v>
      </c>
      <c r="P5842">
        <v>2</v>
      </c>
      <c r="Q5842">
        <v>0</v>
      </c>
      <c r="R5842" t="s">
        <v>4557</v>
      </c>
      <c r="S5842" t="s">
        <v>4558</v>
      </c>
      <c r="T5842" t="s">
        <v>4559</v>
      </c>
      <c r="U5842" t="s">
        <v>4560</v>
      </c>
      <c r="V5842" s="2">
        <v>406</v>
      </c>
      <c r="W5842" t="s">
        <v>4655</v>
      </c>
      <c r="X5842" s="2">
        <v>0</v>
      </c>
      <c r="Y5842">
        <v>20</v>
      </c>
      <c r="Z5842" t="s">
        <v>4561</v>
      </c>
      <c r="AA5842" s="3">
        <v>0.23900367319583901</v>
      </c>
      <c r="AB5842" t="s">
        <v>5882</v>
      </c>
      <c r="AC5842" t="s">
        <v>4575</v>
      </c>
      <c r="AD5842" t="s">
        <v>28847</v>
      </c>
      <c r="AE5842" t="s">
        <v>4655</v>
      </c>
      <c r="AF5842" t="s">
        <v>20543</v>
      </c>
      <c r="AG5842" t="s">
        <v>4209</v>
      </c>
      <c r="AH5842">
        <v>80401</v>
      </c>
      <c r="AI5842" t="s">
        <v>28848</v>
      </c>
      <c r="AJ5842" t="s">
        <v>1333</v>
      </c>
      <c r="AK5842" t="s">
        <v>28849</v>
      </c>
      <c r="AL5842" s="13" t="s">
        <v>2255</v>
      </c>
      <c r="AM5842">
        <v>1</v>
      </c>
      <c r="AN5842" s="15" t="s">
        <v>383</v>
      </c>
    </row>
    <row r="5843" spans="1:40" x14ac:dyDescent="0.3">
      <c r="A5843" s="10" t="str">
        <f>HYPERLINK("http://www.washoecounty.gov/assessor/cama/?parid=204-221-17&amp;CardNumber=1","204-221-17")</f>
        <v>204-221-17</v>
      </c>
      <c r="B5843" t="s">
        <v>4655</v>
      </c>
      <c r="C5843" t="s">
        <v>28850</v>
      </c>
      <c r="D5843" s="1">
        <v>40494</v>
      </c>
      <c r="E5843" s="2">
        <v>135000</v>
      </c>
      <c r="F5843" t="s">
        <v>4553</v>
      </c>
      <c r="G5843" s="17" t="str">
        <f>HYPERLINK("https://www.washoecounty.gov/assessor/cama/?command=sales&amp;parid=20422117","3942651")</f>
        <v>3942651</v>
      </c>
      <c r="H5843" t="s">
        <v>5313</v>
      </c>
      <c r="I5843">
        <v>1997</v>
      </c>
      <c r="J5843">
        <v>1997</v>
      </c>
      <c r="K5843" t="s">
        <v>4554</v>
      </c>
      <c r="L5843" t="s">
        <v>4555</v>
      </c>
      <c r="M5843" s="2">
        <v>1029</v>
      </c>
      <c r="N5843" t="s">
        <v>5280</v>
      </c>
      <c r="O5843">
        <v>2</v>
      </c>
      <c r="P5843">
        <v>2</v>
      </c>
      <c r="Q5843">
        <v>0</v>
      </c>
      <c r="R5843" t="s">
        <v>4557</v>
      </c>
      <c r="S5843" t="s">
        <v>4898</v>
      </c>
      <c r="T5843" t="s">
        <v>4559</v>
      </c>
      <c r="U5843" t="s">
        <v>4560</v>
      </c>
      <c r="V5843" s="2">
        <v>398</v>
      </c>
      <c r="W5843" t="s">
        <v>4655</v>
      </c>
      <c r="X5843" s="2">
        <v>0</v>
      </c>
      <c r="Y5843">
        <v>20</v>
      </c>
      <c r="Z5843" t="s">
        <v>4351</v>
      </c>
      <c r="AA5843" s="3">
        <v>6.4003676176071195E-2</v>
      </c>
      <c r="AB5843" t="s">
        <v>28851</v>
      </c>
      <c r="AC5843" t="s">
        <v>4562</v>
      </c>
      <c r="AD5843" t="s">
        <v>28852</v>
      </c>
      <c r="AE5843" t="s">
        <v>4655</v>
      </c>
      <c r="AF5843" t="s">
        <v>4563</v>
      </c>
      <c r="AG5843" t="s">
        <v>4564</v>
      </c>
      <c r="AH5843" t="s">
        <v>1147</v>
      </c>
      <c r="AI5843" t="s">
        <v>4284</v>
      </c>
      <c r="AJ5843" t="s">
        <v>5314</v>
      </c>
      <c r="AK5843" t="s">
        <v>28853</v>
      </c>
      <c r="AL5843" s="13" t="s">
        <v>2255</v>
      </c>
      <c r="AM5843">
        <v>1</v>
      </c>
      <c r="AN5843" s="15" t="s">
        <v>5315</v>
      </c>
    </row>
    <row r="5844" spans="1:40" x14ac:dyDescent="0.3">
      <c r="A5844" s="10" t="str">
        <f>HYPERLINK("http://www.washoecounty.gov/assessor/cama/?parid=204-221-26&amp;CardNumber=1","204-221-26")</f>
        <v>204-221-26</v>
      </c>
      <c r="B5844" t="s">
        <v>4655</v>
      </c>
      <c r="C5844" t="s">
        <v>28854</v>
      </c>
      <c r="D5844" s="1">
        <v>40330</v>
      </c>
      <c r="E5844" s="2">
        <v>183000</v>
      </c>
      <c r="F5844" t="s">
        <v>4567</v>
      </c>
      <c r="G5844" s="17" t="str">
        <f>HYPERLINK("https://www.washoecounty.gov/assessor/cama/?command=sales&amp;parid=20422126","3887219")</f>
        <v>3887219</v>
      </c>
      <c r="H5844" t="s">
        <v>5313</v>
      </c>
      <c r="I5844">
        <v>1997</v>
      </c>
      <c r="J5844">
        <v>1997</v>
      </c>
      <c r="K5844" t="s">
        <v>4554</v>
      </c>
      <c r="L5844" t="s">
        <v>3974</v>
      </c>
      <c r="M5844" s="2">
        <v>1355</v>
      </c>
      <c r="N5844" t="s">
        <v>5280</v>
      </c>
      <c r="O5844">
        <v>3</v>
      </c>
      <c r="P5844">
        <v>2</v>
      </c>
      <c r="Q5844">
        <v>1</v>
      </c>
      <c r="R5844" t="s">
        <v>5281</v>
      </c>
      <c r="S5844" t="s">
        <v>4898</v>
      </c>
      <c r="T5844" t="s">
        <v>4559</v>
      </c>
      <c r="U5844" t="s">
        <v>5631</v>
      </c>
      <c r="V5844" s="2">
        <v>440</v>
      </c>
      <c r="W5844" t="s">
        <v>4655</v>
      </c>
      <c r="X5844" s="2">
        <v>0</v>
      </c>
      <c r="Y5844">
        <v>20</v>
      </c>
      <c r="Z5844" t="s">
        <v>4351</v>
      </c>
      <c r="AA5844" s="3">
        <v>8.0991737544536604E-2</v>
      </c>
      <c r="AB5844" t="s">
        <v>28855</v>
      </c>
      <c r="AC5844" t="s">
        <v>4575</v>
      </c>
      <c r="AD5844" t="s">
        <v>28856</v>
      </c>
      <c r="AE5844" t="s">
        <v>28857</v>
      </c>
      <c r="AF5844" t="s">
        <v>4563</v>
      </c>
      <c r="AG5844" t="s">
        <v>4564</v>
      </c>
      <c r="AH5844" t="s">
        <v>1147</v>
      </c>
      <c r="AI5844" t="s">
        <v>28858</v>
      </c>
      <c r="AJ5844" t="s">
        <v>5314</v>
      </c>
      <c r="AK5844" t="s">
        <v>28859</v>
      </c>
      <c r="AL5844" s="13" t="s">
        <v>2255</v>
      </c>
      <c r="AM5844" s="14">
        <v>1</v>
      </c>
      <c r="AN5844" s="15" t="s">
        <v>5315</v>
      </c>
    </row>
    <row r="5845" spans="1:40" x14ac:dyDescent="0.3">
      <c r="A5845" s="10" t="str">
        <f>HYPERLINK("http://www.washoecounty.gov/assessor/cama/?parid=204-221-30&amp;CardNumber=1","204-221-30")</f>
        <v>204-221-30</v>
      </c>
      <c r="B5845" t="s">
        <v>4655</v>
      </c>
      <c r="C5845" t="s">
        <v>28860</v>
      </c>
      <c r="D5845" s="1">
        <v>40204</v>
      </c>
      <c r="E5845" s="2">
        <v>185000</v>
      </c>
      <c r="F5845" t="s">
        <v>4567</v>
      </c>
      <c r="G5845" s="17" t="str">
        <f>HYPERLINK("https://www.washoecounty.gov/assessor/cama/?command=sales&amp;parid=20422130","3842799")</f>
        <v>3842799</v>
      </c>
      <c r="H5845" t="s">
        <v>5313</v>
      </c>
      <c r="I5845">
        <v>1997</v>
      </c>
      <c r="J5845">
        <v>1997</v>
      </c>
      <c r="K5845" t="s">
        <v>4554</v>
      </c>
      <c r="L5845" t="s">
        <v>3974</v>
      </c>
      <c r="M5845" s="2">
        <v>1711</v>
      </c>
      <c r="N5845" t="s">
        <v>5280</v>
      </c>
      <c r="O5845">
        <v>3</v>
      </c>
      <c r="P5845">
        <v>2</v>
      </c>
      <c r="Q5845">
        <v>1</v>
      </c>
      <c r="R5845" t="s">
        <v>5281</v>
      </c>
      <c r="S5845" t="s">
        <v>4898</v>
      </c>
      <c r="T5845" t="s">
        <v>4559</v>
      </c>
      <c r="U5845" t="s">
        <v>5631</v>
      </c>
      <c r="V5845" s="2">
        <v>426</v>
      </c>
      <c r="W5845" t="s">
        <v>4655</v>
      </c>
      <c r="X5845" s="2">
        <v>0</v>
      </c>
      <c r="Y5845">
        <v>20</v>
      </c>
      <c r="Z5845" t="s">
        <v>4351</v>
      </c>
      <c r="AA5845" s="3">
        <v>6.2993571162223802E-2</v>
      </c>
      <c r="AB5845" t="s">
        <v>28861</v>
      </c>
      <c r="AC5845" t="s">
        <v>4562</v>
      </c>
      <c r="AD5845" t="s">
        <v>28862</v>
      </c>
      <c r="AE5845" t="s">
        <v>4655</v>
      </c>
      <c r="AF5845" t="s">
        <v>3114</v>
      </c>
      <c r="AG5845" t="s">
        <v>4564</v>
      </c>
      <c r="AH5845" t="s">
        <v>1147</v>
      </c>
      <c r="AI5845" t="s">
        <v>28863</v>
      </c>
      <c r="AJ5845" t="s">
        <v>5314</v>
      </c>
      <c r="AK5845" t="s">
        <v>28864</v>
      </c>
      <c r="AL5845" s="13" t="s">
        <v>2255</v>
      </c>
      <c r="AM5845">
        <v>1</v>
      </c>
      <c r="AN5845" s="15" t="s">
        <v>5315</v>
      </c>
    </row>
    <row r="5846" spans="1:40" x14ac:dyDescent="0.3">
      <c r="A5846" s="10" t="str">
        <f>HYPERLINK("http://www.washoecounty.gov/assessor/cama/?parid=204-240-19&amp;CardNumber=1","204-240-19")</f>
        <v>204-240-19</v>
      </c>
      <c r="B5846" t="s">
        <v>4655</v>
      </c>
      <c r="C5846" t="s">
        <v>28865</v>
      </c>
      <c r="D5846" s="1">
        <v>40330</v>
      </c>
      <c r="E5846" s="2">
        <v>239000</v>
      </c>
      <c r="F5846" t="s">
        <v>4567</v>
      </c>
      <c r="G5846" s="17" t="str">
        <f>HYPERLINK("https://www.washoecounty.gov/assessor/cama/?command=sales&amp;parid=20424019","3887189")</f>
        <v>3887189</v>
      </c>
      <c r="H5846" t="s">
        <v>28866</v>
      </c>
      <c r="I5846">
        <v>1998</v>
      </c>
      <c r="J5846">
        <v>1998</v>
      </c>
      <c r="K5846" t="s">
        <v>4554</v>
      </c>
      <c r="L5846" t="s">
        <v>4555</v>
      </c>
      <c r="M5846" s="2">
        <v>1877</v>
      </c>
      <c r="N5846" t="s">
        <v>4048</v>
      </c>
      <c r="O5846">
        <v>3</v>
      </c>
      <c r="P5846">
        <v>2</v>
      </c>
      <c r="Q5846">
        <v>0</v>
      </c>
      <c r="R5846" t="s">
        <v>4557</v>
      </c>
      <c r="S5846" t="s">
        <v>4558</v>
      </c>
      <c r="T5846" t="s">
        <v>4559</v>
      </c>
      <c r="U5846" t="s">
        <v>4560</v>
      </c>
      <c r="V5846" s="2">
        <v>448</v>
      </c>
      <c r="W5846" t="s">
        <v>4655</v>
      </c>
      <c r="X5846" s="2">
        <v>0</v>
      </c>
      <c r="Y5846">
        <v>20</v>
      </c>
      <c r="Z5846" t="s">
        <v>4561</v>
      </c>
      <c r="AA5846" s="3">
        <v>0.30530303716659501</v>
      </c>
      <c r="AB5846" t="s">
        <v>28867</v>
      </c>
      <c r="AC5846" t="s">
        <v>4562</v>
      </c>
      <c r="AD5846" t="s">
        <v>28865</v>
      </c>
      <c r="AE5846" t="s">
        <v>4655</v>
      </c>
      <c r="AF5846" t="s">
        <v>4563</v>
      </c>
      <c r="AG5846" t="s">
        <v>4564</v>
      </c>
      <c r="AH5846">
        <v>89503</v>
      </c>
      <c r="AI5846" t="s">
        <v>28868</v>
      </c>
      <c r="AJ5846" t="s">
        <v>28869</v>
      </c>
      <c r="AK5846" t="s">
        <v>28870</v>
      </c>
      <c r="AL5846" s="13" t="s">
        <v>2255</v>
      </c>
      <c r="AM5846">
        <v>1</v>
      </c>
      <c r="AN5846" s="15" t="s">
        <v>2353</v>
      </c>
    </row>
    <row r="5847" spans="1:40" x14ac:dyDescent="0.3">
      <c r="A5847" s="10" t="str">
        <f>HYPERLINK("http://www.washoecounty.gov/assessor/cama/?parid=204-261-01&amp;CardNumber=1","204-261-01")</f>
        <v>204-261-01</v>
      </c>
      <c r="B5847" t="s">
        <v>4655</v>
      </c>
      <c r="C5847" t="s">
        <v>28871</v>
      </c>
      <c r="D5847" s="1">
        <v>40298</v>
      </c>
      <c r="E5847" s="2">
        <v>272000</v>
      </c>
      <c r="F5847" t="s">
        <v>4567</v>
      </c>
      <c r="G5847" s="17" t="str">
        <f>HYPERLINK("https://www.washoecounty.gov/assessor/cama/?command=sales&amp;parid=20426101","3876816")</f>
        <v>3876816</v>
      </c>
      <c r="H5847" t="s">
        <v>28872</v>
      </c>
      <c r="I5847">
        <v>1999</v>
      </c>
      <c r="J5847">
        <v>1999</v>
      </c>
      <c r="K5847" t="s">
        <v>4554</v>
      </c>
      <c r="L5847" t="s">
        <v>3974</v>
      </c>
      <c r="M5847" s="2">
        <v>2707</v>
      </c>
      <c r="N5847" t="s">
        <v>5280</v>
      </c>
      <c r="O5847">
        <v>4</v>
      </c>
      <c r="P5847">
        <v>2</v>
      </c>
      <c r="Q5847">
        <v>1</v>
      </c>
      <c r="R5847" t="s">
        <v>5281</v>
      </c>
      <c r="S5847" t="s">
        <v>4898</v>
      </c>
      <c r="T5847" t="s">
        <v>2704</v>
      </c>
      <c r="U5847" t="s">
        <v>5631</v>
      </c>
      <c r="V5847" s="2">
        <v>445</v>
      </c>
      <c r="W5847" t="s">
        <v>4655</v>
      </c>
      <c r="X5847" s="2">
        <v>0</v>
      </c>
      <c r="Y5847">
        <v>20</v>
      </c>
      <c r="Z5847" t="s">
        <v>4561</v>
      </c>
      <c r="AA5847" s="3">
        <v>0.14201101660728499</v>
      </c>
      <c r="AB5847" t="s">
        <v>28873</v>
      </c>
      <c r="AC5847" t="s">
        <v>4562</v>
      </c>
      <c r="AD5847" t="s">
        <v>28874</v>
      </c>
      <c r="AE5847" t="s">
        <v>4655</v>
      </c>
      <c r="AF5847" t="s">
        <v>4563</v>
      </c>
      <c r="AG5847" t="s">
        <v>4564</v>
      </c>
      <c r="AH5847" t="s">
        <v>1147</v>
      </c>
      <c r="AI5847" t="s">
        <v>28875</v>
      </c>
      <c r="AJ5847" t="s">
        <v>28876</v>
      </c>
      <c r="AK5847" t="s">
        <v>28877</v>
      </c>
      <c r="AL5847" s="13" t="s">
        <v>2255</v>
      </c>
      <c r="AM5847">
        <v>1</v>
      </c>
      <c r="AN5847" s="15" t="s">
        <v>383</v>
      </c>
    </row>
    <row r="5848" spans="1:40" x14ac:dyDescent="0.3">
      <c r="A5848" s="10" t="str">
        <f>HYPERLINK("http://www.washoecounty.gov/assessor/cama/?parid=204-271-22&amp;CardNumber=1","204-271-22")</f>
        <v>204-271-22</v>
      </c>
      <c r="B5848" t="s">
        <v>4655</v>
      </c>
      <c r="C5848" t="s">
        <v>28878</v>
      </c>
      <c r="D5848" s="1">
        <v>40315</v>
      </c>
      <c r="E5848" s="2">
        <v>295000</v>
      </c>
      <c r="F5848" t="s">
        <v>4567</v>
      </c>
      <c r="G5848" s="17" t="str">
        <f>HYPERLINK("https://www.washoecounty.gov/assessor/cama/?command=sales&amp;parid=20427122","3881961")</f>
        <v>3881961</v>
      </c>
      <c r="H5848" t="s">
        <v>2553</v>
      </c>
      <c r="I5848">
        <v>1998</v>
      </c>
      <c r="J5848">
        <v>1998</v>
      </c>
      <c r="K5848" t="s">
        <v>4554</v>
      </c>
      <c r="L5848" t="s">
        <v>3974</v>
      </c>
      <c r="M5848" s="2">
        <v>2707</v>
      </c>
      <c r="N5848" t="s">
        <v>5280</v>
      </c>
      <c r="O5848">
        <v>4</v>
      </c>
      <c r="P5848">
        <v>2</v>
      </c>
      <c r="Q5848">
        <v>1</v>
      </c>
      <c r="R5848" t="s">
        <v>4557</v>
      </c>
      <c r="S5848" t="s">
        <v>4898</v>
      </c>
      <c r="T5848" t="s">
        <v>2704</v>
      </c>
      <c r="U5848" t="s">
        <v>5631</v>
      </c>
      <c r="V5848" s="2">
        <v>445</v>
      </c>
      <c r="W5848" t="s">
        <v>4655</v>
      </c>
      <c r="X5848" s="2">
        <v>0</v>
      </c>
      <c r="Y5848">
        <v>20</v>
      </c>
      <c r="Z5848" t="s">
        <v>4561</v>
      </c>
      <c r="AA5848" s="3">
        <v>0.23900367319583901</v>
      </c>
      <c r="AB5848" t="s">
        <v>28879</v>
      </c>
      <c r="AC5848" t="s">
        <v>4562</v>
      </c>
      <c r="AD5848" t="s">
        <v>28878</v>
      </c>
      <c r="AE5848" t="s">
        <v>4655</v>
      </c>
      <c r="AF5848" t="s">
        <v>4563</v>
      </c>
      <c r="AG5848" t="s">
        <v>4564</v>
      </c>
      <c r="AH5848" t="s">
        <v>1147</v>
      </c>
      <c r="AI5848" t="s">
        <v>28880</v>
      </c>
      <c r="AJ5848" t="s">
        <v>28881</v>
      </c>
      <c r="AK5848" t="s">
        <v>28882</v>
      </c>
      <c r="AL5848" s="13" t="s">
        <v>2255</v>
      </c>
      <c r="AM5848">
        <v>1</v>
      </c>
      <c r="AN5848" s="15" t="s">
        <v>383</v>
      </c>
    </row>
    <row r="5849" spans="1:40" x14ac:dyDescent="0.3">
      <c r="A5849" s="10" t="str">
        <f>HYPERLINK("http://www.washoecounty.gov/assessor/cama/?parid=204-280-12&amp;CardNumber=1","204-280-12")</f>
        <v>204-280-12</v>
      </c>
      <c r="B5849" t="s">
        <v>4655</v>
      </c>
      <c r="C5849" t="s">
        <v>28883</v>
      </c>
      <c r="D5849" s="1">
        <v>40451</v>
      </c>
      <c r="E5849" s="2">
        <v>175000</v>
      </c>
      <c r="F5849" t="s">
        <v>4567</v>
      </c>
      <c r="G5849" s="17" t="str">
        <f>HYPERLINK("https://www.washoecounty.gov/assessor/cama/?command=sales&amp;parid=20428012","3928326")</f>
        <v>3928326</v>
      </c>
      <c r="H5849" t="s">
        <v>1864</v>
      </c>
      <c r="I5849">
        <v>1998</v>
      </c>
      <c r="J5849">
        <v>1998</v>
      </c>
      <c r="K5849" t="s">
        <v>4554</v>
      </c>
      <c r="L5849" t="s">
        <v>3974</v>
      </c>
      <c r="M5849" s="2">
        <v>1722</v>
      </c>
      <c r="N5849" t="s">
        <v>5280</v>
      </c>
      <c r="O5849">
        <v>3</v>
      </c>
      <c r="P5849">
        <v>2</v>
      </c>
      <c r="Q5849">
        <v>1</v>
      </c>
      <c r="R5849" t="s">
        <v>4557</v>
      </c>
      <c r="S5849" t="s">
        <v>4898</v>
      </c>
      <c r="T5849" t="s">
        <v>4559</v>
      </c>
      <c r="U5849" t="s">
        <v>5631</v>
      </c>
      <c r="V5849" s="2">
        <v>445</v>
      </c>
      <c r="W5849" t="s">
        <v>4655</v>
      </c>
      <c r="X5849" s="2">
        <v>0</v>
      </c>
      <c r="Y5849">
        <v>20</v>
      </c>
      <c r="Z5849" t="s">
        <v>4351</v>
      </c>
      <c r="AA5849" s="3">
        <v>6.4990818500518799E-2</v>
      </c>
      <c r="AB5849" t="s">
        <v>28884</v>
      </c>
      <c r="AC5849" t="s">
        <v>4575</v>
      </c>
      <c r="AD5849" t="s">
        <v>28885</v>
      </c>
      <c r="AE5849" t="s">
        <v>28886</v>
      </c>
      <c r="AF5849" t="s">
        <v>4563</v>
      </c>
      <c r="AG5849" t="s">
        <v>4564</v>
      </c>
      <c r="AH5849" t="s">
        <v>1147</v>
      </c>
      <c r="AI5849" t="s">
        <v>4655</v>
      </c>
      <c r="AJ5849" t="s">
        <v>1865</v>
      </c>
      <c r="AK5849" t="s">
        <v>28887</v>
      </c>
      <c r="AL5849" s="13" t="s">
        <v>2255</v>
      </c>
      <c r="AM5849">
        <v>1</v>
      </c>
      <c r="AN5849" s="15" t="s">
        <v>5315</v>
      </c>
    </row>
    <row r="5850" spans="1:40" x14ac:dyDescent="0.3">
      <c r="A5850" s="10" t="str">
        <f>HYPERLINK("http://www.washoecounty.gov/assessor/cama/?parid=204-290-10&amp;CardNumber=1","204-290-10")</f>
        <v>204-290-10</v>
      </c>
      <c r="B5850" t="s">
        <v>4655</v>
      </c>
      <c r="C5850" t="s">
        <v>28888</v>
      </c>
      <c r="D5850" s="1">
        <v>40312</v>
      </c>
      <c r="E5850" s="2">
        <v>175000</v>
      </c>
      <c r="F5850" t="s">
        <v>4567</v>
      </c>
      <c r="G5850" s="17" t="str">
        <f>HYPERLINK("https://www.washoecounty.gov/assessor/cama/?command=sales&amp;parid=20429010","3881866")</f>
        <v>3881866</v>
      </c>
      <c r="H5850" t="s">
        <v>1864</v>
      </c>
      <c r="I5850">
        <v>1999</v>
      </c>
      <c r="J5850">
        <v>1999</v>
      </c>
      <c r="K5850" t="s">
        <v>4554</v>
      </c>
      <c r="L5850" t="s">
        <v>3974</v>
      </c>
      <c r="M5850" s="2">
        <v>1322</v>
      </c>
      <c r="N5850" t="s">
        <v>5280</v>
      </c>
      <c r="O5850">
        <v>3</v>
      </c>
      <c r="P5850">
        <v>2</v>
      </c>
      <c r="Q5850">
        <v>1</v>
      </c>
      <c r="R5850" t="s">
        <v>4557</v>
      </c>
      <c r="S5850" t="s">
        <v>4898</v>
      </c>
      <c r="T5850" t="s">
        <v>4559</v>
      </c>
      <c r="U5850" t="s">
        <v>5631</v>
      </c>
      <c r="V5850" s="2">
        <v>440</v>
      </c>
      <c r="W5850" t="s">
        <v>4655</v>
      </c>
      <c r="X5850" s="2">
        <v>0</v>
      </c>
      <c r="Y5850">
        <v>20</v>
      </c>
      <c r="Z5850" t="s">
        <v>4351</v>
      </c>
      <c r="AA5850" s="3">
        <v>7.1992650628089905E-2</v>
      </c>
      <c r="AB5850" t="s">
        <v>28889</v>
      </c>
      <c r="AC5850" t="s">
        <v>4575</v>
      </c>
      <c r="AD5850" t="s">
        <v>28890</v>
      </c>
      <c r="AE5850" t="s">
        <v>4655</v>
      </c>
      <c r="AF5850" t="s">
        <v>4563</v>
      </c>
      <c r="AG5850" t="s">
        <v>4564</v>
      </c>
      <c r="AH5850" t="s">
        <v>1147</v>
      </c>
      <c r="AI5850" t="s">
        <v>28891</v>
      </c>
      <c r="AJ5850" t="s">
        <v>1865</v>
      </c>
      <c r="AK5850" t="s">
        <v>28892</v>
      </c>
      <c r="AL5850" s="13" t="s">
        <v>2255</v>
      </c>
      <c r="AM5850">
        <v>1</v>
      </c>
      <c r="AN5850" s="15" t="s">
        <v>5315</v>
      </c>
    </row>
    <row r="5851" spans="1:40" x14ac:dyDescent="0.3">
      <c r="A5851" s="10" t="str">
        <f>HYPERLINK("http://www.washoecounty.gov/assessor/cama/?parid=204-290-15&amp;CardNumber=1","204-290-15")</f>
        <v>204-290-15</v>
      </c>
      <c r="B5851" t="s">
        <v>4655</v>
      </c>
      <c r="C5851" t="s">
        <v>28893</v>
      </c>
      <c r="D5851" s="1">
        <v>40424</v>
      </c>
      <c r="E5851" s="2">
        <v>164500</v>
      </c>
      <c r="F5851" t="s">
        <v>4567</v>
      </c>
      <c r="G5851" s="17" t="str">
        <f>HYPERLINK("https://www.washoecounty.gov/assessor/cama/?command=sales&amp;parid=20429015","3918723")</f>
        <v>3918723</v>
      </c>
      <c r="H5851" t="s">
        <v>1864</v>
      </c>
      <c r="I5851">
        <v>1999</v>
      </c>
      <c r="J5851">
        <v>1999</v>
      </c>
      <c r="K5851" t="s">
        <v>4554</v>
      </c>
      <c r="L5851" t="s">
        <v>3974</v>
      </c>
      <c r="M5851" s="2">
        <v>1592</v>
      </c>
      <c r="N5851" t="s">
        <v>5280</v>
      </c>
      <c r="O5851">
        <v>3</v>
      </c>
      <c r="P5851">
        <v>2</v>
      </c>
      <c r="Q5851">
        <v>1</v>
      </c>
      <c r="R5851" t="s">
        <v>5281</v>
      </c>
      <c r="S5851" t="s">
        <v>4898</v>
      </c>
      <c r="T5851" t="s">
        <v>4559</v>
      </c>
      <c r="U5851" t="s">
        <v>5631</v>
      </c>
      <c r="V5851" s="2">
        <v>444</v>
      </c>
      <c r="W5851" t="s">
        <v>4655</v>
      </c>
      <c r="X5851" s="2">
        <v>0</v>
      </c>
      <c r="Y5851">
        <v>20</v>
      </c>
      <c r="Z5851" t="s">
        <v>4351</v>
      </c>
      <c r="AA5851" s="3">
        <v>4.8002753406763098E-2</v>
      </c>
      <c r="AB5851" t="s">
        <v>28894</v>
      </c>
      <c r="AC5851" t="s">
        <v>4562</v>
      </c>
      <c r="AD5851" t="s">
        <v>28895</v>
      </c>
      <c r="AE5851" t="s">
        <v>4655</v>
      </c>
      <c r="AF5851" t="s">
        <v>4563</v>
      </c>
      <c r="AG5851" t="s">
        <v>4564</v>
      </c>
      <c r="AH5851" t="s">
        <v>1147</v>
      </c>
      <c r="AI5851" t="s">
        <v>28896</v>
      </c>
      <c r="AJ5851" t="s">
        <v>1865</v>
      </c>
      <c r="AK5851" t="s">
        <v>28897</v>
      </c>
      <c r="AL5851" s="13" t="s">
        <v>2255</v>
      </c>
      <c r="AM5851">
        <v>1</v>
      </c>
      <c r="AN5851" s="15" t="s">
        <v>5315</v>
      </c>
    </row>
    <row r="5852" spans="1:40" x14ac:dyDescent="0.3">
      <c r="A5852" s="10" t="str">
        <f>HYPERLINK("http://www.washoecounty.gov/assessor/cama/?parid=204-311-05&amp;CardNumber=1","204-311-05")</f>
        <v>204-311-05</v>
      </c>
      <c r="B5852" t="s">
        <v>4655</v>
      </c>
      <c r="C5852" t="s">
        <v>28898</v>
      </c>
      <c r="D5852" s="1">
        <v>40366</v>
      </c>
      <c r="E5852" s="2">
        <v>255000</v>
      </c>
      <c r="F5852" t="s">
        <v>4567</v>
      </c>
      <c r="G5852" s="17" t="str">
        <f>HYPERLINK("https://www.washoecounty.gov/assessor/cama/?command=sales&amp;parid=20431105","3899050")</f>
        <v>3899050</v>
      </c>
      <c r="H5852" t="s">
        <v>2532</v>
      </c>
      <c r="I5852">
        <v>1999</v>
      </c>
      <c r="J5852">
        <v>1999</v>
      </c>
      <c r="K5852" t="s">
        <v>4554</v>
      </c>
      <c r="L5852" t="s">
        <v>3974</v>
      </c>
      <c r="M5852" s="2">
        <v>2404</v>
      </c>
      <c r="N5852" t="s">
        <v>5280</v>
      </c>
      <c r="O5852">
        <v>4</v>
      </c>
      <c r="P5852">
        <v>3</v>
      </c>
      <c r="Q5852">
        <v>0</v>
      </c>
      <c r="R5852" t="s">
        <v>5281</v>
      </c>
      <c r="S5852" t="s">
        <v>4558</v>
      </c>
      <c r="T5852" t="s">
        <v>4559</v>
      </c>
      <c r="U5852" t="s">
        <v>5631</v>
      </c>
      <c r="V5852" s="2">
        <v>418</v>
      </c>
      <c r="W5852" t="s">
        <v>4655</v>
      </c>
      <c r="X5852" s="2">
        <v>0</v>
      </c>
      <c r="Y5852">
        <v>20</v>
      </c>
      <c r="Z5852" t="s">
        <v>4561</v>
      </c>
      <c r="AA5852" s="3">
        <v>0.17040863633155801</v>
      </c>
      <c r="AB5852" t="s">
        <v>28899</v>
      </c>
      <c r="AC5852" t="s">
        <v>4562</v>
      </c>
      <c r="AD5852" t="s">
        <v>28900</v>
      </c>
      <c r="AE5852" t="s">
        <v>4655</v>
      </c>
      <c r="AF5852" t="s">
        <v>4563</v>
      </c>
      <c r="AG5852" t="s">
        <v>4564</v>
      </c>
      <c r="AH5852" t="s">
        <v>1147</v>
      </c>
      <c r="AI5852" t="s">
        <v>28901</v>
      </c>
      <c r="AJ5852" t="s">
        <v>28902</v>
      </c>
      <c r="AK5852" t="s">
        <v>28903</v>
      </c>
      <c r="AL5852" s="13" t="s">
        <v>2255</v>
      </c>
      <c r="AM5852">
        <v>1</v>
      </c>
      <c r="AN5852" s="15" t="s">
        <v>383</v>
      </c>
    </row>
    <row r="5853" spans="1:40" x14ac:dyDescent="0.3">
      <c r="A5853" s="10" t="str">
        <f>HYPERLINK("http://www.washoecounty.gov/assessor/cama/?parid=204-311-08&amp;CardNumber=1","204-311-08")</f>
        <v>204-311-08</v>
      </c>
      <c r="B5853" t="s">
        <v>4655</v>
      </c>
      <c r="C5853" t="s">
        <v>28904</v>
      </c>
      <c r="D5853" s="1">
        <v>40326</v>
      </c>
      <c r="E5853" s="2">
        <v>160000</v>
      </c>
      <c r="F5853" t="s">
        <v>4567</v>
      </c>
      <c r="G5853" s="17" t="str">
        <f>HYPERLINK("https://www.washoecounty.gov/assessor/cama/?command=sales&amp;parid=20431108","3886749")</f>
        <v>3886749</v>
      </c>
      <c r="H5853" t="s">
        <v>2532</v>
      </c>
      <c r="I5853">
        <v>1999</v>
      </c>
      <c r="J5853">
        <v>1999</v>
      </c>
      <c r="K5853" t="s">
        <v>4554</v>
      </c>
      <c r="L5853" t="s">
        <v>4555</v>
      </c>
      <c r="M5853" s="2">
        <v>1645</v>
      </c>
      <c r="N5853" t="s">
        <v>5280</v>
      </c>
      <c r="O5853">
        <v>4</v>
      </c>
      <c r="P5853">
        <v>2</v>
      </c>
      <c r="Q5853">
        <v>0</v>
      </c>
      <c r="R5853" t="s">
        <v>4557</v>
      </c>
      <c r="S5853" t="s">
        <v>4558</v>
      </c>
      <c r="T5853" t="s">
        <v>4559</v>
      </c>
      <c r="U5853" t="s">
        <v>4560</v>
      </c>
      <c r="V5853" s="2">
        <v>406</v>
      </c>
      <c r="W5853" t="s">
        <v>4655</v>
      </c>
      <c r="X5853" s="2">
        <v>0</v>
      </c>
      <c r="Y5853">
        <v>20</v>
      </c>
      <c r="Z5853" t="s">
        <v>4561</v>
      </c>
      <c r="AA5853" s="3">
        <v>0.22419650852680201</v>
      </c>
      <c r="AB5853" t="s">
        <v>28905</v>
      </c>
      <c r="AC5853" t="s">
        <v>4575</v>
      </c>
      <c r="AD5853" t="s">
        <v>28906</v>
      </c>
      <c r="AE5853" t="s">
        <v>4655</v>
      </c>
      <c r="AF5853" t="s">
        <v>4563</v>
      </c>
      <c r="AG5853" t="s">
        <v>5529</v>
      </c>
      <c r="AH5853">
        <v>89511</v>
      </c>
      <c r="AI5853" t="s">
        <v>28907</v>
      </c>
      <c r="AJ5853" t="s">
        <v>28908</v>
      </c>
      <c r="AK5853" t="s">
        <v>28909</v>
      </c>
      <c r="AL5853" s="13" t="s">
        <v>2255</v>
      </c>
      <c r="AM5853">
        <v>1</v>
      </c>
      <c r="AN5853" s="15" t="s">
        <v>383</v>
      </c>
    </row>
    <row r="5854" spans="1:40" x14ac:dyDescent="0.3">
      <c r="A5854" s="10" t="str">
        <f>HYPERLINK("http://www.washoecounty.gov/assessor/cama/?parid=204-330-06&amp;CardNumber=1","204-330-06")</f>
        <v>204-330-06</v>
      </c>
      <c r="B5854" t="s">
        <v>4655</v>
      </c>
      <c r="C5854" t="s">
        <v>28910</v>
      </c>
      <c r="D5854" s="1">
        <v>40294</v>
      </c>
      <c r="E5854" s="2">
        <v>201500</v>
      </c>
      <c r="F5854" t="s">
        <v>4567</v>
      </c>
      <c r="G5854" s="17" t="str">
        <f>HYPERLINK("https://www.washoecounty.gov/assessor/cama/?command=sales&amp;parid=20433006","3874778")</f>
        <v>3874778</v>
      </c>
      <c r="H5854" t="s">
        <v>5379</v>
      </c>
      <c r="I5854">
        <v>1999</v>
      </c>
      <c r="J5854">
        <v>1999</v>
      </c>
      <c r="K5854" t="s">
        <v>4554</v>
      </c>
      <c r="L5854" t="s">
        <v>4555</v>
      </c>
      <c r="M5854" s="2">
        <v>1494</v>
      </c>
      <c r="N5854" t="s">
        <v>4048</v>
      </c>
      <c r="O5854">
        <v>2</v>
      </c>
      <c r="P5854">
        <v>2</v>
      </c>
      <c r="Q5854">
        <v>0</v>
      </c>
      <c r="R5854" t="s">
        <v>4557</v>
      </c>
      <c r="S5854" t="s">
        <v>4558</v>
      </c>
      <c r="T5854" t="s">
        <v>4559</v>
      </c>
      <c r="U5854" t="s">
        <v>4560</v>
      </c>
      <c r="V5854" s="2">
        <v>435</v>
      </c>
      <c r="W5854" t="s">
        <v>4655</v>
      </c>
      <c r="X5854" s="2">
        <v>0</v>
      </c>
      <c r="Y5854">
        <v>20</v>
      </c>
      <c r="Z5854" t="s">
        <v>4561</v>
      </c>
      <c r="AA5854" s="3">
        <v>0.226078972220421</v>
      </c>
      <c r="AB5854" t="s">
        <v>28911</v>
      </c>
      <c r="AC5854" t="s">
        <v>4562</v>
      </c>
      <c r="AD5854" t="s">
        <v>28910</v>
      </c>
      <c r="AE5854" t="s">
        <v>4655</v>
      </c>
      <c r="AF5854" t="s">
        <v>4563</v>
      </c>
      <c r="AG5854" t="s">
        <v>4564</v>
      </c>
      <c r="AH5854">
        <v>89503</v>
      </c>
      <c r="AI5854" t="s">
        <v>4655</v>
      </c>
      <c r="AJ5854" t="s">
        <v>28912</v>
      </c>
      <c r="AK5854" t="s">
        <v>28913</v>
      </c>
      <c r="AL5854" s="13" t="s">
        <v>2255</v>
      </c>
      <c r="AM5854" s="14">
        <v>1</v>
      </c>
      <c r="AN5854" s="15" t="s">
        <v>2353</v>
      </c>
    </row>
    <row r="5855" spans="1:40" x14ac:dyDescent="0.3">
      <c r="A5855" s="10" t="str">
        <f>HYPERLINK("http://www.washoecounty.gov/assessor/cama/?parid=204-342-01&amp;CardNumber=1","204-342-01")</f>
        <v>204-342-01</v>
      </c>
      <c r="B5855" t="s">
        <v>4655</v>
      </c>
      <c r="C5855" t="s">
        <v>28914</v>
      </c>
      <c r="D5855" s="1">
        <v>40235</v>
      </c>
      <c r="E5855" s="2">
        <v>224000</v>
      </c>
      <c r="F5855" t="s">
        <v>4567</v>
      </c>
      <c r="G5855" s="17" t="str">
        <f>HYPERLINK("https://www.washoecounty.gov/assessor/cama/?command=sales&amp;parid=20434201","3853488")</f>
        <v>3853488</v>
      </c>
      <c r="H5855" t="s">
        <v>1870</v>
      </c>
      <c r="I5855">
        <v>2000</v>
      </c>
      <c r="J5855">
        <v>2000</v>
      </c>
      <c r="K5855" t="s">
        <v>4554</v>
      </c>
      <c r="L5855" t="s">
        <v>4555</v>
      </c>
      <c r="M5855" s="2">
        <v>1877</v>
      </c>
      <c r="N5855" t="s">
        <v>4048</v>
      </c>
      <c r="O5855">
        <v>3</v>
      </c>
      <c r="P5855">
        <v>2</v>
      </c>
      <c r="Q5855">
        <v>0</v>
      </c>
      <c r="R5855" t="s">
        <v>5281</v>
      </c>
      <c r="S5855" t="s">
        <v>4558</v>
      </c>
      <c r="T5855" t="s">
        <v>4559</v>
      </c>
      <c r="U5855" t="s">
        <v>4560</v>
      </c>
      <c r="V5855" s="2">
        <v>448</v>
      </c>
      <c r="W5855" t="s">
        <v>4655</v>
      </c>
      <c r="X5855" s="2">
        <v>0</v>
      </c>
      <c r="Y5855">
        <v>20</v>
      </c>
      <c r="Z5855" t="s">
        <v>4561</v>
      </c>
      <c r="AA5855" s="3">
        <v>0.237488523125648</v>
      </c>
      <c r="AB5855" t="s">
        <v>28915</v>
      </c>
      <c r="AC5855" t="s">
        <v>4562</v>
      </c>
      <c r="AD5855" t="s">
        <v>28914</v>
      </c>
      <c r="AE5855" t="s">
        <v>4655</v>
      </c>
      <c r="AF5855" t="s">
        <v>4563</v>
      </c>
      <c r="AG5855" t="s">
        <v>4564</v>
      </c>
      <c r="AH5855">
        <v>89503</v>
      </c>
      <c r="AI5855" t="s">
        <v>1328</v>
      </c>
      <c r="AJ5855" t="s">
        <v>28916</v>
      </c>
      <c r="AK5855" t="s">
        <v>28917</v>
      </c>
      <c r="AL5855" s="13" t="s">
        <v>2255</v>
      </c>
      <c r="AM5855">
        <v>1</v>
      </c>
      <c r="AN5855" s="15" t="s">
        <v>2353</v>
      </c>
    </row>
    <row r="5856" spans="1:40" x14ac:dyDescent="0.3">
      <c r="A5856" s="10" t="str">
        <f>HYPERLINK("http://www.washoecounty.gov/assessor/cama/?parid=204-342-14&amp;CardNumber=1","204-342-14")</f>
        <v>204-342-14</v>
      </c>
      <c r="B5856" t="s">
        <v>4655</v>
      </c>
      <c r="C5856" t="s">
        <v>28918</v>
      </c>
      <c r="D5856" s="1">
        <v>40469</v>
      </c>
      <c r="E5856" s="2">
        <v>183900</v>
      </c>
      <c r="F5856" t="s">
        <v>4553</v>
      </c>
      <c r="G5856" s="17" t="str">
        <f>HYPERLINK("https://www.washoecounty.gov/assessor/cama/?command=sales&amp;parid=20434214","3934095")</f>
        <v>3934095</v>
      </c>
      <c r="H5856" t="s">
        <v>1870</v>
      </c>
      <c r="I5856">
        <v>1999</v>
      </c>
      <c r="J5856">
        <v>1999</v>
      </c>
      <c r="K5856" t="s">
        <v>4554</v>
      </c>
      <c r="L5856" t="s">
        <v>4555</v>
      </c>
      <c r="M5856" s="2">
        <v>1494</v>
      </c>
      <c r="N5856" t="s">
        <v>4048</v>
      </c>
      <c r="O5856">
        <v>2</v>
      </c>
      <c r="P5856">
        <v>2</v>
      </c>
      <c r="Q5856">
        <v>0</v>
      </c>
      <c r="R5856" t="s">
        <v>4557</v>
      </c>
      <c r="S5856" t="s">
        <v>4558</v>
      </c>
      <c r="T5856" t="s">
        <v>4559</v>
      </c>
      <c r="U5856" t="s">
        <v>4560</v>
      </c>
      <c r="V5856" s="2">
        <v>435</v>
      </c>
      <c r="W5856" t="s">
        <v>4655</v>
      </c>
      <c r="X5856" s="2">
        <v>0</v>
      </c>
      <c r="Y5856">
        <v>20</v>
      </c>
      <c r="Z5856" t="s">
        <v>4561</v>
      </c>
      <c r="AA5856" s="3">
        <v>0.30114784836769098</v>
      </c>
      <c r="AB5856" t="s">
        <v>28919</v>
      </c>
      <c r="AC5856" t="s">
        <v>4575</v>
      </c>
      <c r="AD5856" t="s">
        <v>28918</v>
      </c>
      <c r="AE5856" t="s">
        <v>4655</v>
      </c>
      <c r="AF5856" t="s">
        <v>4563</v>
      </c>
      <c r="AG5856" t="s">
        <v>4564</v>
      </c>
      <c r="AH5856">
        <v>89503</v>
      </c>
      <c r="AI5856" t="s">
        <v>4655</v>
      </c>
      <c r="AJ5856" t="s">
        <v>28920</v>
      </c>
      <c r="AK5856" t="s">
        <v>28921</v>
      </c>
      <c r="AL5856" s="13" t="s">
        <v>2255</v>
      </c>
      <c r="AM5856">
        <v>1</v>
      </c>
      <c r="AN5856" s="15" t="s">
        <v>2353</v>
      </c>
    </row>
    <row r="5857" spans="1:40" x14ac:dyDescent="0.3">
      <c r="A5857" s="10" t="str">
        <f>HYPERLINK("http://www.washoecounty.gov/assessor/cama/?parid=204-371-02&amp;CardNumber=1","204-371-02")</f>
        <v>204-371-02</v>
      </c>
      <c r="B5857" t="s">
        <v>4655</v>
      </c>
      <c r="C5857" t="s">
        <v>28922</v>
      </c>
      <c r="D5857" s="1">
        <v>40345</v>
      </c>
      <c r="E5857" s="2">
        <v>225000</v>
      </c>
      <c r="F5857" t="s">
        <v>4567</v>
      </c>
      <c r="G5857" s="17" t="str">
        <f>HYPERLINK("https://www.washoecounty.gov/assessor/cama/?command=sales&amp;parid=20437102","3892228")</f>
        <v>3892228</v>
      </c>
      <c r="H5857" t="s">
        <v>5028</v>
      </c>
      <c r="I5857">
        <v>1999</v>
      </c>
      <c r="J5857">
        <v>1999</v>
      </c>
      <c r="K5857" t="s">
        <v>4554</v>
      </c>
      <c r="L5857" t="s">
        <v>4555</v>
      </c>
      <c r="M5857" s="2">
        <v>1724</v>
      </c>
      <c r="N5857" t="s">
        <v>5280</v>
      </c>
      <c r="O5857">
        <v>3</v>
      </c>
      <c r="P5857">
        <v>2</v>
      </c>
      <c r="Q5857">
        <v>0</v>
      </c>
      <c r="R5857" t="s">
        <v>4557</v>
      </c>
      <c r="S5857" t="s">
        <v>4898</v>
      </c>
      <c r="T5857" t="s">
        <v>2704</v>
      </c>
      <c r="U5857" t="s">
        <v>4560</v>
      </c>
      <c r="V5857" s="2">
        <v>645</v>
      </c>
      <c r="W5857" t="s">
        <v>4655</v>
      </c>
      <c r="X5857" s="2">
        <v>0</v>
      </c>
      <c r="Y5857">
        <v>20</v>
      </c>
      <c r="Z5857" t="s">
        <v>4561</v>
      </c>
      <c r="AA5857" s="3">
        <v>0.18459595739841461</v>
      </c>
      <c r="AB5857" t="s">
        <v>28923</v>
      </c>
      <c r="AC5857" t="s">
        <v>4575</v>
      </c>
      <c r="AD5857" t="s">
        <v>28922</v>
      </c>
      <c r="AE5857" t="s">
        <v>4655</v>
      </c>
      <c r="AF5857" t="s">
        <v>4563</v>
      </c>
      <c r="AG5857" t="s">
        <v>4564</v>
      </c>
      <c r="AH5857" t="s">
        <v>1147</v>
      </c>
      <c r="AI5857" t="s">
        <v>28924</v>
      </c>
      <c r="AJ5857" t="s">
        <v>28925</v>
      </c>
      <c r="AK5857" t="s">
        <v>28926</v>
      </c>
      <c r="AL5857" s="13" t="s">
        <v>2255</v>
      </c>
      <c r="AM5857">
        <v>1</v>
      </c>
      <c r="AN5857" s="15" t="s">
        <v>383</v>
      </c>
    </row>
    <row r="5858" spans="1:40" x14ac:dyDescent="0.3">
      <c r="A5858" s="10" t="str">
        <f>HYPERLINK("http://www.washoecounty.gov/assessor/cama/?parid=204-372-14&amp;CardNumber=1","204-372-14")</f>
        <v>204-372-14</v>
      </c>
      <c r="B5858" t="s">
        <v>4655</v>
      </c>
      <c r="C5858" t="s">
        <v>28927</v>
      </c>
      <c r="D5858" s="1">
        <v>40381</v>
      </c>
      <c r="E5858" s="2">
        <v>250000</v>
      </c>
      <c r="F5858" t="s">
        <v>4567</v>
      </c>
      <c r="G5858" s="17" t="str">
        <f>HYPERLINK("https://www.washoecounty.gov/assessor/cama/?command=sales&amp;parid=20437214","3904092")</f>
        <v>3904092</v>
      </c>
      <c r="H5858" t="s">
        <v>5028</v>
      </c>
      <c r="I5858">
        <v>1999</v>
      </c>
      <c r="J5858">
        <v>1999</v>
      </c>
      <c r="K5858" t="s">
        <v>4554</v>
      </c>
      <c r="L5858" t="s">
        <v>3974</v>
      </c>
      <c r="M5858" s="2">
        <v>2505</v>
      </c>
      <c r="N5858" t="s">
        <v>5280</v>
      </c>
      <c r="O5858">
        <v>4</v>
      </c>
      <c r="P5858">
        <v>3</v>
      </c>
      <c r="Q5858">
        <v>0</v>
      </c>
      <c r="R5858" t="s">
        <v>5281</v>
      </c>
      <c r="S5858" t="s">
        <v>4898</v>
      </c>
      <c r="T5858" t="s">
        <v>2704</v>
      </c>
      <c r="U5858" t="s">
        <v>162</v>
      </c>
      <c r="V5858" s="2">
        <v>647</v>
      </c>
      <c r="W5858" t="s">
        <v>4655</v>
      </c>
      <c r="X5858" s="2">
        <v>0</v>
      </c>
      <c r="Y5858">
        <v>20</v>
      </c>
      <c r="Z5858" t="s">
        <v>4561</v>
      </c>
      <c r="AA5858" s="3">
        <v>0.27330118417739901</v>
      </c>
      <c r="AB5858" t="s">
        <v>28928</v>
      </c>
      <c r="AC5858" t="s">
        <v>4562</v>
      </c>
      <c r="AD5858" t="s">
        <v>28927</v>
      </c>
      <c r="AE5858" t="s">
        <v>4655</v>
      </c>
      <c r="AF5858" t="s">
        <v>3114</v>
      </c>
      <c r="AG5858" t="s">
        <v>4564</v>
      </c>
      <c r="AH5858" t="s">
        <v>1147</v>
      </c>
      <c r="AI5858" t="s">
        <v>28929</v>
      </c>
      <c r="AJ5858" t="s">
        <v>28930</v>
      </c>
      <c r="AK5858" t="s">
        <v>28931</v>
      </c>
      <c r="AL5858" s="13" t="s">
        <v>2255</v>
      </c>
      <c r="AM5858" s="14">
        <v>1</v>
      </c>
      <c r="AN5858" s="15" t="s">
        <v>383</v>
      </c>
    </row>
    <row r="5859" spans="1:40" x14ac:dyDescent="0.3">
      <c r="A5859" s="10" t="str">
        <f>HYPERLINK("http://www.washoecounty.gov/assessor/cama/?parid=204-372-15&amp;CardNumber=1","204-372-15")</f>
        <v>204-372-15</v>
      </c>
      <c r="B5859" t="s">
        <v>4655</v>
      </c>
      <c r="C5859" t="s">
        <v>28932</v>
      </c>
      <c r="D5859" s="1">
        <v>40528</v>
      </c>
      <c r="E5859" s="2">
        <v>195000</v>
      </c>
      <c r="F5859" t="s">
        <v>4553</v>
      </c>
      <c r="G5859" s="17" t="str">
        <f>HYPERLINK("https://www.washoecounty.gov/assessor/cama/?command=sales&amp;parid=20437215","3954513")</f>
        <v>3954513</v>
      </c>
      <c r="H5859" t="s">
        <v>5028</v>
      </c>
      <c r="I5859">
        <v>1999</v>
      </c>
      <c r="J5859">
        <v>1999</v>
      </c>
      <c r="K5859" t="s">
        <v>4554</v>
      </c>
      <c r="L5859" t="s">
        <v>3974</v>
      </c>
      <c r="M5859" s="2">
        <v>1964</v>
      </c>
      <c r="N5859" t="s">
        <v>5280</v>
      </c>
      <c r="O5859">
        <v>3</v>
      </c>
      <c r="P5859">
        <v>3</v>
      </c>
      <c r="Q5859">
        <v>0</v>
      </c>
      <c r="R5859" t="s">
        <v>4557</v>
      </c>
      <c r="S5859" t="s">
        <v>4898</v>
      </c>
      <c r="T5859" t="s">
        <v>2704</v>
      </c>
      <c r="U5859" t="s">
        <v>4560</v>
      </c>
      <c r="V5859" s="2">
        <v>442</v>
      </c>
      <c r="W5859" t="s">
        <v>4655</v>
      </c>
      <c r="X5859" s="2">
        <v>0</v>
      </c>
      <c r="Y5859">
        <v>20</v>
      </c>
      <c r="Z5859" t="s">
        <v>4561</v>
      </c>
      <c r="AA5859" s="3">
        <v>0.16517446935176849</v>
      </c>
      <c r="AB5859" t="s">
        <v>28933</v>
      </c>
      <c r="AC5859" t="s">
        <v>4562</v>
      </c>
      <c r="AD5859" t="s">
        <v>4079</v>
      </c>
      <c r="AE5859" t="s">
        <v>4655</v>
      </c>
      <c r="AF5859" t="s">
        <v>4563</v>
      </c>
      <c r="AG5859" t="s">
        <v>4564</v>
      </c>
      <c r="AH5859" t="s">
        <v>2541</v>
      </c>
      <c r="AI5859" t="s">
        <v>28934</v>
      </c>
      <c r="AJ5859" t="s">
        <v>28935</v>
      </c>
      <c r="AK5859" t="s">
        <v>28936</v>
      </c>
      <c r="AL5859" s="13" t="s">
        <v>2255</v>
      </c>
      <c r="AM5859">
        <v>1</v>
      </c>
      <c r="AN5859" s="15" t="s">
        <v>383</v>
      </c>
    </row>
    <row r="5860" spans="1:40" x14ac:dyDescent="0.3">
      <c r="A5860" s="10" t="str">
        <f>HYPERLINK("http://www.washoecounty.gov/assessor/cama/?parid=204-381-08&amp;CardNumber=1","204-381-08")</f>
        <v>204-381-08</v>
      </c>
      <c r="B5860" t="s">
        <v>4655</v>
      </c>
      <c r="C5860" t="s">
        <v>28937</v>
      </c>
      <c r="D5860" s="1">
        <v>40294</v>
      </c>
      <c r="E5860" s="2">
        <v>235000</v>
      </c>
      <c r="F5860" t="s">
        <v>4567</v>
      </c>
      <c r="G5860" s="17" t="str">
        <f>HYPERLINK("https://www.washoecounty.gov/assessor/cama/?command=sales&amp;parid=20438108","3874661")</f>
        <v>3874661</v>
      </c>
      <c r="H5860" t="s">
        <v>5028</v>
      </c>
      <c r="I5860">
        <v>2000</v>
      </c>
      <c r="J5860">
        <v>2000</v>
      </c>
      <c r="K5860" t="s">
        <v>4554</v>
      </c>
      <c r="L5860" t="s">
        <v>3974</v>
      </c>
      <c r="M5860" s="2">
        <v>1965</v>
      </c>
      <c r="N5860" t="s">
        <v>5280</v>
      </c>
      <c r="O5860">
        <v>3</v>
      </c>
      <c r="P5860">
        <v>2</v>
      </c>
      <c r="Q5860">
        <v>1</v>
      </c>
      <c r="R5860" t="s">
        <v>5281</v>
      </c>
      <c r="S5860" t="s">
        <v>4558</v>
      </c>
      <c r="T5860" t="s">
        <v>2704</v>
      </c>
      <c r="U5860" t="s">
        <v>5631</v>
      </c>
      <c r="V5860" s="2">
        <v>600</v>
      </c>
      <c r="W5860" t="s">
        <v>4655</v>
      </c>
      <c r="X5860" s="2">
        <v>0</v>
      </c>
      <c r="Y5860">
        <v>20</v>
      </c>
      <c r="Z5860" t="s">
        <v>4561</v>
      </c>
      <c r="AA5860" s="3">
        <v>0.24269972741603901</v>
      </c>
      <c r="AB5860" t="s">
        <v>28938</v>
      </c>
      <c r="AC5860" t="s">
        <v>4562</v>
      </c>
      <c r="AD5860" t="s">
        <v>28937</v>
      </c>
      <c r="AE5860" t="s">
        <v>4655</v>
      </c>
      <c r="AF5860" t="s">
        <v>4563</v>
      </c>
      <c r="AG5860" t="s">
        <v>4564</v>
      </c>
      <c r="AH5860" t="s">
        <v>1147</v>
      </c>
      <c r="AI5860" t="s">
        <v>28939</v>
      </c>
      <c r="AJ5860" t="s">
        <v>28940</v>
      </c>
      <c r="AK5860" t="s">
        <v>28941</v>
      </c>
      <c r="AL5860" s="13" t="s">
        <v>2255</v>
      </c>
      <c r="AM5860">
        <v>1</v>
      </c>
      <c r="AN5860" s="15" t="s">
        <v>383</v>
      </c>
    </row>
    <row r="5861" spans="1:40" x14ac:dyDescent="0.3">
      <c r="A5861" s="10" t="str">
        <f>HYPERLINK("http://www.washoecounty.gov/assessor/cama/?parid=204-382-15&amp;CardNumber=1","204-382-15")</f>
        <v>204-382-15</v>
      </c>
      <c r="B5861" t="s">
        <v>4655</v>
      </c>
      <c r="C5861" t="s">
        <v>28942</v>
      </c>
      <c r="D5861" s="1">
        <v>40289</v>
      </c>
      <c r="E5861" s="2">
        <v>227500</v>
      </c>
      <c r="F5861" t="s">
        <v>4567</v>
      </c>
      <c r="G5861" s="17" t="str">
        <f>HYPERLINK("https://www.washoecounty.gov/assessor/cama/?command=sales&amp;parid=20438215","3873384")</f>
        <v>3873384</v>
      </c>
      <c r="H5861" t="s">
        <v>28943</v>
      </c>
      <c r="I5861">
        <v>2000</v>
      </c>
      <c r="J5861">
        <v>2000</v>
      </c>
      <c r="K5861" t="s">
        <v>4554</v>
      </c>
      <c r="L5861" t="s">
        <v>3974</v>
      </c>
      <c r="M5861" s="2">
        <v>1965</v>
      </c>
      <c r="N5861" t="s">
        <v>5280</v>
      </c>
      <c r="O5861">
        <v>3</v>
      </c>
      <c r="P5861">
        <v>3</v>
      </c>
      <c r="Q5861">
        <v>0</v>
      </c>
      <c r="R5861" t="s">
        <v>4557</v>
      </c>
      <c r="S5861" t="s">
        <v>4898</v>
      </c>
      <c r="T5861" t="s">
        <v>2704</v>
      </c>
      <c r="U5861" t="s">
        <v>5631</v>
      </c>
      <c r="V5861" s="2">
        <v>600</v>
      </c>
      <c r="W5861" t="s">
        <v>4655</v>
      </c>
      <c r="X5861" s="2">
        <v>0</v>
      </c>
      <c r="Y5861">
        <v>20</v>
      </c>
      <c r="Z5861" t="s">
        <v>4561</v>
      </c>
      <c r="AA5861" s="3">
        <v>0.16870982944965399</v>
      </c>
      <c r="AB5861" t="s">
        <v>28944</v>
      </c>
      <c r="AC5861" t="s">
        <v>4562</v>
      </c>
      <c r="AD5861" t="s">
        <v>28942</v>
      </c>
      <c r="AE5861" t="s">
        <v>4655</v>
      </c>
      <c r="AF5861" t="s">
        <v>4563</v>
      </c>
      <c r="AG5861" t="s">
        <v>4564</v>
      </c>
      <c r="AH5861" t="s">
        <v>1147</v>
      </c>
      <c r="AI5861" t="s">
        <v>28945</v>
      </c>
      <c r="AJ5861" t="s">
        <v>28946</v>
      </c>
      <c r="AK5861" t="s">
        <v>28947</v>
      </c>
      <c r="AL5861" s="13" t="s">
        <v>2255</v>
      </c>
      <c r="AM5861">
        <v>1</v>
      </c>
      <c r="AN5861" s="15" t="s">
        <v>383</v>
      </c>
    </row>
    <row r="5862" spans="1:40" x14ac:dyDescent="0.3">
      <c r="A5862" s="10" t="str">
        <f>HYPERLINK("http://www.washoecounty.gov/assessor/cama/?parid=204-390-32&amp;CardNumber=1","204-390-32")</f>
        <v>204-390-32</v>
      </c>
      <c r="B5862" t="s">
        <v>4655</v>
      </c>
      <c r="C5862" t="s">
        <v>28948</v>
      </c>
      <c r="D5862" s="1">
        <v>40253</v>
      </c>
      <c r="E5862" s="2">
        <v>234000</v>
      </c>
      <c r="F5862" t="s">
        <v>4567</v>
      </c>
      <c r="G5862" s="17" t="str">
        <f>HYPERLINK("https://www.washoecounty.gov/assessor/cama/?command=sales&amp;parid=20439032","3860407")</f>
        <v>3860407</v>
      </c>
      <c r="H5862" t="s">
        <v>28943</v>
      </c>
      <c r="I5862">
        <v>2000</v>
      </c>
      <c r="J5862">
        <v>2000</v>
      </c>
      <c r="K5862" t="s">
        <v>4554</v>
      </c>
      <c r="L5862" t="s">
        <v>3974</v>
      </c>
      <c r="M5862" s="2">
        <v>1899</v>
      </c>
      <c r="N5862" t="s">
        <v>5280</v>
      </c>
      <c r="O5862">
        <v>3</v>
      </c>
      <c r="P5862">
        <v>3</v>
      </c>
      <c r="Q5862">
        <v>0</v>
      </c>
      <c r="R5862" t="s">
        <v>5281</v>
      </c>
      <c r="S5862" t="s">
        <v>4898</v>
      </c>
      <c r="T5862" t="s">
        <v>2704</v>
      </c>
      <c r="U5862" t="s">
        <v>4560</v>
      </c>
      <c r="V5862" s="2">
        <v>442</v>
      </c>
      <c r="W5862" t="s">
        <v>4655</v>
      </c>
      <c r="X5862" s="2">
        <v>0</v>
      </c>
      <c r="Y5862">
        <v>20</v>
      </c>
      <c r="Z5862" t="s">
        <v>4561</v>
      </c>
      <c r="AA5862" s="3">
        <v>0.21400366723537401</v>
      </c>
      <c r="AB5862" t="s">
        <v>28949</v>
      </c>
      <c r="AC5862" t="s">
        <v>4575</v>
      </c>
      <c r="AD5862" t="s">
        <v>28948</v>
      </c>
      <c r="AE5862" t="s">
        <v>4655</v>
      </c>
      <c r="AF5862" t="s">
        <v>4563</v>
      </c>
      <c r="AG5862" t="s">
        <v>4564</v>
      </c>
      <c r="AH5862" t="s">
        <v>1147</v>
      </c>
      <c r="AI5862" t="s">
        <v>28950</v>
      </c>
      <c r="AJ5862" t="s">
        <v>28951</v>
      </c>
      <c r="AK5862" t="s">
        <v>28952</v>
      </c>
      <c r="AL5862" s="13" t="s">
        <v>2255</v>
      </c>
      <c r="AM5862" s="14">
        <v>1</v>
      </c>
      <c r="AN5862" s="15" t="s">
        <v>383</v>
      </c>
    </row>
    <row r="5863" spans="1:40" x14ac:dyDescent="0.3">
      <c r="A5863" s="10" t="str">
        <f>HYPERLINK("http://www.washoecounty.gov/assessor/cama/?parid=204-413-11&amp;CardNumber=1","204-413-11")</f>
        <v>204-413-11</v>
      </c>
      <c r="B5863" t="s">
        <v>4655</v>
      </c>
      <c r="C5863" t="s">
        <v>28953</v>
      </c>
      <c r="D5863" s="1">
        <v>40367</v>
      </c>
      <c r="E5863" s="2">
        <v>240000</v>
      </c>
      <c r="F5863" t="s">
        <v>4553</v>
      </c>
      <c r="G5863" s="17" t="str">
        <f>HYPERLINK("https://www.washoecounty.gov/assessor/cama/?command=sales&amp;parid=20441311","3899435")</f>
        <v>3899435</v>
      </c>
      <c r="H5863" t="s">
        <v>28954</v>
      </c>
      <c r="I5863">
        <v>2000</v>
      </c>
      <c r="J5863">
        <v>2000</v>
      </c>
      <c r="K5863" t="s">
        <v>4554</v>
      </c>
      <c r="L5863" t="s">
        <v>4555</v>
      </c>
      <c r="M5863" s="2">
        <v>1877</v>
      </c>
      <c r="N5863" t="s">
        <v>4048</v>
      </c>
      <c r="O5863">
        <v>3</v>
      </c>
      <c r="P5863">
        <v>2</v>
      </c>
      <c r="Q5863">
        <v>0</v>
      </c>
      <c r="R5863" t="s">
        <v>5281</v>
      </c>
      <c r="S5863" t="s">
        <v>4898</v>
      </c>
      <c r="T5863" t="s">
        <v>4559</v>
      </c>
      <c r="U5863" t="s">
        <v>4560</v>
      </c>
      <c r="V5863" s="2">
        <v>448</v>
      </c>
      <c r="W5863" t="s">
        <v>4655</v>
      </c>
      <c r="X5863" s="2">
        <v>0</v>
      </c>
      <c r="Y5863">
        <v>20</v>
      </c>
      <c r="Z5863" t="s">
        <v>4561</v>
      </c>
      <c r="AA5863" s="3">
        <v>0.26322314143180803</v>
      </c>
      <c r="AB5863" t="s">
        <v>28955</v>
      </c>
      <c r="AC5863" t="s">
        <v>4562</v>
      </c>
      <c r="AD5863" t="s">
        <v>28953</v>
      </c>
      <c r="AE5863" t="s">
        <v>4655</v>
      </c>
      <c r="AF5863" t="s">
        <v>4563</v>
      </c>
      <c r="AG5863" t="s">
        <v>4564</v>
      </c>
      <c r="AH5863">
        <v>89503</v>
      </c>
      <c r="AI5863" t="s">
        <v>4202</v>
      </c>
      <c r="AJ5863" t="s">
        <v>28956</v>
      </c>
      <c r="AK5863" t="s">
        <v>28957</v>
      </c>
      <c r="AL5863" s="13" t="s">
        <v>2255</v>
      </c>
      <c r="AM5863">
        <v>1</v>
      </c>
      <c r="AN5863" s="15" t="s">
        <v>2353</v>
      </c>
    </row>
    <row r="5864" spans="1:40" x14ac:dyDescent="0.3">
      <c r="A5864" s="10" t="str">
        <f>HYPERLINK("http://www.washoecounty.gov/assessor/cama/?parid=204-421-10&amp;CardNumber=1","204-421-10")</f>
        <v>204-421-10</v>
      </c>
      <c r="B5864" t="s">
        <v>4655</v>
      </c>
      <c r="C5864" t="s">
        <v>28958</v>
      </c>
      <c r="D5864" s="1">
        <v>40203</v>
      </c>
      <c r="E5864" s="2">
        <v>230000</v>
      </c>
      <c r="F5864" t="s">
        <v>4553</v>
      </c>
      <c r="G5864" s="17" t="str">
        <f>HYPERLINK("https://www.washoecounty.gov/assessor/cama/?command=sales&amp;parid=20442110","3842573")</f>
        <v>3842573</v>
      </c>
      <c r="H5864" t="s">
        <v>5316</v>
      </c>
      <c r="I5864">
        <v>2000</v>
      </c>
      <c r="J5864">
        <v>2000</v>
      </c>
      <c r="K5864" t="s">
        <v>4554</v>
      </c>
      <c r="L5864" t="s">
        <v>3974</v>
      </c>
      <c r="M5864" s="2">
        <v>1763</v>
      </c>
      <c r="N5864" t="s">
        <v>5280</v>
      </c>
      <c r="O5864">
        <v>3</v>
      </c>
      <c r="P5864">
        <v>2</v>
      </c>
      <c r="Q5864">
        <v>1</v>
      </c>
      <c r="R5864" t="s">
        <v>4557</v>
      </c>
      <c r="S5864" t="s">
        <v>4558</v>
      </c>
      <c r="T5864" t="s">
        <v>4559</v>
      </c>
      <c r="U5864" t="s">
        <v>5631</v>
      </c>
      <c r="V5864" s="2">
        <v>448</v>
      </c>
      <c r="W5864" t="s">
        <v>4655</v>
      </c>
      <c r="X5864" s="2">
        <v>0</v>
      </c>
      <c r="Y5864">
        <v>20</v>
      </c>
      <c r="Z5864" t="s">
        <v>4144</v>
      </c>
      <c r="AA5864" s="3">
        <v>9.1115705668926197E-2</v>
      </c>
      <c r="AB5864" t="s">
        <v>28959</v>
      </c>
      <c r="AC5864" t="s">
        <v>4575</v>
      </c>
      <c r="AD5864" t="s">
        <v>28958</v>
      </c>
      <c r="AE5864" t="s">
        <v>4655</v>
      </c>
      <c r="AF5864" t="s">
        <v>4563</v>
      </c>
      <c r="AG5864" t="s">
        <v>4564</v>
      </c>
      <c r="AH5864" t="s">
        <v>1147</v>
      </c>
      <c r="AI5864" t="s">
        <v>28960</v>
      </c>
      <c r="AJ5864" t="s">
        <v>28961</v>
      </c>
      <c r="AK5864" t="s">
        <v>28962</v>
      </c>
      <c r="AL5864" s="13" t="s">
        <v>2255</v>
      </c>
      <c r="AM5864">
        <v>1</v>
      </c>
      <c r="AN5864" s="15" t="s">
        <v>383</v>
      </c>
    </row>
    <row r="5865" spans="1:40" x14ac:dyDescent="0.3">
      <c r="A5865" s="10" t="str">
        <f>HYPERLINK("http://www.washoecounty.gov/assessor/cama/?parid=204-433-03&amp;CardNumber=1","204-433-03")</f>
        <v>204-433-03</v>
      </c>
      <c r="B5865" t="s">
        <v>4655</v>
      </c>
      <c r="C5865" s="20" t="s">
        <v>283</v>
      </c>
      <c r="D5865" s="1">
        <v>40441</v>
      </c>
      <c r="E5865" s="2">
        <v>165000</v>
      </c>
      <c r="F5865" t="s">
        <v>4567</v>
      </c>
      <c r="G5865" s="20" t="s">
        <v>282</v>
      </c>
      <c r="H5865" t="s">
        <v>209</v>
      </c>
      <c r="I5865">
        <v>2000</v>
      </c>
      <c r="J5865">
        <v>2000</v>
      </c>
      <c r="K5865" t="s">
        <v>4554</v>
      </c>
      <c r="L5865" t="s">
        <v>4555</v>
      </c>
      <c r="M5865" s="2">
        <v>1320</v>
      </c>
      <c r="N5865" t="s">
        <v>5280</v>
      </c>
      <c r="O5865">
        <v>3</v>
      </c>
      <c r="P5865">
        <v>2</v>
      </c>
      <c r="Q5865">
        <v>0</v>
      </c>
      <c r="R5865" t="s">
        <v>4557</v>
      </c>
      <c r="S5865" t="s">
        <v>4558</v>
      </c>
      <c r="T5865" t="s">
        <v>4559</v>
      </c>
      <c r="U5865" t="s">
        <v>4560</v>
      </c>
      <c r="V5865" s="2">
        <v>382</v>
      </c>
      <c r="W5865" t="s">
        <v>4655</v>
      </c>
      <c r="X5865" s="2">
        <v>0</v>
      </c>
      <c r="Y5865">
        <v>20</v>
      </c>
      <c r="Z5865" t="s">
        <v>4144</v>
      </c>
      <c r="AA5865" s="3">
        <v>0.115243345499039</v>
      </c>
      <c r="AB5865" s="20" t="s">
        <v>8865</v>
      </c>
      <c r="AD5865" t="s">
        <v>283</v>
      </c>
      <c r="AE5865" t="s">
        <v>283</v>
      </c>
      <c r="AF5865" t="s">
        <v>283</v>
      </c>
      <c r="AG5865" t="s">
        <v>4564</v>
      </c>
      <c r="AH5865" t="s">
        <v>3101</v>
      </c>
      <c r="AI5865" t="s">
        <v>8865</v>
      </c>
      <c r="AJ5865" t="s">
        <v>5325</v>
      </c>
      <c r="AK5865" t="s">
        <v>5326</v>
      </c>
      <c r="AL5865" s="13" t="s">
        <v>2255</v>
      </c>
      <c r="AM5865">
        <v>1</v>
      </c>
      <c r="AN5865" s="15" t="s">
        <v>383</v>
      </c>
    </row>
    <row r="5866" spans="1:40" x14ac:dyDescent="0.3">
      <c r="A5866" s="10" t="str">
        <f>HYPERLINK("http://www.washoecounty.gov/assessor/cama/?parid=204-434-03&amp;CardNumber=1","204-434-03")</f>
        <v>204-434-03</v>
      </c>
      <c r="B5866" t="s">
        <v>4655</v>
      </c>
      <c r="C5866" t="s">
        <v>28963</v>
      </c>
      <c r="D5866" s="1">
        <v>40346</v>
      </c>
      <c r="E5866" s="2">
        <v>210000</v>
      </c>
      <c r="F5866" t="s">
        <v>4567</v>
      </c>
      <c r="G5866" s="17" t="str">
        <f>HYPERLINK("https://www.washoecounty.gov/assessor/cama/?command=sales&amp;parid=20443403","3892779")</f>
        <v>3892779</v>
      </c>
      <c r="H5866" t="s">
        <v>209</v>
      </c>
      <c r="I5866">
        <v>2000</v>
      </c>
      <c r="J5866">
        <v>2000</v>
      </c>
      <c r="K5866" t="s">
        <v>4554</v>
      </c>
      <c r="L5866" t="s">
        <v>3974</v>
      </c>
      <c r="M5866" s="2">
        <v>1592</v>
      </c>
      <c r="N5866" t="s">
        <v>5280</v>
      </c>
      <c r="O5866">
        <v>3</v>
      </c>
      <c r="P5866">
        <v>2</v>
      </c>
      <c r="Q5866">
        <v>1</v>
      </c>
      <c r="R5866" t="s">
        <v>5281</v>
      </c>
      <c r="S5866" t="s">
        <v>4558</v>
      </c>
      <c r="T5866" t="s">
        <v>4559</v>
      </c>
      <c r="U5866" t="s">
        <v>5631</v>
      </c>
      <c r="V5866" s="2">
        <v>420</v>
      </c>
      <c r="W5866" t="s">
        <v>4655</v>
      </c>
      <c r="X5866" s="2">
        <v>0</v>
      </c>
      <c r="Y5866">
        <v>20</v>
      </c>
      <c r="Z5866" t="s">
        <v>4144</v>
      </c>
      <c r="AA5866" s="3">
        <v>0.107116617262363</v>
      </c>
      <c r="AB5866" t="s">
        <v>28563</v>
      </c>
      <c r="AC5866" t="s">
        <v>4575</v>
      </c>
      <c r="AD5866" t="s">
        <v>3177</v>
      </c>
      <c r="AE5866" t="s">
        <v>4655</v>
      </c>
      <c r="AF5866" t="s">
        <v>3178</v>
      </c>
      <c r="AG5866" t="s">
        <v>4584</v>
      </c>
      <c r="AH5866">
        <v>96006</v>
      </c>
      <c r="AI5866" t="s">
        <v>28565</v>
      </c>
      <c r="AJ5866" t="s">
        <v>28964</v>
      </c>
      <c r="AK5866" t="s">
        <v>28965</v>
      </c>
      <c r="AL5866" s="13" t="s">
        <v>2255</v>
      </c>
      <c r="AM5866" s="14">
        <v>1</v>
      </c>
      <c r="AN5866" s="15" t="s">
        <v>383</v>
      </c>
    </row>
    <row r="5867" spans="1:40" x14ac:dyDescent="0.3">
      <c r="A5867" s="10" t="str">
        <f>HYPERLINK("http://www.washoecounty.gov/assessor/cama/?parid=204-451-03&amp;CardNumber=1","204-451-03")</f>
        <v>204-451-03</v>
      </c>
      <c r="B5867" t="s">
        <v>4655</v>
      </c>
      <c r="C5867" t="s">
        <v>28966</v>
      </c>
      <c r="D5867" s="1">
        <v>40228</v>
      </c>
      <c r="E5867" s="2">
        <v>275000</v>
      </c>
      <c r="F5867" t="s">
        <v>4553</v>
      </c>
      <c r="G5867" s="17" t="str">
        <f>HYPERLINK("https://www.washoecounty.gov/assessor/cama/?command=sales&amp;parid=20445103","3851204")</f>
        <v>3851204</v>
      </c>
      <c r="H5867" t="s">
        <v>2870</v>
      </c>
      <c r="I5867">
        <v>2001</v>
      </c>
      <c r="J5867">
        <v>2001</v>
      </c>
      <c r="K5867" t="s">
        <v>4554</v>
      </c>
      <c r="L5867" t="s">
        <v>4555</v>
      </c>
      <c r="M5867" s="2">
        <v>1877</v>
      </c>
      <c r="N5867" t="s">
        <v>4048</v>
      </c>
      <c r="O5867">
        <v>4</v>
      </c>
      <c r="P5867">
        <v>2</v>
      </c>
      <c r="Q5867">
        <v>0</v>
      </c>
      <c r="R5867" t="s">
        <v>5281</v>
      </c>
      <c r="S5867" t="s">
        <v>4558</v>
      </c>
      <c r="T5867" t="s">
        <v>4559</v>
      </c>
      <c r="U5867" t="s">
        <v>4560</v>
      </c>
      <c r="V5867" s="2">
        <v>448</v>
      </c>
      <c r="W5867" t="s">
        <v>4655</v>
      </c>
      <c r="X5867" s="2">
        <v>0</v>
      </c>
      <c r="Y5867">
        <v>20</v>
      </c>
      <c r="Z5867" t="s">
        <v>4561</v>
      </c>
      <c r="AA5867" s="3">
        <v>0.25156107544898998</v>
      </c>
      <c r="AB5867" t="s">
        <v>28967</v>
      </c>
      <c r="AC5867" t="s">
        <v>4575</v>
      </c>
      <c r="AD5867" t="s">
        <v>28966</v>
      </c>
      <c r="AE5867" t="s">
        <v>4655</v>
      </c>
      <c r="AF5867" t="s">
        <v>4563</v>
      </c>
      <c r="AG5867" t="s">
        <v>4564</v>
      </c>
      <c r="AH5867" t="s">
        <v>1147</v>
      </c>
      <c r="AI5867" t="s">
        <v>28968</v>
      </c>
      <c r="AJ5867" t="s">
        <v>28969</v>
      </c>
      <c r="AK5867" t="s">
        <v>28970</v>
      </c>
      <c r="AL5867" s="13" t="s">
        <v>2255</v>
      </c>
      <c r="AM5867">
        <v>1</v>
      </c>
      <c r="AN5867" s="15" t="s">
        <v>383</v>
      </c>
    </row>
    <row r="5868" spans="1:40" x14ac:dyDescent="0.3">
      <c r="A5868" s="10" t="str">
        <f>HYPERLINK("http://www.washoecounty.gov/assessor/cama/?parid=204-451-06&amp;CardNumber=1","204-451-06")</f>
        <v>204-451-06</v>
      </c>
      <c r="B5868" t="s">
        <v>4655</v>
      </c>
      <c r="C5868" t="s">
        <v>28971</v>
      </c>
      <c r="D5868" s="1">
        <v>40204</v>
      </c>
      <c r="E5868" s="2">
        <v>245000</v>
      </c>
      <c r="F5868" t="s">
        <v>4553</v>
      </c>
      <c r="G5868" s="17" t="str">
        <f>HYPERLINK("https://www.washoecounty.gov/assessor/cama/?command=sales&amp;parid=20445106","3842849")</f>
        <v>3842849</v>
      </c>
      <c r="H5868" t="s">
        <v>5317</v>
      </c>
      <c r="I5868">
        <v>2001</v>
      </c>
      <c r="J5868">
        <v>2001</v>
      </c>
      <c r="K5868" t="s">
        <v>4554</v>
      </c>
      <c r="L5868" t="s">
        <v>3974</v>
      </c>
      <c r="M5868" s="2">
        <v>2420</v>
      </c>
      <c r="N5868" t="s">
        <v>4048</v>
      </c>
      <c r="O5868">
        <v>5</v>
      </c>
      <c r="P5868">
        <v>3</v>
      </c>
      <c r="Q5868">
        <v>0</v>
      </c>
      <c r="R5868" t="s">
        <v>4557</v>
      </c>
      <c r="S5868" t="s">
        <v>4558</v>
      </c>
      <c r="T5868" t="s">
        <v>4559</v>
      </c>
      <c r="U5868" t="s">
        <v>5631</v>
      </c>
      <c r="V5868" s="2">
        <v>424</v>
      </c>
      <c r="W5868" t="s">
        <v>4655</v>
      </c>
      <c r="X5868" s="2">
        <v>0</v>
      </c>
      <c r="Y5868">
        <v>20</v>
      </c>
      <c r="Z5868" t="s">
        <v>4561</v>
      </c>
      <c r="AA5868" s="3">
        <v>0.45241045951843301</v>
      </c>
      <c r="AB5868" t="s">
        <v>28972</v>
      </c>
      <c r="AC5868" t="s">
        <v>4575</v>
      </c>
      <c r="AD5868" t="s">
        <v>28973</v>
      </c>
      <c r="AE5868" t="s">
        <v>4655</v>
      </c>
      <c r="AF5868" t="s">
        <v>3114</v>
      </c>
      <c r="AG5868" t="s">
        <v>4564</v>
      </c>
      <c r="AH5868">
        <v>89512</v>
      </c>
      <c r="AI5868" t="s">
        <v>4503</v>
      </c>
      <c r="AJ5868" t="s">
        <v>28974</v>
      </c>
      <c r="AK5868" t="s">
        <v>28975</v>
      </c>
      <c r="AL5868" s="13" t="s">
        <v>2255</v>
      </c>
      <c r="AM5868">
        <v>1</v>
      </c>
      <c r="AN5868" s="15" t="s">
        <v>383</v>
      </c>
    </row>
    <row r="5869" spans="1:40" x14ac:dyDescent="0.3">
      <c r="A5869" s="10" t="str">
        <f>HYPERLINK("http://www.washoecounty.gov/assessor/cama/?parid=204-452-01&amp;CardNumber=1","204-452-01")</f>
        <v>204-452-01</v>
      </c>
      <c r="B5869" t="s">
        <v>4655</v>
      </c>
      <c r="C5869" t="s">
        <v>28701</v>
      </c>
      <c r="D5869" s="1">
        <v>40542</v>
      </c>
      <c r="E5869" s="2">
        <v>177500</v>
      </c>
      <c r="F5869" t="s">
        <v>4567</v>
      </c>
      <c r="G5869" s="17" t="str">
        <f>HYPERLINK("https://www.washoecounty.gov/assessor/cama/?command=sales&amp;parid=20445201","3958885")</f>
        <v>3958885</v>
      </c>
      <c r="H5869" t="s">
        <v>2870</v>
      </c>
      <c r="I5869">
        <v>2001</v>
      </c>
      <c r="J5869">
        <v>2001</v>
      </c>
      <c r="K5869" t="s">
        <v>4554</v>
      </c>
      <c r="L5869" t="s">
        <v>4555</v>
      </c>
      <c r="M5869" s="2">
        <v>1535</v>
      </c>
      <c r="N5869" t="s">
        <v>4048</v>
      </c>
      <c r="O5869">
        <v>3</v>
      </c>
      <c r="P5869">
        <v>2</v>
      </c>
      <c r="Q5869">
        <v>0</v>
      </c>
      <c r="R5869" t="s">
        <v>5281</v>
      </c>
      <c r="S5869" t="s">
        <v>4558</v>
      </c>
      <c r="T5869" t="s">
        <v>4559</v>
      </c>
      <c r="U5869" t="s">
        <v>4560</v>
      </c>
      <c r="V5869" s="2">
        <v>420</v>
      </c>
      <c r="W5869" t="s">
        <v>4655</v>
      </c>
      <c r="X5869" s="2">
        <v>0</v>
      </c>
      <c r="Y5869">
        <v>20</v>
      </c>
      <c r="Z5869" t="s">
        <v>4561</v>
      </c>
      <c r="AA5869" s="3">
        <v>0.23778696358203899</v>
      </c>
      <c r="AB5869" t="s">
        <v>28976</v>
      </c>
      <c r="AC5869" t="s">
        <v>4562</v>
      </c>
      <c r="AD5869" t="s">
        <v>28977</v>
      </c>
      <c r="AE5869" t="s">
        <v>4655</v>
      </c>
      <c r="AF5869" t="s">
        <v>2715</v>
      </c>
      <c r="AG5869" t="s">
        <v>4584</v>
      </c>
      <c r="AH5869" t="s">
        <v>1116</v>
      </c>
      <c r="AI5869" t="s">
        <v>28978</v>
      </c>
      <c r="AJ5869" t="s">
        <v>28979</v>
      </c>
      <c r="AK5869" t="s">
        <v>28980</v>
      </c>
      <c r="AL5869" s="13" t="s">
        <v>2255</v>
      </c>
      <c r="AM5869">
        <v>1</v>
      </c>
      <c r="AN5869" s="15" t="s">
        <v>383</v>
      </c>
    </row>
    <row r="5870" spans="1:40" x14ac:dyDescent="0.3">
      <c r="A5870" s="10" t="str">
        <f>HYPERLINK("http://www.washoecounty.gov/assessor/cama/?parid=204-460-08&amp;CardNumber=1","204-460-08")</f>
        <v>204-460-08</v>
      </c>
      <c r="B5870" t="s">
        <v>4655</v>
      </c>
      <c r="C5870" t="s">
        <v>28981</v>
      </c>
      <c r="D5870" s="1">
        <v>40249</v>
      </c>
      <c r="E5870" s="2">
        <v>231500</v>
      </c>
      <c r="F5870" t="s">
        <v>4553</v>
      </c>
      <c r="G5870" s="17" t="str">
        <f>HYPERLINK("https://www.washoecounty.gov/assessor/cama/?command=sales&amp;parid=20446008","3858904")</f>
        <v>3858904</v>
      </c>
      <c r="H5870" t="s">
        <v>28982</v>
      </c>
      <c r="I5870">
        <v>2000</v>
      </c>
      <c r="J5870">
        <v>2000</v>
      </c>
      <c r="K5870" t="s">
        <v>4554</v>
      </c>
      <c r="L5870" t="s">
        <v>3974</v>
      </c>
      <c r="M5870" s="2">
        <v>2420</v>
      </c>
      <c r="N5870" t="s">
        <v>4048</v>
      </c>
      <c r="O5870">
        <v>5</v>
      </c>
      <c r="P5870">
        <v>3</v>
      </c>
      <c r="Q5870">
        <v>0</v>
      </c>
      <c r="R5870" t="s">
        <v>5281</v>
      </c>
      <c r="S5870" t="s">
        <v>4558</v>
      </c>
      <c r="T5870" t="s">
        <v>4559</v>
      </c>
      <c r="U5870" t="s">
        <v>5631</v>
      </c>
      <c r="V5870" s="2">
        <v>424</v>
      </c>
      <c r="W5870" t="s">
        <v>4655</v>
      </c>
      <c r="X5870" s="2">
        <v>0</v>
      </c>
      <c r="Y5870">
        <v>20</v>
      </c>
      <c r="Z5870" t="s">
        <v>4561</v>
      </c>
      <c r="AA5870" s="3">
        <v>0.36870983242988598</v>
      </c>
      <c r="AB5870" t="s">
        <v>28983</v>
      </c>
      <c r="AC5870" t="s">
        <v>4562</v>
      </c>
      <c r="AD5870" t="s">
        <v>28981</v>
      </c>
      <c r="AE5870" t="s">
        <v>4655</v>
      </c>
      <c r="AF5870" t="s">
        <v>4563</v>
      </c>
      <c r="AG5870" t="s">
        <v>4564</v>
      </c>
      <c r="AH5870" t="s">
        <v>1147</v>
      </c>
      <c r="AI5870" t="s">
        <v>359</v>
      </c>
      <c r="AJ5870" t="s">
        <v>28984</v>
      </c>
      <c r="AK5870" t="s">
        <v>28985</v>
      </c>
      <c r="AL5870" s="13" t="s">
        <v>2255</v>
      </c>
      <c r="AM5870" s="14">
        <v>1</v>
      </c>
      <c r="AN5870" s="15" t="s">
        <v>383</v>
      </c>
    </row>
    <row r="5871" spans="1:40" x14ac:dyDescent="0.3">
      <c r="A5871" s="10" t="str">
        <f>HYPERLINK("http://www.washoecounty.gov/assessor/cama/?parid=204-471-05&amp;CardNumber=1","204-471-05")</f>
        <v>204-471-05</v>
      </c>
      <c r="B5871" t="s">
        <v>4655</v>
      </c>
      <c r="C5871" t="s">
        <v>28986</v>
      </c>
      <c r="D5871" s="1">
        <v>40333</v>
      </c>
      <c r="E5871" s="2">
        <v>200000</v>
      </c>
      <c r="F5871" t="s">
        <v>4567</v>
      </c>
      <c r="G5871" s="17" t="str">
        <f>HYPERLINK("https://www.washoecounty.gov/assessor/cama/?command=sales&amp;parid=20447105","3888464")</f>
        <v>3888464</v>
      </c>
      <c r="H5871" t="s">
        <v>2868</v>
      </c>
      <c r="I5871">
        <v>2001</v>
      </c>
      <c r="J5871">
        <v>2001</v>
      </c>
      <c r="K5871" t="s">
        <v>4554</v>
      </c>
      <c r="L5871" t="s">
        <v>3974</v>
      </c>
      <c r="M5871" s="2">
        <v>1763</v>
      </c>
      <c r="N5871" t="s">
        <v>5280</v>
      </c>
      <c r="O5871">
        <v>4</v>
      </c>
      <c r="P5871">
        <v>2</v>
      </c>
      <c r="Q5871">
        <v>1</v>
      </c>
      <c r="R5871" t="s">
        <v>4557</v>
      </c>
      <c r="S5871" t="s">
        <v>4558</v>
      </c>
      <c r="T5871" t="s">
        <v>4559</v>
      </c>
      <c r="U5871" t="s">
        <v>5631</v>
      </c>
      <c r="V5871" s="2">
        <v>448</v>
      </c>
      <c r="W5871" t="s">
        <v>4655</v>
      </c>
      <c r="X5871" s="2">
        <v>0</v>
      </c>
      <c r="Y5871">
        <v>20</v>
      </c>
      <c r="Z5871" t="s">
        <v>4144</v>
      </c>
      <c r="AA5871" s="3">
        <v>0.11287878453731499</v>
      </c>
      <c r="AB5871" t="s">
        <v>28563</v>
      </c>
      <c r="AC5871" t="s">
        <v>4575</v>
      </c>
      <c r="AD5871" t="s">
        <v>3177</v>
      </c>
      <c r="AE5871" t="s">
        <v>4655</v>
      </c>
      <c r="AF5871" t="s">
        <v>3178</v>
      </c>
      <c r="AG5871" t="s">
        <v>4584</v>
      </c>
      <c r="AH5871">
        <v>96006</v>
      </c>
      <c r="AI5871" t="s">
        <v>28565</v>
      </c>
      <c r="AJ5871" t="s">
        <v>28987</v>
      </c>
      <c r="AK5871" t="s">
        <v>28988</v>
      </c>
      <c r="AL5871" s="13" t="s">
        <v>2255</v>
      </c>
      <c r="AM5871">
        <v>1</v>
      </c>
      <c r="AN5871" s="15" t="s">
        <v>383</v>
      </c>
    </row>
    <row r="5872" spans="1:40" x14ac:dyDescent="0.3">
      <c r="A5872" s="10" t="str">
        <f>HYPERLINK("http://www.washoecounty.gov/assessor/cama/?parid=204-472-12&amp;CardNumber=1","204-472-12")</f>
        <v>204-472-12</v>
      </c>
      <c r="B5872" t="s">
        <v>4655</v>
      </c>
      <c r="C5872" t="s">
        <v>28989</v>
      </c>
      <c r="D5872" s="1">
        <v>40290</v>
      </c>
      <c r="E5872" s="2">
        <v>200000</v>
      </c>
      <c r="F5872" t="s">
        <v>4567</v>
      </c>
      <c r="G5872" s="17" t="str">
        <f>HYPERLINK("https://www.washoecounty.gov/assessor/cama/?command=sales&amp;parid=20447212","3873761")</f>
        <v>3873761</v>
      </c>
      <c r="H5872" t="s">
        <v>2868</v>
      </c>
      <c r="I5872">
        <v>2001</v>
      </c>
      <c r="J5872">
        <v>2001</v>
      </c>
      <c r="K5872" t="s">
        <v>4554</v>
      </c>
      <c r="L5872" t="s">
        <v>3974</v>
      </c>
      <c r="M5872" s="2">
        <v>1591</v>
      </c>
      <c r="N5872" t="s">
        <v>5280</v>
      </c>
      <c r="O5872">
        <v>3</v>
      </c>
      <c r="P5872">
        <v>2</v>
      </c>
      <c r="Q5872">
        <v>1</v>
      </c>
      <c r="R5872" t="s">
        <v>4557</v>
      </c>
      <c r="S5872" t="s">
        <v>4558</v>
      </c>
      <c r="T5872" t="s">
        <v>4559</v>
      </c>
      <c r="U5872" t="s">
        <v>5631</v>
      </c>
      <c r="V5872" s="2">
        <v>420</v>
      </c>
      <c r="W5872" t="s">
        <v>4655</v>
      </c>
      <c r="X5872" s="2">
        <v>0</v>
      </c>
      <c r="Y5872">
        <v>20</v>
      </c>
      <c r="Z5872" t="s">
        <v>4144</v>
      </c>
      <c r="AA5872" s="3">
        <v>9.8530761897563907E-2</v>
      </c>
      <c r="AB5872" t="s">
        <v>28990</v>
      </c>
      <c r="AC5872" t="s">
        <v>4562</v>
      </c>
      <c r="AD5872" t="s">
        <v>28989</v>
      </c>
      <c r="AE5872" t="s">
        <v>4655</v>
      </c>
      <c r="AF5872" t="s">
        <v>4563</v>
      </c>
      <c r="AG5872" t="s">
        <v>4564</v>
      </c>
      <c r="AH5872" t="s">
        <v>1147</v>
      </c>
      <c r="AI5872" t="s">
        <v>28991</v>
      </c>
      <c r="AJ5872" t="s">
        <v>28992</v>
      </c>
      <c r="AK5872" t="s">
        <v>28993</v>
      </c>
      <c r="AL5872" s="13" t="s">
        <v>2255</v>
      </c>
      <c r="AM5872" s="14">
        <v>1</v>
      </c>
      <c r="AN5872" s="15" t="s">
        <v>383</v>
      </c>
    </row>
    <row r="5873" spans="1:40" x14ac:dyDescent="0.3">
      <c r="A5873" s="10" t="str">
        <f>HYPERLINK("http://www.washoecounty.gov/assessor/cama/?parid=204-472-15&amp;CardNumber=1","204-472-15")</f>
        <v>204-472-15</v>
      </c>
      <c r="B5873" t="s">
        <v>4655</v>
      </c>
      <c r="C5873" t="s">
        <v>28994</v>
      </c>
      <c r="D5873" s="1">
        <v>40249</v>
      </c>
      <c r="E5873" s="2">
        <v>185000</v>
      </c>
      <c r="F5873" t="s">
        <v>4567</v>
      </c>
      <c r="G5873" s="17" t="str">
        <f>HYPERLINK("https://www.washoecounty.gov/assessor/cama/?command=sales&amp;parid=20447215","3858980")</f>
        <v>3858980</v>
      </c>
      <c r="H5873" t="s">
        <v>2868</v>
      </c>
      <c r="I5873">
        <v>2001</v>
      </c>
      <c r="J5873">
        <v>2001</v>
      </c>
      <c r="K5873" t="s">
        <v>4554</v>
      </c>
      <c r="L5873" t="s">
        <v>4555</v>
      </c>
      <c r="M5873" s="2">
        <v>1320</v>
      </c>
      <c r="N5873" t="s">
        <v>5280</v>
      </c>
      <c r="O5873">
        <v>3</v>
      </c>
      <c r="P5873">
        <v>2</v>
      </c>
      <c r="Q5873">
        <v>0</v>
      </c>
      <c r="R5873" t="s">
        <v>4557</v>
      </c>
      <c r="S5873" t="s">
        <v>4558</v>
      </c>
      <c r="T5873" t="s">
        <v>4559</v>
      </c>
      <c r="U5873" t="s">
        <v>4560</v>
      </c>
      <c r="V5873" s="2">
        <v>382</v>
      </c>
      <c r="W5873" t="s">
        <v>4655</v>
      </c>
      <c r="X5873" s="2">
        <v>0</v>
      </c>
      <c r="Y5873">
        <v>20</v>
      </c>
      <c r="Z5873" t="s">
        <v>4144</v>
      </c>
      <c r="AA5873" s="3">
        <v>0.15615242719650299</v>
      </c>
      <c r="AB5873" t="s">
        <v>28995</v>
      </c>
      <c r="AC5873" t="s">
        <v>4575</v>
      </c>
      <c r="AD5873" t="s">
        <v>28994</v>
      </c>
      <c r="AE5873" t="s">
        <v>4655</v>
      </c>
      <c r="AF5873" t="s">
        <v>4563</v>
      </c>
      <c r="AG5873" t="s">
        <v>4564</v>
      </c>
      <c r="AH5873" t="s">
        <v>1147</v>
      </c>
      <c r="AI5873" t="s">
        <v>28996</v>
      </c>
      <c r="AJ5873" t="s">
        <v>28997</v>
      </c>
      <c r="AK5873" t="s">
        <v>28998</v>
      </c>
      <c r="AL5873" s="13" t="s">
        <v>2255</v>
      </c>
      <c r="AM5873">
        <v>1</v>
      </c>
      <c r="AN5873" s="15" t="s">
        <v>383</v>
      </c>
    </row>
    <row r="5874" spans="1:40" x14ac:dyDescent="0.3">
      <c r="A5874" s="10" t="str">
        <f>HYPERLINK("http://www.washoecounty.gov/assessor/cama/?parid=204-492-08&amp;CardNumber=1","204-492-08")</f>
        <v>204-492-08</v>
      </c>
      <c r="B5874" t="s">
        <v>4655</v>
      </c>
      <c r="C5874" t="s">
        <v>28999</v>
      </c>
      <c r="D5874" s="1">
        <v>40403</v>
      </c>
      <c r="E5874" s="2">
        <v>188000</v>
      </c>
      <c r="F5874" t="s">
        <v>4553</v>
      </c>
      <c r="G5874" s="17" t="str">
        <f>HYPERLINK("https://www.washoecounty.gov/assessor/cama/?command=sales&amp;parid=20449208","3911983")</f>
        <v>3911983</v>
      </c>
      <c r="H5874" t="s">
        <v>5030</v>
      </c>
      <c r="I5874">
        <v>2001</v>
      </c>
      <c r="J5874">
        <v>2001</v>
      </c>
      <c r="K5874" t="s">
        <v>4554</v>
      </c>
      <c r="L5874" t="s">
        <v>4555</v>
      </c>
      <c r="M5874" s="2">
        <v>1407</v>
      </c>
      <c r="N5874" t="s">
        <v>5280</v>
      </c>
      <c r="O5874">
        <v>3</v>
      </c>
      <c r="P5874">
        <v>2</v>
      </c>
      <c r="Q5874">
        <v>0</v>
      </c>
      <c r="R5874" t="s">
        <v>5281</v>
      </c>
      <c r="S5874" t="s">
        <v>4898</v>
      </c>
      <c r="T5874" t="s">
        <v>2704</v>
      </c>
      <c r="U5874" t="s">
        <v>4560</v>
      </c>
      <c r="V5874" s="2">
        <v>542</v>
      </c>
      <c r="W5874" t="s">
        <v>4655</v>
      </c>
      <c r="X5874" s="2">
        <v>0</v>
      </c>
      <c r="Y5874">
        <v>20</v>
      </c>
      <c r="Z5874" t="s">
        <v>4561</v>
      </c>
      <c r="AA5874" s="3">
        <v>0.18101468682289101</v>
      </c>
      <c r="AB5874" t="s">
        <v>29000</v>
      </c>
      <c r="AC5874" t="s">
        <v>4562</v>
      </c>
      <c r="AD5874" t="s">
        <v>28999</v>
      </c>
      <c r="AE5874" t="s">
        <v>4655</v>
      </c>
      <c r="AF5874" t="s">
        <v>4563</v>
      </c>
      <c r="AG5874" t="s">
        <v>4564</v>
      </c>
      <c r="AH5874" t="s">
        <v>1147</v>
      </c>
      <c r="AI5874" t="s">
        <v>29001</v>
      </c>
      <c r="AJ5874" t="s">
        <v>29002</v>
      </c>
      <c r="AK5874" t="s">
        <v>29003</v>
      </c>
      <c r="AL5874" s="13" t="s">
        <v>2255</v>
      </c>
      <c r="AM5874">
        <v>1</v>
      </c>
      <c r="AN5874" s="15" t="s">
        <v>383</v>
      </c>
    </row>
    <row r="5875" spans="1:40" x14ac:dyDescent="0.3">
      <c r="A5875" s="10" t="str">
        <f>HYPERLINK("http://www.washoecounty.gov/assessor/cama/?parid=204-492-10&amp;CardNumber=1","204-492-10")</f>
        <v>204-492-10</v>
      </c>
      <c r="B5875" t="s">
        <v>4655</v>
      </c>
      <c r="C5875" t="s">
        <v>29004</v>
      </c>
      <c r="D5875" s="1">
        <v>40528</v>
      </c>
      <c r="E5875" s="2">
        <v>270000</v>
      </c>
      <c r="F5875" t="s">
        <v>4567</v>
      </c>
      <c r="G5875" s="17" t="str">
        <f>HYPERLINK("https://www.washoecounty.gov/assessor/cama/?command=sales&amp;parid=20449210","3954565")</f>
        <v>3954565</v>
      </c>
      <c r="H5875" t="s">
        <v>4080</v>
      </c>
      <c r="I5875">
        <v>2001</v>
      </c>
      <c r="J5875">
        <v>2001</v>
      </c>
      <c r="K5875" t="s">
        <v>4554</v>
      </c>
      <c r="L5875" t="s">
        <v>3974</v>
      </c>
      <c r="M5875" s="2">
        <v>2863</v>
      </c>
      <c r="N5875" t="s">
        <v>5280</v>
      </c>
      <c r="O5875">
        <v>5</v>
      </c>
      <c r="P5875">
        <v>3</v>
      </c>
      <c r="Q5875">
        <v>0</v>
      </c>
      <c r="R5875" t="s">
        <v>5281</v>
      </c>
      <c r="S5875" t="s">
        <v>4898</v>
      </c>
      <c r="T5875" t="s">
        <v>2704</v>
      </c>
      <c r="U5875" t="s">
        <v>5631</v>
      </c>
      <c r="V5875" s="2">
        <v>447</v>
      </c>
      <c r="W5875" t="s">
        <v>4655</v>
      </c>
      <c r="X5875" s="2">
        <v>0</v>
      </c>
      <c r="Y5875">
        <v>20</v>
      </c>
      <c r="Z5875" t="s">
        <v>4561</v>
      </c>
      <c r="AA5875" s="3">
        <v>0.16179981827735901</v>
      </c>
      <c r="AB5875" t="s">
        <v>29005</v>
      </c>
      <c r="AC5875" t="s">
        <v>4575</v>
      </c>
      <c r="AD5875" t="s">
        <v>29006</v>
      </c>
      <c r="AE5875" t="s">
        <v>4655</v>
      </c>
      <c r="AF5875" t="s">
        <v>4752</v>
      </c>
      <c r="AG5875" t="s">
        <v>4564</v>
      </c>
      <c r="AH5875" t="s">
        <v>1147</v>
      </c>
      <c r="AI5875" t="s">
        <v>29007</v>
      </c>
      <c r="AJ5875" t="s">
        <v>29008</v>
      </c>
      <c r="AK5875" t="s">
        <v>29009</v>
      </c>
      <c r="AL5875" s="13" t="s">
        <v>2255</v>
      </c>
      <c r="AM5875">
        <v>1</v>
      </c>
      <c r="AN5875" s="15" t="s">
        <v>383</v>
      </c>
    </row>
    <row r="5876" spans="1:40" x14ac:dyDescent="0.3">
      <c r="A5876" s="10" t="str">
        <f>HYPERLINK("http://www.washoecounty.gov/assessor/cama/?parid=204-502-16&amp;CardNumber=1","204-502-16")</f>
        <v>204-502-16</v>
      </c>
      <c r="B5876" t="s">
        <v>4655</v>
      </c>
      <c r="C5876" t="s">
        <v>29010</v>
      </c>
      <c r="D5876" s="1">
        <v>40297</v>
      </c>
      <c r="E5876" s="2">
        <v>305000</v>
      </c>
      <c r="F5876" t="s">
        <v>4567</v>
      </c>
      <c r="G5876" s="17" t="str">
        <f>HYPERLINK("https://www.washoecounty.gov/assessor/cama/?command=sales&amp;parid=20450216","3876046")</f>
        <v>3876046</v>
      </c>
      <c r="H5876" t="s">
        <v>5030</v>
      </c>
      <c r="I5876">
        <v>2001</v>
      </c>
      <c r="J5876">
        <v>2001</v>
      </c>
      <c r="K5876" t="s">
        <v>4554</v>
      </c>
      <c r="L5876" t="s">
        <v>3974</v>
      </c>
      <c r="M5876" s="2">
        <v>2629</v>
      </c>
      <c r="N5876" t="s">
        <v>5280</v>
      </c>
      <c r="O5876">
        <v>3</v>
      </c>
      <c r="P5876">
        <v>3</v>
      </c>
      <c r="Q5876">
        <v>0</v>
      </c>
      <c r="R5876" t="s">
        <v>5281</v>
      </c>
      <c r="S5876" t="s">
        <v>4898</v>
      </c>
      <c r="T5876" t="s">
        <v>2704</v>
      </c>
      <c r="U5876" t="s">
        <v>162</v>
      </c>
      <c r="V5876" s="2">
        <v>634</v>
      </c>
      <c r="W5876" t="s">
        <v>4655</v>
      </c>
      <c r="X5876" s="2">
        <v>0</v>
      </c>
      <c r="Y5876">
        <v>20</v>
      </c>
      <c r="Z5876" t="s">
        <v>4561</v>
      </c>
      <c r="AA5876" s="3">
        <v>0.207346186041832</v>
      </c>
      <c r="AB5876" t="s">
        <v>29011</v>
      </c>
      <c r="AC5876" t="s">
        <v>4562</v>
      </c>
      <c r="AD5876" t="s">
        <v>29012</v>
      </c>
      <c r="AE5876" t="s">
        <v>4655</v>
      </c>
      <c r="AF5876" t="s">
        <v>4563</v>
      </c>
      <c r="AG5876" t="s">
        <v>4564</v>
      </c>
      <c r="AH5876" t="s">
        <v>1147</v>
      </c>
      <c r="AI5876" t="s">
        <v>29013</v>
      </c>
      <c r="AJ5876" t="s">
        <v>29014</v>
      </c>
      <c r="AK5876" t="s">
        <v>29015</v>
      </c>
      <c r="AL5876" s="13" t="s">
        <v>2255</v>
      </c>
      <c r="AM5876" s="14">
        <v>1</v>
      </c>
      <c r="AN5876" s="15" t="s">
        <v>383</v>
      </c>
    </row>
    <row r="5877" spans="1:40" x14ac:dyDescent="0.3">
      <c r="A5877" s="10" t="str">
        <f>HYPERLINK("http://www.washoecounty.gov/assessor/cama/?parid=204-514-03&amp;CardNumber=1","204-514-03")</f>
        <v>204-514-03</v>
      </c>
      <c r="B5877" t="s">
        <v>4655</v>
      </c>
      <c r="C5877" t="s">
        <v>29016</v>
      </c>
      <c r="D5877" s="1">
        <v>40281</v>
      </c>
      <c r="E5877" s="2">
        <v>147000</v>
      </c>
      <c r="F5877" t="s">
        <v>4553</v>
      </c>
      <c r="G5877" s="17" t="str">
        <f>HYPERLINK("https://www.washoecounty.gov/assessor/cama/?command=sales&amp;parid=20451403","3870244")</f>
        <v>3870244</v>
      </c>
      <c r="H5877" t="s">
        <v>3385</v>
      </c>
      <c r="I5877">
        <v>2001</v>
      </c>
      <c r="J5877">
        <v>2001</v>
      </c>
      <c r="K5877" t="s">
        <v>4554</v>
      </c>
      <c r="L5877" t="s">
        <v>4555</v>
      </c>
      <c r="M5877" s="2">
        <v>1320</v>
      </c>
      <c r="N5877" t="s">
        <v>5280</v>
      </c>
      <c r="O5877">
        <v>3</v>
      </c>
      <c r="P5877">
        <v>2</v>
      </c>
      <c r="Q5877">
        <v>0</v>
      </c>
      <c r="R5877" t="s">
        <v>5281</v>
      </c>
      <c r="S5877" t="s">
        <v>4558</v>
      </c>
      <c r="T5877" t="s">
        <v>4559</v>
      </c>
      <c r="U5877" t="s">
        <v>4560</v>
      </c>
      <c r="V5877" s="2">
        <v>382</v>
      </c>
      <c r="W5877" t="s">
        <v>4655</v>
      </c>
      <c r="X5877" s="2">
        <v>0</v>
      </c>
      <c r="Y5877">
        <v>20</v>
      </c>
      <c r="Z5877" t="s">
        <v>4144</v>
      </c>
      <c r="AA5877" s="3">
        <v>0.101354449987411</v>
      </c>
      <c r="AB5877" t="s">
        <v>29017</v>
      </c>
      <c r="AC5877" t="s">
        <v>4562</v>
      </c>
      <c r="AD5877" t="s">
        <v>29016</v>
      </c>
      <c r="AE5877" t="s">
        <v>4655</v>
      </c>
      <c r="AF5877" t="s">
        <v>4563</v>
      </c>
      <c r="AG5877" t="s">
        <v>4564</v>
      </c>
      <c r="AH5877" t="s">
        <v>1147</v>
      </c>
      <c r="AI5877" t="s">
        <v>4848</v>
      </c>
      <c r="AJ5877" t="s">
        <v>3386</v>
      </c>
      <c r="AK5877" t="s">
        <v>29018</v>
      </c>
      <c r="AL5877" s="13" t="s">
        <v>2255</v>
      </c>
      <c r="AM5877">
        <v>1</v>
      </c>
      <c r="AN5877" s="15" t="s">
        <v>383</v>
      </c>
    </row>
    <row r="5878" spans="1:40" x14ac:dyDescent="0.3">
      <c r="A5878" s="10" t="str">
        <f>HYPERLINK("http://www.washoecounty.gov/assessor/cama/?parid=204-514-07&amp;CardNumber=1","204-514-07")</f>
        <v>204-514-07</v>
      </c>
      <c r="B5878" t="s">
        <v>4655</v>
      </c>
      <c r="C5878" t="s">
        <v>29019</v>
      </c>
      <c r="D5878" s="1">
        <v>40501</v>
      </c>
      <c r="E5878" s="2">
        <v>190000</v>
      </c>
      <c r="F5878" t="s">
        <v>4553</v>
      </c>
      <c r="G5878" s="17" t="str">
        <f>HYPERLINK("https://www.washoecounty.gov/assessor/cama/?command=sales&amp;parid=20451407","3945047")</f>
        <v>3945047</v>
      </c>
      <c r="H5878" t="s">
        <v>3385</v>
      </c>
      <c r="I5878">
        <v>2001</v>
      </c>
      <c r="J5878">
        <v>2001</v>
      </c>
      <c r="K5878" t="s">
        <v>4554</v>
      </c>
      <c r="L5878" t="s">
        <v>3974</v>
      </c>
      <c r="M5878" s="2">
        <v>2055</v>
      </c>
      <c r="N5878" t="s">
        <v>5280</v>
      </c>
      <c r="O5878">
        <v>4</v>
      </c>
      <c r="P5878">
        <v>2</v>
      </c>
      <c r="Q5878">
        <v>1</v>
      </c>
      <c r="R5878" t="s">
        <v>5281</v>
      </c>
      <c r="S5878" t="s">
        <v>4558</v>
      </c>
      <c r="T5878" t="s">
        <v>4559</v>
      </c>
      <c r="U5878" t="s">
        <v>5631</v>
      </c>
      <c r="V5878" s="2">
        <v>410</v>
      </c>
      <c r="W5878" t="s">
        <v>4655</v>
      </c>
      <c r="X5878" s="2">
        <v>0</v>
      </c>
      <c r="Y5878">
        <v>20</v>
      </c>
      <c r="Z5878" t="s">
        <v>4144</v>
      </c>
      <c r="AA5878" s="3">
        <v>0.100642792880535</v>
      </c>
      <c r="AB5878" t="s">
        <v>29020</v>
      </c>
      <c r="AC5878" t="s">
        <v>4575</v>
      </c>
      <c r="AD5878" t="s">
        <v>29021</v>
      </c>
      <c r="AE5878" t="s">
        <v>4655</v>
      </c>
      <c r="AF5878" t="s">
        <v>4563</v>
      </c>
      <c r="AG5878" t="s">
        <v>4564</v>
      </c>
      <c r="AH5878" t="s">
        <v>1147</v>
      </c>
      <c r="AI5878" t="s">
        <v>4903</v>
      </c>
      <c r="AJ5878" t="s">
        <v>3386</v>
      </c>
      <c r="AK5878" t="s">
        <v>29022</v>
      </c>
      <c r="AL5878" s="13" t="s">
        <v>2255</v>
      </c>
      <c r="AM5878" s="14">
        <v>1</v>
      </c>
      <c r="AN5878" s="15" t="s">
        <v>383</v>
      </c>
    </row>
    <row r="5879" spans="1:40" x14ac:dyDescent="0.3">
      <c r="A5879" s="10" t="str">
        <f>HYPERLINK("http://www.washoecounty.gov/assessor/cama/?parid=204-542-10&amp;CardNumber=1","204-542-10")</f>
        <v>204-542-10</v>
      </c>
      <c r="B5879" t="s">
        <v>4655</v>
      </c>
      <c r="C5879" t="s">
        <v>29023</v>
      </c>
      <c r="D5879" s="1">
        <v>40189</v>
      </c>
      <c r="E5879" s="2">
        <v>220000</v>
      </c>
      <c r="F5879" t="s">
        <v>4567</v>
      </c>
      <c r="G5879" s="17" t="str">
        <f>HYPERLINK("https://www.washoecounty.gov/assessor/cama/?command=sales&amp;parid=20454210","3838140")</f>
        <v>3838140</v>
      </c>
      <c r="H5879" t="s">
        <v>4918</v>
      </c>
      <c r="I5879">
        <v>2001</v>
      </c>
      <c r="J5879">
        <v>2001</v>
      </c>
      <c r="K5879" t="s">
        <v>4554</v>
      </c>
      <c r="L5879" t="s">
        <v>4555</v>
      </c>
      <c r="M5879" s="2">
        <v>1858</v>
      </c>
      <c r="N5879" t="s">
        <v>5280</v>
      </c>
      <c r="O5879">
        <v>3</v>
      </c>
      <c r="P5879">
        <v>2</v>
      </c>
      <c r="Q5879">
        <v>0</v>
      </c>
      <c r="R5879" t="s">
        <v>5281</v>
      </c>
      <c r="S5879" t="s">
        <v>4898</v>
      </c>
      <c r="T5879" t="s">
        <v>2704</v>
      </c>
      <c r="U5879" t="s">
        <v>4560</v>
      </c>
      <c r="V5879" s="2">
        <v>462</v>
      </c>
      <c r="W5879" t="s">
        <v>4655</v>
      </c>
      <c r="X5879" s="2">
        <v>0</v>
      </c>
      <c r="Y5879">
        <v>20</v>
      </c>
      <c r="Z5879" t="s">
        <v>4561</v>
      </c>
      <c r="AA5879" s="3">
        <v>0.27332416176795959</v>
      </c>
      <c r="AB5879" t="s">
        <v>29024</v>
      </c>
      <c r="AC5879" t="s">
        <v>4562</v>
      </c>
      <c r="AD5879" t="s">
        <v>29023</v>
      </c>
      <c r="AE5879" t="s">
        <v>4655</v>
      </c>
      <c r="AF5879" t="s">
        <v>4563</v>
      </c>
      <c r="AG5879" t="s">
        <v>4564</v>
      </c>
      <c r="AH5879" t="s">
        <v>1147</v>
      </c>
      <c r="AI5879" t="s">
        <v>29025</v>
      </c>
      <c r="AJ5879" t="s">
        <v>4919</v>
      </c>
      <c r="AK5879" t="s">
        <v>29026</v>
      </c>
      <c r="AL5879" s="13" t="s">
        <v>2255</v>
      </c>
      <c r="AM5879">
        <v>1</v>
      </c>
      <c r="AN5879" s="15" t="s">
        <v>383</v>
      </c>
    </row>
    <row r="5880" spans="1:40" x14ac:dyDescent="0.3">
      <c r="A5880" s="10" t="str">
        <f>HYPERLINK("http://www.washoecounty.gov/assessor/cama/?parid=204-561-03&amp;CardNumber=1","204-561-03")</f>
        <v>204-561-03</v>
      </c>
      <c r="B5880" t="s">
        <v>4655</v>
      </c>
      <c r="C5880" t="s">
        <v>29027</v>
      </c>
      <c r="D5880" s="1">
        <v>40234</v>
      </c>
      <c r="E5880" s="2">
        <v>1050000</v>
      </c>
      <c r="F5880" t="s">
        <v>4553</v>
      </c>
      <c r="G5880" s="17" t="str">
        <f>HYPERLINK("https://www.washoecounty.gov/assessor/cama/?command=sales&amp;parid=20456103","3852655")</f>
        <v>3852655</v>
      </c>
      <c r="H5880" t="s">
        <v>2341</v>
      </c>
      <c r="I5880">
        <v>2007</v>
      </c>
      <c r="J5880">
        <v>2007</v>
      </c>
      <c r="K5880" t="s">
        <v>4554</v>
      </c>
      <c r="L5880" t="s">
        <v>3974</v>
      </c>
      <c r="M5880" s="2">
        <v>1577</v>
      </c>
      <c r="N5880" t="s">
        <v>4048</v>
      </c>
      <c r="O5880">
        <v>3</v>
      </c>
      <c r="P5880">
        <v>2</v>
      </c>
      <c r="Q5880">
        <v>1</v>
      </c>
      <c r="R5880" t="s">
        <v>4557</v>
      </c>
      <c r="S5880" t="s">
        <v>4898</v>
      </c>
      <c r="T5880" t="s">
        <v>4559</v>
      </c>
      <c r="U5880" t="s">
        <v>5631</v>
      </c>
      <c r="V5880" s="2">
        <v>440</v>
      </c>
      <c r="W5880" t="s">
        <v>4655</v>
      </c>
      <c r="X5880" s="2">
        <v>0</v>
      </c>
      <c r="Y5880">
        <v>20</v>
      </c>
      <c r="Z5880" t="s">
        <v>4144</v>
      </c>
      <c r="AA5880" s="3">
        <v>4.8209365457296399E-2</v>
      </c>
      <c r="AB5880" t="s">
        <v>29028</v>
      </c>
      <c r="AC5880" t="s">
        <v>4575</v>
      </c>
      <c r="AD5880" t="s">
        <v>29027</v>
      </c>
      <c r="AE5880" t="s">
        <v>4655</v>
      </c>
      <c r="AF5880" t="s">
        <v>4563</v>
      </c>
      <c r="AG5880" t="s">
        <v>4564</v>
      </c>
      <c r="AH5880" t="s">
        <v>1147</v>
      </c>
      <c r="AI5880" t="s">
        <v>2679</v>
      </c>
      <c r="AJ5880" t="s">
        <v>2680</v>
      </c>
      <c r="AK5880" t="s">
        <v>29029</v>
      </c>
      <c r="AL5880" s="13" t="s">
        <v>2255</v>
      </c>
      <c r="AM5880" s="14">
        <v>1</v>
      </c>
      <c r="AN5880" s="15" t="s">
        <v>5315</v>
      </c>
    </row>
    <row r="5881" spans="1:40" x14ac:dyDescent="0.3">
      <c r="A5881" s="10" t="str">
        <f>HYPERLINK("http://www.washoecounty.gov/assessor/cama/?parid=204-561-03&amp;CardNumber=1","204-561-03")</f>
        <v>204-561-03</v>
      </c>
      <c r="B5881" t="s">
        <v>4655</v>
      </c>
      <c r="C5881" t="s">
        <v>29027</v>
      </c>
      <c r="D5881" s="1">
        <v>40359</v>
      </c>
      <c r="E5881" s="2">
        <v>169900</v>
      </c>
      <c r="F5881" t="s">
        <v>4567</v>
      </c>
      <c r="G5881" s="17" t="str">
        <f>HYPERLINK("https://www.washoecounty.gov/assessor/cama/?command=sales&amp;parid=20456103","3897310")</f>
        <v>3897310</v>
      </c>
      <c r="H5881" t="s">
        <v>2341</v>
      </c>
      <c r="I5881">
        <v>2007</v>
      </c>
      <c r="J5881">
        <v>2007</v>
      </c>
      <c r="K5881" t="s">
        <v>4554</v>
      </c>
      <c r="L5881" t="s">
        <v>3974</v>
      </c>
      <c r="M5881" s="2">
        <v>1577</v>
      </c>
      <c r="N5881" t="s">
        <v>4048</v>
      </c>
      <c r="O5881">
        <v>3</v>
      </c>
      <c r="P5881">
        <v>2</v>
      </c>
      <c r="Q5881">
        <v>1</v>
      </c>
      <c r="R5881" t="s">
        <v>4557</v>
      </c>
      <c r="S5881" t="s">
        <v>4898</v>
      </c>
      <c r="T5881" t="s">
        <v>4559</v>
      </c>
      <c r="U5881" t="s">
        <v>5631</v>
      </c>
      <c r="V5881" s="2">
        <v>440</v>
      </c>
      <c r="W5881" t="s">
        <v>4655</v>
      </c>
      <c r="X5881" s="2">
        <v>0</v>
      </c>
      <c r="Y5881">
        <v>20</v>
      </c>
      <c r="Z5881" t="s">
        <v>4144</v>
      </c>
      <c r="AA5881" s="3">
        <v>4.8209365457296399E-2</v>
      </c>
      <c r="AB5881" t="s">
        <v>29028</v>
      </c>
      <c r="AC5881" t="s">
        <v>4575</v>
      </c>
      <c r="AD5881" t="s">
        <v>29027</v>
      </c>
      <c r="AE5881" t="s">
        <v>4655</v>
      </c>
      <c r="AF5881" t="s">
        <v>4563</v>
      </c>
      <c r="AG5881" t="s">
        <v>4564</v>
      </c>
      <c r="AH5881" t="s">
        <v>1147</v>
      </c>
      <c r="AI5881" t="s">
        <v>2679</v>
      </c>
      <c r="AJ5881" t="s">
        <v>2680</v>
      </c>
      <c r="AK5881" t="s">
        <v>29029</v>
      </c>
      <c r="AL5881" s="13" t="s">
        <v>2255</v>
      </c>
      <c r="AM5881">
        <v>1</v>
      </c>
      <c r="AN5881" s="15" t="s">
        <v>5315</v>
      </c>
    </row>
    <row r="5882" spans="1:40" x14ac:dyDescent="0.3">
      <c r="A5882" s="10" t="str">
        <f>HYPERLINK("http://www.washoecounty.gov/assessor/cama/?parid=204-561-04&amp;CardNumber=1","204-561-04")</f>
        <v>204-561-04</v>
      </c>
      <c r="B5882" t="s">
        <v>4655</v>
      </c>
      <c r="C5882" t="s">
        <v>29030</v>
      </c>
      <c r="D5882" s="1">
        <v>40234</v>
      </c>
      <c r="E5882" s="2">
        <v>1050000</v>
      </c>
      <c r="F5882" t="s">
        <v>4553</v>
      </c>
      <c r="G5882" s="17" t="str">
        <f>HYPERLINK("https://www.washoecounty.gov/assessor/cama/?command=sales&amp;parid=20456104","3852655")</f>
        <v>3852655</v>
      </c>
      <c r="H5882" t="s">
        <v>2341</v>
      </c>
      <c r="I5882">
        <v>2007</v>
      </c>
      <c r="J5882">
        <v>2007</v>
      </c>
      <c r="K5882" t="s">
        <v>4554</v>
      </c>
      <c r="L5882" t="s">
        <v>3044</v>
      </c>
      <c r="M5882" s="2">
        <v>2035</v>
      </c>
      <c r="N5882" t="s">
        <v>4048</v>
      </c>
      <c r="O5882">
        <v>4</v>
      </c>
      <c r="P5882">
        <v>3</v>
      </c>
      <c r="Q5882">
        <v>0</v>
      </c>
      <c r="R5882" t="s">
        <v>4557</v>
      </c>
      <c r="S5882" t="s">
        <v>4898</v>
      </c>
      <c r="T5882" t="s">
        <v>4559</v>
      </c>
      <c r="U5882" t="s">
        <v>5631</v>
      </c>
      <c r="V5882" s="2">
        <v>400</v>
      </c>
      <c r="W5882" t="s">
        <v>4655</v>
      </c>
      <c r="X5882" s="2">
        <v>0</v>
      </c>
      <c r="Y5882">
        <v>20</v>
      </c>
      <c r="Z5882" t="s">
        <v>4144</v>
      </c>
      <c r="AA5882" s="3">
        <v>4.8209365457296399E-2</v>
      </c>
      <c r="AB5882" t="s">
        <v>29031</v>
      </c>
      <c r="AC5882" t="s">
        <v>4562</v>
      </c>
      <c r="AD5882" t="s">
        <v>29032</v>
      </c>
      <c r="AE5882" t="s">
        <v>4655</v>
      </c>
      <c r="AF5882" t="s">
        <v>4563</v>
      </c>
      <c r="AG5882" t="s">
        <v>4564</v>
      </c>
      <c r="AH5882" t="s">
        <v>2330</v>
      </c>
      <c r="AI5882" t="s">
        <v>2679</v>
      </c>
      <c r="AJ5882" t="s">
        <v>2680</v>
      </c>
      <c r="AK5882" t="s">
        <v>29033</v>
      </c>
      <c r="AL5882" s="13" t="s">
        <v>2255</v>
      </c>
      <c r="AM5882">
        <v>1</v>
      </c>
      <c r="AN5882" s="15" t="s">
        <v>5315</v>
      </c>
    </row>
    <row r="5883" spans="1:40" x14ac:dyDescent="0.3">
      <c r="A5883" s="10" t="str">
        <f>HYPERLINK("http://www.washoecounty.gov/assessor/cama/?parid=204-561-04&amp;CardNumber=1","204-561-04")</f>
        <v>204-561-04</v>
      </c>
      <c r="B5883" t="s">
        <v>4655</v>
      </c>
      <c r="C5883" t="s">
        <v>29030</v>
      </c>
      <c r="D5883" s="1">
        <v>40396</v>
      </c>
      <c r="E5883" s="2">
        <v>180000</v>
      </c>
      <c r="F5883" t="s">
        <v>4567</v>
      </c>
      <c r="G5883" s="17" t="str">
        <f>HYPERLINK("https://www.washoecounty.gov/assessor/cama/?command=sales&amp;parid=20456104","3909510")</f>
        <v>3909510</v>
      </c>
      <c r="H5883" t="s">
        <v>2341</v>
      </c>
      <c r="I5883">
        <v>2007</v>
      </c>
      <c r="J5883">
        <v>2007</v>
      </c>
      <c r="K5883" t="s">
        <v>4554</v>
      </c>
      <c r="L5883" t="s">
        <v>3044</v>
      </c>
      <c r="M5883" s="2">
        <v>2035</v>
      </c>
      <c r="N5883" t="s">
        <v>4048</v>
      </c>
      <c r="O5883">
        <v>4</v>
      </c>
      <c r="P5883">
        <v>3</v>
      </c>
      <c r="Q5883">
        <v>0</v>
      </c>
      <c r="R5883" t="s">
        <v>4557</v>
      </c>
      <c r="S5883" t="s">
        <v>4898</v>
      </c>
      <c r="T5883" t="s">
        <v>4559</v>
      </c>
      <c r="U5883" t="s">
        <v>5631</v>
      </c>
      <c r="V5883" s="2">
        <v>400</v>
      </c>
      <c r="W5883" t="s">
        <v>4655</v>
      </c>
      <c r="X5883" s="2">
        <v>0</v>
      </c>
      <c r="Y5883">
        <v>20</v>
      </c>
      <c r="Z5883" t="s">
        <v>4144</v>
      </c>
      <c r="AA5883" s="3">
        <v>4.8209365457296399E-2</v>
      </c>
      <c r="AB5883" t="s">
        <v>29031</v>
      </c>
      <c r="AC5883" t="s">
        <v>4562</v>
      </c>
      <c r="AD5883" t="s">
        <v>29032</v>
      </c>
      <c r="AE5883" t="s">
        <v>4655</v>
      </c>
      <c r="AF5883" t="s">
        <v>4563</v>
      </c>
      <c r="AG5883" t="s">
        <v>4564</v>
      </c>
      <c r="AH5883" t="s">
        <v>2330</v>
      </c>
      <c r="AI5883" t="s">
        <v>2679</v>
      </c>
      <c r="AJ5883" t="s">
        <v>2680</v>
      </c>
      <c r="AK5883" t="s">
        <v>29033</v>
      </c>
      <c r="AL5883" s="13" t="s">
        <v>2255</v>
      </c>
      <c r="AM5883">
        <v>1</v>
      </c>
      <c r="AN5883" s="15" t="s">
        <v>5315</v>
      </c>
    </row>
    <row r="5884" spans="1:40" x14ac:dyDescent="0.3">
      <c r="A5884" s="10" t="str">
        <f>HYPERLINK("http://www.washoecounty.gov/assessor/cama/?parid=204-561-05&amp;CardNumber=1","204-561-05")</f>
        <v>204-561-05</v>
      </c>
      <c r="B5884" t="s">
        <v>4655</v>
      </c>
      <c r="C5884" t="s">
        <v>3579</v>
      </c>
      <c r="D5884" s="1">
        <v>40234</v>
      </c>
      <c r="E5884" s="2">
        <v>1050000</v>
      </c>
      <c r="F5884" t="s">
        <v>4553</v>
      </c>
      <c r="G5884" s="17" t="str">
        <f>HYPERLINK("https://www.washoecounty.gov/assessor/cama/?command=sales&amp;parid=20456105","3852655")</f>
        <v>3852655</v>
      </c>
      <c r="H5884" t="s">
        <v>2341</v>
      </c>
      <c r="I5884">
        <v>2007</v>
      </c>
      <c r="J5884">
        <v>2007</v>
      </c>
      <c r="K5884" t="s">
        <v>4554</v>
      </c>
      <c r="L5884" t="s">
        <v>3974</v>
      </c>
      <c r="M5884" s="2">
        <v>1741</v>
      </c>
      <c r="N5884" t="s">
        <v>4048</v>
      </c>
      <c r="O5884">
        <v>3</v>
      </c>
      <c r="P5884">
        <v>2</v>
      </c>
      <c r="Q5884">
        <v>1</v>
      </c>
      <c r="R5884" t="s">
        <v>4557</v>
      </c>
      <c r="S5884" t="s">
        <v>4898</v>
      </c>
      <c r="T5884" t="s">
        <v>4559</v>
      </c>
      <c r="U5884" t="s">
        <v>5631</v>
      </c>
      <c r="V5884" s="2">
        <v>440</v>
      </c>
      <c r="W5884" t="s">
        <v>4655</v>
      </c>
      <c r="X5884" s="2">
        <v>0</v>
      </c>
      <c r="Y5884">
        <v>20</v>
      </c>
      <c r="Z5884" t="s">
        <v>4144</v>
      </c>
      <c r="AA5884" s="3">
        <v>4.8209365457296399E-2</v>
      </c>
      <c r="AB5884" t="s">
        <v>174</v>
      </c>
      <c r="AC5884" t="s">
        <v>4562</v>
      </c>
      <c r="AD5884" t="s">
        <v>29034</v>
      </c>
      <c r="AE5884" t="s">
        <v>4655</v>
      </c>
      <c r="AF5884" t="s">
        <v>4563</v>
      </c>
      <c r="AG5884" t="s">
        <v>4564</v>
      </c>
      <c r="AH5884" t="s">
        <v>2330</v>
      </c>
      <c r="AI5884" t="s">
        <v>4655</v>
      </c>
      <c r="AJ5884" t="s">
        <v>2680</v>
      </c>
      <c r="AK5884" t="s">
        <v>3580</v>
      </c>
      <c r="AL5884" s="13" t="s">
        <v>2255</v>
      </c>
      <c r="AM5884" s="14">
        <v>1</v>
      </c>
      <c r="AN5884" s="15" t="s">
        <v>5315</v>
      </c>
    </row>
    <row r="5885" spans="1:40" x14ac:dyDescent="0.3">
      <c r="A5885" s="10" t="str">
        <f>HYPERLINK("http://www.washoecounty.gov/assessor/cama/?parid=204-561-06&amp;CardNumber=1","204-561-06")</f>
        <v>204-561-06</v>
      </c>
      <c r="B5885" t="s">
        <v>4655</v>
      </c>
      <c r="C5885" t="s">
        <v>29035</v>
      </c>
      <c r="D5885" s="1">
        <v>40234</v>
      </c>
      <c r="E5885" s="2">
        <v>1050000</v>
      </c>
      <c r="F5885" t="s">
        <v>4553</v>
      </c>
      <c r="G5885" s="17" t="str">
        <f>HYPERLINK("https://www.washoecounty.gov/assessor/cama/?command=sales&amp;parid=20456106","3852655")</f>
        <v>3852655</v>
      </c>
      <c r="H5885" t="s">
        <v>2341</v>
      </c>
      <c r="I5885">
        <v>2007</v>
      </c>
      <c r="J5885">
        <v>2007</v>
      </c>
      <c r="K5885" t="s">
        <v>4554</v>
      </c>
      <c r="L5885" t="s">
        <v>3044</v>
      </c>
      <c r="M5885" s="2">
        <v>2035</v>
      </c>
      <c r="N5885" t="s">
        <v>4048</v>
      </c>
      <c r="O5885">
        <v>4</v>
      </c>
      <c r="P5885">
        <v>3</v>
      </c>
      <c r="Q5885">
        <v>0</v>
      </c>
      <c r="R5885" t="s">
        <v>5281</v>
      </c>
      <c r="S5885" t="s">
        <v>4898</v>
      </c>
      <c r="T5885" t="s">
        <v>4559</v>
      </c>
      <c r="U5885" t="s">
        <v>5631</v>
      </c>
      <c r="V5885" s="2">
        <v>400</v>
      </c>
      <c r="W5885" t="s">
        <v>4655</v>
      </c>
      <c r="X5885" s="2">
        <v>0</v>
      </c>
      <c r="Y5885">
        <v>20</v>
      </c>
      <c r="Z5885" t="s">
        <v>4144</v>
      </c>
      <c r="AA5885" s="3">
        <v>4.8209365457296399E-2</v>
      </c>
      <c r="AB5885" t="s">
        <v>174</v>
      </c>
      <c r="AC5885" t="s">
        <v>4562</v>
      </c>
      <c r="AD5885" t="s">
        <v>29034</v>
      </c>
      <c r="AE5885" t="s">
        <v>4655</v>
      </c>
      <c r="AF5885" t="s">
        <v>4563</v>
      </c>
      <c r="AG5885" t="s">
        <v>4564</v>
      </c>
      <c r="AH5885" t="s">
        <v>2330</v>
      </c>
      <c r="AI5885" t="s">
        <v>4655</v>
      </c>
      <c r="AJ5885" t="s">
        <v>2680</v>
      </c>
      <c r="AK5885" t="s">
        <v>29036</v>
      </c>
      <c r="AL5885" s="13" t="s">
        <v>2255</v>
      </c>
      <c r="AM5885" s="14">
        <v>1</v>
      </c>
      <c r="AN5885" s="15" t="s">
        <v>5315</v>
      </c>
    </row>
    <row r="5886" spans="1:40" x14ac:dyDescent="0.3">
      <c r="A5886" s="10" t="str">
        <f>HYPERLINK("http://www.washoecounty.gov/assessor/cama/?parid=204-561-07&amp;CardNumber=1","204-561-07")</f>
        <v>204-561-07</v>
      </c>
      <c r="B5886" t="s">
        <v>4655</v>
      </c>
      <c r="C5886" t="s">
        <v>29037</v>
      </c>
      <c r="D5886" s="1">
        <v>40234</v>
      </c>
      <c r="E5886" s="2">
        <v>1050000</v>
      </c>
      <c r="F5886" t="s">
        <v>4553</v>
      </c>
      <c r="G5886" s="17" t="str">
        <f>HYPERLINK("https://www.washoecounty.gov/assessor/cama/?command=sales&amp;parid=20456107","3852655")</f>
        <v>3852655</v>
      </c>
      <c r="H5886" t="s">
        <v>2341</v>
      </c>
      <c r="I5886">
        <v>2007</v>
      </c>
      <c r="J5886">
        <v>2007</v>
      </c>
      <c r="K5886" t="s">
        <v>4554</v>
      </c>
      <c r="L5886" t="s">
        <v>3974</v>
      </c>
      <c r="M5886" s="2">
        <v>1577</v>
      </c>
      <c r="N5886" t="s">
        <v>4048</v>
      </c>
      <c r="O5886">
        <v>3</v>
      </c>
      <c r="P5886">
        <v>2</v>
      </c>
      <c r="Q5886">
        <v>1</v>
      </c>
      <c r="R5886" t="s">
        <v>5281</v>
      </c>
      <c r="S5886" t="s">
        <v>4898</v>
      </c>
      <c r="T5886" t="s">
        <v>4559</v>
      </c>
      <c r="U5886" t="s">
        <v>5631</v>
      </c>
      <c r="V5886" s="2">
        <v>440</v>
      </c>
      <c r="W5886" t="s">
        <v>4655</v>
      </c>
      <c r="X5886" s="2">
        <v>0</v>
      </c>
      <c r="Y5886">
        <v>20</v>
      </c>
      <c r="Z5886" t="s">
        <v>4144</v>
      </c>
      <c r="AA5886" s="3">
        <v>4.8209365457296399E-2</v>
      </c>
      <c r="AB5886" t="s">
        <v>174</v>
      </c>
      <c r="AC5886" t="s">
        <v>4562</v>
      </c>
      <c r="AD5886" t="s">
        <v>29034</v>
      </c>
      <c r="AE5886" t="s">
        <v>4655</v>
      </c>
      <c r="AF5886" t="s">
        <v>4563</v>
      </c>
      <c r="AG5886" t="s">
        <v>4564</v>
      </c>
      <c r="AH5886" t="s">
        <v>2330</v>
      </c>
      <c r="AI5886" t="s">
        <v>4655</v>
      </c>
      <c r="AJ5886" t="s">
        <v>2680</v>
      </c>
      <c r="AK5886" t="s">
        <v>29038</v>
      </c>
      <c r="AL5886" s="13" t="s">
        <v>2255</v>
      </c>
      <c r="AM5886">
        <v>1</v>
      </c>
      <c r="AN5886" s="15" t="s">
        <v>5315</v>
      </c>
    </row>
    <row r="5887" spans="1:40" x14ac:dyDescent="0.3">
      <c r="A5887" s="10" t="str">
        <f>HYPERLINK("http://www.washoecounty.gov/assessor/cama/?parid=204-561-08&amp;CardNumber=1","204-561-08")</f>
        <v>204-561-08</v>
      </c>
      <c r="B5887" t="s">
        <v>4655</v>
      </c>
      <c r="C5887" t="s">
        <v>4448</v>
      </c>
      <c r="D5887" s="1">
        <v>40234</v>
      </c>
      <c r="E5887" s="2">
        <v>1050000</v>
      </c>
      <c r="F5887" t="s">
        <v>4553</v>
      </c>
      <c r="G5887" s="17" t="str">
        <f>HYPERLINK("https://www.washoecounty.gov/assessor/cama/?command=sales&amp;parid=20456108","3852655")</f>
        <v>3852655</v>
      </c>
      <c r="H5887" t="s">
        <v>2341</v>
      </c>
      <c r="I5887">
        <v>2007</v>
      </c>
      <c r="J5887">
        <v>2007</v>
      </c>
      <c r="K5887" t="s">
        <v>4554</v>
      </c>
      <c r="L5887" t="s">
        <v>3044</v>
      </c>
      <c r="M5887" s="2">
        <v>2035</v>
      </c>
      <c r="N5887" t="s">
        <v>4048</v>
      </c>
      <c r="O5887">
        <v>4</v>
      </c>
      <c r="P5887">
        <v>3</v>
      </c>
      <c r="Q5887">
        <v>0</v>
      </c>
      <c r="R5887" t="s">
        <v>5281</v>
      </c>
      <c r="S5887" t="s">
        <v>4898</v>
      </c>
      <c r="T5887" t="s">
        <v>4559</v>
      </c>
      <c r="U5887" t="s">
        <v>5631</v>
      </c>
      <c r="V5887" s="2">
        <v>400</v>
      </c>
      <c r="W5887" t="s">
        <v>4655</v>
      </c>
      <c r="X5887" s="2">
        <v>0</v>
      </c>
      <c r="Y5887">
        <v>20</v>
      </c>
      <c r="Z5887" t="s">
        <v>4144</v>
      </c>
      <c r="AA5887" s="3">
        <v>4.8370063304901102E-2</v>
      </c>
      <c r="AB5887" t="s">
        <v>174</v>
      </c>
      <c r="AC5887" t="s">
        <v>4562</v>
      </c>
      <c r="AD5887" t="s">
        <v>29034</v>
      </c>
      <c r="AE5887" t="s">
        <v>4655</v>
      </c>
      <c r="AF5887" t="s">
        <v>4563</v>
      </c>
      <c r="AG5887" t="s">
        <v>4564</v>
      </c>
      <c r="AH5887" t="s">
        <v>2330</v>
      </c>
      <c r="AI5887" t="s">
        <v>4655</v>
      </c>
      <c r="AJ5887" t="s">
        <v>2680</v>
      </c>
      <c r="AK5887" t="s">
        <v>4449</v>
      </c>
      <c r="AL5887" s="13" t="s">
        <v>2255</v>
      </c>
      <c r="AM5887">
        <v>1</v>
      </c>
      <c r="AN5887" s="15" t="s">
        <v>5315</v>
      </c>
    </row>
    <row r="5888" spans="1:40" x14ac:dyDescent="0.3">
      <c r="A5888" s="10" t="str">
        <f>HYPERLINK("http://www.washoecounty.gov/assessor/cama/?parid=204-561-09&amp;CardNumber=1","204-561-09")</f>
        <v>204-561-09</v>
      </c>
      <c r="B5888" t="s">
        <v>4655</v>
      </c>
      <c r="C5888" t="s">
        <v>29039</v>
      </c>
      <c r="D5888" s="1">
        <v>40234</v>
      </c>
      <c r="E5888" s="2">
        <v>1050000</v>
      </c>
      <c r="F5888" t="s">
        <v>4553</v>
      </c>
      <c r="G5888" s="17" t="str">
        <f>HYPERLINK("https://www.washoecounty.gov/assessor/cama/?command=sales&amp;parid=20456109","3852655")</f>
        <v>3852655</v>
      </c>
      <c r="H5888" t="s">
        <v>2341</v>
      </c>
      <c r="I5888">
        <v>2007</v>
      </c>
      <c r="J5888">
        <v>2007</v>
      </c>
      <c r="K5888" t="s">
        <v>4554</v>
      </c>
      <c r="L5888" t="s">
        <v>3974</v>
      </c>
      <c r="M5888" s="2">
        <v>1741</v>
      </c>
      <c r="N5888" t="s">
        <v>4048</v>
      </c>
      <c r="O5888">
        <v>3</v>
      </c>
      <c r="P5888">
        <v>2</v>
      </c>
      <c r="Q5888">
        <v>1</v>
      </c>
      <c r="R5888" t="s">
        <v>5281</v>
      </c>
      <c r="S5888" t="s">
        <v>4898</v>
      </c>
      <c r="T5888" t="s">
        <v>4559</v>
      </c>
      <c r="U5888" t="s">
        <v>5631</v>
      </c>
      <c r="V5888" s="2">
        <v>440</v>
      </c>
      <c r="W5888" t="s">
        <v>4655</v>
      </c>
      <c r="X5888" s="2">
        <v>0</v>
      </c>
      <c r="Y5888">
        <v>20</v>
      </c>
      <c r="Z5888" t="s">
        <v>4144</v>
      </c>
      <c r="AA5888" s="3">
        <v>8.1749312579631805E-2</v>
      </c>
      <c r="AB5888" t="s">
        <v>174</v>
      </c>
      <c r="AC5888" t="s">
        <v>4562</v>
      </c>
      <c r="AD5888" t="s">
        <v>29034</v>
      </c>
      <c r="AE5888" t="s">
        <v>4655</v>
      </c>
      <c r="AF5888" t="s">
        <v>4563</v>
      </c>
      <c r="AG5888" t="s">
        <v>4564</v>
      </c>
      <c r="AH5888" t="s">
        <v>2330</v>
      </c>
      <c r="AI5888" t="s">
        <v>4655</v>
      </c>
      <c r="AJ5888" t="s">
        <v>2680</v>
      </c>
      <c r="AK5888" t="s">
        <v>29040</v>
      </c>
      <c r="AL5888" s="13" t="s">
        <v>2255</v>
      </c>
      <c r="AM5888">
        <v>1</v>
      </c>
      <c r="AN5888" s="15" t="s">
        <v>5315</v>
      </c>
    </row>
    <row r="5889" spans="1:40" x14ac:dyDescent="0.3">
      <c r="A5889" s="10" t="str">
        <f>HYPERLINK("http://www.washoecounty.gov/assessor/cama/?parid=204-561-10&amp;CardNumber=1","204-561-10")</f>
        <v>204-561-10</v>
      </c>
      <c r="B5889" t="s">
        <v>4655</v>
      </c>
      <c r="C5889" t="s">
        <v>4450</v>
      </c>
      <c r="D5889" s="1">
        <v>40234</v>
      </c>
      <c r="E5889" s="2">
        <v>1050000</v>
      </c>
      <c r="F5889" t="s">
        <v>4553</v>
      </c>
      <c r="G5889" s="17" t="str">
        <f>HYPERLINK("https://www.washoecounty.gov/assessor/cama/?command=sales&amp;parid=20456110","3852655")</f>
        <v>3852655</v>
      </c>
      <c r="H5889" t="s">
        <v>2341</v>
      </c>
      <c r="I5889">
        <v>2007</v>
      </c>
      <c r="J5889">
        <v>2007</v>
      </c>
      <c r="K5889" t="s">
        <v>4554</v>
      </c>
      <c r="L5889" t="s">
        <v>3974</v>
      </c>
      <c r="M5889" s="2">
        <v>1741</v>
      </c>
      <c r="N5889" t="s">
        <v>4048</v>
      </c>
      <c r="O5889">
        <v>3</v>
      </c>
      <c r="P5889">
        <v>2</v>
      </c>
      <c r="Q5889">
        <v>1</v>
      </c>
      <c r="R5889" t="s">
        <v>5281</v>
      </c>
      <c r="S5889" t="s">
        <v>4898</v>
      </c>
      <c r="T5889" t="s">
        <v>4559</v>
      </c>
      <c r="U5889" t="s">
        <v>5631</v>
      </c>
      <c r="V5889" s="2">
        <v>440</v>
      </c>
      <c r="W5889" t="s">
        <v>4655</v>
      </c>
      <c r="X5889" s="2">
        <v>0</v>
      </c>
      <c r="Y5889">
        <v>20</v>
      </c>
      <c r="Z5889" t="s">
        <v>4144</v>
      </c>
      <c r="AA5889" s="3">
        <v>0.11021579802036301</v>
      </c>
      <c r="AB5889" t="s">
        <v>174</v>
      </c>
      <c r="AC5889" t="s">
        <v>4562</v>
      </c>
      <c r="AD5889" t="s">
        <v>29034</v>
      </c>
      <c r="AE5889" t="s">
        <v>4655</v>
      </c>
      <c r="AF5889" t="s">
        <v>4563</v>
      </c>
      <c r="AG5889" t="s">
        <v>4564</v>
      </c>
      <c r="AH5889" t="s">
        <v>2330</v>
      </c>
      <c r="AI5889" t="s">
        <v>4655</v>
      </c>
      <c r="AJ5889" t="s">
        <v>2680</v>
      </c>
      <c r="AK5889" t="s">
        <v>4451</v>
      </c>
      <c r="AL5889" s="13" t="s">
        <v>2255</v>
      </c>
      <c r="AM5889" s="14">
        <v>1</v>
      </c>
      <c r="AN5889" s="15" t="s">
        <v>5315</v>
      </c>
    </row>
    <row r="5890" spans="1:40" x14ac:dyDescent="0.3">
      <c r="A5890" s="10" t="str">
        <f>HYPERLINK("http://www.washoecounty.gov/assessor/cama/?parid=204-561-11&amp;CardNumber=1","204-561-11")</f>
        <v>204-561-11</v>
      </c>
      <c r="B5890" t="s">
        <v>4655</v>
      </c>
      <c r="C5890" t="s">
        <v>29041</v>
      </c>
      <c r="D5890" s="1">
        <v>40234</v>
      </c>
      <c r="E5890" s="2">
        <v>1050000</v>
      </c>
      <c r="F5890" t="s">
        <v>4553</v>
      </c>
      <c r="G5890" s="17" t="str">
        <f>HYPERLINK("https://www.washoecounty.gov/assessor/cama/?command=sales&amp;parid=20456111","3852655")</f>
        <v>3852655</v>
      </c>
      <c r="H5890" t="s">
        <v>2341</v>
      </c>
      <c r="I5890">
        <v>2007</v>
      </c>
      <c r="J5890">
        <v>2007</v>
      </c>
      <c r="K5890" t="s">
        <v>4554</v>
      </c>
      <c r="L5890" t="s">
        <v>3974</v>
      </c>
      <c r="M5890" s="2">
        <v>1741</v>
      </c>
      <c r="N5890" t="s">
        <v>4048</v>
      </c>
      <c r="O5890">
        <v>3</v>
      </c>
      <c r="P5890">
        <v>2</v>
      </c>
      <c r="Q5890">
        <v>1</v>
      </c>
      <c r="R5890" t="s">
        <v>5281</v>
      </c>
      <c r="S5890" t="s">
        <v>4898</v>
      </c>
      <c r="T5890" t="s">
        <v>4559</v>
      </c>
      <c r="U5890" t="s">
        <v>5631</v>
      </c>
      <c r="V5890" s="2">
        <v>440</v>
      </c>
      <c r="W5890" t="s">
        <v>4655</v>
      </c>
      <c r="X5890" s="2">
        <v>0</v>
      </c>
      <c r="Y5890">
        <v>20</v>
      </c>
      <c r="Z5890" t="s">
        <v>4144</v>
      </c>
      <c r="AA5890" s="3">
        <v>7.5436182320118006E-2</v>
      </c>
      <c r="AB5890" t="s">
        <v>174</v>
      </c>
      <c r="AC5890" t="s">
        <v>4562</v>
      </c>
      <c r="AD5890" t="s">
        <v>29034</v>
      </c>
      <c r="AE5890" t="s">
        <v>4655</v>
      </c>
      <c r="AF5890" t="s">
        <v>4563</v>
      </c>
      <c r="AG5890" t="s">
        <v>4564</v>
      </c>
      <c r="AH5890" t="s">
        <v>2330</v>
      </c>
      <c r="AI5890" t="s">
        <v>4655</v>
      </c>
      <c r="AJ5890" t="s">
        <v>2680</v>
      </c>
      <c r="AK5890" t="s">
        <v>29042</v>
      </c>
      <c r="AL5890" s="13" t="s">
        <v>2255</v>
      </c>
      <c r="AM5890" s="14">
        <v>1</v>
      </c>
      <c r="AN5890" s="15" t="s">
        <v>5315</v>
      </c>
    </row>
    <row r="5891" spans="1:40" x14ac:dyDescent="0.3">
      <c r="A5891" s="10" t="str">
        <f>HYPERLINK("http://www.washoecounty.gov/assessor/cama/?parid=204-561-12&amp;CardNumber=1","204-561-12")</f>
        <v>204-561-12</v>
      </c>
      <c r="B5891" t="s">
        <v>4655</v>
      </c>
      <c r="C5891" t="s">
        <v>29043</v>
      </c>
      <c r="D5891" s="1">
        <v>40234</v>
      </c>
      <c r="E5891" s="2">
        <v>1050000</v>
      </c>
      <c r="F5891" t="s">
        <v>4553</v>
      </c>
      <c r="G5891" s="17" t="str">
        <f>HYPERLINK("https://www.washoecounty.gov/assessor/cama/?command=sales&amp;parid=20456112","3852655")</f>
        <v>3852655</v>
      </c>
      <c r="H5891" t="s">
        <v>2341</v>
      </c>
      <c r="I5891">
        <v>2007</v>
      </c>
      <c r="J5891">
        <v>2007</v>
      </c>
      <c r="K5891" t="s">
        <v>4554</v>
      </c>
      <c r="L5891" t="s">
        <v>3974</v>
      </c>
      <c r="M5891" s="2">
        <v>1577</v>
      </c>
      <c r="N5891" t="s">
        <v>4048</v>
      </c>
      <c r="O5891">
        <v>3</v>
      </c>
      <c r="P5891">
        <v>2</v>
      </c>
      <c r="Q5891">
        <v>1</v>
      </c>
      <c r="R5891" t="s">
        <v>5281</v>
      </c>
      <c r="S5891" t="s">
        <v>4898</v>
      </c>
      <c r="T5891" t="s">
        <v>4559</v>
      </c>
      <c r="U5891" t="s">
        <v>5631</v>
      </c>
      <c r="V5891" s="2">
        <v>440</v>
      </c>
      <c r="W5891" t="s">
        <v>4655</v>
      </c>
      <c r="X5891" s="2">
        <v>0</v>
      </c>
      <c r="Y5891">
        <v>20</v>
      </c>
      <c r="Z5891" t="s">
        <v>4144</v>
      </c>
      <c r="AA5891" s="3">
        <v>4.8209365457296399E-2</v>
      </c>
      <c r="AB5891" t="s">
        <v>174</v>
      </c>
      <c r="AC5891" t="s">
        <v>4562</v>
      </c>
      <c r="AD5891" t="s">
        <v>29034</v>
      </c>
      <c r="AE5891" t="s">
        <v>4655</v>
      </c>
      <c r="AF5891" t="s">
        <v>4563</v>
      </c>
      <c r="AG5891" t="s">
        <v>4564</v>
      </c>
      <c r="AH5891" t="s">
        <v>2330</v>
      </c>
      <c r="AI5891" t="s">
        <v>4655</v>
      </c>
      <c r="AJ5891" t="s">
        <v>2680</v>
      </c>
      <c r="AK5891" t="s">
        <v>29044</v>
      </c>
      <c r="AL5891" s="13" t="s">
        <v>2255</v>
      </c>
      <c r="AM5891">
        <v>1</v>
      </c>
      <c r="AN5891" s="15" t="s">
        <v>5315</v>
      </c>
    </row>
    <row r="5892" spans="1:40" x14ac:dyDescent="0.3">
      <c r="A5892" s="10" t="str">
        <f>HYPERLINK("http://www.washoecounty.gov/assessor/cama/?parid=204-561-13&amp;CardNumber=1","204-561-13")</f>
        <v>204-561-13</v>
      </c>
      <c r="B5892" t="s">
        <v>4655</v>
      </c>
      <c r="C5892" t="s">
        <v>29045</v>
      </c>
      <c r="D5892" s="1">
        <v>40234</v>
      </c>
      <c r="E5892" s="2">
        <v>1050000</v>
      </c>
      <c r="F5892" t="s">
        <v>4553</v>
      </c>
      <c r="G5892" s="17" t="str">
        <f>HYPERLINK("https://www.washoecounty.gov/assessor/cama/?command=sales&amp;parid=20456113","3852655")</f>
        <v>3852655</v>
      </c>
      <c r="H5892" t="s">
        <v>2341</v>
      </c>
      <c r="I5892">
        <v>2007</v>
      </c>
      <c r="J5892">
        <v>2007</v>
      </c>
      <c r="K5892" t="s">
        <v>4554</v>
      </c>
      <c r="L5892" t="s">
        <v>3974</v>
      </c>
      <c r="M5892" s="2">
        <v>1741</v>
      </c>
      <c r="N5892" t="s">
        <v>4048</v>
      </c>
      <c r="O5892">
        <v>3</v>
      </c>
      <c r="P5892">
        <v>2</v>
      </c>
      <c r="Q5892">
        <v>1</v>
      </c>
      <c r="R5892" t="s">
        <v>5281</v>
      </c>
      <c r="S5892" t="s">
        <v>4898</v>
      </c>
      <c r="T5892" t="s">
        <v>4559</v>
      </c>
      <c r="U5892" t="s">
        <v>5631</v>
      </c>
      <c r="V5892" s="2">
        <v>440</v>
      </c>
      <c r="W5892" t="s">
        <v>4655</v>
      </c>
      <c r="X5892" s="2">
        <v>0</v>
      </c>
      <c r="Y5892">
        <v>20</v>
      </c>
      <c r="Z5892" t="s">
        <v>4144</v>
      </c>
      <c r="AA5892" s="3">
        <v>4.8209365457296399E-2</v>
      </c>
      <c r="AB5892" t="s">
        <v>174</v>
      </c>
      <c r="AC5892" t="s">
        <v>4562</v>
      </c>
      <c r="AD5892" t="s">
        <v>29034</v>
      </c>
      <c r="AE5892" t="s">
        <v>4655</v>
      </c>
      <c r="AF5892" t="s">
        <v>4563</v>
      </c>
      <c r="AG5892" t="s">
        <v>4564</v>
      </c>
      <c r="AH5892" t="s">
        <v>2330</v>
      </c>
      <c r="AI5892" t="s">
        <v>4655</v>
      </c>
      <c r="AJ5892" t="s">
        <v>2680</v>
      </c>
      <c r="AK5892" t="s">
        <v>29046</v>
      </c>
      <c r="AL5892" s="13" t="s">
        <v>2255</v>
      </c>
      <c r="AM5892">
        <v>1</v>
      </c>
      <c r="AN5892" s="15" t="s">
        <v>5315</v>
      </c>
    </row>
    <row r="5893" spans="1:40" x14ac:dyDescent="0.3">
      <c r="A5893" s="10" t="str">
        <f>HYPERLINK("http://www.washoecounty.gov/assessor/cama/?parid=204-561-14&amp;CardNumber=1","204-561-14")</f>
        <v>204-561-14</v>
      </c>
      <c r="B5893" t="s">
        <v>4655</v>
      </c>
      <c r="C5893" t="s">
        <v>29047</v>
      </c>
      <c r="D5893" s="1">
        <v>40234</v>
      </c>
      <c r="E5893" s="2">
        <v>1050000</v>
      </c>
      <c r="F5893" t="s">
        <v>4553</v>
      </c>
      <c r="G5893" s="17" t="str">
        <f>HYPERLINK("https://www.washoecounty.gov/assessor/cama/?command=sales&amp;parid=20456114","3852655")</f>
        <v>3852655</v>
      </c>
      <c r="H5893" t="s">
        <v>2341</v>
      </c>
      <c r="I5893">
        <v>2007</v>
      </c>
      <c r="J5893">
        <v>2007</v>
      </c>
      <c r="K5893" t="s">
        <v>4554</v>
      </c>
      <c r="L5893" t="s">
        <v>3974</v>
      </c>
      <c r="M5893" s="2">
        <v>1741</v>
      </c>
      <c r="N5893" t="s">
        <v>4048</v>
      </c>
      <c r="O5893">
        <v>3</v>
      </c>
      <c r="P5893">
        <v>2</v>
      </c>
      <c r="Q5893">
        <v>1</v>
      </c>
      <c r="R5893" t="s">
        <v>5281</v>
      </c>
      <c r="S5893" t="s">
        <v>4898</v>
      </c>
      <c r="T5893" t="s">
        <v>4559</v>
      </c>
      <c r="U5893" t="s">
        <v>5631</v>
      </c>
      <c r="V5893" s="2">
        <v>440</v>
      </c>
      <c r="W5893" t="s">
        <v>4655</v>
      </c>
      <c r="X5893" s="2">
        <v>0</v>
      </c>
      <c r="Y5893">
        <v>20</v>
      </c>
      <c r="Z5893" t="s">
        <v>4144</v>
      </c>
      <c r="AA5893" s="3">
        <v>6.6437095403671306E-2</v>
      </c>
      <c r="AB5893" t="s">
        <v>174</v>
      </c>
      <c r="AC5893" t="s">
        <v>4562</v>
      </c>
      <c r="AD5893" t="s">
        <v>29034</v>
      </c>
      <c r="AE5893" t="s">
        <v>4655</v>
      </c>
      <c r="AF5893" t="s">
        <v>4563</v>
      </c>
      <c r="AG5893" t="s">
        <v>4564</v>
      </c>
      <c r="AH5893" t="s">
        <v>2330</v>
      </c>
      <c r="AI5893" t="s">
        <v>4655</v>
      </c>
      <c r="AJ5893" t="s">
        <v>2680</v>
      </c>
      <c r="AK5893" t="s">
        <v>29048</v>
      </c>
      <c r="AL5893" s="13" t="s">
        <v>2255</v>
      </c>
      <c r="AM5893">
        <v>1</v>
      </c>
      <c r="AN5893" s="15" t="s">
        <v>5315</v>
      </c>
    </row>
    <row r="5894" spans="1:40" x14ac:dyDescent="0.3">
      <c r="A5894" s="10" t="str">
        <f>HYPERLINK("http://www.washoecounty.gov/assessor/cama/?parid=204-561-15&amp;CardNumber=1","204-561-15")</f>
        <v>204-561-15</v>
      </c>
      <c r="B5894" t="s">
        <v>4655</v>
      </c>
      <c r="C5894" t="s">
        <v>29049</v>
      </c>
      <c r="D5894" s="1">
        <v>40234</v>
      </c>
      <c r="E5894" s="2">
        <v>1050000</v>
      </c>
      <c r="F5894" t="s">
        <v>4553</v>
      </c>
      <c r="G5894" s="17" t="str">
        <f>HYPERLINK("https://www.washoecounty.gov/assessor/cama/?command=sales&amp;parid=20456115","3852655")</f>
        <v>3852655</v>
      </c>
      <c r="H5894" t="s">
        <v>2341</v>
      </c>
      <c r="I5894">
        <v>0</v>
      </c>
      <c r="J5894">
        <v>0</v>
      </c>
      <c r="K5894" t="s">
        <v>4655</v>
      </c>
      <c r="L5894" t="s">
        <v>4655</v>
      </c>
      <c r="M5894" s="2">
        <v>0</v>
      </c>
      <c r="N5894" t="s">
        <v>4655</v>
      </c>
      <c r="O5894">
        <v>0</v>
      </c>
      <c r="P5894">
        <v>0</v>
      </c>
      <c r="Q5894">
        <v>0</v>
      </c>
      <c r="R5894" t="s">
        <v>4655</v>
      </c>
      <c r="S5894" t="s">
        <v>4655</v>
      </c>
      <c r="T5894" t="s">
        <v>4655</v>
      </c>
      <c r="U5894" t="s">
        <v>4655</v>
      </c>
      <c r="V5894" s="2">
        <v>0</v>
      </c>
      <c r="W5894" t="s">
        <v>4655</v>
      </c>
      <c r="X5894" s="2">
        <v>0</v>
      </c>
      <c r="Y5894">
        <v>20</v>
      </c>
      <c r="Z5894" t="s">
        <v>4144</v>
      </c>
      <c r="AA5894" s="3">
        <v>0.174885213375092</v>
      </c>
      <c r="AB5894" t="s">
        <v>174</v>
      </c>
      <c r="AC5894" t="s">
        <v>4562</v>
      </c>
      <c r="AD5894" t="s">
        <v>29034</v>
      </c>
      <c r="AE5894" t="s">
        <v>4655</v>
      </c>
      <c r="AF5894" t="s">
        <v>4563</v>
      </c>
      <c r="AG5894" t="s">
        <v>4564</v>
      </c>
      <c r="AH5894" t="s">
        <v>2330</v>
      </c>
      <c r="AI5894" t="s">
        <v>4655</v>
      </c>
      <c r="AJ5894" t="s">
        <v>2680</v>
      </c>
      <c r="AK5894" t="s">
        <v>29050</v>
      </c>
      <c r="AL5894" s="13" t="s">
        <v>2255</v>
      </c>
      <c r="AM5894" s="14">
        <v>0</v>
      </c>
      <c r="AN5894" s="15" t="s">
        <v>2087</v>
      </c>
    </row>
    <row r="5895" spans="1:40" x14ac:dyDescent="0.3">
      <c r="A5895" s="10" t="str">
        <f>HYPERLINK("http://www.washoecounty.gov/assessor/cama/?parid=204-562-19&amp;CardNumber=1","204-562-19")</f>
        <v>204-562-19</v>
      </c>
      <c r="B5895" t="s">
        <v>4655</v>
      </c>
      <c r="C5895" t="s">
        <v>29051</v>
      </c>
      <c r="D5895" s="1">
        <v>40234</v>
      </c>
      <c r="E5895" s="2">
        <v>1050000</v>
      </c>
      <c r="F5895" t="s">
        <v>4553</v>
      </c>
      <c r="G5895" s="17" t="str">
        <f>HYPERLINK("https://www.washoecounty.gov/assessor/cama/?command=sales&amp;parid=20456219","3852655")</f>
        <v>3852655</v>
      </c>
      <c r="H5895" t="s">
        <v>2341</v>
      </c>
      <c r="I5895">
        <v>0</v>
      </c>
      <c r="J5895">
        <v>0</v>
      </c>
      <c r="K5895" t="s">
        <v>4655</v>
      </c>
      <c r="L5895" t="s">
        <v>4655</v>
      </c>
      <c r="M5895" s="2">
        <v>0</v>
      </c>
      <c r="N5895" t="s">
        <v>4655</v>
      </c>
      <c r="O5895">
        <v>0</v>
      </c>
      <c r="P5895">
        <v>0</v>
      </c>
      <c r="Q5895">
        <v>0</v>
      </c>
      <c r="R5895" t="s">
        <v>4655</v>
      </c>
      <c r="S5895" t="s">
        <v>4655</v>
      </c>
      <c r="T5895" t="s">
        <v>4655</v>
      </c>
      <c r="U5895" t="s">
        <v>4655</v>
      </c>
      <c r="V5895" s="2">
        <v>0</v>
      </c>
      <c r="W5895" t="s">
        <v>4655</v>
      </c>
      <c r="X5895" s="2">
        <v>0</v>
      </c>
      <c r="Y5895">
        <v>20</v>
      </c>
      <c r="Z5895" t="s">
        <v>4144</v>
      </c>
      <c r="AA5895" s="3">
        <v>6.7952252924442305E-2</v>
      </c>
      <c r="AB5895" t="s">
        <v>174</v>
      </c>
      <c r="AC5895" t="s">
        <v>4562</v>
      </c>
      <c r="AD5895" t="s">
        <v>29034</v>
      </c>
      <c r="AE5895" t="s">
        <v>4655</v>
      </c>
      <c r="AF5895" t="s">
        <v>4563</v>
      </c>
      <c r="AG5895" t="s">
        <v>4564</v>
      </c>
      <c r="AH5895" t="s">
        <v>2330</v>
      </c>
      <c r="AI5895" t="s">
        <v>4655</v>
      </c>
      <c r="AJ5895" t="s">
        <v>2680</v>
      </c>
      <c r="AK5895" t="s">
        <v>29052</v>
      </c>
      <c r="AL5895" s="13" t="s">
        <v>2255</v>
      </c>
      <c r="AM5895">
        <v>0</v>
      </c>
      <c r="AN5895" s="15" t="s">
        <v>5315</v>
      </c>
    </row>
    <row r="5896" spans="1:40" x14ac:dyDescent="0.3">
      <c r="A5896" s="10" t="str">
        <f>HYPERLINK("http://www.washoecounty.gov/assessor/cama/?parid=204-562-20&amp;CardNumber=1","204-562-20")</f>
        <v>204-562-20</v>
      </c>
      <c r="B5896" t="s">
        <v>4655</v>
      </c>
      <c r="C5896" t="s">
        <v>29053</v>
      </c>
      <c r="D5896" s="1">
        <v>40234</v>
      </c>
      <c r="E5896" s="2">
        <v>1050000</v>
      </c>
      <c r="F5896" t="s">
        <v>4553</v>
      </c>
      <c r="G5896" s="17" t="str">
        <f>HYPERLINK("https://www.washoecounty.gov/assessor/cama/?command=sales&amp;parid=20456220","3852655")</f>
        <v>3852655</v>
      </c>
      <c r="H5896" t="s">
        <v>2341</v>
      </c>
      <c r="I5896">
        <v>0</v>
      </c>
      <c r="J5896">
        <v>0</v>
      </c>
      <c r="K5896" t="s">
        <v>4655</v>
      </c>
      <c r="L5896" t="s">
        <v>4655</v>
      </c>
      <c r="M5896" s="2">
        <v>0</v>
      </c>
      <c r="N5896" t="s">
        <v>4655</v>
      </c>
      <c r="O5896">
        <v>0</v>
      </c>
      <c r="P5896">
        <v>0</v>
      </c>
      <c r="Q5896">
        <v>0</v>
      </c>
      <c r="R5896" t="s">
        <v>4655</v>
      </c>
      <c r="S5896" t="s">
        <v>4655</v>
      </c>
      <c r="T5896" t="s">
        <v>4655</v>
      </c>
      <c r="U5896" t="s">
        <v>4655</v>
      </c>
      <c r="V5896" s="2">
        <v>0</v>
      </c>
      <c r="W5896" t="s">
        <v>4655</v>
      </c>
      <c r="X5896" s="2">
        <v>0</v>
      </c>
      <c r="Y5896">
        <v>20</v>
      </c>
      <c r="Z5896" t="s">
        <v>4144</v>
      </c>
      <c r="AA5896" s="3">
        <v>6.3383840024471297E-2</v>
      </c>
      <c r="AB5896" t="s">
        <v>174</v>
      </c>
      <c r="AC5896" t="s">
        <v>4562</v>
      </c>
      <c r="AD5896" t="s">
        <v>29034</v>
      </c>
      <c r="AE5896" t="s">
        <v>4655</v>
      </c>
      <c r="AF5896" t="s">
        <v>4563</v>
      </c>
      <c r="AG5896" t="s">
        <v>4564</v>
      </c>
      <c r="AH5896" t="s">
        <v>2330</v>
      </c>
      <c r="AI5896" t="s">
        <v>4655</v>
      </c>
      <c r="AJ5896" t="s">
        <v>2680</v>
      </c>
      <c r="AK5896" t="s">
        <v>29054</v>
      </c>
      <c r="AL5896" s="13" t="s">
        <v>2255</v>
      </c>
      <c r="AM5896" s="14">
        <v>0</v>
      </c>
      <c r="AN5896" s="15" t="s">
        <v>5315</v>
      </c>
    </row>
    <row r="5897" spans="1:40" x14ac:dyDescent="0.3">
      <c r="A5897" s="10" t="str">
        <f>HYPERLINK("http://www.washoecounty.gov/assessor/cama/?parid=204-562-21&amp;CardNumber=1","204-562-21")</f>
        <v>204-562-21</v>
      </c>
      <c r="B5897" t="s">
        <v>4655</v>
      </c>
      <c r="C5897" t="s">
        <v>29055</v>
      </c>
      <c r="D5897" s="1">
        <v>40234</v>
      </c>
      <c r="E5897" s="2">
        <v>1050000</v>
      </c>
      <c r="F5897" t="s">
        <v>4553</v>
      </c>
      <c r="G5897" s="17" t="str">
        <f>HYPERLINK("https://www.washoecounty.gov/assessor/cama/?command=sales&amp;parid=20456221","3852655")</f>
        <v>3852655</v>
      </c>
      <c r="H5897" t="s">
        <v>2341</v>
      </c>
      <c r="I5897">
        <v>0</v>
      </c>
      <c r="J5897">
        <v>0</v>
      </c>
      <c r="K5897" t="s">
        <v>4655</v>
      </c>
      <c r="L5897" t="s">
        <v>4655</v>
      </c>
      <c r="M5897" s="2">
        <v>0</v>
      </c>
      <c r="N5897" t="s">
        <v>4655</v>
      </c>
      <c r="O5897">
        <v>0</v>
      </c>
      <c r="P5897">
        <v>0</v>
      </c>
      <c r="Q5897">
        <v>0</v>
      </c>
      <c r="R5897" t="s">
        <v>4655</v>
      </c>
      <c r="S5897" t="s">
        <v>4655</v>
      </c>
      <c r="T5897" t="s">
        <v>4655</v>
      </c>
      <c r="U5897" t="s">
        <v>4655</v>
      </c>
      <c r="V5897" s="2">
        <v>0</v>
      </c>
      <c r="W5897" t="s">
        <v>4655</v>
      </c>
      <c r="X5897" s="2">
        <v>0</v>
      </c>
      <c r="Y5897">
        <v>20</v>
      </c>
      <c r="Z5897" t="s">
        <v>4144</v>
      </c>
      <c r="AA5897" s="3">
        <v>7.31864124536514E-2</v>
      </c>
      <c r="AB5897" t="s">
        <v>174</v>
      </c>
      <c r="AC5897" t="s">
        <v>4562</v>
      </c>
      <c r="AD5897" t="s">
        <v>29034</v>
      </c>
      <c r="AE5897" t="s">
        <v>4655</v>
      </c>
      <c r="AF5897" t="s">
        <v>4563</v>
      </c>
      <c r="AG5897" t="s">
        <v>4564</v>
      </c>
      <c r="AH5897" t="s">
        <v>2330</v>
      </c>
      <c r="AI5897" t="s">
        <v>4655</v>
      </c>
      <c r="AJ5897" t="s">
        <v>2680</v>
      </c>
      <c r="AK5897" t="s">
        <v>29056</v>
      </c>
      <c r="AL5897" s="13" t="s">
        <v>2255</v>
      </c>
      <c r="AM5897">
        <v>0</v>
      </c>
      <c r="AN5897" s="15" t="s">
        <v>5315</v>
      </c>
    </row>
    <row r="5898" spans="1:40" x14ac:dyDescent="0.3">
      <c r="A5898" s="10" t="str">
        <f>HYPERLINK("http://www.washoecounty.gov/assessor/cama/?parid=204-562-22&amp;CardNumber=1","204-562-22")</f>
        <v>204-562-22</v>
      </c>
      <c r="B5898" t="s">
        <v>4655</v>
      </c>
      <c r="C5898" t="s">
        <v>29049</v>
      </c>
      <c r="D5898" s="1">
        <v>40234</v>
      </c>
      <c r="E5898" s="2">
        <v>1050000</v>
      </c>
      <c r="F5898" t="s">
        <v>4553</v>
      </c>
      <c r="G5898" s="17" t="str">
        <f>HYPERLINK("https://www.washoecounty.gov/assessor/cama/?command=sales&amp;parid=20456222","3852655")</f>
        <v>3852655</v>
      </c>
      <c r="H5898" t="s">
        <v>2341</v>
      </c>
      <c r="I5898">
        <v>0</v>
      </c>
      <c r="J5898">
        <v>0</v>
      </c>
      <c r="K5898" t="s">
        <v>4655</v>
      </c>
      <c r="L5898" t="s">
        <v>4655</v>
      </c>
      <c r="M5898" s="2">
        <v>0</v>
      </c>
      <c r="N5898" t="s">
        <v>4655</v>
      </c>
      <c r="O5898">
        <v>0</v>
      </c>
      <c r="P5898">
        <v>0</v>
      </c>
      <c r="Q5898">
        <v>0</v>
      </c>
      <c r="R5898" t="s">
        <v>4655</v>
      </c>
      <c r="S5898" t="s">
        <v>4655</v>
      </c>
      <c r="T5898" t="s">
        <v>4655</v>
      </c>
      <c r="U5898" t="s">
        <v>4655</v>
      </c>
      <c r="V5898" s="2">
        <v>0</v>
      </c>
      <c r="W5898" t="s">
        <v>4655</v>
      </c>
      <c r="X5898" s="2">
        <v>0</v>
      </c>
      <c r="Y5898">
        <v>20</v>
      </c>
      <c r="Z5898" t="s">
        <v>4144</v>
      </c>
      <c r="AA5898" s="3">
        <v>0.31434801220893899</v>
      </c>
      <c r="AB5898" t="s">
        <v>174</v>
      </c>
      <c r="AC5898" t="s">
        <v>4562</v>
      </c>
      <c r="AD5898" t="s">
        <v>29034</v>
      </c>
      <c r="AE5898" t="s">
        <v>4655</v>
      </c>
      <c r="AF5898" t="s">
        <v>4563</v>
      </c>
      <c r="AG5898" t="s">
        <v>4564</v>
      </c>
      <c r="AH5898" t="s">
        <v>2330</v>
      </c>
      <c r="AI5898" t="s">
        <v>4655</v>
      </c>
      <c r="AJ5898" t="s">
        <v>2680</v>
      </c>
      <c r="AK5898" t="s">
        <v>29057</v>
      </c>
      <c r="AL5898" s="13" t="s">
        <v>2255</v>
      </c>
      <c r="AM5898">
        <v>0</v>
      </c>
      <c r="AN5898" s="15" t="s">
        <v>2087</v>
      </c>
    </row>
    <row r="5899" spans="1:40" x14ac:dyDescent="0.3">
      <c r="A5899" s="10" t="str">
        <f>HYPERLINK("http://www.washoecounty.gov/assessor/cama/?parid=204-562-23&amp;CardNumber=1","204-562-23")</f>
        <v>204-562-23</v>
      </c>
      <c r="B5899" t="s">
        <v>4655</v>
      </c>
      <c r="C5899" t="s">
        <v>29058</v>
      </c>
      <c r="D5899" s="1">
        <v>40234</v>
      </c>
      <c r="E5899" s="2">
        <v>1050000</v>
      </c>
      <c r="F5899" t="s">
        <v>4553</v>
      </c>
      <c r="G5899" s="17" t="str">
        <f>HYPERLINK("https://www.washoecounty.gov/assessor/cama/?command=sales&amp;parid=20456223","3852655")</f>
        <v>3852655</v>
      </c>
      <c r="H5899" t="s">
        <v>2341</v>
      </c>
      <c r="I5899">
        <v>2007</v>
      </c>
      <c r="J5899">
        <v>2007</v>
      </c>
      <c r="K5899" t="s">
        <v>4554</v>
      </c>
      <c r="L5899" t="s">
        <v>3974</v>
      </c>
      <c r="M5899" s="2">
        <v>1741</v>
      </c>
      <c r="N5899" t="s">
        <v>4048</v>
      </c>
      <c r="O5899">
        <v>3</v>
      </c>
      <c r="P5899">
        <v>2</v>
      </c>
      <c r="Q5899">
        <v>1</v>
      </c>
      <c r="R5899" t="s">
        <v>5281</v>
      </c>
      <c r="S5899" t="s">
        <v>4898</v>
      </c>
      <c r="T5899" t="s">
        <v>4559</v>
      </c>
      <c r="U5899" t="s">
        <v>5631</v>
      </c>
      <c r="V5899" s="2">
        <v>440</v>
      </c>
      <c r="W5899" t="s">
        <v>4655</v>
      </c>
      <c r="X5899" s="2">
        <v>0</v>
      </c>
      <c r="Y5899">
        <v>20</v>
      </c>
      <c r="Z5899" t="s">
        <v>4144</v>
      </c>
      <c r="AA5899" s="3">
        <v>4.8209365457296399E-2</v>
      </c>
      <c r="AB5899" t="s">
        <v>29059</v>
      </c>
      <c r="AC5899" t="s">
        <v>4562</v>
      </c>
      <c r="AD5899" t="s">
        <v>29060</v>
      </c>
      <c r="AE5899" t="s">
        <v>4655</v>
      </c>
      <c r="AF5899" t="s">
        <v>4563</v>
      </c>
      <c r="AG5899" t="s">
        <v>4564</v>
      </c>
      <c r="AH5899">
        <v>89503</v>
      </c>
      <c r="AI5899" t="s">
        <v>2679</v>
      </c>
      <c r="AJ5899" t="s">
        <v>2680</v>
      </c>
      <c r="AK5899" t="s">
        <v>29061</v>
      </c>
      <c r="AL5899" s="13" t="s">
        <v>2255</v>
      </c>
      <c r="AM5899">
        <v>1</v>
      </c>
      <c r="AN5899" s="15" t="s">
        <v>5315</v>
      </c>
    </row>
    <row r="5900" spans="1:40" x14ac:dyDescent="0.3">
      <c r="A5900" s="10" t="str">
        <f>HYPERLINK("http://www.washoecounty.gov/assessor/cama/?parid=204-562-23&amp;CardNumber=1","204-562-23")</f>
        <v>204-562-23</v>
      </c>
      <c r="B5900" t="s">
        <v>4655</v>
      </c>
      <c r="C5900" t="s">
        <v>29058</v>
      </c>
      <c r="D5900" s="1">
        <v>40330</v>
      </c>
      <c r="E5900" s="2">
        <v>176000</v>
      </c>
      <c r="F5900" t="s">
        <v>4567</v>
      </c>
      <c r="G5900" s="17" t="str">
        <f>HYPERLINK("https://www.washoecounty.gov/assessor/cama/?command=sales&amp;parid=20456223","3887269")</f>
        <v>3887269</v>
      </c>
      <c r="H5900" t="s">
        <v>2341</v>
      </c>
      <c r="I5900">
        <v>2007</v>
      </c>
      <c r="J5900">
        <v>2007</v>
      </c>
      <c r="K5900" t="s">
        <v>4554</v>
      </c>
      <c r="L5900" t="s">
        <v>3974</v>
      </c>
      <c r="M5900" s="2">
        <v>1741</v>
      </c>
      <c r="N5900" t="s">
        <v>4048</v>
      </c>
      <c r="O5900">
        <v>3</v>
      </c>
      <c r="P5900">
        <v>2</v>
      </c>
      <c r="Q5900">
        <v>1</v>
      </c>
      <c r="R5900" t="s">
        <v>5281</v>
      </c>
      <c r="S5900" t="s">
        <v>4898</v>
      </c>
      <c r="T5900" t="s">
        <v>4559</v>
      </c>
      <c r="U5900" t="s">
        <v>5631</v>
      </c>
      <c r="V5900" s="2">
        <v>440</v>
      </c>
      <c r="W5900" t="s">
        <v>4655</v>
      </c>
      <c r="X5900" s="2">
        <v>0</v>
      </c>
      <c r="Y5900">
        <v>20</v>
      </c>
      <c r="Z5900" t="s">
        <v>4144</v>
      </c>
      <c r="AA5900" s="3">
        <v>4.8209365457296399E-2</v>
      </c>
      <c r="AB5900" t="s">
        <v>29059</v>
      </c>
      <c r="AC5900" t="s">
        <v>4562</v>
      </c>
      <c r="AD5900" t="s">
        <v>29060</v>
      </c>
      <c r="AE5900" t="s">
        <v>4655</v>
      </c>
      <c r="AF5900" t="s">
        <v>4563</v>
      </c>
      <c r="AG5900" t="s">
        <v>4564</v>
      </c>
      <c r="AH5900">
        <v>89503</v>
      </c>
      <c r="AI5900" t="s">
        <v>2679</v>
      </c>
      <c r="AJ5900" t="s">
        <v>2680</v>
      </c>
      <c r="AK5900" t="s">
        <v>29061</v>
      </c>
      <c r="AL5900" s="13" t="s">
        <v>2255</v>
      </c>
      <c r="AM5900" s="14">
        <v>1</v>
      </c>
      <c r="AN5900" s="15" t="s">
        <v>5315</v>
      </c>
    </row>
    <row r="5901" spans="1:40" x14ac:dyDescent="0.3">
      <c r="A5901" s="10" t="str">
        <f>HYPERLINK("http://www.washoecounty.gov/assessor/cama/?parid=204-562-24&amp;CardNumber=1","204-562-24")</f>
        <v>204-562-24</v>
      </c>
      <c r="B5901" t="s">
        <v>4655</v>
      </c>
      <c r="C5901" t="s">
        <v>29062</v>
      </c>
      <c r="D5901" s="1">
        <v>40234</v>
      </c>
      <c r="E5901" s="2">
        <v>1050000</v>
      </c>
      <c r="F5901" t="s">
        <v>4553</v>
      </c>
      <c r="G5901" s="17" t="str">
        <f>HYPERLINK("https://www.washoecounty.gov/assessor/cama/?command=sales&amp;parid=20456224","3852655")</f>
        <v>3852655</v>
      </c>
      <c r="H5901" t="s">
        <v>2341</v>
      </c>
      <c r="I5901">
        <v>2007</v>
      </c>
      <c r="J5901">
        <v>2007</v>
      </c>
      <c r="K5901" t="s">
        <v>4554</v>
      </c>
      <c r="L5901" t="s">
        <v>3044</v>
      </c>
      <c r="M5901" s="2">
        <v>2035</v>
      </c>
      <c r="N5901" t="s">
        <v>4048</v>
      </c>
      <c r="O5901">
        <v>4</v>
      </c>
      <c r="P5901">
        <v>3</v>
      </c>
      <c r="Q5901">
        <v>0</v>
      </c>
      <c r="R5901" t="s">
        <v>4557</v>
      </c>
      <c r="S5901" t="s">
        <v>4898</v>
      </c>
      <c r="T5901" t="s">
        <v>4559</v>
      </c>
      <c r="U5901" t="s">
        <v>5631</v>
      </c>
      <c r="V5901" s="2">
        <v>400</v>
      </c>
      <c r="W5901" t="s">
        <v>4655</v>
      </c>
      <c r="X5901" s="2">
        <v>0</v>
      </c>
      <c r="Y5901">
        <v>20</v>
      </c>
      <c r="Z5901" t="s">
        <v>4144</v>
      </c>
      <c r="AA5901" s="3">
        <v>4.8209365457296399E-2</v>
      </c>
      <c r="AB5901" t="s">
        <v>29063</v>
      </c>
      <c r="AC5901" t="s">
        <v>4562</v>
      </c>
      <c r="AD5901" t="s">
        <v>29064</v>
      </c>
      <c r="AE5901" t="s">
        <v>4655</v>
      </c>
      <c r="AF5901" t="s">
        <v>4563</v>
      </c>
      <c r="AG5901" t="s">
        <v>4564</v>
      </c>
      <c r="AH5901" t="s">
        <v>1147</v>
      </c>
      <c r="AI5901" t="s">
        <v>2679</v>
      </c>
      <c r="AJ5901" t="s">
        <v>2680</v>
      </c>
      <c r="AK5901" t="s">
        <v>29065</v>
      </c>
      <c r="AL5901" s="13" t="s">
        <v>2255</v>
      </c>
      <c r="AM5901" s="14">
        <v>1</v>
      </c>
      <c r="AN5901" s="15" t="s">
        <v>5315</v>
      </c>
    </row>
    <row r="5902" spans="1:40" x14ac:dyDescent="0.3">
      <c r="A5902" s="10" t="str">
        <f>HYPERLINK("http://www.washoecounty.gov/assessor/cama/?parid=204-562-24&amp;CardNumber=1","204-562-24")</f>
        <v>204-562-24</v>
      </c>
      <c r="B5902" t="s">
        <v>4655</v>
      </c>
      <c r="C5902" t="s">
        <v>29062</v>
      </c>
      <c r="D5902" s="1">
        <v>40444</v>
      </c>
      <c r="E5902" s="2">
        <v>189000</v>
      </c>
      <c r="F5902" t="s">
        <v>4567</v>
      </c>
      <c r="G5902" s="17" t="str">
        <f>HYPERLINK("https://www.washoecounty.gov/assessor/cama/?command=sales&amp;parid=20456224","3925511")</f>
        <v>3925511</v>
      </c>
      <c r="H5902" t="s">
        <v>2341</v>
      </c>
      <c r="I5902">
        <v>2007</v>
      </c>
      <c r="J5902">
        <v>2007</v>
      </c>
      <c r="K5902" t="s">
        <v>4554</v>
      </c>
      <c r="L5902" t="s">
        <v>3044</v>
      </c>
      <c r="M5902" s="2">
        <v>2035</v>
      </c>
      <c r="N5902" t="s">
        <v>4048</v>
      </c>
      <c r="O5902">
        <v>4</v>
      </c>
      <c r="P5902">
        <v>3</v>
      </c>
      <c r="Q5902">
        <v>0</v>
      </c>
      <c r="R5902" t="s">
        <v>4557</v>
      </c>
      <c r="S5902" t="s">
        <v>4898</v>
      </c>
      <c r="T5902" t="s">
        <v>4559</v>
      </c>
      <c r="U5902" t="s">
        <v>5631</v>
      </c>
      <c r="V5902" s="2">
        <v>400</v>
      </c>
      <c r="W5902" t="s">
        <v>4655</v>
      </c>
      <c r="X5902" s="2">
        <v>0</v>
      </c>
      <c r="Y5902">
        <v>20</v>
      </c>
      <c r="Z5902" t="s">
        <v>4144</v>
      </c>
      <c r="AA5902" s="3">
        <v>4.8209365457296399E-2</v>
      </c>
      <c r="AB5902" t="s">
        <v>29063</v>
      </c>
      <c r="AC5902" t="s">
        <v>4562</v>
      </c>
      <c r="AD5902" t="s">
        <v>29064</v>
      </c>
      <c r="AE5902" t="s">
        <v>4655</v>
      </c>
      <c r="AF5902" t="s">
        <v>4563</v>
      </c>
      <c r="AG5902" t="s">
        <v>4564</v>
      </c>
      <c r="AH5902" t="s">
        <v>1147</v>
      </c>
      <c r="AI5902" t="s">
        <v>2679</v>
      </c>
      <c r="AJ5902" t="s">
        <v>2680</v>
      </c>
      <c r="AK5902" t="s">
        <v>29065</v>
      </c>
      <c r="AL5902" s="13" t="s">
        <v>2255</v>
      </c>
      <c r="AM5902" s="14">
        <v>1</v>
      </c>
      <c r="AN5902" s="15" t="s">
        <v>5315</v>
      </c>
    </row>
    <row r="5903" spans="1:40" x14ac:dyDescent="0.3">
      <c r="A5903" s="10" t="str">
        <f>HYPERLINK("http://www.washoecounty.gov/assessor/cama/?parid=204-562-25&amp;CardNumber=1","204-562-25")</f>
        <v>204-562-25</v>
      </c>
      <c r="B5903" t="s">
        <v>4655</v>
      </c>
      <c r="C5903" t="s">
        <v>1240</v>
      </c>
      <c r="D5903" s="1">
        <v>40234</v>
      </c>
      <c r="E5903" s="2">
        <v>1050000</v>
      </c>
      <c r="F5903" t="s">
        <v>4553</v>
      </c>
      <c r="G5903" s="17" t="str">
        <f>HYPERLINK("https://www.washoecounty.gov/assessor/cama/?command=sales&amp;parid=20456225","3852655")</f>
        <v>3852655</v>
      </c>
      <c r="H5903" t="s">
        <v>2341</v>
      </c>
      <c r="I5903">
        <v>2007</v>
      </c>
      <c r="J5903">
        <v>2007</v>
      </c>
      <c r="K5903" t="s">
        <v>4554</v>
      </c>
      <c r="L5903" t="s">
        <v>3974</v>
      </c>
      <c r="M5903" s="2">
        <v>1741</v>
      </c>
      <c r="N5903" t="s">
        <v>4048</v>
      </c>
      <c r="O5903">
        <v>3</v>
      </c>
      <c r="P5903">
        <v>2</v>
      </c>
      <c r="Q5903">
        <v>1</v>
      </c>
      <c r="R5903" t="s">
        <v>4557</v>
      </c>
      <c r="S5903" t="s">
        <v>4898</v>
      </c>
      <c r="T5903" t="s">
        <v>4559</v>
      </c>
      <c r="U5903" t="s">
        <v>5631</v>
      </c>
      <c r="V5903" s="2">
        <v>440</v>
      </c>
      <c r="W5903" t="s">
        <v>4655</v>
      </c>
      <c r="X5903" s="2">
        <v>0</v>
      </c>
      <c r="Y5903">
        <v>20</v>
      </c>
      <c r="Z5903" t="s">
        <v>4144</v>
      </c>
      <c r="AA5903" s="3">
        <v>4.8209365457296399E-2</v>
      </c>
      <c r="AB5903" t="s">
        <v>175</v>
      </c>
      <c r="AC5903" t="s">
        <v>4562</v>
      </c>
      <c r="AD5903" t="s">
        <v>176</v>
      </c>
      <c r="AE5903" t="s">
        <v>4655</v>
      </c>
      <c r="AF5903" t="s">
        <v>2458</v>
      </c>
      <c r="AG5903" t="s">
        <v>4564</v>
      </c>
      <c r="AH5903">
        <v>89801</v>
      </c>
      <c r="AI5903" t="s">
        <v>174</v>
      </c>
      <c r="AJ5903" t="s">
        <v>2680</v>
      </c>
      <c r="AK5903" t="s">
        <v>1241</v>
      </c>
      <c r="AL5903" s="13" t="s">
        <v>2255</v>
      </c>
      <c r="AM5903">
        <v>1</v>
      </c>
      <c r="AN5903" s="15" t="s">
        <v>5315</v>
      </c>
    </row>
    <row r="5904" spans="1:40" x14ac:dyDescent="0.3">
      <c r="A5904" s="10" t="str">
        <f>HYPERLINK("http://www.washoecounty.gov/assessor/cama/?parid=204-562-26&amp;CardNumber=1","204-562-26")</f>
        <v>204-562-26</v>
      </c>
      <c r="B5904" t="s">
        <v>4655</v>
      </c>
      <c r="C5904" t="s">
        <v>3827</v>
      </c>
      <c r="D5904" s="1">
        <v>40234</v>
      </c>
      <c r="E5904" s="2">
        <v>1050000</v>
      </c>
      <c r="F5904" t="s">
        <v>4553</v>
      </c>
      <c r="G5904" s="17" t="str">
        <f>HYPERLINK("https://www.washoecounty.gov/assessor/cama/?command=sales&amp;parid=20456226","3852655")</f>
        <v>3852655</v>
      </c>
      <c r="H5904" t="s">
        <v>2341</v>
      </c>
      <c r="I5904">
        <v>2007</v>
      </c>
      <c r="J5904">
        <v>2007</v>
      </c>
      <c r="K5904" t="s">
        <v>4554</v>
      </c>
      <c r="L5904" t="s">
        <v>3974</v>
      </c>
      <c r="M5904" s="2">
        <v>1577</v>
      </c>
      <c r="N5904" t="s">
        <v>4048</v>
      </c>
      <c r="O5904">
        <v>3</v>
      </c>
      <c r="P5904">
        <v>2</v>
      </c>
      <c r="Q5904">
        <v>1</v>
      </c>
      <c r="R5904" t="s">
        <v>5281</v>
      </c>
      <c r="S5904" t="s">
        <v>4898</v>
      </c>
      <c r="T5904" t="s">
        <v>4559</v>
      </c>
      <c r="U5904" t="s">
        <v>5631</v>
      </c>
      <c r="V5904" s="2">
        <v>440</v>
      </c>
      <c r="W5904" t="s">
        <v>4655</v>
      </c>
      <c r="X5904" s="2">
        <v>0</v>
      </c>
      <c r="Y5904">
        <v>20</v>
      </c>
      <c r="Z5904" t="s">
        <v>4144</v>
      </c>
      <c r="AA5904" s="3">
        <v>4.8209365457296399E-2</v>
      </c>
      <c r="AB5904" t="s">
        <v>5659</v>
      </c>
      <c r="AC5904" t="s">
        <v>4562</v>
      </c>
      <c r="AD5904" t="s">
        <v>3827</v>
      </c>
      <c r="AE5904" t="s">
        <v>4655</v>
      </c>
      <c r="AF5904" t="s">
        <v>4563</v>
      </c>
      <c r="AG5904" t="s">
        <v>4564</v>
      </c>
      <c r="AH5904" t="s">
        <v>1147</v>
      </c>
      <c r="AI5904" t="s">
        <v>2679</v>
      </c>
      <c r="AJ5904" t="s">
        <v>2680</v>
      </c>
      <c r="AK5904" t="s">
        <v>3828</v>
      </c>
      <c r="AL5904" s="13" t="s">
        <v>2255</v>
      </c>
      <c r="AM5904" s="14">
        <v>1</v>
      </c>
      <c r="AN5904" s="15" t="s">
        <v>5315</v>
      </c>
    </row>
    <row r="5905" spans="1:40" x14ac:dyDescent="0.3">
      <c r="A5905" s="10" t="str">
        <f>HYPERLINK("http://www.washoecounty.gov/assessor/cama/?parid=204-562-28&amp;CardNumber=1","204-562-28")</f>
        <v>204-562-28</v>
      </c>
      <c r="B5905" t="s">
        <v>4655</v>
      </c>
      <c r="C5905" t="s">
        <v>29064</v>
      </c>
      <c r="D5905" s="1">
        <v>40234</v>
      </c>
      <c r="E5905" s="2">
        <v>1050000</v>
      </c>
      <c r="F5905" t="s">
        <v>4553</v>
      </c>
      <c r="G5905" s="17" t="str">
        <f>HYPERLINK("https://www.washoecounty.gov/assessor/cama/?command=sales&amp;parid=20456228","3852655")</f>
        <v>3852655</v>
      </c>
      <c r="H5905" t="s">
        <v>2341</v>
      </c>
      <c r="I5905">
        <v>2007</v>
      </c>
      <c r="J5905">
        <v>2007</v>
      </c>
      <c r="K5905" t="s">
        <v>4554</v>
      </c>
      <c r="L5905" t="s">
        <v>3974</v>
      </c>
      <c r="M5905" s="2">
        <v>1741</v>
      </c>
      <c r="N5905" t="s">
        <v>4048</v>
      </c>
      <c r="O5905">
        <v>3</v>
      </c>
      <c r="P5905">
        <v>2</v>
      </c>
      <c r="Q5905">
        <v>1</v>
      </c>
      <c r="R5905" t="s">
        <v>4557</v>
      </c>
      <c r="S5905" t="s">
        <v>4898</v>
      </c>
      <c r="T5905" t="s">
        <v>4559</v>
      </c>
      <c r="U5905" t="s">
        <v>5631</v>
      </c>
      <c r="V5905" s="2">
        <v>440</v>
      </c>
      <c r="W5905" t="s">
        <v>4655</v>
      </c>
      <c r="X5905" s="2">
        <v>0</v>
      </c>
      <c r="Y5905">
        <v>20</v>
      </c>
      <c r="Z5905" t="s">
        <v>4144</v>
      </c>
      <c r="AA5905" s="3">
        <v>6.8549126386642498E-2</v>
      </c>
      <c r="AB5905" t="s">
        <v>29066</v>
      </c>
      <c r="AC5905" t="s">
        <v>4562</v>
      </c>
      <c r="AD5905" t="s">
        <v>29064</v>
      </c>
      <c r="AE5905" t="s">
        <v>4655</v>
      </c>
      <c r="AF5905" t="s">
        <v>4563</v>
      </c>
      <c r="AG5905" t="s">
        <v>4564</v>
      </c>
      <c r="AH5905" t="s">
        <v>1147</v>
      </c>
      <c r="AI5905" t="s">
        <v>2679</v>
      </c>
      <c r="AJ5905" t="s">
        <v>2680</v>
      </c>
      <c r="AK5905" t="s">
        <v>29067</v>
      </c>
      <c r="AL5905" s="13" t="s">
        <v>2255</v>
      </c>
      <c r="AM5905">
        <v>1</v>
      </c>
      <c r="AN5905" s="15" t="s">
        <v>5315</v>
      </c>
    </row>
    <row r="5906" spans="1:40" x14ac:dyDescent="0.3">
      <c r="A5906" s="10" t="str">
        <f>HYPERLINK("http://www.washoecounty.gov/assessor/cama/?parid=204-562-28&amp;CardNumber=1","204-562-28")</f>
        <v>204-562-28</v>
      </c>
      <c r="B5906" t="s">
        <v>4655</v>
      </c>
      <c r="C5906" t="s">
        <v>29064</v>
      </c>
      <c r="D5906" s="1">
        <v>40332</v>
      </c>
      <c r="E5906" s="2">
        <v>180000</v>
      </c>
      <c r="F5906" t="s">
        <v>4567</v>
      </c>
      <c r="G5906" s="17" t="str">
        <f>HYPERLINK("https://www.washoecounty.gov/assessor/cama/?command=sales&amp;parid=20456228","3888261")</f>
        <v>3888261</v>
      </c>
      <c r="H5906" t="s">
        <v>2341</v>
      </c>
      <c r="I5906">
        <v>2007</v>
      </c>
      <c r="J5906">
        <v>2007</v>
      </c>
      <c r="K5906" t="s">
        <v>4554</v>
      </c>
      <c r="L5906" t="s">
        <v>3974</v>
      </c>
      <c r="M5906" s="2">
        <v>1741</v>
      </c>
      <c r="N5906" t="s">
        <v>4048</v>
      </c>
      <c r="O5906">
        <v>3</v>
      </c>
      <c r="P5906">
        <v>2</v>
      </c>
      <c r="Q5906">
        <v>1</v>
      </c>
      <c r="R5906" t="s">
        <v>4557</v>
      </c>
      <c r="S5906" t="s">
        <v>4898</v>
      </c>
      <c r="T5906" t="s">
        <v>4559</v>
      </c>
      <c r="U5906" t="s">
        <v>5631</v>
      </c>
      <c r="V5906" s="2">
        <v>440</v>
      </c>
      <c r="W5906" t="s">
        <v>4655</v>
      </c>
      <c r="X5906" s="2">
        <v>0</v>
      </c>
      <c r="Y5906">
        <v>20</v>
      </c>
      <c r="Z5906" t="s">
        <v>4144</v>
      </c>
      <c r="AA5906" s="3">
        <v>6.8549126386642498E-2</v>
      </c>
      <c r="AB5906" t="s">
        <v>29066</v>
      </c>
      <c r="AC5906" t="s">
        <v>4562</v>
      </c>
      <c r="AD5906" t="s">
        <v>29064</v>
      </c>
      <c r="AE5906" t="s">
        <v>4655</v>
      </c>
      <c r="AF5906" t="s">
        <v>4563</v>
      </c>
      <c r="AG5906" t="s">
        <v>4564</v>
      </c>
      <c r="AH5906" t="s">
        <v>1147</v>
      </c>
      <c r="AI5906" t="s">
        <v>2679</v>
      </c>
      <c r="AJ5906" t="s">
        <v>2680</v>
      </c>
      <c r="AK5906" t="s">
        <v>29067</v>
      </c>
      <c r="AL5906" s="13" t="s">
        <v>2255</v>
      </c>
      <c r="AM5906">
        <v>1</v>
      </c>
      <c r="AN5906" s="15" t="s">
        <v>5315</v>
      </c>
    </row>
    <row r="5907" spans="1:40" x14ac:dyDescent="0.3">
      <c r="A5907" s="10" t="str">
        <f>HYPERLINK("http://www.washoecounty.gov/assessor/cama/?parid=204-563-19&amp;CardNumber=1","204-563-19")</f>
        <v>204-563-19</v>
      </c>
      <c r="B5907" t="s">
        <v>4655</v>
      </c>
      <c r="C5907" t="s">
        <v>29049</v>
      </c>
      <c r="D5907" s="1">
        <v>40234</v>
      </c>
      <c r="E5907" s="2">
        <v>1050000</v>
      </c>
      <c r="F5907" t="s">
        <v>4553</v>
      </c>
      <c r="G5907" s="17" t="str">
        <f>HYPERLINK("https://www.washoecounty.gov/assessor/cama/?command=sales&amp;parid=20456319","3852655")</f>
        <v>3852655</v>
      </c>
      <c r="H5907" t="s">
        <v>2341</v>
      </c>
      <c r="I5907">
        <v>0</v>
      </c>
      <c r="J5907">
        <v>0</v>
      </c>
      <c r="K5907" t="s">
        <v>4655</v>
      </c>
      <c r="L5907" t="s">
        <v>4655</v>
      </c>
      <c r="M5907" s="2">
        <v>0</v>
      </c>
      <c r="N5907" t="s">
        <v>4655</v>
      </c>
      <c r="O5907">
        <v>0</v>
      </c>
      <c r="P5907">
        <v>0</v>
      </c>
      <c r="Q5907">
        <v>0</v>
      </c>
      <c r="R5907" t="s">
        <v>4655</v>
      </c>
      <c r="S5907" t="s">
        <v>4655</v>
      </c>
      <c r="T5907" t="s">
        <v>4655</v>
      </c>
      <c r="U5907" t="s">
        <v>4655</v>
      </c>
      <c r="V5907" s="2">
        <v>0</v>
      </c>
      <c r="W5907" t="s">
        <v>4655</v>
      </c>
      <c r="X5907" s="2">
        <v>0</v>
      </c>
      <c r="Y5907">
        <v>20</v>
      </c>
      <c r="Z5907" t="s">
        <v>4144</v>
      </c>
      <c r="AA5907" s="3">
        <v>0.130808085203171</v>
      </c>
      <c r="AB5907" t="s">
        <v>174</v>
      </c>
      <c r="AC5907" t="s">
        <v>4562</v>
      </c>
      <c r="AD5907" t="s">
        <v>29034</v>
      </c>
      <c r="AE5907" t="s">
        <v>4655</v>
      </c>
      <c r="AF5907" t="s">
        <v>4563</v>
      </c>
      <c r="AG5907" t="s">
        <v>4564</v>
      </c>
      <c r="AH5907" t="s">
        <v>2330</v>
      </c>
      <c r="AI5907" t="s">
        <v>4655</v>
      </c>
      <c r="AJ5907" t="s">
        <v>2680</v>
      </c>
      <c r="AK5907" t="s">
        <v>29068</v>
      </c>
      <c r="AL5907" s="13" t="s">
        <v>2255</v>
      </c>
      <c r="AM5907" s="14">
        <v>0</v>
      </c>
      <c r="AN5907" s="15" t="s">
        <v>2087</v>
      </c>
    </row>
    <row r="5908" spans="1:40" x14ac:dyDescent="0.3">
      <c r="A5908" s="10" t="str">
        <f>HYPERLINK("http://www.washoecounty.gov/assessor/cama/?parid=204-581-10&amp;CardNumber=1","204-581-10")</f>
        <v>204-581-10</v>
      </c>
      <c r="B5908" t="s">
        <v>4655</v>
      </c>
      <c r="C5908" t="s">
        <v>29069</v>
      </c>
      <c r="D5908" s="1">
        <v>40198</v>
      </c>
      <c r="E5908" s="2">
        <v>167000</v>
      </c>
      <c r="F5908" t="s">
        <v>4567</v>
      </c>
      <c r="G5908" s="17" t="str">
        <f>HYPERLINK("https://www.washoecounty.gov/assessor/cama/?command=sales&amp;parid=20458110","3841191")</f>
        <v>3841191</v>
      </c>
      <c r="H5908" t="s">
        <v>4655</v>
      </c>
      <c r="I5908">
        <v>2002</v>
      </c>
      <c r="J5908">
        <v>2002</v>
      </c>
      <c r="K5908" t="s">
        <v>4554</v>
      </c>
      <c r="L5908" t="s">
        <v>4555</v>
      </c>
      <c r="M5908" s="2">
        <v>1248</v>
      </c>
      <c r="N5908" t="s">
        <v>4048</v>
      </c>
      <c r="O5908">
        <v>3</v>
      </c>
      <c r="P5908">
        <v>2</v>
      </c>
      <c r="Q5908">
        <v>1</v>
      </c>
      <c r="R5908" t="s">
        <v>5281</v>
      </c>
      <c r="S5908" t="s">
        <v>4558</v>
      </c>
      <c r="T5908" t="s">
        <v>4559</v>
      </c>
      <c r="U5908" t="s">
        <v>4560</v>
      </c>
      <c r="V5908" s="2">
        <v>400</v>
      </c>
      <c r="W5908" t="s">
        <v>4655</v>
      </c>
      <c r="X5908" s="2">
        <v>0</v>
      </c>
      <c r="Y5908">
        <v>20</v>
      </c>
      <c r="Z5908" t="s">
        <v>4351</v>
      </c>
      <c r="AA5908" s="3">
        <v>9.1069787740707397E-2</v>
      </c>
      <c r="AB5908" t="s">
        <v>29070</v>
      </c>
      <c r="AC5908" t="s">
        <v>4562</v>
      </c>
      <c r="AD5908" t="s">
        <v>29069</v>
      </c>
      <c r="AE5908" t="s">
        <v>4655</v>
      </c>
      <c r="AF5908" t="s">
        <v>4563</v>
      </c>
      <c r="AG5908" t="s">
        <v>4564</v>
      </c>
      <c r="AH5908" t="s">
        <v>1147</v>
      </c>
      <c r="AI5908" t="s">
        <v>29071</v>
      </c>
      <c r="AJ5908" t="s">
        <v>4491</v>
      </c>
      <c r="AK5908" t="s">
        <v>29072</v>
      </c>
      <c r="AL5908" s="13" t="s">
        <v>2255</v>
      </c>
      <c r="AM5908" s="14">
        <v>1</v>
      </c>
      <c r="AN5908" s="15" t="s">
        <v>383</v>
      </c>
    </row>
    <row r="5909" spans="1:40" x14ac:dyDescent="0.3">
      <c r="A5909" s="10" t="str">
        <f>HYPERLINK("http://www.washoecounty.gov/assessor/cama/?parid=204-593-07&amp;CardNumber=1","204-593-07")</f>
        <v>204-593-07</v>
      </c>
      <c r="B5909" t="s">
        <v>4655</v>
      </c>
      <c r="C5909" t="s">
        <v>29073</v>
      </c>
      <c r="D5909" s="1">
        <v>40248</v>
      </c>
      <c r="E5909" s="2">
        <v>180000</v>
      </c>
      <c r="F5909" t="s">
        <v>4567</v>
      </c>
      <c r="G5909" s="17" t="str">
        <f>HYPERLINK("https://www.washoecounty.gov/assessor/cama/?command=sales&amp;parid=20459307","3858711")</f>
        <v>3858711</v>
      </c>
      <c r="H5909" t="s">
        <v>4493</v>
      </c>
      <c r="I5909">
        <v>2002</v>
      </c>
      <c r="J5909">
        <v>2002</v>
      </c>
      <c r="K5909" t="s">
        <v>4554</v>
      </c>
      <c r="L5909" t="s">
        <v>3974</v>
      </c>
      <c r="M5909" s="2">
        <v>1520</v>
      </c>
      <c r="N5909" t="s">
        <v>4048</v>
      </c>
      <c r="O5909">
        <v>3</v>
      </c>
      <c r="P5909">
        <v>2</v>
      </c>
      <c r="Q5909">
        <v>1</v>
      </c>
      <c r="R5909" t="s">
        <v>4557</v>
      </c>
      <c r="S5909" t="s">
        <v>4558</v>
      </c>
      <c r="T5909" t="s">
        <v>4559</v>
      </c>
      <c r="U5909" t="s">
        <v>5631</v>
      </c>
      <c r="V5909" s="2">
        <v>400</v>
      </c>
      <c r="W5909" t="s">
        <v>4655</v>
      </c>
      <c r="X5909" s="2">
        <v>0</v>
      </c>
      <c r="Y5909">
        <v>20</v>
      </c>
      <c r="Z5909" t="s">
        <v>4351</v>
      </c>
      <c r="AA5909" s="3">
        <v>8.2644626498222407E-2</v>
      </c>
      <c r="AB5909" t="s">
        <v>29074</v>
      </c>
      <c r="AC5909" t="s">
        <v>4562</v>
      </c>
      <c r="AD5909" t="s">
        <v>29073</v>
      </c>
      <c r="AE5909" t="s">
        <v>4655</v>
      </c>
      <c r="AF5909" t="s">
        <v>4563</v>
      </c>
      <c r="AG5909" t="s">
        <v>4564</v>
      </c>
      <c r="AH5909" t="s">
        <v>1147</v>
      </c>
      <c r="AI5909" t="s">
        <v>29075</v>
      </c>
      <c r="AJ5909" t="s">
        <v>4491</v>
      </c>
      <c r="AK5909" t="s">
        <v>29076</v>
      </c>
      <c r="AL5909" s="13" t="s">
        <v>2255</v>
      </c>
      <c r="AM5909" s="14">
        <v>1</v>
      </c>
      <c r="AN5909" s="15" t="s">
        <v>383</v>
      </c>
    </row>
    <row r="5910" spans="1:40" x14ac:dyDescent="0.3">
      <c r="A5910" s="10" t="str">
        <f>HYPERLINK("http://www.washoecounty.gov/assessor/cama/?parid=204-593-11&amp;CardNumber=1","204-593-11")</f>
        <v>204-593-11</v>
      </c>
      <c r="B5910" t="s">
        <v>4655</v>
      </c>
      <c r="C5910" t="s">
        <v>4492</v>
      </c>
      <c r="D5910" s="1">
        <v>40207</v>
      </c>
      <c r="E5910" s="2">
        <v>170000</v>
      </c>
      <c r="F5910" t="s">
        <v>4553</v>
      </c>
      <c r="G5910" s="17" t="str">
        <f>HYPERLINK("https://www.washoecounty.gov/assessor/cama/?command=sales&amp;parid=20459311","3844297")</f>
        <v>3844297</v>
      </c>
      <c r="H5910" t="s">
        <v>4493</v>
      </c>
      <c r="I5910">
        <v>2002</v>
      </c>
      <c r="J5910">
        <v>2002</v>
      </c>
      <c r="K5910" t="s">
        <v>4554</v>
      </c>
      <c r="L5910" t="s">
        <v>3974</v>
      </c>
      <c r="M5910" s="2">
        <v>1520</v>
      </c>
      <c r="N5910" t="s">
        <v>4048</v>
      </c>
      <c r="O5910">
        <v>3</v>
      </c>
      <c r="P5910">
        <v>2</v>
      </c>
      <c r="Q5910">
        <v>1</v>
      </c>
      <c r="R5910" t="s">
        <v>5281</v>
      </c>
      <c r="S5910" t="s">
        <v>4558</v>
      </c>
      <c r="T5910" t="s">
        <v>4559</v>
      </c>
      <c r="U5910" t="s">
        <v>5631</v>
      </c>
      <c r="V5910" s="2">
        <v>400</v>
      </c>
      <c r="W5910" t="s">
        <v>4655</v>
      </c>
      <c r="X5910" s="2">
        <v>0</v>
      </c>
      <c r="Y5910">
        <v>20</v>
      </c>
      <c r="Z5910" t="s">
        <v>4351</v>
      </c>
      <c r="AA5910" s="3">
        <v>7.53213986754417E-2</v>
      </c>
      <c r="AB5910" t="s">
        <v>29077</v>
      </c>
      <c r="AC5910" t="s">
        <v>4562</v>
      </c>
      <c r="AD5910" t="s">
        <v>4492</v>
      </c>
      <c r="AE5910" t="s">
        <v>4655</v>
      </c>
      <c r="AF5910" t="s">
        <v>4563</v>
      </c>
      <c r="AG5910" t="s">
        <v>4564</v>
      </c>
      <c r="AH5910" t="s">
        <v>1147</v>
      </c>
      <c r="AI5910" t="s">
        <v>2009</v>
      </c>
      <c r="AJ5910" t="s">
        <v>4491</v>
      </c>
      <c r="AK5910" t="s">
        <v>29078</v>
      </c>
      <c r="AL5910" s="13" t="s">
        <v>2255</v>
      </c>
      <c r="AM5910" s="14">
        <v>1</v>
      </c>
      <c r="AN5910" s="15" t="s">
        <v>383</v>
      </c>
    </row>
    <row r="5911" spans="1:40" x14ac:dyDescent="0.3">
      <c r="A5911" s="10" t="str">
        <f>HYPERLINK("http://www.washoecounty.gov/assessor/cama/?parid=204-611-08&amp;CardNumber=1","204-611-08")</f>
        <v>204-611-08</v>
      </c>
      <c r="B5911" t="s">
        <v>4655</v>
      </c>
      <c r="C5911" s="20" t="s">
        <v>283</v>
      </c>
      <c r="D5911" s="1">
        <v>40269</v>
      </c>
      <c r="E5911" s="2">
        <v>380000</v>
      </c>
      <c r="F5911" t="s">
        <v>4567</v>
      </c>
      <c r="G5911" s="20" t="s">
        <v>282</v>
      </c>
      <c r="H5911" t="s">
        <v>2668</v>
      </c>
      <c r="I5911">
        <v>2002</v>
      </c>
      <c r="J5911">
        <v>2002</v>
      </c>
      <c r="K5911" t="s">
        <v>4554</v>
      </c>
      <c r="L5911" t="s">
        <v>3974</v>
      </c>
      <c r="M5911" s="2">
        <v>3625</v>
      </c>
      <c r="N5911" t="s">
        <v>3887</v>
      </c>
      <c r="O5911">
        <v>4</v>
      </c>
      <c r="P5911">
        <v>2</v>
      </c>
      <c r="Q5911">
        <v>1</v>
      </c>
      <c r="R5911" t="s">
        <v>4557</v>
      </c>
      <c r="S5911" t="s">
        <v>4898</v>
      </c>
      <c r="T5911" t="s">
        <v>2704</v>
      </c>
      <c r="U5911" t="s">
        <v>162</v>
      </c>
      <c r="V5911" s="2">
        <v>738</v>
      </c>
      <c r="W5911" t="s">
        <v>4655</v>
      </c>
      <c r="X5911" s="2">
        <v>0</v>
      </c>
      <c r="Y5911">
        <v>20</v>
      </c>
      <c r="Z5911" t="s">
        <v>385</v>
      </c>
      <c r="AA5911" s="3">
        <v>0.29598253965377808</v>
      </c>
      <c r="AB5911" s="20" t="s">
        <v>8865</v>
      </c>
      <c r="AD5911" t="s">
        <v>283</v>
      </c>
      <c r="AE5911" t="s">
        <v>283</v>
      </c>
      <c r="AF5911" t="s">
        <v>283</v>
      </c>
      <c r="AG5911" t="s">
        <v>4564</v>
      </c>
      <c r="AH5911" t="s">
        <v>3101</v>
      </c>
      <c r="AI5911" t="s">
        <v>8865</v>
      </c>
      <c r="AJ5911" t="s">
        <v>769</v>
      </c>
      <c r="AK5911" t="s">
        <v>8865</v>
      </c>
      <c r="AL5911" s="13" t="s">
        <v>2255</v>
      </c>
      <c r="AM5911" s="14">
        <v>1</v>
      </c>
      <c r="AN5911" s="15" t="s">
        <v>4496</v>
      </c>
    </row>
    <row r="5912" spans="1:40" x14ac:dyDescent="0.3">
      <c r="A5912" s="10" t="str">
        <f>HYPERLINK("http://www.washoecounty.gov/assessor/cama/?parid=204-611-08&amp;CardNumber=1","204-611-08")</f>
        <v>204-611-08</v>
      </c>
      <c r="B5912" t="s">
        <v>4655</v>
      </c>
      <c r="C5912" s="20" t="s">
        <v>283</v>
      </c>
      <c r="D5912" s="1">
        <v>40345</v>
      </c>
      <c r="E5912" s="2">
        <v>462500</v>
      </c>
      <c r="F5912" t="s">
        <v>4567</v>
      </c>
      <c r="G5912" s="20" t="s">
        <v>282</v>
      </c>
      <c r="H5912" t="s">
        <v>2668</v>
      </c>
      <c r="I5912">
        <v>2002</v>
      </c>
      <c r="J5912">
        <v>2002</v>
      </c>
      <c r="K5912" t="s">
        <v>4554</v>
      </c>
      <c r="L5912" t="s">
        <v>3974</v>
      </c>
      <c r="M5912" s="2">
        <v>3625</v>
      </c>
      <c r="N5912" t="s">
        <v>3887</v>
      </c>
      <c r="O5912">
        <v>4</v>
      </c>
      <c r="P5912">
        <v>2</v>
      </c>
      <c r="Q5912">
        <v>1</v>
      </c>
      <c r="R5912" t="s">
        <v>4557</v>
      </c>
      <c r="S5912" t="s">
        <v>4898</v>
      </c>
      <c r="T5912" t="s">
        <v>2704</v>
      </c>
      <c r="U5912" t="s">
        <v>162</v>
      </c>
      <c r="V5912" s="2">
        <v>738</v>
      </c>
      <c r="W5912" t="s">
        <v>4655</v>
      </c>
      <c r="X5912" s="2">
        <v>0</v>
      </c>
      <c r="Y5912">
        <v>20</v>
      </c>
      <c r="Z5912" t="s">
        <v>385</v>
      </c>
      <c r="AA5912" s="3">
        <v>0.29598253965377808</v>
      </c>
      <c r="AB5912" s="20" t="s">
        <v>8865</v>
      </c>
      <c r="AD5912" t="s">
        <v>283</v>
      </c>
      <c r="AE5912" t="s">
        <v>283</v>
      </c>
      <c r="AF5912" t="s">
        <v>283</v>
      </c>
      <c r="AG5912" t="s">
        <v>4564</v>
      </c>
      <c r="AH5912" t="s">
        <v>3101</v>
      </c>
      <c r="AI5912" t="s">
        <v>8865</v>
      </c>
      <c r="AJ5912" t="s">
        <v>769</v>
      </c>
      <c r="AK5912" t="s">
        <v>8865</v>
      </c>
      <c r="AL5912" s="13" t="s">
        <v>2255</v>
      </c>
      <c r="AM5912">
        <v>1</v>
      </c>
      <c r="AN5912" s="15" t="s">
        <v>4496</v>
      </c>
    </row>
    <row r="5913" spans="1:40" x14ac:dyDescent="0.3">
      <c r="A5913" s="10" t="str">
        <f>HYPERLINK("http://www.washoecounty.gov/assessor/cama/?parid=204-622-03&amp;CardNumber=1","204-622-03")</f>
        <v>204-622-03</v>
      </c>
      <c r="B5913" t="s">
        <v>4655</v>
      </c>
      <c r="C5913" t="s">
        <v>29079</v>
      </c>
      <c r="D5913" s="1">
        <v>40326</v>
      </c>
      <c r="E5913" s="2">
        <v>360000</v>
      </c>
      <c r="F5913" t="s">
        <v>4567</v>
      </c>
      <c r="G5913" s="17" t="str">
        <f>HYPERLINK("https://www.washoecounty.gov/assessor/cama/?command=sales&amp;parid=20462203","3886886")</f>
        <v>3886886</v>
      </c>
      <c r="H5913" t="s">
        <v>2668</v>
      </c>
      <c r="I5913">
        <v>2003</v>
      </c>
      <c r="J5913">
        <v>2003</v>
      </c>
      <c r="K5913" t="s">
        <v>4554</v>
      </c>
      <c r="L5913" t="s">
        <v>3974</v>
      </c>
      <c r="M5913" s="2">
        <v>3625</v>
      </c>
      <c r="N5913" t="s">
        <v>3887</v>
      </c>
      <c r="O5913">
        <v>4</v>
      </c>
      <c r="P5913">
        <v>3</v>
      </c>
      <c r="Q5913">
        <v>1</v>
      </c>
      <c r="R5913" t="s">
        <v>4557</v>
      </c>
      <c r="S5913" t="s">
        <v>4898</v>
      </c>
      <c r="T5913" t="s">
        <v>2704</v>
      </c>
      <c r="U5913" t="s">
        <v>162</v>
      </c>
      <c r="V5913" s="2">
        <v>738</v>
      </c>
      <c r="W5913" t="s">
        <v>4655</v>
      </c>
      <c r="X5913" s="2">
        <v>0</v>
      </c>
      <c r="Y5913">
        <v>20</v>
      </c>
      <c r="Z5913" t="s">
        <v>385</v>
      </c>
      <c r="AA5913" s="3">
        <v>0.426675856113434</v>
      </c>
      <c r="AB5913" t="s">
        <v>29080</v>
      </c>
      <c r="AC5913" t="s">
        <v>4562</v>
      </c>
      <c r="AD5913" t="s">
        <v>29081</v>
      </c>
      <c r="AE5913" t="s">
        <v>4655</v>
      </c>
      <c r="AF5913" t="s">
        <v>4563</v>
      </c>
      <c r="AG5913" t="s">
        <v>4564</v>
      </c>
      <c r="AH5913" t="s">
        <v>1147</v>
      </c>
      <c r="AI5913" t="s">
        <v>29082</v>
      </c>
      <c r="AJ5913" t="s">
        <v>769</v>
      </c>
      <c r="AK5913" t="s">
        <v>29083</v>
      </c>
      <c r="AL5913" s="13" t="s">
        <v>2255</v>
      </c>
      <c r="AM5913">
        <v>1</v>
      </c>
      <c r="AN5913" s="15" t="s">
        <v>4496</v>
      </c>
    </row>
    <row r="5914" spans="1:40" x14ac:dyDescent="0.3">
      <c r="A5914" s="10" t="str">
        <f>HYPERLINK("http://www.washoecounty.gov/assessor/cama/?parid=204-631-12&amp;CardNumber=1","204-631-12")</f>
        <v>204-631-12</v>
      </c>
      <c r="B5914" t="s">
        <v>4655</v>
      </c>
      <c r="C5914" t="s">
        <v>29084</v>
      </c>
      <c r="D5914" s="1">
        <v>40358</v>
      </c>
      <c r="E5914" s="2">
        <v>173000</v>
      </c>
      <c r="F5914" t="s">
        <v>4553</v>
      </c>
      <c r="G5914" s="17" t="str">
        <f>HYPERLINK("https://www.washoecounty.gov/assessor/cama/?command=sales&amp;parid=20463112","3896797")</f>
        <v>3896797</v>
      </c>
      <c r="H5914" t="s">
        <v>846</v>
      </c>
      <c r="I5914">
        <v>2003</v>
      </c>
      <c r="J5914">
        <v>2003</v>
      </c>
      <c r="K5914" t="s">
        <v>4554</v>
      </c>
      <c r="L5914" t="s">
        <v>3974</v>
      </c>
      <c r="M5914" s="2">
        <v>1520</v>
      </c>
      <c r="N5914" t="s">
        <v>4048</v>
      </c>
      <c r="O5914">
        <v>3</v>
      </c>
      <c r="P5914">
        <v>2</v>
      </c>
      <c r="Q5914">
        <v>1</v>
      </c>
      <c r="R5914" t="s">
        <v>4557</v>
      </c>
      <c r="S5914" t="s">
        <v>4558</v>
      </c>
      <c r="T5914" t="s">
        <v>4559</v>
      </c>
      <c r="U5914" t="s">
        <v>5631</v>
      </c>
      <c r="V5914" s="2">
        <v>400</v>
      </c>
      <c r="W5914" t="s">
        <v>4655</v>
      </c>
      <c r="X5914" s="2">
        <v>0</v>
      </c>
      <c r="Y5914">
        <v>20</v>
      </c>
      <c r="Z5914" t="s">
        <v>4351</v>
      </c>
      <c r="AA5914" s="3">
        <v>0.10371901094913499</v>
      </c>
      <c r="AB5914" t="s">
        <v>29085</v>
      </c>
      <c r="AC5914" t="s">
        <v>4562</v>
      </c>
      <c r="AD5914" t="s">
        <v>29086</v>
      </c>
      <c r="AE5914" t="s">
        <v>4655</v>
      </c>
      <c r="AF5914" t="s">
        <v>4563</v>
      </c>
      <c r="AG5914" t="s">
        <v>4564</v>
      </c>
      <c r="AH5914" t="s">
        <v>5197</v>
      </c>
      <c r="AI5914" t="s">
        <v>847</v>
      </c>
      <c r="AJ5914" t="s">
        <v>848</v>
      </c>
      <c r="AK5914" t="s">
        <v>29087</v>
      </c>
      <c r="AL5914" s="13" t="s">
        <v>2255</v>
      </c>
      <c r="AM5914">
        <v>1</v>
      </c>
      <c r="AN5914" s="15" t="s">
        <v>383</v>
      </c>
    </row>
    <row r="5915" spans="1:40" x14ac:dyDescent="0.3">
      <c r="A5915" s="10" t="str">
        <f>HYPERLINK("http://www.washoecounty.gov/assessor/cama/?parid=204-632-16&amp;CardNumber=1","204-632-16")</f>
        <v>204-632-16</v>
      </c>
      <c r="B5915" t="s">
        <v>4655</v>
      </c>
      <c r="C5915" t="s">
        <v>29088</v>
      </c>
      <c r="D5915" s="1">
        <v>40476</v>
      </c>
      <c r="E5915" s="2">
        <v>150000</v>
      </c>
      <c r="F5915" t="s">
        <v>4567</v>
      </c>
      <c r="G5915" s="17" t="str">
        <f>HYPERLINK("https://www.washoecounty.gov/assessor/cama/?command=sales&amp;parid=20463216","3936316")</f>
        <v>3936316</v>
      </c>
      <c r="H5915" t="s">
        <v>846</v>
      </c>
      <c r="I5915">
        <v>2003</v>
      </c>
      <c r="J5915">
        <v>2003</v>
      </c>
      <c r="K5915" t="s">
        <v>4554</v>
      </c>
      <c r="L5915" t="s">
        <v>4555</v>
      </c>
      <c r="M5915" s="2">
        <v>1248</v>
      </c>
      <c r="N5915" t="s">
        <v>4048</v>
      </c>
      <c r="O5915">
        <v>3</v>
      </c>
      <c r="P5915">
        <v>2</v>
      </c>
      <c r="Q5915">
        <v>0</v>
      </c>
      <c r="R5915" t="s">
        <v>4557</v>
      </c>
      <c r="S5915" t="s">
        <v>4558</v>
      </c>
      <c r="T5915" t="s">
        <v>4559</v>
      </c>
      <c r="U5915" t="s">
        <v>4560</v>
      </c>
      <c r="V5915" s="2">
        <v>400</v>
      </c>
      <c r="W5915" t="s">
        <v>4655</v>
      </c>
      <c r="X5915" s="2">
        <v>0</v>
      </c>
      <c r="Y5915">
        <v>20</v>
      </c>
      <c r="Z5915" t="s">
        <v>4351</v>
      </c>
      <c r="AA5915" s="3">
        <v>0.109090909361839</v>
      </c>
      <c r="AB5915" t="s">
        <v>29089</v>
      </c>
      <c r="AC5915" t="s">
        <v>4562</v>
      </c>
      <c r="AD5915" t="s">
        <v>29088</v>
      </c>
      <c r="AE5915" t="s">
        <v>4655</v>
      </c>
      <c r="AF5915" t="s">
        <v>4563</v>
      </c>
      <c r="AG5915" t="s">
        <v>4564</v>
      </c>
      <c r="AH5915" t="s">
        <v>1147</v>
      </c>
      <c r="AI5915" t="s">
        <v>29090</v>
      </c>
      <c r="AJ5915" t="s">
        <v>848</v>
      </c>
      <c r="AK5915" t="s">
        <v>29091</v>
      </c>
      <c r="AL5915" s="13" t="s">
        <v>2255</v>
      </c>
      <c r="AM5915">
        <v>1</v>
      </c>
      <c r="AN5915" s="15" t="s">
        <v>383</v>
      </c>
    </row>
    <row r="5916" spans="1:40" x14ac:dyDescent="0.3">
      <c r="A5916" s="10" t="str">
        <f>HYPERLINK("http://www.washoecounty.gov/assessor/cama/?parid=204-640-01&amp;CardNumber=1","204-640-01")</f>
        <v>204-640-01</v>
      </c>
      <c r="B5916" t="s">
        <v>4655</v>
      </c>
      <c r="C5916" t="s">
        <v>29092</v>
      </c>
      <c r="D5916" s="1">
        <v>40490</v>
      </c>
      <c r="E5916" s="2">
        <v>165000</v>
      </c>
      <c r="F5916" t="s">
        <v>4567</v>
      </c>
      <c r="G5916" s="17" t="str">
        <f>HYPERLINK("https://www.washoecounty.gov/assessor/cama/?command=sales&amp;parid=20464001","3940888")</f>
        <v>3940888</v>
      </c>
      <c r="H5916" t="s">
        <v>3315</v>
      </c>
      <c r="I5916">
        <v>2003</v>
      </c>
      <c r="J5916">
        <v>2003</v>
      </c>
      <c r="K5916" t="s">
        <v>4554</v>
      </c>
      <c r="L5916" t="s">
        <v>4555</v>
      </c>
      <c r="M5916" s="2">
        <v>1514</v>
      </c>
      <c r="N5916" t="s">
        <v>4048</v>
      </c>
      <c r="O5916">
        <v>3</v>
      </c>
      <c r="P5916">
        <v>2</v>
      </c>
      <c r="Q5916">
        <v>0</v>
      </c>
      <c r="R5916" t="s">
        <v>5281</v>
      </c>
      <c r="S5916" t="s">
        <v>4558</v>
      </c>
      <c r="T5916" t="s">
        <v>4559</v>
      </c>
      <c r="U5916" t="s">
        <v>4560</v>
      </c>
      <c r="V5916" s="2">
        <v>441</v>
      </c>
      <c r="W5916" t="s">
        <v>4655</v>
      </c>
      <c r="X5916" s="2">
        <v>0</v>
      </c>
      <c r="Y5916">
        <v>20</v>
      </c>
      <c r="Z5916" t="s">
        <v>4561</v>
      </c>
      <c r="AA5916" s="3">
        <v>0.30039027333259599</v>
      </c>
      <c r="AB5916" t="s">
        <v>29093</v>
      </c>
      <c r="AC5916" t="s">
        <v>4562</v>
      </c>
      <c r="AD5916" t="s">
        <v>29094</v>
      </c>
      <c r="AE5916" t="s">
        <v>4655</v>
      </c>
      <c r="AF5916" t="s">
        <v>4563</v>
      </c>
      <c r="AG5916" t="s">
        <v>4564</v>
      </c>
      <c r="AH5916">
        <v>89503</v>
      </c>
      <c r="AI5916" t="s">
        <v>29095</v>
      </c>
      <c r="AJ5916" t="s">
        <v>3267</v>
      </c>
      <c r="AK5916" t="s">
        <v>29096</v>
      </c>
      <c r="AL5916" s="13" t="s">
        <v>2255</v>
      </c>
      <c r="AM5916">
        <v>1</v>
      </c>
      <c r="AN5916" s="15" t="s">
        <v>2353</v>
      </c>
    </row>
    <row r="5917" spans="1:40" x14ac:dyDescent="0.3">
      <c r="A5917" s="10" t="str">
        <f>HYPERLINK("http://www.washoecounty.gov/assessor/cama/?parid=204-640-09&amp;CardNumber=1","204-640-09")</f>
        <v>204-640-09</v>
      </c>
      <c r="B5917" t="s">
        <v>4655</v>
      </c>
      <c r="C5917" t="s">
        <v>3314</v>
      </c>
      <c r="D5917" s="1">
        <v>40387</v>
      </c>
      <c r="E5917" s="2">
        <v>232000</v>
      </c>
      <c r="F5917" t="s">
        <v>4553</v>
      </c>
      <c r="G5917" s="17" t="str">
        <f>HYPERLINK("https://www.washoecounty.gov/assessor/cama/?command=sales&amp;parid=20464009","3905561")</f>
        <v>3905561</v>
      </c>
      <c r="H5917" t="s">
        <v>3315</v>
      </c>
      <c r="I5917">
        <v>2003</v>
      </c>
      <c r="J5917">
        <v>2003</v>
      </c>
      <c r="K5917" t="s">
        <v>4554</v>
      </c>
      <c r="L5917" t="s">
        <v>3974</v>
      </c>
      <c r="M5917" s="2">
        <v>2420</v>
      </c>
      <c r="N5917" t="s">
        <v>4048</v>
      </c>
      <c r="O5917">
        <v>3</v>
      </c>
      <c r="P5917">
        <v>2</v>
      </c>
      <c r="Q5917">
        <v>1</v>
      </c>
      <c r="R5917" t="s">
        <v>5281</v>
      </c>
      <c r="S5917" t="s">
        <v>4558</v>
      </c>
      <c r="T5917" t="s">
        <v>4559</v>
      </c>
      <c r="U5917" t="s">
        <v>5631</v>
      </c>
      <c r="V5917" s="2">
        <v>424</v>
      </c>
      <c r="W5917" t="s">
        <v>4655</v>
      </c>
      <c r="X5917" s="2">
        <v>0</v>
      </c>
      <c r="Y5917">
        <v>20</v>
      </c>
      <c r="Z5917" t="s">
        <v>4561</v>
      </c>
      <c r="AA5917" s="3">
        <v>0.18326446413993835</v>
      </c>
      <c r="AB5917" t="s">
        <v>29097</v>
      </c>
      <c r="AC5917" t="s">
        <v>4575</v>
      </c>
      <c r="AD5917" t="s">
        <v>29098</v>
      </c>
      <c r="AE5917" t="s">
        <v>4655</v>
      </c>
      <c r="AF5917" t="s">
        <v>4563</v>
      </c>
      <c r="AG5917" t="s">
        <v>4564</v>
      </c>
      <c r="AH5917">
        <v>89503</v>
      </c>
      <c r="AI5917" t="s">
        <v>4565</v>
      </c>
      <c r="AJ5917" t="s">
        <v>3267</v>
      </c>
      <c r="AK5917" t="s">
        <v>3268</v>
      </c>
      <c r="AL5917" s="13" t="s">
        <v>2255</v>
      </c>
      <c r="AM5917">
        <v>1</v>
      </c>
      <c r="AN5917" s="15" t="s">
        <v>2353</v>
      </c>
    </row>
    <row r="5918" spans="1:40" x14ac:dyDescent="0.3">
      <c r="A5918" s="10" t="str">
        <f>HYPERLINK("http://www.washoecounty.gov/assessor/cama/?parid=204-661-11&amp;CardNumber=1","204-661-11")</f>
        <v>204-661-11</v>
      </c>
      <c r="B5918" t="s">
        <v>4655</v>
      </c>
      <c r="C5918" t="s">
        <v>29099</v>
      </c>
      <c r="D5918" s="1">
        <v>40542</v>
      </c>
      <c r="E5918" s="2">
        <v>291000</v>
      </c>
      <c r="F5918" t="s">
        <v>4567</v>
      </c>
      <c r="G5918" s="17" t="str">
        <f>HYPERLINK("https://www.washoecounty.gov/assessor/cama/?command=sales&amp;parid=20466111","3959093")</f>
        <v>3959093</v>
      </c>
      <c r="H5918" t="s">
        <v>4494</v>
      </c>
      <c r="I5918">
        <v>2003</v>
      </c>
      <c r="J5918">
        <v>2003</v>
      </c>
      <c r="K5918" t="s">
        <v>4554</v>
      </c>
      <c r="L5918" t="s">
        <v>4555</v>
      </c>
      <c r="M5918" s="2">
        <v>2440</v>
      </c>
      <c r="N5918" t="s">
        <v>3887</v>
      </c>
      <c r="O5918">
        <v>4</v>
      </c>
      <c r="P5918">
        <v>2</v>
      </c>
      <c r="Q5918">
        <v>1</v>
      </c>
      <c r="R5918" t="s">
        <v>4557</v>
      </c>
      <c r="S5918" t="s">
        <v>4898</v>
      </c>
      <c r="T5918" t="s">
        <v>2704</v>
      </c>
      <c r="U5918" t="s">
        <v>4560</v>
      </c>
      <c r="V5918" s="2">
        <v>744</v>
      </c>
      <c r="W5918" t="s">
        <v>4655</v>
      </c>
      <c r="X5918" s="2">
        <v>0</v>
      </c>
      <c r="Y5918">
        <v>20</v>
      </c>
      <c r="Z5918" t="s">
        <v>385</v>
      </c>
      <c r="AA5918" s="3">
        <v>0.330716252326965</v>
      </c>
      <c r="AB5918" t="s">
        <v>29100</v>
      </c>
      <c r="AC5918" t="s">
        <v>4575</v>
      </c>
      <c r="AD5918" t="s">
        <v>29099</v>
      </c>
      <c r="AE5918" t="s">
        <v>4655</v>
      </c>
      <c r="AF5918" t="s">
        <v>4563</v>
      </c>
      <c r="AG5918" t="s">
        <v>4564</v>
      </c>
      <c r="AH5918" t="s">
        <v>1147</v>
      </c>
      <c r="AI5918" t="s">
        <v>29101</v>
      </c>
      <c r="AJ5918" t="s">
        <v>4495</v>
      </c>
      <c r="AK5918" t="s">
        <v>29102</v>
      </c>
      <c r="AL5918" s="13" t="s">
        <v>2255</v>
      </c>
      <c r="AM5918" s="14">
        <v>1</v>
      </c>
      <c r="AN5918" s="15" t="s">
        <v>4496</v>
      </c>
    </row>
    <row r="5919" spans="1:40" x14ac:dyDescent="0.3">
      <c r="A5919" s="10" t="str">
        <f>HYPERLINK("http://www.washoecounty.gov/assessor/cama/?parid=204-673-03&amp;CardNumber=1","204-673-03")</f>
        <v>204-673-03</v>
      </c>
      <c r="B5919" t="s">
        <v>4655</v>
      </c>
      <c r="C5919" t="s">
        <v>29103</v>
      </c>
      <c r="D5919" s="1">
        <v>40403</v>
      </c>
      <c r="E5919" s="2">
        <v>350000</v>
      </c>
      <c r="F5919" t="s">
        <v>4567</v>
      </c>
      <c r="G5919" s="17" t="str">
        <f>HYPERLINK("https://www.washoecounty.gov/assessor/cama/?command=sales&amp;parid=20467303","3911875")</f>
        <v>3911875</v>
      </c>
      <c r="H5919" t="s">
        <v>4494</v>
      </c>
      <c r="I5919">
        <v>2005</v>
      </c>
      <c r="J5919">
        <v>2005</v>
      </c>
      <c r="K5919" t="s">
        <v>4554</v>
      </c>
      <c r="L5919" t="s">
        <v>4555</v>
      </c>
      <c r="M5919" s="2">
        <v>2833</v>
      </c>
      <c r="N5919" t="s">
        <v>3887</v>
      </c>
      <c r="O5919">
        <v>4</v>
      </c>
      <c r="P5919">
        <v>2</v>
      </c>
      <c r="Q5919">
        <v>1</v>
      </c>
      <c r="R5919" t="s">
        <v>4557</v>
      </c>
      <c r="S5919" t="s">
        <v>4898</v>
      </c>
      <c r="T5919" t="s">
        <v>2704</v>
      </c>
      <c r="U5919" t="s">
        <v>4560</v>
      </c>
      <c r="V5919" s="2">
        <v>737</v>
      </c>
      <c r="W5919" t="s">
        <v>4655</v>
      </c>
      <c r="X5919" s="2">
        <v>0</v>
      </c>
      <c r="Y5919">
        <v>20</v>
      </c>
      <c r="Z5919" t="s">
        <v>385</v>
      </c>
      <c r="AA5919" s="3">
        <v>0.34017446637153598</v>
      </c>
      <c r="AB5919" t="s">
        <v>29104</v>
      </c>
      <c r="AC5919" t="s">
        <v>4562</v>
      </c>
      <c r="AD5919" t="s">
        <v>29105</v>
      </c>
      <c r="AE5919" t="s">
        <v>4655</v>
      </c>
      <c r="AF5919" t="s">
        <v>23658</v>
      </c>
      <c r="AG5919" t="s">
        <v>762</v>
      </c>
      <c r="AH5919" t="s">
        <v>29106</v>
      </c>
      <c r="AI5919" t="s">
        <v>29107</v>
      </c>
      <c r="AJ5919" t="s">
        <v>4495</v>
      </c>
      <c r="AK5919" t="s">
        <v>29108</v>
      </c>
      <c r="AL5919" s="13" t="s">
        <v>2255</v>
      </c>
      <c r="AM5919" s="14">
        <v>1</v>
      </c>
      <c r="AN5919" s="15" t="s">
        <v>4496</v>
      </c>
    </row>
    <row r="5920" spans="1:40" x14ac:dyDescent="0.3">
      <c r="A5920" s="10" t="str">
        <f>HYPERLINK("http://www.washoecounty.gov/assessor/cama/?parid=204-674-04&amp;CardNumber=1","204-674-04")</f>
        <v>204-674-04</v>
      </c>
      <c r="B5920" t="s">
        <v>4655</v>
      </c>
      <c r="C5920" t="s">
        <v>29109</v>
      </c>
      <c r="D5920" s="1">
        <v>40220</v>
      </c>
      <c r="E5920" s="2">
        <v>310000</v>
      </c>
      <c r="F5920" t="s">
        <v>4567</v>
      </c>
      <c r="G5920" s="17" t="str">
        <f>HYPERLINK("https://www.washoecounty.gov/assessor/cama/?command=sales&amp;parid=20467404","3848600")</f>
        <v>3848600</v>
      </c>
      <c r="H5920" t="s">
        <v>4494</v>
      </c>
      <c r="I5920">
        <v>2005</v>
      </c>
      <c r="J5920">
        <v>2005</v>
      </c>
      <c r="K5920" t="s">
        <v>4554</v>
      </c>
      <c r="L5920" t="s">
        <v>4555</v>
      </c>
      <c r="M5920" s="2">
        <v>2440</v>
      </c>
      <c r="N5920" t="s">
        <v>3887</v>
      </c>
      <c r="O5920">
        <v>4</v>
      </c>
      <c r="P5920">
        <v>2</v>
      </c>
      <c r="Q5920">
        <v>1</v>
      </c>
      <c r="R5920" t="s">
        <v>5281</v>
      </c>
      <c r="S5920" t="s">
        <v>4898</v>
      </c>
      <c r="T5920" t="s">
        <v>2704</v>
      </c>
      <c r="U5920" t="s">
        <v>4560</v>
      </c>
      <c r="V5920" s="2">
        <v>744</v>
      </c>
      <c r="W5920" t="s">
        <v>4655</v>
      </c>
      <c r="X5920" s="2">
        <v>0</v>
      </c>
      <c r="Y5920">
        <v>20</v>
      </c>
      <c r="Z5920" t="s">
        <v>385</v>
      </c>
      <c r="AA5920" s="3">
        <v>0.26225894689559937</v>
      </c>
      <c r="AB5920" t="s">
        <v>29110</v>
      </c>
      <c r="AC5920" t="s">
        <v>4562</v>
      </c>
      <c r="AD5920" t="s">
        <v>29109</v>
      </c>
      <c r="AE5920" t="s">
        <v>4655</v>
      </c>
      <c r="AF5920" t="s">
        <v>4563</v>
      </c>
      <c r="AG5920" t="s">
        <v>4564</v>
      </c>
      <c r="AH5920" t="s">
        <v>1147</v>
      </c>
      <c r="AI5920" t="s">
        <v>29111</v>
      </c>
      <c r="AJ5920" t="s">
        <v>4495</v>
      </c>
      <c r="AK5920" t="s">
        <v>29112</v>
      </c>
      <c r="AL5920" s="13" t="s">
        <v>2255</v>
      </c>
      <c r="AM5920">
        <v>1</v>
      </c>
      <c r="AN5920" s="15" t="s">
        <v>4496</v>
      </c>
    </row>
    <row r="5921" spans="1:40" x14ac:dyDescent="0.3">
      <c r="A5921" s="10" t="str">
        <f>HYPERLINK("http://www.washoecounty.gov/assessor/cama/?parid=204-692-11&amp;CardNumber=1","204-692-11")</f>
        <v>204-692-11</v>
      </c>
      <c r="B5921" t="s">
        <v>4655</v>
      </c>
      <c r="C5921" t="s">
        <v>29113</v>
      </c>
      <c r="D5921" s="1">
        <v>40437</v>
      </c>
      <c r="E5921" s="2">
        <v>154000</v>
      </c>
      <c r="F5921" t="s">
        <v>4553</v>
      </c>
      <c r="G5921" s="17" t="str">
        <f>HYPERLINK("https://www.washoecounty.gov/assessor/cama/?command=sales&amp;parid=20469211","3923004")</f>
        <v>3923004</v>
      </c>
      <c r="H5921" t="s">
        <v>2681</v>
      </c>
      <c r="I5921">
        <v>2004</v>
      </c>
      <c r="J5921">
        <v>2004</v>
      </c>
      <c r="K5921" t="s">
        <v>4554</v>
      </c>
      <c r="L5921" t="s">
        <v>4555</v>
      </c>
      <c r="M5921" s="2">
        <v>1248</v>
      </c>
      <c r="N5921" t="s">
        <v>4048</v>
      </c>
      <c r="O5921">
        <v>3</v>
      </c>
      <c r="P5921">
        <v>2</v>
      </c>
      <c r="Q5921">
        <v>0</v>
      </c>
      <c r="R5921" t="s">
        <v>4557</v>
      </c>
      <c r="S5921" t="s">
        <v>4558</v>
      </c>
      <c r="T5921" t="s">
        <v>4559</v>
      </c>
      <c r="U5921" t="s">
        <v>4560</v>
      </c>
      <c r="V5921" s="2">
        <v>400</v>
      </c>
      <c r="W5921" t="s">
        <v>4655</v>
      </c>
      <c r="X5921" s="2">
        <v>0</v>
      </c>
      <c r="Y5921">
        <v>20</v>
      </c>
      <c r="Z5921" t="s">
        <v>4351</v>
      </c>
      <c r="AA5921" s="3">
        <v>0.14511018991470301</v>
      </c>
      <c r="AB5921" t="s">
        <v>29114</v>
      </c>
      <c r="AC5921" t="s">
        <v>4562</v>
      </c>
      <c r="AD5921" t="s">
        <v>29115</v>
      </c>
      <c r="AE5921" t="s">
        <v>4655</v>
      </c>
      <c r="AF5921" t="s">
        <v>4563</v>
      </c>
      <c r="AG5921" t="s">
        <v>4564</v>
      </c>
      <c r="AH5921" t="s">
        <v>1147</v>
      </c>
      <c r="AI5921" t="s">
        <v>2351</v>
      </c>
      <c r="AJ5921" t="s">
        <v>2682</v>
      </c>
      <c r="AK5921" t="s">
        <v>29116</v>
      </c>
      <c r="AL5921" s="13" t="s">
        <v>2255</v>
      </c>
      <c r="AM5921">
        <v>1</v>
      </c>
      <c r="AN5921" s="15" t="s">
        <v>383</v>
      </c>
    </row>
    <row r="5922" spans="1:40" x14ac:dyDescent="0.3">
      <c r="A5922" s="10" t="str">
        <f>HYPERLINK("http://www.washoecounty.gov/assessor/cama/?parid=204-694-01&amp;CardNumber=1","204-694-01")</f>
        <v>204-694-01</v>
      </c>
      <c r="B5922" t="s">
        <v>4655</v>
      </c>
      <c r="C5922" t="s">
        <v>29117</v>
      </c>
      <c r="D5922" s="1">
        <v>40326</v>
      </c>
      <c r="E5922" s="2">
        <v>167400</v>
      </c>
      <c r="F5922" t="s">
        <v>4553</v>
      </c>
      <c r="G5922" s="17" t="str">
        <f>HYPERLINK("https://www.washoecounty.gov/assessor/cama/?command=sales&amp;parid=20469401","3886623")</f>
        <v>3886623</v>
      </c>
      <c r="H5922" t="s">
        <v>2681</v>
      </c>
      <c r="I5922">
        <v>2003</v>
      </c>
      <c r="J5922">
        <v>2003</v>
      </c>
      <c r="K5922" t="s">
        <v>4554</v>
      </c>
      <c r="L5922" t="s">
        <v>4555</v>
      </c>
      <c r="M5922" s="2">
        <v>1248</v>
      </c>
      <c r="N5922" t="s">
        <v>4048</v>
      </c>
      <c r="O5922">
        <v>3</v>
      </c>
      <c r="P5922">
        <v>2</v>
      </c>
      <c r="Q5922">
        <v>0</v>
      </c>
      <c r="R5922" t="s">
        <v>4557</v>
      </c>
      <c r="S5922" t="s">
        <v>4558</v>
      </c>
      <c r="T5922" t="s">
        <v>4559</v>
      </c>
      <c r="U5922" t="s">
        <v>4560</v>
      </c>
      <c r="V5922" s="2">
        <v>400</v>
      </c>
      <c r="W5922" t="s">
        <v>4655</v>
      </c>
      <c r="X5922" s="2">
        <v>0</v>
      </c>
      <c r="Y5922">
        <v>20</v>
      </c>
      <c r="Z5922" t="s">
        <v>4351</v>
      </c>
      <c r="AA5922" s="3">
        <v>9.9954083561897306E-2</v>
      </c>
      <c r="AB5922" t="s">
        <v>29118</v>
      </c>
      <c r="AC5922" t="s">
        <v>4562</v>
      </c>
      <c r="AD5922" t="s">
        <v>29117</v>
      </c>
      <c r="AE5922" t="s">
        <v>4655</v>
      </c>
      <c r="AF5922" t="s">
        <v>4563</v>
      </c>
      <c r="AG5922" t="s">
        <v>4564</v>
      </c>
      <c r="AH5922" t="s">
        <v>1147</v>
      </c>
      <c r="AI5922" t="s">
        <v>359</v>
      </c>
      <c r="AJ5922" t="s">
        <v>2682</v>
      </c>
      <c r="AK5922" t="s">
        <v>29119</v>
      </c>
      <c r="AL5922" s="13" t="s">
        <v>2255</v>
      </c>
      <c r="AM5922">
        <v>1</v>
      </c>
      <c r="AN5922" s="15" t="s">
        <v>383</v>
      </c>
    </row>
    <row r="5923" spans="1:40" x14ac:dyDescent="0.3">
      <c r="A5923" s="10" t="str">
        <f>HYPERLINK("http://www.washoecounty.gov/assessor/cama/?parid=204-694-05&amp;CardNumber=1","204-694-05")</f>
        <v>204-694-05</v>
      </c>
      <c r="B5923" t="s">
        <v>4655</v>
      </c>
      <c r="C5923" t="s">
        <v>29120</v>
      </c>
      <c r="D5923" s="1">
        <v>40339</v>
      </c>
      <c r="E5923" s="2">
        <v>186000</v>
      </c>
      <c r="F5923" t="s">
        <v>4553</v>
      </c>
      <c r="G5923" s="17" t="str">
        <f>HYPERLINK("https://www.washoecounty.gov/assessor/cama/?command=sales&amp;parid=20469405","3889978")</f>
        <v>3889978</v>
      </c>
      <c r="H5923" t="s">
        <v>2681</v>
      </c>
      <c r="I5923">
        <v>2004</v>
      </c>
      <c r="J5923">
        <v>2004</v>
      </c>
      <c r="K5923" t="s">
        <v>4554</v>
      </c>
      <c r="L5923" t="s">
        <v>3974</v>
      </c>
      <c r="M5923" s="2">
        <v>1966</v>
      </c>
      <c r="N5923" t="s">
        <v>4048</v>
      </c>
      <c r="O5923">
        <v>3</v>
      </c>
      <c r="P5923">
        <v>2</v>
      </c>
      <c r="Q5923">
        <v>1</v>
      </c>
      <c r="R5923" t="s">
        <v>4557</v>
      </c>
      <c r="S5923" t="s">
        <v>4558</v>
      </c>
      <c r="T5923" t="s">
        <v>4559</v>
      </c>
      <c r="U5923" t="s">
        <v>5631</v>
      </c>
      <c r="V5923" s="2">
        <v>400</v>
      </c>
      <c r="W5923" t="s">
        <v>4655</v>
      </c>
      <c r="X5923" s="2">
        <v>0</v>
      </c>
      <c r="Y5923">
        <v>20</v>
      </c>
      <c r="Z5923" t="s">
        <v>4351</v>
      </c>
      <c r="AA5923" s="3">
        <v>9.4375573098659502E-2</v>
      </c>
      <c r="AB5923" t="s">
        <v>2604</v>
      </c>
      <c r="AC5923" t="s">
        <v>4562</v>
      </c>
      <c r="AD5923" t="s">
        <v>2605</v>
      </c>
      <c r="AE5923" t="s">
        <v>4655</v>
      </c>
      <c r="AF5923" t="s">
        <v>4563</v>
      </c>
      <c r="AG5923" t="s">
        <v>4564</v>
      </c>
      <c r="AH5923" t="s">
        <v>1147</v>
      </c>
      <c r="AI5923" t="s">
        <v>4903</v>
      </c>
      <c r="AJ5923" t="s">
        <v>2682</v>
      </c>
      <c r="AK5923" t="s">
        <v>29121</v>
      </c>
      <c r="AL5923" s="13" t="s">
        <v>2255</v>
      </c>
      <c r="AM5923">
        <v>1</v>
      </c>
      <c r="AN5923" s="15" t="s">
        <v>383</v>
      </c>
    </row>
    <row r="5924" spans="1:40" x14ac:dyDescent="0.3">
      <c r="A5924" s="10" t="str">
        <f>HYPERLINK("http://www.washoecounty.gov/assessor/cama/?parid=204-701-03&amp;CardNumber=1","204-701-03")</f>
        <v>204-701-03</v>
      </c>
      <c r="B5924" t="s">
        <v>4655</v>
      </c>
      <c r="C5924" t="s">
        <v>29122</v>
      </c>
      <c r="D5924" s="1">
        <v>40325</v>
      </c>
      <c r="E5924" s="2">
        <v>330000</v>
      </c>
      <c r="F5924" t="s">
        <v>4567</v>
      </c>
      <c r="G5924" s="17" t="str">
        <f>HYPERLINK("https://www.washoecounty.gov/assessor/cama/?command=sales&amp;parid=20470103","3886218")</f>
        <v>3886218</v>
      </c>
      <c r="H5924" t="s">
        <v>4497</v>
      </c>
      <c r="I5924">
        <v>2005</v>
      </c>
      <c r="J5924">
        <v>2005</v>
      </c>
      <c r="K5924" t="s">
        <v>4554</v>
      </c>
      <c r="L5924" t="s">
        <v>4555</v>
      </c>
      <c r="M5924" s="2">
        <v>2440</v>
      </c>
      <c r="N5924" t="s">
        <v>3887</v>
      </c>
      <c r="O5924">
        <v>5</v>
      </c>
      <c r="P5924">
        <v>4</v>
      </c>
      <c r="Q5924">
        <v>1</v>
      </c>
      <c r="R5924" t="s">
        <v>5281</v>
      </c>
      <c r="S5924" t="s">
        <v>4898</v>
      </c>
      <c r="T5924" t="s">
        <v>2704</v>
      </c>
      <c r="U5924" t="s">
        <v>4560</v>
      </c>
      <c r="V5924" s="2">
        <v>744</v>
      </c>
      <c r="W5924" t="s">
        <v>3201</v>
      </c>
      <c r="X5924" s="2">
        <v>1185</v>
      </c>
      <c r="Y5924">
        <v>20</v>
      </c>
      <c r="Z5924" t="s">
        <v>385</v>
      </c>
      <c r="AA5924" s="3">
        <v>0.25330579280853299</v>
      </c>
      <c r="AB5924" t="s">
        <v>29123</v>
      </c>
      <c r="AC5924" t="s">
        <v>4562</v>
      </c>
      <c r="AD5924" t="s">
        <v>29122</v>
      </c>
      <c r="AE5924" t="s">
        <v>4655</v>
      </c>
      <c r="AF5924" t="s">
        <v>4563</v>
      </c>
      <c r="AG5924" t="s">
        <v>4564</v>
      </c>
      <c r="AH5924" t="s">
        <v>1147</v>
      </c>
      <c r="AI5924" t="s">
        <v>4655</v>
      </c>
      <c r="AJ5924" t="s">
        <v>1817</v>
      </c>
      <c r="AK5924" t="s">
        <v>29124</v>
      </c>
      <c r="AL5924" s="13" t="s">
        <v>2255</v>
      </c>
      <c r="AM5924" s="14">
        <v>1</v>
      </c>
      <c r="AN5924" s="15" t="s">
        <v>4496</v>
      </c>
    </row>
    <row r="5925" spans="1:40" x14ac:dyDescent="0.3">
      <c r="A5925" s="10" t="str">
        <f>HYPERLINK("http://www.washoecounty.gov/assessor/cama/?parid=204-701-06&amp;CardNumber=1","204-701-06")</f>
        <v>204-701-06</v>
      </c>
      <c r="B5925" t="s">
        <v>4655</v>
      </c>
      <c r="C5925" t="s">
        <v>29125</v>
      </c>
      <c r="D5925" s="1">
        <v>40428</v>
      </c>
      <c r="E5925" s="2">
        <v>450000</v>
      </c>
      <c r="F5925" t="s">
        <v>4567</v>
      </c>
      <c r="G5925" s="17" t="str">
        <f>HYPERLINK("https://www.washoecounty.gov/assessor/cama/?command=sales&amp;parid=20470106","3919463")</f>
        <v>3919463</v>
      </c>
      <c r="H5925" t="s">
        <v>4497</v>
      </c>
      <c r="I5925">
        <v>2005</v>
      </c>
      <c r="J5925">
        <v>2005</v>
      </c>
      <c r="K5925" t="s">
        <v>4554</v>
      </c>
      <c r="L5925" t="s">
        <v>4555</v>
      </c>
      <c r="M5925" s="2">
        <v>2833</v>
      </c>
      <c r="N5925" t="s">
        <v>3887</v>
      </c>
      <c r="O5925">
        <v>4</v>
      </c>
      <c r="P5925">
        <v>3</v>
      </c>
      <c r="Q5925">
        <v>1</v>
      </c>
      <c r="R5925" t="s">
        <v>5281</v>
      </c>
      <c r="S5925" t="s">
        <v>4898</v>
      </c>
      <c r="T5925" t="s">
        <v>2704</v>
      </c>
      <c r="U5925" t="s">
        <v>4560</v>
      </c>
      <c r="V5925" s="2">
        <v>737</v>
      </c>
      <c r="W5925" t="s">
        <v>3201</v>
      </c>
      <c r="X5925" s="2">
        <v>1435</v>
      </c>
      <c r="Y5925">
        <v>20</v>
      </c>
      <c r="Z5925" t="s">
        <v>385</v>
      </c>
      <c r="AA5925" s="3">
        <v>0.27835169434547424</v>
      </c>
      <c r="AB5925" t="s">
        <v>29126</v>
      </c>
      <c r="AC5925" t="s">
        <v>4575</v>
      </c>
      <c r="AD5925" t="s">
        <v>29127</v>
      </c>
      <c r="AE5925" t="s">
        <v>29125</v>
      </c>
      <c r="AF5925" t="s">
        <v>4563</v>
      </c>
      <c r="AG5925" t="s">
        <v>4564</v>
      </c>
      <c r="AH5925" t="s">
        <v>1147</v>
      </c>
      <c r="AI5925" t="s">
        <v>29128</v>
      </c>
      <c r="AJ5925" t="s">
        <v>1817</v>
      </c>
      <c r="AK5925" t="s">
        <v>29129</v>
      </c>
      <c r="AL5925" s="13" t="s">
        <v>2255</v>
      </c>
      <c r="AM5925" s="14">
        <v>1</v>
      </c>
      <c r="AN5925" s="15" t="s">
        <v>4496</v>
      </c>
    </row>
    <row r="5926" spans="1:40" x14ac:dyDescent="0.3">
      <c r="A5926" s="10" t="str">
        <f>HYPERLINK("http://www.washoecounty.gov/assessor/cama/?parid=204-701-08&amp;CardNumber=1","204-701-08")</f>
        <v>204-701-08</v>
      </c>
      <c r="B5926" t="s">
        <v>4655</v>
      </c>
      <c r="C5926" t="s">
        <v>29130</v>
      </c>
      <c r="D5926" s="1">
        <v>40535</v>
      </c>
      <c r="E5926" s="2">
        <v>455000</v>
      </c>
      <c r="F5926" t="s">
        <v>4567</v>
      </c>
      <c r="G5926" s="17" t="str">
        <f>HYPERLINK("https://www.washoecounty.gov/assessor/cama/?command=sales&amp;parid=20470108","3956739")</f>
        <v>3956739</v>
      </c>
      <c r="H5926" t="s">
        <v>4497</v>
      </c>
      <c r="I5926">
        <v>2005</v>
      </c>
      <c r="J5926">
        <v>2005</v>
      </c>
      <c r="K5926" t="s">
        <v>4554</v>
      </c>
      <c r="L5926" t="s">
        <v>4555</v>
      </c>
      <c r="M5926" s="2">
        <v>2440</v>
      </c>
      <c r="N5926" t="s">
        <v>3887</v>
      </c>
      <c r="O5926">
        <v>4</v>
      </c>
      <c r="P5926">
        <v>3</v>
      </c>
      <c r="Q5926">
        <v>1</v>
      </c>
      <c r="R5926" t="s">
        <v>5281</v>
      </c>
      <c r="S5926" t="s">
        <v>4898</v>
      </c>
      <c r="T5926" t="s">
        <v>2704</v>
      </c>
      <c r="U5926" t="s">
        <v>4560</v>
      </c>
      <c r="V5926" s="2">
        <v>744</v>
      </c>
      <c r="W5926" t="s">
        <v>3201</v>
      </c>
      <c r="X5926" s="2">
        <v>1185</v>
      </c>
      <c r="Y5926">
        <v>20</v>
      </c>
      <c r="Z5926" t="s">
        <v>385</v>
      </c>
      <c r="AA5926" s="3">
        <v>0.30899909138679499</v>
      </c>
      <c r="AB5926" t="s">
        <v>114</v>
      </c>
      <c r="AC5926" t="s">
        <v>4562</v>
      </c>
      <c r="AD5926" t="s">
        <v>29130</v>
      </c>
      <c r="AE5926" t="s">
        <v>4655</v>
      </c>
      <c r="AF5926" t="s">
        <v>4563</v>
      </c>
      <c r="AG5926" t="s">
        <v>4564</v>
      </c>
      <c r="AH5926" t="s">
        <v>1147</v>
      </c>
      <c r="AI5926" t="s">
        <v>29131</v>
      </c>
      <c r="AJ5926" t="s">
        <v>1817</v>
      </c>
      <c r="AK5926" t="s">
        <v>29132</v>
      </c>
      <c r="AL5926" s="13" t="s">
        <v>2255</v>
      </c>
      <c r="AM5926" s="14">
        <v>1</v>
      </c>
      <c r="AN5926" s="15" t="s">
        <v>4496</v>
      </c>
    </row>
    <row r="5927" spans="1:40" x14ac:dyDescent="0.3">
      <c r="A5927" s="10" t="str">
        <f>HYPERLINK("http://www.washoecounty.gov/assessor/cama/?parid=204-701-09&amp;CardNumber=1","204-701-09")</f>
        <v>204-701-09</v>
      </c>
      <c r="B5927" t="s">
        <v>4655</v>
      </c>
      <c r="C5927" t="s">
        <v>29133</v>
      </c>
      <c r="D5927" s="1">
        <v>40217</v>
      </c>
      <c r="E5927" s="2">
        <v>475000</v>
      </c>
      <c r="F5927" t="s">
        <v>4567</v>
      </c>
      <c r="G5927" s="17" t="str">
        <f>HYPERLINK("https://www.washoecounty.gov/assessor/cama/?command=sales&amp;parid=20470109","3846916")</f>
        <v>3846916</v>
      </c>
      <c r="H5927" t="s">
        <v>4497</v>
      </c>
      <c r="I5927">
        <v>2005</v>
      </c>
      <c r="J5927">
        <v>2005</v>
      </c>
      <c r="K5927" t="s">
        <v>4554</v>
      </c>
      <c r="L5927" t="s">
        <v>4555</v>
      </c>
      <c r="M5927" s="2">
        <v>2833</v>
      </c>
      <c r="N5927" t="s">
        <v>3887</v>
      </c>
      <c r="O5927">
        <v>4</v>
      </c>
      <c r="P5927">
        <v>3</v>
      </c>
      <c r="Q5927">
        <v>1</v>
      </c>
      <c r="R5927" t="s">
        <v>5281</v>
      </c>
      <c r="S5927" t="s">
        <v>4898</v>
      </c>
      <c r="T5927" t="s">
        <v>2704</v>
      </c>
      <c r="U5927" t="s">
        <v>4560</v>
      </c>
      <c r="V5927" s="2">
        <v>737</v>
      </c>
      <c r="W5927" t="s">
        <v>3201</v>
      </c>
      <c r="X5927" s="2">
        <v>1435</v>
      </c>
      <c r="Y5927">
        <v>20</v>
      </c>
      <c r="Z5927" t="s">
        <v>385</v>
      </c>
      <c r="AA5927" s="3">
        <v>0.24313589930534399</v>
      </c>
      <c r="AB5927" t="s">
        <v>29134</v>
      </c>
      <c r="AC5927" t="s">
        <v>4575</v>
      </c>
      <c r="AD5927" t="s">
        <v>29133</v>
      </c>
      <c r="AE5927" t="s">
        <v>4655</v>
      </c>
      <c r="AF5927" t="s">
        <v>4563</v>
      </c>
      <c r="AG5927" t="s">
        <v>4564</v>
      </c>
      <c r="AH5927" t="s">
        <v>1147</v>
      </c>
      <c r="AI5927" t="s">
        <v>28346</v>
      </c>
      <c r="AJ5927" t="s">
        <v>1817</v>
      </c>
      <c r="AK5927" t="s">
        <v>29135</v>
      </c>
      <c r="AL5927" s="13" t="s">
        <v>2255</v>
      </c>
      <c r="AM5927">
        <v>1</v>
      </c>
      <c r="AN5927" s="15" t="s">
        <v>4496</v>
      </c>
    </row>
    <row r="5928" spans="1:40" x14ac:dyDescent="0.3">
      <c r="A5928" s="10" t="str">
        <f>HYPERLINK("http://www.washoecounty.gov/assessor/cama/?parid=204-711-12&amp;CardNumber=1","204-711-12")</f>
        <v>204-711-12</v>
      </c>
      <c r="B5928" t="s">
        <v>4655</v>
      </c>
      <c r="C5928" t="s">
        <v>29136</v>
      </c>
      <c r="D5928" s="1">
        <v>40204</v>
      </c>
      <c r="E5928" s="2">
        <v>378000</v>
      </c>
      <c r="F5928" t="s">
        <v>4567</v>
      </c>
      <c r="G5928" s="17" t="str">
        <f>HYPERLINK("https://www.washoecounty.gov/assessor/cama/?command=sales&amp;parid=20471112","3842762")</f>
        <v>3842762</v>
      </c>
      <c r="H5928" t="s">
        <v>4497</v>
      </c>
      <c r="I5928">
        <v>2005</v>
      </c>
      <c r="J5928">
        <v>2005</v>
      </c>
      <c r="K5928" t="s">
        <v>4554</v>
      </c>
      <c r="L5928" t="s">
        <v>3974</v>
      </c>
      <c r="M5928" s="2">
        <v>3625</v>
      </c>
      <c r="N5928" t="s">
        <v>3887</v>
      </c>
      <c r="O5928">
        <v>3</v>
      </c>
      <c r="P5928">
        <v>3</v>
      </c>
      <c r="Q5928">
        <v>1</v>
      </c>
      <c r="R5928" t="s">
        <v>5281</v>
      </c>
      <c r="S5928" t="s">
        <v>4898</v>
      </c>
      <c r="T5928" t="s">
        <v>2704</v>
      </c>
      <c r="U5928" t="s">
        <v>162</v>
      </c>
      <c r="V5928" s="2">
        <v>738</v>
      </c>
      <c r="W5928" t="s">
        <v>4655</v>
      </c>
      <c r="X5928" s="2">
        <v>0</v>
      </c>
      <c r="Y5928">
        <v>20</v>
      </c>
      <c r="Z5928" t="s">
        <v>385</v>
      </c>
      <c r="AA5928" s="3">
        <v>0.28705233335495001</v>
      </c>
      <c r="AB5928" t="s">
        <v>29137</v>
      </c>
      <c r="AC5928" t="s">
        <v>4575</v>
      </c>
      <c r="AD5928" t="s">
        <v>29138</v>
      </c>
      <c r="AE5928" t="s">
        <v>29136</v>
      </c>
      <c r="AF5928" t="s">
        <v>4563</v>
      </c>
      <c r="AG5928" t="s">
        <v>4564</v>
      </c>
      <c r="AH5928" t="s">
        <v>1147</v>
      </c>
      <c r="AI5928" t="s">
        <v>29139</v>
      </c>
      <c r="AJ5928" t="s">
        <v>1817</v>
      </c>
      <c r="AK5928" t="s">
        <v>29140</v>
      </c>
      <c r="AL5928" s="13" t="s">
        <v>2255</v>
      </c>
      <c r="AM5928" s="14">
        <v>1</v>
      </c>
      <c r="AN5928" s="15" t="s">
        <v>4496</v>
      </c>
    </row>
    <row r="5929" spans="1:40" x14ac:dyDescent="0.3">
      <c r="A5929" s="10" t="str">
        <f>HYPERLINK("http://www.washoecounty.gov/assessor/cama/?parid=204-733-02&amp;CardNumber=1","204-733-02")</f>
        <v>204-733-02</v>
      </c>
      <c r="B5929" t="s">
        <v>4655</v>
      </c>
      <c r="C5929" s="20" t="s">
        <v>283</v>
      </c>
      <c r="D5929" s="1">
        <v>40490</v>
      </c>
      <c r="E5929" s="2">
        <v>280000</v>
      </c>
      <c r="F5929" t="s">
        <v>4567</v>
      </c>
      <c r="G5929" s="20" t="s">
        <v>282</v>
      </c>
      <c r="H5929" t="s">
        <v>2260</v>
      </c>
      <c r="I5929">
        <v>2006</v>
      </c>
      <c r="J5929">
        <v>2006</v>
      </c>
      <c r="K5929" t="s">
        <v>4554</v>
      </c>
      <c r="L5929" t="s">
        <v>4555</v>
      </c>
      <c r="M5929" s="2">
        <v>2235</v>
      </c>
      <c r="N5929" t="s">
        <v>3887</v>
      </c>
      <c r="O5929">
        <v>3</v>
      </c>
      <c r="P5929">
        <v>2</v>
      </c>
      <c r="Q5929">
        <v>1</v>
      </c>
      <c r="R5929" t="s">
        <v>5281</v>
      </c>
      <c r="S5929" t="s">
        <v>4898</v>
      </c>
      <c r="T5929" t="s">
        <v>2704</v>
      </c>
      <c r="U5929" t="s">
        <v>4560</v>
      </c>
      <c r="V5929" s="2">
        <v>657</v>
      </c>
      <c r="W5929" t="s">
        <v>4655</v>
      </c>
      <c r="X5929" s="2">
        <v>0</v>
      </c>
      <c r="Y5929">
        <v>20</v>
      </c>
      <c r="Z5929" t="s">
        <v>385</v>
      </c>
      <c r="AA5929" s="3">
        <v>0.259022027254105</v>
      </c>
      <c r="AB5929" s="20" t="s">
        <v>8865</v>
      </c>
      <c r="AD5929" t="s">
        <v>283</v>
      </c>
      <c r="AE5929" t="s">
        <v>283</v>
      </c>
      <c r="AF5929" t="s">
        <v>283</v>
      </c>
      <c r="AG5929" t="s">
        <v>4564</v>
      </c>
      <c r="AH5929" t="s">
        <v>3101</v>
      </c>
      <c r="AI5929" t="s">
        <v>8865</v>
      </c>
      <c r="AJ5929" t="s">
        <v>2261</v>
      </c>
      <c r="AK5929" t="s">
        <v>8865</v>
      </c>
      <c r="AL5929" s="13" t="s">
        <v>2255</v>
      </c>
      <c r="AM5929" s="14">
        <v>1</v>
      </c>
      <c r="AN5929" s="15" t="s">
        <v>4496</v>
      </c>
    </row>
    <row r="5930" spans="1:40" x14ac:dyDescent="0.3">
      <c r="A5930" s="10" t="str">
        <f>HYPERLINK("http://www.washoecounty.gov/assessor/cama/?parid=204-734-04&amp;CardNumber=1","204-734-04")</f>
        <v>204-734-04</v>
      </c>
      <c r="B5930" t="s">
        <v>4655</v>
      </c>
      <c r="C5930" t="s">
        <v>29141</v>
      </c>
      <c r="D5930" s="1">
        <v>40406</v>
      </c>
      <c r="E5930" s="2">
        <v>425000</v>
      </c>
      <c r="F5930" t="s">
        <v>4567</v>
      </c>
      <c r="G5930" s="17" t="str">
        <f>HYPERLINK("https://www.washoecounty.gov/assessor/cama/?command=sales&amp;parid=20473404","3912371")</f>
        <v>3912371</v>
      </c>
      <c r="H5930" t="s">
        <v>2260</v>
      </c>
      <c r="I5930">
        <v>2006</v>
      </c>
      <c r="J5930">
        <v>2006</v>
      </c>
      <c r="K5930" t="s">
        <v>4554</v>
      </c>
      <c r="L5930" t="s">
        <v>4555</v>
      </c>
      <c r="M5930" s="2">
        <v>2440</v>
      </c>
      <c r="N5930" t="s">
        <v>3887</v>
      </c>
      <c r="O5930">
        <v>4</v>
      </c>
      <c r="P5930">
        <v>3</v>
      </c>
      <c r="Q5930">
        <v>1</v>
      </c>
      <c r="R5930" t="s">
        <v>5281</v>
      </c>
      <c r="S5930" t="s">
        <v>4898</v>
      </c>
      <c r="T5930" t="s">
        <v>2704</v>
      </c>
      <c r="U5930" t="s">
        <v>4560</v>
      </c>
      <c r="V5930" s="2">
        <v>744</v>
      </c>
      <c r="W5930" t="s">
        <v>3201</v>
      </c>
      <c r="X5930" s="2">
        <v>1185</v>
      </c>
      <c r="Y5930">
        <v>20</v>
      </c>
      <c r="Z5930" t="s">
        <v>385</v>
      </c>
      <c r="AA5930" s="3">
        <v>0.318388432264328</v>
      </c>
      <c r="AB5930" t="s">
        <v>29142</v>
      </c>
      <c r="AC5930" t="s">
        <v>4562</v>
      </c>
      <c r="AD5930" t="s">
        <v>29141</v>
      </c>
      <c r="AE5930" t="s">
        <v>4655</v>
      </c>
      <c r="AF5930" t="s">
        <v>4563</v>
      </c>
      <c r="AG5930" t="s">
        <v>4564</v>
      </c>
      <c r="AH5930" t="s">
        <v>1147</v>
      </c>
      <c r="AI5930" t="s">
        <v>29143</v>
      </c>
      <c r="AJ5930" t="s">
        <v>2261</v>
      </c>
      <c r="AK5930" t="s">
        <v>29144</v>
      </c>
      <c r="AL5930" s="13" t="s">
        <v>2255</v>
      </c>
      <c r="AM5930">
        <v>1</v>
      </c>
      <c r="AN5930" s="15" t="s">
        <v>4496</v>
      </c>
    </row>
    <row r="5931" spans="1:40" x14ac:dyDescent="0.3">
      <c r="A5931" s="10" t="str">
        <f>HYPERLINK("http://www.washoecounty.gov/assessor/cama/?parid=204-741-03&amp;CardNumber=1","204-741-03")</f>
        <v>204-741-03</v>
      </c>
      <c r="B5931" t="s">
        <v>4655</v>
      </c>
      <c r="C5931" t="s">
        <v>29145</v>
      </c>
      <c r="D5931" s="1">
        <v>40387</v>
      </c>
      <c r="E5931" s="2">
        <v>380000</v>
      </c>
      <c r="F5931" t="s">
        <v>4567</v>
      </c>
      <c r="G5931" s="17" t="str">
        <f>HYPERLINK("https://www.washoecounty.gov/assessor/cama/?command=sales&amp;parid=20474103","3906200")</f>
        <v>3906200</v>
      </c>
      <c r="H5931" t="s">
        <v>2260</v>
      </c>
      <c r="I5931">
        <v>2006</v>
      </c>
      <c r="J5931">
        <v>2006</v>
      </c>
      <c r="K5931" t="s">
        <v>4554</v>
      </c>
      <c r="L5931" t="s">
        <v>4555</v>
      </c>
      <c r="M5931" s="2">
        <v>2440</v>
      </c>
      <c r="N5931" t="s">
        <v>3887</v>
      </c>
      <c r="O5931">
        <v>4</v>
      </c>
      <c r="P5931">
        <v>3</v>
      </c>
      <c r="Q5931">
        <v>1</v>
      </c>
      <c r="R5931" t="s">
        <v>5281</v>
      </c>
      <c r="S5931" t="s">
        <v>4898</v>
      </c>
      <c r="T5931" t="s">
        <v>2704</v>
      </c>
      <c r="U5931" t="s">
        <v>4560</v>
      </c>
      <c r="V5931" s="2">
        <v>744</v>
      </c>
      <c r="W5931" t="s">
        <v>3201</v>
      </c>
      <c r="X5931" s="2">
        <v>1185</v>
      </c>
      <c r="Y5931">
        <v>20</v>
      </c>
      <c r="Z5931" t="s">
        <v>385</v>
      </c>
      <c r="AA5931" s="3">
        <v>0.436202943325043</v>
      </c>
      <c r="AB5931" t="s">
        <v>29146</v>
      </c>
      <c r="AC5931" t="s">
        <v>4562</v>
      </c>
      <c r="AD5931" t="s">
        <v>29145</v>
      </c>
      <c r="AE5931" t="s">
        <v>4655</v>
      </c>
      <c r="AF5931" t="s">
        <v>4563</v>
      </c>
      <c r="AG5931" t="s">
        <v>4564</v>
      </c>
      <c r="AH5931" t="s">
        <v>1147</v>
      </c>
      <c r="AI5931" t="s">
        <v>29147</v>
      </c>
      <c r="AJ5931" t="s">
        <v>2261</v>
      </c>
      <c r="AK5931" t="s">
        <v>29148</v>
      </c>
      <c r="AL5931" s="13" t="s">
        <v>2255</v>
      </c>
      <c r="AM5931">
        <v>1</v>
      </c>
      <c r="AN5931" s="15" t="s">
        <v>4496</v>
      </c>
    </row>
    <row r="5932" spans="1:40" x14ac:dyDescent="0.3">
      <c r="A5932" s="10" t="str">
        <f>HYPERLINK("http://www.washoecounty.gov/assessor/cama/?parid=204-742-04&amp;CardNumber=1","204-742-04")</f>
        <v>204-742-04</v>
      </c>
      <c r="B5932" t="s">
        <v>4655</v>
      </c>
      <c r="C5932" t="s">
        <v>29149</v>
      </c>
      <c r="D5932" s="1">
        <v>40339</v>
      </c>
      <c r="E5932" s="2">
        <v>450000</v>
      </c>
      <c r="F5932" t="s">
        <v>4553</v>
      </c>
      <c r="G5932" s="17" t="str">
        <f>HYPERLINK("https://www.washoecounty.gov/assessor/cama/?command=sales&amp;parid=20474204","3889990")</f>
        <v>3889990</v>
      </c>
      <c r="H5932" t="s">
        <v>2260</v>
      </c>
      <c r="I5932">
        <v>2006</v>
      </c>
      <c r="J5932">
        <v>2006</v>
      </c>
      <c r="K5932" t="s">
        <v>4554</v>
      </c>
      <c r="L5932" t="s">
        <v>4555</v>
      </c>
      <c r="M5932" s="2">
        <v>2833</v>
      </c>
      <c r="N5932" t="s">
        <v>3887</v>
      </c>
      <c r="O5932">
        <v>4</v>
      </c>
      <c r="P5932">
        <v>3</v>
      </c>
      <c r="Q5932">
        <v>1</v>
      </c>
      <c r="R5932" t="s">
        <v>5281</v>
      </c>
      <c r="S5932" t="s">
        <v>4898</v>
      </c>
      <c r="T5932" t="s">
        <v>2704</v>
      </c>
      <c r="U5932" t="s">
        <v>4560</v>
      </c>
      <c r="V5932" s="2">
        <v>737</v>
      </c>
      <c r="W5932" t="s">
        <v>3201</v>
      </c>
      <c r="X5932" s="2">
        <v>1435</v>
      </c>
      <c r="Y5932">
        <v>20</v>
      </c>
      <c r="Z5932" t="s">
        <v>385</v>
      </c>
      <c r="AA5932" s="3">
        <v>0.27874195575714111</v>
      </c>
      <c r="AB5932" t="s">
        <v>29150</v>
      </c>
      <c r="AC5932" t="s">
        <v>4562</v>
      </c>
      <c r="AD5932" t="s">
        <v>29151</v>
      </c>
      <c r="AE5932" t="s">
        <v>4655</v>
      </c>
      <c r="AF5932" t="s">
        <v>4563</v>
      </c>
      <c r="AG5932" t="s">
        <v>4564</v>
      </c>
      <c r="AH5932" t="s">
        <v>1147</v>
      </c>
      <c r="AI5932" t="s">
        <v>29152</v>
      </c>
      <c r="AJ5932" t="s">
        <v>2261</v>
      </c>
      <c r="AK5932" t="s">
        <v>29153</v>
      </c>
      <c r="AL5932" s="13" t="s">
        <v>2255</v>
      </c>
      <c r="AM5932">
        <v>1</v>
      </c>
      <c r="AN5932" s="15" t="s">
        <v>4496</v>
      </c>
    </row>
    <row r="5933" spans="1:40" x14ac:dyDescent="0.3">
      <c r="A5933" s="10" t="str">
        <f>HYPERLINK("http://www.washoecounty.gov/assessor/cama/?parid=208-022-01&amp;CardNumber=1","208-022-01")</f>
        <v>208-022-01</v>
      </c>
      <c r="B5933" t="s">
        <v>4655</v>
      </c>
      <c r="C5933" t="s">
        <v>29154</v>
      </c>
      <c r="D5933" s="1">
        <v>40372</v>
      </c>
      <c r="E5933" s="2">
        <v>205000</v>
      </c>
      <c r="F5933" t="s">
        <v>4553</v>
      </c>
      <c r="G5933" s="17" t="str">
        <f>HYPERLINK("https://www.washoecounty.gov/assessor/cama/?command=sales&amp;parid=20802201","3900949")</f>
        <v>3900949</v>
      </c>
      <c r="H5933" t="s">
        <v>29155</v>
      </c>
      <c r="I5933">
        <v>1995</v>
      </c>
      <c r="J5933">
        <v>1995</v>
      </c>
      <c r="K5933" t="s">
        <v>4554</v>
      </c>
      <c r="L5933" t="s">
        <v>4555</v>
      </c>
      <c r="M5933" s="2">
        <v>1841</v>
      </c>
      <c r="N5933" t="s">
        <v>3147</v>
      </c>
      <c r="O5933">
        <v>4</v>
      </c>
      <c r="P5933">
        <v>2</v>
      </c>
      <c r="Q5933">
        <v>0</v>
      </c>
      <c r="R5933" t="s">
        <v>4557</v>
      </c>
      <c r="S5933" t="s">
        <v>4558</v>
      </c>
      <c r="T5933" t="s">
        <v>4559</v>
      </c>
      <c r="U5933" t="s">
        <v>4560</v>
      </c>
      <c r="V5933" s="2">
        <v>572</v>
      </c>
      <c r="W5933" t="s">
        <v>4655</v>
      </c>
      <c r="X5933" s="2">
        <v>0</v>
      </c>
      <c r="Y5933">
        <v>20</v>
      </c>
      <c r="Z5933" t="s">
        <v>4561</v>
      </c>
      <c r="AA5933" s="3">
        <v>0.23588153719902</v>
      </c>
      <c r="AB5933" t="s">
        <v>29156</v>
      </c>
      <c r="AC5933" t="s">
        <v>4562</v>
      </c>
      <c r="AD5933" t="s">
        <v>29157</v>
      </c>
      <c r="AE5933" t="s">
        <v>4655</v>
      </c>
      <c r="AF5933" t="s">
        <v>7415</v>
      </c>
      <c r="AG5933" t="s">
        <v>1434</v>
      </c>
      <c r="AH5933" t="s">
        <v>29158</v>
      </c>
      <c r="AI5933" t="s">
        <v>1082</v>
      </c>
      <c r="AJ5933" t="s">
        <v>29159</v>
      </c>
      <c r="AK5933" t="s">
        <v>29160</v>
      </c>
      <c r="AL5933" s="13" t="s">
        <v>2255</v>
      </c>
      <c r="AM5933">
        <v>1</v>
      </c>
      <c r="AN5933" s="15" t="s">
        <v>383</v>
      </c>
    </row>
    <row r="5934" spans="1:40" x14ac:dyDescent="0.3">
      <c r="A5934" s="10" t="str">
        <f>HYPERLINK("http://www.washoecounty.gov/assessor/cama/?parid=208-025-09&amp;CardNumber=1","208-025-09")</f>
        <v>208-025-09</v>
      </c>
      <c r="B5934" t="s">
        <v>4655</v>
      </c>
      <c r="C5934" t="s">
        <v>29161</v>
      </c>
      <c r="D5934" s="1">
        <v>40525</v>
      </c>
      <c r="E5934" s="2">
        <v>229900</v>
      </c>
      <c r="F5934" t="s">
        <v>4567</v>
      </c>
      <c r="G5934" s="17" t="str">
        <f>HYPERLINK("https://www.washoecounty.gov/assessor/cama/?command=sales&amp;parid=20802509","3952562")</f>
        <v>3952562</v>
      </c>
      <c r="H5934" t="s">
        <v>29155</v>
      </c>
      <c r="I5934">
        <v>1995</v>
      </c>
      <c r="J5934">
        <v>1995</v>
      </c>
      <c r="K5934" t="s">
        <v>4554</v>
      </c>
      <c r="L5934" t="s">
        <v>3974</v>
      </c>
      <c r="M5934" s="2">
        <v>2241</v>
      </c>
      <c r="N5934" t="s">
        <v>3147</v>
      </c>
      <c r="O5934">
        <v>4</v>
      </c>
      <c r="P5934">
        <v>3</v>
      </c>
      <c r="Q5934">
        <v>0</v>
      </c>
      <c r="R5934" t="s">
        <v>5281</v>
      </c>
      <c r="S5934" t="s">
        <v>4558</v>
      </c>
      <c r="T5934" t="s">
        <v>4559</v>
      </c>
      <c r="U5934" t="s">
        <v>5631</v>
      </c>
      <c r="V5934" s="2">
        <v>629</v>
      </c>
      <c r="W5934" t="s">
        <v>4655</v>
      </c>
      <c r="X5934" s="2">
        <v>0</v>
      </c>
      <c r="Y5934">
        <v>20</v>
      </c>
      <c r="Z5934" t="s">
        <v>4561</v>
      </c>
      <c r="AA5934" s="3">
        <v>0.18592745065689101</v>
      </c>
      <c r="AB5934" t="s">
        <v>29162</v>
      </c>
      <c r="AC5934" t="s">
        <v>4562</v>
      </c>
      <c r="AD5934" t="s">
        <v>29161</v>
      </c>
      <c r="AE5934" t="s">
        <v>4655</v>
      </c>
      <c r="AF5934" t="s">
        <v>4563</v>
      </c>
      <c r="AG5934" t="s">
        <v>4564</v>
      </c>
      <c r="AH5934" t="s">
        <v>1147</v>
      </c>
      <c r="AI5934" t="s">
        <v>29163</v>
      </c>
      <c r="AJ5934" t="s">
        <v>29164</v>
      </c>
      <c r="AK5934" t="s">
        <v>29165</v>
      </c>
      <c r="AL5934" s="13" t="s">
        <v>2255</v>
      </c>
      <c r="AM5934" s="14">
        <v>1</v>
      </c>
      <c r="AN5934" s="15" t="s">
        <v>383</v>
      </c>
    </row>
    <row r="5935" spans="1:40" x14ac:dyDescent="0.3">
      <c r="A5935" s="10" t="str">
        <f>HYPERLINK("http://www.washoecounty.gov/assessor/cama/?parid=208-041-04&amp;CardNumber=1","208-041-04")</f>
        <v>208-041-04</v>
      </c>
      <c r="B5935" t="s">
        <v>4655</v>
      </c>
      <c r="C5935" t="s">
        <v>1513</v>
      </c>
      <c r="D5935" s="1">
        <v>40408</v>
      </c>
      <c r="E5935" s="2">
        <v>219500</v>
      </c>
      <c r="F5935" t="s">
        <v>4567</v>
      </c>
      <c r="G5935" s="17" t="str">
        <f>HYPERLINK("https://www.washoecounty.gov/assessor/cama/?command=sales&amp;parid=20804104","3913241")</f>
        <v>3913241</v>
      </c>
      <c r="H5935" t="s">
        <v>1168</v>
      </c>
      <c r="I5935">
        <v>1999</v>
      </c>
      <c r="J5935">
        <v>1999</v>
      </c>
      <c r="K5935" t="s">
        <v>4554</v>
      </c>
      <c r="L5935" t="s">
        <v>4555</v>
      </c>
      <c r="M5935" s="2">
        <v>1810</v>
      </c>
      <c r="N5935" t="s">
        <v>5280</v>
      </c>
      <c r="O5935">
        <v>3</v>
      </c>
      <c r="P5935">
        <v>2</v>
      </c>
      <c r="Q5935">
        <v>0</v>
      </c>
      <c r="R5935" t="s">
        <v>4557</v>
      </c>
      <c r="S5935" t="s">
        <v>4898</v>
      </c>
      <c r="T5935" t="s">
        <v>2704</v>
      </c>
      <c r="U5935" t="s">
        <v>4560</v>
      </c>
      <c r="V5935" s="2">
        <v>744</v>
      </c>
      <c r="W5935" t="s">
        <v>4655</v>
      </c>
      <c r="X5935" s="2">
        <v>0</v>
      </c>
      <c r="Y5935">
        <v>20</v>
      </c>
      <c r="Z5935" t="s">
        <v>385</v>
      </c>
      <c r="AA5935" s="3">
        <v>0.35817262530326799</v>
      </c>
      <c r="AB5935" t="s">
        <v>3857</v>
      </c>
      <c r="AC5935" t="s">
        <v>4575</v>
      </c>
      <c r="AD5935" t="s">
        <v>29166</v>
      </c>
      <c r="AE5935" t="s">
        <v>1513</v>
      </c>
      <c r="AF5935" t="s">
        <v>4563</v>
      </c>
      <c r="AG5935" t="s">
        <v>4564</v>
      </c>
      <c r="AH5935" t="s">
        <v>1147</v>
      </c>
      <c r="AI5935" t="s">
        <v>29167</v>
      </c>
      <c r="AJ5935" t="s">
        <v>29168</v>
      </c>
      <c r="AK5935" t="s">
        <v>29169</v>
      </c>
      <c r="AL5935" s="13" t="s">
        <v>1896</v>
      </c>
      <c r="AM5935">
        <v>1</v>
      </c>
      <c r="AN5935" s="15" t="s">
        <v>341</v>
      </c>
    </row>
    <row r="5936" spans="1:40" x14ac:dyDescent="0.3">
      <c r="A5936" s="10" t="str">
        <f>HYPERLINK("http://www.washoecounty.gov/assessor/cama/?parid=208-043-02&amp;CardNumber=1","208-043-02")</f>
        <v>208-043-02</v>
      </c>
      <c r="B5936" t="s">
        <v>4655</v>
      </c>
      <c r="C5936" t="s">
        <v>29170</v>
      </c>
      <c r="D5936" s="1">
        <v>40231</v>
      </c>
      <c r="E5936" s="2">
        <v>369900</v>
      </c>
      <c r="F5936" t="s">
        <v>4567</v>
      </c>
      <c r="G5936" s="17" t="str">
        <f>HYPERLINK("https://www.washoecounty.gov/assessor/cama/?command=sales&amp;parid=20804302","3851583")</f>
        <v>3851583</v>
      </c>
      <c r="H5936" t="s">
        <v>1168</v>
      </c>
      <c r="I5936">
        <v>2002</v>
      </c>
      <c r="J5936">
        <v>2002</v>
      </c>
      <c r="K5936" t="s">
        <v>4554</v>
      </c>
      <c r="L5936" t="s">
        <v>3974</v>
      </c>
      <c r="M5936" s="2">
        <v>3127</v>
      </c>
      <c r="N5936" t="s">
        <v>3147</v>
      </c>
      <c r="O5936">
        <v>5</v>
      </c>
      <c r="P5936">
        <v>3</v>
      </c>
      <c r="Q5936">
        <v>1</v>
      </c>
      <c r="R5936" t="s">
        <v>4557</v>
      </c>
      <c r="S5936" t="s">
        <v>4898</v>
      </c>
      <c r="T5936" t="s">
        <v>2704</v>
      </c>
      <c r="U5936" t="s">
        <v>4560</v>
      </c>
      <c r="V5936" s="2">
        <v>668</v>
      </c>
      <c r="W5936" t="s">
        <v>4655</v>
      </c>
      <c r="X5936" s="2">
        <v>0</v>
      </c>
      <c r="Y5936">
        <v>20</v>
      </c>
      <c r="Z5936" t="s">
        <v>385</v>
      </c>
      <c r="AA5936" s="3">
        <v>0.25569328665733337</v>
      </c>
      <c r="AB5936" t="s">
        <v>29171</v>
      </c>
      <c r="AC5936" t="s">
        <v>4575</v>
      </c>
      <c r="AD5936" t="s">
        <v>29172</v>
      </c>
      <c r="AE5936" t="s">
        <v>29170</v>
      </c>
      <c r="AF5936" t="s">
        <v>4563</v>
      </c>
      <c r="AG5936" t="s">
        <v>4564</v>
      </c>
      <c r="AH5936" t="s">
        <v>1147</v>
      </c>
      <c r="AI5936" t="s">
        <v>29173</v>
      </c>
      <c r="AJ5936" t="s">
        <v>29174</v>
      </c>
      <c r="AK5936" t="s">
        <v>29175</v>
      </c>
      <c r="AL5936" s="13" t="s">
        <v>1896</v>
      </c>
      <c r="AM5936">
        <v>1</v>
      </c>
      <c r="AN5936" s="15" t="s">
        <v>341</v>
      </c>
    </row>
    <row r="5937" spans="1:40" x14ac:dyDescent="0.3">
      <c r="A5937" s="10" t="str">
        <f>HYPERLINK("http://www.washoecounty.gov/assessor/cama/?parid=208-044-09&amp;CardNumber=1","208-044-09")</f>
        <v>208-044-09</v>
      </c>
      <c r="B5937" t="s">
        <v>4655</v>
      </c>
      <c r="C5937" t="s">
        <v>29176</v>
      </c>
      <c r="D5937" s="1">
        <v>40235</v>
      </c>
      <c r="E5937" s="2">
        <v>269000</v>
      </c>
      <c r="F5937" t="s">
        <v>4567</v>
      </c>
      <c r="G5937" s="17" t="str">
        <f>HYPERLINK("https://www.washoecounty.gov/assessor/cama/?command=sales&amp;parid=20804409","3853229")</f>
        <v>3853229</v>
      </c>
      <c r="H5937" t="s">
        <v>1168</v>
      </c>
      <c r="I5937">
        <v>1998</v>
      </c>
      <c r="J5937">
        <v>1998</v>
      </c>
      <c r="K5937" t="s">
        <v>4554</v>
      </c>
      <c r="L5937" t="s">
        <v>4555</v>
      </c>
      <c r="M5937" s="2">
        <v>1810</v>
      </c>
      <c r="N5937" t="s">
        <v>5280</v>
      </c>
      <c r="O5937">
        <v>3</v>
      </c>
      <c r="P5937">
        <v>2</v>
      </c>
      <c r="Q5937">
        <v>0</v>
      </c>
      <c r="R5937" t="s">
        <v>5281</v>
      </c>
      <c r="S5937" t="s">
        <v>4898</v>
      </c>
      <c r="T5937" t="s">
        <v>2704</v>
      </c>
      <c r="U5937" t="s">
        <v>4560</v>
      </c>
      <c r="V5937" s="2">
        <v>744</v>
      </c>
      <c r="W5937" t="s">
        <v>4655</v>
      </c>
      <c r="X5937" s="2">
        <v>0</v>
      </c>
      <c r="Y5937">
        <v>20</v>
      </c>
      <c r="Z5937" t="s">
        <v>385</v>
      </c>
      <c r="AA5937" s="3">
        <v>0.30468320846557601</v>
      </c>
      <c r="AB5937" t="s">
        <v>29177</v>
      </c>
      <c r="AC5937" t="s">
        <v>4562</v>
      </c>
      <c r="AD5937" t="s">
        <v>29176</v>
      </c>
      <c r="AE5937" t="s">
        <v>4655</v>
      </c>
      <c r="AF5937" t="s">
        <v>4563</v>
      </c>
      <c r="AG5937" t="s">
        <v>4564</v>
      </c>
      <c r="AH5937" t="s">
        <v>1147</v>
      </c>
      <c r="AI5937" t="s">
        <v>29178</v>
      </c>
      <c r="AJ5937" t="s">
        <v>29179</v>
      </c>
      <c r="AK5937" t="s">
        <v>29180</v>
      </c>
      <c r="AL5937" s="13" t="s">
        <v>1896</v>
      </c>
      <c r="AM5937">
        <v>1</v>
      </c>
      <c r="AN5937" s="15" t="s">
        <v>341</v>
      </c>
    </row>
    <row r="5938" spans="1:40" x14ac:dyDescent="0.3">
      <c r="A5938" s="10" t="str">
        <f>HYPERLINK("http://www.washoecounty.gov/assessor/cama/?parid=208-052-03&amp;CardNumber=1","208-052-03")</f>
        <v>208-052-03</v>
      </c>
      <c r="B5938" t="s">
        <v>4655</v>
      </c>
      <c r="C5938" t="s">
        <v>2864</v>
      </c>
      <c r="D5938" s="1">
        <v>40353</v>
      </c>
      <c r="E5938" s="2">
        <v>310000</v>
      </c>
      <c r="F5938" t="s">
        <v>4567</v>
      </c>
      <c r="G5938" s="17" t="str">
        <f>HYPERLINK("https://www.washoecounty.gov/assessor/cama/?command=sales&amp;parid=20805203","3895108")</f>
        <v>3895108</v>
      </c>
      <c r="H5938" t="s">
        <v>3164</v>
      </c>
      <c r="I5938">
        <v>2000</v>
      </c>
      <c r="J5938">
        <v>2000</v>
      </c>
      <c r="K5938" t="s">
        <v>4554</v>
      </c>
      <c r="L5938" t="s">
        <v>3974</v>
      </c>
      <c r="M5938" s="2">
        <v>2636</v>
      </c>
      <c r="N5938" t="s">
        <v>3147</v>
      </c>
      <c r="O5938">
        <v>5</v>
      </c>
      <c r="P5938">
        <v>3</v>
      </c>
      <c r="Q5938">
        <v>0</v>
      </c>
      <c r="R5938" t="s">
        <v>5281</v>
      </c>
      <c r="S5938" t="s">
        <v>4898</v>
      </c>
      <c r="T5938" t="s">
        <v>2704</v>
      </c>
      <c r="U5938" t="s">
        <v>4560</v>
      </c>
      <c r="V5938" s="2">
        <v>736</v>
      </c>
      <c r="W5938" t="s">
        <v>4655</v>
      </c>
      <c r="X5938" s="2">
        <v>0</v>
      </c>
      <c r="Y5938">
        <v>20</v>
      </c>
      <c r="Z5938" t="s">
        <v>385</v>
      </c>
      <c r="AA5938" s="3">
        <v>0.21604682505130801</v>
      </c>
      <c r="AB5938" t="s">
        <v>2865</v>
      </c>
      <c r="AC5938" t="s">
        <v>4562</v>
      </c>
      <c r="AD5938" t="s">
        <v>2864</v>
      </c>
      <c r="AE5938" t="s">
        <v>4655</v>
      </c>
      <c r="AF5938" t="s">
        <v>4563</v>
      </c>
      <c r="AG5938" t="s">
        <v>4564</v>
      </c>
      <c r="AH5938" t="s">
        <v>1147</v>
      </c>
      <c r="AI5938" t="s">
        <v>29181</v>
      </c>
      <c r="AJ5938" t="s">
        <v>2866</v>
      </c>
      <c r="AK5938" t="s">
        <v>2867</v>
      </c>
      <c r="AL5938" s="13" t="s">
        <v>1896</v>
      </c>
      <c r="AM5938">
        <v>1</v>
      </c>
      <c r="AN5938" s="15" t="s">
        <v>341</v>
      </c>
    </row>
    <row r="5939" spans="1:40" x14ac:dyDescent="0.3">
      <c r="A5939" s="10" t="str">
        <f>HYPERLINK("http://www.washoecounty.gov/assessor/cama/?parid=208-052-06&amp;CardNumber=1","208-052-06")</f>
        <v>208-052-06</v>
      </c>
      <c r="B5939" t="s">
        <v>4655</v>
      </c>
      <c r="C5939" t="s">
        <v>29182</v>
      </c>
      <c r="D5939" s="1">
        <v>40235</v>
      </c>
      <c r="E5939" s="2">
        <v>334650</v>
      </c>
      <c r="F5939" t="s">
        <v>4567</v>
      </c>
      <c r="G5939" s="17" t="str">
        <f>HYPERLINK("https://www.washoecounty.gov/assessor/cama/?command=sales&amp;parid=20805206","3853533")</f>
        <v>3853533</v>
      </c>
      <c r="H5939" t="s">
        <v>3164</v>
      </c>
      <c r="I5939">
        <v>2000</v>
      </c>
      <c r="J5939">
        <v>2000</v>
      </c>
      <c r="K5939" t="s">
        <v>4554</v>
      </c>
      <c r="L5939" t="s">
        <v>4555</v>
      </c>
      <c r="M5939" s="2">
        <v>2334</v>
      </c>
      <c r="N5939" t="s">
        <v>3147</v>
      </c>
      <c r="O5939">
        <v>4</v>
      </c>
      <c r="P5939">
        <v>2</v>
      </c>
      <c r="Q5939">
        <v>1</v>
      </c>
      <c r="R5939" t="s">
        <v>5281</v>
      </c>
      <c r="S5939" t="s">
        <v>4558</v>
      </c>
      <c r="T5939" t="s">
        <v>2704</v>
      </c>
      <c r="U5939" t="s">
        <v>4560</v>
      </c>
      <c r="V5939" s="2">
        <v>700</v>
      </c>
      <c r="W5939" t="s">
        <v>4655</v>
      </c>
      <c r="X5939" s="2">
        <v>0</v>
      </c>
      <c r="Y5939">
        <v>20</v>
      </c>
      <c r="Z5939" t="s">
        <v>385</v>
      </c>
      <c r="AA5939" s="3">
        <v>0.43099173903465299</v>
      </c>
      <c r="AB5939" t="s">
        <v>29183</v>
      </c>
      <c r="AC5939" t="s">
        <v>4562</v>
      </c>
      <c r="AD5939" t="s">
        <v>29184</v>
      </c>
      <c r="AE5939" t="s">
        <v>4655</v>
      </c>
      <c r="AF5939" t="s">
        <v>4563</v>
      </c>
      <c r="AG5939" t="s">
        <v>4564</v>
      </c>
      <c r="AH5939" t="s">
        <v>1147</v>
      </c>
      <c r="AI5939" t="s">
        <v>29185</v>
      </c>
      <c r="AJ5939" t="s">
        <v>29186</v>
      </c>
      <c r="AK5939" t="s">
        <v>29187</v>
      </c>
      <c r="AL5939" s="13" t="s">
        <v>1896</v>
      </c>
      <c r="AM5939" s="14">
        <v>1</v>
      </c>
      <c r="AN5939" s="15" t="s">
        <v>341</v>
      </c>
    </row>
    <row r="5940" spans="1:40" x14ac:dyDescent="0.3">
      <c r="A5940" s="10" t="str">
        <f>HYPERLINK("http://www.washoecounty.gov/assessor/cama/?parid=208-061-11&amp;CardNumber=1","208-061-11")</f>
        <v>208-061-11</v>
      </c>
      <c r="B5940" t="s">
        <v>4655</v>
      </c>
      <c r="C5940" t="s">
        <v>29188</v>
      </c>
      <c r="D5940" s="1">
        <v>40319</v>
      </c>
      <c r="E5940" s="2">
        <v>317000</v>
      </c>
      <c r="F5940" t="s">
        <v>4567</v>
      </c>
      <c r="G5940" s="17" t="str">
        <f>HYPERLINK("https://www.washoecounty.gov/assessor/cama/?command=sales&amp;parid=20806111","3883837")</f>
        <v>3883837</v>
      </c>
      <c r="H5940" t="s">
        <v>3164</v>
      </c>
      <c r="I5940">
        <v>2000</v>
      </c>
      <c r="J5940">
        <v>2000</v>
      </c>
      <c r="K5940" t="s">
        <v>4554</v>
      </c>
      <c r="L5940" t="s">
        <v>3974</v>
      </c>
      <c r="M5940" s="2">
        <v>3127</v>
      </c>
      <c r="N5940" t="s">
        <v>3147</v>
      </c>
      <c r="O5940">
        <v>5</v>
      </c>
      <c r="P5940">
        <v>3</v>
      </c>
      <c r="Q5940">
        <v>1</v>
      </c>
      <c r="R5940" t="s">
        <v>4557</v>
      </c>
      <c r="S5940" t="s">
        <v>4898</v>
      </c>
      <c r="T5940" t="s">
        <v>2704</v>
      </c>
      <c r="U5940" t="s">
        <v>4560</v>
      </c>
      <c r="V5940" s="2">
        <v>686</v>
      </c>
      <c r="W5940" t="s">
        <v>4655</v>
      </c>
      <c r="X5940" s="2">
        <v>0</v>
      </c>
      <c r="Y5940">
        <v>20</v>
      </c>
      <c r="Z5940" t="s">
        <v>385</v>
      </c>
      <c r="AA5940" s="3">
        <v>0.36774563789367676</v>
      </c>
      <c r="AB5940" t="s">
        <v>29189</v>
      </c>
      <c r="AC5940" t="s">
        <v>4562</v>
      </c>
      <c r="AD5940" t="s">
        <v>29190</v>
      </c>
      <c r="AE5940" t="s">
        <v>4655</v>
      </c>
      <c r="AF5940" t="s">
        <v>4563</v>
      </c>
      <c r="AG5940" t="s">
        <v>4564</v>
      </c>
      <c r="AH5940">
        <v>89501</v>
      </c>
      <c r="AI5940" t="s">
        <v>29191</v>
      </c>
      <c r="AJ5940" t="s">
        <v>29192</v>
      </c>
      <c r="AK5940" t="s">
        <v>29193</v>
      </c>
      <c r="AL5940" s="13" t="s">
        <v>1896</v>
      </c>
      <c r="AM5940">
        <v>1</v>
      </c>
      <c r="AN5940" s="15" t="s">
        <v>341</v>
      </c>
    </row>
    <row r="5941" spans="1:40" x14ac:dyDescent="0.3">
      <c r="A5941" s="10" t="str">
        <f>HYPERLINK("http://www.washoecounty.gov/assessor/cama/?parid=208-080-06&amp;CardNumber=1","208-080-06")</f>
        <v>208-080-06</v>
      </c>
      <c r="B5941" t="s">
        <v>4655</v>
      </c>
      <c r="C5941" t="s">
        <v>29194</v>
      </c>
      <c r="D5941" s="1">
        <v>40506</v>
      </c>
      <c r="E5941" s="2">
        <v>255000</v>
      </c>
      <c r="F5941" t="s">
        <v>4553</v>
      </c>
      <c r="G5941" s="17" t="str">
        <f>HYPERLINK("https://www.washoecounty.gov/assessor/cama/?command=sales&amp;parid=20808006","3946646")</f>
        <v>3946646</v>
      </c>
      <c r="H5941" t="s">
        <v>5305</v>
      </c>
      <c r="I5941">
        <v>1997</v>
      </c>
      <c r="J5941">
        <v>1997</v>
      </c>
      <c r="K5941" t="s">
        <v>4554</v>
      </c>
      <c r="L5941" t="s">
        <v>4555</v>
      </c>
      <c r="M5941" s="2">
        <v>2045</v>
      </c>
      <c r="N5941" t="s">
        <v>3147</v>
      </c>
      <c r="O5941">
        <v>3</v>
      </c>
      <c r="P5941">
        <v>2</v>
      </c>
      <c r="Q5941">
        <v>0</v>
      </c>
      <c r="R5941" t="s">
        <v>4557</v>
      </c>
      <c r="S5941" t="s">
        <v>4558</v>
      </c>
      <c r="T5941" t="s">
        <v>2704</v>
      </c>
      <c r="U5941" t="s">
        <v>4560</v>
      </c>
      <c r="V5941" s="2">
        <v>562</v>
      </c>
      <c r="W5941" t="s">
        <v>4655</v>
      </c>
      <c r="X5941" s="2">
        <v>0</v>
      </c>
      <c r="Y5941">
        <v>20</v>
      </c>
      <c r="Z5941" t="s">
        <v>385</v>
      </c>
      <c r="AA5941" s="3">
        <v>0.33032599091529802</v>
      </c>
      <c r="AB5941" t="s">
        <v>29195</v>
      </c>
      <c r="AC5941" t="s">
        <v>4562</v>
      </c>
      <c r="AD5941" t="s">
        <v>29194</v>
      </c>
      <c r="AE5941" t="s">
        <v>4655</v>
      </c>
      <c r="AF5941" t="s">
        <v>4563</v>
      </c>
      <c r="AG5941" t="s">
        <v>4564</v>
      </c>
      <c r="AH5941" t="s">
        <v>1147</v>
      </c>
      <c r="AI5941" t="s">
        <v>695</v>
      </c>
      <c r="AJ5941" t="s">
        <v>29196</v>
      </c>
      <c r="AK5941" t="s">
        <v>29197</v>
      </c>
      <c r="AL5941" s="13" t="s">
        <v>1896</v>
      </c>
      <c r="AM5941">
        <v>1</v>
      </c>
      <c r="AN5941" s="15" t="s">
        <v>341</v>
      </c>
    </row>
    <row r="5942" spans="1:40" x14ac:dyDescent="0.3">
      <c r="A5942" s="10" t="str">
        <f>HYPERLINK("http://www.washoecounty.gov/assessor/cama/?parid=208-093-02&amp;CardNumber=1","208-093-02")</f>
        <v>208-093-02</v>
      </c>
      <c r="B5942" t="s">
        <v>4655</v>
      </c>
      <c r="C5942" t="s">
        <v>29198</v>
      </c>
      <c r="D5942" s="1">
        <v>40485</v>
      </c>
      <c r="E5942" s="2">
        <v>270000</v>
      </c>
      <c r="F5942" t="s">
        <v>4567</v>
      </c>
      <c r="G5942" s="17" t="str">
        <f>HYPERLINK("https://www.washoecounty.gov/assessor/cama/?command=sales&amp;parid=20809302","3939564")</f>
        <v>3939564</v>
      </c>
      <c r="H5942" t="s">
        <v>5305</v>
      </c>
      <c r="I5942">
        <v>1996</v>
      </c>
      <c r="J5942">
        <v>1996</v>
      </c>
      <c r="K5942" t="s">
        <v>4554</v>
      </c>
      <c r="L5942" t="s">
        <v>4555</v>
      </c>
      <c r="M5942" s="2">
        <v>2334</v>
      </c>
      <c r="N5942" t="s">
        <v>3147</v>
      </c>
      <c r="O5942">
        <v>4</v>
      </c>
      <c r="P5942">
        <v>2</v>
      </c>
      <c r="Q5942">
        <v>1</v>
      </c>
      <c r="R5942" t="s">
        <v>5281</v>
      </c>
      <c r="S5942" t="s">
        <v>4898</v>
      </c>
      <c r="T5942" t="s">
        <v>2704</v>
      </c>
      <c r="U5942" t="s">
        <v>4560</v>
      </c>
      <c r="V5942" s="2">
        <v>584</v>
      </c>
      <c r="W5942" t="s">
        <v>4655</v>
      </c>
      <c r="X5942" s="2">
        <v>0</v>
      </c>
      <c r="Y5942">
        <v>20</v>
      </c>
      <c r="Z5942" t="s">
        <v>385</v>
      </c>
      <c r="AA5942" s="3">
        <v>0.22527548670768699</v>
      </c>
      <c r="AB5942" t="s">
        <v>29199</v>
      </c>
      <c r="AC5942" t="s">
        <v>4562</v>
      </c>
      <c r="AD5942" t="s">
        <v>29198</v>
      </c>
      <c r="AE5942" t="s">
        <v>4655</v>
      </c>
      <c r="AF5942" t="s">
        <v>4563</v>
      </c>
      <c r="AG5942" t="s">
        <v>4564</v>
      </c>
      <c r="AH5942" t="s">
        <v>1147</v>
      </c>
      <c r="AI5942" t="s">
        <v>1138</v>
      </c>
      <c r="AJ5942" t="s">
        <v>29200</v>
      </c>
      <c r="AK5942" t="s">
        <v>29201</v>
      </c>
      <c r="AL5942" s="13" t="s">
        <v>1896</v>
      </c>
      <c r="AM5942">
        <v>1</v>
      </c>
      <c r="AN5942" s="15" t="s">
        <v>341</v>
      </c>
    </row>
    <row r="5943" spans="1:40" x14ac:dyDescent="0.3">
      <c r="A5943" s="10" t="str">
        <f>HYPERLINK("http://www.washoecounty.gov/assessor/cama/?parid=208-101-16&amp;CardNumber=1","208-101-16")</f>
        <v>208-101-16</v>
      </c>
      <c r="B5943" t="s">
        <v>4655</v>
      </c>
      <c r="C5943" t="s">
        <v>29202</v>
      </c>
      <c r="D5943" s="1">
        <v>40386</v>
      </c>
      <c r="E5943" s="2">
        <v>253000</v>
      </c>
      <c r="F5943" t="s">
        <v>4567</v>
      </c>
      <c r="G5943" s="17" t="str">
        <f>HYPERLINK("https://www.washoecounty.gov/assessor/cama/?command=sales&amp;parid=20810116","3905490")</f>
        <v>3905490</v>
      </c>
      <c r="H5943" t="s">
        <v>907</v>
      </c>
      <c r="I5943">
        <v>1996</v>
      </c>
      <c r="J5943">
        <v>1996</v>
      </c>
      <c r="K5943" t="s">
        <v>4554</v>
      </c>
      <c r="L5943" t="s">
        <v>3974</v>
      </c>
      <c r="M5943" s="2">
        <v>2781</v>
      </c>
      <c r="N5943" t="s">
        <v>3147</v>
      </c>
      <c r="O5943">
        <v>4</v>
      </c>
      <c r="P5943">
        <v>3</v>
      </c>
      <c r="Q5943">
        <v>0</v>
      </c>
      <c r="R5943" t="s">
        <v>5281</v>
      </c>
      <c r="S5943" t="s">
        <v>4558</v>
      </c>
      <c r="T5943" t="s">
        <v>4559</v>
      </c>
      <c r="U5943" t="s">
        <v>5631</v>
      </c>
      <c r="V5943" s="2">
        <v>587</v>
      </c>
      <c r="W5943" t="s">
        <v>4655</v>
      </c>
      <c r="X5943" s="2">
        <v>0</v>
      </c>
      <c r="Y5943">
        <v>20</v>
      </c>
      <c r="Z5943" t="s">
        <v>4561</v>
      </c>
      <c r="AA5943" s="3">
        <v>0.28000459074974099</v>
      </c>
      <c r="AB5943" t="s">
        <v>29203</v>
      </c>
      <c r="AC5943" t="s">
        <v>4562</v>
      </c>
      <c r="AD5943" t="s">
        <v>29202</v>
      </c>
      <c r="AE5943" t="s">
        <v>4655</v>
      </c>
      <c r="AF5943" t="s">
        <v>4563</v>
      </c>
      <c r="AG5943" t="s">
        <v>4564</v>
      </c>
      <c r="AH5943" t="s">
        <v>1147</v>
      </c>
      <c r="AI5943" t="s">
        <v>4655</v>
      </c>
      <c r="AJ5943" t="s">
        <v>1324</v>
      </c>
      <c r="AK5943" t="s">
        <v>29204</v>
      </c>
      <c r="AL5943" s="13" t="s">
        <v>2255</v>
      </c>
      <c r="AM5943" s="14">
        <v>1</v>
      </c>
      <c r="AN5943" s="15" t="s">
        <v>383</v>
      </c>
    </row>
    <row r="5944" spans="1:40" x14ac:dyDescent="0.3">
      <c r="A5944" s="10" t="str">
        <f>HYPERLINK("http://www.washoecounty.gov/assessor/cama/?parid=208-113-06&amp;CardNumber=1","208-113-06")</f>
        <v>208-113-06</v>
      </c>
      <c r="B5944" t="s">
        <v>4655</v>
      </c>
      <c r="C5944" t="s">
        <v>29205</v>
      </c>
      <c r="D5944" s="1">
        <v>40298</v>
      </c>
      <c r="E5944" s="2">
        <v>299000</v>
      </c>
      <c r="F5944" t="s">
        <v>4567</v>
      </c>
      <c r="G5944" s="17" t="str">
        <f>HYPERLINK("https://www.washoecounty.gov/assessor/cama/?command=sales&amp;parid=20811306","3876924")</f>
        <v>3876924</v>
      </c>
      <c r="H5944" t="s">
        <v>1818</v>
      </c>
      <c r="I5944">
        <v>1998</v>
      </c>
      <c r="J5944">
        <v>1998</v>
      </c>
      <c r="K5944" t="s">
        <v>4554</v>
      </c>
      <c r="L5944" t="s">
        <v>3974</v>
      </c>
      <c r="M5944" s="2">
        <v>2325</v>
      </c>
      <c r="N5944" t="s">
        <v>3147</v>
      </c>
      <c r="O5944">
        <v>4</v>
      </c>
      <c r="P5944">
        <v>3</v>
      </c>
      <c r="Q5944">
        <v>0</v>
      </c>
      <c r="R5944" t="s">
        <v>4557</v>
      </c>
      <c r="S5944" t="s">
        <v>4558</v>
      </c>
      <c r="T5944" t="s">
        <v>4559</v>
      </c>
      <c r="U5944" t="s">
        <v>4560</v>
      </c>
      <c r="V5944" s="2">
        <v>623</v>
      </c>
      <c r="W5944" t="s">
        <v>4655</v>
      </c>
      <c r="X5944" s="2">
        <v>0</v>
      </c>
      <c r="Y5944">
        <v>20</v>
      </c>
      <c r="Z5944" t="s">
        <v>4561</v>
      </c>
      <c r="AA5944" s="3">
        <v>0.29104682803153997</v>
      </c>
      <c r="AB5944" t="s">
        <v>29206</v>
      </c>
      <c r="AC5944" t="s">
        <v>4562</v>
      </c>
      <c r="AD5944" t="s">
        <v>29205</v>
      </c>
      <c r="AE5944" t="s">
        <v>4655</v>
      </c>
      <c r="AF5944" t="s">
        <v>4563</v>
      </c>
      <c r="AG5944" t="s">
        <v>4564</v>
      </c>
      <c r="AH5944" t="s">
        <v>1147</v>
      </c>
      <c r="AI5944" t="s">
        <v>29207</v>
      </c>
      <c r="AJ5944" t="s">
        <v>29208</v>
      </c>
      <c r="AK5944" t="s">
        <v>29209</v>
      </c>
      <c r="AL5944" s="13" t="s">
        <v>2255</v>
      </c>
      <c r="AM5944">
        <v>1</v>
      </c>
      <c r="AN5944" s="15" t="s">
        <v>383</v>
      </c>
    </row>
    <row r="5945" spans="1:40" x14ac:dyDescent="0.3">
      <c r="A5945" s="10" t="str">
        <f>HYPERLINK("http://www.washoecounty.gov/assessor/cama/?parid=208-113-12&amp;CardNumber=1","208-113-12")</f>
        <v>208-113-12</v>
      </c>
      <c r="B5945" t="s">
        <v>4655</v>
      </c>
      <c r="C5945" t="s">
        <v>29210</v>
      </c>
      <c r="D5945" s="1">
        <v>40350</v>
      </c>
      <c r="E5945" s="2">
        <v>244500</v>
      </c>
      <c r="F5945" t="s">
        <v>4567</v>
      </c>
      <c r="G5945" s="17" t="str">
        <f>HYPERLINK("https://www.washoecounty.gov/assessor/cama/?command=sales&amp;parid=20811312","3893917")</f>
        <v>3893917</v>
      </c>
      <c r="H5945" t="s">
        <v>1818</v>
      </c>
      <c r="I5945">
        <v>1998</v>
      </c>
      <c r="J5945">
        <v>1998</v>
      </c>
      <c r="K5945" t="s">
        <v>4554</v>
      </c>
      <c r="L5945" t="s">
        <v>4555</v>
      </c>
      <c r="M5945" s="2">
        <v>1862</v>
      </c>
      <c r="N5945" t="s">
        <v>3147</v>
      </c>
      <c r="O5945">
        <v>4</v>
      </c>
      <c r="P5945">
        <v>2</v>
      </c>
      <c r="Q5945">
        <v>0</v>
      </c>
      <c r="R5945" t="s">
        <v>4557</v>
      </c>
      <c r="S5945" t="s">
        <v>4558</v>
      </c>
      <c r="T5945" t="s">
        <v>4559</v>
      </c>
      <c r="U5945" t="s">
        <v>4560</v>
      </c>
      <c r="V5945" s="2">
        <v>562</v>
      </c>
      <c r="W5945" t="s">
        <v>4655</v>
      </c>
      <c r="X5945" s="2">
        <v>0</v>
      </c>
      <c r="Y5945">
        <v>20</v>
      </c>
      <c r="Z5945" t="s">
        <v>4561</v>
      </c>
      <c r="AA5945" s="3">
        <v>0.17277318239212</v>
      </c>
      <c r="AB5945" t="s">
        <v>29211</v>
      </c>
      <c r="AC5945" t="s">
        <v>4562</v>
      </c>
      <c r="AD5945" t="s">
        <v>29210</v>
      </c>
      <c r="AE5945" t="s">
        <v>4655</v>
      </c>
      <c r="AF5945" t="s">
        <v>4563</v>
      </c>
      <c r="AG5945" t="s">
        <v>4564</v>
      </c>
      <c r="AH5945" t="s">
        <v>1147</v>
      </c>
      <c r="AI5945" t="s">
        <v>29212</v>
      </c>
      <c r="AJ5945" t="s">
        <v>29213</v>
      </c>
      <c r="AK5945" t="s">
        <v>29214</v>
      </c>
      <c r="AL5945" s="13" t="s">
        <v>2255</v>
      </c>
      <c r="AM5945">
        <v>1</v>
      </c>
      <c r="AN5945" s="15" t="s">
        <v>383</v>
      </c>
    </row>
    <row r="5946" spans="1:40" x14ac:dyDescent="0.3">
      <c r="A5946" s="10" t="str">
        <f>HYPERLINK("http://www.washoecounty.gov/assessor/cama/?parid=208-113-18&amp;CardNumber=1","208-113-18")</f>
        <v>208-113-18</v>
      </c>
      <c r="B5946" t="s">
        <v>4655</v>
      </c>
      <c r="C5946" t="s">
        <v>29215</v>
      </c>
      <c r="D5946" s="1">
        <v>40298</v>
      </c>
      <c r="E5946" s="2">
        <v>245000</v>
      </c>
      <c r="F5946" t="s">
        <v>4567</v>
      </c>
      <c r="G5946" s="17" t="str">
        <f>HYPERLINK("https://www.washoecounty.gov/assessor/cama/?command=sales&amp;parid=20811318","3876579")</f>
        <v>3876579</v>
      </c>
      <c r="H5946" t="s">
        <v>1818</v>
      </c>
      <c r="I5946">
        <v>1997</v>
      </c>
      <c r="J5946">
        <v>1997</v>
      </c>
      <c r="K5946" t="s">
        <v>4554</v>
      </c>
      <c r="L5946" t="s">
        <v>3974</v>
      </c>
      <c r="M5946" s="2">
        <v>2781</v>
      </c>
      <c r="N5946" t="s">
        <v>3147</v>
      </c>
      <c r="O5946">
        <v>4</v>
      </c>
      <c r="P5946">
        <v>3</v>
      </c>
      <c r="Q5946">
        <v>0</v>
      </c>
      <c r="R5946" t="s">
        <v>4557</v>
      </c>
      <c r="S5946" t="s">
        <v>4558</v>
      </c>
      <c r="T5946" t="s">
        <v>4559</v>
      </c>
      <c r="U5946" t="s">
        <v>5631</v>
      </c>
      <c r="V5946" s="2">
        <v>587</v>
      </c>
      <c r="W5946" t="s">
        <v>4655</v>
      </c>
      <c r="X5946" s="2">
        <v>0</v>
      </c>
      <c r="Y5946">
        <v>20</v>
      </c>
      <c r="Z5946" t="s">
        <v>4561</v>
      </c>
      <c r="AA5946" s="3">
        <v>0.24547749757766724</v>
      </c>
      <c r="AB5946" t="s">
        <v>29216</v>
      </c>
      <c r="AC5946" t="s">
        <v>4562</v>
      </c>
      <c r="AD5946" t="s">
        <v>29215</v>
      </c>
      <c r="AE5946" t="s">
        <v>4655</v>
      </c>
      <c r="AF5946" t="s">
        <v>4563</v>
      </c>
      <c r="AG5946" t="s">
        <v>4564</v>
      </c>
      <c r="AH5946" t="s">
        <v>1147</v>
      </c>
      <c r="AI5946" t="s">
        <v>29217</v>
      </c>
      <c r="AJ5946" t="s">
        <v>29218</v>
      </c>
      <c r="AK5946" t="s">
        <v>29219</v>
      </c>
      <c r="AL5946" s="13" t="s">
        <v>2255</v>
      </c>
      <c r="AM5946">
        <v>1</v>
      </c>
      <c r="AN5946" s="15" t="s">
        <v>383</v>
      </c>
    </row>
    <row r="5947" spans="1:40" x14ac:dyDescent="0.3">
      <c r="A5947" s="10" t="str">
        <f>HYPERLINK("http://www.washoecounty.gov/assessor/cama/?parid=208-121-07&amp;CardNumber=1","208-121-07")</f>
        <v>208-121-07</v>
      </c>
      <c r="B5947" t="s">
        <v>4655</v>
      </c>
      <c r="C5947" t="s">
        <v>29220</v>
      </c>
      <c r="D5947" s="1">
        <v>40434</v>
      </c>
      <c r="E5947" s="2">
        <v>229900</v>
      </c>
      <c r="F5947" t="s">
        <v>4553</v>
      </c>
      <c r="G5947" s="17" t="str">
        <f>HYPERLINK("https://www.washoecounty.gov/assessor/cama/?command=sales&amp;parid=20812107","3921335")</f>
        <v>3921335</v>
      </c>
      <c r="H5947" t="s">
        <v>1818</v>
      </c>
      <c r="I5947">
        <v>1998</v>
      </c>
      <c r="J5947">
        <v>1998</v>
      </c>
      <c r="K5947" t="s">
        <v>4554</v>
      </c>
      <c r="L5947" t="s">
        <v>3974</v>
      </c>
      <c r="M5947" s="2">
        <v>2325</v>
      </c>
      <c r="N5947" t="s">
        <v>3147</v>
      </c>
      <c r="O5947">
        <v>4</v>
      </c>
      <c r="P5947">
        <v>3</v>
      </c>
      <c r="Q5947">
        <v>0</v>
      </c>
      <c r="R5947" t="s">
        <v>5281</v>
      </c>
      <c r="S5947" t="s">
        <v>4558</v>
      </c>
      <c r="T5947" t="s">
        <v>4559</v>
      </c>
      <c r="U5947" t="s">
        <v>4560</v>
      </c>
      <c r="V5947" s="2">
        <v>624</v>
      </c>
      <c r="W5947" t="s">
        <v>4655</v>
      </c>
      <c r="X5947" s="2">
        <v>0</v>
      </c>
      <c r="Y5947">
        <v>20</v>
      </c>
      <c r="Z5947" t="s">
        <v>4561</v>
      </c>
      <c r="AA5947" s="3">
        <v>0.15798898041248299</v>
      </c>
      <c r="AB5947" t="s">
        <v>29221</v>
      </c>
      <c r="AC5947" t="s">
        <v>4562</v>
      </c>
      <c r="AD5947" t="s">
        <v>29222</v>
      </c>
      <c r="AE5947" t="s">
        <v>4655</v>
      </c>
      <c r="AF5947" t="s">
        <v>29223</v>
      </c>
      <c r="AG5947" t="s">
        <v>4584</v>
      </c>
      <c r="AH5947">
        <v>91042</v>
      </c>
      <c r="AI5947" t="s">
        <v>4903</v>
      </c>
      <c r="AJ5947" t="s">
        <v>29224</v>
      </c>
      <c r="AK5947" t="s">
        <v>29225</v>
      </c>
      <c r="AL5947" s="13" t="s">
        <v>2255</v>
      </c>
      <c r="AM5947" s="14">
        <v>1</v>
      </c>
      <c r="AN5947" s="15" t="s">
        <v>383</v>
      </c>
    </row>
    <row r="5948" spans="1:40" x14ac:dyDescent="0.3">
      <c r="A5948" s="10" t="str">
        <f>HYPERLINK("http://www.washoecounty.gov/assessor/cama/?parid=208-121-13&amp;CardNumber=1","208-121-13")</f>
        <v>208-121-13</v>
      </c>
      <c r="B5948" t="s">
        <v>4655</v>
      </c>
      <c r="C5948" t="s">
        <v>29226</v>
      </c>
      <c r="D5948" s="1">
        <v>40183</v>
      </c>
      <c r="E5948" s="2">
        <v>230000</v>
      </c>
      <c r="F5948" t="s">
        <v>4553</v>
      </c>
      <c r="G5948" s="17" t="str">
        <f>HYPERLINK("https://www.washoecounty.gov/assessor/cama/?command=sales&amp;parid=20812113","3836526")</f>
        <v>3836526</v>
      </c>
      <c r="H5948" t="s">
        <v>1818</v>
      </c>
      <c r="I5948">
        <v>1998</v>
      </c>
      <c r="J5948">
        <v>1998</v>
      </c>
      <c r="K5948" t="s">
        <v>4554</v>
      </c>
      <c r="L5948" t="s">
        <v>4555</v>
      </c>
      <c r="M5948" s="2">
        <v>1670</v>
      </c>
      <c r="N5948" t="s">
        <v>3147</v>
      </c>
      <c r="O5948">
        <v>3</v>
      </c>
      <c r="P5948">
        <v>2</v>
      </c>
      <c r="Q5948">
        <v>0</v>
      </c>
      <c r="R5948" t="s">
        <v>4557</v>
      </c>
      <c r="S5948" t="s">
        <v>4558</v>
      </c>
      <c r="T5948" t="s">
        <v>4559</v>
      </c>
      <c r="U5948" t="s">
        <v>4560</v>
      </c>
      <c r="V5948" s="2">
        <v>610</v>
      </c>
      <c r="W5948" t="s">
        <v>4655</v>
      </c>
      <c r="X5948" s="2">
        <v>0</v>
      </c>
      <c r="Y5948">
        <v>20</v>
      </c>
      <c r="Z5948" t="s">
        <v>4561</v>
      </c>
      <c r="AA5948" s="3">
        <v>0.23363177478313446</v>
      </c>
      <c r="AB5948" t="s">
        <v>29227</v>
      </c>
      <c r="AC5948" t="s">
        <v>4562</v>
      </c>
      <c r="AD5948" t="s">
        <v>29226</v>
      </c>
      <c r="AE5948" t="s">
        <v>4655</v>
      </c>
      <c r="AF5948" t="s">
        <v>4563</v>
      </c>
      <c r="AG5948" t="s">
        <v>4564</v>
      </c>
      <c r="AH5948" t="s">
        <v>1147</v>
      </c>
      <c r="AI5948" t="s">
        <v>29228</v>
      </c>
      <c r="AJ5948" t="s">
        <v>29229</v>
      </c>
      <c r="AK5948" t="s">
        <v>29230</v>
      </c>
      <c r="AL5948" s="13" t="s">
        <v>2255</v>
      </c>
      <c r="AM5948">
        <v>1</v>
      </c>
      <c r="AN5948" s="15" t="s">
        <v>383</v>
      </c>
    </row>
    <row r="5949" spans="1:40" x14ac:dyDescent="0.3">
      <c r="A5949" s="10" t="str">
        <f>HYPERLINK("http://www.washoecounty.gov/assessor/cama/?parid=208-142-12&amp;CardNumber=1","208-142-12")</f>
        <v>208-142-12</v>
      </c>
      <c r="B5949" t="s">
        <v>4655</v>
      </c>
      <c r="C5949" t="s">
        <v>29231</v>
      </c>
      <c r="D5949" s="1">
        <v>40365</v>
      </c>
      <c r="E5949" s="2">
        <v>170000</v>
      </c>
      <c r="F5949" t="s">
        <v>4567</v>
      </c>
      <c r="G5949" s="17" t="str">
        <f>HYPERLINK("https://www.washoecounty.gov/assessor/cama/?command=sales&amp;parid=20814212","3898426")</f>
        <v>3898426</v>
      </c>
      <c r="H5949" t="s">
        <v>5036</v>
      </c>
      <c r="I5949">
        <v>1998</v>
      </c>
      <c r="J5949">
        <v>1998</v>
      </c>
      <c r="K5949" t="s">
        <v>4554</v>
      </c>
      <c r="L5949" t="s">
        <v>4555</v>
      </c>
      <c r="M5949" s="2">
        <v>1283</v>
      </c>
      <c r="N5949" t="s">
        <v>5280</v>
      </c>
      <c r="O5949">
        <v>3</v>
      </c>
      <c r="P5949">
        <v>2</v>
      </c>
      <c r="Q5949">
        <v>0</v>
      </c>
      <c r="R5949" t="s">
        <v>5281</v>
      </c>
      <c r="S5949" t="s">
        <v>4558</v>
      </c>
      <c r="T5949" t="s">
        <v>4559</v>
      </c>
      <c r="U5949" t="s">
        <v>4560</v>
      </c>
      <c r="V5949" s="2">
        <v>452</v>
      </c>
      <c r="W5949" t="s">
        <v>4655</v>
      </c>
      <c r="X5949" s="2">
        <v>0</v>
      </c>
      <c r="Y5949">
        <v>20</v>
      </c>
      <c r="Z5949" t="s">
        <v>4351</v>
      </c>
      <c r="AA5949" s="3">
        <v>0.15176767110824599</v>
      </c>
      <c r="AB5949" t="s">
        <v>29232</v>
      </c>
      <c r="AC5949" t="s">
        <v>4575</v>
      </c>
      <c r="AD5949" t="s">
        <v>29233</v>
      </c>
      <c r="AE5949" t="s">
        <v>4655</v>
      </c>
      <c r="AF5949" t="s">
        <v>4563</v>
      </c>
      <c r="AG5949" t="s">
        <v>4564</v>
      </c>
      <c r="AH5949" t="s">
        <v>1147</v>
      </c>
      <c r="AI5949" t="s">
        <v>29234</v>
      </c>
      <c r="AJ5949" t="s">
        <v>29235</v>
      </c>
      <c r="AK5949" t="s">
        <v>29236</v>
      </c>
      <c r="AL5949" s="13" t="s">
        <v>1896</v>
      </c>
      <c r="AM5949" s="14">
        <v>1</v>
      </c>
      <c r="AN5949" s="15" t="s">
        <v>3712</v>
      </c>
    </row>
    <row r="5950" spans="1:40" x14ac:dyDescent="0.3">
      <c r="A5950" s="10" t="str">
        <f>HYPERLINK("http://www.washoecounty.gov/assessor/cama/?parid=208-152-05&amp;CardNumber=1","208-152-05")</f>
        <v>208-152-05</v>
      </c>
      <c r="B5950" t="s">
        <v>4655</v>
      </c>
      <c r="C5950" t="s">
        <v>29237</v>
      </c>
      <c r="D5950" s="1">
        <v>40281</v>
      </c>
      <c r="E5950" s="2">
        <v>205000</v>
      </c>
      <c r="F5950" t="s">
        <v>4567</v>
      </c>
      <c r="G5950" s="17" t="str">
        <f>HYPERLINK("https://www.washoecounty.gov/assessor/cama/?command=sales&amp;parid=20815205","3870177")</f>
        <v>3870177</v>
      </c>
      <c r="H5950" t="s">
        <v>5036</v>
      </c>
      <c r="I5950">
        <v>1998</v>
      </c>
      <c r="J5950">
        <v>1998</v>
      </c>
      <c r="K5950" t="s">
        <v>4554</v>
      </c>
      <c r="L5950" t="s">
        <v>3974</v>
      </c>
      <c r="M5950" s="2">
        <v>1631</v>
      </c>
      <c r="N5950" t="s">
        <v>5280</v>
      </c>
      <c r="O5950">
        <v>2</v>
      </c>
      <c r="P5950">
        <v>2</v>
      </c>
      <c r="Q5950">
        <v>0</v>
      </c>
      <c r="R5950" t="s">
        <v>4557</v>
      </c>
      <c r="S5950" t="s">
        <v>4558</v>
      </c>
      <c r="T5950" t="s">
        <v>4559</v>
      </c>
      <c r="U5950" t="s">
        <v>4560</v>
      </c>
      <c r="V5950" s="2">
        <v>480</v>
      </c>
      <c r="W5950" t="s">
        <v>4655</v>
      </c>
      <c r="X5950" s="2">
        <v>0</v>
      </c>
      <c r="Y5950">
        <v>20</v>
      </c>
      <c r="Z5950" t="s">
        <v>4351</v>
      </c>
      <c r="AA5950" s="3">
        <v>0.14233241975307501</v>
      </c>
      <c r="AB5950" t="s">
        <v>29238</v>
      </c>
      <c r="AC5950" t="s">
        <v>4575</v>
      </c>
      <c r="AD5950" t="s">
        <v>29237</v>
      </c>
      <c r="AE5950" t="s">
        <v>4655</v>
      </c>
      <c r="AF5950" t="s">
        <v>4563</v>
      </c>
      <c r="AG5950" t="s">
        <v>4564</v>
      </c>
      <c r="AH5950" t="s">
        <v>1147</v>
      </c>
      <c r="AI5950" t="s">
        <v>4655</v>
      </c>
      <c r="AJ5950" t="s">
        <v>29239</v>
      </c>
      <c r="AK5950" t="s">
        <v>29240</v>
      </c>
      <c r="AL5950" s="13" t="s">
        <v>1896</v>
      </c>
      <c r="AM5950" s="14">
        <v>1</v>
      </c>
      <c r="AN5950" s="15" t="s">
        <v>3712</v>
      </c>
    </row>
    <row r="5951" spans="1:40" x14ac:dyDescent="0.3">
      <c r="A5951" s="10" t="str">
        <f>HYPERLINK("http://www.washoecounty.gov/assessor/cama/?parid=208-162-07&amp;CardNumber=1","208-162-07")</f>
        <v>208-162-07</v>
      </c>
      <c r="B5951" t="s">
        <v>4655</v>
      </c>
      <c r="C5951" t="s">
        <v>29241</v>
      </c>
      <c r="D5951" s="1">
        <v>40487</v>
      </c>
      <c r="E5951" s="2">
        <v>230000</v>
      </c>
      <c r="F5951" t="s">
        <v>4567</v>
      </c>
      <c r="G5951" s="17" t="str">
        <f>HYPERLINK("https://www.washoecounty.gov/assessor/cama/?command=sales&amp;parid=20816207","3940416")</f>
        <v>3940416</v>
      </c>
      <c r="H5951" t="s">
        <v>1872</v>
      </c>
      <c r="I5951">
        <v>2002</v>
      </c>
      <c r="J5951">
        <v>2002</v>
      </c>
      <c r="K5951" t="s">
        <v>4554</v>
      </c>
      <c r="L5951" t="s">
        <v>4555</v>
      </c>
      <c r="M5951" s="2">
        <v>2045</v>
      </c>
      <c r="N5951" t="s">
        <v>3147</v>
      </c>
      <c r="O5951">
        <v>3</v>
      </c>
      <c r="P5951">
        <v>2</v>
      </c>
      <c r="Q5951">
        <v>0</v>
      </c>
      <c r="R5951" t="s">
        <v>4557</v>
      </c>
      <c r="S5951" t="s">
        <v>4898</v>
      </c>
      <c r="T5951" t="s">
        <v>2704</v>
      </c>
      <c r="U5951" t="s">
        <v>4560</v>
      </c>
      <c r="V5951" s="2">
        <v>577</v>
      </c>
      <c r="W5951" t="s">
        <v>4655</v>
      </c>
      <c r="X5951" s="2">
        <v>0</v>
      </c>
      <c r="Y5951">
        <v>20</v>
      </c>
      <c r="Z5951" t="s">
        <v>385</v>
      </c>
      <c r="AA5951" s="3">
        <v>0.29017448425293002</v>
      </c>
      <c r="AB5951" t="s">
        <v>29242</v>
      </c>
      <c r="AC5951" t="s">
        <v>4562</v>
      </c>
      <c r="AD5951" t="s">
        <v>29241</v>
      </c>
      <c r="AE5951" t="s">
        <v>4655</v>
      </c>
      <c r="AF5951" t="s">
        <v>4563</v>
      </c>
      <c r="AG5951" t="s">
        <v>4564</v>
      </c>
      <c r="AH5951" t="s">
        <v>1147</v>
      </c>
      <c r="AI5951" t="s">
        <v>29243</v>
      </c>
      <c r="AJ5951" t="s">
        <v>29244</v>
      </c>
      <c r="AK5951" t="s">
        <v>29245</v>
      </c>
      <c r="AL5951" s="13" t="s">
        <v>1897</v>
      </c>
      <c r="AM5951" s="14">
        <v>1</v>
      </c>
      <c r="AN5951" s="15" t="s">
        <v>341</v>
      </c>
    </row>
    <row r="5952" spans="1:40" x14ac:dyDescent="0.3">
      <c r="A5952" s="10" t="str">
        <f>HYPERLINK("http://www.washoecounty.gov/assessor/cama/?parid=208-170-03&amp;CardNumber=1","208-170-03")</f>
        <v>208-170-03</v>
      </c>
      <c r="B5952" t="s">
        <v>4655</v>
      </c>
      <c r="C5952" t="s">
        <v>29246</v>
      </c>
      <c r="D5952" s="1">
        <v>40190</v>
      </c>
      <c r="E5952" s="2">
        <v>300000</v>
      </c>
      <c r="F5952" t="s">
        <v>4567</v>
      </c>
      <c r="G5952" s="17" t="str">
        <f>HYPERLINK("https://www.washoecounty.gov/assessor/cama/?command=sales&amp;parid=20817003","3838548")</f>
        <v>3838548</v>
      </c>
      <c r="H5952" t="s">
        <v>1872</v>
      </c>
      <c r="I5952">
        <v>2002</v>
      </c>
      <c r="J5952">
        <v>2002</v>
      </c>
      <c r="K5952" t="s">
        <v>4554</v>
      </c>
      <c r="L5952" t="s">
        <v>3974</v>
      </c>
      <c r="M5952" s="2">
        <v>3127</v>
      </c>
      <c r="N5952" t="s">
        <v>3147</v>
      </c>
      <c r="O5952">
        <v>5</v>
      </c>
      <c r="P5952">
        <v>3</v>
      </c>
      <c r="Q5952">
        <v>1</v>
      </c>
      <c r="R5952" t="s">
        <v>4557</v>
      </c>
      <c r="S5952" t="s">
        <v>4898</v>
      </c>
      <c r="T5952" t="s">
        <v>2704</v>
      </c>
      <c r="U5952" t="s">
        <v>4560</v>
      </c>
      <c r="V5952" s="2">
        <v>668</v>
      </c>
      <c r="W5952" t="s">
        <v>4655</v>
      </c>
      <c r="X5952" s="2">
        <v>0</v>
      </c>
      <c r="Y5952">
        <v>20</v>
      </c>
      <c r="Z5952" t="s">
        <v>385</v>
      </c>
      <c r="AA5952" s="3">
        <v>0.3377869725227356</v>
      </c>
      <c r="AB5952" t="s">
        <v>29247</v>
      </c>
      <c r="AC5952" t="s">
        <v>4575</v>
      </c>
      <c r="AD5952" t="s">
        <v>29248</v>
      </c>
      <c r="AE5952" t="s">
        <v>29246</v>
      </c>
      <c r="AF5952" t="s">
        <v>4563</v>
      </c>
      <c r="AG5952" t="s">
        <v>4564</v>
      </c>
      <c r="AH5952" t="s">
        <v>1147</v>
      </c>
      <c r="AI5952" t="s">
        <v>29249</v>
      </c>
      <c r="AJ5952" t="s">
        <v>29250</v>
      </c>
      <c r="AK5952" t="s">
        <v>29251</v>
      </c>
      <c r="AL5952" s="13" t="s">
        <v>1897</v>
      </c>
      <c r="AM5952">
        <v>1</v>
      </c>
      <c r="AN5952" s="15" t="s">
        <v>341</v>
      </c>
    </row>
    <row r="5953" spans="1:40" x14ac:dyDescent="0.3">
      <c r="A5953" s="10" t="str">
        <f>HYPERLINK("http://www.washoecounty.gov/assessor/cama/?parid=208-170-05&amp;CardNumber=1","208-170-05")</f>
        <v>208-170-05</v>
      </c>
      <c r="B5953" t="s">
        <v>4655</v>
      </c>
      <c r="C5953" t="s">
        <v>29252</v>
      </c>
      <c r="D5953" s="1">
        <v>40465</v>
      </c>
      <c r="E5953" s="2">
        <v>329900</v>
      </c>
      <c r="F5953" t="s">
        <v>4553</v>
      </c>
      <c r="G5953" s="17" t="str">
        <f>HYPERLINK("https://www.washoecounty.gov/assessor/cama/?command=sales&amp;parid=20817005","3933079")</f>
        <v>3933079</v>
      </c>
      <c r="H5953" t="s">
        <v>1872</v>
      </c>
      <c r="I5953">
        <v>2002</v>
      </c>
      <c r="J5953">
        <v>2002</v>
      </c>
      <c r="K5953" t="s">
        <v>4554</v>
      </c>
      <c r="L5953" t="s">
        <v>4555</v>
      </c>
      <c r="M5953" s="2">
        <v>2334</v>
      </c>
      <c r="N5953" t="s">
        <v>3147</v>
      </c>
      <c r="O5953">
        <v>4</v>
      </c>
      <c r="P5953">
        <v>2</v>
      </c>
      <c r="Q5953">
        <v>1</v>
      </c>
      <c r="R5953" t="s">
        <v>5281</v>
      </c>
      <c r="S5953" t="s">
        <v>4898</v>
      </c>
      <c r="T5953" t="s">
        <v>2704</v>
      </c>
      <c r="U5953" t="s">
        <v>4560</v>
      </c>
      <c r="V5953" s="2">
        <v>597</v>
      </c>
      <c r="W5953" t="s">
        <v>4655</v>
      </c>
      <c r="X5953" s="2">
        <v>0</v>
      </c>
      <c r="Y5953">
        <v>20</v>
      </c>
      <c r="Z5953" t="s">
        <v>385</v>
      </c>
      <c r="AA5953" s="3">
        <v>0.32015609741210899</v>
      </c>
      <c r="AB5953" t="s">
        <v>29253</v>
      </c>
      <c r="AC5953" t="s">
        <v>4562</v>
      </c>
      <c r="AD5953" t="s">
        <v>29254</v>
      </c>
      <c r="AE5953" t="s">
        <v>4655</v>
      </c>
      <c r="AF5953" t="s">
        <v>4563</v>
      </c>
      <c r="AG5953" t="s">
        <v>4564</v>
      </c>
      <c r="AH5953" t="s">
        <v>1147</v>
      </c>
      <c r="AI5953" t="s">
        <v>4503</v>
      </c>
      <c r="AJ5953" t="s">
        <v>29255</v>
      </c>
      <c r="AK5953" t="s">
        <v>29256</v>
      </c>
      <c r="AL5953" s="13" t="s">
        <v>1897</v>
      </c>
      <c r="AM5953">
        <v>1</v>
      </c>
      <c r="AN5953" s="15" t="s">
        <v>341</v>
      </c>
    </row>
    <row r="5954" spans="1:40" x14ac:dyDescent="0.3">
      <c r="A5954" s="10" t="str">
        <f>HYPERLINK("http://www.washoecounty.gov/assessor/cama/?parid=208-170-12&amp;CardNumber=1","208-170-12")</f>
        <v>208-170-12</v>
      </c>
      <c r="B5954" t="s">
        <v>4655</v>
      </c>
      <c r="C5954" t="s">
        <v>29257</v>
      </c>
      <c r="D5954" s="1">
        <v>40203</v>
      </c>
      <c r="E5954" s="2">
        <v>300000</v>
      </c>
      <c r="F5954" t="s">
        <v>4567</v>
      </c>
      <c r="G5954" s="17" t="str">
        <f>HYPERLINK("https://www.washoecounty.gov/assessor/cama/?command=sales&amp;parid=20817012","3842302")</f>
        <v>3842302</v>
      </c>
      <c r="H5954" t="s">
        <v>1872</v>
      </c>
      <c r="I5954">
        <v>2002</v>
      </c>
      <c r="J5954">
        <v>2002</v>
      </c>
      <c r="K5954" t="s">
        <v>4554</v>
      </c>
      <c r="L5954" t="s">
        <v>3974</v>
      </c>
      <c r="M5954" s="2">
        <v>3084</v>
      </c>
      <c r="N5954" t="s">
        <v>3147</v>
      </c>
      <c r="O5954">
        <v>3</v>
      </c>
      <c r="P5954">
        <v>2</v>
      </c>
      <c r="Q5954">
        <v>1</v>
      </c>
      <c r="R5954" t="s">
        <v>4557</v>
      </c>
      <c r="S5954" t="s">
        <v>4898</v>
      </c>
      <c r="T5954" t="s">
        <v>2704</v>
      </c>
      <c r="U5954" t="s">
        <v>4560</v>
      </c>
      <c r="V5954" s="2">
        <v>850</v>
      </c>
      <c r="W5954" t="s">
        <v>4655</v>
      </c>
      <c r="X5954" s="2">
        <v>0</v>
      </c>
      <c r="Y5954">
        <v>20</v>
      </c>
      <c r="Z5954" t="s">
        <v>385</v>
      </c>
      <c r="AA5954" s="3">
        <v>0.34685492515563965</v>
      </c>
      <c r="AB5954" t="s">
        <v>29258</v>
      </c>
      <c r="AC5954" t="s">
        <v>4562</v>
      </c>
      <c r="AD5954" t="s">
        <v>29257</v>
      </c>
      <c r="AE5954" t="s">
        <v>4655</v>
      </c>
      <c r="AF5954" t="s">
        <v>4563</v>
      </c>
      <c r="AG5954" t="s">
        <v>4564</v>
      </c>
      <c r="AH5954" t="s">
        <v>1147</v>
      </c>
      <c r="AI5954" t="s">
        <v>29259</v>
      </c>
      <c r="AJ5954" t="s">
        <v>29260</v>
      </c>
      <c r="AK5954" t="s">
        <v>29261</v>
      </c>
      <c r="AL5954" s="13" t="s">
        <v>1897</v>
      </c>
      <c r="AM5954" s="14">
        <v>1</v>
      </c>
      <c r="AN5954" s="15" t="s">
        <v>341</v>
      </c>
    </row>
    <row r="5955" spans="1:40" x14ac:dyDescent="0.3">
      <c r="A5955" s="10" t="str">
        <f>HYPERLINK("http://www.washoecounty.gov/assessor/cama/?parid=208-190-08&amp;CardNumber=1","208-190-08")</f>
        <v>208-190-08</v>
      </c>
      <c r="B5955" t="s">
        <v>4655</v>
      </c>
      <c r="C5955" t="s">
        <v>29262</v>
      </c>
      <c r="D5955" s="1">
        <v>40326</v>
      </c>
      <c r="E5955" s="2">
        <v>220000</v>
      </c>
      <c r="F5955" t="s">
        <v>4567</v>
      </c>
      <c r="G5955" s="17" t="str">
        <f>HYPERLINK("https://www.washoecounty.gov/assessor/cama/?command=sales&amp;parid=20819008","3886513")</f>
        <v>3886513</v>
      </c>
      <c r="H5955" t="s">
        <v>4171</v>
      </c>
      <c r="I5955">
        <v>2000</v>
      </c>
      <c r="J5955">
        <v>2000</v>
      </c>
      <c r="K5955" t="s">
        <v>4554</v>
      </c>
      <c r="L5955" t="s">
        <v>4555</v>
      </c>
      <c r="M5955" s="2">
        <v>1708</v>
      </c>
      <c r="N5955" t="s">
        <v>3147</v>
      </c>
      <c r="O5955">
        <v>3</v>
      </c>
      <c r="P5955">
        <v>2</v>
      </c>
      <c r="Q5955">
        <v>0</v>
      </c>
      <c r="R5955" t="s">
        <v>4557</v>
      </c>
      <c r="S5955" t="s">
        <v>4558</v>
      </c>
      <c r="T5955" t="s">
        <v>4559</v>
      </c>
      <c r="U5955" t="s">
        <v>4560</v>
      </c>
      <c r="V5955" s="2">
        <v>610</v>
      </c>
      <c r="W5955" t="s">
        <v>4655</v>
      </c>
      <c r="X5955" s="2">
        <v>0</v>
      </c>
      <c r="Y5955">
        <v>20</v>
      </c>
      <c r="Z5955" t="s">
        <v>4561</v>
      </c>
      <c r="AA5955" s="3">
        <v>0.146992653608322</v>
      </c>
      <c r="AB5955" t="s">
        <v>28563</v>
      </c>
      <c r="AC5955" t="s">
        <v>4575</v>
      </c>
      <c r="AD5955" t="s">
        <v>3177</v>
      </c>
      <c r="AE5955" t="s">
        <v>4655</v>
      </c>
      <c r="AF5955" t="s">
        <v>28564</v>
      </c>
      <c r="AG5955" t="s">
        <v>4584</v>
      </c>
      <c r="AH5955">
        <v>96006</v>
      </c>
      <c r="AI5955" t="s">
        <v>29263</v>
      </c>
      <c r="AJ5955" t="s">
        <v>4172</v>
      </c>
      <c r="AK5955" t="s">
        <v>29264</v>
      </c>
      <c r="AL5955" s="13" t="s">
        <v>2255</v>
      </c>
      <c r="AM5955">
        <v>1</v>
      </c>
      <c r="AN5955" s="15" t="s">
        <v>383</v>
      </c>
    </row>
    <row r="5956" spans="1:40" x14ac:dyDescent="0.3">
      <c r="A5956" s="10" t="str">
        <f>HYPERLINK("http://www.washoecounty.gov/assessor/cama/?parid=208-260-02&amp;CardNumber=1","208-260-02")</f>
        <v>208-260-02</v>
      </c>
      <c r="B5956" t="s">
        <v>4655</v>
      </c>
      <c r="C5956" t="s">
        <v>29265</v>
      </c>
      <c r="D5956" s="1">
        <v>40304</v>
      </c>
      <c r="E5956" s="2">
        <v>275000</v>
      </c>
      <c r="F5956" t="s">
        <v>4567</v>
      </c>
      <c r="G5956" s="17" t="str">
        <f>HYPERLINK("https://www.washoecounty.gov/assessor/cama/?command=sales&amp;parid=20826002","3878941")</f>
        <v>3878941</v>
      </c>
      <c r="H5956" t="s">
        <v>3411</v>
      </c>
      <c r="I5956">
        <v>2002</v>
      </c>
      <c r="J5956">
        <v>2002</v>
      </c>
      <c r="K5956" t="s">
        <v>4554</v>
      </c>
      <c r="L5956" t="s">
        <v>4555</v>
      </c>
      <c r="M5956" s="2">
        <v>2045</v>
      </c>
      <c r="N5956" t="s">
        <v>3147</v>
      </c>
      <c r="O5956">
        <v>3</v>
      </c>
      <c r="P5956">
        <v>2</v>
      </c>
      <c r="Q5956">
        <v>0</v>
      </c>
      <c r="R5956" t="s">
        <v>5281</v>
      </c>
      <c r="S5956" t="s">
        <v>4898</v>
      </c>
      <c r="T5956" t="s">
        <v>2704</v>
      </c>
      <c r="U5956" t="s">
        <v>4560</v>
      </c>
      <c r="V5956" s="2">
        <v>577</v>
      </c>
      <c r="W5956" t="s">
        <v>4655</v>
      </c>
      <c r="X5956" s="2">
        <v>0</v>
      </c>
      <c r="Y5956">
        <v>20</v>
      </c>
      <c r="Z5956" t="s">
        <v>385</v>
      </c>
      <c r="AA5956" s="3">
        <v>0.214990824460983</v>
      </c>
      <c r="AB5956" t="s">
        <v>29266</v>
      </c>
      <c r="AC5956" t="s">
        <v>4562</v>
      </c>
      <c r="AD5956" t="s">
        <v>29267</v>
      </c>
      <c r="AE5956" t="s">
        <v>4655</v>
      </c>
      <c r="AF5956" t="s">
        <v>3114</v>
      </c>
      <c r="AG5956" t="s">
        <v>4564</v>
      </c>
      <c r="AH5956" t="s">
        <v>1147</v>
      </c>
      <c r="AI5956" t="s">
        <v>29268</v>
      </c>
      <c r="AJ5956" t="s">
        <v>29269</v>
      </c>
      <c r="AK5956" t="s">
        <v>29270</v>
      </c>
      <c r="AL5956" s="13" t="s">
        <v>2255</v>
      </c>
      <c r="AM5956">
        <v>1</v>
      </c>
      <c r="AN5956" s="15" t="s">
        <v>341</v>
      </c>
    </row>
    <row r="5957" spans="1:40" x14ac:dyDescent="0.3">
      <c r="A5957" s="10" t="str">
        <f>HYPERLINK("http://www.washoecounty.gov/assessor/cama/?parid=208-260-10&amp;CardNumber=1","208-260-10")</f>
        <v>208-260-10</v>
      </c>
      <c r="B5957" t="s">
        <v>4655</v>
      </c>
      <c r="C5957" t="s">
        <v>29271</v>
      </c>
      <c r="D5957" s="1">
        <v>40319</v>
      </c>
      <c r="E5957" s="2">
        <v>390000</v>
      </c>
      <c r="F5957" t="s">
        <v>4567</v>
      </c>
      <c r="G5957" s="17" t="str">
        <f>HYPERLINK("https://www.washoecounty.gov/assessor/cama/?command=sales&amp;parid=20826010","3883992")</f>
        <v>3883992</v>
      </c>
      <c r="H5957" t="s">
        <v>3411</v>
      </c>
      <c r="I5957">
        <v>2001</v>
      </c>
      <c r="J5957">
        <v>2001</v>
      </c>
      <c r="K5957" t="s">
        <v>4554</v>
      </c>
      <c r="L5957" t="s">
        <v>3974</v>
      </c>
      <c r="M5957" s="2">
        <v>3127</v>
      </c>
      <c r="N5957" t="s">
        <v>3147</v>
      </c>
      <c r="O5957">
        <v>5</v>
      </c>
      <c r="P5957">
        <v>3</v>
      </c>
      <c r="Q5957">
        <v>1</v>
      </c>
      <c r="R5957" t="s">
        <v>4557</v>
      </c>
      <c r="S5957" t="s">
        <v>4898</v>
      </c>
      <c r="T5957" t="s">
        <v>2704</v>
      </c>
      <c r="U5957" t="s">
        <v>4560</v>
      </c>
      <c r="V5957" s="2">
        <v>686</v>
      </c>
      <c r="W5957" t="s">
        <v>4655</v>
      </c>
      <c r="X5957" s="2">
        <v>0</v>
      </c>
      <c r="Y5957">
        <v>20</v>
      </c>
      <c r="Z5957" t="s">
        <v>385</v>
      </c>
      <c r="AA5957" s="3">
        <v>0.29212579131126398</v>
      </c>
      <c r="AB5957" t="s">
        <v>29272</v>
      </c>
      <c r="AC5957" t="s">
        <v>4562</v>
      </c>
      <c r="AD5957" t="s">
        <v>29271</v>
      </c>
      <c r="AE5957" t="s">
        <v>4655</v>
      </c>
      <c r="AF5957" t="s">
        <v>4563</v>
      </c>
      <c r="AG5957" t="s">
        <v>4564</v>
      </c>
      <c r="AH5957" t="s">
        <v>1147</v>
      </c>
      <c r="AI5957" t="s">
        <v>29273</v>
      </c>
      <c r="AJ5957" t="s">
        <v>29274</v>
      </c>
      <c r="AK5957" t="s">
        <v>29275</v>
      </c>
      <c r="AL5957" s="13" t="s">
        <v>1896</v>
      </c>
      <c r="AM5957">
        <v>1</v>
      </c>
      <c r="AN5957" s="15" t="s">
        <v>341</v>
      </c>
    </row>
    <row r="5958" spans="1:40" x14ac:dyDescent="0.3">
      <c r="A5958" s="10" t="str">
        <f>HYPERLINK("http://www.washoecounty.gov/assessor/cama/?parid=208-272-12&amp;CardNumber=1","208-272-12")</f>
        <v>208-272-12</v>
      </c>
      <c r="B5958" t="s">
        <v>4655</v>
      </c>
      <c r="C5958" t="s">
        <v>29276</v>
      </c>
      <c r="D5958" s="1">
        <v>40214</v>
      </c>
      <c r="E5958" s="2">
        <v>273500</v>
      </c>
      <c r="F5958" t="s">
        <v>4567</v>
      </c>
      <c r="G5958" s="17" t="str">
        <f>HYPERLINK("https://www.washoecounty.gov/assessor/cama/?command=sales&amp;parid=20827212","3846625")</f>
        <v>3846625</v>
      </c>
      <c r="H5958" t="s">
        <v>29277</v>
      </c>
      <c r="I5958">
        <v>2002</v>
      </c>
      <c r="J5958">
        <v>2002</v>
      </c>
      <c r="K5958" t="s">
        <v>4554</v>
      </c>
      <c r="L5958" t="s">
        <v>4555</v>
      </c>
      <c r="M5958" s="2">
        <v>2045</v>
      </c>
      <c r="N5958" t="s">
        <v>3147</v>
      </c>
      <c r="O5958">
        <v>3</v>
      </c>
      <c r="P5958">
        <v>2</v>
      </c>
      <c r="Q5958">
        <v>0</v>
      </c>
      <c r="R5958" t="s">
        <v>5281</v>
      </c>
      <c r="S5958" t="s">
        <v>4898</v>
      </c>
      <c r="T5958" t="s">
        <v>2704</v>
      </c>
      <c r="U5958" t="s">
        <v>4560</v>
      </c>
      <c r="V5958" s="2">
        <v>577</v>
      </c>
      <c r="W5958" t="s">
        <v>4655</v>
      </c>
      <c r="X5958" s="2">
        <v>0</v>
      </c>
      <c r="Y5958">
        <v>20</v>
      </c>
      <c r="Z5958" t="s">
        <v>385</v>
      </c>
      <c r="AA5958" s="3">
        <v>0.26104223728179898</v>
      </c>
      <c r="AB5958" t="s">
        <v>29278</v>
      </c>
      <c r="AC5958" t="s">
        <v>4575</v>
      </c>
      <c r="AD5958" t="s">
        <v>29276</v>
      </c>
      <c r="AE5958" t="s">
        <v>4655</v>
      </c>
      <c r="AF5958" t="s">
        <v>4563</v>
      </c>
      <c r="AG5958" t="s">
        <v>4564</v>
      </c>
      <c r="AH5958" t="s">
        <v>1147</v>
      </c>
      <c r="AI5958" t="s">
        <v>29279</v>
      </c>
      <c r="AJ5958" t="s">
        <v>29280</v>
      </c>
      <c r="AK5958" t="s">
        <v>29281</v>
      </c>
      <c r="AL5958" s="13" t="s">
        <v>2255</v>
      </c>
      <c r="AM5958">
        <v>1</v>
      </c>
      <c r="AN5958" s="15" t="s">
        <v>341</v>
      </c>
    </row>
    <row r="5959" spans="1:40" x14ac:dyDescent="0.3">
      <c r="A5959" s="10" t="str">
        <f>HYPERLINK("http://www.washoecounty.gov/assessor/cama/?parid=208-311-13&amp;CardNumber=1","208-311-13")</f>
        <v>208-311-13</v>
      </c>
      <c r="B5959" t="s">
        <v>4655</v>
      </c>
      <c r="C5959" t="s">
        <v>29282</v>
      </c>
      <c r="D5959" s="1">
        <v>40492</v>
      </c>
      <c r="E5959" s="2">
        <v>155000</v>
      </c>
      <c r="F5959" t="s">
        <v>4567</v>
      </c>
      <c r="G5959" s="17" t="str">
        <f>HYPERLINK("https://www.washoecounty.gov/assessor/cama/?command=sales&amp;parid=20831113","3941636")</f>
        <v>3941636</v>
      </c>
      <c r="H5959" t="s">
        <v>4247</v>
      </c>
      <c r="I5959">
        <v>2000</v>
      </c>
      <c r="J5959">
        <v>2000</v>
      </c>
      <c r="K5959" t="s">
        <v>4554</v>
      </c>
      <c r="L5959" t="s">
        <v>4555</v>
      </c>
      <c r="M5959" s="2">
        <v>1263</v>
      </c>
      <c r="N5959" t="s">
        <v>5280</v>
      </c>
      <c r="O5959">
        <v>3</v>
      </c>
      <c r="P5959">
        <v>2</v>
      </c>
      <c r="Q5959">
        <v>0</v>
      </c>
      <c r="R5959" t="s">
        <v>4557</v>
      </c>
      <c r="S5959" t="s">
        <v>4558</v>
      </c>
      <c r="T5959" t="s">
        <v>4559</v>
      </c>
      <c r="U5959" t="s">
        <v>4560</v>
      </c>
      <c r="V5959" s="2">
        <v>454</v>
      </c>
      <c r="W5959" t="s">
        <v>4655</v>
      </c>
      <c r="X5959" s="2">
        <v>0</v>
      </c>
      <c r="Y5959">
        <v>20</v>
      </c>
      <c r="Z5959" t="s">
        <v>4351</v>
      </c>
      <c r="AA5959" s="3">
        <v>0.17006428539752999</v>
      </c>
      <c r="AB5959" t="s">
        <v>29283</v>
      </c>
      <c r="AC5959" t="s">
        <v>4562</v>
      </c>
      <c r="AD5959" t="s">
        <v>29282</v>
      </c>
      <c r="AE5959" t="s">
        <v>4655</v>
      </c>
      <c r="AF5959" t="s">
        <v>4563</v>
      </c>
      <c r="AG5959" t="s">
        <v>4564</v>
      </c>
      <c r="AH5959" t="s">
        <v>1147</v>
      </c>
      <c r="AI5959" t="s">
        <v>29284</v>
      </c>
      <c r="AJ5959" t="s">
        <v>29285</v>
      </c>
      <c r="AK5959" t="s">
        <v>29286</v>
      </c>
      <c r="AL5959" s="13" t="s">
        <v>1896</v>
      </c>
      <c r="AM5959" s="14">
        <v>1</v>
      </c>
      <c r="AN5959" s="15" t="s">
        <v>3712</v>
      </c>
    </row>
    <row r="5960" spans="1:40" x14ac:dyDescent="0.3">
      <c r="A5960" s="10" t="str">
        <f>HYPERLINK("http://www.washoecounty.gov/assessor/cama/?parid=208-311-33&amp;CardNumber=1","208-311-33")</f>
        <v>208-311-33</v>
      </c>
      <c r="B5960" t="s">
        <v>4655</v>
      </c>
      <c r="C5960" t="s">
        <v>29287</v>
      </c>
      <c r="D5960" s="1">
        <v>40395</v>
      </c>
      <c r="E5960" s="2">
        <v>165000</v>
      </c>
      <c r="F5960" t="s">
        <v>4567</v>
      </c>
      <c r="G5960" s="17" t="str">
        <f>HYPERLINK("https://www.washoecounty.gov/assessor/cama/?command=sales&amp;parid=20831133","3909168")</f>
        <v>3909168</v>
      </c>
      <c r="H5960" t="s">
        <v>29288</v>
      </c>
      <c r="I5960">
        <v>1999</v>
      </c>
      <c r="J5960">
        <v>1999</v>
      </c>
      <c r="K5960" t="s">
        <v>4554</v>
      </c>
      <c r="L5960" t="s">
        <v>4555</v>
      </c>
      <c r="M5960" s="2">
        <v>1263</v>
      </c>
      <c r="N5960" t="s">
        <v>5280</v>
      </c>
      <c r="O5960">
        <v>3</v>
      </c>
      <c r="P5960">
        <v>2</v>
      </c>
      <c r="Q5960">
        <v>0</v>
      </c>
      <c r="R5960" t="s">
        <v>4557</v>
      </c>
      <c r="S5960" t="s">
        <v>4558</v>
      </c>
      <c r="T5960" t="s">
        <v>4559</v>
      </c>
      <c r="U5960" t="s">
        <v>4560</v>
      </c>
      <c r="V5960" s="2">
        <v>454</v>
      </c>
      <c r="W5960" t="s">
        <v>4655</v>
      </c>
      <c r="X5960" s="2">
        <v>0</v>
      </c>
      <c r="Y5960">
        <v>20</v>
      </c>
      <c r="Z5960" t="s">
        <v>4351</v>
      </c>
      <c r="AA5960" s="3">
        <v>0.25236454606056202</v>
      </c>
      <c r="AB5960" t="s">
        <v>29289</v>
      </c>
      <c r="AC5960" t="s">
        <v>4562</v>
      </c>
      <c r="AD5960" t="s">
        <v>29287</v>
      </c>
      <c r="AE5960" t="s">
        <v>4655</v>
      </c>
      <c r="AF5960" t="s">
        <v>4563</v>
      </c>
      <c r="AG5960" t="s">
        <v>4564</v>
      </c>
      <c r="AH5960" t="s">
        <v>1147</v>
      </c>
      <c r="AI5960" t="s">
        <v>29290</v>
      </c>
      <c r="AJ5960" t="s">
        <v>29291</v>
      </c>
      <c r="AK5960" t="s">
        <v>29292</v>
      </c>
      <c r="AL5960" s="13" t="s">
        <v>1896</v>
      </c>
      <c r="AM5960">
        <v>1</v>
      </c>
      <c r="AN5960" s="15" t="s">
        <v>3712</v>
      </c>
    </row>
    <row r="5961" spans="1:40" x14ac:dyDescent="0.3">
      <c r="A5961" s="10" t="str">
        <f>HYPERLINK("http://www.washoecounty.gov/assessor/cama/?parid=208-342-02&amp;CardNumber=1","208-342-02")</f>
        <v>208-342-02</v>
      </c>
      <c r="B5961" t="s">
        <v>4655</v>
      </c>
      <c r="C5961" t="s">
        <v>29293</v>
      </c>
      <c r="D5961" s="1">
        <v>40192</v>
      </c>
      <c r="E5961" s="2">
        <v>274000</v>
      </c>
      <c r="F5961" t="s">
        <v>4567</v>
      </c>
      <c r="G5961" s="17" t="str">
        <f>HYPERLINK("https://www.washoecounty.gov/assessor/cama/?command=sales&amp;parid=20834202","3839387")</f>
        <v>3839387</v>
      </c>
      <c r="H5961" t="s">
        <v>29294</v>
      </c>
      <c r="I5961">
        <v>2000</v>
      </c>
      <c r="J5961">
        <v>2000</v>
      </c>
      <c r="K5961" t="s">
        <v>4554</v>
      </c>
      <c r="L5961" t="s">
        <v>3974</v>
      </c>
      <c r="M5961" s="2">
        <v>2277</v>
      </c>
      <c r="N5961" t="s">
        <v>3147</v>
      </c>
      <c r="O5961">
        <v>3</v>
      </c>
      <c r="P5961">
        <v>2</v>
      </c>
      <c r="Q5961">
        <v>1</v>
      </c>
      <c r="R5961" t="s">
        <v>5281</v>
      </c>
      <c r="S5961" t="s">
        <v>4558</v>
      </c>
      <c r="T5961" t="s">
        <v>4559</v>
      </c>
      <c r="U5961" t="s">
        <v>4560</v>
      </c>
      <c r="V5961" s="2">
        <v>610</v>
      </c>
      <c r="W5961" t="s">
        <v>4655</v>
      </c>
      <c r="X5961" s="2">
        <v>0</v>
      </c>
      <c r="Y5961">
        <v>20</v>
      </c>
      <c r="Z5961" t="s">
        <v>4561</v>
      </c>
      <c r="AA5961" s="3">
        <v>0.23106060922145799</v>
      </c>
      <c r="AB5961" t="s">
        <v>29295</v>
      </c>
      <c r="AC5961" t="s">
        <v>4562</v>
      </c>
      <c r="AD5961" t="s">
        <v>29293</v>
      </c>
      <c r="AE5961" t="s">
        <v>4655</v>
      </c>
      <c r="AF5961" t="s">
        <v>4563</v>
      </c>
      <c r="AG5961" t="s">
        <v>4564</v>
      </c>
      <c r="AH5961" t="s">
        <v>1147</v>
      </c>
      <c r="AI5961" t="s">
        <v>29296</v>
      </c>
      <c r="AJ5961" t="s">
        <v>29297</v>
      </c>
      <c r="AK5961" t="s">
        <v>29298</v>
      </c>
      <c r="AL5961" s="13" t="s">
        <v>2255</v>
      </c>
      <c r="AM5961">
        <v>1</v>
      </c>
      <c r="AN5961" s="15" t="s">
        <v>383</v>
      </c>
    </row>
    <row r="5962" spans="1:40" x14ac:dyDescent="0.3">
      <c r="A5962" s="10" t="str">
        <f>HYPERLINK("http://www.washoecounty.gov/assessor/cama/?parid=208-361-08&amp;CardNumber=1","208-361-08")</f>
        <v>208-361-08</v>
      </c>
      <c r="B5962" t="s">
        <v>4655</v>
      </c>
      <c r="C5962" t="s">
        <v>29299</v>
      </c>
      <c r="D5962" s="1">
        <v>40459</v>
      </c>
      <c r="E5962" s="2">
        <v>255000</v>
      </c>
      <c r="F5962" t="s">
        <v>4553</v>
      </c>
      <c r="G5962" s="17" t="str">
        <f>HYPERLINK("https://www.washoecounty.gov/assessor/cama/?command=sales&amp;parid=20836108","3931308")</f>
        <v>3931308</v>
      </c>
      <c r="H5962" t="s">
        <v>3829</v>
      </c>
      <c r="I5962">
        <v>2003</v>
      </c>
      <c r="J5962">
        <v>2003</v>
      </c>
      <c r="K5962" t="s">
        <v>4554</v>
      </c>
      <c r="L5962" t="s">
        <v>4555</v>
      </c>
      <c r="M5962" s="2">
        <v>2045</v>
      </c>
      <c r="N5962" t="s">
        <v>3147</v>
      </c>
      <c r="O5962">
        <v>3</v>
      </c>
      <c r="P5962">
        <v>2</v>
      </c>
      <c r="Q5962">
        <v>0</v>
      </c>
      <c r="R5962" t="s">
        <v>5281</v>
      </c>
      <c r="S5962" t="s">
        <v>4898</v>
      </c>
      <c r="T5962" t="s">
        <v>2704</v>
      </c>
      <c r="U5962" t="s">
        <v>4560</v>
      </c>
      <c r="V5962" s="2">
        <v>577</v>
      </c>
      <c r="W5962" t="s">
        <v>4655</v>
      </c>
      <c r="X5962" s="2">
        <v>0</v>
      </c>
      <c r="Y5962">
        <v>20</v>
      </c>
      <c r="Z5962" t="s">
        <v>385</v>
      </c>
      <c r="AA5962" s="3">
        <v>0.36609274148941001</v>
      </c>
      <c r="AB5962" t="s">
        <v>29300</v>
      </c>
      <c r="AC5962" t="s">
        <v>4562</v>
      </c>
      <c r="AD5962" t="s">
        <v>29299</v>
      </c>
      <c r="AE5962" t="s">
        <v>4655</v>
      </c>
      <c r="AF5962" t="s">
        <v>4563</v>
      </c>
      <c r="AG5962" t="s">
        <v>4564</v>
      </c>
      <c r="AH5962" t="s">
        <v>1147</v>
      </c>
      <c r="AI5962" t="s">
        <v>4565</v>
      </c>
      <c r="AJ5962" t="s">
        <v>29301</v>
      </c>
      <c r="AK5962" t="s">
        <v>29302</v>
      </c>
      <c r="AL5962" s="13" t="s">
        <v>1897</v>
      </c>
      <c r="AM5962">
        <v>1</v>
      </c>
      <c r="AN5962" s="15" t="s">
        <v>341</v>
      </c>
    </row>
    <row r="5963" spans="1:40" x14ac:dyDescent="0.3">
      <c r="A5963" s="10" t="str">
        <f>HYPERLINK("http://www.washoecounty.gov/assessor/cama/?parid=208-361-14&amp;CardNumber=1","208-361-14")</f>
        <v>208-361-14</v>
      </c>
      <c r="B5963" t="s">
        <v>4655</v>
      </c>
      <c r="C5963" t="s">
        <v>29303</v>
      </c>
      <c r="D5963" s="1">
        <v>40263</v>
      </c>
      <c r="E5963" s="2">
        <v>291600</v>
      </c>
      <c r="F5963" t="s">
        <v>4553</v>
      </c>
      <c r="G5963" s="17" t="str">
        <f>HYPERLINK("https://www.washoecounty.gov/assessor/cama/?command=sales&amp;parid=20836114","3864246")</f>
        <v>3864246</v>
      </c>
      <c r="H5963" t="s">
        <v>3829</v>
      </c>
      <c r="I5963">
        <v>2003</v>
      </c>
      <c r="J5963">
        <v>2003</v>
      </c>
      <c r="K5963" t="s">
        <v>4554</v>
      </c>
      <c r="L5963" t="s">
        <v>4555</v>
      </c>
      <c r="M5963" s="2">
        <v>2334</v>
      </c>
      <c r="N5963" t="s">
        <v>3147</v>
      </c>
      <c r="O5963">
        <v>4</v>
      </c>
      <c r="P5963">
        <v>2</v>
      </c>
      <c r="Q5963">
        <v>1</v>
      </c>
      <c r="R5963" t="s">
        <v>4557</v>
      </c>
      <c r="S5963" t="s">
        <v>4898</v>
      </c>
      <c r="T5963" t="s">
        <v>2704</v>
      </c>
      <c r="U5963" t="s">
        <v>4560</v>
      </c>
      <c r="V5963" s="2">
        <v>597</v>
      </c>
      <c r="W5963" t="s">
        <v>4655</v>
      </c>
      <c r="X5963" s="2">
        <v>0</v>
      </c>
      <c r="Y5963">
        <v>20</v>
      </c>
      <c r="Z5963" t="s">
        <v>385</v>
      </c>
      <c r="AA5963" s="3">
        <v>0.23668503761291501</v>
      </c>
      <c r="AB5963" t="s">
        <v>29304</v>
      </c>
      <c r="AC5963" t="s">
        <v>4562</v>
      </c>
      <c r="AD5963" t="s">
        <v>29303</v>
      </c>
      <c r="AE5963" t="s">
        <v>4655</v>
      </c>
      <c r="AF5963" t="s">
        <v>4563</v>
      </c>
      <c r="AG5963" t="s">
        <v>4564</v>
      </c>
      <c r="AH5963" t="s">
        <v>1147</v>
      </c>
      <c r="AI5963" t="s">
        <v>2009</v>
      </c>
      <c r="AJ5963" t="s">
        <v>29305</v>
      </c>
      <c r="AK5963" t="s">
        <v>29306</v>
      </c>
      <c r="AL5963" s="13" t="s">
        <v>1897</v>
      </c>
      <c r="AM5963">
        <v>1</v>
      </c>
      <c r="AN5963" s="15" t="s">
        <v>341</v>
      </c>
    </row>
    <row r="5964" spans="1:40" x14ac:dyDescent="0.3">
      <c r="A5964" s="10" t="str">
        <f>HYPERLINK("http://www.washoecounty.gov/assessor/cama/?parid=208-362-11&amp;CardNumber=1","208-362-11")</f>
        <v>208-362-11</v>
      </c>
      <c r="B5964" t="s">
        <v>4655</v>
      </c>
      <c r="C5964" t="s">
        <v>29307</v>
      </c>
      <c r="D5964" s="1">
        <v>40352</v>
      </c>
      <c r="E5964" s="2">
        <v>350000</v>
      </c>
      <c r="F5964" t="s">
        <v>4567</v>
      </c>
      <c r="G5964" s="17" t="str">
        <f>HYPERLINK("https://www.washoecounty.gov/assessor/cama/?command=sales&amp;parid=20836211","3894824")</f>
        <v>3894824</v>
      </c>
      <c r="H5964" t="s">
        <v>3829</v>
      </c>
      <c r="I5964">
        <v>2003</v>
      </c>
      <c r="J5964">
        <v>2003</v>
      </c>
      <c r="K5964" t="s">
        <v>4554</v>
      </c>
      <c r="L5964" t="s">
        <v>3974</v>
      </c>
      <c r="M5964" s="2">
        <v>3127</v>
      </c>
      <c r="N5964" t="s">
        <v>3147</v>
      </c>
      <c r="O5964">
        <v>4</v>
      </c>
      <c r="P5964">
        <v>3</v>
      </c>
      <c r="Q5964">
        <v>1</v>
      </c>
      <c r="R5964" t="s">
        <v>4557</v>
      </c>
      <c r="S5964" t="s">
        <v>4898</v>
      </c>
      <c r="T5964" t="s">
        <v>2704</v>
      </c>
      <c r="U5964" t="s">
        <v>4560</v>
      </c>
      <c r="V5964" s="2">
        <v>668</v>
      </c>
      <c r="W5964" t="s">
        <v>4655</v>
      </c>
      <c r="X5964" s="2">
        <v>0</v>
      </c>
      <c r="Y5964">
        <v>20</v>
      </c>
      <c r="Z5964" t="s">
        <v>385</v>
      </c>
      <c r="AA5964" s="3">
        <v>0.48193296790123002</v>
      </c>
      <c r="AB5964" t="s">
        <v>29308</v>
      </c>
      <c r="AC5964" t="s">
        <v>4562</v>
      </c>
      <c r="AD5964" t="s">
        <v>29307</v>
      </c>
      <c r="AE5964" t="s">
        <v>4655</v>
      </c>
      <c r="AF5964" t="s">
        <v>4563</v>
      </c>
      <c r="AG5964" t="s">
        <v>4564</v>
      </c>
      <c r="AH5964" t="s">
        <v>1147</v>
      </c>
      <c r="AI5964" t="s">
        <v>29309</v>
      </c>
      <c r="AJ5964" t="s">
        <v>29310</v>
      </c>
      <c r="AK5964" t="s">
        <v>29311</v>
      </c>
      <c r="AL5964" s="13" t="s">
        <v>1897</v>
      </c>
      <c r="AM5964">
        <v>1</v>
      </c>
      <c r="AN5964" s="15" t="s">
        <v>341</v>
      </c>
    </row>
    <row r="5965" spans="1:40" x14ac:dyDescent="0.3">
      <c r="A5965" s="10" t="str">
        <f>HYPERLINK("http://www.washoecounty.gov/assessor/cama/?parid=208-373-02&amp;CardNumber=1","208-373-02")</f>
        <v>208-373-02</v>
      </c>
      <c r="B5965" t="s">
        <v>4655</v>
      </c>
      <c r="C5965" t="s">
        <v>29312</v>
      </c>
      <c r="D5965" s="1">
        <v>40365</v>
      </c>
      <c r="E5965" s="2">
        <v>256000</v>
      </c>
      <c r="F5965" t="s">
        <v>4553</v>
      </c>
      <c r="G5965" s="17" t="str">
        <f>HYPERLINK("https://www.washoecounty.gov/assessor/cama/?command=sales&amp;parid=20837302","3898692")</f>
        <v>3898692</v>
      </c>
      <c r="H5965" t="s">
        <v>1083</v>
      </c>
      <c r="I5965">
        <v>2001</v>
      </c>
      <c r="J5965">
        <v>2001</v>
      </c>
      <c r="K5965" t="s">
        <v>4554</v>
      </c>
      <c r="L5965" t="s">
        <v>3974</v>
      </c>
      <c r="M5965" s="2">
        <v>2781</v>
      </c>
      <c r="N5965" t="s">
        <v>3147</v>
      </c>
      <c r="O5965">
        <v>4</v>
      </c>
      <c r="P5965">
        <v>3</v>
      </c>
      <c r="Q5965">
        <v>0</v>
      </c>
      <c r="R5965" t="s">
        <v>5281</v>
      </c>
      <c r="S5965" t="s">
        <v>4558</v>
      </c>
      <c r="T5965" t="s">
        <v>4559</v>
      </c>
      <c r="U5965" t="s">
        <v>5631</v>
      </c>
      <c r="V5965" s="2">
        <v>587</v>
      </c>
      <c r="W5965" t="s">
        <v>4655</v>
      </c>
      <c r="X5965" s="2">
        <v>0</v>
      </c>
      <c r="Y5965">
        <v>20</v>
      </c>
      <c r="Z5965" t="s">
        <v>4561</v>
      </c>
      <c r="AA5965" s="3">
        <v>0.226584017276764</v>
      </c>
      <c r="AB5965" t="s">
        <v>29313</v>
      </c>
      <c r="AC5965" t="s">
        <v>4575</v>
      </c>
      <c r="AD5965" t="s">
        <v>29314</v>
      </c>
      <c r="AE5965" t="s">
        <v>4655</v>
      </c>
      <c r="AF5965" t="s">
        <v>3890</v>
      </c>
      <c r="AG5965" t="s">
        <v>4564</v>
      </c>
      <c r="AH5965" t="s">
        <v>3891</v>
      </c>
      <c r="AI5965" t="s">
        <v>2351</v>
      </c>
      <c r="AJ5965" t="s">
        <v>29315</v>
      </c>
      <c r="AK5965" t="s">
        <v>29316</v>
      </c>
      <c r="AL5965" s="13" t="s">
        <v>2255</v>
      </c>
      <c r="AM5965">
        <v>1</v>
      </c>
      <c r="AN5965" s="15" t="s">
        <v>383</v>
      </c>
    </row>
    <row r="5966" spans="1:40" x14ac:dyDescent="0.3">
      <c r="A5966" s="10" t="str">
        <f>HYPERLINK("http://www.washoecounty.gov/assessor/cama/?parid=208-401-01&amp;CardNumber=1","208-401-01")</f>
        <v>208-401-01</v>
      </c>
      <c r="B5966" t="s">
        <v>4655</v>
      </c>
      <c r="C5966" t="s">
        <v>29317</v>
      </c>
      <c r="D5966" s="1">
        <v>40529</v>
      </c>
      <c r="E5966" s="2">
        <v>169000</v>
      </c>
      <c r="F5966" t="s">
        <v>4553</v>
      </c>
      <c r="G5966" s="17" t="str">
        <f>HYPERLINK("https://www.washoecounty.gov/assessor/cama/?command=sales&amp;parid=20840101","3955141")</f>
        <v>3955141</v>
      </c>
      <c r="H5966" t="s">
        <v>29318</v>
      </c>
      <c r="I5966">
        <v>2001</v>
      </c>
      <c r="J5966">
        <v>2001</v>
      </c>
      <c r="K5966" t="s">
        <v>4554</v>
      </c>
      <c r="L5966" t="s">
        <v>4555</v>
      </c>
      <c r="M5966" s="2">
        <v>1263</v>
      </c>
      <c r="N5966" t="s">
        <v>5280</v>
      </c>
      <c r="O5966">
        <v>3</v>
      </c>
      <c r="P5966">
        <v>2</v>
      </c>
      <c r="Q5966">
        <v>0</v>
      </c>
      <c r="R5966" t="s">
        <v>5281</v>
      </c>
      <c r="S5966" t="s">
        <v>4558</v>
      </c>
      <c r="T5966" t="s">
        <v>4559</v>
      </c>
      <c r="U5966" t="s">
        <v>4560</v>
      </c>
      <c r="V5966" s="2">
        <v>454</v>
      </c>
      <c r="W5966" t="s">
        <v>4655</v>
      </c>
      <c r="X5966" s="2">
        <v>0</v>
      </c>
      <c r="Y5966">
        <v>20</v>
      </c>
      <c r="Z5966" t="s">
        <v>4351</v>
      </c>
      <c r="AA5966" s="3">
        <v>0.28234618902206399</v>
      </c>
      <c r="AB5966" t="s">
        <v>29319</v>
      </c>
      <c r="AC5966" t="s">
        <v>4562</v>
      </c>
      <c r="AD5966" t="s">
        <v>29317</v>
      </c>
      <c r="AE5966" t="s">
        <v>4655</v>
      </c>
      <c r="AF5966" t="s">
        <v>4563</v>
      </c>
      <c r="AG5966" t="s">
        <v>4564</v>
      </c>
      <c r="AH5966" t="s">
        <v>1147</v>
      </c>
      <c r="AI5966" t="s">
        <v>4903</v>
      </c>
      <c r="AJ5966" t="s">
        <v>29320</v>
      </c>
      <c r="AK5966" t="s">
        <v>29321</v>
      </c>
      <c r="AL5966" s="13" t="s">
        <v>1896</v>
      </c>
      <c r="AM5966">
        <v>1</v>
      </c>
      <c r="AN5966" s="15" t="s">
        <v>3712</v>
      </c>
    </row>
    <row r="5967" spans="1:40" x14ac:dyDescent="0.3">
      <c r="A5967" s="10" t="str">
        <f>HYPERLINK("http://www.washoecounty.gov/assessor/cama/?parid=208-402-04&amp;CardNumber=1","208-402-04")</f>
        <v>208-402-04</v>
      </c>
      <c r="B5967" t="s">
        <v>4655</v>
      </c>
      <c r="C5967" t="s">
        <v>29322</v>
      </c>
      <c r="D5967" s="1">
        <v>40451</v>
      </c>
      <c r="E5967" s="2">
        <v>164900</v>
      </c>
      <c r="F5967" t="s">
        <v>4553</v>
      </c>
      <c r="G5967" s="17" t="str">
        <f>HYPERLINK("https://www.washoecounty.gov/assessor/cama/?command=sales&amp;parid=20840204","3927981")</f>
        <v>3927981</v>
      </c>
      <c r="H5967" t="s">
        <v>29323</v>
      </c>
      <c r="I5967">
        <v>2005</v>
      </c>
      <c r="J5967">
        <v>2005</v>
      </c>
      <c r="K5967" t="s">
        <v>4554</v>
      </c>
      <c r="L5967" t="s">
        <v>4555</v>
      </c>
      <c r="M5967" s="2">
        <v>1362</v>
      </c>
      <c r="N5967" t="s">
        <v>5280</v>
      </c>
      <c r="O5967">
        <v>3</v>
      </c>
      <c r="P5967">
        <v>2</v>
      </c>
      <c r="Q5967">
        <v>0</v>
      </c>
      <c r="R5967" t="s">
        <v>5281</v>
      </c>
      <c r="S5967" t="s">
        <v>4558</v>
      </c>
      <c r="T5967" t="s">
        <v>4559</v>
      </c>
      <c r="U5967" t="s">
        <v>4560</v>
      </c>
      <c r="V5967" s="2">
        <v>453</v>
      </c>
      <c r="W5967" t="s">
        <v>4655</v>
      </c>
      <c r="X5967" s="2">
        <v>0</v>
      </c>
      <c r="Y5967">
        <v>20</v>
      </c>
      <c r="Z5967" t="s">
        <v>4351</v>
      </c>
      <c r="AA5967" s="3">
        <v>0.19292929768562317</v>
      </c>
      <c r="AB5967" t="s">
        <v>29324</v>
      </c>
      <c r="AC5967" t="s">
        <v>4575</v>
      </c>
      <c r="AD5967" t="s">
        <v>29325</v>
      </c>
      <c r="AE5967" t="s">
        <v>4655</v>
      </c>
      <c r="AF5967" t="s">
        <v>4563</v>
      </c>
      <c r="AG5967" t="s">
        <v>4564</v>
      </c>
      <c r="AH5967" t="s">
        <v>1147</v>
      </c>
      <c r="AI5967" t="s">
        <v>4655</v>
      </c>
      <c r="AJ5967" t="s">
        <v>29320</v>
      </c>
      <c r="AK5967" t="s">
        <v>29326</v>
      </c>
      <c r="AL5967" s="13" t="s">
        <v>1896</v>
      </c>
      <c r="AM5967">
        <v>1</v>
      </c>
      <c r="AN5967" s="15" t="s">
        <v>3712</v>
      </c>
    </row>
    <row r="5968" spans="1:40" x14ac:dyDescent="0.3">
      <c r="A5968" s="10" t="str">
        <f>HYPERLINK("http://www.washoecounty.gov/assessor/cama/?parid=208-404-01&amp;CardNumber=1","208-404-01")</f>
        <v>208-404-01</v>
      </c>
      <c r="B5968" t="s">
        <v>4655</v>
      </c>
      <c r="C5968" t="s">
        <v>29327</v>
      </c>
      <c r="D5968" s="1">
        <v>40333</v>
      </c>
      <c r="E5968" s="2">
        <v>225000</v>
      </c>
      <c r="F5968" t="s">
        <v>4567</v>
      </c>
      <c r="G5968" s="17" t="str">
        <f>HYPERLINK("https://www.washoecounty.gov/assessor/cama/?command=sales&amp;parid=20840401","3888484")</f>
        <v>3888484</v>
      </c>
      <c r="H5968" t="s">
        <v>29328</v>
      </c>
      <c r="I5968">
        <v>2001</v>
      </c>
      <c r="J5968">
        <v>2001</v>
      </c>
      <c r="K5968" t="s">
        <v>4554</v>
      </c>
      <c r="L5968" t="s">
        <v>3974</v>
      </c>
      <c r="M5968" s="2">
        <v>1803</v>
      </c>
      <c r="N5968" t="s">
        <v>5280</v>
      </c>
      <c r="O5968">
        <v>3</v>
      </c>
      <c r="P5968">
        <v>2</v>
      </c>
      <c r="Q5968">
        <v>1</v>
      </c>
      <c r="R5968" t="s">
        <v>4557</v>
      </c>
      <c r="S5968" t="s">
        <v>4558</v>
      </c>
      <c r="T5968" t="s">
        <v>4559</v>
      </c>
      <c r="U5968" t="s">
        <v>4560</v>
      </c>
      <c r="V5968" s="2">
        <v>480</v>
      </c>
      <c r="W5968" t="s">
        <v>4655</v>
      </c>
      <c r="X5968" s="2">
        <v>0</v>
      </c>
      <c r="Y5968">
        <v>20</v>
      </c>
      <c r="Z5968" t="s">
        <v>4351</v>
      </c>
      <c r="AA5968" s="3">
        <v>0.267883390188217</v>
      </c>
      <c r="AB5968" t="s">
        <v>29329</v>
      </c>
      <c r="AC5968" t="s">
        <v>4575</v>
      </c>
      <c r="AD5968" t="s">
        <v>29327</v>
      </c>
      <c r="AE5968" t="s">
        <v>4655</v>
      </c>
      <c r="AF5968" t="s">
        <v>4563</v>
      </c>
      <c r="AG5968" t="s">
        <v>4564</v>
      </c>
      <c r="AH5968" t="s">
        <v>1147</v>
      </c>
      <c r="AI5968" t="s">
        <v>29330</v>
      </c>
      <c r="AJ5968" t="s">
        <v>29320</v>
      </c>
      <c r="AK5968" t="s">
        <v>29331</v>
      </c>
      <c r="AL5968" s="13" t="s">
        <v>1896</v>
      </c>
      <c r="AM5968">
        <v>1</v>
      </c>
      <c r="AN5968" s="15" t="s">
        <v>3712</v>
      </c>
    </row>
    <row r="5969" spans="1:40" x14ac:dyDescent="0.3">
      <c r="A5969" s="10" t="str">
        <f>HYPERLINK("http://www.washoecounty.gov/assessor/cama/?parid=208-404-03&amp;CardNumber=1","208-404-03")</f>
        <v>208-404-03</v>
      </c>
      <c r="B5969" t="s">
        <v>4655</v>
      </c>
      <c r="C5969" t="s">
        <v>29332</v>
      </c>
      <c r="D5969" s="1">
        <v>40540</v>
      </c>
      <c r="E5969" s="2">
        <v>169900</v>
      </c>
      <c r="F5969" t="s">
        <v>4567</v>
      </c>
      <c r="G5969" s="17" t="str">
        <f>HYPERLINK("https://www.washoecounty.gov/assessor/cama/?command=sales&amp;parid=20840403","3957986")</f>
        <v>3957986</v>
      </c>
      <c r="H5969" t="s">
        <v>29328</v>
      </c>
      <c r="I5969">
        <v>2001</v>
      </c>
      <c r="J5969">
        <v>2001</v>
      </c>
      <c r="K5969" t="s">
        <v>4554</v>
      </c>
      <c r="L5969" t="s">
        <v>4555</v>
      </c>
      <c r="M5969" s="2">
        <v>1263</v>
      </c>
      <c r="N5969" t="s">
        <v>5280</v>
      </c>
      <c r="O5969">
        <v>3</v>
      </c>
      <c r="P5969">
        <v>2</v>
      </c>
      <c r="Q5969">
        <v>0</v>
      </c>
      <c r="R5969" t="s">
        <v>4557</v>
      </c>
      <c r="S5969" t="s">
        <v>4558</v>
      </c>
      <c r="T5969" t="s">
        <v>4559</v>
      </c>
      <c r="U5969" t="s">
        <v>4560</v>
      </c>
      <c r="V5969" s="2">
        <v>454</v>
      </c>
      <c r="W5969" t="s">
        <v>4655</v>
      </c>
      <c r="X5969" s="2">
        <v>0</v>
      </c>
      <c r="Y5969">
        <v>20</v>
      </c>
      <c r="Z5969" t="s">
        <v>4351</v>
      </c>
      <c r="AA5969" s="3">
        <v>0.14579889178276062</v>
      </c>
      <c r="AB5969" t="s">
        <v>29333</v>
      </c>
      <c r="AC5969" t="s">
        <v>4562</v>
      </c>
      <c r="AD5969" t="s">
        <v>29334</v>
      </c>
      <c r="AE5969" t="s">
        <v>4655</v>
      </c>
      <c r="AF5969" t="s">
        <v>4563</v>
      </c>
      <c r="AG5969" t="s">
        <v>4564</v>
      </c>
      <c r="AH5969" t="s">
        <v>1147</v>
      </c>
      <c r="AI5969" t="s">
        <v>29335</v>
      </c>
      <c r="AJ5969" t="s">
        <v>29320</v>
      </c>
      <c r="AK5969" t="s">
        <v>29336</v>
      </c>
      <c r="AL5969" s="13" t="s">
        <v>1896</v>
      </c>
      <c r="AM5969">
        <v>1</v>
      </c>
      <c r="AN5969" s="15" t="s">
        <v>3712</v>
      </c>
    </row>
    <row r="5970" spans="1:40" x14ac:dyDescent="0.3">
      <c r="A5970" s="10" t="str">
        <f>HYPERLINK("http://www.washoecounty.gov/assessor/cama/?parid=208-404-05&amp;CardNumber=1","208-404-05")</f>
        <v>208-404-05</v>
      </c>
      <c r="B5970" t="s">
        <v>4655</v>
      </c>
      <c r="C5970" t="s">
        <v>29337</v>
      </c>
      <c r="D5970" s="1">
        <v>40476</v>
      </c>
      <c r="E5970" s="2">
        <v>162500</v>
      </c>
      <c r="F5970" t="s">
        <v>4553</v>
      </c>
      <c r="G5970" s="17" t="str">
        <f>HYPERLINK("https://www.washoecounty.gov/assessor/cama/?command=sales&amp;parid=20840405","3936146")</f>
        <v>3936146</v>
      </c>
      <c r="H5970" t="s">
        <v>29328</v>
      </c>
      <c r="I5970">
        <v>2001</v>
      </c>
      <c r="J5970">
        <v>2001</v>
      </c>
      <c r="K5970" t="s">
        <v>4554</v>
      </c>
      <c r="L5970" t="s">
        <v>4555</v>
      </c>
      <c r="M5970" s="2">
        <v>1263</v>
      </c>
      <c r="N5970" t="s">
        <v>5280</v>
      </c>
      <c r="O5970">
        <v>3</v>
      </c>
      <c r="P5970">
        <v>2</v>
      </c>
      <c r="Q5970">
        <v>0</v>
      </c>
      <c r="R5970" t="s">
        <v>5281</v>
      </c>
      <c r="S5970" t="s">
        <v>4558</v>
      </c>
      <c r="T5970" t="s">
        <v>4559</v>
      </c>
      <c r="U5970" t="s">
        <v>4560</v>
      </c>
      <c r="V5970" s="2">
        <v>454</v>
      </c>
      <c r="W5970" t="s">
        <v>4655</v>
      </c>
      <c r="X5970" s="2">
        <v>0</v>
      </c>
      <c r="Y5970">
        <v>20</v>
      </c>
      <c r="Z5970" t="s">
        <v>4351</v>
      </c>
      <c r="AA5970" s="3">
        <v>0.19086317718029</v>
      </c>
      <c r="AB5970" t="s">
        <v>29338</v>
      </c>
      <c r="AC5970" t="s">
        <v>4562</v>
      </c>
      <c r="AD5970" t="s">
        <v>29339</v>
      </c>
      <c r="AE5970" t="s">
        <v>4655</v>
      </c>
      <c r="AF5970" t="s">
        <v>578</v>
      </c>
      <c r="AG5970" t="s">
        <v>4584</v>
      </c>
      <c r="AH5970">
        <v>96118</v>
      </c>
      <c r="AI5970" t="s">
        <v>4903</v>
      </c>
      <c r="AJ5970" t="s">
        <v>29320</v>
      </c>
      <c r="AK5970" t="s">
        <v>29340</v>
      </c>
      <c r="AL5970" s="13" t="s">
        <v>1896</v>
      </c>
      <c r="AM5970">
        <v>1</v>
      </c>
      <c r="AN5970" s="15" t="s">
        <v>3712</v>
      </c>
    </row>
    <row r="5971" spans="1:40" x14ac:dyDescent="0.3">
      <c r="A5971" s="10" t="str">
        <f>HYPERLINK("http://www.washoecounty.gov/assessor/cama/?parid=208-405-06&amp;CardNumber=1","208-405-06")</f>
        <v>208-405-06</v>
      </c>
      <c r="B5971" t="s">
        <v>4655</v>
      </c>
      <c r="C5971" t="s">
        <v>29341</v>
      </c>
      <c r="D5971" s="1">
        <v>40249</v>
      </c>
      <c r="E5971" s="2">
        <v>176900</v>
      </c>
      <c r="F5971" t="s">
        <v>4553</v>
      </c>
      <c r="G5971" s="17" t="str">
        <f>HYPERLINK("https://www.washoecounty.gov/assessor/cama/?command=sales&amp;parid=20840506","3858891")</f>
        <v>3858891</v>
      </c>
      <c r="H5971" t="s">
        <v>29328</v>
      </c>
      <c r="I5971">
        <v>2001</v>
      </c>
      <c r="J5971">
        <v>2001</v>
      </c>
      <c r="K5971" t="s">
        <v>4554</v>
      </c>
      <c r="L5971" t="s">
        <v>3974</v>
      </c>
      <c r="M5971" s="2">
        <v>1803</v>
      </c>
      <c r="N5971" t="s">
        <v>5280</v>
      </c>
      <c r="O5971">
        <v>3</v>
      </c>
      <c r="P5971">
        <v>2</v>
      </c>
      <c r="Q5971">
        <v>1</v>
      </c>
      <c r="R5971" t="s">
        <v>4557</v>
      </c>
      <c r="S5971" t="s">
        <v>4558</v>
      </c>
      <c r="T5971" t="s">
        <v>4559</v>
      </c>
      <c r="U5971" t="s">
        <v>4560</v>
      </c>
      <c r="V5971" s="2">
        <v>480</v>
      </c>
      <c r="W5971" t="s">
        <v>4655</v>
      </c>
      <c r="X5971" s="2">
        <v>0</v>
      </c>
      <c r="Y5971">
        <v>20</v>
      </c>
      <c r="Z5971" t="s">
        <v>4351</v>
      </c>
      <c r="AA5971" s="3">
        <v>0.196005508303642</v>
      </c>
      <c r="AB5971" t="s">
        <v>29342</v>
      </c>
      <c r="AC5971" t="s">
        <v>4562</v>
      </c>
      <c r="AD5971" t="s">
        <v>29341</v>
      </c>
      <c r="AE5971" t="s">
        <v>4655</v>
      </c>
      <c r="AF5971" t="s">
        <v>4563</v>
      </c>
      <c r="AG5971" t="s">
        <v>4564</v>
      </c>
      <c r="AH5971" t="s">
        <v>1147</v>
      </c>
      <c r="AI5971" t="s">
        <v>2435</v>
      </c>
      <c r="AJ5971" t="s">
        <v>29320</v>
      </c>
      <c r="AK5971" t="s">
        <v>29343</v>
      </c>
      <c r="AL5971" s="13" t="s">
        <v>1896</v>
      </c>
      <c r="AM5971">
        <v>1</v>
      </c>
      <c r="AN5971" s="15" t="s">
        <v>3712</v>
      </c>
    </row>
    <row r="5972" spans="1:40" x14ac:dyDescent="0.3">
      <c r="A5972" s="10" t="str">
        <f>HYPERLINK("http://www.washoecounty.gov/assessor/cama/?parid=208-422-02&amp;CardNumber=1","208-422-02")</f>
        <v>208-422-02</v>
      </c>
      <c r="B5972" t="s">
        <v>4655</v>
      </c>
      <c r="C5972" t="s">
        <v>29344</v>
      </c>
      <c r="D5972" s="1">
        <v>40378</v>
      </c>
      <c r="E5972" s="2">
        <v>295000</v>
      </c>
      <c r="F5972" t="s">
        <v>4567</v>
      </c>
      <c r="G5972" s="17" t="str">
        <f>HYPERLINK("https://www.washoecounty.gov/assessor/cama/?command=sales&amp;parid=20842202","3902431")</f>
        <v>3902431</v>
      </c>
      <c r="H5972" t="s">
        <v>2379</v>
      </c>
      <c r="I5972">
        <v>2002</v>
      </c>
      <c r="J5972">
        <v>2002</v>
      </c>
      <c r="K5972" t="s">
        <v>4554</v>
      </c>
      <c r="L5972" t="s">
        <v>3974</v>
      </c>
      <c r="M5972" s="2">
        <v>2509</v>
      </c>
      <c r="N5972" t="s">
        <v>3147</v>
      </c>
      <c r="O5972">
        <v>4</v>
      </c>
      <c r="P5972">
        <v>3</v>
      </c>
      <c r="Q5972">
        <v>0</v>
      </c>
      <c r="R5972" t="s">
        <v>4557</v>
      </c>
      <c r="S5972" t="s">
        <v>4898</v>
      </c>
      <c r="T5972" t="s">
        <v>4559</v>
      </c>
      <c r="U5972" t="s">
        <v>4560</v>
      </c>
      <c r="V5972" s="2">
        <v>634</v>
      </c>
      <c r="W5972" t="s">
        <v>4655</v>
      </c>
      <c r="X5972" s="2">
        <v>0</v>
      </c>
      <c r="Y5972">
        <v>20</v>
      </c>
      <c r="Z5972" t="s">
        <v>4561</v>
      </c>
      <c r="AA5972" s="3">
        <v>0.23560605943203</v>
      </c>
      <c r="AB5972" t="s">
        <v>29345</v>
      </c>
      <c r="AC5972" t="s">
        <v>4575</v>
      </c>
      <c r="AD5972" t="s">
        <v>29344</v>
      </c>
      <c r="AE5972" t="s">
        <v>4655</v>
      </c>
      <c r="AF5972" t="s">
        <v>4563</v>
      </c>
      <c r="AG5972" t="s">
        <v>4564</v>
      </c>
      <c r="AH5972" t="s">
        <v>1147</v>
      </c>
      <c r="AI5972" t="s">
        <v>4655</v>
      </c>
      <c r="AJ5972" t="s">
        <v>2380</v>
      </c>
      <c r="AK5972" t="s">
        <v>29346</v>
      </c>
      <c r="AL5972" s="13" t="s">
        <v>2255</v>
      </c>
      <c r="AM5972">
        <v>1</v>
      </c>
      <c r="AN5972" s="15" t="s">
        <v>383</v>
      </c>
    </row>
    <row r="5973" spans="1:40" x14ac:dyDescent="0.3">
      <c r="A5973" s="10" t="str">
        <f>HYPERLINK("http://www.washoecounty.gov/assessor/cama/?parid=208-453-03&amp;CardNumber=1","208-453-03")</f>
        <v>208-453-03</v>
      </c>
      <c r="B5973" t="s">
        <v>4655</v>
      </c>
      <c r="C5973" t="s">
        <v>29347</v>
      </c>
      <c r="D5973" s="1">
        <v>40358</v>
      </c>
      <c r="E5973" s="2">
        <v>174900</v>
      </c>
      <c r="F5973" t="s">
        <v>4553</v>
      </c>
      <c r="G5973" s="17" t="str">
        <f>HYPERLINK("https://www.washoecounty.gov/assessor/cama/?command=sales&amp;parid=20845303","3896805")</f>
        <v>3896805</v>
      </c>
      <c r="H5973" t="s">
        <v>4516</v>
      </c>
      <c r="I5973">
        <v>2002</v>
      </c>
      <c r="J5973">
        <v>2002</v>
      </c>
      <c r="K5973" t="s">
        <v>4554</v>
      </c>
      <c r="L5973" t="s">
        <v>4555</v>
      </c>
      <c r="M5973" s="2">
        <v>1263</v>
      </c>
      <c r="N5973" t="s">
        <v>5280</v>
      </c>
      <c r="O5973">
        <v>3</v>
      </c>
      <c r="P5973">
        <v>2</v>
      </c>
      <c r="Q5973">
        <v>0</v>
      </c>
      <c r="R5973" t="s">
        <v>5281</v>
      </c>
      <c r="S5973" t="s">
        <v>4558</v>
      </c>
      <c r="T5973" t="s">
        <v>4559</v>
      </c>
      <c r="U5973" t="s">
        <v>4560</v>
      </c>
      <c r="V5973" s="2">
        <v>454</v>
      </c>
      <c r="W5973" t="s">
        <v>4655</v>
      </c>
      <c r="X5973" s="2">
        <v>0</v>
      </c>
      <c r="Y5973">
        <v>20</v>
      </c>
      <c r="Z5973" t="s">
        <v>385</v>
      </c>
      <c r="AA5973" s="3">
        <v>0.17646923661232</v>
      </c>
      <c r="AB5973" t="s">
        <v>29348</v>
      </c>
      <c r="AC5973" t="s">
        <v>4562</v>
      </c>
      <c r="AD5973" t="s">
        <v>29349</v>
      </c>
      <c r="AE5973" t="s">
        <v>4655</v>
      </c>
      <c r="AF5973" t="s">
        <v>4563</v>
      </c>
      <c r="AG5973" t="s">
        <v>4564</v>
      </c>
      <c r="AH5973">
        <v>89509</v>
      </c>
      <c r="AI5973" t="s">
        <v>4903</v>
      </c>
      <c r="AJ5973" t="s">
        <v>3711</v>
      </c>
      <c r="AK5973" t="s">
        <v>29350</v>
      </c>
      <c r="AL5973" s="13" t="s">
        <v>1896</v>
      </c>
      <c r="AM5973">
        <v>1</v>
      </c>
      <c r="AN5973" s="15" t="s">
        <v>3712</v>
      </c>
    </row>
    <row r="5974" spans="1:40" x14ac:dyDescent="0.3">
      <c r="A5974" s="10" t="str">
        <f>HYPERLINK("http://www.washoecounty.gov/assessor/cama/?parid=208-453-21&amp;CardNumber=1","208-453-21")</f>
        <v>208-453-21</v>
      </c>
      <c r="B5974" t="s">
        <v>4655</v>
      </c>
      <c r="C5974" t="s">
        <v>29351</v>
      </c>
      <c r="D5974" s="1">
        <v>40357</v>
      </c>
      <c r="E5974" s="2">
        <v>186000</v>
      </c>
      <c r="F5974" t="s">
        <v>4567</v>
      </c>
      <c r="G5974" s="17" t="str">
        <f>HYPERLINK("https://www.washoecounty.gov/assessor/cama/?command=sales&amp;parid=20845321","3896003")</f>
        <v>3896003</v>
      </c>
      <c r="H5974" t="s">
        <v>4516</v>
      </c>
      <c r="I5974">
        <v>2002</v>
      </c>
      <c r="J5974">
        <v>2002</v>
      </c>
      <c r="K5974" t="s">
        <v>4554</v>
      </c>
      <c r="L5974" t="s">
        <v>4555</v>
      </c>
      <c r="M5974" s="2">
        <v>1362</v>
      </c>
      <c r="N5974" t="s">
        <v>5280</v>
      </c>
      <c r="O5974">
        <v>3</v>
      </c>
      <c r="P5974">
        <v>2</v>
      </c>
      <c r="Q5974">
        <v>0</v>
      </c>
      <c r="R5974" t="s">
        <v>4557</v>
      </c>
      <c r="S5974" t="s">
        <v>4558</v>
      </c>
      <c r="T5974" t="s">
        <v>4559</v>
      </c>
      <c r="U5974" t="s">
        <v>4560</v>
      </c>
      <c r="V5974" s="2">
        <v>453</v>
      </c>
      <c r="W5974" t="s">
        <v>4655</v>
      </c>
      <c r="X5974" s="2">
        <v>0</v>
      </c>
      <c r="Y5974">
        <v>20</v>
      </c>
      <c r="Z5974" t="s">
        <v>385</v>
      </c>
      <c r="AA5974" s="3">
        <v>0.1886133998632431</v>
      </c>
      <c r="AB5974" t="s">
        <v>29352</v>
      </c>
      <c r="AC5974" t="s">
        <v>4562</v>
      </c>
      <c r="AD5974" t="s">
        <v>29351</v>
      </c>
      <c r="AE5974" t="s">
        <v>4655</v>
      </c>
      <c r="AF5974" t="s">
        <v>4563</v>
      </c>
      <c r="AG5974" t="s">
        <v>4564</v>
      </c>
      <c r="AH5974" t="s">
        <v>1147</v>
      </c>
      <c r="AI5974" t="s">
        <v>29353</v>
      </c>
      <c r="AJ5974" t="s">
        <v>3711</v>
      </c>
      <c r="AK5974" t="s">
        <v>29354</v>
      </c>
      <c r="AL5974" s="13" t="s">
        <v>1896</v>
      </c>
      <c r="AM5974">
        <v>1</v>
      </c>
      <c r="AN5974" s="15" t="s">
        <v>3712</v>
      </c>
    </row>
    <row r="5975" spans="1:40" x14ac:dyDescent="0.3">
      <c r="A5975" s="10" t="str">
        <f>HYPERLINK("http://www.washoecounty.gov/assessor/cama/?parid=208-454-03&amp;CardNumber=1","208-454-03")</f>
        <v>208-454-03</v>
      </c>
      <c r="B5975" t="s">
        <v>4655</v>
      </c>
      <c r="C5975" t="s">
        <v>29355</v>
      </c>
      <c r="D5975" s="1">
        <v>40267</v>
      </c>
      <c r="E5975" s="2">
        <v>183000</v>
      </c>
      <c r="F5975" t="s">
        <v>4567</v>
      </c>
      <c r="G5975" s="17" t="str">
        <f>HYPERLINK("https://www.washoecounty.gov/assessor/cama/?command=sales&amp;parid=20845403","3865581")</f>
        <v>3865581</v>
      </c>
      <c r="H5975" t="s">
        <v>4516</v>
      </c>
      <c r="I5975">
        <v>2001</v>
      </c>
      <c r="J5975">
        <v>2001</v>
      </c>
      <c r="K5975" t="s">
        <v>4554</v>
      </c>
      <c r="L5975" t="s">
        <v>4555</v>
      </c>
      <c r="M5975" s="2">
        <v>1263</v>
      </c>
      <c r="N5975" t="s">
        <v>5280</v>
      </c>
      <c r="O5975">
        <v>3</v>
      </c>
      <c r="P5975">
        <v>2</v>
      </c>
      <c r="Q5975">
        <v>0</v>
      </c>
      <c r="R5975" t="s">
        <v>4557</v>
      </c>
      <c r="S5975" t="s">
        <v>4558</v>
      </c>
      <c r="T5975" t="s">
        <v>4559</v>
      </c>
      <c r="U5975" t="s">
        <v>4560</v>
      </c>
      <c r="V5975" s="2">
        <v>454</v>
      </c>
      <c r="W5975" t="s">
        <v>4655</v>
      </c>
      <c r="X5975" s="2">
        <v>0</v>
      </c>
      <c r="Y5975">
        <v>20</v>
      </c>
      <c r="Z5975" t="s">
        <v>385</v>
      </c>
      <c r="AA5975" s="3">
        <v>0.14364095032215099</v>
      </c>
      <c r="AB5975" t="s">
        <v>29356</v>
      </c>
      <c r="AC5975" t="s">
        <v>4562</v>
      </c>
      <c r="AD5975" t="s">
        <v>29357</v>
      </c>
      <c r="AE5975" t="s">
        <v>4655</v>
      </c>
      <c r="AF5975" t="s">
        <v>4563</v>
      </c>
      <c r="AG5975" t="s">
        <v>4564</v>
      </c>
      <c r="AH5975" t="s">
        <v>1147</v>
      </c>
      <c r="AI5975" t="s">
        <v>2892</v>
      </c>
      <c r="AJ5975" t="s">
        <v>3711</v>
      </c>
      <c r="AK5975" t="s">
        <v>29358</v>
      </c>
      <c r="AL5975" s="13" t="s">
        <v>1896</v>
      </c>
      <c r="AM5975">
        <v>1</v>
      </c>
      <c r="AN5975" s="15" t="s">
        <v>3712</v>
      </c>
    </row>
    <row r="5976" spans="1:40" x14ac:dyDescent="0.3">
      <c r="A5976" s="10" t="str">
        <f>HYPERLINK("http://www.washoecounty.gov/assessor/cama/?parid=208-454-15&amp;CardNumber=1","208-454-15")</f>
        <v>208-454-15</v>
      </c>
      <c r="B5976" t="s">
        <v>4655</v>
      </c>
      <c r="C5976" t="s">
        <v>29359</v>
      </c>
      <c r="D5976" s="1">
        <v>40241</v>
      </c>
      <c r="E5976" s="2">
        <v>201500</v>
      </c>
      <c r="F5976" t="s">
        <v>4567</v>
      </c>
      <c r="G5976" s="17" t="str">
        <f>HYPERLINK("https://www.washoecounty.gov/assessor/cama/?command=sales&amp;parid=20845415","3855858")</f>
        <v>3855858</v>
      </c>
      <c r="H5976" t="s">
        <v>4516</v>
      </c>
      <c r="I5976">
        <v>2001</v>
      </c>
      <c r="J5976">
        <v>2001</v>
      </c>
      <c r="K5976" t="s">
        <v>4554</v>
      </c>
      <c r="L5976" t="s">
        <v>3974</v>
      </c>
      <c r="M5976" s="2">
        <v>1803</v>
      </c>
      <c r="N5976" t="s">
        <v>5280</v>
      </c>
      <c r="O5976">
        <v>4</v>
      </c>
      <c r="P5976">
        <v>2</v>
      </c>
      <c r="Q5976">
        <v>1</v>
      </c>
      <c r="R5976" t="s">
        <v>4557</v>
      </c>
      <c r="S5976" t="s">
        <v>4558</v>
      </c>
      <c r="T5976" t="s">
        <v>4559</v>
      </c>
      <c r="U5976" t="s">
        <v>4560</v>
      </c>
      <c r="V5976" s="2">
        <v>480</v>
      </c>
      <c r="W5976" t="s">
        <v>4655</v>
      </c>
      <c r="X5976" s="2">
        <v>0</v>
      </c>
      <c r="Y5976">
        <v>20</v>
      </c>
      <c r="Z5976" t="s">
        <v>385</v>
      </c>
      <c r="AA5976" s="3">
        <v>0.20112489163875599</v>
      </c>
      <c r="AB5976" t="s">
        <v>29360</v>
      </c>
      <c r="AC5976" t="s">
        <v>4562</v>
      </c>
      <c r="AD5976" t="s">
        <v>29361</v>
      </c>
      <c r="AE5976" t="s">
        <v>4655</v>
      </c>
      <c r="AF5976" t="s">
        <v>4563</v>
      </c>
      <c r="AG5976" t="s">
        <v>4564</v>
      </c>
      <c r="AH5976" t="s">
        <v>1147</v>
      </c>
      <c r="AI5976" t="s">
        <v>29362</v>
      </c>
      <c r="AJ5976" t="s">
        <v>3711</v>
      </c>
      <c r="AK5976" t="s">
        <v>29363</v>
      </c>
      <c r="AL5976" s="13" t="s">
        <v>1896</v>
      </c>
      <c r="AM5976">
        <v>1</v>
      </c>
      <c r="AN5976" s="15" t="s">
        <v>3712</v>
      </c>
    </row>
    <row r="5977" spans="1:40" x14ac:dyDescent="0.3">
      <c r="A5977" s="10" t="str">
        <f>HYPERLINK("http://www.washoecounty.gov/assessor/cama/?parid=208-481-06&amp;CardNumber=1","208-481-06")</f>
        <v>208-481-06</v>
      </c>
      <c r="B5977" t="s">
        <v>4655</v>
      </c>
      <c r="C5977" t="s">
        <v>29364</v>
      </c>
      <c r="D5977" s="1">
        <v>40277</v>
      </c>
      <c r="E5977" s="2">
        <v>171500</v>
      </c>
      <c r="F5977" t="s">
        <v>4553</v>
      </c>
      <c r="G5977" s="17" t="str">
        <f>HYPERLINK("https://www.washoecounty.gov/assessor/cama/?command=sales&amp;parid=20848106","3869635")</f>
        <v>3869635</v>
      </c>
      <c r="H5977" t="s">
        <v>221</v>
      </c>
      <c r="I5977">
        <v>2002</v>
      </c>
      <c r="J5977">
        <v>2002</v>
      </c>
      <c r="K5977" t="s">
        <v>4554</v>
      </c>
      <c r="L5977" t="s">
        <v>4555</v>
      </c>
      <c r="M5977" s="2">
        <v>1263</v>
      </c>
      <c r="N5977" t="s">
        <v>5280</v>
      </c>
      <c r="O5977">
        <v>3</v>
      </c>
      <c r="P5977">
        <v>2</v>
      </c>
      <c r="Q5977">
        <v>0</v>
      </c>
      <c r="R5977" t="s">
        <v>4557</v>
      </c>
      <c r="S5977" t="s">
        <v>4558</v>
      </c>
      <c r="T5977" t="s">
        <v>4559</v>
      </c>
      <c r="U5977" t="s">
        <v>4560</v>
      </c>
      <c r="V5977" s="2">
        <v>454</v>
      </c>
      <c r="W5977" t="s">
        <v>4655</v>
      </c>
      <c r="X5977" s="2">
        <v>0</v>
      </c>
      <c r="Y5977">
        <v>20</v>
      </c>
      <c r="Z5977" t="s">
        <v>4351</v>
      </c>
      <c r="AA5977" s="3">
        <v>0.14224058389663699</v>
      </c>
      <c r="AB5977" t="s">
        <v>29365</v>
      </c>
      <c r="AC5977" t="s">
        <v>4562</v>
      </c>
      <c r="AD5977" t="s">
        <v>29364</v>
      </c>
      <c r="AE5977" t="s">
        <v>4655</v>
      </c>
      <c r="AF5977" t="s">
        <v>4563</v>
      </c>
      <c r="AG5977" t="s">
        <v>4564</v>
      </c>
      <c r="AH5977" t="s">
        <v>1147</v>
      </c>
      <c r="AI5977" t="s">
        <v>601</v>
      </c>
      <c r="AJ5977" t="s">
        <v>602</v>
      </c>
      <c r="AK5977" t="s">
        <v>29366</v>
      </c>
      <c r="AL5977" s="13" t="s">
        <v>1896</v>
      </c>
      <c r="AM5977" s="14">
        <v>1</v>
      </c>
      <c r="AN5977" s="15" t="s">
        <v>3712</v>
      </c>
    </row>
    <row r="5978" spans="1:40" x14ac:dyDescent="0.3">
      <c r="A5978" s="10" t="str">
        <f>HYPERLINK("http://www.washoecounty.gov/assessor/cama/?parid=208-483-05&amp;CardNumber=1","208-483-05")</f>
        <v>208-483-05</v>
      </c>
      <c r="B5978" t="s">
        <v>4655</v>
      </c>
      <c r="C5978" t="s">
        <v>29367</v>
      </c>
      <c r="D5978" s="1">
        <v>40298</v>
      </c>
      <c r="E5978" s="2">
        <v>230000</v>
      </c>
      <c r="F5978" t="s">
        <v>4567</v>
      </c>
      <c r="G5978" s="17" t="str">
        <f>HYPERLINK("https://www.washoecounty.gov/assessor/cama/?command=sales&amp;parid=20848305","3877100")</f>
        <v>3877100</v>
      </c>
      <c r="H5978" t="s">
        <v>221</v>
      </c>
      <c r="I5978">
        <v>2002</v>
      </c>
      <c r="J5978">
        <v>2002</v>
      </c>
      <c r="K5978" t="s">
        <v>4554</v>
      </c>
      <c r="L5978" t="s">
        <v>3974</v>
      </c>
      <c r="M5978" s="2">
        <v>1803</v>
      </c>
      <c r="N5978" t="s">
        <v>5280</v>
      </c>
      <c r="O5978">
        <v>4</v>
      </c>
      <c r="P5978">
        <v>2</v>
      </c>
      <c r="Q5978">
        <v>1</v>
      </c>
      <c r="R5978" t="s">
        <v>4557</v>
      </c>
      <c r="S5978" t="s">
        <v>4558</v>
      </c>
      <c r="T5978" t="s">
        <v>4559</v>
      </c>
      <c r="U5978" t="s">
        <v>4560</v>
      </c>
      <c r="V5978" s="2">
        <v>480</v>
      </c>
      <c r="W5978" t="s">
        <v>4655</v>
      </c>
      <c r="X5978" s="2">
        <v>0</v>
      </c>
      <c r="Y5978">
        <v>20</v>
      </c>
      <c r="Z5978" t="s">
        <v>4351</v>
      </c>
      <c r="AA5978" s="3">
        <v>0.153099179267883</v>
      </c>
      <c r="AB5978" t="s">
        <v>29368</v>
      </c>
      <c r="AC5978" t="s">
        <v>4562</v>
      </c>
      <c r="AD5978" t="s">
        <v>29367</v>
      </c>
      <c r="AE5978" t="s">
        <v>4655</v>
      </c>
      <c r="AF5978" t="s">
        <v>4563</v>
      </c>
      <c r="AG5978" t="s">
        <v>4564</v>
      </c>
      <c r="AH5978" t="s">
        <v>1147</v>
      </c>
      <c r="AI5978" t="s">
        <v>29369</v>
      </c>
      <c r="AJ5978" t="s">
        <v>602</v>
      </c>
      <c r="AK5978" t="s">
        <v>29370</v>
      </c>
      <c r="AL5978" s="13" t="s">
        <v>1896</v>
      </c>
      <c r="AM5978" s="14">
        <v>1</v>
      </c>
      <c r="AN5978" s="15" t="s">
        <v>3712</v>
      </c>
    </row>
    <row r="5979" spans="1:40" x14ac:dyDescent="0.3">
      <c r="A5979" s="10" t="str">
        <f>HYPERLINK("http://www.washoecounty.gov/assessor/cama/?parid=208-490-14&amp;CardNumber=1","208-490-14")</f>
        <v>208-490-14</v>
      </c>
      <c r="B5979" t="s">
        <v>4655</v>
      </c>
      <c r="C5979" t="s">
        <v>29371</v>
      </c>
      <c r="D5979" s="1">
        <v>40309</v>
      </c>
      <c r="E5979" s="2">
        <v>150000</v>
      </c>
      <c r="F5979" t="s">
        <v>4567</v>
      </c>
      <c r="G5979" s="17" t="str">
        <f>HYPERLINK("https://www.washoecounty.gov/assessor/cama/?command=sales&amp;parid=20849014","3880293")</f>
        <v>3880293</v>
      </c>
      <c r="H5979" t="s">
        <v>221</v>
      </c>
      <c r="I5979">
        <v>2002</v>
      </c>
      <c r="J5979">
        <v>2002</v>
      </c>
      <c r="K5979" t="s">
        <v>4554</v>
      </c>
      <c r="L5979" t="s">
        <v>4555</v>
      </c>
      <c r="M5979" s="2">
        <v>1063</v>
      </c>
      <c r="N5979" t="s">
        <v>5280</v>
      </c>
      <c r="O5979">
        <v>2</v>
      </c>
      <c r="P5979">
        <v>2</v>
      </c>
      <c r="Q5979">
        <v>0</v>
      </c>
      <c r="R5979" t="s">
        <v>4557</v>
      </c>
      <c r="S5979" t="s">
        <v>4558</v>
      </c>
      <c r="T5979" t="s">
        <v>4559</v>
      </c>
      <c r="U5979" t="s">
        <v>4560</v>
      </c>
      <c r="V5979" s="2">
        <v>451</v>
      </c>
      <c r="W5979" t="s">
        <v>4655</v>
      </c>
      <c r="X5979" s="2">
        <v>0</v>
      </c>
      <c r="Y5979">
        <v>20</v>
      </c>
      <c r="Z5979" t="s">
        <v>4051</v>
      </c>
      <c r="AA5979" s="3">
        <v>0.16425620019435899</v>
      </c>
      <c r="AB5979" t="s">
        <v>29372</v>
      </c>
      <c r="AC5979" t="s">
        <v>4562</v>
      </c>
      <c r="AD5979" t="s">
        <v>29373</v>
      </c>
      <c r="AE5979" t="s">
        <v>4655</v>
      </c>
      <c r="AF5979" t="s">
        <v>3000</v>
      </c>
      <c r="AG5979" t="s">
        <v>4584</v>
      </c>
      <c r="AH5979" t="s">
        <v>3001</v>
      </c>
      <c r="AI5979" t="s">
        <v>29374</v>
      </c>
      <c r="AJ5979" t="s">
        <v>602</v>
      </c>
      <c r="AK5979" t="s">
        <v>29375</v>
      </c>
      <c r="AL5979" s="13" t="s">
        <v>1896</v>
      </c>
      <c r="AM5979" s="14">
        <v>1</v>
      </c>
      <c r="AN5979" s="15" t="s">
        <v>3712</v>
      </c>
    </row>
    <row r="5980" spans="1:40" x14ac:dyDescent="0.3">
      <c r="A5980" s="10" t="str">
        <f>HYPERLINK("http://www.washoecounty.gov/assessor/cama/?parid=208-520-15&amp;CardNumber=1","208-520-15")</f>
        <v>208-520-15</v>
      </c>
      <c r="B5980" t="s">
        <v>4655</v>
      </c>
      <c r="C5980" t="s">
        <v>29376</v>
      </c>
      <c r="D5980" s="1">
        <v>40469</v>
      </c>
      <c r="E5980" s="2">
        <v>340000</v>
      </c>
      <c r="F5980" t="s">
        <v>4553</v>
      </c>
      <c r="G5980" s="17" t="str">
        <f>HYPERLINK("https://www.washoecounty.gov/assessor/cama/?command=sales&amp;parid=20852015","3934100")</f>
        <v>3934100</v>
      </c>
      <c r="H5980" t="s">
        <v>2601</v>
      </c>
      <c r="I5980">
        <v>2004</v>
      </c>
      <c r="J5980">
        <v>2004</v>
      </c>
      <c r="K5980" t="s">
        <v>4554</v>
      </c>
      <c r="L5980" t="s">
        <v>3974</v>
      </c>
      <c r="M5980" s="2">
        <v>3515</v>
      </c>
      <c r="N5980" t="s">
        <v>3147</v>
      </c>
      <c r="O5980">
        <v>5</v>
      </c>
      <c r="P5980">
        <v>3</v>
      </c>
      <c r="Q5980">
        <v>0</v>
      </c>
      <c r="R5980" t="s">
        <v>5281</v>
      </c>
      <c r="S5980" t="s">
        <v>4898</v>
      </c>
      <c r="T5980" t="s">
        <v>2704</v>
      </c>
      <c r="U5980" t="s">
        <v>5631</v>
      </c>
      <c r="V5980" s="2">
        <v>582</v>
      </c>
      <c r="W5980" t="s">
        <v>4655</v>
      </c>
      <c r="X5980" s="2">
        <v>0</v>
      </c>
      <c r="Y5980">
        <v>20</v>
      </c>
      <c r="Z5980" t="s">
        <v>4561</v>
      </c>
      <c r="AA5980" s="3">
        <v>0.21808999776840199</v>
      </c>
      <c r="AB5980" t="s">
        <v>29377</v>
      </c>
      <c r="AC5980" t="s">
        <v>4562</v>
      </c>
      <c r="AD5980" t="s">
        <v>29376</v>
      </c>
      <c r="AE5980" t="s">
        <v>4655</v>
      </c>
      <c r="AF5980" t="s">
        <v>4563</v>
      </c>
      <c r="AG5980" t="s">
        <v>4564</v>
      </c>
      <c r="AH5980" t="s">
        <v>1147</v>
      </c>
      <c r="AI5980" t="s">
        <v>29378</v>
      </c>
      <c r="AJ5980" t="s">
        <v>2602</v>
      </c>
      <c r="AK5980" t="s">
        <v>29379</v>
      </c>
      <c r="AL5980" s="13" t="s">
        <v>1896</v>
      </c>
      <c r="AM5980">
        <v>1</v>
      </c>
      <c r="AN5980" s="15" t="s">
        <v>341</v>
      </c>
    </row>
    <row r="5981" spans="1:40" x14ac:dyDescent="0.3">
      <c r="A5981" s="10" t="str">
        <f>HYPERLINK("http://www.washoecounty.gov/assessor/cama/?parid=208-520-26&amp;CardNumber=1","208-520-26")</f>
        <v>208-520-26</v>
      </c>
      <c r="B5981" t="s">
        <v>4655</v>
      </c>
      <c r="C5981" t="s">
        <v>29380</v>
      </c>
      <c r="D5981" s="1">
        <v>40301</v>
      </c>
      <c r="E5981" s="2">
        <v>330000</v>
      </c>
      <c r="F5981" t="s">
        <v>4567</v>
      </c>
      <c r="G5981" s="17" t="str">
        <f>HYPERLINK("https://www.washoecounty.gov/assessor/cama/?command=sales&amp;parid=20852026","3877436")</f>
        <v>3877436</v>
      </c>
      <c r="H5981" t="s">
        <v>2601</v>
      </c>
      <c r="I5981">
        <v>2004</v>
      </c>
      <c r="J5981">
        <v>2004</v>
      </c>
      <c r="K5981" t="s">
        <v>4554</v>
      </c>
      <c r="L5981" t="s">
        <v>3974</v>
      </c>
      <c r="M5981" s="2">
        <v>3127</v>
      </c>
      <c r="N5981" t="s">
        <v>3147</v>
      </c>
      <c r="O5981">
        <v>4</v>
      </c>
      <c r="P5981">
        <v>3</v>
      </c>
      <c r="Q5981">
        <v>1</v>
      </c>
      <c r="R5981" t="s">
        <v>5281</v>
      </c>
      <c r="S5981" t="s">
        <v>4898</v>
      </c>
      <c r="T5981" t="s">
        <v>2704</v>
      </c>
      <c r="U5981" t="s">
        <v>4560</v>
      </c>
      <c r="V5981" s="2">
        <v>668</v>
      </c>
      <c r="W5981" t="s">
        <v>4655</v>
      </c>
      <c r="X5981" s="2">
        <v>0</v>
      </c>
      <c r="Y5981">
        <v>20</v>
      </c>
      <c r="Z5981" t="s">
        <v>4561</v>
      </c>
      <c r="AA5981" s="3">
        <v>0.57881081104278498</v>
      </c>
      <c r="AB5981" t="s">
        <v>29381</v>
      </c>
      <c r="AC5981" t="s">
        <v>4562</v>
      </c>
      <c r="AD5981" t="s">
        <v>29380</v>
      </c>
      <c r="AE5981" t="s">
        <v>4655</v>
      </c>
      <c r="AF5981" t="s">
        <v>4563</v>
      </c>
      <c r="AG5981" t="s">
        <v>4564</v>
      </c>
      <c r="AH5981" t="s">
        <v>1147</v>
      </c>
      <c r="AI5981" t="s">
        <v>29382</v>
      </c>
      <c r="AJ5981" t="s">
        <v>2602</v>
      </c>
      <c r="AK5981" t="s">
        <v>29383</v>
      </c>
      <c r="AL5981" s="13" t="s">
        <v>1896</v>
      </c>
      <c r="AM5981" s="14">
        <v>1</v>
      </c>
      <c r="AN5981" s="15" t="s">
        <v>341</v>
      </c>
    </row>
    <row r="5982" spans="1:40" x14ac:dyDescent="0.3">
      <c r="A5982" s="10" t="str">
        <f>HYPERLINK("http://www.washoecounty.gov/assessor/cama/?parid=208-531-06&amp;CardNumber=1","208-531-06")</f>
        <v>208-531-06</v>
      </c>
      <c r="B5982" t="s">
        <v>4655</v>
      </c>
      <c r="C5982" t="s">
        <v>4655</v>
      </c>
      <c r="D5982" s="1">
        <v>40269</v>
      </c>
      <c r="E5982" s="2">
        <v>191526</v>
      </c>
      <c r="F5982" t="s">
        <v>4567</v>
      </c>
      <c r="G5982" s="17" t="str">
        <f>HYPERLINK("https://www.washoecounty.gov/assessor/cama/?command=sales&amp;parid=20853106","NOT AVAILABLE ")</f>
        <v xml:space="preserve">NOT AVAILABLE </v>
      </c>
      <c r="H5982" t="s">
        <v>4655</v>
      </c>
      <c r="I5982">
        <v>2008</v>
      </c>
      <c r="J5982">
        <v>2008</v>
      </c>
      <c r="K5982" t="s">
        <v>4554</v>
      </c>
      <c r="L5982" t="s">
        <v>4555</v>
      </c>
      <c r="M5982" s="2">
        <v>1304</v>
      </c>
      <c r="N5982" t="s">
        <v>5280</v>
      </c>
      <c r="O5982">
        <v>3</v>
      </c>
      <c r="P5982">
        <v>2</v>
      </c>
      <c r="Q5982">
        <v>0</v>
      </c>
      <c r="R5982" t="s">
        <v>5281</v>
      </c>
      <c r="S5982" t="s">
        <v>4898</v>
      </c>
      <c r="T5982" t="s">
        <v>2704</v>
      </c>
      <c r="U5982" t="s">
        <v>4560</v>
      </c>
      <c r="V5982" s="2">
        <v>400</v>
      </c>
      <c r="W5982" t="s">
        <v>4655</v>
      </c>
      <c r="X5982" s="2">
        <v>0</v>
      </c>
      <c r="Y5982">
        <v>20</v>
      </c>
      <c r="Z5982" t="s">
        <v>4561</v>
      </c>
      <c r="AA5982" s="3">
        <v>0.19905877113342299</v>
      </c>
      <c r="AB5982" t="s">
        <v>282</v>
      </c>
      <c r="AC5982" t="s">
        <v>4562</v>
      </c>
      <c r="AD5982" t="s">
        <v>283</v>
      </c>
      <c r="AE5982" t="s">
        <v>4655</v>
      </c>
      <c r="AF5982" t="s">
        <v>283</v>
      </c>
      <c r="AG5982" t="s">
        <v>4564</v>
      </c>
      <c r="AH5982" t="s">
        <v>8417</v>
      </c>
      <c r="AI5982" t="s">
        <v>4655</v>
      </c>
      <c r="AJ5982" t="s">
        <v>924</v>
      </c>
      <c r="AK5982" t="s">
        <v>4655</v>
      </c>
      <c r="AL5982" s="13" t="s">
        <v>1896</v>
      </c>
      <c r="AM5982">
        <v>1</v>
      </c>
      <c r="AN5982" s="15" t="s">
        <v>383</v>
      </c>
    </row>
    <row r="5983" spans="1:40" x14ac:dyDescent="0.3">
      <c r="A5983" s="10" t="str">
        <f>HYPERLINK("http://www.washoecounty.gov/assessor/cama/?parid=208-531-07&amp;CardNumber=1","208-531-07")</f>
        <v>208-531-07</v>
      </c>
      <c r="B5983" t="s">
        <v>4655</v>
      </c>
      <c r="C5983" t="s">
        <v>29384</v>
      </c>
      <c r="D5983" s="1">
        <v>40506</v>
      </c>
      <c r="E5983" s="2">
        <v>280000</v>
      </c>
      <c r="F5983" t="s">
        <v>4567</v>
      </c>
      <c r="G5983" s="17" t="str">
        <f>HYPERLINK("https://www.washoecounty.gov/assessor/cama/?command=sales&amp;parid=20853107","3946470")</f>
        <v>3946470</v>
      </c>
      <c r="H5983" t="s">
        <v>962</v>
      </c>
      <c r="I5983">
        <v>2011</v>
      </c>
      <c r="J5983">
        <v>2011</v>
      </c>
      <c r="K5983" t="s">
        <v>4554</v>
      </c>
      <c r="L5983" t="s">
        <v>3974</v>
      </c>
      <c r="M5983" s="2">
        <v>2720</v>
      </c>
      <c r="N5983" t="s">
        <v>5280</v>
      </c>
      <c r="O5983">
        <v>5</v>
      </c>
      <c r="P5983">
        <v>3</v>
      </c>
      <c r="Q5983">
        <v>0</v>
      </c>
      <c r="R5983" t="s">
        <v>5281</v>
      </c>
      <c r="S5983" t="s">
        <v>4898</v>
      </c>
      <c r="T5983" t="s">
        <v>2704</v>
      </c>
      <c r="U5983" t="s">
        <v>4560</v>
      </c>
      <c r="V5983" s="2">
        <v>669</v>
      </c>
      <c r="W5983" t="s">
        <v>4655</v>
      </c>
      <c r="X5983" s="2">
        <v>0</v>
      </c>
      <c r="Y5983">
        <v>20</v>
      </c>
      <c r="Z5983" t="s">
        <v>4561</v>
      </c>
      <c r="AA5983" s="3">
        <v>0.18999081850051899</v>
      </c>
      <c r="AB5983" t="s">
        <v>29385</v>
      </c>
      <c r="AC5983" t="s">
        <v>4562</v>
      </c>
      <c r="AD5983" t="s">
        <v>29384</v>
      </c>
      <c r="AE5983" t="s">
        <v>4655</v>
      </c>
      <c r="AF5983" t="s">
        <v>4563</v>
      </c>
      <c r="AG5983" t="s">
        <v>4564</v>
      </c>
      <c r="AH5983" t="s">
        <v>1147</v>
      </c>
      <c r="AI5983" t="s">
        <v>1576</v>
      </c>
      <c r="AJ5983" t="s">
        <v>924</v>
      </c>
      <c r="AK5983" t="s">
        <v>29386</v>
      </c>
      <c r="AL5983" s="13" t="s">
        <v>1896</v>
      </c>
      <c r="AM5983">
        <v>1</v>
      </c>
      <c r="AN5983" s="15" t="s">
        <v>383</v>
      </c>
    </row>
    <row r="5984" spans="1:40" x14ac:dyDescent="0.3">
      <c r="A5984" s="10" t="str">
        <f>HYPERLINK("http://www.washoecounty.gov/assessor/cama/?parid=208-531-09&amp;CardNumber=1","208-531-09")</f>
        <v>208-531-09</v>
      </c>
      <c r="B5984" t="s">
        <v>4655</v>
      </c>
      <c r="C5984" t="s">
        <v>29387</v>
      </c>
      <c r="D5984" s="1">
        <v>40535</v>
      </c>
      <c r="E5984" s="2">
        <v>250000</v>
      </c>
      <c r="F5984" t="s">
        <v>4567</v>
      </c>
      <c r="G5984" s="17" t="str">
        <f>HYPERLINK("https://www.washoecounty.gov/assessor/cama/?command=sales&amp;parid=20853109","3956652")</f>
        <v>3956652</v>
      </c>
      <c r="H5984" t="s">
        <v>962</v>
      </c>
      <c r="I5984">
        <v>2011</v>
      </c>
      <c r="J5984">
        <v>2011</v>
      </c>
      <c r="K5984" t="s">
        <v>4554</v>
      </c>
      <c r="L5984" t="s">
        <v>4555</v>
      </c>
      <c r="M5984" s="2">
        <v>2097</v>
      </c>
      <c r="N5984" t="s">
        <v>5280</v>
      </c>
      <c r="O5984">
        <v>5</v>
      </c>
      <c r="P5984">
        <v>3</v>
      </c>
      <c r="Q5984">
        <v>0</v>
      </c>
      <c r="R5984" t="s">
        <v>5281</v>
      </c>
      <c r="S5984" t="s">
        <v>4898</v>
      </c>
      <c r="T5984" t="s">
        <v>2704</v>
      </c>
      <c r="U5984" t="s">
        <v>4560</v>
      </c>
      <c r="V5984" s="2">
        <v>580</v>
      </c>
      <c r="W5984" t="s">
        <v>4655</v>
      </c>
      <c r="X5984" s="2">
        <v>0</v>
      </c>
      <c r="Y5984">
        <v>20</v>
      </c>
      <c r="Z5984" t="s">
        <v>4561</v>
      </c>
      <c r="AA5984" s="3">
        <v>0.18636363744735718</v>
      </c>
      <c r="AB5984" t="s">
        <v>29388</v>
      </c>
      <c r="AC5984" t="s">
        <v>4575</v>
      </c>
      <c r="AD5984" t="s">
        <v>29389</v>
      </c>
      <c r="AE5984" t="s">
        <v>4655</v>
      </c>
      <c r="AF5984" t="s">
        <v>4563</v>
      </c>
      <c r="AG5984" t="s">
        <v>4564</v>
      </c>
      <c r="AH5984" t="s">
        <v>1147</v>
      </c>
      <c r="AI5984" t="s">
        <v>1576</v>
      </c>
      <c r="AJ5984" t="s">
        <v>924</v>
      </c>
      <c r="AK5984" t="s">
        <v>29390</v>
      </c>
      <c r="AL5984" s="13" t="s">
        <v>1896</v>
      </c>
      <c r="AM5984">
        <v>1</v>
      </c>
      <c r="AN5984" s="15" t="s">
        <v>383</v>
      </c>
    </row>
    <row r="5985" spans="1:40" x14ac:dyDescent="0.3">
      <c r="A5985" s="10" t="str">
        <f>HYPERLINK("http://www.washoecounty.gov/assessor/cama/?parid=208-532-08&amp;CardNumber=1","208-532-08")</f>
        <v>208-532-08</v>
      </c>
      <c r="B5985" t="s">
        <v>4655</v>
      </c>
      <c r="C5985" t="s">
        <v>29391</v>
      </c>
      <c r="D5985" s="1">
        <v>40512</v>
      </c>
      <c r="E5985" s="2">
        <v>315000</v>
      </c>
      <c r="F5985" t="s">
        <v>4567</v>
      </c>
      <c r="G5985" s="17" t="str">
        <f>HYPERLINK("https://www.washoecounty.gov/assessor/cama/?command=sales&amp;parid=20853208","3947921")</f>
        <v>3947921</v>
      </c>
      <c r="H5985" t="s">
        <v>962</v>
      </c>
      <c r="I5985">
        <v>2011</v>
      </c>
      <c r="J5985">
        <v>2011</v>
      </c>
      <c r="K5985" t="s">
        <v>4554</v>
      </c>
      <c r="L5985" t="s">
        <v>3974</v>
      </c>
      <c r="M5985" s="2">
        <v>2720</v>
      </c>
      <c r="N5985" t="s">
        <v>5280</v>
      </c>
      <c r="O5985">
        <v>5</v>
      </c>
      <c r="P5985">
        <v>3</v>
      </c>
      <c r="Q5985">
        <v>0</v>
      </c>
      <c r="R5985" t="s">
        <v>5281</v>
      </c>
      <c r="S5985" t="s">
        <v>4898</v>
      </c>
      <c r="T5985" t="s">
        <v>2704</v>
      </c>
      <c r="U5985" t="s">
        <v>4560</v>
      </c>
      <c r="V5985" s="2">
        <v>669</v>
      </c>
      <c r="W5985" t="s">
        <v>4655</v>
      </c>
      <c r="X5985" s="2">
        <v>0</v>
      </c>
      <c r="Y5985">
        <v>12</v>
      </c>
      <c r="Z5985" t="s">
        <v>4561</v>
      </c>
      <c r="AA5985" s="3">
        <v>0.15199723839759827</v>
      </c>
      <c r="AB5985" t="s">
        <v>29392</v>
      </c>
      <c r="AC5985" t="s">
        <v>4562</v>
      </c>
      <c r="AD5985" t="s">
        <v>29391</v>
      </c>
      <c r="AE5985" t="s">
        <v>4655</v>
      </c>
      <c r="AF5985" t="s">
        <v>4563</v>
      </c>
      <c r="AG5985" t="s">
        <v>4564</v>
      </c>
      <c r="AH5985" t="s">
        <v>1147</v>
      </c>
      <c r="AI5985" t="s">
        <v>1576</v>
      </c>
      <c r="AJ5985" t="s">
        <v>924</v>
      </c>
      <c r="AK5985" t="s">
        <v>29393</v>
      </c>
      <c r="AL5985" s="13" t="s">
        <v>1896</v>
      </c>
      <c r="AM5985">
        <v>1</v>
      </c>
      <c r="AN5985" s="15" t="s">
        <v>383</v>
      </c>
    </row>
    <row r="5986" spans="1:40" x14ac:dyDescent="0.3">
      <c r="A5986" s="10" t="str">
        <f>HYPERLINK("http://www.washoecounty.gov/assessor/cama/?parid=208-532-09&amp;CardNumber=1","208-532-09")</f>
        <v>208-532-09</v>
      </c>
      <c r="B5986" t="s">
        <v>4655</v>
      </c>
      <c r="C5986" t="s">
        <v>29394</v>
      </c>
      <c r="D5986" s="1">
        <v>40501</v>
      </c>
      <c r="E5986" s="2">
        <v>289980</v>
      </c>
      <c r="F5986" t="s">
        <v>4567</v>
      </c>
      <c r="G5986" s="17" t="str">
        <f>HYPERLINK("https://www.washoecounty.gov/assessor/cama/?command=sales&amp;parid=20853209","3945087")</f>
        <v>3945087</v>
      </c>
      <c r="H5986" t="s">
        <v>962</v>
      </c>
      <c r="I5986">
        <v>2011</v>
      </c>
      <c r="J5986">
        <v>2011</v>
      </c>
      <c r="K5986" t="s">
        <v>4554</v>
      </c>
      <c r="L5986" t="s">
        <v>3974</v>
      </c>
      <c r="M5986" s="2">
        <v>2247</v>
      </c>
      <c r="N5986" t="s">
        <v>5280</v>
      </c>
      <c r="O5986">
        <v>4</v>
      </c>
      <c r="P5986">
        <v>2</v>
      </c>
      <c r="Q5986">
        <v>1</v>
      </c>
      <c r="R5986" t="s">
        <v>5281</v>
      </c>
      <c r="S5986" t="s">
        <v>4898</v>
      </c>
      <c r="T5986" t="s">
        <v>2704</v>
      </c>
      <c r="U5986" t="s">
        <v>5631</v>
      </c>
      <c r="V5986" s="2">
        <v>641</v>
      </c>
      <c r="W5986" t="s">
        <v>4655</v>
      </c>
      <c r="X5986" s="2">
        <v>0</v>
      </c>
      <c r="Y5986">
        <v>20</v>
      </c>
      <c r="Z5986" t="s">
        <v>4561</v>
      </c>
      <c r="AA5986" s="3">
        <v>0.151216715574265</v>
      </c>
      <c r="AB5986" t="s">
        <v>29395</v>
      </c>
      <c r="AC5986" t="s">
        <v>4562</v>
      </c>
      <c r="AD5986" t="s">
        <v>29396</v>
      </c>
      <c r="AE5986" t="s">
        <v>4655</v>
      </c>
      <c r="AF5986" t="s">
        <v>4563</v>
      </c>
      <c r="AG5986" t="s">
        <v>4564</v>
      </c>
      <c r="AH5986" t="s">
        <v>1147</v>
      </c>
      <c r="AI5986" t="s">
        <v>1576</v>
      </c>
      <c r="AJ5986" t="s">
        <v>924</v>
      </c>
      <c r="AK5986" t="s">
        <v>29397</v>
      </c>
      <c r="AL5986" s="13" t="s">
        <v>1896</v>
      </c>
      <c r="AM5986">
        <v>1</v>
      </c>
      <c r="AN5986" s="15" t="s">
        <v>383</v>
      </c>
    </row>
    <row r="5987" spans="1:40" x14ac:dyDescent="0.3">
      <c r="A5987" s="10" t="str">
        <f>HYPERLINK("http://www.washoecounty.gov/assessor/cama/?parid=208-532-10&amp;CardNumber=1","208-532-10")</f>
        <v>208-532-10</v>
      </c>
      <c r="B5987" t="s">
        <v>4655</v>
      </c>
      <c r="C5987" t="s">
        <v>29398</v>
      </c>
      <c r="D5987" s="1">
        <v>40471</v>
      </c>
      <c r="E5987" s="2">
        <v>285950</v>
      </c>
      <c r="F5987" t="s">
        <v>4567</v>
      </c>
      <c r="G5987" s="17" t="str">
        <f>HYPERLINK("https://www.washoecounty.gov/assessor/cama/?command=sales&amp;parid=20853210","3935036")</f>
        <v>3935036</v>
      </c>
      <c r="H5987" t="s">
        <v>962</v>
      </c>
      <c r="I5987">
        <v>2011</v>
      </c>
      <c r="J5987">
        <v>2011</v>
      </c>
      <c r="K5987" t="s">
        <v>4554</v>
      </c>
      <c r="L5987" t="s">
        <v>3974</v>
      </c>
      <c r="M5987" s="2">
        <v>2247</v>
      </c>
      <c r="N5987" t="s">
        <v>5280</v>
      </c>
      <c r="O5987">
        <v>4</v>
      </c>
      <c r="P5987">
        <v>2</v>
      </c>
      <c r="Q5987">
        <v>1</v>
      </c>
      <c r="R5987" t="s">
        <v>5281</v>
      </c>
      <c r="S5987" t="s">
        <v>4898</v>
      </c>
      <c r="T5987" t="s">
        <v>2704</v>
      </c>
      <c r="U5987" t="s">
        <v>5631</v>
      </c>
      <c r="V5987" s="2">
        <v>641</v>
      </c>
      <c r="W5987" t="s">
        <v>4655</v>
      </c>
      <c r="X5987" s="2">
        <v>0</v>
      </c>
      <c r="Y5987">
        <v>20</v>
      </c>
      <c r="Z5987" t="s">
        <v>4561</v>
      </c>
      <c r="AA5987" s="3">
        <v>0.15188245475292206</v>
      </c>
      <c r="AB5987" t="s">
        <v>29399</v>
      </c>
      <c r="AC5987" t="s">
        <v>4562</v>
      </c>
      <c r="AD5987" t="s">
        <v>29400</v>
      </c>
      <c r="AE5987" t="s">
        <v>4655</v>
      </c>
      <c r="AF5987" t="s">
        <v>4563</v>
      </c>
      <c r="AG5987" t="s">
        <v>4564</v>
      </c>
      <c r="AH5987" t="s">
        <v>1147</v>
      </c>
      <c r="AI5987" t="s">
        <v>4655</v>
      </c>
      <c r="AJ5987" t="s">
        <v>924</v>
      </c>
      <c r="AK5987" t="s">
        <v>29401</v>
      </c>
      <c r="AL5987" s="13" t="s">
        <v>1896</v>
      </c>
      <c r="AM5987">
        <v>1</v>
      </c>
      <c r="AN5987" s="15" t="s">
        <v>383</v>
      </c>
    </row>
    <row r="5988" spans="1:40" x14ac:dyDescent="0.3">
      <c r="A5988" s="10" t="str">
        <f>HYPERLINK("http://www.washoecounty.gov/assessor/cama/?parid=208-532-11&amp;CardNumber=1","208-532-11")</f>
        <v>208-532-11</v>
      </c>
      <c r="B5988" t="s">
        <v>4655</v>
      </c>
      <c r="C5988" t="s">
        <v>29402</v>
      </c>
      <c r="D5988" s="1">
        <v>40464</v>
      </c>
      <c r="E5988" s="2">
        <v>268200</v>
      </c>
      <c r="F5988" t="s">
        <v>4567</v>
      </c>
      <c r="G5988" s="17" t="str">
        <f>HYPERLINK("https://www.washoecounty.gov/assessor/cama/?command=sales&amp;parid=20853211","3932432")</f>
        <v>3932432</v>
      </c>
      <c r="H5988" t="s">
        <v>962</v>
      </c>
      <c r="I5988">
        <v>2011</v>
      </c>
      <c r="J5988">
        <v>2011</v>
      </c>
      <c r="K5988" t="s">
        <v>4554</v>
      </c>
      <c r="L5988" t="s">
        <v>4555</v>
      </c>
      <c r="M5988" s="2">
        <v>2097</v>
      </c>
      <c r="N5988" t="s">
        <v>5280</v>
      </c>
      <c r="O5988">
        <v>5</v>
      </c>
      <c r="P5988">
        <v>3</v>
      </c>
      <c r="Q5988">
        <v>0</v>
      </c>
      <c r="R5988" t="s">
        <v>5281</v>
      </c>
      <c r="S5988" t="s">
        <v>4898</v>
      </c>
      <c r="T5988" t="s">
        <v>2704</v>
      </c>
      <c r="U5988" t="s">
        <v>4560</v>
      </c>
      <c r="V5988" s="2">
        <v>580</v>
      </c>
      <c r="W5988" t="s">
        <v>4655</v>
      </c>
      <c r="X5988" s="2">
        <v>0</v>
      </c>
      <c r="Y5988">
        <v>20</v>
      </c>
      <c r="Z5988" t="s">
        <v>4561</v>
      </c>
      <c r="AA5988" s="3">
        <v>0.153719007968903</v>
      </c>
      <c r="AB5988" t="s">
        <v>29403</v>
      </c>
      <c r="AC5988" t="s">
        <v>4562</v>
      </c>
      <c r="AD5988" t="s">
        <v>29404</v>
      </c>
      <c r="AE5988" t="s">
        <v>4655</v>
      </c>
      <c r="AF5988" t="s">
        <v>4563</v>
      </c>
      <c r="AG5988" t="s">
        <v>4564</v>
      </c>
      <c r="AH5988" t="s">
        <v>1147</v>
      </c>
      <c r="AI5988" t="s">
        <v>4655</v>
      </c>
      <c r="AJ5988" t="s">
        <v>924</v>
      </c>
      <c r="AK5988" t="s">
        <v>29405</v>
      </c>
      <c r="AL5988" s="13" t="s">
        <v>1896</v>
      </c>
      <c r="AM5988">
        <v>1</v>
      </c>
      <c r="AN5988" s="15" t="s">
        <v>383</v>
      </c>
    </row>
    <row r="5989" spans="1:40" x14ac:dyDescent="0.3">
      <c r="A5989" s="10" t="str">
        <f>HYPERLINK("http://www.washoecounty.gov/assessor/cama/?parid=208-532-13&amp;CardNumber=1","208-532-13")</f>
        <v>208-532-13</v>
      </c>
      <c r="B5989" t="s">
        <v>4655</v>
      </c>
      <c r="C5989" t="s">
        <v>29406</v>
      </c>
      <c r="D5989" s="1">
        <v>40204</v>
      </c>
      <c r="E5989" s="2">
        <v>210950</v>
      </c>
      <c r="F5989" t="s">
        <v>4567</v>
      </c>
      <c r="G5989" s="17" t="str">
        <f>HYPERLINK("https://www.washoecounty.gov/assessor/cama/?command=sales&amp;parid=20853213","3842703")</f>
        <v>3842703</v>
      </c>
      <c r="H5989" t="s">
        <v>962</v>
      </c>
      <c r="I5989">
        <v>2008</v>
      </c>
      <c r="J5989">
        <v>2008</v>
      </c>
      <c r="K5989" t="s">
        <v>4554</v>
      </c>
      <c r="L5989" t="s">
        <v>4555</v>
      </c>
      <c r="M5989" s="2">
        <v>1410</v>
      </c>
      <c r="N5989" t="s">
        <v>5280</v>
      </c>
      <c r="O5989">
        <v>3</v>
      </c>
      <c r="P5989">
        <v>2</v>
      </c>
      <c r="Q5989">
        <v>0</v>
      </c>
      <c r="R5989" t="s">
        <v>5281</v>
      </c>
      <c r="S5989" t="s">
        <v>4898</v>
      </c>
      <c r="T5989" t="s">
        <v>2704</v>
      </c>
      <c r="U5989" t="s">
        <v>4560</v>
      </c>
      <c r="V5989" s="2">
        <v>432</v>
      </c>
      <c r="W5989" t="s">
        <v>4655</v>
      </c>
      <c r="X5989" s="2">
        <v>0</v>
      </c>
      <c r="Y5989">
        <v>20</v>
      </c>
      <c r="Z5989" t="s">
        <v>4561</v>
      </c>
      <c r="AA5989" s="3">
        <v>0.16668961942195892</v>
      </c>
      <c r="AB5989" t="s">
        <v>29407</v>
      </c>
      <c r="AC5989" t="s">
        <v>4575</v>
      </c>
      <c r="AD5989" t="s">
        <v>29408</v>
      </c>
      <c r="AE5989" t="s">
        <v>29409</v>
      </c>
      <c r="AF5989" t="s">
        <v>4563</v>
      </c>
      <c r="AG5989" t="s">
        <v>4564</v>
      </c>
      <c r="AH5989" t="s">
        <v>1147</v>
      </c>
      <c r="AI5989" t="s">
        <v>3655</v>
      </c>
      <c r="AJ5989" t="s">
        <v>924</v>
      </c>
      <c r="AK5989" t="s">
        <v>29410</v>
      </c>
      <c r="AL5989" s="13" t="s">
        <v>1896</v>
      </c>
      <c r="AM5989" s="14">
        <v>1</v>
      </c>
      <c r="AN5989" s="15" t="s">
        <v>383</v>
      </c>
    </row>
    <row r="5990" spans="1:40" x14ac:dyDescent="0.3">
      <c r="A5990" s="10" t="str">
        <f>HYPERLINK("http://www.washoecounty.gov/assessor/cama/?parid=208-552-03&amp;CardNumber=1","208-552-03")</f>
        <v>208-552-03</v>
      </c>
      <c r="B5990" t="s">
        <v>4655</v>
      </c>
      <c r="C5990" t="s">
        <v>29411</v>
      </c>
      <c r="D5990" s="1">
        <v>40396</v>
      </c>
      <c r="E5990" s="2">
        <v>241000</v>
      </c>
      <c r="F5990" t="s">
        <v>4553</v>
      </c>
      <c r="G5990" s="17" t="str">
        <f>HYPERLINK("https://www.washoecounty.gov/assessor/cama/?command=sales&amp;parid=20855203","3909461")</f>
        <v>3909461</v>
      </c>
      <c r="H5990" t="s">
        <v>892</v>
      </c>
      <c r="I5990">
        <v>2004</v>
      </c>
      <c r="J5990">
        <v>2004</v>
      </c>
      <c r="K5990" t="s">
        <v>4554</v>
      </c>
      <c r="L5990" t="s">
        <v>4555</v>
      </c>
      <c r="M5990" s="2">
        <v>1880</v>
      </c>
      <c r="N5990" t="s">
        <v>3147</v>
      </c>
      <c r="O5990">
        <v>3</v>
      </c>
      <c r="P5990">
        <v>2</v>
      </c>
      <c r="Q5990">
        <v>0</v>
      </c>
      <c r="R5990" t="s">
        <v>4557</v>
      </c>
      <c r="S5990" t="s">
        <v>4558</v>
      </c>
      <c r="T5990" t="s">
        <v>4559</v>
      </c>
      <c r="U5990" t="s">
        <v>4560</v>
      </c>
      <c r="V5990" s="2">
        <v>569</v>
      </c>
      <c r="W5990" t="s">
        <v>4655</v>
      </c>
      <c r="X5990" s="2">
        <v>0</v>
      </c>
      <c r="Y5990">
        <v>20</v>
      </c>
      <c r="Z5990" t="s">
        <v>4561</v>
      </c>
      <c r="AA5990" s="3">
        <v>0.19533975422382355</v>
      </c>
      <c r="AB5990" t="s">
        <v>29412</v>
      </c>
      <c r="AC5990" t="s">
        <v>4562</v>
      </c>
      <c r="AD5990" t="s">
        <v>29413</v>
      </c>
      <c r="AE5990" t="s">
        <v>4655</v>
      </c>
      <c r="AF5990" t="s">
        <v>4563</v>
      </c>
      <c r="AG5990" t="s">
        <v>4564</v>
      </c>
      <c r="AH5990" t="s">
        <v>1147</v>
      </c>
      <c r="AI5990" t="s">
        <v>4655</v>
      </c>
      <c r="AJ5990" t="s">
        <v>893</v>
      </c>
      <c r="AK5990" t="s">
        <v>29414</v>
      </c>
      <c r="AL5990" s="13" t="s">
        <v>1897</v>
      </c>
      <c r="AM5990">
        <v>1</v>
      </c>
      <c r="AN5990" s="15" t="s">
        <v>383</v>
      </c>
    </row>
    <row r="5991" spans="1:40" x14ac:dyDescent="0.3">
      <c r="A5991" s="10" t="str">
        <f>HYPERLINK("http://www.washoecounty.gov/assessor/cama/?parid=208-553-09&amp;CardNumber=1","208-553-09")</f>
        <v>208-553-09</v>
      </c>
      <c r="B5991" t="s">
        <v>4655</v>
      </c>
      <c r="C5991" t="s">
        <v>29415</v>
      </c>
      <c r="D5991" s="1">
        <v>40443</v>
      </c>
      <c r="E5991" s="2">
        <v>241000</v>
      </c>
      <c r="F5991" t="s">
        <v>4567</v>
      </c>
      <c r="G5991" s="17" t="str">
        <f>HYPERLINK("https://www.washoecounty.gov/assessor/cama/?command=sales&amp;parid=20855309","3924897")</f>
        <v>3924897</v>
      </c>
      <c r="H5991" t="s">
        <v>892</v>
      </c>
      <c r="I5991">
        <v>2004</v>
      </c>
      <c r="J5991">
        <v>2004</v>
      </c>
      <c r="K5991" t="s">
        <v>4554</v>
      </c>
      <c r="L5991" t="s">
        <v>3974</v>
      </c>
      <c r="M5991" s="2">
        <v>2509</v>
      </c>
      <c r="N5991" t="s">
        <v>3147</v>
      </c>
      <c r="O5991">
        <v>4</v>
      </c>
      <c r="P5991">
        <v>3</v>
      </c>
      <c r="Q5991">
        <v>0</v>
      </c>
      <c r="R5991" t="s">
        <v>5281</v>
      </c>
      <c r="S5991" t="s">
        <v>4558</v>
      </c>
      <c r="T5991" t="s">
        <v>4559</v>
      </c>
      <c r="U5991" t="s">
        <v>4560</v>
      </c>
      <c r="V5991" s="2">
        <v>634</v>
      </c>
      <c r="W5991" t="s">
        <v>4655</v>
      </c>
      <c r="X5991" s="2">
        <v>0</v>
      </c>
      <c r="Y5991">
        <v>20</v>
      </c>
      <c r="Z5991" t="s">
        <v>4561</v>
      </c>
      <c r="AA5991" s="3">
        <v>0.21618457138538361</v>
      </c>
      <c r="AB5991" t="s">
        <v>5309</v>
      </c>
      <c r="AC5991" t="s">
        <v>4562</v>
      </c>
      <c r="AD5991" t="s">
        <v>29415</v>
      </c>
      <c r="AE5991" t="s">
        <v>4655</v>
      </c>
      <c r="AF5991" t="s">
        <v>4563</v>
      </c>
      <c r="AG5991" t="s">
        <v>4564</v>
      </c>
      <c r="AH5991" t="s">
        <v>1147</v>
      </c>
      <c r="AI5991" t="s">
        <v>29416</v>
      </c>
      <c r="AJ5991" t="s">
        <v>893</v>
      </c>
      <c r="AK5991" t="s">
        <v>29417</v>
      </c>
      <c r="AL5991" s="13" t="s">
        <v>1897</v>
      </c>
      <c r="AM5991">
        <v>1</v>
      </c>
      <c r="AN5991" s="15" t="s">
        <v>383</v>
      </c>
    </row>
    <row r="5992" spans="1:40" x14ac:dyDescent="0.3">
      <c r="A5992" s="10" t="str">
        <f>HYPERLINK("http://www.washoecounty.gov/assessor/cama/?parid=208-554-07&amp;CardNumber=1","208-554-07")</f>
        <v>208-554-07</v>
      </c>
      <c r="B5992" t="s">
        <v>4655</v>
      </c>
      <c r="C5992" t="s">
        <v>29418</v>
      </c>
      <c r="D5992" s="1">
        <v>40542</v>
      </c>
      <c r="E5992" s="2">
        <v>237300</v>
      </c>
      <c r="F5992" t="s">
        <v>4553</v>
      </c>
      <c r="G5992" s="17" t="str">
        <f>HYPERLINK("https://www.washoecounty.gov/assessor/cama/?command=sales&amp;parid=20855407","3959090")</f>
        <v>3959090</v>
      </c>
      <c r="H5992" t="s">
        <v>892</v>
      </c>
      <c r="I5992">
        <v>2004</v>
      </c>
      <c r="J5992">
        <v>2004</v>
      </c>
      <c r="K5992" t="s">
        <v>4554</v>
      </c>
      <c r="L5992" t="s">
        <v>3974</v>
      </c>
      <c r="M5992" s="2">
        <v>2509</v>
      </c>
      <c r="N5992" t="s">
        <v>3147</v>
      </c>
      <c r="O5992">
        <v>4</v>
      </c>
      <c r="P5992">
        <v>3</v>
      </c>
      <c r="Q5992">
        <v>0</v>
      </c>
      <c r="R5992" t="s">
        <v>4557</v>
      </c>
      <c r="S5992" t="s">
        <v>4558</v>
      </c>
      <c r="T5992" t="s">
        <v>4559</v>
      </c>
      <c r="U5992" t="s">
        <v>4560</v>
      </c>
      <c r="V5992" s="2">
        <v>634</v>
      </c>
      <c r="W5992" t="s">
        <v>4655</v>
      </c>
      <c r="X5992" s="2">
        <v>0</v>
      </c>
      <c r="Y5992">
        <v>20</v>
      </c>
      <c r="Z5992" t="s">
        <v>4561</v>
      </c>
      <c r="AA5992" s="3">
        <v>0.23450413346290599</v>
      </c>
      <c r="AB5992" t="s">
        <v>29419</v>
      </c>
      <c r="AC5992" t="s">
        <v>4562</v>
      </c>
      <c r="AD5992" t="s">
        <v>29420</v>
      </c>
      <c r="AE5992" t="s">
        <v>4655</v>
      </c>
      <c r="AF5992" t="s">
        <v>4563</v>
      </c>
      <c r="AG5992" t="s">
        <v>4564</v>
      </c>
      <c r="AH5992" t="s">
        <v>1147</v>
      </c>
      <c r="AI5992" t="s">
        <v>4903</v>
      </c>
      <c r="AJ5992" t="s">
        <v>893</v>
      </c>
      <c r="AK5992" t="s">
        <v>29421</v>
      </c>
      <c r="AL5992" s="13" t="s">
        <v>1897</v>
      </c>
      <c r="AM5992" s="14">
        <v>1</v>
      </c>
      <c r="AN5992" s="15" t="s">
        <v>383</v>
      </c>
    </row>
    <row r="5993" spans="1:40" x14ac:dyDescent="0.3">
      <c r="A5993" s="10" t="str">
        <f>HYPERLINK("http://www.washoecounty.gov/assessor/cama/?parid=208-561-14&amp;CardNumber=1","208-561-14")</f>
        <v>208-561-14</v>
      </c>
      <c r="B5993" t="s">
        <v>4655</v>
      </c>
      <c r="C5993" t="s">
        <v>29422</v>
      </c>
      <c r="D5993" s="1">
        <v>40519</v>
      </c>
      <c r="E5993" s="2">
        <v>235000</v>
      </c>
      <c r="F5993" t="s">
        <v>4567</v>
      </c>
      <c r="G5993" s="17" t="str">
        <f>HYPERLINK("https://www.washoecounty.gov/assessor/cama/?command=sales&amp;parid=20856114","3950048")</f>
        <v>3950048</v>
      </c>
      <c r="H5993" t="s">
        <v>2314</v>
      </c>
      <c r="I5993">
        <v>2002</v>
      </c>
      <c r="J5993">
        <v>2002</v>
      </c>
      <c r="K5993" t="s">
        <v>4554</v>
      </c>
      <c r="L5993" t="s">
        <v>3974</v>
      </c>
      <c r="M5993" s="2">
        <v>2261</v>
      </c>
      <c r="N5993" t="s">
        <v>3147</v>
      </c>
      <c r="O5993">
        <v>4</v>
      </c>
      <c r="P5993">
        <v>2</v>
      </c>
      <c r="Q5993">
        <v>1</v>
      </c>
      <c r="R5993" t="s">
        <v>4557</v>
      </c>
      <c r="S5993" t="s">
        <v>4558</v>
      </c>
      <c r="T5993" t="s">
        <v>4559</v>
      </c>
      <c r="U5993" t="s">
        <v>4560</v>
      </c>
      <c r="V5993" s="2">
        <v>618</v>
      </c>
      <c r="W5993" t="s">
        <v>4655</v>
      </c>
      <c r="X5993" s="2">
        <v>0</v>
      </c>
      <c r="Y5993">
        <v>20</v>
      </c>
      <c r="Z5993" t="s">
        <v>4561</v>
      </c>
      <c r="AA5993" s="3">
        <v>0.198048666119576</v>
      </c>
      <c r="AB5993" t="s">
        <v>29423</v>
      </c>
      <c r="AC5993" t="s">
        <v>4562</v>
      </c>
      <c r="AD5993" t="s">
        <v>29422</v>
      </c>
      <c r="AE5993" t="s">
        <v>4655</v>
      </c>
      <c r="AF5993" t="s">
        <v>4563</v>
      </c>
      <c r="AG5993" t="s">
        <v>4564</v>
      </c>
      <c r="AH5993" t="s">
        <v>1147</v>
      </c>
      <c r="AI5993" t="s">
        <v>29424</v>
      </c>
      <c r="AJ5993" t="s">
        <v>3542</v>
      </c>
      <c r="AK5993" t="s">
        <v>29425</v>
      </c>
      <c r="AL5993" s="13" t="s">
        <v>1897</v>
      </c>
      <c r="AM5993">
        <v>1</v>
      </c>
      <c r="AN5993" s="15" t="s">
        <v>383</v>
      </c>
    </row>
    <row r="5994" spans="1:40" x14ac:dyDescent="0.3">
      <c r="A5994" s="10" t="str">
        <f>HYPERLINK("http://www.washoecounty.gov/assessor/cama/?parid=208-561-23&amp;CardNumber=1","208-561-23")</f>
        <v>208-561-23</v>
      </c>
      <c r="B5994" t="s">
        <v>4655</v>
      </c>
      <c r="C5994" t="s">
        <v>29426</v>
      </c>
      <c r="D5994" s="1">
        <v>40242</v>
      </c>
      <c r="E5994" s="2">
        <v>225900</v>
      </c>
      <c r="F5994" t="s">
        <v>4553</v>
      </c>
      <c r="G5994" s="17" t="str">
        <f>HYPERLINK("https://www.washoecounty.gov/assessor/cama/?command=sales&amp;parid=20856123","3856266")</f>
        <v>3856266</v>
      </c>
      <c r="H5994" t="s">
        <v>2314</v>
      </c>
      <c r="I5994">
        <v>2002</v>
      </c>
      <c r="J5994">
        <v>2002</v>
      </c>
      <c r="K5994" t="s">
        <v>4554</v>
      </c>
      <c r="L5994" t="s">
        <v>3974</v>
      </c>
      <c r="M5994" s="2">
        <v>2772</v>
      </c>
      <c r="N5994" t="s">
        <v>3147</v>
      </c>
      <c r="O5994">
        <v>4</v>
      </c>
      <c r="P5994">
        <v>3</v>
      </c>
      <c r="Q5994">
        <v>0</v>
      </c>
      <c r="R5994" t="s">
        <v>5281</v>
      </c>
      <c r="S5994" t="s">
        <v>4558</v>
      </c>
      <c r="T5994" t="s">
        <v>4559</v>
      </c>
      <c r="U5994" t="s">
        <v>5631</v>
      </c>
      <c r="V5994" s="2">
        <v>587</v>
      </c>
      <c r="W5994" t="s">
        <v>4655</v>
      </c>
      <c r="X5994" s="2">
        <v>0</v>
      </c>
      <c r="Y5994">
        <v>20</v>
      </c>
      <c r="Z5994" t="s">
        <v>4561</v>
      </c>
      <c r="AA5994" s="3">
        <v>0.171831950545311</v>
      </c>
      <c r="AB5994" t="s">
        <v>29427</v>
      </c>
      <c r="AC5994" t="s">
        <v>4575</v>
      </c>
      <c r="AD5994" t="s">
        <v>29428</v>
      </c>
      <c r="AE5994" t="s">
        <v>29426</v>
      </c>
      <c r="AF5994" t="s">
        <v>4563</v>
      </c>
      <c r="AG5994" t="s">
        <v>4564</v>
      </c>
      <c r="AH5994" t="s">
        <v>5197</v>
      </c>
      <c r="AI5994" t="s">
        <v>4903</v>
      </c>
      <c r="AJ5994" t="s">
        <v>3542</v>
      </c>
      <c r="AK5994" t="s">
        <v>29429</v>
      </c>
      <c r="AL5994" s="13" t="s">
        <v>1322</v>
      </c>
      <c r="AM5994">
        <v>1</v>
      </c>
      <c r="AN5994" s="15" t="s">
        <v>383</v>
      </c>
    </row>
    <row r="5995" spans="1:40" x14ac:dyDescent="0.3">
      <c r="A5995" s="10" t="str">
        <f>HYPERLINK("http://www.washoecounty.gov/assessor/cama/?parid=208-563-10&amp;CardNumber=1","208-563-10")</f>
        <v>208-563-10</v>
      </c>
      <c r="B5995" t="s">
        <v>4655</v>
      </c>
      <c r="C5995" t="s">
        <v>29430</v>
      </c>
      <c r="D5995" s="1">
        <v>40235</v>
      </c>
      <c r="E5995" s="2">
        <v>240000</v>
      </c>
      <c r="F5995" t="s">
        <v>4567</v>
      </c>
      <c r="G5995" s="17" t="str">
        <f>HYPERLINK("https://www.washoecounty.gov/assessor/cama/?command=sales&amp;parid=20856310","3853390")</f>
        <v>3853390</v>
      </c>
      <c r="H5995" t="s">
        <v>2314</v>
      </c>
      <c r="I5995">
        <v>2002</v>
      </c>
      <c r="J5995">
        <v>2002</v>
      </c>
      <c r="K5995" t="s">
        <v>4554</v>
      </c>
      <c r="L5995" t="s">
        <v>4555</v>
      </c>
      <c r="M5995" s="2">
        <v>1880</v>
      </c>
      <c r="N5995" t="s">
        <v>3147</v>
      </c>
      <c r="O5995">
        <v>4</v>
      </c>
      <c r="P5995">
        <v>2</v>
      </c>
      <c r="Q5995">
        <v>0</v>
      </c>
      <c r="R5995" t="s">
        <v>4557</v>
      </c>
      <c r="S5995" t="s">
        <v>4558</v>
      </c>
      <c r="T5995" t="s">
        <v>4559</v>
      </c>
      <c r="U5995" t="s">
        <v>4560</v>
      </c>
      <c r="V5995" s="2">
        <v>569</v>
      </c>
      <c r="W5995" t="s">
        <v>4655</v>
      </c>
      <c r="X5995" s="2">
        <v>0</v>
      </c>
      <c r="Y5995">
        <v>20</v>
      </c>
      <c r="Z5995" t="s">
        <v>4561</v>
      </c>
      <c r="AA5995" s="3">
        <v>0.19439853727817535</v>
      </c>
      <c r="AB5995" t="s">
        <v>29431</v>
      </c>
      <c r="AC5995" t="s">
        <v>4562</v>
      </c>
      <c r="AD5995" t="s">
        <v>29432</v>
      </c>
      <c r="AE5995" t="s">
        <v>4655</v>
      </c>
      <c r="AF5995" t="s">
        <v>4216</v>
      </c>
      <c r="AG5995" t="s">
        <v>4584</v>
      </c>
      <c r="AH5995">
        <v>93065</v>
      </c>
      <c r="AI5995" t="s">
        <v>29433</v>
      </c>
      <c r="AJ5995" t="s">
        <v>3542</v>
      </c>
      <c r="AK5995" t="s">
        <v>29434</v>
      </c>
      <c r="AL5995" s="13" t="s">
        <v>1322</v>
      </c>
      <c r="AM5995" s="14">
        <v>1</v>
      </c>
      <c r="AN5995" s="15" t="s">
        <v>383</v>
      </c>
    </row>
    <row r="5996" spans="1:40" x14ac:dyDescent="0.3">
      <c r="A5996" s="10" t="str">
        <f>HYPERLINK("http://www.washoecounty.gov/assessor/cama/?parid=208-571-06&amp;CardNumber=1","208-571-06")</f>
        <v>208-571-06</v>
      </c>
      <c r="B5996" t="s">
        <v>4655</v>
      </c>
      <c r="C5996" t="s">
        <v>29435</v>
      </c>
      <c r="D5996" s="1">
        <v>40344</v>
      </c>
      <c r="E5996" s="2">
        <v>230000</v>
      </c>
      <c r="F5996" t="s">
        <v>4553</v>
      </c>
      <c r="G5996" s="17" t="str">
        <f>HYPERLINK("https://www.washoecounty.gov/assessor/cama/?command=sales&amp;parid=20857106","3892135")</f>
        <v>3892135</v>
      </c>
      <c r="H5996" t="s">
        <v>3176</v>
      </c>
      <c r="I5996">
        <v>2002</v>
      </c>
      <c r="J5996">
        <v>2002</v>
      </c>
      <c r="K5996" t="s">
        <v>4554</v>
      </c>
      <c r="L5996" t="s">
        <v>3974</v>
      </c>
      <c r="M5996" s="2">
        <v>1780</v>
      </c>
      <c r="N5996" t="s">
        <v>5280</v>
      </c>
      <c r="O5996">
        <v>4</v>
      </c>
      <c r="P5996">
        <v>2</v>
      </c>
      <c r="Q5996">
        <v>1</v>
      </c>
      <c r="R5996" t="s">
        <v>5281</v>
      </c>
      <c r="S5996" t="s">
        <v>4898</v>
      </c>
      <c r="T5996" t="s">
        <v>2704</v>
      </c>
      <c r="U5996" t="s">
        <v>5631</v>
      </c>
      <c r="V5996" s="2">
        <v>477</v>
      </c>
      <c r="W5996" t="s">
        <v>4655</v>
      </c>
      <c r="X5996" s="2">
        <v>0</v>
      </c>
      <c r="Y5996">
        <v>20</v>
      </c>
      <c r="Z5996" t="s">
        <v>4561</v>
      </c>
      <c r="AA5996" s="3">
        <v>0.32750231027603099</v>
      </c>
      <c r="AB5996" t="s">
        <v>29436</v>
      </c>
      <c r="AC5996" t="s">
        <v>4562</v>
      </c>
      <c r="AD5996" t="s">
        <v>29437</v>
      </c>
      <c r="AE5996" t="s">
        <v>4655</v>
      </c>
      <c r="AF5996" t="s">
        <v>4563</v>
      </c>
      <c r="AG5996" t="s">
        <v>4564</v>
      </c>
      <c r="AH5996" t="s">
        <v>1147</v>
      </c>
      <c r="AI5996" t="s">
        <v>4903</v>
      </c>
      <c r="AJ5996" t="s">
        <v>2358</v>
      </c>
      <c r="AK5996" t="s">
        <v>29438</v>
      </c>
      <c r="AL5996" s="13" t="s">
        <v>1896</v>
      </c>
      <c r="AM5996" s="14">
        <v>1</v>
      </c>
      <c r="AN5996" s="15" t="s">
        <v>383</v>
      </c>
    </row>
    <row r="5997" spans="1:40" x14ac:dyDescent="0.3">
      <c r="A5997" s="10" t="str">
        <f>HYPERLINK("http://www.washoecounty.gov/assessor/cama/?parid=208-572-02&amp;CardNumber=1","208-572-02")</f>
        <v>208-572-02</v>
      </c>
      <c r="B5997" t="s">
        <v>4655</v>
      </c>
      <c r="C5997" t="s">
        <v>29439</v>
      </c>
      <c r="D5997" s="1">
        <v>40255</v>
      </c>
      <c r="E5997" s="2">
        <v>148000</v>
      </c>
      <c r="F5997" t="s">
        <v>4567</v>
      </c>
      <c r="G5997" s="17" t="str">
        <f>HYPERLINK("https://www.washoecounty.gov/assessor/cama/?command=sales&amp;parid=20857202","3861076")</f>
        <v>3861076</v>
      </c>
      <c r="H5997" t="s">
        <v>3176</v>
      </c>
      <c r="I5997">
        <v>2002</v>
      </c>
      <c r="J5997">
        <v>2002</v>
      </c>
      <c r="K5997" t="s">
        <v>4554</v>
      </c>
      <c r="L5997" t="s">
        <v>4555</v>
      </c>
      <c r="M5997" s="2">
        <v>1294</v>
      </c>
      <c r="N5997" t="s">
        <v>5280</v>
      </c>
      <c r="O5997">
        <v>3</v>
      </c>
      <c r="P5997">
        <v>2</v>
      </c>
      <c r="Q5997">
        <v>0</v>
      </c>
      <c r="R5997" t="s">
        <v>5281</v>
      </c>
      <c r="S5997" t="s">
        <v>4898</v>
      </c>
      <c r="T5997" t="s">
        <v>2704</v>
      </c>
      <c r="U5997" t="s">
        <v>4560</v>
      </c>
      <c r="V5997" s="2">
        <v>400</v>
      </c>
      <c r="W5997" t="s">
        <v>4655</v>
      </c>
      <c r="X5997" s="2">
        <v>0</v>
      </c>
      <c r="Y5997">
        <v>20</v>
      </c>
      <c r="Z5997" t="s">
        <v>4561</v>
      </c>
      <c r="AA5997" s="3">
        <v>0.185950413346291</v>
      </c>
      <c r="AB5997" t="s">
        <v>29440</v>
      </c>
      <c r="AC5997" t="s">
        <v>4562</v>
      </c>
      <c r="AD5997" t="s">
        <v>29439</v>
      </c>
      <c r="AE5997" t="s">
        <v>4655</v>
      </c>
      <c r="AF5997" t="s">
        <v>4563</v>
      </c>
      <c r="AG5997" t="s">
        <v>4564</v>
      </c>
      <c r="AH5997" t="s">
        <v>1147</v>
      </c>
      <c r="AI5997" t="s">
        <v>4844</v>
      </c>
      <c r="AJ5997" t="s">
        <v>2358</v>
      </c>
      <c r="AK5997" t="s">
        <v>29441</v>
      </c>
      <c r="AL5997" s="13" t="s">
        <v>1896</v>
      </c>
      <c r="AM5997">
        <v>1</v>
      </c>
      <c r="AN5997" s="15" t="s">
        <v>383</v>
      </c>
    </row>
    <row r="5998" spans="1:40" x14ac:dyDescent="0.3">
      <c r="A5998" s="10" t="str">
        <f>HYPERLINK("http://www.washoecounty.gov/assessor/cama/?parid=208-572-02&amp;CardNumber=1","208-572-02")</f>
        <v>208-572-02</v>
      </c>
      <c r="B5998" t="s">
        <v>4655</v>
      </c>
      <c r="C5998" t="s">
        <v>29439</v>
      </c>
      <c r="D5998" s="1">
        <v>40256</v>
      </c>
      <c r="E5998" s="2">
        <v>180000</v>
      </c>
      <c r="F5998" t="s">
        <v>4567</v>
      </c>
      <c r="G5998" s="17" t="str">
        <f>HYPERLINK("https://www.washoecounty.gov/assessor/cama/?command=sales&amp;parid=20857202","3861517")</f>
        <v>3861517</v>
      </c>
      <c r="H5998" t="s">
        <v>3176</v>
      </c>
      <c r="I5998">
        <v>2002</v>
      </c>
      <c r="J5998">
        <v>2002</v>
      </c>
      <c r="K5998" t="s">
        <v>4554</v>
      </c>
      <c r="L5998" t="s">
        <v>4555</v>
      </c>
      <c r="M5998" s="2">
        <v>1294</v>
      </c>
      <c r="N5998" t="s">
        <v>5280</v>
      </c>
      <c r="O5998">
        <v>3</v>
      </c>
      <c r="P5998">
        <v>2</v>
      </c>
      <c r="Q5998">
        <v>0</v>
      </c>
      <c r="R5998" t="s">
        <v>5281</v>
      </c>
      <c r="S5998" t="s">
        <v>4898</v>
      </c>
      <c r="T5998" t="s">
        <v>2704</v>
      </c>
      <c r="U5998" t="s">
        <v>4560</v>
      </c>
      <c r="V5998" s="2">
        <v>400</v>
      </c>
      <c r="W5998" t="s">
        <v>4655</v>
      </c>
      <c r="X5998" s="2">
        <v>0</v>
      </c>
      <c r="Y5998">
        <v>20</v>
      </c>
      <c r="Z5998" t="s">
        <v>4561</v>
      </c>
      <c r="AA5998" s="3">
        <v>0.185950413346291</v>
      </c>
      <c r="AB5998" t="s">
        <v>29440</v>
      </c>
      <c r="AC5998" t="s">
        <v>4562</v>
      </c>
      <c r="AD5998" t="s">
        <v>29439</v>
      </c>
      <c r="AE5998" t="s">
        <v>4655</v>
      </c>
      <c r="AF5998" t="s">
        <v>4563</v>
      </c>
      <c r="AG5998" t="s">
        <v>4564</v>
      </c>
      <c r="AH5998" t="s">
        <v>1147</v>
      </c>
      <c r="AI5998" t="s">
        <v>4844</v>
      </c>
      <c r="AJ5998" t="s">
        <v>2358</v>
      </c>
      <c r="AK5998" t="s">
        <v>29441</v>
      </c>
      <c r="AL5998" s="13" t="s">
        <v>1896</v>
      </c>
      <c r="AM5998" s="14">
        <v>1</v>
      </c>
      <c r="AN5998" s="15" t="s">
        <v>383</v>
      </c>
    </row>
    <row r="5999" spans="1:40" x14ac:dyDescent="0.3">
      <c r="A5999" s="10" t="str">
        <f>HYPERLINK("http://www.washoecounty.gov/assessor/cama/?parid=208-572-04&amp;CardNumber=1","208-572-04")</f>
        <v>208-572-04</v>
      </c>
      <c r="B5999" t="s">
        <v>4655</v>
      </c>
      <c r="C5999" t="s">
        <v>29442</v>
      </c>
      <c r="D5999" s="1">
        <v>40372</v>
      </c>
      <c r="E5999" s="2">
        <v>199900</v>
      </c>
      <c r="F5999" t="s">
        <v>4553</v>
      </c>
      <c r="G5999" s="17" t="str">
        <f>HYPERLINK("https://www.washoecounty.gov/assessor/cama/?command=sales&amp;parid=20857204","3900843")</f>
        <v>3900843</v>
      </c>
      <c r="H5999" t="s">
        <v>3176</v>
      </c>
      <c r="I5999">
        <v>2002</v>
      </c>
      <c r="J5999">
        <v>2002</v>
      </c>
      <c r="K5999" t="s">
        <v>4554</v>
      </c>
      <c r="L5999" t="s">
        <v>3974</v>
      </c>
      <c r="M5999" s="2">
        <v>1780</v>
      </c>
      <c r="N5999" t="s">
        <v>5280</v>
      </c>
      <c r="O5999">
        <v>4</v>
      </c>
      <c r="P5999">
        <v>2</v>
      </c>
      <c r="Q5999">
        <v>1</v>
      </c>
      <c r="R5999" t="s">
        <v>5281</v>
      </c>
      <c r="S5999" t="s">
        <v>4898</v>
      </c>
      <c r="T5999" t="s">
        <v>2704</v>
      </c>
      <c r="U5999" t="s">
        <v>5631</v>
      </c>
      <c r="V5999" s="2">
        <v>477</v>
      </c>
      <c r="W5999" t="s">
        <v>4655</v>
      </c>
      <c r="X5999" s="2">
        <v>0</v>
      </c>
      <c r="Y5999">
        <v>20</v>
      </c>
      <c r="Z5999" t="s">
        <v>4561</v>
      </c>
      <c r="AA5999" s="3">
        <v>0.210537195205688</v>
      </c>
      <c r="AB5999" t="s">
        <v>29443</v>
      </c>
      <c r="AC5999" t="s">
        <v>4562</v>
      </c>
      <c r="AD5999" t="s">
        <v>29444</v>
      </c>
      <c r="AE5999" t="s">
        <v>4655</v>
      </c>
      <c r="AF5999" t="s">
        <v>29445</v>
      </c>
      <c r="AG5999" t="s">
        <v>4584</v>
      </c>
      <c r="AH5999">
        <v>90069</v>
      </c>
      <c r="AI5999" t="s">
        <v>29446</v>
      </c>
      <c r="AJ5999" t="s">
        <v>2358</v>
      </c>
      <c r="AK5999" t="s">
        <v>29447</v>
      </c>
      <c r="AL5999" s="13" t="s">
        <v>1896</v>
      </c>
      <c r="AM5999" s="14">
        <v>1</v>
      </c>
      <c r="AN5999" s="15" t="s">
        <v>383</v>
      </c>
    </row>
    <row r="6000" spans="1:40" x14ac:dyDescent="0.3">
      <c r="A6000" s="10" t="str">
        <f>HYPERLINK("http://www.washoecounty.gov/assessor/cama/?parid=208-573-01&amp;CardNumber=1","208-573-01")</f>
        <v>208-573-01</v>
      </c>
      <c r="B6000" t="s">
        <v>4655</v>
      </c>
      <c r="C6000" t="s">
        <v>29448</v>
      </c>
      <c r="D6000" s="1">
        <v>40465</v>
      </c>
      <c r="E6000" s="2">
        <v>190000</v>
      </c>
      <c r="F6000" t="s">
        <v>4567</v>
      </c>
      <c r="G6000" s="17" t="str">
        <f>HYPERLINK("https://www.washoecounty.gov/assessor/cama/?command=sales&amp;parid=20857301","3933224")</f>
        <v>3933224</v>
      </c>
      <c r="H6000" t="s">
        <v>3176</v>
      </c>
      <c r="I6000">
        <v>2002</v>
      </c>
      <c r="J6000">
        <v>2002</v>
      </c>
      <c r="K6000" t="s">
        <v>4554</v>
      </c>
      <c r="L6000" t="s">
        <v>4555</v>
      </c>
      <c r="M6000" s="2">
        <v>1410</v>
      </c>
      <c r="N6000" t="s">
        <v>5280</v>
      </c>
      <c r="O6000">
        <v>3</v>
      </c>
      <c r="P6000">
        <v>2</v>
      </c>
      <c r="Q6000">
        <v>0</v>
      </c>
      <c r="R6000" t="s">
        <v>5281</v>
      </c>
      <c r="S6000" t="s">
        <v>4898</v>
      </c>
      <c r="T6000" t="s">
        <v>2704</v>
      </c>
      <c r="U6000" t="s">
        <v>4560</v>
      </c>
      <c r="V6000" s="2">
        <v>432</v>
      </c>
      <c r="W6000" t="s">
        <v>4655</v>
      </c>
      <c r="X6000" s="2">
        <v>0</v>
      </c>
      <c r="Y6000">
        <v>20</v>
      </c>
      <c r="Z6000" t="s">
        <v>4561</v>
      </c>
      <c r="AA6000" s="3">
        <v>0.21629935503006001</v>
      </c>
      <c r="AB6000" t="s">
        <v>29449</v>
      </c>
      <c r="AC6000" t="s">
        <v>4575</v>
      </c>
      <c r="AD6000" t="s">
        <v>3177</v>
      </c>
      <c r="AE6000" t="s">
        <v>4655</v>
      </c>
      <c r="AF6000" t="s">
        <v>3178</v>
      </c>
      <c r="AG6000" t="s">
        <v>4584</v>
      </c>
      <c r="AH6000">
        <v>96006</v>
      </c>
      <c r="AI6000" t="s">
        <v>29450</v>
      </c>
      <c r="AJ6000" t="s">
        <v>2358</v>
      </c>
      <c r="AK6000" t="s">
        <v>29451</v>
      </c>
      <c r="AL6000" s="13" t="s">
        <v>1896</v>
      </c>
      <c r="AM6000">
        <v>1</v>
      </c>
      <c r="AN6000" s="15" t="s">
        <v>383</v>
      </c>
    </row>
    <row r="6001" spans="1:40" x14ac:dyDescent="0.3">
      <c r="A6001" s="10" t="str">
        <f>HYPERLINK("http://www.washoecounty.gov/assessor/cama/?parid=208-601-08&amp;CardNumber=1","208-601-08")</f>
        <v>208-601-08</v>
      </c>
      <c r="B6001" t="s">
        <v>4655</v>
      </c>
      <c r="C6001" t="s">
        <v>29021</v>
      </c>
      <c r="D6001" s="1">
        <v>40184</v>
      </c>
      <c r="E6001" s="2">
        <v>390000</v>
      </c>
      <c r="F6001" t="s">
        <v>4567</v>
      </c>
      <c r="G6001" s="17" t="str">
        <f>HYPERLINK("https://www.washoecounty.gov/assessor/cama/?command=sales&amp;parid=20860108","3836988")</f>
        <v>3836988</v>
      </c>
      <c r="H6001" t="s">
        <v>384</v>
      </c>
      <c r="I6001">
        <v>2005</v>
      </c>
      <c r="J6001">
        <v>2005</v>
      </c>
      <c r="K6001" t="s">
        <v>4554</v>
      </c>
      <c r="L6001" t="s">
        <v>3974</v>
      </c>
      <c r="M6001" s="2">
        <v>3127</v>
      </c>
      <c r="N6001" t="s">
        <v>3147</v>
      </c>
      <c r="O6001">
        <v>4</v>
      </c>
      <c r="P6001">
        <v>3</v>
      </c>
      <c r="Q6001">
        <v>1</v>
      </c>
      <c r="R6001" t="s">
        <v>4557</v>
      </c>
      <c r="S6001" t="s">
        <v>4898</v>
      </c>
      <c r="T6001" t="s">
        <v>2704</v>
      </c>
      <c r="U6001" t="s">
        <v>4560</v>
      </c>
      <c r="V6001" s="2">
        <v>668</v>
      </c>
      <c r="W6001" t="s">
        <v>4655</v>
      </c>
      <c r="X6001" s="2">
        <v>0</v>
      </c>
      <c r="Y6001">
        <v>20</v>
      </c>
      <c r="Z6001" t="s">
        <v>385</v>
      </c>
      <c r="AA6001" s="3">
        <v>0.34855371713638306</v>
      </c>
      <c r="AB6001" t="s">
        <v>29452</v>
      </c>
      <c r="AC6001" t="s">
        <v>4562</v>
      </c>
      <c r="AD6001" t="s">
        <v>29453</v>
      </c>
      <c r="AE6001" t="s">
        <v>4655</v>
      </c>
      <c r="AF6001" t="s">
        <v>4563</v>
      </c>
      <c r="AG6001" t="s">
        <v>4564</v>
      </c>
      <c r="AH6001" t="s">
        <v>1147</v>
      </c>
      <c r="AI6001" t="s">
        <v>29454</v>
      </c>
      <c r="AJ6001" t="s">
        <v>340</v>
      </c>
      <c r="AK6001" t="s">
        <v>29455</v>
      </c>
      <c r="AL6001" s="13" t="s">
        <v>1896</v>
      </c>
      <c r="AM6001" s="14">
        <v>1</v>
      </c>
      <c r="AN6001" s="15" t="s">
        <v>341</v>
      </c>
    </row>
    <row r="6002" spans="1:40" x14ac:dyDescent="0.3">
      <c r="A6002" s="10" t="str">
        <f>HYPERLINK("http://www.washoecounty.gov/assessor/cama/?parid=208-601-13&amp;CardNumber=1","208-601-13")</f>
        <v>208-601-13</v>
      </c>
      <c r="B6002" t="s">
        <v>4655</v>
      </c>
      <c r="C6002" t="s">
        <v>29456</v>
      </c>
      <c r="D6002" s="1">
        <v>40409</v>
      </c>
      <c r="E6002" s="2">
        <v>360000</v>
      </c>
      <c r="F6002" t="s">
        <v>4567</v>
      </c>
      <c r="G6002" s="17" t="str">
        <f>HYPERLINK("https://www.washoecounty.gov/assessor/cama/?command=sales&amp;parid=20860113","3913816")</f>
        <v>3913816</v>
      </c>
      <c r="H6002" t="s">
        <v>384</v>
      </c>
      <c r="I6002">
        <v>2005</v>
      </c>
      <c r="J6002">
        <v>2005</v>
      </c>
      <c r="K6002" t="s">
        <v>4554</v>
      </c>
      <c r="L6002" t="s">
        <v>3974</v>
      </c>
      <c r="M6002" s="2">
        <v>3127</v>
      </c>
      <c r="N6002" t="s">
        <v>3147</v>
      </c>
      <c r="O6002">
        <v>4</v>
      </c>
      <c r="P6002">
        <v>3</v>
      </c>
      <c r="Q6002">
        <v>1</v>
      </c>
      <c r="R6002" t="s">
        <v>4557</v>
      </c>
      <c r="S6002" t="s">
        <v>4898</v>
      </c>
      <c r="T6002" t="s">
        <v>2704</v>
      </c>
      <c r="U6002" t="s">
        <v>4560</v>
      </c>
      <c r="V6002" s="2">
        <v>668</v>
      </c>
      <c r="W6002" t="s">
        <v>4655</v>
      </c>
      <c r="X6002" s="2">
        <v>0</v>
      </c>
      <c r="Y6002">
        <v>20</v>
      </c>
      <c r="Z6002" t="s">
        <v>385</v>
      </c>
      <c r="AA6002" s="3">
        <v>0.28696051239967302</v>
      </c>
      <c r="AB6002" t="s">
        <v>29457</v>
      </c>
      <c r="AC6002" t="s">
        <v>4562</v>
      </c>
      <c r="AD6002" t="s">
        <v>29458</v>
      </c>
      <c r="AE6002" t="s">
        <v>4655</v>
      </c>
      <c r="AF6002" t="s">
        <v>4563</v>
      </c>
      <c r="AG6002" t="s">
        <v>4564</v>
      </c>
      <c r="AH6002" t="s">
        <v>1147</v>
      </c>
      <c r="AI6002" t="s">
        <v>29459</v>
      </c>
      <c r="AJ6002" t="s">
        <v>340</v>
      </c>
      <c r="AK6002" t="s">
        <v>29460</v>
      </c>
      <c r="AL6002" s="13" t="s">
        <v>1896</v>
      </c>
      <c r="AM6002" s="14">
        <v>1</v>
      </c>
      <c r="AN6002" s="15" t="s">
        <v>341</v>
      </c>
    </row>
    <row r="6003" spans="1:40" x14ac:dyDescent="0.3">
      <c r="A6003" s="10" t="str">
        <f>HYPERLINK("http://www.washoecounty.gov/assessor/cama/?parid=208-602-04&amp;CardNumber=1","208-602-04")</f>
        <v>208-602-04</v>
      </c>
      <c r="B6003" t="s">
        <v>4655</v>
      </c>
      <c r="C6003" t="s">
        <v>29461</v>
      </c>
      <c r="D6003" s="1">
        <v>40438</v>
      </c>
      <c r="E6003" s="2">
        <v>292000</v>
      </c>
      <c r="F6003" t="s">
        <v>4567</v>
      </c>
      <c r="G6003" s="17" t="str">
        <f>HYPERLINK("https://www.washoecounty.gov/assessor/cama/?command=sales&amp;parid=20860204","3923622")</f>
        <v>3923622</v>
      </c>
      <c r="H6003" t="s">
        <v>384</v>
      </c>
      <c r="I6003">
        <v>2005</v>
      </c>
      <c r="J6003">
        <v>2005</v>
      </c>
      <c r="K6003" t="s">
        <v>4554</v>
      </c>
      <c r="L6003" t="s">
        <v>4555</v>
      </c>
      <c r="M6003" s="2">
        <v>2334</v>
      </c>
      <c r="N6003" t="s">
        <v>5280</v>
      </c>
      <c r="O6003">
        <v>4</v>
      </c>
      <c r="P6003">
        <v>2</v>
      </c>
      <c r="Q6003">
        <v>1</v>
      </c>
      <c r="R6003" t="s">
        <v>4557</v>
      </c>
      <c r="S6003" t="s">
        <v>4898</v>
      </c>
      <c r="T6003" t="s">
        <v>2704</v>
      </c>
      <c r="U6003" t="s">
        <v>4560</v>
      </c>
      <c r="V6003" s="2">
        <v>597</v>
      </c>
      <c r="W6003" t="s">
        <v>4655</v>
      </c>
      <c r="X6003" s="2">
        <v>0</v>
      </c>
      <c r="Y6003">
        <v>20</v>
      </c>
      <c r="Z6003" t="s">
        <v>385</v>
      </c>
      <c r="AA6003" s="3">
        <v>0.23675389587879181</v>
      </c>
      <c r="AB6003" t="s">
        <v>29462</v>
      </c>
      <c r="AC6003" t="s">
        <v>4575</v>
      </c>
      <c r="AD6003" t="s">
        <v>29461</v>
      </c>
      <c r="AE6003" t="s">
        <v>4655</v>
      </c>
      <c r="AF6003" t="s">
        <v>4563</v>
      </c>
      <c r="AG6003" t="s">
        <v>4564</v>
      </c>
      <c r="AH6003" t="s">
        <v>1147</v>
      </c>
      <c r="AI6003" t="s">
        <v>29463</v>
      </c>
      <c r="AJ6003" t="s">
        <v>340</v>
      </c>
      <c r="AK6003" t="s">
        <v>29464</v>
      </c>
      <c r="AL6003" s="13" t="s">
        <v>1896</v>
      </c>
      <c r="AM6003" s="14">
        <v>1</v>
      </c>
      <c r="AN6003" s="15" t="s">
        <v>341</v>
      </c>
    </row>
    <row r="6004" spans="1:40" x14ac:dyDescent="0.3">
      <c r="A6004" s="10" t="str">
        <f>HYPERLINK("http://www.washoecounty.gov/assessor/cama/?parid=208-603-10&amp;CardNumber=1","208-603-10")</f>
        <v>208-603-10</v>
      </c>
      <c r="B6004" t="s">
        <v>4655</v>
      </c>
      <c r="C6004" t="s">
        <v>29465</v>
      </c>
      <c r="D6004" s="1">
        <v>40386</v>
      </c>
      <c r="E6004" s="2">
        <v>235000</v>
      </c>
      <c r="F6004" t="s">
        <v>4553</v>
      </c>
      <c r="G6004" s="17" t="str">
        <f>HYPERLINK("https://www.washoecounty.gov/assessor/cama/?command=sales&amp;parid=20860310","3905430")</f>
        <v>3905430</v>
      </c>
      <c r="H6004" t="s">
        <v>384</v>
      </c>
      <c r="I6004">
        <v>2005</v>
      </c>
      <c r="J6004">
        <v>2005</v>
      </c>
      <c r="K6004" t="s">
        <v>4554</v>
      </c>
      <c r="L6004" t="s">
        <v>4555</v>
      </c>
      <c r="M6004" s="2">
        <v>2045</v>
      </c>
      <c r="N6004" t="s">
        <v>5280</v>
      </c>
      <c r="O6004">
        <v>3</v>
      </c>
      <c r="P6004">
        <v>2</v>
      </c>
      <c r="Q6004">
        <v>0</v>
      </c>
      <c r="R6004" t="s">
        <v>4557</v>
      </c>
      <c r="S6004" t="s">
        <v>4898</v>
      </c>
      <c r="T6004" t="s">
        <v>2704</v>
      </c>
      <c r="U6004" t="s">
        <v>4560</v>
      </c>
      <c r="V6004" s="2">
        <v>577</v>
      </c>
      <c r="W6004" t="s">
        <v>4655</v>
      </c>
      <c r="X6004" s="2">
        <v>0</v>
      </c>
      <c r="Y6004">
        <v>20</v>
      </c>
      <c r="Z6004" t="s">
        <v>385</v>
      </c>
      <c r="AA6004" s="3">
        <v>0.28477960824966397</v>
      </c>
      <c r="AB6004" t="s">
        <v>29466</v>
      </c>
      <c r="AC6004" t="s">
        <v>4562</v>
      </c>
      <c r="AD6004" t="s">
        <v>29465</v>
      </c>
      <c r="AE6004" t="s">
        <v>4655</v>
      </c>
      <c r="AF6004" t="s">
        <v>4563</v>
      </c>
      <c r="AG6004" t="s">
        <v>4564</v>
      </c>
      <c r="AH6004" t="s">
        <v>1147</v>
      </c>
      <c r="AI6004" t="s">
        <v>4903</v>
      </c>
      <c r="AJ6004" t="s">
        <v>340</v>
      </c>
      <c r="AK6004" t="s">
        <v>29467</v>
      </c>
      <c r="AL6004" s="13" t="s">
        <v>1896</v>
      </c>
      <c r="AM6004">
        <v>1</v>
      </c>
      <c r="AN6004" s="15" t="s">
        <v>341</v>
      </c>
    </row>
    <row r="6005" spans="1:40" x14ac:dyDescent="0.3">
      <c r="A6005" s="10" t="str">
        <f>HYPERLINK("http://www.washoecounty.gov/assessor/cama/?parid=208-603-12&amp;CardNumber=1","208-603-12")</f>
        <v>208-603-12</v>
      </c>
      <c r="B6005" t="s">
        <v>4655</v>
      </c>
      <c r="C6005" t="s">
        <v>1474</v>
      </c>
      <c r="D6005" s="1">
        <v>40540</v>
      </c>
      <c r="E6005" s="2">
        <v>332000</v>
      </c>
      <c r="F6005" t="s">
        <v>4567</v>
      </c>
      <c r="G6005" s="17" t="str">
        <f>HYPERLINK("https://www.washoecounty.gov/assessor/cama/?command=sales&amp;parid=20860312","3958143")</f>
        <v>3958143</v>
      </c>
      <c r="H6005" t="s">
        <v>384</v>
      </c>
      <c r="I6005">
        <v>2005</v>
      </c>
      <c r="J6005">
        <v>2005</v>
      </c>
      <c r="K6005" t="s">
        <v>4554</v>
      </c>
      <c r="L6005" t="s">
        <v>3974</v>
      </c>
      <c r="M6005" s="2">
        <v>3084</v>
      </c>
      <c r="N6005" t="s">
        <v>3147</v>
      </c>
      <c r="O6005">
        <v>5</v>
      </c>
      <c r="P6005">
        <v>3</v>
      </c>
      <c r="Q6005">
        <v>0</v>
      </c>
      <c r="R6005" t="s">
        <v>5281</v>
      </c>
      <c r="S6005" t="s">
        <v>4898</v>
      </c>
      <c r="T6005" t="s">
        <v>2704</v>
      </c>
      <c r="U6005" t="s">
        <v>4560</v>
      </c>
      <c r="V6005" s="2">
        <v>850</v>
      </c>
      <c r="W6005" t="s">
        <v>4655</v>
      </c>
      <c r="X6005" s="2">
        <v>0</v>
      </c>
      <c r="Y6005">
        <v>20</v>
      </c>
      <c r="Z6005" t="s">
        <v>385</v>
      </c>
      <c r="AA6005" s="3">
        <v>0.44067952036857599</v>
      </c>
      <c r="AB6005" t="s">
        <v>29468</v>
      </c>
      <c r="AC6005" t="s">
        <v>4562</v>
      </c>
      <c r="AD6005" t="s">
        <v>1474</v>
      </c>
      <c r="AE6005" t="s">
        <v>4655</v>
      </c>
      <c r="AF6005" t="s">
        <v>4563</v>
      </c>
      <c r="AG6005" t="s">
        <v>4564</v>
      </c>
      <c r="AH6005" t="s">
        <v>1147</v>
      </c>
      <c r="AI6005" t="s">
        <v>29469</v>
      </c>
      <c r="AJ6005" t="s">
        <v>340</v>
      </c>
      <c r="AK6005" t="s">
        <v>29470</v>
      </c>
      <c r="AL6005" s="13" t="s">
        <v>1896</v>
      </c>
      <c r="AM6005">
        <v>1</v>
      </c>
      <c r="AN6005" s="15" t="s">
        <v>341</v>
      </c>
    </row>
    <row r="6006" spans="1:40" x14ac:dyDescent="0.3">
      <c r="A6006" s="10" t="str">
        <f>HYPERLINK("http://www.washoecounty.gov/assessor/cama/?parid=208-641-04&amp;CardNumber=1","208-641-04")</f>
        <v>208-641-04</v>
      </c>
      <c r="B6006" t="s">
        <v>4655</v>
      </c>
      <c r="C6006" t="s">
        <v>29471</v>
      </c>
      <c r="D6006" s="1">
        <v>40471</v>
      </c>
      <c r="E6006" s="2">
        <v>205000</v>
      </c>
      <c r="F6006" t="s">
        <v>4567</v>
      </c>
      <c r="G6006" s="17" t="str">
        <f>HYPERLINK("https://www.washoecounty.gov/assessor/cama/?command=sales&amp;parid=20864104","3934752")</f>
        <v>3934752</v>
      </c>
      <c r="H6006" t="s">
        <v>2856</v>
      </c>
      <c r="I6006">
        <v>2003</v>
      </c>
      <c r="J6006">
        <v>2003</v>
      </c>
      <c r="K6006" t="s">
        <v>4554</v>
      </c>
      <c r="L6006" t="s">
        <v>3974</v>
      </c>
      <c r="M6006" s="2">
        <v>1780</v>
      </c>
      <c r="N6006" t="s">
        <v>5280</v>
      </c>
      <c r="O6006">
        <v>4</v>
      </c>
      <c r="P6006">
        <v>2</v>
      </c>
      <c r="Q6006">
        <v>1</v>
      </c>
      <c r="R6006" t="s">
        <v>5281</v>
      </c>
      <c r="S6006" t="s">
        <v>4898</v>
      </c>
      <c r="T6006" t="s">
        <v>2704</v>
      </c>
      <c r="U6006" t="s">
        <v>5631</v>
      </c>
      <c r="V6006" s="2">
        <v>477</v>
      </c>
      <c r="W6006" t="s">
        <v>4655</v>
      </c>
      <c r="X6006" s="2">
        <v>0</v>
      </c>
      <c r="Y6006">
        <v>20</v>
      </c>
      <c r="Z6006" t="s">
        <v>4561</v>
      </c>
      <c r="AA6006" s="3">
        <v>0.15968778729438782</v>
      </c>
      <c r="AB6006" t="s">
        <v>29472</v>
      </c>
      <c r="AC6006" t="s">
        <v>4562</v>
      </c>
      <c r="AD6006" t="s">
        <v>29473</v>
      </c>
      <c r="AE6006" t="s">
        <v>4655</v>
      </c>
      <c r="AF6006" t="s">
        <v>4563</v>
      </c>
      <c r="AG6006" t="s">
        <v>4564</v>
      </c>
      <c r="AH6006" t="s">
        <v>1147</v>
      </c>
      <c r="AI6006" t="s">
        <v>29474</v>
      </c>
      <c r="AJ6006" t="s">
        <v>2482</v>
      </c>
      <c r="AK6006" t="s">
        <v>29475</v>
      </c>
      <c r="AL6006" s="13" t="s">
        <v>1896</v>
      </c>
      <c r="AM6006" s="14">
        <v>1</v>
      </c>
      <c r="AN6006" s="15" t="s">
        <v>383</v>
      </c>
    </row>
    <row r="6007" spans="1:40" x14ac:dyDescent="0.3">
      <c r="A6007" s="10" t="str">
        <f>HYPERLINK("http://www.washoecounty.gov/assessor/cama/?parid=208-641-11&amp;CardNumber=1","208-641-11")</f>
        <v>208-641-11</v>
      </c>
      <c r="B6007" t="s">
        <v>4655</v>
      </c>
      <c r="C6007" t="s">
        <v>29476</v>
      </c>
      <c r="D6007" s="1">
        <v>40305</v>
      </c>
      <c r="E6007" s="2">
        <v>210000</v>
      </c>
      <c r="F6007" t="s">
        <v>4567</v>
      </c>
      <c r="G6007" s="17" t="str">
        <f>HYPERLINK("https://www.washoecounty.gov/assessor/cama/?command=sales&amp;parid=20864111","3879305")</f>
        <v>3879305</v>
      </c>
      <c r="H6007" t="s">
        <v>2856</v>
      </c>
      <c r="I6007">
        <v>2003</v>
      </c>
      <c r="J6007">
        <v>2003</v>
      </c>
      <c r="K6007" t="s">
        <v>4554</v>
      </c>
      <c r="L6007" t="s">
        <v>4555</v>
      </c>
      <c r="M6007" s="2">
        <v>1410</v>
      </c>
      <c r="N6007" t="s">
        <v>5280</v>
      </c>
      <c r="O6007">
        <v>3</v>
      </c>
      <c r="P6007">
        <v>2</v>
      </c>
      <c r="Q6007">
        <v>0</v>
      </c>
      <c r="R6007" t="s">
        <v>4557</v>
      </c>
      <c r="S6007" t="s">
        <v>4898</v>
      </c>
      <c r="T6007" t="s">
        <v>2704</v>
      </c>
      <c r="U6007" t="s">
        <v>4560</v>
      </c>
      <c r="V6007" s="2">
        <v>432</v>
      </c>
      <c r="W6007" t="s">
        <v>4655</v>
      </c>
      <c r="X6007" s="2">
        <v>0</v>
      </c>
      <c r="Y6007">
        <v>20</v>
      </c>
      <c r="Z6007" t="s">
        <v>4561</v>
      </c>
      <c r="AA6007" s="3">
        <v>0.17658402025699599</v>
      </c>
      <c r="AB6007" t="s">
        <v>29477</v>
      </c>
      <c r="AC6007" t="s">
        <v>4562</v>
      </c>
      <c r="AD6007" t="s">
        <v>29476</v>
      </c>
      <c r="AE6007" t="s">
        <v>4655</v>
      </c>
      <c r="AF6007" t="s">
        <v>4563</v>
      </c>
      <c r="AG6007" t="s">
        <v>4564</v>
      </c>
      <c r="AH6007" t="s">
        <v>1147</v>
      </c>
      <c r="AI6007" t="s">
        <v>29478</v>
      </c>
      <c r="AJ6007" t="s">
        <v>2482</v>
      </c>
      <c r="AK6007" t="s">
        <v>29479</v>
      </c>
      <c r="AL6007" s="13" t="s">
        <v>1896</v>
      </c>
      <c r="AM6007">
        <v>1</v>
      </c>
      <c r="AN6007" s="15" t="s">
        <v>383</v>
      </c>
    </row>
    <row r="6008" spans="1:40" x14ac:dyDescent="0.3">
      <c r="A6008" s="10" t="str">
        <f>HYPERLINK("http://www.washoecounty.gov/assessor/cama/?parid=208-641-18&amp;CardNumber=1","208-641-18")</f>
        <v>208-641-18</v>
      </c>
      <c r="B6008" t="s">
        <v>4655</v>
      </c>
      <c r="C6008" t="s">
        <v>29480</v>
      </c>
      <c r="D6008" s="1">
        <v>40319</v>
      </c>
      <c r="E6008" s="2">
        <v>200000</v>
      </c>
      <c r="F6008" t="s">
        <v>4567</v>
      </c>
      <c r="G6008" s="17" t="str">
        <f>HYPERLINK("https://www.washoecounty.gov/assessor/cama/?command=sales&amp;parid=20864118","3883918")</f>
        <v>3883918</v>
      </c>
      <c r="H6008" t="s">
        <v>2856</v>
      </c>
      <c r="I6008">
        <v>2003</v>
      </c>
      <c r="J6008">
        <v>2003</v>
      </c>
      <c r="K6008" t="s">
        <v>4554</v>
      </c>
      <c r="L6008" t="s">
        <v>3974</v>
      </c>
      <c r="M6008" s="2">
        <v>1780</v>
      </c>
      <c r="N6008" t="s">
        <v>5280</v>
      </c>
      <c r="O6008">
        <v>4</v>
      </c>
      <c r="P6008">
        <v>2</v>
      </c>
      <c r="Q6008">
        <v>1</v>
      </c>
      <c r="R6008" t="s">
        <v>5281</v>
      </c>
      <c r="S6008" t="s">
        <v>4898</v>
      </c>
      <c r="T6008" t="s">
        <v>2704</v>
      </c>
      <c r="U6008" t="s">
        <v>5631</v>
      </c>
      <c r="V6008" s="2">
        <v>477</v>
      </c>
      <c r="W6008" t="s">
        <v>4655</v>
      </c>
      <c r="X6008" s="2">
        <v>0</v>
      </c>
      <c r="Y6008">
        <v>20</v>
      </c>
      <c r="Z6008" t="s">
        <v>4561</v>
      </c>
      <c r="AA6008" s="3">
        <v>0.15851698815822601</v>
      </c>
      <c r="AB6008" t="s">
        <v>29481</v>
      </c>
      <c r="AC6008" t="s">
        <v>4562</v>
      </c>
      <c r="AD6008" t="s">
        <v>29482</v>
      </c>
      <c r="AE6008" t="s">
        <v>4655</v>
      </c>
      <c r="AF6008" t="s">
        <v>4563</v>
      </c>
      <c r="AG6008" t="s">
        <v>4564</v>
      </c>
      <c r="AH6008" t="s">
        <v>1147</v>
      </c>
      <c r="AI6008" t="s">
        <v>29483</v>
      </c>
      <c r="AJ6008" t="s">
        <v>2482</v>
      </c>
      <c r="AK6008" t="s">
        <v>29484</v>
      </c>
      <c r="AL6008" s="13" t="s">
        <v>1896</v>
      </c>
      <c r="AM6008">
        <v>1</v>
      </c>
      <c r="AN6008" s="15" t="s">
        <v>383</v>
      </c>
    </row>
    <row r="6009" spans="1:40" x14ac:dyDescent="0.3">
      <c r="A6009" s="10" t="str">
        <f>HYPERLINK("http://www.washoecounty.gov/assessor/cama/?parid=208-641-19&amp;CardNumber=1","208-641-19")</f>
        <v>208-641-19</v>
      </c>
      <c r="B6009" t="s">
        <v>4655</v>
      </c>
      <c r="C6009" t="s">
        <v>29485</v>
      </c>
      <c r="D6009" s="1">
        <v>40298</v>
      </c>
      <c r="E6009" s="2">
        <v>180000</v>
      </c>
      <c r="F6009" t="s">
        <v>4567</v>
      </c>
      <c r="G6009" s="17" t="str">
        <f>HYPERLINK("https://www.washoecounty.gov/assessor/cama/?command=sales&amp;parid=20864119","3877125")</f>
        <v>3877125</v>
      </c>
      <c r="H6009" t="s">
        <v>2856</v>
      </c>
      <c r="I6009">
        <v>2003</v>
      </c>
      <c r="J6009">
        <v>2003</v>
      </c>
      <c r="K6009" t="s">
        <v>4554</v>
      </c>
      <c r="L6009" t="s">
        <v>3974</v>
      </c>
      <c r="M6009" s="2">
        <v>1780</v>
      </c>
      <c r="N6009" t="s">
        <v>5280</v>
      </c>
      <c r="O6009">
        <v>4</v>
      </c>
      <c r="P6009">
        <v>2</v>
      </c>
      <c r="Q6009">
        <v>1</v>
      </c>
      <c r="R6009" t="s">
        <v>5281</v>
      </c>
      <c r="S6009" t="s">
        <v>4898</v>
      </c>
      <c r="T6009" t="s">
        <v>2704</v>
      </c>
      <c r="U6009" t="s">
        <v>5631</v>
      </c>
      <c r="V6009" s="2">
        <v>477</v>
      </c>
      <c r="W6009" t="s">
        <v>4655</v>
      </c>
      <c r="X6009" s="2">
        <v>0</v>
      </c>
      <c r="Y6009">
        <v>20</v>
      </c>
      <c r="Z6009" t="s">
        <v>4561</v>
      </c>
      <c r="AA6009" s="3">
        <v>0.14421488344669342</v>
      </c>
      <c r="AB6009" t="s">
        <v>29486</v>
      </c>
      <c r="AC6009" t="s">
        <v>4562</v>
      </c>
      <c r="AD6009" t="s">
        <v>29485</v>
      </c>
      <c r="AE6009" t="s">
        <v>4655</v>
      </c>
      <c r="AF6009" t="s">
        <v>4563</v>
      </c>
      <c r="AG6009" t="s">
        <v>4564</v>
      </c>
      <c r="AH6009" t="s">
        <v>1147</v>
      </c>
      <c r="AI6009" t="s">
        <v>29487</v>
      </c>
      <c r="AJ6009" t="s">
        <v>2482</v>
      </c>
      <c r="AK6009" t="s">
        <v>29488</v>
      </c>
      <c r="AL6009" s="13" t="s">
        <v>1896</v>
      </c>
      <c r="AM6009">
        <v>1</v>
      </c>
      <c r="AN6009" s="15" t="s">
        <v>383</v>
      </c>
    </row>
    <row r="6010" spans="1:40" x14ac:dyDescent="0.3">
      <c r="A6010" s="10" t="str">
        <f>HYPERLINK("http://www.washoecounty.gov/assessor/cama/?parid=208-642-10&amp;CardNumber=1","208-642-10")</f>
        <v>208-642-10</v>
      </c>
      <c r="B6010" t="s">
        <v>4655</v>
      </c>
      <c r="C6010" t="s">
        <v>29489</v>
      </c>
      <c r="D6010" s="1">
        <v>40274</v>
      </c>
      <c r="E6010" s="2">
        <v>204080</v>
      </c>
      <c r="F6010" t="s">
        <v>4553</v>
      </c>
      <c r="G6010" s="17" t="str">
        <f>HYPERLINK("https://www.washoecounty.gov/assessor/cama/?command=sales&amp;parid=20864210","3868276")</f>
        <v>3868276</v>
      </c>
      <c r="H6010" t="s">
        <v>2856</v>
      </c>
      <c r="I6010">
        <v>2003</v>
      </c>
      <c r="J6010">
        <v>2003</v>
      </c>
      <c r="K6010" t="s">
        <v>4554</v>
      </c>
      <c r="L6010" t="s">
        <v>4555</v>
      </c>
      <c r="M6010" s="2">
        <v>1410</v>
      </c>
      <c r="N6010" t="s">
        <v>5280</v>
      </c>
      <c r="O6010">
        <v>3</v>
      </c>
      <c r="P6010">
        <v>2</v>
      </c>
      <c r="Q6010">
        <v>0</v>
      </c>
      <c r="R6010" t="s">
        <v>5281</v>
      </c>
      <c r="S6010" t="s">
        <v>4898</v>
      </c>
      <c r="T6010" t="s">
        <v>2704</v>
      </c>
      <c r="U6010" t="s">
        <v>4560</v>
      </c>
      <c r="V6010" s="2">
        <v>432</v>
      </c>
      <c r="W6010" t="s">
        <v>4655</v>
      </c>
      <c r="X6010" s="2">
        <v>0</v>
      </c>
      <c r="Y6010">
        <v>20</v>
      </c>
      <c r="Z6010" t="s">
        <v>4561</v>
      </c>
      <c r="AA6010" s="3">
        <v>0.21818181872367859</v>
      </c>
      <c r="AB6010" t="s">
        <v>29490</v>
      </c>
      <c r="AC6010" t="s">
        <v>4562</v>
      </c>
      <c r="AD6010" t="s">
        <v>29491</v>
      </c>
      <c r="AE6010" t="s">
        <v>4655</v>
      </c>
      <c r="AF6010" t="s">
        <v>4563</v>
      </c>
      <c r="AG6010" t="s">
        <v>4564</v>
      </c>
      <c r="AH6010">
        <v>89503</v>
      </c>
      <c r="AI6010" t="s">
        <v>29492</v>
      </c>
      <c r="AJ6010" t="s">
        <v>2482</v>
      </c>
      <c r="AK6010" t="s">
        <v>29493</v>
      </c>
      <c r="AL6010" s="13" t="s">
        <v>1896</v>
      </c>
      <c r="AM6010" s="14">
        <v>1</v>
      </c>
      <c r="AN6010" s="15" t="s">
        <v>383</v>
      </c>
    </row>
    <row r="6011" spans="1:40" x14ac:dyDescent="0.3">
      <c r="A6011" s="10" t="str">
        <f>HYPERLINK("http://www.washoecounty.gov/assessor/cama/?parid=208-661-01&amp;CardNumber=1","208-661-01")</f>
        <v>208-661-01</v>
      </c>
      <c r="B6011" t="s">
        <v>4655</v>
      </c>
      <c r="C6011" t="s">
        <v>29494</v>
      </c>
      <c r="D6011" s="1">
        <v>40423</v>
      </c>
      <c r="E6011" s="2">
        <v>310000</v>
      </c>
      <c r="F6011" t="s">
        <v>4567</v>
      </c>
      <c r="G6011" s="17" t="str">
        <f>HYPERLINK("https://www.washoecounty.gov/assessor/cama/?command=sales&amp;parid=20866101","3918581")</f>
        <v>3918581</v>
      </c>
      <c r="H6011" t="s">
        <v>52</v>
      </c>
      <c r="I6011">
        <v>2003</v>
      </c>
      <c r="J6011">
        <v>2003</v>
      </c>
      <c r="K6011" t="s">
        <v>4554</v>
      </c>
      <c r="L6011" t="s">
        <v>3974</v>
      </c>
      <c r="M6011" s="2">
        <v>2772</v>
      </c>
      <c r="N6011" t="s">
        <v>3147</v>
      </c>
      <c r="O6011">
        <v>4</v>
      </c>
      <c r="P6011">
        <v>3</v>
      </c>
      <c r="Q6011">
        <v>0</v>
      </c>
      <c r="R6011" t="s">
        <v>4557</v>
      </c>
      <c r="S6011" t="s">
        <v>4558</v>
      </c>
      <c r="T6011" t="s">
        <v>4559</v>
      </c>
      <c r="U6011" t="s">
        <v>5631</v>
      </c>
      <c r="V6011" s="2">
        <v>587</v>
      </c>
      <c r="W6011" t="s">
        <v>4655</v>
      </c>
      <c r="X6011" s="2">
        <v>0</v>
      </c>
      <c r="Y6011">
        <v>20</v>
      </c>
      <c r="Z6011" t="s">
        <v>4561</v>
      </c>
      <c r="AA6011" s="3">
        <v>0.18569788336753845</v>
      </c>
      <c r="AB6011" t="s">
        <v>29495</v>
      </c>
      <c r="AC6011" t="s">
        <v>4562</v>
      </c>
      <c r="AD6011" t="s">
        <v>29494</v>
      </c>
      <c r="AE6011" t="s">
        <v>4655</v>
      </c>
      <c r="AF6011" t="s">
        <v>4563</v>
      </c>
      <c r="AG6011" t="s">
        <v>4564</v>
      </c>
      <c r="AH6011" t="s">
        <v>1147</v>
      </c>
      <c r="AI6011" t="s">
        <v>29496</v>
      </c>
      <c r="AJ6011" t="s">
        <v>1968</v>
      </c>
      <c r="AK6011" t="s">
        <v>29497</v>
      </c>
      <c r="AL6011" s="13" t="s">
        <v>1322</v>
      </c>
      <c r="AM6011">
        <v>1</v>
      </c>
      <c r="AN6011" s="15" t="s">
        <v>383</v>
      </c>
    </row>
    <row r="6012" spans="1:40" x14ac:dyDescent="0.3">
      <c r="A6012" s="10" t="str">
        <f>HYPERLINK("http://www.washoecounty.gov/assessor/cama/?parid=208-663-12&amp;CardNumber=1","208-663-12")</f>
        <v>208-663-12</v>
      </c>
      <c r="B6012" t="s">
        <v>4655</v>
      </c>
      <c r="C6012" t="s">
        <v>29498</v>
      </c>
      <c r="D6012" s="1">
        <v>40519</v>
      </c>
      <c r="E6012" s="2">
        <v>243000</v>
      </c>
      <c r="F6012" t="s">
        <v>4553</v>
      </c>
      <c r="G6012" s="17" t="str">
        <f>HYPERLINK("https://www.washoecounty.gov/assessor/cama/?command=sales&amp;parid=20866312","3950537")</f>
        <v>3950537</v>
      </c>
      <c r="H6012" t="s">
        <v>52</v>
      </c>
      <c r="I6012">
        <v>2003</v>
      </c>
      <c r="J6012">
        <v>2003</v>
      </c>
      <c r="K6012" t="s">
        <v>4554</v>
      </c>
      <c r="L6012" t="s">
        <v>3974</v>
      </c>
      <c r="M6012" s="2">
        <v>2261</v>
      </c>
      <c r="N6012" t="s">
        <v>3147</v>
      </c>
      <c r="O6012">
        <v>4</v>
      </c>
      <c r="P6012">
        <v>2</v>
      </c>
      <c r="Q6012">
        <v>1</v>
      </c>
      <c r="R6012" t="s">
        <v>5281</v>
      </c>
      <c r="S6012" t="s">
        <v>4558</v>
      </c>
      <c r="T6012" t="s">
        <v>4559</v>
      </c>
      <c r="U6012" t="s">
        <v>4560</v>
      </c>
      <c r="V6012" s="2">
        <v>618</v>
      </c>
      <c r="W6012" t="s">
        <v>4655</v>
      </c>
      <c r="X6012" s="2">
        <v>0</v>
      </c>
      <c r="Y6012">
        <v>20</v>
      </c>
      <c r="Z6012" t="s">
        <v>4561</v>
      </c>
      <c r="AA6012" s="3">
        <v>0.19765840470790899</v>
      </c>
      <c r="AB6012" t="s">
        <v>29499</v>
      </c>
      <c r="AC6012" t="s">
        <v>4562</v>
      </c>
      <c r="AD6012" t="s">
        <v>29498</v>
      </c>
      <c r="AE6012" t="s">
        <v>4655</v>
      </c>
      <c r="AF6012" t="s">
        <v>4563</v>
      </c>
      <c r="AG6012" t="s">
        <v>4564</v>
      </c>
      <c r="AH6012" t="s">
        <v>1147</v>
      </c>
      <c r="AI6012" t="s">
        <v>5403</v>
      </c>
      <c r="AJ6012" t="s">
        <v>1968</v>
      </c>
      <c r="AK6012" t="s">
        <v>29500</v>
      </c>
      <c r="AL6012" s="13" t="s">
        <v>1897</v>
      </c>
      <c r="AM6012">
        <v>1</v>
      </c>
      <c r="AN6012" s="15" t="s">
        <v>383</v>
      </c>
    </row>
    <row r="6013" spans="1:40" x14ac:dyDescent="0.3">
      <c r="A6013" s="10" t="str">
        <f>HYPERLINK("http://www.washoecounty.gov/assessor/cama/?parid=208-664-02&amp;CardNumber=1","208-664-02")</f>
        <v>208-664-02</v>
      </c>
      <c r="B6013" t="s">
        <v>4655</v>
      </c>
      <c r="C6013" t="s">
        <v>29501</v>
      </c>
      <c r="D6013" s="1">
        <v>40357</v>
      </c>
      <c r="E6013" s="2">
        <v>275000</v>
      </c>
      <c r="F6013" t="s">
        <v>4567</v>
      </c>
      <c r="G6013" s="17" t="str">
        <f>HYPERLINK("https://www.washoecounty.gov/assessor/cama/?command=sales&amp;parid=20866402","3895927")</f>
        <v>3895927</v>
      </c>
      <c r="H6013" t="s">
        <v>52</v>
      </c>
      <c r="I6013">
        <v>2003</v>
      </c>
      <c r="J6013">
        <v>2003</v>
      </c>
      <c r="K6013" t="s">
        <v>4554</v>
      </c>
      <c r="L6013" t="s">
        <v>3974</v>
      </c>
      <c r="M6013" s="2">
        <v>2261</v>
      </c>
      <c r="N6013" t="s">
        <v>3147</v>
      </c>
      <c r="O6013">
        <v>4</v>
      </c>
      <c r="P6013">
        <v>2</v>
      </c>
      <c r="Q6013">
        <v>1</v>
      </c>
      <c r="R6013" t="s">
        <v>5281</v>
      </c>
      <c r="S6013" t="s">
        <v>4558</v>
      </c>
      <c r="T6013" t="s">
        <v>4559</v>
      </c>
      <c r="U6013" t="s">
        <v>4560</v>
      </c>
      <c r="V6013" s="2">
        <v>618</v>
      </c>
      <c r="W6013" t="s">
        <v>4655</v>
      </c>
      <c r="X6013" s="2">
        <v>0</v>
      </c>
      <c r="Y6013">
        <v>20</v>
      </c>
      <c r="Z6013" t="s">
        <v>4561</v>
      </c>
      <c r="AA6013" s="3">
        <v>0.212213039398193</v>
      </c>
      <c r="AB6013" t="s">
        <v>29502</v>
      </c>
      <c r="AC6013" t="s">
        <v>4562</v>
      </c>
      <c r="AD6013" t="s">
        <v>29503</v>
      </c>
      <c r="AE6013" t="s">
        <v>4655</v>
      </c>
      <c r="AF6013" t="s">
        <v>29504</v>
      </c>
      <c r="AG6013" t="s">
        <v>4584</v>
      </c>
      <c r="AH6013">
        <v>90717</v>
      </c>
      <c r="AI6013" t="s">
        <v>29505</v>
      </c>
      <c r="AJ6013" t="s">
        <v>1968</v>
      </c>
      <c r="AK6013" t="s">
        <v>29506</v>
      </c>
      <c r="AL6013" s="13" t="s">
        <v>1897</v>
      </c>
      <c r="AM6013" s="14">
        <v>1</v>
      </c>
      <c r="AN6013" s="15" t="s">
        <v>383</v>
      </c>
    </row>
    <row r="6014" spans="1:40" x14ac:dyDescent="0.3">
      <c r="A6014" s="10" t="str">
        <f>HYPERLINK("http://www.washoecounty.gov/assessor/cama/?parid=208-682-12&amp;CardNumber=1","208-682-12")</f>
        <v>208-682-12</v>
      </c>
      <c r="B6014" t="s">
        <v>4655</v>
      </c>
      <c r="C6014" t="s">
        <v>29507</v>
      </c>
      <c r="D6014" s="1">
        <v>40235</v>
      </c>
      <c r="E6014" s="2">
        <v>255000</v>
      </c>
      <c r="F6014" t="s">
        <v>4567</v>
      </c>
      <c r="G6014" s="17" t="str">
        <f>HYPERLINK("https://www.washoecounty.gov/assessor/cama/?command=sales&amp;parid=20868212","3853074")</f>
        <v>3853074</v>
      </c>
      <c r="H6014" t="s">
        <v>965</v>
      </c>
      <c r="I6014">
        <v>2005</v>
      </c>
      <c r="J6014">
        <v>2005</v>
      </c>
      <c r="K6014" t="s">
        <v>4554</v>
      </c>
      <c r="L6014" t="s">
        <v>4555</v>
      </c>
      <c r="M6014" s="2">
        <v>1933</v>
      </c>
      <c r="N6014" t="s">
        <v>3147</v>
      </c>
      <c r="O6014">
        <v>3</v>
      </c>
      <c r="P6014">
        <v>2</v>
      </c>
      <c r="Q6014">
        <v>0</v>
      </c>
      <c r="R6014" t="s">
        <v>5281</v>
      </c>
      <c r="S6014" t="s">
        <v>4898</v>
      </c>
      <c r="T6014" t="s">
        <v>2704</v>
      </c>
      <c r="U6014" t="s">
        <v>4560</v>
      </c>
      <c r="V6014" s="2">
        <v>474</v>
      </c>
      <c r="W6014" t="s">
        <v>4655</v>
      </c>
      <c r="X6014" s="2">
        <v>0</v>
      </c>
      <c r="Y6014">
        <v>20</v>
      </c>
      <c r="Z6014" t="s">
        <v>4561</v>
      </c>
      <c r="AA6014" s="3">
        <v>0.23138199746608701</v>
      </c>
      <c r="AB6014" t="s">
        <v>29508</v>
      </c>
      <c r="AC6014" t="s">
        <v>4575</v>
      </c>
      <c r="AD6014" t="s">
        <v>29509</v>
      </c>
      <c r="AE6014" t="s">
        <v>4655</v>
      </c>
      <c r="AF6014" t="s">
        <v>966</v>
      </c>
      <c r="AG6014" t="s">
        <v>4584</v>
      </c>
      <c r="AH6014">
        <v>91709</v>
      </c>
      <c r="AI6014" t="s">
        <v>29510</v>
      </c>
      <c r="AJ6014" t="s">
        <v>967</v>
      </c>
      <c r="AK6014" t="s">
        <v>29511</v>
      </c>
      <c r="AL6014" s="13" t="s">
        <v>1896</v>
      </c>
      <c r="AM6014" s="14">
        <v>1</v>
      </c>
      <c r="AN6014" s="15" t="s">
        <v>341</v>
      </c>
    </row>
    <row r="6015" spans="1:40" x14ac:dyDescent="0.3">
      <c r="A6015" s="10" t="str">
        <f>HYPERLINK("http://www.washoecounty.gov/assessor/cama/?parid=208-682-14&amp;CardNumber=1","208-682-14")</f>
        <v>208-682-14</v>
      </c>
      <c r="B6015" t="s">
        <v>4655</v>
      </c>
      <c r="C6015" t="s">
        <v>29512</v>
      </c>
      <c r="D6015" s="1">
        <v>40357</v>
      </c>
      <c r="E6015" s="2">
        <v>230000</v>
      </c>
      <c r="F6015" t="s">
        <v>4567</v>
      </c>
      <c r="G6015" s="17" t="str">
        <f>HYPERLINK("https://www.washoecounty.gov/assessor/cama/?command=sales&amp;parid=20868214","3895989")</f>
        <v>3895989</v>
      </c>
      <c r="H6015" t="s">
        <v>965</v>
      </c>
      <c r="I6015">
        <v>2006</v>
      </c>
      <c r="J6015">
        <v>2006</v>
      </c>
      <c r="K6015" t="s">
        <v>4554</v>
      </c>
      <c r="L6015" t="s">
        <v>3974</v>
      </c>
      <c r="M6015" s="2">
        <v>2358</v>
      </c>
      <c r="N6015" t="s">
        <v>3147</v>
      </c>
      <c r="O6015">
        <v>5</v>
      </c>
      <c r="P6015">
        <v>3</v>
      </c>
      <c r="Q6015">
        <v>0</v>
      </c>
      <c r="R6015" t="s">
        <v>5281</v>
      </c>
      <c r="S6015" t="s">
        <v>4898</v>
      </c>
      <c r="T6015" t="s">
        <v>2704</v>
      </c>
      <c r="U6015" t="s">
        <v>5631</v>
      </c>
      <c r="V6015" s="2">
        <v>636</v>
      </c>
      <c r="W6015" t="s">
        <v>4655</v>
      </c>
      <c r="X6015" s="2">
        <v>0</v>
      </c>
      <c r="Y6015">
        <v>20</v>
      </c>
      <c r="Z6015" t="s">
        <v>4561</v>
      </c>
      <c r="AA6015" s="3">
        <v>0.21138659119605999</v>
      </c>
      <c r="AB6015" t="s">
        <v>29513</v>
      </c>
      <c r="AC6015" t="s">
        <v>4562</v>
      </c>
      <c r="AD6015" t="s">
        <v>29512</v>
      </c>
      <c r="AE6015" t="s">
        <v>4655</v>
      </c>
      <c r="AF6015" t="s">
        <v>4563</v>
      </c>
      <c r="AG6015" t="s">
        <v>4564</v>
      </c>
      <c r="AH6015" t="s">
        <v>1147</v>
      </c>
      <c r="AI6015" t="s">
        <v>4655</v>
      </c>
      <c r="AJ6015" t="s">
        <v>967</v>
      </c>
      <c r="AK6015" t="s">
        <v>29514</v>
      </c>
      <c r="AL6015" s="13" t="s">
        <v>1896</v>
      </c>
      <c r="AM6015">
        <v>1</v>
      </c>
      <c r="AN6015" s="15" t="s">
        <v>341</v>
      </c>
    </row>
    <row r="6016" spans="1:40" x14ac:dyDescent="0.3">
      <c r="A6016" s="10" t="str">
        <f>HYPERLINK("http://www.washoecounty.gov/assessor/cama/?parid=208-682-16&amp;CardNumber=1","208-682-16")</f>
        <v>208-682-16</v>
      </c>
      <c r="B6016" t="s">
        <v>4655</v>
      </c>
      <c r="C6016" t="s">
        <v>29515</v>
      </c>
      <c r="D6016" s="1">
        <v>40316</v>
      </c>
      <c r="E6016" s="2">
        <v>210000</v>
      </c>
      <c r="F6016" t="s">
        <v>4567</v>
      </c>
      <c r="G6016" s="17" t="str">
        <f>HYPERLINK("https://www.washoecounty.gov/assessor/cama/?command=sales&amp;parid=20868216","3882748")</f>
        <v>3882748</v>
      </c>
      <c r="H6016" t="s">
        <v>965</v>
      </c>
      <c r="I6016">
        <v>2005</v>
      </c>
      <c r="J6016">
        <v>2005</v>
      </c>
      <c r="K6016" t="s">
        <v>4554</v>
      </c>
      <c r="L6016" t="s">
        <v>4555</v>
      </c>
      <c r="M6016" s="2">
        <v>1697</v>
      </c>
      <c r="N6016" t="s">
        <v>3147</v>
      </c>
      <c r="O6016">
        <v>3</v>
      </c>
      <c r="P6016">
        <v>2</v>
      </c>
      <c r="Q6016">
        <v>0</v>
      </c>
      <c r="R6016" t="s">
        <v>5281</v>
      </c>
      <c r="S6016" t="s">
        <v>4898</v>
      </c>
      <c r="T6016" t="s">
        <v>2704</v>
      </c>
      <c r="U6016" t="s">
        <v>4560</v>
      </c>
      <c r="V6016" s="2">
        <v>454</v>
      </c>
      <c r="W6016" t="s">
        <v>4655</v>
      </c>
      <c r="X6016" s="2">
        <v>0</v>
      </c>
      <c r="Y6016">
        <v>20</v>
      </c>
      <c r="Z6016" t="s">
        <v>4561</v>
      </c>
      <c r="AA6016" s="3">
        <v>0.15971074998378801</v>
      </c>
      <c r="AB6016" t="s">
        <v>29516</v>
      </c>
      <c r="AC6016" t="s">
        <v>4562</v>
      </c>
      <c r="AD6016" t="s">
        <v>29517</v>
      </c>
      <c r="AE6016" t="s">
        <v>4655</v>
      </c>
      <c r="AF6016" t="s">
        <v>4563</v>
      </c>
      <c r="AG6016" t="s">
        <v>4564</v>
      </c>
      <c r="AH6016" t="s">
        <v>1147</v>
      </c>
      <c r="AI6016" t="s">
        <v>4655</v>
      </c>
      <c r="AJ6016" t="s">
        <v>967</v>
      </c>
      <c r="AK6016" t="s">
        <v>29518</v>
      </c>
      <c r="AL6016" s="13" t="s">
        <v>1896</v>
      </c>
      <c r="AM6016" s="14">
        <v>1</v>
      </c>
      <c r="AN6016" s="15" t="s">
        <v>341</v>
      </c>
    </row>
    <row r="6017" spans="1:40" x14ac:dyDescent="0.3">
      <c r="A6017" s="10" t="str">
        <f>HYPERLINK("http://www.washoecounty.gov/assessor/cama/?parid=208-682-26&amp;CardNumber=1","208-682-26")</f>
        <v>208-682-26</v>
      </c>
      <c r="B6017" t="s">
        <v>4655</v>
      </c>
      <c r="C6017" t="s">
        <v>3717</v>
      </c>
      <c r="D6017" s="1">
        <v>40343</v>
      </c>
      <c r="E6017" s="2">
        <v>254000</v>
      </c>
      <c r="F6017" t="s">
        <v>4567</v>
      </c>
      <c r="G6017" s="17" t="str">
        <f>HYPERLINK("https://www.washoecounty.gov/assessor/cama/?command=sales&amp;parid=20868226","3891505")</f>
        <v>3891505</v>
      </c>
      <c r="H6017" t="s">
        <v>965</v>
      </c>
      <c r="I6017">
        <v>2006</v>
      </c>
      <c r="J6017">
        <v>2006</v>
      </c>
      <c r="K6017" t="s">
        <v>4554</v>
      </c>
      <c r="L6017" t="s">
        <v>3974</v>
      </c>
      <c r="M6017" s="2">
        <v>2341</v>
      </c>
      <c r="N6017" t="s">
        <v>3147</v>
      </c>
      <c r="O6017">
        <v>4</v>
      </c>
      <c r="P6017">
        <v>3</v>
      </c>
      <c r="Q6017">
        <v>0</v>
      </c>
      <c r="R6017" t="s">
        <v>5281</v>
      </c>
      <c r="S6017" t="s">
        <v>4898</v>
      </c>
      <c r="T6017" t="s">
        <v>2704</v>
      </c>
      <c r="U6017" t="s">
        <v>4560</v>
      </c>
      <c r="V6017" s="2">
        <v>675</v>
      </c>
      <c r="W6017" t="s">
        <v>4655</v>
      </c>
      <c r="X6017" s="2">
        <v>0</v>
      </c>
      <c r="Y6017">
        <v>20</v>
      </c>
      <c r="Z6017" t="s">
        <v>4561</v>
      </c>
      <c r="AA6017" s="3">
        <v>0.162763997912407</v>
      </c>
      <c r="AB6017" t="s">
        <v>3858</v>
      </c>
      <c r="AC6017" t="s">
        <v>4575</v>
      </c>
      <c r="AD6017" t="s">
        <v>3717</v>
      </c>
      <c r="AE6017" t="s">
        <v>4655</v>
      </c>
      <c r="AF6017" t="s">
        <v>4563</v>
      </c>
      <c r="AG6017" t="s">
        <v>4564</v>
      </c>
      <c r="AH6017" t="s">
        <v>1147</v>
      </c>
      <c r="AI6017" t="s">
        <v>29519</v>
      </c>
      <c r="AJ6017" t="s">
        <v>967</v>
      </c>
      <c r="AK6017" t="s">
        <v>3718</v>
      </c>
      <c r="AL6017" s="13" t="s">
        <v>1896</v>
      </c>
      <c r="AM6017" s="14">
        <v>1</v>
      </c>
      <c r="AN6017" s="15" t="s">
        <v>341</v>
      </c>
    </row>
    <row r="6018" spans="1:40" x14ac:dyDescent="0.3">
      <c r="A6018" s="10" t="str">
        <f>HYPERLINK("http://www.washoecounty.gov/assessor/cama/?parid=208-682-31&amp;CardNumber=1","208-682-31")</f>
        <v>208-682-31</v>
      </c>
      <c r="B6018" t="s">
        <v>4655</v>
      </c>
      <c r="C6018" t="s">
        <v>29520</v>
      </c>
      <c r="D6018" s="1">
        <v>40389</v>
      </c>
      <c r="E6018" s="2">
        <v>279000</v>
      </c>
      <c r="F6018" t="s">
        <v>4553</v>
      </c>
      <c r="G6018" s="17" t="str">
        <f>HYPERLINK("https://www.washoecounty.gov/assessor/cama/?command=sales&amp;parid=20868231","3907297")</f>
        <v>3907297</v>
      </c>
      <c r="H6018" t="s">
        <v>965</v>
      </c>
      <c r="I6018">
        <v>2005</v>
      </c>
      <c r="J6018">
        <v>2005</v>
      </c>
      <c r="K6018" t="s">
        <v>4554</v>
      </c>
      <c r="L6018" t="s">
        <v>3974</v>
      </c>
      <c r="M6018" s="2">
        <v>3193</v>
      </c>
      <c r="N6018" t="s">
        <v>3147</v>
      </c>
      <c r="O6018">
        <v>4</v>
      </c>
      <c r="P6018">
        <v>3</v>
      </c>
      <c r="Q6018">
        <v>0</v>
      </c>
      <c r="R6018" t="s">
        <v>5281</v>
      </c>
      <c r="S6018" t="s">
        <v>4898</v>
      </c>
      <c r="T6018" t="s">
        <v>2704</v>
      </c>
      <c r="U6018" t="s">
        <v>5631</v>
      </c>
      <c r="V6018" s="2">
        <v>704</v>
      </c>
      <c r="W6018" t="s">
        <v>4655</v>
      </c>
      <c r="X6018" s="2">
        <v>0</v>
      </c>
      <c r="Y6018">
        <v>20</v>
      </c>
      <c r="Z6018" t="s">
        <v>4561</v>
      </c>
      <c r="AA6018" s="3">
        <v>0.232369139790535</v>
      </c>
      <c r="AB6018" t="s">
        <v>29521</v>
      </c>
      <c r="AC6018" t="s">
        <v>4575</v>
      </c>
      <c r="AD6018" t="s">
        <v>29522</v>
      </c>
      <c r="AE6018" t="s">
        <v>29520</v>
      </c>
      <c r="AF6018" t="s">
        <v>4563</v>
      </c>
      <c r="AG6018" t="s">
        <v>4564</v>
      </c>
      <c r="AH6018" t="s">
        <v>1147</v>
      </c>
      <c r="AI6018" t="s">
        <v>4585</v>
      </c>
      <c r="AJ6018" t="s">
        <v>967</v>
      </c>
      <c r="AK6018" t="s">
        <v>29523</v>
      </c>
      <c r="AL6018" s="13" t="s">
        <v>1896</v>
      </c>
      <c r="AM6018">
        <v>1</v>
      </c>
      <c r="AN6018" s="15" t="s">
        <v>341</v>
      </c>
    </row>
    <row r="6019" spans="1:40" x14ac:dyDescent="0.3">
      <c r="A6019" s="10" t="str">
        <f>HYPERLINK("http://www.washoecounty.gov/assessor/cama/?parid=208-682-47&amp;CardNumber=1","208-682-47")</f>
        <v>208-682-47</v>
      </c>
      <c r="B6019" t="s">
        <v>4655</v>
      </c>
      <c r="C6019" t="s">
        <v>408</v>
      </c>
      <c r="D6019" s="1">
        <v>40505</v>
      </c>
      <c r="E6019" s="2">
        <v>249900</v>
      </c>
      <c r="F6019" t="s">
        <v>4553</v>
      </c>
      <c r="G6019" s="17" t="str">
        <f>HYPERLINK("https://www.washoecounty.gov/assessor/cama/?command=sales&amp;parid=20868247","3946250")</f>
        <v>3946250</v>
      </c>
      <c r="H6019" t="s">
        <v>965</v>
      </c>
      <c r="I6019">
        <v>2005</v>
      </c>
      <c r="J6019">
        <v>2005</v>
      </c>
      <c r="K6019" t="s">
        <v>4554</v>
      </c>
      <c r="L6019" t="s">
        <v>3974</v>
      </c>
      <c r="M6019" s="2">
        <v>2341</v>
      </c>
      <c r="N6019" t="s">
        <v>3147</v>
      </c>
      <c r="O6019">
        <v>4</v>
      </c>
      <c r="P6019">
        <v>3</v>
      </c>
      <c r="Q6019">
        <v>0</v>
      </c>
      <c r="R6019" t="s">
        <v>5281</v>
      </c>
      <c r="S6019" t="s">
        <v>4898</v>
      </c>
      <c r="T6019" t="s">
        <v>2704</v>
      </c>
      <c r="U6019" t="s">
        <v>4560</v>
      </c>
      <c r="V6019" s="2">
        <v>675</v>
      </c>
      <c r="W6019" t="s">
        <v>4655</v>
      </c>
      <c r="X6019" s="2">
        <v>0</v>
      </c>
      <c r="Y6019">
        <v>20</v>
      </c>
      <c r="Z6019" t="s">
        <v>4561</v>
      </c>
      <c r="AA6019" s="3">
        <v>0.220087230205536</v>
      </c>
      <c r="AB6019" t="s">
        <v>29524</v>
      </c>
      <c r="AC6019" t="s">
        <v>4562</v>
      </c>
      <c r="AD6019" t="s">
        <v>408</v>
      </c>
      <c r="AE6019" t="s">
        <v>4655</v>
      </c>
      <c r="AF6019" t="s">
        <v>4563</v>
      </c>
      <c r="AG6019" t="s">
        <v>4564</v>
      </c>
      <c r="AH6019" t="s">
        <v>1147</v>
      </c>
      <c r="AI6019" t="s">
        <v>29525</v>
      </c>
      <c r="AJ6019" t="s">
        <v>967</v>
      </c>
      <c r="AK6019" t="s">
        <v>29526</v>
      </c>
      <c r="AL6019" s="13" t="s">
        <v>1896</v>
      </c>
      <c r="AM6019" s="14">
        <v>1</v>
      </c>
      <c r="AN6019" s="15" t="s">
        <v>341</v>
      </c>
    </row>
    <row r="6020" spans="1:40" x14ac:dyDescent="0.3">
      <c r="A6020" s="10" t="str">
        <f>HYPERLINK("http://www.washoecounty.gov/assessor/cama/?parid=208-683-22&amp;CardNumber=1","208-683-22")</f>
        <v>208-683-22</v>
      </c>
      <c r="B6020" t="s">
        <v>4655</v>
      </c>
      <c r="C6020" t="s">
        <v>29527</v>
      </c>
      <c r="D6020" s="1">
        <v>40305</v>
      </c>
      <c r="E6020" s="2">
        <v>273900</v>
      </c>
      <c r="F6020" t="s">
        <v>4567</v>
      </c>
      <c r="G6020" s="17" t="str">
        <f>HYPERLINK("https://www.washoecounty.gov/assessor/cama/?command=sales&amp;parid=20868322","3879467")</f>
        <v>3879467</v>
      </c>
      <c r="H6020" t="s">
        <v>29528</v>
      </c>
      <c r="I6020">
        <v>2005</v>
      </c>
      <c r="J6020">
        <v>2005</v>
      </c>
      <c r="K6020" t="s">
        <v>4554</v>
      </c>
      <c r="L6020" t="s">
        <v>3974</v>
      </c>
      <c r="M6020" s="2">
        <v>2341</v>
      </c>
      <c r="N6020" t="s">
        <v>3147</v>
      </c>
      <c r="O6020">
        <v>4</v>
      </c>
      <c r="P6020">
        <v>3</v>
      </c>
      <c r="Q6020">
        <v>0</v>
      </c>
      <c r="R6020" t="s">
        <v>5281</v>
      </c>
      <c r="S6020" t="s">
        <v>4898</v>
      </c>
      <c r="T6020" t="s">
        <v>2704</v>
      </c>
      <c r="U6020" t="s">
        <v>4560</v>
      </c>
      <c r="V6020" s="2">
        <v>675</v>
      </c>
      <c r="W6020" t="s">
        <v>4655</v>
      </c>
      <c r="X6020" s="2">
        <v>0</v>
      </c>
      <c r="Y6020">
        <v>20</v>
      </c>
      <c r="Z6020" t="s">
        <v>4561</v>
      </c>
      <c r="AA6020" s="3">
        <v>0.16639117896556899</v>
      </c>
      <c r="AB6020" t="s">
        <v>29529</v>
      </c>
      <c r="AC6020" t="s">
        <v>4562</v>
      </c>
      <c r="AD6020" t="s">
        <v>29527</v>
      </c>
      <c r="AE6020" t="s">
        <v>4655</v>
      </c>
      <c r="AF6020" t="s">
        <v>4563</v>
      </c>
      <c r="AG6020" t="s">
        <v>4564</v>
      </c>
      <c r="AH6020" t="s">
        <v>1147</v>
      </c>
      <c r="AI6020" t="s">
        <v>29530</v>
      </c>
      <c r="AJ6020" t="s">
        <v>29531</v>
      </c>
      <c r="AK6020" t="s">
        <v>29532</v>
      </c>
      <c r="AL6020" s="13" t="s">
        <v>1896</v>
      </c>
      <c r="AM6020" s="14">
        <v>1</v>
      </c>
      <c r="AN6020" s="15" t="s">
        <v>341</v>
      </c>
    </row>
    <row r="6021" spans="1:40" x14ac:dyDescent="0.3">
      <c r="A6021" s="10" t="str">
        <f>HYPERLINK("http://www.washoecounty.gov/assessor/cama/?parid=208-701-10&amp;CardNumber=1","208-701-10")</f>
        <v>208-701-10</v>
      </c>
      <c r="B6021" t="s">
        <v>4655</v>
      </c>
      <c r="C6021" t="s">
        <v>29533</v>
      </c>
      <c r="D6021" s="1">
        <v>40242</v>
      </c>
      <c r="E6021" s="2">
        <v>222000</v>
      </c>
      <c r="F6021" t="s">
        <v>4553</v>
      </c>
      <c r="G6021" s="17" t="str">
        <f>HYPERLINK("https://www.washoecounty.gov/assessor/cama/?command=sales&amp;parid=20870110","3856368")</f>
        <v>3856368</v>
      </c>
      <c r="H6021" t="s">
        <v>507</v>
      </c>
      <c r="I6021">
        <v>2005</v>
      </c>
      <c r="J6021">
        <v>2005</v>
      </c>
      <c r="K6021" t="s">
        <v>4554</v>
      </c>
      <c r="L6021" t="s">
        <v>3974</v>
      </c>
      <c r="M6021" s="2">
        <v>1780</v>
      </c>
      <c r="N6021" t="s">
        <v>5280</v>
      </c>
      <c r="O6021">
        <v>4</v>
      </c>
      <c r="P6021">
        <v>2</v>
      </c>
      <c r="Q6021">
        <v>1</v>
      </c>
      <c r="R6021" t="s">
        <v>4557</v>
      </c>
      <c r="S6021" t="s">
        <v>4898</v>
      </c>
      <c r="T6021" t="s">
        <v>2704</v>
      </c>
      <c r="U6021" t="s">
        <v>5631</v>
      </c>
      <c r="V6021" s="2">
        <v>477</v>
      </c>
      <c r="W6021" t="s">
        <v>4655</v>
      </c>
      <c r="X6021" s="2">
        <v>0</v>
      </c>
      <c r="Y6021">
        <v>20</v>
      </c>
      <c r="Z6021" t="s">
        <v>4561</v>
      </c>
      <c r="AA6021" s="3">
        <v>0.155876949429512</v>
      </c>
      <c r="AB6021" t="s">
        <v>29534</v>
      </c>
      <c r="AC6021" t="s">
        <v>4562</v>
      </c>
      <c r="AD6021" t="s">
        <v>29533</v>
      </c>
      <c r="AE6021" t="s">
        <v>4655</v>
      </c>
      <c r="AF6021" t="s">
        <v>4563</v>
      </c>
      <c r="AG6021" t="s">
        <v>4564</v>
      </c>
      <c r="AH6021" t="s">
        <v>1147</v>
      </c>
      <c r="AI6021" t="s">
        <v>4045</v>
      </c>
      <c r="AJ6021" t="s">
        <v>508</v>
      </c>
      <c r="AK6021" t="s">
        <v>29535</v>
      </c>
      <c r="AL6021" s="13" t="s">
        <v>1896</v>
      </c>
      <c r="AM6021">
        <v>1</v>
      </c>
      <c r="AN6021" s="15" t="s">
        <v>383</v>
      </c>
    </row>
    <row r="6022" spans="1:40" x14ac:dyDescent="0.3">
      <c r="A6022" s="10" t="str">
        <f>HYPERLINK("http://www.washoecounty.gov/assessor/cama/?parid=208-702-08&amp;CardNumber=1","208-702-08")</f>
        <v>208-702-08</v>
      </c>
      <c r="B6022" t="s">
        <v>4655</v>
      </c>
      <c r="C6022" t="s">
        <v>29536</v>
      </c>
      <c r="D6022" s="1">
        <v>40347</v>
      </c>
      <c r="E6022" s="2">
        <v>225000</v>
      </c>
      <c r="F6022" t="s">
        <v>4553</v>
      </c>
      <c r="G6022" s="17" t="str">
        <f>HYPERLINK("https://www.washoecounty.gov/assessor/cama/?command=sales&amp;parid=20870208","3893206")</f>
        <v>3893206</v>
      </c>
      <c r="H6022" t="s">
        <v>507</v>
      </c>
      <c r="I6022">
        <v>2005</v>
      </c>
      <c r="J6022">
        <v>2005</v>
      </c>
      <c r="K6022" t="s">
        <v>4554</v>
      </c>
      <c r="L6022" t="s">
        <v>3974</v>
      </c>
      <c r="M6022" s="2">
        <v>2080</v>
      </c>
      <c r="N6022" t="s">
        <v>5280</v>
      </c>
      <c r="O6022">
        <v>4</v>
      </c>
      <c r="P6022">
        <v>2</v>
      </c>
      <c r="Q6022">
        <v>1</v>
      </c>
      <c r="R6022" t="s">
        <v>4557</v>
      </c>
      <c r="S6022" t="s">
        <v>4898</v>
      </c>
      <c r="T6022" t="s">
        <v>2704</v>
      </c>
      <c r="U6022" t="s">
        <v>5631</v>
      </c>
      <c r="V6022" s="2">
        <v>674</v>
      </c>
      <c r="W6022" t="s">
        <v>4655</v>
      </c>
      <c r="X6022" s="2">
        <v>0</v>
      </c>
      <c r="Y6022">
        <v>20</v>
      </c>
      <c r="Z6022" t="s">
        <v>4561</v>
      </c>
      <c r="AA6022" s="3">
        <v>0.19070248305797599</v>
      </c>
      <c r="AB6022" t="s">
        <v>29537</v>
      </c>
      <c r="AC6022" t="s">
        <v>4562</v>
      </c>
      <c r="AD6022" t="s">
        <v>29536</v>
      </c>
      <c r="AE6022" t="s">
        <v>4655</v>
      </c>
      <c r="AF6022" t="s">
        <v>4563</v>
      </c>
      <c r="AG6022" t="s">
        <v>4564</v>
      </c>
      <c r="AH6022" t="s">
        <v>1147</v>
      </c>
      <c r="AI6022" t="s">
        <v>2351</v>
      </c>
      <c r="AJ6022" t="s">
        <v>508</v>
      </c>
      <c r="AK6022" t="s">
        <v>29538</v>
      </c>
      <c r="AL6022" s="13" t="s">
        <v>1896</v>
      </c>
      <c r="AM6022" s="14">
        <v>1</v>
      </c>
      <c r="AN6022" s="15" t="s">
        <v>383</v>
      </c>
    </row>
    <row r="6023" spans="1:40" x14ac:dyDescent="0.3">
      <c r="A6023" s="10" t="str">
        <f>HYPERLINK("http://www.washoecounty.gov/assessor/cama/?parid=208-713-03&amp;CardNumber=1","208-713-03")</f>
        <v>208-713-03</v>
      </c>
      <c r="B6023" t="s">
        <v>4655</v>
      </c>
      <c r="C6023" t="s">
        <v>29539</v>
      </c>
      <c r="D6023" s="1">
        <v>40297</v>
      </c>
      <c r="E6023" s="2">
        <v>236000</v>
      </c>
      <c r="F6023" t="s">
        <v>4553</v>
      </c>
      <c r="G6023" s="17" t="str">
        <f>HYPERLINK("https://www.washoecounty.gov/assessor/cama/?command=sales&amp;parid=20871303","3876301")</f>
        <v>3876301</v>
      </c>
      <c r="H6023" t="s">
        <v>507</v>
      </c>
      <c r="I6023">
        <v>2005</v>
      </c>
      <c r="J6023">
        <v>2005</v>
      </c>
      <c r="K6023" t="s">
        <v>4554</v>
      </c>
      <c r="L6023" t="s">
        <v>3974</v>
      </c>
      <c r="M6023" s="2">
        <v>2080</v>
      </c>
      <c r="N6023" t="s">
        <v>5280</v>
      </c>
      <c r="O6023">
        <v>4</v>
      </c>
      <c r="P6023">
        <v>2</v>
      </c>
      <c r="Q6023">
        <v>1</v>
      </c>
      <c r="R6023" t="s">
        <v>4557</v>
      </c>
      <c r="S6023" t="s">
        <v>4898</v>
      </c>
      <c r="T6023" t="s">
        <v>2704</v>
      </c>
      <c r="U6023" t="s">
        <v>5631</v>
      </c>
      <c r="V6023" s="2">
        <v>674</v>
      </c>
      <c r="W6023" t="s">
        <v>4655</v>
      </c>
      <c r="X6023" s="2">
        <v>0</v>
      </c>
      <c r="Y6023">
        <v>20</v>
      </c>
      <c r="Z6023" t="s">
        <v>4561</v>
      </c>
      <c r="AA6023" s="3">
        <v>0.21629935503006001</v>
      </c>
      <c r="AB6023" t="s">
        <v>29540</v>
      </c>
      <c r="AC6023" t="s">
        <v>4575</v>
      </c>
      <c r="AD6023" t="s">
        <v>29541</v>
      </c>
      <c r="AE6023" t="s">
        <v>4655</v>
      </c>
      <c r="AF6023" t="s">
        <v>3511</v>
      </c>
      <c r="AG6023" t="s">
        <v>4584</v>
      </c>
      <c r="AH6023">
        <v>94607</v>
      </c>
      <c r="AI6023" t="s">
        <v>4903</v>
      </c>
      <c r="AJ6023" t="s">
        <v>508</v>
      </c>
      <c r="AK6023" t="s">
        <v>29542</v>
      </c>
      <c r="AL6023" s="13" t="s">
        <v>1896</v>
      </c>
      <c r="AM6023">
        <v>1</v>
      </c>
      <c r="AN6023" s="15" t="s">
        <v>383</v>
      </c>
    </row>
    <row r="6024" spans="1:40" x14ac:dyDescent="0.3">
      <c r="A6024" s="10" t="str">
        <f>HYPERLINK("http://www.washoecounty.gov/assessor/cama/?parid=208-722-13&amp;CardNumber=1","208-722-13")</f>
        <v>208-722-13</v>
      </c>
      <c r="B6024" t="s">
        <v>4655</v>
      </c>
      <c r="C6024" t="s">
        <v>29543</v>
      </c>
      <c r="D6024" s="1">
        <v>40403</v>
      </c>
      <c r="E6024" s="2">
        <v>190000</v>
      </c>
      <c r="F6024" t="s">
        <v>4553</v>
      </c>
      <c r="G6024" s="17" t="str">
        <f>HYPERLINK("https://www.washoecounty.gov/assessor/cama/?command=sales&amp;parid=20872213","3911928")</f>
        <v>3911928</v>
      </c>
      <c r="H6024" t="s">
        <v>2741</v>
      </c>
      <c r="I6024">
        <v>2006</v>
      </c>
      <c r="J6024">
        <v>2006</v>
      </c>
      <c r="K6024" t="s">
        <v>4554</v>
      </c>
      <c r="L6024" t="s">
        <v>4555</v>
      </c>
      <c r="M6024" s="2">
        <v>1410</v>
      </c>
      <c r="N6024" t="s">
        <v>5280</v>
      </c>
      <c r="O6024">
        <v>3</v>
      </c>
      <c r="P6024">
        <v>2</v>
      </c>
      <c r="Q6024">
        <v>0</v>
      </c>
      <c r="R6024" t="s">
        <v>4557</v>
      </c>
      <c r="S6024" t="s">
        <v>4898</v>
      </c>
      <c r="T6024" t="s">
        <v>2704</v>
      </c>
      <c r="U6024" t="s">
        <v>4560</v>
      </c>
      <c r="V6024" s="2">
        <v>432</v>
      </c>
      <c r="W6024" t="s">
        <v>4655</v>
      </c>
      <c r="X6024" s="2">
        <v>0</v>
      </c>
      <c r="Y6024">
        <v>20</v>
      </c>
      <c r="Z6024" t="s">
        <v>4561</v>
      </c>
      <c r="AA6024" s="3">
        <v>0.165817260742187</v>
      </c>
      <c r="AB6024" t="s">
        <v>29544</v>
      </c>
      <c r="AC6024" t="s">
        <v>4575</v>
      </c>
      <c r="AD6024" t="s">
        <v>29543</v>
      </c>
      <c r="AE6024" t="s">
        <v>4655</v>
      </c>
      <c r="AF6024" t="s">
        <v>4563</v>
      </c>
      <c r="AG6024" t="s">
        <v>4564</v>
      </c>
      <c r="AH6024" t="s">
        <v>1147</v>
      </c>
      <c r="AI6024" t="s">
        <v>359</v>
      </c>
      <c r="AJ6024" t="s">
        <v>2742</v>
      </c>
      <c r="AK6024" t="s">
        <v>29545</v>
      </c>
      <c r="AL6024" s="13" t="s">
        <v>1896</v>
      </c>
      <c r="AM6024" s="14">
        <v>1</v>
      </c>
      <c r="AN6024" s="15" t="s">
        <v>383</v>
      </c>
    </row>
    <row r="6025" spans="1:40" x14ac:dyDescent="0.3">
      <c r="A6025" s="10" t="str">
        <f>HYPERLINK("http://www.washoecounty.gov/assessor/cama/?parid=208-722-16&amp;CardNumber=1","208-722-16")</f>
        <v>208-722-16</v>
      </c>
      <c r="B6025" t="s">
        <v>4655</v>
      </c>
      <c r="C6025" t="s">
        <v>29546</v>
      </c>
      <c r="D6025" s="1">
        <v>40185</v>
      </c>
      <c r="E6025" s="2">
        <v>175000</v>
      </c>
      <c r="F6025" t="s">
        <v>4567</v>
      </c>
      <c r="G6025" s="17" t="str">
        <f>HYPERLINK("https://www.washoecounty.gov/assessor/cama/?command=sales&amp;parid=20872216","3837177")</f>
        <v>3837177</v>
      </c>
      <c r="H6025" t="s">
        <v>2741</v>
      </c>
      <c r="I6025">
        <v>2006</v>
      </c>
      <c r="J6025">
        <v>2006</v>
      </c>
      <c r="K6025" t="s">
        <v>4554</v>
      </c>
      <c r="L6025" t="s">
        <v>3974</v>
      </c>
      <c r="M6025" s="2">
        <v>1780</v>
      </c>
      <c r="N6025" t="s">
        <v>5280</v>
      </c>
      <c r="O6025">
        <v>3</v>
      </c>
      <c r="P6025">
        <v>2</v>
      </c>
      <c r="Q6025">
        <v>1</v>
      </c>
      <c r="R6025" t="s">
        <v>4557</v>
      </c>
      <c r="S6025" t="s">
        <v>4898</v>
      </c>
      <c r="T6025" t="s">
        <v>2704</v>
      </c>
      <c r="U6025" t="s">
        <v>5631</v>
      </c>
      <c r="V6025" s="2">
        <v>477</v>
      </c>
      <c r="W6025" t="s">
        <v>4655</v>
      </c>
      <c r="X6025" s="2">
        <v>0</v>
      </c>
      <c r="Y6025">
        <v>20</v>
      </c>
      <c r="Z6025" t="s">
        <v>4561</v>
      </c>
      <c r="AA6025" s="3">
        <v>0.16457758843898773</v>
      </c>
      <c r="AB6025" t="s">
        <v>29547</v>
      </c>
      <c r="AC6025" t="s">
        <v>4562</v>
      </c>
      <c r="AD6025" t="s">
        <v>29548</v>
      </c>
      <c r="AE6025" t="s">
        <v>4655</v>
      </c>
      <c r="AF6025" t="s">
        <v>4563</v>
      </c>
      <c r="AG6025" t="s">
        <v>4564</v>
      </c>
      <c r="AH6025" t="s">
        <v>1147</v>
      </c>
      <c r="AI6025" t="s">
        <v>29549</v>
      </c>
      <c r="AJ6025" t="s">
        <v>2742</v>
      </c>
      <c r="AK6025" t="s">
        <v>29550</v>
      </c>
      <c r="AL6025" s="13" t="s">
        <v>1896</v>
      </c>
      <c r="AM6025">
        <v>1</v>
      </c>
      <c r="AN6025" s="15" t="s">
        <v>383</v>
      </c>
    </row>
    <row r="6026" spans="1:40" x14ac:dyDescent="0.3">
      <c r="A6026" s="10" t="str">
        <f>HYPERLINK("http://www.washoecounty.gov/assessor/cama/?parid=212-033-01&amp;CardNumber=1","212-033-01")</f>
        <v>212-033-01</v>
      </c>
      <c r="B6026" t="s">
        <v>4655</v>
      </c>
      <c r="C6026" t="s">
        <v>29551</v>
      </c>
      <c r="D6026" s="1">
        <v>40233</v>
      </c>
      <c r="E6026" s="2">
        <v>230000</v>
      </c>
      <c r="F6026" t="s">
        <v>4553</v>
      </c>
      <c r="G6026" s="17" t="str">
        <f>HYPERLINK("https://www.washoecounty.gov/assessor/cama/?command=sales&amp;parid=21203301","3852427")</f>
        <v>3852427</v>
      </c>
      <c r="H6026" t="s">
        <v>5283</v>
      </c>
      <c r="I6026">
        <v>2005</v>
      </c>
      <c r="J6026">
        <v>2005</v>
      </c>
      <c r="K6026" t="s">
        <v>4554</v>
      </c>
      <c r="L6026" t="s">
        <v>3974</v>
      </c>
      <c r="M6026" s="2">
        <v>2088</v>
      </c>
      <c r="N6026" t="s">
        <v>5280</v>
      </c>
      <c r="O6026">
        <v>4</v>
      </c>
      <c r="P6026">
        <v>3</v>
      </c>
      <c r="Q6026">
        <v>0</v>
      </c>
      <c r="R6026" t="s">
        <v>5281</v>
      </c>
      <c r="S6026" t="s">
        <v>4898</v>
      </c>
      <c r="T6026" t="s">
        <v>2704</v>
      </c>
      <c r="U6026" t="s">
        <v>5631</v>
      </c>
      <c r="V6026" s="2">
        <v>456</v>
      </c>
      <c r="W6026" t="s">
        <v>4655</v>
      </c>
      <c r="X6026" s="2">
        <v>0</v>
      </c>
      <c r="Y6026">
        <v>20</v>
      </c>
      <c r="Z6026" t="s">
        <v>5282</v>
      </c>
      <c r="AA6026" s="3">
        <v>0.123921029269695</v>
      </c>
      <c r="AB6026" t="s">
        <v>29552</v>
      </c>
      <c r="AC6026" t="s">
        <v>4562</v>
      </c>
      <c r="AD6026" t="s">
        <v>29553</v>
      </c>
      <c r="AE6026" t="s">
        <v>4655</v>
      </c>
      <c r="AF6026" t="s">
        <v>4563</v>
      </c>
      <c r="AG6026" t="s">
        <v>4564</v>
      </c>
      <c r="AH6026" t="s">
        <v>1147</v>
      </c>
      <c r="AI6026" t="s">
        <v>3081</v>
      </c>
      <c r="AJ6026" t="s">
        <v>3082</v>
      </c>
      <c r="AK6026" t="s">
        <v>29554</v>
      </c>
      <c r="AL6026" s="13" t="s">
        <v>2255</v>
      </c>
      <c r="AM6026">
        <v>1</v>
      </c>
      <c r="AN6026" s="15" t="s">
        <v>3083</v>
      </c>
    </row>
    <row r="6027" spans="1:40" x14ac:dyDescent="0.3">
      <c r="A6027" s="10" t="str">
        <f>HYPERLINK("http://www.washoecounty.gov/assessor/cama/?parid=212-074-02&amp;CardNumber=1","212-074-02")</f>
        <v>212-074-02</v>
      </c>
      <c r="B6027" t="s">
        <v>4655</v>
      </c>
      <c r="C6027" t="s">
        <v>925</v>
      </c>
      <c r="D6027" s="1">
        <v>40240</v>
      </c>
      <c r="E6027" s="2">
        <v>105000</v>
      </c>
      <c r="F6027" t="s">
        <v>4567</v>
      </c>
      <c r="G6027" s="17" t="str">
        <f>HYPERLINK("https://www.washoecounty.gov/assessor/cama/?command=sales&amp;parid=21207402","3855409")</f>
        <v>3855409</v>
      </c>
      <c r="H6027" t="s">
        <v>926</v>
      </c>
      <c r="I6027">
        <v>2001</v>
      </c>
      <c r="J6027">
        <v>2001</v>
      </c>
      <c r="K6027" t="s">
        <v>4897</v>
      </c>
      <c r="L6027" t="s">
        <v>4555</v>
      </c>
      <c r="M6027" s="2">
        <v>958</v>
      </c>
      <c r="N6027" t="s">
        <v>5280</v>
      </c>
      <c r="O6027">
        <v>2</v>
      </c>
      <c r="P6027">
        <v>2</v>
      </c>
      <c r="Q6027">
        <v>0</v>
      </c>
      <c r="R6027" t="s">
        <v>5281</v>
      </c>
      <c r="S6027" t="s">
        <v>4898</v>
      </c>
      <c r="T6027" t="s">
        <v>2704</v>
      </c>
      <c r="U6027" t="s">
        <v>4655</v>
      </c>
      <c r="V6027" s="2">
        <v>0</v>
      </c>
      <c r="W6027" t="s">
        <v>4655</v>
      </c>
      <c r="X6027" s="2">
        <v>0</v>
      </c>
      <c r="Y6027">
        <v>21</v>
      </c>
      <c r="Z6027" t="s">
        <v>1491</v>
      </c>
      <c r="AA6027" s="3">
        <v>1.00000004749745E-3</v>
      </c>
      <c r="AB6027" t="s">
        <v>29555</v>
      </c>
      <c r="AC6027" t="s">
        <v>4562</v>
      </c>
      <c r="AD6027" t="s">
        <v>29556</v>
      </c>
      <c r="AE6027" t="s">
        <v>4655</v>
      </c>
      <c r="AF6027" t="s">
        <v>4563</v>
      </c>
      <c r="AG6027" t="s">
        <v>4564</v>
      </c>
      <c r="AH6027" t="s">
        <v>1147</v>
      </c>
      <c r="AI6027" t="s">
        <v>29557</v>
      </c>
      <c r="AJ6027" t="s">
        <v>548</v>
      </c>
      <c r="AK6027" t="s">
        <v>29558</v>
      </c>
      <c r="AL6027" s="13" t="s">
        <v>2255</v>
      </c>
      <c r="AM6027">
        <v>1</v>
      </c>
      <c r="AN6027" s="15" t="s">
        <v>927</v>
      </c>
    </row>
    <row r="6028" spans="1:40" x14ac:dyDescent="0.3">
      <c r="A6028" s="10" t="str">
        <f>HYPERLINK("http://www.washoecounty.gov/assessor/cama/?parid=212-074-13&amp;CardNumber=1","212-074-13")</f>
        <v>212-074-13</v>
      </c>
      <c r="B6028" t="s">
        <v>4655</v>
      </c>
      <c r="C6028" t="s">
        <v>925</v>
      </c>
      <c r="D6028" s="1">
        <v>40263</v>
      </c>
      <c r="E6028" s="2">
        <v>90000</v>
      </c>
      <c r="F6028" t="s">
        <v>4567</v>
      </c>
      <c r="G6028" s="17" t="str">
        <f>HYPERLINK("https://www.washoecounty.gov/assessor/cama/?command=sales&amp;parid=21207413","3864359")</f>
        <v>3864359</v>
      </c>
      <c r="H6028" t="s">
        <v>926</v>
      </c>
      <c r="I6028">
        <v>2001</v>
      </c>
      <c r="J6028">
        <v>2001</v>
      </c>
      <c r="K6028" t="s">
        <v>4897</v>
      </c>
      <c r="L6028" t="s">
        <v>4555</v>
      </c>
      <c r="M6028" s="2">
        <v>958</v>
      </c>
      <c r="N6028" t="s">
        <v>5280</v>
      </c>
      <c r="O6028">
        <v>2</v>
      </c>
      <c r="P6028">
        <v>2</v>
      </c>
      <c r="Q6028">
        <v>0</v>
      </c>
      <c r="R6028" t="s">
        <v>5281</v>
      </c>
      <c r="S6028" t="s">
        <v>4898</v>
      </c>
      <c r="T6028" t="s">
        <v>2704</v>
      </c>
      <c r="U6028" t="s">
        <v>4655</v>
      </c>
      <c r="V6028" s="2">
        <v>0</v>
      </c>
      <c r="W6028" t="s">
        <v>4655</v>
      </c>
      <c r="X6028" s="2">
        <v>0</v>
      </c>
      <c r="Y6028">
        <v>21</v>
      </c>
      <c r="Z6028" t="s">
        <v>1491</v>
      </c>
      <c r="AA6028" s="3">
        <v>1.00000004749745E-3</v>
      </c>
      <c r="AB6028" t="s">
        <v>29559</v>
      </c>
      <c r="AC6028" t="s">
        <v>4562</v>
      </c>
      <c r="AD6028" t="s">
        <v>29560</v>
      </c>
      <c r="AE6028" t="s">
        <v>4655</v>
      </c>
      <c r="AF6028" t="s">
        <v>4563</v>
      </c>
      <c r="AG6028" t="s">
        <v>4564</v>
      </c>
      <c r="AH6028" t="s">
        <v>1147</v>
      </c>
      <c r="AI6028" t="s">
        <v>29561</v>
      </c>
      <c r="AJ6028" t="s">
        <v>548</v>
      </c>
      <c r="AK6028" t="s">
        <v>29562</v>
      </c>
      <c r="AL6028" s="13" t="s">
        <v>2255</v>
      </c>
      <c r="AM6028" s="14">
        <v>1</v>
      </c>
      <c r="AN6028" s="15" t="s">
        <v>927</v>
      </c>
    </row>
    <row r="6029" spans="1:40" x14ac:dyDescent="0.3">
      <c r="A6029" s="10" t="str">
        <f>HYPERLINK("http://www.washoecounty.gov/assessor/cama/?parid=212-074-17&amp;CardNumber=1","212-074-17")</f>
        <v>212-074-17</v>
      </c>
      <c r="B6029" t="s">
        <v>4655</v>
      </c>
      <c r="C6029" t="s">
        <v>925</v>
      </c>
      <c r="D6029" s="1">
        <v>40506</v>
      </c>
      <c r="E6029" s="2">
        <v>47250</v>
      </c>
      <c r="F6029" t="s">
        <v>4553</v>
      </c>
      <c r="G6029" s="17" t="str">
        <f>HYPERLINK("https://www.washoecounty.gov/assessor/cama/?command=sales&amp;parid=21207417","3946556")</f>
        <v>3946556</v>
      </c>
      <c r="H6029" t="s">
        <v>926</v>
      </c>
      <c r="I6029">
        <v>2001</v>
      </c>
      <c r="J6029">
        <v>2001</v>
      </c>
      <c r="K6029" t="s">
        <v>4897</v>
      </c>
      <c r="L6029" t="s">
        <v>4555</v>
      </c>
      <c r="M6029" s="2">
        <v>692</v>
      </c>
      <c r="N6029" t="s">
        <v>5280</v>
      </c>
      <c r="O6029">
        <v>1</v>
      </c>
      <c r="P6029">
        <v>1</v>
      </c>
      <c r="Q6029">
        <v>0</v>
      </c>
      <c r="R6029" t="s">
        <v>5281</v>
      </c>
      <c r="S6029" t="s">
        <v>4898</v>
      </c>
      <c r="T6029" t="s">
        <v>2704</v>
      </c>
      <c r="U6029" t="s">
        <v>4655</v>
      </c>
      <c r="V6029" s="2">
        <v>0</v>
      </c>
      <c r="W6029" t="s">
        <v>4655</v>
      </c>
      <c r="X6029" s="2">
        <v>0</v>
      </c>
      <c r="Y6029">
        <v>21</v>
      </c>
      <c r="Z6029" t="s">
        <v>1491</v>
      </c>
      <c r="AA6029" s="3">
        <v>1.00000004749745E-3</v>
      </c>
      <c r="AB6029" t="s">
        <v>29563</v>
      </c>
      <c r="AC6029" t="s">
        <v>4562</v>
      </c>
      <c r="AD6029" t="s">
        <v>29564</v>
      </c>
      <c r="AE6029" t="s">
        <v>4655</v>
      </c>
      <c r="AF6029" t="s">
        <v>4563</v>
      </c>
      <c r="AG6029" t="s">
        <v>4564</v>
      </c>
      <c r="AH6029" t="s">
        <v>1147</v>
      </c>
      <c r="AI6029" t="s">
        <v>4903</v>
      </c>
      <c r="AJ6029" t="s">
        <v>548</v>
      </c>
      <c r="AK6029" t="s">
        <v>29565</v>
      </c>
      <c r="AL6029" s="13" t="s">
        <v>2255</v>
      </c>
      <c r="AM6029" s="14">
        <v>1</v>
      </c>
      <c r="AN6029" s="15" t="s">
        <v>927</v>
      </c>
    </row>
    <row r="6030" spans="1:40" x14ac:dyDescent="0.3">
      <c r="A6030" s="10" t="str">
        <f>HYPERLINK("http://www.washoecounty.gov/assessor/cama/?parid=212-074-22&amp;CardNumber=1","212-074-22")</f>
        <v>212-074-22</v>
      </c>
      <c r="B6030" t="s">
        <v>4655</v>
      </c>
      <c r="C6030" t="s">
        <v>925</v>
      </c>
      <c r="D6030" s="1">
        <v>40262</v>
      </c>
      <c r="E6030" s="2">
        <v>78000</v>
      </c>
      <c r="F6030" t="s">
        <v>4567</v>
      </c>
      <c r="G6030" s="17" t="str">
        <f>HYPERLINK("https://www.washoecounty.gov/assessor/cama/?command=sales&amp;parid=21207422","3864079")</f>
        <v>3864079</v>
      </c>
      <c r="H6030" t="s">
        <v>926</v>
      </c>
      <c r="I6030">
        <v>2001</v>
      </c>
      <c r="J6030">
        <v>2001</v>
      </c>
      <c r="K6030" t="s">
        <v>4897</v>
      </c>
      <c r="L6030" t="s">
        <v>4555</v>
      </c>
      <c r="M6030" s="2">
        <v>930</v>
      </c>
      <c r="N6030" t="s">
        <v>5280</v>
      </c>
      <c r="O6030">
        <v>2</v>
      </c>
      <c r="P6030">
        <v>2</v>
      </c>
      <c r="Q6030">
        <v>0</v>
      </c>
      <c r="R6030" t="s">
        <v>5281</v>
      </c>
      <c r="S6030" t="s">
        <v>4898</v>
      </c>
      <c r="T6030" t="s">
        <v>2704</v>
      </c>
      <c r="U6030" t="s">
        <v>4655</v>
      </c>
      <c r="V6030" s="2">
        <v>0</v>
      </c>
      <c r="W6030" t="s">
        <v>4655</v>
      </c>
      <c r="X6030" s="2">
        <v>0</v>
      </c>
      <c r="Y6030">
        <v>21</v>
      </c>
      <c r="Z6030" t="s">
        <v>1491</v>
      </c>
      <c r="AA6030" s="3">
        <v>1.00000004749745E-3</v>
      </c>
      <c r="AB6030" t="s">
        <v>29566</v>
      </c>
      <c r="AC6030" t="s">
        <v>4575</v>
      </c>
      <c r="AD6030" t="s">
        <v>29567</v>
      </c>
      <c r="AE6030" t="s">
        <v>4655</v>
      </c>
      <c r="AF6030" t="s">
        <v>4563</v>
      </c>
      <c r="AG6030" t="s">
        <v>4564</v>
      </c>
      <c r="AH6030" t="s">
        <v>1147</v>
      </c>
      <c r="AI6030" t="s">
        <v>29568</v>
      </c>
      <c r="AJ6030" t="s">
        <v>548</v>
      </c>
      <c r="AK6030" t="s">
        <v>29569</v>
      </c>
      <c r="AL6030" s="13" t="s">
        <v>2255</v>
      </c>
      <c r="AM6030" s="14">
        <v>1</v>
      </c>
      <c r="AN6030" s="15" t="s">
        <v>927</v>
      </c>
    </row>
    <row r="6031" spans="1:40" x14ac:dyDescent="0.3">
      <c r="A6031" s="10" t="str">
        <f>HYPERLINK("http://www.washoecounty.gov/assessor/cama/?parid=212-074-24&amp;CardNumber=1","212-074-24")</f>
        <v>212-074-24</v>
      </c>
      <c r="B6031" t="s">
        <v>4655</v>
      </c>
      <c r="C6031" t="s">
        <v>925</v>
      </c>
      <c r="D6031" s="1">
        <v>40357</v>
      </c>
      <c r="E6031" s="2">
        <v>52500</v>
      </c>
      <c r="F6031" t="s">
        <v>4567</v>
      </c>
      <c r="G6031" s="17" t="str">
        <f>HYPERLINK("https://www.washoecounty.gov/assessor/cama/?command=sales&amp;parid=21207424","3896086")</f>
        <v>3896086</v>
      </c>
      <c r="H6031" t="s">
        <v>926</v>
      </c>
      <c r="I6031">
        <v>2001</v>
      </c>
      <c r="J6031">
        <v>2001</v>
      </c>
      <c r="K6031" t="s">
        <v>4897</v>
      </c>
      <c r="L6031" t="s">
        <v>4555</v>
      </c>
      <c r="M6031" s="2">
        <v>692</v>
      </c>
      <c r="N6031" t="s">
        <v>5280</v>
      </c>
      <c r="O6031">
        <v>1</v>
      </c>
      <c r="P6031">
        <v>1</v>
      </c>
      <c r="Q6031">
        <v>0</v>
      </c>
      <c r="R6031" t="s">
        <v>5281</v>
      </c>
      <c r="S6031" t="s">
        <v>4898</v>
      </c>
      <c r="T6031" t="s">
        <v>2704</v>
      </c>
      <c r="U6031" t="s">
        <v>4655</v>
      </c>
      <c r="V6031" s="2">
        <v>0</v>
      </c>
      <c r="W6031" t="s">
        <v>4655</v>
      </c>
      <c r="X6031" s="2">
        <v>0</v>
      </c>
      <c r="Y6031">
        <v>21</v>
      </c>
      <c r="Z6031" t="s">
        <v>1491</v>
      </c>
      <c r="AA6031" s="3">
        <v>1.00000004749745E-3</v>
      </c>
      <c r="AB6031" t="s">
        <v>29570</v>
      </c>
      <c r="AC6031" t="s">
        <v>4575</v>
      </c>
      <c r="AD6031" t="s">
        <v>29571</v>
      </c>
      <c r="AE6031" t="s">
        <v>29572</v>
      </c>
      <c r="AF6031" t="s">
        <v>1154</v>
      </c>
      <c r="AG6031" t="s">
        <v>4584</v>
      </c>
      <c r="AH6031">
        <v>94080</v>
      </c>
      <c r="AI6031" t="s">
        <v>29573</v>
      </c>
      <c r="AJ6031" t="s">
        <v>548</v>
      </c>
      <c r="AK6031" t="s">
        <v>29574</v>
      </c>
      <c r="AL6031" s="13" t="s">
        <v>2255</v>
      </c>
      <c r="AM6031">
        <v>1</v>
      </c>
      <c r="AN6031" s="15" t="s">
        <v>927</v>
      </c>
    </row>
    <row r="6032" spans="1:40" x14ac:dyDescent="0.3">
      <c r="A6032" s="10" t="str">
        <f>HYPERLINK("http://www.washoecounty.gov/assessor/cama/?parid=212-074-28&amp;CardNumber=1","212-074-28")</f>
        <v>212-074-28</v>
      </c>
      <c r="B6032" t="s">
        <v>4655</v>
      </c>
      <c r="C6032" t="s">
        <v>925</v>
      </c>
      <c r="D6032" s="1">
        <v>40351</v>
      </c>
      <c r="E6032" s="2">
        <v>75000</v>
      </c>
      <c r="F6032" t="s">
        <v>4553</v>
      </c>
      <c r="G6032" s="17" t="str">
        <f>HYPERLINK("https://www.washoecounty.gov/assessor/cama/?command=sales&amp;parid=21207428","3894048")</f>
        <v>3894048</v>
      </c>
      <c r="H6032" t="s">
        <v>926</v>
      </c>
      <c r="I6032">
        <v>2001</v>
      </c>
      <c r="J6032">
        <v>2001</v>
      </c>
      <c r="K6032" t="s">
        <v>4897</v>
      </c>
      <c r="L6032" t="s">
        <v>4555</v>
      </c>
      <c r="M6032" s="2">
        <v>930</v>
      </c>
      <c r="N6032" t="s">
        <v>5280</v>
      </c>
      <c r="O6032">
        <v>2</v>
      </c>
      <c r="P6032">
        <v>2</v>
      </c>
      <c r="Q6032">
        <v>0</v>
      </c>
      <c r="R6032" t="s">
        <v>5281</v>
      </c>
      <c r="S6032" t="s">
        <v>4898</v>
      </c>
      <c r="T6032" t="s">
        <v>2704</v>
      </c>
      <c r="U6032" t="s">
        <v>4655</v>
      </c>
      <c r="V6032" s="2">
        <v>0</v>
      </c>
      <c r="W6032" t="s">
        <v>4655</v>
      </c>
      <c r="X6032" s="2">
        <v>0</v>
      </c>
      <c r="Y6032">
        <v>21</v>
      </c>
      <c r="Z6032" t="s">
        <v>1491</v>
      </c>
      <c r="AA6032" s="3">
        <v>1.00000004749745E-3</v>
      </c>
      <c r="AB6032" t="s">
        <v>29575</v>
      </c>
      <c r="AC6032" t="s">
        <v>4575</v>
      </c>
      <c r="AD6032" t="s">
        <v>29576</v>
      </c>
      <c r="AE6032" t="s">
        <v>4655</v>
      </c>
      <c r="AF6032" t="s">
        <v>3556</v>
      </c>
      <c r="AG6032" t="s">
        <v>4584</v>
      </c>
      <c r="AH6032" t="s">
        <v>29577</v>
      </c>
      <c r="AI6032" t="s">
        <v>29578</v>
      </c>
      <c r="AJ6032" t="s">
        <v>548</v>
      </c>
      <c r="AK6032" t="s">
        <v>29579</v>
      </c>
      <c r="AL6032" s="13" t="s">
        <v>2255</v>
      </c>
      <c r="AM6032">
        <v>1</v>
      </c>
      <c r="AN6032" s="15" t="s">
        <v>927</v>
      </c>
    </row>
    <row r="6033" spans="1:40" x14ac:dyDescent="0.3">
      <c r="A6033" s="10" t="str">
        <f>HYPERLINK("http://www.washoecounty.gov/assessor/cama/?parid=212-074-39&amp;CardNumber=1","212-074-39")</f>
        <v>212-074-39</v>
      </c>
      <c r="B6033" t="s">
        <v>4655</v>
      </c>
      <c r="C6033" t="s">
        <v>925</v>
      </c>
      <c r="D6033" s="1">
        <v>40449</v>
      </c>
      <c r="E6033" s="2">
        <v>69000</v>
      </c>
      <c r="F6033" t="s">
        <v>4553</v>
      </c>
      <c r="G6033" s="17" t="str">
        <f>HYPERLINK("https://www.washoecounty.gov/assessor/cama/?command=sales&amp;parid=21207439","3926918")</f>
        <v>3926918</v>
      </c>
      <c r="H6033" t="s">
        <v>926</v>
      </c>
      <c r="I6033">
        <v>2001</v>
      </c>
      <c r="J6033">
        <v>2001</v>
      </c>
      <c r="K6033" t="s">
        <v>4897</v>
      </c>
      <c r="L6033" t="s">
        <v>4555</v>
      </c>
      <c r="M6033" s="2">
        <v>930</v>
      </c>
      <c r="N6033" t="s">
        <v>5280</v>
      </c>
      <c r="O6033">
        <v>2</v>
      </c>
      <c r="P6033">
        <v>2</v>
      </c>
      <c r="Q6033">
        <v>0</v>
      </c>
      <c r="R6033" t="s">
        <v>5281</v>
      </c>
      <c r="S6033" t="s">
        <v>4898</v>
      </c>
      <c r="T6033" t="s">
        <v>2704</v>
      </c>
      <c r="U6033" t="s">
        <v>4655</v>
      </c>
      <c r="V6033" s="2">
        <v>0</v>
      </c>
      <c r="W6033" t="s">
        <v>4655</v>
      </c>
      <c r="X6033" s="2">
        <v>0</v>
      </c>
      <c r="Y6033">
        <v>21</v>
      </c>
      <c r="Z6033" t="s">
        <v>1491</v>
      </c>
      <c r="AA6033" s="3">
        <v>1.00000004749745E-3</v>
      </c>
      <c r="AB6033" t="s">
        <v>4101</v>
      </c>
      <c r="AC6033" t="s">
        <v>4562</v>
      </c>
      <c r="AD6033" t="s">
        <v>2202</v>
      </c>
      <c r="AE6033" t="s">
        <v>4655</v>
      </c>
      <c r="AF6033" t="s">
        <v>4563</v>
      </c>
      <c r="AG6033" t="s">
        <v>4564</v>
      </c>
      <c r="AH6033" t="s">
        <v>1147</v>
      </c>
      <c r="AI6033" t="s">
        <v>29580</v>
      </c>
      <c r="AJ6033" t="s">
        <v>548</v>
      </c>
      <c r="AK6033" t="s">
        <v>29581</v>
      </c>
      <c r="AL6033" s="13" t="s">
        <v>2255</v>
      </c>
      <c r="AM6033" s="14">
        <v>1</v>
      </c>
      <c r="AN6033" s="15" t="s">
        <v>927</v>
      </c>
    </row>
    <row r="6034" spans="1:40" x14ac:dyDescent="0.3">
      <c r="A6034" s="10" t="str">
        <f>HYPERLINK("http://www.washoecounty.gov/assessor/cama/?parid=212-075-11&amp;CardNumber=1","212-075-11")</f>
        <v>212-075-11</v>
      </c>
      <c r="B6034" t="s">
        <v>4655</v>
      </c>
      <c r="C6034" t="s">
        <v>925</v>
      </c>
      <c r="D6034" s="1">
        <v>40351</v>
      </c>
      <c r="E6034" s="2">
        <v>76000</v>
      </c>
      <c r="F6034" t="s">
        <v>4567</v>
      </c>
      <c r="G6034" s="17" t="str">
        <f>HYPERLINK("https://www.washoecounty.gov/assessor/cama/?command=sales&amp;parid=21207511","3894122")</f>
        <v>3894122</v>
      </c>
      <c r="H6034" t="s">
        <v>926</v>
      </c>
      <c r="I6034">
        <v>2001</v>
      </c>
      <c r="J6034">
        <v>2001</v>
      </c>
      <c r="K6034" t="s">
        <v>4897</v>
      </c>
      <c r="L6034" t="s">
        <v>4555</v>
      </c>
      <c r="M6034" s="2">
        <v>958</v>
      </c>
      <c r="N6034" t="s">
        <v>5280</v>
      </c>
      <c r="O6034">
        <v>2</v>
      </c>
      <c r="P6034">
        <v>2</v>
      </c>
      <c r="Q6034">
        <v>0</v>
      </c>
      <c r="R6034" t="s">
        <v>5281</v>
      </c>
      <c r="S6034" t="s">
        <v>4898</v>
      </c>
      <c r="T6034" t="s">
        <v>2704</v>
      </c>
      <c r="U6034" t="s">
        <v>4655</v>
      </c>
      <c r="V6034" s="2">
        <v>0</v>
      </c>
      <c r="W6034" t="s">
        <v>4655</v>
      </c>
      <c r="X6034" s="2">
        <v>0</v>
      </c>
      <c r="Y6034">
        <v>21</v>
      </c>
      <c r="Z6034" t="s">
        <v>1491</v>
      </c>
      <c r="AA6034" s="3">
        <v>1.00000004749745E-3</v>
      </c>
      <c r="AB6034" t="s">
        <v>4101</v>
      </c>
      <c r="AC6034" t="s">
        <v>4562</v>
      </c>
      <c r="AD6034" t="s">
        <v>2202</v>
      </c>
      <c r="AE6034" t="s">
        <v>4655</v>
      </c>
      <c r="AF6034" t="s">
        <v>4563</v>
      </c>
      <c r="AG6034" t="s">
        <v>4564</v>
      </c>
      <c r="AH6034" t="s">
        <v>1147</v>
      </c>
      <c r="AI6034" t="s">
        <v>29582</v>
      </c>
      <c r="AJ6034" t="s">
        <v>548</v>
      </c>
      <c r="AK6034" t="s">
        <v>29583</v>
      </c>
      <c r="AL6034" s="13" t="s">
        <v>2255</v>
      </c>
      <c r="AM6034">
        <v>1</v>
      </c>
      <c r="AN6034" s="15" t="s">
        <v>927</v>
      </c>
    </row>
    <row r="6035" spans="1:40" x14ac:dyDescent="0.3">
      <c r="A6035" s="10" t="str">
        <f>HYPERLINK("http://www.washoecounty.gov/assessor/cama/?parid=212-075-24&amp;CardNumber=1","212-075-24")</f>
        <v>212-075-24</v>
      </c>
      <c r="B6035" t="s">
        <v>4655</v>
      </c>
      <c r="C6035" t="s">
        <v>925</v>
      </c>
      <c r="D6035" s="1">
        <v>40197</v>
      </c>
      <c r="E6035" s="2">
        <v>64000</v>
      </c>
      <c r="F6035" t="s">
        <v>4567</v>
      </c>
      <c r="G6035" s="17" t="str">
        <f>HYPERLINK("https://www.washoecounty.gov/assessor/cama/?command=sales&amp;parid=21207524","3840484")</f>
        <v>3840484</v>
      </c>
      <c r="H6035" t="s">
        <v>926</v>
      </c>
      <c r="I6035">
        <v>2001</v>
      </c>
      <c r="J6035">
        <v>2001</v>
      </c>
      <c r="K6035" t="s">
        <v>4897</v>
      </c>
      <c r="L6035" t="s">
        <v>4555</v>
      </c>
      <c r="M6035" s="2">
        <v>692</v>
      </c>
      <c r="N6035" t="s">
        <v>5280</v>
      </c>
      <c r="O6035">
        <v>1</v>
      </c>
      <c r="P6035">
        <v>1</v>
      </c>
      <c r="Q6035">
        <v>0</v>
      </c>
      <c r="R6035" t="s">
        <v>5281</v>
      </c>
      <c r="S6035" t="s">
        <v>4898</v>
      </c>
      <c r="T6035" t="s">
        <v>2704</v>
      </c>
      <c r="U6035" t="s">
        <v>4655</v>
      </c>
      <c r="V6035" s="2">
        <v>0</v>
      </c>
      <c r="W6035" t="s">
        <v>4655</v>
      </c>
      <c r="X6035" s="2">
        <v>0</v>
      </c>
      <c r="Y6035">
        <v>21</v>
      </c>
      <c r="Z6035" t="s">
        <v>1491</v>
      </c>
      <c r="AA6035" s="3">
        <v>1.00000004749745E-3</v>
      </c>
      <c r="AB6035" t="s">
        <v>29584</v>
      </c>
      <c r="AC6035" t="s">
        <v>4562</v>
      </c>
      <c r="AD6035" t="s">
        <v>29585</v>
      </c>
      <c r="AE6035" t="s">
        <v>4655</v>
      </c>
      <c r="AF6035" t="s">
        <v>4563</v>
      </c>
      <c r="AG6035" t="s">
        <v>4564</v>
      </c>
      <c r="AH6035" t="s">
        <v>1147</v>
      </c>
      <c r="AI6035" t="s">
        <v>29586</v>
      </c>
      <c r="AJ6035" t="s">
        <v>548</v>
      </c>
      <c r="AK6035" t="s">
        <v>29587</v>
      </c>
      <c r="AL6035" s="13" t="s">
        <v>2255</v>
      </c>
      <c r="AM6035" s="14">
        <v>1</v>
      </c>
      <c r="AN6035" s="15" t="s">
        <v>927</v>
      </c>
    </row>
    <row r="6036" spans="1:40" x14ac:dyDescent="0.3">
      <c r="A6036" s="10" t="str">
        <f>HYPERLINK("http://www.washoecounty.gov/assessor/cama/?parid=212-075-25&amp;CardNumber=1","212-075-25")</f>
        <v>212-075-25</v>
      </c>
      <c r="B6036" t="s">
        <v>4655</v>
      </c>
      <c r="C6036" t="s">
        <v>925</v>
      </c>
      <c r="D6036" s="1">
        <v>40486</v>
      </c>
      <c r="E6036" s="2">
        <v>52000</v>
      </c>
      <c r="F6036" t="s">
        <v>4567</v>
      </c>
      <c r="G6036" s="17" t="str">
        <f>HYPERLINK("https://www.washoecounty.gov/assessor/cama/?command=sales&amp;parid=21207525","3940091")</f>
        <v>3940091</v>
      </c>
      <c r="H6036" t="s">
        <v>926</v>
      </c>
      <c r="I6036">
        <v>2001</v>
      </c>
      <c r="J6036">
        <v>2001</v>
      </c>
      <c r="K6036" t="s">
        <v>4897</v>
      </c>
      <c r="L6036" t="s">
        <v>4555</v>
      </c>
      <c r="M6036" s="2">
        <v>692</v>
      </c>
      <c r="N6036" t="s">
        <v>5280</v>
      </c>
      <c r="O6036">
        <v>1</v>
      </c>
      <c r="P6036">
        <v>1</v>
      </c>
      <c r="Q6036">
        <v>0</v>
      </c>
      <c r="R6036" t="s">
        <v>5281</v>
      </c>
      <c r="S6036" t="s">
        <v>4898</v>
      </c>
      <c r="T6036" t="s">
        <v>2704</v>
      </c>
      <c r="U6036" t="s">
        <v>4655</v>
      </c>
      <c r="V6036" s="2">
        <v>0</v>
      </c>
      <c r="W6036" t="s">
        <v>4655</v>
      </c>
      <c r="X6036" s="2">
        <v>0</v>
      </c>
      <c r="Y6036">
        <v>21</v>
      </c>
      <c r="Z6036" t="s">
        <v>1491</v>
      </c>
      <c r="AA6036" s="3">
        <v>1.00000004749745E-3</v>
      </c>
      <c r="AB6036" t="s">
        <v>4101</v>
      </c>
      <c r="AC6036" t="s">
        <v>4562</v>
      </c>
      <c r="AD6036" t="s">
        <v>2202</v>
      </c>
      <c r="AE6036" t="s">
        <v>4655</v>
      </c>
      <c r="AF6036" t="s">
        <v>4563</v>
      </c>
      <c r="AG6036" t="s">
        <v>4564</v>
      </c>
      <c r="AH6036" t="s">
        <v>1147</v>
      </c>
      <c r="AI6036" t="s">
        <v>29588</v>
      </c>
      <c r="AJ6036" t="s">
        <v>548</v>
      </c>
      <c r="AK6036" t="s">
        <v>29589</v>
      </c>
      <c r="AL6036" s="13" t="s">
        <v>2255</v>
      </c>
      <c r="AM6036" s="14">
        <v>1</v>
      </c>
      <c r="AN6036" s="15" t="s">
        <v>927</v>
      </c>
    </row>
    <row r="6037" spans="1:40" x14ac:dyDescent="0.3">
      <c r="A6037" s="10" t="str">
        <f>HYPERLINK("http://www.washoecounty.gov/assessor/cama/?parid=212-075-35&amp;CardNumber=1","212-075-35")</f>
        <v>212-075-35</v>
      </c>
      <c r="B6037" t="s">
        <v>4655</v>
      </c>
      <c r="C6037" t="s">
        <v>925</v>
      </c>
      <c r="D6037" s="1">
        <v>40284</v>
      </c>
      <c r="E6037" s="2">
        <v>70000</v>
      </c>
      <c r="F6037" t="s">
        <v>4567</v>
      </c>
      <c r="G6037" s="17" t="str">
        <f>HYPERLINK("https://www.washoecounty.gov/assessor/cama/?command=sales&amp;parid=21207535","3872001")</f>
        <v>3872001</v>
      </c>
      <c r="H6037" t="s">
        <v>926</v>
      </c>
      <c r="I6037">
        <v>2001</v>
      </c>
      <c r="J6037">
        <v>2001</v>
      </c>
      <c r="K6037" t="s">
        <v>3144</v>
      </c>
      <c r="L6037" t="s">
        <v>4555</v>
      </c>
      <c r="M6037" s="2">
        <v>930</v>
      </c>
      <c r="N6037" t="s">
        <v>5280</v>
      </c>
      <c r="O6037">
        <v>2</v>
      </c>
      <c r="P6037">
        <v>2</v>
      </c>
      <c r="Q6037">
        <v>0</v>
      </c>
      <c r="R6037" t="s">
        <v>5281</v>
      </c>
      <c r="S6037" t="s">
        <v>4898</v>
      </c>
      <c r="T6037" t="s">
        <v>2704</v>
      </c>
      <c r="U6037" t="s">
        <v>4655</v>
      </c>
      <c r="V6037" s="2">
        <v>0</v>
      </c>
      <c r="W6037" t="s">
        <v>4655</v>
      </c>
      <c r="X6037" s="2">
        <v>0</v>
      </c>
      <c r="Y6037">
        <v>21</v>
      </c>
      <c r="Z6037" t="s">
        <v>1491</v>
      </c>
      <c r="AA6037" s="3">
        <v>1.00000004749745E-3</v>
      </c>
      <c r="AB6037" t="s">
        <v>13074</v>
      </c>
      <c r="AC6037" t="s">
        <v>4562</v>
      </c>
      <c r="AD6037" t="s">
        <v>2202</v>
      </c>
      <c r="AE6037" t="s">
        <v>4655</v>
      </c>
      <c r="AF6037" t="s">
        <v>4563</v>
      </c>
      <c r="AG6037" t="s">
        <v>4564</v>
      </c>
      <c r="AH6037" t="s">
        <v>1147</v>
      </c>
      <c r="AI6037" t="s">
        <v>29590</v>
      </c>
      <c r="AJ6037" t="s">
        <v>548</v>
      </c>
      <c r="AK6037" t="s">
        <v>29591</v>
      </c>
      <c r="AL6037" s="13" t="s">
        <v>2255</v>
      </c>
      <c r="AM6037">
        <v>1</v>
      </c>
      <c r="AN6037" s="15" t="s">
        <v>927</v>
      </c>
    </row>
    <row r="6038" spans="1:40" x14ac:dyDescent="0.3">
      <c r="A6038" s="10" t="str">
        <f>HYPERLINK("http://www.washoecounty.gov/assessor/cama/?parid=212-076-06&amp;CardNumber=1","212-076-06")</f>
        <v>212-076-06</v>
      </c>
      <c r="B6038" t="s">
        <v>4655</v>
      </c>
      <c r="C6038" t="s">
        <v>925</v>
      </c>
      <c r="D6038" s="1">
        <v>40358</v>
      </c>
      <c r="E6038" s="2">
        <v>86000</v>
      </c>
      <c r="F6038" t="s">
        <v>4567</v>
      </c>
      <c r="G6038" s="17" t="str">
        <f>HYPERLINK("https://www.washoecounty.gov/assessor/cama/?command=sales&amp;parid=21207606","3896541")</f>
        <v>3896541</v>
      </c>
      <c r="H6038" t="s">
        <v>926</v>
      </c>
      <c r="I6038">
        <v>2001</v>
      </c>
      <c r="J6038">
        <v>2001</v>
      </c>
      <c r="K6038" t="s">
        <v>4897</v>
      </c>
      <c r="L6038" t="s">
        <v>4555</v>
      </c>
      <c r="M6038" s="2">
        <v>930</v>
      </c>
      <c r="N6038" t="s">
        <v>5280</v>
      </c>
      <c r="O6038">
        <v>2</v>
      </c>
      <c r="P6038">
        <v>2</v>
      </c>
      <c r="Q6038">
        <v>0</v>
      </c>
      <c r="R6038" t="s">
        <v>5281</v>
      </c>
      <c r="S6038" t="s">
        <v>4898</v>
      </c>
      <c r="T6038" t="s">
        <v>2704</v>
      </c>
      <c r="U6038" t="s">
        <v>4655</v>
      </c>
      <c r="V6038" s="2">
        <v>0</v>
      </c>
      <c r="W6038" t="s">
        <v>4655</v>
      </c>
      <c r="X6038" s="2">
        <v>0</v>
      </c>
      <c r="Y6038">
        <v>21</v>
      </c>
      <c r="Z6038" t="s">
        <v>1491</v>
      </c>
      <c r="AA6038" s="3">
        <v>1.00000004749745E-3</v>
      </c>
      <c r="AB6038" t="s">
        <v>29592</v>
      </c>
      <c r="AC6038" t="s">
        <v>4562</v>
      </c>
      <c r="AD6038" t="s">
        <v>29593</v>
      </c>
      <c r="AE6038" t="s">
        <v>4655</v>
      </c>
      <c r="AF6038" t="s">
        <v>1189</v>
      </c>
      <c r="AG6038" t="s">
        <v>4564</v>
      </c>
      <c r="AH6038">
        <v>89117</v>
      </c>
      <c r="AI6038" t="s">
        <v>24543</v>
      </c>
      <c r="AJ6038" t="s">
        <v>548</v>
      </c>
      <c r="AK6038" t="s">
        <v>29594</v>
      </c>
      <c r="AL6038" s="13" t="s">
        <v>2255</v>
      </c>
      <c r="AM6038" s="14">
        <v>1</v>
      </c>
      <c r="AN6038" s="15" t="s">
        <v>927</v>
      </c>
    </row>
    <row r="6039" spans="1:40" x14ac:dyDescent="0.3">
      <c r="A6039" s="10" t="str">
        <f>HYPERLINK("http://www.washoecounty.gov/assessor/cama/?parid=212-076-13&amp;CardNumber=1","212-076-13")</f>
        <v>212-076-13</v>
      </c>
      <c r="B6039" t="s">
        <v>4655</v>
      </c>
      <c r="C6039" t="s">
        <v>925</v>
      </c>
      <c r="D6039" s="1">
        <v>40542</v>
      </c>
      <c r="E6039" s="2">
        <v>78000</v>
      </c>
      <c r="F6039" t="s">
        <v>4553</v>
      </c>
      <c r="G6039" s="17" t="str">
        <f>HYPERLINK("https://www.washoecounty.gov/assessor/cama/?command=sales&amp;parid=21207613","3959220")</f>
        <v>3959220</v>
      </c>
      <c r="H6039" t="s">
        <v>926</v>
      </c>
      <c r="I6039">
        <v>2001</v>
      </c>
      <c r="J6039">
        <v>2001</v>
      </c>
      <c r="K6039" t="s">
        <v>4897</v>
      </c>
      <c r="L6039" t="s">
        <v>4555</v>
      </c>
      <c r="M6039" s="2">
        <v>930</v>
      </c>
      <c r="N6039" t="s">
        <v>5280</v>
      </c>
      <c r="O6039">
        <v>2</v>
      </c>
      <c r="P6039">
        <v>2</v>
      </c>
      <c r="Q6039">
        <v>0</v>
      </c>
      <c r="R6039" t="s">
        <v>5281</v>
      </c>
      <c r="S6039" t="s">
        <v>4898</v>
      </c>
      <c r="T6039" t="s">
        <v>2704</v>
      </c>
      <c r="U6039" t="s">
        <v>4655</v>
      </c>
      <c r="V6039" s="2">
        <v>0</v>
      </c>
      <c r="W6039" t="s">
        <v>4655</v>
      </c>
      <c r="X6039" s="2">
        <v>0</v>
      </c>
      <c r="Y6039">
        <v>21</v>
      </c>
      <c r="Z6039" t="s">
        <v>1491</v>
      </c>
      <c r="AA6039" s="3">
        <v>1.00000004749745E-3</v>
      </c>
      <c r="AB6039" t="s">
        <v>29595</v>
      </c>
      <c r="AC6039" t="s">
        <v>4562</v>
      </c>
      <c r="AD6039" t="s">
        <v>29596</v>
      </c>
      <c r="AE6039" t="s">
        <v>4655</v>
      </c>
      <c r="AF6039" t="s">
        <v>4563</v>
      </c>
      <c r="AG6039" t="s">
        <v>4564</v>
      </c>
      <c r="AH6039" t="s">
        <v>1147</v>
      </c>
      <c r="AI6039" t="s">
        <v>4655</v>
      </c>
      <c r="AJ6039" t="s">
        <v>548</v>
      </c>
      <c r="AK6039" t="s">
        <v>29597</v>
      </c>
      <c r="AL6039" s="13" t="s">
        <v>2255</v>
      </c>
      <c r="AM6039">
        <v>1</v>
      </c>
      <c r="AN6039" s="15" t="s">
        <v>927</v>
      </c>
    </row>
    <row r="6040" spans="1:40" x14ac:dyDescent="0.3">
      <c r="A6040" s="10" t="str">
        <f>HYPERLINK("http://www.washoecounty.gov/assessor/cama/?parid=212-076-19&amp;CardNumber=1","212-076-19")</f>
        <v>212-076-19</v>
      </c>
      <c r="B6040" t="s">
        <v>4655</v>
      </c>
      <c r="C6040" t="s">
        <v>925</v>
      </c>
      <c r="D6040" s="1">
        <v>40325</v>
      </c>
      <c r="E6040" s="2">
        <v>210686</v>
      </c>
      <c r="F6040" t="s">
        <v>4553</v>
      </c>
      <c r="G6040" s="17" t="str">
        <f>HYPERLINK("https://www.washoecounty.gov/assessor/cama/?command=sales&amp;parid=21207619","3886194")</f>
        <v>3886194</v>
      </c>
      <c r="H6040" t="s">
        <v>926</v>
      </c>
      <c r="I6040">
        <v>2001</v>
      </c>
      <c r="J6040">
        <v>2001</v>
      </c>
      <c r="K6040" t="s">
        <v>4897</v>
      </c>
      <c r="L6040" t="s">
        <v>4555</v>
      </c>
      <c r="M6040" s="2">
        <v>930</v>
      </c>
      <c r="N6040" t="s">
        <v>5280</v>
      </c>
      <c r="O6040">
        <v>2</v>
      </c>
      <c r="P6040">
        <v>2</v>
      </c>
      <c r="Q6040">
        <v>0</v>
      </c>
      <c r="R6040" t="s">
        <v>5281</v>
      </c>
      <c r="S6040" t="s">
        <v>4898</v>
      </c>
      <c r="T6040" t="s">
        <v>2704</v>
      </c>
      <c r="U6040" t="s">
        <v>4655</v>
      </c>
      <c r="V6040" s="2">
        <v>0</v>
      </c>
      <c r="W6040" t="s">
        <v>4655</v>
      </c>
      <c r="X6040" s="2">
        <v>0</v>
      </c>
      <c r="Y6040">
        <v>21</v>
      </c>
      <c r="Z6040" t="s">
        <v>1491</v>
      </c>
      <c r="AA6040" s="3">
        <v>1.00000004749745E-3</v>
      </c>
      <c r="AB6040" t="s">
        <v>29598</v>
      </c>
      <c r="AC6040" t="s">
        <v>4562</v>
      </c>
      <c r="AD6040" t="s">
        <v>29599</v>
      </c>
      <c r="AE6040" t="s">
        <v>4655</v>
      </c>
      <c r="AF6040" t="s">
        <v>4563</v>
      </c>
      <c r="AG6040" t="s">
        <v>4564</v>
      </c>
      <c r="AH6040" t="s">
        <v>1147</v>
      </c>
      <c r="AI6040" t="s">
        <v>4903</v>
      </c>
      <c r="AJ6040" t="s">
        <v>548</v>
      </c>
      <c r="AK6040" t="s">
        <v>29600</v>
      </c>
      <c r="AL6040" s="13" t="s">
        <v>2255</v>
      </c>
      <c r="AM6040" s="14">
        <v>1</v>
      </c>
      <c r="AN6040" s="15" t="s">
        <v>927</v>
      </c>
    </row>
    <row r="6041" spans="1:40" x14ac:dyDescent="0.3">
      <c r="A6041" s="10" t="str">
        <f>HYPERLINK("http://www.washoecounty.gov/assessor/cama/?parid=212-076-19&amp;CardNumber=1","212-076-19")</f>
        <v>212-076-19</v>
      </c>
      <c r="B6041" t="s">
        <v>4655</v>
      </c>
      <c r="C6041" t="s">
        <v>925</v>
      </c>
      <c r="D6041" s="1">
        <v>40458</v>
      </c>
      <c r="E6041" s="2">
        <v>63000</v>
      </c>
      <c r="F6041" t="s">
        <v>4553</v>
      </c>
      <c r="G6041" s="17" t="str">
        <f>HYPERLINK("https://www.washoecounty.gov/assessor/cama/?command=sales&amp;parid=21207619","3930523")</f>
        <v>3930523</v>
      </c>
      <c r="H6041" t="s">
        <v>926</v>
      </c>
      <c r="I6041">
        <v>2001</v>
      </c>
      <c r="J6041">
        <v>2001</v>
      </c>
      <c r="K6041" t="s">
        <v>4897</v>
      </c>
      <c r="L6041" t="s">
        <v>4555</v>
      </c>
      <c r="M6041" s="2">
        <v>930</v>
      </c>
      <c r="N6041" t="s">
        <v>5280</v>
      </c>
      <c r="O6041">
        <v>2</v>
      </c>
      <c r="P6041">
        <v>2</v>
      </c>
      <c r="Q6041">
        <v>0</v>
      </c>
      <c r="R6041" t="s">
        <v>5281</v>
      </c>
      <c r="S6041" t="s">
        <v>4898</v>
      </c>
      <c r="T6041" t="s">
        <v>2704</v>
      </c>
      <c r="U6041" t="s">
        <v>4655</v>
      </c>
      <c r="V6041" s="2">
        <v>0</v>
      </c>
      <c r="W6041" t="s">
        <v>4655</v>
      </c>
      <c r="X6041" s="2">
        <v>0</v>
      </c>
      <c r="Y6041">
        <v>21</v>
      </c>
      <c r="Z6041" t="s">
        <v>1491</v>
      </c>
      <c r="AA6041" s="3">
        <v>1.00000004749745E-3</v>
      </c>
      <c r="AB6041" t="s">
        <v>29598</v>
      </c>
      <c r="AC6041" t="s">
        <v>4562</v>
      </c>
      <c r="AD6041" t="s">
        <v>29599</v>
      </c>
      <c r="AE6041" t="s">
        <v>4655</v>
      </c>
      <c r="AF6041" t="s">
        <v>4563</v>
      </c>
      <c r="AG6041" t="s">
        <v>4564</v>
      </c>
      <c r="AH6041" t="s">
        <v>1147</v>
      </c>
      <c r="AI6041" t="s">
        <v>4903</v>
      </c>
      <c r="AJ6041" t="s">
        <v>548</v>
      </c>
      <c r="AK6041" t="s">
        <v>29600</v>
      </c>
      <c r="AL6041" s="13" t="s">
        <v>2255</v>
      </c>
      <c r="AM6041">
        <v>1</v>
      </c>
      <c r="AN6041" s="15" t="s">
        <v>927</v>
      </c>
    </row>
    <row r="6042" spans="1:40" x14ac:dyDescent="0.3">
      <c r="A6042" s="10" t="str">
        <f>HYPERLINK("http://www.washoecounty.gov/assessor/cama/?parid=212-076-22&amp;CardNumber=1","212-076-22")</f>
        <v>212-076-22</v>
      </c>
      <c r="B6042" t="s">
        <v>4655</v>
      </c>
      <c r="C6042" t="s">
        <v>925</v>
      </c>
      <c r="D6042" s="1">
        <v>40407</v>
      </c>
      <c r="E6042" s="2">
        <v>64500</v>
      </c>
      <c r="F6042" t="s">
        <v>4567</v>
      </c>
      <c r="G6042" s="17" t="str">
        <f>HYPERLINK("https://www.washoecounty.gov/assessor/cama/?command=sales&amp;parid=21207622","3913026")</f>
        <v>3913026</v>
      </c>
      <c r="H6042" t="s">
        <v>926</v>
      </c>
      <c r="I6042">
        <v>2001</v>
      </c>
      <c r="J6042">
        <v>2001</v>
      </c>
      <c r="K6042" t="s">
        <v>4897</v>
      </c>
      <c r="L6042" t="s">
        <v>4555</v>
      </c>
      <c r="M6042" s="2">
        <v>930</v>
      </c>
      <c r="N6042" t="s">
        <v>5280</v>
      </c>
      <c r="O6042">
        <v>2</v>
      </c>
      <c r="P6042">
        <v>2</v>
      </c>
      <c r="Q6042">
        <v>0</v>
      </c>
      <c r="R6042" t="s">
        <v>5281</v>
      </c>
      <c r="S6042" t="s">
        <v>4898</v>
      </c>
      <c r="T6042" t="s">
        <v>2704</v>
      </c>
      <c r="U6042" t="s">
        <v>4655</v>
      </c>
      <c r="V6042" s="2">
        <v>0</v>
      </c>
      <c r="W6042" t="s">
        <v>4655</v>
      </c>
      <c r="X6042" s="2">
        <v>0</v>
      </c>
      <c r="Y6042">
        <v>21</v>
      </c>
      <c r="Z6042" t="s">
        <v>1491</v>
      </c>
      <c r="AA6042" s="3">
        <v>1.00000004749745E-3</v>
      </c>
      <c r="AB6042" t="s">
        <v>4101</v>
      </c>
      <c r="AC6042" t="s">
        <v>4562</v>
      </c>
      <c r="AD6042" t="s">
        <v>2202</v>
      </c>
      <c r="AE6042" t="s">
        <v>4655</v>
      </c>
      <c r="AF6042" t="s">
        <v>4563</v>
      </c>
      <c r="AG6042" t="s">
        <v>4564</v>
      </c>
      <c r="AH6042" t="s">
        <v>1147</v>
      </c>
      <c r="AI6042" t="s">
        <v>8276</v>
      </c>
      <c r="AJ6042" t="s">
        <v>548</v>
      </c>
      <c r="AK6042" t="s">
        <v>29601</v>
      </c>
      <c r="AL6042" s="13" t="s">
        <v>2255</v>
      </c>
      <c r="AM6042">
        <v>1</v>
      </c>
      <c r="AN6042" s="15" t="s">
        <v>927</v>
      </c>
    </row>
    <row r="6043" spans="1:40" x14ac:dyDescent="0.3">
      <c r="A6043" s="10" t="str">
        <f>HYPERLINK("http://www.washoecounty.gov/assessor/cama/?parid=212-077-03&amp;CardNumber=1","212-077-03")</f>
        <v>212-077-03</v>
      </c>
      <c r="B6043" t="s">
        <v>4655</v>
      </c>
      <c r="C6043" t="s">
        <v>925</v>
      </c>
      <c r="D6043" s="1">
        <v>40287</v>
      </c>
      <c r="E6043" s="2">
        <v>87000</v>
      </c>
      <c r="F6043" t="s">
        <v>4553</v>
      </c>
      <c r="G6043" s="17" t="str">
        <f>HYPERLINK("https://www.washoecounty.gov/assessor/cama/?command=sales&amp;parid=21207703","3872363")</f>
        <v>3872363</v>
      </c>
      <c r="H6043" t="s">
        <v>926</v>
      </c>
      <c r="I6043">
        <v>2001</v>
      </c>
      <c r="J6043">
        <v>2001</v>
      </c>
      <c r="K6043" t="s">
        <v>4897</v>
      </c>
      <c r="L6043" t="s">
        <v>4555</v>
      </c>
      <c r="M6043" s="2">
        <v>930</v>
      </c>
      <c r="N6043" t="s">
        <v>5280</v>
      </c>
      <c r="O6043">
        <v>2</v>
      </c>
      <c r="P6043">
        <v>2</v>
      </c>
      <c r="Q6043">
        <v>0</v>
      </c>
      <c r="R6043" t="s">
        <v>5281</v>
      </c>
      <c r="S6043" t="s">
        <v>4898</v>
      </c>
      <c r="T6043" t="s">
        <v>2704</v>
      </c>
      <c r="U6043" t="s">
        <v>4655</v>
      </c>
      <c r="V6043" s="2">
        <v>0</v>
      </c>
      <c r="W6043" t="s">
        <v>4655</v>
      </c>
      <c r="X6043" s="2">
        <v>0</v>
      </c>
      <c r="Y6043">
        <v>21</v>
      </c>
      <c r="Z6043" t="s">
        <v>1491</v>
      </c>
      <c r="AA6043" s="3">
        <v>1.00000004749745E-3</v>
      </c>
      <c r="AB6043" t="s">
        <v>29602</v>
      </c>
      <c r="AC6043" t="s">
        <v>4562</v>
      </c>
      <c r="AD6043" t="s">
        <v>29603</v>
      </c>
      <c r="AE6043" t="s">
        <v>4655</v>
      </c>
      <c r="AF6043" t="s">
        <v>4563</v>
      </c>
      <c r="AG6043" t="s">
        <v>4564</v>
      </c>
      <c r="AH6043" t="s">
        <v>1147</v>
      </c>
      <c r="AI6043" t="s">
        <v>4503</v>
      </c>
      <c r="AJ6043" t="s">
        <v>548</v>
      </c>
      <c r="AK6043" t="s">
        <v>29604</v>
      </c>
      <c r="AL6043" s="13" t="s">
        <v>2255</v>
      </c>
      <c r="AM6043" s="14">
        <v>1</v>
      </c>
      <c r="AN6043" s="15" t="s">
        <v>927</v>
      </c>
    </row>
    <row r="6044" spans="1:40" x14ac:dyDescent="0.3">
      <c r="A6044" s="10" t="str">
        <f>HYPERLINK("http://www.washoecounty.gov/assessor/cama/?parid=212-077-17&amp;CardNumber=1","212-077-17")</f>
        <v>212-077-17</v>
      </c>
      <c r="B6044" t="s">
        <v>4655</v>
      </c>
      <c r="C6044" t="s">
        <v>925</v>
      </c>
      <c r="D6044" s="1">
        <v>40233</v>
      </c>
      <c r="E6044" s="2">
        <v>65000</v>
      </c>
      <c r="F6044" t="s">
        <v>4567</v>
      </c>
      <c r="G6044" s="17" t="str">
        <f>HYPERLINK("https://www.washoecounty.gov/assessor/cama/?command=sales&amp;parid=21207717","3852412")</f>
        <v>3852412</v>
      </c>
      <c r="H6044" t="s">
        <v>926</v>
      </c>
      <c r="I6044">
        <v>2001</v>
      </c>
      <c r="J6044">
        <v>2001</v>
      </c>
      <c r="K6044" t="s">
        <v>4897</v>
      </c>
      <c r="L6044" t="s">
        <v>4555</v>
      </c>
      <c r="M6044" s="2">
        <v>692</v>
      </c>
      <c r="N6044" t="s">
        <v>5280</v>
      </c>
      <c r="O6044">
        <v>1</v>
      </c>
      <c r="P6044">
        <v>1</v>
      </c>
      <c r="Q6044">
        <v>0</v>
      </c>
      <c r="R6044" t="s">
        <v>5281</v>
      </c>
      <c r="S6044" t="s">
        <v>4898</v>
      </c>
      <c r="T6044" t="s">
        <v>2704</v>
      </c>
      <c r="U6044" t="s">
        <v>4655</v>
      </c>
      <c r="V6044" s="2">
        <v>0</v>
      </c>
      <c r="W6044" t="s">
        <v>4655</v>
      </c>
      <c r="X6044" s="2">
        <v>0</v>
      </c>
      <c r="Y6044">
        <v>21</v>
      </c>
      <c r="Z6044" t="s">
        <v>1491</v>
      </c>
      <c r="AA6044" s="3">
        <v>1.00000004749745E-3</v>
      </c>
      <c r="AB6044" t="s">
        <v>29605</v>
      </c>
      <c r="AC6044" t="s">
        <v>4575</v>
      </c>
      <c r="AD6044" t="s">
        <v>29606</v>
      </c>
      <c r="AE6044" t="s">
        <v>4655</v>
      </c>
      <c r="AF6044" t="s">
        <v>4563</v>
      </c>
      <c r="AG6044" t="s">
        <v>4564</v>
      </c>
      <c r="AH6044" t="s">
        <v>1147</v>
      </c>
      <c r="AI6044" t="s">
        <v>29607</v>
      </c>
      <c r="AJ6044" t="s">
        <v>29608</v>
      </c>
      <c r="AK6044" t="s">
        <v>29609</v>
      </c>
      <c r="AL6044" s="13" t="s">
        <v>2255</v>
      </c>
      <c r="AM6044">
        <v>1</v>
      </c>
      <c r="AN6044" s="15" t="s">
        <v>927</v>
      </c>
    </row>
    <row r="6045" spans="1:40" x14ac:dyDescent="0.3">
      <c r="A6045" s="10" t="str">
        <f>HYPERLINK("http://www.washoecounty.gov/assessor/cama/?parid=212-077-34&amp;CardNumber=1","212-077-34")</f>
        <v>212-077-34</v>
      </c>
      <c r="B6045" t="s">
        <v>4655</v>
      </c>
      <c r="C6045" t="s">
        <v>925</v>
      </c>
      <c r="D6045" s="1">
        <v>40249</v>
      </c>
      <c r="E6045" s="2">
        <v>77500</v>
      </c>
      <c r="F6045" t="s">
        <v>4553</v>
      </c>
      <c r="G6045" s="17" t="str">
        <f>HYPERLINK("https://www.washoecounty.gov/assessor/cama/?command=sales&amp;parid=21207734","3858814")</f>
        <v>3858814</v>
      </c>
      <c r="H6045" t="s">
        <v>926</v>
      </c>
      <c r="I6045">
        <v>2001</v>
      </c>
      <c r="J6045">
        <v>2001</v>
      </c>
      <c r="K6045" t="s">
        <v>4897</v>
      </c>
      <c r="L6045" t="s">
        <v>4555</v>
      </c>
      <c r="M6045" s="2">
        <v>958</v>
      </c>
      <c r="N6045" t="s">
        <v>5280</v>
      </c>
      <c r="O6045">
        <v>2</v>
      </c>
      <c r="P6045">
        <v>2</v>
      </c>
      <c r="Q6045">
        <v>0</v>
      </c>
      <c r="R6045" t="s">
        <v>5281</v>
      </c>
      <c r="S6045" t="s">
        <v>4898</v>
      </c>
      <c r="T6045" t="s">
        <v>2704</v>
      </c>
      <c r="U6045" t="s">
        <v>4655</v>
      </c>
      <c r="V6045" s="2">
        <v>0</v>
      </c>
      <c r="W6045" t="s">
        <v>4655</v>
      </c>
      <c r="X6045" s="2">
        <v>0</v>
      </c>
      <c r="Y6045">
        <v>21</v>
      </c>
      <c r="Z6045" t="s">
        <v>1491</v>
      </c>
      <c r="AA6045" s="3">
        <v>1.00000004749745E-3</v>
      </c>
      <c r="AB6045" t="s">
        <v>29610</v>
      </c>
      <c r="AC6045" t="s">
        <v>4562</v>
      </c>
      <c r="AD6045" t="s">
        <v>29611</v>
      </c>
      <c r="AE6045" t="s">
        <v>29612</v>
      </c>
      <c r="AF6045" t="s">
        <v>4563</v>
      </c>
      <c r="AG6045" t="s">
        <v>4564</v>
      </c>
      <c r="AH6045" t="s">
        <v>2330</v>
      </c>
      <c r="AI6045" t="s">
        <v>4045</v>
      </c>
      <c r="AJ6045" t="s">
        <v>548</v>
      </c>
      <c r="AK6045" t="s">
        <v>29613</v>
      </c>
      <c r="AL6045" s="13" t="s">
        <v>2255</v>
      </c>
      <c r="AM6045" s="14">
        <v>1</v>
      </c>
      <c r="AN6045" s="15" t="s">
        <v>927</v>
      </c>
    </row>
    <row r="6046" spans="1:40" x14ac:dyDescent="0.3">
      <c r="A6046" s="10" t="str">
        <f>HYPERLINK("http://www.washoecounty.gov/assessor/cama/?parid=212-077-40&amp;CardNumber=1","212-077-40")</f>
        <v>212-077-40</v>
      </c>
      <c r="B6046" t="s">
        <v>4655</v>
      </c>
      <c r="C6046" t="s">
        <v>925</v>
      </c>
      <c r="D6046" s="1">
        <v>40431</v>
      </c>
      <c r="E6046" s="2">
        <v>89000</v>
      </c>
      <c r="F6046" t="s">
        <v>4553</v>
      </c>
      <c r="G6046" s="17" t="str">
        <f>HYPERLINK("https://www.washoecounty.gov/assessor/cama/?command=sales&amp;parid=21207740","3921045")</f>
        <v>3921045</v>
      </c>
      <c r="H6046" t="s">
        <v>926</v>
      </c>
      <c r="I6046">
        <v>2001</v>
      </c>
      <c r="J6046">
        <v>2001</v>
      </c>
      <c r="K6046" t="s">
        <v>4897</v>
      </c>
      <c r="L6046" t="s">
        <v>4555</v>
      </c>
      <c r="M6046" s="2">
        <v>958</v>
      </c>
      <c r="N6046" t="s">
        <v>5280</v>
      </c>
      <c r="O6046">
        <v>2</v>
      </c>
      <c r="P6046">
        <v>2</v>
      </c>
      <c r="Q6046">
        <v>0</v>
      </c>
      <c r="R6046" t="s">
        <v>5281</v>
      </c>
      <c r="S6046" t="s">
        <v>4898</v>
      </c>
      <c r="T6046" t="s">
        <v>2704</v>
      </c>
      <c r="U6046" t="s">
        <v>4655</v>
      </c>
      <c r="V6046" s="2">
        <v>0</v>
      </c>
      <c r="W6046" t="s">
        <v>4655</v>
      </c>
      <c r="X6046" s="2">
        <v>0</v>
      </c>
      <c r="Y6046">
        <v>21</v>
      </c>
      <c r="Z6046" t="s">
        <v>1491</v>
      </c>
      <c r="AA6046" s="3">
        <v>1.00000004749745E-3</v>
      </c>
      <c r="AB6046" t="s">
        <v>29614</v>
      </c>
      <c r="AC6046" t="s">
        <v>4575</v>
      </c>
      <c r="AD6046" t="s">
        <v>29615</v>
      </c>
      <c r="AE6046" t="s">
        <v>4655</v>
      </c>
      <c r="AF6046" t="s">
        <v>4563</v>
      </c>
      <c r="AG6046" t="s">
        <v>4564</v>
      </c>
      <c r="AH6046" t="s">
        <v>1147</v>
      </c>
      <c r="AI6046" t="s">
        <v>4903</v>
      </c>
      <c r="AJ6046" t="s">
        <v>548</v>
      </c>
      <c r="AK6046" t="s">
        <v>29616</v>
      </c>
      <c r="AL6046" s="13" t="s">
        <v>2255</v>
      </c>
      <c r="AM6046">
        <v>1</v>
      </c>
      <c r="AN6046" s="15" t="s">
        <v>927</v>
      </c>
    </row>
    <row r="6047" spans="1:40" x14ac:dyDescent="0.3">
      <c r="A6047" s="10" t="str">
        <f>HYPERLINK("http://www.washoecounty.gov/assessor/cama/?parid=212-078-05&amp;CardNumber=1","212-078-05")</f>
        <v>212-078-05</v>
      </c>
      <c r="B6047" t="s">
        <v>4655</v>
      </c>
      <c r="C6047" t="s">
        <v>925</v>
      </c>
      <c r="D6047" s="1">
        <v>40511</v>
      </c>
      <c r="E6047" s="2">
        <v>77000</v>
      </c>
      <c r="F6047" t="s">
        <v>4553</v>
      </c>
      <c r="G6047" s="17" t="str">
        <f>HYPERLINK("https://www.washoecounty.gov/assessor/cama/?command=sales&amp;parid=21207805","3947357")</f>
        <v>3947357</v>
      </c>
      <c r="H6047" t="s">
        <v>926</v>
      </c>
      <c r="I6047">
        <v>2001</v>
      </c>
      <c r="J6047">
        <v>2001</v>
      </c>
      <c r="K6047" t="s">
        <v>4897</v>
      </c>
      <c r="L6047" t="s">
        <v>4555</v>
      </c>
      <c r="M6047" s="2">
        <v>930</v>
      </c>
      <c r="N6047" t="s">
        <v>5280</v>
      </c>
      <c r="O6047">
        <v>2</v>
      </c>
      <c r="P6047">
        <v>2</v>
      </c>
      <c r="Q6047">
        <v>0</v>
      </c>
      <c r="R6047" t="s">
        <v>5281</v>
      </c>
      <c r="S6047" t="s">
        <v>4898</v>
      </c>
      <c r="T6047" t="s">
        <v>2704</v>
      </c>
      <c r="U6047" t="s">
        <v>4655</v>
      </c>
      <c r="V6047" s="2">
        <v>0</v>
      </c>
      <c r="W6047" t="s">
        <v>4655</v>
      </c>
      <c r="X6047" s="2">
        <v>0</v>
      </c>
      <c r="Y6047">
        <v>21</v>
      </c>
      <c r="Z6047" t="s">
        <v>1491</v>
      </c>
      <c r="AA6047" s="3">
        <v>1.00000004749745E-3</v>
      </c>
      <c r="AB6047" t="s">
        <v>29617</v>
      </c>
      <c r="AC6047" t="s">
        <v>4562</v>
      </c>
      <c r="AD6047" t="s">
        <v>29618</v>
      </c>
      <c r="AE6047" t="s">
        <v>4655</v>
      </c>
      <c r="AF6047" t="s">
        <v>29619</v>
      </c>
      <c r="AG6047" t="s">
        <v>2782</v>
      </c>
      <c r="AH6047" t="s">
        <v>29620</v>
      </c>
      <c r="AI6047" t="s">
        <v>601</v>
      </c>
      <c r="AJ6047" t="s">
        <v>548</v>
      </c>
      <c r="AK6047" t="s">
        <v>29621</v>
      </c>
      <c r="AL6047" s="13" t="s">
        <v>2255</v>
      </c>
      <c r="AM6047" s="14">
        <v>1</v>
      </c>
      <c r="AN6047" s="15" t="s">
        <v>927</v>
      </c>
    </row>
    <row r="6048" spans="1:40" x14ac:dyDescent="0.3">
      <c r="A6048" s="10" t="str">
        <f>HYPERLINK("http://www.washoecounty.gov/assessor/cama/?parid=212-078-09&amp;CardNumber=1","212-078-09")</f>
        <v>212-078-09</v>
      </c>
      <c r="B6048" t="s">
        <v>4655</v>
      </c>
      <c r="C6048" t="s">
        <v>925</v>
      </c>
      <c r="D6048" s="1">
        <v>40535</v>
      </c>
      <c r="E6048" s="2">
        <v>68000</v>
      </c>
      <c r="F6048" t="s">
        <v>4553</v>
      </c>
      <c r="G6048" s="17" t="str">
        <f>HYPERLINK("https://www.washoecounty.gov/assessor/cama/?command=sales&amp;parid=21207809","3957086")</f>
        <v>3957086</v>
      </c>
      <c r="H6048" t="s">
        <v>926</v>
      </c>
      <c r="I6048">
        <v>2001</v>
      </c>
      <c r="J6048">
        <v>2001</v>
      </c>
      <c r="K6048" t="s">
        <v>4897</v>
      </c>
      <c r="L6048" t="s">
        <v>4555</v>
      </c>
      <c r="M6048" s="2">
        <v>930</v>
      </c>
      <c r="N6048" t="s">
        <v>5280</v>
      </c>
      <c r="O6048">
        <v>2</v>
      </c>
      <c r="P6048">
        <v>2</v>
      </c>
      <c r="Q6048">
        <v>0</v>
      </c>
      <c r="R6048" t="s">
        <v>5281</v>
      </c>
      <c r="S6048" t="s">
        <v>4898</v>
      </c>
      <c r="T6048" t="s">
        <v>2704</v>
      </c>
      <c r="U6048" t="s">
        <v>4655</v>
      </c>
      <c r="V6048" s="2">
        <v>0</v>
      </c>
      <c r="W6048" t="s">
        <v>4655</v>
      </c>
      <c r="X6048" s="2">
        <v>0</v>
      </c>
      <c r="Y6048">
        <v>21</v>
      </c>
      <c r="Z6048" t="s">
        <v>1491</v>
      </c>
      <c r="AA6048" s="3">
        <v>1.00000004749745E-3</v>
      </c>
      <c r="AB6048" t="s">
        <v>29622</v>
      </c>
      <c r="AC6048" t="s">
        <v>4562</v>
      </c>
      <c r="AD6048" t="s">
        <v>29623</v>
      </c>
      <c r="AE6048" t="s">
        <v>4655</v>
      </c>
      <c r="AF6048" t="s">
        <v>4563</v>
      </c>
      <c r="AG6048" t="s">
        <v>4564</v>
      </c>
      <c r="AH6048" t="s">
        <v>1147</v>
      </c>
      <c r="AI6048" t="s">
        <v>4903</v>
      </c>
      <c r="AJ6048" t="s">
        <v>548</v>
      </c>
      <c r="AK6048" t="s">
        <v>29624</v>
      </c>
      <c r="AL6048" s="13" t="s">
        <v>2255</v>
      </c>
      <c r="AM6048" s="14">
        <v>1</v>
      </c>
      <c r="AN6048" s="15" t="s">
        <v>927</v>
      </c>
    </row>
    <row r="6049" spans="1:40" x14ac:dyDescent="0.3">
      <c r="A6049" s="10" t="str">
        <f>HYPERLINK("http://www.washoecounty.gov/assessor/cama/?parid=212-078-17&amp;CardNumber=1","212-078-17")</f>
        <v>212-078-17</v>
      </c>
      <c r="B6049" t="s">
        <v>4655</v>
      </c>
      <c r="C6049" t="s">
        <v>925</v>
      </c>
      <c r="D6049" s="1">
        <v>40312</v>
      </c>
      <c r="E6049" s="2">
        <v>65000</v>
      </c>
      <c r="F6049" t="s">
        <v>4567</v>
      </c>
      <c r="G6049" s="17" t="str">
        <f>HYPERLINK("https://www.washoecounty.gov/assessor/cama/?command=sales&amp;parid=21207817","3881414")</f>
        <v>3881414</v>
      </c>
      <c r="H6049" t="s">
        <v>926</v>
      </c>
      <c r="I6049">
        <v>2001</v>
      </c>
      <c r="J6049">
        <v>2001</v>
      </c>
      <c r="K6049" t="s">
        <v>4897</v>
      </c>
      <c r="L6049" t="s">
        <v>4555</v>
      </c>
      <c r="M6049" s="2">
        <v>692</v>
      </c>
      <c r="N6049" t="s">
        <v>5280</v>
      </c>
      <c r="O6049">
        <v>1</v>
      </c>
      <c r="P6049">
        <v>1</v>
      </c>
      <c r="Q6049">
        <v>0</v>
      </c>
      <c r="R6049" t="s">
        <v>5281</v>
      </c>
      <c r="S6049" t="s">
        <v>4898</v>
      </c>
      <c r="T6049" t="s">
        <v>2704</v>
      </c>
      <c r="U6049" t="s">
        <v>4655</v>
      </c>
      <c r="V6049" s="2">
        <v>0</v>
      </c>
      <c r="W6049" t="s">
        <v>4655</v>
      </c>
      <c r="X6049" s="2">
        <v>0</v>
      </c>
      <c r="Y6049">
        <v>21</v>
      </c>
      <c r="Z6049" t="s">
        <v>1491</v>
      </c>
      <c r="AA6049" s="3">
        <v>1.00000004749745E-3</v>
      </c>
      <c r="AB6049" t="s">
        <v>29625</v>
      </c>
      <c r="AC6049" t="s">
        <v>4562</v>
      </c>
      <c r="AD6049" t="s">
        <v>29626</v>
      </c>
      <c r="AE6049" t="s">
        <v>4655</v>
      </c>
      <c r="AF6049" t="s">
        <v>4563</v>
      </c>
      <c r="AG6049" t="s">
        <v>4564</v>
      </c>
      <c r="AH6049" t="s">
        <v>2541</v>
      </c>
      <c r="AI6049" t="s">
        <v>4655</v>
      </c>
      <c r="AJ6049" t="s">
        <v>548</v>
      </c>
      <c r="AK6049" t="s">
        <v>29627</v>
      </c>
      <c r="AL6049" s="13" t="s">
        <v>2255</v>
      </c>
      <c r="AM6049" s="14">
        <v>1</v>
      </c>
      <c r="AN6049" s="15" t="s">
        <v>927</v>
      </c>
    </row>
    <row r="6050" spans="1:40" x14ac:dyDescent="0.3">
      <c r="A6050" s="10" t="str">
        <f>HYPERLINK("http://www.washoecounty.gov/assessor/cama/?parid=212-079-04&amp;CardNumber=1","212-079-04")</f>
        <v>212-079-04</v>
      </c>
      <c r="B6050" t="s">
        <v>4655</v>
      </c>
      <c r="C6050" t="s">
        <v>925</v>
      </c>
      <c r="D6050" s="1">
        <v>40324</v>
      </c>
      <c r="E6050" s="2">
        <v>93000</v>
      </c>
      <c r="F6050" t="s">
        <v>4567</v>
      </c>
      <c r="G6050" s="17" t="str">
        <f>HYPERLINK("https://www.washoecounty.gov/assessor/cama/?command=sales&amp;parid=21207904","3885550")</f>
        <v>3885550</v>
      </c>
      <c r="H6050" t="s">
        <v>926</v>
      </c>
      <c r="I6050">
        <v>2001</v>
      </c>
      <c r="J6050">
        <v>2001</v>
      </c>
      <c r="K6050" t="s">
        <v>4897</v>
      </c>
      <c r="L6050" t="s">
        <v>4555</v>
      </c>
      <c r="M6050" s="2">
        <v>930</v>
      </c>
      <c r="N6050" t="s">
        <v>5280</v>
      </c>
      <c r="O6050">
        <v>2</v>
      </c>
      <c r="P6050">
        <v>2</v>
      </c>
      <c r="Q6050">
        <v>0</v>
      </c>
      <c r="R6050" t="s">
        <v>5281</v>
      </c>
      <c r="S6050" t="s">
        <v>4898</v>
      </c>
      <c r="T6050" t="s">
        <v>2704</v>
      </c>
      <c r="U6050" t="s">
        <v>4655</v>
      </c>
      <c r="V6050" s="2">
        <v>0</v>
      </c>
      <c r="W6050" t="s">
        <v>4655</v>
      </c>
      <c r="X6050" s="2">
        <v>0</v>
      </c>
      <c r="Y6050">
        <v>21</v>
      </c>
      <c r="Z6050" t="s">
        <v>1491</v>
      </c>
      <c r="AA6050" s="3">
        <v>1.00000004749745E-3</v>
      </c>
      <c r="AB6050" t="s">
        <v>29628</v>
      </c>
      <c r="AC6050" t="s">
        <v>4575</v>
      </c>
      <c r="AD6050" t="s">
        <v>29629</v>
      </c>
      <c r="AE6050" t="s">
        <v>4655</v>
      </c>
      <c r="AF6050" t="s">
        <v>4563</v>
      </c>
      <c r="AG6050" t="s">
        <v>4564</v>
      </c>
      <c r="AH6050" t="s">
        <v>1147</v>
      </c>
      <c r="AI6050" t="s">
        <v>29630</v>
      </c>
      <c r="AJ6050" t="s">
        <v>548</v>
      </c>
      <c r="AK6050" t="s">
        <v>29631</v>
      </c>
      <c r="AL6050" s="13" t="s">
        <v>2255</v>
      </c>
      <c r="AM6050">
        <v>1</v>
      </c>
      <c r="AN6050" s="15" t="s">
        <v>927</v>
      </c>
    </row>
    <row r="6051" spans="1:40" x14ac:dyDescent="0.3">
      <c r="A6051" s="10" t="str">
        <f>HYPERLINK("http://www.washoecounty.gov/assessor/cama/?parid=212-079-11&amp;CardNumber=1","212-079-11")</f>
        <v>212-079-11</v>
      </c>
      <c r="B6051" t="s">
        <v>4655</v>
      </c>
      <c r="C6051" t="s">
        <v>925</v>
      </c>
      <c r="D6051" s="1">
        <v>40541</v>
      </c>
      <c r="E6051" s="2">
        <v>70000</v>
      </c>
      <c r="F6051" t="s">
        <v>4553</v>
      </c>
      <c r="G6051" s="17" t="str">
        <f>HYPERLINK("https://www.washoecounty.gov/assessor/cama/?command=sales&amp;parid=21207911","3958369")</f>
        <v>3958369</v>
      </c>
      <c r="H6051" t="s">
        <v>926</v>
      </c>
      <c r="I6051">
        <v>2001</v>
      </c>
      <c r="J6051">
        <v>2001</v>
      </c>
      <c r="K6051" t="s">
        <v>3144</v>
      </c>
      <c r="L6051" t="s">
        <v>4555</v>
      </c>
      <c r="M6051" s="2">
        <v>930</v>
      </c>
      <c r="N6051" t="s">
        <v>5280</v>
      </c>
      <c r="O6051">
        <v>2</v>
      </c>
      <c r="P6051">
        <v>2</v>
      </c>
      <c r="Q6051">
        <v>0</v>
      </c>
      <c r="R6051" t="s">
        <v>5281</v>
      </c>
      <c r="S6051" t="s">
        <v>4898</v>
      </c>
      <c r="T6051" t="s">
        <v>2704</v>
      </c>
      <c r="U6051" t="s">
        <v>4655</v>
      </c>
      <c r="V6051" s="2">
        <v>0</v>
      </c>
      <c r="W6051" t="s">
        <v>4655</v>
      </c>
      <c r="X6051" s="2">
        <v>0</v>
      </c>
      <c r="Y6051">
        <v>21</v>
      </c>
      <c r="Z6051" t="s">
        <v>1491</v>
      </c>
      <c r="AA6051" s="3">
        <v>1.00000004749745E-3</v>
      </c>
      <c r="AB6051" t="s">
        <v>29632</v>
      </c>
      <c r="AC6051" t="s">
        <v>4562</v>
      </c>
      <c r="AD6051" t="s">
        <v>29633</v>
      </c>
      <c r="AE6051" t="s">
        <v>4655</v>
      </c>
      <c r="AF6051" t="s">
        <v>3114</v>
      </c>
      <c r="AG6051" t="s">
        <v>4564</v>
      </c>
      <c r="AH6051" t="s">
        <v>1147</v>
      </c>
      <c r="AI6051" t="s">
        <v>4903</v>
      </c>
      <c r="AJ6051" t="s">
        <v>29634</v>
      </c>
      <c r="AK6051" t="s">
        <v>29635</v>
      </c>
      <c r="AL6051" s="13" t="s">
        <v>2255</v>
      </c>
      <c r="AM6051" s="14">
        <v>1</v>
      </c>
      <c r="AN6051" s="15" t="s">
        <v>927</v>
      </c>
    </row>
    <row r="6052" spans="1:40" x14ac:dyDescent="0.3">
      <c r="A6052" s="10" t="str">
        <f>HYPERLINK("http://www.washoecounty.gov/assessor/cama/?parid=212-079-12&amp;CardNumber=1","212-079-12")</f>
        <v>212-079-12</v>
      </c>
      <c r="B6052" t="s">
        <v>4655</v>
      </c>
      <c r="C6052" t="s">
        <v>925</v>
      </c>
      <c r="D6052" s="1">
        <v>40408</v>
      </c>
      <c r="E6052" s="2">
        <v>75000</v>
      </c>
      <c r="F6052" t="s">
        <v>4567</v>
      </c>
      <c r="G6052" s="17" t="str">
        <f>HYPERLINK("https://www.washoecounty.gov/assessor/cama/?command=sales&amp;parid=21207912","3913230")</f>
        <v>3913230</v>
      </c>
      <c r="H6052" t="s">
        <v>926</v>
      </c>
      <c r="I6052">
        <v>2001</v>
      </c>
      <c r="J6052">
        <v>2001</v>
      </c>
      <c r="K6052" t="s">
        <v>3144</v>
      </c>
      <c r="L6052" t="s">
        <v>4555</v>
      </c>
      <c r="M6052" s="2">
        <v>930</v>
      </c>
      <c r="N6052" t="s">
        <v>5280</v>
      </c>
      <c r="O6052">
        <v>2</v>
      </c>
      <c r="P6052">
        <v>2</v>
      </c>
      <c r="Q6052">
        <v>0</v>
      </c>
      <c r="R6052" t="s">
        <v>5281</v>
      </c>
      <c r="S6052" t="s">
        <v>4898</v>
      </c>
      <c r="T6052" t="s">
        <v>2704</v>
      </c>
      <c r="U6052" t="s">
        <v>4655</v>
      </c>
      <c r="V6052" s="2">
        <v>0</v>
      </c>
      <c r="W6052" t="s">
        <v>4655</v>
      </c>
      <c r="X6052" s="2">
        <v>0</v>
      </c>
      <c r="Y6052">
        <v>21</v>
      </c>
      <c r="Z6052" t="s">
        <v>1491</v>
      </c>
      <c r="AA6052" s="3">
        <v>1.00000004749745E-3</v>
      </c>
      <c r="AB6052" t="s">
        <v>772</v>
      </c>
      <c r="AC6052" t="s">
        <v>4562</v>
      </c>
      <c r="AD6052" t="s">
        <v>2202</v>
      </c>
      <c r="AE6052" t="s">
        <v>4655</v>
      </c>
      <c r="AF6052" t="s">
        <v>4563</v>
      </c>
      <c r="AG6052" t="s">
        <v>4564</v>
      </c>
      <c r="AH6052" t="s">
        <v>1147</v>
      </c>
      <c r="AI6052" t="s">
        <v>29636</v>
      </c>
      <c r="AJ6052" t="s">
        <v>548</v>
      </c>
      <c r="AK6052" t="s">
        <v>29637</v>
      </c>
      <c r="AL6052" s="13" t="s">
        <v>2255</v>
      </c>
      <c r="AM6052">
        <v>1</v>
      </c>
      <c r="AN6052" s="15" t="s">
        <v>927</v>
      </c>
    </row>
    <row r="6053" spans="1:40" x14ac:dyDescent="0.3">
      <c r="A6053" s="10" t="str">
        <f>HYPERLINK("http://www.washoecounty.gov/assessor/cama/?parid=212-079-16&amp;CardNumber=1","212-079-16")</f>
        <v>212-079-16</v>
      </c>
      <c r="B6053" t="s">
        <v>4655</v>
      </c>
      <c r="C6053" t="s">
        <v>925</v>
      </c>
      <c r="D6053" s="1">
        <v>40193</v>
      </c>
      <c r="E6053" s="2">
        <v>67500</v>
      </c>
      <c r="F6053" t="s">
        <v>4553</v>
      </c>
      <c r="G6053" s="17" t="str">
        <f>HYPERLINK("https://www.washoecounty.gov/assessor/cama/?command=sales&amp;parid=21207916","3840058")</f>
        <v>3840058</v>
      </c>
      <c r="H6053" t="s">
        <v>926</v>
      </c>
      <c r="I6053">
        <v>2001</v>
      </c>
      <c r="J6053">
        <v>2001</v>
      </c>
      <c r="K6053" t="s">
        <v>4897</v>
      </c>
      <c r="L6053" t="s">
        <v>4555</v>
      </c>
      <c r="M6053" s="2">
        <v>930</v>
      </c>
      <c r="N6053" t="s">
        <v>5280</v>
      </c>
      <c r="O6053">
        <v>2</v>
      </c>
      <c r="P6053">
        <v>2</v>
      </c>
      <c r="Q6053">
        <v>0</v>
      </c>
      <c r="R6053" t="s">
        <v>5281</v>
      </c>
      <c r="S6053" t="s">
        <v>4898</v>
      </c>
      <c r="T6053" t="s">
        <v>2704</v>
      </c>
      <c r="U6053" t="s">
        <v>4655</v>
      </c>
      <c r="V6053" s="2">
        <v>0</v>
      </c>
      <c r="W6053" t="s">
        <v>4655</v>
      </c>
      <c r="X6053" s="2">
        <v>0</v>
      </c>
      <c r="Y6053">
        <v>21</v>
      </c>
      <c r="Z6053" t="s">
        <v>1491</v>
      </c>
      <c r="AA6053" s="3">
        <v>1.00000004749745E-3</v>
      </c>
      <c r="AB6053" t="s">
        <v>29638</v>
      </c>
      <c r="AC6053" t="s">
        <v>4562</v>
      </c>
      <c r="AD6053" t="s">
        <v>29639</v>
      </c>
      <c r="AE6053" t="s">
        <v>4655</v>
      </c>
      <c r="AF6053" t="s">
        <v>3890</v>
      </c>
      <c r="AG6053" t="s">
        <v>4564</v>
      </c>
      <c r="AH6053" t="s">
        <v>3891</v>
      </c>
      <c r="AI6053" t="s">
        <v>4503</v>
      </c>
      <c r="AJ6053" t="s">
        <v>548</v>
      </c>
      <c r="AK6053" t="s">
        <v>29640</v>
      </c>
      <c r="AL6053" s="13" t="s">
        <v>2255</v>
      </c>
      <c r="AM6053" s="14">
        <v>1</v>
      </c>
      <c r="AN6053" s="15" t="s">
        <v>927</v>
      </c>
    </row>
    <row r="6054" spans="1:40" x14ac:dyDescent="0.3">
      <c r="A6054" s="10" t="str">
        <f>HYPERLINK("http://www.washoecounty.gov/assessor/cama/?parid=212-081-02&amp;CardNumber=1","212-081-02")</f>
        <v>212-081-02</v>
      </c>
      <c r="B6054" t="s">
        <v>4655</v>
      </c>
      <c r="C6054" t="s">
        <v>925</v>
      </c>
      <c r="D6054" s="1">
        <v>40298</v>
      </c>
      <c r="E6054" s="2">
        <v>65000</v>
      </c>
      <c r="F6054" t="s">
        <v>4553</v>
      </c>
      <c r="G6054" s="17" t="str">
        <f>HYPERLINK("https://www.washoecounty.gov/assessor/cama/?command=sales&amp;parid=21208102","3877127")</f>
        <v>3877127</v>
      </c>
      <c r="H6054" t="s">
        <v>926</v>
      </c>
      <c r="I6054">
        <v>2001</v>
      </c>
      <c r="J6054">
        <v>2001</v>
      </c>
      <c r="K6054" t="s">
        <v>4897</v>
      </c>
      <c r="L6054" t="s">
        <v>4555</v>
      </c>
      <c r="M6054" s="2">
        <v>692</v>
      </c>
      <c r="N6054" t="s">
        <v>5280</v>
      </c>
      <c r="O6054">
        <v>1</v>
      </c>
      <c r="P6054">
        <v>1</v>
      </c>
      <c r="Q6054">
        <v>0</v>
      </c>
      <c r="R6054" t="s">
        <v>5281</v>
      </c>
      <c r="S6054" t="s">
        <v>4898</v>
      </c>
      <c r="T6054" t="s">
        <v>2704</v>
      </c>
      <c r="U6054" t="s">
        <v>4655</v>
      </c>
      <c r="V6054" s="2">
        <v>0</v>
      </c>
      <c r="W6054" t="s">
        <v>4655</v>
      </c>
      <c r="X6054" s="2">
        <v>0</v>
      </c>
      <c r="Y6054">
        <v>21</v>
      </c>
      <c r="Z6054" t="s">
        <v>1491</v>
      </c>
      <c r="AA6054" s="3">
        <v>1.00000004749745E-3</v>
      </c>
      <c r="AB6054" t="s">
        <v>29641</v>
      </c>
      <c r="AC6054" t="s">
        <v>4562</v>
      </c>
      <c r="AD6054" t="s">
        <v>29642</v>
      </c>
      <c r="AE6054" t="s">
        <v>4655</v>
      </c>
      <c r="AF6054" t="s">
        <v>3253</v>
      </c>
      <c r="AG6054" t="s">
        <v>1539</v>
      </c>
      <c r="AH6054">
        <v>98074</v>
      </c>
      <c r="AI6054" t="s">
        <v>4903</v>
      </c>
      <c r="AJ6054" t="s">
        <v>548</v>
      </c>
      <c r="AK6054" t="s">
        <v>29643</v>
      </c>
      <c r="AL6054" s="13" t="s">
        <v>2255</v>
      </c>
      <c r="AM6054">
        <v>1</v>
      </c>
      <c r="AN6054" s="15" t="s">
        <v>927</v>
      </c>
    </row>
    <row r="6055" spans="1:40" x14ac:dyDescent="0.3">
      <c r="A6055" s="10" t="str">
        <f>HYPERLINK("http://www.washoecounty.gov/assessor/cama/?parid=212-081-22&amp;CardNumber=1","212-081-22")</f>
        <v>212-081-22</v>
      </c>
      <c r="B6055" t="s">
        <v>4655</v>
      </c>
      <c r="C6055" t="s">
        <v>925</v>
      </c>
      <c r="D6055" s="1">
        <v>40331</v>
      </c>
      <c r="E6055" s="2">
        <v>58000</v>
      </c>
      <c r="F6055" t="s">
        <v>4553</v>
      </c>
      <c r="G6055" s="17" t="str">
        <f>HYPERLINK("https://www.washoecounty.gov/assessor/cama/?command=sales&amp;parid=21208122","3887647")</f>
        <v>3887647</v>
      </c>
      <c r="H6055" t="s">
        <v>926</v>
      </c>
      <c r="I6055">
        <v>2001</v>
      </c>
      <c r="J6055">
        <v>2001</v>
      </c>
      <c r="K6055" t="s">
        <v>4897</v>
      </c>
      <c r="L6055" t="s">
        <v>4555</v>
      </c>
      <c r="M6055" s="2">
        <v>692</v>
      </c>
      <c r="N6055" t="s">
        <v>5280</v>
      </c>
      <c r="O6055">
        <v>1</v>
      </c>
      <c r="P6055">
        <v>1</v>
      </c>
      <c r="Q6055">
        <v>0</v>
      </c>
      <c r="R6055" t="s">
        <v>5281</v>
      </c>
      <c r="S6055" t="s">
        <v>4898</v>
      </c>
      <c r="T6055" t="s">
        <v>2704</v>
      </c>
      <c r="U6055" t="s">
        <v>4655</v>
      </c>
      <c r="V6055" s="2">
        <v>0</v>
      </c>
      <c r="W6055" t="s">
        <v>4655</v>
      </c>
      <c r="X6055" s="2">
        <v>0</v>
      </c>
      <c r="Y6055">
        <v>21</v>
      </c>
      <c r="Z6055" t="s">
        <v>1491</v>
      </c>
      <c r="AA6055" s="3">
        <v>1.00000004749745E-3</v>
      </c>
      <c r="AB6055" t="s">
        <v>13074</v>
      </c>
      <c r="AC6055" t="s">
        <v>4562</v>
      </c>
      <c r="AD6055" t="s">
        <v>2202</v>
      </c>
      <c r="AE6055" t="s">
        <v>4655</v>
      </c>
      <c r="AF6055" t="s">
        <v>4563</v>
      </c>
      <c r="AG6055" t="s">
        <v>4564</v>
      </c>
      <c r="AH6055" t="s">
        <v>1147</v>
      </c>
      <c r="AI6055" t="s">
        <v>4585</v>
      </c>
      <c r="AJ6055" t="s">
        <v>548</v>
      </c>
      <c r="AK6055" t="s">
        <v>29644</v>
      </c>
      <c r="AL6055" s="13" t="s">
        <v>2255</v>
      </c>
      <c r="AM6055" s="14">
        <v>1</v>
      </c>
      <c r="AN6055" s="15" t="s">
        <v>927</v>
      </c>
    </row>
    <row r="6056" spans="1:40" x14ac:dyDescent="0.3">
      <c r="A6056" s="10" t="str">
        <f>HYPERLINK("http://www.washoecounty.gov/assessor/cama/?parid=212-082-01&amp;CardNumber=1","212-082-01")</f>
        <v>212-082-01</v>
      </c>
      <c r="B6056" t="s">
        <v>4655</v>
      </c>
      <c r="C6056" t="s">
        <v>925</v>
      </c>
      <c r="D6056" s="1">
        <v>40456</v>
      </c>
      <c r="E6056" s="2">
        <v>54000</v>
      </c>
      <c r="F6056" t="s">
        <v>4553</v>
      </c>
      <c r="G6056" s="17" t="str">
        <f>HYPERLINK("https://www.washoecounty.gov/assessor/cama/?command=sales&amp;parid=21208201","3929566")</f>
        <v>3929566</v>
      </c>
      <c r="H6056" t="s">
        <v>926</v>
      </c>
      <c r="I6056">
        <v>2001</v>
      </c>
      <c r="J6056">
        <v>2001</v>
      </c>
      <c r="K6056" t="s">
        <v>4897</v>
      </c>
      <c r="L6056" t="s">
        <v>4555</v>
      </c>
      <c r="M6056" s="2">
        <v>692</v>
      </c>
      <c r="N6056" t="s">
        <v>5280</v>
      </c>
      <c r="O6056">
        <v>1</v>
      </c>
      <c r="P6056">
        <v>1</v>
      </c>
      <c r="Q6056">
        <v>0</v>
      </c>
      <c r="R6056" t="s">
        <v>5281</v>
      </c>
      <c r="S6056" t="s">
        <v>4898</v>
      </c>
      <c r="T6056" t="s">
        <v>2704</v>
      </c>
      <c r="U6056" t="s">
        <v>4655</v>
      </c>
      <c r="V6056" s="2">
        <v>0</v>
      </c>
      <c r="W6056" t="s">
        <v>4655</v>
      </c>
      <c r="X6056" s="2">
        <v>0</v>
      </c>
      <c r="Y6056">
        <v>21</v>
      </c>
      <c r="Z6056" t="s">
        <v>1491</v>
      </c>
      <c r="AA6056" s="3">
        <v>1.00000004749745E-3</v>
      </c>
      <c r="AB6056" t="s">
        <v>2991</v>
      </c>
      <c r="AC6056" t="s">
        <v>4562</v>
      </c>
      <c r="AD6056" t="s">
        <v>2992</v>
      </c>
      <c r="AE6056" t="s">
        <v>4655</v>
      </c>
      <c r="AF6056" t="s">
        <v>4563</v>
      </c>
      <c r="AG6056" t="s">
        <v>4564</v>
      </c>
      <c r="AH6056" t="s">
        <v>1147</v>
      </c>
      <c r="AI6056" t="s">
        <v>2351</v>
      </c>
      <c r="AJ6056" t="s">
        <v>548</v>
      </c>
      <c r="AK6056" t="s">
        <v>29645</v>
      </c>
      <c r="AL6056" s="13" t="s">
        <v>2255</v>
      </c>
      <c r="AM6056" s="14">
        <v>1</v>
      </c>
      <c r="AN6056" s="15" t="s">
        <v>927</v>
      </c>
    </row>
    <row r="6057" spans="1:40" x14ac:dyDescent="0.3">
      <c r="A6057" s="10" t="str">
        <f>HYPERLINK("http://www.washoecounty.gov/assessor/cama/?parid=212-082-18&amp;CardNumber=1","212-082-18")</f>
        <v>212-082-18</v>
      </c>
      <c r="B6057" t="s">
        <v>4655</v>
      </c>
      <c r="C6057" t="s">
        <v>925</v>
      </c>
      <c r="D6057" s="1">
        <v>40339</v>
      </c>
      <c r="E6057" s="2">
        <v>90000</v>
      </c>
      <c r="F6057" t="s">
        <v>4567</v>
      </c>
      <c r="G6057" s="17" t="str">
        <f>HYPERLINK("https://www.washoecounty.gov/assessor/cama/?command=sales&amp;parid=21208218","3890278")</f>
        <v>3890278</v>
      </c>
      <c r="H6057" t="s">
        <v>926</v>
      </c>
      <c r="I6057">
        <v>2001</v>
      </c>
      <c r="J6057">
        <v>2001</v>
      </c>
      <c r="K6057" t="s">
        <v>4897</v>
      </c>
      <c r="L6057" t="s">
        <v>4555</v>
      </c>
      <c r="M6057" s="2">
        <v>930</v>
      </c>
      <c r="N6057" t="s">
        <v>5280</v>
      </c>
      <c r="O6057">
        <v>2</v>
      </c>
      <c r="P6057">
        <v>2</v>
      </c>
      <c r="Q6057">
        <v>0</v>
      </c>
      <c r="R6057" t="s">
        <v>5281</v>
      </c>
      <c r="S6057" t="s">
        <v>4898</v>
      </c>
      <c r="T6057" t="s">
        <v>2704</v>
      </c>
      <c r="U6057" t="s">
        <v>4655</v>
      </c>
      <c r="V6057" s="2">
        <v>0</v>
      </c>
      <c r="W6057" t="s">
        <v>4655</v>
      </c>
      <c r="X6057" s="2">
        <v>0</v>
      </c>
      <c r="Y6057">
        <v>21</v>
      </c>
      <c r="Z6057" t="s">
        <v>1491</v>
      </c>
      <c r="AA6057" s="3">
        <v>1.00000004749745E-3</v>
      </c>
      <c r="AB6057" t="s">
        <v>29646</v>
      </c>
      <c r="AC6057" t="s">
        <v>4575</v>
      </c>
      <c r="AD6057" t="s">
        <v>29647</v>
      </c>
      <c r="AE6057" t="s">
        <v>4655</v>
      </c>
      <c r="AF6057" t="s">
        <v>3660</v>
      </c>
      <c r="AG6057" t="s">
        <v>4584</v>
      </c>
      <c r="AH6057" t="s">
        <v>1340</v>
      </c>
      <c r="AI6057" t="s">
        <v>29648</v>
      </c>
      <c r="AJ6057" t="s">
        <v>548</v>
      </c>
      <c r="AK6057" t="s">
        <v>29649</v>
      </c>
      <c r="AL6057" s="13" t="s">
        <v>2255</v>
      </c>
      <c r="AM6057">
        <v>1</v>
      </c>
      <c r="AN6057" s="15" t="s">
        <v>927</v>
      </c>
    </row>
    <row r="6058" spans="1:40" x14ac:dyDescent="0.3">
      <c r="A6058" s="10" t="str">
        <f>HYPERLINK("http://www.washoecounty.gov/assessor/cama/?parid=212-082-21&amp;CardNumber=1","212-082-21")</f>
        <v>212-082-21</v>
      </c>
      <c r="B6058" t="s">
        <v>4655</v>
      </c>
      <c r="C6058" t="s">
        <v>925</v>
      </c>
      <c r="D6058" s="1">
        <v>40457</v>
      </c>
      <c r="E6058" s="2">
        <v>51450</v>
      </c>
      <c r="F6058" t="s">
        <v>4553</v>
      </c>
      <c r="G6058" s="17" t="str">
        <f>HYPERLINK("https://www.washoecounty.gov/assessor/cama/?command=sales&amp;parid=21208221","3930287")</f>
        <v>3930287</v>
      </c>
      <c r="H6058" t="s">
        <v>926</v>
      </c>
      <c r="I6058">
        <v>2001</v>
      </c>
      <c r="J6058">
        <v>2001</v>
      </c>
      <c r="K6058" t="s">
        <v>4897</v>
      </c>
      <c r="L6058" t="s">
        <v>4555</v>
      </c>
      <c r="M6058" s="2">
        <v>930</v>
      </c>
      <c r="N6058" t="s">
        <v>5280</v>
      </c>
      <c r="O6058">
        <v>2</v>
      </c>
      <c r="P6058">
        <v>2</v>
      </c>
      <c r="Q6058">
        <v>0</v>
      </c>
      <c r="R6058" t="s">
        <v>5281</v>
      </c>
      <c r="S6058" t="s">
        <v>4898</v>
      </c>
      <c r="T6058" t="s">
        <v>2704</v>
      </c>
      <c r="U6058" t="s">
        <v>4655</v>
      </c>
      <c r="V6058" s="2">
        <v>0</v>
      </c>
      <c r="W6058" t="s">
        <v>4655</v>
      </c>
      <c r="X6058" s="2">
        <v>0</v>
      </c>
      <c r="Y6058">
        <v>21</v>
      </c>
      <c r="Z6058" t="s">
        <v>1491</v>
      </c>
      <c r="AA6058" s="3">
        <v>1.00000004749745E-3</v>
      </c>
      <c r="AB6058" t="s">
        <v>5390</v>
      </c>
      <c r="AC6058" t="s">
        <v>4575</v>
      </c>
      <c r="AD6058" t="s">
        <v>1951</v>
      </c>
      <c r="AE6058" t="s">
        <v>4655</v>
      </c>
      <c r="AF6058" t="s">
        <v>4563</v>
      </c>
      <c r="AG6058" t="s">
        <v>4564</v>
      </c>
      <c r="AH6058">
        <v>89511</v>
      </c>
      <c r="AI6058" t="s">
        <v>4903</v>
      </c>
      <c r="AJ6058" t="s">
        <v>548</v>
      </c>
      <c r="AK6058" t="s">
        <v>29650</v>
      </c>
      <c r="AL6058" s="13" t="s">
        <v>2255</v>
      </c>
      <c r="AM6058">
        <v>1</v>
      </c>
      <c r="AN6058" s="15" t="s">
        <v>927</v>
      </c>
    </row>
    <row r="6059" spans="1:40" x14ac:dyDescent="0.3">
      <c r="A6059" s="10" t="str">
        <f>HYPERLINK("http://www.washoecounty.gov/assessor/cama/?parid=212-082-35&amp;CardNumber=1","212-082-35")</f>
        <v>212-082-35</v>
      </c>
      <c r="B6059" t="s">
        <v>4655</v>
      </c>
      <c r="C6059" t="s">
        <v>925</v>
      </c>
      <c r="D6059" s="1">
        <v>40500</v>
      </c>
      <c r="E6059" s="2">
        <v>71000</v>
      </c>
      <c r="F6059" t="s">
        <v>4567</v>
      </c>
      <c r="G6059" s="17" t="str">
        <f>HYPERLINK("https://www.washoecounty.gov/assessor/cama/?command=sales&amp;parid=21208235","3944327")</f>
        <v>3944327</v>
      </c>
      <c r="H6059" t="s">
        <v>926</v>
      </c>
      <c r="I6059">
        <v>2001</v>
      </c>
      <c r="J6059">
        <v>2001</v>
      </c>
      <c r="K6059" t="s">
        <v>4897</v>
      </c>
      <c r="L6059" t="s">
        <v>4555</v>
      </c>
      <c r="M6059" s="2">
        <v>930</v>
      </c>
      <c r="N6059" t="s">
        <v>5280</v>
      </c>
      <c r="O6059">
        <v>2</v>
      </c>
      <c r="P6059">
        <v>2</v>
      </c>
      <c r="Q6059">
        <v>0</v>
      </c>
      <c r="R6059" t="s">
        <v>5281</v>
      </c>
      <c r="S6059" t="s">
        <v>4898</v>
      </c>
      <c r="T6059" t="s">
        <v>2704</v>
      </c>
      <c r="U6059" t="s">
        <v>4655</v>
      </c>
      <c r="V6059" s="2">
        <v>0</v>
      </c>
      <c r="W6059" t="s">
        <v>4655</v>
      </c>
      <c r="X6059" s="2">
        <v>0</v>
      </c>
      <c r="Y6059">
        <v>21</v>
      </c>
      <c r="Z6059" t="s">
        <v>1491</v>
      </c>
      <c r="AA6059" s="3">
        <v>1.00000004749745E-3</v>
      </c>
      <c r="AB6059" t="s">
        <v>13074</v>
      </c>
      <c r="AC6059" t="s">
        <v>4562</v>
      </c>
      <c r="AD6059" t="s">
        <v>2202</v>
      </c>
      <c r="AE6059" t="s">
        <v>4655</v>
      </c>
      <c r="AF6059" t="s">
        <v>4563</v>
      </c>
      <c r="AG6059" t="s">
        <v>4564</v>
      </c>
      <c r="AH6059" t="s">
        <v>1147</v>
      </c>
      <c r="AI6059" t="s">
        <v>29651</v>
      </c>
      <c r="AJ6059" t="s">
        <v>548</v>
      </c>
      <c r="AK6059" t="s">
        <v>29652</v>
      </c>
      <c r="AL6059" s="13" t="s">
        <v>2255</v>
      </c>
      <c r="AM6059" s="14">
        <v>1</v>
      </c>
      <c r="AN6059" s="15" t="s">
        <v>927</v>
      </c>
    </row>
    <row r="6060" spans="1:40" x14ac:dyDescent="0.3">
      <c r="A6060" s="10" t="str">
        <f>HYPERLINK("http://www.washoecounty.gov/assessor/cama/?parid=212-082-43&amp;CardNumber=1","212-082-43")</f>
        <v>212-082-43</v>
      </c>
      <c r="B6060" t="s">
        <v>4655</v>
      </c>
      <c r="C6060" t="s">
        <v>925</v>
      </c>
      <c r="D6060" s="1">
        <v>40518</v>
      </c>
      <c r="E6060" s="2">
        <v>71900</v>
      </c>
      <c r="F6060" t="s">
        <v>4567</v>
      </c>
      <c r="G6060" s="17" t="str">
        <f>HYPERLINK("https://www.washoecounty.gov/assessor/cama/?command=sales&amp;parid=21208243","3949838")</f>
        <v>3949838</v>
      </c>
      <c r="H6060" t="s">
        <v>926</v>
      </c>
      <c r="I6060">
        <v>2001</v>
      </c>
      <c r="J6060">
        <v>2001</v>
      </c>
      <c r="K6060" t="s">
        <v>4897</v>
      </c>
      <c r="L6060" t="s">
        <v>4555</v>
      </c>
      <c r="M6060" s="2">
        <v>930</v>
      </c>
      <c r="N6060" t="s">
        <v>5280</v>
      </c>
      <c r="O6060">
        <v>2</v>
      </c>
      <c r="P6060">
        <v>2</v>
      </c>
      <c r="Q6060">
        <v>0</v>
      </c>
      <c r="R6060" t="s">
        <v>5281</v>
      </c>
      <c r="S6060" t="s">
        <v>4898</v>
      </c>
      <c r="T6060" t="s">
        <v>2704</v>
      </c>
      <c r="U6060" t="s">
        <v>4655</v>
      </c>
      <c r="V6060" s="2">
        <v>0</v>
      </c>
      <c r="W6060" t="s">
        <v>4655</v>
      </c>
      <c r="X6060" s="2">
        <v>0</v>
      </c>
      <c r="Y6060">
        <v>21</v>
      </c>
      <c r="Z6060" t="s">
        <v>1491</v>
      </c>
      <c r="AA6060" s="3">
        <v>1.00000004749745E-3</v>
      </c>
      <c r="AB6060" t="s">
        <v>29653</v>
      </c>
      <c r="AC6060" t="s">
        <v>4562</v>
      </c>
      <c r="AD6060" t="s">
        <v>29654</v>
      </c>
      <c r="AE6060" t="s">
        <v>4655</v>
      </c>
      <c r="AF6060" t="s">
        <v>930</v>
      </c>
      <c r="AG6060" t="s">
        <v>1188</v>
      </c>
      <c r="AH6060">
        <v>99504</v>
      </c>
      <c r="AI6060" t="s">
        <v>29655</v>
      </c>
      <c r="AJ6060" t="s">
        <v>548</v>
      </c>
      <c r="AK6060" t="s">
        <v>29656</v>
      </c>
      <c r="AL6060" s="13" t="s">
        <v>2255</v>
      </c>
      <c r="AM6060">
        <v>1</v>
      </c>
      <c r="AN6060" s="15" t="s">
        <v>927</v>
      </c>
    </row>
    <row r="6061" spans="1:40" x14ac:dyDescent="0.3">
      <c r="A6061" s="10" t="str">
        <f>HYPERLINK("http://www.washoecounty.gov/assessor/cama/?parid=212-082-44&amp;CardNumber=1","212-082-44")</f>
        <v>212-082-44</v>
      </c>
      <c r="B6061" t="s">
        <v>4655</v>
      </c>
      <c r="C6061" t="s">
        <v>925</v>
      </c>
      <c r="D6061" s="1">
        <v>40532</v>
      </c>
      <c r="E6061" s="2">
        <v>68000</v>
      </c>
      <c r="F6061" t="s">
        <v>4553</v>
      </c>
      <c r="G6061" s="17" t="str">
        <f>HYPERLINK("https://www.washoecounty.gov/assessor/cama/?command=sales&amp;parid=21208244","3955293")</f>
        <v>3955293</v>
      </c>
      <c r="H6061" t="s">
        <v>926</v>
      </c>
      <c r="I6061">
        <v>2001</v>
      </c>
      <c r="J6061">
        <v>2001</v>
      </c>
      <c r="K6061" t="s">
        <v>4897</v>
      </c>
      <c r="L6061" t="s">
        <v>4555</v>
      </c>
      <c r="M6061" s="2">
        <v>930</v>
      </c>
      <c r="N6061" t="s">
        <v>5280</v>
      </c>
      <c r="O6061">
        <v>2</v>
      </c>
      <c r="P6061">
        <v>2</v>
      </c>
      <c r="Q6061">
        <v>0</v>
      </c>
      <c r="R6061" t="s">
        <v>5281</v>
      </c>
      <c r="S6061" t="s">
        <v>4898</v>
      </c>
      <c r="T6061" t="s">
        <v>2704</v>
      </c>
      <c r="U6061" t="s">
        <v>4655</v>
      </c>
      <c r="V6061" s="2">
        <v>0</v>
      </c>
      <c r="W6061" t="s">
        <v>4655</v>
      </c>
      <c r="X6061" s="2">
        <v>0</v>
      </c>
      <c r="Y6061">
        <v>21</v>
      </c>
      <c r="Z6061" t="s">
        <v>1491</v>
      </c>
      <c r="AA6061" s="3">
        <v>1.00000004749745E-3</v>
      </c>
      <c r="AB6061" t="s">
        <v>29657</v>
      </c>
      <c r="AC6061" t="s">
        <v>4575</v>
      </c>
      <c r="AD6061" t="s">
        <v>29658</v>
      </c>
      <c r="AE6061" t="s">
        <v>4655</v>
      </c>
      <c r="AF6061" t="s">
        <v>3264</v>
      </c>
      <c r="AG6061" t="s">
        <v>4564</v>
      </c>
      <c r="AH6061" t="s">
        <v>29659</v>
      </c>
      <c r="AI6061" t="s">
        <v>29660</v>
      </c>
      <c r="AJ6061" t="s">
        <v>548</v>
      </c>
      <c r="AK6061" t="s">
        <v>29661</v>
      </c>
      <c r="AL6061" s="13" t="s">
        <v>2255</v>
      </c>
      <c r="AM6061" s="14">
        <v>1</v>
      </c>
      <c r="AN6061" s="15" t="s">
        <v>927</v>
      </c>
    </row>
    <row r="6062" spans="1:40" x14ac:dyDescent="0.3">
      <c r="A6062" s="10" t="str">
        <f>HYPERLINK("http://www.washoecounty.gov/assessor/cama/?parid=212-084-14&amp;CardNumber=1","212-084-14")</f>
        <v>212-084-14</v>
      </c>
      <c r="B6062" t="s">
        <v>4655</v>
      </c>
      <c r="C6062" t="s">
        <v>925</v>
      </c>
      <c r="D6062" s="1">
        <v>40242</v>
      </c>
      <c r="E6062" s="2">
        <v>94000</v>
      </c>
      <c r="F6062" t="s">
        <v>4553</v>
      </c>
      <c r="G6062" s="17" t="str">
        <f>HYPERLINK("https://www.washoecounty.gov/assessor/cama/?command=sales&amp;parid=21208414","3856493")</f>
        <v>3856493</v>
      </c>
      <c r="H6062" t="s">
        <v>926</v>
      </c>
      <c r="I6062">
        <v>2001</v>
      </c>
      <c r="J6062">
        <v>2001</v>
      </c>
      <c r="K6062" t="s">
        <v>4897</v>
      </c>
      <c r="L6062" t="s">
        <v>4555</v>
      </c>
      <c r="M6062" s="2">
        <v>1114</v>
      </c>
      <c r="N6062" t="s">
        <v>5280</v>
      </c>
      <c r="O6062">
        <v>3</v>
      </c>
      <c r="P6062">
        <v>2</v>
      </c>
      <c r="Q6062">
        <v>0</v>
      </c>
      <c r="R6062" t="s">
        <v>5281</v>
      </c>
      <c r="S6062" t="s">
        <v>4898</v>
      </c>
      <c r="T6062" t="s">
        <v>2704</v>
      </c>
      <c r="U6062" t="s">
        <v>4655</v>
      </c>
      <c r="V6062" s="2">
        <v>0</v>
      </c>
      <c r="W6062" t="s">
        <v>4655</v>
      </c>
      <c r="X6062" s="2">
        <v>0</v>
      </c>
      <c r="Y6062">
        <v>21</v>
      </c>
      <c r="Z6062" t="s">
        <v>1491</v>
      </c>
      <c r="AA6062" s="3">
        <v>1.00000004749745E-3</v>
      </c>
      <c r="AB6062" t="s">
        <v>29662</v>
      </c>
      <c r="AC6062" t="s">
        <v>4562</v>
      </c>
      <c r="AD6062" t="s">
        <v>29663</v>
      </c>
      <c r="AE6062" t="s">
        <v>4655</v>
      </c>
      <c r="AF6062" t="s">
        <v>3160</v>
      </c>
      <c r="AG6062" t="s">
        <v>4584</v>
      </c>
      <c r="AH6062" t="s">
        <v>3161</v>
      </c>
      <c r="AI6062" t="s">
        <v>4585</v>
      </c>
      <c r="AJ6062" t="s">
        <v>548</v>
      </c>
      <c r="AK6062" t="s">
        <v>29664</v>
      </c>
      <c r="AL6062" s="13" t="s">
        <v>2255</v>
      </c>
      <c r="AM6062" s="14">
        <v>1</v>
      </c>
      <c r="AN6062" s="15" t="s">
        <v>927</v>
      </c>
    </row>
    <row r="6063" spans="1:40" x14ac:dyDescent="0.3">
      <c r="A6063" s="10" t="str">
        <f>HYPERLINK("http://www.washoecounty.gov/assessor/cama/?parid=212-084-24&amp;CardNumber=1","212-084-24")</f>
        <v>212-084-24</v>
      </c>
      <c r="B6063" t="s">
        <v>4655</v>
      </c>
      <c r="C6063" t="s">
        <v>925</v>
      </c>
      <c r="D6063" s="1">
        <v>40191</v>
      </c>
      <c r="E6063" s="2">
        <v>99900</v>
      </c>
      <c r="F6063" t="s">
        <v>4553</v>
      </c>
      <c r="G6063" s="17" t="str">
        <f>HYPERLINK("https://www.washoecounty.gov/assessor/cama/?command=sales&amp;parid=21208424","3838807")</f>
        <v>3838807</v>
      </c>
      <c r="H6063" t="s">
        <v>926</v>
      </c>
      <c r="I6063">
        <v>2001</v>
      </c>
      <c r="J6063">
        <v>2001</v>
      </c>
      <c r="K6063" t="s">
        <v>4897</v>
      </c>
      <c r="L6063" t="s">
        <v>4555</v>
      </c>
      <c r="M6063" s="2">
        <v>1114</v>
      </c>
      <c r="N6063" t="s">
        <v>5280</v>
      </c>
      <c r="O6063">
        <v>3</v>
      </c>
      <c r="P6063">
        <v>2</v>
      </c>
      <c r="Q6063">
        <v>0</v>
      </c>
      <c r="R6063" t="s">
        <v>5281</v>
      </c>
      <c r="S6063" t="s">
        <v>4898</v>
      </c>
      <c r="T6063" t="s">
        <v>2704</v>
      </c>
      <c r="U6063" t="s">
        <v>4655</v>
      </c>
      <c r="V6063" s="2">
        <v>0</v>
      </c>
      <c r="W6063" t="s">
        <v>4655</v>
      </c>
      <c r="X6063" s="2">
        <v>0</v>
      </c>
      <c r="Y6063">
        <v>21</v>
      </c>
      <c r="Z6063" t="s">
        <v>1491</v>
      </c>
      <c r="AA6063" s="3">
        <v>1.00000004749745E-3</v>
      </c>
      <c r="AB6063" t="s">
        <v>29665</v>
      </c>
      <c r="AC6063" t="s">
        <v>4562</v>
      </c>
      <c r="AD6063" t="s">
        <v>29666</v>
      </c>
      <c r="AE6063" t="s">
        <v>4655</v>
      </c>
      <c r="AF6063" t="s">
        <v>4563</v>
      </c>
      <c r="AG6063" t="s">
        <v>4564</v>
      </c>
      <c r="AH6063" t="s">
        <v>1147</v>
      </c>
      <c r="AI6063" t="s">
        <v>4903</v>
      </c>
      <c r="AJ6063" t="s">
        <v>548</v>
      </c>
      <c r="AK6063" t="s">
        <v>29667</v>
      </c>
      <c r="AL6063" s="13" t="s">
        <v>2255</v>
      </c>
      <c r="AM6063">
        <v>1</v>
      </c>
      <c r="AN6063" s="15" t="s">
        <v>927</v>
      </c>
    </row>
    <row r="6064" spans="1:40" x14ac:dyDescent="0.3">
      <c r="A6064" s="10" t="str">
        <f>HYPERLINK("http://www.washoecounty.gov/assessor/cama/?parid=212-122-06&amp;CardNumber=1","212-122-06")</f>
        <v>212-122-06</v>
      </c>
      <c r="B6064" t="s">
        <v>4655</v>
      </c>
      <c r="C6064" t="s">
        <v>29668</v>
      </c>
      <c r="D6064" s="1">
        <v>40322</v>
      </c>
      <c r="E6064" s="2">
        <v>152000</v>
      </c>
      <c r="F6064" t="s">
        <v>4567</v>
      </c>
      <c r="G6064" s="17" t="str">
        <f>HYPERLINK("https://www.washoecounty.gov/assessor/cama/?command=sales&amp;parid=21212206","3884356")</f>
        <v>3884356</v>
      </c>
      <c r="H6064" t="s">
        <v>20736</v>
      </c>
      <c r="I6064">
        <v>1989</v>
      </c>
      <c r="J6064">
        <v>1989</v>
      </c>
      <c r="K6064" t="s">
        <v>4554</v>
      </c>
      <c r="L6064" t="s">
        <v>4555</v>
      </c>
      <c r="M6064" s="2">
        <v>960</v>
      </c>
      <c r="N6064" t="s">
        <v>4556</v>
      </c>
      <c r="O6064">
        <v>2</v>
      </c>
      <c r="P6064">
        <v>2</v>
      </c>
      <c r="Q6064">
        <v>0</v>
      </c>
      <c r="R6064" t="s">
        <v>4557</v>
      </c>
      <c r="S6064" t="s">
        <v>3148</v>
      </c>
      <c r="T6064" t="s">
        <v>4559</v>
      </c>
      <c r="U6064" t="s">
        <v>4655</v>
      </c>
      <c r="V6064" s="2">
        <v>0</v>
      </c>
      <c r="W6064" t="s">
        <v>4655</v>
      </c>
      <c r="X6064" s="2">
        <v>0</v>
      </c>
      <c r="Y6064">
        <v>20</v>
      </c>
      <c r="Z6064" t="s">
        <v>1077</v>
      </c>
      <c r="AA6064" s="3">
        <v>1.00119376182556</v>
      </c>
      <c r="AB6064" t="s">
        <v>29669</v>
      </c>
      <c r="AC6064" t="s">
        <v>4562</v>
      </c>
      <c r="AD6064" t="s">
        <v>29668</v>
      </c>
      <c r="AE6064" t="s">
        <v>4655</v>
      </c>
      <c r="AF6064" t="s">
        <v>4563</v>
      </c>
      <c r="AG6064" t="s">
        <v>4564</v>
      </c>
      <c r="AH6064" t="s">
        <v>1147</v>
      </c>
      <c r="AI6064" t="s">
        <v>29670</v>
      </c>
      <c r="AJ6064" t="s">
        <v>29671</v>
      </c>
      <c r="AK6064" t="s">
        <v>29672</v>
      </c>
      <c r="AL6064" s="13" t="s">
        <v>2255</v>
      </c>
      <c r="AM6064" s="14">
        <v>1</v>
      </c>
      <c r="AN6064" s="15" t="s">
        <v>2770</v>
      </c>
    </row>
    <row r="6065" spans="1:40" x14ac:dyDescent="0.3">
      <c r="A6065" s="10" t="str">
        <f>HYPERLINK("http://www.washoecounty.gov/assessor/cama/?parid=212-131-01&amp;CardNumber=1","212-131-01")</f>
        <v>212-131-01</v>
      </c>
      <c r="B6065" t="s">
        <v>4655</v>
      </c>
      <c r="C6065" t="s">
        <v>29673</v>
      </c>
      <c r="D6065" s="1">
        <v>40403</v>
      </c>
      <c r="E6065" s="2">
        <v>1380000</v>
      </c>
      <c r="F6065" t="s">
        <v>4187</v>
      </c>
      <c r="G6065" s="17" t="str">
        <f>HYPERLINK("https://www.washoecounty.gov/assessor/cama/?command=sales&amp;parid=21213101","3911541")</f>
        <v>3911541</v>
      </c>
      <c r="H6065" t="s">
        <v>29674</v>
      </c>
      <c r="I6065">
        <v>0</v>
      </c>
      <c r="J6065">
        <v>0</v>
      </c>
      <c r="K6065" t="s">
        <v>4655</v>
      </c>
      <c r="L6065" t="s">
        <v>4655</v>
      </c>
      <c r="M6065" s="2">
        <v>0</v>
      </c>
      <c r="N6065" t="s">
        <v>4655</v>
      </c>
      <c r="O6065">
        <v>0</v>
      </c>
      <c r="P6065">
        <v>0</v>
      </c>
      <c r="Q6065">
        <v>0</v>
      </c>
      <c r="R6065" t="s">
        <v>4655</v>
      </c>
      <c r="S6065" t="s">
        <v>4655</v>
      </c>
      <c r="T6065" t="s">
        <v>4655</v>
      </c>
      <c r="U6065" t="s">
        <v>4655</v>
      </c>
      <c r="V6065" s="2">
        <v>0</v>
      </c>
      <c r="W6065" t="s">
        <v>4655</v>
      </c>
      <c r="X6065" s="2">
        <v>0</v>
      </c>
      <c r="Y6065">
        <v>14</v>
      </c>
      <c r="Z6065" t="s">
        <v>1491</v>
      </c>
      <c r="AA6065" s="3">
        <v>2.3399999141693115</v>
      </c>
      <c r="AB6065" t="s">
        <v>3283</v>
      </c>
      <c r="AC6065" t="s">
        <v>4562</v>
      </c>
      <c r="AD6065" t="s">
        <v>3284</v>
      </c>
      <c r="AE6065" t="s">
        <v>4655</v>
      </c>
      <c r="AF6065" t="s">
        <v>3285</v>
      </c>
      <c r="AG6065" t="s">
        <v>2590</v>
      </c>
      <c r="AH6065">
        <v>84054</v>
      </c>
      <c r="AI6065" t="s">
        <v>4655</v>
      </c>
      <c r="AJ6065" t="s">
        <v>29675</v>
      </c>
      <c r="AK6065" t="s">
        <v>29676</v>
      </c>
      <c r="AL6065" s="13" t="s">
        <v>2255</v>
      </c>
      <c r="AM6065" s="14">
        <v>0</v>
      </c>
      <c r="AN6065" s="15" t="s">
        <v>29677</v>
      </c>
    </row>
    <row r="6066" spans="1:40" x14ac:dyDescent="0.3">
      <c r="A6066" s="10" t="str">
        <f>HYPERLINK("http://www.washoecounty.gov/assessor/cama/?parid=214-032-06&amp;CardNumber=1","214-032-06")</f>
        <v>214-032-06</v>
      </c>
      <c r="B6066" t="s">
        <v>4655</v>
      </c>
      <c r="C6066" t="s">
        <v>29678</v>
      </c>
      <c r="D6066" s="1">
        <v>40345</v>
      </c>
      <c r="E6066" s="2">
        <v>237000</v>
      </c>
      <c r="F6066" t="s">
        <v>4567</v>
      </c>
      <c r="G6066" s="17" t="str">
        <f>HYPERLINK("https://www.washoecounty.gov/assessor/cama/?command=sales&amp;parid=21403206","3892587")</f>
        <v>3892587</v>
      </c>
      <c r="H6066" t="s">
        <v>29679</v>
      </c>
      <c r="I6066">
        <v>1995</v>
      </c>
      <c r="J6066">
        <v>1995</v>
      </c>
      <c r="K6066" t="s">
        <v>4554</v>
      </c>
      <c r="L6066" t="s">
        <v>3974</v>
      </c>
      <c r="M6066" s="2">
        <v>1881</v>
      </c>
      <c r="N6066" t="s">
        <v>3147</v>
      </c>
      <c r="O6066">
        <v>3</v>
      </c>
      <c r="P6066">
        <v>2</v>
      </c>
      <c r="Q6066">
        <v>1</v>
      </c>
      <c r="R6066" t="s">
        <v>4557</v>
      </c>
      <c r="S6066" t="s">
        <v>4558</v>
      </c>
      <c r="T6066" t="s">
        <v>2704</v>
      </c>
      <c r="U6066" t="s">
        <v>5631</v>
      </c>
      <c r="V6066" s="2">
        <v>484</v>
      </c>
      <c r="W6066" t="s">
        <v>4655</v>
      </c>
      <c r="X6066" s="2">
        <v>0</v>
      </c>
      <c r="Y6066">
        <v>20</v>
      </c>
      <c r="Z6066" t="s">
        <v>1491</v>
      </c>
      <c r="AA6066" s="3">
        <v>0.10599173605442</v>
      </c>
      <c r="AB6066" t="s">
        <v>29680</v>
      </c>
      <c r="AC6066" t="s">
        <v>4575</v>
      </c>
      <c r="AD6066" t="s">
        <v>29681</v>
      </c>
      <c r="AE6066" t="s">
        <v>4655</v>
      </c>
      <c r="AF6066" t="s">
        <v>4563</v>
      </c>
      <c r="AG6066" t="s">
        <v>4564</v>
      </c>
      <c r="AH6066" t="s">
        <v>2330</v>
      </c>
      <c r="AI6066" t="s">
        <v>29682</v>
      </c>
      <c r="AJ6066" t="s">
        <v>29683</v>
      </c>
      <c r="AK6066" t="s">
        <v>29684</v>
      </c>
      <c r="AL6066" s="13" t="s">
        <v>2255</v>
      </c>
      <c r="AM6066">
        <v>1</v>
      </c>
      <c r="AN6066" s="15" t="s">
        <v>4026</v>
      </c>
    </row>
    <row r="6067" spans="1:40" x14ac:dyDescent="0.3">
      <c r="A6067" s="10" t="str">
        <f>HYPERLINK("http://www.washoecounty.gov/assessor/cama/?parid=214-061-18&amp;CardNumber=1","214-061-18")</f>
        <v>214-061-18</v>
      </c>
      <c r="B6067" t="s">
        <v>4655</v>
      </c>
      <c r="C6067" t="s">
        <v>29685</v>
      </c>
      <c r="D6067" s="1">
        <v>40213</v>
      </c>
      <c r="E6067" s="2">
        <v>1016350</v>
      </c>
      <c r="F6067" t="s">
        <v>4553</v>
      </c>
      <c r="G6067" s="17" t="str">
        <f>HYPERLINK("https://www.washoecounty.gov/assessor/cama/?command=sales&amp;parid=21406118","3846169")</f>
        <v>3846169</v>
      </c>
      <c r="H6067" t="s">
        <v>1750</v>
      </c>
      <c r="I6067">
        <v>2000</v>
      </c>
      <c r="J6067">
        <v>2000</v>
      </c>
      <c r="K6067" t="s">
        <v>4554</v>
      </c>
      <c r="L6067" t="s">
        <v>3974</v>
      </c>
      <c r="M6067" s="2">
        <v>6206</v>
      </c>
      <c r="N6067" t="s">
        <v>8283</v>
      </c>
      <c r="O6067">
        <v>5</v>
      </c>
      <c r="P6067">
        <v>5</v>
      </c>
      <c r="Q6067">
        <v>1</v>
      </c>
      <c r="R6067" t="s">
        <v>5281</v>
      </c>
      <c r="S6067" t="s">
        <v>4898</v>
      </c>
      <c r="T6067" t="s">
        <v>2704</v>
      </c>
      <c r="U6067" t="s">
        <v>4560</v>
      </c>
      <c r="V6067" s="2">
        <v>1547</v>
      </c>
      <c r="W6067" t="s">
        <v>4655</v>
      </c>
      <c r="X6067" s="2">
        <v>0</v>
      </c>
      <c r="Y6067">
        <v>20</v>
      </c>
      <c r="Z6067" t="s">
        <v>1491</v>
      </c>
      <c r="AA6067" s="3">
        <v>1</v>
      </c>
      <c r="AB6067" t="s">
        <v>29686</v>
      </c>
      <c r="AC6067" t="s">
        <v>4562</v>
      </c>
      <c r="AD6067" t="s">
        <v>29687</v>
      </c>
      <c r="AE6067" t="s">
        <v>4655</v>
      </c>
      <c r="AF6067" t="s">
        <v>4563</v>
      </c>
      <c r="AG6067" t="s">
        <v>4564</v>
      </c>
      <c r="AH6067" t="s">
        <v>2330</v>
      </c>
      <c r="AI6067" t="s">
        <v>4585</v>
      </c>
      <c r="AJ6067" t="s">
        <v>1751</v>
      </c>
      <c r="AK6067" t="s">
        <v>29688</v>
      </c>
      <c r="AL6067" s="13" t="s">
        <v>2255</v>
      </c>
      <c r="AM6067" s="14">
        <v>1</v>
      </c>
      <c r="AN6067" s="15" t="s">
        <v>1752</v>
      </c>
    </row>
    <row r="6068" spans="1:40" x14ac:dyDescent="0.3">
      <c r="A6068" s="10" t="str">
        <f>HYPERLINK("http://www.washoecounty.gov/assessor/cama/?parid=214-062-08&amp;CardNumber=1","214-062-08")</f>
        <v>214-062-08</v>
      </c>
      <c r="B6068" t="s">
        <v>4655</v>
      </c>
      <c r="C6068" t="s">
        <v>29689</v>
      </c>
      <c r="D6068" s="1">
        <v>40527</v>
      </c>
      <c r="E6068" s="2">
        <v>260000</v>
      </c>
      <c r="F6068" t="s">
        <v>3528</v>
      </c>
      <c r="G6068" s="17" t="str">
        <f>HYPERLINK("https://www.washoecounty.gov/assessor/cama/?command=sales&amp;parid=21406208","3953850")</f>
        <v>3953850</v>
      </c>
      <c r="H6068" t="s">
        <v>1750</v>
      </c>
      <c r="I6068">
        <v>0</v>
      </c>
      <c r="J6068">
        <v>0</v>
      </c>
      <c r="K6068" t="s">
        <v>4655</v>
      </c>
      <c r="L6068" t="s">
        <v>4655</v>
      </c>
      <c r="M6068" s="2">
        <v>0</v>
      </c>
      <c r="N6068" t="s">
        <v>4655</v>
      </c>
      <c r="O6068">
        <v>0</v>
      </c>
      <c r="P6068">
        <v>0</v>
      </c>
      <c r="Q6068">
        <v>0</v>
      </c>
      <c r="R6068" t="s">
        <v>4655</v>
      </c>
      <c r="S6068" t="s">
        <v>4655</v>
      </c>
      <c r="T6068" t="s">
        <v>4655</v>
      </c>
      <c r="U6068" t="s">
        <v>4655</v>
      </c>
      <c r="V6068" s="2">
        <v>0</v>
      </c>
      <c r="W6068" t="s">
        <v>4655</v>
      </c>
      <c r="X6068" s="2">
        <v>0</v>
      </c>
      <c r="Y6068">
        <v>12</v>
      </c>
      <c r="Z6068" t="s">
        <v>1491</v>
      </c>
      <c r="AA6068" s="3">
        <v>0.51499080657958896</v>
      </c>
      <c r="AB6068" t="s">
        <v>29690</v>
      </c>
      <c r="AC6068" t="s">
        <v>4562</v>
      </c>
      <c r="AD6068" t="s">
        <v>5063</v>
      </c>
      <c r="AE6068" t="s">
        <v>4655</v>
      </c>
      <c r="AF6068" t="s">
        <v>3114</v>
      </c>
      <c r="AG6068" t="s">
        <v>4564</v>
      </c>
      <c r="AH6068">
        <v>89509</v>
      </c>
      <c r="AI6068" t="s">
        <v>29691</v>
      </c>
      <c r="AJ6068" t="s">
        <v>1751</v>
      </c>
      <c r="AK6068" t="s">
        <v>29692</v>
      </c>
      <c r="AL6068" s="13" t="s">
        <v>2255</v>
      </c>
      <c r="AM6068">
        <v>0</v>
      </c>
      <c r="AN6068" s="15" t="s">
        <v>1752</v>
      </c>
    </row>
    <row r="6069" spans="1:40" x14ac:dyDescent="0.3">
      <c r="A6069" s="10" t="str">
        <f>HYPERLINK("http://www.washoecounty.gov/assessor/cama/?parid=214-072-02&amp;CardNumber=1","214-072-02")</f>
        <v>214-072-02</v>
      </c>
      <c r="B6069" t="s">
        <v>4655</v>
      </c>
      <c r="C6069" t="s">
        <v>29693</v>
      </c>
      <c r="D6069" s="1">
        <v>40381</v>
      </c>
      <c r="E6069" s="2">
        <v>240000</v>
      </c>
      <c r="F6069" t="s">
        <v>4567</v>
      </c>
      <c r="G6069" s="17" t="str">
        <f>HYPERLINK("https://www.washoecounty.gov/assessor/cama/?command=sales&amp;parid=21407202","3903842")</f>
        <v>3903842</v>
      </c>
      <c r="H6069" t="s">
        <v>1304</v>
      </c>
      <c r="I6069">
        <v>1996</v>
      </c>
      <c r="J6069">
        <v>1996</v>
      </c>
      <c r="K6069" t="s">
        <v>4554</v>
      </c>
      <c r="L6069" t="s">
        <v>4555</v>
      </c>
      <c r="M6069" s="2">
        <v>1670</v>
      </c>
      <c r="N6069" t="s">
        <v>3887</v>
      </c>
      <c r="O6069">
        <v>3</v>
      </c>
      <c r="P6069">
        <v>2</v>
      </c>
      <c r="Q6069">
        <v>0</v>
      </c>
      <c r="R6069" t="s">
        <v>4557</v>
      </c>
      <c r="S6069" t="s">
        <v>4898</v>
      </c>
      <c r="T6069" t="s">
        <v>2704</v>
      </c>
      <c r="U6069" t="s">
        <v>4560</v>
      </c>
      <c r="V6069" s="2">
        <v>460</v>
      </c>
      <c r="W6069" t="s">
        <v>4655</v>
      </c>
      <c r="X6069" s="2">
        <v>0</v>
      </c>
      <c r="Y6069">
        <v>20</v>
      </c>
      <c r="Z6069" t="s">
        <v>1491</v>
      </c>
      <c r="AA6069" s="3">
        <v>0.13900367915630299</v>
      </c>
      <c r="AB6069" t="s">
        <v>29694</v>
      </c>
      <c r="AC6069" t="s">
        <v>4562</v>
      </c>
      <c r="AD6069" t="s">
        <v>29693</v>
      </c>
      <c r="AE6069" t="s">
        <v>4655</v>
      </c>
      <c r="AF6069" t="s">
        <v>4563</v>
      </c>
      <c r="AG6069" t="s">
        <v>4564</v>
      </c>
      <c r="AH6069" t="s">
        <v>2330</v>
      </c>
      <c r="AI6069" t="s">
        <v>29695</v>
      </c>
      <c r="AJ6069" t="s">
        <v>1305</v>
      </c>
      <c r="AK6069" t="s">
        <v>29696</v>
      </c>
      <c r="AL6069" s="13" t="s">
        <v>2255</v>
      </c>
      <c r="AM6069" s="14">
        <v>1</v>
      </c>
      <c r="AN6069" s="15" t="s">
        <v>2847</v>
      </c>
    </row>
    <row r="6070" spans="1:40" x14ac:dyDescent="0.3">
      <c r="A6070" s="10" t="str">
        <f>HYPERLINK("http://www.washoecounty.gov/assessor/cama/?parid=214-141-03&amp;CardNumber=1","214-141-03")</f>
        <v>214-141-03</v>
      </c>
      <c r="B6070" t="s">
        <v>4655</v>
      </c>
      <c r="C6070" t="s">
        <v>29697</v>
      </c>
      <c r="D6070" s="1">
        <v>40185</v>
      </c>
      <c r="E6070" s="2">
        <v>309900</v>
      </c>
      <c r="F6070" t="s">
        <v>4553</v>
      </c>
      <c r="G6070" s="17" t="str">
        <f>HYPERLINK("https://www.washoecounty.gov/assessor/cama/?command=sales&amp;parid=21414103","3837305")</f>
        <v>3837305</v>
      </c>
      <c r="H6070" t="s">
        <v>1753</v>
      </c>
      <c r="I6070">
        <v>1998</v>
      </c>
      <c r="J6070">
        <v>1998</v>
      </c>
      <c r="K6070" t="s">
        <v>4554</v>
      </c>
      <c r="L6070" t="s">
        <v>4555</v>
      </c>
      <c r="M6070" s="2">
        <v>2329</v>
      </c>
      <c r="N6070" t="s">
        <v>3887</v>
      </c>
      <c r="O6070">
        <v>3</v>
      </c>
      <c r="P6070">
        <v>2</v>
      </c>
      <c r="Q6070">
        <v>1</v>
      </c>
      <c r="R6070" t="s">
        <v>5281</v>
      </c>
      <c r="S6070" t="s">
        <v>4898</v>
      </c>
      <c r="T6070" t="s">
        <v>2704</v>
      </c>
      <c r="U6070" t="s">
        <v>4560</v>
      </c>
      <c r="V6070" s="2">
        <v>682</v>
      </c>
      <c r="W6070" t="s">
        <v>4655</v>
      </c>
      <c r="X6070" s="2">
        <v>0</v>
      </c>
      <c r="Y6070">
        <v>20</v>
      </c>
      <c r="Z6070" t="s">
        <v>1491</v>
      </c>
      <c r="AA6070" s="3">
        <v>0.16200642287731201</v>
      </c>
      <c r="AB6070" t="s">
        <v>29698</v>
      </c>
      <c r="AC6070" t="s">
        <v>4562</v>
      </c>
      <c r="AD6070" t="s">
        <v>29697</v>
      </c>
      <c r="AE6070" t="s">
        <v>4655</v>
      </c>
      <c r="AF6070" t="s">
        <v>4563</v>
      </c>
      <c r="AG6070" t="s">
        <v>4564</v>
      </c>
      <c r="AH6070" t="s">
        <v>2330</v>
      </c>
      <c r="AI6070" t="s">
        <v>2351</v>
      </c>
      <c r="AJ6070" t="s">
        <v>1755</v>
      </c>
      <c r="AK6070" t="s">
        <v>29699</v>
      </c>
      <c r="AL6070" s="13" t="s">
        <v>2255</v>
      </c>
      <c r="AM6070">
        <v>1</v>
      </c>
      <c r="AN6070" s="15" t="s">
        <v>1756</v>
      </c>
    </row>
    <row r="6071" spans="1:40" x14ac:dyDescent="0.3">
      <c r="A6071" s="10" t="str">
        <f>HYPERLINK("http://www.washoecounty.gov/assessor/cama/?parid=214-142-05&amp;CardNumber=1","214-142-05")</f>
        <v>214-142-05</v>
      </c>
      <c r="B6071" t="s">
        <v>4655</v>
      </c>
      <c r="C6071" t="s">
        <v>29700</v>
      </c>
      <c r="D6071" s="1">
        <v>40499</v>
      </c>
      <c r="E6071" s="2">
        <v>358000</v>
      </c>
      <c r="F6071" t="s">
        <v>4553</v>
      </c>
      <c r="G6071" s="17" t="str">
        <f>HYPERLINK("https://www.washoecounty.gov/assessor/cama/?command=sales&amp;parid=21414205","3943967")</f>
        <v>3943967</v>
      </c>
      <c r="H6071" t="s">
        <v>1753</v>
      </c>
      <c r="I6071">
        <v>1998</v>
      </c>
      <c r="J6071">
        <v>1998</v>
      </c>
      <c r="K6071" t="s">
        <v>4554</v>
      </c>
      <c r="L6071" t="s">
        <v>4555</v>
      </c>
      <c r="M6071" s="2">
        <v>2329</v>
      </c>
      <c r="N6071" t="s">
        <v>3887</v>
      </c>
      <c r="O6071">
        <v>5</v>
      </c>
      <c r="P6071">
        <v>3</v>
      </c>
      <c r="Q6071">
        <v>1</v>
      </c>
      <c r="R6071" t="s">
        <v>5281</v>
      </c>
      <c r="S6071" t="s">
        <v>4898</v>
      </c>
      <c r="T6071" t="s">
        <v>2704</v>
      </c>
      <c r="U6071" t="s">
        <v>4560</v>
      </c>
      <c r="V6071" s="2">
        <v>682</v>
      </c>
      <c r="W6071" t="s">
        <v>3201</v>
      </c>
      <c r="X6071" s="2">
        <v>894</v>
      </c>
      <c r="Y6071">
        <v>20</v>
      </c>
      <c r="Z6071" t="s">
        <v>1491</v>
      </c>
      <c r="AA6071" s="3">
        <v>0.148002758622169</v>
      </c>
      <c r="AB6071" t="s">
        <v>29701</v>
      </c>
      <c r="AC6071" t="s">
        <v>4575</v>
      </c>
      <c r="AD6071" t="s">
        <v>29702</v>
      </c>
      <c r="AE6071" t="s">
        <v>4655</v>
      </c>
      <c r="AF6071" t="s">
        <v>4563</v>
      </c>
      <c r="AG6071" t="s">
        <v>4564</v>
      </c>
      <c r="AH6071">
        <v>89502</v>
      </c>
      <c r="AI6071" t="s">
        <v>29703</v>
      </c>
      <c r="AJ6071" t="s">
        <v>1755</v>
      </c>
      <c r="AK6071" t="s">
        <v>29704</v>
      </c>
      <c r="AL6071" s="13" t="s">
        <v>2255</v>
      </c>
      <c r="AM6071" s="14">
        <v>1</v>
      </c>
      <c r="AN6071" s="15" t="s">
        <v>1756</v>
      </c>
    </row>
    <row r="6072" spans="1:40" x14ac:dyDescent="0.3">
      <c r="A6072" s="10" t="str">
        <f>HYPERLINK("http://www.washoecounty.gov/assessor/cama/?parid=214-173-01&amp;CardNumber=1","214-173-01")</f>
        <v>214-173-01</v>
      </c>
      <c r="B6072" t="s">
        <v>4655</v>
      </c>
      <c r="C6072" t="s">
        <v>29705</v>
      </c>
      <c r="D6072" s="1">
        <v>40471</v>
      </c>
      <c r="E6072" s="2">
        <v>270000</v>
      </c>
      <c r="F6072" t="s">
        <v>4567</v>
      </c>
      <c r="G6072" s="17" t="str">
        <f>HYPERLINK("https://www.washoecounty.gov/assessor/cama/?command=sales&amp;parid=21417301","3934899")</f>
        <v>3934899</v>
      </c>
      <c r="H6072" t="s">
        <v>29706</v>
      </c>
      <c r="I6072">
        <v>1998</v>
      </c>
      <c r="J6072">
        <v>1998</v>
      </c>
      <c r="K6072" t="s">
        <v>4554</v>
      </c>
      <c r="L6072" t="s">
        <v>4555</v>
      </c>
      <c r="M6072" s="2">
        <v>1670</v>
      </c>
      <c r="N6072" t="s">
        <v>3887</v>
      </c>
      <c r="O6072">
        <v>3</v>
      </c>
      <c r="P6072">
        <v>2</v>
      </c>
      <c r="Q6072">
        <v>0</v>
      </c>
      <c r="R6072" t="s">
        <v>5281</v>
      </c>
      <c r="S6072" t="s">
        <v>4558</v>
      </c>
      <c r="T6072" t="s">
        <v>2704</v>
      </c>
      <c r="U6072" t="s">
        <v>4560</v>
      </c>
      <c r="V6072" s="2">
        <v>460</v>
      </c>
      <c r="W6072" t="s">
        <v>4655</v>
      </c>
      <c r="X6072" s="2">
        <v>0</v>
      </c>
      <c r="Y6072">
        <v>20</v>
      </c>
      <c r="Z6072" t="s">
        <v>1491</v>
      </c>
      <c r="AA6072" s="3">
        <v>0.13599632680416099</v>
      </c>
      <c r="AB6072" t="s">
        <v>29707</v>
      </c>
      <c r="AC6072" t="s">
        <v>4575</v>
      </c>
      <c r="AD6072" t="s">
        <v>29705</v>
      </c>
      <c r="AE6072" t="s">
        <v>4655</v>
      </c>
      <c r="AF6072" t="s">
        <v>4563</v>
      </c>
      <c r="AG6072" t="s">
        <v>4564</v>
      </c>
      <c r="AH6072" t="s">
        <v>2330</v>
      </c>
      <c r="AI6072" t="s">
        <v>29708</v>
      </c>
      <c r="AJ6072" t="s">
        <v>29709</v>
      </c>
      <c r="AK6072" t="s">
        <v>29710</v>
      </c>
      <c r="AL6072" s="13" t="s">
        <v>2255</v>
      </c>
      <c r="AM6072">
        <v>1</v>
      </c>
      <c r="AN6072" s="15" t="s">
        <v>2847</v>
      </c>
    </row>
    <row r="6073" spans="1:40" x14ac:dyDescent="0.3">
      <c r="A6073" s="10" t="str">
        <f>HYPERLINK("http://www.washoecounty.gov/assessor/cama/?parid=214-173-14&amp;CardNumber=1","214-173-14")</f>
        <v>214-173-14</v>
      </c>
      <c r="B6073" t="s">
        <v>4655</v>
      </c>
      <c r="C6073" t="s">
        <v>29711</v>
      </c>
      <c r="D6073" s="1">
        <v>40248</v>
      </c>
      <c r="E6073" s="2">
        <v>310000</v>
      </c>
      <c r="F6073" t="s">
        <v>4567</v>
      </c>
      <c r="G6073" s="17" t="str">
        <f>HYPERLINK("https://www.washoecounty.gov/assessor/cama/?command=sales&amp;parid=21417314","3858641")</f>
        <v>3858641</v>
      </c>
      <c r="H6073" t="s">
        <v>29706</v>
      </c>
      <c r="I6073">
        <v>1998</v>
      </c>
      <c r="J6073">
        <v>1998</v>
      </c>
      <c r="K6073" t="s">
        <v>4554</v>
      </c>
      <c r="L6073" t="s">
        <v>3886</v>
      </c>
      <c r="M6073" s="2">
        <v>2096</v>
      </c>
      <c r="N6073" t="s">
        <v>3887</v>
      </c>
      <c r="O6073">
        <v>3</v>
      </c>
      <c r="P6073">
        <v>2</v>
      </c>
      <c r="Q6073">
        <v>1</v>
      </c>
      <c r="R6073" t="s">
        <v>5281</v>
      </c>
      <c r="S6073" t="s">
        <v>4898</v>
      </c>
      <c r="T6073" t="s">
        <v>2704</v>
      </c>
      <c r="U6073" t="s">
        <v>4560</v>
      </c>
      <c r="V6073" s="2">
        <v>519</v>
      </c>
      <c r="W6073" t="s">
        <v>4655</v>
      </c>
      <c r="X6073" s="2">
        <v>0</v>
      </c>
      <c r="Y6073">
        <v>20</v>
      </c>
      <c r="Z6073" t="s">
        <v>1491</v>
      </c>
      <c r="AA6073" s="3">
        <v>0.135009184479713</v>
      </c>
      <c r="AB6073" t="s">
        <v>29712</v>
      </c>
      <c r="AC6073" t="s">
        <v>4562</v>
      </c>
      <c r="AD6073" t="s">
        <v>29711</v>
      </c>
      <c r="AE6073" t="s">
        <v>4655</v>
      </c>
      <c r="AF6073" t="s">
        <v>4563</v>
      </c>
      <c r="AG6073" t="s">
        <v>4564</v>
      </c>
      <c r="AH6073" t="s">
        <v>2330</v>
      </c>
      <c r="AI6073" t="s">
        <v>29713</v>
      </c>
      <c r="AJ6073" t="s">
        <v>29709</v>
      </c>
      <c r="AK6073" t="s">
        <v>29714</v>
      </c>
      <c r="AL6073" s="13" t="s">
        <v>2255</v>
      </c>
      <c r="AM6073" s="14">
        <v>1</v>
      </c>
      <c r="AN6073" s="15" t="s">
        <v>2847</v>
      </c>
    </row>
    <row r="6074" spans="1:40" x14ac:dyDescent="0.3">
      <c r="A6074" s="10" t="str">
        <f>HYPERLINK("http://www.washoecounty.gov/assessor/cama/?parid=214-173-15&amp;CardNumber=1","214-173-15")</f>
        <v>214-173-15</v>
      </c>
      <c r="B6074" t="s">
        <v>4655</v>
      </c>
      <c r="C6074" t="s">
        <v>29715</v>
      </c>
      <c r="D6074" s="1">
        <v>40277</v>
      </c>
      <c r="E6074" s="2">
        <v>288000</v>
      </c>
      <c r="F6074" t="s">
        <v>4567</v>
      </c>
      <c r="G6074" s="17" t="str">
        <f>HYPERLINK("https://www.washoecounty.gov/assessor/cama/?command=sales&amp;parid=21417315","3869322")</f>
        <v>3869322</v>
      </c>
      <c r="H6074" t="s">
        <v>29706</v>
      </c>
      <c r="I6074">
        <v>1998</v>
      </c>
      <c r="J6074">
        <v>1998</v>
      </c>
      <c r="K6074" t="s">
        <v>4554</v>
      </c>
      <c r="L6074" t="s">
        <v>4555</v>
      </c>
      <c r="M6074" s="2">
        <v>1821</v>
      </c>
      <c r="N6074" t="s">
        <v>3887</v>
      </c>
      <c r="O6074">
        <v>3</v>
      </c>
      <c r="P6074">
        <v>2</v>
      </c>
      <c r="Q6074">
        <v>0</v>
      </c>
      <c r="R6074" t="s">
        <v>5281</v>
      </c>
      <c r="S6074" t="s">
        <v>4898</v>
      </c>
      <c r="T6074" t="s">
        <v>2704</v>
      </c>
      <c r="U6074" t="s">
        <v>4560</v>
      </c>
      <c r="V6074" s="2">
        <v>468</v>
      </c>
      <c r="W6074" t="s">
        <v>4655</v>
      </c>
      <c r="X6074" s="2">
        <v>0</v>
      </c>
      <c r="Y6074">
        <v>20</v>
      </c>
      <c r="Z6074" t="s">
        <v>1491</v>
      </c>
      <c r="AA6074" s="3">
        <v>0.18399907648563399</v>
      </c>
      <c r="AB6074" t="s">
        <v>15614</v>
      </c>
      <c r="AC6074" t="s">
        <v>4575</v>
      </c>
      <c r="AD6074" t="s">
        <v>29715</v>
      </c>
      <c r="AE6074" t="s">
        <v>4655</v>
      </c>
      <c r="AF6074" t="s">
        <v>4563</v>
      </c>
      <c r="AG6074" t="s">
        <v>4564</v>
      </c>
      <c r="AH6074" t="s">
        <v>2330</v>
      </c>
      <c r="AI6074" t="s">
        <v>15614</v>
      </c>
      <c r="AJ6074" t="s">
        <v>29709</v>
      </c>
      <c r="AK6074" t="s">
        <v>29716</v>
      </c>
      <c r="AL6074" s="13" t="s">
        <v>2255</v>
      </c>
      <c r="AM6074">
        <v>1</v>
      </c>
      <c r="AN6074" s="15" t="s">
        <v>2847</v>
      </c>
    </row>
    <row r="6075" spans="1:40" x14ac:dyDescent="0.3">
      <c r="A6075" s="10" t="str">
        <f>HYPERLINK("http://www.washoecounty.gov/assessor/cama/?parid=214-193-02&amp;CardNumber=1","214-193-02")</f>
        <v>214-193-02</v>
      </c>
      <c r="B6075" t="s">
        <v>4655</v>
      </c>
      <c r="C6075" t="s">
        <v>29717</v>
      </c>
      <c r="D6075" s="1">
        <v>40535</v>
      </c>
      <c r="E6075" s="2">
        <v>339000</v>
      </c>
      <c r="F6075" t="s">
        <v>4567</v>
      </c>
      <c r="G6075" s="17" t="str">
        <f>HYPERLINK("https://www.washoecounty.gov/assessor/cama/?command=sales&amp;parid=21419302","3955150")</f>
        <v>3955150</v>
      </c>
      <c r="H6075" t="s">
        <v>4891</v>
      </c>
      <c r="I6075">
        <v>2000</v>
      </c>
      <c r="J6075">
        <v>2000</v>
      </c>
      <c r="K6075" t="s">
        <v>4554</v>
      </c>
      <c r="L6075" t="s">
        <v>4555</v>
      </c>
      <c r="M6075" s="2">
        <v>2341</v>
      </c>
      <c r="N6075" t="s">
        <v>3887</v>
      </c>
      <c r="O6075">
        <v>3</v>
      </c>
      <c r="P6075">
        <v>2</v>
      </c>
      <c r="Q6075">
        <v>1</v>
      </c>
      <c r="R6075" t="s">
        <v>5281</v>
      </c>
      <c r="S6075" t="s">
        <v>4898</v>
      </c>
      <c r="T6075" t="s">
        <v>2704</v>
      </c>
      <c r="U6075" t="s">
        <v>4560</v>
      </c>
      <c r="V6075" s="2">
        <v>686</v>
      </c>
      <c r="W6075" t="s">
        <v>4655</v>
      </c>
      <c r="X6075" s="2">
        <v>0</v>
      </c>
      <c r="Y6075">
        <v>20</v>
      </c>
      <c r="Z6075" t="s">
        <v>1491</v>
      </c>
      <c r="AA6075" s="3">
        <v>0.15399448573589325</v>
      </c>
      <c r="AB6075" t="s">
        <v>29718</v>
      </c>
      <c r="AC6075" t="s">
        <v>4562</v>
      </c>
      <c r="AD6075" t="s">
        <v>29717</v>
      </c>
      <c r="AE6075" t="s">
        <v>4655</v>
      </c>
      <c r="AF6075" t="s">
        <v>4563</v>
      </c>
      <c r="AG6075" t="s">
        <v>4564</v>
      </c>
      <c r="AH6075" t="s">
        <v>2330</v>
      </c>
      <c r="AI6075" t="s">
        <v>949</v>
      </c>
      <c r="AJ6075" t="s">
        <v>4892</v>
      </c>
      <c r="AK6075" t="s">
        <v>29719</v>
      </c>
      <c r="AL6075" s="13" t="s">
        <v>2255</v>
      </c>
      <c r="AM6075" s="14">
        <v>1</v>
      </c>
      <c r="AN6075" s="15" t="s">
        <v>1756</v>
      </c>
    </row>
    <row r="6076" spans="1:40" x14ac:dyDescent="0.3">
      <c r="A6076" s="10" t="str">
        <f>HYPERLINK("http://www.washoecounty.gov/assessor/cama/?parid=214-201-02&amp;CardNumber=1","214-201-02")</f>
        <v>214-201-02</v>
      </c>
      <c r="B6076" t="s">
        <v>4655</v>
      </c>
      <c r="C6076" t="s">
        <v>29720</v>
      </c>
      <c r="D6076" s="1">
        <v>40436</v>
      </c>
      <c r="E6076" s="2">
        <v>375000</v>
      </c>
      <c r="F6076" t="s">
        <v>4567</v>
      </c>
      <c r="G6076" s="17" t="str">
        <f>HYPERLINK("https://www.washoecounty.gov/assessor/cama/?command=sales&amp;parid=21420102","3922628")</f>
        <v>3922628</v>
      </c>
      <c r="H6076" t="s">
        <v>4891</v>
      </c>
      <c r="I6076">
        <v>1998</v>
      </c>
      <c r="J6076">
        <v>1998</v>
      </c>
      <c r="K6076" t="s">
        <v>4554</v>
      </c>
      <c r="L6076" t="s">
        <v>4555</v>
      </c>
      <c r="M6076" s="2">
        <v>2340</v>
      </c>
      <c r="N6076" t="s">
        <v>3887</v>
      </c>
      <c r="O6076">
        <v>3</v>
      </c>
      <c r="P6076">
        <v>2</v>
      </c>
      <c r="Q6076">
        <v>1</v>
      </c>
      <c r="R6076" t="s">
        <v>5281</v>
      </c>
      <c r="S6076" t="s">
        <v>4898</v>
      </c>
      <c r="T6076" t="s">
        <v>2704</v>
      </c>
      <c r="U6076" t="s">
        <v>4560</v>
      </c>
      <c r="V6076" s="2">
        <v>685</v>
      </c>
      <c r="W6076" t="s">
        <v>4655</v>
      </c>
      <c r="X6076" s="2">
        <v>0</v>
      </c>
      <c r="Y6076">
        <v>20</v>
      </c>
      <c r="Z6076" t="s">
        <v>1491</v>
      </c>
      <c r="AA6076" s="3">
        <v>0.16799816489219666</v>
      </c>
      <c r="AB6076" t="s">
        <v>29721</v>
      </c>
      <c r="AC6076" t="s">
        <v>4562</v>
      </c>
      <c r="AD6076" t="s">
        <v>29722</v>
      </c>
      <c r="AE6076" t="s">
        <v>4655</v>
      </c>
      <c r="AF6076" t="s">
        <v>2108</v>
      </c>
      <c r="AG6076" t="s">
        <v>2109</v>
      </c>
      <c r="AH6076" t="s">
        <v>26021</v>
      </c>
      <c r="AI6076" t="s">
        <v>29723</v>
      </c>
      <c r="AJ6076" t="s">
        <v>4892</v>
      </c>
      <c r="AK6076" t="s">
        <v>29724</v>
      </c>
      <c r="AL6076" s="13" t="s">
        <v>2255</v>
      </c>
      <c r="AM6076" s="14">
        <v>1</v>
      </c>
      <c r="AN6076" s="15" t="s">
        <v>1756</v>
      </c>
    </row>
    <row r="6077" spans="1:40" x14ac:dyDescent="0.3">
      <c r="A6077" s="10" t="str">
        <f>HYPERLINK("http://www.washoecounty.gov/assessor/cama/?parid=214-202-05&amp;CardNumber=1","214-202-05")</f>
        <v>214-202-05</v>
      </c>
      <c r="B6077" t="s">
        <v>4655</v>
      </c>
      <c r="C6077" t="s">
        <v>29725</v>
      </c>
      <c r="D6077" s="1">
        <v>40470</v>
      </c>
      <c r="E6077" s="2">
        <v>199000</v>
      </c>
      <c r="F6077" t="s">
        <v>4567</v>
      </c>
      <c r="G6077" s="17" t="str">
        <f>HYPERLINK("https://www.washoecounty.gov/assessor/cama/?command=sales&amp;parid=21420205","3934402")</f>
        <v>3934402</v>
      </c>
      <c r="H6077" t="s">
        <v>4891</v>
      </c>
      <c r="I6077">
        <v>1999</v>
      </c>
      <c r="J6077">
        <v>1999</v>
      </c>
      <c r="K6077" t="s">
        <v>4554</v>
      </c>
      <c r="L6077" t="s">
        <v>4555</v>
      </c>
      <c r="M6077" s="2">
        <v>1682</v>
      </c>
      <c r="N6077" t="s">
        <v>3887</v>
      </c>
      <c r="O6077">
        <v>2</v>
      </c>
      <c r="P6077">
        <v>2</v>
      </c>
      <c r="Q6077">
        <v>0</v>
      </c>
      <c r="R6077" t="s">
        <v>5281</v>
      </c>
      <c r="S6077" t="s">
        <v>4898</v>
      </c>
      <c r="T6077" t="s">
        <v>2704</v>
      </c>
      <c r="U6077" t="s">
        <v>4560</v>
      </c>
      <c r="V6077" s="2">
        <v>460</v>
      </c>
      <c r="W6077" t="s">
        <v>4655</v>
      </c>
      <c r="X6077" s="2">
        <v>0</v>
      </c>
      <c r="Y6077">
        <v>20</v>
      </c>
      <c r="Z6077" t="s">
        <v>1491</v>
      </c>
      <c r="AA6077" s="3">
        <v>0.14299815893173218</v>
      </c>
      <c r="AB6077" t="s">
        <v>29726</v>
      </c>
      <c r="AC6077" t="s">
        <v>4562</v>
      </c>
      <c r="AD6077" t="s">
        <v>29725</v>
      </c>
      <c r="AE6077" t="s">
        <v>4655</v>
      </c>
      <c r="AF6077" t="s">
        <v>4563</v>
      </c>
      <c r="AG6077" t="s">
        <v>4564</v>
      </c>
      <c r="AH6077" t="s">
        <v>2330</v>
      </c>
      <c r="AI6077" t="s">
        <v>29727</v>
      </c>
      <c r="AJ6077" t="s">
        <v>4892</v>
      </c>
      <c r="AK6077" t="s">
        <v>29728</v>
      </c>
      <c r="AL6077" s="13" t="s">
        <v>2255</v>
      </c>
      <c r="AM6077">
        <v>1</v>
      </c>
      <c r="AN6077" s="15" t="s">
        <v>1756</v>
      </c>
    </row>
    <row r="6078" spans="1:40" x14ac:dyDescent="0.3">
      <c r="A6078" s="10" t="str">
        <f>HYPERLINK("http://www.washoecounty.gov/assessor/cama/?parid=214-211-12&amp;CardNumber=1","214-211-12")</f>
        <v>214-211-12</v>
      </c>
      <c r="B6078" t="s">
        <v>4655</v>
      </c>
      <c r="C6078" t="s">
        <v>29729</v>
      </c>
      <c r="D6078" s="1">
        <v>40268</v>
      </c>
      <c r="E6078" s="2">
        <v>460750</v>
      </c>
      <c r="F6078" t="s">
        <v>4567</v>
      </c>
      <c r="G6078" s="17" t="str">
        <f>HYPERLINK("https://www.washoecounty.gov/assessor/cama/?command=sales&amp;parid=21421112","3866353")</f>
        <v>3866353</v>
      </c>
      <c r="H6078" t="s">
        <v>2400</v>
      </c>
      <c r="I6078">
        <v>1998</v>
      </c>
      <c r="J6078">
        <v>1998</v>
      </c>
      <c r="K6078" t="s">
        <v>4554</v>
      </c>
      <c r="L6078" t="s">
        <v>4555</v>
      </c>
      <c r="M6078" s="2">
        <v>2340</v>
      </c>
      <c r="N6078" t="s">
        <v>3887</v>
      </c>
      <c r="O6078">
        <v>5</v>
      </c>
      <c r="P6078">
        <v>3</v>
      </c>
      <c r="Q6078">
        <v>1</v>
      </c>
      <c r="R6078" t="s">
        <v>5281</v>
      </c>
      <c r="S6078" t="s">
        <v>4898</v>
      </c>
      <c r="T6078" t="s">
        <v>2704</v>
      </c>
      <c r="U6078" t="s">
        <v>4560</v>
      </c>
      <c r="V6078" s="2">
        <v>685</v>
      </c>
      <c r="W6078" t="s">
        <v>3201</v>
      </c>
      <c r="X6078" s="2">
        <v>906</v>
      </c>
      <c r="Y6078">
        <v>20</v>
      </c>
      <c r="Z6078" t="s">
        <v>1491</v>
      </c>
      <c r="AA6078" s="3">
        <v>0.18700642883777599</v>
      </c>
      <c r="AB6078" t="s">
        <v>639</v>
      </c>
      <c r="AC6078" t="s">
        <v>4575</v>
      </c>
      <c r="AD6078" t="s">
        <v>29730</v>
      </c>
      <c r="AE6078" t="s">
        <v>29729</v>
      </c>
      <c r="AF6078" t="s">
        <v>4563</v>
      </c>
      <c r="AG6078" t="s">
        <v>4564</v>
      </c>
      <c r="AH6078" t="s">
        <v>2330</v>
      </c>
      <c r="AI6078" t="s">
        <v>29731</v>
      </c>
      <c r="AJ6078" t="s">
        <v>2401</v>
      </c>
      <c r="AK6078" t="s">
        <v>29732</v>
      </c>
      <c r="AL6078" s="13" t="s">
        <v>2255</v>
      </c>
      <c r="AM6078" s="14">
        <v>1</v>
      </c>
      <c r="AN6078" s="15" t="s">
        <v>1756</v>
      </c>
    </row>
    <row r="6079" spans="1:40" x14ac:dyDescent="0.3">
      <c r="A6079" s="10" t="str">
        <f>HYPERLINK("http://www.washoecounty.gov/assessor/cama/?parid=214-220-03&amp;CardNumber=1","214-220-03")</f>
        <v>214-220-03</v>
      </c>
      <c r="B6079" t="s">
        <v>4655</v>
      </c>
      <c r="C6079" t="s">
        <v>29733</v>
      </c>
      <c r="D6079" s="1">
        <v>40451</v>
      </c>
      <c r="E6079" s="2">
        <v>286500</v>
      </c>
      <c r="F6079" t="s">
        <v>4567</v>
      </c>
      <c r="G6079" s="17" t="str">
        <f>HYPERLINK("https://www.washoecounty.gov/assessor/cama/?command=sales&amp;parid=21422003","3928100")</f>
        <v>3928100</v>
      </c>
      <c r="H6079" t="s">
        <v>2400</v>
      </c>
      <c r="I6079">
        <v>2000</v>
      </c>
      <c r="J6079">
        <v>2000</v>
      </c>
      <c r="K6079" t="s">
        <v>4554</v>
      </c>
      <c r="L6079" t="s">
        <v>4555</v>
      </c>
      <c r="M6079" s="2">
        <v>1836</v>
      </c>
      <c r="N6079" t="s">
        <v>3887</v>
      </c>
      <c r="O6079">
        <v>3</v>
      </c>
      <c r="P6079">
        <v>2</v>
      </c>
      <c r="Q6079">
        <v>0</v>
      </c>
      <c r="R6079" t="s">
        <v>4557</v>
      </c>
      <c r="S6079" t="s">
        <v>4898</v>
      </c>
      <c r="T6079" t="s">
        <v>2704</v>
      </c>
      <c r="U6079" t="s">
        <v>4560</v>
      </c>
      <c r="V6079" s="2">
        <v>479</v>
      </c>
      <c r="W6079" t="s">
        <v>4655</v>
      </c>
      <c r="X6079" s="2">
        <v>0</v>
      </c>
      <c r="Y6079">
        <v>20</v>
      </c>
      <c r="Z6079" t="s">
        <v>1491</v>
      </c>
      <c r="AA6079" s="3">
        <v>0.15500459074974099</v>
      </c>
      <c r="AB6079" t="s">
        <v>29734</v>
      </c>
      <c r="AC6079" t="s">
        <v>4562</v>
      </c>
      <c r="AD6079" t="s">
        <v>29735</v>
      </c>
      <c r="AE6079" t="s">
        <v>4655</v>
      </c>
      <c r="AF6079" t="s">
        <v>5335</v>
      </c>
      <c r="AG6079" t="s">
        <v>5336</v>
      </c>
      <c r="AH6079" t="s">
        <v>29736</v>
      </c>
      <c r="AI6079" t="s">
        <v>3451</v>
      </c>
      <c r="AJ6079" t="s">
        <v>4027</v>
      </c>
      <c r="AK6079" t="s">
        <v>29737</v>
      </c>
      <c r="AL6079" s="13" t="s">
        <v>2255</v>
      </c>
      <c r="AM6079">
        <v>1</v>
      </c>
      <c r="AN6079" s="15" t="s">
        <v>1756</v>
      </c>
    </row>
    <row r="6080" spans="1:40" x14ac:dyDescent="0.3">
      <c r="A6080" s="10" t="str">
        <f>HYPERLINK("http://www.washoecounty.gov/assessor/cama/?parid=214-220-11&amp;CardNumber=1","214-220-11")</f>
        <v>214-220-11</v>
      </c>
      <c r="B6080" t="s">
        <v>4655</v>
      </c>
      <c r="C6080" t="s">
        <v>29738</v>
      </c>
      <c r="D6080" s="1">
        <v>40375</v>
      </c>
      <c r="E6080" s="2">
        <v>240000</v>
      </c>
      <c r="F6080" t="s">
        <v>4567</v>
      </c>
      <c r="G6080" s="17" t="str">
        <f>HYPERLINK("https://www.washoecounty.gov/assessor/cama/?command=sales&amp;parid=21422011","3902246")</f>
        <v>3902246</v>
      </c>
      <c r="H6080" t="s">
        <v>2400</v>
      </c>
      <c r="I6080">
        <v>2000</v>
      </c>
      <c r="J6080">
        <v>2000</v>
      </c>
      <c r="K6080" t="s">
        <v>4554</v>
      </c>
      <c r="L6080" t="s">
        <v>4555</v>
      </c>
      <c r="M6080" s="2">
        <v>1667</v>
      </c>
      <c r="N6080" t="s">
        <v>3887</v>
      </c>
      <c r="O6080">
        <v>2</v>
      </c>
      <c r="P6080">
        <v>2</v>
      </c>
      <c r="Q6080">
        <v>0</v>
      </c>
      <c r="R6080" t="s">
        <v>5281</v>
      </c>
      <c r="S6080" t="s">
        <v>4898</v>
      </c>
      <c r="T6080" t="s">
        <v>2704</v>
      </c>
      <c r="U6080" t="s">
        <v>4560</v>
      </c>
      <c r="V6080" s="2">
        <v>460</v>
      </c>
      <c r="W6080" t="s">
        <v>4655</v>
      </c>
      <c r="X6080" s="2">
        <v>0</v>
      </c>
      <c r="Y6080">
        <v>20</v>
      </c>
      <c r="Z6080" t="s">
        <v>1491</v>
      </c>
      <c r="AA6080" s="3">
        <v>0.21999540925025901</v>
      </c>
      <c r="AB6080" t="s">
        <v>616</v>
      </c>
      <c r="AC6080" t="s">
        <v>4575</v>
      </c>
      <c r="AD6080" t="s">
        <v>29739</v>
      </c>
      <c r="AE6080" t="s">
        <v>4655</v>
      </c>
      <c r="AF6080" t="s">
        <v>4563</v>
      </c>
      <c r="AG6080" t="s">
        <v>4564</v>
      </c>
      <c r="AH6080">
        <v>89511</v>
      </c>
      <c r="AI6080" t="s">
        <v>29740</v>
      </c>
      <c r="AJ6080" t="s">
        <v>4027</v>
      </c>
      <c r="AK6080" t="s">
        <v>29741</v>
      </c>
      <c r="AL6080" s="13" t="s">
        <v>2255</v>
      </c>
      <c r="AM6080">
        <v>1</v>
      </c>
      <c r="AN6080" s="15" t="s">
        <v>1756</v>
      </c>
    </row>
    <row r="6081" spans="1:40" x14ac:dyDescent="0.3">
      <c r="A6081" s="10" t="str">
        <f>HYPERLINK("http://www.washoecounty.gov/assessor/cama/?parid=214-220-13&amp;CardNumber=1","214-220-13")</f>
        <v>214-220-13</v>
      </c>
      <c r="B6081" t="s">
        <v>4655</v>
      </c>
      <c r="C6081" t="s">
        <v>29742</v>
      </c>
      <c r="D6081" s="1">
        <v>40345</v>
      </c>
      <c r="E6081" s="2">
        <v>341000</v>
      </c>
      <c r="F6081" t="s">
        <v>4553</v>
      </c>
      <c r="G6081" s="17" t="str">
        <f>HYPERLINK("https://www.washoecounty.gov/assessor/cama/?command=sales&amp;parid=21422013","3892253")</f>
        <v>3892253</v>
      </c>
      <c r="H6081" t="s">
        <v>2400</v>
      </c>
      <c r="I6081">
        <v>2000</v>
      </c>
      <c r="J6081">
        <v>2000</v>
      </c>
      <c r="K6081" t="s">
        <v>4554</v>
      </c>
      <c r="L6081" t="s">
        <v>4555</v>
      </c>
      <c r="M6081" s="2">
        <v>2149</v>
      </c>
      <c r="N6081" t="s">
        <v>3887</v>
      </c>
      <c r="O6081">
        <v>3</v>
      </c>
      <c r="P6081">
        <v>3</v>
      </c>
      <c r="Q6081">
        <v>1</v>
      </c>
      <c r="R6081" t="s">
        <v>5281</v>
      </c>
      <c r="S6081" t="s">
        <v>4898</v>
      </c>
      <c r="T6081" t="s">
        <v>2704</v>
      </c>
      <c r="U6081" t="s">
        <v>4560</v>
      </c>
      <c r="V6081" s="2">
        <v>730</v>
      </c>
      <c r="W6081" t="s">
        <v>3201</v>
      </c>
      <c r="X6081" s="2">
        <v>819</v>
      </c>
      <c r="Y6081">
        <v>20</v>
      </c>
      <c r="Z6081" t="s">
        <v>1491</v>
      </c>
      <c r="AA6081" s="3">
        <v>0.151010096073151</v>
      </c>
      <c r="AB6081" t="s">
        <v>29743</v>
      </c>
      <c r="AC6081" t="s">
        <v>4562</v>
      </c>
      <c r="AD6081" t="s">
        <v>29744</v>
      </c>
      <c r="AE6081" t="s">
        <v>4655</v>
      </c>
      <c r="AF6081" t="s">
        <v>4563</v>
      </c>
      <c r="AG6081" t="s">
        <v>4564</v>
      </c>
      <c r="AH6081">
        <v>89509</v>
      </c>
      <c r="AI6081" t="s">
        <v>359</v>
      </c>
      <c r="AJ6081" t="s">
        <v>4027</v>
      </c>
      <c r="AK6081" t="s">
        <v>29745</v>
      </c>
      <c r="AL6081" s="13" t="s">
        <v>2255</v>
      </c>
      <c r="AM6081" s="14">
        <v>1</v>
      </c>
      <c r="AN6081" s="15" t="s">
        <v>1756</v>
      </c>
    </row>
    <row r="6082" spans="1:40" x14ac:dyDescent="0.3">
      <c r="A6082" s="10" t="str">
        <f>HYPERLINK("http://www.washoecounty.gov/assessor/cama/?parid=214-220-15&amp;CardNumber=1","214-220-15")</f>
        <v>214-220-15</v>
      </c>
      <c r="B6082" t="s">
        <v>4655</v>
      </c>
      <c r="C6082" t="s">
        <v>29746</v>
      </c>
      <c r="D6082" s="1">
        <v>40455</v>
      </c>
      <c r="E6082" s="2">
        <v>450000</v>
      </c>
      <c r="F6082" t="s">
        <v>4567</v>
      </c>
      <c r="G6082" s="17" t="str">
        <f>HYPERLINK("https://www.washoecounty.gov/assessor/cama/?command=sales&amp;parid=21422015","3929104")</f>
        <v>3929104</v>
      </c>
      <c r="H6082" t="s">
        <v>2400</v>
      </c>
      <c r="I6082">
        <v>2000</v>
      </c>
      <c r="J6082">
        <v>2000</v>
      </c>
      <c r="K6082" t="s">
        <v>4554</v>
      </c>
      <c r="L6082" t="s">
        <v>4555</v>
      </c>
      <c r="M6082" s="2">
        <v>2149</v>
      </c>
      <c r="N6082" t="s">
        <v>3887</v>
      </c>
      <c r="O6082">
        <v>3</v>
      </c>
      <c r="P6082">
        <v>3</v>
      </c>
      <c r="Q6082">
        <v>1</v>
      </c>
      <c r="R6082" t="s">
        <v>5281</v>
      </c>
      <c r="S6082" t="s">
        <v>4898</v>
      </c>
      <c r="T6082" t="s">
        <v>2704</v>
      </c>
      <c r="U6082" t="s">
        <v>4560</v>
      </c>
      <c r="V6082" s="2">
        <v>730</v>
      </c>
      <c r="W6082" t="s">
        <v>3201</v>
      </c>
      <c r="X6082" s="2">
        <v>819</v>
      </c>
      <c r="Y6082">
        <v>20</v>
      </c>
      <c r="Z6082" t="s">
        <v>1491</v>
      </c>
      <c r="AA6082" s="3">
        <v>0.16400367021560699</v>
      </c>
      <c r="AB6082" t="s">
        <v>29747</v>
      </c>
      <c r="AC6082" t="s">
        <v>4562</v>
      </c>
      <c r="AD6082" t="s">
        <v>29748</v>
      </c>
      <c r="AE6082" t="s">
        <v>4655</v>
      </c>
      <c r="AF6082" t="s">
        <v>1189</v>
      </c>
      <c r="AG6082" t="s">
        <v>4564</v>
      </c>
      <c r="AH6082">
        <v>89117</v>
      </c>
      <c r="AI6082" t="s">
        <v>29749</v>
      </c>
      <c r="AJ6082" t="s">
        <v>4027</v>
      </c>
      <c r="AK6082" t="s">
        <v>29750</v>
      </c>
      <c r="AL6082" s="13" t="s">
        <v>2255</v>
      </c>
      <c r="AM6082" s="14">
        <v>1</v>
      </c>
      <c r="AN6082" s="15" t="s">
        <v>1756</v>
      </c>
    </row>
    <row r="6083" spans="1:40" x14ac:dyDescent="0.3">
      <c r="A6083" s="10" t="str">
        <f>HYPERLINK("http://www.washoecounty.gov/assessor/cama/?parid=216-040-12&amp;CardNumber=1","216-040-12")</f>
        <v>216-040-12</v>
      </c>
      <c r="B6083" t="s">
        <v>4655</v>
      </c>
      <c r="C6083" t="s">
        <v>29751</v>
      </c>
      <c r="D6083" s="1">
        <v>40451</v>
      </c>
      <c r="E6083" s="2">
        <v>490000</v>
      </c>
      <c r="F6083" t="s">
        <v>4567</v>
      </c>
      <c r="G6083" s="17" t="str">
        <f>HYPERLINK("https://www.washoecounty.gov/assessor/cama/?command=sales&amp;parid=21604012","3928393")</f>
        <v>3928393</v>
      </c>
      <c r="H6083" t="s">
        <v>5337</v>
      </c>
      <c r="I6083">
        <v>2001</v>
      </c>
      <c r="J6083">
        <v>2001</v>
      </c>
      <c r="K6083" t="s">
        <v>4554</v>
      </c>
      <c r="L6083" t="s">
        <v>2170</v>
      </c>
      <c r="M6083" s="2">
        <v>3133</v>
      </c>
      <c r="N6083" t="s">
        <v>1245</v>
      </c>
      <c r="O6083">
        <v>4</v>
      </c>
      <c r="P6083">
        <v>3</v>
      </c>
      <c r="Q6083">
        <v>1</v>
      </c>
      <c r="R6083" t="s">
        <v>5281</v>
      </c>
      <c r="S6083" t="s">
        <v>4558</v>
      </c>
      <c r="T6083" t="s">
        <v>4559</v>
      </c>
      <c r="U6083" t="s">
        <v>5631</v>
      </c>
      <c r="V6083" s="2">
        <v>884</v>
      </c>
      <c r="W6083" t="s">
        <v>4655</v>
      </c>
      <c r="X6083" s="2">
        <v>0</v>
      </c>
      <c r="Y6083">
        <v>20</v>
      </c>
      <c r="Z6083" t="s">
        <v>5282</v>
      </c>
      <c r="AA6083" s="3">
        <v>0.907001852989196</v>
      </c>
      <c r="AB6083" t="s">
        <v>29752</v>
      </c>
      <c r="AC6083" t="s">
        <v>4575</v>
      </c>
      <c r="AD6083" t="s">
        <v>29753</v>
      </c>
      <c r="AE6083" t="s">
        <v>29751</v>
      </c>
      <c r="AF6083" t="s">
        <v>4563</v>
      </c>
      <c r="AG6083" t="s">
        <v>4564</v>
      </c>
      <c r="AH6083">
        <v>89509</v>
      </c>
      <c r="AI6083" t="s">
        <v>29754</v>
      </c>
      <c r="AJ6083" t="s">
        <v>5338</v>
      </c>
      <c r="AK6083" t="s">
        <v>29755</v>
      </c>
      <c r="AL6083" s="13" t="s">
        <v>2255</v>
      </c>
      <c r="AM6083" s="14">
        <v>1</v>
      </c>
      <c r="AN6083" s="15" t="s">
        <v>5544</v>
      </c>
    </row>
    <row r="6084" spans="1:40" x14ac:dyDescent="0.3">
      <c r="A6084" s="10" t="str">
        <f>HYPERLINK("http://www.washoecounty.gov/assessor/cama/?parid=216-040-16&amp;CardNumber=1","216-040-16")</f>
        <v>216-040-16</v>
      </c>
      <c r="B6084" t="s">
        <v>4655</v>
      </c>
      <c r="C6084" t="s">
        <v>29756</v>
      </c>
      <c r="D6084" s="1">
        <v>40347</v>
      </c>
      <c r="E6084" s="2">
        <v>455000</v>
      </c>
      <c r="F6084" t="s">
        <v>4567</v>
      </c>
      <c r="G6084" s="17" t="str">
        <f>HYPERLINK("https://www.washoecounty.gov/assessor/cama/?command=sales&amp;parid=21604016","3893550")</f>
        <v>3893550</v>
      </c>
      <c r="H6084" t="s">
        <v>29757</v>
      </c>
      <c r="I6084">
        <v>2006</v>
      </c>
      <c r="J6084">
        <v>2006</v>
      </c>
      <c r="K6084" t="s">
        <v>4554</v>
      </c>
      <c r="L6084" t="s">
        <v>4555</v>
      </c>
      <c r="M6084" s="2">
        <v>1810</v>
      </c>
      <c r="N6084" t="s">
        <v>1245</v>
      </c>
      <c r="O6084">
        <v>5</v>
      </c>
      <c r="P6084">
        <v>4</v>
      </c>
      <c r="Q6084">
        <v>0</v>
      </c>
      <c r="R6084" t="s">
        <v>5281</v>
      </c>
      <c r="S6084" t="s">
        <v>4558</v>
      </c>
      <c r="T6084" t="s">
        <v>4559</v>
      </c>
      <c r="U6084" t="s">
        <v>4560</v>
      </c>
      <c r="V6084" s="2">
        <v>958</v>
      </c>
      <c r="W6084" t="s">
        <v>3201</v>
      </c>
      <c r="X6084" s="2">
        <v>1807</v>
      </c>
      <c r="Y6084">
        <v>20</v>
      </c>
      <c r="Z6084" t="s">
        <v>5282</v>
      </c>
      <c r="AA6084" s="3">
        <v>0.94678604602813698</v>
      </c>
      <c r="AB6084" t="s">
        <v>29758</v>
      </c>
      <c r="AC6084" t="s">
        <v>4562</v>
      </c>
      <c r="AD6084" t="s">
        <v>29756</v>
      </c>
      <c r="AE6084" t="s">
        <v>4655</v>
      </c>
      <c r="AF6084" t="s">
        <v>4563</v>
      </c>
      <c r="AG6084" t="s">
        <v>4564</v>
      </c>
      <c r="AH6084">
        <v>89509</v>
      </c>
      <c r="AI6084" t="s">
        <v>29759</v>
      </c>
      <c r="AJ6084" t="s">
        <v>29760</v>
      </c>
      <c r="AK6084" t="s">
        <v>29761</v>
      </c>
      <c r="AL6084" s="13" t="s">
        <v>2255</v>
      </c>
      <c r="AM6084">
        <v>1</v>
      </c>
      <c r="AN6084" s="15" t="s">
        <v>4152</v>
      </c>
    </row>
    <row r="6085" spans="1:40" x14ac:dyDescent="0.3">
      <c r="A6085" s="10" t="str">
        <f>HYPERLINK("http://www.washoecounty.gov/assessor/cama/?parid=218-021-04&amp;CardNumber=1","218-021-04")</f>
        <v>218-021-04</v>
      </c>
      <c r="B6085" t="s">
        <v>4655</v>
      </c>
      <c r="C6085" t="s">
        <v>4153</v>
      </c>
      <c r="D6085" s="1">
        <v>40352</v>
      </c>
      <c r="E6085" s="2">
        <v>400000</v>
      </c>
      <c r="F6085" t="s">
        <v>4567</v>
      </c>
      <c r="G6085" s="17" t="str">
        <f>HYPERLINK("https://www.washoecounty.gov/assessor/cama/?command=sales&amp;parid=21802104","3894531")</f>
        <v>3894531</v>
      </c>
      <c r="H6085" t="s">
        <v>29762</v>
      </c>
      <c r="I6085">
        <v>1996</v>
      </c>
      <c r="J6085">
        <v>1996</v>
      </c>
      <c r="K6085" t="s">
        <v>4554</v>
      </c>
      <c r="L6085" t="s">
        <v>3974</v>
      </c>
      <c r="M6085" s="2">
        <v>2621</v>
      </c>
      <c r="N6085" t="s">
        <v>1245</v>
      </c>
      <c r="O6085">
        <v>4</v>
      </c>
      <c r="P6085">
        <v>2</v>
      </c>
      <c r="Q6085">
        <v>1</v>
      </c>
      <c r="R6085" t="s">
        <v>5281</v>
      </c>
      <c r="S6085" t="s">
        <v>4558</v>
      </c>
      <c r="T6085" t="s">
        <v>2704</v>
      </c>
      <c r="U6085" t="s">
        <v>4560</v>
      </c>
      <c r="V6085" s="2">
        <v>598</v>
      </c>
      <c r="W6085" t="s">
        <v>4655</v>
      </c>
      <c r="X6085" s="2">
        <v>0</v>
      </c>
      <c r="Y6085">
        <v>20</v>
      </c>
      <c r="Z6085" t="s">
        <v>1491</v>
      </c>
      <c r="AA6085" s="3">
        <v>0.21000918745994601</v>
      </c>
      <c r="AB6085" t="s">
        <v>29763</v>
      </c>
      <c r="AC6085" t="s">
        <v>4562</v>
      </c>
      <c r="AD6085" t="s">
        <v>4153</v>
      </c>
      <c r="AE6085" t="s">
        <v>4655</v>
      </c>
      <c r="AF6085" t="s">
        <v>4563</v>
      </c>
      <c r="AG6085" t="s">
        <v>4564</v>
      </c>
      <c r="AH6085" t="s">
        <v>2330</v>
      </c>
      <c r="AI6085" t="s">
        <v>4154</v>
      </c>
      <c r="AJ6085" t="s">
        <v>3593</v>
      </c>
      <c r="AK6085" t="s">
        <v>29764</v>
      </c>
      <c r="AL6085" s="13" t="s">
        <v>2255</v>
      </c>
      <c r="AM6085">
        <v>1</v>
      </c>
      <c r="AN6085" s="15" t="s">
        <v>1388</v>
      </c>
    </row>
    <row r="6086" spans="1:40" x14ac:dyDescent="0.3">
      <c r="A6086" s="10" t="str">
        <f>HYPERLINK("http://www.washoecounty.gov/assessor/cama/?parid=218-023-06&amp;CardNumber=1","218-023-06")</f>
        <v>218-023-06</v>
      </c>
      <c r="B6086" t="s">
        <v>4655</v>
      </c>
      <c r="C6086" t="s">
        <v>29765</v>
      </c>
      <c r="D6086" s="1">
        <v>40283</v>
      </c>
      <c r="E6086" s="2">
        <v>400000</v>
      </c>
      <c r="F6086" t="s">
        <v>4567</v>
      </c>
      <c r="G6086" s="17" t="str">
        <f>HYPERLINK("https://www.washoecounty.gov/assessor/cama/?command=sales&amp;parid=21802306","3871675")</f>
        <v>3871675</v>
      </c>
      <c r="H6086" t="s">
        <v>3590</v>
      </c>
      <c r="I6086">
        <v>1997</v>
      </c>
      <c r="J6086">
        <v>1997</v>
      </c>
      <c r="K6086" t="s">
        <v>4554</v>
      </c>
      <c r="L6086" t="s">
        <v>4555</v>
      </c>
      <c r="M6086" s="2">
        <v>1640</v>
      </c>
      <c r="N6086" t="s">
        <v>1245</v>
      </c>
      <c r="O6086">
        <v>4</v>
      </c>
      <c r="P6086">
        <v>3</v>
      </c>
      <c r="Q6086">
        <v>0</v>
      </c>
      <c r="R6086" t="s">
        <v>5281</v>
      </c>
      <c r="S6086" t="s">
        <v>4898</v>
      </c>
      <c r="T6086" t="s">
        <v>2704</v>
      </c>
      <c r="U6086" t="s">
        <v>4560</v>
      </c>
      <c r="V6086" s="2">
        <v>686</v>
      </c>
      <c r="W6086" t="s">
        <v>3201</v>
      </c>
      <c r="X6086" s="2">
        <v>1586</v>
      </c>
      <c r="Y6086">
        <v>20</v>
      </c>
      <c r="Z6086" t="s">
        <v>1491</v>
      </c>
      <c r="AA6086" s="3">
        <v>0.16099633276462599</v>
      </c>
      <c r="AB6086" t="s">
        <v>3591</v>
      </c>
      <c r="AC6086" t="s">
        <v>4562</v>
      </c>
      <c r="AD6086" t="s">
        <v>3592</v>
      </c>
      <c r="AE6086" t="s">
        <v>4655</v>
      </c>
      <c r="AF6086" t="s">
        <v>3170</v>
      </c>
      <c r="AG6086" t="s">
        <v>4584</v>
      </c>
      <c r="AH6086">
        <v>95070</v>
      </c>
      <c r="AI6086" t="s">
        <v>29766</v>
      </c>
      <c r="AJ6086" t="s">
        <v>3593</v>
      </c>
      <c r="AK6086" t="s">
        <v>29767</v>
      </c>
      <c r="AL6086" s="13" t="s">
        <v>2255</v>
      </c>
      <c r="AM6086">
        <v>1</v>
      </c>
      <c r="AN6086" s="15" t="s">
        <v>1388</v>
      </c>
    </row>
    <row r="6087" spans="1:40" x14ac:dyDescent="0.3">
      <c r="A6087" s="10" t="str">
        <f>HYPERLINK("http://www.washoecounty.gov/assessor/cama/?parid=218-023-12&amp;CardNumber=1","218-023-12")</f>
        <v>218-023-12</v>
      </c>
      <c r="B6087" t="s">
        <v>4655</v>
      </c>
      <c r="C6087" t="s">
        <v>29768</v>
      </c>
      <c r="D6087" s="1">
        <v>40315</v>
      </c>
      <c r="E6087" s="2">
        <v>520000</v>
      </c>
      <c r="F6087" t="s">
        <v>4567</v>
      </c>
      <c r="G6087" s="17" t="str">
        <f>HYPERLINK("https://www.washoecounty.gov/assessor/cama/?command=sales&amp;parid=21802312","3882122")</f>
        <v>3882122</v>
      </c>
      <c r="H6087" t="s">
        <v>29762</v>
      </c>
      <c r="I6087">
        <v>1996</v>
      </c>
      <c r="J6087">
        <v>1996</v>
      </c>
      <c r="K6087" t="s">
        <v>4554</v>
      </c>
      <c r="L6087" t="s">
        <v>3974</v>
      </c>
      <c r="M6087" s="2">
        <v>3199</v>
      </c>
      <c r="N6087" t="s">
        <v>1245</v>
      </c>
      <c r="O6087">
        <v>6</v>
      </c>
      <c r="P6087">
        <v>5</v>
      </c>
      <c r="Q6087">
        <v>0</v>
      </c>
      <c r="R6087" t="s">
        <v>5281</v>
      </c>
      <c r="S6087" t="s">
        <v>4898</v>
      </c>
      <c r="T6087" t="s">
        <v>2704</v>
      </c>
      <c r="U6087" t="s">
        <v>5631</v>
      </c>
      <c r="V6087" s="2">
        <v>678</v>
      </c>
      <c r="W6087" t="s">
        <v>3201</v>
      </c>
      <c r="X6087" s="2">
        <v>1620</v>
      </c>
      <c r="Y6087">
        <v>20</v>
      </c>
      <c r="Z6087" t="s">
        <v>1491</v>
      </c>
      <c r="AA6087" s="3">
        <v>0.26499080657959001</v>
      </c>
      <c r="AB6087" t="s">
        <v>29769</v>
      </c>
      <c r="AC6087" t="s">
        <v>4562</v>
      </c>
      <c r="AD6087" t="s">
        <v>29768</v>
      </c>
      <c r="AE6087" t="s">
        <v>4655</v>
      </c>
      <c r="AF6087" t="s">
        <v>4563</v>
      </c>
      <c r="AG6087" t="s">
        <v>4564</v>
      </c>
      <c r="AH6087" t="s">
        <v>2330</v>
      </c>
      <c r="AI6087" t="s">
        <v>29770</v>
      </c>
      <c r="AJ6087" t="s">
        <v>29771</v>
      </c>
      <c r="AK6087" t="s">
        <v>29772</v>
      </c>
      <c r="AL6087" s="13" t="s">
        <v>2255</v>
      </c>
      <c r="AM6087">
        <v>1</v>
      </c>
      <c r="AN6087" s="15" t="s">
        <v>1388</v>
      </c>
    </row>
    <row r="6088" spans="1:40" x14ac:dyDescent="0.3">
      <c r="A6088" s="10" t="str">
        <f>HYPERLINK("http://www.washoecounty.gov/assessor/cama/?parid=218-041-08&amp;CardNumber=1","218-041-08")</f>
        <v>218-041-08</v>
      </c>
      <c r="B6088" t="s">
        <v>4655</v>
      </c>
      <c r="C6088" t="s">
        <v>29773</v>
      </c>
      <c r="D6088" s="1">
        <v>40235</v>
      </c>
      <c r="E6088" s="2">
        <v>320000</v>
      </c>
      <c r="F6088" t="s">
        <v>4553</v>
      </c>
      <c r="G6088" s="17" t="str">
        <f>HYPERLINK("https://www.washoecounty.gov/assessor/cama/?command=sales&amp;parid=21804108","3853258")</f>
        <v>3853258</v>
      </c>
      <c r="H6088" t="s">
        <v>2306</v>
      </c>
      <c r="I6088">
        <v>1997</v>
      </c>
      <c r="J6088">
        <v>1997</v>
      </c>
      <c r="K6088" t="s">
        <v>4554</v>
      </c>
      <c r="L6088" t="s">
        <v>3974</v>
      </c>
      <c r="M6088" s="2">
        <v>2393</v>
      </c>
      <c r="N6088" t="s">
        <v>3887</v>
      </c>
      <c r="O6088">
        <v>5</v>
      </c>
      <c r="P6088">
        <v>4</v>
      </c>
      <c r="Q6088">
        <v>0</v>
      </c>
      <c r="R6088" t="s">
        <v>4557</v>
      </c>
      <c r="S6088" t="s">
        <v>4898</v>
      </c>
      <c r="T6088" t="s">
        <v>2704</v>
      </c>
      <c r="U6088" t="s">
        <v>5631</v>
      </c>
      <c r="V6088" s="2">
        <v>672</v>
      </c>
      <c r="W6088" t="s">
        <v>3201</v>
      </c>
      <c r="X6088" s="2">
        <v>1203</v>
      </c>
      <c r="Y6088">
        <v>20</v>
      </c>
      <c r="Z6088" t="s">
        <v>1491</v>
      </c>
      <c r="AA6088" s="3">
        <v>0.17100550234317799</v>
      </c>
      <c r="AB6088" t="s">
        <v>29774</v>
      </c>
      <c r="AC6088" t="s">
        <v>4562</v>
      </c>
      <c r="AD6088" t="s">
        <v>29773</v>
      </c>
      <c r="AE6088" t="s">
        <v>4655</v>
      </c>
      <c r="AF6088" t="s">
        <v>4563</v>
      </c>
      <c r="AG6088" t="s">
        <v>4564</v>
      </c>
      <c r="AH6088">
        <v>89509</v>
      </c>
      <c r="AI6088" t="s">
        <v>4655</v>
      </c>
      <c r="AJ6088" t="s">
        <v>2307</v>
      </c>
      <c r="AK6088" t="s">
        <v>29775</v>
      </c>
      <c r="AL6088" s="13" t="s">
        <v>2255</v>
      </c>
      <c r="AM6088">
        <v>1</v>
      </c>
      <c r="AN6088" s="15" t="s">
        <v>1388</v>
      </c>
    </row>
    <row r="6089" spans="1:40" x14ac:dyDescent="0.3">
      <c r="A6089" s="10" t="str">
        <f>HYPERLINK("http://www.washoecounty.gov/assessor/cama/?parid=218-061-04&amp;CardNumber=1","218-061-04")</f>
        <v>218-061-04</v>
      </c>
      <c r="B6089" t="s">
        <v>4655</v>
      </c>
      <c r="C6089" t="s">
        <v>480</v>
      </c>
      <c r="D6089" s="1">
        <v>40358</v>
      </c>
      <c r="E6089" s="2">
        <v>454500</v>
      </c>
      <c r="F6089" t="s">
        <v>4567</v>
      </c>
      <c r="G6089" s="17" t="str">
        <f>HYPERLINK("https://www.washoecounty.gov/assessor/cama/?command=sales&amp;parid=21806104","3896808")</f>
        <v>3896808</v>
      </c>
      <c r="H6089" t="s">
        <v>1327</v>
      </c>
      <c r="I6089">
        <v>1997</v>
      </c>
      <c r="J6089">
        <v>1997</v>
      </c>
      <c r="K6089" t="s">
        <v>4554</v>
      </c>
      <c r="L6089" t="s">
        <v>4555</v>
      </c>
      <c r="M6089" s="2">
        <v>1892</v>
      </c>
      <c r="N6089" t="s">
        <v>1245</v>
      </c>
      <c r="O6089">
        <v>5</v>
      </c>
      <c r="P6089">
        <v>2</v>
      </c>
      <c r="Q6089">
        <v>1</v>
      </c>
      <c r="R6089" t="s">
        <v>5281</v>
      </c>
      <c r="S6089" t="s">
        <v>4898</v>
      </c>
      <c r="T6089" t="s">
        <v>2704</v>
      </c>
      <c r="U6089" t="s">
        <v>4560</v>
      </c>
      <c r="V6089" s="2">
        <v>693</v>
      </c>
      <c r="W6089" t="s">
        <v>3201</v>
      </c>
      <c r="X6089" s="2">
        <v>1898</v>
      </c>
      <c r="Y6089">
        <v>20</v>
      </c>
      <c r="Z6089" t="s">
        <v>1491</v>
      </c>
      <c r="AA6089" s="3">
        <v>0.176010102033615</v>
      </c>
      <c r="AB6089" t="s">
        <v>481</v>
      </c>
      <c r="AC6089" t="s">
        <v>4562</v>
      </c>
      <c r="AD6089" t="s">
        <v>480</v>
      </c>
      <c r="AE6089" t="s">
        <v>4655</v>
      </c>
      <c r="AF6089" t="s">
        <v>4563</v>
      </c>
      <c r="AG6089" t="s">
        <v>4564</v>
      </c>
      <c r="AH6089" t="s">
        <v>2330</v>
      </c>
      <c r="AI6089" t="s">
        <v>29776</v>
      </c>
      <c r="AJ6089" t="s">
        <v>1329</v>
      </c>
      <c r="AK6089" t="s">
        <v>51</v>
      </c>
      <c r="AL6089" s="13" t="s">
        <v>2255</v>
      </c>
      <c r="AM6089" s="14">
        <v>1</v>
      </c>
      <c r="AN6089" s="15" t="s">
        <v>1388</v>
      </c>
    </row>
    <row r="6090" spans="1:40" x14ac:dyDescent="0.3">
      <c r="A6090" s="10" t="str">
        <f>HYPERLINK("http://www.washoecounty.gov/assessor/cama/?parid=218-061-07&amp;CardNumber=1","218-061-07")</f>
        <v>218-061-07</v>
      </c>
      <c r="B6090" t="s">
        <v>4655</v>
      </c>
      <c r="C6090" t="s">
        <v>29777</v>
      </c>
      <c r="D6090" s="1">
        <v>40190</v>
      </c>
      <c r="E6090" s="2">
        <v>500000</v>
      </c>
      <c r="F6090" t="s">
        <v>4567</v>
      </c>
      <c r="G6090" s="17" t="str">
        <f>HYPERLINK("https://www.washoecounty.gov/assessor/cama/?command=sales&amp;parid=21806107","3838458")</f>
        <v>3838458</v>
      </c>
      <c r="H6090" t="s">
        <v>1327</v>
      </c>
      <c r="I6090">
        <v>1998</v>
      </c>
      <c r="J6090">
        <v>1998</v>
      </c>
      <c r="K6090" t="s">
        <v>4554</v>
      </c>
      <c r="L6090" t="s">
        <v>3974</v>
      </c>
      <c r="M6090" s="2">
        <v>3199</v>
      </c>
      <c r="N6090" t="s">
        <v>1245</v>
      </c>
      <c r="O6090">
        <v>6</v>
      </c>
      <c r="P6090">
        <v>4</v>
      </c>
      <c r="Q6090">
        <v>0</v>
      </c>
      <c r="R6090" t="s">
        <v>5281</v>
      </c>
      <c r="S6090" t="s">
        <v>4898</v>
      </c>
      <c r="T6090" t="s">
        <v>2704</v>
      </c>
      <c r="U6090" t="s">
        <v>5631</v>
      </c>
      <c r="V6090" s="2">
        <v>648</v>
      </c>
      <c r="W6090" t="s">
        <v>3201</v>
      </c>
      <c r="X6090" s="2">
        <v>1771</v>
      </c>
      <c r="Y6090">
        <v>20</v>
      </c>
      <c r="Z6090" t="s">
        <v>1491</v>
      </c>
      <c r="AA6090" s="3">
        <v>0.32398989796638489</v>
      </c>
      <c r="AB6090" t="s">
        <v>29778</v>
      </c>
      <c r="AC6090" t="s">
        <v>4562</v>
      </c>
      <c r="AD6090" t="s">
        <v>29777</v>
      </c>
      <c r="AE6090" t="s">
        <v>4655</v>
      </c>
      <c r="AF6090" t="s">
        <v>4563</v>
      </c>
      <c r="AG6090" t="s">
        <v>4564</v>
      </c>
      <c r="AH6090" t="s">
        <v>2330</v>
      </c>
      <c r="AI6090" t="s">
        <v>1328</v>
      </c>
      <c r="AJ6090" t="s">
        <v>1329</v>
      </c>
      <c r="AK6090" t="s">
        <v>29779</v>
      </c>
      <c r="AL6090" s="13" t="s">
        <v>2255</v>
      </c>
      <c r="AM6090">
        <v>1</v>
      </c>
      <c r="AN6090" s="15" t="s">
        <v>1388</v>
      </c>
    </row>
    <row r="6091" spans="1:40" x14ac:dyDescent="0.3">
      <c r="A6091" s="10" t="str">
        <f>HYPERLINK("http://www.washoecounty.gov/assessor/cama/?parid=218-072-05&amp;CardNumber=1","218-072-05")</f>
        <v>218-072-05</v>
      </c>
      <c r="B6091" t="s">
        <v>4655</v>
      </c>
      <c r="C6091" t="s">
        <v>29780</v>
      </c>
      <c r="D6091" s="1">
        <v>40512</v>
      </c>
      <c r="E6091" s="2">
        <v>560000</v>
      </c>
      <c r="F6091" t="s">
        <v>4567</v>
      </c>
      <c r="G6091" s="17" t="str">
        <f>HYPERLINK("https://www.washoecounty.gov/assessor/cama/?command=sales&amp;parid=21807205","3947748")</f>
        <v>3947748</v>
      </c>
      <c r="H6091" t="s">
        <v>29781</v>
      </c>
      <c r="I6091">
        <v>2003</v>
      </c>
      <c r="J6091">
        <v>2003</v>
      </c>
      <c r="K6091" t="s">
        <v>4554</v>
      </c>
      <c r="L6091" t="s">
        <v>3974</v>
      </c>
      <c r="M6091" s="2">
        <v>3167</v>
      </c>
      <c r="N6091" t="s">
        <v>5106</v>
      </c>
      <c r="O6091">
        <v>5</v>
      </c>
      <c r="P6091">
        <v>4</v>
      </c>
      <c r="Q6091">
        <v>0</v>
      </c>
      <c r="R6091" t="s">
        <v>5281</v>
      </c>
      <c r="S6091" t="s">
        <v>4898</v>
      </c>
      <c r="T6091" t="s">
        <v>2704</v>
      </c>
      <c r="U6091" t="s">
        <v>5631</v>
      </c>
      <c r="V6091" s="2">
        <v>853</v>
      </c>
      <c r="W6091" t="s">
        <v>4655</v>
      </c>
      <c r="X6091" s="2">
        <v>0</v>
      </c>
      <c r="Y6091">
        <v>20</v>
      </c>
      <c r="Z6091" t="s">
        <v>1491</v>
      </c>
      <c r="AA6091" s="3">
        <v>0.196005508303642</v>
      </c>
      <c r="AB6091" t="s">
        <v>29782</v>
      </c>
      <c r="AC6091" t="s">
        <v>4562</v>
      </c>
      <c r="AD6091" t="s">
        <v>29780</v>
      </c>
      <c r="AE6091" t="s">
        <v>4655</v>
      </c>
      <c r="AF6091" t="s">
        <v>4563</v>
      </c>
      <c r="AG6091" t="s">
        <v>4564</v>
      </c>
      <c r="AH6091">
        <v>89511</v>
      </c>
      <c r="AI6091" t="s">
        <v>29783</v>
      </c>
      <c r="AJ6091" t="s">
        <v>29784</v>
      </c>
      <c r="AK6091" t="s">
        <v>29785</v>
      </c>
      <c r="AL6091" s="13" t="s">
        <v>2255</v>
      </c>
      <c r="AM6091">
        <v>1</v>
      </c>
      <c r="AN6091" s="15" t="s">
        <v>3018</v>
      </c>
    </row>
    <row r="6092" spans="1:40" x14ac:dyDescent="0.3">
      <c r="A6092" s="10" t="str">
        <f>HYPERLINK("http://www.washoecounty.gov/assessor/cama/?parid=218-101-03&amp;CardNumber=1","218-101-03")</f>
        <v>218-101-03</v>
      </c>
      <c r="B6092" t="s">
        <v>4655</v>
      </c>
      <c r="C6092" t="s">
        <v>29786</v>
      </c>
      <c r="D6092" s="1">
        <v>40445</v>
      </c>
      <c r="E6092" s="2">
        <v>500000</v>
      </c>
      <c r="F6092" t="s">
        <v>4567</v>
      </c>
      <c r="G6092" s="17" t="str">
        <f>HYPERLINK("https://www.washoecounty.gov/assessor/cama/?command=sales&amp;parid=21810103","3926154")</f>
        <v>3926154</v>
      </c>
      <c r="H6092" t="s">
        <v>29787</v>
      </c>
      <c r="I6092">
        <v>1999</v>
      </c>
      <c r="J6092">
        <v>1999</v>
      </c>
      <c r="K6092" t="s">
        <v>4554</v>
      </c>
      <c r="L6092" t="s">
        <v>3974</v>
      </c>
      <c r="M6092" s="2">
        <v>3199</v>
      </c>
      <c r="N6092" t="s">
        <v>1245</v>
      </c>
      <c r="O6092">
        <v>4</v>
      </c>
      <c r="P6092">
        <v>4</v>
      </c>
      <c r="Q6092">
        <v>0</v>
      </c>
      <c r="R6092" t="s">
        <v>5281</v>
      </c>
      <c r="S6092" t="s">
        <v>4898</v>
      </c>
      <c r="T6092" t="s">
        <v>2704</v>
      </c>
      <c r="U6092" t="s">
        <v>5631</v>
      </c>
      <c r="V6092" s="2">
        <v>649</v>
      </c>
      <c r="W6092" t="s">
        <v>3201</v>
      </c>
      <c r="X6092" s="2">
        <v>1771</v>
      </c>
      <c r="Y6092">
        <v>20</v>
      </c>
      <c r="Z6092" t="s">
        <v>1491</v>
      </c>
      <c r="AA6092" s="3">
        <v>0.39699265360832198</v>
      </c>
      <c r="AB6092" t="s">
        <v>29788</v>
      </c>
      <c r="AC6092" t="s">
        <v>4562</v>
      </c>
      <c r="AD6092" t="s">
        <v>29789</v>
      </c>
      <c r="AE6092" t="s">
        <v>4655</v>
      </c>
      <c r="AF6092" t="s">
        <v>4563</v>
      </c>
      <c r="AG6092" t="s">
        <v>4564</v>
      </c>
      <c r="AH6092" t="s">
        <v>2330</v>
      </c>
      <c r="AI6092" t="s">
        <v>29790</v>
      </c>
      <c r="AJ6092" t="s">
        <v>4942</v>
      </c>
      <c r="AK6092" t="s">
        <v>29791</v>
      </c>
      <c r="AL6092" s="13" t="s">
        <v>2255</v>
      </c>
      <c r="AM6092">
        <v>1</v>
      </c>
      <c r="AN6092" s="15" t="s">
        <v>1388</v>
      </c>
    </row>
    <row r="6093" spans="1:40" x14ac:dyDescent="0.3">
      <c r="A6093" s="10" t="str">
        <f>HYPERLINK("http://www.washoecounty.gov/assessor/cama/?parid=218-151-08&amp;CardNumber=1","218-151-08")</f>
        <v>218-151-08</v>
      </c>
      <c r="B6093" t="s">
        <v>4655</v>
      </c>
      <c r="C6093" t="s">
        <v>29792</v>
      </c>
      <c r="D6093" s="1">
        <v>40451</v>
      </c>
      <c r="E6093" s="2">
        <v>1200000</v>
      </c>
      <c r="F6093" t="s">
        <v>4567</v>
      </c>
      <c r="G6093" s="17" t="str">
        <f>HYPERLINK("https://www.washoecounty.gov/assessor/cama/?command=sales&amp;parid=21815108","3928430")</f>
        <v>3928430</v>
      </c>
      <c r="H6093" t="s">
        <v>2308</v>
      </c>
      <c r="I6093">
        <v>2003</v>
      </c>
      <c r="J6093">
        <v>2003</v>
      </c>
      <c r="K6093" t="s">
        <v>4554</v>
      </c>
      <c r="L6093" t="s">
        <v>4555</v>
      </c>
      <c r="M6093" s="2">
        <v>3942</v>
      </c>
      <c r="N6093" t="s">
        <v>4588</v>
      </c>
      <c r="O6093">
        <v>4</v>
      </c>
      <c r="P6093">
        <v>4</v>
      </c>
      <c r="Q6093">
        <v>2</v>
      </c>
      <c r="R6093" t="s">
        <v>2632</v>
      </c>
      <c r="S6093" t="s">
        <v>4898</v>
      </c>
      <c r="T6093" t="s">
        <v>2704</v>
      </c>
      <c r="U6093" t="s">
        <v>4560</v>
      </c>
      <c r="V6093" s="2">
        <v>1193</v>
      </c>
      <c r="W6093" t="s">
        <v>1500</v>
      </c>
      <c r="X6093" s="2">
        <v>3364</v>
      </c>
      <c r="Y6093">
        <v>20</v>
      </c>
      <c r="Z6093" t="s">
        <v>1491</v>
      </c>
      <c r="AA6093" s="3">
        <v>0.43700641393661499</v>
      </c>
      <c r="AB6093" t="s">
        <v>29793</v>
      </c>
      <c r="AC6093" t="s">
        <v>4575</v>
      </c>
      <c r="AD6093" t="s">
        <v>29792</v>
      </c>
      <c r="AE6093" t="s">
        <v>4655</v>
      </c>
      <c r="AF6093" t="s">
        <v>4563</v>
      </c>
      <c r="AG6093" t="s">
        <v>4564</v>
      </c>
      <c r="AH6093" t="s">
        <v>2330</v>
      </c>
      <c r="AI6093" t="s">
        <v>29794</v>
      </c>
      <c r="AJ6093" t="s">
        <v>2309</v>
      </c>
      <c r="AK6093" t="s">
        <v>29795</v>
      </c>
      <c r="AL6093" s="13" t="s">
        <v>2255</v>
      </c>
      <c r="AM6093" s="14">
        <v>1</v>
      </c>
      <c r="AN6093" s="15" t="s">
        <v>2310</v>
      </c>
    </row>
    <row r="6094" spans="1:40" x14ac:dyDescent="0.3">
      <c r="A6094" s="10" t="str">
        <f>HYPERLINK("http://www.washoecounty.gov/assessor/cama/?parid=218-151-11&amp;CardNumber=1","218-151-11")</f>
        <v>218-151-11</v>
      </c>
      <c r="B6094" t="s">
        <v>4655</v>
      </c>
      <c r="C6094" t="s">
        <v>29796</v>
      </c>
      <c r="D6094" s="1">
        <v>40476</v>
      </c>
      <c r="E6094" s="2">
        <v>550000</v>
      </c>
      <c r="F6094" t="s">
        <v>4567</v>
      </c>
      <c r="G6094" s="17" t="str">
        <f>HYPERLINK("https://www.washoecounty.gov/assessor/cama/?command=sales&amp;parid=21815111","3936090")</f>
        <v>3936090</v>
      </c>
      <c r="H6094" t="s">
        <v>29797</v>
      </c>
      <c r="I6094">
        <v>2000</v>
      </c>
      <c r="J6094">
        <v>2000</v>
      </c>
      <c r="K6094" t="s">
        <v>4554</v>
      </c>
      <c r="L6094" t="s">
        <v>4555</v>
      </c>
      <c r="M6094" s="2">
        <v>2761</v>
      </c>
      <c r="N6094" t="s">
        <v>2012</v>
      </c>
      <c r="O6094">
        <v>3</v>
      </c>
      <c r="P6094">
        <v>3</v>
      </c>
      <c r="Q6094">
        <v>1</v>
      </c>
      <c r="R6094" t="s">
        <v>5281</v>
      </c>
      <c r="S6094" t="s">
        <v>4898</v>
      </c>
      <c r="T6094" t="s">
        <v>2704</v>
      </c>
      <c r="U6094" t="s">
        <v>4560</v>
      </c>
      <c r="V6094" s="2">
        <v>785</v>
      </c>
      <c r="W6094" t="s">
        <v>4655</v>
      </c>
      <c r="X6094" s="2">
        <v>0</v>
      </c>
      <c r="Y6094">
        <v>20</v>
      </c>
      <c r="Z6094" t="s">
        <v>1491</v>
      </c>
      <c r="AA6094" s="3">
        <v>0.29201102256774902</v>
      </c>
      <c r="AB6094" t="s">
        <v>29798</v>
      </c>
      <c r="AC6094" t="s">
        <v>4562</v>
      </c>
      <c r="AD6094" t="s">
        <v>29799</v>
      </c>
      <c r="AE6094" t="s">
        <v>4655</v>
      </c>
      <c r="AF6094" t="s">
        <v>4563</v>
      </c>
      <c r="AG6094" t="s">
        <v>4564</v>
      </c>
      <c r="AH6094" t="s">
        <v>2330</v>
      </c>
      <c r="AI6094" t="s">
        <v>29800</v>
      </c>
      <c r="AJ6094" t="s">
        <v>29801</v>
      </c>
      <c r="AK6094" t="s">
        <v>29802</v>
      </c>
      <c r="AL6094" s="13" t="s">
        <v>2255</v>
      </c>
      <c r="AM6094" s="14">
        <v>1</v>
      </c>
      <c r="AN6094" s="15" t="s">
        <v>2310</v>
      </c>
    </row>
    <row r="6095" spans="1:40" x14ac:dyDescent="0.3">
      <c r="A6095" s="10" t="str">
        <f>HYPERLINK("http://www.washoecounty.gov/assessor/cama/?parid=218-161-14&amp;CardNumber=1","218-161-14")</f>
        <v>218-161-14</v>
      </c>
      <c r="B6095" t="s">
        <v>4655</v>
      </c>
      <c r="C6095" t="s">
        <v>2800</v>
      </c>
      <c r="D6095" s="1">
        <v>40337</v>
      </c>
      <c r="E6095" s="2">
        <v>683440</v>
      </c>
      <c r="F6095" t="s">
        <v>4567</v>
      </c>
      <c r="G6095" s="17" t="str">
        <f>HYPERLINK("https://www.washoecounty.gov/assessor/cama/?command=sales&amp;parid=21816114","3889449")</f>
        <v>3889449</v>
      </c>
      <c r="H6095" t="s">
        <v>2308</v>
      </c>
      <c r="I6095">
        <v>2000</v>
      </c>
      <c r="J6095">
        <v>2000</v>
      </c>
      <c r="K6095" t="s">
        <v>4554</v>
      </c>
      <c r="L6095" t="s">
        <v>4555</v>
      </c>
      <c r="M6095" s="2">
        <v>3301</v>
      </c>
      <c r="N6095" t="s">
        <v>2008</v>
      </c>
      <c r="O6095">
        <v>3</v>
      </c>
      <c r="P6095">
        <v>3</v>
      </c>
      <c r="Q6095">
        <v>0</v>
      </c>
      <c r="R6095" t="s">
        <v>5281</v>
      </c>
      <c r="S6095" t="s">
        <v>4898</v>
      </c>
      <c r="T6095" t="s">
        <v>2704</v>
      </c>
      <c r="U6095" t="s">
        <v>4560</v>
      </c>
      <c r="V6095" s="2">
        <v>856</v>
      </c>
      <c r="W6095" t="s">
        <v>4655</v>
      </c>
      <c r="X6095" s="2">
        <v>0</v>
      </c>
      <c r="Y6095">
        <v>20</v>
      </c>
      <c r="Z6095" t="s">
        <v>1491</v>
      </c>
      <c r="AA6095" s="3">
        <v>0.29699265956878662</v>
      </c>
      <c r="AB6095" t="s">
        <v>115</v>
      </c>
      <c r="AC6095" t="s">
        <v>4562</v>
      </c>
      <c r="AD6095" t="s">
        <v>116</v>
      </c>
      <c r="AE6095" t="s">
        <v>4655</v>
      </c>
      <c r="AF6095" t="s">
        <v>4563</v>
      </c>
      <c r="AG6095" t="s">
        <v>4564</v>
      </c>
      <c r="AH6095" t="s">
        <v>2330</v>
      </c>
      <c r="AI6095" t="s">
        <v>2009</v>
      </c>
      <c r="AJ6095" t="s">
        <v>2309</v>
      </c>
      <c r="AK6095" t="s">
        <v>2801</v>
      </c>
      <c r="AL6095" s="13" t="s">
        <v>2255</v>
      </c>
      <c r="AM6095" s="14">
        <v>1</v>
      </c>
      <c r="AN6095" s="15" t="s">
        <v>2310</v>
      </c>
    </row>
    <row r="6096" spans="1:40" x14ac:dyDescent="0.3">
      <c r="A6096" s="10" t="str">
        <f>HYPERLINK("http://www.washoecounty.gov/assessor/cama/?parid=218-162-02&amp;CardNumber=1","218-162-02")</f>
        <v>218-162-02</v>
      </c>
      <c r="B6096" t="s">
        <v>4655</v>
      </c>
      <c r="C6096" t="s">
        <v>29803</v>
      </c>
      <c r="D6096" s="1">
        <v>40233</v>
      </c>
      <c r="E6096" s="2">
        <v>480000</v>
      </c>
      <c r="F6096" t="s">
        <v>4567</v>
      </c>
      <c r="G6096" s="17" t="str">
        <f>HYPERLINK("https://www.washoecounty.gov/assessor/cama/?command=sales&amp;parid=21816202","3852410")</f>
        <v>3852410</v>
      </c>
      <c r="H6096" t="s">
        <v>2308</v>
      </c>
      <c r="I6096">
        <v>1999</v>
      </c>
      <c r="J6096">
        <v>1999</v>
      </c>
      <c r="K6096" t="s">
        <v>4554</v>
      </c>
      <c r="L6096" t="s">
        <v>4555</v>
      </c>
      <c r="M6096" s="2">
        <v>3098</v>
      </c>
      <c r="N6096" t="s">
        <v>5106</v>
      </c>
      <c r="O6096">
        <v>4</v>
      </c>
      <c r="P6096">
        <v>2</v>
      </c>
      <c r="Q6096">
        <v>1</v>
      </c>
      <c r="R6096" t="s">
        <v>5281</v>
      </c>
      <c r="S6096" t="s">
        <v>4898</v>
      </c>
      <c r="T6096" t="s">
        <v>2704</v>
      </c>
      <c r="U6096" t="s">
        <v>4560</v>
      </c>
      <c r="V6096" s="2">
        <v>680</v>
      </c>
      <c r="W6096" t="s">
        <v>4655</v>
      </c>
      <c r="X6096" s="2">
        <v>0</v>
      </c>
      <c r="Y6096">
        <v>20</v>
      </c>
      <c r="Z6096" t="s">
        <v>1491</v>
      </c>
      <c r="AA6096" s="3">
        <v>0.42899447679519653</v>
      </c>
      <c r="AB6096" t="s">
        <v>29804</v>
      </c>
      <c r="AC6096" t="s">
        <v>4562</v>
      </c>
      <c r="AD6096" t="s">
        <v>29803</v>
      </c>
      <c r="AE6096" t="s">
        <v>4655</v>
      </c>
      <c r="AF6096" t="s">
        <v>4563</v>
      </c>
      <c r="AG6096" t="s">
        <v>4564</v>
      </c>
      <c r="AH6096" t="s">
        <v>2330</v>
      </c>
      <c r="AI6096" t="s">
        <v>29805</v>
      </c>
      <c r="AJ6096" t="s">
        <v>2309</v>
      </c>
      <c r="AK6096" t="s">
        <v>29806</v>
      </c>
      <c r="AL6096" s="13" t="s">
        <v>2255</v>
      </c>
      <c r="AM6096">
        <v>1</v>
      </c>
      <c r="AN6096" s="15" t="s">
        <v>2310</v>
      </c>
    </row>
    <row r="6097" spans="1:40" x14ac:dyDescent="0.3">
      <c r="A6097" s="10" t="str">
        <f>HYPERLINK("http://www.washoecounty.gov/assessor/cama/?parid=218-172-01&amp;CardNumber=1","218-172-01")</f>
        <v>218-172-01</v>
      </c>
      <c r="B6097" t="s">
        <v>4655</v>
      </c>
      <c r="C6097" t="s">
        <v>29807</v>
      </c>
      <c r="D6097" s="1">
        <v>40234</v>
      </c>
      <c r="E6097" s="2">
        <v>89000</v>
      </c>
      <c r="F6097" t="s">
        <v>4567</v>
      </c>
      <c r="G6097" s="17" t="str">
        <f>HYPERLINK("https://www.washoecounty.gov/assessor/cama/?command=sales&amp;parid=21817201","3852658")</f>
        <v>3852658</v>
      </c>
      <c r="H6097" t="s">
        <v>2258</v>
      </c>
      <c r="I6097">
        <v>2010</v>
      </c>
      <c r="J6097">
        <v>2010</v>
      </c>
      <c r="K6097" t="s">
        <v>4554</v>
      </c>
      <c r="L6097" t="s">
        <v>4555</v>
      </c>
      <c r="M6097" s="2">
        <v>2491</v>
      </c>
      <c r="N6097" t="s">
        <v>3887</v>
      </c>
      <c r="O6097">
        <v>4</v>
      </c>
      <c r="P6097">
        <v>2</v>
      </c>
      <c r="Q6097">
        <v>1</v>
      </c>
      <c r="R6097" t="s">
        <v>5281</v>
      </c>
      <c r="S6097" t="s">
        <v>4898</v>
      </c>
      <c r="T6097" t="s">
        <v>2704</v>
      </c>
      <c r="U6097" t="s">
        <v>4560</v>
      </c>
      <c r="V6097" s="2">
        <v>761</v>
      </c>
      <c r="W6097" t="s">
        <v>4655</v>
      </c>
      <c r="X6097" s="2">
        <v>0</v>
      </c>
      <c r="Y6097">
        <v>12</v>
      </c>
      <c r="Z6097" t="s">
        <v>5282</v>
      </c>
      <c r="AA6097" s="3">
        <v>0.44400826096534701</v>
      </c>
      <c r="AB6097" t="s">
        <v>5726</v>
      </c>
      <c r="AC6097" t="s">
        <v>4575</v>
      </c>
      <c r="AD6097" t="s">
        <v>5727</v>
      </c>
      <c r="AE6097" t="s">
        <v>4655</v>
      </c>
      <c r="AF6097" t="s">
        <v>4563</v>
      </c>
      <c r="AG6097" t="s">
        <v>4564</v>
      </c>
      <c r="AH6097">
        <v>89509</v>
      </c>
      <c r="AI6097" t="s">
        <v>337</v>
      </c>
      <c r="AJ6097" t="s">
        <v>2259</v>
      </c>
      <c r="AK6097" t="s">
        <v>2242</v>
      </c>
      <c r="AL6097" s="13" t="s">
        <v>2255</v>
      </c>
      <c r="AM6097">
        <v>1</v>
      </c>
      <c r="AN6097" s="15" t="s">
        <v>2243</v>
      </c>
    </row>
    <row r="6098" spans="1:40" x14ac:dyDescent="0.3">
      <c r="A6098" s="10" t="str">
        <f>HYPERLINK("http://www.washoecounty.gov/assessor/cama/?parid=218-212-18&amp;CardNumber=1","218-212-18")</f>
        <v>218-212-18</v>
      </c>
      <c r="B6098" t="s">
        <v>4655</v>
      </c>
      <c r="C6098" t="s">
        <v>29808</v>
      </c>
      <c r="D6098" s="1">
        <v>40199</v>
      </c>
      <c r="E6098" s="2">
        <v>470000</v>
      </c>
      <c r="F6098" t="s">
        <v>4567</v>
      </c>
      <c r="G6098" s="17" t="str">
        <f>HYPERLINK("https://www.washoecounty.gov/assessor/cama/?command=sales&amp;parid=21821218","3841464")</f>
        <v>3841464</v>
      </c>
      <c r="H6098" t="s">
        <v>1389</v>
      </c>
      <c r="I6098">
        <v>2003</v>
      </c>
      <c r="J6098">
        <v>2003</v>
      </c>
      <c r="K6098" t="s">
        <v>4554</v>
      </c>
      <c r="L6098" t="s">
        <v>4555</v>
      </c>
      <c r="M6098" s="2">
        <v>2492</v>
      </c>
      <c r="N6098" t="s">
        <v>5106</v>
      </c>
      <c r="O6098">
        <v>2</v>
      </c>
      <c r="P6098">
        <v>2</v>
      </c>
      <c r="Q6098">
        <v>1</v>
      </c>
      <c r="R6098" t="s">
        <v>5281</v>
      </c>
      <c r="S6098" t="s">
        <v>4898</v>
      </c>
      <c r="T6098" t="s">
        <v>2704</v>
      </c>
      <c r="U6098" t="s">
        <v>4560</v>
      </c>
      <c r="V6098" s="2">
        <v>765</v>
      </c>
      <c r="W6098" t="s">
        <v>4655</v>
      </c>
      <c r="X6098" s="2">
        <v>0</v>
      </c>
      <c r="Y6098">
        <v>20</v>
      </c>
      <c r="Z6098" t="s">
        <v>1491</v>
      </c>
      <c r="AA6098" s="3">
        <v>0.21701101958751701</v>
      </c>
      <c r="AB6098" t="s">
        <v>29809</v>
      </c>
      <c r="AC6098" t="s">
        <v>4575</v>
      </c>
      <c r="AD6098" t="s">
        <v>29810</v>
      </c>
      <c r="AE6098" t="s">
        <v>29811</v>
      </c>
      <c r="AF6098" t="s">
        <v>4563</v>
      </c>
      <c r="AG6098" t="s">
        <v>4564</v>
      </c>
      <c r="AH6098" t="s">
        <v>2330</v>
      </c>
      <c r="AI6098" t="s">
        <v>29812</v>
      </c>
      <c r="AJ6098" t="s">
        <v>551</v>
      </c>
      <c r="AK6098" t="s">
        <v>29813</v>
      </c>
      <c r="AL6098" s="13" t="s">
        <v>2255</v>
      </c>
      <c r="AM6098" s="14">
        <v>1</v>
      </c>
      <c r="AN6098" s="15" t="s">
        <v>3018</v>
      </c>
    </row>
    <row r="6099" spans="1:40" x14ac:dyDescent="0.3">
      <c r="A6099" s="10" t="str">
        <f>HYPERLINK("http://www.washoecounty.gov/assessor/cama/?parid=218-240-02&amp;CardNumber=1","218-240-02")</f>
        <v>218-240-02</v>
      </c>
      <c r="B6099" t="s">
        <v>4655</v>
      </c>
      <c r="C6099" t="s">
        <v>29814</v>
      </c>
      <c r="D6099" s="1">
        <v>40452</v>
      </c>
      <c r="E6099" s="2">
        <v>610000</v>
      </c>
      <c r="F6099" t="s">
        <v>4567</v>
      </c>
      <c r="G6099" s="17" t="str">
        <f>HYPERLINK("https://www.washoecounty.gov/assessor/cama/?command=sales&amp;parid=21824002","3928883")</f>
        <v>3928883</v>
      </c>
      <c r="H6099" t="s">
        <v>5339</v>
      </c>
      <c r="I6099">
        <v>2003</v>
      </c>
      <c r="J6099">
        <v>2003</v>
      </c>
      <c r="K6099" t="s">
        <v>4554</v>
      </c>
      <c r="L6099" t="s">
        <v>4555</v>
      </c>
      <c r="M6099" s="2">
        <v>2447</v>
      </c>
      <c r="N6099" t="s">
        <v>5106</v>
      </c>
      <c r="O6099">
        <v>4</v>
      </c>
      <c r="P6099">
        <v>3</v>
      </c>
      <c r="Q6099">
        <v>1</v>
      </c>
      <c r="R6099" t="s">
        <v>5281</v>
      </c>
      <c r="S6099" t="s">
        <v>4898</v>
      </c>
      <c r="T6099" t="s">
        <v>2704</v>
      </c>
      <c r="U6099" t="s">
        <v>4560</v>
      </c>
      <c r="V6099" s="2">
        <v>827</v>
      </c>
      <c r="W6099" t="s">
        <v>4571</v>
      </c>
      <c r="X6099" s="2">
        <v>1461</v>
      </c>
      <c r="Y6099">
        <v>20</v>
      </c>
      <c r="Z6099" t="s">
        <v>1491</v>
      </c>
      <c r="AA6099" s="3">
        <v>0.24846188724040999</v>
      </c>
      <c r="AB6099" t="s">
        <v>29815</v>
      </c>
      <c r="AC6099" t="s">
        <v>4562</v>
      </c>
      <c r="AD6099" t="s">
        <v>29814</v>
      </c>
      <c r="AE6099" t="s">
        <v>4655</v>
      </c>
      <c r="AF6099" t="s">
        <v>4563</v>
      </c>
      <c r="AG6099" t="s">
        <v>4564</v>
      </c>
      <c r="AH6099" t="s">
        <v>2330</v>
      </c>
      <c r="AI6099" t="s">
        <v>17421</v>
      </c>
      <c r="AJ6099" t="s">
        <v>4655</v>
      </c>
      <c r="AK6099" t="s">
        <v>29816</v>
      </c>
      <c r="AL6099" s="13" t="s">
        <v>2255</v>
      </c>
      <c r="AM6099" s="14">
        <v>1</v>
      </c>
      <c r="AN6099" s="15" t="s">
        <v>3018</v>
      </c>
    </row>
    <row r="6100" spans="1:40" x14ac:dyDescent="0.3">
      <c r="A6100" s="10" t="str">
        <f>HYPERLINK("http://www.washoecounty.gov/assessor/cama/?parid=218-240-04&amp;CardNumber=1","218-240-04")</f>
        <v>218-240-04</v>
      </c>
      <c r="B6100" t="s">
        <v>4655</v>
      </c>
      <c r="C6100" t="s">
        <v>29817</v>
      </c>
      <c r="D6100" s="1">
        <v>40492</v>
      </c>
      <c r="E6100" s="2">
        <v>507000</v>
      </c>
      <c r="F6100" t="s">
        <v>4553</v>
      </c>
      <c r="G6100" s="17" t="str">
        <f>HYPERLINK("https://www.washoecounty.gov/assessor/cama/?command=sales&amp;parid=21824004","3941691")</f>
        <v>3941691</v>
      </c>
      <c r="H6100" t="s">
        <v>5339</v>
      </c>
      <c r="I6100">
        <v>2002</v>
      </c>
      <c r="J6100">
        <v>2002</v>
      </c>
      <c r="K6100" t="s">
        <v>4554</v>
      </c>
      <c r="L6100" t="s">
        <v>4555</v>
      </c>
      <c r="M6100" s="2">
        <v>2761</v>
      </c>
      <c r="N6100" t="s">
        <v>5106</v>
      </c>
      <c r="O6100">
        <v>4</v>
      </c>
      <c r="P6100">
        <v>4</v>
      </c>
      <c r="Q6100">
        <v>1</v>
      </c>
      <c r="R6100" t="s">
        <v>5281</v>
      </c>
      <c r="S6100" t="s">
        <v>4898</v>
      </c>
      <c r="T6100" t="s">
        <v>2704</v>
      </c>
      <c r="U6100" t="s">
        <v>4560</v>
      </c>
      <c r="V6100" s="2">
        <v>785</v>
      </c>
      <c r="W6100" t="s">
        <v>4571</v>
      </c>
      <c r="X6100" s="2">
        <v>1428</v>
      </c>
      <c r="Y6100">
        <v>20</v>
      </c>
      <c r="Z6100" t="s">
        <v>1491</v>
      </c>
      <c r="AA6100" s="3">
        <v>0.33438935875892639</v>
      </c>
      <c r="AB6100" t="s">
        <v>29818</v>
      </c>
      <c r="AC6100" t="s">
        <v>4562</v>
      </c>
      <c r="AD6100" t="s">
        <v>29817</v>
      </c>
      <c r="AE6100" t="s">
        <v>4655</v>
      </c>
      <c r="AF6100" t="s">
        <v>4563</v>
      </c>
      <c r="AG6100" t="s">
        <v>4564</v>
      </c>
      <c r="AH6100">
        <v>89509</v>
      </c>
      <c r="AI6100" t="s">
        <v>4045</v>
      </c>
      <c r="AJ6100" t="s">
        <v>4655</v>
      </c>
      <c r="AK6100" t="s">
        <v>29819</v>
      </c>
      <c r="AL6100" s="13" t="s">
        <v>2255</v>
      </c>
      <c r="AM6100">
        <v>1</v>
      </c>
      <c r="AN6100" s="15" t="s">
        <v>3018</v>
      </c>
    </row>
    <row r="6101" spans="1:40" x14ac:dyDescent="0.3">
      <c r="A6101" s="10" t="str">
        <f>HYPERLINK("http://www.washoecounty.gov/assessor/cama/?parid=220-040-09&amp;CardNumber=1","220-040-09")</f>
        <v>220-040-09</v>
      </c>
      <c r="B6101" t="s">
        <v>4655</v>
      </c>
      <c r="C6101" t="s">
        <v>29820</v>
      </c>
      <c r="D6101" s="1">
        <v>40198</v>
      </c>
      <c r="E6101" s="2">
        <v>1275000</v>
      </c>
      <c r="F6101" t="s">
        <v>4567</v>
      </c>
      <c r="G6101" s="17" t="str">
        <f>HYPERLINK("https://www.washoecounty.gov/assessor/cama/?command=sales&amp;parid=22004009","3841093")</f>
        <v>3841093</v>
      </c>
      <c r="H6101" t="s">
        <v>985</v>
      </c>
      <c r="I6101">
        <v>1991</v>
      </c>
      <c r="J6101">
        <v>1991</v>
      </c>
      <c r="K6101" t="s">
        <v>4554</v>
      </c>
      <c r="L6101" t="s">
        <v>4555</v>
      </c>
      <c r="M6101" s="2">
        <v>4180</v>
      </c>
      <c r="N6101" t="s">
        <v>2008</v>
      </c>
      <c r="O6101">
        <v>4</v>
      </c>
      <c r="P6101">
        <v>3</v>
      </c>
      <c r="Q6101">
        <v>0</v>
      </c>
      <c r="R6101" t="s">
        <v>5281</v>
      </c>
      <c r="S6101" t="s">
        <v>4898</v>
      </c>
      <c r="T6101" t="s">
        <v>2704</v>
      </c>
      <c r="U6101" t="s">
        <v>4560</v>
      </c>
      <c r="V6101" s="2">
        <v>736</v>
      </c>
      <c r="W6101" t="s">
        <v>4655</v>
      </c>
      <c r="X6101" s="2">
        <v>0</v>
      </c>
      <c r="Y6101">
        <v>20</v>
      </c>
      <c r="Z6101" t="s">
        <v>3884</v>
      </c>
      <c r="AA6101" s="3">
        <v>0.93700641393661399</v>
      </c>
      <c r="AB6101" t="s">
        <v>29821</v>
      </c>
      <c r="AC6101" t="s">
        <v>4575</v>
      </c>
      <c r="AD6101" t="s">
        <v>29820</v>
      </c>
      <c r="AE6101" t="s">
        <v>4655</v>
      </c>
      <c r="AF6101" t="s">
        <v>4563</v>
      </c>
      <c r="AG6101" t="s">
        <v>4564</v>
      </c>
      <c r="AH6101" t="s">
        <v>2330</v>
      </c>
      <c r="AI6101" t="s">
        <v>29822</v>
      </c>
      <c r="AJ6101" t="s">
        <v>29823</v>
      </c>
      <c r="AK6101" t="s">
        <v>29824</v>
      </c>
      <c r="AL6101" s="13" t="s">
        <v>1889</v>
      </c>
      <c r="AM6101">
        <v>1</v>
      </c>
      <c r="AN6101" s="15" t="s">
        <v>986</v>
      </c>
    </row>
    <row r="6102" spans="1:40" x14ac:dyDescent="0.3">
      <c r="A6102" s="10" t="str">
        <f>HYPERLINK("http://www.washoecounty.gov/assessor/cama/?parid=220-071-02&amp;CardNumber=1","220-071-02")</f>
        <v>220-071-02</v>
      </c>
      <c r="B6102" t="s">
        <v>4655</v>
      </c>
      <c r="C6102" t="s">
        <v>29825</v>
      </c>
      <c r="D6102" s="1">
        <v>40198</v>
      </c>
      <c r="E6102" s="2">
        <v>600000</v>
      </c>
      <c r="F6102" t="s">
        <v>4567</v>
      </c>
      <c r="G6102" s="17" t="str">
        <f>HYPERLINK("https://www.washoecounty.gov/assessor/cama/?command=sales&amp;parid=22007102","3841256")</f>
        <v>3841256</v>
      </c>
      <c r="H6102" t="s">
        <v>987</v>
      </c>
      <c r="I6102">
        <v>1989</v>
      </c>
      <c r="J6102">
        <v>1989</v>
      </c>
      <c r="K6102" t="s">
        <v>4554</v>
      </c>
      <c r="L6102" t="s">
        <v>4555</v>
      </c>
      <c r="M6102" s="2">
        <v>3449</v>
      </c>
      <c r="N6102" t="s">
        <v>2012</v>
      </c>
      <c r="O6102">
        <v>4</v>
      </c>
      <c r="P6102">
        <v>3</v>
      </c>
      <c r="Q6102">
        <v>0</v>
      </c>
      <c r="R6102" t="s">
        <v>5281</v>
      </c>
      <c r="S6102" t="s">
        <v>4135</v>
      </c>
      <c r="T6102" t="s">
        <v>4143</v>
      </c>
      <c r="U6102" t="s">
        <v>5631</v>
      </c>
      <c r="V6102" s="2">
        <v>786</v>
      </c>
      <c r="W6102" t="s">
        <v>4655</v>
      </c>
      <c r="X6102" s="2">
        <v>0</v>
      </c>
      <c r="Y6102">
        <v>20</v>
      </c>
      <c r="Z6102" t="s">
        <v>5508</v>
      </c>
      <c r="AA6102" s="3">
        <v>0.592998147010803</v>
      </c>
      <c r="AB6102" t="s">
        <v>29826</v>
      </c>
      <c r="AC6102" t="s">
        <v>4575</v>
      </c>
      <c r="AD6102" t="s">
        <v>29827</v>
      </c>
      <c r="AE6102" t="s">
        <v>29828</v>
      </c>
      <c r="AF6102" t="s">
        <v>4563</v>
      </c>
      <c r="AG6102" t="s">
        <v>4564</v>
      </c>
      <c r="AH6102" t="s">
        <v>1147</v>
      </c>
      <c r="AI6102" t="s">
        <v>29829</v>
      </c>
      <c r="AJ6102" t="s">
        <v>29830</v>
      </c>
      <c r="AK6102" t="s">
        <v>29831</v>
      </c>
      <c r="AL6102" s="13" t="s">
        <v>1889</v>
      </c>
      <c r="AM6102" s="14">
        <v>1</v>
      </c>
      <c r="AN6102" s="15" t="s">
        <v>986</v>
      </c>
    </row>
    <row r="6103" spans="1:40" x14ac:dyDescent="0.3">
      <c r="A6103" s="10" t="str">
        <f>HYPERLINK("http://www.washoecounty.gov/assessor/cama/?parid=220-072-13&amp;CardNumber=1","220-072-13")</f>
        <v>220-072-13</v>
      </c>
      <c r="B6103" t="s">
        <v>4655</v>
      </c>
      <c r="C6103" t="s">
        <v>29832</v>
      </c>
      <c r="D6103" s="1">
        <v>40238</v>
      </c>
      <c r="E6103" s="2">
        <v>860000</v>
      </c>
      <c r="F6103" t="s">
        <v>4567</v>
      </c>
      <c r="G6103" s="17" t="str">
        <f>HYPERLINK("https://www.washoecounty.gov/assessor/cama/?command=sales&amp;parid=22007213","3853693")</f>
        <v>3853693</v>
      </c>
      <c r="H6103" t="s">
        <v>2244</v>
      </c>
      <c r="I6103">
        <v>1991</v>
      </c>
      <c r="J6103">
        <v>1991</v>
      </c>
      <c r="K6103" t="s">
        <v>4554</v>
      </c>
      <c r="L6103" t="s">
        <v>4555</v>
      </c>
      <c r="M6103" s="2">
        <v>4201</v>
      </c>
      <c r="N6103" t="s">
        <v>8283</v>
      </c>
      <c r="O6103">
        <v>4</v>
      </c>
      <c r="P6103">
        <v>4</v>
      </c>
      <c r="Q6103">
        <v>0</v>
      </c>
      <c r="R6103" t="s">
        <v>5281</v>
      </c>
      <c r="S6103" t="s">
        <v>4570</v>
      </c>
      <c r="T6103" t="s">
        <v>2704</v>
      </c>
      <c r="U6103" t="s">
        <v>4560</v>
      </c>
      <c r="V6103" s="2">
        <v>1099</v>
      </c>
      <c r="W6103" t="s">
        <v>3201</v>
      </c>
      <c r="X6103" s="2">
        <v>1962</v>
      </c>
      <c r="Y6103">
        <v>20</v>
      </c>
      <c r="Z6103" t="s">
        <v>5508</v>
      </c>
      <c r="AA6103" s="3">
        <v>0.56000918149948098</v>
      </c>
      <c r="AB6103" t="s">
        <v>29833</v>
      </c>
      <c r="AC6103" t="s">
        <v>4562</v>
      </c>
      <c r="AD6103" t="s">
        <v>29834</v>
      </c>
      <c r="AE6103" t="s">
        <v>4655</v>
      </c>
      <c r="AF6103" t="s">
        <v>29835</v>
      </c>
      <c r="AG6103" t="s">
        <v>1539</v>
      </c>
      <c r="AH6103">
        <v>98203</v>
      </c>
      <c r="AI6103" t="s">
        <v>4655</v>
      </c>
      <c r="AJ6103" t="s">
        <v>29836</v>
      </c>
      <c r="AK6103" t="s">
        <v>29837</v>
      </c>
      <c r="AL6103" s="13" t="s">
        <v>1889</v>
      </c>
      <c r="AM6103" s="14">
        <v>1</v>
      </c>
      <c r="AN6103" s="15" t="s">
        <v>986</v>
      </c>
    </row>
    <row r="6104" spans="1:40" x14ac:dyDescent="0.3">
      <c r="A6104" s="10" t="str">
        <f>HYPERLINK("http://www.washoecounty.gov/assessor/cama/?parid=220-072-25&amp;CardNumber=1","220-072-25")</f>
        <v>220-072-25</v>
      </c>
      <c r="B6104" t="s">
        <v>4655</v>
      </c>
      <c r="C6104" t="s">
        <v>29838</v>
      </c>
      <c r="D6104" s="1">
        <v>40256</v>
      </c>
      <c r="E6104" s="2">
        <v>540000</v>
      </c>
      <c r="F6104" t="s">
        <v>4567</v>
      </c>
      <c r="G6104" s="17" t="str">
        <f>HYPERLINK("https://www.washoecounty.gov/assessor/cama/?command=sales&amp;parid=22007225","3861725")</f>
        <v>3861725</v>
      </c>
      <c r="H6104" t="s">
        <v>29839</v>
      </c>
      <c r="I6104">
        <v>1989</v>
      </c>
      <c r="J6104">
        <v>1989</v>
      </c>
      <c r="K6104" t="s">
        <v>4554</v>
      </c>
      <c r="L6104" t="s">
        <v>4555</v>
      </c>
      <c r="M6104" s="2">
        <v>2956</v>
      </c>
      <c r="N6104" t="s">
        <v>5106</v>
      </c>
      <c r="O6104">
        <v>2</v>
      </c>
      <c r="P6104">
        <v>2</v>
      </c>
      <c r="Q6104">
        <v>1</v>
      </c>
      <c r="R6104" t="s">
        <v>5281</v>
      </c>
      <c r="S6104" t="s">
        <v>4135</v>
      </c>
      <c r="T6104" t="s">
        <v>4143</v>
      </c>
      <c r="U6104" t="s">
        <v>4655</v>
      </c>
      <c r="V6104" s="2">
        <v>0</v>
      </c>
      <c r="W6104" t="s">
        <v>4655</v>
      </c>
      <c r="X6104" s="2">
        <v>0</v>
      </c>
      <c r="Y6104">
        <v>20</v>
      </c>
      <c r="Z6104" t="s">
        <v>5508</v>
      </c>
      <c r="AA6104" s="3">
        <v>0.34999999403953602</v>
      </c>
      <c r="AB6104" t="s">
        <v>29840</v>
      </c>
      <c r="AC6104" t="s">
        <v>4575</v>
      </c>
      <c r="AD6104" t="s">
        <v>29841</v>
      </c>
      <c r="AE6104" t="s">
        <v>4655</v>
      </c>
      <c r="AF6104" t="s">
        <v>4563</v>
      </c>
      <c r="AG6104" t="s">
        <v>4564</v>
      </c>
      <c r="AH6104" t="s">
        <v>2330</v>
      </c>
      <c r="AI6104" t="s">
        <v>29842</v>
      </c>
      <c r="AJ6104" t="s">
        <v>29843</v>
      </c>
      <c r="AK6104" t="s">
        <v>29844</v>
      </c>
      <c r="AL6104" s="13" t="s">
        <v>1889</v>
      </c>
      <c r="AM6104" s="14">
        <v>1</v>
      </c>
      <c r="AN6104" s="15" t="s">
        <v>986</v>
      </c>
    </row>
    <row r="6105" spans="1:40" x14ac:dyDescent="0.3">
      <c r="A6105" s="10" t="str">
        <f>HYPERLINK("http://www.washoecounty.gov/assessor/cama/?parid=220-093-09&amp;CardNumber=1","220-093-09")</f>
        <v>220-093-09</v>
      </c>
      <c r="B6105" t="s">
        <v>4655</v>
      </c>
      <c r="C6105" t="s">
        <v>29845</v>
      </c>
      <c r="D6105" s="1">
        <v>40214</v>
      </c>
      <c r="E6105" s="2">
        <v>320000</v>
      </c>
      <c r="F6105" t="s">
        <v>4553</v>
      </c>
      <c r="G6105" s="17" t="str">
        <f>HYPERLINK("https://www.washoecounty.gov/assessor/cama/?command=sales&amp;parid=22009309","3846390")</f>
        <v>3846390</v>
      </c>
      <c r="H6105" t="s">
        <v>1401</v>
      </c>
      <c r="I6105">
        <v>1994</v>
      </c>
      <c r="J6105">
        <v>1994</v>
      </c>
      <c r="K6105" t="s">
        <v>4554</v>
      </c>
      <c r="L6105" t="s">
        <v>4555</v>
      </c>
      <c r="M6105" s="2">
        <v>2600</v>
      </c>
      <c r="N6105" t="s">
        <v>1245</v>
      </c>
      <c r="O6105">
        <v>3</v>
      </c>
      <c r="P6105">
        <v>2</v>
      </c>
      <c r="Q6105">
        <v>0</v>
      </c>
      <c r="R6105" t="s">
        <v>5281</v>
      </c>
      <c r="S6105" t="s">
        <v>4135</v>
      </c>
      <c r="T6105" t="s">
        <v>2704</v>
      </c>
      <c r="U6105" t="s">
        <v>4560</v>
      </c>
      <c r="V6105" s="2">
        <v>698</v>
      </c>
      <c r="W6105" t="s">
        <v>4655</v>
      </c>
      <c r="X6105" s="2">
        <v>0</v>
      </c>
      <c r="Y6105">
        <v>20</v>
      </c>
      <c r="Z6105" t="s">
        <v>1491</v>
      </c>
      <c r="AA6105" s="3">
        <v>0.34201100468635598</v>
      </c>
      <c r="AB6105" t="s">
        <v>29846</v>
      </c>
      <c r="AC6105" t="s">
        <v>4575</v>
      </c>
      <c r="AD6105" t="s">
        <v>29847</v>
      </c>
      <c r="AE6105" t="s">
        <v>4655</v>
      </c>
      <c r="AF6105" t="s">
        <v>4563</v>
      </c>
      <c r="AG6105" t="s">
        <v>4564</v>
      </c>
      <c r="AH6105" t="s">
        <v>2330</v>
      </c>
      <c r="AI6105" t="s">
        <v>2009</v>
      </c>
      <c r="AJ6105" t="s">
        <v>29848</v>
      </c>
      <c r="AK6105" t="s">
        <v>29849</v>
      </c>
      <c r="AL6105" s="13" t="s">
        <v>2255</v>
      </c>
      <c r="AM6105">
        <v>1</v>
      </c>
      <c r="AN6105" s="15" t="s">
        <v>2184</v>
      </c>
    </row>
    <row r="6106" spans="1:40" x14ac:dyDescent="0.3">
      <c r="A6106" s="10" t="str">
        <f>HYPERLINK("http://www.washoecounty.gov/assessor/cama/?parid=220-101-06&amp;CardNumber=1","220-101-06")</f>
        <v>220-101-06</v>
      </c>
      <c r="B6106" t="s">
        <v>4655</v>
      </c>
      <c r="C6106" t="s">
        <v>29850</v>
      </c>
      <c r="D6106" s="1">
        <v>40228</v>
      </c>
      <c r="E6106" s="2">
        <v>565000</v>
      </c>
      <c r="F6106" t="s">
        <v>4567</v>
      </c>
      <c r="G6106" s="17" t="str">
        <f>HYPERLINK("https://www.washoecounty.gov/assessor/cama/?command=sales&amp;parid=22010106","3851019")</f>
        <v>3851019</v>
      </c>
      <c r="H6106" t="s">
        <v>1464</v>
      </c>
      <c r="I6106">
        <v>1998</v>
      </c>
      <c r="J6106">
        <v>1998</v>
      </c>
      <c r="K6106" t="s">
        <v>4554</v>
      </c>
      <c r="L6106" t="s">
        <v>4555</v>
      </c>
      <c r="M6106" s="2">
        <v>2275</v>
      </c>
      <c r="N6106" t="s">
        <v>5106</v>
      </c>
      <c r="O6106">
        <v>3</v>
      </c>
      <c r="P6106">
        <v>3</v>
      </c>
      <c r="Q6106">
        <v>1</v>
      </c>
      <c r="R6106" t="s">
        <v>5281</v>
      </c>
      <c r="S6106" t="s">
        <v>4570</v>
      </c>
      <c r="T6106" t="s">
        <v>2704</v>
      </c>
      <c r="U6106" t="s">
        <v>4560</v>
      </c>
      <c r="V6106" s="2">
        <v>784</v>
      </c>
      <c r="W6106" t="s">
        <v>3201</v>
      </c>
      <c r="X6106" s="2">
        <v>1317</v>
      </c>
      <c r="Y6106">
        <v>20</v>
      </c>
      <c r="Z6106" t="s">
        <v>1491</v>
      </c>
      <c r="AA6106" s="3">
        <v>0.27601009607315102</v>
      </c>
      <c r="AB6106" t="s">
        <v>29851</v>
      </c>
      <c r="AC6106" t="s">
        <v>4562</v>
      </c>
      <c r="AD6106" t="s">
        <v>29852</v>
      </c>
      <c r="AE6106" t="s">
        <v>4655</v>
      </c>
      <c r="AF6106" t="s">
        <v>4054</v>
      </c>
      <c r="AG6106" t="s">
        <v>4564</v>
      </c>
      <c r="AH6106" t="s">
        <v>5275</v>
      </c>
      <c r="AI6106" t="s">
        <v>29853</v>
      </c>
      <c r="AJ6106" t="s">
        <v>1465</v>
      </c>
      <c r="AK6106" t="s">
        <v>29854</v>
      </c>
      <c r="AL6106" s="13" t="s">
        <v>2255</v>
      </c>
      <c r="AM6106" s="14">
        <v>1</v>
      </c>
      <c r="AN6106" s="15" t="s">
        <v>2184</v>
      </c>
    </row>
    <row r="6107" spans="1:40" x14ac:dyDescent="0.3">
      <c r="A6107" s="10" t="str">
        <f>HYPERLINK("http://www.washoecounty.gov/assessor/cama/?parid=220-101-06&amp;CardNumber=1","220-101-06")</f>
        <v>220-101-06</v>
      </c>
      <c r="B6107" t="s">
        <v>4655</v>
      </c>
      <c r="C6107" t="s">
        <v>29850</v>
      </c>
      <c r="D6107" s="1">
        <v>40539</v>
      </c>
      <c r="E6107" s="2">
        <v>562000</v>
      </c>
      <c r="F6107" t="s">
        <v>4567</v>
      </c>
      <c r="G6107" s="17" t="str">
        <f>HYPERLINK("https://www.washoecounty.gov/assessor/cama/?command=sales&amp;parid=22010106","3957686")</f>
        <v>3957686</v>
      </c>
      <c r="H6107" t="s">
        <v>1464</v>
      </c>
      <c r="I6107">
        <v>1998</v>
      </c>
      <c r="J6107">
        <v>1998</v>
      </c>
      <c r="K6107" t="s">
        <v>4554</v>
      </c>
      <c r="L6107" t="s">
        <v>4555</v>
      </c>
      <c r="M6107" s="2">
        <v>2275</v>
      </c>
      <c r="N6107" t="s">
        <v>5106</v>
      </c>
      <c r="O6107">
        <v>3</v>
      </c>
      <c r="P6107">
        <v>3</v>
      </c>
      <c r="Q6107">
        <v>1</v>
      </c>
      <c r="R6107" t="s">
        <v>5281</v>
      </c>
      <c r="S6107" t="s">
        <v>4570</v>
      </c>
      <c r="T6107" t="s">
        <v>2704</v>
      </c>
      <c r="U6107" t="s">
        <v>4560</v>
      </c>
      <c r="V6107" s="2">
        <v>784</v>
      </c>
      <c r="W6107" t="s">
        <v>3201</v>
      </c>
      <c r="X6107" s="2">
        <v>1317</v>
      </c>
      <c r="Y6107">
        <v>20</v>
      </c>
      <c r="Z6107" t="s">
        <v>1491</v>
      </c>
      <c r="AA6107" s="3">
        <v>0.27601009607315102</v>
      </c>
      <c r="AB6107" t="s">
        <v>29851</v>
      </c>
      <c r="AC6107" t="s">
        <v>4562</v>
      </c>
      <c r="AD6107" t="s">
        <v>29852</v>
      </c>
      <c r="AE6107" t="s">
        <v>4655</v>
      </c>
      <c r="AF6107" t="s">
        <v>4054</v>
      </c>
      <c r="AG6107" t="s">
        <v>4564</v>
      </c>
      <c r="AH6107" t="s">
        <v>5275</v>
      </c>
      <c r="AI6107" t="s">
        <v>29853</v>
      </c>
      <c r="AJ6107" t="s">
        <v>1465</v>
      </c>
      <c r="AK6107" t="s">
        <v>29854</v>
      </c>
      <c r="AL6107" s="13" t="s">
        <v>2255</v>
      </c>
      <c r="AM6107" s="14">
        <v>1</v>
      </c>
      <c r="AN6107" s="15" t="s">
        <v>2184</v>
      </c>
    </row>
    <row r="6108" spans="1:40" x14ac:dyDescent="0.3">
      <c r="A6108" s="10" t="str">
        <f>HYPERLINK("http://www.washoecounty.gov/assessor/cama/?parid=220-101-10&amp;CardNumber=1","220-101-10")</f>
        <v>220-101-10</v>
      </c>
      <c r="B6108" t="s">
        <v>4655</v>
      </c>
      <c r="C6108" t="s">
        <v>29855</v>
      </c>
      <c r="D6108" s="1">
        <v>40389</v>
      </c>
      <c r="E6108" s="2">
        <v>545000</v>
      </c>
      <c r="F6108" t="s">
        <v>4567</v>
      </c>
      <c r="G6108" s="17" t="str">
        <f>HYPERLINK("https://www.washoecounty.gov/assessor/cama/?command=sales&amp;parid=22010110","3907212")</f>
        <v>3907212</v>
      </c>
      <c r="H6108" t="s">
        <v>1464</v>
      </c>
      <c r="I6108">
        <v>1997</v>
      </c>
      <c r="J6108">
        <v>1997</v>
      </c>
      <c r="K6108" t="s">
        <v>4554</v>
      </c>
      <c r="L6108" t="s">
        <v>4555</v>
      </c>
      <c r="M6108" s="2">
        <v>2270</v>
      </c>
      <c r="N6108" t="s">
        <v>5106</v>
      </c>
      <c r="O6108">
        <v>4</v>
      </c>
      <c r="P6108">
        <v>3</v>
      </c>
      <c r="Q6108">
        <v>1</v>
      </c>
      <c r="R6108" t="s">
        <v>5281</v>
      </c>
      <c r="S6108" t="s">
        <v>4135</v>
      </c>
      <c r="T6108" t="s">
        <v>2704</v>
      </c>
      <c r="U6108" t="s">
        <v>4560</v>
      </c>
      <c r="V6108" s="2">
        <v>758</v>
      </c>
      <c r="W6108" t="s">
        <v>3201</v>
      </c>
      <c r="X6108" s="2">
        <v>1316</v>
      </c>
      <c r="Y6108">
        <v>20</v>
      </c>
      <c r="Z6108" t="s">
        <v>1491</v>
      </c>
      <c r="AA6108" s="3">
        <v>0.31900826096534701</v>
      </c>
      <c r="AB6108" t="s">
        <v>17507</v>
      </c>
      <c r="AC6108" t="s">
        <v>4562</v>
      </c>
      <c r="AD6108" t="s">
        <v>29855</v>
      </c>
      <c r="AE6108" t="s">
        <v>4655</v>
      </c>
      <c r="AF6108" t="s">
        <v>4563</v>
      </c>
      <c r="AG6108" t="s">
        <v>4564</v>
      </c>
      <c r="AH6108" t="s">
        <v>2330</v>
      </c>
      <c r="AI6108" t="s">
        <v>29856</v>
      </c>
      <c r="AJ6108" t="s">
        <v>1465</v>
      </c>
      <c r="AK6108" t="s">
        <v>29857</v>
      </c>
      <c r="AL6108" s="13" t="s">
        <v>2255</v>
      </c>
      <c r="AM6108" s="14">
        <v>1</v>
      </c>
      <c r="AN6108" s="15" t="s">
        <v>2184</v>
      </c>
    </row>
    <row r="6109" spans="1:40" x14ac:dyDescent="0.3">
      <c r="A6109" s="10" t="str">
        <f>HYPERLINK("http://www.washoecounty.gov/assessor/cama/?parid=220-151-06&amp;CardNumber=1","220-151-06")</f>
        <v>220-151-06</v>
      </c>
      <c r="B6109" t="s">
        <v>4655</v>
      </c>
      <c r="C6109" t="s">
        <v>29858</v>
      </c>
      <c r="D6109" s="1">
        <v>40347</v>
      </c>
      <c r="E6109" s="2">
        <v>355000</v>
      </c>
      <c r="F6109" t="s">
        <v>4567</v>
      </c>
      <c r="G6109" s="17" t="str">
        <f>HYPERLINK("https://www.washoecounty.gov/assessor/cama/?command=sales&amp;parid=22015106","3893245")</f>
        <v>3893245</v>
      </c>
      <c r="H6109" t="s">
        <v>3725</v>
      </c>
      <c r="I6109">
        <v>2000</v>
      </c>
      <c r="J6109">
        <v>2000</v>
      </c>
      <c r="K6109" t="s">
        <v>4554</v>
      </c>
      <c r="L6109" t="s">
        <v>4555</v>
      </c>
      <c r="M6109" s="2">
        <v>1958</v>
      </c>
      <c r="N6109" t="s">
        <v>3887</v>
      </c>
      <c r="O6109">
        <v>2</v>
      </c>
      <c r="P6109">
        <v>2</v>
      </c>
      <c r="Q6109">
        <v>0</v>
      </c>
      <c r="R6109" t="s">
        <v>5281</v>
      </c>
      <c r="S6109" t="s">
        <v>4898</v>
      </c>
      <c r="T6109" t="s">
        <v>2704</v>
      </c>
      <c r="U6109" t="s">
        <v>4560</v>
      </c>
      <c r="V6109" s="2">
        <v>610</v>
      </c>
      <c r="W6109" t="s">
        <v>4655</v>
      </c>
      <c r="X6109" s="2">
        <v>0</v>
      </c>
      <c r="Y6109">
        <v>20</v>
      </c>
      <c r="Z6109" t="s">
        <v>1491</v>
      </c>
      <c r="AA6109" s="3">
        <v>0.192011013627052</v>
      </c>
      <c r="AB6109" t="s">
        <v>29859</v>
      </c>
      <c r="AC6109" t="s">
        <v>4575</v>
      </c>
      <c r="AD6109" t="s">
        <v>29860</v>
      </c>
      <c r="AE6109" t="s">
        <v>1587</v>
      </c>
      <c r="AF6109" t="s">
        <v>4563</v>
      </c>
      <c r="AG6109" t="s">
        <v>4564</v>
      </c>
      <c r="AH6109" t="s">
        <v>2330</v>
      </c>
      <c r="AI6109" t="s">
        <v>29861</v>
      </c>
      <c r="AJ6109" t="s">
        <v>3726</v>
      </c>
      <c r="AK6109" t="s">
        <v>29862</v>
      </c>
      <c r="AL6109" s="13" t="s">
        <v>2255</v>
      </c>
      <c r="AM6109" s="14">
        <v>1</v>
      </c>
      <c r="AN6109" s="15" t="s">
        <v>1388</v>
      </c>
    </row>
    <row r="6110" spans="1:40" x14ac:dyDescent="0.3">
      <c r="A6110" s="10" t="str">
        <f>HYPERLINK("http://www.washoecounty.gov/assessor/cama/?parid=220-201-03&amp;CardNumber=1","220-201-03")</f>
        <v>220-201-03</v>
      </c>
      <c r="B6110" t="s">
        <v>4655</v>
      </c>
      <c r="C6110" t="s">
        <v>29863</v>
      </c>
      <c r="D6110" s="1">
        <v>40520</v>
      </c>
      <c r="E6110" s="2">
        <v>369900</v>
      </c>
      <c r="F6110" t="s">
        <v>4567</v>
      </c>
      <c r="G6110" s="17" t="str">
        <f>HYPERLINK("https://www.washoecounty.gov/assessor/cama/?command=sales&amp;parid=22020103","3951011")</f>
        <v>3951011</v>
      </c>
      <c r="H6110" t="s">
        <v>29864</v>
      </c>
      <c r="I6110">
        <v>2002</v>
      </c>
      <c r="J6110">
        <v>2002</v>
      </c>
      <c r="K6110" t="s">
        <v>4554</v>
      </c>
      <c r="L6110" t="s">
        <v>4555</v>
      </c>
      <c r="M6110" s="2">
        <v>2035</v>
      </c>
      <c r="N6110" t="s">
        <v>3887</v>
      </c>
      <c r="O6110">
        <v>4</v>
      </c>
      <c r="P6110">
        <v>4</v>
      </c>
      <c r="Q6110">
        <v>0</v>
      </c>
      <c r="R6110" t="s">
        <v>5281</v>
      </c>
      <c r="S6110" t="s">
        <v>4898</v>
      </c>
      <c r="T6110" t="s">
        <v>2704</v>
      </c>
      <c r="U6110" t="s">
        <v>4560</v>
      </c>
      <c r="V6110" s="2">
        <v>661</v>
      </c>
      <c r="W6110" t="s">
        <v>3201</v>
      </c>
      <c r="X6110" s="2">
        <v>1240</v>
      </c>
      <c r="Y6110">
        <v>20</v>
      </c>
      <c r="Z6110" t="s">
        <v>1491</v>
      </c>
      <c r="AA6110" s="3">
        <v>0.15599173307418801</v>
      </c>
      <c r="AB6110" t="s">
        <v>29865</v>
      </c>
      <c r="AC6110" t="s">
        <v>4562</v>
      </c>
      <c r="AD6110" t="s">
        <v>29863</v>
      </c>
      <c r="AE6110" t="s">
        <v>4655</v>
      </c>
      <c r="AF6110" t="s">
        <v>4563</v>
      </c>
      <c r="AG6110" t="s">
        <v>4564</v>
      </c>
      <c r="AH6110" t="s">
        <v>2330</v>
      </c>
      <c r="AI6110" t="s">
        <v>29866</v>
      </c>
      <c r="AJ6110" t="s">
        <v>29867</v>
      </c>
      <c r="AK6110" t="s">
        <v>29868</v>
      </c>
      <c r="AL6110" s="13" t="s">
        <v>2255</v>
      </c>
      <c r="AM6110" s="14">
        <v>1</v>
      </c>
      <c r="AN6110" s="15" t="s">
        <v>1388</v>
      </c>
    </row>
    <row r="6111" spans="1:40" x14ac:dyDescent="0.3">
      <c r="A6111" s="10" t="str">
        <f>HYPERLINK("http://www.washoecounty.gov/assessor/cama/?parid=220-202-05&amp;CardNumber=1","220-202-05")</f>
        <v>220-202-05</v>
      </c>
      <c r="B6111" t="s">
        <v>4655</v>
      </c>
      <c r="C6111" t="s">
        <v>29869</v>
      </c>
      <c r="D6111" s="1">
        <v>40241</v>
      </c>
      <c r="E6111" s="2">
        <v>269000</v>
      </c>
      <c r="F6111" t="s">
        <v>4567</v>
      </c>
      <c r="G6111" s="17" t="str">
        <f>HYPERLINK("https://www.washoecounty.gov/assessor/cama/?command=sales&amp;parid=22020205","3855659")</f>
        <v>3855659</v>
      </c>
      <c r="H6111" t="s">
        <v>29864</v>
      </c>
      <c r="I6111">
        <v>2001</v>
      </c>
      <c r="J6111">
        <v>2001</v>
      </c>
      <c r="K6111" t="s">
        <v>4554</v>
      </c>
      <c r="L6111" t="s">
        <v>3974</v>
      </c>
      <c r="M6111" s="2">
        <v>2064</v>
      </c>
      <c r="N6111" t="s">
        <v>3887</v>
      </c>
      <c r="O6111">
        <v>3</v>
      </c>
      <c r="P6111">
        <v>2</v>
      </c>
      <c r="Q6111">
        <v>1</v>
      </c>
      <c r="R6111" t="s">
        <v>5281</v>
      </c>
      <c r="S6111" t="s">
        <v>4898</v>
      </c>
      <c r="T6111" t="s">
        <v>2704</v>
      </c>
      <c r="U6111" t="s">
        <v>4560</v>
      </c>
      <c r="V6111" s="2">
        <v>586</v>
      </c>
      <c r="W6111" t="s">
        <v>4655</v>
      </c>
      <c r="X6111" s="2">
        <v>0</v>
      </c>
      <c r="Y6111">
        <v>20</v>
      </c>
      <c r="Z6111" t="s">
        <v>1491</v>
      </c>
      <c r="AA6111" s="3">
        <v>0.14898990094661699</v>
      </c>
      <c r="AB6111" t="s">
        <v>12559</v>
      </c>
      <c r="AC6111" t="s">
        <v>4575</v>
      </c>
      <c r="AD6111" t="s">
        <v>29870</v>
      </c>
      <c r="AE6111" t="s">
        <v>29869</v>
      </c>
      <c r="AF6111" t="s">
        <v>4563</v>
      </c>
      <c r="AG6111" t="s">
        <v>4564</v>
      </c>
      <c r="AH6111" t="s">
        <v>2330</v>
      </c>
      <c r="AI6111" t="s">
        <v>29871</v>
      </c>
      <c r="AJ6111" t="s">
        <v>29867</v>
      </c>
      <c r="AK6111" t="s">
        <v>29872</v>
      </c>
      <c r="AL6111" s="13" t="s">
        <v>2255</v>
      </c>
      <c r="AM6111" s="14">
        <v>1</v>
      </c>
      <c r="AN6111" s="15" t="s">
        <v>1388</v>
      </c>
    </row>
    <row r="6112" spans="1:40" x14ac:dyDescent="0.3">
      <c r="A6112" s="10" t="str">
        <f>HYPERLINK("http://www.washoecounty.gov/assessor/cama/?parid=220-221-01&amp;CardNumber=1","220-221-01")</f>
        <v>220-221-01</v>
      </c>
      <c r="B6112" t="s">
        <v>4655</v>
      </c>
      <c r="C6112" t="s">
        <v>29873</v>
      </c>
      <c r="D6112" s="1">
        <v>40456</v>
      </c>
      <c r="E6112" s="2">
        <v>539000</v>
      </c>
      <c r="F6112" t="s">
        <v>4567</v>
      </c>
      <c r="G6112" s="17" t="str">
        <f>HYPERLINK("https://www.washoecounty.gov/assessor/cama/?command=sales&amp;parid=22022101","3929652")</f>
        <v>3929652</v>
      </c>
      <c r="H6112" t="s">
        <v>29874</v>
      </c>
      <c r="I6112">
        <v>2002</v>
      </c>
      <c r="J6112">
        <v>2002</v>
      </c>
      <c r="K6112" t="s">
        <v>4554</v>
      </c>
      <c r="L6112" t="s">
        <v>4555</v>
      </c>
      <c r="M6112" s="2">
        <v>2826</v>
      </c>
      <c r="N6112" t="s">
        <v>5106</v>
      </c>
      <c r="O6112">
        <v>4</v>
      </c>
      <c r="P6112">
        <v>3</v>
      </c>
      <c r="Q6112">
        <v>0</v>
      </c>
      <c r="R6112" t="s">
        <v>5281</v>
      </c>
      <c r="S6112" t="s">
        <v>4898</v>
      </c>
      <c r="T6112" t="s">
        <v>2704</v>
      </c>
      <c r="U6112" t="s">
        <v>4560</v>
      </c>
      <c r="V6112" s="2">
        <v>872</v>
      </c>
      <c r="W6112" t="s">
        <v>4655</v>
      </c>
      <c r="X6112" s="2">
        <v>0</v>
      </c>
      <c r="Y6112">
        <v>20</v>
      </c>
      <c r="Z6112" t="s">
        <v>1491</v>
      </c>
      <c r="AA6112" s="3">
        <v>0.29299816489219666</v>
      </c>
      <c r="AB6112" t="s">
        <v>29875</v>
      </c>
      <c r="AC6112" t="s">
        <v>4575</v>
      </c>
      <c r="AD6112" t="s">
        <v>29873</v>
      </c>
      <c r="AE6112" t="s">
        <v>4655</v>
      </c>
      <c r="AF6112" t="s">
        <v>4563</v>
      </c>
      <c r="AG6112" t="s">
        <v>4564</v>
      </c>
      <c r="AH6112" t="s">
        <v>2330</v>
      </c>
      <c r="AI6112" t="s">
        <v>29876</v>
      </c>
      <c r="AJ6112" t="s">
        <v>29877</v>
      </c>
      <c r="AK6112" t="s">
        <v>29878</v>
      </c>
      <c r="AL6112" s="13" t="s">
        <v>2255</v>
      </c>
      <c r="AM6112">
        <v>1</v>
      </c>
      <c r="AN6112" s="15" t="s">
        <v>2184</v>
      </c>
    </row>
    <row r="6113" spans="1:40" x14ac:dyDescent="0.3">
      <c r="A6113" s="10" t="str">
        <f>HYPERLINK("http://www.washoecounty.gov/assessor/cama/?parid=220-232-08&amp;CardNumber=1","220-232-08")</f>
        <v>220-232-08</v>
      </c>
      <c r="B6113" t="s">
        <v>4655</v>
      </c>
      <c r="C6113" t="s">
        <v>29879</v>
      </c>
      <c r="D6113" s="1">
        <v>40492</v>
      </c>
      <c r="E6113" s="2">
        <v>330000</v>
      </c>
      <c r="F6113" t="s">
        <v>4567</v>
      </c>
      <c r="G6113" s="17" t="str">
        <f>HYPERLINK("https://www.washoecounty.gov/assessor/cama/?command=sales&amp;parid=22023208","3941977")</f>
        <v>3941977</v>
      </c>
      <c r="H6113" t="s">
        <v>3341</v>
      </c>
      <c r="I6113">
        <v>2002</v>
      </c>
      <c r="J6113">
        <v>2002</v>
      </c>
      <c r="K6113" t="s">
        <v>4554</v>
      </c>
      <c r="L6113" t="s">
        <v>4555</v>
      </c>
      <c r="M6113" s="2">
        <v>1477</v>
      </c>
      <c r="N6113" t="s">
        <v>3887</v>
      </c>
      <c r="O6113">
        <v>3</v>
      </c>
      <c r="P6113">
        <v>3</v>
      </c>
      <c r="Q6113">
        <v>1</v>
      </c>
      <c r="R6113" t="s">
        <v>5281</v>
      </c>
      <c r="S6113" t="s">
        <v>4898</v>
      </c>
      <c r="T6113" t="s">
        <v>2704</v>
      </c>
      <c r="U6113" t="s">
        <v>4560</v>
      </c>
      <c r="V6113" s="2">
        <v>575</v>
      </c>
      <c r="W6113" t="s">
        <v>3201</v>
      </c>
      <c r="X6113" s="2">
        <v>988</v>
      </c>
      <c r="Y6113">
        <v>20</v>
      </c>
      <c r="Z6113" t="s">
        <v>1491</v>
      </c>
      <c r="AA6113" s="3">
        <v>0.16756197810173001</v>
      </c>
      <c r="AB6113" t="s">
        <v>29880</v>
      </c>
      <c r="AC6113" t="s">
        <v>4562</v>
      </c>
      <c r="AD6113" t="s">
        <v>29879</v>
      </c>
      <c r="AE6113" t="s">
        <v>4655</v>
      </c>
      <c r="AF6113" t="s">
        <v>4563</v>
      </c>
      <c r="AG6113" t="s">
        <v>4564</v>
      </c>
      <c r="AH6113" t="s">
        <v>2330</v>
      </c>
      <c r="AI6113" t="s">
        <v>29881</v>
      </c>
      <c r="AJ6113" t="s">
        <v>4655</v>
      </c>
      <c r="AK6113" t="s">
        <v>29882</v>
      </c>
      <c r="AL6113" s="13" t="s">
        <v>2255</v>
      </c>
      <c r="AM6113" s="14">
        <v>1</v>
      </c>
      <c r="AN6113" s="15" t="s">
        <v>1388</v>
      </c>
    </row>
    <row r="6114" spans="1:40" x14ac:dyDescent="0.3">
      <c r="A6114" s="10" t="str">
        <f>HYPERLINK("http://www.washoecounty.gov/assessor/cama/?parid=220-232-17&amp;CardNumber=1","220-232-17")</f>
        <v>220-232-17</v>
      </c>
      <c r="B6114" t="s">
        <v>4655</v>
      </c>
      <c r="C6114" t="s">
        <v>29883</v>
      </c>
      <c r="D6114" s="1">
        <v>40457</v>
      </c>
      <c r="E6114" s="2">
        <v>287000</v>
      </c>
      <c r="F6114" t="s">
        <v>4567</v>
      </c>
      <c r="G6114" s="17" t="str">
        <f>HYPERLINK("https://www.washoecounty.gov/assessor/cama/?command=sales&amp;parid=22023217","3930325")</f>
        <v>3930325</v>
      </c>
      <c r="H6114" t="s">
        <v>3341</v>
      </c>
      <c r="I6114">
        <v>2002</v>
      </c>
      <c r="J6114">
        <v>2002</v>
      </c>
      <c r="K6114" t="s">
        <v>4554</v>
      </c>
      <c r="L6114" t="s">
        <v>4555</v>
      </c>
      <c r="M6114" s="2">
        <v>1589</v>
      </c>
      <c r="N6114" t="s">
        <v>3887</v>
      </c>
      <c r="O6114">
        <v>2</v>
      </c>
      <c r="P6114">
        <v>2</v>
      </c>
      <c r="Q6114">
        <v>0</v>
      </c>
      <c r="R6114" t="s">
        <v>5281</v>
      </c>
      <c r="S6114" t="s">
        <v>4898</v>
      </c>
      <c r="T6114" t="s">
        <v>2704</v>
      </c>
      <c r="U6114" t="s">
        <v>4560</v>
      </c>
      <c r="V6114" s="2">
        <v>418</v>
      </c>
      <c r="W6114" t="s">
        <v>4655</v>
      </c>
      <c r="X6114" s="2">
        <v>0</v>
      </c>
      <c r="Y6114">
        <v>20</v>
      </c>
      <c r="Z6114" t="s">
        <v>1491</v>
      </c>
      <c r="AA6114" s="3">
        <v>0.21877869963645935</v>
      </c>
      <c r="AB6114" t="s">
        <v>29884</v>
      </c>
      <c r="AC6114" t="s">
        <v>4575</v>
      </c>
      <c r="AD6114" t="s">
        <v>29885</v>
      </c>
      <c r="AE6114" t="s">
        <v>4655</v>
      </c>
      <c r="AF6114" t="s">
        <v>9701</v>
      </c>
      <c r="AG6114" t="s">
        <v>4584</v>
      </c>
      <c r="AH6114" t="s">
        <v>29886</v>
      </c>
      <c r="AI6114" t="s">
        <v>29887</v>
      </c>
      <c r="AJ6114" t="s">
        <v>4655</v>
      </c>
      <c r="AK6114" t="s">
        <v>29888</v>
      </c>
      <c r="AL6114" s="13" t="s">
        <v>2255</v>
      </c>
      <c r="AM6114" s="14">
        <v>1</v>
      </c>
      <c r="AN6114" s="15" t="s">
        <v>1388</v>
      </c>
    </row>
    <row r="6115" spans="1:40" x14ac:dyDescent="0.3">
      <c r="A6115" s="10" t="str">
        <f>HYPERLINK("http://www.washoecounty.gov/assessor/cama/?parid=222-032-08&amp;CardNumber=1","222-032-08")</f>
        <v>222-032-08</v>
      </c>
      <c r="B6115" t="s">
        <v>4655</v>
      </c>
      <c r="C6115" t="s">
        <v>29889</v>
      </c>
      <c r="D6115" s="1">
        <v>40393</v>
      </c>
      <c r="E6115" s="2">
        <v>350000</v>
      </c>
      <c r="F6115" t="s">
        <v>4567</v>
      </c>
      <c r="G6115" s="17" t="str">
        <f>HYPERLINK("https://www.washoecounty.gov/assessor/cama/?command=sales&amp;parid=22203208","3908291")</f>
        <v>3908291</v>
      </c>
      <c r="H6115" t="s">
        <v>29890</v>
      </c>
      <c r="I6115">
        <v>1999</v>
      </c>
      <c r="J6115">
        <v>1999</v>
      </c>
      <c r="K6115" t="s">
        <v>4554</v>
      </c>
      <c r="L6115" t="s">
        <v>4555</v>
      </c>
      <c r="M6115" s="2">
        <v>2124</v>
      </c>
      <c r="N6115" t="s">
        <v>3147</v>
      </c>
      <c r="O6115">
        <v>3</v>
      </c>
      <c r="P6115">
        <v>2</v>
      </c>
      <c r="Q6115">
        <v>0</v>
      </c>
      <c r="R6115" t="s">
        <v>5281</v>
      </c>
      <c r="S6115" t="s">
        <v>4898</v>
      </c>
      <c r="T6115" t="s">
        <v>2704</v>
      </c>
      <c r="U6115" t="s">
        <v>4560</v>
      </c>
      <c r="V6115" s="2">
        <v>712</v>
      </c>
      <c r="W6115" t="s">
        <v>4655</v>
      </c>
      <c r="X6115" s="2">
        <v>0</v>
      </c>
      <c r="Y6115">
        <v>20</v>
      </c>
      <c r="Z6115" t="s">
        <v>385</v>
      </c>
      <c r="AA6115" s="3">
        <v>0.21200643479824099</v>
      </c>
      <c r="AB6115" t="s">
        <v>29891</v>
      </c>
      <c r="AC6115" t="s">
        <v>4575</v>
      </c>
      <c r="AD6115" t="s">
        <v>29889</v>
      </c>
      <c r="AE6115" t="s">
        <v>4655</v>
      </c>
      <c r="AF6115" t="s">
        <v>4563</v>
      </c>
      <c r="AG6115" t="s">
        <v>4564</v>
      </c>
      <c r="AH6115" t="s">
        <v>2330</v>
      </c>
      <c r="AI6115" t="s">
        <v>29892</v>
      </c>
      <c r="AJ6115" t="s">
        <v>29893</v>
      </c>
      <c r="AK6115" t="s">
        <v>29894</v>
      </c>
      <c r="AL6115" s="13" t="s">
        <v>2257</v>
      </c>
      <c r="AM6115" s="14">
        <v>1</v>
      </c>
      <c r="AN6115" s="15" t="s">
        <v>80</v>
      </c>
    </row>
    <row r="6116" spans="1:40" x14ac:dyDescent="0.3">
      <c r="A6116" s="10" t="str">
        <f>HYPERLINK("http://www.washoecounty.gov/assessor/cama/?parid=222-041-07&amp;CardNumber=1","222-041-07")</f>
        <v>222-041-07</v>
      </c>
      <c r="B6116" t="s">
        <v>4655</v>
      </c>
      <c r="C6116" t="s">
        <v>29895</v>
      </c>
      <c r="D6116" s="1">
        <v>40371</v>
      </c>
      <c r="E6116" s="2">
        <v>414000</v>
      </c>
      <c r="F6116" t="s">
        <v>4553</v>
      </c>
      <c r="G6116" s="17" t="str">
        <f>HYPERLINK("https://www.washoecounty.gov/assessor/cama/?command=sales&amp;parid=22204107","3900488")</f>
        <v>3900488</v>
      </c>
      <c r="H6116" t="s">
        <v>29890</v>
      </c>
      <c r="I6116">
        <v>1999</v>
      </c>
      <c r="J6116">
        <v>1999</v>
      </c>
      <c r="K6116" t="s">
        <v>4554</v>
      </c>
      <c r="L6116" t="s">
        <v>3974</v>
      </c>
      <c r="M6116" s="2">
        <v>2800</v>
      </c>
      <c r="N6116" t="s">
        <v>3147</v>
      </c>
      <c r="O6116">
        <v>4</v>
      </c>
      <c r="P6116">
        <v>3</v>
      </c>
      <c r="Q6116">
        <v>1</v>
      </c>
      <c r="R6116" t="s">
        <v>5281</v>
      </c>
      <c r="S6116" t="s">
        <v>4898</v>
      </c>
      <c r="T6116" t="s">
        <v>2704</v>
      </c>
      <c r="U6116" t="s">
        <v>5631</v>
      </c>
      <c r="V6116" s="2">
        <v>749</v>
      </c>
      <c r="W6116" t="s">
        <v>4655</v>
      </c>
      <c r="X6116" s="2">
        <v>0</v>
      </c>
      <c r="Y6116">
        <v>20</v>
      </c>
      <c r="Z6116" t="s">
        <v>385</v>
      </c>
      <c r="AA6116" s="3">
        <v>0.223989903926849</v>
      </c>
      <c r="AB6116" t="s">
        <v>29896</v>
      </c>
      <c r="AC6116" t="s">
        <v>4562</v>
      </c>
      <c r="AD6116" t="s">
        <v>29897</v>
      </c>
      <c r="AE6116" t="s">
        <v>4655</v>
      </c>
      <c r="AF6116" t="s">
        <v>4563</v>
      </c>
      <c r="AG6116" t="s">
        <v>4564</v>
      </c>
      <c r="AH6116">
        <v>89509</v>
      </c>
      <c r="AI6116" t="s">
        <v>5203</v>
      </c>
      <c r="AJ6116" t="s">
        <v>29898</v>
      </c>
      <c r="AK6116" t="s">
        <v>29899</v>
      </c>
      <c r="AL6116" s="13" t="s">
        <v>2257</v>
      </c>
      <c r="AM6116" s="14">
        <v>1</v>
      </c>
      <c r="AN6116" s="15" t="s">
        <v>80</v>
      </c>
    </row>
    <row r="6117" spans="1:40" x14ac:dyDescent="0.3">
      <c r="A6117" s="10" t="str">
        <f>HYPERLINK("http://www.washoecounty.gov/assessor/cama/?parid=222-072-04&amp;CardNumber=1","222-072-04")</f>
        <v>222-072-04</v>
      </c>
      <c r="B6117" t="s">
        <v>4655</v>
      </c>
      <c r="C6117" t="s">
        <v>29900</v>
      </c>
      <c r="D6117" s="1">
        <v>40375</v>
      </c>
      <c r="E6117" s="2">
        <v>795000</v>
      </c>
      <c r="F6117" t="s">
        <v>4567</v>
      </c>
      <c r="G6117" s="17" t="str">
        <f>HYPERLINK("https://www.washoecounty.gov/assessor/cama/?command=sales&amp;parid=22207204","3902045")</f>
        <v>3902045</v>
      </c>
      <c r="H6117" t="s">
        <v>29901</v>
      </c>
      <c r="I6117">
        <v>1986</v>
      </c>
      <c r="J6117">
        <v>1986</v>
      </c>
      <c r="K6117" t="s">
        <v>4554</v>
      </c>
      <c r="L6117" t="s">
        <v>4555</v>
      </c>
      <c r="M6117" s="2">
        <v>4677</v>
      </c>
      <c r="N6117" t="s">
        <v>1245</v>
      </c>
      <c r="O6117">
        <v>4</v>
      </c>
      <c r="P6117">
        <v>4</v>
      </c>
      <c r="Q6117">
        <v>0</v>
      </c>
      <c r="R6117" t="s">
        <v>4557</v>
      </c>
      <c r="S6117" t="s">
        <v>3148</v>
      </c>
      <c r="T6117" t="s">
        <v>4143</v>
      </c>
      <c r="U6117" t="s">
        <v>4655</v>
      </c>
      <c r="V6117" s="2">
        <v>0</v>
      </c>
      <c r="W6117" t="s">
        <v>3149</v>
      </c>
      <c r="X6117" s="2">
        <v>360</v>
      </c>
      <c r="Y6117">
        <v>20</v>
      </c>
      <c r="Z6117" t="s">
        <v>1376</v>
      </c>
      <c r="AA6117" s="3">
        <v>2.85800004005432</v>
      </c>
      <c r="AB6117" t="s">
        <v>29902</v>
      </c>
      <c r="AC6117" t="s">
        <v>4562</v>
      </c>
      <c r="AD6117" t="s">
        <v>29900</v>
      </c>
      <c r="AE6117" t="s">
        <v>4655</v>
      </c>
      <c r="AF6117" t="s">
        <v>4563</v>
      </c>
      <c r="AG6117" t="s">
        <v>4564</v>
      </c>
      <c r="AH6117">
        <v>89511</v>
      </c>
      <c r="AI6117" t="s">
        <v>29903</v>
      </c>
      <c r="AJ6117" t="s">
        <v>29904</v>
      </c>
      <c r="AK6117" t="s">
        <v>29905</v>
      </c>
      <c r="AL6117" s="13" t="s">
        <v>3420</v>
      </c>
      <c r="AM6117" s="14">
        <v>1</v>
      </c>
      <c r="AN6117" s="15" t="s">
        <v>1584</v>
      </c>
    </row>
    <row r="6118" spans="1:40" x14ac:dyDescent="0.3">
      <c r="A6118" s="10" t="str">
        <f>HYPERLINK("http://www.washoecounty.gov/assessor/cama/?parid=222-073-03&amp;CardNumber=1","222-073-03")</f>
        <v>222-073-03</v>
      </c>
      <c r="B6118" t="s">
        <v>4655</v>
      </c>
      <c r="C6118" t="s">
        <v>29906</v>
      </c>
      <c r="D6118" s="1">
        <v>40268</v>
      </c>
      <c r="E6118" s="2">
        <v>1600000</v>
      </c>
      <c r="F6118" t="s">
        <v>4567</v>
      </c>
      <c r="G6118" s="17" t="str">
        <f>HYPERLINK("https://www.washoecounty.gov/assessor/cama/?command=sales&amp;parid=22207303","3866240")</f>
        <v>3866240</v>
      </c>
      <c r="H6118" t="s">
        <v>29907</v>
      </c>
      <c r="I6118">
        <v>1988</v>
      </c>
      <c r="J6118">
        <v>2002</v>
      </c>
      <c r="K6118" t="s">
        <v>4554</v>
      </c>
      <c r="L6118" t="s">
        <v>3974</v>
      </c>
      <c r="M6118" s="2">
        <v>10743</v>
      </c>
      <c r="N6118" t="s">
        <v>2008</v>
      </c>
      <c r="O6118">
        <v>6</v>
      </c>
      <c r="P6118">
        <v>5</v>
      </c>
      <c r="Q6118">
        <v>1</v>
      </c>
      <c r="R6118" t="s">
        <v>5281</v>
      </c>
      <c r="S6118" t="s">
        <v>4898</v>
      </c>
      <c r="T6118" t="s">
        <v>2704</v>
      </c>
      <c r="U6118" t="s">
        <v>5631</v>
      </c>
      <c r="V6118" s="2">
        <v>837</v>
      </c>
      <c r="W6118" t="s">
        <v>4571</v>
      </c>
      <c r="X6118" s="2">
        <v>1254</v>
      </c>
      <c r="Y6118">
        <v>20</v>
      </c>
      <c r="Z6118" t="s">
        <v>1376</v>
      </c>
      <c r="AA6118" s="3">
        <v>5.0830001831054599</v>
      </c>
      <c r="AB6118" t="s">
        <v>29908</v>
      </c>
      <c r="AC6118" t="s">
        <v>4562</v>
      </c>
      <c r="AD6118" t="s">
        <v>29909</v>
      </c>
      <c r="AE6118" t="s">
        <v>4655</v>
      </c>
      <c r="AF6118" t="s">
        <v>4563</v>
      </c>
      <c r="AG6118" t="s">
        <v>4564</v>
      </c>
      <c r="AH6118">
        <v>89511</v>
      </c>
      <c r="AI6118" t="s">
        <v>17278</v>
      </c>
      <c r="AJ6118" t="s">
        <v>29910</v>
      </c>
      <c r="AK6118" t="s">
        <v>29911</v>
      </c>
      <c r="AL6118" s="13" t="s">
        <v>3420</v>
      </c>
      <c r="AM6118" s="14">
        <v>1</v>
      </c>
      <c r="AN6118" s="15" t="s">
        <v>1584</v>
      </c>
    </row>
    <row r="6119" spans="1:40" x14ac:dyDescent="0.3">
      <c r="A6119" s="10" t="str">
        <f>HYPERLINK("http://www.washoecounty.gov/assessor/cama/?parid=222-111-10&amp;CardNumber=1","222-111-10")</f>
        <v>222-111-10</v>
      </c>
      <c r="B6119" t="s">
        <v>4655</v>
      </c>
      <c r="C6119" t="s">
        <v>29912</v>
      </c>
      <c r="D6119" s="1">
        <v>40317</v>
      </c>
      <c r="E6119" s="2">
        <v>405000</v>
      </c>
      <c r="F6119" t="s">
        <v>4553</v>
      </c>
      <c r="G6119" s="17" t="str">
        <f>HYPERLINK("https://www.washoecounty.gov/assessor/cama/?command=sales&amp;parid=22211110","3882848")</f>
        <v>3882848</v>
      </c>
      <c r="H6119" t="s">
        <v>3683</v>
      </c>
      <c r="I6119">
        <v>1999</v>
      </c>
      <c r="J6119">
        <v>1999</v>
      </c>
      <c r="K6119" t="s">
        <v>4554</v>
      </c>
      <c r="L6119" t="s">
        <v>3974</v>
      </c>
      <c r="M6119" s="2">
        <v>3037</v>
      </c>
      <c r="N6119" t="s">
        <v>3147</v>
      </c>
      <c r="O6119">
        <v>4</v>
      </c>
      <c r="P6119">
        <v>2</v>
      </c>
      <c r="Q6119">
        <v>1</v>
      </c>
      <c r="R6119" t="s">
        <v>5281</v>
      </c>
      <c r="S6119" t="s">
        <v>4898</v>
      </c>
      <c r="T6119" t="s">
        <v>2704</v>
      </c>
      <c r="U6119" t="s">
        <v>5631</v>
      </c>
      <c r="V6119" s="2">
        <v>677</v>
      </c>
      <c r="W6119" t="s">
        <v>4655</v>
      </c>
      <c r="X6119" s="2">
        <v>0</v>
      </c>
      <c r="Y6119">
        <v>20</v>
      </c>
      <c r="Z6119" t="s">
        <v>385</v>
      </c>
      <c r="AA6119" s="3">
        <v>0.20700183510780301</v>
      </c>
      <c r="AB6119" t="s">
        <v>29913</v>
      </c>
      <c r="AC6119" t="s">
        <v>4575</v>
      </c>
      <c r="AD6119" t="s">
        <v>29914</v>
      </c>
      <c r="AE6119" t="s">
        <v>29915</v>
      </c>
      <c r="AF6119" t="s">
        <v>4563</v>
      </c>
      <c r="AG6119" t="s">
        <v>4564</v>
      </c>
      <c r="AH6119">
        <v>89505</v>
      </c>
      <c r="AI6119" t="s">
        <v>29916</v>
      </c>
      <c r="AJ6119" t="s">
        <v>29917</v>
      </c>
      <c r="AK6119" t="s">
        <v>29918</v>
      </c>
      <c r="AL6119" s="13" t="s">
        <v>2257</v>
      </c>
      <c r="AM6119">
        <v>1</v>
      </c>
      <c r="AN6119" s="15" t="s">
        <v>80</v>
      </c>
    </row>
    <row r="6120" spans="1:40" x14ac:dyDescent="0.3">
      <c r="A6120" s="10" t="str">
        <f>HYPERLINK("http://www.washoecounty.gov/assessor/cama/?parid=222-122-05&amp;CardNumber=1","222-122-05")</f>
        <v>222-122-05</v>
      </c>
      <c r="B6120" t="s">
        <v>4655</v>
      </c>
      <c r="C6120" t="s">
        <v>29919</v>
      </c>
      <c r="D6120" s="1">
        <v>40325</v>
      </c>
      <c r="E6120" s="2">
        <v>425000</v>
      </c>
      <c r="F6120" t="s">
        <v>4567</v>
      </c>
      <c r="G6120" s="17" t="str">
        <f>HYPERLINK("https://www.washoecounty.gov/assessor/cama/?command=sales&amp;parid=22212205","3886144")</f>
        <v>3886144</v>
      </c>
      <c r="H6120" t="s">
        <v>3753</v>
      </c>
      <c r="I6120">
        <v>2000</v>
      </c>
      <c r="J6120">
        <v>2000</v>
      </c>
      <c r="K6120" t="s">
        <v>4554</v>
      </c>
      <c r="L6120" t="s">
        <v>3974</v>
      </c>
      <c r="M6120" s="2">
        <v>3245</v>
      </c>
      <c r="N6120" t="s">
        <v>1245</v>
      </c>
      <c r="O6120">
        <v>4</v>
      </c>
      <c r="P6120">
        <v>3</v>
      </c>
      <c r="Q6120">
        <v>1</v>
      </c>
      <c r="R6120" t="s">
        <v>4557</v>
      </c>
      <c r="S6120" t="s">
        <v>4898</v>
      </c>
      <c r="T6120" t="s">
        <v>2704</v>
      </c>
      <c r="U6120" t="s">
        <v>4560</v>
      </c>
      <c r="V6120" s="2">
        <v>760</v>
      </c>
      <c r="W6120" t="s">
        <v>4655</v>
      </c>
      <c r="X6120" s="2">
        <v>0</v>
      </c>
      <c r="Y6120">
        <v>20</v>
      </c>
      <c r="Z6120" t="s">
        <v>3754</v>
      </c>
      <c r="AA6120" s="3">
        <v>0.34400826692581199</v>
      </c>
      <c r="AB6120" t="s">
        <v>29920</v>
      </c>
      <c r="AC6120" t="s">
        <v>4562</v>
      </c>
      <c r="AD6120" t="s">
        <v>29921</v>
      </c>
      <c r="AE6120" t="s">
        <v>4655</v>
      </c>
      <c r="AF6120" t="s">
        <v>4563</v>
      </c>
      <c r="AG6120" t="s">
        <v>4564</v>
      </c>
      <c r="AH6120" t="s">
        <v>2330</v>
      </c>
      <c r="AI6120" t="s">
        <v>29922</v>
      </c>
      <c r="AJ6120" t="s">
        <v>4181</v>
      </c>
      <c r="AK6120" t="s">
        <v>29923</v>
      </c>
      <c r="AL6120" s="13" t="s">
        <v>2257</v>
      </c>
      <c r="AM6120">
        <v>1</v>
      </c>
      <c r="AN6120" s="15" t="s">
        <v>327</v>
      </c>
    </row>
    <row r="6121" spans="1:40" x14ac:dyDescent="0.3">
      <c r="A6121" s="10" t="str">
        <f>HYPERLINK("http://www.washoecounty.gov/assessor/cama/?parid=222-122-12&amp;CardNumber=1","222-122-12")</f>
        <v>222-122-12</v>
      </c>
      <c r="B6121" t="s">
        <v>4655</v>
      </c>
      <c r="C6121" t="s">
        <v>29924</v>
      </c>
      <c r="D6121" s="1">
        <v>40520</v>
      </c>
      <c r="E6121" s="2">
        <v>302925</v>
      </c>
      <c r="F6121" t="s">
        <v>4553</v>
      </c>
      <c r="G6121" s="17" t="str">
        <f>HYPERLINK("https://www.washoecounty.gov/assessor/cama/?command=sales&amp;parid=22212212","3950649")</f>
        <v>3950649</v>
      </c>
      <c r="H6121" t="s">
        <v>3753</v>
      </c>
      <c r="I6121">
        <v>2001</v>
      </c>
      <c r="J6121">
        <v>2001</v>
      </c>
      <c r="K6121" t="s">
        <v>4554</v>
      </c>
      <c r="L6121" t="s">
        <v>4555</v>
      </c>
      <c r="M6121" s="2">
        <v>2440</v>
      </c>
      <c r="N6121" t="s">
        <v>1245</v>
      </c>
      <c r="O6121">
        <v>4</v>
      </c>
      <c r="P6121">
        <v>2</v>
      </c>
      <c r="Q6121">
        <v>1</v>
      </c>
      <c r="R6121" t="s">
        <v>4557</v>
      </c>
      <c r="S6121" t="s">
        <v>4898</v>
      </c>
      <c r="T6121" t="s">
        <v>2704</v>
      </c>
      <c r="U6121" t="s">
        <v>4560</v>
      </c>
      <c r="V6121" s="2">
        <v>721</v>
      </c>
      <c r="W6121" t="s">
        <v>4655</v>
      </c>
      <c r="X6121" s="2">
        <v>0</v>
      </c>
      <c r="Y6121">
        <v>20</v>
      </c>
      <c r="Z6121" t="s">
        <v>3754</v>
      </c>
      <c r="AA6121" s="3">
        <v>0.31499081850051902</v>
      </c>
      <c r="AB6121" t="s">
        <v>29925</v>
      </c>
      <c r="AC6121" t="s">
        <v>4575</v>
      </c>
      <c r="AD6121" t="s">
        <v>29924</v>
      </c>
      <c r="AE6121" t="s">
        <v>4655</v>
      </c>
      <c r="AF6121" t="s">
        <v>4563</v>
      </c>
      <c r="AG6121" t="s">
        <v>4564</v>
      </c>
      <c r="AH6121" t="s">
        <v>2330</v>
      </c>
      <c r="AI6121" t="s">
        <v>29926</v>
      </c>
      <c r="AJ6121" t="s">
        <v>4181</v>
      </c>
      <c r="AK6121" t="s">
        <v>29927</v>
      </c>
      <c r="AL6121" s="13" t="s">
        <v>2257</v>
      </c>
      <c r="AM6121" s="14">
        <v>1</v>
      </c>
      <c r="AN6121" s="15" t="s">
        <v>327</v>
      </c>
    </row>
    <row r="6122" spans="1:40" x14ac:dyDescent="0.3">
      <c r="A6122" s="10" t="str">
        <f>HYPERLINK("http://www.washoecounty.gov/assessor/cama/?parid=222-141-03&amp;CardNumber=1","222-141-03")</f>
        <v>222-141-03</v>
      </c>
      <c r="B6122" t="s">
        <v>4655</v>
      </c>
      <c r="C6122" t="s">
        <v>29928</v>
      </c>
      <c r="D6122" s="1">
        <v>40304</v>
      </c>
      <c r="E6122" s="2">
        <v>413750</v>
      </c>
      <c r="F6122" t="s">
        <v>4567</v>
      </c>
      <c r="G6122" s="17" t="str">
        <f>HYPERLINK("https://www.washoecounty.gov/assessor/cama/?command=sales&amp;parid=22214103","3878948")</f>
        <v>3878948</v>
      </c>
      <c r="H6122" t="s">
        <v>1258</v>
      </c>
      <c r="I6122">
        <v>1999</v>
      </c>
      <c r="J6122">
        <v>1999</v>
      </c>
      <c r="K6122" t="s">
        <v>4554</v>
      </c>
      <c r="L6122" t="s">
        <v>4555</v>
      </c>
      <c r="M6122" s="2">
        <v>2440</v>
      </c>
      <c r="N6122" t="s">
        <v>1245</v>
      </c>
      <c r="O6122">
        <v>3</v>
      </c>
      <c r="P6122">
        <v>3</v>
      </c>
      <c r="Q6122">
        <v>0</v>
      </c>
      <c r="R6122" t="s">
        <v>5281</v>
      </c>
      <c r="S6122" t="s">
        <v>4898</v>
      </c>
      <c r="T6122" t="s">
        <v>2704</v>
      </c>
      <c r="U6122" t="s">
        <v>4560</v>
      </c>
      <c r="V6122" s="2">
        <v>721</v>
      </c>
      <c r="W6122" t="s">
        <v>4655</v>
      </c>
      <c r="X6122" s="2">
        <v>0</v>
      </c>
      <c r="Y6122">
        <v>20</v>
      </c>
      <c r="Z6122" t="s">
        <v>385</v>
      </c>
      <c r="AA6122" s="3">
        <v>0.25899907946586598</v>
      </c>
      <c r="AB6122" t="s">
        <v>29929</v>
      </c>
      <c r="AC6122" t="s">
        <v>4562</v>
      </c>
      <c r="AD6122" t="s">
        <v>29930</v>
      </c>
      <c r="AE6122" t="s">
        <v>4655</v>
      </c>
      <c r="AF6122" t="s">
        <v>3114</v>
      </c>
      <c r="AG6122" t="s">
        <v>4564</v>
      </c>
      <c r="AH6122" t="s">
        <v>2330</v>
      </c>
      <c r="AI6122" t="s">
        <v>29931</v>
      </c>
      <c r="AJ6122" t="s">
        <v>326</v>
      </c>
      <c r="AK6122" t="s">
        <v>29932</v>
      </c>
      <c r="AL6122" s="13" t="s">
        <v>2257</v>
      </c>
      <c r="AM6122">
        <v>1</v>
      </c>
      <c r="AN6122" s="15" t="s">
        <v>327</v>
      </c>
    </row>
    <row r="6123" spans="1:40" x14ac:dyDescent="0.3">
      <c r="A6123" s="10" t="str">
        <f>HYPERLINK("http://www.washoecounty.gov/assessor/cama/?parid=222-141-05&amp;CardNumber=1","222-141-05")</f>
        <v>222-141-05</v>
      </c>
      <c r="B6123" t="s">
        <v>4655</v>
      </c>
      <c r="C6123" t="s">
        <v>29933</v>
      </c>
      <c r="D6123" s="1">
        <v>40344</v>
      </c>
      <c r="E6123" s="2">
        <v>390000</v>
      </c>
      <c r="F6123" t="s">
        <v>4567</v>
      </c>
      <c r="G6123" s="17" t="str">
        <f>HYPERLINK("https://www.washoecounty.gov/assessor/cama/?command=sales&amp;parid=22214105","3891990")</f>
        <v>3891990</v>
      </c>
      <c r="H6123" t="s">
        <v>1258</v>
      </c>
      <c r="I6123">
        <v>1999</v>
      </c>
      <c r="J6123">
        <v>1999</v>
      </c>
      <c r="K6123" t="s">
        <v>4554</v>
      </c>
      <c r="L6123" t="s">
        <v>4555</v>
      </c>
      <c r="M6123" s="2">
        <v>2440</v>
      </c>
      <c r="N6123" t="s">
        <v>1245</v>
      </c>
      <c r="O6123">
        <v>3</v>
      </c>
      <c r="P6123">
        <v>2</v>
      </c>
      <c r="Q6123">
        <v>1</v>
      </c>
      <c r="R6123" t="s">
        <v>4557</v>
      </c>
      <c r="S6123" t="s">
        <v>4898</v>
      </c>
      <c r="T6123" t="s">
        <v>2704</v>
      </c>
      <c r="U6123" t="s">
        <v>4560</v>
      </c>
      <c r="V6123" s="2">
        <v>721</v>
      </c>
      <c r="W6123" t="s">
        <v>4655</v>
      </c>
      <c r="X6123" s="2">
        <v>0</v>
      </c>
      <c r="Y6123">
        <v>20</v>
      </c>
      <c r="Z6123" t="s">
        <v>385</v>
      </c>
      <c r="AA6123" s="3">
        <v>0.28298899531364441</v>
      </c>
      <c r="AB6123" t="s">
        <v>29934</v>
      </c>
      <c r="AC6123" t="s">
        <v>4562</v>
      </c>
      <c r="AD6123" t="s">
        <v>29933</v>
      </c>
      <c r="AE6123" t="s">
        <v>4655</v>
      </c>
      <c r="AF6123" t="s">
        <v>4563</v>
      </c>
      <c r="AG6123" t="s">
        <v>4564</v>
      </c>
      <c r="AH6123" t="s">
        <v>2330</v>
      </c>
      <c r="AI6123" t="s">
        <v>29935</v>
      </c>
      <c r="AJ6123" t="s">
        <v>326</v>
      </c>
      <c r="AK6123" t="s">
        <v>29936</v>
      </c>
      <c r="AL6123" s="13" t="s">
        <v>2257</v>
      </c>
      <c r="AM6123" s="14">
        <v>1</v>
      </c>
      <c r="AN6123" s="15" t="s">
        <v>327</v>
      </c>
    </row>
    <row r="6124" spans="1:40" x14ac:dyDescent="0.3">
      <c r="A6124" s="10" t="str">
        <f>HYPERLINK("http://www.washoecounty.gov/assessor/cama/?parid=222-143-02&amp;CardNumber=1","222-143-02")</f>
        <v>222-143-02</v>
      </c>
      <c r="B6124" t="s">
        <v>4655</v>
      </c>
      <c r="C6124" t="s">
        <v>29937</v>
      </c>
      <c r="D6124" s="1">
        <v>40385</v>
      </c>
      <c r="E6124" s="2">
        <v>415000</v>
      </c>
      <c r="F6124" t="s">
        <v>4567</v>
      </c>
      <c r="G6124" s="17" t="str">
        <f>HYPERLINK("https://www.washoecounty.gov/assessor/cama/?command=sales&amp;parid=22214302","3904987")</f>
        <v>3904987</v>
      </c>
      <c r="H6124" t="s">
        <v>1258</v>
      </c>
      <c r="I6124">
        <v>2000</v>
      </c>
      <c r="J6124">
        <v>2000</v>
      </c>
      <c r="K6124" t="s">
        <v>4554</v>
      </c>
      <c r="L6124" t="s">
        <v>4555</v>
      </c>
      <c r="M6124" s="2">
        <v>2440</v>
      </c>
      <c r="N6124" t="s">
        <v>1245</v>
      </c>
      <c r="O6124">
        <v>3</v>
      </c>
      <c r="P6124">
        <v>2</v>
      </c>
      <c r="Q6124">
        <v>1</v>
      </c>
      <c r="R6124" t="s">
        <v>4557</v>
      </c>
      <c r="S6124" t="s">
        <v>4898</v>
      </c>
      <c r="T6124" t="s">
        <v>2704</v>
      </c>
      <c r="U6124" t="s">
        <v>4560</v>
      </c>
      <c r="V6124" s="2">
        <v>721</v>
      </c>
      <c r="W6124" t="s">
        <v>4655</v>
      </c>
      <c r="X6124" s="2">
        <v>0</v>
      </c>
      <c r="Y6124">
        <v>20</v>
      </c>
      <c r="Z6124" t="s">
        <v>385</v>
      </c>
      <c r="AA6124" s="3">
        <v>0.34800276160240201</v>
      </c>
      <c r="AB6124" t="s">
        <v>29938</v>
      </c>
      <c r="AC6124" t="s">
        <v>4575</v>
      </c>
      <c r="AD6124" t="s">
        <v>29937</v>
      </c>
      <c r="AE6124" t="s">
        <v>4655</v>
      </c>
      <c r="AF6124" t="s">
        <v>4563</v>
      </c>
      <c r="AG6124" t="s">
        <v>4564</v>
      </c>
      <c r="AH6124" t="s">
        <v>2330</v>
      </c>
      <c r="AI6124" t="s">
        <v>26250</v>
      </c>
      <c r="AJ6124" t="s">
        <v>326</v>
      </c>
      <c r="AK6124" t="s">
        <v>29939</v>
      </c>
      <c r="AL6124" s="13" t="s">
        <v>2257</v>
      </c>
      <c r="AM6124" s="14">
        <v>1</v>
      </c>
      <c r="AN6124" s="15" t="s">
        <v>327</v>
      </c>
    </row>
    <row r="6125" spans="1:40" x14ac:dyDescent="0.3">
      <c r="A6125" s="10" t="str">
        <f>HYPERLINK("http://www.washoecounty.gov/assessor/cama/?parid=224-031-04&amp;CardNumber=1","224-031-04")</f>
        <v>224-031-04</v>
      </c>
      <c r="B6125" t="s">
        <v>4655</v>
      </c>
      <c r="C6125" t="s">
        <v>29940</v>
      </c>
      <c r="D6125" s="1">
        <v>40225</v>
      </c>
      <c r="E6125" s="2">
        <v>570000</v>
      </c>
      <c r="F6125" t="s">
        <v>4567</v>
      </c>
      <c r="G6125" s="17" t="str">
        <f>HYPERLINK("https://www.washoecounty.gov/assessor/cama/?command=sales&amp;parid=22403104","3849509")</f>
        <v>3849509</v>
      </c>
      <c r="H6125" t="s">
        <v>29941</v>
      </c>
      <c r="I6125">
        <v>2008</v>
      </c>
      <c r="J6125">
        <v>2008</v>
      </c>
      <c r="K6125" t="s">
        <v>4554</v>
      </c>
      <c r="L6125" t="s">
        <v>4555</v>
      </c>
      <c r="M6125" s="2">
        <v>2610</v>
      </c>
      <c r="N6125" t="s">
        <v>5106</v>
      </c>
      <c r="O6125">
        <v>3</v>
      </c>
      <c r="P6125">
        <v>3</v>
      </c>
      <c r="Q6125">
        <v>1</v>
      </c>
      <c r="R6125" t="s">
        <v>5281</v>
      </c>
      <c r="S6125" t="s">
        <v>4898</v>
      </c>
      <c r="T6125" t="s">
        <v>2704</v>
      </c>
      <c r="U6125" t="s">
        <v>4560</v>
      </c>
      <c r="V6125" s="2">
        <v>816</v>
      </c>
      <c r="W6125" t="s">
        <v>4655</v>
      </c>
      <c r="X6125" s="2">
        <v>0</v>
      </c>
      <c r="Y6125">
        <v>20</v>
      </c>
      <c r="Z6125" t="s">
        <v>5282</v>
      </c>
      <c r="AA6125" s="3">
        <v>0.22699724137783051</v>
      </c>
      <c r="AB6125" t="s">
        <v>29942</v>
      </c>
      <c r="AC6125" t="s">
        <v>4575</v>
      </c>
      <c r="AD6125" t="s">
        <v>29940</v>
      </c>
      <c r="AE6125" t="s">
        <v>4655</v>
      </c>
      <c r="AF6125" t="s">
        <v>4563</v>
      </c>
      <c r="AG6125" t="s">
        <v>4564</v>
      </c>
      <c r="AH6125">
        <v>89509</v>
      </c>
      <c r="AI6125" t="s">
        <v>29943</v>
      </c>
      <c r="AJ6125" t="s">
        <v>29944</v>
      </c>
      <c r="AK6125" t="s">
        <v>29945</v>
      </c>
      <c r="AL6125" s="13" t="s">
        <v>2255</v>
      </c>
      <c r="AM6125">
        <v>1</v>
      </c>
      <c r="AN6125" s="15" t="s">
        <v>2013</v>
      </c>
    </row>
    <row r="6126" spans="1:40" x14ac:dyDescent="0.3">
      <c r="A6126" s="10" t="str">
        <f>HYPERLINK("http://www.washoecounty.gov/assessor/cama/?parid=224-031-08&amp;CardNumber=1","224-031-08")</f>
        <v>224-031-08</v>
      </c>
      <c r="B6126" t="s">
        <v>4655</v>
      </c>
      <c r="C6126" t="s">
        <v>29946</v>
      </c>
      <c r="D6126" s="1">
        <v>40491</v>
      </c>
      <c r="E6126" s="2">
        <v>444000</v>
      </c>
      <c r="F6126" t="s">
        <v>4567</v>
      </c>
      <c r="G6126" s="17" t="str">
        <f>HYPERLINK("https://www.washoecounty.gov/assessor/cama/?command=sales&amp;parid=22403108","3941342")</f>
        <v>3941342</v>
      </c>
      <c r="H6126" t="s">
        <v>29941</v>
      </c>
      <c r="I6126">
        <v>1997</v>
      </c>
      <c r="J6126">
        <v>1997</v>
      </c>
      <c r="K6126" t="s">
        <v>4554</v>
      </c>
      <c r="L6126" t="s">
        <v>4555</v>
      </c>
      <c r="M6126" s="2">
        <v>2770</v>
      </c>
      <c r="N6126" t="s">
        <v>2012</v>
      </c>
      <c r="O6126">
        <v>4</v>
      </c>
      <c r="P6126">
        <v>4</v>
      </c>
      <c r="Q6126">
        <v>1</v>
      </c>
      <c r="R6126" t="s">
        <v>5281</v>
      </c>
      <c r="S6126" t="s">
        <v>4898</v>
      </c>
      <c r="T6126" t="s">
        <v>2704</v>
      </c>
      <c r="U6126" t="s">
        <v>4560</v>
      </c>
      <c r="V6126" s="2">
        <v>732</v>
      </c>
      <c r="W6126" t="s">
        <v>4655</v>
      </c>
      <c r="X6126" s="2">
        <v>0</v>
      </c>
      <c r="Y6126">
        <v>20</v>
      </c>
      <c r="Z6126" t="s">
        <v>5282</v>
      </c>
      <c r="AA6126" s="3">
        <v>0.20700183510780301</v>
      </c>
      <c r="AB6126" t="s">
        <v>29947</v>
      </c>
      <c r="AC6126" t="s">
        <v>4562</v>
      </c>
      <c r="AD6126" t="s">
        <v>29948</v>
      </c>
      <c r="AE6126" t="s">
        <v>4655</v>
      </c>
      <c r="AF6126" t="s">
        <v>4563</v>
      </c>
      <c r="AG6126" t="s">
        <v>4564</v>
      </c>
      <c r="AH6126" t="s">
        <v>2330</v>
      </c>
      <c r="AI6126" t="s">
        <v>4424</v>
      </c>
      <c r="AJ6126" t="s">
        <v>29944</v>
      </c>
      <c r="AK6126" t="s">
        <v>29949</v>
      </c>
      <c r="AL6126" s="13" t="s">
        <v>2255</v>
      </c>
      <c r="AM6126">
        <v>1</v>
      </c>
      <c r="AN6126" s="15" t="s">
        <v>2013</v>
      </c>
    </row>
    <row r="6127" spans="1:40" x14ac:dyDescent="0.3">
      <c r="A6127" s="10" t="str">
        <f>HYPERLINK("http://www.washoecounty.gov/assessor/cama/?parid=224-061-05&amp;CardNumber=1","224-061-05")</f>
        <v>224-061-05</v>
      </c>
      <c r="B6127" t="s">
        <v>4655</v>
      </c>
      <c r="C6127" t="s">
        <v>29950</v>
      </c>
      <c r="D6127" s="1">
        <v>40490</v>
      </c>
      <c r="E6127" s="2">
        <v>340000</v>
      </c>
      <c r="F6127" t="s">
        <v>4567</v>
      </c>
      <c r="G6127" s="17" t="str">
        <f>HYPERLINK("https://www.washoecounty.gov/assessor/cama/?command=sales&amp;parid=22406105","3940880")</f>
        <v>3940880</v>
      </c>
      <c r="H6127" t="s">
        <v>29951</v>
      </c>
      <c r="I6127">
        <v>1998</v>
      </c>
      <c r="J6127">
        <v>1998</v>
      </c>
      <c r="K6127" t="s">
        <v>4554</v>
      </c>
      <c r="L6127" t="s">
        <v>3974</v>
      </c>
      <c r="M6127" s="2">
        <v>2314</v>
      </c>
      <c r="N6127" t="s">
        <v>3147</v>
      </c>
      <c r="O6127">
        <v>4</v>
      </c>
      <c r="P6127">
        <v>3</v>
      </c>
      <c r="Q6127">
        <v>0</v>
      </c>
      <c r="R6127" t="s">
        <v>5281</v>
      </c>
      <c r="S6127" t="s">
        <v>4898</v>
      </c>
      <c r="T6127" t="s">
        <v>2704</v>
      </c>
      <c r="U6127" t="s">
        <v>5631</v>
      </c>
      <c r="V6127" s="2">
        <v>620</v>
      </c>
      <c r="W6127" t="s">
        <v>4655</v>
      </c>
      <c r="X6127" s="2">
        <v>0</v>
      </c>
      <c r="Y6127">
        <v>20</v>
      </c>
      <c r="Z6127" t="s">
        <v>4561</v>
      </c>
      <c r="AA6127" s="3">
        <v>0.15000000596046401</v>
      </c>
      <c r="AB6127" t="s">
        <v>29952</v>
      </c>
      <c r="AC6127" t="s">
        <v>4575</v>
      </c>
      <c r="AD6127" t="s">
        <v>29950</v>
      </c>
      <c r="AE6127" t="s">
        <v>4655</v>
      </c>
      <c r="AF6127" t="s">
        <v>4563</v>
      </c>
      <c r="AG6127" t="s">
        <v>4564</v>
      </c>
      <c r="AH6127">
        <v>89509</v>
      </c>
      <c r="AI6127" t="s">
        <v>29953</v>
      </c>
      <c r="AJ6127" t="s">
        <v>29954</v>
      </c>
      <c r="AK6127" t="s">
        <v>29955</v>
      </c>
      <c r="AL6127" s="13" t="s">
        <v>2255</v>
      </c>
      <c r="AM6127">
        <v>1</v>
      </c>
      <c r="AN6127" s="15" t="s">
        <v>5516</v>
      </c>
    </row>
    <row r="6128" spans="1:40" x14ac:dyDescent="0.3">
      <c r="A6128" s="10" t="str">
        <f>HYPERLINK("http://www.washoecounty.gov/assessor/cama/?parid=224-064-05&amp;CardNumber=1","224-064-05")</f>
        <v>224-064-05</v>
      </c>
      <c r="B6128" t="s">
        <v>4655</v>
      </c>
      <c r="C6128" t="s">
        <v>29956</v>
      </c>
      <c r="D6128" s="1">
        <v>40442</v>
      </c>
      <c r="E6128" s="2">
        <v>330000</v>
      </c>
      <c r="F6128" t="s">
        <v>4567</v>
      </c>
      <c r="G6128" s="17" t="str">
        <f>HYPERLINK("https://www.washoecounty.gov/assessor/cama/?command=sales&amp;parid=22406405","3924644")</f>
        <v>3924644</v>
      </c>
      <c r="H6128" t="s">
        <v>29951</v>
      </c>
      <c r="I6128">
        <v>1999</v>
      </c>
      <c r="J6128">
        <v>1999</v>
      </c>
      <c r="K6128" t="s">
        <v>4554</v>
      </c>
      <c r="L6128" t="s">
        <v>3974</v>
      </c>
      <c r="M6128" s="2">
        <v>2762</v>
      </c>
      <c r="N6128" t="s">
        <v>3147</v>
      </c>
      <c r="O6128">
        <v>4</v>
      </c>
      <c r="P6128">
        <v>3</v>
      </c>
      <c r="Q6128">
        <v>0</v>
      </c>
      <c r="R6128" t="s">
        <v>5281</v>
      </c>
      <c r="S6128" t="s">
        <v>4898</v>
      </c>
      <c r="T6128" t="s">
        <v>2704</v>
      </c>
      <c r="U6128" t="s">
        <v>5631</v>
      </c>
      <c r="V6128" s="2">
        <v>620</v>
      </c>
      <c r="W6128" t="s">
        <v>4655</v>
      </c>
      <c r="X6128" s="2">
        <v>0</v>
      </c>
      <c r="Y6128">
        <v>20</v>
      </c>
      <c r="Z6128" t="s">
        <v>4561</v>
      </c>
      <c r="AA6128" s="3">
        <v>0.20700183510780301</v>
      </c>
      <c r="AB6128" t="s">
        <v>29957</v>
      </c>
      <c r="AC6128" t="s">
        <v>4562</v>
      </c>
      <c r="AD6128" t="s">
        <v>29956</v>
      </c>
      <c r="AE6128" t="s">
        <v>4655</v>
      </c>
      <c r="AF6128" t="s">
        <v>4563</v>
      </c>
      <c r="AG6128" t="s">
        <v>4564</v>
      </c>
      <c r="AH6128">
        <v>89509</v>
      </c>
      <c r="AI6128" t="s">
        <v>29958</v>
      </c>
      <c r="AJ6128" t="s">
        <v>29954</v>
      </c>
      <c r="AK6128" t="s">
        <v>29959</v>
      </c>
      <c r="AL6128" s="13" t="s">
        <v>2255</v>
      </c>
      <c r="AM6128" s="14">
        <v>1</v>
      </c>
      <c r="AN6128" s="15" t="s">
        <v>5516</v>
      </c>
    </row>
    <row r="6129" spans="1:40" x14ac:dyDescent="0.3">
      <c r="A6129" s="10" t="str">
        <f>HYPERLINK("http://www.washoecounty.gov/assessor/cama/?parid=224-092-04&amp;CardNumber=1","224-092-04")</f>
        <v>224-092-04</v>
      </c>
      <c r="B6129" t="s">
        <v>4655</v>
      </c>
      <c r="C6129" t="s">
        <v>29960</v>
      </c>
      <c r="D6129" s="1">
        <v>40466</v>
      </c>
      <c r="E6129" s="2">
        <v>450000</v>
      </c>
      <c r="F6129" t="s">
        <v>4567</v>
      </c>
      <c r="G6129" s="17" t="str">
        <f>HYPERLINK("https://www.washoecounty.gov/assessor/cama/?command=sales&amp;parid=22409204","3933729")</f>
        <v>3933729</v>
      </c>
      <c r="H6129" t="s">
        <v>1471</v>
      </c>
      <c r="I6129">
        <v>2002</v>
      </c>
      <c r="J6129">
        <v>2002</v>
      </c>
      <c r="K6129" t="s">
        <v>4554</v>
      </c>
      <c r="L6129" t="s">
        <v>3974</v>
      </c>
      <c r="M6129" s="2">
        <v>3460</v>
      </c>
      <c r="N6129" t="s">
        <v>2012</v>
      </c>
      <c r="O6129">
        <v>5</v>
      </c>
      <c r="P6129">
        <v>3</v>
      </c>
      <c r="Q6129">
        <v>1</v>
      </c>
      <c r="R6129" t="s">
        <v>5281</v>
      </c>
      <c r="S6129" t="s">
        <v>4898</v>
      </c>
      <c r="T6129" t="s">
        <v>2704</v>
      </c>
      <c r="U6129" t="s">
        <v>4560</v>
      </c>
      <c r="V6129" s="2">
        <v>864</v>
      </c>
      <c r="W6129" t="s">
        <v>4655</v>
      </c>
      <c r="X6129" s="2">
        <v>0</v>
      </c>
      <c r="Y6129">
        <v>20</v>
      </c>
      <c r="Z6129" t="s">
        <v>385</v>
      </c>
      <c r="AA6129" s="3">
        <v>0.26400366425514199</v>
      </c>
      <c r="AB6129" t="s">
        <v>29961</v>
      </c>
      <c r="AC6129" t="s">
        <v>4562</v>
      </c>
      <c r="AD6129" t="s">
        <v>29962</v>
      </c>
      <c r="AE6129" t="s">
        <v>4655</v>
      </c>
      <c r="AF6129" t="s">
        <v>4563</v>
      </c>
      <c r="AG6129" t="s">
        <v>4564</v>
      </c>
      <c r="AH6129">
        <v>89509</v>
      </c>
      <c r="AI6129" t="s">
        <v>29963</v>
      </c>
      <c r="AJ6129" t="s">
        <v>546</v>
      </c>
      <c r="AK6129" t="s">
        <v>29964</v>
      </c>
      <c r="AL6129" s="13" t="s">
        <v>2255</v>
      </c>
      <c r="AM6129" s="14">
        <v>1</v>
      </c>
      <c r="AN6129" s="15" t="s">
        <v>2013</v>
      </c>
    </row>
    <row r="6130" spans="1:40" x14ac:dyDescent="0.3">
      <c r="A6130" s="10" t="str">
        <f>HYPERLINK("http://www.washoecounty.gov/assessor/cama/?parid=224-092-17&amp;CardNumber=1","224-092-17")</f>
        <v>224-092-17</v>
      </c>
      <c r="B6130" t="s">
        <v>4655</v>
      </c>
      <c r="C6130" t="s">
        <v>29965</v>
      </c>
      <c r="D6130" s="1">
        <v>40472</v>
      </c>
      <c r="E6130" s="2">
        <v>665000</v>
      </c>
      <c r="F6130" t="s">
        <v>4567</v>
      </c>
      <c r="G6130" s="17" t="str">
        <f>HYPERLINK("https://www.washoecounty.gov/assessor/cama/?command=sales&amp;parid=22409217","3935357")</f>
        <v>3935357</v>
      </c>
      <c r="H6130" t="s">
        <v>1471</v>
      </c>
      <c r="I6130">
        <v>2004</v>
      </c>
      <c r="J6130">
        <v>2004</v>
      </c>
      <c r="K6130" t="s">
        <v>4554</v>
      </c>
      <c r="L6130" t="s">
        <v>4555</v>
      </c>
      <c r="M6130" s="2">
        <v>3803</v>
      </c>
      <c r="N6130" t="s">
        <v>2008</v>
      </c>
      <c r="O6130">
        <v>4</v>
      </c>
      <c r="P6130">
        <v>3</v>
      </c>
      <c r="Q6130">
        <v>1</v>
      </c>
      <c r="R6130" t="s">
        <v>5281</v>
      </c>
      <c r="S6130" t="s">
        <v>4898</v>
      </c>
      <c r="T6130" t="s">
        <v>2704</v>
      </c>
      <c r="U6130" t="s">
        <v>4560</v>
      </c>
      <c r="V6130" s="2">
        <v>849</v>
      </c>
      <c r="W6130" t="s">
        <v>4655</v>
      </c>
      <c r="X6130" s="2">
        <v>0</v>
      </c>
      <c r="Y6130">
        <v>20</v>
      </c>
      <c r="Z6130" t="s">
        <v>385</v>
      </c>
      <c r="AA6130" s="3">
        <v>0.21701101958751701</v>
      </c>
      <c r="AB6130" t="s">
        <v>29966</v>
      </c>
      <c r="AC6130" t="s">
        <v>4575</v>
      </c>
      <c r="AD6130" t="s">
        <v>29965</v>
      </c>
      <c r="AE6130" t="s">
        <v>4655</v>
      </c>
      <c r="AF6130" t="s">
        <v>4563</v>
      </c>
      <c r="AG6130" t="s">
        <v>4564</v>
      </c>
      <c r="AH6130">
        <v>89509</v>
      </c>
      <c r="AI6130" t="s">
        <v>29967</v>
      </c>
      <c r="AJ6130" t="s">
        <v>546</v>
      </c>
      <c r="AK6130" t="s">
        <v>29968</v>
      </c>
      <c r="AL6130" s="13" t="s">
        <v>2255</v>
      </c>
      <c r="AM6130" s="14">
        <v>1</v>
      </c>
      <c r="AN6130" s="15" t="s">
        <v>2013</v>
      </c>
    </row>
    <row r="6131" spans="1:40" x14ac:dyDescent="0.3">
      <c r="A6131" s="10" t="str">
        <f>HYPERLINK("http://www.washoecounty.gov/assessor/cama/?parid=230-060-12&amp;CardNumber=1","230-060-12")</f>
        <v>230-060-12</v>
      </c>
      <c r="B6131" t="s">
        <v>4655</v>
      </c>
      <c r="C6131" t="s">
        <v>29969</v>
      </c>
      <c r="D6131" s="1">
        <v>40343</v>
      </c>
      <c r="E6131" s="2">
        <v>770000</v>
      </c>
      <c r="F6131" t="s">
        <v>4553</v>
      </c>
      <c r="G6131" s="17" t="str">
        <f>HYPERLINK("https://www.washoecounty.gov/assessor/cama/?command=sales&amp;parid=23006012","3891538")</f>
        <v>3891538</v>
      </c>
      <c r="H6131" t="s">
        <v>29970</v>
      </c>
      <c r="I6131">
        <v>0</v>
      </c>
      <c r="J6131">
        <v>0</v>
      </c>
      <c r="K6131" t="s">
        <v>4655</v>
      </c>
      <c r="L6131" t="s">
        <v>4655</v>
      </c>
      <c r="M6131" s="2">
        <v>0</v>
      </c>
      <c r="N6131" t="s">
        <v>4655</v>
      </c>
      <c r="O6131">
        <v>0</v>
      </c>
      <c r="P6131">
        <v>0</v>
      </c>
      <c r="Q6131">
        <v>0</v>
      </c>
      <c r="R6131" t="s">
        <v>4655</v>
      </c>
      <c r="S6131" t="s">
        <v>4655</v>
      </c>
      <c r="T6131" t="s">
        <v>4655</v>
      </c>
      <c r="U6131" t="s">
        <v>4655</v>
      </c>
      <c r="V6131" s="2">
        <v>0</v>
      </c>
      <c r="W6131" t="s">
        <v>4655</v>
      </c>
      <c r="X6131" s="2">
        <v>0</v>
      </c>
      <c r="Y6131">
        <v>12</v>
      </c>
      <c r="Z6131" t="s">
        <v>1376</v>
      </c>
      <c r="AA6131" s="3">
        <v>4.184999942779541</v>
      </c>
      <c r="AB6131" t="s">
        <v>29971</v>
      </c>
      <c r="AC6131" t="s">
        <v>4562</v>
      </c>
      <c r="AD6131" t="s">
        <v>29972</v>
      </c>
      <c r="AE6131" t="s">
        <v>4655</v>
      </c>
      <c r="AF6131" t="s">
        <v>4563</v>
      </c>
      <c r="AG6131" t="s">
        <v>4564</v>
      </c>
      <c r="AH6131" t="s">
        <v>5197</v>
      </c>
      <c r="AI6131" t="s">
        <v>4045</v>
      </c>
      <c r="AJ6131" t="s">
        <v>29973</v>
      </c>
      <c r="AK6131" t="s">
        <v>29974</v>
      </c>
      <c r="AL6131" s="13" t="s">
        <v>3420</v>
      </c>
      <c r="AM6131">
        <v>0</v>
      </c>
      <c r="AN6131" s="15" t="s">
        <v>29975</v>
      </c>
    </row>
    <row r="6132" spans="1:40" x14ac:dyDescent="0.3">
      <c r="A6132" s="10" t="str">
        <f>HYPERLINK("http://www.washoecounty.gov/assessor/cama/?parid=230-060-13&amp;CardNumber=1","230-060-13")</f>
        <v>230-060-13</v>
      </c>
      <c r="B6132" t="s">
        <v>4655</v>
      </c>
      <c r="C6132" t="s">
        <v>29976</v>
      </c>
      <c r="D6132" s="1">
        <v>40343</v>
      </c>
      <c r="E6132" s="2">
        <v>770000</v>
      </c>
      <c r="F6132" t="s">
        <v>4553</v>
      </c>
      <c r="G6132" s="17" t="str">
        <f>HYPERLINK("https://www.washoecounty.gov/assessor/cama/?command=sales&amp;parid=23006013","3891538")</f>
        <v>3891538</v>
      </c>
      <c r="H6132" t="s">
        <v>29970</v>
      </c>
      <c r="I6132">
        <v>1975</v>
      </c>
      <c r="J6132">
        <v>1985</v>
      </c>
      <c r="K6132" t="s">
        <v>4554</v>
      </c>
      <c r="L6132" t="s">
        <v>4555</v>
      </c>
      <c r="M6132" s="2">
        <v>4084</v>
      </c>
      <c r="N6132" t="s">
        <v>1245</v>
      </c>
      <c r="O6132">
        <v>6</v>
      </c>
      <c r="P6132">
        <v>4</v>
      </c>
      <c r="Q6132">
        <v>0</v>
      </c>
      <c r="R6132" t="s">
        <v>4557</v>
      </c>
      <c r="S6132" t="s">
        <v>4135</v>
      </c>
      <c r="T6132" t="s">
        <v>4143</v>
      </c>
      <c r="U6132" t="s">
        <v>4655</v>
      </c>
      <c r="V6132" s="2">
        <v>0</v>
      </c>
      <c r="W6132" t="s">
        <v>3201</v>
      </c>
      <c r="X6132" s="2">
        <v>3348</v>
      </c>
      <c r="Y6132">
        <v>20</v>
      </c>
      <c r="Z6132" t="s">
        <v>1376</v>
      </c>
      <c r="AA6132" s="3">
        <v>2</v>
      </c>
      <c r="AB6132" t="s">
        <v>29971</v>
      </c>
      <c r="AC6132" t="s">
        <v>4562</v>
      </c>
      <c r="AD6132" t="s">
        <v>29976</v>
      </c>
      <c r="AE6132" t="s">
        <v>4655</v>
      </c>
      <c r="AF6132" t="s">
        <v>4563</v>
      </c>
      <c r="AG6132" t="s">
        <v>4564</v>
      </c>
      <c r="AH6132">
        <v>89511</v>
      </c>
      <c r="AI6132" t="s">
        <v>29971</v>
      </c>
      <c r="AJ6132" t="s">
        <v>29973</v>
      </c>
      <c r="AK6132" t="s">
        <v>29977</v>
      </c>
      <c r="AL6132" s="13" t="s">
        <v>3420</v>
      </c>
      <c r="AM6132" s="14">
        <v>1</v>
      </c>
      <c r="AN6132" s="15" t="s">
        <v>29975</v>
      </c>
    </row>
    <row r="6133" spans="1:40" x14ac:dyDescent="0.3">
      <c r="A6133" s="10" t="str">
        <f>HYPERLINK("http://www.washoecounty.gov/assessor/cama/?parid=232-060-21&amp;CardNumber=1","232-060-21")</f>
        <v>232-060-21</v>
      </c>
      <c r="B6133" t="s">
        <v>4655</v>
      </c>
      <c r="C6133" t="s">
        <v>303</v>
      </c>
      <c r="D6133" s="1">
        <v>40448</v>
      </c>
      <c r="E6133" s="2">
        <v>480000</v>
      </c>
      <c r="F6133" t="s">
        <v>3174</v>
      </c>
      <c r="G6133" s="17" t="str">
        <f>HYPERLINK("https://www.washoecounty.gov/assessor/cama/?command=sales&amp;parid=23206021","3926564")</f>
        <v>3926564</v>
      </c>
      <c r="H6133" t="s">
        <v>29978</v>
      </c>
      <c r="I6133">
        <v>0</v>
      </c>
      <c r="J6133">
        <v>0</v>
      </c>
      <c r="K6133" t="s">
        <v>4655</v>
      </c>
      <c r="L6133" t="s">
        <v>4655</v>
      </c>
      <c r="M6133" s="2">
        <v>0</v>
      </c>
      <c r="N6133" t="s">
        <v>4655</v>
      </c>
      <c r="O6133">
        <v>0</v>
      </c>
      <c r="P6133">
        <v>0</v>
      </c>
      <c r="Q6133">
        <v>0</v>
      </c>
      <c r="R6133" t="s">
        <v>4655</v>
      </c>
      <c r="S6133" t="s">
        <v>4655</v>
      </c>
      <c r="T6133" t="s">
        <v>4655</v>
      </c>
      <c r="U6133" t="s">
        <v>4655</v>
      </c>
      <c r="V6133" s="2">
        <v>0</v>
      </c>
      <c r="W6133" t="s">
        <v>4655</v>
      </c>
      <c r="X6133" s="2">
        <v>0</v>
      </c>
      <c r="Y6133">
        <v>10</v>
      </c>
      <c r="Z6133" t="s">
        <v>1491</v>
      </c>
      <c r="AA6133" s="3">
        <v>69.457000732421804</v>
      </c>
      <c r="AB6133" t="s">
        <v>4414</v>
      </c>
      <c r="AC6133" t="s">
        <v>4562</v>
      </c>
      <c r="AD6133" t="s">
        <v>29979</v>
      </c>
      <c r="AE6133" t="s">
        <v>29980</v>
      </c>
      <c r="AF6133" t="s">
        <v>1189</v>
      </c>
      <c r="AG6133" t="s">
        <v>4564</v>
      </c>
      <c r="AH6133" t="s">
        <v>2078</v>
      </c>
      <c r="AI6133" t="s">
        <v>29981</v>
      </c>
      <c r="AJ6133" t="s">
        <v>29982</v>
      </c>
      <c r="AK6133" t="s">
        <v>29983</v>
      </c>
      <c r="AL6133" s="13" t="s">
        <v>1896</v>
      </c>
      <c r="AM6133" s="14">
        <v>0</v>
      </c>
      <c r="AN6133" s="15" t="s">
        <v>29984</v>
      </c>
    </row>
    <row r="6134" spans="1:40" x14ac:dyDescent="0.3">
      <c r="A6134" s="10" t="str">
        <f>HYPERLINK("http://www.washoecounty.gov/assessor/cama/?parid=232-060-23&amp;CardNumber=1","232-060-23")</f>
        <v>232-060-23</v>
      </c>
      <c r="B6134" t="s">
        <v>4655</v>
      </c>
      <c r="C6134" t="s">
        <v>303</v>
      </c>
      <c r="D6134" s="1">
        <v>40448</v>
      </c>
      <c r="E6134" s="2">
        <v>480000</v>
      </c>
      <c r="F6134" t="s">
        <v>3174</v>
      </c>
      <c r="G6134" s="17" t="str">
        <f>HYPERLINK("https://www.washoecounty.gov/assessor/cama/?command=sales&amp;parid=23206023","3926564")</f>
        <v>3926564</v>
      </c>
      <c r="H6134" t="s">
        <v>29978</v>
      </c>
      <c r="I6134">
        <v>0</v>
      </c>
      <c r="J6134">
        <v>0</v>
      </c>
      <c r="K6134" t="s">
        <v>4655</v>
      </c>
      <c r="L6134" t="s">
        <v>4655</v>
      </c>
      <c r="M6134" s="2">
        <v>0</v>
      </c>
      <c r="N6134" t="s">
        <v>4655</v>
      </c>
      <c r="O6134">
        <v>0</v>
      </c>
      <c r="P6134">
        <v>0</v>
      </c>
      <c r="Q6134">
        <v>0</v>
      </c>
      <c r="R6134" t="s">
        <v>4655</v>
      </c>
      <c r="S6134" t="s">
        <v>4655</v>
      </c>
      <c r="T6134" t="s">
        <v>4655</v>
      </c>
      <c r="U6134" t="s">
        <v>4655</v>
      </c>
      <c r="V6134" s="2">
        <v>0</v>
      </c>
      <c r="W6134" t="s">
        <v>4655</v>
      </c>
      <c r="X6134" s="2">
        <v>0</v>
      </c>
      <c r="Y6134">
        <v>16</v>
      </c>
      <c r="Z6134" t="s">
        <v>1491</v>
      </c>
      <c r="AA6134" s="3">
        <v>0.16085858643055001</v>
      </c>
      <c r="AB6134" t="s">
        <v>4414</v>
      </c>
      <c r="AC6134" t="s">
        <v>4562</v>
      </c>
      <c r="AD6134" t="s">
        <v>29979</v>
      </c>
      <c r="AE6134" t="s">
        <v>29980</v>
      </c>
      <c r="AF6134" t="s">
        <v>1189</v>
      </c>
      <c r="AG6134" t="s">
        <v>4564</v>
      </c>
      <c r="AH6134" t="s">
        <v>2078</v>
      </c>
      <c r="AI6134" t="s">
        <v>29981</v>
      </c>
      <c r="AJ6134" t="s">
        <v>29982</v>
      </c>
      <c r="AK6134" t="s">
        <v>29985</v>
      </c>
      <c r="AL6134" s="13" t="s">
        <v>1896</v>
      </c>
      <c r="AM6134">
        <v>0</v>
      </c>
      <c r="AN6134" s="15" t="s">
        <v>4547</v>
      </c>
    </row>
    <row r="6135" spans="1:40" x14ac:dyDescent="0.3">
      <c r="A6135" s="10" t="str">
        <f>HYPERLINK("http://www.washoecounty.gov/assessor/cama/?parid=232-071-06&amp;CardNumber=1","232-071-06")</f>
        <v>232-071-06</v>
      </c>
      <c r="B6135" t="s">
        <v>4655</v>
      </c>
      <c r="C6135" t="s">
        <v>29986</v>
      </c>
      <c r="D6135" s="1">
        <v>40498</v>
      </c>
      <c r="E6135" s="2">
        <v>268500</v>
      </c>
      <c r="F6135" t="s">
        <v>4553</v>
      </c>
      <c r="G6135" s="17" t="str">
        <f>HYPERLINK("https://www.washoecounty.gov/assessor/cama/?command=sales&amp;parid=23207106","3943633")</f>
        <v>3943633</v>
      </c>
      <c r="H6135" t="s">
        <v>1554</v>
      </c>
      <c r="I6135">
        <v>2002</v>
      </c>
      <c r="J6135">
        <v>2002</v>
      </c>
      <c r="K6135" t="s">
        <v>4554</v>
      </c>
      <c r="L6135" t="s">
        <v>4555</v>
      </c>
      <c r="M6135" s="2">
        <v>1879</v>
      </c>
      <c r="N6135" t="s">
        <v>3147</v>
      </c>
      <c r="O6135">
        <v>2</v>
      </c>
      <c r="P6135">
        <v>2</v>
      </c>
      <c r="Q6135">
        <v>0</v>
      </c>
      <c r="R6135" t="s">
        <v>5281</v>
      </c>
      <c r="S6135" t="s">
        <v>4898</v>
      </c>
      <c r="T6135" t="s">
        <v>2704</v>
      </c>
      <c r="U6135" t="s">
        <v>4560</v>
      </c>
      <c r="V6135" s="2">
        <v>499</v>
      </c>
      <c r="W6135" t="s">
        <v>4655</v>
      </c>
      <c r="X6135" s="2">
        <v>0</v>
      </c>
      <c r="Y6135">
        <v>20</v>
      </c>
      <c r="Z6135" t="s">
        <v>1491</v>
      </c>
      <c r="AA6135" s="3">
        <v>0.176744714379311</v>
      </c>
      <c r="AB6135" t="s">
        <v>29987</v>
      </c>
      <c r="AC6135" t="s">
        <v>4575</v>
      </c>
      <c r="AD6135" t="s">
        <v>29986</v>
      </c>
      <c r="AE6135" t="s">
        <v>4655</v>
      </c>
      <c r="AF6135" t="s">
        <v>4563</v>
      </c>
      <c r="AG6135" t="s">
        <v>4564</v>
      </c>
      <c r="AH6135" t="s">
        <v>1147</v>
      </c>
      <c r="AI6135" t="s">
        <v>4903</v>
      </c>
      <c r="AJ6135" t="s">
        <v>1531</v>
      </c>
      <c r="AK6135" t="s">
        <v>29988</v>
      </c>
      <c r="AL6135" s="13" t="s">
        <v>1896</v>
      </c>
      <c r="AM6135" s="14">
        <v>1</v>
      </c>
      <c r="AN6135" s="15" t="s">
        <v>2313</v>
      </c>
    </row>
    <row r="6136" spans="1:40" x14ac:dyDescent="0.3">
      <c r="A6136" s="10" t="str">
        <f>HYPERLINK("http://www.washoecounty.gov/assessor/cama/?parid=232-072-02&amp;CardNumber=1","232-072-02")</f>
        <v>232-072-02</v>
      </c>
      <c r="B6136" t="s">
        <v>4655</v>
      </c>
      <c r="C6136" t="s">
        <v>29989</v>
      </c>
      <c r="D6136" s="1">
        <v>40373</v>
      </c>
      <c r="E6136" s="2">
        <v>285000</v>
      </c>
      <c r="F6136" t="s">
        <v>4553</v>
      </c>
      <c r="G6136" s="17" t="str">
        <f>HYPERLINK("https://www.washoecounty.gov/assessor/cama/?command=sales&amp;parid=23207202","3901437")</f>
        <v>3901437</v>
      </c>
      <c r="H6136" t="s">
        <v>1554</v>
      </c>
      <c r="I6136">
        <v>2003</v>
      </c>
      <c r="J6136">
        <v>2003</v>
      </c>
      <c r="K6136" t="s">
        <v>4554</v>
      </c>
      <c r="L6136" t="s">
        <v>4555</v>
      </c>
      <c r="M6136" s="2">
        <v>1879</v>
      </c>
      <c r="N6136" t="s">
        <v>3147</v>
      </c>
      <c r="O6136">
        <v>2</v>
      </c>
      <c r="P6136">
        <v>2</v>
      </c>
      <c r="Q6136">
        <v>0</v>
      </c>
      <c r="R6136" t="s">
        <v>4557</v>
      </c>
      <c r="S6136" t="s">
        <v>4898</v>
      </c>
      <c r="T6136" t="s">
        <v>2704</v>
      </c>
      <c r="U6136" t="s">
        <v>4560</v>
      </c>
      <c r="V6136" s="2">
        <v>499</v>
      </c>
      <c r="W6136" t="s">
        <v>4655</v>
      </c>
      <c r="X6136" s="2">
        <v>0</v>
      </c>
      <c r="Y6136">
        <v>20</v>
      </c>
      <c r="Z6136" t="s">
        <v>1491</v>
      </c>
      <c r="AA6136" s="3">
        <v>0.16363635659217834</v>
      </c>
      <c r="AB6136" t="s">
        <v>29990</v>
      </c>
      <c r="AC6136" t="s">
        <v>4562</v>
      </c>
      <c r="AD6136" t="s">
        <v>29991</v>
      </c>
      <c r="AE6136" t="s">
        <v>4655</v>
      </c>
      <c r="AF6136" t="s">
        <v>2715</v>
      </c>
      <c r="AG6136" t="s">
        <v>4584</v>
      </c>
      <c r="AH6136" t="s">
        <v>1116</v>
      </c>
      <c r="AI6136" t="s">
        <v>4655</v>
      </c>
      <c r="AJ6136" t="s">
        <v>1531</v>
      </c>
      <c r="AK6136" t="s">
        <v>29992</v>
      </c>
      <c r="AL6136" s="13" t="s">
        <v>1897</v>
      </c>
      <c r="AM6136">
        <v>1</v>
      </c>
      <c r="AN6136" s="15" t="s">
        <v>2313</v>
      </c>
    </row>
    <row r="6137" spans="1:40" x14ac:dyDescent="0.3">
      <c r="A6137" s="10" t="str">
        <f>HYPERLINK("http://www.washoecounty.gov/assessor/cama/?parid=232-072-04&amp;CardNumber=1","232-072-04")</f>
        <v>232-072-04</v>
      </c>
      <c r="B6137" t="s">
        <v>4655</v>
      </c>
      <c r="C6137" t="s">
        <v>29993</v>
      </c>
      <c r="D6137" s="1">
        <v>40317</v>
      </c>
      <c r="E6137" s="2">
        <v>290000</v>
      </c>
      <c r="F6137" t="s">
        <v>4567</v>
      </c>
      <c r="G6137" s="17" t="str">
        <f>HYPERLINK("https://www.washoecounty.gov/assessor/cama/?command=sales&amp;parid=23207204","3882858")</f>
        <v>3882858</v>
      </c>
      <c r="H6137" t="s">
        <v>1554</v>
      </c>
      <c r="I6137">
        <v>2002</v>
      </c>
      <c r="J6137">
        <v>2002</v>
      </c>
      <c r="K6137" t="s">
        <v>4554</v>
      </c>
      <c r="L6137" t="s">
        <v>3974</v>
      </c>
      <c r="M6137" s="2">
        <v>2094</v>
      </c>
      <c r="N6137" t="s">
        <v>3147</v>
      </c>
      <c r="O6137">
        <v>3</v>
      </c>
      <c r="P6137">
        <v>2</v>
      </c>
      <c r="Q6137">
        <v>1</v>
      </c>
      <c r="R6137" t="s">
        <v>5281</v>
      </c>
      <c r="S6137" t="s">
        <v>4898</v>
      </c>
      <c r="T6137" t="s">
        <v>2704</v>
      </c>
      <c r="U6137" t="s">
        <v>4560</v>
      </c>
      <c r="V6137" s="2">
        <v>518</v>
      </c>
      <c r="W6137" t="s">
        <v>4655</v>
      </c>
      <c r="X6137" s="2">
        <v>0</v>
      </c>
      <c r="Y6137">
        <v>20</v>
      </c>
      <c r="Z6137" t="s">
        <v>1491</v>
      </c>
      <c r="AA6137" s="3">
        <v>0.231887057423592</v>
      </c>
      <c r="AB6137" t="s">
        <v>29994</v>
      </c>
      <c r="AC6137" t="s">
        <v>4562</v>
      </c>
      <c r="AD6137" t="s">
        <v>29993</v>
      </c>
      <c r="AE6137" t="s">
        <v>4655</v>
      </c>
      <c r="AF6137" t="s">
        <v>4563</v>
      </c>
      <c r="AG6137" t="s">
        <v>4564</v>
      </c>
      <c r="AH6137" t="s">
        <v>1147</v>
      </c>
      <c r="AI6137" t="s">
        <v>29995</v>
      </c>
      <c r="AJ6137" t="s">
        <v>1531</v>
      </c>
      <c r="AK6137" t="s">
        <v>29996</v>
      </c>
      <c r="AL6137" s="13" t="s">
        <v>1897</v>
      </c>
      <c r="AM6137" s="14">
        <v>1</v>
      </c>
      <c r="AN6137" s="15" t="s">
        <v>2313</v>
      </c>
    </row>
    <row r="6138" spans="1:40" x14ac:dyDescent="0.3">
      <c r="A6138" s="10" t="str">
        <f>HYPERLINK("http://www.washoecounty.gov/assessor/cama/?parid=232-101-09&amp;CardNumber=1","232-101-09")</f>
        <v>232-101-09</v>
      </c>
      <c r="B6138" t="s">
        <v>4655</v>
      </c>
      <c r="C6138" t="s">
        <v>29997</v>
      </c>
      <c r="D6138" s="1">
        <v>40308</v>
      </c>
      <c r="E6138" s="2">
        <v>340000</v>
      </c>
      <c r="F6138" t="s">
        <v>4567</v>
      </c>
      <c r="G6138" s="17" t="str">
        <f>HYPERLINK("https://www.washoecounty.gov/assessor/cama/?command=sales&amp;parid=23210109","3879862")</f>
        <v>3879862</v>
      </c>
      <c r="H6138" t="s">
        <v>559</v>
      </c>
      <c r="I6138">
        <v>2003</v>
      </c>
      <c r="J6138">
        <v>2003</v>
      </c>
      <c r="K6138" t="s">
        <v>4554</v>
      </c>
      <c r="L6138" t="s">
        <v>4555</v>
      </c>
      <c r="M6138" s="2">
        <v>2382</v>
      </c>
      <c r="N6138" t="s">
        <v>3887</v>
      </c>
      <c r="O6138">
        <v>3</v>
      </c>
      <c r="P6138">
        <v>2</v>
      </c>
      <c r="Q6138">
        <v>0</v>
      </c>
      <c r="R6138" t="s">
        <v>5281</v>
      </c>
      <c r="S6138" t="s">
        <v>4898</v>
      </c>
      <c r="T6138" t="s">
        <v>2704</v>
      </c>
      <c r="U6138" t="s">
        <v>4560</v>
      </c>
      <c r="V6138" s="2">
        <v>642</v>
      </c>
      <c r="W6138" t="s">
        <v>4655</v>
      </c>
      <c r="X6138" s="2">
        <v>0</v>
      </c>
      <c r="Y6138">
        <v>20</v>
      </c>
      <c r="Z6138" t="s">
        <v>1491</v>
      </c>
      <c r="AA6138" s="3">
        <v>0.22318640351295499</v>
      </c>
      <c r="AB6138" t="s">
        <v>29998</v>
      </c>
      <c r="AC6138" t="s">
        <v>4562</v>
      </c>
      <c r="AD6138" t="s">
        <v>29997</v>
      </c>
      <c r="AE6138" t="s">
        <v>4655</v>
      </c>
      <c r="AF6138" t="s">
        <v>4563</v>
      </c>
      <c r="AG6138" t="s">
        <v>4564</v>
      </c>
      <c r="AH6138" t="s">
        <v>1147</v>
      </c>
      <c r="AI6138" t="s">
        <v>29999</v>
      </c>
      <c r="AJ6138" t="s">
        <v>560</v>
      </c>
      <c r="AK6138" t="s">
        <v>30000</v>
      </c>
      <c r="AL6138" s="13" t="s">
        <v>1896</v>
      </c>
      <c r="AM6138">
        <v>1</v>
      </c>
      <c r="AN6138" s="15" t="s">
        <v>2703</v>
      </c>
    </row>
    <row r="6139" spans="1:40" x14ac:dyDescent="0.3">
      <c r="A6139" s="10" t="str">
        <f>HYPERLINK("http://www.washoecounty.gov/assessor/cama/?parid=232-102-07&amp;CardNumber=1","232-102-07")</f>
        <v>232-102-07</v>
      </c>
      <c r="B6139" t="s">
        <v>4655</v>
      </c>
      <c r="C6139" t="s">
        <v>30001</v>
      </c>
      <c r="D6139" s="1">
        <v>40403</v>
      </c>
      <c r="E6139" s="2">
        <v>289000</v>
      </c>
      <c r="F6139" t="s">
        <v>4567</v>
      </c>
      <c r="G6139" s="17" t="str">
        <f>HYPERLINK("https://www.washoecounty.gov/assessor/cama/?command=sales&amp;parid=23210207","3911472")</f>
        <v>3911472</v>
      </c>
      <c r="H6139" t="s">
        <v>4182</v>
      </c>
      <c r="I6139">
        <v>2003</v>
      </c>
      <c r="J6139">
        <v>2003</v>
      </c>
      <c r="K6139" t="s">
        <v>4554</v>
      </c>
      <c r="L6139" t="s">
        <v>4555</v>
      </c>
      <c r="M6139" s="2">
        <v>2367</v>
      </c>
      <c r="N6139" t="s">
        <v>3887</v>
      </c>
      <c r="O6139">
        <v>3</v>
      </c>
      <c r="P6139">
        <v>2</v>
      </c>
      <c r="Q6139">
        <v>0</v>
      </c>
      <c r="R6139" t="s">
        <v>5281</v>
      </c>
      <c r="S6139" t="s">
        <v>4898</v>
      </c>
      <c r="T6139" t="s">
        <v>2704</v>
      </c>
      <c r="U6139" t="s">
        <v>4560</v>
      </c>
      <c r="V6139" s="2">
        <v>450</v>
      </c>
      <c r="W6139" t="s">
        <v>4655</v>
      </c>
      <c r="X6139" s="2">
        <v>0</v>
      </c>
      <c r="Y6139">
        <v>20</v>
      </c>
      <c r="Z6139" t="s">
        <v>1491</v>
      </c>
      <c r="AA6139" s="3">
        <v>0.20468319952487901</v>
      </c>
      <c r="AB6139" t="s">
        <v>30002</v>
      </c>
      <c r="AC6139" t="s">
        <v>4575</v>
      </c>
      <c r="AD6139" t="s">
        <v>30001</v>
      </c>
      <c r="AE6139" t="s">
        <v>4655</v>
      </c>
      <c r="AF6139" t="s">
        <v>4563</v>
      </c>
      <c r="AG6139" t="s">
        <v>4564</v>
      </c>
      <c r="AH6139" t="s">
        <v>1147</v>
      </c>
      <c r="AI6139" t="s">
        <v>30003</v>
      </c>
      <c r="AJ6139" t="s">
        <v>560</v>
      </c>
      <c r="AK6139" t="s">
        <v>30004</v>
      </c>
      <c r="AL6139" s="13" t="s">
        <v>1896</v>
      </c>
      <c r="AM6139" s="14">
        <v>1</v>
      </c>
      <c r="AN6139" s="15" t="s">
        <v>2703</v>
      </c>
    </row>
    <row r="6140" spans="1:40" x14ac:dyDescent="0.3">
      <c r="A6140" s="10" t="str">
        <f>HYPERLINK("http://www.washoecounty.gov/assessor/cama/?parid=232-102-20&amp;CardNumber=1","232-102-20")</f>
        <v>232-102-20</v>
      </c>
      <c r="B6140" t="s">
        <v>4655</v>
      </c>
      <c r="C6140" t="s">
        <v>30005</v>
      </c>
      <c r="D6140" s="1">
        <v>40325</v>
      </c>
      <c r="E6140" s="2">
        <v>435000</v>
      </c>
      <c r="F6140" t="s">
        <v>4567</v>
      </c>
      <c r="G6140" s="17" t="str">
        <f>HYPERLINK("https://www.washoecounty.gov/assessor/cama/?command=sales&amp;parid=23210220","3886133")</f>
        <v>3886133</v>
      </c>
      <c r="H6140" t="s">
        <v>4182</v>
      </c>
      <c r="I6140">
        <v>2003</v>
      </c>
      <c r="J6140">
        <v>2003</v>
      </c>
      <c r="K6140" t="s">
        <v>4554</v>
      </c>
      <c r="L6140" t="s">
        <v>3974</v>
      </c>
      <c r="M6140" s="2">
        <v>2899</v>
      </c>
      <c r="N6140" t="s">
        <v>3887</v>
      </c>
      <c r="O6140">
        <v>4</v>
      </c>
      <c r="P6140">
        <v>3</v>
      </c>
      <c r="Q6140">
        <v>0</v>
      </c>
      <c r="R6140" t="s">
        <v>5281</v>
      </c>
      <c r="S6140" t="s">
        <v>4898</v>
      </c>
      <c r="T6140" t="s">
        <v>2704</v>
      </c>
      <c r="U6140" t="s">
        <v>4560</v>
      </c>
      <c r="V6140" s="2">
        <v>483</v>
      </c>
      <c r="W6140" t="s">
        <v>4655</v>
      </c>
      <c r="X6140" s="2">
        <v>0</v>
      </c>
      <c r="Y6140">
        <v>20</v>
      </c>
      <c r="Z6140" t="s">
        <v>1491</v>
      </c>
      <c r="AA6140" s="3">
        <v>0.21967400610446899</v>
      </c>
      <c r="AB6140" t="s">
        <v>30006</v>
      </c>
      <c r="AC6140" t="s">
        <v>4562</v>
      </c>
      <c r="AD6140" t="s">
        <v>30007</v>
      </c>
      <c r="AE6140" t="s">
        <v>4655</v>
      </c>
      <c r="AF6140" t="s">
        <v>4563</v>
      </c>
      <c r="AG6140" t="s">
        <v>4564</v>
      </c>
      <c r="AH6140" t="s">
        <v>1147</v>
      </c>
      <c r="AI6140" t="s">
        <v>30008</v>
      </c>
      <c r="AJ6140" t="s">
        <v>560</v>
      </c>
      <c r="AK6140" t="s">
        <v>30009</v>
      </c>
      <c r="AL6140" s="13" t="s">
        <v>1897</v>
      </c>
      <c r="AM6140" s="14">
        <v>1</v>
      </c>
      <c r="AN6140" s="15" t="s">
        <v>2703</v>
      </c>
    </row>
    <row r="6141" spans="1:40" x14ac:dyDescent="0.3">
      <c r="A6141" s="10" t="str">
        <f>HYPERLINK("http://www.washoecounty.gov/assessor/cama/?parid=232-104-10&amp;CardNumber=1","232-104-10")</f>
        <v>232-104-10</v>
      </c>
      <c r="B6141" t="s">
        <v>4655</v>
      </c>
      <c r="C6141" t="s">
        <v>30010</v>
      </c>
      <c r="D6141" s="1">
        <v>40344</v>
      </c>
      <c r="E6141" s="2">
        <v>310000</v>
      </c>
      <c r="F6141" t="s">
        <v>4567</v>
      </c>
      <c r="G6141" s="17" t="str">
        <f>HYPERLINK("https://www.washoecounty.gov/assessor/cama/?command=sales&amp;parid=23210410","3891881")</f>
        <v>3891881</v>
      </c>
      <c r="H6141" t="s">
        <v>4182</v>
      </c>
      <c r="I6141">
        <v>2003</v>
      </c>
      <c r="J6141">
        <v>2003</v>
      </c>
      <c r="K6141" t="s">
        <v>4554</v>
      </c>
      <c r="L6141" t="s">
        <v>4555</v>
      </c>
      <c r="M6141" s="2">
        <v>2382</v>
      </c>
      <c r="N6141" t="s">
        <v>3887</v>
      </c>
      <c r="O6141">
        <v>3</v>
      </c>
      <c r="P6141">
        <v>2</v>
      </c>
      <c r="Q6141">
        <v>0</v>
      </c>
      <c r="R6141" t="s">
        <v>5281</v>
      </c>
      <c r="S6141" t="s">
        <v>4898</v>
      </c>
      <c r="T6141" t="s">
        <v>2704</v>
      </c>
      <c r="U6141" t="s">
        <v>4560</v>
      </c>
      <c r="V6141" s="2">
        <v>642</v>
      </c>
      <c r="W6141" t="s">
        <v>4655</v>
      </c>
      <c r="X6141" s="2">
        <v>0</v>
      </c>
      <c r="Y6141">
        <v>20</v>
      </c>
      <c r="Z6141" t="s">
        <v>1491</v>
      </c>
      <c r="AA6141" s="3">
        <v>0.25461432337760898</v>
      </c>
      <c r="AB6141" t="s">
        <v>30011</v>
      </c>
      <c r="AC6141" t="s">
        <v>4562</v>
      </c>
      <c r="AD6141" t="s">
        <v>30010</v>
      </c>
      <c r="AE6141" t="s">
        <v>4655</v>
      </c>
      <c r="AF6141" t="s">
        <v>4563</v>
      </c>
      <c r="AG6141" t="s">
        <v>4564</v>
      </c>
      <c r="AH6141" t="s">
        <v>1147</v>
      </c>
      <c r="AI6141" t="s">
        <v>30012</v>
      </c>
      <c r="AJ6141" t="s">
        <v>560</v>
      </c>
      <c r="AK6141" t="s">
        <v>30013</v>
      </c>
      <c r="AL6141" s="13" t="s">
        <v>1896</v>
      </c>
      <c r="AM6141">
        <v>1</v>
      </c>
      <c r="AN6141" s="15" t="s">
        <v>2703</v>
      </c>
    </row>
    <row r="6142" spans="1:40" x14ac:dyDescent="0.3">
      <c r="A6142" s="10" t="str">
        <f>HYPERLINK("http://www.washoecounty.gov/assessor/cama/?parid=232-104-19&amp;CardNumber=1","232-104-19")</f>
        <v>232-104-19</v>
      </c>
      <c r="B6142" t="s">
        <v>4655</v>
      </c>
      <c r="C6142" t="s">
        <v>30014</v>
      </c>
      <c r="D6142" s="1">
        <v>40486</v>
      </c>
      <c r="E6142" s="2">
        <v>325000</v>
      </c>
      <c r="F6142" t="s">
        <v>4567</v>
      </c>
      <c r="G6142" s="17" t="str">
        <f>HYPERLINK("https://www.washoecounty.gov/assessor/cama/?command=sales&amp;parid=23210419","3939928")</f>
        <v>3939928</v>
      </c>
      <c r="H6142" t="s">
        <v>4182</v>
      </c>
      <c r="I6142">
        <v>2003</v>
      </c>
      <c r="J6142">
        <v>2003</v>
      </c>
      <c r="K6142" t="s">
        <v>4554</v>
      </c>
      <c r="L6142" t="s">
        <v>3974</v>
      </c>
      <c r="M6142" s="2">
        <v>2899</v>
      </c>
      <c r="N6142" t="s">
        <v>3887</v>
      </c>
      <c r="O6142">
        <v>4</v>
      </c>
      <c r="P6142">
        <v>3</v>
      </c>
      <c r="Q6142">
        <v>0</v>
      </c>
      <c r="R6142" t="s">
        <v>5281</v>
      </c>
      <c r="S6142" t="s">
        <v>4898</v>
      </c>
      <c r="T6142" t="s">
        <v>2704</v>
      </c>
      <c r="U6142" t="s">
        <v>4560</v>
      </c>
      <c r="V6142" s="2">
        <v>483</v>
      </c>
      <c r="W6142" t="s">
        <v>4655</v>
      </c>
      <c r="X6142" s="2">
        <v>0</v>
      </c>
      <c r="Y6142">
        <v>20</v>
      </c>
      <c r="Z6142" t="s">
        <v>1491</v>
      </c>
      <c r="AA6142" s="3">
        <v>0.19467401504516599</v>
      </c>
      <c r="AB6142" t="s">
        <v>30015</v>
      </c>
      <c r="AC6142" t="s">
        <v>4562</v>
      </c>
      <c r="AD6142" t="s">
        <v>30016</v>
      </c>
      <c r="AE6142" t="s">
        <v>4655</v>
      </c>
      <c r="AF6142" t="s">
        <v>4563</v>
      </c>
      <c r="AG6142" t="s">
        <v>4564</v>
      </c>
      <c r="AH6142" t="s">
        <v>1147</v>
      </c>
      <c r="AI6142" t="s">
        <v>30017</v>
      </c>
      <c r="AJ6142" t="s">
        <v>560</v>
      </c>
      <c r="AK6142" t="s">
        <v>30018</v>
      </c>
      <c r="AL6142" s="13" t="s">
        <v>1896</v>
      </c>
      <c r="AM6142" s="14">
        <v>1</v>
      </c>
      <c r="AN6142" s="15" t="s">
        <v>2703</v>
      </c>
    </row>
    <row r="6143" spans="1:40" x14ac:dyDescent="0.3">
      <c r="A6143" s="10" t="str">
        <f>HYPERLINK("http://www.washoecounty.gov/assessor/cama/?parid=232-121-12&amp;CardNumber=1","232-121-12")</f>
        <v>232-121-12</v>
      </c>
      <c r="B6143" t="s">
        <v>4655</v>
      </c>
      <c r="C6143" t="s">
        <v>30019</v>
      </c>
      <c r="D6143" s="1">
        <v>40387</v>
      </c>
      <c r="E6143" s="2">
        <v>350000</v>
      </c>
      <c r="F6143" t="s">
        <v>4567</v>
      </c>
      <c r="G6143" s="17" t="str">
        <f>HYPERLINK("https://www.washoecounty.gov/assessor/cama/?command=sales&amp;parid=23212112","3906162")</f>
        <v>3906162</v>
      </c>
      <c r="H6143" t="s">
        <v>3549</v>
      </c>
      <c r="I6143">
        <v>2003</v>
      </c>
      <c r="J6143">
        <v>2003</v>
      </c>
      <c r="K6143" t="s">
        <v>4554</v>
      </c>
      <c r="L6143" t="s">
        <v>4555</v>
      </c>
      <c r="M6143" s="2">
        <v>2346</v>
      </c>
      <c r="N6143" t="s">
        <v>3147</v>
      </c>
      <c r="O6143">
        <v>2</v>
      </c>
      <c r="P6143">
        <v>2</v>
      </c>
      <c r="Q6143">
        <v>1</v>
      </c>
      <c r="R6143" t="s">
        <v>4557</v>
      </c>
      <c r="S6143" t="s">
        <v>4898</v>
      </c>
      <c r="T6143" t="s">
        <v>2704</v>
      </c>
      <c r="U6143" t="s">
        <v>4560</v>
      </c>
      <c r="V6143" s="2">
        <v>757</v>
      </c>
      <c r="W6143" t="s">
        <v>4655</v>
      </c>
      <c r="X6143" s="2">
        <v>0</v>
      </c>
      <c r="Y6143">
        <v>20</v>
      </c>
      <c r="Z6143" t="s">
        <v>1491</v>
      </c>
      <c r="AA6143" s="3">
        <v>0.23810835182666801</v>
      </c>
      <c r="AB6143" t="s">
        <v>30020</v>
      </c>
      <c r="AC6143" t="s">
        <v>4575</v>
      </c>
      <c r="AD6143" t="s">
        <v>30019</v>
      </c>
      <c r="AE6143" t="s">
        <v>4655</v>
      </c>
      <c r="AF6143" t="s">
        <v>4563</v>
      </c>
      <c r="AG6143" t="s">
        <v>4564</v>
      </c>
      <c r="AH6143" t="s">
        <v>1147</v>
      </c>
      <c r="AI6143" t="s">
        <v>30021</v>
      </c>
      <c r="AJ6143" t="s">
        <v>3550</v>
      </c>
      <c r="AK6143" t="s">
        <v>30022</v>
      </c>
      <c r="AL6143" s="13" t="s">
        <v>1897</v>
      </c>
      <c r="AM6143">
        <v>1</v>
      </c>
      <c r="AN6143" s="15" t="s">
        <v>2313</v>
      </c>
    </row>
    <row r="6144" spans="1:40" x14ac:dyDescent="0.3">
      <c r="A6144" s="10" t="str">
        <f>HYPERLINK("http://www.washoecounty.gov/assessor/cama/?parid=232-133-08&amp;CardNumber=1","232-133-08")</f>
        <v>232-133-08</v>
      </c>
      <c r="B6144" t="s">
        <v>4655</v>
      </c>
      <c r="C6144" t="s">
        <v>30023</v>
      </c>
      <c r="D6144" s="1">
        <v>40360</v>
      </c>
      <c r="E6144" s="2">
        <v>365000</v>
      </c>
      <c r="F6144" t="s">
        <v>4567</v>
      </c>
      <c r="G6144" s="17" t="str">
        <f>HYPERLINK("https://www.washoecounty.gov/assessor/cama/?command=sales&amp;parid=23213308","3897679")</f>
        <v>3897679</v>
      </c>
      <c r="H6144" t="s">
        <v>3549</v>
      </c>
      <c r="I6144">
        <v>2003</v>
      </c>
      <c r="J6144">
        <v>2003</v>
      </c>
      <c r="K6144" t="s">
        <v>4554</v>
      </c>
      <c r="L6144" t="s">
        <v>4555</v>
      </c>
      <c r="M6144" s="2">
        <v>2547</v>
      </c>
      <c r="N6144" t="s">
        <v>3147</v>
      </c>
      <c r="O6144">
        <v>3</v>
      </c>
      <c r="P6144">
        <v>3</v>
      </c>
      <c r="Q6144">
        <v>0</v>
      </c>
      <c r="R6144" t="s">
        <v>4557</v>
      </c>
      <c r="S6144" t="s">
        <v>4898</v>
      </c>
      <c r="T6144" t="s">
        <v>2704</v>
      </c>
      <c r="U6144" t="s">
        <v>4560</v>
      </c>
      <c r="V6144" s="2">
        <v>672</v>
      </c>
      <c r="W6144" t="s">
        <v>4655</v>
      </c>
      <c r="X6144" s="2">
        <v>0</v>
      </c>
      <c r="Y6144">
        <v>20</v>
      </c>
      <c r="Z6144" t="s">
        <v>1491</v>
      </c>
      <c r="AA6144" s="3">
        <v>0.46432507038116499</v>
      </c>
      <c r="AB6144" t="s">
        <v>30024</v>
      </c>
      <c r="AC6144" t="s">
        <v>4562</v>
      </c>
      <c r="AD6144" t="s">
        <v>30023</v>
      </c>
      <c r="AE6144" t="s">
        <v>4655</v>
      </c>
      <c r="AF6144" t="s">
        <v>4563</v>
      </c>
      <c r="AG6144" t="s">
        <v>4564</v>
      </c>
      <c r="AH6144" t="s">
        <v>1147</v>
      </c>
      <c r="AI6144" t="s">
        <v>30025</v>
      </c>
      <c r="AJ6144" t="s">
        <v>3550</v>
      </c>
      <c r="AK6144" t="s">
        <v>30026</v>
      </c>
      <c r="AL6144" s="13" t="s">
        <v>1897</v>
      </c>
      <c r="AM6144">
        <v>1</v>
      </c>
      <c r="AN6144" s="15" t="s">
        <v>2313</v>
      </c>
    </row>
    <row r="6145" spans="1:40" x14ac:dyDescent="0.3">
      <c r="A6145" s="10" t="str">
        <f>HYPERLINK("http://www.washoecounty.gov/assessor/cama/?parid=232-151-08&amp;CardNumber=1","232-151-08")</f>
        <v>232-151-08</v>
      </c>
      <c r="B6145" t="s">
        <v>4655</v>
      </c>
      <c r="C6145" t="s">
        <v>29389</v>
      </c>
      <c r="D6145" s="1">
        <v>40424</v>
      </c>
      <c r="E6145" s="2">
        <v>480000</v>
      </c>
      <c r="F6145" t="s">
        <v>4567</v>
      </c>
      <c r="G6145" s="17" t="str">
        <f>HYPERLINK("https://www.washoecounty.gov/assessor/cama/?command=sales&amp;parid=23215108","3918725")</f>
        <v>3918725</v>
      </c>
      <c r="H6145" t="s">
        <v>1013</v>
      </c>
      <c r="I6145">
        <v>2003</v>
      </c>
      <c r="J6145">
        <v>2003</v>
      </c>
      <c r="K6145" t="s">
        <v>4554</v>
      </c>
      <c r="L6145" t="s">
        <v>3974</v>
      </c>
      <c r="M6145" s="2">
        <v>3175</v>
      </c>
      <c r="N6145" t="s">
        <v>1245</v>
      </c>
      <c r="O6145">
        <v>4</v>
      </c>
      <c r="P6145">
        <v>3</v>
      </c>
      <c r="Q6145">
        <v>1</v>
      </c>
      <c r="R6145" t="s">
        <v>5281</v>
      </c>
      <c r="S6145" t="s">
        <v>4898</v>
      </c>
      <c r="T6145" t="s">
        <v>2704</v>
      </c>
      <c r="U6145" t="s">
        <v>4560</v>
      </c>
      <c r="V6145" s="2">
        <v>767</v>
      </c>
      <c r="W6145" t="s">
        <v>4655</v>
      </c>
      <c r="X6145" s="2">
        <v>0</v>
      </c>
      <c r="Y6145">
        <v>20</v>
      </c>
      <c r="Z6145" t="s">
        <v>1491</v>
      </c>
      <c r="AA6145" s="3">
        <v>0.28259870409965498</v>
      </c>
      <c r="AB6145" t="s">
        <v>29388</v>
      </c>
      <c r="AC6145" t="s">
        <v>4575</v>
      </c>
      <c r="AD6145" t="s">
        <v>29389</v>
      </c>
      <c r="AE6145" t="s">
        <v>4655</v>
      </c>
      <c r="AF6145" t="s">
        <v>4563</v>
      </c>
      <c r="AG6145" t="s">
        <v>4564</v>
      </c>
      <c r="AH6145" t="s">
        <v>1147</v>
      </c>
      <c r="AI6145" t="s">
        <v>30027</v>
      </c>
      <c r="AJ6145" t="s">
        <v>1014</v>
      </c>
      <c r="AK6145" t="s">
        <v>30028</v>
      </c>
      <c r="AL6145" s="13" t="s">
        <v>1897</v>
      </c>
      <c r="AM6145">
        <v>1</v>
      </c>
      <c r="AN6145" s="15" t="s">
        <v>1362</v>
      </c>
    </row>
    <row r="6146" spans="1:40" x14ac:dyDescent="0.3">
      <c r="A6146" s="10" t="str">
        <f>HYPERLINK("http://www.washoecounty.gov/assessor/cama/?parid=232-151-12&amp;CardNumber=1","232-151-12")</f>
        <v>232-151-12</v>
      </c>
      <c r="B6146" t="s">
        <v>4655</v>
      </c>
      <c r="C6146" t="s">
        <v>30029</v>
      </c>
      <c r="D6146" s="1">
        <v>40245</v>
      </c>
      <c r="E6146" s="2">
        <v>340000</v>
      </c>
      <c r="F6146" t="s">
        <v>4567</v>
      </c>
      <c r="G6146" s="17" t="str">
        <f>HYPERLINK("https://www.washoecounty.gov/assessor/cama/?command=sales&amp;parid=23215112","3857120")</f>
        <v>3857120</v>
      </c>
      <c r="H6146" t="s">
        <v>1013</v>
      </c>
      <c r="I6146">
        <v>2003</v>
      </c>
      <c r="J6146">
        <v>2003</v>
      </c>
      <c r="K6146" t="s">
        <v>4554</v>
      </c>
      <c r="L6146" t="s">
        <v>4555</v>
      </c>
      <c r="M6146" s="2">
        <v>2593</v>
      </c>
      <c r="N6146" t="s">
        <v>1245</v>
      </c>
      <c r="O6146">
        <v>3</v>
      </c>
      <c r="P6146">
        <v>2</v>
      </c>
      <c r="Q6146">
        <v>1</v>
      </c>
      <c r="R6146" t="s">
        <v>5281</v>
      </c>
      <c r="S6146" t="s">
        <v>4898</v>
      </c>
      <c r="T6146" t="s">
        <v>2704</v>
      </c>
      <c r="U6146" t="s">
        <v>4560</v>
      </c>
      <c r="V6146" s="2">
        <v>660</v>
      </c>
      <c r="W6146" t="s">
        <v>4655</v>
      </c>
      <c r="X6146" s="2">
        <v>0</v>
      </c>
      <c r="Y6146">
        <v>20</v>
      </c>
      <c r="Z6146" t="s">
        <v>1491</v>
      </c>
      <c r="AA6146" s="3">
        <v>0.39715334773063699</v>
      </c>
      <c r="AB6146" t="s">
        <v>30030</v>
      </c>
      <c r="AC6146" t="s">
        <v>4562</v>
      </c>
      <c r="AD6146" t="s">
        <v>30029</v>
      </c>
      <c r="AE6146" t="s">
        <v>4655</v>
      </c>
      <c r="AF6146" t="s">
        <v>4563</v>
      </c>
      <c r="AG6146" t="s">
        <v>4564</v>
      </c>
      <c r="AH6146" t="s">
        <v>1147</v>
      </c>
      <c r="AI6146" t="s">
        <v>30031</v>
      </c>
      <c r="AJ6146" t="s">
        <v>1014</v>
      </c>
      <c r="AK6146" t="s">
        <v>30032</v>
      </c>
      <c r="AL6146" s="13" t="s">
        <v>1897</v>
      </c>
      <c r="AM6146" s="14">
        <v>1</v>
      </c>
      <c r="AN6146" s="15" t="s">
        <v>1362</v>
      </c>
    </row>
    <row r="6147" spans="1:40" x14ac:dyDescent="0.3">
      <c r="A6147" s="10" t="str">
        <f>HYPERLINK("http://www.washoecounty.gov/assessor/cama/?parid=232-160-18&amp;CardNumber=1","232-160-18")</f>
        <v>232-160-18</v>
      </c>
      <c r="B6147" t="s">
        <v>4655</v>
      </c>
      <c r="C6147" t="s">
        <v>4076</v>
      </c>
      <c r="D6147" s="1">
        <v>40529</v>
      </c>
      <c r="E6147" s="2">
        <v>640000</v>
      </c>
      <c r="F6147" t="s">
        <v>4567</v>
      </c>
      <c r="G6147" s="17" t="str">
        <f>HYPERLINK("https://www.washoecounty.gov/assessor/cama/?command=sales&amp;parid=23216018","3954939")</f>
        <v>3954939</v>
      </c>
      <c r="H6147" t="s">
        <v>1013</v>
      </c>
      <c r="I6147">
        <v>2002</v>
      </c>
      <c r="J6147">
        <v>2003</v>
      </c>
      <c r="K6147" t="s">
        <v>4554</v>
      </c>
      <c r="L6147" t="s">
        <v>3974</v>
      </c>
      <c r="M6147" s="2">
        <v>5203</v>
      </c>
      <c r="N6147" t="s">
        <v>1245</v>
      </c>
      <c r="O6147">
        <v>5</v>
      </c>
      <c r="P6147">
        <v>4</v>
      </c>
      <c r="Q6147">
        <v>2</v>
      </c>
      <c r="R6147" t="s">
        <v>5281</v>
      </c>
      <c r="S6147" t="s">
        <v>4898</v>
      </c>
      <c r="T6147" t="s">
        <v>2704</v>
      </c>
      <c r="U6147" t="s">
        <v>4560</v>
      </c>
      <c r="V6147" s="2">
        <v>775</v>
      </c>
      <c r="W6147" t="s">
        <v>4655</v>
      </c>
      <c r="X6147" s="2">
        <v>0</v>
      </c>
      <c r="Y6147">
        <v>20</v>
      </c>
      <c r="Z6147" t="s">
        <v>1491</v>
      </c>
      <c r="AA6147" s="3">
        <v>0.42109733819961498</v>
      </c>
      <c r="AB6147" t="s">
        <v>30033</v>
      </c>
      <c r="AC6147" t="s">
        <v>4562</v>
      </c>
      <c r="AD6147" t="s">
        <v>4076</v>
      </c>
      <c r="AE6147" t="s">
        <v>4655</v>
      </c>
      <c r="AF6147" t="s">
        <v>4563</v>
      </c>
      <c r="AG6147" t="s">
        <v>4564</v>
      </c>
      <c r="AH6147" t="s">
        <v>1147</v>
      </c>
      <c r="AI6147" t="s">
        <v>30034</v>
      </c>
      <c r="AJ6147" t="s">
        <v>1014</v>
      </c>
      <c r="AK6147" t="s">
        <v>30035</v>
      </c>
      <c r="AL6147" s="13" t="s">
        <v>1897</v>
      </c>
      <c r="AM6147">
        <v>1</v>
      </c>
      <c r="AN6147" s="15" t="s">
        <v>1362</v>
      </c>
    </row>
    <row r="6148" spans="1:40" x14ac:dyDescent="0.3">
      <c r="A6148" s="10" t="str">
        <f>HYPERLINK("http://www.washoecounty.gov/assessor/cama/?parid=232-192-03&amp;CardNumber=1","232-192-03")</f>
        <v>232-192-03</v>
      </c>
      <c r="B6148" t="s">
        <v>4655</v>
      </c>
      <c r="C6148" t="s">
        <v>30036</v>
      </c>
      <c r="D6148" s="1">
        <v>40445</v>
      </c>
      <c r="E6148" s="2">
        <v>340000</v>
      </c>
      <c r="F6148" t="s">
        <v>4567</v>
      </c>
      <c r="G6148" s="17" t="str">
        <f>HYPERLINK("https://www.washoecounty.gov/assessor/cama/?command=sales&amp;parid=23219203","3925927")</f>
        <v>3925927</v>
      </c>
      <c r="H6148" t="s">
        <v>5217</v>
      </c>
      <c r="I6148">
        <v>2003</v>
      </c>
      <c r="J6148">
        <v>2003</v>
      </c>
      <c r="K6148" t="s">
        <v>4554</v>
      </c>
      <c r="L6148" t="s">
        <v>4555</v>
      </c>
      <c r="M6148" s="2">
        <v>2365</v>
      </c>
      <c r="N6148" t="s">
        <v>3887</v>
      </c>
      <c r="O6148">
        <v>3</v>
      </c>
      <c r="P6148">
        <v>3</v>
      </c>
      <c r="Q6148">
        <v>1</v>
      </c>
      <c r="R6148" t="s">
        <v>5281</v>
      </c>
      <c r="S6148" t="s">
        <v>4898</v>
      </c>
      <c r="T6148" t="s">
        <v>2704</v>
      </c>
      <c r="U6148" t="s">
        <v>4560</v>
      </c>
      <c r="V6148" s="2">
        <v>600</v>
      </c>
      <c r="W6148" t="s">
        <v>4655</v>
      </c>
      <c r="X6148" s="2">
        <v>0</v>
      </c>
      <c r="Y6148">
        <v>20</v>
      </c>
      <c r="Z6148" t="s">
        <v>1491</v>
      </c>
      <c r="AA6148" s="3">
        <v>0.187649220228195</v>
      </c>
      <c r="AB6148" t="s">
        <v>30037</v>
      </c>
      <c r="AC6148" t="s">
        <v>4575</v>
      </c>
      <c r="AD6148" t="s">
        <v>30038</v>
      </c>
      <c r="AE6148" t="s">
        <v>4655</v>
      </c>
      <c r="AF6148" t="s">
        <v>4563</v>
      </c>
      <c r="AG6148" t="s">
        <v>4564</v>
      </c>
      <c r="AH6148" t="s">
        <v>1147</v>
      </c>
      <c r="AI6148" t="s">
        <v>30039</v>
      </c>
      <c r="AJ6148" t="s">
        <v>5218</v>
      </c>
      <c r="AK6148" t="s">
        <v>30040</v>
      </c>
      <c r="AL6148" s="13" t="s">
        <v>1896</v>
      </c>
      <c r="AM6148" s="14">
        <v>1</v>
      </c>
      <c r="AN6148" s="15" t="s">
        <v>2703</v>
      </c>
    </row>
    <row r="6149" spans="1:40" x14ac:dyDescent="0.3">
      <c r="A6149" s="10" t="str">
        <f>HYPERLINK("http://www.washoecounty.gov/assessor/cama/?parid=232-240-04&amp;CardNumber=1","232-240-04")</f>
        <v>232-240-04</v>
      </c>
      <c r="B6149" t="s">
        <v>4655</v>
      </c>
      <c r="C6149" t="s">
        <v>30041</v>
      </c>
      <c r="D6149" s="1">
        <v>40421</v>
      </c>
      <c r="E6149" s="2">
        <v>212000</v>
      </c>
      <c r="F6149" t="s">
        <v>4567</v>
      </c>
      <c r="G6149" s="17" t="str">
        <f>HYPERLINK("https://www.washoecounty.gov/assessor/cama/?command=sales&amp;parid=23224004","3917567")</f>
        <v>3917567</v>
      </c>
      <c r="H6149" t="s">
        <v>2311</v>
      </c>
      <c r="I6149">
        <v>2003</v>
      </c>
      <c r="J6149">
        <v>2003</v>
      </c>
      <c r="K6149" t="s">
        <v>4554</v>
      </c>
      <c r="L6149" t="s">
        <v>4555</v>
      </c>
      <c r="M6149" s="2">
        <v>1676</v>
      </c>
      <c r="N6149" t="s">
        <v>3147</v>
      </c>
      <c r="O6149">
        <v>2</v>
      </c>
      <c r="P6149">
        <v>2</v>
      </c>
      <c r="Q6149">
        <v>0</v>
      </c>
      <c r="R6149" t="s">
        <v>4557</v>
      </c>
      <c r="S6149" t="s">
        <v>4898</v>
      </c>
      <c r="T6149" t="s">
        <v>2704</v>
      </c>
      <c r="U6149" t="s">
        <v>4560</v>
      </c>
      <c r="V6149" s="2">
        <v>539</v>
      </c>
      <c r="W6149" t="s">
        <v>4655</v>
      </c>
      <c r="X6149" s="2">
        <v>0</v>
      </c>
      <c r="Y6149">
        <v>20</v>
      </c>
      <c r="Z6149" t="s">
        <v>1491</v>
      </c>
      <c r="AA6149" s="3">
        <v>0.164921939373016</v>
      </c>
      <c r="AB6149" t="s">
        <v>30042</v>
      </c>
      <c r="AC6149" t="s">
        <v>4562</v>
      </c>
      <c r="AD6149" t="s">
        <v>30041</v>
      </c>
      <c r="AE6149" t="s">
        <v>4655</v>
      </c>
      <c r="AF6149" t="s">
        <v>3114</v>
      </c>
      <c r="AG6149" t="s">
        <v>4564</v>
      </c>
      <c r="AH6149" t="s">
        <v>1147</v>
      </c>
      <c r="AI6149" t="s">
        <v>30043</v>
      </c>
      <c r="AJ6149" t="s">
        <v>2312</v>
      </c>
      <c r="AK6149" t="s">
        <v>30044</v>
      </c>
      <c r="AL6149" s="13" t="s">
        <v>1897</v>
      </c>
      <c r="AM6149" s="14">
        <v>1</v>
      </c>
      <c r="AN6149" s="15" t="s">
        <v>2313</v>
      </c>
    </row>
    <row r="6150" spans="1:40" x14ac:dyDescent="0.3">
      <c r="A6150" s="10" t="str">
        <f>HYPERLINK("http://www.washoecounty.gov/assessor/cama/?parid=232-240-09&amp;CardNumber=1","232-240-09")</f>
        <v>232-240-09</v>
      </c>
      <c r="B6150" t="s">
        <v>4655</v>
      </c>
      <c r="C6150" t="s">
        <v>30045</v>
      </c>
      <c r="D6150" s="1">
        <v>40235</v>
      </c>
      <c r="E6150" s="2">
        <v>252500</v>
      </c>
      <c r="F6150" t="s">
        <v>4553</v>
      </c>
      <c r="G6150" s="17" t="str">
        <f>HYPERLINK("https://www.washoecounty.gov/assessor/cama/?command=sales&amp;parid=23224009","3853514")</f>
        <v>3853514</v>
      </c>
      <c r="H6150" t="s">
        <v>2311</v>
      </c>
      <c r="I6150">
        <v>2003</v>
      </c>
      <c r="J6150">
        <v>2003</v>
      </c>
      <c r="K6150" t="s">
        <v>4554</v>
      </c>
      <c r="L6150" t="s">
        <v>4555</v>
      </c>
      <c r="M6150" s="2">
        <v>1676</v>
      </c>
      <c r="N6150" t="s">
        <v>3147</v>
      </c>
      <c r="O6150">
        <v>2</v>
      </c>
      <c r="P6150">
        <v>2</v>
      </c>
      <c r="Q6150">
        <v>0</v>
      </c>
      <c r="R6150" t="s">
        <v>4557</v>
      </c>
      <c r="S6150" t="s">
        <v>4898</v>
      </c>
      <c r="T6150" t="s">
        <v>2704</v>
      </c>
      <c r="U6150" t="s">
        <v>4560</v>
      </c>
      <c r="V6150" s="2">
        <v>539</v>
      </c>
      <c r="W6150" t="s">
        <v>4655</v>
      </c>
      <c r="X6150" s="2">
        <v>0</v>
      </c>
      <c r="Y6150">
        <v>20</v>
      </c>
      <c r="Z6150" t="s">
        <v>1491</v>
      </c>
      <c r="AA6150" s="3">
        <v>0.15073461830616</v>
      </c>
      <c r="AB6150" t="s">
        <v>30046</v>
      </c>
      <c r="AC6150" t="s">
        <v>4562</v>
      </c>
      <c r="AD6150" t="s">
        <v>30045</v>
      </c>
      <c r="AE6150" t="s">
        <v>4655</v>
      </c>
      <c r="AF6150" t="s">
        <v>4563</v>
      </c>
      <c r="AG6150" t="s">
        <v>4564</v>
      </c>
      <c r="AH6150" t="s">
        <v>1147</v>
      </c>
      <c r="AI6150" t="s">
        <v>3081</v>
      </c>
      <c r="AJ6150" t="s">
        <v>2312</v>
      </c>
      <c r="AK6150" t="s">
        <v>30047</v>
      </c>
      <c r="AL6150" s="13" t="s">
        <v>1897</v>
      </c>
      <c r="AM6150" s="14">
        <v>1</v>
      </c>
      <c r="AN6150" s="15" t="s">
        <v>2313</v>
      </c>
    </row>
    <row r="6151" spans="1:40" x14ac:dyDescent="0.3">
      <c r="A6151" s="10" t="str">
        <f>HYPERLINK("http://www.washoecounty.gov/assessor/cama/?parid=232-240-24&amp;CardNumber=1","232-240-24")</f>
        <v>232-240-24</v>
      </c>
      <c r="B6151" t="s">
        <v>4655</v>
      </c>
      <c r="C6151" t="s">
        <v>30048</v>
      </c>
      <c r="D6151" s="1">
        <v>40319</v>
      </c>
      <c r="E6151" s="2">
        <v>280000</v>
      </c>
      <c r="F6151" t="s">
        <v>4553</v>
      </c>
      <c r="G6151" s="17" t="str">
        <f>HYPERLINK("https://www.washoecounty.gov/assessor/cama/?command=sales&amp;parid=23224024","3884099")</f>
        <v>3884099</v>
      </c>
      <c r="H6151" t="s">
        <v>2311</v>
      </c>
      <c r="I6151">
        <v>2003</v>
      </c>
      <c r="J6151">
        <v>2003</v>
      </c>
      <c r="K6151" t="s">
        <v>4554</v>
      </c>
      <c r="L6151" t="s">
        <v>4555</v>
      </c>
      <c r="M6151" s="2">
        <v>1676</v>
      </c>
      <c r="N6151" t="s">
        <v>3147</v>
      </c>
      <c r="O6151">
        <v>2</v>
      </c>
      <c r="P6151">
        <v>2</v>
      </c>
      <c r="Q6151">
        <v>0</v>
      </c>
      <c r="R6151" t="s">
        <v>5281</v>
      </c>
      <c r="S6151" t="s">
        <v>4898</v>
      </c>
      <c r="T6151" t="s">
        <v>2704</v>
      </c>
      <c r="U6151" t="s">
        <v>4560</v>
      </c>
      <c r="V6151" s="2">
        <v>539</v>
      </c>
      <c r="W6151" t="s">
        <v>4655</v>
      </c>
      <c r="X6151" s="2">
        <v>0</v>
      </c>
      <c r="Y6151">
        <v>20</v>
      </c>
      <c r="Z6151" t="s">
        <v>1491</v>
      </c>
      <c r="AA6151" s="3">
        <v>0.25702479481697099</v>
      </c>
      <c r="AB6151" t="s">
        <v>30049</v>
      </c>
      <c r="AC6151" t="s">
        <v>4575</v>
      </c>
      <c r="AD6151" t="s">
        <v>30050</v>
      </c>
      <c r="AE6151" t="s">
        <v>4655</v>
      </c>
      <c r="AF6151" t="s">
        <v>3556</v>
      </c>
      <c r="AG6151" t="s">
        <v>4584</v>
      </c>
      <c r="AH6151" t="s">
        <v>5306</v>
      </c>
      <c r="AI6151" t="s">
        <v>30051</v>
      </c>
      <c r="AJ6151" t="s">
        <v>2312</v>
      </c>
      <c r="AK6151" t="s">
        <v>30052</v>
      </c>
      <c r="AL6151" s="13" t="s">
        <v>1896</v>
      </c>
      <c r="AM6151">
        <v>1</v>
      </c>
      <c r="AN6151" s="15" t="s">
        <v>2313</v>
      </c>
    </row>
    <row r="6152" spans="1:40" x14ac:dyDescent="0.3">
      <c r="A6152" s="10" t="str">
        <f>HYPERLINK("http://www.washoecounty.gov/assessor/cama/?parid=232-240-24&amp;CardNumber=1","232-240-24")</f>
        <v>232-240-24</v>
      </c>
      <c r="B6152" t="s">
        <v>4655</v>
      </c>
      <c r="C6152" t="s">
        <v>30048</v>
      </c>
      <c r="D6152" s="1">
        <v>40486</v>
      </c>
      <c r="E6152" s="2">
        <v>289900</v>
      </c>
      <c r="F6152" t="s">
        <v>4567</v>
      </c>
      <c r="G6152" s="17" t="str">
        <f>HYPERLINK("https://www.washoecounty.gov/assessor/cama/?command=sales&amp;parid=23224024","3939965")</f>
        <v>3939965</v>
      </c>
      <c r="H6152" t="s">
        <v>2311</v>
      </c>
      <c r="I6152">
        <v>2003</v>
      </c>
      <c r="J6152">
        <v>2003</v>
      </c>
      <c r="K6152" t="s">
        <v>4554</v>
      </c>
      <c r="L6152" t="s">
        <v>4555</v>
      </c>
      <c r="M6152" s="2">
        <v>1676</v>
      </c>
      <c r="N6152" t="s">
        <v>3147</v>
      </c>
      <c r="O6152">
        <v>2</v>
      </c>
      <c r="P6152">
        <v>2</v>
      </c>
      <c r="Q6152">
        <v>0</v>
      </c>
      <c r="R6152" t="s">
        <v>5281</v>
      </c>
      <c r="S6152" t="s">
        <v>4898</v>
      </c>
      <c r="T6152" t="s">
        <v>2704</v>
      </c>
      <c r="U6152" t="s">
        <v>4560</v>
      </c>
      <c r="V6152" s="2">
        <v>539</v>
      </c>
      <c r="W6152" t="s">
        <v>4655</v>
      </c>
      <c r="X6152" s="2">
        <v>0</v>
      </c>
      <c r="Y6152">
        <v>20</v>
      </c>
      <c r="Z6152" t="s">
        <v>1491</v>
      </c>
      <c r="AA6152" s="3">
        <v>0.25702479481697099</v>
      </c>
      <c r="AB6152" t="s">
        <v>30049</v>
      </c>
      <c r="AC6152" t="s">
        <v>4575</v>
      </c>
      <c r="AD6152" t="s">
        <v>30050</v>
      </c>
      <c r="AE6152" t="s">
        <v>4655</v>
      </c>
      <c r="AF6152" t="s">
        <v>3556</v>
      </c>
      <c r="AG6152" t="s">
        <v>4584</v>
      </c>
      <c r="AH6152" t="s">
        <v>5306</v>
      </c>
      <c r="AI6152" t="s">
        <v>30051</v>
      </c>
      <c r="AJ6152" t="s">
        <v>2312</v>
      </c>
      <c r="AK6152" t="s">
        <v>30052</v>
      </c>
      <c r="AL6152" s="13" t="s">
        <v>1896</v>
      </c>
      <c r="AM6152">
        <v>1</v>
      </c>
      <c r="AN6152" s="15" t="s">
        <v>2313</v>
      </c>
    </row>
    <row r="6153" spans="1:40" x14ac:dyDescent="0.3">
      <c r="A6153" s="10" t="str">
        <f>HYPERLINK("http://www.washoecounty.gov/assessor/cama/?parid=232-250-06&amp;CardNumber=1","232-250-06")</f>
        <v>232-250-06</v>
      </c>
      <c r="B6153" t="s">
        <v>4655</v>
      </c>
      <c r="C6153" t="s">
        <v>30053</v>
      </c>
      <c r="D6153" s="1">
        <v>40297</v>
      </c>
      <c r="E6153" s="2">
        <v>405000</v>
      </c>
      <c r="F6153" t="s">
        <v>4567</v>
      </c>
      <c r="G6153" s="17" t="str">
        <f>HYPERLINK("https://www.washoecounty.gov/assessor/cama/?command=sales&amp;parid=23225006","3876219")</f>
        <v>3876219</v>
      </c>
      <c r="H6153" t="s">
        <v>2599</v>
      </c>
      <c r="I6153">
        <v>2004</v>
      </c>
      <c r="J6153">
        <v>2004</v>
      </c>
      <c r="K6153" t="s">
        <v>4554</v>
      </c>
      <c r="L6153" t="s">
        <v>4555</v>
      </c>
      <c r="M6153" s="2">
        <v>3000</v>
      </c>
      <c r="N6153" t="s">
        <v>3147</v>
      </c>
      <c r="O6153">
        <v>4</v>
      </c>
      <c r="P6153">
        <v>3</v>
      </c>
      <c r="Q6153">
        <v>0</v>
      </c>
      <c r="R6153" t="s">
        <v>5281</v>
      </c>
      <c r="S6153" t="s">
        <v>4898</v>
      </c>
      <c r="T6153" t="s">
        <v>2704</v>
      </c>
      <c r="U6153" t="s">
        <v>4560</v>
      </c>
      <c r="V6153" s="2">
        <v>571</v>
      </c>
      <c r="W6153" t="s">
        <v>4655</v>
      </c>
      <c r="X6153" s="2">
        <v>0</v>
      </c>
      <c r="Y6153">
        <v>20</v>
      </c>
      <c r="Z6153" t="s">
        <v>1491</v>
      </c>
      <c r="AA6153" s="3">
        <v>0.36590909957885698</v>
      </c>
      <c r="AB6153" t="s">
        <v>30054</v>
      </c>
      <c r="AC6153" t="s">
        <v>4575</v>
      </c>
      <c r="AD6153" t="s">
        <v>30055</v>
      </c>
      <c r="AE6153" t="s">
        <v>4655</v>
      </c>
      <c r="AF6153" t="s">
        <v>4563</v>
      </c>
      <c r="AG6153" t="s">
        <v>4564</v>
      </c>
      <c r="AH6153" t="s">
        <v>1147</v>
      </c>
      <c r="AI6153" t="s">
        <v>30056</v>
      </c>
      <c r="AJ6153" t="s">
        <v>2600</v>
      </c>
      <c r="AK6153" t="s">
        <v>30057</v>
      </c>
      <c r="AL6153" s="13" t="s">
        <v>1896</v>
      </c>
      <c r="AM6153">
        <v>1</v>
      </c>
      <c r="AN6153" s="15" t="s">
        <v>2313</v>
      </c>
    </row>
    <row r="6154" spans="1:40" x14ac:dyDescent="0.3">
      <c r="A6154" s="10" t="str">
        <f>HYPERLINK("http://www.washoecounty.gov/assessor/cama/?parid=232-262-01&amp;CardNumber=1","232-262-01")</f>
        <v>232-262-01</v>
      </c>
      <c r="B6154" t="s">
        <v>4655</v>
      </c>
      <c r="C6154" t="s">
        <v>30058</v>
      </c>
      <c r="D6154" s="1">
        <v>40326</v>
      </c>
      <c r="E6154" s="2">
        <v>360000</v>
      </c>
      <c r="F6154" t="s">
        <v>4567</v>
      </c>
      <c r="G6154" s="17" t="str">
        <f>HYPERLINK("https://www.washoecounty.gov/assessor/cama/?command=sales&amp;parid=23226201","3886828")</f>
        <v>3886828</v>
      </c>
      <c r="H6154" t="s">
        <v>2599</v>
      </c>
      <c r="I6154">
        <v>2004</v>
      </c>
      <c r="J6154">
        <v>2004</v>
      </c>
      <c r="K6154" t="s">
        <v>4554</v>
      </c>
      <c r="L6154" t="s">
        <v>3974</v>
      </c>
      <c r="M6154" s="2">
        <v>2998</v>
      </c>
      <c r="N6154" t="s">
        <v>3147</v>
      </c>
      <c r="O6154">
        <v>3</v>
      </c>
      <c r="P6154">
        <v>2</v>
      </c>
      <c r="Q6154">
        <v>1</v>
      </c>
      <c r="R6154" t="s">
        <v>5281</v>
      </c>
      <c r="S6154" t="s">
        <v>4898</v>
      </c>
      <c r="T6154" t="s">
        <v>2704</v>
      </c>
      <c r="U6154" t="s">
        <v>162</v>
      </c>
      <c r="V6154" s="2">
        <v>780</v>
      </c>
      <c r="W6154" t="s">
        <v>4655</v>
      </c>
      <c r="X6154" s="2">
        <v>0</v>
      </c>
      <c r="Y6154">
        <v>20</v>
      </c>
      <c r="Z6154" t="s">
        <v>1491</v>
      </c>
      <c r="AA6154" s="3">
        <v>0.26597794890403698</v>
      </c>
      <c r="AB6154" t="s">
        <v>30059</v>
      </c>
      <c r="AC6154" t="s">
        <v>4575</v>
      </c>
      <c r="AD6154" t="s">
        <v>30060</v>
      </c>
      <c r="AE6154" t="s">
        <v>30058</v>
      </c>
      <c r="AF6154" t="s">
        <v>4563</v>
      </c>
      <c r="AG6154" t="s">
        <v>4564</v>
      </c>
      <c r="AH6154" t="s">
        <v>1147</v>
      </c>
      <c r="AI6154" t="s">
        <v>30061</v>
      </c>
      <c r="AJ6154" t="s">
        <v>2600</v>
      </c>
      <c r="AK6154" t="s">
        <v>30062</v>
      </c>
      <c r="AL6154" s="13" t="s">
        <v>1896</v>
      </c>
      <c r="AM6154">
        <v>1</v>
      </c>
      <c r="AN6154" s="15" t="s">
        <v>2313</v>
      </c>
    </row>
    <row r="6155" spans="1:40" x14ac:dyDescent="0.3">
      <c r="A6155" s="10" t="str">
        <f>HYPERLINK("http://www.washoecounty.gov/assessor/cama/?parid=232-262-06&amp;CardNumber=1","232-262-06")</f>
        <v>232-262-06</v>
      </c>
      <c r="B6155" t="s">
        <v>4655</v>
      </c>
      <c r="C6155" t="s">
        <v>30063</v>
      </c>
      <c r="D6155" s="1">
        <v>40445</v>
      </c>
      <c r="E6155" s="2">
        <v>380000</v>
      </c>
      <c r="F6155" t="s">
        <v>4567</v>
      </c>
      <c r="G6155" s="17" t="str">
        <f>HYPERLINK("https://www.washoecounty.gov/assessor/cama/?command=sales&amp;parid=23226206","3926242")</f>
        <v>3926242</v>
      </c>
      <c r="H6155" t="s">
        <v>2599</v>
      </c>
      <c r="I6155">
        <v>2004</v>
      </c>
      <c r="J6155">
        <v>2004</v>
      </c>
      <c r="K6155" t="s">
        <v>4554</v>
      </c>
      <c r="L6155" t="s">
        <v>3974</v>
      </c>
      <c r="M6155" s="2">
        <v>2998</v>
      </c>
      <c r="N6155" t="s">
        <v>3147</v>
      </c>
      <c r="O6155">
        <v>3</v>
      </c>
      <c r="P6155">
        <v>2</v>
      </c>
      <c r="Q6155">
        <v>1</v>
      </c>
      <c r="R6155" t="s">
        <v>5281</v>
      </c>
      <c r="S6155" t="s">
        <v>4898</v>
      </c>
      <c r="T6155" t="s">
        <v>2704</v>
      </c>
      <c r="U6155" t="s">
        <v>162</v>
      </c>
      <c r="V6155" s="2">
        <v>780</v>
      </c>
      <c r="W6155" t="s">
        <v>4655</v>
      </c>
      <c r="X6155" s="2">
        <v>0</v>
      </c>
      <c r="Y6155">
        <v>20</v>
      </c>
      <c r="Z6155" t="s">
        <v>1491</v>
      </c>
      <c r="AA6155" s="3">
        <v>0.27832874655723572</v>
      </c>
      <c r="AB6155" t="s">
        <v>30064</v>
      </c>
      <c r="AC6155" t="s">
        <v>4575</v>
      </c>
      <c r="AD6155" t="s">
        <v>30065</v>
      </c>
      <c r="AE6155" t="s">
        <v>30063</v>
      </c>
      <c r="AF6155" t="s">
        <v>4563</v>
      </c>
      <c r="AG6155" t="s">
        <v>4564</v>
      </c>
      <c r="AH6155" t="s">
        <v>1147</v>
      </c>
      <c r="AI6155" t="s">
        <v>30066</v>
      </c>
      <c r="AJ6155" t="s">
        <v>2600</v>
      </c>
      <c r="AK6155" t="s">
        <v>30067</v>
      </c>
      <c r="AL6155" s="13" t="s">
        <v>1896</v>
      </c>
      <c r="AM6155" s="14">
        <v>1</v>
      </c>
      <c r="AN6155" s="15" t="s">
        <v>2313</v>
      </c>
    </row>
    <row r="6156" spans="1:40" x14ac:dyDescent="0.3">
      <c r="A6156" s="10" t="str">
        <f>HYPERLINK("http://www.washoecounty.gov/assessor/cama/?parid=232-270-05&amp;CardNumber=1","232-270-05")</f>
        <v>232-270-05</v>
      </c>
      <c r="B6156" t="s">
        <v>4655</v>
      </c>
      <c r="C6156" t="s">
        <v>30068</v>
      </c>
      <c r="D6156" s="1">
        <v>40365</v>
      </c>
      <c r="E6156" s="2">
        <v>500000</v>
      </c>
      <c r="F6156" t="s">
        <v>4567</v>
      </c>
      <c r="G6156" s="17" t="str">
        <f>HYPERLINK("https://www.washoecounty.gov/assessor/cama/?command=sales&amp;parid=23227005","3898309")</f>
        <v>3898309</v>
      </c>
      <c r="H6156" t="s">
        <v>30069</v>
      </c>
      <c r="I6156">
        <v>2005</v>
      </c>
      <c r="J6156">
        <v>2005</v>
      </c>
      <c r="K6156" t="s">
        <v>4554</v>
      </c>
      <c r="L6156" t="s">
        <v>4555</v>
      </c>
      <c r="M6156" s="2">
        <v>2928</v>
      </c>
      <c r="N6156" t="s">
        <v>2008</v>
      </c>
      <c r="O6156">
        <v>3</v>
      </c>
      <c r="P6156">
        <v>3</v>
      </c>
      <c r="Q6156">
        <v>1</v>
      </c>
      <c r="R6156" t="s">
        <v>5281</v>
      </c>
      <c r="S6156" t="s">
        <v>4898</v>
      </c>
      <c r="T6156" t="s">
        <v>2704</v>
      </c>
      <c r="U6156" t="s">
        <v>4560</v>
      </c>
      <c r="V6156" s="2">
        <v>896</v>
      </c>
      <c r="W6156" t="s">
        <v>4655</v>
      </c>
      <c r="X6156" s="2">
        <v>0</v>
      </c>
      <c r="Y6156">
        <v>20</v>
      </c>
      <c r="Z6156" t="s">
        <v>1491</v>
      </c>
      <c r="AA6156" s="3">
        <v>0.33122131228446999</v>
      </c>
      <c r="AB6156" t="s">
        <v>30070</v>
      </c>
      <c r="AC6156" t="s">
        <v>4562</v>
      </c>
      <c r="AD6156" t="s">
        <v>30068</v>
      </c>
      <c r="AE6156" t="s">
        <v>4655</v>
      </c>
      <c r="AF6156" t="s">
        <v>4563</v>
      </c>
      <c r="AG6156" t="s">
        <v>4564</v>
      </c>
      <c r="AH6156" t="s">
        <v>1147</v>
      </c>
      <c r="AI6156" t="s">
        <v>30071</v>
      </c>
      <c r="AJ6156" t="s">
        <v>30072</v>
      </c>
      <c r="AK6156" t="s">
        <v>30073</v>
      </c>
      <c r="AL6156" s="13" t="s">
        <v>1897</v>
      </c>
      <c r="AM6156" s="14">
        <v>1</v>
      </c>
      <c r="AN6156" s="15" t="s">
        <v>4603</v>
      </c>
    </row>
    <row r="6157" spans="1:40" x14ac:dyDescent="0.3">
      <c r="A6157" s="10" t="str">
        <f>HYPERLINK("http://www.washoecounty.gov/assessor/cama/?parid=232-291-01&amp;CardNumber=1","232-291-01")</f>
        <v>232-291-01</v>
      </c>
      <c r="B6157" t="s">
        <v>4655</v>
      </c>
      <c r="C6157" t="s">
        <v>30074</v>
      </c>
      <c r="D6157" s="1">
        <v>40231</v>
      </c>
      <c r="E6157" s="2">
        <v>450000</v>
      </c>
      <c r="F6157" t="s">
        <v>4567</v>
      </c>
      <c r="G6157" s="17" t="str">
        <f>HYPERLINK("https://www.washoecounty.gov/assessor/cama/?command=sales&amp;parid=23229101","3851585")</f>
        <v>3851585</v>
      </c>
      <c r="H6157" t="s">
        <v>767</v>
      </c>
      <c r="I6157">
        <v>2004</v>
      </c>
      <c r="J6157">
        <v>2004</v>
      </c>
      <c r="K6157" t="s">
        <v>4554</v>
      </c>
      <c r="L6157" t="s">
        <v>3974</v>
      </c>
      <c r="M6157" s="2">
        <v>2904</v>
      </c>
      <c r="N6157" t="s">
        <v>1245</v>
      </c>
      <c r="O6157">
        <v>4</v>
      </c>
      <c r="P6157">
        <v>3</v>
      </c>
      <c r="Q6157">
        <v>1</v>
      </c>
      <c r="R6157" t="s">
        <v>5281</v>
      </c>
      <c r="S6157" t="s">
        <v>4898</v>
      </c>
      <c r="T6157" t="s">
        <v>2704</v>
      </c>
      <c r="U6157" t="s">
        <v>4560</v>
      </c>
      <c r="V6157" s="2">
        <v>615</v>
      </c>
      <c r="W6157" t="s">
        <v>4655</v>
      </c>
      <c r="X6157" s="2">
        <v>0</v>
      </c>
      <c r="Y6157">
        <v>20</v>
      </c>
      <c r="Z6157" t="s">
        <v>1491</v>
      </c>
      <c r="AA6157" s="3">
        <v>0.34506428241729697</v>
      </c>
      <c r="AB6157" t="s">
        <v>30075</v>
      </c>
      <c r="AC6157" t="s">
        <v>4562</v>
      </c>
      <c r="AD6157" t="s">
        <v>30074</v>
      </c>
      <c r="AE6157" t="s">
        <v>4655</v>
      </c>
      <c r="AF6157" t="s">
        <v>4563</v>
      </c>
      <c r="AG6157" t="s">
        <v>4564</v>
      </c>
      <c r="AH6157" t="s">
        <v>1147</v>
      </c>
      <c r="AI6157" t="s">
        <v>30076</v>
      </c>
      <c r="AJ6157" t="s">
        <v>1608</v>
      </c>
      <c r="AK6157" t="s">
        <v>30077</v>
      </c>
      <c r="AL6157" s="13" t="s">
        <v>1896</v>
      </c>
      <c r="AM6157">
        <v>1</v>
      </c>
      <c r="AN6157" s="15" t="s">
        <v>1362</v>
      </c>
    </row>
    <row r="6158" spans="1:40" x14ac:dyDescent="0.3">
      <c r="A6158" s="10" t="str">
        <f>HYPERLINK("http://www.washoecounty.gov/assessor/cama/?parid=232-292-08&amp;CardNumber=1","232-292-08")</f>
        <v>232-292-08</v>
      </c>
      <c r="B6158" t="s">
        <v>4655</v>
      </c>
      <c r="C6158" t="s">
        <v>30078</v>
      </c>
      <c r="D6158" s="1">
        <v>40354</v>
      </c>
      <c r="E6158" s="2">
        <v>325000</v>
      </c>
      <c r="F6158" t="s">
        <v>4567</v>
      </c>
      <c r="G6158" s="17" t="str">
        <f>HYPERLINK("https://www.washoecounty.gov/assessor/cama/?command=sales&amp;parid=23229208","3895445")</f>
        <v>3895445</v>
      </c>
      <c r="H6158" t="s">
        <v>767</v>
      </c>
      <c r="I6158">
        <v>2004</v>
      </c>
      <c r="J6158">
        <v>2004</v>
      </c>
      <c r="K6158" t="s">
        <v>4554</v>
      </c>
      <c r="L6158" t="s">
        <v>4555</v>
      </c>
      <c r="M6158" s="2">
        <v>2593</v>
      </c>
      <c r="N6158" t="s">
        <v>1245</v>
      </c>
      <c r="O6158">
        <v>3</v>
      </c>
      <c r="P6158">
        <v>2</v>
      </c>
      <c r="Q6158">
        <v>1</v>
      </c>
      <c r="R6158" t="s">
        <v>5281</v>
      </c>
      <c r="S6158" t="s">
        <v>4898</v>
      </c>
      <c r="T6158" t="s">
        <v>2704</v>
      </c>
      <c r="U6158" t="s">
        <v>4560</v>
      </c>
      <c r="V6158" s="2">
        <v>660</v>
      </c>
      <c r="W6158" t="s">
        <v>4655</v>
      </c>
      <c r="X6158" s="2">
        <v>0</v>
      </c>
      <c r="Y6158">
        <v>20</v>
      </c>
      <c r="Z6158" t="s">
        <v>1491</v>
      </c>
      <c r="AA6158" s="3">
        <v>0.35449954867362976</v>
      </c>
      <c r="AB6158" t="s">
        <v>30079</v>
      </c>
      <c r="AC6158" t="s">
        <v>4575</v>
      </c>
      <c r="AD6158" t="s">
        <v>30078</v>
      </c>
      <c r="AE6158" t="s">
        <v>4655</v>
      </c>
      <c r="AF6158" t="s">
        <v>4563</v>
      </c>
      <c r="AG6158" t="s">
        <v>4564</v>
      </c>
      <c r="AH6158" t="s">
        <v>1147</v>
      </c>
      <c r="AI6158" t="s">
        <v>30080</v>
      </c>
      <c r="AJ6158" t="s">
        <v>1608</v>
      </c>
      <c r="AK6158" t="s">
        <v>30081</v>
      </c>
      <c r="AL6158" s="13" t="s">
        <v>1896</v>
      </c>
      <c r="AM6158">
        <v>1</v>
      </c>
      <c r="AN6158" s="15" t="s">
        <v>1362</v>
      </c>
    </row>
    <row r="6159" spans="1:40" x14ac:dyDescent="0.3">
      <c r="A6159" s="10" t="str">
        <f>HYPERLINK("http://www.washoecounty.gov/assessor/cama/?parid=232-321-01&amp;CardNumber=1","232-321-01")</f>
        <v>232-321-01</v>
      </c>
      <c r="B6159" t="s">
        <v>4655</v>
      </c>
      <c r="C6159" t="s">
        <v>2987</v>
      </c>
      <c r="D6159" s="1">
        <v>40414</v>
      </c>
      <c r="E6159" s="2">
        <v>440000</v>
      </c>
      <c r="F6159" t="s">
        <v>4567</v>
      </c>
      <c r="G6159" s="17" t="str">
        <f>HYPERLINK("https://www.washoecounty.gov/assessor/cama/?command=sales&amp;parid=23232101","3915167")</f>
        <v>3915167</v>
      </c>
      <c r="H6159" t="s">
        <v>5299</v>
      </c>
      <c r="I6159">
        <v>2004</v>
      </c>
      <c r="J6159">
        <v>2004</v>
      </c>
      <c r="K6159" t="s">
        <v>4554</v>
      </c>
      <c r="L6159" t="s">
        <v>4555</v>
      </c>
      <c r="M6159" s="2">
        <v>2395</v>
      </c>
      <c r="N6159" t="s">
        <v>2008</v>
      </c>
      <c r="O6159">
        <v>2</v>
      </c>
      <c r="P6159">
        <v>2</v>
      </c>
      <c r="Q6159">
        <v>1</v>
      </c>
      <c r="R6159" t="s">
        <v>5281</v>
      </c>
      <c r="S6159" t="s">
        <v>4898</v>
      </c>
      <c r="T6159" t="s">
        <v>2704</v>
      </c>
      <c r="U6159" t="s">
        <v>4560</v>
      </c>
      <c r="V6159" s="2">
        <v>838</v>
      </c>
      <c r="W6159" t="s">
        <v>4655</v>
      </c>
      <c r="X6159" s="2">
        <v>0</v>
      </c>
      <c r="Y6159">
        <v>20</v>
      </c>
      <c r="Z6159" t="s">
        <v>1491</v>
      </c>
      <c r="AA6159" s="3">
        <v>0.77114325761795</v>
      </c>
      <c r="AB6159" t="s">
        <v>30082</v>
      </c>
      <c r="AC6159" t="s">
        <v>4575</v>
      </c>
      <c r="AD6159" t="s">
        <v>2987</v>
      </c>
      <c r="AE6159" t="s">
        <v>4655</v>
      </c>
      <c r="AF6159" t="s">
        <v>4563</v>
      </c>
      <c r="AG6159" t="s">
        <v>4564</v>
      </c>
      <c r="AH6159" t="s">
        <v>1147</v>
      </c>
      <c r="AI6159" t="s">
        <v>30083</v>
      </c>
      <c r="AJ6159" t="s">
        <v>3105</v>
      </c>
      <c r="AK6159" t="s">
        <v>30084</v>
      </c>
      <c r="AL6159" s="13" t="s">
        <v>1896</v>
      </c>
      <c r="AM6159" s="14">
        <v>1</v>
      </c>
      <c r="AN6159" s="15" t="s">
        <v>3106</v>
      </c>
    </row>
    <row r="6160" spans="1:40" x14ac:dyDescent="0.3">
      <c r="A6160" s="10" t="str">
        <f>HYPERLINK("http://www.washoecounty.gov/assessor/cama/?parid=232-322-01&amp;CardNumber=1","232-322-01")</f>
        <v>232-322-01</v>
      </c>
      <c r="B6160" t="s">
        <v>4655</v>
      </c>
      <c r="C6160" t="s">
        <v>30085</v>
      </c>
      <c r="D6160" s="1">
        <v>40340</v>
      </c>
      <c r="E6160" s="2">
        <v>68000</v>
      </c>
      <c r="F6160" t="s">
        <v>3174</v>
      </c>
      <c r="G6160" s="17" t="str">
        <f>HYPERLINK("https://www.washoecounty.gov/assessor/cama/?command=sales&amp;parid=23232201","3890813")</f>
        <v>3890813</v>
      </c>
      <c r="H6160" t="s">
        <v>5299</v>
      </c>
      <c r="I6160">
        <v>0</v>
      </c>
      <c r="J6160">
        <v>0</v>
      </c>
      <c r="K6160" t="s">
        <v>4655</v>
      </c>
      <c r="L6160" t="s">
        <v>4655</v>
      </c>
      <c r="M6160" s="2">
        <v>0</v>
      </c>
      <c r="N6160" t="s">
        <v>4655</v>
      </c>
      <c r="O6160">
        <v>0</v>
      </c>
      <c r="P6160">
        <v>0</v>
      </c>
      <c r="Q6160">
        <v>0</v>
      </c>
      <c r="R6160" t="s">
        <v>4655</v>
      </c>
      <c r="S6160" t="s">
        <v>4655</v>
      </c>
      <c r="T6160" t="s">
        <v>4655</v>
      </c>
      <c r="U6160" t="s">
        <v>4655</v>
      </c>
      <c r="V6160" s="2">
        <v>0</v>
      </c>
      <c r="W6160" t="s">
        <v>4655</v>
      </c>
      <c r="X6160" s="2">
        <v>0</v>
      </c>
      <c r="Y6160">
        <v>12</v>
      </c>
      <c r="Z6160" t="s">
        <v>1491</v>
      </c>
      <c r="AA6160" s="3">
        <v>0.39120751619339</v>
      </c>
      <c r="AB6160" t="s">
        <v>30086</v>
      </c>
      <c r="AC6160" t="s">
        <v>4575</v>
      </c>
      <c r="AD6160" t="s">
        <v>30087</v>
      </c>
      <c r="AE6160" t="s">
        <v>4655</v>
      </c>
      <c r="AF6160" t="s">
        <v>2808</v>
      </c>
      <c r="AG6160" t="s">
        <v>762</v>
      </c>
      <c r="AH6160">
        <v>76710</v>
      </c>
      <c r="AI6160" t="s">
        <v>30088</v>
      </c>
      <c r="AJ6160" t="s">
        <v>3105</v>
      </c>
      <c r="AK6160" t="s">
        <v>30089</v>
      </c>
      <c r="AL6160" s="13" t="s">
        <v>1896</v>
      </c>
      <c r="AM6160">
        <v>0</v>
      </c>
      <c r="AN6160" s="15" t="s">
        <v>3106</v>
      </c>
    </row>
    <row r="6161" spans="1:40" x14ac:dyDescent="0.3">
      <c r="A6161" s="10" t="str">
        <f>HYPERLINK("http://www.washoecounty.gov/assessor/cama/?parid=232-322-04&amp;CardNumber=1","232-322-04")</f>
        <v>232-322-04</v>
      </c>
      <c r="B6161" t="s">
        <v>4655</v>
      </c>
      <c r="C6161" t="s">
        <v>547</v>
      </c>
      <c r="D6161" s="1">
        <v>40472</v>
      </c>
      <c r="E6161" s="2">
        <v>495000</v>
      </c>
      <c r="F6161" t="s">
        <v>4567</v>
      </c>
      <c r="G6161" s="17" t="str">
        <f>HYPERLINK("https://www.washoecounty.gov/assessor/cama/?command=sales&amp;parid=23232204","3935379")</f>
        <v>3935379</v>
      </c>
      <c r="H6161" t="s">
        <v>5299</v>
      </c>
      <c r="I6161">
        <v>2005</v>
      </c>
      <c r="J6161">
        <v>2005</v>
      </c>
      <c r="K6161" t="s">
        <v>4554</v>
      </c>
      <c r="L6161" t="s">
        <v>4555</v>
      </c>
      <c r="M6161" s="2">
        <v>2987</v>
      </c>
      <c r="N6161" t="s">
        <v>2008</v>
      </c>
      <c r="O6161">
        <v>4</v>
      </c>
      <c r="P6161">
        <v>3</v>
      </c>
      <c r="Q6161">
        <v>1</v>
      </c>
      <c r="R6161" t="s">
        <v>5281</v>
      </c>
      <c r="S6161" t="s">
        <v>4898</v>
      </c>
      <c r="T6161" t="s">
        <v>2704</v>
      </c>
      <c r="U6161" t="s">
        <v>4560</v>
      </c>
      <c r="V6161" s="2">
        <v>1128</v>
      </c>
      <c r="W6161" t="s">
        <v>3201</v>
      </c>
      <c r="X6161" s="2">
        <v>1297</v>
      </c>
      <c r="Y6161">
        <v>20</v>
      </c>
      <c r="Z6161" t="s">
        <v>1491</v>
      </c>
      <c r="AA6161" s="3">
        <v>0.44958677887916565</v>
      </c>
      <c r="AB6161" t="s">
        <v>30090</v>
      </c>
      <c r="AC6161" t="s">
        <v>4562</v>
      </c>
      <c r="AD6161" t="s">
        <v>547</v>
      </c>
      <c r="AE6161" t="s">
        <v>4655</v>
      </c>
      <c r="AF6161" t="s">
        <v>4563</v>
      </c>
      <c r="AG6161" t="s">
        <v>4564</v>
      </c>
      <c r="AH6161" t="s">
        <v>1147</v>
      </c>
      <c r="AI6161" t="s">
        <v>30091</v>
      </c>
      <c r="AJ6161" t="s">
        <v>3105</v>
      </c>
      <c r="AK6161" t="s">
        <v>30092</v>
      </c>
      <c r="AL6161" s="13" t="s">
        <v>1896</v>
      </c>
      <c r="AM6161" s="14">
        <v>1</v>
      </c>
      <c r="AN6161" s="15" t="s">
        <v>3106</v>
      </c>
    </row>
    <row r="6162" spans="1:40" x14ac:dyDescent="0.3">
      <c r="A6162" s="10" t="str">
        <f>HYPERLINK("http://www.washoecounty.gov/assessor/cama/?parid=232-322-05&amp;CardNumber=1","232-322-05")</f>
        <v>232-322-05</v>
      </c>
      <c r="B6162" t="s">
        <v>4655</v>
      </c>
      <c r="C6162" t="s">
        <v>30093</v>
      </c>
      <c r="D6162" s="1">
        <v>40276</v>
      </c>
      <c r="E6162" s="2">
        <v>565000</v>
      </c>
      <c r="F6162" t="s">
        <v>4567</v>
      </c>
      <c r="G6162" s="17" t="str">
        <f>HYPERLINK("https://www.washoecounty.gov/assessor/cama/?command=sales&amp;parid=23232205","3869079")</f>
        <v>3869079</v>
      </c>
      <c r="H6162" t="s">
        <v>5299</v>
      </c>
      <c r="I6162">
        <v>2005</v>
      </c>
      <c r="J6162">
        <v>2005</v>
      </c>
      <c r="K6162" t="s">
        <v>4554</v>
      </c>
      <c r="L6162" t="s">
        <v>4555</v>
      </c>
      <c r="M6162" s="2">
        <v>2942</v>
      </c>
      <c r="N6162" t="s">
        <v>2008</v>
      </c>
      <c r="O6162">
        <v>4</v>
      </c>
      <c r="P6162">
        <v>4</v>
      </c>
      <c r="Q6162">
        <v>1</v>
      </c>
      <c r="R6162" t="s">
        <v>5281</v>
      </c>
      <c r="S6162" t="s">
        <v>4898</v>
      </c>
      <c r="T6162" t="s">
        <v>2704</v>
      </c>
      <c r="U6162" t="s">
        <v>4560</v>
      </c>
      <c r="V6162" s="2">
        <v>856</v>
      </c>
      <c r="W6162" t="s">
        <v>3201</v>
      </c>
      <c r="X6162" s="2">
        <v>1687</v>
      </c>
      <c r="Y6162">
        <v>20</v>
      </c>
      <c r="Z6162" t="s">
        <v>1491</v>
      </c>
      <c r="AA6162" s="3">
        <v>0.4782598614692688</v>
      </c>
      <c r="AB6162" t="s">
        <v>30094</v>
      </c>
      <c r="AC6162" t="s">
        <v>4562</v>
      </c>
      <c r="AD6162" t="s">
        <v>30093</v>
      </c>
      <c r="AE6162" t="s">
        <v>4655</v>
      </c>
      <c r="AF6162" t="s">
        <v>4563</v>
      </c>
      <c r="AG6162" t="s">
        <v>4564</v>
      </c>
      <c r="AH6162" t="s">
        <v>1147</v>
      </c>
      <c r="AI6162" t="s">
        <v>24802</v>
      </c>
      <c r="AJ6162" t="s">
        <v>3105</v>
      </c>
      <c r="AK6162" t="s">
        <v>30095</v>
      </c>
      <c r="AL6162" s="13" t="s">
        <v>1896</v>
      </c>
      <c r="AM6162">
        <v>1</v>
      </c>
      <c r="AN6162" s="15" t="s">
        <v>3106</v>
      </c>
    </row>
    <row r="6163" spans="1:40" x14ac:dyDescent="0.3">
      <c r="A6163" s="10" t="str">
        <f>HYPERLINK("http://www.washoecounty.gov/assessor/cama/?parid=232-333-03&amp;CardNumber=1","232-333-03")</f>
        <v>232-333-03</v>
      </c>
      <c r="B6163" t="s">
        <v>4655</v>
      </c>
      <c r="C6163" t="s">
        <v>30096</v>
      </c>
      <c r="D6163" s="1">
        <v>40340</v>
      </c>
      <c r="E6163" s="2">
        <v>68000</v>
      </c>
      <c r="F6163" t="s">
        <v>3174</v>
      </c>
      <c r="G6163" s="17" t="str">
        <f>HYPERLINK("https://www.washoecounty.gov/assessor/cama/?command=sales&amp;parid=23233303","3890813")</f>
        <v>3890813</v>
      </c>
      <c r="H6163" t="s">
        <v>5299</v>
      </c>
      <c r="I6163">
        <v>0</v>
      </c>
      <c r="J6163">
        <v>0</v>
      </c>
      <c r="K6163" t="s">
        <v>4655</v>
      </c>
      <c r="L6163" t="s">
        <v>4655</v>
      </c>
      <c r="M6163" s="2">
        <v>0</v>
      </c>
      <c r="N6163" t="s">
        <v>4655</v>
      </c>
      <c r="O6163">
        <v>0</v>
      </c>
      <c r="P6163">
        <v>0</v>
      </c>
      <c r="Q6163">
        <v>0</v>
      </c>
      <c r="R6163" t="s">
        <v>4655</v>
      </c>
      <c r="S6163" t="s">
        <v>4655</v>
      </c>
      <c r="T6163" t="s">
        <v>4655</v>
      </c>
      <c r="U6163" t="s">
        <v>4655</v>
      </c>
      <c r="V6163" s="2">
        <v>0</v>
      </c>
      <c r="W6163" t="s">
        <v>4655</v>
      </c>
      <c r="X6163" s="2">
        <v>0</v>
      </c>
      <c r="Y6163">
        <v>12</v>
      </c>
      <c r="Z6163" t="s">
        <v>1491</v>
      </c>
      <c r="AA6163" s="3">
        <v>0.4514462947845459</v>
      </c>
      <c r="AB6163" t="s">
        <v>30086</v>
      </c>
      <c r="AC6163" t="s">
        <v>4575</v>
      </c>
      <c r="AD6163" t="s">
        <v>30087</v>
      </c>
      <c r="AE6163" t="s">
        <v>4655</v>
      </c>
      <c r="AF6163" t="s">
        <v>2808</v>
      </c>
      <c r="AG6163" t="s">
        <v>762</v>
      </c>
      <c r="AH6163">
        <v>76710</v>
      </c>
      <c r="AI6163" t="s">
        <v>30088</v>
      </c>
      <c r="AJ6163" t="s">
        <v>3105</v>
      </c>
      <c r="AK6163" t="s">
        <v>30097</v>
      </c>
      <c r="AL6163" s="13" t="s">
        <v>1896</v>
      </c>
      <c r="AM6163" s="14">
        <v>0</v>
      </c>
      <c r="AN6163" s="15" t="s">
        <v>3106</v>
      </c>
    </row>
    <row r="6164" spans="1:40" x14ac:dyDescent="0.3">
      <c r="A6164" s="10" t="str">
        <f>HYPERLINK("http://www.washoecounty.gov/assessor/cama/?parid=232-351-03&amp;CardNumber=1","232-351-03")</f>
        <v>232-351-03</v>
      </c>
      <c r="B6164" t="s">
        <v>4655</v>
      </c>
      <c r="C6164" t="s">
        <v>30098</v>
      </c>
      <c r="D6164" s="1">
        <v>40409</v>
      </c>
      <c r="E6164" s="2">
        <v>321000</v>
      </c>
      <c r="F6164" t="s">
        <v>4553</v>
      </c>
      <c r="G6164" s="17" t="str">
        <f>HYPERLINK("https://www.washoecounty.gov/assessor/cama/?command=sales&amp;parid=23235103","3913889")</f>
        <v>3913889</v>
      </c>
      <c r="H6164" t="s">
        <v>2185</v>
      </c>
      <c r="I6164">
        <v>2004</v>
      </c>
      <c r="J6164">
        <v>2004</v>
      </c>
      <c r="K6164" t="s">
        <v>4554</v>
      </c>
      <c r="L6164" t="s">
        <v>3974</v>
      </c>
      <c r="M6164" s="2">
        <v>3255</v>
      </c>
      <c r="N6164" t="s">
        <v>3147</v>
      </c>
      <c r="O6164">
        <v>4</v>
      </c>
      <c r="P6164">
        <v>2</v>
      </c>
      <c r="Q6164">
        <v>1</v>
      </c>
      <c r="R6164" t="s">
        <v>4557</v>
      </c>
      <c r="S6164" t="s">
        <v>4898</v>
      </c>
      <c r="T6164" t="s">
        <v>2704</v>
      </c>
      <c r="U6164" t="s">
        <v>5631</v>
      </c>
      <c r="V6164" s="2">
        <v>620</v>
      </c>
      <c r="W6164" t="s">
        <v>4655</v>
      </c>
      <c r="X6164" s="2">
        <v>0</v>
      </c>
      <c r="Y6164">
        <v>20</v>
      </c>
      <c r="Z6164" t="s">
        <v>1491</v>
      </c>
      <c r="AA6164" s="3">
        <v>0.20860882103443101</v>
      </c>
      <c r="AB6164" t="s">
        <v>30099</v>
      </c>
      <c r="AC6164" t="s">
        <v>4562</v>
      </c>
      <c r="AD6164" t="s">
        <v>30100</v>
      </c>
      <c r="AE6164" t="s">
        <v>4655</v>
      </c>
      <c r="AF6164" t="s">
        <v>4563</v>
      </c>
      <c r="AG6164" t="s">
        <v>4564</v>
      </c>
      <c r="AH6164" t="s">
        <v>1147</v>
      </c>
      <c r="AI6164" t="s">
        <v>4145</v>
      </c>
      <c r="AJ6164" t="s">
        <v>2187</v>
      </c>
      <c r="AK6164" t="s">
        <v>30101</v>
      </c>
      <c r="AL6164" s="13" t="s">
        <v>1897</v>
      </c>
      <c r="AM6164" s="14">
        <v>1</v>
      </c>
      <c r="AN6164" s="15" t="s">
        <v>2104</v>
      </c>
    </row>
    <row r="6165" spans="1:40" x14ac:dyDescent="0.3">
      <c r="A6165" s="10" t="str">
        <f>HYPERLINK("http://www.washoecounty.gov/assessor/cama/?parid=232-351-04&amp;CardNumber=1","232-351-04")</f>
        <v>232-351-04</v>
      </c>
      <c r="B6165" t="s">
        <v>4655</v>
      </c>
      <c r="C6165" t="s">
        <v>30102</v>
      </c>
      <c r="D6165" s="1">
        <v>40529</v>
      </c>
      <c r="E6165" s="2">
        <v>289000</v>
      </c>
      <c r="F6165" t="s">
        <v>4567</v>
      </c>
      <c r="G6165" s="17" t="str">
        <f>HYPERLINK("https://www.washoecounty.gov/assessor/cama/?command=sales&amp;parid=23235104","3954856")</f>
        <v>3954856</v>
      </c>
      <c r="H6165" t="s">
        <v>2185</v>
      </c>
      <c r="I6165">
        <v>2004</v>
      </c>
      <c r="J6165">
        <v>2004</v>
      </c>
      <c r="K6165" t="s">
        <v>4554</v>
      </c>
      <c r="L6165" t="s">
        <v>4555</v>
      </c>
      <c r="M6165" s="2">
        <v>2449</v>
      </c>
      <c r="N6165" t="s">
        <v>3147</v>
      </c>
      <c r="O6165">
        <v>3</v>
      </c>
      <c r="P6165">
        <v>2</v>
      </c>
      <c r="Q6165">
        <v>1</v>
      </c>
      <c r="R6165" t="s">
        <v>5281</v>
      </c>
      <c r="S6165" t="s">
        <v>4898</v>
      </c>
      <c r="T6165" t="s">
        <v>2704</v>
      </c>
      <c r="U6165" t="s">
        <v>4560</v>
      </c>
      <c r="V6165" s="2">
        <v>595</v>
      </c>
      <c r="W6165" t="s">
        <v>4655</v>
      </c>
      <c r="X6165" s="2">
        <v>0</v>
      </c>
      <c r="Y6165">
        <v>20</v>
      </c>
      <c r="Z6165" t="s">
        <v>1491</v>
      </c>
      <c r="AA6165" s="3">
        <v>0.212855830788612</v>
      </c>
      <c r="AB6165" t="s">
        <v>30103</v>
      </c>
      <c r="AC6165" t="s">
        <v>4562</v>
      </c>
      <c r="AD6165" t="s">
        <v>30104</v>
      </c>
      <c r="AE6165" t="s">
        <v>4655</v>
      </c>
      <c r="AF6165" t="s">
        <v>225</v>
      </c>
      <c r="AG6165" t="s">
        <v>4584</v>
      </c>
      <c r="AH6165" t="s">
        <v>2595</v>
      </c>
      <c r="AI6165" t="s">
        <v>30105</v>
      </c>
      <c r="AJ6165" t="s">
        <v>2187</v>
      </c>
      <c r="AK6165" t="s">
        <v>30106</v>
      </c>
      <c r="AL6165" s="13" t="s">
        <v>1897</v>
      </c>
      <c r="AM6165" s="14">
        <v>1</v>
      </c>
      <c r="AN6165" s="15" t="s">
        <v>2104</v>
      </c>
    </row>
    <row r="6166" spans="1:40" x14ac:dyDescent="0.3">
      <c r="A6166" s="10" t="str">
        <f>HYPERLINK("http://www.washoecounty.gov/assessor/cama/?parid=232-354-07&amp;CardNumber=1","232-354-07")</f>
        <v>232-354-07</v>
      </c>
      <c r="B6166" t="s">
        <v>4655</v>
      </c>
      <c r="C6166" t="s">
        <v>774</v>
      </c>
      <c r="D6166" s="1">
        <v>40316</v>
      </c>
      <c r="E6166" s="2">
        <v>279000</v>
      </c>
      <c r="F6166" t="s">
        <v>4567</v>
      </c>
      <c r="G6166" s="17" t="str">
        <f>HYPERLINK("https://www.washoecounty.gov/assessor/cama/?command=sales&amp;parid=23235407","3882709")</f>
        <v>3882709</v>
      </c>
      <c r="H6166" t="s">
        <v>2185</v>
      </c>
      <c r="I6166">
        <v>2005</v>
      </c>
      <c r="J6166">
        <v>2005</v>
      </c>
      <c r="K6166" t="s">
        <v>4554</v>
      </c>
      <c r="L6166" t="s">
        <v>4555</v>
      </c>
      <c r="M6166" s="2">
        <v>2567</v>
      </c>
      <c r="N6166" t="s">
        <v>3147</v>
      </c>
      <c r="O6166">
        <v>4</v>
      </c>
      <c r="P6166">
        <v>2</v>
      </c>
      <c r="Q6166">
        <v>1</v>
      </c>
      <c r="R6166" t="s">
        <v>4557</v>
      </c>
      <c r="S6166" t="s">
        <v>4898</v>
      </c>
      <c r="T6166" t="s">
        <v>2704</v>
      </c>
      <c r="U6166" t="s">
        <v>4560</v>
      </c>
      <c r="V6166" s="2">
        <v>595</v>
      </c>
      <c r="W6166" t="s">
        <v>4655</v>
      </c>
      <c r="X6166" s="2">
        <v>0</v>
      </c>
      <c r="Y6166">
        <v>20</v>
      </c>
      <c r="Z6166" t="s">
        <v>1491</v>
      </c>
      <c r="AA6166" s="3">
        <v>0.26730945706367498</v>
      </c>
      <c r="AB6166" t="s">
        <v>5704</v>
      </c>
      <c r="AC6166" t="s">
        <v>4575</v>
      </c>
      <c r="AD6166" t="s">
        <v>774</v>
      </c>
      <c r="AE6166" t="s">
        <v>4655</v>
      </c>
      <c r="AF6166" t="s">
        <v>4563</v>
      </c>
      <c r="AG6166" t="s">
        <v>4564</v>
      </c>
      <c r="AH6166" t="s">
        <v>1147</v>
      </c>
      <c r="AI6166" t="s">
        <v>243</v>
      </c>
      <c r="AJ6166" t="s">
        <v>2187</v>
      </c>
      <c r="AK6166" t="s">
        <v>738</v>
      </c>
      <c r="AL6166" s="13" t="s">
        <v>1897</v>
      </c>
      <c r="AM6166">
        <v>1</v>
      </c>
      <c r="AN6166" s="15" t="s">
        <v>2104</v>
      </c>
    </row>
    <row r="6167" spans="1:40" x14ac:dyDescent="0.3">
      <c r="A6167" s="10" t="str">
        <f>HYPERLINK("http://www.washoecounty.gov/assessor/cama/?parid=232-355-06&amp;CardNumber=1","232-355-06")</f>
        <v>232-355-06</v>
      </c>
      <c r="B6167" t="s">
        <v>4655</v>
      </c>
      <c r="C6167" t="s">
        <v>30107</v>
      </c>
      <c r="D6167" s="1">
        <v>40387</v>
      </c>
      <c r="E6167" s="2">
        <v>237000</v>
      </c>
      <c r="F6167" t="s">
        <v>4567</v>
      </c>
      <c r="G6167" s="17" t="str">
        <f>HYPERLINK("https://www.washoecounty.gov/assessor/cama/?command=sales&amp;parid=23235506","3906117")</f>
        <v>3906117</v>
      </c>
      <c r="H6167" t="s">
        <v>2185</v>
      </c>
      <c r="I6167">
        <v>2005</v>
      </c>
      <c r="J6167">
        <v>2005</v>
      </c>
      <c r="K6167" t="s">
        <v>4554</v>
      </c>
      <c r="L6167" t="s">
        <v>4555</v>
      </c>
      <c r="M6167" s="2">
        <v>2286</v>
      </c>
      <c r="N6167" t="s">
        <v>3147</v>
      </c>
      <c r="O6167">
        <v>3</v>
      </c>
      <c r="P6167">
        <v>2</v>
      </c>
      <c r="Q6167">
        <v>0</v>
      </c>
      <c r="R6167" t="s">
        <v>5281</v>
      </c>
      <c r="S6167" t="s">
        <v>4898</v>
      </c>
      <c r="T6167" t="s">
        <v>2704</v>
      </c>
      <c r="U6167" t="s">
        <v>4560</v>
      </c>
      <c r="V6167" s="2">
        <v>484</v>
      </c>
      <c r="W6167" t="s">
        <v>4655</v>
      </c>
      <c r="X6167" s="2">
        <v>0</v>
      </c>
      <c r="Y6167">
        <v>20</v>
      </c>
      <c r="Z6167" t="s">
        <v>1491</v>
      </c>
      <c r="AA6167" s="3">
        <v>0.28620293736457803</v>
      </c>
      <c r="AB6167" t="s">
        <v>30108</v>
      </c>
      <c r="AC6167" t="s">
        <v>4562</v>
      </c>
      <c r="AD6167" t="s">
        <v>30109</v>
      </c>
      <c r="AE6167" t="s">
        <v>4655</v>
      </c>
      <c r="AF6167" t="s">
        <v>30110</v>
      </c>
      <c r="AG6167" t="s">
        <v>30111</v>
      </c>
      <c r="AH6167" t="s">
        <v>30112</v>
      </c>
      <c r="AI6167" t="s">
        <v>30113</v>
      </c>
      <c r="AJ6167" t="s">
        <v>2187</v>
      </c>
      <c r="AK6167" t="s">
        <v>30114</v>
      </c>
      <c r="AL6167" s="13" t="s">
        <v>1897</v>
      </c>
      <c r="AM6167" s="14">
        <v>1</v>
      </c>
      <c r="AN6167" s="15" t="s">
        <v>2104</v>
      </c>
    </row>
    <row r="6168" spans="1:40" x14ac:dyDescent="0.3">
      <c r="A6168" s="10" t="str">
        <f>HYPERLINK("http://www.washoecounty.gov/assessor/cama/?parid=232-361-04&amp;CardNumber=1","232-361-04")</f>
        <v>232-361-04</v>
      </c>
      <c r="B6168" t="s">
        <v>4655</v>
      </c>
      <c r="C6168" t="s">
        <v>30115</v>
      </c>
      <c r="D6168" s="1">
        <v>40294</v>
      </c>
      <c r="E6168" s="2">
        <v>225000</v>
      </c>
      <c r="F6168" t="s">
        <v>4553</v>
      </c>
      <c r="G6168" s="17" t="str">
        <f>HYPERLINK("https://www.washoecounty.gov/assessor/cama/?command=sales&amp;parid=23236104","3874767")</f>
        <v>3874767</v>
      </c>
      <c r="H6168" t="s">
        <v>2185</v>
      </c>
      <c r="I6168">
        <v>2005</v>
      </c>
      <c r="J6168">
        <v>2005</v>
      </c>
      <c r="K6168" t="s">
        <v>4554</v>
      </c>
      <c r="L6168" t="s">
        <v>4555</v>
      </c>
      <c r="M6168" s="2">
        <v>1576</v>
      </c>
      <c r="N6168" t="s">
        <v>5280</v>
      </c>
      <c r="O6168">
        <v>3</v>
      </c>
      <c r="P6168">
        <v>2</v>
      </c>
      <c r="Q6168">
        <v>0</v>
      </c>
      <c r="R6168" t="s">
        <v>4557</v>
      </c>
      <c r="S6168" t="s">
        <v>4898</v>
      </c>
      <c r="T6168" t="s">
        <v>2704</v>
      </c>
      <c r="U6168" t="s">
        <v>4560</v>
      </c>
      <c r="V6168" s="2">
        <v>426</v>
      </c>
      <c r="W6168" t="s">
        <v>4655</v>
      </c>
      <c r="X6168" s="2">
        <v>0</v>
      </c>
      <c r="Y6168">
        <v>20</v>
      </c>
      <c r="Z6168" t="s">
        <v>1491</v>
      </c>
      <c r="AA6168" s="3">
        <v>0.15874655544757843</v>
      </c>
      <c r="AB6168" t="s">
        <v>30116</v>
      </c>
      <c r="AC6168" t="s">
        <v>4562</v>
      </c>
      <c r="AD6168" t="s">
        <v>30117</v>
      </c>
      <c r="AE6168" t="s">
        <v>4655</v>
      </c>
      <c r="AF6168" t="s">
        <v>3660</v>
      </c>
      <c r="AG6168" t="s">
        <v>4584</v>
      </c>
      <c r="AH6168" t="s">
        <v>3661</v>
      </c>
      <c r="AI6168" t="s">
        <v>4903</v>
      </c>
      <c r="AJ6168" t="s">
        <v>2187</v>
      </c>
      <c r="AK6168" t="s">
        <v>30118</v>
      </c>
      <c r="AL6168" s="13" t="s">
        <v>1897</v>
      </c>
      <c r="AM6168" s="14">
        <v>1</v>
      </c>
      <c r="AN6168" s="15" t="s">
        <v>2104</v>
      </c>
    </row>
    <row r="6169" spans="1:40" x14ac:dyDescent="0.3">
      <c r="A6169" s="10" t="str">
        <f>HYPERLINK("http://www.washoecounty.gov/assessor/cama/?parid=232-361-08&amp;CardNumber=1","232-361-08")</f>
        <v>232-361-08</v>
      </c>
      <c r="B6169" t="s">
        <v>4655</v>
      </c>
      <c r="C6169" t="s">
        <v>30119</v>
      </c>
      <c r="D6169" s="1">
        <v>40385</v>
      </c>
      <c r="E6169" s="2">
        <v>240000</v>
      </c>
      <c r="F6169" t="s">
        <v>4567</v>
      </c>
      <c r="G6169" s="17" t="str">
        <f>HYPERLINK("https://www.washoecounty.gov/assessor/cama/?command=sales&amp;parid=23236108","3904826")</f>
        <v>3904826</v>
      </c>
      <c r="H6169" t="s">
        <v>2185</v>
      </c>
      <c r="I6169">
        <v>2005</v>
      </c>
      <c r="J6169">
        <v>2005</v>
      </c>
      <c r="K6169" t="s">
        <v>4554</v>
      </c>
      <c r="L6169" t="s">
        <v>4555</v>
      </c>
      <c r="M6169" s="2">
        <v>1711</v>
      </c>
      <c r="N6169" t="s">
        <v>5280</v>
      </c>
      <c r="O6169">
        <v>3</v>
      </c>
      <c r="P6169">
        <v>2</v>
      </c>
      <c r="Q6169">
        <v>0</v>
      </c>
      <c r="R6169" t="s">
        <v>4557</v>
      </c>
      <c r="S6169" t="s">
        <v>4898</v>
      </c>
      <c r="T6169" t="s">
        <v>2704</v>
      </c>
      <c r="U6169" t="s">
        <v>4560</v>
      </c>
      <c r="V6169" s="2">
        <v>420</v>
      </c>
      <c r="W6169" t="s">
        <v>4655</v>
      </c>
      <c r="X6169" s="2">
        <v>0</v>
      </c>
      <c r="Y6169">
        <v>20</v>
      </c>
      <c r="Z6169" t="s">
        <v>1491</v>
      </c>
      <c r="AA6169" s="3">
        <v>0.16522037982940699</v>
      </c>
      <c r="AB6169" t="s">
        <v>30120</v>
      </c>
      <c r="AC6169" t="s">
        <v>4562</v>
      </c>
      <c r="AD6169" t="s">
        <v>30119</v>
      </c>
      <c r="AE6169" t="s">
        <v>4655</v>
      </c>
      <c r="AF6169" t="s">
        <v>4563</v>
      </c>
      <c r="AG6169" t="s">
        <v>4564</v>
      </c>
      <c r="AH6169" t="s">
        <v>1147</v>
      </c>
      <c r="AI6169" t="s">
        <v>30121</v>
      </c>
      <c r="AJ6169" t="s">
        <v>2187</v>
      </c>
      <c r="AK6169" t="s">
        <v>30122</v>
      </c>
      <c r="AL6169" s="13" t="s">
        <v>1897</v>
      </c>
      <c r="AM6169">
        <v>1</v>
      </c>
      <c r="AN6169" s="15" t="s">
        <v>2104</v>
      </c>
    </row>
    <row r="6170" spans="1:40" x14ac:dyDescent="0.3">
      <c r="A6170" s="10" t="str">
        <f>HYPERLINK("http://www.washoecounty.gov/assessor/cama/?parid=232-361-16&amp;CardNumber=1","232-361-16")</f>
        <v>232-361-16</v>
      </c>
      <c r="B6170" t="s">
        <v>4655</v>
      </c>
      <c r="C6170" t="s">
        <v>30123</v>
      </c>
      <c r="D6170" s="1">
        <v>40220</v>
      </c>
      <c r="E6170" s="2">
        <v>215000</v>
      </c>
      <c r="F6170" t="s">
        <v>4553</v>
      </c>
      <c r="G6170" s="17" t="str">
        <f>HYPERLINK("https://www.washoecounty.gov/assessor/cama/?command=sales&amp;parid=23236116","3848416")</f>
        <v>3848416</v>
      </c>
      <c r="H6170" t="s">
        <v>2185</v>
      </c>
      <c r="I6170">
        <v>2005</v>
      </c>
      <c r="J6170">
        <v>2005</v>
      </c>
      <c r="K6170" t="s">
        <v>4554</v>
      </c>
      <c r="L6170" t="s">
        <v>3974</v>
      </c>
      <c r="M6170" s="2">
        <v>2015</v>
      </c>
      <c r="N6170" t="s">
        <v>5280</v>
      </c>
      <c r="O6170">
        <v>4</v>
      </c>
      <c r="P6170">
        <v>2</v>
      </c>
      <c r="Q6170">
        <v>1</v>
      </c>
      <c r="R6170" t="s">
        <v>4557</v>
      </c>
      <c r="S6170" t="s">
        <v>4898</v>
      </c>
      <c r="T6170" t="s">
        <v>2704</v>
      </c>
      <c r="U6170" t="s">
        <v>5631</v>
      </c>
      <c r="V6170" s="2">
        <v>468</v>
      </c>
      <c r="W6170" t="s">
        <v>4655</v>
      </c>
      <c r="X6170" s="2">
        <v>0</v>
      </c>
      <c r="Y6170">
        <v>20</v>
      </c>
      <c r="Z6170" t="s">
        <v>1491</v>
      </c>
      <c r="AA6170" s="3">
        <v>0.163980722427368</v>
      </c>
      <c r="AB6170" t="s">
        <v>30124</v>
      </c>
      <c r="AC6170" t="s">
        <v>4562</v>
      </c>
      <c r="AD6170" t="s">
        <v>30123</v>
      </c>
      <c r="AE6170" t="s">
        <v>4655</v>
      </c>
      <c r="AF6170" t="s">
        <v>4563</v>
      </c>
      <c r="AG6170" t="s">
        <v>4564</v>
      </c>
      <c r="AH6170" t="s">
        <v>1147</v>
      </c>
      <c r="AI6170" t="s">
        <v>2186</v>
      </c>
      <c r="AJ6170" t="s">
        <v>2187</v>
      </c>
      <c r="AK6170" t="s">
        <v>30125</v>
      </c>
      <c r="AL6170" s="13" t="s">
        <v>1897</v>
      </c>
      <c r="AM6170">
        <v>1</v>
      </c>
      <c r="AN6170" s="15" t="s">
        <v>2104</v>
      </c>
    </row>
    <row r="6171" spans="1:40" x14ac:dyDescent="0.3">
      <c r="A6171" s="10" t="str">
        <f>HYPERLINK("http://www.washoecounty.gov/assessor/cama/?parid=232-361-18&amp;CardNumber=1","232-361-18")</f>
        <v>232-361-18</v>
      </c>
      <c r="B6171" t="s">
        <v>4655</v>
      </c>
      <c r="C6171" t="s">
        <v>30126</v>
      </c>
      <c r="D6171" s="1">
        <v>40298</v>
      </c>
      <c r="E6171" s="2">
        <v>278000</v>
      </c>
      <c r="F6171" t="s">
        <v>4567</v>
      </c>
      <c r="G6171" s="17" t="str">
        <f>HYPERLINK("https://www.washoecounty.gov/assessor/cama/?command=sales&amp;parid=23236118","3877083")</f>
        <v>3877083</v>
      </c>
      <c r="H6171" t="s">
        <v>2185</v>
      </c>
      <c r="I6171">
        <v>2005</v>
      </c>
      <c r="J6171">
        <v>2005</v>
      </c>
      <c r="K6171" t="s">
        <v>4554</v>
      </c>
      <c r="L6171" t="s">
        <v>3974</v>
      </c>
      <c r="M6171" s="2">
        <v>2166</v>
      </c>
      <c r="N6171" t="s">
        <v>5280</v>
      </c>
      <c r="O6171">
        <v>4</v>
      </c>
      <c r="P6171">
        <v>2</v>
      </c>
      <c r="Q6171">
        <v>1</v>
      </c>
      <c r="R6171" t="s">
        <v>4557</v>
      </c>
      <c r="S6171" t="s">
        <v>4898</v>
      </c>
      <c r="T6171" t="s">
        <v>2704</v>
      </c>
      <c r="U6171" t="s">
        <v>5631</v>
      </c>
      <c r="V6171" s="2">
        <v>437</v>
      </c>
      <c r="W6171" t="s">
        <v>4655</v>
      </c>
      <c r="X6171" s="2">
        <v>0</v>
      </c>
      <c r="Y6171">
        <v>20</v>
      </c>
      <c r="Z6171" t="s">
        <v>1491</v>
      </c>
      <c r="AA6171" s="3">
        <v>0.260651975870132</v>
      </c>
      <c r="AB6171" t="s">
        <v>30127</v>
      </c>
      <c r="AC6171" t="s">
        <v>4562</v>
      </c>
      <c r="AD6171" t="s">
        <v>30126</v>
      </c>
      <c r="AE6171" t="s">
        <v>4655</v>
      </c>
      <c r="AF6171" t="s">
        <v>4563</v>
      </c>
      <c r="AG6171" t="s">
        <v>4564</v>
      </c>
      <c r="AH6171" t="s">
        <v>1147</v>
      </c>
      <c r="AI6171" t="s">
        <v>30128</v>
      </c>
      <c r="AJ6171" t="s">
        <v>2187</v>
      </c>
      <c r="AK6171" t="s">
        <v>30129</v>
      </c>
      <c r="AL6171" s="13" t="s">
        <v>1897</v>
      </c>
      <c r="AM6171">
        <v>1</v>
      </c>
      <c r="AN6171" s="15" t="s">
        <v>2104</v>
      </c>
    </row>
    <row r="6172" spans="1:40" x14ac:dyDescent="0.3">
      <c r="A6172" s="10" t="str">
        <f>HYPERLINK("http://www.washoecounty.gov/assessor/cama/?parid=232-362-34&amp;CardNumber=1","232-362-34")</f>
        <v>232-362-34</v>
      </c>
      <c r="B6172" t="s">
        <v>4655</v>
      </c>
      <c r="C6172" t="s">
        <v>30130</v>
      </c>
      <c r="D6172" s="1">
        <v>40529</v>
      </c>
      <c r="E6172" s="2">
        <v>250000</v>
      </c>
      <c r="F6172" t="s">
        <v>4567</v>
      </c>
      <c r="G6172" s="17" t="str">
        <f>HYPERLINK("https://www.washoecounty.gov/assessor/cama/?command=sales&amp;parid=23236234","3954952")</f>
        <v>3954952</v>
      </c>
      <c r="H6172" t="s">
        <v>2185</v>
      </c>
      <c r="I6172">
        <v>2005</v>
      </c>
      <c r="J6172">
        <v>2005</v>
      </c>
      <c r="K6172" t="s">
        <v>4554</v>
      </c>
      <c r="L6172" t="s">
        <v>4555</v>
      </c>
      <c r="M6172" s="2">
        <v>2143</v>
      </c>
      <c r="N6172" t="s">
        <v>3147</v>
      </c>
      <c r="O6172">
        <v>3</v>
      </c>
      <c r="P6172">
        <v>2</v>
      </c>
      <c r="Q6172">
        <v>0</v>
      </c>
      <c r="R6172" t="s">
        <v>5281</v>
      </c>
      <c r="S6172" t="s">
        <v>4898</v>
      </c>
      <c r="T6172" t="s">
        <v>2704</v>
      </c>
      <c r="U6172" t="s">
        <v>4560</v>
      </c>
      <c r="V6172" s="2">
        <v>627</v>
      </c>
      <c r="W6172" t="s">
        <v>4655</v>
      </c>
      <c r="X6172" s="2">
        <v>0</v>
      </c>
      <c r="Y6172">
        <v>20</v>
      </c>
      <c r="Z6172" t="s">
        <v>1491</v>
      </c>
      <c r="AA6172" s="3">
        <v>0.252754807472229</v>
      </c>
      <c r="AB6172" t="s">
        <v>30131</v>
      </c>
      <c r="AC6172" t="s">
        <v>4562</v>
      </c>
      <c r="AD6172" t="s">
        <v>30130</v>
      </c>
      <c r="AE6172" t="s">
        <v>4655</v>
      </c>
      <c r="AF6172" t="s">
        <v>4563</v>
      </c>
      <c r="AG6172" t="s">
        <v>4564</v>
      </c>
      <c r="AH6172" t="s">
        <v>1147</v>
      </c>
      <c r="AI6172" t="s">
        <v>4655</v>
      </c>
      <c r="AJ6172" t="s">
        <v>2187</v>
      </c>
      <c r="AK6172" t="s">
        <v>30132</v>
      </c>
      <c r="AL6172" s="13" t="s">
        <v>1897</v>
      </c>
      <c r="AM6172" s="14">
        <v>1</v>
      </c>
      <c r="AN6172" s="15" t="s">
        <v>2104</v>
      </c>
    </row>
    <row r="6173" spans="1:40" x14ac:dyDescent="0.3">
      <c r="A6173" s="10" t="str">
        <f>HYPERLINK("http://www.washoecounty.gov/assessor/cama/?parid=232-391-20&amp;CardNumber=1","232-391-20")</f>
        <v>232-391-20</v>
      </c>
      <c r="B6173" t="s">
        <v>4655</v>
      </c>
      <c r="C6173" t="s">
        <v>30133</v>
      </c>
      <c r="D6173" s="1">
        <v>40192</v>
      </c>
      <c r="E6173" s="2">
        <v>420000</v>
      </c>
      <c r="F6173" t="s">
        <v>4567</v>
      </c>
      <c r="G6173" s="17" t="str">
        <f>HYPERLINK("https://www.washoecounty.gov/assessor/cama/?command=sales&amp;parid=23239120","3839200")</f>
        <v>3839200</v>
      </c>
      <c r="H6173" t="s">
        <v>2188</v>
      </c>
      <c r="I6173">
        <v>2004</v>
      </c>
      <c r="J6173">
        <v>2004</v>
      </c>
      <c r="K6173" t="s">
        <v>4554</v>
      </c>
      <c r="L6173" t="s">
        <v>4555</v>
      </c>
      <c r="M6173" s="2">
        <v>3042</v>
      </c>
      <c r="N6173" t="s">
        <v>1245</v>
      </c>
      <c r="O6173">
        <v>3</v>
      </c>
      <c r="P6173">
        <v>3</v>
      </c>
      <c r="Q6173">
        <v>1</v>
      </c>
      <c r="R6173" t="s">
        <v>5281</v>
      </c>
      <c r="S6173" t="s">
        <v>4898</v>
      </c>
      <c r="T6173" t="s">
        <v>2704</v>
      </c>
      <c r="U6173" t="s">
        <v>4560</v>
      </c>
      <c r="V6173" s="2">
        <v>752</v>
      </c>
      <c r="W6173" t="s">
        <v>4655</v>
      </c>
      <c r="X6173" s="2">
        <v>0</v>
      </c>
      <c r="Y6173">
        <v>20</v>
      </c>
      <c r="Z6173" t="s">
        <v>1491</v>
      </c>
      <c r="AA6173" s="3">
        <v>0.40550965070724498</v>
      </c>
      <c r="AB6173" t="s">
        <v>30134</v>
      </c>
      <c r="AC6173" t="s">
        <v>4575</v>
      </c>
      <c r="AD6173" t="s">
        <v>30133</v>
      </c>
      <c r="AE6173" t="s">
        <v>4655</v>
      </c>
      <c r="AF6173" t="s">
        <v>4563</v>
      </c>
      <c r="AG6173" t="s">
        <v>4564</v>
      </c>
      <c r="AH6173" t="s">
        <v>1147</v>
      </c>
      <c r="AI6173" t="s">
        <v>30135</v>
      </c>
      <c r="AJ6173" t="s">
        <v>1361</v>
      </c>
      <c r="AK6173" t="s">
        <v>30136</v>
      </c>
      <c r="AL6173" s="13" t="s">
        <v>1897</v>
      </c>
      <c r="AM6173" s="14">
        <v>1</v>
      </c>
      <c r="AN6173" s="15" t="s">
        <v>1362</v>
      </c>
    </row>
    <row r="6174" spans="1:40" x14ac:dyDescent="0.3">
      <c r="A6174" s="10" t="str">
        <f>HYPERLINK("http://www.washoecounty.gov/assessor/cama/?parid=232-391-21&amp;CardNumber=1","232-391-21")</f>
        <v>232-391-21</v>
      </c>
      <c r="B6174" t="s">
        <v>4655</v>
      </c>
      <c r="C6174" t="s">
        <v>30137</v>
      </c>
      <c r="D6174" s="1">
        <v>40368</v>
      </c>
      <c r="E6174" s="2">
        <v>535000</v>
      </c>
      <c r="F6174" t="s">
        <v>4567</v>
      </c>
      <c r="G6174" s="17" t="str">
        <f>HYPERLINK("https://www.washoecounty.gov/assessor/cama/?command=sales&amp;parid=23239121","3899761")</f>
        <v>3899761</v>
      </c>
      <c r="H6174" t="s">
        <v>2188</v>
      </c>
      <c r="I6174">
        <v>2004</v>
      </c>
      <c r="J6174">
        <v>2004</v>
      </c>
      <c r="K6174" t="s">
        <v>4554</v>
      </c>
      <c r="L6174" t="s">
        <v>3974</v>
      </c>
      <c r="M6174" s="2">
        <v>3870</v>
      </c>
      <c r="N6174" t="s">
        <v>1245</v>
      </c>
      <c r="O6174">
        <v>5</v>
      </c>
      <c r="P6174">
        <v>4</v>
      </c>
      <c r="Q6174">
        <v>1</v>
      </c>
      <c r="R6174" t="s">
        <v>5281</v>
      </c>
      <c r="S6174" t="s">
        <v>4898</v>
      </c>
      <c r="T6174" t="s">
        <v>2704</v>
      </c>
      <c r="U6174" t="s">
        <v>4560</v>
      </c>
      <c r="V6174" s="2">
        <v>775</v>
      </c>
      <c r="W6174" t="s">
        <v>4655</v>
      </c>
      <c r="X6174" s="2">
        <v>0</v>
      </c>
      <c r="Y6174">
        <v>20</v>
      </c>
      <c r="Z6174" t="s">
        <v>1491</v>
      </c>
      <c r="AA6174" s="3">
        <v>0.47339302301406899</v>
      </c>
      <c r="AB6174" t="s">
        <v>30138</v>
      </c>
      <c r="AC6174" t="s">
        <v>4562</v>
      </c>
      <c r="AD6174" t="s">
        <v>30139</v>
      </c>
      <c r="AE6174" t="s">
        <v>4655</v>
      </c>
      <c r="AF6174" t="s">
        <v>4563</v>
      </c>
      <c r="AG6174" t="s">
        <v>4564</v>
      </c>
      <c r="AH6174" t="s">
        <v>1147</v>
      </c>
      <c r="AI6174" t="s">
        <v>30140</v>
      </c>
      <c r="AJ6174" t="s">
        <v>1361</v>
      </c>
      <c r="AK6174" t="s">
        <v>30141</v>
      </c>
      <c r="AL6174" s="13" t="s">
        <v>1897</v>
      </c>
      <c r="AM6174" s="14">
        <v>1</v>
      </c>
      <c r="AN6174" s="15" t="s">
        <v>1362</v>
      </c>
    </row>
    <row r="6175" spans="1:40" x14ac:dyDescent="0.3">
      <c r="A6175" s="10" t="str">
        <f>HYPERLINK("http://www.washoecounty.gov/assessor/cama/?parid=232-401-05&amp;CardNumber=1","232-401-05")</f>
        <v>232-401-05</v>
      </c>
      <c r="B6175" t="s">
        <v>4655</v>
      </c>
      <c r="C6175" t="s">
        <v>30142</v>
      </c>
      <c r="D6175" s="1">
        <v>40522</v>
      </c>
      <c r="E6175" s="2">
        <v>414500</v>
      </c>
      <c r="F6175" t="s">
        <v>4567</v>
      </c>
      <c r="G6175" s="17" t="str">
        <f>HYPERLINK("https://www.washoecounty.gov/assessor/cama/?command=sales&amp;parid=23240105","3951979")</f>
        <v>3951979</v>
      </c>
      <c r="H6175" t="s">
        <v>2188</v>
      </c>
      <c r="I6175">
        <v>2004</v>
      </c>
      <c r="J6175">
        <v>2004</v>
      </c>
      <c r="K6175" t="s">
        <v>4554</v>
      </c>
      <c r="L6175" t="s">
        <v>3974</v>
      </c>
      <c r="M6175" s="2">
        <v>2904</v>
      </c>
      <c r="N6175" t="s">
        <v>1245</v>
      </c>
      <c r="O6175">
        <v>3</v>
      </c>
      <c r="P6175">
        <v>3</v>
      </c>
      <c r="Q6175">
        <v>1</v>
      </c>
      <c r="R6175" t="s">
        <v>5281</v>
      </c>
      <c r="S6175" t="s">
        <v>4898</v>
      </c>
      <c r="T6175" t="s">
        <v>2704</v>
      </c>
      <c r="U6175" t="s">
        <v>4560</v>
      </c>
      <c r="V6175" s="2">
        <v>615</v>
      </c>
      <c r="W6175" t="s">
        <v>4655</v>
      </c>
      <c r="X6175" s="2">
        <v>0</v>
      </c>
      <c r="Y6175">
        <v>20</v>
      </c>
      <c r="Z6175" t="s">
        <v>1491</v>
      </c>
      <c r="AA6175" s="3">
        <v>0.26223599910736101</v>
      </c>
      <c r="AB6175" t="s">
        <v>30143</v>
      </c>
      <c r="AC6175" t="s">
        <v>4575</v>
      </c>
      <c r="AD6175" t="s">
        <v>30142</v>
      </c>
      <c r="AE6175" t="s">
        <v>4655</v>
      </c>
      <c r="AF6175" t="s">
        <v>4563</v>
      </c>
      <c r="AG6175" t="s">
        <v>4564</v>
      </c>
      <c r="AH6175" t="s">
        <v>1147</v>
      </c>
      <c r="AI6175" t="s">
        <v>30144</v>
      </c>
      <c r="AJ6175" t="s">
        <v>1361</v>
      </c>
      <c r="AK6175" t="s">
        <v>30145</v>
      </c>
      <c r="AL6175" s="13" t="s">
        <v>1897</v>
      </c>
      <c r="AM6175">
        <v>1</v>
      </c>
      <c r="AN6175" s="15" t="s">
        <v>1362</v>
      </c>
    </row>
    <row r="6176" spans="1:40" x14ac:dyDescent="0.3">
      <c r="A6176" s="10" t="str">
        <f>HYPERLINK("http://www.washoecounty.gov/assessor/cama/?parid=232-401-08&amp;CardNumber=1","232-401-08")</f>
        <v>232-401-08</v>
      </c>
      <c r="B6176" t="s">
        <v>4655</v>
      </c>
      <c r="C6176" t="s">
        <v>30146</v>
      </c>
      <c r="D6176" s="1">
        <v>40297</v>
      </c>
      <c r="E6176" s="2">
        <v>410000</v>
      </c>
      <c r="F6176" t="s">
        <v>4567</v>
      </c>
      <c r="G6176" s="17" t="str">
        <f>HYPERLINK("https://www.washoecounty.gov/assessor/cama/?command=sales&amp;parid=23240108","3876084")</f>
        <v>3876084</v>
      </c>
      <c r="H6176" t="s">
        <v>2188</v>
      </c>
      <c r="I6176">
        <v>2004</v>
      </c>
      <c r="J6176">
        <v>2004</v>
      </c>
      <c r="K6176" t="s">
        <v>4554</v>
      </c>
      <c r="L6176" t="s">
        <v>3974</v>
      </c>
      <c r="M6176" s="2">
        <v>3148</v>
      </c>
      <c r="N6176" t="s">
        <v>1245</v>
      </c>
      <c r="O6176">
        <v>4</v>
      </c>
      <c r="P6176">
        <v>3</v>
      </c>
      <c r="Q6176">
        <v>1</v>
      </c>
      <c r="R6176" t="s">
        <v>5281</v>
      </c>
      <c r="S6176" t="s">
        <v>4898</v>
      </c>
      <c r="T6176" t="s">
        <v>2704</v>
      </c>
      <c r="U6176" t="s">
        <v>4560</v>
      </c>
      <c r="V6176" s="2">
        <v>767</v>
      </c>
      <c r="W6176" t="s">
        <v>4655</v>
      </c>
      <c r="X6176" s="2">
        <v>0</v>
      </c>
      <c r="Y6176">
        <v>20</v>
      </c>
      <c r="Z6176" t="s">
        <v>1491</v>
      </c>
      <c r="AA6176" s="3">
        <v>0.29279154539108299</v>
      </c>
      <c r="AB6176" t="s">
        <v>30147</v>
      </c>
      <c r="AC6176" t="s">
        <v>4562</v>
      </c>
      <c r="AD6176" t="s">
        <v>30146</v>
      </c>
      <c r="AE6176" t="s">
        <v>4655</v>
      </c>
      <c r="AF6176" t="s">
        <v>4563</v>
      </c>
      <c r="AG6176" t="s">
        <v>4564</v>
      </c>
      <c r="AH6176" t="s">
        <v>1147</v>
      </c>
      <c r="AI6176" t="s">
        <v>30148</v>
      </c>
      <c r="AJ6176" t="s">
        <v>1361</v>
      </c>
      <c r="AK6176" t="s">
        <v>30149</v>
      </c>
      <c r="AL6176" s="13" t="s">
        <v>1897</v>
      </c>
      <c r="AM6176">
        <v>1</v>
      </c>
      <c r="AN6176" s="15" t="s">
        <v>1362</v>
      </c>
    </row>
    <row r="6177" spans="1:40" x14ac:dyDescent="0.3">
      <c r="A6177" s="10" t="str">
        <f>HYPERLINK("http://www.washoecounty.gov/assessor/cama/?parid=232-401-10&amp;CardNumber=1","232-401-10")</f>
        <v>232-401-10</v>
      </c>
      <c r="B6177" t="s">
        <v>4655</v>
      </c>
      <c r="C6177" t="s">
        <v>30150</v>
      </c>
      <c r="D6177" s="1">
        <v>40379</v>
      </c>
      <c r="E6177" s="2">
        <v>385000</v>
      </c>
      <c r="F6177" t="s">
        <v>4567</v>
      </c>
      <c r="G6177" s="17" t="str">
        <f>HYPERLINK("https://www.washoecounty.gov/assessor/cama/?command=sales&amp;parid=23240110","3903292")</f>
        <v>3903292</v>
      </c>
      <c r="H6177" t="s">
        <v>2188</v>
      </c>
      <c r="I6177">
        <v>2004</v>
      </c>
      <c r="J6177">
        <v>2004</v>
      </c>
      <c r="K6177" t="s">
        <v>4554</v>
      </c>
      <c r="L6177" t="s">
        <v>3974</v>
      </c>
      <c r="M6177" s="2">
        <v>3148</v>
      </c>
      <c r="N6177" t="s">
        <v>1245</v>
      </c>
      <c r="O6177">
        <v>4</v>
      </c>
      <c r="P6177">
        <v>3</v>
      </c>
      <c r="Q6177">
        <v>1</v>
      </c>
      <c r="R6177" t="s">
        <v>5281</v>
      </c>
      <c r="S6177" t="s">
        <v>4898</v>
      </c>
      <c r="T6177" t="s">
        <v>2704</v>
      </c>
      <c r="U6177" t="s">
        <v>4560</v>
      </c>
      <c r="V6177" s="2">
        <v>767</v>
      </c>
      <c r="W6177" t="s">
        <v>4655</v>
      </c>
      <c r="X6177" s="2">
        <v>0</v>
      </c>
      <c r="Y6177">
        <v>20</v>
      </c>
      <c r="Z6177" t="s">
        <v>1491</v>
      </c>
      <c r="AA6177" s="3">
        <v>0.37995868921279902</v>
      </c>
      <c r="AB6177" t="s">
        <v>30151</v>
      </c>
      <c r="AC6177" t="s">
        <v>4575</v>
      </c>
      <c r="AD6177" t="s">
        <v>30150</v>
      </c>
      <c r="AE6177" t="s">
        <v>4655</v>
      </c>
      <c r="AF6177" t="s">
        <v>4563</v>
      </c>
      <c r="AG6177" t="s">
        <v>4564</v>
      </c>
      <c r="AH6177" t="s">
        <v>1147</v>
      </c>
      <c r="AI6177" t="s">
        <v>30152</v>
      </c>
      <c r="AJ6177" t="s">
        <v>1361</v>
      </c>
      <c r="AK6177" t="s">
        <v>30153</v>
      </c>
      <c r="AL6177" s="13" t="s">
        <v>1897</v>
      </c>
      <c r="AM6177" s="14">
        <v>1</v>
      </c>
      <c r="AN6177" s="15" t="s">
        <v>1362</v>
      </c>
    </row>
    <row r="6178" spans="1:40" x14ac:dyDescent="0.3">
      <c r="A6178" s="10" t="str">
        <f>HYPERLINK("http://www.washoecounty.gov/assessor/cama/?parid=232-402-01&amp;CardNumber=1","232-402-01")</f>
        <v>232-402-01</v>
      </c>
      <c r="B6178" t="s">
        <v>4655</v>
      </c>
      <c r="C6178" t="s">
        <v>30154</v>
      </c>
      <c r="D6178" s="1">
        <v>40214</v>
      </c>
      <c r="E6178" s="2">
        <v>380000</v>
      </c>
      <c r="F6178" t="s">
        <v>4567</v>
      </c>
      <c r="G6178" s="17" t="str">
        <f>HYPERLINK("https://www.washoecounty.gov/assessor/cama/?command=sales&amp;parid=23240201","3846427")</f>
        <v>3846427</v>
      </c>
      <c r="H6178" t="s">
        <v>2188</v>
      </c>
      <c r="I6178">
        <v>2004</v>
      </c>
      <c r="J6178">
        <v>2004</v>
      </c>
      <c r="K6178" t="s">
        <v>4554</v>
      </c>
      <c r="L6178" t="s">
        <v>3974</v>
      </c>
      <c r="M6178" s="2">
        <v>3148</v>
      </c>
      <c r="N6178" t="s">
        <v>1245</v>
      </c>
      <c r="O6178">
        <v>4</v>
      </c>
      <c r="P6178">
        <v>3</v>
      </c>
      <c r="Q6178">
        <v>1</v>
      </c>
      <c r="R6178" t="s">
        <v>5281</v>
      </c>
      <c r="S6178" t="s">
        <v>4898</v>
      </c>
      <c r="T6178" t="s">
        <v>2704</v>
      </c>
      <c r="U6178" t="s">
        <v>4560</v>
      </c>
      <c r="V6178" s="2">
        <v>767</v>
      </c>
      <c r="W6178" t="s">
        <v>4655</v>
      </c>
      <c r="X6178" s="2">
        <v>0</v>
      </c>
      <c r="Y6178">
        <v>20</v>
      </c>
      <c r="Z6178" t="s">
        <v>1491</v>
      </c>
      <c r="AA6178" s="3">
        <v>0.52224516868591309</v>
      </c>
      <c r="AB6178" t="s">
        <v>30155</v>
      </c>
      <c r="AC6178" t="s">
        <v>4562</v>
      </c>
      <c r="AD6178" t="s">
        <v>30154</v>
      </c>
      <c r="AE6178" t="s">
        <v>4655</v>
      </c>
      <c r="AF6178" t="s">
        <v>4563</v>
      </c>
      <c r="AG6178" t="s">
        <v>4564</v>
      </c>
      <c r="AH6178" t="s">
        <v>1147</v>
      </c>
      <c r="AI6178" t="s">
        <v>30156</v>
      </c>
      <c r="AJ6178" t="s">
        <v>1361</v>
      </c>
      <c r="AK6178" t="s">
        <v>30157</v>
      </c>
      <c r="AL6178" s="13" t="s">
        <v>1897</v>
      </c>
      <c r="AM6178">
        <v>1</v>
      </c>
      <c r="AN6178" s="15" t="s">
        <v>1362</v>
      </c>
    </row>
    <row r="6179" spans="1:40" x14ac:dyDescent="0.3">
      <c r="A6179" s="10" t="str">
        <f>HYPERLINK("http://www.washoecounty.gov/assessor/cama/?parid=232-411-05&amp;CardNumber=1","232-411-05")</f>
        <v>232-411-05</v>
      </c>
      <c r="B6179" t="s">
        <v>4655</v>
      </c>
      <c r="C6179" t="s">
        <v>30158</v>
      </c>
      <c r="D6179" s="1">
        <v>40500</v>
      </c>
      <c r="E6179" s="2">
        <v>370000</v>
      </c>
      <c r="F6179" t="s">
        <v>4553</v>
      </c>
      <c r="G6179" s="17" t="str">
        <f>HYPERLINK("https://www.washoecounty.gov/assessor/cama/?command=sales&amp;parid=23241105","3944391")</f>
        <v>3944391</v>
      </c>
      <c r="H6179" t="s">
        <v>2188</v>
      </c>
      <c r="I6179">
        <v>2004</v>
      </c>
      <c r="J6179">
        <v>2004</v>
      </c>
      <c r="K6179" t="s">
        <v>4554</v>
      </c>
      <c r="L6179" t="s">
        <v>4555</v>
      </c>
      <c r="M6179" s="2">
        <v>3158</v>
      </c>
      <c r="N6179" t="s">
        <v>1245</v>
      </c>
      <c r="O6179">
        <v>3</v>
      </c>
      <c r="P6179">
        <v>2</v>
      </c>
      <c r="Q6179">
        <v>1</v>
      </c>
      <c r="R6179" t="s">
        <v>5281</v>
      </c>
      <c r="S6179" t="s">
        <v>4898</v>
      </c>
      <c r="T6179" t="s">
        <v>2704</v>
      </c>
      <c r="U6179" t="s">
        <v>4560</v>
      </c>
      <c r="V6179" s="2">
        <v>871</v>
      </c>
      <c r="W6179" t="s">
        <v>4655</v>
      </c>
      <c r="X6179" s="2">
        <v>0</v>
      </c>
      <c r="Y6179">
        <v>20</v>
      </c>
      <c r="Z6179" t="s">
        <v>1491</v>
      </c>
      <c r="AA6179" s="3">
        <v>0.42869606614112898</v>
      </c>
      <c r="AB6179" t="s">
        <v>30159</v>
      </c>
      <c r="AC6179" t="s">
        <v>4562</v>
      </c>
      <c r="AD6179" t="s">
        <v>30158</v>
      </c>
      <c r="AE6179" t="s">
        <v>4655</v>
      </c>
      <c r="AF6179" t="s">
        <v>4563</v>
      </c>
      <c r="AG6179" t="s">
        <v>4564</v>
      </c>
      <c r="AH6179" t="s">
        <v>1147</v>
      </c>
      <c r="AI6179" t="s">
        <v>695</v>
      </c>
      <c r="AJ6179" t="s">
        <v>1361</v>
      </c>
      <c r="AK6179" t="s">
        <v>30160</v>
      </c>
      <c r="AL6179" s="13" t="s">
        <v>1897</v>
      </c>
      <c r="AM6179">
        <v>1</v>
      </c>
      <c r="AN6179" s="15" t="s">
        <v>1362</v>
      </c>
    </row>
    <row r="6180" spans="1:40" x14ac:dyDescent="0.3">
      <c r="A6180" s="10" t="str">
        <f>HYPERLINK("http://www.washoecounty.gov/assessor/cama/?parid=232-411-06&amp;CardNumber=1","232-411-06")</f>
        <v>232-411-06</v>
      </c>
      <c r="B6180" t="s">
        <v>4655</v>
      </c>
      <c r="C6180" t="s">
        <v>30161</v>
      </c>
      <c r="D6180" s="1">
        <v>40225</v>
      </c>
      <c r="E6180" s="2">
        <v>450000</v>
      </c>
      <c r="F6180" t="s">
        <v>4567</v>
      </c>
      <c r="G6180" s="17" t="str">
        <f>HYPERLINK("https://www.washoecounty.gov/assessor/cama/?command=sales&amp;parid=23241106","3849731")</f>
        <v>3849731</v>
      </c>
      <c r="H6180" t="s">
        <v>2188</v>
      </c>
      <c r="I6180">
        <v>2004</v>
      </c>
      <c r="J6180">
        <v>2004</v>
      </c>
      <c r="K6180" t="s">
        <v>4554</v>
      </c>
      <c r="L6180" t="s">
        <v>3974</v>
      </c>
      <c r="M6180" s="2">
        <v>3746</v>
      </c>
      <c r="N6180" t="s">
        <v>1245</v>
      </c>
      <c r="O6180">
        <v>4</v>
      </c>
      <c r="P6180">
        <v>3</v>
      </c>
      <c r="Q6180">
        <v>1</v>
      </c>
      <c r="R6180" t="s">
        <v>5281</v>
      </c>
      <c r="S6180" t="s">
        <v>4898</v>
      </c>
      <c r="T6180" t="s">
        <v>2704</v>
      </c>
      <c r="U6180" t="s">
        <v>4560</v>
      </c>
      <c r="V6180" s="2">
        <v>775</v>
      </c>
      <c r="W6180" t="s">
        <v>4655</v>
      </c>
      <c r="X6180" s="2">
        <v>0</v>
      </c>
      <c r="Y6180">
        <v>20</v>
      </c>
      <c r="Z6180" t="s">
        <v>1491</v>
      </c>
      <c r="AA6180" s="3">
        <v>0.48432049155235302</v>
      </c>
      <c r="AB6180" t="s">
        <v>30162</v>
      </c>
      <c r="AC6180" t="s">
        <v>4562</v>
      </c>
      <c r="AD6180" t="s">
        <v>30161</v>
      </c>
      <c r="AE6180" t="s">
        <v>4655</v>
      </c>
      <c r="AF6180" t="s">
        <v>4563</v>
      </c>
      <c r="AG6180" t="s">
        <v>4564</v>
      </c>
      <c r="AH6180" t="s">
        <v>1147</v>
      </c>
      <c r="AI6180" t="s">
        <v>30163</v>
      </c>
      <c r="AJ6180" t="s">
        <v>1361</v>
      </c>
      <c r="AK6180" t="s">
        <v>30164</v>
      </c>
      <c r="AL6180" s="13" t="s">
        <v>1897</v>
      </c>
      <c r="AM6180">
        <v>1</v>
      </c>
      <c r="AN6180" s="15" t="s">
        <v>1362</v>
      </c>
    </row>
    <row r="6181" spans="1:40" x14ac:dyDescent="0.3">
      <c r="A6181" s="10" t="str">
        <f>HYPERLINK("http://www.washoecounty.gov/assessor/cama/?parid=232-411-10&amp;CardNumber=1","232-411-10")</f>
        <v>232-411-10</v>
      </c>
      <c r="B6181" t="s">
        <v>4655</v>
      </c>
      <c r="C6181" t="s">
        <v>30165</v>
      </c>
      <c r="D6181" s="1">
        <v>40420</v>
      </c>
      <c r="E6181" s="2">
        <v>420000</v>
      </c>
      <c r="F6181" t="s">
        <v>4567</v>
      </c>
      <c r="G6181" s="17" t="str">
        <f>HYPERLINK("https://www.washoecounty.gov/assessor/cama/?command=sales&amp;parid=23241110","3916606")</f>
        <v>3916606</v>
      </c>
      <c r="H6181" t="s">
        <v>2188</v>
      </c>
      <c r="I6181">
        <v>2005</v>
      </c>
      <c r="J6181">
        <v>2005</v>
      </c>
      <c r="K6181" t="s">
        <v>4554</v>
      </c>
      <c r="L6181" t="s">
        <v>4555</v>
      </c>
      <c r="M6181" s="2">
        <v>3170</v>
      </c>
      <c r="N6181" t="s">
        <v>1245</v>
      </c>
      <c r="O6181">
        <v>3</v>
      </c>
      <c r="P6181">
        <v>2</v>
      </c>
      <c r="Q6181">
        <v>1</v>
      </c>
      <c r="R6181" t="s">
        <v>5281</v>
      </c>
      <c r="S6181" t="s">
        <v>4898</v>
      </c>
      <c r="T6181" t="s">
        <v>2704</v>
      </c>
      <c r="U6181" t="s">
        <v>4560</v>
      </c>
      <c r="V6181" s="2">
        <v>893</v>
      </c>
      <c r="W6181" t="s">
        <v>4655</v>
      </c>
      <c r="X6181" s="2">
        <v>0</v>
      </c>
      <c r="Y6181">
        <v>20</v>
      </c>
      <c r="Z6181" t="s">
        <v>1491</v>
      </c>
      <c r="AA6181" s="3">
        <v>0.33583563566207902</v>
      </c>
      <c r="AB6181" t="s">
        <v>30166</v>
      </c>
      <c r="AC6181" t="s">
        <v>4575</v>
      </c>
      <c r="AD6181" t="s">
        <v>30167</v>
      </c>
      <c r="AE6181" t="s">
        <v>30168</v>
      </c>
      <c r="AF6181" t="s">
        <v>4563</v>
      </c>
      <c r="AG6181" t="s">
        <v>4564</v>
      </c>
      <c r="AH6181">
        <v>89509</v>
      </c>
      <c r="AI6181" t="s">
        <v>30169</v>
      </c>
      <c r="AJ6181" t="s">
        <v>1361</v>
      </c>
      <c r="AK6181" t="s">
        <v>30170</v>
      </c>
      <c r="AL6181" s="13" t="s">
        <v>1897</v>
      </c>
      <c r="AM6181">
        <v>1</v>
      </c>
      <c r="AN6181" s="15" t="s">
        <v>1362</v>
      </c>
    </row>
    <row r="6182" spans="1:40" x14ac:dyDescent="0.3">
      <c r="A6182" s="10" t="str">
        <f>HYPERLINK("http://www.washoecounty.gov/assessor/cama/?parid=232-421-01&amp;CardNumber=1","232-421-01")</f>
        <v>232-421-01</v>
      </c>
      <c r="B6182" t="s">
        <v>4655</v>
      </c>
      <c r="C6182" t="s">
        <v>30171</v>
      </c>
      <c r="D6182" s="1">
        <v>40459</v>
      </c>
      <c r="E6182" s="2">
        <v>515000</v>
      </c>
      <c r="F6182" t="s">
        <v>4567</v>
      </c>
      <c r="G6182" s="17" t="str">
        <f>HYPERLINK("https://www.washoecounty.gov/assessor/cama/?command=sales&amp;parid=23242101","3931260")</f>
        <v>3931260</v>
      </c>
      <c r="H6182" t="s">
        <v>2188</v>
      </c>
      <c r="I6182">
        <v>2005</v>
      </c>
      <c r="J6182">
        <v>2005</v>
      </c>
      <c r="K6182" t="s">
        <v>4554</v>
      </c>
      <c r="L6182" t="s">
        <v>3974</v>
      </c>
      <c r="M6182" s="2">
        <v>3888</v>
      </c>
      <c r="N6182" t="s">
        <v>1245</v>
      </c>
      <c r="O6182">
        <v>4</v>
      </c>
      <c r="P6182">
        <v>3</v>
      </c>
      <c r="Q6182">
        <v>1</v>
      </c>
      <c r="R6182" t="s">
        <v>5281</v>
      </c>
      <c r="S6182" t="s">
        <v>4898</v>
      </c>
      <c r="T6182" t="s">
        <v>2704</v>
      </c>
      <c r="U6182" t="s">
        <v>4560</v>
      </c>
      <c r="V6182" s="2">
        <v>775</v>
      </c>
      <c r="W6182" t="s">
        <v>4655</v>
      </c>
      <c r="X6182" s="2">
        <v>0</v>
      </c>
      <c r="Y6182">
        <v>20</v>
      </c>
      <c r="Z6182" t="s">
        <v>1491</v>
      </c>
      <c r="AA6182" s="3">
        <v>0.364807158708572</v>
      </c>
      <c r="AB6182" t="s">
        <v>30172</v>
      </c>
      <c r="AC6182" t="s">
        <v>4562</v>
      </c>
      <c r="AD6182" t="s">
        <v>30171</v>
      </c>
      <c r="AE6182" t="s">
        <v>4655</v>
      </c>
      <c r="AF6182" t="s">
        <v>4563</v>
      </c>
      <c r="AG6182" t="s">
        <v>4564</v>
      </c>
      <c r="AH6182" t="s">
        <v>1147</v>
      </c>
      <c r="AI6182" t="s">
        <v>30173</v>
      </c>
      <c r="AJ6182" t="s">
        <v>1361</v>
      </c>
      <c r="AK6182" t="s">
        <v>30174</v>
      </c>
      <c r="AL6182" s="13" t="s">
        <v>1897</v>
      </c>
      <c r="AM6182" s="14">
        <v>1</v>
      </c>
      <c r="AN6182" s="15" t="s">
        <v>1362</v>
      </c>
    </row>
    <row r="6183" spans="1:40" x14ac:dyDescent="0.3">
      <c r="A6183" s="10" t="str">
        <f>HYPERLINK("http://www.washoecounty.gov/assessor/cama/?parid=232-441-02&amp;CardNumber=1","232-441-02")</f>
        <v>232-441-02</v>
      </c>
      <c r="B6183" t="s">
        <v>4655</v>
      </c>
      <c r="C6183" t="s">
        <v>30175</v>
      </c>
      <c r="D6183" s="1">
        <v>40476</v>
      </c>
      <c r="E6183" s="2">
        <v>165900</v>
      </c>
      <c r="F6183" t="s">
        <v>4567</v>
      </c>
      <c r="G6183" s="17" t="str">
        <f>HYPERLINK("https://www.washoecounty.gov/assessor/cama/?command=sales&amp;parid=23244102","3936326")</f>
        <v>3936326</v>
      </c>
      <c r="H6183" t="s">
        <v>1363</v>
      </c>
      <c r="I6183">
        <v>2005</v>
      </c>
      <c r="J6183">
        <v>2005</v>
      </c>
      <c r="K6183" t="s">
        <v>4554</v>
      </c>
      <c r="L6183" t="s">
        <v>3974</v>
      </c>
      <c r="M6183" s="2">
        <v>2368</v>
      </c>
      <c r="N6183" t="s">
        <v>5280</v>
      </c>
      <c r="O6183">
        <v>3</v>
      </c>
      <c r="P6183">
        <v>3</v>
      </c>
      <c r="Q6183">
        <v>1</v>
      </c>
      <c r="R6183" t="s">
        <v>5281</v>
      </c>
      <c r="S6183" t="s">
        <v>4898</v>
      </c>
      <c r="T6183" t="s">
        <v>2704</v>
      </c>
      <c r="U6183" t="s">
        <v>5631</v>
      </c>
      <c r="V6183" s="2">
        <v>447</v>
      </c>
      <c r="W6183" t="s">
        <v>4655</v>
      </c>
      <c r="X6183" s="2">
        <v>0</v>
      </c>
      <c r="Y6183">
        <v>20</v>
      </c>
      <c r="Z6183" t="s">
        <v>1491</v>
      </c>
      <c r="AA6183" s="3">
        <v>7.5941227376461001E-2</v>
      </c>
      <c r="AB6183" t="s">
        <v>13002</v>
      </c>
      <c r="AC6183" t="s">
        <v>4575</v>
      </c>
      <c r="AD6183" t="s">
        <v>30176</v>
      </c>
      <c r="AE6183" t="s">
        <v>30177</v>
      </c>
      <c r="AF6183" t="s">
        <v>4563</v>
      </c>
      <c r="AG6183" t="s">
        <v>4564</v>
      </c>
      <c r="AH6183" t="s">
        <v>2541</v>
      </c>
      <c r="AI6183" t="s">
        <v>5621</v>
      </c>
      <c r="AJ6183" t="s">
        <v>1771</v>
      </c>
      <c r="AK6183" t="s">
        <v>30178</v>
      </c>
      <c r="AL6183" s="13" t="s">
        <v>1896</v>
      </c>
      <c r="AM6183" s="14">
        <v>1</v>
      </c>
      <c r="AN6183" s="15" t="s">
        <v>1772</v>
      </c>
    </row>
    <row r="6184" spans="1:40" x14ac:dyDescent="0.3">
      <c r="A6184" s="10" t="str">
        <f>HYPERLINK("http://www.washoecounty.gov/assessor/cama/?parid=232-441-04&amp;CardNumber=1","232-441-04")</f>
        <v>232-441-04</v>
      </c>
      <c r="B6184" t="s">
        <v>4655</v>
      </c>
      <c r="C6184" t="s">
        <v>30179</v>
      </c>
      <c r="D6184" s="1">
        <v>40519</v>
      </c>
      <c r="E6184" s="2">
        <v>207900</v>
      </c>
      <c r="F6184" t="s">
        <v>4553</v>
      </c>
      <c r="G6184" s="17" t="str">
        <f>HYPERLINK("https://www.washoecounty.gov/assessor/cama/?command=sales&amp;parid=23244104","3950311")</f>
        <v>3950311</v>
      </c>
      <c r="H6184" t="s">
        <v>1363</v>
      </c>
      <c r="I6184">
        <v>2005</v>
      </c>
      <c r="J6184">
        <v>2005</v>
      </c>
      <c r="K6184" t="s">
        <v>4554</v>
      </c>
      <c r="L6184" t="s">
        <v>3974</v>
      </c>
      <c r="M6184" s="2">
        <v>2635</v>
      </c>
      <c r="N6184" t="s">
        <v>5280</v>
      </c>
      <c r="O6184">
        <v>3</v>
      </c>
      <c r="P6184">
        <v>3</v>
      </c>
      <c r="Q6184">
        <v>1</v>
      </c>
      <c r="R6184" t="s">
        <v>5281</v>
      </c>
      <c r="S6184" t="s">
        <v>4898</v>
      </c>
      <c r="T6184" t="s">
        <v>2704</v>
      </c>
      <c r="U6184" t="s">
        <v>5631</v>
      </c>
      <c r="V6184" s="2">
        <v>450</v>
      </c>
      <c r="W6184" t="s">
        <v>4655</v>
      </c>
      <c r="X6184" s="2">
        <v>0</v>
      </c>
      <c r="Y6184">
        <v>20</v>
      </c>
      <c r="Z6184" t="s">
        <v>1491</v>
      </c>
      <c r="AA6184" s="3">
        <v>7.4747473001480103E-2</v>
      </c>
      <c r="AB6184" t="s">
        <v>30180</v>
      </c>
      <c r="AC6184" t="s">
        <v>4575</v>
      </c>
      <c r="AD6184" t="s">
        <v>30179</v>
      </c>
      <c r="AE6184" t="s">
        <v>4655</v>
      </c>
      <c r="AF6184" t="s">
        <v>4563</v>
      </c>
      <c r="AG6184" t="s">
        <v>4564</v>
      </c>
      <c r="AH6184" t="s">
        <v>1147</v>
      </c>
      <c r="AI6184" t="s">
        <v>4655</v>
      </c>
      <c r="AJ6184" t="s">
        <v>1771</v>
      </c>
      <c r="AK6184" t="s">
        <v>30181</v>
      </c>
      <c r="AL6184" s="13" t="s">
        <v>1896</v>
      </c>
      <c r="AM6184" s="14">
        <v>1</v>
      </c>
      <c r="AN6184" s="15" t="s">
        <v>1772</v>
      </c>
    </row>
    <row r="6185" spans="1:40" x14ac:dyDescent="0.3">
      <c r="A6185" s="10" t="str">
        <f>HYPERLINK("http://www.washoecounty.gov/assessor/cama/?parid=232-442-02&amp;CardNumber=1","232-442-02")</f>
        <v>232-442-02</v>
      </c>
      <c r="B6185" t="s">
        <v>4655</v>
      </c>
      <c r="C6185" t="s">
        <v>30182</v>
      </c>
      <c r="D6185" s="1">
        <v>40305</v>
      </c>
      <c r="E6185" s="2">
        <v>195000</v>
      </c>
      <c r="F6185" t="s">
        <v>4567</v>
      </c>
      <c r="G6185" s="17" t="str">
        <f>HYPERLINK("https://www.washoecounty.gov/assessor/cama/?command=sales&amp;parid=23244202","3879191")</f>
        <v>3879191</v>
      </c>
      <c r="H6185" t="s">
        <v>1363</v>
      </c>
      <c r="I6185">
        <v>2005</v>
      </c>
      <c r="J6185">
        <v>2005</v>
      </c>
      <c r="K6185" t="s">
        <v>4554</v>
      </c>
      <c r="L6185" t="s">
        <v>3974</v>
      </c>
      <c r="M6185" s="2">
        <v>2106</v>
      </c>
      <c r="N6185" t="s">
        <v>5280</v>
      </c>
      <c r="O6185">
        <v>3</v>
      </c>
      <c r="P6185">
        <v>3</v>
      </c>
      <c r="Q6185">
        <v>1</v>
      </c>
      <c r="R6185" t="s">
        <v>5281</v>
      </c>
      <c r="S6185" t="s">
        <v>4898</v>
      </c>
      <c r="T6185" t="s">
        <v>2704</v>
      </c>
      <c r="U6185" t="s">
        <v>4560</v>
      </c>
      <c r="V6185" s="2">
        <v>441</v>
      </c>
      <c r="W6185" t="s">
        <v>4655</v>
      </c>
      <c r="X6185" s="2">
        <v>0</v>
      </c>
      <c r="Y6185">
        <v>20</v>
      </c>
      <c r="Z6185" t="s">
        <v>1491</v>
      </c>
      <c r="AA6185" s="3">
        <v>7.8076213598251301E-2</v>
      </c>
      <c r="AB6185" t="s">
        <v>30183</v>
      </c>
      <c r="AC6185" t="s">
        <v>4562</v>
      </c>
      <c r="AD6185" t="s">
        <v>30182</v>
      </c>
      <c r="AE6185" t="s">
        <v>4655</v>
      </c>
      <c r="AF6185" t="s">
        <v>4563</v>
      </c>
      <c r="AG6185" t="s">
        <v>4564</v>
      </c>
      <c r="AH6185" t="s">
        <v>1147</v>
      </c>
      <c r="AI6185" t="s">
        <v>30184</v>
      </c>
      <c r="AJ6185" t="s">
        <v>1771</v>
      </c>
      <c r="AK6185" t="s">
        <v>30185</v>
      </c>
      <c r="AL6185" s="13" t="s">
        <v>1896</v>
      </c>
      <c r="AM6185">
        <v>1</v>
      </c>
      <c r="AN6185" s="15" t="s">
        <v>1772</v>
      </c>
    </row>
    <row r="6186" spans="1:40" x14ac:dyDescent="0.3">
      <c r="A6186" s="10" t="str">
        <f>HYPERLINK("http://www.washoecounty.gov/assessor/cama/?parid=232-442-05&amp;CardNumber=1","232-442-05")</f>
        <v>232-442-05</v>
      </c>
      <c r="B6186" t="s">
        <v>4655</v>
      </c>
      <c r="C6186" t="s">
        <v>30186</v>
      </c>
      <c r="D6186" s="1">
        <v>40305</v>
      </c>
      <c r="E6186" s="2">
        <v>178695</v>
      </c>
      <c r="F6186" t="s">
        <v>4553</v>
      </c>
      <c r="G6186" s="17" t="str">
        <f>HYPERLINK("https://www.washoecounty.gov/assessor/cama/?command=sales&amp;parid=23244205","3879424")</f>
        <v>3879424</v>
      </c>
      <c r="H6186" t="s">
        <v>1363</v>
      </c>
      <c r="I6186">
        <v>2005</v>
      </c>
      <c r="J6186">
        <v>2005</v>
      </c>
      <c r="K6186" t="s">
        <v>4554</v>
      </c>
      <c r="L6186" t="s">
        <v>3974</v>
      </c>
      <c r="M6186" s="2">
        <v>2106</v>
      </c>
      <c r="N6186" t="s">
        <v>5280</v>
      </c>
      <c r="O6186">
        <v>3</v>
      </c>
      <c r="P6186">
        <v>3</v>
      </c>
      <c r="Q6186">
        <v>1</v>
      </c>
      <c r="R6186" t="s">
        <v>5281</v>
      </c>
      <c r="S6186" t="s">
        <v>4898</v>
      </c>
      <c r="T6186" t="s">
        <v>2704</v>
      </c>
      <c r="U6186" t="s">
        <v>4560</v>
      </c>
      <c r="V6186" s="2">
        <v>441</v>
      </c>
      <c r="W6186" t="s">
        <v>4655</v>
      </c>
      <c r="X6186" s="2">
        <v>0</v>
      </c>
      <c r="Y6186">
        <v>20</v>
      </c>
      <c r="Z6186" t="s">
        <v>1491</v>
      </c>
      <c r="AA6186" s="3">
        <v>7.7387511730194106E-2</v>
      </c>
      <c r="AB6186" t="s">
        <v>30187</v>
      </c>
      <c r="AC6186" t="s">
        <v>4562</v>
      </c>
      <c r="AD6186" t="s">
        <v>30186</v>
      </c>
      <c r="AE6186" t="s">
        <v>4655</v>
      </c>
      <c r="AF6186" t="s">
        <v>4563</v>
      </c>
      <c r="AG6186" t="s">
        <v>4564</v>
      </c>
      <c r="AH6186" t="s">
        <v>1147</v>
      </c>
      <c r="AI6186" t="s">
        <v>2009</v>
      </c>
      <c r="AJ6186" t="s">
        <v>1771</v>
      </c>
      <c r="AK6186" t="s">
        <v>30188</v>
      </c>
      <c r="AL6186" s="13" t="s">
        <v>1896</v>
      </c>
      <c r="AM6186">
        <v>1</v>
      </c>
      <c r="AN6186" s="15" t="s">
        <v>1772</v>
      </c>
    </row>
    <row r="6187" spans="1:40" x14ac:dyDescent="0.3">
      <c r="A6187" s="10" t="str">
        <f>HYPERLINK("http://www.washoecounty.gov/assessor/cama/?parid=232-442-11&amp;CardNumber=1","232-442-11")</f>
        <v>232-442-11</v>
      </c>
      <c r="B6187" t="s">
        <v>4655</v>
      </c>
      <c r="C6187" t="s">
        <v>30189</v>
      </c>
      <c r="D6187" s="1">
        <v>40267</v>
      </c>
      <c r="E6187" s="2">
        <v>190000</v>
      </c>
      <c r="F6187" t="s">
        <v>4567</v>
      </c>
      <c r="G6187" s="17" t="str">
        <f>HYPERLINK("https://www.washoecounty.gov/assessor/cama/?command=sales&amp;parid=23244211","3865704")</f>
        <v>3865704</v>
      </c>
      <c r="H6187" t="s">
        <v>1363</v>
      </c>
      <c r="I6187">
        <v>2005</v>
      </c>
      <c r="J6187">
        <v>2005</v>
      </c>
      <c r="K6187" t="s">
        <v>4554</v>
      </c>
      <c r="L6187" t="s">
        <v>3974</v>
      </c>
      <c r="M6187" s="2">
        <v>2034</v>
      </c>
      <c r="N6187" t="s">
        <v>5280</v>
      </c>
      <c r="O6187">
        <v>4</v>
      </c>
      <c r="P6187">
        <v>3</v>
      </c>
      <c r="Q6187">
        <v>1</v>
      </c>
      <c r="R6187" t="s">
        <v>5281</v>
      </c>
      <c r="S6187" t="s">
        <v>4898</v>
      </c>
      <c r="T6187" t="s">
        <v>2704</v>
      </c>
      <c r="U6187" t="s">
        <v>5631</v>
      </c>
      <c r="V6187" s="2">
        <v>471</v>
      </c>
      <c r="W6187" t="s">
        <v>4655</v>
      </c>
      <c r="X6187" s="2">
        <v>0</v>
      </c>
      <c r="Y6187">
        <v>20</v>
      </c>
      <c r="Z6187" t="s">
        <v>1491</v>
      </c>
      <c r="AA6187" s="3">
        <v>6.9421485066413893E-2</v>
      </c>
      <c r="AB6187" t="s">
        <v>30190</v>
      </c>
      <c r="AC6187" t="s">
        <v>4562</v>
      </c>
      <c r="AD6187" t="s">
        <v>30189</v>
      </c>
      <c r="AE6187" t="s">
        <v>4655</v>
      </c>
      <c r="AF6187" t="s">
        <v>4563</v>
      </c>
      <c r="AG6187" t="s">
        <v>4564</v>
      </c>
      <c r="AH6187" t="s">
        <v>1147</v>
      </c>
      <c r="AI6187" t="s">
        <v>30191</v>
      </c>
      <c r="AJ6187" t="s">
        <v>1771</v>
      </c>
      <c r="AK6187" t="s">
        <v>30192</v>
      </c>
      <c r="AL6187" s="13" t="s">
        <v>1896</v>
      </c>
      <c r="AM6187">
        <v>1</v>
      </c>
      <c r="AN6187" s="15" t="s">
        <v>1772</v>
      </c>
    </row>
    <row r="6188" spans="1:40" x14ac:dyDescent="0.3">
      <c r="A6188" s="10" t="str">
        <f>HYPERLINK("http://www.washoecounty.gov/assessor/cama/?parid=232-442-12&amp;CardNumber=1","232-442-12")</f>
        <v>232-442-12</v>
      </c>
      <c r="B6188" t="s">
        <v>4655</v>
      </c>
      <c r="C6188" t="s">
        <v>30193</v>
      </c>
      <c r="D6188" s="1">
        <v>40214</v>
      </c>
      <c r="E6188" s="2">
        <v>190000</v>
      </c>
      <c r="F6188" t="s">
        <v>4567</v>
      </c>
      <c r="G6188" s="17" t="str">
        <f>HYPERLINK("https://www.washoecounty.gov/assessor/cama/?command=sales&amp;parid=23244212","3846347")</f>
        <v>3846347</v>
      </c>
      <c r="H6188" t="s">
        <v>1363</v>
      </c>
      <c r="I6188">
        <v>2005</v>
      </c>
      <c r="J6188">
        <v>2005</v>
      </c>
      <c r="K6188" t="s">
        <v>4554</v>
      </c>
      <c r="L6188" t="s">
        <v>3974</v>
      </c>
      <c r="M6188" s="2">
        <v>1526</v>
      </c>
      <c r="N6188" t="s">
        <v>5280</v>
      </c>
      <c r="O6188">
        <v>3</v>
      </c>
      <c r="P6188">
        <v>3</v>
      </c>
      <c r="Q6188">
        <v>1</v>
      </c>
      <c r="R6188" t="s">
        <v>5281</v>
      </c>
      <c r="S6188" t="s">
        <v>4898</v>
      </c>
      <c r="T6188" t="s">
        <v>2704</v>
      </c>
      <c r="U6188" t="s">
        <v>5631</v>
      </c>
      <c r="V6188" s="2">
        <v>514</v>
      </c>
      <c r="W6188" t="s">
        <v>4655</v>
      </c>
      <c r="X6188" s="2">
        <v>0</v>
      </c>
      <c r="Y6188">
        <v>20</v>
      </c>
      <c r="Z6188" t="s">
        <v>1491</v>
      </c>
      <c r="AA6188" s="3">
        <v>5.7093665003776599E-2</v>
      </c>
      <c r="AB6188" t="s">
        <v>30194</v>
      </c>
      <c r="AC6188" t="s">
        <v>4562</v>
      </c>
      <c r="AD6188" t="s">
        <v>30195</v>
      </c>
      <c r="AE6188" t="s">
        <v>4655</v>
      </c>
      <c r="AF6188" t="s">
        <v>30196</v>
      </c>
      <c r="AG6188" t="s">
        <v>4584</v>
      </c>
      <c r="AH6188">
        <v>92708</v>
      </c>
      <c r="AI6188" t="s">
        <v>30191</v>
      </c>
      <c r="AJ6188" t="s">
        <v>1771</v>
      </c>
      <c r="AK6188" t="s">
        <v>30197</v>
      </c>
      <c r="AL6188" s="13" t="s">
        <v>1896</v>
      </c>
      <c r="AM6188" s="14">
        <v>1</v>
      </c>
      <c r="AN6188" s="15" t="s">
        <v>1772</v>
      </c>
    </row>
    <row r="6189" spans="1:40" x14ac:dyDescent="0.3">
      <c r="A6189" s="10" t="str">
        <f>HYPERLINK("http://www.washoecounty.gov/assessor/cama/?parid=232-442-16&amp;CardNumber=1","232-442-16")</f>
        <v>232-442-16</v>
      </c>
      <c r="B6189" t="s">
        <v>4655</v>
      </c>
      <c r="C6189" t="s">
        <v>30198</v>
      </c>
      <c r="D6189" s="1">
        <v>40197</v>
      </c>
      <c r="E6189" s="2">
        <v>163350</v>
      </c>
      <c r="F6189" t="s">
        <v>4553</v>
      </c>
      <c r="G6189" s="17" t="str">
        <f>HYPERLINK("https://www.washoecounty.gov/assessor/cama/?command=sales&amp;parid=23244216","3840400")</f>
        <v>3840400</v>
      </c>
      <c r="H6189" t="s">
        <v>1363</v>
      </c>
      <c r="I6189">
        <v>2005</v>
      </c>
      <c r="J6189">
        <v>2005</v>
      </c>
      <c r="K6189" t="s">
        <v>4554</v>
      </c>
      <c r="L6189" t="s">
        <v>3974</v>
      </c>
      <c r="M6189" s="2">
        <v>1851</v>
      </c>
      <c r="N6189" t="s">
        <v>5280</v>
      </c>
      <c r="O6189">
        <v>3</v>
      </c>
      <c r="P6189">
        <v>3</v>
      </c>
      <c r="Q6189">
        <v>1</v>
      </c>
      <c r="R6189" t="s">
        <v>5281</v>
      </c>
      <c r="S6189" t="s">
        <v>4898</v>
      </c>
      <c r="T6189" t="s">
        <v>2704</v>
      </c>
      <c r="U6189" t="s">
        <v>5631</v>
      </c>
      <c r="V6189" s="2">
        <v>460</v>
      </c>
      <c r="W6189" t="s">
        <v>4655</v>
      </c>
      <c r="X6189" s="2">
        <v>0</v>
      </c>
      <c r="Y6189">
        <v>20</v>
      </c>
      <c r="Z6189" t="s">
        <v>1491</v>
      </c>
      <c r="AA6189" s="3">
        <v>6.2649220228195204E-2</v>
      </c>
      <c r="AB6189" t="s">
        <v>30199</v>
      </c>
      <c r="AC6189" t="s">
        <v>4562</v>
      </c>
      <c r="AD6189" t="s">
        <v>30198</v>
      </c>
      <c r="AE6189" t="s">
        <v>4655</v>
      </c>
      <c r="AF6189" t="s">
        <v>4563</v>
      </c>
      <c r="AG6189" t="s">
        <v>4564</v>
      </c>
      <c r="AH6189" t="s">
        <v>1147</v>
      </c>
      <c r="AI6189" t="s">
        <v>2351</v>
      </c>
      <c r="AJ6189" t="s">
        <v>1771</v>
      </c>
      <c r="AK6189" t="s">
        <v>30200</v>
      </c>
      <c r="AL6189" s="13" t="s">
        <v>1896</v>
      </c>
      <c r="AM6189">
        <v>1</v>
      </c>
      <c r="AN6189" s="15" t="s">
        <v>1772</v>
      </c>
    </row>
    <row r="6190" spans="1:40" x14ac:dyDescent="0.3">
      <c r="A6190" s="10" t="str">
        <f>HYPERLINK("http://www.washoecounty.gov/assessor/cama/?parid=232-442-17&amp;CardNumber=1","232-442-17")</f>
        <v>232-442-17</v>
      </c>
      <c r="B6190" t="s">
        <v>4655</v>
      </c>
      <c r="C6190" t="s">
        <v>30201</v>
      </c>
      <c r="D6190" s="1">
        <v>40541</v>
      </c>
      <c r="E6190" s="2">
        <v>145000</v>
      </c>
      <c r="F6190" t="s">
        <v>4553</v>
      </c>
      <c r="G6190" s="17" t="str">
        <f>HYPERLINK("https://www.washoecounty.gov/assessor/cama/?command=sales&amp;parid=23244217","3958711")</f>
        <v>3958711</v>
      </c>
      <c r="H6190" t="s">
        <v>1363</v>
      </c>
      <c r="I6190">
        <v>2005</v>
      </c>
      <c r="J6190">
        <v>2005</v>
      </c>
      <c r="K6190" t="s">
        <v>4554</v>
      </c>
      <c r="L6190" t="s">
        <v>3974</v>
      </c>
      <c r="M6190" s="2">
        <v>1851</v>
      </c>
      <c r="N6190" t="s">
        <v>5280</v>
      </c>
      <c r="O6190">
        <v>3</v>
      </c>
      <c r="P6190">
        <v>3</v>
      </c>
      <c r="Q6190">
        <v>1</v>
      </c>
      <c r="R6190" t="s">
        <v>5281</v>
      </c>
      <c r="S6190" t="s">
        <v>4898</v>
      </c>
      <c r="T6190" t="s">
        <v>2704</v>
      </c>
      <c r="U6190" t="s">
        <v>5631</v>
      </c>
      <c r="V6190" s="2">
        <v>460</v>
      </c>
      <c r="W6190" t="s">
        <v>4655</v>
      </c>
      <c r="X6190" s="2">
        <v>0</v>
      </c>
      <c r="Y6190">
        <v>20</v>
      </c>
      <c r="Z6190" t="s">
        <v>1491</v>
      </c>
      <c r="AA6190" s="3">
        <v>6.2649220228195204E-2</v>
      </c>
      <c r="AB6190" t="s">
        <v>9697</v>
      </c>
      <c r="AC6190" t="s">
        <v>4562</v>
      </c>
      <c r="AD6190" t="s">
        <v>4869</v>
      </c>
      <c r="AE6190" t="s">
        <v>4655</v>
      </c>
      <c r="AF6190" t="s">
        <v>5620</v>
      </c>
      <c r="AG6190" t="s">
        <v>4584</v>
      </c>
      <c r="AH6190">
        <v>94507</v>
      </c>
      <c r="AI6190" t="s">
        <v>4655</v>
      </c>
      <c r="AJ6190" t="s">
        <v>1771</v>
      </c>
      <c r="AK6190" t="s">
        <v>30202</v>
      </c>
      <c r="AL6190" s="13" t="s">
        <v>1896</v>
      </c>
      <c r="AM6190" s="14">
        <v>1</v>
      </c>
      <c r="AN6190" s="15" t="s">
        <v>1772</v>
      </c>
    </row>
    <row r="6191" spans="1:40" x14ac:dyDescent="0.3">
      <c r="A6191" s="10" t="str">
        <f>HYPERLINK("http://www.washoecounty.gov/assessor/cama/?parid=232-443-03&amp;CardNumber=1","232-443-03")</f>
        <v>232-443-03</v>
      </c>
      <c r="B6191" t="s">
        <v>4655</v>
      </c>
      <c r="C6191" t="s">
        <v>30203</v>
      </c>
      <c r="D6191" s="1">
        <v>40421</v>
      </c>
      <c r="E6191" s="2">
        <v>170000</v>
      </c>
      <c r="F6191" t="s">
        <v>4553</v>
      </c>
      <c r="G6191" s="17" t="str">
        <f>HYPERLINK("https://www.washoecounty.gov/assessor/cama/?command=sales&amp;parid=23244303","3917585")</f>
        <v>3917585</v>
      </c>
      <c r="H6191" t="s">
        <v>1363</v>
      </c>
      <c r="I6191">
        <v>2005</v>
      </c>
      <c r="J6191">
        <v>2005</v>
      </c>
      <c r="K6191" t="s">
        <v>4554</v>
      </c>
      <c r="L6191" t="s">
        <v>3974</v>
      </c>
      <c r="M6191" s="2">
        <v>2034</v>
      </c>
      <c r="N6191" t="s">
        <v>5280</v>
      </c>
      <c r="O6191">
        <v>4</v>
      </c>
      <c r="P6191">
        <v>3</v>
      </c>
      <c r="Q6191">
        <v>1</v>
      </c>
      <c r="R6191" t="s">
        <v>5281</v>
      </c>
      <c r="S6191" t="s">
        <v>4898</v>
      </c>
      <c r="T6191" t="s">
        <v>2704</v>
      </c>
      <c r="U6191" t="s">
        <v>5631</v>
      </c>
      <c r="V6191" s="2">
        <v>471</v>
      </c>
      <c r="W6191" t="s">
        <v>4655</v>
      </c>
      <c r="X6191" s="2">
        <v>0</v>
      </c>
      <c r="Y6191">
        <v>20</v>
      </c>
      <c r="Z6191" t="s">
        <v>1491</v>
      </c>
      <c r="AA6191" s="3">
        <v>6.13177232444286E-2</v>
      </c>
      <c r="AB6191" t="s">
        <v>30204</v>
      </c>
      <c r="AC6191" t="s">
        <v>4562</v>
      </c>
      <c r="AD6191" t="s">
        <v>30203</v>
      </c>
      <c r="AE6191" t="s">
        <v>4655</v>
      </c>
      <c r="AF6191" t="s">
        <v>4563</v>
      </c>
      <c r="AG6191" t="s">
        <v>4564</v>
      </c>
      <c r="AH6191" t="s">
        <v>1147</v>
      </c>
      <c r="AI6191" t="s">
        <v>695</v>
      </c>
      <c r="AJ6191" t="s">
        <v>1771</v>
      </c>
      <c r="AK6191" t="s">
        <v>30205</v>
      </c>
      <c r="AL6191" s="13" t="s">
        <v>1896</v>
      </c>
      <c r="AM6191" s="14">
        <v>1</v>
      </c>
      <c r="AN6191" s="15" t="s">
        <v>1772</v>
      </c>
    </row>
    <row r="6192" spans="1:40" x14ac:dyDescent="0.3">
      <c r="A6192" s="10" t="str">
        <f>HYPERLINK("http://www.washoecounty.gov/assessor/cama/?parid=232-444-05&amp;CardNumber=1","232-444-05")</f>
        <v>232-444-05</v>
      </c>
      <c r="B6192" t="s">
        <v>4655</v>
      </c>
      <c r="C6192" t="s">
        <v>30206</v>
      </c>
      <c r="D6192" s="1">
        <v>40478</v>
      </c>
      <c r="E6192" s="2">
        <v>165000</v>
      </c>
      <c r="F6192" t="s">
        <v>4553</v>
      </c>
      <c r="G6192" s="17" t="str">
        <f>HYPERLINK("https://www.washoecounty.gov/assessor/cama/?command=sales&amp;parid=23244405","3936749")</f>
        <v>3936749</v>
      </c>
      <c r="H6192" t="s">
        <v>1363</v>
      </c>
      <c r="I6192">
        <v>2005</v>
      </c>
      <c r="J6192">
        <v>2005</v>
      </c>
      <c r="K6192" t="s">
        <v>4554</v>
      </c>
      <c r="L6192" t="s">
        <v>3974</v>
      </c>
      <c r="M6192" s="2">
        <v>1882</v>
      </c>
      <c r="N6192" t="s">
        <v>5280</v>
      </c>
      <c r="O6192">
        <v>3</v>
      </c>
      <c r="P6192">
        <v>3</v>
      </c>
      <c r="Q6192">
        <v>1</v>
      </c>
      <c r="R6192" t="s">
        <v>5281</v>
      </c>
      <c r="S6192" t="s">
        <v>4898</v>
      </c>
      <c r="T6192" t="s">
        <v>2704</v>
      </c>
      <c r="U6192" t="s">
        <v>5631</v>
      </c>
      <c r="V6192" s="2">
        <v>460</v>
      </c>
      <c r="W6192" t="s">
        <v>4655</v>
      </c>
      <c r="X6192" s="2">
        <v>0</v>
      </c>
      <c r="Y6192">
        <v>20</v>
      </c>
      <c r="Z6192" t="s">
        <v>1491</v>
      </c>
      <c r="AA6192" s="3">
        <v>6.4692378044128404E-2</v>
      </c>
      <c r="AB6192" t="s">
        <v>30207</v>
      </c>
      <c r="AC6192" t="s">
        <v>4575</v>
      </c>
      <c r="AD6192" t="s">
        <v>30206</v>
      </c>
      <c r="AE6192" t="s">
        <v>4655</v>
      </c>
      <c r="AF6192" t="s">
        <v>4563</v>
      </c>
      <c r="AG6192" t="s">
        <v>4564</v>
      </c>
      <c r="AH6192" t="s">
        <v>1147</v>
      </c>
      <c r="AI6192" t="s">
        <v>30208</v>
      </c>
      <c r="AJ6192" t="s">
        <v>1771</v>
      </c>
      <c r="AK6192" t="s">
        <v>30209</v>
      </c>
      <c r="AL6192" s="13" t="s">
        <v>1896</v>
      </c>
      <c r="AM6192">
        <v>1</v>
      </c>
      <c r="AN6192" s="15" t="s">
        <v>1772</v>
      </c>
    </row>
    <row r="6193" spans="1:40" x14ac:dyDescent="0.3">
      <c r="A6193" s="10" t="str">
        <f>HYPERLINK("http://www.washoecounty.gov/assessor/cama/?parid=232-446-05&amp;CardNumber=1","232-446-05")</f>
        <v>232-446-05</v>
      </c>
      <c r="B6193" t="s">
        <v>4655</v>
      </c>
      <c r="C6193" t="s">
        <v>30210</v>
      </c>
      <c r="D6193" s="1">
        <v>40410</v>
      </c>
      <c r="E6193" s="2">
        <v>201200</v>
      </c>
      <c r="F6193" t="s">
        <v>4567</v>
      </c>
      <c r="G6193" s="17" t="str">
        <f>HYPERLINK("https://www.washoecounty.gov/assessor/cama/?command=sales&amp;parid=23244605","3914038")</f>
        <v>3914038</v>
      </c>
      <c r="H6193" t="s">
        <v>1363</v>
      </c>
      <c r="I6193">
        <v>2005</v>
      </c>
      <c r="J6193">
        <v>2005</v>
      </c>
      <c r="K6193" t="s">
        <v>4554</v>
      </c>
      <c r="L6193" t="s">
        <v>3974</v>
      </c>
      <c r="M6193" s="2">
        <v>2635</v>
      </c>
      <c r="N6193" t="s">
        <v>5280</v>
      </c>
      <c r="O6193">
        <v>4</v>
      </c>
      <c r="P6193">
        <v>3</v>
      </c>
      <c r="Q6193">
        <v>1</v>
      </c>
      <c r="R6193" t="s">
        <v>5281</v>
      </c>
      <c r="S6193" t="s">
        <v>4898</v>
      </c>
      <c r="T6193" t="s">
        <v>2704</v>
      </c>
      <c r="U6193" t="s">
        <v>5631</v>
      </c>
      <c r="V6193" s="2">
        <v>450</v>
      </c>
      <c r="W6193" t="s">
        <v>4655</v>
      </c>
      <c r="X6193" s="2">
        <v>0</v>
      </c>
      <c r="Y6193">
        <v>20</v>
      </c>
      <c r="Z6193" t="s">
        <v>1491</v>
      </c>
      <c r="AA6193" s="3">
        <v>7.4242427945136996E-2</v>
      </c>
      <c r="AB6193" t="s">
        <v>30211</v>
      </c>
      <c r="AC6193" t="s">
        <v>4575</v>
      </c>
      <c r="AD6193" t="s">
        <v>30212</v>
      </c>
      <c r="AE6193" t="s">
        <v>4655</v>
      </c>
      <c r="AF6193" t="s">
        <v>2946</v>
      </c>
      <c r="AG6193" t="s">
        <v>4584</v>
      </c>
      <c r="AH6193" t="s">
        <v>4429</v>
      </c>
      <c r="AI6193" t="s">
        <v>30213</v>
      </c>
      <c r="AJ6193" t="s">
        <v>1771</v>
      </c>
      <c r="AK6193" t="s">
        <v>30214</v>
      </c>
      <c r="AL6193" s="13" t="s">
        <v>1896</v>
      </c>
      <c r="AM6193">
        <v>1</v>
      </c>
      <c r="AN6193" s="15" t="s">
        <v>1772</v>
      </c>
    </row>
    <row r="6194" spans="1:40" x14ac:dyDescent="0.3">
      <c r="A6194" s="10" t="str">
        <f>HYPERLINK("http://www.washoecounty.gov/assessor/cama/?parid=232-446-12&amp;CardNumber=1","232-446-12")</f>
        <v>232-446-12</v>
      </c>
      <c r="B6194" t="s">
        <v>4655</v>
      </c>
      <c r="C6194" t="s">
        <v>30215</v>
      </c>
      <c r="D6194" s="1">
        <v>40206</v>
      </c>
      <c r="E6194" s="2">
        <v>239180</v>
      </c>
      <c r="F6194" t="s">
        <v>4567</v>
      </c>
      <c r="G6194" s="17" t="str">
        <f>HYPERLINK("https://www.washoecounty.gov/assessor/cama/?command=sales&amp;parid=23244612","3843830")</f>
        <v>3843830</v>
      </c>
      <c r="H6194" t="s">
        <v>1363</v>
      </c>
      <c r="I6194">
        <v>2005</v>
      </c>
      <c r="J6194">
        <v>2005</v>
      </c>
      <c r="K6194" t="s">
        <v>4554</v>
      </c>
      <c r="L6194" t="s">
        <v>3974</v>
      </c>
      <c r="M6194" s="2">
        <v>2635</v>
      </c>
      <c r="N6194" t="s">
        <v>5280</v>
      </c>
      <c r="O6194">
        <v>4</v>
      </c>
      <c r="P6194">
        <v>3</v>
      </c>
      <c r="Q6194">
        <v>1</v>
      </c>
      <c r="R6194" t="s">
        <v>5281</v>
      </c>
      <c r="S6194" t="s">
        <v>4898</v>
      </c>
      <c r="T6194" t="s">
        <v>2704</v>
      </c>
      <c r="U6194" t="s">
        <v>5631</v>
      </c>
      <c r="V6194" s="2">
        <v>450</v>
      </c>
      <c r="W6194" t="s">
        <v>4655</v>
      </c>
      <c r="X6194" s="2">
        <v>0</v>
      </c>
      <c r="Y6194">
        <v>20</v>
      </c>
      <c r="Z6194" t="s">
        <v>1491</v>
      </c>
      <c r="AA6194" s="3">
        <v>7.4242427945136996E-2</v>
      </c>
      <c r="AB6194" t="s">
        <v>739</v>
      </c>
      <c r="AC6194" t="s">
        <v>4575</v>
      </c>
      <c r="AD6194" t="s">
        <v>30215</v>
      </c>
      <c r="AE6194" t="s">
        <v>4655</v>
      </c>
      <c r="AF6194" t="s">
        <v>4563</v>
      </c>
      <c r="AG6194" t="s">
        <v>4564</v>
      </c>
      <c r="AH6194" t="s">
        <v>1147</v>
      </c>
      <c r="AI6194" t="s">
        <v>30216</v>
      </c>
      <c r="AJ6194" t="s">
        <v>1771</v>
      </c>
      <c r="AK6194" t="s">
        <v>30217</v>
      </c>
      <c r="AL6194" s="13" t="s">
        <v>1896</v>
      </c>
      <c r="AM6194">
        <v>1</v>
      </c>
      <c r="AN6194" s="15" t="s">
        <v>1772</v>
      </c>
    </row>
    <row r="6195" spans="1:40" x14ac:dyDescent="0.3">
      <c r="A6195" s="10" t="str">
        <f>HYPERLINK("http://www.washoecounty.gov/assessor/cama/?parid=232-446-13&amp;CardNumber=1","232-446-13")</f>
        <v>232-446-13</v>
      </c>
      <c r="B6195" t="s">
        <v>4655</v>
      </c>
      <c r="C6195" t="s">
        <v>30218</v>
      </c>
      <c r="D6195" s="1">
        <v>40218</v>
      </c>
      <c r="E6195" s="2">
        <v>233900</v>
      </c>
      <c r="F6195" t="s">
        <v>4567</v>
      </c>
      <c r="G6195" s="17" t="str">
        <f>HYPERLINK("https://www.washoecounty.gov/assessor/cama/?command=sales&amp;parid=23244613","3847424")</f>
        <v>3847424</v>
      </c>
      <c r="H6195" t="s">
        <v>1363</v>
      </c>
      <c r="I6195">
        <v>2005</v>
      </c>
      <c r="J6195">
        <v>2005</v>
      </c>
      <c r="K6195" t="s">
        <v>4554</v>
      </c>
      <c r="L6195" t="s">
        <v>3974</v>
      </c>
      <c r="M6195" s="2">
        <v>2403</v>
      </c>
      <c r="N6195" t="s">
        <v>5280</v>
      </c>
      <c r="O6195">
        <v>3</v>
      </c>
      <c r="P6195">
        <v>3</v>
      </c>
      <c r="Q6195">
        <v>1</v>
      </c>
      <c r="R6195" t="s">
        <v>5281</v>
      </c>
      <c r="S6195" t="s">
        <v>4898</v>
      </c>
      <c r="T6195" t="s">
        <v>2704</v>
      </c>
      <c r="U6195" t="s">
        <v>5631</v>
      </c>
      <c r="V6195" s="2">
        <v>426</v>
      </c>
      <c r="W6195" t="s">
        <v>4655</v>
      </c>
      <c r="X6195" s="2">
        <v>0</v>
      </c>
      <c r="Y6195">
        <v>20</v>
      </c>
      <c r="Z6195" t="s">
        <v>1491</v>
      </c>
      <c r="AA6195" s="3">
        <v>0.10782828181982</v>
      </c>
      <c r="AB6195" t="s">
        <v>30219</v>
      </c>
      <c r="AC6195" t="s">
        <v>4575</v>
      </c>
      <c r="AD6195" t="s">
        <v>30220</v>
      </c>
      <c r="AE6195" t="s">
        <v>30221</v>
      </c>
      <c r="AF6195" t="s">
        <v>4563</v>
      </c>
      <c r="AG6195" t="s">
        <v>4564</v>
      </c>
      <c r="AH6195">
        <v>89511</v>
      </c>
      <c r="AI6195" t="s">
        <v>30191</v>
      </c>
      <c r="AJ6195" t="s">
        <v>1771</v>
      </c>
      <c r="AK6195" t="s">
        <v>30222</v>
      </c>
      <c r="AL6195" s="13" t="s">
        <v>1896</v>
      </c>
      <c r="AM6195">
        <v>1</v>
      </c>
      <c r="AN6195" s="15" t="s">
        <v>1772</v>
      </c>
    </row>
    <row r="6196" spans="1:40" x14ac:dyDescent="0.3">
      <c r="A6196" s="10" t="str">
        <f>HYPERLINK("http://www.washoecounty.gov/assessor/cama/?parid=232-471-19&amp;CardNumber=1","232-471-19")</f>
        <v>232-471-19</v>
      </c>
      <c r="B6196" t="s">
        <v>4655</v>
      </c>
      <c r="C6196" t="s">
        <v>30223</v>
      </c>
      <c r="D6196" s="1">
        <v>40337</v>
      </c>
      <c r="E6196" s="2">
        <v>413000</v>
      </c>
      <c r="F6196" t="s">
        <v>4553</v>
      </c>
      <c r="G6196" s="17" t="str">
        <f>HYPERLINK("https://www.washoecounty.gov/assessor/cama/?command=sales&amp;parid=23247119","3889176")</f>
        <v>3889176</v>
      </c>
      <c r="H6196" t="s">
        <v>3452</v>
      </c>
      <c r="I6196">
        <v>2005</v>
      </c>
      <c r="J6196">
        <v>2005</v>
      </c>
      <c r="K6196" t="s">
        <v>4554</v>
      </c>
      <c r="L6196" t="s">
        <v>4555</v>
      </c>
      <c r="M6196" s="2">
        <v>2723</v>
      </c>
      <c r="N6196" t="s">
        <v>5106</v>
      </c>
      <c r="O6196">
        <v>4</v>
      </c>
      <c r="P6196">
        <v>4</v>
      </c>
      <c r="Q6196">
        <v>1</v>
      </c>
      <c r="R6196" t="s">
        <v>5281</v>
      </c>
      <c r="S6196" t="s">
        <v>4898</v>
      </c>
      <c r="T6196" t="s">
        <v>2704</v>
      </c>
      <c r="U6196" t="s">
        <v>4560</v>
      </c>
      <c r="V6196" s="2">
        <v>584</v>
      </c>
      <c r="W6196" t="s">
        <v>4655</v>
      </c>
      <c r="X6196" s="2">
        <v>0</v>
      </c>
      <c r="Y6196">
        <v>20</v>
      </c>
      <c r="Z6196" t="s">
        <v>1491</v>
      </c>
      <c r="AA6196" s="3">
        <v>0.226561069488525</v>
      </c>
      <c r="AB6196" t="s">
        <v>30224</v>
      </c>
      <c r="AC6196" t="s">
        <v>4562</v>
      </c>
      <c r="AD6196" t="s">
        <v>30223</v>
      </c>
      <c r="AE6196" t="s">
        <v>4655</v>
      </c>
      <c r="AF6196" t="s">
        <v>4563</v>
      </c>
      <c r="AG6196" t="s">
        <v>4564</v>
      </c>
      <c r="AH6196" t="s">
        <v>1147</v>
      </c>
      <c r="AI6196" t="s">
        <v>30225</v>
      </c>
      <c r="AJ6196" t="s">
        <v>3453</v>
      </c>
      <c r="AK6196" t="s">
        <v>30226</v>
      </c>
      <c r="AL6196" s="13" t="s">
        <v>1896</v>
      </c>
      <c r="AM6196" s="14">
        <v>1</v>
      </c>
      <c r="AN6196" s="15" t="s">
        <v>4509</v>
      </c>
    </row>
    <row r="6197" spans="1:40" x14ac:dyDescent="0.3">
      <c r="A6197" s="10" t="str">
        <f>HYPERLINK("http://www.washoecounty.gov/assessor/cama/?parid=232-492-13&amp;CardNumber=1","232-492-13")</f>
        <v>232-492-13</v>
      </c>
      <c r="B6197" t="s">
        <v>4655</v>
      </c>
      <c r="C6197" t="s">
        <v>30227</v>
      </c>
      <c r="D6197" s="1">
        <v>40504</v>
      </c>
      <c r="E6197" s="2">
        <v>325000</v>
      </c>
      <c r="F6197" t="s">
        <v>4567</v>
      </c>
      <c r="G6197" s="17" t="str">
        <f>HYPERLINK("https://www.washoecounty.gov/assessor/cama/?command=sales&amp;parid=23249213","3945805")</f>
        <v>3945805</v>
      </c>
      <c r="H6197" t="s">
        <v>635</v>
      </c>
      <c r="I6197">
        <v>2005</v>
      </c>
      <c r="J6197">
        <v>2005</v>
      </c>
      <c r="K6197" t="s">
        <v>4554</v>
      </c>
      <c r="L6197" t="s">
        <v>3974</v>
      </c>
      <c r="M6197" s="2">
        <v>2431</v>
      </c>
      <c r="N6197" t="s">
        <v>1245</v>
      </c>
      <c r="O6197">
        <v>3</v>
      </c>
      <c r="P6197">
        <v>3</v>
      </c>
      <c r="Q6197">
        <v>0</v>
      </c>
      <c r="R6197" t="s">
        <v>5281</v>
      </c>
      <c r="S6197" t="s">
        <v>4898</v>
      </c>
      <c r="T6197" t="s">
        <v>2704</v>
      </c>
      <c r="U6197" t="s">
        <v>4560</v>
      </c>
      <c r="V6197" s="2">
        <v>440</v>
      </c>
      <c r="W6197" t="s">
        <v>4655</v>
      </c>
      <c r="X6197" s="2">
        <v>0</v>
      </c>
      <c r="Y6197">
        <v>20</v>
      </c>
      <c r="Z6197" t="s">
        <v>1491</v>
      </c>
      <c r="AA6197" s="3">
        <v>0.15346647799015001</v>
      </c>
      <c r="AB6197" t="s">
        <v>30228</v>
      </c>
      <c r="AC6197" t="s">
        <v>4575</v>
      </c>
      <c r="AD6197" t="s">
        <v>30229</v>
      </c>
      <c r="AE6197" t="s">
        <v>4655</v>
      </c>
      <c r="AF6197" t="s">
        <v>30230</v>
      </c>
      <c r="AG6197" t="s">
        <v>4584</v>
      </c>
      <c r="AH6197" t="s">
        <v>30231</v>
      </c>
      <c r="AI6197" t="s">
        <v>30232</v>
      </c>
      <c r="AJ6197" t="s">
        <v>638</v>
      </c>
      <c r="AK6197" t="s">
        <v>30233</v>
      </c>
      <c r="AL6197" s="13" t="s">
        <v>1897</v>
      </c>
      <c r="AM6197">
        <v>1</v>
      </c>
      <c r="AN6197" s="15" t="s">
        <v>1362</v>
      </c>
    </row>
    <row r="6198" spans="1:40" x14ac:dyDescent="0.3">
      <c r="A6198" s="10" t="str">
        <f>HYPERLINK("http://www.washoecounty.gov/assessor/cama/?parid=232-492-14&amp;CardNumber=1","232-492-14")</f>
        <v>232-492-14</v>
      </c>
      <c r="B6198" t="s">
        <v>4655</v>
      </c>
      <c r="C6198" t="s">
        <v>30234</v>
      </c>
      <c r="D6198" s="1">
        <v>40450</v>
      </c>
      <c r="E6198" s="2">
        <v>350000</v>
      </c>
      <c r="F6198" t="s">
        <v>4567</v>
      </c>
      <c r="G6198" s="17" t="str">
        <f>HYPERLINK("https://www.washoecounty.gov/assessor/cama/?command=sales&amp;parid=23249214","3927346")</f>
        <v>3927346</v>
      </c>
      <c r="H6198" t="s">
        <v>635</v>
      </c>
      <c r="I6198">
        <v>2005</v>
      </c>
      <c r="J6198">
        <v>2005</v>
      </c>
      <c r="K6198" t="s">
        <v>4554</v>
      </c>
      <c r="L6198" t="s">
        <v>4555</v>
      </c>
      <c r="M6198" s="2">
        <v>2061</v>
      </c>
      <c r="N6198" t="s">
        <v>1245</v>
      </c>
      <c r="O6198">
        <v>3</v>
      </c>
      <c r="P6198">
        <v>3</v>
      </c>
      <c r="Q6198">
        <v>0</v>
      </c>
      <c r="R6198" t="s">
        <v>5281</v>
      </c>
      <c r="S6198" t="s">
        <v>4898</v>
      </c>
      <c r="T6198" t="s">
        <v>2704</v>
      </c>
      <c r="U6198" t="s">
        <v>4560</v>
      </c>
      <c r="V6198" s="2">
        <v>483</v>
      </c>
      <c r="W6198" t="s">
        <v>4655</v>
      </c>
      <c r="X6198" s="2">
        <v>0</v>
      </c>
      <c r="Y6198">
        <v>20</v>
      </c>
      <c r="Z6198" t="s">
        <v>1491</v>
      </c>
      <c r="AA6198" s="3">
        <v>0.14292928576469421</v>
      </c>
      <c r="AB6198" t="s">
        <v>30235</v>
      </c>
      <c r="AC6198" t="s">
        <v>4562</v>
      </c>
      <c r="AD6198" t="s">
        <v>30234</v>
      </c>
      <c r="AE6198" t="s">
        <v>4655</v>
      </c>
      <c r="AF6198" t="s">
        <v>4563</v>
      </c>
      <c r="AG6198" t="s">
        <v>4564</v>
      </c>
      <c r="AH6198" t="s">
        <v>1147</v>
      </c>
      <c r="AI6198" t="s">
        <v>30236</v>
      </c>
      <c r="AJ6198" t="s">
        <v>638</v>
      </c>
      <c r="AK6198" t="s">
        <v>30237</v>
      </c>
      <c r="AL6198" s="13" t="s">
        <v>1897</v>
      </c>
      <c r="AM6198">
        <v>1</v>
      </c>
      <c r="AN6198" s="15" t="s">
        <v>1362</v>
      </c>
    </row>
    <row r="6199" spans="1:40" x14ac:dyDescent="0.3">
      <c r="A6199" s="10" t="str">
        <f>HYPERLINK("http://www.washoecounty.gov/assessor/cama/?parid=232-493-02&amp;CardNumber=1","232-493-02")</f>
        <v>232-493-02</v>
      </c>
      <c r="B6199" t="s">
        <v>4655</v>
      </c>
      <c r="C6199" t="s">
        <v>30238</v>
      </c>
      <c r="D6199" s="1">
        <v>40442</v>
      </c>
      <c r="E6199" s="2">
        <v>260000</v>
      </c>
      <c r="F6199" t="s">
        <v>4553</v>
      </c>
      <c r="G6199" s="17" t="str">
        <f>HYPERLINK("https://www.washoecounty.gov/assessor/cama/?command=sales&amp;parid=23249302","3924519")</f>
        <v>3924519</v>
      </c>
      <c r="H6199" t="s">
        <v>635</v>
      </c>
      <c r="I6199">
        <v>2005</v>
      </c>
      <c r="J6199">
        <v>2005</v>
      </c>
      <c r="K6199" t="s">
        <v>4554</v>
      </c>
      <c r="L6199" t="s">
        <v>4555</v>
      </c>
      <c r="M6199" s="2">
        <v>1917</v>
      </c>
      <c r="N6199" t="s">
        <v>1245</v>
      </c>
      <c r="O6199">
        <v>3</v>
      </c>
      <c r="P6199">
        <v>3</v>
      </c>
      <c r="Q6199">
        <v>0</v>
      </c>
      <c r="R6199" t="s">
        <v>5281</v>
      </c>
      <c r="S6199" t="s">
        <v>4898</v>
      </c>
      <c r="T6199" t="s">
        <v>2704</v>
      </c>
      <c r="U6199" t="s">
        <v>4560</v>
      </c>
      <c r="V6199" s="2">
        <v>483</v>
      </c>
      <c r="W6199" t="s">
        <v>4655</v>
      </c>
      <c r="X6199" s="2">
        <v>0</v>
      </c>
      <c r="Y6199">
        <v>20</v>
      </c>
      <c r="Z6199" t="s">
        <v>1491</v>
      </c>
      <c r="AA6199" s="3">
        <v>0.17527547478675842</v>
      </c>
      <c r="AB6199" t="s">
        <v>30239</v>
      </c>
      <c r="AC6199" t="s">
        <v>4562</v>
      </c>
      <c r="AD6199" t="s">
        <v>30238</v>
      </c>
      <c r="AE6199" t="s">
        <v>4655</v>
      </c>
      <c r="AF6199" t="s">
        <v>4563</v>
      </c>
      <c r="AG6199" t="s">
        <v>4564</v>
      </c>
      <c r="AH6199" t="s">
        <v>1147</v>
      </c>
      <c r="AI6199" t="s">
        <v>4565</v>
      </c>
      <c r="AJ6199" t="s">
        <v>638</v>
      </c>
      <c r="AK6199" t="s">
        <v>30240</v>
      </c>
      <c r="AL6199" s="13" t="s">
        <v>1897</v>
      </c>
      <c r="AM6199">
        <v>1</v>
      </c>
      <c r="AN6199" s="15" t="s">
        <v>1362</v>
      </c>
    </row>
    <row r="6200" spans="1:40" x14ac:dyDescent="0.3">
      <c r="A6200" s="10" t="str">
        <f>HYPERLINK("http://www.washoecounty.gov/assessor/cama/?parid=232-501-01&amp;CardNumber=1","232-501-01")</f>
        <v>232-501-01</v>
      </c>
      <c r="B6200" t="s">
        <v>4655</v>
      </c>
      <c r="C6200" t="s">
        <v>30241</v>
      </c>
      <c r="D6200" s="1">
        <v>40492</v>
      </c>
      <c r="E6200" s="2">
        <v>249000</v>
      </c>
      <c r="F6200" t="s">
        <v>4567</v>
      </c>
      <c r="G6200" s="17" t="str">
        <f>HYPERLINK("https://www.washoecounty.gov/assessor/cama/?command=sales&amp;parid=23250101","3942006")</f>
        <v>3942006</v>
      </c>
      <c r="H6200" t="s">
        <v>635</v>
      </c>
      <c r="I6200">
        <v>2005</v>
      </c>
      <c r="J6200">
        <v>2005</v>
      </c>
      <c r="K6200" t="s">
        <v>4554</v>
      </c>
      <c r="L6200" t="s">
        <v>4555</v>
      </c>
      <c r="M6200" s="2">
        <v>2063</v>
      </c>
      <c r="N6200" t="s">
        <v>1245</v>
      </c>
      <c r="O6200">
        <v>3</v>
      </c>
      <c r="P6200">
        <v>2</v>
      </c>
      <c r="Q6200">
        <v>0</v>
      </c>
      <c r="R6200" t="s">
        <v>5281</v>
      </c>
      <c r="S6200" t="s">
        <v>4898</v>
      </c>
      <c r="T6200" t="s">
        <v>2704</v>
      </c>
      <c r="U6200" t="s">
        <v>4560</v>
      </c>
      <c r="V6200" s="2">
        <v>462</v>
      </c>
      <c r="W6200" t="s">
        <v>4655</v>
      </c>
      <c r="X6200" s="2">
        <v>0</v>
      </c>
      <c r="Y6200">
        <v>20</v>
      </c>
      <c r="Z6200" t="s">
        <v>1491</v>
      </c>
      <c r="AA6200" s="3">
        <v>0.146120294928551</v>
      </c>
      <c r="AB6200" t="s">
        <v>30242</v>
      </c>
      <c r="AC6200" t="s">
        <v>4562</v>
      </c>
      <c r="AD6200" t="s">
        <v>30241</v>
      </c>
      <c r="AE6200" t="s">
        <v>4655</v>
      </c>
      <c r="AF6200" t="s">
        <v>4563</v>
      </c>
      <c r="AG6200" t="s">
        <v>4564</v>
      </c>
      <c r="AH6200" t="s">
        <v>1147</v>
      </c>
      <c r="AI6200" t="s">
        <v>30243</v>
      </c>
      <c r="AJ6200" t="s">
        <v>638</v>
      </c>
      <c r="AK6200" t="s">
        <v>30244</v>
      </c>
      <c r="AL6200" s="13" t="s">
        <v>1897</v>
      </c>
      <c r="AM6200" s="14">
        <v>1</v>
      </c>
      <c r="AN6200" s="15" t="s">
        <v>1362</v>
      </c>
    </row>
    <row r="6201" spans="1:40" x14ac:dyDescent="0.3">
      <c r="A6201" s="10" t="str">
        <f>HYPERLINK("http://www.washoecounty.gov/assessor/cama/?parid=232-502-03&amp;CardNumber=1","232-502-03")</f>
        <v>232-502-03</v>
      </c>
      <c r="B6201" t="s">
        <v>4655</v>
      </c>
      <c r="C6201" t="s">
        <v>30245</v>
      </c>
      <c r="D6201" s="1">
        <v>40246</v>
      </c>
      <c r="E6201" s="2">
        <v>320000</v>
      </c>
      <c r="F6201" t="s">
        <v>4567</v>
      </c>
      <c r="G6201" s="17" t="str">
        <f>HYPERLINK("https://www.washoecounty.gov/assessor/cama/?command=sales&amp;parid=23250203","3857675")</f>
        <v>3857675</v>
      </c>
      <c r="H6201" t="s">
        <v>635</v>
      </c>
      <c r="I6201">
        <v>2009</v>
      </c>
      <c r="J6201">
        <v>2009</v>
      </c>
      <c r="K6201" t="s">
        <v>4554</v>
      </c>
      <c r="L6201" t="s">
        <v>4555</v>
      </c>
      <c r="M6201" s="2">
        <v>2083</v>
      </c>
      <c r="N6201" t="s">
        <v>1245</v>
      </c>
      <c r="O6201">
        <v>3</v>
      </c>
      <c r="P6201">
        <v>2</v>
      </c>
      <c r="Q6201">
        <v>0</v>
      </c>
      <c r="R6201" t="s">
        <v>5281</v>
      </c>
      <c r="S6201" t="s">
        <v>4898</v>
      </c>
      <c r="T6201" t="s">
        <v>2704</v>
      </c>
      <c r="U6201" t="s">
        <v>4560</v>
      </c>
      <c r="V6201" s="2">
        <v>462</v>
      </c>
      <c r="W6201" t="s">
        <v>4655</v>
      </c>
      <c r="X6201" s="2">
        <v>0</v>
      </c>
      <c r="Y6201">
        <v>20</v>
      </c>
      <c r="Z6201" t="s">
        <v>1491</v>
      </c>
      <c r="AA6201" s="3">
        <v>0.17869605123996701</v>
      </c>
      <c r="AB6201" t="s">
        <v>636</v>
      </c>
      <c r="AC6201" t="s">
        <v>4562</v>
      </c>
      <c r="AD6201" t="s">
        <v>30245</v>
      </c>
      <c r="AE6201" t="s">
        <v>4655</v>
      </c>
      <c r="AF6201" t="s">
        <v>4563</v>
      </c>
      <c r="AG6201" t="s">
        <v>4564</v>
      </c>
      <c r="AH6201" t="s">
        <v>1147</v>
      </c>
      <c r="AI6201" t="s">
        <v>637</v>
      </c>
      <c r="AJ6201" t="s">
        <v>638</v>
      </c>
      <c r="AK6201" t="s">
        <v>30246</v>
      </c>
      <c r="AL6201" s="13" t="s">
        <v>1897</v>
      </c>
      <c r="AM6201" s="14">
        <v>1</v>
      </c>
      <c r="AN6201" s="15" t="s">
        <v>1362</v>
      </c>
    </row>
    <row r="6202" spans="1:40" x14ac:dyDescent="0.3">
      <c r="A6202" s="10" t="str">
        <f>HYPERLINK("http://www.washoecounty.gov/assessor/cama/?parid=232-502-04&amp;CardNumber=1","232-502-04")</f>
        <v>232-502-04</v>
      </c>
      <c r="B6202" t="s">
        <v>4655</v>
      </c>
      <c r="C6202" t="s">
        <v>30247</v>
      </c>
      <c r="D6202" s="1">
        <v>40298</v>
      </c>
      <c r="E6202" s="2">
        <v>300000</v>
      </c>
      <c r="F6202" t="s">
        <v>4567</v>
      </c>
      <c r="G6202" s="17" t="str">
        <f>HYPERLINK("https://www.washoecounty.gov/assessor/cama/?command=sales&amp;parid=23250204","3877076")</f>
        <v>3877076</v>
      </c>
      <c r="H6202" t="s">
        <v>635</v>
      </c>
      <c r="I6202">
        <v>2009</v>
      </c>
      <c r="J6202">
        <v>2009</v>
      </c>
      <c r="K6202" t="s">
        <v>4554</v>
      </c>
      <c r="L6202" t="s">
        <v>4555</v>
      </c>
      <c r="M6202" s="2">
        <v>1955</v>
      </c>
      <c r="N6202" t="s">
        <v>1245</v>
      </c>
      <c r="O6202">
        <v>3</v>
      </c>
      <c r="P6202">
        <v>2</v>
      </c>
      <c r="Q6202">
        <v>0</v>
      </c>
      <c r="R6202" t="s">
        <v>5281</v>
      </c>
      <c r="S6202" t="s">
        <v>4898</v>
      </c>
      <c r="T6202" t="s">
        <v>2704</v>
      </c>
      <c r="U6202" t="s">
        <v>4560</v>
      </c>
      <c r="V6202" s="2">
        <v>483</v>
      </c>
      <c r="W6202" t="s">
        <v>4655</v>
      </c>
      <c r="X6202" s="2">
        <v>0</v>
      </c>
      <c r="Y6202">
        <v>20</v>
      </c>
      <c r="Z6202" t="s">
        <v>1491</v>
      </c>
      <c r="AA6202" s="3">
        <v>0.16978879272937775</v>
      </c>
      <c r="AB6202" t="s">
        <v>30248</v>
      </c>
      <c r="AC6202" t="s">
        <v>4562</v>
      </c>
      <c r="AD6202" t="s">
        <v>30247</v>
      </c>
      <c r="AE6202" t="s">
        <v>4655</v>
      </c>
      <c r="AF6202" t="s">
        <v>4563</v>
      </c>
      <c r="AG6202" t="s">
        <v>4564</v>
      </c>
      <c r="AH6202" t="s">
        <v>1147</v>
      </c>
      <c r="AI6202" t="s">
        <v>4655</v>
      </c>
      <c r="AJ6202" t="s">
        <v>638</v>
      </c>
      <c r="AK6202" t="s">
        <v>30249</v>
      </c>
      <c r="AL6202" s="13" t="s">
        <v>1897</v>
      </c>
      <c r="AM6202" s="14">
        <v>1</v>
      </c>
      <c r="AN6202" s="15" t="s">
        <v>1362</v>
      </c>
    </row>
    <row r="6203" spans="1:40" x14ac:dyDescent="0.3">
      <c r="A6203" s="10" t="str">
        <f>HYPERLINK("http://www.washoecounty.gov/assessor/cama/?parid=232-502-05&amp;CardNumber=1","232-502-05")</f>
        <v>232-502-05</v>
      </c>
      <c r="B6203" t="s">
        <v>4655</v>
      </c>
      <c r="C6203" t="s">
        <v>30250</v>
      </c>
      <c r="D6203" s="1">
        <v>40311</v>
      </c>
      <c r="E6203" s="2">
        <v>325000</v>
      </c>
      <c r="F6203" t="s">
        <v>4567</v>
      </c>
      <c r="G6203" s="17" t="str">
        <f>HYPERLINK("https://www.washoecounty.gov/assessor/cama/?command=sales&amp;parid=23250205","3881147")</f>
        <v>3881147</v>
      </c>
      <c r="H6203" t="s">
        <v>635</v>
      </c>
      <c r="I6203">
        <v>2009</v>
      </c>
      <c r="J6203">
        <v>2009</v>
      </c>
      <c r="K6203" t="s">
        <v>4554</v>
      </c>
      <c r="L6203" t="s">
        <v>3974</v>
      </c>
      <c r="M6203" s="2">
        <v>2784</v>
      </c>
      <c r="N6203" t="s">
        <v>1245</v>
      </c>
      <c r="O6203">
        <v>4</v>
      </c>
      <c r="P6203">
        <v>4</v>
      </c>
      <c r="Q6203">
        <v>0</v>
      </c>
      <c r="R6203" t="s">
        <v>5281</v>
      </c>
      <c r="S6203" t="s">
        <v>4898</v>
      </c>
      <c r="T6203" t="s">
        <v>2704</v>
      </c>
      <c r="U6203" t="s">
        <v>4560</v>
      </c>
      <c r="V6203" s="2">
        <v>441</v>
      </c>
      <c r="W6203" t="s">
        <v>4655</v>
      </c>
      <c r="X6203" s="2">
        <v>0</v>
      </c>
      <c r="Y6203">
        <v>20</v>
      </c>
      <c r="Z6203" t="s">
        <v>1491</v>
      </c>
      <c r="AA6203" s="3">
        <v>0.14648760855197901</v>
      </c>
      <c r="AB6203" t="s">
        <v>30251</v>
      </c>
      <c r="AC6203" t="s">
        <v>4562</v>
      </c>
      <c r="AD6203" t="s">
        <v>30250</v>
      </c>
      <c r="AE6203" t="s">
        <v>4655</v>
      </c>
      <c r="AF6203" t="s">
        <v>4563</v>
      </c>
      <c r="AG6203" t="s">
        <v>4564</v>
      </c>
      <c r="AH6203" t="s">
        <v>1147</v>
      </c>
      <c r="AI6203" t="s">
        <v>637</v>
      </c>
      <c r="AJ6203" t="s">
        <v>638</v>
      </c>
      <c r="AK6203" t="s">
        <v>30252</v>
      </c>
      <c r="AL6203" s="13" t="s">
        <v>1897</v>
      </c>
      <c r="AM6203">
        <v>1</v>
      </c>
      <c r="AN6203" s="15" t="s">
        <v>1362</v>
      </c>
    </row>
    <row r="6204" spans="1:40" x14ac:dyDescent="0.3">
      <c r="A6204" s="10" t="str">
        <f>HYPERLINK("http://www.washoecounty.gov/assessor/cama/?parid=232-503-01&amp;CardNumber=1","232-503-01")</f>
        <v>232-503-01</v>
      </c>
      <c r="B6204" t="s">
        <v>4655</v>
      </c>
      <c r="C6204" t="s">
        <v>30253</v>
      </c>
      <c r="D6204" s="1">
        <v>40466</v>
      </c>
      <c r="E6204" s="2">
        <v>290000</v>
      </c>
      <c r="F6204" t="s">
        <v>4567</v>
      </c>
      <c r="G6204" s="17" t="str">
        <f>HYPERLINK("https://www.washoecounty.gov/assessor/cama/?command=sales&amp;parid=23250301","3933530")</f>
        <v>3933530</v>
      </c>
      <c r="H6204" t="s">
        <v>635</v>
      </c>
      <c r="I6204">
        <v>2010</v>
      </c>
      <c r="J6204">
        <v>2010</v>
      </c>
      <c r="K6204" t="s">
        <v>4554</v>
      </c>
      <c r="L6204" t="s">
        <v>4555</v>
      </c>
      <c r="M6204" s="2">
        <v>1951</v>
      </c>
      <c r="N6204" t="s">
        <v>1245</v>
      </c>
      <c r="O6204">
        <v>3</v>
      </c>
      <c r="P6204">
        <v>2</v>
      </c>
      <c r="Q6204">
        <v>0</v>
      </c>
      <c r="R6204" t="s">
        <v>5281</v>
      </c>
      <c r="S6204" t="s">
        <v>4898</v>
      </c>
      <c r="T6204" t="s">
        <v>2704</v>
      </c>
      <c r="U6204" t="s">
        <v>4560</v>
      </c>
      <c r="V6204" s="2">
        <v>483</v>
      </c>
      <c r="W6204" t="s">
        <v>4655</v>
      </c>
      <c r="X6204" s="2">
        <v>0</v>
      </c>
      <c r="Y6204">
        <v>20</v>
      </c>
      <c r="Z6204" t="s">
        <v>1491</v>
      </c>
      <c r="AA6204" s="3">
        <v>0.18452708423137701</v>
      </c>
      <c r="AB6204" t="s">
        <v>30254</v>
      </c>
      <c r="AC6204" t="s">
        <v>4562</v>
      </c>
      <c r="AD6204" t="s">
        <v>30255</v>
      </c>
      <c r="AE6204" t="s">
        <v>4655</v>
      </c>
      <c r="AF6204" t="s">
        <v>4563</v>
      </c>
      <c r="AG6204" t="s">
        <v>4564</v>
      </c>
      <c r="AH6204" t="s">
        <v>1147</v>
      </c>
      <c r="AI6204" t="s">
        <v>637</v>
      </c>
      <c r="AJ6204" t="s">
        <v>638</v>
      </c>
      <c r="AK6204" t="s">
        <v>30256</v>
      </c>
      <c r="AL6204" s="13" t="s">
        <v>1897</v>
      </c>
      <c r="AM6204" s="14">
        <v>1</v>
      </c>
      <c r="AN6204" s="15" t="s">
        <v>1362</v>
      </c>
    </row>
    <row r="6205" spans="1:40" x14ac:dyDescent="0.3">
      <c r="A6205" s="10" t="str">
        <f>HYPERLINK("http://www.washoecounty.gov/assessor/cama/?parid=232-521-06&amp;CardNumber=1","232-521-06")</f>
        <v>232-521-06</v>
      </c>
      <c r="B6205" t="s">
        <v>4655</v>
      </c>
      <c r="C6205" t="s">
        <v>30257</v>
      </c>
      <c r="D6205" s="1">
        <v>40400</v>
      </c>
      <c r="E6205" s="2">
        <v>682000</v>
      </c>
      <c r="F6205" t="s">
        <v>4567</v>
      </c>
      <c r="G6205" s="17" t="str">
        <f>HYPERLINK("https://www.washoecounty.gov/assessor/cama/?command=sales&amp;parid=23252106","3910414")</f>
        <v>3910414</v>
      </c>
      <c r="H6205" t="s">
        <v>2179</v>
      </c>
      <c r="I6205">
        <v>2006</v>
      </c>
      <c r="J6205">
        <v>2006</v>
      </c>
      <c r="K6205" t="s">
        <v>4554</v>
      </c>
      <c r="L6205" t="s">
        <v>4555</v>
      </c>
      <c r="M6205" s="2">
        <v>2754</v>
      </c>
      <c r="N6205" t="s">
        <v>8283</v>
      </c>
      <c r="O6205">
        <v>4</v>
      </c>
      <c r="P6205">
        <v>3</v>
      </c>
      <c r="Q6205">
        <v>1</v>
      </c>
      <c r="R6205" t="s">
        <v>5281</v>
      </c>
      <c r="S6205" t="s">
        <v>4898</v>
      </c>
      <c r="T6205" t="s">
        <v>2704</v>
      </c>
      <c r="U6205" t="s">
        <v>4560</v>
      </c>
      <c r="V6205" s="2">
        <v>1422</v>
      </c>
      <c r="W6205" t="s">
        <v>3201</v>
      </c>
      <c r="X6205" s="2">
        <v>2754</v>
      </c>
      <c r="Y6205">
        <v>20</v>
      </c>
      <c r="Z6205" t="s">
        <v>1491</v>
      </c>
      <c r="AA6205" s="3">
        <v>0.57102847099304099</v>
      </c>
      <c r="AB6205" t="s">
        <v>30258</v>
      </c>
      <c r="AC6205" t="s">
        <v>4575</v>
      </c>
      <c r="AD6205" t="s">
        <v>30259</v>
      </c>
      <c r="AE6205" t="s">
        <v>4655</v>
      </c>
      <c r="AF6205" t="s">
        <v>4563</v>
      </c>
      <c r="AG6205" t="s">
        <v>4564</v>
      </c>
      <c r="AH6205" t="s">
        <v>1147</v>
      </c>
      <c r="AI6205" t="s">
        <v>30260</v>
      </c>
      <c r="AJ6205" t="s">
        <v>1788</v>
      </c>
      <c r="AK6205" t="s">
        <v>30261</v>
      </c>
      <c r="AL6205" s="13" t="s">
        <v>1896</v>
      </c>
      <c r="AM6205" s="14">
        <v>1</v>
      </c>
      <c r="AN6205" s="15" t="s">
        <v>4603</v>
      </c>
    </row>
    <row r="6206" spans="1:40" x14ac:dyDescent="0.3">
      <c r="A6206" s="10" t="str">
        <f>HYPERLINK("http://www.washoecounty.gov/assessor/cama/?parid=232-521-07&amp;CardNumber=1","232-521-07")</f>
        <v>232-521-07</v>
      </c>
      <c r="B6206" t="s">
        <v>4655</v>
      </c>
      <c r="C6206" t="s">
        <v>30262</v>
      </c>
      <c r="D6206" s="1">
        <v>40479</v>
      </c>
      <c r="E6206" s="2">
        <v>45000</v>
      </c>
      <c r="F6206" t="s">
        <v>4553</v>
      </c>
      <c r="G6206" s="17" t="str">
        <f>HYPERLINK("https://www.washoecounty.gov/assessor/cama/?command=sales&amp;parid=23252107","3937401")</f>
        <v>3937401</v>
      </c>
      <c r="H6206" t="s">
        <v>2179</v>
      </c>
      <c r="I6206">
        <v>0</v>
      </c>
      <c r="J6206">
        <v>0</v>
      </c>
      <c r="K6206" t="s">
        <v>4655</v>
      </c>
      <c r="L6206" t="s">
        <v>4655</v>
      </c>
      <c r="M6206" s="2">
        <v>0</v>
      </c>
      <c r="N6206" t="s">
        <v>4655</v>
      </c>
      <c r="O6206">
        <v>0</v>
      </c>
      <c r="P6206">
        <v>0</v>
      </c>
      <c r="Q6206">
        <v>0</v>
      </c>
      <c r="R6206" t="s">
        <v>4655</v>
      </c>
      <c r="S6206" t="s">
        <v>4655</v>
      </c>
      <c r="T6206" t="s">
        <v>4655</v>
      </c>
      <c r="U6206" t="s">
        <v>4655</v>
      </c>
      <c r="V6206" s="2">
        <v>0</v>
      </c>
      <c r="W6206" t="s">
        <v>4655</v>
      </c>
      <c r="X6206" s="2">
        <v>0</v>
      </c>
      <c r="Y6206">
        <v>12</v>
      </c>
      <c r="Z6206" t="s">
        <v>1491</v>
      </c>
      <c r="AA6206" s="3">
        <v>0.44758954644203203</v>
      </c>
      <c r="AB6206" t="s">
        <v>30258</v>
      </c>
      <c r="AC6206" t="s">
        <v>4575</v>
      </c>
      <c r="AD6206" t="s">
        <v>30263</v>
      </c>
      <c r="AE6206" t="s">
        <v>4655</v>
      </c>
      <c r="AF6206" t="s">
        <v>4563</v>
      </c>
      <c r="AG6206" t="s">
        <v>4564</v>
      </c>
      <c r="AH6206" t="s">
        <v>1147</v>
      </c>
      <c r="AI6206" t="s">
        <v>30260</v>
      </c>
      <c r="AJ6206" t="s">
        <v>1788</v>
      </c>
      <c r="AK6206" t="s">
        <v>30264</v>
      </c>
      <c r="AL6206" s="13" t="s">
        <v>1896</v>
      </c>
      <c r="AM6206" s="14">
        <v>0</v>
      </c>
      <c r="AN6206" s="15" t="s">
        <v>4603</v>
      </c>
    </row>
    <row r="6207" spans="1:40" x14ac:dyDescent="0.3">
      <c r="A6207" s="10" t="str">
        <f>HYPERLINK("http://www.washoecounty.gov/assessor/cama/?parid=232-523-06&amp;CardNumber=1","232-523-06")</f>
        <v>232-523-06</v>
      </c>
      <c r="B6207" t="s">
        <v>4655</v>
      </c>
      <c r="C6207" t="s">
        <v>30265</v>
      </c>
      <c r="D6207" s="1">
        <v>40529</v>
      </c>
      <c r="E6207" s="2">
        <v>65000</v>
      </c>
      <c r="F6207" t="s">
        <v>3259</v>
      </c>
      <c r="G6207" s="17" t="str">
        <f>HYPERLINK("https://www.washoecounty.gov/assessor/cama/?command=sales&amp;parid=23252306","3954942")</f>
        <v>3954942</v>
      </c>
      <c r="H6207" t="s">
        <v>2179</v>
      </c>
      <c r="I6207">
        <v>0</v>
      </c>
      <c r="J6207">
        <v>0</v>
      </c>
      <c r="K6207" t="s">
        <v>4655</v>
      </c>
      <c r="L6207" t="s">
        <v>4655</v>
      </c>
      <c r="M6207" s="2">
        <v>0</v>
      </c>
      <c r="N6207" t="s">
        <v>4655</v>
      </c>
      <c r="O6207">
        <v>0</v>
      </c>
      <c r="P6207">
        <v>0</v>
      </c>
      <c r="Q6207">
        <v>0</v>
      </c>
      <c r="R6207" t="s">
        <v>4655</v>
      </c>
      <c r="S6207" t="s">
        <v>4655</v>
      </c>
      <c r="T6207" t="s">
        <v>4655</v>
      </c>
      <c r="U6207" t="s">
        <v>4655</v>
      </c>
      <c r="V6207" s="2">
        <v>0</v>
      </c>
      <c r="W6207" t="s">
        <v>4655</v>
      </c>
      <c r="X6207" s="2">
        <v>0</v>
      </c>
      <c r="Y6207">
        <v>12</v>
      </c>
      <c r="Z6207" t="s">
        <v>1491</v>
      </c>
      <c r="AA6207" s="3">
        <v>0.63549125194549505</v>
      </c>
      <c r="AB6207" t="s">
        <v>4077</v>
      </c>
      <c r="AC6207" t="s">
        <v>4562</v>
      </c>
      <c r="AD6207" t="s">
        <v>4078</v>
      </c>
      <c r="AE6207" t="s">
        <v>4655</v>
      </c>
      <c r="AF6207" t="s">
        <v>3345</v>
      </c>
      <c r="AG6207" t="s">
        <v>4584</v>
      </c>
      <c r="AH6207">
        <v>92028</v>
      </c>
      <c r="AI6207" t="s">
        <v>30266</v>
      </c>
      <c r="AJ6207" t="s">
        <v>1788</v>
      </c>
      <c r="AK6207" t="s">
        <v>30267</v>
      </c>
      <c r="AL6207" s="13" t="s">
        <v>1896</v>
      </c>
      <c r="AM6207">
        <v>0</v>
      </c>
      <c r="AN6207" s="15" t="s">
        <v>4603</v>
      </c>
    </row>
    <row r="6208" spans="1:40" x14ac:dyDescent="0.3">
      <c r="A6208" s="10" t="str">
        <f>HYPERLINK("http://www.washoecounty.gov/assessor/cama/?parid=232-524-03&amp;CardNumber=1","232-524-03")</f>
        <v>232-524-03</v>
      </c>
      <c r="B6208" t="s">
        <v>4655</v>
      </c>
      <c r="C6208" t="s">
        <v>30268</v>
      </c>
      <c r="D6208" s="1">
        <v>40429</v>
      </c>
      <c r="E6208" s="2">
        <v>78714</v>
      </c>
      <c r="F6208" t="s">
        <v>3512</v>
      </c>
      <c r="G6208" s="17" t="str">
        <f>HYPERLINK("https://www.washoecounty.gov/assessor/cama/?command=sales&amp;parid=23252403","3919919")</f>
        <v>3919919</v>
      </c>
      <c r="H6208" t="s">
        <v>2179</v>
      </c>
      <c r="I6208">
        <v>0</v>
      </c>
      <c r="J6208">
        <v>0</v>
      </c>
      <c r="K6208" t="s">
        <v>4655</v>
      </c>
      <c r="L6208" t="s">
        <v>4655</v>
      </c>
      <c r="M6208" s="2">
        <v>0</v>
      </c>
      <c r="N6208" t="s">
        <v>4655</v>
      </c>
      <c r="O6208">
        <v>0</v>
      </c>
      <c r="P6208">
        <v>0</v>
      </c>
      <c r="Q6208">
        <v>0</v>
      </c>
      <c r="R6208" t="s">
        <v>4655</v>
      </c>
      <c r="S6208" t="s">
        <v>4655</v>
      </c>
      <c r="T6208" t="s">
        <v>4655</v>
      </c>
      <c r="U6208" t="s">
        <v>4655</v>
      </c>
      <c r="V6208" s="2">
        <v>0</v>
      </c>
      <c r="W6208" t="s">
        <v>4655</v>
      </c>
      <c r="X6208" s="2">
        <v>0</v>
      </c>
      <c r="Y6208">
        <v>12</v>
      </c>
      <c r="Z6208" t="s">
        <v>1491</v>
      </c>
      <c r="AA6208" s="3">
        <v>1.2624425888061499</v>
      </c>
      <c r="AB6208" t="s">
        <v>30269</v>
      </c>
      <c r="AC6208" t="s">
        <v>4562</v>
      </c>
      <c r="AD6208" t="s">
        <v>30270</v>
      </c>
      <c r="AE6208" t="s">
        <v>4655</v>
      </c>
      <c r="AF6208" t="s">
        <v>4563</v>
      </c>
      <c r="AG6208" t="s">
        <v>4564</v>
      </c>
      <c r="AH6208" t="s">
        <v>1147</v>
      </c>
      <c r="AI6208" t="s">
        <v>1787</v>
      </c>
      <c r="AJ6208" t="s">
        <v>1788</v>
      </c>
      <c r="AK6208" t="s">
        <v>30271</v>
      </c>
      <c r="AL6208" s="13" t="s">
        <v>1896</v>
      </c>
      <c r="AM6208" s="14">
        <v>0</v>
      </c>
      <c r="AN6208" s="15" t="s">
        <v>4603</v>
      </c>
    </row>
    <row r="6209" spans="1:40" x14ac:dyDescent="0.3">
      <c r="A6209" s="10" t="str">
        <f>HYPERLINK("http://www.washoecounty.gov/assessor/cama/?parid=232-524-05&amp;CardNumber=1","232-524-05")</f>
        <v>232-524-05</v>
      </c>
      <c r="B6209" t="s">
        <v>4655</v>
      </c>
      <c r="C6209" t="s">
        <v>30270</v>
      </c>
      <c r="D6209" s="1">
        <v>40235</v>
      </c>
      <c r="E6209" s="2">
        <v>180000</v>
      </c>
      <c r="F6209" t="s">
        <v>4553</v>
      </c>
      <c r="G6209" s="17" t="str">
        <f>HYPERLINK("https://www.washoecounty.gov/assessor/cama/?command=sales&amp;parid=23252405","3852965")</f>
        <v>3852965</v>
      </c>
      <c r="H6209" t="s">
        <v>2179</v>
      </c>
      <c r="I6209">
        <v>2010</v>
      </c>
      <c r="J6209">
        <v>2010</v>
      </c>
      <c r="K6209" t="s">
        <v>4554</v>
      </c>
      <c r="L6209" t="s">
        <v>4555</v>
      </c>
      <c r="M6209" s="2">
        <v>2659</v>
      </c>
      <c r="N6209" t="s">
        <v>2631</v>
      </c>
      <c r="O6209">
        <v>3</v>
      </c>
      <c r="P6209">
        <v>3</v>
      </c>
      <c r="Q6209">
        <v>1</v>
      </c>
      <c r="R6209" t="s">
        <v>2632</v>
      </c>
      <c r="S6209" t="s">
        <v>4898</v>
      </c>
      <c r="T6209" t="s">
        <v>2704</v>
      </c>
      <c r="U6209" t="s">
        <v>4560</v>
      </c>
      <c r="V6209" s="2">
        <v>923</v>
      </c>
      <c r="W6209" t="s">
        <v>4655</v>
      </c>
      <c r="X6209" s="2">
        <v>0</v>
      </c>
      <c r="Y6209">
        <v>12</v>
      </c>
      <c r="Z6209" t="s">
        <v>1491</v>
      </c>
      <c r="AA6209" s="3">
        <v>1.0969926118850699</v>
      </c>
      <c r="AB6209" t="s">
        <v>30269</v>
      </c>
      <c r="AC6209" t="s">
        <v>4562</v>
      </c>
      <c r="AD6209" t="s">
        <v>30270</v>
      </c>
      <c r="AE6209" t="s">
        <v>4655</v>
      </c>
      <c r="AF6209" t="s">
        <v>4563</v>
      </c>
      <c r="AG6209" t="s">
        <v>4564</v>
      </c>
      <c r="AH6209" t="s">
        <v>1147</v>
      </c>
      <c r="AI6209" t="s">
        <v>1787</v>
      </c>
      <c r="AJ6209" t="s">
        <v>1788</v>
      </c>
      <c r="AK6209" t="s">
        <v>30272</v>
      </c>
      <c r="AL6209" s="13" t="s">
        <v>1896</v>
      </c>
      <c r="AM6209">
        <v>1</v>
      </c>
      <c r="AN6209" s="15" t="s">
        <v>4603</v>
      </c>
    </row>
    <row r="6210" spans="1:40" x14ac:dyDescent="0.3">
      <c r="A6210" s="10" t="str">
        <f>HYPERLINK("http://www.washoecounty.gov/assessor/cama/?parid=232-531-04&amp;CardNumber=1","232-531-04")</f>
        <v>232-531-04</v>
      </c>
      <c r="B6210" t="s">
        <v>4655</v>
      </c>
      <c r="C6210" t="s">
        <v>30273</v>
      </c>
      <c r="D6210" s="1">
        <v>40322</v>
      </c>
      <c r="E6210" s="2">
        <v>599500</v>
      </c>
      <c r="F6210" t="s">
        <v>4553</v>
      </c>
      <c r="G6210" s="17" t="str">
        <f>HYPERLINK("https://www.washoecounty.gov/assessor/cama/?command=sales&amp;parid=23253104","3884291")</f>
        <v>3884291</v>
      </c>
      <c r="H6210" t="s">
        <v>2179</v>
      </c>
      <c r="I6210">
        <v>2007</v>
      </c>
      <c r="J6210">
        <v>2007</v>
      </c>
      <c r="K6210" t="s">
        <v>4554</v>
      </c>
      <c r="L6210" t="s">
        <v>3974</v>
      </c>
      <c r="M6210" s="2">
        <v>4134</v>
      </c>
      <c r="N6210" t="s">
        <v>2012</v>
      </c>
      <c r="O6210">
        <v>4</v>
      </c>
      <c r="P6210">
        <v>4</v>
      </c>
      <c r="Q6210">
        <v>1</v>
      </c>
      <c r="R6210" t="s">
        <v>5281</v>
      </c>
      <c r="S6210" t="s">
        <v>4898</v>
      </c>
      <c r="T6210" t="s">
        <v>2704</v>
      </c>
      <c r="U6210" t="s">
        <v>4560</v>
      </c>
      <c r="V6210" s="2">
        <v>842</v>
      </c>
      <c r="W6210" t="s">
        <v>4655</v>
      </c>
      <c r="X6210" s="2">
        <v>0</v>
      </c>
      <c r="Y6210">
        <v>20</v>
      </c>
      <c r="Z6210" t="s">
        <v>1491</v>
      </c>
      <c r="AA6210" s="3">
        <v>0.70573920011520297</v>
      </c>
      <c r="AB6210" t="s">
        <v>30274</v>
      </c>
      <c r="AC6210" t="s">
        <v>4575</v>
      </c>
      <c r="AD6210" t="s">
        <v>30273</v>
      </c>
      <c r="AE6210" t="s">
        <v>4655</v>
      </c>
      <c r="AF6210" t="s">
        <v>4563</v>
      </c>
      <c r="AG6210" t="s">
        <v>4564</v>
      </c>
      <c r="AH6210" t="s">
        <v>1147</v>
      </c>
      <c r="AI6210" t="s">
        <v>30275</v>
      </c>
      <c r="AJ6210" t="s">
        <v>1788</v>
      </c>
      <c r="AK6210" t="s">
        <v>30276</v>
      </c>
      <c r="AL6210" s="13" t="s">
        <v>1896</v>
      </c>
      <c r="AM6210">
        <v>1</v>
      </c>
      <c r="AN6210" s="15" t="s">
        <v>4603</v>
      </c>
    </row>
    <row r="6211" spans="1:40" x14ac:dyDescent="0.3">
      <c r="A6211" s="10" t="str">
        <f>HYPERLINK("http://www.washoecounty.gov/assessor/cama/?parid=232-533-01&amp;CardNumber=1","232-533-01")</f>
        <v>232-533-01</v>
      </c>
      <c r="B6211" t="s">
        <v>4655</v>
      </c>
      <c r="C6211" t="s">
        <v>30277</v>
      </c>
      <c r="D6211" s="1">
        <v>40315</v>
      </c>
      <c r="E6211" s="2">
        <v>750000</v>
      </c>
      <c r="F6211" t="s">
        <v>4553</v>
      </c>
      <c r="G6211" s="17" t="str">
        <f>HYPERLINK("https://www.washoecounty.gov/assessor/cama/?command=sales&amp;parid=23253301","3881914")</f>
        <v>3881914</v>
      </c>
      <c r="H6211" t="s">
        <v>2179</v>
      </c>
      <c r="I6211">
        <v>2007</v>
      </c>
      <c r="J6211">
        <v>2007</v>
      </c>
      <c r="K6211" t="s">
        <v>4554</v>
      </c>
      <c r="L6211" t="s">
        <v>4555</v>
      </c>
      <c r="M6211" s="2">
        <v>3763</v>
      </c>
      <c r="N6211" t="s">
        <v>2967</v>
      </c>
      <c r="O6211">
        <v>6</v>
      </c>
      <c r="P6211">
        <v>6</v>
      </c>
      <c r="Q6211">
        <v>1</v>
      </c>
      <c r="R6211" t="s">
        <v>2632</v>
      </c>
      <c r="S6211" t="s">
        <v>4898</v>
      </c>
      <c r="T6211" t="s">
        <v>2704</v>
      </c>
      <c r="U6211" t="s">
        <v>4560</v>
      </c>
      <c r="V6211" s="2">
        <v>1767</v>
      </c>
      <c r="W6211" t="s">
        <v>1500</v>
      </c>
      <c r="X6211" s="2">
        <v>2028</v>
      </c>
      <c r="Y6211">
        <v>20</v>
      </c>
      <c r="Z6211" t="s">
        <v>1491</v>
      </c>
      <c r="AA6211" s="3">
        <v>0.53482550382614102</v>
      </c>
      <c r="AB6211" t="s">
        <v>30278</v>
      </c>
      <c r="AC6211" t="s">
        <v>4562</v>
      </c>
      <c r="AD6211" t="s">
        <v>30277</v>
      </c>
      <c r="AE6211" t="s">
        <v>4655</v>
      </c>
      <c r="AF6211" t="s">
        <v>4563</v>
      </c>
      <c r="AG6211" t="s">
        <v>4564</v>
      </c>
      <c r="AH6211" t="s">
        <v>1147</v>
      </c>
      <c r="AI6211" t="s">
        <v>687</v>
      </c>
      <c r="AJ6211" t="s">
        <v>30279</v>
      </c>
      <c r="AK6211" t="s">
        <v>30280</v>
      </c>
      <c r="AL6211" s="13" t="s">
        <v>1896</v>
      </c>
      <c r="AM6211" s="14">
        <v>1</v>
      </c>
      <c r="AN6211" s="15" t="s">
        <v>4603</v>
      </c>
    </row>
    <row r="6212" spans="1:40" x14ac:dyDescent="0.3">
      <c r="A6212" s="10" t="str">
        <f>HYPERLINK("http://www.washoecounty.gov/assessor/cama/?parid=232-533-02&amp;CardNumber=1","232-533-02")</f>
        <v>232-533-02</v>
      </c>
      <c r="B6212" t="s">
        <v>4655</v>
      </c>
      <c r="C6212" t="s">
        <v>30281</v>
      </c>
      <c r="D6212" s="1">
        <v>40303</v>
      </c>
      <c r="E6212" s="2">
        <v>18500</v>
      </c>
      <c r="F6212" t="s">
        <v>4553</v>
      </c>
      <c r="G6212" s="17" t="str">
        <f>HYPERLINK("https://www.washoecounty.gov/assessor/cama/?command=sales&amp;parid=23253302","3878135")</f>
        <v>3878135</v>
      </c>
      <c r="H6212" t="s">
        <v>2179</v>
      </c>
      <c r="I6212">
        <v>0</v>
      </c>
      <c r="J6212">
        <v>0</v>
      </c>
      <c r="K6212" t="s">
        <v>4655</v>
      </c>
      <c r="L6212" t="s">
        <v>4655</v>
      </c>
      <c r="M6212" s="2">
        <v>0</v>
      </c>
      <c r="N6212" t="s">
        <v>4655</v>
      </c>
      <c r="O6212">
        <v>0</v>
      </c>
      <c r="P6212">
        <v>0</v>
      </c>
      <c r="Q6212">
        <v>0</v>
      </c>
      <c r="R6212" t="s">
        <v>4655</v>
      </c>
      <c r="S6212" t="s">
        <v>4655</v>
      </c>
      <c r="T6212" t="s">
        <v>4655</v>
      </c>
      <c r="U6212" t="s">
        <v>4655</v>
      </c>
      <c r="V6212" s="2">
        <v>0</v>
      </c>
      <c r="W6212" t="s">
        <v>4655</v>
      </c>
      <c r="X6212" s="2">
        <v>0</v>
      </c>
      <c r="Y6212">
        <v>12</v>
      </c>
      <c r="Z6212" t="s">
        <v>1491</v>
      </c>
      <c r="AA6212" s="3">
        <v>0.45185950398445102</v>
      </c>
      <c r="AB6212" t="s">
        <v>14723</v>
      </c>
      <c r="AC6212" t="s">
        <v>4562</v>
      </c>
      <c r="AD6212" t="s">
        <v>30282</v>
      </c>
      <c r="AE6212" t="s">
        <v>4655</v>
      </c>
      <c r="AF6212" t="s">
        <v>4563</v>
      </c>
      <c r="AG6212" t="s">
        <v>4564</v>
      </c>
      <c r="AH6212">
        <v>89502</v>
      </c>
      <c r="AI6212" t="s">
        <v>6198</v>
      </c>
      <c r="AJ6212" t="s">
        <v>1788</v>
      </c>
      <c r="AK6212" t="s">
        <v>30283</v>
      </c>
      <c r="AL6212" s="13" t="s">
        <v>1896</v>
      </c>
      <c r="AM6212" s="14">
        <v>0</v>
      </c>
      <c r="AN6212" s="15" t="s">
        <v>4603</v>
      </c>
    </row>
    <row r="6213" spans="1:40" x14ac:dyDescent="0.3">
      <c r="A6213" s="10" t="str">
        <f>HYPERLINK("http://www.washoecounty.gov/assessor/cama/?parid=232-541-06&amp;CardNumber=1","232-541-06")</f>
        <v>232-541-06</v>
      </c>
      <c r="B6213" t="s">
        <v>4655</v>
      </c>
      <c r="C6213" t="s">
        <v>30284</v>
      </c>
      <c r="D6213" s="1">
        <v>40393</v>
      </c>
      <c r="E6213" s="2">
        <v>875000</v>
      </c>
      <c r="F6213" t="s">
        <v>4567</v>
      </c>
      <c r="G6213" s="17" t="str">
        <f>HYPERLINK("https://www.washoecounty.gov/assessor/cama/?command=sales&amp;parid=23254106","3908415")</f>
        <v>3908415</v>
      </c>
      <c r="H6213" t="s">
        <v>3620</v>
      </c>
      <c r="I6213">
        <v>2007</v>
      </c>
      <c r="J6213">
        <v>2007</v>
      </c>
      <c r="K6213" t="s">
        <v>4554</v>
      </c>
      <c r="L6213" t="s">
        <v>4555</v>
      </c>
      <c r="M6213" s="2">
        <v>3114</v>
      </c>
      <c r="N6213" t="s">
        <v>2967</v>
      </c>
      <c r="O6213">
        <v>4</v>
      </c>
      <c r="P6213">
        <v>4</v>
      </c>
      <c r="Q6213">
        <v>2</v>
      </c>
      <c r="R6213" t="s">
        <v>2632</v>
      </c>
      <c r="S6213" t="s">
        <v>4898</v>
      </c>
      <c r="T6213" t="s">
        <v>2704</v>
      </c>
      <c r="U6213" t="s">
        <v>4560</v>
      </c>
      <c r="V6213" s="2">
        <v>1954</v>
      </c>
      <c r="W6213" t="s">
        <v>1500</v>
      </c>
      <c r="X6213" s="2">
        <v>2460</v>
      </c>
      <c r="Y6213">
        <v>20</v>
      </c>
      <c r="Z6213" t="s">
        <v>1491</v>
      </c>
      <c r="AA6213" s="3">
        <v>0.73758035898208596</v>
      </c>
      <c r="AB6213" t="s">
        <v>30285</v>
      </c>
      <c r="AC6213" t="s">
        <v>4575</v>
      </c>
      <c r="AD6213" t="s">
        <v>30286</v>
      </c>
      <c r="AE6213" t="s">
        <v>30287</v>
      </c>
      <c r="AF6213" t="s">
        <v>4563</v>
      </c>
      <c r="AG6213" t="s">
        <v>4564</v>
      </c>
      <c r="AH6213" t="s">
        <v>1147</v>
      </c>
      <c r="AI6213" t="s">
        <v>30288</v>
      </c>
      <c r="AJ6213" t="s">
        <v>3621</v>
      </c>
      <c r="AK6213" t="s">
        <v>30289</v>
      </c>
      <c r="AL6213" s="13" t="s">
        <v>1896</v>
      </c>
      <c r="AM6213" s="14">
        <v>1</v>
      </c>
      <c r="AN6213" s="15" t="s">
        <v>4603</v>
      </c>
    </row>
    <row r="6214" spans="1:40" x14ac:dyDescent="0.3">
      <c r="A6214" s="10" t="str">
        <f>HYPERLINK("http://www.washoecounty.gov/assessor/cama/?parid=232-551-05&amp;CardNumber=1","232-551-05")</f>
        <v>232-551-05</v>
      </c>
      <c r="B6214" t="s">
        <v>4655</v>
      </c>
      <c r="C6214" t="s">
        <v>30290</v>
      </c>
      <c r="D6214" s="1">
        <v>40326</v>
      </c>
      <c r="E6214" s="2">
        <v>145000</v>
      </c>
      <c r="F6214" t="s">
        <v>4567</v>
      </c>
      <c r="G6214" s="17" t="str">
        <f>HYPERLINK("https://www.washoecounty.gov/assessor/cama/?command=sales&amp;parid=23255105","3886550")</f>
        <v>3886550</v>
      </c>
      <c r="H6214" t="s">
        <v>4175</v>
      </c>
      <c r="I6214">
        <v>2005</v>
      </c>
      <c r="J6214">
        <v>2005</v>
      </c>
      <c r="K6214" t="s">
        <v>4554</v>
      </c>
      <c r="L6214" t="s">
        <v>3974</v>
      </c>
      <c r="M6214" s="2">
        <v>1882</v>
      </c>
      <c r="N6214" t="s">
        <v>5280</v>
      </c>
      <c r="O6214">
        <v>3</v>
      </c>
      <c r="P6214">
        <v>3</v>
      </c>
      <c r="Q6214">
        <v>1</v>
      </c>
      <c r="R6214" t="s">
        <v>5281</v>
      </c>
      <c r="S6214" t="s">
        <v>4898</v>
      </c>
      <c r="T6214" t="s">
        <v>2704</v>
      </c>
      <c r="U6214" t="s">
        <v>5631</v>
      </c>
      <c r="V6214" s="2">
        <v>460</v>
      </c>
      <c r="W6214" t="s">
        <v>4655</v>
      </c>
      <c r="X6214" s="2">
        <v>0</v>
      </c>
      <c r="Y6214">
        <v>20</v>
      </c>
      <c r="Z6214" t="s">
        <v>1491</v>
      </c>
      <c r="AA6214" s="3">
        <v>5.8838382363319397E-2</v>
      </c>
      <c r="AB6214" t="s">
        <v>30291</v>
      </c>
      <c r="AC6214" t="s">
        <v>4562</v>
      </c>
      <c r="AD6214" t="s">
        <v>30292</v>
      </c>
      <c r="AE6214" t="s">
        <v>4655</v>
      </c>
      <c r="AF6214" t="s">
        <v>2855</v>
      </c>
      <c r="AG6214" t="s">
        <v>4564</v>
      </c>
      <c r="AH6214" t="s">
        <v>4290</v>
      </c>
      <c r="AI6214" t="s">
        <v>4655</v>
      </c>
      <c r="AJ6214" t="s">
        <v>4176</v>
      </c>
      <c r="AK6214" t="s">
        <v>30293</v>
      </c>
      <c r="AL6214" s="13" t="s">
        <v>1896</v>
      </c>
      <c r="AM6214" s="14">
        <v>1</v>
      </c>
      <c r="AN6214" s="15" t="s">
        <v>1772</v>
      </c>
    </row>
    <row r="6215" spans="1:40" x14ac:dyDescent="0.3">
      <c r="A6215" s="10" t="str">
        <f>HYPERLINK("http://www.washoecounty.gov/assessor/cama/?parid=232-551-08&amp;CardNumber=1","232-551-08")</f>
        <v>232-551-08</v>
      </c>
      <c r="B6215" t="s">
        <v>4655</v>
      </c>
      <c r="C6215" t="s">
        <v>30294</v>
      </c>
      <c r="D6215" s="1">
        <v>40204</v>
      </c>
      <c r="E6215" s="2">
        <v>160000</v>
      </c>
      <c r="F6215" t="s">
        <v>4553</v>
      </c>
      <c r="G6215" s="17" t="str">
        <f>HYPERLINK("https://www.washoecounty.gov/assessor/cama/?command=sales&amp;parid=23255108","3842714")</f>
        <v>3842714</v>
      </c>
      <c r="H6215" t="s">
        <v>4175</v>
      </c>
      <c r="I6215">
        <v>2005</v>
      </c>
      <c r="J6215">
        <v>2005</v>
      </c>
      <c r="K6215" t="s">
        <v>4554</v>
      </c>
      <c r="L6215" t="s">
        <v>3974</v>
      </c>
      <c r="M6215" s="2">
        <v>2034</v>
      </c>
      <c r="N6215" t="s">
        <v>5280</v>
      </c>
      <c r="O6215">
        <v>3</v>
      </c>
      <c r="P6215">
        <v>3</v>
      </c>
      <c r="Q6215">
        <v>1</v>
      </c>
      <c r="R6215" t="s">
        <v>5281</v>
      </c>
      <c r="S6215" t="s">
        <v>4898</v>
      </c>
      <c r="T6215" t="s">
        <v>2704</v>
      </c>
      <c r="U6215" t="s">
        <v>5631</v>
      </c>
      <c r="V6215" s="2">
        <v>471</v>
      </c>
      <c r="W6215" t="s">
        <v>4655</v>
      </c>
      <c r="X6215" s="2">
        <v>0</v>
      </c>
      <c r="Y6215">
        <v>20</v>
      </c>
      <c r="Z6215" t="s">
        <v>1491</v>
      </c>
      <c r="AA6215" s="3">
        <v>6.13177232444286E-2</v>
      </c>
      <c r="AB6215" t="s">
        <v>30295</v>
      </c>
      <c r="AC6215" t="s">
        <v>4562</v>
      </c>
      <c r="AD6215" t="s">
        <v>30296</v>
      </c>
      <c r="AE6215" t="s">
        <v>4655</v>
      </c>
      <c r="AF6215" t="s">
        <v>4563</v>
      </c>
      <c r="AG6215" t="s">
        <v>4564</v>
      </c>
      <c r="AH6215" t="s">
        <v>1147</v>
      </c>
      <c r="AI6215" t="s">
        <v>5751</v>
      </c>
      <c r="AJ6215" t="s">
        <v>4176</v>
      </c>
      <c r="AK6215" t="s">
        <v>30297</v>
      </c>
      <c r="AL6215" s="13" t="s">
        <v>1896</v>
      </c>
      <c r="AM6215">
        <v>1</v>
      </c>
      <c r="AN6215" s="15" t="s">
        <v>1772</v>
      </c>
    </row>
    <row r="6216" spans="1:40" x14ac:dyDescent="0.3">
      <c r="A6216" s="10" t="str">
        <f>HYPERLINK("http://www.washoecounty.gov/assessor/cama/?parid=232-551-10&amp;CardNumber=1","232-551-10")</f>
        <v>232-551-10</v>
      </c>
      <c r="B6216" t="s">
        <v>4655</v>
      </c>
      <c r="C6216" t="s">
        <v>30298</v>
      </c>
      <c r="D6216" s="1">
        <v>40512</v>
      </c>
      <c r="E6216" s="2">
        <v>155000</v>
      </c>
      <c r="F6216" t="s">
        <v>4567</v>
      </c>
      <c r="G6216" s="17" t="str">
        <f>HYPERLINK("https://www.washoecounty.gov/assessor/cama/?command=sales&amp;parid=23255110","3947493")</f>
        <v>3947493</v>
      </c>
      <c r="H6216" t="s">
        <v>4175</v>
      </c>
      <c r="I6216">
        <v>2005</v>
      </c>
      <c r="J6216">
        <v>2005</v>
      </c>
      <c r="K6216" t="s">
        <v>4554</v>
      </c>
      <c r="L6216" t="s">
        <v>3974</v>
      </c>
      <c r="M6216" s="2">
        <v>2034</v>
      </c>
      <c r="N6216" t="s">
        <v>5280</v>
      </c>
      <c r="O6216">
        <v>3</v>
      </c>
      <c r="P6216">
        <v>3</v>
      </c>
      <c r="Q6216">
        <v>1</v>
      </c>
      <c r="R6216" t="s">
        <v>5281</v>
      </c>
      <c r="S6216" t="s">
        <v>4898</v>
      </c>
      <c r="T6216" t="s">
        <v>2704</v>
      </c>
      <c r="U6216" t="s">
        <v>5631</v>
      </c>
      <c r="V6216" s="2">
        <v>471</v>
      </c>
      <c r="W6216" t="s">
        <v>4655</v>
      </c>
      <c r="X6216" s="2">
        <v>0</v>
      </c>
      <c r="Y6216">
        <v>20</v>
      </c>
      <c r="Z6216" t="s">
        <v>1491</v>
      </c>
      <c r="AA6216" s="3">
        <v>6.13177232444286E-2</v>
      </c>
      <c r="AB6216" t="s">
        <v>30299</v>
      </c>
      <c r="AC6216" t="s">
        <v>4575</v>
      </c>
      <c r="AD6216" t="s">
        <v>30298</v>
      </c>
      <c r="AE6216" t="s">
        <v>4655</v>
      </c>
      <c r="AF6216" t="s">
        <v>4563</v>
      </c>
      <c r="AG6216" t="s">
        <v>4564</v>
      </c>
      <c r="AH6216" t="s">
        <v>1147</v>
      </c>
      <c r="AI6216" t="s">
        <v>30300</v>
      </c>
      <c r="AJ6216" t="s">
        <v>4176</v>
      </c>
      <c r="AK6216" t="s">
        <v>30301</v>
      </c>
      <c r="AL6216" s="13" t="s">
        <v>1896</v>
      </c>
      <c r="AM6216" s="14">
        <v>1</v>
      </c>
      <c r="AN6216" s="15" t="s">
        <v>1772</v>
      </c>
    </row>
    <row r="6217" spans="1:40" x14ac:dyDescent="0.3">
      <c r="A6217" s="10" t="str">
        <f>HYPERLINK("http://www.washoecounty.gov/assessor/cama/?parid=232-552-09&amp;CardNumber=1","232-552-09")</f>
        <v>232-552-09</v>
      </c>
      <c r="B6217" t="s">
        <v>4655</v>
      </c>
      <c r="C6217" t="s">
        <v>30302</v>
      </c>
      <c r="D6217" s="1">
        <v>40532</v>
      </c>
      <c r="E6217" s="2">
        <v>155000</v>
      </c>
      <c r="F6217" t="s">
        <v>4553</v>
      </c>
      <c r="G6217" s="17" t="str">
        <f>HYPERLINK("https://www.washoecounty.gov/assessor/cama/?command=sales&amp;parid=23255209","3955590")</f>
        <v>3955590</v>
      </c>
      <c r="H6217" t="s">
        <v>4175</v>
      </c>
      <c r="I6217">
        <v>2005</v>
      </c>
      <c r="J6217">
        <v>2005</v>
      </c>
      <c r="K6217" t="s">
        <v>4554</v>
      </c>
      <c r="L6217" t="s">
        <v>3974</v>
      </c>
      <c r="M6217" s="2">
        <v>2034</v>
      </c>
      <c r="N6217" t="s">
        <v>5280</v>
      </c>
      <c r="O6217">
        <v>3</v>
      </c>
      <c r="P6217">
        <v>3</v>
      </c>
      <c r="Q6217">
        <v>1</v>
      </c>
      <c r="R6217" t="s">
        <v>5281</v>
      </c>
      <c r="S6217" t="s">
        <v>4898</v>
      </c>
      <c r="T6217" t="s">
        <v>2704</v>
      </c>
      <c r="U6217" t="s">
        <v>5631</v>
      </c>
      <c r="V6217" s="2">
        <v>471</v>
      </c>
      <c r="W6217" t="s">
        <v>4655</v>
      </c>
      <c r="X6217" s="2">
        <v>0</v>
      </c>
      <c r="Y6217">
        <v>20</v>
      </c>
      <c r="Z6217" t="s">
        <v>1491</v>
      </c>
      <c r="AA6217" s="3">
        <v>6.9146007299423204E-2</v>
      </c>
      <c r="AB6217" t="s">
        <v>30303</v>
      </c>
      <c r="AC6217" t="s">
        <v>4562</v>
      </c>
      <c r="AD6217" t="s">
        <v>30302</v>
      </c>
      <c r="AE6217" t="s">
        <v>4655</v>
      </c>
      <c r="AF6217" t="s">
        <v>3114</v>
      </c>
      <c r="AG6217" t="s">
        <v>4564</v>
      </c>
      <c r="AH6217" t="s">
        <v>1147</v>
      </c>
      <c r="AI6217" t="s">
        <v>4655</v>
      </c>
      <c r="AJ6217" t="s">
        <v>4176</v>
      </c>
      <c r="AK6217" t="s">
        <v>30304</v>
      </c>
      <c r="AL6217" s="13" t="s">
        <v>1896</v>
      </c>
      <c r="AM6217" s="14">
        <v>1</v>
      </c>
      <c r="AN6217" s="15" t="s">
        <v>1772</v>
      </c>
    </row>
    <row r="6218" spans="1:40" x14ac:dyDescent="0.3">
      <c r="A6218" s="10" t="str">
        <f>HYPERLINK("http://www.washoecounty.gov/assessor/cama/?parid=232-553-06&amp;CardNumber=1","232-553-06")</f>
        <v>232-553-06</v>
      </c>
      <c r="B6218" t="s">
        <v>4655</v>
      </c>
      <c r="C6218" t="s">
        <v>30305</v>
      </c>
      <c r="D6218" s="1">
        <v>40254</v>
      </c>
      <c r="E6218" s="2">
        <v>160000</v>
      </c>
      <c r="F6218" t="s">
        <v>4553</v>
      </c>
      <c r="G6218" s="17" t="str">
        <f>HYPERLINK("https://www.washoecounty.gov/assessor/cama/?command=sales&amp;parid=23255306","3860619")</f>
        <v>3860619</v>
      </c>
      <c r="H6218" t="s">
        <v>4175</v>
      </c>
      <c r="I6218">
        <v>2005</v>
      </c>
      <c r="J6218">
        <v>2005</v>
      </c>
      <c r="K6218" t="s">
        <v>4554</v>
      </c>
      <c r="L6218" t="s">
        <v>3974</v>
      </c>
      <c r="M6218" s="2">
        <v>1522</v>
      </c>
      <c r="N6218" t="s">
        <v>5280</v>
      </c>
      <c r="O6218">
        <v>3</v>
      </c>
      <c r="P6218">
        <v>3</v>
      </c>
      <c r="Q6218">
        <v>1</v>
      </c>
      <c r="R6218" t="s">
        <v>5281</v>
      </c>
      <c r="S6218" t="s">
        <v>4898</v>
      </c>
      <c r="T6218" t="s">
        <v>2704</v>
      </c>
      <c r="U6218" t="s">
        <v>5631</v>
      </c>
      <c r="V6218" s="2">
        <v>514</v>
      </c>
      <c r="W6218" t="s">
        <v>4655</v>
      </c>
      <c r="X6218" s="2">
        <v>0</v>
      </c>
      <c r="Y6218">
        <v>20</v>
      </c>
      <c r="Z6218" t="s">
        <v>1491</v>
      </c>
      <c r="AA6218" s="3">
        <v>6.6092744469642598E-2</v>
      </c>
      <c r="AB6218" t="s">
        <v>30306</v>
      </c>
      <c r="AC6218" t="s">
        <v>4562</v>
      </c>
      <c r="AD6218" t="s">
        <v>30307</v>
      </c>
      <c r="AE6218" t="s">
        <v>4655</v>
      </c>
      <c r="AF6218" t="s">
        <v>2359</v>
      </c>
      <c r="AG6218" t="s">
        <v>4584</v>
      </c>
      <c r="AH6218">
        <v>94061</v>
      </c>
      <c r="AI6218" t="s">
        <v>4903</v>
      </c>
      <c r="AJ6218" t="s">
        <v>529</v>
      </c>
      <c r="AK6218" t="s">
        <v>30308</v>
      </c>
      <c r="AL6218" s="13" t="s">
        <v>1896</v>
      </c>
      <c r="AM6218">
        <v>1</v>
      </c>
      <c r="AN6218" s="15" t="s">
        <v>1772</v>
      </c>
    </row>
    <row r="6219" spans="1:40" x14ac:dyDescent="0.3">
      <c r="A6219" s="10" t="str">
        <f>HYPERLINK("http://www.washoecounty.gov/assessor/cama/?parid=232-554-03&amp;CardNumber=1","232-554-03")</f>
        <v>232-554-03</v>
      </c>
      <c r="B6219" t="s">
        <v>4655</v>
      </c>
      <c r="C6219" t="s">
        <v>30309</v>
      </c>
      <c r="D6219" s="1">
        <v>40241</v>
      </c>
      <c r="E6219" s="2">
        <v>152900</v>
      </c>
      <c r="F6219" t="s">
        <v>4553</v>
      </c>
      <c r="G6219" s="17" t="str">
        <f>HYPERLINK("https://www.washoecounty.gov/assessor/cama/?command=sales&amp;parid=23255403","3855644")</f>
        <v>3855644</v>
      </c>
      <c r="H6219" t="s">
        <v>4175</v>
      </c>
      <c r="I6219">
        <v>2005</v>
      </c>
      <c r="J6219">
        <v>2005</v>
      </c>
      <c r="K6219" t="s">
        <v>4554</v>
      </c>
      <c r="L6219" t="s">
        <v>3974</v>
      </c>
      <c r="M6219" s="2">
        <v>2034</v>
      </c>
      <c r="N6219" t="s">
        <v>5280</v>
      </c>
      <c r="O6219">
        <v>3</v>
      </c>
      <c r="P6219">
        <v>3</v>
      </c>
      <c r="Q6219">
        <v>1</v>
      </c>
      <c r="R6219" t="s">
        <v>5281</v>
      </c>
      <c r="S6219" t="s">
        <v>4898</v>
      </c>
      <c r="T6219" t="s">
        <v>2704</v>
      </c>
      <c r="U6219" t="s">
        <v>5631</v>
      </c>
      <c r="V6219" s="2">
        <v>471</v>
      </c>
      <c r="W6219" t="s">
        <v>4655</v>
      </c>
      <c r="X6219" s="2">
        <v>0</v>
      </c>
      <c r="Y6219">
        <v>20</v>
      </c>
      <c r="Z6219" t="s">
        <v>1491</v>
      </c>
      <c r="AA6219" s="3">
        <v>6.55647367238998E-2</v>
      </c>
      <c r="AB6219" t="s">
        <v>30310</v>
      </c>
      <c r="AC6219" t="s">
        <v>4575</v>
      </c>
      <c r="AD6219" t="s">
        <v>30311</v>
      </c>
      <c r="AE6219" t="s">
        <v>30312</v>
      </c>
      <c r="AF6219" t="s">
        <v>4563</v>
      </c>
      <c r="AG6219" t="s">
        <v>4564</v>
      </c>
      <c r="AH6219" t="s">
        <v>1147</v>
      </c>
      <c r="AI6219" t="s">
        <v>30313</v>
      </c>
      <c r="AJ6219" t="s">
        <v>529</v>
      </c>
      <c r="AK6219" t="s">
        <v>30314</v>
      </c>
      <c r="AL6219" s="13" t="s">
        <v>1896</v>
      </c>
      <c r="AM6219">
        <v>1</v>
      </c>
      <c r="AN6219" s="15" t="s">
        <v>1772</v>
      </c>
    </row>
    <row r="6220" spans="1:40" x14ac:dyDescent="0.3">
      <c r="A6220" s="10" t="str">
        <f>HYPERLINK("http://www.washoecounty.gov/assessor/cama/?parid=232-554-09&amp;CardNumber=1","232-554-09")</f>
        <v>232-554-09</v>
      </c>
      <c r="B6220" t="s">
        <v>4655</v>
      </c>
      <c r="C6220" t="s">
        <v>30315</v>
      </c>
      <c r="D6220" s="1">
        <v>40515</v>
      </c>
      <c r="E6220" s="2">
        <v>165000</v>
      </c>
      <c r="F6220" t="s">
        <v>4567</v>
      </c>
      <c r="G6220" s="17" t="str">
        <f>HYPERLINK("https://www.washoecounty.gov/assessor/cama/?command=sales&amp;parid=23255409","3949280")</f>
        <v>3949280</v>
      </c>
      <c r="H6220" t="s">
        <v>4175</v>
      </c>
      <c r="I6220">
        <v>2005</v>
      </c>
      <c r="J6220">
        <v>2005</v>
      </c>
      <c r="K6220" t="s">
        <v>4554</v>
      </c>
      <c r="L6220" t="s">
        <v>3974</v>
      </c>
      <c r="M6220" s="2">
        <v>2034</v>
      </c>
      <c r="N6220" t="s">
        <v>5280</v>
      </c>
      <c r="O6220">
        <v>3</v>
      </c>
      <c r="P6220">
        <v>3</v>
      </c>
      <c r="Q6220">
        <v>1</v>
      </c>
      <c r="R6220" t="s">
        <v>5281</v>
      </c>
      <c r="S6220" t="s">
        <v>4898</v>
      </c>
      <c r="T6220" t="s">
        <v>2704</v>
      </c>
      <c r="U6220" t="s">
        <v>5631</v>
      </c>
      <c r="V6220" s="2">
        <v>471</v>
      </c>
      <c r="W6220" t="s">
        <v>4655</v>
      </c>
      <c r="X6220" s="2">
        <v>0</v>
      </c>
      <c r="Y6220">
        <v>20</v>
      </c>
      <c r="Z6220" t="s">
        <v>1491</v>
      </c>
      <c r="AA6220" s="3">
        <v>6.55647367238998E-2</v>
      </c>
      <c r="AB6220" t="s">
        <v>30316</v>
      </c>
      <c r="AC6220" t="s">
        <v>4562</v>
      </c>
      <c r="AD6220" t="s">
        <v>30317</v>
      </c>
      <c r="AE6220" t="s">
        <v>4655</v>
      </c>
      <c r="AF6220" t="s">
        <v>4993</v>
      </c>
      <c r="AG6220" t="s">
        <v>4584</v>
      </c>
      <c r="AH6220" t="s">
        <v>5512</v>
      </c>
      <c r="AI6220" t="s">
        <v>4655</v>
      </c>
      <c r="AJ6220" t="s">
        <v>529</v>
      </c>
      <c r="AK6220" t="s">
        <v>30318</v>
      </c>
      <c r="AL6220" s="13" t="s">
        <v>1896</v>
      </c>
      <c r="AM6220" s="14">
        <v>1</v>
      </c>
      <c r="AN6220" s="15" t="s">
        <v>1772</v>
      </c>
    </row>
    <row r="6221" spans="1:40" x14ac:dyDescent="0.3">
      <c r="A6221" s="10" t="str">
        <f>HYPERLINK("http://www.washoecounty.gov/assessor/cama/?parid=232-554-13&amp;CardNumber=1","232-554-13")</f>
        <v>232-554-13</v>
      </c>
      <c r="B6221" t="s">
        <v>4655</v>
      </c>
      <c r="C6221" t="s">
        <v>30319</v>
      </c>
      <c r="D6221" s="1">
        <v>40430</v>
      </c>
      <c r="E6221" s="2">
        <v>185000</v>
      </c>
      <c r="F6221" t="s">
        <v>4567</v>
      </c>
      <c r="G6221" s="17" t="str">
        <f>HYPERLINK("https://www.washoecounty.gov/assessor/cama/?command=sales&amp;parid=23255413","3920626")</f>
        <v>3920626</v>
      </c>
      <c r="H6221" t="s">
        <v>4175</v>
      </c>
      <c r="I6221">
        <v>2005</v>
      </c>
      <c r="J6221">
        <v>2005</v>
      </c>
      <c r="K6221" t="s">
        <v>4554</v>
      </c>
      <c r="L6221" t="s">
        <v>3974</v>
      </c>
      <c r="M6221" s="2">
        <v>2403</v>
      </c>
      <c r="N6221" t="s">
        <v>5280</v>
      </c>
      <c r="O6221">
        <v>3</v>
      </c>
      <c r="P6221">
        <v>3</v>
      </c>
      <c r="Q6221">
        <v>1</v>
      </c>
      <c r="R6221" t="s">
        <v>5281</v>
      </c>
      <c r="S6221" t="s">
        <v>4898</v>
      </c>
      <c r="T6221" t="s">
        <v>2704</v>
      </c>
      <c r="U6221" t="s">
        <v>5631</v>
      </c>
      <c r="V6221" s="2">
        <v>426</v>
      </c>
      <c r="W6221" t="s">
        <v>4655</v>
      </c>
      <c r="X6221" s="2">
        <v>0</v>
      </c>
      <c r="Y6221">
        <v>20</v>
      </c>
      <c r="Z6221" t="s">
        <v>1491</v>
      </c>
      <c r="AA6221" s="3">
        <v>0.10782828181982</v>
      </c>
      <c r="AB6221" t="s">
        <v>30320</v>
      </c>
      <c r="AC6221" t="s">
        <v>4562</v>
      </c>
      <c r="AD6221" t="s">
        <v>30321</v>
      </c>
      <c r="AE6221" t="s">
        <v>4655</v>
      </c>
      <c r="AF6221" t="s">
        <v>4563</v>
      </c>
      <c r="AG6221" t="s">
        <v>4564</v>
      </c>
      <c r="AH6221" t="s">
        <v>1147</v>
      </c>
      <c r="AI6221" t="s">
        <v>5621</v>
      </c>
      <c r="AJ6221" t="s">
        <v>529</v>
      </c>
      <c r="AK6221" t="s">
        <v>30322</v>
      </c>
      <c r="AL6221" s="13" t="s">
        <v>1896</v>
      </c>
      <c r="AM6221">
        <v>1</v>
      </c>
      <c r="AN6221" s="15" t="s">
        <v>1772</v>
      </c>
    </row>
    <row r="6222" spans="1:40" x14ac:dyDescent="0.3">
      <c r="A6222" s="10" t="str">
        <f>HYPERLINK("http://www.washoecounty.gov/assessor/cama/?parid=232-555-05&amp;CardNumber=1","232-555-05")</f>
        <v>232-555-05</v>
      </c>
      <c r="B6222" t="s">
        <v>4655</v>
      </c>
      <c r="C6222" t="s">
        <v>30323</v>
      </c>
      <c r="D6222" s="1">
        <v>40373</v>
      </c>
      <c r="E6222" s="2">
        <v>205000</v>
      </c>
      <c r="F6222" t="s">
        <v>4567</v>
      </c>
      <c r="G6222" s="17" t="str">
        <f>HYPERLINK("https://www.washoecounty.gov/assessor/cama/?command=sales&amp;parid=23255505","3901425")</f>
        <v>3901425</v>
      </c>
      <c r="H6222" t="s">
        <v>4175</v>
      </c>
      <c r="I6222">
        <v>2005</v>
      </c>
      <c r="J6222">
        <v>2005</v>
      </c>
      <c r="K6222" t="s">
        <v>4554</v>
      </c>
      <c r="L6222" t="s">
        <v>3974</v>
      </c>
      <c r="M6222" s="2">
        <v>2635</v>
      </c>
      <c r="N6222" t="s">
        <v>5280</v>
      </c>
      <c r="O6222">
        <v>4</v>
      </c>
      <c r="P6222">
        <v>3</v>
      </c>
      <c r="Q6222">
        <v>1</v>
      </c>
      <c r="R6222" t="s">
        <v>5281</v>
      </c>
      <c r="S6222" t="s">
        <v>4898</v>
      </c>
      <c r="T6222" t="s">
        <v>2704</v>
      </c>
      <c r="U6222" t="s">
        <v>5631</v>
      </c>
      <c r="V6222" s="2">
        <v>450</v>
      </c>
      <c r="W6222" t="s">
        <v>4655</v>
      </c>
      <c r="X6222" s="2">
        <v>0</v>
      </c>
      <c r="Y6222">
        <v>20</v>
      </c>
      <c r="Z6222" t="s">
        <v>1491</v>
      </c>
      <c r="AA6222" s="3">
        <v>7.4242427945136996E-2</v>
      </c>
      <c r="AB6222" t="s">
        <v>2863</v>
      </c>
      <c r="AC6222" t="s">
        <v>4575</v>
      </c>
      <c r="AD6222" t="s">
        <v>5364</v>
      </c>
      <c r="AE6222" t="s">
        <v>4655</v>
      </c>
      <c r="AF6222" t="s">
        <v>4563</v>
      </c>
      <c r="AG6222" t="s">
        <v>4564</v>
      </c>
      <c r="AH6222" t="s">
        <v>1147</v>
      </c>
      <c r="AI6222" t="s">
        <v>2863</v>
      </c>
      <c r="AJ6222" t="s">
        <v>529</v>
      </c>
      <c r="AK6222" t="s">
        <v>30324</v>
      </c>
      <c r="AL6222" s="13" t="s">
        <v>1896</v>
      </c>
      <c r="AM6222" s="14">
        <v>1</v>
      </c>
      <c r="AN6222" s="15" t="s">
        <v>1772</v>
      </c>
    </row>
    <row r="6223" spans="1:40" x14ac:dyDescent="0.3">
      <c r="A6223" s="10" t="str">
        <f>HYPERLINK("http://www.washoecounty.gov/assessor/cama/?parid=232-556-05&amp;CardNumber=1","232-556-05")</f>
        <v>232-556-05</v>
      </c>
      <c r="B6223" t="s">
        <v>4655</v>
      </c>
      <c r="C6223" t="s">
        <v>30325</v>
      </c>
      <c r="D6223" s="1">
        <v>40374</v>
      </c>
      <c r="E6223" s="2">
        <v>209000</v>
      </c>
      <c r="F6223" t="s">
        <v>4553</v>
      </c>
      <c r="G6223" s="17" t="str">
        <f>HYPERLINK("https://www.washoecounty.gov/assessor/cama/?command=sales&amp;parid=23255605","3901698")</f>
        <v>3901698</v>
      </c>
      <c r="H6223" t="s">
        <v>4175</v>
      </c>
      <c r="I6223">
        <v>2005</v>
      </c>
      <c r="J6223">
        <v>2005</v>
      </c>
      <c r="K6223" t="s">
        <v>4554</v>
      </c>
      <c r="L6223" t="s">
        <v>3974</v>
      </c>
      <c r="M6223" s="2">
        <v>2635</v>
      </c>
      <c r="N6223" t="s">
        <v>5280</v>
      </c>
      <c r="O6223">
        <v>4</v>
      </c>
      <c r="P6223">
        <v>3</v>
      </c>
      <c r="Q6223">
        <v>1</v>
      </c>
      <c r="R6223" t="s">
        <v>5281</v>
      </c>
      <c r="S6223" t="s">
        <v>4898</v>
      </c>
      <c r="T6223" t="s">
        <v>2704</v>
      </c>
      <c r="U6223" t="s">
        <v>5631</v>
      </c>
      <c r="V6223" s="2">
        <v>450</v>
      </c>
      <c r="W6223" t="s">
        <v>4655</v>
      </c>
      <c r="X6223" s="2">
        <v>0</v>
      </c>
      <c r="Y6223">
        <v>20</v>
      </c>
      <c r="Z6223" t="s">
        <v>1491</v>
      </c>
      <c r="AA6223" s="3">
        <v>7.4242427945136996E-2</v>
      </c>
      <c r="AB6223" t="s">
        <v>30326</v>
      </c>
      <c r="AC6223" t="s">
        <v>4575</v>
      </c>
      <c r="AD6223" t="s">
        <v>30325</v>
      </c>
      <c r="AE6223" t="s">
        <v>4655</v>
      </c>
      <c r="AF6223" t="s">
        <v>4563</v>
      </c>
      <c r="AG6223" t="s">
        <v>4564</v>
      </c>
      <c r="AH6223" t="s">
        <v>1147</v>
      </c>
      <c r="AI6223" t="s">
        <v>4565</v>
      </c>
      <c r="AJ6223" t="s">
        <v>529</v>
      </c>
      <c r="AK6223" t="s">
        <v>30327</v>
      </c>
      <c r="AL6223" s="13" t="s">
        <v>1896</v>
      </c>
      <c r="AM6223">
        <v>1</v>
      </c>
      <c r="AN6223" s="15" t="s">
        <v>1772</v>
      </c>
    </row>
    <row r="6224" spans="1:40" x14ac:dyDescent="0.3">
      <c r="A6224" s="10" t="str">
        <f>HYPERLINK("http://www.washoecounty.gov/assessor/cama/?parid=232-572-03&amp;CardNumber=1","232-572-03")</f>
        <v>232-572-03</v>
      </c>
      <c r="B6224" t="s">
        <v>4655</v>
      </c>
      <c r="C6224" t="s">
        <v>30328</v>
      </c>
      <c r="D6224" s="1">
        <v>40437</v>
      </c>
      <c r="E6224" s="2">
        <v>495008</v>
      </c>
      <c r="F6224" t="s">
        <v>4553</v>
      </c>
      <c r="G6224" s="17" t="str">
        <f>HYPERLINK("https://www.washoecounty.gov/assessor/cama/?command=sales&amp;parid=23257203","3923029")</f>
        <v>3923029</v>
      </c>
      <c r="H6224" t="s">
        <v>4177</v>
      </c>
      <c r="I6224">
        <v>2005</v>
      </c>
      <c r="J6224">
        <v>2005</v>
      </c>
      <c r="K6224" t="s">
        <v>4554</v>
      </c>
      <c r="L6224" t="s">
        <v>3974</v>
      </c>
      <c r="M6224" s="2">
        <v>5782</v>
      </c>
      <c r="N6224" t="s">
        <v>5106</v>
      </c>
      <c r="O6224">
        <v>5</v>
      </c>
      <c r="P6224">
        <v>4</v>
      </c>
      <c r="Q6224">
        <v>2</v>
      </c>
      <c r="R6224" t="s">
        <v>5281</v>
      </c>
      <c r="S6224" t="s">
        <v>4898</v>
      </c>
      <c r="T6224" t="s">
        <v>2704</v>
      </c>
      <c r="U6224" t="s">
        <v>4560</v>
      </c>
      <c r="V6224" s="2">
        <v>872</v>
      </c>
      <c r="W6224" t="s">
        <v>4655</v>
      </c>
      <c r="X6224" s="2">
        <v>0</v>
      </c>
      <c r="Y6224">
        <v>20</v>
      </c>
      <c r="Z6224" t="s">
        <v>1491</v>
      </c>
      <c r="AA6224" s="3">
        <v>0.30932047963142401</v>
      </c>
      <c r="AB6224" t="s">
        <v>30329</v>
      </c>
      <c r="AC6224" t="s">
        <v>4562</v>
      </c>
      <c r="AD6224" t="s">
        <v>30330</v>
      </c>
      <c r="AE6224" t="s">
        <v>4655</v>
      </c>
      <c r="AF6224" t="s">
        <v>4563</v>
      </c>
      <c r="AG6224" t="s">
        <v>4564</v>
      </c>
      <c r="AH6224" t="s">
        <v>1147</v>
      </c>
      <c r="AI6224" t="s">
        <v>2009</v>
      </c>
      <c r="AJ6224" t="s">
        <v>4508</v>
      </c>
      <c r="AK6224" t="s">
        <v>30331</v>
      </c>
      <c r="AL6224" s="13" t="s">
        <v>1897</v>
      </c>
      <c r="AM6224">
        <v>1</v>
      </c>
      <c r="AN6224" s="15" t="s">
        <v>4509</v>
      </c>
    </row>
    <row r="6225" spans="1:40" x14ac:dyDescent="0.3">
      <c r="A6225" s="10" t="str">
        <f>HYPERLINK("http://www.washoecounty.gov/assessor/cama/?parid=232-573-04&amp;CardNumber=1","232-573-04")</f>
        <v>232-573-04</v>
      </c>
      <c r="B6225" t="s">
        <v>4655</v>
      </c>
      <c r="C6225" t="s">
        <v>30332</v>
      </c>
      <c r="D6225" s="1">
        <v>40221</v>
      </c>
      <c r="E6225" s="2">
        <v>500000</v>
      </c>
      <c r="F6225" t="s">
        <v>4567</v>
      </c>
      <c r="G6225" s="17" t="str">
        <f>HYPERLINK("https://www.washoecounty.gov/assessor/cama/?command=sales&amp;parid=23257304","3849121")</f>
        <v>3849121</v>
      </c>
      <c r="H6225" t="s">
        <v>4177</v>
      </c>
      <c r="I6225">
        <v>2005</v>
      </c>
      <c r="J6225">
        <v>2005</v>
      </c>
      <c r="K6225" t="s">
        <v>4554</v>
      </c>
      <c r="L6225" t="s">
        <v>4555</v>
      </c>
      <c r="M6225" s="2">
        <v>4675</v>
      </c>
      <c r="N6225" t="s">
        <v>5106</v>
      </c>
      <c r="O6225">
        <v>3</v>
      </c>
      <c r="P6225">
        <v>3</v>
      </c>
      <c r="Q6225">
        <v>2</v>
      </c>
      <c r="R6225" t="s">
        <v>5281</v>
      </c>
      <c r="S6225" t="s">
        <v>4898</v>
      </c>
      <c r="T6225" t="s">
        <v>2704</v>
      </c>
      <c r="U6225" t="s">
        <v>4560</v>
      </c>
      <c r="V6225" s="2">
        <v>846</v>
      </c>
      <c r="W6225" t="s">
        <v>4655</v>
      </c>
      <c r="X6225" s="2">
        <v>0</v>
      </c>
      <c r="Y6225">
        <v>20</v>
      </c>
      <c r="Z6225" t="s">
        <v>1491</v>
      </c>
      <c r="AA6225" s="3">
        <v>0.360422402620316</v>
      </c>
      <c r="AB6225" t="s">
        <v>30333</v>
      </c>
      <c r="AC6225" t="s">
        <v>4575</v>
      </c>
      <c r="AD6225" t="s">
        <v>30334</v>
      </c>
      <c r="AE6225" t="s">
        <v>30332</v>
      </c>
      <c r="AF6225" t="s">
        <v>4563</v>
      </c>
      <c r="AG6225" t="s">
        <v>4564</v>
      </c>
      <c r="AH6225" t="s">
        <v>1147</v>
      </c>
      <c r="AI6225" t="s">
        <v>30335</v>
      </c>
      <c r="AJ6225" t="s">
        <v>4508</v>
      </c>
      <c r="AK6225" t="s">
        <v>30336</v>
      </c>
      <c r="AL6225" s="13" t="s">
        <v>1897</v>
      </c>
      <c r="AM6225">
        <v>1</v>
      </c>
      <c r="AN6225" s="15" t="s">
        <v>4509</v>
      </c>
    </row>
    <row r="6226" spans="1:40" x14ac:dyDescent="0.3">
      <c r="A6226" s="10" t="str">
        <f>HYPERLINK("http://www.washoecounty.gov/assessor/cama/?parid=232-574-08&amp;CardNumber=1","232-574-08")</f>
        <v>232-574-08</v>
      </c>
      <c r="B6226" t="s">
        <v>4655</v>
      </c>
      <c r="C6226" t="s">
        <v>2202</v>
      </c>
      <c r="D6226" s="1">
        <v>40414</v>
      </c>
      <c r="E6226" s="2">
        <v>640000</v>
      </c>
      <c r="F6226" t="s">
        <v>4567</v>
      </c>
      <c r="G6226" s="17" t="str">
        <f>HYPERLINK("https://www.washoecounty.gov/assessor/cama/?command=sales&amp;parid=23257408","3914823")</f>
        <v>3914823</v>
      </c>
      <c r="H6226" t="s">
        <v>4177</v>
      </c>
      <c r="I6226">
        <v>2005</v>
      </c>
      <c r="J6226">
        <v>2005</v>
      </c>
      <c r="K6226" t="s">
        <v>4554</v>
      </c>
      <c r="L6226" t="s">
        <v>3974</v>
      </c>
      <c r="M6226" s="2">
        <v>5782</v>
      </c>
      <c r="N6226" t="s">
        <v>5106</v>
      </c>
      <c r="O6226">
        <v>4</v>
      </c>
      <c r="P6226">
        <v>4</v>
      </c>
      <c r="Q6226">
        <v>2</v>
      </c>
      <c r="R6226" t="s">
        <v>5281</v>
      </c>
      <c r="S6226" t="s">
        <v>4898</v>
      </c>
      <c r="T6226" t="s">
        <v>2704</v>
      </c>
      <c r="U6226" t="s">
        <v>4560</v>
      </c>
      <c r="V6226" s="2">
        <v>872</v>
      </c>
      <c r="W6226" t="s">
        <v>4655</v>
      </c>
      <c r="X6226" s="2">
        <v>0</v>
      </c>
      <c r="Y6226">
        <v>20</v>
      </c>
      <c r="Z6226" t="s">
        <v>1491</v>
      </c>
      <c r="AA6226" s="3">
        <v>0.33457300066947898</v>
      </c>
      <c r="AB6226" t="s">
        <v>30337</v>
      </c>
      <c r="AC6226" t="s">
        <v>4562</v>
      </c>
      <c r="AD6226" t="s">
        <v>2202</v>
      </c>
      <c r="AE6226" t="s">
        <v>4655</v>
      </c>
      <c r="AF6226" t="s">
        <v>4563</v>
      </c>
      <c r="AG6226" t="s">
        <v>4564</v>
      </c>
      <c r="AH6226" t="s">
        <v>1147</v>
      </c>
      <c r="AI6226" t="s">
        <v>30338</v>
      </c>
      <c r="AJ6226" t="s">
        <v>4508</v>
      </c>
      <c r="AK6226" t="s">
        <v>30339</v>
      </c>
      <c r="AL6226" s="13" t="s">
        <v>1897</v>
      </c>
      <c r="AM6226" s="14">
        <v>1</v>
      </c>
      <c r="AN6226" s="15" t="s">
        <v>4509</v>
      </c>
    </row>
    <row r="6227" spans="1:40" x14ac:dyDescent="0.3">
      <c r="A6227" s="10" t="str">
        <f>HYPERLINK("http://www.washoecounty.gov/assessor/cama/?parid=232-582-03&amp;CardNumber=1","232-582-03")</f>
        <v>232-582-03</v>
      </c>
      <c r="B6227" t="s">
        <v>4655</v>
      </c>
      <c r="C6227" t="s">
        <v>30340</v>
      </c>
      <c r="D6227" s="1">
        <v>40491</v>
      </c>
      <c r="E6227" s="2">
        <v>550000</v>
      </c>
      <c r="F6227" t="s">
        <v>4567</v>
      </c>
      <c r="G6227" s="17" t="str">
        <f>HYPERLINK("https://www.washoecounty.gov/assessor/cama/?command=sales&amp;parid=23258203","3941411")</f>
        <v>3941411</v>
      </c>
      <c r="H6227" t="s">
        <v>4177</v>
      </c>
      <c r="I6227">
        <v>2006</v>
      </c>
      <c r="J6227">
        <v>2006</v>
      </c>
      <c r="K6227" t="s">
        <v>4554</v>
      </c>
      <c r="L6227" t="s">
        <v>3974</v>
      </c>
      <c r="M6227" s="2">
        <v>5782</v>
      </c>
      <c r="N6227" t="s">
        <v>5106</v>
      </c>
      <c r="O6227">
        <v>5</v>
      </c>
      <c r="P6227">
        <v>4</v>
      </c>
      <c r="Q6227">
        <v>2</v>
      </c>
      <c r="R6227" t="s">
        <v>5281</v>
      </c>
      <c r="S6227" t="s">
        <v>4898</v>
      </c>
      <c r="T6227" t="s">
        <v>2704</v>
      </c>
      <c r="U6227" t="s">
        <v>4560</v>
      </c>
      <c r="V6227" s="2">
        <v>872</v>
      </c>
      <c r="W6227" t="s">
        <v>4655</v>
      </c>
      <c r="X6227" s="2">
        <v>0</v>
      </c>
      <c r="Y6227">
        <v>20</v>
      </c>
      <c r="Z6227" t="s">
        <v>1491</v>
      </c>
      <c r="AA6227" s="3">
        <v>0.33204776048660301</v>
      </c>
      <c r="AB6227" t="s">
        <v>30341</v>
      </c>
      <c r="AC6227" t="s">
        <v>4562</v>
      </c>
      <c r="AD6227" t="s">
        <v>30342</v>
      </c>
      <c r="AE6227" t="s">
        <v>4655</v>
      </c>
      <c r="AF6227" t="s">
        <v>30343</v>
      </c>
      <c r="AG6227" t="s">
        <v>4584</v>
      </c>
      <c r="AH6227">
        <v>92067</v>
      </c>
      <c r="AI6227" t="s">
        <v>4414</v>
      </c>
      <c r="AJ6227" t="s">
        <v>4508</v>
      </c>
      <c r="AK6227" t="s">
        <v>30344</v>
      </c>
      <c r="AL6227" s="13" t="s">
        <v>1897</v>
      </c>
      <c r="AM6227" s="14">
        <v>1</v>
      </c>
      <c r="AN6227" s="15" t="s">
        <v>4509</v>
      </c>
    </row>
    <row r="6228" spans="1:40" x14ac:dyDescent="0.3">
      <c r="A6228" s="10" t="str">
        <f>HYPERLINK("http://www.washoecounty.gov/assessor/cama/?parid=232-582-07&amp;CardNumber=1","232-582-07")</f>
        <v>232-582-07</v>
      </c>
      <c r="B6228" t="s">
        <v>4655</v>
      </c>
      <c r="C6228" t="s">
        <v>30345</v>
      </c>
      <c r="D6228" s="1">
        <v>40400</v>
      </c>
      <c r="E6228" s="2">
        <v>495000</v>
      </c>
      <c r="F6228" t="s">
        <v>4567</v>
      </c>
      <c r="G6228" s="17" t="str">
        <f>HYPERLINK("https://www.washoecounty.gov/assessor/cama/?command=sales&amp;parid=23258207","3910392")</f>
        <v>3910392</v>
      </c>
      <c r="H6228" t="s">
        <v>4177</v>
      </c>
      <c r="I6228">
        <v>2006</v>
      </c>
      <c r="J6228">
        <v>2006</v>
      </c>
      <c r="K6228" t="s">
        <v>4554</v>
      </c>
      <c r="L6228" t="s">
        <v>3974</v>
      </c>
      <c r="M6228" s="2">
        <v>4678</v>
      </c>
      <c r="N6228" t="s">
        <v>5106</v>
      </c>
      <c r="O6228">
        <v>5</v>
      </c>
      <c r="P6228">
        <v>5</v>
      </c>
      <c r="Q6228">
        <v>1</v>
      </c>
      <c r="R6228" t="s">
        <v>5281</v>
      </c>
      <c r="S6228" t="s">
        <v>4898</v>
      </c>
      <c r="T6228" t="s">
        <v>2704</v>
      </c>
      <c r="U6228" t="s">
        <v>4560</v>
      </c>
      <c r="V6228" s="2">
        <v>672</v>
      </c>
      <c r="W6228" t="s">
        <v>4655</v>
      </c>
      <c r="X6228" s="2">
        <v>0</v>
      </c>
      <c r="Y6228">
        <v>20</v>
      </c>
      <c r="Z6228" t="s">
        <v>1491</v>
      </c>
      <c r="AA6228" s="3">
        <v>0.30989441275596602</v>
      </c>
      <c r="AB6228" t="s">
        <v>30346</v>
      </c>
      <c r="AC6228" t="s">
        <v>4562</v>
      </c>
      <c r="AD6228" t="s">
        <v>30347</v>
      </c>
      <c r="AE6228" t="s">
        <v>4655</v>
      </c>
      <c r="AF6228" t="s">
        <v>23504</v>
      </c>
      <c r="AG6228" t="s">
        <v>762</v>
      </c>
      <c r="AH6228">
        <v>75206</v>
      </c>
      <c r="AI6228" t="s">
        <v>30348</v>
      </c>
      <c r="AJ6228" t="s">
        <v>4508</v>
      </c>
      <c r="AK6228" t="s">
        <v>30349</v>
      </c>
      <c r="AL6228" s="13" t="s">
        <v>1897</v>
      </c>
      <c r="AM6228">
        <v>1</v>
      </c>
      <c r="AN6228" s="15" t="s">
        <v>4509</v>
      </c>
    </row>
    <row r="6229" spans="1:40" x14ac:dyDescent="0.3">
      <c r="A6229" s="10" t="str">
        <f>HYPERLINK("http://www.washoecounty.gov/assessor/cama/?parid=232-583-03&amp;CardNumber=1","232-583-03")</f>
        <v>232-583-03</v>
      </c>
      <c r="B6229" t="s">
        <v>4655</v>
      </c>
      <c r="C6229" t="s">
        <v>30350</v>
      </c>
      <c r="D6229" s="1">
        <v>40479</v>
      </c>
      <c r="E6229" s="2">
        <v>527500</v>
      </c>
      <c r="F6229" t="s">
        <v>4567</v>
      </c>
      <c r="G6229" s="17" t="str">
        <f>HYPERLINK("https://www.washoecounty.gov/assessor/cama/?command=sales&amp;parid=23258303","3937421")</f>
        <v>3937421</v>
      </c>
      <c r="H6229" t="s">
        <v>4177</v>
      </c>
      <c r="I6229">
        <v>2006</v>
      </c>
      <c r="J6229">
        <v>2006</v>
      </c>
      <c r="K6229" t="s">
        <v>4554</v>
      </c>
      <c r="L6229" t="s">
        <v>3974</v>
      </c>
      <c r="M6229" s="2">
        <v>5782</v>
      </c>
      <c r="N6229" t="s">
        <v>5106</v>
      </c>
      <c r="O6229">
        <v>5</v>
      </c>
      <c r="P6229">
        <v>4</v>
      </c>
      <c r="Q6229">
        <v>2</v>
      </c>
      <c r="R6229" t="s">
        <v>5281</v>
      </c>
      <c r="S6229" t="s">
        <v>4898</v>
      </c>
      <c r="T6229" t="s">
        <v>2704</v>
      </c>
      <c r="U6229" t="s">
        <v>4560</v>
      </c>
      <c r="V6229" s="2">
        <v>872</v>
      </c>
      <c r="W6229" t="s">
        <v>4655</v>
      </c>
      <c r="X6229" s="2">
        <v>0</v>
      </c>
      <c r="Y6229">
        <v>20</v>
      </c>
      <c r="Z6229" t="s">
        <v>1491</v>
      </c>
      <c r="AA6229" s="3">
        <v>0.35025253891944902</v>
      </c>
      <c r="AB6229" t="s">
        <v>30351</v>
      </c>
      <c r="AC6229" t="s">
        <v>4562</v>
      </c>
      <c r="AD6229" t="s">
        <v>30352</v>
      </c>
      <c r="AE6229" t="s">
        <v>4655</v>
      </c>
      <c r="AF6229" t="s">
        <v>3127</v>
      </c>
      <c r="AG6229" t="s">
        <v>4584</v>
      </c>
      <c r="AH6229" t="s">
        <v>1037</v>
      </c>
      <c r="AI6229" t="s">
        <v>4414</v>
      </c>
      <c r="AJ6229" t="s">
        <v>4508</v>
      </c>
      <c r="AK6229" t="s">
        <v>30353</v>
      </c>
      <c r="AL6229" s="13" t="s">
        <v>1897</v>
      </c>
      <c r="AM6229">
        <v>1</v>
      </c>
      <c r="AN6229" s="15" t="s">
        <v>4509</v>
      </c>
    </row>
    <row r="6230" spans="1:40" x14ac:dyDescent="0.3">
      <c r="A6230" s="10" t="str">
        <f>HYPERLINK("http://www.washoecounty.gov/assessor/cama/?parid=232-583-10&amp;CardNumber=1","232-583-10")</f>
        <v>232-583-10</v>
      </c>
      <c r="B6230" t="s">
        <v>4655</v>
      </c>
      <c r="C6230" t="s">
        <v>3860</v>
      </c>
      <c r="D6230" s="1">
        <v>40413</v>
      </c>
      <c r="E6230" s="2">
        <v>565000</v>
      </c>
      <c r="F6230" t="s">
        <v>4567</v>
      </c>
      <c r="G6230" s="17" t="str">
        <f>HYPERLINK("https://www.washoecounty.gov/assessor/cama/?command=sales&amp;parid=23258310","3914437")</f>
        <v>3914437</v>
      </c>
      <c r="H6230" t="s">
        <v>4177</v>
      </c>
      <c r="I6230">
        <v>2006</v>
      </c>
      <c r="J6230">
        <v>2006</v>
      </c>
      <c r="K6230" t="s">
        <v>4554</v>
      </c>
      <c r="L6230" t="s">
        <v>3974</v>
      </c>
      <c r="M6230" s="2">
        <v>4898</v>
      </c>
      <c r="N6230" t="s">
        <v>5106</v>
      </c>
      <c r="O6230">
        <v>5</v>
      </c>
      <c r="P6230">
        <v>6</v>
      </c>
      <c r="Q6230">
        <v>0</v>
      </c>
      <c r="R6230" t="s">
        <v>5281</v>
      </c>
      <c r="S6230" t="s">
        <v>4898</v>
      </c>
      <c r="T6230" t="s">
        <v>2704</v>
      </c>
      <c r="U6230" t="s">
        <v>162</v>
      </c>
      <c r="V6230" s="2">
        <v>714</v>
      </c>
      <c r="W6230" t="s">
        <v>4655</v>
      </c>
      <c r="X6230" s="2">
        <v>0</v>
      </c>
      <c r="Y6230">
        <v>20</v>
      </c>
      <c r="Z6230" t="s">
        <v>1491</v>
      </c>
      <c r="AA6230" s="3">
        <v>0.39593663811683699</v>
      </c>
      <c r="AB6230" t="s">
        <v>336</v>
      </c>
      <c r="AC6230" t="s">
        <v>4562</v>
      </c>
      <c r="AD6230" t="s">
        <v>3860</v>
      </c>
      <c r="AE6230" t="s">
        <v>4655</v>
      </c>
      <c r="AF6230" t="s">
        <v>4563</v>
      </c>
      <c r="AG6230" t="s">
        <v>4564</v>
      </c>
      <c r="AH6230" t="s">
        <v>1147</v>
      </c>
      <c r="AI6230" t="s">
        <v>4285</v>
      </c>
      <c r="AJ6230" t="s">
        <v>4508</v>
      </c>
      <c r="AK6230" t="s">
        <v>4286</v>
      </c>
      <c r="AL6230" s="13" t="s">
        <v>1897</v>
      </c>
      <c r="AM6230" s="14">
        <v>1</v>
      </c>
      <c r="AN6230" s="15" t="s">
        <v>4509</v>
      </c>
    </row>
    <row r="6231" spans="1:40" x14ac:dyDescent="0.3">
      <c r="A6231" s="10" t="str">
        <f>HYPERLINK("http://www.washoecounty.gov/assessor/cama/?parid=232-584-04&amp;CardNumber=1","232-584-04")</f>
        <v>232-584-04</v>
      </c>
      <c r="B6231" t="s">
        <v>4655</v>
      </c>
      <c r="C6231" t="s">
        <v>30354</v>
      </c>
      <c r="D6231" s="1">
        <v>40333</v>
      </c>
      <c r="E6231" s="2">
        <v>520000</v>
      </c>
      <c r="F6231" t="s">
        <v>4553</v>
      </c>
      <c r="G6231" s="17" t="str">
        <f>HYPERLINK("https://www.washoecounty.gov/assessor/cama/?command=sales&amp;parid=23258404","3888650")</f>
        <v>3888650</v>
      </c>
      <c r="H6231" t="s">
        <v>4177</v>
      </c>
      <c r="I6231">
        <v>2005</v>
      </c>
      <c r="J6231">
        <v>2005</v>
      </c>
      <c r="K6231" t="s">
        <v>4554</v>
      </c>
      <c r="L6231" t="s">
        <v>3974</v>
      </c>
      <c r="M6231" s="2">
        <v>4678</v>
      </c>
      <c r="N6231" t="s">
        <v>5106</v>
      </c>
      <c r="O6231">
        <v>4</v>
      </c>
      <c r="P6231">
        <v>4</v>
      </c>
      <c r="Q6231">
        <v>1</v>
      </c>
      <c r="R6231" t="s">
        <v>5281</v>
      </c>
      <c r="S6231" t="s">
        <v>4898</v>
      </c>
      <c r="T6231" t="s">
        <v>2704</v>
      </c>
      <c r="U6231" t="s">
        <v>4560</v>
      </c>
      <c r="V6231" s="2">
        <v>672</v>
      </c>
      <c r="W6231" t="s">
        <v>4655</v>
      </c>
      <c r="X6231" s="2">
        <v>0</v>
      </c>
      <c r="Y6231">
        <v>20</v>
      </c>
      <c r="Z6231" t="s">
        <v>1491</v>
      </c>
      <c r="AA6231" s="3">
        <v>0.337442606687546</v>
      </c>
      <c r="AB6231" t="s">
        <v>30355</v>
      </c>
      <c r="AC6231" t="s">
        <v>4562</v>
      </c>
      <c r="AD6231" t="s">
        <v>30356</v>
      </c>
      <c r="AE6231" t="s">
        <v>4655</v>
      </c>
      <c r="AF6231" t="s">
        <v>4563</v>
      </c>
      <c r="AG6231" t="s">
        <v>4564</v>
      </c>
      <c r="AH6231" t="s">
        <v>1147</v>
      </c>
      <c r="AI6231" t="s">
        <v>4145</v>
      </c>
      <c r="AJ6231" t="s">
        <v>4508</v>
      </c>
      <c r="AK6231" t="s">
        <v>30357</v>
      </c>
      <c r="AL6231" s="13" t="s">
        <v>1897</v>
      </c>
      <c r="AM6231">
        <v>1</v>
      </c>
      <c r="AN6231" s="15" t="s">
        <v>4509</v>
      </c>
    </row>
    <row r="6232" spans="1:40" x14ac:dyDescent="0.3">
      <c r="A6232" s="10" t="str">
        <f>HYPERLINK("http://www.washoecounty.gov/assessor/cama/?parid=232-601-01&amp;CardNumber=1","232-601-01")</f>
        <v>232-601-01</v>
      </c>
      <c r="B6232" t="s">
        <v>4655</v>
      </c>
      <c r="C6232" t="s">
        <v>30358</v>
      </c>
      <c r="D6232" s="1">
        <v>40511</v>
      </c>
      <c r="E6232" s="2">
        <v>1050000</v>
      </c>
      <c r="F6232" t="s">
        <v>3528</v>
      </c>
      <c r="G6232" s="17" t="str">
        <f>HYPERLINK("https://www.washoecounty.gov/assessor/cama/?command=sales&amp;parid=23260101","3947350")</f>
        <v>3947350</v>
      </c>
      <c r="H6232" t="s">
        <v>30359</v>
      </c>
      <c r="I6232">
        <v>0</v>
      </c>
      <c r="J6232">
        <v>0</v>
      </c>
      <c r="K6232" t="s">
        <v>4655</v>
      </c>
      <c r="L6232" t="s">
        <v>4655</v>
      </c>
      <c r="M6232" s="2">
        <v>0</v>
      </c>
      <c r="N6232" t="s">
        <v>4655</v>
      </c>
      <c r="O6232">
        <v>0</v>
      </c>
      <c r="P6232">
        <v>0</v>
      </c>
      <c r="Q6232">
        <v>0</v>
      </c>
      <c r="R6232" t="s">
        <v>4655</v>
      </c>
      <c r="S6232" t="s">
        <v>4655</v>
      </c>
      <c r="T6232" t="s">
        <v>4655</v>
      </c>
      <c r="U6232" t="s">
        <v>4655</v>
      </c>
      <c r="V6232" s="2">
        <v>0</v>
      </c>
      <c r="W6232" t="s">
        <v>4655</v>
      </c>
      <c r="X6232" s="2">
        <v>0</v>
      </c>
      <c r="Y6232">
        <v>12</v>
      </c>
      <c r="Z6232" t="s">
        <v>1491</v>
      </c>
      <c r="AA6232" s="3">
        <v>0.633608818054199</v>
      </c>
      <c r="AB6232" t="s">
        <v>4414</v>
      </c>
      <c r="AC6232" t="s">
        <v>4562</v>
      </c>
      <c r="AD6232" t="s">
        <v>29980</v>
      </c>
      <c r="AE6232" t="s">
        <v>4655</v>
      </c>
      <c r="AF6232" t="s">
        <v>1189</v>
      </c>
      <c r="AG6232" t="s">
        <v>4564</v>
      </c>
      <c r="AH6232" t="s">
        <v>2078</v>
      </c>
      <c r="AI6232" t="s">
        <v>29981</v>
      </c>
      <c r="AJ6232" t="s">
        <v>30360</v>
      </c>
      <c r="AK6232" t="s">
        <v>30361</v>
      </c>
      <c r="AL6232" s="13" t="s">
        <v>1897</v>
      </c>
      <c r="AM6232" s="14">
        <v>0</v>
      </c>
      <c r="AN6232" s="15" t="s">
        <v>4603</v>
      </c>
    </row>
    <row r="6233" spans="1:40" x14ac:dyDescent="0.3">
      <c r="A6233" s="10" t="str">
        <f>HYPERLINK("http://www.washoecounty.gov/assessor/cama/?parid=232-601-02&amp;CardNumber=1","232-601-02")</f>
        <v>232-601-02</v>
      </c>
      <c r="B6233" t="s">
        <v>4655</v>
      </c>
      <c r="C6233" t="s">
        <v>30362</v>
      </c>
      <c r="D6233" s="1">
        <v>40511</v>
      </c>
      <c r="E6233" s="2">
        <v>1050000</v>
      </c>
      <c r="F6233" t="s">
        <v>3528</v>
      </c>
      <c r="G6233" s="17" t="str">
        <f>HYPERLINK("https://www.washoecounty.gov/assessor/cama/?command=sales&amp;parid=23260102","3947350")</f>
        <v>3947350</v>
      </c>
      <c r="H6233" t="s">
        <v>30359</v>
      </c>
      <c r="I6233">
        <v>0</v>
      </c>
      <c r="J6233">
        <v>0</v>
      </c>
      <c r="K6233" t="s">
        <v>4655</v>
      </c>
      <c r="L6233" t="s">
        <v>4655</v>
      </c>
      <c r="M6233" s="2">
        <v>0</v>
      </c>
      <c r="N6233" t="s">
        <v>4655</v>
      </c>
      <c r="O6233">
        <v>0</v>
      </c>
      <c r="P6233">
        <v>0</v>
      </c>
      <c r="Q6233">
        <v>0</v>
      </c>
      <c r="R6233" t="s">
        <v>4655</v>
      </c>
      <c r="S6233" t="s">
        <v>4655</v>
      </c>
      <c r="T6233" t="s">
        <v>4655</v>
      </c>
      <c r="U6233" t="s">
        <v>4655</v>
      </c>
      <c r="V6233" s="2">
        <v>0</v>
      </c>
      <c r="W6233" t="s">
        <v>4655</v>
      </c>
      <c r="X6233" s="2">
        <v>0</v>
      </c>
      <c r="Y6233">
        <v>12</v>
      </c>
      <c r="Z6233" t="s">
        <v>1491</v>
      </c>
      <c r="AA6233" s="3">
        <v>0.71691918373107899</v>
      </c>
      <c r="AB6233" t="s">
        <v>4414</v>
      </c>
      <c r="AC6233" t="s">
        <v>4562</v>
      </c>
      <c r="AD6233" t="s">
        <v>29980</v>
      </c>
      <c r="AE6233" t="s">
        <v>4655</v>
      </c>
      <c r="AF6233" t="s">
        <v>1189</v>
      </c>
      <c r="AG6233" t="s">
        <v>4564</v>
      </c>
      <c r="AH6233" t="s">
        <v>2078</v>
      </c>
      <c r="AI6233" t="s">
        <v>29981</v>
      </c>
      <c r="AJ6233" t="s">
        <v>30360</v>
      </c>
      <c r="AK6233" t="s">
        <v>30363</v>
      </c>
      <c r="AL6233" s="13" t="s">
        <v>1897</v>
      </c>
      <c r="AM6233">
        <v>0</v>
      </c>
      <c r="AN6233" s="15" t="s">
        <v>4603</v>
      </c>
    </row>
    <row r="6234" spans="1:40" x14ac:dyDescent="0.3">
      <c r="A6234" s="10" t="str">
        <f>HYPERLINK("http://www.washoecounty.gov/assessor/cama/?parid=232-601-03&amp;CardNumber=1","232-601-03")</f>
        <v>232-601-03</v>
      </c>
      <c r="B6234" t="s">
        <v>4655</v>
      </c>
      <c r="C6234" t="s">
        <v>30364</v>
      </c>
      <c r="D6234" s="1">
        <v>40511</v>
      </c>
      <c r="E6234" s="2">
        <v>1050000</v>
      </c>
      <c r="F6234" t="s">
        <v>3528</v>
      </c>
      <c r="G6234" s="17" t="str">
        <f>HYPERLINK("https://www.washoecounty.gov/assessor/cama/?command=sales&amp;parid=23260103","3947350")</f>
        <v>3947350</v>
      </c>
      <c r="H6234" t="s">
        <v>30359</v>
      </c>
      <c r="I6234">
        <v>0</v>
      </c>
      <c r="J6234">
        <v>0</v>
      </c>
      <c r="K6234" t="s">
        <v>4655</v>
      </c>
      <c r="L6234" t="s">
        <v>4655</v>
      </c>
      <c r="M6234" s="2">
        <v>0</v>
      </c>
      <c r="N6234" t="s">
        <v>4655</v>
      </c>
      <c r="O6234">
        <v>0</v>
      </c>
      <c r="P6234">
        <v>0</v>
      </c>
      <c r="Q6234">
        <v>0</v>
      </c>
      <c r="R6234" t="s">
        <v>4655</v>
      </c>
      <c r="S6234" t="s">
        <v>4655</v>
      </c>
      <c r="T6234" t="s">
        <v>4655</v>
      </c>
      <c r="U6234" t="s">
        <v>4655</v>
      </c>
      <c r="V6234" s="2">
        <v>0</v>
      </c>
      <c r="W6234" t="s">
        <v>4655</v>
      </c>
      <c r="X6234" s="2">
        <v>0</v>
      </c>
      <c r="Y6234">
        <v>12</v>
      </c>
      <c r="Z6234" t="s">
        <v>1491</v>
      </c>
      <c r="AA6234" s="3">
        <v>0.64499539136886597</v>
      </c>
      <c r="AB6234" t="s">
        <v>4414</v>
      </c>
      <c r="AC6234" t="s">
        <v>4562</v>
      </c>
      <c r="AD6234" t="s">
        <v>29980</v>
      </c>
      <c r="AE6234" t="s">
        <v>4655</v>
      </c>
      <c r="AF6234" t="s">
        <v>1189</v>
      </c>
      <c r="AG6234" t="s">
        <v>4564</v>
      </c>
      <c r="AH6234" t="s">
        <v>2078</v>
      </c>
      <c r="AI6234" t="s">
        <v>29981</v>
      </c>
      <c r="AJ6234" t="s">
        <v>30360</v>
      </c>
      <c r="AK6234" t="s">
        <v>30365</v>
      </c>
      <c r="AL6234" s="13" t="s">
        <v>1897</v>
      </c>
      <c r="AM6234" s="14">
        <v>0</v>
      </c>
      <c r="AN6234" s="15" t="s">
        <v>4603</v>
      </c>
    </row>
    <row r="6235" spans="1:40" x14ac:dyDescent="0.3">
      <c r="A6235" s="10" t="str">
        <f>HYPERLINK("http://www.washoecounty.gov/assessor/cama/?parid=232-601-04&amp;CardNumber=1","232-601-04")</f>
        <v>232-601-04</v>
      </c>
      <c r="B6235" t="s">
        <v>4655</v>
      </c>
      <c r="C6235" t="s">
        <v>30366</v>
      </c>
      <c r="D6235" s="1">
        <v>40511</v>
      </c>
      <c r="E6235" s="2">
        <v>1050000</v>
      </c>
      <c r="F6235" t="s">
        <v>3528</v>
      </c>
      <c r="G6235" s="17" t="str">
        <f>HYPERLINK("https://www.washoecounty.gov/assessor/cama/?command=sales&amp;parid=23260104","3947350")</f>
        <v>3947350</v>
      </c>
      <c r="H6235" t="s">
        <v>30359</v>
      </c>
      <c r="I6235">
        <v>0</v>
      </c>
      <c r="J6235">
        <v>0</v>
      </c>
      <c r="K6235" t="s">
        <v>4655</v>
      </c>
      <c r="L6235" t="s">
        <v>4655</v>
      </c>
      <c r="M6235" s="2">
        <v>0</v>
      </c>
      <c r="N6235" t="s">
        <v>4655</v>
      </c>
      <c r="O6235">
        <v>0</v>
      </c>
      <c r="P6235">
        <v>0</v>
      </c>
      <c r="Q6235">
        <v>0</v>
      </c>
      <c r="R6235" t="s">
        <v>4655</v>
      </c>
      <c r="S6235" t="s">
        <v>4655</v>
      </c>
      <c r="T6235" t="s">
        <v>4655</v>
      </c>
      <c r="U6235" t="s">
        <v>4655</v>
      </c>
      <c r="V6235" s="2">
        <v>0</v>
      </c>
      <c r="W6235" t="s">
        <v>4655</v>
      </c>
      <c r="X6235" s="2">
        <v>0</v>
      </c>
      <c r="Y6235">
        <v>12</v>
      </c>
      <c r="Z6235" t="s">
        <v>1491</v>
      </c>
      <c r="AA6235" s="3">
        <v>0.76939851045608498</v>
      </c>
      <c r="AB6235" t="s">
        <v>4414</v>
      </c>
      <c r="AC6235" t="s">
        <v>4562</v>
      </c>
      <c r="AD6235" t="s">
        <v>29980</v>
      </c>
      <c r="AE6235" t="s">
        <v>4655</v>
      </c>
      <c r="AF6235" t="s">
        <v>1189</v>
      </c>
      <c r="AG6235" t="s">
        <v>4564</v>
      </c>
      <c r="AH6235" t="s">
        <v>2078</v>
      </c>
      <c r="AI6235" t="s">
        <v>29981</v>
      </c>
      <c r="AJ6235" t="s">
        <v>30360</v>
      </c>
      <c r="AK6235" t="s">
        <v>30367</v>
      </c>
      <c r="AL6235" s="13" t="s">
        <v>1897</v>
      </c>
      <c r="AM6235" s="14">
        <v>0</v>
      </c>
      <c r="AN6235" s="15" t="s">
        <v>4603</v>
      </c>
    </row>
    <row r="6236" spans="1:40" x14ac:dyDescent="0.3">
      <c r="A6236" s="10" t="str">
        <f>HYPERLINK("http://www.washoecounty.gov/assessor/cama/?parid=232-601-05&amp;CardNumber=1","232-601-05")</f>
        <v>232-601-05</v>
      </c>
      <c r="B6236" t="s">
        <v>4655</v>
      </c>
      <c r="C6236" t="s">
        <v>30368</v>
      </c>
      <c r="D6236" s="1">
        <v>40511</v>
      </c>
      <c r="E6236" s="2">
        <v>1050000</v>
      </c>
      <c r="F6236" t="s">
        <v>3528</v>
      </c>
      <c r="G6236" s="17" t="str">
        <f>HYPERLINK("https://www.washoecounty.gov/assessor/cama/?command=sales&amp;parid=23260105","3947350")</f>
        <v>3947350</v>
      </c>
      <c r="H6236" t="s">
        <v>30359</v>
      </c>
      <c r="I6236">
        <v>0</v>
      </c>
      <c r="J6236">
        <v>0</v>
      </c>
      <c r="K6236" t="s">
        <v>4655</v>
      </c>
      <c r="L6236" t="s">
        <v>4655</v>
      </c>
      <c r="M6236" s="2">
        <v>0</v>
      </c>
      <c r="N6236" t="s">
        <v>4655</v>
      </c>
      <c r="O6236">
        <v>0</v>
      </c>
      <c r="P6236">
        <v>0</v>
      </c>
      <c r="Q6236">
        <v>0</v>
      </c>
      <c r="R6236" t="s">
        <v>4655</v>
      </c>
      <c r="S6236" t="s">
        <v>4655</v>
      </c>
      <c r="T6236" t="s">
        <v>4655</v>
      </c>
      <c r="U6236" t="s">
        <v>4655</v>
      </c>
      <c r="V6236" s="2">
        <v>0</v>
      </c>
      <c r="W6236" t="s">
        <v>4655</v>
      </c>
      <c r="X6236" s="2">
        <v>0</v>
      </c>
      <c r="Y6236">
        <v>12</v>
      </c>
      <c r="Z6236" t="s">
        <v>1491</v>
      </c>
      <c r="AA6236" s="3">
        <v>0.79848486185073797</v>
      </c>
      <c r="AB6236" t="s">
        <v>4414</v>
      </c>
      <c r="AC6236" t="s">
        <v>4562</v>
      </c>
      <c r="AD6236" t="s">
        <v>29980</v>
      </c>
      <c r="AE6236" t="s">
        <v>4655</v>
      </c>
      <c r="AF6236" t="s">
        <v>1189</v>
      </c>
      <c r="AG6236" t="s">
        <v>4564</v>
      </c>
      <c r="AH6236" t="s">
        <v>2078</v>
      </c>
      <c r="AI6236" t="s">
        <v>29981</v>
      </c>
      <c r="AJ6236" t="s">
        <v>30360</v>
      </c>
      <c r="AK6236" t="s">
        <v>30369</v>
      </c>
      <c r="AL6236" s="13" t="s">
        <v>1897</v>
      </c>
      <c r="AM6236" s="14">
        <v>0</v>
      </c>
      <c r="AN6236" s="15" t="s">
        <v>4603</v>
      </c>
    </row>
    <row r="6237" spans="1:40" x14ac:dyDescent="0.3">
      <c r="A6237" s="10" t="str">
        <f>HYPERLINK("http://www.washoecounty.gov/assessor/cama/?parid=232-601-06&amp;CardNumber=1","232-601-06")</f>
        <v>232-601-06</v>
      </c>
      <c r="B6237" t="s">
        <v>4655</v>
      </c>
      <c r="C6237" t="s">
        <v>30370</v>
      </c>
      <c r="D6237" s="1">
        <v>40511</v>
      </c>
      <c r="E6237" s="2">
        <v>1050000</v>
      </c>
      <c r="F6237" t="s">
        <v>3528</v>
      </c>
      <c r="G6237" s="17" t="str">
        <f>HYPERLINK("https://www.washoecounty.gov/assessor/cama/?command=sales&amp;parid=23260106","3947350")</f>
        <v>3947350</v>
      </c>
      <c r="H6237" t="s">
        <v>30359</v>
      </c>
      <c r="I6237">
        <v>0</v>
      </c>
      <c r="J6237">
        <v>0</v>
      </c>
      <c r="K6237" t="s">
        <v>4655</v>
      </c>
      <c r="L6237" t="s">
        <v>4655</v>
      </c>
      <c r="M6237" s="2">
        <v>0</v>
      </c>
      <c r="N6237" t="s">
        <v>4655</v>
      </c>
      <c r="O6237">
        <v>0</v>
      </c>
      <c r="P6237">
        <v>0</v>
      </c>
      <c r="Q6237">
        <v>0</v>
      </c>
      <c r="R6237" t="s">
        <v>4655</v>
      </c>
      <c r="S6237" t="s">
        <v>4655</v>
      </c>
      <c r="T6237" t="s">
        <v>4655</v>
      </c>
      <c r="U6237" t="s">
        <v>4655</v>
      </c>
      <c r="V6237" s="2">
        <v>0</v>
      </c>
      <c r="W6237" t="s">
        <v>4655</v>
      </c>
      <c r="X6237" s="2">
        <v>0</v>
      </c>
      <c r="Y6237">
        <v>12</v>
      </c>
      <c r="Z6237" t="s">
        <v>1491</v>
      </c>
      <c r="AA6237" s="3">
        <v>0.73142790794372503</v>
      </c>
      <c r="AB6237" t="s">
        <v>4414</v>
      </c>
      <c r="AC6237" t="s">
        <v>4562</v>
      </c>
      <c r="AD6237" t="s">
        <v>29980</v>
      </c>
      <c r="AE6237" t="s">
        <v>4655</v>
      </c>
      <c r="AF6237" t="s">
        <v>1189</v>
      </c>
      <c r="AG6237" t="s">
        <v>4564</v>
      </c>
      <c r="AH6237" t="s">
        <v>2078</v>
      </c>
      <c r="AI6237" t="s">
        <v>29981</v>
      </c>
      <c r="AJ6237" t="s">
        <v>30360</v>
      </c>
      <c r="AK6237" t="s">
        <v>30371</v>
      </c>
      <c r="AL6237" s="13" t="s">
        <v>1897</v>
      </c>
      <c r="AM6237">
        <v>0</v>
      </c>
      <c r="AN6237" s="15" t="s">
        <v>4603</v>
      </c>
    </row>
    <row r="6238" spans="1:40" x14ac:dyDescent="0.3">
      <c r="A6238" s="10" t="str">
        <f>HYPERLINK("http://www.washoecounty.gov/assessor/cama/?parid=232-601-07&amp;CardNumber=1","232-601-07")</f>
        <v>232-601-07</v>
      </c>
      <c r="B6238" t="s">
        <v>4655</v>
      </c>
      <c r="C6238" t="s">
        <v>30372</v>
      </c>
      <c r="D6238" s="1">
        <v>40511</v>
      </c>
      <c r="E6238" s="2">
        <v>1050000</v>
      </c>
      <c r="F6238" t="s">
        <v>3528</v>
      </c>
      <c r="G6238" s="17" t="str">
        <f>HYPERLINK("https://www.washoecounty.gov/assessor/cama/?command=sales&amp;parid=23260107","3947350")</f>
        <v>3947350</v>
      </c>
      <c r="H6238" t="s">
        <v>30359</v>
      </c>
      <c r="I6238">
        <v>0</v>
      </c>
      <c r="J6238">
        <v>0</v>
      </c>
      <c r="K6238" t="s">
        <v>4655</v>
      </c>
      <c r="L6238" t="s">
        <v>4655</v>
      </c>
      <c r="M6238" s="2">
        <v>0</v>
      </c>
      <c r="N6238" t="s">
        <v>4655</v>
      </c>
      <c r="O6238">
        <v>0</v>
      </c>
      <c r="P6238">
        <v>0</v>
      </c>
      <c r="Q6238">
        <v>0</v>
      </c>
      <c r="R6238" t="s">
        <v>4655</v>
      </c>
      <c r="S6238" t="s">
        <v>4655</v>
      </c>
      <c r="T6238" t="s">
        <v>4655</v>
      </c>
      <c r="U6238" t="s">
        <v>4655</v>
      </c>
      <c r="V6238" s="2">
        <v>0</v>
      </c>
      <c r="W6238" t="s">
        <v>4655</v>
      </c>
      <c r="X6238" s="2">
        <v>0</v>
      </c>
      <c r="Y6238">
        <v>12</v>
      </c>
      <c r="Z6238" t="s">
        <v>1491</v>
      </c>
      <c r="AA6238" s="3">
        <v>0.70996326208114602</v>
      </c>
      <c r="AB6238" t="s">
        <v>4414</v>
      </c>
      <c r="AC6238" t="s">
        <v>4562</v>
      </c>
      <c r="AD6238" t="s">
        <v>29980</v>
      </c>
      <c r="AE6238" t="s">
        <v>4655</v>
      </c>
      <c r="AF6238" t="s">
        <v>1189</v>
      </c>
      <c r="AG6238" t="s">
        <v>4564</v>
      </c>
      <c r="AH6238" t="s">
        <v>2078</v>
      </c>
      <c r="AI6238" t="s">
        <v>29981</v>
      </c>
      <c r="AJ6238" t="s">
        <v>30360</v>
      </c>
      <c r="AK6238" t="s">
        <v>30373</v>
      </c>
      <c r="AL6238" s="13" t="s">
        <v>1897</v>
      </c>
      <c r="AM6238">
        <v>0</v>
      </c>
      <c r="AN6238" s="15" t="s">
        <v>4603</v>
      </c>
    </row>
    <row r="6239" spans="1:40" x14ac:dyDescent="0.3">
      <c r="A6239" s="10" t="str">
        <f>HYPERLINK("http://www.washoecounty.gov/assessor/cama/?parid=232-601-11&amp;CardNumber=1","232-601-11")</f>
        <v>232-601-11</v>
      </c>
      <c r="B6239" t="s">
        <v>4655</v>
      </c>
      <c r="C6239" t="s">
        <v>30374</v>
      </c>
      <c r="D6239" s="1">
        <v>40511</v>
      </c>
      <c r="E6239" s="2">
        <v>1050000</v>
      </c>
      <c r="F6239" t="s">
        <v>3528</v>
      </c>
      <c r="G6239" s="17" t="str">
        <f>HYPERLINK("https://www.washoecounty.gov/assessor/cama/?command=sales&amp;parid=23260111","3947350")</f>
        <v>3947350</v>
      </c>
      <c r="H6239" t="s">
        <v>30375</v>
      </c>
      <c r="I6239">
        <v>0</v>
      </c>
      <c r="J6239">
        <v>0</v>
      </c>
      <c r="K6239" t="s">
        <v>4655</v>
      </c>
      <c r="L6239" t="s">
        <v>4655</v>
      </c>
      <c r="M6239" s="2">
        <v>0</v>
      </c>
      <c r="N6239" t="s">
        <v>4655</v>
      </c>
      <c r="O6239">
        <v>0</v>
      </c>
      <c r="P6239">
        <v>0</v>
      </c>
      <c r="Q6239">
        <v>0</v>
      </c>
      <c r="R6239" t="s">
        <v>4655</v>
      </c>
      <c r="S6239" t="s">
        <v>4655</v>
      </c>
      <c r="T6239" t="s">
        <v>4655</v>
      </c>
      <c r="U6239" t="s">
        <v>4655</v>
      </c>
      <c r="V6239" s="2">
        <v>0</v>
      </c>
      <c r="W6239" t="s">
        <v>4655</v>
      </c>
      <c r="X6239" s="2">
        <v>0</v>
      </c>
      <c r="Y6239">
        <v>12</v>
      </c>
      <c r="Z6239" t="s">
        <v>1491</v>
      </c>
      <c r="AA6239" s="3">
        <v>0.71434801816940297</v>
      </c>
      <c r="AB6239" t="s">
        <v>4414</v>
      </c>
      <c r="AC6239" t="s">
        <v>4562</v>
      </c>
      <c r="AD6239" t="s">
        <v>29980</v>
      </c>
      <c r="AE6239" t="s">
        <v>4655</v>
      </c>
      <c r="AF6239" t="s">
        <v>1189</v>
      </c>
      <c r="AG6239" t="s">
        <v>4564</v>
      </c>
      <c r="AH6239" t="s">
        <v>2078</v>
      </c>
      <c r="AI6239" t="s">
        <v>4414</v>
      </c>
      <c r="AJ6239" t="s">
        <v>30376</v>
      </c>
      <c r="AK6239" t="s">
        <v>30377</v>
      </c>
      <c r="AL6239" s="13" t="s">
        <v>1897</v>
      </c>
      <c r="AM6239">
        <v>0</v>
      </c>
      <c r="AN6239" s="15" t="s">
        <v>4603</v>
      </c>
    </row>
    <row r="6240" spans="1:40" x14ac:dyDescent="0.3">
      <c r="A6240" s="10" t="str">
        <f>HYPERLINK("http://www.washoecounty.gov/assessor/cama/?parid=232-601-12&amp;CardNumber=1","232-601-12")</f>
        <v>232-601-12</v>
      </c>
      <c r="B6240" t="s">
        <v>4655</v>
      </c>
      <c r="C6240" t="s">
        <v>30378</v>
      </c>
      <c r="D6240" s="1">
        <v>40511</v>
      </c>
      <c r="E6240" s="2">
        <v>1050000</v>
      </c>
      <c r="F6240" t="s">
        <v>3528</v>
      </c>
      <c r="G6240" s="17" t="str">
        <f>HYPERLINK("https://www.washoecounty.gov/assessor/cama/?command=sales&amp;parid=23260112","3947350")</f>
        <v>3947350</v>
      </c>
      <c r="H6240" t="s">
        <v>30375</v>
      </c>
      <c r="I6240">
        <v>0</v>
      </c>
      <c r="J6240">
        <v>0</v>
      </c>
      <c r="K6240" t="s">
        <v>4655</v>
      </c>
      <c r="L6240" t="s">
        <v>4655</v>
      </c>
      <c r="M6240" s="2">
        <v>0</v>
      </c>
      <c r="N6240" t="s">
        <v>4655</v>
      </c>
      <c r="O6240">
        <v>0</v>
      </c>
      <c r="P6240">
        <v>0</v>
      </c>
      <c r="Q6240">
        <v>0</v>
      </c>
      <c r="R6240" t="s">
        <v>4655</v>
      </c>
      <c r="S6240" t="s">
        <v>4655</v>
      </c>
      <c r="T6240" t="s">
        <v>4655</v>
      </c>
      <c r="U6240" t="s">
        <v>4655</v>
      </c>
      <c r="V6240" s="2">
        <v>0</v>
      </c>
      <c r="W6240" t="s">
        <v>4655</v>
      </c>
      <c r="X6240" s="2">
        <v>0</v>
      </c>
      <c r="Y6240">
        <v>12</v>
      </c>
      <c r="Z6240" t="s">
        <v>1491</v>
      </c>
      <c r="AA6240" s="3">
        <v>0.66659778356552124</v>
      </c>
      <c r="AB6240" t="s">
        <v>4414</v>
      </c>
      <c r="AC6240" t="s">
        <v>4562</v>
      </c>
      <c r="AD6240" t="s">
        <v>29980</v>
      </c>
      <c r="AE6240" t="s">
        <v>4655</v>
      </c>
      <c r="AF6240" t="s">
        <v>1189</v>
      </c>
      <c r="AG6240" t="s">
        <v>4564</v>
      </c>
      <c r="AH6240" t="s">
        <v>2078</v>
      </c>
      <c r="AI6240" t="s">
        <v>4414</v>
      </c>
      <c r="AJ6240" t="s">
        <v>30376</v>
      </c>
      <c r="AK6240" t="s">
        <v>30379</v>
      </c>
      <c r="AL6240" s="13" t="s">
        <v>1897</v>
      </c>
      <c r="AM6240">
        <v>0</v>
      </c>
      <c r="AN6240" s="15" t="s">
        <v>4603</v>
      </c>
    </row>
    <row r="6241" spans="1:40" x14ac:dyDescent="0.3">
      <c r="A6241" s="10" t="str">
        <f>HYPERLINK("http://www.washoecounty.gov/assessor/cama/?parid=232-602-08&amp;CardNumber=1","232-602-08")</f>
        <v>232-602-08</v>
      </c>
      <c r="B6241" t="s">
        <v>4655</v>
      </c>
      <c r="C6241" t="s">
        <v>30380</v>
      </c>
      <c r="D6241" s="1">
        <v>40511</v>
      </c>
      <c r="E6241" s="2">
        <v>1050000</v>
      </c>
      <c r="F6241" t="s">
        <v>3528</v>
      </c>
      <c r="G6241" s="17" t="str">
        <f>HYPERLINK("https://www.washoecounty.gov/assessor/cama/?command=sales&amp;parid=23260208","3947350")</f>
        <v>3947350</v>
      </c>
      <c r="H6241" t="s">
        <v>30359</v>
      </c>
      <c r="I6241">
        <v>0</v>
      </c>
      <c r="J6241">
        <v>0</v>
      </c>
      <c r="K6241" t="s">
        <v>4655</v>
      </c>
      <c r="L6241" t="s">
        <v>4655</v>
      </c>
      <c r="M6241" s="2">
        <v>0</v>
      </c>
      <c r="N6241" t="s">
        <v>4655</v>
      </c>
      <c r="O6241">
        <v>0</v>
      </c>
      <c r="P6241">
        <v>0</v>
      </c>
      <c r="Q6241">
        <v>0</v>
      </c>
      <c r="R6241" t="s">
        <v>4655</v>
      </c>
      <c r="S6241" t="s">
        <v>4655</v>
      </c>
      <c r="T6241" t="s">
        <v>4655</v>
      </c>
      <c r="U6241" t="s">
        <v>4655</v>
      </c>
      <c r="V6241" s="2">
        <v>0</v>
      </c>
      <c r="W6241" t="s">
        <v>4655</v>
      </c>
      <c r="X6241" s="2">
        <v>0</v>
      </c>
      <c r="Y6241">
        <v>12</v>
      </c>
      <c r="Z6241" t="s">
        <v>1491</v>
      </c>
      <c r="AA6241" s="3">
        <v>0.96737831830978305</v>
      </c>
      <c r="AB6241" t="s">
        <v>4414</v>
      </c>
      <c r="AC6241" t="s">
        <v>4562</v>
      </c>
      <c r="AD6241" t="s">
        <v>29980</v>
      </c>
      <c r="AE6241" t="s">
        <v>4655</v>
      </c>
      <c r="AF6241" t="s">
        <v>1189</v>
      </c>
      <c r="AG6241" t="s">
        <v>4564</v>
      </c>
      <c r="AH6241" t="s">
        <v>2078</v>
      </c>
      <c r="AI6241" t="s">
        <v>29981</v>
      </c>
      <c r="AJ6241" t="s">
        <v>30360</v>
      </c>
      <c r="AK6241" t="s">
        <v>30381</v>
      </c>
      <c r="AL6241" s="13" t="s">
        <v>1897</v>
      </c>
      <c r="AM6241">
        <v>0</v>
      </c>
      <c r="AN6241" s="15" t="s">
        <v>4603</v>
      </c>
    </row>
    <row r="6242" spans="1:40" x14ac:dyDescent="0.3">
      <c r="A6242" s="10" t="str">
        <f>HYPERLINK("http://www.washoecounty.gov/assessor/cama/?parid=232-602-12&amp;CardNumber=1","232-602-12")</f>
        <v>232-602-12</v>
      </c>
      <c r="B6242" t="s">
        <v>4655</v>
      </c>
      <c r="C6242" t="s">
        <v>30382</v>
      </c>
      <c r="D6242" s="1">
        <v>40511</v>
      </c>
      <c r="E6242" s="2">
        <v>1050000</v>
      </c>
      <c r="F6242" t="s">
        <v>3528</v>
      </c>
      <c r="G6242" s="17" t="str">
        <f>HYPERLINK("https://www.washoecounty.gov/assessor/cama/?command=sales&amp;parid=23260212","3947350")</f>
        <v>3947350</v>
      </c>
      <c r="H6242" t="s">
        <v>30359</v>
      </c>
      <c r="I6242">
        <v>0</v>
      </c>
      <c r="J6242">
        <v>0</v>
      </c>
      <c r="K6242" t="s">
        <v>4655</v>
      </c>
      <c r="L6242" t="s">
        <v>4655</v>
      </c>
      <c r="M6242" s="2">
        <v>0</v>
      </c>
      <c r="N6242" t="s">
        <v>4655</v>
      </c>
      <c r="O6242">
        <v>0</v>
      </c>
      <c r="P6242">
        <v>0</v>
      </c>
      <c r="Q6242">
        <v>0</v>
      </c>
      <c r="R6242" t="s">
        <v>4655</v>
      </c>
      <c r="S6242" t="s">
        <v>4655</v>
      </c>
      <c r="T6242" t="s">
        <v>4655</v>
      </c>
      <c r="U6242" t="s">
        <v>4655</v>
      </c>
      <c r="V6242" s="2">
        <v>0</v>
      </c>
      <c r="W6242" t="s">
        <v>4655</v>
      </c>
      <c r="X6242" s="2">
        <v>0</v>
      </c>
      <c r="Y6242">
        <v>12</v>
      </c>
      <c r="Z6242" t="s">
        <v>1491</v>
      </c>
      <c r="AA6242" s="3">
        <v>0.80654269456863403</v>
      </c>
      <c r="AB6242" t="s">
        <v>4414</v>
      </c>
      <c r="AC6242" t="s">
        <v>4562</v>
      </c>
      <c r="AD6242" t="s">
        <v>29980</v>
      </c>
      <c r="AE6242" t="s">
        <v>4655</v>
      </c>
      <c r="AF6242" t="s">
        <v>1189</v>
      </c>
      <c r="AG6242" t="s">
        <v>4564</v>
      </c>
      <c r="AH6242" t="s">
        <v>2078</v>
      </c>
      <c r="AI6242" t="s">
        <v>29981</v>
      </c>
      <c r="AJ6242" t="s">
        <v>30360</v>
      </c>
      <c r="AK6242" t="s">
        <v>30383</v>
      </c>
      <c r="AL6242" s="13" t="s">
        <v>1897</v>
      </c>
      <c r="AM6242">
        <v>0</v>
      </c>
      <c r="AN6242" s="15" t="s">
        <v>4603</v>
      </c>
    </row>
    <row r="6243" spans="1:40" x14ac:dyDescent="0.3">
      <c r="A6243" s="10" t="str">
        <f>HYPERLINK("http://www.washoecounty.gov/assessor/cama/?parid=232-602-13&amp;CardNumber=1","232-602-13")</f>
        <v>232-602-13</v>
      </c>
      <c r="B6243" t="s">
        <v>4655</v>
      </c>
      <c r="C6243" t="s">
        <v>30384</v>
      </c>
      <c r="D6243" s="1">
        <v>40511</v>
      </c>
      <c r="E6243" s="2">
        <v>1050000</v>
      </c>
      <c r="F6243" t="s">
        <v>3528</v>
      </c>
      <c r="G6243" s="17" t="str">
        <f>HYPERLINK("https://www.washoecounty.gov/assessor/cama/?command=sales&amp;parid=23260213","3947350")</f>
        <v>3947350</v>
      </c>
      <c r="H6243" t="s">
        <v>30359</v>
      </c>
      <c r="I6243">
        <v>0</v>
      </c>
      <c r="J6243">
        <v>0</v>
      </c>
      <c r="K6243" t="s">
        <v>4655</v>
      </c>
      <c r="L6243" t="s">
        <v>4655</v>
      </c>
      <c r="M6243" s="2">
        <v>0</v>
      </c>
      <c r="N6243" t="s">
        <v>4655</v>
      </c>
      <c r="O6243">
        <v>0</v>
      </c>
      <c r="P6243">
        <v>0</v>
      </c>
      <c r="Q6243">
        <v>0</v>
      </c>
      <c r="R6243" t="s">
        <v>4655</v>
      </c>
      <c r="S6243" t="s">
        <v>4655</v>
      </c>
      <c r="T6243" t="s">
        <v>4655</v>
      </c>
      <c r="U6243" t="s">
        <v>4655</v>
      </c>
      <c r="V6243" s="2">
        <v>0</v>
      </c>
      <c r="W6243" t="s">
        <v>4655</v>
      </c>
      <c r="X6243" s="2">
        <v>0</v>
      </c>
      <c r="Y6243">
        <v>12</v>
      </c>
      <c r="Z6243" t="s">
        <v>1491</v>
      </c>
      <c r="AA6243" s="3">
        <v>1.0178145170211701</v>
      </c>
      <c r="AB6243" t="s">
        <v>4414</v>
      </c>
      <c r="AC6243" t="s">
        <v>4562</v>
      </c>
      <c r="AD6243" t="s">
        <v>29980</v>
      </c>
      <c r="AE6243" t="s">
        <v>4655</v>
      </c>
      <c r="AF6243" t="s">
        <v>1189</v>
      </c>
      <c r="AG6243" t="s">
        <v>4564</v>
      </c>
      <c r="AH6243" t="s">
        <v>2078</v>
      </c>
      <c r="AI6243" t="s">
        <v>29981</v>
      </c>
      <c r="AJ6243" t="s">
        <v>30360</v>
      </c>
      <c r="AK6243" t="s">
        <v>30385</v>
      </c>
      <c r="AL6243" s="13" t="s">
        <v>1897</v>
      </c>
      <c r="AM6243">
        <v>0</v>
      </c>
      <c r="AN6243" s="15" t="s">
        <v>4603</v>
      </c>
    </row>
    <row r="6244" spans="1:40" x14ac:dyDescent="0.3">
      <c r="A6244" s="10" t="str">
        <f>HYPERLINK("http://www.washoecounty.gov/assessor/cama/?parid=232-602-19&amp;CardNumber=1","232-602-19")</f>
        <v>232-602-19</v>
      </c>
      <c r="B6244" t="s">
        <v>4655</v>
      </c>
      <c r="C6244" t="s">
        <v>30386</v>
      </c>
      <c r="D6244" s="1">
        <v>40511</v>
      </c>
      <c r="E6244" s="2">
        <v>1050000</v>
      </c>
      <c r="F6244" t="s">
        <v>3528</v>
      </c>
      <c r="G6244" s="17" t="str">
        <f>HYPERLINK("https://www.washoecounty.gov/assessor/cama/?command=sales&amp;parid=23260219","3947350")</f>
        <v>3947350</v>
      </c>
      <c r="H6244" t="s">
        <v>30359</v>
      </c>
      <c r="I6244">
        <v>0</v>
      </c>
      <c r="J6244">
        <v>0</v>
      </c>
      <c r="K6244" t="s">
        <v>4655</v>
      </c>
      <c r="L6244" t="s">
        <v>4655</v>
      </c>
      <c r="M6244" s="2">
        <v>0</v>
      </c>
      <c r="N6244" t="s">
        <v>4655</v>
      </c>
      <c r="O6244">
        <v>0</v>
      </c>
      <c r="P6244">
        <v>0</v>
      </c>
      <c r="Q6244">
        <v>0</v>
      </c>
      <c r="R6244" t="s">
        <v>4655</v>
      </c>
      <c r="S6244" t="s">
        <v>4655</v>
      </c>
      <c r="T6244" t="s">
        <v>4655</v>
      </c>
      <c r="U6244" t="s">
        <v>4655</v>
      </c>
      <c r="V6244" s="2">
        <v>0</v>
      </c>
      <c r="W6244" t="s">
        <v>4655</v>
      </c>
      <c r="X6244" s="2">
        <v>0</v>
      </c>
      <c r="Y6244">
        <v>12</v>
      </c>
      <c r="Z6244" t="s">
        <v>1491</v>
      </c>
      <c r="AA6244" s="3">
        <v>1.0253213644027701</v>
      </c>
      <c r="AB6244" t="s">
        <v>4414</v>
      </c>
      <c r="AC6244" t="s">
        <v>4562</v>
      </c>
      <c r="AD6244" t="s">
        <v>29980</v>
      </c>
      <c r="AE6244" t="s">
        <v>4655</v>
      </c>
      <c r="AF6244" t="s">
        <v>1189</v>
      </c>
      <c r="AG6244" t="s">
        <v>4564</v>
      </c>
      <c r="AH6244" t="s">
        <v>2078</v>
      </c>
      <c r="AI6244" t="s">
        <v>29981</v>
      </c>
      <c r="AJ6244" t="s">
        <v>30360</v>
      </c>
      <c r="AK6244" t="s">
        <v>30387</v>
      </c>
      <c r="AL6244" s="13" t="s">
        <v>1897</v>
      </c>
      <c r="AM6244">
        <v>0</v>
      </c>
      <c r="AN6244" s="15" t="s">
        <v>4603</v>
      </c>
    </row>
    <row r="6245" spans="1:40" x14ac:dyDescent="0.3">
      <c r="A6245" s="10" t="str">
        <f>HYPERLINK("http://www.washoecounty.gov/assessor/cama/?parid=232-602-20&amp;CardNumber=1","232-602-20")</f>
        <v>232-602-20</v>
      </c>
      <c r="B6245" t="s">
        <v>4655</v>
      </c>
      <c r="C6245" t="s">
        <v>30388</v>
      </c>
      <c r="D6245" s="1">
        <v>40511</v>
      </c>
      <c r="E6245" s="2">
        <v>1050000</v>
      </c>
      <c r="F6245" t="s">
        <v>3528</v>
      </c>
      <c r="G6245" s="17" t="str">
        <f>HYPERLINK("https://www.washoecounty.gov/assessor/cama/?command=sales&amp;parid=23260220","3947350")</f>
        <v>3947350</v>
      </c>
      <c r="H6245" t="s">
        <v>30359</v>
      </c>
      <c r="I6245">
        <v>0</v>
      </c>
      <c r="J6245">
        <v>0</v>
      </c>
      <c r="K6245" t="s">
        <v>4655</v>
      </c>
      <c r="L6245" t="s">
        <v>4655</v>
      </c>
      <c r="M6245" s="2">
        <v>0</v>
      </c>
      <c r="N6245" t="s">
        <v>4655</v>
      </c>
      <c r="O6245">
        <v>0</v>
      </c>
      <c r="P6245">
        <v>0</v>
      </c>
      <c r="Q6245">
        <v>0</v>
      </c>
      <c r="R6245" t="s">
        <v>4655</v>
      </c>
      <c r="S6245" t="s">
        <v>4655</v>
      </c>
      <c r="T6245" t="s">
        <v>4655</v>
      </c>
      <c r="U6245" t="s">
        <v>4655</v>
      </c>
      <c r="V6245" s="2">
        <v>0</v>
      </c>
      <c r="W6245" t="s">
        <v>4655</v>
      </c>
      <c r="X6245" s="2">
        <v>0</v>
      </c>
      <c r="Y6245">
        <v>12</v>
      </c>
      <c r="Z6245" t="s">
        <v>1491</v>
      </c>
      <c r="AA6245" s="3">
        <v>1.4374655485153198</v>
      </c>
      <c r="AB6245" t="s">
        <v>4414</v>
      </c>
      <c r="AC6245" t="s">
        <v>4562</v>
      </c>
      <c r="AD6245" t="s">
        <v>29980</v>
      </c>
      <c r="AE6245" t="s">
        <v>4655</v>
      </c>
      <c r="AF6245" t="s">
        <v>1189</v>
      </c>
      <c r="AG6245" t="s">
        <v>4564</v>
      </c>
      <c r="AH6245" t="s">
        <v>2078</v>
      </c>
      <c r="AI6245" t="s">
        <v>29981</v>
      </c>
      <c r="AJ6245" t="s">
        <v>30360</v>
      </c>
      <c r="AK6245" t="s">
        <v>30389</v>
      </c>
      <c r="AL6245" s="13" t="s">
        <v>1897</v>
      </c>
      <c r="AM6245" s="14">
        <v>0</v>
      </c>
      <c r="AN6245" s="15" t="s">
        <v>4603</v>
      </c>
    </row>
    <row r="6246" spans="1:40" x14ac:dyDescent="0.3">
      <c r="A6246" s="10" t="str">
        <f>HYPERLINK("http://www.washoecounty.gov/assessor/cama/?parid=232-602-21&amp;CardNumber=1","232-602-21")</f>
        <v>232-602-21</v>
      </c>
      <c r="B6246" t="s">
        <v>4655</v>
      </c>
      <c r="C6246" t="s">
        <v>30390</v>
      </c>
      <c r="D6246" s="1">
        <v>40511</v>
      </c>
      <c r="E6246" s="2">
        <v>1050000</v>
      </c>
      <c r="F6246" t="s">
        <v>3528</v>
      </c>
      <c r="G6246" s="17" t="str">
        <f>HYPERLINK("https://www.washoecounty.gov/assessor/cama/?command=sales&amp;parid=23260221","3947350")</f>
        <v>3947350</v>
      </c>
      <c r="H6246" t="s">
        <v>30359</v>
      </c>
      <c r="I6246">
        <v>0</v>
      </c>
      <c r="J6246">
        <v>0</v>
      </c>
      <c r="K6246" t="s">
        <v>4655</v>
      </c>
      <c r="L6246" t="s">
        <v>4655</v>
      </c>
      <c r="M6246" s="2">
        <v>0</v>
      </c>
      <c r="N6246" t="s">
        <v>4655</v>
      </c>
      <c r="O6246">
        <v>0</v>
      </c>
      <c r="P6246">
        <v>0</v>
      </c>
      <c r="Q6246">
        <v>0</v>
      </c>
      <c r="R6246" t="s">
        <v>4655</v>
      </c>
      <c r="S6246" t="s">
        <v>4655</v>
      </c>
      <c r="T6246" t="s">
        <v>4655</v>
      </c>
      <c r="U6246" t="s">
        <v>4655</v>
      </c>
      <c r="V6246" s="2">
        <v>0</v>
      </c>
      <c r="W6246" t="s">
        <v>4655</v>
      </c>
      <c r="X6246" s="2">
        <v>0</v>
      </c>
      <c r="Y6246">
        <v>12</v>
      </c>
      <c r="Z6246" t="s">
        <v>1491</v>
      </c>
      <c r="AA6246" s="3">
        <v>1.2161846160888601</v>
      </c>
      <c r="AB6246" t="s">
        <v>4414</v>
      </c>
      <c r="AC6246" t="s">
        <v>4562</v>
      </c>
      <c r="AD6246" t="s">
        <v>29980</v>
      </c>
      <c r="AE6246" t="s">
        <v>4655</v>
      </c>
      <c r="AF6246" t="s">
        <v>1189</v>
      </c>
      <c r="AG6246" t="s">
        <v>4564</v>
      </c>
      <c r="AH6246" t="s">
        <v>2078</v>
      </c>
      <c r="AI6246" t="s">
        <v>29981</v>
      </c>
      <c r="AJ6246" t="s">
        <v>30360</v>
      </c>
      <c r="AK6246" t="s">
        <v>30391</v>
      </c>
      <c r="AL6246" s="13" t="s">
        <v>1897</v>
      </c>
      <c r="AM6246">
        <v>0</v>
      </c>
      <c r="AN6246" s="15" t="s">
        <v>4603</v>
      </c>
    </row>
    <row r="6247" spans="1:40" x14ac:dyDescent="0.3">
      <c r="A6247" s="10" t="str">
        <f>HYPERLINK("http://www.washoecounty.gov/assessor/cama/?parid=232-602-22&amp;CardNumber=1","232-602-22")</f>
        <v>232-602-22</v>
      </c>
      <c r="B6247" t="s">
        <v>4655</v>
      </c>
      <c r="C6247" t="s">
        <v>30392</v>
      </c>
      <c r="D6247" s="1">
        <v>40511</v>
      </c>
      <c r="E6247" s="2">
        <v>1050000</v>
      </c>
      <c r="F6247" t="s">
        <v>3528</v>
      </c>
      <c r="G6247" s="17" t="str">
        <f>HYPERLINK("https://www.washoecounty.gov/assessor/cama/?command=sales&amp;parid=23260222","3947350")</f>
        <v>3947350</v>
      </c>
      <c r="H6247" t="s">
        <v>30359</v>
      </c>
      <c r="I6247">
        <v>0</v>
      </c>
      <c r="J6247">
        <v>0</v>
      </c>
      <c r="K6247" t="s">
        <v>4655</v>
      </c>
      <c r="L6247" t="s">
        <v>4655</v>
      </c>
      <c r="M6247" s="2">
        <v>0</v>
      </c>
      <c r="N6247" t="s">
        <v>4655</v>
      </c>
      <c r="O6247">
        <v>0</v>
      </c>
      <c r="P6247">
        <v>0</v>
      </c>
      <c r="Q6247">
        <v>0</v>
      </c>
      <c r="R6247" t="s">
        <v>4655</v>
      </c>
      <c r="S6247" t="s">
        <v>4655</v>
      </c>
      <c r="T6247" t="s">
        <v>4655</v>
      </c>
      <c r="U6247" t="s">
        <v>4655</v>
      </c>
      <c r="V6247" s="2">
        <v>0</v>
      </c>
      <c r="W6247" t="s">
        <v>4655</v>
      </c>
      <c r="X6247" s="2">
        <v>0</v>
      </c>
      <c r="Y6247">
        <v>12</v>
      </c>
      <c r="Z6247" t="s">
        <v>1491</v>
      </c>
      <c r="AA6247" s="3">
        <v>0.86303949356079102</v>
      </c>
      <c r="AB6247" t="s">
        <v>4414</v>
      </c>
      <c r="AC6247" t="s">
        <v>4562</v>
      </c>
      <c r="AD6247" t="s">
        <v>29980</v>
      </c>
      <c r="AE6247" t="s">
        <v>4655</v>
      </c>
      <c r="AF6247" t="s">
        <v>1189</v>
      </c>
      <c r="AG6247" t="s">
        <v>4564</v>
      </c>
      <c r="AH6247" t="s">
        <v>2078</v>
      </c>
      <c r="AI6247" t="s">
        <v>29981</v>
      </c>
      <c r="AJ6247" t="s">
        <v>30360</v>
      </c>
      <c r="AK6247" t="s">
        <v>30393</v>
      </c>
      <c r="AL6247" s="13" t="s">
        <v>1897</v>
      </c>
      <c r="AM6247">
        <v>0</v>
      </c>
      <c r="AN6247" s="15" t="s">
        <v>4603</v>
      </c>
    </row>
    <row r="6248" spans="1:40" x14ac:dyDescent="0.3">
      <c r="A6248" s="10" t="str">
        <f>HYPERLINK("http://www.washoecounty.gov/assessor/cama/?parid=232-602-23&amp;CardNumber=1","232-602-23")</f>
        <v>232-602-23</v>
      </c>
      <c r="B6248" t="s">
        <v>4655</v>
      </c>
      <c r="C6248" t="s">
        <v>30394</v>
      </c>
      <c r="D6248" s="1">
        <v>40511</v>
      </c>
      <c r="E6248" s="2">
        <v>1050000</v>
      </c>
      <c r="F6248" t="s">
        <v>3528</v>
      </c>
      <c r="G6248" s="17" t="str">
        <f>HYPERLINK("https://www.washoecounty.gov/assessor/cama/?command=sales&amp;parid=23260223","3947350")</f>
        <v>3947350</v>
      </c>
      <c r="H6248" t="s">
        <v>30359</v>
      </c>
      <c r="I6248">
        <v>0</v>
      </c>
      <c r="J6248">
        <v>0</v>
      </c>
      <c r="K6248" t="s">
        <v>4655</v>
      </c>
      <c r="L6248" t="s">
        <v>4655</v>
      </c>
      <c r="M6248" s="2">
        <v>0</v>
      </c>
      <c r="N6248" t="s">
        <v>4655</v>
      </c>
      <c r="O6248">
        <v>0</v>
      </c>
      <c r="P6248">
        <v>0</v>
      </c>
      <c r="Q6248">
        <v>0</v>
      </c>
      <c r="R6248" t="s">
        <v>4655</v>
      </c>
      <c r="S6248" t="s">
        <v>4655</v>
      </c>
      <c r="T6248" t="s">
        <v>4655</v>
      </c>
      <c r="U6248" t="s">
        <v>4655</v>
      </c>
      <c r="V6248" s="2">
        <v>0</v>
      </c>
      <c r="W6248" t="s">
        <v>4655</v>
      </c>
      <c r="X6248" s="2">
        <v>0</v>
      </c>
      <c r="Y6248">
        <v>12</v>
      </c>
      <c r="Z6248" t="s">
        <v>1491</v>
      </c>
      <c r="AA6248" s="3">
        <v>0.90913683176040605</v>
      </c>
      <c r="AB6248" t="s">
        <v>4414</v>
      </c>
      <c r="AC6248" t="s">
        <v>4562</v>
      </c>
      <c r="AD6248" t="s">
        <v>29980</v>
      </c>
      <c r="AE6248" t="s">
        <v>4655</v>
      </c>
      <c r="AF6248" t="s">
        <v>1189</v>
      </c>
      <c r="AG6248" t="s">
        <v>4564</v>
      </c>
      <c r="AH6248" t="s">
        <v>2078</v>
      </c>
      <c r="AI6248" t="s">
        <v>29981</v>
      </c>
      <c r="AJ6248" t="s">
        <v>30360</v>
      </c>
      <c r="AK6248" t="s">
        <v>30395</v>
      </c>
      <c r="AL6248" s="13" t="s">
        <v>1897</v>
      </c>
      <c r="AM6248" s="14">
        <v>0</v>
      </c>
      <c r="AN6248" s="15" t="s">
        <v>4603</v>
      </c>
    </row>
    <row r="6249" spans="1:40" x14ac:dyDescent="0.3">
      <c r="A6249" s="10" t="str">
        <f>HYPERLINK("http://www.washoecounty.gov/assessor/cama/?parid=232-602-24&amp;CardNumber=1","232-602-24")</f>
        <v>232-602-24</v>
      </c>
      <c r="B6249" t="s">
        <v>4655</v>
      </c>
      <c r="C6249" t="s">
        <v>30396</v>
      </c>
      <c r="D6249" s="1">
        <v>40511</v>
      </c>
      <c r="E6249" s="2">
        <v>1050000</v>
      </c>
      <c r="F6249" t="s">
        <v>3528</v>
      </c>
      <c r="G6249" s="17" t="str">
        <f>HYPERLINK("https://www.washoecounty.gov/assessor/cama/?command=sales&amp;parid=23260224","3947350")</f>
        <v>3947350</v>
      </c>
      <c r="H6249" t="s">
        <v>30359</v>
      </c>
      <c r="I6249">
        <v>0</v>
      </c>
      <c r="J6249">
        <v>0</v>
      </c>
      <c r="K6249" t="s">
        <v>4655</v>
      </c>
      <c r="L6249" t="s">
        <v>4655</v>
      </c>
      <c r="M6249" s="2">
        <v>0</v>
      </c>
      <c r="N6249" t="s">
        <v>4655</v>
      </c>
      <c r="O6249">
        <v>0</v>
      </c>
      <c r="P6249">
        <v>0</v>
      </c>
      <c r="Q6249">
        <v>0</v>
      </c>
      <c r="R6249" t="s">
        <v>4655</v>
      </c>
      <c r="S6249" t="s">
        <v>4655</v>
      </c>
      <c r="T6249" t="s">
        <v>4655</v>
      </c>
      <c r="U6249" t="s">
        <v>4655</v>
      </c>
      <c r="V6249" s="2">
        <v>0</v>
      </c>
      <c r="W6249" t="s">
        <v>4655</v>
      </c>
      <c r="X6249" s="2">
        <v>0</v>
      </c>
      <c r="Y6249">
        <v>12</v>
      </c>
      <c r="Z6249" t="s">
        <v>1491</v>
      </c>
      <c r="AA6249" s="3">
        <v>0.93342518806457497</v>
      </c>
      <c r="AB6249" t="s">
        <v>4414</v>
      </c>
      <c r="AC6249" t="s">
        <v>4562</v>
      </c>
      <c r="AD6249" t="s">
        <v>29980</v>
      </c>
      <c r="AE6249" t="s">
        <v>4655</v>
      </c>
      <c r="AF6249" t="s">
        <v>1189</v>
      </c>
      <c r="AG6249" t="s">
        <v>4564</v>
      </c>
      <c r="AH6249" t="s">
        <v>2078</v>
      </c>
      <c r="AI6249" t="s">
        <v>29981</v>
      </c>
      <c r="AJ6249" t="s">
        <v>30360</v>
      </c>
      <c r="AK6249" t="s">
        <v>30397</v>
      </c>
      <c r="AL6249" s="13" t="s">
        <v>1897</v>
      </c>
      <c r="AM6249" s="14">
        <v>0</v>
      </c>
      <c r="AN6249" s="15" t="s">
        <v>4603</v>
      </c>
    </row>
    <row r="6250" spans="1:40" x14ac:dyDescent="0.3">
      <c r="A6250" s="10" t="str">
        <f>HYPERLINK("http://www.washoecounty.gov/assessor/cama/?parid=232-602-27&amp;CardNumber=1","232-602-27")</f>
        <v>232-602-27</v>
      </c>
      <c r="B6250" t="s">
        <v>4655</v>
      </c>
      <c r="C6250" t="s">
        <v>30398</v>
      </c>
      <c r="D6250" s="1">
        <v>40511</v>
      </c>
      <c r="E6250" s="2">
        <v>1050000</v>
      </c>
      <c r="F6250" t="s">
        <v>3528</v>
      </c>
      <c r="G6250" s="17" t="str">
        <f>HYPERLINK("https://www.washoecounty.gov/assessor/cama/?command=sales&amp;parid=23260227","3947350")</f>
        <v>3947350</v>
      </c>
      <c r="H6250" t="s">
        <v>30375</v>
      </c>
      <c r="I6250">
        <v>0</v>
      </c>
      <c r="J6250">
        <v>0</v>
      </c>
      <c r="K6250" t="s">
        <v>4655</v>
      </c>
      <c r="L6250" t="s">
        <v>4655</v>
      </c>
      <c r="M6250" s="2">
        <v>0</v>
      </c>
      <c r="N6250" t="s">
        <v>4655</v>
      </c>
      <c r="O6250">
        <v>0</v>
      </c>
      <c r="P6250">
        <v>0</v>
      </c>
      <c r="Q6250">
        <v>0</v>
      </c>
      <c r="R6250" t="s">
        <v>4655</v>
      </c>
      <c r="S6250" t="s">
        <v>4655</v>
      </c>
      <c r="T6250" t="s">
        <v>4655</v>
      </c>
      <c r="U6250" t="s">
        <v>4655</v>
      </c>
      <c r="V6250" s="2">
        <v>0</v>
      </c>
      <c r="W6250" t="s">
        <v>4655</v>
      </c>
      <c r="X6250" s="2">
        <v>0</v>
      </c>
      <c r="Y6250">
        <v>12</v>
      </c>
      <c r="Z6250" t="s">
        <v>1491</v>
      </c>
      <c r="AA6250" s="3">
        <v>0.70105600357055597</v>
      </c>
      <c r="AB6250" t="s">
        <v>4414</v>
      </c>
      <c r="AC6250" t="s">
        <v>4562</v>
      </c>
      <c r="AD6250" t="s">
        <v>29980</v>
      </c>
      <c r="AE6250" t="s">
        <v>4655</v>
      </c>
      <c r="AF6250" t="s">
        <v>1189</v>
      </c>
      <c r="AG6250" t="s">
        <v>4564</v>
      </c>
      <c r="AH6250" t="s">
        <v>2078</v>
      </c>
      <c r="AI6250" t="s">
        <v>29981</v>
      </c>
      <c r="AJ6250" t="s">
        <v>30376</v>
      </c>
      <c r="AK6250" t="s">
        <v>30399</v>
      </c>
      <c r="AL6250" s="13" t="s">
        <v>1897</v>
      </c>
      <c r="AM6250" s="14">
        <v>0</v>
      </c>
      <c r="AN6250" s="15" t="s">
        <v>4603</v>
      </c>
    </row>
    <row r="6251" spans="1:40" x14ac:dyDescent="0.3">
      <c r="A6251" s="10" t="str">
        <f>HYPERLINK("http://www.washoecounty.gov/assessor/cama/?parid=232-602-29&amp;CardNumber=1","232-602-29")</f>
        <v>232-602-29</v>
      </c>
      <c r="B6251" t="s">
        <v>4655</v>
      </c>
      <c r="C6251" t="s">
        <v>30400</v>
      </c>
      <c r="D6251" s="1">
        <v>40511</v>
      </c>
      <c r="E6251" s="2">
        <v>1050000</v>
      </c>
      <c r="F6251" t="s">
        <v>3528</v>
      </c>
      <c r="G6251" s="17" t="str">
        <f>HYPERLINK("https://www.washoecounty.gov/assessor/cama/?command=sales&amp;parid=23260229","3947350")</f>
        <v>3947350</v>
      </c>
      <c r="H6251" t="s">
        <v>30375</v>
      </c>
      <c r="I6251">
        <v>0</v>
      </c>
      <c r="J6251">
        <v>0</v>
      </c>
      <c r="K6251" t="s">
        <v>4655</v>
      </c>
      <c r="L6251" t="s">
        <v>4655</v>
      </c>
      <c r="M6251" s="2">
        <v>0</v>
      </c>
      <c r="N6251" t="s">
        <v>4655</v>
      </c>
      <c r="O6251">
        <v>0</v>
      </c>
      <c r="P6251">
        <v>0</v>
      </c>
      <c r="Q6251">
        <v>0</v>
      </c>
      <c r="R6251" t="s">
        <v>4655</v>
      </c>
      <c r="S6251" t="s">
        <v>4655</v>
      </c>
      <c r="T6251" t="s">
        <v>4655</v>
      </c>
      <c r="U6251" t="s">
        <v>4655</v>
      </c>
      <c r="V6251" s="2">
        <v>0</v>
      </c>
      <c r="W6251" t="s">
        <v>4655</v>
      </c>
      <c r="X6251" s="2">
        <v>0</v>
      </c>
      <c r="Y6251">
        <v>12</v>
      </c>
      <c r="Z6251" t="s">
        <v>1491</v>
      </c>
      <c r="AA6251" s="3">
        <v>1.17963731288909</v>
      </c>
      <c r="AB6251" t="s">
        <v>4414</v>
      </c>
      <c r="AC6251" t="s">
        <v>4562</v>
      </c>
      <c r="AD6251" t="s">
        <v>29980</v>
      </c>
      <c r="AE6251" t="s">
        <v>4655</v>
      </c>
      <c r="AF6251" t="s">
        <v>1189</v>
      </c>
      <c r="AG6251" t="s">
        <v>4564</v>
      </c>
      <c r="AH6251" t="s">
        <v>2078</v>
      </c>
      <c r="AI6251" t="s">
        <v>29981</v>
      </c>
      <c r="AJ6251" t="s">
        <v>30376</v>
      </c>
      <c r="AK6251" t="s">
        <v>30401</v>
      </c>
      <c r="AL6251" s="13" t="s">
        <v>1897</v>
      </c>
      <c r="AM6251" s="14">
        <v>0</v>
      </c>
      <c r="AN6251" s="15" t="s">
        <v>4603</v>
      </c>
    </row>
    <row r="6252" spans="1:40" x14ac:dyDescent="0.3">
      <c r="A6252" s="10" t="str">
        <f>HYPERLINK("http://www.washoecounty.gov/assessor/cama/?parid=232-602-31&amp;CardNumber=1","232-602-31")</f>
        <v>232-602-31</v>
      </c>
      <c r="B6252" t="s">
        <v>4655</v>
      </c>
      <c r="C6252" t="s">
        <v>30402</v>
      </c>
      <c r="D6252" s="1">
        <v>40511</v>
      </c>
      <c r="E6252" s="2">
        <v>1050000</v>
      </c>
      <c r="F6252" t="s">
        <v>3528</v>
      </c>
      <c r="G6252" s="17" t="str">
        <f>HYPERLINK("https://www.washoecounty.gov/assessor/cama/?command=sales&amp;parid=23260231","3947350")</f>
        <v>3947350</v>
      </c>
      <c r="H6252" t="s">
        <v>30403</v>
      </c>
      <c r="I6252">
        <v>0</v>
      </c>
      <c r="J6252">
        <v>0</v>
      </c>
      <c r="K6252" t="s">
        <v>4655</v>
      </c>
      <c r="L6252" t="s">
        <v>4655</v>
      </c>
      <c r="M6252" s="2">
        <v>0</v>
      </c>
      <c r="N6252" t="s">
        <v>4655</v>
      </c>
      <c r="O6252">
        <v>0</v>
      </c>
      <c r="P6252">
        <v>0</v>
      </c>
      <c r="Q6252">
        <v>0</v>
      </c>
      <c r="R6252" t="s">
        <v>4655</v>
      </c>
      <c r="S6252" t="s">
        <v>4655</v>
      </c>
      <c r="T6252" t="s">
        <v>4655</v>
      </c>
      <c r="U6252" t="s">
        <v>4655</v>
      </c>
      <c r="V6252" s="2">
        <v>0</v>
      </c>
      <c r="W6252" t="s">
        <v>4655</v>
      </c>
      <c r="X6252" s="2">
        <v>0</v>
      </c>
      <c r="Y6252">
        <v>12</v>
      </c>
      <c r="Z6252" t="s">
        <v>1491</v>
      </c>
      <c r="AA6252" s="3">
        <v>1.1001836061477599</v>
      </c>
      <c r="AB6252" t="s">
        <v>4414</v>
      </c>
      <c r="AC6252" t="s">
        <v>4562</v>
      </c>
      <c r="AD6252" t="s">
        <v>29980</v>
      </c>
      <c r="AE6252" t="s">
        <v>4655</v>
      </c>
      <c r="AF6252" t="s">
        <v>1189</v>
      </c>
      <c r="AG6252" t="s">
        <v>4564</v>
      </c>
      <c r="AH6252" t="s">
        <v>2078</v>
      </c>
      <c r="AI6252" t="s">
        <v>4414</v>
      </c>
      <c r="AJ6252" t="s">
        <v>30404</v>
      </c>
      <c r="AK6252" t="s">
        <v>30405</v>
      </c>
      <c r="AL6252" s="13" t="s">
        <v>1897</v>
      </c>
      <c r="AM6252">
        <v>0</v>
      </c>
      <c r="AN6252" s="15" t="s">
        <v>4603</v>
      </c>
    </row>
    <row r="6253" spans="1:40" x14ac:dyDescent="0.3">
      <c r="A6253" s="10" t="str">
        <f>HYPERLINK("http://www.washoecounty.gov/assessor/cama/?parid=232-602-32&amp;CardNumber=1","232-602-32")</f>
        <v>232-602-32</v>
      </c>
      <c r="B6253" t="s">
        <v>4655</v>
      </c>
      <c r="C6253" t="s">
        <v>30406</v>
      </c>
      <c r="D6253" s="1">
        <v>40511</v>
      </c>
      <c r="E6253" s="2">
        <v>1050000</v>
      </c>
      <c r="F6253" t="s">
        <v>3528</v>
      </c>
      <c r="G6253" s="17" t="str">
        <f>HYPERLINK("https://www.washoecounty.gov/assessor/cama/?command=sales&amp;parid=23260232","3947350")</f>
        <v>3947350</v>
      </c>
      <c r="H6253" t="s">
        <v>30403</v>
      </c>
      <c r="I6253">
        <v>0</v>
      </c>
      <c r="J6253">
        <v>0</v>
      </c>
      <c r="K6253" t="s">
        <v>4655</v>
      </c>
      <c r="L6253" t="s">
        <v>4655</v>
      </c>
      <c r="M6253" s="2">
        <v>0</v>
      </c>
      <c r="N6253" t="s">
        <v>4655</v>
      </c>
      <c r="O6253">
        <v>0</v>
      </c>
      <c r="P6253">
        <v>0</v>
      </c>
      <c r="Q6253">
        <v>0</v>
      </c>
      <c r="R6253" t="s">
        <v>4655</v>
      </c>
      <c r="S6253" t="s">
        <v>4655</v>
      </c>
      <c r="T6253" t="s">
        <v>4655</v>
      </c>
      <c r="U6253" t="s">
        <v>4655</v>
      </c>
      <c r="V6253" s="2">
        <v>0</v>
      </c>
      <c r="W6253" t="s">
        <v>4655</v>
      </c>
      <c r="X6253" s="2">
        <v>0</v>
      </c>
      <c r="Y6253">
        <v>12</v>
      </c>
      <c r="Z6253" t="s">
        <v>1491</v>
      </c>
      <c r="AA6253" s="3">
        <v>0.77828282117843595</v>
      </c>
      <c r="AB6253" t="s">
        <v>4414</v>
      </c>
      <c r="AC6253" t="s">
        <v>4562</v>
      </c>
      <c r="AD6253" t="s">
        <v>29980</v>
      </c>
      <c r="AE6253" t="s">
        <v>4655</v>
      </c>
      <c r="AF6253" t="s">
        <v>1189</v>
      </c>
      <c r="AG6253" t="s">
        <v>4564</v>
      </c>
      <c r="AH6253" t="s">
        <v>2078</v>
      </c>
      <c r="AI6253" t="s">
        <v>4414</v>
      </c>
      <c r="AJ6253" t="s">
        <v>30404</v>
      </c>
      <c r="AK6253" t="s">
        <v>30407</v>
      </c>
      <c r="AL6253" s="13" t="s">
        <v>1897</v>
      </c>
      <c r="AM6253">
        <v>0</v>
      </c>
      <c r="AN6253" s="15" t="s">
        <v>4603</v>
      </c>
    </row>
    <row r="6254" spans="1:40" x14ac:dyDescent="0.3">
      <c r="A6254" s="10" t="str">
        <f>HYPERLINK("http://www.washoecounty.gov/assessor/cama/?parid=232-602-33&amp;CardNumber=1","232-602-33")</f>
        <v>232-602-33</v>
      </c>
      <c r="B6254" t="s">
        <v>4655</v>
      </c>
      <c r="C6254" t="s">
        <v>30408</v>
      </c>
      <c r="D6254" s="1">
        <v>40511</v>
      </c>
      <c r="E6254" s="2">
        <v>1050000</v>
      </c>
      <c r="F6254" t="s">
        <v>3528</v>
      </c>
      <c r="G6254" s="17" t="str">
        <f>HYPERLINK("https://www.washoecounty.gov/assessor/cama/?command=sales&amp;parid=23260233","3947350")</f>
        <v>3947350</v>
      </c>
      <c r="H6254" t="s">
        <v>30403</v>
      </c>
      <c r="I6254">
        <v>0</v>
      </c>
      <c r="J6254">
        <v>0</v>
      </c>
      <c r="K6254" t="s">
        <v>4655</v>
      </c>
      <c r="L6254" t="s">
        <v>4655</v>
      </c>
      <c r="M6254" s="2">
        <v>0</v>
      </c>
      <c r="N6254" t="s">
        <v>4655</v>
      </c>
      <c r="O6254">
        <v>0</v>
      </c>
      <c r="P6254">
        <v>0</v>
      </c>
      <c r="Q6254">
        <v>0</v>
      </c>
      <c r="R6254" t="s">
        <v>4655</v>
      </c>
      <c r="S6254" t="s">
        <v>4655</v>
      </c>
      <c r="T6254" t="s">
        <v>4655</v>
      </c>
      <c r="U6254" t="s">
        <v>4655</v>
      </c>
      <c r="V6254" s="2">
        <v>0</v>
      </c>
      <c r="W6254" t="s">
        <v>4655</v>
      </c>
      <c r="X6254" s="2">
        <v>0</v>
      </c>
      <c r="Y6254">
        <v>12</v>
      </c>
      <c r="Z6254" t="s">
        <v>1491</v>
      </c>
      <c r="AA6254" s="3">
        <v>0.560743808746337</v>
      </c>
      <c r="AB6254" t="s">
        <v>4414</v>
      </c>
      <c r="AC6254" t="s">
        <v>4562</v>
      </c>
      <c r="AD6254" t="s">
        <v>29980</v>
      </c>
      <c r="AE6254" t="s">
        <v>4655</v>
      </c>
      <c r="AF6254" t="s">
        <v>1189</v>
      </c>
      <c r="AG6254" t="s">
        <v>4564</v>
      </c>
      <c r="AH6254" t="s">
        <v>2078</v>
      </c>
      <c r="AI6254" t="s">
        <v>4414</v>
      </c>
      <c r="AJ6254" t="s">
        <v>30404</v>
      </c>
      <c r="AK6254" t="s">
        <v>30409</v>
      </c>
      <c r="AL6254" s="13" t="s">
        <v>1897</v>
      </c>
      <c r="AM6254">
        <v>0</v>
      </c>
      <c r="AN6254" s="15" t="s">
        <v>4603</v>
      </c>
    </row>
    <row r="6255" spans="1:40" x14ac:dyDescent="0.3">
      <c r="A6255" s="10" t="str">
        <f>HYPERLINK("http://www.washoecounty.gov/assessor/cama/?parid=232-603-02&amp;CardNumber=1","232-603-02")</f>
        <v>232-603-02</v>
      </c>
      <c r="B6255" t="s">
        <v>4655</v>
      </c>
      <c r="C6255" t="s">
        <v>30410</v>
      </c>
      <c r="D6255" s="1">
        <v>40511</v>
      </c>
      <c r="E6255" s="2">
        <v>1050000</v>
      </c>
      <c r="F6255" t="s">
        <v>3528</v>
      </c>
      <c r="G6255" s="17" t="str">
        <f>HYPERLINK("https://www.washoecounty.gov/assessor/cama/?command=sales&amp;parid=23260302","3947350")</f>
        <v>3947350</v>
      </c>
      <c r="H6255" t="s">
        <v>30359</v>
      </c>
      <c r="I6255">
        <v>0</v>
      </c>
      <c r="J6255">
        <v>0</v>
      </c>
      <c r="K6255" t="s">
        <v>4655</v>
      </c>
      <c r="L6255" t="s">
        <v>4655</v>
      </c>
      <c r="M6255" s="2">
        <v>0</v>
      </c>
      <c r="N6255" t="s">
        <v>4655</v>
      </c>
      <c r="O6255">
        <v>0</v>
      </c>
      <c r="P6255">
        <v>0</v>
      </c>
      <c r="Q6255">
        <v>0</v>
      </c>
      <c r="R6255" t="s">
        <v>4655</v>
      </c>
      <c r="S6255" t="s">
        <v>4655</v>
      </c>
      <c r="T6255" t="s">
        <v>4655</v>
      </c>
      <c r="U6255" t="s">
        <v>4655</v>
      </c>
      <c r="V6255" s="2">
        <v>0</v>
      </c>
      <c r="W6255" t="s">
        <v>4655</v>
      </c>
      <c r="X6255" s="2">
        <v>0</v>
      </c>
      <c r="Y6255">
        <v>12</v>
      </c>
      <c r="Z6255" t="s">
        <v>1491</v>
      </c>
      <c r="AA6255" s="3">
        <v>0.58321857452392578</v>
      </c>
      <c r="AB6255" t="s">
        <v>4414</v>
      </c>
      <c r="AC6255" t="s">
        <v>4562</v>
      </c>
      <c r="AD6255" t="s">
        <v>29980</v>
      </c>
      <c r="AE6255" t="s">
        <v>4655</v>
      </c>
      <c r="AF6255" t="s">
        <v>1189</v>
      </c>
      <c r="AG6255" t="s">
        <v>4564</v>
      </c>
      <c r="AH6255" t="s">
        <v>2078</v>
      </c>
      <c r="AI6255" t="s">
        <v>29981</v>
      </c>
      <c r="AJ6255" t="s">
        <v>30360</v>
      </c>
      <c r="AK6255" t="s">
        <v>30411</v>
      </c>
      <c r="AL6255" s="13" t="s">
        <v>1897</v>
      </c>
      <c r="AM6255" s="14">
        <v>0</v>
      </c>
      <c r="AN6255" s="15" t="s">
        <v>4603</v>
      </c>
    </row>
    <row r="6256" spans="1:40" x14ac:dyDescent="0.3">
      <c r="A6256" s="10" t="str">
        <f>HYPERLINK("http://www.washoecounty.gov/assessor/cama/?parid=232-603-06&amp;CardNumber=1","232-603-06")</f>
        <v>232-603-06</v>
      </c>
      <c r="B6256" t="s">
        <v>4655</v>
      </c>
      <c r="C6256" t="s">
        <v>30412</v>
      </c>
      <c r="D6256" s="1">
        <v>40511</v>
      </c>
      <c r="E6256" s="2">
        <v>1050000</v>
      </c>
      <c r="F6256" t="s">
        <v>3528</v>
      </c>
      <c r="G6256" s="17" t="str">
        <f>HYPERLINK("https://www.washoecounty.gov/assessor/cama/?command=sales&amp;parid=23260306","3947350")</f>
        <v>3947350</v>
      </c>
      <c r="H6256" t="s">
        <v>30359</v>
      </c>
      <c r="I6256">
        <v>0</v>
      </c>
      <c r="J6256">
        <v>0</v>
      </c>
      <c r="K6256" t="s">
        <v>4655</v>
      </c>
      <c r="L6256" t="s">
        <v>4655</v>
      </c>
      <c r="M6256" s="2">
        <v>0</v>
      </c>
      <c r="N6256" t="s">
        <v>4655</v>
      </c>
      <c r="O6256">
        <v>0</v>
      </c>
      <c r="P6256">
        <v>0</v>
      </c>
      <c r="Q6256">
        <v>0</v>
      </c>
      <c r="R6256" t="s">
        <v>4655</v>
      </c>
      <c r="S6256" t="s">
        <v>4655</v>
      </c>
      <c r="T6256" t="s">
        <v>4655</v>
      </c>
      <c r="U6256" t="s">
        <v>4655</v>
      </c>
      <c r="V6256" s="2">
        <v>0</v>
      </c>
      <c r="W6256" t="s">
        <v>4655</v>
      </c>
      <c r="X6256" s="2">
        <v>0</v>
      </c>
      <c r="Y6256">
        <v>12</v>
      </c>
      <c r="Z6256" t="s">
        <v>1491</v>
      </c>
      <c r="AA6256" s="3">
        <v>0.6926538348197937</v>
      </c>
      <c r="AB6256" t="s">
        <v>4414</v>
      </c>
      <c r="AC6256" t="s">
        <v>4562</v>
      </c>
      <c r="AD6256" t="s">
        <v>29980</v>
      </c>
      <c r="AE6256" t="s">
        <v>4655</v>
      </c>
      <c r="AF6256" t="s">
        <v>1189</v>
      </c>
      <c r="AG6256" t="s">
        <v>4564</v>
      </c>
      <c r="AH6256" t="s">
        <v>2078</v>
      </c>
      <c r="AI6256" t="s">
        <v>29981</v>
      </c>
      <c r="AJ6256" t="s">
        <v>30360</v>
      </c>
      <c r="AK6256" t="s">
        <v>30413</v>
      </c>
      <c r="AL6256" s="13" t="s">
        <v>1897</v>
      </c>
      <c r="AM6256" s="14">
        <v>0</v>
      </c>
      <c r="AN6256" s="15" t="s">
        <v>4603</v>
      </c>
    </row>
    <row r="6257" spans="1:40" x14ac:dyDescent="0.3">
      <c r="A6257" s="10" t="str">
        <f>HYPERLINK("http://www.washoecounty.gov/assessor/cama/?parid=232-603-09&amp;CardNumber=1","232-603-09")</f>
        <v>232-603-09</v>
      </c>
      <c r="B6257" t="s">
        <v>4655</v>
      </c>
      <c r="C6257" t="s">
        <v>30414</v>
      </c>
      <c r="D6257" s="1">
        <v>40511</v>
      </c>
      <c r="E6257" s="2">
        <v>1050000</v>
      </c>
      <c r="F6257" t="s">
        <v>3528</v>
      </c>
      <c r="G6257" s="17" t="str">
        <f>HYPERLINK("https://www.washoecounty.gov/assessor/cama/?command=sales&amp;parid=23260309","3947350")</f>
        <v>3947350</v>
      </c>
      <c r="H6257" t="s">
        <v>30359</v>
      </c>
      <c r="I6257">
        <v>0</v>
      </c>
      <c r="J6257">
        <v>0</v>
      </c>
      <c r="K6257" t="s">
        <v>4655</v>
      </c>
      <c r="L6257" t="s">
        <v>4655</v>
      </c>
      <c r="M6257" s="2">
        <v>0</v>
      </c>
      <c r="N6257" t="s">
        <v>4655</v>
      </c>
      <c r="O6257">
        <v>0</v>
      </c>
      <c r="P6257">
        <v>0</v>
      </c>
      <c r="Q6257">
        <v>0</v>
      </c>
      <c r="R6257" t="s">
        <v>4655</v>
      </c>
      <c r="S6257" t="s">
        <v>4655</v>
      </c>
      <c r="T6257" t="s">
        <v>4655</v>
      </c>
      <c r="U6257" t="s">
        <v>4655</v>
      </c>
      <c r="V6257" s="2">
        <v>0</v>
      </c>
      <c r="W6257" t="s">
        <v>4655</v>
      </c>
      <c r="X6257" s="2">
        <v>0</v>
      </c>
      <c r="Y6257">
        <v>12</v>
      </c>
      <c r="Z6257" t="s">
        <v>1491</v>
      </c>
      <c r="AA6257" s="3">
        <v>0.97364556789398193</v>
      </c>
      <c r="AB6257" t="s">
        <v>4414</v>
      </c>
      <c r="AC6257" t="s">
        <v>4562</v>
      </c>
      <c r="AD6257" t="s">
        <v>29980</v>
      </c>
      <c r="AE6257" t="s">
        <v>4655</v>
      </c>
      <c r="AF6257" t="s">
        <v>1189</v>
      </c>
      <c r="AG6257" t="s">
        <v>4564</v>
      </c>
      <c r="AH6257" t="s">
        <v>2078</v>
      </c>
      <c r="AI6257" t="s">
        <v>29981</v>
      </c>
      <c r="AJ6257" t="s">
        <v>30360</v>
      </c>
      <c r="AK6257" t="s">
        <v>30415</v>
      </c>
      <c r="AL6257" s="13" t="s">
        <v>1897</v>
      </c>
      <c r="AM6257" s="14">
        <v>0</v>
      </c>
      <c r="AN6257" s="15" t="s">
        <v>4603</v>
      </c>
    </row>
    <row r="6258" spans="1:40" x14ac:dyDescent="0.3">
      <c r="A6258" s="10" t="str">
        <f>HYPERLINK("http://www.washoecounty.gov/assessor/cama/?parid=232-603-11&amp;CardNumber=1","232-603-11")</f>
        <v>232-603-11</v>
      </c>
      <c r="B6258" t="s">
        <v>4655</v>
      </c>
      <c r="C6258" t="s">
        <v>30416</v>
      </c>
      <c r="D6258" s="1">
        <v>40511</v>
      </c>
      <c r="E6258" s="2">
        <v>1050000</v>
      </c>
      <c r="F6258" t="s">
        <v>3528</v>
      </c>
      <c r="G6258" s="17" t="str">
        <f>HYPERLINK("https://www.washoecounty.gov/assessor/cama/?command=sales&amp;parid=23260311","3947350")</f>
        <v>3947350</v>
      </c>
      <c r="H6258" t="s">
        <v>30359</v>
      </c>
      <c r="I6258">
        <v>0</v>
      </c>
      <c r="J6258">
        <v>0</v>
      </c>
      <c r="K6258" t="s">
        <v>4655</v>
      </c>
      <c r="L6258" t="s">
        <v>4655</v>
      </c>
      <c r="M6258" s="2">
        <v>0</v>
      </c>
      <c r="N6258" t="s">
        <v>4655</v>
      </c>
      <c r="O6258">
        <v>0</v>
      </c>
      <c r="P6258">
        <v>0</v>
      </c>
      <c r="Q6258">
        <v>0</v>
      </c>
      <c r="R6258" t="s">
        <v>4655</v>
      </c>
      <c r="S6258" t="s">
        <v>4655</v>
      </c>
      <c r="T6258" t="s">
        <v>4655</v>
      </c>
      <c r="U6258" t="s">
        <v>4655</v>
      </c>
      <c r="V6258" s="2">
        <v>0</v>
      </c>
      <c r="W6258" t="s">
        <v>4655</v>
      </c>
      <c r="X6258" s="2">
        <v>0</v>
      </c>
      <c r="Y6258">
        <v>12</v>
      </c>
      <c r="Z6258" t="s">
        <v>1491</v>
      </c>
      <c r="AA6258" s="3">
        <v>0.77444905042648304</v>
      </c>
      <c r="AB6258" t="s">
        <v>4414</v>
      </c>
      <c r="AC6258" t="s">
        <v>4562</v>
      </c>
      <c r="AD6258" t="s">
        <v>29980</v>
      </c>
      <c r="AE6258" t="s">
        <v>4655</v>
      </c>
      <c r="AF6258" t="s">
        <v>1189</v>
      </c>
      <c r="AG6258" t="s">
        <v>4564</v>
      </c>
      <c r="AH6258" t="s">
        <v>2078</v>
      </c>
      <c r="AI6258" t="s">
        <v>29981</v>
      </c>
      <c r="AJ6258" t="s">
        <v>30360</v>
      </c>
      <c r="AK6258" t="s">
        <v>30417</v>
      </c>
      <c r="AL6258" s="13" t="s">
        <v>1897</v>
      </c>
      <c r="AM6258">
        <v>0</v>
      </c>
      <c r="AN6258" s="15" t="s">
        <v>4603</v>
      </c>
    </row>
    <row r="6259" spans="1:40" x14ac:dyDescent="0.3">
      <c r="A6259" s="10" t="str">
        <f>HYPERLINK("http://www.washoecounty.gov/assessor/cama/?parid=232-603-12&amp;CardNumber=1","232-603-12")</f>
        <v>232-603-12</v>
      </c>
      <c r="B6259" t="s">
        <v>4655</v>
      </c>
      <c r="C6259" t="s">
        <v>30418</v>
      </c>
      <c r="D6259" s="1">
        <v>40511</v>
      </c>
      <c r="E6259" s="2">
        <v>1050000</v>
      </c>
      <c r="F6259" t="s">
        <v>3528</v>
      </c>
      <c r="G6259" s="17" t="str">
        <f>HYPERLINK("https://www.washoecounty.gov/assessor/cama/?command=sales&amp;parid=23260312","3947350")</f>
        <v>3947350</v>
      </c>
      <c r="H6259" t="s">
        <v>30359</v>
      </c>
      <c r="I6259">
        <v>0</v>
      </c>
      <c r="J6259">
        <v>0</v>
      </c>
      <c r="K6259" t="s">
        <v>4655</v>
      </c>
      <c r="L6259" t="s">
        <v>4655</v>
      </c>
      <c r="M6259" s="2">
        <v>0</v>
      </c>
      <c r="N6259" t="s">
        <v>4655</v>
      </c>
      <c r="O6259">
        <v>0</v>
      </c>
      <c r="P6259">
        <v>0</v>
      </c>
      <c r="Q6259">
        <v>0</v>
      </c>
      <c r="R6259" t="s">
        <v>4655</v>
      </c>
      <c r="S6259" t="s">
        <v>4655</v>
      </c>
      <c r="T6259" t="s">
        <v>4655</v>
      </c>
      <c r="U6259" t="s">
        <v>4655</v>
      </c>
      <c r="V6259" s="2">
        <v>0</v>
      </c>
      <c r="W6259" t="s">
        <v>4655</v>
      </c>
      <c r="X6259" s="2">
        <v>0</v>
      </c>
      <c r="Y6259">
        <v>12</v>
      </c>
      <c r="Z6259" t="s">
        <v>1491</v>
      </c>
      <c r="AA6259" s="3">
        <v>0.69733703136444003</v>
      </c>
      <c r="AB6259" t="s">
        <v>4414</v>
      </c>
      <c r="AC6259" t="s">
        <v>4562</v>
      </c>
      <c r="AD6259" t="s">
        <v>29980</v>
      </c>
      <c r="AE6259" t="s">
        <v>4655</v>
      </c>
      <c r="AF6259" t="s">
        <v>1189</v>
      </c>
      <c r="AG6259" t="s">
        <v>4564</v>
      </c>
      <c r="AH6259" t="s">
        <v>2078</v>
      </c>
      <c r="AI6259" t="s">
        <v>29981</v>
      </c>
      <c r="AJ6259" t="s">
        <v>30360</v>
      </c>
      <c r="AK6259" t="s">
        <v>30419</v>
      </c>
      <c r="AL6259" s="13" t="s">
        <v>1897</v>
      </c>
      <c r="AM6259" s="14">
        <v>0</v>
      </c>
      <c r="AN6259" s="15" t="s">
        <v>4603</v>
      </c>
    </row>
    <row r="6260" spans="1:40" x14ac:dyDescent="0.3">
      <c r="A6260" s="10" t="str">
        <f>HYPERLINK("http://www.washoecounty.gov/assessor/cama/?parid=232-603-13&amp;CardNumber=1","232-603-13")</f>
        <v>232-603-13</v>
      </c>
      <c r="B6260" t="s">
        <v>4655</v>
      </c>
      <c r="C6260" t="s">
        <v>30420</v>
      </c>
      <c r="D6260" s="1">
        <v>40511</v>
      </c>
      <c r="E6260" s="2">
        <v>1050000</v>
      </c>
      <c r="F6260" t="s">
        <v>3528</v>
      </c>
      <c r="G6260" s="17" t="str">
        <f>HYPERLINK("https://www.washoecounty.gov/assessor/cama/?command=sales&amp;parid=23260313","3947350")</f>
        <v>3947350</v>
      </c>
      <c r="H6260" t="s">
        <v>30359</v>
      </c>
      <c r="I6260">
        <v>0</v>
      </c>
      <c r="J6260">
        <v>0</v>
      </c>
      <c r="K6260" t="s">
        <v>4655</v>
      </c>
      <c r="L6260" t="s">
        <v>4655</v>
      </c>
      <c r="M6260" s="2">
        <v>0</v>
      </c>
      <c r="N6260" t="s">
        <v>4655</v>
      </c>
      <c r="O6260">
        <v>0</v>
      </c>
      <c r="P6260">
        <v>0</v>
      </c>
      <c r="Q6260">
        <v>0</v>
      </c>
      <c r="R6260" t="s">
        <v>4655</v>
      </c>
      <c r="S6260" t="s">
        <v>4655</v>
      </c>
      <c r="T6260" t="s">
        <v>4655</v>
      </c>
      <c r="U6260" t="s">
        <v>4655</v>
      </c>
      <c r="V6260" s="2">
        <v>0</v>
      </c>
      <c r="W6260" t="s">
        <v>4655</v>
      </c>
      <c r="X6260" s="2">
        <v>0</v>
      </c>
      <c r="Y6260">
        <v>12</v>
      </c>
      <c r="Z6260" t="s">
        <v>1491</v>
      </c>
      <c r="AA6260" s="3">
        <v>0.73927915096282903</v>
      </c>
      <c r="AB6260" t="s">
        <v>4414</v>
      </c>
      <c r="AC6260" t="s">
        <v>4562</v>
      </c>
      <c r="AD6260" t="s">
        <v>29980</v>
      </c>
      <c r="AE6260" t="s">
        <v>4655</v>
      </c>
      <c r="AF6260" t="s">
        <v>1189</v>
      </c>
      <c r="AG6260" t="s">
        <v>4564</v>
      </c>
      <c r="AH6260" t="s">
        <v>2078</v>
      </c>
      <c r="AI6260" t="s">
        <v>29981</v>
      </c>
      <c r="AJ6260" t="s">
        <v>30360</v>
      </c>
      <c r="AK6260" t="s">
        <v>30421</v>
      </c>
      <c r="AL6260" s="13" t="s">
        <v>1897</v>
      </c>
      <c r="AM6260">
        <v>0</v>
      </c>
      <c r="AN6260" s="15" t="s">
        <v>4603</v>
      </c>
    </row>
    <row r="6261" spans="1:40" x14ac:dyDescent="0.3">
      <c r="A6261" s="10" t="str">
        <f>HYPERLINK("http://www.washoecounty.gov/assessor/cama/?parid=232-603-15&amp;CardNumber=1","232-603-15")</f>
        <v>232-603-15</v>
      </c>
      <c r="B6261" t="s">
        <v>4655</v>
      </c>
      <c r="C6261" t="s">
        <v>30422</v>
      </c>
      <c r="D6261" s="1">
        <v>40511</v>
      </c>
      <c r="E6261" s="2">
        <v>1050000</v>
      </c>
      <c r="F6261" t="s">
        <v>3528</v>
      </c>
      <c r="G6261" s="17" t="str">
        <f>HYPERLINK("https://www.washoecounty.gov/assessor/cama/?command=sales&amp;parid=23260315","3947350")</f>
        <v>3947350</v>
      </c>
      <c r="H6261" t="s">
        <v>30375</v>
      </c>
      <c r="I6261">
        <v>0</v>
      </c>
      <c r="J6261">
        <v>0</v>
      </c>
      <c r="K6261" t="s">
        <v>4655</v>
      </c>
      <c r="L6261" t="s">
        <v>4655</v>
      </c>
      <c r="M6261" s="2">
        <v>0</v>
      </c>
      <c r="N6261" t="s">
        <v>4655</v>
      </c>
      <c r="O6261">
        <v>0</v>
      </c>
      <c r="P6261">
        <v>0</v>
      </c>
      <c r="Q6261">
        <v>0</v>
      </c>
      <c r="R6261" t="s">
        <v>4655</v>
      </c>
      <c r="S6261" t="s">
        <v>4655</v>
      </c>
      <c r="T6261" t="s">
        <v>4655</v>
      </c>
      <c r="U6261" t="s">
        <v>4655</v>
      </c>
      <c r="V6261" s="2">
        <v>0</v>
      </c>
      <c r="W6261" t="s">
        <v>4655</v>
      </c>
      <c r="X6261" s="2">
        <v>0</v>
      </c>
      <c r="Y6261">
        <v>12</v>
      </c>
      <c r="Z6261" t="s">
        <v>1491</v>
      </c>
      <c r="AA6261" s="3">
        <v>0.67334711551666204</v>
      </c>
      <c r="AB6261" t="s">
        <v>4414</v>
      </c>
      <c r="AC6261" t="s">
        <v>4562</v>
      </c>
      <c r="AD6261" t="s">
        <v>29980</v>
      </c>
      <c r="AE6261" t="s">
        <v>4655</v>
      </c>
      <c r="AF6261" t="s">
        <v>1189</v>
      </c>
      <c r="AG6261" t="s">
        <v>4564</v>
      </c>
      <c r="AH6261" t="s">
        <v>2078</v>
      </c>
      <c r="AI6261" t="s">
        <v>4414</v>
      </c>
      <c r="AJ6261" t="s">
        <v>30376</v>
      </c>
      <c r="AK6261" t="s">
        <v>30423</v>
      </c>
      <c r="AL6261" s="13" t="s">
        <v>1897</v>
      </c>
      <c r="AM6261">
        <v>0</v>
      </c>
      <c r="AN6261" s="15" t="s">
        <v>4603</v>
      </c>
    </row>
    <row r="6262" spans="1:40" x14ac:dyDescent="0.3">
      <c r="A6262" s="10" t="str">
        <f>HYPERLINK("http://www.washoecounty.gov/assessor/cama/?parid=232-621-10&amp;CardNumber=1","232-621-10")</f>
        <v>232-621-10</v>
      </c>
      <c r="B6262" t="s">
        <v>4655</v>
      </c>
      <c r="C6262" t="s">
        <v>30424</v>
      </c>
      <c r="D6262" s="1">
        <v>40259</v>
      </c>
      <c r="E6262" s="2">
        <v>380000</v>
      </c>
      <c r="F6262" t="s">
        <v>4553</v>
      </c>
      <c r="G6262" s="17" t="str">
        <f>HYPERLINK("https://www.washoecounty.gov/assessor/cama/?command=sales&amp;parid=23262110","3862423")</f>
        <v>3862423</v>
      </c>
      <c r="H6262" t="s">
        <v>2701</v>
      </c>
      <c r="I6262">
        <v>2006</v>
      </c>
      <c r="J6262">
        <v>2006</v>
      </c>
      <c r="K6262" t="s">
        <v>4554</v>
      </c>
      <c r="L6262" t="s">
        <v>3974</v>
      </c>
      <c r="M6262" s="2">
        <v>3148</v>
      </c>
      <c r="N6262" t="s">
        <v>1245</v>
      </c>
      <c r="O6262">
        <v>4</v>
      </c>
      <c r="P6262">
        <v>3</v>
      </c>
      <c r="Q6262">
        <v>1</v>
      </c>
      <c r="R6262" t="s">
        <v>5281</v>
      </c>
      <c r="S6262" t="s">
        <v>4898</v>
      </c>
      <c r="T6262" t="s">
        <v>2704</v>
      </c>
      <c r="U6262" t="s">
        <v>4560</v>
      </c>
      <c r="V6262" s="2">
        <v>767</v>
      </c>
      <c r="W6262" t="s">
        <v>4655</v>
      </c>
      <c r="X6262" s="2">
        <v>0</v>
      </c>
      <c r="Y6262">
        <v>20</v>
      </c>
      <c r="Z6262" t="s">
        <v>1491</v>
      </c>
      <c r="AA6262" s="3">
        <v>0.28666207194328303</v>
      </c>
      <c r="AB6262" t="s">
        <v>30425</v>
      </c>
      <c r="AC6262" t="s">
        <v>4562</v>
      </c>
      <c r="AD6262" t="s">
        <v>30426</v>
      </c>
      <c r="AE6262" t="s">
        <v>4655</v>
      </c>
      <c r="AF6262" t="s">
        <v>30427</v>
      </c>
      <c r="AG6262" t="s">
        <v>2567</v>
      </c>
      <c r="AH6262">
        <v>73013</v>
      </c>
      <c r="AI6262" t="s">
        <v>30428</v>
      </c>
      <c r="AJ6262" t="s">
        <v>2702</v>
      </c>
      <c r="AK6262" t="s">
        <v>30429</v>
      </c>
      <c r="AL6262" s="13" t="s">
        <v>1897</v>
      </c>
      <c r="AM6262">
        <v>1</v>
      </c>
      <c r="AN6262" s="15" t="s">
        <v>1362</v>
      </c>
    </row>
    <row r="6263" spans="1:40" x14ac:dyDescent="0.3">
      <c r="A6263" s="10" t="str">
        <f>HYPERLINK("http://www.washoecounty.gov/assessor/cama/?parid=232-623-27&amp;CardNumber=1","232-623-27")</f>
        <v>232-623-27</v>
      </c>
      <c r="B6263" t="s">
        <v>4655</v>
      </c>
      <c r="C6263" t="s">
        <v>30430</v>
      </c>
      <c r="D6263" s="1">
        <v>40239</v>
      </c>
      <c r="E6263" s="2">
        <v>460000</v>
      </c>
      <c r="F6263" t="s">
        <v>4553</v>
      </c>
      <c r="G6263" s="17" t="str">
        <f>HYPERLINK("https://www.washoecounty.gov/assessor/cama/?command=sales&amp;parid=23262327","3854554")</f>
        <v>3854554</v>
      </c>
      <c r="H6263" t="s">
        <v>2701</v>
      </c>
      <c r="I6263">
        <v>2008</v>
      </c>
      <c r="J6263">
        <v>2008</v>
      </c>
      <c r="K6263" t="s">
        <v>4554</v>
      </c>
      <c r="L6263" t="s">
        <v>3974</v>
      </c>
      <c r="M6263" s="2">
        <v>3533</v>
      </c>
      <c r="N6263" t="s">
        <v>3887</v>
      </c>
      <c r="O6263">
        <v>5</v>
      </c>
      <c r="P6263">
        <v>3</v>
      </c>
      <c r="Q6263">
        <v>1</v>
      </c>
      <c r="R6263" t="s">
        <v>5281</v>
      </c>
      <c r="S6263" t="s">
        <v>4898</v>
      </c>
      <c r="T6263" t="s">
        <v>2704</v>
      </c>
      <c r="U6263" t="s">
        <v>4560</v>
      </c>
      <c r="V6263" s="2">
        <v>753</v>
      </c>
      <c r="W6263" t="s">
        <v>4655</v>
      </c>
      <c r="X6263" s="2">
        <v>0</v>
      </c>
      <c r="Y6263">
        <v>20</v>
      </c>
      <c r="Z6263" t="s">
        <v>1491</v>
      </c>
      <c r="AA6263" s="3">
        <v>0.28647843003272999</v>
      </c>
      <c r="AB6263" t="s">
        <v>30431</v>
      </c>
      <c r="AC6263" t="s">
        <v>4562</v>
      </c>
      <c r="AD6263" t="s">
        <v>30430</v>
      </c>
      <c r="AE6263" t="s">
        <v>4655</v>
      </c>
      <c r="AF6263" t="s">
        <v>4563</v>
      </c>
      <c r="AG6263" t="s">
        <v>4564</v>
      </c>
      <c r="AH6263" t="s">
        <v>1147</v>
      </c>
      <c r="AI6263" t="s">
        <v>4655</v>
      </c>
      <c r="AJ6263" t="s">
        <v>2702</v>
      </c>
      <c r="AK6263" t="s">
        <v>30432</v>
      </c>
      <c r="AL6263" s="13" t="s">
        <v>1897</v>
      </c>
      <c r="AM6263">
        <v>1</v>
      </c>
      <c r="AN6263" s="15" t="s">
        <v>2703</v>
      </c>
    </row>
    <row r="6264" spans="1:40" x14ac:dyDescent="0.3">
      <c r="A6264" s="10" t="str">
        <f>HYPERLINK("http://www.washoecounty.gov/assessor/cama/?parid=232-623-28&amp;CardNumber=1","232-623-28")</f>
        <v>232-623-28</v>
      </c>
      <c r="B6264" t="s">
        <v>4655</v>
      </c>
      <c r="C6264" t="s">
        <v>30433</v>
      </c>
      <c r="D6264" s="1">
        <v>40284</v>
      </c>
      <c r="E6264" s="2">
        <v>435000</v>
      </c>
      <c r="F6264" t="s">
        <v>4553</v>
      </c>
      <c r="G6264" s="17" t="str">
        <f>HYPERLINK("https://www.washoecounty.gov/assessor/cama/?command=sales&amp;parid=23262328","3871969")</f>
        <v>3871969</v>
      </c>
      <c r="H6264" t="s">
        <v>2701</v>
      </c>
      <c r="I6264">
        <v>2008</v>
      </c>
      <c r="J6264">
        <v>2008</v>
      </c>
      <c r="K6264" t="s">
        <v>4554</v>
      </c>
      <c r="L6264" t="s">
        <v>4555</v>
      </c>
      <c r="M6264" s="2">
        <v>3263</v>
      </c>
      <c r="N6264" t="s">
        <v>3887</v>
      </c>
      <c r="O6264">
        <v>4</v>
      </c>
      <c r="P6264">
        <v>3</v>
      </c>
      <c r="Q6264">
        <v>1</v>
      </c>
      <c r="R6264" t="s">
        <v>5281</v>
      </c>
      <c r="S6264" t="s">
        <v>4898</v>
      </c>
      <c r="T6264" t="s">
        <v>2704</v>
      </c>
      <c r="U6264" t="s">
        <v>4560</v>
      </c>
      <c r="V6264" s="2">
        <v>909</v>
      </c>
      <c r="W6264" t="s">
        <v>4655</v>
      </c>
      <c r="X6264" s="2">
        <v>0</v>
      </c>
      <c r="Y6264">
        <v>20</v>
      </c>
      <c r="Z6264" t="s">
        <v>1491</v>
      </c>
      <c r="AA6264" s="3">
        <v>0.30792009830474898</v>
      </c>
      <c r="AB6264" t="s">
        <v>30434</v>
      </c>
      <c r="AC6264" t="s">
        <v>4562</v>
      </c>
      <c r="AD6264" t="s">
        <v>30435</v>
      </c>
      <c r="AE6264" t="s">
        <v>4655</v>
      </c>
      <c r="AF6264" t="s">
        <v>4563</v>
      </c>
      <c r="AG6264" t="s">
        <v>4564</v>
      </c>
      <c r="AH6264" t="s">
        <v>1147</v>
      </c>
      <c r="AI6264" t="s">
        <v>30436</v>
      </c>
      <c r="AJ6264" t="s">
        <v>2702</v>
      </c>
      <c r="AK6264" t="s">
        <v>30437</v>
      </c>
      <c r="AL6264" s="13" t="s">
        <v>1897</v>
      </c>
      <c r="AM6264" s="14">
        <v>1</v>
      </c>
      <c r="AN6264" s="15" t="s">
        <v>2703</v>
      </c>
    </row>
    <row r="6265" spans="1:40" x14ac:dyDescent="0.3">
      <c r="A6265" s="10" t="str">
        <f>HYPERLINK("http://www.washoecounty.gov/assessor/cama/?parid=232-623-29&amp;CardNumber=1","232-623-29")</f>
        <v>232-623-29</v>
      </c>
      <c r="B6265" t="s">
        <v>4655</v>
      </c>
      <c r="C6265" t="s">
        <v>30438</v>
      </c>
      <c r="D6265" s="1">
        <v>40232</v>
      </c>
      <c r="E6265" s="2">
        <v>450000</v>
      </c>
      <c r="F6265" t="s">
        <v>4553</v>
      </c>
      <c r="G6265" s="17" t="str">
        <f>HYPERLINK("https://www.washoecounty.gov/assessor/cama/?command=sales&amp;parid=23262329","3852092")</f>
        <v>3852092</v>
      </c>
      <c r="H6265" t="s">
        <v>2701</v>
      </c>
      <c r="I6265">
        <v>2008</v>
      </c>
      <c r="J6265">
        <v>2008</v>
      </c>
      <c r="K6265" t="s">
        <v>4554</v>
      </c>
      <c r="L6265" t="s">
        <v>4555</v>
      </c>
      <c r="M6265" s="2">
        <v>3370</v>
      </c>
      <c r="N6265" t="s">
        <v>3887</v>
      </c>
      <c r="O6265">
        <v>3</v>
      </c>
      <c r="P6265">
        <v>3</v>
      </c>
      <c r="Q6265">
        <v>1</v>
      </c>
      <c r="R6265" t="s">
        <v>5281</v>
      </c>
      <c r="S6265" t="s">
        <v>4898</v>
      </c>
      <c r="T6265" t="s">
        <v>2704</v>
      </c>
      <c r="U6265" t="s">
        <v>4560</v>
      </c>
      <c r="V6265" s="2">
        <v>741</v>
      </c>
      <c r="W6265" t="s">
        <v>4655</v>
      </c>
      <c r="X6265" s="2">
        <v>0</v>
      </c>
      <c r="Y6265">
        <v>20</v>
      </c>
      <c r="Z6265" t="s">
        <v>1491</v>
      </c>
      <c r="AA6265" s="3">
        <v>0.30750688910484297</v>
      </c>
      <c r="AB6265" t="s">
        <v>30439</v>
      </c>
      <c r="AC6265" t="s">
        <v>4562</v>
      </c>
      <c r="AD6265" t="s">
        <v>30440</v>
      </c>
      <c r="AE6265" t="s">
        <v>4655</v>
      </c>
      <c r="AF6265" t="s">
        <v>4563</v>
      </c>
      <c r="AG6265" t="s">
        <v>4564</v>
      </c>
      <c r="AH6265" t="s">
        <v>1147</v>
      </c>
      <c r="AI6265" t="s">
        <v>30436</v>
      </c>
      <c r="AJ6265" t="s">
        <v>2702</v>
      </c>
      <c r="AK6265" t="s">
        <v>30441</v>
      </c>
      <c r="AL6265" s="13" t="s">
        <v>1897</v>
      </c>
      <c r="AM6265">
        <v>1</v>
      </c>
      <c r="AN6265" s="15" t="s">
        <v>2703</v>
      </c>
    </row>
    <row r="6266" spans="1:40" x14ac:dyDescent="0.3">
      <c r="A6266" s="10" t="str">
        <f>HYPERLINK("http://www.washoecounty.gov/assessor/cama/?parid=232-623-31&amp;CardNumber=1","232-623-31")</f>
        <v>232-623-31</v>
      </c>
      <c r="B6266" t="s">
        <v>4655</v>
      </c>
      <c r="C6266" t="s">
        <v>30442</v>
      </c>
      <c r="D6266" s="1">
        <v>40269</v>
      </c>
      <c r="E6266" s="2">
        <v>405000</v>
      </c>
      <c r="F6266" t="s">
        <v>4553</v>
      </c>
      <c r="G6266" s="17" t="str">
        <f>HYPERLINK("https://www.washoecounty.gov/assessor/cama/?command=sales&amp;parid=23262331","3866930")</f>
        <v>3866930</v>
      </c>
      <c r="H6266" t="s">
        <v>2701</v>
      </c>
      <c r="I6266">
        <v>2008</v>
      </c>
      <c r="J6266">
        <v>2008</v>
      </c>
      <c r="K6266" t="s">
        <v>4554</v>
      </c>
      <c r="L6266" t="s">
        <v>4555</v>
      </c>
      <c r="M6266" s="2">
        <v>3050</v>
      </c>
      <c r="N6266" t="s">
        <v>3887</v>
      </c>
      <c r="O6266">
        <v>3</v>
      </c>
      <c r="P6266">
        <v>3</v>
      </c>
      <c r="Q6266">
        <v>1</v>
      </c>
      <c r="R6266" t="s">
        <v>5281</v>
      </c>
      <c r="S6266" t="s">
        <v>4898</v>
      </c>
      <c r="T6266" t="s">
        <v>2704</v>
      </c>
      <c r="U6266" t="s">
        <v>4560</v>
      </c>
      <c r="V6266" s="2">
        <v>741</v>
      </c>
      <c r="W6266" t="s">
        <v>4655</v>
      </c>
      <c r="X6266" s="2">
        <v>0</v>
      </c>
      <c r="Y6266">
        <v>20</v>
      </c>
      <c r="Z6266" t="s">
        <v>1491</v>
      </c>
      <c r="AA6266" s="3">
        <v>0.29471993446350098</v>
      </c>
      <c r="AB6266" t="s">
        <v>30443</v>
      </c>
      <c r="AC6266" t="s">
        <v>4562</v>
      </c>
      <c r="AD6266" t="s">
        <v>30444</v>
      </c>
      <c r="AE6266" t="s">
        <v>4655</v>
      </c>
      <c r="AF6266" t="s">
        <v>4563</v>
      </c>
      <c r="AG6266" t="s">
        <v>4564</v>
      </c>
      <c r="AH6266" t="s">
        <v>1147</v>
      </c>
      <c r="AI6266" t="s">
        <v>30436</v>
      </c>
      <c r="AJ6266" t="s">
        <v>2702</v>
      </c>
      <c r="AK6266" t="s">
        <v>30445</v>
      </c>
      <c r="AL6266" s="13" t="s">
        <v>1897</v>
      </c>
      <c r="AM6266">
        <v>1</v>
      </c>
      <c r="AN6266" s="15" t="s">
        <v>2703</v>
      </c>
    </row>
    <row r="6267" spans="1:40" x14ac:dyDescent="0.3">
      <c r="A6267" s="10" t="str">
        <f>HYPERLINK("http://www.washoecounty.gov/assessor/cama/?parid=232-631-22&amp;CardNumber=1","232-631-22")</f>
        <v>232-631-22</v>
      </c>
      <c r="B6267" t="s">
        <v>4655</v>
      </c>
      <c r="C6267" t="s">
        <v>30446</v>
      </c>
      <c r="D6267" s="1">
        <v>40465</v>
      </c>
      <c r="E6267" s="2">
        <v>396650</v>
      </c>
      <c r="F6267" t="s">
        <v>4567</v>
      </c>
      <c r="G6267" s="17" t="str">
        <f>HYPERLINK("https://www.washoecounty.gov/assessor/cama/?command=sales&amp;parid=23263122","3933075")</f>
        <v>3933075</v>
      </c>
      <c r="H6267" t="s">
        <v>2701</v>
      </c>
      <c r="I6267">
        <v>2006</v>
      </c>
      <c r="J6267">
        <v>2006</v>
      </c>
      <c r="K6267" t="s">
        <v>4554</v>
      </c>
      <c r="L6267" t="s">
        <v>4555</v>
      </c>
      <c r="M6267" s="2">
        <v>3042</v>
      </c>
      <c r="N6267" t="s">
        <v>1245</v>
      </c>
      <c r="O6267">
        <v>3</v>
      </c>
      <c r="P6267">
        <v>3</v>
      </c>
      <c r="Q6267">
        <v>1</v>
      </c>
      <c r="R6267" t="s">
        <v>5281</v>
      </c>
      <c r="S6267" t="s">
        <v>4898</v>
      </c>
      <c r="T6267" t="s">
        <v>2704</v>
      </c>
      <c r="U6267" t="s">
        <v>4560</v>
      </c>
      <c r="V6267" s="2">
        <v>752</v>
      </c>
      <c r="W6267" t="s">
        <v>4655</v>
      </c>
      <c r="X6267" s="2">
        <v>0</v>
      </c>
      <c r="Y6267">
        <v>20</v>
      </c>
      <c r="Z6267" t="s">
        <v>1491</v>
      </c>
      <c r="AA6267" s="3">
        <v>0.333976119756699</v>
      </c>
      <c r="AB6267" t="s">
        <v>30447</v>
      </c>
      <c r="AC6267" t="s">
        <v>4575</v>
      </c>
      <c r="AD6267" t="s">
        <v>30446</v>
      </c>
      <c r="AE6267" t="s">
        <v>4655</v>
      </c>
      <c r="AF6267" t="s">
        <v>4563</v>
      </c>
      <c r="AG6267" t="s">
        <v>4564</v>
      </c>
      <c r="AH6267" t="s">
        <v>1147</v>
      </c>
      <c r="AI6267" t="s">
        <v>30448</v>
      </c>
      <c r="AJ6267" t="s">
        <v>2702</v>
      </c>
      <c r="AK6267" t="s">
        <v>30449</v>
      </c>
      <c r="AL6267" s="13" t="s">
        <v>1897</v>
      </c>
      <c r="AM6267" s="14">
        <v>1</v>
      </c>
      <c r="AN6267" s="15" t="s">
        <v>1362</v>
      </c>
    </row>
    <row r="6268" spans="1:40" x14ac:dyDescent="0.3">
      <c r="A6268" s="10" t="str">
        <f>HYPERLINK("http://www.washoecounty.gov/assessor/cama/?parid=232-641-02&amp;CardNumber=1","232-641-02")</f>
        <v>232-641-02</v>
      </c>
      <c r="B6268" t="s">
        <v>4655</v>
      </c>
      <c r="C6268" t="s">
        <v>30450</v>
      </c>
      <c r="D6268" s="1">
        <v>40445</v>
      </c>
      <c r="E6268" s="2">
        <v>196000</v>
      </c>
      <c r="F6268" t="s">
        <v>4553</v>
      </c>
      <c r="G6268" s="17" t="str">
        <f>HYPERLINK("https://www.washoecounty.gov/assessor/cama/?command=sales&amp;parid=23264102","3926169")</f>
        <v>3926169</v>
      </c>
      <c r="H6268" t="s">
        <v>4207</v>
      </c>
      <c r="I6268">
        <v>2005</v>
      </c>
      <c r="J6268">
        <v>2005</v>
      </c>
      <c r="K6268" t="s">
        <v>4554</v>
      </c>
      <c r="L6268" t="s">
        <v>3974</v>
      </c>
      <c r="M6268" s="2">
        <v>2270</v>
      </c>
      <c r="N6268" t="s">
        <v>5280</v>
      </c>
      <c r="O6268">
        <v>4</v>
      </c>
      <c r="P6268">
        <v>3</v>
      </c>
      <c r="Q6268">
        <v>1</v>
      </c>
      <c r="R6268" t="s">
        <v>5281</v>
      </c>
      <c r="S6268" t="s">
        <v>4898</v>
      </c>
      <c r="T6268" t="s">
        <v>2704</v>
      </c>
      <c r="U6268" t="s">
        <v>5631</v>
      </c>
      <c r="V6268" s="2">
        <v>462</v>
      </c>
      <c r="W6268" t="s">
        <v>4655</v>
      </c>
      <c r="X6268" s="2">
        <v>0</v>
      </c>
      <c r="Y6268">
        <v>20</v>
      </c>
      <c r="Z6268" t="s">
        <v>1491</v>
      </c>
      <c r="AA6268" s="3">
        <v>7.7272728085517897E-2</v>
      </c>
      <c r="AB6268" t="s">
        <v>30451</v>
      </c>
      <c r="AC6268" t="s">
        <v>4562</v>
      </c>
      <c r="AD6268" t="s">
        <v>30450</v>
      </c>
      <c r="AE6268" t="s">
        <v>4655</v>
      </c>
      <c r="AF6268" t="s">
        <v>4563</v>
      </c>
      <c r="AG6268" t="s">
        <v>4564</v>
      </c>
      <c r="AH6268" t="s">
        <v>1147</v>
      </c>
      <c r="AI6268" t="s">
        <v>30452</v>
      </c>
      <c r="AJ6268" t="s">
        <v>4522</v>
      </c>
      <c r="AK6268" t="s">
        <v>30453</v>
      </c>
      <c r="AL6268" s="13" t="s">
        <v>1896</v>
      </c>
      <c r="AM6268">
        <v>1</v>
      </c>
      <c r="AN6268" s="15" t="s">
        <v>1772</v>
      </c>
    </row>
    <row r="6269" spans="1:40" x14ac:dyDescent="0.3">
      <c r="A6269" s="10" t="str">
        <f>HYPERLINK("http://www.washoecounty.gov/assessor/cama/?parid=232-641-05&amp;CardNumber=1","232-641-05")</f>
        <v>232-641-05</v>
      </c>
      <c r="B6269" t="s">
        <v>4655</v>
      </c>
      <c r="C6269" t="s">
        <v>30454</v>
      </c>
      <c r="D6269" s="1">
        <v>40416</v>
      </c>
      <c r="E6269" s="2">
        <v>185000</v>
      </c>
      <c r="F6269" t="s">
        <v>4553</v>
      </c>
      <c r="G6269" s="17" t="str">
        <f>HYPERLINK("https://www.washoecounty.gov/assessor/cama/?command=sales&amp;parid=23264105","3915976")</f>
        <v>3915976</v>
      </c>
      <c r="H6269" t="s">
        <v>4207</v>
      </c>
      <c r="I6269">
        <v>2005</v>
      </c>
      <c r="J6269">
        <v>2005</v>
      </c>
      <c r="K6269" t="s">
        <v>4554</v>
      </c>
      <c r="L6269" t="s">
        <v>3974</v>
      </c>
      <c r="M6269" s="2">
        <v>2270</v>
      </c>
      <c r="N6269" t="s">
        <v>5280</v>
      </c>
      <c r="O6269">
        <v>4</v>
      </c>
      <c r="P6269">
        <v>3</v>
      </c>
      <c r="Q6269">
        <v>1</v>
      </c>
      <c r="R6269" t="s">
        <v>5281</v>
      </c>
      <c r="S6269" t="s">
        <v>4898</v>
      </c>
      <c r="T6269" t="s">
        <v>2704</v>
      </c>
      <c r="U6269" t="s">
        <v>5631</v>
      </c>
      <c r="V6269" s="2">
        <v>462</v>
      </c>
      <c r="W6269" t="s">
        <v>4655</v>
      </c>
      <c r="X6269" s="2">
        <v>0</v>
      </c>
      <c r="Y6269">
        <v>20</v>
      </c>
      <c r="Z6269" t="s">
        <v>1491</v>
      </c>
      <c r="AA6269" s="3">
        <v>7.7272728085517897E-2</v>
      </c>
      <c r="AB6269" t="s">
        <v>30455</v>
      </c>
      <c r="AC6269" t="s">
        <v>4562</v>
      </c>
      <c r="AD6269" t="s">
        <v>30456</v>
      </c>
      <c r="AE6269" t="s">
        <v>4655</v>
      </c>
      <c r="AF6269" t="s">
        <v>30457</v>
      </c>
      <c r="AG6269" t="s">
        <v>4584</v>
      </c>
      <c r="AH6269">
        <v>94511</v>
      </c>
      <c r="AI6269" t="s">
        <v>2009</v>
      </c>
      <c r="AJ6269" t="s">
        <v>4522</v>
      </c>
      <c r="AK6269" t="s">
        <v>30458</v>
      </c>
      <c r="AL6269" s="13" t="s">
        <v>1896</v>
      </c>
      <c r="AM6269" s="14">
        <v>1</v>
      </c>
      <c r="AN6269" s="15" t="s">
        <v>1772</v>
      </c>
    </row>
    <row r="6270" spans="1:40" x14ac:dyDescent="0.3">
      <c r="A6270" s="10" t="str">
        <f>HYPERLINK("http://www.washoecounty.gov/assessor/cama/?parid=232-641-09&amp;CardNumber=1","232-641-09")</f>
        <v>232-641-09</v>
      </c>
      <c r="B6270" t="s">
        <v>4655</v>
      </c>
      <c r="C6270" t="s">
        <v>30459</v>
      </c>
      <c r="D6270" s="1">
        <v>40303</v>
      </c>
      <c r="E6270" s="2">
        <v>222000</v>
      </c>
      <c r="F6270" t="s">
        <v>4553</v>
      </c>
      <c r="G6270" s="17" t="str">
        <f>HYPERLINK("https://www.washoecounty.gov/assessor/cama/?command=sales&amp;parid=23264109","3878103")</f>
        <v>3878103</v>
      </c>
      <c r="H6270" t="s">
        <v>4207</v>
      </c>
      <c r="I6270">
        <v>2005</v>
      </c>
      <c r="J6270">
        <v>2005</v>
      </c>
      <c r="K6270" t="s">
        <v>4554</v>
      </c>
      <c r="L6270" t="s">
        <v>3974</v>
      </c>
      <c r="M6270" s="2">
        <v>2403</v>
      </c>
      <c r="N6270" t="s">
        <v>5280</v>
      </c>
      <c r="O6270">
        <v>4</v>
      </c>
      <c r="P6270">
        <v>3</v>
      </c>
      <c r="Q6270">
        <v>1</v>
      </c>
      <c r="R6270" t="s">
        <v>5281</v>
      </c>
      <c r="S6270" t="s">
        <v>4898</v>
      </c>
      <c r="T6270" t="s">
        <v>2704</v>
      </c>
      <c r="U6270" t="s">
        <v>5631</v>
      </c>
      <c r="V6270" s="2">
        <v>426</v>
      </c>
      <c r="W6270" t="s">
        <v>4655</v>
      </c>
      <c r="X6270" s="2">
        <v>0</v>
      </c>
      <c r="Y6270">
        <v>20</v>
      </c>
      <c r="Z6270" t="s">
        <v>1491</v>
      </c>
      <c r="AA6270" s="3">
        <v>0.10082644969224901</v>
      </c>
      <c r="AB6270" t="s">
        <v>30460</v>
      </c>
      <c r="AC6270" t="s">
        <v>4562</v>
      </c>
      <c r="AD6270" t="s">
        <v>30459</v>
      </c>
      <c r="AE6270" t="s">
        <v>4655</v>
      </c>
      <c r="AF6270" t="s">
        <v>4563</v>
      </c>
      <c r="AG6270" t="s">
        <v>4564</v>
      </c>
      <c r="AH6270" t="s">
        <v>1147</v>
      </c>
      <c r="AI6270" t="s">
        <v>4655</v>
      </c>
      <c r="AJ6270" t="s">
        <v>4522</v>
      </c>
      <c r="AK6270" t="s">
        <v>30461</v>
      </c>
      <c r="AL6270" s="13" t="s">
        <v>1896</v>
      </c>
      <c r="AM6270">
        <v>1</v>
      </c>
      <c r="AN6270" s="15" t="s">
        <v>1772</v>
      </c>
    </row>
    <row r="6271" spans="1:40" x14ac:dyDescent="0.3">
      <c r="A6271" s="10" t="str">
        <f>HYPERLINK("http://www.washoecounty.gov/assessor/cama/?parid=232-641-13&amp;CardNumber=1","232-641-13")</f>
        <v>232-641-13</v>
      </c>
      <c r="B6271" t="s">
        <v>4655</v>
      </c>
      <c r="C6271" t="s">
        <v>30462</v>
      </c>
      <c r="D6271" s="1">
        <v>40277</v>
      </c>
      <c r="E6271" s="2">
        <v>206000</v>
      </c>
      <c r="F6271" t="s">
        <v>4567</v>
      </c>
      <c r="G6271" s="17" t="str">
        <f>HYPERLINK("https://www.washoecounty.gov/assessor/cama/?command=sales&amp;parid=23264113","3869415")</f>
        <v>3869415</v>
      </c>
      <c r="H6271" t="s">
        <v>4207</v>
      </c>
      <c r="I6271">
        <v>2005</v>
      </c>
      <c r="J6271">
        <v>2005</v>
      </c>
      <c r="K6271" t="s">
        <v>4554</v>
      </c>
      <c r="L6271" t="s">
        <v>3974</v>
      </c>
      <c r="M6271" s="2">
        <v>2403</v>
      </c>
      <c r="N6271" t="s">
        <v>5280</v>
      </c>
      <c r="O6271">
        <v>4</v>
      </c>
      <c r="P6271">
        <v>3</v>
      </c>
      <c r="Q6271">
        <v>1</v>
      </c>
      <c r="R6271" t="s">
        <v>5281</v>
      </c>
      <c r="S6271" t="s">
        <v>4898</v>
      </c>
      <c r="T6271" t="s">
        <v>2704</v>
      </c>
      <c r="U6271" t="s">
        <v>5631</v>
      </c>
      <c r="V6271" s="2">
        <v>426</v>
      </c>
      <c r="W6271" t="s">
        <v>4655</v>
      </c>
      <c r="X6271" s="2">
        <v>0</v>
      </c>
      <c r="Y6271">
        <v>20</v>
      </c>
      <c r="Z6271" t="s">
        <v>1491</v>
      </c>
      <c r="AA6271" s="3">
        <v>8.3218552172184004E-2</v>
      </c>
      <c r="AB6271" t="s">
        <v>30463</v>
      </c>
      <c r="AC6271" t="s">
        <v>4562</v>
      </c>
      <c r="AD6271" t="s">
        <v>30464</v>
      </c>
      <c r="AE6271" t="s">
        <v>4655</v>
      </c>
      <c r="AF6271" t="s">
        <v>4563</v>
      </c>
      <c r="AG6271" t="s">
        <v>4564</v>
      </c>
      <c r="AH6271" t="s">
        <v>1147</v>
      </c>
      <c r="AI6271" t="s">
        <v>4655</v>
      </c>
      <c r="AJ6271" t="s">
        <v>4522</v>
      </c>
      <c r="AK6271" t="s">
        <v>30465</v>
      </c>
      <c r="AL6271" s="13" t="s">
        <v>1896</v>
      </c>
      <c r="AM6271">
        <v>1</v>
      </c>
      <c r="AN6271" s="15" t="s">
        <v>1772</v>
      </c>
    </row>
    <row r="6272" spans="1:40" x14ac:dyDescent="0.3">
      <c r="A6272" s="10" t="str">
        <f>HYPERLINK("http://www.washoecounty.gov/assessor/cama/?parid=232-642-02&amp;CardNumber=1","232-642-02")</f>
        <v>232-642-02</v>
      </c>
      <c r="B6272" t="s">
        <v>4655</v>
      </c>
      <c r="C6272" t="s">
        <v>30466</v>
      </c>
      <c r="D6272" s="1">
        <v>40199</v>
      </c>
      <c r="E6272" s="2">
        <v>217500</v>
      </c>
      <c r="F6272" t="s">
        <v>4553</v>
      </c>
      <c r="G6272" s="17" t="str">
        <f>HYPERLINK("https://www.washoecounty.gov/assessor/cama/?command=sales&amp;parid=23264202","3841385")</f>
        <v>3841385</v>
      </c>
      <c r="H6272" t="s">
        <v>4207</v>
      </c>
      <c r="I6272">
        <v>2005</v>
      </c>
      <c r="J6272">
        <v>2005</v>
      </c>
      <c r="K6272" t="s">
        <v>4554</v>
      </c>
      <c r="L6272" t="s">
        <v>3974</v>
      </c>
      <c r="M6272" s="2">
        <v>2635</v>
      </c>
      <c r="N6272" t="s">
        <v>5280</v>
      </c>
      <c r="O6272">
        <v>4</v>
      </c>
      <c r="P6272">
        <v>3</v>
      </c>
      <c r="Q6272">
        <v>1</v>
      </c>
      <c r="R6272" t="s">
        <v>5281</v>
      </c>
      <c r="S6272" t="s">
        <v>4898</v>
      </c>
      <c r="T6272" t="s">
        <v>2704</v>
      </c>
      <c r="U6272" t="s">
        <v>5631</v>
      </c>
      <c r="V6272" s="2">
        <v>450</v>
      </c>
      <c r="W6272" t="s">
        <v>4655</v>
      </c>
      <c r="X6272" s="2">
        <v>0</v>
      </c>
      <c r="Y6272">
        <v>20</v>
      </c>
      <c r="Z6272" t="s">
        <v>1491</v>
      </c>
      <c r="AA6272" s="3">
        <v>7.5528010725974995E-2</v>
      </c>
      <c r="AB6272" t="s">
        <v>3804</v>
      </c>
      <c r="AC6272" t="s">
        <v>4575</v>
      </c>
      <c r="AD6272" t="s">
        <v>4208</v>
      </c>
      <c r="AE6272" t="s">
        <v>4655</v>
      </c>
      <c r="AF6272" t="s">
        <v>23</v>
      </c>
      <c r="AG6272" t="s">
        <v>4584</v>
      </c>
      <c r="AH6272">
        <v>95119</v>
      </c>
      <c r="AI6272" t="s">
        <v>4655</v>
      </c>
      <c r="AJ6272" t="s">
        <v>4522</v>
      </c>
      <c r="AK6272" t="s">
        <v>30467</v>
      </c>
      <c r="AL6272" s="13" t="s">
        <v>1896</v>
      </c>
      <c r="AM6272">
        <v>1</v>
      </c>
      <c r="AN6272" s="15" t="s">
        <v>1772</v>
      </c>
    </row>
    <row r="6273" spans="1:40" x14ac:dyDescent="0.3">
      <c r="A6273" s="10" t="str">
        <f>HYPERLINK("http://www.washoecounty.gov/assessor/cama/?parid=232-642-07&amp;CardNumber=1","232-642-07")</f>
        <v>232-642-07</v>
      </c>
      <c r="B6273" t="s">
        <v>4655</v>
      </c>
      <c r="C6273" t="s">
        <v>30468</v>
      </c>
      <c r="D6273" s="1">
        <v>40354</v>
      </c>
      <c r="E6273" s="2">
        <v>200000</v>
      </c>
      <c r="F6273" t="s">
        <v>4567</v>
      </c>
      <c r="G6273" s="17" t="str">
        <f>HYPERLINK("https://www.washoecounty.gov/assessor/cama/?command=sales&amp;parid=23264207","3895288")</f>
        <v>3895288</v>
      </c>
      <c r="H6273" t="s">
        <v>4207</v>
      </c>
      <c r="I6273">
        <v>2005</v>
      </c>
      <c r="J6273">
        <v>2005</v>
      </c>
      <c r="K6273" t="s">
        <v>4554</v>
      </c>
      <c r="L6273" t="s">
        <v>3974</v>
      </c>
      <c r="M6273" s="2">
        <v>2635</v>
      </c>
      <c r="N6273" t="s">
        <v>5280</v>
      </c>
      <c r="O6273">
        <v>4</v>
      </c>
      <c r="P6273">
        <v>3</v>
      </c>
      <c r="Q6273">
        <v>1</v>
      </c>
      <c r="R6273" t="s">
        <v>5281</v>
      </c>
      <c r="S6273" t="s">
        <v>4898</v>
      </c>
      <c r="T6273" t="s">
        <v>2704</v>
      </c>
      <c r="U6273" t="s">
        <v>5631</v>
      </c>
      <c r="V6273" s="2">
        <v>450</v>
      </c>
      <c r="W6273" t="s">
        <v>4655</v>
      </c>
      <c r="X6273" s="2">
        <v>0</v>
      </c>
      <c r="Y6273">
        <v>20</v>
      </c>
      <c r="Z6273" t="s">
        <v>1491</v>
      </c>
      <c r="AA6273" s="3">
        <v>7.4242427945136996E-2</v>
      </c>
      <c r="AB6273" t="s">
        <v>2863</v>
      </c>
      <c r="AC6273" t="s">
        <v>4575</v>
      </c>
      <c r="AD6273" t="s">
        <v>5364</v>
      </c>
      <c r="AE6273" t="s">
        <v>4655</v>
      </c>
      <c r="AF6273" t="s">
        <v>4563</v>
      </c>
      <c r="AG6273" t="s">
        <v>4564</v>
      </c>
      <c r="AH6273" t="s">
        <v>1147</v>
      </c>
      <c r="AI6273" t="s">
        <v>30469</v>
      </c>
      <c r="AJ6273" t="s">
        <v>4522</v>
      </c>
      <c r="AK6273" t="s">
        <v>30470</v>
      </c>
      <c r="AL6273" s="13" t="s">
        <v>1896</v>
      </c>
      <c r="AM6273" s="14">
        <v>1</v>
      </c>
      <c r="AN6273" s="15" t="s">
        <v>1772</v>
      </c>
    </row>
    <row r="6274" spans="1:40" x14ac:dyDescent="0.3">
      <c r="A6274" s="10" t="str">
        <f>HYPERLINK("http://www.washoecounty.gov/assessor/cama/?parid=232-651-13&amp;CardNumber=1","232-651-13")</f>
        <v>232-651-13</v>
      </c>
      <c r="B6274" t="s">
        <v>4655</v>
      </c>
      <c r="C6274" t="s">
        <v>30471</v>
      </c>
      <c r="D6274" s="1">
        <v>40479</v>
      </c>
      <c r="E6274" s="2">
        <v>159700</v>
      </c>
      <c r="F6274" t="s">
        <v>4567</v>
      </c>
      <c r="G6274" s="17" t="str">
        <f>HYPERLINK("https://www.washoecounty.gov/assessor/cama/?command=sales&amp;parid=23265113","3937775")</f>
        <v>3937775</v>
      </c>
      <c r="H6274" t="s">
        <v>4207</v>
      </c>
      <c r="I6274">
        <v>2005</v>
      </c>
      <c r="J6274">
        <v>2005</v>
      </c>
      <c r="K6274" t="s">
        <v>4554</v>
      </c>
      <c r="L6274" t="s">
        <v>3974</v>
      </c>
      <c r="M6274" s="2">
        <v>1882</v>
      </c>
      <c r="N6274" t="s">
        <v>5280</v>
      </c>
      <c r="O6274">
        <v>3</v>
      </c>
      <c r="P6274">
        <v>3</v>
      </c>
      <c r="Q6274">
        <v>1</v>
      </c>
      <c r="R6274" t="s">
        <v>5281</v>
      </c>
      <c r="S6274" t="s">
        <v>4898</v>
      </c>
      <c r="T6274" t="s">
        <v>2704</v>
      </c>
      <c r="U6274" t="s">
        <v>5631</v>
      </c>
      <c r="V6274" s="2">
        <v>460</v>
      </c>
      <c r="W6274" t="s">
        <v>4655</v>
      </c>
      <c r="X6274" s="2">
        <v>0</v>
      </c>
      <c r="Y6274">
        <v>20</v>
      </c>
      <c r="Z6274" t="s">
        <v>1491</v>
      </c>
      <c r="AA6274" s="3">
        <v>5.4935719817876802E-2</v>
      </c>
      <c r="AB6274" t="s">
        <v>30472</v>
      </c>
      <c r="AC6274" t="s">
        <v>4562</v>
      </c>
      <c r="AD6274" t="s">
        <v>30473</v>
      </c>
      <c r="AE6274" t="s">
        <v>4655</v>
      </c>
      <c r="AF6274" t="s">
        <v>4563</v>
      </c>
      <c r="AG6274" t="s">
        <v>4564</v>
      </c>
      <c r="AH6274" t="s">
        <v>1147</v>
      </c>
      <c r="AI6274" t="s">
        <v>30474</v>
      </c>
      <c r="AJ6274" t="s">
        <v>4522</v>
      </c>
      <c r="AK6274" t="s">
        <v>30475</v>
      </c>
      <c r="AL6274" s="13" t="s">
        <v>1896</v>
      </c>
      <c r="AM6274" s="14">
        <v>1</v>
      </c>
      <c r="AN6274" s="15" t="s">
        <v>1772</v>
      </c>
    </row>
    <row r="6275" spans="1:40" x14ac:dyDescent="0.3">
      <c r="A6275" s="10" t="str">
        <f>HYPERLINK("http://www.washoecounty.gov/assessor/cama/?parid=232-652-06&amp;CardNumber=1","232-652-06")</f>
        <v>232-652-06</v>
      </c>
      <c r="B6275" t="s">
        <v>4655</v>
      </c>
      <c r="C6275" t="s">
        <v>30476</v>
      </c>
      <c r="D6275" s="1">
        <v>40191</v>
      </c>
      <c r="E6275" s="2">
        <v>232000</v>
      </c>
      <c r="F6275" t="s">
        <v>4567</v>
      </c>
      <c r="G6275" s="17" t="str">
        <f>HYPERLINK("https://www.washoecounty.gov/assessor/cama/?command=sales&amp;parid=23265206","3838930")</f>
        <v>3838930</v>
      </c>
      <c r="H6275" t="s">
        <v>4207</v>
      </c>
      <c r="I6275">
        <v>2005</v>
      </c>
      <c r="J6275">
        <v>2005</v>
      </c>
      <c r="K6275" t="s">
        <v>4554</v>
      </c>
      <c r="L6275" t="s">
        <v>3974</v>
      </c>
      <c r="M6275" s="2">
        <v>2635</v>
      </c>
      <c r="N6275" t="s">
        <v>5280</v>
      </c>
      <c r="O6275">
        <v>4</v>
      </c>
      <c r="P6275">
        <v>3</v>
      </c>
      <c r="Q6275">
        <v>1</v>
      </c>
      <c r="R6275" t="s">
        <v>5281</v>
      </c>
      <c r="S6275" t="s">
        <v>4898</v>
      </c>
      <c r="T6275" t="s">
        <v>2704</v>
      </c>
      <c r="U6275" t="s">
        <v>5631</v>
      </c>
      <c r="V6275" s="2">
        <v>450</v>
      </c>
      <c r="W6275" t="s">
        <v>4655</v>
      </c>
      <c r="X6275" s="2">
        <v>0</v>
      </c>
      <c r="Y6275">
        <v>20</v>
      </c>
      <c r="Z6275" t="s">
        <v>1491</v>
      </c>
      <c r="AA6275" s="3">
        <v>7.4242427945136996E-2</v>
      </c>
      <c r="AB6275" t="s">
        <v>30477</v>
      </c>
      <c r="AC6275" t="s">
        <v>4562</v>
      </c>
      <c r="AD6275" t="s">
        <v>30476</v>
      </c>
      <c r="AE6275" t="s">
        <v>4655</v>
      </c>
      <c r="AF6275" t="s">
        <v>4563</v>
      </c>
      <c r="AG6275" t="s">
        <v>4564</v>
      </c>
      <c r="AH6275" t="s">
        <v>1147</v>
      </c>
      <c r="AI6275" t="s">
        <v>30469</v>
      </c>
      <c r="AJ6275" t="s">
        <v>4522</v>
      </c>
      <c r="AK6275" t="s">
        <v>30478</v>
      </c>
      <c r="AL6275" s="13" t="s">
        <v>1896</v>
      </c>
      <c r="AM6275">
        <v>1</v>
      </c>
      <c r="AN6275" s="15" t="s">
        <v>1772</v>
      </c>
    </row>
    <row r="6276" spans="1:40" x14ac:dyDescent="0.3">
      <c r="A6276" s="10" t="str">
        <f>HYPERLINK("http://www.washoecounty.gov/assessor/cama/?parid=232-671-04&amp;CardNumber=1","232-671-04")</f>
        <v>232-671-04</v>
      </c>
      <c r="B6276" t="s">
        <v>4655</v>
      </c>
      <c r="C6276" t="s">
        <v>30479</v>
      </c>
      <c r="D6276" s="1">
        <v>40270</v>
      </c>
      <c r="E6276" s="2">
        <v>169000</v>
      </c>
      <c r="F6276" t="s">
        <v>4567</v>
      </c>
      <c r="G6276" s="17" t="str">
        <f>HYPERLINK("https://www.washoecounty.gov/assessor/cama/?command=sales&amp;parid=23267104","3867290")</f>
        <v>3867290</v>
      </c>
      <c r="H6276" t="s">
        <v>4186</v>
      </c>
      <c r="I6276">
        <v>2005</v>
      </c>
      <c r="J6276">
        <v>2005</v>
      </c>
      <c r="K6276" t="s">
        <v>4554</v>
      </c>
      <c r="L6276" t="s">
        <v>3974</v>
      </c>
      <c r="M6276" s="2">
        <v>1882</v>
      </c>
      <c r="N6276" t="s">
        <v>5280</v>
      </c>
      <c r="O6276">
        <v>3</v>
      </c>
      <c r="P6276">
        <v>3</v>
      </c>
      <c r="Q6276">
        <v>1</v>
      </c>
      <c r="R6276" t="s">
        <v>5281</v>
      </c>
      <c r="S6276" t="s">
        <v>4898</v>
      </c>
      <c r="T6276" t="s">
        <v>2704</v>
      </c>
      <c r="U6276" t="s">
        <v>5631</v>
      </c>
      <c r="V6276" s="2">
        <v>460</v>
      </c>
      <c r="W6276" t="s">
        <v>4655</v>
      </c>
      <c r="X6276" s="2">
        <v>0</v>
      </c>
      <c r="Y6276">
        <v>20</v>
      </c>
      <c r="Z6276" t="s">
        <v>1491</v>
      </c>
      <c r="AA6276" s="3">
        <v>5.8838382363319397E-2</v>
      </c>
      <c r="AB6276" t="s">
        <v>30480</v>
      </c>
      <c r="AC6276" t="s">
        <v>4562</v>
      </c>
      <c r="AD6276" t="s">
        <v>30481</v>
      </c>
      <c r="AE6276" t="s">
        <v>4655</v>
      </c>
      <c r="AF6276" t="s">
        <v>3163</v>
      </c>
      <c r="AG6276" t="s">
        <v>4584</v>
      </c>
      <c r="AH6276">
        <v>94040</v>
      </c>
      <c r="AI6276" t="s">
        <v>30469</v>
      </c>
      <c r="AJ6276" t="s">
        <v>3692</v>
      </c>
      <c r="AK6276" t="s">
        <v>30482</v>
      </c>
      <c r="AL6276" s="13" t="s">
        <v>1896</v>
      </c>
      <c r="AM6276" s="14">
        <v>1</v>
      </c>
      <c r="AN6276" s="15" t="s">
        <v>1772</v>
      </c>
    </row>
    <row r="6277" spans="1:40" x14ac:dyDescent="0.3">
      <c r="A6277" s="10" t="str">
        <f>HYPERLINK("http://www.washoecounty.gov/assessor/cama/?parid=232-672-06&amp;CardNumber=1","232-672-06")</f>
        <v>232-672-06</v>
      </c>
      <c r="B6277" t="s">
        <v>4655</v>
      </c>
      <c r="C6277" t="s">
        <v>30483</v>
      </c>
      <c r="D6277" s="1">
        <v>40541</v>
      </c>
      <c r="E6277" s="2">
        <v>160000</v>
      </c>
      <c r="F6277" t="s">
        <v>4553</v>
      </c>
      <c r="G6277" s="17" t="str">
        <f>HYPERLINK("https://www.washoecounty.gov/assessor/cama/?command=sales&amp;parid=23267206","3958438")</f>
        <v>3958438</v>
      </c>
      <c r="H6277" t="s">
        <v>4186</v>
      </c>
      <c r="I6277">
        <v>2005</v>
      </c>
      <c r="J6277">
        <v>2005</v>
      </c>
      <c r="K6277" t="s">
        <v>4554</v>
      </c>
      <c r="L6277" t="s">
        <v>3974</v>
      </c>
      <c r="M6277" s="2">
        <v>2034</v>
      </c>
      <c r="N6277" t="s">
        <v>5280</v>
      </c>
      <c r="O6277">
        <v>3</v>
      </c>
      <c r="P6277">
        <v>3</v>
      </c>
      <c r="Q6277">
        <v>1</v>
      </c>
      <c r="R6277" t="s">
        <v>5281</v>
      </c>
      <c r="S6277" t="s">
        <v>4898</v>
      </c>
      <c r="T6277" t="s">
        <v>2704</v>
      </c>
      <c r="U6277" t="s">
        <v>5631</v>
      </c>
      <c r="V6277" s="2">
        <v>471</v>
      </c>
      <c r="W6277" t="s">
        <v>4655</v>
      </c>
      <c r="X6277" s="2">
        <v>0</v>
      </c>
      <c r="Y6277">
        <v>20</v>
      </c>
      <c r="Z6277" t="s">
        <v>1491</v>
      </c>
      <c r="AA6277" s="3">
        <v>7.3002755641937297E-2</v>
      </c>
      <c r="AB6277" t="s">
        <v>30484</v>
      </c>
      <c r="AC6277" t="s">
        <v>4562</v>
      </c>
      <c r="AD6277" t="s">
        <v>30485</v>
      </c>
      <c r="AE6277" t="s">
        <v>4655</v>
      </c>
      <c r="AF6277" t="s">
        <v>4563</v>
      </c>
      <c r="AG6277" t="s">
        <v>4564</v>
      </c>
      <c r="AH6277">
        <v>89511</v>
      </c>
      <c r="AI6277" t="s">
        <v>30486</v>
      </c>
      <c r="AJ6277" t="s">
        <v>3692</v>
      </c>
      <c r="AK6277" t="s">
        <v>30487</v>
      </c>
      <c r="AL6277" s="13" t="s">
        <v>1896</v>
      </c>
      <c r="AM6277">
        <v>1</v>
      </c>
      <c r="AN6277" s="15" t="s">
        <v>1772</v>
      </c>
    </row>
    <row r="6278" spans="1:40" x14ac:dyDescent="0.3">
      <c r="A6278" s="10" t="str">
        <f>HYPERLINK("http://www.washoecounty.gov/assessor/cama/?parid=232-672-07&amp;CardNumber=1","232-672-07")</f>
        <v>232-672-07</v>
      </c>
      <c r="B6278" t="s">
        <v>4655</v>
      </c>
      <c r="C6278" t="s">
        <v>30488</v>
      </c>
      <c r="D6278" s="1">
        <v>40242</v>
      </c>
      <c r="E6278" s="2">
        <v>172000</v>
      </c>
      <c r="F6278" t="s">
        <v>4567</v>
      </c>
      <c r="G6278" s="17" t="str">
        <f>HYPERLINK("https://www.washoecounty.gov/assessor/cama/?command=sales&amp;parid=23267207","3856424")</f>
        <v>3856424</v>
      </c>
      <c r="H6278" t="s">
        <v>4186</v>
      </c>
      <c r="I6278">
        <v>2005</v>
      </c>
      <c r="J6278">
        <v>2005</v>
      </c>
      <c r="K6278" t="s">
        <v>4554</v>
      </c>
      <c r="L6278" t="s">
        <v>3974</v>
      </c>
      <c r="M6278" s="2">
        <v>1882</v>
      </c>
      <c r="N6278" t="s">
        <v>5280</v>
      </c>
      <c r="O6278">
        <v>3</v>
      </c>
      <c r="P6278">
        <v>3</v>
      </c>
      <c r="Q6278">
        <v>1</v>
      </c>
      <c r="R6278" t="s">
        <v>5281</v>
      </c>
      <c r="S6278" t="s">
        <v>4898</v>
      </c>
      <c r="T6278" t="s">
        <v>2704</v>
      </c>
      <c r="U6278" t="s">
        <v>5631</v>
      </c>
      <c r="V6278" s="2">
        <v>460</v>
      </c>
      <c r="W6278" t="s">
        <v>4655</v>
      </c>
      <c r="X6278" s="2">
        <v>0</v>
      </c>
      <c r="Y6278">
        <v>20</v>
      </c>
      <c r="Z6278" t="s">
        <v>1491</v>
      </c>
      <c r="AA6278" s="3">
        <v>8.5078053176403004E-2</v>
      </c>
      <c r="AB6278" t="s">
        <v>30489</v>
      </c>
      <c r="AC6278" t="s">
        <v>4575</v>
      </c>
      <c r="AD6278" t="s">
        <v>30490</v>
      </c>
      <c r="AE6278" t="s">
        <v>30488</v>
      </c>
      <c r="AF6278" t="s">
        <v>4563</v>
      </c>
      <c r="AG6278" t="s">
        <v>4564</v>
      </c>
      <c r="AH6278" t="s">
        <v>1147</v>
      </c>
      <c r="AI6278" t="s">
        <v>30469</v>
      </c>
      <c r="AJ6278" t="s">
        <v>3692</v>
      </c>
      <c r="AK6278" t="s">
        <v>30491</v>
      </c>
      <c r="AL6278" s="13" t="s">
        <v>1896</v>
      </c>
      <c r="AM6278" s="14">
        <v>1</v>
      </c>
      <c r="AN6278" s="15" t="s">
        <v>1772</v>
      </c>
    </row>
    <row r="6279" spans="1:40" x14ac:dyDescent="0.3">
      <c r="A6279" s="10" t="str">
        <f>HYPERLINK("http://www.washoecounty.gov/assessor/cama/?parid=232-672-09&amp;CardNumber=1","232-672-09")</f>
        <v>232-672-09</v>
      </c>
      <c r="B6279" t="s">
        <v>4655</v>
      </c>
      <c r="C6279" t="s">
        <v>30492</v>
      </c>
      <c r="D6279" s="1">
        <v>40541</v>
      </c>
      <c r="E6279" s="2">
        <v>160000</v>
      </c>
      <c r="F6279" t="s">
        <v>4553</v>
      </c>
      <c r="G6279" s="17" t="str">
        <f>HYPERLINK("https://www.washoecounty.gov/assessor/cama/?command=sales&amp;parid=23267209","3958465")</f>
        <v>3958465</v>
      </c>
      <c r="H6279" t="s">
        <v>4186</v>
      </c>
      <c r="I6279">
        <v>2005</v>
      </c>
      <c r="J6279">
        <v>2005</v>
      </c>
      <c r="K6279" t="s">
        <v>4554</v>
      </c>
      <c r="L6279" t="s">
        <v>3974</v>
      </c>
      <c r="M6279" s="2">
        <v>2034</v>
      </c>
      <c r="N6279" t="s">
        <v>5280</v>
      </c>
      <c r="O6279">
        <v>3</v>
      </c>
      <c r="P6279">
        <v>3</v>
      </c>
      <c r="Q6279">
        <v>1</v>
      </c>
      <c r="R6279" t="s">
        <v>5281</v>
      </c>
      <c r="S6279" t="s">
        <v>4898</v>
      </c>
      <c r="T6279" t="s">
        <v>2704</v>
      </c>
      <c r="U6279" t="s">
        <v>5631</v>
      </c>
      <c r="V6279" s="2">
        <v>471</v>
      </c>
      <c r="W6279" t="s">
        <v>4655</v>
      </c>
      <c r="X6279" s="2">
        <v>0</v>
      </c>
      <c r="Y6279">
        <v>20</v>
      </c>
      <c r="Z6279" t="s">
        <v>1491</v>
      </c>
      <c r="AA6279" s="3">
        <v>6.8847566843032795E-2</v>
      </c>
      <c r="AB6279" t="s">
        <v>30484</v>
      </c>
      <c r="AC6279" t="s">
        <v>4562</v>
      </c>
      <c r="AD6279" t="s">
        <v>30485</v>
      </c>
      <c r="AE6279" t="s">
        <v>4655</v>
      </c>
      <c r="AF6279" t="s">
        <v>4563</v>
      </c>
      <c r="AG6279" t="s">
        <v>4564</v>
      </c>
      <c r="AH6279">
        <v>89511</v>
      </c>
      <c r="AI6279" t="s">
        <v>30486</v>
      </c>
      <c r="AJ6279" t="s">
        <v>3692</v>
      </c>
      <c r="AK6279" t="s">
        <v>30493</v>
      </c>
      <c r="AL6279" s="13" t="s">
        <v>1896</v>
      </c>
      <c r="AM6279" s="14">
        <v>1</v>
      </c>
      <c r="AN6279" s="15" t="s">
        <v>1772</v>
      </c>
    </row>
    <row r="6280" spans="1:40" x14ac:dyDescent="0.3">
      <c r="A6280" s="10" t="str">
        <f>HYPERLINK("http://www.washoecounty.gov/assessor/cama/?parid=232-672-11&amp;CardNumber=1","232-672-11")</f>
        <v>232-672-11</v>
      </c>
      <c r="B6280" t="s">
        <v>4655</v>
      </c>
      <c r="C6280" t="s">
        <v>30494</v>
      </c>
      <c r="D6280" s="1">
        <v>40232</v>
      </c>
      <c r="E6280" s="2">
        <v>150000</v>
      </c>
      <c r="F6280" t="s">
        <v>4553</v>
      </c>
      <c r="G6280" s="17" t="str">
        <f>HYPERLINK("https://www.washoecounty.gov/assessor/cama/?command=sales&amp;parid=23267211","3851791")</f>
        <v>3851791</v>
      </c>
      <c r="H6280" t="s">
        <v>4186</v>
      </c>
      <c r="I6280">
        <v>2005</v>
      </c>
      <c r="J6280">
        <v>2005</v>
      </c>
      <c r="K6280" t="s">
        <v>4554</v>
      </c>
      <c r="L6280" t="s">
        <v>3974</v>
      </c>
      <c r="M6280" s="2">
        <v>1522</v>
      </c>
      <c r="N6280" t="s">
        <v>5280</v>
      </c>
      <c r="O6280">
        <v>3</v>
      </c>
      <c r="P6280">
        <v>3</v>
      </c>
      <c r="Q6280">
        <v>1</v>
      </c>
      <c r="R6280" t="s">
        <v>5281</v>
      </c>
      <c r="S6280" t="s">
        <v>4898</v>
      </c>
      <c r="T6280" t="s">
        <v>2704</v>
      </c>
      <c r="U6280" t="s">
        <v>5631</v>
      </c>
      <c r="V6280" s="2">
        <v>514</v>
      </c>
      <c r="W6280" t="s">
        <v>4655</v>
      </c>
      <c r="X6280" s="2">
        <v>0</v>
      </c>
      <c r="Y6280">
        <v>20</v>
      </c>
      <c r="Z6280" t="s">
        <v>1491</v>
      </c>
      <c r="AA6280" s="3">
        <v>8.0899909138679504E-2</v>
      </c>
      <c r="AB6280" t="s">
        <v>30495</v>
      </c>
      <c r="AC6280" t="s">
        <v>4575</v>
      </c>
      <c r="AD6280" t="s">
        <v>30496</v>
      </c>
      <c r="AE6280" t="s">
        <v>4655</v>
      </c>
      <c r="AF6280" t="s">
        <v>1789</v>
      </c>
      <c r="AG6280" t="s">
        <v>4584</v>
      </c>
      <c r="AH6280" t="s">
        <v>1790</v>
      </c>
      <c r="AI6280" t="s">
        <v>4045</v>
      </c>
      <c r="AJ6280" t="s">
        <v>3692</v>
      </c>
      <c r="AK6280" t="s">
        <v>30497</v>
      </c>
      <c r="AL6280" s="13" t="s">
        <v>1896</v>
      </c>
      <c r="AM6280">
        <v>1</v>
      </c>
      <c r="AN6280" s="15" t="s">
        <v>1772</v>
      </c>
    </row>
    <row r="6281" spans="1:40" x14ac:dyDescent="0.3">
      <c r="A6281" s="10" t="str">
        <f>HYPERLINK("http://www.washoecounty.gov/assessor/cama/?parid=232-672-12&amp;CardNumber=1","232-672-12")</f>
        <v>232-672-12</v>
      </c>
      <c r="B6281" t="s">
        <v>4655</v>
      </c>
      <c r="C6281" t="s">
        <v>30498</v>
      </c>
      <c r="D6281" s="1">
        <v>40534</v>
      </c>
      <c r="E6281" s="2">
        <v>142500</v>
      </c>
      <c r="F6281" t="s">
        <v>4553</v>
      </c>
      <c r="G6281" s="17" t="str">
        <f>HYPERLINK("https://www.washoecounty.gov/assessor/cama/?command=sales&amp;parid=23267212","3956532")</f>
        <v>3956532</v>
      </c>
      <c r="H6281" t="s">
        <v>4186</v>
      </c>
      <c r="I6281">
        <v>2005</v>
      </c>
      <c r="J6281">
        <v>2005</v>
      </c>
      <c r="K6281" t="s">
        <v>4554</v>
      </c>
      <c r="L6281" t="s">
        <v>3974</v>
      </c>
      <c r="M6281" s="2">
        <v>1526</v>
      </c>
      <c r="N6281" t="s">
        <v>5280</v>
      </c>
      <c r="O6281">
        <v>3</v>
      </c>
      <c r="P6281">
        <v>3</v>
      </c>
      <c r="Q6281">
        <v>1</v>
      </c>
      <c r="R6281" t="s">
        <v>5281</v>
      </c>
      <c r="S6281" t="s">
        <v>4898</v>
      </c>
      <c r="T6281" t="s">
        <v>2704</v>
      </c>
      <c r="U6281" t="s">
        <v>5631</v>
      </c>
      <c r="V6281" s="2">
        <v>514</v>
      </c>
      <c r="W6281" t="s">
        <v>4655</v>
      </c>
      <c r="X6281" s="2">
        <v>0</v>
      </c>
      <c r="Y6281">
        <v>20</v>
      </c>
      <c r="Z6281" t="s">
        <v>1491</v>
      </c>
      <c r="AA6281" s="3">
        <v>7.3415979743003804E-2</v>
      </c>
      <c r="AB6281" t="s">
        <v>30499</v>
      </c>
      <c r="AC6281" t="s">
        <v>4562</v>
      </c>
      <c r="AD6281" t="s">
        <v>30500</v>
      </c>
      <c r="AE6281" t="s">
        <v>4655</v>
      </c>
      <c r="AF6281" t="s">
        <v>4563</v>
      </c>
      <c r="AG6281" t="s">
        <v>4564</v>
      </c>
      <c r="AH6281" t="s">
        <v>1147</v>
      </c>
      <c r="AI6281" t="s">
        <v>601</v>
      </c>
      <c r="AJ6281" t="s">
        <v>3692</v>
      </c>
      <c r="AK6281" t="s">
        <v>30501</v>
      </c>
      <c r="AL6281" s="13" t="s">
        <v>1896</v>
      </c>
      <c r="AM6281">
        <v>1</v>
      </c>
      <c r="AN6281" s="15" t="s">
        <v>1772</v>
      </c>
    </row>
    <row r="6282" spans="1:40" x14ac:dyDescent="0.3">
      <c r="A6282" s="10" t="str">
        <f>HYPERLINK("http://www.washoecounty.gov/assessor/cama/?parid=232-681-01&amp;CardNumber=1","232-681-01")</f>
        <v>232-681-01</v>
      </c>
      <c r="B6282" t="s">
        <v>4655</v>
      </c>
      <c r="C6282" t="s">
        <v>30502</v>
      </c>
      <c r="D6282" s="1">
        <v>40210</v>
      </c>
      <c r="E6282" s="2">
        <v>166000</v>
      </c>
      <c r="F6282" t="s">
        <v>4553</v>
      </c>
      <c r="G6282" s="17" t="str">
        <f>HYPERLINK("https://www.washoecounty.gov/assessor/cama/?command=sales&amp;parid=23268101","3844896")</f>
        <v>3844896</v>
      </c>
      <c r="H6282" t="s">
        <v>4186</v>
      </c>
      <c r="I6282">
        <v>2005</v>
      </c>
      <c r="J6282">
        <v>2005</v>
      </c>
      <c r="K6282" t="s">
        <v>4554</v>
      </c>
      <c r="L6282" t="s">
        <v>3974</v>
      </c>
      <c r="M6282" s="2">
        <v>1851</v>
      </c>
      <c r="N6282" t="s">
        <v>5280</v>
      </c>
      <c r="O6282">
        <v>3</v>
      </c>
      <c r="P6282">
        <v>3</v>
      </c>
      <c r="Q6282">
        <v>1</v>
      </c>
      <c r="R6282" t="s">
        <v>5281</v>
      </c>
      <c r="S6282" t="s">
        <v>4898</v>
      </c>
      <c r="T6282" t="s">
        <v>2704</v>
      </c>
      <c r="U6282" t="s">
        <v>5631</v>
      </c>
      <c r="V6282" s="2">
        <v>460</v>
      </c>
      <c r="W6282" t="s">
        <v>4655</v>
      </c>
      <c r="X6282" s="2">
        <v>0</v>
      </c>
      <c r="Y6282">
        <v>20</v>
      </c>
      <c r="Z6282" t="s">
        <v>1491</v>
      </c>
      <c r="AA6282" s="3">
        <v>5.8539945632219301E-2</v>
      </c>
      <c r="AB6282" t="s">
        <v>30503</v>
      </c>
      <c r="AC6282" t="s">
        <v>4562</v>
      </c>
      <c r="AD6282" t="s">
        <v>30504</v>
      </c>
      <c r="AE6282" t="s">
        <v>4655</v>
      </c>
      <c r="AF6282" t="s">
        <v>4563</v>
      </c>
      <c r="AG6282" t="s">
        <v>4564</v>
      </c>
      <c r="AH6282" t="s">
        <v>4290</v>
      </c>
      <c r="AI6282" t="s">
        <v>14020</v>
      </c>
      <c r="AJ6282" t="s">
        <v>3692</v>
      </c>
      <c r="AK6282" t="s">
        <v>30505</v>
      </c>
      <c r="AL6282" s="13" t="s">
        <v>1896</v>
      </c>
      <c r="AM6282">
        <v>1</v>
      </c>
      <c r="AN6282" s="15" t="s">
        <v>1772</v>
      </c>
    </row>
    <row r="6283" spans="1:40" x14ac:dyDescent="0.3">
      <c r="A6283" s="10" t="str">
        <f>HYPERLINK("http://www.washoecounty.gov/assessor/cama/?parid=232-682-01&amp;CardNumber=1","232-682-01")</f>
        <v>232-682-01</v>
      </c>
      <c r="B6283" t="s">
        <v>4655</v>
      </c>
      <c r="C6283" t="s">
        <v>30506</v>
      </c>
      <c r="D6283" s="1">
        <v>40319</v>
      </c>
      <c r="E6283" s="2">
        <v>158000</v>
      </c>
      <c r="F6283" t="s">
        <v>4553</v>
      </c>
      <c r="G6283" s="17" t="str">
        <f>HYPERLINK("https://www.washoecounty.gov/assessor/cama/?command=sales&amp;parid=23268201","3883891")</f>
        <v>3883891</v>
      </c>
      <c r="H6283" t="s">
        <v>4186</v>
      </c>
      <c r="I6283">
        <v>2005</v>
      </c>
      <c r="J6283">
        <v>2005</v>
      </c>
      <c r="K6283" t="s">
        <v>4554</v>
      </c>
      <c r="L6283" t="s">
        <v>3974</v>
      </c>
      <c r="M6283" s="2">
        <v>2034</v>
      </c>
      <c r="N6283" t="s">
        <v>5280</v>
      </c>
      <c r="O6283">
        <v>3</v>
      </c>
      <c r="P6283">
        <v>3</v>
      </c>
      <c r="Q6283">
        <v>1</v>
      </c>
      <c r="R6283" t="s">
        <v>5281</v>
      </c>
      <c r="S6283" t="s">
        <v>4898</v>
      </c>
      <c r="T6283" t="s">
        <v>2704</v>
      </c>
      <c r="U6283" t="s">
        <v>5631</v>
      </c>
      <c r="V6283" s="2">
        <v>471</v>
      </c>
      <c r="W6283" t="s">
        <v>4655</v>
      </c>
      <c r="X6283" s="2">
        <v>0</v>
      </c>
      <c r="Y6283">
        <v>20</v>
      </c>
      <c r="Z6283" t="s">
        <v>1491</v>
      </c>
      <c r="AA6283" s="3">
        <v>6.9880627095699296E-2</v>
      </c>
      <c r="AB6283" t="s">
        <v>30507</v>
      </c>
      <c r="AC6283" t="s">
        <v>4562</v>
      </c>
      <c r="AD6283" t="s">
        <v>30508</v>
      </c>
      <c r="AE6283" t="s">
        <v>4655</v>
      </c>
      <c r="AF6283" t="s">
        <v>4563</v>
      </c>
      <c r="AG6283" t="s">
        <v>4564</v>
      </c>
      <c r="AH6283" t="s">
        <v>1147</v>
      </c>
      <c r="AI6283" t="s">
        <v>4848</v>
      </c>
      <c r="AJ6283" t="s">
        <v>3692</v>
      </c>
      <c r="AK6283" t="s">
        <v>30509</v>
      </c>
      <c r="AL6283" s="13" t="s">
        <v>1896</v>
      </c>
      <c r="AM6283">
        <v>1</v>
      </c>
      <c r="AN6283" s="15" t="s">
        <v>1772</v>
      </c>
    </row>
    <row r="6284" spans="1:40" x14ac:dyDescent="0.3">
      <c r="A6284" s="10" t="str">
        <f>HYPERLINK("http://www.washoecounty.gov/assessor/cama/?parid=232-691-12&amp;CardNumber=1","232-691-12")</f>
        <v>232-691-12</v>
      </c>
      <c r="B6284" t="s">
        <v>4655</v>
      </c>
      <c r="C6284" t="s">
        <v>30510</v>
      </c>
      <c r="D6284" s="1">
        <v>40186</v>
      </c>
      <c r="E6284" s="2">
        <v>360000</v>
      </c>
      <c r="F6284" t="s">
        <v>4567</v>
      </c>
      <c r="G6284" s="17" t="str">
        <f>HYPERLINK("https://www.washoecounty.gov/assessor/cama/?command=sales&amp;parid=23269112","3837734")</f>
        <v>3837734</v>
      </c>
      <c r="H6284" t="s">
        <v>3792</v>
      </c>
      <c r="I6284">
        <v>2006</v>
      </c>
      <c r="J6284">
        <v>2006</v>
      </c>
      <c r="K6284" t="s">
        <v>4554</v>
      </c>
      <c r="L6284" t="s">
        <v>3974</v>
      </c>
      <c r="M6284" s="2">
        <v>3697</v>
      </c>
      <c r="N6284" t="s">
        <v>3147</v>
      </c>
      <c r="O6284">
        <v>5</v>
      </c>
      <c r="P6284">
        <v>3</v>
      </c>
      <c r="Q6284">
        <v>1</v>
      </c>
      <c r="R6284" t="s">
        <v>5281</v>
      </c>
      <c r="S6284" t="s">
        <v>4898</v>
      </c>
      <c r="T6284" t="s">
        <v>2704</v>
      </c>
      <c r="U6284" t="s">
        <v>5631</v>
      </c>
      <c r="V6284" s="2">
        <v>698</v>
      </c>
      <c r="W6284" t="s">
        <v>4655</v>
      </c>
      <c r="X6284" s="2">
        <v>0</v>
      </c>
      <c r="Y6284">
        <v>20</v>
      </c>
      <c r="Z6284" t="s">
        <v>1491</v>
      </c>
      <c r="AA6284" s="3">
        <v>0.497704327106476</v>
      </c>
      <c r="AB6284" t="s">
        <v>30511</v>
      </c>
      <c r="AC6284" t="s">
        <v>4562</v>
      </c>
      <c r="AD6284" t="s">
        <v>30510</v>
      </c>
      <c r="AE6284" t="s">
        <v>4655</v>
      </c>
      <c r="AF6284" t="s">
        <v>4563</v>
      </c>
      <c r="AG6284" t="s">
        <v>4564</v>
      </c>
      <c r="AH6284" t="s">
        <v>1147</v>
      </c>
      <c r="AI6284" t="s">
        <v>30512</v>
      </c>
      <c r="AJ6284" t="s">
        <v>3793</v>
      </c>
      <c r="AK6284" t="s">
        <v>30513</v>
      </c>
      <c r="AL6284" s="13" t="s">
        <v>1897</v>
      </c>
      <c r="AM6284">
        <v>1</v>
      </c>
      <c r="AN6284" s="15" t="s">
        <v>2104</v>
      </c>
    </row>
    <row r="6285" spans="1:40" x14ac:dyDescent="0.3">
      <c r="A6285" s="10" t="str">
        <f>HYPERLINK("http://www.washoecounty.gov/assessor/cama/?parid=232-691-17&amp;CardNumber=1","232-691-17")</f>
        <v>232-691-17</v>
      </c>
      <c r="B6285" t="s">
        <v>4655</v>
      </c>
      <c r="C6285" t="s">
        <v>30514</v>
      </c>
      <c r="D6285" s="1">
        <v>40487</v>
      </c>
      <c r="E6285" s="2">
        <v>335000</v>
      </c>
      <c r="F6285" t="s">
        <v>4567</v>
      </c>
      <c r="G6285" s="17" t="str">
        <f>HYPERLINK("https://www.washoecounty.gov/assessor/cama/?command=sales&amp;parid=23269117","3940339")</f>
        <v>3940339</v>
      </c>
      <c r="H6285" t="s">
        <v>3792</v>
      </c>
      <c r="I6285">
        <v>2007</v>
      </c>
      <c r="J6285">
        <v>2007</v>
      </c>
      <c r="K6285" t="s">
        <v>4554</v>
      </c>
      <c r="L6285" t="s">
        <v>3974</v>
      </c>
      <c r="M6285" s="2">
        <v>2809</v>
      </c>
      <c r="N6285" t="s">
        <v>3147</v>
      </c>
      <c r="O6285">
        <v>3</v>
      </c>
      <c r="P6285">
        <v>3</v>
      </c>
      <c r="Q6285">
        <v>0</v>
      </c>
      <c r="R6285" t="s">
        <v>5281</v>
      </c>
      <c r="S6285" t="s">
        <v>4898</v>
      </c>
      <c r="T6285" t="s">
        <v>2704</v>
      </c>
      <c r="U6285" t="s">
        <v>162</v>
      </c>
      <c r="V6285" s="2">
        <v>697</v>
      </c>
      <c r="W6285" t="s">
        <v>4655</v>
      </c>
      <c r="X6285" s="2">
        <v>0</v>
      </c>
      <c r="Y6285">
        <v>20</v>
      </c>
      <c r="Z6285" t="s">
        <v>1491</v>
      </c>
      <c r="AA6285" s="3">
        <v>0.23758034408092499</v>
      </c>
      <c r="AB6285" t="s">
        <v>30515</v>
      </c>
      <c r="AC6285" t="s">
        <v>4562</v>
      </c>
      <c r="AD6285" t="s">
        <v>30514</v>
      </c>
      <c r="AE6285" t="s">
        <v>4655</v>
      </c>
      <c r="AF6285" t="s">
        <v>4563</v>
      </c>
      <c r="AG6285" t="s">
        <v>4564</v>
      </c>
      <c r="AH6285" t="s">
        <v>1147</v>
      </c>
      <c r="AI6285" t="s">
        <v>30516</v>
      </c>
      <c r="AJ6285" t="s">
        <v>3793</v>
      </c>
      <c r="AK6285" t="s">
        <v>30517</v>
      </c>
      <c r="AL6285" s="13" t="s">
        <v>1897</v>
      </c>
      <c r="AM6285">
        <v>1</v>
      </c>
      <c r="AN6285" s="15" t="s">
        <v>2104</v>
      </c>
    </row>
    <row r="6286" spans="1:40" x14ac:dyDescent="0.3">
      <c r="A6286" s="10" t="str">
        <f>HYPERLINK("http://www.washoecounty.gov/assessor/cama/?parid=232-691-19&amp;CardNumber=1","232-691-19")</f>
        <v>232-691-19</v>
      </c>
      <c r="B6286" t="s">
        <v>4655</v>
      </c>
      <c r="C6286" t="s">
        <v>30518</v>
      </c>
      <c r="D6286" s="1">
        <v>40420</v>
      </c>
      <c r="E6286" s="2">
        <v>252000</v>
      </c>
      <c r="F6286" t="s">
        <v>4553</v>
      </c>
      <c r="G6286" s="17" t="str">
        <f>HYPERLINK("https://www.washoecounty.gov/assessor/cama/?command=sales&amp;parid=23269119","3916724")</f>
        <v>3916724</v>
      </c>
      <c r="H6286" t="s">
        <v>3792</v>
      </c>
      <c r="I6286">
        <v>2007</v>
      </c>
      <c r="J6286">
        <v>2007</v>
      </c>
      <c r="K6286" t="s">
        <v>4554</v>
      </c>
      <c r="L6286" t="s">
        <v>3974</v>
      </c>
      <c r="M6286" s="2">
        <v>2015</v>
      </c>
      <c r="N6286" t="s">
        <v>5280</v>
      </c>
      <c r="O6286">
        <v>4</v>
      </c>
      <c r="P6286">
        <v>2</v>
      </c>
      <c r="Q6286">
        <v>1</v>
      </c>
      <c r="R6286" t="s">
        <v>5281</v>
      </c>
      <c r="S6286" t="s">
        <v>4898</v>
      </c>
      <c r="T6286" t="s">
        <v>2704</v>
      </c>
      <c r="U6286" t="s">
        <v>5631</v>
      </c>
      <c r="V6286" s="2">
        <v>468</v>
      </c>
      <c r="W6286" t="s">
        <v>4655</v>
      </c>
      <c r="X6286" s="2">
        <v>0</v>
      </c>
      <c r="Y6286">
        <v>20</v>
      </c>
      <c r="Z6286" t="s">
        <v>1491</v>
      </c>
      <c r="AA6286" s="3">
        <v>0.16618457436561584</v>
      </c>
      <c r="AB6286" t="s">
        <v>30519</v>
      </c>
      <c r="AC6286" t="s">
        <v>4562</v>
      </c>
      <c r="AD6286" t="s">
        <v>30520</v>
      </c>
      <c r="AE6286" t="s">
        <v>4655</v>
      </c>
      <c r="AF6286" t="s">
        <v>4563</v>
      </c>
      <c r="AG6286" t="s">
        <v>4564</v>
      </c>
      <c r="AH6286" t="s">
        <v>1147</v>
      </c>
      <c r="AI6286" t="s">
        <v>4903</v>
      </c>
      <c r="AJ6286" t="s">
        <v>3793</v>
      </c>
      <c r="AK6286" t="s">
        <v>30521</v>
      </c>
      <c r="AL6286" s="13" t="s">
        <v>1897</v>
      </c>
      <c r="AM6286">
        <v>1</v>
      </c>
      <c r="AN6286" s="15" t="s">
        <v>2104</v>
      </c>
    </row>
    <row r="6287" spans="1:40" x14ac:dyDescent="0.3">
      <c r="A6287" s="10" t="str">
        <f>HYPERLINK("http://www.washoecounty.gov/assessor/cama/?parid=232-691-27&amp;CardNumber=1","232-691-27")</f>
        <v>232-691-27</v>
      </c>
      <c r="B6287" t="s">
        <v>4655</v>
      </c>
      <c r="C6287" t="s">
        <v>30522</v>
      </c>
      <c r="D6287" s="1">
        <v>40541</v>
      </c>
      <c r="E6287" s="2">
        <v>238000</v>
      </c>
      <c r="F6287" t="s">
        <v>4567</v>
      </c>
      <c r="G6287" s="17" t="str">
        <f>HYPERLINK("https://www.washoecounty.gov/assessor/cama/?command=sales&amp;parid=23269127","3958733")</f>
        <v>3958733</v>
      </c>
      <c r="H6287" t="s">
        <v>3792</v>
      </c>
      <c r="I6287">
        <v>2006</v>
      </c>
      <c r="J6287">
        <v>2006</v>
      </c>
      <c r="K6287" t="s">
        <v>4554</v>
      </c>
      <c r="L6287" t="s">
        <v>3974</v>
      </c>
      <c r="M6287" s="2">
        <v>2432</v>
      </c>
      <c r="N6287" t="s">
        <v>5280</v>
      </c>
      <c r="O6287">
        <v>3</v>
      </c>
      <c r="P6287">
        <v>3</v>
      </c>
      <c r="Q6287">
        <v>0</v>
      </c>
      <c r="R6287" t="s">
        <v>4557</v>
      </c>
      <c r="S6287" t="s">
        <v>4898</v>
      </c>
      <c r="T6287" t="s">
        <v>2704</v>
      </c>
      <c r="U6287" t="s">
        <v>5631</v>
      </c>
      <c r="V6287" s="2">
        <v>579</v>
      </c>
      <c r="W6287" t="s">
        <v>4655</v>
      </c>
      <c r="X6287" s="2">
        <v>0</v>
      </c>
      <c r="Y6287">
        <v>20</v>
      </c>
      <c r="Z6287" t="s">
        <v>1491</v>
      </c>
      <c r="AA6287" s="3">
        <v>0.171602383255959</v>
      </c>
      <c r="AB6287" t="s">
        <v>30523</v>
      </c>
      <c r="AC6287" t="s">
        <v>4562</v>
      </c>
      <c r="AD6287" t="s">
        <v>30522</v>
      </c>
      <c r="AE6287" t="s">
        <v>4655</v>
      </c>
      <c r="AF6287" t="s">
        <v>4563</v>
      </c>
      <c r="AG6287" t="s">
        <v>4564</v>
      </c>
      <c r="AH6287" t="s">
        <v>1147</v>
      </c>
      <c r="AI6287" t="s">
        <v>30524</v>
      </c>
      <c r="AJ6287" t="s">
        <v>3793</v>
      </c>
      <c r="AK6287" t="s">
        <v>30525</v>
      </c>
      <c r="AL6287" s="13" t="s">
        <v>1897</v>
      </c>
      <c r="AM6287">
        <v>1</v>
      </c>
      <c r="AN6287" s="15" t="s">
        <v>2104</v>
      </c>
    </row>
    <row r="6288" spans="1:40" x14ac:dyDescent="0.3">
      <c r="A6288" s="10" t="str">
        <f>HYPERLINK("http://www.washoecounty.gov/assessor/cama/?parid=232-691-28&amp;CardNumber=1","232-691-28")</f>
        <v>232-691-28</v>
      </c>
      <c r="B6288" t="s">
        <v>4655</v>
      </c>
      <c r="C6288" t="s">
        <v>30526</v>
      </c>
      <c r="D6288" s="1">
        <v>40505</v>
      </c>
      <c r="E6288" s="2">
        <v>268700</v>
      </c>
      <c r="F6288" t="s">
        <v>4567</v>
      </c>
      <c r="G6288" s="17" t="str">
        <f>HYPERLINK("https://www.washoecounty.gov/assessor/cama/?command=sales&amp;parid=23269128","3945927")</f>
        <v>3945927</v>
      </c>
      <c r="H6288" t="s">
        <v>3792</v>
      </c>
      <c r="I6288">
        <v>2006</v>
      </c>
      <c r="J6288">
        <v>2006</v>
      </c>
      <c r="K6288" t="s">
        <v>4554</v>
      </c>
      <c r="L6288" t="s">
        <v>3974</v>
      </c>
      <c r="M6288" s="2">
        <v>2432</v>
      </c>
      <c r="N6288" t="s">
        <v>5280</v>
      </c>
      <c r="O6288">
        <v>3</v>
      </c>
      <c r="P6288">
        <v>3</v>
      </c>
      <c r="Q6288">
        <v>0</v>
      </c>
      <c r="R6288" t="s">
        <v>5281</v>
      </c>
      <c r="S6288" t="s">
        <v>4898</v>
      </c>
      <c r="T6288" t="s">
        <v>2704</v>
      </c>
      <c r="U6288" t="s">
        <v>5631</v>
      </c>
      <c r="V6288" s="2">
        <v>579</v>
      </c>
      <c r="W6288" t="s">
        <v>4655</v>
      </c>
      <c r="X6288" s="2">
        <v>0</v>
      </c>
      <c r="Y6288">
        <v>20</v>
      </c>
      <c r="Z6288" t="s">
        <v>1491</v>
      </c>
      <c r="AA6288" s="3">
        <v>0.30633607506751998</v>
      </c>
      <c r="AB6288" t="s">
        <v>30527</v>
      </c>
      <c r="AC6288" t="s">
        <v>4562</v>
      </c>
      <c r="AD6288" t="s">
        <v>30526</v>
      </c>
      <c r="AE6288" t="s">
        <v>4655</v>
      </c>
      <c r="AF6288" t="s">
        <v>4563</v>
      </c>
      <c r="AG6288" t="s">
        <v>4564</v>
      </c>
      <c r="AH6288" t="s">
        <v>1147</v>
      </c>
      <c r="AI6288" t="s">
        <v>30528</v>
      </c>
      <c r="AJ6288" t="s">
        <v>3793</v>
      </c>
      <c r="AK6288" t="s">
        <v>30529</v>
      </c>
      <c r="AL6288" s="13" t="s">
        <v>1897</v>
      </c>
      <c r="AM6288">
        <v>1</v>
      </c>
      <c r="AN6288" s="15" t="s">
        <v>2104</v>
      </c>
    </row>
    <row r="6289" spans="1:40" x14ac:dyDescent="0.3">
      <c r="A6289" s="10" t="str">
        <f>HYPERLINK("http://www.washoecounty.gov/assessor/cama/?parid=232-691-29&amp;CardNumber=1","232-691-29")</f>
        <v>232-691-29</v>
      </c>
      <c r="B6289" t="s">
        <v>4655</v>
      </c>
      <c r="C6289" t="s">
        <v>30530</v>
      </c>
      <c r="D6289" s="1">
        <v>40325</v>
      </c>
      <c r="E6289" s="2">
        <v>215000</v>
      </c>
      <c r="F6289" t="s">
        <v>4567</v>
      </c>
      <c r="G6289" s="17" t="str">
        <f>HYPERLINK("https://www.washoecounty.gov/assessor/cama/?command=sales&amp;parid=23269129","3886229")</f>
        <v>3886229</v>
      </c>
      <c r="H6289" t="s">
        <v>3792</v>
      </c>
      <c r="I6289">
        <v>2006</v>
      </c>
      <c r="J6289">
        <v>2006</v>
      </c>
      <c r="K6289" t="s">
        <v>4554</v>
      </c>
      <c r="L6289" t="s">
        <v>4555</v>
      </c>
      <c r="M6289" s="2">
        <v>1691</v>
      </c>
      <c r="N6289" t="s">
        <v>5280</v>
      </c>
      <c r="O6289">
        <v>3</v>
      </c>
      <c r="P6289">
        <v>2</v>
      </c>
      <c r="Q6289">
        <v>0</v>
      </c>
      <c r="R6289" t="s">
        <v>5281</v>
      </c>
      <c r="S6289" t="s">
        <v>4898</v>
      </c>
      <c r="T6289" t="s">
        <v>2704</v>
      </c>
      <c r="U6289" t="s">
        <v>4560</v>
      </c>
      <c r="V6289" s="2">
        <v>420</v>
      </c>
      <c r="W6289" t="s">
        <v>4655</v>
      </c>
      <c r="X6289" s="2">
        <v>0</v>
      </c>
      <c r="Y6289">
        <v>20</v>
      </c>
      <c r="Z6289" t="s">
        <v>1491</v>
      </c>
      <c r="AA6289" s="3">
        <v>0.205463722348213</v>
      </c>
      <c r="AB6289" t="s">
        <v>30531</v>
      </c>
      <c r="AC6289" t="s">
        <v>4575</v>
      </c>
      <c r="AD6289" t="s">
        <v>30530</v>
      </c>
      <c r="AE6289" t="s">
        <v>4655</v>
      </c>
      <c r="AF6289" t="s">
        <v>4563</v>
      </c>
      <c r="AG6289" t="s">
        <v>4564</v>
      </c>
      <c r="AH6289" t="s">
        <v>1147</v>
      </c>
      <c r="AI6289" t="s">
        <v>30532</v>
      </c>
      <c r="AJ6289" t="s">
        <v>3793</v>
      </c>
      <c r="AK6289" t="s">
        <v>30533</v>
      </c>
      <c r="AL6289" s="13" t="s">
        <v>1897</v>
      </c>
      <c r="AM6289">
        <v>1</v>
      </c>
      <c r="AN6289" s="15" t="s">
        <v>2104</v>
      </c>
    </row>
    <row r="6290" spans="1:40" x14ac:dyDescent="0.3">
      <c r="A6290" s="10" t="str">
        <f>HYPERLINK("http://www.washoecounty.gov/assessor/cama/?parid=232-691-31&amp;CardNumber=1","232-691-31")</f>
        <v>232-691-31</v>
      </c>
      <c r="B6290" t="s">
        <v>4655</v>
      </c>
      <c r="C6290" t="s">
        <v>30534</v>
      </c>
      <c r="D6290" s="1">
        <v>40420</v>
      </c>
      <c r="E6290" s="2">
        <v>246900</v>
      </c>
      <c r="F6290" t="s">
        <v>4553</v>
      </c>
      <c r="G6290" s="17" t="str">
        <f>HYPERLINK("https://www.washoecounty.gov/assessor/cama/?command=sales&amp;parid=23269131","3916993")</f>
        <v>3916993</v>
      </c>
      <c r="H6290" t="s">
        <v>3792</v>
      </c>
      <c r="I6290">
        <v>2006</v>
      </c>
      <c r="J6290">
        <v>2006</v>
      </c>
      <c r="K6290" t="s">
        <v>4554</v>
      </c>
      <c r="L6290" t="s">
        <v>3974</v>
      </c>
      <c r="M6290" s="2">
        <v>2432</v>
      </c>
      <c r="N6290" t="s">
        <v>5280</v>
      </c>
      <c r="O6290">
        <v>3</v>
      </c>
      <c r="P6290">
        <v>3</v>
      </c>
      <c r="Q6290">
        <v>0</v>
      </c>
      <c r="R6290" t="s">
        <v>5281</v>
      </c>
      <c r="S6290" t="s">
        <v>4898</v>
      </c>
      <c r="T6290" t="s">
        <v>2704</v>
      </c>
      <c r="U6290" t="s">
        <v>5631</v>
      </c>
      <c r="V6290" s="2">
        <v>579</v>
      </c>
      <c r="W6290" t="s">
        <v>4655</v>
      </c>
      <c r="X6290" s="2">
        <v>0</v>
      </c>
      <c r="Y6290">
        <v>20</v>
      </c>
      <c r="Z6290" t="s">
        <v>1491</v>
      </c>
      <c r="AA6290" s="3">
        <v>0.21905417740345001</v>
      </c>
      <c r="AB6290" t="s">
        <v>30535</v>
      </c>
      <c r="AC6290" t="s">
        <v>4562</v>
      </c>
      <c r="AD6290" t="s">
        <v>27331</v>
      </c>
      <c r="AE6290" t="s">
        <v>27332</v>
      </c>
      <c r="AF6290" t="s">
        <v>3114</v>
      </c>
      <c r="AG6290" t="s">
        <v>4564</v>
      </c>
      <c r="AH6290">
        <v>89503</v>
      </c>
      <c r="AI6290" t="s">
        <v>27333</v>
      </c>
      <c r="AJ6290" t="s">
        <v>3793</v>
      </c>
      <c r="AK6290" t="s">
        <v>30536</v>
      </c>
      <c r="AL6290" s="13" t="s">
        <v>1897</v>
      </c>
      <c r="AM6290">
        <v>1</v>
      </c>
      <c r="AN6290" s="15" t="s">
        <v>2104</v>
      </c>
    </row>
    <row r="6291" spans="1:40" x14ac:dyDescent="0.3">
      <c r="A6291" s="10" t="str">
        <f>HYPERLINK("http://www.washoecounty.gov/assessor/cama/?parid=232-692-01&amp;CardNumber=1","232-692-01")</f>
        <v>232-692-01</v>
      </c>
      <c r="B6291" t="s">
        <v>4655</v>
      </c>
      <c r="C6291" t="s">
        <v>30537</v>
      </c>
      <c r="D6291" s="1">
        <v>40430</v>
      </c>
      <c r="E6291" s="2">
        <v>251000</v>
      </c>
      <c r="F6291" t="s">
        <v>4567</v>
      </c>
      <c r="G6291" s="17" t="str">
        <f>HYPERLINK("https://www.washoecounty.gov/assessor/cama/?command=sales&amp;parid=23269201","3920642")</f>
        <v>3920642</v>
      </c>
      <c r="H6291" t="s">
        <v>3792</v>
      </c>
      <c r="I6291">
        <v>2006</v>
      </c>
      <c r="J6291">
        <v>2006</v>
      </c>
      <c r="K6291" t="s">
        <v>4554</v>
      </c>
      <c r="L6291" t="s">
        <v>4555</v>
      </c>
      <c r="M6291" s="2">
        <v>1691</v>
      </c>
      <c r="N6291" t="s">
        <v>5280</v>
      </c>
      <c r="O6291">
        <v>3</v>
      </c>
      <c r="P6291">
        <v>2</v>
      </c>
      <c r="Q6291">
        <v>0</v>
      </c>
      <c r="R6291" t="s">
        <v>4557</v>
      </c>
      <c r="S6291" t="s">
        <v>4898</v>
      </c>
      <c r="T6291" t="s">
        <v>2704</v>
      </c>
      <c r="U6291" t="s">
        <v>4560</v>
      </c>
      <c r="V6291" s="2">
        <v>420</v>
      </c>
      <c r="W6291" t="s">
        <v>4655</v>
      </c>
      <c r="X6291" s="2">
        <v>0</v>
      </c>
      <c r="Y6291">
        <v>20</v>
      </c>
      <c r="Z6291" t="s">
        <v>1491</v>
      </c>
      <c r="AA6291" s="3">
        <v>0.16808998584747301</v>
      </c>
      <c r="AB6291" t="s">
        <v>30538</v>
      </c>
      <c r="AC6291" t="s">
        <v>4575</v>
      </c>
      <c r="AD6291" t="s">
        <v>30539</v>
      </c>
      <c r="AE6291" t="s">
        <v>4655</v>
      </c>
      <c r="AF6291" t="s">
        <v>4563</v>
      </c>
      <c r="AG6291" t="s">
        <v>4564</v>
      </c>
      <c r="AH6291" t="s">
        <v>1147</v>
      </c>
      <c r="AI6291" t="s">
        <v>30540</v>
      </c>
      <c r="AJ6291" t="s">
        <v>3793</v>
      </c>
      <c r="AK6291" t="s">
        <v>30541</v>
      </c>
      <c r="AL6291" s="13" t="s">
        <v>1897</v>
      </c>
      <c r="AM6291">
        <v>1</v>
      </c>
      <c r="AN6291" s="15" t="s">
        <v>2104</v>
      </c>
    </row>
    <row r="6292" spans="1:40" x14ac:dyDescent="0.3">
      <c r="A6292" s="10" t="str">
        <f>HYPERLINK("http://www.washoecounty.gov/assessor/cama/?parid=232-693-01&amp;CardNumber=1","232-693-01")</f>
        <v>232-693-01</v>
      </c>
      <c r="B6292" t="s">
        <v>4655</v>
      </c>
      <c r="C6292" t="s">
        <v>30542</v>
      </c>
      <c r="D6292" s="1">
        <v>40392</v>
      </c>
      <c r="E6292" s="2">
        <v>375225</v>
      </c>
      <c r="F6292" t="s">
        <v>4567</v>
      </c>
      <c r="G6292" s="17" t="str">
        <f>HYPERLINK("https://www.washoecounty.gov/assessor/cama/?command=sales&amp;parid=23269301","3907970")</f>
        <v>3907970</v>
      </c>
      <c r="H6292" t="s">
        <v>3792</v>
      </c>
      <c r="I6292">
        <v>2009</v>
      </c>
      <c r="J6292">
        <v>2009</v>
      </c>
      <c r="K6292" t="s">
        <v>4554</v>
      </c>
      <c r="L6292" t="s">
        <v>3974</v>
      </c>
      <c r="M6292" s="2">
        <v>2809</v>
      </c>
      <c r="N6292" t="s">
        <v>3147</v>
      </c>
      <c r="O6292">
        <v>4</v>
      </c>
      <c r="P6292">
        <v>3</v>
      </c>
      <c r="Q6292">
        <v>0</v>
      </c>
      <c r="R6292" t="s">
        <v>5281</v>
      </c>
      <c r="S6292" t="s">
        <v>4898</v>
      </c>
      <c r="T6292" t="s">
        <v>2704</v>
      </c>
      <c r="U6292" t="s">
        <v>4560</v>
      </c>
      <c r="V6292" s="2">
        <v>697</v>
      </c>
      <c r="W6292" t="s">
        <v>4655</v>
      </c>
      <c r="X6292" s="2">
        <v>0</v>
      </c>
      <c r="Y6292">
        <v>20</v>
      </c>
      <c r="Z6292" t="s">
        <v>1491</v>
      </c>
      <c r="AA6292" s="3">
        <v>0.24435262382030501</v>
      </c>
      <c r="AB6292" t="s">
        <v>30543</v>
      </c>
      <c r="AC6292" t="s">
        <v>4562</v>
      </c>
      <c r="AD6292" t="s">
        <v>30542</v>
      </c>
      <c r="AE6292" t="s">
        <v>4655</v>
      </c>
      <c r="AF6292" t="s">
        <v>4563</v>
      </c>
      <c r="AG6292" t="s">
        <v>4564</v>
      </c>
      <c r="AH6292" t="s">
        <v>1147</v>
      </c>
      <c r="AI6292" t="s">
        <v>1184</v>
      </c>
      <c r="AJ6292" t="s">
        <v>3793</v>
      </c>
      <c r="AK6292" t="s">
        <v>30544</v>
      </c>
      <c r="AL6292" s="13" t="s">
        <v>1897</v>
      </c>
      <c r="AM6292">
        <v>1</v>
      </c>
      <c r="AN6292" s="15" t="s">
        <v>2104</v>
      </c>
    </row>
    <row r="6293" spans="1:40" x14ac:dyDescent="0.3">
      <c r="A6293" s="10" t="str">
        <f>HYPERLINK("http://www.washoecounty.gov/assessor/cama/?parid=232-701-02&amp;CardNumber=1","232-701-02")</f>
        <v>232-701-02</v>
      </c>
      <c r="B6293" t="s">
        <v>4655</v>
      </c>
      <c r="C6293" t="s">
        <v>30545</v>
      </c>
      <c r="D6293" s="1">
        <v>40459</v>
      </c>
      <c r="E6293" s="2">
        <v>224000</v>
      </c>
      <c r="F6293" t="s">
        <v>4567</v>
      </c>
      <c r="G6293" s="17" t="str">
        <f>HYPERLINK("https://www.washoecounty.gov/assessor/cama/?command=sales&amp;parid=23270102","3931101")</f>
        <v>3931101</v>
      </c>
      <c r="H6293" t="s">
        <v>3792</v>
      </c>
      <c r="I6293">
        <v>2008</v>
      </c>
      <c r="J6293">
        <v>2008</v>
      </c>
      <c r="K6293" t="s">
        <v>4554</v>
      </c>
      <c r="L6293" t="s">
        <v>4555</v>
      </c>
      <c r="M6293" s="2">
        <v>1576</v>
      </c>
      <c r="N6293" t="s">
        <v>5280</v>
      </c>
      <c r="O6293">
        <v>3</v>
      </c>
      <c r="P6293">
        <v>2</v>
      </c>
      <c r="Q6293">
        <v>0</v>
      </c>
      <c r="R6293" t="s">
        <v>4557</v>
      </c>
      <c r="S6293" t="s">
        <v>4898</v>
      </c>
      <c r="T6293" t="s">
        <v>2704</v>
      </c>
      <c r="U6293" t="s">
        <v>4560</v>
      </c>
      <c r="V6293" s="2">
        <v>426</v>
      </c>
      <c r="W6293" t="s">
        <v>4655</v>
      </c>
      <c r="X6293" s="2">
        <v>0</v>
      </c>
      <c r="Y6293">
        <v>20</v>
      </c>
      <c r="Z6293" t="s">
        <v>1491</v>
      </c>
      <c r="AA6293" s="3">
        <v>0.156749308109283</v>
      </c>
      <c r="AB6293" t="s">
        <v>30546</v>
      </c>
      <c r="AC6293" t="s">
        <v>4562</v>
      </c>
      <c r="AD6293" t="s">
        <v>30547</v>
      </c>
      <c r="AE6293" t="s">
        <v>4655</v>
      </c>
      <c r="AF6293" t="s">
        <v>4563</v>
      </c>
      <c r="AG6293" t="s">
        <v>4564</v>
      </c>
      <c r="AH6293" t="s">
        <v>1147</v>
      </c>
      <c r="AI6293" t="s">
        <v>30548</v>
      </c>
      <c r="AJ6293" t="s">
        <v>3793</v>
      </c>
      <c r="AK6293" t="s">
        <v>30549</v>
      </c>
      <c r="AL6293" s="13" t="s">
        <v>1897</v>
      </c>
      <c r="AM6293">
        <v>1</v>
      </c>
      <c r="AN6293" s="15" t="s">
        <v>2104</v>
      </c>
    </row>
    <row r="6294" spans="1:40" x14ac:dyDescent="0.3">
      <c r="A6294" s="10" t="str">
        <f>HYPERLINK("http://www.washoecounty.gov/assessor/cama/?parid=232-701-08&amp;CardNumber=1","232-701-08")</f>
        <v>232-701-08</v>
      </c>
      <c r="B6294" t="s">
        <v>4655</v>
      </c>
      <c r="D6294" s="1">
        <v>40375</v>
      </c>
      <c r="E6294" s="2">
        <v>282159</v>
      </c>
      <c r="F6294" t="s">
        <v>4567</v>
      </c>
      <c r="G6294" s="17" t="str">
        <f>HYPERLINK("https://www.washoecounty.gov/assessor/cama/?command=sales&amp;parid=01044219","NOT AVAILABLE ")</f>
        <v xml:space="preserve">NOT AVAILABLE </v>
      </c>
      <c r="H6294" t="s">
        <v>3792</v>
      </c>
      <c r="I6294">
        <v>2010</v>
      </c>
      <c r="J6294">
        <v>2010</v>
      </c>
      <c r="K6294" t="s">
        <v>4554</v>
      </c>
      <c r="L6294" t="s">
        <v>4555</v>
      </c>
      <c r="M6294" s="2">
        <v>1691</v>
      </c>
      <c r="N6294" t="s">
        <v>5280</v>
      </c>
      <c r="O6294">
        <v>3</v>
      </c>
      <c r="P6294">
        <v>2</v>
      </c>
      <c r="Q6294">
        <v>0</v>
      </c>
      <c r="R6294" t="s">
        <v>5281</v>
      </c>
      <c r="S6294" t="s">
        <v>4898</v>
      </c>
      <c r="T6294" t="s">
        <v>2704</v>
      </c>
      <c r="U6294" t="s">
        <v>4560</v>
      </c>
      <c r="V6294" s="2">
        <v>420</v>
      </c>
      <c r="W6294" t="s">
        <v>4655</v>
      </c>
      <c r="X6294" s="2">
        <v>0</v>
      </c>
      <c r="Y6294">
        <v>20</v>
      </c>
      <c r="Z6294" t="s">
        <v>1491</v>
      </c>
      <c r="AA6294" s="3">
        <v>0.19928833842277527</v>
      </c>
      <c r="AB6294" t="s">
        <v>8865</v>
      </c>
      <c r="AC6294" t="s">
        <v>4562</v>
      </c>
      <c r="AD6294" t="s">
        <v>283</v>
      </c>
      <c r="AE6294" t="s">
        <v>283</v>
      </c>
      <c r="AF6294" t="s">
        <v>283</v>
      </c>
      <c r="AG6294" t="s">
        <v>4564</v>
      </c>
      <c r="AH6294" t="s">
        <v>3101</v>
      </c>
      <c r="AI6294" t="s">
        <v>8865</v>
      </c>
      <c r="AJ6294" t="s">
        <v>3793</v>
      </c>
      <c r="AK6294" t="s">
        <v>8865</v>
      </c>
      <c r="AL6294" s="13" t="s">
        <v>1897</v>
      </c>
      <c r="AM6294" s="14">
        <v>1</v>
      </c>
      <c r="AN6294" s="15" t="s">
        <v>2104</v>
      </c>
    </row>
    <row r="6295" spans="1:40" x14ac:dyDescent="0.3">
      <c r="A6295" s="10" t="str">
        <f>HYPERLINK("http://www.washoecounty.gov/assessor/cama/?parid=232-701-10&amp;CardNumber=1","232-701-10")</f>
        <v>232-701-10</v>
      </c>
      <c r="B6295" t="s">
        <v>4655</v>
      </c>
      <c r="C6295" t="s">
        <v>30550</v>
      </c>
      <c r="D6295" s="1">
        <v>40445</v>
      </c>
      <c r="E6295" s="2">
        <v>235736</v>
      </c>
      <c r="F6295" t="s">
        <v>4567</v>
      </c>
      <c r="G6295" s="17" t="str">
        <f>HYPERLINK("https://www.washoecounty.gov/assessor/cama/?command=sales&amp;parid=23270110","3925754")</f>
        <v>3925754</v>
      </c>
      <c r="H6295" t="s">
        <v>3792</v>
      </c>
      <c r="I6295">
        <v>2011</v>
      </c>
      <c r="J6295">
        <v>2011</v>
      </c>
      <c r="K6295" t="s">
        <v>4554</v>
      </c>
      <c r="L6295" t="s">
        <v>4555</v>
      </c>
      <c r="M6295" s="2">
        <v>1576</v>
      </c>
      <c r="N6295" t="s">
        <v>5280</v>
      </c>
      <c r="O6295">
        <v>3</v>
      </c>
      <c r="P6295">
        <v>2</v>
      </c>
      <c r="Q6295">
        <v>0</v>
      </c>
      <c r="R6295" t="s">
        <v>5281</v>
      </c>
      <c r="S6295" t="s">
        <v>4898</v>
      </c>
      <c r="T6295" t="s">
        <v>2704</v>
      </c>
      <c r="U6295" t="s">
        <v>4560</v>
      </c>
      <c r="V6295" s="2">
        <v>426</v>
      </c>
      <c r="W6295" t="s">
        <v>4655</v>
      </c>
      <c r="X6295" s="2">
        <v>0</v>
      </c>
      <c r="Y6295">
        <v>20</v>
      </c>
      <c r="Z6295" t="s">
        <v>1491</v>
      </c>
      <c r="AA6295" s="3">
        <v>0.196166202425957</v>
      </c>
      <c r="AB6295" t="s">
        <v>30551</v>
      </c>
      <c r="AC6295" t="s">
        <v>4562</v>
      </c>
      <c r="AD6295" t="s">
        <v>30550</v>
      </c>
      <c r="AE6295" t="s">
        <v>4655</v>
      </c>
      <c r="AF6295" t="s">
        <v>4563</v>
      </c>
      <c r="AG6295" t="s">
        <v>4564</v>
      </c>
      <c r="AH6295" t="s">
        <v>1147</v>
      </c>
      <c r="AI6295" t="s">
        <v>1184</v>
      </c>
      <c r="AJ6295" t="s">
        <v>3793</v>
      </c>
      <c r="AK6295" t="s">
        <v>30552</v>
      </c>
      <c r="AL6295" s="13" t="s">
        <v>1897</v>
      </c>
      <c r="AM6295" s="14">
        <v>1</v>
      </c>
      <c r="AN6295" s="15" t="s">
        <v>2104</v>
      </c>
    </row>
    <row r="6296" spans="1:40" x14ac:dyDescent="0.3">
      <c r="A6296" s="10" t="str">
        <f>HYPERLINK("http://www.washoecounty.gov/assessor/cama/?parid=232-701-11&amp;CardNumber=1","232-701-11")</f>
        <v>232-701-11</v>
      </c>
      <c r="B6296" t="s">
        <v>4655</v>
      </c>
      <c r="C6296" t="s">
        <v>30553</v>
      </c>
      <c r="D6296" s="1">
        <v>40338</v>
      </c>
      <c r="E6296" s="2">
        <v>239843</v>
      </c>
      <c r="F6296" t="s">
        <v>4567</v>
      </c>
      <c r="G6296" s="17" t="str">
        <f>HYPERLINK("https://www.washoecounty.gov/assessor/cama/?command=sales&amp;parid=23270111","3889642")</f>
        <v>3889642</v>
      </c>
      <c r="H6296" t="s">
        <v>3792</v>
      </c>
      <c r="I6296">
        <v>2009</v>
      </c>
      <c r="J6296">
        <v>2009</v>
      </c>
      <c r="K6296" t="s">
        <v>4554</v>
      </c>
      <c r="L6296" t="s">
        <v>4555</v>
      </c>
      <c r="M6296" s="2">
        <v>1576</v>
      </c>
      <c r="N6296" t="s">
        <v>5280</v>
      </c>
      <c r="O6296">
        <v>3</v>
      </c>
      <c r="P6296">
        <v>2</v>
      </c>
      <c r="Q6296">
        <v>0</v>
      </c>
      <c r="R6296" t="s">
        <v>5281</v>
      </c>
      <c r="S6296" t="s">
        <v>4898</v>
      </c>
      <c r="T6296" t="s">
        <v>2704</v>
      </c>
      <c r="U6296" t="s">
        <v>4560</v>
      </c>
      <c r="V6296" s="2">
        <v>426</v>
      </c>
      <c r="W6296" t="s">
        <v>4655</v>
      </c>
      <c r="X6296" s="2">
        <v>0</v>
      </c>
      <c r="Y6296">
        <v>20</v>
      </c>
      <c r="Z6296" t="s">
        <v>1491</v>
      </c>
      <c r="AA6296" s="3">
        <v>0.15982553362846375</v>
      </c>
      <c r="AB6296" t="s">
        <v>30554</v>
      </c>
      <c r="AC6296" t="s">
        <v>4575</v>
      </c>
      <c r="AD6296" t="s">
        <v>30553</v>
      </c>
      <c r="AE6296" t="s">
        <v>4655</v>
      </c>
      <c r="AF6296" t="s">
        <v>4563</v>
      </c>
      <c r="AG6296" t="s">
        <v>4564</v>
      </c>
      <c r="AH6296" t="s">
        <v>1147</v>
      </c>
      <c r="AI6296" t="s">
        <v>1184</v>
      </c>
      <c r="AJ6296" t="s">
        <v>3793</v>
      </c>
      <c r="AK6296" t="s">
        <v>30555</v>
      </c>
      <c r="AL6296" s="13" t="s">
        <v>1897</v>
      </c>
      <c r="AM6296" s="14">
        <v>1</v>
      </c>
      <c r="AN6296" s="15" t="s">
        <v>2104</v>
      </c>
    </row>
    <row r="6297" spans="1:40" x14ac:dyDescent="0.3">
      <c r="A6297" s="10" t="str">
        <f>HYPERLINK("http://www.washoecounty.gov/assessor/cama/?parid=232-702-01&amp;CardNumber=1","232-702-01")</f>
        <v>232-702-01</v>
      </c>
      <c r="B6297" t="s">
        <v>4655</v>
      </c>
      <c r="C6297" t="s">
        <v>30556</v>
      </c>
      <c r="D6297" s="1">
        <v>40458</v>
      </c>
      <c r="E6297" s="2">
        <v>228341</v>
      </c>
      <c r="F6297" t="s">
        <v>4567</v>
      </c>
      <c r="G6297" s="17" t="str">
        <f>HYPERLINK("https://www.washoecounty.gov/assessor/cama/?command=sales&amp;parid=23270201","3930654")</f>
        <v>3930654</v>
      </c>
      <c r="H6297" t="s">
        <v>3792</v>
      </c>
      <c r="I6297">
        <v>2009</v>
      </c>
      <c r="J6297">
        <v>2009</v>
      </c>
      <c r="K6297" t="s">
        <v>4554</v>
      </c>
      <c r="L6297" t="s">
        <v>4555</v>
      </c>
      <c r="M6297" s="2">
        <v>1576</v>
      </c>
      <c r="N6297" t="s">
        <v>5280</v>
      </c>
      <c r="O6297">
        <v>3</v>
      </c>
      <c r="P6297">
        <v>2</v>
      </c>
      <c r="Q6297">
        <v>0</v>
      </c>
      <c r="R6297" t="s">
        <v>5281</v>
      </c>
      <c r="S6297" t="s">
        <v>4898</v>
      </c>
      <c r="T6297" t="s">
        <v>2704</v>
      </c>
      <c r="U6297" t="s">
        <v>4560</v>
      </c>
      <c r="V6297" s="2">
        <v>426</v>
      </c>
      <c r="W6297" t="s">
        <v>4655</v>
      </c>
      <c r="X6297" s="2">
        <v>0</v>
      </c>
      <c r="Y6297">
        <v>20</v>
      </c>
      <c r="Z6297" t="s">
        <v>1491</v>
      </c>
      <c r="AA6297" s="3">
        <v>0.22796143591404</v>
      </c>
      <c r="AB6297" t="s">
        <v>30557</v>
      </c>
      <c r="AC6297" t="s">
        <v>4562</v>
      </c>
      <c r="AD6297" t="s">
        <v>30558</v>
      </c>
      <c r="AE6297" t="s">
        <v>4655</v>
      </c>
      <c r="AF6297" t="s">
        <v>4563</v>
      </c>
      <c r="AG6297" t="s">
        <v>4564</v>
      </c>
      <c r="AH6297" t="s">
        <v>1147</v>
      </c>
      <c r="AI6297" t="s">
        <v>1184</v>
      </c>
      <c r="AJ6297" t="s">
        <v>3793</v>
      </c>
      <c r="AK6297" t="s">
        <v>30559</v>
      </c>
      <c r="AL6297" s="13" t="s">
        <v>1897</v>
      </c>
      <c r="AM6297">
        <v>1</v>
      </c>
      <c r="AN6297" s="15" t="s">
        <v>2104</v>
      </c>
    </row>
    <row r="6298" spans="1:40" x14ac:dyDescent="0.3">
      <c r="A6298" s="10" t="str">
        <f>HYPERLINK("http://www.washoecounty.gov/assessor/cama/?parid=232-702-07&amp;CardNumber=1","232-702-07")</f>
        <v>232-702-07</v>
      </c>
      <c r="B6298" t="s">
        <v>4655</v>
      </c>
      <c r="C6298" t="s">
        <v>30560</v>
      </c>
      <c r="D6298" s="1">
        <v>40386</v>
      </c>
      <c r="E6298" s="2">
        <v>263619</v>
      </c>
      <c r="F6298" t="s">
        <v>4567</v>
      </c>
      <c r="G6298" s="17" t="str">
        <f>HYPERLINK("https://www.washoecounty.gov/assessor/cama/?command=sales&amp;parid=23270207","3905337")</f>
        <v>3905337</v>
      </c>
      <c r="H6298" t="s">
        <v>3792</v>
      </c>
      <c r="I6298">
        <v>2010</v>
      </c>
      <c r="J6298">
        <v>2010</v>
      </c>
      <c r="K6298" t="s">
        <v>4554</v>
      </c>
      <c r="L6298" t="s">
        <v>4555</v>
      </c>
      <c r="M6298" s="2">
        <v>1691</v>
      </c>
      <c r="N6298" t="s">
        <v>5280</v>
      </c>
      <c r="O6298">
        <v>3</v>
      </c>
      <c r="P6298">
        <v>2</v>
      </c>
      <c r="Q6298">
        <v>0</v>
      </c>
      <c r="R6298" t="s">
        <v>5281</v>
      </c>
      <c r="S6298" t="s">
        <v>4898</v>
      </c>
      <c r="T6298" t="s">
        <v>2704</v>
      </c>
      <c r="U6298" t="s">
        <v>4560</v>
      </c>
      <c r="V6298" s="2">
        <v>420</v>
      </c>
      <c r="W6298" t="s">
        <v>4655</v>
      </c>
      <c r="X6298" s="2">
        <v>0</v>
      </c>
      <c r="Y6298">
        <v>20</v>
      </c>
      <c r="Z6298" t="s">
        <v>1491</v>
      </c>
      <c r="AA6298" s="3">
        <v>0.25718548893928528</v>
      </c>
      <c r="AB6298" t="s">
        <v>30561</v>
      </c>
      <c r="AC6298" t="s">
        <v>4562</v>
      </c>
      <c r="AD6298" t="s">
        <v>30562</v>
      </c>
      <c r="AE6298" t="s">
        <v>4655</v>
      </c>
      <c r="AF6298" t="s">
        <v>30563</v>
      </c>
      <c r="AG6298" t="s">
        <v>4584</v>
      </c>
      <c r="AH6298" t="s">
        <v>2267</v>
      </c>
      <c r="AI6298" t="s">
        <v>1184</v>
      </c>
      <c r="AJ6298" t="s">
        <v>3793</v>
      </c>
      <c r="AK6298" t="s">
        <v>30564</v>
      </c>
      <c r="AL6298" s="13" t="s">
        <v>1897</v>
      </c>
      <c r="AM6298">
        <v>1</v>
      </c>
      <c r="AN6298" s="15" t="s">
        <v>2104</v>
      </c>
    </row>
    <row r="6299" spans="1:40" x14ac:dyDescent="0.3">
      <c r="A6299" s="10" t="str">
        <f>HYPERLINK("http://www.washoecounty.gov/assessor/cama/?parid=232-702-08&amp;CardNumber=1","232-702-08")</f>
        <v>232-702-08</v>
      </c>
      <c r="B6299" t="s">
        <v>4655</v>
      </c>
      <c r="C6299" t="s">
        <v>30565</v>
      </c>
      <c r="D6299" s="1">
        <v>40254</v>
      </c>
      <c r="E6299" s="2">
        <v>330546</v>
      </c>
      <c r="F6299" t="s">
        <v>4567</v>
      </c>
      <c r="G6299" s="17" t="str">
        <f>HYPERLINK("https://www.washoecounty.gov/assessor/cama/?command=sales&amp;parid=23270208","3860588")</f>
        <v>3860588</v>
      </c>
      <c r="H6299" t="s">
        <v>3792</v>
      </c>
      <c r="I6299">
        <v>2009</v>
      </c>
      <c r="J6299">
        <v>2009</v>
      </c>
      <c r="K6299" t="s">
        <v>4554</v>
      </c>
      <c r="L6299" t="s">
        <v>3974</v>
      </c>
      <c r="M6299" s="2">
        <v>2390</v>
      </c>
      <c r="N6299" t="s">
        <v>5280</v>
      </c>
      <c r="O6299">
        <v>4</v>
      </c>
      <c r="P6299">
        <v>3</v>
      </c>
      <c r="Q6299">
        <v>0</v>
      </c>
      <c r="R6299" t="s">
        <v>5281</v>
      </c>
      <c r="S6299" t="s">
        <v>4898</v>
      </c>
      <c r="T6299" t="s">
        <v>2704</v>
      </c>
      <c r="U6299" t="s">
        <v>5631</v>
      </c>
      <c r="V6299" s="2">
        <v>579</v>
      </c>
      <c r="W6299" t="s">
        <v>4655</v>
      </c>
      <c r="X6299" s="2">
        <v>0</v>
      </c>
      <c r="Y6299">
        <v>20</v>
      </c>
      <c r="Z6299" t="s">
        <v>1491</v>
      </c>
      <c r="AA6299" s="3">
        <v>0.18353994190692899</v>
      </c>
      <c r="AB6299" t="s">
        <v>30566</v>
      </c>
      <c r="AC6299" t="s">
        <v>4562</v>
      </c>
      <c r="AD6299" t="s">
        <v>30565</v>
      </c>
      <c r="AE6299" t="s">
        <v>4655</v>
      </c>
      <c r="AF6299" t="s">
        <v>4563</v>
      </c>
      <c r="AG6299" t="s">
        <v>4564</v>
      </c>
      <c r="AH6299" t="s">
        <v>1147</v>
      </c>
      <c r="AI6299" t="s">
        <v>1184</v>
      </c>
      <c r="AJ6299" t="s">
        <v>3793</v>
      </c>
      <c r="AK6299" t="s">
        <v>30567</v>
      </c>
      <c r="AL6299" s="13" t="s">
        <v>1897</v>
      </c>
      <c r="AM6299" s="14">
        <v>1</v>
      </c>
      <c r="AN6299" s="15" t="s">
        <v>2104</v>
      </c>
    </row>
    <row r="6300" spans="1:40" x14ac:dyDescent="0.3">
      <c r="A6300" s="10" t="str">
        <f>HYPERLINK("http://www.washoecounty.gov/assessor/cama/?parid=232-702-09&amp;CardNumber=1","232-702-09")</f>
        <v>232-702-09</v>
      </c>
      <c r="B6300" t="s">
        <v>4655</v>
      </c>
      <c r="C6300" s="20" t="s">
        <v>283</v>
      </c>
      <c r="D6300" s="1">
        <v>40241</v>
      </c>
      <c r="E6300" s="2">
        <v>298447</v>
      </c>
      <c r="F6300" t="s">
        <v>4567</v>
      </c>
      <c r="G6300" s="20" t="s">
        <v>282</v>
      </c>
      <c r="H6300" t="s">
        <v>3792</v>
      </c>
      <c r="I6300">
        <v>2009</v>
      </c>
      <c r="J6300">
        <v>2009</v>
      </c>
      <c r="K6300" t="s">
        <v>4554</v>
      </c>
      <c r="L6300" t="s">
        <v>3974</v>
      </c>
      <c r="M6300" s="2">
        <v>2015</v>
      </c>
      <c r="N6300" t="s">
        <v>5280</v>
      </c>
      <c r="O6300">
        <v>4</v>
      </c>
      <c r="P6300">
        <v>2</v>
      </c>
      <c r="Q6300">
        <v>1</v>
      </c>
      <c r="R6300" t="s">
        <v>5281</v>
      </c>
      <c r="S6300" t="s">
        <v>4898</v>
      </c>
      <c r="T6300" t="s">
        <v>2704</v>
      </c>
      <c r="U6300" t="s">
        <v>5631</v>
      </c>
      <c r="V6300" s="2">
        <v>468</v>
      </c>
      <c r="W6300" t="s">
        <v>4655</v>
      </c>
      <c r="X6300" s="2">
        <v>0</v>
      </c>
      <c r="Y6300">
        <v>20</v>
      </c>
      <c r="Z6300" t="s">
        <v>1491</v>
      </c>
      <c r="AA6300" s="3">
        <v>0.16705693304538699</v>
      </c>
      <c r="AB6300" s="20" t="s">
        <v>8865</v>
      </c>
      <c r="AD6300" t="s">
        <v>283</v>
      </c>
      <c r="AE6300" t="s">
        <v>283</v>
      </c>
      <c r="AF6300" t="s">
        <v>283</v>
      </c>
      <c r="AG6300" t="s">
        <v>4564</v>
      </c>
      <c r="AH6300" t="s">
        <v>3101</v>
      </c>
      <c r="AI6300" t="s">
        <v>8865</v>
      </c>
      <c r="AJ6300" t="s">
        <v>3793</v>
      </c>
      <c r="AK6300" t="s">
        <v>30568</v>
      </c>
      <c r="AL6300" s="13" t="s">
        <v>1897</v>
      </c>
      <c r="AM6300">
        <v>1</v>
      </c>
      <c r="AN6300" s="15" t="s">
        <v>2104</v>
      </c>
    </row>
    <row r="6301" spans="1:40" x14ac:dyDescent="0.3">
      <c r="A6301" s="10" t="str">
        <f>HYPERLINK("http://www.washoecounty.gov/assessor/cama/?parid=232-702-10&amp;CardNumber=1","232-702-10")</f>
        <v>232-702-10</v>
      </c>
      <c r="B6301" t="s">
        <v>4655</v>
      </c>
      <c r="C6301" t="s">
        <v>30569</v>
      </c>
      <c r="D6301" s="1">
        <v>40284</v>
      </c>
      <c r="E6301" s="2">
        <v>285364</v>
      </c>
      <c r="F6301" t="s">
        <v>4567</v>
      </c>
      <c r="G6301" s="17" t="str">
        <f>HYPERLINK("https://www.washoecounty.gov/assessor/cama/?command=sales&amp;parid=23270210","3872029")</f>
        <v>3872029</v>
      </c>
      <c r="H6301" t="s">
        <v>3792</v>
      </c>
      <c r="I6301">
        <v>2009</v>
      </c>
      <c r="J6301">
        <v>2009</v>
      </c>
      <c r="K6301" t="s">
        <v>4554</v>
      </c>
      <c r="L6301" t="s">
        <v>3974</v>
      </c>
      <c r="M6301" s="2">
        <v>1691</v>
      </c>
      <c r="N6301" t="s">
        <v>5280</v>
      </c>
      <c r="O6301">
        <v>4</v>
      </c>
      <c r="P6301">
        <v>2</v>
      </c>
      <c r="Q6301">
        <v>0</v>
      </c>
      <c r="R6301" t="s">
        <v>5281</v>
      </c>
      <c r="S6301" t="s">
        <v>4898</v>
      </c>
      <c r="T6301" t="s">
        <v>2704</v>
      </c>
      <c r="U6301" t="s">
        <v>4560</v>
      </c>
      <c r="V6301" s="2">
        <v>420</v>
      </c>
      <c r="W6301" t="s">
        <v>4655</v>
      </c>
      <c r="X6301" s="2">
        <v>0</v>
      </c>
      <c r="Y6301">
        <v>20</v>
      </c>
      <c r="Z6301" t="s">
        <v>1491</v>
      </c>
      <c r="AA6301" s="3">
        <v>0.16439394652843475</v>
      </c>
      <c r="AB6301" t="s">
        <v>30570</v>
      </c>
      <c r="AC6301" t="s">
        <v>4575</v>
      </c>
      <c r="AD6301" t="s">
        <v>30571</v>
      </c>
      <c r="AE6301" t="s">
        <v>4655</v>
      </c>
      <c r="AF6301" t="s">
        <v>4563</v>
      </c>
      <c r="AG6301" t="s">
        <v>4564</v>
      </c>
      <c r="AH6301" t="s">
        <v>1147</v>
      </c>
      <c r="AI6301" t="s">
        <v>1184</v>
      </c>
      <c r="AJ6301" t="s">
        <v>3793</v>
      </c>
      <c r="AK6301" t="s">
        <v>30572</v>
      </c>
      <c r="AL6301" s="13" t="s">
        <v>1897</v>
      </c>
      <c r="AM6301">
        <v>1</v>
      </c>
      <c r="AN6301" s="15" t="s">
        <v>2104</v>
      </c>
    </row>
    <row r="6302" spans="1:40" x14ac:dyDescent="0.3">
      <c r="A6302" s="10" t="str">
        <f>HYPERLINK("http://www.washoecounty.gov/assessor/cama/?parid=232-703-01&amp;CardNumber=1","232-703-01")</f>
        <v>232-703-01</v>
      </c>
      <c r="B6302" t="s">
        <v>4655</v>
      </c>
      <c r="C6302" t="s">
        <v>30573</v>
      </c>
      <c r="D6302" s="1">
        <v>40284</v>
      </c>
      <c r="E6302" s="2">
        <v>329900</v>
      </c>
      <c r="F6302" t="s">
        <v>4567</v>
      </c>
      <c r="G6302" s="17" t="str">
        <f>HYPERLINK("https://www.washoecounty.gov/assessor/cama/?command=sales&amp;parid=23270301","3872067")</f>
        <v>3872067</v>
      </c>
      <c r="H6302" t="s">
        <v>3792</v>
      </c>
      <c r="I6302">
        <v>2009</v>
      </c>
      <c r="J6302">
        <v>2009</v>
      </c>
      <c r="K6302" t="s">
        <v>4554</v>
      </c>
      <c r="L6302" t="s">
        <v>4555</v>
      </c>
      <c r="M6302" s="2">
        <v>2449</v>
      </c>
      <c r="N6302" t="s">
        <v>3147</v>
      </c>
      <c r="O6302">
        <v>4</v>
      </c>
      <c r="P6302">
        <v>2</v>
      </c>
      <c r="Q6302">
        <v>1</v>
      </c>
      <c r="R6302" t="s">
        <v>5281</v>
      </c>
      <c r="S6302" t="s">
        <v>4898</v>
      </c>
      <c r="T6302" t="s">
        <v>2704</v>
      </c>
      <c r="U6302" t="s">
        <v>4560</v>
      </c>
      <c r="V6302" s="2">
        <v>595</v>
      </c>
      <c r="W6302" t="s">
        <v>4655</v>
      </c>
      <c r="X6302" s="2">
        <v>0</v>
      </c>
      <c r="Y6302">
        <v>20</v>
      </c>
      <c r="Z6302" t="s">
        <v>1491</v>
      </c>
      <c r="AA6302" s="3">
        <v>0.26347565650939903</v>
      </c>
      <c r="AB6302" t="s">
        <v>30574</v>
      </c>
      <c r="AC6302" t="s">
        <v>4562</v>
      </c>
      <c r="AD6302" t="s">
        <v>30575</v>
      </c>
      <c r="AE6302" t="s">
        <v>4655</v>
      </c>
      <c r="AF6302" t="s">
        <v>4563</v>
      </c>
      <c r="AG6302" t="s">
        <v>4564</v>
      </c>
      <c r="AH6302" t="s">
        <v>1147</v>
      </c>
      <c r="AI6302" t="s">
        <v>1184</v>
      </c>
      <c r="AJ6302" t="s">
        <v>3793</v>
      </c>
      <c r="AK6302" t="s">
        <v>30576</v>
      </c>
      <c r="AL6302" s="13" t="s">
        <v>1897</v>
      </c>
      <c r="AM6302">
        <v>1</v>
      </c>
      <c r="AN6302" s="15" t="s">
        <v>2104</v>
      </c>
    </row>
    <row r="6303" spans="1:40" x14ac:dyDescent="0.3">
      <c r="A6303" s="10" t="str">
        <f>HYPERLINK("http://www.washoecounty.gov/assessor/cama/?parid=232-703-02&amp;CardNumber=1","232-703-02")</f>
        <v>232-703-02</v>
      </c>
      <c r="B6303" t="s">
        <v>4655</v>
      </c>
      <c r="C6303" t="s">
        <v>30577</v>
      </c>
      <c r="D6303" s="1">
        <v>40457</v>
      </c>
      <c r="E6303" s="2">
        <v>311942</v>
      </c>
      <c r="F6303" t="s">
        <v>4567</v>
      </c>
      <c r="G6303" s="17" t="str">
        <f>HYPERLINK("https://www.washoecounty.gov/assessor/cama/?command=sales&amp;parid=23270302","3930069")</f>
        <v>3930069</v>
      </c>
      <c r="H6303" t="s">
        <v>3792</v>
      </c>
      <c r="I6303">
        <v>2009</v>
      </c>
      <c r="J6303">
        <v>2009</v>
      </c>
      <c r="K6303" t="s">
        <v>4554</v>
      </c>
      <c r="L6303" t="s">
        <v>4555</v>
      </c>
      <c r="M6303" s="2">
        <v>2143</v>
      </c>
      <c r="N6303" t="s">
        <v>3147</v>
      </c>
      <c r="O6303">
        <v>4</v>
      </c>
      <c r="P6303">
        <v>2</v>
      </c>
      <c r="Q6303">
        <v>0</v>
      </c>
      <c r="R6303" t="s">
        <v>5281</v>
      </c>
      <c r="S6303" t="s">
        <v>4898</v>
      </c>
      <c r="T6303" t="s">
        <v>2704</v>
      </c>
      <c r="U6303" t="s">
        <v>4560</v>
      </c>
      <c r="V6303" s="2">
        <v>627</v>
      </c>
      <c r="W6303" t="s">
        <v>4655</v>
      </c>
      <c r="X6303" s="2">
        <v>0</v>
      </c>
      <c r="Y6303">
        <v>20</v>
      </c>
      <c r="Z6303" t="s">
        <v>1491</v>
      </c>
      <c r="AA6303" s="3">
        <v>0.23172634840011599</v>
      </c>
      <c r="AB6303" t="s">
        <v>30578</v>
      </c>
      <c r="AC6303" t="s">
        <v>4562</v>
      </c>
      <c r="AD6303" t="s">
        <v>30579</v>
      </c>
      <c r="AE6303" t="s">
        <v>4655</v>
      </c>
      <c r="AF6303" t="s">
        <v>4619</v>
      </c>
      <c r="AG6303" t="s">
        <v>4584</v>
      </c>
      <c r="AH6303" t="s">
        <v>4620</v>
      </c>
      <c r="AI6303" t="s">
        <v>1184</v>
      </c>
      <c r="AJ6303" t="s">
        <v>3793</v>
      </c>
      <c r="AK6303" t="s">
        <v>30580</v>
      </c>
      <c r="AL6303" s="13" t="s">
        <v>1897</v>
      </c>
      <c r="AM6303" s="14">
        <v>1</v>
      </c>
      <c r="AN6303" s="15" t="s">
        <v>2104</v>
      </c>
    </row>
    <row r="6304" spans="1:40" x14ac:dyDescent="0.3">
      <c r="A6304" s="10" t="str">
        <f>HYPERLINK("http://www.washoecounty.gov/assessor/cama/?parid=232-703-03&amp;CardNumber=1","232-703-03")</f>
        <v>232-703-03</v>
      </c>
      <c r="B6304" t="s">
        <v>4655</v>
      </c>
      <c r="C6304" t="s">
        <v>30581</v>
      </c>
      <c r="D6304" s="1">
        <v>40290</v>
      </c>
      <c r="E6304" s="2">
        <v>341000</v>
      </c>
      <c r="F6304" t="s">
        <v>4567</v>
      </c>
      <c r="G6304" s="17" t="str">
        <f>HYPERLINK("https://www.washoecounty.gov/assessor/cama/?command=sales&amp;parid=23270303","3873779")</f>
        <v>3873779</v>
      </c>
      <c r="H6304" t="s">
        <v>3792</v>
      </c>
      <c r="I6304">
        <v>2009</v>
      </c>
      <c r="J6304">
        <v>2009</v>
      </c>
      <c r="K6304" t="s">
        <v>4554</v>
      </c>
      <c r="L6304" t="s">
        <v>4555</v>
      </c>
      <c r="M6304" s="2">
        <v>2287</v>
      </c>
      <c r="N6304" t="s">
        <v>3147</v>
      </c>
      <c r="O6304">
        <v>4</v>
      </c>
      <c r="P6304">
        <v>2</v>
      </c>
      <c r="Q6304">
        <v>0</v>
      </c>
      <c r="R6304" t="s">
        <v>5281</v>
      </c>
      <c r="S6304" t="s">
        <v>4898</v>
      </c>
      <c r="T6304" t="s">
        <v>2704</v>
      </c>
      <c r="U6304" t="s">
        <v>4560</v>
      </c>
      <c r="V6304" s="2">
        <v>614</v>
      </c>
      <c r="W6304" t="s">
        <v>4655</v>
      </c>
      <c r="X6304" s="2">
        <v>0</v>
      </c>
      <c r="Y6304">
        <v>20</v>
      </c>
      <c r="Z6304" t="s">
        <v>1491</v>
      </c>
      <c r="AA6304" s="3">
        <v>0.28170338273048401</v>
      </c>
      <c r="AB6304" t="s">
        <v>30582</v>
      </c>
      <c r="AC6304" t="s">
        <v>4562</v>
      </c>
      <c r="AD6304" t="s">
        <v>30581</v>
      </c>
      <c r="AE6304" t="s">
        <v>4655</v>
      </c>
      <c r="AF6304" t="s">
        <v>4563</v>
      </c>
      <c r="AG6304" t="s">
        <v>4564</v>
      </c>
      <c r="AH6304" t="s">
        <v>1147</v>
      </c>
      <c r="AI6304" t="s">
        <v>1184</v>
      </c>
      <c r="AJ6304" t="s">
        <v>3793</v>
      </c>
      <c r="AK6304" t="s">
        <v>30583</v>
      </c>
      <c r="AL6304" s="13" t="s">
        <v>1897</v>
      </c>
      <c r="AM6304" s="14">
        <v>1</v>
      </c>
      <c r="AN6304" s="15" t="s">
        <v>2104</v>
      </c>
    </row>
    <row r="6305" spans="1:40" x14ac:dyDescent="0.3">
      <c r="A6305" s="10" t="str">
        <f>HYPERLINK("http://www.washoecounty.gov/assessor/cama/?parid=232-732-25&amp;CardNumber=1","232-732-25")</f>
        <v>232-732-25</v>
      </c>
      <c r="B6305" t="s">
        <v>4655</v>
      </c>
      <c r="C6305" t="s">
        <v>30584</v>
      </c>
      <c r="D6305" s="1">
        <v>40336</v>
      </c>
      <c r="E6305" s="2">
        <v>398052</v>
      </c>
      <c r="F6305" t="s">
        <v>4567</v>
      </c>
      <c r="G6305" s="17" t="str">
        <f>HYPERLINK("https://www.washoecounty.gov/assessor/cama/?command=sales&amp;parid=23273225","3888816")</f>
        <v>3888816</v>
      </c>
      <c r="H6305" t="s">
        <v>1490</v>
      </c>
      <c r="I6305">
        <v>2010</v>
      </c>
      <c r="J6305">
        <v>2010</v>
      </c>
      <c r="K6305" t="s">
        <v>4554</v>
      </c>
      <c r="L6305" t="s">
        <v>4555</v>
      </c>
      <c r="M6305" s="2">
        <v>2287</v>
      </c>
      <c r="N6305" t="s">
        <v>3147</v>
      </c>
      <c r="O6305">
        <v>4</v>
      </c>
      <c r="P6305">
        <v>2</v>
      </c>
      <c r="Q6305">
        <v>0</v>
      </c>
      <c r="R6305" t="s">
        <v>5281</v>
      </c>
      <c r="S6305" t="s">
        <v>4898</v>
      </c>
      <c r="T6305" t="s">
        <v>2704</v>
      </c>
      <c r="U6305" t="s">
        <v>4560</v>
      </c>
      <c r="V6305" s="2">
        <v>614</v>
      </c>
      <c r="W6305" t="s">
        <v>4655</v>
      </c>
      <c r="X6305" s="2">
        <v>0</v>
      </c>
      <c r="Y6305">
        <v>20</v>
      </c>
      <c r="Z6305" t="s">
        <v>1491</v>
      </c>
      <c r="AA6305" s="3">
        <v>0.23755739629268646</v>
      </c>
      <c r="AB6305" t="s">
        <v>30585</v>
      </c>
      <c r="AC6305" t="s">
        <v>4575</v>
      </c>
      <c r="AD6305" t="s">
        <v>30586</v>
      </c>
      <c r="AE6305" t="s">
        <v>4655</v>
      </c>
      <c r="AF6305" t="s">
        <v>4563</v>
      </c>
      <c r="AG6305" t="s">
        <v>4564</v>
      </c>
      <c r="AH6305" t="s">
        <v>1147</v>
      </c>
      <c r="AI6305" t="s">
        <v>1184</v>
      </c>
      <c r="AJ6305" t="s">
        <v>1185</v>
      </c>
      <c r="AK6305" t="s">
        <v>30587</v>
      </c>
      <c r="AL6305" s="13" t="s">
        <v>1897</v>
      </c>
      <c r="AM6305">
        <v>1</v>
      </c>
      <c r="AN6305" s="15" t="s">
        <v>2104</v>
      </c>
    </row>
    <row r="6306" spans="1:40" x14ac:dyDescent="0.3">
      <c r="A6306" s="10" t="str">
        <f>HYPERLINK("http://www.washoecounty.gov/assessor/cama/?parid=232-732-27&amp;CardNumber=1","232-732-27")</f>
        <v>232-732-27</v>
      </c>
      <c r="B6306" t="s">
        <v>4655</v>
      </c>
      <c r="C6306" t="s">
        <v>30588</v>
      </c>
      <c r="D6306" s="1">
        <v>40256</v>
      </c>
      <c r="E6306" s="2">
        <v>399428</v>
      </c>
      <c r="F6306" t="s">
        <v>4567</v>
      </c>
      <c r="G6306" s="17" t="str">
        <f>HYPERLINK("https://www.washoecounty.gov/assessor/cama/?command=sales&amp;parid=23273227","3861506")</f>
        <v>3861506</v>
      </c>
      <c r="H6306" t="s">
        <v>1490</v>
      </c>
      <c r="I6306">
        <v>2009</v>
      </c>
      <c r="J6306">
        <v>2009</v>
      </c>
      <c r="K6306" t="s">
        <v>4554</v>
      </c>
      <c r="L6306" t="s">
        <v>3974</v>
      </c>
      <c r="M6306" s="2">
        <v>3209</v>
      </c>
      <c r="N6306" t="s">
        <v>3147</v>
      </c>
      <c r="O6306">
        <v>5</v>
      </c>
      <c r="P6306">
        <v>2</v>
      </c>
      <c r="Q6306">
        <v>1</v>
      </c>
      <c r="R6306" t="s">
        <v>5281</v>
      </c>
      <c r="S6306" t="s">
        <v>4898</v>
      </c>
      <c r="T6306" t="s">
        <v>2704</v>
      </c>
      <c r="U6306" t="s">
        <v>5631</v>
      </c>
      <c r="V6306" s="2">
        <v>620</v>
      </c>
      <c r="W6306" t="s">
        <v>4655</v>
      </c>
      <c r="X6306" s="2">
        <v>0</v>
      </c>
      <c r="Y6306">
        <v>20</v>
      </c>
      <c r="Z6306" t="s">
        <v>1491</v>
      </c>
      <c r="AA6306" s="3">
        <v>0.26443985104560902</v>
      </c>
      <c r="AB6306" t="s">
        <v>30589</v>
      </c>
      <c r="AC6306" t="s">
        <v>4562</v>
      </c>
      <c r="AD6306" t="s">
        <v>30588</v>
      </c>
      <c r="AE6306" t="s">
        <v>4655</v>
      </c>
      <c r="AF6306" t="s">
        <v>4563</v>
      </c>
      <c r="AG6306" t="s">
        <v>4564</v>
      </c>
      <c r="AH6306" t="s">
        <v>1147</v>
      </c>
      <c r="AI6306" t="s">
        <v>30590</v>
      </c>
      <c r="AJ6306" t="s">
        <v>1185</v>
      </c>
      <c r="AK6306" t="s">
        <v>30591</v>
      </c>
      <c r="AL6306" s="13" t="s">
        <v>1897</v>
      </c>
      <c r="AM6306" s="14">
        <v>1</v>
      </c>
      <c r="AN6306" s="15" t="s">
        <v>2104</v>
      </c>
    </row>
    <row r="6307" spans="1:40" x14ac:dyDescent="0.3">
      <c r="A6307" s="10" t="str">
        <f>HYPERLINK("http://www.washoecounty.gov/assessor/cama/?parid=232-732-28&amp;CardNumber=1","232-732-28")</f>
        <v>232-732-28</v>
      </c>
      <c r="B6307" t="s">
        <v>4655</v>
      </c>
      <c r="C6307" t="s">
        <v>30592</v>
      </c>
      <c r="D6307" s="1">
        <v>40185</v>
      </c>
      <c r="E6307" s="2">
        <v>366955</v>
      </c>
      <c r="F6307" t="s">
        <v>4567</v>
      </c>
      <c r="G6307" s="17" t="str">
        <f>HYPERLINK("https://www.washoecounty.gov/assessor/cama/?command=sales&amp;parid=23273228","3837130")</f>
        <v>3837130</v>
      </c>
      <c r="H6307" t="s">
        <v>1490</v>
      </c>
      <c r="I6307">
        <v>2009</v>
      </c>
      <c r="J6307">
        <v>2009</v>
      </c>
      <c r="K6307" t="s">
        <v>4554</v>
      </c>
      <c r="L6307" t="s">
        <v>3974</v>
      </c>
      <c r="M6307" s="2">
        <v>2809</v>
      </c>
      <c r="N6307" t="s">
        <v>3147</v>
      </c>
      <c r="O6307">
        <v>5</v>
      </c>
      <c r="P6307">
        <v>3</v>
      </c>
      <c r="Q6307">
        <v>0</v>
      </c>
      <c r="R6307" t="s">
        <v>5281</v>
      </c>
      <c r="S6307" t="s">
        <v>4898</v>
      </c>
      <c r="T6307" t="s">
        <v>2704</v>
      </c>
      <c r="U6307" t="s">
        <v>4560</v>
      </c>
      <c r="V6307" s="2">
        <v>697</v>
      </c>
      <c r="W6307" t="s">
        <v>4655</v>
      </c>
      <c r="X6307" s="2">
        <v>0</v>
      </c>
      <c r="Y6307">
        <v>20</v>
      </c>
      <c r="Z6307" t="s">
        <v>1491</v>
      </c>
      <c r="AA6307" s="3">
        <v>0.27355372905731201</v>
      </c>
      <c r="AB6307" t="s">
        <v>30593</v>
      </c>
      <c r="AC6307" t="s">
        <v>4575</v>
      </c>
      <c r="AD6307" t="s">
        <v>30594</v>
      </c>
      <c r="AE6307" t="s">
        <v>30592</v>
      </c>
      <c r="AF6307" t="s">
        <v>4563</v>
      </c>
      <c r="AG6307" t="s">
        <v>4564</v>
      </c>
      <c r="AH6307" t="s">
        <v>1147</v>
      </c>
      <c r="AI6307" t="s">
        <v>1184</v>
      </c>
      <c r="AJ6307" t="s">
        <v>1185</v>
      </c>
      <c r="AK6307" t="s">
        <v>30595</v>
      </c>
      <c r="AL6307" s="13" t="s">
        <v>1897</v>
      </c>
      <c r="AM6307" s="14">
        <v>1</v>
      </c>
      <c r="AN6307" s="15" t="s">
        <v>2104</v>
      </c>
    </row>
    <row r="6308" spans="1:40" x14ac:dyDescent="0.3">
      <c r="A6308" s="10" t="str">
        <f>HYPERLINK("http://www.washoecounty.gov/assessor/cama/?parid=232-732-30&amp;CardNumber=1","232-732-30")</f>
        <v>232-732-30</v>
      </c>
      <c r="B6308" t="s">
        <v>4655</v>
      </c>
      <c r="C6308" t="s">
        <v>30596</v>
      </c>
      <c r="D6308" s="1">
        <v>40409</v>
      </c>
      <c r="E6308" s="2">
        <v>298000</v>
      </c>
      <c r="F6308" t="s">
        <v>4567</v>
      </c>
      <c r="G6308" s="17" t="str">
        <f>HYPERLINK("https://www.washoecounty.gov/assessor/cama/?command=sales&amp;parid=23273230","3913563")</f>
        <v>3913563</v>
      </c>
      <c r="H6308" t="s">
        <v>1490</v>
      </c>
      <c r="I6308">
        <v>2009</v>
      </c>
      <c r="J6308">
        <v>2009</v>
      </c>
      <c r="K6308" t="s">
        <v>4554</v>
      </c>
      <c r="L6308" t="s">
        <v>4555</v>
      </c>
      <c r="M6308" s="2">
        <v>2143</v>
      </c>
      <c r="N6308" t="s">
        <v>3147</v>
      </c>
      <c r="O6308">
        <v>4</v>
      </c>
      <c r="P6308">
        <v>2</v>
      </c>
      <c r="Q6308">
        <v>0</v>
      </c>
      <c r="R6308" t="s">
        <v>5281</v>
      </c>
      <c r="S6308" t="s">
        <v>4898</v>
      </c>
      <c r="T6308" t="s">
        <v>2704</v>
      </c>
      <c r="U6308" t="s">
        <v>4560</v>
      </c>
      <c r="V6308" s="2">
        <v>627</v>
      </c>
      <c r="W6308" t="s">
        <v>4655</v>
      </c>
      <c r="X6308" s="2">
        <v>0</v>
      </c>
      <c r="Y6308">
        <v>20</v>
      </c>
      <c r="Z6308" t="s">
        <v>1491</v>
      </c>
      <c r="AA6308" s="3">
        <v>0.36659780144691501</v>
      </c>
      <c r="AB6308" t="s">
        <v>30597</v>
      </c>
      <c r="AC6308" t="s">
        <v>4562</v>
      </c>
      <c r="AD6308" t="s">
        <v>30598</v>
      </c>
      <c r="AE6308" t="s">
        <v>4655</v>
      </c>
      <c r="AF6308" t="s">
        <v>4563</v>
      </c>
      <c r="AG6308" t="s">
        <v>4564</v>
      </c>
      <c r="AH6308" t="s">
        <v>1147</v>
      </c>
      <c r="AI6308" t="s">
        <v>1184</v>
      </c>
      <c r="AJ6308" t="s">
        <v>1185</v>
      </c>
      <c r="AK6308" t="s">
        <v>30599</v>
      </c>
      <c r="AL6308" s="13" t="s">
        <v>1897</v>
      </c>
      <c r="AM6308">
        <v>1</v>
      </c>
      <c r="AN6308" s="15" t="s">
        <v>2104</v>
      </c>
    </row>
    <row r="6309" spans="1:40" x14ac:dyDescent="0.3">
      <c r="A6309" s="10" t="str">
        <f>HYPERLINK("http://www.washoecounty.gov/assessor/cama/?parid=232-733-04&amp;CardNumber=1","232-733-04")</f>
        <v>232-733-04</v>
      </c>
      <c r="B6309" t="s">
        <v>4655</v>
      </c>
      <c r="C6309" t="s">
        <v>30600</v>
      </c>
      <c r="D6309" s="1">
        <v>40499</v>
      </c>
      <c r="E6309" s="2">
        <v>341521</v>
      </c>
      <c r="F6309" t="s">
        <v>4567</v>
      </c>
      <c r="G6309" s="17" t="str">
        <f>HYPERLINK("https://www.washoecounty.gov/assessor/cama/?command=sales&amp;parid=23273304","3943883")</f>
        <v>3943883</v>
      </c>
      <c r="H6309" t="s">
        <v>1490</v>
      </c>
      <c r="I6309">
        <v>2011</v>
      </c>
      <c r="J6309">
        <v>2011</v>
      </c>
      <c r="K6309" t="s">
        <v>4554</v>
      </c>
      <c r="L6309" t="s">
        <v>4555</v>
      </c>
      <c r="M6309" s="2">
        <v>2143</v>
      </c>
      <c r="N6309" t="s">
        <v>3147</v>
      </c>
      <c r="O6309">
        <v>3</v>
      </c>
      <c r="P6309">
        <v>2</v>
      </c>
      <c r="Q6309">
        <v>0</v>
      </c>
      <c r="R6309" t="s">
        <v>5281</v>
      </c>
      <c r="S6309" t="s">
        <v>4898</v>
      </c>
      <c r="T6309" t="s">
        <v>2704</v>
      </c>
      <c r="U6309" t="s">
        <v>4560</v>
      </c>
      <c r="V6309" s="2">
        <v>627</v>
      </c>
      <c r="W6309" t="s">
        <v>4655</v>
      </c>
      <c r="X6309" s="2">
        <v>0</v>
      </c>
      <c r="Y6309">
        <v>20</v>
      </c>
      <c r="Z6309" t="s">
        <v>1491</v>
      </c>
      <c r="AA6309" s="3">
        <v>0.20121671259403201</v>
      </c>
      <c r="AB6309" t="s">
        <v>30601</v>
      </c>
      <c r="AC6309" t="s">
        <v>4562</v>
      </c>
      <c r="AD6309" t="s">
        <v>30600</v>
      </c>
      <c r="AE6309" t="s">
        <v>4655</v>
      </c>
      <c r="AF6309" t="s">
        <v>4563</v>
      </c>
      <c r="AG6309" t="s">
        <v>4564</v>
      </c>
      <c r="AH6309" t="s">
        <v>1147</v>
      </c>
      <c r="AI6309" t="s">
        <v>1184</v>
      </c>
      <c r="AJ6309" t="s">
        <v>1185</v>
      </c>
      <c r="AK6309" t="s">
        <v>30602</v>
      </c>
      <c r="AL6309" s="13" t="s">
        <v>1897</v>
      </c>
      <c r="AM6309">
        <v>1</v>
      </c>
      <c r="AN6309" s="15" t="s">
        <v>2104</v>
      </c>
    </row>
    <row r="6310" spans="1:40" x14ac:dyDescent="0.3">
      <c r="A6310" s="10" t="str">
        <f>HYPERLINK("http://www.washoecounty.gov/assessor/cama/?parid=232-733-05&amp;CardNumber=1","232-733-05")</f>
        <v>232-733-05</v>
      </c>
      <c r="B6310" t="s">
        <v>4655</v>
      </c>
      <c r="C6310" t="s">
        <v>30603</v>
      </c>
      <c r="D6310" s="1">
        <v>40542</v>
      </c>
      <c r="E6310" s="2">
        <v>327743</v>
      </c>
      <c r="F6310" t="s">
        <v>4567</v>
      </c>
      <c r="G6310" s="17" t="str">
        <f>HYPERLINK("https://www.washoecounty.gov/assessor/cama/?command=sales&amp;parid=23273305","3958950")</f>
        <v>3958950</v>
      </c>
      <c r="H6310" t="s">
        <v>1490</v>
      </c>
      <c r="I6310">
        <v>2011</v>
      </c>
      <c r="J6310">
        <v>2011</v>
      </c>
      <c r="K6310" t="s">
        <v>4554</v>
      </c>
      <c r="L6310" t="s">
        <v>4555</v>
      </c>
      <c r="M6310" s="2">
        <v>2143</v>
      </c>
      <c r="N6310" t="s">
        <v>3147</v>
      </c>
      <c r="O6310">
        <v>3</v>
      </c>
      <c r="P6310">
        <v>2</v>
      </c>
      <c r="Q6310">
        <v>0</v>
      </c>
      <c r="R6310" t="s">
        <v>5281</v>
      </c>
      <c r="S6310" t="s">
        <v>4898</v>
      </c>
      <c r="T6310" t="s">
        <v>2704</v>
      </c>
      <c r="U6310" t="s">
        <v>4560</v>
      </c>
      <c r="V6310" s="2">
        <v>627</v>
      </c>
      <c r="W6310" t="s">
        <v>4655</v>
      </c>
      <c r="X6310" s="2">
        <v>0</v>
      </c>
      <c r="Y6310">
        <v>20</v>
      </c>
      <c r="Z6310" t="s">
        <v>1491</v>
      </c>
      <c r="AA6310" s="3">
        <v>0.24295224249362946</v>
      </c>
      <c r="AB6310" t="s">
        <v>30604</v>
      </c>
      <c r="AC6310" t="s">
        <v>4562</v>
      </c>
      <c r="AD6310" t="s">
        <v>30603</v>
      </c>
      <c r="AE6310" t="s">
        <v>4655</v>
      </c>
      <c r="AF6310" t="s">
        <v>4563</v>
      </c>
      <c r="AG6310" t="s">
        <v>4564</v>
      </c>
      <c r="AH6310" t="s">
        <v>1147</v>
      </c>
      <c r="AI6310" t="s">
        <v>1184</v>
      </c>
      <c r="AJ6310" t="s">
        <v>1185</v>
      </c>
      <c r="AK6310" t="s">
        <v>30605</v>
      </c>
      <c r="AL6310" s="13" t="s">
        <v>1897</v>
      </c>
      <c r="AM6310" s="14">
        <v>1</v>
      </c>
      <c r="AN6310" s="15" t="s">
        <v>2104</v>
      </c>
    </row>
    <row r="6311" spans="1:40" x14ac:dyDescent="0.3">
      <c r="A6311" s="10" t="str">
        <f>HYPERLINK("http://www.washoecounty.gov/assessor/cama/?parid=234-011-04&amp;CardNumber=1","234-011-04")</f>
        <v>234-011-04</v>
      </c>
      <c r="B6311" t="s">
        <v>4655</v>
      </c>
      <c r="C6311" t="s">
        <v>318</v>
      </c>
      <c r="D6311" s="1">
        <v>40448</v>
      </c>
      <c r="E6311" s="2">
        <v>750000</v>
      </c>
      <c r="F6311" t="s">
        <v>3174</v>
      </c>
      <c r="G6311" s="17" t="str">
        <f>HYPERLINK("https://www.washoecounty.gov/assessor/cama/?command=sales&amp;parid=23401104","3926563")</f>
        <v>3926563</v>
      </c>
      <c r="H6311" t="s">
        <v>30606</v>
      </c>
      <c r="I6311">
        <v>0</v>
      </c>
      <c r="J6311">
        <v>0</v>
      </c>
      <c r="K6311" t="s">
        <v>4655</v>
      </c>
      <c r="L6311" t="s">
        <v>4655</v>
      </c>
      <c r="M6311" s="2">
        <v>0</v>
      </c>
      <c r="N6311" t="s">
        <v>4655</v>
      </c>
      <c r="O6311">
        <v>0</v>
      </c>
      <c r="P6311">
        <v>0</v>
      </c>
      <c r="Q6311">
        <v>0</v>
      </c>
      <c r="R6311" t="s">
        <v>4655</v>
      </c>
      <c r="S6311" t="s">
        <v>4655</v>
      </c>
      <c r="T6311" t="s">
        <v>4655</v>
      </c>
      <c r="U6311" t="s">
        <v>4655</v>
      </c>
      <c r="V6311" s="2">
        <v>0</v>
      </c>
      <c r="W6311" t="s">
        <v>4655</v>
      </c>
      <c r="X6311" s="2">
        <v>0</v>
      </c>
      <c r="Y6311">
        <v>12</v>
      </c>
      <c r="Z6311" t="s">
        <v>1491</v>
      </c>
      <c r="AA6311" s="3">
        <v>42.790000915527301</v>
      </c>
      <c r="AB6311" t="s">
        <v>4414</v>
      </c>
      <c r="AC6311" t="s">
        <v>4562</v>
      </c>
      <c r="AD6311" t="s">
        <v>29980</v>
      </c>
      <c r="AE6311" t="s">
        <v>4655</v>
      </c>
      <c r="AF6311" t="s">
        <v>1189</v>
      </c>
      <c r="AG6311" t="s">
        <v>4564</v>
      </c>
      <c r="AH6311" t="s">
        <v>2078</v>
      </c>
      <c r="AI6311" t="s">
        <v>30607</v>
      </c>
      <c r="AJ6311" t="s">
        <v>4655</v>
      </c>
      <c r="AK6311" t="s">
        <v>30608</v>
      </c>
      <c r="AL6311" s="13" t="s">
        <v>1897</v>
      </c>
      <c r="AM6311">
        <v>0</v>
      </c>
      <c r="AN6311" s="15" t="s">
        <v>29984</v>
      </c>
    </row>
    <row r="6312" spans="1:40" x14ac:dyDescent="0.3">
      <c r="A6312" s="10" t="str">
        <f>HYPERLINK("http://www.washoecounty.gov/assessor/cama/?parid=234-011-30&amp;CardNumber=1","234-011-30")</f>
        <v>234-011-30</v>
      </c>
      <c r="B6312" t="s">
        <v>4655</v>
      </c>
      <c r="C6312" t="s">
        <v>303</v>
      </c>
      <c r="D6312" s="1">
        <v>40448</v>
      </c>
      <c r="E6312" s="2">
        <v>750000</v>
      </c>
      <c r="F6312" t="s">
        <v>3174</v>
      </c>
      <c r="G6312" s="17" t="str">
        <f>HYPERLINK("https://www.washoecounty.gov/assessor/cama/?command=sales&amp;parid=23401130","3926563")</f>
        <v>3926563</v>
      </c>
      <c r="H6312" t="s">
        <v>2529</v>
      </c>
      <c r="I6312">
        <v>0</v>
      </c>
      <c r="J6312">
        <v>0</v>
      </c>
      <c r="K6312" t="s">
        <v>4655</v>
      </c>
      <c r="L6312" t="s">
        <v>4655</v>
      </c>
      <c r="M6312" s="2">
        <v>0</v>
      </c>
      <c r="N6312" t="s">
        <v>4655</v>
      </c>
      <c r="O6312">
        <v>0</v>
      </c>
      <c r="P6312">
        <v>0</v>
      </c>
      <c r="Q6312">
        <v>0</v>
      </c>
      <c r="R6312" t="s">
        <v>4655</v>
      </c>
      <c r="S6312" t="s">
        <v>4655</v>
      </c>
      <c r="T6312" t="s">
        <v>4655</v>
      </c>
      <c r="U6312" t="s">
        <v>4655</v>
      </c>
      <c r="V6312" s="2">
        <v>0</v>
      </c>
      <c r="W6312" t="s">
        <v>4655</v>
      </c>
      <c r="X6312" s="2">
        <v>0</v>
      </c>
      <c r="Y6312">
        <v>12</v>
      </c>
      <c r="Z6312" t="s">
        <v>1491</v>
      </c>
      <c r="AA6312" s="3">
        <v>19.665000915527301</v>
      </c>
      <c r="AB6312" t="s">
        <v>4414</v>
      </c>
      <c r="AC6312" t="s">
        <v>4562</v>
      </c>
      <c r="AD6312" t="s">
        <v>29980</v>
      </c>
      <c r="AE6312" t="s">
        <v>4655</v>
      </c>
      <c r="AF6312" t="s">
        <v>1189</v>
      </c>
      <c r="AG6312" t="s">
        <v>4564</v>
      </c>
      <c r="AH6312" t="s">
        <v>2078</v>
      </c>
      <c r="AI6312" t="s">
        <v>30607</v>
      </c>
      <c r="AJ6312" t="s">
        <v>2531</v>
      </c>
      <c r="AK6312" t="s">
        <v>30609</v>
      </c>
      <c r="AL6312" s="13" t="s">
        <v>1897</v>
      </c>
      <c r="AM6312">
        <v>0</v>
      </c>
      <c r="AN6312" s="15" t="s">
        <v>29984</v>
      </c>
    </row>
    <row r="6313" spans="1:40" x14ac:dyDescent="0.3">
      <c r="A6313" s="10" t="str">
        <f>HYPERLINK("http://www.washoecounty.gov/assessor/cama/?parid=234-011-47&amp;CardNumber=1","234-011-47")</f>
        <v>234-011-47</v>
      </c>
      <c r="B6313" t="s">
        <v>4655</v>
      </c>
      <c r="C6313" t="s">
        <v>303</v>
      </c>
      <c r="D6313" s="1">
        <v>40448</v>
      </c>
      <c r="E6313" s="2">
        <v>750000</v>
      </c>
      <c r="F6313" t="s">
        <v>3174</v>
      </c>
      <c r="G6313" s="17" t="str">
        <f>HYPERLINK("https://www.washoecounty.gov/assessor/cama/?command=sales&amp;parid=23401147","3926563")</f>
        <v>3926563</v>
      </c>
      <c r="H6313" t="s">
        <v>30610</v>
      </c>
      <c r="I6313">
        <v>0</v>
      </c>
      <c r="J6313">
        <v>0</v>
      </c>
      <c r="K6313" t="s">
        <v>4655</v>
      </c>
      <c r="L6313" t="s">
        <v>4655</v>
      </c>
      <c r="M6313" s="2">
        <v>0</v>
      </c>
      <c r="N6313" t="s">
        <v>4655</v>
      </c>
      <c r="O6313">
        <v>0</v>
      </c>
      <c r="P6313">
        <v>0</v>
      </c>
      <c r="Q6313">
        <v>0</v>
      </c>
      <c r="R6313" t="s">
        <v>4655</v>
      </c>
      <c r="S6313" t="s">
        <v>4655</v>
      </c>
      <c r="T6313" t="s">
        <v>4655</v>
      </c>
      <c r="U6313" t="s">
        <v>4655</v>
      </c>
      <c r="V6313" s="2">
        <v>0</v>
      </c>
      <c r="W6313" t="s">
        <v>4655</v>
      </c>
      <c r="X6313" s="2">
        <v>0</v>
      </c>
      <c r="Y6313">
        <v>11</v>
      </c>
      <c r="Z6313" t="s">
        <v>1491</v>
      </c>
      <c r="AA6313" s="3">
        <v>104.61000061035099</v>
      </c>
      <c r="AB6313" t="s">
        <v>4414</v>
      </c>
      <c r="AC6313" t="s">
        <v>4562</v>
      </c>
      <c r="AD6313" t="s">
        <v>29980</v>
      </c>
      <c r="AE6313" t="s">
        <v>4655</v>
      </c>
      <c r="AF6313" t="s">
        <v>1189</v>
      </c>
      <c r="AG6313" t="s">
        <v>4564</v>
      </c>
      <c r="AH6313" t="s">
        <v>2078</v>
      </c>
      <c r="AI6313" t="s">
        <v>30607</v>
      </c>
      <c r="AJ6313" t="s">
        <v>30611</v>
      </c>
      <c r="AK6313" t="s">
        <v>30612</v>
      </c>
      <c r="AL6313" s="13" t="s">
        <v>1897</v>
      </c>
      <c r="AM6313" s="14">
        <v>0</v>
      </c>
      <c r="AN6313" s="15" t="s">
        <v>29984</v>
      </c>
    </row>
    <row r="6314" spans="1:40" x14ac:dyDescent="0.3">
      <c r="A6314" s="10" t="str">
        <f>HYPERLINK("http://www.washoecounty.gov/assessor/cama/?parid=234-061-11&amp;CardNumber=1","234-061-11")</f>
        <v>234-061-11</v>
      </c>
      <c r="B6314" t="s">
        <v>4655</v>
      </c>
      <c r="C6314" t="s">
        <v>30613</v>
      </c>
      <c r="D6314" s="1">
        <v>40375</v>
      </c>
      <c r="E6314" s="2">
        <v>322000</v>
      </c>
      <c r="F6314" t="s">
        <v>4553</v>
      </c>
      <c r="G6314" s="17" t="str">
        <f>HYPERLINK("https://www.washoecounty.gov/assessor/cama/?command=sales&amp;parid=23406111","3902309")</f>
        <v>3902309</v>
      </c>
      <c r="H6314" t="s">
        <v>30614</v>
      </c>
      <c r="I6314">
        <v>2005</v>
      </c>
      <c r="J6314">
        <v>2005</v>
      </c>
      <c r="K6314" t="s">
        <v>4554</v>
      </c>
      <c r="L6314" t="s">
        <v>4555</v>
      </c>
      <c r="M6314" s="2">
        <v>2327</v>
      </c>
      <c r="N6314" t="s">
        <v>5280</v>
      </c>
      <c r="O6314">
        <v>2</v>
      </c>
      <c r="P6314">
        <v>2</v>
      </c>
      <c r="Q6314">
        <v>0</v>
      </c>
      <c r="R6314" t="s">
        <v>5281</v>
      </c>
      <c r="S6314" t="s">
        <v>4898</v>
      </c>
      <c r="T6314" t="s">
        <v>2704</v>
      </c>
      <c r="U6314" t="s">
        <v>4560</v>
      </c>
      <c r="V6314" s="2">
        <v>462</v>
      </c>
      <c r="W6314" t="s">
        <v>4655</v>
      </c>
      <c r="X6314" s="2">
        <v>0</v>
      </c>
      <c r="Y6314">
        <v>20</v>
      </c>
      <c r="Z6314" t="s">
        <v>1491</v>
      </c>
      <c r="AA6314" s="3">
        <v>0.176056012511253</v>
      </c>
      <c r="AB6314" t="s">
        <v>30615</v>
      </c>
      <c r="AC6314" t="s">
        <v>4562</v>
      </c>
      <c r="AD6314" t="s">
        <v>30616</v>
      </c>
      <c r="AE6314" t="s">
        <v>4655</v>
      </c>
      <c r="AF6314" t="s">
        <v>4563</v>
      </c>
      <c r="AG6314" t="s">
        <v>4564</v>
      </c>
      <c r="AH6314" t="s">
        <v>5197</v>
      </c>
      <c r="AI6314" t="s">
        <v>1602</v>
      </c>
      <c r="AJ6314" t="s">
        <v>30617</v>
      </c>
      <c r="AK6314" t="s">
        <v>30618</v>
      </c>
      <c r="AL6314" s="13" t="s">
        <v>1897</v>
      </c>
      <c r="AM6314" s="14">
        <v>1</v>
      </c>
      <c r="AN6314" s="15" t="s">
        <v>1592</v>
      </c>
    </row>
    <row r="6315" spans="1:40" x14ac:dyDescent="0.3">
      <c r="A6315" s="10" t="str">
        <f>HYPERLINK("http://www.washoecounty.gov/assessor/cama/?parid=234-081-02&amp;CardNumber=1","234-081-02")</f>
        <v>234-081-02</v>
      </c>
      <c r="B6315" t="s">
        <v>4655</v>
      </c>
      <c r="C6315" t="s">
        <v>30619</v>
      </c>
      <c r="D6315" s="1">
        <v>40512</v>
      </c>
      <c r="E6315" s="2">
        <v>155400</v>
      </c>
      <c r="F6315" t="s">
        <v>4553</v>
      </c>
      <c r="G6315" s="17" t="str">
        <f>HYPERLINK("https://www.washoecounty.gov/assessor/cama/?command=sales&amp;parid=23408102","3947731")</f>
        <v>3947731</v>
      </c>
      <c r="H6315" t="s">
        <v>4596</v>
      </c>
      <c r="I6315">
        <v>2005</v>
      </c>
      <c r="J6315">
        <v>2005</v>
      </c>
      <c r="K6315" t="s">
        <v>4554</v>
      </c>
      <c r="L6315" t="s">
        <v>4555</v>
      </c>
      <c r="M6315" s="2">
        <v>1246</v>
      </c>
      <c r="N6315" t="s">
        <v>5280</v>
      </c>
      <c r="O6315">
        <v>1</v>
      </c>
      <c r="P6315">
        <v>2</v>
      </c>
      <c r="Q6315">
        <v>0</v>
      </c>
      <c r="R6315" t="s">
        <v>5281</v>
      </c>
      <c r="S6315" t="s">
        <v>4898</v>
      </c>
      <c r="T6315" t="s">
        <v>2704</v>
      </c>
      <c r="U6315" t="s">
        <v>4560</v>
      </c>
      <c r="V6315" s="2">
        <v>399</v>
      </c>
      <c r="W6315" t="s">
        <v>4655</v>
      </c>
      <c r="X6315" s="2">
        <v>0</v>
      </c>
      <c r="Y6315">
        <v>20</v>
      </c>
      <c r="Z6315" t="s">
        <v>1491</v>
      </c>
      <c r="AA6315" s="3">
        <v>0.116391181945801</v>
      </c>
      <c r="AB6315" t="s">
        <v>30620</v>
      </c>
      <c r="AC6315" t="s">
        <v>4562</v>
      </c>
      <c r="AD6315" t="s">
        <v>30621</v>
      </c>
      <c r="AE6315" t="s">
        <v>4655</v>
      </c>
      <c r="AF6315" t="s">
        <v>5601</v>
      </c>
      <c r="AG6315" t="s">
        <v>4584</v>
      </c>
      <c r="AH6315" t="s">
        <v>5511</v>
      </c>
      <c r="AI6315" t="s">
        <v>4903</v>
      </c>
      <c r="AJ6315" t="s">
        <v>4598</v>
      </c>
      <c r="AK6315" t="s">
        <v>30622</v>
      </c>
      <c r="AL6315" s="13" t="s">
        <v>1897</v>
      </c>
      <c r="AM6315" s="14">
        <v>1</v>
      </c>
      <c r="AN6315" s="15" t="s">
        <v>1592</v>
      </c>
    </row>
    <row r="6316" spans="1:40" x14ac:dyDescent="0.3">
      <c r="A6316" s="10" t="str">
        <f>HYPERLINK("http://www.washoecounty.gov/assessor/cama/?parid=234-081-07&amp;CardNumber=1","234-081-07")</f>
        <v>234-081-07</v>
      </c>
      <c r="B6316" t="s">
        <v>4655</v>
      </c>
      <c r="C6316" t="s">
        <v>30623</v>
      </c>
      <c r="D6316" s="1">
        <v>40374</v>
      </c>
      <c r="E6316" s="2">
        <v>225000</v>
      </c>
      <c r="F6316" t="s">
        <v>4567</v>
      </c>
      <c r="G6316" s="17" t="str">
        <f>HYPERLINK("https://www.washoecounty.gov/assessor/cama/?command=sales&amp;parid=23408107","3901870")</f>
        <v>3901870</v>
      </c>
      <c r="H6316" t="s">
        <v>4596</v>
      </c>
      <c r="I6316">
        <v>2005</v>
      </c>
      <c r="J6316">
        <v>2005</v>
      </c>
      <c r="K6316" t="s">
        <v>4554</v>
      </c>
      <c r="L6316" t="s">
        <v>4555</v>
      </c>
      <c r="M6316" s="2">
        <v>1440</v>
      </c>
      <c r="N6316" t="s">
        <v>5280</v>
      </c>
      <c r="O6316">
        <v>2</v>
      </c>
      <c r="P6316">
        <v>2</v>
      </c>
      <c r="Q6316">
        <v>0</v>
      </c>
      <c r="R6316" t="s">
        <v>5281</v>
      </c>
      <c r="S6316" t="s">
        <v>4898</v>
      </c>
      <c r="T6316" t="s">
        <v>2704</v>
      </c>
      <c r="U6316" t="s">
        <v>4560</v>
      </c>
      <c r="V6316" s="2">
        <v>420</v>
      </c>
      <c r="W6316" t="s">
        <v>4655</v>
      </c>
      <c r="X6316" s="2">
        <v>0</v>
      </c>
      <c r="Y6316">
        <v>20</v>
      </c>
      <c r="Z6316" t="s">
        <v>1491</v>
      </c>
      <c r="AA6316" s="3">
        <v>0.116391181945801</v>
      </c>
      <c r="AB6316" t="s">
        <v>1026</v>
      </c>
      <c r="AC6316" t="s">
        <v>4562</v>
      </c>
      <c r="AD6316" t="s">
        <v>5610</v>
      </c>
      <c r="AE6316" t="s">
        <v>4655</v>
      </c>
      <c r="AF6316" t="s">
        <v>4563</v>
      </c>
      <c r="AG6316" t="s">
        <v>4564</v>
      </c>
      <c r="AH6316" t="s">
        <v>1147</v>
      </c>
      <c r="AI6316" t="s">
        <v>30624</v>
      </c>
      <c r="AJ6316" t="s">
        <v>4598</v>
      </c>
      <c r="AK6316" t="s">
        <v>30625</v>
      </c>
      <c r="AL6316" s="13" t="s">
        <v>1897</v>
      </c>
      <c r="AM6316">
        <v>1</v>
      </c>
      <c r="AN6316" s="15" t="s">
        <v>1592</v>
      </c>
    </row>
    <row r="6317" spans="1:40" x14ac:dyDescent="0.3">
      <c r="A6317" s="10" t="str">
        <f>HYPERLINK("http://www.washoecounty.gov/assessor/cama/?parid=234-092-09&amp;CardNumber=1","234-092-09")</f>
        <v>234-092-09</v>
      </c>
      <c r="B6317" t="s">
        <v>4655</v>
      </c>
      <c r="C6317" t="s">
        <v>30626</v>
      </c>
      <c r="D6317" s="1">
        <v>40206</v>
      </c>
      <c r="E6317" s="2">
        <v>174000</v>
      </c>
      <c r="F6317" t="s">
        <v>4567</v>
      </c>
      <c r="G6317" s="17" t="str">
        <f>HYPERLINK("https://www.washoecounty.gov/assessor/cama/?command=sales&amp;parid=23409209","3843832")</f>
        <v>3843832</v>
      </c>
      <c r="H6317" t="s">
        <v>4596</v>
      </c>
      <c r="I6317">
        <v>2005</v>
      </c>
      <c r="J6317">
        <v>2005</v>
      </c>
      <c r="K6317" t="s">
        <v>4554</v>
      </c>
      <c r="L6317" t="s">
        <v>4555</v>
      </c>
      <c r="M6317" s="2">
        <v>1440</v>
      </c>
      <c r="N6317" t="s">
        <v>5280</v>
      </c>
      <c r="O6317">
        <v>2</v>
      </c>
      <c r="P6317">
        <v>2</v>
      </c>
      <c r="Q6317">
        <v>0</v>
      </c>
      <c r="R6317" t="s">
        <v>5281</v>
      </c>
      <c r="S6317" t="s">
        <v>4898</v>
      </c>
      <c r="T6317" t="s">
        <v>2704</v>
      </c>
      <c r="U6317" t="s">
        <v>4560</v>
      </c>
      <c r="V6317" s="2">
        <v>420</v>
      </c>
      <c r="W6317" t="s">
        <v>4655</v>
      </c>
      <c r="X6317" s="2">
        <v>0</v>
      </c>
      <c r="Y6317">
        <v>20</v>
      </c>
      <c r="Z6317" t="s">
        <v>1491</v>
      </c>
      <c r="AA6317" s="3">
        <v>0.17277318239212</v>
      </c>
      <c r="AB6317" t="s">
        <v>30627</v>
      </c>
      <c r="AC6317" t="s">
        <v>4562</v>
      </c>
      <c r="AD6317" t="s">
        <v>30626</v>
      </c>
      <c r="AE6317" t="s">
        <v>4655</v>
      </c>
      <c r="AF6317" t="s">
        <v>4563</v>
      </c>
      <c r="AG6317" t="s">
        <v>4564</v>
      </c>
      <c r="AH6317" t="s">
        <v>1147</v>
      </c>
      <c r="AI6317" t="s">
        <v>4597</v>
      </c>
      <c r="AJ6317" t="s">
        <v>4598</v>
      </c>
      <c r="AK6317" t="s">
        <v>30628</v>
      </c>
      <c r="AL6317" s="13" t="s">
        <v>1897</v>
      </c>
      <c r="AM6317">
        <v>1</v>
      </c>
      <c r="AN6317" s="15" t="s">
        <v>1592</v>
      </c>
    </row>
    <row r="6318" spans="1:40" x14ac:dyDescent="0.3">
      <c r="A6318" s="10" t="str">
        <f>HYPERLINK("http://www.washoecounty.gov/assessor/cama/?parid=234-111-13&amp;CardNumber=1","234-111-13")</f>
        <v>234-111-13</v>
      </c>
      <c r="B6318" t="s">
        <v>4655</v>
      </c>
      <c r="C6318" t="s">
        <v>30629</v>
      </c>
      <c r="D6318" s="1">
        <v>40443</v>
      </c>
      <c r="E6318" s="2">
        <v>265700</v>
      </c>
      <c r="F6318" t="s">
        <v>4567</v>
      </c>
      <c r="G6318" s="17" t="str">
        <f>HYPERLINK("https://www.washoecounty.gov/assessor/cama/?command=sales&amp;parid=23411113","3924982")</f>
        <v>3924982</v>
      </c>
      <c r="H6318" t="s">
        <v>5622</v>
      </c>
      <c r="I6318">
        <v>2004</v>
      </c>
      <c r="J6318">
        <v>2004</v>
      </c>
      <c r="K6318" t="s">
        <v>4554</v>
      </c>
      <c r="L6318" t="s">
        <v>4555</v>
      </c>
      <c r="M6318" s="2">
        <v>1626</v>
      </c>
      <c r="N6318" t="s">
        <v>5280</v>
      </c>
      <c r="O6318">
        <v>2</v>
      </c>
      <c r="P6318">
        <v>2</v>
      </c>
      <c r="Q6318">
        <v>0</v>
      </c>
      <c r="R6318" t="s">
        <v>5281</v>
      </c>
      <c r="S6318" t="s">
        <v>4898</v>
      </c>
      <c r="T6318" t="s">
        <v>2704</v>
      </c>
      <c r="U6318" t="s">
        <v>4560</v>
      </c>
      <c r="V6318" s="2">
        <v>525</v>
      </c>
      <c r="W6318" t="s">
        <v>4655</v>
      </c>
      <c r="X6318" s="2">
        <v>0</v>
      </c>
      <c r="Y6318">
        <v>20</v>
      </c>
      <c r="Z6318" t="s">
        <v>1491</v>
      </c>
      <c r="AA6318" s="3">
        <v>0.17130394279956801</v>
      </c>
      <c r="AB6318" t="s">
        <v>30630</v>
      </c>
      <c r="AC6318" t="s">
        <v>4562</v>
      </c>
      <c r="AD6318" t="s">
        <v>30631</v>
      </c>
      <c r="AE6318" t="s">
        <v>4655</v>
      </c>
      <c r="AF6318" t="s">
        <v>1189</v>
      </c>
      <c r="AG6318" t="s">
        <v>4564</v>
      </c>
      <c r="AH6318" t="s">
        <v>29659</v>
      </c>
      <c r="AI6318" t="s">
        <v>30632</v>
      </c>
      <c r="AJ6318" t="s">
        <v>3517</v>
      </c>
      <c r="AK6318" t="s">
        <v>30633</v>
      </c>
      <c r="AL6318" s="13" t="s">
        <v>1897</v>
      </c>
      <c r="AM6318">
        <v>1</v>
      </c>
      <c r="AN6318" s="15" t="s">
        <v>1592</v>
      </c>
    </row>
    <row r="6319" spans="1:40" x14ac:dyDescent="0.3">
      <c r="A6319" s="10" t="str">
        <f>HYPERLINK("http://www.washoecounty.gov/assessor/cama/?parid=234-112-18&amp;CardNumber=1","234-112-18")</f>
        <v>234-112-18</v>
      </c>
      <c r="B6319" t="s">
        <v>4655</v>
      </c>
      <c r="C6319" t="s">
        <v>30634</v>
      </c>
      <c r="D6319" s="1">
        <v>40444</v>
      </c>
      <c r="E6319" s="2">
        <v>185000</v>
      </c>
      <c r="F6319" t="s">
        <v>4567</v>
      </c>
      <c r="G6319" s="17" t="str">
        <f>HYPERLINK("https://www.washoecounty.gov/assessor/cama/?command=sales&amp;parid=23411218","3925520")</f>
        <v>3925520</v>
      </c>
      <c r="H6319" t="s">
        <v>5622</v>
      </c>
      <c r="I6319">
        <v>2004</v>
      </c>
      <c r="J6319">
        <v>2004</v>
      </c>
      <c r="K6319" t="s">
        <v>4554</v>
      </c>
      <c r="L6319" t="s">
        <v>4555</v>
      </c>
      <c r="M6319" s="2">
        <v>1440</v>
      </c>
      <c r="N6319" t="s">
        <v>5280</v>
      </c>
      <c r="O6319">
        <v>2</v>
      </c>
      <c r="P6319">
        <v>2</v>
      </c>
      <c r="Q6319">
        <v>0</v>
      </c>
      <c r="R6319" t="s">
        <v>5281</v>
      </c>
      <c r="S6319" t="s">
        <v>4898</v>
      </c>
      <c r="T6319" t="s">
        <v>2704</v>
      </c>
      <c r="U6319" t="s">
        <v>4560</v>
      </c>
      <c r="V6319" s="2">
        <v>420</v>
      </c>
      <c r="W6319" t="s">
        <v>4655</v>
      </c>
      <c r="X6319" s="2">
        <v>0</v>
      </c>
      <c r="Y6319">
        <v>20</v>
      </c>
      <c r="Z6319" t="s">
        <v>1491</v>
      </c>
      <c r="AA6319" s="3">
        <v>0.121143251657486</v>
      </c>
      <c r="AB6319" t="s">
        <v>30635</v>
      </c>
      <c r="AC6319" t="s">
        <v>4575</v>
      </c>
      <c r="AD6319" t="s">
        <v>30634</v>
      </c>
      <c r="AE6319" t="s">
        <v>4655</v>
      </c>
      <c r="AF6319" t="s">
        <v>4563</v>
      </c>
      <c r="AG6319" t="s">
        <v>4564</v>
      </c>
      <c r="AH6319" t="s">
        <v>1147</v>
      </c>
      <c r="AI6319" t="s">
        <v>30636</v>
      </c>
      <c r="AJ6319" t="s">
        <v>3517</v>
      </c>
      <c r="AK6319" t="s">
        <v>30637</v>
      </c>
      <c r="AL6319" s="13" t="s">
        <v>1897</v>
      </c>
      <c r="AM6319" s="14">
        <v>1</v>
      </c>
      <c r="AN6319" s="15" t="s">
        <v>1592</v>
      </c>
    </row>
    <row r="6320" spans="1:40" x14ac:dyDescent="0.3">
      <c r="A6320" s="10" t="str">
        <f>HYPERLINK("http://www.washoecounty.gov/assessor/cama/?parid=234-121-32&amp;CardNumber=1","234-121-32")</f>
        <v>234-121-32</v>
      </c>
      <c r="B6320" t="s">
        <v>4655</v>
      </c>
      <c r="C6320" t="s">
        <v>30638</v>
      </c>
      <c r="D6320" s="1">
        <v>40343</v>
      </c>
      <c r="E6320" s="2">
        <v>319900</v>
      </c>
      <c r="F6320" t="s">
        <v>4567</v>
      </c>
      <c r="G6320" s="17" t="str">
        <f>HYPERLINK("https://www.washoecounty.gov/assessor/cama/?command=sales&amp;parid=23412132","3891567")</f>
        <v>3891567</v>
      </c>
      <c r="H6320" t="s">
        <v>3684</v>
      </c>
      <c r="I6320">
        <v>2005</v>
      </c>
      <c r="J6320">
        <v>2005</v>
      </c>
      <c r="K6320" t="s">
        <v>4554</v>
      </c>
      <c r="L6320" t="s">
        <v>4555</v>
      </c>
      <c r="M6320" s="2">
        <v>2760</v>
      </c>
      <c r="N6320" t="s">
        <v>3147</v>
      </c>
      <c r="O6320">
        <v>3</v>
      </c>
      <c r="P6320">
        <v>2</v>
      </c>
      <c r="Q6320">
        <v>1</v>
      </c>
      <c r="R6320" t="s">
        <v>5281</v>
      </c>
      <c r="S6320" t="s">
        <v>4898</v>
      </c>
      <c r="T6320" t="s">
        <v>2704</v>
      </c>
      <c r="U6320" t="s">
        <v>4560</v>
      </c>
      <c r="V6320" s="2">
        <v>811</v>
      </c>
      <c r="W6320" t="s">
        <v>4655</v>
      </c>
      <c r="X6320" s="2">
        <v>0</v>
      </c>
      <c r="Y6320">
        <v>20</v>
      </c>
      <c r="Z6320" t="s">
        <v>1491</v>
      </c>
      <c r="AA6320" s="3">
        <v>0.28542241454124501</v>
      </c>
      <c r="AB6320" t="s">
        <v>30639</v>
      </c>
      <c r="AC6320" t="s">
        <v>4562</v>
      </c>
      <c r="AD6320" t="s">
        <v>30638</v>
      </c>
      <c r="AE6320" t="s">
        <v>4655</v>
      </c>
      <c r="AF6320" t="s">
        <v>4563</v>
      </c>
      <c r="AG6320" t="s">
        <v>4564</v>
      </c>
      <c r="AH6320" t="s">
        <v>1147</v>
      </c>
      <c r="AI6320" t="s">
        <v>30640</v>
      </c>
      <c r="AJ6320" t="s">
        <v>30641</v>
      </c>
      <c r="AK6320" t="s">
        <v>30642</v>
      </c>
      <c r="AL6320" s="13" t="s">
        <v>1897</v>
      </c>
      <c r="AM6320">
        <v>1</v>
      </c>
      <c r="AN6320" s="15" t="s">
        <v>2313</v>
      </c>
    </row>
    <row r="6321" spans="1:40" x14ac:dyDescent="0.3">
      <c r="A6321" s="10" t="str">
        <f>HYPERLINK("http://www.washoecounty.gov/assessor/cama/?parid=234-133-06&amp;CardNumber=1","234-133-06")</f>
        <v>234-133-06</v>
      </c>
      <c r="B6321" t="s">
        <v>4655</v>
      </c>
      <c r="C6321" t="s">
        <v>30643</v>
      </c>
      <c r="D6321" s="1">
        <v>40358</v>
      </c>
      <c r="E6321" s="2">
        <v>361000</v>
      </c>
      <c r="F6321" t="s">
        <v>4567</v>
      </c>
      <c r="G6321" s="17" t="str">
        <f>HYPERLINK("https://www.washoecounty.gov/assessor/cama/?command=sales&amp;parid=23413306","3896825")</f>
        <v>3896825</v>
      </c>
      <c r="H6321" t="s">
        <v>3684</v>
      </c>
      <c r="I6321">
        <v>2005</v>
      </c>
      <c r="J6321">
        <v>2005</v>
      </c>
      <c r="K6321" t="s">
        <v>4554</v>
      </c>
      <c r="L6321" t="s">
        <v>3974</v>
      </c>
      <c r="M6321" s="2">
        <v>2998</v>
      </c>
      <c r="N6321" t="s">
        <v>3147</v>
      </c>
      <c r="O6321">
        <v>3</v>
      </c>
      <c r="P6321">
        <v>2</v>
      </c>
      <c r="Q6321">
        <v>1</v>
      </c>
      <c r="R6321" t="s">
        <v>5281</v>
      </c>
      <c r="S6321" t="s">
        <v>4898</v>
      </c>
      <c r="T6321" t="s">
        <v>2704</v>
      </c>
      <c r="U6321" t="s">
        <v>162</v>
      </c>
      <c r="V6321" s="2">
        <v>780</v>
      </c>
      <c r="W6321" t="s">
        <v>4655</v>
      </c>
      <c r="X6321" s="2">
        <v>0</v>
      </c>
      <c r="Y6321">
        <v>20</v>
      </c>
      <c r="Z6321" t="s">
        <v>1491</v>
      </c>
      <c r="AA6321" s="3">
        <v>0.25197428464889526</v>
      </c>
      <c r="AB6321" t="s">
        <v>30644</v>
      </c>
      <c r="AC6321" t="s">
        <v>4562</v>
      </c>
      <c r="AD6321" t="s">
        <v>30645</v>
      </c>
      <c r="AE6321" t="s">
        <v>4655</v>
      </c>
      <c r="AF6321" t="s">
        <v>2458</v>
      </c>
      <c r="AG6321" t="s">
        <v>4564</v>
      </c>
      <c r="AH6321" t="s">
        <v>30646</v>
      </c>
      <c r="AI6321" t="s">
        <v>30647</v>
      </c>
      <c r="AJ6321" t="s">
        <v>13</v>
      </c>
      <c r="AK6321" t="s">
        <v>30648</v>
      </c>
      <c r="AL6321" s="13" t="s">
        <v>1897</v>
      </c>
      <c r="AM6321">
        <v>1</v>
      </c>
      <c r="AN6321" s="15" t="s">
        <v>2313</v>
      </c>
    </row>
    <row r="6322" spans="1:40" x14ac:dyDescent="0.3">
      <c r="A6322" s="10" t="str">
        <f>HYPERLINK("http://www.washoecounty.gov/assessor/cama/?parid=234-140-03&amp;CardNumber=1","234-140-03")</f>
        <v>234-140-03</v>
      </c>
      <c r="B6322" t="s">
        <v>4655</v>
      </c>
      <c r="C6322" t="s">
        <v>849</v>
      </c>
      <c r="D6322" s="1">
        <v>40500</v>
      </c>
      <c r="E6322" s="2">
        <v>35900</v>
      </c>
      <c r="F6322" t="s">
        <v>4553</v>
      </c>
      <c r="G6322" s="17" t="str">
        <f>HYPERLINK("https://www.washoecounty.gov/assessor/cama/?command=sales&amp;parid=23414003","3944679")</f>
        <v>3944679</v>
      </c>
      <c r="H6322" t="s">
        <v>850</v>
      </c>
      <c r="I6322">
        <v>0</v>
      </c>
      <c r="J6322">
        <v>0</v>
      </c>
      <c r="K6322" t="s">
        <v>4655</v>
      </c>
      <c r="L6322" t="s">
        <v>4655</v>
      </c>
      <c r="M6322" s="2">
        <v>0</v>
      </c>
      <c r="N6322" t="s">
        <v>4655</v>
      </c>
      <c r="O6322">
        <v>0</v>
      </c>
      <c r="P6322">
        <v>0</v>
      </c>
      <c r="Q6322">
        <v>0</v>
      </c>
      <c r="R6322" t="s">
        <v>4655</v>
      </c>
      <c r="S6322" t="s">
        <v>4655</v>
      </c>
      <c r="T6322" t="s">
        <v>4655</v>
      </c>
      <c r="U6322" t="s">
        <v>4655</v>
      </c>
      <c r="V6322" s="2">
        <v>0</v>
      </c>
      <c r="W6322" t="s">
        <v>4655</v>
      </c>
      <c r="X6322" s="2">
        <v>0</v>
      </c>
      <c r="Y6322">
        <v>12</v>
      </c>
      <c r="Z6322" t="s">
        <v>1491</v>
      </c>
      <c r="AA6322" s="3">
        <v>0.92513775825500399</v>
      </c>
      <c r="AB6322" t="s">
        <v>30649</v>
      </c>
      <c r="AC6322" t="s">
        <v>4575</v>
      </c>
      <c r="AD6322" t="s">
        <v>30650</v>
      </c>
      <c r="AE6322" t="s">
        <v>4655</v>
      </c>
      <c r="AF6322" t="s">
        <v>8957</v>
      </c>
      <c r="AG6322" t="s">
        <v>4564</v>
      </c>
      <c r="AH6322" t="s">
        <v>4146</v>
      </c>
      <c r="AI6322" t="s">
        <v>4655</v>
      </c>
      <c r="AJ6322" t="s">
        <v>851</v>
      </c>
      <c r="AK6322" t="s">
        <v>852</v>
      </c>
      <c r="AL6322" s="13" t="s">
        <v>1897</v>
      </c>
      <c r="AM6322">
        <v>0</v>
      </c>
      <c r="AN6322" s="15" t="s">
        <v>4603</v>
      </c>
    </row>
    <row r="6323" spans="1:40" x14ac:dyDescent="0.3">
      <c r="A6323" s="10" t="str">
        <f>HYPERLINK("http://www.washoecounty.gov/assessor/cama/?parid=234-161-08&amp;CardNumber=1","234-161-08")</f>
        <v>234-161-08</v>
      </c>
      <c r="B6323" t="s">
        <v>4655</v>
      </c>
      <c r="C6323" t="s">
        <v>30651</v>
      </c>
      <c r="D6323" s="1">
        <v>40401</v>
      </c>
      <c r="E6323" s="2">
        <v>300000</v>
      </c>
      <c r="F6323" t="s">
        <v>4567</v>
      </c>
      <c r="G6323" s="17" t="str">
        <f>HYPERLINK("https://www.washoecounty.gov/assessor/cama/?command=sales&amp;parid=23416108","3910698")</f>
        <v>3910698</v>
      </c>
      <c r="H6323" t="s">
        <v>2529</v>
      </c>
      <c r="I6323">
        <v>2005</v>
      </c>
      <c r="J6323">
        <v>2005</v>
      </c>
      <c r="K6323" t="s">
        <v>4554</v>
      </c>
      <c r="L6323" t="s">
        <v>4555</v>
      </c>
      <c r="M6323" s="2">
        <v>2384</v>
      </c>
      <c r="N6323" t="s">
        <v>3887</v>
      </c>
      <c r="O6323">
        <v>3</v>
      </c>
      <c r="P6323">
        <v>3</v>
      </c>
      <c r="Q6323">
        <v>1</v>
      </c>
      <c r="R6323" t="s">
        <v>5281</v>
      </c>
      <c r="S6323" t="s">
        <v>4898</v>
      </c>
      <c r="T6323" t="s">
        <v>2704</v>
      </c>
      <c r="U6323" t="s">
        <v>4560</v>
      </c>
      <c r="V6323" s="2">
        <v>624</v>
      </c>
      <c r="W6323" t="s">
        <v>4655</v>
      </c>
      <c r="X6323" s="2">
        <v>0</v>
      </c>
      <c r="Y6323">
        <v>20</v>
      </c>
      <c r="Z6323" t="s">
        <v>1491</v>
      </c>
      <c r="AA6323" s="3">
        <v>0.19095499813556699</v>
      </c>
      <c r="AB6323" t="s">
        <v>30652</v>
      </c>
      <c r="AC6323" t="s">
        <v>4562</v>
      </c>
      <c r="AD6323" t="s">
        <v>30653</v>
      </c>
      <c r="AE6323" t="s">
        <v>4655</v>
      </c>
      <c r="AF6323" t="s">
        <v>4563</v>
      </c>
      <c r="AG6323" t="s">
        <v>4564</v>
      </c>
      <c r="AH6323" t="s">
        <v>1147</v>
      </c>
      <c r="AI6323" t="s">
        <v>30654</v>
      </c>
      <c r="AJ6323" t="s">
        <v>2531</v>
      </c>
      <c r="AK6323" t="s">
        <v>30655</v>
      </c>
      <c r="AL6323" s="13" t="s">
        <v>1897</v>
      </c>
      <c r="AM6323">
        <v>1</v>
      </c>
      <c r="AN6323" s="15" t="s">
        <v>2703</v>
      </c>
    </row>
    <row r="6324" spans="1:40" x14ac:dyDescent="0.3">
      <c r="A6324" s="10" t="str">
        <f>HYPERLINK("http://www.washoecounty.gov/assessor/cama/?parid=234-161-17&amp;CardNumber=1","234-161-17")</f>
        <v>234-161-17</v>
      </c>
      <c r="B6324" t="s">
        <v>4655</v>
      </c>
      <c r="C6324" t="s">
        <v>30656</v>
      </c>
      <c r="D6324" s="1">
        <v>40479</v>
      </c>
      <c r="E6324" s="2">
        <v>379500</v>
      </c>
      <c r="F6324" t="s">
        <v>2900</v>
      </c>
      <c r="G6324" s="17" t="str">
        <f>HYPERLINK("https://www.washoecounty.gov/assessor/cama/?command=sales&amp;parid=23416117","3938006")</f>
        <v>3938006</v>
      </c>
      <c r="H6324" t="s">
        <v>1779</v>
      </c>
      <c r="I6324">
        <v>0</v>
      </c>
      <c r="J6324">
        <v>0</v>
      </c>
      <c r="K6324" t="s">
        <v>4655</v>
      </c>
      <c r="L6324" t="s">
        <v>4655</v>
      </c>
      <c r="M6324" s="2">
        <v>0</v>
      </c>
      <c r="N6324" t="s">
        <v>4655</v>
      </c>
      <c r="O6324">
        <v>0</v>
      </c>
      <c r="P6324">
        <v>0</v>
      </c>
      <c r="Q6324">
        <v>0</v>
      </c>
      <c r="R6324" t="s">
        <v>4655</v>
      </c>
      <c r="S6324" t="s">
        <v>4655</v>
      </c>
      <c r="T6324" t="s">
        <v>4655</v>
      </c>
      <c r="U6324" t="s">
        <v>4655</v>
      </c>
      <c r="V6324" s="2">
        <v>0</v>
      </c>
      <c r="W6324" t="s">
        <v>4655</v>
      </c>
      <c r="X6324" s="2">
        <v>0</v>
      </c>
      <c r="Y6324">
        <v>12</v>
      </c>
      <c r="Z6324" t="s">
        <v>1491</v>
      </c>
      <c r="AA6324" s="3">
        <v>0.24428375065326699</v>
      </c>
      <c r="AB6324" t="s">
        <v>4544</v>
      </c>
      <c r="AC6324" t="s">
        <v>4562</v>
      </c>
      <c r="AD6324" t="s">
        <v>3565</v>
      </c>
      <c r="AE6324" t="s">
        <v>4655</v>
      </c>
      <c r="AF6324" t="s">
        <v>4545</v>
      </c>
      <c r="AG6324" t="s">
        <v>4584</v>
      </c>
      <c r="AH6324" t="s">
        <v>4546</v>
      </c>
      <c r="AI6324" t="s">
        <v>30657</v>
      </c>
      <c r="AJ6324" t="s">
        <v>5327</v>
      </c>
      <c r="AK6324" t="s">
        <v>30658</v>
      </c>
      <c r="AL6324" s="13" t="s">
        <v>1897</v>
      </c>
      <c r="AM6324">
        <v>0</v>
      </c>
      <c r="AN6324" s="15" t="s">
        <v>2703</v>
      </c>
    </row>
    <row r="6325" spans="1:40" x14ac:dyDescent="0.3">
      <c r="A6325" s="10" t="str">
        <f>HYPERLINK("http://www.washoecounty.gov/assessor/cama/?parid=234-161-19&amp;CardNumber=1","234-161-19")</f>
        <v>234-161-19</v>
      </c>
      <c r="B6325" t="s">
        <v>4655</v>
      </c>
      <c r="C6325" t="s">
        <v>30659</v>
      </c>
      <c r="D6325" s="1">
        <v>40479</v>
      </c>
      <c r="E6325" s="2">
        <v>379500</v>
      </c>
      <c r="F6325" t="s">
        <v>3174</v>
      </c>
      <c r="G6325" s="17" t="str">
        <f>HYPERLINK("https://www.washoecounty.gov/assessor/cama/?command=sales&amp;parid=23416119","3938006")</f>
        <v>3938006</v>
      </c>
      <c r="H6325" t="s">
        <v>1779</v>
      </c>
      <c r="I6325">
        <v>0</v>
      </c>
      <c r="J6325">
        <v>0</v>
      </c>
      <c r="K6325" t="s">
        <v>4655</v>
      </c>
      <c r="L6325" t="s">
        <v>4655</v>
      </c>
      <c r="M6325" s="2">
        <v>0</v>
      </c>
      <c r="N6325" t="s">
        <v>4655</v>
      </c>
      <c r="O6325">
        <v>0</v>
      </c>
      <c r="P6325">
        <v>0</v>
      </c>
      <c r="Q6325">
        <v>0</v>
      </c>
      <c r="R6325" t="s">
        <v>4655</v>
      </c>
      <c r="S6325" t="s">
        <v>4655</v>
      </c>
      <c r="T6325" t="s">
        <v>4655</v>
      </c>
      <c r="U6325" t="s">
        <v>4655</v>
      </c>
      <c r="V6325" s="2">
        <v>0</v>
      </c>
      <c r="W6325" t="s">
        <v>4655</v>
      </c>
      <c r="X6325" s="2">
        <v>0</v>
      </c>
      <c r="Y6325">
        <v>12</v>
      </c>
      <c r="Z6325" t="s">
        <v>1491</v>
      </c>
      <c r="AA6325" s="3">
        <v>0.24428375065326699</v>
      </c>
      <c r="AB6325" t="s">
        <v>4544</v>
      </c>
      <c r="AC6325" t="s">
        <v>4562</v>
      </c>
      <c r="AD6325" t="s">
        <v>3565</v>
      </c>
      <c r="AE6325" t="s">
        <v>4655</v>
      </c>
      <c r="AF6325" t="s">
        <v>4545</v>
      </c>
      <c r="AG6325" t="s">
        <v>4584</v>
      </c>
      <c r="AH6325" t="s">
        <v>4546</v>
      </c>
      <c r="AI6325" t="s">
        <v>30660</v>
      </c>
      <c r="AJ6325" t="s">
        <v>5327</v>
      </c>
      <c r="AK6325" t="s">
        <v>30661</v>
      </c>
      <c r="AL6325" s="13" t="s">
        <v>1897</v>
      </c>
      <c r="AM6325">
        <v>0</v>
      </c>
      <c r="AN6325" s="15" t="s">
        <v>2703</v>
      </c>
    </row>
    <row r="6326" spans="1:40" x14ac:dyDescent="0.3">
      <c r="A6326" s="10" t="str">
        <f>HYPERLINK("http://www.washoecounty.gov/assessor/cama/?parid=234-161-21&amp;CardNumber=1","234-161-21")</f>
        <v>234-161-21</v>
      </c>
      <c r="B6326" t="s">
        <v>4655</v>
      </c>
      <c r="C6326" t="s">
        <v>30662</v>
      </c>
      <c r="D6326" s="1">
        <v>40479</v>
      </c>
      <c r="E6326" s="2">
        <v>379500</v>
      </c>
      <c r="F6326" t="s">
        <v>3174</v>
      </c>
      <c r="G6326" s="17" t="str">
        <f>HYPERLINK("https://www.washoecounty.gov/assessor/cama/?command=sales&amp;parid=23416121","3938006")</f>
        <v>3938006</v>
      </c>
      <c r="H6326" t="s">
        <v>1779</v>
      </c>
      <c r="I6326">
        <v>0</v>
      </c>
      <c r="J6326">
        <v>0</v>
      </c>
      <c r="K6326" t="s">
        <v>4655</v>
      </c>
      <c r="L6326" t="s">
        <v>4655</v>
      </c>
      <c r="M6326" s="2">
        <v>0</v>
      </c>
      <c r="N6326" t="s">
        <v>4655</v>
      </c>
      <c r="O6326">
        <v>0</v>
      </c>
      <c r="P6326">
        <v>0</v>
      </c>
      <c r="Q6326">
        <v>0</v>
      </c>
      <c r="R6326" t="s">
        <v>4655</v>
      </c>
      <c r="S6326" t="s">
        <v>4655</v>
      </c>
      <c r="T6326" t="s">
        <v>4655</v>
      </c>
      <c r="U6326" t="s">
        <v>4655</v>
      </c>
      <c r="V6326" s="2">
        <v>0</v>
      </c>
      <c r="W6326" t="s">
        <v>4655</v>
      </c>
      <c r="X6326" s="2">
        <v>0</v>
      </c>
      <c r="Y6326">
        <v>12</v>
      </c>
      <c r="Z6326" t="s">
        <v>1491</v>
      </c>
      <c r="AA6326" s="3">
        <v>0.32061523199081399</v>
      </c>
      <c r="AB6326" t="s">
        <v>4544</v>
      </c>
      <c r="AC6326" t="s">
        <v>4562</v>
      </c>
      <c r="AD6326" t="s">
        <v>3565</v>
      </c>
      <c r="AE6326" t="s">
        <v>4655</v>
      </c>
      <c r="AF6326" t="s">
        <v>4545</v>
      </c>
      <c r="AG6326" t="s">
        <v>4584</v>
      </c>
      <c r="AH6326" t="s">
        <v>4546</v>
      </c>
      <c r="AI6326" t="s">
        <v>30663</v>
      </c>
      <c r="AJ6326" t="s">
        <v>5327</v>
      </c>
      <c r="AK6326" t="s">
        <v>30664</v>
      </c>
      <c r="AL6326" s="13" t="s">
        <v>1897</v>
      </c>
      <c r="AM6326">
        <v>0</v>
      </c>
      <c r="AN6326" s="15" t="s">
        <v>2703</v>
      </c>
    </row>
    <row r="6327" spans="1:40" x14ac:dyDescent="0.3">
      <c r="A6327" s="10" t="str">
        <f>HYPERLINK("http://www.washoecounty.gov/assessor/cama/?parid=234-162-01&amp;CardNumber=1","234-162-01")</f>
        <v>234-162-01</v>
      </c>
      <c r="B6327" t="s">
        <v>4655</v>
      </c>
      <c r="C6327" t="s">
        <v>30665</v>
      </c>
      <c r="D6327" s="1">
        <v>40479</v>
      </c>
      <c r="E6327" s="2">
        <v>379500</v>
      </c>
      <c r="F6327" t="s">
        <v>3174</v>
      </c>
      <c r="G6327" s="17" t="str">
        <f>HYPERLINK("https://www.washoecounty.gov/assessor/cama/?command=sales&amp;parid=23416201","3938006")</f>
        <v>3938006</v>
      </c>
      <c r="H6327" t="s">
        <v>2529</v>
      </c>
      <c r="I6327">
        <v>0</v>
      </c>
      <c r="J6327">
        <v>0</v>
      </c>
      <c r="K6327" t="s">
        <v>4655</v>
      </c>
      <c r="L6327" t="s">
        <v>4655</v>
      </c>
      <c r="M6327" s="2">
        <v>0</v>
      </c>
      <c r="N6327" t="s">
        <v>4655</v>
      </c>
      <c r="O6327">
        <v>0</v>
      </c>
      <c r="P6327">
        <v>0</v>
      </c>
      <c r="Q6327">
        <v>0</v>
      </c>
      <c r="R6327" t="s">
        <v>4655</v>
      </c>
      <c r="S6327" t="s">
        <v>4655</v>
      </c>
      <c r="T6327" t="s">
        <v>4655</v>
      </c>
      <c r="U6327" t="s">
        <v>4655</v>
      </c>
      <c r="V6327" s="2">
        <v>0</v>
      </c>
      <c r="W6327" t="s">
        <v>4655</v>
      </c>
      <c r="X6327" s="2">
        <v>0</v>
      </c>
      <c r="Y6327">
        <v>12</v>
      </c>
      <c r="Z6327" t="s">
        <v>1491</v>
      </c>
      <c r="AA6327" s="3">
        <v>0.20583103597164201</v>
      </c>
      <c r="AB6327" t="s">
        <v>4544</v>
      </c>
      <c r="AC6327" t="s">
        <v>4562</v>
      </c>
      <c r="AD6327" t="s">
        <v>3565</v>
      </c>
      <c r="AE6327" t="s">
        <v>4655</v>
      </c>
      <c r="AF6327" t="s">
        <v>4545</v>
      </c>
      <c r="AG6327" t="s">
        <v>4584</v>
      </c>
      <c r="AH6327" t="s">
        <v>4546</v>
      </c>
      <c r="AI6327" t="s">
        <v>30660</v>
      </c>
      <c r="AJ6327" t="s">
        <v>2531</v>
      </c>
      <c r="AK6327" t="s">
        <v>30666</v>
      </c>
      <c r="AL6327" s="13" t="s">
        <v>1897</v>
      </c>
      <c r="AM6327" s="14">
        <v>0</v>
      </c>
      <c r="AN6327" s="15" t="s">
        <v>2703</v>
      </c>
    </row>
    <row r="6328" spans="1:40" x14ac:dyDescent="0.3">
      <c r="A6328" s="10" t="str">
        <f>HYPERLINK("http://www.washoecounty.gov/assessor/cama/?parid=234-162-02&amp;CardNumber=1","234-162-02")</f>
        <v>234-162-02</v>
      </c>
      <c r="B6328" t="s">
        <v>4655</v>
      </c>
      <c r="C6328" t="s">
        <v>30665</v>
      </c>
      <c r="D6328" s="1">
        <v>40479</v>
      </c>
      <c r="E6328" s="2">
        <v>379500</v>
      </c>
      <c r="F6328" t="s">
        <v>3174</v>
      </c>
      <c r="G6328" s="17" t="str">
        <f>HYPERLINK("https://www.washoecounty.gov/assessor/cama/?command=sales&amp;parid=23416202","3938006")</f>
        <v>3938006</v>
      </c>
      <c r="H6328" t="s">
        <v>2529</v>
      </c>
      <c r="I6328">
        <v>0</v>
      </c>
      <c r="J6328">
        <v>0</v>
      </c>
      <c r="K6328" t="s">
        <v>4655</v>
      </c>
      <c r="L6328" t="s">
        <v>4655</v>
      </c>
      <c r="M6328" s="2">
        <v>0</v>
      </c>
      <c r="N6328" t="s">
        <v>4655</v>
      </c>
      <c r="O6328">
        <v>0</v>
      </c>
      <c r="P6328">
        <v>0</v>
      </c>
      <c r="Q6328">
        <v>0</v>
      </c>
      <c r="R6328" t="s">
        <v>4655</v>
      </c>
      <c r="S6328" t="s">
        <v>4655</v>
      </c>
      <c r="T6328" t="s">
        <v>4655</v>
      </c>
      <c r="U6328" t="s">
        <v>4655</v>
      </c>
      <c r="V6328" s="2">
        <v>0</v>
      </c>
      <c r="W6328" t="s">
        <v>4655</v>
      </c>
      <c r="X6328" s="2">
        <v>0</v>
      </c>
      <c r="Y6328">
        <v>12</v>
      </c>
      <c r="Z6328" t="s">
        <v>1491</v>
      </c>
      <c r="AA6328" s="3">
        <v>0.201331496238708</v>
      </c>
      <c r="AB6328" t="s">
        <v>4544</v>
      </c>
      <c r="AC6328" t="s">
        <v>4562</v>
      </c>
      <c r="AD6328" t="s">
        <v>3565</v>
      </c>
      <c r="AE6328" t="s">
        <v>4655</v>
      </c>
      <c r="AF6328" t="s">
        <v>4545</v>
      </c>
      <c r="AG6328" t="s">
        <v>4584</v>
      </c>
      <c r="AH6328" t="s">
        <v>4546</v>
      </c>
      <c r="AI6328" t="s">
        <v>30657</v>
      </c>
      <c r="AJ6328" t="s">
        <v>2531</v>
      </c>
      <c r="AK6328" t="s">
        <v>30667</v>
      </c>
      <c r="AL6328" s="13" t="s">
        <v>1897</v>
      </c>
      <c r="AM6328" s="14">
        <v>0</v>
      </c>
      <c r="AN6328" s="15" t="s">
        <v>2703</v>
      </c>
    </row>
    <row r="6329" spans="1:40" x14ac:dyDescent="0.3">
      <c r="A6329" s="10" t="str">
        <f>HYPERLINK("http://www.washoecounty.gov/assessor/cama/?parid=234-162-03&amp;CardNumber=1","234-162-03")</f>
        <v>234-162-03</v>
      </c>
      <c r="B6329" t="s">
        <v>4655</v>
      </c>
      <c r="C6329" t="s">
        <v>30665</v>
      </c>
      <c r="D6329" s="1">
        <v>40479</v>
      </c>
      <c r="E6329" s="2">
        <v>379500</v>
      </c>
      <c r="F6329" t="s">
        <v>3174</v>
      </c>
      <c r="G6329" s="17" t="str">
        <f>HYPERLINK("https://www.washoecounty.gov/assessor/cama/?command=sales&amp;parid=23416203","3938006")</f>
        <v>3938006</v>
      </c>
      <c r="H6329" t="s">
        <v>2529</v>
      </c>
      <c r="I6329">
        <v>0</v>
      </c>
      <c r="J6329">
        <v>0</v>
      </c>
      <c r="K6329" t="s">
        <v>4655</v>
      </c>
      <c r="L6329" t="s">
        <v>4655</v>
      </c>
      <c r="M6329" s="2">
        <v>0</v>
      </c>
      <c r="N6329" t="s">
        <v>4655</v>
      </c>
      <c r="O6329">
        <v>0</v>
      </c>
      <c r="P6329">
        <v>0</v>
      </c>
      <c r="Q6329">
        <v>0</v>
      </c>
      <c r="R6329" t="s">
        <v>4655</v>
      </c>
      <c r="S6329" t="s">
        <v>4655</v>
      </c>
      <c r="T6329" t="s">
        <v>4655</v>
      </c>
      <c r="U6329" t="s">
        <v>4655</v>
      </c>
      <c r="V6329" s="2">
        <v>0</v>
      </c>
      <c r="W6329" t="s">
        <v>4655</v>
      </c>
      <c r="X6329" s="2">
        <v>0</v>
      </c>
      <c r="Y6329">
        <v>12</v>
      </c>
      <c r="Z6329" t="s">
        <v>1491</v>
      </c>
      <c r="AA6329" s="3">
        <v>0.215197429060936</v>
      </c>
      <c r="AB6329" t="s">
        <v>4544</v>
      </c>
      <c r="AC6329" t="s">
        <v>4562</v>
      </c>
      <c r="AD6329" t="s">
        <v>3565</v>
      </c>
      <c r="AE6329" t="s">
        <v>4655</v>
      </c>
      <c r="AF6329" t="s">
        <v>4545</v>
      </c>
      <c r="AG6329" t="s">
        <v>4584</v>
      </c>
      <c r="AH6329" t="s">
        <v>4546</v>
      </c>
      <c r="AI6329" t="s">
        <v>30660</v>
      </c>
      <c r="AJ6329" t="s">
        <v>2531</v>
      </c>
      <c r="AK6329" t="s">
        <v>30668</v>
      </c>
      <c r="AL6329" s="13" t="s">
        <v>1897</v>
      </c>
      <c r="AM6329" s="14">
        <v>0</v>
      </c>
      <c r="AN6329" s="15" t="s">
        <v>2703</v>
      </c>
    </row>
    <row r="6330" spans="1:40" x14ac:dyDescent="0.3">
      <c r="A6330" s="10" t="str">
        <f>HYPERLINK("http://www.washoecounty.gov/assessor/cama/?parid=234-162-04&amp;CardNumber=1","234-162-04")</f>
        <v>234-162-04</v>
      </c>
      <c r="B6330" t="s">
        <v>4655</v>
      </c>
      <c r="C6330" s="20" t="s">
        <v>283</v>
      </c>
      <c r="D6330" s="1">
        <v>40479</v>
      </c>
      <c r="E6330" s="2">
        <v>379500</v>
      </c>
      <c r="F6330" t="s">
        <v>3174</v>
      </c>
      <c r="G6330" s="20" t="s">
        <v>282</v>
      </c>
      <c r="H6330" t="s">
        <v>2529</v>
      </c>
      <c r="I6330">
        <v>0</v>
      </c>
      <c r="J6330">
        <v>0</v>
      </c>
      <c r="K6330" t="s">
        <v>4655</v>
      </c>
      <c r="L6330" t="s">
        <v>4655</v>
      </c>
      <c r="M6330" s="2">
        <v>0</v>
      </c>
      <c r="N6330" t="s">
        <v>4655</v>
      </c>
      <c r="O6330">
        <v>0</v>
      </c>
      <c r="P6330">
        <v>0</v>
      </c>
      <c r="Q6330">
        <v>0</v>
      </c>
      <c r="R6330" t="s">
        <v>4655</v>
      </c>
      <c r="S6330" t="s">
        <v>4655</v>
      </c>
      <c r="T6330" t="s">
        <v>4655</v>
      </c>
      <c r="U6330" t="s">
        <v>4655</v>
      </c>
      <c r="V6330" s="2">
        <v>0</v>
      </c>
      <c r="W6330" t="s">
        <v>4655</v>
      </c>
      <c r="X6330" s="2">
        <v>0</v>
      </c>
      <c r="Y6330">
        <v>12</v>
      </c>
      <c r="Z6330" t="s">
        <v>1491</v>
      </c>
      <c r="AA6330" s="3">
        <v>0.235422402620316</v>
      </c>
      <c r="AB6330" s="20" t="s">
        <v>8865</v>
      </c>
      <c r="AD6330" t="s">
        <v>283</v>
      </c>
      <c r="AE6330" t="s">
        <v>283</v>
      </c>
      <c r="AF6330" t="s">
        <v>283</v>
      </c>
      <c r="AG6330" t="s">
        <v>4564</v>
      </c>
      <c r="AH6330" t="s">
        <v>3101</v>
      </c>
      <c r="AI6330" t="s">
        <v>8865</v>
      </c>
      <c r="AJ6330" t="s">
        <v>2531</v>
      </c>
      <c r="AK6330" t="s">
        <v>8865</v>
      </c>
      <c r="AL6330" s="13" t="s">
        <v>1897</v>
      </c>
      <c r="AM6330" s="14">
        <v>0</v>
      </c>
      <c r="AN6330" s="15" t="s">
        <v>2703</v>
      </c>
    </row>
    <row r="6331" spans="1:40" x14ac:dyDescent="0.3">
      <c r="A6331" s="10" t="str">
        <f>HYPERLINK("http://www.washoecounty.gov/assessor/cama/?parid=234-171-03&amp;CardNumber=1","234-171-03")</f>
        <v>234-171-03</v>
      </c>
      <c r="B6331" t="s">
        <v>4655</v>
      </c>
      <c r="C6331" t="s">
        <v>30665</v>
      </c>
      <c r="D6331" s="1">
        <v>40479</v>
      </c>
      <c r="E6331" s="2">
        <v>379500</v>
      </c>
      <c r="F6331" t="s">
        <v>3174</v>
      </c>
      <c r="G6331" s="17" t="str">
        <f>HYPERLINK("https://www.washoecounty.gov/assessor/cama/?command=sales&amp;parid=23417103","3938006")</f>
        <v>3938006</v>
      </c>
      <c r="H6331" t="s">
        <v>2529</v>
      </c>
      <c r="I6331">
        <v>0</v>
      </c>
      <c r="J6331">
        <v>0</v>
      </c>
      <c r="K6331" t="s">
        <v>4655</v>
      </c>
      <c r="L6331" t="s">
        <v>4655</v>
      </c>
      <c r="M6331" s="2">
        <v>0</v>
      </c>
      <c r="N6331" t="s">
        <v>4655</v>
      </c>
      <c r="O6331">
        <v>0</v>
      </c>
      <c r="P6331">
        <v>0</v>
      </c>
      <c r="Q6331">
        <v>0</v>
      </c>
      <c r="R6331" t="s">
        <v>4655</v>
      </c>
      <c r="S6331" t="s">
        <v>4655</v>
      </c>
      <c r="T6331" t="s">
        <v>4655</v>
      </c>
      <c r="U6331" t="s">
        <v>4655</v>
      </c>
      <c r="V6331" s="2">
        <v>0</v>
      </c>
      <c r="W6331" t="s">
        <v>4655</v>
      </c>
      <c r="X6331" s="2">
        <v>0</v>
      </c>
      <c r="Y6331">
        <v>12</v>
      </c>
      <c r="Z6331" t="s">
        <v>1491</v>
      </c>
      <c r="AA6331" s="3">
        <v>0.33133608102798501</v>
      </c>
      <c r="AB6331" t="s">
        <v>4544</v>
      </c>
      <c r="AC6331" t="s">
        <v>4562</v>
      </c>
      <c r="AD6331" t="s">
        <v>3565</v>
      </c>
      <c r="AE6331" t="s">
        <v>4655</v>
      </c>
      <c r="AF6331" t="s">
        <v>4545</v>
      </c>
      <c r="AG6331" t="s">
        <v>4584</v>
      </c>
      <c r="AH6331" t="s">
        <v>4546</v>
      </c>
      <c r="AI6331" t="s">
        <v>30657</v>
      </c>
      <c r="AJ6331" t="s">
        <v>2531</v>
      </c>
      <c r="AK6331" t="s">
        <v>30669</v>
      </c>
      <c r="AL6331" s="13" t="s">
        <v>1897</v>
      </c>
      <c r="AM6331">
        <v>0</v>
      </c>
      <c r="AN6331" s="15" t="s">
        <v>2703</v>
      </c>
    </row>
    <row r="6332" spans="1:40" x14ac:dyDescent="0.3">
      <c r="A6332" s="10" t="str">
        <f>HYPERLINK("http://www.washoecounty.gov/assessor/cama/?parid=234-171-04&amp;CardNumber=1","234-171-04")</f>
        <v>234-171-04</v>
      </c>
      <c r="B6332" t="s">
        <v>4655</v>
      </c>
      <c r="C6332" t="s">
        <v>30665</v>
      </c>
      <c r="D6332" s="1">
        <v>40479</v>
      </c>
      <c r="E6332" s="2">
        <v>379500</v>
      </c>
      <c r="F6332" t="s">
        <v>3174</v>
      </c>
      <c r="G6332" s="17" t="str">
        <f>HYPERLINK("https://www.washoecounty.gov/assessor/cama/?command=sales&amp;parid=23417104","3938006")</f>
        <v>3938006</v>
      </c>
      <c r="H6332" t="s">
        <v>2529</v>
      </c>
      <c r="I6332">
        <v>0</v>
      </c>
      <c r="J6332">
        <v>0</v>
      </c>
      <c r="K6332" t="s">
        <v>4655</v>
      </c>
      <c r="L6332" t="s">
        <v>4655</v>
      </c>
      <c r="M6332" s="2">
        <v>0</v>
      </c>
      <c r="N6332" t="s">
        <v>4655</v>
      </c>
      <c r="O6332">
        <v>0</v>
      </c>
      <c r="P6332">
        <v>0</v>
      </c>
      <c r="Q6332">
        <v>0</v>
      </c>
      <c r="R6332" t="s">
        <v>4655</v>
      </c>
      <c r="S6332" t="s">
        <v>4655</v>
      </c>
      <c r="T6332" t="s">
        <v>4655</v>
      </c>
      <c r="U6332" t="s">
        <v>4655</v>
      </c>
      <c r="V6332" s="2">
        <v>0</v>
      </c>
      <c r="W6332" t="s">
        <v>4655</v>
      </c>
      <c r="X6332" s="2">
        <v>0</v>
      </c>
      <c r="Y6332">
        <v>12</v>
      </c>
      <c r="Z6332" t="s">
        <v>1491</v>
      </c>
      <c r="AA6332" s="3">
        <v>0.33133608102798501</v>
      </c>
      <c r="AB6332" t="s">
        <v>4544</v>
      </c>
      <c r="AC6332" t="s">
        <v>4562</v>
      </c>
      <c r="AD6332" t="s">
        <v>3565</v>
      </c>
      <c r="AE6332" t="s">
        <v>4655</v>
      </c>
      <c r="AF6332" t="s">
        <v>4545</v>
      </c>
      <c r="AG6332" t="s">
        <v>4584</v>
      </c>
      <c r="AH6332" t="s">
        <v>4546</v>
      </c>
      <c r="AI6332" t="s">
        <v>30670</v>
      </c>
      <c r="AJ6332" t="s">
        <v>2531</v>
      </c>
      <c r="AK6332" t="s">
        <v>30671</v>
      </c>
      <c r="AL6332" s="13" t="s">
        <v>1897</v>
      </c>
      <c r="AM6332">
        <v>0</v>
      </c>
      <c r="AN6332" s="15" t="s">
        <v>2703</v>
      </c>
    </row>
    <row r="6333" spans="1:40" x14ac:dyDescent="0.3">
      <c r="A6333" s="10" t="str">
        <f>HYPERLINK("http://www.washoecounty.gov/assessor/cama/?parid=234-171-06&amp;CardNumber=1","234-171-06")</f>
        <v>234-171-06</v>
      </c>
      <c r="B6333" t="s">
        <v>4655</v>
      </c>
      <c r="C6333" t="s">
        <v>30665</v>
      </c>
      <c r="D6333" s="1">
        <v>40479</v>
      </c>
      <c r="E6333" s="2">
        <v>379500</v>
      </c>
      <c r="F6333" t="s">
        <v>3174</v>
      </c>
      <c r="G6333" s="17" t="str">
        <f>HYPERLINK("https://www.washoecounty.gov/assessor/cama/?command=sales&amp;parid=23417106","3938006")</f>
        <v>3938006</v>
      </c>
      <c r="H6333" t="s">
        <v>2529</v>
      </c>
      <c r="I6333">
        <v>0</v>
      </c>
      <c r="J6333">
        <v>0</v>
      </c>
      <c r="K6333" t="s">
        <v>4655</v>
      </c>
      <c r="L6333" t="s">
        <v>4655</v>
      </c>
      <c r="M6333" s="2">
        <v>0</v>
      </c>
      <c r="N6333" t="s">
        <v>4655</v>
      </c>
      <c r="O6333">
        <v>0</v>
      </c>
      <c r="P6333">
        <v>0</v>
      </c>
      <c r="Q6333">
        <v>0</v>
      </c>
      <c r="R6333" t="s">
        <v>4655</v>
      </c>
      <c r="S6333" t="s">
        <v>4655</v>
      </c>
      <c r="T6333" t="s">
        <v>4655</v>
      </c>
      <c r="U6333" t="s">
        <v>4655</v>
      </c>
      <c r="V6333" s="2">
        <v>0</v>
      </c>
      <c r="W6333" t="s">
        <v>4655</v>
      </c>
      <c r="X6333" s="2">
        <v>0</v>
      </c>
      <c r="Y6333">
        <v>12</v>
      </c>
      <c r="Z6333" t="s">
        <v>1491</v>
      </c>
      <c r="AA6333" s="3">
        <v>0.33133608102798501</v>
      </c>
      <c r="AB6333" t="s">
        <v>4544</v>
      </c>
      <c r="AC6333" t="s">
        <v>4562</v>
      </c>
      <c r="AD6333" t="s">
        <v>3565</v>
      </c>
      <c r="AE6333" t="s">
        <v>4655</v>
      </c>
      <c r="AF6333" t="s">
        <v>4545</v>
      </c>
      <c r="AG6333" t="s">
        <v>4584</v>
      </c>
      <c r="AH6333" t="s">
        <v>4546</v>
      </c>
      <c r="AI6333" t="s">
        <v>30663</v>
      </c>
      <c r="AJ6333" t="s">
        <v>30672</v>
      </c>
      <c r="AK6333" t="s">
        <v>30673</v>
      </c>
      <c r="AL6333" s="13" t="s">
        <v>1897</v>
      </c>
      <c r="AM6333" s="14">
        <v>0</v>
      </c>
      <c r="AN6333" s="15" t="s">
        <v>2703</v>
      </c>
    </row>
    <row r="6334" spans="1:40" x14ac:dyDescent="0.3">
      <c r="A6334" s="10" t="str">
        <f>HYPERLINK("http://www.washoecounty.gov/assessor/cama/?parid=234-171-07&amp;CardNumber=1","234-171-07")</f>
        <v>234-171-07</v>
      </c>
      <c r="B6334" t="s">
        <v>4655</v>
      </c>
      <c r="C6334" t="s">
        <v>30665</v>
      </c>
      <c r="D6334" s="1">
        <v>40479</v>
      </c>
      <c r="E6334" s="2">
        <v>379500</v>
      </c>
      <c r="F6334" t="s">
        <v>3174</v>
      </c>
      <c r="G6334" s="17" t="str">
        <f>HYPERLINK("https://www.washoecounty.gov/assessor/cama/?command=sales&amp;parid=23417107","3938006")</f>
        <v>3938006</v>
      </c>
      <c r="H6334" t="s">
        <v>2529</v>
      </c>
      <c r="I6334">
        <v>0</v>
      </c>
      <c r="J6334">
        <v>0</v>
      </c>
      <c r="K6334" t="s">
        <v>4655</v>
      </c>
      <c r="L6334" t="s">
        <v>4655</v>
      </c>
      <c r="M6334" s="2">
        <v>0</v>
      </c>
      <c r="N6334" t="s">
        <v>4655</v>
      </c>
      <c r="O6334">
        <v>0</v>
      </c>
      <c r="P6334">
        <v>0</v>
      </c>
      <c r="Q6334">
        <v>0</v>
      </c>
      <c r="R6334" t="s">
        <v>4655</v>
      </c>
      <c r="S6334" t="s">
        <v>4655</v>
      </c>
      <c r="T6334" t="s">
        <v>4655</v>
      </c>
      <c r="U6334" t="s">
        <v>4655</v>
      </c>
      <c r="V6334" s="2">
        <v>0</v>
      </c>
      <c r="W6334" t="s">
        <v>4655</v>
      </c>
      <c r="X6334" s="2">
        <v>0</v>
      </c>
      <c r="Y6334">
        <v>12</v>
      </c>
      <c r="Z6334" t="s">
        <v>1491</v>
      </c>
      <c r="AA6334" s="3">
        <v>0.33133608102798501</v>
      </c>
      <c r="AB6334" t="s">
        <v>4544</v>
      </c>
      <c r="AC6334" t="s">
        <v>4562</v>
      </c>
      <c r="AD6334" t="s">
        <v>3565</v>
      </c>
      <c r="AE6334" t="s">
        <v>4655</v>
      </c>
      <c r="AF6334" t="s">
        <v>4545</v>
      </c>
      <c r="AG6334" t="s">
        <v>4584</v>
      </c>
      <c r="AH6334" t="s">
        <v>4546</v>
      </c>
      <c r="AI6334" t="s">
        <v>30674</v>
      </c>
      <c r="AJ6334" t="s">
        <v>2531</v>
      </c>
      <c r="AK6334" t="s">
        <v>30675</v>
      </c>
      <c r="AL6334" s="13" t="s">
        <v>1897</v>
      </c>
      <c r="AM6334">
        <v>0</v>
      </c>
      <c r="AN6334" s="15" t="s">
        <v>2703</v>
      </c>
    </row>
    <row r="6335" spans="1:40" x14ac:dyDescent="0.3">
      <c r="A6335" s="10" t="str">
        <f>HYPERLINK("http://www.washoecounty.gov/assessor/cama/?parid=234-171-10&amp;CardNumber=1","234-171-10")</f>
        <v>234-171-10</v>
      </c>
      <c r="B6335" t="s">
        <v>4655</v>
      </c>
      <c r="C6335" t="s">
        <v>30676</v>
      </c>
      <c r="D6335" s="1">
        <v>40346</v>
      </c>
      <c r="E6335" s="2">
        <v>305000</v>
      </c>
      <c r="F6335" t="s">
        <v>4567</v>
      </c>
      <c r="G6335" s="17" t="str">
        <f>HYPERLINK("https://www.washoecounty.gov/assessor/cama/?command=sales&amp;parid=23417110","3892773")</f>
        <v>3892773</v>
      </c>
      <c r="H6335" t="s">
        <v>2529</v>
      </c>
      <c r="I6335">
        <v>2005</v>
      </c>
      <c r="J6335">
        <v>2005</v>
      </c>
      <c r="K6335" t="s">
        <v>4554</v>
      </c>
      <c r="L6335" t="s">
        <v>4555</v>
      </c>
      <c r="M6335" s="2">
        <v>2175</v>
      </c>
      <c r="N6335" t="s">
        <v>3887</v>
      </c>
      <c r="O6335">
        <v>2</v>
      </c>
      <c r="P6335">
        <v>2</v>
      </c>
      <c r="Q6335">
        <v>0</v>
      </c>
      <c r="R6335" t="s">
        <v>5281</v>
      </c>
      <c r="S6335" t="s">
        <v>4898</v>
      </c>
      <c r="T6335" t="s">
        <v>2704</v>
      </c>
      <c r="U6335" t="s">
        <v>4560</v>
      </c>
      <c r="V6335" s="2">
        <v>643</v>
      </c>
      <c r="W6335" t="s">
        <v>4655</v>
      </c>
      <c r="X6335" s="2">
        <v>0</v>
      </c>
      <c r="Y6335">
        <v>20</v>
      </c>
      <c r="Z6335" t="s">
        <v>1491</v>
      </c>
      <c r="AA6335" s="3">
        <v>0.21829660236835499</v>
      </c>
      <c r="AB6335" t="s">
        <v>30677</v>
      </c>
      <c r="AC6335" t="s">
        <v>4562</v>
      </c>
      <c r="AD6335" t="s">
        <v>30676</v>
      </c>
      <c r="AE6335" t="s">
        <v>4655</v>
      </c>
      <c r="AF6335" t="s">
        <v>4563</v>
      </c>
      <c r="AG6335" t="s">
        <v>4564</v>
      </c>
      <c r="AH6335" t="s">
        <v>1147</v>
      </c>
      <c r="AI6335" t="s">
        <v>30678</v>
      </c>
      <c r="AJ6335" t="s">
        <v>2531</v>
      </c>
      <c r="AK6335" t="s">
        <v>30679</v>
      </c>
      <c r="AL6335" s="13" t="s">
        <v>1897</v>
      </c>
      <c r="AM6335">
        <v>1</v>
      </c>
      <c r="AN6335" s="15" t="s">
        <v>2703</v>
      </c>
    </row>
    <row r="6336" spans="1:40" x14ac:dyDescent="0.3">
      <c r="A6336" s="10" t="str">
        <f>HYPERLINK("http://www.washoecounty.gov/assessor/cama/?parid=234-172-07&amp;CardNumber=1","234-172-07")</f>
        <v>234-172-07</v>
      </c>
      <c r="B6336" t="s">
        <v>4655</v>
      </c>
      <c r="C6336" t="s">
        <v>30680</v>
      </c>
      <c r="D6336" s="1">
        <v>40326</v>
      </c>
      <c r="E6336" s="2">
        <v>240000</v>
      </c>
      <c r="F6336" t="s">
        <v>4553</v>
      </c>
      <c r="G6336" s="17" t="str">
        <f>HYPERLINK("https://www.washoecounty.gov/assessor/cama/?command=sales&amp;parid=23417207","3886653")</f>
        <v>3886653</v>
      </c>
      <c r="H6336" t="s">
        <v>2529</v>
      </c>
      <c r="I6336">
        <v>2005</v>
      </c>
      <c r="J6336">
        <v>2005</v>
      </c>
      <c r="K6336" t="s">
        <v>4554</v>
      </c>
      <c r="L6336" t="s">
        <v>4555</v>
      </c>
      <c r="M6336" s="2">
        <v>2175</v>
      </c>
      <c r="N6336" t="s">
        <v>3887</v>
      </c>
      <c r="O6336">
        <v>3</v>
      </c>
      <c r="P6336">
        <v>2</v>
      </c>
      <c r="Q6336">
        <v>0</v>
      </c>
      <c r="R6336" t="s">
        <v>5281</v>
      </c>
      <c r="S6336" t="s">
        <v>4898</v>
      </c>
      <c r="T6336" t="s">
        <v>2704</v>
      </c>
      <c r="U6336" t="s">
        <v>4560</v>
      </c>
      <c r="V6336" s="2">
        <v>643</v>
      </c>
      <c r="W6336" t="s">
        <v>4655</v>
      </c>
      <c r="X6336" s="2">
        <v>0</v>
      </c>
      <c r="Y6336">
        <v>20</v>
      </c>
      <c r="Z6336" t="s">
        <v>1491</v>
      </c>
      <c r="AA6336" s="3">
        <v>0.19511018693447099</v>
      </c>
      <c r="AB6336" t="s">
        <v>30681</v>
      </c>
      <c r="AC6336" t="s">
        <v>4562</v>
      </c>
      <c r="AD6336" t="s">
        <v>30682</v>
      </c>
      <c r="AE6336" t="s">
        <v>4655</v>
      </c>
      <c r="AF6336" t="s">
        <v>30683</v>
      </c>
      <c r="AG6336" t="s">
        <v>4584</v>
      </c>
      <c r="AH6336" t="s">
        <v>2530</v>
      </c>
      <c r="AI6336" t="s">
        <v>30684</v>
      </c>
      <c r="AJ6336" t="s">
        <v>2531</v>
      </c>
      <c r="AK6336" t="s">
        <v>30685</v>
      </c>
      <c r="AL6336" s="13" t="s">
        <v>1897</v>
      </c>
      <c r="AM6336">
        <v>1</v>
      </c>
      <c r="AN6336" s="15" t="s">
        <v>2703</v>
      </c>
    </row>
    <row r="6337" spans="1:40" x14ac:dyDescent="0.3">
      <c r="A6337" s="10" t="str">
        <f>HYPERLINK("http://www.washoecounty.gov/assessor/cama/?parid=234-173-05&amp;CardNumber=1","234-173-05")</f>
        <v>234-173-05</v>
      </c>
      <c r="B6337" t="s">
        <v>4655</v>
      </c>
      <c r="C6337" t="s">
        <v>30686</v>
      </c>
      <c r="D6337" s="1">
        <v>40532</v>
      </c>
      <c r="E6337" s="2">
        <v>327000</v>
      </c>
      <c r="F6337" t="s">
        <v>4567</v>
      </c>
      <c r="G6337" s="17" t="str">
        <f>HYPERLINK("https://www.washoecounty.gov/assessor/cama/?command=sales&amp;parid=23417305","3955567")</f>
        <v>3955567</v>
      </c>
      <c r="H6337" t="s">
        <v>2529</v>
      </c>
      <c r="I6337">
        <v>2005</v>
      </c>
      <c r="J6337">
        <v>2005</v>
      </c>
      <c r="K6337" t="s">
        <v>4554</v>
      </c>
      <c r="L6337" t="s">
        <v>4555</v>
      </c>
      <c r="M6337" s="2">
        <v>2660</v>
      </c>
      <c r="N6337" t="s">
        <v>3887</v>
      </c>
      <c r="O6337">
        <v>3</v>
      </c>
      <c r="P6337">
        <v>2</v>
      </c>
      <c r="Q6337">
        <v>1</v>
      </c>
      <c r="R6337" t="s">
        <v>5281</v>
      </c>
      <c r="S6337" t="s">
        <v>4898</v>
      </c>
      <c r="T6337" t="s">
        <v>2704</v>
      </c>
      <c r="U6337" t="s">
        <v>4560</v>
      </c>
      <c r="V6337" s="2">
        <v>472</v>
      </c>
      <c r="W6337" t="s">
        <v>4655</v>
      </c>
      <c r="X6337" s="2">
        <v>0</v>
      </c>
      <c r="Y6337">
        <v>20</v>
      </c>
      <c r="Z6337" t="s">
        <v>1491</v>
      </c>
      <c r="AA6337" s="3">
        <v>0.210376486182213</v>
      </c>
      <c r="AB6337" t="s">
        <v>30687</v>
      </c>
      <c r="AC6337" t="s">
        <v>4562</v>
      </c>
      <c r="AD6337" t="s">
        <v>30686</v>
      </c>
      <c r="AE6337" t="s">
        <v>4655</v>
      </c>
      <c r="AF6337" t="s">
        <v>4563</v>
      </c>
      <c r="AG6337" t="s">
        <v>4564</v>
      </c>
      <c r="AH6337" t="s">
        <v>1147</v>
      </c>
      <c r="AI6337" t="s">
        <v>30688</v>
      </c>
      <c r="AJ6337" t="s">
        <v>2531</v>
      </c>
      <c r="AK6337" t="s">
        <v>30689</v>
      </c>
      <c r="AL6337" s="13" t="s">
        <v>1897</v>
      </c>
      <c r="AM6337">
        <v>1</v>
      </c>
      <c r="AN6337" s="15" t="s">
        <v>2703</v>
      </c>
    </row>
    <row r="6338" spans="1:40" x14ac:dyDescent="0.3">
      <c r="A6338" s="10" t="str">
        <f>HYPERLINK("http://www.washoecounty.gov/assessor/cama/?parid=234-191-06&amp;CardNumber=1","234-191-06")</f>
        <v>234-191-06</v>
      </c>
      <c r="B6338" t="s">
        <v>4655</v>
      </c>
      <c r="C6338" t="s">
        <v>30690</v>
      </c>
      <c r="D6338" s="1">
        <v>40434</v>
      </c>
      <c r="E6338" s="2">
        <v>650000</v>
      </c>
      <c r="F6338" t="s">
        <v>4567</v>
      </c>
      <c r="G6338" s="17" t="str">
        <f>HYPERLINK("https://www.washoecounty.gov/assessor/cama/?command=sales&amp;parid=23419106","3921516")</f>
        <v>3921516</v>
      </c>
      <c r="H6338" t="s">
        <v>1779</v>
      </c>
      <c r="I6338">
        <v>2007</v>
      </c>
      <c r="J6338">
        <v>2007</v>
      </c>
      <c r="K6338" t="s">
        <v>4554</v>
      </c>
      <c r="L6338" t="s">
        <v>4555</v>
      </c>
      <c r="M6338" s="2">
        <v>3707</v>
      </c>
      <c r="N6338" t="s">
        <v>2008</v>
      </c>
      <c r="O6338">
        <v>3</v>
      </c>
      <c r="P6338">
        <v>4</v>
      </c>
      <c r="Q6338">
        <v>0</v>
      </c>
      <c r="R6338" t="s">
        <v>5281</v>
      </c>
      <c r="S6338" t="s">
        <v>4898</v>
      </c>
      <c r="T6338" t="s">
        <v>2704</v>
      </c>
      <c r="U6338" t="s">
        <v>4560</v>
      </c>
      <c r="V6338" s="2">
        <v>1073</v>
      </c>
      <c r="W6338" t="s">
        <v>4655</v>
      </c>
      <c r="X6338" s="2">
        <v>0</v>
      </c>
      <c r="Y6338">
        <v>20</v>
      </c>
      <c r="Z6338" t="s">
        <v>1491</v>
      </c>
      <c r="AA6338" s="3">
        <v>0.64230948686599698</v>
      </c>
      <c r="AB6338" t="s">
        <v>30691</v>
      </c>
      <c r="AC6338" t="s">
        <v>4575</v>
      </c>
      <c r="AD6338" t="s">
        <v>30690</v>
      </c>
      <c r="AE6338" t="s">
        <v>4655</v>
      </c>
      <c r="AF6338" t="s">
        <v>4563</v>
      </c>
      <c r="AG6338" t="s">
        <v>4564</v>
      </c>
      <c r="AH6338" t="s">
        <v>1147</v>
      </c>
      <c r="AI6338" t="s">
        <v>30692</v>
      </c>
      <c r="AJ6338" t="s">
        <v>1780</v>
      </c>
      <c r="AK6338" t="s">
        <v>30693</v>
      </c>
      <c r="AL6338" s="13" t="s">
        <v>1897</v>
      </c>
      <c r="AM6338">
        <v>1</v>
      </c>
      <c r="AN6338" s="15" t="s">
        <v>4603</v>
      </c>
    </row>
    <row r="6339" spans="1:40" x14ac:dyDescent="0.3">
      <c r="A6339" s="10" t="str">
        <f>HYPERLINK("http://www.washoecounty.gov/assessor/cama/?parid=234-192-02&amp;CardNumber=1","234-192-02")</f>
        <v>234-192-02</v>
      </c>
      <c r="B6339" t="s">
        <v>4655</v>
      </c>
      <c r="C6339" t="s">
        <v>30694</v>
      </c>
      <c r="D6339" s="1">
        <v>40452</v>
      </c>
      <c r="E6339" s="2">
        <v>50086</v>
      </c>
      <c r="F6339" t="s">
        <v>3512</v>
      </c>
      <c r="G6339" s="17" t="str">
        <f>HYPERLINK("https://www.washoecounty.gov/assessor/cama/?command=sales&amp;parid=23419202","3928520")</f>
        <v>3928520</v>
      </c>
      <c r="H6339" t="s">
        <v>1779</v>
      </c>
      <c r="I6339">
        <v>0</v>
      </c>
      <c r="J6339">
        <v>0</v>
      </c>
      <c r="K6339" t="s">
        <v>4655</v>
      </c>
      <c r="L6339" t="s">
        <v>4655</v>
      </c>
      <c r="M6339" s="2">
        <v>0</v>
      </c>
      <c r="N6339" t="s">
        <v>4655</v>
      </c>
      <c r="O6339">
        <v>0</v>
      </c>
      <c r="P6339">
        <v>0</v>
      </c>
      <c r="Q6339">
        <v>0</v>
      </c>
      <c r="R6339" t="s">
        <v>4655</v>
      </c>
      <c r="S6339" t="s">
        <v>4655</v>
      </c>
      <c r="T6339" t="s">
        <v>4655</v>
      </c>
      <c r="U6339" t="s">
        <v>4655</v>
      </c>
      <c r="V6339" s="2">
        <v>0</v>
      </c>
      <c r="W6339" t="s">
        <v>4655</v>
      </c>
      <c r="X6339" s="2">
        <v>0</v>
      </c>
      <c r="Y6339">
        <v>12</v>
      </c>
      <c r="Z6339" t="s">
        <v>1491</v>
      </c>
      <c r="AA6339" s="3">
        <v>0.65668046474456698</v>
      </c>
      <c r="AB6339" t="s">
        <v>5494</v>
      </c>
      <c r="AC6339" t="s">
        <v>4562</v>
      </c>
      <c r="AD6339" t="s">
        <v>5495</v>
      </c>
      <c r="AE6339" t="s">
        <v>4655</v>
      </c>
      <c r="AF6339" t="s">
        <v>4563</v>
      </c>
      <c r="AG6339" t="s">
        <v>4564</v>
      </c>
      <c r="AH6339">
        <v>89511</v>
      </c>
      <c r="AI6339" t="s">
        <v>30695</v>
      </c>
      <c r="AJ6339" t="s">
        <v>1780</v>
      </c>
      <c r="AK6339" t="s">
        <v>30696</v>
      </c>
      <c r="AL6339" s="13" t="s">
        <v>1897</v>
      </c>
      <c r="AM6339" s="14">
        <v>0</v>
      </c>
      <c r="AN6339" s="15" t="s">
        <v>4603</v>
      </c>
    </row>
    <row r="6340" spans="1:40" x14ac:dyDescent="0.3">
      <c r="A6340" s="10" t="str">
        <f>HYPERLINK("http://www.washoecounty.gov/assessor/cama/?parid=234-211-10&amp;CardNumber=1","234-211-10")</f>
        <v>234-211-10</v>
      </c>
      <c r="B6340" t="s">
        <v>4655</v>
      </c>
      <c r="C6340" t="s">
        <v>30697</v>
      </c>
      <c r="D6340" s="1">
        <v>40210</v>
      </c>
      <c r="E6340" s="2">
        <v>160000</v>
      </c>
      <c r="F6340" t="s">
        <v>4553</v>
      </c>
      <c r="G6340" s="17" t="str">
        <f>HYPERLINK("https://www.washoecounty.gov/assessor/cama/?command=sales&amp;parid=23421110","3844723")</f>
        <v>3844723</v>
      </c>
      <c r="H6340" t="s">
        <v>1779</v>
      </c>
      <c r="I6340">
        <v>0</v>
      </c>
      <c r="J6340">
        <v>0</v>
      </c>
      <c r="K6340" t="s">
        <v>4655</v>
      </c>
      <c r="L6340" t="s">
        <v>4655</v>
      </c>
      <c r="M6340" s="2">
        <v>0</v>
      </c>
      <c r="N6340" t="s">
        <v>4655</v>
      </c>
      <c r="O6340">
        <v>0</v>
      </c>
      <c r="P6340">
        <v>0</v>
      </c>
      <c r="Q6340">
        <v>0</v>
      </c>
      <c r="R6340" t="s">
        <v>4655</v>
      </c>
      <c r="S6340" t="s">
        <v>4655</v>
      </c>
      <c r="T6340" t="s">
        <v>4655</v>
      </c>
      <c r="U6340" t="s">
        <v>4655</v>
      </c>
      <c r="V6340" s="2">
        <v>0</v>
      </c>
      <c r="W6340" t="s">
        <v>4655</v>
      </c>
      <c r="X6340" s="2">
        <v>0</v>
      </c>
      <c r="Y6340">
        <v>12</v>
      </c>
      <c r="Z6340" t="s">
        <v>1491</v>
      </c>
      <c r="AA6340" s="3">
        <v>0.59802573919296198</v>
      </c>
      <c r="AB6340" t="s">
        <v>30698</v>
      </c>
      <c r="AC6340" t="s">
        <v>4562</v>
      </c>
      <c r="AD6340" t="s">
        <v>30699</v>
      </c>
      <c r="AE6340" t="s">
        <v>4655</v>
      </c>
      <c r="AF6340" t="s">
        <v>4563</v>
      </c>
      <c r="AG6340" t="s">
        <v>4564</v>
      </c>
      <c r="AH6340" t="s">
        <v>1147</v>
      </c>
      <c r="AI6340" t="s">
        <v>1078</v>
      </c>
      <c r="AJ6340" t="s">
        <v>1780</v>
      </c>
      <c r="AK6340" t="s">
        <v>30700</v>
      </c>
      <c r="AL6340" s="13" t="s">
        <v>1897</v>
      </c>
      <c r="AM6340" s="14">
        <v>0</v>
      </c>
      <c r="AN6340" s="15" t="s">
        <v>4603</v>
      </c>
    </row>
    <row r="6341" spans="1:40" x14ac:dyDescent="0.3">
      <c r="A6341" s="10" t="str">
        <f>HYPERLINK("http://www.washoecounty.gov/assessor/cama/?parid=234-261-25&amp;CardNumber=1","234-261-25")</f>
        <v>234-261-25</v>
      </c>
      <c r="B6341" t="s">
        <v>4655</v>
      </c>
      <c r="C6341" t="s">
        <v>30701</v>
      </c>
      <c r="D6341" s="1">
        <v>40276</v>
      </c>
      <c r="E6341" s="2">
        <v>420000</v>
      </c>
      <c r="F6341" t="s">
        <v>4567</v>
      </c>
      <c r="G6341" s="17" t="str">
        <f>HYPERLINK("https://www.washoecounty.gov/assessor/cama/?command=sales&amp;parid=23426125","3869050")</f>
        <v>3869050</v>
      </c>
      <c r="H6341" t="s">
        <v>3107</v>
      </c>
      <c r="I6341">
        <v>2005</v>
      </c>
      <c r="J6341">
        <v>2005</v>
      </c>
      <c r="K6341" t="s">
        <v>4554</v>
      </c>
      <c r="L6341" t="s">
        <v>4555</v>
      </c>
      <c r="M6341" s="2">
        <v>2487</v>
      </c>
      <c r="N6341" t="s">
        <v>5280</v>
      </c>
      <c r="O6341">
        <v>2</v>
      </c>
      <c r="P6341">
        <v>2</v>
      </c>
      <c r="Q6341">
        <v>0</v>
      </c>
      <c r="R6341" t="s">
        <v>5281</v>
      </c>
      <c r="S6341" t="s">
        <v>4898</v>
      </c>
      <c r="T6341" t="s">
        <v>2704</v>
      </c>
      <c r="U6341" t="s">
        <v>4560</v>
      </c>
      <c r="V6341" s="2">
        <v>618</v>
      </c>
      <c r="W6341" t="s">
        <v>4655</v>
      </c>
      <c r="X6341" s="2">
        <v>0</v>
      </c>
      <c r="Y6341">
        <v>20</v>
      </c>
      <c r="Z6341" t="s">
        <v>1491</v>
      </c>
      <c r="AA6341" s="3">
        <v>0.187396690249443</v>
      </c>
      <c r="AB6341" t="s">
        <v>30702</v>
      </c>
      <c r="AC6341" t="s">
        <v>4575</v>
      </c>
      <c r="AD6341" t="s">
        <v>30703</v>
      </c>
      <c r="AE6341" t="s">
        <v>30704</v>
      </c>
      <c r="AF6341" t="s">
        <v>3306</v>
      </c>
      <c r="AG6341" t="s">
        <v>4584</v>
      </c>
      <c r="AH6341" t="s">
        <v>1340</v>
      </c>
      <c r="AI6341" t="s">
        <v>30702</v>
      </c>
      <c r="AJ6341" t="s">
        <v>3108</v>
      </c>
      <c r="AK6341" t="s">
        <v>30705</v>
      </c>
      <c r="AL6341" s="13" t="s">
        <v>1897</v>
      </c>
      <c r="AM6341">
        <v>1</v>
      </c>
      <c r="AN6341" s="15" t="s">
        <v>1592</v>
      </c>
    </row>
    <row r="6342" spans="1:40" x14ac:dyDescent="0.3">
      <c r="A6342" s="10" t="str">
        <f>HYPERLINK("http://www.washoecounty.gov/assessor/cama/?parid=234-261-32&amp;CardNumber=1","234-261-32")</f>
        <v>234-261-32</v>
      </c>
      <c r="B6342" t="s">
        <v>4655</v>
      </c>
      <c r="C6342" t="s">
        <v>30706</v>
      </c>
      <c r="D6342" s="1">
        <v>40366</v>
      </c>
      <c r="E6342" s="2">
        <v>275000</v>
      </c>
      <c r="F6342" t="s">
        <v>4567</v>
      </c>
      <c r="G6342" s="17" t="str">
        <f>HYPERLINK("https://www.washoecounty.gov/assessor/cama/?command=sales&amp;parid=23426132","3898982")</f>
        <v>3898982</v>
      </c>
      <c r="H6342" t="s">
        <v>3107</v>
      </c>
      <c r="I6342">
        <v>2005</v>
      </c>
      <c r="J6342">
        <v>2005</v>
      </c>
      <c r="K6342" t="s">
        <v>4554</v>
      </c>
      <c r="L6342" t="s">
        <v>4555</v>
      </c>
      <c r="M6342" s="2">
        <v>1644</v>
      </c>
      <c r="N6342" t="s">
        <v>5280</v>
      </c>
      <c r="O6342">
        <v>2</v>
      </c>
      <c r="P6342">
        <v>2</v>
      </c>
      <c r="Q6342">
        <v>0</v>
      </c>
      <c r="R6342" t="s">
        <v>5281</v>
      </c>
      <c r="S6342" t="s">
        <v>4898</v>
      </c>
      <c r="T6342" t="s">
        <v>2704</v>
      </c>
      <c r="U6342" t="s">
        <v>4560</v>
      </c>
      <c r="V6342" s="2">
        <v>441</v>
      </c>
      <c r="W6342" t="s">
        <v>4655</v>
      </c>
      <c r="X6342" s="2">
        <v>0</v>
      </c>
      <c r="Y6342">
        <v>20</v>
      </c>
      <c r="Z6342" t="s">
        <v>1491</v>
      </c>
      <c r="AA6342" s="3">
        <v>0.129843890666962</v>
      </c>
      <c r="AB6342" t="s">
        <v>30707</v>
      </c>
      <c r="AC6342" t="s">
        <v>4562</v>
      </c>
      <c r="AD6342" t="s">
        <v>30706</v>
      </c>
      <c r="AE6342" t="s">
        <v>4655</v>
      </c>
      <c r="AF6342" t="s">
        <v>4563</v>
      </c>
      <c r="AG6342" t="s">
        <v>4564</v>
      </c>
      <c r="AH6342" t="s">
        <v>1147</v>
      </c>
      <c r="AI6342" t="s">
        <v>30708</v>
      </c>
      <c r="AJ6342" t="s">
        <v>3108</v>
      </c>
      <c r="AK6342" t="s">
        <v>30709</v>
      </c>
      <c r="AL6342" s="13" t="s">
        <v>1897</v>
      </c>
      <c r="AM6342">
        <v>1</v>
      </c>
      <c r="AN6342" s="15" t="s">
        <v>1592</v>
      </c>
    </row>
    <row r="6343" spans="1:40" x14ac:dyDescent="0.3">
      <c r="A6343" s="10" t="str">
        <f>HYPERLINK("http://www.washoecounty.gov/assessor/cama/?parid=234-262-01&amp;CardNumber=1","234-262-01")</f>
        <v>234-262-01</v>
      </c>
      <c r="B6343" t="s">
        <v>4655</v>
      </c>
      <c r="C6343" t="s">
        <v>30710</v>
      </c>
      <c r="D6343" s="1">
        <v>40323</v>
      </c>
      <c r="E6343" s="2">
        <v>175000</v>
      </c>
      <c r="F6343" t="s">
        <v>4553</v>
      </c>
      <c r="G6343" s="17" t="str">
        <f>HYPERLINK("https://www.washoecounty.gov/assessor/cama/?command=sales&amp;parid=23426201","3885107")</f>
        <v>3885107</v>
      </c>
      <c r="H6343" t="s">
        <v>2989</v>
      </c>
      <c r="I6343">
        <v>2005</v>
      </c>
      <c r="J6343">
        <v>2005</v>
      </c>
      <c r="K6343" t="s">
        <v>4554</v>
      </c>
      <c r="L6343" t="s">
        <v>4555</v>
      </c>
      <c r="M6343" s="2">
        <v>1440</v>
      </c>
      <c r="N6343" t="s">
        <v>5280</v>
      </c>
      <c r="O6343">
        <v>2</v>
      </c>
      <c r="P6343">
        <v>2</v>
      </c>
      <c r="Q6343">
        <v>0</v>
      </c>
      <c r="R6343" t="s">
        <v>5281</v>
      </c>
      <c r="S6343" t="s">
        <v>4898</v>
      </c>
      <c r="T6343" t="s">
        <v>2704</v>
      </c>
      <c r="U6343" t="s">
        <v>4560</v>
      </c>
      <c r="V6343" s="2">
        <v>420</v>
      </c>
      <c r="W6343" t="s">
        <v>4655</v>
      </c>
      <c r="X6343" s="2">
        <v>0</v>
      </c>
      <c r="Y6343">
        <v>20</v>
      </c>
      <c r="Z6343" t="s">
        <v>1491</v>
      </c>
      <c r="AA6343" s="3">
        <v>0.16900826990604401</v>
      </c>
      <c r="AB6343" t="s">
        <v>30711</v>
      </c>
      <c r="AC6343" t="s">
        <v>4562</v>
      </c>
      <c r="AD6343" t="s">
        <v>30712</v>
      </c>
      <c r="AE6343" t="s">
        <v>4655</v>
      </c>
      <c r="AF6343" t="s">
        <v>4563</v>
      </c>
      <c r="AG6343" t="s">
        <v>4564</v>
      </c>
      <c r="AH6343" t="s">
        <v>1147</v>
      </c>
      <c r="AI6343" t="s">
        <v>4903</v>
      </c>
      <c r="AJ6343" t="s">
        <v>3108</v>
      </c>
      <c r="AK6343" t="s">
        <v>30713</v>
      </c>
      <c r="AL6343" s="13" t="s">
        <v>1897</v>
      </c>
      <c r="AM6343">
        <v>1</v>
      </c>
      <c r="AN6343" s="15" t="s">
        <v>1592</v>
      </c>
    </row>
    <row r="6344" spans="1:40" x14ac:dyDescent="0.3">
      <c r="A6344" s="10" t="str">
        <f>HYPERLINK("http://www.washoecounty.gov/assessor/cama/?parid=234-321-01&amp;CardNumber=1","234-321-01")</f>
        <v>234-321-01</v>
      </c>
      <c r="B6344" t="s">
        <v>4655</v>
      </c>
      <c r="C6344" t="s">
        <v>30714</v>
      </c>
      <c r="D6344" s="1">
        <v>40410</v>
      </c>
      <c r="E6344" s="2">
        <v>240000</v>
      </c>
      <c r="F6344" t="s">
        <v>4567</v>
      </c>
      <c r="G6344" s="17" t="str">
        <f>HYPERLINK("https://www.washoecounty.gov/assessor/cama/?command=sales&amp;parid=23432101","3914291")</f>
        <v>3914291</v>
      </c>
      <c r="H6344" t="s">
        <v>4604</v>
      </c>
      <c r="I6344">
        <v>2005</v>
      </c>
      <c r="J6344">
        <v>2005</v>
      </c>
      <c r="K6344" t="s">
        <v>4554</v>
      </c>
      <c r="L6344" t="s">
        <v>4555</v>
      </c>
      <c r="M6344" s="2">
        <v>1834</v>
      </c>
      <c r="N6344" t="s">
        <v>5280</v>
      </c>
      <c r="O6344">
        <v>2</v>
      </c>
      <c r="P6344">
        <v>2</v>
      </c>
      <c r="Q6344">
        <v>0</v>
      </c>
      <c r="R6344" t="s">
        <v>5281</v>
      </c>
      <c r="S6344" t="s">
        <v>4898</v>
      </c>
      <c r="T6344" t="s">
        <v>2704</v>
      </c>
      <c r="U6344" t="s">
        <v>4560</v>
      </c>
      <c r="V6344" s="2">
        <v>517</v>
      </c>
      <c r="W6344" t="s">
        <v>4655</v>
      </c>
      <c r="X6344" s="2">
        <v>0</v>
      </c>
      <c r="Y6344">
        <v>20</v>
      </c>
      <c r="Z6344" t="s">
        <v>1491</v>
      </c>
      <c r="AA6344" s="3">
        <v>0.14136822521686554</v>
      </c>
      <c r="AB6344" t="s">
        <v>30715</v>
      </c>
      <c r="AC6344" t="s">
        <v>4575</v>
      </c>
      <c r="AD6344" t="s">
        <v>30714</v>
      </c>
      <c r="AE6344" t="s">
        <v>4655</v>
      </c>
      <c r="AF6344" t="s">
        <v>4563</v>
      </c>
      <c r="AG6344" t="s">
        <v>4564</v>
      </c>
      <c r="AH6344" t="s">
        <v>1147</v>
      </c>
      <c r="AI6344" t="s">
        <v>30716</v>
      </c>
      <c r="AJ6344" t="s">
        <v>4605</v>
      </c>
      <c r="AK6344" t="s">
        <v>30717</v>
      </c>
      <c r="AL6344" s="13" t="s">
        <v>1897</v>
      </c>
      <c r="AM6344" s="14">
        <v>1</v>
      </c>
      <c r="AN6344" s="15" t="s">
        <v>1592</v>
      </c>
    </row>
    <row r="6345" spans="1:40" x14ac:dyDescent="0.3">
      <c r="A6345" s="10" t="str">
        <f>HYPERLINK("http://www.washoecounty.gov/assessor/cama/?parid=234-321-13&amp;CardNumber=1","234-321-13")</f>
        <v>234-321-13</v>
      </c>
      <c r="B6345" t="s">
        <v>4655</v>
      </c>
      <c r="C6345" t="s">
        <v>30718</v>
      </c>
      <c r="D6345" s="1">
        <v>40291</v>
      </c>
      <c r="E6345" s="2">
        <v>234350</v>
      </c>
      <c r="F6345" t="s">
        <v>4567</v>
      </c>
      <c r="G6345" s="17" t="str">
        <f>HYPERLINK("https://www.washoecounty.gov/assessor/cama/?command=sales&amp;parid=23432113","3874277")</f>
        <v>3874277</v>
      </c>
      <c r="H6345" t="s">
        <v>4604</v>
      </c>
      <c r="I6345">
        <v>2005</v>
      </c>
      <c r="J6345">
        <v>2005</v>
      </c>
      <c r="K6345" t="s">
        <v>4554</v>
      </c>
      <c r="L6345" t="s">
        <v>4555</v>
      </c>
      <c r="M6345" s="2">
        <v>1644</v>
      </c>
      <c r="N6345" t="s">
        <v>5280</v>
      </c>
      <c r="O6345">
        <v>2</v>
      </c>
      <c r="P6345">
        <v>2</v>
      </c>
      <c r="Q6345">
        <v>0</v>
      </c>
      <c r="R6345" t="s">
        <v>5281</v>
      </c>
      <c r="S6345" t="s">
        <v>4898</v>
      </c>
      <c r="T6345" t="s">
        <v>2704</v>
      </c>
      <c r="U6345" t="s">
        <v>4560</v>
      </c>
      <c r="V6345" s="2">
        <v>525</v>
      </c>
      <c r="W6345" t="s">
        <v>4655</v>
      </c>
      <c r="X6345" s="2">
        <v>0</v>
      </c>
      <c r="Y6345">
        <v>20</v>
      </c>
      <c r="Z6345" t="s">
        <v>1491</v>
      </c>
      <c r="AA6345" s="3">
        <v>0.20987144112587</v>
      </c>
      <c r="AB6345" t="s">
        <v>30719</v>
      </c>
      <c r="AC6345" t="s">
        <v>4562</v>
      </c>
      <c r="AD6345" t="s">
        <v>30720</v>
      </c>
      <c r="AE6345" t="s">
        <v>4655</v>
      </c>
      <c r="AF6345" t="s">
        <v>3890</v>
      </c>
      <c r="AG6345" t="s">
        <v>4564</v>
      </c>
      <c r="AH6345" t="s">
        <v>3891</v>
      </c>
      <c r="AI6345" t="s">
        <v>30721</v>
      </c>
      <c r="AJ6345" t="s">
        <v>4605</v>
      </c>
      <c r="AK6345" t="s">
        <v>30722</v>
      </c>
      <c r="AL6345" s="13" t="s">
        <v>1897</v>
      </c>
      <c r="AM6345" s="14">
        <v>1</v>
      </c>
      <c r="AN6345" s="15" t="s">
        <v>1592</v>
      </c>
    </row>
    <row r="6346" spans="1:40" x14ac:dyDescent="0.3">
      <c r="A6346" s="10" t="str">
        <f>HYPERLINK("http://www.washoecounty.gov/assessor/cama/?parid=234-322-06&amp;CardNumber=1","234-322-06")</f>
        <v>234-322-06</v>
      </c>
      <c r="B6346" t="s">
        <v>4655</v>
      </c>
      <c r="C6346" t="s">
        <v>30723</v>
      </c>
      <c r="D6346" s="1">
        <v>40473</v>
      </c>
      <c r="E6346" s="2">
        <v>210000</v>
      </c>
      <c r="F6346" t="s">
        <v>4567</v>
      </c>
      <c r="G6346" s="17" t="str">
        <f>HYPERLINK("https://www.washoecounty.gov/assessor/cama/?command=sales&amp;parid=23432206","3935816")</f>
        <v>3935816</v>
      </c>
      <c r="H6346" t="s">
        <v>4604</v>
      </c>
      <c r="I6346">
        <v>2005</v>
      </c>
      <c r="J6346">
        <v>2005</v>
      </c>
      <c r="K6346" t="s">
        <v>4554</v>
      </c>
      <c r="L6346" t="s">
        <v>4555</v>
      </c>
      <c r="M6346" s="2">
        <v>1440</v>
      </c>
      <c r="N6346" t="s">
        <v>5280</v>
      </c>
      <c r="O6346">
        <v>2</v>
      </c>
      <c r="P6346">
        <v>2</v>
      </c>
      <c r="Q6346">
        <v>0</v>
      </c>
      <c r="R6346" t="s">
        <v>5281</v>
      </c>
      <c r="S6346" t="s">
        <v>4898</v>
      </c>
      <c r="T6346" t="s">
        <v>2704</v>
      </c>
      <c r="U6346" t="s">
        <v>4560</v>
      </c>
      <c r="V6346" s="2">
        <v>420</v>
      </c>
      <c r="W6346" t="s">
        <v>4655</v>
      </c>
      <c r="X6346" s="2">
        <v>0</v>
      </c>
      <c r="Y6346">
        <v>20</v>
      </c>
      <c r="Z6346" t="s">
        <v>1491</v>
      </c>
      <c r="AA6346" s="3">
        <v>0.114485770463943</v>
      </c>
      <c r="AB6346" t="s">
        <v>30724</v>
      </c>
      <c r="AC6346" t="s">
        <v>4562</v>
      </c>
      <c r="AD6346" t="s">
        <v>30723</v>
      </c>
      <c r="AE6346" t="s">
        <v>4655</v>
      </c>
      <c r="AF6346" t="s">
        <v>4563</v>
      </c>
      <c r="AG6346" t="s">
        <v>4564</v>
      </c>
      <c r="AH6346" t="s">
        <v>1147</v>
      </c>
      <c r="AI6346" t="s">
        <v>30725</v>
      </c>
      <c r="AJ6346" t="s">
        <v>4605</v>
      </c>
      <c r="AK6346" t="s">
        <v>30726</v>
      </c>
      <c r="AL6346" s="13" t="s">
        <v>1897</v>
      </c>
      <c r="AM6346" s="14">
        <v>1</v>
      </c>
      <c r="AN6346" s="15" t="s">
        <v>1592</v>
      </c>
    </row>
    <row r="6347" spans="1:40" x14ac:dyDescent="0.3">
      <c r="A6347" s="10" t="str">
        <f>HYPERLINK("http://www.washoecounty.gov/assessor/cama/?parid=234-322-09&amp;CardNumber=1","234-322-09")</f>
        <v>234-322-09</v>
      </c>
      <c r="B6347" t="s">
        <v>4655</v>
      </c>
      <c r="C6347" t="s">
        <v>30727</v>
      </c>
      <c r="D6347" s="1">
        <v>40522</v>
      </c>
      <c r="E6347" s="2">
        <v>225000</v>
      </c>
      <c r="F6347" t="s">
        <v>4567</v>
      </c>
      <c r="G6347" s="17" t="str">
        <f>HYPERLINK("https://www.washoecounty.gov/assessor/cama/?command=sales&amp;parid=23432209","3952100")</f>
        <v>3952100</v>
      </c>
      <c r="H6347" t="s">
        <v>4604</v>
      </c>
      <c r="I6347">
        <v>2005</v>
      </c>
      <c r="J6347">
        <v>2005</v>
      </c>
      <c r="K6347" t="s">
        <v>4554</v>
      </c>
      <c r="L6347" t="s">
        <v>4555</v>
      </c>
      <c r="M6347" s="2">
        <v>1644</v>
      </c>
      <c r="N6347" t="s">
        <v>5280</v>
      </c>
      <c r="O6347">
        <v>2</v>
      </c>
      <c r="P6347">
        <v>2</v>
      </c>
      <c r="Q6347">
        <v>0</v>
      </c>
      <c r="R6347" t="s">
        <v>5281</v>
      </c>
      <c r="S6347" t="s">
        <v>4898</v>
      </c>
      <c r="T6347" t="s">
        <v>2704</v>
      </c>
      <c r="U6347" t="s">
        <v>4560</v>
      </c>
      <c r="V6347" s="2">
        <v>525</v>
      </c>
      <c r="W6347" t="s">
        <v>4655</v>
      </c>
      <c r="X6347" s="2">
        <v>0</v>
      </c>
      <c r="Y6347">
        <v>20</v>
      </c>
      <c r="Z6347" t="s">
        <v>1491</v>
      </c>
      <c r="AA6347" s="3">
        <v>0.136363640427589</v>
      </c>
      <c r="AB6347" t="s">
        <v>30728</v>
      </c>
      <c r="AC6347" t="s">
        <v>4562</v>
      </c>
      <c r="AD6347" t="s">
        <v>30727</v>
      </c>
      <c r="AE6347" t="s">
        <v>4655</v>
      </c>
      <c r="AF6347" t="s">
        <v>4563</v>
      </c>
      <c r="AG6347" t="s">
        <v>4564</v>
      </c>
      <c r="AH6347" t="s">
        <v>1147</v>
      </c>
      <c r="AI6347" t="s">
        <v>30729</v>
      </c>
      <c r="AJ6347" t="s">
        <v>4605</v>
      </c>
      <c r="AK6347" t="s">
        <v>30730</v>
      </c>
      <c r="AL6347" s="13" t="s">
        <v>1897</v>
      </c>
      <c r="AM6347">
        <v>1</v>
      </c>
      <c r="AN6347" s="15" t="s">
        <v>1592</v>
      </c>
    </row>
    <row r="6348" spans="1:40" x14ac:dyDescent="0.3">
      <c r="A6348" s="10" t="str">
        <f>HYPERLINK("http://www.washoecounty.gov/assessor/cama/?parid=234-331-04&amp;CardNumber=1","234-331-04")</f>
        <v>234-331-04</v>
      </c>
      <c r="B6348" t="s">
        <v>4655</v>
      </c>
      <c r="C6348" t="s">
        <v>30731</v>
      </c>
      <c r="D6348" s="1">
        <v>40231</v>
      </c>
      <c r="E6348" s="2">
        <v>180000</v>
      </c>
      <c r="F6348" t="s">
        <v>4567</v>
      </c>
      <c r="G6348" s="17" t="str">
        <f>HYPERLINK("https://www.washoecounty.gov/assessor/cama/?command=sales&amp;parid=23433104","3851318")</f>
        <v>3851318</v>
      </c>
      <c r="H6348" t="s">
        <v>4604</v>
      </c>
      <c r="I6348">
        <v>2005</v>
      </c>
      <c r="J6348">
        <v>2005</v>
      </c>
      <c r="K6348" t="s">
        <v>4554</v>
      </c>
      <c r="L6348" t="s">
        <v>4555</v>
      </c>
      <c r="M6348" s="2">
        <v>1264</v>
      </c>
      <c r="N6348" t="s">
        <v>5280</v>
      </c>
      <c r="O6348">
        <v>1</v>
      </c>
      <c r="P6348">
        <v>2</v>
      </c>
      <c r="Q6348">
        <v>0</v>
      </c>
      <c r="R6348" t="s">
        <v>5281</v>
      </c>
      <c r="S6348" t="s">
        <v>4898</v>
      </c>
      <c r="T6348" t="s">
        <v>2704</v>
      </c>
      <c r="U6348" t="s">
        <v>4560</v>
      </c>
      <c r="V6348" s="2">
        <v>399</v>
      </c>
      <c r="W6348" t="s">
        <v>4655</v>
      </c>
      <c r="X6348" s="2">
        <v>0</v>
      </c>
      <c r="Y6348">
        <v>20</v>
      </c>
      <c r="Z6348" t="s">
        <v>1491</v>
      </c>
      <c r="AA6348" s="3">
        <v>0.120224975049496</v>
      </c>
      <c r="AB6348" t="s">
        <v>30732</v>
      </c>
      <c r="AC6348" t="s">
        <v>4562</v>
      </c>
      <c r="AD6348" t="s">
        <v>30731</v>
      </c>
      <c r="AE6348" t="s">
        <v>4655</v>
      </c>
      <c r="AF6348" t="s">
        <v>4563</v>
      </c>
      <c r="AG6348" t="s">
        <v>4564</v>
      </c>
      <c r="AH6348" t="s">
        <v>1147</v>
      </c>
      <c r="AI6348" t="s">
        <v>4655</v>
      </c>
      <c r="AJ6348" t="s">
        <v>4605</v>
      </c>
      <c r="AK6348" t="s">
        <v>30733</v>
      </c>
      <c r="AL6348" s="13" t="s">
        <v>1897</v>
      </c>
      <c r="AM6348">
        <v>1</v>
      </c>
      <c r="AN6348" s="15" t="s">
        <v>1592</v>
      </c>
    </row>
    <row r="6349" spans="1:40" x14ac:dyDescent="0.3">
      <c r="A6349" s="10" t="str">
        <f>HYPERLINK("http://www.washoecounty.gov/assessor/cama/?parid=234-332-09&amp;CardNumber=1","234-332-09")</f>
        <v>234-332-09</v>
      </c>
      <c r="B6349" t="s">
        <v>4655</v>
      </c>
      <c r="C6349" t="s">
        <v>30734</v>
      </c>
      <c r="D6349" s="1">
        <v>40267</v>
      </c>
      <c r="E6349" s="2">
        <v>180000</v>
      </c>
      <c r="F6349" t="s">
        <v>4567</v>
      </c>
      <c r="G6349" s="17" t="str">
        <f>HYPERLINK("https://www.washoecounty.gov/assessor/cama/?command=sales&amp;parid=23433209","3865594")</f>
        <v>3865594</v>
      </c>
      <c r="H6349" t="s">
        <v>4604</v>
      </c>
      <c r="I6349">
        <v>2005</v>
      </c>
      <c r="J6349">
        <v>2005</v>
      </c>
      <c r="K6349" t="s">
        <v>4554</v>
      </c>
      <c r="L6349" t="s">
        <v>4555</v>
      </c>
      <c r="M6349" s="2">
        <v>1440</v>
      </c>
      <c r="N6349" t="s">
        <v>5280</v>
      </c>
      <c r="O6349">
        <v>2</v>
      </c>
      <c r="P6349">
        <v>2</v>
      </c>
      <c r="Q6349">
        <v>0</v>
      </c>
      <c r="R6349" t="s">
        <v>5281</v>
      </c>
      <c r="S6349" t="s">
        <v>4898</v>
      </c>
      <c r="T6349" t="s">
        <v>2704</v>
      </c>
      <c r="U6349" t="s">
        <v>4560</v>
      </c>
      <c r="V6349" s="2">
        <v>420</v>
      </c>
      <c r="W6349" t="s">
        <v>4655</v>
      </c>
      <c r="X6349" s="2">
        <v>0</v>
      </c>
      <c r="Y6349">
        <v>20</v>
      </c>
      <c r="Z6349" t="s">
        <v>1491</v>
      </c>
      <c r="AA6349" s="3">
        <v>0.113728187978268</v>
      </c>
      <c r="AB6349" t="s">
        <v>30735</v>
      </c>
      <c r="AC6349" t="s">
        <v>4562</v>
      </c>
      <c r="AD6349" t="s">
        <v>30736</v>
      </c>
      <c r="AE6349" t="s">
        <v>4655</v>
      </c>
      <c r="AF6349" t="s">
        <v>4563</v>
      </c>
      <c r="AG6349" t="s">
        <v>4564</v>
      </c>
      <c r="AH6349" t="s">
        <v>2330</v>
      </c>
      <c r="AI6349" t="s">
        <v>30737</v>
      </c>
      <c r="AJ6349" t="s">
        <v>4605</v>
      </c>
      <c r="AK6349" t="s">
        <v>30738</v>
      </c>
      <c r="AL6349" s="13" t="s">
        <v>1897</v>
      </c>
      <c r="AM6349" s="14">
        <v>1</v>
      </c>
      <c r="AN6349" s="15" t="s">
        <v>1592</v>
      </c>
    </row>
    <row r="6350" spans="1:40" x14ac:dyDescent="0.3">
      <c r="A6350" s="10" t="str">
        <f>HYPERLINK("http://www.washoecounty.gov/assessor/cama/?parid=234-332-11&amp;CardNumber=1","234-332-11")</f>
        <v>234-332-11</v>
      </c>
      <c r="B6350" t="s">
        <v>4655</v>
      </c>
      <c r="C6350" t="s">
        <v>30739</v>
      </c>
      <c r="D6350" s="1">
        <v>40469</v>
      </c>
      <c r="E6350" s="2">
        <v>178000</v>
      </c>
      <c r="F6350" t="s">
        <v>4567</v>
      </c>
      <c r="G6350" s="17" t="str">
        <f>HYPERLINK("https://www.washoecounty.gov/assessor/cama/?command=sales&amp;parid=23433211","3934160")</f>
        <v>3934160</v>
      </c>
      <c r="H6350" t="s">
        <v>4604</v>
      </c>
      <c r="I6350">
        <v>2005</v>
      </c>
      <c r="J6350">
        <v>2005</v>
      </c>
      <c r="K6350" t="s">
        <v>4554</v>
      </c>
      <c r="L6350" t="s">
        <v>4555</v>
      </c>
      <c r="M6350" s="2">
        <v>1246</v>
      </c>
      <c r="N6350" t="s">
        <v>5280</v>
      </c>
      <c r="O6350">
        <v>1</v>
      </c>
      <c r="P6350">
        <v>2</v>
      </c>
      <c r="Q6350">
        <v>0</v>
      </c>
      <c r="R6350" t="s">
        <v>5281</v>
      </c>
      <c r="S6350" t="s">
        <v>4898</v>
      </c>
      <c r="T6350" t="s">
        <v>2704</v>
      </c>
      <c r="U6350" t="s">
        <v>4560</v>
      </c>
      <c r="V6350" s="2">
        <v>399</v>
      </c>
      <c r="W6350" t="s">
        <v>4655</v>
      </c>
      <c r="X6350" s="2">
        <v>0</v>
      </c>
      <c r="Y6350">
        <v>20</v>
      </c>
      <c r="Z6350" t="s">
        <v>1491</v>
      </c>
      <c r="AA6350" s="3">
        <v>0.11382001638412501</v>
      </c>
      <c r="AB6350" t="s">
        <v>30740</v>
      </c>
      <c r="AC6350" t="s">
        <v>4562</v>
      </c>
      <c r="AD6350" t="s">
        <v>30739</v>
      </c>
      <c r="AE6350" t="s">
        <v>4655</v>
      </c>
      <c r="AF6350" t="s">
        <v>4563</v>
      </c>
      <c r="AG6350" t="s">
        <v>4564</v>
      </c>
      <c r="AH6350" t="s">
        <v>1147</v>
      </c>
      <c r="AI6350" t="s">
        <v>30741</v>
      </c>
      <c r="AJ6350" t="s">
        <v>4605</v>
      </c>
      <c r="AK6350" t="s">
        <v>30742</v>
      </c>
      <c r="AL6350" s="13" t="s">
        <v>1897</v>
      </c>
      <c r="AM6350">
        <v>1</v>
      </c>
      <c r="AN6350" s="15" t="s">
        <v>1592</v>
      </c>
    </row>
    <row r="6351" spans="1:40" x14ac:dyDescent="0.3">
      <c r="A6351" s="10" t="str">
        <f>HYPERLINK("http://www.washoecounty.gov/assessor/cama/?parid=234-332-14&amp;CardNumber=1","234-332-14")</f>
        <v>234-332-14</v>
      </c>
      <c r="B6351" t="s">
        <v>4655</v>
      </c>
      <c r="C6351" t="s">
        <v>30743</v>
      </c>
      <c r="D6351" s="1">
        <v>40186</v>
      </c>
      <c r="E6351" s="2">
        <v>165000</v>
      </c>
      <c r="F6351" t="s">
        <v>4567</v>
      </c>
      <c r="G6351" s="17" t="str">
        <f>HYPERLINK("https://www.washoecounty.gov/assessor/cama/?command=sales&amp;parid=23433214","3837598")</f>
        <v>3837598</v>
      </c>
      <c r="H6351" t="s">
        <v>4604</v>
      </c>
      <c r="I6351">
        <v>2005</v>
      </c>
      <c r="J6351">
        <v>2005</v>
      </c>
      <c r="K6351" t="s">
        <v>4554</v>
      </c>
      <c r="L6351" t="s">
        <v>4555</v>
      </c>
      <c r="M6351" s="2">
        <v>1440</v>
      </c>
      <c r="N6351" t="s">
        <v>5280</v>
      </c>
      <c r="O6351">
        <v>2</v>
      </c>
      <c r="P6351">
        <v>2</v>
      </c>
      <c r="Q6351">
        <v>0</v>
      </c>
      <c r="R6351" t="s">
        <v>5281</v>
      </c>
      <c r="S6351" t="s">
        <v>4898</v>
      </c>
      <c r="T6351" t="s">
        <v>2704</v>
      </c>
      <c r="U6351" t="s">
        <v>4560</v>
      </c>
      <c r="V6351" s="2">
        <v>420</v>
      </c>
      <c r="W6351" t="s">
        <v>4655</v>
      </c>
      <c r="X6351" s="2">
        <v>0</v>
      </c>
      <c r="Y6351">
        <v>20</v>
      </c>
      <c r="Z6351" t="s">
        <v>1491</v>
      </c>
      <c r="AA6351" s="3">
        <v>0.125665754079819</v>
      </c>
      <c r="AB6351" t="s">
        <v>30744</v>
      </c>
      <c r="AC6351" t="s">
        <v>4575</v>
      </c>
      <c r="AD6351" t="s">
        <v>30745</v>
      </c>
      <c r="AE6351" t="s">
        <v>4655</v>
      </c>
      <c r="AF6351" t="s">
        <v>4606</v>
      </c>
      <c r="AG6351" t="s">
        <v>4584</v>
      </c>
      <c r="AH6351">
        <v>96114</v>
      </c>
      <c r="AI6351" t="s">
        <v>30746</v>
      </c>
      <c r="AJ6351" t="s">
        <v>4605</v>
      </c>
      <c r="AK6351" t="s">
        <v>30747</v>
      </c>
      <c r="AL6351" s="13" t="s">
        <v>1897</v>
      </c>
      <c r="AM6351" s="14">
        <v>1</v>
      </c>
      <c r="AN6351" s="15" t="s">
        <v>1592</v>
      </c>
    </row>
    <row r="6352" spans="1:40" x14ac:dyDescent="0.3">
      <c r="A6352" s="10" t="str">
        <f>HYPERLINK("http://www.washoecounty.gov/assessor/cama/?parid=234-341-09&amp;CardNumber=1","234-341-09")</f>
        <v>234-341-09</v>
      </c>
      <c r="B6352" t="s">
        <v>4655</v>
      </c>
      <c r="C6352" t="s">
        <v>30748</v>
      </c>
      <c r="D6352" s="1">
        <v>40393</v>
      </c>
      <c r="E6352" s="2">
        <v>315000</v>
      </c>
      <c r="F6352" t="s">
        <v>4567</v>
      </c>
      <c r="G6352" s="17" t="str">
        <f>HYPERLINK("https://www.washoecounty.gov/assessor/cama/?command=sales&amp;parid=23434109","3908135")</f>
        <v>3908135</v>
      </c>
      <c r="H6352" t="s">
        <v>4604</v>
      </c>
      <c r="I6352">
        <v>2006</v>
      </c>
      <c r="J6352">
        <v>2006</v>
      </c>
      <c r="K6352" t="s">
        <v>4554</v>
      </c>
      <c r="L6352" t="s">
        <v>4555</v>
      </c>
      <c r="M6352" s="2">
        <v>2309</v>
      </c>
      <c r="N6352" t="s">
        <v>5280</v>
      </c>
      <c r="O6352">
        <v>3</v>
      </c>
      <c r="P6352">
        <v>2</v>
      </c>
      <c r="Q6352">
        <v>0</v>
      </c>
      <c r="R6352" t="s">
        <v>5281</v>
      </c>
      <c r="S6352" t="s">
        <v>4898</v>
      </c>
      <c r="T6352" t="s">
        <v>2704</v>
      </c>
      <c r="U6352" t="s">
        <v>4560</v>
      </c>
      <c r="V6352" s="2">
        <v>462</v>
      </c>
      <c r="W6352" t="s">
        <v>4655</v>
      </c>
      <c r="X6352" s="2">
        <v>0</v>
      </c>
      <c r="Y6352">
        <v>20</v>
      </c>
      <c r="Z6352" t="s">
        <v>1491</v>
      </c>
      <c r="AA6352" s="3">
        <v>0.17640036344528201</v>
      </c>
      <c r="AB6352" t="s">
        <v>30749</v>
      </c>
      <c r="AC6352" t="s">
        <v>4562</v>
      </c>
      <c r="AD6352" t="s">
        <v>30750</v>
      </c>
      <c r="AE6352" t="s">
        <v>4655</v>
      </c>
      <c r="AF6352" t="s">
        <v>4563</v>
      </c>
      <c r="AG6352" t="s">
        <v>4564</v>
      </c>
      <c r="AH6352" t="s">
        <v>1147</v>
      </c>
      <c r="AI6352" t="s">
        <v>30751</v>
      </c>
      <c r="AJ6352" t="s">
        <v>4605</v>
      </c>
      <c r="AK6352" t="s">
        <v>30752</v>
      </c>
      <c r="AL6352" s="13" t="s">
        <v>1897</v>
      </c>
      <c r="AM6352">
        <v>1</v>
      </c>
      <c r="AN6352" s="15" t="s">
        <v>1592</v>
      </c>
    </row>
    <row r="6353" spans="1:40" x14ac:dyDescent="0.3">
      <c r="A6353" s="10" t="str">
        <f>HYPERLINK("http://www.washoecounty.gov/assessor/cama/?parid=234-344-06&amp;CardNumber=1","234-344-06")</f>
        <v>234-344-06</v>
      </c>
      <c r="B6353" t="s">
        <v>4655</v>
      </c>
      <c r="C6353" t="s">
        <v>30753</v>
      </c>
      <c r="D6353" s="1">
        <v>40438</v>
      </c>
      <c r="E6353" s="2">
        <v>249000</v>
      </c>
      <c r="F6353" t="s">
        <v>4567</v>
      </c>
      <c r="G6353" s="17" t="str">
        <f>HYPERLINK("https://www.washoecounty.gov/assessor/cama/?command=sales&amp;parid=23434406","3923323")</f>
        <v>3923323</v>
      </c>
      <c r="H6353" t="s">
        <v>4604</v>
      </c>
      <c r="I6353">
        <v>2006</v>
      </c>
      <c r="J6353">
        <v>2006</v>
      </c>
      <c r="K6353" t="s">
        <v>4554</v>
      </c>
      <c r="L6353" t="s">
        <v>4555</v>
      </c>
      <c r="M6353" s="2">
        <v>1816</v>
      </c>
      <c r="N6353" t="s">
        <v>5280</v>
      </c>
      <c r="O6353">
        <v>2</v>
      </c>
      <c r="P6353">
        <v>2</v>
      </c>
      <c r="Q6353">
        <v>0</v>
      </c>
      <c r="R6353" t="s">
        <v>5281</v>
      </c>
      <c r="S6353" t="s">
        <v>4898</v>
      </c>
      <c r="T6353" t="s">
        <v>2704</v>
      </c>
      <c r="U6353" t="s">
        <v>4560</v>
      </c>
      <c r="V6353" s="2">
        <v>517</v>
      </c>
      <c r="W6353" t="s">
        <v>4655</v>
      </c>
      <c r="X6353" s="2">
        <v>0</v>
      </c>
      <c r="Y6353">
        <v>20</v>
      </c>
      <c r="Z6353" t="s">
        <v>1491</v>
      </c>
      <c r="AA6353" s="3">
        <v>0.14375573396682739</v>
      </c>
      <c r="AB6353" t="s">
        <v>30754</v>
      </c>
      <c r="AC6353" t="s">
        <v>4575</v>
      </c>
      <c r="AD6353" t="s">
        <v>30753</v>
      </c>
      <c r="AE6353" t="s">
        <v>4655</v>
      </c>
      <c r="AF6353" t="s">
        <v>4563</v>
      </c>
      <c r="AG6353" t="s">
        <v>4564</v>
      </c>
      <c r="AH6353" t="s">
        <v>1147</v>
      </c>
      <c r="AI6353" t="s">
        <v>30755</v>
      </c>
      <c r="AJ6353" t="s">
        <v>4605</v>
      </c>
      <c r="AK6353" t="s">
        <v>30756</v>
      </c>
      <c r="AL6353" s="13" t="s">
        <v>1897</v>
      </c>
      <c r="AM6353">
        <v>1</v>
      </c>
      <c r="AN6353" s="15" t="s">
        <v>1592</v>
      </c>
    </row>
    <row r="6354" spans="1:40" x14ac:dyDescent="0.3">
      <c r="A6354" s="10" t="str">
        <f>HYPERLINK("http://www.washoecounty.gov/assessor/cama/?parid=234-352-01&amp;CardNumber=1","234-352-01")</f>
        <v>234-352-01</v>
      </c>
      <c r="B6354" t="s">
        <v>4655</v>
      </c>
      <c r="C6354" t="s">
        <v>30757</v>
      </c>
      <c r="D6354" s="1">
        <v>40457</v>
      </c>
      <c r="E6354" s="2">
        <v>258000</v>
      </c>
      <c r="F6354" t="s">
        <v>4553</v>
      </c>
      <c r="G6354" s="17" t="str">
        <f>HYPERLINK("https://www.washoecounty.gov/assessor/cama/?command=sales&amp;parid=23435201","3930220")</f>
        <v>3930220</v>
      </c>
      <c r="H6354" t="s">
        <v>4476</v>
      </c>
      <c r="I6354">
        <v>2006</v>
      </c>
      <c r="J6354">
        <v>2006</v>
      </c>
      <c r="K6354" t="s">
        <v>4554</v>
      </c>
      <c r="L6354" t="s">
        <v>4555</v>
      </c>
      <c r="M6354" s="2">
        <v>1644</v>
      </c>
      <c r="N6354" t="s">
        <v>5280</v>
      </c>
      <c r="O6354">
        <v>2</v>
      </c>
      <c r="P6354">
        <v>2</v>
      </c>
      <c r="Q6354">
        <v>0</v>
      </c>
      <c r="R6354" t="s">
        <v>5281</v>
      </c>
      <c r="S6354" t="s">
        <v>4898</v>
      </c>
      <c r="T6354" t="s">
        <v>2704</v>
      </c>
      <c r="U6354" t="s">
        <v>4560</v>
      </c>
      <c r="V6354" s="2">
        <v>521</v>
      </c>
      <c r="W6354" t="s">
        <v>4655</v>
      </c>
      <c r="X6354" s="2">
        <v>0</v>
      </c>
      <c r="Y6354">
        <v>20</v>
      </c>
      <c r="Z6354" t="s">
        <v>1491</v>
      </c>
      <c r="AA6354" s="3">
        <v>0.202662989497185</v>
      </c>
      <c r="AB6354" t="s">
        <v>30758</v>
      </c>
      <c r="AC6354" t="s">
        <v>4562</v>
      </c>
      <c r="AD6354" t="s">
        <v>30757</v>
      </c>
      <c r="AE6354" t="s">
        <v>4655</v>
      </c>
      <c r="AF6354" t="s">
        <v>4563</v>
      </c>
      <c r="AG6354" t="s">
        <v>4564</v>
      </c>
      <c r="AH6354" t="s">
        <v>1147</v>
      </c>
      <c r="AI6354" t="s">
        <v>30759</v>
      </c>
      <c r="AJ6354" t="s">
        <v>2299</v>
      </c>
      <c r="AK6354" t="s">
        <v>30760</v>
      </c>
      <c r="AL6354" s="13" t="s">
        <v>1897</v>
      </c>
      <c r="AM6354">
        <v>1</v>
      </c>
      <c r="AN6354" s="15" t="s">
        <v>1592</v>
      </c>
    </row>
    <row r="6355" spans="1:40" x14ac:dyDescent="0.3">
      <c r="A6355" s="10" t="str">
        <f>HYPERLINK("http://www.washoecounty.gov/assessor/cama/?parid=234-352-07&amp;CardNumber=1","234-352-07")</f>
        <v>234-352-07</v>
      </c>
      <c r="B6355" t="s">
        <v>4655</v>
      </c>
      <c r="C6355" t="s">
        <v>30761</v>
      </c>
      <c r="D6355" s="1">
        <v>40378</v>
      </c>
      <c r="E6355" s="2">
        <v>226000</v>
      </c>
      <c r="F6355" t="s">
        <v>4567</v>
      </c>
      <c r="G6355" s="17" t="str">
        <f>HYPERLINK("https://www.washoecounty.gov/assessor/cama/?command=sales&amp;parid=23435207","3902437")</f>
        <v>3902437</v>
      </c>
      <c r="H6355" t="s">
        <v>4476</v>
      </c>
      <c r="I6355">
        <v>2006</v>
      </c>
      <c r="J6355">
        <v>2006</v>
      </c>
      <c r="K6355" t="s">
        <v>4554</v>
      </c>
      <c r="L6355" t="s">
        <v>4555</v>
      </c>
      <c r="M6355" s="2">
        <v>1644</v>
      </c>
      <c r="N6355" t="s">
        <v>5280</v>
      </c>
      <c r="O6355">
        <v>2</v>
      </c>
      <c r="P6355">
        <v>2</v>
      </c>
      <c r="Q6355">
        <v>0</v>
      </c>
      <c r="R6355" t="s">
        <v>5281</v>
      </c>
      <c r="S6355" t="s">
        <v>4898</v>
      </c>
      <c r="T6355" t="s">
        <v>2704</v>
      </c>
      <c r="U6355" t="s">
        <v>4560</v>
      </c>
      <c r="V6355" s="2">
        <v>521</v>
      </c>
      <c r="W6355" t="s">
        <v>4655</v>
      </c>
      <c r="X6355" s="2">
        <v>0</v>
      </c>
      <c r="Y6355">
        <v>20</v>
      </c>
      <c r="Z6355" t="s">
        <v>1491</v>
      </c>
      <c r="AA6355" s="3">
        <v>0.15626721084117901</v>
      </c>
      <c r="AB6355" t="s">
        <v>30762</v>
      </c>
      <c r="AC6355" t="s">
        <v>4562</v>
      </c>
      <c r="AD6355" t="s">
        <v>30761</v>
      </c>
      <c r="AE6355" t="s">
        <v>4655</v>
      </c>
      <c r="AF6355" t="s">
        <v>4563</v>
      </c>
      <c r="AG6355" t="s">
        <v>4564</v>
      </c>
      <c r="AH6355" t="s">
        <v>1147</v>
      </c>
      <c r="AI6355" t="s">
        <v>30763</v>
      </c>
      <c r="AJ6355" t="s">
        <v>2299</v>
      </c>
      <c r="AK6355" t="s">
        <v>30764</v>
      </c>
      <c r="AL6355" s="13" t="s">
        <v>1897</v>
      </c>
      <c r="AM6355" s="14">
        <v>1</v>
      </c>
      <c r="AN6355" s="15" t="s">
        <v>1592</v>
      </c>
    </row>
    <row r="6356" spans="1:40" x14ac:dyDescent="0.3">
      <c r="A6356" s="10" t="str">
        <f>HYPERLINK("http://www.washoecounty.gov/assessor/cama/?parid=234-352-11&amp;CardNumber=1","234-352-11")</f>
        <v>234-352-11</v>
      </c>
      <c r="B6356" t="s">
        <v>4655</v>
      </c>
      <c r="C6356" t="s">
        <v>30765</v>
      </c>
      <c r="D6356" s="1">
        <v>40296</v>
      </c>
      <c r="E6356" s="2">
        <v>259500</v>
      </c>
      <c r="F6356" t="s">
        <v>4567</v>
      </c>
      <c r="G6356" s="17" t="str">
        <f>HYPERLINK("https://www.washoecounty.gov/assessor/cama/?command=sales&amp;parid=23435211","3875439")</f>
        <v>3875439</v>
      </c>
      <c r="H6356" t="s">
        <v>4476</v>
      </c>
      <c r="I6356">
        <v>2006</v>
      </c>
      <c r="J6356">
        <v>2006</v>
      </c>
      <c r="K6356" t="s">
        <v>4554</v>
      </c>
      <c r="L6356" t="s">
        <v>4555</v>
      </c>
      <c r="M6356" s="2">
        <v>1644</v>
      </c>
      <c r="N6356" t="s">
        <v>5280</v>
      </c>
      <c r="O6356">
        <v>2</v>
      </c>
      <c r="P6356">
        <v>2</v>
      </c>
      <c r="Q6356">
        <v>0</v>
      </c>
      <c r="R6356" t="s">
        <v>5281</v>
      </c>
      <c r="S6356" t="s">
        <v>4898</v>
      </c>
      <c r="T6356" t="s">
        <v>2704</v>
      </c>
      <c r="U6356" t="s">
        <v>4560</v>
      </c>
      <c r="V6356" s="2">
        <v>521</v>
      </c>
      <c r="W6356" t="s">
        <v>4655</v>
      </c>
      <c r="X6356" s="2">
        <v>0</v>
      </c>
      <c r="Y6356">
        <v>20</v>
      </c>
      <c r="Z6356" t="s">
        <v>1491</v>
      </c>
      <c r="AA6356" s="3">
        <v>0.13836088776588401</v>
      </c>
      <c r="AB6356" t="s">
        <v>30766</v>
      </c>
      <c r="AC6356" t="s">
        <v>4562</v>
      </c>
      <c r="AD6356" t="s">
        <v>30765</v>
      </c>
      <c r="AE6356" t="s">
        <v>4655</v>
      </c>
      <c r="AF6356" t="s">
        <v>4563</v>
      </c>
      <c r="AG6356" t="s">
        <v>4564</v>
      </c>
      <c r="AH6356" t="s">
        <v>1147</v>
      </c>
      <c r="AI6356" t="s">
        <v>30767</v>
      </c>
      <c r="AJ6356" t="s">
        <v>2299</v>
      </c>
      <c r="AK6356" t="s">
        <v>30768</v>
      </c>
      <c r="AL6356" s="13" t="s">
        <v>1897</v>
      </c>
      <c r="AM6356" s="14">
        <v>1</v>
      </c>
      <c r="AN6356" s="15" t="s">
        <v>1592</v>
      </c>
    </row>
    <row r="6357" spans="1:40" x14ac:dyDescent="0.3">
      <c r="A6357" s="10" t="str">
        <f>HYPERLINK("http://www.washoecounty.gov/assessor/cama/?parid=234-352-17&amp;CardNumber=1","234-352-17")</f>
        <v>234-352-17</v>
      </c>
      <c r="B6357" t="s">
        <v>4655</v>
      </c>
      <c r="C6357" t="s">
        <v>30769</v>
      </c>
      <c r="D6357" s="1">
        <v>40435</v>
      </c>
      <c r="E6357" s="2">
        <v>262000</v>
      </c>
      <c r="F6357" t="s">
        <v>4567</v>
      </c>
      <c r="G6357" s="17" t="str">
        <f>HYPERLINK("https://www.washoecounty.gov/assessor/cama/?command=sales&amp;parid=23435217","3922271")</f>
        <v>3922271</v>
      </c>
      <c r="H6357" t="s">
        <v>4476</v>
      </c>
      <c r="I6357">
        <v>2006</v>
      </c>
      <c r="J6357">
        <v>2006</v>
      </c>
      <c r="K6357" t="s">
        <v>4554</v>
      </c>
      <c r="L6357" t="s">
        <v>4555</v>
      </c>
      <c r="M6357" s="2">
        <v>1834</v>
      </c>
      <c r="N6357" t="s">
        <v>5280</v>
      </c>
      <c r="O6357">
        <v>2</v>
      </c>
      <c r="P6357">
        <v>2</v>
      </c>
      <c r="Q6357">
        <v>0</v>
      </c>
      <c r="R6357" t="s">
        <v>5281</v>
      </c>
      <c r="S6357" t="s">
        <v>4898</v>
      </c>
      <c r="T6357" t="s">
        <v>2704</v>
      </c>
      <c r="U6357" t="s">
        <v>4560</v>
      </c>
      <c r="V6357" s="2">
        <v>493</v>
      </c>
      <c r="W6357" t="s">
        <v>4655</v>
      </c>
      <c r="X6357" s="2">
        <v>0</v>
      </c>
      <c r="Y6357">
        <v>20</v>
      </c>
      <c r="Z6357" t="s">
        <v>1491</v>
      </c>
      <c r="AA6357" s="3">
        <v>0.158195585012436</v>
      </c>
      <c r="AB6357" t="s">
        <v>30770</v>
      </c>
      <c r="AC6357" t="s">
        <v>4562</v>
      </c>
      <c r="AD6357" t="s">
        <v>30769</v>
      </c>
      <c r="AE6357" t="s">
        <v>4655</v>
      </c>
      <c r="AF6357" t="s">
        <v>4563</v>
      </c>
      <c r="AG6357" t="s">
        <v>4564</v>
      </c>
      <c r="AH6357" t="s">
        <v>1147</v>
      </c>
      <c r="AI6357" t="s">
        <v>28933</v>
      </c>
      <c r="AJ6357" t="s">
        <v>2299</v>
      </c>
      <c r="AK6357" t="s">
        <v>30771</v>
      </c>
      <c r="AL6357" s="13" t="s">
        <v>1897</v>
      </c>
      <c r="AM6357">
        <v>1</v>
      </c>
      <c r="AN6357" s="15" t="s">
        <v>1592</v>
      </c>
    </row>
    <row r="6358" spans="1:40" x14ac:dyDescent="0.3">
      <c r="A6358" s="10" t="str">
        <f>HYPERLINK("http://www.washoecounty.gov/assessor/cama/?parid=234-352-27&amp;CardNumber=1","234-352-27")</f>
        <v>234-352-27</v>
      </c>
      <c r="B6358" t="s">
        <v>4655</v>
      </c>
      <c r="C6358" t="s">
        <v>30772</v>
      </c>
      <c r="D6358" s="1">
        <v>40233</v>
      </c>
      <c r="E6358" s="2">
        <v>169000</v>
      </c>
      <c r="F6358" t="s">
        <v>4567</v>
      </c>
      <c r="G6358" s="17" t="str">
        <f>HYPERLINK("https://www.washoecounty.gov/assessor/cama/?command=sales&amp;parid=23435227","3852391")</f>
        <v>3852391</v>
      </c>
      <c r="H6358" t="s">
        <v>4476</v>
      </c>
      <c r="I6358">
        <v>2006</v>
      </c>
      <c r="J6358">
        <v>2006</v>
      </c>
      <c r="K6358" t="s">
        <v>4554</v>
      </c>
      <c r="L6358" t="s">
        <v>4555</v>
      </c>
      <c r="M6358" s="2">
        <v>1440</v>
      </c>
      <c r="N6358" t="s">
        <v>5280</v>
      </c>
      <c r="O6358">
        <v>2</v>
      </c>
      <c r="P6358">
        <v>2</v>
      </c>
      <c r="Q6358">
        <v>0</v>
      </c>
      <c r="R6358" t="s">
        <v>5281</v>
      </c>
      <c r="S6358" t="s">
        <v>4898</v>
      </c>
      <c r="T6358" t="s">
        <v>2704</v>
      </c>
      <c r="U6358" t="s">
        <v>4560</v>
      </c>
      <c r="V6358" s="2">
        <v>420</v>
      </c>
      <c r="W6358" t="s">
        <v>4655</v>
      </c>
      <c r="X6358" s="2">
        <v>0</v>
      </c>
      <c r="Y6358">
        <v>20</v>
      </c>
      <c r="Z6358" t="s">
        <v>1491</v>
      </c>
      <c r="AA6358" s="3">
        <v>0.11994949728250499</v>
      </c>
      <c r="AB6358" t="s">
        <v>30773</v>
      </c>
      <c r="AC6358" t="s">
        <v>4562</v>
      </c>
      <c r="AD6358" t="s">
        <v>30774</v>
      </c>
      <c r="AE6358" t="s">
        <v>4655</v>
      </c>
      <c r="AF6358" t="s">
        <v>4563</v>
      </c>
      <c r="AG6358" t="s">
        <v>4564</v>
      </c>
      <c r="AH6358" t="s">
        <v>1147</v>
      </c>
      <c r="AI6358" t="s">
        <v>30775</v>
      </c>
      <c r="AJ6358" t="s">
        <v>2299</v>
      </c>
      <c r="AK6358" t="s">
        <v>30776</v>
      </c>
      <c r="AL6358" s="13" t="s">
        <v>1897</v>
      </c>
      <c r="AM6358">
        <v>1</v>
      </c>
      <c r="AN6358" s="15" t="s">
        <v>1592</v>
      </c>
    </row>
    <row r="6359" spans="1:40" x14ac:dyDescent="0.3">
      <c r="A6359" s="10" t="str">
        <f>HYPERLINK("http://www.washoecounty.gov/assessor/cama/?parid=234-352-41&amp;CardNumber=1","234-352-41")</f>
        <v>234-352-41</v>
      </c>
      <c r="B6359" t="s">
        <v>4655</v>
      </c>
      <c r="C6359" t="s">
        <v>30777</v>
      </c>
      <c r="D6359" s="1">
        <v>40443</v>
      </c>
      <c r="E6359" s="2">
        <v>169000</v>
      </c>
      <c r="F6359" t="s">
        <v>4553</v>
      </c>
      <c r="G6359" s="17" t="str">
        <f>HYPERLINK("https://www.washoecounty.gov/assessor/cama/?command=sales&amp;parid=23435241","3924819")</f>
        <v>3924819</v>
      </c>
      <c r="H6359" t="s">
        <v>4476</v>
      </c>
      <c r="I6359">
        <v>2006</v>
      </c>
      <c r="J6359">
        <v>2006</v>
      </c>
      <c r="K6359" t="s">
        <v>4554</v>
      </c>
      <c r="L6359" t="s">
        <v>4555</v>
      </c>
      <c r="M6359" s="2">
        <v>1246</v>
      </c>
      <c r="N6359" t="s">
        <v>5280</v>
      </c>
      <c r="O6359">
        <v>2</v>
      </c>
      <c r="P6359">
        <v>2</v>
      </c>
      <c r="Q6359">
        <v>0</v>
      </c>
      <c r="R6359" t="s">
        <v>5281</v>
      </c>
      <c r="S6359" t="s">
        <v>4898</v>
      </c>
      <c r="T6359" t="s">
        <v>2704</v>
      </c>
      <c r="U6359" t="s">
        <v>4560</v>
      </c>
      <c r="V6359" s="2">
        <v>399</v>
      </c>
      <c r="W6359" t="s">
        <v>4655</v>
      </c>
      <c r="X6359" s="2">
        <v>0</v>
      </c>
      <c r="Y6359">
        <v>20</v>
      </c>
      <c r="Z6359" t="s">
        <v>1491</v>
      </c>
      <c r="AA6359" s="3">
        <v>0.11577135324478099</v>
      </c>
      <c r="AB6359" t="s">
        <v>30778</v>
      </c>
      <c r="AC6359" t="s">
        <v>4562</v>
      </c>
      <c r="AD6359" t="s">
        <v>30779</v>
      </c>
      <c r="AE6359" t="s">
        <v>4655</v>
      </c>
      <c r="AF6359" t="s">
        <v>4563</v>
      </c>
      <c r="AG6359" t="s">
        <v>4564</v>
      </c>
      <c r="AH6359" t="s">
        <v>1147</v>
      </c>
      <c r="AI6359" t="s">
        <v>4903</v>
      </c>
      <c r="AJ6359" t="s">
        <v>2299</v>
      </c>
      <c r="AK6359" t="s">
        <v>30780</v>
      </c>
      <c r="AL6359" s="13" t="s">
        <v>1897</v>
      </c>
      <c r="AM6359">
        <v>1</v>
      </c>
      <c r="AN6359" s="15" t="s">
        <v>1592</v>
      </c>
    </row>
    <row r="6360" spans="1:40" x14ac:dyDescent="0.3">
      <c r="A6360" s="10" t="str">
        <f>HYPERLINK("http://www.washoecounty.gov/assessor/cama/?parid=234-352-46&amp;CardNumber=1","234-352-46")</f>
        <v>234-352-46</v>
      </c>
      <c r="B6360" t="s">
        <v>4655</v>
      </c>
      <c r="C6360" t="s">
        <v>30781</v>
      </c>
      <c r="D6360" s="1">
        <v>40296</v>
      </c>
      <c r="E6360" s="2">
        <v>180000</v>
      </c>
      <c r="F6360" t="s">
        <v>4567</v>
      </c>
      <c r="G6360" s="17" t="str">
        <f>HYPERLINK("https://www.washoecounty.gov/assessor/cama/?command=sales&amp;parid=23435246","3875438")</f>
        <v>3875438</v>
      </c>
      <c r="H6360" t="s">
        <v>4476</v>
      </c>
      <c r="I6360">
        <v>2006</v>
      </c>
      <c r="J6360">
        <v>2006</v>
      </c>
      <c r="K6360" t="s">
        <v>4554</v>
      </c>
      <c r="L6360" t="s">
        <v>4555</v>
      </c>
      <c r="M6360" s="2">
        <v>1440</v>
      </c>
      <c r="N6360" t="s">
        <v>5280</v>
      </c>
      <c r="O6360">
        <v>2</v>
      </c>
      <c r="P6360">
        <v>2</v>
      </c>
      <c r="Q6360">
        <v>0</v>
      </c>
      <c r="R6360" t="s">
        <v>5281</v>
      </c>
      <c r="S6360" t="s">
        <v>4898</v>
      </c>
      <c r="T6360" t="s">
        <v>2704</v>
      </c>
      <c r="U6360" t="s">
        <v>4560</v>
      </c>
      <c r="V6360" s="2">
        <v>420</v>
      </c>
      <c r="W6360" t="s">
        <v>4655</v>
      </c>
      <c r="X6360" s="2">
        <v>0</v>
      </c>
      <c r="Y6360">
        <v>20</v>
      </c>
      <c r="Z6360" t="s">
        <v>1491</v>
      </c>
      <c r="AA6360" s="3">
        <v>0.113154269754887</v>
      </c>
      <c r="AB6360" t="s">
        <v>17047</v>
      </c>
      <c r="AC6360" t="s">
        <v>4562</v>
      </c>
      <c r="AD6360" t="s">
        <v>30781</v>
      </c>
      <c r="AE6360" t="s">
        <v>4655</v>
      </c>
      <c r="AF6360" t="s">
        <v>4563</v>
      </c>
      <c r="AG6360" t="s">
        <v>4564</v>
      </c>
      <c r="AH6360" t="s">
        <v>1147</v>
      </c>
      <c r="AI6360" t="s">
        <v>30782</v>
      </c>
      <c r="AJ6360" t="s">
        <v>2299</v>
      </c>
      <c r="AK6360" t="s">
        <v>30783</v>
      </c>
      <c r="AL6360" s="13" t="s">
        <v>1897</v>
      </c>
      <c r="AM6360" s="14">
        <v>1</v>
      </c>
      <c r="AN6360" s="15" t="s">
        <v>1592</v>
      </c>
    </row>
    <row r="6361" spans="1:40" x14ac:dyDescent="0.3">
      <c r="A6361" s="10" t="str">
        <f>HYPERLINK("http://www.washoecounty.gov/assessor/cama/?parid=234-353-05&amp;CardNumber=1","234-353-05")</f>
        <v>234-353-05</v>
      </c>
      <c r="B6361" t="s">
        <v>4655</v>
      </c>
      <c r="C6361" t="s">
        <v>30784</v>
      </c>
      <c r="D6361" s="1">
        <v>40359</v>
      </c>
      <c r="E6361" s="2">
        <v>223000</v>
      </c>
      <c r="F6361" t="s">
        <v>4567</v>
      </c>
      <c r="G6361" s="17" t="str">
        <f>HYPERLINK("https://www.washoecounty.gov/assessor/cama/?command=sales&amp;parid=23435305","3897479")</f>
        <v>3897479</v>
      </c>
      <c r="H6361" t="s">
        <v>4476</v>
      </c>
      <c r="I6361">
        <v>2006</v>
      </c>
      <c r="J6361">
        <v>2006</v>
      </c>
      <c r="K6361" t="s">
        <v>4554</v>
      </c>
      <c r="L6361" t="s">
        <v>4555</v>
      </c>
      <c r="M6361" s="2">
        <v>1644</v>
      </c>
      <c r="N6361" t="s">
        <v>5280</v>
      </c>
      <c r="O6361">
        <v>3</v>
      </c>
      <c r="P6361">
        <v>2</v>
      </c>
      <c r="Q6361">
        <v>0</v>
      </c>
      <c r="R6361" t="s">
        <v>5281</v>
      </c>
      <c r="S6361" t="s">
        <v>4898</v>
      </c>
      <c r="T6361" t="s">
        <v>2704</v>
      </c>
      <c r="U6361" t="s">
        <v>4560</v>
      </c>
      <c r="V6361" s="2">
        <v>441</v>
      </c>
      <c r="W6361" t="s">
        <v>4655</v>
      </c>
      <c r="X6361" s="2">
        <v>0</v>
      </c>
      <c r="Y6361">
        <v>20</v>
      </c>
      <c r="Z6361" t="s">
        <v>1491</v>
      </c>
      <c r="AA6361" s="3">
        <v>0.130578517913818</v>
      </c>
      <c r="AB6361" t="s">
        <v>20350</v>
      </c>
      <c r="AC6361" t="s">
        <v>4562</v>
      </c>
      <c r="AD6361" t="s">
        <v>30785</v>
      </c>
      <c r="AE6361" t="s">
        <v>4655</v>
      </c>
      <c r="AF6361" t="s">
        <v>4563</v>
      </c>
      <c r="AG6361" t="s">
        <v>4564</v>
      </c>
      <c r="AH6361" t="s">
        <v>1147</v>
      </c>
      <c r="AI6361" t="s">
        <v>30786</v>
      </c>
      <c r="AJ6361" t="s">
        <v>2299</v>
      </c>
      <c r="AK6361" t="s">
        <v>30787</v>
      </c>
      <c r="AL6361" s="13" t="s">
        <v>1897</v>
      </c>
      <c r="AM6361" s="14">
        <v>1</v>
      </c>
      <c r="AN6361" s="15" t="s">
        <v>1592</v>
      </c>
    </row>
    <row r="6362" spans="1:40" x14ac:dyDescent="0.3">
      <c r="A6362" s="10" t="str">
        <f>HYPERLINK("http://www.washoecounty.gov/assessor/cama/?parid=234-361-10&amp;CardNumber=1","234-361-10")</f>
        <v>234-361-10</v>
      </c>
      <c r="B6362" t="s">
        <v>4655</v>
      </c>
      <c r="C6362" t="s">
        <v>4864</v>
      </c>
      <c r="D6362" s="1">
        <v>40513</v>
      </c>
      <c r="E6362" s="2">
        <v>360000</v>
      </c>
      <c r="F6362" t="s">
        <v>4567</v>
      </c>
      <c r="G6362" s="17" t="str">
        <f>HYPERLINK("https://www.washoecounty.gov/assessor/cama/?command=sales&amp;parid=23436110","3948173")</f>
        <v>3948173</v>
      </c>
      <c r="H6362" t="s">
        <v>4476</v>
      </c>
      <c r="I6362">
        <v>2006</v>
      </c>
      <c r="J6362">
        <v>2006</v>
      </c>
      <c r="K6362" t="s">
        <v>4554</v>
      </c>
      <c r="L6362" t="s">
        <v>4555</v>
      </c>
      <c r="M6362" s="2">
        <v>2696</v>
      </c>
      <c r="N6362" t="s">
        <v>5280</v>
      </c>
      <c r="O6362">
        <v>2</v>
      </c>
      <c r="P6362">
        <v>2</v>
      </c>
      <c r="Q6362">
        <v>0</v>
      </c>
      <c r="R6362" t="s">
        <v>5281</v>
      </c>
      <c r="S6362" t="s">
        <v>4898</v>
      </c>
      <c r="T6362" t="s">
        <v>2704</v>
      </c>
      <c r="U6362" t="s">
        <v>4560</v>
      </c>
      <c r="V6362" s="2">
        <v>618</v>
      </c>
      <c r="W6362" t="s">
        <v>4655</v>
      </c>
      <c r="X6362" s="2">
        <v>0</v>
      </c>
      <c r="Y6362">
        <v>20</v>
      </c>
      <c r="Z6362" t="s">
        <v>1491</v>
      </c>
      <c r="AA6362" s="3">
        <v>0.16868686676025399</v>
      </c>
      <c r="AB6362" t="s">
        <v>30788</v>
      </c>
      <c r="AC6362" t="s">
        <v>4562</v>
      </c>
      <c r="AD6362" t="s">
        <v>30789</v>
      </c>
      <c r="AE6362" t="s">
        <v>4655</v>
      </c>
      <c r="AF6362" t="s">
        <v>2108</v>
      </c>
      <c r="AG6362" t="s">
        <v>2109</v>
      </c>
      <c r="AH6362" t="s">
        <v>22998</v>
      </c>
      <c r="AI6362" t="s">
        <v>30790</v>
      </c>
      <c r="AJ6362" t="s">
        <v>2299</v>
      </c>
      <c r="AK6362" t="s">
        <v>30791</v>
      </c>
      <c r="AL6362" s="13" t="s">
        <v>1897</v>
      </c>
      <c r="AM6362" s="14">
        <v>1</v>
      </c>
      <c r="AN6362" s="15" t="s">
        <v>1592</v>
      </c>
    </row>
    <row r="6363" spans="1:40" x14ac:dyDescent="0.3">
      <c r="A6363" s="10" t="str">
        <f>HYPERLINK("http://www.washoecounty.gov/assessor/cama/?parid=234-361-20&amp;CardNumber=1","234-361-20")</f>
        <v>234-361-20</v>
      </c>
      <c r="B6363" t="s">
        <v>4655</v>
      </c>
      <c r="C6363" t="s">
        <v>30792</v>
      </c>
      <c r="D6363" s="1">
        <v>40430</v>
      </c>
      <c r="E6363" s="2">
        <v>245000</v>
      </c>
      <c r="F6363" t="s">
        <v>4567</v>
      </c>
      <c r="G6363" s="17" t="str">
        <f>HYPERLINK("https://www.washoecounty.gov/assessor/cama/?command=sales&amp;parid=23436120","3920629")</f>
        <v>3920629</v>
      </c>
      <c r="H6363" t="s">
        <v>4476</v>
      </c>
      <c r="I6363">
        <v>2006</v>
      </c>
      <c r="J6363">
        <v>2006</v>
      </c>
      <c r="K6363" t="s">
        <v>4554</v>
      </c>
      <c r="L6363" t="s">
        <v>4555</v>
      </c>
      <c r="M6363" s="2">
        <v>1644</v>
      </c>
      <c r="N6363" t="s">
        <v>5280</v>
      </c>
      <c r="O6363">
        <v>3</v>
      </c>
      <c r="P6363">
        <v>2</v>
      </c>
      <c r="Q6363">
        <v>0</v>
      </c>
      <c r="R6363" t="s">
        <v>5281</v>
      </c>
      <c r="S6363" t="s">
        <v>4898</v>
      </c>
      <c r="T6363" t="s">
        <v>2704</v>
      </c>
      <c r="U6363" t="s">
        <v>4560</v>
      </c>
      <c r="V6363" s="2">
        <v>441</v>
      </c>
      <c r="W6363" t="s">
        <v>4655</v>
      </c>
      <c r="X6363" s="2">
        <v>0</v>
      </c>
      <c r="Y6363">
        <v>20</v>
      </c>
      <c r="Z6363" t="s">
        <v>1491</v>
      </c>
      <c r="AA6363" s="3">
        <v>0.131703391671181</v>
      </c>
      <c r="AB6363" t="s">
        <v>30793</v>
      </c>
      <c r="AC6363" t="s">
        <v>4575</v>
      </c>
      <c r="AD6363" t="s">
        <v>30792</v>
      </c>
      <c r="AE6363" t="s">
        <v>4655</v>
      </c>
      <c r="AF6363" t="s">
        <v>4563</v>
      </c>
      <c r="AG6363" t="s">
        <v>4564</v>
      </c>
      <c r="AH6363" t="s">
        <v>1147</v>
      </c>
      <c r="AI6363" t="s">
        <v>30794</v>
      </c>
      <c r="AJ6363" t="s">
        <v>2299</v>
      </c>
      <c r="AK6363" t="s">
        <v>30795</v>
      </c>
      <c r="AL6363" s="13" t="s">
        <v>1897</v>
      </c>
      <c r="AM6363">
        <v>1</v>
      </c>
      <c r="AN6363" s="15" t="s">
        <v>1592</v>
      </c>
    </row>
    <row r="6364" spans="1:40" x14ac:dyDescent="0.3">
      <c r="A6364" s="10" t="str">
        <f>HYPERLINK("http://www.washoecounty.gov/assessor/cama/?parid=234-363-03&amp;CardNumber=1","234-363-03")</f>
        <v>234-363-03</v>
      </c>
      <c r="B6364" t="s">
        <v>4655</v>
      </c>
      <c r="C6364" t="s">
        <v>30796</v>
      </c>
      <c r="D6364" s="1">
        <v>40438</v>
      </c>
      <c r="E6364" s="2">
        <v>416000</v>
      </c>
      <c r="F6364" t="s">
        <v>4567</v>
      </c>
      <c r="G6364" s="17" t="str">
        <f>HYPERLINK("https://www.washoecounty.gov/assessor/cama/?command=sales&amp;parid=23436303","3923653")</f>
        <v>3923653</v>
      </c>
      <c r="H6364" t="s">
        <v>4476</v>
      </c>
      <c r="I6364">
        <v>2006</v>
      </c>
      <c r="J6364">
        <v>2006</v>
      </c>
      <c r="K6364" t="s">
        <v>4554</v>
      </c>
      <c r="L6364" t="s">
        <v>4555</v>
      </c>
      <c r="M6364" s="2">
        <v>2696</v>
      </c>
      <c r="N6364" t="s">
        <v>5280</v>
      </c>
      <c r="O6364">
        <v>3</v>
      </c>
      <c r="P6364">
        <v>3</v>
      </c>
      <c r="Q6364">
        <v>0</v>
      </c>
      <c r="R6364" t="s">
        <v>5281</v>
      </c>
      <c r="S6364" t="s">
        <v>4898</v>
      </c>
      <c r="T6364" t="s">
        <v>2704</v>
      </c>
      <c r="U6364" t="s">
        <v>4560</v>
      </c>
      <c r="V6364" s="2">
        <v>618</v>
      </c>
      <c r="W6364" t="s">
        <v>4655</v>
      </c>
      <c r="X6364" s="2">
        <v>0</v>
      </c>
      <c r="Y6364">
        <v>20</v>
      </c>
      <c r="Z6364" t="s">
        <v>1491</v>
      </c>
      <c r="AA6364" s="3">
        <v>0.222405880689621</v>
      </c>
      <c r="AB6364" t="s">
        <v>30797</v>
      </c>
      <c r="AC6364" t="s">
        <v>4562</v>
      </c>
      <c r="AD6364" t="s">
        <v>30796</v>
      </c>
      <c r="AE6364" t="s">
        <v>4655</v>
      </c>
      <c r="AF6364" t="s">
        <v>4563</v>
      </c>
      <c r="AG6364" t="s">
        <v>4564</v>
      </c>
      <c r="AH6364" t="s">
        <v>1147</v>
      </c>
      <c r="AI6364" t="s">
        <v>30798</v>
      </c>
      <c r="AJ6364" t="s">
        <v>2299</v>
      </c>
      <c r="AK6364" t="s">
        <v>30799</v>
      </c>
      <c r="AL6364" s="13" t="s">
        <v>1897</v>
      </c>
      <c r="AM6364">
        <v>1</v>
      </c>
      <c r="AN6364" s="15" t="s">
        <v>1592</v>
      </c>
    </row>
    <row r="6365" spans="1:40" x14ac:dyDescent="0.3">
      <c r="A6365" s="10" t="str">
        <f>HYPERLINK("http://www.washoecounty.gov/assessor/cama/?parid=234-372-15&amp;CardNumber=1","234-372-15")</f>
        <v>234-372-15</v>
      </c>
      <c r="B6365" t="s">
        <v>4655</v>
      </c>
      <c r="C6365" t="s">
        <v>2105</v>
      </c>
      <c r="D6365" s="1">
        <v>40185</v>
      </c>
      <c r="E6365" s="2">
        <v>180250</v>
      </c>
      <c r="F6365" t="s">
        <v>4567</v>
      </c>
      <c r="G6365" s="17" t="str">
        <f>HYPERLINK("https://www.washoecounty.gov/assessor/cama/?command=sales&amp;parid=23437215","3837253")</f>
        <v>3837253</v>
      </c>
      <c r="H6365" t="s">
        <v>2106</v>
      </c>
      <c r="I6365">
        <v>2006</v>
      </c>
      <c r="J6365">
        <v>2006</v>
      </c>
      <c r="K6365" t="s">
        <v>4554</v>
      </c>
      <c r="L6365" t="s">
        <v>4555</v>
      </c>
      <c r="M6365" s="2">
        <v>1644</v>
      </c>
      <c r="N6365" t="s">
        <v>5280</v>
      </c>
      <c r="O6365">
        <v>3</v>
      </c>
      <c r="P6365">
        <v>2</v>
      </c>
      <c r="Q6365">
        <v>0</v>
      </c>
      <c r="R6365" t="s">
        <v>5281</v>
      </c>
      <c r="S6365" t="s">
        <v>4898</v>
      </c>
      <c r="T6365" t="s">
        <v>2704</v>
      </c>
      <c r="U6365" t="s">
        <v>4560</v>
      </c>
      <c r="V6365" s="2">
        <v>441</v>
      </c>
      <c r="W6365" t="s">
        <v>4655</v>
      </c>
      <c r="X6365" s="2">
        <v>0</v>
      </c>
      <c r="Y6365">
        <v>20</v>
      </c>
      <c r="Z6365" t="s">
        <v>1491</v>
      </c>
      <c r="AA6365" s="3">
        <v>0.15808080136776001</v>
      </c>
      <c r="AB6365" t="s">
        <v>2107</v>
      </c>
      <c r="AC6365" t="s">
        <v>4562</v>
      </c>
      <c r="AD6365" t="s">
        <v>30800</v>
      </c>
      <c r="AE6365" t="s">
        <v>4655</v>
      </c>
      <c r="AF6365" t="s">
        <v>2108</v>
      </c>
      <c r="AG6365" t="s">
        <v>2109</v>
      </c>
      <c r="AH6365" t="s">
        <v>22998</v>
      </c>
      <c r="AI6365" t="s">
        <v>30801</v>
      </c>
      <c r="AJ6365" t="s">
        <v>1590</v>
      </c>
      <c r="AK6365" t="s">
        <v>1591</v>
      </c>
      <c r="AL6365" s="13" t="s">
        <v>1897</v>
      </c>
      <c r="AM6365">
        <v>1</v>
      </c>
      <c r="AN6365" s="15" t="s">
        <v>1592</v>
      </c>
    </row>
    <row r="6366" spans="1:40" x14ac:dyDescent="0.3">
      <c r="A6366" s="10" t="str">
        <f>HYPERLINK("http://www.washoecounty.gov/assessor/cama/?parid=234-373-03&amp;CardNumber=1","234-373-03")</f>
        <v>234-373-03</v>
      </c>
      <c r="B6366" t="s">
        <v>4655</v>
      </c>
      <c r="C6366" t="s">
        <v>30802</v>
      </c>
      <c r="D6366" s="1">
        <v>40395</v>
      </c>
      <c r="E6366" s="2">
        <v>264000</v>
      </c>
      <c r="F6366" t="s">
        <v>4567</v>
      </c>
      <c r="G6366" s="17" t="str">
        <f>HYPERLINK("https://www.washoecounty.gov/assessor/cama/?command=sales&amp;parid=23437303","3909187")</f>
        <v>3909187</v>
      </c>
      <c r="H6366" t="s">
        <v>2106</v>
      </c>
      <c r="I6366">
        <v>2006</v>
      </c>
      <c r="J6366">
        <v>2006</v>
      </c>
      <c r="K6366" t="s">
        <v>4554</v>
      </c>
      <c r="L6366" t="s">
        <v>4555</v>
      </c>
      <c r="M6366" s="2">
        <v>1644</v>
      </c>
      <c r="N6366" t="s">
        <v>5280</v>
      </c>
      <c r="O6366">
        <v>3</v>
      </c>
      <c r="P6366">
        <v>2</v>
      </c>
      <c r="Q6366">
        <v>0</v>
      </c>
      <c r="R6366" t="s">
        <v>5281</v>
      </c>
      <c r="S6366" t="s">
        <v>4898</v>
      </c>
      <c r="T6366" t="s">
        <v>2704</v>
      </c>
      <c r="U6366" t="s">
        <v>4560</v>
      </c>
      <c r="V6366" s="2">
        <v>441</v>
      </c>
      <c r="W6366" t="s">
        <v>4655</v>
      </c>
      <c r="X6366" s="2">
        <v>0</v>
      </c>
      <c r="Y6366">
        <v>20</v>
      </c>
      <c r="Z6366" t="s">
        <v>1491</v>
      </c>
      <c r="AA6366" s="3">
        <v>0.14214876294136047</v>
      </c>
      <c r="AB6366" t="s">
        <v>30803</v>
      </c>
      <c r="AC6366" t="s">
        <v>4562</v>
      </c>
      <c r="AD6366" t="s">
        <v>30804</v>
      </c>
      <c r="AE6366" t="s">
        <v>4655</v>
      </c>
      <c r="AF6366" t="s">
        <v>4752</v>
      </c>
      <c r="AG6366" t="s">
        <v>4564</v>
      </c>
      <c r="AH6366">
        <v>89503</v>
      </c>
      <c r="AI6366" t="s">
        <v>30805</v>
      </c>
      <c r="AJ6366" t="s">
        <v>1590</v>
      </c>
      <c r="AK6366" t="s">
        <v>30806</v>
      </c>
      <c r="AL6366" s="13" t="s">
        <v>1897</v>
      </c>
      <c r="AM6366" s="14">
        <v>1</v>
      </c>
      <c r="AN6366" s="15" t="s">
        <v>1592</v>
      </c>
    </row>
    <row r="6367" spans="1:40" x14ac:dyDescent="0.3">
      <c r="A6367" s="10" t="str">
        <f>HYPERLINK("http://www.washoecounty.gov/assessor/cama/?parid=234-381-01&amp;CardNumber=1","234-381-01")</f>
        <v>234-381-01</v>
      </c>
      <c r="B6367" t="s">
        <v>4655</v>
      </c>
      <c r="C6367" t="s">
        <v>30807</v>
      </c>
      <c r="D6367" s="1">
        <v>40283</v>
      </c>
      <c r="E6367" s="2">
        <v>340000</v>
      </c>
      <c r="F6367" t="s">
        <v>4567</v>
      </c>
      <c r="G6367" s="17" t="str">
        <f>HYPERLINK("https://www.washoecounty.gov/assessor/cama/?command=sales&amp;parid=23438101","3871110")</f>
        <v>3871110</v>
      </c>
      <c r="H6367" t="s">
        <v>2106</v>
      </c>
      <c r="I6367">
        <v>2006</v>
      </c>
      <c r="J6367">
        <v>2006</v>
      </c>
      <c r="K6367" t="s">
        <v>4554</v>
      </c>
      <c r="L6367" t="s">
        <v>4555</v>
      </c>
      <c r="M6367" s="2">
        <v>1834</v>
      </c>
      <c r="N6367" t="s">
        <v>5280</v>
      </c>
      <c r="O6367">
        <v>3</v>
      </c>
      <c r="P6367">
        <v>2</v>
      </c>
      <c r="Q6367">
        <v>0</v>
      </c>
      <c r="R6367" t="s">
        <v>5281</v>
      </c>
      <c r="S6367" t="s">
        <v>4898</v>
      </c>
      <c r="T6367" t="s">
        <v>2704</v>
      </c>
      <c r="U6367" t="s">
        <v>4560</v>
      </c>
      <c r="V6367" s="2">
        <v>493</v>
      </c>
      <c r="W6367" t="s">
        <v>4655</v>
      </c>
      <c r="X6367" s="2">
        <v>0</v>
      </c>
      <c r="Y6367">
        <v>20</v>
      </c>
      <c r="Z6367" t="s">
        <v>1491</v>
      </c>
      <c r="AA6367" s="3">
        <v>0.22906336188316301</v>
      </c>
      <c r="AB6367" t="s">
        <v>30808</v>
      </c>
      <c r="AC6367" t="s">
        <v>4575</v>
      </c>
      <c r="AD6367" t="s">
        <v>30807</v>
      </c>
      <c r="AE6367" t="s">
        <v>4655</v>
      </c>
      <c r="AF6367" t="s">
        <v>4563</v>
      </c>
      <c r="AG6367" t="s">
        <v>4564</v>
      </c>
      <c r="AH6367" t="s">
        <v>1147</v>
      </c>
      <c r="AI6367" t="s">
        <v>30809</v>
      </c>
      <c r="AJ6367" t="s">
        <v>1590</v>
      </c>
      <c r="AK6367" t="s">
        <v>30810</v>
      </c>
      <c r="AL6367" s="13" t="s">
        <v>1897</v>
      </c>
      <c r="AM6367">
        <v>1</v>
      </c>
      <c r="AN6367" s="15" t="s">
        <v>1592</v>
      </c>
    </row>
    <row r="6368" spans="1:40" x14ac:dyDescent="0.3">
      <c r="A6368" s="10" t="str">
        <f>HYPERLINK("http://www.washoecounty.gov/assessor/cama/?parid=234-391-14&amp;CardNumber=1","234-391-14")</f>
        <v>234-391-14</v>
      </c>
      <c r="B6368" t="s">
        <v>4655</v>
      </c>
      <c r="C6368" t="s">
        <v>30811</v>
      </c>
      <c r="D6368" s="1">
        <v>40420</v>
      </c>
      <c r="E6368" s="2">
        <v>447500</v>
      </c>
      <c r="F6368" t="s">
        <v>4567</v>
      </c>
      <c r="G6368" s="17" t="str">
        <f>HYPERLINK("https://www.washoecounty.gov/assessor/cama/?command=sales&amp;parid=23439114","3916693")</f>
        <v>3916693</v>
      </c>
      <c r="H6368" t="s">
        <v>1884</v>
      </c>
      <c r="I6368">
        <v>2006</v>
      </c>
      <c r="J6368">
        <v>2006</v>
      </c>
      <c r="K6368" t="s">
        <v>4554</v>
      </c>
      <c r="L6368" t="s">
        <v>3974</v>
      </c>
      <c r="M6368" s="2">
        <v>3764</v>
      </c>
      <c r="N6368" t="s">
        <v>3147</v>
      </c>
      <c r="O6368">
        <v>4</v>
      </c>
      <c r="P6368">
        <v>3</v>
      </c>
      <c r="Q6368">
        <v>1</v>
      </c>
      <c r="R6368" t="s">
        <v>5281</v>
      </c>
      <c r="S6368" t="s">
        <v>4898</v>
      </c>
      <c r="T6368" t="s">
        <v>2704</v>
      </c>
      <c r="U6368" t="s">
        <v>4560</v>
      </c>
      <c r="V6368" s="2">
        <v>632</v>
      </c>
      <c r="W6368" t="s">
        <v>4655</v>
      </c>
      <c r="X6368" s="2">
        <v>0</v>
      </c>
      <c r="Y6368">
        <v>20</v>
      </c>
      <c r="Z6368" t="s">
        <v>5282</v>
      </c>
      <c r="AA6368" s="3">
        <v>0.14921946823596954</v>
      </c>
      <c r="AB6368" t="s">
        <v>30812</v>
      </c>
      <c r="AC6368" t="s">
        <v>4575</v>
      </c>
      <c r="AD6368" t="s">
        <v>30811</v>
      </c>
      <c r="AE6368" t="s">
        <v>4655</v>
      </c>
      <c r="AF6368" t="s">
        <v>4563</v>
      </c>
      <c r="AG6368" t="s">
        <v>4564</v>
      </c>
      <c r="AH6368" t="s">
        <v>1147</v>
      </c>
      <c r="AI6368" t="s">
        <v>1328</v>
      </c>
      <c r="AJ6368" t="s">
        <v>1885</v>
      </c>
      <c r="AK6368" t="s">
        <v>30813</v>
      </c>
      <c r="AL6368" s="13" t="s">
        <v>1897</v>
      </c>
      <c r="AM6368">
        <v>1</v>
      </c>
      <c r="AN6368" s="15" t="s">
        <v>1499</v>
      </c>
    </row>
    <row r="6369" spans="1:40" x14ac:dyDescent="0.3">
      <c r="A6369" s="10" t="str">
        <f>HYPERLINK("http://www.washoecounty.gov/assessor/cama/?parid=234-391-14&amp;CardNumber=1","234-391-14")</f>
        <v>234-391-14</v>
      </c>
      <c r="B6369" t="s">
        <v>4655</v>
      </c>
      <c r="C6369" t="s">
        <v>30811</v>
      </c>
      <c r="D6369" s="1">
        <v>40504</v>
      </c>
      <c r="E6369" s="2">
        <v>400000</v>
      </c>
      <c r="F6369" t="s">
        <v>4567</v>
      </c>
      <c r="G6369" s="17" t="str">
        <f>HYPERLINK("https://www.washoecounty.gov/assessor/cama/?command=sales&amp;parid=23439114","3945747")</f>
        <v>3945747</v>
      </c>
      <c r="H6369" t="s">
        <v>1884</v>
      </c>
      <c r="I6369">
        <v>2006</v>
      </c>
      <c r="J6369">
        <v>2006</v>
      </c>
      <c r="K6369" t="s">
        <v>4554</v>
      </c>
      <c r="L6369" t="s">
        <v>3974</v>
      </c>
      <c r="M6369" s="2">
        <v>3764</v>
      </c>
      <c r="N6369" t="s">
        <v>3147</v>
      </c>
      <c r="O6369">
        <v>4</v>
      </c>
      <c r="P6369">
        <v>3</v>
      </c>
      <c r="Q6369">
        <v>1</v>
      </c>
      <c r="R6369" t="s">
        <v>5281</v>
      </c>
      <c r="S6369" t="s">
        <v>4898</v>
      </c>
      <c r="T6369" t="s">
        <v>2704</v>
      </c>
      <c r="U6369" t="s">
        <v>4560</v>
      </c>
      <c r="V6369" s="2">
        <v>632</v>
      </c>
      <c r="W6369" t="s">
        <v>4655</v>
      </c>
      <c r="X6369" s="2">
        <v>0</v>
      </c>
      <c r="Y6369">
        <v>20</v>
      </c>
      <c r="Z6369" t="s">
        <v>5282</v>
      </c>
      <c r="AA6369" s="3">
        <v>0.14921946823596954</v>
      </c>
      <c r="AB6369" t="s">
        <v>30812</v>
      </c>
      <c r="AC6369" t="s">
        <v>4575</v>
      </c>
      <c r="AD6369" t="s">
        <v>30811</v>
      </c>
      <c r="AE6369" t="s">
        <v>4655</v>
      </c>
      <c r="AF6369" t="s">
        <v>4563</v>
      </c>
      <c r="AG6369" t="s">
        <v>4564</v>
      </c>
      <c r="AH6369" t="s">
        <v>1147</v>
      </c>
      <c r="AI6369" t="s">
        <v>1328</v>
      </c>
      <c r="AJ6369" t="s">
        <v>1885</v>
      </c>
      <c r="AK6369" t="s">
        <v>30813</v>
      </c>
      <c r="AL6369" s="13" t="s">
        <v>1897</v>
      </c>
      <c r="AM6369" s="14">
        <v>1</v>
      </c>
      <c r="AN6369" s="15" t="s">
        <v>1499</v>
      </c>
    </row>
    <row r="6370" spans="1:40" x14ac:dyDescent="0.3">
      <c r="A6370" s="10" t="str">
        <f>HYPERLINK("http://www.washoecounty.gov/assessor/cama/?parid=234-454-11&amp;CardNumber=1","234-454-11")</f>
        <v>234-454-11</v>
      </c>
      <c r="B6370" t="s">
        <v>4655</v>
      </c>
      <c r="C6370" t="s">
        <v>11980</v>
      </c>
      <c r="D6370" s="1">
        <v>40451</v>
      </c>
      <c r="E6370" s="2">
        <v>210000</v>
      </c>
      <c r="F6370" t="s">
        <v>4567</v>
      </c>
      <c r="G6370" s="17" t="str">
        <f>HYPERLINK("https://www.washoecounty.gov/assessor/cama/?command=sales&amp;parid=23445411","3927980")</f>
        <v>3927980</v>
      </c>
      <c r="H6370" t="s">
        <v>1093</v>
      </c>
      <c r="I6370">
        <v>2007</v>
      </c>
      <c r="J6370">
        <v>2007</v>
      </c>
      <c r="K6370" t="s">
        <v>4554</v>
      </c>
      <c r="L6370" t="s">
        <v>4555</v>
      </c>
      <c r="M6370" s="2">
        <v>1440</v>
      </c>
      <c r="N6370" t="s">
        <v>5280</v>
      </c>
      <c r="O6370">
        <v>2</v>
      </c>
      <c r="P6370">
        <v>2</v>
      </c>
      <c r="Q6370">
        <v>0</v>
      </c>
      <c r="R6370" t="s">
        <v>5281</v>
      </c>
      <c r="S6370" t="s">
        <v>4898</v>
      </c>
      <c r="T6370" t="s">
        <v>2704</v>
      </c>
      <c r="U6370" t="s">
        <v>4560</v>
      </c>
      <c r="V6370" s="2">
        <v>420</v>
      </c>
      <c r="W6370" t="s">
        <v>4655</v>
      </c>
      <c r="X6370" s="2">
        <v>0</v>
      </c>
      <c r="Y6370">
        <v>20</v>
      </c>
      <c r="Z6370" t="s">
        <v>1491</v>
      </c>
      <c r="AA6370" s="3">
        <v>0.15915977954864502</v>
      </c>
      <c r="AB6370" t="s">
        <v>30814</v>
      </c>
      <c r="AC6370" t="s">
        <v>4562</v>
      </c>
      <c r="AD6370" t="s">
        <v>11980</v>
      </c>
      <c r="AE6370" t="s">
        <v>4655</v>
      </c>
      <c r="AF6370" t="s">
        <v>4563</v>
      </c>
      <c r="AG6370" t="s">
        <v>4564</v>
      </c>
      <c r="AH6370" t="s">
        <v>1147</v>
      </c>
      <c r="AI6370" t="s">
        <v>11979</v>
      </c>
      <c r="AJ6370" t="s">
        <v>1094</v>
      </c>
      <c r="AK6370" t="s">
        <v>30815</v>
      </c>
      <c r="AL6370" s="13" t="s">
        <v>1897</v>
      </c>
      <c r="AM6370">
        <v>1</v>
      </c>
      <c r="AN6370" s="15" t="s">
        <v>1592</v>
      </c>
    </row>
    <row r="6371" spans="1:40" x14ac:dyDescent="0.3">
      <c r="A6371" s="10" t="str">
        <f>HYPERLINK("http://www.washoecounty.gov/assessor/cama/?parid=234-454-13&amp;CardNumber=1","234-454-13")</f>
        <v>234-454-13</v>
      </c>
      <c r="B6371" t="s">
        <v>4655</v>
      </c>
      <c r="C6371" t="s">
        <v>30816</v>
      </c>
      <c r="D6371" s="1">
        <v>40444</v>
      </c>
      <c r="E6371" s="2">
        <v>249500</v>
      </c>
      <c r="F6371" t="s">
        <v>4553</v>
      </c>
      <c r="G6371" s="17" t="str">
        <f>HYPERLINK("https://www.washoecounty.gov/assessor/cama/?command=sales&amp;parid=23445413","3925472")</f>
        <v>3925472</v>
      </c>
      <c r="H6371" t="s">
        <v>1093</v>
      </c>
      <c r="I6371">
        <v>2007</v>
      </c>
      <c r="J6371">
        <v>2007</v>
      </c>
      <c r="K6371" t="s">
        <v>4554</v>
      </c>
      <c r="L6371" t="s">
        <v>4555</v>
      </c>
      <c r="M6371" s="2">
        <v>1644</v>
      </c>
      <c r="N6371" t="s">
        <v>5280</v>
      </c>
      <c r="O6371">
        <v>2</v>
      </c>
      <c r="P6371">
        <v>2</v>
      </c>
      <c r="Q6371">
        <v>0</v>
      </c>
      <c r="R6371" t="s">
        <v>5281</v>
      </c>
      <c r="S6371" t="s">
        <v>4898</v>
      </c>
      <c r="T6371" t="s">
        <v>2704</v>
      </c>
      <c r="U6371" t="s">
        <v>4560</v>
      </c>
      <c r="V6371" s="2">
        <v>441</v>
      </c>
      <c r="W6371" t="s">
        <v>4655</v>
      </c>
      <c r="X6371" s="2">
        <v>0</v>
      </c>
      <c r="Y6371">
        <v>20</v>
      </c>
      <c r="Z6371" t="s">
        <v>1491</v>
      </c>
      <c r="AA6371" s="3">
        <v>0.14949494600296001</v>
      </c>
      <c r="AB6371" t="s">
        <v>30817</v>
      </c>
      <c r="AC6371" t="s">
        <v>4575</v>
      </c>
      <c r="AD6371" t="s">
        <v>30816</v>
      </c>
      <c r="AE6371" t="s">
        <v>4655</v>
      </c>
      <c r="AF6371" t="s">
        <v>4563</v>
      </c>
      <c r="AG6371" t="s">
        <v>4564</v>
      </c>
      <c r="AH6371" t="s">
        <v>1147</v>
      </c>
      <c r="AI6371" t="s">
        <v>30818</v>
      </c>
      <c r="AJ6371" t="s">
        <v>1094</v>
      </c>
      <c r="AK6371" t="s">
        <v>30819</v>
      </c>
      <c r="AL6371" s="13" t="s">
        <v>1897</v>
      </c>
      <c r="AM6371" s="14">
        <v>1</v>
      </c>
      <c r="AN6371" s="15" t="s">
        <v>1592</v>
      </c>
    </row>
    <row r="6372" spans="1:40" x14ac:dyDescent="0.3">
      <c r="A6372" s="10" t="str">
        <f>HYPERLINK("http://www.washoecounty.gov/assessor/cama/?parid=234-471-01&amp;CardNumber=1","234-471-01")</f>
        <v>234-471-01</v>
      </c>
      <c r="B6372" t="s">
        <v>4655</v>
      </c>
      <c r="C6372" t="s">
        <v>30820</v>
      </c>
      <c r="D6372" s="1">
        <v>40288</v>
      </c>
      <c r="E6372" s="2">
        <v>287000</v>
      </c>
      <c r="F6372" t="s">
        <v>4567</v>
      </c>
      <c r="G6372" s="17" t="str">
        <f>HYPERLINK("https://www.washoecounty.gov/assessor/cama/?command=sales&amp;parid=23447101","3872804")</f>
        <v>3872804</v>
      </c>
      <c r="H6372" t="s">
        <v>3794</v>
      </c>
      <c r="I6372">
        <v>2009</v>
      </c>
      <c r="J6372">
        <v>2009</v>
      </c>
      <c r="K6372" t="s">
        <v>4554</v>
      </c>
      <c r="L6372" t="s">
        <v>4555</v>
      </c>
      <c r="M6372" s="2">
        <v>2066</v>
      </c>
      <c r="N6372" t="s">
        <v>5280</v>
      </c>
      <c r="O6372">
        <v>2</v>
      </c>
      <c r="P6372">
        <v>2</v>
      </c>
      <c r="Q6372">
        <v>0</v>
      </c>
      <c r="R6372" t="s">
        <v>5281</v>
      </c>
      <c r="S6372" t="s">
        <v>4898</v>
      </c>
      <c r="T6372" t="s">
        <v>2704</v>
      </c>
      <c r="U6372" t="s">
        <v>4560</v>
      </c>
      <c r="V6372" s="2">
        <v>506</v>
      </c>
      <c r="W6372" t="s">
        <v>4655</v>
      </c>
      <c r="X6372" s="2">
        <v>0</v>
      </c>
      <c r="Y6372">
        <v>20</v>
      </c>
      <c r="Z6372" t="s">
        <v>1491</v>
      </c>
      <c r="AA6372" s="3">
        <v>0.170247927308083</v>
      </c>
      <c r="AB6372" t="s">
        <v>30821</v>
      </c>
      <c r="AC6372" t="s">
        <v>4575</v>
      </c>
      <c r="AD6372" t="s">
        <v>30820</v>
      </c>
      <c r="AE6372" t="s">
        <v>4655</v>
      </c>
      <c r="AF6372" t="s">
        <v>4563</v>
      </c>
      <c r="AG6372" t="s">
        <v>4564</v>
      </c>
      <c r="AH6372" t="s">
        <v>1147</v>
      </c>
      <c r="AI6372" t="s">
        <v>3795</v>
      </c>
      <c r="AJ6372" t="s">
        <v>3796</v>
      </c>
      <c r="AK6372" t="s">
        <v>30822</v>
      </c>
      <c r="AL6372" s="13" t="s">
        <v>1897</v>
      </c>
      <c r="AM6372" s="14">
        <v>1</v>
      </c>
      <c r="AN6372" s="15" t="s">
        <v>1592</v>
      </c>
    </row>
    <row r="6373" spans="1:40" x14ac:dyDescent="0.3">
      <c r="A6373" s="10" t="str">
        <f>HYPERLINK("http://www.washoecounty.gov/assessor/cama/?parid=234-471-13&amp;CardNumber=1","234-471-13")</f>
        <v>234-471-13</v>
      </c>
      <c r="B6373" t="s">
        <v>4655</v>
      </c>
      <c r="C6373" t="s">
        <v>30823</v>
      </c>
      <c r="D6373" s="1">
        <v>40359</v>
      </c>
      <c r="E6373" s="2">
        <v>203000</v>
      </c>
      <c r="F6373" t="s">
        <v>4567</v>
      </c>
      <c r="G6373" s="17" t="str">
        <f>HYPERLINK("https://www.washoecounty.gov/assessor/cama/?command=sales&amp;parid=23447113","3897100")</f>
        <v>3897100</v>
      </c>
      <c r="H6373" t="s">
        <v>30824</v>
      </c>
      <c r="I6373">
        <v>2009</v>
      </c>
      <c r="J6373">
        <v>2009</v>
      </c>
      <c r="K6373" t="s">
        <v>4554</v>
      </c>
      <c r="L6373" t="s">
        <v>4555</v>
      </c>
      <c r="M6373" s="2">
        <v>1264</v>
      </c>
      <c r="N6373" t="s">
        <v>5280</v>
      </c>
      <c r="O6373">
        <v>1</v>
      </c>
      <c r="P6373">
        <v>2</v>
      </c>
      <c r="Q6373">
        <v>0</v>
      </c>
      <c r="R6373" t="s">
        <v>5281</v>
      </c>
      <c r="S6373" t="s">
        <v>4898</v>
      </c>
      <c r="T6373" t="s">
        <v>2704</v>
      </c>
      <c r="U6373" t="s">
        <v>4560</v>
      </c>
      <c r="V6373" s="2">
        <v>399</v>
      </c>
      <c r="W6373" t="s">
        <v>4655</v>
      </c>
      <c r="X6373" s="2">
        <v>0</v>
      </c>
      <c r="Y6373">
        <v>20</v>
      </c>
      <c r="Z6373" t="s">
        <v>1491</v>
      </c>
      <c r="AA6373" s="3">
        <v>0.13050964474678001</v>
      </c>
      <c r="AB6373" t="s">
        <v>30825</v>
      </c>
      <c r="AC6373" t="s">
        <v>4562</v>
      </c>
      <c r="AD6373" t="s">
        <v>30826</v>
      </c>
      <c r="AE6373" t="s">
        <v>4655</v>
      </c>
      <c r="AF6373" t="s">
        <v>495</v>
      </c>
      <c r="AG6373" t="s">
        <v>4564</v>
      </c>
      <c r="AH6373">
        <v>89005</v>
      </c>
      <c r="AI6373" t="s">
        <v>3795</v>
      </c>
      <c r="AJ6373" t="s">
        <v>30827</v>
      </c>
      <c r="AK6373" t="s">
        <v>30828</v>
      </c>
      <c r="AL6373" s="13" t="s">
        <v>1897</v>
      </c>
      <c r="AM6373" s="14">
        <v>1</v>
      </c>
      <c r="AN6373" s="15" t="s">
        <v>1592</v>
      </c>
    </row>
    <row r="6374" spans="1:40" x14ac:dyDescent="0.3">
      <c r="A6374" s="10" t="str">
        <f>HYPERLINK("http://www.washoecounty.gov/assessor/cama/?parid=234-471-18&amp;CardNumber=1","234-471-18")</f>
        <v>234-471-18</v>
      </c>
      <c r="B6374" t="s">
        <v>4655</v>
      </c>
      <c r="C6374" t="s">
        <v>30829</v>
      </c>
      <c r="D6374" s="1">
        <v>40263</v>
      </c>
      <c r="E6374" s="2">
        <v>213000</v>
      </c>
      <c r="F6374" t="s">
        <v>4567</v>
      </c>
      <c r="G6374" s="17" t="str">
        <f>HYPERLINK("https://www.washoecounty.gov/assessor/cama/?command=sales&amp;parid=23447118","3864488")</f>
        <v>3864488</v>
      </c>
      <c r="H6374" t="s">
        <v>30824</v>
      </c>
      <c r="I6374">
        <v>2009</v>
      </c>
      <c r="J6374">
        <v>2009</v>
      </c>
      <c r="K6374" t="s">
        <v>4554</v>
      </c>
      <c r="L6374" t="s">
        <v>4555</v>
      </c>
      <c r="M6374" s="2">
        <v>1440</v>
      </c>
      <c r="N6374" t="s">
        <v>5280</v>
      </c>
      <c r="O6374">
        <v>2</v>
      </c>
      <c r="P6374">
        <v>2</v>
      </c>
      <c r="Q6374">
        <v>0</v>
      </c>
      <c r="R6374" t="s">
        <v>5281</v>
      </c>
      <c r="S6374" t="s">
        <v>4898</v>
      </c>
      <c r="T6374" t="s">
        <v>2704</v>
      </c>
      <c r="U6374" t="s">
        <v>4560</v>
      </c>
      <c r="V6374" s="2">
        <v>420</v>
      </c>
      <c r="W6374" t="s">
        <v>4655</v>
      </c>
      <c r="X6374" s="2">
        <v>0</v>
      </c>
      <c r="Y6374">
        <v>20</v>
      </c>
      <c r="Z6374" t="s">
        <v>1491</v>
      </c>
      <c r="AA6374" s="3">
        <v>0.15218089520931199</v>
      </c>
      <c r="AB6374" t="s">
        <v>30830</v>
      </c>
      <c r="AC6374" t="s">
        <v>4562</v>
      </c>
      <c r="AD6374" t="s">
        <v>30831</v>
      </c>
      <c r="AE6374" t="s">
        <v>4655</v>
      </c>
      <c r="AF6374" t="s">
        <v>4563</v>
      </c>
      <c r="AG6374" t="s">
        <v>4564</v>
      </c>
      <c r="AH6374" t="s">
        <v>1147</v>
      </c>
      <c r="AI6374" t="s">
        <v>3795</v>
      </c>
      <c r="AJ6374" t="s">
        <v>30832</v>
      </c>
      <c r="AK6374" t="s">
        <v>30833</v>
      </c>
      <c r="AL6374" s="13" t="s">
        <v>1897</v>
      </c>
      <c r="AM6374">
        <v>1</v>
      </c>
      <c r="AN6374" s="15" t="s">
        <v>1592</v>
      </c>
    </row>
    <row r="6375" spans="1:40" x14ac:dyDescent="0.3">
      <c r="A6375" s="10" t="str">
        <f>HYPERLINK("http://www.washoecounty.gov/assessor/cama/?parid=234-472-01&amp;CardNumber=1","234-472-01")</f>
        <v>234-472-01</v>
      </c>
      <c r="B6375" t="s">
        <v>4655</v>
      </c>
      <c r="C6375" t="s">
        <v>30834</v>
      </c>
      <c r="D6375" s="1">
        <v>40186</v>
      </c>
      <c r="E6375" s="2">
        <v>242000</v>
      </c>
      <c r="F6375" t="s">
        <v>4567</v>
      </c>
      <c r="G6375" s="17" t="str">
        <f>HYPERLINK("https://www.washoecounty.gov/assessor/cama/?command=sales&amp;parid=23447201","3837634")</f>
        <v>3837634</v>
      </c>
      <c r="H6375" t="s">
        <v>3794</v>
      </c>
      <c r="I6375">
        <v>2009</v>
      </c>
      <c r="J6375">
        <v>2009</v>
      </c>
      <c r="K6375" t="s">
        <v>4554</v>
      </c>
      <c r="L6375" t="s">
        <v>4555</v>
      </c>
      <c r="M6375" s="2">
        <v>1598</v>
      </c>
      <c r="N6375" t="s">
        <v>5280</v>
      </c>
      <c r="O6375">
        <v>3</v>
      </c>
      <c r="P6375">
        <v>2</v>
      </c>
      <c r="Q6375">
        <v>0</v>
      </c>
      <c r="R6375" t="s">
        <v>5281</v>
      </c>
      <c r="S6375" t="s">
        <v>4898</v>
      </c>
      <c r="T6375" t="s">
        <v>2704</v>
      </c>
      <c r="U6375" t="s">
        <v>4560</v>
      </c>
      <c r="V6375" s="2">
        <v>400</v>
      </c>
      <c r="W6375" t="s">
        <v>4655</v>
      </c>
      <c r="X6375" s="2">
        <v>0</v>
      </c>
      <c r="Y6375">
        <v>20</v>
      </c>
      <c r="Z6375" t="s">
        <v>1491</v>
      </c>
      <c r="AA6375" s="3">
        <v>0.14299815893173218</v>
      </c>
      <c r="AB6375" t="s">
        <v>30835</v>
      </c>
      <c r="AC6375" t="s">
        <v>4562</v>
      </c>
      <c r="AD6375" t="s">
        <v>30834</v>
      </c>
      <c r="AE6375" t="s">
        <v>4655</v>
      </c>
      <c r="AF6375" t="s">
        <v>4563</v>
      </c>
      <c r="AG6375" t="s">
        <v>4564</v>
      </c>
      <c r="AH6375" t="s">
        <v>1147</v>
      </c>
      <c r="AI6375" t="s">
        <v>3795</v>
      </c>
      <c r="AJ6375" t="s">
        <v>3796</v>
      </c>
      <c r="AK6375" t="s">
        <v>30836</v>
      </c>
      <c r="AL6375" s="13" t="s">
        <v>1897</v>
      </c>
      <c r="AM6375" s="14">
        <v>1</v>
      </c>
      <c r="AN6375" s="15" t="s">
        <v>1592</v>
      </c>
    </row>
    <row r="6376" spans="1:40" x14ac:dyDescent="0.3">
      <c r="A6376" s="10" t="str">
        <f>HYPERLINK("http://www.washoecounty.gov/assessor/cama/?parid=234-472-03&amp;CardNumber=1","234-472-03")</f>
        <v>234-472-03</v>
      </c>
      <c r="B6376" t="s">
        <v>4655</v>
      </c>
      <c r="C6376" t="s">
        <v>30837</v>
      </c>
      <c r="D6376" s="1">
        <v>40277</v>
      </c>
      <c r="E6376" s="2">
        <v>220500</v>
      </c>
      <c r="F6376" t="s">
        <v>4567</v>
      </c>
      <c r="G6376" s="17" t="str">
        <f>HYPERLINK("https://www.washoecounty.gov/assessor/cama/?command=sales&amp;parid=23447203","3869250")</f>
        <v>3869250</v>
      </c>
      <c r="H6376" t="s">
        <v>3794</v>
      </c>
      <c r="I6376">
        <v>2009</v>
      </c>
      <c r="J6376">
        <v>2009</v>
      </c>
      <c r="K6376" t="s">
        <v>4554</v>
      </c>
      <c r="L6376" t="s">
        <v>4555</v>
      </c>
      <c r="M6376" s="2">
        <v>1440</v>
      </c>
      <c r="N6376" t="s">
        <v>5280</v>
      </c>
      <c r="O6376">
        <v>2</v>
      </c>
      <c r="P6376">
        <v>2</v>
      </c>
      <c r="Q6376">
        <v>0</v>
      </c>
      <c r="R6376" t="s">
        <v>5281</v>
      </c>
      <c r="S6376" t="s">
        <v>4898</v>
      </c>
      <c r="T6376" t="s">
        <v>2704</v>
      </c>
      <c r="U6376" t="s">
        <v>4560</v>
      </c>
      <c r="V6376" s="2">
        <v>420</v>
      </c>
      <c r="W6376" t="s">
        <v>4655</v>
      </c>
      <c r="X6376" s="2">
        <v>0</v>
      </c>
      <c r="Y6376">
        <v>20</v>
      </c>
      <c r="Z6376" t="s">
        <v>1491</v>
      </c>
      <c r="AA6376" s="3">
        <v>0.13813132047653201</v>
      </c>
      <c r="AB6376" t="s">
        <v>30838</v>
      </c>
      <c r="AC6376" t="s">
        <v>4562</v>
      </c>
      <c r="AD6376" t="s">
        <v>30839</v>
      </c>
      <c r="AE6376" t="s">
        <v>4655</v>
      </c>
      <c r="AF6376" t="s">
        <v>4563</v>
      </c>
      <c r="AG6376" t="s">
        <v>4564</v>
      </c>
      <c r="AH6376" t="s">
        <v>1147</v>
      </c>
      <c r="AI6376" t="s">
        <v>3795</v>
      </c>
      <c r="AJ6376" t="s">
        <v>3796</v>
      </c>
      <c r="AK6376" t="s">
        <v>30840</v>
      </c>
      <c r="AL6376" s="13" t="s">
        <v>1897</v>
      </c>
      <c r="AM6376">
        <v>1</v>
      </c>
      <c r="AN6376" s="15" t="s">
        <v>1592</v>
      </c>
    </row>
    <row r="6377" spans="1:40" x14ac:dyDescent="0.3">
      <c r="A6377" s="10" t="str">
        <f>HYPERLINK("http://www.washoecounty.gov/assessor/cama/?parid=234-472-04&amp;CardNumber=1","234-472-04")</f>
        <v>234-472-04</v>
      </c>
      <c r="B6377" t="s">
        <v>4655</v>
      </c>
      <c r="C6377" t="s">
        <v>30841</v>
      </c>
      <c r="D6377" s="1">
        <v>40298</v>
      </c>
      <c r="E6377" s="2">
        <v>199990</v>
      </c>
      <c r="F6377" t="s">
        <v>4567</v>
      </c>
      <c r="G6377" s="17" t="str">
        <f>HYPERLINK("https://www.washoecounty.gov/assessor/cama/?command=sales&amp;parid=23447204","3876905")</f>
        <v>3876905</v>
      </c>
      <c r="H6377" t="s">
        <v>3794</v>
      </c>
      <c r="I6377">
        <v>2009</v>
      </c>
      <c r="J6377">
        <v>2009</v>
      </c>
      <c r="K6377" t="s">
        <v>4554</v>
      </c>
      <c r="L6377" t="s">
        <v>4555</v>
      </c>
      <c r="M6377" s="2">
        <v>1264</v>
      </c>
      <c r="N6377" t="s">
        <v>5280</v>
      </c>
      <c r="O6377">
        <v>1</v>
      </c>
      <c r="P6377">
        <v>2</v>
      </c>
      <c r="Q6377">
        <v>0</v>
      </c>
      <c r="R6377" t="s">
        <v>5281</v>
      </c>
      <c r="S6377" t="s">
        <v>4898</v>
      </c>
      <c r="T6377" t="s">
        <v>2704</v>
      </c>
      <c r="U6377" t="s">
        <v>4560</v>
      </c>
      <c r="V6377" s="2">
        <v>399</v>
      </c>
      <c r="W6377" t="s">
        <v>4655</v>
      </c>
      <c r="X6377" s="2">
        <v>0</v>
      </c>
      <c r="Y6377">
        <v>20</v>
      </c>
      <c r="Z6377" t="s">
        <v>1491</v>
      </c>
      <c r="AA6377" s="3">
        <v>0.119696967303753</v>
      </c>
      <c r="AB6377" t="s">
        <v>30842</v>
      </c>
      <c r="AC6377" t="s">
        <v>4562</v>
      </c>
      <c r="AD6377" t="s">
        <v>30841</v>
      </c>
      <c r="AE6377" t="s">
        <v>4655</v>
      </c>
      <c r="AF6377" t="s">
        <v>4563</v>
      </c>
      <c r="AG6377" t="s">
        <v>4564</v>
      </c>
      <c r="AH6377" t="s">
        <v>1147</v>
      </c>
      <c r="AI6377" t="s">
        <v>3795</v>
      </c>
      <c r="AJ6377" t="s">
        <v>3796</v>
      </c>
      <c r="AK6377" t="s">
        <v>30843</v>
      </c>
      <c r="AL6377" s="13" t="s">
        <v>1897</v>
      </c>
      <c r="AM6377">
        <v>1</v>
      </c>
      <c r="AN6377" s="15" t="s">
        <v>1592</v>
      </c>
    </row>
    <row r="6378" spans="1:40" x14ac:dyDescent="0.3">
      <c r="A6378" s="10" t="str">
        <f>HYPERLINK("http://www.washoecounty.gov/assessor/cama/?parid=234-472-06&amp;CardNumber=1","234-472-06")</f>
        <v>234-472-06</v>
      </c>
      <c r="B6378" t="s">
        <v>4655</v>
      </c>
      <c r="C6378" t="s">
        <v>30844</v>
      </c>
      <c r="D6378" s="1">
        <v>40514</v>
      </c>
      <c r="E6378" s="2">
        <v>216800</v>
      </c>
      <c r="F6378" t="s">
        <v>4567</v>
      </c>
      <c r="G6378" s="17" t="str">
        <f>HYPERLINK("https://www.washoecounty.gov/assessor/cama/?command=sales&amp;parid=23447206","3948816")</f>
        <v>3948816</v>
      </c>
      <c r="H6378" t="s">
        <v>3794</v>
      </c>
      <c r="I6378">
        <v>2010</v>
      </c>
      <c r="J6378">
        <v>2010</v>
      </c>
      <c r="K6378" t="s">
        <v>4554</v>
      </c>
      <c r="L6378" t="s">
        <v>4555</v>
      </c>
      <c r="M6378" s="2">
        <v>1422</v>
      </c>
      <c r="N6378" t="s">
        <v>5280</v>
      </c>
      <c r="O6378">
        <v>2</v>
      </c>
      <c r="P6378">
        <v>2</v>
      </c>
      <c r="Q6378">
        <v>0</v>
      </c>
      <c r="R6378" t="s">
        <v>5281</v>
      </c>
      <c r="S6378" t="s">
        <v>4898</v>
      </c>
      <c r="T6378" t="s">
        <v>2704</v>
      </c>
      <c r="U6378" t="s">
        <v>4560</v>
      </c>
      <c r="V6378" s="2">
        <v>420</v>
      </c>
      <c r="W6378" t="s">
        <v>4655</v>
      </c>
      <c r="X6378" s="2">
        <v>0</v>
      </c>
      <c r="Y6378">
        <v>20</v>
      </c>
      <c r="Z6378" t="s">
        <v>1491</v>
      </c>
      <c r="AA6378" s="3">
        <v>0.119696967303753</v>
      </c>
      <c r="AB6378" t="s">
        <v>30845</v>
      </c>
      <c r="AC6378" t="s">
        <v>4562</v>
      </c>
      <c r="AD6378" t="s">
        <v>30846</v>
      </c>
      <c r="AE6378" t="s">
        <v>4655</v>
      </c>
      <c r="AF6378" t="s">
        <v>4563</v>
      </c>
      <c r="AG6378" t="s">
        <v>4564</v>
      </c>
      <c r="AH6378" t="s">
        <v>1147</v>
      </c>
      <c r="AI6378" t="s">
        <v>3795</v>
      </c>
      <c r="AJ6378" t="s">
        <v>3796</v>
      </c>
      <c r="AK6378" t="s">
        <v>30847</v>
      </c>
      <c r="AL6378" s="13" t="s">
        <v>1897</v>
      </c>
      <c r="AM6378">
        <v>1</v>
      </c>
      <c r="AN6378" s="15" t="s">
        <v>1592</v>
      </c>
    </row>
    <row r="6379" spans="1:40" x14ac:dyDescent="0.3">
      <c r="A6379" s="10" t="str">
        <f>HYPERLINK("http://www.washoecounty.gov/assessor/cama/?parid=234-472-09&amp;CardNumber=1","234-472-09")</f>
        <v>234-472-09</v>
      </c>
      <c r="B6379" t="s">
        <v>4655</v>
      </c>
      <c r="C6379" t="s">
        <v>30848</v>
      </c>
      <c r="D6379" s="1">
        <v>40479</v>
      </c>
      <c r="E6379" s="2">
        <v>200000</v>
      </c>
      <c r="F6379" t="s">
        <v>4567</v>
      </c>
      <c r="G6379" s="17" t="str">
        <f>HYPERLINK("https://www.washoecounty.gov/assessor/cama/?command=sales&amp;parid=23447209","3937712")</f>
        <v>3937712</v>
      </c>
      <c r="H6379" t="s">
        <v>3794</v>
      </c>
      <c r="I6379">
        <v>2010</v>
      </c>
      <c r="J6379">
        <v>2010</v>
      </c>
      <c r="K6379" t="s">
        <v>4554</v>
      </c>
      <c r="L6379" t="s">
        <v>4555</v>
      </c>
      <c r="M6379" s="2">
        <v>1246</v>
      </c>
      <c r="N6379" t="s">
        <v>5280</v>
      </c>
      <c r="O6379">
        <v>1</v>
      </c>
      <c r="P6379">
        <v>2</v>
      </c>
      <c r="Q6379">
        <v>0</v>
      </c>
      <c r="R6379" t="s">
        <v>5281</v>
      </c>
      <c r="S6379" t="s">
        <v>4898</v>
      </c>
      <c r="T6379" t="s">
        <v>2704</v>
      </c>
      <c r="U6379" t="s">
        <v>4560</v>
      </c>
      <c r="V6379" s="2">
        <v>399</v>
      </c>
      <c r="W6379" t="s">
        <v>4655</v>
      </c>
      <c r="X6379" s="2">
        <v>0</v>
      </c>
      <c r="Y6379">
        <v>20</v>
      </c>
      <c r="Z6379" t="s">
        <v>1491</v>
      </c>
      <c r="AA6379" s="3">
        <v>0.119696967303753</v>
      </c>
      <c r="AB6379" t="s">
        <v>30849</v>
      </c>
      <c r="AC6379" t="s">
        <v>4562</v>
      </c>
      <c r="AD6379" t="s">
        <v>30850</v>
      </c>
      <c r="AE6379" t="s">
        <v>4655</v>
      </c>
      <c r="AF6379" t="s">
        <v>4563</v>
      </c>
      <c r="AG6379" t="s">
        <v>4564</v>
      </c>
      <c r="AH6379" t="s">
        <v>1147</v>
      </c>
      <c r="AI6379" t="s">
        <v>3795</v>
      </c>
      <c r="AJ6379" t="s">
        <v>3796</v>
      </c>
      <c r="AK6379" t="s">
        <v>30851</v>
      </c>
      <c r="AL6379" s="13" t="s">
        <v>1897</v>
      </c>
      <c r="AM6379">
        <v>1</v>
      </c>
      <c r="AN6379" s="15" t="s">
        <v>1592</v>
      </c>
    </row>
    <row r="6380" spans="1:40" x14ac:dyDescent="0.3">
      <c r="A6380" s="10" t="str">
        <f>HYPERLINK("http://www.washoecounty.gov/assessor/cama/?parid=234-472-10&amp;CardNumber=1","234-472-10")</f>
        <v>234-472-10</v>
      </c>
      <c r="B6380" t="s">
        <v>4655</v>
      </c>
      <c r="C6380" t="s">
        <v>30852</v>
      </c>
      <c r="D6380" s="1">
        <v>40476</v>
      </c>
      <c r="E6380" s="2">
        <v>219430</v>
      </c>
      <c r="F6380" t="s">
        <v>4567</v>
      </c>
      <c r="G6380" s="17" t="str">
        <f>HYPERLINK("https://www.washoecounty.gov/assessor/cama/?command=sales&amp;parid=23447210","3936014")</f>
        <v>3936014</v>
      </c>
      <c r="H6380" t="s">
        <v>3794</v>
      </c>
      <c r="I6380">
        <v>2010</v>
      </c>
      <c r="J6380">
        <v>2010</v>
      </c>
      <c r="K6380" t="s">
        <v>4554</v>
      </c>
      <c r="L6380" t="s">
        <v>4555</v>
      </c>
      <c r="M6380" s="2">
        <v>1422</v>
      </c>
      <c r="N6380" t="s">
        <v>5280</v>
      </c>
      <c r="O6380">
        <v>2</v>
      </c>
      <c r="P6380">
        <v>2</v>
      </c>
      <c r="Q6380">
        <v>0</v>
      </c>
      <c r="R6380" t="s">
        <v>5281</v>
      </c>
      <c r="S6380" t="s">
        <v>4898</v>
      </c>
      <c r="T6380" t="s">
        <v>2704</v>
      </c>
      <c r="U6380" t="s">
        <v>4560</v>
      </c>
      <c r="V6380" s="2">
        <v>420</v>
      </c>
      <c r="W6380" t="s">
        <v>4655</v>
      </c>
      <c r="X6380" s="2">
        <v>0</v>
      </c>
      <c r="Y6380">
        <v>20</v>
      </c>
      <c r="Z6380" t="s">
        <v>1491</v>
      </c>
      <c r="AA6380" s="3">
        <v>0.14703856408596</v>
      </c>
      <c r="AB6380" t="s">
        <v>30853</v>
      </c>
      <c r="AC6380" t="s">
        <v>4562</v>
      </c>
      <c r="AD6380" t="s">
        <v>30854</v>
      </c>
      <c r="AE6380" t="s">
        <v>4655</v>
      </c>
      <c r="AF6380" t="s">
        <v>4563</v>
      </c>
      <c r="AG6380" t="s">
        <v>4564</v>
      </c>
      <c r="AH6380" t="s">
        <v>1147</v>
      </c>
      <c r="AI6380" t="s">
        <v>3795</v>
      </c>
      <c r="AJ6380" t="s">
        <v>3796</v>
      </c>
      <c r="AK6380" t="s">
        <v>30855</v>
      </c>
      <c r="AL6380" s="13" t="s">
        <v>1897</v>
      </c>
      <c r="AM6380" s="14">
        <v>1</v>
      </c>
      <c r="AN6380" s="15" t="s">
        <v>1592</v>
      </c>
    </row>
    <row r="6381" spans="1:40" x14ac:dyDescent="0.3">
      <c r="A6381" s="10" t="str">
        <f>HYPERLINK("http://www.washoecounty.gov/assessor/cama/?parid=234-472-11&amp;CardNumber=1","234-472-11")</f>
        <v>234-472-11</v>
      </c>
      <c r="B6381" t="s">
        <v>4655</v>
      </c>
      <c r="C6381" t="s">
        <v>30856</v>
      </c>
      <c r="D6381" s="1">
        <v>40294</v>
      </c>
      <c r="E6381" s="2">
        <v>282117</v>
      </c>
      <c r="F6381" t="s">
        <v>4567</v>
      </c>
      <c r="G6381" s="17" t="str">
        <f>HYPERLINK("https://www.washoecounty.gov/assessor/cama/?command=sales&amp;parid=23447211","3874659")</f>
        <v>3874659</v>
      </c>
      <c r="H6381" t="s">
        <v>3794</v>
      </c>
      <c r="I6381">
        <v>2009</v>
      </c>
      <c r="J6381">
        <v>2009</v>
      </c>
      <c r="K6381" t="s">
        <v>4554</v>
      </c>
      <c r="L6381" t="s">
        <v>4555</v>
      </c>
      <c r="M6381" s="2">
        <v>2066</v>
      </c>
      <c r="N6381" t="s">
        <v>5280</v>
      </c>
      <c r="O6381">
        <v>2</v>
      </c>
      <c r="P6381">
        <v>2</v>
      </c>
      <c r="Q6381">
        <v>0</v>
      </c>
      <c r="R6381" t="s">
        <v>5281</v>
      </c>
      <c r="S6381" t="s">
        <v>4898</v>
      </c>
      <c r="T6381" t="s">
        <v>2704</v>
      </c>
      <c r="U6381" t="s">
        <v>4560</v>
      </c>
      <c r="V6381" s="2">
        <v>506</v>
      </c>
      <c r="W6381" t="s">
        <v>4655</v>
      </c>
      <c r="X6381" s="2">
        <v>0</v>
      </c>
      <c r="Y6381">
        <v>20</v>
      </c>
      <c r="Z6381" t="s">
        <v>1491</v>
      </c>
      <c r="AA6381" s="3">
        <v>0.20739209651946999</v>
      </c>
      <c r="AB6381" t="s">
        <v>30857</v>
      </c>
      <c r="AC6381" t="s">
        <v>4575</v>
      </c>
      <c r="AD6381" t="s">
        <v>30858</v>
      </c>
      <c r="AE6381" t="s">
        <v>4655</v>
      </c>
      <c r="AF6381" t="s">
        <v>1354</v>
      </c>
      <c r="AG6381" t="s">
        <v>4584</v>
      </c>
      <c r="AH6381" t="s">
        <v>3398</v>
      </c>
      <c r="AI6381" t="s">
        <v>3795</v>
      </c>
      <c r="AJ6381" t="s">
        <v>3796</v>
      </c>
      <c r="AK6381" t="s">
        <v>30859</v>
      </c>
      <c r="AL6381" s="13" t="s">
        <v>1897</v>
      </c>
      <c r="AM6381">
        <v>1</v>
      </c>
      <c r="AN6381" s="15" t="s">
        <v>1592</v>
      </c>
    </row>
    <row r="6382" spans="1:40" x14ac:dyDescent="0.3">
      <c r="A6382" s="10" t="str">
        <f>HYPERLINK("http://www.washoecounty.gov/assessor/cama/?parid=234-472-12&amp;CardNumber=1","234-472-12")</f>
        <v>234-472-12</v>
      </c>
      <c r="B6382" t="s">
        <v>4655</v>
      </c>
      <c r="C6382" t="s">
        <v>30860</v>
      </c>
      <c r="D6382" s="1">
        <v>40360</v>
      </c>
      <c r="E6382" s="2">
        <v>249990</v>
      </c>
      <c r="F6382" t="s">
        <v>4567</v>
      </c>
      <c r="G6382" s="17" t="str">
        <f>HYPERLINK("https://www.washoecounty.gov/assessor/cama/?command=sales&amp;parid=23447212","3899987")</f>
        <v>3899987</v>
      </c>
      <c r="H6382" t="s">
        <v>3794</v>
      </c>
      <c r="I6382">
        <v>2009</v>
      </c>
      <c r="J6382">
        <v>2009</v>
      </c>
      <c r="K6382" t="s">
        <v>4554</v>
      </c>
      <c r="L6382" t="s">
        <v>3974</v>
      </c>
      <c r="M6382" s="2">
        <v>1644</v>
      </c>
      <c r="N6382" t="s">
        <v>5280</v>
      </c>
      <c r="O6382">
        <v>2</v>
      </c>
      <c r="P6382">
        <v>2</v>
      </c>
      <c r="Q6382">
        <v>0</v>
      </c>
      <c r="R6382" t="s">
        <v>5281</v>
      </c>
      <c r="S6382" t="s">
        <v>4898</v>
      </c>
      <c r="T6382" t="s">
        <v>2704</v>
      </c>
      <c r="U6382" t="s">
        <v>4560</v>
      </c>
      <c r="V6382" s="2">
        <v>521</v>
      </c>
      <c r="W6382" t="s">
        <v>4655</v>
      </c>
      <c r="X6382" s="2">
        <v>0</v>
      </c>
      <c r="Y6382">
        <v>20</v>
      </c>
      <c r="Z6382" t="s">
        <v>1491</v>
      </c>
      <c r="AA6382" s="3">
        <v>0.142378330230713</v>
      </c>
      <c r="AB6382" t="s">
        <v>30861</v>
      </c>
      <c r="AC6382" t="s">
        <v>4562</v>
      </c>
      <c r="AD6382" t="s">
        <v>30862</v>
      </c>
      <c r="AE6382" t="s">
        <v>4655</v>
      </c>
      <c r="AF6382" t="s">
        <v>4563</v>
      </c>
      <c r="AG6382" t="s">
        <v>4564</v>
      </c>
      <c r="AH6382" t="s">
        <v>1147</v>
      </c>
      <c r="AI6382" t="s">
        <v>3795</v>
      </c>
      <c r="AJ6382" t="s">
        <v>3796</v>
      </c>
      <c r="AK6382" t="s">
        <v>30863</v>
      </c>
      <c r="AL6382" s="13" t="s">
        <v>1897</v>
      </c>
      <c r="AM6382" s="14">
        <v>1</v>
      </c>
      <c r="AN6382" s="15" t="s">
        <v>1592</v>
      </c>
    </row>
    <row r="6383" spans="1:40" x14ac:dyDescent="0.3">
      <c r="A6383" s="10" t="str">
        <f>HYPERLINK("http://www.washoecounty.gov/assessor/cama/?parid=234-472-17&amp;CardNumber=1","234-472-17")</f>
        <v>234-472-17</v>
      </c>
      <c r="B6383" t="s">
        <v>4655</v>
      </c>
      <c r="C6383" t="s">
        <v>30864</v>
      </c>
      <c r="D6383" s="1">
        <v>40190</v>
      </c>
      <c r="E6383" s="2">
        <v>275000</v>
      </c>
      <c r="F6383" t="s">
        <v>4567</v>
      </c>
      <c r="G6383" s="17" t="str">
        <f>HYPERLINK("https://www.washoecounty.gov/assessor/cama/?command=sales&amp;parid=23447217","3838533")</f>
        <v>3838533</v>
      </c>
      <c r="H6383" t="s">
        <v>3794</v>
      </c>
      <c r="I6383">
        <v>2008</v>
      </c>
      <c r="J6383">
        <v>2008</v>
      </c>
      <c r="K6383" t="s">
        <v>4554</v>
      </c>
      <c r="L6383" t="s">
        <v>4555</v>
      </c>
      <c r="M6383" s="2">
        <v>1834</v>
      </c>
      <c r="N6383" t="s">
        <v>5280</v>
      </c>
      <c r="O6383">
        <v>4</v>
      </c>
      <c r="P6383">
        <v>2</v>
      </c>
      <c r="Q6383">
        <v>0</v>
      </c>
      <c r="R6383" t="s">
        <v>5281</v>
      </c>
      <c r="S6383" t="s">
        <v>4898</v>
      </c>
      <c r="T6383" t="s">
        <v>2704</v>
      </c>
      <c r="U6383" t="s">
        <v>4560</v>
      </c>
      <c r="V6383" s="2">
        <v>493</v>
      </c>
      <c r="W6383" t="s">
        <v>4655</v>
      </c>
      <c r="X6383" s="2">
        <v>0</v>
      </c>
      <c r="Y6383">
        <v>20</v>
      </c>
      <c r="Z6383" t="s">
        <v>1491</v>
      </c>
      <c r="AA6383" s="3">
        <v>0.15114784240722701</v>
      </c>
      <c r="AB6383" t="s">
        <v>30865</v>
      </c>
      <c r="AC6383" t="s">
        <v>4562</v>
      </c>
      <c r="AD6383" t="s">
        <v>30864</v>
      </c>
      <c r="AE6383" t="s">
        <v>4655</v>
      </c>
      <c r="AF6383" t="s">
        <v>4563</v>
      </c>
      <c r="AG6383" t="s">
        <v>4564</v>
      </c>
      <c r="AH6383" t="s">
        <v>1147</v>
      </c>
      <c r="AI6383" t="s">
        <v>3795</v>
      </c>
      <c r="AJ6383" t="s">
        <v>3796</v>
      </c>
      <c r="AK6383" t="s">
        <v>30866</v>
      </c>
      <c r="AL6383" s="13" t="s">
        <v>1897</v>
      </c>
      <c r="AM6383" s="14">
        <v>1</v>
      </c>
      <c r="AN6383" s="15" t="s">
        <v>1592</v>
      </c>
    </row>
    <row r="6384" spans="1:40" x14ac:dyDescent="0.3">
      <c r="A6384" s="10" t="str">
        <f>HYPERLINK("http://www.washoecounty.gov/assessor/cama/?parid=234-472-19&amp;CardNumber=1","234-472-19")</f>
        <v>234-472-19</v>
      </c>
      <c r="B6384" t="s">
        <v>4655</v>
      </c>
      <c r="C6384" t="s">
        <v>30867</v>
      </c>
      <c r="D6384" s="1">
        <v>40422</v>
      </c>
      <c r="E6384" s="2">
        <v>269900</v>
      </c>
      <c r="F6384" t="s">
        <v>4567</v>
      </c>
      <c r="G6384" s="17" t="str">
        <f>HYPERLINK("https://www.washoecounty.gov/assessor/cama/?command=sales&amp;parid=23447219","3917802")</f>
        <v>3917802</v>
      </c>
      <c r="H6384" t="s">
        <v>3794</v>
      </c>
      <c r="I6384">
        <v>2009</v>
      </c>
      <c r="J6384">
        <v>2009</v>
      </c>
      <c r="K6384" t="s">
        <v>4554</v>
      </c>
      <c r="L6384" t="s">
        <v>4555</v>
      </c>
      <c r="M6384" s="2">
        <v>2066</v>
      </c>
      <c r="N6384" t="s">
        <v>5280</v>
      </c>
      <c r="O6384">
        <v>2</v>
      </c>
      <c r="P6384">
        <v>2</v>
      </c>
      <c r="Q6384">
        <v>0</v>
      </c>
      <c r="R6384" t="s">
        <v>5281</v>
      </c>
      <c r="S6384" t="s">
        <v>4898</v>
      </c>
      <c r="T6384" t="s">
        <v>2704</v>
      </c>
      <c r="U6384" t="s">
        <v>4560</v>
      </c>
      <c r="V6384" s="2">
        <v>506</v>
      </c>
      <c r="W6384" t="s">
        <v>4655</v>
      </c>
      <c r="X6384" s="2">
        <v>0</v>
      </c>
      <c r="Y6384">
        <v>20</v>
      </c>
      <c r="Z6384" t="s">
        <v>1491</v>
      </c>
      <c r="AA6384" s="3">
        <v>0.17910927534103399</v>
      </c>
      <c r="AB6384" t="s">
        <v>30868</v>
      </c>
      <c r="AC6384" t="s">
        <v>4562</v>
      </c>
      <c r="AD6384" t="s">
        <v>30867</v>
      </c>
      <c r="AE6384" t="s">
        <v>4655</v>
      </c>
      <c r="AF6384" t="s">
        <v>4563</v>
      </c>
      <c r="AG6384" t="s">
        <v>4564</v>
      </c>
      <c r="AH6384" t="s">
        <v>1147</v>
      </c>
      <c r="AI6384" t="s">
        <v>3795</v>
      </c>
      <c r="AJ6384" t="s">
        <v>3796</v>
      </c>
      <c r="AK6384" t="s">
        <v>30869</v>
      </c>
      <c r="AL6384" s="13" t="s">
        <v>1897</v>
      </c>
      <c r="AM6384" s="14">
        <v>1</v>
      </c>
      <c r="AN6384" s="15" t="s">
        <v>1592</v>
      </c>
    </row>
    <row r="6385" spans="1:40" x14ac:dyDescent="0.3">
      <c r="A6385" s="10" t="str">
        <f>HYPERLINK("http://www.washoecounty.gov/assessor/cama/?parid=234-472-20&amp;CardNumber=1","234-472-20")</f>
        <v>234-472-20</v>
      </c>
      <c r="B6385" t="s">
        <v>4655</v>
      </c>
      <c r="C6385" t="s">
        <v>30870</v>
      </c>
      <c r="D6385" s="1">
        <v>40311</v>
      </c>
      <c r="E6385" s="2">
        <v>267523</v>
      </c>
      <c r="F6385" t="s">
        <v>4567</v>
      </c>
      <c r="G6385" s="17" t="str">
        <f>HYPERLINK("https://www.washoecounty.gov/assessor/cama/?command=sales&amp;parid=23447220","3881117")</f>
        <v>3881117</v>
      </c>
      <c r="H6385" t="s">
        <v>3794</v>
      </c>
      <c r="I6385">
        <v>2009</v>
      </c>
      <c r="J6385">
        <v>2009</v>
      </c>
      <c r="K6385" t="s">
        <v>4554</v>
      </c>
      <c r="L6385" t="s">
        <v>3974</v>
      </c>
      <c r="M6385" s="2">
        <v>1644</v>
      </c>
      <c r="N6385" t="s">
        <v>5280</v>
      </c>
      <c r="O6385">
        <v>2</v>
      </c>
      <c r="P6385">
        <v>2</v>
      </c>
      <c r="Q6385">
        <v>0</v>
      </c>
      <c r="R6385" t="s">
        <v>5281</v>
      </c>
      <c r="S6385" t="s">
        <v>4898</v>
      </c>
      <c r="T6385" t="s">
        <v>2704</v>
      </c>
      <c r="U6385" t="s">
        <v>4560</v>
      </c>
      <c r="V6385" s="2">
        <v>521</v>
      </c>
      <c r="W6385" t="s">
        <v>4655</v>
      </c>
      <c r="X6385" s="2">
        <v>0</v>
      </c>
      <c r="Y6385">
        <v>20</v>
      </c>
      <c r="Z6385" t="s">
        <v>1491</v>
      </c>
      <c r="AA6385" s="3">
        <v>0.17910927534103399</v>
      </c>
      <c r="AB6385" t="s">
        <v>30871</v>
      </c>
      <c r="AC6385" t="s">
        <v>4562</v>
      </c>
      <c r="AD6385" t="s">
        <v>30870</v>
      </c>
      <c r="AE6385" t="s">
        <v>4655</v>
      </c>
      <c r="AF6385" t="s">
        <v>4563</v>
      </c>
      <c r="AG6385" t="s">
        <v>4564</v>
      </c>
      <c r="AH6385" t="s">
        <v>1147</v>
      </c>
      <c r="AI6385" t="s">
        <v>3795</v>
      </c>
      <c r="AJ6385" t="s">
        <v>3796</v>
      </c>
      <c r="AK6385" t="s">
        <v>30872</v>
      </c>
      <c r="AL6385" s="13" t="s">
        <v>1897</v>
      </c>
      <c r="AM6385">
        <v>1</v>
      </c>
      <c r="AN6385" s="15" t="s">
        <v>1592</v>
      </c>
    </row>
    <row r="6386" spans="1:40" x14ac:dyDescent="0.3">
      <c r="A6386" s="10" t="str">
        <f>HYPERLINK("http://www.washoecounty.gov/assessor/cama/?parid=234-472-21&amp;CardNumber=1","234-472-21")</f>
        <v>234-472-21</v>
      </c>
      <c r="B6386" t="s">
        <v>4655</v>
      </c>
      <c r="C6386" t="s">
        <v>30873</v>
      </c>
      <c r="D6386" s="1">
        <v>40256</v>
      </c>
      <c r="E6386" s="2">
        <v>238949</v>
      </c>
      <c r="F6386" t="s">
        <v>4567</v>
      </c>
      <c r="G6386" s="17" t="str">
        <f>HYPERLINK("https://www.washoecounty.gov/assessor/cama/?command=sales&amp;parid=23447221","3861462")</f>
        <v>3861462</v>
      </c>
      <c r="H6386" t="s">
        <v>3794</v>
      </c>
      <c r="I6386">
        <v>2009</v>
      </c>
      <c r="J6386">
        <v>2009</v>
      </c>
      <c r="K6386" t="s">
        <v>4554</v>
      </c>
      <c r="L6386" t="s">
        <v>4555</v>
      </c>
      <c r="M6386" s="2">
        <v>1598</v>
      </c>
      <c r="N6386" t="s">
        <v>5280</v>
      </c>
      <c r="O6386">
        <v>3</v>
      </c>
      <c r="P6386">
        <v>2</v>
      </c>
      <c r="Q6386">
        <v>0</v>
      </c>
      <c r="R6386" t="s">
        <v>5281</v>
      </c>
      <c r="S6386" t="s">
        <v>4898</v>
      </c>
      <c r="T6386" t="s">
        <v>2704</v>
      </c>
      <c r="U6386" t="s">
        <v>4560</v>
      </c>
      <c r="V6386" s="2">
        <v>400</v>
      </c>
      <c r="W6386" t="s">
        <v>4655</v>
      </c>
      <c r="X6386" s="2">
        <v>0</v>
      </c>
      <c r="Y6386">
        <v>20</v>
      </c>
      <c r="Z6386" t="s">
        <v>1491</v>
      </c>
      <c r="AA6386" s="3">
        <v>0.13999082148075101</v>
      </c>
      <c r="AB6386" t="s">
        <v>30874</v>
      </c>
      <c r="AC6386" t="s">
        <v>4562</v>
      </c>
      <c r="AD6386" t="s">
        <v>30873</v>
      </c>
      <c r="AE6386" t="s">
        <v>4655</v>
      </c>
      <c r="AF6386" t="s">
        <v>4563</v>
      </c>
      <c r="AG6386" t="s">
        <v>4564</v>
      </c>
      <c r="AH6386" t="s">
        <v>1147</v>
      </c>
      <c r="AI6386" t="s">
        <v>3795</v>
      </c>
      <c r="AJ6386" t="s">
        <v>3796</v>
      </c>
      <c r="AK6386" t="s">
        <v>30875</v>
      </c>
      <c r="AL6386" s="13" t="s">
        <v>1897</v>
      </c>
      <c r="AM6386" s="14">
        <v>1</v>
      </c>
      <c r="AN6386" s="15" t="s">
        <v>1592</v>
      </c>
    </row>
    <row r="6387" spans="1:40" x14ac:dyDescent="0.3">
      <c r="A6387" s="10" t="str">
        <f>HYPERLINK("http://www.washoecounty.gov/assessor/cama/?parid=234-473-02&amp;CardNumber=1","234-473-02")</f>
        <v>234-473-02</v>
      </c>
      <c r="B6387" t="s">
        <v>4655</v>
      </c>
      <c r="C6387" t="s">
        <v>30876</v>
      </c>
      <c r="D6387" s="1">
        <v>40207</v>
      </c>
      <c r="E6387" s="2">
        <v>379990</v>
      </c>
      <c r="F6387" t="s">
        <v>4567</v>
      </c>
      <c r="G6387" s="17" t="str">
        <f>HYPERLINK("https://www.washoecounty.gov/assessor/cama/?command=sales&amp;parid=23447302","3844411")</f>
        <v>3844411</v>
      </c>
      <c r="H6387" t="s">
        <v>3794</v>
      </c>
      <c r="I6387">
        <v>2008</v>
      </c>
      <c r="J6387">
        <v>2008</v>
      </c>
      <c r="K6387" t="s">
        <v>4554</v>
      </c>
      <c r="L6387" t="s">
        <v>4555</v>
      </c>
      <c r="M6387" s="2">
        <v>2487</v>
      </c>
      <c r="N6387" t="s">
        <v>5280</v>
      </c>
      <c r="O6387">
        <v>3</v>
      </c>
      <c r="P6387">
        <v>2</v>
      </c>
      <c r="Q6387">
        <v>0</v>
      </c>
      <c r="R6387" t="s">
        <v>5281</v>
      </c>
      <c r="S6387" t="s">
        <v>4898</v>
      </c>
      <c r="T6387" t="s">
        <v>2704</v>
      </c>
      <c r="U6387" t="s">
        <v>4560</v>
      </c>
      <c r="V6387" s="2">
        <v>462</v>
      </c>
      <c r="W6387" t="s">
        <v>4655</v>
      </c>
      <c r="X6387" s="2">
        <v>0</v>
      </c>
      <c r="Y6387">
        <v>20</v>
      </c>
      <c r="Z6387" t="s">
        <v>1491</v>
      </c>
      <c r="AA6387" s="3">
        <v>0.19696970283985099</v>
      </c>
      <c r="AB6387" t="s">
        <v>30877</v>
      </c>
      <c r="AC6387" t="s">
        <v>4575</v>
      </c>
      <c r="AD6387" t="s">
        <v>30878</v>
      </c>
      <c r="AE6387" t="s">
        <v>30879</v>
      </c>
      <c r="AF6387" t="s">
        <v>4563</v>
      </c>
      <c r="AG6387" t="s">
        <v>4564</v>
      </c>
      <c r="AH6387" t="s">
        <v>1147</v>
      </c>
      <c r="AI6387" t="s">
        <v>3795</v>
      </c>
      <c r="AJ6387" t="s">
        <v>3796</v>
      </c>
      <c r="AK6387" t="s">
        <v>30880</v>
      </c>
      <c r="AL6387" s="13" t="s">
        <v>1897</v>
      </c>
      <c r="AM6387">
        <v>1</v>
      </c>
      <c r="AN6387" s="15" t="s">
        <v>1592</v>
      </c>
    </row>
    <row r="6388" spans="1:40" x14ac:dyDescent="0.3">
      <c r="A6388" s="10" t="str">
        <f>HYPERLINK("http://www.washoecounty.gov/assessor/cama/?parid=234-473-03&amp;CardNumber=1","234-473-03")</f>
        <v>234-473-03</v>
      </c>
      <c r="B6388" t="s">
        <v>4655</v>
      </c>
      <c r="C6388" t="s">
        <v>30881</v>
      </c>
      <c r="D6388" s="1">
        <v>40206</v>
      </c>
      <c r="E6388" s="2">
        <v>396260</v>
      </c>
      <c r="F6388" t="s">
        <v>4567</v>
      </c>
      <c r="G6388" s="17" t="str">
        <f>HYPERLINK("https://www.washoecounty.gov/assessor/cama/?command=sales&amp;parid=23447303","3843548")</f>
        <v>3843548</v>
      </c>
      <c r="H6388" t="s">
        <v>3794</v>
      </c>
      <c r="I6388">
        <v>2008</v>
      </c>
      <c r="J6388">
        <v>2008</v>
      </c>
      <c r="K6388" t="s">
        <v>4554</v>
      </c>
      <c r="L6388" t="s">
        <v>4555</v>
      </c>
      <c r="M6388" s="2">
        <v>2487</v>
      </c>
      <c r="N6388" t="s">
        <v>5280</v>
      </c>
      <c r="O6388">
        <v>3</v>
      </c>
      <c r="P6388">
        <v>2</v>
      </c>
      <c r="Q6388">
        <v>0</v>
      </c>
      <c r="R6388" t="s">
        <v>5281</v>
      </c>
      <c r="S6388" t="s">
        <v>4898</v>
      </c>
      <c r="T6388" t="s">
        <v>2704</v>
      </c>
      <c r="U6388" t="s">
        <v>4560</v>
      </c>
      <c r="V6388" s="2">
        <v>618</v>
      </c>
      <c r="W6388" t="s">
        <v>4655</v>
      </c>
      <c r="X6388" s="2">
        <v>0</v>
      </c>
      <c r="Y6388">
        <v>20</v>
      </c>
      <c r="Z6388" t="s">
        <v>1491</v>
      </c>
      <c r="AA6388" s="3">
        <v>0.19696970283985099</v>
      </c>
      <c r="AB6388" t="s">
        <v>30882</v>
      </c>
      <c r="AC6388" t="s">
        <v>4562</v>
      </c>
      <c r="AD6388" t="s">
        <v>30881</v>
      </c>
      <c r="AE6388" t="s">
        <v>4655</v>
      </c>
      <c r="AF6388" t="s">
        <v>4563</v>
      </c>
      <c r="AG6388" t="s">
        <v>4564</v>
      </c>
      <c r="AH6388" t="s">
        <v>1147</v>
      </c>
      <c r="AI6388" t="s">
        <v>3795</v>
      </c>
      <c r="AJ6388" t="s">
        <v>3796</v>
      </c>
      <c r="AK6388" t="s">
        <v>30883</v>
      </c>
      <c r="AL6388" s="13" t="s">
        <v>1897</v>
      </c>
      <c r="AM6388">
        <v>1</v>
      </c>
      <c r="AN6388" s="15" t="s">
        <v>1592</v>
      </c>
    </row>
    <row r="6389" spans="1:40" x14ac:dyDescent="0.3">
      <c r="A6389" s="10" t="str">
        <f>HYPERLINK("http://www.washoecounty.gov/assessor/cama/?parid=234-473-04&amp;CardNumber=1","234-473-04")</f>
        <v>234-473-04</v>
      </c>
      <c r="B6389" t="s">
        <v>4655</v>
      </c>
      <c r="C6389" t="s">
        <v>30884</v>
      </c>
      <c r="D6389" s="1">
        <v>40465</v>
      </c>
      <c r="E6389" s="2">
        <v>343000</v>
      </c>
      <c r="F6389" t="s">
        <v>4567</v>
      </c>
      <c r="G6389" s="17" t="str">
        <f>HYPERLINK("https://www.washoecounty.gov/assessor/cama/?command=sales&amp;parid=23447304","3932917")</f>
        <v>3932917</v>
      </c>
      <c r="H6389" t="s">
        <v>3794</v>
      </c>
      <c r="I6389">
        <v>2009</v>
      </c>
      <c r="J6389">
        <v>2009</v>
      </c>
      <c r="K6389" t="s">
        <v>4554</v>
      </c>
      <c r="L6389" t="s">
        <v>4555</v>
      </c>
      <c r="M6389" s="2">
        <v>2487</v>
      </c>
      <c r="N6389" t="s">
        <v>5280</v>
      </c>
      <c r="O6389">
        <v>3</v>
      </c>
      <c r="P6389">
        <v>2</v>
      </c>
      <c r="Q6389">
        <v>0</v>
      </c>
      <c r="R6389" t="s">
        <v>5281</v>
      </c>
      <c r="S6389" t="s">
        <v>4898</v>
      </c>
      <c r="T6389" t="s">
        <v>2704</v>
      </c>
      <c r="U6389" t="s">
        <v>4560</v>
      </c>
      <c r="V6389" s="2">
        <v>462</v>
      </c>
      <c r="W6389" t="s">
        <v>4655</v>
      </c>
      <c r="X6389" s="2">
        <v>0</v>
      </c>
      <c r="Y6389">
        <v>20</v>
      </c>
      <c r="Z6389" t="s">
        <v>1491</v>
      </c>
      <c r="AA6389" s="3">
        <v>0.19696970283985099</v>
      </c>
      <c r="AB6389" t="s">
        <v>30885</v>
      </c>
      <c r="AC6389" t="s">
        <v>4575</v>
      </c>
      <c r="AD6389" t="s">
        <v>30884</v>
      </c>
      <c r="AE6389" t="s">
        <v>4655</v>
      </c>
      <c r="AF6389" t="s">
        <v>4563</v>
      </c>
      <c r="AG6389" t="s">
        <v>4564</v>
      </c>
      <c r="AH6389" t="s">
        <v>1147</v>
      </c>
      <c r="AI6389" t="s">
        <v>3795</v>
      </c>
      <c r="AJ6389" t="s">
        <v>3796</v>
      </c>
      <c r="AK6389" t="s">
        <v>30886</v>
      </c>
      <c r="AL6389" s="13" t="s">
        <v>1897</v>
      </c>
      <c r="AM6389" s="14">
        <v>1</v>
      </c>
      <c r="AN6389" s="15" t="s">
        <v>1592</v>
      </c>
    </row>
    <row r="6390" spans="1:40" x14ac:dyDescent="0.3">
      <c r="A6390" s="10" t="str">
        <f>HYPERLINK("http://www.washoecounty.gov/assessor/cama/?parid=234-473-05&amp;CardNumber=1","234-473-05")</f>
        <v>234-473-05</v>
      </c>
      <c r="B6390" t="s">
        <v>4655</v>
      </c>
      <c r="C6390" t="s">
        <v>30887</v>
      </c>
      <c r="D6390" s="1">
        <v>40309</v>
      </c>
      <c r="E6390" s="2">
        <v>422260</v>
      </c>
      <c r="F6390" t="s">
        <v>4567</v>
      </c>
      <c r="G6390" s="17" t="str">
        <f>HYPERLINK("https://www.washoecounty.gov/assessor/cama/?command=sales&amp;parid=23447305","3880392")</f>
        <v>3880392</v>
      </c>
      <c r="H6390" t="s">
        <v>3794</v>
      </c>
      <c r="I6390">
        <v>2009</v>
      </c>
      <c r="J6390">
        <v>2009</v>
      </c>
      <c r="K6390" t="s">
        <v>4554</v>
      </c>
      <c r="L6390" t="s">
        <v>4555</v>
      </c>
      <c r="M6390" s="2">
        <v>2487</v>
      </c>
      <c r="N6390" t="s">
        <v>5280</v>
      </c>
      <c r="O6390">
        <v>2</v>
      </c>
      <c r="P6390">
        <v>2</v>
      </c>
      <c r="Q6390">
        <v>0</v>
      </c>
      <c r="R6390" t="s">
        <v>5281</v>
      </c>
      <c r="S6390" t="s">
        <v>4898</v>
      </c>
      <c r="T6390" t="s">
        <v>2704</v>
      </c>
      <c r="U6390" t="s">
        <v>4560</v>
      </c>
      <c r="V6390" s="2">
        <v>618</v>
      </c>
      <c r="W6390" t="s">
        <v>4655</v>
      </c>
      <c r="X6390" s="2">
        <v>0</v>
      </c>
      <c r="Y6390">
        <v>20</v>
      </c>
      <c r="Z6390" t="s">
        <v>1491</v>
      </c>
      <c r="AA6390" s="3">
        <v>0.19696970283985099</v>
      </c>
      <c r="AB6390" t="s">
        <v>30888</v>
      </c>
      <c r="AC6390" t="s">
        <v>4562</v>
      </c>
      <c r="AD6390" t="s">
        <v>30887</v>
      </c>
      <c r="AE6390" t="s">
        <v>4655</v>
      </c>
      <c r="AF6390" t="s">
        <v>4563</v>
      </c>
      <c r="AG6390" t="s">
        <v>4564</v>
      </c>
      <c r="AH6390" t="s">
        <v>1147</v>
      </c>
      <c r="AI6390" t="s">
        <v>3795</v>
      </c>
      <c r="AJ6390" t="s">
        <v>3796</v>
      </c>
      <c r="AK6390" t="s">
        <v>30889</v>
      </c>
      <c r="AL6390" s="13" t="s">
        <v>1897</v>
      </c>
      <c r="AM6390" s="14">
        <v>1</v>
      </c>
      <c r="AN6390" s="15" t="s">
        <v>1592</v>
      </c>
    </row>
    <row r="6391" spans="1:40" x14ac:dyDescent="0.3">
      <c r="A6391" s="10" t="str">
        <f>HYPERLINK("http://www.washoecounty.gov/assessor/cama/?parid=234-474-04&amp;CardNumber=1","234-474-04")</f>
        <v>234-474-04</v>
      </c>
      <c r="B6391" t="s">
        <v>4655</v>
      </c>
      <c r="C6391" t="s">
        <v>30890</v>
      </c>
      <c r="D6391" s="1">
        <v>40197</v>
      </c>
      <c r="E6391" s="2">
        <v>285380</v>
      </c>
      <c r="F6391" t="s">
        <v>4567</v>
      </c>
      <c r="G6391" s="17" t="str">
        <f>HYPERLINK("https://www.washoecounty.gov/assessor/cama/?command=sales&amp;parid=23447404","3840431")</f>
        <v>3840431</v>
      </c>
      <c r="H6391" t="s">
        <v>3794</v>
      </c>
      <c r="I6391">
        <v>2009</v>
      </c>
      <c r="J6391">
        <v>2009</v>
      </c>
      <c r="K6391" t="s">
        <v>4554</v>
      </c>
      <c r="L6391" t="s">
        <v>4555</v>
      </c>
      <c r="M6391" s="2">
        <v>2066</v>
      </c>
      <c r="N6391" t="s">
        <v>5280</v>
      </c>
      <c r="O6391">
        <v>2</v>
      </c>
      <c r="P6391">
        <v>2</v>
      </c>
      <c r="Q6391">
        <v>0</v>
      </c>
      <c r="R6391" t="s">
        <v>5281</v>
      </c>
      <c r="S6391" t="s">
        <v>4898</v>
      </c>
      <c r="T6391" t="s">
        <v>2704</v>
      </c>
      <c r="U6391" t="s">
        <v>4560</v>
      </c>
      <c r="V6391" s="2">
        <v>506</v>
      </c>
      <c r="W6391" t="s">
        <v>4655</v>
      </c>
      <c r="X6391" s="2">
        <v>0</v>
      </c>
      <c r="Y6391">
        <v>20</v>
      </c>
      <c r="Z6391" t="s">
        <v>1491</v>
      </c>
      <c r="AA6391" s="3">
        <v>0.17307162284851099</v>
      </c>
      <c r="AB6391" t="s">
        <v>30891</v>
      </c>
      <c r="AC6391" t="s">
        <v>4562</v>
      </c>
      <c r="AD6391" t="s">
        <v>30890</v>
      </c>
      <c r="AE6391" t="s">
        <v>4655</v>
      </c>
      <c r="AF6391" t="s">
        <v>4563</v>
      </c>
      <c r="AG6391" t="s">
        <v>4564</v>
      </c>
      <c r="AH6391" t="s">
        <v>1147</v>
      </c>
      <c r="AI6391" t="s">
        <v>3795</v>
      </c>
      <c r="AJ6391" t="s">
        <v>3796</v>
      </c>
      <c r="AK6391" t="s">
        <v>30892</v>
      </c>
      <c r="AL6391" s="13" t="s">
        <v>1897</v>
      </c>
      <c r="AM6391" s="14">
        <v>1</v>
      </c>
      <c r="AN6391" s="15" t="s">
        <v>1592</v>
      </c>
    </row>
    <row r="6392" spans="1:40" x14ac:dyDescent="0.3">
      <c r="A6392" s="10" t="str">
        <f>HYPERLINK("http://www.washoecounty.gov/assessor/cama/?parid=234-474-12&amp;CardNumber=1","234-474-12")</f>
        <v>234-474-12</v>
      </c>
      <c r="B6392" t="s">
        <v>4655</v>
      </c>
      <c r="C6392" t="s">
        <v>30893</v>
      </c>
      <c r="D6392" s="1">
        <v>40204</v>
      </c>
      <c r="E6392" s="2">
        <v>396640</v>
      </c>
      <c r="F6392" t="s">
        <v>4567</v>
      </c>
      <c r="G6392" s="17" t="str">
        <f>HYPERLINK("https://www.washoecounty.gov/assessor/cama/?command=sales&amp;parid=23447412","3842660")</f>
        <v>3842660</v>
      </c>
      <c r="H6392" t="s">
        <v>3794</v>
      </c>
      <c r="I6392">
        <v>2009</v>
      </c>
      <c r="J6392">
        <v>2009</v>
      </c>
      <c r="K6392" t="s">
        <v>4554</v>
      </c>
      <c r="L6392" t="s">
        <v>4555</v>
      </c>
      <c r="M6392" s="2">
        <v>2487</v>
      </c>
      <c r="N6392" t="s">
        <v>5280</v>
      </c>
      <c r="O6392">
        <v>3</v>
      </c>
      <c r="P6392">
        <v>2</v>
      </c>
      <c r="Q6392">
        <v>0</v>
      </c>
      <c r="R6392" t="s">
        <v>5281</v>
      </c>
      <c r="S6392" t="s">
        <v>4898</v>
      </c>
      <c r="T6392" t="s">
        <v>2704</v>
      </c>
      <c r="U6392" t="s">
        <v>4560</v>
      </c>
      <c r="V6392" s="2">
        <v>462</v>
      </c>
      <c r="W6392" t="s">
        <v>4655</v>
      </c>
      <c r="X6392" s="2">
        <v>0</v>
      </c>
      <c r="Y6392">
        <v>20</v>
      </c>
      <c r="Z6392" t="s">
        <v>1491</v>
      </c>
      <c r="AA6392" s="3">
        <v>0.17121212184429199</v>
      </c>
      <c r="AB6392" t="s">
        <v>30894</v>
      </c>
      <c r="AC6392" t="s">
        <v>4575</v>
      </c>
      <c r="AD6392" t="s">
        <v>30895</v>
      </c>
      <c r="AE6392" t="s">
        <v>30896</v>
      </c>
      <c r="AF6392" t="s">
        <v>4563</v>
      </c>
      <c r="AG6392" t="s">
        <v>4564</v>
      </c>
      <c r="AH6392" t="s">
        <v>1147</v>
      </c>
      <c r="AI6392" t="s">
        <v>3795</v>
      </c>
      <c r="AJ6392" t="s">
        <v>3796</v>
      </c>
      <c r="AK6392" t="s">
        <v>30897</v>
      </c>
      <c r="AL6392" s="13" t="s">
        <v>1897</v>
      </c>
      <c r="AM6392" s="14">
        <v>1</v>
      </c>
      <c r="AN6392" s="15" t="s">
        <v>1592</v>
      </c>
    </row>
    <row r="6393" spans="1:40" x14ac:dyDescent="0.3">
      <c r="A6393" s="10" t="str">
        <f>HYPERLINK("http://www.washoecounty.gov/assessor/cama/?parid=234-474-13&amp;CardNumber=1","234-474-13")</f>
        <v>234-474-13</v>
      </c>
      <c r="B6393" t="s">
        <v>4655</v>
      </c>
      <c r="C6393" t="s">
        <v>30898</v>
      </c>
      <c r="D6393" s="1">
        <v>40242</v>
      </c>
      <c r="E6393" s="2">
        <v>418334</v>
      </c>
      <c r="F6393" t="s">
        <v>4567</v>
      </c>
      <c r="G6393" s="17" t="str">
        <f>HYPERLINK("https://www.washoecounty.gov/assessor/cama/?command=sales&amp;parid=23447413","3856274")</f>
        <v>3856274</v>
      </c>
      <c r="H6393" t="s">
        <v>3794</v>
      </c>
      <c r="I6393">
        <v>2009</v>
      </c>
      <c r="J6393">
        <v>2009</v>
      </c>
      <c r="K6393" t="s">
        <v>4554</v>
      </c>
      <c r="L6393" t="s">
        <v>4555</v>
      </c>
      <c r="M6393" s="2">
        <v>2487</v>
      </c>
      <c r="N6393" t="s">
        <v>5280</v>
      </c>
      <c r="O6393">
        <v>3</v>
      </c>
      <c r="P6393">
        <v>2</v>
      </c>
      <c r="Q6393">
        <v>0</v>
      </c>
      <c r="R6393" t="s">
        <v>5281</v>
      </c>
      <c r="S6393" t="s">
        <v>4898</v>
      </c>
      <c r="T6393" t="s">
        <v>2704</v>
      </c>
      <c r="U6393" t="s">
        <v>4560</v>
      </c>
      <c r="V6393" s="2">
        <v>462</v>
      </c>
      <c r="W6393" t="s">
        <v>4655</v>
      </c>
      <c r="X6393" s="2">
        <v>0</v>
      </c>
      <c r="Y6393">
        <v>20</v>
      </c>
      <c r="Z6393" t="s">
        <v>1491</v>
      </c>
      <c r="AA6393" s="3">
        <v>0.17279614508152</v>
      </c>
      <c r="AB6393" t="s">
        <v>30899</v>
      </c>
      <c r="AC6393" t="s">
        <v>4562</v>
      </c>
      <c r="AD6393" t="s">
        <v>30898</v>
      </c>
      <c r="AE6393" t="s">
        <v>4655</v>
      </c>
      <c r="AF6393" t="s">
        <v>4563</v>
      </c>
      <c r="AG6393" t="s">
        <v>4564</v>
      </c>
      <c r="AH6393" t="s">
        <v>1147</v>
      </c>
      <c r="AI6393" t="s">
        <v>3795</v>
      </c>
      <c r="AJ6393" t="s">
        <v>3796</v>
      </c>
      <c r="AK6393" t="s">
        <v>30900</v>
      </c>
      <c r="AL6393" s="13" t="s">
        <v>1897</v>
      </c>
      <c r="AM6393">
        <v>1</v>
      </c>
      <c r="AN6393" s="15" t="s">
        <v>1592</v>
      </c>
    </row>
    <row r="6394" spans="1:40" x14ac:dyDescent="0.3">
      <c r="A6394" s="10" t="str">
        <f>HYPERLINK("http://www.washoecounty.gov/assessor/cama/?parid=234-474-17&amp;CardNumber=1","234-474-17")</f>
        <v>234-474-17</v>
      </c>
      <c r="B6394" t="s">
        <v>4655</v>
      </c>
      <c r="C6394" t="s">
        <v>30901</v>
      </c>
      <c r="D6394" s="1">
        <v>40238</v>
      </c>
      <c r="E6394" s="2">
        <v>240444</v>
      </c>
      <c r="F6394" t="s">
        <v>4567</v>
      </c>
      <c r="G6394" s="17" t="str">
        <f>HYPERLINK("https://www.washoecounty.gov/assessor/cama/?command=sales&amp;parid=23447417","3853813")</f>
        <v>3853813</v>
      </c>
      <c r="H6394" t="s">
        <v>3794</v>
      </c>
      <c r="I6394">
        <v>2009</v>
      </c>
      <c r="J6394">
        <v>2009</v>
      </c>
      <c r="K6394" t="s">
        <v>4554</v>
      </c>
      <c r="L6394" t="s">
        <v>4555</v>
      </c>
      <c r="M6394" s="2">
        <v>1440</v>
      </c>
      <c r="N6394" t="s">
        <v>5280</v>
      </c>
      <c r="O6394">
        <v>2</v>
      </c>
      <c r="P6394">
        <v>2</v>
      </c>
      <c r="Q6394">
        <v>0</v>
      </c>
      <c r="R6394" t="s">
        <v>5281</v>
      </c>
      <c r="S6394" t="s">
        <v>4898</v>
      </c>
      <c r="T6394" t="s">
        <v>2704</v>
      </c>
      <c r="U6394" t="s">
        <v>4560</v>
      </c>
      <c r="V6394" s="2">
        <v>420</v>
      </c>
      <c r="W6394" t="s">
        <v>4655</v>
      </c>
      <c r="X6394" s="2">
        <v>0</v>
      </c>
      <c r="Y6394">
        <v>20</v>
      </c>
      <c r="Z6394" t="s">
        <v>1491</v>
      </c>
      <c r="AA6394" s="3">
        <v>0.118778698146343</v>
      </c>
      <c r="AB6394" t="s">
        <v>30902</v>
      </c>
      <c r="AC6394" t="s">
        <v>4575</v>
      </c>
      <c r="AD6394" t="s">
        <v>30903</v>
      </c>
      <c r="AE6394" t="s">
        <v>4655</v>
      </c>
      <c r="AF6394" t="s">
        <v>4563</v>
      </c>
      <c r="AG6394" t="s">
        <v>4564</v>
      </c>
      <c r="AH6394" t="s">
        <v>1147</v>
      </c>
      <c r="AI6394" t="s">
        <v>3795</v>
      </c>
      <c r="AJ6394" t="s">
        <v>3796</v>
      </c>
      <c r="AK6394" t="s">
        <v>30904</v>
      </c>
      <c r="AL6394" s="13" t="s">
        <v>1897</v>
      </c>
      <c r="AM6394">
        <v>1</v>
      </c>
      <c r="AN6394" s="15" t="s">
        <v>1592</v>
      </c>
    </row>
    <row r="6395" spans="1:40" x14ac:dyDescent="0.3">
      <c r="A6395" s="10" t="str">
        <f>HYPERLINK("http://www.washoecounty.gov/assessor/cama/?parid=234-474-18&amp;CardNumber=1","234-474-18")</f>
        <v>234-474-18</v>
      </c>
      <c r="B6395" t="s">
        <v>4655</v>
      </c>
      <c r="C6395" t="s">
        <v>30905</v>
      </c>
      <c r="D6395" s="1">
        <v>40248</v>
      </c>
      <c r="E6395" s="2">
        <v>213487</v>
      </c>
      <c r="F6395" t="s">
        <v>4567</v>
      </c>
      <c r="G6395" s="17" t="str">
        <f>HYPERLINK("https://www.washoecounty.gov/assessor/cama/?command=sales&amp;parid=23447418","3858708")</f>
        <v>3858708</v>
      </c>
      <c r="H6395" t="s">
        <v>3794</v>
      </c>
      <c r="I6395">
        <v>2009</v>
      </c>
      <c r="J6395">
        <v>2009</v>
      </c>
      <c r="K6395" t="s">
        <v>4554</v>
      </c>
      <c r="L6395" t="s">
        <v>4555</v>
      </c>
      <c r="M6395" s="2">
        <v>1264</v>
      </c>
      <c r="N6395" t="s">
        <v>5280</v>
      </c>
      <c r="O6395">
        <v>1</v>
      </c>
      <c r="P6395">
        <v>2</v>
      </c>
      <c r="Q6395">
        <v>0</v>
      </c>
      <c r="R6395" t="s">
        <v>5281</v>
      </c>
      <c r="S6395" t="s">
        <v>4898</v>
      </c>
      <c r="T6395" t="s">
        <v>2704</v>
      </c>
      <c r="U6395" t="s">
        <v>4560</v>
      </c>
      <c r="V6395" s="2">
        <v>399</v>
      </c>
      <c r="W6395" t="s">
        <v>4655</v>
      </c>
      <c r="X6395" s="2">
        <v>0</v>
      </c>
      <c r="Y6395">
        <v>20</v>
      </c>
      <c r="Z6395" t="s">
        <v>1491</v>
      </c>
      <c r="AA6395" s="3">
        <v>0.113269053399563</v>
      </c>
      <c r="AB6395" t="s">
        <v>30906</v>
      </c>
      <c r="AC6395" t="s">
        <v>4575</v>
      </c>
      <c r="AD6395" t="s">
        <v>30905</v>
      </c>
      <c r="AE6395" t="s">
        <v>4655</v>
      </c>
      <c r="AF6395" t="s">
        <v>4563</v>
      </c>
      <c r="AG6395" t="s">
        <v>4564</v>
      </c>
      <c r="AH6395" t="s">
        <v>1147</v>
      </c>
      <c r="AI6395" t="s">
        <v>3795</v>
      </c>
      <c r="AJ6395" t="s">
        <v>3796</v>
      </c>
      <c r="AK6395" t="s">
        <v>30907</v>
      </c>
      <c r="AL6395" s="13" t="s">
        <v>1897</v>
      </c>
      <c r="AM6395">
        <v>1</v>
      </c>
      <c r="AN6395" s="15" t="s">
        <v>1592</v>
      </c>
    </row>
    <row r="6396" spans="1:40" x14ac:dyDescent="0.3">
      <c r="A6396" s="10" t="str">
        <f>HYPERLINK("http://www.washoecounty.gov/assessor/cama/?parid=234-474-19&amp;CardNumber=1","234-474-19")</f>
        <v>234-474-19</v>
      </c>
      <c r="B6396" t="s">
        <v>4655</v>
      </c>
      <c r="C6396" t="s">
        <v>30908</v>
      </c>
      <c r="D6396" s="1">
        <v>40302</v>
      </c>
      <c r="E6396" s="2">
        <v>200980</v>
      </c>
      <c r="F6396" t="s">
        <v>4567</v>
      </c>
      <c r="G6396" s="17" t="str">
        <f>HYPERLINK("https://www.washoecounty.gov/assessor/cama/?command=sales&amp;parid=23447419","3877994")</f>
        <v>3877994</v>
      </c>
      <c r="H6396" t="s">
        <v>3794</v>
      </c>
      <c r="I6396">
        <v>2009</v>
      </c>
      <c r="J6396">
        <v>2009</v>
      </c>
      <c r="K6396" t="s">
        <v>4554</v>
      </c>
      <c r="L6396" t="s">
        <v>4555</v>
      </c>
      <c r="M6396" s="2">
        <v>1264</v>
      </c>
      <c r="N6396" t="s">
        <v>5280</v>
      </c>
      <c r="O6396">
        <v>1</v>
      </c>
      <c r="P6396">
        <v>2</v>
      </c>
      <c r="Q6396">
        <v>0</v>
      </c>
      <c r="R6396" t="s">
        <v>5281</v>
      </c>
      <c r="S6396" t="s">
        <v>4898</v>
      </c>
      <c r="T6396" t="s">
        <v>2704</v>
      </c>
      <c r="U6396" t="s">
        <v>4560</v>
      </c>
      <c r="V6396" s="2">
        <v>399</v>
      </c>
      <c r="W6396" t="s">
        <v>4655</v>
      </c>
      <c r="X6396" s="2">
        <v>0</v>
      </c>
      <c r="Y6396">
        <v>20</v>
      </c>
      <c r="Z6396" t="s">
        <v>1491</v>
      </c>
      <c r="AA6396" s="3">
        <v>0.113131314516068</v>
      </c>
      <c r="AB6396" t="s">
        <v>30909</v>
      </c>
      <c r="AC6396" t="s">
        <v>4575</v>
      </c>
      <c r="AD6396" t="s">
        <v>30908</v>
      </c>
      <c r="AE6396" t="s">
        <v>4655</v>
      </c>
      <c r="AF6396" t="s">
        <v>4563</v>
      </c>
      <c r="AG6396" t="s">
        <v>4564</v>
      </c>
      <c r="AH6396" t="s">
        <v>1147</v>
      </c>
      <c r="AI6396" t="s">
        <v>4655</v>
      </c>
      <c r="AJ6396" t="s">
        <v>3796</v>
      </c>
      <c r="AK6396" t="s">
        <v>30910</v>
      </c>
      <c r="AL6396" s="13" t="s">
        <v>1897</v>
      </c>
      <c r="AM6396" s="14">
        <v>1</v>
      </c>
      <c r="AN6396" s="15" t="s">
        <v>1592</v>
      </c>
    </row>
    <row r="6397" spans="1:40" x14ac:dyDescent="0.3">
      <c r="A6397" s="10" t="str">
        <f>HYPERLINK("http://www.washoecounty.gov/assessor/cama/?parid=234-481-01&amp;CardNumber=1","234-481-01")</f>
        <v>234-481-01</v>
      </c>
      <c r="B6397" t="s">
        <v>4655</v>
      </c>
      <c r="C6397" t="s">
        <v>30911</v>
      </c>
      <c r="D6397" s="1">
        <v>40235</v>
      </c>
      <c r="E6397" s="2">
        <v>279783</v>
      </c>
      <c r="F6397" t="s">
        <v>4567</v>
      </c>
      <c r="G6397" s="17" t="str">
        <f>HYPERLINK("https://www.washoecounty.gov/assessor/cama/?command=sales&amp;parid=23448101","3853422")</f>
        <v>3853422</v>
      </c>
      <c r="H6397" t="s">
        <v>3794</v>
      </c>
      <c r="I6397">
        <v>2009</v>
      </c>
      <c r="J6397">
        <v>2009</v>
      </c>
      <c r="K6397" t="s">
        <v>4554</v>
      </c>
      <c r="L6397" t="s">
        <v>4555</v>
      </c>
      <c r="M6397" s="2">
        <v>1834</v>
      </c>
      <c r="N6397" t="s">
        <v>5280</v>
      </c>
      <c r="O6397">
        <v>2</v>
      </c>
      <c r="P6397">
        <v>2</v>
      </c>
      <c r="Q6397">
        <v>0</v>
      </c>
      <c r="R6397" t="s">
        <v>5281</v>
      </c>
      <c r="S6397" t="s">
        <v>4898</v>
      </c>
      <c r="T6397" t="s">
        <v>2704</v>
      </c>
      <c r="U6397" t="s">
        <v>4560</v>
      </c>
      <c r="V6397" s="2">
        <v>493</v>
      </c>
      <c r="W6397" t="s">
        <v>4655</v>
      </c>
      <c r="X6397" s="2">
        <v>0</v>
      </c>
      <c r="Y6397">
        <v>20</v>
      </c>
      <c r="Z6397" t="s">
        <v>1491</v>
      </c>
      <c r="AA6397" s="3">
        <v>0.166942149400711</v>
      </c>
      <c r="AB6397" t="s">
        <v>30912</v>
      </c>
      <c r="AC6397" t="s">
        <v>4575</v>
      </c>
      <c r="AD6397" t="s">
        <v>30913</v>
      </c>
      <c r="AE6397" t="s">
        <v>4655</v>
      </c>
      <c r="AF6397" t="s">
        <v>4563</v>
      </c>
      <c r="AG6397" t="s">
        <v>4564</v>
      </c>
      <c r="AH6397" t="s">
        <v>1147</v>
      </c>
      <c r="AI6397" t="s">
        <v>4655</v>
      </c>
      <c r="AJ6397" t="s">
        <v>3796</v>
      </c>
      <c r="AK6397" t="s">
        <v>30914</v>
      </c>
      <c r="AL6397" s="13" t="s">
        <v>1897</v>
      </c>
      <c r="AM6397">
        <v>1</v>
      </c>
      <c r="AN6397" s="15" t="s">
        <v>1592</v>
      </c>
    </row>
    <row r="6398" spans="1:40" x14ac:dyDescent="0.3">
      <c r="A6398" s="10" t="str">
        <f>HYPERLINK("http://www.washoecounty.gov/assessor/cama/?parid=234-481-02&amp;CardNumber=1","234-481-02")</f>
        <v>234-481-02</v>
      </c>
      <c r="B6398" t="s">
        <v>4655</v>
      </c>
      <c r="C6398" t="s">
        <v>30915</v>
      </c>
      <c r="D6398" s="1">
        <v>40207</v>
      </c>
      <c r="E6398" s="2">
        <v>278599</v>
      </c>
      <c r="F6398" t="s">
        <v>4567</v>
      </c>
      <c r="G6398" s="17" t="str">
        <f>HYPERLINK("https://www.washoecounty.gov/assessor/cama/?command=sales&amp;parid=23448102","3844188")</f>
        <v>3844188</v>
      </c>
      <c r="H6398" t="s">
        <v>3794</v>
      </c>
      <c r="I6398">
        <v>2009</v>
      </c>
      <c r="J6398">
        <v>2009</v>
      </c>
      <c r="K6398" t="s">
        <v>4554</v>
      </c>
      <c r="L6398" t="s">
        <v>3974</v>
      </c>
      <c r="M6398" s="2">
        <v>1644</v>
      </c>
      <c r="N6398" t="s">
        <v>5280</v>
      </c>
      <c r="O6398">
        <v>2</v>
      </c>
      <c r="P6398">
        <v>2</v>
      </c>
      <c r="Q6398">
        <v>0</v>
      </c>
      <c r="R6398" t="s">
        <v>5281</v>
      </c>
      <c r="S6398" t="s">
        <v>4898</v>
      </c>
      <c r="T6398" t="s">
        <v>2704</v>
      </c>
      <c r="U6398" t="s">
        <v>4560</v>
      </c>
      <c r="V6398" s="2">
        <v>521</v>
      </c>
      <c r="W6398" t="s">
        <v>4655</v>
      </c>
      <c r="X6398" s="2">
        <v>0</v>
      </c>
      <c r="Y6398">
        <v>20</v>
      </c>
      <c r="Z6398" t="s">
        <v>1491</v>
      </c>
      <c r="AA6398" s="3">
        <v>0.14837005734443701</v>
      </c>
      <c r="AB6398" t="s">
        <v>30916</v>
      </c>
      <c r="AC6398" t="s">
        <v>4575</v>
      </c>
      <c r="AD6398" t="s">
        <v>30917</v>
      </c>
      <c r="AE6398" t="s">
        <v>4655</v>
      </c>
      <c r="AF6398" t="s">
        <v>4563</v>
      </c>
      <c r="AG6398" t="s">
        <v>4564</v>
      </c>
      <c r="AH6398" t="s">
        <v>1147</v>
      </c>
      <c r="AI6398" t="s">
        <v>30918</v>
      </c>
      <c r="AJ6398" t="s">
        <v>3796</v>
      </c>
      <c r="AK6398" t="s">
        <v>30919</v>
      </c>
      <c r="AL6398" s="13" t="s">
        <v>1897</v>
      </c>
      <c r="AM6398">
        <v>1</v>
      </c>
      <c r="AN6398" s="15" t="s">
        <v>1592</v>
      </c>
    </row>
    <row r="6399" spans="1:40" x14ac:dyDescent="0.3">
      <c r="A6399" s="10" t="str">
        <f>HYPERLINK("http://www.washoecounty.gov/assessor/cama/?parid=234-481-03&amp;CardNumber=1","234-481-03")</f>
        <v>234-481-03</v>
      </c>
      <c r="B6399" t="s">
        <v>4655</v>
      </c>
      <c r="C6399" t="s">
        <v>30920</v>
      </c>
      <c r="D6399" s="1">
        <v>40528</v>
      </c>
      <c r="E6399" s="2">
        <v>238340</v>
      </c>
      <c r="F6399" t="s">
        <v>4567</v>
      </c>
      <c r="G6399" s="17" t="str">
        <f>HYPERLINK("https://www.washoecounty.gov/assessor/cama/?command=sales&amp;parid=23448103","3953974")</f>
        <v>3953974</v>
      </c>
      <c r="H6399" t="s">
        <v>3794</v>
      </c>
      <c r="I6399">
        <v>2010</v>
      </c>
      <c r="J6399">
        <v>2010</v>
      </c>
      <c r="K6399" t="s">
        <v>4554</v>
      </c>
      <c r="L6399" t="s">
        <v>4555</v>
      </c>
      <c r="M6399" s="2">
        <v>1422</v>
      </c>
      <c r="N6399" t="s">
        <v>5280</v>
      </c>
      <c r="O6399">
        <v>2</v>
      </c>
      <c r="P6399">
        <v>2</v>
      </c>
      <c r="Q6399">
        <v>0</v>
      </c>
      <c r="R6399" t="s">
        <v>5281</v>
      </c>
      <c r="S6399" t="s">
        <v>4898</v>
      </c>
      <c r="T6399" t="s">
        <v>2704</v>
      </c>
      <c r="U6399" t="s">
        <v>4560</v>
      </c>
      <c r="V6399" s="2">
        <v>420</v>
      </c>
      <c r="W6399" t="s">
        <v>4655</v>
      </c>
      <c r="X6399" s="2">
        <v>0</v>
      </c>
      <c r="Y6399">
        <v>20</v>
      </c>
      <c r="Z6399" t="s">
        <v>1491</v>
      </c>
      <c r="AA6399" s="3">
        <v>0.120982550084591</v>
      </c>
      <c r="AB6399" t="s">
        <v>30921</v>
      </c>
      <c r="AC6399" t="s">
        <v>4562</v>
      </c>
      <c r="AD6399" t="s">
        <v>30922</v>
      </c>
      <c r="AE6399" t="s">
        <v>4655</v>
      </c>
      <c r="AF6399" t="s">
        <v>4563</v>
      </c>
      <c r="AG6399" t="s">
        <v>4564</v>
      </c>
      <c r="AH6399" t="s">
        <v>1147</v>
      </c>
      <c r="AI6399" t="s">
        <v>30921</v>
      </c>
      <c r="AJ6399" t="s">
        <v>3796</v>
      </c>
      <c r="AK6399" t="s">
        <v>30923</v>
      </c>
      <c r="AL6399" s="13" t="s">
        <v>1897</v>
      </c>
      <c r="AM6399">
        <v>1</v>
      </c>
      <c r="AN6399" s="15" t="s">
        <v>1592</v>
      </c>
    </row>
    <row r="6400" spans="1:40" x14ac:dyDescent="0.3">
      <c r="A6400" s="10" t="str">
        <f>HYPERLINK("http://www.washoecounty.gov/assessor/cama/?parid=234-481-04&amp;CardNumber=1","234-481-04")</f>
        <v>234-481-04</v>
      </c>
      <c r="B6400" t="s">
        <v>4655</v>
      </c>
      <c r="C6400" t="s">
        <v>30924</v>
      </c>
      <c r="D6400" s="1">
        <v>40346</v>
      </c>
      <c r="E6400" s="2">
        <v>253353</v>
      </c>
      <c r="F6400" t="s">
        <v>4567</v>
      </c>
      <c r="G6400" s="17" t="str">
        <f>HYPERLINK("https://www.washoecounty.gov/assessor/cama/?command=sales&amp;parid=23448104","3893093")</f>
        <v>3893093</v>
      </c>
      <c r="H6400" t="s">
        <v>3794</v>
      </c>
      <c r="I6400">
        <v>2009</v>
      </c>
      <c r="J6400">
        <v>2009</v>
      </c>
      <c r="K6400" t="s">
        <v>4554</v>
      </c>
      <c r="L6400" t="s">
        <v>4555</v>
      </c>
      <c r="M6400" s="2">
        <v>1440</v>
      </c>
      <c r="N6400" t="s">
        <v>5280</v>
      </c>
      <c r="O6400">
        <v>2</v>
      </c>
      <c r="P6400">
        <v>2</v>
      </c>
      <c r="Q6400">
        <v>0</v>
      </c>
      <c r="R6400" t="s">
        <v>5281</v>
      </c>
      <c r="S6400" t="s">
        <v>4898</v>
      </c>
      <c r="T6400" t="s">
        <v>2704</v>
      </c>
      <c r="U6400" t="s">
        <v>4560</v>
      </c>
      <c r="V6400" s="2">
        <v>420</v>
      </c>
      <c r="W6400" t="s">
        <v>4655</v>
      </c>
      <c r="X6400" s="2">
        <v>0</v>
      </c>
      <c r="Y6400">
        <v>20</v>
      </c>
      <c r="Z6400" t="s">
        <v>1491</v>
      </c>
      <c r="AA6400" s="3">
        <v>0.13911846280098</v>
      </c>
      <c r="AB6400" t="s">
        <v>30925</v>
      </c>
      <c r="AC6400" t="s">
        <v>4562</v>
      </c>
      <c r="AD6400" t="s">
        <v>30926</v>
      </c>
      <c r="AE6400" t="s">
        <v>4655</v>
      </c>
      <c r="AF6400" t="s">
        <v>4563</v>
      </c>
      <c r="AG6400" t="s">
        <v>4564</v>
      </c>
      <c r="AH6400" t="s">
        <v>1147</v>
      </c>
      <c r="AI6400" t="s">
        <v>3795</v>
      </c>
      <c r="AJ6400" t="s">
        <v>3796</v>
      </c>
      <c r="AK6400" t="s">
        <v>30927</v>
      </c>
      <c r="AL6400" s="13" t="s">
        <v>1897</v>
      </c>
      <c r="AM6400">
        <v>1</v>
      </c>
      <c r="AN6400" s="15" t="s">
        <v>1592</v>
      </c>
    </row>
    <row r="6401" spans="1:40" x14ac:dyDescent="0.3">
      <c r="A6401" s="10" t="str">
        <f>HYPERLINK("http://www.washoecounty.gov/assessor/cama/?parid=234-481-05&amp;CardNumber=1","234-481-05")</f>
        <v>234-481-05</v>
      </c>
      <c r="B6401" t="s">
        <v>4655</v>
      </c>
      <c r="C6401" t="s">
        <v>30928</v>
      </c>
      <c r="D6401" s="1">
        <v>40529</v>
      </c>
      <c r="E6401" s="2">
        <v>216970</v>
      </c>
      <c r="F6401" t="s">
        <v>4567</v>
      </c>
      <c r="G6401" s="17" t="str">
        <f>HYPERLINK("https://www.washoecounty.gov/assessor/cama/?command=sales&amp;parid=23448105","3954838")</f>
        <v>3954838</v>
      </c>
      <c r="H6401" t="s">
        <v>3794</v>
      </c>
      <c r="I6401">
        <v>2010</v>
      </c>
      <c r="J6401">
        <v>2010</v>
      </c>
      <c r="K6401" t="s">
        <v>4554</v>
      </c>
      <c r="L6401" t="s">
        <v>4555</v>
      </c>
      <c r="M6401" s="2">
        <v>1440</v>
      </c>
      <c r="N6401" t="s">
        <v>5280</v>
      </c>
      <c r="O6401">
        <v>2</v>
      </c>
      <c r="P6401">
        <v>2</v>
      </c>
      <c r="Q6401">
        <v>0</v>
      </c>
      <c r="R6401" t="s">
        <v>5281</v>
      </c>
      <c r="S6401" t="s">
        <v>4898</v>
      </c>
      <c r="T6401" t="s">
        <v>2704</v>
      </c>
      <c r="U6401" t="s">
        <v>4560</v>
      </c>
      <c r="V6401" s="2">
        <v>420</v>
      </c>
      <c r="W6401" t="s">
        <v>4655</v>
      </c>
      <c r="X6401" s="2">
        <v>0</v>
      </c>
      <c r="Y6401">
        <v>20</v>
      </c>
      <c r="Z6401" t="s">
        <v>1491</v>
      </c>
      <c r="AA6401" s="3">
        <v>0.15270890295505499</v>
      </c>
      <c r="AB6401" t="s">
        <v>30708</v>
      </c>
      <c r="AC6401" t="s">
        <v>4562</v>
      </c>
      <c r="AD6401" t="s">
        <v>30928</v>
      </c>
      <c r="AE6401" t="s">
        <v>4655</v>
      </c>
      <c r="AF6401" t="s">
        <v>4563</v>
      </c>
      <c r="AG6401" t="s">
        <v>4564</v>
      </c>
      <c r="AH6401" t="s">
        <v>1147</v>
      </c>
      <c r="AI6401" t="s">
        <v>30708</v>
      </c>
      <c r="AJ6401" t="s">
        <v>3796</v>
      </c>
      <c r="AK6401" t="s">
        <v>30929</v>
      </c>
      <c r="AL6401" s="13" t="s">
        <v>1897</v>
      </c>
      <c r="AM6401" s="14">
        <v>1</v>
      </c>
      <c r="AN6401" s="15" t="s">
        <v>1592</v>
      </c>
    </row>
    <row r="6402" spans="1:40" x14ac:dyDescent="0.3">
      <c r="A6402" s="10" t="str">
        <f>HYPERLINK("http://www.washoecounty.gov/assessor/cama/?parid=234-481-06&amp;CardNumber=1","234-481-06")</f>
        <v>234-481-06</v>
      </c>
      <c r="B6402" t="s">
        <v>4655</v>
      </c>
      <c r="C6402" t="s">
        <v>30930</v>
      </c>
      <c r="D6402" s="1">
        <v>40505</v>
      </c>
      <c r="E6402" s="2">
        <v>238279</v>
      </c>
      <c r="F6402" t="s">
        <v>4567</v>
      </c>
      <c r="G6402" s="17" t="str">
        <f>HYPERLINK("https://www.washoecounty.gov/assessor/cama/?command=sales&amp;parid=23448106","3946140")</f>
        <v>3946140</v>
      </c>
      <c r="H6402" t="s">
        <v>3794</v>
      </c>
      <c r="I6402">
        <v>2010</v>
      </c>
      <c r="J6402">
        <v>2010</v>
      </c>
      <c r="K6402" t="s">
        <v>4554</v>
      </c>
      <c r="L6402" t="s">
        <v>4555</v>
      </c>
      <c r="M6402" s="2">
        <v>1598</v>
      </c>
      <c r="N6402" t="s">
        <v>5280</v>
      </c>
      <c r="O6402">
        <v>3</v>
      </c>
      <c r="P6402">
        <v>2</v>
      </c>
      <c r="Q6402">
        <v>0</v>
      </c>
      <c r="R6402" t="s">
        <v>5281</v>
      </c>
      <c r="S6402" t="s">
        <v>4898</v>
      </c>
      <c r="T6402" t="s">
        <v>2704</v>
      </c>
      <c r="U6402" t="s">
        <v>4560</v>
      </c>
      <c r="V6402" s="2">
        <v>400</v>
      </c>
      <c r="W6402" t="s">
        <v>4655</v>
      </c>
      <c r="X6402" s="2">
        <v>0</v>
      </c>
      <c r="Y6402">
        <v>20</v>
      </c>
      <c r="Z6402" t="s">
        <v>1491</v>
      </c>
      <c r="AA6402" s="3">
        <v>0.117561981081963</v>
      </c>
      <c r="AB6402" t="s">
        <v>30931</v>
      </c>
      <c r="AC6402" t="s">
        <v>4562</v>
      </c>
      <c r="AD6402" t="s">
        <v>30932</v>
      </c>
      <c r="AE6402" t="s">
        <v>4655</v>
      </c>
      <c r="AF6402" t="s">
        <v>4563</v>
      </c>
      <c r="AG6402" t="s">
        <v>4564</v>
      </c>
      <c r="AH6402" t="s">
        <v>1147</v>
      </c>
      <c r="AI6402" t="s">
        <v>3795</v>
      </c>
      <c r="AJ6402" t="s">
        <v>3796</v>
      </c>
      <c r="AK6402" t="s">
        <v>30933</v>
      </c>
      <c r="AL6402" s="13" t="s">
        <v>1897</v>
      </c>
      <c r="AM6402" s="14">
        <v>1</v>
      </c>
      <c r="AN6402" s="15" t="s">
        <v>1592</v>
      </c>
    </row>
    <row r="6403" spans="1:40" x14ac:dyDescent="0.3">
      <c r="A6403" s="10" t="str">
        <f>HYPERLINK("http://www.washoecounty.gov/assessor/cama/?parid=234-481-07&amp;CardNumber=1","234-481-07")</f>
        <v>234-481-07</v>
      </c>
      <c r="B6403" t="s">
        <v>4655</v>
      </c>
      <c r="C6403" t="s">
        <v>30934</v>
      </c>
      <c r="D6403" s="1">
        <v>40340</v>
      </c>
      <c r="E6403" s="2">
        <v>240330</v>
      </c>
      <c r="F6403" t="s">
        <v>4567</v>
      </c>
      <c r="G6403" s="17" t="str">
        <f>HYPERLINK("https://www.washoecounty.gov/assessor/cama/?command=sales&amp;parid=23448107","3890802")</f>
        <v>3890802</v>
      </c>
      <c r="H6403" t="s">
        <v>3794</v>
      </c>
      <c r="I6403">
        <v>2009</v>
      </c>
      <c r="J6403">
        <v>2009</v>
      </c>
      <c r="K6403" t="s">
        <v>4554</v>
      </c>
      <c r="L6403" t="s">
        <v>4555</v>
      </c>
      <c r="M6403" s="2">
        <v>1440</v>
      </c>
      <c r="N6403" t="s">
        <v>5280</v>
      </c>
      <c r="O6403">
        <v>2</v>
      </c>
      <c r="P6403">
        <v>2</v>
      </c>
      <c r="Q6403">
        <v>0</v>
      </c>
      <c r="R6403" t="s">
        <v>5281</v>
      </c>
      <c r="S6403" t="s">
        <v>4898</v>
      </c>
      <c r="T6403" t="s">
        <v>2704</v>
      </c>
      <c r="U6403" t="s">
        <v>4560</v>
      </c>
      <c r="V6403" s="2">
        <v>420</v>
      </c>
      <c r="W6403" t="s">
        <v>4655</v>
      </c>
      <c r="X6403" s="2">
        <v>0</v>
      </c>
      <c r="Y6403">
        <v>20</v>
      </c>
      <c r="Z6403" t="s">
        <v>1491</v>
      </c>
      <c r="AA6403" s="3">
        <v>0.13863636553287506</v>
      </c>
      <c r="AB6403" t="s">
        <v>30935</v>
      </c>
      <c r="AC6403" t="s">
        <v>4562</v>
      </c>
      <c r="AD6403" t="s">
        <v>30936</v>
      </c>
      <c r="AE6403" t="s">
        <v>4655</v>
      </c>
      <c r="AF6403" t="s">
        <v>6192</v>
      </c>
      <c r="AG6403" t="s">
        <v>1188</v>
      </c>
      <c r="AH6403">
        <v>99709</v>
      </c>
      <c r="AI6403" t="s">
        <v>3795</v>
      </c>
      <c r="AJ6403" t="s">
        <v>3796</v>
      </c>
      <c r="AK6403" t="s">
        <v>30937</v>
      </c>
      <c r="AL6403" s="13" t="s">
        <v>1897</v>
      </c>
      <c r="AM6403">
        <v>1</v>
      </c>
      <c r="AN6403" s="15" t="s">
        <v>1592</v>
      </c>
    </row>
    <row r="6404" spans="1:40" x14ac:dyDescent="0.3">
      <c r="A6404" s="10" t="str">
        <f>HYPERLINK("http://www.washoecounty.gov/assessor/cama/?parid=234-481-08&amp;CardNumber=1","234-481-08")</f>
        <v>234-481-08</v>
      </c>
      <c r="B6404" t="s">
        <v>4655</v>
      </c>
      <c r="C6404" t="s">
        <v>30938</v>
      </c>
      <c r="D6404" s="1">
        <v>40424</v>
      </c>
      <c r="E6404" s="2">
        <v>301717</v>
      </c>
      <c r="F6404" t="s">
        <v>4567</v>
      </c>
      <c r="G6404" s="17" t="str">
        <f>HYPERLINK("https://www.washoecounty.gov/assessor/cama/?command=sales&amp;parid=23448108","3918741")</f>
        <v>3918741</v>
      </c>
      <c r="H6404" t="s">
        <v>3794</v>
      </c>
      <c r="I6404">
        <v>2010</v>
      </c>
      <c r="J6404">
        <v>2010</v>
      </c>
      <c r="K6404" t="s">
        <v>4554</v>
      </c>
      <c r="L6404" t="s">
        <v>4555</v>
      </c>
      <c r="M6404" s="2">
        <v>1834</v>
      </c>
      <c r="N6404" t="s">
        <v>5280</v>
      </c>
      <c r="O6404">
        <v>2</v>
      </c>
      <c r="P6404">
        <v>2</v>
      </c>
      <c r="Q6404">
        <v>0</v>
      </c>
      <c r="R6404" t="s">
        <v>5281</v>
      </c>
      <c r="S6404" t="s">
        <v>4898</v>
      </c>
      <c r="T6404" t="s">
        <v>2704</v>
      </c>
      <c r="U6404" t="s">
        <v>4560</v>
      </c>
      <c r="V6404" s="2">
        <v>493</v>
      </c>
      <c r="W6404" t="s">
        <v>4655</v>
      </c>
      <c r="X6404" s="2">
        <v>0</v>
      </c>
      <c r="Y6404">
        <v>20</v>
      </c>
      <c r="Z6404" t="s">
        <v>1491</v>
      </c>
      <c r="AA6404" s="3">
        <v>0.15112487971782701</v>
      </c>
      <c r="AB6404" t="s">
        <v>30939</v>
      </c>
      <c r="AC6404" t="s">
        <v>4562</v>
      </c>
      <c r="AD6404" t="s">
        <v>30940</v>
      </c>
      <c r="AE6404" t="s">
        <v>4655</v>
      </c>
      <c r="AF6404" t="s">
        <v>4563</v>
      </c>
      <c r="AG6404" t="s">
        <v>4564</v>
      </c>
      <c r="AH6404" t="s">
        <v>1147</v>
      </c>
      <c r="AI6404" t="s">
        <v>3795</v>
      </c>
      <c r="AJ6404" t="s">
        <v>3796</v>
      </c>
      <c r="AK6404" t="s">
        <v>30941</v>
      </c>
      <c r="AL6404" s="13" t="s">
        <v>1897</v>
      </c>
      <c r="AM6404" s="14">
        <v>1</v>
      </c>
      <c r="AN6404" s="15" t="s">
        <v>1592</v>
      </c>
    </row>
    <row r="6405" spans="1:40" x14ac:dyDescent="0.3">
      <c r="A6405" s="10" t="str">
        <f>HYPERLINK("http://www.washoecounty.gov/assessor/cama/?parid=234-481-09&amp;CardNumber=1","234-481-09")</f>
        <v>234-481-09</v>
      </c>
      <c r="B6405" t="s">
        <v>4655</v>
      </c>
      <c r="C6405" t="s">
        <v>30942</v>
      </c>
      <c r="D6405" s="1">
        <v>40399</v>
      </c>
      <c r="E6405" s="2">
        <v>271385</v>
      </c>
      <c r="F6405" t="s">
        <v>4567</v>
      </c>
      <c r="G6405" s="17" t="str">
        <f>HYPERLINK("https://www.washoecounty.gov/assessor/cama/?command=sales&amp;parid=23448109","3910021")</f>
        <v>3910021</v>
      </c>
      <c r="H6405" t="s">
        <v>3794</v>
      </c>
      <c r="I6405">
        <v>2009</v>
      </c>
      <c r="J6405">
        <v>2009</v>
      </c>
      <c r="K6405" t="s">
        <v>4554</v>
      </c>
      <c r="L6405" t="s">
        <v>4555</v>
      </c>
      <c r="M6405" s="2">
        <v>1834</v>
      </c>
      <c r="N6405" t="s">
        <v>5280</v>
      </c>
      <c r="O6405">
        <v>2</v>
      </c>
      <c r="P6405">
        <v>2</v>
      </c>
      <c r="Q6405">
        <v>0</v>
      </c>
      <c r="R6405" t="s">
        <v>5281</v>
      </c>
      <c r="S6405" t="s">
        <v>4898</v>
      </c>
      <c r="T6405" t="s">
        <v>2704</v>
      </c>
      <c r="U6405" t="s">
        <v>4560</v>
      </c>
      <c r="V6405" s="2">
        <v>493</v>
      </c>
      <c r="W6405" t="s">
        <v>4655</v>
      </c>
      <c r="X6405" s="2">
        <v>0</v>
      </c>
      <c r="Y6405">
        <v>20</v>
      </c>
      <c r="Z6405" t="s">
        <v>1491</v>
      </c>
      <c r="AA6405" s="3">
        <v>0.16016988456249201</v>
      </c>
      <c r="AB6405" t="s">
        <v>30943</v>
      </c>
      <c r="AC6405" t="s">
        <v>4575</v>
      </c>
      <c r="AD6405" t="s">
        <v>30944</v>
      </c>
      <c r="AE6405" t="s">
        <v>4655</v>
      </c>
      <c r="AF6405" t="s">
        <v>30945</v>
      </c>
      <c r="AG6405" t="s">
        <v>5277</v>
      </c>
      <c r="AH6405">
        <v>86303</v>
      </c>
      <c r="AI6405" t="s">
        <v>3795</v>
      </c>
      <c r="AJ6405" t="s">
        <v>3796</v>
      </c>
      <c r="AK6405" t="s">
        <v>30946</v>
      </c>
      <c r="AL6405" s="13" t="s">
        <v>1897</v>
      </c>
      <c r="AM6405" s="14">
        <v>1</v>
      </c>
      <c r="AN6405" s="15" t="s">
        <v>1592</v>
      </c>
    </row>
    <row r="6406" spans="1:40" x14ac:dyDescent="0.3">
      <c r="A6406" s="10" t="str">
        <f>HYPERLINK("http://www.washoecounty.gov/assessor/cama/?parid=234-481-10&amp;CardNumber=1","234-481-10")</f>
        <v>234-481-10</v>
      </c>
      <c r="B6406" t="s">
        <v>4655</v>
      </c>
      <c r="C6406" t="s">
        <v>30947</v>
      </c>
      <c r="D6406" s="1">
        <v>40533</v>
      </c>
      <c r="E6406" s="2">
        <v>377990</v>
      </c>
      <c r="F6406" t="s">
        <v>4567</v>
      </c>
      <c r="G6406" s="17" t="str">
        <f>HYPERLINK("https://www.washoecounty.gov/assessor/cama/?command=sales&amp;parid=23448110","3956016")</f>
        <v>3956016</v>
      </c>
      <c r="H6406" t="s">
        <v>3794</v>
      </c>
      <c r="I6406">
        <v>2010</v>
      </c>
      <c r="J6406">
        <v>2010</v>
      </c>
      <c r="K6406" t="s">
        <v>4554</v>
      </c>
      <c r="L6406" t="s">
        <v>4555</v>
      </c>
      <c r="M6406" s="2">
        <v>2487</v>
      </c>
      <c r="N6406" t="s">
        <v>5280</v>
      </c>
      <c r="O6406">
        <v>2</v>
      </c>
      <c r="P6406">
        <v>2</v>
      </c>
      <c r="Q6406">
        <v>0</v>
      </c>
      <c r="R6406" t="s">
        <v>5281</v>
      </c>
      <c r="S6406" t="s">
        <v>4898</v>
      </c>
      <c r="T6406" t="s">
        <v>2704</v>
      </c>
      <c r="U6406" t="s">
        <v>4560</v>
      </c>
      <c r="V6406" s="2">
        <v>462</v>
      </c>
      <c r="W6406" t="s">
        <v>4655</v>
      </c>
      <c r="X6406" s="2">
        <v>0</v>
      </c>
      <c r="Y6406">
        <v>20</v>
      </c>
      <c r="Z6406" t="s">
        <v>1491</v>
      </c>
      <c r="AA6406" s="3">
        <v>0.164233237504959</v>
      </c>
      <c r="AB6406" t="s">
        <v>30948</v>
      </c>
      <c r="AC6406" t="s">
        <v>4562</v>
      </c>
      <c r="AD6406" t="s">
        <v>30947</v>
      </c>
      <c r="AE6406" t="s">
        <v>4655</v>
      </c>
      <c r="AF6406" t="s">
        <v>4563</v>
      </c>
      <c r="AG6406" t="s">
        <v>4564</v>
      </c>
      <c r="AH6406" t="s">
        <v>1147</v>
      </c>
      <c r="AI6406" t="s">
        <v>3795</v>
      </c>
      <c r="AJ6406" t="s">
        <v>3796</v>
      </c>
      <c r="AK6406" t="s">
        <v>30949</v>
      </c>
      <c r="AL6406" s="13" t="s">
        <v>1897</v>
      </c>
      <c r="AM6406" s="14">
        <v>1</v>
      </c>
      <c r="AN6406" s="15" t="s">
        <v>1592</v>
      </c>
    </row>
    <row r="6407" spans="1:40" x14ac:dyDescent="0.3">
      <c r="A6407" s="10" t="str">
        <f>HYPERLINK("http://www.washoecounty.gov/assessor/cama/?parid=234-481-11&amp;CardNumber=1","234-481-11")</f>
        <v>234-481-11</v>
      </c>
      <c r="B6407" t="s">
        <v>4655</v>
      </c>
      <c r="C6407" t="s">
        <v>30950</v>
      </c>
      <c r="D6407" s="1">
        <v>40354</v>
      </c>
      <c r="E6407" s="2">
        <v>417272</v>
      </c>
      <c r="F6407" t="s">
        <v>4567</v>
      </c>
      <c r="G6407" s="17" t="str">
        <f>HYPERLINK("https://www.washoecounty.gov/assessor/cama/?command=sales&amp;parid=23448111","3895420")</f>
        <v>3895420</v>
      </c>
      <c r="H6407" t="s">
        <v>3794</v>
      </c>
      <c r="I6407">
        <v>2009</v>
      </c>
      <c r="J6407">
        <v>2009</v>
      </c>
      <c r="K6407" t="s">
        <v>4554</v>
      </c>
      <c r="L6407" t="s">
        <v>4555</v>
      </c>
      <c r="M6407" s="2">
        <v>2487</v>
      </c>
      <c r="N6407" t="s">
        <v>5280</v>
      </c>
      <c r="O6407">
        <v>4</v>
      </c>
      <c r="P6407">
        <v>2</v>
      </c>
      <c r="Q6407">
        <v>0</v>
      </c>
      <c r="R6407" t="s">
        <v>5281</v>
      </c>
      <c r="S6407" t="s">
        <v>4898</v>
      </c>
      <c r="T6407" t="s">
        <v>2704</v>
      </c>
      <c r="U6407" t="s">
        <v>4560</v>
      </c>
      <c r="V6407" s="2">
        <v>618</v>
      </c>
      <c r="W6407" t="s">
        <v>4655</v>
      </c>
      <c r="X6407" s="2">
        <v>0</v>
      </c>
      <c r="Y6407">
        <v>20</v>
      </c>
      <c r="Z6407" t="s">
        <v>1491</v>
      </c>
      <c r="AA6407" s="3">
        <v>0.22118917107582101</v>
      </c>
      <c r="AB6407" t="s">
        <v>30951</v>
      </c>
      <c r="AC6407" t="s">
        <v>4562</v>
      </c>
      <c r="AD6407" t="s">
        <v>30952</v>
      </c>
      <c r="AE6407" t="s">
        <v>4655</v>
      </c>
      <c r="AF6407" t="s">
        <v>4563</v>
      </c>
      <c r="AG6407" t="s">
        <v>4564</v>
      </c>
      <c r="AH6407" t="s">
        <v>1147</v>
      </c>
      <c r="AI6407" t="s">
        <v>3795</v>
      </c>
      <c r="AJ6407" t="s">
        <v>3796</v>
      </c>
      <c r="AK6407" t="s">
        <v>30953</v>
      </c>
      <c r="AL6407" s="13" t="s">
        <v>1897</v>
      </c>
      <c r="AM6407" s="14">
        <v>1</v>
      </c>
      <c r="AN6407" s="15" t="s">
        <v>1592</v>
      </c>
    </row>
    <row r="6408" spans="1:40" x14ac:dyDescent="0.3">
      <c r="A6408" s="10" t="str">
        <f>HYPERLINK("http://www.washoecounty.gov/assessor/cama/?parid=234-481-12&amp;CardNumber=1","234-481-12")</f>
        <v>234-481-12</v>
      </c>
      <c r="B6408" t="s">
        <v>4655</v>
      </c>
      <c r="C6408" t="s">
        <v>30954</v>
      </c>
      <c r="D6408" s="1">
        <v>40374</v>
      </c>
      <c r="E6408" s="2">
        <v>414365</v>
      </c>
      <c r="F6408" t="s">
        <v>4567</v>
      </c>
      <c r="G6408" s="17" t="str">
        <f>HYPERLINK("https://www.washoecounty.gov/assessor/cama/?command=sales&amp;parid=23448112","3901610")</f>
        <v>3901610</v>
      </c>
      <c r="H6408" t="s">
        <v>3794</v>
      </c>
      <c r="I6408">
        <v>2009</v>
      </c>
      <c r="J6408">
        <v>2009</v>
      </c>
      <c r="K6408" t="s">
        <v>4554</v>
      </c>
      <c r="L6408" t="s">
        <v>4555</v>
      </c>
      <c r="M6408" s="2">
        <v>2487</v>
      </c>
      <c r="N6408" t="s">
        <v>5280</v>
      </c>
      <c r="O6408">
        <v>4</v>
      </c>
      <c r="P6408">
        <v>2</v>
      </c>
      <c r="Q6408">
        <v>0</v>
      </c>
      <c r="R6408" t="s">
        <v>5281</v>
      </c>
      <c r="S6408" t="s">
        <v>4898</v>
      </c>
      <c r="T6408" t="s">
        <v>2704</v>
      </c>
      <c r="U6408" t="s">
        <v>4560</v>
      </c>
      <c r="V6408" s="2">
        <v>462</v>
      </c>
      <c r="W6408" t="s">
        <v>4655</v>
      </c>
      <c r="X6408" s="2">
        <v>0</v>
      </c>
      <c r="Y6408">
        <v>20</v>
      </c>
      <c r="Z6408" t="s">
        <v>1491</v>
      </c>
      <c r="AA6408" s="3">
        <v>0.22998163104057301</v>
      </c>
      <c r="AB6408" t="s">
        <v>30955</v>
      </c>
      <c r="AC6408" t="s">
        <v>4575</v>
      </c>
      <c r="AD6408" t="s">
        <v>30954</v>
      </c>
      <c r="AE6408" t="s">
        <v>4655</v>
      </c>
      <c r="AF6408" t="s">
        <v>4563</v>
      </c>
      <c r="AG6408" t="s">
        <v>4564</v>
      </c>
      <c r="AH6408" t="s">
        <v>1147</v>
      </c>
      <c r="AI6408" t="s">
        <v>3795</v>
      </c>
      <c r="AJ6408" t="s">
        <v>3796</v>
      </c>
      <c r="AK6408" t="s">
        <v>30956</v>
      </c>
      <c r="AL6408" s="13" t="s">
        <v>1897</v>
      </c>
      <c r="AM6408" s="14">
        <v>1</v>
      </c>
      <c r="AN6408" s="15" t="s">
        <v>1592</v>
      </c>
    </row>
    <row r="6409" spans="1:40" x14ac:dyDescent="0.3">
      <c r="A6409" s="10" t="str">
        <f>HYPERLINK("http://www.washoecounty.gov/assessor/cama/?parid=234-481-13&amp;CardNumber=1","234-481-13")</f>
        <v>234-481-13</v>
      </c>
      <c r="B6409" t="s">
        <v>4655</v>
      </c>
      <c r="C6409" t="s">
        <v>30957</v>
      </c>
      <c r="D6409" s="1">
        <v>40501</v>
      </c>
      <c r="E6409" s="2">
        <v>359925</v>
      </c>
      <c r="F6409" t="s">
        <v>4567</v>
      </c>
      <c r="G6409" s="17" t="str">
        <f>HYPERLINK("https://www.washoecounty.gov/assessor/cama/?command=sales&amp;parid=23448113","3945154")</f>
        <v>3945154</v>
      </c>
      <c r="H6409" t="s">
        <v>3794</v>
      </c>
      <c r="I6409">
        <v>2010</v>
      </c>
      <c r="J6409">
        <v>2010</v>
      </c>
      <c r="K6409" t="s">
        <v>4554</v>
      </c>
      <c r="L6409" t="s">
        <v>4555</v>
      </c>
      <c r="M6409" s="2">
        <v>2487</v>
      </c>
      <c r="N6409" t="s">
        <v>5280</v>
      </c>
      <c r="O6409">
        <v>2</v>
      </c>
      <c r="P6409">
        <v>2</v>
      </c>
      <c r="Q6409">
        <v>0</v>
      </c>
      <c r="R6409" t="s">
        <v>5281</v>
      </c>
      <c r="S6409" t="s">
        <v>4898</v>
      </c>
      <c r="T6409" t="s">
        <v>2704</v>
      </c>
      <c r="U6409" t="s">
        <v>4560</v>
      </c>
      <c r="V6409" s="2">
        <v>462</v>
      </c>
      <c r="W6409" t="s">
        <v>4655</v>
      </c>
      <c r="X6409" s="2">
        <v>0</v>
      </c>
      <c r="Y6409">
        <v>20</v>
      </c>
      <c r="Z6409" t="s">
        <v>1491</v>
      </c>
      <c r="AA6409" s="3">
        <v>0.21747015416622201</v>
      </c>
      <c r="AB6409" t="s">
        <v>30958</v>
      </c>
      <c r="AC6409" t="s">
        <v>4562</v>
      </c>
      <c r="AD6409" t="s">
        <v>30959</v>
      </c>
      <c r="AE6409" t="s">
        <v>4655</v>
      </c>
      <c r="AF6409" t="s">
        <v>30960</v>
      </c>
      <c r="AG6409" t="s">
        <v>1434</v>
      </c>
      <c r="AH6409" t="s">
        <v>30961</v>
      </c>
      <c r="AI6409" t="s">
        <v>3795</v>
      </c>
      <c r="AJ6409" t="s">
        <v>3796</v>
      </c>
      <c r="AK6409" t="s">
        <v>30962</v>
      </c>
      <c r="AL6409" s="13" t="s">
        <v>1897</v>
      </c>
      <c r="AM6409" s="14">
        <v>1</v>
      </c>
      <c r="AN6409" s="15" t="s">
        <v>1592</v>
      </c>
    </row>
    <row r="6410" spans="1:40" x14ac:dyDescent="0.3">
      <c r="A6410" s="10" t="str">
        <f>HYPERLINK("http://www.washoecounty.gov/assessor/cama/?parid=234-481-16&amp;CardNumber=1","234-481-16")</f>
        <v>234-481-16</v>
      </c>
      <c r="B6410" t="s">
        <v>4655</v>
      </c>
      <c r="C6410" t="s">
        <v>30963</v>
      </c>
      <c r="D6410" s="1">
        <v>40416</v>
      </c>
      <c r="E6410" s="2">
        <v>281280</v>
      </c>
      <c r="F6410" t="s">
        <v>4567</v>
      </c>
      <c r="G6410" s="17" t="str">
        <f>HYPERLINK("https://www.washoecounty.gov/assessor/cama/?command=sales&amp;parid=23448116","3915952")</f>
        <v>3915952</v>
      </c>
      <c r="H6410" t="s">
        <v>3794</v>
      </c>
      <c r="I6410">
        <v>2010</v>
      </c>
      <c r="J6410">
        <v>2010</v>
      </c>
      <c r="K6410" t="s">
        <v>4554</v>
      </c>
      <c r="L6410" t="s">
        <v>4555</v>
      </c>
      <c r="M6410" s="2">
        <v>2066</v>
      </c>
      <c r="N6410" t="s">
        <v>5280</v>
      </c>
      <c r="O6410">
        <v>2</v>
      </c>
      <c r="P6410">
        <v>2</v>
      </c>
      <c r="Q6410">
        <v>0</v>
      </c>
      <c r="R6410" t="s">
        <v>5281</v>
      </c>
      <c r="S6410" t="s">
        <v>4898</v>
      </c>
      <c r="T6410" t="s">
        <v>2704</v>
      </c>
      <c r="U6410" t="s">
        <v>4560</v>
      </c>
      <c r="V6410" s="2">
        <v>506</v>
      </c>
      <c r="W6410" t="s">
        <v>4655</v>
      </c>
      <c r="X6410" s="2">
        <v>0</v>
      </c>
      <c r="Y6410">
        <v>20</v>
      </c>
      <c r="Z6410" t="s">
        <v>1491</v>
      </c>
      <c r="AA6410" s="3">
        <v>0.15452249348163605</v>
      </c>
      <c r="AB6410" t="s">
        <v>30964</v>
      </c>
      <c r="AC6410" t="s">
        <v>4575</v>
      </c>
      <c r="AD6410" t="s">
        <v>30965</v>
      </c>
      <c r="AE6410" t="s">
        <v>4655</v>
      </c>
      <c r="AF6410" t="s">
        <v>9701</v>
      </c>
      <c r="AG6410" t="s">
        <v>4584</v>
      </c>
      <c r="AH6410" t="s">
        <v>30966</v>
      </c>
      <c r="AI6410" t="s">
        <v>3795</v>
      </c>
      <c r="AJ6410" t="s">
        <v>3796</v>
      </c>
      <c r="AK6410" t="s">
        <v>30967</v>
      </c>
      <c r="AL6410" s="13" t="s">
        <v>1897</v>
      </c>
      <c r="AM6410" s="14">
        <v>1</v>
      </c>
      <c r="AN6410" s="15" t="s">
        <v>1592</v>
      </c>
    </row>
    <row r="6411" spans="1:40" x14ac:dyDescent="0.3">
      <c r="A6411" s="10" t="str">
        <f>HYPERLINK("http://www.washoecounty.gov/assessor/cama/?parid=234-481-17&amp;CardNumber=1","234-481-17")</f>
        <v>234-481-17</v>
      </c>
      <c r="B6411" t="s">
        <v>4655</v>
      </c>
      <c r="C6411" t="s">
        <v>30968</v>
      </c>
      <c r="D6411" s="1">
        <v>40470</v>
      </c>
      <c r="E6411" s="2">
        <v>263750</v>
      </c>
      <c r="F6411" t="s">
        <v>3259</v>
      </c>
      <c r="G6411" s="17" t="str">
        <f>HYPERLINK("https://www.washoecounty.gov/assessor/cama/?command=sales&amp;parid=23448117","3934325")</f>
        <v>3934325</v>
      </c>
      <c r="H6411" t="s">
        <v>3794</v>
      </c>
      <c r="I6411">
        <v>2010</v>
      </c>
      <c r="J6411">
        <v>2010</v>
      </c>
      <c r="K6411" t="s">
        <v>4554</v>
      </c>
      <c r="L6411" t="s">
        <v>4555</v>
      </c>
      <c r="M6411" s="2">
        <v>1644</v>
      </c>
      <c r="N6411" t="s">
        <v>5280</v>
      </c>
      <c r="O6411">
        <v>2</v>
      </c>
      <c r="P6411">
        <v>2</v>
      </c>
      <c r="Q6411">
        <v>0</v>
      </c>
      <c r="R6411" t="s">
        <v>5281</v>
      </c>
      <c r="S6411" t="s">
        <v>4898</v>
      </c>
      <c r="T6411" t="s">
        <v>2704</v>
      </c>
      <c r="U6411" t="s">
        <v>4560</v>
      </c>
      <c r="V6411" s="2">
        <v>521</v>
      </c>
      <c r="W6411" t="s">
        <v>4655</v>
      </c>
      <c r="X6411" s="2">
        <v>0</v>
      </c>
      <c r="Y6411">
        <v>20</v>
      </c>
      <c r="Z6411" t="s">
        <v>1491</v>
      </c>
      <c r="AA6411" s="3">
        <v>0.14485767483711201</v>
      </c>
      <c r="AB6411" t="s">
        <v>30969</v>
      </c>
      <c r="AC6411" t="s">
        <v>4562</v>
      </c>
      <c r="AD6411" t="s">
        <v>30968</v>
      </c>
      <c r="AE6411" t="s">
        <v>4655</v>
      </c>
      <c r="AF6411" t="s">
        <v>4563</v>
      </c>
      <c r="AG6411" t="s">
        <v>4564</v>
      </c>
      <c r="AH6411" t="s">
        <v>1147</v>
      </c>
      <c r="AI6411" t="s">
        <v>3795</v>
      </c>
      <c r="AJ6411" t="s">
        <v>3796</v>
      </c>
      <c r="AK6411" t="s">
        <v>30970</v>
      </c>
      <c r="AL6411" s="13" t="s">
        <v>1897</v>
      </c>
      <c r="AM6411" s="14">
        <v>1</v>
      </c>
      <c r="AN6411" s="15" t="s">
        <v>1592</v>
      </c>
    </row>
    <row r="6412" spans="1:40" x14ac:dyDescent="0.3">
      <c r="A6412" s="10" t="str">
        <f>HYPERLINK("http://www.washoecounty.gov/assessor/cama/?parid=234-481-18&amp;CardNumber=1","234-481-18")</f>
        <v>234-481-18</v>
      </c>
      <c r="B6412" t="s">
        <v>4655</v>
      </c>
      <c r="C6412" t="s">
        <v>30971</v>
      </c>
      <c r="D6412" s="1">
        <v>40430</v>
      </c>
      <c r="E6412" s="2">
        <v>287000</v>
      </c>
      <c r="F6412" t="s">
        <v>4567</v>
      </c>
      <c r="G6412" s="17" t="str">
        <f>HYPERLINK("https://www.washoecounty.gov/assessor/cama/?command=sales&amp;parid=23448118","3920206")</f>
        <v>3920206</v>
      </c>
      <c r="H6412" t="s">
        <v>3794</v>
      </c>
      <c r="I6412">
        <v>2010</v>
      </c>
      <c r="J6412">
        <v>2010</v>
      </c>
      <c r="K6412" t="s">
        <v>4554</v>
      </c>
      <c r="L6412" t="s">
        <v>4555</v>
      </c>
      <c r="M6412" s="2">
        <v>2066</v>
      </c>
      <c r="N6412" t="s">
        <v>5280</v>
      </c>
      <c r="O6412">
        <v>2</v>
      </c>
      <c r="P6412">
        <v>2</v>
      </c>
      <c r="Q6412">
        <v>0</v>
      </c>
      <c r="R6412" t="s">
        <v>5281</v>
      </c>
      <c r="S6412" t="s">
        <v>4898</v>
      </c>
      <c r="T6412" t="s">
        <v>2704</v>
      </c>
      <c r="U6412" t="s">
        <v>4560</v>
      </c>
      <c r="V6412" s="2">
        <v>506</v>
      </c>
      <c r="W6412" t="s">
        <v>4655</v>
      </c>
      <c r="X6412" s="2">
        <v>0</v>
      </c>
      <c r="Y6412">
        <v>20</v>
      </c>
      <c r="Z6412" t="s">
        <v>1491</v>
      </c>
      <c r="AA6412" s="3">
        <v>0.14786501228809401</v>
      </c>
      <c r="AB6412" t="s">
        <v>30972</v>
      </c>
      <c r="AC6412" t="s">
        <v>4575</v>
      </c>
      <c r="AD6412" t="s">
        <v>30971</v>
      </c>
      <c r="AE6412" t="s">
        <v>4655</v>
      </c>
      <c r="AF6412" t="s">
        <v>4563</v>
      </c>
      <c r="AG6412" t="s">
        <v>4564</v>
      </c>
      <c r="AH6412" t="s">
        <v>1147</v>
      </c>
      <c r="AI6412" t="s">
        <v>30973</v>
      </c>
      <c r="AJ6412" t="s">
        <v>3796</v>
      </c>
      <c r="AK6412" t="s">
        <v>30974</v>
      </c>
      <c r="AL6412" s="13" t="s">
        <v>1897</v>
      </c>
      <c r="AM6412">
        <v>1</v>
      </c>
      <c r="AN6412" s="15" t="s">
        <v>1592</v>
      </c>
    </row>
    <row r="6413" spans="1:40" x14ac:dyDescent="0.3">
      <c r="A6413" s="10" t="str">
        <f>HYPERLINK("http://www.washoecounty.gov/assessor/cama/?parid=234-501-02&amp;CardNumber=1","234-501-02")</f>
        <v>234-501-02</v>
      </c>
      <c r="B6413" t="s">
        <v>4655</v>
      </c>
      <c r="C6413" t="s">
        <v>30975</v>
      </c>
      <c r="D6413" s="1">
        <v>40325</v>
      </c>
      <c r="E6413" s="2">
        <v>215000</v>
      </c>
      <c r="F6413" t="s">
        <v>4567</v>
      </c>
      <c r="G6413" s="17" t="str">
        <f>HYPERLINK("https://www.washoecounty.gov/assessor/cama/?command=sales&amp;parid=23450102","3886198")</f>
        <v>3886198</v>
      </c>
      <c r="H6413" t="s">
        <v>4548</v>
      </c>
      <c r="I6413">
        <v>2007</v>
      </c>
      <c r="J6413">
        <v>2007</v>
      </c>
      <c r="K6413" t="s">
        <v>4897</v>
      </c>
      <c r="L6413" t="s">
        <v>3974</v>
      </c>
      <c r="M6413" s="2">
        <v>2191</v>
      </c>
      <c r="N6413" t="s">
        <v>5280</v>
      </c>
      <c r="O6413">
        <v>3</v>
      </c>
      <c r="P6413">
        <v>2</v>
      </c>
      <c r="Q6413">
        <v>1</v>
      </c>
      <c r="R6413" t="s">
        <v>5281</v>
      </c>
      <c r="S6413" t="s">
        <v>4898</v>
      </c>
      <c r="T6413" t="s">
        <v>4559</v>
      </c>
      <c r="U6413" t="s">
        <v>5631</v>
      </c>
      <c r="V6413" s="2">
        <v>441</v>
      </c>
      <c r="W6413" t="s">
        <v>4655</v>
      </c>
      <c r="X6413" s="2">
        <v>0</v>
      </c>
      <c r="Y6413">
        <v>20</v>
      </c>
      <c r="Z6413" t="s">
        <v>1491</v>
      </c>
      <c r="AA6413" s="3">
        <v>7.7617079019546495E-2</v>
      </c>
      <c r="AB6413" t="s">
        <v>931</v>
      </c>
      <c r="AC6413" t="s">
        <v>4575</v>
      </c>
      <c r="AD6413" t="s">
        <v>30975</v>
      </c>
      <c r="AE6413" t="s">
        <v>4655</v>
      </c>
      <c r="AF6413" t="s">
        <v>4563</v>
      </c>
      <c r="AG6413" t="s">
        <v>4564</v>
      </c>
      <c r="AH6413" t="s">
        <v>1147</v>
      </c>
      <c r="AI6413" t="s">
        <v>30976</v>
      </c>
      <c r="AJ6413" t="s">
        <v>4549</v>
      </c>
      <c r="AK6413" t="s">
        <v>30977</v>
      </c>
      <c r="AL6413" s="13" t="s">
        <v>1897</v>
      </c>
      <c r="AM6413" s="14">
        <v>1</v>
      </c>
      <c r="AN6413" s="15" t="s">
        <v>4550</v>
      </c>
    </row>
    <row r="6414" spans="1:40" x14ac:dyDescent="0.3">
      <c r="A6414" s="10" t="str">
        <f>HYPERLINK("http://www.washoecounty.gov/assessor/cama/?parid=234-503-08&amp;CardNumber=1","234-503-08")</f>
        <v>234-503-08</v>
      </c>
      <c r="B6414" t="s">
        <v>4655</v>
      </c>
      <c r="C6414" t="s">
        <v>30978</v>
      </c>
      <c r="D6414" s="1">
        <v>40540</v>
      </c>
      <c r="E6414" s="2">
        <v>204750</v>
      </c>
      <c r="F6414" t="s">
        <v>4553</v>
      </c>
      <c r="G6414" s="17" t="str">
        <f>HYPERLINK("https://www.washoecounty.gov/assessor/cama/?command=sales&amp;parid=23450308","3957909")</f>
        <v>3957909</v>
      </c>
      <c r="H6414" t="s">
        <v>4548</v>
      </c>
      <c r="I6414">
        <v>2007</v>
      </c>
      <c r="J6414">
        <v>2007</v>
      </c>
      <c r="K6414" t="s">
        <v>4554</v>
      </c>
      <c r="L6414" t="s">
        <v>3974</v>
      </c>
      <c r="M6414" s="2">
        <v>2394</v>
      </c>
      <c r="N6414" t="s">
        <v>5280</v>
      </c>
      <c r="O6414">
        <v>4</v>
      </c>
      <c r="P6414">
        <v>2</v>
      </c>
      <c r="Q6414">
        <v>1</v>
      </c>
      <c r="R6414" t="s">
        <v>5281</v>
      </c>
      <c r="S6414" t="s">
        <v>4898</v>
      </c>
      <c r="T6414" t="s">
        <v>2704</v>
      </c>
      <c r="U6414" t="s">
        <v>5631</v>
      </c>
      <c r="V6414" s="2">
        <v>447</v>
      </c>
      <c r="W6414" t="s">
        <v>4655</v>
      </c>
      <c r="X6414" s="2">
        <v>0</v>
      </c>
      <c r="Y6414">
        <v>20</v>
      </c>
      <c r="Z6414" t="s">
        <v>1491</v>
      </c>
      <c r="AA6414" s="3">
        <v>0.10782828181982</v>
      </c>
      <c r="AB6414" t="s">
        <v>5382</v>
      </c>
      <c r="AC6414" t="s">
        <v>4562</v>
      </c>
      <c r="AD6414" t="s">
        <v>30979</v>
      </c>
      <c r="AE6414" t="s">
        <v>4655</v>
      </c>
      <c r="AF6414" t="s">
        <v>4563</v>
      </c>
      <c r="AG6414" t="s">
        <v>4564</v>
      </c>
      <c r="AH6414" t="s">
        <v>5197</v>
      </c>
      <c r="AI6414" t="s">
        <v>4903</v>
      </c>
      <c r="AJ6414" t="s">
        <v>4549</v>
      </c>
      <c r="AK6414" t="s">
        <v>30980</v>
      </c>
      <c r="AL6414" s="13" t="s">
        <v>1897</v>
      </c>
      <c r="AM6414" s="14">
        <v>1</v>
      </c>
      <c r="AN6414" s="15" t="s">
        <v>4550</v>
      </c>
    </row>
    <row r="6415" spans="1:40" x14ac:dyDescent="0.3">
      <c r="A6415" s="10" t="str">
        <f>HYPERLINK("http://www.washoecounty.gov/assessor/cama/?parid=234-504-01&amp;CardNumber=1","234-504-01")</f>
        <v>234-504-01</v>
      </c>
      <c r="B6415" t="s">
        <v>4655</v>
      </c>
      <c r="C6415" t="s">
        <v>30981</v>
      </c>
      <c r="D6415" s="1">
        <v>40270</v>
      </c>
      <c r="E6415" s="2">
        <v>245000</v>
      </c>
      <c r="F6415" t="s">
        <v>4567</v>
      </c>
      <c r="G6415" s="17" t="str">
        <f>HYPERLINK("https://www.washoecounty.gov/assessor/cama/?command=sales&amp;parid=23450401","3867182")</f>
        <v>3867182</v>
      </c>
      <c r="H6415" t="s">
        <v>4548</v>
      </c>
      <c r="I6415">
        <v>2008</v>
      </c>
      <c r="J6415">
        <v>2008</v>
      </c>
      <c r="K6415" t="s">
        <v>4554</v>
      </c>
      <c r="L6415" t="s">
        <v>3974</v>
      </c>
      <c r="M6415" s="2">
        <v>2567</v>
      </c>
      <c r="N6415" t="s">
        <v>5280</v>
      </c>
      <c r="O6415">
        <v>4</v>
      </c>
      <c r="P6415">
        <v>2</v>
      </c>
      <c r="Q6415">
        <v>1</v>
      </c>
      <c r="R6415" t="s">
        <v>5281</v>
      </c>
      <c r="S6415" t="s">
        <v>4898</v>
      </c>
      <c r="T6415" t="s">
        <v>2704</v>
      </c>
      <c r="U6415" t="s">
        <v>5631</v>
      </c>
      <c r="V6415" s="2">
        <v>428</v>
      </c>
      <c r="W6415" t="s">
        <v>4655</v>
      </c>
      <c r="X6415" s="2">
        <v>0</v>
      </c>
      <c r="Y6415">
        <v>20</v>
      </c>
      <c r="Z6415" t="s">
        <v>1491</v>
      </c>
      <c r="AA6415" s="3">
        <v>0.100298441946507</v>
      </c>
      <c r="AB6415" t="s">
        <v>30982</v>
      </c>
      <c r="AC6415" t="s">
        <v>4562</v>
      </c>
      <c r="AD6415" t="s">
        <v>30981</v>
      </c>
      <c r="AE6415" t="s">
        <v>4655</v>
      </c>
      <c r="AF6415" t="s">
        <v>4563</v>
      </c>
      <c r="AG6415" t="s">
        <v>4564</v>
      </c>
      <c r="AH6415" t="s">
        <v>1147</v>
      </c>
      <c r="AI6415" t="s">
        <v>3795</v>
      </c>
      <c r="AJ6415" t="s">
        <v>4549</v>
      </c>
      <c r="AK6415" t="s">
        <v>30983</v>
      </c>
      <c r="AL6415" s="13" t="s">
        <v>1897</v>
      </c>
      <c r="AM6415">
        <v>1</v>
      </c>
      <c r="AN6415" s="15" t="s">
        <v>4550</v>
      </c>
    </row>
    <row r="6416" spans="1:40" x14ac:dyDescent="0.3">
      <c r="A6416" s="10" t="str">
        <f>HYPERLINK("http://www.washoecounty.gov/assessor/cama/?parid=234-504-04&amp;CardNumber=1","234-504-04")</f>
        <v>234-504-04</v>
      </c>
      <c r="B6416" t="s">
        <v>4655</v>
      </c>
      <c r="C6416" t="s">
        <v>30984</v>
      </c>
      <c r="D6416" s="1">
        <v>40246</v>
      </c>
      <c r="E6416" s="2">
        <v>300060</v>
      </c>
      <c r="F6416" t="s">
        <v>4567</v>
      </c>
      <c r="G6416" s="17" t="str">
        <f>HYPERLINK("https://www.washoecounty.gov/assessor/cama/?command=sales&amp;parid=23450404","3857541")</f>
        <v>3857541</v>
      </c>
      <c r="H6416" t="s">
        <v>4548</v>
      </c>
      <c r="I6416">
        <v>2007</v>
      </c>
      <c r="J6416">
        <v>2007</v>
      </c>
      <c r="K6416" t="s">
        <v>4554</v>
      </c>
      <c r="L6416" t="s">
        <v>3974</v>
      </c>
      <c r="M6416" s="2">
        <v>2408</v>
      </c>
      <c r="N6416" t="s">
        <v>5280</v>
      </c>
      <c r="O6416">
        <v>3</v>
      </c>
      <c r="P6416">
        <v>3</v>
      </c>
      <c r="Q6416">
        <v>1</v>
      </c>
      <c r="R6416" t="s">
        <v>5281</v>
      </c>
      <c r="S6416" t="s">
        <v>4898</v>
      </c>
      <c r="T6416" t="s">
        <v>2704</v>
      </c>
      <c r="U6416" t="s">
        <v>5631</v>
      </c>
      <c r="V6416" s="2">
        <v>426</v>
      </c>
      <c r="W6416" t="s">
        <v>4655</v>
      </c>
      <c r="X6416" s="2">
        <v>0</v>
      </c>
      <c r="Y6416">
        <v>20</v>
      </c>
      <c r="Z6416" t="s">
        <v>1491</v>
      </c>
      <c r="AA6416" s="3">
        <v>0.11101928353309599</v>
      </c>
      <c r="AB6416" t="s">
        <v>30985</v>
      </c>
      <c r="AC6416" t="s">
        <v>4562</v>
      </c>
      <c r="AD6416" t="s">
        <v>30984</v>
      </c>
      <c r="AE6416" t="s">
        <v>4655</v>
      </c>
      <c r="AF6416" t="s">
        <v>4563</v>
      </c>
      <c r="AG6416" t="s">
        <v>4564</v>
      </c>
      <c r="AH6416" t="s">
        <v>1147</v>
      </c>
      <c r="AI6416" t="s">
        <v>4655</v>
      </c>
      <c r="AJ6416" t="s">
        <v>4549</v>
      </c>
      <c r="AK6416" t="s">
        <v>30986</v>
      </c>
      <c r="AL6416" s="13" t="s">
        <v>1897</v>
      </c>
      <c r="AM6416">
        <v>1</v>
      </c>
      <c r="AN6416" s="15" t="s">
        <v>4550</v>
      </c>
    </row>
    <row r="6417" spans="1:40" x14ac:dyDescent="0.3">
      <c r="A6417" s="10" t="str">
        <f>HYPERLINK("http://www.washoecounty.gov/assessor/cama/?parid=234-504-08&amp;CardNumber=1","234-504-08")</f>
        <v>234-504-08</v>
      </c>
      <c r="B6417" t="s">
        <v>4655</v>
      </c>
      <c r="C6417" t="s">
        <v>30987</v>
      </c>
      <c r="D6417" s="1">
        <v>40444</v>
      </c>
      <c r="E6417" s="2">
        <v>231750</v>
      </c>
      <c r="F6417" t="s">
        <v>4567</v>
      </c>
      <c r="G6417" s="17" t="str">
        <f>HYPERLINK("https://www.washoecounty.gov/assessor/cama/?command=sales&amp;parid=23450408","3925570")</f>
        <v>3925570</v>
      </c>
      <c r="H6417" t="s">
        <v>4548</v>
      </c>
      <c r="I6417">
        <v>2007</v>
      </c>
      <c r="J6417">
        <v>2007</v>
      </c>
      <c r="K6417" t="s">
        <v>4897</v>
      </c>
      <c r="L6417" t="s">
        <v>3974</v>
      </c>
      <c r="M6417" s="2">
        <v>2381</v>
      </c>
      <c r="N6417" t="s">
        <v>5280</v>
      </c>
      <c r="O6417">
        <v>3</v>
      </c>
      <c r="P6417">
        <v>3</v>
      </c>
      <c r="Q6417">
        <v>1</v>
      </c>
      <c r="R6417" t="s">
        <v>5281</v>
      </c>
      <c r="S6417" t="s">
        <v>4898</v>
      </c>
      <c r="T6417" t="s">
        <v>4559</v>
      </c>
      <c r="U6417" t="s">
        <v>5631</v>
      </c>
      <c r="V6417" s="2">
        <v>450</v>
      </c>
      <c r="W6417" t="s">
        <v>4655</v>
      </c>
      <c r="X6417" s="2">
        <v>0</v>
      </c>
      <c r="Y6417">
        <v>20</v>
      </c>
      <c r="Z6417" t="s">
        <v>1491</v>
      </c>
      <c r="AA6417" s="3">
        <v>0.12509182095527599</v>
      </c>
      <c r="AB6417" t="s">
        <v>30988</v>
      </c>
      <c r="AC6417" t="s">
        <v>4562</v>
      </c>
      <c r="AD6417" t="s">
        <v>30987</v>
      </c>
      <c r="AE6417" t="s">
        <v>4655</v>
      </c>
      <c r="AF6417" t="s">
        <v>4563</v>
      </c>
      <c r="AG6417" t="s">
        <v>4564</v>
      </c>
      <c r="AH6417" t="s">
        <v>1147</v>
      </c>
      <c r="AI6417" t="s">
        <v>30989</v>
      </c>
      <c r="AJ6417" t="s">
        <v>4549</v>
      </c>
      <c r="AK6417" t="s">
        <v>30990</v>
      </c>
      <c r="AL6417" s="13" t="s">
        <v>1897</v>
      </c>
      <c r="AM6417">
        <v>1</v>
      </c>
      <c r="AN6417" s="15" t="s">
        <v>4550</v>
      </c>
    </row>
    <row r="6418" spans="1:40" x14ac:dyDescent="0.3">
      <c r="A6418" s="10" t="str">
        <f>HYPERLINK("http://www.washoecounty.gov/assessor/cama/?parid=234-504-09&amp;CardNumber=1","234-504-09")</f>
        <v>234-504-09</v>
      </c>
      <c r="B6418" t="s">
        <v>4655</v>
      </c>
      <c r="C6418" t="s">
        <v>30991</v>
      </c>
      <c r="D6418" s="1">
        <v>40193</v>
      </c>
      <c r="E6418" s="2">
        <v>205620</v>
      </c>
      <c r="F6418" t="s">
        <v>4567</v>
      </c>
      <c r="G6418" s="17" t="str">
        <f>HYPERLINK("https://www.washoecounty.gov/assessor/cama/?command=sales&amp;parid=23450409","3840160")</f>
        <v>3840160</v>
      </c>
      <c r="H6418" t="s">
        <v>4548</v>
      </c>
      <c r="I6418">
        <v>2007</v>
      </c>
      <c r="J6418">
        <v>2007</v>
      </c>
      <c r="K6418" t="s">
        <v>4897</v>
      </c>
      <c r="L6418" t="s">
        <v>3974</v>
      </c>
      <c r="M6418" s="2">
        <v>1853</v>
      </c>
      <c r="N6418" t="s">
        <v>5280</v>
      </c>
      <c r="O6418">
        <v>3</v>
      </c>
      <c r="P6418">
        <v>2</v>
      </c>
      <c r="Q6418">
        <v>1</v>
      </c>
      <c r="R6418" t="s">
        <v>5281</v>
      </c>
      <c r="S6418" t="s">
        <v>4898</v>
      </c>
      <c r="T6418" t="s">
        <v>4559</v>
      </c>
      <c r="U6418" t="s">
        <v>5631</v>
      </c>
      <c r="V6418" s="2">
        <v>462</v>
      </c>
      <c r="W6418" t="s">
        <v>4655</v>
      </c>
      <c r="X6418" s="2">
        <v>0</v>
      </c>
      <c r="Y6418">
        <v>20</v>
      </c>
      <c r="Z6418" t="s">
        <v>1491</v>
      </c>
      <c r="AA6418" s="3">
        <v>6.7906334996223394E-2</v>
      </c>
      <c r="AB6418" t="s">
        <v>30992</v>
      </c>
      <c r="AC6418" t="s">
        <v>4575</v>
      </c>
      <c r="AD6418" t="s">
        <v>30991</v>
      </c>
      <c r="AE6418" t="s">
        <v>4655</v>
      </c>
      <c r="AF6418" t="s">
        <v>4563</v>
      </c>
      <c r="AG6418" t="s">
        <v>4564</v>
      </c>
      <c r="AH6418" t="s">
        <v>1147</v>
      </c>
      <c r="AI6418" t="s">
        <v>3795</v>
      </c>
      <c r="AJ6418" t="s">
        <v>4549</v>
      </c>
      <c r="AK6418" t="s">
        <v>30993</v>
      </c>
      <c r="AL6418" s="13" t="s">
        <v>1897</v>
      </c>
      <c r="AM6418">
        <v>1</v>
      </c>
      <c r="AN6418" s="15" t="s">
        <v>4550</v>
      </c>
    </row>
    <row r="6419" spans="1:40" x14ac:dyDescent="0.3">
      <c r="A6419" s="10" t="str">
        <f>HYPERLINK("http://www.washoecounty.gov/assessor/cama/?parid=234-511-06&amp;CardNumber=1","234-511-06")</f>
        <v>234-511-06</v>
      </c>
      <c r="B6419" t="s">
        <v>4655</v>
      </c>
      <c r="C6419" t="s">
        <v>30994</v>
      </c>
      <c r="D6419" s="1">
        <v>40186</v>
      </c>
      <c r="E6419" s="2">
        <v>240820</v>
      </c>
      <c r="F6419" t="s">
        <v>4567</v>
      </c>
      <c r="G6419" s="17" t="str">
        <f>HYPERLINK("https://www.washoecounty.gov/assessor/cama/?command=sales&amp;parid=23451106","3837622")</f>
        <v>3837622</v>
      </c>
      <c r="H6419" t="s">
        <v>4548</v>
      </c>
      <c r="I6419">
        <v>2008</v>
      </c>
      <c r="J6419">
        <v>2008</v>
      </c>
      <c r="K6419" t="s">
        <v>4554</v>
      </c>
      <c r="L6419" t="s">
        <v>3974</v>
      </c>
      <c r="M6419" s="2">
        <v>2567</v>
      </c>
      <c r="N6419" t="s">
        <v>5280</v>
      </c>
      <c r="O6419">
        <v>4</v>
      </c>
      <c r="P6419">
        <v>2</v>
      </c>
      <c r="Q6419">
        <v>1</v>
      </c>
      <c r="R6419" t="s">
        <v>5281</v>
      </c>
      <c r="S6419" t="s">
        <v>4898</v>
      </c>
      <c r="T6419" t="s">
        <v>2704</v>
      </c>
      <c r="U6419" t="s">
        <v>5631</v>
      </c>
      <c r="V6419" s="2">
        <v>428</v>
      </c>
      <c r="W6419" t="s">
        <v>4655</v>
      </c>
      <c r="X6419" s="2">
        <v>0</v>
      </c>
      <c r="Y6419">
        <v>20</v>
      </c>
      <c r="Z6419" t="s">
        <v>1491</v>
      </c>
      <c r="AA6419" s="3">
        <v>8.0899909138679504E-2</v>
      </c>
      <c r="AB6419" t="s">
        <v>30995</v>
      </c>
      <c r="AC6419" t="s">
        <v>4562</v>
      </c>
      <c r="AD6419" t="s">
        <v>30994</v>
      </c>
      <c r="AE6419" t="s">
        <v>4655</v>
      </c>
      <c r="AF6419" t="s">
        <v>4563</v>
      </c>
      <c r="AG6419" t="s">
        <v>4564</v>
      </c>
      <c r="AH6419" t="s">
        <v>1147</v>
      </c>
      <c r="AI6419" t="s">
        <v>3795</v>
      </c>
      <c r="AJ6419" t="s">
        <v>4549</v>
      </c>
      <c r="AK6419" t="s">
        <v>30996</v>
      </c>
      <c r="AL6419" s="13" t="s">
        <v>1897</v>
      </c>
      <c r="AM6419">
        <v>1</v>
      </c>
      <c r="AN6419" s="15" t="s">
        <v>4550</v>
      </c>
    </row>
    <row r="6420" spans="1:40" x14ac:dyDescent="0.3">
      <c r="A6420" s="10" t="str">
        <f>HYPERLINK("http://www.washoecounty.gov/assessor/cama/?parid=234-511-07&amp;CardNumber=1","234-511-07")</f>
        <v>234-511-07</v>
      </c>
      <c r="B6420" t="s">
        <v>4655</v>
      </c>
      <c r="C6420" t="s">
        <v>30997</v>
      </c>
      <c r="D6420" s="1">
        <v>40247</v>
      </c>
      <c r="E6420" s="2">
        <v>305000</v>
      </c>
      <c r="F6420" t="s">
        <v>4567</v>
      </c>
      <c r="G6420" s="17" t="str">
        <f>HYPERLINK("https://www.washoecounty.gov/assessor/cama/?command=sales&amp;parid=23451107","3858310")</f>
        <v>3858310</v>
      </c>
      <c r="H6420" t="s">
        <v>4548</v>
      </c>
      <c r="I6420">
        <v>2008</v>
      </c>
      <c r="J6420">
        <v>2008</v>
      </c>
      <c r="K6420" t="s">
        <v>4554</v>
      </c>
      <c r="L6420" t="s">
        <v>3974</v>
      </c>
      <c r="M6420" s="2">
        <v>2848</v>
      </c>
      <c r="N6420" t="s">
        <v>5280</v>
      </c>
      <c r="O6420">
        <v>4</v>
      </c>
      <c r="P6420">
        <v>3</v>
      </c>
      <c r="Q6420">
        <v>1</v>
      </c>
      <c r="R6420" t="s">
        <v>5281</v>
      </c>
      <c r="S6420" t="s">
        <v>4898</v>
      </c>
      <c r="T6420" t="s">
        <v>2704</v>
      </c>
      <c r="U6420" t="s">
        <v>5631</v>
      </c>
      <c r="V6420" s="2">
        <v>450</v>
      </c>
      <c r="W6420" t="s">
        <v>4655</v>
      </c>
      <c r="X6420" s="2">
        <v>0</v>
      </c>
      <c r="Y6420">
        <v>20</v>
      </c>
      <c r="Z6420" t="s">
        <v>1491</v>
      </c>
      <c r="AA6420" s="3">
        <v>7.9017445445060702E-2</v>
      </c>
      <c r="AB6420" t="s">
        <v>30998</v>
      </c>
      <c r="AC6420" t="s">
        <v>4562</v>
      </c>
      <c r="AD6420" t="s">
        <v>30997</v>
      </c>
      <c r="AE6420" t="s">
        <v>4655</v>
      </c>
      <c r="AF6420" t="s">
        <v>4563</v>
      </c>
      <c r="AG6420" t="s">
        <v>4564</v>
      </c>
      <c r="AH6420" t="s">
        <v>1147</v>
      </c>
      <c r="AI6420" t="s">
        <v>3795</v>
      </c>
      <c r="AJ6420" t="s">
        <v>4549</v>
      </c>
      <c r="AK6420" t="s">
        <v>30999</v>
      </c>
      <c r="AL6420" s="13" t="s">
        <v>1897</v>
      </c>
      <c r="AM6420">
        <v>1</v>
      </c>
      <c r="AN6420" s="15" t="s">
        <v>4550</v>
      </c>
    </row>
    <row r="6421" spans="1:40" x14ac:dyDescent="0.3">
      <c r="A6421" s="10" t="str">
        <f>HYPERLINK("http://www.washoecounty.gov/assessor/cama/?parid=234-511-08&amp;CardNumber=1","234-511-08")</f>
        <v>234-511-08</v>
      </c>
      <c r="B6421" t="s">
        <v>4655</v>
      </c>
      <c r="C6421" t="s">
        <v>31000</v>
      </c>
      <c r="D6421" s="1">
        <v>40289</v>
      </c>
      <c r="E6421" s="2">
        <v>270000</v>
      </c>
      <c r="F6421" t="s">
        <v>4567</v>
      </c>
      <c r="G6421" s="17" t="str">
        <f>HYPERLINK("https://www.washoecounty.gov/assessor/cama/?command=sales&amp;parid=23451108","3873312")</f>
        <v>3873312</v>
      </c>
      <c r="H6421" t="s">
        <v>4548</v>
      </c>
      <c r="I6421">
        <v>2008</v>
      </c>
      <c r="J6421">
        <v>2008</v>
      </c>
      <c r="K6421" t="s">
        <v>4554</v>
      </c>
      <c r="L6421" t="s">
        <v>3974</v>
      </c>
      <c r="M6421" s="2">
        <v>2517</v>
      </c>
      <c r="N6421" t="s">
        <v>5280</v>
      </c>
      <c r="O6421">
        <v>4</v>
      </c>
      <c r="P6421">
        <v>3</v>
      </c>
      <c r="Q6421">
        <v>1</v>
      </c>
      <c r="R6421" t="s">
        <v>5281</v>
      </c>
      <c r="S6421" t="s">
        <v>4898</v>
      </c>
      <c r="T6421" t="s">
        <v>2704</v>
      </c>
      <c r="U6421" t="s">
        <v>5631</v>
      </c>
      <c r="V6421" s="2">
        <v>420</v>
      </c>
      <c r="W6421" t="s">
        <v>4655</v>
      </c>
      <c r="X6421" s="2">
        <v>0</v>
      </c>
      <c r="Y6421">
        <v>20</v>
      </c>
      <c r="Z6421" t="s">
        <v>1491</v>
      </c>
      <c r="AA6421" s="3">
        <v>0.113498620688915</v>
      </c>
      <c r="AB6421" t="s">
        <v>31001</v>
      </c>
      <c r="AC6421" t="s">
        <v>4562</v>
      </c>
      <c r="AD6421" t="s">
        <v>31002</v>
      </c>
      <c r="AE6421" t="s">
        <v>4655</v>
      </c>
      <c r="AF6421" t="s">
        <v>2359</v>
      </c>
      <c r="AG6421" t="s">
        <v>4584</v>
      </c>
      <c r="AH6421">
        <v>94061</v>
      </c>
      <c r="AI6421" t="s">
        <v>3795</v>
      </c>
      <c r="AJ6421" t="s">
        <v>4549</v>
      </c>
      <c r="AK6421" t="s">
        <v>31003</v>
      </c>
      <c r="AL6421" s="13" t="s">
        <v>1897</v>
      </c>
      <c r="AM6421" s="14">
        <v>1</v>
      </c>
      <c r="AN6421" s="15" t="s">
        <v>4550</v>
      </c>
    </row>
    <row r="6422" spans="1:40" x14ac:dyDescent="0.3">
      <c r="A6422" s="10" t="str">
        <f>HYPERLINK("http://www.washoecounty.gov/assessor/cama/?parid=234-513-01&amp;CardNumber=1","234-513-01")</f>
        <v>234-513-01</v>
      </c>
      <c r="B6422" t="s">
        <v>4655</v>
      </c>
      <c r="C6422" t="s">
        <v>31004</v>
      </c>
      <c r="D6422" s="1">
        <v>40200</v>
      </c>
      <c r="E6422" s="2">
        <v>216150</v>
      </c>
      <c r="F6422" t="s">
        <v>4567</v>
      </c>
      <c r="G6422" s="17" t="str">
        <f>HYPERLINK("https://www.washoecounty.gov/assessor/cama/?command=sales&amp;parid=23451301","3842035")</f>
        <v>3842035</v>
      </c>
      <c r="H6422" t="s">
        <v>4548</v>
      </c>
      <c r="I6422">
        <v>2008</v>
      </c>
      <c r="J6422">
        <v>2008</v>
      </c>
      <c r="K6422" t="s">
        <v>4897</v>
      </c>
      <c r="L6422" t="s">
        <v>3974</v>
      </c>
      <c r="M6422" s="2">
        <v>2187</v>
      </c>
      <c r="N6422" t="s">
        <v>5280</v>
      </c>
      <c r="O6422">
        <v>3</v>
      </c>
      <c r="P6422">
        <v>2</v>
      </c>
      <c r="Q6422">
        <v>1</v>
      </c>
      <c r="R6422" t="s">
        <v>5281</v>
      </c>
      <c r="S6422" t="s">
        <v>4898</v>
      </c>
      <c r="T6422" t="s">
        <v>4559</v>
      </c>
      <c r="U6422" t="s">
        <v>5631</v>
      </c>
      <c r="V6422" s="2">
        <v>441</v>
      </c>
      <c r="W6422" t="s">
        <v>4655</v>
      </c>
      <c r="X6422" s="2">
        <v>0</v>
      </c>
      <c r="Y6422">
        <v>20</v>
      </c>
      <c r="Z6422" t="s">
        <v>1491</v>
      </c>
      <c r="AA6422" s="3">
        <v>9.06336084008217E-2</v>
      </c>
      <c r="AB6422" t="s">
        <v>31005</v>
      </c>
      <c r="AC6422" t="s">
        <v>4575</v>
      </c>
      <c r="AD6422" t="s">
        <v>31004</v>
      </c>
      <c r="AE6422" t="s">
        <v>4655</v>
      </c>
      <c r="AF6422" t="s">
        <v>4563</v>
      </c>
      <c r="AG6422" t="s">
        <v>4564</v>
      </c>
      <c r="AH6422" t="s">
        <v>1147</v>
      </c>
      <c r="AI6422" t="s">
        <v>3795</v>
      </c>
      <c r="AJ6422" t="s">
        <v>4549</v>
      </c>
      <c r="AK6422" t="s">
        <v>31006</v>
      </c>
      <c r="AL6422" s="13" t="s">
        <v>1897</v>
      </c>
      <c r="AM6422" s="14">
        <v>1</v>
      </c>
      <c r="AN6422" s="15" t="s">
        <v>4550</v>
      </c>
    </row>
    <row r="6423" spans="1:40" x14ac:dyDescent="0.3">
      <c r="A6423" s="10" t="str">
        <f>HYPERLINK("http://www.washoecounty.gov/assessor/cama/?parid=234-514-02&amp;CardNumber=1","234-514-02")</f>
        <v>234-514-02</v>
      </c>
      <c r="B6423" t="s">
        <v>4655</v>
      </c>
      <c r="C6423" t="s">
        <v>31007</v>
      </c>
      <c r="D6423" s="1">
        <v>40476</v>
      </c>
      <c r="E6423" s="2">
        <v>191000</v>
      </c>
      <c r="F6423" t="s">
        <v>4567</v>
      </c>
      <c r="G6423" s="17" t="str">
        <f>HYPERLINK("https://www.washoecounty.gov/assessor/cama/?command=sales&amp;parid=23451402","3936246")</f>
        <v>3936246</v>
      </c>
      <c r="H6423" t="s">
        <v>4548</v>
      </c>
      <c r="I6423">
        <v>2008</v>
      </c>
      <c r="J6423">
        <v>2008</v>
      </c>
      <c r="K6423" t="s">
        <v>4897</v>
      </c>
      <c r="L6423" t="s">
        <v>3974</v>
      </c>
      <c r="M6423" s="2">
        <v>2094</v>
      </c>
      <c r="N6423" t="s">
        <v>5280</v>
      </c>
      <c r="O6423">
        <v>4</v>
      </c>
      <c r="P6423">
        <v>3</v>
      </c>
      <c r="Q6423">
        <v>0</v>
      </c>
      <c r="R6423" t="s">
        <v>5281</v>
      </c>
      <c r="S6423" t="s">
        <v>4898</v>
      </c>
      <c r="T6423" t="s">
        <v>4559</v>
      </c>
      <c r="U6423" t="s">
        <v>5631</v>
      </c>
      <c r="V6423" s="2">
        <v>455</v>
      </c>
      <c r="W6423" t="s">
        <v>4655</v>
      </c>
      <c r="X6423" s="2">
        <v>0</v>
      </c>
      <c r="Y6423">
        <v>20</v>
      </c>
      <c r="Z6423" t="s">
        <v>1491</v>
      </c>
      <c r="AA6423" s="3">
        <v>6.77915513515472E-2</v>
      </c>
      <c r="AB6423" t="s">
        <v>31008</v>
      </c>
      <c r="AC6423" t="s">
        <v>4562</v>
      </c>
      <c r="AD6423" t="s">
        <v>31007</v>
      </c>
      <c r="AE6423" t="s">
        <v>4655</v>
      </c>
      <c r="AF6423" t="s">
        <v>4563</v>
      </c>
      <c r="AG6423" t="s">
        <v>4564</v>
      </c>
      <c r="AH6423" t="s">
        <v>1147</v>
      </c>
      <c r="AI6423" t="s">
        <v>31009</v>
      </c>
      <c r="AJ6423" t="s">
        <v>4549</v>
      </c>
      <c r="AK6423" t="s">
        <v>31010</v>
      </c>
      <c r="AL6423" s="13" t="s">
        <v>1897</v>
      </c>
      <c r="AM6423" s="14">
        <v>1</v>
      </c>
      <c r="AN6423" s="15" t="s">
        <v>4550</v>
      </c>
    </row>
    <row r="6424" spans="1:40" x14ac:dyDescent="0.3">
      <c r="A6424" s="10" t="str">
        <f>HYPERLINK("http://www.washoecounty.gov/assessor/cama/?parid=234-582-05&amp;CardNumber=1","234-582-05")</f>
        <v>234-582-05</v>
      </c>
      <c r="B6424" t="s">
        <v>4655</v>
      </c>
      <c r="C6424" t="s">
        <v>31011</v>
      </c>
      <c r="D6424" s="1">
        <v>40281</v>
      </c>
      <c r="E6424" s="2">
        <v>650000</v>
      </c>
      <c r="F6424" t="s">
        <v>4567</v>
      </c>
      <c r="G6424" s="17" t="str">
        <f>HYPERLINK("https://www.washoecounty.gov/assessor/cama/?command=sales&amp;parid=23458205","3870393")</f>
        <v>3870393</v>
      </c>
      <c r="H6424" t="s">
        <v>4372</v>
      </c>
      <c r="I6424">
        <v>2007</v>
      </c>
      <c r="J6424">
        <v>2007</v>
      </c>
      <c r="K6424" t="s">
        <v>4554</v>
      </c>
      <c r="L6424" t="s">
        <v>3974</v>
      </c>
      <c r="M6424" s="2">
        <v>4430</v>
      </c>
      <c r="N6424" t="s">
        <v>5106</v>
      </c>
      <c r="O6424">
        <v>5</v>
      </c>
      <c r="P6424">
        <v>3</v>
      </c>
      <c r="Q6424">
        <v>1</v>
      </c>
      <c r="R6424" t="s">
        <v>5281</v>
      </c>
      <c r="S6424" t="s">
        <v>4898</v>
      </c>
      <c r="T6424" t="s">
        <v>2704</v>
      </c>
      <c r="U6424" t="s">
        <v>5631</v>
      </c>
      <c r="V6424" s="2">
        <v>641</v>
      </c>
      <c r="W6424" t="s">
        <v>4655</v>
      </c>
      <c r="X6424" s="2">
        <v>0</v>
      </c>
      <c r="Y6424">
        <v>20</v>
      </c>
      <c r="Z6424" t="s">
        <v>1491</v>
      </c>
      <c r="AA6424" s="3">
        <v>0.259481161832809</v>
      </c>
      <c r="AB6424" t="s">
        <v>31012</v>
      </c>
      <c r="AC6424" t="s">
        <v>4562</v>
      </c>
      <c r="AD6424" t="s">
        <v>31011</v>
      </c>
      <c r="AE6424" t="s">
        <v>4655</v>
      </c>
      <c r="AF6424" t="s">
        <v>4563</v>
      </c>
      <c r="AG6424" t="s">
        <v>4564</v>
      </c>
      <c r="AH6424" t="s">
        <v>1147</v>
      </c>
      <c r="AI6424" t="s">
        <v>4414</v>
      </c>
      <c r="AJ6424" t="s">
        <v>4415</v>
      </c>
      <c r="AK6424" t="s">
        <v>31013</v>
      </c>
      <c r="AL6424" s="13" t="s">
        <v>1897</v>
      </c>
      <c r="AM6424">
        <v>1</v>
      </c>
      <c r="AN6424" s="15" t="s">
        <v>4509</v>
      </c>
    </row>
    <row r="6425" spans="1:40" x14ac:dyDescent="0.3">
      <c r="A6425" s="10" t="str">
        <f>HYPERLINK("http://www.washoecounty.gov/assessor/cama/?parid=234-631-12&amp;CardNumber=1","234-631-12")</f>
        <v>234-631-12</v>
      </c>
      <c r="B6425" t="s">
        <v>4655</v>
      </c>
      <c r="C6425" t="s">
        <v>3594</v>
      </c>
      <c r="D6425" s="1">
        <v>40242</v>
      </c>
      <c r="E6425" s="2">
        <v>68000</v>
      </c>
      <c r="F6425" t="s">
        <v>4553</v>
      </c>
      <c r="G6425" s="17" t="str">
        <f>HYPERLINK("https://www.washoecounty.gov/assessor/cama/?command=sales&amp;parid=23463112","3856364")</f>
        <v>3856364</v>
      </c>
      <c r="H6425" t="s">
        <v>3595</v>
      </c>
      <c r="I6425">
        <v>2010</v>
      </c>
      <c r="J6425">
        <v>2010</v>
      </c>
      <c r="K6425" t="s">
        <v>4554</v>
      </c>
      <c r="L6425" t="s">
        <v>4555</v>
      </c>
      <c r="M6425" s="2">
        <v>2892</v>
      </c>
      <c r="N6425" t="s">
        <v>3147</v>
      </c>
      <c r="O6425">
        <v>3</v>
      </c>
      <c r="P6425">
        <v>3</v>
      </c>
      <c r="Q6425">
        <v>1</v>
      </c>
      <c r="R6425" t="s">
        <v>4557</v>
      </c>
      <c r="S6425" t="s">
        <v>4898</v>
      </c>
      <c r="T6425" t="s">
        <v>2704</v>
      </c>
      <c r="U6425" t="s">
        <v>4560</v>
      </c>
      <c r="V6425" s="2">
        <v>656</v>
      </c>
      <c r="W6425" t="s">
        <v>4655</v>
      </c>
      <c r="X6425" s="2">
        <v>0</v>
      </c>
      <c r="Y6425">
        <v>12</v>
      </c>
      <c r="Z6425" t="s">
        <v>1491</v>
      </c>
      <c r="AA6425" s="3">
        <v>0.59375572204589799</v>
      </c>
      <c r="AB6425" t="s">
        <v>5371</v>
      </c>
      <c r="AC6425" t="s">
        <v>4562</v>
      </c>
      <c r="AD6425" t="s">
        <v>3594</v>
      </c>
      <c r="AE6425" t="s">
        <v>4655</v>
      </c>
      <c r="AF6425" t="s">
        <v>4563</v>
      </c>
      <c r="AG6425" t="s">
        <v>4564</v>
      </c>
      <c r="AH6425" t="s">
        <v>1147</v>
      </c>
      <c r="AI6425" t="s">
        <v>5372</v>
      </c>
      <c r="AJ6425" t="s">
        <v>3597</v>
      </c>
      <c r="AK6425" t="s">
        <v>3598</v>
      </c>
      <c r="AL6425" s="13" t="s">
        <v>1897</v>
      </c>
      <c r="AM6425">
        <v>1</v>
      </c>
      <c r="AN6425" s="15" t="s">
        <v>1362</v>
      </c>
    </row>
    <row r="6426" spans="1:40" x14ac:dyDescent="0.3">
      <c r="A6426" s="10" t="str">
        <f>HYPERLINK("http://www.washoecounty.gov/assessor/cama/?parid=234-631-13&amp;CardNumber=1","234-631-13")</f>
        <v>234-631-13</v>
      </c>
      <c r="B6426" t="s">
        <v>4655</v>
      </c>
      <c r="C6426" t="s">
        <v>3599</v>
      </c>
      <c r="D6426" s="1">
        <v>40242</v>
      </c>
      <c r="E6426" s="2">
        <v>68000</v>
      </c>
      <c r="F6426" t="s">
        <v>4553</v>
      </c>
      <c r="G6426" s="17" t="str">
        <f>HYPERLINK("https://www.washoecounty.gov/assessor/cama/?command=sales&amp;parid=23463113","3856371")</f>
        <v>3856371</v>
      </c>
      <c r="H6426" t="s">
        <v>3595</v>
      </c>
      <c r="I6426">
        <v>2010</v>
      </c>
      <c r="J6426">
        <v>2010</v>
      </c>
      <c r="K6426" t="s">
        <v>4554</v>
      </c>
      <c r="L6426" t="s">
        <v>4555</v>
      </c>
      <c r="M6426" s="2">
        <v>3296</v>
      </c>
      <c r="N6426" t="s">
        <v>3147</v>
      </c>
      <c r="O6426">
        <v>3</v>
      </c>
      <c r="P6426">
        <v>3</v>
      </c>
      <c r="Q6426">
        <v>1</v>
      </c>
      <c r="R6426" t="s">
        <v>4557</v>
      </c>
      <c r="S6426" t="s">
        <v>4898</v>
      </c>
      <c r="T6426" t="s">
        <v>2704</v>
      </c>
      <c r="U6426" t="s">
        <v>4560</v>
      </c>
      <c r="V6426" s="2">
        <v>798</v>
      </c>
      <c r="W6426" t="s">
        <v>4655</v>
      </c>
      <c r="X6426" s="2">
        <v>0</v>
      </c>
      <c r="Y6426">
        <v>12</v>
      </c>
      <c r="Z6426" t="s">
        <v>1491</v>
      </c>
      <c r="AA6426" s="3">
        <v>0.52341598272323608</v>
      </c>
      <c r="AB6426" t="s">
        <v>5363</v>
      </c>
      <c r="AC6426" t="s">
        <v>4562</v>
      </c>
      <c r="AD6426" t="s">
        <v>3599</v>
      </c>
      <c r="AE6426" t="s">
        <v>4655</v>
      </c>
      <c r="AF6426" t="s">
        <v>4563</v>
      </c>
      <c r="AG6426" t="s">
        <v>4564</v>
      </c>
      <c r="AH6426" t="s">
        <v>1147</v>
      </c>
      <c r="AI6426" t="s">
        <v>5372</v>
      </c>
      <c r="AJ6426" t="s">
        <v>3597</v>
      </c>
      <c r="AK6426" t="s">
        <v>3600</v>
      </c>
      <c r="AL6426" s="13" t="s">
        <v>1897</v>
      </c>
      <c r="AM6426" s="14">
        <v>1</v>
      </c>
      <c r="AN6426" s="15" t="s">
        <v>1362</v>
      </c>
    </row>
    <row r="6427" spans="1:40" x14ac:dyDescent="0.3">
      <c r="A6427" s="10" t="str">
        <f>HYPERLINK("http://www.washoecounty.gov/assessor/cama/?parid=234-641-01&amp;CardNumber=1","234-641-01")</f>
        <v>234-641-01</v>
      </c>
      <c r="B6427" t="s">
        <v>4655</v>
      </c>
      <c r="C6427" t="s">
        <v>31014</v>
      </c>
      <c r="D6427" s="1">
        <v>40332</v>
      </c>
      <c r="E6427" s="2">
        <v>440000</v>
      </c>
      <c r="F6427" t="s">
        <v>3174</v>
      </c>
      <c r="G6427" s="17" t="str">
        <f>HYPERLINK("https://www.washoecounty.gov/assessor/cama/?command=sales&amp;parid=23464101","3888100")</f>
        <v>3888100</v>
      </c>
      <c r="H6427" t="s">
        <v>31015</v>
      </c>
      <c r="I6427">
        <v>0</v>
      </c>
      <c r="J6427">
        <v>0</v>
      </c>
      <c r="K6427" t="s">
        <v>4655</v>
      </c>
      <c r="L6427" t="s">
        <v>4655</v>
      </c>
      <c r="M6427" s="2">
        <v>0</v>
      </c>
      <c r="N6427" t="s">
        <v>4655</v>
      </c>
      <c r="O6427">
        <v>0</v>
      </c>
      <c r="P6427">
        <v>0</v>
      </c>
      <c r="Q6427">
        <v>0</v>
      </c>
      <c r="R6427" t="s">
        <v>4655</v>
      </c>
      <c r="S6427" t="s">
        <v>4655</v>
      </c>
      <c r="T6427" t="s">
        <v>4655</v>
      </c>
      <c r="U6427" t="s">
        <v>4655</v>
      </c>
      <c r="V6427" s="2">
        <v>0</v>
      </c>
      <c r="W6427" t="s">
        <v>4655</v>
      </c>
      <c r="X6427" s="2">
        <v>0</v>
      </c>
      <c r="Y6427">
        <v>12</v>
      </c>
      <c r="Z6427" t="s">
        <v>5282</v>
      </c>
      <c r="AA6427" s="3">
        <v>0.317516058683395</v>
      </c>
      <c r="AB6427" t="s">
        <v>4541</v>
      </c>
      <c r="AC6427" t="s">
        <v>4562</v>
      </c>
      <c r="AD6427" t="s">
        <v>26452</v>
      </c>
      <c r="AE6427" t="s">
        <v>4655</v>
      </c>
      <c r="AF6427" t="s">
        <v>8957</v>
      </c>
      <c r="AG6427" t="s">
        <v>4564</v>
      </c>
      <c r="AH6427" t="s">
        <v>4146</v>
      </c>
      <c r="AI6427" t="s">
        <v>31016</v>
      </c>
      <c r="AJ6427" t="s">
        <v>31017</v>
      </c>
      <c r="AK6427" t="s">
        <v>31018</v>
      </c>
      <c r="AL6427" s="13" t="s">
        <v>1897</v>
      </c>
      <c r="AM6427" s="14">
        <v>0</v>
      </c>
      <c r="AN6427" s="15" t="s">
        <v>1362</v>
      </c>
    </row>
    <row r="6428" spans="1:40" x14ac:dyDescent="0.3">
      <c r="A6428" s="10" t="str">
        <f>HYPERLINK("http://www.washoecounty.gov/assessor/cama/?parid=234-641-02&amp;CardNumber=1","234-641-02")</f>
        <v>234-641-02</v>
      </c>
      <c r="B6428" t="s">
        <v>4655</v>
      </c>
      <c r="C6428" t="s">
        <v>31019</v>
      </c>
      <c r="D6428" s="1">
        <v>40332</v>
      </c>
      <c r="E6428" s="2">
        <v>440000</v>
      </c>
      <c r="F6428" t="s">
        <v>3174</v>
      </c>
      <c r="G6428" s="17" t="str">
        <f>HYPERLINK("https://www.washoecounty.gov/assessor/cama/?command=sales&amp;parid=23464102","3888100")</f>
        <v>3888100</v>
      </c>
      <c r="H6428" t="s">
        <v>31015</v>
      </c>
      <c r="I6428">
        <v>0</v>
      </c>
      <c r="J6428">
        <v>0</v>
      </c>
      <c r="K6428" t="s">
        <v>4655</v>
      </c>
      <c r="L6428" t="s">
        <v>4655</v>
      </c>
      <c r="M6428" s="2">
        <v>0</v>
      </c>
      <c r="N6428" t="s">
        <v>4655</v>
      </c>
      <c r="O6428">
        <v>0</v>
      </c>
      <c r="P6428">
        <v>0</v>
      </c>
      <c r="Q6428">
        <v>0</v>
      </c>
      <c r="R6428" t="s">
        <v>4655</v>
      </c>
      <c r="S6428" t="s">
        <v>4655</v>
      </c>
      <c r="T6428" t="s">
        <v>4655</v>
      </c>
      <c r="U6428" t="s">
        <v>4655</v>
      </c>
      <c r="V6428" s="2">
        <v>0</v>
      </c>
      <c r="W6428" t="s">
        <v>4655</v>
      </c>
      <c r="X6428" s="2">
        <v>0</v>
      </c>
      <c r="Y6428">
        <v>12</v>
      </c>
      <c r="Z6428" t="s">
        <v>5282</v>
      </c>
      <c r="AA6428" s="3">
        <v>0.42073002457618702</v>
      </c>
      <c r="AB6428" t="s">
        <v>4541</v>
      </c>
      <c r="AC6428" t="s">
        <v>4562</v>
      </c>
      <c r="AD6428" t="s">
        <v>26452</v>
      </c>
      <c r="AE6428" t="s">
        <v>4655</v>
      </c>
      <c r="AF6428" t="s">
        <v>8957</v>
      </c>
      <c r="AG6428" t="s">
        <v>4564</v>
      </c>
      <c r="AH6428" t="s">
        <v>4146</v>
      </c>
      <c r="AI6428" t="s">
        <v>885</v>
      </c>
      <c r="AJ6428" t="s">
        <v>31017</v>
      </c>
      <c r="AK6428" t="s">
        <v>31020</v>
      </c>
      <c r="AL6428" s="13" t="s">
        <v>1897</v>
      </c>
      <c r="AM6428" s="14">
        <v>0</v>
      </c>
      <c r="AN6428" s="15" t="s">
        <v>1362</v>
      </c>
    </row>
    <row r="6429" spans="1:40" x14ac:dyDescent="0.3">
      <c r="A6429" s="10" t="str">
        <f>HYPERLINK("http://www.washoecounty.gov/assessor/cama/?parid=234-641-03&amp;CardNumber=1","234-641-03")</f>
        <v>234-641-03</v>
      </c>
      <c r="B6429" t="s">
        <v>4655</v>
      </c>
      <c r="C6429" t="s">
        <v>31021</v>
      </c>
      <c r="D6429" s="1">
        <v>40332</v>
      </c>
      <c r="E6429" s="2">
        <v>440000</v>
      </c>
      <c r="F6429" t="s">
        <v>3174</v>
      </c>
      <c r="G6429" s="17" t="str">
        <f>HYPERLINK("https://www.washoecounty.gov/assessor/cama/?command=sales&amp;parid=23464103","3888100")</f>
        <v>3888100</v>
      </c>
      <c r="H6429" t="s">
        <v>31015</v>
      </c>
      <c r="I6429">
        <v>0</v>
      </c>
      <c r="J6429">
        <v>0</v>
      </c>
      <c r="K6429" t="s">
        <v>4655</v>
      </c>
      <c r="L6429" t="s">
        <v>4655</v>
      </c>
      <c r="M6429" s="2">
        <v>0</v>
      </c>
      <c r="N6429" t="s">
        <v>4655</v>
      </c>
      <c r="O6429">
        <v>0</v>
      </c>
      <c r="P6429">
        <v>0</v>
      </c>
      <c r="Q6429">
        <v>0</v>
      </c>
      <c r="R6429" t="s">
        <v>4655</v>
      </c>
      <c r="S6429" t="s">
        <v>4655</v>
      </c>
      <c r="T6429" t="s">
        <v>4655</v>
      </c>
      <c r="U6429" t="s">
        <v>4655</v>
      </c>
      <c r="V6429" s="2">
        <v>0</v>
      </c>
      <c r="W6429" t="s">
        <v>4655</v>
      </c>
      <c r="X6429" s="2">
        <v>0</v>
      </c>
      <c r="Y6429">
        <v>12</v>
      </c>
      <c r="Z6429" t="s">
        <v>5282</v>
      </c>
      <c r="AA6429" s="3">
        <v>0.27444905042648299</v>
      </c>
      <c r="AB6429" t="s">
        <v>4541</v>
      </c>
      <c r="AC6429" t="s">
        <v>4562</v>
      </c>
      <c r="AD6429" t="s">
        <v>26452</v>
      </c>
      <c r="AE6429" t="s">
        <v>4655</v>
      </c>
      <c r="AF6429" t="s">
        <v>8957</v>
      </c>
      <c r="AG6429" t="s">
        <v>4564</v>
      </c>
      <c r="AH6429" t="s">
        <v>4146</v>
      </c>
      <c r="AI6429" t="s">
        <v>885</v>
      </c>
      <c r="AJ6429" t="s">
        <v>31017</v>
      </c>
      <c r="AK6429" t="s">
        <v>31022</v>
      </c>
      <c r="AL6429" s="13" t="s">
        <v>1897</v>
      </c>
      <c r="AM6429" s="14">
        <v>0</v>
      </c>
      <c r="AN6429" s="15" t="s">
        <v>1362</v>
      </c>
    </row>
    <row r="6430" spans="1:40" x14ac:dyDescent="0.3">
      <c r="A6430" s="10" t="str">
        <f>HYPERLINK("http://www.washoecounty.gov/assessor/cama/?parid=234-641-04&amp;CardNumber=1","234-641-04")</f>
        <v>234-641-04</v>
      </c>
      <c r="B6430" t="s">
        <v>4655</v>
      </c>
      <c r="C6430" t="s">
        <v>31023</v>
      </c>
      <c r="D6430" s="1">
        <v>40332</v>
      </c>
      <c r="E6430" s="2">
        <v>440000</v>
      </c>
      <c r="F6430" t="s">
        <v>3174</v>
      </c>
      <c r="G6430" s="17" t="str">
        <f>HYPERLINK("https://www.washoecounty.gov/assessor/cama/?command=sales&amp;parid=23464104","3888100")</f>
        <v>3888100</v>
      </c>
      <c r="H6430" t="s">
        <v>31015</v>
      </c>
      <c r="I6430">
        <v>0</v>
      </c>
      <c r="J6430">
        <v>0</v>
      </c>
      <c r="K6430" t="s">
        <v>4655</v>
      </c>
      <c r="L6430" t="s">
        <v>4655</v>
      </c>
      <c r="M6430" s="2">
        <v>0</v>
      </c>
      <c r="N6430" t="s">
        <v>4655</v>
      </c>
      <c r="O6430">
        <v>0</v>
      </c>
      <c r="P6430">
        <v>0</v>
      </c>
      <c r="Q6430">
        <v>0</v>
      </c>
      <c r="R6430" t="s">
        <v>4655</v>
      </c>
      <c r="S6430" t="s">
        <v>4655</v>
      </c>
      <c r="T6430" t="s">
        <v>4655</v>
      </c>
      <c r="U6430" t="s">
        <v>4655</v>
      </c>
      <c r="V6430" s="2">
        <v>0</v>
      </c>
      <c r="W6430" t="s">
        <v>4655</v>
      </c>
      <c r="X6430" s="2">
        <v>0</v>
      </c>
      <c r="Y6430">
        <v>12</v>
      </c>
      <c r="Z6430" t="s">
        <v>5282</v>
      </c>
      <c r="AA6430" s="3">
        <v>0.22304867208004001</v>
      </c>
      <c r="AB6430" t="s">
        <v>4541</v>
      </c>
      <c r="AC6430" t="s">
        <v>4562</v>
      </c>
      <c r="AD6430" t="s">
        <v>26452</v>
      </c>
      <c r="AE6430" t="s">
        <v>4655</v>
      </c>
      <c r="AF6430" t="s">
        <v>8957</v>
      </c>
      <c r="AG6430" t="s">
        <v>4564</v>
      </c>
      <c r="AH6430" t="s">
        <v>4146</v>
      </c>
      <c r="AI6430" t="s">
        <v>885</v>
      </c>
      <c r="AJ6430" t="s">
        <v>31017</v>
      </c>
      <c r="AK6430" t="s">
        <v>31024</v>
      </c>
      <c r="AL6430" s="13" t="s">
        <v>1897</v>
      </c>
      <c r="AM6430" s="14">
        <v>0</v>
      </c>
      <c r="AN6430" s="15" t="s">
        <v>1362</v>
      </c>
    </row>
    <row r="6431" spans="1:40" x14ac:dyDescent="0.3">
      <c r="A6431" s="10" t="str">
        <f>HYPERLINK("http://www.washoecounty.gov/assessor/cama/?parid=234-641-05&amp;CardNumber=1","234-641-05")</f>
        <v>234-641-05</v>
      </c>
      <c r="B6431" t="s">
        <v>4655</v>
      </c>
      <c r="C6431" t="s">
        <v>31025</v>
      </c>
      <c r="D6431" s="1">
        <v>40332</v>
      </c>
      <c r="E6431" s="2">
        <v>440000</v>
      </c>
      <c r="F6431" t="s">
        <v>3174</v>
      </c>
      <c r="G6431" s="17" t="str">
        <f>HYPERLINK("https://www.washoecounty.gov/assessor/cama/?command=sales&amp;parid=23464105","3888100")</f>
        <v>3888100</v>
      </c>
      <c r="H6431" t="s">
        <v>31015</v>
      </c>
      <c r="I6431">
        <v>0</v>
      </c>
      <c r="J6431">
        <v>0</v>
      </c>
      <c r="K6431" t="s">
        <v>4655</v>
      </c>
      <c r="L6431" t="s">
        <v>4655</v>
      </c>
      <c r="M6431" s="2">
        <v>0</v>
      </c>
      <c r="N6431" t="s">
        <v>4655</v>
      </c>
      <c r="O6431">
        <v>0</v>
      </c>
      <c r="P6431">
        <v>0</v>
      </c>
      <c r="Q6431">
        <v>0</v>
      </c>
      <c r="R6431" t="s">
        <v>4655</v>
      </c>
      <c r="S6431" t="s">
        <v>4655</v>
      </c>
      <c r="T6431" t="s">
        <v>4655</v>
      </c>
      <c r="U6431" t="s">
        <v>4655</v>
      </c>
      <c r="V6431" s="2">
        <v>0</v>
      </c>
      <c r="W6431" t="s">
        <v>4655</v>
      </c>
      <c r="X6431" s="2">
        <v>0</v>
      </c>
      <c r="Y6431">
        <v>12</v>
      </c>
      <c r="Z6431" t="s">
        <v>5282</v>
      </c>
      <c r="AA6431" s="3">
        <v>0.19393938779830899</v>
      </c>
      <c r="AB6431" t="s">
        <v>4541</v>
      </c>
      <c r="AC6431" t="s">
        <v>4562</v>
      </c>
      <c r="AD6431" t="s">
        <v>26452</v>
      </c>
      <c r="AE6431" t="s">
        <v>4655</v>
      </c>
      <c r="AF6431" t="s">
        <v>8957</v>
      </c>
      <c r="AG6431" t="s">
        <v>4564</v>
      </c>
      <c r="AH6431" t="s">
        <v>4146</v>
      </c>
      <c r="AI6431" t="s">
        <v>885</v>
      </c>
      <c r="AJ6431" t="s">
        <v>31017</v>
      </c>
      <c r="AK6431" t="s">
        <v>31026</v>
      </c>
      <c r="AL6431" s="13" t="s">
        <v>1897</v>
      </c>
      <c r="AM6431">
        <v>0</v>
      </c>
      <c r="AN6431" s="15" t="s">
        <v>1362</v>
      </c>
    </row>
    <row r="6432" spans="1:40" x14ac:dyDescent="0.3">
      <c r="A6432" s="10" t="str">
        <f>HYPERLINK("http://www.washoecounty.gov/assessor/cama/?parid=234-651-01&amp;CardNumber=1","234-651-01")</f>
        <v>234-651-01</v>
      </c>
      <c r="B6432" t="s">
        <v>4655</v>
      </c>
      <c r="C6432" t="s">
        <v>31027</v>
      </c>
      <c r="D6432" s="1">
        <v>40332</v>
      </c>
      <c r="E6432" s="2">
        <v>440000</v>
      </c>
      <c r="F6432" t="s">
        <v>3174</v>
      </c>
      <c r="G6432" s="17" t="str">
        <f>HYPERLINK("https://www.washoecounty.gov/assessor/cama/?command=sales&amp;parid=23465101","3888100")</f>
        <v>3888100</v>
      </c>
      <c r="H6432" t="s">
        <v>31015</v>
      </c>
      <c r="I6432">
        <v>0</v>
      </c>
      <c r="J6432">
        <v>0</v>
      </c>
      <c r="K6432" t="s">
        <v>4655</v>
      </c>
      <c r="L6432" t="s">
        <v>4655</v>
      </c>
      <c r="M6432" s="2">
        <v>0</v>
      </c>
      <c r="N6432" t="s">
        <v>4655</v>
      </c>
      <c r="O6432">
        <v>0</v>
      </c>
      <c r="P6432">
        <v>0</v>
      </c>
      <c r="Q6432">
        <v>0</v>
      </c>
      <c r="R6432" t="s">
        <v>4655</v>
      </c>
      <c r="S6432" t="s">
        <v>4655</v>
      </c>
      <c r="T6432" t="s">
        <v>4655</v>
      </c>
      <c r="U6432" t="s">
        <v>4655</v>
      </c>
      <c r="V6432" s="2">
        <v>0</v>
      </c>
      <c r="W6432" t="s">
        <v>4655</v>
      </c>
      <c r="X6432" s="2">
        <v>0</v>
      </c>
      <c r="Y6432">
        <v>12</v>
      </c>
      <c r="Z6432" t="s">
        <v>5282</v>
      </c>
      <c r="AA6432" s="3">
        <v>0.24336546659469604</v>
      </c>
      <c r="AB6432" t="s">
        <v>4541</v>
      </c>
      <c r="AC6432" t="s">
        <v>4562</v>
      </c>
      <c r="AD6432" t="s">
        <v>26452</v>
      </c>
      <c r="AE6432" t="s">
        <v>4655</v>
      </c>
      <c r="AF6432" t="s">
        <v>8957</v>
      </c>
      <c r="AG6432" t="s">
        <v>4564</v>
      </c>
      <c r="AH6432" t="s">
        <v>4146</v>
      </c>
      <c r="AI6432" t="s">
        <v>885</v>
      </c>
      <c r="AJ6432" t="s">
        <v>31017</v>
      </c>
      <c r="AK6432" t="s">
        <v>31028</v>
      </c>
      <c r="AL6432" s="13" t="s">
        <v>1897</v>
      </c>
      <c r="AM6432" s="14">
        <v>0</v>
      </c>
      <c r="AN6432" s="15" t="s">
        <v>1362</v>
      </c>
    </row>
    <row r="6433" spans="1:40" x14ac:dyDescent="0.3">
      <c r="A6433" s="10" t="str">
        <f>HYPERLINK("http://www.washoecounty.gov/assessor/cama/?parid=234-651-02&amp;CardNumber=1","234-651-02")</f>
        <v>234-651-02</v>
      </c>
      <c r="B6433" t="s">
        <v>4655</v>
      </c>
      <c r="C6433" t="s">
        <v>31029</v>
      </c>
      <c r="D6433" s="1">
        <v>40332</v>
      </c>
      <c r="E6433" s="2">
        <v>440000</v>
      </c>
      <c r="F6433" t="s">
        <v>3174</v>
      </c>
      <c r="G6433" s="17" t="str">
        <f>HYPERLINK("https://www.washoecounty.gov/assessor/cama/?command=sales&amp;parid=23465102","3888100")</f>
        <v>3888100</v>
      </c>
      <c r="H6433" t="s">
        <v>31015</v>
      </c>
      <c r="I6433">
        <v>0</v>
      </c>
      <c r="J6433">
        <v>0</v>
      </c>
      <c r="K6433" t="s">
        <v>4655</v>
      </c>
      <c r="L6433" t="s">
        <v>4655</v>
      </c>
      <c r="M6433" s="2">
        <v>0</v>
      </c>
      <c r="N6433" t="s">
        <v>4655</v>
      </c>
      <c r="O6433">
        <v>0</v>
      </c>
      <c r="P6433">
        <v>0</v>
      </c>
      <c r="Q6433">
        <v>0</v>
      </c>
      <c r="R6433" t="s">
        <v>4655</v>
      </c>
      <c r="S6433" t="s">
        <v>4655</v>
      </c>
      <c r="T6433" t="s">
        <v>4655</v>
      </c>
      <c r="U6433" t="s">
        <v>4655</v>
      </c>
      <c r="V6433" s="2">
        <v>0</v>
      </c>
      <c r="W6433" t="s">
        <v>4655</v>
      </c>
      <c r="X6433" s="2">
        <v>0</v>
      </c>
      <c r="Y6433">
        <v>12</v>
      </c>
      <c r="Z6433" t="s">
        <v>5282</v>
      </c>
      <c r="AA6433" s="3">
        <v>0.28533056378364602</v>
      </c>
      <c r="AB6433" t="s">
        <v>4541</v>
      </c>
      <c r="AC6433" t="s">
        <v>4562</v>
      </c>
      <c r="AD6433" t="s">
        <v>26452</v>
      </c>
      <c r="AE6433" t="s">
        <v>4655</v>
      </c>
      <c r="AF6433" t="s">
        <v>8957</v>
      </c>
      <c r="AG6433" t="s">
        <v>4564</v>
      </c>
      <c r="AH6433" t="s">
        <v>4146</v>
      </c>
      <c r="AI6433" t="s">
        <v>885</v>
      </c>
      <c r="AJ6433" t="s">
        <v>31017</v>
      </c>
      <c r="AK6433" t="s">
        <v>31030</v>
      </c>
      <c r="AL6433" s="13" t="s">
        <v>1897</v>
      </c>
      <c r="AM6433" s="14">
        <v>0</v>
      </c>
      <c r="AN6433" s="15" t="s">
        <v>1362</v>
      </c>
    </row>
    <row r="6434" spans="1:40" x14ac:dyDescent="0.3">
      <c r="A6434" s="10" t="str">
        <f>HYPERLINK("http://www.washoecounty.gov/assessor/cama/?parid=234-651-03&amp;CardNumber=1","234-651-03")</f>
        <v>234-651-03</v>
      </c>
      <c r="B6434" t="s">
        <v>4655</v>
      </c>
      <c r="C6434" t="s">
        <v>31031</v>
      </c>
      <c r="D6434" s="1">
        <v>40332</v>
      </c>
      <c r="E6434" s="2">
        <v>440000</v>
      </c>
      <c r="F6434" t="s">
        <v>3174</v>
      </c>
      <c r="G6434" s="17" t="str">
        <f>HYPERLINK("https://www.washoecounty.gov/assessor/cama/?command=sales&amp;parid=23465103","3888100")</f>
        <v>3888100</v>
      </c>
      <c r="H6434" t="s">
        <v>31015</v>
      </c>
      <c r="I6434">
        <v>0</v>
      </c>
      <c r="J6434">
        <v>0</v>
      </c>
      <c r="K6434" t="s">
        <v>4655</v>
      </c>
      <c r="L6434" t="s">
        <v>4655</v>
      </c>
      <c r="M6434" s="2">
        <v>0</v>
      </c>
      <c r="N6434" t="s">
        <v>4655</v>
      </c>
      <c r="O6434">
        <v>0</v>
      </c>
      <c r="P6434">
        <v>0</v>
      </c>
      <c r="Q6434">
        <v>0</v>
      </c>
      <c r="R6434" t="s">
        <v>4655</v>
      </c>
      <c r="S6434" t="s">
        <v>4655</v>
      </c>
      <c r="T6434" t="s">
        <v>4655</v>
      </c>
      <c r="U6434" t="s">
        <v>4655</v>
      </c>
      <c r="V6434" s="2">
        <v>0</v>
      </c>
      <c r="W6434" t="s">
        <v>4655</v>
      </c>
      <c r="X6434" s="2">
        <v>0</v>
      </c>
      <c r="Y6434">
        <v>12</v>
      </c>
      <c r="Z6434" t="s">
        <v>5282</v>
      </c>
      <c r="AA6434" s="3">
        <v>0.24683195352554321</v>
      </c>
      <c r="AB6434" t="s">
        <v>4541</v>
      </c>
      <c r="AC6434" t="s">
        <v>4562</v>
      </c>
      <c r="AD6434" t="s">
        <v>26452</v>
      </c>
      <c r="AE6434" t="s">
        <v>4655</v>
      </c>
      <c r="AF6434" t="s">
        <v>8957</v>
      </c>
      <c r="AG6434" t="s">
        <v>4564</v>
      </c>
      <c r="AH6434" t="s">
        <v>4146</v>
      </c>
      <c r="AI6434" t="s">
        <v>885</v>
      </c>
      <c r="AJ6434" t="s">
        <v>31017</v>
      </c>
      <c r="AK6434" t="s">
        <v>31032</v>
      </c>
      <c r="AL6434" s="13" t="s">
        <v>1897</v>
      </c>
      <c r="AM6434">
        <v>0</v>
      </c>
      <c r="AN6434" s="15" t="s">
        <v>1362</v>
      </c>
    </row>
    <row r="6435" spans="1:40" x14ac:dyDescent="0.3">
      <c r="A6435" s="10" t="str">
        <f>HYPERLINK("http://www.washoecounty.gov/assessor/cama/?parid=234-651-04&amp;CardNumber=1","234-651-04")</f>
        <v>234-651-04</v>
      </c>
      <c r="B6435" t="s">
        <v>4655</v>
      </c>
      <c r="C6435" t="s">
        <v>31033</v>
      </c>
      <c r="D6435" s="1">
        <v>40332</v>
      </c>
      <c r="E6435" s="2">
        <v>440000</v>
      </c>
      <c r="F6435" t="s">
        <v>3174</v>
      </c>
      <c r="G6435" s="17" t="str">
        <f>HYPERLINK("https://www.washoecounty.gov/assessor/cama/?command=sales&amp;parid=23465104","3888100")</f>
        <v>3888100</v>
      </c>
      <c r="H6435" t="s">
        <v>31015</v>
      </c>
      <c r="I6435">
        <v>0</v>
      </c>
      <c r="J6435">
        <v>0</v>
      </c>
      <c r="K6435" t="s">
        <v>4655</v>
      </c>
      <c r="L6435" t="s">
        <v>4655</v>
      </c>
      <c r="M6435" s="2">
        <v>0</v>
      </c>
      <c r="N6435" t="s">
        <v>4655</v>
      </c>
      <c r="O6435">
        <v>0</v>
      </c>
      <c r="P6435">
        <v>0</v>
      </c>
      <c r="Q6435">
        <v>0</v>
      </c>
      <c r="R6435" t="s">
        <v>4655</v>
      </c>
      <c r="S6435" t="s">
        <v>4655</v>
      </c>
      <c r="T6435" t="s">
        <v>4655</v>
      </c>
      <c r="U6435" t="s">
        <v>4655</v>
      </c>
      <c r="V6435" s="2">
        <v>0</v>
      </c>
      <c r="W6435" t="s">
        <v>4655</v>
      </c>
      <c r="X6435" s="2">
        <v>0</v>
      </c>
      <c r="Y6435">
        <v>12</v>
      </c>
      <c r="Z6435" t="s">
        <v>5282</v>
      </c>
      <c r="AA6435" s="3">
        <v>0.24683195352554321</v>
      </c>
      <c r="AB6435" t="s">
        <v>4541</v>
      </c>
      <c r="AC6435" t="s">
        <v>4562</v>
      </c>
      <c r="AD6435" t="s">
        <v>26452</v>
      </c>
      <c r="AE6435" t="s">
        <v>4655</v>
      </c>
      <c r="AF6435" t="s">
        <v>8957</v>
      </c>
      <c r="AG6435" t="s">
        <v>4564</v>
      </c>
      <c r="AH6435" t="s">
        <v>4146</v>
      </c>
      <c r="AI6435" t="s">
        <v>885</v>
      </c>
      <c r="AJ6435" t="s">
        <v>31017</v>
      </c>
      <c r="AK6435" t="s">
        <v>31034</v>
      </c>
      <c r="AL6435" s="13" t="s">
        <v>1897</v>
      </c>
      <c r="AM6435" s="14">
        <v>0</v>
      </c>
      <c r="AN6435" s="15" t="s">
        <v>1362</v>
      </c>
    </row>
    <row r="6436" spans="1:40" x14ac:dyDescent="0.3">
      <c r="A6436" s="10" t="str">
        <f>HYPERLINK("http://www.washoecounty.gov/assessor/cama/?parid=234-651-05&amp;CardNumber=1","234-651-05")</f>
        <v>234-651-05</v>
      </c>
      <c r="B6436" t="s">
        <v>4655</v>
      </c>
      <c r="C6436" t="s">
        <v>31035</v>
      </c>
      <c r="D6436" s="1">
        <v>40332</v>
      </c>
      <c r="E6436" s="2">
        <v>440000</v>
      </c>
      <c r="F6436" t="s">
        <v>3174</v>
      </c>
      <c r="G6436" s="17" t="str">
        <f>HYPERLINK("https://www.washoecounty.gov/assessor/cama/?command=sales&amp;parid=23465105","3888100")</f>
        <v>3888100</v>
      </c>
      <c r="H6436" t="s">
        <v>31015</v>
      </c>
      <c r="I6436">
        <v>0</v>
      </c>
      <c r="J6436">
        <v>0</v>
      </c>
      <c r="K6436" t="s">
        <v>4655</v>
      </c>
      <c r="L6436" t="s">
        <v>4655</v>
      </c>
      <c r="M6436" s="2">
        <v>0</v>
      </c>
      <c r="N6436" t="s">
        <v>4655</v>
      </c>
      <c r="O6436">
        <v>0</v>
      </c>
      <c r="P6436">
        <v>0</v>
      </c>
      <c r="Q6436">
        <v>0</v>
      </c>
      <c r="R6436" t="s">
        <v>4655</v>
      </c>
      <c r="S6436" t="s">
        <v>4655</v>
      </c>
      <c r="T6436" t="s">
        <v>4655</v>
      </c>
      <c r="U6436" t="s">
        <v>4655</v>
      </c>
      <c r="V6436" s="2">
        <v>0</v>
      </c>
      <c r="W6436" t="s">
        <v>4655</v>
      </c>
      <c r="X6436" s="2">
        <v>0</v>
      </c>
      <c r="Y6436">
        <v>12</v>
      </c>
      <c r="Z6436" t="s">
        <v>5282</v>
      </c>
      <c r="AA6436" s="3">
        <v>0.32224518060684199</v>
      </c>
      <c r="AB6436" t="s">
        <v>4541</v>
      </c>
      <c r="AC6436" t="s">
        <v>4562</v>
      </c>
      <c r="AD6436" t="s">
        <v>26452</v>
      </c>
      <c r="AE6436" t="s">
        <v>4655</v>
      </c>
      <c r="AF6436" t="s">
        <v>8957</v>
      </c>
      <c r="AG6436" t="s">
        <v>4564</v>
      </c>
      <c r="AH6436" t="s">
        <v>4146</v>
      </c>
      <c r="AI6436" t="s">
        <v>885</v>
      </c>
      <c r="AJ6436" t="s">
        <v>31017</v>
      </c>
      <c r="AK6436" t="s">
        <v>31036</v>
      </c>
      <c r="AL6436" s="13" t="s">
        <v>1897</v>
      </c>
      <c r="AM6436">
        <v>0</v>
      </c>
      <c r="AN6436" s="15" t="s">
        <v>1362</v>
      </c>
    </row>
    <row r="6437" spans="1:40" x14ac:dyDescent="0.3">
      <c r="A6437" s="10" t="str">
        <f>HYPERLINK("http://www.washoecounty.gov/assessor/cama/?parid=234-651-06&amp;CardNumber=1","234-651-06")</f>
        <v>234-651-06</v>
      </c>
      <c r="B6437" t="s">
        <v>4655</v>
      </c>
      <c r="C6437" t="s">
        <v>31037</v>
      </c>
      <c r="D6437" s="1">
        <v>40332</v>
      </c>
      <c r="E6437" s="2">
        <v>440000</v>
      </c>
      <c r="F6437" t="s">
        <v>3174</v>
      </c>
      <c r="G6437" s="17" t="str">
        <f>HYPERLINK("https://www.washoecounty.gov/assessor/cama/?command=sales&amp;parid=23465106","3888100")</f>
        <v>3888100</v>
      </c>
      <c r="H6437" t="s">
        <v>31015</v>
      </c>
      <c r="I6437">
        <v>0</v>
      </c>
      <c r="J6437">
        <v>0</v>
      </c>
      <c r="K6437" t="s">
        <v>4655</v>
      </c>
      <c r="L6437" t="s">
        <v>4655</v>
      </c>
      <c r="M6437" s="2">
        <v>0</v>
      </c>
      <c r="N6437" t="s">
        <v>4655</v>
      </c>
      <c r="O6437">
        <v>0</v>
      </c>
      <c r="P6437">
        <v>0</v>
      </c>
      <c r="Q6437">
        <v>0</v>
      </c>
      <c r="R6437" t="s">
        <v>4655</v>
      </c>
      <c r="S6437" t="s">
        <v>4655</v>
      </c>
      <c r="T6437" t="s">
        <v>4655</v>
      </c>
      <c r="U6437" t="s">
        <v>4655</v>
      </c>
      <c r="V6437" s="2">
        <v>0</v>
      </c>
      <c r="W6437" t="s">
        <v>4655</v>
      </c>
      <c r="X6437" s="2">
        <v>0</v>
      </c>
      <c r="Y6437">
        <v>12</v>
      </c>
      <c r="Z6437" t="s">
        <v>5282</v>
      </c>
      <c r="AA6437" s="3">
        <v>0.30929753184318498</v>
      </c>
      <c r="AB6437" t="s">
        <v>4541</v>
      </c>
      <c r="AC6437" t="s">
        <v>4562</v>
      </c>
      <c r="AD6437" t="s">
        <v>26452</v>
      </c>
      <c r="AE6437" t="s">
        <v>4655</v>
      </c>
      <c r="AF6437" t="s">
        <v>8957</v>
      </c>
      <c r="AG6437" t="s">
        <v>4564</v>
      </c>
      <c r="AH6437" t="s">
        <v>4146</v>
      </c>
      <c r="AI6437" t="s">
        <v>885</v>
      </c>
      <c r="AJ6437" t="s">
        <v>31017</v>
      </c>
      <c r="AK6437" t="s">
        <v>31038</v>
      </c>
      <c r="AL6437" s="13" t="s">
        <v>1897</v>
      </c>
      <c r="AM6437">
        <v>0</v>
      </c>
      <c r="AN6437" s="15" t="s">
        <v>1362</v>
      </c>
    </row>
    <row r="6438" spans="1:40" x14ac:dyDescent="0.3">
      <c r="A6438" s="10" t="str">
        <f>HYPERLINK("http://www.washoecounty.gov/assessor/cama/?parid=236-051-05&amp;CardNumber=1","236-051-05")</f>
        <v>236-051-05</v>
      </c>
      <c r="B6438" t="s">
        <v>4655</v>
      </c>
      <c r="C6438" t="s">
        <v>31039</v>
      </c>
      <c r="D6438" s="1">
        <v>40225</v>
      </c>
      <c r="E6438" s="2">
        <v>344000</v>
      </c>
      <c r="F6438" t="s">
        <v>4567</v>
      </c>
      <c r="G6438" s="17" t="str">
        <f>HYPERLINK("https://www.washoecounty.gov/assessor/cama/?command=sales&amp;parid=23605105","3849619")</f>
        <v>3849619</v>
      </c>
      <c r="H6438" t="s">
        <v>1321</v>
      </c>
      <c r="I6438">
        <v>1999</v>
      </c>
      <c r="J6438">
        <v>1999</v>
      </c>
      <c r="K6438" t="s">
        <v>4554</v>
      </c>
      <c r="L6438" t="s">
        <v>3974</v>
      </c>
      <c r="M6438" s="2">
        <v>2584</v>
      </c>
      <c r="N6438" t="s">
        <v>3147</v>
      </c>
      <c r="O6438">
        <v>3</v>
      </c>
      <c r="P6438">
        <v>2</v>
      </c>
      <c r="Q6438">
        <v>1</v>
      </c>
      <c r="R6438" t="s">
        <v>4557</v>
      </c>
      <c r="S6438" t="s">
        <v>4898</v>
      </c>
      <c r="T6438" t="s">
        <v>2704</v>
      </c>
      <c r="U6438" t="s">
        <v>5631</v>
      </c>
      <c r="V6438" s="2">
        <v>632</v>
      </c>
      <c r="W6438" t="s">
        <v>4655</v>
      </c>
      <c r="X6438" s="2">
        <v>0</v>
      </c>
      <c r="Y6438">
        <v>20</v>
      </c>
      <c r="Z6438" t="s">
        <v>4561</v>
      </c>
      <c r="AA6438" s="3">
        <v>0.212167128920555</v>
      </c>
      <c r="AB6438" t="s">
        <v>31040</v>
      </c>
      <c r="AC6438" t="s">
        <v>4562</v>
      </c>
      <c r="AD6438" t="s">
        <v>31039</v>
      </c>
      <c r="AE6438" t="s">
        <v>4655</v>
      </c>
      <c r="AF6438" t="s">
        <v>4563</v>
      </c>
      <c r="AG6438" t="s">
        <v>4564</v>
      </c>
      <c r="AH6438" t="s">
        <v>1147</v>
      </c>
      <c r="AI6438" t="s">
        <v>31041</v>
      </c>
      <c r="AJ6438" t="s">
        <v>2181</v>
      </c>
      <c r="AK6438" t="s">
        <v>31042</v>
      </c>
      <c r="AL6438" s="13" t="s">
        <v>1896</v>
      </c>
      <c r="AM6438">
        <v>1</v>
      </c>
      <c r="AN6438" s="15" t="s">
        <v>2182</v>
      </c>
    </row>
    <row r="6439" spans="1:40" x14ac:dyDescent="0.3">
      <c r="A6439" s="10" t="str">
        <f>HYPERLINK("http://www.washoecounty.gov/assessor/cama/?parid=236-052-06&amp;CardNumber=1","236-052-06")</f>
        <v>236-052-06</v>
      </c>
      <c r="B6439" t="s">
        <v>4655</v>
      </c>
      <c r="C6439" t="s">
        <v>31043</v>
      </c>
      <c r="D6439" s="1">
        <v>40269</v>
      </c>
      <c r="E6439" s="2">
        <v>240000</v>
      </c>
      <c r="F6439" t="s">
        <v>4567</v>
      </c>
      <c r="G6439" s="17" t="str">
        <f>HYPERLINK("https://www.washoecounty.gov/assessor/cama/?command=sales&amp;parid=23605206","3866910")</f>
        <v>3866910</v>
      </c>
      <c r="H6439" t="s">
        <v>1321</v>
      </c>
      <c r="I6439">
        <v>1999</v>
      </c>
      <c r="J6439">
        <v>1999</v>
      </c>
      <c r="K6439" t="s">
        <v>4554</v>
      </c>
      <c r="L6439" t="s">
        <v>4555</v>
      </c>
      <c r="M6439" s="2">
        <v>1650</v>
      </c>
      <c r="N6439" t="s">
        <v>3147</v>
      </c>
      <c r="O6439">
        <v>3</v>
      </c>
      <c r="P6439">
        <v>2</v>
      </c>
      <c r="Q6439">
        <v>0</v>
      </c>
      <c r="R6439" t="s">
        <v>4557</v>
      </c>
      <c r="S6439" t="s">
        <v>4898</v>
      </c>
      <c r="T6439" t="s">
        <v>2704</v>
      </c>
      <c r="U6439" t="s">
        <v>4560</v>
      </c>
      <c r="V6439" s="2">
        <v>580</v>
      </c>
      <c r="W6439" t="s">
        <v>4655</v>
      </c>
      <c r="X6439" s="2">
        <v>0</v>
      </c>
      <c r="Y6439">
        <v>20</v>
      </c>
      <c r="Z6439" t="s">
        <v>4561</v>
      </c>
      <c r="AA6439" s="3">
        <v>0.294283747673035</v>
      </c>
      <c r="AB6439" t="s">
        <v>31044</v>
      </c>
      <c r="AC6439" t="s">
        <v>4562</v>
      </c>
      <c r="AD6439" t="s">
        <v>31045</v>
      </c>
      <c r="AE6439" t="s">
        <v>4655</v>
      </c>
      <c r="AF6439" t="s">
        <v>4563</v>
      </c>
      <c r="AG6439" t="s">
        <v>4564</v>
      </c>
      <c r="AH6439" t="s">
        <v>1147</v>
      </c>
      <c r="AI6439" t="s">
        <v>31046</v>
      </c>
      <c r="AJ6439" t="s">
        <v>2181</v>
      </c>
      <c r="AK6439" t="s">
        <v>31047</v>
      </c>
      <c r="AL6439" s="13" t="s">
        <v>1896</v>
      </c>
      <c r="AM6439" s="14">
        <v>1</v>
      </c>
      <c r="AN6439" s="15" t="s">
        <v>2182</v>
      </c>
    </row>
    <row r="6440" spans="1:40" x14ac:dyDescent="0.3">
      <c r="A6440" s="10" t="str">
        <f>HYPERLINK("http://www.washoecounty.gov/assessor/cama/?parid=236-062-06&amp;CardNumber=1","236-062-06")</f>
        <v>236-062-06</v>
      </c>
      <c r="B6440" t="s">
        <v>4655</v>
      </c>
      <c r="C6440" t="s">
        <v>31048</v>
      </c>
      <c r="D6440" s="1">
        <v>40318</v>
      </c>
      <c r="E6440" s="2">
        <v>234500</v>
      </c>
      <c r="F6440" t="s">
        <v>4567</v>
      </c>
      <c r="G6440" s="17" t="str">
        <f>HYPERLINK("https://www.washoecounty.gov/assessor/cama/?command=sales&amp;parid=23606206","3883376")</f>
        <v>3883376</v>
      </c>
      <c r="H6440" t="s">
        <v>2971</v>
      </c>
      <c r="I6440">
        <v>2000</v>
      </c>
      <c r="J6440">
        <v>2000</v>
      </c>
      <c r="K6440" t="s">
        <v>4554</v>
      </c>
      <c r="L6440" t="s">
        <v>4555</v>
      </c>
      <c r="M6440" s="2">
        <v>1650</v>
      </c>
      <c r="N6440" t="s">
        <v>3147</v>
      </c>
      <c r="O6440">
        <v>3</v>
      </c>
      <c r="P6440">
        <v>2</v>
      </c>
      <c r="Q6440">
        <v>0</v>
      </c>
      <c r="R6440" t="s">
        <v>5281</v>
      </c>
      <c r="S6440" t="s">
        <v>4898</v>
      </c>
      <c r="T6440" t="s">
        <v>2704</v>
      </c>
      <c r="U6440" t="s">
        <v>4560</v>
      </c>
      <c r="V6440" s="2">
        <v>410</v>
      </c>
      <c r="W6440" t="s">
        <v>4655</v>
      </c>
      <c r="X6440" s="2">
        <v>0</v>
      </c>
      <c r="Y6440">
        <v>20</v>
      </c>
      <c r="Z6440" t="s">
        <v>4561</v>
      </c>
      <c r="AA6440" s="3">
        <v>0.24719926714897156</v>
      </c>
      <c r="AB6440" t="s">
        <v>31049</v>
      </c>
      <c r="AC6440" t="s">
        <v>4562</v>
      </c>
      <c r="AD6440" t="s">
        <v>31048</v>
      </c>
      <c r="AE6440" t="s">
        <v>4655</v>
      </c>
      <c r="AF6440" t="s">
        <v>4563</v>
      </c>
      <c r="AG6440" t="s">
        <v>4564</v>
      </c>
      <c r="AH6440" t="s">
        <v>1147</v>
      </c>
      <c r="AI6440" t="s">
        <v>31050</v>
      </c>
      <c r="AJ6440" t="s">
        <v>2497</v>
      </c>
      <c r="AK6440" t="s">
        <v>31051</v>
      </c>
      <c r="AL6440" s="13" t="s">
        <v>1896</v>
      </c>
      <c r="AM6440" s="14">
        <v>1</v>
      </c>
      <c r="AN6440" s="15" t="s">
        <v>2182</v>
      </c>
    </row>
    <row r="6441" spans="1:40" x14ac:dyDescent="0.3">
      <c r="A6441" s="10" t="str">
        <f>HYPERLINK("http://www.washoecounty.gov/assessor/cama/?parid=236-073-06&amp;CardNumber=1","236-073-06")</f>
        <v>236-073-06</v>
      </c>
      <c r="B6441" t="s">
        <v>4655</v>
      </c>
      <c r="C6441" t="s">
        <v>31052</v>
      </c>
      <c r="D6441" s="1">
        <v>40473</v>
      </c>
      <c r="E6441" s="2">
        <v>250000</v>
      </c>
      <c r="F6441" t="s">
        <v>4567</v>
      </c>
      <c r="G6441" s="17" t="str">
        <f>HYPERLINK("https://www.washoecounty.gov/assessor/cama/?command=sales&amp;parid=23607306","3935822")</f>
        <v>3935822</v>
      </c>
      <c r="H6441" t="s">
        <v>5641</v>
      </c>
      <c r="I6441">
        <v>2002</v>
      </c>
      <c r="J6441">
        <v>2002</v>
      </c>
      <c r="K6441" t="s">
        <v>4554</v>
      </c>
      <c r="L6441" t="s">
        <v>4555</v>
      </c>
      <c r="M6441" s="2">
        <v>1812</v>
      </c>
      <c r="N6441" t="s">
        <v>3147</v>
      </c>
      <c r="O6441">
        <v>3</v>
      </c>
      <c r="P6441">
        <v>2</v>
      </c>
      <c r="Q6441">
        <v>0</v>
      </c>
      <c r="R6441" t="s">
        <v>4557</v>
      </c>
      <c r="S6441" t="s">
        <v>4898</v>
      </c>
      <c r="T6441" t="s">
        <v>2704</v>
      </c>
      <c r="U6441" t="s">
        <v>4560</v>
      </c>
      <c r="V6441" s="2">
        <v>586</v>
      </c>
      <c r="W6441" t="s">
        <v>4655</v>
      </c>
      <c r="X6441" s="2">
        <v>0</v>
      </c>
      <c r="Y6441">
        <v>20</v>
      </c>
      <c r="Z6441" t="s">
        <v>4561</v>
      </c>
      <c r="AA6441" s="3">
        <v>0.17382919788360601</v>
      </c>
      <c r="AB6441" t="s">
        <v>31053</v>
      </c>
      <c r="AC6441" t="s">
        <v>4562</v>
      </c>
      <c r="AD6441" t="s">
        <v>31052</v>
      </c>
      <c r="AE6441" t="s">
        <v>4655</v>
      </c>
      <c r="AF6441" t="s">
        <v>4563</v>
      </c>
      <c r="AG6441" t="s">
        <v>4564</v>
      </c>
      <c r="AH6441" t="s">
        <v>1147</v>
      </c>
      <c r="AI6441" t="s">
        <v>31054</v>
      </c>
      <c r="AJ6441" t="s">
        <v>5493</v>
      </c>
      <c r="AK6441" t="s">
        <v>31055</v>
      </c>
      <c r="AL6441" s="13" t="s">
        <v>1896</v>
      </c>
      <c r="AM6441">
        <v>1</v>
      </c>
      <c r="AN6441" s="15" t="s">
        <v>2182</v>
      </c>
    </row>
    <row r="6442" spans="1:40" x14ac:dyDescent="0.3">
      <c r="A6442" s="10" t="str">
        <f>HYPERLINK("http://www.washoecounty.gov/assessor/cama/?parid=236-074-09&amp;CardNumber=1","236-074-09")</f>
        <v>236-074-09</v>
      </c>
      <c r="B6442" t="s">
        <v>4655</v>
      </c>
      <c r="C6442" t="s">
        <v>31056</v>
      </c>
      <c r="D6442" s="1">
        <v>40541</v>
      </c>
      <c r="E6442" s="2">
        <v>256900</v>
      </c>
      <c r="F6442" t="s">
        <v>4553</v>
      </c>
      <c r="G6442" s="17" t="str">
        <f>HYPERLINK("https://www.washoecounty.gov/assessor/cama/?command=sales&amp;parid=23607409","3958491")</f>
        <v>3958491</v>
      </c>
      <c r="H6442" t="s">
        <v>5641</v>
      </c>
      <c r="I6442">
        <v>2002</v>
      </c>
      <c r="J6442">
        <v>2002</v>
      </c>
      <c r="K6442" t="s">
        <v>4554</v>
      </c>
      <c r="L6442" t="s">
        <v>3974</v>
      </c>
      <c r="M6442" s="2">
        <v>2600</v>
      </c>
      <c r="N6442" t="s">
        <v>3147</v>
      </c>
      <c r="O6442">
        <v>4</v>
      </c>
      <c r="P6442">
        <v>2</v>
      </c>
      <c r="Q6442">
        <v>1</v>
      </c>
      <c r="R6442" t="s">
        <v>5281</v>
      </c>
      <c r="S6442" t="s">
        <v>4898</v>
      </c>
      <c r="T6442" t="s">
        <v>2704</v>
      </c>
      <c r="U6442" t="s">
        <v>5631</v>
      </c>
      <c r="V6442" s="2">
        <v>624</v>
      </c>
      <c r="W6442" t="s">
        <v>4655</v>
      </c>
      <c r="X6442" s="2">
        <v>0</v>
      </c>
      <c r="Y6442">
        <v>20</v>
      </c>
      <c r="Z6442" t="s">
        <v>4561</v>
      </c>
      <c r="AA6442" s="3">
        <v>0.17846648395061501</v>
      </c>
      <c r="AB6442" t="s">
        <v>5766</v>
      </c>
      <c r="AC6442" t="s">
        <v>4562</v>
      </c>
      <c r="AD6442" t="s">
        <v>31056</v>
      </c>
      <c r="AE6442" t="s">
        <v>4655</v>
      </c>
      <c r="AF6442" t="s">
        <v>4563</v>
      </c>
      <c r="AG6442" t="s">
        <v>4564</v>
      </c>
      <c r="AH6442" t="s">
        <v>1147</v>
      </c>
      <c r="AI6442" t="s">
        <v>4903</v>
      </c>
      <c r="AJ6442" t="s">
        <v>5493</v>
      </c>
      <c r="AK6442" t="s">
        <v>31057</v>
      </c>
      <c r="AL6442" s="13" t="s">
        <v>1896</v>
      </c>
      <c r="AM6442" s="14">
        <v>1</v>
      </c>
      <c r="AN6442" s="15" t="s">
        <v>2182</v>
      </c>
    </row>
    <row r="6443" spans="1:40" x14ac:dyDescent="0.3">
      <c r="A6443" s="10" t="str">
        <f>HYPERLINK("http://www.washoecounty.gov/assessor/cama/?parid=236-090-05&amp;CardNumber=1","236-090-05")</f>
        <v>236-090-05</v>
      </c>
      <c r="B6443" t="s">
        <v>4655</v>
      </c>
      <c r="C6443" t="s">
        <v>31058</v>
      </c>
      <c r="D6443" s="1">
        <v>40210</v>
      </c>
      <c r="E6443" s="2">
        <v>550000</v>
      </c>
      <c r="F6443" t="s">
        <v>3259</v>
      </c>
      <c r="G6443" s="17" t="str">
        <f>HYPERLINK("https://www.washoecounty.gov/assessor/cama/?command=sales&amp;parid=23609005","3844727")</f>
        <v>3844727</v>
      </c>
      <c r="H6443" t="s">
        <v>31059</v>
      </c>
      <c r="I6443">
        <v>2004</v>
      </c>
      <c r="J6443">
        <v>2004</v>
      </c>
      <c r="K6443" t="s">
        <v>1394</v>
      </c>
      <c r="L6443" t="s">
        <v>1366</v>
      </c>
      <c r="M6443" s="2">
        <v>5706</v>
      </c>
      <c r="N6443" t="s">
        <v>3531</v>
      </c>
      <c r="O6443">
        <v>0</v>
      </c>
      <c r="P6443">
        <v>0</v>
      </c>
      <c r="Q6443">
        <v>0</v>
      </c>
      <c r="R6443" t="s">
        <v>1368</v>
      </c>
      <c r="S6443" t="s">
        <v>4599</v>
      </c>
      <c r="T6443" t="s">
        <v>4655</v>
      </c>
      <c r="U6443" t="s">
        <v>4655</v>
      </c>
      <c r="V6443" s="2">
        <v>0</v>
      </c>
      <c r="W6443" t="s">
        <v>4655</v>
      </c>
      <c r="X6443" s="2">
        <v>0</v>
      </c>
      <c r="Y6443">
        <v>51</v>
      </c>
      <c r="Z6443" t="s">
        <v>4600</v>
      </c>
      <c r="AA6443" s="3">
        <v>0.28836089372634899</v>
      </c>
      <c r="AB6443" t="s">
        <v>31060</v>
      </c>
      <c r="AC6443" t="s">
        <v>4562</v>
      </c>
      <c r="AD6443" t="s">
        <v>31061</v>
      </c>
      <c r="AE6443" t="s">
        <v>4655</v>
      </c>
      <c r="AF6443" t="s">
        <v>4601</v>
      </c>
      <c r="AG6443" t="s">
        <v>4584</v>
      </c>
      <c r="AH6443" t="s">
        <v>4602</v>
      </c>
      <c r="AI6443" t="s">
        <v>31062</v>
      </c>
      <c r="AJ6443" t="s">
        <v>31063</v>
      </c>
      <c r="AK6443" t="s">
        <v>31064</v>
      </c>
      <c r="AL6443" s="13" t="s">
        <v>1896</v>
      </c>
      <c r="AM6443">
        <v>0</v>
      </c>
      <c r="AN6443" s="15" t="s">
        <v>31065</v>
      </c>
    </row>
    <row r="6444" spans="1:40" x14ac:dyDescent="0.3">
      <c r="A6444" s="10" t="str">
        <f>HYPERLINK("http://www.washoecounty.gov/assessor/cama/?parid=240-011-03&amp;CardNumber=1","240-011-03")</f>
        <v>240-011-03</v>
      </c>
      <c r="B6444" t="s">
        <v>4655</v>
      </c>
      <c r="C6444" t="s">
        <v>31066</v>
      </c>
      <c r="D6444" s="1">
        <v>40192</v>
      </c>
      <c r="E6444" s="2">
        <v>150000</v>
      </c>
      <c r="F6444" t="s">
        <v>4567</v>
      </c>
      <c r="G6444" s="17" t="str">
        <f>HYPERLINK("https://www.washoecounty.gov/assessor/cama/?command=sales&amp;parid=24001103","3839385")</f>
        <v>3839385</v>
      </c>
      <c r="H6444" t="s">
        <v>3729</v>
      </c>
      <c r="I6444">
        <v>1998</v>
      </c>
      <c r="J6444">
        <v>1998</v>
      </c>
      <c r="K6444" t="s">
        <v>4554</v>
      </c>
      <c r="L6444" t="s">
        <v>3974</v>
      </c>
      <c r="M6444" s="2">
        <v>1412</v>
      </c>
      <c r="N6444" t="s">
        <v>4048</v>
      </c>
      <c r="O6444">
        <v>2</v>
      </c>
      <c r="P6444">
        <v>2</v>
      </c>
      <c r="Q6444">
        <v>1</v>
      </c>
      <c r="R6444" t="s">
        <v>5281</v>
      </c>
      <c r="S6444" t="s">
        <v>4558</v>
      </c>
      <c r="T6444" t="s">
        <v>4559</v>
      </c>
      <c r="U6444" t="s">
        <v>5631</v>
      </c>
      <c r="V6444" s="2">
        <v>389</v>
      </c>
      <c r="W6444" t="s">
        <v>4655</v>
      </c>
      <c r="X6444" s="2">
        <v>0</v>
      </c>
      <c r="Y6444">
        <v>20</v>
      </c>
      <c r="Z6444" t="s">
        <v>4144</v>
      </c>
      <c r="AA6444" s="3">
        <v>9.2998161911964403E-2</v>
      </c>
      <c r="AB6444" t="s">
        <v>31067</v>
      </c>
      <c r="AC6444" t="s">
        <v>4562</v>
      </c>
      <c r="AD6444" t="s">
        <v>31066</v>
      </c>
      <c r="AE6444" t="s">
        <v>4655</v>
      </c>
      <c r="AF6444" t="s">
        <v>4563</v>
      </c>
      <c r="AG6444" t="s">
        <v>4564</v>
      </c>
      <c r="AH6444">
        <v>89502</v>
      </c>
      <c r="AI6444" t="s">
        <v>31068</v>
      </c>
      <c r="AJ6444" t="s">
        <v>3745</v>
      </c>
      <c r="AK6444" t="s">
        <v>31069</v>
      </c>
      <c r="AL6444" s="13" t="s">
        <v>2255</v>
      </c>
      <c r="AM6444" s="14">
        <v>1</v>
      </c>
      <c r="AN6444" s="15" t="s">
        <v>3746</v>
      </c>
    </row>
    <row r="6445" spans="1:40" x14ac:dyDescent="0.3">
      <c r="A6445" s="10" t="str">
        <f>HYPERLINK("http://www.washoecounty.gov/assessor/cama/?parid=240-011-08&amp;CardNumber=1","240-011-08")</f>
        <v>240-011-08</v>
      </c>
      <c r="B6445" t="s">
        <v>4655</v>
      </c>
      <c r="C6445" t="s">
        <v>31070</v>
      </c>
      <c r="D6445" s="1">
        <v>40371</v>
      </c>
      <c r="E6445" s="2">
        <v>146000</v>
      </c>
      <c r="F6445" t="s">
        <v>4567</v>
      </c>
      <c r="G6445" s="17" t="str">
        <f>HYPERLINK("https://www.washoecounty.gov/assessor/cama/?command=sales&amp;parid=24001108","3900470")</f>
        <v>3900470</v>
      </c>
      <c r="H6445" t="s">
        <v>3729</v>
      </c>
      <c r="I6445">
        <v>1998</v>
      </c>
      <c r="J6445">
        <v>1998</v>
      </c>
      <c r="K6445" t="s">
        <v>4554</v>
      </c>
      <c r="L6445" t="s">
        <v>3974</v>
      </c>
      <c r="M6445" s="2">
        <v>1649</v>
      </c>
      <c r="N6445" t="s">
        <v>4048</v>
      </c>
      <c r="O6445">
        <v>3</v>
      </c>
      <c r="P6445">
        <v>2</v>
      </c>
      <c r="Q6445">
        <v>1</v>
      </c>
      <c r="R6445" t="s">
        <v>5281</v>
      </c>
      <c r="S6445" t="s">
        <v>4558</v>
      </c>
      <c r="T6445" t="s">
        <v>4559</v>
      </c>
      <c r="U6445" t="s">
        <v>5631</v>
      </c>
      <c r="V6445" s="2">
        <v>413</v>
      </c>
      <c r="W6445" t="s">
        <v>4655</v>
      </c>
      <c r="X6445" s="2">
        <v>0</v>
      </c>
      <c r="Y6445">
        <v>20</v>
      </c>
      <c r="Z6445" t="s">
        <v>4144</v>
      </c>
      <c r="AA6445" s="3">
        <v>0.16799816489219666</v>
      </c>
      <c r="AB6445" t="s">
        <v>31071</v>
      </c>
      <c r="AC6445" t="s">
        <v>4562</v>
      </c>
      <c r="AD6445" t="s">
        <v>31072</v>
      </c>
      <c r="AE6445" t="s">
        <v>4655</v>
      </c>
      <c r="AF6445" t="s">
        <v>4563</v>
      </c>
      <c r="AG6445" t="s">
        <v>4564</v>
      </c>
      <c r="AH6445">
        <v>89502</v>
      </c>
      <c r="AI6445" t="s">
        <v>4655</v>
      </c>
      <c r="AJ6445" t="s">
        <v>3745</v>
      </c>
      <c r="AK6445" t="s">
        <v>31073</v>
      </c>
      <c r="AL6445" s="13" t="s">
        <v>2255</v>
      </c>
      <c r="AM6445">
        <v>1</v>
      </c>
      <c r="AN6445" s="15" t="s">
        <v>3746</v>
      </c>
    </row>
    <row r="6446" spans="1:40" x14ac:dyDescent="0.3">
      <c r="A6446" s="10" t="str">
        <f>HYPERLINK("http://www.washoecounty.gov/assessor/cama/?parid=240-011-10&amp;CardNumber=1","240-011-10")</f>
        <v>240-011-10</v>
      </c>
      <c r="B6446" t="s">
        <v>4655</v>
      </c>
      <c r="C6446" t="s">
        <v>31074</v>
      </c>
      <c r="D6446" s="1">
        <v>40476</v>
      </c>
      <c r="E6446" s="2">
        <v>139900</v>
      </c>
      <c r="F6446" t="s">
        <v>4553</v>
      </c>
      <c r="G6446" s="17" t="str">
        <f>HYPERLINK("https://www.washoecounty.gov/assessor/cama/?command=sales&amp;parid=24001110","3936206")</f>
        <v>3936206</v>
      </c>
      <c r="H6446" t="s">
        <v>3729</v>
      </c>
      <c r="I6446">
        <v>1998</v>
      </c>
      <c r="J6446">
        <v>1998</v>
      </c>
      <c r="K6446" t="s">
        <v>4554</v>
      </c>
      <c r="L6446" t="s">
        <v>3974</v>
      </c>
      <c r="M6446" s="2">
        <v>1412</v>
      </c>
      <c r="N6446" t="s">
        <v>4048</v>
      </c>
      <c r="O6446">
        <v>2</v>
      </c>
      <c r="P6446">
        <v>2</v>
      </c>
      <c r="Q6446">
        <v>1</v>
      </c>
      <c r="R6446" t="s">
        <v>4557</v>
      </c>
      <c r="S6446" t="s">
        <v>4558</v>
      </c>
      <c r="T6446" t="s">
        <v>4559</v>
      </c>
      <c r="U6446" t="s">
        <v>5631</v>
      </c>
      <c r="V6446" s="2">
        <v>389</v>
      </c>
      <c r="W6446" t="s">
        <v>4655</v>
      </c>
      <c r="X6446" s="2">
        <v>0</v>
      </c>
      <c r="Y6446">
        <v>20</v>
      </c>
      <c r="Z6446" t="s">
        <v>4144</v>
      </c>
      <c r="AA6446" s="3">
        <v>8.5009180009365096E-2</v>
      </c>
      <c r="AB6446" t="s">
        <v>31075</v>
      </c>
      <c r="AC6446" t="s">
        <v>4562</v>
      </c>
      <c r="AD6446" t="s">
        <v>31074</v>
      </c>
      <c r="AE6446" t="s">
        <v>4655</v>
      </c>
      <c r="AF6446" t="s">
        <v>4563</v>
      </c>
      <c r="AG6446" t="s">
        <v>4564</v>
      </c>
      <c r="AH6446">
        <v>89502</v>
      </c>
      <c r="AI6446" t="s">
        <v>1602</v>
      </c>
      <c r="AJ6446" t="s">
        <v>3745</v>
      </c>
      <c r="AK6446" t="s">
        <v>31076</v>
      </c>
      <c r="AL6446" s="13" t="s">
        <v>2255</v>
      </c>
      <c r="AM6446" s="14">
        <v>1</v>
      </c>
      <c r="AN6446" s="15" t="s">
        <v>3746</v>
      </c>
    </row>
    <row r="6447" spans="1:40" x14ac:dyDescent="0.3">
      <c r="A6447" s="10" t="str">
        <f>HYPERLINK("http://www.washoecounty.gov/assessor/cama/?parid=240-012-13&amp;CardNumber=1","240-012-13")</f>
        <v>240-012-13</v>
      </c>
      <c r="B6447" t="s">
        <v>4655</v>
      </c>
      <c r="C6447" t="s">
        <v>31077</v>
      </c>
      <c r="D6447" s="1">
        <v>40333</v>
      </c>
      <c r="E6447" s="2">
        <v>127000</v>
      </c>
      <c r="F6447" t="s">
        <v>4553</v>
      </c>
      <c r="G6447" s="17" t="str">
        <f>HYPERLINK("https://www.washoecounty.gov/assessor/cama/?command=sales&amp;parid=24001213","3888574")</f>
        <v>3888574</v>
      </c>
      <c r="H6447" t="s">
        <v>2993</v>
      </c>
      <c r="I6447">
        <v>1997</v>
      </c>
      <c r="J6447">
        <v>1997</v>
      </c>
      <c r="K6447" t="s">
        <v>4554</v>
      </c>
      <c r="L6447" t="s">
        <v>3974</v>
      </c>
      <c r="M6447" s="2">
        <v>1412</v>
      </c>
      <c r="N6447" t="s">
        <v>4048</v>
      </c>
      <c r="O6447">
        <v>3</v>
      </c>
      <c r="P6447">
        <v>235</v>
      </c>
      <c r="Q6447">
        <v>0</v>
      </c>
      <c r="R6447" t="s">
        <v>5281</v>
      </c>
      <c r="S6447" t="s">
        <v>4558</v>
      </c>
      <c r="T6447" t="s">
        <v>4559</v>
      </c>
      <c r="U6447" t="s">
        <v>5631</v>
      </c>
      <c r="V6447" s="2">
        <v>389</v>
      </c>
      <c r="W6447" t="s">
        <v>4655</v>
      </c>
      <c r="X6447" s="2">
        <v>0</v>
      </c>
      <c r="Y6447">
        <v>20</v>
      </c>
      <c r="Z6447" t="s">
        <v>4144</v>
      </c>
      <c r="AA6447" s="3">
        <v>7.3002755641937297E-2</v>
      </c>
      <c r="AB6447" t="s">
        <v>31078</v>
      </c>
      <c r="AC6447" t="s">
        <v>4562</v>
      </c>
      <c r="AD6447" t="s">
        <v>31079</v>
      </c>
      <c r="AE6447" t="s">
        <v>4655</v>
      </c>
      <c r="AF6447" t="s">
        <v>4563</v>
      </c>
      <c r="AG6447" t="s">
        <v>4564</v>
      </c>
      <c r="AH6447">
        <v>89511</v>
      </c>
      <c r="AI6447" t="s">
        <v>4045</v>
      </c>
      <c r="AJ6447" t="s">
        <v>2998</v>
      </c>
      <c r="AK6447" t="s">
        <v>31080</v>
      </c>
      <c r="AL6447" s="13" t="s">
        <v>2255</v>
      </c>
      <c r="AM6447">
        <v>1</v>
      </c>
      <c r="AN6447" s="15" t="s">
        <v>3746</v>
      </c>
    </row>
    <row r="6448" spans="1:40" x14ac:dyDescent="0.3">
      <c r="A6448" s="10" t="str">
        <f>HYPERLINK("http://www.washoecounty.gov/assessor/cama/?parid=240-012-17&amp;CardNumber=1","240-012-17")</f>
        <v>240-012-17</v>
      </c>
      <c r="B6448" t="s">
        <v>4655</v>
      </c>
      <c r="C6448" t="s">
        <v>31081</v>
      </c>
      <c r="D6448" s="1">
        <v>40380</v>
      </c>
      <c r="E6448" s="2">
        <v>145000</v>
      </c>
      <c r="F6448" t="s">
        <v>4553</v>
      </c>
      <c r="G6448" s="17" t="str">
        <f>HYPERLINK("https://www.washoecounty.gov/assessor/cama/?command=sales&amp;parid=24001217","3903618")</f>
        <v>3903618</v>
      </c>
      <c r="H6448" t="s">
        <v>2993</v>
      </c>
      <c r="I6448">
        <v>1997</v>
      </c>
      <c r="J6448">
        <v>1997</v>
      </c>
      <c r="K6448" t="s">
        <v>4554</v>
      </c>
      <c r="L6448" t="s">
        <v>3974</v>
      </c>
      <c r="M6448" s="2">
        <v>1412</v>
      </c>
      <c r="N6448" t="s">
        <v>4048</v>
      </c>
      <c r="O6448">
        <v>3</v>
      </c>
      <c r="P6448">
        <v>2</v>
      </c>
      <c r="Q6448">
        <v>1</v>
      </c>
      <c r="R6448" t="s">
        <v>5281</v>
      </c>
      <c r="S6448" t="s">
        <v>4558</v>
      </c>
      <c r="T6448" t="s">
        <v>4559</v>
      </c>
      <c r="U6448" t="s">
        <v>5631</v>
      </c>
      <c r="V6448" s="2">
        <v>389</v>
      </c>
      <c r="W6448" t="s">
        <v>4655</v>
      </c>
      <c r="X6448" s="2">
        <v>0</v>
      </c>
      <c r="Y6448">
        <v>20</v>
      </c>
      <c r="Z6448" t="s">
        <v>4144</v>
      </c>
      <c r="AA6448" s="3">
        <v>7.3002755641937297E-2</v>
      </c>
      <c r="AB6448" t="s">
        <v>31082</v>
      </c>
      <c r="AC6448" t="s">
        <v>4562</v>
      </c>
      <c r="AD6448" t="s">
        <v>31081</v>
      </c>
      <c r="AE6448" t="s">
        <v>4655</v>
      </c>
      <c r="AF6448" t="s">
        <v>4563</v>
      </c>
      <c r="AG6448" t="s">
        <v>4564</v>
      </c>
      <c r="AH6448">
        <v>89502</v>
      </c>
      <c r="AI6448" t="s">
        <v>31083</v>
      </c>
      <c r="AJ6448" t="s">
        <v>2998</v>
      </c>
      <c r="AK6448" t="s">
        <v>31084</v>
      </c>
      <c r="AL6448" s="13" t="s">
        <v>2255</v>
      </c>
      <c r="AM6448" s="14">
        <v>1</v>
      </c>
      <c r="AN6448" s="15" t="s">
        <v>3746</v>
      </c>
    </row>
    <row r="6449" spans="1:40" x14ac:dyDescent="0.3">
      <c r="A6449" s="10" t="str">
        <f>HYPERLINK("http://www.washoecounty.gov/assessor/cama/?parid=240-012-43&amp;CardNumber=1","240-012-43")</f>
        <v>240-012-43</v>
      </c>
      <c r="B6449" t="s">
        <v>4655</v>
      </c>
      <c r="C6449" t="s">
        <v>31085</v>
      </c>
      <c r="D6449" s="1">
        <v>40352</v>
      </c>
      <c r="E6449" s="2">
        <v>148000</v>
      </c>
      <c r="F6449" t="s">
        <v>4567</v>
      </c>
      <c r="G6449" s="17" t="str">
        <f>HYPERLINK("https://www.washoecounty.gov/assessor/cama/?command=sales&amp;parid=24001243","3894828")</f>
        <v>3894828</v>
      </c>
      <c r="H6449" t="s">
        <v>3729</v>
      </c>
      <c r="I6449">
        <v>1998</v>
      </c>
      <c r="J6449">
        <v>1998</v>
      </c>
      <c r="K6449" t="s">
        <v>4554</v>
      </c>
      <c r="L6449" t="s">
        <v>3974</v>
      </c>
      <c r="M6449" s="2">
        <v>1649</v>
      </c>
      <c r="N6449" t="s">
        <v>4048</v>
      </c>
      <c r="O6449">
        <v>3</v>
      </c>
      <c r="P6449">
        <v>2</v>
      </c>
      <c r="Q6449">
        <v>1</v>
      </c>
      <c r="R6449" t="s">
        <v>5281</v>
      </c>
      <c r="S6449" t="s">
        <v>4558</v>
      </c>
      <c r="T6449" t="s">
        <v>4559</v>
      </c>
      <c r="U6449" t="s">
        <v>5631</v>
      </c>
      <c r="V6449" s="2">
        <v>413</v>
      </c>
      <c r="W6449" t="s">
        <v>4655</v>
      </c>
      <c r="X6449" s="2">
        <v>0</v>
      </c>
      <c r="Y6449">
        <v>20</v>
      </c>
      <c r="Z6449" t="s">
        <v>4144</v>
      </c>
      <c r="AA6449" s="3">
        <v>8.7993569672107697E-2</v>
      </c>
      <c r="AB6449" t="s">
        <v>31086</v>
      </c>
      <c r="AC6449" t="s">
        <v>4575</v>
      </c>
      <c r="AD6449" t="s">
        <v>31087</v>
      </c>
      <c r="AE6449" t="s">
        <v>31085</v>
      </c>
      <c r="AF6449" t="s">
        <v>4563</v>
      </c>
      <c r="AG6449" t="s">
        <v>4564</v>
      </c>
      <c r="AH6449">
        <v>89502</v>
      </c>
      <c r="AI6449" t="s">
        <v>31088</v>
      </c>
      <c r="AJ6449" t="s">
        <v>3745</v>
      </c>
      <c r="AK6449" t="s">
        <v>31089</v>
      </c>
      <c r="AL6449" s="13" t="s">
        <v>2255</v>
      </c>
      <c r="AM6449">
        <v>1</v>
      </c>
      <c r="AN6449" s="15" t="s">
        <v>3746</v>
      </c>
    </row>
    <row r="6450" spans="1:40" x14ac:dyDescent="0.3">
      <c r="A6450" s="10" t="str">
        <f>HYPERLINK("http://www.washoecounty.gov/assessor/cama/?parid=240-052-16&amp;CardNumber=1","240-052-16")</f>
        <v>240-052-16</v>
      </c>
      <c r="B6450" t="s">
        <v>4655</v>
      </c>
      <c r="C6450" t="s">
        <v>31090</v>
      </c>
      <c r="D6450" s="1">
        <v>40295</v>
      </c>
      <c r="E6450" s="2">
        <v>182500</v>
      </c>
      <c r="F6450" t="s">
        <v>4567</v>
      </c>
      <c r="G6450" s="17" t="str">
        <f>HYPERLINK("https://www.washoecounty.gov/assessor/cama/?command=sales&amp;parid=24005216","3874896")</f>
        <v>3874896</v>
      </c>
      <c r="H6450" t="s">
        <v>31091</v>
      </c>
      <c r="I6450">
        <v>2006</v>
      </c>
      <c r="J6450">
        <v>2006</v>
      </c>
      <c r="K6450" t="s">
        <v>4897</v>
      </c>
      <c r="L6450" t="s">
        <v>3974</v>
      </c>
      <c r="M6450" s="2">
        <v>1722</v>
      </c>
      <c r="N6450" t="s">
        <v>5280</v>
      </c>
      <c r="O6450">
        <v>3</v>
      </c>
      <c r="P6450">
        <v>2</v>
      </c>
      <c r="Q6450">
        <v>1</v>
      </c>
      <c r="R6450" t="s">
        <v>5281</v>
      </c>
      <c r="S6450" t="s">
        <v>4135</v>
      </c>
      <c r="T6450" t="s">
        <v>4559</v>
      </c>
      <c r="U6450" t="s">
        <v>5631</v>
      </c>
      <c r="V6450" s="2">
        <v>464</v>
      </c>
      <c r="W6450" t="s">
        <v>4655</v>
      </c>
      <c r="X6450" s="2">
        <v>0</v>
      </c>
      <c r="Y6450">
        <v>20</v>
      </c>
      <c r="Z6450" t="s">
        <v>5107</v>
      </c>
      <c r="AA6450" s="3">
        <v>6.79752081632614E-2</v>
      </c>
      <c r="AB6450" t="s">
        <v>31092</v>
      </c>
      <c r="AC6450" t="s">
        <v>4562</v>
      </c>
      <c r="AD6450" t="s">
        <v>31093</v>
      </c>
      <c r="AE6450" t="s">
        <v>4655</v>
      </c>
      <c r="AF6450" t="s">
        <v>31094</v>
      </c>
      <c r="AG6450" t="s">
        <v>4564</v>
      </c>
      <c r="AH6450" t="s">
        <v>31095</v>
      </c>
      <c r="AI6450" t="s">
        <v>3541</v>
      </c>
      <c r="AJ6450" t="s">
        <v>4571</v>
      </c>
      <c r="AK6450" t="s">
        <v>31096</v>
      </c>
      <c r="AL6450" s="13" t="s">
        <v>2257</v>
      </c>
      <c r="AM6450" s="14">
        <v>1</v>
      </c>
      <c r="AN6450" s="15" t="s">
        <v>1595</v>
      </c>
    </row>
    <row r="6451" spans="1:40" x14ac:dyDescent="0.3">
      <c r="A6451" s="10" t="str">
        <f>HYPERLINK("http://www.washoecounty.gov/assessor/cama/?parid=240-052-17&amp;CardNumber=1","240-052-17")</f>
        <v>240-052-17</v>
      </c>
      <c r="B6451" t="s">
        <v>4655</v>
      </c>
      <c r="C6451" t="s">
        <v>31097</v>
      </c>
      <c r="D6451" s="1">
        <v>40252</v>
      </c>
      <c r="E6451" s="2">
        <v>180000</v>
      </c>
      <c r="F6451" t="s">
        <v>4567</v>
      </c>
      <c r="G6451" s="17" t="str">
        <f>HYPERLINK("https://www.washoecounty.gov/assessor/cama/?command=sales&amp;parid=24005217","3859732")</f>
        <v>3859732</v>
      </c>
      <c r="H6451" t="s">
        <v>31091</v>
      </c>
      <c r="I6451">
        <v>2006</v>
      </c>
      <c r="J6451">
        <v>2006</v>
      </c>
      <c r="K6451" t="s">
        <v>4897</v>
      </c>
      <c r="L6451" t="s">
        <v>3974</v>
      </c>
      <c r="M6451" s="2">
        <v>1725</v>
      </c>
      <c r="N6451" t="s">
        <v>5280</v>
      </c>
      <c r="O6451">
        <v>4</v>
      </c>
      <c r="P6451">
        <v>3</v>
      </c>
      <c r="Q6451">
        <v>0</v>
      </c>
      <c r="R6451" t="s">
        <v>5281</v>
      </c>
      <c r="S6451" t="s">
        <v>4135</v>
      </c>
      <c r="T6451" t="s">
        <v>4559</v>
      </c>
      <c r="U6451" t="s">
        <v>5631</v>
      </c>
      <c r="V6451" s="2">
        <v>380</v>
      </c>
      <c r="W6451" t="s">
        <v>4655</v>
      </c>
      <c r="X6451" s="2">
        <v>0</v>
      </c>
      <c r="Y6451">
        <v>20</v>
      </c>
      <c r="Z6451" t="s">
        <v>5107</v>
      </c>
      <c r="AA6451" s="3">
        <v>6.7607894539833097E-2</v>
      </c>
      <c r="AB6451" t="s">
        <v>31098</v>
      </c>
      <c r="AC6451" t="s">
        <v>4562</v>
      </c>
      <c r="AD6451" t="s">
        <v>31097</v>
      </c>
      <c r="AE6451" t="s">
        <v>4655</v>
      </c>
      <c r="AF6451" t="s">
        <v>4563</v>
      </c>
      <c r="AG6451" t="s">
        <v>4564</v>
      </c>
      <c r="AH6451">
        <v>89502</v>
      </c>
      <c r="AI6451" t="s">
        <v>3541</v>
      </c>
      <c r="AJ6451" t="s">
        <v>4571</v>
      </c>
      <c r="AK6451" t="s">
        <v>31099</v>
      </c>
      <c r="AL6451" s="13" t="s">
        <v>2257</v>
      </c>
      <c r="AM6451" s="14">
        <v>1</v>
      </c>
      <c r="AN6451" s="15" t="s">
        <v>1595</v>
      </c>
    </row>
    <row r="6452" spans="1:40" x14ac:dyDescent="0.3">
      <c r="A6452" s="10" t="str">
        <f>HYPERLINK("http://www.washoecounty.gov/assessor/cama/?parid=240-053-07&amp;CardNumber=1","240-053-07")</f>
        <v>240-053-07</v>
      </c>
      <c r="B6452" t="s">
        <v>4655</v>
      </c>
      <c r="C6452" t="s">
        <v>31100</v>
      </c>
      <c r="D6452" s="1">
        <v>40297</v>
      </c>
      <c r="E6452" s="2">
        <v>139900</v>
      </c>
      <c r="F6452" t="s">
        <v>4567</v>
      </c>
      <c r="G6452" s="17" t="str">
        <f>HYPERLINK("https://www.washoecounty.gov/assessor/cama/?command=sales&amp;parid=24005307","3876194")</f>
        <v>3876194</v>
      </c>
      <c r="H6452" t="s">
        <v>1593</v>
      </c>
      <c r="I6452">
        <v>2007</v>
      </c>
      <c r="J6452">
        <v>2007</v>
      </c>
      <c r="K6452" t="s">
        <v>4897</v>
      </c>
      <c r="L6452" t="s">
        <v>3974</v>
      </c>
      <c r="M6452" s="2">
        <v>1129</v>
      </c>
      <c r="N6452" t="s">
        <v>5280</v>
      </c>
      <c r="O6452">
        <v>2</v>
      </c>
      <c r="P6452">
        <v>1</v>
      </c>
      <c r="Q6452">
        <v>1</v>
      </c>
      <c r="R6452" t="s">
        <v>5281</v>
      </c>
      <c r="S6452" t="s">
        <v>4135</v>
      </c>
      <c r="T6452" t="s">
        <v>4559</v>
      </c>
      <c r="U6452" t="s">
        <v>5631</v>
      </c>
      <c r="V6452" s="2">
        <v>231</v>
      </c>
      <c r="W6452" t="s">
        <v>4655</v>
      </c>
      <c r="X6452" s="2">
        <v>0</v>
      </c>
      <c r="Y6452">
        <v>20</v>
      </c>
      <c r="Z6452" t="s">
        <v>5107</v>
      </c>
      <c r="AA6452" s="3">
        <v>5.5165290832519497E-2</v>
      </c>
      <c r="AB6452" t="s">
        <v>31101</v>
      </c>
      <c r="AC6452" t="s">
        <v>4562</v>
      </c>
      <c r="AD6452" t="s">
        <v>31102</v>
      </c>
      <c r="AE6452" t="s">
        <v>4655</v>
      </c>
      <c r="AF6452" t="s">
        <v>4563</v>
      </c>
      <c r="AG6452" t="s">
        <v>4564</v>
      </c>
      <c r="AH6452">
        <v>89502</v>
      </c>
      <c r="AI6452" t="s">
        <v>3541</v>
      </c>
      <c r="AJ6452" t="s">
        <v>1594</v>
      </c>
      <c r="AK6452" t="s">
        <v>31103</v>
      </c>
      <c r="AL6452" s="13" t="s">
        <v>2257</v>
      </c>
      <c r="AM6452" s="14">
        <v>1</v>
      </c>
      <c r="AN6452" s="15" t="s">
        <v>1595</v>
      </c>
    </row>
    <row r="6453" spans="1:40" x14ac:dyDescent="0.3">
      <c r="A6453" s="10" t="str">
        <f>HYPERLINK("http://www.washoecounty.gov/assessor/cama/?parid=240-053-10&amp;CardNumber=1","240-053-10")</f>
        <v>240-053-10</v>
      </c>
      <c r="B6453" t="s">
        <v>4655</v>
      </c>
      <c r="C6453" t="s">
        <v>31104</v>
      </c>
      <c r="D6453" s="1">
        <v>40302</v>
      </c>
      <c r="E6453" s="2">
        <v>139900</v>
      </c>
      <c r="F6453" t="s">
        <v>4567</v>
      </c>
      <c r="G6453" s="17" t="str">
        <f>HYPERLINK("https://www.washoecounty.gov/assessor/cama/?command=sales&amp;parid=24005310","3877839")</f>
        <v>3877839</v>
      </c>
      <c r="H6453" t="s">
        <v>1593</v>
      </c>
      <c r="I6453">
        <v>2007</v>
      </c>
      <c r="J6453">
        <v>2007</v>
      </c>
      <c r="K6453" t="s">
        <v>4554</v>
      </c>
      <c r="L6453" t="s">
        <v>3974</v>
      </c>
      <c r="M6453" s="2">
        <v>1129</v>
      </c>
      <c r="N6453" t="s">
        <v>5280</v>
      </c>
      <c r="O6453">
        <v>2</v>
      </c>
      <c r="P6453">
        <v>1</v>
      </c>
      <c r="Q6453">
        <v>1</v>
      </c>
      <c r="R6453" t="s">
        <v>5281</v>
      </c>
      <c r="S6453" t="s">
        <v>4135</v>
      </c>
      <c r="T6453" t="s">
        <v>4559</v>
      </c>
      <c r="U6453" t="s">
        <v>5631</v>
      </c>
      <c r="V6453" s="2">
        <v>231</v>
      </c>
      <c r="W6453" t="s">
        <v>4655</v>
      </c>
      <c r="X6453" s="2">
        <v>0</v>
      </c>
      <c r="Y6453">
        <v>20</v>
      </c>
      <c r="Z6453" t="s">
        <v>5107</v>
      </c>
      <c r="AA6453" s="3">
        <v>6.9100089371204404E-2</v>
      </c>
      <c r="AB6453" t="s">
        <v>31105</v>
      </c>
      <c r="AC6453" t="s">
        <v>4562</v>
      </c>
      <c r="AD6453" t="s">
        <v>31106</v>
      </c>
      <c r="AE6453" t="s">
        <v>4655</v>
      </c>
      <c r="AF6453" t="s">
        <v>4563</v>
      </c>
      <c r="AG6453" t="s">
        <v>4564</v>
      </c>
      <c r="AH6453">
        <v>89504</v>
      </c>
      <c r="AI6453" t="s">
        <v>3541</v>
      </c>
      <c r="AJ6453" t="s">
        <v>1594</v>
      </c>
      <c r="AK6453" t="s">
        <v>31107</v>
      </c>
      <c r="AL6453" s="13" t="s">
        <v>2257</v>
      </c>
      <c r="AM6453" s="14">
        <v>1</v>
      </c>
      <c r="AN6453" s="15" t="s">
        <v>1595</v>
      </c>
    </row>
    <row r="6454" spans="1:40" x14ac:dyDescent="0.3">
      <c r="A6454" s="10" t="str">
        <f>HYPERLINK("http://www.washoecounty.gov/assessor/cama/?parid=240-054-01&amp;CardNumber=1","240-054-01")</f>
        <v>240-054-01</v>
      </c>
      <c r="B6454" t="s">
        <v>4655</v>
      </c>
      <c r="C6454" t="s">
        <v>31108</v>
      </c>
      <c r="D6454" s="1">
        <v>40242</v>
      </c>
      <c r="E6454" s="2">
        <v>160600</v>
      </c>
      <c r="F6454" t="s">
        <v>4567</v>
      </c>
      <c r="G6454" s="17" t="str">
        <f>HYPERLINK("https://www.washoecounty.gov/assessor/cama/?command=sales&amp;parid=24005401","3856464")</f>
        <v>3856464</v>
      </c>
      <c r="H6454" t="s">
        <v>1593</v>
      </c>
      <c r="I6454">
        <v>2006</v>
      </c>
      <c r="J6454">
        <v>2006</v>
      </c>
      <c r="K6454" t="s">
        <v>4897</v>
      </c>
      <c r="L6454" t="s">
        <v>3974</v>
      </c>
      <c r="M6454" s="2">
        <v>1722</v>
      </c>
      <c r="N6454" t="s">
        <v>5280</v>
      </c>
      <c r="O6454">
        <v>3</v>
      </c>
      <c r="P6454">
        <v>3</v>
      </c>
      <c r="Q6454">
        <v>0</v>
      </c>
      <c r="R6454" t="s">
        <v>5281</v>
      </c>
      <c r="S6454" t="s">
        <v>4135</v>
      </c>
      <c r="T6454" t="s">
        <v>2704</v>
      </c>
      <c r="U6454" t="s">
        <v>5631</v>
      </c>
      <c r="V6454" s="2">
        <v>464</v>
      </c>
      <c r="W6454" t="s">
        <v>4655</v>
      </c>
      <c r="X6454" s="2">
        <v>0</v>
      </c>
      <c r="Y6454">
        <v>20</v>
      </c>
      <c r="Z6454" t="s">
        <v>5107</v>
      </c>
      <c r="AA6454" s="3">
        <v>5.6473828852176701E-2</v>
      </c>
      <c r="AB6454" t="s">
        <v>31109</v>
      </c>
      <c r="AC6454" t="s">
        <v>4575</v>
      </c>
      <c r="AD6454" t="s">
        <v>31108</v>
      </c>
      <c r="AE6454" t="s">
        <v>4655</v>
      </c>
      <c r="AF6454" t="s">
        <v>4563</v>
      </c>
      <c r="AG6454" t="s">
        <v>4564</v>
      </c>
      <c r="AH6454">
        <v>89502</v>
      </c>
      <c r="AI6454" t="s">
        <v>3541</v>
      </c>
      <c r="AJ6454" t="s">
        <v>1594</v>
      </c>
      <c r="AK6454" t="s">
        <v>31110</v>
      </c>
      <c r="AL6454" s="13" t="s">
        <v>2257</v>
      </c>
      <c r="AM6454" s="14">
        <v>1</v>
      </c>
      <c r="AN6454" s="15" t="s">
        <v>1595</v>
      </c>
    </row>
    <row r="6455" spans="1:40" x14ac:dyDescent="0.3">
      <c r="A6455" s="10" t="str">
        <f>HYPERLINK("http://www.washoecounty.gov/assessor/cama/?parid=240-054-02&amp;CardNumber=1","240-054-02")</f>
        <v>240-054-02</v>
      </c>
      <c r="B6455" t="s">
        <v>4655</v>
      </c>
      <c r="C6455" t="s">
        <v>31111</v>
      </c>
      <c r="D6455" s="1">
        <v>40283</v>
      </c>
      <c r="E6455" s="2">
        <v>159700</v>
      </c>
      <c r="F6455" t="s">
        <v>4567</v>
      </c>
      <c r="G6455" s="17" t="str">
        <f>HYPERLINK("https://www.washoecounty.gov/assessor/cama/?command=sales&amp;parid=24005402","3871580")</f>
        <v>3871580</v>
      </c>
      <c r="H6455" t="s">
        <v>1593</v>
      </c>
      <c r="I6455">
        <v>2006</v>
      </c>
      <c r="J6455">
        <v>2006</v>
      </c>
      <c r="K6455" t="s">
        <v>4897</v>
      </c>
      <c r="L6455" t="s">
        <v>3974</v>
      </c>
      <c r="M6455" s="2">
        <v>1725</v>
      </c>
      <c r="N6455" t="s">
        <v>5280</v>
      </c>
      <c r="O6455">
        <v>4</v>
      </c>
      <c r="P6455">
        <v>3</v>
      </c>
      <c r="Q6455">
        <v>1</v>
      </c>
      <c r="R6455" t="s">
        <v>5281</v>
      </c>
      <c r="S6455" t="s">
        <v>4135</v>
      </c>
      <c r="T6455" t="s">
        <v>2704</v>
      </c>
      <c r="U6455" t="s">
        <v>5631</v>
      </c>
      <c r="V6455" s="2">
        <v>380</v>
      </c>
      <c r="W6455" t="s">
        <v>4655</v>
      </c>
      <c r="X6455" s="2">
        <v>0</v>
      </c>
      <c r="Y6455">
        <v>20</v>
      </c>
      <c r="Z6455" t="s">
        <v>5107</v>
      </c>
      <c r="AA6455" s="3">
        <v>5.6473828852176701E-2</v>
      </c>
      <c r="AB6455" t="s">
        <v>31112</v>
      </c>
      <c r="AC6455" t="s">
        <v>4575</v>
      </c>
      <c r="AD6455" t="s">
        <v>31113</v>
      </c>
      <c r="AE6455" t="s">
        <v>4655</v>
      </c>
      <c r="AF6455" t="s">
        <v>4563</v>
      </c>
      <c r="AG6455" t="s">
        <v>4564</v>
      </c>
      <c r="AH6455">
        <v>89502</v>
      </c>
      <c r="AI6455" t="s">
        <v>3541</v>
      </c>
      <c r="AJ6455" t="s">
        <v>1594</v>
      </c>
      <c r="AK6455" t="s">
        <v>31114</v>
      </c>
      <c r="AL6455" s="13" t="s">
        <v>2257</v>
      </c>
      <c r="AM6455" s="14">
        <v>1</v>
      </c>
      <c r="AN6455" s="15" t="s">
        <v>1595</v>
      </c>
    </row>
    <row r="6456" spans="1:40" x14ac:dyDescent="0.3">
      <c r="A6456" s="10" t="str">
        <f>HYPERLINK("http://www.washoecounty.gov/assessor/cama/?parid=240-061-05&amp;CardNumber=1","240-061-05")</f>
        <v>240-061-05</v>
      </c>
      <c r="B6456" t="s">
        <v>4655</v>
      </c>
      <c r="C6456" t="s">
        <v>31115</v>
      </c>
      <c r="D6456" s="1">
        <v>40368</v>
      </c>
      <c r="E6456" s="2">
        <v>135000</v>
      </c>
      <c r="F6456" t="s">
        <v>4567</v>
      </c>
      <c r="G6456" s="17" t="str">
        <f>HYPERLINK("https://www.washoecounty.gov/assessor/cama/?command=sales&amp;parid=24006105","3899706")</f>
        <v>3899706</v>
      </c>
      <c r="H6456" t="s">
        <v>1593</v>
      </c>
      <c r="I6456">
        <v>2006</v>
      </c>
      <c r="J6456">
        <v>2006</v>
      </c>
      <c r="K6456" t="s">
        <v>4897</v>
      </c>
      <c r="L6456" t="s">
        <v>3974</v>
      </c>
      <c r="M6456" s="2">
        <v>1419</v>
      </c>
      <c r="N6456" t="s">
        <v>5280</v>
      </c>
      <c r="O6456">
        <v>3</v>
      </c>
      <c r="P6456">
        <v>2</v>
      </c>
      <c r="Q6456">
        <v>1</v>
      </c>
      <c r="R6456" t="s">
        <v>5281</v>
      </c>
      <c r="S6456" t="s">
        <v>4135</v>
      </c>
      <c r="T6456" t="s">
        <v>4559</v>
      </c>
      <c r="U6456" t="s">
        <v>5631</v>
      </c>
      <c r="V6456" s="2">
        <v>420</v>
      </c>
      <c r="W6456" t="s">
        <v>4655</v>
      </c>
      <c r="X6456" s="2">
        <v>0</v>
      </c>
      <c r="Y6456">
        <v>20</v>
      </c>
      <c r="Z6456" t="s">
        <v>5107</v>
      </c>
      <c r="AA6456" s="3">
        <v>6.6804409027099595E-2</v>
      </c>
      <c r="AB6456" t="s">
        <v>31116</v>
      </c>
      <c r="AC6456" t="s">
        <v>4562</v>
      </c>
      <c r="AD6456" t="s">
        <v>31115</v>
      </c>
      <c r="AE6456" t="s">
        <v>4655</v>
      </c>
      <c r="AF6456" t="s">
        <v>4563</v>
      </c>
      <c r="AG6456" t="s">
        <v>4564</v>
      </c>
      <c r="AH6456">
        <v>89502</v>
      </c>
      <c r="AI6456" t="s">
        <v>31117</v>
      </c>
      <c r="AJ6456" t="s">
        <v>1594</v>
      </c>
      <c r="AK6456" t="s">
        <v>31118</v>
      </c>
      <c r="AL6456" s="13" t="s">
        <v>2257</v>
      </c>
      <c r="AM6456" s="14">
        <v>1</v>
      </c>
      <c r="AN6456" s="15" t="s">
        <v>1595</v>
      </c>
    </row>
    <row r="6457" spans="1:40" x14ac:dyDescent="0.3">
      <c r="A6457" s="10" t="str">
        <f>HYPERLINK("http://www.washoecounty.gov/assessor/cama/?parid=240-062-05&amp;CardNumber=1","240-062-05")</f>
        <v>240-062-05</v>
      </c>
      <c r="B6457" t="s">
        <v>4655</v>
      </c>
      <c r="C6457" t="s">
        <v>31119</v>
      </c>
      <c r="D6457" s="1">
        <v>40333</v>
      </c>
      <c r="E6457" s="2">
        <v>135000</v>
      </c>
      <c r="F6457" t="s">
        <v>4567</v>
      </c>
      <c r="G6457" s="17" t="str">
        <f>HYPERLINK("https://www.washoecounty.gov/assessor/cama/?command=sales&amp;parid=24006205","3888481")</f>
        <v>3888481</v>
      </c>
      <c r="H6457" t="s">
        <v>1593</v>
      </c>
      <c r="I6457">
        <v>2006</v>
      </c>
      <c r="J6457">
        <v>2006</v>
      </c>
      <c r="K6457" t="s">
        <v>4897</v>
      </c>
      <c r="L6457" t="s">
        <v>3974</v>
      </c>
      <c r="M6457" s="2">
        <v>1223</v>
      </c>
      <c r="N6457" t="s">
        <v>5280</v>
      </c>
      <c r="O6457">
        <v>3</v>
      </c>
      <c r="P6457">
        <v>2</v>
      </c>
      <c r="Q6457">
        <v>1</v>
      </c>
      <c r="R6457" t="s">
        <v>5281</v>
      </c>
      <c r="S6457" t="s">
        <v>4135</v>
      </c>
      <c r="T6457" t="s">
        <v>4559</v>
      </c>
      <c r="U6457" t="s">
        <v>5631</v>
      </c>
      <c r="V6457" s="2">
        <v>420</v>
      </c>
      <c r="W6457" t="s">
        <v>4655</v>
      </c>
      <c r="X6457" s="2">
        <v>0</v>
      </c>
      <c r="Y6457">
        <v>20</v>
      </c>
      <c r="Z6457" t="s">
        <v>5107</v>
      </c>
      <c r="AA6457" s="3">
        <v>5.5096417665481602E-2</v>
      </c>
      <c r="AB6457" t="s">
        <v>31120</v>
      </c>
      <c r="AC6457" t="s">
        <v>4562</v>
      </c>
      <c r="AD6457" t="s">
        <v>31119</v>
      </c>
      <c r="AE6457" t="s">
        <v>4655</v>
      </c>
      <c r="AF6457" t="s">
        <v>4563</v>
      </c>
      <c r="AG6457" t="s">
        <v>4564</v>
      </c>
      <c r="AH6457">
        <v>89502</v>
      </c>
      <c r="AI6457" t="s">
        <v>31121</v>
      </c>
      <c r="AJ6457" t="s">
        <v>1594</v>
      </c>
      <c r="AK6457" t="s">
        <v>31122</v>
      </c>
      <c r="AL6457" s="13" t="s">
        <v>2257</v>
      </c>
      <c r="AM6457" s="14">
        <v>1</v>
      </c>
      <c r="AN6457" s="15" t="s">
        <v>1595</v>
      </c>
    </row>
    <row r="6458" spans="1:40" x14ac:dyDescent="0.3">
      <c r="A6458" s="10" t="str">
        <f>HYPERLINK("http://www.washoecounty.gov/assessor/cama/?parid=240-062-08&amp;CardNumber=1","240-062-08")</f>
        <v>240-062-08</v>
      </c>
      <c r="B6458" t="s">
        <v>4655</v>
      </c>
      <c r="C6458" t="s">
        <v>31123</v>
      </c>
      <c r="D6458" s="1">
        <v>40382</v>
      </c>
      <c r="E6458" s="2">
        <v>117000</v>
      </c>
      <c r="F6458" t="s">
        <v>4567</v>
      </c>
      <c r="G6458" s="17" t="str">
        <f>HYPERLINK("https://www.washoecounty.gov/assessor/cama/?command=sales&amp;parid=24006208","3904253")</f>
        <v>3904253</v>
      </c>
      <c r="H6458" t="s">
        <v>1593</v>
      </c>
      <c r="I6458">
        <v>2006</v>
      </c>
      <c r="J6458">
        <v>2006</v>
      </c>
      <c r="K6458" t="s">
        <v>4897</v>
      </c>
      <c r="L6458" t="s">
        <v>3974</v>
      </c>
      <c r="M6458" s="2">
        <v>1129</v>
      </c>
      <c r="N6458" t="s">
        <v>5280</v>
      </c>
      <c r="O6458">
        <v>2</v>
      </c>
      <c r="P6458">
        <v>1</v>
      </c>
      <c r="Q6458">
        <v>1</v>
      </c>
      <c r="R6458" t="s">
        <v>5281</v>
      </c>
      <c r="S6458" t="s">
        <v>4135</v>
      </c>
      <c r="T6458" t="s">
        <v>4559</v>
      </c>
      <c r="U6458" t="s">
        <v>5631</v>
      </c>
      <c r="V6458" s="2">
        <v>231</v>
      </c>
      <c r="W6458" t="s">
        <v>4655</v>
      </c>
      <c r="X6458" s="2">
        <v>0</v>
      </c>
      <c r="Y6458">
        <v>20</v>
      </c>
      <c r="Z6458" t="s">
        <v>5107</v>
      </c>
      <c r="AA6458" s="3">
        <v>7.5665749609470395E-2</v>
      </c>
      <c r="AB6458" t="s">
        <v>31124</v>
      </c>
      <c r="AC6458" t="s">
        <v>4562</v>
      </c>
      <c r="AD6458" t="s">
        <v>31123</v>
      </c>
      <c r="AE6458" t="s">
        <v>4655</v>
      </c>
      <c r="AF6458" t="s">
        <v>4563</v>
      </c>
      <c r="AG6458" t="s">
        <v>4564</v>
      </c>
      <c r="AH6458">
        <v>89502</v>
      </c>
      <c r="AI6458" t="s">
        <v>31125</v>
      </c>
      <c r="AJ6458" t="s">
        <v>1594</v>
      </c>
      <c r="AK6458" t="s">
        <v>31126</v>
      </c>
      <c r="AL6458" s="13" t="s">
        <v>2257</v>
      </c>
      <c r="AM6458">
        <v>1</v>
      </c>
      <c r="AN6458" s="15" t="s">
        <v>1595</v>
      </c>
    </row>
    <row r="6459" spans="1:40" x14ac:dyDescent="0.3">
      <c r="A6459" s="10" t="str">
        <f>HYPERLINK("http://www.washoecounty.gov/assessor/cama/?parid=240-062-14&amp;CardNumber=1","240-062-14")</f>
        <v>240-062-14</v>
      </c>
      <c r="B6459" t="s">
        <v>4655</v>
      </c>
      <c r="C6459" t="s">
        <v>31127</v>
      </c>
      <c r="D6459" s="1">
        <v>40256</v>
      </c>
      <c r="E6459" s="2">
        <v>117000</v>
      </c>
      <c r="F6459" t="s">
        <v>4567</v>
      </c>
      <c r="G6459" s="17" t="str">
        <f>HYPERLINK("https://www.washoecounty.gov/assessor/cama/?command=sales&amp;parid=24006214","3861643")</f>
        <v>3861643</v>
      </c>
      <c r="H6459" t="s">
        <v>1593</v>
      </c>
      <c r="I6459">
        <v>2006</v>
      </c>
      <c r="J6459">
        <v>2006</v>
      </c>
      <c r="K6459" t="s">
        <v>4897</v>
      </c>
      <c r="L6459" t="s">
        <v>3974</v>
      </c>
      <c r="M6459" s="2">
        <v>1129</v>
      </c>
      <c r="N6459" t="s">
        <v>5280</v>
      </c>
      <c r="O6459">
        <v>2</v>
      </c>
      <c r="P6459">
        <v>1</v>
      </c>
      <c r="Q6459">
        <v>1</v>
      </c>
      <c r="R6459" t="s">
        <v>5281</v>
      </c>
      <c r="S6459" t="s">
        <v>4135</v>
      </c>
      <c r="T6459" t="s">
        <v>4559</v>
      </c>
      <c r="U6459" t="s">
        <v>5631</v>
      </c>
      <c r="V6459" s="2">
        <v>231</v>
      </c>
      <c r="W6459" t="s">
        <v>4655</v>
      </c>
      <c r="X6459" s="2">
        <v>0</v>
      </c>
      <c r="Y6459">
        <v>20</v>
      </c>
      <c r="Z6459" t="s">
        <v>5107</v>
      </c>
      <c r="AA6459" s="3">
        <v>5.5234160274267197E-2</v>
      </c>
      <c r="AB6459" t="s">
        <v>31128</v>
      </c>
      <c r="AC6459" t="s">
        <v>4562</v>
      </c>
      <c r="AD6459" t="s">
        <v>31127</v>
      </c>
      <c r="AE6459" t="s">
        <v>4655</v>
      </c>
      <c r="AF6459" t="s">
        <v>4563</v>
      </c>
      <c r="AG6459" t="s">
        <v>4564</v>
      </c>
      <c r="AH6459">
        <v>89502</v>
      </c>
      <c r="AI6459" t="s">
        <v>31129</v>
      </c>
      <c r="AJ6459" t="s">
        <v>1594</v>
      </c>
      <c r="AK6459" t="s">
        <v>31130</v>
      </c>
      <c r="AL6459" s="13" t="s">
        <v>2257</v>
      </c>
      <c r="AM6459">
        <v>1</v>
      </c>
      <c r="AN6459" s="15" t="s">
        <v>1595</v>
      </c>
    </row>
    <row r="6460" spans="1:40" x14ac:dyDescent="0.3">
      <c r="A6460" s="10" t="str">
        <f>HYPERLINK("http://www.washoecounty.gov/assessor/cama/?parid=240-063-01&amp;CardNumber=1","240-063-01")</f>
        <v>240-063-01</v>
      </c>
      <c r="B6460" t="s">
        <v>4655</v>
      </c>
      <c r="C6460" t="s">
        <v>31131</v>
      </c>
      <c r="D6460" s="1">
        <v>40182</v>
      </c>
      <c r="E6460" s="2">
        <v>168155</v>
      </c>
      <c r="F6460" t="s">
        <v>4567</v>
      </c>
      <c r="G6460" s="17" t="str">
        <f>HYPERLINK("https://www.washoecounty.gov/assessor/cama/?command=sales&amp;parid=24006301","3836163")</f>
        <v>3836163</v>
      </c>
      <c r="H6460" t="s">
        <v>1593</v>
      </c>
      <c r="I6460">
        <v>2006</v>
      </c>
      <c r="J6460">
        <v>2006</v>
      </c>
      <c r="K6460" t="s">
        <v>4897</v>
      </c>
      <c r="L6460" t="s">
        <v>3974</v>
      </c>
      <c r="M6460" s="2">
        <v>1736</v>
      </c>
      <c r="N6460" t="s">
        <v>5280</v>
      </c>
      <c r="O6460">
        <v>4</v>
      </c>
      <c r="P6460">
        <v>3</v>
      </c>
      <c r="Q6460">
        <v>0</v>
      </c>
      <c r="R6460" t="s">
        <v>5281</v>
      </c>
      <c r="S6460" t="s">
        <v>4135</v>
      </c>
      <c r="T6460" t="s">
        <v>4559</v>
      </c>
      <c r="U6460" t="s">
        <v>5631</v>
      </c>
      <c r="V6460" s="2">
        <v>380</v>
      </c>
      <c r="W6460" t="s">
        <v>4655</v>
      </c>
      <c r="X6460" s="2">
        <v>0</v>
      </c>
      <c r="Y6460">
        <v>20</v>
      </c>
      <c r="Z6460" t="s">
        <v>5107</v>
      </c>
      <c r="AA6460" s="3">
        <v>7.0179060101509094E-2</v>
      </c>
      <c r="AB6460" t="s">
        <v>31132</v>
      </c>
      <c r="AC6460" t="s">
        <v>4562</v>
      </c>
      <c r="AD6460" t="s">
        <v>31131</v>
      </c>
      <c r="AE6460" t="s">
        <v>4655</v>
      </c>
      <c r="AF6460" t="s">
        <v>4563</v>
      </c>
      <c r="AG6460" t="s">
        <v>4564</v>
      </c>
      <c r="AH6460">
        <v>89502</v>
      </c>
      <c r="AI6460" t="s">
        <v>31133</v>
      </c>
      <c r="AJ6460" t="s">
        <v>1594</v>
      </c>
      <c r="AK6460" t="s">
        <v>31134</v>
      </c>
      <c r="AL6460" s="13" t="s">
        <v>2257</v>
      </c>
      <c r="AM6460">
        <v>1</v>
      </c>
      <c r="AN6460" s="15" t="s">
        <v>1595</v>
      </c>
    </row>
    <row r="6461" spans="1:40" x14ac:dyDescent="0.3">
      <c r="A6461" s="10" t="str">
        <f>HYPERLINK("http://www.washoecounty.gov/assessor/cama/?parid=240-063-02&amp;CardNumber=1","240-063-02")</f>
        <v>240-063-02</v>
      </c>
      <c r="B6461" t="s">
        <v>4655</v>
      </c>
      <c r="C6461" t="s">
        <v>31135</v>
      </c>
      <c r="D6461" s="1">
        <v>40269</v>
      </c>
      <c r="E6461" s="2">
        <v>171450</v>
      </c>
      <c r="F6461" t="s">
        <v>4567</v>
      </c>
      <c r="G6461" s="17" t="str">
        <f>HYPERLINK("https://www.washoecounty.gov/assessor/cama/?command=sales&amp;parid=24006302","3866944")</f>
        <v>3866944</v>
      </c>
      <c r="H6461" t="s">
        <v>1593</v>
      </c>
      <c r="I6461">
        <v>2006</v>
      </c>
      <c r="J6461">
        <v>2006</v>
      </c>
      <c r="K6461" t="s">
        <v>4897</v>
      </c>
      <c r="L6461" t="s">
        <v>3974</v>
      </c>
      <c r="M6461" s="2">
        <v>1725</v>
      </c>
      <c r="N6461" t="s">
        <v>5280</v>
      </c>
      <c r="O6461">
        <v>4</v>
      </c>
      <c r="P6461">
        <v>3</v>
      </c>
      <c r="Q6461">
        <v>0</v>
      </c>
      <c r="R6461" t="s">
        <v>5281</v>
      </c>
      <c r="S6461" t="s">
        <v>4135</v>
      </c>
      <c r="T6461" t="s">
        <v>4559</v>
      </c>
      <c r="U6461" t="s">
        <v>5631</v>
      </c>
      <c r="V6461" s="2">
        <v>380</v>
      </c>
      <c r="W6461" t="s">
        <v>4655</v>
      </c>
      <c r="X6461" s="2">
        <v>0</v>
      </c>
      <c r="Y6461">
        <v>20</v>
      </c>
      <c r="Z6461" t="s">
        <v>5107</v>
      </c>
      <c r="AA6461" s="3">
        <v>7.0179060101509094E-2</v>
      </c>
      <c r="AB6461" t="s">
        <v>31136</v>
      </c>
      <c r="AC6461" t="s">
        <v>4575</v>
      </c>
      <c r="AD6461" t="s">
        <v>31137</v>
      </c>
      <c r="AE6461" t="s">
        <v>4655</v>
      </c>
      <c r="AF6461" t="s">
        <v>4563</v>
      </c>
      <c r="AG6461" t="s">
        <v>4564</v>
      </c>
      <c r="AH6461">
        <v>89502</v>
      </c>
      <c r="AI6461" t="s">
        <v>31133</v>
      </c>
      <c r="AJ6461" t="s">
        <v>1594</v>
      </c>
      <c r="AK6461" t="s">
        <v>31138</v>
      </c>
      <c r="AL6461" s="13" t="s">
        <v>2257</v>
      </c>
      <c r="AM6461" s="14">
        <v>1</v>
      </c>
      <c r="AN6461" s="15" t="s">
        <v>1595</v>
      </c>
    </row>
    <row r="6462" spans="1:40" x14ac:dyDescent="0.3">
      <c r="A6462" s="10" t="str">
        <f>HYPERLINK("http://www.washoecounty.gov/assessor/cama/?parid=240-063-14&amp;CardNumber=1","240-063-14")</f>
        <v>240-063-14</v>
      </c>
      <c r="B6462" t="s">
        <v>4655</v>
      </c>
      <c r="C6462" t="s">
        <v>31139</v>
      </c>
      <c r="D6462" s="1">
        <v>40239</v>
      </c>
      <c r="E6462" s="2">
        <v>158800</v>
      </c>
      <c r="F6462" t="s">
        <v>4567</v>
      </c>
      <c r="G6462" s="17" t="str">
        <f>HYPERLINK("https://www.washoecounty.gov/assessor/cama/?command=sales&amp;parid=24006314","3854312")</f>
        <v>3854312</v>
      </c>
      <c r="H6462" t="s">
        <v>1593</v>
      </c>
      <c r="I6462">
        <v>2006</v>
      </c>
      <c r="J6462">
        <v>2006</v>
      </c>
      <c r="K6462" t="s">
        <v>4897</v>
      </c>
      <c r="L6462" t="s">
        <v>3974</v>
      </c>
      <c r="M6462" s="2">
        <v>1736</v>
      </c>
      <c r="N6462" t="s">
        <v>5280</v>
      </c>
      <c r="O6462">
        <v>4</v>
      </c>
      <c r="P6462">
        <v>3</v>
      </c>
      <c r="Q6462">
        <v>0</v>
      </c>
      <c r="R6462" t="s">
        <v>5281</v>
      </c>
      <c r="S6462" t="s">
        <v>4135</v>
      </c>
      <c r="T6462" t="s">
        <v>2704</v>
      </c>
      <c r="U6462" t="s">
        <v>5631</v>
      </c>
      <c r="V6462" s="2">
        <v>380</v>
      </c>
      <c r="W6462" t="s">
        <v>4655</v>
      </c>
      <c r="X6462" s="2">
        <v>0</v>
      </c>
      <c r="Y6462">
        <v>20</v>
      </c>
      <c r="Z6462" t="s">
        <v>5107</v>
      </c>
      <c r="AA6462" s="3">
        <v>5.6473828852176701E-2</v>
      </c>
      <c r="AB6462" t="s">
        <v>31140</v>
      </c>
      <c r="AC6462" t="s">
        <v>4562</v>
      </c>
      <c r="AD6462" t="s">
        <v>31141</v>
      </c>
      <c r="AE6462" t="s">
        <v>4655</v>
      </c>
      <c r="AF6462" t="s">
        <v>2753</v>
      </c>
      <c r="AG6462" t="s">
        <v>4584</v>
      </c>
      <c r="AH6462" t="s">
        <v>3540</v>
      </c>
      <c r="AI6462" t="s">
        <v>3541</v>
      </c>
      <c r="AJ6462" t="s">
        <v>1594</v>
      </c>
      <c r="AK6462" t="s">
        <v>31142</v>
      </c>
      <c r="AL6462" s="13" t="s">
        <v>2257</v>
      </c>
      <c r="AM6462">
        <v>1</v>
      </c>
      <c r="AN6462" s="15" t="s">
        <v>1595</v>
      </c>
    </row>
    <row r="6463" spans="1:40" x14ac:dyDescent="0.3">
      <c r="A6463" s="10" t="str">
        <f>HYPERLINK("http://www.washoecounty.gov/assessor/cama/?parid=240-073-02&amp;CardNumber=1","240-073-02")</f>
        <v>240-073-02</v>
      </c>
      <c r="B6463" t="s">
        <v>4655</v>
      </c>
      <c r="C6463" t="s">
        <v>31143</v>
      </c>
      <c r="D6463" s="1">
        <v>40221</v>
      </c>
      <c r="E6463" s="2">
        <v>139000</v>
      </c>
      <c r="F6463" t="s">
        <v>4567</v>
      </c>
      <c r="G6463" s="17" t="str">
        <f>HYPERLINK("https://www.washoecounty.gov/assessor/cama/?command=sales&amp;parid=24007302","3849001")</f>
        <v>3849001</v>
      </c>
      <c r="H6463" t="s">
        <v>1593</v>
      </c>
      <c r="I6463">
        <v>2006</v>
      </c>
      <c r="J6463">
        <v>2006</v>
      </c>
      <c r="K6463" t="s">
        <v>4897</v>
      </c>
      <c r="L6463" t="s">
        <v>3974</v>
      </c>
      <c r="M6463" s="2">
        <v>1223</v>
      </c>
      <c r="N6463" t="s">
        <v>5280</v>
      </c>
      <c r="O6463">
        <v>3</v>
      </c>
      <c r="P6463">
        <v>2</v>
      </c>
      <c r="Q6463">
        <v>1</v>
      </c>
      <c r="R6463" t="s">
        <v>5281</v>
      </c>
      <c r="S6463" t="s">
        <v>4135</v>
      </c>
      <c r="T6463" t="s">
        <v>4559</v>
      </c>
      <c r="U6463" t="s">
        <v>5631</v>
      </c>
      <c r="V6463" s="2">
        <v>420</v>
      </c>
      <c r="W6463" t="s">
        <v>4655</v>
      </c>
      <c r="X6463" s="2">
        <v>0</v>
      </c>
      <c r="Y6463">
        <v>20</v>
      </c>
      <c r="Z6463" t="s">
        <v>5107</v>
      </c>
      <c r="AA6463" s="3">
        <v>6.3085399568080902E-2</v>
      </c>
      <c r="AB6463" t="s">
        <v>31144</v>
      </c>
      <c r="AC6463" t="s">
        <v>4562</v>
      </c>
      <c r="AD6463" t="s">
        <v>31143</v>
      </c>
      <c r="AE6463" t="s">
        <v>4655</v>
      </c>
      <c r="AF6463" t="s">
        <v>4563</v>
      </c>
      <c r="AG6463" t="s">
        <v>4564</v>
      </c>
      <c r="AH6463">
        <v>89502</v>
      </c>
      <c r="AI6463" t="s">
        <v>31145</v>
      </c>
      <c r="AJ6463" t="s">
        <v>1594</v>
      </c>
      <c r="AK6463" t="s">
        <v>31146</v>
      </c>
      <c r="AL6463" s="13" t="s">
        <v>2257</v>
      </c>
      <c r="AM6463">
        <v>1</v>
      </c>
      <c r="AN6463" s="15" t="s">
        <v>1595</v>
      </c>
    </row>
    <row r="6464" spans="1:40" x14ac:dyDescent="0.3">
      <c r="A6464" s="10" t="str">
        <f>HYPERLINK("http://www.washoecounty.gov/assessor/cama/?parid=240-074-02&amp;CardNumber=1","240-074-02")</f>
        <v>240-074-02</v>
      </c>
      <c r="B6464" t="s">
        <v>4655</v>
      </c>
      <c r="C6464" t="s">
        <v>31147</v>
      </c>
      <c r="D6464" s="1">
        <v>40226</v>
      </c>
      <c r="E6464" s="2">
        <v>135000</v>
      </c>
      <c r="F6464" t="s">
        <v>4567</v>
      </c>
      <c r="G6464" s="17" t="str">
        <f>HYPERLINK("https://www.washoecounty.gov/assessor/cama/?command=sales&amp;parid=24007402","3850258")</f>
        <v>3850258</v>
      </c>
      <c r="H6464" t="s">
        <v>1593</v>
      </c>
      <c r="I6464">
        <v>2006</v>
      </c>
      <c r="J6464">
        <v>2006</v>
      </c>
      <c r="K6464" t="s">
        <v>4897</v>
      </c>
      <c r="L6464" t="s">
        <v>3974</v>
      </c>
      <c r="M6464" s="2">
        <v>1223</v>
      </c>
      <c r="N6464" t="s">
        <v>5280</v>
      </c>
      <c r="O6464">
        <v>3</v>
      </c>
      <c r="P6464">
        <v>2</v>
      </c>
      <c r="Q6464">
        <v>1</v>
      </c>
      <c r="R6464" t="s">
        <v>5281</v>
      </c>
      <c r="S6464" t="s">
        <v>4135</v>
      </c>
      <c r="T6464" t="s">
        <v>4559</v>
      </c>
      <c r="U6464" t="s">
        <v>5631</v>
      </c>
      <c r="V6464" s="2">
        <v>420</v>
      </c>
      <c r="W6464" t="s">
        <v>4655</v>
      </c>
      <c r="X6464" s="2">
        <v>0</v>
      </c>
      <c r="Y6464">
        <v>20</v>
      </c>
      <c r="Z6464" t="s">
        <v>5107</v>
      </c>
      <c r="AA6464" s="3">
        <v>6.5381079912185697E-2</v>
      </c>
      <c r="AB6464" t="s">
        <v>31148</v>
      </c>
      <c r="AC6464" t="s">
        <v>4562</v>
      </c>
      <c r="AD6464" t="s">
        <v>31147</v>
      </c>
      <c r="AE6464" t="s">
        <v>4655</v>
      </c>
      <c r="AF6464" t="s">
        <v>4563</v>
      </c>
      <c r="AG6464" t="s">
        <v>4564</v>
      </c>
      <c r="AH6464">
        <v>89502</v>
      </c>
      <c r="AI6464" t="s">
        <v>31149</v>
      </c>
      <c r="AJ6464" t="s">
        <v>1594</v>
      </c>
      <c r="AK6464" t="s">
        <v>31150</v>
      </c>
      <c r="AL6464" s="13" t="s">
        <v>2257</v>
      </c>
      <c r="AM6464" s="14">
        <v>1</v>
      </c>
      <c r="AN6464" s="15" t="s">
        <v>1595</v>
      </c>
    </row>
    <row r="6465" spans="1:40" x14ac:dyDescent="0.3">
      <c r="A6465" s="10" t="str">
        <f>HYPERLINK("http://www.washoecounty.gov/assessor/cama/?parid=400-012-01&amp;CardNumber=1","400-012-01")</f>
        <v>400-012-01</v>
      </c>
      <c r="B6465" t="s">
        <v>4655</v>
      </c>
      <c r="C6465" t="s">
        <v>31151</v>
      </c>
      <c r="D6465" s="1">
        <v>40403</v>
      </c>
      <c r="E6465" s="2">
        <v>149000</v>
      </c>
      <c r="F6465" t="s">
        <v>4567</v>
      </c>
      <c r="G6465" s="17" t="str">
        <f>HYPERLINK("https://www.washoecounty.gov/assessor/cama/?command=sales&amp;parid=40001201","3911681")</f>
        <v>3911681</v>
      </c>
      <c r="H6465" t="s">
        <v>31152</v>
      </c>
      <c r="I6465">
        <v>2004</v>
      </c>
      <c r="J6465">
        <v>2004</v>
      </c>
      <c r="K6465" t="s">
        <v>4554</v>
      </c>
      <c r="L6465" t="s">
        <v>3974</v>
      </c>
      <c r="M6465" s="2">
        <v>1482</v>
      </c>
      <c r="N6465" t="s">
        <v>3147</v>
      </c>
      <c r="O6465">
        <v>3</v>
      </c>
      <c r="P6465">
        <v>2</v>
      </c>
      <c r="Q6465">
        <v>1</v>
      </c>
      <c r="R6465" t="s">
        <v>5281</v>
      </c>
      <c r="S6465" t="s">
        <v>4898</v>
      </c>
      <c r="T6465" t="s">
        <v>2704</v>
      </c>
      <c r="U6465" t="s">
        <v>5631</v>
      </c>
      <c r="V6465" s="2">
        <v>420</v>
      </c>
      <c r="W6465" t="s">
        <v>4655</v>
      </c>
      <c r="X6465" s="2">
        <v>0</v>
      </c>
      <c r="Y6465">
        <v>20</v>
      </c>
      <c r="Z6465" t="s">
        <v>4144</v>
      </c>
      <c r="AA6465" s="3">
        <v>7.5000002980232197E-2</v>
      </c>
      <c r="AB6465" t="s">
        <v>31153</v>
      </c>
      <c r="AC6465" t="s">
        <v>4562</v>
      </c>
      <c r="AD6465" t="s">
        <v>31151</v>
      </c>
      <c r="AE6465" t="s">
        <v>4655</v>
      </c>
      <c r="AF6465" t="s">
        <v>4563</v>
      </c>
      <c r="AG6465" t="s">
        <v>4564</v>
      </c>
      <c r="AH6465" t="s">
        <v>1147</v>
      </c>
      <c r="AI6465" t="s">
        <v>31154</v>
      </c>
      <c r="AJ6465" t="s">
        <v>31155</v>
      </c>
      <c r="AK6465" t="s">
        <v>31156</v>
      </c>
      <c r="AL6465" s="13" t="s">
        <v>2255</v>
      </c>
      <c r="AM6465">
        <v>1</v>
      </c>
      <c r="AN6465" s="15" t="s">
        <v>5527</v>
      </c>
    </row>
    <row r="6466" spans="1:40" x14ac:dyDescent="0.3">
      <c r="A6466" s="10" t="str">
        <f>HYPERLINK("http://www.washoecounty.gov/assessor/cama/?parid=400-040-06&amp;CardNumber=1","400-040-06")</f>
        <v>400-040-06</v>
      </c>
      <c r="B6466" t="s">
        <v>4655</v>
      </c>
      <c r="C6466" t="s">
        <v>31157</v>
      </c>
      <c r="D6466" s="1">
        <v>40529</v>
      </c>
      <c r="E6466" s="2">
        <v>3300000</v>
      </c>
      <c r="F6466" t="s">
        <v>4187</v>
      </c>
      <c r="G6466" s="17" t="str">
        <f>HYPERLINK("https://www.washoecounty.gov/assessor/cama/?command=sales&amp;parid=40004006","3955062")</f>
        <v>3955062</v>
      </c>
      <c r="H6466" t="s">
        <v>31158</v>
      </c>
      <c r="I6466">
        <v>1994</v>
      </c>
      <c r="J6466">
        <v>1994</v>
      </c>
      <c r="K6466" t="s">
        <v>31159</v>
      </c>
      <c r="L6466" t="s">
        <v>1366</v>
      </c>
      <c r="M6466" s="2">
        <v>18514</v>
      </c>
      <c r="N6466" t="s">
        <v>1431</v>
      </c>
      <c r="O6466">
        <v>0</v>
      </c>
      <c r="P6466">
        <v>0</v>
      </c>
      <c r="Q6466">
        <v>0</v>
      </c>
      <c r="R6466" t="s">
        <v>1395</v>
      </c>
      <c r="S6466" t="s">
        <v>4856</v>
      </c>
      <c r="T6466" t="s">
        <v>4655</v>
      </c>
      <c r="U6466" t="s">
        <v>4655</v>
      </c>
      <c r="V6466" s="2">
        <v>0</v>
      </c>
      <c r="W6466" t="s">
        <v>4655</v>
      </c>
      <c r="X6466" s="2">
        <v>0</v>
      </c>
      <c r="Y6466">
        <v>40</v>
      </c>
      <c r="Z6466" t="s">
        <v>3288</v>
      </c>
      <c r="AA6466" s="3">
        <v>2.95000004768371</v>
      </c>
      <c r="AB6466" t="s">
        <v>31160</v>
      </c>
      <c r="AC6466" t="s">
        <v>4562</v>
      </c>
      <c r="AD6466" t="s">
        <v>31161</v>
      </c>
      <c r="AE6466" t="s">
        <v>4655</v>
      </c>
      <c r="AF6466" t="s">
        <v>4563</v>
      </c>
      <c r="AG6466" t="s">
        <v>4564</v>
      </c>
      <c r="AH6466">
        <v>89501</v>
      </c>
      <c r="AI6466" t="s">
        <v>31162</v>
      </c>
      <c r="AJ6466" t="s">
        <v>31163</v>
      </c>
      <c r="AK6466" t="s">
        <v>31164</v>
      </c>
      <c r="AL6466" s="13" t="s">
        <v>2257</v>
      </c>
      <c r="AM6466">
        <v>1</v>
      </c>
      <c r="AN6466" s="15" t="s">
        <v>31165</v>
      </c>
    </row>
    <row r="6467" spans="1:40" x14ac:dyDescent="0.3">
      <c r="A6467" s="10" t="str">
        <f>HYPERLINK("http://www.washoecounty.gov/assessor/cama/?parid=400-052-12&amp;CardNumber=1","400-052-12")</f>
        <v>400-052-12</v>
      </c>
      <c r="B6467" t="s">
        <v>4655</v>
      </c>
      <c r="C6467" t="s">
        <v>31166</v>
      </c>
      <c r="D6467" s="1">
        <v>40263</v>
      </c>
      <c r="E6467" s="2">
        <v>235000</v>
      </c>
      <c r="F6467" t="s">
        <v>4567</v>
      </c>
      <c r="G6467" s="17" t="str">
        <f>HYPERLINK("https://www.washoecounty.gov/assessor/cama/?command=sales&amp;parid=40005212","3864333")</f>
        <v>3864333</v>
      </c>
      <c r="H6467" t="s">
        <v>5559</v>
      </c>
      <c r="I6467">
        <v>1989</v>
      </c>
      <c r="J6467">
        <v>1989</v>
      </c>
      <c r="K6467" t="s">
        <v>4554</v>
      </c>
      <c r="L6467" t="s">
        <v>3974</v>
      </c>
      <c r="M6467" s="2">
        <v>2160</v>
      </c>
      <c r="N6467" t="s">
        <v>5280</v>
      </c>
      <c r="O6467">
        <v>4</v>
      </c>
      <c r="P6467">
        <v>2</v>
      </c>
      <c r="Q6467">
        <v>1</v>
      </c>
      <c r="R6467" t="s">
        <v>5281</v>
      </c>
      <c r="S6467" t="s">
        <v>4558</v>
      </c>
      <c r="T6467" t="s">
        <v>4559</v>
      </c>
      <c r="U6467" t="s">
        <v>5631</v>
      </c>
      <c r="V6467" s="2">
        <v>432</v>
      </c>
      <c r="W6467" t="s">
        <v>4655</v>
      </c>
      <c r="X6467" s="2">
        <v>0</v>
      </c>
      <c r="Y6467">
        <v>20</v>
      </c>
      <c r="Z6467" t="s">
        <v>4561</v>
      </c>
      <c r="AA6467" s="3">
        <v>0.12699724733829501</v>
      </c>
      <c r="AB6467" t="s">
        <v>31167</v>
      </c>
      <c r="AC6467" t="s">
        <v>4562</v>
      </c>
      <c r="AD6467" t="s">
        <v>31166</v>
      </c>
      <c r="AE6467" t="s">
        <v>4655</v>
      </c>
      <c r="AF6467" t="s">
        <v>4563</v>
      </c>
      <c r="AG6467" t="s">
        <v>4564</v>
      </c>
      <c r="AH6467" t="s">
        <v>1147</v>
      </c>
      <c r="AI6467" t="s">
        <v>31168</v>
      </c>
      <c r="AJ6467" t="s">
        <v>4655</v>
      </c>
      <c r="AK6467" t="s">
        <v>31169</v>
      </c>
      <c r="AL6467" s="13" t="s">
        <v>2257</v>
      </c>
      <c r="AM6467">
        <v>1</v>
      </c>
      <c r="AN6467" s="15" t="s">
        <v>5527</v>
      </c>
    </row>
    <row r="6468" spans="1:40" x14ac:dyDescent="0.3">
      <c r="A6468" s="10" t="str">
        <f>HYPERLINK("http://www.washoecounty.gov/assessor/cama/?parid=400-052-24&amp;CardNumber=1","400-052-24")</f>
        <v>400-052-24</v>
      </c>
      <c r="B6468" t="s">
        <v>4655</v>
      </c>
      <c r="C6468" t="s">
        <v>31170</v>
      </c>
      <c r="D6468" s="1">
        <v>40231</v>
      </c>
      <c r="E6468" s="2">
        <v>235000</v>
      </c>
      <c r="F6468" t="s">
        <v>4567</v>
      </c>
      <c r="G6468" s="17" t="str">
        <f>HYPERLINK("https://www.washoecounty.gov/assessor/cama/?command=sales&amp;parid=40005224","3851320")</f>
        <v>3851320</v>
      </c>
      <c r="H6468" t="s">
        <v>5559</v>
      </c>
      <c r="I6468">
        <v>1988</v>
      </c>
      <c r="J6468">
        <v>1988</v>
      </c>
      <c r="K6468" t="s">
        <v>4554</v>
      </c>
      <c r="L6468" t="s">
        <v>3974</v>
      </c>
      <c r="M6468" s="2">
        <v>2160</v>
      </c>
      <c r="N6468" t="s">
        <v>5280</v>
      </c>
      <c r="O6468">
        <v>4</v>
      </c>
      <c r="P6468">
        <v>2</v>
      </c>
      <c r="Q6468">
        <v>1</v>
      </c>
      <c r="R6468" t="s">
        <v>4557</v>
      </c>
      <c r="S6468" t="s">
        <v>4558</v>
      </c>
      <c r="T6468" t="s">
        <v>4559</v>
      </c>
      <c r="U6468" t="s">
        <v>5631</v>
      </c>
      <c r="V6468" s="2">
        <v>432</v>
      </c>
      <c r="W6468" t="s">
        <v>4655</v>
      </c>
      <c r="X6468" s="2">
        <v>0</v>
      </c>
      <c r="Y6468">
        <v>20</v>
      </c>
      <c r="Z6468" t="s">
        <v>4561</v>
      </c>
      <c r="AA6468" s="3">
        <v>0.15500459074974099</v>
      </c>
      <c r="AB6468" t="s">
        <v>31171</v>
      </c>
      <c r="AC6468" t="s">
        <v>4575</v>
      </c>
      <c r="AD6468" t="s">
        <v>31172</v>
      </c>
      <c r="AE6468" t="s">
        <v>4655</v>
      </c>
      <c r="AF6468" t="s">
        <v>4563</v>
      </c>
      <c r="AG6468" t="s">
        <v>4564</v>
      </c>
      <c r="AH6468" t="s">
        <v>1147</v>
      </c>
      <c r="AI6468" t="s">
        <v>31173</v>
      </c>
      <c r="AJ6468" t="s">
        <v>4655</v>
      </c>
      <c r="AK6468" t="s">
        <v>31174</v>
      </c>
      <c r="AL6468" s="13" t="s">
        <v>2257</v>
      </c>
      <c r="AM6468" s="14">
        <v>1</v>
      </c>
      <c r="AN6468" s="15" t="s">
        <v>5527</v>
      </c>
    </row>
    <row r="6469" spans="1:40" x14ac:dyDescent="0.3">
      <c r="A6469" s="10" t="str">
        <f>HYPERLINK("http://www.washoecounty.gov/assessor/cama/?parid=400-053-05&amp;CardNumber=1","400-053-05")</f>
        <v>400-053-05</v>
      </c>
      <c r="B6469" t="s">
        <v>4655</v>
      </c>
      <c r="C6469" t="s">
        <v>31175</v>
      </c>
      <c r="D6469" s="1">
        <v>40435</v>
      </c>
      <c r="E6469" s="2">
        <v>170000</v>
      </c>
      <c r="F6469" t="s">
        <v>4567</v>
      </c>
      <c r="G6469" s="17" t="str">
        <f>HYPERLINK("https://www.washoecounty.gov/assessor/cama/?command=sales&amp;parid=40005305","3922263")</f>
        <v>3922263</v>
      </c>
      <c r="H6469" t="s">
        <v>5559</v>
      </c>
      <c r="I6469">
        <v>1989</v>
      </c>
      <c r="J6469">
        <v>1989</v>
      </c>
      <c r="K6469" t="s">
        <v>4554</v>
      </c>
      <c r="L6469" t="s">
        <v>4555</v>
      </c>
      <c r="M6469" s="2">
        <v>1350</v>
      </c>
      <c r="N6469" t="s">
        <v>5280</v>
      </c>
      <c r="O6469">
        <v>3</v>
      </c>
      <c r="P6469">
        <v>2</v>
      </c>
      <c r="Q6469">
        <v>0</v>
      </c>
      <c r="R6469" t="s">
        <v>4557</v>
      </c>
      <c r="S6469" t="s">
        <v>4558</v>
      </c>
      <c r="T6469" t="s">
        <v>4559</v>
      </c>
      <c r="U6469" t="s">
        <v>4560</v>
      </c>
      <c r="V6469" s="2">
        <v>398</v>
      </c>
      <c r="W6469" t="s">
        <v>4655</v>
      </c>
      <c r="X6469" s="2">
        <v>0</v>
      </c>
      <c r="Y6469">
        <v>20</v>
      </c>
      <c r="Z6469" t="s">
        <v>4561</v>
      </c>
      <c r="AA6469" s="3">
        <v>0.16200642287731201</v>
      </c>
      <c r="AB6469" t="s">
        <v>31176</v>
      </c>
      <c r="AC6469" t="s">
        <v>4562</v>
      </c>
      <c r="AD6469" t="s">
        <v>31177</v>
      </c>
      <c r="AE6469" t="s">
        <v>4655</v>
      </c>
      <c r="AF6469" t="s">
        <v>4563</v>
      </c>
      <c r="AG6469" t="s">
        <v>4564</v>
      </c>
      <c r="AH6469" t="s">
        <v>1147</v>
      </c>
      <c r="AI6469" t="s">
        <v>31178</v>
      </c>
      <c r="AJ6469" t="s">
        <v>4655</v>
      </c>
      <c r="AK6469" t="s">
        <v>31179</v>
      </c>
      <c r="AL6469" s="13" t="s">
        <v>2257</v>
      </c>
      <c r="AM6469">
        <v>1</v>
      </c>
      <c r="AN6469" s="15" t="s">
        <v>5527</v>
      </c>
    </row>
    <row r="6470" spans="1:40" x14ac:dyDescent="0.3">
      <c r="A6470" s="10" t="str">
        <f>HYPERLINK("http://www.washoecounty.gov/assessor/cama/?parid=400-062-04&amp;CardNumber=1","400-062-04")</f>
        <v>400-062-04</v>
      </c>
      <c r="B6470" t="s">
        <v>4655</v>
      </c>
      <c r="C6470" t="s">
        <v>31180</v>
      </c>
      <c r="D6470" s="1">
        <v>40464</v>
      </c>
      <c r="E6470" s="2">
        <v>174900</v>
      </c>
      <c r="F6470" t="s">
        <v>4553</v>
      </c>
      <c r="G6470" s="17" t="str">
        <f>HYPERLINK("https://www.washoecounty.gov/assessor/cama/?command=sales&amp;parid=40006204","3932227")</f>
        <v>3932227</v>
      </c>
      <c r="H6470" t="s">
        <v>971</v>
      </c>
      <c r="I6470">
        <v>1990</v>
      </c>
      <c r="J6470">
        <v>1990</v>
      </c>
      <c r="K6470" t="s">
        <v>4554</v>
      </c>
      <c r="L6470" t="s">
        <v>3974</v>
      </c>
      <c r="M6470" s="2">
        <v>1917</v>
      </c>
      <c r="N6470" t="s">
        <v>5280</v>
      </c>
      <c r="O6470">
        <v>3</v>
      </c>
      <c r="P6470">
        <v>2</v>
      </c>
      <c r="Q6470">
        <v>1</v>
      </c>
      <c r="R6470" t="s">
        <v>4557</v>
      </c>
      <c r="S6470" t="s">
        <v>4558</v>
      </c>
      <c r="T6470" t="s">
        <v>4559</v>
      </c>
      <c r="U6470" t="s">
        <v>5631</v>
      </c>
      <c r="V6470" s="2">
        <v>435</v>
      </c>
      <c r="W6470" t="s">
        <v>4655</v>
      </c>
      <c r="X6470" s="2">
        <v>0</v>
      </c>
      <c r="Y6470">
        <v>20</v>
      </c>
      <c r="Z6470" t="s">
        <v>4561</v>
      </c>
      <c r="AA6470" s="3">
        <v>0.13760331273078899</v>
      </c>
      <c r="AB6470" t="s">
        <v>31181</v>
      </c>
      <c r="AC6470" t="s">
        <v>4562</v>
      </c>
      <c r="AD6470" t="s">
        <v>31182</v>
      </c>
      <c r="AE6470" t="s">
        <v>4655</v>
      </c>
      <c r="AF6470" t="s">
        <v>4563</v>
      </c>
      <c r="AG6470" t="s">
        <v>4564</v>
      </c>
      <c r="AH6470" t="s">
        <v>1147</v>
      </c>
      <c r="AI6470" t="s">
        <v>4503</v>
      </c>
      <c r="AJ6470" t="s">
        <v>4655</v>
      </c>
      <c r="AK6470" t="s">
        <v>31183</v>
      </c>
      <c r="AL6470" s="13" t="s">
        <v>2257</v>
      </c>
      <c r="AM6470" s="14">
        <v>1</v>
      </c>
      <c r="AN6470" s="15" t="s">
        <v>5527</v>
      </c>
    </row>
    <row r="6471" spans="1:40" x14ac:dyDescent="0.3">
      <c r="A6471" s="10" t="str">
        <f>HYPERLINK("http://www.washoecounty.gov/assessor/cama/?parid=400-072-21&amp;CardNumber=1","400-072-21")</f>
        <v>400-072-21</v>
      </c>
      <c r="B6471" t="s">
        <v>4655</v>
      </c>
      <c r="C6471" t="s">
        <v>31184</v>
      </c>
      <c r="D6471" s="1">
        <v>40266</v>
      </c>
      <c r="E6471" s="2">
        <v>171000</v>
      </c>
      <c r="F6471" t="s">
        <v>4553</v>
      </c>
      <c r="G6471" s="17" t="str">
        <f>HYPERLINK("https://www.washoecounty.gov/assessor/cama/?command=sales&amp;parid=40007221","3865089")</f>
        <v>3865089</v>
      </c>
      <c r="H6471" t="s">
        <v>4267</v>
      </c>
      <c r="I6471">
        <v>1991</v>
      </c>
      <c r="J6471">
        <v>1991</v>
      </c>
      <c r="K6471" t="s">
        <v>4554</v>
      </c>
      <c r="L6471" t="s">
        <v>3974</v>
      </c>
      <c r="M6471" s="2">
        <v>2161</v>
      </c>
      <c r="N6471" t="s">
        <v>5280</v>
      </c>
      <c r="O6471">
        <v>4</v>
      </c>
      <c r="P6471">
        <v>2</v>
      </c>
      <c r="Q6471">
        <v>1</v>
      </c>
      <c r="R6471" t="s">
        <v>4557</v>
      </c>
      <c r="S6471" t="s">
        <v>4558</v>
      </c>
      <c r="T6471" t="s">
        <v>4559</v>
      </c>
      <c r="U6471" t="s">
        <v>5631</v>
      </c>
      <c r="V6471" s="2">
        <v>444</v>
      </c>
      <c r="W6471" t="s">
        <v>4655</v>
      </c>
      <c r="X6471" s="2">
        <v>0</v>
      </c>
      <c r="Y6471">
        <v>20</v>
      </c>
      <c r="Z6471" t="s">
        <v>4561</v>
      </c>
      <c r="AA6471" s="3">
        <v>0.14400826394558</v>
      </c>
      <c r="AB6471" t="s">
        <v>31185</v>
      </c>
      <c r="AC6471" t="s">
        <v>4562</v>
      </c>
      <c r="AD6471" t="s">
        <v>31184</v>
      </c>
      <c r="AE6471" t="s">
        <v>4655</v>
      </c>
      <c r="AF6471" t="s">
        <v>4563</v>
      </c>
      <c r="AG6471" t="s">
        <v>4564</v>
      </c>
      <c r="AH6471" t="s">
        <v>1147</v>
      </c>
      <c r="AI6471" t="s">
        <v>4503</v>
      </c>
      <c r="AJ6471" t="s">
        <v>4655</v>
      </c>
      <c r="AK6471" t="s">
        <v>31186</v>
      </c>
      <c r="AL6471" s="13" t="s">
        <v>2257</v>
      </c>
      <c r="AM6471" s="14">
        <v>1</v>
      </c>
      <c r="AN6471" s="15" t="s">
        <v>5527</v>
      </c>
    </row>
    <row r="6472" spans="1:40" x14ac:dyDescent="0.3">
      <c r="A6472" s="10" t="str">
        <f>HYPERLINK("http://www.washoecounty.gov/assessor/cama/?parid=400-072-24&amp;CardNumber=1","400-072-24")</f>
        <v>400-072-24</v>
      </c>
      <c r="B6472" t="s">
        <v>4655</v>
      </c>
      <c r="C6472" t="s">
        <v>31187</v>
      </c>
      <c r="D6472" s="1">
        <v>40378</v>
      </c>
      <c r="E6472" s="2">
        <v>235000</v>
      </c>
      <c r="F6472" t="s">
        <v>4567</v>
      </c>
      <c r="G6472" s="17" t="str">
        <f>HYPERLINK("https://www.washoecounty.gov/assessor/cama/?command=sales&amp;parid=40007224","3902435")</f>
        <v>3902435</v>
      </c>
      <c r="H6472" t="s">
        <v>4267</v>
      </c>
      <c r="I6472">
        <v>1991</v>
      </c>
      <c r="J6472">
        <v>1991</v>
      </c>
      <c r="K6472" t="s">
        <v>4554</v>
      </c>
      <c r="L6472" t="s">
        <v>3974</v>
      </c>
      <c r="M6472" s="2">
        <v>2161</v>
      </c>
      <c r="N6472" t="s">
        <v>5280</v>
      </c>
      <c r="O6472">
        <v>4</v>
      </c>
      <c r="P6472">
        <v>2</v>
      </c>
      <c r="Q6472">
        <v>1</v>
      </c>
      <c r="R6472" t="s">
        <v>5281</v>
      </c>
      <c r="S6472" t="s">
        <v>4558</v>
      </c>
      <c r="T6472" t="s">
        <v>4559</v>
      </c>
      <c r="U6472" t="s">
        <v>5631</v>
      </c>
      <c r="V6472" s="2">
        <v>435</v>
      </c>
      <c r="W6472" t="s">
        <v>4655</v>
      </c>
      <c r="X6472" s="2">
        <v>0</v>
      </c>
      <c r="Y6472">
        <v>20</v>
      </c>
      <c r="Z6472" t="s">
        <v>4561</v>
      </c>
      <c r="AA6472" s="3">
        <v>0.123989902436733</v>
      </c>
      <c r="AB6472" t="s">
        <v>31188</v>
      </c>
      <c r="AC6472" t="s">
        <v>4562</v>
      </c>
      <c r="AD6472" t="s">
        <v>31187</v>
      </c>
      <c r="AE6472" t="s">
        <v>4655</v>
      </c>
      <c r="AF6472" t="s">
        <v>4563</v>
      </c>
      <c r="AG6472" t="s">
        <v>4564</v>
      </c>
      <c r="AH6472" t="s">
        <v>1147</v>
      </c>
      <c r="AI6472" t="s">
        <v>31189</v>
      </c>
      <c r="AJ6472" t="s">
        <v>4655</v>
      </c>
      <c r="AK6472" t="s">
        <v>31190</v>
      </c>
      <c r="AL6472" s="13" t="s">
        <v>2257</v>
      </c>
      <c r="AM6472" s="14">
        <v>1</v>
      </c>
      <c r="AN6472" s="15" t="s">
        <v>5527</v>
      </c>
    </row>
    <row r="6473" spans="1:40" x14ac:dyDescent="0.3">
      <c r="A6473" s="10" t="str">
        <f>HYPERLINK("http://www.washoecounty.gov/assessor/cama/?parid=400-073-02&amp;CardNumber=1","400-073-02")</f>
        <v>400-073-02</v>
      </c>
      <c r="B6473" t="s">
        <v>4655</v>
      </c>
      <c r="C6473" t="s">
        <v>31191</v>
      </c>
      <c r="D6473" s="1">
        <v>40421</v>
      </c>
      <c r="E6473" s="2">
        <v>209000</v>
      </c>
      <c r="F6473" t="s">
        <v>4553</v>
      </c>
      <c r="G6473" s="17" t="str">
        <f>HYPERLINK("https://www.washoecounty.gov/assessor/cama/?command=sales&amp;parid=40007302","3917492")</f>
        <v>3917492</v>
      </c>
      <c r="H6473" t="s">
        <v>971</v>
      </c>
      <c r="I6473">
        <v>1991</v>
      </c>
      <c r="J6473">
        <v>1991</v>
      </c>
      <c r="K6473" t="s">
        <v>4554</v>
      </c>
      <c r="L6473" t="s">
        <v>3974</v>
      </c>
      <c r="M6473" s="2">
        <v>2157</v>
      </c>
      <c r="N6473" t="s">
        <v>5280</v>
      </c>
      <c r="O6473">
        <v>4</v>
      </c>
      <c r="P6473">
        <v>2</v>
      </c>
      <c r="Q6473">
        <v>1</v>
      </c>
      <c r="R6473" t="s">
        <v>4557</v>
      </c>
      <c r="S6473" t="s">
        <v>4558</v>
      </c>
      <c r="T6473" t="s">
        <v>4559</v>
      </c>
      <c r="U6473" t="s">
        <v>5631</v>
      </c>
      <c r="V6473" s="2">
        <v>435</v>
      </c>
      <c r="W6473" t="s">
        <v>4655</v>
      </c>
      <c r="X6473" s="2">
        <v>0</v>
      </c>
      <c r="Y6473">
        <v>20</v>
      </c>
      <c r="Z6473" t="s">
        <v>4561</v>
      </c>
      <c r="AA6473" s="3">
        <v>0.10500459372997301</v>
      </c>
      <c r="AB6473" t="s">
        <v>31192</v>
      </c>
      <c r="AC6473" t="s">
        <v>4562</v>
      </c>
      <c r="AD6473" t="s">
        <v>31191</v>
      </c>
      <c r="AE6473" t="s">
        <v>4655</v>
      </c>
      <c r="AF6473" t="s">
        <v>4563</v>
      </c>
      <c r="AG6473" t="s">
        <v>4564</v>
      </c>
      <c r="AH6473" t="s">
        <v>5197</v>
      </c>
      <c r="AI6473" t="s">
        <v>31193</v>
      </c>
      <c r="AJ6473" t="s">
        <v>4655</v>
      </c>
      <c r="AK6473" t="s">
        <v>31194</v>
      </c>
      <c r="AL6473" s="13" t="s">
        <v>2257</v>
      </c>
      <c r="AM6473" s="14">
        <v>1</v>
      </c>
      <c r="AN6473" s="15" t="s">
        <v>5527</v>
      </c>
    </row>
    <row r="6474" spans="1:40" x14ac:dyDescent="0.3">
      <c r="A6474" s="10" t="str">
        <f>HYPERLINK("http://www.washoecounty.gov/assessor/cama/?parid=400-073-06&amp;CardNumber=1","400-073-06")</f>
        <v>400-073-06</v>
      </c>
      <c r="B6474" t="s">
        <v>4655</v>
      </c>
      <c r="C6474" t="s">
        <v>31195</v>
      </c>
      <c r="D6474" s="1">
        <v>40359</v>
      </c>
      <c r="E6474" s="2">
        <v>153800</v>
      </c>
      <c r="F6474" t="s">
        <v>4553</v>
      </c>
      <c r="G6474" s="17" t="str">
        <f>HYPERLINK("https://www.washoecounty.gov/assessor/cama/?command=sales&amp;parid=40007306","3897005")</f>
        <v>3897005</v>
      </c>
      <c r="H6474" t="s">
        <v>4267</v>
      </c>
      <c r="I6474">
        <v>1992</v>
      </c>
      <c r="J6474">
        <v>1992</v>
      </c>
      <c r="K6474" t="s">
        <v>4554</v>
      </c>
      <c r="L6474" t="s">
        <v>3974</v>
      </c>
      <c r="M6474" s="2">
        <v>1980</v>
      </c>
      <c r="N6474" t="s">
        <v>5280</v>
      </c>
      <c r="O6474">
        <v>3</v>
      </c>
      <c r="P6474">
        <v>2</v>
      </c>
      <c r="Q6474">
        <v>1</v>
      </c>
      <c r="R6474" t="s">
        <v>5281</v>
      </c>
      <c r="S6474" t="s">
        <v>4558</v>
      </c>
      <c r="T6474" t="s">
        <v>4559</v>
      </c>
      <c r="U6474" t="s">
        <v>5631</v>
      </c>
      <c r="V6474" s="2">
        <v>435</v>
      </c>
      <c r="W6474" t="s">
        <v>4655</v>
      </c>
      <c r="X6474" s="2">
        <v>0</v>
      </c>
      <c r="Y6474">
        <v>20</v>
      </c>
      <c r="Z6474" t="s">
        <v>4561</v>
      </c>
      <c r="AA6474" s="3">
        <v>0.107988983392715</v>
      </c>
      <c r="AB6474" t="s">
        <v>29530</v>
      </c>
      <c r="AC6474" t="s">
        <v>4575</v>
      </c>
      <c r="AD6474" t="s">
        <v>31196</v>
      </c>
      <c r="AE6474" t="s">
        <v>4655</v>
      </c>
      <c r="AF6474" t="s">
        <v>2408</v>
      </c>
      <c r="AG6474" t="s">
        <v>4584</v>
      </c>
      <c r="AH6474">
        <v>94010</v>
      </c>
      <c r="AI6474" t="s">
        <v>4503</v>
      </c>
      <c r="AJ6474" t="s">
        <v>4655</v>
      </c>
      <c r="AK6474" t="s">
        <v>31197</v>
      </c>
      <c r="AL6474" s="13" t="s">
        <v>2257</v>
      </c>
      <c r="AM6474">
        <v>1</v>
      </c>
      <c r="AN6474" s="15" t="s">
        <v>5527</v>
      </c>
    </row>
    <row r="6475" spans="1:40" x14ac:dyDescent="0.3">
      <c r="A6475" s="10" t="str">
        <f>HYPERLINK("http://www.washoecounty.gov/assessor/cama/?parid=400-083-10&amp;CardNumber=1","400-083-10")</f>
        <v>400-083-10</v>
      </c>
      <c r="B6475" t="s">
        <v>4655</v>
      </c>
      <c r="C6475" s="20" t="s">
        <v>283</v>
      </c>
      <c r="D6475" s="1">
        <v>40256</v>
      </c>
      <c r="E6475" s="2">
        <v>205000</v>
      </c>
      <c r="F6475" t="s">
        <v>4567</v>
      </c>
      <c r="G6475" s="20" t="s">
        <v>282</v>
      </c>
      <c r="H6475" t="s">
        <v>4875</v>
      </c>
      <c r="I6475">
        <v>1994</v>
      </c>
      <c r="J6475">
        <v>1994</v>
      </c>
      <c r="K6475" t="s">
        <v>4554</v>
      </c>
      <c r="L6475" t="s">
        <v>3974</v>
      </c>
      <c r="M6475" s="2">
        <v>1743</v>
      </c>
      <c r="N6475" t="s">
        <v>5280</v>
      </c>
      <c r="O6475">
        <v>3</v>
      </c>
      <c r="P6475">
        <v>2</v>
      </c>
      <c r="Q6475">
        <v>1</v>
      </c>
      <c r="R6475" t="s">
        <v>5281</v>
      </c>
      <c r="S6475" t="s">
        <v>4558</v>
      </c>
      <c r="T6475" t="s">
        <v>4559</v>
      </c>
      <c r="U6475" t="s">
        <v>5631</v>
      </c>
      <c r="V6475" s="2">
        <v>440</v>
      </c>
      <c r="W6475" t="s">
        <v>4655</v>
      </c>
      <c r="X6475" s="2">
        <v>0</v>
      </c>
      <c r="Y6475">
        <v>20</v>
      </c>
      <c r="Z6475" t="s">
        <v>4351</v>
      </c>
      <c r="AA6475" s="3">
        <v>0.12699724733829501</v>
      </c>
      <c r="AB6475" s="20" t="s">
        <v>8865</v>
      </c>
      <c r="AD6475" t="s">
        <v>283</v>
      </c>
      <c r="AE6475" t="s">
        <v>283</v>
      </c>
      <c r="AF6475" t="s">
        <v>283</v>
      </c>
      <c r="AG6475" t="s">
        <v>4564</v>
      </c>
      <c r="AH6475" t="s">
        <v>3101</v>
      </c>
      <c r="AI6475" t="s">
        <v>8865</v>
      </c>
      <c r="AJ6475" t="s">
        <v>31198</v>
      </c>
      <c r="AK6475" t="s">
        <v>31199</v>
      </c>
      <c r="AL6475" s="13" t="s">
        <v>2255</v>
      </c>
      <c r="AM6475" s="14">
        <v>1</v>
      </c>
      <c r="AN6475" s="15" t="s">
        <v>5527</v>
      </c>
    </row>
    <row r="6476" spans="1:40" x14ac:dyDescent="0.3">
      <c r="A6476" s="10" t="str">
        <f>HYPERLINK("http://www.washoecounty.gov/assessor/cama/?parid=400-091-01&amp;CardNumber=1","400-091-01")</f>
        <v>400-091-01</v>
      </c>
      <c r="B6476" t="s">
        <v>4655</v>
      </c>
      <c r="C6476" t="s">
        <v>31200</v>
      </c>
      <c r="D6476" s="1">
        <v>40277</v>
      </c>
      <c r="E6476" s="2">
        <v>175000</v>
      </c>
      <c r="F6476" t="s">
        <v>4553</v>
      </c>
      <c r="G6476" s="17" t="str">
        <f>HYPERLINK("https://www.washoecounty.gov/assessor/cama/?command=sales&amp;parid=40009101","3869192")</f>
        <v>3869192</v>
      </c>
      <c r="H6476" t="s">
        <v>4875</v>
      </c>
      <c r="I6476">
        <v>1992</v>
      </c>
      <c r="J6476">
        <v>1992</v>
      </c>
      <c r="K6476" t="s">
        <v>4554</v>
      </c>
      <c r="L6476" t="s">
        <v>4555</v>
      </c>
      <c r="M6476" s="2">
        <v>1302</v>
      </c>
      <c r="N6476" t="s">
        <v>5280</v>
      </c>
      <c r="O6476">
        <v>2</v>
      </c>
      <c r="P6476">
        <v>2</v>
      </c>
      <c r="Q6476">
        <v>0</v>
      </c>
      <c r="R6476" t="s">
        <v>5281</v>
      </c>
      <c r="S6476" t="s">
        <v>4558</v>
      </c>
      <c r="T6476" t="s">
        <v>4559</v>
      </c>
      <c r="U6476" t="s">
        <v>4560</v>
      </c>
      <c r="V6476" s="2">
        <v>412</v>
      </c>
      <c r="W6476" t="s">
        <v>4655</v>
      </c>
      <c r="X6476" s="2">
        <v>0</v>
      </c>
      <c r="Y6476">
        <v>20</v>
      </c>
      <c r="Z6476" t="s">
        <v>4351</v>
      </c>
      <c r="AA6476" s="3">
        <v>0.16499081254005399</v>
      </c>
      <c r="AB6476" t="s">
        <v>31201</v>
      </c>
      <c r="AC6476" t="s">
        <v>4562</v>
      </c>
      <c r="AD6476" t="s">
        <v>31202</v>
      </c>
      <c r="AE6476" t="s">
        <v>4655</v>
      </c>
      <c r="AF6476" t="s">
        <v>3114</v>
      </c>
      <c r="AG6476" t="s">
        <v>4564</v>
      </c>
      <c r="AH6476" t="s">
        <v>1147</v>
      </c>
      <c r="AI6476" t="s">
        <v>4903</v>
      </c>
      <c r="AJ6476" t="s">
        <v>31203</v>
      </c>
      <c r="AK6476" t="s">
        <v>31204</v>
      </c>
      <c r="AL6476" s="13" t="s">
        <v>2255</v>
      </c>
      <c r="AM6476">
        <v>1</v>
      </c>
      <c r="AN6476" s="15" t="s">
        <v>5527</v>
      </c>
    </row>
    <row r="6477" spans="1:40" x14ac:dyDescent="0.3">
      <c r="A6477" s="10" t="str">
        <f>HYPERLINK("http://www.washoecounty.gov/assessor/cama/?parid=400-092-02&amp;CardNumber=1","400-092-02")</f>
        <v>400-092-02</v>
      </c>
      <c r="B6477" t="s">
        <v>4655</v>
      </c>
      <c r="C6477" t="s">
        <v>31205</v>
      </c>
      <c r="D6477" s="1">
        <v>40420</v>
      </c>
      <c r="E6477" s="2">
        <v>210000</v>
      </c>
      <c r="F6477" t="s">
        <v>4567</v>
      </c>
      <c r="G6477" s="17" t="str">
        <f>HYPERLINK("https://www.washoecounty.gov/assessor/cama/?command=sales&amp;parid=40009202","3916841")</f>
        <v>3916841</v>
      </c>
      <c r="H6477" t="s">
        <v>4875</v>
      </c>
      <c r="I6477">
        <v>1993</v>
      </c>
      <c r="J6477">
        <v>1993</v>
      </c>
      <c r="K6477" t="s">
        <v>4554</v>
      </c>
      <c r="L6477" t="s">
        <v>3974</v>
      </c>
      <c r="M6477" s="2">
        <v>2169</v>
      </c>
      <c r="N6477" t="s">
        <v>5280</v>
      </c>
      <c r="O6477">
        <v>4</v>
      </c>
      <c r="P6477">
        <v>2</v>
      </c>
      <c r="Q6477">
        <v>1</v>
      </c>
      <c r="R6477" t="s">
        <v>4557</v>
      </c>
      <c r="S6477" t="s">
        <v>4558</v>
      </c>
      <c r="T6477" t="s">
        <v>4559</v>
      </c>
      <c r="U6477" t="s">
        <v>5631</v>
      </c>
      <c r="V6477" s="2">
        <v>435</v>
      </c>
      <c r="W6477" t="s">
        <v>4655</v>
      </c>
      <c r="X6477" s="2">
        <v>0</v>
      </c>
      <c r="Y6477">
        <v>20</v>
      </c>
      <c r="Z6477" t="s">
        <v>4351</v>
      </c>
      <c r="AA6477" s="3">
        <v>0.125</v>
      </c>
      <c r="AB6477" t="s">
        <v>31206</v>
      </c>
      <c r="AC6477" t="s">
        <v>4562</v>
      </c>
      <c r="AD6477" t="s">
        <v>31205</v>
      </c>
      <c r="AE6477" t="s">
        <v>4655</v>
      </c>
      <c r="AF6477" t="s">
        <v>4563</v>
      </c>
      <c r="AG6477" t="s">
        <v>4564</v>
      </c>
      <c r="AH6477" t="s">
        <v>1147</v>
      </c>
      <c r="AI6477" t="s">
        <v>24363</v>
      </c>
      <c r="AJ6477" t="s">
        <v>31207</v>
      </c>
      <c r="AK6477" t="s">
        <v>31208</v>
      </c>
      <c r="AL6477" s="13" t="s">
        <v>2255</v>
      </c>
      <c r="AM6477" s="14">
        <v>1</v>
      </c>
      <c r="AN6477" s="15" t="s">
        <v>5527</v>
      </c>
    </row>
    <row r="6478" spans="1:40" x14ac:dyDescent="0.3">
      <c r="A6478" s="10" t="str">
        <f>HYPERLINK("http://www.washoecounty.gov/assessor/cama/?parid=400-101-03&amp;CardNumber=1","400-101-03")</f>
        <v>400-101-03</v>
      </c>
      <c r="B6478" t="s">
        <v>4655</v>
      </c>
      <c r="C6478" t="s">
        <v>31209</v>
      </c>
      <c r="D6478" s="1">
        <v>40438</v>
      </c>
      <c r="E6478" s="2">
        <v>150000</v>
      </c>
      <c r="F6478" t="s">
        <v>4553</v>
      </c>
      <c r="G6478" s="17" t="str">
        <f>HYPERLINK("https://www.washoecounty.gov/assessor/cama/?command=sales&amp;parid=40010103","3923363")</f>
        <v>3923363</v>
      </c>
      <c r="H6478" t="s">
        <v>3685</v>
      </c>
      <c r="I6478">
        <v>1994</v>
      </c>
      <c r="J6478">
        <v>1994</v>
      </c>
      <c r="K6478" t="s">
        <v>4554</v>
      </c>
      <c r="L6478" t="s">
        <v>3974</v>
      </c>
      <c r="M6478" s="2">
        <v>1706</v>
      </c>
      <c r="N6478" t="s">
        <v>4048</v>
      </c>
      <c r="O6478">
        <v>4</v>
      </c>
      <c r="P6478">
        <v>3</v>
      </c>
      <c r="Q6478">
        <v>0</v>
      </c>
      <c r="R6478" t="s">
        <v>5281</v>
      </c>
      <c r="S6478" t="s">
        <v>4558</v>
      </c>
      <c r="T6478" t="s">
        <v>4559</v>
      </c>
      <c r="U6478" t="s">
        <v>5631</v>
      </c>
      <c r="V6478" s="2">
        <v>480</v>
      </c>
      <c r="W6478" t="s">
        <v>4655</v>
      </c>
      <c r="X6478" s="2">
        <v>0</v>
      </c>
      <c r="Y6478">
        <v>20</v>
      </c>
      <c r="Z6478" t="s">
        <v>4351</v>
      </c>
      <c r="AA6478" s="3">
        <v>9.2011019587516799E-2</v>
      </c>
      <c r="AB6478" t="s">
        <v>31210</v>
      </c>
      <c r="AC6478" t="s">
        <v>4562</v>
      </c>
      <c r="AD6478" t="s">
        <v>31209</v>
      </c>
      <c r="AE6478" t="s">
        <v>4655</v>
      </c>
      <c r="AF6478" t="s">
        <v>4563</v>
      </c>
      <c r="AG6478" t="s">
        <v>4564</v>
      </c>
      <c r="AH6478" t="s">
        <v>1147</v>
      </c>
      <c r="AI6478" t="s">
        <v>4565</v>
      </c>
      <c r="AJ6478" t="s">
        <v>31211</v>
      </c>
      <c r="AK6478" t="s">
        <v>31212</v>
      </c>
      <c r="AL6478" s="13" t="s">
        <v>2257</v>
      </c>
      <c r="AM6478" s="14">
        <v>1</v>
      </c>
      <c r="AN6478" s="15" t="s">
        <v>5527</v>
      </c>
    </row>
    <row r="6479" spans="1:40" x14ac:dyDescent="0.3">
      <c r="A6479" s="10" t="str">
        <f>HYPERLINK("http://www.washoecounty.gov/assessor/cama/?parid=400-101-09&amp;CardNumber=1","400-101-09")</f>
        <v>400-101-09</v>
      </c>
      <c r="B6479" t="s">
        <v>4655</v>
      </c>
      <c r="C6479" t="s">
        <v>31213</v>
      </c>
      <c r="D6479" s="1">
        <v>40479</v>
      </c>
      <c r="E6479" s="2">
        <v>208850</v>
      </c>
      <c r="F6479" t="s">
        <v>4567</v>
      </c>
      <c r="G6479" s="17" t="str">
        <f>HYPERLINK("https://www.washoecounty.gov/assessor/cama/?command=sales&amp;parid=40010109","3937515")</f>
        <v>3937515</v>
      </c>
      <c r="H6479" t="s">
        <v>3685</v>
      </c>
      <c r="I6479">
        <v>1994</v>
      </c>
      <c r="J6479">
        <v>1994</v>
      </c>
      <c r="K6479" t="s">
        <v>4554</v>
      </c>
      <c r="L6479" t="s">
        <v>3974</v>
      </c>
      <c r="M6479" s="2">
        <v>1811</v>
      </c>
      <c r="N6479" t="s">
        <v>4048</v>
      </c>
      <c r="O6479">
        <v>4</v>
      </c>
      <c r="P6479">
        <v>3</v>
      </c>
      <c r="Q6479">
        <v>0</v>
      </c>
      <c r="R6479" t="s">
        <v>5281</v>
      </c>
      <c r="S6479" t="s">
        <v>4558</v>
      </c>
      <c r="T6479" t="s">
        <v>4559</v>
      </c>
      <c r="U6479" t="s">
        <v>5631</v>
      </c>
      <c r="V6479" s="2">
        <v>480</v>
      </c>
      <c r="W6479" t="s">
        <v>4655</v>
      </c>
      <c r="X6479" s="2">
        <v>0</v>
      </c>
      <c r="Y6479">
        <v>20</v>
      </c>
      <c r="Z6479" t="s">
        <v>4351</v>
      </c>
      <c r="AA6479" s="3">
        <v>0.11299357563257199</v>
      </c>
      <c r="AB6479" t="s">
        <v>31214</v>
      </c>
      <c r="AC6479" t="s">
        <v>4575</v>
      </c>
      <c r="AD6479" t="s">
        <v>31215</v>
      </c>
      <c r="AE6479" t="s">
        <v>4655</v>
      </c>
      <c r="AF6479" t="s">
        <v>4563</v>
      </c>
      <c r="AG6479" t="s">
        <v>4564</v>
      </c>
      <c r="AH6479">
        <v>89509</v>
      </c>
      <c r="AI6479" t="s">
        <v>931</v>
      </c>
      <c r="AJ6479" t="s">
        <v>31216</v>
      </c>
      <c r="AK6479" t="s">
        <v>31217</v>
      </c>
      <c r="AL6479" s="13" t="s">
        <v>2257</v>
      </c>
      <c r="AM6479">
        <v>1</v>
      </c>
      <c r="AN6479" s="15" t="s">
        <v>5527</v>
      </c>
    </row>
    <row r="6480" spans="1:40" x14ac:dyDescent="0.3">
      <c r="A6480" s="10" t="str">
        <f>HYPERLINK("http://www.washoecounty.gov/assessor/cama/?parid=400-101-12&amp;CardNumber=1","400-101-12")</f>
        <v>400-101-12</v>
      </c>
      <c r="B6480" t="s">
        <v>4655</v>
      </c>
      <c r="C6480" t="s">
        <v>31218</v>
      </c>
      <c r="D6480" s="1">
        <v>40343</v>
      </c>
      <c r="E6480" s="2">
        <v>184500</v>
      </c>
      <c r="F6480" t="s">
        <v>4567</v>
      </c>
      <c r="G6480" s="17" t="str">
        <f>HYPERLINK("https://www.washoecounty.gov/assessor/cama/?command=sales&amp;parid=40010112","3891568")</f>
        <v>3891568</v>
      </c>
      <c r="H6480" t="s">
        <v>3685</v>
      </c>
      <c r="I6480">
        <v>1994</v>
      </c>
      <c r="J6480">
        <v>1994</v>
      </c>
      <c r="K6480" t="s">
        <v>4554</v>
      </c>
      <c r="L6480" t="s">
        <v>4555</v>
      </c>
      <c r="M6480" s="2">
        <v>1409</v>
      </c>
      <c r="N6480" t="s">
        <v>4048</v>
      </c>
      <c r="O6480">
        <v>4</v>
      </c>
      <c r="P6480">
        <v>2</v>
      </c>
      <c r="Q6480">
        <v>0</v>
      </c>
      <c r="R6480" t="s">
        <v>4557</v>
      </c>
      <c r="S6480" t="s">
        <v>4558</v>
      </c>
      <c r="T6480" t="s">
        <v>4559</v>
      </c>
      <c r="U6480" t="s">
        <v>4560</v>
      </c>
      <c r="V6480" s="2">
        <v>420</v>
      </c>
      <c r="W6480" t="s">
        <v>4655</v>
      </c>
      <c r="X6480" s="2">
        <v>0</v>
      </c>
      <c r="Y6480">
        <v>20</v>
      </c>
      <c r="Z6480" t="s">
        <v>4351</v>
      </c>
      <c r="AA6480" s="3">
        <v>0.13900367915630299</v>
      </c>
      <c r="AB6480" t="s">
        <v>31219</v>
      </c>
      <c r="AC6480" t="s">
        <v>4562</v>
      </c>
      <c r="AD6480" t="s">
        <v>31218</v>
      </c>
      <c r="AE6480" t="s">
        <v>4655</v>
      </c>
      <c r="AF6480" t="s">
        <v>4563</v>
      </c>
      <c r="AG6480" t="s">
        <v>4564</v>
      </c>
      <c r="AH6480" t="s">
        <v>1147</v>
      </c>
      <c r="AI6480" t="s">
        <v>31220</v>
      </c>
      <c r="AJ6480" t="s">
        <v>31221</v>
      </c>
      <c r="AK6480" t="s">
        <v>31222</v>
      </c>
      <c r="AL6480" s="13" t="s">
        <v>2257</v>
      </c>
      <c r="AM6480" s="14">
        <v>1</v>
      </c>
      <c r="AN6480" s="15" t="s">
        <v>5527</v>
      </c>
    </row>
    <row r="6481" spans="1:40" x14ac:dyDescent="0.3">
      <c r="A6481" s="10" t="str">
        <f>HYPERLINK("http://www.washoecounty.gov/assessor/cama/?parid=400-101-13&amp;CardNumber=1","400-101-13")</f>
        <v>400-101-13</v>
      </c>
      <c r="B6481" t="s">
        <v>4655</v>
      </c>
      <c r="C6481" t="s">
        <v>31223</v>
      </c>
      <c r="D6481" s="1">
        <v>40451</v>
      </c>
      <c r="E6481" s="2">
        <v>179400</v>
      </c>
      <c r="F6481" t="s">
        <v>4567</v>
      </c>
      <c r="G6481" s="17" t="str">
        <f>HYPERLINK("https://www.washoecounty.gov/assessor/cama/?command=sales&amp;parid=40010113","3927803")</f>
        <v>3927803</v>
      </c>
      <c r="H6481" t="s">
        <v>3685</v>
      </c>
      <c r="I6481">
        <v>1994</v>
      </c>
      <c r="J6481">
        <v>1994</v>
      </c>
      <c r="K6481" t="s">
        <v>4554</v>
      </c>
      <c r="L6481" t="s">
        <v>3974</v>
      </c>
      <c r="M6481" s="2">
        <v>1706</v>
      </c>
      <c r="N6481" t="s">
        <v>4048</v>
      </c>
      <c r="O6481">
        <v>4</v>
      </c>
      <c r="P6481">
        <v>3</v>
      </c>
      <c r="Q6481">
        <v>0</v>
      </c>
      <c r="R6481" t="s">
        <v>4557</v>
      </c>
      <c r="S6481" t="s">
        <v>4558</v>
      </c>
      <c r="T6481" t="s">
        <v>4559</v>
      </c>
      <c r="U6481" t="s">
        <v>5631</v>
      </c>
      <c r="V6481" s="2">
        <v>480</v>
      </c>
      <c r="W6481" t="s">
        <v>4655</v>
      </c>
      <c r="X6481" s="2">
        <v>0</v>
      </c>
      <c r="Y6481">
        <v>20</v>
      </c>
      <c r="Z6481" t="s">
        <v>4351</v>
      </c>
      <c r="AA6481" s="3">
        <v>0.114003673195839</v>
      </c>
      <c r="AB6481" t="s">
        <v>31224</v>
      </c>
      <c r="AC6481" t="s">
        <v>4562</v>
      </c>
      <c r="AD6481" t="s">
        <v>31223</v>
      </c>
      <c r="AE6481" t="s">
        <v>4655</v>
      </c>
      <c r="AF6481" t="s">
        <v>4563</v>
      </c>
      <c r="AG6481" t="s">
        <v>4564</v>
      </c>
      <c r="AH6481" t="s">
        <v>1147</v>
      </c>
      <c r="AI6481" t="s">
        <v>31225</v>
      </c>
      <c r="AJ6481" t="s">
        <v>31226</v>
      </c>
      <c r="AK6481" t="s">
        <v>31227</v>
      </c>
      <c r="AL6481" s="13" t="s">
        <v>2257</v>
      </c>
      <c r="AM6481" s="14">
        <v>1</v>
      </c>
      <c r="AN6481" s="15" t="s">
        <v>5527</v>
      </c>
    </row>
    <row r="6482" spans="1:40" x14ac:dyDescent="0.3">
      <c r="A6482" s="10" t="str">
        <f>HYPERLINK("http://www.washoecounty.gov/assessor/cama/?parid=400-101-20&amp;CardNumber=1","400-101-20")</f>
        <v>400-101-20</v>
      </c>
      <c r="B6482" t="s">
        <v>4655</v>
      </c>
      <c r="C6482" t="s">
        <v>31228</v>
      </c>
      <c r="D6482" s="1">
        <v>40515</v>
      </c>
      <c r="E6482" s="2">
        <v>162500</v>
      </c>
      <c r="F6482" t="s">
        <v>4567</v>
      </c>
      <c r="G6482" s="17" t="str">
        <f>HYPERLINK("https://www.washoecounty.gov/assessor/cama/?command=sales&amp;parid=40010120","3949211")</f>
        <v>3949211</v>
      </c>
      <c r="H6482" t="s">
        <v>3685</v>
      </c>
      <c r="I6482">
        <v>1994</v>
      </c>
      <c r="J6482">
        <v>1994</v>
      </c>
      <c r="K6482" t="s">
        <v>4554</v>
      </c>
      <c r="L6482" t="s">
        <v>4555</v>
      </c>
      <c r="M6482" s="2">
        <v>1409</v>
      </c>
      <c r="N6482" t="s">
        <v>4048</v>
      </c>
      <c r="O6482">
        <v>3</v>
      </c>
      <c r="P6482">
        <v>2</v>
      </c>
      <c r="Q6482">
        <v>0</v>
      </c>
      <c r="R6482" t="s">
        <v>4557</v>
      </c>
      <c r="S6482" t="s">
        <v>4558</v>
      </c>
      <c r="T6482" t="s">
        <v>4559</v>
      </c>
      <c r="U6482" t="s">
        <v>4560</v>
      </c>
      <c r="V6482" s="2">
        <v>420</v>
      </c>
      <c r="W6482" t="s">
        <v>4655</v>
      </c>
      <c r="X6482" s="2">
        <v>0</v>
      </c>
      <c r="Y6482">
        <v>20</v>
      </c>
      <c r="Z6482" t="s">
        <v>4351</v>
      </c>
      <c r="AA6482" s="3">
        <v>0.22199265658855438</v>
      </c>
      <c r="AB6482" t="s">
        <v>31229</v>
      </c>
      <c r="AC6482" t="s">
        <v>4562</v>
      </c>
      <c r="AD6482" t="s">
        <v>31230</v>
      </c>
      <c r="AE6482" t="s">
        <v>4655</v>
      </c>
      <c r="AF6482" t="s">
        <v>4563</v>
      </c>
      <c r="AG6482" t="s">
        <v>4564</v>
      </c>
      <c r="AH6482" t="s">
        <v>1147</v>
      </c>
      <c r="AI6482" t="s">
        <v>31231</v>
      </c>
      <c r="AJ6482" t="s">
        <v>31232</v>
      </c>
      <c r="AK6482" t="s">
        <v>31233</v>
      </c>
      <c r="AL6482" s="13" t="s">
        <v>2257</v>
      </c>
      <c r="AM6482">
        <v>1</v>
      </c>
      <c r="AN6482" s="15" t="s">
        <v>5527</v>
      </c>
    </row>
    <row r="6483" spans="1:40" x14ac:dyDescent="0.3">
      <c r="A6483" s="10" t="str">
        <f>HYPERLINK("http://www.washoecounty.gov/assessor/cama/?parid=400-120-08&amp;CardNumber=1","400-120-08")</f>
        <v>400-120-08</v>
      </c>
      <c r="B6483" t="s">
        <v>4655</v>
      </c>
      <c r="C6483" t="s">
        <v>31234</v>
      </c>
      <c r="D6483" s="1">
        <v>40283</v>
      </c>
      <c r="E6483" s="2">
        <v>190000</v>
      </c>
      <c r="F6483" t="s">
        <v>3512</v>
      </c>
      <c r="G6483" s="17" t="str">
        <f>HYPERLINK("https://www.washoecounty.gov/assessor/cama/?command=sales&amp;parid=40012008","3871358")</f>
        <v>3871358</v>
      </c>
      <c r="H6483" t="s">
        <v>31235</v>
      </c>
      <c r="I6483">
        <v>2010</v>
      </c>
      <c r="J6483">
        <v>2010</v>
      </c>
      <c r="K6483" t="s">
        <v>1567</v>
      </c>
      <c r="L6483" t="s">
        <v>1366</v>
      </c>
      <c r="M6483" s="2">
        <v>4759</v>
      </c>
      <c r="N6483" t="s">
        <v>1431</v>
      </c>
      <c r="O6483">
        <v>0</v>
      </c>
      <c r="P6483">
        <v>0</v>
      </c>
      <c r="Q6483">
        <v>0</v>
      </c>
      <c r="R6483" t="s">
        <v>1395</v>
      </c>
      <c r="S6483" t="s">
        <v>1819</v>
      </c>
      <c r="T6483" t="s">
        <v>4655</v>
      </c>
      <c r="U6483" t="s">
        <v>4655</v>
      </c>
      <c r="V6483" s="2">
        <v>0</v>
      </c>
      <c r="W6483" t="s">
        <v>4655</v>
      </c>
      <c r="X6483" s="2">
        <v>0</v>
      </c>
      <c r="Y6483">
        <v>14</v>
      </c>
      <c r="Z6483" t="s">
        <v>4600</v>
      </c>
      <c r="AA6483" s="3">
        <v>0.62750232219696001</v>
      </c>
      <c r="AB6483" t="s">
        <v>31236</v>
      </c>
      <c r="AC6483" t="s">
        <v>4562</v>
      </c>
      <c r="AD6483" t="s">
        <v>31237</v>
      </c>
      <c r="AE6483" t="s">
        <v>4655</v>
      </c>
      <c r="AF6483" t="s">
        <v>4563</v>
      </c>
      <c r="AG6483" t="s">
        <v>4564</v>
      </c>
      <c r="AH6483" t="s">
        <v>1147</v>
      </c>
      <c r="AI6483" t="s">
        <v>31238</v>
      </c>
      <c r="AJ6483" t="s">
        <v>31239</v>
      </c>
      <c r="AK6483" t="s">
        <v>31240</v>
      </c>
      <c r="AL6483" s="13" t="s">
        <v>2257</v>
      </c>
      <c r="AM6483" s="14">
        <v>1</v>
      </c>
      <c r="AN6483" s="15" t="s">
        <v>31165</v>
      </c>
    </row>
    <row r="6484" spans="1:40" x14ac:dyDescent="0.3">
      <c r="A6484" s="10" t="str">
        <f>HYPERLINK("http://www.washoecounty.gov/assessor/cama/?parid=400-151-04&amp;CardNumber=1","400-151-04")</f>
        <v>400-151-04</v>
      </c>
      <c r="B6484" t="s">
        <v>4655</v>
      </c>
      <c r="C6484" t="s">
        <v>31241</v>
      </c>
      <c r="D6484" s="1">
        <v>40274</v>
      </c>
      <c r="E6484" s="2">
        <v>300000</v>
      </c>
      <c r="F6484" t="s">
        <v>4187</v>
      </c>
      <c r="G6484" s="17" t="str">
        <f>HYPERLINK("https://www.washoecounty.gov/assessor/cama/?command=sales&amp;parid=40015104","3868064")</f>
        <v>3868064</v>
      </c>
      <c r="H6484" t="s">
        <v>4064</v>
      </c>
      <c r="I6484">
        <v>0</v>
      </c>
      <c r="J6484">
        <v>0</v>
      </c>
      <c r="K6484" t="s">
        <v>4655</v>
      </c>
      <c r="L6484" t="s">
        <v>4655</v>
      </c>
      <c r="M6484" s="2">
        <v>0</v>
      </c>
      <c r="N6484" t="s">
        <v>4655</v>
      </c>
      <c r="O6484">
        <v>0</v>
      </c>
      <c r="P6484">
        <v>0</v>
      </c>
      <c r="Q6484">
        <v>0</v>
      </c>
      <c r="R6484" t="s">
        <v>4655</v>
      </c>
      <c r="S6484" t="s">
        <v>4655</v>
      </c>
      <c r="T6484" t="s">
        <v>4655</v>
      </c>
      <c r="U6484" t="s">
        <v>4655</v>
      </c>
      <c r="V6484" s="2">
        <v>0</v>
      </c>
      <c r="W6484" t="s">
        <v>4655</v>
      </c>
      <c r="X6484" s="2">
        <v>0</v>
      </c>
      <c r="Y6484">
        <v>14</v>
      </c>
      <c r="Z6484" t="s">
        <v>564</v>
      </c>
      <c r="AA6484" s="3">
        <v>1.4757575988769531</v>
      </c>
      <c r="AB6484" t="s">
        <v>31242</v>
      </c>
      <c r="AC6484" t="s">
        <v>4562</v>
      </c>
      <c r="AD6484" t="s">
        <v>31243</v>
      </c>
      <c r="AE6484" t="s">
        <v>4655</v>
      </c>
      <c r="AF6484" t="s">
        <v>4563</v>
      </c>
      <c r="AG6484" t="s">
        <v>4564</v>
      </c>
      <c r="AH6484" t="s">
        <v>1147</v>
      </c>
      <c r="AI6484" t="s">
        <v>31244</v>
      </c>
      <c r="AJ6484" t="s">
        <v>4655</v>
      </c>
      <c r="AK6484" t="s">
        <v>31245</v>
      </c>
      <c r="AL6484" s="13" t="s">
        <v>2257</v>
      </c>
      <c r="AM6484">
        <v>0</v>
      </c>
      <c r="AN6484" s="15" t="s">
        <v>31165</v>
      </c>
    </row>
    <row r="6485" spans="1:40" x14ac:dyDescent="0.3">
      <c r="A6485" s="10" t="str">
        <f>HYPERLINK("http://www.washoecounty.gov/assessor/cama/?parid=400-161-04&amp;CardNumber=1","400-161-04")</f>
        <v>400-161-04</v>
      </c>
      <c r="B6485" t="s">
        <v>4655</v>
      </c>
      <c r="C6485" t="s">
        <v>31246</v>
      </c>
      <c r="D6485" s="1">
        <v>40506</v>
      </c>
      <c r="E6485" s="2">
        <v>138000</v>
      </c>
      <c r="F6485" t="s">
        <v>4567</v>
      </c>
      <c r="G6485" s="17" t="str">
        <f>HYPERLINK("https://www.washoecounty.gov/assessor/cama/?command=sales&amp;parid=40016104","3946702")</f>
        <v>3946702</v>
      </c>
      <c r="H6485" t="s">
        <v>31247</v>
      </c>
      <c r="I6485">
        <v>1962</v>
      </c>
      <c r="J6485">
        <v>1962</v>
      </c>
      <c r="K6485" t="s">
        <v>4554</v>
      </c>
      <c r="L6485" t="s">
        <v>4555</v>
      </c>
      <c r="M6485" s="2">
        <v>1080</v>
      </c>
      <c r="N6485" t="s">
        <v>4133</v>
      </c>
      <c r="O6485">
        <v>3</v>
      </c>
      <c r="P6485">
        <v>1</v>
      </c>
      <c r="Q6485">
        <v>0</v>
      </c>
      <c r="R6485" t="s">
        <v>4557</v>
      </c>
      <c r="S6485" t="s">
        <v>4135</v>
      </c>
      <c r="T6485" t="s">
        <v>4559</v>
      </c>
      <c r="U6485" t="s">
        <v>4655</v>
      </c>
      <c r="V6485" s="2">
        <v>0</v>
      </c>
      <c r="W6485" t="s">
        <v>4655</v>
      </c>
      <c r="X6485" s="2">
        <v>0</v>
      </c>
      <c r="Y6485">
        <v>20</v>
      </c>
      <c r="Z6485" t="s">
        <v>4144</v>
      </c>
      <c r="AA6485" s="3">
        <v>0.77724975347518921</v>
      </c>
      <c r="AB6485" t="s">
        <v>31248</v>
      </c>
      <c r="AC6485" t="s">
        <v>4562</v>
      </c>
      <c r="AD6485" t="s">
        <v>31246</v>
      </c>
      <c r="AE6485" t="s">
        <v>4655</v>
      </c>
      <c r="AF6485" t="s">
        <v>4563</v>
      </c>
      <c r="AG6485" t="s">
        <v>4564</v>
      </c>
      <c r="AH6485" t="s">
        <v>1147</v>
      </c>
      <c r="AI6485" t="s">
        <v>31249</v>
      </c>
      <c r="AJ6485" t="s">
        <v>4655</v>
      </c>
      <c r="AK6485" t="s">
        <v>31250</v>
      </c>
      <c r="AL6485" s="13" t="s">
        <v>2257</v>
      </c>
      <c r="AM6485">
        <v>1</v>
      </c>
      <c r="AN6485" s="15" t="s">
        <v>4859</v>
      </c>
    </row>
    <row r="6486" spans="1:40" x14ac:dyDescent="0.3">
      <c r="A6486" s="10" t="str">
        <f>HYPERLINK("http://www.washoecounty.gov/assessor/cama/?parid=400-162-07&amp;CardNumber=1","400-162-07")</f>
        <v>400-162-07</v>
      </c>
      <c r="B6486" t="s">
        <v>4655</v>
      </c>
      <c r="C6486" t="s">
        <v>31251</v>
      </c>
      <c r="D6486" s="1">
        <v>40542</v>
      </c>
      <c r="E6486" s="2">
        <v>162500</v>
      </c>
      <c r="F6486" t="s">
        <v>4553</v>
      </c>
      <c r="G6486" s="17" t="str">
        <f>HYPERLINK("https://www.washoecounty.gov/assessor/cama/?command=sales&amp;parid=40016207","3959248")</f>
        <v>3959248</v>
      </c>
      <c r="H6486" t="s">
        <v>3676</v>
      </c>
      <c r="I6486">
        <v>1964</v>
      </c>
      <c r="J6486">
        <v>1970</v>
      </c>
      <c r="K6486" t="s">
        <v>4554</v>
      </c>
      <c r="L6486" t="s">
        <v>4555</v>
      </c>
      <c r="M6486" s="2">
        <v>1020</v>
      </c>
      <c r="N6486" t="s">
        <v>4133</v>
      </c>
      <c r="O6486">
        <v>2</v>
      </c>
      <c r="P6486">
        <v>1</v>
      </c>
      <c r="Q6486">
        <v>0</v>
      </c>
      <c r="R6486" t="s">
        <v>4134</v>
      </c>
      <c r="S6486" t="s">
        <v>4135</v>
      </c>
      <c r="T6486" t="s">
        <v>4559</v>
      </c>
      <c r="U6486" t="s">
        <v>4655</v>
      </c>
      <c r="V6486" s="2">
        <v>0</v>
      </c>
      <c r="W6486" t="s">
        <v>4655</v>
      </c>
      <c r="X6486" s="2">
        <v>0</v>
      </c>
      <c r="Y6486">
        <v>20</v>
      </c>
      <c r="Z6486" t="s">
        <v>4600</v>
      </c>
      <c r="AA6486" s="3">
        <v>0.33374655246734619</v>
      </c>
      <c r="AB6486" t="s">
        <v>111</v>
      </c>
      <c r="AC6486" t="s">
        <v>4562</v>
      </c>
      <c r="AD6486" t="s">
        <v>112</v>
      </c>
      <c r="AE6486" t="s">
        <v>4655</v>
      </c>
      <c r="AF6486" t="s">
        <v>4563</v>
      </c>
      <c r="AG6486" t="s">
        <v>4564</v>
      </c>
      <c r="AH6486" t="s">
        <v>1147</v>
      </c>
      <c r="AI6486" t="s">
        <v>31252</v>
      </c>
      <c r="AJ6486" t="s">
        <v>4655</v>
      </c>
      <c r="AK6486" t="s">
        <v>113</v>
      </c>
      <c r="AL6486" s="13" t="s">
        <v>2257</v>
      </c>
      <c r="AM6486">
        <v>1</v>
      </c>
      <c r="AN6486" s="15" t="s">
        <v>4859</v>
      </c>
    </row>
    <row r="6487" spans="1:40" x14ac:dyDescent="0.3">
      <c r="A6487" s="10" t="str">
        <f>HYPERLINK("http://www.washoecounty.gov/assessor/cama/?parid=400-190-07&amp;CardNumber=1","400-190-07")</f>
        <v>400-190-07</v>
      </c>
      <c r="B6487" t="s">
        <v>4655</v>
      </c>
      <c r="C6487" t="s">
        <v>31253</v>
      </c>
      <c r="D6487" s="1">
        <v>40277</v>
      </c>
      <c r="E6487" s="2">
        <v>185000</v>
      </c>
      <c r="F6487" t="s">
        <v>4567</v>
      </c>
      <c r="G6487" s="17" t="str">
        <f>HYPERLINK("https://www.washoecounty.gov/assessor/cama/?command=sales&amp;parid=40019007","3869205")</f>
        <v>3869205</v>
      </c>
      <c r="H6487" t="s">
        <v>5279</v>
      </c>
      <c r="I6487">
        <v>1965</v>
      </c>
      <c r="J6487">
        <v>1969</v>
      </c>
      <c r="K6487" t="s">
        <v>4554</v>
      </c>
      <c r="L6487" t="s">
        <v>4555</v>
      </c>
      <c r="M6487" s="2">
        <v>1724</v>
      </c>
      <c r="N6487" t="s">
        <v>4133</v>
      </c>
      <c r="O6487">
        <v>3</v>
      </c>
      <c r="P6487">
        <v>2</v>
      </c>
      <c r="Q6487">
        <v>0</v>
      </c>
      <c r="R6487" t="s">
        <v>4557</v>
      </c>
      <c r="S6487" t="s">
        <v>3148</v>
      </c>
      <c r="T6487" t="s">
        <v>4559</v>
      </c>
      <c r="U6487" t="s">
        <v>4560</v>
      </c>
      <c r="V6487" s="2">
        <v>598</v>
      </c>
      <c r="W6487" t="s">
        <v>4655</v>
      </c>
      <c r="X6487" s="2">
        <v>0</v>
      </c>
      <c r="Y6487">
        <v>20</v>
      </c>
      <c r="Z6487" t="s">
        <v>5282</v>
      </c>
      <c r="AA6487" s="3">
        <v>0.94999998807907104</v>
      </c>
      <c r="AB6487" t="s">
        <v>31254</v>
      </c>
      <c r="AC6487" t="s">
        <v>4562</v>
      </c>
      <c r="AD6487" t="s">
        <v>3728</v>
      </c>
      <c r="AE6487" t="s">
        <v>4655</v>
      </c>
      <c r="AF6487" t="s">
        <v>4563</v>
      </c>
      <c r="AG6487" t="s">
        <v>4564</v>
      </c>
      <c r="AH6487" t="s">
        <v>31255</v>
      </c>
      <c r="AI6487" t="s">
        <v>31256</v>
      </c>
      <c r="AJ6487" t="s">
        <v>4655</v>
      </c>
      <c r="AK6487" t="s">
        <v>31257</v>
      </c>
      <c r="AL6487" s="13" t="s">
        <v>2255</v>
      </c>
      <c r="AM6487" s="14">
        <v>1</v>
      </c>
      <c r="AN6487" s="15" t="s">
        <v>2483</v>
      </c>
    </row>
    <row r="6488" spans="1:40" x14ac:dyDescent="0.3">
      <c r="A6488" s="10" t="str">
        <f>HYPERLINK("http://www.washoecounty.gov/assessor/cama/?parid=402-051-02&amp;CardNumber=1","402-051-02")</f>
        <v>402-051-02</v>
      </c>
      <c r="B6488" t="s">
        <v>4655</v>
      </c>
      <c r="C6488" t="s">
        <v>31258</v>
      </c>
      <c r="D6488" s="1">
        <v>40262</v>
      </c>
      <c r="E6488" s="2">
        <v>220000</v>
      </c>
      <c r="F6488" t="s">
        <v>4567</v>
      </c>
      <c r="G6488" s="17" t="str">
        <f>HYPERLINK("https://www.washoecounty.gov/assessor/cama/?command=sales&amp;parid=40205102","3864170")</f>
        <v>3864170</v>
      </c>
      <c r="H6488" t="s">
        <v>2568</v>
      </c>
      <c r="I6488">
        <v>2000</v>
      </c>
      <c r="J6488">
        <v>2000</v>
      </c>
      <c r="K6488" t="s">
        <v>4554</v>
      </c>
      <c r="L6488" t="s">
        <v>3974</v>
      </c>
      <c r="M6488" s="2">
        <v>2520</v>
      </c>
      <c r="N6488" t="s">
        <v>5280</v>
      </c>
      <c r="O6488">
        <v>3</v>
      </c>
      <c r="P6488">
        <v>2</v>
      </c>
      <c r="Q6488">
        <v>1</v>
      </c>
      <c r="R6488" t="s">
        <v>5281</v>
      </c>
      <c r="S6488" t="s">
        <v>4898</v>
      </c>
      <c r="T6488" t="s">
        <v>2704</v>
      </c>
      <c r="U6488" t="s">
        <v>5631</v>
      </c>
      <c r="V6488" s="2">
        <v>632</v>
      </c>
      <c r="W6488" t="s">
        <v>4655</v>
      </c>
      <c r="X6488" s="2">
        <v>0</v>
      </c>
      <c r="Y6488">
        <v>20</v>
      </c>
      <c r="Z6488" t="s">
        <v>1604</v>
      </c>
      <c r="AA6488" s="3">
        <v>0.13799357414245605</v>
      </c>
      <c r="AB6488" t="s">
        <v>31259</v>
      </c>
      <c r="AC6488" t="s">
        <v>4575</v>
      </c>
      <c r="AD6488" t="s">
        <v>31258</v>
      </c>
      <c r="AE6488" t="s">
        <v>4655</v>
      </c>
      <c r="AF6488" t="s">
        <v>5201</v>
      </c>
      <c r="AG6488" t="s">
        <v>4564</v>
      </c>
      <c r="AH6488" t="s">
        <v>3898</v>
      </c>
      <c r="AI6488" t="s">
        <v>31260</v>
      </c>
      <c r="AJ6488" t="s">
        <v>2569</v>
      </c>
      <c r="AK6488" t="s">
        <v>31261</v>
      </c>
      <c r="AL6488" s="13" t="s">
        <v>1886</v>
      </c>
      <c r="AM6488" s="14">
        <v>1</v>
      </c>
      <c r="AN6488" s="15" t="s">
        <v>2570</v>
      </c>
    </row>
    <row r="6489" spans="1:40" x14ac:dyDescent="0.3">
      <c r="A6489" s="10" t="str">
        <f>HYPERLINK("http://www.washoecounty.gov/assessor/cama/?parid=402-052-04&amp;CardNumber=1","402-052-04")</f>
        <v>402-052-04</v>
      </c>
      <c r="B6489" t="s">
        <v>4655</v>
      </c>
      <c r="C6489" t="s">
        <v>31262</v>
      </c>
      <c r="D6489" s="1">
        <v>40389</v>
      </c>
      <c r="E6489" s="2">
        <v>202000</v>
      </c>
      <c r="F6489" t="s">
        <v>4567</v>
      </c>
      <c r="G6489" s="17" t="str">
        <f>HYPERLINK("https://www.washoecounty.gov/assessor/cama/?command=sales&amp;parid=40205204","3906894")</f>
        <v>3906894</v>
      </c>
      <c r="H6489" t="s">
        <v>2568</v>
      </c>
      <c r="I6489">
        <v>2000</v>
      </c>
      <c r="J6489">
        <v>2000</v>
      </c>
      <c r="K6489" t="s">
        <v>4554</v>
      </c>
      <c r="L6489" t="s">
        <v>4555</v>
      </c>
      <c r="M6489" s="2">
        <v>1662</v>
      </c>
      <c r="N6489" t="s">
        <v>5280</v>
      </c>
      <c r="O6489">
        <v>3</v>
      </c>
      <c r="P6489">
        <v>2</v>
      </c>
      <c r="Q6489">
        <v>0</v>
      </c>
      <c r="R6489" t="s">
        <v>4557</v>
      </c>
      <c r="S6489" t="s">
        <v>4898</v>
      </c>
      <c r="T6489" t="s">
        <v>2704</v>
      </c>
      <c r="U6489" t="s">
        <v>4560</v>
      </c>
      <c r="V6489" s="2">
        <v>550</v>
      </c>
      <c r="W6489" t="s">
        <v>4655</v>
      </c>
      <c r="X6489" s="2">
        <v>0</v>
      </c>
      <c r="Y6489">
        <v>20</v>
      </c>
      <c r="Z6489" t="s">
        <v>1604</v>
      </c>
      <c r="AA6489" s="3">
        <v>0.14499540627002699</v>
      </c>
      <c r="AB6489" t="s">
        <v>21944</v>
      </c>
      <c r="AC6489" t="s">
        <v>4575</v>
      </c>
      <c r="AD6489" t="s">
        <v>31262</v>
      </c>
      <c r="AE6489" t="s">
        <v>4655</v>
      </c>
      <c r="AF6489" t="s">
        <v>4809</v>
      </c>
      <c r="AG6489" t="s">
        <v>4564</v>
      </c>
      <c r="AH6489" t="s">
        <v>3898</v>
      </c>
      <c r="AI6489" t="s">
        <v>31263</v>
      </c>
      <c r="AJ6489" t="s">
        <v>2569</v>
      </c>
      <c r="AK6489" t="s">
        <v>31264</v>
      </c>
      <c r="AL6489" s="13" t="s">
        <v>1886</v>
      </c>
      <c r="AM6489" s="14">
        <v>1</v>
      </c>
      <c r="AN6489" s="15" t="s">
        <v>2570</v>
      </c>
    </row>
    <row r="6490" spans="1:40" x14ac:dyDescent="0.3">
      <c r="A6490" s="10" t="str">
        <f>HYPERLINK("http://www.washoecounty.gov/assessor/cama/?parid=402-053-02&amp;CardNumber=1","402-053-02")</f>
        <v>402-053-02</v>
      </c>
      <c r="B6490" t="s">
        <v>4655</v>
      </c>
      <c r="C6490" t="s">
        <v>31265</v>
      </c>
      <c r="D6490" s="1">
        <v>40296</v>
      </c>
      <c r="E6490" s="2">
        <v>238000</v>
      </c>
      <c r="F6490" t="s">
        <v>4553</v>
      </c>
      <c r="G6490" s="17" t="str">
        <f>HYPERLINK("https://www.washoecounty.gov/assessor/cama/?command=sales&amp;parid=40205302","3875408")</f>
        <v>3875408</v>
      </c>
      <c r="H6490" t="s">
        <v>2568</v>
      </c>
      <c r="I6490">
        <v>2000</v>
      </c>
      <c r="J6490">
        <v>2000</v>
      </c>
      <c r="K6490" t="s">
        <v>4554</v>
      </c>
      <c r="L6490" t="s">
        <v>3974</v>
      </c>
      <c r="M6490" s="2">
        <v>2520</v>
      </c>
      <c r="N6490" t="s">
        <v>5280</v>
      </c>
      <c r="O6490">
        <v>4</v>
      </c>
      <c r="P6490">
        <v>2</v>
      </c>
      <c r="Q6490">
        <v>1</v>
      </c>
      <c r="R6490" t="s">
        <v>4557</v>
      </c>
      <c r="S6490" t="s">
        <v>4898</v>
      </c>
      <c r="T6490" t="s">
        <v>2704</v>
      </c>
      <c r="U6490" t="s">
        <v>5631</v>
      </c>
      <c r="V6490" s="2">
        <v>632</v>
      </c>
      <c r="W6490" t="s">
        <v>4655</v>
      </c>
      <c r="X6490" s="2">
        <v>0</v>
      </c>
      <c r="Y6490">
        <v>20</v>
      </c>
      <c r="Z6490" t="s">
        <v>1604</v>
      </c>
      <c r="AA6490" s="3">
        <v>0.21200643479824099</v>
      </c>
      <c r="AB6490" t="s">
        <v>31266</v>
      </c>
      <c r="AC6490" t="s">
        <v>4562</v>
      </c>
      <c r="AD6490" t="s">
        <v>31265</v>
      </c>
      <c r="AE6490" t="s">
        <v>4655</v>
      </c>
      <c r="AF6490" t="s">
        <v>5201</v>
      </c>
      <c r="AG6490" t="s">
        <v>4564</v>
      </c>
      <c r="AH6490" t="s">
        <v>3898</v>
      </c>
      <c r="AI6490" t="s">
        <v>4903</v>
      </c>
      <c r="AJ6490" t="s">
        <v>2569</v>
      </c>
      <c r="AK6490" t="s">
        <v>31267</v>
      </c>
      <c r="AL6490" s="13" t="s">
        <v>1886</v>
      </c>
      <c r="AM6490">
        <v>1</v>
      </c>
      <c r="AN6490" s="15" t="s">
        <v>2570</v>
      </c>
    </row>
    <row r="6491" spans="1:40" x14ac:dyDescent="0.3">
      <c r="A6491" s="10" t="str">
        <f>HYPERLINK("http://www.washoecounty.gov/assessor/cama/?parid=402-053-08&amp;CardNumber=1","402-053-08")</f>
        <v>402-053-08</v>
      </c>
      <c r="B6491" t="s">
        <v>4655</v>
      </c>
      <c r="C6491" t="s">
        <v>31268</v>
      </c>
      <c r="D6491" s="1">
        <v>40262</v>
      </c>
      <c r="E6491" s="2">
        <v>225000</v>
      </c>
      <c r="F6491" t="s">
        <v>4567</v>
      </c>
      <c r="G6491" s="17" t="str">
        <f>HYPERLINK("https://www.washoecounty.gov/assessor/cama/?command=sales&amp;parid=40205308","3863902")</f>
        <v>3863902</v>
      </c>
      <c r="H6491" t="s">
        <v>2568</v>
      </c>
      <c r="I6491">
        <v>2000</v>
      </c>
      <c r="J6491">
        <v>2000</v>
      </c>
      <c r="K6491" t="s">
        <v>4554</v>
      </c>
      <c r="L6491" t="s">
        <v>4555</v>
      </c>
      <c r="M6491" s="2">
        <v>1662</v>
      </c>
      <c r="N6491" t="s">
        <v>5280</v>
      </c>
      <c r="O6491">
        <v>3</v>
      </c>
      <c r="P6491">
        <v>2</v>
      </c>
      <c r="Q6491">
        <v>0</v>
      </c>
      <c r="R6491" t="s">
        <v>4557</v>
      </c>
      <c r="S6491" t="s">
        <v>4898</v>
      </c>
      <c r="T6491" t="s">
        <v>2704</v>
      </c>
      <c r="U6491" t="s">
        <v>4560</v>
      </c>
      <c r="V6491" s="2">
        <v>550</v>
      </c>
      <c r="W6491" t="s">
        <v>4655</v>
      </c>
      <c r="X6491" s="2">
        <v>0</v>
      </c>
      <c r="Y6491">
        <v>20</v>
      </c>
      <c r="Z6491" t="s">
        <v>1604</v>
      </c>
      <c r="AA6491" s="3">
        <v>0.15798898041248299</v>
      </c>
      <c r="AB6491" t="s">
        <v>31269</v>
      </c>
      <c r="AC6491" t="s">
        <v>4575</v>
      </c>
      <c r="AD6491" t="s">
        <v>31270</v>
      </c>
      <c r="AE6491" t="s">
        <v>4655</v>
      </c>
      <c r="AF6491" t="s">
        <v>5201</v>
      </c>
      <c r="AG6491" t="s">
        <v>4564</v>
      </c>
      <c r="AH6491" t="s">
        <v>3898</v>
      </c>
      <c r="AI6491" t="s">
        <v>31271</v>
      </c>
      <c r="AJ6491" t="s">
        <v>2569</v>
      </c>
      <c r="AK6491" t="s">
        <v>31272</v>
      </c>
      <c r="AL6491" s="13" t="s">
        <v>1886</v>
      </c>
      <c r="AM6491" s="14">
        <v>1</v>
      </c>
      <c r="AN6491" s="15" t="s">
        <v>2570</v>
      </c>
    </row>
    <row r="6492" spans="1:40" x14ac:dyDescent="0.3">
      <c r="A6492" s="10" t="str">
        <f>HYPERLINK("http://www.washoecounty.gov/assessor/cama/?parid=402-071-11&amp;CardNumber=1","402-071-11")</f>
        <v>402-071-11</v>
      </c>
      <c r="B6492" t="s">
        <v>4655</v>
      </c>
      <c r="C6492" t="s">
        <v>31273</v>
      </c>
      <c r="D6492" s="1">
        <v>40283</v>
      </c>
      <c r="E6492" s="2">
        <v>150000</v>
      </c>
      <c r="F6492" t="s">
        <v>4553</v>
      </c>
      <c r="G6492" s="17" t="str">
        <f>HYPERLINK("https://www.washoecounty.gov/assessor/cama/?command=sales&amp;parid=40207111","3871367")</f>
        <v>3871367</v>
      </c>
      <c r="H6492" t="s">
        <v>1989</v>
      </c>
      <c r="I6492">
        <v>2001</v>
      </c>
      <c r="J6492">
        <v>2001</v>
      </c>
      <c r="K6492" t="s">
        <v>4554</v>
      </c>
      <c r="L6492" t="s">
        <v>3974</v>
      </c>
      <c r="M6492" s="2">
        <v>1738</v>
      </c>
      <c r="N6492" t="s">
        <v>5280</v>
      </c>
      <c r="O6492">
        <v>2</v>
      </c>
      <c r="P6492">
        <v>2</v>
      </c>
      <c r="Q6492">
        <v>1</v>
      </c>
      <c r="R6492" t="s">
        <v>4557</v>
      </c>
      <c r="S6492" t="s">
        <v>4898</v>
      </c>
      <c r="T6492" t="s">
        <v>2704</v>
      </c>
      <c r="U6492" t="s">
        <v>5631</v>
      </c>
      <c r="V6492" s="2">
        <v>426</v>
      </c>
      <c r="W6492" t="s">
        <v>4655</v>
      </c>
      <c r="X6492" s="2">
        <v>0</v>
      </c>
      <c r="Y6492">
        <v>20</v>
      </c>
      <c r="Z6492" t="s">
        <v>1604</v>
      </c>
      <c r="AA6492" s="3">
        <v>9.6992656588554396E-2</v>
      </c>
      <c r="AB6492" t="s">
        <v>31274</v>
      </c>
      <c r="AC6492" t="s">
        <v>4562</v>
      </c>
      <c r="AD6492" t="s">
        <v>31275</v>
      </c>
      <c r="AE6492" t="s">
        <v>4655</v>
      </c>
      <c r="AF6492" t="s">
        <v>4809</v>
      </c>
      <c r="AG6492" t="s">
        <v>4564</v>
      </c>
      <c r="AH6492" t="s">
        <v>3898</v>
      </c>
      <c r="AI6492" t="s">
        <v>4655</v>
      </c>
      <c r="AJ6492" t="s">
        <v>1990</v>
      </c>
      <c r="AK6492" t="s">
        <v>31276</v>
      </c>
      <c r="AL6492" s="13" t="s">
        <v>1886</v>
      </c>
      <c r="AM6492" s="14">
        <v>1</v>
      </c>
      <c r="AN6492" s="15" t="s">
        <v>1991</v>
      </c>
    </row>
    <row r="6493" spans="1:40" x14ac:dyDescent="0.3">
      <c r="A6493" s="10" t="str">
        <f>HYPERLINK("http://www.washoecounty.gov/assessor/cama/?parid=402-072-03&amp;CardNumber=1","402-072-03")</f>
        <v>402-072-03</v>
      </c>
      <c r="B6493" t="s">
        <v>4655</v>
      </c>
      <c r="C6493" t="s">
        <v>31277</v>
      </c>
      <c r="D6493" s="1">
        <v>40382</v>
      </c>
      <c r="E6493" s="2">
        <v>160000</v>
      </c>
      <c r="F6493" t="s">
        <v>3512</v>
      </c>
      <c r="G6493" s="17" t="str">
        <f>HYPERLINK("https://www.washoecounty.gov/assessor/cama/?command=sales&amp;parid=40207203","3904207")</f>
        <v>3904207</v>
      </c>
      <c r="H6493" t="s">
        <v>1989</v>
      </c>
      <c r="I6493">
        <v>1999</v>
      </c>
      <c r="J6493">
        <v>1999</v>
      </c>
      <c r="K6493" t="s">
        <v>4554</v>
      </c>
      <c r="L6493" t="s">
        <v>3974</v>
      </c>
      <c r="M6493" s="2">
        <v>1643</v>
      </c>
      <c r="N6493" t="s">
        <v>5280</v>
      </c>
      <c r="O6493">
        <v>3</v>
      </c>
      <c r="P6493">
        <v>2</v>
      </c>
      <c r="Q6493">
        <v>1</v>
      </c>
      <c r="R6493" t="s">
        <v>5281</v>
      </c>
      <c r="S6493" t="s">
        <v>4898</v>
      </c>
      <c r="T6493" t="s">
        <v>2704</v>
      </c>
      <c r="U6493" t="s">
        <v>5631</v>
      </c>
      <c r="V6493" s="2">
        <v>444</v>
      </c>
      <c r="W6493" t="s">
        <v>4655</v>
      </c>
      <c r="X6493" s="2">
        <v>0</v>
      </c>
      <c r="Y6493">
        <v>20</v>
      </c>
      <c r="Z6493" t="s">
        <v>1604</v>
      </c>
      <c r="AA6493" s="3">
        <v>0.12899449467658999</v>
      </c>
      <c r="AB6493" t="s">
        <v>3346</v>
      </c>
      <c r="AC6493" t="s">
        <v>4575</v>
      </c>
      <c r="AD6493" t="s">
        <v>31278</v>
      </c>
      <c r="AE6493" t="s">
        <v>31277</v>
      </c>
      <c r="AF6493" t="s">
        <v>5201</v>
      </c>
      <c r="AG6493" t="s">
        <v>4564</v>
      </c>
      <c r="AH6493" t="s">
        <v>3898</v>
      </c>
      <c r="AI6493" t="s">
        <v>31279</v>
      </c>
      <c r="AJ6493" t="s">
        <v>1990</v>
      </c>
      <c r="AK6493" t="s">
        <v>31280</v>
      </c>
      <c r="AL6493" s="13" t="s">
        <v>1886</v>
      </c>
      <c r="AM6493" s="14">
        <v>1</v>
      </c>
      <c r="AN6493" s="15" t="s">
        <v>1991</v>
      </c>
    </row>
    <row r="6494" spans="1:40" x14ac:dyDescent="0.3">
      <c r="A6494" s="10" t="str">
        <f>HYPERLINK("http://www.washoecounty.gov/assessor/cama/?parid=402-073-22&amp;CardNumber=1","402-073-22")</f>
        <v>402-073-22</v>
      </c>
      <c r="B6494" t="s">
        <v>4655</v>
      </c>
      <c r="C6494" t="s">
        <v>31281</v>
      </c>
      <c r="D6494" s="1">
        <v>40249</v>
      </c>
      <c r="E6494" s="2">
        <v>163000</v>
      </c>
      <c r="F6494" t="s">
        <v>4567</v>
      </c>
      <c r="G6494" s="17" t="str">
        <f>HYPERLINK("https://www.washoecounty.gov/assessor/cama/?command=sales&amp;parid=40207322","3858959")</f>
        <v>3858959</v>
      </c>
      <c r="H6494" t="s">
        <v>1989</v>
      </c>
      <c r="I6494">
        <v>2001</v>
      </c>
      <c r="J6494">
        <v>2001</v>
      </c>
      <c r="K6494" t="s">
        <v>4554</v>
      </c>
      <c r="L6494" t="s">
        <v>3974</v>
      </c>
      <c r="M6494" s="2">
        <v>1368</v>
      </c>
      <c r="N6494" t="s">
        <v>5280</v>
      </c>
      <c r="O6494">
        <v>3</v>
      </c>
      <c r="P6494">
        <v>2</v>
      </c>
      <c r="Q6494">
        <v>1</v>
      </c>
      <c r="R6494" t="s">
        <v>5281</v>
      </c>
      <c r="S6494" t="s">
        <v>4898</v>
      </c>
      <c r="T6494" t="s">
        <v>2704</v>
      </c>
      <c r="U6494" t="s">
        <v>5631</v>
      </c>
      <c r="V6494" s="2">
        <v>420</v>
      </c>
      <c r="W6494" t="s">
        <v>4655</v>
      </c>
      <c r="X6494" s="2">
        <v>0</v>
      </c>
      <c r="Y6494">
        <v>20</v>
      </c>
      <c r="Z6494" t="s">
        <v>1604</v>
      </c>
      <c r="AA6494" s="3">
        <v>9.6992656588554396E-2</v>
      </c>
      <c r="AB6494" t="s">
        <v>31282</v>
      </c>
      <c r="AC6494" t="s">
        <v>4575</v>
      </c>
      <c r="AD6494" t="s">
        <v>31281</v>
      </c>
      <c r="AE6494" t="s">
        <v>4655</v>
      </c>
      <c r="AF6494" t="s">
        <v>5201</v>
      </c>
      <c r="AG6494" t="s">
        <v>4564</v>
      </c>
      <c r="AH6494" t="s">
        <v>3898</v>
      </c>
      <c r="AI6494" t="s">
        <v>31283</v>
      </c>
      <c r="AJ6494" t="s">
        <v>1990</v>
      </c>
      <c r="AK6494" t="s">
        <v>31284</v>
      </c>
      <c r="AL6494" s="13" t="s">
        <v>1886</v>
      </c>
      <c r="AM6494">
        <v>1</v>
      </c>
      <c r="AN6494" s="15" t="s">
        <v>1991</v>
      </c>
    </row>
    <row r="6495" spans="1:40" x14ac:dyDescent="0.3">
      <c r="A6495" s="10" t="str">
        <f>HYPERLINK("http://www.washoecounty.gov/assessor/cama/?parid=402-073-32&amp;CardNumber=1","402-073-32")</f>
        <v>402-073-32</v>
      </c>
      <c r="B6495" t="s">
        <v>4655</v>
      </c>
      <c r="C6495" t="s">
        <v>31285</v>
      </c>
      <c r="D6495" s="1">
        <v>40357</v>
      </c>
      <c r="E6495" s="2">
        <v>161000</v>
      </c>
      <c r="F6495" t="s">
        <v>4567</v>
      </c>
      <c r="G6495" s="17" t="str">
        <f>HYPERLINK("https://www.washoecounty.gov/assessor/cama/?command=sales&amp;parid=40207332","3895978")</f>
        <v>3895978</v>
      </c>
      <c r="H6495" t="s">
        <v>1989</v>
      </c>
      <c r="I6495">
        <v>2000</v>
      </c>
      <c r="J6495">
        <v>2000</v>
      </c>
      <c r="K6495" t="s">
        <v>4554</v>
      </c>
      <c r="L6495" t="s">
        <v>3974</v>
      </c>
      <c r="M6495" s="2">
        <v>1738</v>
      </c>
      <c r="N6495" t="s">
        <v>5280</v>
      </c>
      <c r="O6495">
        <v>3</v>
      </c>
      <c r="P6495">
        <v>2</v>
      </c>
      <c r="Q6495">
        <v>1</v>
      </c>
      <c r="R6495" t="s">
        <v>5281</v>
      </c>
      <c r="S6495" t="s">
        <v>4898</v>
      </c>
      <c r="T6495" t="s">
        <v>2704</v>
      </c>
      <c r="U6495" t="s">
        <v>5631</v>
      </c>
      <c r="V6495" s="2">
        <v>426</v>
      </c>
      <c r="W6495" t="s">
        <v>4655</v>
      </c>
      <c r="X6495" s="2">
        <v>0</v>
      </c>
      <c r="Y6495">
        <v>20</v>
      </c>
      <c r="Z6495" t="s">
        <v>1604</v>
      </c>
      <c r="AA6495" s="3">
        <v>0.15500459074974099</v>
      </c>
      <c r="AB6495" t="s">
        <v>31286</v>
      </c>
      <c r="AC6495" t="s">
        <v>4562</v>
      </c>
      <c r="AD6495" t="s">
        <v>31287</v>
      </c>
      <c r="AE6495" t="s">
        <v>4655</v>
      </c>
      <c r="AF6495" t="s">
        <v>5201</v>
      </c>
      <c r="AG6495" t="s">
        <v>4564</v>
      </c>
      <c r="AH6495" t="s">
        <v>3898</v>
      </c>
      <c r="AI6495" t="s">
        <v>31288</v>
      </c>
      <c r="AJ6495" t="s">
        <v>1990</v>
      </c>
      <c r="AK6495" t="s">
        <v>31289</v>
      </c>
      <c r="AL6495" s="13" t="s">
        <v>1886</v>
      </c>
      <c r="AM6495">
        <v>1</v>
      </c>
      <c r="AN6495" s="15" t="s">
        <v>1991</v>
      </c>
    </row>
    <row r="6496" spans="1:40" x14ac:dyDescent="0.3">
      <c r="A6496" s="10" t="str">
        <f>HYPERLINK("http://www.washoecounty.gov/assessor/cama/?parid=402-131-07&amp;CardNumber=1","402-131-07")</f>
        <v>402-131-07</v>
      </c>
      <c r="B6496" t="s">
        <v>4655</v>
      </c>
      <c r="C6496" t="s">
        <v>31290</v>
      </c>
      <c r="D6496" s="1">
        <v>40421</v>
      </c>
      <c r="E6496" s="2">
        <v>139000</v>
      </c>
      <c r="F6496" t="s">
        <v>4567</v>
      </c>
      <c r="G6496" s="17" t="str">
        <f>HYPERLINK("https://www.washoecounty.gov/assessor/cama/?command=sales&amp;parid=40213107","3917510")</f>
        <v>3917510</v>
      </c>
      <c r="H6496" t="s">
        <v>5528</v>
      </c>
      <c r="I6496">
        <v>2001</v>
      </c>
      <c r="J6496">
        <v>2001</v>
      </c>
      <c r="K6496" t="s">
        <v>4897</v>
      </c>
      <c r="L6496" t="s">
        <v>4555</v>
      </c>
      <c r="M6496" s="2">
        <v>1046</v>
      </c>
      <c r="N6496" t="s">
        <v>5280</v>
      </c>
      <c r="O6496">
        <v>2</v>
      </c>
      <c r="P6496">
        <v>2</v>
      </c>
      <c r="Q6496">
        <v>0</v>
      </c>
      <c r="R6496" t="s">
        <v>5281</v>
      </c>
      <c r="S6496" t="s">
        <v>4558</v>
      </c>
      <c r="T6496" t="s">
        <v>2704</v>
      </c>
      <c r="U6496" t="s">
        <v>4560</v>
      </c>
      <c r="V6496" s="2">
        <v>252</v>
      </c>
      <c r="W6496" t="s">
        <v>4655</v>
      </c>
      <c r="X6496" s="2">
        <v>0</v>
      </c>
      <c r="Y6496">
        <v>20</v>
      </c>
      <c r="Z6496" t="s">
        <v>1604</v>
      </c>
      <c r="AA6496" s="3">
        <v>9.2011019587516799E-2</v>
      </c>
      <c r="AB6496" t="s">
        <v>31291</v>
      </c>
      <c r="AC6496" t="s">
        <v>4562</v>
      </c>
      <c r="AD6496" t="s">
        <v>31292</v>
      </c>
      <c r="AE6496" t="s">
        <v>4655</v>
      </c>
      <c r="AF6496" t="s">
        <v>5499</v>
      </c>
      <c r="AG6496" t="s">
        <v>4564</v>
      </c>
      <c r="AH6496" t="s">
        <v>3898</v>
      </c>
      <c r="AI6496" t="s">
        <v>31293</v>
      </c>
      <c r="AJ6496" t="s">
        <v>4091</v>
      </c>
      <c r="AK6496" t="s">
        <v>31294</v>
      </c>
      <c r="AL6496" s="13" t="s">
        <v>1886</v>
      </c>
      <c r="AM6496">
        <v>1</v>
      </c>
      <c r="AN6496" s="15" t="s">
        <v>4092</v>
      </c>
    </row>
    <row r="6497" spans="1:40" x14ac:dyDescent="0.3">
      <c r="A6497" s="10" t="str">
        <f>HYPERLINK("http://www.washoecounty.gov/assessor/cama/?parid=402-131-14&amp;CardNumber=1","402-131-14")</f>
        <v>402-131-14</v>
      </c>
      <c r="B6497" t="s">
        <v>4655</v>
      </c>
      <c r="C6497" t="s">
        <v>31295</v>
      </c>
      <c r="D6497" s="1">
        <v>40211</v>
      </c>
      <c r="E6497" s="2">
        <v>147000</v>
      </c>
      <c r="F6497" t="s">
        <v>4553</v>
      </c>
      <c r="G6497" s="17" t="str">
        <f>HYPERLINK("https://www.washoecounty.gov/assessor/cama/?command=sales&amp;parid=40213114","3845186")</f>
        <v>3845186</v>
      </c>
      <c r="H6497" t="s">
        <v>5528</v>
      </c>
      <c r="I6497">
        <v>2001</v>
      </c>
      <c r="J6497">
        <v>2001</v>
      </c>
      <c r="K6497" t="s">
        <v>4897</v>
      </c>
      <c r="L6497" t="s">
        <v>4555</v>
      </c>
      <c r="M6497" s="2">
        <v>1230</v>
      </c>
      <c r="N6497" t="s">
        <v>5280</v>
      </c>
      <c r="O6497">
        <v>2</v>
      </c>
      <c r="P6497">
        <v>2</v>
      </c>
      <c r="Q6497">
        <v>0</v>
      </c>
      <c r="R6497" t="s">
        <v>5281</v>
      </c>
      <c r="S6497" t="s">
        <v>4558</v>
      </c>
      <c r="T6497" t="s">
        <v>2704</v>
      </c>
      <c r="U6497" t="s">
        <v>4560</v>
      </c>
      <c r="V6497" s="2">
        <v>462</v>
      </c>
      <c r="W6497" t="s">
        <v>4655</v>
      </c>
      <c r="X6497" s="2">
        <v>0</v>
      </c>
      <c r="Y6497">
        <v>20</v>
      </c>
      <c r="Z6497" t="s">
        <v>1604</v>
      </c>
      <c r="AA6497" s="3">
        <v>0.10599173605442</v>
      </c>
      <c r="AB6497" t="s">
        <v>31296</v>
      </c>
      <c r="AC6497" t="s">
        <v>4562</v>
      </c>
      <c r="AD6497" t="s">
        <v>31295</v>
      </c>
      <c r="AE6497" t="s">
        <v>4655</v>
      </c>
      <c r="AF6497" t="s">
        <v>5201</v>
      </c>
      <c r="AG6497" t="s">
        <v>5529</v>
      </c>
      <c r="AH6497" t="s">
        <v>3898</v>
      </c>
      <c r="AI6497" t="s">
        <v>31297</v>
      </c>
      <c r="AJ6497" t="s">
        <v>4091</v>
      </c>
      <c r="AK6497" t="s">
        <v>31298</v>
      </c>
      <c r="AL6497" s="13" t="s">
        <v>1886</v>
      </c>
      <c r="AM6497">
        <v>1</v>
      </c>
      <c r="AN6497" s="15" t="s">
        <v>4092</v>
      </c>
    </row>
    <row r="6498" spans="1:40" x14ac:dyDescent="0.3">
      <c r="A6498" s="10" t="str">
        <f>HYPERLINK("http://www.washoecounty.gov/assessor/cama/?parid=402-161-17&amp;CardNumber=1","402-161-17")</f>
        <v>402-161-17</v>
      </c>
      <c r="B6498" t="s">
        <v>4655</v>
      </c>
      <c r="C6498" s="20" t="s">
        <v>283</v>
      </c>
      <c r="D6498" s="1">
        <v>40263</v>
      </c>
      <c r="E6498" s="2">
        <v>210000</v>
      </c>
      <c r="F6498" t="s">
        <v>4567</v>
      </c>
      <c r="G6498" s="20" t="s">
        <v>282</v>
      </c>
      <c r="H6498" t="s">
        <v>4268</v>
      </c>
      <c r="I6498">
        <v>2001</v>
      </c>
      <c r="J6498">
        <v>2001</v>
      </c>
      <c r="K6498" t="s">
        <v>4554</v>
      </c>
      <c r="L6498" t="s">
        <v>4555</v>
      </c>
      <c r="M6498" s="2">
        <v>1679</v>
      </c>
      <c r="N6498" t="s">
        <v>5280</v>
      </c>
      <c r="O6498">
        <v>2</v>
      </c>
      <c r="P6498">
        <v>2</v>
      </c>
      <c r="Q6498">
        <v>0</v>
      </c>
      <c r="R6498" t="s">
        <v>5281</v>
      </c>
      <c r="S6498" t="s">
        <v>4898</v>
      </c>
      <c r="T6498" t="s">
        <v>2704</v>
      </c>
      <c r="U6498" t="s">
        <v>4560</v>
      </c>
      <c r="V6498" s="2">
        <v>440</v>
      </c>
      <c r="W6498" t="s">
        <v>4655</v>
      </c>
      <c r="X6498" s="2">
        <v>0</v>
      </c>
      <c r="Y6498">
        <v>20</v>
      </c>
      <c r="Z6498" t="s">
        <v>1604</v>
      </c>
      <c r="AA6498" s="3">
        <v>0.111914597451687</v>
      </c>
      <c r="AB6498" s="20" t="s">
        <v>8865</v>
      </c>
      <c r="AD6498" t="s">
        <v>283</v>
      </c>
      <c r="AE6498" t="s">
        <v>283</v>
      </c>
      <c r="AF6498" t="s">
        <v>283</v>
      </c>
      <c r="AG6498" t="s">
        <v>4564</v>
      </c>
      <c r="AH6498" t="s">
        <v>3101</v>
      </c>
      <c r="AI6498" t="s">
        <v>8865</v>
      </c>
      <c r="AJ6498" t="s">
        <v>4269</v>
      </c>
      <c r="AK6498" t="s">
        <v>8865</v>
      </c>
      <c r="AL6498" s="13" t="s">
        <v>3425</v>
      </c>
      <c r="AM6498" s="14">
        <v>1</v>
      </c>
      <c r="AN6498" s="15" t="s">
        <v>4714</v>
      </c>
    </row>
    <row r="6499" spans="1:40" x14ac:dyDescent="0.3">
      <c r="A6499" s="10" t="str">
        <f>HYPERLINK("http://www.washoecounty.gov/assessor/cama/?parid=402-161-18&amp;CardNumber=1","402-161-18")</f>
        <v>402-161-18</v>
      </c>
      <c r="B6499" t="s">
        <v>4655</v>
      </c>
      <c r="C6499" t="s">
        <v>31299</v>
      </c>
      <c r="D6499" s="1">
        <v>40505</v>
      </c>
      <c r="E6499" s="2">
        <v>160000</v>
      </c>
      <c r="F6499" t="s">
        <v>4567</v>
      </c>
      <c r="G6499" s="17" t="str">
        <f>HYPERLINK("https://www.washoecounty.gov/assessor/cama/?command=sales&amp;parid=40216118","3946186")</f>
        <v>3946186</v>
      </c>
      <c r="H6499" t="s">
        <v>4268</v>
      </c>
      <c r="I6499">
        <v>2001</v>
      </c>
      <c r="J6499">
        <v>2001</v>
      </c>
      <c r="K6499" t="s">
        <v>4554</v>
      </c>
      <c r="L6499" t="s">
        <v>4555</v>
      </c>
      <c r="M6499" s="2">
        <v>1242</v>
      </c>
      <c r="N6499" t="s">
        <v>5280</v>
      </c>
      <c r="O6499">
        <v>2</v>
      </c>
      <c r="P6499">
        <v>2</v>
      </c>
      <c r="Q6499">
        <v>0</v>
      </c>
      <c r="R6499" t="s">
        <v>5281</v>
      </c>
      <c r="S6499" t="s">
        <v>4898</v>
      </c>
      <c r="T6499" t="s">
        <v>2704</v>
      </c>
      <c r="U6499" t="s">
        <v>4560</v>
      </c>
      <c r="V6499" s="2">
        <v>462</v>
      </c>
      <c r="W6499" t="s">
        <v>4655</v>
      </c>
      <c r="X6499" s="2">
        <v>0</v>
      </c>
      <c r="Y6499">
        <v>20</v>
      </c>
      <c r="Z6499" t="s">
        <v>1604</v>
      </c>
      <c r="AA6499" s="3">
        <v>0.120684117078781</v>
      </c>
      <c r="AB6499" t="s">
        <v>31300</v>
      </c>
      <c r="AC6499" t="s">
        <v>4575</v>
      </c>
      <c r="AD6499" t="s">
        <v>31299</v>
      </c>
      <c r="AE6499" t="s">
        <v>4655</v>
      </c>
      <c r="AF6499" t="s">
        <v>5201</v>
      </c>
      <c r="AG6499" t="s">
        <v>4564</v>
      </c>
      <c r="AH6499" t="s">
        <v>3898</v>
      </c>
      <c r="AI6499" t="s">
        <v>31301</v>
      </c>
      <c r="AJ6499" t="s">
        <v>4269</v>
      </c>
      <c r="AK6499" t="s">
        <v>31302</v>
      </c>
      <c r="AL6499" s="13" t="s">
        <v>3425</v>
      </c>
      <c r="AM6499">
        <v>1</v>
      </c>
      <c r="AN6499" s="15" t="s">
        <v>4714</v>
      </c>
    </row>
    <row r="6500" spans="1:40" x14ac:dyDescent="0.3">
      <c r="A6500" s="10" t="str">
        <f>HYPERLINK("http://www.washoecounty.gov/assessor/cama/?parid=402-163-12&amp;CardNumber=1","402-163-12")</f>
        <v>402-163-12</v>
      </c>
      <c r="B6500" t="s">
        <v>4655</v>
      </c>
      <c r="C6500" t="s">
        <v>31303</v>
      </c>
      <c r="D6500" s="1">
        <v>40276</v>
      </c>
      <c r="E6500" s="2">
        <v>174000</v>
      </c>
      <c r="F6500" t="s">
        <v>4567</v>
      </c>
      <c r="G6500" s="17" t="str">
        <f>HYPERLINK("https://www.washoecounty.gov/assessor/cama/?command=sales&amp;parid=40216312","3869081")</f>
        <v>3869081</v>
      </c>
      <c r="H6500" t="s">
        <v>4268</v>
      </c>
      <c r="I6500">
        <v>2001</v>
      </c>
      <c r="J6500">
        <v>2001</v>
      </c>
      <c r="K6500" t="s">
        <v>4554</v>
      </c>
      <c r="L6500" t="s">
        <v>4555</v>
      </c>
      <c r="M6500" s="2">
        <v>1242</v>
      </c>
      <c r="N6500" t="s">
        <v>5280</v>
      </c>
      <c r="O6500">
        <v>2</v>
      </c>
      <c r="P6500">
        <v>2</v>
      </c>
      <c r="Q6500">
        <v>0</v>
      </c>
      <c r="R6500" t="s">
        <v>5281</v>
      </c>
      <c r="S6500" t="s">
        <v>4898</v>
      </c>
      <c r="T6500" t="s">
        <v>2704</v>
      </c>
      <c r="U6500" t="s">
        <v>4560</v>
      </c>
      <c r="V6500" s="2">
        <v>462</v>
      </c>
      <c r="W6500" t="s">
        <v>4655</v>
      </c>
      <c r="X6500" s="2">
        <v>0</v>
      </c>
      <c r="Y6500">
        <v>20</v>
      </c>
      <c r="Z6500" t="s">
        <v>1604</v>
      </c>
      <c r="AA6500" s="3">
        <v>0.12513774633407601</v>
      </c>
      <c r="AB6500" t="s">
        <v>31304</v>
      </c>
      <c r="AC6500" t="s">
        <v>4562</v>
      </c>
      <c r="AD6500" t="s">
        <v>31305</v>
      </c>
      <c r="AE6500" t="s">
        <v>4655</v>
      </c>
      <c r="AF6500" t="s">
        <v>4809</v>
      </c>
      <c r="AG6500" t="s">
        <v>4564</v>
      </c>
      <c r="AH6500" t="s">
        <v>3898</v>
      </c>
      <c r="AI6500" t="s">
        <v>31306</v>
      </c>
      <c r="AJ6500" t="s">
        <v>31307</v>
      </c>
      <c r="AK6500" t="s">
        <v>31308</v>
      </c>
      <c r="AL6500" s="13" t="s">
        <v>3425</v>
      </c>
      <c r="AM6500">
        <v>1</v>
      </c>
      <c r="AN6500" s="15" t="s">
        <v>4714</v>
      </c>
    </row>
    <row r="6501" spans="1:40" x14ac:dyDescent="0.3">
      <c r="A6501" s="10" t="str">
        <f>HYPERLINK("http://www.washoecounty.gov/assessor/cama/?parid=402-171-05&amp;CardNumber=1","402-171-05")</f>
        <v>402-171-05</v>
      </c>
      <c r="B6501" t="s">
        <v>4655</v>
      </c>
      <c r="C6501" t="s">
        <v>31309</v>
      </c>
      <c r="D6501" s="1">
        <v>40477</v>
      </c>
      <c r="E6501" s="2">
        <v>255000</v>
      </c>
      <c r="F6501" t="s">
        <v>4567</v>
      </c>
      <c r="G6501" s="17" t="str">
        <f>HYPERLINK("https://www.washoecounty.gov/assessor/cama/?command=sales&amp;parid=40217105","3936565")</f>
        <v>3936565</v>
      </c>
      <c r="H6501" t="s">
        <v>4268</v>
      </c>
      <c r="I6501">
        <v>2001</v>
      </c>
      <c r="J6501">
        <v>2001</v>
      </c>
      <c r="K6501" t="s">
        <v>4554</v>
      </c>
      <c r="L6501" t="s">
        <v>4555</v>
      </c>
      <c r="M6501" s="2">
        <v>1983</v>
      </c>
      <c r="N6501" t="s">
        <v>5280</v>
      </c>
      <c r="O6501">
        <v>2</v>
      </c>
      <c r="P6501">
        <v>2</v>
      </c>
      <c r="Q6501">
        <v>1</v>
      </c>
      <c r="R6501" t="s">
        <v>5281</v>
      </c>
      <c r="S6501" t="s">
        <v>4898</v>
      </c>
      <c r="T6501" t="s">
        <v>2704</v>
      </c>
      <c r="U6501" t="s">
        <v>4560</v>
      </c>
      <c r="V6501" s="2">
        <v>462</v>
      </c>
      <c r="W6501" t="s">
        <v>4655</v>
      </c>
      <c r="X6501" s="2">
        <v>0</v>
      </c>
      <c r="Y6501">
        <v>20</v>
      </c>
      <c r="Z6501" t="s">
        <v>1604</v>
      </c>
      <c r="AA6501" s="3">
        <v>0.12112029641866701</v>
      </c>
      <c r="AB6501" t="s">
        <v>31310</v>
      </c>
      <c r="AC6501" t="s">
        <v>4562</v>
      </c>
      <c r="AD6501" t="s">
        <v>31311</v>
      </c>
      <c r="AE6501" t="s">
        <v>4655</v>
      </c>
      <c r="AF6501" t="s">
        <v>4809</v>
      </c>
      <c r="AG6501" t="s">
        <v>4564</v>
      </c>
      <c r="AH6501" t="s">
        <v>1605</v>
      </c>
      <c r="AI6501" t="s">
        <v>31312</v>
      </c>
      <c r="AJ6501" t="s">
        <v>4269</v>
      </c>
      <c r="AK6501" t="s">
        <v>31313</v>
      </c>
      <c r="AL6501" s="13" t="s">
        <v>3425</v>
      </c>
      <c r="AM6501">
        <v>1</v>
      </c>
      <c r="AN6501" s="15" t="s">
        <v>4714</v>
      </c>
    </row>
    <row r="6502" spans="1:40" x14ac:dyDescent="0.3">
      <c r="A6502" s="10" t="str">
        <f>HYPERLINK("http://www.washoecounty.gov/assessor/cama/?parid=402-173-12&amp;CardNumber=1","402-173-12")</f>
        <v>402-173-12</v>
      </c>
      <c r="B6502" t="s">
        <v>4655</v>
      </c>
      <c r="C6502" t="s">
        <v>31314</v>
      </c>
      <c r="D6502" s="1">
        <v>40483</v>
      </c>
      <c r="E6502" s="2">
        <v>235000</v>
      </c>
      <c r="F6502" t="s">
        <v>4567</v>
      </c>
      <c r="G6502" s="17" t="str">
        <f>HYPERLINK("https://www.washoecounty.gov/assessor/cama/?command=sales&amp;parid=40217312","3938275")</f>
        <v>3938275</v>
      </c>
      <c r="H6502" t="s">
        <v>4268</v>
      </c>
      <c r="I6502">
        <v>2001</v>
      </c>
      <c r="J6502">
        <v>2001</v>
      </c>
      <c r="K6502" t="s">
        <v>4554</v>
      </c>
      <c r="L6502" t="s">
        <v>4555</v>
      </c>
      <c r="M6502" s="2">
        <v>1983</v>
      </c>
      <c r="N6502" t="s">
        <v>5280</v>
      </c>
      <c r="O6502">
        <v>2</v>
      </c>
      <c r="P6502">
        <v>2</v>
      </c>
      <c r="Q6502">
        <v>1</v>
      </c>
      <c r="R6502" t="s">
        <v>5281</v>
      </c>
      <c r="S6502" t="s">
        <v>4898</v>
      </c>
      <c r="T6502" t="s">
        <v>2704</v>
      </c>
      <c r="U6502" t="s">
        <v>4560</v>
      </c>
      <c r="V6502" s="2">
        <v>462</v>
      </c>
      <c r="W6502" t="s">
        <v>4655</v>
      </c>
      <c r="X6502" s="2">
        <v>0</v>
      </c>
      <c r="Y6502">
        <v>20</v>
      </c>
      <c r="Z6502" t="s">
        <v>1604</v>
      </c>
      <c r="AA6502" s="3">
        <v>0.154958680272102</v>
      </c>
      <c r="AB6502" t="s">
        <v>31315</v>
      </c>
      <c r="AC6502" t="s">
        <v>4575</v>
      </c>
      <c r="AD6502" t="s">
        <v>31316</v>
      </c>
      <c r="AE6502" t="s">
        <v>4655</v>
      </c>
      <c r="AF6502" t="s">
        <v>4563</v>
      </c>
      <c r="AG6502" t="s">
        <v>4564</v>
      </c>
      <c r="AH6502" t="s">
        <v>1147</v>
      </c>
      <c r="AI6502" t="s">
        <v>31317</v>
      </c>
      <c r="AJ6502" t="s">
        <v>4269</v>
      </c>
      <c r="AK6502" t="s">
        <v>31318</v>
      </c>
      <c r="AL6502" s="13" t="s">
        <v>3425</v>
      </c>
      <c r="AM6502">
        <v>1</v>
      </c>
      <c r="AN6502" s="15" t="s">
        <v>4714</v>
      </c>
    </row>
    <row r="6503" spans="1:40" x14ac:dyDescent="0.3">
      <c r="A6503" s="10" t="str">
        <f>HYPERLINK("http://www.washoecounty.gov/assessor/cama/?parid=402-182-19&amp;CardNumber=1","402-182-19")</f>
        <v>402-182-19</v>
      </c>
      <c r="B6503" t="s">
        <v>4655</v>
      </c>
      <c r="C6503" t="s">
        <v>31319</v>
      </c>
      <c r="D6503" s="1">
        <v>40304</v>
      </c>
      <c r="E6503" s="2">
        <v>174000</v>
      </c>
      <c r="F6503" t="s">
        <v>4567</v>
      </c>
      <c r="G6503" s="17" t="str">
        <f>HYPERLINK("https://www.washoecounty.gov/assessor/cama/?command=sales&amp;parid=40218219","3878662")</f>
        <v>3878662</v>
      </c>
      <c r="H6503" t="s">
        <v>3410</v>
      </c>
      <c r="I6503">
        <v>2001</v>
      </c>
      <c r="J6503">
        <v>2001</v>
      </c>
      <c r="K6503" t="s">
        <v>4554</v>
      </c>
      <c r="L6503" t="s">
        <v>4555</v>
      </c>
      <c r="M6503" s="2">
        <v>1242</v>
      </c>
      <c r="N6503" t="s">
        <v>5280</v>
      </c>
      <c r="O6503">
        <v>2</v>
      </c>
      <c r="P6503">
        <v>2</v>
      </c>
      <c r="Q6503">
        <v>0</v>
      </c>
      <c r="R6503" t="s">
        <v>5281</v>
      </c>
      <c r="S6503" t="s">
        <v>4898</v>
      </c>
      <c r="T6503" t="s">
        <v>2704</v>
      </c>
      <c r="U6503" t="s">
        <v>4560</v>
      </c>
      <c r="V6503" s="2">
        <v>462</v>
      </c>
      <c r="W6503" t="s">
        <v>4655</v>
      </c>
      <c r="X6503" s="2">
        <v>0</v>
      </c>
      <c r="Y6503">
        <v>20</v>
      </c>
      <c r="Z6503" t="s">
        <v>1604</v>
      </c>
      <c r="AA6503" s="3">
        <v>9.5041319727897602E-2</v>
      </c>
      <c r="AB6503" t="s">
        <v>31320</v>
      </c>
      <c r="AC6503" t="s">
        <v>4575</v>
      </c>
      <c r="AD6503" t="s">
        <v>31319</v>
      </c>
      <c r="AE6503" t="s">
        <v>4655</v>
      </c>
      <c r="AF6503" t="s">
        <v>4809</v>
      </c>
      <c r="AG6503" t="s">
        <v>4564</v>
      </c>
      <c r="AH6503" t="s">
        <v>3898</v>
      </c>
      <c r="AI6503" t="s">
        <v>4655</v>
      </c>
      <c r="AJ6503" t="s">
        <v>3266</v>
      </c>
      <c r="AK6503" t="s">
        <v>31321</v>
      </c>
      <c r="AL6503" s="13" t="s">
        <v>3425</v>
      </c>
      <c r="AM6503">
        <v>1</v>
      </c>
      <c r="AN6503" s="15" t="s">
        <v>4714</v>
      </c>
    </row>
    <row r="6504" spans="1:40" x14ac:dyDescent="0.3">
      <c r="A6504" s="10" t="str">
        <f>HYPERLINK("http://www.washoecounty.gov/assessor/cama/?parid=402-182-20&amp;CardNumber=1","402-182-20")</f>
        <v>402-182-20</v>
      </c>
      <c r="B6504" t="s">
        <v>4655</v>
      </c>
      <c r="C6504" t="s">
        <v>31322</v>
      </c>
      <c r="D6504" s="1">
        <v>40417</v>
      </c>
      <c r="E6504" s="2">
        <v>180000</v>
      </c>
      <c r="F6504" t="s">
        <v>4567</v>
      </c>
      <c r="G6504" s="17" t="str">
        <f>HYPERLINK("https://www.washoecounty.gov/assessor/cama/?command=sales&amp;parid=40218220","3916346")</f>
        <v>3916346</v>
      </c>
      <c r="H6504" t="s">
        <v>3410</v>
      </c>
      <c r="I6504">
        <v>2001</v>
      </c>
      <c r="J6504">
        <v>2001</v>
      </c>
      <c r="K6504" t="s">
        <v>4554</v>
      </c>
      <c r="L6504" t="s">
        <v>4555</v>
      </c>
      <c r="M6504" s="2">
        <v>1504</v>
      </c>
      <c r="N6504" t="s">
        <v>5280</v>
      </c>
      <c r="O6504">
        <v>2</v>
      </c>
      <c r="P6504">
        <v>2</v>
      </c>
      <c r="Q6504">
        <v>0</v>
      </c>
      <c r="R6504" t="s">
        <v>5281</v>
      </c>
      <c r="S6504" t="s">
        <v>4898</v>
      </c>
      <c r="T6504" t="s">
        <v>2704</v>
      </c>
      <c r="U6504" t="s">
        <v>4560</v>
      </c>
      <c r="V6504" s="2">
        <v>440</v>
      </c>
      <c r="W6504" t="s">
        <v>4655</v>
      </c>
      <c r="X6504" s="2">
        <v>0</v>
      </c>
      <c r="Y6504">
        <v>20</v>
      </c>
      <c r="Z6504" t="s">
        <v>1604</v>
      </c>
      <c r="AA6504" s="3">
        <v>9.5041319727897602E-2</v>
      </c>
      <c r="AB6504" t="s">
        <v>31323</v>
      </c>
      <c r="AC6504" t="s">
        <v>4562</v>
      </c>
      <c r="AD6504" t="s">
        <v>31322</v>
      </c>
      <c r="AE6504" t="s">
        <v>4655</v>
      </c>
      <c r="AF6504" t="s">
        <v>5201</v>
      </c>
      <c r="AG6504" t="s">
        <v>4564</v>
      </c>
      <c r="AH6504" t="s">
        <v>3898</v>
      </c>
      <c r="AI6504" t="s">
        <v>31324</v>
      </c>
      <c r="AJ6504" t="s">
        <v>3266</v>
      </c>
      <c r="AK6504" t="s">
        <v>31325</v>
      </c>
      <c r="AL6504" s="13" t="s">
        <v>3425</v>
      </c>
      <c r="AM6504">
        <v>1</v>
      </c>
      <c r="AN6504" s="15" t="s">
        <v>4714</v>
      </c>
    </row>
    <row r="6505" spans="1:40" x14ac:dyDescent="0.3">
      <c r="A6505" s="10" t="str">
        <f>HYPERLINK("http://www.washoecounty.gov/assessor/cama/?parid=402-202-05&amp;CardNumber=1","402-202-05")</f>
        <v>402-202-05</v>
      </c>
      <c r="B6505" t="s">
        <v>4655</v>
      </c>
      <c r="C6505" t="s">
        <v>31326</v>
      </c>
      <c r="D6505" s="1">
        <v>40354</v>
      </c>
      <c r="E6505" s="2">
        <v>250000</v>
      </c>
      <c r="F6505" t="s">
        <v>4567</v>
      </c>
      <c r="G6505" s="17" t="str">
        <f>HYPERLINK("https://www.washoecounty.gov/assessor/cama/?command=sales&amp;parid=40220205","3895623")</f>
        <v>3895623</v>
      </c>
      <c r="H6505" t="s">
        <v>19</v>
      </c>
      <c r="I6505">
        <v>2001</v>
      </c>
      <c r="J6505">
        <v>2001</v>
      </c>
      <c r="K6505" t="s">
        <v>4554</v>
      </c>
      <c r="L6505" t="s">
        <v>4555</v>
      </c>
      <c r="M6505" s="2">
        <v>2259</v>
      </c>
      <c r="N6505" t="s">
        <v>5280</v>
      </c>
      <c r="O6505">
        <v>2</v>
      </c>
      <c r="P6505">
        <v>2</v>
      </c>
      <c r="Q6505">
        <v>1</v>
      </c>
      <c r="R6505" t="s">
        <v>5281</v>
      </c>
      <c r="S6505" t="s">
        <v>4898</v>
      </c>
      <c r="T6505" t="s">
        <v>2704</v>
      </c>
      <c r="U6505" t="s">
        <v>4560</v>
      </c>
      <c r="V6505" s="2">
        <v>554</v>
      </c>
      <c r="W6505" t="s">
        <v>4655</v>
      </c>
      <c r="X6505" s="2">
        <v>0</v>
      </c>
      <c r="Y6505">
        <v>20</v>
      </c>
      <c r="Z6505" t="s">
        <v>1604</v>
      </c>
      <c r="AA6505" s="3">
        <v>0.14921946823596954</v>
      </c>
      <c r="AB6505" t="s">
        <v>31327</v>
      </c>
      <c r="AC6505" t="s">
        <v>4575</v>
      </c>
      <c r="AD6505" t="s">
        <v>31326</v>
      </c>
      <c r="AE6505" t="s">
        <v>4655</v>
      </c>
      <c r="AF6505" t="s">
        <v>5201</v>
      </c>
      <c r="AG6505" t="s">
        <v>4564</v>
      </c>
      <c r="AH6505" t="s">
        <v>3898</v>
      </c>
      <c r="AI6505" t="s">
        <v>31328</v>
      </c>
      <c r="AJ6505" t="s">
        <v>20</v>
      </c>
      <c r="AK6505" t="s">
        <v>31329</v>
      </c>
      <c r="AL6505" s="13" t="s">
        <v>3425</v>
      </c>
      <c r="AM6505">
        <v>1</v>
      </c>
      <c r="AN6505" s="15" t="s">
        <v>4714</v>
      </c>
    </row>
    <row r="6506" spans="1:40" x14ac:dyDescent="0.3">
      <c r="A6506" s="10" t="str">
        <f>HYPERLINK("http://www.washoecounty.gov/assessor/cama/?parid=402-211-08&amp;CardNumber=1","402-211-08")</f>
        <v>402-211-08</v>
      </c>
      <c r="B6506" t="s">
        <v>4655</v>
      </c>
      <c r="C6506" t="s">
        <v>31330</v>
      </c>
      <c r="D6506" s="1">
        <v>40416</v>
      </c>
      <c r="E6506" s="2">
        <v>240000</v>
      </c>
      <c r="F6506" t="s">
        <v>4567</v>
      </c>
      <c r="G6506" s="17" t="str">
        <f>HYPERLINK("https://www.washoecounty.gov/assessor/cama/?command=sales&amp;parid=40221108","3915919")</f>
        <v>3915919</v>
      </c>
      <c r="H6506" t="s">
        <v>3084</v>
      </c>
      <c r="I6506">
        <v>2002</v>
      </c>
      <c r="J6506">
        <v>2002</v>
      </c>
      <c r="K6506" t="s">
        <v>4554</v>
      </c>
      <c r="L6506" t="s">
        <v>4555</v>
      </c>
      <c r="M6506" s="2">
        <v>1899</v>
      </c>
      <c r="N6506" t="s">
        <v>5280</v>
      </c>
      <c r="O6506">
        <v>2</v>
      </c>
      <c r="P6506">
        <v>2</v>
      </c>
      <c r="Q6506">
        <v>0</v>
      </c>
      <c r="R6506" t="s">
        <v>5281</v>
      </c>
      <c r="S6506" t="s">
        <v>4898</v>
      </c>
      <c r="T6506" t="s">
        <v>2704</v>
      </c>
      <c r="U6506" t="s">
        <v>4560</v>
      </c>
      <c r="V6506" s="2">
        <v>440</v>
      </c>
      <c r="W6506" t="s">
        <v>4655</v>
      </c>
      <c r="X6506" s="2">
        <v>0</v>
      </c>
      <c r="Y6506">
        <v>20</v>
      </c>
      <c r="Z6506" t="s">
        <v>1604</v>
      </c>
      <c r="AA6506" s="3">
        <v>0.117102846503258</v>
      </c>
      <c r="AB6506" t="s">
        <v>31331</v>
      </c>
      <c r="AC6506" t="s">
        <v>4575</v>
      </c>
      <c r="AD6506" t="s">
        <v>31330</v>
      </c>
      <c r="AE6506" t="s">
        <v>4655</v>
      </c>
      <c r="AF6506" t="s">
        <v>5201</v>
      </c>
      <c r="AG6506" t="s">
        <v>4564</v>
      </c>
      <c r="AH6506" t="s">
        <v>3898</v>
      </c>
      <c r="AI6506" t="s">
        <v>31332</v>
      </c>
      <c r="AJ6506" t="s">
        <v>31333</v>
      </c>
      <c r="AK6506" t="s">
        <v>31334</v>
      </c>
      <c r="AL6506" s="13" t="s">
        <v>3425</v>
      </c>
      <c r="AM6506" s="14">
        <v>1</v>
      </c>
      <c r="AN6506" s="15" t="s">
        <v>4714</v>
      </c>
    </row>
    <row r="6507" spans="1:40" x14ac:dyDescent="0.3">
      <c r="A6507" s="10" t="str">
        <f>HYPERLINK("http://www.washoecounty.gov/assessor/cama/?parid=402-222-03&amp;CardNumber=1","402-222-03")</f>
        <v>402-222-03</v>
      </c>
      <c r="B6507" t="s">
        <v>4655</v>
      </c>
      <c r="C6507" t="s">
        <v>31335</v>
      </c>
      <c r="D6507" s="1">
        <v>40256</v>
      </c>
      <c r="E6507" s="2">
        <v>215000</v>
      </c>
      <c r="F6507" t="s">
        <v>4553</v>
      </c>
      <c r="G6507" s="17" t="str">
        <f>HYPERLINK("https://www.washoecounty.gov/assessor/cama/?command=sales&amp;parid=40222203","3861594")</f>
        <v>3861594</v>
      </c>
      <c r="H6507" t="s">
        <v>31336</v>
      </c>
      <c r="I6507">
        <v>2002</v>
      </c>
      <c r="J6507">
        <v>2002</v>
      </c>
      <c r="K6507" t="s">
        <v>4554</v>
      </c>
      <c r="L6507" t="s">
        <v>4555</v>
      </c>
      <c r="M6507" s="2">
        <v>2001</v>
      </c>
      <c r="N6507" t="s">
        <v>5280</v>
      </c>
      <c r="O6507">
        <v>2</v>
      </c>
      <c r="P6507">
        <v>2</v>
      </c>
      <c r="Q6507">
        <v>0</v>
      </c>
      <c r="R6507" t="s">
        <v>5281</v>
      </c>
      <c r="S6507" t="s">
        <v>4898</v>
      </c>
      <c r="T6507" t="s">
        <v>2704</v>
      </c>
      <c r="U6507" t="s">
        <v>4560</v>
      </c>
      <c r="V6507" s="2">
        <v>572</v>
      </c>
      <c r="W6507" t="s">
        <v>4655</v>
      </c>
      <c r="X6507" s="2">
        <v>0</v>
      </c>
      <c r="Y6507">
        <v>20</v>
      </c>
      <c r="Z6507" t="s">
        <v>1604</v>
      </c>
      <c r="AA6507" s="3">
        <v>0.18652433156967163</v>
      </c>
      <c r="AB6507" t="s">
        <v>31337</v>
      </c>
      <c r="AC6507" t="s">
        <v>4562</v>
      </c>
      <c r="AD6507" t="s">
        <v>31335</v>
      </c>
      <c r="AE6507" t="s">
        <v>4655</v>
      </c>
      <c r="AF6507" t="s">
        <v>5201</v>
      </c>
      <c r="AG6507" t="s">
        <v>4564</v>
      </c>
      <c r="AH6507" t="s">
        <v>3898</v>
      </c>
      <c r="AI6507" t="s">
        <v>4145</v>
      </c>
      <c r="AJ6507" t="s">
        <v>31338</v>
      </c>
      <c r="AK6507" t="s">
        <v>31339</v>
      </c>
      <c r="AL6507" s="13" t="s">
        <v>3425</v>
      </c>
      <c r="AM6507" s="14">
        <v>1</v>
      </c>
      <c r="AN6507" s="15" t="s">
        <v>4714</v>
      </c>
    </row>
    <row r="6508" spans="1:40" x14ac:dyDescent="0.3">
      <c r="A6508" s="10" t="str">
        <f>HYPERLINK("http://www.washoecounty.gov/assessor/cama/?parid=402-242-10&amp;CardNumber=1","402-242-10")</f>
        <v>402-242-10</v>
      </c>
      <c r="B6508" t="s">
        <v>4655</v>
      </c>
      <c r="C6508" t="s">
        <v>31340</v>
      </c>
      <c r="D6508" s="1">
        <v>40324</v>
      </c>
      <c r="E6508" s="2">
        <v>155000</v>
      </c>
      <c r="F6508" t="s">
        <v>4567</v>
      </c>
      <c r="G6508" s="17" t="str">
        <f>HYPERLINK("https://www.washoecounty.gov/assessor/cama/?command=sales&amp;parid=40224210","3885209")</f>
        <v>3885209</v>
      </c>
      <c r="H6508" t="s">
        <v>3188</v>
      </c>
      <c r="I6508">
        <v>2001</v>
      </c>
      <c r="J6508">
        <v>2001</v>
      </c>
      <c r="K6508" t="s">
        <v>4554</v>
      </c>
      <c r="L6508" t="s">
        <v>4555</v>
      </c>
      <c r="M6508" s="2">
        <v>1405</v>
      </c>
      <c r="N6508" t="s">
        <v>5280</v>
      </c>
      <c r="O6508">
        <v>3</v>
      </c>
      <c r="P6508">
        <v>2</v>
      </c>
      <c r="Q6508">
        <v>0</v>
      </c>
      <c r="R6508" t="s">
        <v>5281</v>
      </c>
      <c r="S6508" t="s">
        <v>4898</v>
      </c>
      <c r="T6508" t="s">
        <v>2704</v>
      </c>
      <c r="U6508" t="s">
        <v>4560</v>
      </c>
      <c r="V6508" s="2">
        <v>400</v>
      </c>
      <c r="W6508" t="s">
        <v>4655</v>
      </c>
      <c r="X6508" s="2">
        <v>0</v>
      </c>
      <c r="Y6508">
        <v>20</v>
      </c>
      <c r="Z6508" t="s">
        <v>1604</v>
      </c>
      <c r="AA6508" s="3">
        <v>0.16386593878269196</v>
      </c>
      <c r="AB6508" t="s">
        <v>31341</v>
      </c>
      <c r="AC6508" t="s">
        <v>4562</v>
      </c>
      <c r="AD6508" t="s">
        <v>31342</v>
      </c>
      <c r="AE6508" t="s">
        <v>4655</v>
      </c>
      <c r="AF6508" t="s">
        <v>4809</v>
      </c>
      <c r="AG6508" t="s">
        <v>4564</v>
      </c>
      <c r="AH6508" t="s">
        <v>1605</v>
      </c>
      <c r="AI6508" t="s">
        <v>31343</v>
      </c>
      <c r="AJ6508" t="s">
        <v>2032</v>
      </c>
      <c r="AK6508" t="s">
        <v>31344</v>
      </c>
      <c r="AL6508" s="13" t="s">
        <v>1886</v>
      </c>
      <c r="AM6508">
        <v>1</v>
      </c>
      <c r="AN6508" s="15" t="s">
        <v>2033</v>
      </c>
    </row>
    <row r="6509" spans="1:40" x14ac:dyDescent="0.3">
      <c r="A6509" s="10" t="str">
        <f>HYPERLINK("http://www.washoecounty.gov/assessor/cama/?parid=402-251-18&amp;CardNumber=1","402-251-18")</f>
        <v>402-251-18</v>
      </c>
      <c r="B6509" t="s">
        <v>4655</v>
      </c>
      <c r="C6509" t="s">
        <v>31345</v>
      </c>
      <c r="D6509" s="1">
        <v>40367</v>
      </c>
      <c r="E6509" s="2">
        <v>392000</v>
      </c>
      <c r="F6509" t="s">
        <v>4567</v>
      </c>
      <c r="G6509" s="17" t="str">
        <f>HYPERLINK("https://www.washoecounty.gov/assessor/cama/?command=sales&amp;parid=40225118","3899521")</f>
        <v>3899521</v>
      </c>
      <c r="H6509" t="s">
        <v>373</v>
      </c>
      <c r="I6509">
        <v>2005</v>
      </c>
      <c r="J6509">
        <v>2005</v>
      </c>
      <c r="K6509" t="s">
        <v>4554</v>
      </c>
      <c r="L6509" t="s">
        <v>3974</v>
      </c>
      <c r="M6509" s="2">
        <v>3081</v>
      </c>
      <c r="N6509" t="s">
        <v>3887</v>
      </c>
      <c r="O6509">
        <v>3</v>
      </c>
      <c r="P6509">
        <v>2</v>
      </c>
      <c r="Q6509">
        <v>1</v>
      </c>
      <c r="R6509" t="s">
        <v>4557</v>
      </c>
      <c r="S6509" t="s">
        <v>4898</v>
      </c>
      <c r="T6509" t="s">
        <v>2704</v>
      </c>
      <c r="U6509" t="s">
        <v>4560</v>
      </c>
      <c r="V6509" s="2">
        <v>701</v>
      </c>
      <c r="W6509" t="s">
        <v>4655</v>
      </c>
      <c r="X6509" s="2">
        <v>0</v>
      </c>
      <c r="Y6509">
        <v>20</v>
      </c>
      <c r="Z6509" t="s">
        <v>1604</v>
      </c>
      <c r="AA6509" s="3">
        <v>0.21781450510024999</v>
      </c>
      <c r="AB6509" t="s">
        <v>31346</v>
      </c>
      <c r="AC6509" t="s">
        <v>4562</v>
      </c>
      <c r="AD6509" t="s">
        <v>31345</v>
      </c>
      <c r="AE6509" t="s">
        <v>4655</v>
      </c>
      <c r="AF6509" t="s">
        <v>5201</v>
      </c>
      <c r="AG6509" t="s">
        <v>4564</v>
      </c>
      <c r="AH6509" t="s">
        <v>3898</v>
      </c>
      <c r="AI6509" t="s">
        <v>31347</v>
      </c>
      <c r="AJ6509" t="s">
        <v>631</v>
      </c>
      <c r="AK6509" t="s">
        <v>31348</v>
      </c>
      <c r="AL6509" s="13" t="s">
        <v>1886</v>
      </c>
      <c r="AM6509">
        <v>1</v>
      </c>
      <c r="AN6509" s="15" t="s">
        <v>5563</v>
      </c>
    </row>
    <row r="6510" spans="1:40" x14ac:dyDescent="0.3">
      <c r="A6510" s="10" t="str">
        <f>HYPERLINK("http://www.washoecounty.gov/assessor/cama/?parid=402-251-21&amp;CardNumber=1","402-251-21")</f>
        <v>402-251-21</v>
      </c>
      <c r="B6510" t="s">
        <v>4655</v>
      </c>
      <c r="C6510" t="s">
        <v>31349</v>
      </c>
      <c r="D6510" s="1">
        <v>40358</v>
      </c>
      <c r="E6510" s="2">
        <v>255000</v>
      </c>
      <c r="F6510" t="s">
        <v>4567</v>
      </c>
      <c r="G6510" s="17" t="str">
        <f>HYPERLINK("https://www.washoecounty.gov/assessor/cama/?command=sales&amp;parid=40225121","3896201")</f>
        <v>3896201</v>
      </c>
      <c r="H6510" t="s">
        <v>373</v>
      </c>
      <c r="I6510">
        <v>2005</v>
      </c>
      <c r="J6510">
        <v>2005</v>
      </c>
      <c r="K6510" t="s">
        <v>4554</v>
      </c>
      <c r="L6510" t="s">
        <v>4555</v>
      </c>
      <c r="M6510" s="2">
        <v>2522</v>
      </c>
      <c r="N6510" t="s">
        <v>3887</v>
      </c>
      <c r="O6510">
        <v>3</v>
      </c>
      <c r="P6510">
        <v>2</v>
      </c>
      <c r="Q6510">
        <v>1</v>
      </c>
      <c r="R6510" t="s">
        <v>4557</v>
      </c>
      <c r="S6510" t="s">
        <v>4898</v>
      </c>
      <c r="T6510" t="s">
        <v>2704</v>
      </c>
      <c r="U6510" t="s">
        <v>4560</v>
      </c>
      <c r="V6510" s="2">
        <v>682</v>
      </c>
      <c r="W6510" t="s">
        <v>4655</v>
      </c>
      <c r="X6510" s="2">
        <v>0</v>
      </c>
      <c r="Y6510">
        <v>20</v>
      </c>
      <c r="Z6510" t="s">
        <v>1604</v>
      </c>
      <c r="AA6510" s="3">
        <v>0.32068410515785201</v>
      </c>
      <c r="AB6510" t="s">
        <v>31350</v>
      </c>
      <c r="AC6510" t="s">
        <v>4562</v>
      </c>
      <c r="AD6510" t="s">
        <v>31351</v>
      </c>
      <c r="AE6510" t="s">
        <v>4655</v>
      </c>
      <c r="AF6510" t="s">
        <v>5201</v>
      </c>
      <c r="AG6510" t="s">
        <v>4564</v>
      </c>
      <c r="AH6510" t="s">
        <v>3898</v>
      </c>
      <c r="AI6510" t="s">
        <v>31352</v>
      </c>
      <c r="AJ6510" t="s">
        <v>631</v>
      </c>
      <c r="AK6510" t="s">
        <v>31353</v>
      </c>
      <c r="AL6510" s="13" t="s">
        <v>1886</v>
      </c>
      <c r="AM6510" s="14">
        <v>1</v>
      </c>
      <c r="AN6510" s="15" t="s">
        <v>5563</v>
      </c>
    </row>
    <row r="6511" spans="1:40" x14ac:dyDescent="0.3">
      <c r="A6511" s="10" t="str">
        <f>HYPERLINK("http://www.washoecounty.gov/assessor/cama/?parid=402-252-12&amp;CardNumber=1","402-252-12")</f>
        <v>402-252-12</v>
      </c>
      <c r="B6511" t="s">
        <v>4655</v>
      </c>
      <c r="C6511" t="s">
        <v>31354</v>
      </c>
      <c r="D6511" s="1">
        <v>40245</v>
      </c>
      <c r="E6511" s="2">
        <v>360000</v>
      </c>
      <c r="F6511" t="s">
        <v>4567</v>
      </c>
      <c r="G6511" s="17" t="str">
        <f>HYPERLINK("https://www.washoecounty.gov/assessor/cama/?command=sales&amp;parid=40225212","3856949")</f>
        <v>3856949</v>
      </c>
      <c r="H6511" t="s">
        <v>373</v>
      </c>
      <c r="I6511">
        <v>2005</v>
      </c>
      <c r="J6511">
        <v>2005</v>
      </c>
      <c r="K6511" t="s">
        <v>4554</v>
      </c>
      <c r="L6511" t="s">
        <v>4555</v>
      </c>
      <c r="M6511" s="2">
        <v>2522</v>
      </c>
      <c r="N6511" t="s">
        <v>3887</v>
      </c>
      <c r="O6511">
        <v>3</v>
      </c>
      <c r="P6511">
        <v>2</v>
      </c>
      <c r="Q6511">
        <v>1</v>
      </c>
      <c r="R6511" t="s">
        <v>4557</v>
      </c>
      <c r="S6511" t="s">
        <v>4898</v>
      </c>
      <c r="T6511" t="s">
        <v>2704</v>
      </c>
      <c r="U6511" t="s">
        <v>4560</v>
      </c>
      <c r="V6511" s="2">
        <v>682</v>
      </c>
      <c r="W6511" t="s">
        <v>4655</v>
      </c>
      <c r="X6511" s="2">
        <v>0</v>
      </c>
      <c r="Y6511">
        <v>20</v>
      </c>
      <c r="Z6511" t="s">
        <v>1604</v>
      </c>
      <c r="AA6511" s="3">
        <v>0.205050498247147</v>
      </c>
      <c r="AB6511" t="s">
        <v>31355</v>
      </c>
      <c r="AC6511" t="s">
        <v>4562</v>
      </c>
      <c r="AD6511" t="s">
        <v>31354</v>
      </c>
      <c r="AE6511" t="s">
        <v>4655</v>
      </c>
      <c r="AF6511" t="s">
        <v>5201</v>
      </c>
      <c r="AG6511" t="s">
        <v>4564</v>
      </c>
      <c r="AH6511" t="s">
        <v>3898</v>
      </c>
      <c r="AI6511" t="s">
        <v>31356</v>
      </c>
      <c r="AJ6511" t="s">
        <v>631</v>
      </c>
      <c r="AK6511" t="s">
        <v>31357</v>
      </c>
      <c r="AL6511" s="13" t="s">
        <v>1886</v>
      </c>
      <c r="AM6511">
        <v>1</v>
      </c>
      <c r="AN6511" s="15" t="s">
        <v>5563</v>
      </c>
    </row>
    <row r="6512" spans="1:40" x14ac:dyDescent="0.3">
      <c r="A6512" s="10" t="str">
        <f>HYPERLINK("http://www.washoecounty.gov/assessor/cama/?parid=402-272-19&amp;CardNumber=1","402-272-19")</f>
        <v>402-272-19</v>
      </c>
      <c r="B6512" t="s">
        <v>4655</v>
      </c>
      <c r="C6512" t="s">
        <v>31358</v>
      </c>
      <c r="D6512" s="1">
        <v>40210</v>
      </c>
      <c r="E6512" s="2">
        <v>369000</v>
      </c>
      <c r="F6512" t="s">
        <v>4567</v>
      </c>
      <c r="G6512" s="17" t="str">
        <f>HYPERLINK("https://www.washoecounty.gov/assessor/cama/?command=sales&amp;parid=40227219","3844865")</f>
        <v>3844865</v>
      </c>
      <c r="H6512" t="s">
        <v>4093</v>
      </c>
      <c r="I6512">
        <v>2007</v>
      </c>
      <c r="J6512">
        <v>2007</v>
      </c>
      <c r="K6512" t="s">
        <v>4554</v>
      </c>
      <c r="L6512" t="s">
        <v>4555</v>
      </c>
      <c r="M6512" s="2">
        <v>2618</v>
      </c>
      <c r="N6512" t="s">
        <v>3887</v>
      </c>
      <c r="O6512">
        <v>3</v>
      </c>
      <c r="P6512">
        <v>2</v>
      </c>
      <c r="Q6512">
        <v>0</v>
      </c>
      <c r="R6512" t="s">
        <v>5281</v>
      </c>
      <c r="S6512" t="s">
        <v>4898</v>
      </c>
      <c r="T6512" t="s">
        <v>2704</v>
      </c>
      <c r="U6512" t="s">
        <v>4560</v>
      </c>
      <c r="V6512" s="2">
        <v>462</v>
      </c>
      <c r="W6512" t="s">
        <v>3201</v>
      </c>
      <c r="X6512" s="2">
        <v>1100</v>
      </c>
      <c r="Y6512">
        <v>20</v>
      </c>
      <c r="Z6512" t="s">
        <v>1604</v>
      </c>
      <c r="AA6512" s="3">
        <v>0.24391643702983901</v>
      </c>
      <c r="AB6512" t="s">
        <v>31359</v>
      </c>
      <c r="AC6512" t="s">
        <v>4562</v>
      </c>
      <c r="AD6512" t="s">
        <v>31360</v>
      </c>
      <c r="AE6512" t="s">
        <v>4655</v>
      </c>
      <c r="AF6512" t="s">
        <v>5201</v>
      </c>
      <c r="AG6512" t="s">
        <v>4564</v>
      </c>
      <c r="AH6512" t="s">
        <v>3898</v>
      </c>
      <c r="AI6512" t="s">
        <v>31361</v>
      </c>
      <c r="AJ6512" t="s">
        <v>5562</v>
      </c>
      <c r="AK6512" t="s">
        <v>31362</v>
      </c>
      <c r="AL6512" s="13" t="s">
        <v>1886</v>
      </c>
      <c r="AM6512" s="14">
        <v>1</v>
      </c>
      <c r="AN6512" s="15" t="s">
        <v>5563</v>
      </c>
    </row>
    <row r="6513" spans="1:40" x14ac:dyDescent="0.3">
      <c r="A6513" s="10" t="str">
        <f>HYPERLINK("http://www.washoecounty.gov/assessor/cama/?parid=402-281-14&amp;CardNumber=1","402-281-14")</f>
        <v>402-281-14</v>
      </c>
      <c r="B6513" t="s">
        <v>4655</v>
      </c>
      <c r="C6513" t="s">
        <v>31363</v>
      </c>
      <c r="D6513" s="1">
        <v>40441</v>
      </c>
      <c r="E6513" s="2">
        <v>157500</v>
      </c>
      <c r="F6513" t="s">
        <v>4567</v>
      </c>
      <c r="G6513" s="17" t="str">
        <f>HYPERLINK("https://www.washoecounty.gov/assessor/cama/?command=sales&amp;parid=40228114","3924163")</f>
        <v>3924163</v>
      </c>
      <c r="H6513" t="s">
        <v>1180</v>
      </c>
      <c r="I6513">
        <v>2002</v>
      </c>
      <c r="J6513">
        <v>2002</v>
      </c>
      <c r="K6513" t="s">
        <v>4554</v>
      </c>
      <c r="L6513" t="s">
        <v>3974</v>
      </c>
      <c r="M6513" s="2">
        <v>1738</v>
      </c>
      <c r="N6513" t="s">
        <v>5280</v>
      </c>
      <c r="O6513">
        <v>3</v>
      </c>
      <c r="P6513">
        <v>2</v>
      </c>
      <c r="Q6513">
        <v>1</v>
      </c>
      <c r="R6513" t="s">
        <v>5281</v>
      </c>
      <c r="S6513" t="s">
        <v>4898</v>
      </c>
      <c r="T6513" t="s">
        <v>2704</v>
      </c>
      <c r="U6513" t="s">
        <v>5631</v>
      </c>
      <c r="V6513" s="2">
        <v>426</v>
      </c>
      <c r="W6513" t="s">
        <v>4655</v>
      </c>
      <c r="X6513" s="2">
        <v>0</v>
      </c>
      <c r="Y6513">
        <v>20</v>
      </c>
      <c r="Z6513" t="s">
        <v>1604</v>
      </c>
      <c r="AA6513" s="3">
        <v>0.163980722427368</v>
      </c>
      <c r="AB6513" t="s">
        <v>31364</v>
      </c>
      <c r="AC6513" t="s">
        <v>4562</v>
      </c>
      <c r="AD6513" t="s">
        <v>31363</v>
      </c>
      <c r="AE6513" t="s">
        <v>4655</v>
      </c>
      <c r="AF6513" t="s">
        <v>5201</v>
      </c>
      <c r="AG6513" t="s">
        <v>4564</v>
      </c>
      <c r="AH6513" t="s">
        <v>3898</v>
      </c>
      <c r="AI6513" t="s">
        <v>31365</v>
      </c>
      <c r="AJ6513" t="s">
        <v>2112</v>
      </c>
      <c r="AK6513" t="s">
        <v>31366</v>
      </c>
      <c r="AL6513" s="13" t="s">
        <v>1886</v>
      </c>
      <c r="AM6513" s="14">
        <v>1</v>
      </c>
      <c r="AN6513" s="15" t="s">
        <v>1991</v>
      </c>
    </row>
    <row r="6514" spans="1:40" x14ac:dyDescent="0.3">
      <c r="A6514" s="10" t="str">
        <f>HYPERLINK("http://www.washoecounty.gov/assessor/cama/?parid=402-281-23&amp;CardNumber=1","402-281-23")</f>
        <v>402-281-23</v>
      </c>
      <c r="B6514" t="s">
        <v>4655</v>
      </c>
      <c r="C6514" t="s">
        <v>31367</v>
      </c>
      <c r="D6514" s="1">
        <v>40438</v>
      </c>
      <c r="E6514" s="2">
        <v>148000</v>
      </c>
      <c r="F6514" t="s">
        <v>4553</v>
      </c>
      <c r="G6514" s="17" t="str">
        <f>HYPERLINK("https://www.washoecounty.gov/assessor/cama/?command=sales&amp;parid=40228123","3923715")</f>
        <v>3923715</v>
      </c>
      <c r="H6514" t="s">
        <v>1180</v>
      </c>
      <c r="I6514">
        <v>2002</v>
      </c>
      <c r="J6514">
        <v>2002</v>
      </c>
      <c r="K6514" t="s">
        <v>4554</v>
      </c>
      <c r="L6514" t="s">
        <v>3974</v>
      </c>
      <c r="M6514" s="2">
        <v>1368</v>
      </c>
      <c r="N6514" t="s">
        <v>5280</v>
      </c>
      <c r="O6514">
        <v>3</v>
      </c>
      <c r="P6514">
        <v>2</v>
      </c>
      <c r="Q6514">
        <v>1</v>
      </c>
      <c r="R6514" t="s">
        <v>5281</v>
      </c>
      <c r="S6514" t="s">
        <v>4898</v>
      </c>
      <c r="T6514" t="s">
        <v>2704</v>
      </c>
      <c r="U6514" t="s">
        <v>5631</v>
      </c>
      <c r="V6514" s="2">
        <v>420</v>
      </c>
      <c r="W6514" t="s">
        <v>4655</v>
      </c>
      <c r="X6514" s="2">
        <v>0</v>
      </c>
      <c r="Y6514">
        <v>20</v>
      </c>
      <c r="Z6514" t="s">
        <v>1604</v>
      </c>
      <c r="AA6514" s="3">
        <v>9.6625342965125996E-2</v>
      </c>
      <c r="AB6514" t="s">
        <v>31368</v>
      </c>
      <c r="AC6514" t="s">
        <v>4562</v>
      </c>
      <c r="AD6514" t="s">
        <v>31369</v>
      </c>
      <c r="AE6514" t="s">
        <v>4655</v>
      </c>
      <c r="AF6514" t="s">
        <v>5178</v>
      </c>
      <c r="AG6514" t="s">
        <v>4584</v>
      </c>
      <c r="AH6514" t="s">
        <v>5179</v>
      </c>
      <c r="AI6514" t="s">
        <v>4655</v>
      </c>
      <c r="AJ6514" t="s">
        <v>2112</v>
      </c>
      <c r="AK6514" t="s">
        <v>31370</v>
      </c>
      <c r="AL6514" s="13" t="s">
        <v>1886</v>
      </c>
      <c r="AM6514">
        <v>1</v>
      </c>
      <c r="AN6514" s="15" t="s">
        <v>1991</v>
      </c>
    </row>
    <row r="6515" spans="1:40" x14ac:dyDescent="0.3">
      <c r="A6515" s="10" t="str">
        <f>HYPERLINK("http://www.washoecounty.gov/assessor/cama/?parid=402-281-35&amp;CardNumber=1","402-281-35")</f>
        <v>402-281-35</v>
      </c>
      <c r="B6515" t="s">
        <v>4655</v>
      </c>
      <c r="C6515" t="s">
        <v>31371</v>
      </c>
      <c r="D6515" s="1">
        <v>40505</v>
      </c>
      <c r="E6515" s="2">
        <v>149900</v>
      </c>
      <c r="F6515" t="s">
        <v>4553</v>
      </c>
      <c r="G6515" s="17" t="str">
        <f>HYPERLINK("https://www.washoecounty.gov/assessor/cama/?command=sales&amp;parid=40228135","3946032")</f>
        <v>3946032</v>
      </c>
      <c r="H6515" t="s">
        <v>1180</v>
      </c>
      <c r="I6515">
        <v>2002</v>
      </c>
      <c r="J6515">
        <v>2002</v>
      </c>
      <c r="K6515" t="s">
        <v>4554</v>
      </c>
      <c r="L6515" t="s">
        <v>3974</v>
      </c>
      <c r="M6515" s="2">
        <v>1738</v>
      </c>
      <c r="N6515" t="s">
        <v>5280</v>
      </c>
      <c r="O6515">
        <v>3</v>
      </c>
      <c r="P6515">
        <v>2</v>
      </c>
      <c r="Q6515">
        <v>1</v>
      </c>
      <c r="R6515" t="s">
        <v>5281</v>
      </c>
      <c r="S6515" t="s">
        <v>4898</v>
      </c>
      <c r="T6515" t="s">
        <v>2704</v>
      </c>
      <c r="U6515" t="s">
        <v>5631</v>
      </c>
      <c r="V6515" s="2">
        <v>426</v>
      </c>
      <c r="W6515" t="s">
        <v>4655</v>
      </c>
      <c r="X6515" s="2">
        <v>0</v>
      </c>
      <c r="Y6515">
        <v>20</v>
      </c>
      <c r="Z6515" t="s">
        <v>1604</v>
      </c>
      <c r="AA6515" s="3">
        <v>9.6625342965125996E-2</v>
      </c>
      <c r="AB6515" t="s">
        <v>31372</v>
      </c>
      <c r="AC6515" t="s">
        <v>4562</v>
      </c>
      <c r="AD6515" t="s">
        <v>31373</v>
      </c>
      <c r="AE6515" t="s">
        <v>4655</v>
      </c>
      <c r="AF6515" t="s">
        <v>4809</v>
      </c>
      <c r="AG6515" t="s">
        <v>4564</v>
      </c>
      <c r="AH6515" t="s">
        <v>3898</v>
      </c>
      <c r="AI6515" t="s">
        <v>4045</v>
      </c>
      <c r="AJ6515" t="s">
        <v>2112</v>
      </c>
      <c r="AK6515" t="s">
        <v>31374</v>
      </c>
      <c r="AL6515" s="13" t="s">
        <v>1886</v>
      </c>
      <c r="AM6515">
        <v>1</v>
      </c>
      <c r="AN6515" s="15" t="s">
        <v>1991</v>
      </c>
    </row>
    <row r="6516" spans="1:40" x14ac:dyDescent="0.3">
      <c r="A6516" s="10" t="str">
        <f>HYPERLINK("http://www.washoecounty.gov/assessor/cama/?parid=402-283-20&amp;CardNumber=1","402-283-20")</f>
        <v>402-283-20</v>
      </c>
      <c r="B6516" t="s">
        <v>4655</v>
      </c>
      <c r="C6516" t="s">
        <v>31375</v>
      </c>
      <c r="D6516" s="1">
        <v>40276</v>
      </c>
      <c r="E6516" s="2">
        <v>148000</v>
      </c>
      <c r="F6516" t="s">
        <v>4553</v>
      </c>
      <c r="G6516" s="17" t="str">
        <f>HYPERLINK("https://www.washoecounty.gov/assessor/cama/?command=sales&amp;parid=40228320","3869014")</f>
        <v>3869014</v>
      </c>
      <c r="H6516" t="s">
        <v>1180</v>
      </c>
      <c r="I6516">
        <v>2002</v>
      </c>
      <c r="J6516">
        <v>2002</v>
      </c>
      <c r="K6516" t="s">
        <v>4554</v>
      </c>
      <c r="L6516" t="s">
        <v>3974</v>
      </c>
      <c r="M6516" s="2">
        <v>1368</v>
      </c>
      <c r="N6516" t="s">
        <v>5280</v>
      </c>
      <c r="O6516">
        <v>3</v>
      </c>
      <c r="P6516">
        <v>2</v>
      </c>
      <c r="Q6516">
        <v>1</v>
      </c>
      <c r="R6516" t="s">
        <v>5281</v>
      </c>
      <c r="S6516" t="s">
        <v>4898</v>
      </c>
      <c r="T6516" t="s">
        <v>2704</v>
      </c>
      <c r="U6516" t="s">
        <v>5631</v>
      </c>
      <c r="V6516" s="2">
        <v>420</v>
      </c>
      <c r="W6516" t="s">
        <v>4655</v>
      </c>
      <c r="X6516" s="2">
        <v>0</v>
      </c>
      <c r="Y6516">
        <v>20</v>
      </c>
      <c r="Z6516" t="s">
        <v>1604</v>
      </c>
      <c r="AA6516" s="3">
        <v>9.1965109109878498E-2</v>
      </c>
      <c r="AB6516" t="s">
        <v>31376</v>
      </c>
      <c r="AC6516" t="s">
        <v>4562</v>
      </c>
      <c r="AD6516" t="s">
        <v>31377</v>
      </c>
      <c r="AE6516" t="s">
        <v>4655</v>
      </c>
      <c r="AF6516" t="s">
        <v>4809</v>
      </c>
      <c r="AG6516" t="s">
        <v>4564</v>
      </c>
      <c r="AH6516" t="s">
        <v>3898</v>
      </c>
      <c r="AI6516" t="s">
        <v>4903</v>
      </c>
      <c r="AJ6516" t="s">
        <v>2112</v>
      </c>
      <c r="AK6516" t="s">
        <v>31378</v>
      </c>
      <c r="AL6516" s="13" t="s">
        <v>1886</v>
      </c>
      <c r="AM6516" s="14">
        <v>1</v>
      </c>
      <c r="AN6516" s="15" t="s">
        <v>1991</v>
      </c>
    </row>
    <row r="6517" spans="1:40" x14ac:dyDescent="0.3">
      <c r="A6517" s="10" t="str">
        <f>HYPERLINK("http://www.washoecounty.gov/assessor/cama/?parid=402-302-10&amp;CardNumber=1","402-302-10")</f>
        <v>402-302-10</v>
      </c>
      <c r="B6517" t="s">
        <v>4655</v>
      </c>
      <c r="C6517" t="s">
        <v>31379</v>
      </c>
      <c r="D6517" s="1">
        <v>40410</v>
      </c>
      <c r="E6517" s="2">
        <v>238000</v>
      </c>
      <c r="F6517" t="s">
        <v>4553</v>
      </c>
      <c r="G6517" s="17" t="str">
        <f>HYPERLINK("https://www.washoecounty.gov/assessor/cama/?command=sales&amp;parid=40230210","3914151")</f>
        <v>3914151</v>
      </c>
      <c r="H6517" t="s">
        <v>978</v>
      </c>
      <c r="I6517">
        <v>2002</v>
      </c>
      <c r="J6517">
        <v>2002</v>
      </c>
      <c r="K6517" t="s">
        <v>4554</v>
      </c>
      <c r="L6517" t="s">
        <v>3974</v>
      </c>
      <c r="M6517" s="2">
        <v>2520</v>
      </c>
      <c r="N6517" t="s">
        <v>5280</v>
      </c>
      <c r="O6517">
        <v>3</v>
      </c>
      <c r="P6517">
        <v>2</v>
      </c>
      <c r="Q6517">
        <v>1</v>
      </c>
      <c r="R6517" t="s">
        <v>4557</v>
      </c>
      <c r="S6517" t="s">
        <v>4898</v>
      </c>
      <c r="T6517" t="s">
        <v>2704</v>
      </c>
      <c r="U6517" t="s">
        <v>5631</v>
      </c>
      <c r="V6517" s="2">
        <v>632</v>
      </c>
      <c r="W6517" t="s">
        <v>4655</v>
      </c>
      <c r="X6517" s="2">
        <v>0</v>
      </c>
      <c r="Y6517">
        <v>20</v>
      </c>
      <c r="Z6517" t="s">
        <v>1604</v>
      </c>
      <c r="AA6517" s="3">
        <v>0.17596419155597687</v>
      </c>
      <c r="AB6517" t="s">
        <v>31380</v>
      </c>
      <c r="AC6517" t="s">
        <v>4562</v>
      </c>
      <c r="AD6517" t="s">
        <v>31379</v>
      </c>
      <c r="AE6517" t="s">
        <v>4655</v>
      </c>
      <c r="AF6517" t="s">
        <v>5201</v>
      </c>
      <c r="AG6517" t="s">
        <v>4564</v>
      </c>
      <c r="AH6517" t="s">
        <v>1605</v>
      </c>
      <c r="AI6517" t="s">
        <v>949</v>
      </c>
      <c r="AJ6517" t="s">
        <v>979</v>
      </c>
      <c r="AK6517" t="s">
        <v>31381</v>
      </c>
      <c r="AL6517" s="13" t="s">
        <v>1886</v>
      </c>
      <c r="AM6517">
        <v>1</v>
      </c>
      <c r="AN6517" s="15" t="s">
        <v>5563</v>
      </c>
    </row>
    <row r="6518" spans="1:40" x14ac:dyDescent="0.3">
      <c r="A6518" s="10" t="str">
        <f>HYPERLINK("http://www.washoecounty.gov/assessor/cama/?parid=402-303-02&amp;CardNumber=1","402-303-02")</f>
        <v>402-303-02</v>
      </c>
      <c r="B6518" t="s">
        <v>4655</v>
      </c>
      <c r="C6518" t="s">
        <v>31382</v>
      </c>
      <c r="D6518" s="1">
        <v>40535</v>
      </c>
      <c r="E6518" s="2">
        <v>274500</v>
      </c>
      <c r="F6518" t="s">
        <v>4567</v>
      </c>
      <c r="G6518" s="17" t="str">
        <f>HYPERLINK("https://www.washoecounty.gov/assessor/cama/?command=sales&amp;parid=40230302","3956982")</f>
        <v>3956982</v>
      </c>
      <c r="H6518" t="s">
        <v>978</v>
      </c>
      <c r="I6518">
        <v>2002</v>
      </c>
      <c r="J6518">
        <v>2002</v>
      </c>
      <c r="K6518" t="s">
        <v>4554</v>
      </c>
      <c r="L6518" t="s">
        <v>3974</v>
      </c>
      <c r="M6518" s="2">
        <v>2749</v>
      </c>
      <c r="N6518" t="s">
        <v>5280</v>
      </c>
      <c r="O6518">
        <v>4</v>
      </c>
      <c r="P6518">
        <v>2</v>
      </c>
      <c r="Q6518">
        <v>1</v>
      </c>
      <c r="R6518" t="s">
        <v>4557</v>
      </c>
      <c r="S6518" t="s">
        <v>4898</v>
      </c>
      <c r="T6518" t="s">
        <v>2704</v>
      </c>
      <c r="U6518" t="s">
        <v>5631</v>
      </c>
      <c r="V6518" s="2">
        <v>709</v>
      </c>
      <c r="W6518" t="s">
        <v>4655</v>
      </c>
      <c r="X6518" s="2">
        <v>0</v>
      </c>
      <c r="Y6518">
        <v>20</v>
      </c>
      <c r="Z6518" t="s">
        <v>1604</v>
      </c>
      <c r="AA6518" s="3">
        <v>0.15668043494224501</v>
      </c>
      <c r="AB6518" t="s">
        <v>31383</v>
      </c>
      <c r="AC6518" t="s">
        <v>4562</v>
      </c>
      <c r="AD6518" t="s">
        <v>31384</v>
      </c>
      <c r="AE6518" t="s">
        <v>4655</v>
      </c>
      <c r="AF6518" t="s">
        <v>4809</v>
      </c>
      <c r="AG6518" t="s">
        <v>4564</v>
      </c>
      <c r="AH6518" t="s">
        <v>3898</v>
      </c>
      <c r="AI6518" t="s">
        <v>31385</v>
      </c>
      <c r="AJ6518" t="s">
        <v>979</v>
      </c>
      <c r="AK6518" t="s">
        <v>31386</v>
      </c>
      <c r="AL6518" s="13" t="s">
        <v>1886</v>
      </c>
      <c r="AM6518">
        <v>1</v>
      </c>
      <c r="AN6518" s="15" t="s">
        <v>5563</v>
      </c>
    </row>
    <row r="6519" spans="1:40" x14ac:dyDescent="0.3">
      <c r="A6519" s="10" t="str">
        <f>HYPERLINK("http://www.washoecounty.gov/assessor/cama/?parid=402-312-07&amp;CardNumber=1","402-312-07")</f>
        <v>402-312-07</v>
      </c>
      <c r="B6519" t="s">
        <v>4655</v>
      </c>
      <c r="C6519" t="s">
        <v>31387</v>
      </c>
      <c r="D6519" s="1">
        <v>40351</v>
      </c>
      <c r="E6519" s="2">
        <v>346500</v>
      </c>
      <c r="F6519" t="s">
        <v>4567</v>
      </c>
      <c r="G6519" s="17" t="str">
        <f>HYPERLINK("https://www.washoecounty.gov/assessor/cama/?command=sales&amp;parid=40231207","3894053")</f>
        <v>3894053</v>
      </c>
      <c r="H6519" t="s">
        <v>5564</v>
      </c>
      <c r="I6519">
        <v>2003</v>
      </c>
      <c r="J6519">
        <v>2003</v>
      </c>
      <c r="K6519" t="s">
        <v>4554</v>
      </c>
      <c r="L6519" t="s">
        <v>4555</v>
      </c>
      <c r="M6519" s="2">
        <v>2522</v>
      </c>
      <c r="N6519" t="s">
        <v>3887</v>
      </c>
      <c r="O6519">
        <v>3</v>
      </c>
      <c r="P6519">
        <v>2</v>
      </c>
      <c r="Q6519">
        <v>1</v>
      </c>
      <c r="R6519" t="s">
        <v>5281</v>
      </c>
      <c r="S6519" t="s">
        <v>4898</v>
      </c>
      <c r="T6519" t="s">
        <v>2704</v>
      </c>
      <c r="U6519" t="s">
        <v>4560</v>
      </c>
      <c r="V6519" s="2">
        <v>682</v>
      </c>
      <c r="W6519" t="s">
        <v>4655</v>
      </c>
      <c r="X6519" s="2">
        <v>0</v>
      </c>
      <c r="Y6519">
        <v>20</v>
      </c>
      <c r="Z6519" t="s">
        <v>1604</v>
      </c>
      <c r="AA6519" s="3">
        <v>0.27309459447860701</v>
      </c>
      <c r="AB6519" t="s">
        <v>31388</v>
      </c>
      <c r="AC6519" t="s">
        <v>4562</v>
      </c>
      <c r="AD6519" t="s">
        <v>31387</v>
      </c>
      <c r="AE6519" t="s">
        <v>4655</v>
      </c>
      <c r="AF6519" t="s">
        <v>5201</v>
      </c>
      <c r="AG6519" t="s">
        <v>4564</v>
      </c>
      <c r="AH6519" t="s">
        <v>3898</v>
      </c>
      <c r="AI6519" t="s">
        <v>31389</v>
      </c>
      <c r="AJ6519" t="s">
        <v>5565</v>
      </c>
      <c r="AK6519" t="s">
        <v>31390</v>
      </c>
      <c r="AL6519" s="13" t="s">
        <v>1886</v>
      </c>
      <c r="AM6519">
        <v>1</v>
      </c>
      <c r="AN6519" s="15" t="s">
        <v>5563</v>
      </c>
    </row>
    <row r="6520" spans="1:40" x14ac:dyDescent="0.3">
      <c r="A6520" s="10" t="str">
        <f>HYPERLINK("http://www.washoecounty.gov/assessor/cama/?parid=402-323-01&amp;CardNumber=1","402-323-01")</f>
        <v>402-323-01</v>
      </c>
      <c r="B6520" t="s">
        <v>4655</v>
      </c>
      <c r="C6520" t="s">
        <v>31391</v>
      </c>
      <c r="D6520" s="1">
        <v>40199</v>
      </c>
      <c r="E6520" s="2">
        <v>279000</v>
      </c>
      <c r="F6520" t="s">
        <v>4553</v>
      </c>
      <c r="G6520" s="17" t="str">
        <f>HYPERLINK("https://www.washoecounty.gov/assessor/cama/?command=sales&amp;parid=40232301","3841656")</f>
        <v>3841656</v>
      </c>
      <c r="H6520" t="s">
        <v>5564</v>
      </c>
      <c r="I6520">
        <v>2003</v>
      </c>
      <c r="J6520">
        <v>2003</v>
      </c>
      <c r="K6520" t="s">
        <v>4554</v>
      </c>
      <c r="L6520" t="s">
        <v>4555</v>
      </c>
      <c r="M6520" s="2">
        <v>2087</v>
      </c>
      <c r="N6520" t="s">
        <v>3887</v>
      </c>
      <c r="O6520">
        <v>3</v>
      </c>
      <c r="P6520">
        <v>2</v>
      </c>
      <c r="Q6520">
        <v>0</v>
      </c>
      <c r="R6520" t="s">
        <v>5281</v>
      </c>
      <c r="S6520" t="s">
        <v>4898</v>
      </c>
      <c r="T6520" t="s">
        <v>2704</v>
      </c>
      <c r="U6520" t="s">
        <v>4560</v>
      </c>
      <c r="V6520" s="2">
        <v>686</v>
      </c>
      <c r="W6520" t="s">
        <v>4655</v>
      </c>
      <c r="X6520" s="2">
        <v>0</v>
      </c>
      <c r="Y6520">
        <v>20</v>
      </c>
      <c r="Z6520" t="s">
        <v>1604</v>
      </c>
      <c r="AA6520" s="3">
        <v>0.21377409994602201</v>
      </c>
      <c r="AB6520" t="s">
        <v>31392</v>
      </c>
      <c r="AC6520" t="s">
        <v>4575</v>
      </c>
      <c r="AD6520" t="s">
        <v>31393</v>
      </c>
      <c r="AE6520" t="s">
        <v>4655</v>
      </c>
      <c r="AF6520" t="s">
        <v>4809</v>
      </c>
      <c r="AG6520" t="s">
        <v>4564</v>
      </c>
      <c r="AH6520" t="s">
        <v>3898</v>
      </c>
      <c r="AI6520" t="s">
        <v>30225</v>
      </c>
      <c r="AJ6520" t="s">
        <v>5565</v>
      </c>
      <c r="AK6520" t="s">
        <v>31394</v>
      </c>
      <c r="AL6520" s="13" t="s">
        <v>1886</v>
      </c>
      <c r="AM6520" s="14">
        <v>1</v>
      </c>
      <c r="AN6520" s="15" t="s">
        <v>5563</v>
      </c>
    </row>
    <row r="6521" spans="1:40" x14ac:dyDescent="0.3">
      <c r="A6521" s="10" t="str">
        <f>HYPERLINK("http://www.washoecounty.gov/assessor/cama/?parid=402-331-09&amp;CardNumber=1","402-331-09")</f>
        <v>402-331-09</v>
      </c>
      <c r="B6521" t="s">
        <v>4655</v>
      </c>
      <c r="C6521" t="s">
        <v>31395</v>
      </c>
      <c r="D6521" s="1">
        <v>40402</v>
      </c>
      <c r="E6521" s="2">
        <v>185000</v>
      </c>
      <c r="F6521" t="s">
        <v>4567</v>
      </c>
      <c r="G6521" s="17" t="str">
        <f>HYPERLINK("https://www.washoecounty.gov/assessor/cama/?command=sales&amp;parid=40233109","3911205")</f>
        <v>3911205</v>
      </c>
      <c r="H6521" t="s">
        <v>31396</v>
      </c>
      <c r="I6521">
        <v>2002</v>
      </c>
      <c r="J6521">
        <v>2002</v>
      </c>
      <c r="K6521" t="s">
        <v>4554</v>
      </c>
      <c r="L6521" t="s">
        <v>4555</v>
      </c>
      <c r="M6521" s="2">
        <v>1670</v>
      </c>
      <c r="N6521" t="s">
        <v>5280</v>
      </c>
      <c r="O6521">
        <v>3</v>
      </c>
      <c r="P6521">
        <v>2</v>
      </c>
      <c r="Q6521">
        <v>0</v>
      </c>
      <c r="R6521" t="s">
        <v>5281</v>
      </c>
      <c r="S6521" t="s">
        <v>4898</v>
      </c>
      <c r="T6521" t="s">
        <v>2704</v>
      </c>
      <c r="U6521" t="s">
        <v>4560</v>
      </c>
      <c r="V6521" s="2">
        <v>440</v>
      </c>
      <c r="W6521" t="s">
        <v>4655</v>
      </c>
      <c r="X6521" s="2">
        <v>0</v>
      </c>
      <c r="Y6521">
        <v>20</v>
      </c>
      <c r="Z6521" t="s">
        <v>1604</v>
      </c>
      <c r="AA6521" s="3">
        <v>0.123966939747334</v>
      </c>
      <c r="AB6521" t="s">
        <v>31397</v>
      </c>
      <c r="AC6521" t="s">
        <v>4562</v>
      </c>
      <c r="AD6521" t="s">
        <v>31395</v>
      </c>
      <c r="AE6521" t="s">
        <v>4655</v>
      </c>
      <c r="AF6521" t="s">
        <v>5201</v>
      </c>
      <c r="AG6521" t="s">
        <v>4564</v>
      </c>
      <c r="AH6521" t="s">
        <v>3898</v>
      </c>
      <c r="AI6521" t="s">
        <v>31398</v>
      </c>
      <c r="AJ6521" t="s">
        <v>31399</v>
      </c>
      <c r="AK6521" t="s">
        <v>31400</v>
      </c>
      <c r="AL6521" s="13" t="s">
        <v>3425</v>
      </c>
      <c r="AM6521" s="14">
        <v>1</v>
      </c>
      <c r="AN6521" s="15" t="s">
        <v>4714</v>
      </c>
    </row>
    <row r="6522" spans="1:40" x14ac:dyDescent="0.3">
      <c r="A6522" s="10" t="str">
        <f>HYPERLINK("http://www.washoecounty.gov/assessor/cama/?parid=402-341-01&amp;CardNumber=1","402-341-01")</f>
        <v>402-341-01</v>
      </c>
      <c r="B6522" t="s">
        <v>4655</v>
      </c>
      <c r="C6522" t="s">
        <v>31401</v>
      </c>
      <c r="D6522" s="1">
        <v>40417</v>
      </c>
      <c r="E6522" s="2">
        <v>250000</v>
      </c>
      <c r="F6522" t="s">
        <v>4567</v>
      </c>
      <c r="G6522" s="17" t="str">
        <f>HYPERLINK("https://www.washoecounty.gov/assessor/cama/?command=sales&amp;parid=40234101","3916419")</f>
        <v>3916419</v>
      </c>
      <c r="H6522" t="s">
        <v>972</v>
      </c>
      <c r="I6522">
        <v>2004</v>
      </c>
      <c r="J6522">
        <v>2004</v>
      </c>
      <c r="K6522" t="s">
        <v>4554</v>
      </c>
      <c r="L6522" t="s">
        <v>4555</v>
      </c>
      <c r="M6522" s="2">
        <v>2001</v>
      </c>
      <c r="N6522" t="s">
        <v>5280</v>
      </c>
      <c r="O6522">
        <v>2</v>
      </c>
      <c r="P6522">
        <v>2</v>
      </c>
      <c r="Q6522">
        <v>0</v>
      </c>
      <c r="R6522" t="s">
        <v>5281</v>
      </c>
      <c r="S6522" t="s">
        <v>4898</v>
      </c>
      <c r="T6522" t="s">
        <v>2704</v>
      </c>
      <c r="U6522" t="s">
        <v>4560</v>
      </c>
      <c r="V6522" s="2">
        <v>572</v>
      </c>
      <c r="W6522" t="s">
        <v>4655</v>
      </c>
      <c r="X6522" s="2">
        <v>0</v>
      </c>
      <c r="Y6522">
        <v>20</v>
      </c>
      <c r="Z6522" t="s">
        <v>1604</v>
      </c>
      <c r="AA6522" s="3">
        <v>0.21292470395565</v>
      </c>
      <c r="AB6522" t="s">
        <v>31402</v>
      </c>
      <c r="AC6522" t="s">
        <v>4562</v>
      </c>
      <c r="AD6522" t="s">
        <v>31401</v>
      </c>
      <c r="AE6522" t="s">
        <v>4655</v>
      </c>
      <c r="AF6522" t="s">
        <v>5201</v>
      </c>
      <c r="AG6522" t="s">
        <v>4564</v>
      </c>
      <c r="AH6522" t="s">
        <v>3898</v>
      </c>
      <c r="AI6522" t="s">
        <v>31403</v>
      </c>
      <c r="AJ6522" t="s">
        <v>973</v>
      </c>
      <c r="AK6522" t="s">
        <v>31404</v>
      </c>
      <c r="AL6522" s="13" t="s">
        <v>3425</v>
      </c>
      <c r="AM6522" s="14">
        <v>1</v>
      </c>
      <c r="AN6522" s="15" t="s">
        <v>4714</v>
      </c>
    </row>
    <row r="6523" spans="1:40" x14ac:dyDescent="0.3">
      <c r="A6523" s="10" t="str">
        <f>HYPERLINK("http://www.washoecounty.gov/assessor/cama/?parid=402-381-27&amp;CardNumber=1","402-381-27")</f>
        <v>402-381-27</v>
      </c>
      <c r="B6523" t="s">
        <v>4655</v>
      </c>
      <c r="C6523" t="s">
        <v>31405</v>
      </c>
      <c r="D6523" s="1">
        <v>40378</v>
      </c>
      <c r="E6523" s="2">
        <v>225000</v>
      </c>
      <c r="F6523" t="s">
        <v>4567</v>
      </c>
      <c r="G6523" s="17" t="str">
        <f>HYPERLINK("https://www.washoecounty.gov/assessor/cama/?command=sales&amp;parid=40238127","3902703")</f>
        <v>3902703</v>
      </c>
      <c r="H6523" t="s">
        <v>632</v>
      </c>
      <c r="I6523">
        <v>2003</v>
      </c>
      <c r="J6523">
        <v>2003</v>
      </c>
      <c r="K6523" t="s">
        <v>4554</v>
      </c>
      <c r="L6523" t="s">
        <v>4555</v>
      </c>
      <c r="M6523" s="2">
        <v>1899</v>
      </c>
      <c r="N6523" t="s">
        <v>5280</v>
      </c>
      <c r="O6523">
        <v>2</v>
      </c>
      <c r="P6523">
        <v>2</v>
      </c>
      <c r="Q6523">
        <v>0</v>
      </c>
      <c r="R6523" t="s">
        <v>5281</v>
      </c>
      <c r="S6523" t="s">
        <v>4898</v>
      </c>
      <c r="T6523" t="s">
        <v>2704</v>
      </c>
      <c r="U6523" t="s">
        <v>4560</v>
      </c>
      <c r="V6523" s="2">
        <v>440</v>
      </c>
      <c r="W6523" t="s">
        <v>4655</v>
      </c>
      <c r="X6523" s="2">
        <v>0</v>
      </c>
      <c r="Y6523">
        <v>20</v>
      </c>
      <c r="Z6523" t="s">
        <v>1604</v>
      </c>
      <c r="AA6523" s="3">
        <v>0.121992655098438</v>
      </c>
      <c r="AB6523" t="s">
        <v>31406</v>
      </c>
      <c r="AC6523" t="s">
        <v>4562</v>
      </c>
      <c r="AD6523" t="s">
        <v>31405</v>
      </c>
      <c r="AE6523" t="s">
        <v>4655</v>
      </c>
      <c r="AF6523" t="s">
        <v>5201</v>
      </c>
      <c r="AG6523" t="s">
        <v>4564</v>
      </c>
      <c r="AH6523" t="s">
        <v>3898</v>
      </c>
      <c r="AI6523" t="s">
        <v>31407</v>
      </c>
      <c r="AJ6523" t="s">
        <v>634</v>
      </c>
      <c r="AK6523" t="s">
        <v>31408</v>
      </c>
      <c r="AL6523" s="13" t="s">
        <v>3425</v>
      </c>
      <c r="AM6523">
        <v>1</v>
      </c>
      <c r="AN6523" s="15" t="s">
        <v>4714</v>
      </c>
    </row>
    <row r="6524" spans="1:40" x14ac:dyDescent="0.3">
      <c r="A6524" s="10" t="str">
        <f>HYPERLINK("http://www.washoecounty.gov/assessor/cama/?parid=402-384-09&amp;CardNumber=1","402-384-09")</f>
        <v>402-384-09</v>
      </c>
      <c r="B6524" t="s">
        <v>4655</v>
      </c>
      <c r="C6524" t="s">
        <v>31409</v>
      </c>
      <c r="D6524" s="1">
        <v>40245</v>
      </c>
      <c r="E6524" s="2">
        <v>199000</v>
      </c>
      <c r="F6524" t="s">
        <v>4553</v>
      </c>
      <c r="G6524" s="17" t="str">
        <f>HYPERLINK("https://www.washoecounty.gov/assessor/cama/?command=sales&amp;parid=40238409","3857109")</f>
        <v>3857109</v>
      </c>
      <c r="H6524" t="s">
        <v>632</v>
      </c>
      <c r="I6524">
        <v>2003</v>
      </c>
      <c r="J6524">
        <v>2003</v>
      </c>
      <c r="K6524" t="s">
        <v>4554</v>
      </c>
      <c r="L6524" t="s">
        <v>4555</v>
      </c>
      <c r="M6524" s="2">
        <v>1670</v>
      </c>
      <c r="N6524" t="s">
        <v>5280</v>
      </c>
      <c r="O6524">
        <v>2</v>
      </c>
      <c r="P6524">
        <v>2</v>
      </c>
      <c r="Q6524">
        <v>0</v>
      </c>
      <c r="R6524" t="s">
        <v>5281</v>
      </c>
      <c r="S6524" t="s">
        <v>4898</v>
      </c>
      <c r="T6524" t="s">
        <v>2704</v>
      </c>
      <c r="U6524" t="s">
        <v>4560</v>
      </c>
      <c r="V6524" s="2">
        <v>440</v>
      </c>
      <c r="W6524" t="s">
        <v>4655</v>
      </c>
      <c r="X6524" s="2">
        <v>0</v>
      </c>
      <c r="Y6524">
        <v>20</v>
      </c>
      <c r="Z6524" t="s">
        <v>1604</v>
      </c>
      <c r="AA6524" s="3">
        <v>0.17777778208255801</v>
      </c>
      <c r="AB6524" t="s">
        <v>31410</v>
      </c>
      <c r="AC6524" t="s">
        <v>4562</v>
      </c>
      <c r="AD6524" t="s">
        <v>31409</v>
      </c>
      <c r="AE6524" t="s">
        <v>4655</v>
      </c>
      <c r="AF6524" t="s">
        <v>5201</v>
      </c>
      <c r="AG6524" t="s">
        <v>4564</v>
      </c>
      <c r="AH6524" t="s">
        <v>3898</v>
      </c>
      <c r="AI6524" t="s">
        <v>4565</v>
      </c>
      <c r="AJ6524" t="s">
        <v>634</v>
      </c>
      <c r="AK6524" t="s">
        <v>31411</v>
      </c>
      <c r="AL6524" s="13" t="s">
        <v>3425</v>
      </c>
      <c r="AM6524" s="14">
        <v>1</v>
      </c>
      <c r="AN6524" s="15" t="s">
        <v>4714</v>
      </c>
    </row>
    <row r="6525" spans="1:40" x14ac:dyDescent="0.3">
      <c r="A6525" s="10" t="str">
        <f>HYPERLINK("http://www.washoecounty.gov/assessor/cama/?parid=402-385-07&amp;CardNumber=1","402-385-07")</f>
        <v>402-385-07</v>
      </c>
      <c r="B6525" t="s">
        <v>4655</v>
      </c>
      <c r="C6525" t="s">
        <v>31412</v>
      </c>
      <c r="D6525" s="1">
        <v>40487</v>
      </c>
      <c r="E6525" s="2">
        <v>191000</v>
      </c>
      <c r="F6525" t="s">
        <v>4567</v>
      </c>
      <c r="G6525" s="17" t="str">
        <f>HYPERLINK("https://www.washoecounty.gov/assessor/cama/?command=sales&amp;parid=40238507","3940661")</f>
        <v>3940661</v>
      </c>
      <c r="H6525" t="s">
        <v>632</v>
      </c>
      <c r="I6525">
        <v>2003</v>
      </c>
      <c r="J6525">
        <v>2003</v>
      </c>
      <c r="K6525" t="s">
        <v>4554</v>
      </c>
      <c r="L6525" t="s">
        <v>4555</v>
      </c>
      <c r="M6525" s="2">
        <v>1493</v>
      </c>
      <c r="N6525" t="s">
        <v>5280</v>
      </c>
      <c r="O6525">
        <v>2</v>
      </c>
      <c r="P6525">
        <v>2</v>
      </c>
      <c r="Q6525">
        <v>0</v>
      </c>
      <c r="R6525" t="s">
        <v>5281</v>
      </c>
      <c r="S6525" t="s">
        <v>4898</v>
      </c>
      <c r="T6525" t="s">
        <v>2704</v>
      </c>
      <c r="U6525" t="s">
        <v>4560</v>
      </c>
      <c r="V6525" s="2">
        <v>440</v>
      </c>
      <c r="W6525" t="s">
        <v>4655</v>
      </c>
      <c r="X6525" s="2">
        <v>0</v>
      </c>
      <c r="Y6525">
        <v>20</v>
      </c>
      <c r="Z6525" t="s">
        <v>1604</v>
      </c>
      <c r="AA6525" s="3">
        <v>0.101561062037945</v>
      </c>
      <c r="AB6525" t="s">
        <v>31413</v>
      </c>
      <c r="AC6525" t="s">
        <v>4562</v>
      </c>
      <c r="AD6525" t="s">
        <v>31412</v>
      </c>
      <c r="AE6525" t="s">
        <v>4655</v>
      </c>
      <c r="AF6525" t="s">
        <v>5201</v>
      </c>
      <c r="AG6525" t="s">
        <v>4564</v>
      </c>
      <c r="AH6525" t="s">
        <v>3898</v>
      </c>
      <c r="AI6525" t="s">
        <v>31414</v>
      </c>
      <c r="AJ6525" t="s">
        <v>634</v>
      </c>
      <c r="AK6525" t="s">
        <v>31415</v>
      </c>
      <c r="AL6525" s="13" t="s">
        <v>3425</v>
      </c>
      <c r="AM6525" s="14">
        <v>1</v>
      </c>
      <c r="AN6525" s="15" t="s">
        <v>4714</v>
      </c>
    </row>
    <row r="6526" spans="1:40" x14ac:dyDescent="0.3">
      <c r="A6526" s="10" t="str">
        <f>HYPERLINK("http://www.washoecounty.gov/assessor/cama/?parid=402-391-01&amp;CardNumber=1","402-391-01")</f>
        <v>402-391-01</v>
      </c>
      <c r="B6526" t="s">
        <v>4655</v>
      </c>
      <c r="C6526" t="s">
        <v>31416</v>
      </c>
      <c r="D6526" s="1">
        <v>40358</v>
      </c>
      <c r="E6526" s="2">
        <v>380000</v>
      </c>
      <c r="F6526" t="s">
        <v>4567</v>
      </c>
      <c r="G6526" s="17" t="str">
        <f>HYPERLINK("https://www.washoecounty.gov/assessor/cama/?command=sales&amp;parid=40239101","3896711")</f>
        <v>3896711</v>
      </c>
      <c r="H6526" t="s">
        <v>3686</v>
      </c>
      <c r="I6526">
        <v>2004</v>
      </c>
      <c r="J6526">
        <v>2004</v>
      </c>
      <c r="K6526" t="s">
        <v>4554</v>
      </c>
      <c r="L6526" t="s">
        <v>4555</v>
      </c>
      <c r="M6526" s="2">
        <v>2522</v>
      </c>
      <c r="N6526" t="s">
        <v>3887</v>
      </c>
      <c r="O6526">
        <v>3</v>
      </c>
      <c r="P6526">
        <v>2</v>
      </c>
      <c r="Q6526">
        <v>1</v>
      </c>
      <c r="R6526" t="s">
        <v>5281</v>
      </c>
      <c r="S6526" t="s">
        <v>4898</v>
      </c>
      <c r="T6526" t="s">
        <v>2704</v>
      </c>
      <c r="U6526" t="s">
        <v>4560</v>
      </c>
      <c r="V6526" s="2">
        <v>682</v>
      </c>
      <c r="W6526" t="s">
        <v>4655</v>
      </c>
      <c r="X6526" s="2">
        <v>0</v>
      </c>
      <c r="Y6526">
        <v>20</v>
      </c>
      <c r="Z6526" t="s">
        <v>1604</v>
      </c>
      <c r="AA6526" s="3">
        <v>0.223140493035316</v>
      </c>
      <c r="AB6526" t="s">
        <v>31417</v>
      </c>
      <c r="AC6526" t="s">
        <v>4562</v>
      </c>
      <c r="AD6526" t="s">
        <v>31416</v>
      </c>
      <c r="AE6526" t="s">
        <v>4655</v>
      </c>
      <c r="AF6526" t="s">
        <v>5201</v>
      </c>
      <c r="AG6526" t="s">
        <v>4564</v>
      </c>
      <c r="AH6526" t="s">
        <v>3898</v>
      </c>
      <c r="AI6526" t="s">
        <v>31418</v>
      </c>
      <c r="AJ6526" t="s">
        <v>3687</v>
      </c>
      <c r="AK6526" t="s">
        <v>31419</v>
      </c>
      <c r="AL6526" s="13" t="s">
        <v>1886</v>
      </c>
      <c r="AM6526">
        <v>1</v>
      </c>
      <c r="AN6526" s="15" t="s">
        <v>5563</v>
      </c>
    </row>
    <row r="6527" spans="1:40" x14ac:dyDescent="0.3">
      <c r="A6527" s="10" t="str">
        <f>HYPERLINK("http://www.washoecounty.gov/assessor/cama/?parid=402-391-16&amp;CardNumber=1","402-391-16")</f>
        <v>402-391-16</v>
      </c>
      <c r="B6527" t="s">
        <v>4655</v>
      </c>
      <c r="C6527" t="s">
        <v>31420</v>
      </c>
      <c r="D6527" s="1">
        <v>40353</v>
      </c>
      <c r="E6527" s="2">
        <v>379895</v>
      </c>
      <c r="F6527" t="s">
        <v>4567</v>
      </c>
      <c r="G6527" s="17" t="str">
        <f>HYPERLINK("https://www.washoecounty.gov/assessor/cama/?command=sales&amp;parid=40239116","3895129")</f>
        <v>3895129</v>
      </c>
      <c r="H6527" t="s">
        <v>3686</v>
      </c>
      <c r="I6527">
        <v>2004</v>
      </c>
      <c r="J6527">
        <v>2004</v>
      </c>
      <c r="K6527" t="s">
        <v>4554</v>
      </c>
      <c r="L6527" t="s">
        <v>4555</v>
      </c>
      <c r="M6527" s="2">
        <v>2742</v>
      </c>
      <c r="N6527" t="s">
        <v>3887</v>
      </c>
      <c r="O6527">
        <v>3</v>
      </c>
      <c r="P6527">
        <v>2</v>
      </c>
      <c r="Q6527">
        <v>1</v>
      </c>
      <c r="R6527" t="s">
        <v>5281</v>
      </c>
      <c r="S6527" t="s">
        <v>4898</v>
      </c>
      <c r="T6527" t="s">
        <v>2704</v>
      </c>
      <c r="U6527" t="s">
        <v>4560</v>
      </c>
      <c r="V6527" s="2">
        <v>462</v>
      </c>
      <c r="W6527" t="s">
        <v>4655</v>
      </c>
      <c r="X6527" s="2">
        <v>0</v>
      </c>
      <c r="Y6527">
        <v>20</v>
      </c>
      <c r="Z6527" t="s">
        <v>1604</v>
      </c>
      <c r="AA6527" s="3">
        <v>0.19699265062808999</v>
      </c>
      <c r="AB6527" t="s">
        <v>31421</v>
      </c>
      <c r="AC6527" t="s">
        <v>4562</v>
      </c>
      <c r="AD6527" t="s">
        <v>31420</v>
      </c>
      <c r="AE6527" t="s">
        <v>4655</v>
      </c>
      <c r="AF6527" t="s">
        <v>5201</v>
      </c>
      <c r="AG6527" t="s">
        <v>4564</v>
      </c>
      <c r="AH6527" t="s">
        <v>3898</v>
      </c>
      <c r="AI6527" t="s">
        <v>31422</v>
      </c>
      <c r="AJ6527" t="s">
        <v>3687</v>
      </c>
      <c r="AK6527" t="s">
        <v>31423</v>
      </c>
      <c r="AL6527" s="13" t="s">
        <v>1886</v>
      </c>
      <c r="AM6527" s="14">
        <v>1</v>
      </c>
      <c r="AN6527" s="15" t="s">
        <v>5563</v>
      </c>
    </row>
    <row r="6528" spans="1:40" x14ac:dyDescent="0.3">
      <c r="A6528" s="10" t="str">
        <f>HYPERLINK("http://www.washoecounty.gov/assessor/cama/?parid=402-392-10&amp;CardNumber=1","402-392-10")</f>
        <v>402-392-10</v>
      </c>
      <c r="B6528" t="s">
        <v>4655</v>
      </c>
      <c r="C6528" t="s">
        <v>31424</v>
      </c>
      <c r="D6528" s="1">
        <v>40459</v>
      </c>
      <c r="E6528" s="2">
        <v>253000</v>
      </c>
      <c r="F6528" t="s">
        <v>4567</v>
      </c>
      <c r="G6528" s="17" t="str">
        <f>HYPERLINK("https://www.washoecounty.gov/assessor/cama/?command=sales&amp;parid=40239210","3931083")</f>
        <v>3931083</v>
      </c>
      <c r="H6528" t="s">
        <v>3686</v>
      </c>
      <c r="I6528">
        <v>2004</v>
      </c>
      <c r="J6528">
        <v>2004</v>
      </c>
      <c r="K6528" t="s">
        <v>4554</v>
      </c>
      <c r="L6528" t="s">
        <v>4555</v>
      </c>
      <c r="M6528" s="2">
        <v>2087</v>
      </c>
      <c r="N6528" t="s">
        <v>3887</v>
      </c>
      <c r="O6528">
        <v>3</v>
      </c>
      <c r="P6528">
        <v>2</v>
      </c>
      <c r="Q6528">
        <v>0</v>
      </c>
      <c r="R6528" t="s">
        <v>4557</v>
      </c>
      <c r="S6528" t="s">
        <v>4898</v>
      </c>
      <c r="T6528" t="s">
        <v>2704</v>
      </c>
      <c r="U6528" t="s">
        <v>4560</v>
      </c>
      <c r="V6528" s="2">
        <v>686</v>
      </c>
      <c r="W6528" t="s">
        <v>4655</v>
      </c>
      <c r="X6528" s="2">
        <v>0</v>
      </c>
      <c r="Y6528">
        <v>20</v>
      </c>
      <c r="Z6528" t="s">
        <v>1604</v>
      </c>
      <c r="AA6528" s="3">
        <v>0.22782368957996368</v>
      </c>
      <c r="AB6528" t="s">
        <v>31425</v>
      </c>
      <c r="AC6528" t="s">
        <v>4562</v>
      </c>
      <c r="AD6528" t="s">
        <v>31426</v>
      </c>
      <c r="AE6528" t="s">
        <v>4655</v>
      </c>
      <c r="AF6528" t="s">
        <v>31427</v>
      </c>
      <c r="AG6528" t="s">
        <v>4584</v>
      </c>
      <c r="AH6528">
        <v>95008</v>
      </c>
      <c r="AI6528" t="s">
        <v>31428</v>
      </c>
      <c r="AJ6528" t="s">
        <v>3687</v>
      </c>
      <c r="AK6528" t="s">
        <v>31429</v>
      </c>
      <c r="AL6528" s="13" t="s">
        <v>1886</v>
      </c>
      <c r="AM6528">
        <v>1</v>
      </c>
      <c r="AN6528" s="15" t="s">
        <v>5563</v>
      </c>
    </row>
    <row r="6529" spans="1:40" x14ac:dyDescent="0.3">
      <c r="A6529" s="10" t="str">
        <f>HYPERLINK("http://www.washoecounty.gov/assessor/cama/?parid=402-392-24&amp;CardNumber=1","402-392-24")</f>
        <v>402-392-24</v>
      </c>
      <c r="B6529" t="s">
        <v>4655</v>
      </c>
      <c r="C6529" t="s">
        <v>31430</v>
      </c>
      <c r="D6529" s="1">
        <v>40437</v>
      </c>
      <c r="E6529" s="2">
        <v>380000</v>
      </c>
      <c r="F6529" t="s">
        <v>4567</v>
      </c>
      <c r="G6529" s="17" t="str">
        <f>HYPERLINK("https://www.washoecounty.gov/assessor/cama/?command=sales&amp;parid=40239224","3923008")</f>
        <v>3923008</v>
      </c>
      <c r="H6529" t="s">
        <v>3686</v>
      </c>
      <c r="I6529">
        <v>2004</v>
      </c>
      <c r="J6529">
        <v>2004</v>
      </c>
      <c r="K6529" t="s">
        <v>4554</v>
      </c>
      <c r="L6529" t="s">
        <v>4555</v>
      </c>
      <c r="M6529" s="2">
        <v>2522</v>
      </c>
      <c r="N6529" t="s">
        <v>3887</v>
      </c>
      <c r="O6529">
        <v>3</v>
      </c>
      <c r="P6529">
        <v>2</v>
      </c>
      <c r="Q6529">
        <v>1</v>
      </c>
      <c r="R6529" t="s">
        <v>5281</v>
      </c>
      <c r="S6529" t="s">
        <v>4898</v>
      </c>
      <c r="T6529" t="s">
        <v>2704</v>
      </c>
      <c r="U6529" t="s">
        <v>4560</v>
      </c>
      <c r="V6529" s="2">
        <v>682</v>
      </c>
      <c r="W6529" t="s">
        <v>4655</v>
      </c>
      <c r="X6529" s="2">
        <v>0</v>
      </c>
      <c r="Y6529">
        <v>20</v>
      </c>
      <c r="Z6529" t="s">
        <v>1604</v>
      </c>
      <c r="AA6529" s="3">
        <v>0.18939393758773804</v>
      </c>
      <c r="AB6529" t="s">
        <v>31431</v>
      </c>
      <c r="AC6529" t="s">
        <v>4562</v>
      </c>
      <c r="AD6529" t="s">
        <v>31430</v>
      </c>
      <c r="AE6529" t="s">
        <v>4655</v>
      </c>
      <c r="AF6529" t="s">
        <v>5201</v>
      </c>
      <c r="AG6529" t="s">
        <v>4564</v>
      </c>
      <c r="AH6529" t="s">
        <v>3898</v>
      </c>
      <c r="AI6529" t="s">
        <v>31432</v>
      </c>
      <c r="AJ6529" t="s">
        <v>3687</v>
      </c>
      <c r="AK6529" t="s">
        <v>31433</v>
      </c>
      <c r="AL6529" s="13" t="s">
        <v>1886</v>
      </c>
      <c r="AM6529">
        <v>1</v>
      </c>
      <c r="AN6529" s="15" t="s">
        <v>5563</v>
      </c>
    </row>
    <row r="6530" spans="1:40" x14ac:dyDescent="0.3">
      <c r="A6530" s="10" t="str">
        <f>HYPERLINK("http://www.washoecounty.gov/assessor/cama/?parid=402-401-11&amp;CardNumber=1","402-401-11")</f>
        <v>402-401-11</v>
      </c>
      <c r="B6530" t="s">
        <v>4655</v>
      </c>
      <c r="C6530" t="s">
        <v>31434</v>
      </c>
      <c r="D6530" s="1">
        <v>40231</v>
      </c>
      <c r="E6530" s="2">
        <v>195000</v>
      </c>
      <c r="F6530" t="s">
        <v>4567</v>
      </c>
      <c r="G6530" s="17" t="str">
        <f>HYPERLINK("https://www.washoecounty.gov/assessor/cama/?command=sales&amp;parid=40240111","3851515")</f>
        <v>3851515</v>
      </c>
      <c r="H6530" t="s">
        <v>1614</v>
      </c>
      <c r="I6530">
        <v>2003</v>
      </c>
      <c r="J6530">
        <v>2003</v>
      </c>
      <c r="K6530" t="s">
        <v>4554</v>
      </c>
      <c r="L6530" t="s">
        <v>4555</v>
      </c>
      <c r="M6530" s="2">
        <v>1595</v>
      </c>
      <c r="N6530" t="s">
        <v>5280</v>
      </c>
      <c r="O6530">
        <v>2</v>
      </c>
      <c r="P6530">
        <v>2</v>
      </c>
      <c r="Q6530">
        <v>0</v>
      </c>
      <c r="R6530" t="s">
        <v>5281</v>
      </c>
      <c r="S6530" t="s">
        <v>4898</v>
      </c>
      <c r="T6530" t="s">
        <v>2704</v>
      </c>
      <c r="U6530" t="s">
        <v>4560</v>
      </c>
      <c r="V6530" s="2">
        <v>440</v>
      </c>
      <c r="W6530" t="s">
        <v>4655</v>
      </c>
      <c r="X6530" s="2">
        <v>0</v>
      </c>
      <c r="Y6530">
        <v>20</v>
      </c>
      <c r="Z6530" t="s">
        <v>1604</v>
      </c>
      <c r="AA6530" s="3">
        <v>9.6235081553459195E-2</v>
      </c>
      <c r="AB6530" t="s">
        <v>31435</v>
      </c>
      <c r="AC6530" t="s">
        <v>4562</v>
      </c>
      <c r="AD6530" t="s">
        <v>31434</v>
      </c>
      <c r="AE6530" t="s">
        <v>4655</v>
      </c>
      <c r="AF6530" t="s">
        <v>5201</v>
      </c>
      <c r="AG6530" t="s">
        <v>4564</v>
      </c>
      <c r="AH6530" t="s">
        <v>3898</v>
      </c>
      <c r="AI6530" t="s">
        <v>31436</v>
      </c>
      <c r="AJ6530" t="s">
        <v>4713</v>
      </c>
      <c r="AK6530" t="s">
        <v>31437</v>
      </c>
      <c r="AL6530" s="13" t="s">
        <v>3425</v>
      </c>
      <c r="AM6530" s="14">
        <v>1</v>
      </c>
      <c r="AN6530" s="15" t="s">
        <v>4714</v>
      </c>
    </row>
    <row r="6531" spans="1:40" x14ac:dyDescent="0.3">
      <c r="A6531" s="10" t="str">
        <f>HYPERLINK("http://www.washoecounty.gov/assessor/cama/?parid=402-402-05&amp;CardNumber=1","402-402-05")</f>
        <v>402-402-05</v>
      </c>
      <c r="B6531" t="s">
        <v>4655</v>
      </c>
      <c r="C6531" t="s">
        <v>31438</v>
      </c>
      <c r="D6531" s="1">
        <v>40424</v>
      </c>
      <c r="E6531" s="2">
        <v>160000</v>
      </c>
      <c r="F6531" t="s">
        <v>4567</v>
      </c>
      <c r="G6531" s="17" t="str">
        <f>HYPERLINK("https://www.washoecounty.gov/assessor/cama/?command=sales&amp;parid=40240205","3918955")</f>
        <v>3918955</v>
      </c>
      <c r="H6531" t="s">
        <v>1614</v>
      </c>
      <c r="I6531">
        <v>2003</v>
      </c>
      <c r="J6531">
        <v>2003</v>
      </c>
      <c r="K6531" t="s">
        <v>4554</v>
      </c>
      <c r="L6531" t="s">
        <v>4555</v>
      </c>
      <c r="M6531" s="2">
        <v>1242</v>
      </c>
      <c r="N6531" t="s">
        <v>5280</v>
      </c>
      <c r="O6531">
        <v>2</v>
      </c>
      <c r="P6531">
        <v>2</v>
      </c>
      <c r="Q6531">
        <v>0</v>
      </c>
      <c r="R6531" t="s">
        <v>5281</v>
      </c>
      <c r="S6531" t="s">
        <v>4898</v>
      </c>
      <c r="T6531" t="s">
        <v>2704</v>
      </c>
      <c r="U6531" t="s">
        <v>4560</v>
      </c>
      <c r="V6531" s="2">
        <v>462</v>
      </c>
      <c r="W6531" t="s">
        <v>4655</v>
      </c>
      <c r="X6531" s="2">
        <v>0</v>
      </c>
      <c r="Y6531">
        <v>20</v>
      </c>
      <c r="Z6531" t="s">
        <v>1604</v>
      </c>
      <c r="AA6531" s="3">
        <v>0.112603306770325</v>
      </c>
      <c r="AB6531" t="s">
        <v>31439</v>
      </c>
      <c r="AC6531" t="s">
        <v>4562</v>
      </c>
      <c r="AD6531" t="s">
        <v>31440</v>
      </c>
      <c r="AE6531" t="s">
        <v>4655</v>
      </c>
      <c r="AF6531" t="s">
        <v>5201</v>
      </c>
      <c r="AG6531" t="s">
        <v>4564</v>
      </c>
      <c r="AH6531" t="s">
        <v>1605</v>
      </c>
      <c r="AI6531" t="s">
        <v>31441</v>
      </c>
      <c r="AJ6531" t="s">
        <v>4713</v>
      </c>
      <c r="AK6531" t="s">
        <v>31442</v>
      </c>
      <c r="AL6531" s="13" t="s">
        <v>3425</v>
      </c>
      <c r="AM6531" s="14">
        <v>1</v>
      </c>
      <c r="AN6531" s="15" t="s">
        <v>4714</v>
      </c>
    </row>
    <row r="6532" spans="1:40" x14ac:dyDescent="0.3">
      <c r="A6532" s="10" t="str">
        <f>HYPERLINK("http://www.washoecounty.gov/assessor/cama/?parid=402-411-07&amp;CardNumber=1","402-411-07")</f>
        <v>402-411-07</v>
      </c>
      <c r="B6532" t="s">
        <v>4655</v>
      </c>
      <c r="C6532" t="s">
        <v>31443</v>
      </c>
      <c r="D6532" s="1">
        <v>40443</v>
      </c>
      <c r="E6532" s="2">
        <v>190000</v>
      </c>
      <c r="F6532" t="s">
        <v>4567</v>
      </c>
      <c r="G6532" s="17" t="str">
        <f>HYPERLINK("https://www.washoecounty.gov/assessor/cama/?command=sales&amp;parid=40241107","3925075")</f>
        <v>3925075</v>
      </c>
      <c r="H6532" t="s">
        <v>4833</v>
      </c>
      <c r="I6532">
        <v>2004</v>
      </c>
      <c r="J6532">
        <v>2004</v>
      </c>
      <c r="K6532" t="s">
        <v>4554</v>
      </c>
      <c r="L6532" t="s">
        <v>4555</v>
      </c>
      <c r="M6532" s="2">
        <v>1493</v>
      </c>
      <c r="N6532" t="s">
        <v>5280</v>
      </c>
      <c r="O6532">
        <v>2</v>
      </c>
      <c r="P6532">
        <v>2</v>
      </c>
      <c r="Q6532">
        <v>0</v>
      </c>
      <c r="R6532" t="s">
        <v>5281</v>
      </c>
      <c r="S6532" t="s">
        <v>4898</v>
      </c>
      <c r="T6532" t="s">
        <v>2704</v>
      </c>
      <c r="U6532" t="s">
        <v>4560</v>
      </c>
      <c r="V6532" s="2">
        <v>440</v>
      </c>
      <c r="W6532" t="s">
        <v>4655</v>
      </c>
      <c r="X6532" s="2">
        <v>0</v>
      </c>
      <c r="Y6532">
        <v>20</v>
      </c>
      <c r="Z6532" t="s">
        <v>1604</v>
      </c>
      <c r="AA6532" s="3">
        <v>0.13305784761905701</v>
      </c>
      <c r="AB6532" t="s">
        <v>31444</v>
      </c>
      <c r="AC6532" t="s">
        <v>4562</v>
      </c>
      <c r="AD6532" t="s">
        <v>31443</v>
      </c>
      <c r="AE6532" t="s">
        <v>4655</v>
      </c>
      <c r="AF6532" t="s">
        <v>5201</v>
      </c>
      <c r="AG6532" t="s">
        <v>4564</v>
      </c>
      <c r="AH6532" t="s">
        <v>3898</v>
      </c>
      <c r="AI6532" t="s">
        <v>31445</v>
      </c>
      <c r="AJ6532" t="s">
        <v>4788</v>
      </c>
      <c r="AK6532" t="s">
        <v>31446</v>
      </c>
      <c r="AL6532" s="13" t="s">
        <v>3425</v>
      </c>
      <c r="AM6532">
        <v>1</v>
      </c>
      <c r="AN6532" s="15" t="s">
        <v>4714</v>
      </c>
    </row>
    <row r="6533" spans="1:40" x14ac:dyDescent="0.3">
      <c r="A6533" s="10" t="str">
        <f>HYPERLINK("http://www.washoecounty.gov/assessor/cama/?parid=402-420-10&amp;CardNumber=1","402-420-10")</f>
        <v>402-420-10</v>
      </c>
      <c r="B6533" t="s">
        <v>4655</v>
      </c>
      <c r="C6533" t="s">
        <v>31447</v>
      </c>
      <c r="D6533" s="1">
        <v>40409</v>
      </c>
      <c r="E6533" s="2">
        <v>260000</v>
      </c>
      <c r="F6533" t="s">
        <v>4567</v>
      </c>
      <c r="G6533" s="17" t="str">
        <f>HYPERLINK("https://www.washoecounty.gov/assessor/cama/?command=sales&amp;parid=40242010","3913534")</f>
        <v>3913534</v>
      </c>
      <c r="H6533" t="s">
        <v>4014</v>
      </c>
      <c r="I6533">
        <v>2004</v>
      </c>
      <c r="J6533">
        <v>2004</v>
      </c>
      <c r="K6533" t="s">
        <v>4554</v>
      </c>
      <c r="L6533" t="s">
        <v>4555</v>
      </c>
      <c r="M6533" s="2">
        <v>2180</v>
      </c>
      <c r="N6533" t="s">
        <v>5280</v>
      </c>
      <c r="O6533">
        <v>2</v>
      </c>
      <c r="P6533">
        <v>2</v>
      </c>
      <c r="Q6533">
        <v>0</v>
      </c>
      <c r="R6533" t="s">
        <v>5281</v>
      </c>
      <c r="S6533" t="s">
        <v>4898</v>
      </c>
      <c r="T6533" t="s">
        <v>2704</v>
      </c>
      <c r="U6533" t="s">
        <v>4560</v>
      </c>
      <c r="V6533" s="2">
        <v>575</v>
      </c>
      <c r="W6533" t="s">
        <v>4655</v>
      </c>
      <c r="X6533" s="2">
        <v>0</v>
      </c>
      <c r="Y6533">
        <v>20</v>
      </c>
      <c r="Z6533" t="s">
        <v>1604</v>
      </c>
      <c r="AA6533" s="3">
        <v>0.15066574513912201</v>
      </c>
      <c r="AB6533" t="s">
        <v>31448</v>
      </c>
      <c r="AC6533" t="s">
        <v>4575</v>
      </c>
      <c r="AD6533" t="s">
        <v>31449</v>
      </c>
      <c r="AE6533" t="s">
        <v>4655</v>
      </c>
      <c r="AF6533" t="s">
        <v>5201</v>
      </c>
      <c r="AG6533" t="s">
        <v>4564</v>
      </c>
      <c r="AH6533" t="s">
        <v>4126</v>
      </c>
      <c r="AI6533" t="s">
        <v>31450</v>
      </c>
      <c r="AJ6533" t="s">
        <v>4015</v>
      </c>
      <c r="AK6533" t="s">
        <v>31451</v>
      </c>
      <c r="AL6533" s="13" t="s">
        <v>3425</v>
      </c>
      <c r="AM6533">
        <v>1</v>
      </c>
      <c r="AN6533" s="15" t="s">
        <v>4714</v>
      </c>
    </row>
    <row r="6534" spans="1:40" x14ac:dyDescent="0.3">
      <c r="A6534" s="10" t="str">
        <f>HYPERLINK("http://www.washoecounty.gov/assessor/cama/?parid=500-031-07&amp;CardNumber=1","500-031-07")</f>
        <v>500-031-07</v>
      </c>
      <c r="B6534" t="s">
        <v>4655</v>
      </c>
      <c r="C6534" t="s">
        <v>31452</v>
      </c>
      <c r="D6534" s="1">
        <v>40438</v>
      </c>
      <c r="E6534" s="2">
        <v>55000</v>
      </c>
      <c r="F6534" t="s">
        <v>4567</v>
      </c>
      <c r="G6534" s="17" t="str">
        <f>HYPERLINK("https://www.washoecounty.gov/assessor/cama/?command=sales&amp;parid=50003107","3923700")</f>
        <v>3923700</v>
      </c>
      <c r="H6534" t="s">
        <v>31453</v>
      </c>
      <c r="I6534">
        <v>1998</v>
      </c>
      <c r="J6534">
        <v>1998</v>
      </c>
      <c r="K6534" t="s">
        <v>4847</v>
      </c>
      <c r="L6534" t="s">
        <v>4555</v>
      </c>
      <c r="M6534" s="2">
        <v>1352</v>
      </c>
      <c r="N6534" t="s">
        <v>4048</v>
      </c>
      <c r="O6534">
        <v>3</v>
      </c>
      <c r="P6534">
        <v>2</v>
      </c>
      <c r="Q6534">
        <v>0</v>
      </c>
      <c r="R6534" t="s">
        <v>5281</v>
      </c>
      <c r="S6534" t="s">
        <v>4558</v>
      </c>
      <c r="T6534" t="s">
        <v>4559</v>
      </c>
      <c r="U6534" t="s">
        <v>4655</v>
      </c>
      <c r="V6534" s="2">
        <v>0</v>
      </c>
      <c r="W6534" t="s">
        <v>4655</v>
      </c>
      <c r="X6534" s="2">
        <v>0</v>
      </c>
      <c r="Y6534">
        <v>22</v>
      </c>
      <c r="Z6534" t="s">
        <v>5508</v>
      </c>
      <c r="AA6534" s="3">
        <v>0.22499999403953599</v>
      </c>
      <c r="AB6534" t="s">
        <v>31454</v>
      </c>
      <c r="AC6534" t="s">
        <v>4575</v>
      </c>
      <c r="AD6534" t="s">
        <v>31452</v>
      </c>
      <c r="AE6534" t="s">
        <v>4655</v>
      </c>
      <c r="AF6534" t="s">
        <v>1600</v>
      </c>
      <c r="AG6534" t="s">
        <v>4564</v>
      </c>
      <c r="AH6534" t="s">
        <v>1601</v>
      </c>
      <c r="AI6534" t="s">
        <v>31455</v>
      </c>
      <c r="AJ6534" t="s">
        <v>5068</v>
      </c>
      <c r="AK6534" t="s">
        <v>31456</v>
      </c>
      <c r="AL6534" s="13" t="s">
        <v>1889</v>
      </c>
      <c r="AM6534" s="14">
        <v>1</v>
      </c>
      <c r="AN6534" s="15" t="s">
        <v>2528</v>
      </c>
    </row>
    <row r="6535" spans="1:40" x14ac:dyDescent="0.3">
      <c r="A6535" s="10" t="str">
        <f>HYPERLINK("http://www.washoecounty.gov/assessor/cama/?parid=502-031-03&amp;CardNumber=1","502-031-03")</f>
        <v>502-031-03</v>
      </c>
      <c r="B6535" t="s">
        <v>4655</v>
      </c>
      <c r="C6535" t="s">
        <v>31457</v>
      </c>
      <c r="D6535" s="1">
        <v>40396</v>
      </c>
      <c r="E6535" s="2">
        <v>50000</v>
      </c>
      <c r="F6535" t="s">
        <v>4567</v>
      </c>
      <c r="G6535" s="17" t="str">
        <f>HYPERLINK("https://www.washoecounty.gov/assessor/cama/?command=sales&amp;parid=50203103","3909553")</f>
        <v>3909553</v>
      </c>
      <c r="H6535" t="s">
        <v>2076</v>
      </c>
      <c r="I6535">
        <v>1998</v>
      </c>
      <c r="J6535">
        <v>1998</v>
      </c>
      <c r="K6535" t="s">
        <v>4847</v>
      </c>
      <c r="L6535" t="s">
        <v>4555</v>
      </c>
      <c r="M6535" s="2">
        <v>1716</v>
      </c>
      <c r="N6535" t="s">
        <v>5280</v>
      </c>
      <c r="O6535">
        <v>4</v>
      </c>
      <c r="P6535">
        <v>2</v>
      </c>
      <c r="Q6535">
        <v>0</v>
      </c>
      <c r="R6535" t="s">
        <v>5281</v>
      </c>
      <c r="S6535" t="s">
        <v>4558</v>
      </c>
      <c r="T6535" t="s">
        <v>4559</v>
      </c>
      <c r="U6535" t="s">
        <v>4655</v>
      </c>
      <c r="V6535" s="2">
        <v>0</v>
      </c>
      <c r="W6535" t="s">
        <v>4655</v>
      </c>
      <c r="X6535" s="2">
        <v>0</v>
      </c>
      <c r="Y6535">
        <v>22</v>
      </c>
      <c r="Z6535" t="s">
        <v>4051</v>
      </c>
      <c r="AA6535" s="3">
        <v>0.16499081254005399</v>
      </c>
      <c r="AB6535" t="s">
        <v>31458</v>
      </c>
      <c r="AC6535" t="s">
        <v>4562</v>
      </c>
      <c r="AD6535" t="s">
        <v>31459</v>
      </c>
      <c r="AE6535" t="s">
        <v>4655</v>
      </c>
      <c r="AF6535" t="s">
        <v>4563</v>
      </c>
      <c r="AG6535" t="s">
        <v>4564</v>
      </c>
      <c r="AH6535">
        <v>89506</v>
      </c>
      <c r="AI6535" t="s">
        <v>12506</v>
      </c>
      <c r="AJ6535" t="s">
        <v>2077</v>
      </c>
      <c r="AK6535" t="s">
        <v>31460</v>
      </c>
      <c r="AL6535" s="13" t="s">
        <v>2255</v>
      </c>
      <c r="AM6535">
        <v>1</v>
      </c>
      <c r="AN6535" s="15" t="s">
        <v>2433</v>
      </c>
    </row>
    <row r="6536" spans="1:40" x14ac:dyDescent="0.3">
      <c r="A6536" s="10" t="str">
        <f>HYPERLINK("http://www.washoecounty.gov/assessor/cama/?parid=502-031-13&amp;CardNumber=1","502-031-13")</f>
        <v>502-031-13</v>
      </c>
      <c r="B6536" t="s">
        <v>4655</v>
      </c>
      <c r="C6536" t="s">
        <v>31461</v>
      </c>
      <c r="D6536" s="1">
        <v>40206</v>
      </c>
      <c r="E6536" s="2">
        <v>90000</v>
      </c>
      <c r="F6536" t="s">
        <v>4553</v>
      </c>
      <c r="G6536" s="17" t="str">
        <f>HYPERLINK("https://www.washoecounty.gov/assessor/cama/?command=sales&amp;parid=50203113","3843856")</f>
        <v>3843856</v>
      </c>
      <c r="H6536" t="s">
        <v>2076</v>
      </c>
      <c r="I6536">
        <v>1998</v>
      </c>
      <c r="J6536">
        <v>1998</v>
      </c>
      <c r="K6536" t="s">
        <v>4847</v>
      </c>
      <c r="L6536" t="s">
        <v>4555</v>
      </c>
      <c r="M6536" s="2">
        <v>1716</v>
      </c>
      <c r="N6536" t="s">
        <v>4048</v>
      </c>
      <c r="O6536">
        <v>3</v>
      </c>
      <c r="P6536">
        <v>2</v>
      </c>
      <c r="Q6536">
        <v>0</v>
      </c>
      <c r="R6536" t="s">
        <v>4557</v>
      </c>
      <c r="S6536" t="s">
        <v>4558</v>
      </c>
      <c r="T6536" t="s">
        <v>4559</v>
      </c>
      <c r="U6536" t="s">
        <v>4655</v>
      </c>
      <c r="V6536" s="2">
        <v>0</v>
      </c>
      <c r="W6536" t="s">
        <v>4655</v>
      </c>
      <c r="X6536" s="2">
        <v>0</v>
      </c>
      <c r="Y6536">
        <v>22</v>
      </c>
      <c r="Z6536" t="s">
        <v>4051</v>
      </c>
      <c r="AA6536" s="3">
        <v>0.22899448871612499</v>
      </c>
      <c r="AB6536" t="s">
        <v>31462</v>
      </c>
      <c r="AC6536" t="s">
        <v>4575</v>
      </c>
      <c r="AD6536" t="s">
        <v>31461</v>
      </c>
      <c r="AE6536" t="s">
        <v>4655</v>
      </c>
      <c r="AF6536" t="s">
        <v>4563</v>
      </c>
      <c r="AG6536" t="s">
        <v>4564</v>
      </c>
      <c r="AH6536">
        <v>89506</v>
      </c>
      <c r="AI6536" t="s">
        <v>4848</v>
      </c>
      <c r="AJ6536" t="s">
        <v>2077</v>
      </c>
      <c r="AK6536" t="s">
        <v>31463</v>
      </c>
      <c r="AL6536" s="13" t="s">
        <v>2255</v>
      </c>
      <c r="AM6536" s="14">
        <v>1</v>
      </c>
      <c r="AN6536" s="15" t="s">
        <v>2433</v>
      </c>
    </row>
    <row r="6537" spans="1:40" x14ac:dyDescent="0.3">
      <c r="A6537" s="10" t="str">
        <f>HYPERLINK("http://www.washoecounty.gov/assessor/cama/?parid=502-051-13&amp;CardNumber=1","502-051-13")</f>
        <v>502-051-13</v>
      </c>
      <c r="B6537" t="s">
        <v>4655</v>
      </c>
      <c r="C6537" t="s">
        <v>31464</v>
      </c>
      <c r="D6537" s="1">
        <v>40207</v>
      </c>
      <c r="E6537" s="2">
        <v>86000</v>
      </c>
      <c r="F6537" t="s">
        <v>4553</v>
      </c>
      <c r="G6537" s="17" t="str">
        <f>HYPERLINK("https://www.washoecounty.gov/assessor/cama/?command=sales&amp;parid=50205113","3844366")</f>
        <v>3844366</v>
      </c>
      <c r="H6537" t="s">
        <v>2434</v>
      </c>
      <c r="I6537">
        <v>1998</v>
      </c>
      <c r="J6537">
        <v>1998</v>
      </c>
      <c r="K6537" t="s">
        <v>4847</v>
      </c>
      <c r="L6537" t="s">
        <v>4555</v>
      </c>
      <c r="M6537" s="2">
        <v>1528</v>
      </c>
      <c r="N6537" t="s">
        <v>3147</v>
      </c>
      <c r="O6537">
        <v>3</v>
      </c>
      <c r="P6537">
        <v>2</v>
      </c>
      <c r="Q6537">
        <v>0</v>
      </c>
      <c r="R6537" t="s">
        <v>4557</v>
      </c>
      <c r="S6537" t="s">
        <v>4558</v>
      </c>
      <c r="T6537" t="s">
        <v>4559</v>
      </c>
      <c r="U6537" t="s">
        <v>4560</v>
      </c>
      <c r="V6537" s="2">
        <v>400</v>
      </c>
      <c r="W6537" t="s">
        <v>4655</v>
      </c>
      <c r="X6537" s="2">
        <v>0</v>
      </c>
      <c r="Y6537">
        <v>22</v>
      </c>
      <c r="Z6537" t="s">
        <v>4051</v>
      </c>
      <c r="AA6537" s="3">
        <v>0.217998161911964</v>
      </c>
      <c r="AB6537" t="s">
        <v>31465</v>
      </c>
      <c r="AC6537" t="s">
        <v>4562</v>
      </c>
      <c r="AD6537" t="s">
        <v>31466</v>
      </c>
      <c r="AE6537" t="s">
        <v>4655</v>
      </c>
      <c r="AF6537" t="s">
        <v>5201</v>
      </c>
      <c r="AG6537" t="s">
        <v>4564</v>
      </c>
      <c r="AH6537" t="s">
        <v>3898</v>
      </c>
      <c r="AI6537" t="s">
        <v>2435</v>
      </c>
      <c r="AJ6537" t="s">
        <v>2436</v>
      </c>
      <c r="AK6537" t="s">
        <v>31467</v>
      </c>
      <c r="AL6537" s="13" t="s">
        <v>2255</v>
      </c>
      <c r="AM6537">
        <v>1</v>
      </c>
      <c r="AN6537" s="15" t="s">
        <v>2433</v>
      </c>
    </row>
    <row r="6538" spans="1:40" x14ac:dyDescent="0.3">
      <c r="A6538" s="10" t="str">
        <f>HYPERLINK("http://www.washoecounty.gov/assessor/cama/?parid=502-051-15&amp;CardNumber=1","502-051-15")</f>
        <v>502-051-15</v>
      </c>
      <c r="B6538" t="s">
        <v>4655</v>
      </c>
      <c r="C6538" t="s">
        <v>31468</v>
      </c>
      <c r="D6538" s="1">
        <v>40297</v>
      </c>
      <c r="E6538" s="2">
        <v>86000</v>
      </c>
      <c r="F6538" t="s">
        <v>4553</v>
      </c>
      <c r="G6538" s="17" t="str">
        <f>HYPERLINK("https://www.washoecounty.gov/assessor/cama/?command=sales&amp;parid=50205115","3876297")</f>
        <v>3876297</v>
      </c>
      <c r="H6538" t="s">
        <v>2434</v>
      </c>
      <c r="I6538">
        <v>1998</v>
      </c>
      <c r="J6538">
        <v>1998</v>
      </c>
      <c r="K6538" t="s">
        <v>4847</v>
      </c>
      <c r="L6538" t="s">
        <v>4555</v>
      </c>
      <c r="M6538" s="2">
        <v>1528</v>
      </c>
      <c r="N6538" t="s">
        <v>3147</v>
      </c>
      <c r="O6538">
        <v>3</v>
      </c>
      <c r="P6538">
        <v>2</v>
      </c>
      <c r="Q6538">
        <v>0</v>
      </c>
      <c r="R6538" t="s">
        <v>4557</v>
      </c>
      <c r="S6538" t="s">
        <v>4558</v>
      </c>
      <c r="T6538" t="s">
        <v>4559</v>
      </c>
      <c r="U6538" t="s">
        <v>4560</v>
      </c>
      <c r="V6538" s="2">
        <v>400</v>
      </c>
      <c r="W6538" t="s">
        <v>4655</v>
      </c>
      <c r="X6538" s="2">
        <v>0</v>
      </c>
      <c r="Y6538">
        <v>22</v>
      </c>
      <c r="Z6538" t="s">
        <v>4051</v>
      </c>
      <c r="AA6538" s="3">
        <v>0.16900826990604401</v>
      </c>
      <c r="AB6538" t="s">
        <v>31469</v>
      </c>
      <c r="AC6538" t="s">
        <v>4562</v>
      </c>
      <c r="AD6538" t="s">
        <v>31470</v>
      </c>
      <c r="AE6538" t="s">
        <v>4655</v>
      </c>
      <c r="AF6538" t="s">
        <v>4563</v>
      </c>
      <c r="AG6538" t="s">
        <v>4564</v>
      </c>
      <c r="AH6538">
        <v>89506</v>
      </c>
      <c r="AI6538" t="s">
        <v>4848</v>
      </c>
      <c r="AJ6538" t="s">
        <v>2436</v>
      </c>
      <c r="AK6538" t="s">
        <v>31471</v>
      </c>
      <c r="AL6538" s="13" t="s">
        <v>2255</v>
      </c>
      <c r="AM6538" s="14">
        <v>1</v>
      </c>
      <c r="AN6538" s="15" t="s">
        <v>2433</v>
      </c>
    </row>
    <row r="6539" spans="1:40" x14ac:dyDescent="0.3">
      <c r="A6539" s="10" t="str">
        <f>HYPERLINK("http://www.washoecounty.gov/assessor/cama/?parid=502-051-21&amp;CardNumber=1","502-051-21")</f>
        <v>502-051-21</v>
      </c>
      <c r="B6539" t="s">
        <v>4655</v>
      </c>
      <c r="C6539" t="s">
        <v>31472</v>
      </c>
      <c r="D6539" s="1">
        <v>40359</v>
      </c>
      <c r="E6539" s="2">
        <v>60000</v>
      </c>
      <c r="F6539" t="s">
        <v>4553</v>
      </c>
      <c r="G6539" s="17" t="str">
        <f>HYPERLINK("https://www.washoecounty.gov/assessor/cama/?command=sales&amp;parid=50205121","3897515")</f>
        <v>3897515</v>
      </c>
      <c r="H6539" t="s">
        <v>2434</v>
      </c>
      <c r="I6539">
        <v>1999</v>
      </c>
      <c r="J6539">
        <v>1999</v>
      </c>
      <c r="K6539" t="s">
        <v>4847</v>
      </c>
      <c r="L6539" t="s">
        <v>4555</v>
      </c>
      <c r="M6539" s="2">
        <v>1296</v>
      </c>
      <c r="N6539" t="s">
        <v>5280</v>
      </c>
      <c r="O6539">
        <v>3</v>
      </c>
      <c r="P6539">
        <v>2</v>
      </c>
      <c r="Q6539">
        <v>0</v>
      </c>
      <c r="R6539" t="s">
        <v>4557</v>
      </c>
      <c r="S6539" t="s">
        <v>4558</v>
      </c>
      <c r="T6539" t="s">
        <v>4559</v>
      </c>
      <c r="U6539" t="s">
        <v>4655</v>
      </c>
      <c r="V6539" s="2">
        <v>0</v>
      </c>
      <c r="W6539" t="s">
        <v>4655</v>
      </c>
      <c r="X6539" s="2">
        <v>0</v>
      </c>
      <c r="Y6539">
        <v>22</v>
      </c>
      <c r="Z6539" t="s">
        <v>4051</v>
      </c>
      <c r="AA6539" s="3">
        <v>0.13799357414245605</v>
      </c>
      <c r="AB6539" t="s">
        <v>31473</v>
      </c>
      <c r="AC6539" t="s">
        <v>4575</v>
      </c>
      <c r="AD6539" t="s">
        <v>31474</v>
      </c>
      <c r="AE6539" t="s">
        <v>31475</v>
      </c>
      <c r="AF6539" t="s">
        <v>4563</v>
      </c>
      <c r="AG6539" t="s">
        <v>4564</v>
      </c>
      <c r="AH6539">
        <v>89506</v>
      </c>
      <c r="AI6539" t="s">
        <v>4848</v>
      </c>
      <c r="AJ6539" t="s">
        <v>2436</v>
      </c>
      <c r="AK6539" t="s">
        <v>31476</v>
      </c>
      <c r="AL6539" s="13" t="s">
        <v>2255</v>
      </c>
      <c r="AM6539" s="14">
        <v>1</v>
      </c>
      <c r="AN6539" s="15" t="s">
        <v>2433</v>
      </c>
    </row>
    <row r="6540" spans="1:40" x14ac:dyDescent="0.3">
      <c r="A6540" s="10" t="str">
        <f>HYPERLINK("http://www.washoecounty.gov/assessor/cama/?parid=502-082-07&amp;CardNumber=1","502-082-07")</f>
        <v>502-082-07</v>
      </c>
      <c r="B6540" t="s">
        <v>4655</v>
      </c>
      <c r="C6540" t="s">
        <v>31477</v>
      </c>
      <c r="D6540" s="1">
        <v>40444</v>
      </c>
      <c r="E6540" s="2">
        <v>63000</v>
      </c>
      <c r="F6540" t="s">
        <v>4553</v>
      </c>
      <c r="G6540" s="17" t="str">
        <f>HYPERLINK("https://www.washoecounty.gov/assessor/cama/?command=sales&amp;parid=50208207","3925514")</f>
        <v>3925514</v>
      </c>
      <c r="H6540" t="s">
        <v>1674</v>
      </c>
      <c r="I6540">
        <v>2000</v>
      </c>
      <c r="J6540">
        <v>2000</v>
      </c>
      <c r="K6540" t="s">
        <v>4847</v>
      </c>
      <c r="L6540" t="s">
        <v>4555</v>
      </c>
      <c r="M6540" s="2">
        <v>1232</v>
      </c>
      <c r="N6540" t="s">
        <v>5280</v>
      </c>
      <c r="O6540">
        <v>3</v>
      </c>
      <c r="P6540">
        <v>2</v>
      </c>
      <c r="Q6540">
        <v>0</v>
      </c>
      <c r="R6540" t="s">
        <v>4557</v>
      </c>
      <c r="S6540" t="s">
        <v>4558</v>
      </c>
      <c r="T6540" t="s">
        <v>4559</v>
      </c>
      <c r="U6540" t="s">
        <v>4655</v>
      </c>
      <c r="V6540" s="2">
        <v>0</v>
      </c>
      <c r="W6540" t="s">
        <v>4655</v>
      </c>
      <c r="X6540" s="2">
        <v>0</v>
      </c>
      <c r="Y6540">
        <v>22</v>
      </c>
      <c r="Z6540" t="s">
        <v>5282</v>
      </c>
      <c r="AA6540" s="3">
        <v>0.237006425857544</v>
      </c>
      <c r="AB6540" t="s">
        <v>31478</v>
      </c>
      <c r="AC6540" t="s">
        <v>4562</v>
      </c>
      <c r="AD6540" t="s">
        <v>31479</v>
      </c>
      <c r="AE6540" t="s">
        <v>4655</v>
      </c>
      <c r="AF6540" t="s">
        <v>31480</v>
      </c>
      <c r="AG6540" t="s">
        <v>1754</v>
      </c>
      <c r="AH6540">
        <v>59808</v>
      </c>
      <c r="AI6540" t="s">
        <v>4848</v>
      </c>
      <c r="AJ6540" t="s">
        <v>1675</v>
      </c>
      <c r="AK6540" t="s">
        <v>31481</v>
      </c>
      <c r="AL6540" s="13" t="s">
        <v>2255</v>
      </c>
      <c r="AM6540">
        <v>1</v>
      </c>
      <c r="AN6540" s="15" t="s">
        <v>2433</v>
      </c>
    </row>
    <row r="6541" spans="1:40" x14ac:dyDescent="0.3">
      <c r="A6541" s="10" t="str">
        <f>HYPERLINK("http://www.washoecounty.gov/assessor/cama/?parid=502-100-04&amp;CardNumber=1","502-100-04")</f>
        <v>502-100-04</v>
      </c>
      <c r="B6541" t="s">
        <v>4655</v>
      </c>
      <c r="C6541" t="s">
        <v>31482</v>
      </c>
      <c r="D6541" s="1">
        <v>40268</v>
      </c>
      <c r="E6541" s="2">
        <v>210000</v>
      </c>
      <c r="F6541" t="s">
        <v>4567</v>
      </c>
      <c r="G6541" s="17" t="str">
        <f>HYPERLINK("https://www.washoecounty.gov/assessor/cama/?command=sales&amp;parid=50210004","3866414")</f>
        <v>3866414</v>
      </c>
      <c r="H6541" t="s">
        <v>2402</v>
      </c>
      <c r="I6541">
        <v>2000</v>
      </c>
      <c r="J6541">
        <v>2000</v>
      </c>
      <c r="K6541" t="s">
        <v>4554</v>
      </c>
      <c r="L6541" t="s">
        <v>3974</v>
      </c>
      <c r="M6541" s="2">
        <v>2348</v>
      </c>
      <c r="N6541" t="s">
        <v>5280</v>
      </c>
      <c r="O6541">
        <v>4</v>
      </c>
      <c r="P6541">
        <v>3</v>
      </c>
      <c r="Q6541">
        <v>0</v>
      </c>
      <c r="R6541" t="s">
        <v>4557</v>
      </c>
      <c r="S6541" t="s">
        <v>4558</v>
      </c>
      <c r="T6541" t="s">
        <v>4559</v>
      </c>
      <c r="U6541" t="s">
        <v>162</v>
      </c>
      <c r="V6541" s="2">
        <v>1186</v>
      </c>
      <c r="W6541" t="s">
        <v>4655</v>
      </c>
      <c r="X6541" s="2">
        <v>0</v>
      </c>
      <c r="Y6541">
        <v>20</v>
      </c>
      <c r="Z6541" t="s">
        <v>5282</v>
      </c>
      <c r="AA6541" s="3">
        <v>0.39600551128387501</v>
      </c>
      <c r="AB6541" t="s">
        <v>31483</v>
      </c>
      <c r="AC6541" t="s">
        <v>4575</v>
      </c>
      <c r="AD6541" t="s">
        <v>31484</v>
      </c>
      <c r="AE6541" t="s">
        <v>31482</v>
      </c>
      <c r="AF6541" t="s">
        <v>4563</v>
      </c>
      <c r="AG6541" t="s">
        <v>4564</v>
      </c>
      <c r="AH6541">
        <v>89508</v>
      </c>
      <c r="AI6541" t="s">
        <v>31485</v>
      </c>
      <c r="AJ6541" t="s">
        <v>2403</v>
      </c>
      <c r="AK6541" t="s">
        <v>31486</v>
      </c>
      <c r="AL6541" s="13" t="s">
        <v>1901</v>
      </c>
      <c r="AM6541">
        <v>1</v>
      </c>
      <c r="AN6541" s="15" t="s">
        <v>4909</v>
      </c>
    </row>
    <row r="6542" spans="1:40" x14ac:dyDescent="0.3">
      <c r="A6542" s="10" t="str">
        <f>HYPERLINK("http://www.washoecounty.gov/assessor/cama/?parid=502-100-09&amp;CardNumber=1","502-100-09")</f>
        <v>502-100-09</v>
      </c>
      <c r="B6542" t="s">
        <v>4655</v>
      </c>
      <c r="C6542" t="s">
        <v>2979</v>
      </c>
      <c r="D6542" s="1">
        <v>40455</v>
      </c>
      <c r="E6542" s="2">
        <v>140000</v>
      </c>
      <c r="F6542" t="s">
        <v>4567</v>
      </c>
      <c r="G6542" s="17" t="str">
        <f>HYPERLINK("https://www.washoecounty.gov/assessor/cama/?command=sales&amp;parid=50210009","3929080")</f>
        <v>3929080</v>
      </c>
      <c r="H6542" t="s">
        <v>2402</v>
      </c>
      <c r="I6542">
        <v>2000</v>
      </c>
      <c r="J6542">
        <v>2000</v>
      </c>
      <c r="K6542" t="s">
        <v>4554</v>
      </c>
      <c r="L6542" t="s">
        <v>4555</v>
      </c>
      <c r="M6542" s="2">
        <v>1585</v>
      </c>
      <c r="N6542" t="s">
        <v>5280</v>
      </c>
      <c r="O6542">
        <v>3</v>
      </c>
      <c r="P6542">
        <v>2</v>
      </c>
      <c r="Q6542">
        <v>0</v>
      </c>
      <c r="R6542" t="s">
        <v>5281</v>
      </c>
      <c r="S6542" t="s">
        <v>4558</v>
      </c>
      <c r="T6542" t="s">
        <v>4559</v>
      </c>
      <c r="U6542" t="s">
        <v>4560</v>
      </c>
      <c r="V6542" s="2">
        <v>462</v>
      </c>
      <c r="W6542" t="s">
        <v>4655</v>
      </c>
      <c r="X6542" s="2">
        <v>0</v>
      </c>
      <c r="Y6542">
        <v>20</v>
      </c>
      <c r="Z6542" t="s">
        <v>5282</v>
      </c>
      <c r="AA6542" s="3">
        <v>0.41900825500488298</v>
      </c>
      <c r="AB6542" t="s">
        <v>2980</v>
      </c>
      <c r="AC6542" t="s">
        <v>4562</v>
      </c>
      <c r="AD6542" t="s">
        <v>31487</v>
      </c>
      <c r="AE6542" t="s">
        <v>4655</v>
      </c>
      <c r="AF6542" t="s">
        <v>31488</v>
      </c>
      <c r="AG6542" t="s">
        <v>4584</v>
      </c>
      <c r="AH6542" t="s">
        <v>1193</v>
      </c>
      <c r="AI6542" t="s">
        <v>31489</v>
      </c>
      <c r="AJ6542" t="s">
        <v>2403</v>
      </c>
      <c r="AK6542" t="s">
        <v>2981</v>
      </c>
      <c r="AL6542" s="13" t="s">
        <v>1901</v>
      </c>
      <c r="AM6542" s="14">
        <v>1</v>
      </c>
      <c r="AN6542" s="15" t="s">
        <v>4909</v>
      </c>
    </row>
    <row r="6543" spans="1:40" x14ac:dyDescent="0.3">
      <c r="A6543" s="10" t="str">
        <f>HYPERLINK("http://www.washoecounty.gov/assessor/cama/?parid=502-111-07&amp;CardNumber=1","502-111-07")</f>
        <v>502-111-07</v>
      </c>
      <c r="B6543" t="s">
        <v>4655</v>
      </c>
      <c r="C6543" t="s">
        <v>31490</v>
      </c>
      <c r="D6543" s="1">
        <v>40326</v>
      </c>
      <c r="E6543" s="2">
        <v>192000</v>
      </c>
      <c r="F6543" t="s">
        <v>4567</v>
      </c>
      <c r="G6543" s="17" t="str">
        <f>HYPERLINK("https://www.washoecounty.gov/assessor/cama/?command=sales&amp;parid=50211107","3886842")</f>
        <v>3886842</v>
      </c>
      <c r="H6543" t="s">
        <v>2402</v>
      </c>
      <c r="I6543">
        <v>1999</v>
      </c>
      <c r="J6543">
        <v>1999</v>
      </c>
      <c r="K6543" t="s">
        <v>4554</v>
      </c>
      <c r="L6543" t="s">
        <v>3974</v>
      </c>
      <c r="M6543" s="2">
        <v>2358</v>
      </c>
      <c r="N6543" t="s">
        <v>5280</v>
      </c>
      <c r="O6543">
        <v>4</v>
      </c>
      <c r="P6543">
        <v>2</v>
      </c>
      <c r="Q6543">
        <v>0</v>
      </c>
      <c r="R6543" t="s">
        <v>5281</v>
      </c>
      <c r="S6543" t="s">
        <v>4558</v>
      </c>
      <c r="T6543" t="s">
        <v>4559</v>
      </c>
      <c r="U6543" t="s">
        <v>4560</v>
      </c>
      <c r="V6543" s="2">
        <v>429</v>
      </c>
      <c r="W6543" t="s">
        <v>4655</v>
      </c>
      <c r="X6543" s="2">
        <v>0</v>
      </c>
      <c r="Y6543">
        <v>20</v>
      </c>
      <c r="Z6543" t="s">
        <v>5282</v>
      </c>
      <c r="AA6543" s="3">
        <v>0.37601009011268599</v>
      </c>
      <c r="AB6543" t="s">
        <v>31491</v>
      </c>
      <c r="AC6543" t="s">
        <v>4562</v>
      </c>
      <c r="AD6543" t="s">
        <v>31490</v>
      </c>
      <c r="AE6543" t="s">
        <v>4655</v>
      </c>
      <c r="AF6543" t="s">
        <v>4563</v>
      </c>
      <c r="AG6543" t="s">
        <v>4564</v>
      </c>
      <c r="AH6543">
        <v>89508</v>
      </c>
      <c r="AI6543" t="s">
        <v>4655</v>
      </c>
      <c r="AJ6543" t="s">
        <v>2403</v>
      </c>
      <c r="AK6543" t="s">
        <v>31492</v>
      </c>
      <c r="AL6543" s="13" t="s">
        <v>1901</v>
      </c>
      <c r="AM6543">
        <v>1</v>
      </c>
      <c r="AN6543" s="15" t="s">
        <v>4909</v>
      </c>
    </row>
    <row r="6544" spans="1:40" x14ac:dyDescent="0.3">
      <c r="A6544" s="10" t="str">
        <f>HYPERLINK("http://www.washoecounty.gov/assessor/cama/?parid=502-132-01&amp;CardNumber=1","502-132-01")</f>
        <v>502-132-01</v>
      </c>
      <c r="B6544" t="s">
        <v>4655</v>
      </c>
      <c r="C6544" t="s">
        <v>31493</v>
      </c>
      <c r="D6544" s="1">
        <v>40476</v>
      </c>
      <c r="E6544" s="2">
        <v>191000</v>
      </c>
      <c r="F6544" t="s">
        <v>4553</v>
      </c>
      <c r="G6544" s="17" t="str">
        <f>HYPERLINK("https://www.washoecounty.gov/assessor/cama/?command=sales&amp;parid=50213201","3936126")</f>
        <v>3936126</v>
      </c>
      <c r="H6544" t="s">
        <v>3399</v>
      </c>
      <c r="I6544">
        <v>2001</v>
      </c>
      <c r="J6544">
        <v>2001</v>
      </c>
      <c r="K6544" t="s">
        <v>4554</v>
      </c>
      <c r="L6544" t="s">
        <v>3974</v>
      </c>
      <c r="M6544" s="2">
        <v>2729</v>
      </c>
      <c r="N6544" t="s">
        <v>5280</v>
      </c>
      <c r="O6544">
        <v>5</v>
      </c>
      <c r="P6544">
        <v>2</v>
      </c>
      <c r="Q6544">
        <v>1</v>
      </c>
      <c r="R6544" t="s">
        <v>5281</v>
      </c>
      <c r="S6544" t="s">
        <v>4558</v>
      </c>
      <c r="T6544" t="s">
        <v>4559</v>
      </c>
      <c r="U6544" t="s">
        <v>5631</v>
      </c>
      <c r="V6544" s="2">
        <v>671</v>
      </c>
      <c r="W6544" t="s">
        <v>4655</v>
      </c>
      <c r="X6544" s="2">
        <v>0</v>
      </c>
      <c r="Y6544">
        <v>20</v>
      </c>
      <c r="Z6544" t="s">
        <v>5282</v>
      </c>
      <c r="AA6544" s="3">
        <v>0.407001823186874</v>
      </c>
      <c r="AB6544" t="s">
        <v>31494</v>
      </c>
      <c r="AC6544" t="s">
        <v>4575</v>
      </c>
      <c r="AD6544" t="s">
        <v>31493</v>
      </c>
      <c r="AE6544" t="s">
        <v>4655</v>
      </c>
      <c r="AF6544" t="s">
        <v>4563</v>
      </c>
      <c r="AG6544" t="s">
        <v>4564</v>
      </c>
      <c r="AH6544">
        <v>89506</v>
      </c>
      <c r="AI6544" t="s">
        <v>4903</v>
      </c>
      <c r="AJ6544" t="s">
        <v>3400</v>
      </c>
      <c r="AK6544" t="s">
        <v>31495</v>
      </c>
      <c r="AL6544" s="13" t="s">
        <v>1901</v>
      </c>
      <c r="AM6544">
        <v>1</v>
      </c>
      <c r="AN6544" s="15" t="s">
        <v>4909</v>
      </c>
    </row>
    <row r="6545" spans="1:40" x14ac:dyDescent="0.3">
      <c r="A6545" s="10" t="str">
        <f>HYPERLINK("http://www.washoecounty.gov/assessor/cama/?parid=502-133-04&amp;CardNumber=1","502-133-04")</f>
        <v>502-133-04</v>
      </c>
      <c r="B6545" t="s">
        <v>4655</v>
      </c>
      <c r="C6545" t="s">
        <v>31496</v>
      </c>
      <c r="D6545" s="1">
        <v>40331</v>
      </c>
      <c r="E6545" s="2">
        <v>197900</v>
      </c>
      <c r="F6545" t="s">
        <v>4553</v>
      </c>
      <c r="G6545" s="17" t="str">
        <f>HYPERLINK("https://www.washoecounty.gov/assessor/cama/?command=sales&amp;parid=50213304","3887567")</f>
        <v>3887567</v>
      </c>
      <c r="H6545" t="s">
        <v>3399</v>
      </c>
      <c r="I6545">
        <v>2001</v>
      </c>
      <c r="J6545">
        <v>2001</v>
      </c>
      <c r="K6545" t="s">
        <v>4554</v>
      </c>
      <c r="L6545" t="s">
        <v>3974</v>
      </c>
      <c r="M6545" s="2">
        <v>2357</v>
      </c>
      <c r="N6545" t="s">
        <v>5280</v>
      </c>
      <c r="O6545">
        <v>5</v>
      </c>
      <c r="P6545">
        <v>2</v>
      </c>
      <c r="Q6545">
        <v>1</v>
      </c>
      <c r="R6545" t="s">
        <v>4557</v>
      </c>
      <c r="S6545" t="s">
        <v>4558</v>
      </c>
      <c r="T6545" t="s">
        <v>4559</v>
      </c>
      <c r="U6545" t="s">
        <v>4560</v>
      </c>
      <c r="V6545" s="2">
        <v>619</v>
      </c>
      <c r="W6545" t="s">
        <v>4655</v>
      </c>
      <c r="X6545" s="2">
        <v>0</v>
      </c>
      <c r="Y6545">
        <v>20</v>
      </c>
      <c r="Z6545" t="s">
        <v>5282</v>
      </c>
      <c r="AA6545" s="3">
        <v>0.35300734639167802</v>
      </c>
      <c r="AB6545" t="s">
        <v>31497</v>
      </c>
      <c r="AC6545" t="s">
        <v>4562</v>
      </c>
      <c r="AD6545" t="s">
        <v>31496</v>
      </c>
      <c r="AE6545" t="s">
        <v>4655</v>
      </c>
      <c r="AF6545" t="s">
        <v>4563</v>
      </c>
      <c r="AG6545" t="s">
        <v>4564</v>
      </c>
      <c r="AH6545">
        <v>89506</v>
      </c>
      <c r="AI6545" t="s">
        <v>1602</v>
      </c>
      <c r="AJ6545" t="s">
        <v>3400</v>
      </c>
      <c r="AK6545" t="s">
        <v>31498</v>
      </c>
      <c r="AL6545" s="13" t="s">
        <v>1901</v>
      </c>
      <c r="AM6545">
        <v>1</v>
      </c>
      <c r="AN6545" s="15" t="s">
        <v>4909</v>
      </c>
    </row>
    <row r="6546" spans="1:40" x14ac:dyDescent="0.3">
      <c r="A6546" s="10" t="str">
        <f>HYPERLINK("http://www.washoecounty.gov/assessor/cama/?parid=502-142-01&amp;CardNumber=1","502-142-01")</f>
        <v>502-142-01</v>
      </c>
      <c r="B6546" t="s">
        <v>4655</v>
      </c>
      <c r="C6546" t="s">
        <v>31499</v>
      </c>
      <c r="D6546" s="1">
        <v>40326</v>
      </c>
      <c r="E6546" s="2">
        <v>64000</v>
      </c>
      <c r="F6546" t="s">
        <v>4553</v>
      </c>
      <c r="G6546" s="17" t="str">
        <f>HYPERLINK("https://www.washoecounty.gov/assessor/cama/?command=sales&amp;parid=50214201","3886893")</f>
        <v>3886893</v>
      </c>
      <c r="H6546" t="s">
        <v>4453</v>
      </c>
      <c r="I6546">
        <v>1999</v>
      </c>
      <c r="J6546">
        <v>1999</v>
      </c>
      <c r="K6546" t="s">
        <v>4847</v>
      </c>
      <c r="L6546" t="s">
        <v>4555</v>
      </c>
      <c r="M6546" s="2">
        <v>1714</v>
      </c>
      <c r="N6546" t="s">
        <v>5280</v>
      </c>
      <c r="O6546">
        <v>3</v>
      </c>
      <c r="P6546">
        <v>2</v>
      </c>
      <c r="Q6546">
        <v>0</v>
      </c>
      <c r="R6546" t="s">
        <v>4557</v>
      </c>
      <c r="S6546" t="s">
        <v>4558</v>
      </c>
      <c r="T6546" t="s">
        <v>4559</v>
      </c>
      <c r="U6546" t="s">
        <v>4655</v>
      </c>
      <c r="V6546" s="2">
        <v>0</v>
      </c>
      <c r="W6546" t="s">
        <v>4655</v>
      </c>
      <c r="X6546" s="2">
        <v>0</v>
      </c>
      <c r="Y6546">
        <v>22</v>
      </c>
      <c r="Z6546" t="s">
        <v>4051</v>
      </c>
      <c r="AA6546" s="3">
        <v>0.217998161911964</v>
      </c>
      <c r="AB6546" t="s">
        <v>31500</v>
      </c>
      <c r="AC6546" t="s">
        <v>4562</v>
      </c>
      <c r="AD6546" t="s">
        <v>31501</v>
      </c>
      <c r="AE6546" t="s">
        <v>4655</v>
      </c>
      <c r="AF6546" t="s">
        <v>4563</v>
      </c>
      <c r="AG6546" t="s">
        <v>4564</v>
      </c>
      <c r="AH6546">
        <v>89506</v>
      </c>
      <c r="AI6546" t="s">
        <v>4848</v>
      </c>
      <c r="AJ6546" t="s">
        <v>31502</v>
      </c>
      <c r="AK6546" t="s">
        <v>31503</v>
      </c>
      <c r="AL6546" s="13" t="s">
        <v>2255</v>
      </c>
      <c r="AM6546" s="14">
        <v>1</v>
      </c>
      <c r="AN6546" s="15" t="s">
        <v>2433</v>
      </c>
    </row>
    <row r="6547" spans="1:40" x14ac:dyDescent="0.3">
      <c r="A6547" s="10" t="str">
        <f>HYPERLINK("http://www.washoecounty.gov/assessor/cama/?parid=502-161-03&amp;CardNumber=1","502-161-03")</f>
        <v>502-161-03</v>
      </c>
      <c r="B6547" t="s">
        <v>4655</v>
      </c>
      <c r="C6547" t="s">
        <v>31504</v>
      </c>
      <c r="D6547" s="1">
        <v>40186</v>
      </c>
      <c r="E6547" s="2">
        <v>80000</v>
      </c>
      <c r="F6547" t="s">
        <v>4553</v>
      </c>
      <c r="G6547" s="17" t="str">
        <f>HYPERLINK("https://www.washoecounty.gov/assessor/cama/?command=sales&amp;parid=50216103","3837455")</f>
        <v>3837455</v>
      </c>
      <c r="H6547" t="s">
        <v>3301</v>
      </c>
      <c r="I6547">
        <v>1997</v>
      </c>
      <c r="J6547">
        <v>1997</v>
      </c>
      <c r="K6547" t="s">
        <v>4847</v>
      </c>
      <c r="L6547" t="s">
        <v>4555</v>
      </c>
      <c r="M6547" s="2">
        <v>1394</v>
      </c>
      <c r="N6547" t="s">
        <v>5280</v>
      </c>
      <c r="O6547">
        <v>3</v>
      </c>
      <c r="P6547">
        <v>2</v>
      </c>
      <c r="Q6547">
        <v>0</v>
      </c>
      <c r="R6547" t="s">
        <v>4557</v>
      </c>
      <c r="S6547" t="s">
        <v>4558</v>
      </c>
      <c r="T6547" t="s">
        <v>4559</v>
      </c>
      <c r="U6547" t="s">
        <v>4655</v>
      </c>
      <c r="V6547" s="2">
        <v>0</v>
      </c>
      <c r="W6547" t="s">
        <v>4655</v>
      </c>
      <c r="X6547" s="2">
        <v>0</v>
      </c>
      <c r="Y6547">
        <v>22</v>
      </c>
      <c r="Z6547" t="s">
        <v>4051</v>
      </c>
      <c r="AA6547" s="3">
        <v>0.176010102033615</v>
      </c>
      <c r="AB6547" t="s">
        <v>22226</v>
      </c>
      <c r="AC6547" t="s">
        <v>4562</v>
      </c>
      <c r="AD6547" t="s">
        <v>3303</v>
      </c>
      <c r="AE6547" t="s">
        <v>4655</v>
      </c>
      <c r="AF6547" t="s">
        <v>3304</v>
      </c>
      <c r="AG6547" t="s">
        <v>4584</v>
      </c>
      <c r="AH6547">
        <v>94402</v>
      </c>
      <c r="AI6547" t="s">
        <v>3302</v>
      </c>
      <c r="AJ6547" t="s">
        <v>31505</v>
      </c>
      <c r="AK6547" t="s">
        <v>31506</v>
      </c>
      <c r="AL6547" s="13" t="s">
        <v>2255</v>
      </c>
      <c r="AM6547">
        <v>1</v>
      </c>
      <c r="AN6547" s="15" t="s">
        <v>2433</v>
      </c>
    </row>
    <row r="6548" spans="1:40" x14ac:dyDescent="0.3">
      <c r="A6548" s="10" t="str">
        <f>HYPERLINK("http://www.washoecounty.gov/assessor/cama/?parid=502-171-12&amp;CardNumber=1","502-171-12")</f>
        <v>502-171-12</v>
      </c>
      <c r="B6548" t="s">
        <v>4655</v>
      </c>
      <c r="C6548" t="s">
        <v>31507</v>
      </c>
      <c r="D6548" s="1">
        <v>40512</v>
      </c>
      <c r="E6548" s="2">
        <v>85000</v>
      </c>
      <c r="F6548" t="s">
        <v>4553</v>
      </c>
      <c r="G6548" s="17" t="str">
        <f>HYPERLINK("https://www.washoecounty.gov/assessor/cama/?command=sales&amp;parid=50217112","3947890")</f>
        <v>3947890</v>
      </c>
      <c r="H6548" t="s">
        <v>5212</v>
      </c>
      <c r="I6548">
        <v>2003</v>
      </c>
      <c r="J6548">
        <v>2003</v>
      </c>
      <c r="K6548" t="s">
        <v>4847</v>
      </c>
      <c r="L6548" t="s">
        <v>4555</v>
      </c>
      <c r="M6548" s="2">
        <v>2096</v>
      </c>
      <c r="N6548" t="s">
        <v>5280</v>
      </c>
      <c r="O6548">
        <v>4</v>
      </c>
      <c r="P6548">
        <v>2</v>
      </c>
      <c r="Q6548">
        <v>0</v>
      </c>
      <c r="R6548" t="s">
        <v>4557</v>
      </c>
      <c r="S6548" t="s">
        <v>4558</v>
      </c>
      <c r="T6548" t="s">
        <v>4559</v>
      </c>
      <c r="U6548" t="s">
        <v>4655</v>
      </c>
      <c r="V6548" s="2">
        <v>0</v>
      </c>
      <c r="W6548" t="s">
        <v>4655</v>
      </c>
      <c r="X6548" s="2">
        <v>0</v>
      </c>
      <c r="Y6548">
        <v>22</v>
      </c>
      <c r="Z6548" t="s">
        <v>4051</v>
      </c>
      <c r="AA6548" s="3">
        <v>0.18399907648563399</v>
      </c>
      <c r="AB6548" t="s">
        <v>31508</v>
      </c>
      <c r="AC6548" t="s">
        <v>4562</v>
      </c>
      <c r="AD6548" t="s">
        <v>31507</v>
      </c>
      <c r="AE6548" t="s">
        <v>4655</v>
      </c>
      <c r="AF6548" t="s">
        <v>4563</v>
      </c>
      <c r="AG6548" t="s">
        <v>4564</v>
      </c>
      <c r="AH6548">
        <v>89506</v>
      </c>
      <c r="AI6548" t="s">
        <v>5213</v>
      </c>
      <c r="AJ6548" t="s">
        <v>31509</v>
      </c>
      <c r="AK6548" t="s">
        <v>31510</v>
      </c>
      <c r="AL6548" s="13" t="s">
        <v>2255</v>
      </c>
      <c r="AM6548">
        <v>1</v>
      </c>
      <c r="AN6548" s="15" t="s">
        <v>2433</v>
      </c>
    </row>
    <row r="6549" spans="1:40" x14ac:dyDescent="0.3">
      <c r="A6549" s="10" t="str">
        <f>HYPERLINK("http://www.washoecounty.gov/assessor/cama/?parid=502-181-01&amp;CardNumber=1","502-181-01")</f>
        <v>502-181-01</v>
      </c>
      <c r="B6549" t="s">
        <v>4655</v>
      </c>
      <c r="C6549" t="s">
        <v>31511</v>
      </c>
      <c r="D6549" s="1">
        <v>40336</v>
      </c>
      <c r="E6549" s="2">
        <v>132000</v>
      </c>
      <c r="F6549" t="s">
        <v>4567</v>
      </c>
      <c r="G6549" s="17" t="str">
        <f>HYPERLINK("https://www.washoecounty.gov/assessor/cama/?command=sales&amp;parid=50218101","3888870")</f>
        <v>3888870</v>
      </c>
      <c r="H6549" t="s">
        <v>3401</v>
      </c>
      <c r="I6549">
        <v>2004</v>
      </c>
      <c r="J6549">
        <v>2004</v>
      </c>
      <c r="K6549" t="s">
        <v>4554</v>
      </c>
      <c r="L6549" t="s">
        <v>4555</v>
      </c>
      <c r="M6549" s="2">
        <v>1522</v>
      </c>
      <c r="N6549" t="s">
        <v>5280</v>
      </c>
      <c r="O6549">
        <v>3</v>
      </c>
      <c r="P6549">
        <v>2</v>
      </c>
      <c r="Q6549">
        <v>0</v>
      </c>
      <c r="R6549" t="s">
        <v>5281</v>
      </c>
      <c r="S6549" t="s">
        <v>4558</v>
      </c>
      <c r="T6549" t="s">
        <v>4559</v>
      </c>
      <c r="U6549" t="s">
        <v>4560</v>
      </c>
      <c r="V6549" s="2">
        <v>660</v>
      </c>
      <c r="W6549" t="s">
        <v>4655</v>
      </c>
      <c r="X6549" s="2">
        <v>0</v>
      </c>
      <c r="Y6549">
        <v>20</v>
      </c>
      <c r="Z6549" t="s">
        <v>4051</v>
      </c>
      <c r="AA6549" s="3">
        <v>0.28099173307418801</v>
      </c>
      <c r="AB6549" t="s">
        <v>31512</v>
      </c>
      <c r="AC6549" t="s">
        <v>4562</v>
      </c>
      <c r="AD6549" t="s">
        <v>31513</v>
      </c>
      <c r="AE6549" t="s">
        <v>4655</v>
      </c>
      <c r="AF6549" t="s">
        <v>4563</v>
      </c>
      <c r="AG6549" t="s">
        <v>4564</v>
      </c>
      <c r="AH6549">
        <v>89510</v>
      </c>
      <c r="AI6549" t="s">
        <v>4655</v>
      </c>
      <c r="AJ6549" t="s">
        <v>3012</v>
      </c>
      <c r="AK6549" t="s">
        <v>31514</v>
      </c>
      <c r="AL6549" s="13" t="s">
        <v>2255</v>
      </c>
      <c r="AM6549" s="14">
        <v>1</v>
      </c>
      <c r="AN6549" s="15" t="s">
        <v>2765</v>
      </c>
    </row>
    <row r="6550" spans="1:40" x14ac:dyDescent="0.3">
      <c r="A6550" s="10" t="str">
        <f>HYPERLINK("http://www.washoecounty.gov/assessor/cama/?parid=502-283-10&amp;CardNumber=1","502-283-10")</f>
        <v>502-283-10</v>
      </c>
      <c r="B6550" t="s">
        <v>4655</v>
      </c>
      <c r="C6550" t="s">
        <v>31515</v>
      </c>
      <c r="D6550" s="1">
        <v>40535</v>
      </c>
      <c r="E6550" s="2">
        <v>200000</v>
      </c>
      <c r="F6550" t="s">
        <v>4553</v>
      </c>
      <c r="G6550" s="17" t="str">
        <f>HYPERLINK("https://www.washoecounty.gov/assessor/cama/?command=sales&amp;parid=50228310","3956857")</f>
        <v>3956857</v>
      </c>
      <c r="H6550" t="s">
        <v>329</v>
      </c>
      <c r="I6550">
        <v>2005</v>
      </c>
      <c r="J6550">
        <v>2005</v>
      </c>
      <c r="K6550" t="s">
        <v>4554</v>
      </c>
      <c r="L6550" t="s">
        <v>4555</v>
      </c>
      <c r="M6550" s="2">
        <v>2075</v>
      </c>
      <c r="N6550" t="s">
        <v>5280</v>
      </c>
      <c r="O6550">
        <v>3</v>
      </c>
      <c r="P6550">
        <v>2</v>
      </c>
      <c r="Q6550">
        <v>1</v>
      </c>
      <c r="R6550" t="s">
        <v>5281</v>
      </c>
      <c r="S6550" t="s">
        <v>4558</v>
      </c>
      <c r="T6550" t="s">
        <v>4559</v>
      </c>
      <c r="U6550" t="s">
        <v>4560</v>
      </c>
      <c r="V6550" s="2">
        <v>696</v>
      </c>
      <c r="W6550" t="s">
        <v>4655</v>
      </c>
      <c r="X6550" s="2">
        <v>0</v>
      </c>
      <c r="Y6550">
        <v>20</v>
      </c>
      <c r="Z6550" t="s">
        <v>5282</v>
      </c>
      <c r="AA6550" s="3">
        <v>0.28617998957633972</v>
      </c>
      <c r="AB6550" t="s">
        <v>31516</v>
      </c>
      <c r="AC6550" t="s">
        <v>4562</v>
      </c>
      <c r="AD6550" t="s">
        <v>31515</v>
      </c>
      <c r="AE6550" t="s">
        <v>4655</v>
      </c>
      <c r="AF6550" t="s">
        <v>4563</v>
      </c>
      <c r="AG6550" t="s">
        <v>4564</v>
      </c>
      <c r="AH6550">
        <v>89506</v>
      </c>
      <c r="AI6550" t="s">
        <v>4565</v>
      </c>
      <c r="AJ6550" t="s">
        <v>330</v>
      </c>
      <c r="AK6550" t="s">
        <v>31517</v>
      </c>
      <c r="AL6550" s="13" t="s">
        <v>1901</v>
      </c>
      <c r="AM6550" s="14">
        <v>1</v>
      </c>
      <c r="AN6550" s="15" t="s">
        <v>4909</v>
      </c>
    </row>
    <row r="6551" spans="1:40" x14ac:dyDescent="0.3">
      <c r="A6551" s="10" t="str">
        <f>HYPERLINK("http://www.washoecounty.gov/assessor/cama/?parid=502-331-04&amp;CardNumber=1","502-331-04")</f>
        <v>502-331-04</v>
      </c>
      <c r="B6551" t="s">
        <v>4655</v>
      </c>
      <c r="C6551" t="s">
        <v>31518</v>
      </c>
      <c r="D6551" s="1">
        <v>40235</v>
      </c>
      <c r="E6551" s="2">
        <v>220000</v>
      </c>
      <c r="F6551" t="s">
        <v>4567</v>
      </c>
      <c r="G6551" s="17" t="str">
        <f>HYPERLINK("https://www.washoecounty.gov/assessor/cama/?command=sales&amp;parid=50233104","3853467")</f>
        <v>3853467</v>
      </c>
      <c r="H6551" t="s">
        <v>5500</v>
      </c>
      <c r="I6551">
        <v>2005</v>
      </c>
      <c r="J6551">
        <v>2005</v>
      </c>
      <c r="K6551" t="s">
        <v>4554</v>
      </c>
      <c r="L6551" t="s">
        <v>4555</v>
      </c>
      <c r="M6551" s="2">
        <v>1943</v>
      </c>
      <c r="N6551" t="s">
        <v>5280</v>
      </c>
      <c r="O6551">
        <v>3</v>
      </c>
      <c r="P6551">
        <v>2</v>
      </c>
      <c r="Q6551">
        <v>0</v>
      </c>
      <c r="R6551" t="s">
        <v>5281</v>
      </c>
      <c r="S6551" t="s">
        <v>4558</v>
      </c>
      <c r="T6551" t="s">
        <v>4559</v>
      </c>
      <c r="U6551" t="s">
        <v>4560</v>
      </c>
      <c r="V6551" s="2">
        <v>702</v>
      </c>
      <c r="W6551" t="s">
        <v>4655</v>
      </c>
      <c r="X6551" s="2">
        <v>0</v>
      </c>
      <c r="Y6551">
        <v>20</v>
      </c>
      <c r="Z6551" t="s">
        <v>5282</v>
      </c>
      <c r="AA6551" s="3">
        <v>0.24995408952236201</v>
      </c>
      <c r="AB6551" t="s">
        <v>31519</v>
      </c>
      <c r="AC6551" t="s">
        <v>4562</v>
      </c>
      <c r="AD6551" t="s">
        <v>31518</v>
      </c>
      <c r="AE6551" t="s">
        <v>4655</v>
      </c>
      <c r="AF6551" t="s">
        <v>4563</v>
      </c>
      <c r="AG6551" t="s">
        <v>4564</v>
      </c>
      <c r="AH6551">
        <v>89506</v>
      </c>
      <c r="AI6551" t="s">
        <v>31520</v>
      </c>
      <c r="AJ6551" t="s">
        <v>5078</v>
      </c>
      <c r="AK6551" t="s">
        <v>31521</v>
      </c>
      <c r="AL6551" s="13" t="s">
        <v>1901</v>
      </c>
      <c r="AM6551">
        <v>1</v>
      </c>
      <c r="AN6551" s="15" t="s">
        <v>4909</v>
      </c>
    </row>
    <row r="6552" spans="1:40" x14ac:dyDescent="0.3">
      <c r="A6552" s="10" t="str">
        <f>HYPERLINK("http://www.washoecounty.gov/assessor/cama/?parid=502-331-09&amp;CardNumber=1","502-331-09")</f>
        <v>502-331-09</v>
      </c>
      <c r="B6552" t="s">
        <v>4655</v>
      </c>
      <c r="C6552" t="s">
        <v>31522</v>
      </c>
      <c r="D6552" s="1">
        <v>40436</v>
      </c>
      <c r="E6552" s="2">
        <v>198000</v>
      </c>
      <c r="F6552" t="s">
        <v>4553</v>
      </c>
      <c r="G6552" s="17" t="str">
        <f>HYPERLINK("https://www.washoecounty.gov/assessor/cama/?command=sales&amp;parid=50233109","3922463")</f>
        <v>3922463</v>
      </c>
      <c r="H6552" t="s">
        <v>5500</v>
      </c>
      <c r="I6552">
        <v>2005</v>
      </c>
      <c r="J6552">
        <v>2005</v>
      </c>
      <c r="K6552" t="s">
        <v>4554</v>
      </c>
      <c r="L6552" t="s">
        <v>4555</v>
      </c>
      <c r="M6552" s="2">
        <v>2075</v>
      </c>
      <c r="N6552" t="s">
        <v>5280</v>
      </c>
      <c r="O6552">
        <v>4</v>
      </c>
      <c r="P6552">
        <v>2</v>
      </c>
      <c r="Q6552">
        <v>1</v>
      </c>
      <c r="R6552" t="s">
        <v>5281</v>
      </c>
      <c r="S6552" t="s">
        <v>4558</v>
      </c>
      <c r="T6552" t="s">
        <v>4559</v>
      </c>
      <c r="U6552" t="s">
        <v>4560</v>
      </c>
      <c r="V6552" s="2">
        <v>696</v>
      </c>
      <c r="W6552" t="s">
        <v>4655</v>
      </c>
      <c r="X6552" s="2">
        <v>0</v>
      </c>
      <c r="Y6552">
        <v>20</v>
      </c>
      <c r="Z6552" t="s">
        <v>5282</v>
      </c>
      <c r="AA6552" s="3">
        <v>0.40312212705612199</v>
      </c>
      <c r="AB6552" t="s">
        <v>31523</v>
      </c>
      <c r="AC6552" t="s">
        <v>4562</v>
      </c>
      <c r="AD6552" t="s">
        <v>31524</v>
      </c>
      <c r="AE6552" t="s">
        <v>4655</v>
      </c>
      <c r="AF6552" t="s">
        <v>31525</v>
      </c>
      <c r="AG6552" t="s">
        <v>24689</v>
      </c>
      <c r="AH6552">
        <v>2818</v>
      </c>
      <c r="AI6552" t="s">
        <v>1602</v>
      </c>
      <c r="AJ6552" t="s">
        <v>5078</v>
      </c>
      <c r="AK6552" t="s">
        <v>31526</v>
      </c>
      <c r="AL6552" s="13" t="s">
        <v>1901</v>
      </c>
      <c r="AM6552">
        <v>1</v>
      </c>
      <c r="AN6552" s="15" t="s">
        <v>4909</v>
      </c>
    </row>
    <row r="6553" spans="1:40" x14ac:dyDescent="0.3">
      <c r="A6553" s="10" t="str">
        <f>HYPERLINK("http://www.washoecounty.gov/assessor/cama/?parid=502-341-10&amp;CardNumber=1","502-341-10")</f>
        <v>502-341-10</v>
      </c>
      <c r="B6553" t="s">
        <v>4655</v>
      </c>
      <c r="C6553" t="s">
        <v>31527</v>
      </c>
      <c r="D6553" s="1">
        <v>40464</v>
      </c>
      <c r="E6553" s="2">
        <v>155000</v>
      </c>
      <c r="F6553" t="s">
        <v>4567</v>
      </c>
      <c r="G6553" s="17" t="str">
        <f>HYPERLINK("https://www.washoecounty.gov/assessor/cama/?command=sales&amp;parid=50234110","3932306")</f>
        <v>3932306</v>
      </c>
      <c r="H6553" t="s">
        <v>3109</v>
      </c>
      <c r="I6553">
        <v>2005</v>
      </c>
      <c r="J6553">
        <v>2005</v>
      </c>
      <c r="K6553" t="s">
        <v>4554</v>
      </c>
      <c r="L6553" t="s">
        <v>3974</v>
      </c>
      <c r="M6553" s="2">
        <v>2135</v>
      </c>
      <c r="N6553" t="s">
        <v>5280</v>
      </c>
      <c r="O6553">
        <v>4</v>
      </c>
      <c r="P6553">
        <v>2</v>
      </c>
      <c r="Q6553">
        <v>1</v>
      </c>
      <c r="R6553" t="s">
        <v>5281</v>
      </c>
      <c r="S6553" t="s">
        <v>4558</v>
      </c>
      <c r="T6553" t="s">
        <v>2704</v>
      </c>
      <c r="U6553" t="s">
        <v>5631</v>
      </c>
      <c r="V6553" s="2">
        <v>682</v>
      </c>
      <c r="W6553" t="s">
        <v>4655</v>
      </c>
      <c r="X6553" s="2">
        <v>0</v>
      </c>
      <c r="Y6553">
        <v>20</v>
      </c>
      <c r="Z6553" t="s">
        <v>4051</v>
      </c>
      <c r="AA6553" s="3">
        <v>0.27382919192314148</v>
      </c>
      <c r="AB6553" t="s">
        <v>31528</v>
      </c>
      <c r="AC6553" t="s">
        <v>4562</v>
      </c>
      <c r="AD6553" t="s">
        <v>31527</v>
      </c>
      <c r="AE6553" t="s">
        <v>4655</v>
      </c>
      <c r="AF6553" t="s">
        <v>4563</v>
      </c>
      <c r="AG6553" t="s">
        <v>4564</v>
      </c>
      <c r="AH6553">
        <v>89506</v>
      </c>
      <c r="AI6553" t="s">
        <v>31529</v>
      </c>
      <c r="AJ6553" t="s">
        <v>5035</v>
      </c>
      <c r="AK6553" t="s">
        <v>31530</v>
      </c>
      <c r="AL6553" s="13" t="s">
        <v>2255</v>
      </c>
      <c r="AM6553">
        <v>1</v>
      </c>
      <c r="AN6553" s="15" t="s">
        <v>2765</v>
      </c>
    </row>
    <row r="6554" spans="1:40" x14ac:dyDescent="0.3">
      <c r="A6554" s="10" t="str">
        <f>HYPERLINK("http://www.washoecounty.gov/assessor/cama/?parid=502-351-03&amp;CardNumber=1","502-351-03")</f>
        <v>502-351-03</v>
      </c>
      <c r="B6554" t="s">
        <v>4655</v>
      </c>
      <c r="C6554" t="s">
        <v>31531</v>
      </c>
      <c r="D6554" s="1">
        <v>40280</v>
      </c>
      <c r="E6554" s="2">
        <v>150000</v>
      </c>
      <c r="F6554" t="s">
        <v>4567</v>
      </c>
      <c r="G6554" s="17" t="str">
        <f>HYPERLINK("https://www.washoecounty.gov/assessor/cama/?command=sales&amp;parid=50235103","3869746")</f>
        <v>3869746</v>
      </c>
      <c r="H6554" t="s">
        <v>3109</v>
      </c>
      <c r="I6554">
        <v>2005</v>
      </c>
      <c r="J6554">
        <v>2005</v>
      </c>
      <c r="K6554" t="s">
        <v>4554</v>
      </c>
      <c r="L6554" t="s">
        <v>3974</v>
      </c>
      <c r="M6554" s="2">
        <v>2135</v>
      </c>
      <c r="N6554" t="s">
        <v>5280</v>
      </c>
      <c r="O6554">
        <v>4</v>
      </c>
      <c r="P6554">
        <v>2</v>
      </c>
      <c r="Q6554">
        <v>1</v>
      </c>
      <c r="R6554" t="s">
        <v>5281</v>
      </c>
      <c r="S6554" t="s">
        <v>4558</v>
      </c>
      <c r="T6554" t="s">
        <v>4559</v>
      </c>
      <c r="U6554" t="s">
        <v>5631</v>
      </c>
      <c r="V6554" s="2">
        <v>682</v>
      </c>
      <c r="W6554" t="s">
        <v>4655</v>
      </c>
      <c r="X6554" s="2">
        <v>0</v>
      </c>
      <c r="Y6554">
        <v>20</v>
      </c>
      <c r="Z6554" t="s">
        <v>4051</v>
      </c>
      <c r="AA6554" s="3">
        <v>0.24286042153835299</v>
      </c>
      <c r="AB6554" t="s">
        <v>31532</v>
      </c>
      <c r="AC6554" t="s">
        <v>4575</v>
      </c>
      <c r="AD6554" t="s">
        <v>31531</v>
      </c>
      <c r="AE6554" t="s">
        <v>4655</v>
      </c>
      <c r="AF6554" t="s">
        <v>4563</v>
      </c>
      <c r="AG6554" t="s">
        <v>4564</v>
      </c>
      <c r="AH6554">
        <v>89506</v>
      </c>
      <c r="AI6554" t="s">
        <v>4655</v>
      </c>
      <c r="AJ6554" t="s">
        <v>5035</v>
      </c>
      <c r="AK6554" t="s">
        <v>31533</v>
      </c>
      <c r="AL6554" s="13" t="s">
        <v>2255</v>
      </c>
      <c r="AM6554">
        <v>1</v>
      </c>
      <c r="AN6554" s="15" t="s">
        <v>2765</v>
      </c>
    </row>
    <row r="6555" spans="1:40" x14ac:dyDescent="0.3">
      <c r="A6555" s="10" t="str">
        <f>HYPERLINK("http://www.washoecounty.gov/assessor/cama/?parid=502-371-01&amp;CardNumber=1","502-371-01")</f>
        <v>502-371-01</v>
      </c>
      <c r="B6555" t="s">
        <v>4655</v>
      </c>
      <c r="C6555" t="s">
        <v>31534</v>
      </c>
      <c r="D6555" s="1">
        <v>40394</v>
      </c>
      <c r="E6555" s="2">
        <v>179000</v>
      </c>
      <c r="F6555" t="s">
        <v>4567</v>
      </c>
      <c r="G6555" s="17" t="str">
        <f>HYPERLINK("https://www.washoecounty.gov/assessor/cama/?command=sales&amp;parid=50237101","3908832")</f>
        <v>3908832</v>
      </c>
      <c r="H6555" t="s">
        <v>10</v>
      </c>
      <c r="I6555">
        <v>2005</v>
      </c>
      <c r="J6555">
        <v>2005</v>
      </c>
      <c r="K6555" t="s">
        <v>4554</v>
      </c>
      <c r="L6555" t="s">
        <v>4555</v>
      </c>
      <c r="M6555" s="2">
        <v>1933</v>
      </c>
      <c r="N6555" t="s">
        <v>3147</v>
      </c>
      <c r="O6555">
        <v>3</v>
      </c>
      <c r="P6555">
        <v>2</v>
      </c>
      <c r="Q6555">
        <v>0</v>
      </c>
      <c r="R6555" t="s">
        <v>5281</v>
      </c>
      <c r="S6555" t="s">
        <v>4898</v>
      </c>
      <c r="T6555" t="s">
        <v>2704</v>
      </c>
      <c r="U6555" t="s">
        <v>4560</v>
      </c>
      <c r="V6555" s="2">
        <v>474</v>
      </c>
      <c r="W6555" t="s">
        <v>4655</v>
      </c>
      <c r="X6555" s="2">
        <v>0</v>
      </c>
      <c r="Y6555">
        <v>20</v>
      </c>
      <c r="Z6555" t="s">
        <v>5282</v>
      </c>
      <c r="AA6555" s="3">
        <v>0.28787878155708302</v>
      </c>
      <c r="AB6555" t="s">
        <v>31535</v>
      </c>
      <c r="AC6555" t="s">
        <v>4575</v>
      </c>
      <c r="AD6555" t="s">
        <v>31536</v>
      </c>
      <c r="AE6555" t="s">
        <v>31537</v>
      </c>
      <c r="AF6555" t="s">
        <v>4563</v>
      </c>
      <c r="AG6555" t="s">
        <v>4564</v>
      </c>
      <c r="AH6555">
        <v>89509</v>
      </c>
      <c r="AI6555" t="s">
        <v>31538</v>
      </c>
      <c r="AJ6555" t="s">
        <v>278</v>
      </c>
      <c r="AK6555" t="s">
        <v>31539</v>
      </c>
      <c r="AL6555" s="13" t="s">
        <v>2255</v>
      </c>
      <c r="AM6555">
        <v>1</v>
      </c>
      <c r="AN6555" s="15" t="s">
        <v>780</v>
      </c>
    </row>
    <row r="6556" spans="1:40" x14ac:dyDescent="0.3">
      <c r="A6556" s="10" t="str">
        <f>HYPERLINK("http://www.washoecounty.gov/assessor/cama/?parid=502-371-09&amp;CardNumber=1","502-371-09")</f>
        <v>502-371-09</v>
      </c>
      <c r="B6556" t="s">
        <v>4655</v>
      </c>
      <c r="C6556" t="s">
        <v>31540</v>
      </c>
      <c r="D6556" s="1">
        <v>40294</v>
      </c>
      <c r="E6556" s="2">
        <v>199000</v>
      </c>
      <c r="F6556" t="s">
        <v>4567</v>
      </c>
      <c r="G6556" s="17" t="str">
        <f>HYPERLINK("https://www.washoecounty.gov/assessor/cama/?command=sales&amp;parid=50237109","3874530")</f>
        <v>3874530</v>
      </c>
      <c r="H6556" t="s">
        <v>10</v>
      </c>
      <c r="I6556">
        <v>2006</v>
      </c>
      <c r="J6556">
        <v>2006</v>
      </c>
      <c r="K6556" t="s">
        <v>4554</v>
      </c>
      <c r="L6556" t="s">
        <v>3974</v>
      </c>
      <c r="M6556" s="2">
        <v>2358</v>
      </c>
      <c r="N6556" t="s">
        <v>3147</v>
      </c>
      <c r="O6556">
        <v>5</v>
      </c>
      <c r="P6556">
        <v>3</v>
      </c>
      <c r="Q6556">
        <v>0</v>
      </c>
      <c r="R6556" t="s">
        <v>5281</v>
      </c>
      <c r="S6556" t="s">
        <v>4898</v>
      </c>
      <c r="T6556" t="s">
        <v>2704</v>
      </c>
      <c r="U6556" t="s">
        <v>5631</v>
      </c>
      <c r="V6556" s="2">
        <v>636</v>
      </c>
      <c r="W6556" t="s">
        <v>4655</v>
      </c>
      <c r="X6556" s="2">
        <v>0</v>
      </c>
      <c r="Y6556">
        <v>20</v>
      </c>
      <c r="Z6556" t="s">
        <v>5282</v>
      </c>
      <c r="AA6556" s="3">
        <v>0.29421487450599698</v>
      </c>
      <c r="AB6556" t="s">
        <v>31541</v>
      </c>
      <c r="AC6556" t="s">
        <v>4562</v>
      </c>
      <c r="AD6556" t="s">
        <v>31540</v>
      </c>
      <c r="AE6556" t="s">
        <v>4655</v>
      </c>
      <c r="AF6556" t="s">
        <v>4563</v>
      </c>
      <c r="AG6556" t="s">
        <v>4564</v>
      </c>
      <c r="AH6556">
        <v>89506</v>
      </c>
      <c r="AI6556" t="s">
        <v>31542</v>
      </c>
      <c r="AJ6556" t="s">
        <v>278</v>
      </c>
      <c r="AK6556" t="s">
        <v>31543</v>
      </c>
      <c r="AL6556" s="13" t="s">
        <v>2255</v>
      </c>
      <c r="AM6556">
        <v>1</v>
      </c>
      <c r="AN6556" s="15" t="s">
        <v>780</v>
      </c>
    </row>
    <row r="6557" spans="1:40" x14ac:dyDescent="0.3">
      <c r="A6557" s="10" t="str">
        <f>HYPERLINK("http://www.washoecounty.gov/assessor/cama/?parid=502-381-01&amp;CardNumber=1","502-381-01")</f>
        <v>502-381-01</v>
      </c>
      <c r="B6557" t="s">
        <v>4655</v>
      </c>
      <c r="C6557" t="s">
        <v>31544</v>
      </c>
      <c r="D6557" s="1">
        <v>40512</v>
      </c>
      <c r="E6557" s="2">
        <v>190000</v>
      </c>
      <c r="F6557" t="s">
        <v>4567</v>
      </c>
      <c r="G6557" s="17" t="str">
        <f>HYPERLINK("https://www.washoecounty.gov/assessor/cama/?command=sales&amp;parid=50238101","3947701")</f>
        <v>3947701</v>
      </c>
      <c r="H6557" t="s">
        <v>10</v>
      </c>
      <c r="I6557">
        <v>2006</v>
      </c>
      <c r="J6557">
        <v>2006</v>
      </c>
      <c r="K6557" t="s">
        <v>4554</v>
      </c>
      <c r="L6557" t="s">
        <v>3974</v>
      </c>
      <c r="M6557" s="2">
        <v>2341</v>
      </c>
      <c r="N6557" t="s">
        <v>3147</v>
      </c>
      <c r="O6557">
        <v>4</v>
      </c>
      <c r="P6557">
        <v>3</v>
      </c>
      <c r="Q6557">
        <v>0</v>
      </c>
      <c r="R6557" t="s">
        <v>5281</v>
      </c>
      <c r="S6557" t="s">
        <v>4898</v>
      </c>
      <c r="T6557" t="s">
        <v>2704</v>
      </c>
      <c r="U6557" t="s">
        <v>4560</v>
      </c>
      <c r="V6557" s="2">
        <v>675</v>
      </c>
      <c r="W6557" t="s">
        <v>4655</v>
      </c>
      <c r="X6557" s="2">
        <v>0</v>
      </c>
      <c r="Y6557">
        <v>20</v>
      </c>
      <c r="Z6557" t="s">
        <v>5282</v>
      </c>
      <c r="AA6557" s="3">
        <v>0.31880164146423301</v>
      </c>
      <c r="AB6557" t="s">
        <v>31545</v>
      </c>
      <c r="AC6557" t="s">
        <v>4575</v>
      </c>
      <c r="AD6557" t="s">
        <v>31544</v>
      </c>
      <c r="AE6557" t="s">
        <v>4655</v>
      </c>
      <c r="AF6557" t="s">
        <v>4563</v>
      </c>
      <c r="AG6557" t="s">
        <v>4564</v>
      </c>
      <c r="AH6557">
        <v>89508</v>
      </c>
      <c r="AI6557" t="s">
        <v>31546</v>
      </c>
      <c r="AJ6557" t="s">
        <v>278</v>
      </c>
      <c r="AK6557" t="s">
        <v>31547</v>
      </c>
      <c r="AL6557" s="13" t="s">
        <v>2255</v>
      </c>
      <c r="AM6557">
        <v>1</v>
      </c>
      <c r="AN6557" s="15" t="s">
        <v>780</v>
      </c>
    </row>
    <row r="6558" spans="1:40" x14ac:dyDescent="0.3">
      <c r="A6558" s="10" t="str">
        <f>HYPERLINK("http://www.washoecounty.gov/assessor/cama/?parid=502-381-04&amp;CardNumber=1","502-381-04")</f>
        <v>502-381-04</v>
      </c>
      <c r="B6558" t="s">
        <v>4655</v>
      </c>
      <c r="C6558" t="s">
        <v>31548</v>
      </c>
      <c r="D6558" s="1">
        <v>40435</v>
      </c>
      <c r="E6558" s="2">
        <v>165000</v>
      </c>
      <c r="F6558" t="s">
        <v>4567</v>
      </c>
      <c r="G6558" s="17" t="str">
        <f>HYPERLINK("https://www.washoecounty.gov/assessor/cama/?command=sales&amp;parid=50238104","3922268")</f>
        <v>3922268</v>
      </c>
      <c r="H6558" t="s">
        <v>10</v>
      </c>
      <c r="I6558">
        <v>2006</v>
      </c>
      <c r="J6558">
        <v>2006</v>
      </c>
      <c r="K6558" t="s">
        <v>4554</v>
      </c>
      <c r="L6558" t="s">
        <v>4555</v>
      </c>
      <c r="M6558" s="2">
        <v>1697</v>
      </c>
      <c r="N6558" t="s">
        <v>3147</v>
      </c>
      <c r="O6558">
        <v>3</v>
      </c>
      <c r="P6558">
        <v>2</v>
      </c>
      <c r="Q6558">
        <v>0</v>
      </c>
      <c r="R6558" t="s">
        <v>5281</v>
      </c>
      <c r="S6558" t="s">
        <v>4898</v>
      </c>
      <c r="T6558" t="s">
        <v>2704</v>
      </c>
      <c r="U6558" t="s">
        <v>4560</v>
      </c>
      <c r="V6558" s="2">
        <v>454</v>
      </c>
      <c r="W6558" t="s">
        <v>4655</v>
      </c>
      <c r="X6558" s="2">
        <v>0</v>
      </c>
      <c r="Y6558">
        <v>20</v>
      </c>
      <c r="Z6558" t="s">
        <v>5282</v>
      </c>
      <c r="AA6558" s="3">
        <v>0.25640496611595198</v>
      </c>
      <c r="AB6558" t="s">
        <v>31549</v>
      </c>
      <c r="AC6558" t="s">
        <v>4562</v>
      </c>
      <c r="AD6558" t="s">
        <v>31550</v>
      </c>
      <c r="AE6558" t="s">
        <v>4655</v>
      </c>
      <c r="AF6558" t="s">
        <v>13391</v>
      </c>
      <c r="AG6558" t="s">
        <v>762</v>
      </c>
      <c r="AH6558" t="s">
        <v>31551</v>
      </c>
      <c r="AI6558" t="s">
        <v>4655</v>
      </c>
      <c r="AJ6558" t="s">
        <v>278</v>
      </c>
      <c r="AK6558" t="s">
        <v>31552</v>
      </c>
      <c r="AL6558" s="13" t="s">
        <v>2255</v>
      </c>
      <c r="AM6558">
        <v>1</v>
      </c>
      <c r="AN6558" s="15" t="s">
        <v>780</v>
      </c>
    </row>
    <row r="6559" spans="1:40" x14ac:dyDescent="0.3">
      <c r="A6559" s="10" t="str">
        <f>HYPERLINK("http://www.washoecounty.gov/assessor/cama/?parid=502-382-09&amp;CardNumber=1","502-382-09")</f>
        <v>502-382-09</v>
      </c>
      <c r="B6559" t="s">
        <v>4655</v>
      </c>
      <c r="C6559" t="s">
        <v>31553</v>
      </c>
      <c r="D6559" s="1">
        <v>40494</v>
      </c>
      <c r="E6559" s="2">
        <v>173000</v>
      </c>
      <c r="F6559" t="s">
        <v>4553</v>
      </c>
      <c r="G6559" s="17" t="str">
        <f>HYPERLINK("https://www.washoecounty.gov/assessor/cama/?command=sales&amp;parid=50238209","3942299")</f>
        <v>3942299</v>
      </c>
      <c r="H6559" t="s">
        <v>10</v>
      </c>
      <c r="I6559">
        <v>2006</v>
      </c>
      <c r="J6559">
        <v>2006</v>
      </c>
      <c r="K6559" t="s">
        <v>4554</v>
      </c>
      <c r="L6559" t="s">
        <v>4555</v>
      </c>
      <c r="M6559" s="2">
        <v>1933</v>
      </c>
      <c r="N6559" t="s">
        <v>3147</v>
      </c>
      <c r="O6559">
        <v>3</v>
      </c>
      <c r="P6559">
        <v>2</v>
      </c>
      <c r="Q6559">
        <v>0</v>
      </c>
      <c r="R6559" t="s">
        <v>5281</v>
      </c>
      <c r="S6559" t="s">
        <v>4898</v>
      </c>
      <c r="T6559" t="s">
        <v>2704</v>
      </c>
      <c r="U6559" t="s">
        <v>4560</v>
      </c>
      <c r="V6559" s="2">
        <v>474</v>
      </c>
      <c r="W6559" t="s">
        <v>4655</v>
      </c>
      <c r="X6559" s="2">
        <v>0</v>
      </c>
      <c r="Y6559">
        <v>20</v>
      </c>
      <c r="Z6559" t="s">
        <v>5282</v>
      </c>
      <c r="AA6559" s="3">
        <v>0.30140036344528198</v>
      </c>
      <c r="AB6559" t="s">
        <v>31554</v>
      </c>
      <c r="AC6559" t="s">
        <v>4562</v>
      </c>
      <c r="AD6559" t="s">
        <v>31555</v>
      </c>
      <c r="AE6559" t="s">
        <v>4655</v>
      </c>
      <c r="AF6559" t="s">
        <v>4563</v>
      </c>
      <c r="AG6559" t="s">
        <v>4564</v>
      </c>
      <c r="AH6559">
        <v>89506</v>
      </c>
      <c r="AI6559" t="s">
        <v>4903</v>
      </c>
      <c r="AJ6559" t="s">
        <v>278</v>
      </c>
      <c r="AK6559" t="s">
        <v>31556</v>
      </c>
      <c r="AL6559" s="13" t="s">
        <v>2255</v>
      </c>
      <c r="AM6559" s="14">
        <v>1</v>
      </c>
      <c r="AN6559" s="15" t="s">
        <v>780</v>
      </c>
    </row>
    <row r="6560" spans="1:40" x14ac:dyDescent="0.3">
      <c r="A6560" s="10" t="str">
        <f>HYPERLINK("http://www.washoecounty.gov/assessor/cama/?parid=502-383-06&amp;CardNumber=1","502-383-06")</f>
        <v>502-383-06</v>
      </c>
      <c r="B6560" t="s">
        <v>4655</v>
      </c>
      <c r="C6560" t="s">
        <v>31557</v>
      </c>
      <c r="D6560" s="1">
        <v>40403</v>
      </c>
      <c r="E6560" s="2">
        <v>195000</v>
      </c>
      <c r="F6560" t="s">
        <v>4567</v>
      </c>
      <c r="G6560" s="17" t="str">
        <f>HYPERLINK("https://www.washoecounty.gov/assessor/cama/?command=sales&amp;parid=50238306","3911944")</f>
        <v>3911944</v>
      </c>
      <c r="H6560" t="s">
        <v>10</v>
      </c>
      <c r="I6560">
        <v>2006</v>
      </c>
      <c r="J6560">
        <v>2006</v>
      </c>
      <c r="K6560" t="s">
        <v>4554</v>
      </c>
      <c r="L6560" t="s">
        <v>3974</v>
      </c>
      <c r="M6560" s="2">
        <v>2358</v>
      </c>
      <c r="N6560" t="s">
        <v>3147</v>
      </c>
      <c r="O6560">
        <v>4</v>
      </c>
      <c r="P6560">
        <v>3</v>
      </c>
      <c r="Q6560">
        <v>0</v>
      </c>
      <c r="R6560" t="s">
        <v>5281</v>
      </c>
      <c r="S6560" t="s">
        <v>4898</v>
      </c>
      <c r="T6560" t="s">
        <v>2704</v>
      </c>
      <c r="U6560" t="s">
        <v>5631</v>
      </c>
      <c r="V6560" s="2">
        <v>636</v>
      </c>
      <c r="W6560" t="s">
        <v>4655</v>
      </c>
      <c r="X6560" s="2">
        <v>0</v>
      </c>
      <c r="Y6560">
        <v>20</v>
      </c>
      <c r="Z6560" t="s">
        <v>5282</v>
      </c>
      <c r="AA6560" s="3">
        <v>0.26099634170532199</v>
      </c>
      <c r="AB6560" t="s">
        <v>31558</v>
      </c>
      <c r="AC6560" t="s">
        <v>4562</v>
      </c>
      <c r="AD6560" t="s">
        <v>31557</v>
      </c>
      <c r="AE6560" t="s">
        <v>4655</v>
      </c>
      <c r="AF6560" t="s">
        <v>4563</v>
      </c>
      <c r="AG6560" t="s">
        <v>4564</v>
      </c>
      <c r="AH6560">
        <v>89506</v>
      </c>
      <c r="AI6560" t="s">
        <v>31559</v>
      </c>
      <c r="AJ6560" t="s">
        <v>278</v>
      </c>
      <c r="AK6560" t="s">
        <v>31560</v>
      </c>
      <c r="AL6560" s="13" t="s">
        <v>2255</v>
      </c>
      <c r="AM6560" s="14">
        <v>1</v>
      </c>
      <c r="AN6560" s="15" t="s">
        <v>780</v>
      </c>
    </row>
    <row r="6561" spans="1:40" x14ac:dyDescent="0.3">
      <c r="A6561" s="10" t="str">
        <f>HYPERLINK("http://www.washoecounty.gov/assessor/cama/?parid=502-383-11&amp;CardNumber=1","502-383-11")</f>
        <v>502-383-11</v>
      </c>
      <c r="B6561" t="s">
        <v>4655</v>
      </c>
      <c r="D6561" s="1">
        <v>40337</v>
      </c>
      <c r="E6561" s="2">
        <v>199000</v>
      </c>
      <c r="F6561" t="s">
        <v>4567</v>
      </c>
      <c r="G6561" s="17" t="str">
        <f>HYPERLINK("https://www.washoecounty.gov/assessor/cama/?command=sales&amp;parid=01044219","NOT AVAILABLE ")</f>
        <v xml:space="preserve">NOT AVAILABLE </v>
      </c>
      <c r="H6561" t="s">
        <v>10</v>
      </c>
      <c r="I6561">
        <v>2006</v>
      </c>
      <c r="J6561">
        <v>2006</v>
      </c>
      <c r="K6561" t="s">
        <v>4554</v>
      </c>
      <c r="L6561" t="s">
        <v>3974</v>
      </c>
      <c r="M6561" s="2">
        <v>2341</v>
      </c>
      <c r="N6561" t="s">
        <v>3147</v>
      </c>
      <c r="O6561">
        <v>4</v>
      </c>
      <c r="P6561">
        <v>3</v>
      </c>
      <c r="Q6561">
        <v>0</v>
      </c>
      <c r="R6561" t="s">
        <v>5281</v>
      </c>
      <c r="S6561" t="s">
        <v>4898</v>
      </c>
      <c r="T6561" t="s">
        <v>2704</v>
      </c>
      <c r="U6561" t="s">
        <v>4560</v>
      </c>
      <c r="V6561" s="2">
        <v>675</v>
      </c>
      <c r="W6561" t="s">
        <v>4655</v>
      </c>
      <c r="X6561" s="2">
        <v>0</v>
      </c>
      <c r="Y6561">
        <v>20</v>
      </c>
      <c r="Z6561" t="s">
        <v>5282</v>
      </c>
      <c r="AA6561" s="3">
        <v>0.23560605943203</v>
      </c>
      <c r="AB6561" t="s">
        <v>8865</v>
      </c>
      <c r="AC6561" t="s">
        <v>4562</v>
      </c>
      <c r="AD6561" t="s">
        <v>283</v>
      </c>
      <c r="AE6561" t="s">
        <v>283</v>
      </c>
      <c r="AF6561" t="s">
        <v>283</v>
      </c>
      <c r="AG6561" t="s">
        <v>4564</v>
      </c>
      <c r="AH6561" t="s">
        <v>3101</v>
      </c>
      <c r="AI6561" t="s">
        <v>8865</v>
      </c>
      <c r="AJ6561" t="s">
        <v>278</v>
      </c>
      <c r="AK6561" t="s">
        <v>8865</v>
      </c>
      <c r="AL6561" s="13" t="s">
        <v>2255</v>
      </c>
      <c r="AM6561" s="14">
        <v>1</v>
      </c>
      <c r="AN6561" s="15" t="s">
        <v>780</v>
      </c>
    </row>
    <row r="6562" spans="1:40" x14ac:dyDescent="0.3">
      <c r="A6562" s="10" t="str">
        <f>HYPERLINK("http://www.washoecounty.gov/assessor/cama/?parid=502-383-12&amp;CardNumber=1","502-383-12")</f>
        <v>502-383-12</v>
      </c>
      <c r="B6562" t="s">
        <v>4655</v>
      </c>
      <c r="C6562" t="s">
        <v>31561</v>
      </c>
      <c r="D6562" s="1">
        <v>40532</v>
      </c>
      <c r="E6562" s="2">
        <v>178000</v>
      </c>
      <c r="F6562" t="s">
        <v>4567</v>
      </c>
      <c r="G6562" s="17" t="str">
        <f>HYPERLINK("https://www.washoecounty.gov/assessor/cama/?command=sales&amp;parid=50238312","3955672")</f>
        <v>3955672</v>
      </c>
      <c r="H6562" t="s">
        <v>10</v>
      </c>
      <c r="I6562">
        <v>2006</v>
      </c>
      <c r="J6562">
        <v>2006</v>
      </c>
      <c r="K6562" t="s">
        <v>4554</v>
      </c>
      <c r="L6562" t="s">
        <v>4555</v>
      </c>
      <c r="M6562" s="2">
        <v>1933</v>
      </c>
      <c r="N6562" t="s">
        <v>3147</v>
      </c>
      <c r="O6562">
        <v>3</v>
      </c>
      <c r="P6562">
        <v>2</v>
      </c>
      <c r="Q6562">
        <v>0</v>
      </c>
      <c r="R6562" t="s">
        <v>5281</v>
      </c>
      <c r="S6562" t="s">
        <v>4898</v>
      </c>
      <c r="T6562" t="s">
        <v>2704</v>
      </c>
      <c r="U6562" t="s">
        <v>4560</v>
      </c>
      <c r="V6562" s="2">
        <v>474</v>
      </c>
      <c r="W6562" t="s">
        <v>4655</v>
      </c>
      <c r="X6562" s="2">
        <v>0</v>
      </c>
      <c r="Y6562">
        <v>20</v>
      </c>
      <c r="Z6562" t="s">
        <v>5282</v>
      </c>
      <c r="AA6562" s="3">
        <v>0.2179751992225647</v>
      </c>
      <c r="AB6562" t="s">
        <v>31562</v>
      </c>
      <c r="AC6562" t="s">
        <v>4562</v>
      </c>
      <c r="AD6562" t="s">
        <v>31563</v>
      </c>
      <c r="AE6562" t="s">
        <v>4655</v>
      </c>
      <c r="AF6562" t="s">
        <v>4563</v>
      </c>
      <c r="AG6562" t="s">
        <v>4564</v>
      </c>
      <c r="AH6562">
        <v>89506</v>
      </c>
      <c r="AI6562" t="s">
        <v>31564</v>
      </c>
      <c r="AJ6562" t="s">
        <v>278</v>
      </c>
      <c r="AK6562" t="s">
        <v>31565</v>
      </c>
      <c r="AL6562" s="13" t="s">
        <v>2255</v>
      </c>
      <c r="AM6562" s="14">
        <v>1</v>
      </c>
      <c r="AN6562" s="15" t="s">
        <v>780</v>
      </c>
    </row>
    <row r="6563" spans="1:40" x14ac:dyDescent="0.3">
      <c r="A6563" s="10" t="str">
        <f>HYPERLINK("http://www.washoecounty.gov/assessor/cama/?parid=502-391-02&amp;CardNumber=1","502-391-02")</f>
        <v>502-391-02</v>
      </c>
      <c r="B6563" t="s">
        <v>4655</v>
      </c>
      <c r="C6563" t="s">
        <v>31566</v>
      </c>
      <c r="D6563" s="1">
        <v>40339</v>
      </c>
      <c r="E6563" s="2">
        <v>170000</v>
      </c>
      <c r="F6563" t="s">
        <v>4567</v>
      </c>
      <c r="G6563" s="17" t="str">
        <f>HYPERLINK("https://www.washoecounty.gov/assessor/cama/?command=sales&amp;parid=50239102","3890308")</f>
        <v>3890308</v>
      </c>
      <c r="H6563" t="s">
        <v>10</v>
      </c>
      <c r="I6563">
        <v>2006</v>
      </c>
      <c r="J6563">
        <v>2006</v>
      </c>
      <c r="K6563" t="s">
        <v>4554</v>
      </c>
      <c r="L6563" t="s">
        <v>4555</v>
      </c>
      <c r="M6563" s="2">
        <v>1697</v>
      </c>
      <c r="N6563" t="s">
        <v>3147</v>
      </c>
      <c r="O6563">
        <v>3</v>
      </c>
      <c r="P6563">
        <v>2</v>
      </c>
      <c r="Q6563">
        <v>0</v>
      </c>
      <c r="R6563" t="s">
        <v>5281</v>
      </c>
      <c r="S6563" t="s">
        <v>4898</v>
      </c>
      <c r="T6563" t="s">
        <v>2704</v>
      </c>
      <c r="U6563" t="s">
        <v>4560</v>
      </c>
      <c r="V6563" s="2">
        <v>454</v>
      </c>
      <c r="W6563" t="s">
        <v>4655</v>
      </c>
      <c r="X6563" s="2">
        <v>0</v>
      </c>
      <c r="Y6563">
        <v>20</v>
      </c>
      <c r="Z6563" t="s">
        <v>5282</v>
      </c>
      <c r="AA6563" s="3">
        <v>0.32529842853546143</v>
      </c>
      <c r="AB6563" t="s">
        <v>31567</v>
      </c>
      <c r="AC6563" t="s">
        <v>4575</v>
      </c>
      <c r="AD6563" t="s">
        <v>31568</v>
      </c>
      <c r="AE6563" t="s">
        <v>31566</v>
      </c>
      <c r="AF6563" t="s">
        <v>4563</v>
      </c>
      <c r="AG6563" t="s">
        <v>4564</v>
      </c>
      <c r="AH6563">
        <v>89508</v>
      </c>
      <c r="AI6563" t="s">
        <v>31569</v>
      </c>
      <c r="AJ6563" t="s">
        <v>278</v>
      </c>
      <c r="AK6563" t="s">
        <v>31570</v>
      </c>
      <c r="AL6563" s="13" t="s">
        <v>2255</v>
      </c>
      <c r="AM6563">
        <v>1</v>
      </c>
      <c r="AN6563" s="15" t="s">
        <v>780</v>
      </c>
    </row>
    <row r="6564" spans="1:40" x14ac:dyDescent="0.3">
      <c r="A6564" s="10" t="str">
        <f>HYPERLINK("http://www.washoecounty.gov/assessor/cama/?parid=502-403-02&amp;CardNumber=1","502-403-02")</f>
        <v>502-403-02</v>
      </c>
      <c r="B6564" t="s">
        <v>4655</v>
      </c>
      <c r="C6564" t="s">
        <v>31571</v>
      </c>
      <c r="D6564" s="1">
        <v>40336</v>
      </c>
      <c r="E6564" s="2">
        <v>237000</v>
      </c>
      <c r="F6564" t="s">
        <v>4567</v>
      </c>
      <c r="G6564" s="17" t="str">
        <f>HYPERLINK("https://www.washoecounty.gov/assessor/cama/?command=sales&amp;parid=50240302","3888891")</f>
        <v>3888891</v>
      </c>
      <c r="H6564" t="s">
        <v>10</v>
      </c>
      <c r="I6564">
        <v>2006</v>
      </c>
      <c r="J6564">
        <v>2006</v>
      </c>
      <c r="K6564" t="s">
        <v>4554</v>
      </c>
      <c r="L6564" t="s">
        <v>3974</v>
      </c>
      <c r="M6564" s="2">
        <v>3137</v>
      </c>
      <c r="N6564" t="s">
        <v>3147</v>
      </c>
      <c r="O6564">
        <v>4</v>
      </c>
      <c r="P6564">
        <v>3</v>
      </c>
      <c r="Q6564">
        <v>0</v>
      </c>
      <c r="R6564" t="s">
        <v>5281</v>
      </c>
      <c r="S6564" t="s">
        <v>4898</v>
      </c>
      <c r="T6564" t="s">
        <v>2704</v>
      </c>
      <c r="U6564" t="s">
        <v>4560</v>
      </c>
      <c r="V6564" s="2">
        <v>640</v>
      </c>
      <c r="W6564" t="s">
        <v>4655</v>
      </c>
      <c r="X6564" s="2">
        <v>0</v>
      </c>
      <c r="Y6564">
        <v>20</v>
      </c>
      <c r="Z6564" t="s">
        <v>5282</v>
      </c>
      <c r="AA6564" s="3">
        <v>0.24132230877876301</v>
      </c>
      <c r="AB6564" t="s">
        <v>31572</v>
      </c>
      <c r="AC6564" t="s">
        <v>4562</v>
      </c>
      <c r="AD6564" t="s">
        <v>31573</v>
      </c>
      <c r="AE6564" t="s">
        <v>4655</v>
      </c>
      <c r="AF6564" t="s">
        <v>31574</v>
      </c>
      <c r="AG6564" t="s">
        <v>4584</v>
      </c>
      <c r="AH6564">
        <v>95020</v>
      </c>
      <c r="AI6564" t="s">
        <v>31575</v>
      </c>
      <c r="AJ6564" t="s">
        <v>278</v>
      </c>
      <c r="AK6564" t="s">
        <v>31576</v>
      </c>
      <c r="AL6564" s="13" t="s">
        <v>2255</v>
      </c>
      <c r="AM6564">
        <v>1</v>
      </c>
      <c r="AN6564" s="15" t="s">
        <v>780</v>
      </c>
    </row>
    <row r="6565" spans="1:40" x14ac:dyDescent="0.3">
      <c r="A6565" s="10" t="str">
        <f>HYPERLINK("http://www.washoecounty.gov/assessor/cama/?parid=502-403-04&amp;CardNumber=1","502-403-04")</f>
        <v>502-403-04</v>
      </c>
      <c r="B6565" t="s">
        <v>4655</v>
      </c>
      <c r="C6565" t="s">
        <v>31577</v>
      </c>
      <c r="D6565" s="1">
        <v>40249</v>
      </c>
      <c r="E6565" s="2">
        <v>245000</v>
      </c>
      <c r="F6565" t="s">
        <v>4567</v>
      </c>
      <c r="G6565" s="17" t="str">
        <f>HYPERLINK("https://www.washoecounty.gov/assessor/cama/?command=sales&amp;parid=50240304","3859293")</f>
        <v>3859293</v>
      </c>
      <c r="H6565" t="s">
        <v>10</v>
      </c>
      <c r="I6565">
        <v>2006</v>
      </c>
      <c r="J6565">
        <v>2006</v>
      </c>
      <c r="K6565" t="s">
        <v>4554</v>
      </c>
      <c r="L6565" t="s">
        <v>3974</v>
      </c>
      <c r="M6565" s="2">
        <v>3137</v>
      </c>
      <c r="N6565" t="s">
        <v>3147</v>
      </c>
      <c r="O6565">
        <v>5</v>
      </c>
      <c r="P6565">
        <v>3</v>
      </c>
      <c r="Q6565">
        <v>0</v>
      </c>
      <c r="R6565" t="s">
        <v>5281</v>
      </c>
      <c r="S6565" t="s">
        <v>4898</v>
      </c>
      <c r="T6565" t="s">
        <v>2704</v>
      </c>
      <c r="U6565" t="s">
        <v>4560</v>
      </c>
      <c r="V6565" s="2">
        <v>640</v>
      </c>
      <c r="W6565" t="s">
        <v>4655</v>
      </c>
      <c r="X6565" s="2">
        <v>0</v>
      </c>
      <c r="Y6565">
        <v>20</v>
      </c>
      <c r="Z6565" t="s">
        <v>5282</v>
      </c>
      <c r="AA6565" s="3">
        <v>0.243480250239372</v>
      </c>
      <c r="AB6565" t="s">
        <v>31578</v>
      </c>
      <c r="AC6565" t="s">
        <v>4562</v>
      </c>
      <c r="AD6565" t="s">
        <v>31579</v>
      </c>
      <c r="AE6565" t="s">
        <v>4655</v>
      </c>
      <c r="AF6565" t="s">
        <v>203</v>
      </c>
      <c r="AG6565" t="s">
        <v>762</v>
      </c>
      <c r="AH6565">
        <v>77007</v>
      </c>
      <c r="AI6565" t="s">
        <v>31580</v>
      </c>
      <c r="AJ6565" t="s">
        <v>278</v>
      </c>
      <c r="AK6565" t="s">
        <v>31581</v>
      </c>
      <c r="AL6565" s="13" t="s">
        <v>2255</v>
      </c>
      <c r="AM6565" s="14">
        <v>1</v>
      </c>
      <c r="AN6565" s="15" t="s">
        <v>780</v>
      </c>
    </row>
    <row r="6566" spans="1:40" x14ac:dyDescent="0.3">
      <c r="A6566" s="10" t="str">
        <f>HYPERLINK("http://www.washoecounty.gov/assessor/cama/?parid=502-443-02&amp;CardNumber=1","502-443-02")</f>
        <v>502-443-02</v>
      </c>
      <c r="B6566" t="s">
        <v>4655</v>
      </c>
      <c r="C6566" t="s">
        <v>31582</v>
      </c>
      <c r="D6566" s="1">
        <v>40255</v>
      </c>
      <c r="E6566" s="2">
        <v>223000</v>
      </c>
      <c r="F6566" t="s">
        <v>4567</v>
      </c>
      <c r="G6566" s="17" t="str">
        <f>HYPERLINK("https://www.washoecounty.gov/assessor/cama/?command=sales&amp;parid=50244302","3861094")</f>
        <v>3861094</v>
      </c>
      <c r="H6566" t="s">
        <v>279</v>
      </c>
      <c r="I6566">
        <v>2006</v>
      </c>
      <c r="J6566">
        <v>2006</v>
      </c>
      <c r="K6566" t="s">
        <v>4554</v>
      </c>
      <c r="L6566" t="s">
        <v>4555</v>
      </c>
      <c r="M6566" s="2">
        <v>1943</v>
      </c>
      <c r="N6566" t="s">
        <v>5280</v>
      </c>
      <c r="O6566">
        <v>4</v>
      </c>
      <c r="P6566">
        <v>2</v>
      </c>
      <c r="Q6566">
        <v>0</v>
      </c>
      <c r="R6566" t="s">
        <v>5281</v>
      </c>
      <c r="S6566" t="s">
        <v>4558</v>
      </c>
      <c r="T6566" t="s">
        <v>4559</v>
      </c>
      <c r="U6566" t="s">
        <v>4560</v>
      </c>
      <c r="V6566" s="2">
        <v>702</v>
      </c>
      <c r="W6566" t="s">
        <v>4655</v>
      </c>
      <c r="X6566" s="2">
        <v>0</v>
      </c>
      <c r="Y6566">
        <v>20</v>
      </c>
      <c r="Z6566" t="s">
        <v>5282</v>
      </c>
      <c r="AA6566" s="3">
        <v>0.289853066205978</v>
      </c>
      <c r="AB6566" t="s">
        <v>31583</v>
      </c>
      <c r="AC6566" t="s">
        <v>4575</v>
      </c>
      <c r="AD6566" t="s">
        <v>31582</v>
      </c>
      <c r="AE6566" t="s">
        <v>4655</v>
      </c>
      <c r="AF6566" t="s">
        <v>4563</v>
      </c>
      <c r="AG6566" t="s">
        <v>4564</v>
      </c>
      <c r="AH6566">
        <v>89506</v>
      </c>
      <c r="AI6566" t="s">
        <v>31584</v>
      </c>
      <c r="AJ6566" t="s">
        <v>280</v>
      </c>
      <c r="AK6566" t="s">
        <v>31585</v>
      </c>
      <c r="AL6566" s="13" t="s">
        <v>2255</v>
      </c>
      <c r="AM6566" s="14">
        <v>1</v>
      </c>
      <c r="AN6566" s="15" t="s">
        <v>4909</v>
      </c>
    </row>
    <row r="6567" spans="1:40" x14ac:dyDescent="0.3">
      <c r="A6567" s="10" t="str">
        <f>HYPERLINK("http://www.washoecounty.gov/assessor/cama/?parid=502-445-01&amp;CardNumber=1","502-445-01")</f>
        <v>502-445-01</v>
      </c>
      <c r="B6567" t="s">
        <v>4655</v>
      </c>
      <c r="C6567" t="s">
        <v>31586</v>
      </c>
      <c r="D6567" s="1">
        <v>40399</v>
      </c>
      <c r="E6567" s="2">
        <v>210000</v>
      </c>
      <c r="F6567" t="s">
        <v>4567</v>
      </c>
      <c r="G6567" s="17" t="str">
        <f>HYPERLINK("https://www.washoecounty.gov/assessor/cama/?command=sales&amp;parid=50244501","3910039")</f>
        <v>3910039</v>
      </c>
      <c r="H6567" t="s">
        <v>279</v>
      </c>
      <c r="I6567">
        <v>2006</v>
      </c>
      <c r="J6567">
        <v>2006</v>
      </c>
      <c r="K6567" t="s">
        <v>4554</v>
      </c>
      <c r="L6567" t="s">
        <v>4555</v>
      </c>
      <c r="M6567" s="2">
        <v>1943</v>
      </c>
      <c r="N6567" t="s">
        <v>5280</v>
      </c>
      <c r="O6567">
        <v>4</v>
      </c>
      <c r="P6567">
        <v>2</v>
      </c>
      <c r="Q6567">
        <v>0</v>
      </c>
      <c r="R6567" t="s">
        <v>5281</v>
      </c>
      <c r="S6567" t="s">
        <v>4558</v>
      </c>
      <c r="T6567" t="s">
        <v>4559</v>
      </c>
      <c r="U6567" t="s">
        <v>4560</v>
      </c>
      <c r="V6567" s="2">
        <v>702</v>
      </c>
      <c r="W6567" t="s">
        <v>4655</v>
      </c>
      <c r="X6567" s="2">
        <v>0</v>
      </c>
      <c r="Y6567">
        <v>20</v>
      </c>
      <c r="Z6567" t="s">
        <v>5282</v>
      </c>
      <c r="AA6567" s="3">
        <v>0.275482088327408</v>
      </c>
      <c r="AB6567" t="s">
        <v>31587</v>
      </c>
      <c r="AC6567" t="s">
        <v>4562</v>
      </c>
      <c r="AD6567" t="s">
        <v>31586</v>
      </c>
      <c r="AE6567" t="s">
        <v>4655</v>
      </c>
      <c r="AF6567" t="s">
        <v>4563</v>
      </c>
      <c r="AG6567" t="s">
        <v>4564</v>
      </c>
      <c r="AH6567">
        <v>89506</v>
      </c>
      <c r="AI6567" t="s">
        <v>5298</v>
      </c>
      <c r="AJ6567" t="s">
        <v>280</v>
      </c>
      <c r="AK6567" t="s">
        <v>31588</v>
      </c>
      <c r="AL6567" s="13" t="s">
        <v>2255</v>
      </c>
      <c r="AM6567">
        <v>1</v>
      </c>
      <c r="AN6567" s="15" t="s">
        <v>4909</v>
      </c>
    </row>
    <row r="6568" spans="1:40" x14ac:dyDescent="0.3">
      <c r="A6568" s="10" t="str">
        <f>HYPERLINK("http://www.washoecounty.gov/assessor/cama/?parid=502-452-08&amp;CardNumber=1","502-452-08")</f>
        <v>502-452-08</v>
      </c>
      <c r="B6568" t="s">
        <v>4655</v>
      </c>
      <c r="C6568" t="s">
        <v>31589</v>
      </c>
      <c r="D6568" s="1">
        <v>40249</v>
      </c>
      <c r="E6568" s="2">
        <v>224000</v>
      </c>
      <c r="F6568" t="s">
        <v>4553</v>
      </c>
      <c r="G6568" s="17" t="str">
        <f>HYPERLINK("https://www.washoecounty.gov/assessor/cama/?command=sales&amp;parid=50245208","3859503")</f>
        <v>3859503</v>
      </c>
      <c r="H6568" t="s">
        <v>279</v>
      </c>
      <c r="I6568">
        <v>2006</v>
      </c>
      <c r="J6568">
        <v>2006</v>
      </c>
      <c r="K6568" t="s">
        <v>4554</v>
      </c>
      <c r="L6568" t="s">
        <v>4555</v>
      </c>
      <c r="M6568" s="2">
        <v>2075</v>
      </c>
      <c r="N6568" t="s">
        <v>5280</v>
      </c>
      <c r="O6568">
        <v>3</v>
      </c>
      <c r="P6568">
        <v>2</v>
      </c>
      <c r="Q6568">
        <v>1</v>
      </c>
      <c r="R6568" t="s">
        <v>5281</v>
      </c>
      <c r="S6568" t="s">
        <v>4558</v>
      </c>
      <c r="T6568" t="s">
        <v>4559</v>
      </c>
      <c r="U6568" t="s">
        <v>4560</v>
      </c>
      <c r="V6568" s="2">
        <v>696</v>
      </c>
      <c r="W6568" t="s">
        <v>4655</v>
      </c>
      <c r="X6568" s="2">
        <v>0</v>
      </c>
      <c r="Y6568">
        <v>20</v>
      </c>
      <c r="Z6568" t="s">
        <v>5282</v>
      </c>
      <c r="AA6568" s="3">
        <v>0.24031221866607699</v>
      </c>
      <c r="AB6568" t="s">
        <v>31590</v>
      </c>
      <c r="AC6568" t="s">
        <v>4562</v>
      </c>
      <c r="AD6568" t="s">
        <v>31589</v>
      </c>
      <c r="AE6568" t="s">
        <v>4655</v>
      </c>
      <c r="AF6568" t="s">
        <v>4563</v>
      </c>
      <c r="AG6568" t="s">
        <v>4564</v>
      </c>
      <c r="AH6568">
        <v>89508</v>
      </c>
      <c r="AI6568" t="s">
        <v>4503</v>
      </c>
      <c r="AJ6568" t="s">
        <v>280</v>
      </c>
      <c r="AK6568" t="s">
        <v>31591</v>
      </c>
      <c r="AL6568" s="13" t="s">
        <v>2255</v>
      </c>
      <c r="AM6568">
        <v>1</v>
      </c>
      <c r="AN6568" s="15" t="s">
        <v>4909</v>
      </c>
    </row>
    <row r="6569" spans="1:40" x14ac:dyDescent="0.3">
      <c r="A6569" s="10" t="str">
        <f>HYPERLINK("http://www.washoecounty.gov/assessor/cama/?parid=502-452-11&amp;CardNumber=1","502-452-11")</f>
        <v>502-452-11</v>
      </c>
      <c r="B6569" t="s">
        <v>4655</v>
      </c>
      <c r="C6569" t="s">
        <v>31592</v>
      </c>
      <c r="D6569" s="1">
        <v>40501</v>
      </c>
      <c r="E6569" s="2">
        <v>150000</v>
      </c>
      <c r="F6569" t="s">
        <v>4567</v>
      </c>
      <c r="G6569" s="17" t="str">
        <f>HYPERLINK("https://www.washoecounty.gov/assessor/cama/?command=sales&amp;parid=50245211","3945247")</f>
        <v>3945247</v>
      </c>
      <c r="H6569" t="s">
        <v>279</v>
      </c>
      <c r="I6569">
        <v>2006</v>
      </c>
      <c r="J6569">
        <v>2006</v>
      </c>
      <c r="K6569" t="s">
        <v>4554</v>
      </c>
      <c r="L6569" t="s">
        <v>4555</v>
      </c>
      <c r="M6569" s="2">
        <v>1481</v>
      </c>
      <c r="N6569" t="s">
        <v>5280</v>
      </c>
      <c r="O6569">
        <v>3</v>
      </c>
      <c r="P6569">
        <v>2</v>
      </c>
      <c r="Q6569">
        <v>0</v>
      </c>
      <c r="R6569" t="s">
        <v>4557</v>
      </c>
      <c r="S6569" t="s">
        <v>4558</v>
      </c>
      <c r="T6569" t="s">
        <v>4559</v>
      </c>
      <c r="U6569" t="s">
        <v>4560</v>
      </c>
      <c r="V6569" s="2">
        <v>708</v>
      </c>
      <c r="W6569" t="s">
        <v>4655</v>
      </c>
      <c r="X6569" s="2">
        <v>0</v>
      </c>
      <c r="Y6569">
        <v>20</v>
      </c>
      <c r="Z6569" t="s">
        <v>5282</v>
      </c>
      <c r="AA6569" s="3">
        <v>0.230325981974602</v>
      </c>
      <c r="AB6569" t="s">
        <v>31593</v>
      </c>
      <c r="AC6569" t="s">
        <v>4575</v>
      </c>
      <c r="AD6569" t="s">
        <v>31594</v>
      </c>
      <c r="AE6569" t="s">
        <v>4655</v>
      </c>
      <c r="AF6569" t="s">
        <v>4563</v>
      </c>
      <c r="AG6569" t="s">
        <v>4564</v>
      </c>
      <c r="AH6569">
        <v>89506</v>
      </c>
      <c r="AI6569" t="s">
        <v>31595</v>
      </c>
      <c r="AJ6569" t="s">
        <v>280</v>
      </c>
      <c r="AK6569" t="s">
        <v>31596</v>
      </c>
      <c r="AL6569" s="13" t="s">
        <v>2255</v>
      </c>
      <c r="AM6569">
        <v>1</v>
      </c>
      <c r="AN6569" s="15" t="s">
        <v>4909</v>
      </c>
    </row>
    <row r="6570" spans="1:40" x14ac:dyDescent="0.3">
      <c r="A6570" s="10" t="str">
        <f>HYPERLINK("http://www.washoecounty.gov/assessor/cama/?parid=502-461-11&amp;CardNumber=1","502-461-11")</f>
        <v>502-461-11</v>
      </c>
      <c r="B6570" t="s">
        <v>4655</v>
      </c>
      <c r="C6570" t="s">
        <v>31597</v>
      </c>
      <c r="D6570" s="1">
        <v>40241</v>
      </c>
      <c r="E6570" s="2">
        <v>176500</v>
      </c>
      <c r="F6570" t="s">
        <v>4553</v>
      </c>
      <c r="G6570" s="17" t="str">
        <f>HYPERLINK("https://www.washoecounty.gov/assessor/cama/?command=sales&amp;parid=50246111","3855766")</f>
        <v>3855766</v>
      </c>
      <c r="H6570" t="s">
        <v>530</v>
      </c>
      <c r="I6570">
        <v>2007</v>
      </c>
      <c r="J6570">
        <v>2007</v>
      </c>
      <c r="K6570" t="s">
        <v>4554</v>
      </c>
      <c r="L6570" t="s">
        <v>3974</v>
      </c>
      <c r="M6570" s="2">
        <v>1997</v>
      </c>
      <c r="N6570" t="s">
        <v>5280</v>
      </c>
      <c r="O6570">
        <v>3</v>
      </c>
      <c r="P6570">
        <v>2</v>
      </c>
      <c r="Q6570">
        <v>1</v>
      </c>
      <c r="R6570" t="s">
        <v>5281</v>
      </c>
      <c r="S6570" t="s">
        <v>4898</v>
      </c>
      <c r="T6570" t="s">
        <v>4559</v>
      </c>
      <c r="U6570" t="s">
        <v>4560</v>
      </c>
      <c r="V6570" s="2">
        <v>507</v>
      </c>
      <c r="W6570" t="s">
        <v>4655</v>
      </c>
      <c r="X6570" s="2">
        <v>0</v>
      </c>
      <c r="Y6570">
        <v>20</v>
      </c>
      <c r="Z6570" t="s">
        <v>4051</v>
      </c>
      <c r="AA6570" s="3">
        <v>0.26379707455635099</v>
      </c>
      <c r="AB6570" t="s">
        <v>31598</v>
      </c>
      <c r="AC6570" t="s">
        <v>4562</v>
      </c>
      <c r="AD6570" t="s">
        <v>31599</v>
      </c>
      <c r="AE6570" t="s">
        <v>4655</v>
      </c>
      <c r="AF6570" t="s">
        <v>4563</v>
      </c>
      <c r="AG6570" t="s">
        <v>4564</v>
      </c>
      <c r="AH6570">
        <v>89506</v>
      </c>
      <c r="AI6570" t="s">
        <v>31600</v>
      </c>
      <c r="AJ6570" t="s">
        <v>565</v>
      </c>
      <c r="AK6570" t="s">
        <v>31601</v>
      </c>
      <c r="AL6570" s="13" t="s">
        <v>2255</v>
      </c>
      <c r="AM6570" s="14">
        <v>1</v>
      </c>
      <c r="AN6570" s="15" t="s">
        <v>566</v>
      </c>
    </row>
    <row r="6571" spans="1:40" x14ac:dyDescent="0.3">
      <c r="A6571" s="10" t="str">
        <f>HYPERLINK("http://www.washoecounty.gov/assessor/cama/?parid=502-461-14&amp;CardNumber=1","502-461-14")</f>
        <v>502-461-14</v>
      </c>
      <c r="B6571" t="s">
        <v>4655</v>
      </c>
      <c r="C6571" t="s">
        <v>31602</v>
      </c>
      <c r="D6571" s="1">
        <v>40441</v>
      </c>
      <c r="E6571" s="2">
        <v>180000</v>
      </c>
      <c r="F6571" t="s">
        <v>4567</v>
      </c>
      <c r="G6571" s="17" t="str">
        <f>HYPERLINK("https://www.washoecounty.gov/assessor/cama/?command=sales&amp;parid=50246114","3924184")</f>
        <v>3924184</v>
      </c>
      <c r="H6571" t="s">
        <v>530</v>
      </c>
      <c r="I6571">
        <v>2006</v>
      </c>
      <c r="J6571">
        <v>2006</v>
      </c>
      <c r="K6571" t="s">
        <v>4554</v>
      </c>
      <c r="L6571" t="s">
        <v>4555</v>
      </c>
      <c r="M6571" s="2">
        <v>2057</v>
      </c>
      <c r="N6571" t="s">
        <v>5280</v>
      </c>
      <c r="O6571">
        <v>4</v>
      </c>
      <c r="P6571">
        <v>2</v>
      </c>
      <c r="Q6571">
        <v>0</v>
      </c>
      <c r="R6571" t="s">
        <v>5281</v>
      </c>
      <c r="S6571" t="s">
        <v>4898</v>
      </c>
      <c r="T6571" t="s">
        <v>4559</v>
      </c>
      <c r="U6571" t="s">
        <v>4560</v>
      </c>
      <c r="V6571" s="2">
        <v>715</v>
      </c>
      <c r="W6571" t="s">
        <v>4655</v>
      </c>
      <c r="X6571" s="2">
        <v>0</v>
      </c>
      <c r="Y6571">
        <v>20</v>
      </c>
      <c r="Z6571" t="s">
        <v>4051</v>
      </c>
      <c r="AA6571" s="3">
        <v>0.23514692485332489</v>
      </c>
      <c r="AB6571" t="s">
        <v>31603</v>
      </c>
      <c r="AC6571" t="s">
        <v>4562</v>
      </c>
      <c r="AD6571" t="s">
        <v>31602</v>
      </c>
      <c r="AE6571" t="s">
        <v>4655</v>
      </c>
      <c r="AF6571" t="s">
        <v>4563</v>
      </c>
      <c r="AG6571" t="s">
        <v>4564</v>
      </c>
      <c r="AH6571">
        <v>89506</v>
      </c>
      <c r="AI6571" t="s">
        <v>31604</v>
      </c>
      <c r="AJ6571" t="s">
        <v>565</v>
      </c>
      <c r="AK6571" t="s">
        <v>31605</v>
      </c>
      <c r="AL6571" s="13" t="s">
        <v>2255</v>
      </c>
      <c r="AM6571" s="14">
        <v>1</v>
      </c>
      <c r="AN6571" s="15" t="s">
        <v>566</v>
      </c>
    </row>
    <row r="6572" spans="1:40" x14ac:dyDescent="0.3">
      <c r="A6572" s="10" t="str">
        <f>HYPERLINK("http://www.washoecounty.gov/assessor/cama/?parid=502-471-05&amp;CardNumber=1","502-471-05")</f>
        <v>502-471-05</v>
      </c>
      <c r="B6572" t="s">
        <v>4655</v>
      </c>
      <c r="C6572" t="s">
        <v>31606</v>
      </c>
      <c r="D6572" s="1">
        <v>40318</v>
      </c>
      <c r="E6572" s="2">
        <v>197333</v>
      </c>
      <c r="F6572" t="s">
        <v>4567</v>
      </c>
      <c r="G6572" s="17" t="str">
        <f>HYPERLINK("https://www.washoecounty.gov/assessor/cama/?command=sales&amp;parid=50247105","3883314")</f>
        <v>3883314</v>
      </c>
      <c r="H6572" t="s">
        <v>530</v>
      </c>
      <c r="I6572">
        <v>2009</v>
      </c>
      <c r="J6572">
        <v>2009</v>
      </c>
      <c r="K6572" t="s">
        <v>4554</v>
      </c>
      <c r="L6572" t="s">
        <v>4555</v>
      </c>
      <c r="M6572" s="2">
        <v>1822</v>
      </c>
      <c r="N6572" t="s">
        <v>5280</v>
      </c>
      <c r="O6572">
        <v>4</v>
      </c>
      <c r="P6572">
        <v>2</v>
      </c>
      <c r="Q6572">
        <v>0</v>
      </c>
      <c r="R6572" t="s">
        <v>5281</v>
      </c>
      <c r="S6572" t="s">
        <v>4898</v>
      </c>
      <c r="T6572" t="s">
        <v>4559</v>
      </c>
      <c r="U6572" t="s">
        <v>4560</v>
      </c>
      <c r="V6572" s="2">
        <v>408</v>
      </c>
      <c r="W6572" t="s">
        <v>4655</v>
      </c>
      <c r="X6572" s="2">
        <v>0</v>
      </c>
      <c r="Y6572">
        <v>20</v>
      </c>
      <c r="Z6572" t="s">
        <v>4051</v>
      </c>
      <c r="AA6572" s="3">
        <v>0.148852154612541</v>
      </c>
      <c r="AB6572" t="s">
        <v>2034</v>
      </c>
      <c r="AC6572" t="s">
        <v>4562</v>
      </c>
      <c r="AD6572" t="s">
        <v>2035</v>
      </c>
      <c r="AE6572" t="s">
        <v>4655</v>
      </c>
      <c r="AF6572" t="s">
        <v>5201</v>
      </c>
      <c r="AG6572" t="s">
        <v>4564</v>
      </c>
      <c r="AH6572" t="s">
        <v>4126</v>
      </c>
      <c r="AI6572" t="s">
        <v>31607</v>
      </c>
      <c r="AJ6572" t="s">
        <v>565</v>
      </c>
      <c r="AK6572" t="s">
        <v>31608</v>
      </c>
      <c r="AL6572" s="13" t="s">
        <v>2255</v>
      </c>
      <c r="AM6572">
        <v>1</v>
      </c>
      <c r="AN6572" s="15" t="s">
        <v>566</v>
      </c>
    </row>
    <row r="6573" spans="1:40" x14ac:dyDescent="0.3">
      <c r="A6573" s="10" t="str">
        <f>HYPERLINK("http://www.washoecounty.gov/assessor/cama/?parid=502-501-04&amp;CardNumber=1","502-501-04")</f>
        <v>502-501-04</v>
      </c>
      <c r="B6573" t="s">
        <v>4655</v>
      </c>
      <c r="C6573" t="s">
        <v>31609</v>
      </c>
      <c r="D6573" s="1">
        <v>40416</v>
      </c>
      <c r="E6573" s="2">
        <v>170000</v>
      </c>
      <c r="F6573" t="s">
        <v>4567</v>
      </c>
      <c r="G6573" s="17" t="str">
        <f>HYPERLINK("https://www.washoecounty.gov/assessor/cama/?command=sales&amp;parid=50250104","3916079")</f>
        <v>3916079</v>
      </c>
      <c r="H6573" t="s">
        <v>1204</v>
      </c>
      <c r="I6573">
        <v>2006</v>
      </c>
      <c r="J6573">
        <v>2006</v>
      </c>
      <c r="K6573" t="s">
        <v>4554</v>
      </c>
      <c r="L6573" t="s">
        <v>4555</v>
      </c>
      <c r="M6573" s="2">
        <v>1743</v>
      </c>
      <c r="N6573" t="s">
        <v>5280</v>
      </c>
      <c r="O6573">
        <v>2</v>
      </c>
      <c r="P6573">
        <v>2</v>
      </c>
      <c r="Q6573">
        <v>0</v>
      </c>
      <c r="R6573" t="s">
        <v>5281</v>
      </c>
      <c r="S6573" t="s">
        <v>4558</v>
      </c>
      <c r="T6573" t="s">
        <v>4559</v>
      </c>
      <c r="U6573" t="s">
        <v>4560</v>
      </c>
      <c r="V6573" s="2">
        <v>727</v>
      </c>
      <c r="W6573" t="s">
        <v>4655</v>
      </c>
      <c r="X6573" s="2">
        <v>0</v>
      </c>
      <c r="Y6573">
        <v>20</v>
      </c>
      <c r="Z6573" t="s">
        <v>5282</v>
      </c>
      <c r="AA6573" s="3">
        <v>0.26414141058921797</v>
      </c>
      <c r="AB6573" t="s">
        <v>31610</v>
      </c>
      <c r="AC6573" t="s">
        <v>4562</v>
      </c>
      <c r="AD6573" t="s">
        <v>31609</v>
      </c>
      <c r="AE6573" t="s">
        <v>4655</v>
      </c>
      <c r="AF6573" t="s">
        <v>4563</v>
      </c>
      <c r="AG6573" t="s">
        <v>4564</v>
      </c>
      <c r="AH6573">
        <v>89506</v>
      </c>
      <c r="AI6573" t="s">
        <v>31611</v>
      </c>
      <c r="AJ6573" t="s">
        <v>1205</v>
      </c>
      <c r="AK6573" t="s">
        <v>31612</v>
      </c>
      <c r="AL6573" s="13" t="s">
        <v>2255</v>
      </c>
      <c r="AM6573" s="14">
        <v>1</v>
      </c>
      <c r="AN6573" s="15" t="s">
        <v>4909</v>
      </c>
    </row>
    <row r="6574" spans="1:40" x14ac:dyDescent="0.3">
      <c r="A6574" s="10" t="str">
        <f>HYPERLINK("http://www.washoecounty.gov/assessor/cama/?parid=502-501-14&amp;CardNumber=1","502-501-14")</f>
        <v>502-501-14</v>
      </c>
      <c r="B6574" t="s">
        <v>4655</v>
      </c>
      <c r="C6574" t="s">
        <v>31613</v>
      </c>
      <c r="D6574" s="1">
        <v>40359</v>
      </c>
      <c r="E6574" s="2">
        <v>224000</v>
      </c>
      <c r="F6574" t="s">
        <v>4567</v>
      </c>
      <c r="G6574" s="17" t="str">
        <f>HYPERLINK("https://www.washoecounty.gov/assessor/cama/?command=sales&amp;parid=50250114","3897268")</f>
        <v>3897268</v>
      </c>
      <c r="H6574" t="s">
        <v>1204</v>
      </c>
      <c r="I6574">
        <v>2006</v>
      </c>
      <c r="J6574">
        <v>2006</v>
      </c>
      <c r="K6574" t="s">
        <v>4554</v>
      </c>
      <c r="L6574" t="s">
        <v>4555</v>
      </c>
      <c r="M6574" s="2">
        <v>2075</v>
      </c>
      <c r="N6574" t="s">
        <v>5280</v>
      </c>
      <c r="O6574">
        <v>3</v>
      </c>
      <c r="P6574">
        <v>2</v>
      </c>
      <c r="Q6574">
        <v>1</v>
      </c>
      <c r="R6574" t="s">
        <v>5281</v>
      </c>
      <c r="S6574" t="s">
        <v>4558</v>
      </c>
      <c r="T6574" t="s">
        <v>4559</v>
      </c>
      <c r="U6574" t="s">
        <v>4560</v>
      </c>
      <c r="V6574" s="2">
        <v>696</v>
      </c>
      <c r="W6574" t="s">
        <v>4655</v>
      </c>
      <c r="X6574" s="2">
        <v>0</v>
      </c>
      <c r="Y6574">
        <v>20</v>
      </c>
      <c r="Z6574" t="s">
        <v>5282</v>
      </c>
      <c r="AA6574" s="3">
        <v>0.25723141431808499</v>
      </c>
      <c r="AB6574" t="s">
        <v>31614</v>
      </c>
      <c r="AC6574" t="s">
        <v>4562</v>
      </c>
      <c r="AD6574" t="s">
        <v>31613</v>
      </c>
      <c r="AE6574" t="s">
        <v>4655</v>
      </c>
      <c r="AF6574" t="s">
        <v>4563</v>
      </c>
      <c r="AG6574" t="s">
        <v>4564</v>
      </c>
      <c r="AH6574">
        <v>89506</v>
      </c>
      <c r="AI6574" t="s">
        <v>31615</v>
      </c>
      <c r="AJ6574" t="s">
        <v>1205</v>
      </c>
      <c r="AK6574" t="s">
        <v>31616</v>
      </c>
      <c r="AL6574" s="13" t="s">
        <v>2255</v>
      </c>
      <c r="AM6574">
        <v>1</v>
      </c>
      <c r="AN6574" s="15" t="s">
        <v>4909</v>
      </c>
    </row>
    <row r="6575" spans="1:40" x14ac:dyDescent="0.3">
      <c r="A6575" s="10" t="str">
        <f>HYPERLINK("http://www.washoecounty.gov/assessor/cama/?parid=502-521-08&amp;CardNumber=1","502-521-08")</f>
        <v>502-521-08</v>
      </c>
      <c r="B6575" t="s">
        <v>4655</v>
      </c>
      <c r="C6575" t="s">
        <v>31617</v>
      </c>
      <c r="D6575" s="1">
        <v>40249</v>
      </c>
      <c r="E6575" s="2">
        <v>184370</v>
      </c>
      <c r="F6575" t="s">
        <v>4567</v>
      </c>
      <c r="G6575" s="17" t="str">
        <f>HYPERLINK("https://www.washoecounty.gov/assessor/cama/?command=sales&amp;parid=50252108","3859045")</f>
        <v>3859045</v>
      </c>
      <c r="H6575" t="s">
        <v>1992</v>
      </c>
      <c r="I6575">
        <v>2006</v>
      </c>
      <c r="J6575">
        <v>2006</v>
      </c>
      <c r="K6575" t="s">
        <v>4554</v>
      </c>
      <c r="L6575" t="s">
        <v>4555</v>
      </c>
      <c r="M6575" s="2">
        <v>2062</v>
      </c>
      <c r="N6575" t="s">
        <v>3147</v>
      </c>
      <c r="O6575">
        <v>4</v>
      </c>
      <c r="P6575">
        <v>2</v>
      </c>
      <c r="Q6575">
        <v>0</v>
      </c>
      <c r="R6575" t="s">
        <v>5281</v>
      </c>
      <c r="S6575" t="s">
        <v>4898</v>
      </c>
      <c r="T6575" t="s">
        <v>2704</v>
      </c>
      <c r="U6575" t="s">
        <v>4560</v>
      </c>
      <c r="V6575" s="2">
        <v>648</v>
      </c>
      <c r="W6575" t="s">
        <v>4655</v>
      </c>
      <c r="X6575" s="2">
        <v>0</v>
      </c>
      <c r="Y6575">
        <v>20</v>
      </c>
      <c r="Z6575" t="s">
        <v>5282</v>
      </c>
      <c r="AA6575" s="3">
        <v>0.21212121844291701</v>
      </c>
      <c r="AB6575" t="s">
        <v>31618</v>
      </c>
      <c r="AC6575" t="s">
        <v>4575</v>
      </c>
      <c r="AD6575" t="s">
        <v>31619</v>
      </c>
      <c r="AE6575" t="s">
        <v>4655</v>
      </c>
      <c r="AF6575" t="s">
        <v>4563</v>
      </c>
      <c r="AG6575" t="s">
        <v>4564</v>
      </c>
      <c r="AH6575">
        <v>89508</v>
      </c>
      <c r="AI6575" t="s">
        <v>31620</v>
      </c>
      <c r="AJ6575" t="s">
        <v>1630</v>
      </c>
      <c r="AK6575" t="s">
        <v>31621</v>
      </c>
      <c r="AL6575" s="13" t="s">
        <v>1901</v>
      </c>
      <c r="AM6575" s="14">
        <v>1</v>
      </c>
      <c r="AN6575" s="15" t="s">
        <v>780</v>
      </c>
    </row>
    <row r="6576" spans="1:40" x14ac:dyDescent="0.3">
      <c r="A6576" s="10" t="str">
        <f>HYPERLINK("http://www.washoecounty.gov/assessor/cama/?parid=502-532-02&amp;CardNumber=1","502-532-02")</f>
        <v>502-532-02</v>
      </c>
      <c r="B6576" t="s">
        <v>4655</v>
      </c>
      <c r="C6576" t="s">
        <v>31622</v>
      </c>
      <c r="D6576" s="1">
        <v>40438</v>
      </c>
      <c r="E6576" s="2">
        <v>212000</v>
      </c>
      <c r="F6576" t="s">
        <v>4553</v>
      </c>
      <c r="G6576" s="17" t="str">
        <f>HYPERLINK("https://www.washoecounty.gov/assessor/cama/?command=sales&amp;parid=50253202","3923539")</f>
        <v>3923539</v>
      </c>
      <c r="H6576" t="s">
        <v>1992</v>
      </c>
      <c r="I6576">
        <v>2006</v>
      </c>
      <c r="J6576">
        <v>2006</v>
      </c>
      <c r="K6576" t="s">
        <v>4554</v>
      </c>
      <c r="L6576" t="s">
        <v>4555</v>
      </c>
      <c r="M6576" s="2">
        <v>2706</v>
      </c>
      <c r="N6576" t="s">
        <v>3147</v>
      </c>
      <c r="O6576">
        <v>5</v>
      </c>
      <c r="P6576">
        <v>3</v>
      </c>
      <c r="Q6576">
        <v>0</v>
      </c>
      <c r="R6576" t="s">
        <v>5281</v>
      </c>
      <c r="S6576" t="s">
        <v>4898</v>
      </c>
      <c r="T6576" t="s">
        <v>2704</v>
      </c>
      <c r="U6576" t="s">
        <v>4560</v>
      </c>
      <c r="V6576" s="2">
        <v>689</v>
      </c>
      <c r="W6576" t="s">
        <v>4655</v>
      </c>
      <c r="X6576" s="2">
        <v>0</v>
      </c>
      <c r="Y6576">
        <v>20</v>
      </c>
      <c r="Z6576" t="s">
        <v>5282</v>
      </c>
      <c r="AA6576" s="3">
        <v>0.31150138378143299</v>
      </c>
      <c r="AB6576" t="s">
        <v>31623</v>
      </c>
      <c r="AC6576" t="s">
        <v>4562</v>
      </c>
      <c r="AD6576" t="s">
        <v>31622</v>
      </c>
      <c r="AE6576" t="s">
        <v>4655</v>
      </c>
      <c r="AF6576" t="s">
        <v>4563</v>
      </c>
      <c r="AG6576" t="s">
        <v>4564</v>
      </c>
      <c r="AH6576">
        <v>89506</v>
      </c>
      <c r="AI6576" t="s">
        <v>949</v>
      </c>
      <c r="AJ6576" t="s">
        <v>1630</v>
      </c>
      <c r="AK6576" t="s">
        <v>31624</v>
      </c>
      <c r="AL6576" s="13" t="s">
        <v>1901</v>
      </c>
      <c r="AM6576" s="14">
        <v>1</v>
      </c>
      <c r="AN6576" s="15" t="s">
        <v>780</v>
      </c>
    </row>
    <row r="6577" spans="1:40" x14ac:dyDescent="0.3">
      <c r="A6577" s="10" t="str">
        <f>HYPERLINK("http://www.washoecounty.gov/assessor/cama/?parid=502-541-07&amp;CardNumber=1","502-541-07")</f>
        <v>502-541-07</v>
      </c>
      <c r="B6577" t="s">
        <v>4655</v>
      </c>
      <c r="C6577" t="s">
        <v>31625</v>
      </c>
      <c r="D6577" s="1">
        <v>40451</v>
      </c>
      <c r="E6577" s="2">
        <v>240000</v>
      </c>
      <c r="F6577" t="s">
        <v>4567</v>
      </c>
      <c r="G6577" s="17" t="str">
        <f>HYPERLINK("https://www.washoecounty.gov/assessor/cama/?command=sales&amp;parid=50254107","3928414")</f>
        <v>3928414</v>
      </c>
      <c r="H6577" t="s">
        <v>1992</v>
      </c>
      <c r="I6577">
        <v>2006</v>
      </c>
      <c r="J6577">
        <v>2006</v>
      </c>
      <c r="K6577" t="s">
        <v>4554</v>
      </c>
      <c r="L6577" t="s">
        <v>3974</v>
      </c>
      <c r="M6577" s="2">
        <v>3137</v>
      </c>
      <c r="N6577" t="s">
        <v>3147</v>
      </c>
      <c r="O6577">
        <v>4</v>
      </c>
      <c r="P6577">
        <v>3</v>
      </c>
      <c r="Q6577">
        <v>0</v>
      </c>
      <c r="R6577" t="s">
        <v>5281</v>
      </c>
      <c r="S6577" t="s">
        <v>4898</v>
      </c>
      <c r="T6577" t="s">
        <v>2704</v>
      </c>
      <c r="U6577" t="s">
        <v>4560</v>
      </c>
      <c r="V6577" s="2">
        <v>640</v>
      </c>
      <c r="W6577" t="s">
        <v>4655</v>
      </c>
      <c r="X6577" s="2">
        <v>0</v>
      </c>
      <c r="Y6577">
        <v>20</v>
      </c>
      <c r="Z6577" t="s">
        <v>5282</v>
      </c>
      <c r="AA6577" s="3">
        <v>0.25975665450096103</v>
      </c>
      <c r="AB6577" t="s">
        <v>31626</v>
      </c>
      <c r="AC6577" t="s">
        <v>4562</v>
      </c>
      <c r="AD6577" t="s">
        <v>31625</v>
      </c>
      <c r="AE6577" t="s">
        <v>4655</v>
      </c>
      <c r="AF6577" t="s">
        <v>4563</v>
      </c>
      <c r="AG6577" t="s">
        <v>4564</v>
      </c>
      <c r="AH6577">
        <v>89506</v>
      </c>
      <c r="AI6577" t="s">
        <v>31627</v>
      </c>
      <c r="AJ6577" t="s">
        <v>31628</v>
      </c>
      <c r="AK6577" t="s">
        <v>31629</v>
      </c>
      <c r="AL6577" s="13" t="s">
        <v>1901</v>
      </c>
      <c r="AM6577" s="14">
        <v>1</v>
      </c>
      <c r="AN6577" s="15" t="s">
        <v>780</v>
      </c>
    </row>
    <row r="6578" spans="1:40" x14ac:dyDescent="0.3">
      <c r="A6578" s="10" t="str">
        <f>HYPERLINK("http://www.washoecounty.gov/assessor/cama/?parid=502-554-01&amp;CardNumber=1","502-554-01")</f>
        <v>502-554-01</v>
      </c>
      <c r="B6578" t="s">
        <v>4655</v>
      </c>
      <c r="C6578" t="s">
        <v>31630</v>
      </c>
      <c r="D6578" s="1">
        <v>40326</v>
      </c>
      <c r="E6578" s="2">
        <v>199000</v>
      </c>
      <c r="F6578" t="s">
        <v>4553</v>
      </c>
      <c r="G6578" s="17" t="str">
        <f>HYPERLINK("https://www.washoecounty.gov/assessor/cama/?command=sales&amp;parid=50255401","3886522")</f>
        <v>3886522</v>
      </c>
      <c r="H6578" t="s">
        <v>1992</v>
      </c>
      <c r="I6578">
        <v>2006</v>
      </c>
      <c r="J6578">
        <v>2006</v>
      </c>
      <c r="K6578" t="s">
        <v>4554</v>
      </c>
      <c r="L6578" t="s">
        <v>3974</v>
      </c>
      <c r="M6578" s="2">
        <v>2358</v>
      </c>
      <c r="N6578" t="s">
        <v>3147</v>
      </c>
      <c r="O6578">
        <v>5</v>
      </c>
      <c r="P6578">
        <v>3</v>
      </c>
      <c r="Q6578">
        <v>0</v>
      </c>
      <c r="R6578" t="s">
        <v>5281</v>
      </c>
      <c r="S6578" t="s">
        <v>4898</v>
      </c>
      <c r="T6578" t="s">
        <v>2704</v>
      </c>
      <c r="U6578" t="s">
        <v>5631</v>
      </c>
      <c r="V6578" s="2">
        <v>636</v>
      </c>
      <c r="W6578" t="s">
        <v>4655</v>
      </c>
      <c r="X6578" s="2">
        <v>0</v>
      </c>
      <c r="Y6578">
        <v>20</v>
      </c>
      <c r="Z6578" t="s">
        <v>5282</v>
      </c>
      <c r="AA6578" s="3">
        <v>0.20534893870353699</v>
      </c>
      <c r="AB6578" t="s">
        <v>31631</v>
      </c>
      <c r="AC6578" t="s">
        <v>4575</v>
      </c>
      <c r="AD6578" t="s">
        <v>31630</v>
      </c>
      <c r="AE6578" t="s">
        <v>4655</v>
      </c>
      <c r="AF6578" t="s">
        <v>4563</v>
      </c>
      <c r="AG6578" t="s">
        <v>4564</v>
      </c>
      <c r="AH6578">
        <v>89506</v>
      </c>
      <c r="AI6578" t="s">
        <v>4903</v>
      </c>
      <c r="AJ6578" t="s">
        <v>4270</v>
      </c>
      <c r="AK6578" t="s">
        <v>31632</v>
      </c>
      <c r="AL6578" s="13" t="s">
        <v>2255</v>
      </c>
      <c r="AM6578" s="14">
        <v>1</v>
      </c>
      <c r="AN6578" s="15" t="s">
        <v>780</v>
      </c>
    </row>
    <row r="6579" spans="1:40" x14ac:dyDescent="0.3">
      <c r="A6579" s="10" t="str">
        <f>HYPERLINK("http://www.washoecounty.gov/assessor/cama/?parid=502-554-04&amp;CardNumber=1","502-554-04")</f>
        <v>502-554-04</v>
      </c>
      <c r="B6579" t="s">
        <v>4655</v>
      </c>
      <c r="C6579" t="s">
        <v>31633</v>
      </c>
      <c r="D6579" s="1">
        <v>40451</v>
      </c>
      <c r="E6579" s="2">
        <v>170000</v>
      </c>
      <c r="F6579" t="s">
        <v>4567</v>
      </c>
      <c r="G6579" s="17" t="str">
        <f>HYPERLINK("https://www.washoecounty.gov/assessor/cama/?command=sales&amp;parid=50255404","3928138")</f>
        <v>3928138</v>
      </c>
      <c r="H6579" t="s">
        <v>1992</v>
      </c>
      <c r="I6579">
        <v>2006</v>
      </c>
      <c r="J6579">
        <v>2006</v>
      </c>
      <c r="K6579" t="s">
        <v>4554</v>
      </c>
      <c r="L6579" t="s">
        <v>4555</v>
      </c>
      <c r="M6579" s="2">
        <v>1933</v>
      </c>
      <c r="N6579" t="s">
        <v>3147</v>
      </c>
      <c r="O6579">
        <v>3</v>
      </c>
      <c r="P6579">
        <v>2</v>
      </c>
      <c r="Q6579">
        <v>0</v>
      </c>
      <c r="R6579" t="s">
        <v>5281</v>
      </c>
      <c r="S6579" t="s">
        <v>4898</v>
      </c>
      <c r="T6579" t="s">
        <v>2704</v>
      </c>
      <c r="U6579" t="s">
        <v>4560</v>
      </c>
      <c r="V6579" s="2">
        <v>474</v>
      </c>
      <c r="W6579" t="s">
        <v>4655</v>
      </c>
      <c r="X6579" s="2">
        <v>0</v>
      </c>
      <c r="Y6579">
        <v>20</v>
      </c>
      <c r="Z6579" t="s">
        <v>5282</v>
      </c>
      <c r="AA6579" s="3">
        <v>0.19605141878128099</v>
      </c>
      <c r="AB6579" t="s">
        <v>31634</v>
      </c>
      <c r="AC6579" t="s">
        <v>4575</v>
      </c>
      <c r="AD6579" t="s">
        <v>31635</v>
      </c>
      <c r="AE6579" t="s">
        <v>4655</v>
      </c>
      <c r="AF6579" t="s">
        <v>4563</v>
      </c>
      <c r="AG6579" t="s">
        <v>4564</v>
      </c>
      <c r="AH6579">
        <v>89509</v>
      </c>
      <c r="AI6579" t="s">
        <v>4655</v>
      </c>
      <c r="AJ6579" t="s">
        <v>4270</v>
      </c>
      <c r="AK6579" t="s">
        <v>31636</v>
      </c>
      <c r="AL6579" s="13" t="s">
        <v>2255</v>
      </c>
      <c r="AM6579" s="14">
        <v>1</v>
      </c>
      <c r="AN6579" s="15" t="s">
        <v>780</v>
      </c>
    </row>
    <row r="6580" spans="1:40" x14ac:dyDescent="0.3">
      <c r="A6580" s="10" t="str">
        <f>HYPERLINK("http://www.washoecounty.gov/assessor/cama/?parid=502-555-01&amp;CardNumber=1","502-555-01")</f>
        <v>502-555-01</v>
      </c>
      <c r="B6580" t="s">
        <v>4655</v>
      </c>
      <c r="C6580" t="s">
        <v>31637</v>
      </c>
      <c r="D6580" s="1">
        <v>40497</v>
      </c>
      <c r="E6580" s="2">
        <v>180000</v>
      </c>
      <c r="F6580" t="s">
        <v>4553</v>
      </c>
      <c r="G6580" s="17" t="str">
        <f>HYPERLINK("https://www.washoecounty.gov/assessor/cama/?command=sales&amp;parid=50255501","3943143")</f>
        <v>3943143</v>
      </c>
      <c r="H6580" t="s">
        <v>1992</v>
      </c>
      <c r="I6580">
        <v>2006</v>
      </c>
      <c r="J6580">
        <v>2006</v>
      </c>
      <c r="K6580" t="s">
        <v>4554</v>
      </c>
      <c r="L6580" t="s">
        <v>4555</v>
      </c>
      <c r="M6580" s="2">
        <v>1933</v>
      </c>
      <c r="N6580" t="s">
        <v>3147</v>
      </c>
      <c r="O6580">
        <v>4</v>
      </c>
      <c r="P6580">
        <v>2</v>
      </c>
      <c r="Q6580">
        <v>0</v>
      </c>
      <c r="R6580" t="s">
        <v>5281</v>
      </c>
      <c r="S6580" t="s">
        <v>4898</v>
      </c>
      <c r="T6580" t="s">
        <v>2704</v>
      </c>
      <c r="U6580" t="s">
        <v>4560</v>
      </c>
      <c r="V6580" s="2">
        <v>474</v>
      </c>
      <c r="W6580" t="s">
        <v>4655</v>
      </c>
      <c r="X6580" s="2">
        <v>0</v>
      </c>
      <c r="Y6580">
        <v>20</v>
      </c>
      <c r="Z6580" t="s">
        <v>5282</v>
      </c>
      <c r="AA6580" s="3">
        <v>0.197382926940918</v>
      </c>
      <c r="AB6580" t="s">
        <v>31638</v>
      </c>
      <c r="AC6580" t="s">
        <v>4562</v>
      </c>
      <c r="AD6580" t="s">
        <v>31639</v>
      </c>
      <c r="AE6580" t="s">
        <v>4655</v>
      </c>
      <c r="AF6580" t="s">
        <v>4563</v>
      </c>
      <c r="AG6580" t="s">
        <v>4564</v>
      </c>
      <c r="AH6580">
        <v>89506</v>
      </c>
      <c r="AI6580" t="s">
        <v>31640</v>
      </c>
      <c r="AJ6580" t="s">
        <v>4270</v>
      </c>
      <c r="AK6580" t="s">
        <v>31641</v>
      </c>
      <c r="AL6580" s="13" t="s">
        <v>2255</v>
      </c>
      <c r="AM6580">
        <v>1</v>
      </c>
      <c r="AN6580" s="15" t="s">
        <v>780</v>
      </c>
    </row>
    <row r="6581" spans="1:40" x14ac:dyDescent="0.3">
      <c r="A6581" s="10" t="str">
        <f>HYPERLINK("http://www.washoecounty.gov/assessor/cama/?parid=502-555-05&amp;CardNumber=1","502-555-05")</f>
        <v>502-555-05</v>
      </c>
      <c r="B6581" t="s">
        <v>4655</v>
      </c>
      <c r="C6581" t="s">
        <v>31642</v>
      </c>
      <c r="D6581" s="1">
        <v>40415</v>
      </c>
      <c r="E6581" s="2">
        <v>195000</v>
      </c>
      <c r="F6581" t="s">
        <v>4567</v>
      </c>
      <c r="G6581" s="17" t="str">
        <f>HYPERLINK("https://www.washoecounty.gov/assessor/cama/?command=sales&amp;parid=50255505","3915597")</f>
        <v>3915597</v>
      </c>
      <c r="H6581" t="s">
        <v>1992</v>
      </c>
      <c r="I6581">
        <v>2006</v>
      </c>
      <c r="J6581">
        <v>2006</v>
      </c>
      <c r="K6581" t="s">
        <v>4554</v>
      </c>
      <c r="L6581" t="s">
        <v>3974</v>
      </c>
      <c r="M6581" s="2">
        <v>2341</v>
      </c>
      <c r="N6581" t="s">
        <v>3147</v>
      </c>
      <c r="O6581">
        <v>4</v>
      </c>
      <c r="P6581">
        <v>3</v>
      </c>
      <c r="Q6581">
        <v>0</v>
      </c>
      <c r="R6581" t="s">
        <v>5281</v>
      </c>
      <c r="S6581" t="s">
        <v>4898</v>
      </c>
      <c r="T6581" t="s">
        <v>2704</v>
      </c>
      <c r="U6581" t="s">
        <v>4560</v>
      </c>
      <c r="V6581" s="2">
        <v>675</v>
      </c>
      <c r="W6581" t="s">
        <v>4655</v>
      </c>
      <c r="X6581" s="2">
        <v>0</v>
      </c>
      <c r="Y6581">
        <v>20</v>
      </c>
      <c r="Z6581" t="s">
        <v>5282</v>
      </c>
      <c r="AA6581" s="3">
        <v>0.18030303716659499</v>
      </c>
      <c r="AB6581" t="s">
        <v>31643</v>
      </c>
      <c r="AC6581" t="s">
        <v>4562</v>
      </c>
      <c r="AD6581" t="s">
        <v>31644</v>
      </c>
      <c r="AE6581" t="s">
        <v>4655</v>
      </c>
      <c r="AF6581" t="s">
        <v>4563</v>
      </c>
      <c r="AG6581" t="s">
        <v>4564</v>
      </c>
      <c r="AH6581">
        <v>89508</v>
      </c>
      <c r="AI6581" t="s">
        <v>31645</v>
      </c>
      <c r="AJ6581" t="s">
        <v>4270</v>
      </c>
      <c r="AK6581" t="s">
        <v>31646</v>
      </c>
      <c r="AL6581" s="13" t="s">
        <v>2255</v>
      </c>
      <c r="AM6581">
        <v>1</v>
      </c>
      <c r="AN6581" s="15" t="s">
        <v>780</v>
      </c>
    </row>
    <row r="6582" spans="1:40" x14ac:dyDescent="0.3">
      <c r="A6582" s="10" t="str">
        <f>HYPERLINK("http://www.washoecounty.gov/assessor/cama/?parid=502-561-01&amp;CardNumber=1","502-561-01")</f>
        <v>502-561-01</v>
      </c>
      <c r="B6582" t="s">
        <v>4655</v>
      </c>
      <c r="C6582" t="s">
        <v>31647</v>
      </c>
      <c r="D6582" s="1">
        <v>40289</v>
      </c>
      <c r="E6582" s="2">
        <v>170000</v>
      </c>
      <c r="F6582" t="s">
        <v>4567</v>
      </c>
      <c r="G6582" s="17" t="str">
        <f>HYPERLINK("https://www.washoecounty.gov/assessor/cama/?command=sales&amp;parid=50256101","3873367")</f>
        <v>3873367</v>
      </c>
      <c r="H6582" t="s">
        <v>1992</v>
      </c>
      <c r="I6582">
        <v>2006</v>
      </c>
      <c r="J6582">
        <v>2006</v>
      </c>
      <c r="K6582" t="s">
        <v>4554</v>
      </c>
      <c r="L6582" t="s">
        <v>4555</v>
      </c>
      <c r="M6582" s="2">
        <v>1697</v>
      </c>
      <c r="N6582" t="s">
        <v>3147</v>
      </c>
      <c r="O6582">
        <v>3</v>
      </c>
      <c r="P6582">
        <v>2</v>
      </c>
      <c r="Q6582">
        <v>0</v>
      </c>
      <c r="R6582" t="s">
        <v>5281</v>
      </c>
      <c r="S6582" t="s">
        <v>4898</v>
      </c>
      <c r="T6582" t="s">
        <v>2704</v>
      </c>
      <c r="U6582" t="s">
        <v>4560</v>
      </c>
      <c r="V6582" s="2">
        <v>454</v>
      </c>
      <c r="W6582" t="s">
        <v>4655</v>
      </c>
      <c r="X6582" s="2">
        <v>0</v>
      </c>
      <c r="Y6582">
        <v>20</v>
      </c>
      <c r="Z6582" t="s">
        <v>5282</v>
      </c>
      <c r="AA6582" s="3">
        <v>0.156565651297569</v>
      </c>
      <c r="AB6582" t="s">
        <v>31648</v>
      </c>
      <c r="AC6582" t="s">
        <v>4575</v>
      </c>
      <c r="AD6582" t="s">
        <v>31647</v>
      </c>
      <c r="AE6582" t="s">
        <v>4655</v>
      </c>
      <c r="AF6582" t="s">
        <v>4563</v>
      </c>
      <c r="AG6582" t="s">
        <v>4564</v>
      </c>
      <c r="AH6582">
        <v>89506</v>
      </c>
      <c r="AI6582" t="s">
        <v>31649</v>
      </c>
      <c r="AJ6582" t="s">
        <v>4270</v>
      </c>
      <c r="AK6582" t="s">
        <v>31650</v>
      </c>
      <c r="AL6582" s="13" t="s">
        <v>2255</v>
      </c>
      <c r="AM6582">
        <v>1</v>
      </c>
      <c r="AN6582" s="15" t="s">
        <v>780</v>
      </c>
    </row>
    <row r="6583" spans="1:40" x14ac:dyDescent="0.3">
      <c r="A6583" s="10" t="str">
        <f>HYPERLINK("http://www.washoecounty.gov/assessor/cama/?parid=502-562-06&amp;CardNumber=1","502-562-06")</f>
        <v>502-562-06</v>
      </c>
      <c r="B6583" t="s">
        <v>4655</v>
      </c>
      <c r="C6583" t="s">
        <v>31651</v>
      </c>
      <c r="D6583" s="1">
        <v>40330</v>
      </c>
      <c r="E6583" s="2">
        <v>210500</v>
      </c>
      <c r="F6583" t="s">
        <v>4553</v>
      </c>
      <c r="G6583" s="17" t="str">
        <f>HYPERLINK("https://www.washoecounty.gov/assessor/cama/?command=sales&amp;parid=50256206","3887213")</f>
        <v>3887213</v>
      </c>
      <c r="H6583" t="s">
        <v>1992</v>
      </c>
      <c r="I6583">
        <v>2006</v>
      </c>
      <c r="J6583">
        <v>2006</v>
      </c>
      <c r="K6583" t="s">
        <v>4554</v>
      </c>
      <c r="L6583" t="s">
        <v>3974</v>
      </c>
      <c r="M6583" s="2">
        <v>2341</v>
      </c>
      <c r="N6583" t="s">
        <v>3147</v>
      </c>
      <c r="O6583">
        <v>4</v>
      </c>
      <c r="P6583">
        <v>3</v>
      </c>
      <c r="Q6583">
        <v>0</v>
      </c>
      <c r="R6583" t="s">
        <v>5281</v>
      </c>
      <c r="S6583" t="s">
        <v>4898</v>
      </c>
      <c r="T6583" t="s">
        <v>2704</v>
      </c>
      <c r="U6583" t="s">
        <v>4560</v>
      </c>
      <c r="V6583" s="2">
        <v>675</v>
      </c>
      <c r="W6583" t="s">
        <v>4655</v>
      </c>
      <c r="X6583" s="2">
        <v>0</v>
      </c>
      <c r="Y6583">
        <v>20</v>
      </c>
      <c r="Z6583" t="s">
        <v>5282</v>
      </c>
      <c r="AA6583" s="3">
        <v>0.65624427795410101</v>
      </c>
      <c r="AB6583" t="s">
        <v>31652</v>
      </c>
      <c r="AC6583" t="s">
        <v>4562</v>
      </c>
      <c r="AD6583" t="s">
        <v>31653</v>
      </c>
      <c r="AE6583" t="s">
        <v>4655</v>
      </c>
      <c r="AF6583" t="s">
        <v>4752</v>
      </c>
      <c r="AG6583" t="s">
        <v>4564</v>
      </c>
      <c r="AH6583">
        <v>89506</v>
      </c>
      <c r="AI6583" t="s">
        <v>4045</v>
      </c>
      <c r="AJ6583" t="s">
        <v>4270</v>
      </c>
      <c r="AK6583" t="s">
        <v>31654</v>
      </c>
      <c r="AL6583" s="13" t="s">
        <v>2255</v>
      </c>
      <c r="AM6583" s="14">
        <v>1</v>
      </c>
      <c r="AN6583" s="15" t="s">
        <v>780</v>
      </c>
    </row>
    <row r="6584" spans="1:40" x14ac:dyDescent="0.3">
      <c r="A6584" s="10" t="str">
        <f>HYPERLINK("http://www.washoecounty.gov/assessor/cama/?parid=502-562-07&amp;CardNumber=1","502-562-07")</f>
        <v>502-562-07</v>
      </c>
      <c r="B6584" t="s">
        <v>4655</v>
      </c>
      <c r="C6584" t="s">
        <v>31655</v>
      </c>
      <c r="D6584" s="1">
        <v>40261</v>
      </c>
      <c r="E6584" s="2">
        <v>175000</v>
      </c>
      <c r="F6584" t="s">
        <v>4567</v>
      </c>
      <c r="G6584" s="17" t="str">
        <f>HYPERLINK("https://www.washoecounty.gov/assessor/cama/?command=sales&amp;parid=50256207","3863761")</f>
        <v>3863761</v>
      </c>
      <c r="H6584" t="s">
        <v>1992</v>
      </c>
      <c r="I6584">
        <v>2006</v>
      </c>
      <c r="J6584">
        <v>2006</v>
      </c>
      <c r="K6584" t="s">
        <v>4554</v>
      </c>
      <c r="L6584" t="s">
        <v>4555</v>
      </c>
      <c r="M6584" s="2">
        <v>1933</v>
      </c>
      <c r="N6584" t="s">
        <v>3147</v>
      </c>
      <c r="O6584">
        <v>3</v>
      </c>
      <c r="P6584">
        <v>2</v>
      </c>
      <c r="Q6584">
        <v>0</v>
      </c>
      <c r="R6584" t="s">
        <v>5281</v>
      </c>
      <c r="S6584" t="s">
        <v>4898</v>
      </c>
      <c r="T6584" t="s">
        <v>2704</v>
      </c>
      <c r="U6584" t="s">
        <v>4560</v>
      </c>
      <c r="V6584" s="2">
        <v>474</v>
      </c>
      <c r="W6584" t="s">
        <v>4655</v>
      </c>
      <c r="X6584" s="2">
        <v>0</v>
      </c>
      <c r="Y6584">
        <v>20</v>
      </c>
      <c r="Z6584" t="s">
        <v>5282</v>
      </c>
      <c r="AA6584" s="3">
        <v>0.27885675430297902</v>
      </c>
      <c r="AB6584" t="s">
        <v>31656</v>
      </c>
      <c r="AC6584" t="s">
        <v>4562</v>
      </c>
      <c r="AD6584" t="s">
        <v>31655</v>
      </c>
      <c r="AE6584" t="s">
        <v>4655</v>
      </c>
      <c r="AF6584" t="s">
        <v>4563</v>
      </c>
      <c r="AG6584" t="s">
        <v>4564</v>
      </c>
      <c r="AH6584">
        <v>89508</v>
      </c>
      <c r="AI6584" t="s">
        <v>31657</v>
      </c>
      <c r="AJ6584" t="s">
        <v>4270</v>
      </c>
      <c r="AK6584" t="s">
        <v>31658</v>
      </c>
      <c r="AL6584" s="13" t="s">
        <v>2255</v>
      </c>
      <c r="AM6584" s="14">
        <v>1</v>
      </c>
      <c r="AN6584" s="15" t="s">
        <v>780</v>
      </c>
    </row>
    <row r="6585" spans="1:40" x14ac:dyDescent="0.3">
      <c r="A6585" s="10" t="str">
        <f>HYPERLINK("http://www.washoecounty.gov/assessor/cama/?parid=502-573-12&amp;CardNumber=1","502-573-12")</f>
        <v>502-573-12</v>
      </c>
      <c r="B6585" t="s">
        <v>4655</v>
      </c>
      <c r="C6585" t="s">
        <v>31659</v>
      </c>
      <c r="D6585" s="1">
        <v>40416</v>
      </c>
      <c r="E6585" s="2">
        <v>240000</v>
      </c>
      <c r="F6585" t="s">
        <v>4567</v>
      </c>
      <c r="G6585" s="17" t="str">
        <f>HYPERLINK("https://www.washoecounty.gov/assessor/cama/?command=sales&amp;parid=50257312","3916089")</f>
        <v>3916089</v>
      </c>
      <c r="H6585" t="s">
        <v>3491</v>
      </c>
      <c r="I6585">
        <v>2006</v>
      </c>
      <c r="J6585">
        <v>2006</v>
      </c>
      <c r="K6585" t="s">
        <v>4554</v>
      </c>
      <c r="L6585" t="s">
        <v>4555</v>
      </c>
      <c r="M6585" s="2">
        <v>2706</v>
      </c>
      <c r="N6585" t="s">
        <v>3147</v>
      </c>
      <c r="O6585">
        <v>5</v>
      </c>
      <c r="P6585">
        <v>3</v>
      </c>
      <c r="Q6585">
        <v>0</v>
      </c>
      <c r="R6585" t="s">
        <v>5281</v>
      </c>
      <c r="S6585" t="s">
        <v>4898</v>
      </c>
      <c r="T6585" t="s">
        <v>2704</v>
      </c>
      <c r="U6585" t="s">
        <v>4560</v>
      </c>
      <c r="V6585" s="2">
        <v>689</v>
      </c>
      <c r="W6585" t="s">
        <v>4655</v>
      </c>
      <c r="X6585" s="2">
        <v>0</v>
      </c>
      <c r="Y6585">
        <v>20</v>
      </c>
      <c r="Z6585" t="s">
        <v>5282</v>
      </c>
      <c r="AA6585" s="3">
        <v>0.34648761153221103</v>
      </c>
      <c r="AB6585" t="s">
        <v>31660</v>
      </c>
      <c r="AC6585" t="s">
        <v>4562</v>
      </c>
      <c r="AD6585" t="s">
        <v>31659</v>
      </c>
      <c r="AE6585" t="s">
        <v>4655</v>
      </c>
      <c r="AF6585" t="s">
        <v>4563</v>
      </c>
      <c r="AG6585" t="s">
        <v>4564</v>
      </c>
      <c r="AH6585">
        <v>89506</v>
      </c>
      <c r="AI6585" t="s">
        <v>4655</v>
      </c>
      <c r="AJ6585" t="s">
        <v>561</v>
      </c>
      <c r="AK6585" t="s">
        <v>31661</v>
      </c>
      <c r="AL6585" s="13" t="s">
        <v>1901</v>
      </c>
      <c r="AM6585" s="14">
        <v>1</v>
      </c>
      <c r="AN6585" s="15" t="s">
        <v>780</v>
      </c>
    </row>
    <row r="6586" spans="1:40" x14ac:dyDescent="0.3">
      <c r="A6586" s="10" t="str">
        <f>HYPERLINK("http://www.washoecounty.gov/assessor/cama/?parid=502-591-05&amp;CardNumber=1","502-591-05")</f>
        <v>502-591-05</v>
      </c>
      <c r="B6586" t="s">
        <v>4655</v>
      </c>
      <c r="C6586" t="s">
        <v>31662</v>
      </c>
      <c r="D6586" s="1">
        <v>40323</v>
      </c>
      <c r="E6586" s="2">
        <v>215000</v>
      </c>
      <c r="F6586" t="s">
        <v>4567</v>
      </c>
      <c r="G6586" s="17" t="str">
        <f>HYPERLINK("https://www.washoecounty.gov/assessor/cama/?command=sales&amp;parid=50259105","3885051")</f>
        <v>3885051</v>
      </c>
      <c r="H6586" t="s">
        <v>3491</v>
      </c>
      <c r="I6586">
        <v>2007</v>
      </c>
      <c r="J6586">
        <v>2007</v>
      </c>
      <c r="K6586" t="s">
        <v>4554</v>
      </c>
      <c r="L6586" t="s">
        <v>4555</v>
      </c>
      <c r="M6586" s="2">
        <v>2372</v>
      </c>
      <c r="N6586" t="s">
        <v>3147</v>
      </c>
      <c r="O6586">
        <v>4</v>
      </c>
      <c r="P6586">
        <v>3</v>
      </c>
      <c r="Q6586">
        <v>0</v>
      </c>
      <c r="R6586" t="s">
        <v>5281</v>
      </c>
      <c r="S6586" t="s">
        <v>4898</v>
      </c>
      <c r="T6586" t="s">
        <v>2704</v>
      </c>
      <c r="U6586" t="s">
        <v>4560</v>
      </c>
      <c r="V6586" s="2">
        <v>712</v>
      </c>
      <c r="W6586" t="s">
        <v>4655</v>
      </c>
      <c r="X6586" s="2">
        <v>0</v>
      </c>
      <c r="Y6586">
        <v>20</v>
      </c>
      <c r="Z6586" t="s">
        <v>5282</v>
      </c>
      <c r="AA6586" s="3">
        <v>1.0082415342330899</v>
      </c>
      <c r="AB6586" t="s">
        <v>31663</v>
      </c>
      <c r="AC6586" t="s">
        <v>4562</v>
      </c>
      <c r="AD6586" t="s">
        <v>31662</v>
      </c>
      <c r="AE6586" t="s">
        <v>4655</v>
      </c>
      <c r="AF6586" t="s">
        <v>4563</v>
      </c>
      <c r="AG6586" t="s">
        <v>4564</v>
      </c>
      <c r="AH6586">
        <v>89506</v>
      </c>
      <c r="AI6586" t="s">
        <v>31664</v>
      </c>
      <c r="AJ6586" t="s">
        <v>561</v>
      </c>
      <c r="AK6586" t="s">
        <v>31665</v>
      </c>
      <c r="AL6586" s="13" t="s">
        <v>1901</v>
      </c>
      <c r="AM6586">
        <v>1</v>
      </c>
      <c r="AN6586" s="15" t="s">
        <v>780</v>
      </c>
    </row>
    <row r="6587" spans="1:40" x14ac:dyDescent="0.3">
      <c r="A6587" s="10" t="str">
        <f>HYPERLINK("http://www.washoecounty.gov/assessor/cama/?parid=502-601-01&amp;CardNumber=1","502-601-01")</f>
        <v>502-601-01</v>
      </c>
      <c r="B6587" t="s">
        <v>4655</v>
      </c>
      <c r="C6587" t="s">
        <v>31666</v>
      </c>
      <c r="D6587" s="1">
        <v>40361</v>
      </c>
      <c r="E6587" s="2">
        <v>42500</v>
      </c>
      <c r="F6587" t="s">
        <v>4567</v>
      </c>
      <c r="G6587" s="17" t="str">
        <f>HYPERLINK("https://www.washoecounty.gov/assessor/cama/?command=sales&amp;parid=50260101","3898038")</f>
        <v>3898038</v>
      </c>
      <c r="H6587" t="s">
        <v>3491</v>
      </c>
      <c r="I6587">
        <v>0</v>
      </c>
      <c r="J6587">
        <v>0</v>
      </c>
      <c r="K6587" t="s">
        <v>4655</v>
      </c>
      <c r="L6587" t="s">
        <v>4655</v>
      </c>
      <c r="M6587" s="2">
        <v>0</v>
      </c>
      <c r="N6587" t="s">
        <v>4655</v>
      </c>
      <c r="O6587">
        <v>0</v>
      </c>
      <c r="P6587">
        <v>0</v>
      </c>
      <c r="Q6587">
        <v>0</v>
      </c>
      <c r="R6587" t="s">
        <v>4655</v>
      </c>
      <c r="S6587" t="s">
        <v>4655</v>
      </c>
      <c r="T6587" t="s">
        <v>4655</v>
      </c>
      <c r="U6587" t="s">
        <v>4655</v>
      </c>
      <c r="V6587" s="2">
        <v>0</v>
      </c>
      <c r="W6587" t="s">
        <v>4655</v>
      </c>
      <c r="X6587" s="2">
        <v>0</v>
      </c>
      <c r="Y6587">
        <v>12</v>
      </c>
      <c r="Z6587" t="s">
        <v>5282</v>
      </c>
      <c r="AA6587" s="3">
        <v>1.2770202159881501</v>
      </c>
      <c r="AB6587" t="s">
        <v>31667</v>
      </c>
      <c r="AC6587" t="s">
        <v>4562</v>
      </c>
      <c r="AD6587" t="s">
        <v>31668</v>
      </c>
      <c r="AE6587" t="s">
        <v>4655</v>
      </c>
      <c r="AF6587" t="s">
        <v>2926</v>
      </c>
      <c r="AG6587" t="s">
        <v>4564</v>
      </c>
      <c r="AH6587">
        <v>89411</v>
      </c>
      <c r="AI6587" t="s">
        <v>31669</v>
      </c>
      <c r="AJ6587" t="s">
        <v>3492</v>
      </c>
      <c r="AK6587" t="s">
        <v>31670</v>
      </c>
      <c r="AL6587" s="13" t="s">
        <v>2255</v>
      </c>
      <c r="AM6587" s="14">
        <v>0</v>
      </c>
      <c r="AN6587" s="15" t="s">
        <v>780</v>
      </c>
    </row>
    <row r="6588" spans="1:40" x14ac:dyDescent="0.3">
      <c r="A6588" s="10" t="str">
        <f>HYPERLINK("http://www.washoecounty.gov/assessor/cama/?parid=502-612-05&amp;CardNumber=1","502-612-05")</f>
        <v>502-612-05</v>
      </c>
      <c r="B6588" t="s">
        <v>4655</v>
      </c>
      <c r="C6588" t="s">
        <v>31671</v>
      </c>
      <c r="D6588" s="1">
        <v>40424</v>
      </c>
      <c r="E6588" s="2">
        <v>245000</v>
      </c>
      <c r="F6588" t="s">
        <v>4553</v>
      </c>
      <c r="G6588" s="17" t="str">
        <f>HYPERLINK("https://www.washoecounty.gov/assessor/cama/?command=sales&amp;parid=50261205","3918929")</f>
        <v>3918929</v>
      </c>
      <c r="H6588" t="s">
        <v>3491</v>
      </c>
      <c r="I6588">
        <v>2006</v>
      </c>
      <c r="J6588">
        <v>2006</v>
      </c>
      <c r="K6588" t="s">
        <v>4554</v>
      </c>
      <c r="L6588" t="s">
        <v>3974</v>
      </c>
      <c r="M6588" s="2">
        <v>3137</v>
      </c>
      <c r="N6588" t="s">
        <v>3147</v>
      </c>
      <c r="O6588">
        <v>4</v>
      </c>
      <c r="P6588">
        <v>3</v>
      </c>
      <c r="Q6588">
        <v>0</v>
      </c>
      <c r="R6588" t="s">
        <v>5281</v>
      </c>
      <c r="S6588" t="s">
        <v>4898</v>
      </c>
      <c r="T6588" t="s">
        <v>2704</v>
      </c>
      <c r="U6588" t="s">
        <v>4560</v>
      </c>
      <c r="V6588" s="2">
        <v>640</v>
      </c>
      <c r="W6588" t="s">
        <v>4655</v>
      </c>
      <c r="X6588" s="2">
        <v>0</v>
      </c>
      <c r="Y6588">
        <v>20</v>
      </c>
      <c r="Z6588" t="s">
        <v>5282</v>
      </c>
      <c r="AA6588" s="3">
        <v>0.23923324048519101</v>
      </c>
      <c r="AB6588" t="s">
        <v>31672</v>
      </c>
      <c r="AC6588" t="s">
        <v>4562</v>
      </c>
      <c r="AD6588" t="s">
        <v>31673</v>
      </c>
      <c r="AE6588" t="s">
        <v>4655</v>
      </c>
      <c r="AF6588" t="s">
        <v>4563</v>
      </c>
      <c r="AG6588" t="s">
        <v>4564</v>
      </c>
      <c r="AH6588">
        <v>89506</v>
      </c>
      <c r="AI6588" t="s">
        <v>4903</v>
      </c>
      <c r="AJ6588" t="s">
        <v>3492</v>
      </c>
      <c r="AK6588" t="s">
        <v>31674</v>
      </c>
      <c r="AL6588" s="13" t="s">
        <v>2255</v>
      </c>
      <c r="AM6588" s="14">
        <v>1</v>
      </c>
      <c r="AN6588" s="15" t="s">
        <v>780</v>
      </c>
    </row>
    <row r="6589" spans="1:40" x14ac:dyDescent="0.3">
      <c r="A6589" s="10" t="str">
        <f>HYPERLINK("http://www.washoecounty.gov/assessor/cama/?parid=502-621-06&amp;CardNumber=1","502-621-06")</f>
        <v>502-621-06</v>
      </c>
      <c r="B6589" t="s">
        <v>4655</v>
      </c>
      <c r="C6589" t="s">
        <v>31675</v>
      </c>
      <c r="D6589" s="1">
        <v>40301</v>
      </c>
      <c r="E6589" s="2">
        <v>210000</v>
      </c>
      <c r="F6589" t="s">
        <v>4553</v>
      </c>
      <c r="G6589" s="17" t="str">
        <f>HYPERLINK("https://www.washoecounty.gov/assessor/cama/?command=sales&amp;parid=50262106","3877165")</f>
        <v>3877165</v>
      </c>
      <c r="H6589" t="s">
        <v>3491</v>
      </c>
      <c r="I6589">
        <v>2006</v>
      </c>
      <c r="J6589">
        <v>2006</v>
      </c>
      <c r="K6589" t="s">
        <v>4554</v>
      </c>
      <c r="L6589" t="s">
        <v>3974</v>
      </c>
      <c r="M6589" s="2">
        <v>2341</v>
      </c>
      <c r="N6589" t="s">
        <v>3147</v>
      </c>
      <c r="O6589">
        <v>5</v>
      </c>
      <c r="P6589">
        <v>3</v>
      </c>
      <c r="Q6589">
        <v>0</v>
      </c>
      <c r="R6589" t="s">
        <v>5281</v>
      </c>
      <c r="S6589" t="s">
        <v>4898</v>
      </c>
      <c r="T6589" t="s">
        <v>2704</v>
      </c>
      <c r="U6589" t="s">
        <v>4560</v>
      </c>
      <c r="V6589" s="2">
        <v>675</v>
      </c>
      <c r="W6589" t="s">
        <v>4655</v>
      </c>
      <c r="X6589" s="2">
        <v>0</v>
      </c>
      <c r="Y6589">
        <v>20</v>
      </c>
      <c r="Z6589" t="s">
        <v>5282</v>
      </c>
      <c r="AA6589" s="3">
        <v>0.35569331049919101</v>
      </c>
      <c r="AB6589" t="s">
        <v>31676</v>
      </c>
      <c r="AC6589" t="s">
        <v>4575</v>
      </c>
      <c r="AD6589" t="s">
        <v>31677</v>
      </c>
      <c r="AE6589" t="s">
        <v>4655</v>
      </c>
      <c r="AF6589" t="s">
        <v>4563</v>
      </c>
      <c r="AG6589" t="s">
        <v>4564</v>
      </c>
      <c r="AH6589">
        <v>89506</v>
      </c>
      <c r="AI6589" t="s">
        <v>4565</v>
      </c>
      <c r="AJ6589" t="s">
        <v>3492</v>
      </c>
      <c r="AK6589" t="s">
        <v>31678</v>
      </c>
      <c r="AL6589" s="13" t="s">
        <v>2255</v>
      </c>
      <c r="AM6589">
        <v>1</v>
      </c>
      <c r="AN6589" s="15" t="s">
        <v>780</v>
      </c>
    </row>
    <row r="6590" spans="1:40" x14ac:dyDescent="0.3">
      <c r="A6590" s="10" t="str">
        <f>HYPERLINK("http://www.washoecounty.gov/assessor/cama/?parid=502-621-08&amp;CardNumber=1","502-621-08")</f>
        <v>502-621-08</v>
      </c>
      <c r="B6590" t="s">
        <v>4655</v>
      </c>
      <c r="C6590" t="s">
        <v>31679</v>
      </c>
      <c r="D6590" s="1">
        <v>40359</v>
      </c>
      <c r="E6590" s="2">
        <v>180000</v>
      </c>
      <c r="F6590" t="s">
        <v>4567</v>
      </c>
      <c r="G6590" s="17" t="str">
        <f>HYPERLINK("https://www.washoecounty.gov/assessor/cama/?command=sales&amp;parid=50262108","3897126")</f>
        <v>3897126</v>
      </c>
      <c r="H6590" t="s">
        <v>3491</v>
      </c>
      <c r="I6590">
        <v>2006</v>
      </c>
      <c r="J6590">
        <v>2006</v>
      </c>
      <c r="K6590" t="s">
        <v>4554</v>
      </c>
      <c r="L6590" t="s">
        <v>4555</v>
      </c>
      <c r="M6590" s="2">
        <v>1933</v>
      </c>
      <c r="N6590" t="s">
        <v>3147</v>
      </c>
      <c r="O6590">
        <v>3</v>
      </c>
      <c r="P6590">
        <v>2</v>
      </c>
      <c r="Q6590">
        <v>0</v>
      </c>
      <c r="R6590" t="s">
        <v>5281</v>
      </c>
      <c r="S6590" t="s">
        <v>4898</v>
      </c>
      <c r="T6590" t="s">
        <v>2704</v>
      </c>
      <c r="U6590" t="s">
        <v>4560</v>
      </c>
      <c r="V6590" s="2">
        <v>474</v>
      </c>
      <c r="W6590" t="s">
        <v>4655</v>
      </c>
      <c r="X6590" s="2">
        <v>0</v>
      </c>
      <c r="Y6590">
        <v>20</v>
      </c>
      <c r="Z6590" t="s">
        <v>5282</v>
      </c>
      <c r="AA6590" s="3">
        <v>0.23650138080120101</v>
      </c>
      <c r="AB6590" t="s">
        <v>31680</v>
      </c>
      <c r="AC6590" t="s">
        <v>4562</v>
      </c>
      <c r="AD6590" t="s">
        <v>31679</v>
      </c>
      <c r="AE6590" t="s">
        <v>4655</v>
      </c>
      <c r="AF6590" t="s">
        <v>4563</v>
      </c>
      <c r="AG6590" t="s">
        <v>4564</v>
      </c>
      <c r="AH6590">
        <v>89508</v>
      </c>
      <c r="AI6590" t="s">
        <v>31681</v>
      </c>
      <c r="AJ6590" t="s">
        <v>3492</v>
      </c>
      <c r="AK6590" t="s">
        <v>31682</v>
      </c>
      <c r="AL6590" s="13" t="s">
        <v>2255</v>
      </c>
      <c r="AM6590" s="14">
        <v>1</v>
      </c>
      <c r="AN6590" s="15" t="s">
        <v>780</v>
      </c>
    </row>
    <row r="6591" spans="1:40" x14ac:dyDescent="0.3">
      <c r="A6591" s="10" t="str">
        <f>HYPERLINK("http://www.washoecounty.gov/assessor/cama/?parid=502-621-15&amp;CardNumber=1","502-621-15")</f>
        <v>502-621-15</v>
      </c>
      <c r="B6591" t="s">
        <v>4655</v>
      </c>
      <c r="C6591" t="s">
        <v>31683</v>
      </c>
      <c r="D6591" s="1">
        <v>40455</v>
      </c>
      <c r="E6591" s="2">
        <v>170000</v>
      </c>
      <c r="F6591" t="s">
        <v>4567</v>
      </c>
      <c r="G6591" s="17" t="str">
        <f>HYPERLINK("https://www.washoecounty.gov/assessor/cama/?command=sales&amp;parid=50262115","3929433")</f>
        <v>3929433</v>
      </c>
      <c r="H6591" t="s">
        <v>3491</v>
      </c>
      <c r="I6591">
        <v>2006</v>
      </c>
      <c r="J6591">
        <v>2006</v>
      </c>
      <c r="K6591" t="s">
        <v>4554</v>
      </c>
      <c r="L6591" t="s">
        <v>4555</v>
      </c>
      <c r="M6591" s="2">
        <v>1933</v>
      </c>
      <c r="N6591" t="s">
        <v>3147</v>
      </c>
      <c r="O6591">
        <v>3</v>
      </c>
      <c r="P6591">
        <v>2</v>
      </c>
      <c r="Q6591">
        <v>0</v>
      </c>
      <c r="R6591" t="s">
        <v>5281</v>
      </c>
      <c r="S6591" t="s">
        <v>4898</v>
      </c>
      <c r="T6591" t="s">
        <v>2704</v>
      </c>
      <c r="U6591" t="s">
        <v>4560</v>
      </c>
      <c r="V6591" s="2">
        <v>474</v>
      </c>
      <c r="W6591" t="s">
        <v>4655</v>
      </c>
      <c r="X6591" s="2">
        <v>0</v>
      </c>
      <c r="Y6591">
        <v>20</v>
      </c>
      <c r="Z6591" t="s">
        <v>5282</v>
      </c>
      <c r="AA6591" s="3">
        <v>0.21668961644172668</v>
      </c>
      <c r="AB6591" t="s">
        <v>31684</v>
      </c>
      <c r="AC6591" t="s">
        <v>4562</v>
      </c>
      <c r="AD6591" t="s">
        <v>31683</v>
      </c>
      <c r="AE6591" t="s">
        <v>4655</v>
      </c>
      <c r="AF6591" t="s">
        <v>4563</v>
      </c>
      <c r="AG6591" t="s">
        <v>4564</v>
      </c>
      <c r="AH6591">
        <v>89508</v>
      </c>
      <c r="AI6591" t="s">
        <v>31685</v>
      </c>
      <c r="AJ6591" t="s">
        <v>3492</v>
      </c>
      <c r="AK6591" t="s">
        <v>31686</v>
      </c>
      <c r="AL6591" s="13" t="s">
        <v>2255</v>
      </c>
      <c r="AM6591">
        <v>1</v>
      </c>
      <c r="AN6591" s="15" t="s">
        <v>780</v>
      </c>
    </row>
    <row r="6592" spans="1:40" x14ac:dyDescent="0.3">
      <c r="A6592" s="10" t="str">
        <f>HYPERLINK("http://www.washoecounty.gov/assessor/cama/?parid=502-641-01&amp;CardNumber=1","502-641-01")</f>
        <v>502-641-01</v>
      </c>
      <c r="B6592" t="s">
        <v>4655</v>
      </c>
      <c r="C6592" t="s">
        <v>31687</v>
      </c>
      <c r="D6592" s="1">
        <v>40268</v>
      </c>
      <c r="E6592" s="2">
        <v>160000</v>
      </c>
      <c r="F6592" t="s">
        <v>4567</v>
      </c>
      <c r="G6592" s="17" t="str">
        <f>HYPERLINK("https://www.washoecounty.gov/assessor/cama/?command=sales&amp;parid=50264101","3866327")</f>
        <v>3866327</v>
      </c>
      <c r="H6592" t="s">
        <v>2763</v>
      </c>
      <c r="I6592">
        <v>2006</v>
      </c>
      <c r="J6592">
        <v>2006</v>
      </c>
      <c r="K6592" t="s">
        <v>4554</v>
      </c>
      <c r="L6592" t="s">
        <v>4555</v>
      </c>
      <c r="M6592" s="2">
        <v>1703</v>
      </c>
      <c r="N6592" t="s">
        <v>5280</v>
      </c>
      <c r="O6592">
        <v>3</v>
      </c>
      <c r="P6592">
        <v>2</v>
      </c>
      <c r="Q6592">
        <v>0</v>
      </c>
      <c r="R6592" t="s">
        <v>5281</v>
      </c>
      <c r="S6592" t="s">
        <v>4558</v>
      </c>
      <c r="T6592" t="s">
        <v>4559</v>
      </c>
      <c r="U6592" t="s">
        <v>4560</v>
      </c>
      <c r="V6592" s="2">
        <v>634</v>
      </c>
      <c r="W6592" t="s">
        <v>4655</v>
      </c>
      <c r="X6592" s="2">
        <v>0</v>
      </c>
      <c r="Y6592">
        <v>20</v>
      </c>
      <c r="Z6592" t="s">
        <v>4051</v>
      </c>
      <c r="AA6592" s="3">
        <v>0.23062442243099199</v>
      </c>
      <c r="AB6592" t="s">
        <v>31688</v>
      </c>
      <c r="AC6592" t="s">
        <v>4575</v>
      </c>
      <c r="AD6592" t="s">
        <v>31689</v>
      </c>
      <c r="AE6592" t="s">
        <v>4655</v>
      </c>
      <c r="AF6592" t="s">
        <v>4563</v>
      </c>
      <c r="AG6592" t="s">
        <v>4564</v>
      </c>
      <c r="AH6592">
        <v>89506</v>
      </c>
      <c r="AI6592" t="s">
        <v>31690</v>
      </c>
      <c r="AJ6592" t="s">
        <v>2764</v>
      </c>
      <c r="AK6592" t="s">
        <v>31691</v>
      </c>
      <c r="AL6592" s="13" t="s">
        <v>2255</v>
      </c>
      <c r="AM6592">
        <v>1</v>
      </c>
      <c r="AN6592" s="15" t="s">
        <v>2765</v>
      </c>
    </row>
    <row r="6593" spans="1:40" x14ac:dyDescent="0.3">
      <c r="A6593" s="10" t="str">
        <f>HYPERLINK("http://www.washoecounty.gov/assessor/cama/?parid=502-641-04&amp;CardNumber=1","502-641-04")</f>
        <v>502-641-04</v>
      </c>
      <c r="B6593" t="s">
        <v>4655</v>
      </c>
      <c r="C6593" t="s">
        <v>31692</v>
      </c>
      <c r="D6593" s="1">
        <v>40333</v>
      </c>
      <c r="E6593" s="2">
        <v>150000</v>
      </c>
      <c r="F6593" t="s">
        <v>4567</v>
      </c>
      <c r="G6593" s="17" t="str">
        <f>HYPERLINK("https://www.washoecounty.gov/assessor/cama/?command=sales&amp;parid=50264104","3888458")</f>
        <v>3888458</v>
      </c>
      <c r="H6593" t="s">
        <v>2763</v>
      </c>
      <c r="I6593">
        <v>2006</v>
      </c>
      <c r="J6593">
        <v>2006</v>
      </c>
      <c r="K6593" t="s">
        <v>4554</v>
      </c>
      <c r="L6593" t="s">
        <v>4555</v>
      </c>
      <c r="M6593" s="2">
        <v>1703</v>
      </c>
      <c r="N6593" t="s">
        <v>5280</v>
      </c>
      <c r="O6593">
        <v>3</v>
      </c>
      <c r="P6593">
        <v>2</v>
      </c>
      <c r="Q6593">
        <v>0</v>
      </c>
      <c r="R6593" t="s">
        <v>5281</v>
      </c>
      <c r="S6593" t="s">
        <v>4558</v>
      </c>
      <c r="T6593" t="s">
        <v>4559</v>
      </c>
      <c r="U6593" t="s">
        <v>4560</v>
      </c>
      <c r="V6593" s="2">
        <v>634</v>
      </c>
      <c r="W6593" t="s">
        <v>4655</v>
      </c>
      <c r="X6593" s="2">
        <v>0</v>
      </c>
      <c r="Y6593">
        <v>20</v>
      </c>
      <c r="Z6593" t="s">
        <v>4051</v>
      </c>
      <c r="AA6593" s="3">
        <v>0.24531680345535301</v>
      </c>
      <c r="AB6593" t="s">
        <v>31693</v>
      </c>
      <c r="AC6593" t="s">
        <v>4562</v>
      </c>
      <c r="AD6593" t="s">
        <v>31694</v>
      </c>
      <c r="AE6593" t="s">
        <v>4655</v>
      </c>
      <c r="AF6593" t="s">
        <v>4563</v>
      </c>
      <c r="AG6593" t="s">
        <v>4564</v>
      </c>
      <c r="AH6593">
        <v>89506</v>
      </c>
      <c r="AI6593" t="s">
        <v>31695</v>
      </c>
      <c r="AJ6593" t="s">
        <v>2764</v>
      </c>
      <c r="AK6593" t="s">
        <v>31696</v>
      </c>
      <c r="AL6593" s="13" t="s">
        <v>2255</v>
      </c>
      <c r="AM6593">
        <v>1</v>
      </c>
      <c r="AN6593" s="15" t="s">
        <v>2765</v>
      </c>
    </row>
    <row r="6594" spans="1:40" x14ac:dyDescent="0.3">
      <c r="A6594" s="10" t="str">
        <f>HYPERLINK("http://www.washoecounty.gov/assessor/cama/?parid=502-641-06&amp;CardNumber=1","502-641-06")</f>
        <v>502-641-06</v>
      </c>
      <c r="B6594" t="s">
        <v>4655</v>
      </c>
      <c r="C6594" t="s">
        <v>31697</v>
      </c>
      <c r="D6594" s="1">
        <v>40358</v>
      </c>
      <c r="E6594" s="2">
        <v>161000</v>
      </c>
      <c r="F6594" t="s">
        <v>4567</v>
      </c>
      <c r="G6594" s="17" t="str">
        <f>HYPERLINK("https://www.washoecounty.gov/assessor/cama/?command=sales&amp;parid=50264106","3896336")</f>
        <v>3896336</v>
      </c>
      <c r="H6594" t="s">
        <v>2763</v>
      </c>
      <c r="I6594">
        <v>2006</v>
      </c>
      <c r="J6594">
        <v>2006</v>
      </c>
      <c r="K6594" t="s">
        <v>4554</v>
      </c>
      <c r="L6594" t="s">
        <v>3974</v>
      </c>
      <c r="M6594" s="2">
        <v>1824</v>
      </c>
      <c r="N6594" t="s">
        <v>5280</v>
      </c>
      <c r="O6594">
        <v>5</v>
      </c>
      <c r="P6594">
        <v>2</v>
      </c>
      <c r="Q6594">
        <v>1</v>
      </c>
      <c r="R6594" t="s">
        <v>4557</v>
      </c>
      <c r="S6594" t="s">
        <v>4898</v>
      </c>
      <c r="T6594" t="s">
        <v>2704</v>
      </c>
      <c r="U6594" t="s">
        <v>5631</v>
      </c>
      <c r="V6594" s="2">
        <v>678</v>
      </c>
      <c r="W6594" t="s">
        <v>4655</v>
      </c>
      <c r="X6594" s="2">
        <v>0</v>
      </c>
      <c r="Y6594">
        <v>20</v>
      </c>
      <c r="Z6594" t="s">
        <v>4051</v>
      </c>
      <c r="AA6594" s="3">
        <v>0.31221303343772899</v>
      </c>
      <c r="AB6594" t="s">
        <v>31698</v>
      </c>
      <c r="AC6594" t="s">
        <v>4562</v>
      </c>
      <c r="AD6594" t="s">
        <v>31697</v>
      </c>
      <c r="AE6594" t="s">
        <v>4655</v>
      </c>
      <c r="AF6594" t="s">
        <v>4563</v>
      </c>
      <c r="AG6594" t="s">
        <v>4564</v>
      </c>
      <c r="AH6594">
        <v>89506</v>
      </c>
      <c r="AI6594" t="s">
        <v>31699</v>
      </c>
      <c r="AJ6594" t="s">
        <v>2764</v>
      </c>
      <c r="AK6594" t="s">
        <v>31700</v>
      </c>
      <c r="AL6594" s="13" t="s">
        <v>2255</v>
      </c>
      <c r="AM6594">
        <v>1</v>
      </c>
      <c r="AN6594" s="15" t="s">
        <v>2765</v>
      </c>
    </row>
    <row r="6595" spans="1:40" x14ac:dyDescent="0.3">
      <c r="A6595" s="10" t="str">
        <f>HYPERLINK("http://www.washoecounty.gov/assessor/cama/?parid=502-641-07&amp;CardNumber=1","502-641-07")</f>
        <v>502-641-07</v>
      </c>
      <c r="B6595" t="s">
        <v>4655</v>
      </c>
      <c r="C6595" t="s">
        <v>31701</v>
      </c>
      <c r="D6595" s="1">
        <v>40338</v>
      </c>
      <c r="E6595" s="2">
        <v>179900</v>
      </c>
      <c r="F6595" t="s">
        <v>4567</v>
      </c>
      <c r="G6595" s="17" t="str">
        <f>HYPERLINK("https://www.washoecounty.gov/assessor/cama/?command=sales&amp;parid=50264107","3889656")</f>
        <v>3889656</v>
      </c>
      <c r="H6595" t="s">
        <v>2763</v>
      </c>
      <c r="I6595">
        <v>2009</v>
      </c>
      <c r="J6595">
        <v>2009</v>
      </c>
      <c r="K6595" t="s">
        <v>4554</v>
      </c>
      <c r="L6595" t="s">
        <v>3974</v>
      </c>
      <c r="M6595" s="2">
        <v>2200</v>
      </c>
      <c r="N6595" t="s">
        <v>5280</v>
      </c>
      <c r="O6595">
        <v>4</v>
      </c>
      <c r="P6595">
        <v>2</v>
      </c>
      <c r="Q6595">
        <v>1</v>
      </c>
      <c r="R6595" t="s">
        <v>5281</v>
      </c>
      <c r="S6595" t="s">
        <v>4898</v>
      </c>
      <c r="T6595" t="s">
        <v>4559</v>
      </c>
      <c r="U6595" t="s">
        <v>4560</v>
      </c>
      <c r="V6595" s="2">
        <v>462</v>
      </c>
      <c r="W6595" t="s">
        <v>4655</v>
      </c>
      <c r="X6595" s="2">
        <v>0</v>
      </c>
      <c r="Y6595">
        <v>20</v>
      </c>
      <c r="Z6595" t="s">
        <v>4051</v>
      </c>
      <c r="AA6595" s="3">
        <v>0.202479332685471</v>
      </c>
      <c r="AB6595" t="s">
        <v>31702</v>
      </c>
      <c r="AC6595" t="s">
        <v>4575</v>
      </c>
      <c r="AD6595" t="s">
        <v>31701</v>
      </c>
      <c r="AE6595" t="s">
        <v>4655</v>
      </c>
      <c r="AF6595" t="s">
        <v>4563</v>
      </c>
      <c r="AG6595" t="s">
        <v>4564</v>
      </c>
      <c r="AH6595">
        <v>89506</v>
      </c>
      <c r="AI6595" t="s">
        <v>12457</v>
      </c>
      <c r="AJ6595" t="s">
        <v>2764</v>
      </c>
      <c r="AK6595" t="s">
        <v>31703</v>
      </c>
      <c r="AL6595" s="13" t="s">
        <v>2255</v>
      </c>
      <c r="AM6595">
        <v>1</v>
      </c>
      <c r="AN6595" s="15" t="s">
        <v>2765</v>
      </c>
    </row>
    <row r="6596" spans="1:40" x14ac:dyDescent="0.3">
      <c r="A6596" s="10" t="str">
        <f>HYPERLINK("http://www.washoecounty.gov/assessor/cama/?parid=502-642-09&amp;CardNumber=1","502-642-09")</f>
        <v>502-642-09</v>
      </c>
      <c r="B6596" t="s">
        <v>4655</v>
      </c>
      <c r="C6596" t="s">
        <v>31704</v>
      </c>
      <c r="D6596" s="1">
        <v>40339</v>
      </c>
      <c r="E6596" s="2">
        <v>145000</v>
      </c>
      <c r="F6596" t="s">
        <v>4567</v>
      </c>
      <c r="G6596" s="17" t="str">
        <f>HYPERLINK("https://www.washoecounty.gov/assessor/cama/?command=sales&amp;parid=50264209","3889998")</f>
        <v>3889998</v>
      </c>
      <c r="H6596" t="s">
        <v>2763</v>
      </c>
      <c r="I6596">
        <v>2007</v>
      </c>
      <c r="J6596">
        <v>2007</v>
      </c>
      <c r="K6596" t="s">
        <v>4554</v>
      </c>
      <c r="L6596" t="s">
        <v>3974</v>
      </c>
      <c r="M6596" s="2">
        <v>2135</v>
      </c>
      <c r="N6596" t="s">
        <v>5280</v>
      </c>
      <c r="O6596">
        <v>4</v>
      </c>
      <c r="P6596">
        <v>2</v>
      </c>
      <c r="Q6596">
        <v>1</v>
      </c>
      <c r="R6596" t="s">
        <v>5281</v>
      </c>
      <c r="S6596" t="s">
        <v>4558</v>
      </c>
      <c r="T6596" t="s">
        <v>2704</v>
      </c>
      <c r="U6596" t="s">
        <v>5631</v>
      </c>
      <c r="V6596" s="2">
        <v>682</v>
      </c>
      <c r="W6596" t="s">
        <v>4655</v>
      </c>
      <c r="X6596" s="2">
        <v>0</v>
      </c>
      <c r="Y6596">
        <v>20</v>
      </c>
      <c r="Z6596" t="s">
        <v>4051</v>
      </c>
      <c r="AA6596" s="3">
        <v>0.226124882698059</v>
      </c>
      <c r="AB6596" t="s">
        <v>31705</v>
      </c>
      <c r="AC6596" t="s">
        <v>4562</v>
      </c>
      <c r="AD6596" t="s">
        <v>31706</v>
      </c>
      <c r="AE6596" t="s">
        <v>4655</v>
      </c>
      <c r="AF6596" t="s">
        <v>4563</v>
      </c>
      <c r="AG6596" t="s">
        <v>4564</v>
      </c>
      <c r="AH6596">
        <v>89506</v>
      </c>
      <c r="AI6596" t="s">
        <v>31707</v>
      </c>
      <c r="AJ6596" t="s">
        <v>2764</v>
      </c>
      <c r="AK6596" t="s">
        <v>31708</v>
      </c>
      <c r="AL6596" s="13" t="s">
        <v>2255</v>
      </c>
      <c r="AM6596" s="14">
        <v>1</v>
      </c>
      <c r="AN6596" s="15" t="s">
        <v>2765</v>
      </c>
    </row>
    <row r="6597" spans="1:40" x14ac:dyDescent="0.3">
      <c r="A6597" s="10" t="str">
        <f>HYPERLINK("http://www.washoecounty.gov/assessor/cama/?parid=502-673-10&amp;CardNumber=1","502-673-10")</f>
        <v>502-673-10</v>
      </c>
      <c r="B6597" t="s">
        <v>4655</v>
      </c>
      <c r="C6597" t="s">
        <v>31709</v>
      </c>
      <c r="D6597" s="1">
        <v>40459</v>
      </c>
      <c r="E6597" s="2">
        <v>168000</v>
      </c>
      <c r="F6597" t="s">
        <v>4567</v>
      </c>
      <c r="G6597" s="17" t="str">
        <f>HYPERLINK("https://www.washoecounty.gov/assessor/cama/?command=sales&amp;parid=50267310","3931281")</f>
        <v>3931281</v>
      </c>
      <c r="H6597" t="s">
        <v>478</v>
      </c>
      <c r="I6597">
        <v>2007</v>
      </c>
      <c r="J6597">
        <v>2007</v>
      </c>
      <c r="K6597" t="s">
        <v>4554</v>
      </c>
      <c r="L6597" t="s">
        <v>4555</v>
      </c>
      <c r="M6597" s="2">
        <v>1697</v>
      </c>
      <c r="N6597" t="s">
        <v>3147</v>
      </c>
      <c r="O6597">
        <v>3</v>
      </c>
      <c r="P6597">
        <v>2</v>
      </c>
      <c r="Q6597">
        <v>0</v>
      </c>
      <c r="R6597" t="s">
        <v>5281</v>
      </c>
      <c r="S6597" t="s">
        <v>4898</v>
      </c>
      <c r="T6597" t="s">
        <v>2704</v>
      </c>
      <c r="U6597" t="s">
        <v>4560</v>
      </c>
      <c r="V6597" s="2">
        <v>454</v>
      </c>
      <c r="W6597" t="s">
        <v>4655</v>
      </c>
      <c r="X6597" s="2">
        <v>0</v>
      </c>
      <c r="Y6597">
        <v>20</v>
      </c>
      <c r="Z6597" t="s">
        <v>4561</v>
      </c>
      <c r="AA6597" s="3">
        <v>0.18744260072708099</v>
      </c>
      <c r="AB6597" t="s">
        <v>31710</v>
      </c>
      <c r="AC6597" t="s">
        <v>4562</v>
      </c>
      <c r="AD6597" t="s">
        <v>31709</v>
      </c>
      <c r="AE6597" t="s">
        <v>4655</v>
      </c>
      <c r="AF6597" t="s">
        <v>4563</v>
      </c>
      <c r="AG6597" t="s">
        <v>4564</v>
      </c>
      <c r="AH6597">
        <v>89506</v>
      </c>
      <c r="AI6597" t="s">
        <v>31711</v>
      </c>
      <c r="AJ6597" t="s">
        <v>479</v>
      </c>
      <c r="AK6597" t="s">
        <v>31712</v>
      </c>
      <c r="AL6597" s="13" t="s">
        <v>2255</v>
      </c>
      <c r="AM6597" s="14">
        <v>1</v>
      </c>
      <c r="AN6597" s="15" t="s">
        <v>780</v>
      </c>
    </row>
    <row r="6598" spans="1:40" x14ac:dyDescent="0.3">
      <c r="A6598" s="10" t="str">
        <f>HYPERLINK("http://www.washoecounty.gov/assessor/cama/?parid=502-682-01&amp;CardNumber=1","502-682-01")</f>
        <v>502-682-01</v>
      </c>
      <c r="B6598" t="s">
        <v>4655</v>
      </c>
      <c r="C6598" t="s">
        <v>31713</v>
      </c>
      <c r="D6598" s="1">
        <v>40358</v>
      </c>
      <c r="E6598" s="2">
        <v>160000</v>
      </c>
      <c r="F6598" t="s">
        <v>4567</v>
      </c>
      <c r="G6598" s="17" t="str">
        <f>HYPERLINK("https://www.washoecounty.gov/assessor/cama/?command=sales&amp;parid=50268201","3896741")</f>
        <v>3896741</v>
      </c>
      <c r="H6598" t="s">
        <v>478</v>
      </c>
      <c r="I6598">
        <v>2007</v>
      </c>
      <c r="J6598">
        <v>2007</v>
      </c>
      <c r="K6598" t="s">
        <v>4554</v>
      </c>
      <c r="L6598" t="s">
        <v>4555</v>
      </c>
      <c r="M6598" s="2">
        <v>1697</v>
      </c>
      <c r="N6598" t="s">
        <v>3147</v>
      </c>
      <c r="O6598">
        <v>3</v>
      </c>
      <c r="P6598">
        <v>2</v>
      </c>
      <c r="Q6598">
        <v>0</v>
      </c>
      <c r="R6598" t="s">
        <v>5281</v>
      </c>
      <c r="S6598" t="s">
        <v>4898</v>
      </c>
      <c r="T6598" t="s">
        <v>2704</v>
      </c>
      <c r="U6598" t="s">
        <v>4560</v>
      </c>
      <c r="V6598" s="2">
        <v>454</v>
      </c>
      <c r="W6598" t="s">
        <v>4655</v>
      </c>
      <c r="X6598" s="2">
        <v>0</v>
      </c>
      <c r="Y6598">
        <v>20</v>
      </c>
      <c r="Z6598" t="s">
        <v>4561</v>
      </c>
      <c r="AA6598" s="3">
        <v>0.23370064795017201</v>
      </c>
      <c r="AB6598" t="s">
        <v>31714</v>
      </c>
      <c r="AC6598" t="s">
        <v>4575</v>
      </c>
      <c r="AD6598" t="s">
        <v>31715</v>
      </c>
      <c r="AE6598" t="s">
        <v>31713</v>
      </c>
      <c r="AF6598" t="s">
        <v>4563</v>
      </c>
      <c r="AG6598" t="s">
        <v>4564</v>
      </c>
      <c r="AH6598">
        <v>89506</v>
      </c>
      <c r="AI6598" t="s">
        <v>31716</v>
      </c>
      <c r="AJ6598" t="s">
        <v>479</v>
      </c>
      <c r="AK6598" t="s">
        <v>31717</v>
      </c>
      <c r="AL6598" s="13" t="s">
        <v>2255</v>
      </c>
      <c r="AM6598">
        <v>1</v>
      </c>
      <c r="AN6598" s="15" t="s">
        <v>780</v>
      </c>
    </row>
    <row r="6599" spans="1:40" x14ac:dyDescent="0.3">
      <c r="A6599" s="10" t="str">
        <f>HYPERLINK("http://www.washoecounty.gov/assessor/cama/?parid=504-020-27&amp;CardNumber=1","504-020-27")</f>
        <v>504-020-27</v>
      </c>
      <c r="B6599" t="s">
        <v>4655</v>
      </c>
      <c r="C6599" t="s">
        <v>31718</v>
      </c>
      <c r="D6599" s="1">
        <v>40296</v>
      </c>
      <c r="E6599" s="2">
        <v>80500</v>
      </c>
      <c r="F6599" t="s">
        <v>4567</v>
      </c>
      <c r="G6599" s="17" t="str">
        <f>HYPERLINK("https://www.washoecounty.gov/assessor/cama/?command=sales&amp;parid=50402027","3875855")</f>
        <v>3875855</v>
      </c>
      <c r="H6599" t="s">
        <v>3931</v>
      </c>
      <c r="I6599">
        <v>1999</v>
      </c>
      <c r="J6599">
        <v>1999</v>
      </c>
      <c r="K6599" t="s">
        <v>4847</v>
      </c>
      <c r="L6599" t="s">
        <v>4555</v>
      </c>
      <c r="M6599" s="2">
        <v>1434</v>
      </c>
      <c r="N6599" t="s">
        <v>5280</v>
      </c>
      <c r="O6599">
        <v>3</v>
      </c>
      <c r="P6599">
        <v>2</v>
      </c>
      <c r="Q6599">
        <v>0</v>
      </c>
      <c r="R6599" t="s">
        <v>4557</v>
      </c>
      <c r="S6599" t="s">
        <v>4558</v>
      </c>
      <c r="T6599" t="s">
        <v>4559</v>
      </c>
      <c r="U6599" t="s">
        <v>4655</v>
      </c>
      <c r="V6599" s="2">
        <v>0</v>
      </c>
      <c r="W6599" t="s">
        <v>4655</v>
      </c>
      <c r="X6599" s="2">
        <v>0</v>
      </c>
      <c r="Y6599">
        <v>23</v>
      </c>
      <c r="Z6599" t="s">
        <v>5508</v>
      </c>
      <c r="AA6599" s="3">
        <v>0.46200641989707902</v>
      </c>
      <c r="AB6599" t="s">
        <v>31719</v>
      </c>
      <c r="AC6599" t="s">
        <v>4562</v>
      </c>
      <c r="AD6599" t="s">
        <v>31718</v>
      </c>
      <c r="AE6599" t="s">
        <v>4655</v>
      </c>
      <c r="AF6599" t="s">
        <v>1600</v>
      </c>
      <c r="AG6599" t="s">
        <v>4564</v>
      </c>
      <c r="AH6599" t="s">
        <v>1601</v>
      </c>
      <c r="AI6599" t="s">
        <v>31720</v>
      </c>
      <c r="AJ6599" t="s">
        <v>31721</v>
      </c>
      <c r="AK6599" t="s">
        <v>31722</v>
      </c>
      <c r="AL6599" s="13" t="s">
        <v>1898</v>
      </c>
      <c r="AM6599">
        <v>1</v>
      </c>
      <c r="AN6599" s="15" t="s">
        <v>2528</v>
      </c>
    </row>
    <row r="6600" spans="1:40" x14ac:dyDescent="0.3">
      <c r="A6600" s="10" t="str">
        <f>HYPERLINK("http://www.washoecounty.gov/assessor/cama/?parid=504-052-07&amp;CardNumber=1","504-052-07")</f>
        <v>504-052-07</v>
      </c>
      <c r="B6600" t="s">
        <v>4655</v>
      </c>
      <c r="C6600" t="s">
        <v>31723</v>
      </c>
      <c r="D6600" s="1">
        <v>40235</v>
      </c>
      <c r="E6600" s="2">
        <v>90000</v>
      </c>
      <c r="F6600" t="s">
        <v>4567</v>
      </c>
      <c r="G6600" s="17" t="str">
        <f>HYPERLINK("https://www.washoecounty.gov/assessor/cama/?command=sales&amp;parid=50405207","3853202")</f>
        <v>3853202</v>
      </c>
      <c r="H6600" t="s">
        <v>31724</v>
      </c>
      <c r="I6600">
        <v>1979</v>
      </c>
      <c r="J6600">
        <v>1979</v>
      </c>
      <c r="K6600" t="s">
        <v>4847</v>
      </c>
      <c r="L6600" t="s">
        <v>4555</v>
      </c>
      <c r="M6600" s="2">
        <v>1772</v>
      </c>
      <c r="N6600" t="s">
        <v>5280</v>
      </c>
      <c r="O6600">
        <v>3</v>
      </c>
      <c r="P6600">
        <v>2</v>
      </c>
      <c r="Q6600">
        <v>0</v>
      </c>
      <c r="R6600" t="s">
        <v>5281</v>
      </c>
      <c r="S6600" t="s">
        <v>4558</v>
      </c>
      <c r="T6600" t="s">
        <v>4559</v>
      </c>
      <c r="U6600" t="s">
        <v>4655</v>
      </c>
      <c r="V6600" s="2">
        <v>0</v>
      </c>
      <c r="W6600" t="s">
        <v>4655</v>
      </c>
      <c r="X6600" s="2">
        <v>0</v>
      </c>
      <c r="Y6600">
        <v>22</v>
      </c>
      <c r="Z6600" t="s">
        <v>5508</v>
      </c>
      <c r="AA6600" s="3">
        <v>0.38099172711372398</v>
      </c>
      <c r="AB6600" t="s">
        <v>31725</v>
      </c>
      <c r="AC6600" t="s">
        <v>4575</v>
      </c>
      <c r="AD6600" t="s">
        <v>31726</v>
      </c>
      <c r="AE6600" t="s">
        <v>4655</v>
      </c>
      <c r="AF6600" t="s">
        <v>3114</v>
      </c>
      <c r="AG6600" t="s">
        <v>4564</v>
      </c>
      <c r="AH6600">
        <v>89512</v>
      </c>
      <c r="AI6600" t="s">
        <v>31727</v>
      </c>
      <c r="AJ6600" t="s">
        <v>31728</v>
      </c>
      <c r="AK6600" t="s">
        <v>31729</v>
      </c>
      <c r="AL6600" s="13" t="s">
        <v>1898</v>
      </c>
      <c r="AM6600">
        <v>1</v>
      </c>
      <c r="AN6600" s="15" t="s">
        <v>2528</v>
      </c>
    </row>
    <row r="6601" spans="1:40" x14ac:dyDescent="0.3">
      <c r="A6601" s="10" t="str">
        <f>HYPERLINK("http://www.washoecounty.gov/assessor/cama/?parid=504-052-15&amp;CardNumber=1","504-052-15")</f>
        <v>504-052-15</v>
      </c>
      <c r="B6601" t="s">
        <v>4655</v>
      </c>
      <c r="C6601" t="s">
        <v>31730</v>
      </c>
      <c r="D6601" s="1">
        <v>40403</v>
      </c>
      <c r="E6601" s="2">
        <v>46000</v>
      </c>
      <c r="F6601" t="s">
        <v>4553</v>
      </c>
      <c r="G6601" s="17" t="str">
        <f>HYPERLINK("https://www.washoecounty.gov/assessor/cama/?command=sales&amp;parid=50405215","3911886")</f>
        <v>3911886</v>
      </c>
      <c r="H6601" t="s">
        <v>948</v>
      </c>
      <c r="I6601">
        <v>1984</v>
      </c>
      <c r="J6601">
        <v>1984</v>
      </c>
      <c r="K6601" t="s">
        <v>4847</v>
      </c>
      <c r="L6601" t="s">
        <v>4555</v>
      </c>
      <c r="M6601" s="2">
        <v>1344</v>
      </c>
      <c r="N6601" t="s">
        <v>4133</v>
      </c>
      <c r="O6601">
        <v>3</v>
      </c>
      <c r="P6601">
        <v>2</v>
      </c>
      <c r="Q6601">
        <v>0</v>
      </c>
      <c r="R6601" t="s">
        <v>4557</v>
      </c>
      <c r="S6601" t="s">
        <v>4558</v>
      </c>
      <c r="T6601" t="s">
        <v>4559</v>
      </c>
      <c r="U6601" t="s">
        <v>4655</v>
      </c>
      <c r="V6601" s="2">
        <v>0</v>
      </c>
      <c r="W6601" t="s">
        <v>4655</v>
      </c>
      <c r="X6601" s="2">
        <v>0</v>
      </c>
      <c r="Y6601">
        <v>22</v>
      </c>
      <c r="Z6601" t="s">
        <v>5508</v>
      </c>
      <c r="AA6601" s="3">
        <v>0.36299356818199158</v>
      </c>
      <c r="AB6601" t="s">
        <v>31731</v>
      </c>
      <c r="AC6601" t="s">
        <v>4575</v>
      </c>
      <c r="AD6601" t="s">
        <v>31732</v>
      </c>
      <c r="AE6601" t="s">
        <v>4655</v>
      </c>
      <c r="AF6601" t="s">
        <v>1600</v>
      </c>
      <c r="AG6601" t="s">
        <v>4564</v>
      </c>
      <c r="AH6601" t="s">
        <v>1601</v>
      </c>
      <c r="AI6601" t="s">
        <v>4655</v>
      </c>
      <c r="AJ6601" t="s">
        <v>31733</v>
      </c>
      <c r="AK6601" t="s">
        <v>31734</v>
      </c>
      <c r="AL6601" s="13" t="s">
        <v>1898</v>
      </c>
      <c r="AM6601" s="14">
        <v>1</v>
      </c>
      <c r="AN6601" s="15" t="s">
        <v>2528</v>
      </c>
    </row>
    <row r="6602" spans="1:40" x14ac:dyDescent="0.3">
      <c r="A6602" s="10" t="str">
        <f>HYPERLINK("http://www.washoecounty.gov/assessor/cama/?parid=504-460-02&amp;CardNumber=1","504-460-02")</f>
        <v>504-460-02</v>
      </c>
      <c r="B6602" t="s">
        <v>4655</v>
      </c>
      <c r="C6602" t="s">
        <v>31735</v>
      </c>
      <c r="D6602" s="1">
        <v>40541</v>
      </c>
      <c r="E6602" s="2">
        <v>200000</v>
      </c>
      <c r="F6602" t="s">
        <v>3528</v>
      </c>
      <c r="G6602" s="17" t="str">
        <f>HYPERLINK("https://www.washoecounty.gov/assessor/cama/?command=sales&amp;parid=50446002","3958589")</f>
        <v>3958589</v>
      </c>
      <c r="H6602" t="s">
        <v>669</v>
      </c>
      <c r="I6602">
        <v>0</v>
      </c>
      <c r="J6602">
        <v>0</v>
      </c>
      <c r="K6602" t="s">
        <v>4655</v>
      </c>
      <c r="L6602" t="s">
        <v>4655</v>
      </c>
      <c r="M6602" s="2">
        <v>0</v>
      </c>
      <c r="N6602" t="s">
        <v>4655</v>
      </c>
      <c r="O6602">
        <v>0</v>
      </c>
      <c r="P6602">
        <v>0</v>
      </c>
      <c r="Q6602">
        <v>0</v>
      </c>
      <c r="R6602" t="s">
        <v>4655</v>
      </c>
      <c r="S6602" t="s">
        <v>4655</v>
      </c>
      <c r="T6602" t="s">
        <v>4655</v>
      </c>
      <c r="U6602" t="s">
        <v>4655</v>
      </c>
      <c r="V6602" s="2">
        <v>0</v>
      </c>
      <c r="W6602" t="s">
        <v>4655</v>
      </c>
      <c r="X6602" s="2">
        <v>0</v>
      </c>
      <c r="Y6602">
        <v>11</v>
      </c>
      <c r="Z6602" t="s">
        <v>4051</v>
      </c>
      <c r="AA6602" s="3">
        <v>36.969001770019503</v>
      </c>
      <c r="AB6602" t="s">
        <v>31736</v>
      </c>
      <c r="AC6602" t="s">
        <v>4562</v>
      </c>
      <c r="AD6602" t="s">
        <v>31737</v>
      </c>
      <c r="AE6602" t="s">
        <v>4655</v>
      </c>
      <c r="AF6602" t="s">
        <v>1812</v>
      </c>
      <c r="AG6602" t="s">
        <v>4584</v>
      </c>
      <c r="AH6602" t="s">
        <v>15737</v>
      </c>
      <c r="AI6602" t="s">
        <v>1398</v>
      </c>
      <c r="AJ6602" t="s">
        <v>670</v>
      </c>
      <c r="AK6602" t="s">
        <v>31738</v>
      </c>
      <c r="AL6602" s="13" t="s">
        <v>1898</v>
      </c>
      <c r="AM6602">
        <v>0</v>
      </c>
      <c r="AN6602" s="15" t="s">
        <v>1598</v>
      </c>
    </row>
    <row r="6603" spans="1:40" x14ac:dyDescent="0.3">
      <c r="A6603" s="10" t="str">
        <f>HYPERLINK("http://www.washoecounty.gov/assessor/cama/?parid=504-471-08&amp;CardNumber=1","504-471-08")</f>
        <v>504-471-08</v>
      </c>
      <c r="B6603" t="s">
        <v>4655</v>
      </c>
      <c r="C6603" t="s">
        <v>31739</v>
      </c>
      <c r="D6603" s="1">
        <v>40273</v>
      </c>
      <c r="E6603" s="2">
        <v>150000</v>
      </c>
      <c r="F6603" t="s">
        <v>4567</v>
      </c>
      <c r="G6603" s="17" t="str">
        <f>HYPERLINK("https://www.washoecounty.gov/assessor/cama/?command=sales&amp;parid=50447108","3867815")</f>
        <v>3867815</v>
      </c>
      <c r="H6603" t="s">
        <v>1882</v>
      </c>
      <c r="I6603">
        <v>2006</v>
      </c>
      <c r="J6603">
        <v>2006</v>
      </c>
      <c r="K6603" t="s">
        <v>4554</v>
      </c>
      <c r="L6603" t="s">
        <v>4555</v>
      </c>
      <c r="M6603" s="2">
        <v>1460</v>
      </c>
      <c r="N6603" t="s">
        <v>4048</v>
      </c>
      <c r="O6603">
        <v>3</v>
      </c>
      <c r="P6603">
        <v>2</v>
      </c>
      <c r="Q6603">
        <v>0</v>
      </c>
      <c r="R6603" t="s">
        <v>5281</v>
      </c>
      <c r="S6603" t="s">
        <v>4898</v>
      </c>
      <c r="T6603" t="s">
        <v>4559</v>
      </c>
      <c r="U6603" t="s">
        <v>4560</v>
      </c>
      <c r="V6603" s="2">
        <v>660</v>
      </c>
      <c r="W6603" t="s">
        <v>4655</v>
      </c>
      <c r="X6603" s="2">
        <v>0</v>
      </c>
      <c r="Y6603">
        <v>20</v>
      </c>
      <c r="Z6603" t="s">
        <v>5508</v>
      </c>
      <c r="AA6603" s="3">
        <v>0.21790634095668801</v>
      </c>
      <c r="AB6603" t="s">
        <v>31740</v>
      </c>
      <c r="AC6603" t="s">
        <v>4562</v>
      </c>
      <c r="AD6603" t="s">
        <v>31739</v>
      </c>
      <c r="AE6603" t="s">
        <v>4655</v>
      </c>
      <c r="AF6603" t="s">
        <v>1600</v>
      </c>
      <c r="AG6603" t="s">
        <v>4564</v>
      </c>
      <c r="AH6603" t="s">
        <v>1601</v>
      </c>
      <c r="AI6603" t="s">
        <v>648</v>
      </c>
      <c r="AJ6603" t="s">
        <v>649</v>
      </c>
      <c r="AK6603" t="s">
        <v>31741</v>
      </c>
      <c r="AL6603" s="13" t="s">
        <v>1898</v>
      </c>
      <c r="AM6603" s="14">
        <v>1</v>
      </c>
      <c r="AN6603" s="15" t="s">
        <v>1598</v>
      </c>
    </row>
    <row r="6604" spans="1:40" x14ac:dyDescent="0.3">
      <c r="A6604" s="10" t="str">
        <f>HYPERLINK("http://www.washoecounty.gov/assessor/cama/?parid=504-471-09&amp;CardNumber=1","504-471-09")</f>
        <v>504-471-09</v>
      </c>
      <c r="B6604" t="s">
        <v>4655</v>
      </c>
      <c r="C6604" t="s">
        <v>31742</v>
      </c>
      <c r="D6604" s="1">
        <v>40284</v>
      </c>
      <c r="E6604" s="2">
        <v>164000</v>
      </c>
      <c r="F6604" t="s">
        <v>4567</v>
      </c>
      <c r="G6604" s="17" t="str">
        <f>HYPERLINK("https://www.washoecounty.gov/assessor/cama/?command=sales&amp;parid=50447109","3872042")</f>
        <v>3872042</v>
      </c>
      <c r="H6604" t="s">
        <v>1882</v>
      </c>
      <c r="I6604">
        <v>2006</v>
      </c>
      <c r="J6604">
        <v>2006</v>
      </c>
      <c r="K6604" t="s">
        <v>4554</v>
      </c>
      <c r="L6604" t="s">
        <v>4555</v>
      </c>
      <c r="M6604" s="2">
        <v>1657</v>
      </c>
      <c r="N6604" t="s">
        <v>4048</v>
      </c>
      <c r="O6604">
        <v>3</v>
      </c>
      <c r="P6604">
        <v>2</v>
      </c>
      <c r="Q6604">
        <v>0</v>
      </c>
      <c r="R6604" t="s">
        <v>5281</v>
      </c>
      <c r="S6604" t="s">
        <v>4898</v>
      </c>
      <c r="T6604" t="s">
        <v>4559</v>
      </c>
      <c r="U6604" t="s">
        <v>4560</v>
      </c>
      <c r="V6604" s="2">
        <v>440</v>
      </c>
      <c r="W6604" t="s">
        <v>4655</v>
      </c>
      <c r="X6604" s="2">
        <v>0</v>
      </c>
      <c r="Y6604">
        <v>20</v>
      </c>
      <c r="Z6604" t="s">
        <v>5508</v>
      </c>
      <c r="AA6604" s="3">
        <v>0.17217630147933999</v>
      </c>
      <c r="AB6604" t="s">
        <v>31743</v>
      </c>
      <c r="AC6604" t="s">
        <v>4562</v>
      </c>
      <c r="AD6604" t="s">
        <v>31744</v>
      </c>
      <c r="AE6604" t="s">
        <v>4655</v>
      </c>
      <c r="AF6604" t="s">
        <v>1570</v>
      </c>
      <c r="AG6604" t="s">
        <v>4564</v>
      </c>
      <c r="AH6604" t="s">
        <v>1601</v>
      </c>
      <c r="AI6604" t="s">
        <v>648</v>
      </c>
      <c r="AJ6604" t="s">
        <v>649</v>
      </c>
      <c r="AK6604" t="s">
        <v>31745</v>
      </c>
      <c r="AL6604" s="13" t="s">
        <v>1898</v>
      </c>
      <c r="AM6604" s="14">
        <v>1</v>
      </c>
      <c r="AN6604" s="15" t="s">
        <v>1598</v>
      </c>
    </row>
    <row r="6605" spans="1:40" x14ac:dyDescent="0.3">
      <c r="A6605" s="10" t="str">
        <f>HYPERLINK("http://www.washoecounty.gov/assessor/cama/?parid=504-471-10&amp;CardNumber=1","504-471-10")</f>
        <v>504-471-10</v>
      </c>
      <c r="B6605" t="s">
        <v>4655</v>
      </c>
      <c r="C6605" t="s">
        <v>31746</v>
      </c>
      <c r="D6605" s="1">
        <v>40268</v>
      </c>
      <c r="E6605" s="2">
        <v>174000</v>
      </c>
      <c r="F6605" t="s">
        <v>4567</v>
      </c>
      <c r="G6605" s="17" t="str">
        <f>HYPERLINK("https://www.washoecounty.gov/assessor/cama/?command=sales&amp;parid=50447110","3866624")</f>
        <v>3866624</v>
      </c>
      <c r="H6605" t="s">
        <v>1882</v>
      </c>
      <c r="I6605">
        <v>2006</v>
      </c>
      <c r="J6605">
        <v>2006</v>
      </c>
      <c r="K6605" t="s">
        <v>4554</v>
      </c>
      <c r="L6605" t="s">
        <v>4555</v>
      </c>
      <c r="M6605" s="2">
        <v>1850</v>
      </c>
      <c r="N6605" t="s">
        <v>4048</v>
      </c>
      <c r="O6605">
        <v>4</v>
      </c>
      <c r="P6605">
        <v>2</v>
      </c>
      <c r="Q6605">
        <v>0</v>
      </c>
      <c r="R6605" t="s">
        <v>5281</v>
      </c>
      <c r="S6605" t="s">
        <v>4898</v>
      </c>
      <c r="T6605" t="s">
        <v>4559</v>
      </c>
      <c r="U6605" t="s">
        <v>4560</v>
      </c>
      <c r="V6605" s="2">
        <v>498</v>
      </c>
      <c r="W6605" t="s">
        <v>4655</v>
      </c>
      <c r="X6605" s="2">
        <v>0</v>
      </c>
      <c r="Y6605">
        <v>20</v>
      </c>
      <c r="Z6605" t="s">
        <v>5508</v>
      </c>
      <c r="AA6605" s="3">
        <v>0.17217630147933999</v>
      </c>
      <c r="AB6605" t="s">
        <v>31747</v>
      </c>
      <c r="AC6605" t="s">
        <v>4575</v>
      </c>
      <c r="AD6605" t="s">
        <v>31748</v>
      </c>
      <c r="AE6605" t="s">
        <v>4655</v>
      </c>
      <c r="AF6605" t="s">
        <v>1600</v>
      </c>
      <c r="AG6605" t="s">
        <v>4564</v>
      </c>
      <c r="AH6605" t="s">
        <v>1601</v>
      </c>
      <c r="AI6605" t="s">
        <v>31749</v>
      </c>
      <c r="AJ6605" t="s">
        <v>649</v>
      </c>
      <c r="AK6605" t="s">
        <v>31750</v>
      </c>
      <c r="AL6605" s="13" t="s">
        <v>1898</v>
      </c>
      <c r="AM6605">
        <v>1</v>
      </c>
      <c r="AN6605" s="15" t="s">
        <v>1598</v>
      </c>
    </row>
    <row r="6606" spans="1:40" x14ac:dyDescent="0.3">
      <c r="A6606" s="10" t="str">
        <f>HYPERLINK("http://www.washoecounty.gov/assessor/cama/?parid=504-471-12&amp;CardNumber=1","504-471-12")</f>
        <v>504-471-12</v>
      </c>
      <c r="B6606" t="s">
        <v>4655</v>
      </c>
      <c r="C6606" t="s">
        <v>31751</v>
      </c>
      <c r="D6606" s="1">
        <v>40379</v>
      </c>
      <c r="E6606" s="2">
        <v>266000</v>
      </c>
      <c r="F6606" t="s">
        <v>3174</v>
      </c>
      <c r="G6606" s="17" t="str">
        <f>HYPERLINK("https://www.washoecounty.gov/assessor/cama/?command=sales&amp;parid=50447112","3903047")</f>
        <v>3903047</v>
      </c>
      <c r="H6606" t="s">
        <v>1882</v>
      </c>
      <c r="I6606">
        <v>2010</v>
      </c>
      <c r="J6606">
        <v>2010</v>
      </c>
      <c r="K6606" t="s">
        <v>4554</v>
      </c>
      <c r="L6606" t="s">
        <v>4555</v>
      </c>
      <c r="M6606" s="2">
        <v>1540</v>
      </c>
      <c r="N6606" t="s">
        <v>4048</v>
      </c>
      <c r="O6606">
        <v>3</v>
      </c>
      <c r="P6606">
        <v>2</v>
      </c>
      <c r="Q6606">
        <v>0</v>
      </c>
      <c r="R6606" t="s">
        <v>5281</v>
      </c>
      <c r="S6606" t="s">
        <v>4898</v>
      </c>
      <c r="T6606" t="s">
        <v>4559</v>
      </c>
      <c r="U6606" t="s">
        <v>4560</v>
      </c>
      <c r="V6606" s="2">
        <v>672</v>
      </c>
      <c r="W6606" t="s">
        <v>4655</v>
      </c>
      <c r="X6606" s="2">
        <v>0</v>
      </c>
      <c r="Y6606">
        <v>12</v>
      </c>
      <c r="Z6606" t="s">
        <v>5508</v>
      </c>
      <c r="AA6606" s="3">
        <v>0.194077134132385</v>
      </c>
      <c r="AB6606" t="s">
        <v>3966</v>
      </c>
      <c r="AC6606" t="s">
        <v>4562</v>
      </c>
      <c r="AD6606" t="s">
        <v>31752</v>
      </c>
      <c r="AE6606" t="s">
        <v>31753</v>
      </c>
      <c r="AF6606" t="s">
        <v>9701</v>
      </c>
      <c r="AG6606" t="s">
        <v>4584</v>
      </c>
      <c r="AH6606">
        <v>95207</v>
      </c>
      <c r="AI6606" t="s">
        <v>31754</v>
      </c>
      <c r="AJ6606" t="s">
        <v>649</v>
      </c>
      <c r="AK6606" t="s">
        <v>31755</v>
      </c>
      <c r="AL6606" s="13" t="s">
        <v>1898</v>
      </c>
      <c r="AM6606" s="14">
        <v>1</v>
      </c>
      <c r="AN6606" s="15" t="s">
        <v>1598</v>
      </c>
    </row>
    <row r="6607" spans="1:40" x14ac:dyDescent="0.3">
      <c r="A6607" s="10" t="str">
        <f>HYPERLINK("http://www.washoecounty.gov/assessor/cama/?parid=504-471-13&amp;CardNumber=1","504-471-13")</f>
        <v>504-471-13</v>
      </c>
      <c r="B6607" t="s">
        <v>4655</v>
      </c>
      <c r="C6607" t="s">
        <v>31756</v>
      </c>
      <c r="D6607" s="1">
        <v>40379</v>
      </c>
      <c r="E6607" s="2">
        <v>266000</v>
      </c>
      <c r="F6607" t="s">
        <v>3174</v>
      </c>
      <c r="G6607" s="17" t="str">
        <f>HYPERLINK("https://www.washoecounty.gov/assessor/cama/?command=sales&amp;parid=50447113","3903047")</f>
        <v>3903047</v>
      </c>
      <c r="H6607" t="s">
        <v>1882</v>
      </c>
      <c r="I6607">
        <v>2010</v>
      </c>
      <c r="J6607">
        <v>2010</v>
      </c>
      <c r="K6607" t="s">
        <v>4554</v>
      </c>
      <c r="L6607" t="s">
        <v>4555</v>
      </c>
      <c r="M6607" s="2">
        <v>1796</v>
      </c>
      <c r="N6607" t="s">
        <v>4048</v>
      </c>
      <c r="O6607">
        <v>4</v>
      </c>
      <c r="P6607">
        <v>2</v>
      </c>
      <c r="Q6607">
        <v>0</v>
      </c>
      <c r="R6607" t="s">
        <v>5281</v>
      </c>
      <c r="S6607" t="s">
        <v>4898</v>
      </c>
      <c r="T6607" t="s">
        <v>4559</v>
      </c>
      <c r="U6607" t="s">
        <v>4560</v>
      </c>
      <c r="V6607" s="2">
        <v>420</v>
      </c>
      <c r="W6607" t="s">
        <v>4655</v>
      </c>
      <c r="X6607" s="2">
        <v>0</v>
      </c>
      <c r="Y6607">
        <v>12</v>
      </c>
      <c r="Z6607" t="s">
        <v>5508</v>
      </c>
      <c r="AA6607" s="3">
        <v>0.19219467043876601</v>
      </c>
      <c r="AB6607" t="s">
        <v>3966</v>
      </c>
      <c r="AC6607" t="s">
        <v>4562</v>
      </c>
      <c r="AD6607" t="s">
        <v>31752</v>
      </c>
      <c r="AE6607" t="s">
        <v>31753</v>
      </c>
      <c r="AF6607" t="s">
        <v>9701</v>
      </c>
      <c r="AG6607" t="s">
        <v>4584</v>
      </c>
      <c r="AH6607">
        <v>95207</v>
      </c>
      <c r="AI6607" t="s">
        <v>31754</v>
      </c>
      <c r="AJ6607" t="s">
        <v>649</v>
      </c>
      <c r="AK6607" t="s">
        <v>31757</v>
      </c>
      <c r="AL6607" s="13" t="s">
        <v>1898</v>
      </c>
      <c r="AM6607">
        <v>1</v>
      </c>
      <c r="AN6607" s="15" t="s">
        <v>1598</v>
      </c>
    </row>
    <row r="6608" spans="1:40" x14ac:dyDescent="0.3">
      <c r="A6608" s="10" t="str">
        <f>HYPERLINK("http://www.washoecounty.gov/assessor/cama/?parid=504-472-05&amp;CardNumber=1","504-472-05")</f>
        <v>504-472-05</v>
      </c>
      <c r="B6608" t="s">
        <v>4655</v>
      </c>
      <c r="C6608" t="s">
        <v>3505</v>
      </c>
      <c r="D6608" s="1">
        <v>40379</v>
      </c>
      <c r="E6608" s="2">
        <v>266000</v>
      </c>
      <c r="F6608" t="s">
        <v>3174</v>
      </c>
      <c r="G6608" s="17" t="str">
        <f>HYPERLINK("https://www.washoecounty.gov/assessor/cama/?command=sales&amp;parid=50447205","3903047")</f>
        <v>3903047</v>
      </c>
      <c r="H6608" t="s">
        <v>1882</v>
      </c>
      <c r="I6608">
        <v>2010</v>
      </c>
      <c r="J6608">
        <v>2010</v>
      </c>
      <c r="K6608" t="s">
        <v>4554</v>
      </c>
      <c r="L6608" t="s">
        <v>4555</v>
      </c>
      <c r="M6608" s="2">
        <v>1796</v>
      </c>
      <c r="N6608" t="s">
        <v>4048</v>
      </c>
      <c r="O6608">
        <v>4</v>
      </c>
      <c r="P6608">
        <v>2</v>
      </c>
      <c r="Q6608">
        <v>0</v>
      </c>
      <c r="R6608" t="s">
        <v>5281</v>
      </c>
      <c r="S6608" t="s">
        <v>4898</v>
      </c>
      <c r="T6608" t="s">
        <v>4559</v>
      </c>
      <c r="U6608" t="s">
        <v>4560</v>
      </c>
      <c r="V6608" s="2">
        <v>672</v>
      </c>
      <c r="W6608" t="s">
        <v>4655</v>
      </c>
      <c r="X6608" s="2">
        <v>0</v>
      </c>
      <c r="Y6608">
        <v>12</v>
      </c>
      <c r="Z6608" t="s">
        <v>5508</v>
      </c>
      <c r="AA6608" s="3">
        <v>0.204797983169556</v>
      </c>
      <c r="AB6608" t="s">
        <v>3966</v>
      </c>
      <c r="AC6608" t="s">
        <v>4562</v>
      </c>
      <c r="AD6608" t="s">
        <v>31752</v>
      </c>
      <c r="AE6608" t="s">
        <v>31753</v>
      </c>
      <c r="AF6608" t="s">
        <v>9701</v>
      </c>
      <c r="AG6608" t="s">
        <v>4584</v>
      </c>
      <c r="AH6608">
        <v>95207</v>
      </c>
      <c r="AI6608" t="s">
        <v>31754</v>
      </c>
      <c r="AJ6608" t="s">
        <v>649</v>
      </c>
      <c r="AK6608" t="s">
        <v>3506</v>
      </c>
      <c r="AL6608" s="13" t="s">
        <v>1898</v>
      </c>
      <c r="AM6608" s="14">
        <v>1</v>
      </c>
      <c r="AN6608" s="15" t="s">
        <v>1598</v>
      </c>
    </row>
    <row r="6609" spans="1:40" x14ac:dyDescent="0.3">
      <c r="A6609" s="10" t="str">
        <f>HYPERLINK("http://www.washoecounty.gov/assessor/cama/?parid=504-472-06&amp;CardNumber=1","504-472-06")</f>
        <v>504-472-06</v>
      </c>
      <c r="B6609" t="s">
        <v>4655</v>
      </c>
      <c r="C6609" t="s">
        <v>3507</v>
      </c>
      <c r="D6609" s="1">
        <v>40379</v>
      </c>
      <c r="E6609" s="2">
        <v>266000</v>
      </c>
      <c r="F6609" t="s">
        <v>3174</v>
      </c>
      <c r="G6609" s="17" t="str">
        <f>HYPERLINK("https://www.washoecounty.gov/assessor/cama/?command=sales&amp;parid=50447206","3903047")</f>
        <v>3903047</v>
      </c>
      <c r="H6609" t="s">
        <v>1882</v>
      </c>
      <c r="I6609">
        <v>2010</v>
      </c>
      <c r="J6609">
        <v>2010</v>
      </c>
      <c r="K6609" t="s">
        <v>4554</v>
      </c>
      <c r="L6609" t="s">
        <v>4555</v>
      </c>
      <c r="M6609" s="2">
        <v>1365</v>
      </c>
      <c r="N6609" t="s">
        <v>4048</v>
      </c>
      <c r="O6609">
        <v>3</v>
      </c>
      <c r="P6609">
        <v>2</v>
      </c>
      <c r="Q6609">
        <v>0</v>
      </c>
      <c r="R6609" t="s">
        <v>5281</v>
      </c>
      <c r="S6609" t="s">
        <v>4898</v>
      </c>
      <c r="T6609" t="s">
        <v>4559</v>
      </c>
      <c r="U6609" t="s">
        <v>4560</v>
      </c>
      <c r="V6609" s="2">
        <v>420</v>
      </c>
      <c r="W6609" t="s">
        <v>4655</v>
      </c>
      <c r="X6609" s="2">
        <v>0</v>
      </c>
      <c r="Y6609">
        <v>12</v>
      </c>
      <c r="Z6609" t="s">
        <v>5508</v>
      </c>
      <c r="AA6609" s="3">
        <v>0.24949495494365692</v>
      </c>
      <c r="AB6609" t="s">
        <v>3966</v>
      </c>
      <c r="AC6609" t="s">
        <v>4562</v>
      </c>
      <c r="AD6609" t="s">
        <v>31752</v>
      </c>
      <c r="AE6609" t="s">
        <v>31753</v>
      </c>
      <c r="AF6609" t="s">
        <v>9701</v>
      </c>
      <c r="AG6609" t="s">
        <v>4584</v>
      </c>
      <c r="AH6609">
        <v>95207</v>
      </c>
      <c r="AI6609" t="s">
        <v>31754</v>
      </c>
      <c r="AJ6609" t="s">
        <v>649</v>
      </c>
      <c r="AK6609" t="s">
        <v>3508</v>
      </c>
      <c r="AL6609" s="13" t="s">
        <v>1898</v>
      </c>
      <c r="AM6609" s="14">
        <v>1</v>
      </c>
      <c r="AN6609" s="15" t="s">
        <v>1598</v>
      </c>
    </row>
    <row r="6610" spans="1:40" x14ac:dyDescent="0.3">
      <c r="A6610" s="10" t="str">
        <f>HYPERLINK("http://www.washoecounty.gov/assessor/cama/?parid=504-472-07&amp;CardNumber=1","504-472-07")</f>
        <v>504-472-07</v>
      </c>
      <c r="B6610" t="s">
        <v>4655</v>
      </c>
      <c r="C6610" t="s">
        <v>31758</v>
      </c>
      <c r="D6610" s="1">
        <v>40325</v>
      </c>
      <c r="E6610" s="2">
        <v>139000</v>
      </c>
      <c r="F6610" t="s">
        <v>4567</v>
      </c>
      <c r="G6610" s="17" t="str">
        <f>HYPERLINK("https://www.washoecounty.gov/assessor/cama/?command=sales&amp;parid=50447207","3886180")</f>
        <v>3886180</v>
      </c>
      <c r="H6610" t="s">
        <v>1882</v>
      </c>
      <c r="I6610">
        <v>2007</v>
      </c>
      <c r="J6610">
        <v>2007</v>
      </c>
      <c r="K6610" t="s">
        <v>4554</v>
      </c>
      <c r="L6610" t="s">
        <v>4555</v>
      </c>
      <c r="M6610" s="2">
        <v>1460</v>
      </c>
      <c r="N6610" t="s">
        <v>4048</v>
      </c>
      <c r="O6610">
        <v>3</v>
      </c>
      <c r="P6610">
        <v>2</v>
      </c>
      <c r="Q6610">
        <v>0</v>
      </c>
      <c r="R6610" t="s">
        <v>5281</v>
      </c>
      <c r="S6610" t="s">
        <v>4898</v>
      </c>
      <c r="T6610" t="s">
        <v>4559</v>
      </c>
      <c r="U6610" t="s">
        <v>4560</v>
      </c>
      <c r="V6610" s="2">
        <v>440</v>
      </c>
      <c r="W6610" t="s">
        <v>4655</v>
      </c>
      <c r="X6610" s="2">
        <v>0</v>
      </c>
      <c r="Y6610">
        <v>20</v>
      </c>
      <c r="Z6610" t="s">
        <v>5508</v>
      </c>
      <c r="AA6610" s="3">
        <v>0.168870523571968</v>
      </c>
      <c r="AB6610" t="s">
        <v>31759</v>
      </c>
      <c r="AC6610" t="s">
        <v>4562</v>
      </c>
      <c r="AD6610" t="s">
        <v>31758</v>
      </c>
      <c r="AE6610" t="s">
        <v>4655</v>
      </c>
      <c r="AF6610" t="s">
        <v>1600</v>
      </c>
      <c r="AG6610" t="s">
        <v>4564</v>
      </c>
      <c r="AH6610" t="s">
        <v>1601</v>
      </c>
      <c r="AI6610" t="s">
        <v>648</v>
      </c>
      <c r="AJ6610" t="s">
        <v>649</v>
      </c>
      <c r="AK6610" t="s">
        <v>31760</v>
      </c>
      <c r="AL6610" s="13" t="s">
        <v>1898</v>
      </c>
      <c r="AM6610">
        <v>1</v>
      </c>
      <c r="AN6610" s="15" t="s">
        <v>1598</v>
      </c>
    </row>
    <row r="6611" spans="1:40" x14ac:dyDescent="0.3">
      <c r="A6611" s="10" t="str">
        <f>HYPERLINK("http://www.washoecounty.gov/assessor/cama/?parid=504-472-08&amp;CardNumber=1","504-472-08")</f>
        <v>504-472-08</v>
      </c>
      <c r="B6611" t="s">
        <v>4655</v>
      </c>
      <c r="C6611" t="s">
        <v>31761</v>
      </c>
      <c r="D6611" s="1">
        <v>40311</v>
      </c>
      <c r="E6611" s="2">
        <v>159000</v>
      </c>
      <c r="F6611" t="s">
        <v>4567</v>
      </c>
      <c r="G6611" s="17" t="str">
        <f>HYPERLINK("https://www.washoecounty.gov/assessor/cama/?command=sales&amp;parid=50447208","3881301")</f>
        <v>3881301</v>
      </c>
      <c r="H6611" t="s">
        <v>1882</v>
      </c>
      <c r="I6611">
        <v>2007</v>
      </c>
      <c r="J6611">
        <v>2007</v>
      </c>
      <c r="K6611" t="s">
        <v>4554</v>
      </c>
      <c r="L6611" t="s">
        <v>4555</v>
      </c>
      <c r="M6611" s="2">
        <v>1657</v>
      </c>
      <c r="N6611" t="s">
        <v>4048</v>
      </c>
      <c r="O6611">
        <v>3</v>
      </c>
      <c r="P6611">
        <v>2</v>
      </c>
      <c r="Q6611">
        <v>0</v>
      </c>
      <c r="R6611" t="s">
        <v>5281</v>
      </c>
      <c r="S6611" t="s">
        <v>4898</v>
      </c>
      <c r="T6611" t="s">
        <v>4559</v>
      </c>
      <c r="U6611" t="s">
        <v>4560</v>
      </c>
      <c r="V6611" s="2">
        <v>440</v>
      </c>
      <c r="W6611" t="s">
        <v>4655</v>
      </c>
      <c r="X6611" s="2">
        <v>0</v>
      </c>
      <c r="Y6611">
        <v>20</v>
      </c>
      <c r="Z6611" t="s">
        <v>5508</v>
      </c>
      <c r="AA6611" s="3">
        <v>0.15266299247741699</v>
      </c>
      <c r="AB6611" t="s">
        <v>31762</v>
      </c>
      <c r="AC6611" t="s">
        <v>4562</v>
      </c>
      <c r="AD6611" t="s">
        <v>31761</v>
      </c>
      <c r="AE6611" t="s">
        <v>4655</v>
      </c>
      <c r="AF6611" t="s">
        <v>1600</v>
      </c>
      <c r="AG6611" t="s">
        <v>4564</v>
      </c>
      <c r="AH6611" t="s">
        <v>1601</v>
      </c>
      <c r="AI6611" t="s">
        <v>648</v>
      </c>
      <c r="AJ6611" t="s">
        <v>649</v>
      </c>
      <c r="AK6611" t="s">
        <v>31763</v>
      </c>
      <c r="AL6611" s="13" t="s">
        <v>1898</v>
      </c>
      <c r="AM6611">
        <v>1</v>
      </c>
      <c r="AN6611" s="15" t="s">
        <v>1598</v>
      </c>
    </row>
    <row r="6612" spans="1:40" x14ac:dyDescent="0.3">
      <c r="A6612" s="10" t="str">
        <f>HYPERLINK("http://www.washoecounty.gov/assessor/cama/?parid=504-472-09&amp;CardNumber=1","504-472-09")</f>
        <v>504-472-09</v>
      </c>
      <c r="B6612" t="s">
        <v>4655</v>
      </c>
      <c r="C6612" t="s">
        <v>31764</v>
      </c>
      <c r="D6612" s="1">
        <v>40336</v>
      </c>
      <c r="E6612" s="2">
        <v>142000</v>
      </c>
      <c r="F6612" t="s">
        <v>4567</v>
      </c>
      <c r="G6612" s="17" t="str">
        <f>HYPERLINK("https://www.washoecounty.gov/assessor/cama/?command=sales&amp;parid=50447209","3888915")</f>
        <v>3888915</v>
      </c>
      <c r="H6612" t="s">
        <v>1882</v>
      </c>
      <c r="I6612">
        <v>2007</v>
      </c>
      <c r="J6612">
        <v>2007</v>
      </c>
      <c r="K6612" t="s">
        <v>4554</v>
      </c>
      <c r="L6612" t="s">
        <v>4555</v>
      </c>
      <c r="M6612" s="2">
        <v>1442</v>
      </c>
      <c r="N6612" t="s">
        <v>4048</v>
      </c>
      <c r="O6612">
        <v>3</v>
      </c>
      <c r="P6612">
        <v>2</v>
      </c>
      <c r="Q6612">
        <v>0</v>
      </c>
      <c r="R6612" t="s">
        <v>5281</v>
      </c>
      <c r="S6612" t="s">
        <v>4898</v>
      </c>
      <c r="T6612" t="s">
        <v>4559</v>
      </c>
      <c r="U6612" t="s">
        <v>4560</v>
      </c>
      <c r="V6612" s="2">
        <v>440</v>
      </c>
      <c r="W6612" t="s">
        <v>4655</v>
      </c>
      <c r="X6612" s="2">
        <v>0</v>
      </c>
      <c r="Y6612">
        <v>20</v>
      </c>
      <c r="Z6612" t="s">
        <v>5508</v>
      </c>
      <c r="AA6612" s="3">
        <v>0.16356749832630199</v>
      </c>
      <c r="AB6612" t="s">
        <v>31765</v>
      </c>
      <c r="AC6612" t="s">
        <v>4562</v>
      </c>
      <c r="AD6612" t="s">
        <v>31766</v>
      </c>
      <c r="AE6612" t="s">
        <v>4655</v>
      </c>
      <c r="AF6612" t="s">
        <v>1570</v>
      </c>
      <c r="AG6612" t="s">
        <v>5529</v>
      </c>
      <c r="AH6612" t="s">
        <v>1601</v>
      </c>
      <c r="AI6612" t="s">
        <v>648</v>
      </c>
      <c r="AJ6612" t="s">
        <v>649</v>
      </c>
      <c r="AK6612" t="s">
        <v>31767</v>
      </c>
      <c r="AL6612" s="13" t="s">
        <v>1898</v>
      </c>
      <c r="AM6612">
        <v>1</v>
      </c>
      <c r="AN6612" s="15" t="s">
        <v>1598</v>
      </c>
    </row>
    <row r="6613" spans="1:40" x14ac:dyDescent="0.3">
      <c r="A6613" s="10" t="str">
        <f>HYPERLINK("http://www.washoecounty.gov/assessor/cama/?parid=504-472-10&amp;CardNumber=1","504-472-10")</f>
        <v>504-472-10</v>
      </c>
      <c r="B6613" t="s">
        <v>4655</v>
      </c>
      <c r="C6613" t="s">
        <v>31768</v>
      </c>
      <c r="D6613" s="1">
        <v>40317</v>
      </c>
      <c r="E6613" s="2">
        <v>160500</v>
      </c>
      <c r="F6613" t="s">
        <v>4567</v>
      </c>
      <c r="G6613" s="17" t="str">
        <f>HYPERLINK("https://www.washoecounty.gov/assessor/cama/?command=sales&amp;parid=50447210","3882895")</f>
        <v>3882895</v>
      </c>
      <c r="H6613" t="s">
        <v>1882</v>
      </c>
      <c r="I6613">
        <v>2007</v>
      </c>
      <c r="J6613">
        <v>2007</v>
      </c>
      <c r="K6613" t="s">
        <v>4554</v>
      </c>
      <c r="L6613" t="s">
        <v>4555</v>
      </c>
      <c r="M6613" s="2">
        <v>1657</v>
      </c>
      <c r="N6613" t="s">
        <v>4048</v>
      </c>
      <c r="O6613">
        <v>3</v>
      </c>
      <c r="P6613">
        <v>2</v>
      </c>
      <c r="Q6613">
        <v>0</v>
      </c>
      <c r="R6613" t="s">
        <v>5281</v>
      </c>
      <c r="S6613" t="s">
        <v>4898</v>
      </c>
      <c r="T6613" t="s">
        <v>4559</v>
      </c>
      <c r="U6613" t="s">
        <v>4560</v>
      </c>
      <c r="V6613" s="2">
        <v>662</v>
      </c>
      <c r="W6613" t="s">
        <v>4655</v>
      </c>
      <c r="X6613" s="2">
        <v>0</v>
      </c>
      <c r="Y6613">
        <v>20</v>
      </c>
      <c r="Z6613" t="s">
        <v>5508</v>
      </c>
      <c r="AA6613" s="3">
        <v>0.19334252178668976</v>
      </c>
      <c r="AB6613" t="s">
        <v>31769</v>
      </c>
      <c r="AC6613" t="s">
        <v>4562</v>
      </c>
      <c r="AD6613" t="s">
        <v>31768</v>
      </c>
      <c r="AE6613" t="s">
        <v>4655</v>
      </c>
      <c r="AF6613" t="s">
        <v>1600</v>
      </c>
      <c r="AG6613" t="s">
        <v>4564</v>
      </c>
      <c r="AH6613" t="s">
        <v>1601</v>
      </c>
      <c r="AI6613" t="s">
        <v>648</v>
      </c>
      <c r="AJ6613" t="s">
        <v>649</v>
      </c>
      <c r="AK6613" t="s">
        <v>31770</v>
      </c>
      <c r="AL6613" s="13" t="s">
        <v>1898</v>
      </c>
      <c r="AM6613" s="14">
        <v>1</v>
      </c>
      <c r="AN6613" s="15" t="s">
        <v>1598</v>
      </c>
    </row>
    <row r="6614" spans="1:40" x14ac:dyDescent="0.3">
      <c r="A6614" s="10" t="str">
        <f>HYPERLINK("http://www.washoecounty.gov/assessor/cama/?parid=504-473-01&amp;CardNumber=1","504-473-01")</f>
        <v>504-473-01</v>
      </c>
      <c r="B6614" t="s">
        <v>4655</v>
      </c>
      <c r="C6614" t="s">
        <v>31771</v>
      </c>
      <c r="D6614" s="1">
        <v>40326</v>
      </c>
      <c r="E6614" s="2">
        <v>170000</v>
      </c>
      <c r="F6614" t="s">
        <v>4567</v>
      </c>
      <c r="G6614" s="17" t="str">
        <f>HYPERLINK("https://www.washoecounty.gov/assessor/cama/?command=sales&amp;parid=50447301","3886824")</f>
        <v>3886824</v>
      </c>
      <c r="H6614" t="s">
        <v>1882</v>
      </c>
      <c r="I6614">
        <v>2007</v>
      </c>
      <c r="J6614">
        <v>2007</v>
      </c>
      <c r="K6614" t="s">
        <v>4554</v>
      </c>
      <c r="L6614" t="s">
        <v>4555</v>
      </c>
      <c r="M6614" s="2">
        <v>1846</v>
      </c>
      <c r="N6614" t="s">
        <v>4048</v>
      </c>
      <c r="O6614">
        <v>4</v>
      </c>
      <c r="P6614">
        <v>2</v>
      </c>
      <c r="Q6614">
        <v>0</v>
      </c>
      <c r="R6614" t="s">
        <v>5281</v>
      </c>
      <c r="S6614" t="s">
        <v>4898</v>
      </c>
      <c r="T6614" t="s">
        <v>4559</v>
      </c>
      <c r="U6614" t="s">
        <v>4560</v>
      </c>
      <c r="V6614" s="2">
        <v>676</v>
      </c>
      <c r="W6614" t="s">
        <v>4655</v>
      </c>
      <c r="X6614" s="2">
        <v>0</v>
      </c>
      <c r="Y6614">
        <v>20</v>
      </c>
      <c r="Z6614" t="s">
        <v>5508</v>
      </c>
      <c r="AA6614" s="3">
        <v>0.17926996946334839</v>
      </c>
      <c r="AB6614" t="s">
        <v>31772</v>
      </c>
      <c r="AC6614" t="s">
        <v>4562</v>
      </c>
      <c r="AD6614" t="s">
        <v>31773</v>
      </c>
      <c r="AE6614" t="s">
        <v>4655</v>
      </c>
      <c r="AF6614" t="s">
        <v>1570</v>
      </c>
      <c r="AG6614" t="s">
        <v>4564</v>
      </c>
      <c r="AH6614" t="s">
        <v>1601</v>
      </c>
      <c r="AI6614" t="s">
        <v>648</v>
      </c>
      <c r="AJ6614" t="s">
        <v>649</v>
      </c>
      <c r="AK6614" t="s">
        <v>31774</v>
      </c>
      <c r="AL6614" s="13" t="s">
        <v>1898</v>
      </c>
      <c r="AM6614">
        <v>1</v>
      </c>
      <c r="AN6614" s="15" t="s">
        <v>1598</v>
      </c>
    </row>
    <row r="6615" spans="1:40" x14ac:dyDescent="0.3">
      <c r="A6615" s="10" t="str">
        <f>HYPERLINK("http://www.washoecounty.gov/assessor/cama/?parid=504-473-02&amp;CardNumber=1","504-473-02")</f>
        <v>504-473-02</v>
      </c>
      <c r="B6615" t="s">
        <v>4655</v>
      </c>
      <c r="C6615" t="s">
        <v>31775</v>
      </c>
      <c r="D6615" s="1">
        <v>40305</v>
      </c>
      <c r="E6615" s="2">
        <v>140500</v>
      </c>
      <c r="F6615" t="s">
        <v>4567</v>
      </c>
      <c r="G6615" s="17" t="str">
        <f>HYPERLINK("https://www.washoecounty.gov/assessor/cama/?command=sales&amp;parid=50447302","3879423")</f>
        <v>3879423</v>
      </c>
      <c r="H6615" t="s">
        <v>1882</v>
      </c>
      <c r="I6615">
        <v>2007</v>
      </c>
      <c r="J6615">
        <v>2007</v>
      </c>
      <c r="K6615" t="s">
        <v>4554</v>
      </c>
      <c r="L6615" t="s">
        <v>4555</v>
      </c>
      <c r="M6615" s="2">
        <v>1460</v>
      </c>
      <c r="N6615" t="s">
        <v>4048</v>
      </c>
      <c r="O6615">
        <v>3</v>
      </c>
      <c r="P6615">
        <v>2</v>
      </c>
      <c r="Q6615">
        <v>0</v>
      </c>
      <c r="R6615" t="s">
        <v>5281</v>
      </c>
      <c r="S6615" t="s">
        <v>4898</v>
      </c>
      <c r="T6615" t="s">
        <v>4559</v>
      </c>
      <c r="U6615" t="s">
        <v>4560</v>
      </c>
      <c r="V6615" s="2">
        <v>660</v>
      </c>
      <c r="W6615" t="s">
        <v>4655</v>
      </c>
      <c r="X6615" s="2">
        <v>0</v>
      </c>
      <c r="Y6615">
        <v>20</v>
      </c>
      <c r="Z6615" t="s">
        <v>5508</v>
      </c>
      <c r="AA6615" s="3">
        <v>0.17924702167511</v>
      </c>
      <c r="AB6615" t="s">
        <v>31776</v>
      </c>
      <c r="AC6615" t="s">
        <v>4562</v>
      </c>
      <c r="AD6615" t="s">
        <v>31775</v>
      </c>
      <c r="AE6615" t="s">
        <v>4655</v>
      </c>
      <c r="AF6615" t="s">
        <v>1600</v>
      </c>
      <c r="AG6615" t="s">
        <v>4564</v>
      </c>
      <c r="AH6615" t="s">
        <v>1601</v>
      </c>
      <c r="AI6615" t="s">
        <v>648</v>
      </c>
      <c r="AJ6615" t="s">
        <v>649</v>
      </c>
      <c r="AK6615" t="s">
        <v>31777</v>
      </c>
      <c r="AL6615" s="13" t="s">
        <v>1898</v>
      </c>
      <c r="AM6615">
        <v>1</v>
      </c>
      <c r="AN6615" s="15" t="s">
        <v>1598</v>
      </c>
    </row>
    <row r="6616" spans="1:40" x14ac:dyDescent="0.3">
      <c r="A6616" s="10" t="str">
        <f>HYPERLINK("http://www.washoecounty.gov/assessor/cama/?parid=504-473-03&amp;CardNumber=1","504-473-03")</f>
        <v>504-473-03</v>
      </c>
      <c r="B6616" t="s">
        <v>4655</v>
      </c>
      <c r="C6616" t="s">
        <v>31778</v>
      </c>
      <c r="D6616" s="1">
        <v>40366</v>
      </c>
      <c r="E6616" s="2">
        <v>160500</v>
      </c>
      <c r="F6616" t="s">
        <v>4567</v>
      </c>
      <c r="G6616" s="17" t="str">
        <f>HYPERLINK("https://www.washoecounty.gov/assessor/cama/?command=sales&amp;parid=50447303","3899215")</f>
        <v>3899215</v>
      </c>
      <c r="H6616" t="s">
        <v>1882</v>
      </c>
      <c r="I6616">
        <v>2007</v>
      </c>
      <c r="J6616">
        <v>2007</v>
      </c>
      <c r="K6616" t="s">
        <v>4554</v>
      </c>
      <c r="L6616" t="s">
        <v>4555</v>
      </c>
      <c r="M6616" s="2">
        <v>1657</v>
      </c>
      <c r="N6616" t="s">
        <v>4048</v>
      </c>
      <c r="O6616">
        <v>3</v>
      </c>
      <c r="P6616">
        <v>2</v>
      </c>
      <c r="Q6616">
        <v>0</v>
      </c>
      <c r="R6616" t="s">
        <v>5281</v>
      </c>
      <c r="S6616" t="s">
        <v>4898</v>
      </c>
      <c r="T6616" t="s">
        <v>4559</v>
      </c>
      <c r="U6616" t="s">
        <v>4560</v>
      </c>
      <c r="V6616" s="2">
        <v>662</v>
      </c>
      <c r="W6616" t="s">
        <v>4655</v>
      </c>
      <c r="X6616" s="2">
        <v>0</v>
      </c>
      <c r="Y6616">
        <v>20</v>
      </c>
      <c r="Z6616" t="s">
        <v>5508</v>
      </c>
      <c r="AA6616" s="3">
        <v>0.17922405898571001</v>
      </c>
      <c r="AB6616" t="s">
        <v>31779</v>
      </c>
      <c r="AC6616" t="s">
        <v>4562</v>
      </c>
      <c r="AD6616" t="s">
        <v>31780</v>
      </c>
      <c r="AE6616" t="s">
        <v>4655</v>
      </c>
      <c r="AF6616" t="s">
        <v>1570</v>
      </c>
      <c r="AG6616" t="s">
        <v>4564</v>
      </c>
      <c r="AH6616" t="s">
        <v>1601</v>
      </c>
      <c r="AI6616" t="s">
        <v>648</v>
      </c>
      <c r="AJ6616" t="s">
        <v>649</v>
      </c>
      <c r="AK6616" t="s">
        <v>31781</v>
      </c>
      <c r="AL6616" s="13" t="s">
        <v>1898</v>
      </c>
      <c r="AM6616">
        <v>1</v>
      </c>
      <c r="AN6616" s="15" t="s">
        <v>1598</v>
      </c>
    </row>
    <row r="6617" spans="1:40" x14ac:dyDescent="0.3">
      <c r="A6617" s="10" t="str">
        <f>HYPERLINK("http://www.washoecounty.gov/assessor/cama/?parid=504-473-04&amp;CardNumber=1","504-473-04")</f>
        <v>504-473-04</v>
      </c>
      <c r="B6617" t="s">
        <v>4655</v>
      </c>
      <c r="C6617" t="s">
        <v>31782</v>
      </c>
      <c r="D6617" s="1">
        <v>40310</v>
      </c>
      <c r="E6617" s="2">
        <v>170500</v>
      </c>
      <c r="F6617" t="s">
        <v>4567</v>
      </c>
      <c r="G6617" s="17" t="str">
        <f>HYPERLINK("https://www.washoecounty.gov/assessor/cama/?command=sales&amp;parid=50447304","3880938")</f>
        <v>3880938</v>
      </c>
      <c r="H6617" t="s">
        <v>1882</v>
      </c>
      <c r="I6617">
        <v>2007</v>
      </c>
      <c r="J6617">
        <v>2007</v>
      </c>
      <c r="K6617" t="s">
        <v>4554</v>
      </c>
      <c r="L6617" t="s">
        <v>4555</v>
      </c>
      <c r="M6617" s="2">
        <v>1846</v>
      </c>
      <c r="N6617" t="s">
        <v>4048</v>
      </c>
      <c r="O6617">
        <v>4</v>
      </c>
      <c r="P6617">
        <v>2</v>
      </c>
      <c r="Q6617">
        <v>0</v>
      </c>
      <c r="R6617" t="s">
        <v>5281</v>
      </c>
      <c r="S6617" t="s">
        <v>4898</v>
      </c>
      <c r="T6617" t="s">
        <v>4559</v>
      </c>
      <c r="U6617" t="s">
        <v>4560</v>
      </c>
      <c r="V6617" s="2">
        <v>498</v>
      </c>
      <c r="W6617" t="s">
        <v>4655</v>
      </c>
      <c r="X6617" s="2">
        <v>0</v>
      </c>
      <c r="Y6617">
        <v>20</v>
      </c>
      <c r="Z6617" t="s">
        <v>5508</v>
      </c>
      <c r="AA6617" s="3">
        <v>0.17917814850807201</v>
      </c>
      <c r="AB6617" t="s">
        <v>31783</v>
      </c>
      <c r="AC6617" t="s">
        <v>4562</v>
      </c>
      <c r="AD6617" t="s">
        <v>31784</v>
      </c>
      <c r="AE6617" t="s">
        <v>4655</v>
      </c>
      <c r="AF6617" t="s">
        <v>1570</v>
      </c>
      <c r="AG6617" t="s">
        <v>4564</v>
      </c>
      <c r="AH6617" t="s">
        <v>1601</v>
      </c>
      <c r="AI6617" t="s">
        <v>648</v>
      </c>
      <c r="AJ6617" t="s">
        <v>649</v>
      </c>
      <c r="AK6617" t="s">
        <v>31785</v>
      </c>
      <c r="AL6617" s="13" t="s">
        <v>1898</v>
      </c>
      <c r="AM6617" s="14">
        <v>1</v>
      </c>
      <c r="AN6617" s="15" t="s">
        <v>1598</v>
      </c>
    </row>
    <row r="6618" spans="1:40" x14ac:dyDescent="0.3">
      <c r="A6618" s="10" t="str">
        <f>HYPERLINK("http://www.washoecounty.gov/assessor/cama/?parid=504-473-05&amp;CardNumber=1","504-473-05")</f>
        <v>504-473-05</v>
      </c>
      <c r="B6618" t="s">
        <v>4655</v>
      </c>
      <c r="C6618" t="s">
        <v>31786</v>
      </c>
      <c r="D6618" s="1">
        <v>40304</v>
      </c>
      <c r="E6618" s="2">
        <v>160500</v>
      </c>
      <c r="F6618" t="s">
        <v>4567</v>
      </c>
      <c r="G6618" s="17" t="str">
        <f>HYPERLINK("https://www.washoecounty.gov/assessor/cama/?command=sales&amp;parid=50447305","3878991")</f>
        <v>3878991</v>
      </c>
      <c r="H6618" t="s">
        <v>1882</v>
      </c>
      <c r="I6618">
        <v>2007</v>
      </c>
      <c r="J6618">
        <v>2007</v>
      </c>
      <c r="K6618" t="s">
        <v>4554</v>
      </c>
      <c r="L6618" t="s">
        <v>4555</v>
      </c>
      <c r="M6618" s="2">
        <v>1657</v>
      </c>
      <c r="N6618" t="s">
        <v>4048</v>
      </c>
      <c r="O6618">
        <v>2</v>
      </c>
      <c r="P6618">
        <v>2</v>
      </c>
      <c r="Q6618">
        <v>0</v>
      </c>
      <c r="R6618" t="s">
        <v>5281</v>
      </c>
      <c r="S6618" t="s">
        <v>4898</v>
      </c>
      <c r="T6618" t="s">
        <v>4559</v>
      </c>
      <c r="U6618" t="s">
        <v>4560</v>
      </c>
      <c r="V6618" s="2">
        <v>440</v>
      </c>
      <c r="W6618" t="s">
        <v>4655</v>
      </c>
      <c r="X6618" s="2">
        <v>0</v>
      </c>
      <c r="Y6618">
        <v>20</v>
      </c>
      <c r="Z6618" t="s">
        <v>5508</v>
      </c>
      <c r="AA6618" s="3">
        <v>0.17915518581867218</v>
      </c>
      <c r="AB6618" t="s">
        <v>31787</v>
      </c>
      <c r="AC6618" t="s">
        <v>4562</v>
      </c>
      <c r="AD6618" t="s">
        <v>31788</v>
      </c>
      <c r="AE6618" t="s">
        <v>4655</v>
      </c>
      <c r="AF6618" t="s">
        <v>1600</v>
      </c>
      <c r="AG6618" t="s">
        <v>4564</v>
      </c>
      <c r="AH6618" t="s">
        <v>1601</v>
      </c>
      <c r="AI6618" t="s">
        <v>648</v>
      </c>
      <c r="AJ6618" t="s">
        <v>649</v>
      </c>
      <c r="AK6618" t="s">
        <v>31789</v>
      </c>
      <c r="AL6618" s="13" t="s">
        <v>1898</v>
      </c>
      <c r="AM6618">
        <v>1</v>
      </c>
      <c r="AN6618" s="15" t="s">
        <v>1598</v>
      </c>
    </row>
    <row r="6619" spans="1:40" x14ac:dyDescent="0.3">
      <c r="A6619" s="10" t="str">
        <f>HYPERLINK("http://www.washoecounty.gov/assessor/cama/?parid=504-473-06&amp;CardNumber=1","504-473-06")</f>
        <v>504-473-06</v>
      </c>
      <c r="B6619" t="s">
        <v>4655</v>
      </c>
      <c r="C6619" t="s">
        <v>31790</v>
      </c>
      <c r="D6619" s="1">
        <v>40294</v>
      </c>
      <c r="E6619" s="2">
        <v>145507</v>
      </c>
      <c r="F6619" t="s">
        <v>4567</v>
      </c>
      <c r="G6619" s="17" t="str">
        <f>HYPERLINK("https://www.washoecounty.gov/assessor/cama/?command=sales&amp;parid=50447306","3874663")</f>
        <v>3874663</v>
      </c>
      <c r="H6619" t="s">
        <v>1882</v>
      </c>
      <c r="I6619">
        <v>2007</v>
      </c>
      <c r="J6619">
        <v>2007</v>
      </c>
      <c r="K6619" t="s">
        <v>4554</v>
      </c>
      <c r="L6619" t="s">
        <v>4555</v>
      </c>
      <c r="M6619" s="2">
        <v>1454</v>
      </c>
      <c r="N6619" t="s">
        <v>4048</v>
      </c>
      <c r="O6619">
        <v>2</v>
      </c>
      <c r="P6619">
        <v>2</v>
      </c>
      <c r="Q6619">
        <v>0</v>
      </c>
      <c r="R6619" t="s">
        <v>5281</v>
      </c>
      <c r="S6619" t="s">
        <v>4898</v>
      </c>
      <c r="T6619" t="s">
        <v>4559</v>
      </c>
      <c r="U6619" t="s">
        <v>4560</v>
      </c>
      <c r="V6619" s="2">
        <v>440</v>
      </c>
      <c r="W6619" t="s">
        <v>4655</v>
      </c>
      <c r="X6619" s="2">
        <v>0</v>
      </c>
      <c r="Y6619">
        <v>20</v>
      </c>
      <c r="Z6619" t="s">
        <v>5508</v>
      </c>
      <c r="AA6619" s="3">
        <v>0.17913223803043399</v>
      </c>
      <c r="AB6619" t="s">
        <v>31791</v>
      </c>
      <c r="AC6619" t="s">
        <v>4562</v>
      </c>
      <c r="AD6619" t="s">
        <v>31790</v>
      </c>
      <c r="AE6619" t="s">
        <v>4655</v>
      </c>
      <c r="AF6619" t="s">
        <v>1600</v>
      </c>
      <c r="AG6619" t="s">
        <v>4564</v>
      </c>
      <c r="AH6619" t="s">
        <v>1601</v>
      </c>
      <c r="AI6619" t="s">
        <v>648</v>
      </c>
      <c r="AJ6619" t="s">
        <v>649</v>
      </c>
      <c r="AK6619" t="s">
        <v>31792</v>
      </c>
      <c r="AL6619" s="13" t="s">
        <v>1898</v>
      </c>
      <c r="AM6619">
        <v>1</v>
      </c>
      <c r="AN6619" s="15" t="s">
        <v>1598</v>
      </c>
    </row>
    <row r="6620" spans="1:40" x14ac:dyDescent="0.3">
      <c r="A6620" s="10" t="str">
        <f>HYPERLINK("http://www.washoecounty.gov/assessor/cama/?parid=504-473-07&amp;CardNumber=1","504-473-07")</f>
        <v>504-473-07</v>
      </c>
      <c r="B6620" t="s">
        <v>4655</v>
      </c>
      <c r="C6620" t="s">
        <v>31793</v>
      </c>
      <c r="D6620" s="1">
        <v>40298</v>
      </c>
      <c r="E6620" s="2">
        <v>175615</v>
      </c>
      <c r="F6620" t="s">
        <v>4567</v>
      </c>
      <c r="G6620" s="17" t="str">
        <f>HYPERLINK("https://www.washoecounty.gov/assessor/cama/?command=sales&amp;parid=50447307","3876977")</f>
        <v>3876977</v>
      </c>
      <c r="H6620" t="s">
        <v>1882</v>
      </c>
      <c r="I6620">
        <v>2007</v>
      </c>
      <c r="J6620">
        <v>2007</v>
      </c>
      <c r="K6620" t="s">
        <v>4554</v>
      </c>
      <c r="L6620" t="s">
        <v>4555</v>
      </c>
      <c r="M6620" s="2">
        <v>1850</v>
      </c>
      <c r="N6620" t="s">
        <v>4048</v>
      </c>
      <c r="O6620">
        <v>4</v>
      </c>
      <c r="P6620">
        <v>2</v>
      </c>
      <c r="Q6620">
        <v>0</v>
      </c>
      <c r="R6620" t="s">
        <v>5281</v>
      </c>
      <c r="S6620" t="s">
        <v>4898</v>
      </c>
      <c r="T6620" t="s">
        <v>4559</v>
      </c>
      <c r="U6620" t="s">
        <v>4560</v>
      </c>
      <c r="V6620" s="2">
        <v>498</v>
      </c>
      <c r="W6620" t="s">
        <v>4655</v>
      </c>
      <c r="X6620" s="2">
        <v>0</v>
      </c>
      <c r="Y6620">
        <v>20</v>
      </c>
      <c r="Z6620" t="s">
        <v>5508</v>
      </c>
      <c r="AA6620" s="3">
        <v>0.17910927534103399</v>
      </c>
      <c r="AB6620" t="s">
        <v>31794</v>
      </c>
      <c r="AC6620" t="s">
        <v>4575</v>
      </c>
      <c r="AD6620" t="s">
        <v>31793</v>
      </c>
      <c r="AE6620" t="s">
        <v>4655</v>
      </c>
      <c r="AF6620" t="s">
        <v>1600</v>
      </c>
      <c r="AG6620" t="s">
        <v>4564</v>
      </c>
      <c r="AH6620" t="s">
        <v>1601</v>
      </c>
      <c r="AI6620" t="s">
        <v>648</v>
      </c>
      <c r="AJ6620" t="s">
        <v>649</v>
      </c>
      <c r="AK6620" t="s">
        <v>31795</v>
      </c>
      <c r="AL6620" s="13" t="s">
        <v>1898</v>
      </c>
      <c r="AM6620" s="14">
        <v>1</v>
      </c>
      <c r="AN6620" s="15" t="s">
        <v>1598</v>
      </c>
    </row>
    <row r="6621" spans="1:40" x14ac:dyDescent="0.3">
      <c r="A6621" s="10" t="str">
        <f>HYPERLINK("http://www.washoecounty.gov/assessor/cama/?parid=504-481-10&amp;CardNumber=1","504-481-10")</f>
        <v>504-481-10</v>
      </c>
      <c r="B6621" t="s">
        <v>4655</v>
      </c>
      <c r="C6621" t="s">
        <v>31796</v>
      </c>
      <c r="D6621" s="1">
        <v>40323</v>
      </c>
      <c r="E6621" s="2">
        <v>155000</v>
      </c>
      <c r="F6621" t="s">
        <v>4553</v>
      </c>
      <c r="G6621" s="17" t="str">
        <f>HYPERLINK("https://www.washoecounty.gov/assessor/cama/?command=sales&amp;parid=50448110","3884790")</f>
        <v>3884790</v>
      </c>
      <c r="H6621" t="s">
        <v>1882</v>
      </c>
      <c r="I6621">
        <v>2006</v>
      </c>
      <c r="J6621">
        <v>2006</v>
      </c>
      <c r="K6621" t="s">
        <v>4554</v>
      </c>
      <c r="L6621" t="s">
        <v>4555</v>
      </c>
      <c r="M6621" s="2">
        <v>1657</v>
      </c>
      <c r="N6621" t="s">
        <v>4048</v>
      </c>
      <c r="O6621">
        <v>3</v>
      </c>
      <c r="P6621">
        <v>2</v>
      </c>
      <c r="Q6621">
        <v>0</v>
      </c>
      <c r="R6621" t="s">
        <v>5281</v>
      </c>
      <c r="S6621" t="s">
        <v>4898</v>
      </c>
      <c r="T6621" t="s">
        <v>4559</v>
      </c>
      <c r="U6621" t="s">
        <v>4560</v>
      </c>
      <c r="V6621" s="2">
        <v>662</v>
      </c>
      <c r="W6621" t="s">
        <v>4655</v>
      </c>
      <c r="X6621" s="2">
        <v>0</v>
      </c>
      <c r="Y6621">
        <v>20</v>
      </c>
      <c r="Z6621" t="s">
        <v>5508</v>
      </c>
      <c r="AA6621" s="3">
        <v>0.47132691740989702</v>
      </c>
      <c r="AB6621" t="s">
        <v>31797</v>
      </c>
      <c r="AC6621" t="s">
        <v>4562</v>
      </c>
      <c r="AD6621" t="s">
        <v>31798</v>
      </c>
      <c r="AE6621" t="s">
        <v>4655</v>
      </c>
      <c r="AF6621" t="s">
        <v>31488</v>
      </c>
      <c r="AG6621" t="s">
        <v>4584</v>
      </c>
      <c r="AH6621" t="s">
        <v>1193</v>
      </c>
      <c r="AI6621" t="s">
        <v>21887</v>
      </c>
      <c r="AJ6621" t="s">
        <v>649</v>
      </c>
      <c r="AK6621" t="s">
        <v>31799</v>
      </c>
      <c r="AL6621" s="13" t="s">
        <v>1898</v>
      </c>
      <c r="AM6621">
        <v>1</v>
      </c>
      <c r="AN6621" s="15" t="s">
        <v>1598</v>
      </c>
    </row>
    <row r="6622" spans="1:40" x14ac:dyDescent="0.3">
      <c r="A6622" s="10" t="str">
        <f>HYPERLINK("http://www.washoecounty.gov/assessor/cama/?parid=504-481-12&amp;CardNumber=1","504-481-12")</f>
        <v>504-481-12</v>
      </c>
      <c r="B6622" t="s">
        <v>4655</v>
      </c>
      <c r="C6622" t="s">
        <v>31800</v>
      </c>
      <c r="D6622" s="1">
        <v>40505</v>
      </c>
      <c r="E6622" s="2">
        <v>155000</v>
      </c>
      <c r="F6622" t="s">
        <v>4553</v>
      </c>
      <c r="G6622" s="17" t="str">
        <f>HYPERLINK("https://www.washoecounty.gov/assessor/cama/?command=sales&amp;parid=50448112","3945972")</f>
        <v>3945972</v>
      </c>
      <c r="H6622" t="s">
        <v>1882</v>
      </c>
      <c r="I6622">
        <v>2006</v>
      </c>
      <c r="J6622">
        <v>2006</v>
      </c>
      <c r="K6622" t="s">
        <v>4554</v>
      </c>
      <c r="L6622" t="s">
        <v>4555</v>
      </c>
      <c r="M6622" s="2">
        <v>1846</v>
      </c>
      <c r="N6622" t="s">
        <v>4048</v>
      </c>
      <c r="O6622">
        <v>4</v>
      </c>
      <c r="P6622">
        <v>2</v>
      </c>
      <c r="Q6622">
        <v>0</v>
      </c>
      <c r="R6622" t="s">
        <v>5281</v>
      </c>
      <c r="S6622" t="s">
        <v>4898</v>
      </c>
      <c r="T6622" t="s">
        <v>4559</v>
      </c>
      <c r="U6622" t="s">
        <v>4560</v>
      </c>
      <c r="V6622" s="2">
        <v>676</v>
      </c>
      <c r="W6622" t="s">
        <v>4655</v>
      </c>
      <c r="X6622" s="2">
        <v>0</v>
      </c>
      <c r="Y6622">
        <v>20</v>
      </c>
      <c r="Z6622" t="s">
        <v>5508</v>
      </c>
      <c r="AA6622" s="3">
        <v>0.32405877113342302</v>
      </c>
      <c r="AB6622" t="s">
        <v>31801</v>
      </c>
      <c r="AC6622" t="s">
        <v>4575</v>
      </c>
      <c r="AD6622" t="s">
        <v>31802</v>
      </c>
      <c r="AE6622" t="s">
        <v>4655</v>
      </c>
      <c r="AF6622" t="s">
        <v>1600</v>
      </c>
      <c r="AG6622" t="s">
        <v>4564</v>
      </c>
      <c r="AH6622" t="s">
        <v>1601</v>
      </c>
      <c r="AI6622" t="s">
        <v>4903</v>
      </c>
      <c r="AJ6622" t="s">
        <v>649</v>
      </c>
      <c r="AK6622" t="s">
        <v>31803</v>
      </c>
      <c r="AL6622" s="13" t="s">
        <v>1898</v>
      </c>
      <c r="AM6622">
        <v>1</v>
      </c>
      <c r="AN6622" s="15" t="s">
        <v>1598</v>
      </c>
    </row>
    <row r="6623" spans="1:40" x14ac:dyDescent="0.3">
      <c r="A6623" s="10" t="str">
        <f>HYPERLINK("http://www.washoecounty.gov/assessor/cama/?parid=504-481-15&amp;CardNumber=1","504-481-15")</f>
        <v>504-481-15</v>
      </c>
      <c r="B6623" t="s">
        <v>4655</v>
      </c>
      <c r="C6623" t="s">
        <v>31804</v>
      </c>
      <c r="D6623" s="1">
        <v>40466</v>
      </c>
      <c r="E6623" s="2">
        <v>159000</v>
      </c>
      <c r="F6623" t="s">
        <v>4553</v>
      </c>
      <c r="G6623" s="17" t="str">
        <f>HYPERLINK("https://www.washoecounty.gov/assessor/cama/?command=sales&amp;parid=50448115","3933805")</f>
        <v>3933805</v>
      </c>
      <c r="H6623" t="s">
        <v>1882</v>
      </c>
      <c r="I6623">
        <v>2006</v>
      </c>
      <c r="J6623">
        <v>2006</v>
      </c>
      <c r="K6623" t="s">
        <v>4554</v>
      </c>
      <c r="L6623" t="s">
        <v>4555</v>
      </c>
      <c r="M6623" s="2">
        <v>1846</v>
      </c>
      <c r="N6623" t="s">
        <v>4048</v>
      </c>
      <c r="O6623">
        <v>4</v>
      </c>
      <c r="P6623">
        <v>2</v>
      </c>
      <c r="Q6623">
        <v>0</v>
      </c>
      <c r="R6623" t="s">
        <v>5281</v>
      </c>
      <c r="S6623" t="s">
        <v>4898</v>
      </c>
      <c r="T6623" t="s">
        <v>4559</v>
      </c>
      <c r="U6623" t="s">
        <v>4560</v>
      </c>
      <c r="V6623" s="2">
        <v>676</v>
      </c>
      <c r="W6623" t="s">
        <v>4655</v>
      </c>
      <c r="X6623" s="2">
        <v>0</v>
      </c>
      <c r="Y6623">
        <v>20</v>
      </c>
      <c r="Z6623" t="s">
        <v>5508</v>
      </c>
      <c r="AA6623" s="3">
        <v>0.36450871825218201</v>
      </c>
      <c r="AB6623" t="s">
        <v>31805</v>
      </c>
      <c r="AC6623" t="s">
        <v>4562</v>
      </c>
      <c r="AD6623" t="s">
        <v>31806</v>
      </c>
      <c r="AE6623" t="s">
        <v>4655</v>
      </c>
      <c r="AF6623" t="s">
        <v>1570</v>
      </c>
      <c r="AG6623" t="s">
        <v>4564</v>
      </c>
      <c r="AH6623" t="s">
        <v>1601</v>
      </c>
      <c r="AI6623" t="s">
        <v>4903</v>
      </c>
      <c r="AJ6623" t="s">
        <v>649</v>
      </c>
      <c r="AK6623" t="s">
        <v>31807</v>
      </c>
      <c r="AL6623" s="13" t="s">
        <v>1898</v>
      </c>
      <c r="AM6623">
        <v>1</v>
      </c>
      <c r="AN6623" s="15" t="s">
        <v>1598</v>
      </c>
    </row>
    <row r="6624" spans="1:40" x14ac:dyDescent="0.3">
      <c r="A6624" s="10" t="str">
        <f>HYPERLINK("http://www.washoecounty.gov/assessor/cama/?parid=504-491-05&amp;CardNumber=1","504-491-05")</f>
        <v>504-491-05</v>
      </c>
      <c r="B6624" t="s">
        <v>4655</v>
      </c>
      <c r="C6624" t="s">
        <v>31808</v>
      </c>
      <c r="D6624" s="1">
        <v>40395</v>
      </c>
      <c r="E6624" s="2">
        <v>118800</v>
      </c>
      <c r="F6624" t="s">
        <v>4553</v>
      </c>
      <c r="G6624" s="17" t="str">
        <f>HYPERLINK("https://www.washoecounty.gov/assessor/cama/?command=sales&amp;parid=50449105","3909239")</f>
        <v>3909239</v>
      </c>
      <c r="H6624" t="s">
        <v>31809</v>
      </c>
      <c r="I6624">
        <v>1996</v>
      </c>
      <c r="J6624">
        <v>1996</v>
      </c>
      <c r="K6624" t="s">
        <v>4554</v>
      </c>
      <c r="L6624" t="s">
        <v>4555</v>
      </c>
      <c r="M6624" s="2">
        <v>1304</v>
      </c>
      <c r="N6624" t="s">
        <v>4556</v>
      </c>
      <c r="O6624">
        <v>3</v>
      </c>
      <c r="P6624">
        <v>2</v>
      </c>
      <c r="Q6624">
        <v>0</v>
      </c>
      <c r="R6624" t="s">
        <v>4557</v>
      </c>
      <c r="S6624" t="s">
        <v>4558</v>
      </c>
      <c r="T6624" t="s">
        <v>4559</v>
      </c>
      <c r="U6624" t="s">
        <v>4560</v>
      </c>
      <c r="V6624" s="2">
        <v>400</v>
      </c>
      <c r="W6624" t="s">
        <v>4655</v>
      </c>
      <c r="X6624" s="2">
        <v>0</v>
      </c>
      <c r="Y6624">
        <v>20</v>
      </c>
      <c r="Z6624" t="s">
        <v>5508</v>
      </c>
      <c r="AA6624" s="3">
        <v>0.25899907946586598</v>
      </c>
      <c r="AB6624" t="s">
        <v>4673</v>
      </c>
      <c r="AC6624" t="s">
        <v>4562</v>
      </c>
      <c r="AD6624" t="s">
        <v>3093</v>
      </c>
      <c r="AE6624" t="s">
        <v>4655</v>
      </c>
      <c r="AF6624" t="s">
        <v>4563</v>
      </c>
      <c r="AG6624" t="s">
        <v>4564</v>
      </c>
      <c r="AH6624">
        <v>89512</v>
      </c>
      <c r="AI6624" t="s">
        <v>4848</v>
      </c>
      <c r="AJ6624" t="s">
        <v>31810</v>
      </c>
      <c r="AK6624" t="s">
        <v>31811</v>
      </c>
      <c r="AL6624" s="13" t="s">
        <v>1898</v>
      </c>
      <c r="AM6624" s="14">
        <v>1</v>
      </c>
      <c r="AN6624" s="15" t="s">
        <v>1598</v>
      </c>
    </row>
    <row r="6625" spans="1:40" x14ac:dyDescent="0.3">
      <c r="A6625" s="10" t="str">
        <f>HYPERLINK("http://www.washoecounty.gov/assessor/cama/?parid=504-491-06&amp;CardNumber=1","504-491-06")</f>
        <v>504-491-06</v>
      </c>
      <c r="B6625" t="s">
        <v>4655</v>
      </c>
      <c r="C6625" t="s">
        <v>31812</v>
      </c>
      <c r="D6625" s="1">
        <v>40417</v>
      </c>
      <c r="E6625" s="2">
        <v>113000</v>
      </c>
      <c r="F6625" t="s">
        <v>4567</v>
      </c>
      <c r="G6625" s="17" t="str">
        <f>HYPERLINK("https://www.washoecounty.gov/assessor/cama/?command=sales&amp;parid=50449106","3916243")</f>
        <v>3916243</v>
      </c>
      <c r="H6625" t="s">
        <v>31809</v>
      </c>
      <c r="I6625">
        <v>1996</v>
      </c>
      <c r="J6625">
        <v>1996</v>
      </c>
      <c r="K6625" t="s">
        <v>4554</v>
      </c>
      <c r="L6625" t="s">
        <v>4555</v>
      </c>
      <c r="M6625" s="2">
        <v>1064</v>
      </c>
      <c r="N6625" t="s">
        <v>4556</v>
      </c>
      <c r="O6625">
        <v>3</v>
      </c>
      <c r="P6625">
        <v>2</v>
      </c>
      <c r="Q6625">
        <v>0</v>
      </c>
      <c r="R6625" t="s">
        <v>4557</v>
      </c>
      <c r="S6625" t="s">
        <v>4558</v>
      </c>
      <c r="T6625" t="s">
        <v>4559</v>
      </c>
      <c r="U6625" t="s">
        <v>4560</v>
      </c>
      <c r="V6625" s="2">
        <v>400</v>
      </c>
      <c r="W6625" t="s">
        <v>4655</v>
      </c>
      <c r="X6625" s="2">
        <v>0</v>
      </c>
      <c r="Y6625">
        <v>20</v>
      </c>
      <c r="Z6625" t="s">
        <v>5508</v>
      </c>
      <c r="AA6625" s="3">
        <v>0.16099633276462599</v>
      </c>
      <c r="AB6625" t="s">
        <v>4673</v>
      </c>
      <c r="AC6625" t="s">
        <v>4562</v>
      </c>
      <c r="AD6625" t="s">
        <v>3093</v>
      </c>
      <c r="AE6625" t="s">
        <v>4655</v>
      </c>
      <c r="AF6625" t="s">
        <v>4563</v>
      </c>
      <c r="AG6625" t="s">
        <v>4564</v>
      </c>
      <c r="AH6625">
        <v>89512</v>
      </c>
      <c r="AI6625" t="s">
        <v>31813</v>
      </c>
      <c r="AJ6625" t="s">
        <v>31814</v>
      </c>
      <c r="AK6625" t="s">
        <v>31815</v>
      </c>
      <c r="AL6625" s="13" t="s">
        <v>1898</v>
      </c>
      <c r="AM6625" s="14">
        <v>1</v>
      </c>
      <c r="AN6625" s="15" t="s">
        <v>1598</v>
      </c>
    </row>
    <row r="6626" spans="1:40" x14ac:dyDescent="0.3">
      <c r="A6626" s="10" t="str">
        <f>HYPERLINK("http://www.washoecounty.gov/assessor/cama/?parid=504-502-02&amp;CardNumber=1","504-502-02")</f>
        <v>504-502-02</v>
      </c>
      <c r="B6626" t="s">
        <v>4655</v>
      </c>
      <c r="C6626" t="s">
        <v>5331</v>
      </c>
      <c r="D6626" s="1">
        <v>40451</v>
      </c>
      <c r="E6626" s="2">
        <v>125000</v>
      </c>
      <c r="F6626" t="s">
        <v>4553</v>
      </c>
      <c r="G6626" s="17" t="str">
        <f>HYPERLINK("https://www.washoecounty.gov/assessor/cama/?command=sales&amp;parid=50450202","3928229")</f>
        <v>3928229</v>
      </c>
      <c r="H6626" t="s">
        <v>2777</v>
      </c>
      <c r="I6626">
        <v>1996</v>
      </c>
      <c r="J6626">
        <v>1996</v>
      </c>
      <c r="K6626" t="s">
        <v>4554</v>
      </c>
      <c r="L6626" t="s">
        <v>4555</v>
      </c>
      <c r="M6626" s="2">
        <v>1568</v>
      </c>
      <c r="N6626" t="s">
        <v>4556</v>
      </c>
      <c r="O6626">
        <v>3</v>
      </c>
      <c r="P6626">
        <v>2</v>
      </c>
      <c r="Q6626">
        <v>0</v>
      </c>
      <c r="R6626" t="s">
        <v>4557</v>
      </c>
      <c r="S6626" t="s">
        <v>4558</v>
      </c>
      <c r="T6626" t="s">
        <v>4559</v>
      </c>
      <c r="U6626" t="s">
        <v>4560</v>
      </c>
      <c r="V6626" s="2">
        <v>480</v>
      </c>
      <c r="W6626" t="s">
        <v>4655</v>
      </c>
      <c r="X6626" s="2">
        <v>0</v>
      </c>
      <c r="Y6626">
        <v>20</v>
      </c>
      <c r="Z6626" t="s">
        <v>5508</v>
      </c>
      <c r="AA6626" s="3">
        <v>0.20700183510780301</v>
      </c>
      <c r="AB6626" t="s">
        <v>4673</v>
      </c>
      <c r="AC6626" t="s">
        <v>4562</v>
      </c>
      <c r="AD6626" t="s">
        <v>3093</v>
      </c>
      <c r="AE6626" t="s">
        <v>4655</v>
      </c>
      <c r="AF6626" t="s">
        <v>4563</v>
      </c>
      <c r="AG6626" t="s">
        <v>4564</v>
      </c>
      <c r="AH6626">
        <v>89512</v>
      </c>
      <c r="AI6626" t="s">
        <v>4145</v>
      </c>
      <c r="AJ6626" t="s">
        <v>2778</v>
      </c>
      <c r="AK6626" t="s">
        <v>5332</v>
      </c>
      <c r="AL6626" s="13" t="s">
        <v>1898</v>
      </c>
      <c r="AM6626">
        <v>1</v>
      </c>
      <c r="AN6626" s="15" t="s">
        <v>1598</v>
      </c>
    </row>
    <row r="6627" spans="1:40" x14ac:dyDescent="0.3">
      <c r="A6627" s="10" t="str">
        <f>HYPERLINK("http://www.washoecounty.gov/assessor/cama/?parid=504-502-07&amp;CardNumber=1","504-502-07")</f>
        <v>504-502-07</v>
      </c>
      <c r="B6627" t="s">
        <v>4655</v>
      </c>
      <c r="C6627" t="s">
        <v>31816</v>
      </c>
      <c r="D6627" s="1">
        <v>40283</v>
      </c>
      <c r="E6627" s="2">
        <v>120000</v>
      </c>
      <c r="F6627" t="s">
        <v>4553</v>
      </c>
      <c r="G6627" s="17" t="str">
        <f>HYPERLINK("https://www.washoecounty.gov/assessor/cama/?command=sales&amp;parid=50450207","3871607")</f>
        <v>3871607</v>
      </c>
      <c r="H6627" t="s">
        <v>2777</v>
      </c>
      <c r="I6627">
        <v>1996</v>
      </c>
      <c r="J6627">
        <v>1996</v>
      </c>
      <c r="K6627" t="s">
        <v>4554</v>
      </c>
      <c r="L6627" t="s">
        <v>4555</v>
      </c>
      <c r="M6627" s="2">
        <v>1265</v>
      </c>
      <c r="N6627" t="s">
        <v>4556</v>
      </c>
      <c r="O6627">
        <v>3</v>
      </c>
      <c r="P6627">
        <v>2</v>
      </c>
      <c r="Q6627">
        <v>0</v>
      </c>
      <c r="R6627" t="s">
        <v>4557</v>
      </c>
      <c r="S6627" t="s">
        <v>4558</v>
      </c>
      <c r="T6627" t="s">
        <v>4559</v>
      </c>
      <c r="U6627" t="s">
        <v>4560</v>
      </c>
      <c r="V6627" s="2">
        <v>415</v>
      </c>
      <c r="W6627" t="s">
        <v>4655</v>
      </c>
      <c r="X6627" s="2">
        <v>0</v>
      </c>
      <c r="Y6627">
        <v>20</v>
      </c>
      <c r="Z6627" t="s">
        <v>5508</v>
      </c>
      <c r="AA6627" s="3">
        <v>0.46999540925025901</v>
      </c>
      <c r="AB6627" t="s">
        <v>31817</v>
      </c>
      <c r="AC6627" t="s">
        <v>4562</v>
      </c>
      <c r="AD6627" t="s">
        <v>31818</v>
      </c>
      <c r="AE6627" t="s">
        <v>4655</v>
      </c>
      <c r="AF6627" t="s">
        <v>1570</v>
      </c>
      <c r="AG6627" t="s">
        <v>4564</v>
      </c>
      <c r="AH6627" t="s">
        <v>1601</v>
      </c>
      <c r="AI6627" t="s">
        <v>4045</v>
      </c>
      <c r="AJ6627" t="s">
        <v>2778</v>
      </c>
      <c r="AK6627" t="s">
        <v>31819</v>
      </c>
      <c r="AL6627" s="13" t="s">
        <v>1898</v>
      </c>
      <c r="AM6627">
        <v>1</v>
      </c>
      <c r="AN6627" s="15" t="s">
        <v>1598</v>
      </c>
    </row>
    <row r="6628" spans="1:40" x14ac:dyDescent="0.3">
      <c r="A6628" s="10" t="str">
        <f>HYPERLINK("http://www.washoecounty.gov/assessor/cama/?parid=504-532-02&amp;CardNumber=1","504-532-02")</f>
        <v>504-532-02</v>
      </c>
      <c r="B6628" t="s">
        <v>4655</v>
      </c>
      <c r="C6628" t="s">
        <v>31820</v>
      </c>
      <c r="D6628" s="1">
        <v>40367</v>
      </c>
      <c r="E6628" s="2">
        <v>118000</v>
      </c>
      <c r="F6628" t="s">
        <v>4553</v>
      </c>
      <c r="G6628" s="17" t="str">
        <f>HYPERLINK("https://www.washoecounty.gov/assessor/cama/?command=sales&amp;parid=50453202","3899584")</f>
        <v>3899584</v>
      </c>
      <c r="H6628" t="s">
        <v>3305</v>
      </c>
      <c r="I6628">
        <v>1996</v>
      </c>
      <c r="J6628">
        <v>1996</v>
      </c>
      <c r="K6628" t="s">
        <v>4554</v>
      </c>
      <c r="L6628" t="s">
        <v>4555</v>
      </c>
      <c r="M6628" s="2">
        <v>1161</v>
      </c>
      <c r="N6628" t="s">
        <v>4556</v>
      </c>
      <c r="O6628">
        <v>3</v>
      </c>
      <c r="P6628">
        <v>2</v>
      </c>
      <c r="Q6628">
        <v>0</v>
      </c>
      <c r="R6628" t="s">
        <v>5281</v>
      </c>
      <c r="S6628" t="s">
        <v>4558</v>
      </c>
      <c r="T6628" t="s">
        <v>4559</v>
      </c>
      <c r="U6628" t="s">
        <v>4560</v>
      </c>
      <c r="V6628" s="2">
        <v>535</v>
      </c>
      <c r="W6628" t="s">
        <v>4655</v>
      </c>
      <c r="X6628" s="2">
        <v>0</v>
      </c>
      <c r="Y6628">
        <v>20</v>
      </c>
      <c r="Z6628" t="s">
        <v>5508</v>
      </c>
      <c r="AA6628" s="3">
        <v>0.314003676176071</v>
      </c>
      <c r="AB6628" t="s">
        <v>31821</v>
      </c>
      <c r="AC6628" t="s">
        <v>4562</v>
      </c>
      <c r="AD6628" t="s">
        <v>31820</v>
      </c>
      <c r="AE6628" t="s">
        <v>4655</v>
      </c>
      <c r="AF6628" t="s">
        <v>1600</v>
      </c>
      <c r="AG6628" t="s">
        <v>4564</v>
      </c>
      <c r="AH6628" t="s">
        <v>1601</v>
      </c>
      <c r="AI6628" t="s">
        <v>4503</v>
      </c>
      <c r="AJ6628" t="s">
        <v>3308</v>
      </c>
      <c r="AK6628" t="s">
        <v>31822</v>
      </c>
      <c r="AL6628" s="13" t="s">
        <v>1898</v>
      </c>
      <c r="AM6628">
        <v>1</v>
      </c>
      <c r="AN6628" s="15" t="s">
        <v>1598</v>
      </c>
    </row>
    <row r="6629" spans="1:40" x14ac:dyDescent="0.3">
      <c r="A6629" s="10" t="str">
        <f>HYPERLINK("http://www.washoecounty.gov/assessor/cama/?parid=504-532-06&amp;CardNumber=1","504-532-06")</f>
        <v>504-532-06</v>
      </c>
      <c r="B6629" t="s">
        <v>4655</v>
      </c>
      <c r="C6629" t="s">
        <v>31823</v>
      </c>
      <c r="D6629" s="1">
        <v>40247</v>
      </c>
      <c r="E6629" s="2">
        <v>125000</v>
      </c>
      <c r="F6629" t="s">
        <v>4553</v>
      </c>
      <c r="G6629" s="17" t="str">
        <f>HYPERLINK("https://www.washoecounty.gov/assessor/cama/?command=sales&amp;parid=50453206","3858044")</f>
        <v>3858044</v>
      </c>
      <c r="H6629" t="s">
        <v>3305</v>
      </c>
      <c r="I6629">
        <v>1996</v>
      </c>
      <c r="J6629">
        <v>1996</v>
      </c>
      <c r="K6629" t="s">
        <v>4554</v>
      </c>
      <c r="L6629" t="s">
        <v>4555</v>
      </c>
      <c r="M6629" s="2">
        <v>1345</v>
      </c>
      <c r="N6629" t="s">
        <v>4556</v>
      </c>
      <c r="O6629">
        <v>3</v>
      </c>
      <c r="P6629">
        <v>2</v>
      </c>
      <c r="Q6629">
        <v>0</v>
      </c>
      <c r="R6629" t="s">
        <v>4557</v>
      </c>
      <c r="S6629" t="s">
        <v>4558</v>
      </c>
      <c r="T6629" t="s">
        <v>4559</v>
      </c>
      <c r="U6629" t="s">
        <v>4560</v>
      </c>
      <c r="V6629" s="2">
        <v>415</v>
      </c>
      <c r="W6629" t="s">
        <v>4655</v>
      </c>
      <c r="X6629" s="2">
        <v>0</v>
      </c>
      <c r="Y6629">
        <v>20</v>
      </c>
      <c r="Z6629" t="s">
        <v>5508</v>
      </c>
      <c r="AA6629" s="3">
        <v>0.20000000298023199</v>
      </c>
      <c r="AB6629" t="s">
        <v>31824</v>
      </c>
      <c r="AC6629" t="s">
        <v>4562</v>
      </c>
      <c r="AD6629" t="s">
        <v>31823</v>
      </c>
      <c r="AE6629" t="s">
        <v>4655</v>
      </c>
      <c r="AF6629" t="s">
        <v>1600</v>
      </c>
      <c r="AG6629" t="s">
        <v>4564</v>
      </c>
      <c r="AH6629" t="s">
        <v>1601</v>
      </c>
      <c r="AI6629" t="s">
        <v>4903</v>
      </c>
      <c r="AJ6629" t="s">
        <v>3308</v>
      </c>
      <c r="AK6629" t="s">
        <v>31825</v>
      </c>
      <c r="AL6629" s="13" t="s">
        <v>1898</v>
      </c>
      <c r="AM6629">
        <v>1</v>
      </c>
      <c r="AN6629" s="15" t="s">
        <v>1598</v>
      </c>
    </row>
    <row r="6630" spans="1:40" x14ac:dyDescent="0.3">
      <c r="A6630" s="10" t="str">
        <f>HYPERLINK("http://www.washoecounty.gov/assessor/cama/?parid=504-541-02&amp;CardNumber=1","504-541-02")</f>
        <v>504-541-02</v>
      </c>
      <c r="B6630" t="s">
        <v>4655</v>
      </c>
      <c r="C6630" t="s">
        <v>31826</v>
      </c>
      <c r="D6630" s="1">
        <v>40193</v>
      </c>
      <c r="E6630" s="2">
        <v>102500</v>
      </c>
      <c r="F6630" t="s">
        <v>4553</v>
      </c>
      <c r="G6630" s="17" t="str">
        <f>HYPERLINK("https://www.washoecounty.gov/assessor/cama/?command=sales&amp;parid=50454102","3839422")</f>
        <v>3839422</v>
      </c>
      <c r="H6630" t="s">
        <v>3305</v>
      </c>
      <c r="I6630">
        <v>1996</v>
      </c>
      <c r="J6630">
        <v>1996</v>
      </c>
      <c r="K6630" t="s">
        <v>4554</v>
      </c>
      <c r="L6630" t="s">
        <v>4555</v>
      </c>
      <c r="M6630" s="2">
        <v>1265</v>
      </c>
      <c r="N6630" t="s">
        <v>4556</v>
      </c>
      <c r="O6630">
        <v>3</v>
      </c>
      <c r="P6630">
        <v>2</v>
      </c>
      <c r="Q6630">
        <v>0</v>
      </c>
      <c r="R6630" t="s">
        <v>4557</v>
      </c>
      <c r="S6630" t="s">
        <v>4558</v>
      </c>
      <c r="T6630" t="s">
        <v>4559</v>
      </c>
      <c r="U6630" t="s">
        <v>4560</v>
      </c>
      <c r="V6630" s="2">
        <v>415</v>
      </c>
      <c r="W6630" t="s">
        <v>4655</v>
      </c>
      <c r="X6630" s="2">
        <v>0</v>
      </c>
      <c r="Y6630">
        <v>20</v>
      </c>
      <c r="Z6630" t="s">
        <v>5508</v>
      </c>
      <c r="AA6630" s="3">
        <v>0.207988977432251</v>
      </c>
      <c r="AB6630" t="s">
        <v>31827</v>
      </c>
      <c r="AC6630" t="s">
        <v>4562</v>
      </c>
      <c r="AD6630" t="s">
        <v>31828</v>
      </c>
      <c r="AE6630" t="s">
        <v>4655</v>
      </c>
      <c r="AF6630" t="s">
        <v>3306</v>
      </c>
      <c r="AG6630" t="s">
        <v>4584</v>
      </c>
      <c r="AH6630" t="s">
        <v>3307</v>
      </c>
      <c r="AI6630" t="s">
        <v>4740</v>
      </c>
      <c r="AJ6630" t="s">
        <v>3308</v>
      </c>
      <c r="AK6630" t="s">
        <v>31829</v>
      </c>
      <c r="AL6630" s="13" t="s">
        <v>1898</v>
      </c>
      <c r="AM6630" s="14">
        <v>1</v>
      </c>
      <c r="AN6630" s="15" t="s">
        <v>1598</v>
      </c>
    </row>
    <row r="6631" spans="1:40" x14ac:dyDescent="0.3">
      <c r="A6631" s="10" t="str">
        <f>HYPERLINK("http://www.washoecounty.gov/assessor/cama/?parid=504-542-04&amp;CardNumber=1","504-542-04")</f>
        <v>504-542-04</v>
      </c>
      <c r="B6631" t="s">
        <v>4655</v>
      </c>
      <c r="C6631" t="s">
        <v>31830</v>
      </c>
      <c r="D6631" s="1">
        <v>40361</v>
      </c>
      <c r="E6631" s="2">
        <v>127400</v>
      </c>
      <c r="F6631" t="s">
        <v>4567</v>
      </c>
      <c r="G6631" s="17" t="str">
        <f>HYPERLINK("https://www.washoecounty.gov/assessor/cama/?command=sales&amp;parid=50454204","3898203")</f>
        <v>3898203</v>
      </c>
      <c r="H6631" t="s">
        <v>3305</v>
      </c>
      <c r="I6631">
        <v>1996</v>
      </c>
      <c r="J6631">
        <v>1996</v>
      </c>
      <c r="K6631" t="s">
        <v>4554</v>
      </c>
      <c r="L6631" t="s">
        <v>4555</v>
      </c>
      <c r="M6631" s="2">
        <v>1568</v>
      </c>
      <c r="N6631" t="s">
        <v>4556</v>
      </c>
      <c r="O6631">
        <v>4</v>
      </c>
      <c r="P6631">
        <v>2</v>
      </c>
      <c r="Q6631">
        <v>0</v>
      </c>
      <c r="R6631" t="s">
        <v>4557</v>
      </c>
      <c r="S6631" t="s">
        <v>4558</v>
      </c>
      <c r="T6631" t="s">
        <v>4559</v>
      </c>
      <c r="U6631" t="s">
        <v>4560</v>
      </c>
      <c r="V6631" s="2">
        <v>480</v>
      </c>
      <c r="W6631" t="s">
        <v>4655</v>
      </c>
      <c r="X6631" s="2">
        <v>0</v>
      </c>
      <c r="Y6631">
        <v>20</v>
      </c>
      <c r="Z6631" t="s">
        <v>5508</v>
      </c>
      <c r="AA6631" s="3">
        <v>0.21099632978439301</v>
      </c>
      <c r="AB6631" t="s">
        <v>31831</v>
      </c>
      <c r="AC6631" t="s">
        <v>4562</v>
      </c>
      <c r="AD6631" t="s">
        <v>31830</v>
      </c>
      <c r="AE6631" t="s">
        <v>4655</v>
      </c>
      <c r="AF6631" t="s">
        <v>1600</v>
      </c>
      <c r="AG6631" t="s">
        <v>4564</v>
      </c>
      <c r="AH6631" t="s">
        <v>1601</v>
      </c>
      <c r="AI6631" t="s">
        <v>31832</v>
      </c>
      <c r="AJ6631" t="s">
        <v>3308</v>
      </c>
      <c r="AK6631" t="s">
        <v>31833</v>
      </c>
      <c r="AL6631" s="13" t="s">
        <v>1898</v>
      </c>
      <c r="AM6631">
        <v>1</v>
      </c>
      <c r="AN6631" s="15" t="s">
        <v>1598</v>
      </c>
    </row>
    <row r="6632" spans="1:40" x14ac:dyDescent="0.3">
      <c r="A6632" s="10" t="str">
        <f>HYPERLINK("http://www.washoecounty.gov/assessor/cama/?parid=504-542-10&amp;CardNumber=1","504-542-10")</f>
        <v>504-542-10</v>
      </c>
      <c r="B6632" t="s">
        <v>4655</v>
      </c>
      <c r="C6632" t="s">
        <v>31834</v>
      </c>
      <c r="D6632" s="1">
        <v>40444</v>
      </c>
      <c r="E6632" s="2">
        <v>135600</v>
      </c>
      <c r="F6632" t="s">
        <v>4553</v>
      </c>
      <c r="G6632" s="17" t="str">
        <f>HYPERLINK("https://www.washoecounty.gov/assessor/cama/?command=sales&amp;parid=50454210","3925370")</f>
        <v>3925370</v>
      </c>
      <c r="H6632" t="s">
        <v>3305</v>
      </c>
      <c r="I6632">
        <v>1996</v>
      </c>
      <c r="J6632">
        <v>1996</v>
      </c>
      <c r="K6632" t="s">
        <v>4554</v>
      </c>
      <c r="L6632" t="s">
        <v>4555</v>
      </c>
      <c r="M6632" s="2">
        <v>1696</v>
      </c>
      <c r="N6632" t="s">
        <v>4556</v>
      </c>
      <c r="O6632">
        <v>3</v>
      </c>
      <c r="P6632">
        <v>2</v>
      </c>
      <c r="Q6632">
        <v>0</v>
      </c>
      <c r="R6632" t="s">
        <v>5281</v>
      </c>
      <c r="S6632" t="s">
        <v>4558</v>
      </c>
      <c r="T6632" t="s">
        <v>4559</v>
      </c>
      <c r="U6632" t="s">
        <v>4560</v>
      </c>
      <c r="V6632" s="2">
        <v>576</v>
      </c>
      <c r="W6632" t="s">
        <v>4655</v>
      </c>
      <c r="X6632" s="2">
        <v>0</v>
      </c>
      <c r="Y6632">
        <v>20</v>
      </c>
      <c r="Z6632" t="s">
        <v>5508</v>
      </c>
      <c r="AA6632" s="3">
        <v>0.221005514264107</v>
      </c>
      <c r="AB6632" t="s">
        <v>4673</v>
      </c>
      <c r="AC6632" t="s">
        <v>4562</v>
      </c>
      <c r="AD6632" t="s">
        <v>3093</v>
      </c>
      <c r="AE6632" t="s">
        <v>4655</v>
      </c>
      <c r="AF6632" t="s">
        <v>4563</v>
      </c>
      <c r="AG6632" t="s">
        <v>4564</v>
      </c>
      <c r="AH6632">
        <v>89512</v>
      </c>
      <c r="AI6632" t="s">
        <v>4903</v>
      </c>
      <c r="AJ6632" t="s">
        <v>3308</v>
      </c>
      <c r="AK6632" t="s">
        <v>31835</v>
      </c>
      <c r="AL6632" s="13" t="s">
        <v>1898</v>
      </c>
      <c r="AM6632" s="14">
        <v>1</v>
      </c>
      <c r="AN6632" s="15" t="s">
        <v>1598</v>
      </c>
    </row>
    <row r="6633" spans="1:40" x14ac:dyDescent="0.3">
      <c r="A6633" s="10" t="str">
        <f>HYPERLINK("http://www.washoecounty.gov/assessor/cama/?parid=504-543-05&amp;CardNumber=1","504-543-05")</f>
        <v>504-543-05</v>
      </c>
      <c r="B6633" t="s">
        <v>4655</v>
      </c>
      <c r="C6633" t="s">
        <v>31836</v>
      </c>
      <c r="D6633" s="1">
        <v>40302</v>
      </c>
      <c r="E6633" s="2">
        <v>142000</v>
      </c>
      <c r="F6633" t="s">
        <v>4553</v>
      </c>
      <c r="G6633" s="17" t="str">
        <f>HYPERLINK("https://www.washoecounty.gov/assessor/cama/?command=sales&amp;parid=50454305","3877986")</f>
        <v>3877986</v>
      </c>
      <c r="H6633" t="s">
        <v>3305</v>
      </c>
      <c r="I6633">
        <v>1996</v>
      </c>
      <c r="J6633">
        <v>1996</v>
      </c>
      <c r="K6633" t="s">
        <v>4554</v>
      </c>
      <c r="L6633" t="s">
        <v>4555</v>
      </c>
      <c r="M6633" s="2">
        <v>1792</v>
      </c>
      <c r="N6633" t="s">
        <v>4556</v>
      </c>
      <c r="O6633">
        <v>4</v>
      </c>
      <c r="P6633">
        <v>2</v>
      </c>
      <c r="Q6633">
        <v>0</v>
      </c>
      <c r="R6633" t="s">
        <v>4557</v>
      </c>
      <c r="S6633" t="s">
        <v>4558</v>
      </c>
      <c r="T6633" t="s">
        <v>4559</v>
      </c>
      <c r="U6633" t="s">
        <v>4560</v>
      </c>
      <c r="V6633" s="2">
        <v>480</v>
      </c>
      <c r="W6633" t="s">
        <v>4655</v>
      </c>
      <c r="X6633" s="2">
        <v>0</v>
      </c>
      <c r="Y6633">
        <v>20</v>
      </c>
      <c r="Z6633" t="s">
        <v>5508</v>
      </c>
      <c r="AA6633" s="3">
        <v>0.21701101958751701</v>
      </c>
      <c r="AB6633" t="s">
        <v>31837</v>
      </c>
      <c r="AC6633" t="s">
        <v>4575</v>
      </c>
      <c r="AD6633" t="s">
        <v>31836</v>
      </c>
      <c r="AE6633" t="s">
        <v>4655</v>
      </c>
      <c r="AF6633" t="s">
        <v>1600</v>
      </c>
      <c r="AG6633" t="s">
        <v>4564</v>
      </c>
      <c r="AH6633" t="s">
        <v>1601</v>
      </c>
      <c r="AI6633" t="s">
        <v>4565</v>
      </c>
      <c r="AJ6633" t="s">
        <v>3308</v>
      </c>
      <c r="AK6633" t="s">
        <v>31838</v>
      </c>
      <c r="AL6633" s="13" t="s">
        <v>1898</v>
      </c>
      <c r="AM6633">
        <v>1</v>
      </c>
      <c r="AN6633" s="15" t="s">
        <v>1598</v>
      </c>
    </row>
    <row r="6634" spans="1:40" x14ac:dyDescent="0.3">
      <c r="A6634" s="10" t="str">
        <f>HYPERLINK("http://www.washoecounty.gov/assessor/cama/?parid=504-551-07&amp;CardNumber=1","504-551-07")</f>
        <v>504-551-07</v>
      </c>
      <c r="B6634" t="s">
        <v>4655</v>
      </c>
      <c r="C6634" t="s">
        <v>31839</v>
      </c>
      <c r="D6634" s="1">
        <v>40234</v>
      </c>
      <c r="E6634" s="2">
        <v>144000</v>
      </c>
      <c r="F6634" t="s">
        <v>4567</v>
      </c>
      <c r="G6634" s="17" t="str">
        <f>HYPERLINK("https://www.washoecounty.gov/assessor/cama/?command=sales&amp;parid=50455107","3852575")</f>
        <v>3852575</v>
      </c>
      <c r="H6634" t="s">
        <v>3305</v>
      </c>
      <c r="I6634">
        <v>1996</v>
      </c>
      <c r="J6634">
        <v>1996</v>
      </c>
      <c r="K6634" t="s">
        <v>4554</v>
      </c>
      <c r="L6634" t="s">
        <v>4555</v>
      </c>
      <c r="M6634" s="2">
        <v>1568</v>
      </c>
      <c r="N6634" t="s">
        <v>4556</v>
      </c>
      <c r="O6634">
        <v>3</v>
      </c>
      <c r="P6634">
        <v>2</v>
      </c>
      <c r="Q6634">
        <v>0</v>
      </c>
      <c r="R6634" t="s">
        <v>4557</v>
      </c>
      <c r="S6634" t="s">
        <v>4558</v>
      </c>
      <c r="T6634" t="s">
        <v>4559</v>
      </c>
      <c r="U6634" t="s">
        <v>4560</v>
      </c>
      <c r="V6634" s="2">
        <v>480</v>
      </c>
      <c r="W6634" t="s">
        <v>4655</v>
      </c>
      <c r="X6634" s="2">
        <v>0</v>
      </c>
      <c r="Y6634">
        <v>20</v>
      </c>
      <c r="Z6634" t="s">
        <v>5508</v>
      </c>
      <c r="AA6634" s="3">
        <v>0.48298898339271545</v>
      </c>
      <c r="AB6634" t="s">
        <v>31840</v>
      </c>
      <c r="AC6634" t="s">
        <v>4562</v>
      </c>
      <c r="AD6634" t="s">
        <v>31841</v>
      </c>
      <c r="AE6634" t="s">
        <v>4655</v>
      </c>
      <c r="AF6634" t="s">
        <v>1600</v>
      </c>
      <c r="AG6634" t="s">
        <v>4564</v>
      </c>
      <c r="AH6634" t="s">
        <v>1601</v>
      </c>
      <c r="AI6634" t="s">
        <v>31842</v>
      </c>
      <c r="AJ6634" t="s">
        <v>3308</v>
      </c>
      <c r="AK6634" t="s">
        <v>31843</v>
      </c>
      <c r="AL6634" s="13" t="s">
        <v>1898</v>
      </c>
      <c r="AM6634" s="14">
        <v>1</v>
      </c>
      <c r="AN6634" s="15" t="s">
        <v>1598</v>
      </c>
    </row>
    <row r="6635" spans="1:40" x14ac:dyDescent="0.3">
      <c r="A6635" s="10" t="str">
        <f>HYPERLINK("http://www.washoecounty.gov/assessor/cama/?parid=504-551-08&amp;CardNumber=1","504-551-08")</f>
        <v>504-551-08</v>
      </c>
      <c r="B6635" t="s">
        <v>4655</v>
      </c>
      <c r="C6635" t="s">
        <v>31844</v>
      </c>
      <c r="D6635" s="1">
        <v>40423</v>
      </c>
      <c r="E6635" s="2">
        <v>113850</v>
      </c>
      <c r="F6635" t="s">
        <v>4567</v>
      </c>
      <c r="G6635" s="17" t="str">
        <f>HYPERLINK("https://www.washoecounty.gov/assessor/cama/?command=sales&amp;parid=50455108","3918546")</f>
        <v>3918546</v>
      </c>
      <c r="H6635" t="s">
        <v>3305</v>
      </c>
      <c r="I6635">
        <v>1996</v>
      </c>
      <c r="J6635">
        <v>1996</v>
      </c>
      <c r="K6635" t="s">
        <v>4554</v>
      </c>
      <c r="L6635" t="s">
        <v>4555</v>
      </c>
      <c r="M6635" s="2">
        <v>1105</v>
      </c>
      <c r="N6635" t="s">
        <v>4556</v>
      </c>
      <c r="O6635">
        <v>3</v>
      </c>
      <c r="P6635">
        <v>2</v>
      </c>
      <c r="Q6635">
        <v>0</v>
      </c>
      <c r="R6635" t="s">
        <v>4557</v>
      </c>
      <c r="S6635" t="s">
        <v>4558</v>
      </c>
      <c r="T6635" t="s">
        <v>4559</v>
      </c>
      <c r="U6635" t="s">
        <v>4560</v>
      </c>
      <c r="V6635" s="2">
        <v>495</v>
      </c>
      <c r="W6635" t="s">
        <v>4655</v>
      </c>
      <c r="X6635" s="2">
        <v>0</v>
      </c>
      <c r="Y6635">
        <v>20</v>
      </c>
      <c r="Z6635" t="s">
        <v>5508</v>
      </c>
      <c r="AA6635" s="3">
        <v>0.346005499362946</v>
      </c>
      <c r="AB6635" t="s">
        <v>4673</v>
      </c>
      <c r="AC6635" t="s">
        <v>4562</v>
      </c>
      <c r="AD6635" t="s">
        <v>3093</v>
      </c>
      <c r="AE6635" t="s">
        <v>4655</v>
      </c>
      <c r="AF6635" t="s">
        <v>4563</v>
      </c>
      <c r="AG6635" t="s">
        <v>4564</v>
      </c>
      <c r="AH6635">
        <v>89512</v>
      </c>
      <c r="AI6635" t="s">
        <v>31845</v>
      </c>
      <c r="AJ6635" t="s">
        <v>3308</v>
      </c>
      <c r="AK6635" t="s">
        <v>31846</v>
      </c>
      <c r="AL6635" s="13" t="s">
        <v>1898</v>
      </c>
      <c r="AM6635">
        <v>1</v>
      </c>
      <c r="AN6635" s="15" t="s">
        <v>1598</v>
      </c>
    </row>
    <row r="6636" spans="1:40" x14ac:dyDescent="0.3">
      <c r="A6636" s="10" t="str">
        <f>HYPERLINK("http://www.washoecounty.gov/assessor/cama/?parid=504-551-21&amp;CardNumber=1","504-551-21")</f>
        <v>504-551-21</v>
      </c>
      <c r="B6636" t="s">
        <v>4655</v>
      </c>
      <c r="C6636" t="s">
        <v>31847</v>
      </c>
      <c r="D6636" s="1">
        <v>40399</v>
      </c>
      <c r="E6636" s="2">
        <v>140338</v>
      </c>
      <c r="F6636" t="s">
        <v>4567</v>
      </c>
      <c r="G6636" s="17" t="str">
        <f>HYPERLINK("https://www.washoecounty.gov/assessor/cama/?command=sales&amp;parid=50455121","3910063")</f>
        <v>3910063</v>
      </c>
      <c r="H6636" t="s">
        <v>3305</v>
      </c>
      <c r="I6636">
        <v>1996</v>
      </c>
      <c r="J6636">
        <v>1996</v>
      </c>
      <c r="K6636" t="s">
        <v>4554</v>
      </c>
      <c r="L6636" t="s">
        <v>4555</v>
      </c>
      <c r="M6636" s="2">
        <v>1696</v>
      </c>
      <c r="N6636" t="s">
        <v>4556</v>
      </c>
      <c r="O6636">
        <v>3</v>
      </c>
      <c r="P6636">
        <v>2</v>
      </c>
      <c r="Q6636">
        <v>0</v>
      </c>
      <c r="R6636" t="s">
        <v>4557</v>
      </c>
      <c r="S6636" t="s">
        <v>4558</v>
      </c>
      <c r="T6636" t="s">
        <v>4559</v>
      </c>
      <c r="U6636" t="s">
        <v>4560</v>
      </c>
      <c r="V6636" s="2">
        <v>576</v>
      </c>
      <c r="W6636" t="s">
        <v>4655</v>
      </c>
      <c r="X6636" s="2">
        <v>0</v>
      </c>
      <c r="Y6636">
        <v>20</v>
      </c>
      <c r="Z6636" t="s">
        <v>5508</v>
      </c>
      <c r="AA6636" s="3">
        <v>0.32899448275566101</v>
      </c>
      <c r="AB6636" t="s">
        <v>31848</v>
      </c>
      <c r="AC6636" t="s">
        <v>4562</v>
      </c>
      <c r="AD6636" t="s">
        <v>31847</v>
      </c>
      <c r="AE6636" t="s">
        <v>4655</v>
      </c>
      <c r="AF6636" t="s">
        <v>1600</v>
      </c>
      <c r="AG6636" t="s">
        <v>4564</v>
      </c>
      <c r="AH6636" t="s">
        <v>1601</v>
      </c>
      <c r="AI6636" t="s">
        <v>31849</v>
      </c>
      <c r="AJ6636" t="s">
        <v>3308</v>
      </c>
      <c r="AK6636" t="s">
        <v>31850</v>
      </c>
      <c r="AL6636" s="13" t="s">
        <v>1898</v>
      </c>
      <c r="AM6636" s="14">
        <v>1</v>
      </c>
      <c r="AN6636" s="15" t="s">
        <v>1598</v>
      </c>
    </row>
    <row r="6637" spans="1:40" x14ac:dyDescent="0.3">
      <c r="A6637" s="10" t="str">
        <f>HYPERLINK("http://www.washoecounty.gov/assessor/cama/?parid=504-553-07&amp;CardNumber=1","504-553-07")</f>
        <v>504-553-07</v>
      </c>
      <c r="B6637" t="s">
        <v>4655</v>
      </c>
      <c r="C6637" t="s">
        <v>31851</v>
      </c>
      <c r="D6637" s="1">
        <v>40232</v>
      </c>
      <c r="E6637" s="2">
        <v>125900</v>
      </c>
      <c r="F6637" t="s">
        <v>4553</v>
      </c>
      <c r="G6637" s="17" t="str">
        <f>HYPERLINK("https://www.washoecounty.gov/assessor/cama/?command=sales&amp;parid=50455307","3851734")</f>
        <v>3851734</v>
      </c>
      <c r="H6637" t="s">
        <v>3305</v>
      </c>
      <c r="I6637">
        <v>1996</v>
      </c>
      <c r="J6637">
        <v>1996</v>
      </c>
      <c r="K6637" t="s">
        <v>4554</v>
      </c>
      <c r="L6637" t="s">
        <v>4555</v>
      </c>
      <c r="M6637" s="2">
        <v>1265</v>
      </c>
      <c r="N6637" t="s">
        <v>4556</v>
      </c>
      <c r="O6637">
        <v>3</v>
      </c>
      <c r="P6637">
        <v>2</v>
      </c>
      <c r="Q6637">
        <v>0</v>
      </c>
      <c r="R6637" t="s">
        <v>5281</v>
      </c>
      <c r="S6637" t="s">
        <v>4558</v>
      </c>
      <c r="T6637" t="s">
        <v>4559</v>
      </c>
      <c r="U6637" t="s">
        <v>4560</v>
      </c>
      <c r="V6637" s="2">
        <v>415</v>
      </c>
      <c r="W6637" t="s">
        <v>4655</v>
      </c>
      <c r="X6637" s="2">
        <v>0</v>
      </c>
      <c r="Y6637">
        <v>20</v>
      </c>
      <c r="Z6637" t="s">
        <v>5508</v>
      </c>
      <c r="AA6637" s="3">
        <v>0.20000000298023199</v>
      </c>
      <c r="AB6637" t="s">
        <v>31852</v>
      </c>
      <c r="AC6637" t="s">
        <v>4562</v>
      </c>
      <c r="AD6637" t="s">
        <v>31851</v>
      </c>
      <c r="AE6637" t="s">
        <v>4655</v>
      </c>
      <c r="AF6637" t="s">
        <v>1600</v>
      </c>
      <c r="AG6637" t="s">
        <v>4564</v>
      </c>
      <c r="AH6637" t="s">
        <v>1601</v>
      </c>
      <c r="AI6637" t="s">
        <v>1267</v>
      </c>
      <c r="AJ6637" t="s">
        <v>3308</v>
      </c>
      <c r="AK6637" t="s">
        <v>31853</v>
      </c>
      <c r="AL6637" s="13" t="s">
        <v>1898</v>
      </c>
      <c r="AM6637" s="14">
        <v>1</v>
      </c>
      <c r="AN6637" s="15" t="s">
        <v>1598</v>
      </c>
    </row>
    <row r="6638" spans="1:40" x14ac:dyDescent="0.3">
      <c r="A6638" s="10" t="str">
        <f>HYPERLINK("http://www.washoecounty.gov/assessor/cama/?parid=504-554-04&amp;CardNumber=1","504-554-04")</f>
        <v>504-554-04</v>
      </c>
      <c r="B6638" t="s">
        <v>4655</v>
      </c>
      <c r="C6638" t="s">
        <v>31854</v>
      </c>
      <c r="D6638" s="1">
        <v>40529</v>
      </c>
      <c r="E6638" s="2">
        <v>129900</v>
      </c>
      <c r="F6638" t="s">
        <v>4553</v>
      </c>
      <c r="G6638" s="17" t="str">
        <f>HYPERLINK("https://www.washoecounty.gov/assessor/cama/?command=sales&amp;parid=50455404","3954759")</f>
        <v>3954759</v>
      </c>
      <c r="H6638" t="s">
        <v>3305</v>
      </c>
      <c r="I6638">
        <v>1996</v>
      </c>
      <c r="J6638">
        <v>1996</v>
      </c>
      <c r="K6638" t="s">
        <v>4554</v>
      </c>
      <c r="L6638" t="s">
        <v>4555</v>
      </c>
      <c r="M6638" s="2">
        <v>1505</v>
      </c>
      <c r="N6638" t="s">
        <v>4556</v>
      </c>
      <c r="O6638">
        <v>3</v>
      </c>
      <c r="P6638">
        <v>2</v>
      </c>
      <c r="Q6638">
        <v>0</v>
      </c>
      <c r="R6638" t="s">
        <v>5281</v>
      </c>
      <c r="S6638" t="s">
        <v>4558</v>
      </c>
      <c r="T6638" t="s">
        <v>4559</v>
      </c>
      <c r="U6638" t="s">
        <v>4560</v>
      </c>
      <c r="V6638" s="2">
        <v>415</v>
      </c>
      <c r="W6638" t="s">
        <v>4655</v>
      </c>
      <c r="X6638" s="2">
        <v>0</v>
      </c>
      <c r="Y6638">
        <v>20</v>
      </c>
      <c r="Z6638" t="s">
        <v>5508</v>
      </c>
      <c r="AA6638" s="3">
        <v>0.17398989200591999</v>
      </c>
      <c r="AB6638" t="s">
        <v>31855</v>
      </c>
      <c r="AC6638" t="s">
        <v>4562</v>
      </c>
      <c r="AD6638" t="s">
        <v>31854</v>
      </c>
      <c r="AE6638" t="s">
        <v>4655</v>
      </c>
      <c r="AF6638" t="s">
        <v>1600</v>
      </c>
      <c r="AG6638" t="s">
        <v>4564</v>
      </c>
      <c r="AH6638" t="s">
        <v>1601</v>
      </c>
      <c r="AI6638" t="s">
        <v>31856</v>
      </c>
      <c r="AJ6638" t="s">
        <v>3308</v>
      </c>
      <c r="AK6638" t="s">
        <v>31857</v>
      </c>
      <c r="AL6638" s="13" t="s">
        <v>1898</v>
      </c>
      <c r="AM6638">
        <v>1</v>
      </c>
      <c r="AN6638" s="15" t="s">
        <v>1598</v>
      </c>
    </row>
    <row r="6639" spans="1:40" x14ac:dyDescent="0.3">
      <c r="A6639" s="10" t="str">
        <f>HYPERLINK("http://www.washoecounty.gov/assessor/cama/?parid=504-561-17&amp;CardNumber=1","504-561-17")</f>
        <v>504-561-17</v>
      </c>
      <c r="B6639" t="s">
        <v>4655</v>
      </c>
      <c r="C6639" t="s">
        <v>31858</v>
      </c>
      <c r="D6639" s="1">
        <v>40512</v>
      </c>
      <c r="E6639" s="2">
        <v>125001</v>
      </c>
      <c r="F6639" t="s">
        <v>4567</v>
      </c>
      <c r="G6639" s="17" t="str">
        <f>HYPERLINK("https://www.washoecounty.gov/assessor/cama/?command=sales&amp;parid=50456117","3947794")</f>
        <v>3947794</v>
      </c>
      <c r="H6639" t="s">
        <v>2977</v>
      </c>
      <c r="I6639">
        <v>1997</v>
      </c>
      <c r="J6639">
        <v>1997</v>
      </c>
      <c r="K6639" t="s">
        <v>4554</v>
      </c>
      <c r="L6639" t="s">
        <v>4555</v>
      </c>
      <c r="M6639" s="2">
        <v>1568</v>
      </c>
      <c r="N6639" t="s">
        <v>4556</v>
      </c>
      <c r="O6639">
        <v>3</v>
      </c>
      <c r="P6639">
        <v>2</v>
      </c>
      <c r="Q6639">
        <v>0</v>
      </c>
      <c r="R6639" t="s">
        <v>4557</v>
      </c>
      <c r="S6639" t="s">
        <v>4558</v>
      </c>
      <c r="T6639" t="s">
        <v>4559</v>
      </c>
      <c r="U6639" t="s">
        <v>4560</v>
      </c>
      <c r="V6639" s="2">
        <v>480</v>
      </c>
      <c r="W6639" t="s">
        <v>4655</v>
      </c>
      <c r="X6639" s="2">
        <v>0</v>
      </c>
      <c r="Y6639">
        <v>20</v>
      </c>
      <c r="Z6639" t="s">
        <v>5508</v>
      </c>
      <c r="AA6639" s="3">
        <v>0.31499081850051902</v>
      </c>
      <c r="AB6639" t="s">
        <v>31859</v>
      </c>
      <c r="AC6639" t="s">
        <v>4562</v>
      </c>
      <c r="AD6639" t="s">
        <v>31860</v>
      </c>
      <c r="AE6639" t="s">
        <v>4655</v>
      </c>
      <c r="AF6639" t="s">
        <v>3660</v>
      </c>
      <c r="AG6639" t="s">
        <v>4584</v>
      </c>
      <c r="AH6639" t="s">
        <v>3661</v>
      </c>
      <c r="AI6639" t="s">
        <v>31861</v>
      </c>
      <c r="AJ6639" t="s">
        <v>2978</v>
      </c>
      <c r="AK6639" t="s">
        <v>31862</v>
      </c>
      <c r="AL6639" s="13" t="s">
        <v>1898</v>
      </c>
      <c r="AM6639" s="14">
        <v>1</v>
      </c>
      <c r="AN6639" s="15" t="s">
        <v>1598</v>
      </c>
    </row>
    <row r="6640" spans="1:40" x14ac:dyDescent="0.3">
      <c r="A6640" s="10" t="str">
        <f>HYPERLINK("http://www.washoecounty.gov/assessor/cama/?parid=504-561-23&amp;CardNumber=1","504-561-23")</f>
        <v>504-561-23</v>
      </c>
      <c r="B6640" t="s">
        <v>4655</v>
      </c>
      <c r="C6640" t="s">
        <v>31863</v>
      </c>
      <c r="D6640" s="1">
        <v>40340</v>
      </c>
      <c r="E6640" s="2">
        <v>115000</v>
      </c>
      <c r="F6640" t="s">
        <v>4567</v>
      </c>
      <c r="G6640" s="17" t="str">
        <f>HYPERLINK("https://www.washoecounty.gov/assessor/cama/?command=sales&amp;parid=50456123","3890971")</f>
        <v>3890971</v>
      </c>
      <c r="H6640" t="s">
        <v>4168</v>
      </c>
      <c r="I6640">
        <v>1997</v>
      </c>
      <c r="J6640">
        <v>1997</v>
      </c>
      <c r="K6640" t="s">
        <v>4554</v>
      </c>
      <c r="L6640" t="s">
        <v>4555</v>
      </c>
      <c r="M6640" s="2">
        <v>1144</v>
      </c>
      <c r="N6640" t="s">
        <v>4556</v>
      </c>
      <c r="O6640">
        <v>3</v>
      </c>
      <c r="P6640">
        <v>2</v>
      </c>
      <c r="Q6640">
        <v>0</v>
      </c>
      <c r="R6640" t="s">
        <v>4557</v>
      </c>
      <c r="S6640" t="s">
        <v>4558</v>
      </c>
      <c r="T6640" t="s">
        <v>4559</v>
      </c>
      <c r="U6640" t="s">
        <v>4560</v>
      </c>
      <c r="V6640" s="2">
        <v>400</v>
      </c>
      <c r="W6640" t="s">
        <v>4655</v>
      </c>
      <c r="X6640" s="2">
        <v>0</v>
      </c>
      <c r="Y6640">
        <v>20</v>
      </c>
      <c r="Z6640" t="s">
        <v>5508</v>
      </c>
      <c r="AA6640" s="3">
        <v>0.207988977432251</v>
      </c>
      <c r="AB6640" t="s">
        <v>31864</v>
      </c>
      <c r="AC6640" t="s">
        <v>4562</v>
      </c>
      <c r="AD6640" t="s">
        <v>31863</v>
      </c>
      <c r="AE6640" t="s">
        <v>4655</v>
      </c>
      <c r="AF6640" t="s">
        <v>1600</v>
      </c>
      <c r="AG6640" t="s">
        <v>4564</v>
      </c>
      <c r="AH6640" t="s">
        <v>1601</v>
      </c>
      <c r="AI6640" t="s">
        <v>31865</v>
      </c>
      <c r="AJ6640" t="s">
        <v>2978</v>
      </c>
      <c r="AK6640" t="s">
        <v>31866</v>
      </c>
      <c r="AL6640" s="13" t="s">
        <v>1898</v>
      </c>
      <c r="AM6640">
        <v>1</v>
      </c>
      <c r="AN6640" s="15" t="s">
        <v>1598</v>
      </c>
    </row>
    <row r="6641" spans="1:40" x14ac:dyDescent="0.3">
      <c r="A6641" s="10" t="str">
        <f>HYPERLINK("http://www.washoecounty.gov/assessor/cama/?parid=504-571-24&amp;CardNumber=1","504-571-24")</f>
        <v>504-571-24</v>
      </c>
      <c r="B6641" t="s">
        <v>4655</v>
      </c>
      <c r="C6641" t="s">
        <v>31867</v>
      </c>
      <c r="D6641" s="1">
        <v>40394</v>
      </c>
      <c r="E6641" s="2">
        <v>109000</v>
      </c>
      <c r="F6641" t="s">
        <v>4553</v>
      </c>
      <c r="G6641" s="17" t="str">
        <f>HYPERLINK("https://www.washoecounty.gov/assessor/cama/?command=sales&amp;parid=50457124","3908777")</f>
        <v>3908777</v>
      </c>
      <c r="H6641" t="s">
        <v>2977</v>
      </c>
      <c r="I6641">
        <v>1997</v>
      </c>
      <c r="J6641">
        <v>1997</v>
      </c>
      <c r="K6641" t="s">
        <v>4554</v>
      </c>
      <c r="L6641" t="s">
        <v>4555</v>
      </c>
      <c r="M6641" s="2">
        <v>1105</v>
      </c>
      <c r="N6641" t="s">
        <v>4556</v>
      </c>
      <c r="O6641">
        <v>3</v>
      </c>
      <c r="P6641">
        <v>2</v>
      </c>
      <c r="Q6641">
        <v>0</v>
      </c>
      <c r="R6641" t="s">
        <v>4557</v>
      </c>
      <c r="S6641" t="s">
        <v>4558</v>
      </c>
      <c r="T6641" t="s">
        <v>4559</v>
      </c>
      <c r="U6641" t="s">
        <v>4560</v>
      </c>
      <c r="V6641" s="2">
        <v>415</v>
      </c>
      <c r="W6641" t="s">
        <v>4655</v>
      </c>
      <c r="X6641" s="2">
        <v>0</v>
      </c>
      <c r="Y6641">
        <v>20</v>
      </c>
      <c r="Z6641" t="s">
        <v>5508</v>
      </c>
      <c r="AA6641" s="3">
        <v>0.31900826096534701</v>
      </c>
      <c r="AB6641" t="s">
        <v>31868</v>
      </c>
      <c r="AC6641" t="s">
        <v>4575</v>
      </c>
      <c r="AD6641" t="s">
        <v>31869</v>
      </c>
      <c r="AE6641" t="s">
        <v>4655</v>
      </c>
      <c r="AF6641" t="s">
        <v>1730</v>
      </c>
      <c r="AG6641" t="s">
        <v>31870</v>
      </c>
      <c r="AH6641">
        <v>96706</v>
      </c>
      <c r="AI6641" t="s">
        <v>31868</v>
      </c>
      <c r="AJ6641" t="s">
        <v>2978</v>
      </c>
      <c r="AK6641" t="s">
        <v>31871</v>
      </c>
      <c r="AL6641" s="13" t="s">
        <v>1898</v>
      </c>
      <c r="AM6641">
        <v>1</v>
      </c>
      <c r="AN6641" s="15" t="s">
        <v>1598</v>
      </c>
    </row>
    <row r="6642" spans="1:40" x14ac:dyDescent="0.3">
      <c r="A6642" s="10" t="str">
        <f>HYPERLINK("http://www.washoecounty.gov/assessor/cama/?parid=504-571-32&amp;CardNumber=1","504-571-32")</f>
        <v>504-571-32</v>
      </c>
      <c r="B6642" t="s">
        <v>4655</v>
      </c>
      <c r="C6642" t="s">
        <v>31872</v>
      </c>
      <c r="D6642" s="1">
        <v>40266</v>
      </c>
      <c r="E6642" s="2">
        <v>106000</v>
      </c>
      <c r="F6642" t="s">
        <v>4553</v>
      </c>
      <c r="G6642" s="17" t="str">
        <f>HYPERLINK("https://www.washoecounty.gov/assessor/cama/?command=sales&amp;parid=50457132","3865149")</f>
        <v>3865149</v>
      </c>
      <c r="H6642" t="s">
        <v>2977</v>
      </c>
      <c r="I6642">
        <v>1997</v>
      </c>
      <c r="J6642">
        <v>1997</v>
      </c>
      <c r="K6642" t="s">
        <v>4554</v>
      </c>
      <c r="L6642" t="s">
        <v>4555</v>
      </c>
      <c r="M6642" s="2">
        <v>984</v>
      </c>
      <c r="N6642" t="s">
        <v>4556</v>
      </c>
      <c r="O6642">
        <v>3</v>
      </c>
      <c r="P6642">
        <v>2</v>
      </c>
      <c r="Q6642">
        <v>0</v>
      </c>
      <c r="R6642" t="s">
        <v>5281</v>
      </c>
      <c r="S6642" t="s">
        <v>4558</v>
      </c>
      <c r="T6642" t="s">
        <v>4559</v>
      </c>
      <c r="U6642" t="s">
        <v>4560</v>
      </c>
      <c r="V6642" s="2">
        <v>400</v>
      </c>
      <c r="W6642" t="s">
        <v>4655</v>
      </c>
      <c r="X6642" s="2">
        <v>0</v>
      </c>
      <c r="Y6642">
        <v>20</v>
      </c>
      <c r="Z6642" t="s">
        <v>5508</v>
      </c>
      <c r="AA6642" s="3">
        <v>0.19100092351436601</v>
      </c>
      <c r="AB6642" t="s">
        <v>31873</v>
      </c>
      <c r="AC6642" t="s">
        <v>4562</v>
      </c>
      <c r="AD6642" t="s">
        <v>31874</v>
      </c>
      <c r="AE6642" t="s">
        <v>4655</v>
      </c>
      <c r="AF6642" t="s">
        <v>1570</v>
      </c>
      <c r="AG6642" t="s">
        <v>4564</v>
      </c>
      <c r="AH6642" t="s">
        <v>1601</v>
      </c>
      <c r="AI6642" t="s">
        <v>4848</v>
      </c>
      <c r="AJ6642" t="s">
        <v>2978</v>
      </c>
      <c r="AK6642" t="s">
        <v>31875</v>
      </c>
      <c r="AL6642" s="13" t="s">
        <v>1898</v>
      </c>
      <c r="AM6642" s="14">
        <v>1</v>
      </c>
      <c r="AN6642" s="15" t="s">
        <v>1598</v>
      </c>
    </row>
    <row r="6643" spans="1:40" x14ac:dyDescent="0.3">
      <c r="A6643" s="10" t="str">
        <f>HYPERLINK("http://www.washoecounty.gov/assessor/cama/?parid=504-591-21&amp;CardNumber=1","504-591-21")</f>
        <v>504-591-21</v>
      </c>
      <c r="B6643" t="s">
        <v>4655</v>
      </c>
      <c r="C6643" t="s">
        <v>31876</v>
      </c>
      <c r="D6643" s="1">
        <v>40198</v>
      </c>
      <c r="E6643" s="2">
        <v>100000</v>
      </c>
      <c r="F6643" t="s">
        <v>4553</v>
      </c>
      <c r="G6643" s="17" t="str">
        <f>HYPERLINK("https://www.washoecounty.gov/assessor/cama/?command=sales&amp;parid=50459121","3840904")</f>
        <v>3840904</v>
      </c>
      <c r="H6643" t="s">
        <v>3309</v>
      </c>
      <c r="I6643">
        <v>1997</v>
      </c>
      <c r="J6643">
        <v>1997</v>
      </c>
      <c r="K6643" t="s">
        <v>4554</v>
      </c>
      <c r="L6643" t="s">
        <v>4555</v>
      </c>
      <c r="M6643" s="2">
        <v>1040</v>
      </c>
      <c r="N6643" t="s">
        <v>4556</v>
      </c>
      <c r="O6643">
        <v>3</v>
      </c>
      <c r="P6643">
        <v>2</v>
      </c>
      <c r="Q6643">
        <v>0</v>
      </c>
      <c r="R6643" t="s">
        <v>5281</v>
      </c>
      <c r="S6643" t="s">
        <v>4558</v>
      </c>
      <c r="T6643" t="s">
        <v>4559</v>
      </c>
      <c r="U6643" t="s">
        <v>4560</v>
      </c>
      <c r="V6643" s="2">
        <v>400</v>
      </c>
      <c r="W6643" t="s">
        <v>4655</v>
      </c>
      <c r="X6643" s="2">
        <v>0</v>
      </c>
      <c r="Y6643">
        <v>20</v>
      </c>
      <c r="Z6643" t="s">
        <v>5508</v>
      </c>
      <c r="AA6643" s="3">
        <v>0.26099634170532199</v>
      </c>
      <c r="AB6643" t="s">
        <v>31877</v>
      </c>
      <c r="AC6643" t="s">
        <v>4575</v>
      </c>
      <c r="AD6643" t="s">
        <v>31878</v>
      </c>
      <c r="AE6643" t="s">
        <v>31876</v>
      </c>
      <c r="AF6643" t="s">
        <v>1600</v>
      </c>
      <c r="AG6643" t="s">
        <v>4564</v>
      </c>
      <c r="AH6643" t="s">
        <v>1601</v>
      </c>
      <c r="AI6643" t="s">
        <v>4585</v>
      </c>
      <c r="AJ6643" t="s">
        <v>3310</v>
      </c>
      <c r="AK6643" t="s">
        <v>31879</v>
      </c>
      <c r="AL6643" s="13" t="s">
        <v>1898</v>
      </c>
      <c r="AM6643" s="14">
        <v>1</v>
      </c>
      <c r="AN6643" s="15" t="s">
        <v>1598</v>
      </c>
    </row>
    <row r="6644" spans="1:40" x14ac:dyDescent="0.3">
      <c r="A6644" s="10" t="str">
        <f>HYPERLINK("http://www.washoecounty.gov/assessor/cama/?parid=504-611-07&amp;CardNumber=1","504-611-07")</f>
        <v>504-611-07</v>
      </c>
      <c r="B6644" t="s">
        <v>4655</v>
      </c>
      <c r="C6644" t="s">
        <v>31880</v>
      </c>
      <c r="D6644" s="1">
        <v>40246</v>
      </c>
      <c r="E6644" s="2">
        <v>124500</v>
      </c>
      <c r="F6644" t="s">
        <v>4553</v>
      </c>
      <c r="G6644" s="17" t="str">
        <f>HYPERLINK("https://www.washoecounty.gov/assessor/cama/?command=sales&amp;parid=50461107","3857533")</f>
        <v>3857533</v>
      </c>
      <c r="H6644" t="s">
        <v>3311</v>
      </c>
      <c r="I6644">
        <v>1997</v>
      </c>
      <c r="J6644">
        <v>1997</v>
      </c>
      <c r="K6644" t="s">
        <v>4554</v>
      </c>
      <c r="L6644" t="s">
        <v>4555</v>
      </c>
      <c r="M6644" s="2">
        <v>1345</v>
      </c>
      <c r="N6644" t="s">
        <v>4556</v>
      </c>
      <c r="O6644">
        <v>3</v>
      </c>
      <c r="P6644">
        <v>2</v>
      </c>
      <c r="Q6644">
        <v>0</v>
      </c>
      <c r="R6644" t="s">
        <v>4557</v>
      </c>
      <c r="S6644" t="s">
        <v>4558</v>
      </c>
      <c r="T6644" t="s">
        <v>4559</v>
      </c>
      <c r="U6644" t="s">
        <v>4560</v>
      </c>
      <c r="V6644" s="2">
        <v>415</v>
      </c>
      <c r="W6644" t="s">
        <v>4655</v>
      </c>
      <c r="X6644" s="2">
        <v>0</v>
      </c>
      <c r="Y6644">
        <v>20</v>
      </c>
      <c r="Z6644" t="s">
        <v>5508</v>
      </c>
      <c r="AA6644" s="3">
        <v>0.21099632978439301</v>
      </c>
      <c r="AB6644" t="s">
        <v>4673</v>
      </c>
      <c r="AC6644" t="s">
        <v>4562</v>
      </c>
      <c r="AD6644" t="s">
        <v>3093</v>
      </c>
      <c r="AE6644" t="s">
        <v>4655</v>
      </c>
      <c r="AF6644" t="s">
        <v>4563</v>
      </c>
      <c r="AG6644" t="s">
        <v>4564</v>
      </c>
      <c r="AH6644">
        <v>89512</v>
      </c>
      <c r="AI6644" t="s">
        <v>1267</v>
      </c>
      <c r="AJ6644" t="s">
        <v>3312</v>
      </c>
      <c r="AK6644" t="s">
        <v>31881</v>
      </c>
      <c r="AL6644" s="13" t="s">
        <v>1898</v>
      </c>
      <c r="AM6644">
        <v>1</v>
      </c>
      <c r="AN6644" s="15" t="s">
        <v>1598</v>
      </c>
    </row>
    <row r="6645" spans="1:40" x14ac:dyDescent="0.3">
      <c r="A6645" s="10" t="str">
        <f>HYPERLINK("http://www.washoecounty.gov/assessor/cama/?parid=504-611-10&amp;CardNumber=1","504-611-10")</f>
        <v>504-611-10</v>
      </c>
      <c r="B6645" t="s">
        <v>4655</v>
      </c>
      <c r="C6645" t="s">
        <v>31882</v>
      </c>
      <c r="D6645" s="1">
        <v>40332</v>
      </c>
      <c r="E6645" s="2">
        <v>142000</v>
      </c>
      <c r="F6645" t="s">
        <v>4553</v>
      </c>
      <c r="G6645" s="17" t="str">
        <f>HYPERLINK("https://www.washoecounty.gov/assessor/cama/?command=sales&amp;parid=50461110","3887888")</f>
        <v>3887888</v>
      </c>
      <c r="H6645" t="s">
        <v>3313</v>
      </c>
      <c r="I6645">
        <v>1997</v>
      </c>
      <c r="J6645">
        <v>1997</v>
      </c>
      <c r="K6645" t="s">
        <v>4554</v>
      </c>
      <c r="L6645" t="s">
        <v>4555</v>
      </c>
      <c r="M6645" s="2">
        <v>1696</v>
      </c>
      <c r="N6645" t="s">
        <v>4556</v>
      </c>
      <c r="O6645">
        <v>3</v>
      </c>
      <c r="P6645">
        <v>2</v>
      </c>
      <c r="Q6645">
        <v>0</v>
      </c>
      <c r="R6645" t="s">
        <v>5281</v>
      </c>
      <c r="S6645" t="s">
        <v>4558</v>
      </c>
      <c r="T6645" t="s">
        <v>4559</v>
      </c>
      <c r="U6645" t="s">
        <v>4560</v>
      </c>
      <c r="V6645" s="2">
        <v>576</v>
      </c>
      <c r="W6645" t="s">
        <v>4655</v>
      </c>
      <c r="X6645" s="2">
        <v>0</v>
      </c>
      <c r="Y6645">
        <v>20</v>
      </c>
      <c r="Z6645" t="s">
        <v>5508</v>
      </c>
      <c r="AA6645" s="3">
        <v>0.23900367319583901</v>
      </c>
      <c r="AB6645" t="s">
        <v>4673</v>
      </c>
      <c r="AC6645" t="s">
        <v>4562</v>
      </c>
      <c r="AD6645" t="s">
        <v>3093</v>
      </c>
      <c r="AE6645" t="s">
        <v>4655</v>
      </c>
      <c r="AF6645" t="s">
        <v>4563</v>
      </c>
      <c r="AG6645" t="s">
        <v>4564</v>
      </c>
      <c r="AH6645">
        <v>89512</v>
      </c>
      <c r="AI6645" t="s">
        <v>4585</v>
      </c>
      <c r="AJ6645" t="s">
        <v>3312</v>
      </c>
      <c r="AK6645" t="s">
        <v>31883</v>
      </c>
      <c r="AL6645" s="13" t="s">
        <v>1898</v>
      </c>
      <c r="AM6645">
        <v>1</v>
      </c>
      <c r="AN6645" s="15" t="s">
        <v>1598</v>
      </c>
    </row>
    <row r="6646" spans="1:40" x14ac:dyDescent="0.3">
      <c r="A6646" s="10" t="str">
        <f>HYPERLINK("http://www.washoecounty.gov/assessor/cama/?parid=504-611-14&amp;CardNumber=1","504-611-14")</f>
        <v>504-611-14</v>
      </c>
      <c r="B6646" t="s">
        <v>4655</v>
      </c>
      <c r="C6646" t="s">
        <v>31884</v>
      </c>
      <c r="D6646" s="1">
        <v>40203</v>
      </c>
      <c r="E6646" s="2">
        <v>134000</v>
      </c>
      <c r="F6646" t="s">
        <v>4567</v>
      </c>
      <c r="G6646" s="17" t="str">
        <f>HYPERLINK("https://www.washoecounty.gov/assessor/cama/?command=sales&amp;parid=50461114","3842556")</f>
        <v>3842556</v>
      </c>
      <c r="H6646" t="s">
        <v>3311</v>
      </c>
      <c r="I6646">
        <v>1997</v>
      </c>
      <c r="J6646">
        <v>1997</v>
      </c>
      <c r="K6646" t="s">
        <v>4554</v>
      </c>
      <c r="L6646" t="s">
        <v>4555</v>
      </c>
      <c r="M6646" s="2">
        <v>1464</v>
      </c>
      <c r="N6646" t="s">
        <v>4556</v>
      </c>
      <c r="O6646">
        <v>4</v>
      </c>
      <c r="P6646">
        <v>2</v>
      </c>
      <c r="Q6646">
        <v>0</v>
      </c>
      <c r="R6646" t="s">
        <v>4557</v>
      </c>
      <c r="S6646" t="s">
        <v>4558</v>
      </c>
      <c r="T6646" t="s">
        <v>4559</v>
      </c>
      <c r="U6646" t="s">
        <v>4560</v>
      </c>
      <c r="V6646" s="2">
        <v>400</v>
      </c>
      <c r="W6646" t="s">
        <v>4655</v>
      </c>
      <c r="X6646" s="2">
        <v>0</v>
      </c>
      <c r="Y6646">
        <v>20</v>
      </c>
      <c r="Z6646" t="s">
        <v>5508</v>
      </c>
      <c r="AA6646" s="3">
        <v>0.192011013627052</v>
      </c>
      <c r="AB6646" t="s">
        <v>31885</v>
      </c>
      <c r="AC6646" t="s">
        <v>4562</v>
      </c>
      <c r="AD6646" t="s">
        <v>31884</v>
      </c>
      <c r="AE6646" t="s">
        <v>4655</v>
      </c>
      <c r="AF6646" t="s">
        <v>1600</v>
      </c>
      <c r="AG6646" t="s">
        <v>4564</v>
      </c>
      <c r="AH6646" t="s">
        <v>1601</v>
      </c>
      <c r="AI6646" t="s">
        <v>4655</v>
      </c>
      <c r="AJ6646" t="s">
        <v>3312</v>
      </c>
      <c r="AK6646" t="s">
        <v>31886</v>
      </c>
      <c r="AL6646" s="13" t="s">
        <v>1898</v>
      </c>
      <c r="AM6646" s="14">
        <v>1</v>
      </c>
      <c r="AN6646" s="15" t="s">
        <v>1598</v>
      </c>
    </row>
    <row r="6647" spans="1:40" x14ac:dyDescent="0.3">
      <c r="A6647" s="10" t="str">
        <f>HYPERLINK("http://www.washoecounty.gov/assessor/cama/?parid=504-611-40&amp;CardNumber=1","504-611-40")</f>
        <v>504-611-40</v>
      </c>
      <c r="B6647" t="s">
        <v>4655</v>
      </c>
      <c r="C6647" t="s">
        <v>31887</v>
      </c>
      <c r="D6647" s="1">
        <v>40268</v>
      </c>
      <c r="E6647" s="2">
        <v>149900</v>
      </c>
      <c r="F6647" t="s">
        <v>4553</v>
      </c>
      <c r="G6647" s="17" t="str">
        <f>HYPERLINK("https://www.washoecounty.gov/assessor/cama/?command=sales&amp;parid=50461140","3866283")</f>
        <v>3866283</v>
      </c>
      <c r="H6647" t="s">
        <v>3311</v>
      </c>
      <c r="I6647">
        <v>1997</v>
      </c>
      <c r="J6647">
        <v>1997</v>
      </c>
      <c r="K6647" t="s">
        <v>4554</v>
      </c>
      <c r="L6647" t="s">
        <v>4555</v>
      </c>
      <c r="M6647" s="2">
        <v>1696</v>
      </c>
      <c r="N6647" t="s">
        <v>4556</v>
      </c>
      <c r="O6647">
        <v>3</v>
      </c>
      <c r="P6647">
        <v>2</v>
      </c>
      <c r="Q6647">
        <v>0</v>
      </c>
      <c r="R6647" t="s">
        <v>5281</v>
      </c>
      <c r="S6647" t="s">
        <v>4558</v>
      </c>
      <c r="T6647" t="s">
        <v>4559</v>
      </c>
      <c r="U6647" t="s">
        <v>4560</v>
      </c>
      <c r="V6647" s="2">
        <v>576</v>
      </c>
      <c r="W6647" t="s">
        <v>4655</v>
      </c>
      <c r="X6647" s="2">
        <v>0</v>
      </c>
      <c r="Y6647">
        <v>20</v>
      </c>
      <c r="Z6647" t="s">
        <v>5508</v>
      </c>
      <c r="AA6647" s="3">
        <v>0.35399448871612499</v>
      </c>
      <c r="AB6647" t="s">
        <v>31888</v>
      </c>
      <c r="AC6647" t="s">
        <v>4562</v>
      </c>
      <c r="AD6647" t="s">
        <v>31887</v>
      </c>
      <c r="AE6647" t="s">
        <v>4655</v>
      </c>
      <c r="AF6647" t="s">
        <v>1600</v>
      </c>
      <c r="AG6647" t="s">
        <v>4564</v>
      </c>
      <c r="AH6647" t="s">
        <v>1601</v>
      </c>
      <c r="AI6647" t="s">
        <v>4565</v>
      </c>
      <c r="AJ6647" t="s">
        <v>3312</v>
      </c>
      <c r="AK6647" t="s">
        <v>31889</v>
      </c>
      <c r="AL6647" s="13" t="s">
        <v>1898</v>
      </c>
      <c r="AM6647">
        <v>1</v>
      </c>
      <c r="AN6647" s="15" t="s">
        <v>1598</v>
      </c>
    </row>
    <row r="6648" spans="1:40" x14ac:dyDescent="0.3">
      <c r="A6648" s="10" t="str">
        <f>HYPERLINK("http://www.washoecounty.gov/assessor/cama/?parid=504-621-03&amp;CardNumber=1","504-621-03")</f>
        <v>504-621-03</v>
      </c>
      <c r="B6648" t="s">
        <v>4655</v>
      </c>
      <c r="C6648" t="s">
        <v>31890</v>
      </c>
      <c r="D6648" s="1">
        <v>40186</v>
      </c>
      <c r="E6648" s="2">
        <v>135000</v>
      </c>
      <c r="F6648" t="s">
        <v>4567</v>
      </c>
      <c r="G6648" s="17" t="str">
        <f>HYPERLINK("https://www.washoecounty.gov/assessor/cama/?command=sales&amp;parid=50462103","3837505")</f>
        <v>3837505</v>
      </c>
      <c r="H6648" t="s">
        <v>3313</v>
      </c>
      <c r="I6648">
        <v>1997</v>
      </c>
      <c r="J6648">
        <v>1997</v>
      </c>
      <c r="K6648" t="s">
        <v>4554</v>
      </c>
      <c r="L6648" t="s">
        <v>4555</v>
      </c>
      <c r="M6648" s="2">
        <v>1696</v>
      </c>
      <c r="N6648" t="s">
        <v>4556</v>
      </c>
      <c r="O6648">
        <v>3</v>
      </c>
      <c r="P6648">
        <v>2</v>
      </c>
      <c r="Q6648">
        <v>0</v>
      </c>
      <c r="R6648" t="s">
        <v>4557</v>
      </c>
      <c r="S6648" t="s">
        <v>4558</v>
      </c>
      <c r="T6648" t="s">
        <v>4559</v>
      </c>
      <c r="U6648" t="s">
        <v>4560</v>
      </c>
      <c r="V6648" s="2">
        <v>576</v>
      </c>
      <c r="W6648" t="s">
        <v>4655</v>
      </c>
      <c r="X6648" s="2">
        <v>0</v>
      </c>
      <c r="Y6648">
        <v>20</v>
      </c>
      <c r="Z6648" t="s">
        <v>5508</v>
      </c>
      <c r="AA6648" s="3">
        <v>0.21299357712268799</v>
      </c>
      <c r="AB6648" t="s">
        <v>31891</v>
      </c>
      <c r="AC6648" t="s">
        <v>4575</v>
      </c>
      <c r="AD6648" t="s">
        <v>31890</v>
      </c>
      <c r="AE6648" t="s">
        <v>4655</v>
      </c>
      <c r="AF6648" t="s">
        <v>1600</v>
      </c>
      <c r="AG6648" t="s">
        <v>4564</v>
      </c>
      <c r="AH6648" t="s">
        <v>1601</v>
      </c>
      <c r="AI6648" t="s">
        <v>31892</v>
      </c>
      <c r="AJ6648" t="s">
        <v>3312</v>
      </c>
      <c r="AK6648" t="s">
        <v>31893</v>
      </c>
      <c r="AL6648" s="13" t="s">
        <v>1898</v>
      </c>
      <c r="AM6648" s="14">
        <v>1</v>
      </c>
      <c r="AN6648" s="15" t="s">
        <v>1598</v>
      </c>
    </row>
    <row r="6649" spans="1:40" x14ac:dyDescent="0.3">
      <c r="A6649" s="10" t="str">
        <f>HYPERLINK("http://www.washoecounty.gov/assessor/cama/?parid=504-641-16&amp;CardNumber=1","504-641-16")</f>
        <v>504-641-16</v>
      </c>
      <c r="B6649" t="s">
        <v>4655</v>
      </c>
      <c r="C6649" t="s">
        <v>31894</v>
      </c>
      <c r="D6649" s="1">
        <v>40295</v>
      </c>
      <c r="E6649" s="2">
        <v>147000</v>
      </c>
      <c r="F6649" t="s">
        <v>4553</v>
      </c>
      <c r="G6649" s="17" t="str">
        <f>HYPERLINK("https://www.washoecounty.gov/assessor/cama/?command=sales&amp;parid=50464116","3874969")</f>
        <v>3874969</v>
      </c>
      <c r="H6649" t="s">
        <v>4342</v>
      </c>
      <c r="I6649">
        <v>1997</v>
      </c>
      <c r="J6649">
        <v>1997</v>
      </c>
      <c r="K6649" t="s">
        <v>4554</v>
      </c>
      <c r="L6649" t="s">
        <v>4555</v>
      </c>
      <c r="M6649" s="2">
        <v>1696</v>
      </c>
      <c r="N6649" t="s">
        <v>4556</v>
      </c>
      <c r="O6649">
        <v>3</v>
      </c>
      <c r="P6649">
        <v>2</v>
      </c>
      <c r="Q6649">
        <v>0</v>
      </c>
      <c r="R6649" t="s">
        <v>5281</v>
      </c>
      <c r="S6649" t="s">
        <v>4558</v>
      </c>
      <c r="T6649" t="s">
        <v>4559</v>
      </c>
      <c r="U6649" t="s">
        <v>4560</v>
      </c>
      <c r="V6649" s="2">
        <v>576</v>
      </c>
      <c r="W6649" t="s">
        <v>4655</v>
      </c>
      <c r="X6649" s="2">
        <v>0</v>
      </c>
      <c r="Y6649">
        <v>20</v>
      </c>
      <c r="Z6649" t="s">
        <v>5508</v>
      </c>
      <c r="AA6649" s="3">
        <v>0.21900826692581199</v>
      </c>
      <c r="AB6649" t="s">
        <v>31895</v>
      </c>
      <c r="AC6649" t="s">
        <v>4562</v>
      </c>
      <c r="AD6649" t="s">
        <v>31894</v>
      </c>
      <c r="AE6649" t="s">
        <v>4655</v>
      </c>
      <c r="AF6649" t="s">
        <v>1600</v>
      </c>
      <c r="AG6649" t="s">
        <v>4564</v>
      </c>
      <c r="AH6649" t="s">
        <v>1601</v>
      </c>
      <c r="AI6649" t="s">
        <v>4903</v>
      </c>
      <c r="AJ6649" t="s">
        <v>2533</v>
      </c>
      <c r="AK6649" t="s">
        <v>31896</v>
      </c>
      <c r="AL6649" s="13" t="s">
        <v>1898</v>
      </c>
      <c r="AM6649">
        <v>1</v>
      </c>
      <c r="AN6649" s="15" t="s">
        <v>1598</v>
      </c>
    </row>
    <row r="6650" spans="1:40" x14ac:dyDescent="0.3">
      <c r="A6650" s="10" t="str">
        <f>HYPERLINK("http://www.washoecounty.gov/assessor/cama/?parid=504-641-32&amp;CardNumber=1","504-641-32")</f>
        <v>504-641-32</v>
      </c>
      <c r="B6650" t="s">
        <v>4655</v>
      </c>
      <c r="C6650" t="s">
        <v>31897</v>
      </c>
      <c r="D6650" s="1">
        <v>40295</v>
      </c>
      <c r="E6650" s="2">
        <v>163000</v>
      </c>
      <c r="F6650" t="s">
        <v>4567</v>
      </c>
      <c r="G6650" s="17" t="str">
        <f>HYPERLINK("https://www.washoecounty.gov/assessor/cama/?command=sales&amp;parid=50464132","3875220")</f>
        <v>3875220</v>
      </c>
      <c r="H6650" t="s">
        <v>31898</v>
      </c>
      <c r="I6650">
        <v>1997</v>
      </c>
      <c r="J6650">
        <v>1997</v>
      </c>
      <c r="K6650" t="s">
        <v>4554</v>
      </c>
      <c r="L6650" t="s">
        <v>3974</v>
      </c>
      <c r="M6650" s="2">
        <v>2299</v>
      </c>
      <c r="N6650" t="s">
        <v>4556</v>
      </c>
      <c r="O6650">
        <v>4</v>
      </c>
      <c r="P6650">
        <v>2</v>
      </c>
      <c r="Q6650">
        <v>1</v>
      </c>
      <c r="R6650" t="s">
        <v>4557</v>
      </c>
      <c r="S6650" t="s">
        <v>4558</v>
      </c>
      <c r="T6650" t="s">
        <v>4559</v>
      </c>
      <c r="U6650" t="s">
        <v>5631</v>
      </c>
      <c r="V6650" s="2">
        <v>421</v>
      </c>
      <c r="W6650" t="s">
        <v>4655</v>
      </c>
      <c r="X6650" s="2">
        <v>0</v>
      </c>
      <c r="Y6650">
        <v>20</v>
      </c>
      <c r="Z6650" t="s">
        <v>5508</v>
      </c>
      <c r="AA6650" s="3">
        <v>0.48200184106826799</v>
      </c>
      <c r="AB6650" t="s">
        <v>31899</v>
      </c>
      <c r="AC6650" t="s">
        <v>4562</v>
      </c>
      <c r="AD6650" t="s">
        <v>31897</v>
      </c>
      <c r="AE6650" t="s">
        <v>4655</v>
      </c>
      <c r="AF6650" t="s">
        <v>1600</v>
      </c>
      <c r="AG6650" t="s">
        <v>4564</v>
      </c>
      <c r="AH6650" t="s">
        <v>1601</v>
      </c>
      <c r="AI6650" t="s">
        <v>31900</v>
      </c>
      <c r="AJ6650" t="s">
        <v>2533</v>
      </c>
      <c r="AK6650" t="s">
        <v>31901</v>
      </c>
      <c r="AL6650" s="13" t="s">
        <v>1898</v>
      </c>
      <c r="AM6650" s="14">
        <v>1</v>
      </c>
      <c r="AN6650" s="15" t="s">
        <v>1598</v>
      </c>
    </row>
    <row r="6651" spans="1:40" x14ac:dyDescent="0.3">
      <c r="A6651" s="10" t="str">
        <f>HYPERLINK("http://www.washoecounty.gov/assessor/cama/?parid=504-641-33&amp;CardNumber=1","504-641-33")</f>
        <v>504-641-33</v>
      </c>
      <c r="B6651" t="s">
        <v>4655</v>
      </c>
      <c r="C6651" t="s">
        <v>31902</v>
      </c>
      <c r="D6651" s="1">
        <v>40277</v>
      </c>
      <c r="E6651" s="2">
        <v>145000</v>
      </c>
      <c r="F6651" t="s">
        <v>4567</v>
      </c>
      <c r="G6651" s="17" t="str">
        <f>HYPERLINK("https://www.washoecounty.gov/assessor/cama/?command=sales&amp;parid=50464133","3869196")</f>
        <v>3869196</v>
      </c>
      <c r="H6651" t="s">
        <v>31898</v>
      </c>
      <c r="I6651">
        <v>1997</v>
      </c>
      <c r="J6651">
        <v>1997</v>
      </c>
      <c r="K6651" t="s">
        <v>4554</v>
      </c>
      <c r="L6651" t="s">
        <v>4555</v>
      </c>
      <c r="M6651" s="2">
        <v>1568</v>
      </c>
      <c r="N6651" t="s">
        <v>4556</v>
      </c>
      <c r="O6651">
        <v>3</v>
      </c>
      <c r="P6651">
        <v>2</v>
      </c>
      <c r="Q6651">
        <v>0</v>
      </c>
      <c r="R6651" t="s">
        <v>5281</v>
      </c>
      <c r="S6651" t="s">
        <v>4558</v>
      </c>
      <c r="T6651" t="s">
        <v>4559</v>
      </c>
      <c r="U6651" t="s">
        <v>4560</v>
      </c>
      <c r="V6651" s="2">
        <v>480</v>
      </c>
      <c r="W6651" t="s">
        <v>4655</v>
      </c>
      <c r="X6651" s="2">
        <v>0</v>
      </c>
      <c r="Y6651">
        <v>20</v>
      </c>
      <c r="Z6651" t="s">
        <v>5508</v>
      </c>
      <c r="AA6651" s="3">
        <v>0.55500459671020497</v>
      </c>
      <c r="AB6651" t="s">
        <v>31903</v>
      </c>
      <c r="AC6651" t="s">
        <v>4562</v>
      </c>
      <c r="AD6651" t="s">
        <v>31902</v>
      </c>
      <c r="AE6651" t="s">
        <v>4655</v>
      </c>
      <c r="AF6651" t="s">
        <v>1600</v>
      </c>
      <c r="AG6651" t="s">
        <v>4564</v>
      </c>
      <c r="AH6651" t="s">
        <v>1601</v>
      </c>
      <c r="AI6651" t="s">
        <v>31904</v>
      </c>
      <c r="AJ6651" t="s">
        <v>2533</v>
      </c>
      <c r="AK6651" t="s">
        <v>31905</v>
      </c>
      <c r="AL6651" s="13" t="s">
        <v>1898</v>
      </c>
      <c r="AM6651" s="14">
        <v>1</v>
      </c>
      <c r="AN6651" s="15" t="s">
        <v>1598</v>
      </c>
    </row>
    <row r="6652" spans="1:40" x14ac:dyDescent="0.3">
      <c r="A6652" s="10" t="str">
        <f>HYPERLINK("http://www.washoecounty.gov/assessor/cama/?parid=504-652-37&amp;CardNumber=1","504-652-37")</f>
        <v>504-652-37</v>
      </c>
      <c r="B6652" t="s">
        <v>4655</v>
      </c>
      <c r="C6652" t="s">
        <v>31906</v>
      </c>
      <c r="D6652" s="1">
        <v>40182</v>
      </c>
      <c r="E6652" s="2">
        <v>120000</v>
      </c>
      <c r="F6652" t="s">
        <v>4553</v>
      </c>
      <c r="G6652" s="17" t="str">
        <f>HYPERLINK("https://www.washoecounty.gov/assessor/cama/?command=sales&amp;parid=50465237","3836170")</f>
        <v>3836170</v>
      </c>
      <c r="H6652" t="s">
        <v>1596</v>
      </c>
      <c r="I6652">
        <v>1997</v>
      </c>
      <c r="J6652">
        <v>1997</v>
      </c>
      <c r="K6652" t="s">
        <v>4554</v>
      </c>
      <c r="L6652" t="s">
        <v>4555</v>
      </c>
      <c r="M6652" s="2">
        <v>1185</v>
      </c>
      <c r="N6652" t="s">
        <v>4556</v>
      </c>
      <c r="O6652">
        <v>3</v>
      </c>
      <c r="P6652">
        <v>2</v>
      </c>
      <c r="Q6652">
        <v>0</v>
      </c>
      <c r="R6652" t="s">
        <v>4557</v>
      </c>
      <c r="S6652" t="s">
        <v>4558</v>
      </c>
      <c r="T6652" t="s">
        <v>4559</v>
      </c>
      <c r="U6652" t="s">
        <v>4560</v>
      </c>
      <c r="V6652" s="2">
        <v>415</v>
      </c>
      <c r="W6652" t="s">
        <v>4655</v>
      </c>
      <c r="X6652" s="2">
        <v>0</v>
      </c>
      <c r="Y6652">
        <v>20</v>
      </c>
      <c r="Z6652" t="s">
        <v>5508</v>
      </c>
      <c r="AA6652" s="3">
        <v>0.20300734043121299</v>
      </c>
      <c r="AB6652" t="s">
        <v>31907</v>
      </c>
      <c r="AC6652" t="s">
        <v>4575</v>
      </c>
      <c r="AD6652" t="s">
        <v>31906</v>
      </c>
      <c r="AE6652" t="s">
        <v>4655</v>
      </c>
      <c r="AF6652" t="s">
        <v>1600</v>
      </c>
      <c r="AG6652" t="s">
        <v>4564</v>
      </c>
      <c r="AH6652" t="s">
        <v>1601</v>
      </c>
      <c r="AI6652" t="s">
        <v>31908</v>
      </c>
      <c r="AJ6652" t="s">
        <v>1597</v>
      </c>
      <c r="AK6652" t="s">
        <v>31909</v>
      </c>
      <c r="AL6652" s="13" t="s">
        <v>1898</v>
      </c>
      <c r="AM6652">
        <v>1</v>
      </c>
      <c r="AN6652" s="15" t="s">
        <v>1598</v>
      </c>
    </row>
    <row r="6653" spans="1:40" x14ac:dyDescent="0.3">
      <c r="A6653" s="10" t="str">
        <f>HYPERLINK("http://www.washoecounty.gov/assessor/cama/?parid=504-652-51&amp;CardNumber=1","504-652-51")</f>
        <v>504-652-51</v>
      </c>
      <c r="B6653" t="s">
        <v>4655</v>
      </c>
      <c r="C6653" t="s">
        <v>31910</v>
      </c>
      <c r="D6653" s="1">
        <v>40354</v>
      </c>
      <c r="E6653" s="2">
        <v>112000</v>
      </c>
      <c r="F6653" t="s">
        <v>4567</v>
      </c>
      <c r="G6653" s="17" t="str">
        <f>HYPERLINK("https://www.washoecounty.gov/assessor/cama/?command=sales&amp;parid=50465251","3895547")</f>
        <v>3895547</v>
      </c>
      <c r="H6653" t="s">
        <v>758</v>
      </c>
      <c r="I6653">
        <v>1997</v>
      </c>
      <c r="J6653">
        <v>1997</v>
      </c>
      <c r="K6653" t="s">
        <v>4554</v>
      </c>
      <c r="L6653" t="s">
        <v>4555</v>
      </c>
      <c r="M6653" s="2">
        <v>1185</v>
      </c>
      <c r="N6653" t="s">
        <v>4556</v>
      </c>
      <c r="O6653">
        <v>3</v>
      </c>
      <c r="P6653">
        <v>2</v>
      </c>
      <c r="Q6653">
        <v>0</v>
      </c>
      <c r="R6653" t="s">
        <v>4557</v>
      </c>
      <c r="S6653" t="s">
        <v>4558</v>
      </c>
      <c r="T6653" t="s">
        <v>4559</v>
      </c>
      <c r="U6653" t="s">
        <v>4560</v>
      </c>
      <c r="V6653" s="2">
        <v>415</v>
      </c>
      <c r="W6653" t="s">
        <v>4655</v>
      </c>
      <c r="X6653" s="2">
        <v>0</v>
      </c>
      <c r="Y6653">
        <v>20</v>
      </c>
      <c r="Z6653" t="s">
        <v>5508</v>
      </c>
      <c r="AA6653" s="3">
        <v>0.21900826692581199</v>
      </c>
      <c r="AB6653" t="s">
        <v>31911</v>
      </c>
      <c r="AC6653" t="s">
        <v>4562</v>
      </c>
      <c r="AD6653" t="s">
        <v>31910</v>
      </c>
      <c r="AE6653" t="s">
        <v>4655</v>
      </c>
      <c r="AF6653" t="s">
        <v>1600</v>
      </c>
      <c r="AG6653" t="s">
        <v>4564</v>
      </c>
      <c r="AH6653" t="s">
        <v>1601</v>
      </c>
      <c r="AI6653" t="s">
        <v>31912</v>
      </c>
      <c r="AJ6653" t="s">
        <v>1597</v>
      </c>
      <c r="AK6653" t="s">
        <v>31913</v>
      </c>
      <c r="AL6653" s="13" t="s">
        <v>1898</v>
      </c>
      <c r="AM6653">
        <v>1</v>
      </c>
      <c r="AN6653" s="15" t="s">
        <v>1598</v>
      </c>
    </row>
    <row r="6654" spans="1:40" x14ac:dyDescent="0.3">
      <c r="A6654" s="10" t="str">
        <f>HYPERLINK("http://www.washoecounty.gov/assessor/cama/?parid=504-660-02&amp;CardNumber=1","504-660-02")</f>
        <v>504-660-02</v>
      </c>
      <c r="B6654" t="s">
        <v>4655</v>
      </c>
      <c r="C6654" t="s">
        <v>31914</v>
      </c>
      <c r="D6654" s="1">
        <v>40312</v>
      </c>
      <c r="E6654" s="2">
        <v>145000</v>
      </c>
      <c r="F6654" t="s">
        <v>4567</v>
      </c>
      <c r="G6654" s="17" t="str">
        <f>HYPERLINK("https://www.washoecounty.gov/assessor/cama/?command=sales&amp;parid=50466002","3881712")</f>
        <v>3881712</v>
      </c>
      <c r="H6654" t="s">
        <v>1596</v>
      </c>
      <c r="I6654">
        <v>1997</v>
      </c>
      <c r="J6654">
        <v>1997</v>
      </c>
      <c r="K6654" t="s">
        <v>4554</v>
      </c>
      <c r="L6654" t="s">
        <v>4555</v>
      </c>
      <c r="M6654" s="2">
        <v>1696</v>
      </c>
      <c r="N6654" t="s">
        <v>4556</v>
      </c>
      <c r="O6654">
        <v>3</v>
      </c>
      <c r="P6654">
        <v>2</v>
      </c>
      <c r="Q6654">
        <v>0</v>
      </c>
      <c r="R6654" t="s">
        <v>4557</v>
      </c>
      <c r="S6654" t="s">
        <v>4558</v>
      </c>
      <c r="T6654" t="s">
        <v>4559</v>
      </c>
      <c r="U6654" t="s">
        <v>4560</v>
      </c>
      <c r="V6654" s="2">
        <v>576</v>
      </c>
      <c r="W6654" t="s">
        <v>4655</v>
      </c>
      <c r="X6654" s="2">
        <v>0</v>
      </c>
      <c r="Y6654">
        <v>20</v>
      </c>
      <c r="Z6654" t="s">
        <v>5508</v>
      </c>
      <c r="AA6654" s="3">
        <v>0.21400366723537401</v>
      </c>
      <c r="AB6654" t="s">
        <v>31915</v>
      </c>
      <c r="AC6654" t="s">
        <v>4575</v>
      </c>
      <c r="AD6654" t="s">
        <v>31914</v>
      </c>
      <c r="AE6654" t="s">
        <v>4655</v>
      </c>
      <c r="AF6654" t="s">
        <v>1600</v>
      </c>
      <c r="AG6654" t="s">
        <v>4564</v>
      </c>
      <c r="AH6654" t="s">
        <v>1601</v>
      </c>
      <c r="AI6654" t="s">
        <v>31916</v>
      </c>
      <c r="AJ6654" t="s">
        <v>1597</v>
      </c>
      <c r="AK6654" t="s">
        <v>31917</v>
      </c>
      <c r="AL6654" s="13" t="s">
        <v>1898</v>
      </c>
      <c r="AM6654">
        <v>1</v>
      </c>
      <c r="AN6654" s="15" t="s">
        <v>1598</v>
      </c>
    </row>
    <row r="6655" spans="1:40" x14ac:dyDescent="0.3">
      <c r="A6655" s="10" t="str">
        <f>HYPERLINK("http://www.washoecounty.gov/assessor/cama/?parid=504-660-04&amp;CardNumber=1","504-660-04")</f>
        <v>504-660-04</v>
      </c>
      <c r="B6655" t="s">
        <v>4655</v>
      </c>
      <c r="C6655" t="s">
        <v>31918</v>
      </c>
      <c r="D6655" s="1">
        <v>40451</v>
      </c>
      <c r="E6655" s="2">
        <v>132000</v>
      </c>
      <c r="F6655" t="s">
        <v>4567</v>
      </c>
      <c r="G6655" s="17" t="str">
        <f>HYPERLINK("https://www.washoecounty.gov/assessor/cama/?command=sales&amp;parid=50466004","3928085")</f>
        <v>3928085</v>
      </c>
      <c r="H6655" t="s">
        <v>1596</v>
      </c>
      <c r="I6655">
        <v>1997</v>
      </c>
      <c r="J6655">
        <v>1997</v>
      </c>
      <c r="K6655" t="s">
        <v>4554</v>
      </c>
      <c r="L6655" t="s">
        <v>4555</v>
      </c>
      <c r="M6655" s="2">
        <v>1696</v>
      </c>
      <c r="N6655" t="s">
        <v>4556</v>
      </c>
      <c r="O6655">
        <v>3</v>
      </c>
      <c r="P6655">
        <v>2</v>
      </c>
      <c r="Q6655">
        <v>0</v>
      </c>
      <c r="R6655" t="s">
        <v>4557</v>
      </c>
      <c r="S6655" t="s">
        <v>4558</v>
      </c>
      <c r="T6655" t="s">
        <v>4559</v>
      </c>
      <c r="U6655" t="s">
        <v>4560</v>
      </c>
      <c r="V6655" s="2">
        <v>576</v>
      </c>
      <c r="W6655" t="s">
        <v>4655</v>
      </c>
      <c r="X6655" s="2">
        <v>0</v>
      </c>
      <c r="Y6655">
        <v>20</v>
      </c>
      <c r="Z6655" t="s">
        <v>5508</v>
      </c>
      <c r="AA6655" s="3">
        <v>0.20000000298023199</v>
      </c>
      <c r="AB6655" t="s">
        <v>4673</v>
      </c>
      <c r="AC6655" t="s">
        <v>4562</v>
      </c>
      <c r="AD6655" t="s">
        <v>3093</v>
      </c>
      <c r="AE6655" t="s">
        <v>4655</v>
      </c>
      <c r="AF6655" t="s">
        <v>4563</v>
      </c>
      <c r="AG6655" t="s">
        <v>4564</v>
      </c>
      <c r="AH6655">
        <v>89512</v>
      </c>
      <c r="AI6655" t="s">
        <v>31919</v>
      </c>
      <c r="AJ6655" t="s">
        <v>1597</v>
      </c>
      <c r="AK6655" t="s">
        <v>31920</v>
      </c>
      <c r="AL6655" s="13" t="s">
        <v>1898</v>
      </c>
      <c r="AM6655">
        <v>1</v>
      </c>
      <c r="AN6655" s="15" t="s">
        <v>1598</v>
      </c>
    </row>
    <row r="6656" spans="1:40" x14ac:dyDescent="0.3">
      <c r="A6656" s="10" t="str">
        <f>HYPERLINK("http://www.washoecounty.gov/assessor/cama/?parid=504-660-16&amp;CardNumber=1","504-660-16")</f>
        <v>504-660-16</v>
      </c>
      <c r="B6656" t="s">
        <v>4655</v>
      </c>
      <c r="C6656" t="s">
        <v>31921</v>
      </c>
      <c r="D6656" s="1">
        <v>40445</v>
      </c>
      <c r="E6656" s="2">
        <v>129900</v>
      </c>
      <c r="F6656" t="s">
        <v>4567</v>
      </c>
      <c r="G6656" s="17" t="str">
        <f>HYPERLINK("https://www.washoecounty.gov/assessor/cama/?command=sales&amp;parid=50466016","3925687")</f>
        <v>3925687</v>
      </c>
      <c r="H6656" t="s">
        <v>1596</v>
      </c>
      <c r="I6656">
        <v>1998</v>
      </c>
      <c r="J6656">
        <v>1998</v>
      </c>
      <c r="K6656" t="s">
        <v>4554</v>
      </c>
      <c r="L6656" t="s">
        <v>4555</v>
      </c>
      <c r="M6656" s="2">
        <v>1464</v>
      </c>
      <c r="N6656" t="s">
        <v>4556</v>
      </c>
      <c r="O6656">
        <v>4</v>
      </c>
      <c r="P6656">
        <v>2</v>
      </c>
      <c r="Q6656">
        <v>0</v>
      </c>
      <c r="R6656" t="s">
        <v>4557</v>
      </c>
      <c r="S6656" t="s">
        <v>4558</v>
      </c>
      <c r="T6656" t="s">
        <v>4559</v>
      </c>
      <c r="U6656" t="s">
        <v>4560</v>
      </c>
      <c r="V6656" s="2">
        <v>400</v>
      </c>
      <c r="W6656" t="s">
        <v>4655</v>
      </c>
      <c r="X6656" s="2">
        <v>0</v>
      </c>
      <c r="Y6656">
        <v>20</v>
      </c>
      <c r="Z6656" t="s">
        <v>5508</v>
      </c>
      <c r="AA6656" s="3">
        <v>0.17100550234317799</v>
      </c>
      <c r="AB6656" t="s">
        <v>4673</v>
      </c>
      <c r="AC6656" t="s">
        <v>4562</v>
      </c>
      <c r="AD6656" t="s">
        <v>3093</v>
      </c>
      <c r="AE6656" t="s">
        <v>4655</v>
      </c>
      <c r="AF6656" t="s">
        <v>4563</v>
      </c>
      <c r="AG6656" t="s">
        <v>4564</v>
      </c>
      <c r="AH6656">
        <v>89512</v>
      </c>
      <c r="AI6656" t="s">
        <v>5216</v>
      </c>
      <c r="AJ6656" t="s">
        <v>1597</v>
      </c>
      <c r="AK6656" t="s">
        <v>31922</v>
      </c>
      <c r="AL6656" s="13" t="s">
        <v>1898</v>
      </c>
      <c r="AM6656">
        <v>1</v>
      </c>
      <c r="AN6656" s="15" t="s">
        <v>1598</v>
      </c>
    </row>
    <row r="6657" spans="1:40" x14ac:dyDescent="0.3">
      <c r="A6657" s="10" t="str">
        <f>HYPERLINK("http://www.washoecounty.gov/assessor/cama/?parid=504-660-18&amp;CardNumber=1","504-660-18")</f>
        <v>504-660-18</v>
      </c>
      <c r="B6657" t="s">
        <v>4655</v>
      </c>
      <c r="C6657" t="s">
        <v>31923</v>
      </c>
      <c r="D6657" s="1">
        <v>40541</v>
      </c>
      <c r="E6657" s="2">
        <v>95000</v>
      </c>
      <c r="F6657" t="s">
        <v>4567</v>
      </c>
      <c r="G6657" s="17" t="str">
        <f>HYPERLINK("https://www.washoecounty.gov/assessor/cama/?command=sales&amp;parid=50466018","3958641")</f>
        <v>3958641</v>
      </c>
      <c r="H6657" t="s">
        <v>758</v>
      </c>
      <c r="I6657">
        <v>1997</v>
      </c>
      <c r="J6657">
        <v>1997</v>
      </c>
      <c r="K6657" t="s">
        <v>4554</v>
      </c>
      <c r="L6657" t="s">
        <v>4555</v>
      </c>
      <c r="M6657" s="2">
        <v>1040</v>
      </c>
      <c r="N6657" t="s">
        <v>4556</v>
      </c>
      <c r="O6657">
        <v>3</v>
      </c>
      <c r="P6657">
        <v>2</v>
      </c>
      <c r="Q6657">
        <v>0</v>
      </c>
      <c r="R6657" t="s">
        <v>4557</v>
      </c>
      <c r="S6657" t="s">
        <v>4558</v>
      </c>
      <c r="T6657" t="s">
        <v>4559</v>
      </c>
      <c r="U6657" t="s">
        <v>4560</v>
      </c>
      <c r="V6657" s="2">
        <v>400</v>
      </c>
      <c r="W6657" t="s">
        <v>4655</v>
      </c>
      <c r="X6657" s="2">
        <v>0</v>
      </c>
      <c r="Y6657">
        <v>20</v>
      </c>
      <c r="Z6657" t="s">
        <v>5508</v>
      </c>
      <c r="AA6657" s="3">
        <v>0.20000000298023199</v>
      </c>
      <c r="AB6657" t="s">
        <v>31924</v>
      </c>
      <c r="AC6657" t="s">
        <v>4562</v>
      </c>
      <c r="AD6657" t="s">
        <v>31923</v>
      </c>
      <c r="AE6657" t="s">
        <v>4655</v>
      </c>
      <c r="AF6657" t="s">
        <v>1600</v>
      </c>
      <c r="AG6657" t="s">
        <v>4564</v>
      </c>
      <c r="AH6657" t="s">
        <v>1601</v>
      </c>
      <c r="AI6657" t="s">
        <v>31925</v>
      </c>
      <c r="AJ6657" t="s">
        <v>1597</v>
      </c>
      <c r="AK6657" t="s">
        <v>31926</v>
      </c>
      <c r="AL6657" s="13" t="s">
        <v>1898</v>
      </c>
      <c r="AM6657">
        <v>1</v>
      </c>
      <c r="AN6657" s="15" t="s">
        <v>1598</v>
      </c>
    </row>
    <row r="6658" spans="1:40" x14ac:dyDescent="0.3">
      <c r="A6658" s="10" t="str">
        <f>HYPERLINK("http://www.washoecounty.gov/assessor/cama/?parid=504-670-04&amp;CardNumber=1","504-670-04")</f>
        <v>504-670-04</v>
      </c>
      <c r="B6658" t="s">
        <v>4655</v>
      </c>
      <c r="C6658" t="s">
        <v>31927</v>
      </c>
      <c r="D6658" s="1">
        <v>40396</v>
      </c>
      <c r="E6658" s="2">
        <v>141000</v>
      </c>
      <c r="F6658" t="s">
        <v>4553</v>
      </c>
      <c r="G6658" s="17" t="str">
        <f>HYPERLINK("https://www.washoecounty.gov/assessor/cama/?command=sales&amp;parid=50467004","3909555")</f>
        <v>3909555</v>
      </c>
      <c r="H6658" t="s">
        <v>1731</v>
      </c>
      <c r="I6658">
        <v>1997</v>
      </c>
      <c r="J6658">
        <v>1997</v>
      </c>
      <c r="K6658" t="s">
        <v>4554</v>
      </c>
      <c r="L6658" t="s">
        <v>4555</v>
      </c>
      <c r="M6658" s="2">
        <v>1792</v>
      </c>
      <c r="N6658" t="s">
        <v>4556</v>
      </c>
      <c r="O6658">
        <v>4</v>
      </c>
      <c r="P6658">
        <v>2</v>
      </c>
      <c r="Q6658">
        <v>0</v>
      </c>
      <c r="R6658" t="s">
        <v>5281</v>
      </c>
      <c r="S6658" t="s">
        <v>4558</v>
      </c>
      <c r="T6658" t="s">
        <v>4559</v>
      </c>
      <c r="U6658" t="s">
        <v>4560</v>
      </c>
      <c r="V6658" s="2">
        <v>480</v>
      </c>
      <c r="W6658" t="s">
        <v>4655</v>
      </c>
      <c r="X6658" s="2">
        <v>0</v>
      </c>
      <c r="Y6658">
        <v>20</v>
      </c>
      <c r="Z6658" t="s">
        <v>5508</v>
      </c>
      <c r="AA6658" s="3">
        <v>0.21200643479824099</v>
      </c>
      <c r="AB6658" t="s">
        <v>31928</v>
      </c>
      <c r="AC6658" t="s">
        <v>4562</v>
      </c>
      <c r="AD6658" t="s">
        <v>31929</v>
      </c>
      <c r="AE6658" t="s">
        <v>4655</v>
      </c>
      <c r="AF6658" t="s">
        <v>1600</v>
      </c>
      <c r="AG6658" t="s">
        <v>4564</v>
      </c>
      <c r="AH6658" t="s">
        <v>1601</v>
      </c>
      <c r="AI6658" t="s">
        <v>4503</v>
      </c>
      <c r="AJ6658" t="s">
        <v>1734</v>
      </c>
      <c r="AK6658" t="s">
        <v>31930</v>
      </c>
      <c r="AL6658" s="13" t="s">
        <v>1898</v>
      </c>
      <c r="AM6658">
        <v>1</v>
      </c>
      <c r="AN6658" s="15" t="s">
        <v>1598</v>
      </c>
    </row>
    <row r="6659" spans="1:40" x14ac:dyDescent="0.3">
      <c r="A6659" s="10" t="str">
        <f>HYPERLINK("http://www.washoecounty.gov/assessor/cama/?parid=504-670-12&amp;CardNumber=1","504-670-12")</f>
        <v>504-670-12</v>
      </c>
      <c r="B6659" t="s">
        <v>4655</v>
      </c>
      <c r="C6659" t="s">
        <v>31931</v>
      </c>
      <c r="D6659" s="1">
        <v>40413</v>
      </c>
      <c r="E6659" s="2">
        <v>107500</v>
      </c>
      <c r="F6659" t="s">
        <v>4567</v>
      </c>
      <c r="G6659" s="17" t="str">
        <f>HYPERLINK("https://www.washoecounty.gov/assessor/cama/?command=sales&amp;parid=50467012","3914587")</f>
        <v>3914587</v>
      </c>
      <c r="H6659" t="s">
        <v>1731</v>
      </c>
      <c r="I6659">
        <v>1997</v>
      </c>
      <c r="J6659">
        <v>1997</v>
      </c>
      <c r="K6659" t="s">
        <v>4554</v>
      </c>
      <c r="L6659" t="s">
        <v>4555</v>
      </c>
      <c r="M6659" s="2">
        <v>984</v>
      </c>
      <c r="N6659" t="s">
        <v>4556</v>
      </c>
      <c r="O6659">
        <v>3</v>
      </c>
      <c r="P6659">
        <v>2</v>
      </c>
      <c r="Q6659">
        <v>0</v>
      </c>
      <c r="R6659" t="s">
        <v>5281</v>
      </c>
      <c r="S6659" t="s">
        <v>4558</v>
      </c>
      <c r="T6659" t="s">
        <v>4559</v>
      </c>
      <c r="U6659" t="s">
        <v>4560</v>
      </c>
      <c r="V6659" s="2">
        <v>400</v>
      </c>
      <c r="W6659" t="s">
        <v>4655</v>
      </c>
      <c r="X6659" s="2">
        <v>0</v>
      </c>
      <c r="Y6659">
        <v>20</v>
      </c>
      <c r="Z6659" t="s">
        <v>5508</v>
      </c>
      <c r="AA6659" s="3">
        <v>0.21299357712268799</v>
      </c>
      <c r="AB6659" t="s">
        <v>31932</v>
      </c>
      <c r="AC6659" t="s">
        <v>4562</v>
      </c>
      <c r="AD6659" t="s">
        <v>31931</v>
      </c>
      <c r="AE6659" t="s">
        <v>4655</v>
      </c>
      <c r="AF6659" t="s">
        <v>1600</v>
      </c>
      <c r="AG6659" t="s">
        <v>4564</v>
      </c>
      <c r="AH6659" t="s">
        <v>1601</v>
      </c>
      <c r="AI6659" t="s">
        <v>31933</v>
      </c>
      <c r="AJ6659" t="s">
        <v>1734</v>
      </c>
      <c r="AK6659" t="s">
        <v>31934</v>
      </c>
      <c r="AL6659" s="13" t="s">
        <v>1898</v>
      </c>
      <c r="AM6659">
        <v>1</v>
      </c>
      <c r="AN6659" s="15" t="s">
        <v>1598</v>
      </c>
    </row>
    <row r="6660" spans="1:40" x14ac:dyDescent="0.3">
      <c r="A6660" s="10" t="str">
        <f>HYPERLINK("http://www.washoecounty.gov/assessor/cama/?parid=504-670-35&amp;CardNumber=1","504-670-35")</f>
        <v>504-670-35</v>
      </c>
      <c r="B6660" t="s">
        <v>4655</v>
      </c>
      <c r="C6660" t="s">
        <v>31935</v>
      </c>
      <c r="D6660" s="1">
        <v>40435</v>
      </c>
      <c r="E6660" s="2">
        <v>107000</v>
      </c>
      <c r="F6660" t="s">
        <v>4567</v>
      </c>
      <c r="G6660" s="17" t="str">
        <f>HYPERLINK("https://www.washoecounty.gov/assessor/cama/?command=sales&amp;parid=50467035","3922147")</f>
        <v>3922147</v>
      </c>
      <c r="H6660" t="s">
        <v>1731</v>
      </c>
      <c r="I6660">
        <v>1997</v>
      </c>
      <c r="J6660">
        <v>1997</v>
      </c>
      <c r="K6660" t="s">
        <v>4554</v>
      </c>
      <c r="L6660" t="s">
        <v>4555</v>
      </c>
      <c r="M6660" s="2">
        <v>1105</v>
      </c>
      <c r="N6660" t="s">
        <v>4556</v>
      </c>
      <c r="O6660">
        <v>3</v>
      </c>
      <c r="P6660">
        <v>2</v>
      </c>
      <c r="Q6660">
        <v>0</v>
      </c>
      <c r="R6660" t="s">
        <v>4557</v>
      </c>
      <c r="S6660" t="s">
        <v>4558</v>
      </c>
      <c r="T6660" t="s">
        <v>4559</v>
      </c>
      <c r="U6660" t="s">
        <v>4560</v>
      </c>
      <c r="V6660" s="2">
        <v>495</v>
      </c>
      <c r="W6660" t="s">
        <v>4655</v>
      </c>
      <c r="X6660" s="2">
        <v>0</v>
      </c>
      <c r="Y6660">
        <v>20</v>
      </c>
      <c r="Z6660" t="s">
        <v>5508</v>
      </c>
      <c r="AA6660" s="3">
        <v>0.214990824460983</v>
      </c>
      <c r="AB6660" t="s">
        <v>31936</v>
      </c>
      <c r="AC6660" t="s">
        <v>4562</v>
      </c>
      <c r="AD6660" t="s">
        <v>31937</v>
      </c>
      <c r="AE6660" t="s">
        <v>4655</v>
      </c>
      <c r="AF6660" t="s">
        <v>1600</v>
      </c>
      <c r="AG6660" t="s">
        <v>4564</v>
      </c>
      <c r="AH6660" t="s">
        <v>1601</v>
      </c>
      <c r="AI6660" t="s">
        <v>31938</v>
      </c>
      <c r="AJ6660" t="s">
        <v>1734</v>
      </c>
      <c r="AK6660" t="s">
        <v>31939</v>
      </c>
      <c r="AL6660" s="13" t="s">
        <v>1898</v>
      </c>
      <c r="AM6660">
        <v>1</v>
      </c>
      <c r="AN6660" s="15" t="s">
        <v>1598</v>
      </c>
    </row>
    <row r="6661" spans="1:40" x14ac:dyDescent="0.3">
      <c r="A6661" s="10" t="str">
        <f>HYPERLINK("http://www.washoecounty.gov/assessor/cama/?parid=504-680-25&amp;CardNumber=1","504-680-25")</f>
        <v>504-680-25</v>
      </c>
      <c r="B6661" t="s">
        <v>4655</v>
      </c>
      <c r="C6661" t="s">
        <v>31940</v>
      </c>
      <c r="D6661" s="1">
        <v>40506</v>
      </c>
      <c r="E6661" s="2">
        <v>108000</v>
      </c>
      <c r="F6661" t="s">
        <v>4567</v>
      </c>
      <c r="G6661" s="17" t="str">
        <f>HYPERLINK("https://www.washoecounty.gov/assessor/cama/?command=sales&amp;parid=50468025","3946861")</f>
        <v>3946861</v>
      </c>
      <c r="H6661" t="s">
        <v>219</v>
      </c>
      <c r="I6661">
        <v>1997</v>
      </c>
      <c r="J6661">
        <v>1997</v>
      </c>
      <c r="K6661" t="s">
        <v>4554</v>
      </c>
      <c r="L6661" t="s">
        <v>4555</v>
      </c>
      <c r="M6661" s="2">
        <v>1064</v>
      </c>
      <c r="N6661" t="s">
        <v>4556</v>
      </c>
      <c r="O6661">
        <v>3</v>
      </c>
      <c r="P6661">
        <v>2</v>
      </c>
      <c r="Q6661">
        <v>0</v>
      </c>
      <c r="R6661" t="s">
        <v>4557</v>
      </c>
      <c r="S6661" t="s">
        <v>4558</v>
      </c>
      <c r="T6661" t="s">
        <v>4559</v>
      </c>
      <c r="U6661" t="s">
        <v>4560</v>
      </c>
      <c r="V6661" s="2">
        <v>400</v>
      </c>
      <c r="W6661" t="s">
        <v>4655</v>
      </c>
      <c r="X6661" s="2">
        <v>0</v>
      </c>
      <c r="Y6661">
        <v>20</v>
      </c>
      <c r="Z6661" t="s">
        <v>5508</v>
      </c>
      <c r="AA6661" s="3">
        <v>0.21600091457366899</v>
      </c>
      <c r="AB6661" t="s">
        <v>31941</v>
      </c>
      <c r="AC6661" t="s">
        <v>4575</v>
      </c>
      <c r="AD6661" t="s">
        <v>31940</v>
      </c>
      <c r="AE6661" t="s">
        <v>4655</v>
      </c>
      <c r="AF6661" t="s">
        <v>1600</v>
      </c>
      <c r="AG6661" t="s">
        <v>4564</v>
      </c>
      <c r="AH6661" t="s">
        <v>1601</v>
      </c>
      <c r="AI6661" t="s">
        <v>31942</v>
      </c>
      <c r="AJ6661" t="s">
        <v>220</v>
      </c>
      <c r="AK6661" t="s">
        <v>31943</v>
      </c>
      <c r="AL6661" s="13" t="s">
        <v>1898</v>
      </c>
      <c r="AM6661" s="14">
        <v>1</v>
      </c>
      <c r="AN6661" s="15" t="s">
        <v>1598</v>
      </c>
    </row>
    <row r="6662" spans="1:40" x14ac:dyDescent="0.3">
      <c r="A6662" s="10" t="str">
        <f>HYPERLINK("http://www.washoecounty.gov/assessor/cama/?parid=504-680-28&amp;CardNumber=1","504-680-28")</f>
        <v>504-680-28</v>
      </c>
      <c r="B6662" t="s">
        <v>4655</v>
      </c>
      <c r="C6662" t="s">
        <v>31944</v>
      </c>
      <c r="D6662" s="1">
        <v>40280</v>
      </c>
      <c r="E6662" s="2">
        <v>121000</v>
      </c>
      <c r="F6662" t="s">
        <v>4553</v>
      </c>
      <c r="G6662" s="17" t="str">
        <f>HYPERLINK("https://www.washoecounty.gov/assessor/cama/?command=sales&amp;parid=50468028","3869769")</f>
        <v>3869769</v>
      </c>
      <c r="H6662" t="s">
        <v>219</v>
      </c>
      <c r="I6662">
        <v>1997</v>
      </c>
      <c r="J6662">
        <v>1997</v>
      </c>
      <c r="K6662" t="s">
        <v>4554</v>
      </c>
      <c r="L6662" t="s">
        <v>4555</v>
      </c>
      <c r="M6662" s="2">
        <v>1304</v>
      </c>
      <c r="N6662" t="s">
        <v>4556</v>
      </c>
      <c r="O6662">
        <v>3</v>
      </c>
      <c r="P6662">
        <v>2</v>
      </c>
      <c r="Q6662">
        <v>0</v>
      </c>
      <c r="R6662" t="s">
        <v>4557</v>
      </c>
      <c r="S6662" t="s">
        <v>4558</v>
      </c>
      <c r="T6662" t="s">
        <v>4559</v>
      </c>
      <c r="U6662" t="s">
        <v>4560</v>
      </c>
      <c r="V6662" s="2">
        <v>400</v>
      </c>
      <c r="W6662" t="s">
        <v>4655</v>
      </c>
      <c r="X6662" s="2">
        <v>0</v>
      </c>
      <c r="Y6662">
        <v>20</v>
      </c>
      <c r="Z6662" t="s">
        <v>5508</v>
      </c>
      <c r="AA6662" s="3">
        <v>0.23200184106826799</v>
      </c>
      <c r="AB6662" t="s">
        <v>4673</v>
      </c>
      <c r="AC6662" t="s">
        <v>4562</v>
      </c>
      <c r="AD6662" t="s">
        <v>3093</v>
      </c>
      <c r="AE6662" t="s">
        <v>4655</v>
      </c>
      <c r="AF6662" t="s">
        <v>4563</v>
      </c>
      <c r="AG6662" t="s">
        <v>4564</v>
      </c>
      <c r="AH6662">
        <v>89512</v>
      </c>
      <c r="AI6662" t="s">
        <v>4045</v>
      </c>
      <c r="AJ6662" t="s">
        <v>220</v>
      </c>
      <c r="AK6662" t="s">
        <v>31945</v>
      </c>
      <c r="AL6662" s="13" t="s">
        <v>1898</v>
      </c>
      <c r="AM6662" s="14">
        <v>1</v>
      </c>
      <c r="AN6662" s="15" t="s">
        <v>1598</v>
      </c>
    </row>
    <row r="6663" spans="1:40" x14ac:dyDescent="0.3">
      <c r="A6663" s="10" t="str">
        <f>HYPERLINK("http://www.washoecounty.gov/assessor/cama/?parid=504-690-06&amp;CardNumber=1","504-690-06")</f>
        <v>504-690-06</v>
      </c>
      <c r="B6663" t="s">
        <v>4655</v>
      </c>
      <c r="C6663" t="s">
        <v>5333</v>
      </c>
      <c r="D6663" s="1">
        <v>40451</v>
      </c>
      <c r="E6663" s="2">
        <v>123000</v>
      </c>
      <c r="F6663" t="s">
        <v>4567</v>
      </c>
      <c r="G6663" s="17" t="str">
        <f>HYPERLINK("https://www.washoecounty.gov/assessor/cama/?command=sales&amp;parid=50469006","3928380")</f>
        <v>3928380</v>
      </c>
      <c r="H6663" t="s">
        <v>219</v>
      </c>
      <c r="I6663">
        <v>1998</v>
      </c>
      <c r="J6663">
        <v>1998</v>
      </c>
      <c r="K6663" t="s">
        <v>4554</v>
      </c>
      <c r="L6663" t="s">
        <v>4555</v>
      </c>
      <c r="M6663" s="2">
        <v>1464</v>
      </c>
      <c r="N6663" t="s">
        <v>4556</v>
      </c>
      <c r="O6663">
        <v>3</v>
      </c>
      <c r="P6663">
        <v>2</v>
      </c>
      <c r="Q6663">
        <v>0</v>
      </c>
      <c r="R6663" t="s">
        <v>5281</v>
      </c>
      <c r="S6663" t="s">
        <v>4558</v>
      </c>
      <c r="T6663" t="s">
        <v>4559</v>
      </c>
      <c r="U6663" t="s">
        <v>4560</v>
      </c>
      <c r="V6663" s="2">
        <v>400</v>
      </c>
      <c r="W6663" t="s">
        <v>4655</v>
      </c>
      <c r="X6663" s="2">
        <v>0</v>
      </c>
      <c r="Y6663">
        <v>20</v>
      </c>
      <c r="Z6663" t="s">
        <v>5508</v>
      </c>
      <c r="AA6663" s="3">
        <v>0.19100092351436601</v>
      </c>
      <c r="AB6663" t="s">
        <v>4673</v>
      </c>
      <c r="AC6663" t="s">
        <v>4562</v>
      </c>
      <c r="AD6663" t="s">
        <v>3093</v>
      </c>
      <c r="AE6663" t="s">
        <v>4655</v>
      </c>
      <c r="AF6663" t="s">
        <v>4563</v>
      </c>
      <c r="AG6663" t="s">
        <v>4564</v>
      </c>
      <c r="AH6663">
        <v>89512</v>
      </c>
      <c r="AI6663" t="s">
        <v>31946</v>
      </c>
      <c r="AJ6663" t="s">
        <v>220</v>
      </c>
      <c r="AK6663" t="s">
        <v>5334</v>
      </c>
      <c r="AL6663" s="13" t="s">
        <v>1898</v>
      </c>
      <c r="AM6663">
        <v>1</v>
      </c>
      <c r="AN6663" s="15" t="s">
        <v>1598</v>
      </c>
    </row>
    <row r="6664" spans="1:40" x14ac:dyDescent="0.3">
      <c r="A6664" s="10" t="str">
        <f>HYPERLINK("http://www.washoecounty.gov/assessor/cama/?parid=504-690-23&amp;CardNumber=1","504-690-23")</f>
        <v>504-690-23</v>
      </c>
      <c r="B6664" t="s">
        <v>4655</v>
      </c>
      <c r="C6664" t="s">
        <v>31947</v>
      </c>
      <c r="D6664" s="1">
        <v>40311</v>
      </c>
      <c r="E6664" s="2">
        <v>92000</v>
      </c>
      <c r="F6664" t="s">
        <v>4553</v>
      </c>
      <c r="G6664" s="17" t="str">
        <f>HYPERLINK("https://www.washoecounty.gov/assessor/cama/?command=sales&amp;parid=50469023","3881187")</f>
        <v>3881187</v>
      </c>
      <c r="H6664" t="s">
        <v>219</v>
      </c>
      <c r="I6664">
        <v>1998</v>
      </c>
      <c r="J6664">
        <v>1998</v>
      </c>
      <c r="K6664" t="s">
        <v>4554</v>
      </c>
      <c r="L6664" t="s">
        <v>4555</v>
      </c>
      <c r="M6664" s="2">
        <v>1064</v>
      </c>
      <c r="N6664" t="s">
        <v>4556</v>
      </c>
      <c r="O6664">
        <v>3</v>
      </c>
      <c r="P6664">
        <v>2</v>
      </c>
      <c r="Q6664">
        <v>0</v>
      </c>
      <c r="R6664" t="s">
        <v>5281</v>
      </c>
      <c r="S6664" t="s">
        <v>4558</v>
      </c>
      <c r="T6664" t="s">
        <v>4559</v>
      </c>
      <c r="U6664" t="s">
        <v>4560</v>
      </c>
      <c r="V6664" s="2">
        <v>400</v>
      </c>
      <c r="W6664" t="s">
        <v>4655</v>
      </c>
      <c r="X6664" s="2">
        <v>0</v>
      </c>
      <c r="Y6664">
        <v>20</v>
      </c>
      <c r="Z6664" t="s">
        <v>5508</v>
      </c>
      <c r="AA6664" s="3">
        <v>0.192011013627052</v>
      </c>
      <c r="AB6664" t="s">
        <v>31948</v>
      </c>
      <c r="AC6664" t="s">
        <v>4562</v>
      </c>
      <c r="AD6664" t="s">
        <v>31947</v>
      </c>
      <c r="AE6664" t="s">
        <v>4655</v>
      </c>
      <c r="AF6664" t="s">
        <v>1600</v>
      </c>
      <c r="AG6664" t="s">
        <v>4564</v>
      </c>
      <c r="AH6664" t="s">
        <v>1601</v>
      </c>
      <c r="AI6664" t="s">
        <v>4848</v>
      </c>
      <c r="AJ6664" t="s">
        <v>220</v>
      </c>
      <c r="AK6664" t="s">
        <v>31949</v>
      </c>
      <c r="AL6664" s="13" t="s">
        <v>1898</v>
      </c>
      <c r="AM6664" s="14">
        <v>1</v>
      </c>
      <c r="AN6664" s="15" t="s">
        <v>1598</v>
      </c>
    </row>
    <row r="6665" spans="1:40" x14ac:dyDescent="0.3">
      <c r="A6665" s="10" t="str">
        <f>HYPERLINK("http://www.washoecounty.gov/assessor/cama/?parid=504-700-09&amp;CardNumber=1","504-700-09")</f>
        <v>504-700-09</v>
      </c>
      <c r="B6665" t="s">
        <v>4655</v>
      </c>
      <c r="C6665" t="s">
        <v>31950</v>
      </c>
      <c r="D6665" s="1">
        <v>40308</v>
      </c>
      <c r="E6665" s="2">
        <v>126000</v>
      </c>
      <c r="F6665" t="s">
        <v>4553</v>
      </c>
      <c r="G6665" s="17" t="str">
        <f>HYPERLINK("https://www.washoecounty.gov/assessor/cama/?command=sales&amp;parid=50470009","3880071")</f>
        <v>3880071</v>
      </c>
      <c r="H6665" t="s">
        <v>219</v>
      </c>
      <c r="I6665">
        <v>1998</v>
      </c>
      <c r="J6665">
        <v>1998</v>
      </c>
      <c r="K6665" t="s">
        <v>4554</v>
      </c>
      <c r="L6665" t="s">
        <v>4555</v>
      </c>
      <c r="M6665" s="2">
        <v>1304</v>
      </c>
      <c r="N6665" t="s">
        <v>4556</v>
      </c>
      <c r="O6665">
        <v>3</v>
      </c>
      <c r="P6665">
        <v>2</v>
      </c>
      <c r="Q6665">
        <v>0</v>
      </c>
      <c r="R6665" t="s">
        <v>5281</v>
      </c>
      <c r="S6665" t="s">
        <v>4558</v>
      </c>
      <c r="T6665" t="s">
        <v>4559</v>
      </c>
      <c r="U6665" t="s">
        <v>4560</v>
      </c>
      <c r="V6665" s="2">
        <v>400</v>
      </c>
      <c r="W6665" t="s">
        <v>4655</v>
      </c>
      <c r="X6665" s="2">
        <v>0</v>
      </c>
      <c r="Y6665">
        <v>20</v>
      </c>
      <c r="Z6665" t="s">
        <v>5508</v>
      </c>
      <c r="AA6665" s="3">
        <v>0.24600550532341001</v>
      </c>
      <c r="AB6665" t="s">
        <v>31951</v>
      </c>
      <c r="AC6665" t="s">
        <v>4562</v>
      </c>
      <c r="AD6665" t="s">
        <v>31950</v>
      </c>
      <c r="AE6665" t="s">
        <v>4655</v>
      </c>
      <c r="AF6665" t="s">
        <v>1600</v>
      </c>
      <c r="AG6665" t="s">
        <v>4564</v>
      </c>
      <c r="AH6665" t="s">
        <v>1601</v>
      </c>
      <c r="AI6665" t="s">
        <v>18420</v>
      </c>
      <c r="AJ6665" t="s">
        <v>220</v>
      </c>
      <c r="AK6665" t="s">
        <v>31952</v>
      </c>
      <c r="AL6665" s="13" t="s">
        <v>1898</v>
      </c>
      <c r="AM6665" s="14">
        <v>1</v>
      </c>
      <c r="AN6665" s="15" t="s">
        <v>1598</v>
      </c>
    </row>
    <row r="6666" spans="1:40" x14ac:dyDescent="0.3">
      <c r="A6666" s="10" t="str">
        <f>HYPERLINK("http://www.washoecounty.gov/assessor/cama/?parid=504-720-01&amp;CardNumber=1","504-720-01")</f>
        <v>504-720-01</v>
      </c>
      <c r="B6666" t="s">
        <v>4655</v>
      </c>
      <c r="C6666" t="s">
        <v>31953</v>
      </c>
      <c r="D6666" s="1">
        <v>40319</v>
      </c>
      <c r="E6666" s="2">
        <v>125000</v>
      </c>
      <c r="F6666" t="s">
        <v>4567</v>
      </c>
      <c r="G6666" s="17" t="str">
        <f>HYPERLINK("https://www.washoecounty.gov/assessor/cama/?command=sales&amp;parid=50472001","3884024")</f>
        <v>3884024</v>
      </c>
      <c r="H6666" t="s">
        <v>853</v>
      </c>
      <c r="I6666">
        <v>1998</v>
      </c>
      <c r="J6666">
        <v>1998</v>
      </c>
      <c r="K6666" t="s">
        <v>4554</v>
      </c>
      <c r="L6666" t="s">
        <v>4555</v>
      </c>
      <c r="M6666" s="2">
        <v>1265</v>
      </c>
      <c r="N6666" t="s">
        <v>4556</v>
      </c>
      <c r="O6666">
        <v>3</v>
      </c>
      <c r="P6666">
        <v>2</v>
      </c>
      <c r="Q6666">
        <v>0</v>
      </c>
      <c r="R6666" t="s">
        <v>5281</v>
      </c>
      <c r="S6666" t="s">
        <v>4558</v>
      </c>
      <c r="T6666" t="s">
        <v>4559</v>
      </c>
      <c r="U6666" t="s">
        <v>4560</v>
      </c>
      <c r="V6666" s="2">
        <v>415</v>
      </c>
      <c r="W6666" t="s">
        <v>4655</v>
      </c>
      <c r="X6666" s="2">
        <v>0</v>
      </c>
      <c r="Y6666">
        <v>20</v>
      </c>
      <c r="Z6666" t="s">
        <v>5508</v>
      </c>
      <c r="AA6666" s="3">
        <v>0.223989903926849</v>
      </c>
      <c r="AB6666" t="s">
        <v>31954</v>
      </c>
      <c r="AC6666" t="s">
        <v>4562</v>
      </c>
      <c r="AD6666" t="s">
        <v>31953</v>
      </c>
      <c r="AE6666" t="s">
        <v>4655</v>
      </c>
      <c r="AF6666" t="s">
        <v>1600</v>
      </c>
      <c r="AG6666" t="s">
        <v>4564</v>
      </c>
      <c r="AH6666" t="s">
        <v>1601</v>
      </c>
      <c r="AI6666" t="s">
        <v>31955</v>
      </c>
      <c r="AJ6666" t="s">
        <v>854</v>
      </c>
      <c r="AK6666" t="s">
        <v>31956</v>
      </c>
      <c r="AL6666" s="13" t="s">
        <v>1898</v>
      </c>
      <c r="AM6666">
        <v>1</v>
      </c>
      <c r="AN6666" s="15" t="s">
        <v>1598</v>
      </c>
    </row>
    <row r="6667" spans="1:40" x14ac:dyDescent="0.3">
      <c r="A6667" s="10" t="str">
        <f>HYPERLINK("http://www.washoecounty.gov/assessor/cama/?parid=504-720-09&amp;CardNumber=1","504-720-09")</f>
        <v>504-720-09</v>
      </c>
      <c r="B6667" t="s">
        <v>4655</v>
      </c>
      <c r="C6667" t="s">
        <v>31957</v>
      </c>
      <c r="D6667" s="1">
        <v>40246</v>
      </c>
      <c r="E6667" s="2">
        <v>106500</v>
      </c>
      <c r="F6667" t="s">
        <v>4553</v>
      </c>
      <c r="G6667" s="17" t="str">
        <f>HYPERLINK("https://www.washoecounty.gov/assessor/cama/?command=sales&amp;parid=50472009","3857708")</f>
        <v>3857708</v>
      </c>
      <c r="H6667" t="s">
        <v>853</v>
      </c>
      <c r="I6667">
        <v>1998</v>
      </c>
      <c r="J6667">
        <v>1998</v>
      </c>
      <c r="K6667" t="s">
        <v>4554</v>
      </c>
      <c r="L6667" t="s">
        <v>4555</v>
      </c>
      <c r="M6667" s="2">
        <v>1040</v>
      </c>
      <c r="N6667" t="s">
        <v>4556</v>
      </c>
      <c r="O6667">
        <v>3</v>
      </c>
      <c r="P6667">
        <v>2</v>
      </c>
      <c r="Q6667">
        <v>0</v>
      </c>
      <c r="R6667" t="s">
        <v>5281</v>
      </c>
      <c r="S6667" t="s">
        <v>4558</v>
      </c>
      <c r="T6667" t="s">
        <v>4559</v>
      </c>
      <c r="U6667" t="s">
        <v>4560</v>
      </c>
      <c r="V6667" s="2">
        <v>400</v>
      </c>
      <c r="W6667" t="s">
        <v>4655</v>
      </c>
      <c r="X6667" s="2">
        <v>0</v>
      </c>
      <c r="Y6667">
        <v>20</v>
      </c>
      <c r="Z6667" t="s">
        <v>5508</v>
      </c>
      <c r="AA6667" s="3">
        <v>0.25199723243713379</v>
      </c>
      <c r="AB6667" t="s">
        <v>4673</v>
      </c>
      <c r="AC6667" t="s">
        <v>4562</v>
      </c>
      <c r="AD6667" t="s">
        <v>3093</v>
      </c>
      <c r="AE6667" t="s">
        <v>4655</v>
      </c>
      <c r="AF6667" t="s">
        <v>4563</v>
      </c>
      <c r="AG6667" t="s">
        <v>4564</v>
      </c>
      <c r="AH6667">
        <v>89512</v>
      </c>
      <c r="AI6667" t="s">
        <v>2351</v>
      </c>
      <c r="AJ6667" t="s">
        <v>854</v>
      </c>
      <c r="AK6667" t="s">
        <v>31958</v>
      </c>
      <c r="AL6667" s="13" t="s">
        <v>1898</v>
      </c>
      <c r="AM6667">
        <v>1</v>
      </c>
      <c r="AN6667" s="15" t="s">
        <v>1598</v>
      </c>
    </row>
    <row r="6668" spans="1:40" x14ac:dyDescent="0.3">
      <c r="A6668" s="10" t="str">
        <f>HYPERLINK("http://www.washoecounty.gov/assessor/cama/?parid=504-730-21&amp;CardNumber=1","504-730-21")</f>
        <v>504-730-21</v>
      </c>
      <c r="B6668" t="s">
        <v>4655</v>
      </c>
      <c r="C6668" t="s">
        <v>31959</v>
      </c>
      <c r="D6668" s="1">
        <v>40281</v>
      </c>
      <c r="E6668" s="2">
        <v>105000</v>
      </c>
      <c r="F6668" t="s">
        <v>4567</v>
      </c>
      <c r="G6668" s="17" t="str">
        <f>HYPERLINK("https://www.washoecounty.gov/assessor/cama/?command=sales&amp;parid=50473021","3870558")</f>
        <v>3870558</v>
      </c>
      <c r="H6668" t="s">
        <v>853</v>
      </c>
      <c r="I6668">
        <v>1998</v>
      </c>
      <c r="J6668">
        <v>1998</v>
      </c>
      <c r="K6668" t="s">
        <v>4554</v>
      </c>
      <c r="L6668" t="s">
        <v>4555</v>
      </c>
      <c r="M6668" s="2">
        <v>1064</v>
      </c>
      <c r="N6668" t="s">
        <v>4556</v>
      </c>
      <c r="O6668">
        <v>3</v>
      </c>
      <c r="P6668">
        <v>2</v>
      </c>
      <c r="Q6668">
        <v>0</v>
      </c>
      <c r="R6668" t="s">
        <v>5281</v>
      </c>
      <c r="S6668" t="s">
        <v>4558</v>
      </c>
      <c r="T6668" t="s">
        <v>4559</v>
      </c>
      <c r="U6668" t="s">
        <v>4560</v>
      </c>
      <c r="V6668" s="2">
        <v>400</v>
      </c>
      <c r="W6668" t="s">
        <v>4655</v>
      </c>
      <c r="X6668" s="2">
        <v>0</v>
      </c>
      <c r="Y6668">
        <v>20</v>
      </c>
      <c r="Z6668" t="s">
        <v>5508</v>
      </c>
      <c r="AA6668" s="3">
        <v>0.22699724137783051</v>
      </c>
      <c r="AB6668" t="s">
        <v>31960</v>
      </c>
      <c r="AC6668" t="s">
        <v>4562</v>
      </c>
      <c r="AD6668" t="s">
        <v>31959</v>
      </c>
      <c r="AE6668" t="s">
        <v>4655</v>
      </c>
      <c r="AF6668" t="s">
        <v>1600</v>
      </c>
      <c r="AG6668" t="s">
        <v>4564</v>
      </c>
      <c r="AH6668" t="s">
        <v>1601</v>
      </c>
      <c r="AI6668" t="s">
        <v>31961</v>
      </c>
      <c r="AJ6668" t="s">
        <v>854</v>
      </c>
      <c r="AK6668" t="s">
        <v>31962</v>
      </c>
      <c r="AL6668" s="13" t="s">
        <v>1898</v>
      </c>
      <c r="AM6668">
        <v>1</v>
      </c>
      <c r="AN6668" s="15" t="s">
        <v>1598</v>
      </c>
    </row>
    <row r="6669" spans="1:40" x14ac:dyDescent="0.3">
      <c r="A6669" s="10" t="str">
        <f>HYPERLINK("http://www.washoecounty.gov/assessor/cama/?parid=504-730-25&amp;CardNumber=1","504-730-25")</f>
        <v>504-730-25</v>
      </c>
      <c r="B6669" t="s">
        <v>4655</v>
      </c>
      <c r="C6669" t="s">
        <v>31963</v>
      </c>
      <c r="D6669" s="1">
        <v>40326</v>
      </c>
      <c r="E6669" s="2">
        <v>144000</v>
      </c>
      <c r="F6669" t="s">
        <v>4567</v>
      </c>
      <c r="G6669" s="17" t="str">
        <f>HYPERLINK("https://www.washoecounty.gov/assessor/cama/?command=sales&amp;parid=50473025","3886730")</f>
        <v>3886730</v>
      </c>
      <c r="H6669" t="s">
        <v>853</v>
      </c>
      <c r="I6669">
        <v>1998</v>
      </c>
      <c r="J6669">
        <v>1998</v>
      </c>
      <c r="K6669" t="s">
        <v>4554</v>
      </c>
      <c r="L6669" t="s">
        <v>4555</v>
      </c>
      <c r="M6669" s="2">
        <v>1696</v>
      </c>
      <c r="N6669" t="s">
        <v>4556</v>
      </c>
      <c r="O6669">
        <v>3</v>
      </c>
      <c r="P6669">
        <v>2</v>
      </c>
      <c r="Q6669">
        <v>0</v>
      </c>
      <c r="R6669" t="s">
        <v>5281</v>
      </c>
      <c r="S6669" t="s">
        <v>4558</v>
      </c>
      <c r="T6669" t="s">
        <v>4559</v>
      </c>
      <c r="U6669" t="s">
        <v>4560</v>
      </c>
      <c r="V6669" s="2">
        <v>576</v>
      </c>
      <c r="W6669" t="s">
        <v>4655</v>
      </c>
      <c r="X6669" s="2">
        <v>0</v>
      </c>
      <c r="Y6669">
        <v>20</v>
      </c>
      <c r="Z6669" t="s">
        <v>5508</v>
      </c>
      <c r="AA6669" s="3">
        <v>0.41900825500488298</v>
      </c>
      <c r="AB6669" t="s">
        <v>31964</v>
      </c>
      <c r="AC6669" t="s">
        <v>4562</v>
      </c>
      <c r="AD6669" t="s">
        <v>31965</v>
      </c>
      <c r="AE6669" t="s">
        <v>4655</v>
      </c>
      <c r="AF6669" t="s">
        <v>1570</v>
      </c>
      <c r="AG6669" t="s">
        <v>4564</v>
      </c>
      <c r="AH6669" t="s">
        <v>1601</v>
      </c>
      <c r="AI6669" t="s">
        <v>31966</v>
      </c>
      <c r="AJ6669" t="s">
        <v>854</v>
      </c>
      <c r="AK6669" t="s">
        <v>31967</v>
      </c>
      <c r="AL6669" s="13" t="s">
        <v>1898</v>
      </c>
      <c r="AM6669" s="14">
        <v>1</v>
      </c>
      <c r="AN6669" s="15" t="s">
        <v>1598</v>
      </c>
    </row>
    <row r="6670" spans="1:40" x14ac:dyDescent="0.3">
      <c r="A6670" s="10" t="str">
        <f>HYPERLINK("http://www.washoecounty.gov/assessor/cama/?parid=506-021-33&amp;CardNumber=1","506-021-33")</f>
        <v>506-021-33</v>
      </c>
      <c r="B6670" t="s">
        <v>4655</v>
      </c>
      <c r="C6670" t="s">
        <v>31968</v>
      </c>
      <c r="D6670" s="1">
        <v>40448</v>
      </c>
      <c r="E6670" s="2">
        <v>60000</v>
      </c>
      <c r="F6670" t="s">
        <v>4567</v>
      </c>
      <c r="G6670" s="17" t="str">
        <f>HYPERLINK("https://www.washoecounty.gov/assessor/cama/?command=sales&amp;parid=50602133","3926389")</f>
        <v>3926389</v>
      </c>
      <c r="H6670" t="s">
        <v>31969</v>
      </c>
      <c r="I6670">
        <v>1999</v>
      </c>
      <c r="J6670">
        <v>1999</v>
      </c>
      <c r="K6670" t="s">
        <v>4847</v>
      </c>
      <c r="L6670" t="s">
        <v>4555</v>
      </c>
      <c r="M6670" s="2">
        <v>1352</v>
      </c>
      <c r="N6670" t="s">
        <v>3147</v>
      </c>
      <c r="O6670">
        <v>3</v>
      </c>
      <c r="P6670">
        <v>2</v>
      </c>
      <c r="Q6670">
        <v>0</v>
      </c>
      <c r="R6670" t="s">
        <v>4557</v>
      </c>
      <c r="S6670" t="s">
        <v>4558</v>
      </c>
      <c r="T6670" t="s">
        <v>4559</v>
      </c>
      <c r="U6670" t="s">
        <v>4655</v>
      </c>
      <c r="V6670" s="2">
        <v>0</v>
      </c>
      <c r="W6670" t="s">
        <v>4655</v>
      </c>
      <c r="X6670" s="2">
        <v>0</v>
      </c>
      <c r="Y6670">
        <v>22</v>
      </c>
      <c r="Z6670" t="s">
        <v>5508</v>
      </c>
      <c r="AA6670" s="3">
        <v>0.47499999403953602</v>
      </c>
      <c r="AB6670" t="s">
        <v>31970</v>
      </c>
      <c r="AC6670" t="s">
        <v>4562</v>
      </c>
      <c r="AD6670" t="s">
        <v>31968</v>
      </c>
      <c r="AE6670" t="s">
        <v>4655</v>
      </c>
      <c r="AF6670" t="s">
        <v>1600</v>
      </c>
      <c r="AG6670" t="s">
        <v>4564</v>
      </c>
      <c r="AH6670" t="s">
        <v>1601</v>
      </c>
      <c r="AI6670" t="s">
        <v>31971</v>
      </c>
      <c r="AJ6670" t="s">
        <v>31972</v>
      </c>
      <c r="AK6670" t="s">
        <v>31973</v>
      </c>
      <c r="AL6670" s="13" t="s">
        <v>38884</v>
      </c>
      <c r="AM6670" s="14">
        <v>1</v>
      </c>
      <c r="AN6670" s="15" t="s">
        <v>2528</v>
      </c>
    </row>
    <row r="6671" spans="1:40" x14ac:dyDescent="0.3">
      <c r="A6671" s="10" t="str">
        <f>HYPERLINK("http://www.washoecounty.gov/assessor/cama/?parid=506-021-36&amp;CardNumber=1","506-021-36")</f>
        <v>506-021-36</v>
      </c>
      <c r="B6671" t="s">
        <v>4655</v>
      </c>
      <c r="C6671" t="s">
        <v>31974</v>
      </c>
      <c r="D6671" s="1">
        <v>40443</v>
      </c>
      <c r="E6671" s="2">
        <v>60000</v>
      </c>
      <c r="F6671" t="s">
        <v>4553</v>
      </c>
      <c r="G6671" s="17" t="str">
        <f>HYPERLINK("https://www.washoecounty.gov/assessor/cama/?command=sales&amp;parid=50602136","3924965")</f>
        <v>3924965</v>
      </c>
      <c r="H6671" t="s">
        <v>31969</v>
      </c>
      <c r="I6671">
        <v>2000</v>
      </c>
      <c r="J6671">
        <v>2000</v>
      </c>
      <c r="K6671" t="s">
        <v>4847</v>
      </c>
      <c r="L6671" t="s">
        <v>4555</v>
      </c>
      <c r="M6671" s="2">
        <v>1296</v>
      </c>
      <c r="N6671" t="s">
        <v>3147</v>
      </c>
      <c r="O6671">
        <v>2</v>
      </c>
      <c r="P6671">
        <v>2</v>
      </c>
      <c r="Q6671">
        <v>0</v>
      </c>
      <c r="R6671" t="s">
        <v>4557</v>
      </c>
      <c r="S6671" t="s">
        <v>4558</v>
      </c>
      <c r="T6671" t="s">
        <v>4559</v>
      </c>
      <c r="U6671" t="s">
        <v>4655</v>
      </c>
      <c r="V6671" s="2">
        <v>0</v>
      </c>
      <c r="W6671" t="s">
        <v>4655</v>
      </c>
      <c r="X6671" s="2">
        <v>0</v>
      </c>
      <c r="Y6671">
        <v>22</v>
      </c>
      <c r="Z6671" t="s">
        <v>5508</v>
      </c>
      <c r="AA6671" s="3">
        <v>0.34898990392684898</v>
      </c>
      <c r="AB6671" t="s">
        <v>31975</v>
      </c>
      <c r="AC6671" t="s">
        <v>4575</v>
      </c>
      <c r="AD6671" t="s">
        <v>31974</v>
      </c>
      <c r="AE6671" t="s">
        <v>4655</v>
      </c>
      <c r="AF6671" t="s">
        <v>1600</v>
      </c>
      <c r="AG6671" t="s">
        <v>4564</v>
      </c>
      <c r="AH6671" t="s">
        <v>1601</v>
      </c>
      <c r="AI6671" t="s">
        <v>4848</v>
      </c>
      <c r="AJ6671" t="s">
        <v>31972</v>
      </c>
      <c r="AK6671" t="s">
        <v>31976</v>
      </c>
      <c r="AL6671" s="13" t="s">
        <v>38884</v>
      </c>
      <c r="AM6671">
        <v>1</v>
      </c>
      <c r="AN6671" s="15" t="s">
        <v>2528</v>
      </c>
    </row>
    <row r="6672" spans="1:40" x14ac:dyDescent="0.3">
      <c r="A6672" s="10" t="str">
        <f>HYPERLINK("http://www.washoecounty.gov/assessor/cama/?parid=506-030-08&amp;CardNumber=1","506-030-08")</f>
        <v>506-030-08</v>
      </c>
      <c r="B6672" t="s">
        <v>4655</v>
      </c>
      <c r="C6672" t="s">
        <v>31977</v>
      </c>
      <c r="D6672" s="1">
        <v>40512</v>
      </c>
      <c r="E6672" s="2">
        <v>55000</v>
      </c>
      <c r="F6672" t="s">
        <v>4567</v>
      </c>
      <c r="G6672" s="17" t="str">
        <f>HYPERLINK("https://www.washoecounty.gov/assessor/cama/?command=sales&amp;parid=50603008","3948070")</f>
        <v>3948070</v>
      </c>
      <c r="H6672" t="s">
        <v>3676</v>
      </c>
      <c r="I6672">
        <v>0</v>
      </c>
      <c r="J6672">
        <v>0</v>
      </c>
      <c r="K6672" t="s">
        <v>4655</v>
      </c>
      <c r="L6672" t="s">
        <v>4655</v>
      </c>
      <c r="M6672" s="2">
        <v>0</v>
      </c>
      <c r="N6672" t="s">
        <v>4655</v>
      </c>
      <c r="O6672">
        <v>0</v>
      </c>
      <c r="P6672">
        <v>0</v>
      </c>
      <c r="Q6672">
        <v>0</v>
      </c>
      <c r="R6672" t="s">
        <v>4655</v>
      </c>
      <c r="S6672" t="s">
        <v>4655</v>
      </c>
      <c r="T6672" t="s">
        <v>4655</v>
      </c>
      <c r="U6672" t="s">
        <v>4655</v>
      </c>
      <c r="V6672" s="2">
        <v>0</v>
      </c>
      <c r="W6672" t="s">
        <v>4655</v>
      </c>
      <c r="X6672" s="2">
        <v>0</v>
      </c>
      <c r="Y6672">
        <v>23</v>
      </c>
      <c r="Z6672" t="s">
        <v>5508</v>
      </c>
      <c r="AA6672" s="3">
        <v>0.38200184702873202</v>
      </c>
      <c r="AB6672" t="s">
        <v>31978</v>
      </c>
      <c r="AC6672" t="s">
        <v>4562</v>
      </c>
      <c r="AD6672" t="s">
        <v>31977</v>
      </c>
      <c r="AE6672" t="s">
        <v>4655</v>
      </c>
      <c r="AF6672" t="s">
        <v>1600</v>
      </c>
      <c r="AG6672" t="s">
        <v>4564</v>
      </c>
      <c r="AH6672" t="s">
        <v>1601</v>
      </c>
      <c r="AI6672" t="s">
        <v>31979</v>
      </c>
      <c r="AJ6672" t="s">
        <v>31980</v>
      </c>
      <c r="AK6672" t="s">
        <v>1411</v>
      </c>
      <c r="AL6672" s="13" t="s">
        <v>1898</v>
      </c>
      <c r="AM6672">
        <v>0</v>
      </c>
      <c r="AN6672" s="15" t="s">
        <v>2528</v>
      </c>
    </row>
    <row r="6673" spans="1:40" x14ac:dyDescent="0.3">
      <c r="A6673" s="10" t="str">
        <f>HYPERLINK("http://www.washoecounty.gov/assessor/cama/?parid=506-030-11&amp;CardNumber=1","506-030-11")</f>
        <v>506-030-11</v>
      </c>
      <c r="B6673" t="s">
        <v>4655</v>
      </c>
      <c r="C6673" t="s">
        <v>31981</v>
      </c>
      <c r="D6673" s="1">
        <v>40498</v>
      </c>
      <c r="E6673" s="2">
        <v>80000</v>
      </c>
      <c r="F6673" t="s">
        <v>4553</v>
      </c>
      <c r="G6673" s="17" t="str">
        <f>HYPERLINK("https://www.washoecounty.gov/assessor/cama/?command=sales&amp;parid=50603011","3943544")</f>
        <v>3943544</v>
      </c>
      <c r="H6673" t="s">
        <v>3676</v>
      </c>
      <c r="I6673">
        <v>2003</v>
      </c>
      <c r="J6673">
        <v>2003</v>
      </c>
      <c r="K6673" t="s">
        <v>4847</v>
      </c>
      <c r="L6673" t="s">
        <v>4555</v>
      </c>
      <c r="M6673" s="2">
        <v>2210</v>
      </c>
      <c r="N6673" t="s">
        <v>3147</v>
      </c>
      <c r="O6673">
        <v>3</v>
      </c>
      <c r="P6673">
        <v>2</v>
      </c>
      <c r="Q6673">
        <v>0</v>
      </c>
      <c r="R6673" t="s">
        <v>5281</v>
      </c>
      <c r="S6673" t="s">
        <v>4558</v>
      </c>
      <c r="T6673" t="s">
        <v>4559</v>
      </c>
      <c r="U6673" t="s">
        <v>4655</v>
      </c>
      <c r="V6673" s="2">
        <v>0</v>
      </c>
      <c r="W6673" t="s">
        <v>4655</v>
      </c>
      <c r="X6673" s="2">
        <v>0</v>
      </c>
      <c r="Y6673">
        <v>22</v>
      </c>
      <c r="Z6673" t="s">
        <v>5508</v>
      </c>
      <c r="AA6673" s="3">
        <v>0.38099172711372398</v>
      </c>
      <c r="AB6673" t="s">
        <v>31982</v>
      </c>
      <c r="AC6673" t="s">
        <v>4562</v>
      </c>
      <c r="AD6673" t="s">
        <v>31983</v>
      </c>
      <c r="AE6673" t="s">
        <v>4655</v>
      </c>
      <c r="AF6673" t="s">
        <v>1570</v>
      </c>
      <c r="AG6673" t="s">
        <v>4564</v>
      </c>
      <c r="AH6673" t="s">
        <v>1601</v>
      </c>
      <c r="AI6673" t="s">
        <v>4565</v>
      </c>
      <c r="AJ6673" t="s">
        <v>31984</v>
      </c>
      <c r="AK6673" t="s">
        <v>1411</v>
      </c>
      <c r="AL6673" s="13" t="s">
        <v>1898</v>
      </c>
      <c r="AM6673">
        <v>1</v>
      </c>
      <c r="AN6673" s="15" t="s">
        <v>2528</v>
      </c>
    </row>
    <row r="6674" spans="1:40" x14ac:dyDescent="0.3">
      <c r="A6674" s="10" t="str">
        <f>HYPERLINK("http://www.washoecounty.gov/assessor/cama/?parid=506-030-14&amp;CardNumber=1","506-030-14")</f>
        <v>506-030-14</v>
      </c>
      <c r="B6674" t="s">
        <v>4655</v>
      </c>
      <c r="C6674" t="s">
        <v>31985</v>
      </c>
      <c r="D6674" s="1">
        <v>40360</v>
      </c>
      <c r="E6674" s="2">
        <v>41000</v>
      </c>
      <c r="F6674" t="s">
        <v>4553</v>
      </c>
      <c r="G6674" s="17" t="str">
        <f>HYPERLINK("https://www.washoecounty.gov/assessor/cama/?command=sales&amp;parid=50603014","3897837")</f>
        <v>3897837</v>
      </c>
      <c r="H6674" t="s">
        <v>31986</v>
      </c>
      <c r="I6674">
        <v>1990</v>
      </c>
      <c r="J6674">
        <v>1990</v>
      </c>
      <c r="K6674" t="s">
        <v>4847</v>
      </c>
      <c r="L6674" t="s">
        <v>4555</v>
      </c>
      <c r="M6674" s="2">
        <v>840</v>
      </c>
      <c r="N6674" t="s">
        <v>4556</v>
      </c>
      <c r="O6674">
        <v>3</v>
      </c>
      <c r="P6674">
        <v>2</v>
      </c>
      <c r="Q6674">
        <v>0</v>
      </c>
      <c r="R6674" t="s">
        <v>4557</v>
      </c>
      <c r="S6674" t="s">
        <v>4558</v>
      </c>
      <c r="T6674" t="s">
        <v>4559</v>
      </c>
      <c r="U6674" t="s">
        <v>4655</v>
      </c>
      <c r="V6674" s="2">
        <v>0</v>
      </c>
      <c r="W6674" t="s">
        <v>4655</v>
      </c>
      <c r="X6674" s="2">
        <v>0</v>
      </c>
      <c r="Y6674">
        <v>22</v>
      </c>
      <c r="Z6674" t="s">
        <v>5508</v>
      </c>
      <c r="AA6674" s="3">
        <v>0.39299815893173218</v>
      </c>
      <c r="AB6674" t="s">
        <v>31987</v>
      </c>
      <c r="AC6674" t="s">
        <v>4562</v>
      </c>
      <c r="AD6674" t="s">
        <v>31988</v>
      </c>
      <c r="AE6674" t="s">
        <v>4655</v>
      </c>
      <c r="AF6674" t="s">
        <v>686</v>
      </c>
      <c r="AG6674" t="s">
        <v>4584</v>
      </c>
      <c r="AH6674">
        <v>94103</v>
      </c>
      <c r="AI6674" t="s">
        <v>3810</v>
      </c>
      <c r="AJ6674" t="s">
        <v>31989</v>
      </c>
      <c r="AK6674" t="s">
        <v>31990</v>
      </c>
      <c r="AL6674" s="13" t="s">
        <v>1898</v>
      </c>
      <c r="AM6674" s="14">
        <v>1</v>
      </c>
      <c r="AN6674" s="15" t="s">
        <v>2528</v>
      </c>
    </row>
    <row r="6675" spans="1:40" x14ac:dyDescent="0.3">
      <c r="A6675" s="10" t="str">
        <f>HYPERLINK("http://www.washoecounty.gov/assessor/cama/?parid=506-030-39&amp;CardNumber=1","506-030-39")</f>
        <v>506-030-39</v>
      </c>
      <c r="B6675" t="s">
        <v>4655</v>
      </c>
      <c r="C6675" t="s">
        <v>31991</v>
      </c>
      <c r="D6675" s="1">
        <v>40539</v>
      </c>
      <c r="E6675" s="2">
        <v>69500</v>
      </c>
      <c r="F6675" t="s">
        <v>4553</v>
      </c>
      <c r="G6675" s="17" t="str">
        <f>HYPERLINK("https://www.washoecounty.gov/assessor/cama/?command=sales&amp;parid=50603039","3957376")</f>
        <v>3957376</v>
      </c>
      <c r="H6675" t="s">
        <v>31992</v>
      </c>
      <c r="I6675">
        <v>2007</v>
      </c>
      <c r="J6675">
        <v>2007</v>
      </c>
      <c r="K6675" t="s">
        <v>4847</v>
      </c>
      <c r="L6675" t="s">
        <v>4555</v>
      </c>
      <c r="M6675" s="2">
        <v>1777</v>
      </c>
      <c r="N6675" t="s">
        <v>5280</v>
      </c>
      <c r="O6675">
        <v>3</v>
      </c>
      <c r="P6675">
        <v>2</v>
      </c>
      <c r="Q6675">
        <v>0</v>
      </c>
      <c r="R6675" t="s">
        <v>4557</v>
      </c>
      <c r="S6675" t="s">
        <v>4558</v>
      </c>
      <c r="T6675" t="s">
        <v>4559</v>
      </c>
      <c r="U6675" t="s">
        <v>4560</v>
      </c>
      <c r="V6675" s="2">
        <v>480</v>
      </c>
      <c r="W6675" t="s">
        <v>4655</v>
      </c>
      <c r="X6675" s="2">
        <v>0</v>
      </c>
      <c r="Y6675">
        <v>22</v>
      </c>
      <c r="Z6675" t="s">
        <v>5508</v>
      </c>
      <c r="AA6675" s="3">
        <v>0.35400000214576699</v>
      </c>
      <c r="AB6675" t="s">
        <v>31993</v>
      </c>
      <c r="AC6675" t="s">
        <v>4562</v>
      </c>
      <c r="AD6675" t="s">
        <v>31994</v>
      </c>
      <c r="AE6675" t="s">
        <v>4655</v>
      </c>
      <c r="AF6675" t="s">
        <v>3114</v>
      </c>
      <c r="AG6675" t="s">
        <v>4564</v>
      </c>
      <c r="AH6675">
        <v>89510</v>
      </c>
      <c r="AI6675" t="s">
        <v>4848</v>
      </c>
      <c r="AJ6675" t="s">
        <v>31995</v>
      </c>
      <c r="AK6675" t="s">
        <v>31996</v>
      </c>
      <c r="AL6675" s="13" t="s">
        <v>1898</v>
      </c>
      <c r="AM6675" s="14">
        <v>1</v>
      </c>
      <c r="AN6675" s="15" t="s">
        <v>2528</v>
      </c>
    </row>
    <row r="6676" spans="1:40" x14ac:dyDescent="0.3">
      <c r="A6676" s="10" t="str">
        <f>HYPERLINK("http://www.washoecounty.gov/assessor/cama/?parid=506-041-05&amp;CardNumber=1","506-041-05")</f>
        <v>506-041-05</v>
      </c>
      <c r="B6676" t="s">
        <v>4655</v>
      </c>
      <c r="C6676" t="s">
        <v>31997</v>
      </c>
      <c r="D6676" s="1">
        <v>40296</v>
      </c>
      <c r="E6676" s="2">
        <v>54000</v>
      </c>
      <c r="F6676" t="s">
        <v>4553</v>
      </c>
      <c r="G6676" s="17" t="str">
        <f>HYPERLINK("https://www.washoecounty.gov/assessor/cama/?command=sales&amp;parid=50604105","3875455")</f>
        <v>3875455</v>
      </c>
      <c r="H6676" t="s">
        <v>3471</v>
      </c>
      <c r="I6676">
        <v>1975</v>
      </c>
      <c r="J6676">
        <v>1975</v>
      </c>
      <c r="K6676" t="s">
        <v>4847</v>
      </c>
      <c r="L6676" t="s">
        <v>4555</v>
      </c>
      <c r="M6676" s="2">
        <v>1651</v>
      </c>
      <c r="N6676" t="s">
        <v>4048</v>
      </c>
      <c r="O6676">
        <v>3</v>
      </c>
      <c r="P6676">
        <v>2</v>
      </c>
      <c r="Q6676">
        <v>0</v>
      </c>
      <c r="R6676" t="s">
        <v>4557</v>
      </c>
      <c r="S6676" t="s">
        <v>4135</v>
      </c>
      <c r="T6676" t="s">
        <v>3888</v>
      </c>
      <c r="U6676" t="s">
        <v>4655</v>
      </c>
      <c r="V6676" s="2">
        <v>0</v>
      </c>
      <c r="W6676" t="s">
        <v>4655</v>
      </c>
      <c r="X6676" s="2">
        <v>0</v>
      </c>
      <c r="Y6676">
        <v>22</v>
      </c>
      <c r="Z6676" t="s">
        <v>5508</v>
      </c>
      <c r="AA6676" s="3">
        <v>0.34400826692581199</v>
      </c>
      <c r="AB6676" t="s">
        <v>31998</v>
      </c>
      <c r="AC6676" t="s">
        <v>4575</v>
      </c>
      <c r="AD6676" t="s">
        <v>31997</v>
      </c>
      <c r="AE6676" t="s">
        <v>4655</v>
      </c>
      <c r="AF6676" t="s">
        <v>1600</v>
      </c>
      <c r="AG6676" t="s">
        <v>4564</v>
      </c>
      <c r="AH6676" t="s">
        <v>1601</v>
      </c>
      <c r="AI6676" t="s">
        <v>4903</v>
      </c>
      <c r="AJ6676" t="s">
        <v>31999</v>
      </c>
      <c r="AK6676" t="s">
        <v>4506</v>
      </c>
      <c r="AL6676" s="13" t="s">
        <v>1898</v>
      </c>
      <c r="AM6676">
        <v>1</v>
      </c>
      <c r="AN6676" s="15" t="s">
        <v>2528</v>
      </c>
    </row>
    <row r="6677" spans="1:40" x14ac:dyDescent="0.3">
      <c r="A6677" s="10" t="str">
        <f>HYPERLINK("http://www.washoecounty.gov/assessor/cama/?parid=506-043-04&amp;CardNumber=1","506-043-04")</f>
        <v>506-043-04</v>
      </c>
      <c r="B6677" t="s">
        <v>4655</v>
      </c>
      <c r="C6677" t="s">
        <v>32000</v>
      </c>
      <c r="D6677" s="1">
        <v>40417</v>
      </c>
      <c r="E6677" s="2">
        <v>35000</v>
      </c>
      <c r="F6677" t="s">
        <v>4567</v>
      </c>
      <c r="G6677" s="17" t="str">
        <f>HYPERLINK("https://www.washoecounty.gov/assessor/cama/?command=sales&amp;parid=50604304","3916161")</f>
        <v>3916161</v>
      </c>
      <c r="H6677" t="s">
        <v>32001</v>
      </c>
      <c r="I6677">
        <v>0</v>
      </c>
      <c r="J6677">
        <v>0</v>
      </c>
      <c r="K6677" t="s">
        <v>4655</v>
      </c>
      <c r="L6677" t="s">
        <v>4655</v>
      </c>
      <c r="M6677" s="2">
        <v>0</v>
      </c>
      <c r="N6677" t="s">
        <v>4655</v>
      </c>
      <c r="O6677">
        <v>0</v>
      </c>
      <c r="P6677">
        <v>0</v>
      </c>
      <c r="Q6677">
        <v>0</v>
      </c>
      <c r="R6677" t="s">
        <v>4655</v>
      </c>
      <c r="S6677" t="s">
        <v>4655</v>
      </c>
      <c r="T6677" t="s">
        <v>4655</v>
      </c>
      <c r="U6677" t="s">
        <v>4655</v>
      </c>
      <c r="V6677" s="2">
        <v>0</v>
      </c>
      <c r="W6677" t="s">
        <v>4655</v>
      </c>
      <c r="X6677" s="2">
        <v>0</v>
      </c>
      <c r="Y6677">
        <v>23</v>
      </c>
      <c r="Z6677" t="s">
        <v>5508</v>
      </c>
      <c r="AA6677" s="3">
        <v>0.36099633574485801</v>
      </c>
      <c r="AB6677" t="s">
        <v>20582</v>
      </c>
      <c r="AC6677" t="s">
        <v>4562</v>
      </c>
      <c r="AD6677" t="s">
        <v>31997</v>
      </c>
      <c r="AE6677" t="s">
        <v>4655</v>
      </c>
      <c r="AF6677" t="s">
        <v>1600</v>
      </c>
      <c r="AG6677" t="s">
        <v>4564</v>
      </c>
      <c r="AH6677" t="s">
        <v>1601</v>
      </c>
      <c r="AI6677" t="s">
        <v>4655</v>
      </c>
      <c r="AJ6677" t="s">
        <v>32002</v>
      </c>
      <c r="AK6677" t="s">
        <v>32003</v>
      </c>
      <c r="AL6677" s="13" t="s">
        <v>1898</v>
      </c>
      <c r="AM6677">
        <v>0</v>
      </c>
      <c r="AN6677" s="15" t="s">
        <v>2528</v>
      </c>
    </row>
    <row r="6678" spans="1:40" x14ac:dyDescent="0.3">
      <c r="A6678" s="10" t="str">
        <f>HYPERLINK("http://www.washoecounty.gov/assessor/cama/?parid=506-043-14&amp;CardNumber=1","506-043-14")</f>
        <v>506-043-14</v>
      </c>
      <c r="B6678" t="s">
        <v>4655</v>
      </c>
      <c r="C6678" t="s">
        <v>32004</v>
      </c>
      <c r="D6678" s="1">
        <v>40514</v>
      </c>
      <c r="E6678" s="2">
        <v>40000</v>
      </c>
      <c r="F6678" t="s">
        <v>4567</v>
      </c>
      <c r="G6678" s="17" t="str">
        <f>HYPERLINK("https://www.washoecounty.gov/assessor/cama/?command=sales&amp;parid=50604314","3948591")</f>
        <v>3948591</v>
      </c>
      <c r="H6678" t="s">
        <v>32005</v>
      </c>
      <c r="I6678">
        <v>0</v>
      </c>
      <c r="J6678">
        <v>0</v>
      </c>
      <c r="K6678" t="s">
        <v>4655</v>
      </c>
      <c r="L6678" t="s">
        <v>4655</v>
      </c>
      <c r="M6678" s="2">
        <v>0</v>
      </c>
      <c r="N6678" t="s">
        <v>4655</v>
      </c>
      <c r="O6678">
        <v>0</v>
      </c>
      <c r="P6678">
        <v>0</v>
      </c>
      <c r="Q6678">
        <v>0</v>
      </c>
      <c r="R6678" t="s">
        <v>4655</v>
      </c>
      <c r="S6678" t="s">
        <v>4655</v>
      </c>
      <c r="T6678" t="s">
        <v>4655</v>
      </c>
      <c r="U6678" t="s">
        <v>4655</v>
      </c>
      <c r="V6678" s="2">
        <v>0</v>
      </c>
      <c r="W6678" t="s">
        <v>4655</v>
      </c>
      <c r="X6678" s="2">
        <v>0</v>
      </c>
      <c r="Y6678">
        <v>23</v>
      </c>
      <c r="Z6678" t="s">
        <v>5508</v>
      </c>
      <c r="AA6678" s="3">
        <v>0.36299356818199158</v>
      </c>
      <c r="AB6678" t="s">
        <v>32006</v>
      </c>
      <c r="AC6678" t="s">
        <v>4562</v>
      </c>
      <c r="AD6678" t="s">
        <v>32007</v>
      </c>
      <c r="AE6678" t="s">
        <v>4655</v>
      </c>
      <c r="AF6678" t="s">
        <v>4563</v>
      </c>
      <c r="AG6678" t="s">
        <v>4564</v>
      </c>
      <c r="AH6678">
        <v>89509</v>
      </c>
      <c r="AI6678" t="s">
        <v>32008</v>
      </c>
      <c r="AJ6678" t="s">
        <v>32009</v>
      </c>
      <c r="AK6678" t="s">
        <v>32010</v>
      </c>
      <c r="AL6678" s="13" t="s">
        <v>1898</v>
      </c>
      <c r="AM6678">
        <v>0</v>
      </c>
      <c r="AN6678" s="15" t="s">
        <v>2528</v>
      </c>
    </row>
    <row r="6679" spans="1:40" x14ac:dyDescent="0.3">
      <c r="A6679" s="10" t="str">
        <f>HYPERLINK("http://www.washoecounty.gov/assessor/cama/?parid=506-043-27&amp;CardNumber=1","506-043-27")</f>
        <v>506-043-27</v>
      </c>
      <c r="B6679" t="s">
        <v>4655</v>
      </c>
      <c r="C6679" t="s">
        <v>32011</v>
      </c>
      <c r="D6679" s="1">
        <v>40326</v>
      </c>
      <c r="E6679" s="2">
        <v>50000</v>
      </c>
      <c r="F6679" t="s">
        <v>4553</v>
      </c>
      <c r="G6679" s="17" t="str">
        <f>HYPERLINK("https://www.washoecounty.gov/assessor/cama/?command=sales&amp;parid=50604327","3886474")</f>
        <v>3886474</v>
      </c>
      <c r="H6679" t="s">
        <v>32012</v>
      </c>
      <c r="I6679">
        <v>1998</v>
      </c>
      <c r="J6679">
        <v>1998</v>
      </c>
      <c r="K6679" t="s">
        <v>4847</v>
      </c>
      <c r="L6679" t="s">
        <v>4555</v>
      </c>
      <c r="M6679" s="2">
        <v>1131</v>
      </c>
      <c r="N6679" t="s">
        <v>5280</v>
      </c>
      <c r="O6679">
        <v>3</v>
      </c>
      <c r="P6679">
        <v>2</v>
      </c>
      <c r="Q6679">
        <v>0</v>
      </c>
      <c r="R6679" t="s">
        <v>4557</v>
      </c>
      <c r="S6679" t="s">
        <v>4558</v>
      </c>
      <c r="T6679" t="s">
        <v>4559</v>
      </c>
      <c r="U6679" t="s">
        <v>4655</v>
      </c>
      <c r="V6679" s="2">
        <v>0</v>
      </c>
      <c r="W6679" t="s">
        <v>4655</v>
      </c>
      <c r="X6679" s="2">
        <v>0</v>
      </c>
      <c r="Y6679">
        <v>22</v>
      </c>
      <c r="Z6679" t="s">
        <v>5508</v>
      </c>
      <c r="AA6679" s="3">
        <v>0.18500918149948101</v>
      </c>
      <c r="AB6679" t="s">
        <v>32013</v>
      </c>
      <c r="AC6679" t="s">
        <v>4562</v>
      </c>
      <c r="AD6679" t="s">
        <v>32011</v>
      </c>
      <c r="AE6679" t="s">
        <v>4655</v>
      </c>
      <c r="AF6679" t="s">
        <v>1600</v>
      </c>
      <c r="AG6679" t="s">
        <v>4564</v>
      </c>
      <c r="AH6679" t="s">
        <v>1601</v>
      </c>
      <c r="AI6679" t="s">
        <v>4503</v>
      </c>
      <c r="AJ6679" t="s">
        <v>32014</v>
      </c>
      <c r="AK6679" t="s">
        <v>32015</v>
      </c>
      <c r="AL6679" s="13" t="s">
        <v>1898</v>
      </c>
      <c r="AM6679">
        <v>1</v>
      </c>
      <c r="AN6679" s="15" t="s">
        <v>2528</v>
      </c>
    </row>
    <row r="6680" spans="1:40" x14ac:dyDescent="0.3">
      <c r="A6680" s="10" t="str">
        <f>HYPERLINK("http://www.washoecounty.gov/assessor/cama/?parid=506-050-17&amp;CardNumber=1","506-050-17")</f>
        <v>506-050-17</v>
      </c>
      <c r="B6680" t="s">
        <v>4655</v>
      </c>
      <c r="C6680" t="s">
        <v>32016</v>
      </c>
      <c r="D6680" s="1">
        <v>40424</v>
      </c>
      <c r="E6680" s="2">
        <v>37500</v>
      </c>
      <c r="F6680" t="s">
        <v>4553</v>
      </c>
      <c r="G6680" s="17" t="str">
        <f>HYPERLINK("https://www.washoecounty.gov/assessor/cama/?command=sales&amp;parid=50605017","3918748")</f>
        <v>3918748</v>
      </c>
      <c r="H6680" t="s">
        <v>32017</v>
      </c>
      <c r="I6680">
        <v>1979</v>
      </c>
      <c r="J6680">
        <v>1979</v>
      </c>
      <c r="K6680" t="s">
        <v>4847</v>
      </c>
      <c r="L6680" t="s">
        <v>4555</v>
      </c>
      <c r="M6680" s="2">
        <v>1632</v>
      </c>
      <c r="N6680" t="s">
        <v>4556</v>
      </c>
      <c r="O6680">
        <v>3</v>
      </c>
      <c r="P6680">
        <v>2</v>
      </c>
      <c r="Q6680">
        <v>0</v>
      </c>
      <c r="R6680" t="s">
        <v>4557</v>
      </c>
      <c r="S6680" t="s">
        <v>1155</v>
      </c>
      <c r="T6680" t="s">
        <v>3888</v>
      </c>
      <c r="U6680" t="s">
        <v>4655</v>
      </c>
      <c r="V6680" s="2">
        <v>0</v>
      </c>
      <c r="W6680" t="s">
        <v>4655</v>
      </c>
      <c r="X6680" s="2">
        <v>0</v>
      </c>
      <c r="Y6680">
        <v>22</v>
      </c>
      <c r="Z6680" t="s">
        <v>5508</v>
      </c>
      <c r="AA6680" s="3">
        <v>0.34400826692581199</v>
      </c>
      <c r="AB6680" t="s">
        <v>32018</v>
      </c>
      <c r="AC6680" t="s">
        <v>4562</v>
      </c>
      <c r="AD6680" t="s">
        <v>32019</v>
      </c>
      <c r="AE6680" t="s">
        <v>4655</v>
      </c>
      <c r="AF6680" t="s">
        <v>1570</v>
      </c>
      <c r="AG6680" t="s">
        <v>4564</v>
      </c>
      <c r="AH6680" t="s">
        <v>1601</v>
      </c>
      <c r="AI6680" t="s">
        <v>4422</v>
      </c>
      <c r="AJ6680" t="s">
        <v>32020</v>
      </c>
      <c r="AK6680" t="s">
        <v>32021</v>
      </c>
      <c r="AL6680" s="13" t="s">
        <v>1898</v>
      </c>
      <c r="AM6680" s="14">
        <v>1</v>
      </c>
      <c r="AN6680" s="15" t="s">
        <v>2528</v>
      </c>
    </row>
    <row r="6681" spans="1:40" x14ac:dyDescent="0.3">
      <c r="A6681" s="10" t="str">
        <f>HYPERLINK("http://www.washoecounty.gov/assessor/cama/?parid=506-050-17&amp;CardNumber=1","506-050-17")</f>
        <v>506-050-17</v>
      </c>
      <c r="B6681" t="s">
        <v>4655</v>
      </c>
      <c r="C6681" t="s">
        <v>32016</v>
      </c>
      <c r="D6681" s="1">
        <v>40456</v>
      </c>
      <c r="E6681" s="2">
        <v>38000</v>
      </c>
      <c r="F6681" t="s">
        <v>4567</v>
      </c>
      <c r="G6681" s="17" t="str">
        <f>HYPERLINK("https://www.washoecounty.gov/assessor/cama/?command=sales&amp;parid=50605017","3929588")</f>
        <v>3929588</v>
      </c>
      <c r="H6681" t="s">
        <v>32017</v>
      </c>
      <c r="I6681">
        <v>1979</v>
      </c>
      <c r="J6681">
        <v>1979</v>
      </c>
      <c r="K6681" t="s">
        <v>4847</v>
      </c>
      <c r="L6681" t="s">
        <v>4555</v>
      </c>
      <c r="M6681" s="2">
        <v>1632</v>
      </c>
      <c r="N6681" t="s">
        <v>4556</v>
      </c>
      <c r="O6681">
        <v>3</v>
      </c>
      <c r="P6681">
        <v>2</v>
      </c>
      <c r="Q6681">
        <v>0</v>
      </c>
      <c r="R6681" t="s">
        <v>4557</v>
      </c>
      <c r="S6681" t="s">
        <v>1155</v>
      </c>
      <c r="T6681" t="s">
        <v>3888</v>
      </c>
      <c r="U6681" t="s">
        <v>4655</v>
      </c>
      <c r="V6681" s="2">
        <v>0</v>
      </c>
      <c r="W6681" t="s">
        <v>4655</v>
      </c>
      <c r="X6681" s="2">
        <v>0</v>
      </c>
      <c r="Y6681">
        <v>22</v>
      </c>
      <c r="Z6681" t="s">
        <v>5508</v>
      </c>
      <c r="AA6681" s="3">
        <v>0.34400826692581199</v>
      </c>
      <c r="AB6681" t="s">
        <v>32018</v>
      </c>
      <c r="AC6681" t="s">
        <v>4562</v>
      </c>
      <c r="AD6681" t="s">
        <v>32019</v>
      </c>
      <c r="AE6681" t="s">
        <v>4655</v>
      </c>
      <c r="AF6681" t="s">
        <v>1570</v>
      </c>
      <c r="AG6681" t="s">
        <v>4564</v>
      </c>
      <c r="AH6681" t="s">
        <v>1601</v>
      </c>
      <c r="AI6681" t="s">
        <v>4422</v>
      </c>
      <c r="AJ6681" t="s">
        <v>32020</v>
      </c>
      <c r="AK6681" t="s">
        <v>32021</v>
      </c>
      <c r="AL6681" s="13" t="s">
        <v>1898</v>
      </c>
      <c r="AM6681">
        <v>1</v>
      </c>
      <c r="AN6681" s="15" t="s">
        <v>2528</v>
      </c>
    </row>
    <row r="6682" spans="1:40" x14ac:dyDescent="0.3">
      <c r="A6682" s="10" t="str">
        <f>HYPERLINK("http://www.washoecounty.gov/assessor/cama/?parid=506-050-17&amp;CardNumber=1","506-050-17")</f>
        <v>506-050-17</v>
      </c>
      <c r="B6682" t="s">
        <v>4655</v>
      </c>
      <c r="C6682" t="s">
        <v>32016</v>
      </c>
      <c r="D6682" s="1">
        <v>40522</v>
      </c>
      <c r="E6682" s="2">
        <v>59900</v>
      </c>
      <c r="F6682" t="s">
        <v>4567</v>
      </c>
      <c r="G6682" s="17" t="str">
        <f>HYPERLINK("https://www.washoecounty.gov/assessor/cama/?command=sales&amp;parid=50605017","3952205")</f>
        <v>3952205</v>
      </c>
      <c r="H6682" t="s">
        <v>32017</v>
      </c>
      <c r="I6682">
        <v>1979</v>
      </c>
      <c r="J6682">
        <v>1979</v>
      </c>
      <c r="K6682" t="s">
        <v>4847</v>
      </c>
      <c r="L6682" t="s">
        <v>4555</v>
      </c>
      <c r="M6682" s="2">
        <v>1632</v>
      </c>
      <c r="N6682" t="s">
        <v>4556</v>
      </c>
      <c r="O6682">
        <v>3</v>
      </c>
      <c r="P6682">
        <v>2</v>
      </c>
      <c r="Q6682">
        <v>0</v>
      </c>
      <c r="R6682" t="s">
        <v>4557</v>
      </c>
      <c r="S6682" t="s">
        <v>1155</v>
      </c>
      <c r="T6682" t="s">
        <v>3888</v>
      </c>
      <c r="U6682" t="s">
        <v>4655</v>
      </c>
      <c r="V6682" s="2">
        <v>0</v>
      </c>
      <c r="W6682" t="s">
        <v>4655</v>
      </c>
      <c r="X6682" s="2">
        <v>0</v>
      </c>
      <c r="Y6682">
        <v>22</v>
      </c>
      <c r="Z6682" t="s">
        <v>5508</v>
      </c>
      <c r="AA6682" s="3">
        <v>0.34400826692581199</v>
      </c>
      <c r="AB6682" t="s">
        <v>32018</v>
      </c>
      <c r="AC6682" t="s">
        <v>4562</v>
      </c>
      <c r="AD6682" t="s">
        <v>32019</v>
      </c>
      <c r="AE6682" t="s">
        <v>4655</v>
      </c>
      <c r="AF6682" t="s">
        <v>1570</v>
      </c>
      <c r="AG6682" t="s">
        <v>4564</v>
      </c>
      <c r="AH6682" t="s">
        <v>1601</v>
      </c>
      <c r="AI6682" t="s">
        <v>4422</v>
      </c>
      <c r="AJ6682" t="s">
        <v>32020</v>
      </c>
      <c r="AK6682" t="s">
        <v>32021</v>
      </c>
      <c r="AL6682" s="13" t="s">
        <v>1898</v>
      </c>
      <c r="AM6682">
        <v>1</v>
      </c>
      <c r="AN6682" s="15" t="s">
        <v>2528</v>
      </c>
    </row>
    <row r="6683" spans="1:40" x14ac:dyDescent="0.3">
      <c r="A6683" s="10" t="str">
        <f>HYPERLINK("http://www.washoecounty.gov/assessor/cama/?parid=506-061-12&amp;CardNumber=1","506-061-12")</f>
        <v>506-061-12</v>
      </c>
      <c r="B6683" t="s">
        <v>4655</v>
      </c>
      <c r="C6683" t="s">
        <v>32022</v>
      </c>
      <c r="D6683" s="1">
        <v>40268</v>
      </c>
      <c r="E6683" s="2">
        <v>89900</v>
      </c>
      <c r="F6683" t="s">
        <v>4567</v>
      </c>
      <c r="G6683" s="17" t="str">
        <f>HYPERLINK("https://www.washoecounty.gov/assessor/cama/?command=sales&amp;parid=50606112","3866222")</f>
        <v>3866222</v>
      </c>
      <c r="H6683" t="s">
        <v>948</v>
      </c>
      <c r="I6683">
        <v>0</v>
      </c>
      <c r="J6683">
        <v>0</v>
      </c>
      <c r="K6683" t="s">
        <v>4655</v>
      </c>
      <c r="L6683" t="s">
        <v>4655</v>
      </c>
      <c r="M6683" s="2">
        <v>0</v>
      </c>
      <c r="N6683" t="s">
        <v>4655</v>
      </c>
      <c r="O6683">
        <v>0</v>
      </c>
      <c r="P6683">
        <v>0</v>
      </c>
      <c r="Q6683">
        <v>0</v>
      </c>
      <c r="R6683" t="s">
        <v>4655</v>
      </c>
      <c r="S6683" t="s">
        <v>4655</v>
      </c>
      <c r="T6683" t="s">
        <v>4655</v>
      </c>
      <c r="U6683" t="s">
        <v>4655</v>
      </c>
      <c r="V6683" s="2">
        <v>0</v>
      </c>
      <c r="W6683" t="s">
        <v>4655</v>
      </c>
      <c r="X6683" s="2">
        <v>0</v>
      </c>
      <c r="Y6683">
        <v>23</v>
      </c>
      <c r="Z6683" t="s">
        <v>5508</v>
      </c>
      <c r="AA6683" s="3">
        <v>0.39898988604545599</v>
      </c>
      <c r="AB6683" t="s">
        <v>32023</v>
      </c>
      <c r="AC6683" t="s">
        <v>4562</v>
      </c>
      <c r="AD6683" t="s">
        <v>32024</v>
      </c>
      <c r="AE6683" t="s">
        <v>4655</v>
      </c>
      <c r="AF6683" t="s">
        <v>1570</v>
      </c>
      <c r="AG6683" t="s">
        <v>4564</v>
      </c>
      <c r="AH6683" t="s">
        <v>1601</v>
      </c>
      <c r="AI6683" t="s">
        <v>4655</v>
      </c>
      <c r="AJ6683" t="s">
        <v>32025</v>
      </c>
      <c r="AK6683" t="s">
        <v>32026</v>
      </c>
      <c r="AL6683" s="13" t="s">
        <v>1898</v>
      </c>
      <c r="AM6683" s="14">
        <v>0</v>
      </c>
      <c r="AN6683" s="15" t="s">
        <v>2528</v>
      </c>
    </row>
    <row r="6684" spans="1:40" x14ac:dyDescent="0.3">
      <c r="A6684" s="10" t="str">
        <f>HYPERLINK("http://www.washoecounty.gov/assessor/cama/?parid=506-061-16&amp;CardNumber=1","506-061-16")</f>
        <v>506-061-16</v>
      </c>
      <c r="B6684" t="s">
        <v>4655</v>
      </c>
      <c r="C6684" t="s">
        <v>32027</v>
      </c>
      <c r="D6684" s="1">
        <v>40403</v>
      </c>
      <c r="E6684" s="2">
        <v>45000</v>
      </c>
      <c r="F6684" t="s">
        <v>4567</v>
      </c>
      <c r="G6684" s="17" t="str">
        <f>HYPERLINK("https://www.washoecounty.gov/assessor/cama/?command=sales&amp;parid=50606116","3911757")</f>
        <v>3911757</v>
      </c>
      <c r="H6684" t="s">
        <v>32028</v>
      </c>
      <c r="I6684">
        <v>0</v>
      </c>
      <c r="J6684">
        <v>0</v>
      </c>
      <c r="K6684" t="s">
        <v>4655</v>
      </c>
      <c r="L6684" t="s">
        <v>4655</v>
      </c>
      <c r="M6684" s="2">
        <v>0</v>
      </c>
      <c r="N6684" t="s">
        <v>4655</v>
      </c>
      <c r="O6684">
        <v>0</v>
      </c>
      <c r="P6684">
        <v>0</v>
      </c>
      <c r="Q6684">
        <v>0</v>
      </c>
      <c r="R6684" t="s">
        <v>4655</v>
      </c>
      <c r="S6684" t="s">
        <v>4655</v>
      </c>
      <c r="T6684" t="s">
        <v>4655</v>
      </c>
      <c r="U6684" t="s">
        <v>4655</v>
      </c>
      <c r="V6684" s="2">
        <v>0</v>
      </c>
      <c r="W6684" t="s">
        <v>4655</v>
      </c>
      <c r="X6684" s="2">
        <v>0</v>
      </c>
      <c r="Y6684">
        <v>23</v>
      </c>
      <c r="Z6684" t="s">
        <v>5508</v>
      </c>
      <c r="AA6684" s="3">
        <v>0.33399906754493702</v>
      </c>
      <c r="AB6684" t="s">
        <v>32029</v>
      </c>
      <c r="AC6684" t="s">
        <v>4575</v>
      </c>
      <c r="AD6684" t="s">
        <v>32030</v>
      </c>
      <c r="AE6684" t="s">
        <v>4655</v>
      </c>
      <c r="AF6684" t="s">
        <v>1600</v>
      </c>
      <c r="AG6684" t="s">
        <v>4564</v>
      </c>
      <c r="AH6684" t="s">
        <v>1601</v>
      </c>
      <c r="AI6684" t="s">
        <v>32031</v>
      </c>
      <c r="AJ6684" t="s">
        <v>32032</v>
      </c>
      <c r="AK6684" t="s">
        <v>32033</v>
      </c>
      <c r="AL6684" s="13" t="s">
        <v>1898</v>
      </c>
      <c r="AM6684" s="14">
        <v>0</v>
      </c>
      <c r="AN6684" s="15" t="s">
        <v>2528</v>
      </c>
    </row>
    <row r="6685" spans="1:40" x14ac:dyDescent="0.3">
      <c r="A6685" s="10" t="str">
        <f>HYPERLINK("http://www.washoecounty.gov/assessor/cama/?parid=506-061-17&amp;CardNumber=1","506-061-17")</f>
        <v>506-061-17</v>
      </c>
      <c r="B6685" t="s">
        <v>4655</v>
      </c>
      <c r="C6685" t="s">
        <v>32034</v>
      </c>
      <c r="D6685" s="1">
        <v>40225</v>
      </c>
      <c r="E6685" s="2">
        <v>1</v>
      </c>
      <c r="F6685" t="s">
        <v>4553</v>
      </c>
      <c r="G6685" s="17" t="str">
        <f>HYPERLINK("https://www.washoecounty.gov/assessor/cama/?command=sales&amp;parid=50606117","3849848")</f>
        <v>3849848</v>
      </c>
      <c r="H6685" t="s">
        <v>32035</v>
      </c>
      <c r="I6685">
        <v>2005</v>
      </c>
      <c r="J6685">
        <v>2005</v>
      </c>
      <c r="K6685" t="s">
        <v>4847</v>
      </c>
      <c r="L6685" t="s">
        <v>4555</v>
      </c>
      <c r="M6685" s="2">
        <v>1296</v>
      </c>
      <c r="N6685" t="s">
        <v>4048</v>
      </c>
      <c r="O6685">
        <v>3</v>
      </c>
      <c r="P6685">
        <v>2</v>
      </c>
      <c r="Q6685">
        <v>0</v>
      </c>
      <c r="R6685" t="s">
        <v>4557</v>
      </c>
      <c r="S6685" t="s">
        <v>4558</v>
      </c>
      <c r="T6685" t="s">
        <v>4559</v>
      </c>
      <c r="U6685" t="s">
        <v>4655</v>
      </c>
      <c r="V6685" s="2">
        <v>0</v>
      </c>
      <c r="W6685" t="s">
        <v>4655</v>
      </c>
      <c r="X6685" s="2">
        <v>0</v>
      </c>
      <c r="Y6685">
        <v>22</v>
      </c>
      <c r="Z6685" t="s">
        <v>5508</v>
      </c>
      <c r="AA6685" s="3">
        <v>0.391000926494598</v>
      </c>
      <c r="AB6685" t="s">
        <v>4673</v>
      </c>
      <c r="AC6685" t="s">
        <v>4562</v>
      </c>
      <c r="AD6685" t="s">
        <v>3093</v>
      </c>
      <c r="AE6685" t="s">
        <v>4655</v>
      </c>
      <c r="AF6685" t="s">
        <v>4563</v>
      </c>
      <c r="AG6685" t="s">
        <v>4564</v>
      </c>
      <c r="AH6685">
        <v>89512</v>
      </c>
      <c r="AI6685" t="s">
        <v>4848</v>
      </c>
      <c r="AJ6685" t="s">
        <v>32036</v>
      </c>
      <c r="AK6685" t="s">
        <v>32037</v>
      </c>
      <c r="AL6685" s="13" t="s">
        <v>1898</v>
      </c>
      <c r="AM6685" s="14">
        <v>1</v>
      </c>
      <c r="AN6685" s="15" t="s">
        <v>2528</v>
      </c>
    </row>
    <row r="6686" spans="1:40" x14ac:dyDescent="0.3">
      <c r="A6686" s="10" t="str">
        <f>HYPERLINK("http://www.washoecounty.gov/assessor/cama/?parid=506-061-41&amp;CardNumber=1","506-061-41")</f>
        <v>506-061-41</v>
      </c>
      <c r="B6686" t="s">
        <v>4655</v>
      </c>
      <c r="C6686" t="s">
        <v>32038</v>
      </c>
      <c r="D6686" s="1">
        <v>40338</v>
      </c>
      <c r="E6686" s="2">
        <v>58000</v>
      </c>
      <c r="F6686" t="s">
        <v>4553</v>
      </c>
      <c r="G6686" s="17" t="str">
        <f>HYPERLINK("https://www.washoecounty.gov/assessor/cama/?command=sales&amp;parid=50606141","3889870")</f>
        <v>3889870</v>
      </c>
      <c r="H6686" t="s">
        <v>32039</v>
      </c>
      <c r="I6686">
        <v>1996</v>
      </c>
      <c r="J6686">
        <v>1996</v>
      </c>
      <c r="K6686" t="s">
        <v>4847</v>
      </c>
      <c r="L6686" t="s">
        <v>4555</v>
      </c>
      <c r="M6686" s="2">
        <v>1716</v>
      </c>
      <c r="N6686" t="s">
        <v>4048</v>
      </c>
      <c r="O6686">
        <v>3</v>
      </c>
      <c r="P6686">
        <v>2</v>
      </c>
      <c r="Q6686">
        <v>0</v>
      </c>
      <c r="R6686" t="s">
        <v>4557</v>
      </c>
      <c r="S6686" t="s">
        <v>4558</v>
      </c>
      <c r="T6686" t="s">
        <v>4559</v>
      </c>
      <c r="U6686" t="s">
        <v>4655</v>
      </c>
      <c r="V6686" s="2">
        <v>0</v>
      </c>
      <c r="W6686" t="s">
        <v>4655</v>
      </c>
      <c r="X6686" s="2">
        <v>0</v>
      </c>
      <c r="Y6686">
        <v>22</v>
      </c>
      <c r="Z6686" t="s">
        <v>5508</v>
      </c>
      <c r="AA6686" s="3">
        <v>0.35300734639167802</v>
      </c>
      <c r="AB6686" t="s">
        <v>3450</v>
      </c>
      <c r="AC6686" t="s">
        <v>4562</v>
      </c>
      <c r="AD6686" t="s">
        <v>1572</v>
      </c>
      <c r="AE6686" t="s">
        <v>4655</v>
      </c>
      <c r="AF6686" t="s">
        <v>1600</v>
      </c>
      <c r="AG6686" t="s">
        <v>4564</v>
      </c>
      <c r="AH6686" t="s">
        <v>1601</v>
      </c>
      <c r="AI6686" t="s">
        <v>4045</v>
      </c>
      <c r="AJ6686" t="s">
        <v>32040</v>
      </c>
      <c r="AK6686" t="s">
        <v>32041</v>
      </c>
      <c r="AL6686" s="13" t="s">
        <v>1898</v>
      </c>
      <c r="AM6686" s="14">
        <v>1</v>
      </c>
      <c r="AN6686" s="15" t="s">
        <v>2528</v>
      </c>
    </row>
    <row r="6687" spans="1:40" x14ac:dyDescent="0.3">
      <c r="A6687" s="10" t="str">
        <f>HYPERLINK("http://www.washoecounty.gov/assessor/cama/?parid=506-061-43&amp;CardNumber=1","506-061-43")</f>
        <v>506-061-43</v>
      </c>
      <c r="B6687" t="s">
        <v>4655</v>
      </c>
      <c r="C6687" t="s">
        <v>32042</v>
      </c>
      <c r="D6687" s="1">
        <v>40394</v>
      </c>
      <c r="E6687" s="2">
        <v>59262</v>
      </c>
      <c r="F6687" t="s">
        <v>4553</v>
      </c>
      <c r="G6687" s="17" t="str">
        <f>HYPERLINK("https://www.washoecounty.gov/assessor/cama/?command=sales&amp;parid=50606143","3908916")</f>
        <v>3908916</v>
      </c>
      <c r="H6687" t="s">
        <v>32039</v>
      </c>
      <c r="I6687">
        <v>1995</v>
      </c>
      <c r="J6687">
        <v>1995</v>
      </c>
      <c r="K6687" t="s">
        <v>4847</v>
      </c>
      <c r="L6687" t="s">
        <v>4555</v>
      </c>
      <c r="M6687" s="2">
        <v>1456</v>
      </c>
      <c r="N6687" t="s">
        <v>4048</v>
      </c>
      <c r="O6687">
        <v>3</v>
      </c>
      <c r="P6687">
        <v>2</v>
      </c>
      <c r="Q6687">
        <v>0</v>
      </c>
      <c r="R6687" t="s">
        <v>4557</v>
      </c>
      <c r="S6687" t="s">
        <v>4558</v>
      </c>
      <c r="T6687" t="s">
        <v>4559</v>
      </c>
      <c r="U6687" t="s">
        <v>4655</v>
      </c>
      <c r="V6687" s="2">
        <v>0</v>
      </c>
      <c r="W6687" t="s">
        <v>4655</v>
      </c>
      <c r="X6687" s="2">
        <v>0</v>
      </c>
      <c r="Y6687">
        <v>22</v>
      </c>
      <c r="Z6687" t="s">
        <v>5508</v>
      </c>
      <c r="AA6687" s="3">
        <v>0.3519972562789917</v>
      </c>
      <c r="AB6687" t="s">
        <v>32043</v>
      </c>
      <c r="AC6687" t="s">
        <v>4575</v>
      </c>
      <c r="AD6687" t="s">
        <v>32044</v>
      </c>
      <c r="AE6687" t="s">
        <v>32042</v>
      </c>
      <c r="AF6687" t="s">
        <v>1600</v>
      </c>
      <c r="AG6687" t="s">
        <v>4564</v>
      </c>
      <c r="AH6687" t="s">
        <v>1601</v>
      </c>
      <c r="AI6687" t="s">
        <v>4848</v>
      </c>
      <c r="AJ6687" t="s">
        <v>32040</v>
      </c>
      <c r="AK6687" t="s">
        <v>32045</v>
      </c>
      <c r="AL6687" s="13" t="s">
        <v>1898</v>
      </c>
      <c r="AM6687" s="14">
        <v>1</v>
      </c>
      <c r="AN6687" s="15" t="s">
        <v>2528</v>
      </c>
    </row>
    <row r="6688" spans="1:40" x14ac:dyDescent="0.3">
      <c r="A6688" s="10" t="str">
        <f>HYPERLINK("http://www.washoecounty.gov/assessor/cama/?parid=506-260-04&amp;CardNumber=1","506-260-04")</f>
        <v>506-260-04</v>
      </c>
      <c r="B6688" t="s">
        <v>4655</v>
      </c>
      <c r="C6688" t="s">
        <v>32046</v>
      </c>
      <c r="D6688" s="1">
        <v>40526</v>
      </c>
      <c r="E6688" s="2">
        <v>28500</v>
      </c>
      <c r="F6688" t="s">
        <v>4553</v>
      </c>
      <c r="G6688" s="17" t="str">
        <f>HYPERLINK("https://www.washoecounty.gov/assessor/cama/?command=sales&amp;parid=50626004","3953252")</f>
        <v>3953252</v>
      </c>
      <c r="H6688" t="s">
        <v>32047</v>
      </c>
      <c r="I6688">
        <v>1978</v>
      </c>
      <c r="J6688">
        <v>1978</v>
      </c>
      <c r="K6688" t="s">
        <v>4847</v>
      </c>
      <c r="L6688" t="s">
        <v>4555</v>
      </c>
      <c r="M6688" s="2">
        <v>960</v>
      </c>
      <c r="N6688" t="s">
        <v>4556</v>
      </c>
      <c r="O6688">
        <v>2</v>
      </c>
      <c r="P6688">
        <v>2</v>
      </c>
      <c r="Q6688">
        <v>0</v>
      </c>
      <c r="R6688" t="s">
        <v>4557</v>
      </c>
      <c r="S6688" t="s">
        <v>4558</v>
      </c>
      <c r="T6688" t="s">
        <v>4559</v>
      </c>
      <c r="U6688" t="s">
        <v>4655</v>
      </c>
      <c r="V6688" s="2">
        <v>0</v>
      </c>
      <c r="W6688" t="s">
        <v>4655</v>
      </c>
      <c r="X6688" s="2">
        <v>0</v>
      </c>
      <c r="Y6688">
        <v>22</v>
      </c>
      <c r="Z6688" t="s">
        <v>4051</v>
      </c>
      <c r="AA6688" s="3">
        <v>0.30300733447074901</v>
      </c>
      <c r="AB6688" t="s">
        <v>32048</v>
      </c>
      <c r="AC6688" t="s">
        <v>4575</v>
      </c>
      <c r="AD6688" t="s">
        <v>32049</v>
      </c>
      <c r="AE6688" t="s">
        <v>4655</v>
      </c>
      <c r="AF6688" t="s">
        <v>1570</v>
      </c>
      <c r="AG6688" t="s">
        <v>4564</v>
      </c>
      <c r="AH6688" t="s">
        <v>1601</v>
      </c>
      <c r="AI6688" t="s">
        <v>32050</v>
      </c>
      <c r="AJ6688" t="s">
        <v>32051</v>
      </c>
      <c r="AK6688" t="s">
        <v>32052</v>
      </c>
      <c r="AL6688" s="13" t="s">
        <v>1898</v>
      </c>
      <c r="AM6688" s="14">
        <v>1</v>
      </c>
      <c r="AN6688" s="15" t="s">
        <v>2528</v>
      </c>
    </row>
    <row r="6689" spans="1:40" x14ac:dyDescent="0.3">
      <c r="A6689" s="10" t="str">
        <f>HYPERLINK("http://www.washoecounty.gov/assessor/cama/?parid=508-042-05&amp;CardNumber=1","508-042-05")</f>
        <v>508-042-05</v>
      </c>
      <c r="B6689" t="s">
        <v>5502</v>
      </c>
      <c r="C6689" t="s">
        <v>32053</v>
      </c>
      <c r="D6689" s="1">
        <v>40248</v>
      </c>
      <c r="E6689" s="2">
        <v>66000</v>
      </c>
      <c r="F6689" t="s">
        <v>4553</v>
      </c>
      <c r="G6689" s="17" t="str">
        <f>HYPERLINK("https://www.washoecounty.gov/assessor/cama/?command=sales&amp;parid=50804205","3858565")</f>
        <v>3858565</v>
      </c>
      <c r="H6689" t="s">
        <v>32054</v>
      </c>
      <c r="I6689">
        <v>1976</v>
      </c>
      <c r="J6689">
        <v>1976</v>
      </c>
      <c r="K6689" t="s">
        <v>4554</v>
      </c>
      <c r="L6689" t="s">
        <v>4555</v>
      </c>
      <c r="M6689" s="2">
        <v>638</v>
      </c>
      <c r="N6689" t="s">
        <v>4672</v>
      </c>
      <c r="O6689">
        <v>1</v>
      </c>
      <c r="P6689">
        <v>1</v>
      </c>
      <c r="Q6689">
        <v>0</v>
      </c>
      <c r="R6689" t="s">
        <v>4134</v>
      </c>
      <c r="S6689" t="s">
        <v>3148</v>
      </c>
      <c r="T6689" t="s">
        <v>4559</v>
      </c>
      <c r="U6689" t="s">
        <v>4655</v>
      </c>
      <c r="V6689" s="2">
        <v>0</v>
      </c>
      <c r="W6689" t="s">
        <v>4655</v>
      </c>
      <c r="X6689" s="2">
        <v>0</v>
      </c>
      <c r="Y6689">
        <v>31</v>
      </c>
      <c r="Z6689" t="s">
        <v>5508</v>
      </c>
      <c r="AA6689" s="3">
        <v>0.34499540925025901</v>
      </c>
      <c r="AB6689" t="s">
        <v>2527</v>
      </c>
      <c r="AC6689" t="s">
        <v>4562</v>
      </c>
      <c r="AD6689" t="s">
        <v>32055</v>
      </c>
      <c r="AE6689" t="s">
        <v>4655</v>
      </c>
      <c r="AF6689" t="s">
        <v>4563</v>
      </c>
      <c r="AG6689" t="s">
        <v>4564</v>
      </c>
      <c r="AH6689">
        <v>89505</v>
      </c>
      <c r="AI6689" t="s">
        <v>3810</v>
      </c>
      <c r="AJ6689" t="s">
        <v>32056</v>
      </c>
      <c r="AK6689" t="s">
        <v>32057</v>
      </c>
      <c r="AL6689" s="13" t="s">
        <v>1898</v>
      </c>
      <c r="AM6689">
        <v>2</v>
      </c>
      <c r="AN6689" s="15" t="s">
        <v>2528</v>
      </c>
    </row>
    <row r="6690" spans="1:40" x14ac:dyDescent="0.3">
      <c r="A6690" s="10" t="str">
        <f>HYPERLINK("http://www.washoecounty.gov/assessor/cama/?parid=508-043-01&amp;CardNumber=1","508-043-01")</f>
        <v>508-043-01</v>
      </c>
      <c r="B6690" t="s">
        <v>4655</v>
      </c>
      <c r="C6690" t="s">
        <v>32058</v>
      </c>
      <c r="D6690" s="1">
        <v>40282</v>
      </c>
      <c r="E6690" s="2">
        <v>87000</v>
      </c>
      <c r="F6690" t="s">
        <v>4567</v>
      </c>
      <c r="G6690" s="17" t="str">
        <f>HYPERLINK("https://www.washoecounty.gov/assessor/cama/?command=sales&amp;parid=50804301","3870696")</f>
        <v>3870696</v>
      </c>
      <c r="H6690" t="s">
        <v>32054</v>
      </c>
      <c r="I6690">
        <v>1985</v>
      </c>
      <c r="J6690">
        <v>1985</v>
      </c>
      <c r="K6690" t="s">
        <v>4847</v>
      </c>
      <c r="L6690" t="s">
        <v>4555</v>
      </c>
      <c r="M6690" s="2">
        <v>1536</v>
      </c>
      <c r="N6690" t="s">
        <v>4048</v>
      </c>
      <c r="O6690">
        <v>3</v>
      </c>
      <c r="P6690">
        <v>2</v>
      </c>
      <c r="Q6690">
        <v>0</v>
      </c>
      <c r="R6690" t="s">
        <v>4557</v>
      </c>
      <c r="S6690" t="s">
        <v>4135</v>
      </c>
      <c r="T6690" t="s">
        <v>4559</v>
      </c>
      <c r="U6690" t="s">
        <v>4655</v>
      </c>
      <c r="V6690" s="2">
        <v>0</v>
      </c>
      <c r="W6690" t="s">
        <v>4655</v>
      </c>
      <c r="X6690" s="2">
        <v>0</v>
      </c>
      <c r="Y6690">
        <v>23</v>
      </c>
      <c r="Z6690" t="s">
        <v>5508</v>
      </c>
      <c r="AA6690" s="3">
        <v>0.44600552320480302</v>
      </c>
      <c r="AB6690" t="s">
        <v>32059</v>
      </c>
      <c r="AC6690" t="s">
        <v>4562</v>
      </c>
      <c r="AD6690" t="s">
        <v>32060</v>
      </c>
      <c r="AE6690" t="s">
        <v>4655</v>
      </c>
      <c r="AF6690" t="s">
        <v>1600</v>
      </c>
      <c r="AG6690" t="s">
        <v>4564</v>
      </c>
      <c r="AH6690" t="s">
        <v>1601</v>
      </c>
      <c r="AI6690" t="s">
        <v>32061</v>
      </c>
      <c r="AJ6690" t="s">
        <v>32062</v>
      </c>
      <c r="AK6690" t="s">
        <v>32063</v>
      </c>
      <c r="AL6690" s="13" t="s">
        <v>1898</v>
      </c>
      <c r="AM6690" s="14">
        <v>1</v>
      </c>
      <c r="AN6690" s="15" t="s">
        <v>2528</v>
      </c>
    </row>
    <row r="6691" spans="1:40" x14ac:dyDescent="0.3">
      <c r="A6691" s="10" t="str">
        <f>HYPERLINK("http://www.washoecounty.gov/assessor/cama/?parid=508-052-10&amp;CardNumber=1","508-052-10")</f>
        <v>508-052-10</v>
      </c>
      <c r="B6691" t="s">
        <v>4655</v>
      </c>
      <c r="C6691" t="s">
        <v>32064</v>
      </c>
      <c r="D6691" s="1">
        <v>40312</v>
      </c>
      <c r="E6691" s="2">
        <v>82500</v>
      </c>
      <c r="F6691" t="s">
        <v>4553</v>
      </c>
      <c r="G6691" s="17" t="str">
        <f>HYPERLINK("https://www.washoecounty.gov/assessor/cama/?command=sales&amp;parid=50805210","3881691")</f>
        <v>3881691</v>
      </c>
      <c r="H6691" t="s">
        <v>32065</v>
      </c>
      <c r="I6691">
        <v>2005</v>
      </c>
      <c r="J6691">
        <v>2005</v>
      </c>
      <c r="K6691" t="s">
        <v>4847</v>
      </c>
      <c r="L6691" t="s">
        <v>4555</v>
      </c>
      <c r="M6691" s="2">
        <v>1772</v>
      </c>
      <c r="N6691" t="s">
        <v>4048</v>
      </c>
      <c r="O6691">
        <v>3</v>
      </c>
      <c r="P6691">
        <v>2</v>
      </c>
      <c r="Q6691">
        <v>0</v>
      </c>
      <c r="R6691" t="s">
        <v>4557</v>
      </c>
      <c r="S6691" t="s">
        <v>4558</v>
      </c>
      <c r="T6691" t="s">
        <v>4559</v>
      </c>
      <c r="U6691" t="s">
        <v>4655</v>
      </c>
      <c r="V6691" s="2">
        <v>0</v>
      </c>
      <c r="W6691" t="s">
        <v>4655</v>
      </c>
      <c r="X6691" s="2">
        <v>0</v>
      </c>
      <c r="Y6691">
        <v>22</v>
      </c>
      <c r="Z6691" t="s">
        <v>5508</v>
      </c>
      <c r="AA6691" s="3">
        <v>0.53799355030059803</v>
      </c>
      <c r="AB6691" t="s">
        <v>32066</v>
      </c>
      <c r="AC6691" t="s">
        <v>4562</v>
      </c>
      <c r="AD6691" t="s">
        <v>32067</v>
      </c>
      <c r="AE6691" t="s">
        <v>4655</v>
      </c>
      <c r="AF6691" t="s">
        <v>1600</v>
      </c>
      <c r="AG6691" t="s">
        <v>4564</v>
      </c>
      <c r="AH6691" t="s">
        <v>1601</v>
      </c>
      <c r="AI6691" t="s">
        <v>4655</v>
      </c>
      <c r="AJ6691" t="s">
        <v>32068</v>
      </c>
      <c r="AK6691" t="s">
        <v>32069</v>
      </c>
      <c r="AL6691" s="13" t="s">
        <v>1898</v>
      </c>
      <c r="AM6691">
        <v>1</v>
      </c>
      <c r="AN6691" s="15" t="s">
        <v>2528</v>
      </c>
    </row>
    <row r="6692" spans="1:40" x14ac:dyDescent="0.3">
      <c r="A6692" s="10" t="str">
        <f>HYPERLINK("http://www.washoecounty.gov/assessor/cama/?parid=508-052-12&amp;CardNumber=1","508-052-12")</f>
        <v>508-052-12</v>
      </c>
      <c r="B6692" t="s">
        <v>4655</v>
      </c>
      <c r="C6692" t="s">
        <v>32070</v>
      </c>
      <c r="D6692" s="1">
        <v>40234</v>
      </c>
      <c r="E6692" s="2">
        <v>55761</v>
      </c>
      <c r="F6692" t="s">
        <v>4553</v>
      </c>
      <c r="G6692" s="17" t="str">
        <f>HYPERLINK("https://www.washoecounty.gov/assessor/cama/?command=sales&amp;parid=50805212","3852668")</f>
        <v>3852668</v>
      </c>
      <c r="H6692" t="s">
        <v>5401</v>
      </c>
      <c r="I6692">
        <v>1992</v>
      </c>
      <c r="J6692">
        <v>1992</v>
      </c>
      <c r="K6692" t="s">
        <v>4847</v>
      </c>
      <c r="L6692" t="s">
        <v>4555</v>
      </c>
      <c r="M6692" s="2">
        <v>1770</v>
      </c>
      <c r="N6692" t="s">
        <v>5280</v>
      </c>
      <c r="O6692">
        <v>3</v>
      </c>
      <c r="P6692">
        <v>3</v>
      </c>
      <c r="Q6692">
        <v>0</v>
      </c>
      <c r="R6692" t="s">
        <v>4557</v>
      </c>
      <c r="S6692" t="s">
        <v>4558</v>
      </c>
      <c r="T6692" t="s">
        <v>4559</v>
      </c>
      <c r="U6692" t="s">
        <v>4655</v>
      </c>
      <c r="V6692" s="2">
        <v>0</v>
      </c>
      <c r="W6692" t="s">
        <v>4655</v>
      </c>
      <c r="X6692" s="2">
        <v>0</v>
      </c>
      <c r="Y6692">
        <v>22</v>
      </c>
      <c r="Z6692" t="s">
        <v>5508</v>
      </c>
      <c r="AA6692" s="3">
        <v>0.40899908542633101</v>
      </c>
      <c r="AB6692" t="s">
        <v>32071</v>
      </c>
      <c r="AC6692" t="s">
        <v>4575</v>
      </c>
      <c r="AD6692" t="s">
        <v>12041</v>
      </c>
      <c r="AE6692" t="s">
        <v>14320</v>
      </c>
      <c r="AF6692" t="s">
        <v>4563</v>
      </c>
      <c r="AG6692" t="s">
        <v>4564</v>
      </c>
      <c r="AH6692">
        <v>89502</v>
      </c>
      <c r="AI6692" t="s">
        <v>32072</v>
      </c>
      <c r="AJ6692" t="s">
        <v>32073</v>
      </c>
      <c r="AK6692" t="s">
        <v>32074</v>
      </c>
      <c r="AL6692" s="13" t="s">
        <v>1898</v>
      </c>
      <c r="AM6692">
        <v>1</v>
      </c>
      <c r="AN6692" s="15" t="s">
        <v>2528</v>
      </c>
    </row>
    <row r="6693" spans="1:40" x14ac:dyDescent="0.3">
      <c r="A6693" s="10" t="str">
        <f>HYPERLINK("http://www.washoecounty.gov/assessor/cama/?parid=508-052-12&amp;CardNumber=1","508-052-12")</f>
        <v>508-052-12</v>
      </c>
      <c r="B6693" t="s">
        <v>4655</v>
      </c>
      <c r="C6693" t="s">
        <v>32070</v>
      </c>
      <c r="D6693" s="1">
        <v>40256</v>
      </c>
      <c r="E6693" s="2">
        <v>105000</v>
      </c>
      <c r="F6693" t="s">
        <v>4567</v>
      </c>
      <c r="G6693" s="17" t="str">
        <f>HYPERLINK("https://www.washoecounty.gov/assessor/cama/?command=sales&amp;parid=50805212","3861898")</f>
        <v>3861898</v>
      </c>
      <c r="H6693" t="s">
        <v>5401</v>
      </c>
      <c r="I6693">
        <v>1992</v>
      </c>
      <c r="J6693">
        <v>1992</v>
      </c>
      <c r="K6693" t="s">
        <v>4847</v>
      </c>
      <c r="L6693" t="s">
        <v>4555</v>
      </c>
      <c r="M6693" s="2">
        <v>1770</v>
      </c>
      <c r="N6693" t="s">
        <v>5280</v>
      </c>
      <c r="O6693">
        <v>3</v>
      </c>
      <c r="P6693">
        <v>3</v>
      </c>
      <c r="Q6693">
        <v>0</v>
      </c>
      <c r="R6693" t="s">
        <v>4557</v>
      </c>
      <c r="S6693" t="s">
        <v>4558</v>
      </c>
      <c r="T6693" t="s">
        <v>4559</v>
      </c>
      <c r="U6693" t="s">
        <v>4655</v>
      </c>
      <c r="V6693" s="2">
        <v>0</v>
      </c>
      <c r="W6693" t="s">
        <v>4655</v>
      </c>
      <c r="X6693" s="2">
        <v>0</v>
      </c>
      <c r="Y6693">
        <v>22</v>
      </c>
      <c r="Z6693" t="s">
        <v>5508</v>
      </c>
      <c r="AA6693" s="3">
        <v>0.40899908542633101</v>
      </c>
      <c r="AB6693" t="s">
        <v>32071</v>
      </c>
      <c r="AC6693" t="s">
        <v>4575</v>
      </c>
      <c r="AD6693" t="s">
        <v>12041</v>
      </c>
      <c r="AE6693" t="s">
        <v>14320</v>
      </c>
      <c r="AF6693" t="s">
        <v>4563</v>
      </c>
      <c r="AG6693" t="s">
        <v>4564</v>
      </c>
      <c r="AH6693">
        <v>89502</v>
      </c>
      <c r="AI6693" t="s">
        <v>32072</v>
      </c>
      <c r="AJ6693" t="s">
        <v>32073</v>
      </c>
      <c r="AK6693" t="s">
        <v>32074</v>
      </c>
      <c r="AL6693" s="13" t="s">
        <v>1898</v>
      </c>
      <c r="AM6693" s="14">
        <v>1</v>
      </c>
      <c r="AN6693" s="15" t="s">
        <v>2528</v>
      </c>
    </row>
    <row r="6694" spans="1:40" x14ac:dyDescent="0.3">
      <c r="A6694" s="10" t="str">
        <f>HYPERLINK("http://www.washoecounty.gov/assessor/cama/?parid=508-072-15&amp;CardNumber=1","508-072-15")</f>
        <v>508-072-15</v>
      </c>
      <c r="B6694" t="s">
        <v>4655</v>
      </c>
      <c r="C6694" t="s">
        <v>32075</v>
      </c>
      <c r="D6694" s="1">
        <v>40374</v>
      </c>
      <c r="E6694" s="2">
        <v>114000</v>
      </c>
      <c r="F6694" t="s">
        <v>4567</v>
      </c>
      <c r="G6694" s="17" t="str">
        <f>HYPERLINK("https://www.washoecounty.gov/assessor/cama/?command=sales&amp;parid=50807215","3901863")</f>
        <v>3901863</v>
      </c>
      <c r="H6694" t="s">
        <v>577</v>
      </c>
      <c r="I6694">
        <v>1997</v>
      </c>
      <c r="J6694">
        <v>1997</v>
      </c>
      <c r="K6694" t="s">
        <v>4847</v>
      </c>
      <c r="L6694" t="s">
        <v>4555</v>
      </c>
      <c r="M6694" s="2">
        <v>1214</v>
      </c>
      <c r="N6694" t="s">
        <v>3887</v>
      </c>
      <c r="O6694">
        <v>2</v>
      </c>
      <c r="P6694">
        <v>2</v>
      </c>
      <c r="Q6694">
        <v>0</v>
      </c>
      <c r="R6694" t="s">
        <v>4557</v>
      </c>
      <c r="S6694" t="s">
        <v>4558</v>
      </c>
      <c r="T6694" t="s">
        <v>4559</v>
      </c>
      <c r="U6694" t="s">
        <v>4655</v>
      </c>
      <c r="V6694" s="2">
        <v>0</v>
      </c>
      <c r="W6694" t="s">
        <v>4655</v>
      </c>
      <c r="X6694" s="2">
        <v>0</v>
      </c>
      <c r="Y6694">
        <v>22</v>
      </c>
      <c r="Z6694" t="s">
        <v>5508</v>
      </c>
      <c r="AA6694" s="3">
        <v>0.34499540925025901</v>
      </c>
      <c r="AB6694" t="s">
        <v>32076</v>
      </c>
      <c r="AC6694" t="s">
        <v>4575</v>
      </c>
      <c r="AD6694" t="s">
        <v>32077</v>
      </c>
      <c r="AE6694" t="s">
        <v>32075</v>
      </c>
      <c r="AF6694" t="s">
        <v>1600</v>
      </c>
      <c r="AG6694" t="s">
        <v>4564</v>
      </c>
      <c r="AH6694" t="s">
        <v>1601</v>
      </c>
      <c r="AI6694" t="s">
        <v>32078</v>
      </c>
      <c r="AJ6694" t="s">
        <v>32079</v>
      </c>
      <c r="AK6694" t="s">
        <v>32080</v>
      </c>
      <c r="AL6694" s="13" t="s">
        <v>1898</v>
      </c>
      <c r="AM6694">
        <v>1</v>
      </c>
      <c r="AN6694" s="15" t="s">
        <v>2528</v>
      </c>
    </row>
    <row r="6695" spans="1:40" x14ac:dyDescent="0.3">
      <c r="A6695" s="10" t="str">
        <f>HYPERLINK("http://www.washoecounty.gov/assessor/cama/?parid=508-073-07&amp;CardNumber=1","508-073-07")</f>
        <v>508-073-07</v>
      </c>
      <c r="B6695" t="s">
        <v>4655</v>
      </c>
      <c r="C6695" t="s">
        <v>32081</v>
      </c>
      <c r="D6695" s="1">
        <v>40380</v>
      </c>
      <c r="E6695" s="2">
        <v>80000</v>
      </c>
      <c r="F6695" t="s">
        <v>4567</v>
      </c>
      <c r="G6695" s="17" t="str">
        <f>HYPERLINK("https://www.washoecounty.gov/assessor/cama/?command=sales&amp;parid=50807307","3903478")</f>
        <v>3903478</v>
      </c>
      <c r="H6695" t="s">
        <v>4299</v>
      </c>
      <c r="I6695">
        <v>1977</v>
      </c>
      <c r="J6695">
        <v>1977</v>
      </c>
      <c r="K6695" t="s">
        <v>1243</v>
      </c>
      <c r="L6695" t="s">
        <v>4655</v>
      </c>
      <c r="M6695" s="2">
        <v>0</v>
      </c>
      <c r="N6695" t="s">
        <v>4655</v>
      </c>
      <c r="O6695">
        <v>0</v>
      </c>
      <c r="P6695">
        <v>0</v>
      </c>
      <c r="Q6695">
        <v>0</v>
      </c>
      <c r="R6695" t="s">
        <v>4655</v>
      </c>
      <c r="S6695" t="s">
        <v>4655</v>
      </c>
      <c r="T6695" t="s">
        <v>4655</v>
      </c>
      <c r="U6695" t="s">
        <v>4655</v>
      </c>
      <c r="V6695" s="2">
        <v>0</v>
      </c>
      <c r="W6695" t="s">
        <v>4655</v>
      </c>
      <c r="X6695" s="2">
        <v>0</v>
      </c>
      <c r="Y6695">
        <v>23</v>
      </c>
      <c r="Z6695" t="s">
        <v>5508</v>
      </c>
      <c r="AA6695" s="3">
        <v>0.39699265360832198</v>
      </c>
      <c r="AB6695" t="s">
        <v>32082</v>
      </c>
      <c r="AC6695" t="s">
        <v>4562</v>
      </c>
      <c r="AD6695" t="s">
        <v>32081</v>
      </c>
      <c r="AE6695" t="s">
        <v>4655</v>
      </c>
      <c r="AF6695" t="s">
        <v>1600</v>
      </c>
      <c r="AG6695" t="s">
        <v>4564</v>
      </c>
      <c r="AH6695" t="s">
        <v>1601</v>
      </c>
      <c r="AI6695" t="s">
        <v>32083</v>
      </c>
      <c r="AJ6695" t="s">
        <v>32084</v>
      </c>
      <c r="AK6695" t="s">
        <v>32085</v>
      </c>
      <c r="AL6695" s="13" t="s">
        <v>1898</v>
      </c>
      <c r="AM6695">
        <v>1</v>
      </c>
      <c r="AN6695" s="15" t="s">
        <v>2528</v>
      </c>
    </row>
    <row r="6696" spans="1:40" x14ac:dyDescent="0.3">
      <c r="A6696" s="10" t="str">
        <f>HYPERLINK("http://www.washoecounty.gov/assessor/cama/?parid=508-074-02&amp;CardNumber=1","508-074-02")</f>
        <v>508-074-02</v>
      </c>
      <c r="B6696" t="s">
        <v>4655</v>
      </c>
      <c r="C6696" t="s">
        <v>3432</v>
      </c>
      <c r="D6696" s="1">
        <v>40303</v>
      </c>
      <c r="E6696" s="2">
        <v>41000</v>
      </c>
      <c r="F6696" t="s">
        <v>4553</v>
      </c>
      <c r="G6696" s="17" t="str">
        <f>HYPERLINK("https://www.washoecounty.gov/assessor/cama/?command=sales&amp;parid=50807402","3878431")</f>
        <v>3878431</v>
      </c>
      <c r="H6696" t="s">
        <v>4299</v>
      </c>
      <c r="I6696">
        <v>1979</v>
      </c>
      <c r="J6696">
        <v>1979</v>
      </c>
      <c r="K6696" t="s">
        <v>4847</v>
      </c>
      <c r="L6696" t="s">
        <v>4555</v>
      </c>
      <c r="M6696" s="2">
        <v>1536</v>
      </c>
      <c r="N6696" t="s">
        <v>4556</v>
      </c>
      <c r="O6696">
        <v>3</v>
      </c>
      <c r="P6696">
        <v>2</v>
      </c>
      <c r="Q6696">
        <v>0</v>
      </c>
      <c r="R6696" t="s">
        <v>4557</v>
      </c>
      <c r="S6696" t="s">
        <v>1155</v>
      </c>
      <c r="T6696" t="s">
        <v>3888</v>
      </c>
      <c r="U6696" t="s">
        <v>4655</v>
      </c>
      <c r="V6696" s="2">
        <v>0</v>
      </c>
      <c r="W6696" t="s">
        <v>4655</v>
      </c>
      <c r="X6696" s="2">
        <v>0</v>
      </c>
      <c r="Y6696">
        <v>22</v>
      </c>
      <c r="Z6696" t="s">
        <v>5508</v>
      </c>
      <c r="AA6696" s="3">
        <v>0.37899449467658997</v>
      </c>
      <c r="AB6696" t="s">
        <v>4943</v>
      </c>
      <c r="AC6696" t="s">
        <v>4562</v>
      </c>
      <c r="AD6696" t="s">
        <v>4944</v>
      </c>
      <c r="AE6696" t="s">
        <v>4655</v>
      </c>
      <c r="AF6696" t="s">
        <v>1600</v>
      </c>
      <c r="AG6696" t="s">
        <v>4564</v>
      </c>
      <c r="AH6696" t="s">
        <v>1601</v>
      </c>
      <c r="AI6696" t="s">
        <v>4655</v>
      </c>
      <c r="AJ6696" t="s">
        <v>4300</v>
      </c>
      <c r="AK6696" t="s">
        <v>3407</v>
      </c>
      <c r="AL6696" s="13" t="s">
        <v>1898</v>
      </c>
      <c r="AM6696">
        <v>1</v>
      </c>
      <c r="AN6696" s="15" t="s">
        <v>2528</v>
      </c>
    </row>
    <row r="6697" spans="1:40" x14ac:dyDescent="0.3">
      <c r="A6697" s="10" t="str">
        <f>HYPERLINK("http://www.washoecounty.gov/assessor/cama/?parid=508-084-03&amp;CardNumber=1","508-084-03")</f>
        <v>508-084-03</v>
      </c>
      <c r="B6697" t="s">
        <v>4655</v>
      </c>
      <c r="C6697" t="s">
        <v>32086</v>
      </c>
      <c r="D6697" s="1">
        <v>40450</v>
      </c>
      <c r="E6697" s="2">
        <v>62000</v>
      </c>
      <c r="F6697" t="s">
        <v>4567</v>
      </c>
      <c r="G6697" s="17" t="str">
        <f>HYPERLINK("https://www.washoecounty.gov/assessor/cama/?command=sales&amp;parid=50808403","3927399")</f>
        <v>3927399</v>
      </c>
      <c r="H6697" t="s">
        <v>32087</v>
      </c>
      <c r="I6697">
        <v>1986</v>
      </c>
      <c r="J6697">
        <v>1986</v>
      </c>
      <c r="K6697" t="s">
        <v>1243</v>
      </c>
      <c r="L6697" t="s">
        <v>4655</v>
      </c>
      <c r="M6697" s="2">
        <v>0</v>
      </c>
      <c r="N6697" t="s">
        <v>4655</v>
      </c>
      <c r="O6697">
        <v>0</v>
      </c>
      <c r="P6697">
        <v>0</v>
      </c>
      <c r="Q6697">
        <v>0</v>
      </c>
      <c r="R6697" t="s">
        <v>4655</v>
      </c>
      <c r="S6697" t="s">
        <v>4655</v>
      </c>
      <c r="T6697" t="s">
        <v>4655</v>
      </c>
      <c r="U6697" t="s">
        <v>4655</v>
      </c>
      <c r="V6697" s="2">
        <v>0</v>
      </c>
      <c r="W6697" t="s">
        <v>4655</v>
      </c>
      <c r="X6697" s="2">
        <v>0</v>
      </c>
      <c r="Y6697">
        <v>23</v>
      </c>
      <c r="Z6697" t="s">
        <v>5508</v>
      </c>
      <c r="AA6697" s="3">
        <v>0.54699265956878662</v>
      </c>
      <c r="AB6697" t="s">
        <v>2527</v>
      </c>
      <c r="AC6697" t="s">
        <v>4562</v>
      </c>
      <c r="AD6697" t="s">
        <v>32055</v>
      </c>
      <c r="AE6697" t="s">
        <v>4655</v>
      </c>
      <c r="AF6697" t="s">
        <v>4563</v>
      </c>
      <c r="AG6697" t="s">
        <v>4564</v>
      </c>
      <c r="AH6697">
        <v>89505</v>
      </c>
      <c r="AI6697" t="s">
        <v>32088</v>
      </c>
      <c r="AJ6697" t="s">
        <v>32089</v>
      </c>
      <c r="AK6697" t="s">
        <v>32090</v>
      </c>
      <c r="AL6697" s="13" t="s">
        <v>1898</v>
      </c>
      <c r="AM6697" s="14">
        <v>1</v>
      </c>
      <c r="AN6697" s="15" t="s">
        <v>2528</v>
      </c>
    </row>
    <row r="6698" spans="1:40" x14ac:dyDescent="0.3">
      <c r="A6698" s="10" t="str">
        <f>HYPERLINK("http://www.washoecounty.gov/assessor/cama/?parid=508-084-07&amp;CardNumber=1","508-084-07")</f>
        <v>508-084-07</v>
      </c>
      <c r="B6698" t="s">
        <v>4655</v>
      </c>
      <c r="C6698" t="s">
        <v>32091</v>
      </c>
      <c r="D6698" s="1">
        <v>40284</v>
      </c>
      <c r="E6698" s="2">
        <v>38000</v>
      </c>
      <c r="F6698" t="s">
        <v>4553</v>
      </c>
      <c r="G6698" s="17" t="str">
        <f>HYPERLINK("https://www.washoecounty.gov/assessor/cama/?command=sales&amp;parid=50808407","3871806")</f>
        <v>3871806</v>
      </c>
      <c r="H6698" t="s">
        <v>32092</v>
      </c>
      <c r="I6698">
        <v>1977</v>
      </c>
      <c r="J6698">
        <v>1977</v>
      </c>
      <c r="K6698" t="s">
        <v>1243</v>
      </c>
      <c r="L6698" t="s">
        <v>4655</v>
      </c>
      <c r="M6698" s="2">
        <v>0</v>
      </c>
      <c r="N6698" t="s">
        <v>4655</v>
      </c>
      <c r="O6698">
        <v>0</v>
      </c>
      <c r="P6698">
        <v>0</v>
      </c>
      <c r="Q6698">
        <v>0</v>
      </c>
      <c r="R6698" t="s">
        <v>4655</v>
      </c>
      <c r="S6698" t="s">
        <v>4655</v>
      </c>
      <c r="T6698" t="s">
        <v>4655</v>
      </c>
      <c r="U6698" t="s">
        <v>4655</v>
      </c>
      <c r="V6698" s="2">
        <v>0</v>
      </c>
      <c r="W6698" t="s">
        <v>4655</v>
      </c>
      <c r="X6698" s="2">
        <v>0</v>
      </c>
      <c r="Y6698">
        <v>23</v>
      </c>
      <c r="Z6698" t="s">
        <v>5508</v>
      </c>
      <c r="AA6698" s="3">
        <v>0.43700641393661499</v>
      </c>
      <c r="AB6698" t="s">
        <v>32093</v>
      </c>
      <c r="AC6698" t="s">
        <v>4562</v>
      </c>
      <c r="AD6698" t="s">
        <v>32094</v>
      </c>
      <c r="AE6698" t="s">
        <v>4655</v>
      </c>
      <c r="AF6698" t="s">
        <v>1570</v>
      </c>
      <c r="AG6698" t="s">
        <v>4564</v>
      </c>
      <c r="AH6698" t="s">
        <v>1601</v>
      </c>
      <c r="AI6698" t="s">
        <v>4630</v>
      </c>
      <c r="AJ6698" t="s">
        <v>32095</v>
      </c>
      <c r="AK6698" t="s">
        <v>32096</v>
      </c>
      <c r="AL6698" s="13" t="s">
        <v>1898</v>
      </c>
      <c r="AM6698" s="14">
        <v>1</v>
      </c>
      <c r="AN6698" s="15" t="s">
        <v>2528</v>
      </c>
    </row>
    <row r="6699" spans="1:40" x14ac:dyDescent="0.3">
      <c r="A6699" s="10" t="str">
        <f>HYPERLINK("http://www.washoecounty.gov/assessor/cama/?parid=508-084-08&amp;CardNumber=1","508-084-08")</f>
        <v>508-084-08</v>
      </c>
      <c r="B6699" t="s">
        <v>4655</v>
      </c>
      <c r="C6699" t="s">
        <v>32097</v>
      </c>
      <c r="D6699" s="1">
        <v>40228</v>
      </c>
      <c r="E6699" s="2">
        <v>93000</v>
      </c>
      <c r="F6699" t="s">
        <v>4567</v>
      </c>
      <c r="G6699" s="17" t="str">
        <f>HYPERLINK("https://www.washoecounty.gov/assessor/cama/?command=sales&amp;parid=50808408","3851165")</f>
        <v>3851165</v>
      </c>
      <c r="H6699" t="s">
        <v>32098</v>
      </c>
      <c r="I6699">
        <v>1980</v>
      </c>
      <c r="J6699">
        <v>1980</v>
      </c>
      <c r="K6699" t="s">
        <v>4847</v>
      </c>
      <c r="L6699" t="s">
        <v>4555</v>
      </c>
      <c r="M6699" s="2">
        <v>1440</v>
      </c>
      <c r="N6699" t="s">
        <v>4048</v>
      </c>
      <c r="O6699">
        <v>3</v>
      </c>
      <c r="P6699">
        <v>2</v>
      </c>
      <c r="Q6699">
        <v>0</v>
      </c>
      <c r="R6699" t="s">
        <v>4557</v>
      </c>
      <c r="S6699" t="s">
        <v>4558</v>
      </c>
      <c r="T6699" t="s">
        <v>4559</v>
      </c>
      <c r="U6699" t="s">
        <v>4655</v>
      </c>
      <c r="V6699" s="2">
        <v>0</v>
      </c>
      <c r="W6699" t="s">
        <v>4655</v>
      </c>
      <c r="X6699" s="2">
        <v>0</v>
      </c>
      <c r="Y6699">
        <v>22</v>
      </c>
      <c r="Z6699" t="s">
        <v>5508</v>
      </c>
      <c r="AA6699" s="3">
        <v>0.34699264168739319</v>
      </c>
      <c r="AB6699" t="s">
        <v>32099</v>
      </c>
      <c r="AC6699" t="s">
        <v>4575</v>
      </c>
      <c r="AD6699" t="s">
        <v>32100</v>
      </c>
      <c r="AE6699" t="s">
        <v>4655</v>
      </c>
      <c r="AF6699" t="s">
        <v>4563</v>
      </c>
      <c r="AG6699" t="s">
        <v>4564</v>
      </c>
      <c r="AH6699">
        <v>89502</v>
      </c>
      <c r="AI6699" t="s">
        <v>32101</v>
      </c>
      <c r="AJ6699" t="s">
        <v>32102</v>
      </c>
      <c r="AK6699" t="s">
        <v>32103</v>
      </c>
      <c r="AL6699" s="13" t="s">
        <v>1898</v>
      </c>
      <c r="AM6699" s="14">
        <v>1</v>
      </c>
      <c r="AN6699" s="15" t="s">
        <v>2528</v>
      </c>
    </row>
    <row r="6700" spans="1:40" x14ac:dyDescent="0.3">
      <c r="A6700" s="10" t="str">
        <f>HYPERLINK("http://www.washoecounty.gov/assessor/cama/?parid=508-091-05&amp;CardNumber=1","508-091-05")</f>
        <v>508-091-05</v>
      </c>
      <c r="B6700" t="s">
        <v>4655</v>
      </c>
      <c r="C6700" t="s">
        <v>32104</v>
      </c>
      <c r="D6700" s="1">
        <v>40358</v>
      </c>
      <c r="E6700" s="2">
        <v>55000</v>
      </c>
      <c r="F6700" t="s">
        <v>4553</v>
      </c>
      <c r="G6700" s="17" t="str">
        <f>HYPERLINK("https://www.washoecounty.gov/assessor/cama/?command=sales&amp;parid=50809105","3896362")</f>
        <v>3896362</v>
      </c>
      <c r="H6700" t="s">
        <v>1194</v>
      </c>
      <c r="I6700">
        <v>1978</v>
      </c>
      <c r="J6700">
        <v>1978</v>
      </c>
      <c r="K6700" t="s">
        <v>4847</v>
      </c>
      <c r="L6700" t="s">
        <v>4555</v>
      </c>
      <c r="M6700" s="2">
        <v>1430</v>
      </c>
      <c r="N6700" t="s">
        <v>4556</v>
      </c>
      <c r="O6700">
        <v>2</v>
      </c>
      <c r="P6700">
        <v>2</v>
      </c>
      <c r="Q6700">
        <v>0</v>
      </c>
      <c r="R6700" t="s">
        <v>4557</v>
      </c>
      <c r="S6700" t="s">
        <v>4558</v>
      </c>
      <c r="T6700" t="s">
        <v>4559</v>
      </c>
      <c r="U6700" t="s">
        <v>4655</v>
      </c>
      <c r="V6700" s="2">
        <v>0</v>
      </c>
      <c r="W6700" t="s">
        <v>4655</v>
      </c>
      <c r="X6700" s="2">
        <v>0</v>
      </c>
      <c r="Y6700">
        <v>22</v>
      </c>
      <c r="Z6700" t="s">
        <v>5508</v>
      </c>
      <c r="AA6700" s="3">
        <v>0.37199264764785767</v>
      </c>
      <c r="AB6700" t="s">
        <v>7212</v>
      </c>
      <c r="AC6700" t="s">
        <v>4575</v>
      </c>
      <c r="AD6700" t="s">
        <v>193</v>
      </c>
      <c r="AE6700" t="s">
        <v>4655</v>
      </c>
      <c r="AF6700" t="s">
        <v>4563</v>
      </c>
      <c r="AG6700" t="s">
        <v>4564</v>
      </c>
      <c r="AH6700">
        <v>89509</v>
      </c>
      <c r="AI6700" t="s">
        <v>4503</v>
      </c>
      <c r="AJ6700" t="s">
        <v>32105</v>
      </c>
      <c r="AK6700" t="s">
        <v>32106</v>
      </c>
      <c r="AL6700" s="13" t="s">
        <v>1898</v>
      </c>
      <c r="AM6700" s="14">
        <v>1</v>
      </c>
      <c r="AN6700" s="15" t="s">
        <v>2528</v>
      </c>
    </row>
    <row r="6701" spans="1:40" x14ac:dyDescent="0.3">
      <c r="A6701" s="10" t="str">
        <f>HYPERLINK("http://www.washoecounty.gov/assessor/cama/?parid=508-091-09&amp;CardNumber=1","508-091-09")</f>
        <v>508-091-09</v>
      </c>
      <c r="B6701" t="s">
        <v>4655</v>
      </c>
      <c r="C6701" t="s">
        <v>32107</v>
      </c>
      <c r="D6701" s="1">
        <v>40304</v>
      </c>
      <c r="E6701" s="2">
        <v>139000</v>
      </c>
      <c r="F6701" t="s">
        <v>4567</v>
      </c>
      <c r="G6701" s="17" t="str">
        <f>HYPERLINK("https://www.washoecounty.gov/assessor/cama/?command=sales&amp;parid=50809109","3878781")</f>
        <v>3878781</v>
      </c>
      <c r="H6701" t="s">
        <v>1194</v>
      </c>
      <c r="I6701">
        <v>1994</v>
      </c>
      <c r="J6701">
        <v>1994</v>
      </c>
      <c r="K6701" t="s">
        <v>4847</v>
      </c>
      <c r="L6701" t="s">
        <v>4555</v>
      </c>
      <c r="M6701" s="2">
        <v>1287</v>
      </c>
      <c r="N6701" t="s">
        <v>5280</v>
      </c>
      <c r="O6701">
        <v>3</v>
      </c>
      <c r="P6701">
        <v>2</v>
      </c>
      <c r="Q6701">
        <v>0</v>
      </c>
      <c r="R6701" t="s">
        <v>4557</v>
      </c>
      <c r="S6701" t="s">
        <v>4558</v>
      </c>
      <c r="T6701" t="s">
        <v>4559</v>
      </c>
      <c r="U6701" t="s">
        <v>4655</v>
      </c>
      <c r="V6701" s="2">
        <v>0</v>
      </c>
      <c r="W6701" t="s">
        <v>4655</v>
      </c>
      <c r="X6701" s="2">
        <v>0</v>
      </c>
      <c r="Y6701">
        <v>22</v>
      </c>
      <c r="Z6701" t="s">
        <v>5508</v>
      </c>
      <c r="AA6701" s="3">
        <v>0.55199724435806197</v>
      </c>
      <c r="AB6701" t="s">
        <v>32108</v>
      </c>
      <c r="AC6701" t="s">
        <v>4562</v>
      </c>
      <c r="AD6701" t="s">
        <v>32109</v>
      </c>
      <c r="AE6701" t="s">
        <v>4655</v>
      </c>
      <c r="AF6701" t="s">
        <v>1600</v>
      </c>
      <c r="AG6701" t="s">
        <v>4564</v>
      </c>
      <c r="AH6701" t="s">
        <v>1601</v>
      </c>
      <c r="AI6701" t="s">
        <v>4655</v>
      </c>
      <c r="AJ6701" t="s">
        <v>32110</v>
      </c>
      <c r="AK6701" t="s">
        <v>32111</v>
      </c>
      <c r="AL6701" s="13" t="s">
        <v>1898</v>
      </c>
      <c r="AM6701">
        <v>1</v>
      </c>
      <c r="AN6701" s="15" t="s">
        <v>2528</v>
      </c>
    </row>
    <row r="6702" spans="1:40" x14ac:dyDescent="0.3">
      <c r="A6702" s="10" t="str">
        <f>HYPERLINK("http://www.washoecounty.gov/assessor/cama/?parid=508-093-10&amp;CardNumber=1","508-093-10")</f>
        <v>508-093-10</v>
      </c>
      <c r="B6702" t="s">
        <v>4655</v>
      </c>
      <c r="C6702" t="s">
        <v>32112</v>
      </c>
      <c r="D6702" s="1">
        <v>40346</v>
      </c>
      <c r="E6702" s="2">
        <v>50000</v>
      </c>
      <c r="F6702" t="s">
        <v>4567</v>
      </c>
      <c r="G6702" s="17" t="str">
        <f>HYPERLINK("https://www.washoecounty.gov/assessor/cama/?command=sales&amp;parid=50809310","3892894")</f>
        <v>3892894</v>
      </c>
      <c r="H6702" t="s">
        <v>1194</v>
      </c>
      <c r="I6702">
        <v>1974</v>
      </c>
      <c r="J6702">
        <v>1974</v>
      </c>
      <c r="K6702" t="s">
        <v>1243</v>
      </c>
      <c r="L6702" t="s">
        <v>4655</v>
      </c>
      <c r="M6702" s="2">
        <v>0</v>
      </c>
      <c r="N6702" t="s">
        <v>4655</v>
      </c>
      <c r="O6702">
        <v>0</v>
      </c>
      <c r="P6702">
        <v>0</v>
      </c>
      <c r="Q6702">
        <v>0</v>
      </c>
      <c r="R6702" t="s">
        <v>4655</v>
      </c>
      <c r="S6702" t="s">
        <v>4655</v>
      </c>
      <c r="T6702" t="s">
        <v>4655</v>
      </c>
      <c r="U6702" t="s">
        <v>4655</v>
      </c>
      <c r="V6702" s="2">
        <v>0</v>
      </c>
      <c r="W6702" t="s">
        <v>4655</v>
      </c>
      <c r="X6702" s="2">
        <v>0</v>
      </c>
      <c r="Y6702">
        <v>23</v>
      </c>
      <c r="Z6702" t="s">
        <v>5508</v>
      </c>
      <c r="AA6702" s="3">
        <v>0.34499540925025901</v>
      </c>
      <c r="AB6702" t="s">
        <v>32113</v>
      </c>
      <c r="AC6702" t="s">
        <v>4562</v>
      </c>
      <c r="AD6702" t="s">
        <v>32114</v>
      </c>
      <c r="AE6702" t="s">
        <v>4655</v>
      </c>
      <c r="AF6702" t="s">
        <v>4563</v>
      </c>
      <c r="AG6702" t="s">
        <v>4564</v>
      </c>
      <c r="AH6702" t="s">
        <v>2841</v>
      </c>
      <c r="AI6702" t="s">
        <v>32115</v>
      </c>
      <c r="AJ6702" t="s">
        <v>32116</v>
      </c>
      <c r="AK6702" t="s">
        <v>32117</v>
      </c>
      <c r="AL6702" s="13" t="s">
        <v>1898</v>
      </c>
      <c r="AM6702">
        <v>1</v>
      </c>
      <c r="AN6702" s="15" t="s">
        <v>2528</v>
      </c>
    </row>
    <row r="6703" spans="1:40" x14ac:dyDescent="0.3">
      <c r="A6703" s="10" t="str">
        <f>HYPERLINK("http://www.washoecounty.gov/assessor/cama/?parid=508-094-11&amp;CardNumber=1","508-094-11")</f>
        <v>508-094-11</v>
      </c>
      <c r="B6703" t="s">
        <v>4655</v>
      </c>
      <c r="C6703" t="s">
        <v>32118</v>
      </c>
      <c r="D6703" s="1">
        <v>40340</v>
      </c>
      <c r="E6703" s="2">
        <v>40000</v>
      </c>
      <c r="F6703" t="s">
        <v>4553</v>
      </c>
      <c r="G6703" s="17" t="str">
        <f>HYPERLINK("https://www.washoecounty.gov/assessor/cama/?command=sales&amp;parid=50809411","3890777")</f>
        <v>3890777</v>
      </c>
      <c r="H6703" t="s">
        <v>32119</v>
      </c>
      <c r="I6703">
        <v>1985</v>
      </c>
      <c r="J6703">
        <v>1985</v>
      </c>
      <c r="K6703" t="s">
        <v>4847</v>
      </c>
      <c r="L6703" t="s">
        <v>4555</v>
      </c>
      <c r="M6703" s="2">
        <v>1056</v>
      </c>
      <c r="N6703" t="s">
        <v>4048</v>
      </c>
      <c r="O6703">
        <v>3</v>
      </c>
      <c r="P6703">
        <v>2</v>
      </c>
      <c r="Q6703">
        <v>0</v>
      </c>
      <c r="R6703" t="s">
        <v>4557</v>
      </c>
      <c r="S6703" t="s">
        <v>4558</v>
      </c>
      <c r="T6703" t="s">
        <v>4559</v>
      </c>
      <c r="U6703" t="s">
        <v>4655</v>
      </c>
      <c r="V6703" s="2">
        <v>0</v>
      </c>
      <c r="W6703" t="s">
        <v>4655</v>
      </c>
      <c r="X6703" s="2">
        <v>0</v>
      </c>
      <c r="Y6703">
        <v>22</v>
      </c>
      <c r="Z6703" t="s">
        <v>5508</v>
      </c>
      <c r="AA6703" s="3">
        <v>0.342998176813126</v>
      </c>
      <c r="AB6703" t="s">
        <v>32120</v>
      </c>
      <c r="AC6703" t="s">
        <v>4562</v>
      </c>
      <c r="AD6703" t="s">
        <v>32118</v>
      </c>
      <c r="AE6703" t="s">
        <v>4655</v>
      </c>
      <c r="AF6703" t="s">
        <v>1600</v>
      </c>
      <c r="AG6703" t="s">
        <v>4564</v>
      </c>
      <c r="AH6703" t="s">
        <v>1601</v>
      </c>
      <c r="AI6703" t="s">
        <v>4565</v>
      </c>
      <c r="AJ6703" t="s">
        <v>32121</v>
      </c>
      <c r="AK6703" t="s">
        <v>32122</v>
      </c>
      <c r="AL6703" s="13" t="s">
        <v>1898</v>
      </c>
      <c r="AM6703" s="14">
        <v>1</v>
      </c>
      <c r="AN6703" s="15" t="s">
        <v>2528</v>
      </c>
    </row>
    <row r="6704" spans="1:40" x14ac:dyDescent="0.3">
      <c r="A6704" s="10" t="str">
        <f>HYPERLINK("http://www.washoecounty.gov/assessor/cama/?parid=508-095-01&amp;CardNumber=1","508-095-01")</f>
        <v>508-095-01</v>
      </c>
      <c r="B6704" t="s">
        <v>4655</v>
      </c>
      <c r="C6704" t="s">
        <v>32123</v>
      </c>
      <c r="D6704" s="1">
        <v>40240</v>
      </c>
      <c r="E6704" s="2">
        <v>45000</v>
      </c>
      <c r="F6704" t="s">
        <v>4553</v>
      </c>
      <c r="G6704" s="17" t="str">
        <f>HYPERLINK("https://www.washoecounty.gov/assessor/cama/?command=sales&amp;parid=50809501","3855473")</f>
        <v>3855473</v>
      </c>
      <c r="H6704" t="s">
        <v>1194</v>
      </c>
      <c r="I6704">
        <v>1972</v>
      </c>
      <c r="J6704">
        <v>1972</v>
      </c>
      <c r="K6704" t="s">
        <v>1243</v>
      </c>
      <c r="L6704" t="s">
        <v>4655</v>
      </c>
      <c r="M6704" s="2">
        <v>0</v>
      </c>
      <c r="N6704" t="s">
        <v>4655</v>
      </c>
      <c r="O6704">
        <v>0</v>
      </c>
      <c r="P6704">
        <v>0</v>
      </c>
      <c r="Q6704">
        <v>0</v>
      </c>
      <c r="R6704" t="s">
        <v>4655</v>
      </c>
      <c r="S6704" t="s">
        <v>4655</v>
      </c>
      <c r="T6704" t="s">
        <v>4655</v>
      </c>
      <c r="U6704" t="s">
        <v>4655</v>
      </c>
      <c r="V6704" s="2">
        <v>0</v>
      </c>
      <c r="W6704" t="s">
        <v>4655</v>
      </c>
      <c r="X6704" s="2">
        <v>0</v>
      </c>
      <c r="Y6704">
        <v>23</v>
      </c>
      <c r="Z6704" t="s">
        <v>5508</v>
      </c>
      <c r="AA6704" s="3">
        <v>0.59898990392684903</v>
      </c>
      <c r="AB6704" t="s">
        <v>32124</v>
      </c>
      <c r="AC6704" t="s">
        <v>4562</v>
      </c>
      <c r="AD6704" t="s">
        <v>32125</v>
      </c>
      <c r="AE6704" t="s">
        <v>4655</v>
      </c>
      <c r="AF6704" t="s">
        <v>1600</v>
      </c>
      <c r="AG6704" t="s">
        <v>4564</v>
      </c>
      <c r="AH6704" t="s">
        <v>1601</v>
      </c>
      <c r="AI6704" t="s">
        <v>4655</v>
      </c>
      <c r="AJ6704" t="s">
        <v>32126</v>
      </c>
      <c r="AK6704" t="s">
        <v>32127</v>
      </c>
      <c r="AL6704" s="13" t="s">
        <v>1898</v>
      </c>
      <c r="AM6704">
        <v>1</v>
      </c>
      <c r="AN6704" s="15" t="s">
        <v>2528</v>
      </c>
    </row>
    <row r="6705" spans="1:40" x14ac:dyDescent="0.3">
      <c r="A6705" s="10" t="str">
        <f>HYPERLINK("http://www.washoecounty.gov/assessor/cama/?parid=508-095-06&amp;CardNumber=1","508-095-06")</f>
        <v>508-095-06</v>
      </c>
      <c r="B6705" t="s">
        <v>4655</v>
      </c>
      <c r="C6705" t="s">
        <v>32128</v>
      </c>
      <c r="D6705" s="1">
        <v>40219</v>
      </c>
      <c r="E6705" s="2">
        <v>50000</v>
      </c>
      <c r="F6705" t="s">
        <v>4567</v>
      </c>
      <c r="G6705" s="17" t="str">
        <f>HYPERLINK("https://www.washoecounty.gov/assessor/cama/?command=sales&amp;parid=50809506","3847885")</f>
        <v>3847885</v>
      </c>
      <c r="H6705" t="s">
        <v>32087</v>
      </c>
      <c r="I6705">
        <v>1980</v>
      </c>
      <c r="J6705">
        <v>1980</v>
      </c>
      <c r="K6705" t="s">
        <v>1243</v>
      </c>
      <c r="L6705" t="s">
        <v>4655</v>
      </c>
      <c r="M6705" s="2">
        <v>0</v>
      </c>
      <c r="N6705" t="s">
        <v>4655</v>
      </c>
      <c r="O6705">
        <v>0</v>
      </c>
      <c r="P6705">
        <v>0</v>
      </c>
      <c r="Q6705">
        <v>0</v>
      </c>
      <c r="R6705" t="s">
        <v>4655</v>
      </c>
      <c r="S6705" t="s">
        <v>4655</v>
      </c>
      <c r="T6705" t="s">
        <v>4655</v>
      </c>
      <c r="U6705" t="s">
        <v>4655</v>
      </c>
      <c r="V6705" s="2">
        <v>0</v>
      </c>
      <c r="W6705" t="s">
        <v>4655</v>
      </c>
      <c r="X6705" s="2">
        <v>0</v>
      </c>
      <c r="Y6705">
        <v>23</v>
      </c>
      <c r="Z6705" t="s">
        <v>5508</v>
      </c>
      <c r="AA6705" s="3">
        <v>0.40000000596046398</v>
      </c>
      <c r="AB6705" t="s">
        <v>32129</v>
      </c>
      <c r="AC6705" t="s">
        <v>4562</v>
      </c>
      <c r="AD6705" t="s">
        <v>32128</v>
      </c>
      <c r="AE6705" t="s">
        <v>4655</v>
      </c>
      <c r="AF6705" t="s">
        <v>1600</v>
      </c>
      <c r="AG6705" t="s">
        <v>4564</v>
      </c>
      <c r="AH6705" t="s">
        <v>1601</v>
      </c>
      <c r="AI6705" t="s">
        <v>32130</v>
      </c>
      <c r="AJ6705" t="s">
        <v>32131</v>
      </c>
      <c r="AK6705" t="s">
        <v>32132</v>
      </c>
      <c r="AL6705" s="13" t="s">
        <v>1898</v>
      </c>
      <c r="AM6705" s="14">
        <v>1</v>
      </c>
      <c r="AN6705" s="15" t="s">
        <v>2528</v>
      </c>
    </row>
    <row r="6706" spans="1:40" x14ac:dyDescent="0.3">
      <c r="A6706" s="10" t="str">
        <f>HYPERLINK("http://www.washoecounty.gov/assessor/cama/?parid=508-096-10&amp;CardNumber=1","508-096-10")</f>
        <v>508-096-10</v>
      </c>
      <c r="B6706" t="s">
        <v>4655</v>
      </c>
      <c r="C6706" t="s">
        <v>32133</v>
      </c>
      <c r="D6706" s="1">
        <v>40235</v>
      </c>
      <c r="E6706" s="2">
        <v>79900</v>
      </c>
      <c r="F6706" t="s">
        <v>4567</v>
      </c>
      <c r="G6706" s="17" t="str">
        <f>HYPERLINK("https://www.washoecounty.gov/assessor/cama/?command=sales&amp;parid=50809610","3853541")</f>
        <v>3853541</v>
      </c>
      <c r="H6706" t="s">
        <v>32087</v>
      </c>
      <c r="I6706">
        <v>1998</v>
      </c>
      <c r="J6706">
        <v>1998</v>
      </c>
      <c r="K6706" t="s">
        <v>4847</v>
      </c>
      <c r="L6706" t="s">
        <v>4555</v>
      </c>
      <c r="M6706" s="2">
        <v>1534</v>
      </c>
      <c r="N6706" t="s">
        <v>3147</v>
      </c>
      <c r="O6706">
        <v>3</v>
      </c>
      <c r="P6706">
        <v>2</v>
      </c>
      <c r="Q6706">
        <v>0</v>
      </c>
      <c r="R6706" t="s">
        <v>4557</v>
      </c>
      <c r="S6706" t="s">
        <v>4558</v>
      </c>
      <c r="T6706" t="s">
        <v>4559</v>
      </c>
      <c r="U6706" t="s">
        <v>4655</v>
      </c>
      <c r="V6706" s="2">
        <v>0</v>
      </c>
      <c r="W6706" t="s">
        <v>4655</v>
      </c>
      <c r="X6706" s="2">
        <v>0</v>
      </c>
      <c r="Y6706">
        <v>23</v>
      </c>
      <c r="Z6706" t="s">
        <v>5508</v>
      </c>
      <c r="AA6706" s="3">
        <v>0.34999999403953602</v>
      </c>
      <c r="AB6706" t="s">
        <v>32134</v>
      </c>
      <c r="AC6706" t="s">
        <v>4575</v>
      </c>
      <c r="AD6706" t="s">
        <v>32135</v>
      </c>
      <c r="AE6706" t="s">
        <v>32133</v>
      </c>
      <c r="AF6706" t="s">
        <v>1600</v>
      </c>
      <c r="AG6706" t="s">
        <v>4564</v>
      </c>
      <c r="AH6706" t="s">
        <v>1601</v>
      </c>
      <c r="AI6706" t="s">
        <v>32136</v>
      </c>
      <c r="AJ6706" t="s">
        <v>32137</v>
      </c>
      <c r="AK6706" t="s">
        <v>32138</v>
      </c>
      <c r="AL6706" s="13" t="s">
        <v>1898</v>
      </c>
      <c r="AM6706">
        <v>1</v>
      </c>
      <c r="AN6706" s="15" t="s">
        <v>2528</v>
      </c>
    </row>
    <row r="6707" spans="1:40" x14ac:dyDescent="0.3">
      <c r="A6707" s="10" t="str">
        <f>HYPERLINK("http://www.washoecounty.gov/assessor/cama/?parid=508-104-01&amp;CardNumber=1","508-104-01")</f>
        <v>508-104-01</v>
      </c>
      <c r="B6707" t="s">
        <v>4655</v>
      </c>
      <c r="C6707" t="s">
        <v>32139</v>
      </c>
      <c r="D6707" s="1">
        <v>40326</v>
      </c>
      <c r="E6707" s="2">
        <v>100000</v>
      </c>
      <c r="F6707" t="s">
        <v>4567</v>
      </c>
      <c r="G6707" s="17" t="str">
        <f>HYPERLINK("https://www.washoecounty.gov/assessor/cama/?command=sales&amp;parid=50810401","3886528")</f>
        <v>3886528</v>
      </c>
      <c r="H6707" t="s">
        <v>1194</v>
      </c>
      <c r="I6707">
        <v>2001</v>
      </c>
      <c r="J6707">
        <v>2001</v>
      </c>
      <c r="K6707" t="s">
        <v>4847</v>
      </c>
      <c r="L6707" t="s">
        <v>4555</v>
      </c>
      <c r="M6707" s="2">
        <v>1560</v>
      </c>
      <c r="N6707" t="s">
        <v>3147</v>
      </c>
      <c r="O6707">
        <v>4</v>
      </c>
      <c r="P6707">
        <v>2</v>
      </c>
      <c r="Q6707">
        <v>0</v>
      </c>
      <c r="R6707" t="s">
        <v>4557</v>
      </c>
      <c r="S6707" t="s">
        <v>4558</v>
      </c>
      <c r="T6707" t="s">
        <v>4559</v>
      </c>
      <c r="U6707" t="s">
        <v>4655</v>
      </c>
      <c r="V6707" s="2">
        <v>0</v>
      </c>
      <c r="W6707" t="s">
        <v>4655</v>
      </c>
      <c r="X6707" s="2">
        <v>0</v>
      </c>
      <c r="Y6707">
        <v>22</v>
      </c>
      <c r="Z6707" t="s">
        <v>5508</v>
      </c>
      <c r="AA6707" s="3">
        <v>0.34499540925025901</v>
      </c>
      <c r="AB6707" t="s">
        <v>32140</v>
      </c>
      <c r="AC6707" t="s">
        <v>4562</v>
      </c>
      <c r="AD6707" t="s">
        <v>32139</v>
      </c>
      <c r="AE6707" t="s">
        <v>4655</v>
      </c>
      <c r="AF6707" t="s">
        <v>1600</v>
      </c>
      <c r="AG6707" t="s">
        <v>4564</v>
      </c>
      <c r="AH6707" t="s">
        <v>1601</v>
      </c>
      <c r="AI6707" t="s">
        <v>32141</v>
      </c>
      <c r="AJ6707" t="s">
        <v>32142</v>
      </c>
      <c r="AK6707" t="s">
        <v>32143</v>
      </c>
      <c r="AL6707" s="13" t="s">
        <v>1898</v>
      </c>
      <c r="AM6707" s="14">
        <v>1</v>
      </c>
      <c r="AN6707" s="15" t="s">
        <v>2528</v>
      </c>
    </row>
    <row r="6708" spans="1:40" x14ac:dyDescent="0.3">
      <c r="A6708" s="10" t="str">
        <f>HYPERLINK("http://www.washoecounty.gov/assessor/cama/?parid=508-112-02&amp;CardNumber=1","508-112-02")</f>
        <v>508-112-02</v>
      </c>
      <c r="B6708" t="s">
        <v>4655</v>
      </c>
      <c r="C6708" t="s">
        <v>32144</v>
      </c>
      <c r="D6708" s="1">
        <v>40441</v>
      </c>
      <c r="E6708" s="2">
        <v>42500</v>
      </c>
      <c r="F6708" t="s">
        <v>4553</v>
      </c>
      <c r="G6708" s="17" t="str">
        <f>HYPERLINK("https://www.washoecounty.gov/assessor/cama/?command=sales&amp;parid=50811202","3923993")</f>
        <v>3923993</v>
      </c>
      <c r="H6708" t="s">
        <v>4820</v>
      </c>
      <c r="I6708">
        <v>1985</v>
      </c>
      <c r="J6708">
        <v>1985</v>
      </c>
      <c r="K6708" t="s">
        <v>4847</v>
      </c>
      <c r="L6708" t="s">
        <v>4555</v>
      </c>
      <c r="M6708" s="2">
        <v>1872</v>
      </c>
      <c r="N6708" t="s">
        <v>5280</v>
      </c>
      <c r="O6708">
        <v>4</v>
      </c>
      <c r="P6708">
        <v>2</v>
      </c>
      <c r="Q6708">
        <v>0</v>
      </c>
      <c r="R6708" t="s">
        <v>4557</v>
      </c>
      <c r="S6708" t="s">
        <v>4558</v>
      </c>
      <c r="T6708" t="s">
        <v>4559</v>
      </c>
      <c r="U6708" t="s">
        <v>4655</v>
      </c>
      <c r="V6708" s="2">
        <v>0</v>
      </c>
      <c r="W6708" t="s">
        <v>4655</v>
      </c>
      <c r="X6708" s="2">
        <v>0</v>
      </c>
      <c r="Y6708">
        <v>22</v>
      </c>
      <c r="Z6708" t="s">
        <v>5508</v>
      </c>
      <c r="AA6708" s="3">
        <v>0.37601009011268599</v>
      </c>
      <c r="AB6708" t="s">
        <v>32145</v>
      </c>
      <c r="AC6708" t="s">
        <v>4575</v>
      </c>
      <c r="AD6708" t="s">
        <v>1572</v>
      </c>
      <c r="AE6708" t="s">
        <v>4655</v>
      </c>
      <c r="AF6708" t="s">
        <v>1570</v>
      </c>
      <c r="AG6708" t="s">
        <v>4564</v>
      </c>
      <c r="AH6708" t="s">
        <v>1601</v>
      </c>
      <c r="AI6708" t="s">
        <v>32146</v>
      </c>
      <c r="AJ6708" t="s">
        <v>32147</v>
      </c>
      <c r="AK6708" t="s">
        <v>32148</v>
      </c>
      <c r="AL6708" s="13" t="s">
        <v>1898</v>
      </c>
      <c r="AM6708" s="14">
        <v>1</v>
      </c>
      <c r="AN6708" s="15" t="s">
        <v>2528</v>
      </c>
    </row>
    <row r="6709" spans="1:40" x14ac:dyDescent="0.3">
      <c r="A6709" s="10" t="str">
        <f>HYPERLINK("http://www.washoecounty.gov/assessor/cama/?parid=508-133-03&amp;CardNumber=1","508-133-03")</f>
        <v>508-133-03</v>
      </c>
      <c r="B6709" t="s">
        <v>4655</v>
      </c>
      <c r="C6709" t="s">
        <v>32149</v>
      </c>
      <c r="D6709" s="1">
        <v>40234</v>
      </c>
      <c r="E6709" s="2">
        <v>53000</v>
      </c>
      <c r="F6709" t="s">
        <v>4553</v>
      </c>
      <c r="G6709" s="17" t="str">
        <f>HYPERLINK("https://www.washoecounty.gov/assessor/cama/?command=sales&amp;parid=50813303","3852662")</f>
        <v>3852662</v>
      </c>
      <c r="H6709" t="s">
        <v>32150</v>
      </c>
      <c r="I6709">
        <v>1979</v>
      </c>
      <c r="J6709">
        <v>1979</v>
      </c>
      <c r="K6709" t="s">
        <v>4847</v>
      </c>
      <c r="L6709" t="s">
        <v>4555</v>
      </c>
      <c r="M6709" s="2">
        <v>1876</v>
      </c>
      <c r="N6709" t="s">
        <v>4133</v>
      </c>
      <c r="O6709">
        <v>3</v>
      </c>
      <c r="P6709">
        <v>2</v>
      </c>
      <c r="Q6709">
        <v>0</v>
      </c>
      <c r="R6709" t="s">
        <v>4557</v>
      </c>
      <c r="S6709" t="s">
        <v>4558</v>
      </c>
      <c r="T6709" t="s">
        <v>4559</v>
      </c>
      <c r="U6709" t="s">
        <v>4655</v>
      </c>
      <c r="V6709" s="2">
        <v>0</v>
      </c>
      <c r="W6709" t="s">
        <v>4655</v>
      </c>
      <c r="X6709" s="2">
        <v>0</v>
      </c>
      <c r="Y6709">
        <v>22</v>
      </c>
      <c r="Z6709" t="s">
        <v>5508</v>
      </c>
      <c r="AA6709" s="3">
        <v>0.36099633574485801</v>
      </c>
      <c r="AB6709" t="s">
        <v>32151</v>
      </c>
      <c r="AC6709" t="s">
        <v>4562</v>
      </c>
      <c r="AD6709" t="s">
        <v>32152</v>
      </c>
      <c r="AE6709" t="s">
        <v>4655</v>
      </c>
      <c r="AF6709" t="s">
        <v>4563</v>
      </c>
      <c r="AG6709" t="s">
        <v>4564</v>
      </c>
      <c r="AH6709">
        <v>89505</v>
      </c>
      <c r="AI6709" t="s">
        <v>4848</v>
      </c>
      <c r="AJ6709" t="s">
        <v>32153</v>
      </c>
      <c r="AK6709" t="s">
        <v>32154</v>
      </c>
      <c r="AL6709" s="13" t="s">
        <v>1898</v>
      </c>
      <c r="AM6709">
        <v>1</v>
      </c>
      <c r="AN6709" s="15" t="s">
        <v>2528</v>
      </c>
    </row>
    <row r="6710" spans="1:40" x14ac:dyDescent="0.3">
      <c r="A6710" s="10" t="str">
        <f>HYPERLINK("http://www.washoecounty.gov/assessor/cama/?parid=508-133-04&amp;CardNumber=1","508-133-04")</f>
        <v>508-133-04</v>
      </c>
      <c r="B6710" t="s">
        <v>4655</v>
      </c>
      <c r="C6710" t="s">
        <v>32155</v>
      </c>
      <c r="D6710" s="1">
        <v>40352</v>
      </c>
      <c r="E6710" s="2">
        <v>58500</v>
      </c>
      <c r="F6710" t="s">
        <v>4567</v>
      </c>
      <c r="G6710" s="17" t="str">
        <f>HYPERLINK("https://www.washoecounty.gov/assessor/cama/?command=sales&amp;parid=50813304","3894677")</f>
        <v>3894677</v>
      </c>
      <c r="H6710" t="s">
        <v>32156</v>
      </c>
      <c r="I6710">
        <v>1982</v>
      </c>
      <c r="J6710">
        <v>1982</v>
      </c>
      <c r="K6710" t="s">
        <v>1243</v>
      </c>
      <c r="L6710" t="s">
        <v>4655</v>
      </c>
      <c r="M6710" s="2">
        <v>0</v>
      </c>
      <c r="N6710" t="s">
        <v>4655</v>
      </c>
      <c r="O6710">
        <v>0</v>
      </c>
      <c r="P6710">
        <v>0</v>
      </c>
      <c r="Q6710">
        <v>0</v>
      </c>
      <c r="R6710" t="s">
        <v>4655</v>
      </c>
      <c r="S6710" t="s">
        <v>4655</v>
      </c>
      <c r="T6710" t="s">
        <v>4655</v>
      </c>
      <c r="U6710" t="s">
        <v>4655</v>
      </c>
      <c r="V6710" s="2">
        <v>0</v>
      </c>
      <c r="W6710" t="s">
        <v>4655</v>
      </c>
      <c r="X6710" s="2">
        <v>0</v>
      </c>
      <c r="Y6710">
        <v>23</v>
      </c>
      <c r="Z6710" t="s">
        <v>5508</v>
      </c>
      <c r="AA6710" s="3">
        <v>0.46000918745994601</v>
      </c>
      <c r="AB6710" t="s">
        <v>32157</v>
      </c>
      <c r="AC6710" t="s">
        <v>4562</v>
      </c>
      <c r="AD6710" t="s">
        <v>32158</v>
      </c>
      <c r="AE6710" t="s">
        <v>4655</v>
      </c>
      <c r="AF6710" t="s">
        <v>1600</v>
      </c>
      <c r="AG6710" t="s">
        <v>4564</v>
      </c>
      <c r="AH6710" t="s">
        <v>1601</v>
      </c>
      <c r="AI6710" t="s">
        <v>32159</v>
      </c>
      <c r="AJ6710" t="s">
        <v>32160</v>
      </c>
      <c r="AK6710" t="s">
        <v>32161</v>
      </c>
      <c r="AL6710" s="13" t="s">
        <v>1898</v>
      </c>
      <c r="AM6710" s="14">
        <v>1</v>
      </c>
      <c r="AN6710" s="15" t="s">
        <v>2528</v>
      </c>
    </row>
    <row r="6711" spans="1:40" x14ac:dyDescent="0.3">
      <c r="A6711" s="10" t="str">
        <f>HYPERLINK("http://www.washoecounty.gov/assessor/cama/?parid=508-141-07&amp;CardNumber=1","508-141-07")</f>
        <v>508-141-07</v>
      </c>
      <c r="B6711" t="s">
        <v>4655</v>
      </c>
      <c r="C6711" t="s">
        <v>32162</v>
      </c>
      <c r="D6711" s="1">
        <v>40464</v>
      </c>
      <c r="E6711" s="2">
        <v>85000</v>
      </c>
      <c r="F6711" t="s">
        <v>4567</v>
      </c>
      <c r="G6711" s="17" t="str">
        <f>HYPERLINK("https://www.washoecounty.gov/assessor/cama/?command=sales&amp;parid=50814107","3932549")</f>
        <v>3932549</v>
      </c>
      <c r="H6711" t="s">
        <v>32150</v>
      </c>
      <c r="I6711">
        <v>1978</v>
      </c>
      <c r="J6711">
        <v>1978</v>
      </c>
      <c r="K6711" t="s">
        <v>4847</v>
      </c>
      <c r="L6711" t="s">
        <v>4555</v>
      </c>
      <c r="M6711" s="2">
        <v>1339</v>
      </c>
      <c r="N6711" t="s">
        <v>4133</v>
      </c>
      <c r="O6711">
        <v>3</v>
      </c>
      <c r="P6711">
        <v>2</v>
      </c>
      <c r="Q6711">
        <v>0</v>
      </c>
      <c r="R6711" t="s">
        <v>4557</v>
      </c>
      <c r="S6711" t="s">
        <v>1155</v>
      </c>
      <c r="T6711" t="s">
        <v>3888</v>
      </c>
      <c r="U6711" t="s">
        <v>4655</v>
      </c>
      <c r="V6711" s="2">
        <v>0</v>
      </c>
      <c r="W6711" t="s">
        <v>4655</v>
      </c>
      <c r="X6711" s="2">
        <v>0</v>
      </c>
      <c r="Y6711">
        <v>22</v>
      </c>
      <c r="Z6711" t="s">
        <v>5508</v>
      </c>
      <c r="AA6711" s="3">
        <v>0.557989001274108</v>
      </c>
      <c r="AB6711" t="s">
        <v>32163</v>
      </c>
      <c r="AC6711" t="s">
        <v>4562</v>
      </c>
      <c r="AD6711" t="s">
        <v>32162</v>
      </c>
      <c r="AE6711" t="s">
        <v>4655</v>
      </c>
      <c r="AF6711" t="s">
        <v>1600</v>
      </c>
      <c r="AG6711" t="s">
        <v>4564</v>
      </c>
      <c r="AH6711" t="s">
        <v>1601</v>
      </c>
      <c r="AI6711" t="s">
        <v>32164</v>
      </c>
      <c r="AJ6711" t="s">
        <v>32165</v>
      </c>
      <c r="AK6711" t="s">
        <v>32166</v>
      </c>
      <c r="AL6711" s="13" t="s">
        <v>1898</v>
      </c>
      <c r="AM6711">
        <v>1</v>
      </c>
      <c r="AN6711" s="15" t="s">
        <v>2528</v>
      </c>
    </row>
    <row r="6712" spans="1:40" x14ac:dyDescent="0.3">
      <c r="A6712" s="10" t="str">
        <f>HYPERLINK("http://www.washoecounty.gov/assessor/cama/?parid=508-143-11&amp;CardNumber=1","508-143-11")</f>
        <v>508-143-11</v>
      </c>
      <c r="B6712" t="s">
        <v>4655</v>
      </c>
      <c r="C6712" t="s">
        <v>32167</v>
      </c>
      <c r="D6712" s="1">
        <v>40532</v>
      </c>
      <c r="E6712" s="2">
        <v>72100</v>
      </c>
      <c r="F6712" t="s">
        <v>4567</v>
      </c>
      <c r="G6712" s="17" t="str">
        <f>HYPERLINK("https://www.washoecounty.gov/assessor/cama/?command=sales&amp;parid=50814311","3955653")</f>
        <v>3955653</v>
      </c>
      <c r="H6712" t="s">
        <v>32168</v>
      </c>
      <c r="I6712">
        <v>2006</v>
      </c>
      <c r="J6712">
        <v>2006</v>
      </c>
      <c r="K6712" t="s">
        <v>4847</v>
      </c>
      <c r="L6712" t="s">
        <v>4555</v>
      </c>
      <c r="M6712" s="2">
        <v>1782</v>
      </c>
      <c r="N6712" t="s">
        <v>3147</v>
      </c>
      <c r="O6712">
        <v>3</v>
      </c>
      <c r="P6712">
        <v>2</v>
      </c>
      <c r="Q6712">
        <v>0</v>
      </c>
      <c r="R6712" t="s">
        <v>4557</v>
      </c>
      <c r="S6712" t="s">
        <v>4558</v>
      </c>
      <c r="T6712" t="s">
        <v>4559</v>
      </c>
      <c r="U6712" t="s">
        <v>4655</v>
      </c>
      <c r="V6712" s="2">
        <v>0</v>
      </c>
      <c r="W6712" t="s">
        <v>4655</v>
      </c>
      <c r="X6712" s="2">
        <v>0</v>
      </c>
      <c r="Y6712">
        <v>22</v>
      </c>
      <c r="Z6712" t="s">
        <v>5508</v>
      </c>
      <c r="AA6712" s="3">
        <v>0.33599632978439331</v>
      </c>
      <c r="AB6712" t="s">
        <v>32169</v>
      </c>
      <c r="AC6712" t="s">
        <v>4562</v>
      </c>
      <c r="AD6712" t="s">
        <v>32167</v>
      </c>
      <c r="AE6712" t="s">
        <v>4655</v>
      </c>
      <c r="AF6712" t="s">
        <v>1600</v>
      </c>
      <c r="AG6712" t="s">
        <v>4564</v>
      </c>
      <c r="AH6712" t="s">
        <v>1601</v>
      </c>
      <c r="AI6712" t="s">
        <v>32170</v>
      </c>
      <c r="AJ6712" t="s">
        <v>32171</v>
      </c>
      <c r="AK6712" t="s">
        <v>32172</v>
      </c>
      <c r="AL6712" s="13" t="s">
        <v>1898</v>
      </c>
      <c r="AM6712" s="14">
        <v>1</v>
      </c>
      <c r="AN6712" s="15" t="s">
        <v>2528</v>
      </c>
    </row>
    <row r="6713" spans="1:40" x14ac:dyDescent="0.3">
      <c r="A6713" s="10" t="str">
        <f>HYPERLINK("http://www.washoecounty.gov/assessor/cama/?parid=508-152-09&amp;CardNumber=1","508-152-09")</f>
        <v>508-152-09</v>
      </c>
      <c r="B6713" t="s">
        <v>4655</v>
      </c>
      <c r="C6713" t="s">
        <v>32173</v>
      </c>
      <c r="D6713" s="1">
        <v>40298</v>
      </c>
      <c r="E6713" s="2">
        <v>47450</v>
      </c>
      <c r="F6713" t="s">
        <v>4567</v>
      </c>
      <c r="G6713" s="17" t="str">
        <f>HYPERLINK("https://www.washoecounty.gov/assessor/cama/?command=sales&amp;parid=50815209","3877112")</f>
        <v>3877112</v>
      </c>
      <c r="H6713" t="s">
        <v>32174</v>
      </c>
      <c r="I6713">
        <v>1973</v>
      </c>
      <c r="J6713">
        <v>1973</v>
      </c>
      <c r="K6713" t="s">
        <v>4847</v>
      </c>
      <c r="L6713" t="s">
        <v>4555</v>
      </c>
      <c r="M6713" s="2">
        <v>1344</v>
      </c>
      <c r="N6713" t="s">
        <v>4048</v>
      </c>
      <c r="O6713">
        <v>3</v>
      </c>
      <c r="P6713">
        <v>2</v>
      </c>
      <c r="Q6713">
        <v>0</v>
      </c>
      <c r="R6713" t="s">
        <v>4557</v>
      </c>
      <c r="S6713" t="s">
        <v>4558</v>
      </c>
      <c r="T6713" t="s">
        <v>4559</v>
      </c>
      <c r="U6713" t="s">
        <v>4655</v>
      </c>
      <c r="V6713" s="2">
        <v>0</v>
      </c>
      <c r="W6713" t="s">
        <v>4655</v>
      </c>
      <c r="X6713" s="2">
        <v>0</v>
      </c>
      <c r="Y6713">
        <v>22</v>
      </c>
      <c r="Z6713" t="s">
        <v>5508</v>
      </c>
      <c r="AA6713" s="3">
        <v>0.29299816489219666</v>
      </c>
      <c r="AB6713" t="s">
        <v>32175</v>
      </c>
      <c r="AC6713" t="s">
        <v>4562</v>
      </c>
      <c r="AD6713" t="s">
        <v>32173</v>
      </c>
      <c r="AE6713" t="s">
        <v>4655</v>
      </c>
      <c r="AF6713" t="s">
        <v>1600</v>
      </c>
      <c r="AG6713" t="s">
        <v>4564</v>
      </c>
      <c r="AH6713" t="s">
        <v>1601</v>
      </c>
      <c r="AI6713" t="s">
        <v>32176</v>
      </c>
      <c r="AJ6713" t="s">
        <v>32177</v>
      </c>
      <c r="AK6713" t="s">
        <v>32178</v>
      </c>
      <c r="AL6713" s="13" t="s">
        <v>1898</v>
      </c>
      <c r="AM6713">
        <v>1</v>
      </c>
      <c r="AN6713" s="15" t="s">
        <v>2528</v>
      </c>
    </row>
    <row r="6714" spans="1:40" x14ac:dyDescent="0.3">
      <c r="A6714" s="10" t="str">
        <f>HYPERLINK("http://www.washoecounty.gov/assessor/cama/?parid=508-161-22&amp;CardNumber=1","508-161-22")</f>
        <v>508-161-22</v>
      </c>
      <c r="B6714" t="s">
        <v>4655</v>
      </c>
      <c r="C6714" t="s">
        <v>32179</v>
      </c>
      <c r="D6714" s="1">
        <v>40350</v>
      </c>
      <c r="E6714" s="2">
        <v>105000</v>
      </c>
      <c r="F6714" t="s">
        <v>4567</v>
      </c>
      <c r="G6714" s="17" t="str">
        <f>HYPERLINK("https://www.washoecounty.gov/assessor/cama/?command=sales&amp;parid=50816122","3893951")</f>
        <v>3893951</v>
      </c>
      <c r="H6714" t="s">
        <v>1599</v>
      </c>
      <c r="I6714">
        <v>1994</v>
      </c>
      <c r="J6714">
        <v>1994</v>
      </c>
      <c r="K6714" t="s">
        <v>4554</v>
      </c>
      <c r="L6714" t="s">
        <v>4555</v>
      </c>
      <c r="M6714" s="2">
        <v>1144</v>
      </c>
      <c r="N6714" t="s">
        <v>4556</v>
      </c>
      <c r="O6714">
        <v>3</v>
      </c>
      <c r="P6714">
        <v>2</v>
      </c>
      <c r="Q6714">
        <v>0</v>
      </c>
      <c r="R6714" t="s">
        <v>4557</v>
      </c>
      <c r="S6714" t="s">
        <v>4558</v>
      </c>
      <c r="T6714" t="s">
        <v>4559</v>
      </c>
      <c r="U6714" t="s">
        <v>4560</v>
      </c>
      <c r="V6714" s="2">
        <v>400</v>
      </c>
      <c r="W6714" t="s">
        <v>4655</v>
      </c>
      <c r="X6714" s="2">
        <v>0</v>
      </c>
      <c r="Y6714">
        <v>20</v>
      </c>
      <c r="Z6714" t="s">
        <v>5508</v>
      </c>
      <c r="AA6714" s="3">
        <v>0.19898989796638489</v>
      </c>
      <c r="AB6714" t="s">
        <v>32180</v>
      </c>
      <c r="AC6714" t="s">
        <v>4562</v>
      </c>
      <c r="AD6714" t="s">
        <v>32179</v>
      </c>
      <c r="AE6714" t="s">
        <v>4655</v>
      </c>
      <c r="AF6714" t="s">
        <v>1600</v>
      </c>
      <c r="AG6714" t="s">
        <v>4564</v>
      </c>
      <c r="AH6714" t="s">
        <v>1601</v>
      </c>
      <c r="AI6714" t="s">
        <v>32181</v>
      </c>
      <c r="AJ6714" t="s">
        <v>1603</v>
      </c>
      <c r="AK6714" t="s">
        <v>32182</v>
      </c>
      <c r="AL6714" s="13" t="s">
        <v>1898</v>
      </c>
      <c r="AM6714" s="14">
        <v>1</v>
      </c>
      <c r="AN6714" s="15" t="s">
        <v>1598</v>
      </c>
    </row>
    <row r="6715" spans="1:40" x14ac:dyDescent="0.3">
      <c r="A6715" s="10" t="str">
        <f>HYPERLINK("http://www.washoecounty.gov/assessor/cama/?parid=508-161-29&amp;CardNumber=1","508-161-29")</f>
        <v>508-161-29</v>
      </c>
      <c r="B6715" t="s">
        <v>4655</v>
      </c>
      <c r="C6715" t="s">
        <v>32183</v>
      </c>
      <c r="D6715" s="1">
        <v>40361</v>
      </c>
      <c r="E6715" s="2">
        <v>96500</v>
      </c>
      <c r="F6715" t="s">
        <v>4567</v>
      </c>
      <c r="G6715" s="17" t="str">
        <f>HYPERLINK("https://www.washoecounty.gov/assessor/cama/?command=sales&amp;parid=50816129","3898051")</f>
        <v>3898051</v>
      </c>
      <c r="H6715" t="s">
        <v>32184</v>
      </c>
      <c r="I6715">
        <v>1994</v>
      </c>
      <c r="J6715">
        <v>1994</v>
      </c>
      <c r="K6715" t="s">
        <v>4554</v>
      </c>
      <c r="L6715" t="s">
        <v>4555</v>
      </c>
      <c r="M6715" s="2">
        <v>904</v>
      </c>
      <c r="N6715" t="s">
        <v>4556</v>
      </c>
      <c r="O6715">
        <v>3</v>
      </c>
      <c r="P6715">
        <v>2</v>
      </c>
      <c r="Q6715">
        <v>0</v>
      </c>
      <c r="R6715" t="s">
        <v>4557</v>
      </c>
      <c r="S6715" t="s">
        <v>4558</v>
      </c>
      <c r="T6715" t="s">
        <v>4559</v>
      </c>
      <c r="U6715" t="s">
        <v>4560</v>
      </c>
      <c r="V6715" s="2">
        <v>400</v>
      </c>
      <c r="W6715" t="s">
        <v>4655</v>
      </c>
      <c r="X6715" s="2">
        <v>0</v>
      </c>
      <c r="Y6715">
        <v>20</v>
      </c>
      <c r="Z6715" t="s">
        <v>5508</v>
      </c>
      <c r="AA6715" s="3">
        <v>0.16099633276462599</v>
      </c>
      <c r="AB6715" t="s">
        <v>32185</v>
      </c>
      <c r="AC6715" t="s">
        <v>4562</v>
      </c>
      <c r="AD6715" t="s">
        <v>32183</v>
      </c>
      <c r="AE6715" t="s">
        <v>4655</v>
      </c>
      <c r="AF6715" t="s">
        <v>1600</v>
      </c>
      <c r="AG6715" t="s">
        <v>4564</v>
      </c>
      <c r="AH6715" t="s">
        <v>1601</v>
      </c>
      <c r="AI6715" t="s">
        <v>32186</v>
      </c>
      <c r="AJ6715" t="s">
        <v>1603</v>
      </c>
      <c r="AK6715" t="s">
        <v>32187</v>
      </c>
      <c r="AL6715" s="13" t="s">
        <v>1898</v>
      </c>
      <c r="AM6715">
        <v>1</v>
      </c>
      <c r="AN6715" s="15" t="s">
        <v>1598</v>
      </c>
    </row>
    <row r="6716" spans="1:40" x14ac:dyDescent="0.3">
      <c r="A6716" s="10" t="str">
        <f>HYPERLINK("http://www.washoecounty.gov/assessor/cama/?parid=508-171-21&amp;CardNumber=1","508-171-21")</f>
        <v>508-171-21</v>
      </c>
      <c r="B6716" t="s">
        <v>4655</v>
      </c>
      <c r="C6716" t="s">
        <v>32188</v>
      </c>
      <c r="D6716" s="1">
        <v>40183</v>
      </c>
      <c r="E6716" s="2">
        <v>125000</v>
      </c>
      <c r="F6716" t="s">
        <v>4553</v>
      </c>
      <c r="G6716" s="17" t="str">
        <f>HYPERLINK("https://www.washoecounty.gov/assessor/cama/?command=sales&amp;parid=50817121","3836420")</f>
        <v>3836420</v>
      </c>
      <c r="H6716" t="s">
        <v>1599</v>
      </c>
      <c r="I6716">
        <v>1993</v>
      </c>
      <c r="J6716">
        <v>1993</v>
      </c>
      <c r="K6716" t="s">
        <v>4554</v>
      </c>
      <c r="L6716" t="s">
        <v>4555</v>
      </c>
      <c r="M6716" s="2">
        <v>1185</v>
      </c>
      <c r="N6716" t="s">
        <v>4556</v>
      </c>
      <c r="O6716">
        <v>3</v>
      </c>
      <c r="P6716">
        <v>2</v>
      </c>
      <c r="Q6716">
        <v>0</v>
      </c>
      <c r="R6716" t="s">
        <v>4557</v>
      </c>
      <c r="S6716" t="s">
        <v>4558</v>
      </c>
      <c r="T6716" t="s">
        <v>4559</v>
      </c>
      <c r="U6716" t="s">
        <v>4560</v>
      </c>
      <c r="V6716" s="2">
        <v>415</v>
      </c>
      <c r="W6716" t="s">
        <v>4655</v>
      </c>
      <c r="X6716" s="2">
        <v>0</v>
      </c>
      <c r="Y6716">
        <v>20</v>
      </c>
      <c r="Z6716" t="s">
        <v>5508</v>
      </c>
      <c r="AA6716" s="3">
        <v>0.21099632978439301</v>
      </c>
      <c r="AB6716" t="s">
        <v>32189</v>
      </c>
      <c r="AC6716" t="s">
        <v>4562</v>
      </c>
      <c r="AD6716" t="s">
        <v>32190</v>
      </c>
      <c r="AE6716" t="s">
        <v>4655</v>
      </c>
      <c r="AF6716" t="s">
        <v>1600</v>
      </c>
      <c r="AG6716" t="s">
        <v>4564</v>
      </c>
      <c r="AH6716" t="s">
        <v>1601</v>
      </c>
      <c r="AI6716" t="s">
        <v>1602</v>
      </c>
      <c r="AJ6716" t="s">
        <v>1603</v>
      </c>
      <c r="AK6716" t="s">
        <v>32191</v>
      </c>
      <c r="AL6716" s="13" t="s">
        <v>1898</v>
      </c>
      <c r="AM6716" s="14">
        <v>1</v>
      </c>
      <c r="AN6716" s="15" t="s">
        <v>1598</v>
      </c>
    </row>
    <row r="6717" spans="1:40" x14ac:dyDescent="0.3">
      <c r="A6717" s="10" t="str">
        <f>HYPERLINK("http://www.washoecounty.gov/assessor/cama/?parid=508-171-26&amp;CardNumber=1","508-171-26")</f>
        <v>508-171-26</v>
      </c>
      <c r="B6717" t="s">
        <v>4655</v>
      </c>
      <c r="C6717" t="s">
        <v>32192</v>
      </c>
      <c r="D6717" s="1">
        <v>40351</v>
      </c>
      <c r="E6717" s="2">
        <v>110000</v>
      </c>
      <c r="F6717" t="s">
        <v>4553</v>
      </c>
      <c r="G6717" s="17" t="str">
        <f>HYPERLINK("https://www.washoecounty.gov/assessor/cama/?command=sales&amp;parid=50817126","3894068")</f>
        <v>3894068</v>
      </c>
      <c r="H6717" t="s">
        <v>4157</v>
      </c>
      <c r="I6717">
        <v>1993</v>
      </c>
      <c r="J6717">
        <v>1993</v>
      </c>
      <c r="K6717" t="s">
        <v>4554</v>
      </c>
      <c r="L6717" t="s">
        <v>3974</v>
      </c>
      <c r="M6717" s="2">
        <v>1979</v>
      </c>
      <c r="N6717" t="s">
        <v>4556</v>
      </c>
      <c r="O6717">
        <v>5</v>
      </c>
      <c r="P6717">
        <v>2</v>
      </c>
      <c r="Q6717">
        <v>1</v>
      </c>
      <c r="R6717" t="s">
        <v>4557</v>
      </c>
      <c r="S6717" t="s">
        <v>4558</v>
      </c>
      <c r="T6717" t="s">
        <v>4559</v>
      </c>
      <c r="U6717" t="s">
        <v>5631</v>
      </c>
      <c r="V6717" s="2">
        <v>415</v>
      </c>
      <c r="W6717" t="s">
        <v>4655</v>
      </c>
      <c r="X6717" s="2">
        <v>0</v>
      </c>
      <c r="Y6717">
        <v>20</v>
      </c>
      <c r="Z6717" t="s">
        <v>5508</v>
      </c>
      <c r="AA6717" s="3">
        <v>0.239990815520287</v>
      </c>
      <c r="AB6717" t="s">
        <v>32193</v>
      </c>
      <c r="AC6717" t="s">
        <v>4562</v>
      </c>
      <c r="AD6717" t="s">
        <v>32194</v>
      </c>
      <c r="AE6717" t="s">
        <v>4655</v>
      </c>
      <c r="AF6717" t="s">
        <v>1570</v>
      </c>
      <c r="AG6717" t="s">
        <v>4564</v>
      </c>
      <c r="AH6717" t="s">
        <v>1601</v>
      </c>
      <c r="AI6717" t="s">
        <v>3282</v>
      </c>
      <c r="AJ6717" t="s">
        <v>1603</v>
      </c>
      <c r="AK6717" t="s">
        <v>32195</v>
      </c>
      <c r="AL6717" s="13" t="s">
        <v>1898</v>
      </c>
      <c r="AM6717" s="14">
        <v>1</v>
      </c>
      <c r="AN6717" s="15" t="s">
        <v>1598</v>
      </c>
    </row>
    <row r="6718" spans="1:40" x14ac:dyDescent="0.3">
      <c r="A6718" s="10" t="str">
        <f>HYPERLINK("http://www.washoecounty.gov/assessor/cama/?parid=508-171-26&amp;CardNumber=1","508-171-26")</f>
        <v>508-171-26</v>
      </c>
      <c r="B6718" t="s">
        <v>4655</v>
      </c>
      <c r="C6718" t="s">
        <v>32192</v>
      </c>
      <c r="D6718" s="1">
        <v>40402</v>
      </c>
      <c r="E6718" s="2">
        <v>155000</v>
      </c>
      <c r="F6718" t="s">
        <v>4567</v>
      </c>
      <c r="G6718" s="17" t="str">
        <f>HYPERLINK("https://www.washoecounty.gov/assessor/cama/?command=sales&amp;parid=50817126","3911357")</f>
        <v>3911357</v>
      </c>
      <c r="H6718" t="s">
        <v>4157</v>
      </c>
      <c r="I6718">
        <v>1993</v>
      </c>
      <c r="J6718">
        <v>1993</v>
      </c>
      <c r="K6718" t="s">
        <v>4554</v>
      </c>
      <c r="L6718" t="s">
        <v>3974</v>
      </c>
      <c r="M6718" s="2">
        <v>1979</v>
      </c>
      <c r="N6718" t="s">
        <v>4556</v>
      </c>
      <c r="O6718">
        <v>5</v>
      </c>
      <c r="P6718">
        <v>2</v>
      </c>
      <c r="Q6718">
        <v>1</v>
      </c>
      <c r="R6718" t="s">
        <v>4557</v>
      </c>
      <c r="S6718" t="s">
        <v>4558</v>
      </c>
      <c r="T6718" t="s">
        <v>4559</v>
      </c>
      <c r="U6718" t="s">
        <v>5631</v>
      </c>
      <c r="V6718" s="2">
        <v>415</v>
      </c>
      <c r="W6718" t="s">
        <v>4655</v>
      </c>
      <c r="X6718" s="2">
        <v>0</v>
      </c>
      <c r="Y6718">
        <v>20</v>
      </c>
      <c r="Z6718" t="s">
        <v>5508</v>
      </c>
      <c r="AA6718" s="3">
        <v>0.239990815520287</v>
      </c>
      <c r="AB6718" t="s">
        <v>32193</v>
      </c>
      <c r="AC6718" t="s">
        <v>4562</v>
      </c>
      <c r="AD6718" t="s">
        <v>32194</v>
      </c>
      <c r="AE6718" t="s">
        <v>4655</v>
      </c>
      <c r="AF6718" t="s">
        <v>1570</v>
      </c>
      <c r="AG6718" t="s">
        <v>4564</v>
      </c>
      <c r="AH6718" t="s">
        <v>1601</v>
      </c>
      <c r="AI6718" t="s">
        <v>3282</v>
      </c>
      <c r="AJ6718" t="s">
        <v>1603</v>
      </c>
      <c r="AK6718" t="s">
        <v>32195</v>
      </c>
      <c r="AL6718" s="13" t="s">
        <v>1898</v>
      </c>
      <c r="AM6718">
        <v>1</v>
      </c>
      <c r="AN6718" s="15" t="s">
        <v>1598</v>
      </c>
    </row>
    <row r="6719" spans="1:40" x14ac:dyDescent="0.3">
      <c r="A6719" s="10" t="str">
        <f>HYPERLINK("http://www.washoecounty.gov/assessor/cama/?parid=508-191-07&amp;CardNumber=1","508-191-07")</f>
        <v>508-191-07</v>
      </c>
      <c r="B6719" t="s">
        <v>4655</v>
      </c>
      <c r="C6719" t="s">
        <v>32196</v>
      </c>
      <c r="D6719" s="1">
        <v>40351</v>
      </c>
      <c r="E6719" s="2">
        <v>164000</v>
      </c>
      <c r="F6719" t="s">
        <v>4567</v>
      </c>
      <c r="G6719" s="17" t="str">
        <f>HYPERLINK("https://www.washoecounty.gov/assessor/cama/?command=sales&amp;parid=50819107","3894169")</f>
        <v>3894169</v>
      </c>
      <c r="H6719" t="s">
        <v>4158</v>
      </c>
      <c r="I6719">
        <v>1994</v>
      </c>
      <c r="J6719">
        <v>1994</v>
      </c>
      <c r="K6719" t="s">
        <v>4554</v>
      </c>
      <c r="L6719" t="s">
        <v>3974</v>
      </c>
      <c r="M6719" s="2">
        <v>2273</v>
      </c>
      <c r="N6719" t="s">
        <v>4556</v>
      </c>
      <c r="O6719">
        <v>4</v>
      </c>
      <c r="P6719">
        <v>2</v>
      </c>
      <c r="Q6719">
        <v>1</v>
      </c>
      <c r="R6719" t="s">
        <v>4557</v>
      </c>
      <c r="S6719" t="s">
        <v>4558</v>
      </c>
      <c r="T6719" t="s">
        <v>4559</v>
      </c>
      <c r="U6719" t="s">
        <v>5631</v>
      </c>
      <c r="V6719" s="2">
        <v>495</v>
      </c>
      <c r="W6719" t="s">
        <v>4655</v>
      </c>
      <c r="X6719" s="2">
        <v>0</v>
      </c>
      <c r="Y6719">
        <v>20</v>
      </c>
      <c r="Z6719" t="s">
        <v>5508</v>
      </c>
      <c r="AA6719" s="3">
        <v>0.30000001192092901</v>
      </c>
      <c r="AB6719" t="s">
        <v>32197</v>
      </c>
      <c r="AC6719" t="s">
        <v>4562</v>
      </c>
      <c r="AD6719" t="s">
        <v>32198</v>
      </c>
      <c r="AE6719" t="s">
        <v>4655</v>
      </c>
      <c r="AF6719" t="s">
        <v>1570</v>
      </c>
      <c r="AG6719" t="s">
        <v>4564</v>
      </c>
      <c r="AH6719" t="s">
        <v>1601</v>
      </c>
      <c r="AI6719" t="s">
        <v>32199</v>
      </c>
      <c r="AJ6719" t="s">
        <v>3372</v>
      </c>
      <c r="AK6719" t="s">
        <v>32200</v>
      </c>
      <c r="AL6719" s="13" t="s">
        <v>1898</v>
      </c>
      <c r="AM6719" s="14">
        <v>1</v>
      </c>
      <c r="AN6719" s="15" t="s">
        <v>1598</v>
      </c>
    </row>
    <row r="6720" spans="1:40" x14ac:dyDescent="0.3">
      <c r="A6720" s="10" t="str">
        <f>HYPERLINK("http://www.washoecounty.gov/assessor/cama/?parid=508-191-08&amp;CardNumber=1","508-191-08")</f>
        <v>508-191-08</v>
      </c>
      <c r="B6720" t="s">
        <v>4655</v>
      </c>
      <c r="C6720" t="s">
        <v>32201</v>
      </c>
      <c r="D6720" s="1">
        <v>40305</v>
      </c>
      <c r="E6720" s="2">
        <v>125000</v>
      </c>
      <c r="F6720" t="s">
        <v>4553</v>
      </c>
      <c r="G6720" s="17" t="str">
        <f>HYPERLINK("https://www.washoecounty.gov/assessor/cama/?command=sales&amp;parid=50819108","3879420")</f>
        <v>3879420</v>
      </c>
      <c r="H6720" t="s">
        <v>32202</v>
      </c>
      <c r="I6720">
        <v>1994</v>
      </c>
      <c r="J6720">
        <v>1994</v>
      </c>
      <c r="K6720" t="s">
        <v>4554</v>
      </c>
      <c r="L6720" t="s">
        <v>4555</v>
      </c>
      <c r="M6720" s="2">
        <v>1345</v>
      </c>
      <c r="N6720" t="s">
        <v>4556</v>
      </c>
      <c r="O6720">
        <v>3</v>
      </c>
      <c r="P6720">
        <v>2</v>
      </c>
      <c r="Q6720">
        <v>0</v>
      </c>
      <c r="R6720" t="s">
        <v>4557</v>
      </c>
      <c r="S6720" t="s">
        <v>4558</v>
      </c>
      <c r="T6720" t="s">
        <v>4559</v>
      </c>
      <c r="U6720" t="s">
        <v>4560</v>
      </c>
      <c r="V6720" s="2">
        <v>415</v>
      </c>
      <c r="W6720" t="s">
        <v>4655</v>
      </c>
      <c r="X6720" s="2">
        <v>0</v>
      </c>
      <c r="Y6720">
        <v>20</v>
      </c>
      <c r="Z6720" t="s">
        <v>5508</v>
      </c>
      <c r="AA6720" s="3">
        <v>0.17199265956878662</v>
      </c>
      <c r="AB6720" t="s">
        <v>32203</v>
      </c>
      <c r="AC6720" t="s">
        <v>4575</v>
      </c>
      <c r="AD6720" t="s">
        <v>32201</v>
      </c>
      <c r="AE6720" t="s">
        <v>4655</v>
      </c>
      <c r="AF6720" t="s">
        <v>1600</v>
      </c>
      <c r="AG6720" t="s">
        <v>4564</v>
      </c>
      <c r="AH6720" t="s">
        <v>1601</v>
      </c>
      <c r="AI6720" t="s">
        <v>4655</v>
      </c>
      <c r="AJ6720" t="s">
        <v>3372</v>
      </c>
      <c r="AK6720" t="s">
        <v>32204</v>
      </c>
      <c r="AL6720" s="13" t="s">
        <v>1898</v>
      </c>
      <c r="AM6720">
        <v>1</v>
      </c>
      <c r="AN6720" s="15" t="s">
        <v>1598</v>
      </c>
    </row>
    <row r="6721" spans="1:40" x14ac:dyDescent="0.3">
      <c r="A6721" s="10" t="str">
        <f>HYPERLINK("http://www.washoecounty.gov/assessor/cama/?parid=508-201-08&amp;CardNumber=1","508-201-08")</f>
        <v>508-201-08</v>
      </c>
      <c r="B6721" t="s">
        <v>4655</v>
      </c>
      <c r="C6721" t="s">
        <v>32205</v>
      </c>
      <c r="D6721" s="1">
        <v>40190</v>
      </c>
      <c r="E6721" s="2">
        <v>130000</v>
      </c>
      <c r="F6721" t="s">
        <v>4553</v>
      </c>
      <c r="G6721" s="17" t="str">
        <f>HYPERLINK("https://www.washoecounty.gov/assessor/cama/?command=sales&amp;parid=50820108","3838639")</f>
        <v>3838639</v>
      </c>
      <c r="H6721" t="s">
        <v>3371</v>
      </c>
      <c r="I6721">
        <v>1994</v>
      </c>
      <c r="J6721">
        <v>1994</v>
      </c>
      <c r="K6721" t="s">
        <v>4554</v>
      </c>
      <c r="L6721" t="s">
        <v>4555</v>
      </c>
      <c r="M6721" s="2">
        <v>1464</v>
      </c>
      <c r="N6721" t="s">
        <v>4556</v>
      </c>
      <c r="O6721">
        <v>3</v>
      </c>
      <c r="P6721">
        <v>2</v>
      </c>
      <c r="Q6721">
        <v>0</v>
      </c>
      <c r="R6721" t="s">
        <v>4557</v>
      </c>
      <c r="S6721" t="s">
        <v>4558</v>
      </c>
      <c r="T6721" t="s">
        <v>4559</v>
      </c>
      <c r="U6721" t="s">
        <v>4560</v>
      </c>
      <c r="V6721" s="2">
        <v>400</v>
      </c>
      <c r="W6721" t="s">
        <v>4655</v>
      </c>
      <c r="X6721" s="2">
        <v>0</v>
      </c>
      <c r="Y6721">
        <v>20</v>
      </c>
      <c r="Z6721" t="s">
        <v>5508</v>
      </c>
      <c r="AA6721" s="3">
        <v>0.30300733447074901</v>
      </c>
      <c r="AB6721" t="s">
        <v>32206</v>
      </c>
      <c r="AC6721" t="s">
        <v>4562</v>
      </c>
      <c r="AD6721" t="s">
        <v>32205</v>
      </c>
      <c r="AE6721" t="s">
        <v>4655</v>
      </c>
      <c r="AF6721" t="s">
        <v>1600</v>
      </c>
      <c r="AG6721" t="s">
        <v>4564</v>
      </c>
      <c r="AH6721" t="s">
        <v>1601</v>
      </c>
      <c r="AI6721" t="s">
        <v>4903</v>
      </c>
      <c r="AJ6721" t="s">
        <v>3372</v>
      </c>
      <c r="AK6721" t="s">
        <v>32207</v>
      </c>
      <c r="AL6721" s="13" t="s">
        <v>1898</v>
      </c>
      <c r="AM6721">
        <v>1</v>
      </c>
      <c r="AN6721" s="15" t="s">
        <v>1598</v>
      </c>
    </row>
    <row r="6722" spans="1:40" x14ac:dyDescent="0.3">
      <c r="A6722" s="10" t="str">
        <f>HYPERLINK("http://www.washoecounty.gov/assessor/cama/?parid=508-201-28&amp;CardNumber=1","508-201-28")</f>
        <v>508-201-28</v>
      </c>
      <c r="B6722" t="s">
        <v>4655</v>
      </c>
      <c r="C6722" t="s">
        <v>32208</v>
      </c>
      <c r="D6722" s="1">
        <v>40449</v>
      </c>
      <c r="E6722" s="2">
        <v>109900</v>
      </c>
      <c r="F6722" t="s">
        <v>4553</v>
      </c>
      <c r="G6722" s="17" t="str">
        <f>HYPERLINK("https://www.washoecounty.gov/assessor/cama/?command=sales&amp;parid=50820128","3926883")</f>
        <v>3926883</v>
      </c>
      <c r="H6722" t="s">
        <v>3371</v>
      </c>
      <c r="I6722">
        <v>1994</v>
      </c>
      <c r="J6722">
        <v>1994</v>
      </c>
      <c r="K6722" t="s">
        <v>4554</v>
      </c>
      <c r="L6722" t="s">
        <v>4555</v>
      </c>
      <c r="M6722" s="2">
        <v>1505</v>
      </c>
      <c r="N6722" t="s">
        <v>4556</v>
      </c>
      <c r="O6722">
        <v>3</v>
      </c>
      <c r="P6722">
        <v>2</v>
      </c>
      <c r="Q6722">
        <v>0</v>
      </c>
      <c r="R6722" t="s">
        <v>4557</v>
      </c>
      <c r="S6722" t="s">
        <v>4558</v>
      </c>
      <c r="T6722" t="s">
        <v>4559</v>
      </c>
      <c r="U6722" t="s">
        <v>4560</v>
      </c>
      <c r="V6722" s="2">
        <v>415</v>
      </c>
      <c r="W6722" t="s">
        <v>4655</v>
      </c>
      <c r="X6722" s="2">
        <v>0</v>
      </c>
      <c r="Y6722">
        <v>20</v>
      </c>
      <c r="Z6722" t="s">
        <v>5508</v>
      </c>
      <c r="AA6722" s="3">
        <v>0.20700183510780301</v>
      </c>
      <c r="AB6722" t="s">
        <v>4673</v>
      </c>
      <c r="AC6722" t="s">
        <v>4562</v>
      </c>
      <c r="AD6722" t="s">
        <v>3093</v>
      </c>
      <c r="AE6722" t="s">
        <v>4655</v>
      </c>
      <c r="AF6722" t="s">
        <v>4563</v>
      </c>
      <c r="AG6722" t="s">
        <v>4564</v>
      </c>
      <c r="AH6722">
        <v>89512</v>
      </c>
      <c r="AI6722" t="s">
        <v>4328</v>
      </c>
      <c r="AJ6722" t="s">
        <v>3372</v>
      </c>
      <c r="AK6722" t="s">
        <v>32209</v>
      </c>
      <c r="AL6722" s="13" t="s">
        <v>1898</v>
      </c>
      <c r="AM6722" s="14">
        <v>1</v>
      </c>
      <c r="AN6722" s="15" t="s">
        <v>1598</v>
      </c>
    </row>
    <row r="6723" spans="1:40" x14ac:dyDescent="0.3">
      <c r="A6723" s="10" t="str">
        <f>HYPERLINK("http://www.washoecounty.gov/assessor/cama/?parid=508-211-01&amp;CardNumber=1","508-211-01")</f>
        <v>508-211-01</v>
      </c>
      <c r="B6723" t="s">
        <v>4655</v>
      </c>
      <c r="C6723" t="s">
        <v>32210</v>
      </c>
      <c r="D6723" s="1">
        <v>40298</v>
      </c>
      <c r="E6723" s="2">
        <v>116000</v>
      </c>
      <c r="F6723" t="s">
        <v>4567</v>
      </c>
      <c r="G6723" s="17" t="str">
        <f>HYPERLINK("https://www.washoecounty.gov/assessor/cama/?command=sales&amp;parid=50821101","3876823")</f>
        <v>3876823</v>
      </c>
      <c r="H6723" t="s">
        <v>3932</v>
      </c>
      <c r="I6723">
        <v>1994</v>
      </c>
      <c r="J6723">
        <v>1994</v>
      </c>
      <c r="K6723" t="s">
        <v>4554</v>
      </c>
      <c r="L6723" t="s">
        <v>4555</v>
      </c>
      <c r="M6723" s="2">
        <v>1185</v>
      </c>
      <c r="N6723" t="s">
        <v>4556</v>
      </c>
      <c r="O6723">
        <v>3</v>
      </c>
      <c r="P6723">
        <v>2</v>
      </c>
      <c r="Q6723">
        <v>0</v>
      </c>
      <c r="R6723" t="s">
        <v>4557</v>
      </c>
      <c r="S6723" t="s">
        <v>4558</v>
      </c>
      <c r="T6723" t="s">
        <v>4559</v>
      </c>
      <c r="U6723" t="s">
        <v>4560</v>
      </c>
      <c r="V6723" s="2">
        <v>415</v>
      </c>
      <c r="W6723" t="s">
        <v>4655</v>
      </c>
      <c r="X6723" s="2">
        <v>0</v>
      </c>
      <c r="Y6723">
        <v>20</v>
      </c>
      <c r="Z6723" t="s">
        <v>5508</v>
      </c>
      <c r="AA6723" s="3">
        <v>0.310996323823929</v>
      </c>
      <c r="AB6723" t="s">
        <v>32211</v>
      </c>
      <c r="AC6723" t="s">
        <v>4562</v>
      </c>
      <c r="AD6723" t="s">
        <v>32210</v>
      </c>
      <c r="AE6723" t="s">
        <v>4655</v>
      </c>
      <c r="AF6723" t="s">
        <v>1600</v>
      </c>
      <c r="AG6723" t="s">
        <v>4564</v>
      </c>
      <c r="AH6723" t="s">
        <v>1601</v>
      </c>
      <c r="AI6723" t="s">
        <v>4655</v>
      </c>
      <c r="AJ6723" t="s">
        <v>3933</v>
      </c>
      <c r="AK6723" t="s">
        <v>32212</v>
      </c>
      <c r="AL6723" s="13" t="s">
        <v>1898</v>
      </c>
      <c r="AM6723" s="14">
        <v>1</v>
      </c>
      <c r="AN6723" s="15" t="s">
        <v>1598</v>
      </c>
    </row>
    <row r="6724" spans="1:40" x14ac:dyDescent="0.3">
      <c r="A6724" s="10" t="str">
        <f>HYPERLINK("http://www.washoecounty.gov/assessor/cama/?parid=508-211-14&amp;CardNumber=1","508-211-14")</f>
        <v>508-211-14</v>
      </c>
      <c r="B6724" t="s">
        <v>4655</v>
      </c>
      <c r="C6724" t="s">
        <v>32213</v>
      </c>
      <c r="D6724" s="1">
        <v>40337</v>
      </c>
      <c r="E6724" s="2">
        <v>113000</v>
      </c>
      <c r="F6724" t="s">
        <v>4553</v>
      </c>
      <c r="G6724" s="17" t="str">
        <f>HYPERLINK("https://www.washoecounty.gov/assessor/cama/?command=sales&amp;parid=50821114","3889410")</f>
        <v>3889410</v>
      </c>
      <c r="H6724" t="s">
        <v>32214</v>
      </c>
      <c r="I6724">
        <v>1994</v>
      </c>
      <c r="J6724">
        <v>1994</v>
      </c>
      <c r="K6724" t="s">
        <v>4554</v>
      </c>
      <c r="L6724" t="s">
        <v>4555</v>
      </c>
      <c r="M6724" s="2">
        <v>1064</v>
      </c>
      <c r="N6724" t="s">
        <v>4556</v>
      </c>
      <c r="O6724">
        <v>3</v>
      </c>
      <c r="P6724">
        <v>2</v>
      </c>
      <c r="Q6724">
        <v>0</v>
      </c>
      <c r="R6724" t="s">
        <v>4557</v>
      </c>
      <c r="S6724" t="s">
        <v>4558</v>
      </c>
      <c r="T6724" t="s">
        <v>4559</v>
      </c>
      <c r="U6724" t="s">
        <v>4560</v>
      </c>
      <c r="V6724" s="2">
        <v>400</v>
      </c>
      <c r="W6724" t="s">
        <v>4655</v>
      </c>
      <c r="X6724" s="2">
        <v>0</v>
      </c>
      <c r="Y6724">
        <v>20</v>
      </c>
      <c r="Z6724" t="s">
        <v>5508</v>
      </c>
      <c r="AA6724" s="3">
        <v>0.30599173903465299</v>
      </c>
      <c r="AB6724" t="s">
        <v>32215</v>
      </c>
      <c r="AC6724" t="s">
        <v>4562</v>
      </c>
      <c r="AD6724" t="s">
        <v>32213</v>
      </c>
      <c r="AE6724" t="s">
        <v>4655</v>
      </c>
      <c r="AF6724" t="s">
        <v>1600</v>
      </c>
      <c r="AG6724" t="s">
        <v>4564</v>
      </c>
      <c r="AH6724" t="s">
        <v>1601</v>
      </c>
      <c r="AI6724" t="s">
        <v>4848</v>
      </c>
      <c r="AJ6724" t="s">
        <v>3933</v>
      </c>
      <c r="AK6724" t="s">
        <v>32216</v>
      </c>
      <c r="AL6724" s="13" t="s">
        <v>1898</v>
      </c>
      <c r="AM6724">
        <v>1</v>
      </c>
      <c r="AN6724" s="15" t="s">
        <v>1598</v>
      </c>
    </row>
    <row r="6725" spans="1:40" x14ac:dyDescent="0.3">
      <c r="A6725" s="10" t="str">
        <f>HYPERLINK("http://www.washoecounty.gov/assessor/cama/?parid=508-211-27&amp;CardNumber=1","508-211-27")</f>
        <v>508-211-27</v>
      </c>
      <c r="B6725" t="s">
        <v>4655</v>
      </c>
      <c r="C6725" t="s">
        <v>32217</v>
      </c>
      <c r="D6725" s="1">
        <v>40311</v>
      </c>
      <c r="E6725" s="2">
        <v>126000</v>
      </c>
      <c r="F6725" t="s">
        <v>4567</v>
      </c>
      <c r="G6725" s="17" t="str">
        <f>HYPERLINK("https://www.washoecounty.gov/assessor/cama/?command=sales&amp;parid=50821127","3881280")</f>
        <v>3881280</v>
      </c>
      <c r="H6725" t="s">
        <v>3932</v>
      </c>
      <c r="I6725">
        <v>1994</v>
      </c>
      <c r="J6725">
        <v>1994</v>
      </c>
      <c r="K6725" t="s">
        <v>4554</v>
      </c>
      <c r="L6725" t="s">
        <v>4555</v>
      </c>
      <c r="M6725" s="2">
        <v>1464</v>
      </c>
      <c r="N6725" t="s">
        <v>4556</v>
      </c>
      <c r="O6725">
        <v>3</v>
      </c>
      <c r="P6725">
        <v>2</v>
      </c>
      <c r="Q6725">
        <v>0</v>
      </c>
      <c r="R6725" t="s">
        <v>4557</v>
      </c>
      <c r="S6725" t="s">
        <v>4558</v>
      </c>
      <c r="T6725" t="s">
        <v>4559</v>
      </c>
      <c r="U6725" t="s">
        <v>4560</v>
      </c>
      <c r="V6725" s="2">
        <v>400</v>
      </c>
      <c r="W6725" t="s">
        <v>4655</v>
      </c>
      <c r="X6725" s="2">
        <v>0</v>
      </c>
      <c r="Y6725">
        <v>20</v>
      </c>
      <c r="Z6725" t="s">
        <v>5508</v>
      </c>
      <c r="AA6725" s="3">
        <v>0.28399908542633101</v>
      </c>
      <c r="AB6725" t="s">
        <v>32218</v>
      </c>
      <c r="AC6725" t="s">
        <v>4562</v>
      </c>
      <c r="AD6725" t="s">
        <v>32217</v>
      </c>
      <c r="AE6725" t="s">
        <v>4655</v>
      </c>
      <c r="AF6725" t="s">
        <v>1600</v>
      </c>
      <c r="AG6725" t="s">
        <v>4564</v>
      </c>
      <c r="AH6725" t="s">
        <v>1601</v>
      </c>
      <c r="AI6725" t="s">
        <v>32219</v>
      </c>
      <c r="AJ6725" t="s">
        <v>3933</v>
      </c>
      <c r="AK6725" t="s">
        <v>32220</v>
      </c>
      <c r="AL6725" s="13" t="s">
        <v>1898</v>
      </c>
      <c r="AM6725">
        <v>1</v>
      </c>
      <c r="AN6725" s="15" t="s">
        <v>1598</v>
      </c>
    </row>
    <row r="6726" spans="1:40" x14ac:dyDescent="0.3">
      <c r="A6726" s="10" t="str">
        <f>HYPERLINK("http://www.washoecounty.gov/assessor/cama/?parid=508-211-28&amp;CardNumber=1","508-211-28")</f>
        <v>508-211-28</v>
      </c>
      <c r="B6726" t="s">
        <v>4655</v>
      </c>
      <c r="C6726" t="s">
        <v>32221</v>
      </c>
      <c r="D6726" s="1">
        <v>40386</v>
      </c>
      <c r="E6726" s="2">
        <v>110000</v>
      </c>
      <c r="F6726" t="s">
        <v>4567</v>
      </c>
      <c r="G6726" s="17" t="str">
        <f>HYPERLINK("https://www.washoecounty.gov/assessor/cama/?command=sales&amp;parid=50821128","3905461")</f>
        <v>3905461</v>
      </c>
      <c r="H6726" t="s">
        <v>556</v>
      </c>
      <c r="I6726">
        <v>1994</v>
      </c>
      <c r="J6726">
        <v>1994</v>
      </c>
      <c r="K6726" t="s">
        <v>4554</v>
      </c>
      <c r="L6726" t="s">
        <v>4555</v>
      </c>
      <c r="M6726" s="2">
        <v>1185</v>
      </c>
      <c r="N6726" t="s">
        <v>4556</v>
      </c>
      <c r="O6726">
        <v>3</v>
      </c>
      <c r="P6726">
        <v>2</v>
      </c>
      <c r="Q6726">
        <v>0</v>
      </c>
      <c r="R6726" t="s">
        <v>5281</v>
      </c>
      <c r="S6726" t="s">
        <v>4558</v>
      </c>
      <c r="T6726" t="s">
        <v>4559</v>
      </c>
      <c r="U6726" t="s">
        <v>4560</v>
      </c>
      <c r="V6726" s="2">
        <v>400</v>
      </c>
      <c r="W6726" t="s">
        <v>4655</v>
      </c>
      <c r="X6726" s="2">
        <v>0</v>
      </c>
      <c r="Y6726">
        <v>20</v>
      </c>
      <c r="Z6726" t="s">
        <v>5508</v>
      </c>
      <c r="AA6726" s="3">
        <v>0.20000000298023199</v>
      </c>
      <c r="AB6726" t="s">
        <v>32222</v>
      </c>
      <c r="AC6726" t="s">
        <v>4562</v>
      </c>
      <c r="AD6726" t="s">
        <v>32223</v>
      </c>
      <c r="AE6726" t="s">
        <v>4655</v>
      </c>
      <c r="AF6726" t="s">
        <v>1600</v>
      </c>
      <c r="AG6726" t="s">
        <v>4564</v>
      </c>
      <c r="AH6726" t="s">
        <v>1601</v>
      </c>
      <c r="AI6726" t="s">
        <v>32224</v>
      </c>
      <c r="AJ6726" t="s">
        <v>3933</v>
      </c>
      <c r="AK6726" t="s">
        <v>32225</v>
      </c>
      <c r="AL6726" s="13" t="s">
        <v>1898</v>
      </c>
      <c r="AM6726" s="14">
        <v>1</v>
      </c>
      <c r="AN6726" s="15" t="s">
        <v>1598</v>
      </c>
    </row>
    <row r="6727" spans="1:40" x14ac:dyDescent="0.3">
      <c r="A6727" s="10" t="str">
        <f>HYPERLINK("http://www.washoecounty.gov/assessor/cama/?parid=508-221-03&amp;CardNumber=1","508-221-03")</f>
        <v>508-221-03</v>
      </c>
      <c r="B6727" t="s">
        <v>4655</v>
      </c>
      <c r="C6727" t="s">
        <v>32226</v>
      </c>
      <c r="D6727" s="1">
        <v>40388</v>
      </c>
      <c r="E6727" s="2">
        <v>111870</v>
      </c>
      <c r="F6727" t="s">
        <v>4553</v>
      </c>
      <c r="G6727" s="17" t="str">
        <f>HYPERLINK("https://www.washoecounty.gov/assessor/cama/?command=sales&amp;parid=50822103","3906734")</f>
        <v>3906734</v>
      </c>
      <c r="H6727" t="s">
        <v>32227</v>
      </c>
      <c r="I6727">
        <v>1994</v>
      </c>
      <c r="J6727">
        <v>1994</v>
      </c>
      <c r="K6727" t="s">
        <v>4554</v>
      </c>
      <c r="L6727" t="s">
        <v>4555</v>
      </c>
      <c r="M6727" s="2">
        <v>1185</v>
      </c>
      <c r="N6727" t="s">
        <v>4556</v>
      </c>
      <c r="O6727">
        <v>3</v>
      </c>
      <c r="P6727">
        <v>2</v>
      </c>
      <c r="Q6727">
        <v>0</v>
      </c>
      <c r="R6727" t="s">
        <v>4557</v>
      </c>
      <c r="S6727" t="s">
        <v>4558</v>
      </c>
      <c r="T6727" t="s">
        <v>4559</v>
      </c>
      <c r="U6727" t="s">
        <v>4560</v>
      </c>
      <c r="V6727" s="2">
        <v>415</v>
      </c>
      <c r="W6727" t="s">
        <v>4655</v>
      </c>
      <c r="X6727" s="2">
        <v>0</v>
      </c>
      <c r="Y6727">
        <v>20</v>
      </c>
      <c r="Z6727" t="s">
        <v>5508</v>
      </c>
      <c r="AA6727" s="3">
        <v>0.16099633276462599</v>
      </c>
      <c r="AB6727" t="s">
        <v>4673</v>
      </c>
      <c r="AC6727" t="s">
        <v>4562</v>
      </c>
      <c r="AD6727" t="s">
        <v>3093</v>
      </c>
      <c r="AE6727" t="s">
        <v>4655</v>
      </c>
      <c r="AF6727" t="s">
        <v>4563</v>
      </c>
      <c r="AG6727" t="s">
        <v>4564</v>
      </c>
      <c r="AH6727">
        <v>89512</v>
      </c>
      <c r="AI6727" t="s">
        <v>4848</v>
      </c>
      <c r="AJ6727" t="s">
        <v>3374</v>
      </c>
      <c r="AK6727" t="s">
        <v>32228</v>
      </c>
      <c r="AL6727" s="13" t="s">
        <v>1898</v>
      </c>
      <c r="AM6727">
        <v>1</v>
      </c>
      <c r="AN6727" s="15" t="s">
        <v>1598</v>
      </c>
    </row>
    <row r="6728" spans="1:40" x14ac:dyDescent="0.3">
      <c r="A6728" s="10" t="str">
        <f>HYPERLINK("http://www.washoecounty.gov/assessor/cama/?parid=508-221-08&amp;CardNumber=1","508-221-08")</f>
        <v>508-221-08</v>
      </c>
      <c r="B6728" t="s">
        <v>4655</v>
      </c>
      <c r="C6728" t="s">
        <v>32229</v>
      </c>
      <c r="D6728" s="1">
        <v>40470</v>
      </c>
      <c r="E6728" s="2">
        <v>121900</v>
      </c>
      <c r="F6728" t="s">
        <v>4553</v>
      </c>
      <c r="G6728" s="17" t="str">
        <f>HYPERLINK("https://www.washoecounty.gov/assessor/cama/?command=sales&amp;parid=50822108","3934398")</f>
        <v>3934398</v>
      </c>
      <c r="H6728" t="s">
        <v>3373</v>
      </c>
      <c r="I6728">
        <v>1994</v>
      </c>
      <c r="J6728">
        <v>1994</v>
      </c>
      <c r="K6728" t="s">
        <v>4554</v>
      </c>
      <c r="L6728" t="s">
        <v>4555</v>
      </c>
      <c r="M6728" s="2">
        <v>1064</v>
      </c>
      <c r="N6728" t="s">
        <v>4556</v>
      </c>
      <c r="O6728">
        <v>3</v>
      </c>
      <c r="P6728">
        <v>2</v>
      </c>
      <c r="Q6728">
        <v>0</v>
      </c>
      <c r="R6728" t="s">
        <v>4557</v>
      </c>
      <c r="S6728" t="s">
        <v>4558</v>
      </c>
      <c r="T6728" t="s">
        <v>4559</v>
      </c>
      <c r="U6728" t="s">
        <v>4560</v>
      </c>
      <c r="V6728" s="2">
        <v>400</v>
      </c>
      <c r="W6728" t="s">
        <v>4655</v>
      </c>
      <c r="X6728" s="2">
        <v>0</v>
      </c>
      <c r="Y6728">
        <v>20</v>
      </c>
      <c r="Z6728" t="s">
        <v>5508</v>
      </c>
      <c r="AA6728" s="3">
        <v>0.28900367021560702</v>
      </c>
      <c r="AB6728" t="s">
        <v>32230</v>
      </c>
      <c r="AC6728" t="s">
        <v>4575</v>
      </c>
      <c r="AD6728" t="s">
        <v>32229</v>
      </c>
      <c r="AE6728" t="s">
        <v>4655</v>
      </c>
      <c r="AF6728" t="s">
        <v>1600</v>
      </c>
      <c r="AG6728" t="s">
        <v>4564</v>
      </c>
      <c r="AH6728" t="s">
        <v>1601</v>
      </c>
      <c r="AI6728" t="s">
        <v>4903</v>
      </c>
      <c r="AJ6728" t="s">
        <v>3374</v>
      </c>
      <c r="AK6728" t="s">
        <v>32231</v>
      </c>
      <c r="AL6728" s="13" t="s">
        <v>1898</v>
      </c>
      <c r="AM6728" s="14">
        <v>1</v>
      </c>
      <c r="AN6728" s="15" t="s">
        <v>1598</v>
      </c>
    </row>
    <row r="6729" spans="1:40" x14ac:dyDescent="0.3">
      <c r="A6729" s="10" t="str">
        <f>HYPERLINK("http://www.washoecounty.gov/assessor/cama/?parid=508-221-24&amp;CardNumber=1","508-221-24")</f>
        <v>508-221-24</v>
      </c>
      <c r="B6729" t="s">
        <v>4655</v>
      </c>
      <c r="C6729" t="s">
        <v>32232</v>
      </c>
      <c r="D6729" s="1">
        <v>40207</v>
      </c>
      <c r="E6729" s="2">
        <v>116500</v>
      </c>
      <c r="F6729" t="s">
        <v>4567</v>
      </c>
      <c r="G6729" s="17" t="str">
        <f>HYPERLINK("https://www.washoecounty.gov/assessor/cama/?command=sales&amp;parid=50822124","3844507")</f>
        <v>3844507</v>
      </c>
      <c r="H6729" t="s">
        <v>3373</v>
      </c>
      <c r="I6729">
        <v>1994</v>
      </c>
      <c r="J6729">
        <v>1994</v>
      </c>
      <c r="K6729" t="s">
        <v>4554</v>
      </c>
      <c r="L6729" t="s">
        <v>4555</v>
      </c>
      <c r="M6729" s="2">
        <v>1064</v>
      </c>
      <c r="N6729" t="s">
        <v>4556</v>
      </c>
      <c r="O6729">
        <v>3</v>
      </c>
      <c r="P6729">
        <v>2</v>
      </c>
      <c r="Q6729">
        <v>0</v>
      </c>
      <c r="R6729" t="s">
        <v>5281</v>
      </c>
      <c r="S6729" t="s">
        <v>4558</v>
      </c>
      <c r="T6729" t="s">
        <v>4559</v>
      </c>
      <c r="U6729" t="s">
        <v>4560</v>
      </c>
      <c r="V6729" s="2">
        <v>400</v>
      </c>
      <c r="W6729" t="s">
        <v>4655</v>
      </c>
      <c r="X6729" s="2">
        <v>0</v>
      </c>
      <c r="Y6729">
        <v>20</v>
      </c>
      <c r="Z6729" t="s">
        <v>5508</v>
      </c>
      <c r="AA6729" s="3">
        <v>0.23200184106826799</v>
      </c>
      <c r="AB6729" t="s">
        <v>32233</v>
      </c>
      <c r="AC6729" t="s">
        <v>4562</v>
      </c>
      <c r="AD6729" t="s">
        <v>32232</v>
      </c>
      <c r="AE6729" t="s">
        <v>4655</v>
      </c>
      <c r="AF6729" t="s">
        <v>1600</v>
      </c>
      <c r="AG6729" t="s">
        <v>4564</v>
      </c>
      <c r="AH6729" t="s">
        <v>1601</v>
      </c>
      <c r="AI6729" t="s">
        <v>4655</v>
      </c>
      <c r="AJ6729" t="s">
        <v>3374</v>
      </c>
      <c r="AK6729" t="s">
        <v>32234</v>
      </c>
      <c r="AL6729" s="13" t="s">
        <v>1898</v>
      </c>
      <c r="AM6729" s="14">
        <v>1</v>
      </c>
      <c r="AN6729" s="15" t="s">
        <v>1598</v>
      </c>
    </row>
    <row r="6730" spans="1:40" x14ac:dyDescent="0.3">
      <c r="A6730" s="10" t="str">
        <f>HYPERLINK("http://www.washoecounty.gov/assessor/cama/?parid=508-221-39&amp;CardNumber=1","508-221-39")</f>
        <v>508-221-39</v>
      </c>
      <c r="B6730" t="s">
        <v>4655</v>
      </c>
      <c r="C6730" t="s">
        <v>32235</v>
      </c>
      <c r="D6730" s="1">
        <v>40501</v>
      </c>
      <c r="E6730" s="2">
        <v>110000</v>
      </c>
      <c r="F6730" t="s">
        <v>4567</v>
      </c>
      <c r="G6730" s="17" t="str">
        <f>HYPERLINK("https://www.washoecounty.gov/assessor/cama/?command=sales&amp;parid=50822139","3945056")</f>
        <v>3945056</v>
      </c>
      <c r="H6730" t="s">
        <v>32227</v>
      </c>
      <c r="I6730">
        <v>1994</v>
      </c>
      <c r="J6730">
        <v>1994</v>
      </c>
      <c r="K6730" t="s">
        <v>4554</v>
      </c>
      <c r="L6730" t="s">
        <v>4555</v>
      </c>
      <c r="M6730" s="2">
        <v>1345</v>
      </c>
      <c r="N6730" t="s">
        <v>4556</v>
      </c>
      <c r="O6730">
        <v>3</v>
      </c>
      <c r="P6730">
        <v>2</v>
      </c>
      <c r="Q6730">
        <v>0</v>
      </c>
      <c r="R6730" t="s">
        <v>4557</v>
      </c>
      <c r="S6730" t="s">
        <v>4558</v>
      </c>
      <c r="T6730" t="s">
        <v>4559</v>
      </c>
      <c r="U6730" t="s">
        <v>4560</v>
      </c>
      <c r="V6730" s="2">
        <v>415</v>
      </c>
      <c r="W6730" t="s">
        <v>4655</v>
      </c>
      <c r="X6730" s="2">
        <v>0</v>
      </c>
      <c r="Y6730">
        <v>20</v>
      </c>
      <c r="Z6730" t="s">
        <v>5508</v>
      </c>
      <c r="AA6730" s="3">
        <v>0.24898989498615265</v>
      </c>
      <c r="AB6730" t="s">
        <v>4673</v>
      </c>
      <c r="AC6730" t="s">
        <v>4562</v>
      </c>
      <c r="AD6730" t="s">
        <v>3093</v>
      </c>
      <c r="AE6730" t="s">
        <v>4655</v>
      </c>
      <c r="AF6730" t="s">
        <v>4563</v>
      </c>
      <c r="AG6730" t="s">
        <v>4564</v>
      </c>
      <c r="AH6730">
        <v>89512</v>
      </c>
      <c r="AI6730" t="s">
        <v>32236</v>
      </c>
      <c r="AJ6730" t="s">
        <v>3374</v>
      </c>
      <c r="AK6730" t="s">
        <v>32237</v>
      </c>
      <c r="AL6730" s="13" t="s">
        <v>1898</v>
      </c>
      <c r="AM6730" s="14">
        <v>1</v>
      </c>
      <c r="AN6730" s="15" t="s">
        <v>1598</v>
      </c>
    </row>
    <row r="6731" spans="1:40" x14ac:dyDescent="0.3">
      <c r="A6731" s="10" t="str">
        <f>HYPERLINK("http://www.washoecounty.gov/assessor/cama/?parid=508-221-41&amp;CardNumber=1","508-221-41")</f>
        <v>508-221-41</v>
      </c>
      <c r="B6731" t="s">
        <v>4655</v>
      </c>
      <c r="C6731" t="s">
        <v>32238</v>
      </c>
      <c r="D6731" s="1">
        <v>40346</v>
      </c>
      <c r="E6731" s="2">
        <v>126000</v>
      </c>
      <c r="F6731" t="s">
        <v>4553</v>
      </c>
      <c r="G6731" s="17" t="str">
        <f>HYPERLINK("https://www.washoecounty.gov/assessor/cama/?command=sales&amp;parid=50822141","3892849")</f>
        <v>3892849</v>
      </c>
      <c r="H6731" t="s">
        <v>32227</v>
      </c>
      <c r="I6731">
        <v>1994</v>
      </c>
      <c r="J6731">
        <v>1994</v>
      </c>
      <c r="K6731" t="s">
        <v>4554</v>
      </c>
      <c r="L6731" t="s">
        <v>4555</v>
      </c>
      <c r="M6731" s="2">
        <v>1161</v>
      </c>
      <c r="N6731" t="s">
        <v>4556</v>
      </c>
      <c r="O6731">
        <v>3</v>
      </c>
      <c r="P6731">
        <v>2</v>
      </c>
      <c r="Q6731">
        <v>0</v>
      </c>
      <c r="R6731" t="s">
        <v>5281</v>
      </c>
      <c r="S6731" t="s">
        <v>4558</v>
      </c>
      <c r="T6731" t="s">
        <v>4559</v>
      </c>
      <c r="U6731" t="s">
        <v>4560</v>
      </c>
      <c r="V6731" s="2">
        <v>535</v>
      </c>
      <c r="W6731" t="s">
        <v>4655</v>
      </c>
      <c r="X6731" s="2">
        <v>0</v>
      </c>
      <c r="Y6731">
        <v>20</v>
      </c>
      <c r="Z6731" t="s">
        <v>5508</v>
      </c>
      <c r="AA6731" s="3">
        <v>0.30399447679519698</v>
      </c>
      <c r="AB6731" t="s">
        <v>4673</v>
      </c>
      <c r="AC6731" t="s">
        <v>4562</v>
      </c>
      <c r="AD6731" t="s">
        <v>3093</v>
      </c>
      <c r="AE6731" t="s">
        <v>4655</v>
      </c>
      <c r="AF6731" t="s">
        <v>4563</v>
      </c>
      <c r="AG6731" t="s">
        <v>4564</v>
      </c>
      <c r="AH6731">
        <v>89512</v>
      </c>
      <c r="AI6731" t="s">
        <v>4903</v>
      </c>
      <c r="AJ6731" t="s">
        <v>3374</v>
      </c>
      <c r="AK6731" t="s">
        <v>32239</v>
      </c>
      <c r="AL6731" s="13" t="s">
        <v>1898</v>
      </c>
      <c r="AM6731">
        <v>1</v>
      </c>
      <c r="AN6731" s="15" t="s">
        <v>1598</v>
      </c>
    </row>
    <row r="6732" spans="1:40" x14ac:dyDescent="0.3">
      <c r="A6732" s="10" t="str">
        <f>HYPERLINK("http://www.washoecounty.gov/assessor/cama/?parid=508-221-49&amp;CardNumber=1","508-221-49")</f>
        <v>508-221-49</v>
      </c>
      <c r="B6732" t="s">
        <v>4655</v>
      </c>
      <c r="C6732" t="s">
        <v>32240</v>
      </c>
      <c r="D6732" s="1">
        <v>40483</v>
      </c>
      <c r="E6732" s="2">
        <v>125000</v>
      </c>
      <c r="F6732" t="s">
        <v>4553</v>
      </c>
      <c r="G6732" s="17" t="str">
        <f>HYPERLINK("https://www.washoecounty.gov/assessor/cama/?command=sales&amp;parid=50822149","3938428")</f>
        <v>3938428</v>
      </c>
      <c r="H6732" t="s">
        <v>3375</v>
      </c>
      <c r="I6732">
        <v>1994</v>
      </c>
      <c r="J6732">
        <v>1994</v>
      </c>
      <c r="K6732" t="s">
        <v>4554</v>
      </c>
      <c r="L6732" t="s">
        <v>4555</v>
      </c>
      <c r="M6732" s="2">
        <v>1345</v>
      </c>
      <c r="N6732" t="s">
        <v>4556</v>
      </c>
      <c r="O6732">
        <v>3</v>
      </c>
      <c r="P6732">
        <v>2</v>
      </c>
      <c r="Q6732">
        <v>0</v>
      </c>
      <c r="R6732" t="s">
        <v>4557</v>
      </c>
      <c r="S6732" t="s">
        <v>4558</v>
      </c>
      <c r="T6732" t="s">
        <v>4559</v>
      </c>
      <c r="U6732" t="s">
        <v>4560</v>
      </c>
      <c r="V6732" s="2">
        <v>415</v>
      </c>
      <c r="W6732" t="s">
        <v>4655</v>
      </c>
      <c r="X6732" s="2">
        <v>0</v>
      </c>
      <c r="Y6732">
        <v>20</v>
      </c>
      <c r="Z6732" t="s">
        <v>5508</v>
      </c>
      <c r="AA6732" s="3">
        <v>0.22300276160240201</v>
      </c>
      <c r="AB6732" t="s">
        <v>4673</v>
      </c>
      <c r="AC6732" t="s">
        <v>4562</v>
      </c>
      <c r="AD6732" t="s">
        <v>3093</v>
      </c>
      <c r="AE6732" t="s">
        <v>4655</v>
      </c>
      <c r="AF6732" t="s">
        <v>4563</v>
      </c>
      <c r="AG6732" t="s">
        <v>4564</v>
      </c>
      <c r="AH6732">
        <v>89512</v>
      </c>
      <c r="AI6732" t="s">
        <v>4848</v>
      </c>
      <c r="AJ6732" t="s">
        <v>3374</v>
      </c>
      <c r="AK6732" t="s">
        <v>32241</v>
      </c>
      <c r="AL6732" s="13" t="s">
        <v>1898</v>
      </c>
      <c r="AM6732">
        <v>1</v>
      </c>
      <c r="AN6732" s="15" t="s">
        <v>1598</v>
      </c>
    </row>
    <row r="6733" spans="1:40" x14ac:dyDescent="0.3">
      <c r="A6733" s="10" t="str">
        <f>HYPERLINK("http://www.washoecounty.gov/assessor/cama/?parid=508-231-13&amp;CardNumber=1","508-231-13")</f>
        <v>508-231-13</v>
      </c>
      <c r="B6733" t="s">
        <v>4655</v>
      </c>
      <c r="C6733" t="s">
        <v>32242</v>
      </c>
      <c r="D6733" s="1">
        <v>40332</v>
      </c>
      <c r="E6733" s="2">
        <v>118500</v>
      </c>
      <c r="F6733" t="s">
        <v>4567</v>
      </c>
      <c r="G6733" s="17" t="str">
        <f>HYPERLINK("https://www.washoecounty.gov/assessor/cama/?command=sales&amp;parid=50823113","3888051")</f>
        <v>3888051</v>
      </c>
      <c r="H6733" t="s">
        <v>3375</v>
      </c>
      <c r="I6733">
        <v>1994</v>
      </c>
      <c r="J6733">
        <v>1994</v>
      </c>
      <c r="K6733" t="s">
        <v>4554</v>
      </c>
      <c r="L6733" t="s">
        <v>4555</v>
      </c>
      <c r="M6733" s="2">
        <v>1265</v>
      </c>
      <c r="N6733" t="s">
        <v>4556</v>
      </c>
      <c r="O6733">
        <v>3</v>
      </c>
      <c r="P6733">
        <v>2</v>
      </c>
      <c r="Q6733">
        <v>0</v>
      </c>
      <c r="R6733" t="s">
        <v>4557</v>
      </c>
      <c r="S6733" t="s">
        <v>4558</v>
      </c>
      <c r="T6733" t="s">
        <v>4559</v>
      </c>
      <c r="U6733" t="s">
        <v>4560</v>
      </c>
      <c r="V6733" s="2">
        <v>415</v>
      </c>
      <c r="W6733" t="s">
        <v>4655</v>
      </c>
      <c r="X6733" s="2">
        <v>0</v>
      </c>
      <c r="Y6733">
        <v>20</v>
      </c>
      <c r="Z6733" t="s">
        <v>5508</v>
      </c>
      <c r="AA6733" s="3">
        <v>0.26099634170532199</v>
      </c>
      <c r="AB6733" t="s">
        <v>32243</v>
      </c>
      <c r="AC6733" t="s">
        <v>4562</v>
      </c>
      <c r="AD6733" t="s">
        <v>32242</v>
      </c>
      <c r="AE6733" t="s">
        <v>4655</v>
      </c>
      <c r="AF6733" t="s">
        <v>1600</v>
      </c>
      <c r="AG6733" t="s">
        <v>4564</v>
      </c>
      <c r="AH6733" t="s">
        <v>1601</v>
      </c>
      <c r="AI6733" t="s">
        <v>32244</v>
      </c>
      <c r="AJ6733" t="s">
        <v>3811</v>
      </c>
      <c r="AK6733" t="s">
        <v>32245</v>
      </c>
      <c r="AL6733" s="13" t="s">
        <v>1898</v>
      </c>
      <c r="AM6733">
        <v>1</v>
      </c>
      <c r="AN6733" s="15" t="s">
        <v>1598</v>
      </c>
    </row>
    <row r="6734" spans="1:40" x14ac:dyDescent="0.3">
      <c r="A6734" s="10" t="str">
        <f>HYPERLINK("http://www.washoecounty.gov/assessor/cama/?parid=508-231-15&amp;CardNumber=1","508-231-15")</f>
        <v>508-231-15</v>
      </c>
      <c r="B6734" t="s">
        <v>4655</v>
      </c>
      <c r="C6734" t="s">
        <v>32246</v>
      </c>
      <c r="D6734" s="1">
        <v>40359</v>
      </c>
      <c r="E6734" s="2">
        <v>117000</v>
      </c>
      <c r="F6734" t="s">
        <v>4567</v>
      </c>
      <c r="G6734" s="17" t="str">
        <f>HYPERLINK("https://www.washoecounty.gov/assessor/cama/?command=sales&amp;parid=50823115","3897049")</f>
        <v>3897049</v>
      </c>
      <c r="H6734" t="s">
        <v>3375</v>
      </c>
      <c r="I6734">
        <v>1994</v>
      </c>
      <c r="J6734">
        <v>1994</v>
      </c>
      <c r="K6734" t="s">
        <v>4554</v>
      </c>
      <c r="L6734" t="s">
        <v>4555</v>
      </c>
      <c r="M6734" s="2">
        <v>1265</v>
      </c>
      <c r="N6734" t="s">
        <v>4556</v>
      </c>
      <c r="O6734">
        <v>3</v>
      </c>
      <c r="P6734">
        <v>2</v>
      </c>
      <c r="Q6734">
        <v>0</v>
      </c>
      <c r="R6734" t="s">
        <v>4557</v>
      </c>
      <c r="S6734" t="s">
        <v>4558</v>
      </c>
      <c r="T6734" t="s">
        <v>4559</v>
      </c>
      <c r="U6734" t="s">
        <v>4560</v>
      </c>
      <c r="V6734" s="2">
        <v>415</v>
      </c>
      <c r="W6734" t="s">
        <v>4655</v>
      </c>
      <c r="X6734" s="2">
        <v>0</v>
      </c>
      <c r="Y6734">
        <v>20</v>
      </c>
      <c r="Z6734" t="s">
        <v>5508</v>
      </c>
      <c r="AA6734" s="3">
        <v>0.18099173903465299</v>
      </c>
      <c r="AB6734" t="s">
        <v>32247</v>
      </c>
      <c r="AC6734" t="s">
        <v>4562</v>
      </c>
      <c r="AD6734" t="s">
        <v>32246</v>
      </c>
      <c r="AE6734" t="s">
        <v>4655</v>
      </c>
      <c r="AF6734" t="s">
        <v>1600</v>
      </c>
      <c r="AG6734" t="s">
        <v>4564</v>
      </c>
      <c r="AH6734" t="s">
        <v>1601</v>
      </c>
      <c r="AI6734" t="s">
        <v>32248</v>
      </c>
      <c r="AJ6734" t="s">
        <v>3811</v>
      </c>
      <c r="AK6734" t="s">
        <v>32249</v>
      </c>
      <c r="AL6734" s="13" t="s">
        <v>1898</v>
      </c>
      <c r="AM6734">
        <v>1</v>
      </c>
      <c r="AN6734" s="15" t="s">
        <v>1598</v>
      </c>
    </row>
    <row r="6735" spans="1:40" x14ac:dyDescent="0.3">
      <c r="A6735" s="10" t="str">
        <f>HYPERLINK("http://www.washoecounty.gov/assessor/cama/?parid=508-231-16&amp;CardNumber=1","508-231-16")</f>
        <v>508-231-16</v>
      </c>
      <c r="B6735" t="s">
        <v>4655</v>
      </c>
      <c r="C6735" t="s">
        <v>32250</v>
      </c>
      <c r="D6735" s="1">
        <v>40533</v>
      </c>
      <c r="E6735" s="2">
        <v>129900</v>
      </c>
      <c r="F6735" t="s">
        <v>4553</v>
      </c>
      <c r="G6735" s="17" t="str">
        <f>HYPERLINK("https://www.washoecounty.gov/assessor/cama/?command=sales&amp;parid=50823116","3955910")</f>
        <v>3955910</v>
      </c>
      <c r="H6735" t="s">
        <v>3375</v>
      </c>
      <c r="I6735">
        <v>1994</v>
      </c>
      <c r="J6735">
        <v>1994</v>
      </c>
      <c r="K6735" t="s">
        <v>4554</v>
      </c>
      <c r="L6735" t="s">
        <v>4555</v>
      </c>
      <c r="M6735" s="2">
        <v>1696</v>
      </c>
      <c r="N6735" t="s">
        <v>4556</v>
      </c>
      <c r="O6735">
        <v>3</v>
      </c>
      <c r="P6735">
        <v>2</v>
      </c>
      <c r="Q6735">
        <v>0</v>
      </c>
      <c r="R6735" t="s">
        <v>4557</v>
      </c>
      <c r="S6735" t="s">
        <v>4558</v>
      </c>
      <c r="T6735" t="s">
        <v>4559</v>
      </c>
      <c r="U6735" t="s">
        <v>4560</v>
      </c>
      <c r="V6735" s="2">
        <v>576</v>
      </c>
      <c r="W6735" t="s">
        <v>4655</v>
      </c>
      <c r="X6735" s="2">
        <v>0</v>
      </c>
      <c r="Y6735">
        <v>20</v>
      </c>
      <c r="Z6735" t="s">
        <v>5508</v>
      </c>
      <c r="AA6735" s="3">
        <v>0.16400367021560699</v>
      </c>
      <c r="AB6735" t="s">
        <v>32251</v>
      </c>
      <c r="AC6735" t="s">
        <v>4562</v>
      </c>
      <c r="AD6735" t="s">
        <v>32250</v>
      </c>
      <c r="AE6735" t="s">
        <v>4655</v>
      </c>
      <c r="AF6735" t="s">
        <v>1600</v>
      </c>
      <c r="AG6735" t="s">
        <v>4564</v>
      </c>
      <c r="AH6735" t="s">
        <v>1601</v>
      </c>
      <c r="AI6735" t="s">
        <v>4903</v>
      </c>
      <c r="AJ6735" t="s">
        <v>3811</v>
      </c>
      <c r="AK6735" t="s">
        <v>32252</v>
      </c>
      <c r="AL6735" s="13" t="s">
        <v>1898</v>
      </c>
      <c r="AM6735" s="14">
        <v>1</v>
      </c>
      <c r="AN6735" s="15" t="s">
        <v>1598</v>
      </c>
    </row>
    <row r="6736" spans="1:40" x14ac:dyDescent="0.3">
      <c r="A6736" s="10" t="str">
        <f>HYPERLINK("http://www.washoecounty.gov/assessor/cama/?parid=508-231-26&amp;CardNumber=1","508-231-26")</f>
        <v>508-231-26</v>
      </c>
      <c r="B6736" t="s">
        <v>4655</v>
      </c>
      <c r="C6736" t="s">
        <v>32253</v>
      </c>
      <c r="D6736" s="1">
        <v>40231</v>
      </c>
      <c r="E6736" s="2">
        <v>125000</v>
      </c>
      <c r="F6736" t="s">
        <v>4567</v>
      </c>
      <c r="G6736" s="17" t="str">
        <f>HYPERLINK("https://www.washoecounty.gov/assessor/cama/?command=sales&amp;parid=50823126","3851458")</f>
        <v>3851458</v>
      </c>
      <c r="H6736" t="s">
        <v>3375</v>
      </c>
      <c r="I6736">
        <v>1994</v>
      </c>
      <c r="J6736">
        <v>1994</v>
      </c>
      <c r="K6736" t="s">
        <v>4554</v>
      </c>
      <c r="L6736" t="s">
        <v>4555</v>
      </c>
      <c r="M6736" s="2">
        <v>1304</v>
      </c>
      <c r="N6736" t="s">
        <v>4556</v>
      </c>
      <c r="O6736">
        <v>3</v>
      </c>
      <c r="P6736">
        <v>2</v>
      </c>
      <c r="Q6736">
        <v>0</v>
      </c>
      <c r="R6736" t="s">
        <v>5281</v>
      </c>
      <c r="S6736" t="s">
        <v>4558</v>
      </c>
      <c r="T6736" t="s">
        <v>4559</v>
      </c>
      <c r="U6736" t="s">
        <v>4560</v>
      </c>
      <c r="V6736" s="2">
        <v>400</v>
      </c>
      <c r="W6736" t="s">
        <v>4655</v>
      </c>
      <c r="X6736" s="2">
        <v>0</v>
      </c>
      <c r="Y6736">
        <v>20</v>
      </c>
      <c r="Z6736" t="s">
        <v>5508</v>
      </c>
      <c r="AA6736" s="3">
        <v>0.192011013627052</v>
      </c>
      <c r="AB6736" t="s">
        <v>32254</v>
      </c>
      <c r="AC6736" t="s">
        <v>4562</v>
      </c>
      <c r="AD6736" t="s">
        <v>32255</v>
      </c>
      <c r="AE6736" t="s">
        <v>4655</v>
      </c>
      <c r="AF6736" t="s">
        <v>1600</v>
      </c>
      <c r="AG6736" t="s">
        <v>4564</v>
      </c>
      <c r="AH6736" t="s">
        <v>1601</v>
      </c>
      <c r="AI6736" t="s">
        <v>32256</v>
      </c>
      <c r="AJ6736" t="s">
        <v>3811</v>
      </c>
      <c r="AK6736" t="s">
        <v>32257</v>
      </c>
      <c r="AL6736" s="13" t="s">
        <v>1898</v>
      </c>
      <c r="AM6736" s="14">
        <v>1</v>
      </c>
      <c r="AN6736" s="15" t="s">
        <v>1598</v>
      </c>
    </row>
    <row r="6737" spans="1:40" x14ac:dyDescent="0.3">
      <c r="A6737" s="10" t="str">
        <f>HYPERLINK("http://www.washoecounty.gov/assessor/cama/?parid=508-231-42&amp;CardNumber=1","508-231-42")</f>
        <v>508-231-42</v>
      </c>
      <c r="B6737" t="s">
        <v>4655</v>
      </c>
      <c r="C6737" t="s">
        <v>32258</v>
      </c>
      <c r="D6737" s="1">
        <v>40437</v>
      </c>
      <c r="E6737" s="2">
        <v>140000</v>
      </c>
      <c r="F6737" t="s">
        <v>4553</v>
      </c>
      <c r="G6737" s="17" t="str">
        <f>HYPERLINK("https://www.washoecounty.gov/assessor/cama/?command=sales&amp;parid=50823142","3923034")</f>
        <v>3923034</v>
      </c>
      <c r="H6737" t="s">
        <v>3375</v>
      </c>
      <c r="I6737">
        <v>1994</v>
      </c>
      <c r="J6737">
        <v>1994</v>
      </c>
      <c r="K6737" t="s">
        <v>4554</v>
      </c>
      <c r="L6737" t="s">
        <v>3974</v>
      </c>
      <c r="M6737" s="2">
        <v>2002</v>
      </c>
      <c r="N6737" t="s">
        <v>4556</v>
      </c>
      <c r="O6737">
        <v>3</v>
      </c>
      <c r="P6737">
        <v>2</v>
      </c>
      <c r="Q6737">
        <v>1</v>
      </c>
      <c r="R6737" t="s">
        <v>4557</v>
      </c>
      <c r="S6737" t="s">
        <v>4558</v>
      </c>
      <c r="T6737" t="s">
        <v>4559</v>
      </c>
      <c r="U6737" t="s">
        <v>162</v>
      </c>
      <c r="V6737" s="2">
        <v>1071</v>
      </c>
      <c r="W6737" t="s">
        <v>4655</v>
      </c>
      <c r="X6737" s="2">
        <v>0</v>
      </c>
      <c r="Y6737">
        <v>20</v>
      </c>
      <c r="Z6737" t="s">
        <v>5508</v>
      </c>
      <c r="AA6737" s="3">
        <v>0.28799358010292098</v>
      </c>
      <c r="AB6737" t="s">
        <v>32259</v>
      </c>
      <c r="AC6737" t="s">
        <v>4562</v>
      </c>
      <c r="AD6737" t="s">
        <v>32260</v>
      </c>
      <c r="AE6737" t="s">
        <v>4655</v>
      </c>
      <c r="AF6737" t="s">
        <v>1570</v>
      </c>
      <c r="AG6737" t="s">
        <v>4564</v>
      </c>
      <c r="AH6737" t="s">
        <v>2363</v>
      </c>
      <c r="AI6737" t="s">
        <v>4903</v>
      </c>
      <c r="AJ6737" t="s">
        <v>3811</v>
      </c>
      <c r="AK6737" t="s">
        <v>32261</v>
      </c>
      <c r="AL6737" s="13" t="s">
        <v>1898</v>
      </c>
      <c r="AM6737">
        <v>1</v>
      </c>
      <c r="AN6737" s="15" t="s">
        <v>1598</v>
      </c>
    </row>
    <row r="6738" spans="1:40" x14ac:dyDescent="0.3">
      <c r="A6738" s="10" t="str">
        <f>HYPERLINK("http://www.washoecounty.gov/assessor/cama/?parid=508-241-02&amp;CardNumber=1","508-241-02")</f>
        <v>508-241-02</v>
      </c>
      <c r="B6738" t="s">
        <v>4655</v>
      </c>
      <c r="C6738" t="s">
        <v>4821</v>
      </c>
      <c r="D6738" s="1">
        <v>40445</v>
      </c>
      <c r="E6738" s="2">
        <v>129900</v>
      </c>
      <c r="F6738" t="s">
        <v>4553</v>
      </c>
      <c r="G6738" s="17" t="str">
        <f>HYPERLINK("https://www.washoecounty.gov/assessor/cama/?command=sales&amp;parid=50824102","3925956")</f>
        <v>3925956</v>
      </c>
      <c r="H6738" t="s">
        <v>5191</v>
      </c>
      <c r="I6738">
        <v>1995</v>
      </c>
      <c r="J6738">
        <v>1995</v>
      </c>
      <c r="K6738" t="s">
        <v>4554</v>
      </c>
      <c r="L6738" t="s">
        <v>4555</v>
      </c>
      <c r="M6738" s="2">
        <v>1696</v>
      </c>
      <c r="N6738" t="s">
        <v>4556</v>
      </c>
      <c r="O6738">
        <v>3</v>
      </c>
      <c r="P6738">
        <v>2</v>
      </c>
      <c r="Q6738">
        <v>0</v>
      </c>
      <c r="R6738" t="s">
        <v>5281</v>
      </c>
      <c r="S6738" t="s">
        <v>4558</v>
      </c>
      <c r="T6738" t="s">
        <v>4559</v>
      </c>
      <c r="U6738" t="s">
        <v>4560</v>
      </c>
      <c r="V6738" s="2">
        <v>576</v>
      </c>
      <c r="W6738" t="s">
        <v>4655</v>
      </c>
      <c r="X6738" s="2">
        <v>0</v>
      </c>
      <c r="Y6738">
        <v>20</v>
      </c>
      <c r="Z6738" t="s">
        <v>5508</v>
      </c>
      <c r="AA6738" s="3">
        <v>0.18700642883777599</v>
      </c>
      <c r="AB6738" t="s">
        <v>4673</v>
      </c>
      <c r="AC6738" t="s">
        <v>4562</v>
      </c>
      <c r="AD6738" t="s">
        <v>3093</v>
      </c>
      <c r="AE6738" t="s">
        <v>4655</v>
      </c>
      <c r="AF6738" t="s">
        <v>4563</v>
      </c>
      <c r="AG6738" t="s">
        <v>4564</v>
      </c>
      <c r="AH6738">
        <v>89512</v>
      </c>
      <c r="AI6738" t="s">
        <v>4145</v>
      </c>
      <c r="AJ6738" t="s">
        <v>5192</v>
      </c>
      <c r="AK6738" t="s">
        <v>4367</v>
      </c>
      <c r="AL6738" s="13" t="s">
        <v>1898</v>
      </c>
      <c r="AM6738" s="14">
        <v>1</v>
      </c>
      <c r="AN6738" s="15" t="s">
        <v>1598</v>
      </c>
    </row>
    <row r="6739" spans="1:40" x14ac:dyDescent="0.3">
      <c r="A6739" s="10" t="str">
        <f>HYPERLINK("http://www.washoecounty.gov/assessor/cama/?parid=508-241-10&amp;CardNumber=1","508-241-10")</f>
        <v>508-241-10</v>
      </c>
      <c r="B6739" t="s">
        <v>4655</v>
      </c>
      <c r="C6739" t="s">
        <v>32262</v>
      </c>
      <c r="D6739" s="1">
        <v>40238</v>
      </c>
      <c r="E6739" s="2">
        <v>170000</v>
      </c>
      <c r="F6739" t="s">
        <v>4553</v>
      </c>
      <c r="G6739" s="17" t="str">
        <f>HYPERLINK("https://www.washoecounty.gov/assessor/cama/?command=sales&amp;parid=50824110","3853971")</f>
        <v>3853971</v>
      </c>
      <c r="H6739" t="s">
        <v>5191</v>
      </c>
      <c r="I6739">
        <v>1994</v>
      </c>
      <c r="J6739">
        <v>1994</v>
      </c>
      <c r="K6739" t="s">
        <v>4554</v>
      </c>
      <c r="L6739" t="s">
        <v>3974</v>
      </c>
      <c r="M6739" s="2">
        <v>2273</v>
      </c>
      <c r="N6739" t="s">
        <v>4556</v>
      </c>
      <c r="O6739">
        <v>5</v>
      </c>
      <c r="P6739">
        <v>3</v>
      </c>
      <c r="Q6739">
        <v>0</v>
      </c>
      <c r="R6739" t="s">
        <v>4557</v>
      </c>
      <c r="S6739" t="s">
        <v>4558</v>
      </c>
      <c r="T6739" t="s">
        <v>4559</v>
      </c>
      <c r="U6739" t="s">
        <v>5631</v>
      </c>
      <c r="V6739" s="2">
        <v>495</v>
      </c>
      <c r="W6739" t="s">
        <v>4655</v>
      </c>
      <c r="X6739" s="2">
        <v>0</v>
      </c>
      <c r="Y6739">
        <v>20</v>
      </c>
      <c r="Z6739" t="s">
        <v>5508</v>
      </c>
      <c r="AA6739" s="3">
        <v>0.19299817085266099</v>
      </c>
      <c r="AB6739" t="s">
        <v>32263</v>
      </c>
      <c r="AC6739" t="s">
        <v>4575</v>
      </c>
      <c r="AD6739" t="s">
        <v>32264</v>
      </c>
      <c r="AE6739" t="s">
        <v>4655</v>
      </c>
      <c r="AF6739" t="s">
        <v>1600</v>
      </c>
      <c r="AG6739" t="s">
        <v>4564</v>
      </c>
      <c r="AH6739" t="s">
        <v>1601</v>
      </c>
      <c r="AI6739" t="s">
        <v>796</v>
      </c>
      <c r="AJ6739" t="s">
        <v>5192</v>
      </c>
      <c r="AK6739" t="s">
        <v>32265</v>
      </c>
      <c r="AL6739" s="13" t="s">
        <v>1898</v>
      </c>
      <c r="AM6739" s="14">
        <v>1</v>
      </c>
      <c r="AN6739" s="15" t="s">
        <v>1598</v>
      </c>
    </row>
    <row r="6740" spans="1:40" x14ac:dyDescent="0.3">
      <c r="A6740" s="10" t="str">
        <f>HYPERLINK("http://www.washoecounty.gov/assessor/cama/?parid=508-241-18&amp;CardNumber=1","508-241-18")</f>
        <v>508-241-18</v>
      </c>
      <c r="B6740" t="s">
        <v>4655</v>
      </c>
      <c r="C6740" t="s">
        <v>32266</v>
      </c>
      <c r="D6740" s="1">
        <v>40539</v>
      </c>
      <c r="E6740" s="2">
        <v>125730</v>
      </c>
      <c r="F6740" t="s">
        <v>4553</v>
      </c>
      <c r="G6740" s="17" t="str">
        <f>HYPERLINK("https://www.washoecounty.gov/assessor/cama/?command=sales&amp;parid=50824118","3957415")</f>
        <v>3957415</v>
      </c>
      <c r="H6740" t="s">
        <v>5191</v>
      </c>
      <c r="I6740">
        <v>1994</v>
      </c>
      <c r="J6740">
        <v>1994</v>
      </c>
      <c r="K6740" t="s">
        <v>4554</v>
      </c>
      <c r="L6740" t="s">
        <v>4555</v>
      </c>
      <c r="M6740" s="2">
        <v>1464</v>
      </c>
      <c r="N6740" t="s">
        <v>4556</v>
      </c>
      <c r="O6740">
        <v>4</v>
      </c>
      <c r="P6740">
        <v>2</v>
      </c>
      <c r="Q6740">
        <v>0</v>
      </c>
      <c r="R6740" t="s">
        <v>4557</v>
      </c>
      <c r="S6740" t="s">
        <v>4558</v>
      </c>
      <c r="T6740" t="s">
        <v>4559</v>
      </c>
      <c r="U6740" t="s">
        <v>4560</v>
      </c>
      <c r="V6740" s="2">
        <v>400</v>
      </c>
      <c r="W6740" t="s">
        <v>4655</v>
      </c>
      <c r="X6740" s="2">
        <v>0</v>
      </c>
      <c r="Y6740">
        <v>20</v>
      </c>
      <c r="Z6740" t="s">
        <v>5508</v>
      </c>
      <c r="AA6740" s="3">
        <v>0.18298898637294769</v>
      </c>
      <c r="AB6740" t="s">
        <v>32267</v>
      </c>
      <c r="AC6740" t="s">
        <v>4562</v>
      </c>
      <c r="AD6740" t="s">
        <v>32266</v>
      </c>
      <c r="AE6740" t="s">
        <v>4655</v>
      </c>
      <c r="AF6740" t="s">
        <v>1600</v>
      </c>
      <c r="AG6740" t="s">
        <v>4564</v>
      </c>
      <c r="AH6740" t="s">
        <v>1601</v>
      </c>
      <c r="AI6740" t="s">
        <v>4585</v>
      </c>
      <c r="AJ6740" t="s">
        <v>5192</v>
      </c>
      <c r="AK6740" t="s">
        <v>32268</v>
      </c>
      <c r="AL6740" s="13" t="s">
        <v>1898</v>
      </c>
      <c r="AM6740">
        <v>1</v>
      </c>
      <c r="AN6740" s="15" t="s">
        <v>1598</v>
      </c>
    </row>
    <row r="6741" spans="1:40" x14ac:dyDescent="0.3">
      <c r="A6741" s="10" t="str">
        <f>HYPERLINK("http://www.washoecounty.gov/assessor/cama/?parid=508-251-14&amp;CardNumber=1","508-251-14")</f>
        <v>508-251-14</v>
      </c>
      <c r="B6741" t="s">
        <v>4655</v>
      </c>
      <c r="C6741" t="s">
        <v>32269</v>
      </c>
      <c r="D6741" s="1">
        <v>40438</v>
      </c>
      <c r="E6741" s="2">
        <v>150000</v>
      </c>
      <c r="F6741" t="s">
        <v>4553</v>
      </c>
      <c r="G6741" s="17" t="str">
        <f>HYPERLINK("https://www.washoecounty.gov/assessor/cama/?command=sales&amp;parid=50825114","3923606")</f>
        <v>3923606</v>
      </c>
      <c r="H6741" t="s">
        <v>102</v>
      </c>
      <c r="I6741">
        <v>1995</v>
      </c>
      <c r="J6741">
        <v>1995</v>
      </c>
      <c r="K6741" t="s">
        <v>4554</v>
      </c>
      <c r="L6741" t="s">
        <v>4555</v>
      </c>
      <c r="M6741" s="2">
        <v>1568</v>
      </c>
      <c r="N6741" t="s">
        <v>4556</v>
      </c>
      <c r="O6741">
        <v>4</v>
      </c>
      <c r="P6741">
        <v>2</v>
      </c>
      <c r="Q6741">
        <v>0</v>
      </c>
      <c r="R6741" t="s">
        <v>4557</v>
      </c>
      <c r="S6741" t="s">
        <v>4558</v>
      </c>
      <c r="T6741" t="s">
        <v>4559</v>
      </c>
      <c r="U6741" t="s">
        <v>4560</v>
      </c>
      <c r="V6741" s="2">
        <v>480</v>
      </c>
      <c r="W6741" t="s">
        <v>4655</v>
      </c>
      <c r="X6741" s="2">
        <v>0</v>
      </c>
      <c r="Y6741">
        <v>20</v>
      </c>
      <c r="Z6741" t="s">
        <v>5508</v>
      </c>
      <c r="AA6741" s="3">
        <v>0.17899449169635773</v>
      </c>
      <c r="AB6741" t="s">
        <v>32270</v>
      </c>
      <c r="AC6741" t="s">
        <v>4562</v>
      </c>
      <c r="AD6741" t="s">
        <v>32269</v>
      </c>
      <c r="AE6741" t="s">
        <v>4655</v>
      </c>
      <c r="AF6741" t="s">
        <v>1600</v>
      </c>
      <c r="AG6741" t="s">
        <v>4564</v>
      </c>
      <c r="AH6741" t="s">
        <v>1601</v>
      </c>
      <c r="AI6741" t="s">
        <v>4655</v>
      </c>
      <c r="AJ6741" t="s">
        <v>103</v>
      </c>
      <c r="AK6741" t="s">
        <v>32271</v>
      </c>
      <c r="AL6741" s="13" t="s">
        <v>1898</v>
      </c>
      <c r="AM6741">
        <v>1</v>
      </c>
      <c r="AN6741" s="15" t="s">
        <v>1598</v>
      </c>
    </row>
    <row r="6742" spans="1:40" x14ac:dyDescent="0.3">
      <c r="A6742" s="10" t="str">
        <f>HYPERLINK("http://www.washoecounty.gov/assessor/cama/?parid=508-251-41&amp;CardNumber=1","508-251-41")</f>
        <v>508-251-41</v>
      </c>
      <c r="B6742" t="s">
        <v>4655</v>
      </c>
      <c r="C6742" t="s">
        <v>101</v>
      </c>
      <c r="D6742" s="1">
        <v>40431</v>
      </c>
      <c r="E6742" s="2">
        <v>107750</v>
      </c>
      <c r="F6742" t="s">
        <v>4553</v>
      </c>
      <c r="G6742" s="17" t="str">
        <f>HYPERLINK("https://www.washoecounty.gov/assessor/cama/?command=sales&amp;parid=50825141","3921039")</f>
        <v>3921039</v>
      </c>
      <c r="H6742" t="s">
        <v>102</v>
      </c>
      <c r="I6742">
        <v>1995</v>
      </c>
      <c r="J6742">
        <v>1995</v>
      </c>
      <c r="K6742" t="s">
        <v>4554</v>
      </c>
      <c r="L6742" t="s">
        <v>4555</v>
      </c>
      <c r="M6742" s="2">
        <v>1185</v>
      </c>
      <c r="N6742" t="s">
        <v>4556</v>
      </c>
      <c r="O6742">
        <v>3</v>
      </c>
      <c r="P6742">
        <v>2</v>
      </c>
      <c r="Q6742">
        <v>0</v>
      </c>
      <c r="R6742" t="s">
        <v>5281</v>
      </c>
      <c r="S6742" t="s">
        <v>4558</v>
      </c>
      <c r="T6742" t="s">
        <v>4559</v>
      </c>
      <c r="U6742" t="s">
        <v>4560</v>
      </c>
      <c r="V6742" s="2">
        <v>415</v>
      </c>
      <c r="W6742" t="s">
        <v>4655</v>
      </c>
      <c r="X6742" s="2">
        <v>0</v>
      </c>
      <c r="Y6742">
        <v>20</v>
      </c>
      <c r="Z6742" t="s">
        <v>5508</v>
      </c>
      <c r="AA6742" s="3">
        <v>0.18500918149948101</v>
      </c>
      <c r="AB6742" t="s">
        <v>5672</v>
      </c>
      <c r="AC6742" t="s">
        <v>4575</v>
      </c>
      <c r="AD6742" t="s">
        <v>32272</v>
      </c>
      <c r="AE6742" t="s">
        <v>4655</v>
      </c>
      <c r="AF6742" t="s">
        <v>1600</v>
      </c>
      <c r="AG6742" t="s">
        <v>4564</v>
      </c>
      <c r="AH6742" t="s">
        <v>1601</v>
      </c>
      <c r="AI6742" t="s">
        <v>4673</v>
      </c>
      <c r="AJ6742" t="s">
        <v>103</v>
      </c>
      <c r="AK6742" t="s">
        <v>104</v>
      </c>
      <c r="AL6742" s="13" t="s">
        <v>1898</v>
      </c>
      <c r="AM6742">
        <v>1</v>
      </c>
      <c r="AN6742" s="15" t="s">
        <v>1598</v>
      </c>
    </row>
    <row r="6743" spans="1:40" x14ac:dyDescent="0.3">
      <c r="A6743" s="10" t="str">
        <f>HYPERLINK("http://www.washoecounty.gov/assessor/cama/?parid=508-251-52&amp;CardNumber=1","508-251-52")</f>
        <v>508-251-52</v>
      </c>
      <c r="B6743" t="s">
        <v>4655</v>
      </c>
      <c r="C6743" t="s">
        <v>32273</v>
      </c>
      <c r="D6743" s="1">
        <v>40521</v>
      </c>
      <c r="E6743" s="2">
        <v>102000</v>
      </c>
      <c r="F6743" t="s">
        <v>4553</v>
      </c>
      <c r="G6743" s="17" t="str">
        <f>HYPERLINK("https://www.washoecounty.gov/assessor/cama/?command=sales&amp;parid=50825152","3951420")</f>
        <v>3951420</v>
      </c>
      <c r="H6743" t="s">
        <v>102</v>
      </c>
      <c r="I6743">
        <v>1995</v>
      </c>
      <c r="J6743">
        <v>1995</v>
      </c>
      <c r="K6743" t="s">
        <v>4554</v>
      </c>
      <c r="L6743" t="s">
        <v>4555</v>
      </c>
      <c r="M6743" s="2">
        <v>1185</v>
      </c>
      <c r="N6743" t="s">
        <v>4556</v>
      </c>
      <c r="O6743">
        <v>3</v>
      </c>
      <c r="P6743">
        <v>2</v>
      </c>
      <c r="Q6743">
        <v>0</v>
      </c>
      <c r="R6743" t="s">
        <v>4557</v>
      </c>
      <c r="S6743" t="s">
        <v>4558</v>
      </c>
      <c r="T6743" t="s">
        <v>4559</v>
      </c>
      <c r="U6743" t="s">
        <v>4560</v>
      </c>
      <c r="V6743" s="2">
        <v>415</v>
      </c>
      <c r="W6743" t="s">
        <v>4655</v>
      </c>
      <c r="X6743" s="2">
        <v>0</v>
      </c>
      <c r="Y6743">
        <v>20</v>
      </c>
      <c r="Z6743" t="s">
        <v>5508</v>
      </c>
      <c r="AA6743" s="3">
        <v>0.21000918745994601</v>
      </c>
      <c r="AB6743" t="s">
        <v>4673</v>
      </c>
      <c r="AC6743" t="s">
        <v>4562</v>
      </c>
      <c r="AD6743" t="s">
        <v>3093</v>
      </c>
      <c r="AE6743" t="s">
        <v>4655</v>
      </c>
      <c r="AF6743" t="s">
        <v>4563</v>
      </c>
      <c r="AG6743" t="s">
        <v>4564</v>
      </c>
      <c r="AH6743">
        <v>89512</v>
      </c>
      <c r="AI6743" t="s">
        <v>4503</v>
      </c>
      <c r="AJ6743" t="s">
        <v>103</v>
      </c>
      <c r="AK6743" t="s">
        <v>32274</v>
      </c>
      <c r="AL6743" s="13" t="s">
        <v>1898</v>
      </c>
      <c r="AM6743">
        <v>1</v>
      </c>
      <c r="AN6743" s="15" t="s">
        <v>1598</v>
      </c>
    </row>
    <row r="6744" spans="1:40" x14ac:dyDescent="0.3">
      <c r="A6744" s="10" t="str">
        <f>HYPERLINK("http://www.washoecounty.gov/assessor/cama/?parid=508-261-07&amp;CardNumber=1","508-261-07")</f>
        <v>508-261-07</v>
      </c>
      <c r="B6744" t="s">
        <v>4655</v>
      </c>
      <c r="C6744" t="s">
        <v>32275</v>
      </c>
      <c r="D6744" s="1">
        <v>40366</v>
      </c>
      <c r="E6744" s="2">
        <v>135750</v>
      </c>
      <c r="F6744" t="s">
        <v>4553</v>
      </c>
      <c r="G6744" s="17" t="str">
        <f>HYPERLINK("https://www.washoecounty.gov/assessor/cama/?command=sales&amp;parid=50826107","3899125")</f>
        <v>3899125</v>
      </c>
      <c r="H6744" t="s">
        <v>3503</v>
      </c>
      <c r="I6744">
        <v>1995</v>
      </c>
      <c r="J6744">
        <v>1995</v>
      </c>
      <c r="K6744" t="s">
        <v>4554</v>
      </c>
      <c r="L6744" t="s">
        <v>4555</v>
      </c>
      <c r="M6744" s="2">
        <v>1568</v>
      </c>
      <c r="N6744" t="s">
        <v>4556</v>
      </c>
      <c r="O6744">
        <v>4</v>
      </c>
      <c r="P6744">
        <v>2</v>
      </c>
      <c r="Q6744">
        <v>0</v>
      </c>
      <c r="R6744" t="s">
        <v>4557</v>
      </c>
      <c r="S6744" t="s">
        <v>4558</v>
      </c>
      <c r="T6744" t="s">
        <v>4559</v>
      </c>
      <c r="U6744" t="s">
        <v>4560</v>
      </c>
      <c r="V6744" s="2">
        <v>480</v>
      </c>
      <c r="W6744" t="s">
        <v>4655</v>
      </c>
      <c r="X6744" s="2">
        <v>0</v>
      </c>
      <c r="Y6744">
        <v>20</v>
      </c>
      <c r="Z6744" t="s">
        <v>5508</v>
      </c>
      <c r="AA6744" s="3">
        <v>0.18999081850051899</v>
      </c>
      <c r="AB6744" t="s">
        <v>32276</v>
      </c>
      <c r="AC6744" t="s">
        <v>4575</v>
      </c>
      <c r="AD6744" t="s">
        <v>32277</v>
      </c>
      <c r="AE6744" t="s">
        <v>4655</v>
      </c>
      <c r="AF6744" t="s">
        <v>1570</v>
      </c>
      <c r="AG6744" t="s">
        <v>4564</v>
      </c>
      <c r="AH6744" t="s">
        <v>1601</v>
      </c>
      <c r="AI6744" t="s">
        <v>4202</v>
      </c>
      <c r="AJ6744" t="s">
        <v>3504</v>
      </c>
      <c r="AK6744" t="s">
        <v>32278</v>
      </c>
      <c r="AL6744" s="13" t="s">
        <v>1898</v>
      </c>
      <c r="AM6744">
        <v>1</v>
      </c>
      <c r="AN6744" s="15" t="s">
        <v>1598</v>
      </c>
    </row>
    <row r="6745" spans="1:40" x14ac:dyDescent="0.3">
      <c r="A6745" s="10" t="str">
        <f>HYPERLINK("http://www.washoecounty.gov/assessor/cama/?parid=508-262-04&amp;CardNumber=1","508-262-04")</f>
        <v>508-262-04</v>
      </c>
      <c r="B6745" t="s">
        <v>4655</v>
      </c>
      <c r="C6745" t="s">
        <v>32279</v>
      </c>
      <c r="D6745" s="1">
        <v>40345</v>
      </c>
      <c r="E6745" s="2">
        <v>116000</v>
      </c>
      <c r="F6745" t="s">
        <v>4567</v>
      </c>
      <c r="G6745" s="17" t="str">
        <f>HYPERLINK("https://www.washoecounty.gov/assessor/cama/?command=sales&amp;parid=50826204","3892422")</f>
        <v>3892422</v>
      </c>
      <c r="H6745" t="s">
        <v>3503</v>
      </c>
      <c r="I6745">
        <v>1995</v>
      </c>
      <c r="J6745">
        <v>1995</v>
      </c>
      <c r="K6745" t="s">
        <v>4554</v>
      </c>
      <c r="L6745" t="s">
        <v>4555</v>
      </c>
      <c r="M6745" s="2">
        <v>1265</v>
      </c>
      <c r="N6745" t="s">
        <v>4556</v>
      </c>
      <c r="O6745">
        <v>3</v>
      </c>
      <c r="P6745">
        <v>2</v>
      </c>
      <c r="Q6745">
        <v>0</v>
      </c>
      <c r="R6745" t="s">
        <v>4557</v>
      </c>
      <c r="S6745" t="s">
        <v>4558</v>
      </c>
      <c r="T6745" t="s">
        <v>4559</v>
      </c>
      <c r="U6745" t="s">
        <v>4560</v>
      </c>
      <c r="V6745" s="2">
        <v>415</v>
      </c>
      <c r="W6745" t="s">
        <v>4655</v>
      </c>
      <c r="X6745" s="2">
        <v>0</v>
      </c>
      <c r="Y6745">
        <v>20</v>
      </c>
      <c r="Z6745" t="s">
        <v>5508</v>
      </c>
      <c r="AA6745" s="3">
        <v>0.19400826096534701</v>
      </c>
      <c r="AB6745" t="s">
        <v>32280</v>
      </c>
      <c r="AC6745" t="s">
        <v>4562</v>
      </c>
      <c r="AD6745" t="s">
        <v>32279</v>
      </c>
      <c r="AE6745" t="s">
        <v>4655</v>
      </c>
      <c r="AF6745" t="s">
        <v>1600</v>
      </c>
      <c r="AG6745" t="s">
        <v>4564</v>
      </c>
      <c r="AH6745" t="s">
        <v>1601</v>
      </c>
      <c r="AI6745" t="s">
        <v>4655</v>
      </c>
      <c r="AJ6745" t="s">
        <v>3504</v>
      </c>
      <c r="AK6745" t="s">
        <v>32281</v>
      </c>
      <c r="AL6745" s="13" t="s">
        <v>1898</v>
      </c>
      <c r="AM6745">
        <v>1</v>
      </c>
      <c r="AN6745" s="15" t="s">
        <v>1598</v>
      </c>
    </row>
    <row r="6746" spans="1:40" x14ac:dyDescent="0.3">
      <c r="A6746" s="10" t="str">
        <f>HYPERLINK("http://www.washoecounty.gov/assessor/cama/?parid=508-271-07&amp;CardNumber=1","508-271-07")</f>
        <v>508-271-07</v>
      </c>
      <c r="B6746" t="s">
        <v>4655</v>
      </c>
      <c r="C6746" t="s">
        <v>32282</v>
      </c>
      <c r="D6746" s="1">
        <v>40260</v>
      </c>
      <c r="E6746" s="2">
        <v>145000</v>
      </c>
      <c r="F6746" t="s">
        <v>4567</v>
      </c>
      <c r="G6746" s="17" t="str">
        <f>HYPERLINK("https://www.washoecounty.gov/assessor/cama/?command=sales&amp;parid=50827107","3862814")</f>
        <v>3862814</v>
      </c>
      <c r="H6746" t="s">
        <v>650</v>
      </c>
      <c r="I6746">
        <v>1995</v>
      </c>
      <c r="J6746">
        <v>1995</v>
      </c>
      <c r="K6746" t="s">
        <v>4554</v>
      </c>
      <c r="L6746" t="s">
        <v>3974</v>
      </c>
      <c r="M6746" s="2">
        <v>1979</v>
      </c>
      <c r="N6746" t="s">
        <v>4556</v>
      </c>
      <c r="O6746">
        <v>4</v>
      </c>
      <c r="P6746">
        <v>2</v>
      </c>
      <c r="Q6746">
        <v>1</v>
      </c>
      <c r="R6746" t="s">
        <v>5281</v>
      </c>
      <c r="S6746" t="s">
        <v>4558</v>
      </c>
      <c r="T6746" t="s">
        <v>4559</v>
      </c>
      <c r="U6746" t="s">
        <v>5631</v>
      </c>
      <c r="V6746" s="2">
        <v>415</v>
      </c>
      <c r="W6746" t="s">
        <v>4655</v>
      </c>
      <c r="X6746" s="2">
        <v>0</v>
      </c>
      <c r="Y6746">
        <v>20</v>
      </c>
      <c r="Z6746" t="s">
        <v>5508</v>
      </c>
      <c r="AA6746" s="3">
        <v>0.22601009905338301</v>
      </c>
      <c r="AB6746" t="s">
        <v>32283</v>
      </c>
      <c r="AC6746" t="s">
        <v>4575</v>
      </c>
      <c r="AD6746" t="s">
        <v>32282</v>
      </c>
      <c r="AE6746" t="s">
        <v>4655</v>
      </c>
      <c r="AF6746" t="s">
        <v>1570</v>
      </c>
      <c r="AG6746" t="s">
        <v>4564</v>
      </c>
      <c r="AH6746" t="s">
        <v>1601</v>
      </c>
      <c r="AI6746" t="s">
        <v>32284</v>
      </c>
      <c r="AJ6746" t="s">
        <v>651</v>
      </c>
      <c r="AK6746" t="s">
        <v>32285</v>
      </c>
      <c r="AL6746" s="13" t="s">
        <v>1898</v>
      </c>
      <c r="AM6746">
        <v>1</v>
      </c>
      <c r="AN6746" s="15" t="s">
        <v>1598</v>
      </c>
    </row>
    <row r="6747" spans="1:40" x14ac:dyDescent="0.3">
      <c r="A6747" s="10" t="str">
        <f>HYPERLINK("http://www.washoecounty.gov/assessor/cama/?parid=508-271-34&amp;CardNumber=1","508-271-34")</f>
        <v>508-271-34</v>
      </c>
      <c r="B6747" t="s">
        <v>4655</v>
      </c>
      <c r="C6747" t="s">
        <v>32286</v>
      </c>
      <c r="D6747" s="1">
        <v>40535</v>
      </c>
      <c r="E6747" s="2">
        <v>128000</v>
      </c>
      <c r="F6747" t="s">
        <v>4567</v>
      </c>
      <c r="G6747" s="17" t="str">
        <f>HYPERLINK("https://www.washoecounty.gov/assessor/cama/?command=sales&amp;parid=50827134","3956986")</f>
        <v>3956986</v>
      </c>
      <c r="H6747" t="s">
        <v>650</v>
      </c>
      <c r="I6747">
        <v>1996</v>
      </c>
      <c r="J6747">
        <v>1996</v>
      </c>
      <c r="K6747" t="s">
        <v>4554</v>
      </c>
      <c r="L6747" t="s">
        <v>3974</v>
      </c>
      <c r="M6747" s="2">
        <v>1979</v>
      </c>
      <c r="N6747" t="s">
        <v>4556</v>
      </c>
      <c r="O6747">
        <v>4</v>
      </c>
      <c r="P6747">
        <v>2</v>
      </c>
      <c r="Q6747">
        <v>1</v>
      </c>
      <c r="R6747" t="s">
        <v>5281</v>
      </c>
      <c r="S6747" t="s">
        <v>4558</v>
      </c>
      <c r="T6747" t="s">
        <v>4559</v>
      </c>
      <c r="U6747" t="s">
        <v>5631</v>
      </c>
      <c r="V6747" s="2">
        <v>415</v>
      </c>
      <c r="W6747" t="s">
        <v>4655</v>
      </c>
      <c r="X6747" s="2">
        <v>0</v>
      </c>
      <c r="Y6747">
        <v>20</v>
      </c>
      <c r="Z6747" t="s">
        <v>5508</v>
      </c>
      <c r="AA6747" s="3">
        <v>0.23298898339271545</v>
      </c>
      <c r="AB6747" t="s">
        <v>32287</v>
      </c>
      <c r="AC6747" t="s">
        <v>4562</v>
      </c>
      <c r="AD6747" t="s">
        <v>32288</v>
      </c>
      <c r="AE6747" t="s">
        <v>4655</v>
      </c>
      <c r="AF6747" t="s">
        <v>5201</v>
      </c>
      <c r="AG6747" t="s">
        <v>4564</v>
      </c>
      <c r="AH6747" t="s">
        <v>1605</v>
      </c>
      <c r="AI6747" t="s">
        <v>32289</v>
      </c>
      <c r="AJ6747" t="s">
        <v>651</v>
      </c>
      <c r="AK6747" t="s">
        <v>32290</v>
      </c>
      <c r="AL6747" s="13" t="s">
        <v>1898</v>
      </c>
      <c r="AM6747" s="14">
        <v>1</v>
      </c>
      <c r="AN6747" s="15" t="s">
        <v>1598</v>
      </c>
    </row>
    <row r="6748" spans="1:40" x14ac:dyDescent="0.3">
      <c r="A6748" s="10" t="str">
        <f>HYPERLINK("http://www.washoecounty.gov/assessor/cama/?parid=508-301-02&amp;CardNumber=1","508-301-02")</f>
        <v>508-301-02</v>
      </c>
      <c r="B6748" t="s">
        <v>4655</v>
      </c>
      <c r="C6748" t="s">
        <v>32291</v>
      </c>
      <c r="D6748" s="1">
        <v>40359</v>
      </c>
      <c r="E6748" s="2">
        <v>109000</v>
      </c>
      <c r="F6748" t="s">
        <v>4553</v>
      </c>
      <c r="G6748" s="17" t="str">
        <f>HYPERLINK("https://www.washoecounty.gov/assessor/cama/?command=sales&amp;parid=50830102","3896996")</f>
        <v>3896996</v>
      </c>
      <c r="H6748" t="s">
        <v>3812</v>
      </c>
      <c r="I6748">
        <v>1996</v>
      </c>
      <c r="J6748">
        <v>1996</v>
      </c>
      <c r="K6748" t="s">
        <v>4554</v>
      </c>
      <c r="L6748" t="s">
        <v>4555</v>
      </c>
      <c r="M6748" s="2">
        <v>1185</v>
      </c>
      <c r="N6748" t="s">
        <v>4556</v>
      </c>
      <c r="O6748">
        <v>3</v>
      </c>
      <c r="P6748">
        <v>2</v>
      </c>
      <c r="Q6748">
        <v>0</v>
      </c>
      <c r="R6748" t="s">
        <v>4557</v>
      </c>
      <c r="S6748" t="s">
        <v>4558</v>
      </c>
      <c r="T6748" t="s">
        <v>4559</v>
      </c>
      <c r="U6748" t="s">
        <v>4560</v>
      </c>
      <c r="V6748" s="2">
        <v>415</v>
      </c>
      <c r="W6748" t="s">
        <v>4655</v>
      </c>
      <c r="X6748" s="2">
        <v>0</v>
      </c>
      <c r="Y6748">
        <v>20</v>
      </c>
      <c r="Z6748" t="s">
        <v>5508</v>
      </c>
      <c r="AA6748" s="3">
        <v>0.173002749681473</v>
      </c>
      <c r="AB6748" t="s">
        <v>4673</v>
      </c>
      <c r="AC6748" t="s">
        <v>4562</v>
      </c>
      <c r="AD6748" t="s">
        <v>3093</v>
      </c>
      <c r="AE6748" t="s">
        <v>4655</v>
      </c>
      <c r="AF6748" t="s">
        <v>4563</v>
      </c>
      <c r="AG6748" t="s">
        <v>4564</v>
      </c>
      <c r="AH6748">
        <v>89512</v>
      </c>
      <c r="AI6748" t="s">
        <v>4045</v>
      </c>
      <c r="AJ6748" t="s">
        <v>3813</v>
      </c>
      <c r="AK6748" t="s">
        <v>32292</v>
      </c>
      <c r="AL6748" s="13" t="s">
        <v>1898</v>
      </c>
      <c r="AM6748" s="14">
        <v>1</v>
      </c>
      <c r="AN6748" s="15" t="s">
        <v>1598</v>
      </c>
    </row>
    <row r="6749" spans="1:40" x14ac:dyDescent="0.3">
      <c r="A6749" s="10" t="str">
        <f>HYPERLINK("http://www.washoecounty.gov/assessor/cama/?parid=508-301-06&amp;CardNumber=1","508-301-06")</f>
        <v>508-301-06</v>
      </c>
      <c r="B6749" t="s">
        <v>4655</v>
      </c>
      <c r="C6749" t="s">
        <v>32293</v>
      </c>
      <c r="D6749" s="1">
        <v>40380</v>
      </c>
      <c r="E6749" s="2">
        <v>138000</v>
      </c>
      <c r="F6749" t="s">
        <v>4553</v>
      </c>
      <c r="G6749" s="17" t="str">
        <f>HYPERLINK("https://www.washoecounty.gov/assessor/cama/?command=sales&amp;parid=50830106","3903547")</f>
        <v>3903547</v>
      </c>
      <c r="H6749" t="s">
        <v>3812</v>
      </c>
      <c r="I6749">
        <v>1996</v>
      </c>
      <c r="J6749">
        <v>1996</v>
      </c>
      <c r="K6749" t="s">
        <v>4554</v>
      </c>
      <c r="L6749" t="s">
        <v>4555</v>
      </c>
      <c r="M6749" s="2">
        <v>1696</v>
      </c>
      <c r="N6749" t="s">
        <v>4556</v>
      </c>
      <c r="O6749">
        <v>3</v>
      </c>
      <c r="P6749">
        <v>2</v>
      </c>
      <c r="Q6749">
        <v>0</v>
      </c>
      <c r="R6749" t="s">
        <v>5281</v>
      </c>
      <c r="S6749" t="s">
        <v>4558</v>
      </c>
      <c r="T6749" t="s">
        <v>4559</v>
      </c>
      <c r="U6749" t="s">
        <v>4560</v>
      </c>
      <c r="V6749" s="2">
        <v>576</v>
      </c>
      <c r="W6749" t="s">
        <v>4655</v>
      </c>
      <c r="X6749" s="2">
        <v>0</v>
      </c>
      <c r="Y6749">
        <v>20</v>
      </c>
      <c r="Z6749" t="s">
        <v>5508</v>
      </c>
      <c r="AA6749" s="3">
        <v>0.19100092351436601</v>
      </c>
      <c r="AB6749" t="s">
        <v>32294</v>
      </c>
      <c r="AC6749" t="s">
        <v>4562</v>
      </c>
      <c r="AD6749" t="s">
        <v>32295</v>
      </c>
      <c r="AE6749" t="s">
        <v>4655</v>
      </c>
      <c r="AF6749" t="s">
        <v>1600</v>
      </c>
      <c r="AG6749" t="s">
        <v>4564</v>
      </c>
      <c r="AH6749" t="s">
        <v>1601</v>
      </c>
      <c r="AI6749" t="s">
        <v>4045</v>
      </c>
      <c r="AJ6749" t="s">
        <v>3813</v>
      </c>
      <c r="AK6749" t="s">
        <v>32296</v>
      </c>
      <c r="AL6749" s="13" t="s">
        <v>1898</v>
      </c>
      <c r="AM6749">
        <v>1</v>
      </c>
      <c r="AN6749" s="15" t="s">
        <v>1598</v>
      </c>
    </row>
    <row r="6750" spans="1:40" x14ac:dyDescent="0.3">
      <c r="A6750" s="10" t="str">
        <f>HYPERLINK("http://www.washoecounty.gov/assessor/cama/?parid=508-301-07&amp;CardNumber=1","508-301-07")</f>
        <v>508-301-07</v>
      </c>
      <c r="B6750" t="s">
        <v>4655</v>
      </c>
      <c r="C6750" t="s">
        <v>32297</v>
      </c>
      <c r="D6750" s="1">
        <v>40218</v>
      </c>
      <c r="E6750" s="2">
        <v>112000</v>
      </c>
      <c r="F6750" t="s">
        <v>4567</v>
      </c>
      <c r="G6750" s="17" t="str">
        <f>HYPERLINK("https://www.washoecounty.gov/assessor/cama/?command=sales&amp;parid=50830107","3847428")</f>
        <v>3847428</v>
      </c>
      <c r="H6750" t="s">
        <v>3812</v>
      </c>
      <c r="I6750">
        <v>1996</v>
      </c>
      <c r="J6750">
        <v>1996</v>
      </c>
      <c r="K6750" t="s">
        <v>4554</v>
      </c>
      <c r="L6750" t="s">
        <v>4555</v>
      </c>
      <c r="M6750" s="2">
        <v>1185</v>
      </c>
      <c r="N6750" t="s">
        <v>4556</v>
      </c>
      <c r="O6750">
        <v>3</v>
      </c>
      <c r="P6750">
        <v>2</v>
      </c>
      <c r="Q6750">
        <v>0</v>
      </c>
      <c r="R6750" t="s">
        <v>5281</v>
      </c>
      <c r="S6750" t="s">
        <v>4558</v>
      </c>
      <c r="T6750" t="s">
        <v>4559</v>
      </c>
      <c r="U6750" t="s">
        <v>4560</v>
      </c>
      <c r="V6750" s="2">
        <v>415</v>
      </c>
      <c r="W6750" t="s">
        <v>4655</v>
      </c>
      <c r="X6750" s="2">
        <v>0</v>
      </c>
      <c r="Y6750">
        <v>20</v>
      </c>
      <c r="Z6750" t="s">
        <v>5508</v>
      </c>
      <c r="AA6750" s="3">
        <v>0.17199265956878662</v>
      </c>
      <c r="AB6750" t="s">
        <v>32298</v>
      </c>
      <c r="AC6750" t="s">
        <v>4562</v>
      </c>
      <c r="AD6750" t="s">
        <v>32297</v>
      </c>
      <c r="AE6750" t="s">
        <v>4655</v>
      </c>
      <c r="AF6750" t="s">
        <v>1600</v>
      </c>
      <c r="AG6750" t="s">
        <v>4564</v>
      </c>
      <c r="AH6750" t="s">
        <v>1601</v>
      </c>
      <c r="AI6750" t="s">
        <v>4655</v>
      </c>
      <c r="AJ6750" t="s">
        <v>3813</v>
      </c>
      <c r="AK6750" t="s">
        <v>32299</v>
      </c>
      <c r="AL6750" s="13" t="s">
        <v>1898</v>
      </c>
      <c r="AM6750">
        <v>1</v>
      </c>
      <c r="AN6750" s="15" t="s">
        <v>1598</v>
      </c>
    </row>
    <row r="6751" spans="1:40" x14ac:dyDescent="0.3">
      <c r="A6751" s="10" t="str">
        <f>HYPERLINK("http://www.washoecounty.gov/assessor/cama/?parid=508-301-16&amp;CardNumber=1","508-301-16")</f>
        <v>508-301-16</v>
      </c>
      <c r="B6751" t="s">
        <v>4655</v>
      </c>
      <c r="C6751" t="s">
        <v>32300</v>
      </c>
      <c r="D6751" s="1">
        <v>40280</v>
      </c>
      <c r="E6751" s="2">
        <v>147000</v>
      </c>
      <c r="F6751" t="s">
        <v>4553</v>
      </c>
      <c r="G6751" s="17" t="str">
        <f>HYPERLINK("https://www.washoecounty.gov/assessor/cama/?command=sales&amp;parid=50830116","3870094")</f>
        <v>3870094</v>
      </c>
      <c r="H6751" t="s">
        <v>32301</v>
      </c>
      <c r="I6751">
        <v>1996</v>
      </c>
      <c r="J6751">
        <v>1996</v>
      </c>
      <c r="K6751" t="s">
        <v>4554</v>
      </c>
      <c r="L6751" t="s">
        <v>4555</v>
      </c>
      <c r="M6751" s="2">
        <v>1696</v>
      </c>
      <c r="N6751" t="s">
        <v>4556</v>
      </c>
      <c r="O6751">
        <v>3</v>
      </c>
      <c r="P6751">
        <v>2</v>
      </c>
      <c r="Q6751">
        <v>0</v>
      </c>
      <c r="R6751" t="s">
        <v>5281</v>
      </c>
      <c r="S6751" t="s">
        <v>4558</v>
      </c>
      <c r="T6751" t="s">
        <v>4559</v>
      </c>
      <c r="U6751" t="s">
        <v>4560</v>
      </c>
      <c r="V6751" s="2">
        <v>576</v>
      </c>
      <c r="W6751" t="s">
        <v>4655</v>
      </c>
      <c r="X6751" s="2">
        <v>0</v>
      </c>
      <c r="Y6751">
        <v>20</v>
      </c>
      <c r="Z6751" t="s">
        <v>5508</v>
      </c>
      <c r="AA6751" s="3">
        <v>0.16099633276462599</v>
      </c>
      <c r="AB6751" t="s">
        <v>32302</v>
      </c>
      <c r="AC6751" t="s">
        <v>4562</v>
      </c>
      <c r="AD6751" t="s">
        <v>32300</v>
      </c>
      <c r="AE6751" t="s">
        <v>4655</v>
      </c>
      <c r="AF6751" t="s">
        <v>1570</v>
      </c>
      <c r="AG6751" t="s">
        <v>4564</v>
      </c>
      <c r="AH6751" t="s">
        <v>1601</v>
      </c>
      <c r="AI6751" t="s">
        <v>4202</v>
      </c>
      <c r="AJ6751" t="s">
        <v>3813</v>
      </c>
      <c r="AK6751" t="s">
        <v>32303</v>
      </c>
      <c r="AL6751" s="13" t="s">
        <v>1898</v>
      </c>
      <c r="AM6751" s="14">
        <v>1</v>
      </c>
      <c r="AN6751" s="15" t="s">
        <v>1598</v>
      </c>
    </row>
    <row r="6752" spans="1:40" x14ac:dyDescent="0.3">
      <c r="A6752" s="10" t="str">
        <f>HYPERLINK("http://www.washoecounty.gov/assessor/cama/?parid=508-301-35&amp;CardNumber=1","508-301-35")</f>
        <v>508-301-35</v>
      </c>
      <c r="B6752" t="s">
        <v>4655</v>
      </c>
      <c r="C6752" t="s">
        <v>32304</v>
      </c>
      <c r="D6752" s="1">
        <v>40325</v>
      </c>
      <c r="E6752" s="2">
        <v>145000</v>
      </c>
      <c r="F6752" t="s">
        <v>4567</v>
      </c>
      <c r="G6752" s="17" t="str">
        <f>HYPERLINK("https://www.washoecounty.gov/assessor/cama/?command=sales&amp;parid=50830135","3886186")</f>
        <v>3886186</v>
      </c>
      <c r="H6752" t="s">
        <v>3812</v>
      </c>
      <c r="I6752">
        <v>1996</v>
      </c>
      <c r="J6752">
        <v>1996</v>
      </c>
      <c r="K6752" t="s">
        <v>4554</v>
      </c>
      <c r="L6752" t="s">
        <v>3974</v>
      </c>
      <c r="M6752" s="2">
        <v>1755</v>
      </c>
      <c r="N6752" t="s">
        <v>4556</v>
      </c>
      <c r="O6752">
        <v>3</v>
      </c>
      <c r="P6752">
        <v>2</v>
      </c>
      <c r="Q6752">
        <v>1</v>
      </c>
      <c r="R6752" t="s">
        <v>5281</v>
      </c>
      <c r="S6752" t="s">
        <v>4558</v>
      </c>
      <c r="T6752" t="s">
        <v>4559</v>
      </c>
      <c r="U6752" t="s">
        <v>5631</v>
      </c>
      <c r="V6752" s="2">
        <v>415</v>
      </c>
      <c r="W6752" t="s">
        <v>4655</v>
      </c>
      <c r="X6752" s="2">
        <v>0</v>
      </c>
      <c r="Y6752">
        <v>20</v>
      </c>
      <c r="Z6752" t="s">
        <v>5508</v>
      </c>
      <c r="AA6752" s="3">
        <v>0.18099173903465299</v>
      </c>
      <c r="AB6752" t="s">
        <v>32305</v>
      </c>
      <c r="AC6752" t="s">
        <v>4575</v>
      </c>
      <c r="AD6752" t="s">
        <v>32304</v>
      </c>
      <c r="AE6752" t="s">
        <v>4655</v>
      </c>
      <c r="AF6752" t="s">
        <v>1600</v>
      </c>
      <c r="AG6752" t="s">
        <v>4564</v>
      </c>
      <c r="AH6752" t="s">
        <v>1601</v>
      </c>
      <c r="AI6752" t="s">
        <v>32306</v>
      </c>
      <c r="AJ6752" t="s">
        <v>3813</v>
      </c>
      <c r="AK6752" t="s">
        <v>32307</v>
      </c>
      <c r="AL6752" s="13" t="s">
        <v>1898</v>
      </c>
      <c r="AM6752">
        <v>1</v>
      </c>
      <c r="AN6752" s="15" t="s">
        <v>1598</v>
      </c>
    </row>
    <row r="6753" spans="1:40" x14ac:dyDescent="0.3">
      <c r="A6753" s="10" t="str">
        <f>HYPERLINK("http://www.washoecounty.gov/assessor/cama/?parid=508-311-01&amp;CardNumber=1","508-311-01")</f>
        <v>508-311-01</v>
      </c>
      <c r="B6753" t="s">
        <v>4655</v>
      </c>
      <c r="C6753" t="s">
        <v>32308</v>
      </c>
      <c r="D6753" s="1">
        <v>40526</v>
      </c>
      <c r="E6753" s="2">
        <v>130000</v>
      </c>
      <c r="F6753" t="s">
        <v>4567</v>
      </c>
      <c r="G6753" s="17" t="str">
        <f>HYPERLINK("https://www.washoecounty.gov/assessor/cama/?command=sales&amp;parid=50831101","3953105")</f>
        <v>3953105</v>
      </c>
      <c r="H6753" t="s">
        <v>3812</v>
      </c>
      <c r="I6753">
        <v>1995</v>
      </c>
      <c r="J6753">
        <v>1995</v>
      </c>
      <c r="K6753" t="s">
        <v>4554</v>
      </c>
      <c r="L6753" t="s">
        <v>4555</v>
      </c>
      <c r="M6753" s="2">
        <v>1696</v>
      </c>
      <c r="N6753" t="s">
        <v>4556</v>
      </c>
      <c r="O6753">
        <v>3</v>
      </c>
      <c r="P6753">
        <v>2</v>
      </c>
      <c r="Q6753">
        <v>0</v>
      </c>
      <c r="R6753" t="s">
        <v>4557</v>
      </c>
      <c r="S6753" t="s">
        <v>4558</v>
      </c>
      <c r="T6753" t="s">
        <v>4559</v>
      </c>
      <c r="U6753" t="s">
        <v>4560</v>
      </c>
      <c r="V6753" s="2">
        <v>576</v>
      </c>
      <c r="W6753" t="s">
        <v>4655</v>
      </c>
      <c r="X6753" s="2">
        <v>0</v>
      </c>
      <c r="Y6753">
        <v>20</v>
      </c>
      <c r="Z6753" t="s">
        <v>5508</v>
      </c>
      <c r="AA6753" s="3">
        <v>0.19499540328979501</v>
      </c>
      <c r="AB6753" t="s">
        <v>4673</v>
      </c>
      <c r="AC6753" t="s">
        <v>4562</v>
      </c>
      <c r="AD6753" t="s">
        <v>3093</v>
      </c>
      <c r="AE6753" t="s">
        <v>4655</v>
      </c>
      <c r="AF6753" t="s">
        <v>4563</v>
      </c>
      <c r="AG6753" t="s">
        <v>4564</v>
      </c>
      <c r="AH6753">
        <v>89512</v>
      </c>
      <c r="AI6753" t="s">
        <v>32309</v>
      </c>
      <c r="AJ6753" t="s">
        <v>3813</v>
      </c>
      <c r="AK6753" t="s">
        <v>32310</v>
      </c>
      <c r="AL6753" s="13" t="s">
        <v>1898</v>
      </c>
      <c r="AM6753">
        <v>1</v>
      </c>
      <c r="AN6753" s="15" t="s">
        <v>1598</v>
      </c>
    </row>
    <row r="6754" spans="1:40" x14ac:dyDescent="0.3">
      <c r="A6754" s="10" t="str">
        <f>HYPERLINK("http://www.washoecounty.gov/assessor/cama/?parid=508-311-11&amp;CardNumber=1","508-311-11")</f>
        <v>508-311-11</v>
      </c>
      <c r="B6754" t="s">
        <v>4655</v>
      </c>
      <c r="C6754" t="s">
        <v>5244</v>
      </c>
      <c r="D6754" s="1">
        <v>40436</v>
      </c>
      <c r="E6754" s="2">
        <v>135000</v>
      </c>
      <c r="F6754" t="s">
        <v>4553</v>
      </c>
      <c r="G6754" s="17" t="str">
        <f>HYPERLINK("https://www.washoecounty.gov/assessor/cama/?command=sales&amp;parid=50831111","3922705")</f>
        <v>3922705</v>
      </c>
      <c r="H6754" t="s">
        <v>3812</v>
      </c>
      <c r="I6754">
        <v>1995</v>
      </c>
      <c r="J6754">
        <v>1995</v>
      </c>
      <c r="K6754" t="s">
        <v>4554</v>
      </c>
      <c r="L6754" t="s">
        <v>4555</v>
      </c>
      <c r="M6754" s="2">
        <v>1568</v>
      </c>
      <c r="N6754" t="s">
        <v>4556</v>
      </c>
      <c r="O6754">
        <v>4</v>
      </c>
      <c r="P6754">
        <v>2</v>
      </c>
      <c r="Q6754">
        <v>0</v>
      </c>
      <c r="R6754" t="s">
        <v>5281</v>
      </c>
      <c r="S6754" t="s">
        <v>4558</v>
      </c>
      <c r="T6754" t="s">
        <v>4559</v>
      </c>
      <c r="U6754" t="s">
        <v>4560</v>
      </c>
      <c r="V6754" s="2">
        <v>480</v>
      </c>
      <c r="W6754" t="s">
        <v>4655</v>
      </c>
      <c r="X6754" s="2">
        <v>0</v>
      </c>
      <c r="Y6754">
        <v>20</v>
      </c>
      <c r="Z6754" t="s">
        <v>5508</v>
      </c>
      <c r="AA6754" s="3">
        <v>0.27500000596046398</v>
      </c>
      <c r="AB6754" t="s">
        <v>4673</v>
      </c>
      <c r="AC6754" t="s">
        <v>4562</v>
      </c>
      <c r="AD6754" t="s">
        <v>3093</v>
      </c>
      <c r="AE6754" t="s">
        <v>4655</v>
      </c>
      <c r="AF6754" t="s">
        <v>4563</v>
      </c>
      <c r="AG6754" t="s">
        <v>4564</v>
      </c>
      <c r="AH6754">
        <v>89512</v>
      </c>
      <c r="AI6754" t="s">
        <v>1602</v>
      </c>
      <c r="AJ6754" t="s">
        <v>3813</v>
      </c>
      <c r="AK6754" t="s">
        <v>5245</v>
      </c>
      <c r="AL6754" s="13" t="s">
        <v>1898</v>
      </c>
      <c r="AM6754" s="14">
        <v>1</v>
      </c>
      <c r="AN6754" s="15" t="s">
        <v>1598</v>
      </c>
    </row>
    <row r="6755" spans="1:40" x14ac:dyDescent="0.3">
      <c r="A6755" s="10" t="str">
        <f>HYPERLINK("http://www.washoecounty.gov/assessor/cama/?parid=508-311-25&amp;CardNumber=1","508-311-25")</f>
        <v>508-311-25</v>
      </c>
      <c r="B6755" t="s">
        <v>4655</v>
      </c>
      <c r="C6755" t="s">
        <v>32311</v>
      </c>
      <c r="D6755" s="1">
        <v>40247</v>
      </c>
      <c r="E6755" s="2">
        <v>110000</v>
      </c>
      <c r="F6755" t="s">
        <v>4553</v>
      </c>
      <c r="G6755" s="17" t="str">
        <f>HYPERLINK("https://www.washoecounty.gov/assessor/cama/?command=sales&amp;parid=50831125","3858438")</f>
        <v>3858438</v>
      </c>
      <c r="H6755" t="s">
        <v>3812</v>
      </c>
      <c r="I6755">
        <v>1995</v>
      </c>
      <c r="J6755">
        <v>1995</v>
      </c>
      <c r="K6755" t="s">
        <v>4554</v>
      </c>
      <c r="L6755" t="s">
        <v>4555</v>
      </c>
      <c r="M6755" s="2">
        <v>904</v>
      </c>
      <c r="N6755" t="s">
        <v>4556</v>
      </c>
      <c r="O6755">
        <v>3</v>
      </c>
      <c r="P6755">
        <v>2</v>
      </c>
      <c r="Q6755">
        <v>0</v>
      </c>
      <c r="R6755" t="s">
        <v>4557</v>
      </c>
      <c r="S6755" t="s">
        <v>4558</v>
      </c>
      <c r="T6755" t="s">
        <v>4559</v>
      </c>
      <c r="U6755" t="s">
        <v>4560</v>
      </c>
      <c r="V6755" s="2">
        <v>400</v>
      </c>
      <c r="W6755" t="s">
        <v>4655</v>
      </c>
      <c r="X6755" s="2">
        <v>0</v>
      </c>
      <c r="Y6755">
        <v>20</v>
      </c>
      <c r="Z6755" t="s">
        <v>5508</v>
      </c>
      <c r="AA6755" s="3">
        <v>0.18599632382392883</v>
      </c>
      <c r="AB6755" t="s">
        <v>32312</v>
      </c>
      <c r="AC6755" t="s">
        <v>4562</v>
      </c>
      <c r="AD6755" t="s">
        <v>32313</v>
      </c>
      <c r="AE6755" t="s">
        <v>4655</v>
      </c>
      <c r="AF6755" t="s">
        <v>1600</v>
      </c>
      <c r="AG6755" t="s">
        <v>4564</v>
      </c>
      <c r="AH6755" t="s">
        <v>1601</v>
      </c>
      <c r="AI6755" t="s">
        <v>32312</v>
      </c>
      <c r="AJ6755" t="s">
        <v>3813</v>
      </c>
      <c r="AK6755" t="s">
        <v>32314</v>
      </c>
      <c r="AL6755" s="13" t="s">
        <v>1898</v>
      </c>
      <c r="AM6755" s="14">
        <v>1</v>
      </c>
      <c r="AN6755" s="15" t="s">
        <v>1598</v>
      </c>
    </row>
    <row r="6756" spans="1:40" x14ac:dyDescent="0.3">
      <c r="A6756" s="10" t="str">
        <f>HYPERLINK("http://www.washoecounty.gov/assessor/cama/?parid=508-311-26&amp;CardNumber=1","508-311-26")</f>
        <v>508-311-26</v>
      </c>
      <c r="B6756" t="s">
        <v>4655</v>
      </c>
      <c r="C6756" t="s">
        <v>32315</v>
      </c>
      <c r="D6756" s="1">
        <v>40268</v>
      </c>
      <c r="E6756" s="2">
        <v>118000</v>
      </c>
      <c r="F6756" t="s">
        <v>4567</v>
      </c>
      <c r="G6756" s="17" t="str">
        <f>HYPERLINK("https://www.washoecounty.gov/assessor/cama/?command=sales&amp;parid=50831126","3866298")</f>
        <v>3866298</v>
      </c>
      <c r="H6756" t="s">
        <v>3812</v>
      </c>
      <c r="I6756">
        <v>1995</v>
      </c>
      <c r="J6756">
        <v>1995</v>
      </c>
      <c r="K6756" t="s">
        <v>4554</v>
      </c>
      <c r="L6756" t="s">
        <v>4555</v>
      </c>
      <c r="M6756" s="2">
        <v>1345</v>
      </c>
      <c r="N6756" t="s">
        <v>4556</v>
      </c>
      <c r="O6756">
        <v>3</v>
      </c>
      <c r="P6756">
        <v>2</v>
      </c>
      <c r="Q6756">
        <v>0</v>
      </c>
      <c r="R6756" t="s">
        <v>4557</v>
      </c>
      <c r="S6756" t="s">
        <v>4558</v>
      </c>
      <c r="T6756" t="s">
        <v>4559</v>
      </c>
      <c r="U6756" t="s">
        <v>4560</v>
      </c>
      <c r="V6756" s="2">
        <v>415</v>
      </c>
      <c r="W6756" t="s">
        <v>4655</v>
      </c>
      <c r="X6756" s="2">
        <v>0</v>
      </c>
      <c r="Y6756">
        <v>20</v>
      </c>
      <c r="Z6756" t="s">
        <v>5508</v>
      </c>
      <c r="AA6756" s="3">
        <v>0.31000918149948098</v>
      </c>
      <c r="AB6756" t="s">
        <v>32316</v>
      </c>
      <c r="AC6756" t="s">
        <v>4562</v>
      </c>
      <c r="AD6756" t="s">
        <v>32315</v>
      </c>
      <c r="AE6756" t="s">
        <v>4655</v>
      </c>
      <c r="AF6756" t="s">
        <v>1600</v>
      </c>
      <c r="AG6756" t="s">
        <v>4564</v>
      </c>
      <c r="AH6756" t="s">
        <v>1601</v>
      </c>
      <c r="AI6756" t="s">
        <v>32317</v>
      </c>
      <c r="AJ6756" t="s">
        <v>3813</v>
      </c>
      <c r="AK6756" t="s">
        <v>32318</v>
      </c>
      <c r="AL6756" s="13" t="s">
        <v>1898</v>
      </c>
      <c r="AM6756" s="14">
        <v>1</v>
      </c>
      <c r="AN6756" s="15" t="s">
        <v>1598</v>
      </c>
    </row>
    <row r="6757" spans="1:40" x14ac:dyDescent="0.3">
      <c r="A6757" s="10" t="str">
        <f>HYPERLINK("http://www.washoecounty.gov/assessor/cama/?parid=508-311-27&amp;CardNumber=1","508-311-27")</f>
        <v>508-311-27</v>
      </c>
      <c r="B6757" t="s">
        <v>4655</v>
      </c>
      <c r="C6757" t="s">
        <v>32319</v>
      </c>
      <c r="D6757" s="1">
        <v>40368</v>
      </c>
      <c r="E6757" s="2">
        <v>118500</v>
      </c>
      <c r="F6757" t="s">
        <v>4567</v>
      </c>
      <c r="G6757" s="17" t="str">
        <f>HYPERLINK("https://www.washoecounty.gov/assessor/cama/?command=sales&amp;parid=50831127","3899785")</f>
        <v>3899785</v>
      </c>
      <c r="H6757" t="s">
        <v>3812</v>
      </c>
      <c r="I6757">
        <v>1995</v>
      </c>
      <c r="J6757">
        <v>1995</v>
      </c>
      <c r="K6757" t="s">
        <v>4554</v>
      </c>
      <c r="L6757" t="s">
        <v>4555</v>
      </c>
      <c r="M6757" s="2">
        <v>1144</v>
      </c>
      <c r="N6757" t="s">
        <v>4556</v>
      </c>
      <c r="O6757">
        <v>3</v>
      </c>
      <c r="P6757">
        <v>2</v>
      </c>
      <c r="Q6757">
        <v>0</v>
      </c>
      <c r="R6757" t="s">
        <v>4557</v>
      </c>
      <c r="S6757" t="s">
        <v>4558</v>
      </c>
      <c r="T6757" t="s">
        <v>4559</v>
      </c>
      <c r="U6757" t="s">
        <v>4560</v>
      </c>
      <c r="V6757" s="2">
        <v>400</v>
      </c>
      <c r="W6757" t="s">
        <v>4655</v>
      </c>
      <c r="X6757" s="2">
        <v>0</v>
      </c>
      <c r="Y6757">
        <v>20</v>
      </c>
      <c r="Z6757" t="s">
        <v>5508</v>
      </c>
      <c r="AA6757" s="3">
        <v>0.176010102033615</v>
      </c>
      <c r="AB6757" t="s">
        <v>32320</v>
      </c>
      <c r="AC6757" t="s">
        <v>4562</v>
      </c>
      <c r="AD6757" t="s">
        <v>32321</v>
      </c>
      <c r="AE6757" t="s">
        <v>4655</v>
      </c>
      <c r="AF6757" t="s">
        <v>1600</v>
      </c>
      <c r="AG6757" t="s">
        <v>4564</v>
      </c>
      <c r="AH6757" t="s">
        <v>5202</v>
      </c>
      <c r="AI6757" t="s">
        <v>32322</v>
      </c>
      <c r="AJ6757" t="s">
        <v>3813</v>
      </c>
      <c r="AK6757" t="s">
        <v>32323</v>
      </c>
      <c r="AL6757" s="13" t="s">
        <v>1898</v>
      </c>
      <c r="AM6757" s="14">
        <v>1</v>
      </c>
      <c r="AN6757" s="15" t="s">
        <v>1598</v>
      </c>
    </row>
    <row r="6758" spans="1:40" x14ac:dyDescent="0.3">
      <c r="A6758" s="10" t="str">
        <f>HYPERLINK("http://www.washoecounty.gov/assessor/cama/?parid=508-321-01&amp;CardNumber=1","508-321-01")</f>
        <v>508-321-01</v>
      </c>
      <c r="B6758" t="s">
        <v>4655</v>
      </c>
      <c r="C6758" t="s">
        <v>32324</v>
      </c>
      <c r="D6758" s="1">
        <v>40476</v>
      </c>
      <c r="E6758" s="2">
        <v>140000</v>
      </c>
      <c r="F6758" t="s">
        <v>4553</v>
      </c>
      <c r="G6758" s="17" t="str">
        <f>HYPERLINK("https://www.washoecounty.gov/assessor/cama/?command=sales&amp;parid=50832101","3935956")</f>
        <v>3935956</v>
      </c>
      <c r="H6758" t="s">
        <v>3814</v>
      </c>
      <c r="I6758">
        <v>1998</v>
      </c>
      <c r="J6758">
        <v>1998</v>
      </c>
      <c r="K6758" t="s">
        <v>4554</v>
      </c>
      <c r="L6758" t="s">
        <v>4555</v>
      </c>
      <c r="M6758" s="2">
        <v>1696</v>
      </c>
      <c r="N6758" t="s">
        <v>4556</v>
      </c>
      <c r="O6758">
        <v>3</v>
      </c>
      <c r="P6758">
        <v>2</v>
      </c>
      <c r="Q6758">
        <v>0</v>
      </c>
      <c r="R6758" t="s">
        <v>5281</v>
      </c>
      <c r="S6758" t="s">
        <v>4558</v>
      </c>
      <c r="T6758" t="s">
        <v>4559</v>
      </c>
      <c r="U6758" t="s">
        <v>4560</v>
      </c>
      <c r="V6758" s="2">
        <v>576</v>
      </c>
      <c r="W6758" t="s">
        <v>4655</v>
      </c>
      <c r="X6758" s="2">
        <v>0</v>
      </c>
      <c r="Y6758">
        <v>20</v>
      </c>
      <c r="Z6758" t="s">
        <v>5508</v>
      </c>
      <c r="AA6758" s="3">
        <v>0.28000459074974099</v>
      </c>
      <c r="AB6758" t="s">
        <v>32325</v>
      </c>
      <c r="AC6758" t="s">
        <v>4575</v>
      </c>
      <c r="AD6758" t="s">
        <v>32326</v>
      </c>
      <c r="AE6758" t="s">
        <v>4655</v>
      </c>
      <c r="AF6758" t="s">
        <v>1600</v>
      </c>
      <c r="AG6758" t="s">
        <v>4564</v>
      </c>
      <c r="AH6758" t="s">
        <v>1601</v>
      </c>
      <c r="AI6758" t="s">
        <v>4655</v>
      </c>
      <c r="AJ6758" t="s">
        <v>3817</v>
      </c>
      <c r="AK6758" t="s">
        <v>32327</v>
      </c>
      <c r="AL6758" s="13" t="s">
        <v>1898</v>
      </c>
      <c r="AM6758">
        <v>1</v>
      </c>
      <c r="AN6758" s="15" t="s">
        <v>1598</v>
      </c>
    </row>
    <row r="6759" spans="1:40" x14ac:dyDescent="0.3">
      <c r="A6759" s="10" t="str">
        <f>HYPERLINK("http://www.washoecounty.gov/assessor/cama/?parid=508-321-08&amp;CardNumber=1","508-321-08")</f>
        <v>508-321-08</v>
      </c>
      <c r="B6759" t="s">
        <v>4655</v>
      </c>
      <c r="C6759" t="s">
        <v>32328</v>
      </c>
      <c r="D6759" s="1">
        <v>40520</v>
      </c>
      <c r="E6759" s="2">
        <v>105800</v>
      </c>
      <c r="F6759" t="s">
        <v>4553</v>
      </c>
      <c r="G6759" s="17" t="str">
        <f>HYPERLINK("https://www.washoecounty.gov/assessor/cama/?command=sales&amp;parid=50832108","3950941")</f>
        <v>3950941</v>
      </c>
      <c r="H6759" t="s">
        <v>3814</v>
      </c>
      <c r="I6759">
        <v>1998</v>
      </c>
      <c r="J6759">
        <v>1998</v>
      </c>
      <c r="K6759" t="s">
        <v>4554</v>
      </c>
      <c r="L6759" t="s">
        <v>4555</v>
      </c>
      <c r="M6759" s="2">
        <v>1105</v>
      </c>
      <c r="N6759" t="s">
        <v>4556</v>
      </c>
      <c r="O6759">
        <v>3</v>
      </c>
      <c r="P6759">
        <v>2</v>
      </c>
      <c r="Q6759">
        <v>0</v>
      </c>
      <c r="R6759" t="s">
        <v>5281</v>
      </c>
      <c r="S6759" t="s">
        <v>4558</v>
      </c>
      <c r="T6759" t="s">
        <v>4559</v>
      </c>
      <c r="U6759" t="s">
        <v>4560</v>
      </c>
      <c r="V6759" s="2">
        <v>415</v>
      </c>
      <c r="W6759" t="s">
        <v>4655</v>
      </c>
      <c r="X6759" s="2">
        <v>0</v>
      </c>
      <c r="Y6759">
        <v>20</v>
      </c>
      <c r="Z6759" t="s">
        <v>5508</v>
      </c>
      <c r="AA6759" s="3">
        <v>0.18999081850051899</v>
      </c>
      <c r="AB6759" t="s">
        <v>4673</v>
      </c>
      <c r="AC6759" t="s">
        <v>4562</v>
      </c>
      <c r="AD6759" t="s">
        <v>3093</v>
      </c>
      <c r="AE6759" t="s">
        <v>4655</v>
      </c>
      <c r="AF6759" t="s">
        <v>4563</v>
      </c>
      <c r="AG6759" t="s">
        <v>4564</v>
      </c>
      <c r="AH6759">
        <v>89512</v>
      </c>
      <c r="AI6759" t="s">
        <v>4848</v>
      </c>
      <c r="AJ6759" t="s">
        <v>3817</v>
      </c>
      <c r="AK6759" t="s">
        <v>32329</v>
      </c>
      <c r="AL6759" s="13" t="s">
        <v>1898</v>
      </c>
      <c r="AM6759" s="14">
        <v>1</v>
      </c>
      <c r="AN6759" s="15" t="s">
        <v>1598</v>
      </c>
    </row>
    <row r="6760" spans="1:40" x14ac:dyDescent="0.3">
      <c r="A6760" s="10" t="str">
        <f>HYPERLINK("http://www.washoecounty.gov/assessor/cama/?parid=508-330-02&amp;CardNumber=1","508-330-02")</f>
        <v>508-330-02</v>
      </c>
      <c r="B6760" t="s">
        <v>4655</v>
      </c>
      <c r="C6760" t="s">
        <v>32330</v>
      </c>
      <c r="D6760" s="1">
        <v>40214</v>
      </c>
      <c r="E6760" s="2">
        <v>170000</v>
      </c>
      <c r="F6760" t="s">
        <v>4553</v>
      </c>
      <c r="G6760" s="17" t="str">
        <f>HYPERLINK("https://www.washoecounty.gov/assessor/cama/?command=sales&amp;parid=50833002","3846320")</f>
        <v>3846320</v>
      </c>
      <c r="H6760" t="s">
        <v>3814</v>
      </c>
      <c r="I6760">
        <v>1998</v>
      </c>
      <c r="J6760">
        <v>1998</v>
      </c>
      <c r="K6760" t="s">
        <v>4554</v>
      </c>
      <c r="L6760" t="s">
        <v>3974</v>
      </c>
      <c r="M6760" s="2">
        <v>2273</v>
      </c>
      <c r="N6760" t="s">
        <v>4556</v>
      </c>
      <c r="O6760">
        <v>5</v>
      </c>
      <c r="P6760">
        <v>3</v>
      </c>
      <c r="Q6760">
        <v>0</v>
      </c>
      <c r="R6760" t="s">
        <v>5281</v>
      </c>
      <c r="S6760" t="s">
        <v>4558</v>
      </c>
      <c r="T6760" t="s">
        <v>4559</v>
      </c>
      <c r="U6760" t="s">
        <v>5631</v>
      </c>
      <c r="V6760" s="2">
        <v>495</v>
      </c>
      <c r="W6760" t="s">
        <v>4655</v>
      </c>
      <c r="X6760" s="2">
        <v>0</v>
      </c>
      <c r="Y6760">
        <v>20</v>
      </c>
      <c r="Z6760" t="s">
        <v>5508</v>
      </c>
      <c r="AA6760" s="3">
        <v>0.23099173605442</v>
      </c>
      <c r="AB6760" t="s">
        <v>32331</v>
      </c>
      <c r="AC6760" t="s">
        <v>4562</v>
      </c>
      <c r="AD6760" t="s">
        <v>32332</v>
      </c>
      <c r="AE6760" t="s">
        <v>4655</v>
      </c>
      <c r="AF6760" t="s">
        <v>3815</v>
      </c>
      <c r="AG6760" t="s">
        <v>4564</v>
      </c>
      <c r="AH6760" t="s">
        <v>3816</v>
      </c>
      <c r="AI6760" t="s">
        <v>1267</v>
      </c>
      <c r="AJ6760" t="s">
        <v>3817</v>
      </c>
      <c r="AK6760" t="s">
        <v>32333</v>
      </c>
      <c r="AL6760" s="13" t="s">
        <v>1898</v>
      </c>
      <c r="AM6760">
        <v>1</v>
      </c>
      <c r="AN6760" s="15" t="s">
        <v>1598</v>
      </c>
    </row>
    <row r="6761" spans="1:40" x14ac:dyDescent="0.3">
      <c r="A6761" s="10" t="str">
        <f>HYPERLINK("http://www.washoecounty.gov/assessor/cama/?parid=508-330-31&amp;CardNumber=1","508-330-31")</f>
        <v>508-330-31</v>
      </c>
      <c r="B6761" t="s">
        <v>4655</v>
      </c>
      <c r="C6761" t="s">
        <v>32334</v>
      </c>
      <c r="D6761" s="1">
        <v>40207</v>
      </c>
      <c r="E6761" s="2">
        <v>116000</v>
      </c>
      <c r="F6761" t="s">
        <v>4553</v>
      </c>
      <c r="G6761" s="17" t="str">
        <f>HYPERLINK("https://www.washoecounty.gov/assessor/cama/?command=sales&amp;parid=50833031","3844289")</f>
        <v>3844289</v>
      </c>
      <c r="H6761" t="s">
        <v>3814</v>
      </c>
      <c r="I6761">
        <v>1998</v>
      </c>
      <c r="J6761">
        <v>1998</v>
      </c>
      <c r="K6761" t="s">
        <v>4554</v>
      </c>
      <c r="L6761" t="s">
        <v>4555</v>
      </c>
      <c r="M6761" s="2">
        <v>1161</v>
      </c>
      <c r="N6761" t="s">
        <v>4556</v>
      </c>
      <c r="O6761">
        <v>3</v>
      </c>
      <c r="P6761">
        <v>2</v>
      </c>
      <c r="Q6761">
        <v>0</v>
      </c>
      <c r="R6761" t="s">
        <v>5281</v>
      </c>
      <c r="S6761" t="s">
        <v>4558</v>
      </c>
      <c r="T6761" t="s">
        <v>4559</v>
      </c>
      <c r="U6761" t="s">
        <v>4560</v>
      </c>
      <c r="V6761" s="2">
        <v>535</v>
      </c>
      <c r="W6761" t="s">
        <v>4655</v>
      </c>
      <c r="X6761" s="2">
        <v>0</v>
      </c>
      <c r="Y6761">
        <v>20</v>
      </c>
      <c r="Z6761" t="s">
        <v>5508</v>
      </c>
      <c r="AA6761" s="3">
        <v>0.239990815520287</v>
      </c>
      <c r="AB6761" t="s">
        <v>32335</v>
      </c>
      <c r="AC6761" t="s">
        <v>4562</v>
      </c>
      <c r="AD6761" t="s">
        <v>32336</v>
      </c>
      <c r="AE6761" t="s">
        <v>4655</v>
      </c>
      <c r="AF6761" t="s">
        <v>1570</v>
      </c>
      <c r="AG6761" t="s">
        <v>4564</v>
      </c>
      <c r="AH6761" t="s">
        <v>1601</v>
      </c>
      <c r="AI6761" t="s">
        <v>4655</v>
      </c>
      <c r="AJ6761" t="s">
        <v>3817</v>
      </c>
      <c r="AK6761" t="s">
        <v>32337</v>
      </c>
      <c r="AL6761" s="13" t="s">
        <v>1898</v>
      </c>
      <c r="AM6761">
        <v>1</v>
      </c>
      <c r="AN6761" s="15" t="s">
        <v>1598</v>
      </c>
    </row>
    <row r="6762" spans="1:40" x14ac:dyDescent="0.3">
      <c r="A6762" s="10" t="str">
        <f>HYPERLINK("http://www.washoecounty.gov/assessor/cama/?parid=508-330-33&amp;CardNumber=1","508-330-33")</f>
        <v>508-330-33</v>
      </c>
      <c r="B6762" t="s">
        <v>4655</v>
      </c>
      <c r="C6762" t="s">
        <v>32338</v>
      </c>
      <c r="D6762" s="1">
        <v>40396</v>
      </c>
      <c r="E6762" s="2">
        <v>139000</v>
      </c>
      <c r="F6762" t="s">
        <v>4567</v>
      </c>
      <c r="G6762" s="17" t="str">
        <f>HYPERLINK("https://www.washoecounty.gov/assessor/cama/?command=sales&amp;parid=50833033","3909568")</f>
        <v>3909568</v>
      </c>
      <c r="H6762" t="s">
        <v>3814</v>
      </c>
      <c r="I6762">
        <v>1998</v>
      </c>
      <c r="J6762">
        <v>1998</v>
      </c>
      <c r="K6762" t="s">
        <v>4554</v>
      </c>
      <c r="L6762" t="s">
        <v>4555</v>
      </c>
      <c r="M6762" s="2">
        <v>1457</v>
      </c>
      <c r="N6762" t="s">
        <v>4556</v>
      </c>
      <c r="O6762">
        <v>3</v>
      </c>
      <c r="P6762">
        <v>2</v>
      </c>
      <c r="Q6762">
        <v>0</v>
      </c>
      <c r="R6762" t="s">
        <v>5281</v>
      </c>
      <c r="S6762" t="s">
        <v>4558</v>
      </c>
      <c r="T6762" t="s">
        <v>4559</v>
      </c>
      <c r="U6762" t="s">
        <v>162</v>
      </c>
      <c r="V6762" s="2">
        <v>1071</v>
      </c>
      <c r="W6762" t="s">
        <v>4655</v>
      </c>
      <c r="X6762" s="2">
        <v>0</v>
      </c>
      <c r="Y6762">
        <v>20</v>
      </c>
      <c r="Z6762" t="s">
        <v>5508</v>
      </c>
      <c r="AA6762" s="3">
        <v>0.27601009607315102</v>
      </c>
      <c r="AB6762" t="s">
        <v>32339</v>
      </c>
      <c r="AC6762" t="s">
        <v>4562</v>
      </c>
      <c r="AD6762" t="s">
        <v>32340</v>
      </c>
      <c r="AE6762" t="s">
        <v>4655</v>
      </c>
      <c r="AF6762" t="s">
        <v>1600</v>
      </c>
      <c r="AG6762" t="s">
        <v>4564</v>
      </c>
      <c r="AH6762" t="s">
        <v>1601</v>
      </c>
      <c r="AI6762" t="s">
        <v>32341</v>
      </c>
      <c r="AJ6762" t="s">
        <v>3817</v>
      </c>
      <c r="AK6762" t="s">
        <v>32342</v>
      </c>
      <c r="AL6762" s="13" t="s">
        <v>1898</v>
      </c>
      <c r="AM6762" s="14">
        <v>1</v>
      </c>
      <c r="AN6762" s="15" t="s">
        <v>1598</v>
      </c>
    </row>
    <row r="6763" spans="1:40" x14ac:dyDescent="0.3">
      <c r="A6763" s="10" t="str">
        <f>HYPERLINK("http://www.washoecounty.gov/assessor/cama/?parid=508-360-03&amp;CardNumber=1","508-360-03")</f>
        <v>508-360-03</v>
      </c>
      <c r="B6763" t="s">
        <v>4655</v>
      </c>
      <c r="C6763" t="s">
        <v>32343</v>
      </c>
      <c r="D6763" s="1">
        <v>40297</v>
      </c>
      <c r="E6763" s="2">
        <v>116000</v>
      </c>
      <c r="F6763" t="s">
        <v>4553</v>
      </c>
      <c r="G6763" s="17" t="str">
        <f>HYPERLINK("https://www.washoecounty.gov/assessor/cama/?command=sales&amp;parid=50836003","3876280")</f>
        <v>3876280</v>
      </c>
      <c r="H6763" t="s">
        <v>3818</v>
      </c>
      <c r="I6763">
        <v>1998</v>
      </c>
      <c r="J6763">
        <v>1998</v>
      </c>
      <c r="K6763" t="s">
        <v>4554</v>
      </c>
      <c r="L6763" t="s">
        <v>4555</v>
      </c>
      <c r="M6763" s="2">
        <v>1064</v>
      </c>
      <c r="N6763" t="s">
        <v>4556</v>
      </c>
      <c r="O6763">
        <v>3</v>
      </c>
      <c r="P6763">
        <v>2</v>
      </c>
      <c r="Q6763">
        <v>0</v>
      </c>
      <c r="R6763" t="s">
        <v>4557</v>
      </c>
      <c r="S6763" t="s">
        <v>4558</v>
      </c>
      <c r="T6763" t="s">
        <v>4559</v>
      </c>
      <c r="U6763" t="s">
        <v>4560</v>
      </c>
      <c r="V6763" s="2">
        <v>400</v>
      </c>
      <c r="W6763" t="s">
        <v>4655</v>
      </c>
      <c r="X6763" s="2">
        <v>0</v>
      </c>
      <c r="Y6763">
        <v>20</v>
      </c>
      <c r="Z6763" t="s">
        <v>5508</v>
      </c>
      <c r="AA6763" s="3">
        <v>0.18700642883777599</v>
      </c>
      <c r="AB6763" t="s">
        <v>32344</v>
      </c>
      <c r="AC6763" t="s">
        <v>4562</v>
      </c>
      <c r="AD6763" t="s">
        <v>32343</v>
      </c>
      <c r="AE6763" t="s">
        <v>4655</v>
      </c>
      <c r="AF6763" t="s">
        <v>1600</v>
      </c>
      <c r="AG6763" t="s">
        <v>4564</v>
      </c>
      <c r="AH6763" t="s">
        <v>1601</v>
      </c>
      <c r="AI6763" t="s">
        <v>32344</v>
      </c>
      <c r="AJ6763" t="s">
        <v>3819</v>
      </c>
      <c r="AK6763" t="s">
        <v>32345</v>
      </c>
      <c r="AL6763" s="13" t="s">
        <v>1898</v>
      </c>
      <c r="AM6763" s="14">
        <v>1</v>
      </c>
      <c r="AN6763" s="15" t="s">
        <v>1598</v>
      </c>
    </row>
    <row r="6764" spans="1:40" x14ac:dyDescent="0.3">
      <c r="A6764" s="10" t="str">
        <f>HYPERLINK("http://www.washoecounty.gov/assessor/cama/?parid=508-360-14&amp;CardNumber=1","508-360-14")</f>
        <v>508-360-14</v>
      </c>
      <c r="B6764" t="s">
        <v>4655</v>
      </c>
      <c r="C6764" t="s">
        <v>32346</v>
      </c>
      <c r="D6764" s="1">
        <v>40199</v>
      </c>
      <c r="E6764" s="2">
        <v>137000</v>
      </c>
      <c r="F6764" t="s">
        <v>4567</v>
      </c>
      <c r="G6764" s="17" t="str">
        <f>HYPERLINK("https://www.washoecounty.gov/assessor/cama/?command=sales&amp;parid=50836014","3841506")</f>
        <v>3841506</v>
      </c>
      <c r="H6764" t="s">
        <v>3818</v>
      </c>
      <c r="I6764">
        <v>1998</v>
      </c>
      <c r="J6764">
        <v>1998</v>
      </c>
      <c r="K6764" t="s">
        <v>4554</v>
      </c>
      <c r="L6764" t="s">
        <v>4555</v>
      </c>
      <c r="M6764" s="2">
        <v>1696</v>
      </c>
      <c r="N6764" t="s">
        <v>4556</v>
      </c>
      <c r="O6764">
        <v>3</v>
      </c>
      <c r="P6764">
        <v>2</v>
      </c>
      <c r="Q6764">
        <v>0</v>
      </c>
      <c r="R6764" t="s">
        <v>4557</v>
      </c>
      <c r="S6764" t="s">
        <v>4558</v>
      </c>
      <c r="T6764" t="s">
        <v>4559</v>
      </c>
      <c r="U6764" t="s">
        <v>4560</v>
      </c>
      <c r="V6764" s="2">
        <v>576</v>
      </c>
      <c r="W6764" t="s">
        <v>4655</v>
      </c>
      <c r="X6764" s="2">
        <v>0</v>
      </c>
      <c r="Y6764">
        <v>20</v>
      </c>
      <c r="Z6764" t="s">
        <v>5508</v>
      </c>
      <c r="AA6764" s="3">
        <v>0.15798898041248299</v>
      </c>
      <c r="AB6764" t="s">
        <v>32347</v>
      </c>
      <c r="AC6764" t="s">
        <v>4562</v>
      </c>
      <c r="AD6764" t="s">
        <v>32346</v>
      </c>
      <c r="AE6764" t="s">
        <v>4655</v>
      </c>
      <c r="AF6764" t="s">
        <v>1600</v>
      </c>
      <c r="AG6764" t="s">
        <v>4564</v>
      </c>
      <c r="AH6764" t="s">
        <v>1601</v>
      </c>
      <c r="AI6764" t="s">
        <v>32348</v>
      </c>
      <c r="AJ6764" t="s">
        <v>3819</v>
      </c>
      <c r="AK6764" t="s">
        <v>32349</v>
      </c>
      <c r="AL6764" s="13" t="s">
        <v>1898</v>
      </c>
      <c r="AM6764" s="14">
        <v>1</v>
      </c>
      <c r="AN6764" s="15" t="s">
        <v>1598</v>
      </c>
    </row>
    <row r="6765" spans="1:40" x14ac:dyDescent="0.3">
      <c r="A6765" s="10" t="str">
        <f>HYPERLINK("http://www.washoecounty.gov/assessor/cama/?parid=508-360-15&amp;CardNumber=1","508-360-15")</f>
        <v>508-360-15</v>
      </c>
      <c r="B6765" t="s">
        <v>4655</v>
      </c>
      <c r="C6765" t="s">
        <v>32350</v>
      </c>
      <c r="D6765" s="1">
        <v>40220</v>
      </c>
      <c r="E6765" s="2">
        <v>112000</v>
      </c>
      <c r="F6765" t="s">
        <v>4553</v>
      </c>
      <c r="G6765" s="17" t="str">
        <f>HYPERLINK("https://www.washoecounty.gov/assessor/cama/?command=sales&amp;parid=50836015","3848258")</f>
        <v>3848258</v>
      </c>
      <c r="H6765" t="s">
        <v>3818</v>
      </c>
      <c r="I6765">
        <v>1998</v>
      </c>
      <c r="J6765">
        <v>1998</v>
      </c>
      <c r="K6765" t="s">
        <v>4554</v>
      </c>
      <c r="L6765" t="s">
        <v>4555</v>
      </c>
      <c r="M6765" s="2">
        <v>1040</v>
      </c>
      <c r="N6765" t="s">
        <v>4556</v>
      </c>
      <c r="O6765">
        <v>3</v>
      </c>
      <c r="P6765">
        <v>2</v>
      </c>
      <c r="Q6765">
        <v>0</v>
      </c>
      <c r="R6765" t="s">
        <v>4557</v>
      </c>
      <c r="S6765" t="s">
        <v>4558</v>
      </c>
      <c r="T6765" t="s">
        <v>4559</v>
      </c>
      <c r="U6765" t="s">
        <v>4560</v>
      </c>
      <c r="V6765" s="2">
        <v>400</v>
      </c>
      <c r="W6765" t="s">
        <v>4655</v>
      </c>
      <c r="X6765" s="2">
        <v>0</v>
      </c>
      <c r="Y6765">
        <v>20</v>
      </c>
      <c r="Z6765" t="s">
        <v>5508</v>
      </c>
      <c r="AA6765" s="3">
        <v>0.167011022567749</v>
      </c>
      <c r="AB6765" t="s">
        <v>32351</v>
      </c>
      <c r="AC6765" t="s">
        <v>4575</v>
      </c>
      <c r="AD6765" t="s">
        <v>32350</v>
      </c>
      <c r="AE6765" t="s">
        <v>4655</v>
      </c>
      <c r="AF6765" t="s">
        <v>1600</v>
      </c>
      <c r="AG6765" t="s">
        <v>4564</v>
      </c>
      <c r="AH6765" t="s">
        <v>1601</v>
      </c>
      <c r="AI6765" t="s">
        <v>14264</v>
      </c>
      <c r="AJ6765" t="s">
        <v>3819</v>
      </c>
      <c r="AK6765" t="s">
        <v>32352</v>
      </c>
      <c r="AL6765" s="13" t="s">
        <v>1898</v>
      </c>
      <c r="AM6765">
        <v>1</v>
      </c>
      <c r="AN6765" s="15" t="s">
        <v>1598</v>
      </c>
    </row>
    <row r="6766" spans="1:40" x14ac:dyDescent="0.3">
      <c r="A6766" s="10" t="str">
        <f>HYPERLINK("http://www.washoecounty.gov/assessor/cama/?parid=508-360-21&amp;CardNumber=1","508-360-21")</f>
        <v>508-360-21</v>
      </c>
      <c r="B6766" t="s">
        <v>4655</v>
      </c>
      <c r="C6766" t="s">
        <v>32353</v>
      </c>
      <c r="D6766" s="1">
        <v>40232</v>
      </c>
      <c r="E6766" s="2">
        <v>111250</v>
      </c>
      <c r="F6766" t="s">
        <v>4553</v>
      </c>
      <c r="G6766" s="17" t="str">
        <f>HYPERLINK("https://www.washoecounty.gov/assessor/cama/?command=sales&amp;parid=50836021","3851818")</f>
        <v>3851818</v>
      </c>
      <c r="H6766" t="s">
        <v>3818</v>
      </c>
      <c r="I6766">
        <v>1998</v>
      </c>
      <c r="J6766">
        <v>1998</v>
      </c>
      <c r="K6766" t="s">
        <v>4554</v>
      </c>
      <c r="L6766" t="s">
        <v>4555</v>
      </c>
      <c r="M6766" s="2">
        <v>1040</v>
      </c>
      <c r="N6766" t="s">
        <v>4556</v>
      </c>
      <c r="O6766">
        <v>3</v>
      </c>
      <c r="P6766">
        <v>2</v>
      </c>
      <c r="Q6766">
        <v>0</v>
      </c>
      <c r="R6766" t="s">
        <v>4557</v>
      </c>
      <c r="S6766" t="s">
        <v>4558</v>
      </c>
      <c r="T6766" t="s">
        <v>4559</v>
      </c>
      <c r="U6766" t="s">
        <v>4560</v>
      </c>
      <c r="V6766" s="2">
        <v>400</v>
      </c>
      <c r="W6766" t="s">
        <v>4655</v>
      </c>
      <c r="X6766" s="2">
        <v>0</v>
      </c>
      <c r="Y6766">
        <v>20</v>
      </c>
      <c r="Z6766" t="s">
        <v>5508</v>
      </c>
      <c r="AA6766" s="3">
        <v>0.21400366723537401</v>
      </c>
      <c r="AB6766" t="s">
        <v>32354</v>
      </c>
      <c r="AC6766" t="s">
        <v>4575</v>
      </c>
      <c r="AD6766" t="s">
        <v>32355</v>
      </c>
      <c r="AE6766" t="s">
        <v>4655</v>
      </c>
      <c r="AF6766" t="s">
        <v>32356</v>
      </c>
      <c r="AG6766" t="s">
        <v>4584</v>
      </c>
      <c r="AH6766">
        <v>96103</v>
      </c>
      <c r="AI6766" t="s">
        <v>1149</v>
      </c>
      <c r="AJ6766" t="s">
        <v>3819</v>
      </c>
      <c r="AK6766" t="s">
        <v>32357</v>
      </c>
      <c r="AL6766" s="13" t="s">
        <v>1898</v>
      </c>
      <c r="AM6766" s="14">
        <v>1</v>
      </c>
      <c r="AN6766" s="15" t="s">
        <v>1598</v>
      </c>
    </row>
    <row r="6767" spans="1:40" x14ac:dyDescent="0.3">
      <c r="A6767" s="10" t="str">
        <f>HYPERLINK("http://www.washoecounty.gov/assessor/cama/?parid=508-381-07&amp;CardNumber=1","508-381-07")</f>
        <v>508-381-07</v>
      </c>
      <c r="B6767" t="s">
        <v>4655</v>
      </c>
      <c r="C6767" t="s">
        <v>32358</v>
      </c>
      <c r="D6767" s="1">
        <v>40445</v>
      </c>
      <c r="E6767" s="2">
        <v>113000</v>
      </c>
      <c r="F6767" t="s">
        <v>4567</v>
      </c>
      <c r="G6767" s="17" t="str">
        <f>HYPERLINK("https://www.washoecounty.gov/assessor/cama/?command=sales&amp;parid=50838107","3926025")</f>
        <v>3926025</v>
      </c>
      <c r="H6767" t="s">
        <v>3818</v>
      </c>
      <c r="I6767">
        <v>1998</v>
      </c>
      <c r="J6767">
        <v>1998</v>
      </c>
      <c r="K6767" t="s">
        <v>4554</v>
      </c>
      <c r="L6767" t="s">
        <v>4555</v>
      </c>
      <c r="M6767" s="2">
        <v>1040</v>
      </c>
      <c r="N6767" t="s">
        <v>4556</v>
      </c>
      <c r="O6767">
        <v>3</v>
      </c>
      <c r="P6767">
        <v>2</v>
      </c>
      <c r="Q6767">
        <v>0</v>
      </c>
      <c r="R6767" t="s">
        <v>5281</v>
      </c>
      <c r="S6767" t="s">
        <v>4558</v>
      </c>
      <c r="T6767" t="s">
        <v>4559</v>
      </c>
      <c r="U6767" t="s">
        <v>4560</v>
      </c>
      <c r="V6767" s="2">
        <v>400</v>
      </c>
      <c r="W6767" t="s">
        <v>4655</v>
      </c>
      <c r="X6767" s="2">
        <v>0</v>
      </c>
      <c r="Y6767">
        <v>20</v>
      </c>
      <c r="Z6767" t="s">
        <v>5508</v>
      </c>
      <c r="AA6767" s="3">
        <v>0.189003676176071</v>
      </c>
      <c r="AB6767" t="s">
        <v>4673</v>
      </c>
      <c r="AC6767" t="s">
        <v>4562</v>
      </c>
      <c r="AD6767" t="s">
        <v>3093</v>
      </c>
      <c r="AE6767" t="s">
        <v>4655</v>
      </c>
      <c r="AF6767" t="s">
        <v>4563</v>
      </c>
      <c r="AG6767" t="s">
        <v>4564</v>
      </c>
      <c r="AH6767">
        <v>89512</v>
      </c>
      <c r="AI6767" t="s">
        <v>4655</v>
      </c>
      <c r="AJ6767" t="s">
        <v>3819</v>
      </c>
      <c r="AK6767" t="s">
        <v>32359</v>
      </c>
      <c r="AL6767" s="13" t="s">
        <v>1898</v>
      </c>
      <c r="AM6767" s="14">
        <v>1</v>
      </c>
      <c r="AN6767" s="15" t="s">
        <v>1598</v>
      </c>
    </row>
    <row r="6768" spans="1:40" x14ac:dyDescent="0.3">
      <c r="A6768" s="10" t="str">
        <f>HYPERLINK("http://www.washoecounty.gov/assessor/cama/?parid=508-381-10&amp;CardNumber=1","508-381-10")</f>
        <v>508-381-10</v>
      </c>
      <c r="B6768" t="s">
        <v>4655</v>
      </c>
      <c r="C6768" t="s">
        <v>32360</v>
      </c>
      <c r="D6768" s="1">
        <v>40522</v>
      </c>
      <c r="E6768" s="2">
        <v>156600</v>
      </c>
      <c r="F6768" t="s">
        <v>4567</v>
      </c>
      <c r="G6768" s="17" t="str">
        <f>HYPERLINK("https://www.washoecounty.gov/assessor/cama/?command=sales&amp;parid=50838110","3952272")</f>
        <v>3952272</v>
      </c>
      <c r="H6768" t="s">
        <v>3818</v>
      </c>
      <c r="I6768">
        <v>1998</v>
      </c>
      <c r="J6768">
        <v>1998</v>
      </c>
      <c r="K6768" t="s">
        <v>4554</v>
      </c>
      <c r="L6768" t="s">
        <v>3974</v>
      </c>
      <c r="M6768" s="2">
        <v>2296</v>
      </c>
      <c r="N6768" t="s">
        <v>4556</v>
      </c>
      <c r="O6768">
        <v>4</v>
      </c>
      <c r="P6768">
        <v>2</v>
      </c>
      <c r="Q6768">
        <v>1</v>
      </c>
      <c r="R6768" t="s">
        <v>5281</v>
      </c>
      <c r="S6768" t="s">
        <v>4558</v>
      </c>
      <c r="T6768" t="s">
        <v>4559</v>
      </c>
      <c r="U6768" t="s">
        <v>5631</v>
      </c>
      <c r="V6768" s="2">
        <v>424</v>
      </c>
      <c r="W6768" t="s">
        <v>4655</v>
      </c>
      <c r="X6768" s="2">
        <v>0</v>
      </c>
      <c r="Y6768">
        <v>20</v>
      </c>
      <c r="Z6768" t="s">
        <v>5508</v>
      </c>
      <c r="AA6768" s="3">
        <v>0.22199265658855438</v>
      </c>
      <c r="AB6768" t="s">
        <v>32361</v>
      </c>
      <c r="AC6768" t="s">
        <v>4562</v>
      </c>
      <c r="AD6768" t="s">
        <v>32360</v>
      </c>
      <c r="AE6768" t="s">
        <v>4655</v>
      </c>
      <c r="AF6768" t="s">
        <v>1600</v>
      </c>
      <c r="AG6768" t="s">
        <v>4564</v>
      </c>
      <c r="AH6768" t="s">
        <v>1601</v>
      </c>
      <c r="AI6768" t="s">
        <v>32362</v>
      </c>
      <c r="AJ6768" t="s">
        <v>3819</v>
      </c>
      <c r="AK6768" t="s">
        <v>32363</v>
      </c>
      <c r="AL6768" s="13" t="s">
        <v>1898</v>
      </c>
      <c r="AM6768">
        <v>1</v>
      </c>
      <c r="AN6768" s="15" t="s">
        <v>1598</v>
      </c>
    </row>
    <row r="6769" spans="1:40" x14ac:dyDescent="0.3">
      <c r="A6769" s="10" t="str">
        <f>HYPERLINK("http://www.washoecounty.gov/assessor/cama/?parid=508-381-20&amp;CardNumber=1","508-381-20")</f>
        <v>508-381-20</v>
      </c>
      <c r="B6769" t="s">
        <v>4655</v>
      </c>
      <c r="C6769" t="s">
        <v>32364</v>
      </c>
      <c r="D6769" s="1">
        <v>40464</v>
      </c>
      <c r="E6769" s="2">
        <v>105600</v>
      </c>
      <c r="F6769" t="s">
        <v>4553</v>
      </c>
      <c r="G6769" s="17" t="str">
        <f>HYPERLINK("https://www.washoecounty.gov/assessor/cama/?command=sales&amp;parid=50838120","3932468")</f>
        <v>3932468</v>
      </c>
      <c r="H6769" t="s">
        <v>3818</v>
      </c>
      <c r="I6769">
        <v>1998</v>
      </c>
      <c r="J6769">
        <v>1998</v>
      </c>
      <c r="K6769" t="s">
        <v>4554</v>
      </c>
      <c r="L6769" t="s">
        <v>4555</v>
      </c>
      <c r="M6769" s="2">
        <v>904</v>
      </c>
      <c r="N6769" t="s">
        <v>4556</v>
      </c>
      <c r="O6769">
        <v>3</v>
      </c>
      <c r="P6769">
        <v>2</v>
      </c>
      <c r="Q6769">
        <v>0</v>
      </c>
      <c r="R6769" t="s">
        <v>4557</v>
      </c>
      <c r="S6769" t="s">
        <v>4558</v>
      </c>
      <c r="T6769" t="s">
        <v>4559</v>
      </c>
      <c r="U6769" t="s">
        <v>4560</v>
      </c>
      <c r="V6769" s="2">
        <v>400</v>
      </c>
      <c r="W6769" t="s">
        <v>4655</v>
      </c>
      <c r="X6769" s="2">
        <v>0</v>
      </c>
      <c r="Y6769">
        <v>20</v>
      </c>
      <c r="Z6769" t="s">
        <v>5508</v>
      </c>
      <c r="AA6769" s="3">
        <v>0.13799357414245605</v>
      </c>
      <c r="AB6769" t="s">
        <v>4673</v>
      </c>
      <c r="AC6769" t="s">
        <v>4562</v>
      </c>
      <c r="AD6769" t="s">
        <v>3093</v>
      </c>
      <c r="AE6769" t="s">
        <v>4655</v>
      </c>
      <c r="AF6769" t="s">
        <v>4563</v>
      </c>
      <c r="AG6769" t="s">
        <v>4564</v>
      </c>
      <c r="AH6769">
        <v>89512</v>
      </c>
      <c r="AI6769" t="s">
        <v>32365</v>
      </c>
      <c r="AJ6769" t="s">
        <v>3819</v>
      </c>
      <c r="AK6769" t="s">
        <v>32366</v>
      </c>
      <c r="AL6769" s="13" t="s">
        <v>1898</v>
      </c>
      <c r="AM6769">
        <v>1</v>
      </c>
      <c r="AN6769" s="15" t="s">
        <v>1598</v>
      </c>
    </row>
    <row r="6770" spans="1:40" x14ac:dyDescent="0.3">
      <c r="A6770" s="10" t="str">
        <f>HYPERLINK("http://www.washoecounty.gov/assessor/cama/?parid=508-381-22&amp;CardNumber=1","508-381-22")</f>
        <v>508-381-22</v>
      </c>
      <c r="B6770" t="s">
        <v>4655</v>
      </c>
      <c r="C6770" t="s">
        <v>32367</v>
      </c>
      <c r="D6770" s="1">
        <v>40431</v>
      </c>
      <c r="E6770" s="2">
        <v>139000</v>
      </c>
      <c r="F6770" t="s">
        <v>4567</v>
      </c>
      <c r="G6770" s="17" t="str">
        <f>HYPERLINK("https://www.washoecounty.gov/assessor/cama/?command=sales&amp;parid=50838122","3921214")</f>
        <v>3921214</v>
      </c>
      <c r="H6770" t="s">
        <v>32368</v>
      </c>
      <c r="I6770">
        <v>1998</v>
      </c>
      <c r="J6770">
        <v>1998</v>
      </c>
      <c r="K6770" t="s">
        <v>4554</v>
      </c>
      <c r="L6770" t="s">
        <v>4555</v>
      </c>
      <c r="M6770" s="2">
        <v>1696</v>
      </c>
      <c r="N6770" t="s">
        <v>4556</v>
      </c>
      <c r="O6770">
        <v>3</v>
      </c>
      <c r="P6770">
        <v>2</v>
      </c>
      <c r="Q6770">
        <v>0</v>
      </c>
      <c r="R6770" t="s">
        <v>4557</v>
      </c>
      <c r="S6770" t="s">
        <v>4558</v>
      </c>
      <c r="T6770" t="s">
        <v>4559</v>
      </c>
      <c r="U6770" t="s">
        <v>4560</v>
      </c>
      <c r="V6770" s="2">
        <v>576</v>
      </c>
      <c r="W6770" t="s">
        <v>4655</v>
      </c>
      <c r="X6770" s="2">
        <v>0</v>
      </c>
      <c r="Y6770">
        <v>20</v>
      </c>
      <c r="Z6770" t="s">
        <v>5508</v>
      </c>
      <c r="AA6770" s="3">
        <v>0.146992653608322</v>
      </c>
      <c r="AB6770" t="s">
        <v>4673</v>
      </c>
      <c r="AC6770" t="s">
        <v>4562</v>
      </c>
      <c r="AD6770" t="s">
        <v>3093</v>
      </c>
      <c r="AE6770" t="s">
        <v>4655</v>
      </c>
      <c r="AF6770" t="s">
        <v>4563</v>
      </c>
      <c r="AG6770" t="s">
        <v>4564</v>
      </c>
      <c r="AH6770">
        <v>89512</v>
      </c>
      <c r="AI6770" t="s">
        <v>32369</v>
      </c>
      <c r="AJ6770" t="s">
        <v>3819</v>
      </c>
      <c r="AK6770" t="s">
        <v>32370</v>
      </c>
      <c r="AL6770" s="13" t="s">
        <v>1898</v>
      </c>
      <c r="AM6770">
        <v>1</v>
      </c>
      <c r="AN6770" s="15" t="s">
        <v>1598</v>
      </c>
    </row>
    <row r="6771" spans="1:40" x14ac:dyDescent="0.3">
      <c r="A6771" s="10" t="str">
        <f>HYPERLINK("http://www.washoecounty.gov/assessor/cama/?parid=508-382-03&amp;CardNumber=1","508-382-03")</f>
        <v>508-382-03</v>
      </c>
      <c r="B6771" t="s">
        <v>4655</v>
      </c>
      <c r="C6771" t="s">
        <v>32371</v>
      </c>
      <c r="D6771" s="1">
        <v>40253</v>
      </c>
      <c r="E6771" s="2">
        <v>149900</v>
      </c>
      <c r="F6771" t="s">
        <v>4553</v>
      </c>
      <c r="G6771" s="17" t="str">
        <f>HYPERLINK("https://www.washoecounty.gov/assessor/cama/?command=sales&amp;parid=50838203","3860422")</f>
        <v>3860422</v>
      </c>
      <c r="H6771" t="s">
        <v>3818</v>
      </c>
      <c r="I6771">
        <v>1998</v>
      </c>
      <c r="J6771">
        <v>1998</v>
      </c>
      <c r="K6771" t="s">
        <v>4554</v>
      </c>
      <c r="L6771" t="s">
        <v>4555</v>
      </c>
      <c r="M6771" s="2">
        <v>1696</v>
      </c>
      <c r="N6771" t="s">
        <v>4556</v>
      </c>
      <c r="O6771">
        <v>3</v>
      </c>
      <c r="P6771">
        <v>2</v>
      </c>
      <c r="Q6771">
        <v>0</v>
      </c>
      <c r="R6771" t="s">
        <v>4557</v>
      </c>
      <c r="S6771" t="s">
        <v>4558</v>
      </c>
      <c r="T6771" t="s">
        <v>4559</v>
      </c>
      <c r="U6771" t="s">
        <v>4560</v>
      </c>
      <c r="V6771" s="2">
        <v>576</v>
      </c>
      <c r="W6771" t="s">
        <v>4655</v>
      </c>
      <c r="X6771" s="2">
        <v>0</v>
      </c>
      <c r="Y6771">
        <v>20</v>
      </c>
      <c r="Z6771" t="s">
        <v>5508</v>
      </c>
      <c r="AA6771" s="3">
        <v>0.25399449467658997</v>
      </c>
      <c r="AB6771" t="s">
        <v>32372</v>
      </c>
      <c r="AC6771" t="s">
        <v>4562</v>
      </c>
      <c r="AD6771" t="s">
        <v>32373</v>
      </c>
      <c r="AE6771" t="s">
        <v>4655</v>
      </c>
      <c r="AF6771" t="s">
        <v>1600</v>
      </c>
      <c r="AG6771" t="s">
        <v>4564</v>
      </c>
      <c r="AH6771" t="s">
        <v>1601</v>
      </c>
      <c r="AI6771" t="s">
        <v>4565</v>
      </c>
      <c r="AJ6771" t="s">
        <v>3819</v>
      </c>
      <c r="AK6771" t="s">
        <v>32374</v>
      </c>
      <c r="AL6771" s="13" t="s">
        <v>1898</v>
      </c>
      <c r="AM6771" s="14">
        <v>1</v>
      </c>
      <c r="AN6771" s="15" t="s">
        <v>1598</v>
      </c>
    </row>
    <row r="6772" spans="1:40" x14ac:dyDescent="0.3">
      <c r="A6772" s="10" t="str">
        <f>HYPERLINK("http://www.washoecounty.gov/assessor/cama/?parid=508-390-09&amp;CardNumber=1","508-390-09")</f>
        <v>508-390-09</v>
      </c>
      <c r="B6772" t="s">
        <v>4655</v>
      </c>
      <c r="C6772" t="s">
        <v>32375</v>
      </c>
      <c r="D6772" s="1">
        <v>40338</v>
      </c>
      <c r="E6772" s="2">
        <v>115000</v>
      </c>
      <c r="F6772" t="s">
        <v>4567</v>
      </c>
      <c r="G6772" s="17" t="str">
        <f>HYPERLINK("https://www.washoecounty.gov/assessor/cama/?command=sales&amp;parid=50839009","3889675")</f>
        <v>3889675</v>
      </c>
      <c r="H6772" t="s">
        <v>3362</v>
      </c>
      <c r="I6772">
        <v>1998</v>
      </c>
      <c r="J6772">
        <v>1998</v>
      </c>
      <c r="K6772" t="s">
        <v>4554</v>
      </c>
      <c r="L6772" t="s">
        <v>4555</v>
      </c>
      <c r="M6772" s="2">
        <v>1161</v>
      </c>
      <c r="N6772" t="s">
        <v>4556</v>
      </c>
      <c r="O6772">
        <v>3</v>
      </c>
      <c r="P6772">
        <v>2</v>
      </c>
      <c r="Q6772">
        <v>0</v>
      </c>
      <c r="R6772" t="s">
        <v>4557</v>
      </c>
      <c r="S6772" t="s">
        <v>4558</v>
      </c>
      <c r="T6772" t="s">
        <v>4559</v>
      </c>
      <c r="U6772" t="s">
        <v>4560</v>
      </c>
      <c r="V6772" s="2">
        <v>535</v>
      </c>
      <c r="W6772" t="s">
        <v>4655</v>
      </c>
      <c r="X6772" s="2">
        <v>0</v>
      </c>
      <c r="Y6772">
        <v>20</v>
      </c>
      <c r="Z6772" t="s">
        <v>5508</v>
      </c>
      <c r="AA6772" s="3">
        <v>0.20101010799408001</v>
      </c>
      <c r="AB6772" t="s">
        <v>32376</v>
      </c>
      <c r="AC6772" t="s">
        <v>4562</v>
      </c>
      <c r="AD6772" t="s">
        <v>32375</v>
      </c>
      <c r="AE6772" t="s">
        <v>4655</v>
      </c>
      <c r="AF6772" t="s">
        <v>1600</v>
      </c>
      <c r="AG6772" t="s">
        <v>4564</v>
      </c>
      <c r="AH6772" t="s">
        <v>1601</v>
      </c>
      <c r="AI6772" t="s">
        <v>32377</v>
      </c>
      <c r="AJ6772" t="s">
        <v>3405</v>
      </c>
      <c r="AK6772" t="s">
        <v>32378</v>
      </c>
      <c r="AL6772" s="13" t="s">
        <v>1898</v>
      </c>
      <c r="AM6772" s="14">
        <v>1</v>
      </c>
      <c r="AN6772" s="15" t="s">
        <v>1598</v>
      </c>
    </row>
    <row r="6773" spans="1:40" x14ac:dyDescent="0.3">
      <c r="A6773" s="10" t="str">
        <f>HYPERLINK("http://www.washoecounty.gov/assessor/cama/?parid=508-390-24&amp;CardNumber=1","508-390-24")</f>
        <v>508-390-24</v>
      </c>
      <c r="B6773" t="s">
        <v>4655</v>
      </c>
      <c r="C6773" t="s">
        <v>32379</v>
      </c>
      <c r="D6773" s="1">
        <v>40221</v>
      </c>
      <c r="E6773" s="2">
        <v>128000</v>
      </c>
      <c r="F6773" t="s">
        <v>4553</v>
      </c>
      <c r="G6773" s="17" t="str">
        <f>HYPERLINK("https://www.washoecounty.gov/assessor/cama/?command=sales&amp;parid=50839024","3848897")</f>
        <v>3848897</v>
      </c>
      <c r="H6773" t="s">
        <v>3362</v>
      </c>
      <c r="I6773">
        <v>1998</v>
      </c>
      <c r="J6773">
        <v>1998</v>
      </c>
      <c r="K6773" t="s">
        <v>4554</v>
      </c>
      <c r="L6773" t="s">
        <v>4555</v>
      </c>
      <c r="M6773" s="2">
        <v>1265</v>
      </c>
      <c r="N6773" t="s">
        <v>4556</v>
      </c>
      <c r="O6773">
        <v>3</v>
      </c>
      <c r="P6773">
        <v>2</v>
      </c>
      <c r="Q6773">
        <v>0</v>
      </c>
      <c r="R6773" t="s">
        <v>5281</v>
      </c>
      <c r="S6773" t="s">
        <v>4558</v>
      </c>
      <c r="T6773" t="s">
        <v>4559</v>
      </c>
      <c r="U6773" t="s">
        <v>4560</v>
      </c>
      <c r="V6773" s="2">
        <v>415</v>
      </c>
      <c r="W6773" t="s">
        <v>4655</v>
      </c>
      <c r="X6773" s="2">
        <v>0</v>
      </c>
      <c r="Y6773">
        <v>20</v>
      </c>
      <c r="Z6773" t="s">
        <v>5508</v>
      </c>
      <c r="AA6773" s="3">
        <v>0.253007352352142</v>
      </c>
      <c r="AB6773" t="s">
        <v>32380</v>
      </c>
      <c r="AC6773" t="s">
        <v>4562</v>
      </c>
      <c r="AD6773" t="s">
        <v>32381</v>
      </c>
      <c r="AE6773" t="s">
        <v>4655</v>
      </c>
      <c r="AF6773" t="s">
        <v>32382</v>
      </c>
      <c r="AG6773" t="s">
        <v>4564</v>
      </c>
      <c r="AH6773" t="s">
        <v>1601</v>
      </c>
      <c r="AI6773" t="s">
        <v>4655</v>
      </c>
      <c r="AJ6773" t="s">
        <v>3405</v>
      </c>
      <c r="AK6773" t="s">
        <v>32383</v>
      </c>
      <c r="AL6773" s="13" t="s">
        <v>1898</v>
      </c>
      <c r="AM6773" s="14">
        <v>1</v>
      </c>
      <c r="AN6773" s="15" t="s">
        <v>1598</v>
      </c>
    </row>
    <row r="6774" spans="1:40" x14ac:dyDescent="0.3">
      <c r="A6774" s="10" t="str">
        <f>HYPERLINK("http://www.washoecounty.gov/assessor/cama/?parid=508-390-26&amp;CardNumber=1","508-390-26")</f>
        <v>508-390-26</v>
      </c>
      <c r="B6774" t="s">
        <v>4655</v>
      </c>
      <c r="C6774" t="s">
        <v>32384</v>
      </c>
      <c r="D6774" s="1">
        <v>40312</v>
      </c>
      <c r="E6774" s="2">
        <v>138000</v>
      </c>
      <c r="F6774" t="s">
        <v>4567</v>
      </c>
      <c r="G6774" s="17" t="str">
        <f>HYPERLINK("https://www.washoecounty.gov/assessor/cama/?command=sales&amp;parid=50839026","3881656")</f>
        <v>3881656</v>
      </c>
      <c r="H6774" t="s">
        <v>3362</v>
      </c>
      <c r="I6774">
        <v>1998</v>
      </c>
      <c r="J6774">
        <v>1998</v>
      </c>
      <c r="K6774" t="s">
        <v>4554</v>
      </c>
      <c r="L6774" t="s">
        <v>4555</v>
      </c>
      <c r="M6774" s="2">
        <v>1569</v>
      </c>
      <c r="N6774" t="s">
        <v>4556</v>
      </c>
      <c r="O6774">
        <v>4</v>
      </c>
      <c r="P6774">
        <v>2</v>
      </c>
      <c r="Q6774">
        <v>0</v>
      </c>
      <c r="R6774" t="s">
        <v>4557</v>
      </c>
      <c r="S6774" t="s">
        <v>4558</v>
      </c>
      <c r="T6774" t="s">
        <v>4559</v>
      </c>
      <c r="U6774" t="s">
        <v>4560</v>
      </c>
      <c r="V6774" s="2">
        <v>480</v>
      </c>
      <c r="W6774" t="s">
        <v>4655</v>
      </c>
      <c r="X6774" s="2">
        <v>0</v>
      </c>
      <c r="Y6774">
        <v>20</v>
      </c>
      <c r="Z6774" t="s">
        <v>5508</v>
      </c>
      <c r="AA6774" s="3">
        <v>0.21400366723537401</v>
      </c>
      <c r="AB6774" t="s">
        <v>32385</v>
      </c>
      <c r="AC6774" t="s">
        <v>4562</v>
      </c>
      <c r="AD6774" t="s">
        <v>32384</v>
      </c>
      <c r="AE6774" t="s">
        <v>4655</v>
      </c>
      <c r="AF6774" t="s">
        <v>1600</v>
      </c>
      <c r="AG6774" t="s">
        <v>4564</v>
      </c>
      <c r="AH6774" t="s">
        <v>1601</v>
      </c>
      <c r="AI6774" t="s">
        <v>32386</v>
      </c>
      <c r="AJ6774" t="s">
        <v>3405</v>
      </c>
      <c r="AK6774" t="s">
        <v>32387</v>
      </c>
      <c r="AL6774" s="13" t="s">
        <v>1898</v>
      </c>
      <c r="AM6774" s="14">
        <v>1</v>
      </c>
      <c r="AN6774" s="15" t="s">
        <v>1598</v>
      </c>
    </row>
    <row r="6775" spans="1:40" x14ac:dyDescent="0.3">
      <c r="A6775" s="10" t="str">
        <f>HYPERLINK("http://www.washoecounty.gov/assessor/cama/?parid=508-390-28&amp;CardNumber=1","508-390-28")</f>
        <v>508-390-28</v>
      </c>
      <c r="B6775" t="s">
        <v>4655</v>
      </c>
      <c r="C6775" t="s">
        <v>32388</v>
      </c>
      <c r="D6775" s="1">
        <v>40385</v>
      </c>
      <c r="E6775" s="2">
        <v>125000</v>
      </c>
      <c r="F6775" t="s">
        <v>4567</v>
      </c>
      <c r="G6775" s="17" t="str">
        <f>HYPERLINK("https://www.washoecounty.gov/assessor/cama/?command=sales&amp;parid=50839028","3904803")</f>
        <v>3904803</v>
      </c>
      <c r="H6775" t="s">
        <v>3362</v>
      </c>
      <c r="I6775">
        <v>1998</v>
      </c>
      <c r="J6775">
        <v>1998</v>
      </c>
      <c r="K6775" t="s">
        <v>4554</v>
      </c>
      <c r="L6775" t="s">
        <v>4555</v>
      </c>
      <c r="M6775" s="2">
        <v>1265</v>
      </c>
      <c r="N6775" t="s">
        <v>4556</v>
      </c>
      <c r="O6775">
        <v>3</v>
      </c>
      <c r="P6775">
        <v>2</v>
      </c>
      <c r="Q6775">
        <v>0</v>
      </c>
      <c r="R6775" t="s">
        <v>4557</v>
      </c>
      <c r="S6775" t="s">
        <v>4558</v>
      </c>
      <c r="T6775" t="s">
        <v>4559</v>
      </c>
      <c r="U6775" t="s">
        <v>4560</v>
      </c>
      <c r="V6775" s="2">
        <v>415</v>
      </c>
      <c r="W6775" t="s">
        <v>4655</v>
      </c>
      <c r="X6775" s="2">
        <v>0</v>
      </c>
      <c r="Y6775">
        <v>20</v>
      </c>
      <c r="Z6775" t="s">
        <v>5508</v>
      </c>
      <c r="AA6775" s="3">
        <v>0.22300276160240201</v>
      </c>
      <c r="AB6775" t="s">
        <v>32389</v>
      </c>
      <c r="AC6775" t="s">
        <v>4562</v>
      </c>
      <c r="AD6775" t="s">
        <v>32388</v>
      </c>
      <c r="AE6775" t="s">
        <v>4655</v>
      </c>
      <c r="AF6775" t="s">
        <v>1600</v>
      </c>
      <c r="AG6775" t="s">
        <v>4564</v>
      </c>
      <c r="AH6775" t="s">
        <v>1601</v>
      </c>
      <c r="AI6775" t="s">
        <v>32390</v>
      </c>
      <c r="AJ6775" t="s">
        <v>3405</v>
      </c>
      <c r="AK6775" t="s">
        <v>32391</v>
      </c>
      <c r="AL6775" s="13" t="s">
        <v>1898</v>
      </c>
      <c r="AM6775">
        <v>1</v>
      </c>
      <c r="AN6775" s="15" t="s">
        <v>1598</v>
      </c>
    </row>
    <row r="6776" spans="1:40" x14ac:dyDescent="0.3">
      <c r="A6776" s="10" t="str">
        <f>HYPERLINK("http://www.washoecounty.gov/assessor/cama/?parid=508-390-29&amp;CardNumber=1","508-390-29")</f>
        <v>508-390-29</v>
      </c>
      <c r="B6776" t="s">
        <v>4655</v>
      </c>
      <c r="C6776" t="s">
        <v>32392</v>
      </c>
      <c r="D6776" s="1">
        <v>40365</v>
      </c>
      <c r="E6776" s="2">
        <v>143000</v>
      </c>
      <c r="F6776" t="s">
        <v>4567</v>
      </c>
      <c r="G6776" s="17" t="str">
        <f>HYPERLINK("https://www.washoecounty.gov/assessor/cama/?command=sales&amp;parid=50839029","3898419")</f>
        <v>3898419</v>
      </c>
      <c r="H6776" t="s">
        <v>3362</v>
      </c>
      <c r="I6776">
        <v>1998</v>
      </c>
      <c r="J6776">
        <v>1998</v>
      </c>
      <c r="K6776" t="s">
        <v>4554</v>
      </c>
      <c r="L6776" t="s">
        <v>4555</v>
      </c>
      <c r="M6776" s="2">
        <v>1697</v>
      </c>
      <c r="N6776" t="s">
        <v>4556</v>
      </c>
      <c r="O6776">
        <v>3</v>
      </c>
      <c r="P6776">
        <v>2</v>
      </c>
      <c r="Q6776">
        <v>0</v>
      </c>
      <c r="R6776" t="s">
        <v>5281</v>
      </c>
      <c r="S6776" t="s">
        <v>4558</v>
      </c>
      <c r="T6776" t="s">
        <v>4559</v>
      </c>
      <c r="U6776" t="s">
        <v>4560</v>
      </c>
      <c r="V6776" s="2">
        <v>577</v>
      </c>
      <c r="W6776" t="s">
        <v>4655</v>
      </c>
      <c r="X6776" s="2">
        <v>0</v>
      </c>
      <c r="Y6776">
        <v>20</v>
      </c>
      <c r="Z6776" t="s">
        <v>5508</v>
      </c>
      <c r="AA6776" s="3">
        <v>0.33000460267067</v>
      </c>
      <c r="AB6776" t="s">
        <v>32393</v>
      </c>
      <c r="AC6776" t="s">
        <v>4562</v>
      </c>
      <c r="AD6776" t="s">
        <v>32392</v>
      </c>
      <c r="AE6776" t="s">
        <v>4655</v>
      </c>
      <c r="AF6776" t="s">
        <v>1600</v>
      </c>
      <c r="AG6776" t="s">
        <v>4564</v>
      </c>
      <c r="AH6776" t="s">
        <v>1601</v>
      </c>
      <c r="AI6776" t="s">
        <v>32394</v>
      </c>
      <c r="AJ6776" t="s">
        <v>3405</v>
      </c>
      <c r="AK6776" t="s">
        <v>32395</v>
      </c>
      <c r="AL6776" s="13" t="s">
        <v>1898</v>
      </c>
      <c r="AM6776">
        <v>1</v>
      </c>
      <c r="AN6776" s="15" t="s">
        <v>1598</v>
      </c>
    </row>
    <row r="6777" spans="1:40" x14ac:dyDescent="0.3">
      <c r="A6777" s="10" t="str">
        <f>HYPERLINK("http://www.washoecounty.gov/assessor/cama/?parid=508-390-37&amp;CardNumber=1","508-390-37")</f>
        <v>508-390-37</v>
      </c>
      <c r="B6777" t="s">
        <v>4655</v>
      </c>
      <c r="C6777" t="s">
        <v>32396</v>
      </c>
      <c r="D6777" s="1">
        <v>40289</v>
      </c>
      <c r="E6777" s="2">
        <v>121000</v>
      </c>
      <c r="F6777" t="s">
        <v>4553</v>
      </c>
      <c r="G6777" s="17" t="str">
        <f>HYPERLINK("https://www.washoecounty.gov/assessor/cama/?command=sales&amp;parid=50839037","3873138")</f>
        <v>3873138</v>
      </c>
      <c r="H6777" t="s">
        <v>3362</v>
      </c>
      <c r="I6777">
        <v>1998</v>
      </c>
      <c r="J6777">
        <v>1998</v>
      </c>
      <c r="K6777" t="s">
        <v>4554</v>
      </c>
      <c r="L6777" t="s">
        <v>4555</v>
      </c>
      <c r="M6777" s="2">
        <v>1265</v>
      </c>
      <c r="N6777" t="s">
        <v>4556</v>
      </c>
      <c r="O6777">
        <v>3</v>
      </c>
      <c r="P6777">
        <v>2</v>
      </c>
      <c r="Q6777">
        <v>0</v>
      </c>
      <c r="R6777" t="s">
        <v>5281</v>
      </c>
      <c r="S6777" t="s">
        <v>4558</v>
      </c>
      <c r="T6777" t="s">
        <v>4559</v>
      </c>
      <c r="U6777" t="s">
        <v>4560</v>
      </c>
      <c r="V6777" s="2">
        <v>415</v>
      </c>
      <c r="W6777" t="s">
        <v>4655</v>
      </c>
      <c r="X6777" s="2">
        <v>0</v>
      </c>
      <c r="Y6777">
        <v>20</v>
      </c>
      <c r="Z6777" t="s">
        <v>5508</v>
      </c>
      <c r="AA6777" s="3">
        <v>0.173002749681473</v>
      </c>
      <c r="AB6777" t="s">
        <v>4673</v>
      </c>
      <c r="AC6777" t="s">
        <v>4562</v>
      </c>
      <c r="AD6777" t="s">
        <v>3093</v>
      </c>
      <c r="AE6777" t="s">
        <v>4655</v>
      </c>
      <c r="AF6777" t="s">
        <v>4563</v>
      </c>
      <c r="AG6777" t="s">
        <v>4564</v>
      </c>
      <c r="AH6777">
        <v>89512</v>
      </c>
      <c r="AI6777" t="s">
        <v>2351</v>
      </c>
      <c r="AJ6777" t="s">
        <v>3405</v>
      </c>
      <c r="AK6777" t="s">
        <v>32397</v>
      </c>
      <c r="AL6777" s="13" t="s">
        <v>1898</v>
      </c>
      <c r="AM6777">
        <v>1</v>
      </c>
      <c r="AN6777" s="15" t="s">
        <v>1598</v>
      </c>
    </row>
    <row r="6778" spans="1:40" x14ac:dyDescent="0.3">
      <c r="A6778" s="10" t="str">
        <f>HYPERLINK("http://www.washoecounty.gov/assessor/cama/?parid=508-400-12&amp;CardNumber=1","508-400-12")</f>
        <v>508-400-12</v>
      </c>
      <c r="B6778" t="s">
        <v>4655</v>
      </c>
      <c r="C6778" t="s">
        <v>32398</v>
      </c>
      <c r="D6778" s="1">
        <v>40254</v>
      </c>
      <c r="E6778" s="2">
        <v>140000</v>
      </c>
      <c r="F6778" t="s">
        <v>4553</v>
      </c>
      <c r="G6778" s="17" t="str">
        <f>HYPERLINK("https://www.washoecounty.gov/assessor/cama/?command=sales&amp;parid=50840012","3860674")</f>
        <v>3860674</v>
      </c>
      <c r="H6778" t="s">
        <v>3362</v>
      </c>
      <c r="I6778">
        <v>1998</v>
      </c>
      <c r="J6778">
        <v>1998</v>
      </c>
      <c r="K6778" t="s">
        <v>4554</v>
      </c>
      <c r="L6778" t="s">
        <v>4555</v>
      </c>
      <c r="M6778" s="2">
        <v>1696</v>
      </c>
      <c r="N6778" t="s">
        <v>4556</v>
      </c>
      <c r="O6778">
        <v>3</v>
      </c>
      <c r="P6778">
        <v>2</v>
      </c>
      <c r="Q6778">
        <v>0</v>
      </c>
      <c r="R6778" t="s">
        <v>5281</v>
      </c>
      <c r="S6778" t="s">
        <v>4558</v>
      </c>
      <c r="T6778" t="s">
        <v>4559</v>
      </c>
      <c r="U6778" t="s">
        <v>4560</v>
      </c>
      <c r="V6778" s="2">
        <v>576</v>
      </c>
      <c r="W6778" t="s">
        <v>4655</v>
      </c>
      <c r="X6778" s="2">
        <v>0</v>
      </c>
      <c r="Y6778">
        <v>20</v>
      </c>
      <c r="Z6778" t="s">
        <v>5508</v>
      </c>
      <c r="AA6778" s="3">
        <v>0.22699724137783051</v>
      </c>
      <c r="AB6778" t="s">
        <v>32399</v>
      </c>
      <c r="AC6778" t="s">
        <v>4562</v>
      </c>
      <c r="AD6778" t="s">
        <v>32398</v>
      </c>
      <c r="AE6778" t="s">
        <v>4655</v>
      </c>
      <c r="AF6778" t="s">
        <v>1600</v>
      </c>
      <c r="AG6778" t="s">
        <v>4564</v>
      </c>
      <c r="AH6778" t="s">
        <v>1601</v>
      </c>
      <c r="AI6778" t="s">
        <v>4903</v>
      </c>
      <c r="AJ6778" t="s">
        <v>3405</v>
      </c>
      <c r="AK6778" t="s">
        <v>32400</v>
      </c>
      <c r="AL6778" s="13" t="s">
        <v>1898</v>
      </c>
      <c r="AM6778" s="14">
        <v>1</v>
      </c>
      <c r="AN6778" s="15" t="s">
        <v>1598</v>
      </c>
    </row>
    <row r="6779" spans="1:40" x14ac:dyDescent="0.3">
      <c r="A6779" s="10" t="str">
        <f>HYPERLINK("http://www.washoecounty.gov/assessor/cama/?parid=508-410-06&amp;CardNumber=1","508-410-06")</f>
        <v>508-410-06</v>
      </c>
      <c r="B6779" t="s">
        <v>4655</v>
      </c>
      <c r="C6779" t="s">
        <v>32401</v>
      </c>
      <c r="D6779" s="1">
        <v>40354</v>
      </c>
      <c r="E6779" s="2">
        <v>113000</v>
      </c>
      <c r="F6779" t="s">
        <v>4553</v>
      </c>
      <c r="G6779" s="17" t="str">
        <f>HYPERLINK("https://www.washoecounty.gov/assessor/cama/?command=sales&amp;parid=50841006","3895526")</f>
        <v>3895526</v>
      </c>
      <c r="H6779" t="s">
        <v>3406</v>
      </c>
      <c r="I6779">
        <v>1999</v>
      </c>
      <c r="J6779">
        <v>1999</v>
      </c>
      <c r="K6779" t="s">
        <v>4554</v>
      </c>
      <c r="L6779" t="s">
        <v>4555</v>
      </c>
      <c r="M6779" s="2">
        <v>1040</v>
      </c>
      <c r="N6779" t="s">
        <v>4556</v>
      </c>
      <c r="O6779">
        <v>3</v>
      </c>
      <c r="P6779">
        <v>2</v>
      </c>
      <c r="Q6779">
        <v>0</v>
      </c>
      <c r="R6779" t="s">
        <v>5281</v>
      </c>
      <c r="S6779" t="s">
        <v>4558</v>
      </c>
      <c r="T6779" t="s">
        <v>4559</v>
      </c>
      <c r="U6779" t="s">
        <v>4560</v>
      </c>
      <c r="V6779" s="2">
        <v>400</v>
      </c>
      <c r="W6779" t="s">
        <v>4655</v>
      </c>
      <c r="X6779" s="2">
        <v>0</v>
      </c>
      <c r="Y6779">
        <v>20</v>
      </c>
      <c r="Z6779" t="s">
        <v>5508</v>
      </c>
      <c r="AA6779" s="3">
        <v>0.17199265956878662</v>
      </c>
      <c r="AB6779" t="s">
        <v>4673</v>
      </c>
      <c r="AC6779" t="s">
        <v>4562</v>
      </c>
      <c r="AD6779" t="s">
        <v>3093</v>
      </c>
      <c r="AE6779" t="s">
        <v>4655</v>
      </c>
      <c r="AF6779" t="s">
        <v>4563</v>
      </c>
      <c r="AG6779" t="s">
        <v>4564</v>
      </c>
      <c r="AH6779">
        <v>89512</v>
      </c>
      <c r="AI6779" t="s">
        <v>1602</v>
      </c>
      <c r="AJ6779" t="s">
        <v>2537</v>
      </c>
      <c r="AK6779" t="s">
        <v>32402</v>
      </c>
      <c r="AL6779" s="13" t="s">
        <v>1898</v>
      </c>
      <c r="AM6779" s="14">
        <v>1</v>
      </c>
      <c r="AN6779" s="15" t="s">
        <v>1598</v>
      </c>
    </row>
    <row r="6780" spans="1:40" x14ac:dyDescent="0.3">
      <c r="A6780" s="10" t="str">
        <f>HYPERLINK("http://www.washoecounty.gov/assessor/cama/?parid=508-410-13&amp;CardNumber=1","508-410-13")</f>
        <v>508-410-13</v>
      </c>
      <c r="B6780" t="s">
        <v>4655</v>
      </c>
      <c r="C6780" t="s">
        <v>32403</v>
      </c>
      <c r="D6780" s="1">
        <v>40288</v>
      </c>
      <c r="E6780" s="2">
        <v>119000</v>
      </c>
      <c r="F6780" t="s">
        <v>4567</v>
      </c>
      <c r="G6780" s="17" t="str">
        <f>HYPERLINK("https://www.washoecounty.gov/assessor/cama/?command=sales&amp;parid=50841013","3873081")</f>
        <v>3873081</v>
      </c>
      <c r="H6780" t="s">
        <v>3406</v>
      </c>
      <c r="I6780">
        <v>1999</v>
      </c>
      <c r="J6780">
        <v>1999</v>
      </c>
      <c r="K6780" t="s">
        <v>4554</v>
      </c>
      <c r="L6780" t="s">
        <v>4555</v>
      </c>
      <c r="M6780" s="2">
        <v>1105</v>
      </c>
      <c r="N6780" t="s">
        <v>4556</v>
      </c>
      <c r="O6780">
        <v>3</v>
      </c>
      <c r="P6780">
        <v>2</v>
      </c>
      <c r="Q6780">
        <v>0</v>
      </c>
      <c r="R6780" t="s">
        <v>5281</v>
      </c>
      <c r="S6780" t="s">
        <v>4558</v>
      </c>
      <c r="T6780" t="s">
        <v>4559</v>
      </c>
      <c r="U6780" t="s">
        <v>4560</v>
      </c>
      <c r="V6780" s="2">
        <v>495</v>
      </c>
      <c r="W6780" t="s">
        <v>4655</v>
      </c>
      <c r="X6780" s="2">
        <v>0</v>
      </c>
      <c r="Y6780">
        <v>20</v>
      </c>
      <c r="Z6780" t="s">
        <v>5508</v>
      </c>
      <c r="AA6780" s="3">
        <v>0.228007346391678</v>
      </c>
      <c r="AB6780" t="s">
        <v>32404</v>
      </c>
      <c r="AC6780" t="s">
        <v>4562</v>
      </c>
      <c r="AD6780" t="s">
        <v>32403</v>
      </c>
      <c r="AE6780" t="s">
        <v>4655</v>
      </c>
      <c r="AF6780" t="s">
        <v>1600</v>
      </c>
      <c r="AG6780" t="s">
        <v>4564</v>
      </c>
      <c r="AH6780" t="s">
        <v>1601</v>
      </c>
      <c r="AI6780" t="s">
        <v>4655</v>
      </c>
      <c r="AJ6780" t="s">
        <v>2537</v>
      </c>
      <c r="AK6780" t="s">
        <v>32405</v>
      </c>
      <c r="AL6780" s="13" t="s">
        <v>1898</v>
      </c>
      <c r="AM6780" s="14">
        <v>1</v>
      </c>
      <c r="AN6780" s="15" t="s">
        <v>1598</v>
      </c>
    </row>
    <row r="6781" spans="1:40" x14ac:dyDescent="0.3">
      <c r="A6781" s="10" t="str">
        <f>HYPERLINK("http://www.washoecounty.gov/assessor/cama/?parid=508-410-24&amp;CardNumber=1","508-410-24")</f>
        <v>508-410-24</v>
      </c>
      <c r="B6781" t="s">
        <v>4655</v>
      </c>
      <c r="C6781" t="s">
        <v>32406</v>
      </c>
      <c r="D6781" s="1">
        <v>40200</v>
      </c>
      <c r="E6781" s="2">
        <v>130000</v>
      </c>
      <c r="F6781" t="s">
        <v>4553</v>
      </c>
      <c r="G6781" s="17" t="str">
        <f>HYPERLINK("https://www.washoecounty.gov/assessor/cama/?command=sales&amp;parid=50841024","3842139")</f>
        <v>3842139</v>
      </c>
      <c r="H6781" t="s">
        <v>3406</v>
      </c>
      <c r="I6781">
        <v>1999</v>
      </c>
      <c r="J6781">
        <v>1999</v>
      </c>
      <c r="K6781" t="s">
        <v>4554</v>
      </c>
      <c r="L6781" t="s">
        <v>4555</v>
      </c>
      <c r="M6781" s="2">
        <v>1345</v>
      </c>
      <c r="N6781" t="s">
        <v>4556</v>
      </c>
      <c r="O6781">
        <v>3</v>
      </c>
      <c r="P6781">
        <v>2</v>
      </c>
      <c r="Q6781">
        <v>0</v>
      </c>
      <c r="R6781" t="s">
        <v>5281</v>
      </c>
      <c r="S6781" t="s">
        <v>4558</v>
      </c>
      <c r="T6781" t="s">
        <v>4559</v>
      </c>
      <c r="U6781" t="s">
        <v>4560</v>
      </c>
      <c r="V6781" s="2">
        <v>415</v>
      </c>
      <c r="W6781" t="s">
        <v>4655</v>
      </c>
      <c r="X6781" s="2">
        <v>0</v>
      </c>
      <c r="Y6781">
        <v>20</v>
      </c>
      <c r="Z6781" t="s">
        <v>5508</v>
      </c>
      <c r="AA6781" s="3">
        <v>0.19800275564193701</v>
      </c>
      <c r="AB6781" t="s">
        <v>32407</v>
      </c>
      <c r="AC6781" t="s">
        <v>4562</v>
      </c>
      <c r="AD6781" t="s">
        <v>32406</v>
      </c>
      <c r="AE6781" t="s">
        <v>4655</v>
      </c>
      <c r="AF6781" t="s">
        <v>1570</v>
      </c>
      <c r="AG6781" t="s">
        <v>4564</v>
      </c>
      <c r="AH6781" t="s">
        <v>3898</v>
      </c>
      <c r="AI6781" t="s">
        <v>4903</v>
      </c>
      <c r="AJ6781" t="s">
        <v>2537</v>
      </c>
      <c r="AK6781" t="s">
        <v>32408</v>
      </c>
      <c r="AL6781" s="13" t="s">
        <v>1898</v>
      </c>
      <c r="AM6781" s="14">
        <v>1</v>
      </c>
      <c r="AN6781" s="15" t="s">
        <v>1598</v>
      </c>
    </row>
    <row r="6782" spans="1:40" x14ac:dyDescent="0.3">
      <c r="A6782" s="10" t="str">
        <f>HYPERLINK("http://www.washoecounty.gov/assessor/cama/?parid=508-410-34&amp;CardNumber=1","508-410-34")</f>
        <v>508-410-34</v>
      </c>
      <c r="B6782" t="s">
        <v>4655</v>
      </c>
      <c r="C6782" t="s">
        <v>32409</v>
      </c>
      <c r="D6782" s="1">
        <v>40361</v>
      </c>
      <c r="E6782" s="2">
        <v>140000</v>
      </c>
      <c r="F6782" t="s">
        <v>4553</v>
      </c>
      <c r="G6782" s="17" t="str">
        <f>HYPERLINK("https://www.washoecounty.gov/assessor/cama/?command=sales&amp;parid=50841034","3898188")</f>
        <v>3898188</v>
      </c>
      <c r="H6782" t="s">
        <v>3406</v>
      </c>
      <c r="I6782">
        <v>1999</v>
      </c>
      <c r="J6782">
        <v>1999</v>
      </c>
      <c r="K6782" t="s">
        <v>4554</v>
      </c>
      <c r="L6782" t="s">
        <v>4555</v>
      </c>
      <c r="M6782" s="2">
        <v>1457</v>
      </c>
      <c r="N6782" t="s">
        <v>4556</v>
      </c>
      <c r="O6782">
        <v>3</v>
      </c>
      <c r="P6782">
        <v>2</v>
      </c>
      <c r="Q6782">
        <v>0</v>
      </c>
      <c r="R6782" t="s">
        <v>5281</v>
      </c>
      <c r="S6782" t="s">
        <v>4558</v>
      </c>
      <c r="T6782" t="s">
        <v>4559</v>
      </c>
      <c r="U6782" t="s">
        <v>4560</v>
      </c>
      <c r="V6782" s="2">
        <v>495</v>
      </c>
      <c r="W6782" t="s">
        <v>4655</v>
      </c>
      <c r="X6782" s="2">
        <v>0</v>
      </c>
      <c r="Y6782">
        <v>20</v>
      </c>
      <c r="Z6782" t="s">
        <v>5508</v>
      </c>
      <c r="AA6782" s="3">
        <v>0.19299817085266099</v>
      </c>
      <c r="AB6782" t="s">
        <v>32410</v>
      </c>
      <c r="AC6782" t="s">
        <v>4562</v>
      </c>
      <c r="AD6782" t="s">
        <v>32409</v>
      </c>
      <c r="AE6782" t="s">
        <v>4655</v>
      </c>
      <c r="AF6782" t="s">
        <v>1600</v>
      </c>
      <c r="AG6782" t="s">
        <v>4564</v>
      </c>
      <c r="AH6782" t="s">
        <v>1601</v>
      </c>
      <c r="AI6782" t="s">
        <v>4655</v>
      </c>
      <c r="AJ6782" t="s">
        <v>2537</v>
      </c>
      <c r="AK6782" t="s">
        <v>32411</v>
      </c>
      <c r="AL6782" s="13" t="s">
        <v>1898</v>
      </c>
      <c r="AM6782">
        <v>1</v>
      </c>
      <c r="AN6782" s="15" t="s">
        <v>1598</v>
      </c>
    </row>
    <row r="6783" spans="1:40" x14ac:dyDescent="0.3">
      <c r="A6783" s="10" t="str">
        <f>HYPERLINK("http://www.washoecounty.gov/assessor/cama/?parid=508-420-19&amp;CardNumber=1","508-420-19")</f>
        <v>508-420-19</v>
      </c>
      <c r="B6783" t="s">
        <v>4655</v>
      </c>
      <c r="C6783" t="s">
        <v>32412</v>
      </c>
      <c r="D6783" s="1">
        <v>40400</v>
      </c>
      <c r="E6783" s="2">
        <v>139000</v>
      </c>
      <c r="F6783" t="s">
        <v>4567</v>
      </c>
      <c r="G6783" s="17" t="str">
        <f>HYPERLINK("https://www.washoecounty.gov/assessor/cama/?command=sales&amp;parid=50842019","3910388")</f>
        <v>3910388</v>
      </c>
      <c r="H6783" t="s">
        <v>3406</v>
      </c>
      <c r="I6783">
        <v>1999</v>
      </c>
      <c r="J6783">
        <v>1999</v>
      </c>
      <c r="K6783" t="s">
        <v>4554</v>
      </c>
      <c r="L6783" t="s">
        <v>4555</v>
      </c>
      <c r="M6783" s="2">
        <v>1568</v>
      </c>
      <c r="N6783" t="s">
        <v>4556</v>
      </c>
      <c r="O6783">
        <v>4</v>
      </c>
      <c r="P6783">
        <v>2</v>
      </c>
      <c r="Q6783">
        <v>0</v>
      </c>
      <c r="R6783" t="s">
        <v>4557</v>
      </c>
      <c r="S6783" t="s">
        <v>4558</v>
      </c>
      <c r="T6783" t="s">
        <v>4559</v>
      </c>
      <c r="U6783" t="s">
        <v>4560</v>
      </c>
      <c r="V6783" s="2">
        <v>480</v>
      </c>
      <c r="W6783" t="s">
        <v>4655</v>
      </c>
      <c r="X6783" s="2">
        <v>0</v>
      </c>
      <c r="Y6783">
        <v>20</v>
      </c>
      <c r="Z6783" t="s">
        <v>5508</v>
      </c>
      <c r="AA6783" s="3">
        <v>0.18399907648563399</v>
      </c>
      <c r="AB6783" t="s">
        <v>32413</v>
      </c>
      <c r="AC6783" t="s">
        <v>4562</v>
      </c>
      <c r="AD6783" t="s">
        <v>32414</v>
      </c>
      <c r="AE6783" t="s">
        <v>4655</v>
      </c>
      <c r="AF6783" t="s">
        <v>1570</v>
      </c>
      <c r="AG6783" t="s">
        <v>4564</v>
      </c>
      <c r="AH6783" t="s">
        <v>1601</v>
      </c>
      <c r="AI6783" t="s">
        <v>32415</v>
      </c>
      <c r="AJ6783" t="s">
        <v>2537</v>
      </c>
      <c r="AK6783" t="s">
        <v>32416</v>
      </c>
      <c r="AL6783" s="13" t="s">
        <v>1898</v>
      </c>
      <c r="AM6783" s="14">
        <v>1</v>
      </c>
      <c r="AN6783" s="15" t="s">
        <v>1598</v>
      </c>
    </row>
    <row r="6784" spans="1:40" x14ac:dyDescent="0.3">
      <c r="A6784" s="10" t="str">
        <f>HYPERLINK("http://www.washoecounty.gov/assessor/cama/?parid=508-420-24&amp;CardNumber=1","508-420-24")</f>
        <v>508-420-24</v>
      </c>
      <c r="B6784" t="s">
        <v>4655</v>
      </c>
      <c r="C6784" t="s">
        <v>32417</v>
      </c>
      <c r="D6784" s="1">
        <v>40358</v>
      </c>
      <c r="E6784" s="2">
        <v>116000</v>
      </c>
      <c r="F6784" t="s">
        <v>4567</v>
      </c>
      <c r="G6784" s="17" t="str">
        <f>HYPERLINK("https://www.washoecounty.gov/assessor/cama/?command=sales&amp;parid=50842024","3896672")</f>
        <v>3896672</v>
      </c>
      <c r="H6784" t="s">
        <v>3406</v>
      </c>
      <c r="I6784">
        <v>1999</v>
      </c>
      <c r="J6784">
        <v>1999</v>
      </c>
      <c r="K6784" t="s">
        <v>4554</v>
      </c>
      <c r="L6784" t="s">
        <v>4555</v>
      </c>
      <c r="M6784" s="2">
        <v>1304</v>
      </c>
      <c r="N6784" t="s">
        <v>4556</v>
      </c>
      <c r="O6784">
        <v>3</v>
      </c>
      <c r="P6784">
        <v>2</v>
      </c>
      <c r="Q6784">
        <v>0</v>
      </c>
      <c r="R6784" t="s">
        <v>5281</v>
      </c>
      <c r="S6784" t="s">
        <v>4558</v>
      </c>
      <c r="T6784" t="s">
        <v>4559</v>
      </c>
      <c r="U6784" t="s">
        <v>4560</v>
      </c>
      <c r="V6784" s="2">
        <v>400</v>
      </c>
      <c r="W6784" t="s">
        <v>4655</v>
      </c>
      <c r="X6784" s="2">
        <v>0</v>
      </c>
      <c r="Y6784">
        <v>20</v>
      </c>
      <c r="Z6784" t="s">
        <v>5508</v>
      </c>
      <c r="AA6784" s="3">
        <v>0.28900367021560702</v>
      </c>
      <c r="AB6784" t="s">
        <v>32418</v>
      </c>
      <c r="AC6784" t="s">
        <v>4562</v>
      </c>
      <c r="AD6784" t="s">
        <v>32417</v>
      </c>
      <c r="AE6784" t="s">
        <v>4655</v>
      </c>
      <c r="AF6784" t="s">
        <v>1600</v>
      </c>
      <c r="AG6784" t="s">
        <v>4564</v>
      </c>
      <c r="AH6784" t="s">
        <v>1601</v>
      </c>
      <c r="AI6784" t="s">
        <v>32419</v>
      </c>
      <c r="AJ6784" t="s">
        <v>2537</v>
      </c>
      <c r="AK6784" t="s">
        <v>32420</v>
      </c>
      <c r="AL6784" s="13" t="s">
        <v>1898</v>
      </c>
      <c r="AM6784">
        <v>1</v>
      </c>
      <c r="AN6784" s="15" t="s">
        <v>1598</v>
      </c>
    </row>
    <row r="6785" spans="1:40" x14ac:dyDescent="0.3">
      <c r="A6785" s="10" t="str">
        <f>HYPERLINK("http://www.washoecounty.gov/assessor/cama/?parid=508-430-02&amp;CardNumber=1","508-430-02")</f>
        <v>508-430-02</v>
      </c>
      <c r="B6785" t="s">
        <v>4655</v>
      </c>
      <c r="C6785" t="s">
        <v>32421</v>
      </c>
      <c r="D6785" s="1">
        <v>40448</v>
      </c>
      <c r="E6785" s="2">
        <v>125300</v>
      </c>
      <c r="F6785" t="s">
        <v>4567</v>
      </c>
      <c r="G6785" s="17" t="str">
        <f>HYPERLINK("https://www.washoecounty.gov/assessor/cama/?command=sales&amp;parid=50843002","3926617")</f>
        <v>3926617</v>
      </c>
      <c r="H6785" t="s">
        <v>2538</v>
      </c>
      <c r="I6785">
        <v>1999</v>
      </c>
      <c r="J6785">
        <v>1999</v>
      </c>
      <c r="K6785" t="s">
        <v>4554</v>
      </c>
      <c r="L6785" t="s">
        <v>4555</v>
      </c>
      <c r="M6785" s="2">
        <v>1464</v>
      </c>
      <c r="N6785" t="s">
        <v>4556</v>
      </c>
      <c r="O6785">
        <v>4</v>
      </c>
      <c r="P6785">
        <v>2</v>
      </c>
      <c r="Q6785">
        <v>0</v>
      </c>
      <c r="R6785" t="s">
        <v>5281</v>
      </c>
      <c r="S6785" t="s">
        <v>4558</v>
      </c>
      <c r="T6785" t="s">
        <v>4559</v>
      </c>
      <c r="U6785" t="s">
        <v>4560</v>
      </c>
      <c r="V6785" s="2">
        <v>400</v>
      </c>
      <c r="W6785" t="s">
        <v>4655</v>
      </c>
      <c r="X6785" s="2">
        <v>0</v>
      </c>
      <c r="Y6785">
        <v>20</v>
      </c>
      <c r="Z6785" t="s">
        <v>5508</v>
      </c>
      <c r="AA6785" s="3">
        <v>0.18999081850051899</v>
      </c>
      <c r="AB6785" t="s">
        <v>31859</v>
      </c>
      <c r="AC6785" t="s">
        <v>4562</v>
      </c>
      <c r="AD6785" t="s">
        <v>32421</v>
      </c>
      <c r="AE6785" t="s">
        <v>4655</v>
      </c>
      <c r="AF6785" t="s">
        <v>1600</v>
      </c>
      <c r="AG6785" t="s">
        <v>4564</v>
      </c>
      <c r="AH6785" t="s">
        <v>1601</v>
      </c>
      <c r="AI6785" t="s">
        <v>32422</v>
      </c>
      <c r="AJ6785" t="s">
        <v>2539</v>
      </c>
      <c r="AK6785" t="s">
        <v>32423</v>
      </c>
      <c r="AL6785" s="13" t="s">
        <v>1898</v>
      </c>
      <c r="AM6785" s="14">
        <v>1</v>
      </c>
      <c r="AN6785" s="15" t="s">
        <v>1598</v>
      </c>
    </row>
    <row r="6786" spans="1:40" x14ac:dyDescent="0.3">
      <c r="A6786" s="10" t="str">
        <f>HYPERLINK("http://www.washoecounty.gov/assessor/cama/?parid=508-430-25&amp;CardNumber=1","508-430-25")</f>
        <v>508-430-25</v>
      </c>
      <c r="B6786" t="s">
        <v>4655</v>
      </c>
      <c r="C6786" t="s">
        <v>32424</v>
      </c>
      <c r="D6786" s="1">
        <v>40542</v>
      </c>
      <c r="E6786" s="2">
        <v>91500</v>
      </c>
      <c r="F6786" t="s">
        <v>4567</v>
      </c>
      <c r="G6786" s="17" t="str">
        <f>HYPERLINK("https://www.washoecounty.gov/assessor/cama/?command=sales&amp;parid=50843025","3959358")</f>
        <v>3959358</v>
      </c>
      <c r="H6786" t="s">
        <v>2538</v>
      </c>
      <c r="I6786">
        <v>1999</v>
      </c>
      <c r="J6786">
        <v>1999</v>
      </c>
      <c r="K6786" t="s">
        <v>4554</v>
      </c>
      <c r="L6786" t="s">
        <v>4555</v>
      </c>
      <c r="M6786" s="2">
        <v>960</v>
      </c>
      <c r="N6786" t="s">
        <v>4556</v>
      </c>
      <c r="O6786">
        <v>3</v>
      </c>
      <c r="P6786">
        <v>2</v>
      </c>
      <c r="Q6786">
        <v>0</v>
      </c>
      <c r="R6786" t="s">
        <v>4557</v>
      </c>
      <c r="S6786" t="s">
        <v>4558</v>
      </c>
      <c r="T6786" t="s">
        <v>4559</v>
      </c>
      <c r="U6786" t="s">
        <v>4560</v>
      </c>
      <c r="V6786" s="2">
        <v>400</v>
      </c>
      <c r="W6786" t="s">
        <v>4655</v>
      </c>
      <c r="X6786" s="2">
        <v>0</v>
      </c>
      <c r="Y6786">
        <v>20</v>
      </c>
      <c r="Z6786" t="s">
        <v>5508</v>
      </c>
      <c r="AA6786" s="3">
        <v>0.157001838088036</v>
      </c>
      <c r="AB6786" t="s">
        <v>4673</v>
      </c>
      <c r="AC6786" t="s">
        <v>4562</v>
      </c>
      <c r="AD6786" t="s">
        <v>3093</v>
      </c>
      <c r="AE6786" t="s">
        <v>4655</v>
      </c>
      <c r="AF6786" t="s">
        <v>4563</v>
      </c>
      <c r="AG6786" t="s">
        <v>4564</v>
      </c>
      <c r="AH6786">
        <v>89512</v>
      </c>
      <c r="AI6786" t="s">
        <v>32425</v>
      </c>
      <c r="AJ6786" t="s">
        <v>2539</v>
      </c>
      <c r="AK6786" t="s">
        <v>32426</v>
      </c>
      <c r="AL6786" s="13" t="s">
        <v>1898</v>
      </c>
      <c r="AM6786">
        <v>1</v>
      </c>
      <c r="AN6786" s="15" t="s">
        <v>1598</v>
      </c>
    </row>
    <row r="6787" spans="1:40" x14ac:dyDescent="0.3">
      <c r="A6787" s="10" t="str">
        <f>HYPERLINK("http://www.washoecounty.gov/assessor/cama/?parid=508-441-02&amp;CardNumber=1","508-441-02")</f>
        <v>508-441-02</v>
      </c>
      <c r="B6787" t="s">
        <v>4655</v>
      </c>
      <c r="C6787" t="s">
        <v>32427</v>
      </c>
      <c r="D6787" s="1">
        <v>40358</v>
      </c>
      <c r="E6787" s="2">
        <v>145000</v>
      </c>
      <c r="F6787" t="s">
        <v>4567</v>
      </c>
      <c r="G6787" s="17" t="str">
        <f>HYPERLINK("https://www.washoecounty.gov/assessor/cama/?command=sales&amp;parid=50844102","3896745")</f>
        <v>3896745</v>
      </c>
      <c r="H6787" t="s">
        <v>2538</v>
      </c>
      <c r="I6787">
        <v>1999</v>
      </c>
      <c r="J6787">
        <v>1999</v>
      </c>
      <c r="K6787" t="s">
        <v>4554</v>
      </c>
      <c r="L6787" t="s">
        <v>4555</v>
      </c>
      <c r="M6787" s="2">
        <v>1568</v>
      </c>
      <c r="N6787" t="s">
        <v>4556</v>
      </c>
      <c r="O6787">
        <v>4</v>
      </c>
      <c r="P6787">
        <v>2</v>
      </c>
      <c r="Q6787">
        <v>0</v>
      </c>
      <c r="R6787" t="s">
        <v>5281</v>
      </c>
      <c r="S6787" t="s">
        <v>4558</v>
      </c>
      <c r="T6787" t="s">
        <v>4559</v>
      </c>
      <c r="U6787" t="s">
        <v>4560</v>
      </c>
      <c r="V6787" s="2">
        <v>480</v>
      </c>
      <c r="W6787" t="s">
        <v>4655</v>
      </c>
      <c r="X6787" s="2">
        <v>0</v>
      </c>
      <c r="Y6787">
        <v>20</v>
      </c>
      <c r="Z6787" t="s">
        <v>5508</v>
      </c>
      <c r="AA6787" s="3">
        <v>0.18599632382392883</v>
      </c>
      <c r="AB6787" t="s">
        <v>32428</v>
      </c>
      <c r="AC6787" t="s">
        <v>4562</v>
      </c>
      <c r="AD6787" t="s">
        <v>32427</v>
      </c>
      <c r="AE6787" t="s">
        <v>4655</v>
      </c>
      <c r="AF6787" t="s">
        <v>1600</v>
      </c>
      <c r="AG6787" t="s">
        <v>4564</v>
      </c>
      <c r="AH6787" t="s">
        <v>1601</v>
      </c>
      <c r="AI6787" t="s">
        <v>32429</v>
      </c>
      <c r="AJ6787" t="s">
        <v>2539</v>
      </c>
      <c r="AK6787" t="s">
        <v>32430</v>
      </c>
      <c r="AL6787" s="13" t="s">
        <v>1898</v>
      </c>
      <c r="AM6787" s="14">
        <v>1</v>
      </c>
      <c r="AN6787" s="15" t="s">
        <v>1598</v>
      </c>
    </row>
    <row r="6788" spans="1:40" x14ac:dyDescent="0.3">
      <c r="A6788" s="10" t="str">
        <f>HYPERLINK("http://www.washoecounty.gov/assessor/cama/?parid=508-441-04&amp;CardNumber=1","508-441-04")</f>
        <v>508-441-04</v>
      </c>
      <c r="B6788" t="s">
        <v>4655</v>
      </c>
      <c r="C6788" t="s">
        <v>32431</v>
      </c>
      <c r="D6788" s="1">
        <v>40290</v>
      </c>
      <c r="E6788" s="2">
        <v>147000</v>
      </c>
      <c r="F6788" t="s">
        <v>4553</v>
      </c>
      <c r="G6788" s="17" t="str">
        <f>HYPERLINK("https://www.washoecounty.gov/assessor/cama/?command=sales&amp;parid=50844104","3873691")</f>
        <v>3873691</v>
      </c>
      <c r="H6788" t="s">
        <v>2538</v>
      </c>
      <c r="I6788">
        <v>1999</v>
      </c>
      <c r="J6788">
        <v>1999</v>
      </c>
      <c r="K6788" t="s">
        <v>4554</v>
      </c>
      <c r="L6788" t="s">
        <v>4555</v>
      </c>
      <c r="M6788" s="2">
        <v>1568</v>
      </c>
      <c r="N6788" t="s">
        <v>4556</v>
      </c>
      <c r="O6788">
        <v>4</v>
      </c>
      <c r="P6788">
        <v>2</v>
      </c>
      <c r="Q6788">
        <v>0</v>
      </c>
      <c r="R6788" t="s">
        <v>4557</v>
      </c>
      <c r="S6788" t="s">
        <v>4558</v>
      </c>
      <c r="T6788" t="s">
        <v>4559</v>
      </c>
      <c r="U6788" t="s">
        <v>4560</v>
      </c>
      <c r="V6788" s="2">
        <v>480</v>
      </c>
      <c r="W6788" t="s">
        <v>4655</v>
      </c>
      <c r="X6788" s="2">
        <v>0</v>
      </c>
      <c r="Y6788">
        <v>20</v>
      </c>
      <c r="Z6788" t="s">
        <v>5508</v>
      </c>
      <c r="AA6788" s="3">
        <v>0.19499540328979501</v>
      </c>
      <c r="AB6788" t="s">
        <v>32432</v>
      </c>
      <c r="AC6788" t="s">
        <v>4562</v>
      </c>
      <c r="AD6788" t="s">
        <v>32431</v>
      </c>
      <c r="AE6788" t="s">
        <v>4655</v>
      </c>
      <c r="AF6788" t="s">
        <v>1600</v>
      </c>
      <c r="AG6788" t="s">
        <v>4564</v>
      </c>
      <c r="AH6788" t="s">
        <v>1601</v>
      </c>
      <c r="AI6788" t="s">
        <v>4503</v>
      </c>
      <c r="AJ6788" t="s">
        <v>32433</v>
      </c>
      <c r="AK6788" t="s">
        <v>32434</v>
      </c>
      <c r="AL6788" s="13" t="s">
        <v>1898</v>
      </c>
      <c r="AM6788">
        <v>1</v>
      </c>
      <c r="AN6788" s="15" t="s">
        <v>1598</v>
      </c>
    </row>
    <row r="6789" spans="1:40" x14ac:dyDescent="0.3">
      <c r="A6789" s="10" t="str">
        <f>HYPERLINK("http://www.washoecounty.gov/assessor/cama/?parid=508-441-12&amp;CardNumber=1","508-441-12")</f>
        <v>508-441-12</v>
      </c>
      <c r="B6789" t="s">
        <v>4655</v>
      </c>
      <c r="C6789" t="s">
        <v>32435</v>
      </c>
      <c r="D6789" s="1">
        <v>40200</v>
      </c>
      <c r="E6789" s="2">
        <v>172500</v>
      </c>
      <c r="F6789" t="s">
        <v>4553</v>
      </c>
      <c r="G6789" s="17" t="str">
        <f>HYPERLINK("https://www.washoecounty.gov/assessor/cama/?command=sales&amp;parid=50844112","3842053")</f>
        <v>3842053</v>
      </c>
      <c r="H6789" t="s">
        <v>2538</v>
      </c>
      <c r="I6789">
        <v>1999</v>
      </c>
      <c r="J6789">
        <v>1999</v>
      </c>
      <c r="K6789" t="s">
        <v>4554</v>
      </c>
      <c r="L6789" t="s">
        <v>3974</v>
      </c>
      <c r="M6789" s="2">
        <v>2320</v>
      </c>
      <c r="N6789" t="s">
        <v>4556</v>
      </c>
      <c r="O6789">
        <v>4</v>
      </c>
      <c r="P6789">
        <v>2</v>
      </c>
      <c r="Q6789">
        <v>1</v>
      </c>
      <c r="R6789" t="s">
        <v>5281</v>
      </c>
      <c r="S6789" t="s">
        <v>4558</v>
      </c>
      <c r="T6789" t="s">
        <v>4559</v>
      </c>
      <c r="U6789" t="s">
        <v>5631</v>
      </c>
      <c r="V6789" s="2">
        <v>480</v>
      </c>
      <c r="W6789" t="s">
        <v>4655</v>
      </c>
      <c r="X6789" s="2">
        <v>0</v>
      </c>
      <c r="Y6789">
        <v>20</v>
      </c>
      <c r="Z6789" t="s">
        <v>5508</v>
      </c>
      <c r="AA6789" s="3">
        <v>0.15599173307418801</v>
      </c>
      <c r="AB6789" t="s">
        <v>32436</v>
      </c>
      <c r="AC6789" t="s">
        <v>4562</v>
      </c>
      <c r="AD6789" t="s">
        <v>32435</v>
      </c>
      <c r="AE6789" t="s">
        <v>4655</v>
      </c>
      <c r="AF6789" t="s">
        <v>1600</v>
      </c>
      <c r="AG6789" t="s">
        <v>4564</v>
      </c>
      <c r="AH6789" t="s">
        <v>1601</v>
      </c>
      <c r="AI6789" t="s">
        <v>4585</v>
      </c>
      <c r="AJ6789" t="s">
        <v>2539</v>
      </c>
      <c r="AK6789" t="s">
        <v>32437</v>
      </c>
      <c r="AL6789" s="13" t="s">
        <v>1898</v>
      </c>
      <c r="AM6789" s="14">
        <v>1</v>
      </c>
      <c r="AN6789" s="15" t="s">
        <v>1598</v>
      </c>
    </row>
    <row r="6790" spans="1:40" x14ac:dyDescent="0.3">
      <c r="A6790" s="10" t="str">
        <f>HYPERLINK("http://www.washoecounty.gov/assessor/cama/?parid=508-441-16&amp;CardNumber=1","508-441-16")</f>
        <v>508-441-16</v>
      </c>
      <c r="B6790" t="s">
        <v>4655</v>
      </c>
      <c r="C6790" t="s">
        <v>32438</v>
      </c>
      <c r="D6790" s="1">
        <v>40528</v>
      </c>
      <c r="E6790" s="2">
        <v>99000</v>
      </c>
      <c r="F6790" t="s">
        <v>4553</v>
      </c>
      <c r="G6790" s="17" t="str">
        <f>HYPERLINK("https://www.washoecounty.gov/assessor/cama/?command=sales&amp;parid=50844116","3953946")</f>
        <v>3953946</v>
      </c>
      <c r="H6790" t="s">
        <v>2538</v>
      </c>
      <c r="I6790">
        <v>1999</v>
      </c>
      <c r="J6790">
        <v>1999</v>
      </c>
      <c r="K6790" t="s">
        <v>4554</v>
      </c>
      <c r="L6790" t="s">
        <v>4555</v>
      </c>
      <c r="M6790" s="2">
        <v>960</v>
      </c>
      <c r="N6790" t="s">
        <v>4556</v>
      </c>
      <c r="O6790">
        <v>3</v>
      </c>
      <c r="P6790">
        <v>2</v>
      </c>
      <c r="Q6790">
        <v>0</v>
      </c>
      <c r="R6790" t="s">
        <v>4557</v>
      </c>
      <c r="S6790" t="s">
        <v>4558</v>
      </c>
      <c r="T6790" t="s">
        <v>4559</v>
      </c>
      <c r="U6790" t="s">
        <v>4560</v>
      </c>
      <c r="V6790" s="2">
        <v>400</v>
      </c>
      <c r="W6790" t="s">
        <v>4655</v>
      </c>
      <c r="X6790" s="2">
        <v>0</v>
      </c>
      <c r="Y6790">
        <v>20</v>
      </c>
      <c r="Z6790" t="s">
        <v>5508</v>
      </c>
      <c r="AA6790" s="3">
        <v>0.17398989200591999</v>
      </c>
      <c r="AB6790" t="s">
        <v>4673</v>
      </c>
      <c r="AC6790" t="s">
        <v>4562</v>
      </c>
      <c r="AD6790" t="s">
        <v>3093</v>
      </c>
      <c r="AE6790" t="s">
        <v>4655</v>
      </c>
      <c r="AF6790" t="s">
        <v>4563</v>
      </c>
      <c r="AG6790" t="s">
        <v>4564</v>
      </c>
      <c r="AH6790">
        <v>89512</v>
      </c>
      <c r="AI6790" t="s">
        <v>2351</v>
      </c>
      <c r="AJ6790" t="s">
        <v>2539</v>
      </c>
      <c r="AK6790" t="s">
        <v>32439</v>
      </c>
      <c r="AL6790" s="13" t="s">
        <v>1898</v>
      </c>
      <c r="AM6790">
        <v>1</v>
      </c>
      <c r="AN6790" s="15" t="s">
        <v>1598</v>
      </c>
    </row>
    <row r="6791" spans="1:40" x14ac:dyDescent="0.3">
      <c r="A6791" s="10" t="str">
        <f>HYPERLINK("http://www.washoecounty.gov/assessor/cama/?parid=508-451-02&amp;CardNumber=1","508-451-02")</f>
        <v>508-451-02</v>
      </c>
      <c r="B6791" t="s">
        <v>4655</v>
      </c>
      <c r="C6791" t="s">
        <v>32440</v>
      </c>
      <c r="D6791" s="1">
        <v>40350</v>
      </c>
      <c r="E6791" s="2">
        <v>172900</v>
      </c>
      <c r="F6791" t="s">
        <v>4553</v>
      </c>
      <c r="G6791" s="17" t="str">
        <f>HYPERLINK("https://www.washoecounty.gov/assessor/cama/?command=sales&amp;parid=50845102","3893672")</f>
        <v>3893672</v>
      </c>
      <c r="H6791" t="s">
        <v>2540</v>
      </c>
      <c r="I6791">
        <v>1999</v>
      </c>
      <c r="J6791">
        <v>1999</v>
      </c>
      <c r="K6791" t="s">
        <v>4554</v>
      </c>
      <c r="L6791" t="s">
        <v>3974</v>
      </c>
      <c r="M6791" s="2">
        <v>2320</v>
      </c>
      <c r="N6791" t="s">
        <v>4556</v>
      </c>
      <c r="O6791">
        <v>4</v>
      </c>
      <c r="P6791">
        <v>2</v>
      </c>
      <c r="Q6791">
        <v>1</v>
      </c>
      <c r="R6791" t="s">
        <v>5281</v>
      </c>
      <c r="S6791" t="s">
        <v>4558</v>
      </c>
      <c r="T6791" t="s">
        <v>4559</v>
      </c>
      <c r="U6791" t="s">
        <v>5631</v>
      </c>
      <c r="V6791" s="2">
        <v>480</v>
      </c>
      <c r="W6791" t="s">
        <v>4655</v>
      </c>
      <c r="X6791" s="2">
        <v>0</v>
      </c>
      <c r="Y6791">
        <v>20</v>
      </c>
      <c r="Z6791" t="s">
        <v>5508</v>
      </c>
      <c r="AA6791" s="3">
        <v>0.239990815520287</v>
      </c>
      <c r="AB6791" t="s">
        <v>32441</v>
      </c>
      <c r="AC6791" t="s">
        <v>4562</v>
      </c>
      <c r="AD6791" t="s">
        <v>32442</v>
      </c>
      <c r="AE6791" t="s">
        <v>4655</v>
      </c>
      <c r="AF6791" t="s">
        <v>32443</v>
      </c>
      <c r="AG6791" t="s">
        <v>1434</v>
      </c>
      <c r="AH6791" t="s">
        <v>32444</v>
      </c>
      <c r="AI6791" t="s">
        <v>4903</v>
      </c>
      <c r="AJ6791" t="s">
        <v>2542</v>
      </c>
      <c r="AK6791" t="s">
        <v>32445</v>
      </c>
      <c r="AL6791" s="13" t="s">
        <v>1898</v>
      </c>
      <c r="AM6791" s="14">
        <v>1</v>
      </c>
      <c r="AN6791" s="15" t="s">
        <v>1598</v>
      </c>
    </row>
    <row r="6792" spans="1:40" x14ac:dyDescent="0.3">
      <c r="A6792" s="10" t="str">
        <f>HYPERLINK("http://www.washoecounty.gov/assessor/cama/?parid=508-452-08&amp;CardNumber=1","508-452-08")</f>
        <v>508-452-08</v>
      </c>
      <c r="B6792" t="s">
        <v>4655</v>
      </c>
      <c r="C6792" t="s">
        <v>32446</v>
      </c>
      <c r="D6792" s="1">
        <v>40221</v>
      </c>
      <c r="E6792" s="2">
        <v>173000</v>
      </c>
      <c r="F6792" t="s">
        <v>4553</v>
      </c>
      <c r="G6792" s="17" t="str">
        <f>HYPERLINK("https://www.washoecounty.gov/assessor/cama/?command=sales&amp;parid=50845208","3848935")</f>
        <v>3848935</v>
      </c>
      <c r="H6792" t="s">
        <v>2540</v>
      </c>
      <c r="I6792">
        <v>1999</v>
      </c>
      <c r="J6792">
        <v>1999</v>
      </c>
      <c r="K6792" t="s">
        <v>4554</v>
      </c>
      <c r="L6792" t="s">
        <v>3974</v>
      </c>
      <c r="M6792" s="2">
        <v>2273</v>
      </c>
      <c r="N6792" t="s">
        <v>4556</v>
      </c>
      <c r="O6792">
        <v>5</v>
      </c>
      <c r="P6792">
        <v>3</v>
      </c>
      <c r="Q6792">
        <v>0</v>
      </c>
      <c r="R6792" t="s">
        <v>4557</v>
      </c>
      <c r="S6792" t="s">
        <v>4558</v>
      </c>
      <c r="T6792" t="s">
        <v>4559</v>
      </c>
      <c r="U6792" t="s">
        <v>5631</v>
      </c>
      <c r="V6792" s="2">
        <v>495</v>
      </c>
      <c r="W6792" t="s">
        <v>4655</v>
      </c>
      <c r="X6792" s="2">
        <v>0</v>
      </c>
      <c r="Y6792">
        <v>20</v>
      </c>
      <c r="Z6792" t="s">
        <v>5508</v>
      </c>
      <c r="AA6792" s="3">
        <v>0.339990824460983</v>
      </c>
      <c r="AB6792" t="s">
        <v>32447</v>
      </c>
      <c r="AC6792" t="s">
        <v>4562</v>
      </c>
      <c r="AD6792" t="s">
        <v>32448</v>
      </c>
      <c r="AE6792" t="s">
        <v>4655</v>
      </c>
      <c r="AF6792" t="s">
        <v>4563</v>
      </c>
      <c r="AG6792" t="s">
        <v>4564</v>
      </c>
      <c r="AH6792" t="s">
        <v>2541</v>
      </c>
      <c r="AI6792" t="s">
        <v>31908</v>
      </c>
      <c r="AJ6792" t="s">
        <v>2542</v>
      </c>
      <c r="AK6792" t="s">
        <v>32449</v>
      </c>
      <c r="AL6792" s="13" t="s">
        <v>1898</v>
      </c>
      <c r="AM6792">
        <v>1</v>
      </c>
      <c r="AN6792" s="15" t="s">
        <v>1598</v>
      </c>
    </row>
    <row r="6793" spans="1:40" x14ac:dyDescent="0.3">
      <c r="A6793" s="10" t="str">
        <f>HYPERLINK("http://www.washoecounty.gov/assessor/cama/?parid=508-452-32&amp;CardNumber=1","508-452-32")</f>
        <v>508-452-32</v>
      </c>
      <c r="B6793" t="s">
        <v>4655</v>
      </c>
      <c r="C6793" t="s">
        <v>32450</v>
      </c>
      <c r="D6793" s="1">
        <v>40242</v>
      </c>
      <c r="E6793" s="2">
        <v>147500</v>
      </c>
      <c r="F6793" t="s">
        <v>4553</v>
      </c>
      <c r="G6793" s="17" t="str">
        <f>HYPERLINK("https://www.washoecounty.gov/assessor/cama/?command=sales&amp;parid=50845232","3856285")</f>
        <v>3856285</v>
      </c>
      <c r="H6793" t="s">
        <v>2540</v>
      </c>
      <c r="I6793">
        <v>1999</v>
      </c>
      <c r="J6793">
        <v>1999</v>
      </c>
      <c r="K6793" t="s">
        <v>4554</v>
      </c>
      <c r="L6793" t="s">
        <v>4555</v>
      </c>
      <c r="M6793" s="2">
        <v>1696</v>
      </c>
      <c r="N6793" t="s">
        <v>4556</v>
      </c>
      <c r="O6793">
        <v>3</v>
      </c>
      <c r="P6793">
        <v>2</v>
      </c>
      <c r="Q6793">
        <v>0</v>
      </c>
      <c r="R6793" t="s">
        <v>5281</v>
      </c>
      <c r="S6793" t="s">
        <v>4558</v>
      </c>
      <c r="T6793" t="s">
        <v>4559</v>
      </c>
      <c r="U6793" t="s">
        <v>4560</v>
      </c>
      <c r="V6793" s="2">
        <v>576</v>
      </c>
      <c r="W6793" t="s">
        <v>4655</v>
      </c>
      <c r="X6793" s="2">
        <v>0</v>
      </c>
      <c r="Y6793">
        <v>20</v>
      </c>
      <c r="Z6793" t="s">
        <v>5508</v>
      </c>
      <c r="AA6793" s="3">
        <v>0.16900826990604401</v>
      </c>
      <c r="AB6793" t="s">
        <v>32451</v>
      </c>
      <c r="AC6793" t="s">
        <v>4562</v>
      </c>
      <c r="AD6793" t="s">
        <v>32450</v>
      </c>
      <c r="AE6793" t="s">
        <v>4655</v>
      </c>
      <c r="AF6793" t="s">
        <v>1600</v>
      </c>
      <c r="AG6793" t="s">
        <v>4564</v>
      </c>
      <c r="AH6793" t="s">
        <v>1601</v>
      </c>
      <c r="AI6793" t="s">
        <v>13563</v>
      </c>
      <c r="AJ6793" t="s">
        <v>2542</v>
      </c>
      <c r="AK6793" t="s">
        <v>32452</v>
      </c>
      <c r="AL6793" s="13" t="s">
        <v>1898</v>
      </c>
      <c r="AM6793">
        <v>1</v>
      </c>
      <c r="AN6793" s="15" t="s">
        <v>1598</v>
      </c>
    </row>
    <row r="6794" spans="1:40" x14ac:dyDescent="0.3">
      <c r="A6794" s="10" t="str">
        <f>HYPERLINK("http://www.washoecounty.gov/assessor/cama/?parid=508-452-34&amp;CardNumber=1","508-452-34")</f>
        <v>508-452-34</v>
      </c>
      <c r="B6794" t="s">
        <v>4655</v>
      </c>
      <c r="C6794" t="s">
        <v>32453</v>
      </c>
      <c r="D6794" s="1">
        <v>40529</v>
      </c>
      <c r="E6794" s="2">
        <v>106900</v>
      </c>
      <c r="F6794" t="s">
        <v>4553</v>
      </c>
      <c r="G6794" s="17" t="str">
        <f>HYPERLINK("https://www.washoecounty.gov/assessor/cama/?command=sales&amp;parid=50845234","3955074")</f>
        <v>3955074</v>
      </c>
      <c r="H6794" t="s">
        <v>2540</v>
      </c>
      <c r="I6794">
        <v>1999</v>
      </c>
      <c r="J6794">
        <v>1999</v>
      </c>
      <c r="K6794" t="s">
        <v>4554</v>
      </c>
      <c r="L6794" t="s">
        <v>4555</v>
      </c>
      <c r="M6794" s="2">
        <v>1040</v>
      </c>
      <c r="N6794" t="s">
        <v>4556</v>
      </c>
      <c r="O6794">
        <v>3</v>
      </c>
      <c r="P6794">
        <v>2</v>
      </c>
      <c r="Q6794">
        <v>0</v>
      </c>
      <c r="R6794" t="s">
        <v>5281</v>
      </c>
      <c r="S6794" t="s">
        <v>4558</v>
      </c>
      <c r="T6794" t="s">
        <v>4559</v>
      </c>
      <c r="U6794" t="s">
        <v>4560</v>
      </c>
      <c r="V6794" s="2">
        <v>400</v>
      </c>
      <c r="W6794" t="s">
        <v>4655</v>
      </c>
      <c r="X6794" s="2">
        <v>0</v>
      </c>
      <c r="Y6794">
        <v>20</v>
      </c>
      <c r="Z6794" t="s">
        <v>5508</v>
      </c>
      <c r="AA6794" s="3">
        <v>0.16499081254005399</v>
      </c>
      <c r="AB6794" t="s">
        <v>32454</v>
      </c>
      <c r="AC6794" t="s">
        <v>4562</v>
      </c>
      <c r="AD6794" t="s">
        <v>32453</v>
      </c>
      <c r="AE6794" t="s">
        <v>4655</v>
      </c>
      <c r="AF6794" t="s">
        <v>1600</v>
      </c>
      <c r="AG6794" t="s">
        <v>4564</v>
      </c>
      <c r="AH6794" t="s">
        <v>4126</v>
      </c>
      <c r="AI6794" t="s">
        <v>4503</v>
      </c>
      <c r="AJ6794" t="s">
        <v>2542</v>
      </c>
      <c r="AK6794" t="s">
        <v>32455</v>
      </c>
      <c r="AL6794" s="13" t="s">
        <v>1898</v>
      </c>
      <c r="AM6794" s="14">
        <v>1</v>
      </c>
      <c r="AN6794" s="15" t="s">
        <v>1598</v>
      </c>
    </row>
    <row r="6795" spans="1:40" x14ac:dyDescent="0.3">
      <c r="A6795" s="10" t="str">
        <f>HYPERLINK("http://www.washoecounty.gov/assessor/cama/?parid=508-471-04&amp;CardNumber=1","508-471-04")</f>
        <v>508-471-04</v>
      </c>
      <c r="B6795" t="s">
        <v>4655</v>
      </c>
      <c r="C6795" t="s">
        <v>32456</v>
      </c>
      <c r="D6795" s="1">
        <v>40400</v>
      </c>
      <c r="E6795" s="2">
        <v>110000</v>
      </c>
      <c r="F6795" t="s">
        <v>4553</v>
      </c>
      <c r="G6795" s="17" t="str">
        <f>HYPERLINK("https://www.washoecounty.gov/assessor/cama/?command=sales&amp;parid=50847104","3910274")</f>
        <v>3910274</v>
      </c>
      <c r="H6795" t="s">
        <v>2543</v>
      </c>
      <c r="I6795">
        <v>1999</v>
      </c>
      <c r="J6795">
        <v>1999</v>
      </c>
      <c r="K6795" t="s">
        <v>4554</v>
      </c>
      <c r="L6795" t="s">
        <v>4555</v>
      </c>
      <c r="M6795" s="2">
        <v>1040</v>
      </c>
      <c r="N6795" t="s">
        <v>4556</v>
      </c>
      <c r="O6795">
        <v>3</v>
      </c>
      <c r="P6795">
        <v>2</v>
      </c>
      <c r="Q6795">
        <v>0</v>
      </c>
      <c r="R6795" t="s">
        <v>5281</v>
      </c>
      <c r="S6795" t="s">
        <v>4558</v>
      </c>
      <c r="T6795" t="s">
        <v>4559</v>
      </c>
      <c r="U6795" t="s">
        <v>4560</v>
      </c>
      <c r="V6795" s="2">
        <v>400</v>
      </c>
      <c r="W6795" t="s">
        <v>4655</v>
      </c>
      <c r="X6795" s="2">
        <v>0</v>
      </c>
      <c r="Y6795">
        <v>20</v>
      </c>
      <c r="Z6795" t="s">
        <v>5508</v>
      </c>
      <c r="AA6795" s="3">
        <v>0.192011013627052</v>
      </c>
      <c r="AB6795" t="s">
        <v>4673</v>
      </c>
      <c r="AC6795" t="s">
        <v>4562</v>
      </c>
      <c r="AD6795" t="s">
        <v>3093</v>
      </c>
      <c r="AE6795" t="s">
        <v>4655</v>
      </c>
      <c r="AF6795" t="s">
        <v>4563</v>
      </c>
      <c r="AG6795" t="s">
        <v>4564</v>
      </c>
      <c r="AH6795">
        <v>89512</v>
      </c>
      <c r="AI6795" t="s">
        <v>4848</v>
      </c>
      <c r="AJ6795" t="s">
        <v>2544</v>
      </c>
      <c r="AK6795" t="s">
        <v>32457</v>
      </c>
      <c r="AL6795" s="13" t="s">
        <v>1898</v>
      </c>
      <c r="AM6795">
        <v>1</v>
      </c>
      <c r="AN6795" s="15" t="s">
        <v>1598</v>
      </c>
    </row>
    <row r="6796" spans="1:40" x14ac:dyDescent="0.3">
      <c r="A6796" s="10" t="str">
        <f>HYPERLINK("http://www.washoecounty.gov/assessor/cama/?parid=508-472-11&amp;CardNumber=1","508-472-11")</f>
        <v>508-472-11</v>
      </c>
      <c r="B6796" t="s">
        <v>4655</v>
      </c>
      <c r="C6796" t="s">
        <v>32458</v>
      </c>
      <c r="D6796" s="1">
        <v>40268</v>
      </c>
      <c r="E6796" s="2">
        <v>109100</v>
      </c>
      <c r="F6796" t="s">
        <v>4553</v>
      </c>
      <c r="G6796" s="17" t="str">
        <f>HYPERLINK("https://www.washoecounty.gov/assessor/cama/?command=sales&amp;parid=50847211","3866627")</f>
        <v>3866627</v>
      </c>
      <c r="H6796" t="s">
        <v>2543</v>
      </c>
      <c r="I6796">
        <v>1999</v>
      </c>
      <c r="J6796">
        <v>1999</v>
      </c>
      <c r="K6796" t="s">
        <v>4554</v>
      </c>
      <c r="L6796" t="s">
        <v>4555</v>
      </c>
      <c r="M6796" s="2">
        <v>1040</v>
      </c>
      <c r="N6796" t="s">
        <v>4556</v>
      </c>
      <c r="O6796">
        <v>3</v>
      </c>
      <c r="P6796">
        <v>2</v>
      </c>
      <c r="Q6796">
        <v>0</v>
      </c>
      <c r="R6796" t="s">
        <v>4557</v>
      </c>
      <c r="S6796" t="s">
        <v>4558</v>
      </c>
      <c r="T6796" t="s">
        <v>4559</v>
      </c>
      <c r="U6796" t="s">
        <v>4560</v>
      </c>
      <c r="V6796" s="2">
        <v>400</v>
      </c>
      <c r="W6796" t="s">
        <v>4655</v>
      </c>
      <c r="X6796" s="2">
        <v>0</v>
      </c>
      <c r="Y6796">
        <v>20</v>
      </c>
      <c r="Z6796" t="s">
        <v>5508</v>
      </c>
      <c r="AA6796" s="3">
        <v>0.15798898041248299</v>
      </c>
      <c r="AB6796" t="s">
        <v>32459</v>
      </c>
      <c r="AC6796" t="s">
        <v>4562</v>
      </c>
      <c r="AD6796" t="s">
        <v>32460</v>
      </c>
      <c r="AE6796" t="s">
        <v>4655</v>
      </c>
      <c r="AF6796" t="s">
        <v>1570</v>
      </c>
      <c r="AG6796" t="s">
        <v>4564</v>
      </c>
      <c r="AH6796" t="s">
        <v>1601</v>
      </c>
      <c r="AI6796" t="s">
        <v>4655</v>
      </c>
      <c r="AJ6796" t="s">
        <v>2544</v>
      </c>
      <c r="AK6796" t="s">
        <v>32461</v>
      </c>
      <c r="AL6796" s="13" t="s">
        <v>1898</v>
      </c>
      <c r="AM6796" s="14">
        <v>1</v>
      </c>
      <c r="AN6796" s="15" t="s">
        <v>1598</v>
      </c>
    </row>
    <row r="6797" spans="1:40" x14ac:dyDescent="0.3">
      <c r="A6797" s="10" t="str">
        <f>HYPERLINK("http://www.washoecounty.gov/assessor/cama/?parid=508-472-16&amp;CardNumber=1","508-472-16")</f>
        <v>508-472-16</v>
      </c>
      <c r="B6797" t="s">
        <v>4655</v>
      </c>
      <c r="C6797" t="s">
        <v>32462</v>
      </c>
      <c r="D6797" s="1">
        <v>40199</v>
      </c>
      <c r="E6797" s="2">
        <v>145000</v>
      </c>
      <c r="F6797" t="s">
        <v>4553</v>
      </c>
      <c r="G6797" s="17" t="str">
        <f>HYPERLINK("https://www.washoecounty.gov/assessor/cama/?command=sales&amp;parid=50847216","3841326")</f>
        <v>3841326</v>
      </c>
      <c r="H6797" t="s">
        <v>2543</v>
      </c>
      <c r="I6797">
        <v>1999</v>
      </c>
      <c r="J6797">
        <v>1999</v>
      </c>
      <c r="K6797" t="s">
        <v>4554</v>
      </c>
      <c r="L6797" t="s">
        <v>4555</v>
      </c>
      <c r="M6797" s="2">
        <v>1568</v>
      </c>
      <c r="N6797" t="s">
        <v>4556</v>
      </c>
      <c r="O6797">
        <v>4</v>
      </c>
      <c r="P6797">
        <v>2</v>
      </c>
      <c r="Q6797">
        <v>0</v>
      </c>
      <c r="R6797" t="s">
        <v>5281</v>
      </c>
      <c r="S6797" t="s">
        <v>4558</v>
      </c>
      <c r="T6797" t="s">
        <v>4559</v>
      </c>
      <c r="U6797" t="s">
        <v>4560</v>
      </c>
      <c r="V6797" s="2">
        <v>480</v>
      </c>
      <c r="W6797" t="s">
        <v>4655</v>
      </c>
      <c r="X6797" s="2">
        <v>0</v>
      </c>
      <c r="Y6797">
        <v>20</v>
      </c>
      <c r="Z6797" t="s">
        <v>5508</v>
      </c>
      <c r="AA6797" s="3">
        <v>0.16799816489219666</v>
      </c>
      <c r="AB6797" t="s">
        <v>32463</v>
      </c>
      <c r="AC6797" t="s">
        <v>4575</v>
      </c>
      <c r="AD6797" t="s">
        <v>32464</v>
      </c>
      <c r="AE6797" t="s">
        <v>32465</v>
      </c>
      <c r="AF6797" t="s">
        <v>1570</v>
      </c>
      <c r="AG6797" t="s">
        <v>4564</v>
      </c>
      <c r="AH6797" t="s">
        <v>1601</v>
      </c>
      <c r="AI6797" t="s">
        <v>32466</v>
      </c>
      <c r="AJ6797" t="s">
        <v>2544</v>
      </c>
      <c r="AK6797" t="s">
        <v>32467</v>
      </c>
      <c r="AL6797" s="13" t="s">
        <v>1898</v>
      </c>
      <c r="AM6797" s="14">
        <v>1</v>
      </c>
      <c r="AN6797" s="15" t="s">
        <v>1598</v>
      </c>
    </row>
    <row r="6798" spans="1:40" x14ac:dyDescent="0.3">
      <c r="A6798" s="10" t="str">
        <f>HYPERLINK("http://www.washoecounty.gov/assessor/cama/?parid=508-472-22&amp;CardNumber=1","508-472-22")</f>
        <v>508-472-22</v>
      </c>
      <c r="B6798" t="s">
        <v>4655</v>
      </c>
      <c r="C6798" t="s">
        <v>32468</v>
      </c>
      <c r="D6798" s="1">
        <v>40542</v>
      </c>
      <c r="E6798" s="2">
        <v>139900</v>
      </c>
      <c r="F6798" t="s">
        <v>4553</v>
      </c>
      <c r="G6798" s="17" t="str">
        <f>HYPERLINK("https://www.washoecounty.gov/assessor/cama/?command=sales&amp;parid=50847222","3959231")</f>
        <v>3959231</v>
      </c>
      <c r="H6798" t="s">
        <v>2543</v>
      </c>
      <c r="I6798">
        <v>1999</v>
      </c>
      <c r="J6798">
        <v>1999</v>
      </c>
      <c r="K6798" t="s">
        <v>4554</v>
      </c>
      <c r="L6798" t="s">
        <v>4555</v>
      </c>
      <c r="M6798" s="2">
        <v>1792</v>
      </c>
      <c r="N6798" t="s">
        <v>4556</v>
      </c>
      <c r="O6798">
        <v>4</v>
      </c>
      <c r="P6798">
        <v>2</v>
      </c>
      <c r="Q6798">
        <v>0</v>
      </c>
      <c r="R6798" t="s">
        <v>5281</v>
      </c>
      <c r="S6798" t="s">
        <v>4558</v>
      </c>
      <c r="T6798" t="s">
        <v>4559</v>
      </c>
      <c r="U6798" t="s">
        <v>4560</v>
      </c>
      <c r="V6798" s="2">
        <v>480</v>
      </c>
      <c r="W6798" t="s">
        <v>4655</v>
      </c>
      <c r="X6798" s="2">
        <v>0</v>
      </c>
      <c r="Y6798">
        <v>20</v>
      </c>
      <c r="Z6798" t="s">
        <v>5508</v>
      </c>
      <c r="AA6798" s="3">
        <v>0.17899449169635773</v>
      </c>
      <c r="AB6798" t="s">
        <v>32469</v>
      </c>
      <c r="AC6798" t="s">
        <v>4575</v>
      </c>
      <c r="AD6798" t="s">
        <v>32468</v>
      </c>
      <c r="AE6798" t="s">
        <v>4655</v>
      </c>
      <c r="AF6798" t="s">
        <v>1600</v>
      </c>
      <c r="AG6798" t="s">
        <v>4564</v>
      </c>
      <c r="AH6798" t="s">
        <v>1601</v>
      </c>
      <c r="AI6798" t="s">
        <v>4903</v>
      </c>
      <c r="AJ6798" t="s">
        <v>2544</v>
      </c>
      <c r="AK6798" t="s">
        <v>32470</v>
      </c>
      <c r="AL6798" s="13" t="s">
        <v>1898</v>
      </c>
      <c r="AM6798" s="14">
        <v>1</v>
      </c>
      <c r="AN6798" s="15" t="s">
        <v>1598</v>
      </c>
    </row>
    <row r="6799" spans="1:40" x14ac:dyDescent="0.3">
      <c r="A6799" s="10" t="str">
        <f>HYPERLINK("http://www.washoecounty.gov/assessor/cama/?parid=508-476-02&amp;CardNumber=1","508-476-02")</f>
        <v>508-476-02</v>
      </c>
      <c r="B6799" t="s">
        <v>4655</v>
      </c>
      <c r="C6799" t="s">
        <v>32471</v>
      </c>
      <c r="D6799" s="1">
        <v>40512</v>
      </c>
      <c r="E6799" s="2">
        <v>140000</v>
      </c>
      <c r="F6799" t="s">
        <v>4567</v>
      </c>
      <c r="G6799" s="17" t="str">
        <f>HYPERLINK("https://www.washoecounty.gov/assessor/cama/?command=sales&amp;parid=50847602","3948026")</f>
        <v>3948026</v>
      </c>
      <c r="H6799" t="s">
        <v>2543</v>
      </c>
      <c r="I6799">
        <v>1999</v>
      </c>
      <c r="J6799">
        <v>1999</v>
      </c>
      <c r="K6799" t="s">
        <v>4554</v>
      </c>
      <c r="L6799" t="s">
        <v>4555</v>
      </c>
      <c r="M6799" s="2">
        <v>1696</v>
      </c>
      <c r="N6799" t="s">
        <v>4556</v>
      </c>
      <c r="O6799">
        <v>3</v>
      </c>
      <c r="P6799">
        <v>2</v>
      </c>
      <c r="Q6799">
        <v>0</v>
      </c>
      <c r="R6799" t="s">
        <v>5281</v>
      </c>
      <c r="S6799" t="s">
        <v>4558</v>
      </c>
      <c r="T6799" t="s">
        <v>4559</v>
      </c>
      <c r="U6799" t="s">
        <v>4560</v>
      </c>
      <c r="V6799" s="2">
        <v>577</v>
      </c>
      <c r="W6799" t="s">
        <v>4655</v>
      </c>
      <c r="X6799" s="2">
        <v>0</v>
      </c>
      <c r="Y6799">
        <v>20</v>
      </c>
      <c r="Z6799" t="s">
        <v>5508</v>
      </c>
      <c r="AA6799" s="3">
        <v>0.16900826990604401</v>
      </c>
      <c r="AB6799" t="s">
        <v>32472</v>
      </c>
      <c r="AC6799" t="s">
        <v>4562</v>
      </c>
      <c r="AD6799" t="s">
        <v>32471</v>
      </c>
      <c r="AE6799" t="s">
        <v>4655</v>
      </c>
      <c r="AF6799" t="s">
        <v>1600</v>
      </c>
      <c r="AG6799" t="s">
        <v>4564</v>
      </c>
      <c r="AH6799" t="s">
        <v>1601</v>
      </c>
      <c r="AI6799" t="s">
        <v>32473</v>
      </c>
      <c r="AJ6799" t="s">
        <v>2544</v>
      </c>
      <c r="AK6799" t="s">
        <v>32474</v>
      </c>
      <c r="AL6799" s="13" t="s">
        <v>1898</v>
      </c>
      <c r="AM6799">
        <v>1</v>
      </c>
      <c r="AN6799" s="15" t="s">
        <v>1598</v>
      </c>
    </row>
    <row r="6800" spans="1:40" x14ac:dyDescent="0.3">
      <c r="A6800" s="10" t="str">
        <f>HYPERLINK("http://www.washoecounty.gov/assessor/cama/?parid=508-476-11&amp;CardNumber=1","508-476-11")</f>
        <v>508-476-11</v>
      </c>
      <c r="B6800" t="s">
        <v>4655</v>
      </c>
      <c r="C6800" t="s">
        <v>32475</v>
      </c>
      <c r="D6800" s="1">
        <v>40379</v>
      </c>
      <c r="E6800" s="2">
        <v>155000</v>
      </c>
      <c r="F6800" t="s">
        <v>4567</v>
      </c>
      <c r="G6800" s="17" t="str">
        <f>HYPERLINK("https://www.washoecounty.gov/assessor/cama/?command=sales&amp;parid=50847611","3903213")</f>
        <v>3903213</v>
      </c>
      <c r="H6800" t="s">
        <v>2543</v>
      </c>
      <c r="I6800">
        <v>1999</v>
      </c>
      <c r="J6800">
        <v>1999</v>
      </c>
      <c r="K6800" t="s">
        <v>4554</v>
      </c>
      <c r="L6800" t="s">
        <v>4555</v>
      </c>
      <c r="M6800" s="2">
        <v>1695</v>
      </c>
      <c r="N6800" t="s">
        <v>4556</v>
      </c>
      <c r="O6800">
        <v>3</v>
      </c>
      <c r="P6800">
        <v>2</v>
      </c>
      <c r="Q6800">
        <v>0</v>
      </c>
      <c r="R6800" t="s">
        <v>5281</v>
      </c>
      <c r="S6800" t="s">
        <v>4558</v>
      </c>
      <c r="T6800" t="s">
        <v>4559</v>
      </c>
      <c r="U6800" t="s">
        <v>4560</v>
      </c>
      <c r="V6800" s="2">
        <v>576</v>
      </c>
      <c r="W6800" t="s">
        <v>4655</v>
      </c>
      <c r="X6800" s="2">
        <v>0</v>
      </c>
      <c r="Y6800">
        <v>20</v>
      </c>
      <c r="Z6800" t="s">
        <v>5508</v>
      </c>
      <c r="AA6800" s="3">
        <v>0.19400826096534701</v>
      </c>
      <c r="AB6800" t="s">
        <v>32476</v>
      </c>
      <c r="AC6800" t="s">
        <v>4562</v>
      </c>
      <c r="AD6800" t="s">
        <v>32475</v>
      </c>
      <c r="AE6800" t="s">
        <v>4655</v>
      </c>
      <c r="AF6800" t="s">
        <v>1600</v>
      </c>
      <c r="AG6800" t="s">
        <v>4564</v>
      </c>
      <c r="AH6800" t="s">
        <v>1601</v>
      </c>
      <c r="AI6800" t="s">
        <v>32477</v>
      </c>
      <c r="AJ6800" t="s">
        <v>2544</v>
      </c>
      <c r="AK6800" t="s">
        <v>32478</v>
      </c>
      <c r="AL6800" s="13" t="s">
        <v>1898</v>
      </c>
      <c r="AM6800">
        <v>1</v>
      </c>
      <c r="AN6800" s="15" t="s">
        <v>1598</v>
      </c>
    </row>
    <row r="6801" spans="1:40" x14ac:dyDescent="0.3">
      <c r="A6801" s="10" t="str">
        <f>HYPERLINK("http://www.washoecounty.gov/assessor/cama/?parid=508-477-04&amp;CardNumber=1","508-477-04")</f>
        <v>508-477-04</v>
      </c>
      <c r="B6801" t="s">
        <v>4655</v>
      </c>
      <c r="C6801" t="s">
        <v>32479</v>
      </c>
      <c r="D6801" s="1">
        <v>40347</v>
      </c>
      <c r="E6801" s="2">
        <v>125000</v>
      </c>
      <c r="F6801" t="s">
        <v>4567</v>
      </c>
      <c r="G6801" s="17" t="str">
        <f>HYPERLINK("https://www.washoecounty.gov/assessor/cama/?command=sales&amp;parid=50847704","3893486")</f>
        <v>3893486</v>
      </c>
      <c r="H6801" t="s">
        <v>2543</v>
      </c>
      <c r="I6801">
        <v>1999</v>
      </c>
      <c r="J6801">
        <v>1999</v>
      </c>
      <c r="K6801" t="s">
        <v>4554</v>
      </c>
      <c r="L6801" t="s">
        <v>4555</v>
      </c>
      <c r="M6801" s="2">
        <v>1457</v>
      </c>
      <c r="N6801" t="s">
        <v>4556</v>
      </c>
      <c r="O6801">
        <v>3</v>
      </c>
      <c r="P6801">
        <v>2</v>
      </c>
      <c r="Q6801">
        <v>0</v>
      </c>
      <c r="R6801" t="s">
        <v>4557</v>
      </c>
      <c r="S6801" t="s">
        <v>4558</v>
      </c>
      <c r="T6801" t="s">
        <v>4559</v>
      </c>
      <c r="U6801" t="s">
        <v>4560</v>
      </c>
      <c r="V6801" s="2">
        <v>495</v>
      </c>
      <c r="W6801" t="s">
        <v>4655</v>
      </c>
      <c r="X6801" s="2">
        <v>0</v>
      </c>
      <c r="Y6801">
        <v>20</v>
      </c>
      <c r="Z6801" t="s">
        <v>5508</v>
      </c>
      <c r="AA6801" s="3">
        <v>0.15000000596046401</v>
      </c>
      <c r="AB6801" t="s">
        <v>32480</v>
      </c>
      <c r="AC6801" t="s">
        <v>4575</v>
      </c>
      <c r="AD6801" t="s">
        <v>31860</v>
      </c>
      <c r="AE6801" t="s">
        <v>4655</v>
      </c>
      <c r="AF6801" t="s">
        <v>3660</v>
      </c>
      <c r="AG6801" t="s">
        <v>4584</v>
      </c>
      <c r="AH6801" t="s">
        <v>3661</v>
      </c>
      <c r="AI6801" t="s">
        <v>31859</v>
      </c>
      <c r="AJ6801" t="s">
        <v>2544</v>
      </c>
      <c r="AK6801" t="s">
        <v>32481</v>
      </c>
      <c r="AL6801" s="13" t="s">
        <v>1898</v>
      </c>
      <c r="AM6801" s="14">
        <v>1</v>
      </c>
      <c r="AN6801" s="15" t="s">
        <v>1598</v>
      </c>
    </row>
    <row r="6802" spans="1:40" x14ac:dyDescent="0.3">
      <c r="A6802" s="10" t="str">
        <f>HYPERLINK("http://www.washoecounty.gov/assessor/cama/?parid=508-477-05&amp;CardNumber=1","508-477-05")</f>
        <v>508-477-05</v>
      </c>
      <c r="B6802" t="s">
        <v>4655</v>
      </c>
      <c r="C6802" t="s">
        <v>32482</v>
      </c>
      <c r="D6802" s="1">
        <v>40445</v>
      </c>
      <c r="E6802" s="2">
        <v>121770</v>
      </c>
      <c r="F6802" t="s">
        <v>4553</v>
      </c>
      <c r="G6802" s="17" t="str">
        <f>HYPERLINK("https://www.washoecounty.gov/assessor/cama/?command=sales&amp;parid=50847705","3925933")</f>
        <v>3925933</v>
      </c>
      <c r="H6802" t="s">
        <v>2543</v>
      </c>
      <c r="I6802">
        <v>1999</v>
      </c>
      <c r="J6802">
        <v>1999</v>
      </c>
      <c r="K6802" t="s">
        <v>4554</v>
      </c>
      <c r="L6802" t="s">
        <v>4555</v>
      </c>
      <c r="M6802" s="2">
        <v>1265</v>
      </c>
      <c r="N6802" t="s">
        <v>4556</v>
      </c>
      <c r="O6802">
        <v>3</v>
      </c>
      <c r="P6802">
        <v>2</v>
      </c>
      <c r="Q6802">
        <v>0</v>
      </c>
      <c r="R6802" t="s">
        <v>5281</v>
      </c>
      <c r="S6802" t="s">
        <v>4558</v>
      </c>
      <c r="T6802" t="s">
        <v>4559</v>
      </c>
      <c r="U6802" t="s">
        <v>4560</v>
      </c>
      <c r="V6802" s="2">
        <v>414</v>
      </c>
      <c r="W6802" t="s">
        <v>4655</v>
      </c>
      <c r="X6802" s="2">
        <v>0</v>
      </c>
      <c r="Y6802">
        <v>20</v>
      </c>
      <c r="Z6802" t="s">
        <v>5508</v>
      </c>
      <c r="AA6802" s="3">
        <v>0.157001838088036</v>
      </c>
      <c r="AB6802" t="s">
        <v>4673</v>
      </c>
      <c r="AC6802" t="s">
        <v>4562</v>
      </c>
      <c r="AD6802" t="s">
        <v>3093</v>
      </c>
      <c r="AE6802" t="s">
        <v>4655</v>
      </c>
      <c r="AF6802" t="s">
        <v>4563</v>
      </c>
      <c r="AG6802" t="s">
        <v>4564</v>
      </c>
      <c r="AH6802">
        <v>89512</v>
      </c>
      <c r="AI6802" t="s">
        <v>4903</v>
      </c>
      <c r="AJ6802" t="s">
        <v>2544</v>
      </c>
      <c r="AK6802" t="s">
        <v>32483</v>
      </c>
      <c r="AL6802" s="13" t="s">
        <v>1898</v>
      </c>
      <c r="AM6802">
        <v>1</v>
      </c>
      <c r="AN6802" s="15" t="s">
        <v>1598</v>
      </c>
    </row>
    <row r="6803" spans="1:40" x14ac:dyDescent="0.3">
      <c r="A6803" s="10" t="str">
        <f>HYPERLINK("http://www.washoecounty.gov/assessor/cama/?parid=508-477-17&amp;CardNumber=1","508-477-17")</f>
        <v>508-477-17</v>
      </c>
      <c r="B6803" t="s">
        <v>4655</v>
      </c>
      <c r="C6803" t="s">
        <v>32484</v>
      </c>
      <c r="D6803" s="1">
        <v>40284</v>
      </c>
      <c r="E6803" s="2">
        <v>144500</v>
      </c>
      <c r="F6803" t="s">
        <v>4553</v>
      </c>
      <c r="G6803" s="17" t="str">
        <f>HYPERLINK("https://www.washoecounty.gov/assessor/cama/?command=sales&amp;parid=50847717","3871973")</f>
        <v>3871973</v>
      </c>
      <c r="H6803" t="s">
        <v>2543</v>
      </c>
      <c r="I6803">
        <v>1999</v>
      </c>
      <c r="J6803">
        <v>1999</v>
      </c>
      <c r="K6803" t="s">
        <v>4554</v>
      </c>
      <c r="L6803" t="s">
        <v>4555</v>
      </c>
      <c r="M6803" s="2">
        <v>1696</v>
      </c>
      <c r="N6803" t="s">
        <v>4556</v>
      </c>
      <c r="O6803">
        <v>3</v>
      </c>
      <c r="P6803">
        <v>2</v>
      </c>
      <c r="Q6803">
        <v>0</v>
      </c>
      <c r="R6803" t="s">
        <v>5281</v>
      </c>
      <c r="S6803" t="s">
        <v>4558</v>
      </c>
      <c r="T6803" t="s">
        <v>4559</v>
      </c>
      <c r="U6803" t="s">
        <v>4560</v>
      </c>
      <c r="V6803" s="2">
        <v>576</v>
      </c>
      <c r="W6803" t="s">
        <v>4655</v>
      </c>
      <c r="X6803" s="2">
        <v>0</v>
      </c>
      <c r="Y6803">
        <v>20</v>
      </c>
      <c r="Z6803" t="s">
        <v>5508</v>
      </c>
      <c r="AA6803" s="3">
        <v>0.20899908244609799</v>
      </c>
      <c r="AB6803" t="s">
        <v>32485</v>
      </c>
      <c r="AC6803" t="s">
        <v>4562</v>
      </c>
      <c r="AD6803" t="s">
        <v>32486</v>
      </c>
      <c r="AE6803" t="s">
        <v>4655</v>
      </c>
      <c r="AF6803" t="s">
        <v>1600</v>
      </c>
      <c r="AG6803" t="s">
        <v>4564</v>
      </c>
      <c r="AH6803" t="s">
        <v>1601</v>
      </c>
      <c r="AI6803" t="s">
        <v>4565</v>
      </c>
      <c r="AJ6803" t="s">
        <v>2544</v>
      </c>
      <c r="AK6803" t="s">
        <v>32487</v>
      </c>
      <c r="AL6803" s="13" t="s">
        <v>1898</v>
      </c>
      <c r="AM6803" s="14">
        <v>1</v>
      </c>
      <c r="AN6803" s="15" t="s">
        <v>1598</v>
      </c>
    </row>
    <row r="6804" spans="1:40" x14ac:dyDescent="0.3">
      <c r="A6804" s="10" t="str">
        <f>HYPERLINK("http://www.washoecounty.gov/assessor/cama/?parid=508-481-03&amp;CardNumber=1","508-481-03")</f>
        <v>508-481-03</v>
      </c>
      <c r="B6804" t="s">
        <v>4655</v>
      </c>
      <c r="C6804" t="s">
        <v>32488</v>
      </c>
      <c r="D6804" s="1">
        <v>40522</v>
      </c>
      <c r="E6804" s="2">
        <v>112500</v>
      </c>
      <c r="F6804" t="s">
        <v>4567</v>
      </c>
      <c r="G6804" s="17" t="str">
        <f>HYPERLINK("https://www.washoecounty.gov/assessor/cama/?command=sales&amp;parid=50848103","3952283")</f>
        <v>3952283</v>
      </c>
      <c r="H6804" t="s">
        <v>2543</v>
      </c>
      <c r="I6804">
        <v>1999</v>
      </c>
      <c r="J6804">
        <v>1999</v>
      </c>
      <c r="K6804" t="s">
        <v>4554</v>
      </c>
      <c r="L6804" t="s">
        <v>4555</v>
      </c>
      <c r="M6804" s="2">
        <v>1265</v>
      </c>
      <c r="N6804" t="s">
        <v>4556</v>
      </c>
      <c r="O6804">
        <v>3</v>
      </c>
      <c r="P6804">
        <v>2</v>
      </c>
      <c r="Q6804">
        <v>0</v>
      </c>
      <c r="R6804" t="s">
        <v>4557</v>
      </c>
      <c r="S6804" t="s">
        <v>4558</v>
      </c>
      <c r="T6804" t="s">
        <v>4559</v>
      </c>
      <c r="U6804" t="s">
        <v>4560</v>
      </c>
      <c r="V6804" s="2">
        <v>415</v>
      </c>
      <c r="W6804" t="s">
        <v>4655</v>
      </c>
      <c r="X6804" s="2">
        <v>0</v>
      </c>
      <c r="Y6804">
        <v>20</v>
      </c>
      <c r="Z6804" t="s">
        <v>5508</v>
      </c>
      <c r="AA6804" s="3">
        <v>0.20300734043121299</v>
      </c>
      <c r="AB6804" t="s">
        <v>32489</v>
      </c>
      <c r="AC6804" t="s">
        <v>4562</v>
      </c>
      <c r="AD6804" t="s">
        <v>32488</v>
      </c>
      <c r="AE6804" t="s">
        <v>4655</v>
      </c>
      <c r="AF6804" t="s">
        <v>1600</v>
      </c>
      <c r="AG6804" t="s">
        <v>4564</v>
      </c>
      <c r="AH6804" t="s">
        <v>1601</v>
      </c>
      <c r="AI6804" t="s">
        <v>32490</v>
      </c>
      <c r="AJ6804" t="s">
        <v>2544</v>
      </c>
      <c r="AK6804" t="s">
        <v>32491</v>
      </c>
      <c r="AL6804" s="13" t="s">
        <v>1898</v>
      </c>
      <c r="AM6804" s="14">
        <v>1</v>
      </c>
      <c r="AN6804" s="15" t="s">
        <v>1598</v>
      </c>
    </row>
    <row r="6805" spans="1:40" x14ac:dyDescent="0.3">
      <c r="A6805" s="10" t="str">
        <f>HYPERLINK("http://www.washoecounty.gov/assessor/cama/?parid=508-490-13&amp;CardNumber=1","508-490-13")</f>
        <v>508-490-13</v>
      </c>
      <c r="B6805" t="s">
        <v>4655</v>
      </c>
      <c r="C6805" t="s">
        <v>32492</v>
      </c>
      <c r="D6805" s="1">
        <v>40213</v>
      </c>
      <c r="E6805" s="2">
        <v>140000</v>
      </c>
      <c r="F6805" t="s">
        <v>4567</v>
      </c>
      <c r="G6805" s="17" t="str">
        <f>HYPERLINK("https://www.washoecounty.gov/assessor/cama/?command=sales&amp;parid=50849013","3846087")</f>
        <v>3846087</v>
      </c>
      <c r="H6805" t="s">
        <v>32493</v>
      </c>
      <c r="I6805">
        <v>1999</v>
      </c>
      <c r="J6805">
        <v>1999</v>
      </c>
      <c r="K6805" t="s">
        <v>4554</v>
      </c>
      <c r="L6805" t="s">
        <v>4555</v>
      </c>
      <c r="M6805" s="2">
        <v>1696</v>
      </c>
      <c r="N6805" t="s">
        <v>4556</v>
      </c>
      <c r="O6805">
        <v>3</v>
      </c>
      <c r="P6805">
        <v>2</v>
      </c>
      <c r="Q6805">
        <v>0</v>
      </c>
      <c r="R6805" t="s">
        <v>5281</v>
      </c>
      <c r="S6805" t="s">
        <v>4558</v>
      </c>
      <c r="T6805" t="s">
        <v>4559</v>
      </c>
      <c r="U6805" t="s">
        <v>4560</v>
      </c>
      <c r="V6805" s="2">
        <v>577</v>
      </c>
      <c r="W6805" t="s">
        <v>4655</v>
      </c>
      <c r="X6805" s="2">
        <v>0</v>
      </c>
      <c r="Y6805">
        <v>20</v>
      </c>
      <c r="Z6805" t="s">
        <v>5508</v>
      </c>
      <c r="AA6805" s="3">
        <v>0.16099633276462599</v>
      </c>
      <c r="AB6805" t="s">
        <v>32494</v>
      </c>
      <c r="AC6805" t="s">
        <v>4562</v>
      </c>
      <c r="AD6805" t="s">
        <v>32492</v>
      </c>
      <c r="AE6805" t="s">
        <v>4655</v>
      </c>
      <c r="AF6805" t="s">
        <v>1600</v>
      </c>
      <c r="AG6805" t="s">
        <v>4564</v>
      </c>
      <c r="AH6805" t="s">
        <v>1601</v>
      </c>
      <c r="AI6805" t="s">
        <v>32495</v>
      </c>
      <c r="AJ6805" t="s">
        <v>32496</v>
      </c>
      <c r="AK6805" t="s">
        <v>32497</v>
      </c>
      <c r="AL6805" s="13" t="s">
        <v>1898</v>
      </c>
      <c r="AM6805" s="14">
        <v>1</v>
      </c>
      <c r="AN6805" s="15" t="s">
        <v>1598</v>
      </c>
    </row>
    <row r="6806" spans="1:40" x14ac:dyDescent="0.3">
      <c r="A6806" s="10" t="str">
        <f>HYPERLINK("http://www.washoecounty.gov/assessor/cama/?parid=508-490-16&amp;CardNumber=1","508-490-16")</f>
        <v>508-490-16</v>
      </c>
      <c r="B6806" t="s">
        <v>4655</v>
      </c>
      <c r="C6806" t="s">
        <v>32498</v>
      </c>
      <c r="D6806" s="1">
        <v>40539</v>
      </c>
      <c r="E6806" s="2">
        <v>142500</v>
      </c>
      <c r="F6806" t="s">
        <v>4553</v>
      </c>
      <c r="G6806" s="17" t="str">
        <f>HYPERLINK("https://www.washoecounty.gov/assessor/cama/?command=sales&amp;parid=50849016","3957454")</f>
        <v>3957454</v>
      </c>
      <c r="H6806" t="s">
        <v>32493</v>
      </c>
      <c r="I6806">
        <v>1999</v>
      </c>
      <c r="J6806">
        <v>1999</v>
      </c>
      <c r="K6806" t="s">
        <v>4554</v>
      </c>
      <c r="L6806" t="s">
        <v>4555</v>
      </c>
      <c r="M6806" s="2">
        <v>1505</v>
      </c>
      <c r="N6806" t="s">
        <v>4556</v>
      </c>
      <c r="O6806">
        <v>3</v>
      </c>
      <c r="P6806">
        <v>2</v>
      </c>
      <c r="Q6806">
        <v>0</v>
      </c>
      <c r="R6806" t="s">
        <v>4557</v>
      </c>
      <c r="S6806" t="s">
        <v>4558</v>
      </c>
      <c r="T6806" t="s">
        <v>4559</v>
      </c>
      <c r="U6806" t="s">
        <v>4560</v>
      </c>
      <c r="V6806" s="2">
        <v>415</v>
      </c>
      <c r="W6806" t="s">
        <v>4655</v>
      </c>
      <c r="X6806" s="2">
        <v>0</v>
      </c>
      <c r="Y6806">
        <v>20</v>
      </c>
      <c r="Z6806" t="s">
        <v>5508</v>
      </c>
      <c r="AA6806" s="3">
        <v>0.20000000298023199</v>
      </c>
      <c r="AB6806" t="s">
        <v>32499</v>
      </c>
      <c r="AC6806" t="s">
        <v>4575</v>
      </c>
      <c r="AD6806" t="s">
        <v>32500</v>
      </c>
      <c r="AE6806" t="s">
        <v>4655</v>
      </c>
      <c r="AF6806" t="s">
        <v>4563</v>
      </c>
      <c r="AG6806" t="s">
        <v>4564</v>
      </c>
      <c r="AH6806" t="s">
        <v>3821</v>
      </c>
      <c r="AI6806" t="s">
        <v>4655</v>
      </c>
      <c r="AJ6806" t="s">
        <v>32496</v>
      </c>
      <c r="AK6806" t="s">
        <v>32501</v>
      </c>
      <c r="AL6806" s="13" t="s">
        <v>1898</v>
      </c>
      <c r="AM6806" s="14">
        <v>1</v>
      </c>
      <c r="AN6806" s="15" t="s">
        <v>1598</v>
      </c>
    </row>
    <row r="6807" spans="1:40" x14ac:dyDescent="0.3">
      <c r="A6807" s="10" t="str">
        <f>HYPERLINK("http://www.washoecounty.gov/assessor/cama/?parid=510-012-04&amp;CardNumber=1","510-012-04")</f>
        <v>510-012-04</v>
      </c>
      <c r="B6807" t="s">
        <v>4655</v>
      </c>
      <c r="C6807" t="s">
        <v>32502</v>
      </c>
      <c r="D6807" s="1">
        <v>40291</v>
      </c>
      <c r="E6807" s="2">
        <v>155000</v>
      </c>
      <c r="F6807" t="s">
        <v>4567</v>
      </c>
      <c r="G6807" s="17" t="str">
        <f>HYPERLINK("https://www.washoecounty.gov/assessor/cama/?command=sales&amp;parid=51001204","3873883")</f>
        <v>3873883</v>
      </c>
      <c r="H6807" t="s">
        <v>4989</v>
      </c>
      <c r="I6807">
        <v>1996</v>
      </c>
      <c r="J6807">
        <v>1996</v>
      </c>
      <c r="K6807" t="s">
        <v>4554</v>
      </c>
      <c r="L6807" t="s">
        <v>4555</v>
      </c>
      <c r="M6807" s="2">
        <v>1543</v>
      </c>
      <c r="N6807" t="s">
        <v>5280</v>
      </c>
      <c r="O6807">
        <v>3</v>
      </c>
      <c r="P6807">
        <v>2</v>
      </c>
      <c r="Q6807">
        <v>0</v>
      </c>
      <c r="R6807" t="s">
        <v>5281</v>
      </c>
      <c r="S6807" t="s">
        <v>4898</v>
      </c>
      <c r="T6807" t="s">
        <v>2704</v>
      </c>
      <c r="U6807" t="s">
        <v>4560</v>
      </c>
      <c r="V6807" s="2">
        <v>415</v>
      </c>
      <c r="W6807" t="s">
        <v>4655</v>
      </c>
      <c r="X6807" s="2">
        <v>0</v>
      </c>
      <c r="Y6807">
        <v>20</v>
      </c>
      <c r="Z6807" t="s">
        <v>718</v>
      </c>
      <c r="AA6807" s="3">
        <v>0.16200642287731201</v>
      </c>
      <c r="AB6807" t="s">
        <v>32503</v>
      </c>
      <c r="AC6807" t="s">
        <v>4575</v>
      </c>
      <c r="AD6807" t="s">
        <v>32502</v>
      </c>
      <c r="AE6807" t="s">
        <v>4655</v>
      </c>
      <c r="AF6807" t="s">
        <v>5201</v>
      </c>
      <c r="AG6807" t="s">
        <v>4564</v>
      </c>
      <c r="AH6807" t="s">
        <v>1605</v>
      </c>
      <c r="AI6807" t="s">
        <v>32504</v>
      </c>
      <c r="AJ6807" t="s">
        <v>4281</v>
      </c>
      <c r="AK6807" t="s">
        <v>32505</v>
      </c>
      <c r="AL6807" s="13" t="s">
        <v>1892</v>
      </c>
      <c r="AM6807" s="14">
        <v>1</v>
      </c>
      <c r="AN6807" s="15" t="s">
        <v>4282</v>
      </c>
    </row>
    <row r="6808" spans="1:40" x14ac:dyDescent="0.3">
      <c r="A6808" s="10" t="str">
        <f>HYPERLINK("http://www.washoecounty.gov/assessor/cama/?parid=510-021-04&amp;CardNumber=1","510-021-04")</f>
        <v>510-021-04</v>
      </c>
      <c r="B6808" t="s">
        <v>4655</v>
      </c>
      <c r="C6808" t="s">
        <v>32506</v>
      </c>
      <c r="D6808" s="1">
        <v>40273</v>
      </c>
      <c r="E6808" s="2">
        <v>144500</v>
      </c>
      <c r="F6808" t="s">
        <v>4567</v>
      </c>
      <c r="G6808" s="17" t="str">
        <f>HYPERLINK("https://www.washoecounty.gov/assessor/cama/?command=sales&amp;parid=51002104","3867809")</f>
        <v>3867809</v>
      </c>
      <c r="H6808" t="s">
        <v>4280</v>
      </c>
      <c r="I6808">
        <v>1996</v>
      </c>
      <c r="J6808">
        <v>1996</v>
      </c>
      <c r="K6808" t="s">
        <v>4554</v>
      </c>
      <c r="L6808" t="s">
        <v>4555</v>
      </c>
      <c r="M6808" s="2">
        <v>1220</v>
      </c>
      <c r="N6808" t="s">
        <v>5280</v>
      </c>
      <c r="O6808">
        <v>3</v>
      </c>
      <c r="P6808">
        <v>2</v>
      </c>
      <c r="Q6808">
        <v>0</v>
      </c>
      <c r="R6808" t="s">
        <v>4557</v>
      </c>
      <c r="S6808" t="s">
        <v>4898</v>
      </c>
      <c r="T6808" t="s">
        <v>2704</v>
      </c>
      <c r="U6808" t="s">
        <v>4560</v>
      </c>
      <c r="V6808" s="2">
        <v>768</v>
      </c>
      <c r="W6808" t="s">
        <v>4655</v>
      </c>
      <c r="X6808" s="2">
        <v>0</v>
      </c>
      <c r="Y6808">
        <v>20</v>
      </c>
      <c r="Z6808" t="s">
        <v>718</v>
      </c>
      <c r="AA6808" s="3">
        <v>0.207988977432251</v>
      </c>
      <c r="AB6808" t="s">
        <v>32507</v>
      </c>
      <c r="AC6808" t="s">
        <v>4562</v>
      </c>
      <c r="AD6808" t="s">
        <v>32506</v>
      </c>
      <c r="AE6808" t="s">
        <v>4655</v>
      </c>
      <c r="AF6808" t="s">
        <v>5201</v>
      </c>
      <c r="AG6808" t="s">
        <v>4564</v>
      </c>
      <c r="AH6808" t="s">
        <v>1605</v>
      </c>
      <c r="AI6808" t="s">
        <v>4655</v>
      </c>
      <c r="AJ6808" t="s">
        <v>4281</v>
      </c>
      <c r="AK6808" t="s">
        <v>32508</v>
      </c>
      <c r="AL6808" s="13" t="s">
        <v>1892</v>
      </c>
      <c r="AM6808" s="14">
        <v>1</v>
      </c>
      <c r="AN6808" s="15" t="s">
        <v>4282</v>
      </c>
    </row>
    <row r="6809" spans="1:40" x14ac:dyDescent="0.3">
      <c r="A6809" s="10" t="str">
        <f>HYPERLINK("http://www.washoecounty.gov/assessor/cama/?parid=510-022-16&amp;CardNumber=1","510-022-16")</f>
        <v>510-022-16</v>
      </c>
      <c r="B6809" t="s">
        <v>4655</v>
      </c>
      <c r="C6809" t="s">
        <v>32509</v>
      </c>
      <c r="D6809" s="1">
        <v>40498</v>
      </c>
      <c r="E6809" s="2">
        <v>133000</v>
      </c>
      <c r="F6809" t="s">
        <v>4553</v>
      </c>
      <c r="G6809" s="17" t="str">
        <f>HYPERLINK("https://www.washoecounty.gov/assessor/cama/?command=sales&amp;parid=51002216","3943536")</f>
        <v>3943536</v>
      </c>
      <c r="H6809" t="s">
        <v>4280</v>
      </c>
      <c r="I6809">
        <v>1996</v>
      </c>
      <c r="J6809">
        <v>1996</v>
      </c>
      <c r="K6809" t="s">
        <v>4554</v>
      </c>
      <c r="L6809" t="s">
        <v>4555</v>
      </c>
      <c r="M6809" s="2">
        <v>1220</v>
      </c>
      <c r="N6809" t="s">
        <v>5280</v>
      </c>
      <c r="O6809">
        <v>3</v>
      </c>
      <c r="P6809">
        <v>2</v>
      </c>
      <c r="Q6809">
        <v>0</v>
      </c>
      <c r="R6809" t="s">
        <v>5281</v>
      </c>
      <c r="S6809" t="s">
        <v>4898</v>
      </c>
      <c r="T6809" t="s">
        <v>2704</v>
      </c>
      <c r="U6809" t="s">
        <v>4560</v>
      </c>
      <c r="V6809" s="2">
        <v>528</v>
      </c>
      <c r="W6809" t="s">
        <v>4655</v>
      </c>
      <c r="X6809" s="2">
        <v>0</v>
      </c>
      <c r="Y6809">
        <v>20</v>
      </c>
      <c r="Z6809" t="s">
        <v>718</v>
      </c>
      <c r="AA6809" s="3">
        <v>0.14499540627002699</v>
      </c>
      <c r="AB6809" t="s">
        <v>32510</v>
      </c>
      <c r="AC6809" t="s">
        <v>4562</v>
      </c>
      <c r="AD6809" t="s">
        <v>32511</v>
      </c>
      <c r="AE6809" t="s">
        <v>4655</v>
      </c>
      <c r="AF6809" t="s">
        <v>4809</v>
      </c>
      <c r="AG6809" t="s">
        <v>4564</v>
      </c>
      <c r="AH6809" t="s">
        <v>1605</v>
      </c>
      <c r="AI6809" t="s">
        <v>4655</v>
      </c>
      <c r="AJ6809" t="s">
        <v>4281</v>
      </c>
      <c r="AK6809" t="s">
        <v>32512</v>
      </c>
      <c r="AL6809" s="13" t="s">
        <v>1892</v>
      </c>
      <c r="AM6809" s="14">
        <v>1</v>
      </c>
      <c r="AN6809" s="15" t="s">
        <v>4282</v>
      </c>
    </row>
    <row r="6810" spans="1:40" x14ac:dyDescent="0.3">
      <c r="A6810" s="10" t="str">
        <f>HYPERLINK("http://www.washoecounty.gov/assessor/cama/?parid=510-023-20&amp;CardNumber=1","510-023-20")</f>
        <v>510-023-20</v>
      </c>
      <c r="B6810" t="s">
        <v>4655</v>
      </c>
      <c r="C6810" t="s">
        <v>32513</v>
      </c>
      <c r="D6810" s="1">
        <v>40512</v>
      </c>
      <c r="E6810" s="2">
        <v>110000</v>
      </c>
      <c r="F6810" t="s">
        <v>4553</v>
      </c>
      <c r="G6810" s="17" t="str">
        <f>HYPERLINK("https://www.washoecounty.gov/assessor/cama/?command=sales&amp;parid=51002320","3947618")</f>
        <v>3947618</v>
      </c>
      <c r="H6810" t="s">
        <v>32514</v>
      </c>
      <c r="I6810">
        <v>1997</v>
      </c>
      <c r="J6810">
        <v>1997</v>
      </c>
      <c r="K6810" t="s">
        <v>4554</v>
      </c>
      <c r="L6810" t="s">
        <v>4555</v>
      </c>
      <c r="M6810" s="2">
        <v>1219</v>
      </c>
      <c r="N6810" t="s">
        <v>5280</v>
      </c>
      <c r="O6810">
        <v>3</v>
      </c>
      <c r="P6810">
        <v>2</v>
      </c>
      <c r="Q6810">
        <v>0</v>
      </c>
      <c r="R6810" t="s">
        <v>4557</v>
      </c>
      <c r="S6810" t="s">
        <v>4898</v>
      </c>
      <c r="T6810" t="s">
        <v>2704</v>
      </c>
      <c r="U6810" t="s">
        <v>4560</v>
      </c>
      <c r="V6810" s="2">
        <v>528</v>
      </c>
      <c r="W6810" t="s">
        <v>4655</v>
      </c>
      <c r="X6810" s="2">
        <v>0</v>
      </c>
      <c r="Y6810">
        <v>20</v>
      </c>
      <c r="Z6810" t="s">
        <v>718</v>
      </c>
      <c r="AA6810" s="3">
        <v>0.17199265956878662</v>
      </c>
      <c r="AB6810" t="s">
        <v>32515</v>
      </c>
      <c r="AC6810" t="s">
        <v>4575</v>
      </c>
      <c r="AD6810" t="s">
        <v>32513</v>
      </c>
      <c r="AE6810" t="s">
        <v>4655</v>
      </c>
      <c r="AF6810" t="s">
        <v>5201</v>
      </c>
      <c r="AG6810" t="s">
        <v>4564</v>
      </c>
      <c r="AH6810" t="s">
        <v>1605</v>
      </c>
      <c r="AI6810" t="s">
        <v>32516</v>
      </c>
      <c r="AJ6810" t="s">
        <v>5417</v>
      </c>
      <c r="AK6810" t="s">
        <v>32517</v>
      </c>
      <c r="AL6810" s="13" t="s">
        <v>1892</v>
      </c>
      <c r="AM6810">
        <v>1</v>
      </c>
      <c r="AN6810" s="15" t="s">
        <v>4282</v>
      </c>
    </row>
    <row r="6811" spans="1:40" x14ac:dyDescent="0.3">
      <c r="A6811" s="10" t="str">
        <f>HYPERLINK("http://www.washoecounty.gov/assessor/cama/?parid=510-023-20&amp;CardNumber=1","510-023-20")</f>
        <v>510-023-20</v>
      </c>
      <c r="B6811" t="s">
        <v>4655</v>
      </c>
      <c r="C6811" t="s">
        <v>32513</v>
      </c>
      <c r="D6811" s="1">
        <v>40535</v>
      </c>
      <c r="E6811" s="2">
        <v>102000</v>
      </c>
      <c r="F6811" t="s">
        <v>4567</v>
      </c>
      <c r="G6811" s="17" t="str">
        <f>HYPERLINK("https://www.washoecounty.gov/assessor/cama/?command=sales&amp;parid=51002320","3956803")</f>
        <v>3956803</v>
      </c>
      <c r="H6811" t="s">
        <v>32514</v>
      </c>
      <c r="I6811">
        <v>1997</v>
      </c>
      <c r="J6811">
        <v>1997</v>
      </c>
      <c r="K6811" t="s">
        <v>4554</v>
      </c>
      <c r="L6811" t="s">
        <v>4555</v>
      </c>
      <c r="M6811" s="2">
        <v>1219</v>
      </c>
      <c r="N6811" t="s">
        <v>5280</v>
      </c>
      <c r="O6811">
        <v>3</v>
      </c>
      <c r="P6811">
        <v>2</v>
      </c>
      <c r="Q6811">
        <v>0</v>
      </c>
      <c r="R6811" t="s">
        <v>4557</v>
      </c>
      <c r="S6811" t="s">
        <v>4898</v>
      </c>
      <c r="T6811" t="s">
        <v>2704</v>
      </c>
      <c r="U6811" t="s">
        <v>4560</v>
      </c>
      <c r="V6811" s="2">
        <v>528</v>
      </c>
      <c r="W6811" t="s">
        <v>4655</v>
      </c>
      <c r="X6811" s="2">
        <v>0</v>
      </c>
      <c r="Y6811">
        <v>20</v>
      </c>
      <c r="Z6811" t="s">
        <v>718</v>
      </c>
      <c r="AA6811" s="3">
        <v>0.17199265956878662</v>
      </c>
      <c r="AB6811" t="s">
        <v>32515</v>
      </c>
      <c r="AC6811" t="s">
        <v>4575</v>
      </c>
      <c r="AD6811" t="s">
        <v>32513</v>
      </c>
      <c r="AE6811" t="s">
        <v>4655</v>
      </c>
      <c r="AF6811" t="s">
        <v>5201</v>
      </c>
      <c r="AG6811" t="s">
        <v>4564</v>
      </c>
      <c r="AH6811" t="s">
        <v>1605</v>
      </c>
      <c r="AI6811" t="s">
        <v>32516</v>
      </c>
      <c r="AJ6811" t="s">
        <v>5417</v>
      </c>
      <c r="AK6811" t="s">
        <v>32517</v>
      </c>
      <c r="AL6811" s="13" t="s">
        <v>1892</v>
      </c>
      <c r="AM6811" s="14">
        <v>1</v>
      </c>
      <c r="AN6811" s="15" t="s">
        <v>4282</v>
      </c>
    </row>
    <row r="6812" spans="1:40" x14ac:dyDescent="0.3">
      <c r="A6812" s="10" t="str">
        <f>HYPERLINK("http://www.washoecounty.gov/assessor/cama/?parid=510-031-17&amp;CardNumber=1","510-031-17")</f>
        <v>510-031-17</v>
      </c>
      <c r="B6812" t="s">
        <v>4655</v>
      </c>
      <c r="C6812" t="s">
        <v>32518</v>
      </c>
      <c r="D6812" s="1">
        <v>40319</v>
      </c>
      <c r="E6812" s="2">
        <v>150000</v>
      </c>
      <c r="F6812" t="s">
        <v>4567</v>
      </c>
      <c r="G6812" s="17" t="str">
        <f>HYPERLINK("https://www.washoecounty.gov/assessor/cama/?command=sales&amp;parid=51003117","3883859")</f>
        <v>3883859</v>
      </c>
      <c r="H6812" t="s">
        <v>2004</v>
      </c>
      <c r="I6812">
        <v>1997</v>
      </c>
      <c r="J6812">
        <v>1997</v>
      </c>
      <c r="K6812" t="s">
        <v>4554</v>
      </c>
      <c r="L6812" t="s">
        <v>4555</v>
      </c>
      <c r="M6812" s="2">
        <v>1220</v>
      </c>
      <c r="N6812" t="s">
        <v>5280</v>
      </c>
      <c r="O6812">
        <v>3</v>
      </c>
      <c r="P6812">
        <v>2</v>
      </c>
      <c r="Q6812">
        <v>0</v>
      </c>
      <c r="R6812" t="s">
        <v>4557</v>
      </c>
      <c r="S6812" t="s">
        <v>4898</v>
      </c>
      <c r="T6812" t="s">
        <v>2704</v>
      </c>
      <c r="U6812" t="s">
        <v>4560</v>
      </c>
      <c r="V6812" s="2">
        <v>768</v>
      </c>
      <c r="W6812" t="s">
        <v>4655</v>
      </c>
      <c r="X6812" s="2">
        <v>0</v>
      </c>
      <c r="Y6812">
        <v>20</v>
      </c>
      <c r="Z6812" t="s">
        <v>718</v>
      </c>
      <c r="AA6812" s="3">
        <v>1.24201107025146</v>
      </c>
      <c r="AB6812" t="s">
        <v>32519</v>
      </c>
      <c r="AC6812" t="s">
        <v>4562</v>
      </c>
      <c r="AD6812" t="s">
        <v>32518</v>
      </c>
      <c r="AE6812" t="s">
        <v>4655</v>
      </c>
      <c r="AF6812" t="s">
        <v>5201</v>
      </c>
      <c r="AG6812" t="s">
        <v>4564</v>
      </c>
      <c r="AH6812" t="s">
        <v>1605</v>
      </c>
      <c r="AI6812" t="s">
        <v>32520</v>
      </c>
      <c r="AJ6812" t="s">
        <v>4281</v>
      </c>
      <c r="AK6812" t="s">
        <v>32521</v>
      </c>
      <c r="AL6812" s="13" t="s">
        <v>1892</v>
      </c>
      <c r="AM6812">
        <v>1</v>
      </c>
      <c r="AN6812" s="15" t="s">
        <v>4282</v>
      </c>
    </row>
    <row r="6813" spans="1:40" x14ac:dyDescent="0.3">
      <c r="A6813" s="10" t="str">
        <f>HYPERLINK("http://www.washoecounty.gov/assessor/cama/?parid=510-031-21&amp;CardNumber=1","510-031-21")</f>
        <v>510-031-21</v>
      </c>
      <c r="B6813" t="s">
        <v>4655</v>
      </c>
      <c r="C6813" t="s">
        <v>32522</v>
      </c>
      <c r="D6813" s="1">
        <v>40318</v>
      </c>
      <c r="E6813" s="2">
        <v>145000</v>
      </c>
      <c r="F6813" t="s">
        <v>4567</v>
      </c>
      <c r="G6813" s="17" t="str">
        <f>HYPERLINK("https://www.washoecounty.gov/assessor/cama/?command=sales&amp;parid=51003121","3883572")</f>
        <v>3883572</v>
      </c>
      <c r="H6813" t="s">
        <v>32523</v>
      </c>
      <c r="I6813">
        <v>1998</v>
      </c>
      <c r="J6813">
        <v>1998</v>
      </c>
      <c r="K6813" t="s">
        <v>4554</v>
      </c>
      <c r="L6813" t="s">
        <v>4555</v>
      </c>
      <c r="M6813" s="2">
        <v>1220</v>
      </c>
      <c r="N6813" t="s">
        <v>5280</v>
      </c>
      <c r="O6813">
        <v>3</v>
      </c>
      <c r="P6813">
        <v>2</v>
      </c>
      <c r="Q6813">
        <v>0</v>
      </c>
      <c r="R6813" t="s">
        <v>4557</v>
      </c>
      <c r="S6813" t="s">
        <v>4898</v>
      </c>
      <c r="T6813" t="s">
        <v>2704</v>
      </c>
      <c r="U6813" t="s">
        <v>4560</v>
      </c>
      <c r="V6813" s="2">
        <v>528</v>
      </c>
      <c r="W6813" t="s">
        <v>4655</v>
      </c>
      <c r="X6813" s="2">
        <v>0</v>
      </c>
      <c r="Y6813">
        <v>20</v>
      </c>
      <c r="Z6813" t="s">
        <v>718</v>
      </c>
      <c r="AA6813" s="3">
        <v>0.14299815893173218</v>
      </c>
      <c r="AB6813" t="s">
        <v>32524</v>
      </c>
      <c r="AC6813" t="s">
        <v>4562</v>
      </c>
      <c r="AD6813" t="s">
        <v>32522</v>
      </c>
      <c r="AE6813" t="s">
        <v>4655</v>
      </c>
      <c r="AF6813" t="s">
        <v>5201</v>
      </c>
      <c r="AG6813" t="s">
        <v>4564</v>
      </c>
      <c r="AH6813" t="s">
        <v>1605</v>
      </c>
      <c r="AI6813" t="s">
        <v>32525</v>
      </c>
      <c r="AJ6813" t="s">
        <v>32526</v>
      </c>
      <c r="AK6813" t="s">
        <v>32527</v>
      </c>
      <c r="AL6813" s="13" t="s">
        <v>1892</v>
      </c>
      <c r="AM6813" s="14">
        <v>1</v>
      </c>
      <c r="AN6813" s="15" t="s">
        <v>4282</v>
      </c>
    </row>
    <row r="6814" spans="1:40" x14ac:dyDescent="0.3">
      <c r="A6814" s="10" t="str">
        <f>HYPERLINK("http://www.washoecounty.gov/assessor/cama/?parid=510-052-06&amp;CardNumber=1","510-052-06")</f>
        <v>510-052-06</v>
      </c>
      <c r="B6814" t="s">
        <v>4655</v>
      </c>
      <c r="C6814" t="s">
        <v>32528</v>
      </c>
      <c r="D6814" s="1">
        <v>40529</v>
      </c>
      <c r="E6814" s="2">
        <v>165000</v>
      </c>
      <c r="F6814" t="s">
        <v>4553</v>
      </c>
      <c r="G6814" s="17" t="str">
        <f>HYPERLINK("https://www.washoecounty.gov/assessor/cama/?command=sales&amp;parid=51005206","3955132")</f>
        <v>3955132</v>
      </c>
      <c r="H6814" t="s">
        <v>2545</v>
      </c>
      <c r="I6814">
        <v>1999</v>
      </c>
      <c r="J6814">
        <v>1999</v>
      </c>
      <c r="K6814" t="s">
        <v>4554</v>
      </c>
      <c r="L6814" t="s">
        <v>4555</v>
      </c>
      <c r="M6814" s="2">
        <v>1220</v>
      </c>
      <c r="N6814" t="s">
        <v>5280</v>
      </c>
      <c r="O6814">
        <v>5</v>
      </c>
      <c r="P6814">
        <v>3</v>
      </c>
      <c r="Q6814">
        <v>0</v>
      </c>
      <c r="R6814" t="s">
        <v>4557</v>
      </c>
      <c r="S6814" t="s">
        <v>4898</v>
      </c>
      <c r="T6814" t="s">
        <v>2704</v>
      </c>
      <c r="U6814" t="s">
        <v>4560</v>
      </c>
      <c r="V6814" s="2">
        <v>528</v>
      </c>
      <c r="W6814" t="s">
        <v>3201</v>
      </c>
      <c r="X6814" s="2">
        <v>1220</v>
      </c>
      <c r="Y6814">
        <v>20</v>
      </c>
      <c r="Z6814" t="s">
        <v>5508</v>
      </c>
      <c r="AA6814" s="3">
        <v>0.34400826692581199</v>
      </c>
      <c r="AB6814" t="s">
        <v>32529</v>
      </c>
      <c r="AC6814" t="s">
        <v>4562</v>
      </c>
      <c r="AD6814" t="s">
        <v>32530</v>
      </c>
      <c r="AE6814" t="s">
        <v>4655</v>
      </c>
      <c r="AF6814" t="s">
        <v>5201</v>
      </c>
      <c r="AG6814" t="s">
        <v>4564</v>
      </c>
      <c r="AH6814" t="s">
        <v>1605</v>
      </c>
      <c r="AI6814" t="s">
        <v>1602</v>
      </c>
      <c r="AJ6814" t="s">
        <v>2546</v>
      </c>
      <c r="AK6814" t="s">
        <v>32531</v>
      </c>
      <c r="AL6814" s="13" t="s">
        <v>1892</v>
      </c>
      <c r="AM6814" s="14">
        <v>1</v>
      </c>
      <c r="AN6814" s="15" t="s">
        <v>2547</v>
      </c>
    </row>
    <row r="6815" spans="1:40" x14ac:dyDescent="0.3">
      <c r="A6815" s="10" t="str">
        <f>HYPERLINK("http://www.washoecounty.gov/assessor/cama/?parid=510-062-03&amp;CardNumber=1","510-062-03")</f>
        <v>510-062-03</v>
      </c>
      <c r="B6815" t="s">
        <v>4655</v>
      </c>
      <c r="C6815" t="s">
        <v>32532</v>
      </c>
      <c r="D6815" s="1">
        <v>40221</v>
      </c>
      <c r="E6815" s="2">
        <v>156000</v>
      </c>
      <c r="F6815" t="s">
        <v>4567</v>
      </c>
      <c r="G6815" s="17" t="str">
        <f>HYPERLINK("https://www.washoecounty.gov/assessor/cama/?command=sales&amp;parid=51006203","3848959")</f>
        <v>3848959</v>
      </c>
      <c r="H6815" t="s">
        <v>2545</v>
      </c>
      <c r="I6815">
        <v>1999</v>
      </c>
      <c r="J6815">
        <v>1999</v>
      </c>
      <c r="K6815" t="s">
        <v>4554</v>
      </c>
      <c r="L6815" t="s">
        <v>4555</v>
      </c>
      <c r="M6815" s="2">
        <v>1326</v>
      </c>
      <c r="N6815" t="s">
        <v>5280</v>
      </c>
      <c r="O6815">
        <v>3</v>
      </c>
      <c r="P6815">
        <v>2</v>
      </c>
      <c r="Q6815">
        <v>0</v>
      </c>
      <c r="R6815" t="s">
        <v>5281</v>
      </c>
      <c r="S6815" t="s">
        <v>4898</v>
      </c>
      <c r="T6815" t="s">
        <v>2704</v>
      </c>
      <c r="U6815" t="s">
        <v>4560</v>
      </c>
      <c r="V6815" s="2">
        <v>484</v>
      </c>
      <c r="W6815" t="s">
        <v>4655</v>
      </c>
      <c r="X6815" s="2">
        <v>0</v>
      </c>
      <c r="Y6815">
        <v>20</v>
      </c>
      <c r="Z6815" t="s">
        <v>5508</v>
      </c>
      <c r="AA6815" s="3">
        <v>0.28700643777847301</v>
      </c>
      <c r="AB6815" t="s">
        <v>32533</v>
      </c>
      <c r="AC6815" t="s">
        <v>4562</v>
      </c>
      <c r="AD6815" t="s">
        <v>32532</v>
      </c>
      <c r="AE6815" t="s">
        <v>4655</v>
      </c>
      <c r="AF6815" t="s">
        <v>5201</v>
      </c>
      <c r="AG6815" t="s">
        <v>4564</v>
      </c>
      <c r="AH6815" t="s">
        <v>1605</v>
      </c>
      <c r="AI6815" t="s">
        <v>32534</v>
      </c>
      <c r="AJ6815" t="s">
        <v>2546</v>
      </c>
      <c r="AK6815" t="s">
        <v>32535</v>
      </c>
      <c r="AL6815" s="13" t="s">
        <v>1892</v>
      </c>
      <c r="AM6815">
        <v>1</v>
      </c>
      <c r="AN6815" s="15" t="s">
        <v>2547</v>
      </c>
    </row>
    <row r="6816" spans="1:40" x14ac:dyDescent="0.3">
      <c r="A6816" s="10" t="str">
        <f>HYPERLINK("http://www.washoecounty.gov/assessor/cama/?parid=510-071-34&amp;CardNumber=1","510-071-34")</f>
        <v>510-071-34</v>
      </c>
      <c r="B6816" t="s">
        <v>4655</v>
      </c>
      <c r="C6816" t="s">
        <v>301</v>
      </c>
      <c r="D6816" s="1">
        <v>40191</v>
      </c>
      <c r="E6816" s="2">
        <v>400000</v>
      </c>
      <c r="F6816" t="s">
        <v>3528</v>
      </c>
      <c r="G6816" s="17" t="str">
        <f>HYPERLINK("https://www.washoecounty.gov/assessor/cama/?command=sales&amp;parid=51007134","3838794")</f>
        <v>3838794</v>
      </c>
      <c r="H6816" t="s">
        <v>32536</v>
      </c>
      <c r="I6816">
        <v>0</v>
      </c>
      <c r="J6816">
        <v>0</v>
      </c>
      <c r="K6816" t="s">
        <v>4655</v>
      </c>
      <c r="L6816" t="s">
        <v>4655</v>
      </c>
      <c r="M6816" s="2">
        <v>0</v>
      </c>
      <c r="N6816" t="s">
        <v>4655</v>
      </c>
      <c r="O6816">
        <v>0</v>
      </c>
      <c r="P6816">
        <v>0</v>
      </c>
      <c r="Q6816">
        <v>0</v>
      </c>
      <c r="R6816" t="s">
        <v>4655</v>
      </c>
      <c r="S6816" t="s">
        <v>4655</v>
      </c>
      <c r="T6816" t="s">
        <v>4655</v>
      </c>
      <c r="U6816" t="s">
        <v>4655</v>
      </c>
      <c r="V6816" s="2">
        <v>0</v>
      </c>
      <c r="W6816" t="s">
        <v>4655</v>
      </c>
      <c r="X6816" s="2">
        <v>0</v>
      </c>
      <c r="Y6816">
        <v>11</v>
      </c>
      <c r="Z6816" t="s">
        <v>2048</v>
      </c>
      <c r="AA6816" s="3">
        <v>21.006999969482401</v>
      </c>
      <c r="AB6816" t="s">
        <v>32537</v>
      </c>
      <c r="AC6816" t="s">
        <v>4562</v>
      </c>
      <c r="AD6816" t="s">
        <v>32538</v>
      </c>
      <c r="AE6816" t="s">
        <v>4655</v>
      </c>
      <c r="AF6816" t="s">
        <v>4563</v>
      </c>
      <c r="AG6816" t="s">
        <v>4564</v>
      </c>
      <c r="AH6816" t="s">
        <v>5197</v>
      </c>
      <c r="AI6816" t="s">
        <v>32539</v>
      </c>
      <c r="AJ6816" t="s">
        <v>32540</v>
      </c>
      <c r="AK6816" t="s">
        <v>32541</v>
      </c>
      <c r="AL6816" s="13" t="s">
        <v>38885</v>
      </c>
      <c r="AM6816">
        <v>0</v>
      </c>
      <c r="AN6816" s="15" t="s">
        <v>32542</v>
      </c>
    </row>
    <row r="6817" spans="1:40" x14ac:dyDescent="0.3">
      <c r="A6817" s="10" t="str">
        <f>HYPERLINK("http://www.washoecounty.gov/assessor/cama/?parid=510-120-01&amp;CardNumber=1","510-120-01")</f>
        <v>510-120-01</v>
      </c>
      <c r="B6817" t="s">
        <v>4655</v>
      </c>
      <c r="C6817" t="s">
        <v>32543</v>
      </c>
      <c r="D6817" s="1">
        <v>40374</v>
      </c>
      <c r="E6817" s="2">
        <v>69360</v>
      </c>
      <c r="F6817" t="s">
        <v>4553</v>
      </c>
      <c r="G6817" s="17" t="str">
        <f>HYPERLINK("https://www.washoecounty.gov/assessor/cama/?command=sales&amp;parid=51012001","3901588")</f>
        <v>3901588</v>
      </c>
      <c r="H6817" t="s">
        <v>2548</v>
      </c>
      <c r="I6817">
        <v>2000</v>
      </c>
      <c r="J6817">
        <v>2000</v>
      </c>
      <c r="K6817" t="s">
        <v>4897</v>
      </c>
      <c r="L6817" t="s">
        <v>3974</v>
      </c>
      <c r="M6817" s="2">
        <v>1225</v>
      </c>
      <c r="N6817" t="s">
        <v>4048</v>
      </c>
      <c r="O6817">
        <v>3</v>
      </c>
      <c r="P6817">
        <v>2</v>
      </c>
      <c r="Q6817">
        <v>1</v>
      </c>
      <c r="R6817" t="s">
        <v>5281</v>
      </c>
      <c r="S6817" t="s">
        <v>4898</v>
      </c>
      <c r="T6817" t="s">
        <v>2704</v>
      </c>
      <c r="U6817" t="s">
        <v>5631</v>
      </c>
      <c r="V6817" s="2">
        <v>399</v>
      </c>
      <c r="W6817" t="s">
        <v>4655</v>
      </c>
      <c r="X6817" s="2">
        <v>0</v>
      </c>
      <c r="Y6817">
        <v>21</v>
      </c>
      <c r="Z6817" t="s">
        <v>1604</v>
      </c>
      <c r="AA6817" s="3">
        <v>1.9995408132672299E-2</v>
      </c>
      <c r="AB6817" t="s">
        <v>32544</v>
      </c>
      <c r="AC6817" t="s">
        <v>4562</v>
      </c>
      <c r="AD6817" t="s">
        <v>32545</v>
      </c>
      <c r="AE6817" t="s">
        <v>32546</v>
      </c>
      <c r="AF6817" t="s">
        <v>4563</v>
      </c>
      <c r="AG6817" t="s">
        <v>4564</v>
      </c>
      <c r="AH6817" t="s">
        <v>2330</v>
      </c>
      <c r="AI6817" t="s">
        <v>32547</v>
      </c>
      <c r="AJ6817" t="s">
        <v>2779</v>
      </c>
      <c r="AK6817" t="s">
        <v>32548</v>
      </c>
      <c r="AL6817" s="13" t="s">
        <v>1899</v>
      </c>
      <c r="AM6817" s="14">
        <v>1</v>
      </c>
      <c r="AN6817" s="15" t="s">
        <v>2780</v>
      </c>
    </row>
    <row r="6818" spans="1:40" x14ac:dyDescent="0.3">
      <c r="A6818" s="10" t="str">
        <f>HYPERLINK("http://www.washoecounty.gov/assessor/cama/?parid=510-120-02&amp;CardNumber=1","510-120-02")</f>
        <v>510-120-02</v>
      </c>
      <c r="B6818" t="s">
        <v>4655</v>
      </c>
      <c r="C6818" t="s">
        <v>32543</v>
      </c>
      <c r="D6818" s="1">
        <v>40374</v>
      </c>
      <c r="E6818" s="2">
        <v>65778</v>
      </c>
      <c r="F6818" t="s">
        <v>4553</v>
      </c>
      <c r="G6818" s="17" t="str">
        <f>HYPERLINK("https://www.washoecounty.gov/assessor/cama/?command=sales&amp;parid=51012002","3901589")</f>
        <v>3901589</v>
      </c>
      <c r="H6818" t="s">
        <v>2548</v>
      </c>
      <c r="I6818">
        <v>2000</v>
      </c>
      <c r="J6818">
        <v>2000</v>
      </c>
      <c r="K6818" t="s">
        <v>3144</v>
      </c>
      <c r="L6818" t="s">
        <v>3974</v>
      </c>
      <c r="M6818" s="2">
        <v>1225</v>
      </c>
      <c r="N6818" t="s">
        <v>4048</v>
      </c>
      <c r="O6818">
        <v>3</v>
      </c>
      <c r="P6818">
        <v>2</v>
      </c>
      <c r="Q6818">
        <v>1</v>
      </c>
      <c r="R6818" t="s">
        <v>5281</v>
      </c>
      <c r="S6818" t="s">
        <v>4898</v>
      </c>
      <c r="T6818" t="s">
        <v>2704</v>
      </c>
      <c r="U6818" t="s">
        <v>5631</v>
      </c>
      <c r="V6818" s="2">
        <v>399</v>
      </c>
      <c r="W6818" t="s">
        <v>4655</v>
      </c>
      <c r="X6818" s="2">
        <v>0</v>
      </c>
      <c r="Y6818">
        <v>21</v>
      </c>
      <c r="Z6818" t="s">
        <v>1604</v>
      </c>
      <c r="AA6818" s="3">
        <v>1.9995408132672299E-2</v>
      </c>
      <c r="AB6818" t="s">
        <v>32549</v>
      </c>
      <c r="AC6818" t="s">
        <v>4562</v>
      </c>
      <c r="AD6818" t="s">
        <v>32545</v>
      </c>
      <c r="AE6818" t="s">
        <v>32546</v>
      </c>
      <c r="AF6818" t="s">
        <v>4563</v>
      </c>
      <c r="AG6818" t="s">
        <v>4564</v>
      </c>
      <c r="AH6818" t="s">
        <v>2330</v>
      </c>
      <c r="AI6818" t="s">
        <v>32547</v>
      </c>
      <c r="AJ6818" t="s">
        <v>2779</v>
      </c>
      <c r="AK6818" t="s">
        <v>32550</v>
      </c>
      <c r="AL6818" s="13" t="s">
        <v>1899</v>
      </c>
      <c r="AM6818">
        <v>1</v>
      </c>
      <c r="AN6818" s="15" t="s">
        <v>2780</v>
      </c>
    </row>
    <row r="6819" spans="1:40" x14ac:dyDescent="0.3">
      <c r="A6819" s="10" t="str">
        <f>HYPERLINK("http://www.washoecounty.gov/assessor/cama/?parid=510-120-03&amp;CardNumber=1","510-120-03")</f>
        <v>510-120-03</v>
      </c>
      <c r="B6819" t="s">
        <v>4655</v>
      </c>
      <c r="C6819" t="s">
        <v>32543</v>
      </c>
      <c r="D6819" s="1">
        <v>40374</v>
      </c>
      <c r="E6819" s="2">
        <v>65778</v>
      </c>
      <c r="F6819" t="s">
        <v>4553</v>
      </c>
      <c r="G6819" s="17" t="str">
        <f>HYPERLINK("https://www.washoecounty.gov/assessor/cama/?command=sales&amp;parid=51012003","3901590")</f>
        <v>3901590</v>
      </c>
      <c r="H6819" t="s">
        <v>2548</v>
      </c>
      <c r="I6819">
        <v>2000</v>
      </c>
      <c r="J6819">
        <v>2000</v>
      </c>
      <c r="K6819" t="s">
        <v>3144</v>
      </c>
      <c r="L6819" t="s">
        <v>3974</v>
      </c>
      <c r="M6819" s="2">
        <v>1225</v>
      </c>
      <c r="N6819" t="s">
        <v>4048</v>
      </c>
      <c r="O6819">
        <v>3</v>
      </c>
      <c r="P6819">
        <v>2</v>
      </c>
      <c r="Q6819">
        <v>1</v>
      </c>
      <c r="R6819" t="s">
        <v>5281</v>
      </c>
      <c r="S6819" t="s">
        <v>4898</v>
      </c>
      <c r="T6819" t="s">
        <v>2704</v>
      </c>
      <c r="U6819" t="s">
        <v>5631</v>
      </c>
      <c r="V6819" s="2">
        <v>399</v>
      </c>
      <c r="W6819" t="s">
        <v>4655</v>
      </c>
      <c r="X6819" s="2">
        <v>0</v>
      </c>
      <c r="Y6819">
        <v>21</v>
      </c>
      <c r="Z6819" t="s">
        <v>1604</v>
      </c>
      <c r="AA6819" s="3">
        <v>1.9995408132672299E-2</v>
      </c>
      <c r="AB6819" t="s">
        <v>32551</v>
      </c>
      <c r="AC6819" t="s">
        <v>4562</v>
      </c>
      <c r="AD6819" t="s">
        <v>32545</v>
      </c>
      <c r="AE6819" t="s">
        <v>32546</v>
      </c>
      <c r="AF6819" t="s">
        <v>4563</v>
      </c>
      <c r="AG6819" t="s">
        <v>4564</v>
      </c>
      <c r="AH6819" t="s">
        <v>2330</v>
      </c>
      <c r="AI6819" t="s">
        <v>32547</v>
      </c>
      <c r="AJ6819" t="s">
        <v>2779</v>
      </c>
      <c r="AK6819" t="s">
        <v>32552</v>
      </c>
      <c r="AL6819" s="13" t="s">
        <v>1899</v>
      </c>
      <c r="AM6819" s="14">
        <v>1</v>
      </c>
      <c r="AN6819" s="15" t="s">
        <v>2780</v>
      </c>
    </row>
    <row r="6820" spans="1:40" x14ac:dyDescent="0.3">
      <c r="A6820" s="10" t="str">
        <f>HYPERLINK("http://www.washoecounty.gov/assessor/cama/?parid=510-120-04&amp;CardNumber=1","510-120-04")</f>
        <v>510-120-04</v>
      </c>
      <c r="B6820" t="s">
        <v>4655</v>
      </c>
      <c r="C6820" t="s">
        <v>32543</v>
      </c>
      <c r="D6820" s="1">
        <v>40374</v>
      </c>
      <c r="E6820" s="2">
        <v>65778</v>
      </c>
      <c r="F6820" t="s">
        <v>4553</v>
      </c>
      <c r="G6820" s="17" t="str">
        <f>HYPERLINK("https://www.washoecounty.gov/assessor/cama/?command=sales&amp;parid=51012004","3901586")</f>
        <v>3901586</v>
      </c>
      <c r="H6820" t="s">
        <v>2548</v>
      </c>
      <c r="I6820">
        <v>2000</v>
      </c>
      <c r="J6820">
        <v>2000</v>
      </c>
      <c r="K6820" t="s">
        <v>3144</v>
      </c>
      <c r="L6820" t="s">
        <v>3974</v>
      </c>
      <c r="M6820" s="2">
        <v>1225</v>
      </c>
      <c r="N6820" t="s">
        <v>4048</v>
      </c>
      <c r="O6820">
        <v>3</v>
      </c>
      <c r="P6820">
        <v>2</v>
      </c>
      <c r="Q6820">
        <v>1</v>
      </c>
      <c r="R6820" t="s">
        <v>5281</v>
      </c>
      <c r="S6820" t="s">
        <v>4898</v>
      </c>
      <c r="T6820" t="s">
        <v>2704</v>
      </c>
      <c r="U6820" t="s">
        <v>5631</v>
      </c>
      <c r="V6820" s="2">
        <v>399</v>
      </c>
      <c r="W6820" t="s">
        <v>4655</v>
      </c>
      <c r="X6820" s="2">
        <v>0</v>
      </c>
      <c r="Y6820">
        <v>21</v>
      </c>
      <c r="Z6820" t="s">
        <v>1604</v>
      </c>
      <c r="AA6820" s="3">
        <v>1.9995408132672299E-2</v>
      </c>
      <c r="AB6820" t="s">
        <v>32553</v>
      </c>
      <c r="AC6820" t="s">
        <v>4575</v>
      </c>
      <c r="AD6820" t="s">
        <v>32545</v>
      </c>
      <c r="AE6820" t="s">
        <v>32546</v>
      </c>
      <c r="AF6820" t="s">
        <v>4563</v>
      </c>
      <c r="AG6820" t="s">
        <v>4564</v>
      </c>
      <c r="AH6820" t="s">
        <v>2330</v>
      </c>
      <c r="AI6820" t="s">
        <v>32547</v>
      </c>
      <c r="AJ6820" t="s">
        <v>2779</v>
      </c>
      <c r="AK6820" t="s">
        <v>32554</v>
      </c>
      <c r="AL6820" s="13" t="s">
        <v>1899</v>
      </c>
      <c r="AM6820">
        <v>1</v>
      </c>
      <c r="AN6820" s="15" t="s">
        <v>2780</v>
      </c>
    </row>
    <row r="6821" spans="1:40" x14ac:dyDescent="0.3">
      <c r="A6821" s="10" t="str">
        <f>HYPERLINK("http://www.washoecounty.gov/assessor/cama/?parid=510-120-05&amp;CardNumber=1","510-120-05")</f>
        <v>510-120-05</v>
      </c>
      <c r="B6821" t="s">
        <v>4655</v>
      </c>
      <c r="C6821" t="s">
        <v>32543</v>
      </c>
      <c r="D6821" s="1">
        <v>40374</v>
      </c>
      <c r="E6821" s="2">
        <v>65778</v>
      </c>
      <c r="F6821" t="s">
        <v>4553</v>
      </c>
      <c r="G6821" s="17" t="str">
        <f>HYPERLINK("https://www.washoecounty.gov/assessor/cama/?command=sales&amp;parid=51012005","3901585")</f>
        <v>3901585</v>
      </c>
      <c r="H6821" t="s">
        <v>2548</v>
      </c>
      <c r="I6821">
        <v>2000</v>
      </c>
      <c r="J6821">
        <v>2000</v>
      </c>
      <c r="K6821" t="s">
        <v>3144</v>
      </c>
      <c r="L6821" t="s">
        <v>3974</v>
      </c>
      <c r="M6821" s="2">
        <v>1225</v>
      </c>
      <c r="N6821" t="s">
        <v>4048</v>
      </c>
      <c r="O6821">
        <v>3</v>
      </c>
      <c r="P6821">
        <v>2</v>
      </c>
      <c r="Q6821">
        <v>1</v>
      </c>
      <c r="R6821" t="s">
        <v>5281</v>
      </c>
      <c r="S6821" t="s">
        <v>4898</v>
      </c>
      <c r="T6821" t="s">
        <v>2704</v>
      </c>
      <c r="U6821" t="s">
        <v>5631</v>
      </c>
      <c r="V6821" s="2">
        <v>399</v>
      </c>
      <c r="W6821" t="s">
        <v>4655</v>
      </c>
      <c r="X6821" s="2">
        <v>0</v>
      </c>
      <c r="Y6821">
        <v>21</v>
      </c>
      <c r="Z6821" t="s">
        <v>1604</v>
      </c>
      <c r="AA6821" s="3">
        <v>1.9995408132672299E-2</v>
      </c>
      <c r="AB6821" t="s">
        <v>32555</v>
      </c>
      <c r="AC6821" t="s">
        <v>4562</v>
      </c>
      <c r="AD6821" t="s">
        <v>32556</v>
      </c>
      <c r="AE6821" t="s">
        <v>32557</v>
      </c>
      <c r="AF6821" t="s">
        <v>4563</v>
      </c>
      <c r="AG6821" t="s">
        <v>4564</v>
      </c>
      <c r="AH6821" t="s">
        <v>5197</v>
      </c>
      <c r="AI6821" t="s">
        <v>32547</v>
      </c>
      <c r="AJ6821" t="s">
        <v>2779</v>
      </c>
      <c r="AK6821" t="s">
        <v>32558</v>
      </c>
      <c r="AL6821" s="13" t="s">
        <v>1899</v>
      </c>
      <c r="AM6821">
        <v>1</v>
      </c>
      <c r="AN6821" s="15" t="s">
        <v>2780</v>
      </c>
    </row>
    <row r="6822" spans="1:40" x14ac:dyDescent="0.3">
      <c r="A6822" s="10" t="str">
        <f>HYPERLINK("http://www.washoecounty.gov/assessor/cama/?parid=510-120-06&amp;CardNumber=1","510-120-06")</f>
        <v>510-120-06</v>
      </c>
      <c r="B6822" t="s">
        <v>4655</v>
      </c>
      <c r="C6822" t="s">
        <v>32543</v>
      </c>
      <c r="D6822" s="1">
        <v>40374</v>
      </c>
      <c r="E6822" s="2">
        <v>69360</v>
      </c>
      <c r="F6822" t="s">
        <v>4553</v>
      </c>
      <c r="G6822" s="17" t="str">
        <f>HYPERLINK("https://www.washoecounty.gov/assessor/cama/?command=sales&amp;parid=51012006","3901587")</f>
        <v>3901587</v>
      </c>
      <c r="H6822" t="s">
        <v>2548</v>
      </c>
      <c r="I6822">
        <v>2000</v>
      </c>
      <c r="J6822">
        <v>2000</v>
      </c>
      <c r="K6822" t="s">
        <v>4897</v>
      </c>
      <c r="L6822" t="s">
        <v>3974</v>
      </c>
      <c r="M6822" s="2">
        <v>1225</v>
      </c>
      <c r="N6822" t="s">
        <v>4048</v>
      </c>
      <c r="O6822">
        <v>3</v>
      </c>
      <c r="P6822">
        <v>2</v>
      </c>
      <c r="Q6822">
        <v>1</v>
      </c>
      <c r="R6822" t="s">
        <v>5281</v>
      </c>
      <c r="S6822" t="s">
        <v>4898</v>
      </c>
      <c r="T6822" t="s">
        <v>2704</v>
      </c>
      <c r="U6822" t="s">
        <v>5631</v>
      </c>
      <c r="V6822" s="2">
        <v>399</v>
      </c>
      <c r="W6822" t="s">
        <v>4655</v>
      </c>
      <c r="X6822" s="2">
        <v>0</v>
      </c>
      <c r="Y6822">
        <v>21</v>
      </c>
      <c r="Z6822" t="s">
        <v>1604</v>
      </c>
      <c r="AA6822" s="3">
        <v>1.9995408132672299E-2</v>
      </c>
      <c r="AB6822" t="s">
        <v>32559</v>
      </c>
      <c r="AC6822" t="s">
        <v>4562</v>
      </c>
      <c r="AD6822" t="s">
        <v>32556</v>
      </c>
      <c r="AE6822" t="s">
        <v>32557</v>
      </c>
      <c r="AF6822" t="s">
        <v>4563</v>
      </c>
      <c r="AG6822" t="s">
        <v>4564</v>
      </c>
      <c r="AH6822" t="s">
        <v>5197</v>
      </c>
      <c r="AI6822" t="s">
        <v>32547</v>
      </c>
      <c r="AJ6822" t="s">
        <v>2779</v>
      </c>
      <c r="AK6822" t="s">
        <v>32560</v>
      </c>
      <c r="AL6822" s="13" t="s">
        <v>1899</v>
      </c>
      <c r="AM6822" s="14">
        <v>1</v>
      </c>
      <c r="AN6822" s="15" t="s">
        <v>2780</v>
      </c>
    </row>
    <row r="6823" spans="1:40" x14ac:dyDescent="0.3">
      <c r="A6823" s="10" t="str">
        <f>HYPERLINK("http://www.washoecounty.gov/assessor/cama/?parid=510-120-13&amp;CardNumber=1","510-120-13")</f>
        <v>510-120-13</v>
      </c>
      <c r="B6823" t="s">
        <v>4655</v>
      </c>
      <c r="C6823" t="s">
        <v>32561</v>
      </c>
      <c r="D6823" s="1">
        <v>40191</v>
      </c>
      <c r="E6823" s="2">
        <v>65100</v>
      </c>
      <c r="F6823" t="s">
        <v>4553</v>
      </c>
      <c r="G6823" s="17" t="str">
        <f>HYPERLINK("https://www.washoecounty.gov/assessor/cama/?command=sales&amp;parid=51012013","3839002")</f>
        <v>3839002</v>
      </c>
      <c r="H6823" t="s">
        <v>2548</v>
      </c>
      <c r="I6823">
        <v>1999</v>
      </c>
      <c r="J6823">
        <v>1999</v>
      </c>
      <c r="K6823" t="s">
        <v>3144</v>
      </c>
      <c r="L6823" t="s">
        <v>3974</v>
      </c>
      <c r="M6823" s="2">
        <v>1225</v>
      </c>
      <c r="N6823" t="s">
        <v>4048</v>
      </c>
      <c r="O6823">
        <v>3</v>
      </c>
      <c r="P6823">
        <v>2</v>
      </c>
      <c r="Q6823">
        <v>1</v>
      </c>
      <c r="R6823" t="s">
        <v>5281</v>
      </c>
      <c r="S6823" t="s">
        <v>4898</v>
      </c>
      <c r="T6823" t="s">
        <v>2704</v>
      </c>
      <c r="U6823" t="s">
        <v>5631</v>
      </c>
      <c r="V6823" s="2">
        <v>399</v>
      </c>
      <c r="W6823" t="s">
        <v>4655</v>
      </c>
      <c r="X6823" s="2">
        <v>0</v>
      </c>
      <c r="Y6823">
        <v>21</v>
      </c>
      <c r="Z6823" t="s">
        <v>1604</v>
      </c>
      <c r="AA6823" s="3">
        <v>1.9995408132672299E-2</v>
      </c>
      <c r="AB6823" t="s">
        <v>32562</v>
      </c>
      <c r="AC6823" t="s">
        <v>4575</v>
      </c>
      <c r="AD6823" t="s">
        <v>2549</v>
      </c>
      <c r="AE6823" t="s">
        <v>4655</v>
      </c>
      <c r="AF6823" t="s">
        <v>4563</v>
      </c>
      <c r="AG6823" t="s">
        <v>4564</v>
      </c>
      <c r="AH6823">
        <v>89509</v>
      </c>
      <c r="AI6823" t="s">
        <v>11569</v>
      </c>
      <c r="AJ6823" t="s">
        <v>2779</v>
      </c>
      <c r="AK6823" t="s">
        <v>32563</v>
      </c>
      <c r="AL6823" s="13" t="s">
        <v>1899</v>
      </c>
      <c r="AM6823">
        <v>1</v>
      </c>
      <c r="AN6823" s="15" t="s">
        <v>2780</v>
      </c>
    </row>
    <row r="6824" spans="1:40" x14ac:dyDescent="0.3">
      <c r="A6824" s="10" t="str">
        <f>HYPERLINK("http://www.washoecounty.gov/assessor/cama/?parid=510-120-37&amp;CardNumber=1","510-120-37")</f>
        <v>510-120-37</v>
      </c>
      <c r="B6824" t="s">
        <v>4655</v>
      </c>
      <c r="C6824" t="s">
        <v>2216</v>
      </c>
      <c r="D6824" s="1">
        <v>40476</v>
      </c>
      <c r="E6824" s="2">
        <v>66000</v>
      </c>
      <c r="F6824" t="s">
        <v>4567</v>
      </c>
      <c r="G6824" s="17" t="str">
        <f>HYPERLINK("https://www.washoecounty.gov/assessor/cama/?command=sales&amp;parid=51012037","3935945")</f>
        <v>3935945</v>
      </c>
      <c r="H6824" t="s">
        <v>2548</v>
      </c>
      <c r="I6824">
        <v>1999</v>
      </c>
      <c r="J6824">
        <v>1999</v>
      </c>
      <c r="K6824" t="s">
        <v>3144</v>
      </c>
      <c r="L6824" t="s">
        <v>3974</v>
      </c>
      <c r="M6824" s="2">
        <v>1243</v>
      </c>
      <c r="N6824" t="s">
        <v>4048</v>
      </c>
      <c r="O6824">
        <v>2</v>
      </c>
      <c r="P6824">
        <v>2</v>
      </c>
      <c r="Q6824">
        <v>1</v>
      </c>
      <c r="R6824" t="s">
        <v>5281</v>
      </c>
      <c r="S6824" t="s">
        <v>4898</v>
      </c>
      <c r="T6824" t="s">
        <v>2704</v>
      </c>
      <c r="U6824" t="s">
        <v>5631</v>
      </c>
      <c r="V6824" s="2">
        <v>216</v>
      </c>
      <c r="W6824" t="s">
        <v>4655</v>
      </c>
      <c r="X6824" s="2">
        <v>0</v>
      </c>
      <c r="Y6824">
        <v>21</v>
      </c>
      <c r="Z6824" t="s">
        <v>1604</v>
      </c>
      <c r="AA6824" s="3">
        <v>1.6000919044017799E-2</v>
      </c>
      <c r="AB6824" t="s">
        <v>32564</v>
      </c>
      <c r="AC6824" t="s">
        <v>4562</v>
      </c>
      <c r="AD6824" t="s">
        <v>32565</v>
      </c>
      <c r="AE6824" t="s">
        <v>4655</v>
      </c>
      <c r="AF6824" t="s">
        <v>5201</v>
      </c>
      <c r="AG6824" t="s">
        <v>4564</v>
      </c>
      <c r="AH6824" t="s">
        <v>1605</v>
      </c>
      <c r="AI6824" t="s">
        <v>32566</v>
      </c>
      <c r="AJ6824" t="s">
        <v>2779</v>
      </c>
      <c r="AK6824" t="s">
        <v>32567</v>
      </c>
      <c r="AL6824" s="13" t="s">
        <v>1899</v>
      </c>
      <c r="AM6824" s="14">
        <v>1</v>
      </c>
      <c r="AN6824" s="15" t="s">
        <v>2780</v>
      </c>
    </row>
    <row r="6825" spans="1:40" x14ac:dyDescent="0.3">
      <c r="A6825" s="10" t="str">
        <f>HYPERLINK("http://www.washoecounty.gov/assessor/cama/?parid=510-120-40&amp;CardNumber=1","510-120-40")</f>
        <v>510-120-40</v>
      </c>
      <c r="B6825" t="s">
        <v>4655</v>
      </c>
      <c r="C6825" t="s">
        <v>2216</v>
      </c>
      <c r="D6825" s="1">
        <v>40294</v>
      </c>
      <c r="E6825" s="2">
        <v>41125</v>
      </c>
      <c r="F6825" t="s">
        <v>4553</v>
      </c>
      <c r="G6825" s="17" t="str">
        <f>HYPERLINK("https://www.washoecounty.gov/assessor/cama/?command=sales&amp;parid=51012040","3874673")</f>
        <v>3874673</v>
      </c>
      <c r="H6825" t="s">
        <v>2548</v>
      </c>
      <c r="I6825">
        <v>1999</v>
      </c>
      <c r="J6825">
        <v>1999</v>
      </c>
      <c r="K6825" t="s">
        <v>4897</v>
      </c>
      <c r="L6825" t="s">
        <v>3974</v>
      </c>
      <c r="M6825" s="2">
        <v>1143</v>
      </c>
      <c r="N6825" t="s">
        <v>4048</v>
      </c>
      <c r="O6825">
        <v>2</v>
      </c>
      <c r="P6825">
        <v>2</v>
      </c>
      <c r="Q6825">
        <v>1</v>
      </c>
      <c r="R6825" t="s">
        <v>5281</v>
      </c>
      <c r="S6825" t="s">
        <v>4898</v>
      </c>
      <c r="T6825" t="s">
        <v>2704</v>
      </c>
      <c r="U6825" t="s">
        <v>5631</v>
      </c>
      <c r="V6825" s="2">
        <v>216</v>
      </c>
      <c r="W6825" t="s">
        <v>4655</v>
      </c>
      <c r="X6825" s="2">
        <v>0</v>
      </c>
      <c r="Y6825">
        <v>21</v>
      </c>
      <c r="Z6825" t="s">
        <v>1604</v>
      </c>
      <c r="AA6825" s="3">
        <v>1.6000919044017799E-2</v>
      </c>
      <c r="AB6825" t="s">
        <v>32568</v>
      </c>
      <c r="AC6825" t="s">
        <v>4562</v>
      </c>
      <c r="AD6825" t="s">
        <v>32569</v>
      </c>
      <c r="AE6825" t="s">
        <v>4655</v>
      </c>
      <c r="AF6825" t="s">
        <v>5201</v>
      </c>
      <c r="AG6825" t="s">
        <v>4564</v>
      </c>
      <c r="AH6825" t="s">
        <v>1605</v>
      </c>
      <c r="AI6825" t="s">
        <v>4565</v>
      </c>
      <c r="AJ6825" t="s">
        <v>2779</v>
      </c>
      <c r="AK6825" t="s">
        <v>32570</v>
      </c>
      <c r="AL6825" s="13" t="s">
        <v>1899</v>
      </c>
      <c r="AM6825" s="14">
        <v>1</v>
      </c>
      <c r="AN6825" s="15" t="s">
        <v>2780</v>
      </c>
    </row>
    <row r="6826" spans="1:40" x14ac:dyDescent="0.3">
      <c r="A6826" s="10" t="str">
        <f>HYPERLINK("http://www.washoecounty.gov/assessor/cama/?parid=510-130-10&amp;CardNumber=1","510-130-10")</f>
        <v>510-130-10</v>
      </c>
      <c r="B6826" t="s">
        <v>4655</v>
      </c>
      <c r="C6826" t="s">
        <v>283</v>
      </c>
      <c r="D6826" s="1">
        <v>40494</v>
      </c>
      <c r="E6826" s="2">
        <v>75000</v>
      </c>
      <c r="F6826" t="s">
        <v>4567</v>
      </c>
      <c r="G6826" s="20" t="s">
        <v>282</v>
      </c>
      <c r="H6826" t="s">
        <v>2548</v>
      </c>
      <c r="I6826">
        <v>1999</v>
      </c>
      <c r="J6826">
        <v>1999</v>
      </c>
      <c r="K6826" t="s">
        <v>4897</v>
      </c>
      <c r="L6826" t="s">
        <v>3974</v>
      </c>
      <c r="M6826" s="2">
        <v>1225</v>
      </c>
      <c r="N6826" t="s">
        <v>4048</v>
      </c>
      <c r="O6826">
        <v>3</v>
      </c>
      <c r="P6826">
        <v>2</v>
      </c>
      <c r="Q6826">
        <v>1</v>
      </c>
      <c r="R6826" t="s">
        <v>5281</v>
      </c>
      <c r="S6826" t="s">
        <v>4898</v>
      </c>
      <c r="T6826" t="s">
        <v>2704</v>
      </c>
      <c r="U6826" t="s">
        <v>5631</v>
      </c>
      <c r="V6826" s="2">
        <v>399</v>
      </c>
      <c r="W6826" t="s">
        <v>4655</v>
      </c>
      <c r="X6826" s="2">
        <v>0</v>
      </c>
      <c r="Y6826">
        <v>21</v>
      </c>
      <c r="Z6826" t="s">
        <v>1604</v>
      </c>
      <c r="AA6826" s="3">
        <v>1.9995408132672299E-2</v>
      </c>
      <c r="AB6826" s="20" t="s">
        <v>8865</v>
      </c>
      <c r="AD6826" t="s">
        <v>283</v>
      </c>
      <c r="AE6826" t="s">
        <v>283</v>
      </c>
      <c r="AF6826" t="s">
        <v>283</v>
      </c>
      <c r="AG6826" t="s">
        <v>2016</v>
      </c>
      <c r="AH6826" t="s">
        <v>3101</v>
      </c>
      <c r="AI6826" t="s">
        <v>8865</v>
      </c>
      <c r="AJ6826" t="s">
        <v>2779</v>
      </c>
      <c r="AK6826" t="s">
        <v>32571</v>
      </c>
      <c r="AL6826" s="13" t="s">
        <v>1899</v>
      </c>
      <c r="AM6826">
        <v>1</v>
      </c>
      <c r="AN6826" s="15" t="s">
        <v>2780</v>
      </c>
    </row>
    <row r="6827" spans="1:40" x14ac:dyDescent="0.3">
      <c r="A6827" s="10" t="str">
        <f>HYPERLINK("http://www.washoecounty.gov/assessor/cama/?parid=510-130-16&amp;CardNumber=1","510-130-16")</f>
        <v>510-130-16</v>
      </c>
      <c r="B6827" t="s">
        <v>4655</v>
      </c>
      <c r="C6827" t="s">
        <v>938</v>
      </c>
      <c r="D6827" s="1">
        <v>40389</v>
      </c>
      <c r="E6827" s="2">
        <v>56000</v>
      </c>
      <c r="F6827" t="s">
        <v>4553</v>
      </c>
      <c r="G6827" s="17" t="str">
        <f>HYPERLINK("https://www.washoecounty.gov/assessor/cama/?command=sales&amp;parid=51013016","3907011")</f>
        <v>3907011</v>
      </c>
      <c r="H6827" t="s">
        <v>2548</v>
      </c>
      <c r="I6827">
        <v>1999</v>
      </c>
      <c r="J6827">
        <v>1999</v>
      </c>
      <c r="K6827" t="s">
        <v>3144</v>
      </c>
      <c r="L6827" t="s">
        <v>3974</v>
      </c>
      <c r="M6827" s="2">
        <v>1143</v>
      </c>
      <c r="N6827" t="s">
        <v>4048</v>
      </c>
      <c r="O6827">
        <v>2</v>
      </c>
      <c r="P6827">
        <v>2</v>
      </c>
      <c r="Q6827">
        <v>1</v>
      </c>
      <c r="R6827" t="s">
        <v>5281</v>
      </c>
      <c r="S6827" t="s">
        <v>4898</v>
      </c>
      <c r="T6827" t="s">
        <v>2704</v>
      </c>
      <c r="U6827" t="s">
        <v>5631</v>
      </c>
      <c r="V6827" s="2">
        <v>216</v>
      </c>
      <c r="W6827" t="s">
        <v>4655</v>
      </c>
      <c r="X6827" s="2">
        <v>0</v>
      </c>
      <c r="Y6827">
        <v>21</v>
      </c>
      <c r="Z6827" t="s">
        <v>1604</v>
      </c>
      <c r="AA6827" s="3">
        <v>1.6000919044017799E-2</v>
      </c>
      <c r="AB6827" t="s">
        <v>2653</v>
      </c>
      <c r="AC6827" t="s">
        <v>4562</v>
      </c>
      <c r="AD6827" t="s">
        <v>2654</v>
      </c>
      <c r="AE6827" t="s">
        <v>4655</v>
      </c>
      <c r="AF6827" t="s">
        <v>2655</v>
      </c>
      <c r="AG6827" t="s">
        <v>1539</v>
      </c>
      <c r="AH6827" t="s">
        <v>2656</v>
      </c>
      <c r="AI6827" t="s">
        <v>4045</v>
      </c>
      <c r="AJ6827" t="s">
        <v>2779</v>
      </c>
      <c r="AK6827" t="s">
        <v>32572</v>
      </c>
      <c r="AL6827" s="13" t="s">
        <v>1899</v>
      </c>
      <c r="AM6827" s="14">
        <v>1</v>
      </c>
      <c r="AN6827" s="15" t="s">
        <v>2780</v>
      </c>
    </row>
    <row r="6828" spans="1:40" x14ac:dyDescent="0.3">
      <c r="A6828" s="10" t="str">
        <f>HYPERLINK("http://www.washoecounty.gov/assessor/cama/?parid=510-130-17&amp;CardNumber=1","510-130-17")</f>
        <v>510-130-17</v>
      </c>
      <c r="B6828" t="s">
        <v>4655</v>
      </c>
      <c r="C6828" t="s">
        <v>938</v>
      </c>
      <c r="D6828" s="1">
        <v>40528</v>
      </c>
      <c r="E6828" s="2">
        <v>70000</v>
      </c>
      <c r="F6828" t="s">
        <v>4567</v>
      </c>
      <c r="G6828" s="17" t="str">
        <f>HYPERLINK("https://www.washoecounty.gov/assessor/cama/?command=sales&amp;parid=51013017","3954540")</f>
        <v>3954540</v>
      </c>
      <c r="H6828" t="s">
        <v>2548</v>
      </c>
      <c r="I6828">
        <v>1999</v>
      </c>
      <c r="J6828">
        <v>1999</v>
      </c>
      <c r="K6828" t="s">
        <v>3144</v>
      </c>
      <c r="L6828" t="s">
        <v>3974</v>
      </c>
      <c r="M6828" s="2">
        <v>1225</v>
      </c>
      <c r="N6828" t="s">
        <v>4048</v>
      </c>
      <c r="O6828">
        <v>3</v>
      </c>
      <c r="P6828">
        <v>2</v>
      </c>
      <c r="Q6828">
        <v>1</v>
      </c>
      <c r="R6828" t="s">
        <v>5281</v>
      </c>
      <c r="S6828" t="s">
        <v>4898</v>
      </c>
      <c r="T6828" t="s">
        <v>2704</v>
      </c>
      <c r="U6828" t="s">
        <v>5631</v>
      </c>
      <c r="V6828" s="2">
        <v>399</v>
      </c>
      <c r="W6828" t="s">
        <v>4655</v>
      </c>
      <c r="X6828" s="2">
        <v>0</v>
      </c>
      <c r="Y6828">
        <v>21</v>
      </c>
      <c r="Z6828" t="s">
        <v>1604</v>
      </c>
      <c r="AA6828" s="3">
        <v>1.9995408132672299E-2</v>
      </c>
      <c r="AB6828" t="s">
        <v>32573</v>
      </c>
      <c r="AC6828" t="s">
        <v>4562</v>
      </c>
      <c r="AD6828" t="s">
        <v>32574</v>
      </c>
      <c r="AE6828" t="s">
        <v>4655</v>
      </c>
      <c r="AF6828" t="s">
        <v>32575</v>
      </c>
      <c r="AG6828" t="s">
        <v>1432</v>
      </c>
      <c r="AH6828">
        <v>56301</v>
      </c>
      <c r="AI6828" t="s">
        <v>32576</v>
      </c>
      <c r="AJ6828" t="s">
        <v>2779</v>
      </c>
      <c r="AK6828" t="s">
        <v>32577</v>
      </c>
      <c r="AL6828" s="13" t="s">
        <v>1899</v>
      </c>
      <c r="AM6828">
        <v>1</v>
      </c>
      <c r="AN6828" s="15" t="s">
        <v>2780</v>
      </c>
    </row>
    <row r="6829" spans="1:40" x14ac:dyDescent="0.3">
      <c r="A6829" s="10" t="str">
        <f>HYPERLINK("http://www.washoecounty.gov/assessor/cama/?parid=510-140-13&amp;CardNumber=1","510-140-13")</f>
        <v>510-140-13</v>
      </c>
      <c r="B6829" t="s">
        <v>4655</v>
      </c>
      <c r="C6829" t="s">
        <v>2781</v>
      </c>
      <c r="D6829" s="1">
        <v>40220</v>
      </c>
      <c r="E6829" s="2">
        <v>70000</v>
      </c>
      <c r="F6829" t="s">
        <v>4553</v>
      </c>
      <c r="G6829" s="17" t="str">
        <f>HYPERLINK("https://www.washoecounty.gov/assessor/cama/?command=sales&amp;parid=51014013","3848012")</f>
        <v>3848012</v>
      </c>
      <c r="H6829" t="s">
        <v>2548</v>
      </c>
      <c r="I6829">
        <v>1999</v>
      </c>
      <c r="J6829">
        <v>1999</v>
      </c>
      <c r="K6829" t="s">
        <v>4897</v>
      </c>
      <c r="L6829" t="s">
        <v>3974</v>
      </c>
      <c r="M6829" s="2">
        <v>1225</v>
      </c>
      <c r="N6829" t="s">
        <v>4048</v>
      </c>
      <c r="O6829">
        <v>3</v>
      </c>
      <c r="P6829">
        <v>2</v>
      </c>
      <c r="Q6829">
        <v>1</v>
      </c>
      <c r="R6829" t="s">
        <v>5281</v>
      </c>
      <c r="S6829" t="s">
        <v>4898</v>
      </c>
      <c r="T6829" t="s">
        <v>2704</v>
      </c>
      <c r="U6829" t="s">
        <v>5631</v>
      </c>
      <c r="V6829" s="2">
        <v>399</v>
      </c>
      <c r="W6829" t="s">
        <v>4655</v>
      </c>
      <c r="X6829" s="2">
        <v>0</v>
      </c>
      <c r="Y6829">
        <v>21</v>
      </c>
      <c r="Z6829" t="s">
        <v>1604</v>
      </c>
      <c r="AA6829" s="3">
        <v>1.9995408132672299E-2</v>
      </c>
      <c r="AB6829" t="s">
        <v>32578</v>
      </c>
      <c r="AC6829" t="s">
        <v>4562</v>
      </c>
      <c r="AD6829" t="s">
        <v>32579</v>
      </c>
      <c r="AE6829" t="s">
        <v>4655</v>
      </c>
      <c r="AF6829" t="s">
        <v>32580</v>
      </c>
      <c r="AG6829" t="s">
        <v>2782</v>
      </c>
      <c r="AH6829" t="s">
        <v>32581</v>
      </c>
      <c r="AI6829" t="s">
        <v>4565</v>
      </c>
      <c r="AJ6829" t="s">
        <v>2779</v>
      </c>
      <c r="AK6829" t="s">
        <v>32582</v>
      </c>
      <c r="AL6829" s="13" t="s">
        <v>1899</v>
      </c>
      <c r="AM6829">
        <v>1</v>
      </c>
      <c r="AN6829" s="15" t="s">
        <v>2780</v>
      </c>
    </row>
    <row r="6830" spans="1:40" x14ac:dyDescent="0.3">
      <c r="A6830" s="10" t="str">
        <f>HYPERLINK("http://www.washoecounty.gov/assessor/cama/?parid=510-140-15&amp;CardNumber=1","510-140-15")</f>
        <v>510-140-15</v>
      </c>
      <c r="B6830" t="s">
        <v>4655</v>
      </c>
      <c r="C6830" t="s">
        <v>2781</v>
      </c>
      <c r="D6830" s="1">
        <v>40227</v>
      </c>
      <c r="E6830" s="2">
        <v>73500</v>
      </c>
      <c r="F6830" t="s">
        <v>4553</v>
      </c>
      <c r="G6830" s="17" t="str">
        <f>HYPERLINK("https://www.washoecounty.gov/assessor/cama/?command=sales&amp;parid=51014015","3850655")</f>
        <v>3850655</v>
      </c>
      <c r="H6830" t="s">
        <v>2548</v>
      </c>
      <c r="I6830">
        <v>1999</v>
      </c>
      <c r="J6830">
        <v>1999</v>
      </c>
      <c r="K6830" t="s">
        <v>3144</v>
      </c>
      <c r="L6830" t="s">
        <v>3974</v>
      </c>
      <c r="M6830" s="2">
        <v>1225</v>
      </c>
      <c r="N6830" t="s">
        <v>4048</v>
      </c>
      <c r="O6830">
        <v>3</v>
      </c>
      <c r="P6830">
        <v>2</v>
      </c>
      <c r="Q6830">
        <v>1</v>
      </c>
      <c r="R6830" t="s">
        <v>5281</v>
      </c>
      <c r="S6830" t="s">
        <v>4898</v>
      </c>
      <c r="T6830" t="s">
        <v>2704</v>
      </c>
      <c r="U6830" t="s">
        <v>5631</v>
      </c>
      <c r="V6830" s="2">
        <v>399</v>
      </c>
      <c r="W6830" t="s">
        <v>4655</v>
      </c>
      <c r="X6830" s="2">
        <v>0</v>
      </c>
      <c r="Y6830">
        <v>21</v>
      </c>
      <c r="Z6830" t="s">
        <v>1604</v>
      </c>
      <c r="AA6830" s="3">
        <v>1.9995408132672299E-2</v>
      </c>
      <c r="AB6830" t="s">
        <v>32583</v>
      </c>
      <c r="AC6830" t="s">
        <v>4562</v>
      </c>
      <c r="AD6830" t="s">
        <v>32584</v>
      </c>
      <c r="AE6830" t="s">
        <v>4655</v>
      </c>
      <c r="AF6830" t="s">
        <v>5201</v>
      </c>
      <c r="AG6830" t="s">
        <v>4564</v>
      </c>
      <c r="AH6830" t="s">
        <v>1605</v>
      </c>
      <c r="AI6830" t="s">
        <v>4655</v>
      </c>
      <c r="AJ6830" t="s">
        <v>2779</v>
      </c>
      <c r="AK6830" t="s">
        <v>32585</v>
      </c>
      <c r="AL6830" s="13" t="s">
        <v>1899</v>
      </c>
      <c r="AM6830">
        <v>1</v>
      </c>
      <c r="AN6830" s="15" t="s">
        <v>2780</v>
      </c>
    </row>
    <row r="6831" spans="1:40" x14ac:dyDescent="0.3">
      <c r="A6831" s="10" t="str">
        <f>HYPERLINK("http://www.washoecounty.gov/assessor/cama/?parid=510-140-28&amp;CardNumber=1","510-140-28")</f>
        <v>510-140-28</v>
      </c>
      <c r="B6831" t="s">
        <v>4655</v>
      </c>
      <c r="C6831" t="s">
        <v>32586</v>
      </c>
      <c r="D6831" s="1">
        <v>40359</v>
      </c>
      <c r="E6831" s="2">
        <v>65000</v>
      </c>
      <c r="F6831" t="s">
        <v>4567</v>
      </c>
      <c r="G6831" s="17" t="str">
        <f>HYPERLINK("https://www.washoecounty.gov/assessor/cama/?command=sales&amp;parid=51014028","3897119")</f>
        <v>3897119</v>
      </c>
      <c r="H6831" t="s">
        <v>2548</v>
      </c>
      <c r="I6831">
        <v>1999</v>
      </c>
      <c r="J6831">
        <v>1999</v>
      </c>
      <c r="K6831" t="s">
        <v>4897</v>
      </c>
      <c r="L6831" t="s">
        <v>3974</v>
      </c>
      <c r="M6831" s="2">
        <v>1143</v>
      </c>
      <c r="N6831" t="s">
        <v>4048</v>
      </c>
      <c r="O6831">
        <v>2</v>
      </c>
      <c r="P6831">
        <v>2</v>
      </c>
      <c r="Q6831">
        <v>1</v>
      </c>
      <c r="R6831" t="s">
        <v>5281</v>
      </c>
      <c r="S6831" t="s">
        <v>4898</v>
      </c>
      <c r="T6831" t="s">
        <v>2704</v>
      </c>
      <c r="U6831" t="s">
        <v>5631</v>
      </c>
      <c r="V6831" s="2">
        <v>216</v>
      </c>
      <c r="W6831" t="s">
        <v>4655</v>
      </c>
      <c r="X6831" s="2">
        <v>0</v>
      </c>
      <c r="Y6831">
        <v>21</v>
      </c>
      <c r="Z6831" t="s">
        <v>1604</v>
      </c>
      <c r="AA6831" s="3">
        <v>1.6000919044017799E-2</v>
      </c>
      <c r="AB6831" t="s">
        <v>32587</v>
      </c>
      <c r="AC6831" t="s">
        <v>4562</v>
      </c>
      <c r="AD6831" t="s">
        <v>32588</v>
      </c>
      <c r="AE6831" t="s">
        <v>4655</v>
      </c>
      <c r="AF6831" t="s">
        <v>5201</v>
      </c>
      <c r="AG6831" t="s">
        <v>4564</v>
      </c>
      <c r="AH6831" t="s">
        <v>1605</v>
      </c>
      <c r="AI6831" t="s">
        <v>32589</v>
      </c>
      <c r="AJ6831" t="s">
        <v>2779</v>
      </c>
      <c r="AK6831" t="s">
        <v>32590</v>
      </c>
      <c r="AL6831" s="13" t="s">
        <v>1899</v>
      </c>
      <c r="AM6831">
        <v>1</v>
      </c>
      <c r="AN6831" s="15" t="s">
        <v>2780</v>
      </c>
    </row>
    <row r="6832" spans="1:40" x14ac:dyDescent="0.3">
      <c r="A6832" s="10" t="str">
        <f>HYPERLINK("http://www.washoecounty.gov/assessor/cama/?parid=510-140-30&amp;CardNumber=1","510-140-30")</f>
        <v>510-140-30</v>
      </c>
      <c r="B6832" t="s">
        <v>4655</v>
      </c>
      <c r="C6832" t="s">
        <v>32591</v>
      </c>
      <c r="D6832" s="1">
        <v>40359</v>
      </c>
      <c r="E6832" s="2">
        <v>73900</v>
      </c>
      <c r="F6832" t="s">
        <v>4553</v>
      </c>
      <c r="G6832" s="17" t="str">
        <f>HYPERLINK("https://www.washoecounty.gov/assessor/cama/?command=sales&amp;parid=51014030","3897021")</f>
        <v>3897021</v>
      </c>
      <c r="H6832" t="s">
        <v>2548</v>
      </c>
      <c r="I6832">
        <v>1999</v>
      </c>
      <c r="J6832">
        <v>1999</v>
      </c>
      <c r="K6832" t="s">
        <v>3144</v>
      </c>
      <c r="L6832" t="s">
        <v>3974</v>
      </c>
      <c r="M6832" s="2">
        <v>1225</v>
      </c>
      <c r="N6832" t="s">
        <v>4048</v>
      </c>
      <c r="O6832">
        <v>3</v>
      </c>
      <c r="P6832">
        <v>2</v>
      </c>
      <c r="Q6832">
        <v>1</v>
      </c>
      <c r="R6832" t="s">
        <v>5281</v>
      </c>
      <c r="S6832" t="s">
        <v>4898</v>
      </c>
      <c r="T6832" t="s">
        <v>2704</v>
      </c>
      <c r="U6832" t="s">
        <v>5631</v>
      </c>
      <c r="V6832" s="2">
        <v>399</v>
      </c>
      <c r="W6832" t="s">
        <v>4655</v>
      </c>
      <c r="X6832" s="2">
        <v>0</v>
      </c>
      <c r="Y6832">
        <v>21</v>
      </c>
      <c r="Z6832" t="s">
        <v>1604</v>
      </c>
      <c r="AA6832" s="3">
        <v>1.9995408132672299E-2</v>
      </c>
      <c r="AB6832" t="s">
        <v>32592</v>
      </c>
      <c r="AC6832" t="s">
        <v>4562</v>
      </c>
      <c r="AD6832" t="s">
        <v>32593</v>
      </c>
      <c r="AE6832" t="s">
        <v>4655</v>
      </c>
      <c r="AF6832" t="s">
        <v>5201</v>
      </c>
      <c r="AG6832" t="s">
        <v>4564</v>
      </c>
      <c r="AH6832" t="s">
        <v>1605</v>
      </c>
      <c r="AI6832" t="s">
        <v>4903</v>
      </c>
      <c r="AJ6832" t="s">
        <v>2779</v>
      </c>
      <c r="AK6832" t="s">
        <v>32594</v>
      </c>
      <c r="AL6832" s="13" t="s">
        <v>1899</v>
      </c>
      <c r="AM6832">
        <v>1</v>
      </c>
      <c r="AN6832" s="15" t="s">
        <v>2780</v>
      </c>
    </row>
    <row r="6833" spans="1:40" x14ac:dyDescent="0.3">
      <c r="A6833" s="10" t="str">
        <f>HYPERLINK("http://www.washoecounty.gov/assessor/cama/?parid=510-140-37&amp;CardNumber=1","510-140-37")</f>
        <v>510-140-37</v>
      </c>
      <c r="B6833" t="s">
        <v>4655</v>
      </c>
      <c r="C6833" t="s">
        <v>4889</v>
      </c>
      <c r="D6833" s="1">
        <v>40528</v>
      </c>
      <c r="E6833" s="2">
        <v>61900</v>
      </c>
      <c r="F6833" t="s">
        <v>4553</v>
      </c>
      <c r="G6833" s="17" t="str">
        <f>HYPERLINK("https://www.washoecounty.gov/assessor/cama/?command=sales&amp;parid=51014037","3953999")</f>
        <v>3953999</v>
      </c>
      <c r="H6833" t="s">
        <v>2548</v>
      </c>
      <c r="I6833">
        <v>1999</v>
      </c>
      <c r="J6833">
        <v>1999</v>
      </c>
      <c r="K6833" t="s">
        <v>3144</v>
      </c>
      <c r="L6833" t="s">
        <v>3974</v>
      </c>
      <c r="M6833" s="2">
        <v>1242</v>
      </c>
      <c r="N6833" t="s">
        <v>4048</v>
      </c>
      <c r="O6833">
        <v>2</v>
      </c>
      <c r="P6833">
        <v>2</v>
      </c>
      <c r="Q6833">
        <v>1</v>
      </c>
      <c r="R6833" t="s">
        <v>5281</v>
      </c>
      <c r="S6833" t="s">
        <v>4898</v>
      </c>
      <c r="T6833" t="s">
        <v>2704</v>
      </c>
      <c r="U6833" t="s">
        <v>5631</v>
      </c>
      <c r="V6833" s="2">
        <v>216</v>
      </c>
      <c r="W6833" t="s">
        <v>4655</v>
      </c>
      <c r="X6833" s="2">
        <v>0</v>
      </c>
      <c r="Y6833">
        <v>21</v>
      </c>
      <c r="Z6833" t="s">
        <v>1604</v>
      </c>
      <c r="AA6833" s="3">
        <v>1.6000919044017799E-2</v>
      </c>
      <c r="AB6833" t="s">
        <v>32595</v>
      </c>
      <c r="AC6833" t="s">
        <v>4562</v>
      </c>
      <c r="AD6833" t="s">
        <v>32596</v>
      </c>
      <c r="AE6833" t="s">
        <v>4655</v>
      </c>
      <c r="AF6833" t="s">
        <v>4890</v>
      </c>
      <c r="AG6833" t="s">
        <v>4564</v>
      </c>
      <c r="AH6833">
        <v>89801</v>
      </c>
      <c r="AI6833" t="s">
        <v>4903</v>
      </c>
      <c r="AJ6833" t="s">
        <v>2779</v>
      </c>
      <c r="AK6833" t="s">
        <v>32597</v>
      </c>
      <c r="AL6833" s="13" t="s">
        <v>1899</v>
      </c>
      <c r="AM6833" s="14">
        <v>1</v>
      </c>
      <c r="AN6833" s="15" t="s">
        <v>2780</v>
      </c>
    </row>
    <row r="6834" spans="1:40" x14ac:dyDescent="0.3">
      <c r="A6834" s="10" t="str">
        <f>HYPERLINK("http://www.washoecounty.gov/assessor/cama/?parid=510-151-06&amp;CardNumber=1","510-151-06")</f>
        <v>510-151-06</v>
      </c>
      <c r="B6834" t="s">
        <v>4655</v>
      </c>
      <c r="C6834" t="s">
        <v>32598</v>
      </c>
      <c r="D6834" s="1">
        <v>40233</v>
      </c>
      <c r="E6834" s="2">
        <v>225000</v>
      </c>
      <c r="F6834" t="s">
        <v>4567</v>
      </c>
      <c r="G6834" s="17" t="str">
        <f>HYPERLINK("https://www.washoecounty.gov/assessor/cama/?command=sales&amp;parid=51015106","3852227")</f>
        <v>3852227</v>
      </c>
      <c r="H6834" t="s">
        <v>5503</v>
      </c>
      <c r="I6834">
        <v>2005</v>
      </c>
      <c r="J6834">
        <v>2005</v>
      </c>
      <c r="K6834" t="s">
        <v>4554</v>
      </c>
      <c r="L6834" t="s">
        <v>4555</v>
      </c>
      <c r="M6834" s="2">
        <v>1963</v>
      </c>
      <c r="N6834" t="s">
        <v>5280</v>
      </c>
      <c r="O6834">
        <v>3</v>
      </c>
      <c r="P6834">
        <v>3</v>
      </c>
      <c r="Q6834">
        <v>0</v>
      </c>
      <c r="R6834" t="s">
        <v>5281</v>
      </c>
      <c r="S6834" t="s">
        <v>4898</v>
      </c>
      <c r="T6834" t="s">
        <v>4559</v>
      </c>
      <c r="U6834" t="s">
        <v>4560</v>
      </c>
      <c r="V6834" s="2">
        <v>921</v>
      </c>
      <c r="W6834" t="s">
        <v>4655</v>
      </c>
      <c r="X6834" s="2">
        <v>0</v>
      </c>
      <c r="Y6834">
        <v>20</v>
      </c>
      <c r="Z6834" t="s">
        <v>5508</v>
      </c>
      <c r="AA6834" s="3">
        <v>0.66999542713165283</v>
      </c>
      <c r="AB6834" t="s">
        <v>32599</v>
      </c>
      <c r="AC6834" t="s">
        <v>4575</v>
      </c>
      <c r="AD6834" t="s">
        <v>32600</v>
      </c>
      <c r="AE6834" t="s">
        <v>4655</v>
      </c>
      <c r="AF6834" t="s">
        <v>5201</v>
      </c>
      <c r="AG6834" t="s">
        <v>4564</v>
      </c>
      <c r="AH6834" t="s">
        <v>5202</v>
      </c>
      <c r="AI6834" t="s">
        <v>32601</v>
      </c>
      <c r="AJ6834" t="s">
        <v>5504</v>
      </c>
      <c r="AK6834" t="s">
        <v>32602</v>
      </c>
      <c r="AL6834" s="13" t="s">
        <v>1892</v>
      </c>
      <c r="AM6834">
        <v>1</v>
      </c>
      <c r="AN6834" s="15" t="s">
        <v>2547</v>
      </c>
    </row>
    <row r="6835" spans="1:40" x14ac:dyDescent="0.3">
      <c r="A6835" s="10" t="str">
        <f>HYPERLINK("http://www.washoecounty.gov/assessor/cama/?parid=510-182-02&amp;CardNumber=1","510-182-02")</f>
        <v>510-182-02</v>
      </c>
      <c r="B6835" t="s">
        <v>4655</v>
      </c>
      <c r="C6835" t="s">
        <v>32603</v>
      </c>
      <c r="D6835" s="1">
        <v>40228</v>
      </c>
      <c r="E6835" s="2">
        <v>169900</v>
      </c>
      <c r="F6835" t="s">
        <v>4553</v>
      </c>
      <c r="G6835" s="17" t="str">
        <f>HYPERLINK("https://www.washoecounty.gov/assessor/cama/?command=sales&amp;parid=51018202","3851233")</f>
        <v>3851233</v>
      </c>
      <c r="H6835" t="s">
        <v>3747</v>
      </c>
      <c r="I6835">
        <v>2001</v>
      </c>
      <c r="J6835">
        <v>2001</v>
      </c>
      <c r="K6835" t="s">
        <v>4554</v>
      </c>
      <c r="L6835" t="s">
        <v>4555</v>
      </c>
      <c r="M6835" s="2">
        <v>1220</v>
      </c>
      <c r="N6835" t="s">
        <v>5280</v>
      </c>
      <c r="O6835">
        <v>3</v>
      </c>
      <c r="P6835">
        <v>2</v>
      </c>
      <c r="Q6835">
        <v>0</v>
      </c>
      <c r="R6835" t="s">
        <v>4557</v>
      </c>
      <c r="S6835" t="s">
        <v>4898</v>
      </c>
      <c r="T6835" t="s">
        <v>2704</v>
      </c>
      <c r="U6835" t="s">
        <v>4560</v>
      </c>
      <c r="V6835" s="2">
        <v>528</v>
      </c>
      <c r="W6835" t="s">
        <v>4655</v>
      </c>
      <c r="X6835" s="2">
        <v>0</v>
      </c>
      <c r="Y6835">
        <v>20</v>
      </c>
      <c r="Z6835" t="s">
        <v>5508</v>
      </c>
      <c r="AA6835" s="3">
        <v>0.51999539136886597</v>
      </c>
      <c r="AB6835" t="s">
        <v>32604</v>
      </c>
      <c r="AC6835" t="s">
        <v>4562</v>
      </c>
      <c r="AD6835" t="s">
        <v>32603</v>
      </c>
      <c r="AE6835" t="s">
        <v>4655</v>
      </c>
      <c r="AF6835" t="s">
        <v>5201</v>
      </c>
      <c r="AG6835" t="s">
        <v>4564</v>
      </c>
      <c r="AH6835" t="s">
        <v>1605</v>
      </c>
      <c r="AI6835" t="s">
        <v>32604</v>
      </c>
      <c r="AJ6835" t="s">
        <v>3748</v>
      </c>
      <c r="AK6835" t="s">
        <v>32605</v>
      </c>
      <c r="AL6835" s="13" t="s">
        <v>1892</v>
      </c>
      <c r="AM6835" s="14">
        <v>1</v>
      </c>
      <c r="AN6835" s="15" t="s">
        <v>2547</v>
      </c>
    </row>
    <row r="6836" spans="1:40" x14ac:dyDescent="0.3">
      <c r="A6836" s="10" t="str">
        <f>HYPERLINK("http://www.washoecounty.gov/assessor/cama/?parid=510-240-04&amp;CardNumber=1","510-240-04")</f>
        <v>510-240-04</v>
      </c>
      <c r="B6836" t="s">
        <v>4655</v>
      </c>
      <c r="C6836" t="s">
        <v>32606</v>
      </c>
      <c r="D6836" s="1">
        <v>40407</v>
      </c>
      <c r="E6836" s="2">
        <v>130000</v>
      </c>
      <c r="F6836" t="s">
        <v>4567</v>
      </c>
      <c r="G6836" s="17" t="str">
        <f>HYPERLINK("https://www.washoecounty.gov/assessor/cama/?command=sales&amp;parid=51024004","3913035")</f>
        <v>3913035</v>
      </c>
      <c r="H6836" t="s">
        <v>4517</v>
      </c>
      <c r="I6836">
        <v>2003</v>
      </c>
      <c r="J6836">
        <v>2003</v>
      </c>
      <c r="K6836" t="s">
        <v>3144</v>
      </c>
      <c r="L6836" t="s">
        <v>3974</v>
      </c>
      <c r="M6836" s="2">
        <v>1769</v>
      </c>
      <c r="N6836" t="s">
        <v>5280</v>
      </c>
      <c r="O6836">
        <v>2</v>
      </c>
      <c r="P6836">
        <v>2</v>
      </c>
      <c r="Q6836">
        <v>1</v>
      </c>
      <c r="R6836" t="s">
        <v>5281</v>
      </c>
      <c r="S6836" t="s">
        <v>4558</v>
      </c>
      <c r="T6836" t="s">
        <v>4559</v>
      </c>
      <c r="U6836" t="s">
        <v>4560</v>
      </c>
      <c r="V6836" s="2">
        <v>528</v>
      </c>
      <c r="W6836" t="s">
        <v>4655</v>
      </c>
      <c r="X6836" s="2">
        <v>0</v>
      </c>
      <c r="Y6836">
        <v>21</v>
      </c>
      <c r="Z6836" t="s">
        <v>1604</v>
      </c>
      <c r="AA6836" s="3">
        <v>6.9444447755813599E-2</v>
      </c>
      <c r="AB6836" t="s">
        <v>32607</v>
      </c>
      <c r="AC6836" t="s">
        <v>4562</v>
      </c>
      <c r="AD6836" t="s">
        <v>32606</v>
      </c>
      <c r="AE6836" t="s">
        <v>4655</v>
      </c>
      <c r="AF6836" t="s">
        <v>5201</v>
      </c>
      <c r="AG6836" t="s">
        <v>4564</v>
      </c>
      <c r="AH6836" t="s">
        <v>1605</v>
      </c>
      <c r="AI6836" t="s">
        <v>32608</v>
      </c>
      <c r="AJ6836" t="s">
        <v>4518</v>
      </c>
      <c r="AK6836" t="s">
        <v>32609</v>
      </c>
      <c r="AL6836" s="13" t="s">
        <v>1899</v>
      </c>
      <c r="AM6836">
        <v>1</v>
      </c>
      <c r="AN6836" s="15" t="s">
        <v>2407</v>
      </c>
    </row>
    <row r="6837" spans="1:40" x14ac:dyDescent="0.3">
      <c r="A6837" s="10" t="str">
        <f>HYPERLINK("http://www.washoecounty.gov/assessor/cama/?parid=510-240-07&amp;CardNumber=1","510-240-07")</f>
        <v>510-240-07</v>
      </c>
      <c r="B6837" t="s">
        <v>4655</v>
      </c>
      <c r="C6837" t="s">
        <v>32610</v>
      </c>
      <c r="D6837" s="1">
        <v>40466</v>
      </c>
      <c r="E6837" s="2">
        <v>120000</v>
      </c>
      <c r="F6837" t="s">
        <v>4567</v>
      </c>
      <c r="G6837" s="17" t="str">
        <f>HYPERLINK("https://www.washoecounty.gov/assessor/cama/?command=sales&amp;parid=51024007","3933702")</f>
        <v>3933702</v>
      </c>
      <c r="H6837" t="s">
        <v>4517</v>
      </c>
      <c r="I6837">
        <v>2003</v>
      </c>
      <c r="J6837">
        <v>2003</v>
      </c>
      <c r="K6837" t="s">
        <v>4897</v>
      </c>
      <c r="L6837" t="s">
        <v>4555</v>
      </c>
      <c r="M6837" s="2">
        <v>1154</v>
      </c>
      <c r="N6837" t="s">
        <v>5280</v>
      </c>
      <c r="O6837">
        <v>2</v>
      </c>
      <c r="P6837">
        <v>2</v>
      </c>
      <c r="Q6837">
        <v>0</v>
      </c>
      <c r="R6837" t="s">
        <v>5281</v>
      </c>
      <c r="S6837" t="s">
        <v>4558</v>
      </c>
      <c r="T6837" t="s">
        <v>4559</v>
      </c>
      <c r="U6837" t="s">
        <v>4560</v>
      </c>
      <c r="V6837" s="2">
        <v>528</v>
      </c>
      <c r="W6837" t="s">
        <v>4655</v>
      </c>
      <c r="X6837" s="2">
        <v>0</v>
      </c>
      <c r="Y6837">
        <v>21</v>
      </c>
      <c r="Z6837" t="s">
        <v>1604</v>
      </c>
      <c r="AA6837" s="3">
        <v>5.7369146496057503E-2</v>
      </c>
      <c r="AB6837" t="s">
        <v>32611</v>
      </c>
      <c r="AC6837" t="s">
        <v>4575</v>
      </c>
      <c r="AD6837" t="s">
        <v>32610</v>
      </c>
      <c r="AE6837" t="s">
        <v>4655</v>
      </c>
      <c r="AF6837" t="s">
        <v>5201</v>
      </c>
      <c r="AG6837" t="s">
        <v>4564</v>
      </c>
      <c r="AH6837" t="s">
        <v>1605</v>
      </c>
      <c r="AI6837" t="s">
        <v>32612</v>
      </c>
      <c r="AJ6837" t="s">
        <v>4518</v>
      </c>
      <c r="AK6837" t="s">
        <v>32613</v>
      </c>
      <c r="AL6837" s="13" t="s">
        <v>1899</v>
      </c>
      <c r="AM6837">
        <v>1</v>
      </c>
      <c r="AN6837" s="15" t="s">
        <v>2407</v>
      </c>
    </row>
    <row r="6838" spans="1:40" x14ac:dyDescent="0.3">
      <c r="A6838" s="10" t="str">
        <f>HYPERLINK("http://www.washoecounty.gov/assessor/cama/?parid=510-240-13&amp;CardNumber=1","510-240-13")</f>
        <v>510-240-13</v>
      </c>
      <c r="B6838" t="s">
        <v>4655</v>
      </c>
      <c r="C6838" t="s">
        <v>32614</v>
      </c>
      <c r="D6838" s="1">
        <v>40317</v>
      </c>
      <c r="E6838" s="2">
        <v>165000</v>
      </c>
      <c r="F6838" t="s">
        <v>4567</v>
      </c>
      <c r="G6838" s="17" t="str">
        <f>HYPERLINK("https://www.washoecounty.gov/assessor/cama/?command=sales&amp;parid=51024013","3882914")</f>
        <v>3882914</v>
      </c>
      <c r="H6838" t="s">
        <v>4517</v>
      </c>
      <c r="I6838">
        <v>2003</v>
      </c>
      <c r="J6838">
        <v>2003</v>
      </c>
      <c r="K6838" t="s">
        <v>3144</v>
      </c>
      <c r="L6838" t="s">
        <v>3974</v>
      </c>
      <c r="M6838" s="2">
        <v>1953</v>
      </c>
      <c r="N6838" t="s">
        <v>5280</v>
      </c>
      <c r="O6838">
        <v>2</v>
      </c>
      <c r="P6838">
        <v>2</v>
      </c>
      <c r="Q6838">
        <v>1</v>
      </c>
      <c r="R6838" t="s">
        <v>5281</v>
      </c>
      <c r="S6838" t="s">
        <v>4558</v>
      </c>
      <c r="T6838" t="s">
        <v>4559</v>
      </c>
      <c r="U6838" t="s">
        <v>4560</v>
      </c>
      <c r="V6838" s="2">
        <v>528</v>
      </c>
      <c r="W6838" t="s">
        <v>4655</v>
      </c>
      <c r="X6838" s="2">
        <v>0</v>
      </c>
      <c r="Y6838">
        <v>21</v>
      </c>
      <c r="Z6838" t="s">
        <v>1604</v>
      </c>
      <c r="AA6838" s="3">
        <v>6.2144167721271501E-2</v>
      </c>
      <c r="AB6838" t="s">
        <v>32615</v>
      </c>
      <c r="AC6838" t="s">
        <v>4562</v>
      </c>
      <c r="AD6838" t="s">
        <v>32616</v>
      </c>
      <c r="AE6838" t="s">
        <v>4655</v>
      </c>
      <c r="AF6838" t="s">
        <v>5201</v>
      </c>
      <c r="AG6838" t="s">
        <v>4564</v>
      </c>
      <c r="AH6838" t="s">
        <v>1605</v>
      </c>
      <c r="AI6838" t="s">
        <v>11387</v>
      </c>
      <c r="AJ6838" t="s">
        <v>4518</v>
      </c>
      <c r="AK6838" t="s">
        <v>32617</v>
      </c>
      <c r="AL6838" s="13" t="s">
        <v>1899</v>
      </c>
      <c r="AM6838">
        <v>1</v>
      </c>
      <c r="AN6838" s="15" t="s">
        <v>2407</v>
      </c>
    </row>
    <row r="6839" spans="1:40" x14ac:dyDescent="0.3">
      <c r="A6839" s="10" t="str">
        <f>HYPERLINK("http://www.washoecounty.gov/assessor/cama/?parid=510-240-14&amp;CardNumber=1","510-240-14")</f>
        <v>510-240-14</v>
      </c>
      <c r="B6839" t="s">
        <v>4655</v>
      </c>
      <c r="C6839" t="s">
        <v>32618</v>
      </c>
      <c r="D6839" s="1">
        <v>40371</v>
      </c>
      <c r="E6839" s="2">
        <v>148000</v>
      </c>
      <c r="F6839" t="s">
        <v>4567</v>
      </c>
      <c r="G6839" s="17" t="str">
        <f>HYPERLINK("https://www.washoecounty.gov/assessor/cama/?command=sales&amp;parid=51024014","3900369")</f>
        <v>3900369</v>
      </c>
      <c r="H6839" t="s">
        <v>4517</v>
      </c>
      <c r="I6839">
        <v>2003</v>
      </c>
      <c r="J6839">
        <v>2003</v>
      </c>
      <c r="K6839" t="s">
        <v>3144</v>
      </c>
      <c r="L6839" t="s">
        <v>3974</v>
      </c>
      <c r="M6839" s="2">
        <v>1769</v>
      </c>
      <c r="N6839" t="s">
        <v>5280</v>
      </c>
      <c r="O6839">
        <v>2</v>
      </c>
      <c r="P6839">
        <v>2</v>
      </c>
      <c r="Q6839">
        <v>1</v>
      </c>
      <c r="R6839" t="s">
        <v>5281</v>
      </c>
      <c r="S6839" t="s">
        <v>4558</v>
      </c>
      <c r="T6839" t="s">
        <v>4559</v>
      </c>
      <c r="U6839" t="s">
        <v>4560</v>
      </c>
      <c r="V6839" s="2">
        <v>528</v>
      </c>
      <c r="W6839" t="s">
        <v>4655</v>
      </c>
      <c r="X6839" s="2">
        <v>0</v>
      </c>
      <c r="Y6839">
        <v>21</v>
      </c>
      <c r="Z6839" t="s">
        <v>1604</v>
      </c>
      <c r="AA6839" s="3">
        <v>5.8379247784614598E-2</v>
      </c>
      <c r="AB6839" t="s">
        <v>32619</v>
      </c>
      <c r="AC6839" t="s">
        <v>4562</v>
      </c>
      <c r="AD6839" t="s">
        <v>32620</v>
      </c>
      <c r="AE6839" t="s">
        <v>4655</v>
      </c>
      <c r="AF6839" t="s">
        <v>4809</v>
      </c>
      <c r="AG6839" t="s">
        <v>4564</v>
      </c>
      <c r="AH6839" t="s">
        <v>1605</v>
      </c>
      <c r="AI6839" t="s">
        <v>11387</v>
      </c>
      <c r="AJ6839" t="s">
        <v>4518</v>
      </c>
      <c r="AK6839" t="s">
        <v>32621</v>
      </c>
      <c r="AL6839" s="13" t="s">
        <v>1899</v>
      </c>
      <c r="AM6839">
        <v>1</v>
      </c>
      <c r="AN6839" s="15" t="s">
        <v>2407</v>
      </c>
    </row>
    <row r="6840" spans="1:40" x14ac:dyDescent="0.3">
      <c r="A6840" s="10" t="str">
        <f>HYPERLINK("http://www.washoecounty.gov/assessor/cama/?parid=510-240-16&amp;CardNumber=1","510-240-16")</f>
        <v>510-240-16</v>
      </c>
      <c r="B6840" t="s">
        <v>4655</v>
      </c>
      <c r="C6840" t="s">
        <v>32622</v>
      </c>
      <c r="D6840" s="1">
        <v>40325</v>
      </c>
      <c r="E6840" s="2">
        <v>125000</v>
      </c>
      <c r="F6840" t="s">
        <v>4567</v>
      </c>
      <c r="G6840" s="17" t="str">
        <f>HYPERLINK("https://www.washoecounty.gov/assessor/cama/?command=sales&amp;parid=51024016","3885761")</f>
        <v>3885761</v>
      </c>
      <c r="H6840" t="s">
        <v>4517</v>
      </c>
      <c r="I6840">
        <v>2003</v>
      </c>
      <c r="J6840">
        <v>2003</v>
      </c>
      <c r="K6840" t="s">
        <v>4897</v>
      </c>
      <c r="L6840" t="s">
        <v>4555</v>
      </c>
      <c r="M6840" s="2">
        <v>1154</v>
      </c>
      <c r="N6840" t="s">
        <v>5280</v>
      </c>
      <c r="O6840">
        <v>2</v>
      </c>
      <c r="P6840">
        <v>2</v>
      </c>
      <c r="Q6840">
        <v>0</v>
      </c>
      <c r="R6840" t="s">
        <v>5281</v>
      </c>
      <c r="S6840" t="s">
        <v>4558</v>
      </c>
      <c r="T6840" t="s">
        <v>4559</v>
      </c>
      <c r="U6840" t="s">
        <v>4560</v>
      </c>
      <c r="V6840" s="2">
        <v>528</v>
      </c>
      <c r="W6840" t="s">
        <v>4655</v>
      </c>
      <c r="X6840" s="2">
        <v>0</v>
      </c>
      <c r="Y6840">
        <v>21</v>
      </c>
      <c r="Z6840" t="s">
        <v>1604</v>
      </c>
      <c r="AA6840" s="3">
        <v>5.7277318090200403E-2</v>
      </c>
      <c r="AB6840" t="s">
        <v>32623</v>
      </c>
      <c r="AC6840" t="s">
        <v>4575</v>
      </c>
      <c r="AD6840" t="s">
        <v>32624</v>
      </c>
      <c r="AE6840" t="s">
        <v>32625</v>
      </c>
      <c r="AF6840" t="s">
        <v>5201</v>
      </c>
      <c r="AG6840" t="s">
        <v>4564</v>
      </c>
      <c r="AH6840" t="s">
        <v>3898</v>
      </c>
      <c r="AI6840" t="s">
        <v>11387</v>
      </c>
      <c r="AJ6840" t="s">
        <v>4518</v>
      </c>
      <c r="AK6840" t="s">
        <v>32626</v>
      </c>
      <c r="AL6840" s="13" t="s">
        <v>1899</v>
      </c>
      <c r="AM6840" s="14">
        <v>1</v>
      </c>
      <c r="AN6840" s="15" t="s">
        <v>2407</v>
      </c>
    </row>
    <row r="6841" spans="1:40" x14ac:dyDescent="0.3">
      <c r="A6841" s="10" t="str">
        <f>HYPERLINK("http://www.washoecounty.gov/assessor/cama/?parid=510-261-21&amp;CardNumber=1","510-261-21")</f>
        <v>510-261-21</v>
      </c>
      <c r="B6841" t="s">
        <v>4655</v>
      </c>
      <c r="C6841" t="s">
        <v>32627</v>
      </c>
      <c r="D6841" s="1">
        <v>40451</v>
      </c>
      <c r="E6841" s="2">
        <v>170000</v>
      </c>
      <c r="F6841" t="s">
        <v>4567</v>
      </c>
      <c r="G6841" s="17" t="str">
        <f>HYPERLINK("https://www.washoecounty.gov/assessor/cama/?command=sales&amp;parid=51026121","3928183")</f>
        <v>3928183</v>
      </c>
      <c r="H6841" t="s">
        <v>2620</v>
      </c>
      <c r="I6841">
        <v>2004</v>
      </c>
      <c r="J6841">
        <v>2004</v>
      </c>
      <c r="K6841" t="s">
        <v>4554</v>
      </c>
      <c r="L6841" t="s">
        <v>3974</v>
      </c>
      <c r="M6841" s="2">
        <v>2058</v>
      </c>
      <c r="N6841" t="s">
        <v>5280</v>
      </c>
      <c r="O6841">
        <v>3</v>
      </c>
      <c r="P6841">
        <v>3</v>
      </c>
      <c r="Q6841">
        <v>0</v>
      </c>
      <c r="R6841" t="s">
        <v>5281</v>
      </c>
      <c r="S6841" t="s">
        <v>4898</v>
      </c>
      <c r="T6841" t="s">
        <v>4559</v>
      </c>
      <c r="U6841" t="s">
        <v>4560</v>
      </c>
      <c r="V6841" s="2">
        <v>520</v>
      </c>
      <c r="W6841" t="s">
        <v>4655</v>
      </c>
      <c r="X6841" s="2">
        <v>0</v>
      </c>
      <c r="Y6841">
        <v>20</v>
      </c>
      <c r="Z6841" t="s">
        <v>1604</v>
      </c>
      <c r="AA6841" s="3">
        <v>0.21999540925025901</v>
      </c>
      <c r="AB6841" t="s">
        <v>32628</v>
      </c>
      <c r="AC6841" t="s">
        <v>4562</v>
      </c>
      <c r="AD6841" t="s">
        <v>32629</v>
      </c>
      <c r="AE6841" t="s">
        <v>4655</v>
      </c>
      <c r="AF6841" t="s">
        <v>328</v>
      </c>
      <c r="AG6841" t="s">
        <v>4564</v>
      </c>
      <c r="AH6841" t="s">
        <v>1605</v>
      </c>
      <c r="AI6841" t="s">
        <v>32630</v>
      </c>
      <c r="AJ6841" t="s">
        <v>2621</v>
      </c>
      <c r="AK6841" t="s">
        <v>32631</v>
      </c>
      <c r="AL6841" s="13" t="s">
        <v>1899</v>
      </c>
      <c r="AM6841">
        <v>1</v>
      </c>
      <c r="AN6841" s="15" t="s">
        <v>2794</v>
      </c>
    </row>
    <row r="6842" spans="1:40" x14ac:dyDescent="0.3">
      <c r="A6842" s="10" t="str">
        <f>HYPERLINK("http://www.washoecounty.gov/assessor/cama/?parid=510-263-11&amp;CardNumber=1","510-263-11")</f>
        <v>510-263-11</v>
      </c>
      <c r="B6842" t="s">
        <v>4655</v>
      </c>
      <c r="C6842" t="s">
        <v>32632</v>
      </c>
      <c r="D6842" s="1">
        <v>40505</v>
      </c>
      <c r="E6842" s="2">
        <v>159900</v>
      </c>
      <c r="F6842" t="s">
        <v>4567</v>
      </c>
      <c r="G6842" s="17" t="str">
        <f>HYPERLINK("https://www.washoecounty.gov/assessor/cama/?command=sales&amp;parid=51026311","3946088")</f>
        <v>3946088</v>
      </c>
      <c r="H6842" t="s">
        <v>32633</v>
      </c>
      <c r="I6842">
        <v>2004</v>
      </c>
      <c r="J6842">
        <v>2004</v>
      </c>
      <c r="K6842" t="s">
        <v>4554</v>
      </c>
      <c r="L6842" t="s">
        <v>4555</v>
      </c>
      <c r="M6842" s="2">
        <v>1525</v>
      </c>
      <c r="N6842" t="s">
        <v>5280</v>
      </c>
      <c r="O6842">
        <v>3</v>
      </c>
      <c r="P6842">
        <v>2</v>
      </c>
      <c r="Q6842">
        <v>0</v>
      </c>
      <c r="R6842" t="s">
        <v>4557</v>
      </c>
      <c r="S6842" t="s">
        <v>4898</v>
      </c>
      <c r="T6842" t="s">
        <v>4559</v>
      </c>
      <c r="U6842" t="s">
        <v>4560</v>
      </c>
      <c r="V6842" s="2">
        <v>420</v>
      </c>
      <c r="W6842" t="s">
        <v>4655</v>
      </c>
      <c r="X6842" s="2">
        <v>0</v>
      </c>
      <c r="Y6842">
        <v>20</v>
      </c>
      <c r="Z6842" t="s">
        <v>1604</v>
      </c>
      <c r="AA6842" s="3">
        <v>0.208907261490822</v>
      </c>
      <c r="AB6842" t="s">
        <v>32634</v>
      </c>
      <c r="AC6842" t="s">
        <v>4562</v>
      </c>
      <c r="AD6842" t="s">
        <v>32635</v>
      </c>
      <c r="AE6842" t="s">
        <v>4655</v>
      </c>
      <c r="AF6842" t="s">
        <v>5201</v>
      </c>
      <c r="AG6842" t="s">
        <v>4564</v>
      </c>
      <c r="AH6842" t="s">
        <v>1605</v>
      </c>
      <c r="AI6842" t="s">
        <v>845</v>
      </c>
      <c r="AJ6842" t="s">
        <v>2621</v>
      </c>
      <c r="AK6842" t="s">
        <v>32636</v>
      </c>
      <c r="AL6842" s="13" t="s">
        <v>1899</v>
      </c>
      <c r="AM6842" s="14">
        <v>1</v>
      </c>
      <c r="AN6842" s="15" t="s">
        <v>2794</v>
      </c>
    </row>
    <row r="6843" spans="1:40" x14ac:dyDescent="0.3">
      <c r="A6843" s="10" t="str">
        <f>HYPERLINK("http://www.washoecounty.gov/assessor/cama/?parid=510-264-16&amp;CardNumber=1","510-264-16")</f>
        <v>510-264-16</v>
      </c>
      <c r="B6843" t="s">
        <v>4655</v>
      </c>
      <c r="C6843" t="s">
        <v>32637</v>
      </c>
      <c r="D6843" s="1">
        <v>40323</v>
      </c>
      <c r="E6843" s="2">
        <v>177500</v>
      </c>
      <c r="F6843" t="s">
        <v>4553</v>
      </c>
      <c r="G6843" s="17" t="str">
        <f>HYPERLINK("https://www.washoecounty.gov/assessor/cama/?command=sales&amp;parid=51026416","3884589")</f>
        <v>3884589</v>
      </c>
      <c r="H6843" t="s">
        <v>2620</v>
      </c>
      <c r="I6843">
        <v>2004</v>
      </c>
      <c r="J6843">
        <v>2004</v>
      </c>
      <c r="K6843" t="s">
        <v>4554</v>
      </c>
      <c r="L6843" t="s">
        <v>4555</v>
      </c>
      <c r="M6843" s="2">
        <v>1739</v>
      </c>
      <c r="N6843" t="s">
        <v>5280</v>
      </c>
      <c r="O6843">
        <v>3</v>
      </c>
      <c r="P6843">
        <v>2</v>
      </c>
      <c r="Q6843">
        <v>0</v>
      </c>
      <c r="R6843" t="s">
        <v>5281</v>
      </c>
      <c r="S6843" t="s">
        <v>4898</v>
      </c>
      <c r="T6843" t="s">
        <v>4559</v>
      </c>
      <c r="U6843" t="s">
        <v>4560</v>
      </c>
      <c r="V6843" s="2">
        <v>428</v>
      </c>
      <c r="W6843" t="s">
        <v>4655</v>
      </c>
      <c r="X6843" s="2">
        <v>0</v>
      </c>
      <c r="Y6843">
        <v>20</v>
      </c>
      <c r="Z6843" t="s">
        <v>1604</v>
      </c>
      <c r="AA6843" s="3">
        <v>0.19361799955368042</v>
      </c>
      <c r="AB6843" t="s">
        <v>32638</v>
      </c>
      <c r="AC6843" t="s">
        <v>4562</v>
      </c>
      <c r="AD6843" t="s">
        <v>32639</v>
      </c>
      <c r="AE6843" t="s">
        <v>4655</v>
      </c>
      <c r="AF6843" t="s">
        <v>5201</v>
      </c>
      <c r="AG6843" t="s">
        <v>4564</v>
      </c>
      <c r="AH6843" t="s">
        <v>1605</v>
      </c>
      <c r="AI6843" t="s">
        <v>4903</v>
      </c>
      <c r="AJ6843" t="s">
        <v>2621</v>
      </c>
      <c r="AK6843" t="s">
        <v>32640</v>
      </c>
      <c r="AL6843" s="13" t="s">
        <v>1899</v>
      </c>
      <c r="AM6843">
        <v>1</v>
      </c>
      <c r="AN6843" s="15" t="s">
        <v>2794</v>
      </c>
    </row>
    <row r="6844" spans="1:40" x14ac:dyDescent="0.3">
      <c r="A6844" s="10" t="str">
        <f>HYPERLINK("http://www.washoecounty.gov/assessor/cama/?parid=510-292-08&amp;CardNumber=1","510-292-08")</f>
        <v>510-292-08</v>
      </c>
      <c r="B6844" t="s">
        <v>4655</v>
      </c>
      <c r="C6844" t="s">
        <v>32641</v>
      </c>
      <c r="D6844" s="1">
        <v>40466</v>
      </c>
      <c r="E6844" s="2">
        <v>195000</v>
      </c>
      <c r="F6844" t="s">
        <v>4567</v>
      </c>
      <c r="G6844" s="17" t="str">
        <f>HYPERLINK("https://www.washoecounty.gov/assessor/cama/?command=sales&amp;parid=51029208","3933708")</f>
        <v>3933708</v>
      </c>
      <c r="H6844" t="s">
        <v>4822</v>
      </c>
      <c r="I6844">
        <v>2003</v>
      </c>
      <c r="J6844">
        <v>2003</v>
      </c>
      <c r="K6844" t="s">
        <v>4554</v>
      </c>
      <c r="L6844" t="s">
        <v>4555</v>
      </c>
      <c r="M6844" s="2">
        <v>1932</v>
      </c>
      <c r="N6844" t="s">
        <v>5280</v>
      </c>
      <c r="O6844">
        <v>2</v>
      </c>
      <c r="P6844">
        <v>2</v>
      </c>
      <c r="Q6844">
        <v>0</v>
      </c>
      <c r="R6844" t="s">
        <v>5281</v>
      </c>
      <c r="S6844" t="s">
        <v>4898</v>
      </c>
      <c r="T6844" t="s">
        <v>2704</v>
      </c>
      <c r="U6844" t="s">
        <v>4560</v>
      </c>
      <c r="V6844" s="2">
        <v>424</v>
      </c>
      <c r="W6844" t="s">
        <v>4655</v>
      </c>
      <c r="X6844" s="2">
        <v>0</v>
      </c>
      <c r="Y6844">
        <v>20</v>
      </c>
      <c r="Z6844" t="s">
        <v>1604</v>
      </c>
      <c r="AA6844" s="3">
        <v>0.17633149027824399</v>
      </c>
      <c r="AB6844" t="s">
        <v>32642</v>
      </c>
      <c r="AC6844" t="s">
        <v>4562</v>
      </c>
      <c r="AD6844" t="s">
        <v>32643</v>
      </c>
      <c r="AE6844" t="s">
        <v>4655</v>
      </c>
      <c r="AF6844" t="s">
        <v>4809</v>
      </c>
      <c r="AG6844" t="s">
        <v>4564</v>
      </c>
      <c r="AH6844" t="s">
        <v>1605</v>
      </c>
      <c r="AI6844" t="s">
        <v>32644</v>
      </c>
      <c r="AJ6844" t="s">
        <v>4823</v>
      </c>
      <c r="AK6844" t="s">
        <v>32645</v>
      </c>
      <c r="AL6844" s="13" t="s">
        <v>1899</v>
      </c>
      <c r="AM6844">
        <v>1</v>
      </c>
      <c r="AN6844" s="15" t="s">
        <v>610</v>
      </c>
    </row>
    <row r="6845" spans="1:40" x14ac:dyDescent="0.3">
      <c r="A6845" s="10" t="str">
        <f>HYPERLINK("http://www.washoecounty.gov/assessor/cama/?parid=510-292-20&amp;CardNumber=1","510-292-20")</f>
        <v>510-292-20</v>
      </c>
      <c r="B6845" t="s">
        <v>4655</v>
      </c>
      <c r="C6845" t="s">
        <v>32646</v>
      </c>
      <c r="D6845" s="1">
        <v>40445</v>
      </c>
      <c r="E6845" s="2">
        <v>175000</v>
      </c>
      <c r="F6845" t="s">
        <v>4567</v>
      </c>
      <c r="G6845" s="17" t="str">
        <f>HYPERLINK("https://www.washoecounty.gov/assessor/cama/?command=sales&amp;parid=51029220","3926066")</f>
        <v>3926066</v>
      </c>
      <c r="H6845" t="s">
        <v>4822</v>
      </c>
      <c r="I6845">
        <v>2003</v>
      </c>
      <c r="J6845">
        <v>2003</v>
      </c>
      <c r="K6845" t="s">
        <v>4554</v>
      </c>
      <c r="L6845" t="s">
        <v>4555</v>
      </c>
      <c r="M6845" s="2">
        <v>1932</v>
      </c>
      <c r="N6845" t="s">
        <v>5280</v>
      </c>
      <c r="O6845">
        <v>4</v>
      </c>
      <c r="P6845">
        <v>2</v>
      </c>
      <c r="Q6845">
        <v>0</v>
      </c>
      <c r="R6845" t="s">
        <v>5281</v>
      </c>
      <c r="S6845" t="s">
        <v>4898</v>
      </c>
      <c r="T6845" t="s">
        <v>2704</v>
      </c>
      <c r="U6845" t="s">
        <v>4560</v>
      </c>
      <c r="V6845" s="2">
        <v>424</v>
      </c>
      <c r="W6845" t="s">
        <v>4655</v>
      </c>
      <c r="X6845" s="2">
        <v>0</v>
      </c>
      <c r="Y6845">
        <v>20</v>
      </c>
      <c r="Z6845" t="s">
        <v>1604</v>
      </c>
      <c r="AA6845" s="3">
        <v>0.185261711478233</v>
      </c>
      <c r="AB6845" t="s">
        <v>32647</v>
      </c>
      <c r="AC6845" t="s">
        <v>4575</v>
      </c>
      <c r="AD6845" t="s">
        <v>32646</v>
      </c>
      <c r="AE6845" t="s">
        <v>4655</v>
      </c>
      <c r="AF6845" t="s">
        <v>4809</v>
      </c>
      <c r="AG6845" t="s">
        <v>4564</v>
      </c>
      <c r="AH6845" t="s">
        <v>1605</v>
      </c>
      <c r="AI6845" t="s">
        <v>32648</v>
      </c>
      <c r="AJ6845" t="s">
        <v>4823</v>
      </c>
      <c r="AK6845" t="s">
        <v>32649</v>
      </c>
      <c r="AL6845" s="13" t="s">
        <v>1899</v>
      </c>
      <c r="AM6845">
        <v>1</v>
      </c>
      <c r="AN6845" s="15" t="s">
        <v>610</v>
      </c>
    </row>
    <row r="6846" spans="1:40" x14ac:dyDescent="0.3">
      <c r="A6846" s="10" t="str">
        <f>HYPERLINK("http://www.washoecounty.gov/assessor/cama/?parid=510-293-03&amp;CardNumber=1","510-293-03")</f>
        <v>510-293-03</v>
      </c>
      <c r="B6846" t="s">
        <v>4655</v>
      </c>
      <c r="C6846" t="s">
        <v>32650</v>
      </c>
      <c r="D6846" s="1">
        <v>40532</v>
      </c>
      <c r="E6846" s="2">
        <v>215000</v>
      </c>
      <c r="F6846" t="s">
        <v>4553</v>
      </c>
      <c r="G6846" s="17" t="str">
        <f>HYPERLINK("https://www.washoecounty.gov/assessor/cama/?command=sales&amp;parid=51029303","3955588")</f>
        <v>3955588</v>
      </c>
      <c r="H6846" t="s">
        <v>4822</v>
      </c>
      <c r="I6846">
        <v>2003</v>
      </c>
      <c r="J6846">
        <v>2003</v>
      </c>
      <c r="K6846" t="s">
        <v>4554</v>
      </c>
      <c r="L6846" t="s">
        <v>4555</v>
      </c>
      <c r="M6846" s="2">
        <v>2070</v>
      </c>
      <c r="N6846" t="s">
        <v>5280</v>
      </c>
      <c r="O6846">
        <v>3</v>
      </c>
      <c r="P6846">
        <v>2</v>
      </c>
      <c r="Q6846">
        <v>1</v>
      </c>
      <c r="R6846" t="s">
        <v>5281</v>
      </c>
      <c r="S6846" t="s">
        <v>4898</v>
      </c>
      <c r="T6846" t="s">
        <v>2704</v>
      </c>
      <c r="U6846" t="s">
        <v>4560</v>
      </c>
      <c r="V6846" s="2">
        <v>420</v>
      </c>
      <c r="W6846" t="s">
        <v>4655</v>
      </c>
      <c r="X6846" s="2">
        <v>0</v>
      </c>
      <c r="Y6846">
        <v>20</v>
      </c>
      <c r="Z6846" t="s">
        <v>1604</v>
      </c>
      <c r="AA6846" s="3">
        <v>0.176951333880424</v>
      </c>
      <c r="AB6846" t="s">
        <v>32651</v>
      </c>
      <c r="AC6846" t="s">
        <v>4562</v>
      </c>
      <c r="AD6846" t="s">
        <v>32650</v>
      </c>
      <c r="AE6846" t="s">
        <v>4655</v>
      </c>
      <c r="AF6846" t="s">
        <v>5201</v>
      </c>
      <c r="AG6846" t="s">
        <v>4564</v>
      </c>
      <c r="AH6846" t="s">
        <v>1605</v>
      </c>
      <c r="AI6846" t="s">
        <v>949</v>
      </c>
      <c r="AJ6846" t="s">
        <v>4823</v>
      </c>
      <c r="AK6846" t="s">
        <v>32652</v>
      </c>
      <c r="AL6846" s="13" t="s">
        <v>1899</v>
      </c>
      <c r="AM6846" s="14">
        <v>1</v>
      </c>
      <c r="AN6846" s="15" t="s">
        <v>610</v>
      </c>
    </row>
    <row r="6847" spans="1:40" x14ac:dyDescent="0.3">
      <c r="A6847" s="10" t="str">
        <f>HYPERLINK("http://www.washoecounty.gov/assessor/cama/?parid=510-293-04&amp;CardNumber=1","510-293-04")</f>
        <v>510-293-04</v>
      </c>
      <c r="B6847" t="s">
        <v>4655</v>
      </c>
      <c r="C6847" t="s">
        <v>32653</v>
      </c>
      <c r="D6847" s="1">
        <v>40450</v>
      </c>
      <c r="E6847" s="2">
        <v>177500</v>
      </c>
      <c r="F6847" t="s">
        <v>4567</v>
      </c>
      <c r="G6847" s="17" t="str">
        <f>HYPERLINK("https://www.washoecounty.gov/assessor/cama/?command=sales&amp;parid=51029304","3927529")</f>
        <v>3927529</v>
      </c>
      <c r="H6847" t="s">
        <v>4822</v>
      </c>
      <c r="I6847">
        <v>2003</v>
      </c>
      <c r="J6847">
        <v>2003</v>
      </c>
      <c r="K6847" t="s">
        <v>4554</v>
      </c>
      <c r="L6847" t="s">
        <v>4555</v>
      </c>
      <c r="M6847" s="2">
        <v>1673</v>
      </c>
      <c r="N6847" t="s">
        <v>5280</v>
      </c>
      <c r="O6847">
        <v>2</v>
      </c>
      <c r="P6847">
        <v>2</v>
      </c>
      <c r="Q6847">
        <v>0</v>
      </c>
      <c r="R6847" t="s">
        <v>5281</v>
      </c>
      <c r="S6847" t="s">
        <v>4898</v>
      </c>
      <c r="T6847" t="s">
        <v>2704</v>
      </c>
      <c r="U6847" t="s">
        <v>4560</v>
      </c>
      <c r="V6847" s="2">
        <v>415</v>
      </c>
      <c r="W6847" t="s">
        <v>4655</v>
      </c>
      <c r="X6847" s="2">
        <v>0</v>
      </c>
      <c r="Y6847">
        <v>20</v>
      </c>
      <c r="Z6847" t="s">
        <v>1604</v>
      </c>
      <c r="AA6847" s="3">
        <v>0.176675856113434</v>
      </c>
      <c r="AB6847" t="s">
        <v>32654</v>
      </c>
      <c r="AC6847" t="s">
        <v>4562</v>
      </c>
      <c r="AD6847" t="s">
        <v>32653</v>
      </c>
      <c r="AE6847" t="s">
        <v>4655</v>
      </c>
      <c r="AF6847" t="s">
        <v>4809</v>
      </c>
      <c r="AG6847" t="s">
        <v>4564</v>
      </c>
      <c r="AH6847" t="s">
        <v>1605</v>
      </c>
      <c r="AI6847" t="s">
        <v>32655</v>
      </c>
      <c r="AJ6847" t="s">
        <v>4823</v>
      </c>
      <c r="AK6847" t="s">
        <v>32656</v>
      </c>
      <c r="AL6847" s="13" t="s">
        <v>1899</v>
      </c>
      <c r="AM6847">
        <v>1</v>
      </c>
      <c r="AN6847" s="15" t="s">
        <v>610</v>
      </c>
    </row>
    <row r="6848" spans="1:40" x14ac:dyDescent="0.3">
      <c r="A6848" s="10" t="str">
        <f>HYPERLINK("http://www.washoecounty.gov/assessor/cama/?parid=510-301-10&amp;CardNumber=1","510-301-10")</f>
        <v>510-301-10</v>
      </c>
      <c r="B6848" t="s">
        <v>4655</v>
      </c>
      <c r="C6848" t="s">
        <v>32657</v>
      </c>
      <c r="D6848" s="1">
        <v>40318</v>
      </c>
      <c r="E6848" s="2">
        <v>180000</v>
      </c>
      <c r="F6848" t="s">
        <v>4567</v>
      </c>
      <c r="G6848" s="17" t="str">
        <f>HYPERLINK("https://www.washoecounty.gov/assessor/cama/?command=sales&amp;parid=51030110","3883303")</f>
        <v>3883303</v>
      </c>
      <c r="H6848" t="s">
        <v>2217</v>
      </c>
      <c r="I6848">
        <v>2004</v>
      </c>
      <c r="J6848">
        <v>2004</v>
      </c>
      <c r="K6848" t="s">
        <v>4554</v>
      </c>
      <c r="L6848" t="s">
        <v>4555</v>
      </c>
      <c r="M6848" s="2">
        <v>1739</v>
      </c>
      <c r="N6848" t="s">
        <v>5280</v>
      </c>
      <c r="O6848">
        <v>3</v>
      </c>
      <c r="P6848">
        <v>2</v>
      </c>
      <c r="Q6848">
        <v>0</v>
      </c>
      <c r="R6848" t="s">
        <v>5281</v>
      </c>
      <c r="S6848" t="s">
        <v>4898</v>
      </c>
      <c r="T6848" t="s">
        <v>4559</v>
      </c>
      <c r="U6848" t="s">
        <v>4560</v>
      </c>
      <c r="V6848" s="2">
        <v>428</v>
      </c>
      <c r="W6848" t="s">
        <v>4655</v>
      </c>
      <c r="X6848" s="2">
        <v>0</v>
      </c>
      <c r="Y6848">
        <v>20</v>
      </c>
      <c r="Z6848" t="s">
        <v>1604</v>
      </c>
      <c r="AA6848" s="3">
        <v>0.18489439785480499</v>
      </c>
      <c r="AB6848" t="s">
        <v>32658</v>
      </c>
      <c r="AC6848" t="s">
        <v>4562</v>
      </c>
      <c r="AD6848" t="s">
        <v>32657</v>
      </c>
      <c r="AE6848" t="s">
        <v>4655</v>
      </c>
      <c r="AF6848" t="s">
        <v>5201</v>
      </c>
      <c r="AG6848" t="s">
        <v>4564</v>
      </c>
      <c r="AH6848" t="s">
        <v>1605</v>
      </c>
      <c r="AI6848" t="s">
        <v>32659</v>
      </c>
      <c r="AJ6848" t="s">
        <v>2793</v>
      </c>
      <c r="AK6848" t="s">
        <v>32660</v>
      </c>
      <c r="AL6848" s="13" t="s">
        <v>1899</v>
      </c>
      <c r="AM6848" s="14">
        <v>1</v>
      </c>
      <c r="AN6848" s="15" t="s">
        <v>2794</v>
      </c>
    </row>
    <row r="6849" spans="1:40" x14ac:dyDescent="0.3">
      <c r="A6849" s="10" t="str">
        <f>HYPERLINK("http://www.washoecounty.gov/assessor/cama/?parid=510-303-05&amp;CardNumber=1","510-303-05")</f>
        <v>510-303-05</v>
      </c>
      <c r="B6849" t="s">
        <v>4655</v>
      </c>
      <c r="C6849" t="s">
        <v>32661</v>
      </c>
      <c r="D6849" s="1">
        <v>40186</v>
      </c>
      <c r="E6849" s="2">
        <v>162000</v>
      </c>
      <c r="F6849" t="s">
        <v>4553</v>
      </c>
      <c r="G6849" s="17" t="str">
        <f>HYPERLINK("https://www.washoecounty.gov/assessor/cama/?command=sales&amp;parid=51030305","3837616")</f>
        <v>3837616</v>
      </c>
      <c r="H6849" t="s">
        <v>2792</v>
      </c>
      <c r="I6849">
        <v>2003</v>
      </c>
      <c r="J6849">
        <v>2003</v>
      </c>
      <c r="K6849" t="s">
        <v>4554</v>
      </c>
      <c r="L6849" t="s">
        <v>4555</v>
      </c>
      <c r="M6849" s="2">
        <v>1335</v>
      </c>
      <c r="N6849" t="s">
        <v>5280</v>
      </c>
      <c r="O6849">
        <v>3</v>
      </c>
      <c r="P6849">
        <v>2</v>
      </c>
      <c r="Q6849">
        <v>0</v>
      </c>
      <c r="R6849" t="s">
        <v>4557</v>
      </c>
      <c r="S6849" t="s">
        <v>4898</v>
      </c>
      <c r="T6849" t="s">
        <v>4559</v>
      </c>
      <c r="U6849" t="s">
        <v>4560</v>
      </c>
      <c r="V6849" s="2">
        <v>420</v>
      </c>
      <c r="W6849" t="s">
        <v>4655</v>
      </c>
      <c r="X6849" s="2">
        <v>0</v>
      </c>
      <c r="Y6849">
        <v>20</v>
      </c>
      <c r="Z6849" t="s">
        <v>1604</v>
      </c>
      <c r="AA6849" s="3">
        <v>0.16184572875499725</v>
      </c>
      <c r="AB6849" t="s">
        <v>32662</v>
      </c>
      <c r="AC6849" t="s">
        <v>4562</v>
      </c>
      <c r="AD6849" t="s">
        <v>32661</v>
      </c>
      <c r="AE6849" t="s">
        <v>4655</v>
      </c>
      <c r="AF6849" t="s">
        <v>5201</v>
      </c>
      <c r="AG6849" t="s">
        <v>4564</v>
      </c>
      <c r="AH6849" t="s">
        <v>1605</v>
      </c>
      <c r="AI6849" t="s">
        <v>4565</v>
      </c>
      <c r="AJ6849" t="s">
        <v>2793</v>
      </c>
      <c r="AK6849" t="s">
        <v>32663</v>
      </c>
      <c r="AL6849" s="13" t="s">
        <v>1899</v>
      </c>
      <c r="AM6849" s="14">
        <v>1</v>
      </c>
      <c r="AN6849" s="15" t="s">
        <v>2794</v>
      </c>
    </row>
    <row r="6850" spans="1:40" x14ac:dyDescent="0.3">
      <c r="A6850" s="10" t="str">
        <f>HYPERLINK("http://www.washoecounty.gov/assessor/cama/?parid=510-303-07&amp;CardNumber=1","510-303-07")</f>
        <v>510-303-07</v>
      </c>
      <c r="B6850" t="s">
        <v>4655</v>
      </c>
      <c r="C6850" t="s">
        <v>32664</v>
      </c>
      <c r="D6850" s="1">
        <v>40424</v>
      </c>
      <c r="E6850" s="2">
        <v>145000</v>
      </c>
      <c r="F6850" t="s">
        <v>4553</v>
      </c>
      <c r="G6850" s="17" t="str">
        <f>HYPERLINK("https://www.washoecounty.gov/assessor/cama/?command=sales&amp;parid=51030307","3918675")</f>
        <v>3918675</v>
      </c>
      <c r="H6850" t="s">
        <v>2217</v>
      </c>
      <c r="I6850">
        <v>2003</v>
      </c>
      <c r="J6850">
        <v>2003</v>
      </c>
      <c r="K6850" t="s">
        <v>4554</v>
      </c>
      <c r="L6850" t="s">
        <v>4555</v>
      </c>
      <c r="M6850" s="2">
        <v>1335</v>
      </c>
      <c r="N6850" t="s">
        <v>5280</v>
      </c>
      <c r="O6850">
        <v>3</v>
      </c>
      <c r="P6850">
        <v>2</v>
      </c>
      <c r="Q6850">
        <v>0</v>
      </c>
      <c r="R6850" t="s">
        <v>4557</v>
      </c>
      <c r="S6850" t="s">
        <v>4898</v>
      </c>
      <c r="T6850" t="s">
        <v>4559</v>
      </c>
      <c r="U6850" t="s">
        <v>4560</v>
      </c>
      <c r="V6850" s="2">
        <v>420</v>
      </c>
      <c r="W6850" t="s">
        <v>4655</v>
      </c>
      <c r="X6850" s="2">
        <v>0</v>
      </c>
      <c r="Y6850">
        <v>20</v>
      </c>
      <c r="Z6850" t="s">
        <v>1604</v>
      </c>
      <c r="AA6850" s="3">
        <v>0.16184572875499725</v>
      </c>
      <c r="AB6850" t="s">
        <v>32665</v>
      </c>
      <c r="AC6850" t="s">
        <v>4562</v>
      </c>
      <c r="AD6850" t="s">
        <v>32666</v>
      </c>
      <c r="AE6850" t="s">
        <v>4655</v>
      </c>
      <c r="AF6850" t="s">
        <v>4563</v>
      </c>
      <c r="AG6850" t="s">
        <v>4564</v>
      </c>
      <c r="AH6850">
        <v>89511</v>
      </c>
      <c r="AI6850" t="s">
        <v>5163</v>
      </c>
      <c r="AJ6850" t="s">
        <v>2793</v>
      </c>
      <c r="AK6850" t="s">
        <v>32667</v>
      </c>
      <c r="AL6850" s="13" t="s">
        <v>1899</v>
      </c>
      <c r="AM6850" s="14">
        <v>1</v>
      </c>
      <c r="AN6850" s="15" t="s">
        <v>2794</v>
      </c>
    </row>
    <row r="6851" spans="1:40" x14ac:dyDescent="0.3">
      <c r="A6851" s="10" t="str">
        <f>HYPERLINK("http://www.washoecounty.gov/assessor/cama/?parid=510-304-06&amp;CardNumber=1","510-304-06")</f>
        <v>510-304-06</v>
      </c>
      <c r="B6851" t="s">
        <v>4655</v>
      </c>
      <c r="C6851" t="s">
        <v>32668</v>
      </c>
      <c r="D6851" s="1">
        <v>40295</v>
      </c>
      <c r="E6851" s="2">
        <v>169000</v>
      </c>
      <c r="F6851" t="s">
        <v>4567</v>
      </c>
      <c r="G6851" s="17" t="str">
        <f>HYPERLINK("https://www.washoecounty.gov/assessor/cama/?command=sales&amp;parid=51030406","3874914")</f>
        <v>3874914</v>
      </c>
      <c r="H6851" t="s">
        <v>2217</v>
      </c>
      <c r="I6851">
        <v>2003</v>
      </c>
      <c r="J6851">
        <v>2003</v>
      </c>
      <c r="K6851" t="s">
        <v>4554</v>
      </c>
      <c r="L6851" t="s">
        <v>4555</v>
      </c>
      <c r="M6851" s="2">
        <v>1739</v>
      </c>
      <c r="N6851" t="s">
        <v>5280</v>
      </c>
      <c r="O6851">
        <v>3</v>
      </c>
      <c r="P6851">
        <v>2</v>
      </c>
      <c r="Q6851">
        <v>0</v>
      </c>
      <c r="R6851" t="s">
        <v>5281</v>
      </c>
      <c r="S6851" t="s">
        <v>4898</v>
      </c>
      <c r="T6851" t="s">
        <v>4559</v>
      </c>
      <c r="U6851" t="s">
        <v>4560</v>
      </c>
      <c r="V6851" s="2">
        <v>428</v>
      </c>
      <c r="W6851" t="s">
        <v>4655</v>
      </c>
      <c r="X6851" s="2">
        <v>0</v>
      </c>
      <c r="Y6851">
        <v>20</v>
      </c>
      <c r="Z6851" t="s">
        <v>1604</v>
      </c>
      <c r="AA6851" s="3">
        <v>0.15739209949970201</v>
      </c>
      <c r="AB6851" t="s">
        <v>32669</v>
      </c>
      <c r="AC6851" t="s">
        <v>4562</v>
      </c>
      <c r="AD6851" t="s">
        <v>32668</v>
      </c>
      <c r="AE6851" t="s">
        <v>4655</v>
      </c>
      <c r="AF6851" t="s">
        <v>5201</v>
      </c>
      <c r="AG6851" t="s">
        <v>4564</v>
      </c>
      <c r="AH6851" t="s">
        <v>1605</v>
      </c>
      <c r="AI6851" t="s">
        <v>32670</v>
      </c>
      <c r="AJ6851" t="s">
        <v>2793</v>
      </c>
      <c r="AK6851" t="s">
        <v>32671</v>
      </c>
      <c r="AL6851" s="13" t="s">
        <v>1899</v>
      </c>
      <c r="AM6851">
        <v>1</v>
      </c>
      <c r="AN6851" s="15" t="s">
        <v>2794</v>
      </c>
    </row>
    <row r="6852" spans="1:40" x14ac:dyDescent="0.3">
      <c r="A6852" s="10" t="str">
        <f>HYPERLINK("http://www.washoecounty.gov/assessor/cama/?parid=510-321-06&amp;CardNumber=1","510-321-06")</f>
        <v>510-321-06</v>
      </c>
      <c r="B6852" t="s">
        <v>4655</v>
      </c>
      <c r="C6852" t="s">
        <v>32672</v>
      </c>
      <c r="D6852" s="1">
        <v>40340</v>
      </c>
      <c r="E6852" s="2">
        <v>188000</v>
      </c>
      <c r="F6852" t="s">
        <v>4567</v>
      </c>
      <c r="G6852" s="17" t="str">
        <f>HYPERLINK("https://www.washoecounty.gov/assessor/cama/?command=sales&amp;parid=51032106","3890812")</f>
        <v>3890812</v>
      </c>
      <c r="H6852" t="s">
        <v>2534</v>
      </c>
      <c r="I6852">
        <v>2004</v>
      </c>
      <c r="J6852">
        <v>2004</v>
      </c>
      <c r="K6852" t="s">
        <v>4554</v>
      </c>
      <c r="L6852" t="s">
        <v>4555</v>
      </c>
      <c r="M6852" s="2">
        <v>1820</v>
      </c>
      <c r="N6852" t="s">
        <v>5280</v>
      </c>
      <c r="O6852">
        <v>3</v>
      </c>
      <c r="P6852">
        <v>2</v>
      </c>
      <c r="Q6852">
        <v>0</v>
      </c>
      <c r="R6852" t="s">
        <v>5281</v>
      </c>
      <c r="S6852" t="s">
        <v>4898</v>
      </c>
      <c r="T6852" t="s">
        <v>2704</v>
      </c>
      <c r="U6852" t="s">
        <v>4560</v>
      </c>
      <c r="V6852" s="2">
        <v>536</v>
      </c>
      <c r="W6852" t="s">
        <v>4655</v>
      </c>
      <c r="X6852" s="2">
        <v>0</v>
      </c>
      <c r="Y6852">
        <v>20</v>
      </c>
      <c r="Z6852" t="s">
        <v>1604</v>
      </c>
      <c r="AA6852" s="3">
        <v>0.151193752884865</v>
      </c>
      <c r="AB6852" t="s">
        <v>32673</v>
      </c>
      <c r="AC6852" t="s">
        <v>4575</v>
      </c>
      <c r="AD6852" t="s">
        <v>32674</v>
      </c>
      <c r="AE6852" t="s">
        <v>4655</v>
      </c>
      <c r="AF6852" t="s">
        <v>32675</v>
      </c>
      <c r="AG6852" t="s">
        <v>4584</v>
      </c>
      <c r="AH6852" t="s">
        <v>8816</v>
      </c>
      <c r="AI6852" t="s">
        <v>32676</v>
      </c>
      <c r="AJ6852" t="s">
        <v>2535</v>
      </c>
      <c r="AK6852" t="s">
        <v>32677</v>
      </c>
      <c r="AL6852" s="13" t="s">
        <v>1899</v>
      </c>
      <c r="AM6852">
        <v>1</v>
      </c>
      <c r="AN6852" s="15" t="s">
        <v>610</v>
      </c>
    </row>
    <row r="6853" spans="1:40" x14ac:dyDescent="0.3">
      <c r="A6853" s="10" t="str">
        <f>HYPERLINK("http://www.washoecounty.gov/assessor/cama/?parid=510-323-01&amp;CardNumber=1","510-323-01")</f>
        <v>510-323-01</v>
      </c>
      <c r="B6853" t="s">
        <v>4655</v>
      </c>
      <c r="C6853" t="s">
        <v>32678</v>
      </c>
      <c r="D6853" s="1">
        <v>40275</v>
      </c>
      <c r="E6853" s="2">
        <v>185000</v>
      </c>
      <c r="F6853" t="s">
        <v>4553</v>
      </c>
      <c r="G6853" s="17" t="str">
        <f>HYPERLINK("https://www.washoecounty.gov/assessor/cama/?command=sales&amp;parid=51032301","3868583")</f>
        <v>3868583</v>
      </c>
      <c r="H6853" t="s">
        <v>2534</v>
      </c>
      <c r="I6853">
        <v>2004</v>
      </c>
      <c r="J6853">
        <v>2004</v>
      </c>
      <c r="K6853" t="s">
        <v>4554</v>
      </c>
      <c r="L6853" t="s">
        <v>4555</v>
      </c>
      <c r="M6853" s="2">
        <v>1673</v>
      </c>
      <c r="N6853" t="s">
        <v>5280</v>
      </c>
      <c r="O6853">
        <v>2</v>
      </c>
      <c r="P6853">
        <v>2</v>
      </c>
      <c r="Q6853">
        <v>0</v>
      </c>
      <c r="R6853" t="s">
        <v>5281</v>
      </c>
      <c r="S6853" t="s">
        <v>4898</v>
      </c>
      <c r="T6853" t="s">
        <v>2704</v>
      </c>
      <c r="U6853" t="s">
        <v>4560</v>
      </c>
      <c r="V6853" s="2">
        <v>415</v>
      </c>
      <c r="W6853" t="s">
        <v>4655</v>
      </c>
      <c r="X6853" s="2">
        <v>0</v>
      </c>
      <c r="Y6853">
        <v>20</v>
      </c>
      <c r="Z6853" t="s">
        <v>1604</v>
      </c>
      <c r="AA6853" s="3">
        <v>0.137741044163704</v>
      </c>
      <c r="AB6853" t="s">
        <v>32679</v>
      </c>
      <c r="AC6853" t="s">
        <v>4575</v>
      </c>
      <c r="AD6853" t="s">
        <v>32678</v>
      </c>
      <c r="AE6853" t="s">
        <v>4655</v>
      </c>
      <c r="AF6853" t="s">
        <v>4809</v>
      </c>
      <c r="AG6853" t="s">
        <v>4564</v>
      </c>
      <c r="AH6853" t="s">
        <v>1605</v>
      </c>
      <c r="AI6853" t="s">
        <v>4903</v>
      </c>
      <c r="AJ6853" t="s">
        <v>2535</v>
      </c>
      <c r="AK6853" t="s">
        <v>32680</v>
      </c>
      <c r="AL6853" s="13" t="s">
        <v>1899</v>
      </c>
      <c r="AM6853">
        <v>1</v>
      </c>
      <c r="AN6853" s="15" t="s">
        <v>610</v>
      </c>
    </row>
    <row r="6854" spans="1:40" x14ac:dyDescent="0.3">
      <c r="A6854" s="10" t="str">
        <f>HYPERLINK("http://www.washoecounty.gov/assessor/cama/?parid=510-323-02&amp;CardNumber=1","510-323-02")</f>
        <v>510-323-02</v>
      </c>
      <c r="B6854" t="s">
        <v>4655</v>
      </c>
      <c r="C6854" t="s">
        <v>32681</v>
      </c>
      <c r="D6854" s="1">
        <v>40298</v>
      </c>
      <c r="E6854" s="2">
        <v>200000</v>
      </c>
      <c r="F6854" t="s">
        <v>4553</v>
      </c>
      <c r="G6854" s="17" t="str">
        <f>HYPERLINK("https://www.washoecounty.gov/assessor/cama/?command=sales&amp;parid=51032302","3876999")</f>
        <v>3876999</v>
      </c>
      <c r="H6854" t="s">
        <v>2534</v>
      </c>
      <c r="I6854">
        <v>2004</v>
      </c>
      <c r="J6854">
        <v>2004</v>
      </c>
      <c r="K6854" t="s">
        <v>4554</v>
      </c>
      <c r="L6854" t="s">
        <v>4555</v>
      </c>
      <c r="M6854" s="2">
        <v>1932</v>
      </c>
      <c r="N6854" t="s">
        <v>5280</v>
      </c>
      <c r="O6854">
        <v>4</v>
      </c>
      <c r="P6854">
        <v>2</v>
      </c>
      <c r="Q6854">
        <v>0</v>
      </c>
      <c r="R6854" t="s">
        <v>5281</v>
      </c>
      <c r="S6854" t="s">
        <v>4898</v>
      </c>
      <c r="T6854" t="s">
        <v>2704</v>
      </c>
      <c r="U6854" t="s">
        <v>4560</v>
      </c>
      <c r="V6854" s="2">
        <v>424</v>
      </c>
      <c r="W6854" t="s">
        <v>4655</v>
      </c>
      <c r="X6854" s="2">
        <v>0</v>
      </c>
      <c r="Y6854">
        <v>20</v>
      </c>
      <c r="Z6854" t="s">
        <v>1604</v>
      </c>
      <c r="AA6854" s="3">
        <v>0.15746097266674</v>
      </c>
      <c r="AB6854" t="s">
        <v>32682</v>
      </c>
      <c r="AC6854" t="s">
        <v>4562</v>
      </c>
      <c r="AD6854" t="s">
        <v>32681</v>
      </c>
      <c r="AE6854" t="s">
        <v>4655</v>
      </c>
      <c r="AF6854" t="s">
        <v>5201</v>
      </c>
      <c r="AG6854" t="s">
        <v>4564</v>
      </c>
      <c r="AH6854" t="s">
        <v>1605</v>
      </c>
      <c r="AI6854" t="s">
        <v>4903</v>
      </c>
      <c r="AJ6854" t="s">
        <v>2535</v>
      </c>
      <c r="AK6854" t="s">
        <v>32683</v>
      </c>
      <c r="AL6854" s="13" t="s">
        <v>1899</v>
      </c>
      <c r="AM6854">
        <v>1</v>
      </c>
      <c r="AN6854" s="15" t="s">
        <v>610</v>
      </c>
    </row>
    <row r="6855" spans="1:40" x14ac:dyDescent="0.3">
      <c r="A6855" s="10" t="str">
        <f>HYPERLINK("http://www.washoecounty.gov/assessor/cama/?parid=510-323-09&amp;CardNumber=1","510-323-09")</f>
        <v>510-323-09</v>
      </c>
      <c r="B6855" t="s">
        <v>4655</v>
      </c>
      <c r="C6855" t="s">
        <v>32684</v>
      </c>
      <c r="D6855" s="1">
        <v>40338</v>
      </c>
      <c r="E6855" s="2">
        <v>190000</v>
      </c>
      <c r="F6855" t="s">
        <v>4567</v>
      </c>
      <c r="G6855" s="17" t="str">
        <f>HYPERLINK("https://www.washoecounty.gov/assessor/cama/?command=sales&amp;parid=51032309","3889800")</f>
        <v>3889800</v>
      </c>
      <c r="H6855" t="s">
        <v>2534</v>
      </c>
      <c r="I6855">
        <v>2004</v>
      </c>
      <c r="J6855">
        <v>2004</v>
      </c>
      <c r="K6855" t="s">
        <v>4554</v>
      </c>
      <c r="L6855" t="s">
        <v>4555</v>
      </c>
      <c r="M6855" s="2">
        <v>2070</v>
      </c>
      <c r="N6855" t="s">
        <v>5280</v>
      </c>
      <c r="O6855">
        <v>4</v>
      </c>
      <c r="P6855">
        <v>2</v>
      </c>
      <c r="Q6855">
        <v>1</v>
      </c>
      <c r="R6855" t="s">
        <v>5281</v>
      </c>
      <c r="S6855" t="s">
        <v>4898</v>
      </c>
      <c r="T6855" t="s">
        <v>2704</v>
      </c>
      <c r="U6855" t="s">
        <v>4560</v>
      </c>
      <c r="V6855" s="2">
        <v>640</v>
      </c>
      <c r="W6855" t="s">
        <v>4655</v>
      </c>
      <c r="X6855" s="2">
        <v>0</v>
      </c>
      <c r="Y6855">
        <v>20</v>
      </c>
      <c r="Z6855" t="s">
        <v>1604</v>
      </c>
      <c r="AA6855" s="3">
        <v>0.27465564012527499</v>
      </c>
      <c r="AB6855" t="s">
        <v>3451</v>
      </c>
      <c r="AC6855" t="s">
        <v>4575</v>
      </c>
      <c r="AD6855" t="s">
        <v>32685</v>
      </c>
      <c r="AE6855" t="s">
        <v>4655</v>
      </c>
      <c r="AF6855" t="s">
        <v>5201</v>
      </c>
      <c r="AG6855" t="s">
        <v>4564</v>
      </c>
      <c r="AH6855" t="s">
        <v>1605</v>
      </c>
      <c r="AI6855" t="s">
        <v>32686</v>
      </c>
      <c r="AJ6855" t="s">
        <v>2535</v>
      </c>
      <c r="AK6855" t="s">
        <v>32687</v>
      </c>
      <c r="AL6855" s="13" t="s">
        <v>1899</v>
      </c>
      <c r="AM6855" s="14">
        <v>1</v>
      </c>
      <c r="AN6855" s="15" t="s">
        <v>610</v>
      </c>
    </row>
    <row r="6856" spans="1:40" x14ac:dyDescent="0.3">
      <c r="A6856" s="10" t="str">
        <f>HYPERLINK("http://www.washoecounty.gov/assessor/cama/?parid=510-341-02&amp;CardNumber=1","510-341-02")</f>
        <v>510-341-02</v>
      </c>
      <c r="B6856" t="s">
        <v>4655</v>
      </c>
      <c r="C6856" t="s">
        <v>32688</v>
      </c>
      <c r="D6856" s="1">
        <v>40219</v>
      </c>
      <c r="E6856" s="2">
        <v>208000</v>
      </c>
      <c r="F6856" t="s">
        <v>4567</v>
      </c>
      <c r="G6856" s="17" t="str">
        <f>HYPERLINK("https://www.washoecounty.gov/assessor/cama/?command=sales&amp;parid=51034102","3847819")</f>
        <v>3847819</v>
      </c>
      <c r="H6856" t="s">
        <v>608</v>
      </c>
      <c r="I6856">
        <v>2004</v>
      </c>
      <c r="J6856">
        <v>2004</v>
      </c>
      <c r="K6856" t="s">
        <v>4554</v>
      </c>
      <c r="L6856" t="s">
        <v>4555</v>
      </c>
      <c r="M6856" s="2">
        <v>1932</v>
      </c>
      <c r="N6856" t="s">
        <v>5280</v>
      </c>
      <c r="O6856">
        <v>4</v>
      </c>
      <c r="P6856">
        <v>2</v>
      </c>
      <c r="Q6856">
        <v>0</v>
      </c>
      <c r="R6856" t="s">
        <v>5281</v>
      </c>
      <c r="S6856" t="s">
        <v>4558</v>
      </c>
      <c r="T6856" t="s">
        <v>2704</v>
      </c>
      <c r="U6856" t="s">
        <v>4560</v>
      </c>
      <c r="V6856" s="2">
        <v>424</v>
      </c>
      <c r="W6856" t="s">
        <v>4655</v>
      </c>
      <c r="X6856" s="2">
        <v>0</v>
      </c>
      <c r="Y6856">
        <v>20</v>
      </c>
      <c r="Z6856" t="s">
        <v>1604</v>
      </c>
      <c r="AA6856" s="3">
        <v>0.14228649437427521</v>
      </c>
      <c r="AB6856" t="s">
        <v>32689</v>
      </c>
      <c r="AC6856" t="s">
        <v>4562</v>
      </c>
      <c r="AD6856" t="s">
        <v>32688</v>
      </c>
      <c r="AE6856" t="s">
        <v>4655</v>
      </c>
      <c r="AF6856" t="s">
        <v>5201</v>
      </c>
      <c r="AG6856" t="s">
        <v>4564</v>
      </c>
      <c r="AH6856" t="s">
        <v>1605</v>
      </c>
      <c r="AI6856" t="s">
        <v>32690</v>
      </c>
      <c r="AJ6856" t="s">
        <v>609</v>
      </c>
      <c r="AK6856" t="s">
        <v>32691</v>
      </c>
      <c r="AL6856" s="13" t="s">
        <v>1899</v>
      </c>
      <c r="AM6856" s="14">
        <v>1</v>
      </c>
      <c r="AN6856" s="15" t="s">
        <v>610</v>
      </c>
    </row>
    <row r="6857" spans="1:40" x14ac:dyDescent="0.3">
      <c r="A6857" s="10" t="str">
        <f>HYPERLINK("http://www.washoecounty.gov/assessor/cama/?parid=510-363-07&amp;CardNumber=1","510-363-07")</f>
        <v>510-363-07</v>
      </c>
      <c r="B6857" t="s">
        <v>4655</v>
      </c>
      <c r="C6857" t="s">
        <v>32692</v>
      </c>
      <c r="D6857" s="1">
        <v>40501</v>
      </c>
      <c r="E6857" s="2">
        <v>132500</v>
      </c>
      <c r="F6857" t="s">
        <v>4567</v>
      </c>
      <c r="G6857" s="17" t="str">
        <f>HYPERLINK("https://www.washoecounty.gov/assessor/cama/?command=sales&amp;parid=51036307","3945134")</f>
        <v>3945134</v>
      </c>
      <c r="H6857" t="s">
        <v>2405</v>
      </c>
      <c r="I6857">
        <v>2004</v>
      </c>
      <c r="J6857">
        <v>2004</v>
      </c>
      <c r="K6857" t="s">
        <v>3144</v>
      </c>
      <c r="L6857" t="s">
        <v>4555</v>
      </c>
      <c r="M6857" s="2">
        <v>1154</v>
      </c>
      <c r="N6857" t="s">
        <v>5280</v>
      </c>
      <c r="O6857">
        <v>2</v>
      </c>
      <c r="P6857">
        <v>2</v>
      </c>
      <c r="Q6857">
        <v>0</v>
      </c>
      <c r="R6857" t="s">
        <v>5281</v>
      </c>
      <c r="S6857" t="s">
        <v>4558</v>
      </c>
      <c r="T6857" t="s">
        <v>4559</v>
      </c>
      <c r="U6857" t="s">
        <v>4560</v>
      </c>
      <c r="V6857" s="2">
        <v>528</v>
      </c>
      <c r="W6857" t="s">
        <v>4655</v>
      </c>
      <c r="X6857" s="2">
        <v>0</v>
      </c>
      <c r="Y6857">
        <v>21</v>
      </c>
      <c r="Z6857" t="s">
        <v>1604</v>
      </c>
      <c r="AA6857" s="3">
        <v>5.8310378342866898E-2</v>
      </c>
      <c r="AB6857" t="s">
        <v>32693</v>
      </c>
      <c r="AC6857" t="s">
        <v>4562</v>
      </c>
      <c r="AD6857" t="s">
        <v>32694</v>
      </c>
      <c r="AE6857" t="s">
        <v>4655</v>
      </c>
      <c r="AF6857" t="s">
        <v>4809</v>
      </c>
      <c r="AG6857" t="s">
        <v>4564</v>
      </c>
      <c r="AH6857" t="s">
        <v>1605</v>
      </c>
      <c r="AI6857" t="s">
        <v>32695</v>
      </c>
      <c r="AJ6857" t="s">
        <v>2406</v>
      </c>
      <c r="AK6857" t="s">
        <v>32696</v>
      </c>
      <c r="AL6857" s="13" t="s">
        <v>1899</v>
      </c>
      <c r="AM6857" s="14">
        <v>1</v>
      </c>
      <c r="AN6857" s="15" t="s">
        <v>2407</v>
      </c>
    </row>
    <row r="6858" spans="1:40" x14ac:dyDescent="0.3">
      <c r="A6858" s="10" t="str">
        <f>HYPERLINK("http://www.washoecounty.gov/assessor/cama/?parid=510-371-03&amp;CardNumber=1","510-371-03")</f>
        <v>510-371-03</v>
      </c>
      <c r="B6858" t="s">
        <v>4655</v>
      </c>
      <c r="C6858" t="s">
        <v>32697</v>
      </c>
      <c r="D6858" s="1">
        <v>40248</v>
      </c>
      <c r="E6858" s="2">
        <v>155000</v>
      </c>
      <c r="F6858" t="s">
        <v>4567</v>
      </c>
      <c r="G6858" s="17" t="str">
        <f>HYPERLINK("https://www.washoecounty.gov/assessor/cama/?command=sales&amp;parid=51037103","3858617")</f>
        <v>3858617</v>
      </c>
      <c r="H6858" t="s">
        <v>2405</v>
      </c>
      <c r="I6858">
        <v>2004</v>
      </c>
      <c r="J6858">
        <v>2004</v>
      </c>
      <c r="K6858" t="s">
        <v>4897</v>
      </c>
      <c r="L6858" t="s">
        <v>3974</v>
      </c>
      <c r="M6858" s="2">
        <v>1953</v>
      </c>
      <c r="N6858" t="s">
        <v>5280</v>
      </c>
      <c r="O6858">
        <v>3</v>
      </c>
      <c r="P6858">
        <v>2</v>
      </c>
      <c r="Q6858">
        <v>1</v>
      </c>
      <c r="R6858" t="s">
        <v>4557</v>
      </c>
      <c r="S6858" t="s">
        <v>4558</v>
      </c>
      <c r="T6858" t="s">
        <v>4559</v>
      </c>
      <c r="U6858" t="s">
        <v>4560</v>
      </c>
      <c r="V6858" s="2">
        <v>528</v>
      </c>
      <c r="W6858" t="s">
        <v>4655</v>
      </c>
      <c r="X6858" s="2">
        <v>0</v>
      </c>
      <c r="Y6858">
        <v>21</v>
      </c>
      <c r="Z6858" t="s">
        <v>1604</v>
      </c>
      <c r="AA6858" s="3">
        <v>5.7805325835943201E-2</v>
      </c>
      <c r="AB6858" t="s">
        <v>32698</v>
      </c>
      <c r="AC6858" t="s">
        <v>4562</v>
      </c>
      <c r="AD6858" t="s">
        <v>32699</v>
      </c>
      <c r="AE6858" t="s">
        <v>4655</v>
      </c>
      <c r="AF6858" t="s">
        <v>4563</v>
      </c>
      <c r="AG6858" t="s">
        <v>4564</v>
      </c>
      <c r="AH6858">
        <v>89506</v>
      </c>
      <c r="AI6858" t="s">
        <v>32700</v>
      </c>
      <c r="AJ6858" t="s">
        <v>2406</v>
      </c>
      <c r="AK6858" t="s">
        <v>32701</v>
      </c>
      <c r="AL6858" s="13" t="s">
        <v>1899</v>
      </c>
      <c r="AM6858">
        <v>1</v>
      </c>
      <c r="AN6858" s="15" t="s">
        <v>2407</v>
      </c>
    </row>
    <row r="6859" spans="1:40" x14ac:dyDescent="0.3">
      <c r="A6859" s="10" t="str">
        <f>HYPERLINK("http://www.washoecounty.gov/assessor/cama/?parid=510-371-09&amp;CardNumber=1","510-371-09")</f>
        <v>510-371-09</v>
      </c>
      <c r="B6859" t="s">
        <v>4655</v>
      </c>
      <c r="C6859" t="s">
        <v>32702</v>
      </c>
      <c r="D6859" s="1">
        <v>40353</v>
      </c>
      <c r="E6859" s="2">
        <v>155000</v>
      </c>
      <c r="F6859" t="s">
        <v>4567</v>
      </c>
      <c r="G6859" s="17" t="str">
        <f>HYPERLINK("https://www.washoecounty.gov/assessor/cama/?command=sales&amp;parid=51037109","3895093")</f>
        <v>3895093</v>
      </c>
      <c r="H6859" t="s">
        <v>2405</v>
      </c>
      <c r="I6859">
        <v>2004</v>
      </c>
      <c r="J6859">
        <v>2004</v>
      </c>
      <c r="K6859" t="s">
        <v>3144</v>
      </c>
      <c r="L6859" t="s">
        <v>3974</v>
      </c>
      <c r="M6859" s="2">
        <v>1953</v>
      </c>
      <c r="N6859" t="s">
        <v>5280</v>
      </c>
      <c r="O6859">
        <v>3</v>
      </c>
      <c r="P6859">
        <v>2</v>
      </c>
      <c r="Q6859">
        <v>1</v>
      </c>
      <c r="R6859" t="s">
        <v>5281</v>
      </c>
      <c r="S6859" t="s">
        <v>4558</v>
      </c>
      <c r="T6859" t="s">
        <v>4559</v>
      </c>
      <c r="U6859" t="s">
        <v>4560</v>
      </c>
      <c r="V6859" s="2">
        <v>528</v>
      </c>
      <c r="W6859" t="s">
        <v>4655</v>
      </c>
      <c r="X6859" s="2">
        <v>0</v>
      </c>
      <c r="Y6859">
        <v>21</v>
      </c>
      <c r="Z6859" t="s">
        <v>1604</v>
      </c>
      <c r="AA6859" s="3">
        <v>5.9848483651876401E-2</v>
      </c>
      <c r="AB6859" t="s">
        <v>32703</v>
      </c>
      <c r="AC6859" t="s">
        <v>4562</v>
      </c>
      <c r="AD6859" t="s">
        <v>32702</v>
      </c>
      <c r="AE6859" t="s">
        <v>4655</v>
      </c>
      <c r="AF6859" t="s">
        <v>5201</v>
      </c>
      <c r="AG6859" t="s">
        <v>4564</v>
      </c>
      <c r="AH6859" t="s">
        <v>1605</v>
      </c>
      <c r="AI6859" t="s">
        <v>32704</v>
      </c>
      <c r="AJ6859" t="s">
        <v>2406</v>
      </c>
      <c r="AK6859" t="s">
        <v>32705</v>
      </c>
      <c r="AL6859" s="13" t="s">
        <v>1899</v>
      </c>
      <c r="AM6859" s="14">
        <v>1</v>
      </c>
      <c r="AN6859" s="15" t="s">
        <v>2407</v>
      </c>
    </row>
    <row r="6860" spans="1:40" x14ac:dyDescent="0.3">
      <c r="A6860" s="10" t="str">
        <f>HYPERLINK("http://www.washoecounty.gov/assessor/cama/?parid=510-372-04&amp;CardNumber=1","510-372-04")</f>
        <v>510-372-04</v>
      </c>
      <c r="B6860" t="s">
        <v>4655</v>
      </c>
      <c r="C6860" t="s">
        <v>32706</v>
      </c>
      <c r="D6860" s="1">
        <v>40420</v>
      </c>
      <c r="E6860" s="2">
        <v>135000</v>
      </c>
      <c r="F6860" t="s">
        <v>4567</v>
      </c>
      <c r="G6860" s="17" t="str">
        <f>HYPERLINK("https://www.washoecounty.gov/assessor/cama/?command=sales&amp;parid=51037204","3916935")</f>
        <v>3916935</v>
      </c>
      <c r="H6860" t="s">
        <v>2405</v>
      </c>
      <c r="I6860">
        <v>2004</v>
      </c>
      <c r="J6860">
        <v>2004</v>
      </c>
      <c r="K6860" t="s">
        <v>3144</v>
      </c>
      <c r="L6860" t="s">
        <v>3974</v>
      </c>
      <c r="M6860" s="2">
        <v>1769</v>
      </c>
      <c r="N6860" t="s">
        <v>5280</v>
      </c>
      <c r="O6860">
        <v>2</v>
      </c>
      <c r="P6860">
        <v>2</v>
      </c>
      <c r="Q6860">
        <v>1</v>
      </c>
      <c r="R6860" t="s">
        <v>5281</v>
      </c>
      <c r="S6860" t="s">
        <v>4558</v>
      </c>
      <c r="T6860" t="s">
        <v>4559</v>
      </c>
      <c r="U6860" t="s">
        <v>4560</v>
      </c>
      <c r="V6860" s="2">
        <v>528</v>
      </c>
      <c r="W6860" t="s">
        <v>4655</v>
      </c>
      <c r="X6860" s="2">
        <v>0</v>
      </c>
      <c r="Y6860">
        <v>21</v>
      </c>
      <c r="Z6860" t="s">
        <v>1604</v>
      </c>
      <c r="AA6860" s="3">
        <v>6.21212124824524E-2</v>
      </c>
      <c r="AB6860" t="s">
        <v>32707</v>
      </c>
      <c r="AC6860" t="s">
        <v>4562</v>
      </c>
      <c r="AD6860" t="s">
        <v>32706</v>
      </c>
      <c r="AE6860" t="s">
        <v>4655</v>
      </c>
      <c r="AF6860" t="s">
        <v>5201</v>
      </c>
      <c r="AG6860" t="s">
        <v>4564</v>
      </c>
      <c r="AH6860" t="s">
        <v>1605</v>
      </c>
      <c r="AI6860" t="s">
        <v>32708</v>
      </c>
      <c r="AJ6860" t="s">
        <v>2406</v>
      </c>
      <c r="AK6860" t="s">
        <v>32709</v>
      </c>
      <c r="AL6860" s="13" t="s">
        <v>1899</v>
      </c>
      <c r="AM6860" s="14">
        <v>1</v>
      </c>
      <c r="AN6860" s="15" t="s">
        <v>2407</v>
      </c>
    </row>
    <row r="6861" spans="1:40" x14ac:dyDescent="0.3">
      <c r="A6861" s="10" t="str">
        <f>HYPERLINK("http://www.washoecounty.gov/assessor/cama/?parid=510-372-06&amp;CardNumber=1","510-372-06")</f>
        <v>510-372-06</v>
      </c>
      <c r="B6861" t="s">
        <v>4655</v>
      </c>
      <c r="C6861" t="s">
        <v>32710</v>
      </c>
      <c r="D6861" s="1">
        <v>40512</v>
      </c>
      <c r="E6861" s="2">
        <v>110000</v>
      </c>
      <c r="F6861" t="s">
        <v>4553</v>
      </c>
      <c r="G6861" s="17" t="str">
        <f>HYPERLINK("https://www.washoecounty.gov/assessor/cama/?command=sales&amp;parid=51037206","3947903")</f>
        <v>3947903</v>
      </c>
      <c r="H6861" t="s">
        <v>2405</v>
      </c>
      <c r="I6861">
        <v>2004</v>
      </c>
      <c r="J6861">
        <v>2004</v>
      </c>
      <c r="K6861" t="s">
        <v>4897</v>
      </c>
      <c r="L6861" t="s">
        <v>4555</v>
      </c>
      <c r="M6861" s="2">
        <v>1154</v>
      </c>
      <c r="N6861" t="s">
        <v>5280</v>
      </c>
      <c r="O6861">
        <v>2</v>
      </c>
      <c r="P6861">
        <v>2</v>
      </c>
      <c r="Q6861">
        <v>0</v>
      </c>
      <c r="R6861" t="s">
        <v>5281</v>
      </c>
      <c r="S6861" t="s">
        <v>4558</v>
      </c>
      <c r="T6861" t="s">
        <v>4559</v>
      </c>
      <c r="U6861" t="s">
        <v>4560</v>
      </c>
      <c r="V6861" s="2">
        <v>528</v>
      </c>
      <c r="W6861" t="s">
        <v>4655</v>
      </c>
      <c r="X6861" s="2">
        <v>0</v>
      </c>
      <c r="Y6861">
        <v>21</v>
      </c>
      <c r="Z6861" t="s">
        <v>1604</v>
      </c>
      <c r="AA6861" s="3">
        <v>5.7346187531948097E-2</v>
      </c>
      <c r="AB6861" t="s">
        <v>32711</v>
      </c>
      <c r="AC6861" t="s">
        <v>4562</v>
      </c>
      <c r="AD6861" t="s">
        <v>32710</v>
      </c>
      <c r="AE6861" t="s">
        <v>4655</v>
      </c>
      <c r="AF6861" t="s">
        <v>5201</v>
      </c>
      <c r="AG6861" t="s">
        <v>4564</v>
      </c>
      <c r="AH6861" t="s">
        <v>1605</v>
      </c>
      <c r="AI6861" t="s">
        <v>4655</v>
      </c>
      <c r="AJ6861" t="s">
        <v>2406</v>
      </c>
      <c r="AK6861" t="s">
        <v>32712</v>
      </c>
      <c r="AL6861" s="13" t="s">
        <v>1899</v>
      </c>
      <c r="AM6861">
        <v>1</v>
      </c>
      <c r="AN6861" s="15" t="s">
        <v>2407</v>
      </c>
    </row>
    <row r="6862" spans="1:40" x14ac:dyDescent="0.3">
      <c r="A6862" s="10" t="str">
        <f>HYPERLINK("http://www.washoecounty.gov/assessor/cama/?parid=510-402-09&amp;CardNumber=1","510-402-09")</f>
        <v>510-402-09</v>
      </c>
      <c r="B6862" t="s">
        <v>4655</v>
      </c>
      <c r="C6862" t="s">
        <v>32713</v>
      </c>
      <c r="D6862" s="1">
        <v>40413</v>
      </c>
      <c r="E6862" s="2">
        <v>152000</v>
      </c>
      <c r="F6862" t="s">
        <v>4567</v>
      </c>
      <c r="G6862" s="17" t="str">
        <f>HYPERLINK("https://www.washoecounty.gov/assessor/cama/?command=sales&amp;parid=51040209","3914564")</f>
        <v>3914564</v>
      </c>
      <c r="H6862" t="s">
        <v>2564</v>
      </c>
      <c r="I6862">
        <v>2005</v>
      </c>
      <c r="J6862">
        <v>2005</v>
      </c>
      <c r="K6862" t="s">
        <v>3144</v>
      </c>
      <c r="L6862" t="s">
        <v>3974</v>
      </c>
      <c r="M6862" s="2">
        <v>1953</v>
      </c>
      <c r="N6862" t="s">
        <v>5280</v>
      </c>
      <c r="O6862">
        <v>3</v>
      </c>
      <c r="P6862">
        <v>2</v>
      </c>
      <c r="Q6862">
        <v>1</v>
      </c>
      <c r="R6862" t="s">
        <v>5281</v>
      </c>
      <c r="S6862" t="s">
        <v>4558</v>
      </c>
      <c r="T6862" t="s">
        <v>4559</v>
      </c>
      <c r="U6862" t="s">
        <v>4560</v>
      </c>
      <c r="V6862" s="2">
        <v>528</v>
      </c>
      <c r="W6862" t="s">
        <v>4655</v>
      </c>
      <c r="X6862" s="2">
        <v>0</v>
      </c>
      <c r="Y6862">
        <v>21</v>
      </c>
      <c r="Z6862" t="s">
        <v>1604</v>
      </c>
      <c r="AA6862" s="3">
        <v>5.6932967156171799E-2</v>
      </c>
      <c r="AB6862" t="s">
        <v>32714</v>
      </c>
      <c r="AC6862" t="s">
        <v>4575</v>
      </c>
      <c r="AD6862" t="s">
        <v>32713</v>
      </c>
      <c r="AE6862" t="s">
        <v>4655</v>
      </c>
      <c r="AF6862" t="s">
        <v>5201</v>
      </c>
      <c r="AG6862" t="s">
        <v>4564</v>
      </c>
      <c r="AH6862" t="s">
        <v>1605</v>
      </c>
      <c r="AI6862" t="s">
        <v>32715</v>
      </c>
      <c r="AJ6862" t="s">
        <v>1585</v>
      </c>
      <c r="AK6862" t="s">
        <v>32716</v>
      </c>
      <c r="AL6862" s="13" t="s">
        <v>1899</v>
      </c>
      <c r="AM6862" s="14">
        <v>1</v>
      </c>
      <c r="AN6862" s="15" t="s">
        <v>2407</v>
      </c>
    </row>
    <row r="6863" spans="1:40" x14ac:dyDescent="0.3">
      <c r="A6863" s="10" t="str">
        <f>HYPERLINK("http://www.washoecounty.gov/assessor/cama/?parid=510-402-11&amp;CardNumber=1","510-402-11")</f>
        <v>510-402-11</v>
      </c>
      <c r="B6863" t="s">
        <v>4655</v>
      </c>
      <c r="C6863" t="s">
        <v>32717</v>
      </c>
      <c r="D6863" s="1">
        <v>40525</v>
      </c>
      <c r="E6863" s="2">
        <v>140000</v>
      </c>
      <c r="F6863" t="s">
        <v>4567</v>
      </c>
      <c r="G6863" s="17" t="str">
        <f>HYPERLINK("https://www.washoecounty.gov/assessor/cama/?command=sales&amp;parid=51040211","3952686")</f>
        <v>3952686</v>
      </c>
      <c r="H6863" t="s">
        <v>2564</v>
      </c>
      <c r="I6863">
        <v>2005</v>
      </c>
      <c r="J6863">
        <v>2005</v>
      </c>
      <c r="K6863" t="s">
        <v>3144</v>
      </c>
      <c r="L6863" t="s">
        <v>3974</v>
      </c>
      <c r="M6863" s="2">
        <v>1953</v>
      </c>
      <c r="N6863" t="s">
        <v>5280</v>
      </c>
      <c r="O6863">
        <v>3</v>
      </c>
      <c r="P6863">
        <v>2</v>
      </c>
      <c r="Q6863">
        <v>1</v>
      </c>
      <c r="R6863" t="s">
        <v>5281</v>
      </c>
      <c r="S6863" t="s">
        <v>4558</v>
      </c>
      <c r="T6863" t="s">
        <v>4559</v>
      </c>
      <c r="U6863" t="s">
        <v>4560</v>
      </c>
      <c r="V6863" s="2">
        <v>528</v>
      </c>
      <c r="W6863" t="s">
        <v>4655</v>
      </c>
      <c r="X6863" s="2">
        <v>0</v>
      </c>
      <c r="Y6863">
        <v>21</v>
      </c>
      <c r="Z6863" t="s">
        <v>1604</v>
      </c>
      <c r="AA6863" s="3">
        <v>5.9481173753738403E-2</v>
      </c>
      <c r="AB6863" t="s">
        <v>32718</v>
      </c>
      <c r="AC6863" t="s">
        <v>4562</v>
      </c>
      <c r="AD6863" t="s">
        <v>32719</v>
      </c>
      <c r="AE6863" t="s">
        <v>4655</v>
      </c>
      <c r="AF6863" t="s">
        <v>5201</v>
      </c>
      <c r="AG6863" t="s">
        <v>4564</v>
      </c>
      <c r="AH6863" t="s">
        <v>1605</v>
      </c>
      <c r="AI6863" t="s">
        <v>32720</v>
      </c>
      <c r="AJ6863" t="s">
        <v>1585</v>
      </c>
      <c r="AK6863" t="s">
        <v>32721</v>
      </c>
      <c r="AL6863" s="13" t="s">
        <v>1899</v>
      </c>
      <c r="AM6863">
        <v>1</v>
      </c>
      <c r="AN6863" s="15" t="s">
        <v>2407</v>
      </c>
    </row>
    <row r="6864" spans="1:40" x14ac:dyDescent="0.3">
      <c r="A6864" s="10" t="str">
        <f>HYPERLINK("http://www.washoecounty.gov/assessor/cama/?parid=510-411-03&amp;CardNumber=1","510-411-03")</f>
        <v>510-411-03</v>
      </c>
      <c r="B6864" t="s">
        <v>4655</v>
      </c>
      <c r="C6864" t="s">
        <v>32722</v>
      </c>
      <c r="D6864" s="1">
        <v>40374</v>
      </c>
      <c r="E6864" s="2">
        <v>140000</v>
      </c>
      <c r="F6864" t="s">
        <v>4553</v>
      </c>
      <c r="G6864" s="17" t="str">
        <f>HYPERLINK("https://www.washoecounty.gov/assessor/cama/?command=sales&amp;parid=51041103","3901607")</f>
        <v>3901607</v>
      </c>
      <c r="H6864" t="s">
        <v>2564</v>
      </c>
      <c r="I6864">
        <v>2005</v>
      </c>
      <c r="J6864">
        <v>2005</v>
      </c>
      <c r="K6864" t="s">
        <v>3144</v>
      </c>
      <c r="L6864" t="s">
        <v>3974</v>
      </c>
      <c r="M6864" s="2">
        <v>1769</v>
      </c>
      <c r="N6864" t="s">
        <v>5280</v>
      </c>
      <c r="O6864">
        <v>2</v>
      </c>
      <c r="P6864">
        <v>2</v>
      </c>
      <c r="Q6864">
        <v>1</v>
      </c>
      <c r="R6864" t="s">
        <v>5281</v>
      </c>
      <c r="S6864" t="s">
        <v>4558</v>
      </c>
      <c r="T6864" t="s">
        <v>4559</v>
      </c>
      <c r="U6864" t="s">
        <v>4560</v>
      </c>
      <c r="V6864" s="2">
        <v>528</v>
      </c>
      <c r="W6864" t="s">
        <v>4655</v>
      </c>
      <c r="X6864" s="2">
        <v>0</v>
      </c>
      <c r="Y6864">
        <v>21</v>
      </c>
      <c r="Z6864" t="s">
        <v>1604</v>
      </c>
      <c r="AA6864" s="3">
        <v>5.6680440902710003E-2</v>
      </c>
      <c r="AB6864" t="s">
        <v>32723</v>
      </c>
      <c r="AC6864" t="s">
        <v>4562</v>
      </c>
      <c r="AD6864" t="s">
        <v>32722</v>
      </c>
      <c r="AE6864" t="s">
        <v>4655</v>
      </c>
      <c r="AF6864" t="s">
        <v>5201</v>
      </c>
      <c r="AG6864" t="s">
        <v>4564</v>
      </c>
      <c r="AH6864" t="s">
        <v>1605</v>
      </c>
      <c r="AI6864" t="s">
        <v>4903</v>
      </c>
      <c r="AJ6864" t="s">
        <v>1585</v>
      </c>
      <c r="AK6864" t="s">
        <v>32724</v>
      </c>
      <c r="AL6864" s="13" t="s">
        <v>1899</v>
      </c>
      <c r="AM6864" s="14">
        <v>1</v>
      </c>
      <c r="AN6864" s="15" t="s">
        <v>2407</v>
      </c>
    </row>
    <row r="6865" spans="1:40" x14ac:dyDescent="0.3">
      <c r="A6865" s="10" t="str">
        <f>HYPERLINK("http://www.washoecounty.gov/assessor/cama/?parid=510-412-04&amp;CardNumber=1","510-412-04")</f>
        <v>510-412-04</v>
      </c>
      <c r="B6865" t="s">
        <v>4655</v>
      </c>
      <c r="C6865" t="s">
        <v>32725</v>
      </c>
      <c r="D6865" s="1">
        <v>40499</v>
      </c>
      <c r="E6865" s="2">
        <v>127000</v>
      </c>
      <c r="F6865" t="s">
        <v>4553</v>
      </c>
      <c r="G6865" s="17" t="str">
        <f>HYPERLINK("https://www.washoecounty.gov/assessor/cama/?command=sales&amp;parid=51041204","3944024")</f>
        <v>3944024</v>
      </c>
      <c r="H6865" t="s">
        <v>2564</v>
      </c>
      <c r="I6865">
        <v>2005</v>
      </c>
      <c r="J6865">
        <v>2005</v>
      </c>
      <c r="K6865" t="s">
        <v>3144</v>
      </c>
      <c r="L6865" t="s">
        <v>3974</v>
      </c>
      <c r="M6865" s="2">
        <v>1769</v>
      </c>
      <c r="N6865" t="s">
        <v>5280</v>
      </c>
      <c r="O6865">
        <v>2</v>
      </c>
      <c r="P6865">
        <v>2</v>
      </c>
      <c r="Q6865">
        <v>1</v>
      </c>
      <c r="R6865" t="s">
        <v>5281</v>
      </c>
      <c r="S6865" t="s">
        <v>4558</v>
      </c>
      <c r="T6865" t="s">
        <v>4559</v>
      </c>
      <c r="U6865" t="s">
        <v>4560</v>
      </c>
      <c r="V6865" s="2">
        <v>528</v>
      </c>
      <c r="W6865" t="s">
        <v>4655</v>
      </c>
      <c r="X6865" s="2">
        <v>0</v>
      </c>
      <c r="Y6865">
        <v>21</v>
      </c>
      <c r="Z6865" t="s">
        <v>1604</v>
      </c>
      <c r="AA6865" s="3">
        <v>5.7162534445524202E-2</v>
      </c>
      <c r="AB6865" t="s">
        <v>32726</v>
      </c>
      <c r="AC6865" t="s">
        <v>4575</v>
      </c>
      <c r="AD6865" t="s">
        <v>32725</v>
      </c>
      <c r="AE6865" t="s">
        <v>4655</v>
      </c>
      <c r="AF6865" t="s">
        <v>5201</v>
      </c>
      <c r="AG6865" t="s">
        <v>4564</v>
      </c>
      <c r="AH6865" t="s">
        <v>1605</v>
      </c>
      <c r="AI6865" t="s">
        <v>2351</v>
      </c>
      <c r="AJ6865" t="s">
        <v>1585</v>
      </c>
      <c r="AK6865" t="s">
        <v>32727</v>
      </c>
      <c r="AL6865" s="13" t="s">
        <v>1899</v>
      </c>
      <c r="AM6865" s="14">
        <v>1</v>
      </c>
      <c r="AN6865" s="15" t="s">
        <v>2407</v>
      </c>
    </row>
    <row r="6866" spans="1:40" x14ac:dyDescent="0.3">
      <c r="A6866" s="10" t="str">
        <f>HYPERLINK("http://www.washoecounty.gov/assessor/cama/?parid=510-412-08&amp;CardNumber=1","510-412-08")</f>
        <v>510-412-08</v>
      </c>
      <c r="B6866" t="s">
        <v>4655</v>
      </c>
      <c r="C6866" t="s">
        <v>32728</v>
      </c>
      <c r="D6866" s="1">
        <v>40416</v>
      </c>
      <c r="E6866" s="2">
        <v>125000</v>
      </c>
      <c r="F6866" t="s">
        <v>4553</v>
      </c>
      <c r="G6866" s="17" t="str">
        <f>HYPERLINK("https://www.washoecounty.gov/assessor/cama/?command=sales&amp;parid=51041208","3915993")</f>
        <v>3915993</v>
      </c>
      <c r="H6866" t="s">
        <v>2564</v>
      </c>
      <c r="I6866">
        <v>2005</v>
      </c>
      <c r="J6866">
        <v>2005</v>
      </c>
      <c r="K6866" t="s">
        <v>4897</v>
      </c>
      <c r="L6866" t="s">
        <v>4555</v>
      </c>
      <c r="M6866" s="2">
        <v>1154</v>
      </c>
      <c r="N6866" t="s">
        <v>5280</v>
      </c>
      <c r="O6866">
        <v>2</v>
      </c>
      <c r="P6866">
        <v>2</v>
      </c>
      <c r="Q6866">
        <v>0</v>
      </c>
      <c r="R6866" t="s">
        <v>5281</v>
      </c>
      <c r="S6866" t="s">
        <v>4558</v>
      </c>
      <c r="T6866" t="s">
        <v>4559</v>
      </c>
      <c r="U6866" t="s">
        <v>4560</v>
      </c>
      <c r="V6866" s="2">
        <v>528</v>
      </c>
      <c r="W6866" t="s">
        <v>4655</v>
      </c>
      <c r="X6866" s="2">
        <v>0</v>
      </c>
      <c r="Y6866">
        <v>21</v>
      </c>
      <c r="Z6866" t="s">
        <v>1604</v>
      </c>
      <c r="AA6866" s="3">
        <v>5.7162534445524202E-2</v>
      </c>
      <c r="AB6866" t="s">
        <v>32729</v>
      </c>
      <c r="AC6866" t="s">
        <v>4562</v>
      </c>
      <c r="AD6866" t="s">
        <v>32728</v>
      </c>
      <c r="AE6866" t="s">
        <v>4655</v>
      </c>
      <c r="AF6866" t="s">
        <v>5201</v>
      </c>
      <c r="AG6866" t="s">
        <v>4564</v>
      </c>
      <c r="AH6866" t="s">
        <v>1605</v>
      </c>
      <c r="AI6866" t="s">
        <v>4903</v>
      </c>
      <c r="AJ6866" t="s">
        <v>1585</v>
      </c>
      <c r="AK6866" t="s">
        <v>32730</v>
      </c>
      <c r="AL6866" s="13" t="s">
        <v>1899</v>
      </c>
      <c r="AM6866">
        <v>1</v>
      </c>
      <c r="AN6866" s="15" t="s">
        <v>2407</v>
      </c>
    </row>
    <row r="6867" spans="1:40" x14ac:dyDescent="0.3">
      <c r="A6867" s="10" t="str">
        <f>HYPERLINK("http://www.washoecounty.gov/assessor/cama/?parid=510-412-11&amp;CardNumber=1","510-412-11")</f>
        <v>510-412-11</v>
      </c>
      <c r="B6867" t="s">
        <v>4655</v>
      </c>
      <c r="C6867" t="s">
        <v>32731</v>
      </c>
      <c r="D6867" s="1">
        <v>40450</v>
      </c>
      <c r="E6867" s="2">
        <v>132500</v>
      </c>
      <c r="F6867" t="s">
        <v>4553</v>
      </c>
      <c r="G6867" s="17" t="str">
        <f>HYPERLINK("https://www.washoecounty.gov/assessor/cama/?command=sales&amp;parid=51041211","3927640")</f>
        <v>3927640</v>
      </c>
      <c r="H6867" t="s">
        <v>2564</v>
      </c>
      <c r="I6867">
        <v>2005</v>
      </c>
      <c r="J6867">
        <v>2005</v>
      </c>
      <c r="K6867" t="s">
        <v>3144</v>
      </c>
      <c r="L6867" t="s">
        <v>3974</v>
      </c>
      <c r="M6867" s="2">
        <v>1769</v>
      </c>
      <c r="N6867" t="s">
        <v>5280</v>
      </c>
      <c r="O6867">
        <v>2</v>
      </c>
      <c r="P6867">
        <v>2</v>
      </c>
      <c r="Q6867">
        <v>1</v>
      </c>
      <c r="R6867" t="s">
        <v>5281</v>
      </c>
      <c r="S6867" t="s">
        <v>4898</v>
      </c>
      <c r="T6867" t="s">
        <v>4559</v>
      </c>
      <c r="U6867" t="s">
        <v>4560</v>
      </c>
      <c r="V6867" s="2">
        <v>528</v>
      </c>
      <c r="W6867" t="s">
        <v>4655</v>
      </c>
      <c r="X6867" s="2">
        <v>0</v>
      </c>
      <c r="Y6867">
        <v>21</v>
      </c>
      <c r="Z6867" t="s">
        <v>1604</v>
      </c>
      <c r="AA6867" s="3">
        <v>5.9389349073171602E-2</v>
      </c>
      <c r="AB6867" t="s">
        <v>32732</v>
      </c>
      <c r="AC6867" t="s">
        <v>4562</v>
      </c>
      <c r="AD6867" t="s">
        <v>32731</v>
      </c>
      <c r="AE6867" t="s">
        <v>4655</v>
      </c>
      <c r="AF6867" t="s">
        <v>5201</v>
      </c>
      <c r="AG6867" t="s">
        <v>4564</v>
      </c>
      <c r="AH6867" t="s">
        <v>1605</v>
      </c>
      <c r="AI6867" t="s">
        <v>4045</v>
      </c>
      <c r="AJ6867" t="s">
        <v>1585</v>
      </c>
      <c r="AK6867" t="s">
        <v>32733</v>
      </c>
      <c r="AL6867" s="13" t="s">
        <v>1899</v>
      </c>
      <c r="AM6867">
        <v>1</v>
      </c>
      <c r="AN6867" s="15" t="s">
        <v>2407</v>
      </c>
    </row>
    <row r="6868" spans="1:40" x14ac:dyDescent="0.3">
      <c r="A6868" s="10" t="str">
        <f>HYPERLINK("http://www.washoecounty.gov/assessor/cama/?parid=510-412-13&amp;CardNumber=1","510-412-13")</f>
        <v>510-412-13</v>
      </c>
      <c r="B6868" t="s">
        <v>4655</v>
      </c>
      <c r="C6868" t="s">
        <v>32734</v>
      </c>
      <c r="D6868" s="1">
        <v>40366</v>
      </c>
      <c r="E6868" s="2">
        <v>152500</v>
      </c>
      <c r="F6868" t="s">
        <v>4567</v>
      </c>
      <c r="G6868" s="17" t="str">
        <f>HYPERLINK("https://www.washoecounty.gov/assessor/cama/?command=sales&amp;parid=51041213","3899223")</f>
        <v>3899223</v>
      </c>
      <c r="H6868" t="s">
        <v>2564</v>
      </c>
      <c r="I6868">
        <v>2005</v>
      </c>
      <c r="J6868">
        <v>2005</v>
      </c>
      <c r="K6868" t="s">
        <v>3144</v>
      </c>
      <c r="L6868" t="s">
        <v>3974</v>
      </c>
      <c r="M6868" s="2">
        <v>1953</v>
      </c>
      <c r="N6868" t="s">
        <v>5280</v>
      </c>
      <c r="O6868">
        <v>3</v>
      </c>
      <c r="P6868">
        <v>2</v>
      </c>
      <c r="Q6868">
        <v>1</v>
      </c>
      <c r="R6868" t="s">
        <v>5281</v>
      </c>
      <c r="S6868" t="s">
        <v>4898</v>
      </c>
      <c r="T6868" t="s">
        <v>4559</v>
      </c>
      <c r="U6868" t="s">
        <v>4560</v>
      </c>
      <c r="V6868" s="2">
        <v>528</v>
      </c>
      <c r="W6868" t="s">
        <v>4655</v>
      </c>
      <c r="X6868" s="2">
        <v>0</v>
      </c>
      <c r="Y6868">
        <v>21</v>
      </c>
      <c r="Z6868" t="s">
        <v>1604</v>
      </c>
      <c r="AA6868" s="3">
        <v>5.77594116330147E-2</v>
      </c>
      <c r="AB6868" t="s">
        <v>32735</v>
      </c>
      <c r="AC6868" t="s">
        <v>4562</v>
      </c>
      <c r="AD6868" t="s">
        <v>32734</v>
      </c>
      <c r="AE6868" t="s">
        <v>4655</v>
      </c>
      <c r="AF6868" t="s">
        <v>5201</v>
      </c>
      <c r="AG6868" t="s">
        <v>4564</v>
      </c>
      <c r="AH6868" t="s">
        <v>1605</v>
      </c>
      <c r="AI6868" t="s">
        <v>32736</v>
      </c>
      <c r="AJ6868" t="s">
        <v>1585</v>
      </c>
      <c r="AK6868" t="s">
        <v>32737</v>
      </c>
      <c r="AL6868" s="13" t="s">
        <v>1899</v>
      </c>
      <c r="AM6868" s="14">
        <v>1</v>
      </c>
      <c r="AN6868" s="15" t="s">
        <v>2407</v>
      </c>
    </row>
    <row r="6869" spans="1:40" x14ac:dyDescent="0.3">
      <c r="A6869" s="10" t="str">
        <f>HYPERLINK("http://www.washoecounty.gov/assessor/cama/?parid=510-412-20&amp;CardNumber=1","510-412-20")</f>
        <v>510-412-20</v>
      </c>
      <c r="B6869" t="s">
        <v>4655</v>
      </c>
      <c r="C6869" t="s">
        <v>32738</v>
      </c>
      <c r="D6869" s="1">
        <v>40311</v>
      </c>
      <c r="E6869" s="2">
        <v>142000</v>
      </c>
      <c r="F6869" t="s">
        <v>4567</v>
      </c>
      <c r="G6869" s="17" t="str">
        <f>HYPERLINK("https://www.washoecounty.gov/assessor/cama/?command=sales&amp;parid=51041220","3881245")</f>
        <v>3881245</v>
      </c>
      <c r="H6869" t="s">
        <v>2564</v>
      </c>
      <c r="I6869">
        <v>2004</v>
      </c>
      <c r="J6869">
        <v>2004</v>
      </c>
      <c r="K6869" t="s">
        <v>4897</v>
      </c>
      <c r="L6869" t="s">
        <v>3974</v>
      </c>
      <c r="M6869" s="2">
        <v>1769</v>
      </c>
      <c r="N6869" t="s">
        <v>5280</v>
      </c>
      <c r="O6869">
        <v>3</v>
      </c>
      <c r="P6869">
        <v>2</v>
      </c>
      <c r="Q6869">
        <v>1</v>
      </c>
      <c r="R6869" t="s">
        <v>5281</v>
      </c>
      <c r="S6869" t="s">
        <v>4558</v>
      </c>
      <c r="T6869" t="s">
        <v>4559</v>
      </c>
      <c r="U6869" t="s">
        <v>4560</v>
      </c>
      <c r="V6869" s="2">
        <v>528</v>
      </c>
      <c r="W6869" t="s">
        <v>4655</v>
      </c>
      <c r="X6869" s="2">
        <v>0</v>
      </c>
      <c r="Y6869">
        <v>21</v>
      </c>
      <c r="Z6869" t="s">
        <v>1604</v>
      </c>
      <c r="AA6869" s="3">
        <v>5.7162534445524202E-2</v>
      </c>
      <c r="AB6869" t="s">
        <v>32739</v>
      </c>
      <c r="AC6869" t="s">
        <v>4562</v>
      </c>
      <c r="AD6869" t="s">
        <v>32738</v>
      </c>
      <c r="AE6869" t="s">
        <v>4655</v>
      </c>
      <c r="AF6869" t="s">
        <v>5201</v>
      </c>
      <c r="AG6869" t="s">
        <v>4564</v>
      </c>
      <c r="AH6869" t="s">
        <v>1605</v>
      </c>
      <c r="AI6869" t="s">
        <v>32740</v>
      </c>
      <c r="AJ6869" t="s">
        <v>1585</v>
      </c>
      <c r="AK6869" t="s">
        <v>32741</v>
      </c>
      <c r="AL6869" s="13" t="s">
        <v>1899</v>
      </c>
      <c r="AM6869">
        <v>1</v>
      </c>
      <c r="AN6869" s="15" t="s">
        <v>2407</v>
      </c>
    </row>
    <row r="6870" spans="1:40" x14ac:dyDescent="0.3">
      <c r="A6870" s="10" t="str">
        <f>HYPERLINK("http://www.washoecounty.gov/assessor/cama/?parid=510-431-03&amp;CardNumber=1","510-431-03")</f>
        <v>510-431-03</v>
      </c>
      <c r="B6870" t="s">
        <v>4655</v>
      </c>
      <c r="C6870" t="s">
        <v>32742</v>
      </c>
      <c r="D6870" s="1">
        <v>40343</v>
      </c>
      <c r="E6870" s="2">
        <v>167500</v>
      </c>
      <c r="F6870" t="s">
        <v>4567</v>
      </c>
      <c r="G6870" s="17" t="str">
        <f>HYPERLINK("https://www.washoecounty.gov/assessor/cama/?command=sales&amp;parid=51043103","3891480")</f>
        <v>3891480</v>
      </c>
      <c r="H6870" t="s">
        <v>4334</v>
      </c>
      <c r="I6870">
        <v>2005</v>
      </c>
      <c r="J6870">
        <v>2005</v>
      </c>
      <c r="K6870" t="s">
        <v>4554</v>
      </c>
      <c r="L6870" t="s">
        <v>3974</v>
      </c>
      <c r="M6870" s="2">
        <v>1996</v>
      </c>
      <c r="N6870" t="s">
        <v>5280</v>
      </c>
      <c r="O6870">
        <v>3</v>
      </c>
      <c r="P6870">
        <v>2</v>
      </c>
      <c r="Q6870">
        <v>1</v>
      </c>
      <c r="R6870" t="s">
        <v>5281</v>
      </c>
      <c r="S6870" t="s">
        <v>4558</v>
      </c>
      <c r="T6870" t="s">
        <v>4559</v>
      </c>
      <c r="U6870" t="s">
        <v>4560</v>
      </c>
      <c r="V6870" s="2">
        <v>448</v>
      </c>
      <c r="W6870" t="s">
        <v>4655</v>
      </c>
      <c r="X6870" s="2">
        <v>0</v>
      </c>
      <c r="Y6870">
        <v>20</v>
      </c>
      <c r="Z6870" t="s">
        <v>1604</v>
      </c>
      <c r="AA6870" s="3">
        <v>0.10261707752943</v>
      </c>
      <c r="AB6870" t="s">
        <v>32743</v>
      </c>
      <c r="AC6870" t="s">
        <v>4575</v>
      </c>
      <c r="AD6870" t="s">
        <v>32742</v>
      </c>
      <c r="AE6870" t="s">
        <v>4655</v>
      </c>
      <c r="AF6870" t="s">
        <v>4809</v>
      </c>
      <c r="AG6870" t="s">
        <v>4564</v>
      </c>
      <c r="AH6870" t="s">
        <v>1605</v>
      </c>
      <c r="AI6870" t="s">
        <v>32744</v>
      </c>
      <c r="AJ6870" t="s">
        <v>4335</v>
      </c>
      <c r="AK6870" t="s">
        <v>32745</v>
      </c>
      <c r="AL6870" s="13" t="s">
        <v>1899</v>
      </c>
      <c r="AM6870" s="14">
        <v>1</v>
      </c>
      <c r="AN6870" s="15" t="s">
        <v>4336</v>
      </c>
    </row>
    <row r="6871" spans="1:40" x14ac:dyDescent="0.3">
      <c r="A6871" s="10" t="str">
        <f>HYPERLINK("http://www.washoecounty.gov/assessor/cama/?parid=510-431-06&amp;CardNumber=1","510-431-06")</f>
        <v>510-431-06</v>
      </c>
      <c r="B6871" t="s">
        <v>4655</v>
      </c>
      <c r="C6871" t="s">
        <v>32746</v>
      </c>
      <c r="D6871" s="1">
        <v>40358</v>
      </c>
      <c r="E6871" s="2">
        <v>139000</v>
      </c>
      <c r="F6871" t="s">
        <v>4567</v>
      </c>
      <c r="G6871" s="17" t="str">
        <f>HYPERLINK("https://www.washoecounty.gov/assessor/cama/?command=sales&amp;parid=51043106","3896682")</f>
        <v>3896682</v>
      </c>
      <c r="H6871" t="s">
        <v>4334</v>
      </c>
      <c r="I6871">
        <v>2007</v>
      </c>
      <c r="J6871">
        <v>2007</v>
      </c>
      <c r="K6871" t="s">
        <v>4554</v>
      </c>
      <c r="L6871" t="s">
        <v>4555</v>
      </c>
      <c r="M6871" s="2">
        <v>1173</v>
      </c>
      <c r="N6871" t="s">
        <v>5280</v>
      </c>
      <c r="O6871">
        <v>2</v>
      </c>
      <c r="P6871">
        <v>2</v>
      </c>
      <c r="Q6871">
        <v>0</v>
      </c>
      <c r="R6871" t="s">
        <v>5281</v>
      </c>
      <c r="S6871" t="s">
        <v>4558</v>
      </c>
      <c r="T6871" t="s">
        <v>4559</v>
      </c>
      <c r="U6871" t="s">
        <v>4560</v>
      </c>
      <c r="V6871" s="2">
        <v>448</v>
      </c>
      <c r="W6871" t="s">
        <v>4655</v>
      </c>
      <c r="X6871" s="2">
        <v>0</v>
      </c>
      <c r="Y6871">
        <v>20</v>
      </c>
      <c r="Z6871" t="s">
        <v>1604</v>
      </c>
      <c r="AA6871" s="3">
        <v>9.9449038505554199E-2</v>
      </c>
      <c r="AB6871" t="s">
        <v>32747</v>
      </c>
      <c r="AC6871" t="s">
        <v>4562</v>
      </c>
      <c r="AD6871" t="s">
        <v>32746</v>
      </c>
      <c r="AE6871" t="s">
        <v>4655</v>
      </c>
      <c r="AF6871" t="s">
        <v>5201</v>
      </c>
      <c r="AG6871" t="s">
        <v>4564</v>
      </c>
      <c r="AH6871" t="s">
        <v>1605</v>
      </c>
      <c r="AI6871" t="s">
        <v>32748</v>
      </c>
      <c r="AJ6871" t="s">
        <v>4335</v>
      </c>
      <c r="AK6871" t="s">
        <v>32749</v>
      </c>
      <c r="AL6871" s="13" t="s">
        <v>1899</v>
      </c>
      <c r="AM6871" s="14">
        <v>1</v>
      </c>
      <c r="AN6871" s="15" t="s">
        <v>4336</v>
      </c>
    </row>
    <row r="6872" spans="1:40" x14ac:dyDescent="0.3">
      <c r="A6872" s="10" t="str">
        <f>HYPERLINK("http://www.washoecounty.gov/assessor/cama/?parid=510-431-12&amp;CardNumber=1","510-431-12")</f>
        <v>510-431-12</v>
      </c>
      <c r="B6872" t="s">
        <v>4655</v>
      </c>
      <c r="C6872" t="s">
        <v>32750</v>
      </c>
      <c r="D6872" s="1">
        <v>40332</v>
      </c>
      <c r="E6872" s="2">
        <v>107633</v>
      </c>
      <c r="F6872" t="s">
        <v>4553</v>
      </c>
      <c r="G6872" s="17" t="str">
        <f>HYPERLINK("https://www.washoecounty.gov/assessor/cama/?command=sales&amp;parid=51043112","3888025")</f>
        <v>3888025</v>
      </c>
      <c r="H6872" t="s">
        <v>4334</v>
      </c>
      <c r="I6872">
        <v>2006</v>
      </c>
      <c r="J6872">
        <v>2006</v>
      </c>
      <c r="K6872" t="s">
        <v>4554</v>
      </c>
      <c r="L6872" t="s">
        <v>3974</v>
      </c>
      <c r="M6872" s="2">
        <v>1623</v>
      </c>
      <c r="N6872" t="s">
        <v>5280</v>
      </c>
      <c r="O6872">
        <v>2</v>
      </c>
      <c r="P6872">
        <v>2</v>
      </c>
      <c r="Q6872">
        <v>0</v>
      </c>
      <c r="R6872" t="s">
        <v>5281</v>
      </c>
      <c r="S6872" t="s">
        <v>4558</v>
      </c>
      <c r="T6872" t="s">
        <v>4559</v>
      </c>
      <c r="U6872" t="s">
        <v>4560</v>
      </c>
      <c r="V6872" s="2">
        <v>448</v>
      </c>
      <c r="W6872" t="s">
        <v>4655</v>
      </c>
      <c r="X6872" s="2">
        <v>0</v>
      </c>
      <c r="Y6872">
        <v>20</v>
      </c>
      <c r="Z6872" t="s">
        <v>1604</v>
      </c>
      <c r="AA6872" s="3">
        <v>0.125964194536209</v>
      </c>
      <c r="AB6872" t="s">
        <v>32751</v>
      </c>
      <c r="AC6872" t="s">
        <v>4575</v>
      </c>
      <c r="AD6872" t="s">
        <v>32752</v>
      </c>
      <c r="AE6872" t="s">
        <v>4655</v>
      </c>
      <c r="AF6872" t="s">
        <v>4809</v>
      </c>
      <c r="AG6872" t="s">
        <v>4564</v>
      </c>
      <c r="AH6872" t="s">
        <v>1605</v>
      </c>
      <c r="AI6872" t="s">
        <v>23221</v>
      </c>
      <c r="AJ6872" t="s">
        <v>4335</v>
      </c>
      <c r="AK6872" t="s">
        <v>32753</v>
      </c>
      <c r="AL6872" s="13" t="s">
        <v>1899</v>
      </c>
      <c r="AM6872">
        <v>1</v>
      </c>
      <c r="AN6872" s="15" t="s">
        <v>4336</v>
      </c>
    </row>
    <row r="6873" spans="1:40" x14ac:dyDescent="0.3">
      <c r="A6873" s="10" t="str">
        <f>HYPERLINK("http://www.washoecounty.gov/assessor/cama/?parid=510-431-12&amp;CardNumber=1","510-431-12")</f>
        <v>510-431-12</v>
      </c>
      <c r="B6873" t="s">
        <v>4655</v>
      </c>
      <c r="C6873" t="s">
        <v>32750</v>
      </c>
      <c r="D6873" s="1">
        <v>40449</v>
      </c>
      <c r="E6873" s="2">
        <v>144200</v>
      </c>
      <c r="F6873" t="s">
        <v>4567</v>
      </c>
      <c r="G6873" s="17" t="str">
        <f>HYPERLINK("https://www.washoecounty.gov/assessor/cama/?command=sales&amp;parid=51043112","3927084")</f>
        <v>3927084</v>
      </c>
      <c r="H6873" t="s">
        <v>4334</v>
      </c>
      <c r="I6873">
        <v>2006</v>
      </c>
      <c r="J6873">
        <v>2006</v>
      </c>
      <c r="K6873" t="s">
        <v>4554</v>
      </c>
      <c r="L6873" t="s">
        <v>3974</v>
      </c>
      <c r="M6873" s="2">
        <v>1623</v>
      </c>
      <c r="N6873" t="s">
        <v>5280</v>
      </c>
      <c r="O6873">
        <v>2</v>
      </c>
      <c r="P6873">
        <v>2</v>
      </c>
      <c r="Q6873">
        <v>0</v>
      </c>
      <c r="R6873" t="s">
        <v>5281</v>
      </c>
      <c r="S6873" t="s">
        <v>4558</v>
      </c>
      <c r="T6873" t="s">
        <v>4559</v>
      </c>
      <c r="U6873" t="s">
        <v>4560</v>
      </c>
      <c r="V6873" s="2">
        <v>448</v>
      </c>
      <c r="W6873" t="s">
        <v>4655</v>
      </c>
      <c r="X6873" s="2">
        <v>0</v>
      </c>
      <c r="Y6873">
        <v>20</v>
      </c>
      <c r="Z6873" t="s">
        <v>1604</v>
      </c>
      <c r="AA6873" s="3">
        <v>0.125964194536209</v>
      </c>
      <c r="AB6873" t="s">
        <v>32751</v>
      </c>
      <c r="AC6873" t="s">
        <v>4575</v>
      </c>
      <c r="AD6873" t="s">
        <v>32752</v>
      </c>
      <c r="AE6873" t="s">
        <v>4655</v>
      </c>
      <c r="AF6873" t="s">
        <v>4809</v>
      </c>
      <c r="AG6873" t="s">
        <v>4564</v>
      </c>
      <c r="AH6873" t="s">
        <v>1605</v>
      </c>
      <c r="AI6873" t="s">
        <v>23221</v>
      </c>
      <c r="AJ6873" t="s">
        <v>4335</v>
      </c>
      <c r="AK6873" t="s">
        <v>32753</v>
      </c>
      <c r="AL6873" s="13" t="s">
        <v>1899</v>
      </c>
      <c r="AM6873">
        <v>1</v>
      </c>
      <c r="AN6873" s="15" t="s">
        <v>4336</v>
      </c>
    </row>
    <row r="6874" spans="1:40" x14ac:dyDescent="0.3">
      <c r="A6874" s="10" t="str">
        <f>HYPERLINK("http://www.washoecounty.gov/assessor/cama/?parid=510-431-13&amp;CardNumber=1","510-431-13")</f>
        <v>510-431-13</v>
      </c>
      <c r="B6874" t="s">
        <v>4655</v>
      </c>
      <c r="C6874" t="s">
        <v>32754</v>
      </c>
      <c r="D6874" s="1">
        <v>40359</v>
      </c>
      <c r="E6874" s="2">
        <v>143000</v>
      </c>
      <c r="F6874" t="s">
        <v>4567</v>
      </c>
      <c r="G6874" s="17" t="str">
        <f>HYPERLINK("https://www.washoecounty.gov/assessor/cama/?command=sales&amp;parid=51043113","3897537")</f>
        <v>3897537</v>
      </c>
      <c r="H6874" t="s">
        <v>4334</v>
      </c>
      <c r="I6874">
        <v>2006</v>
      </c>
      <c r="J6874">
        <v>2006</v>
      </c>
      <c r="K6874" t="s">
        <v>4554</v>
      </c>
      <c r="L6874" t="s">
        <v>4555</v>
      </c>
      <c r="M6874" s="2">
        <v>1173</v>
      </c>
      <c r="N6874" t="s">
        <v>5280</v>
      </c>
      <c r="O6874">
        <v>2</v>
      </c>
      <c r="P6874">
        <v>2</v>
      </c>
      <c r="Q6874">
        <v>0</v>
      </c>
      <c r="R6874" t="s">
        <v>5281</v>
      </c>
      <c r="S6874" t="s">
        <v>4558</v>
      </c>
      <c r="T6874" t="s">
        <v>4559</v>
      </c>
      <c r="U6874" t="s">
        <v>4560</v>
      </c>
      <c r="V6874" s="2">
        <v>448</v>
      </c>
      <c r="W6874" t="s">
        <v>4655</v>
      </c>
      <c r="X6874" s="2">
        <v>0</v>
      </c>
      <c r="Y6874">
        <v>20</v>
      </c>
      <c r="Z6874" t="s">
        <v>1604</v>
      </c>
      <c r="AA6874" s="3">
        <v>0.14364095032215099</v>
      </c>
      <c r="AB6874" t="s">
        <v>32755</v>
      </c>
      <c r="AC6874" t="s">
        <v>4562</v>
      </c>
      <c r="AD6874" t="s">
        <v>32756</v>
      </c>
      <c r="AE6874" t="s">
        <v>4655</v>
      </c>
      <c r="AF6874" t="s">
        <v>5201</v>
      </c>
      <c r="AG6874" t="s">
        <v>4564</v>
      </c>
      <c r="AH6874" t="s">
        <v>1605</v>
      </c>
      <c r="AI6874" t="s">
        <v>32757</v>
      </c>
      <c r="AJ6874" t="s">
        <v>4335</v>
      </c>
      <c r="AK6874" t="s">
        <v>32758</v>
      </c>
      <c r="AL6874" s="13" t="s">
        <v>1899</v>
      </c>
      <c r="AM6874">
        <v>1</v>
      </c>
      <c r="AN6874" s="15" t="s">
        <v>4336</v>
      </c>
    </row>
    <row r="6875" spans="1:40" x14ac:dyDescent="0.3">
      <c r="A6875" s="10" t="str">
        <f>HYPERLINK("http://www.washoecounty.gov/assessor/cama/?parid=510-431-14&amp;CardNumber=1","510-431-14")</f>
        <v>510-431-14</v>
      </c>
      <c r="B6875" t="s">
        <v>4655</v>
      </c>
      <c r="C6875" t="s">
        <v>32759</v>
      </c>
      <c r="D6875" s="1">
        <v>40290</v>
      </c>
      <c r="E6875" s="2">
        <v>149000</v>
      </c>
      <c r="F6875" t="s">
        <v>4553</v>
      </c>
      <c r="G6875" s="17" t="str">
        <f>HYPERLINK("https://www.washoecounty.gov/assessor/cama/?command=sales&amp;parid=51043114","3873519")</f>
        <v>3873519</v>
      </c>
      <c r="H6875" t="s">
        <v>4334</v>
      </c>
      <c r="I6875">
        <v>2006</v>
      </c>
      <c r="J6875">
        <v>2006</v>
      </c>
      <c r="K6875" t="s">
        <v>4554</v>
      </c>
      <c r="L6875" t="s">
        <v>3974</v>
      </c>
      <c r="M6875" s="2">
        <v>1623</v>
      </c>
      <c r="N6875" t="s">
        <v>5280</v>
      </c>
      <c r="O6875">
        <v>2</v>
      </c>
      <c r="P6875">
        <v>2</v>
      </c>
      <c r="Q6875">
        <v>0</v>
      </c>
      <c r="R6875" t="s">
        <v>5281</v>
      </c>
      <c r="S6875" t="s">
        <v>4558</v>
      </c>
      <c r="T6875" t="s">
        <v>4559</v>
      </c>
      <c r="U6875" t="s">
        <v>4560</v>
      </c>
      <c r="V6875" s="2">
        <v>448</v>
      </c>
      <c r="W6875" t="s">
        <v>4655</v>
      </c>
      <c r="X6875" s="2">
        <v>0</v>
      </c>
      <c r="Y6875">
        <v>20</v>
      </c>
      <c r="Z6875" t="s">
        <v>1604</v>
      </c>
      <c r="AA6875" s="3">
        <v>0.103282831609249</v>
      </c>
      <c r="AB6875" t="s">
        <v>32760</v>
      </c>
      <c r="AC6875" t="s">
        <v>4562</v>
      </c>
      <c r="AD6875" t="s">
        <v>32759</v>
      </c>
      <c r="AE6875" t="s">
        <v>4655</v>
      </c>
      <c r="AF6875" t="s">
        <v>5201</v>
      </c>
      <c r="AG6875" t="s">
        <v>4564</v>
      </c>
      <c r="AH6875" t="s">
        <v>1605</v>
      </c>
      <c r="AI6875" t="s">
        <v>32761</v>
      </c>
      <c r="AJ6875" t="s">
        <v>4335</v>
      </c>
      <c r="AK6875" t="s">
        <v>32762</v>
      </c>
      <c r="AL6875" s="13" t="s">
        <v>1899</v>
      </c>
      <c r="AM6875">
        <v>1</v>
      </c>
      <c r="AN6875" s="15" t="s">
        <v>4336</v>
      </c>
    </row>
    <row r="6876" spans="1:40" x14ac:dyDescent="0.3">
      <c r="A6876" s="10" t="str">
        <f>HYPERLINK("http://www.washoecounty.gov/assessor/cama/?parid=510-431-16&amp;CardNumber=1","510-431-16")</f>
        <v>510-431-16</v>
      </c>
      <c r="B6876" t="s">
        <v>4655</v>
      </c>
      <c r="C6876" t="s">
        <v>32763</v>
      </c>
      <c r="D6876" s="1">
        <v>40416</v>
      </c>
      <c r="E6876" s="2">
        <v>153500</v>
      </c>
      <c r="F6876" t="s">
        <v>4567</v>
      </c>
      <c r="G6876" s="17" t="str">
        <f>HYPERLINK("https://www.washoecounty.gov/assessor/cama/?command=sales&amp;parid=51043116","3916057")</f>
        <v>3916057</v>
      </c>
      <c r="H6876" t="s">
        <v>4334</v>
      </c>
      <c r="I6876">
        <v>2006</v>
      </c>
      <c r="J6876">
        <v>2006</v>
      </c>
      <c r="K6876" t="s">
        <v>4554</v>
      </c>
      <c r="L6876" t="s">
        <v>3974</v>
      </c>
      <c r="M6876" s="2">
        <v>1623</v>
      </c>
      <c r="N6876" t="s">
        <v>5280</v>
      </c>
      <c r="O6876">
        <v>2</v>
      </c>
      <c r="P6876">
        <v>2</v>
      </c>
      <c r="Q6876">
        <v>0</v>
      </c>
      <c r="R6876" t="s">
        <v>5281</v>
      </c>
      <c r="S6876" t="s">
        <v>4558</v>
      </c>
      <c r="T6876" t="s">
        <v>4559</v>
      </c>
      <c r="U6876" t="s">
        <v>4560</v>
      </c>
      <c r="V6876" s="2">
        <v>448</v>
      </c>
      <c r="W6876" t="s">
        <v>4655</v>
      </c>
      <c r="X6876" s="2">
        <v>0</v>
      </c>
      <c r="Y6876">
        <v>20</v>
      </c>
      <c r="Z6876" t="s">
        <v>1604</v>
      </c>
      <c r="AA6876" s="3">
        <v>0.10674931108951601</v>
      </c>
      <c r="AB6876" t="s">
        <v>6754</v>
      </c>
      <c r="AC6876" t="s">
        <v>4575</v>
      </c>
      <c r="AD6876" t="s">
        <v>6755</v>
      </c>
      <c r="AE6876" t="s">
        <v>4655</v>
      </c>
      <c r="AF6876" t="s">
        <v>3876</v>
      </c>
      <c r="AG6876" t="s">
        <v>1766</v>
      </c>
      <c r="AH6876" t="s">
        <v>3877</v>
      </c>
      <c r="AI6876" t="s">
        <v>32764</v>
      </c>
      <c r="AJ6876" t="s">
        <v>4335</v>
      </c>
      <c r="AK6876" t="s">
        <v>32765</v>
      </c>
      <c r="AL6876" s="13" t="s">
        <v>1899</v>
      </c>
      <c r="AM6876" s="14">
        <v>1</v>
      </c>
      <c r="AN6876" s="15" t="s">
        <v>4336</v>
      </c>
    </row>
    <row r="6877" spans="1:40" x14ac:dyDescent="0.3">
      <c r="A6877" s="10" t="str">
        <f>HYPERLINK("http://www.washoecounty.gov/assessor/cama/?parid=510-433-07&amp;CardNumber=1","510-433-07")</f>
        <v>510-433-07</v>
      </c>
      <c r="B6877" t="s">
        <v>4655</v>
      </c>
      <c r="C6877" t="s">
        <v>32766</v>
      </c>
      <c r="D6877" s="1">
        <v>40260</v>
      </c>
      <c r="E6877" s="2">
        <v>148000</v>
      </c>
      <c r="F6877" t="s">
        <v>4553</v>
      </c>
      <c r="G6877" s="17" t="str">
        <f>HYPERLINK("https://www.washoecounty.gov/assessor/cama/?command=sales&amp;parid=51043307","3862718")</f>
        <v>3862718</v>
      </c>
      <c r="H6877" t="s">
        <v>4334</v>
      </c>
      <c r="I6877">
        <v>2006</v>
      </c>
      <c r="J6877">
        <v>2006</v>
      </c>
      <c r="K6877" t="s">
        <v>4554</v>
      </c>
      <c r="L6877" t="s">
        <v>3974</v>
      </c>
      <c r="M6877" s="2">
        <v>1623</v>
      </c>
      <c r="N6877" t="s">
        <v>5280</v>
      </c>
      <c r="O6877">
        <v>2</v>
      </c>
      <c r="P6877">
        <v>2</v>
      </c>
      <c r="Q6877">
        <v>0</v>
      </c>
      <c r="R6877" t="s">
        <v>5281</v>
      </c>
      <c r="S6877" t="s">
        <v>4558</v>
      </c>
      <c r="T6877" t="s">
        <v>4559</v>
      </c>
      <c r="U6877" t="s">
        <v>4560</v>
      </c>
      <c r="V6877" s="2">
        <v>448</v>
      </c>
      <c r="W6877" t="s">
        <v>4655</v>
      </c>
      <c r="X6877" s="2">
        <v>0</v>
      </c>
      <c r="Y6877">
        <v>20</v>
      </c>
      <c r="Z6877" t="s">
        <v>1604</v>
      </c>
      <c r="AA6877" s="3">
        <v>9.8783284425735501E-2</v>
      </c>
      <c r="AB6877" t="s">
        <v>32767</v>
      </c>
      <c r="AC6877" t="s">
        <v>4562</v>
      </c>
      <c r="AD6877" t="s">
        <v>32766</v>
      </c>
      <c r="AE6877" t="s">
        <v>4655</v>
      </c>
      <c r="AF6877" t="s">
        <v>5201</v>
      </c>
      <c r="AG6877" t="s">
        <v>4564</v>
      </c>
      <c r="AH6877" t="s">
        <v>1605</v>
      </c>
      <c r="AI6877" t="s">
        <v>4585</v>
      </c>
      <c r="AJ6877" t="s">
        <v>4335</v>
      </c>
      <c r="AK6877" t="s">
        <v>32768</v>
      </c>
      <c r="AL6877" s="13" t="s">
        <v>1899</v>
      </c>
      <c r="AM6877">
        <v>1</v>
      </c>
      <c r="AN6877" s="15" t="s">
        <v>4336</v>
      </c>
    </row>
    <row r="6878" spans="1:40" x14ac:dyDescent="0.3">
      <c r="A6878" s="10" t="str">
        <f>HYPERLINK("http://www.washoecounty.gov/assessor/cama/?parid=510-433-11&amp;CardNumber=1","510-433-11")</f>
        <v>510-433-11</v>
      </c>
      <c r="B6878" t="s">
        <v>4655</v>
      </c>
      <c r="C6878" t="s">
        <v>32769</v>
      </c>
      <c r="D6878" s="1">
        <v>40408</v>
      </c>
      <c r="E6878" s="2">
        <v>150000</v>
      </c>
      <c r="F6878" t="s">
        <v>4567</v>
      </c>
      <c r="G6878" s="17" t="str">
        <f>HYPERLINK("https://www.washoecounty.gov/assessor/cama/?command=sales&amp;parid=51043311","3913406")</f>
        <v>3913406</v>
      </c>
      <c r="H6878" t="s">
        <v>4334</v>
      </c>
      <c r="I6878">
        <v>2006</v>
      </c>
      <c r="J6878">
        <v>2006</v>
      </c>
      <c r="K6878" t="s">
        <v>4554</v>
      </c>
      <c r="L6878" t="s">
        <v>3974</v>
      </c>
      <c r="M6878" s="2">
        <v>1623</v>
      </c>
      <c r="N6878" t="s">
        <v>5280</v>
      </c>
      <c r="O6878">
        <v>2</v>
      </c>
      <c r="P6878">
        <v>2</v>
      </c>
      <c r="Q6878">
        <v>0</v>
      </c>
      <c r="R6878" t="s">
        <v>5281</v>
      </c>
      <c r="S6878" t="s">
        <v>4558</v>
      </c>
      <c r="T6878" t="s">
        <v>4559</v>
      </c>
      <c r="U6878" t="s">
        <v>4560</v>
      </c>
      <c r="V6878" s="2">
        <v>448</v>
      </c>
      <c r="W6878" t="s">
        <v>4655</v>
      </c>
      <c r="X6878" s="2">
        <v>0</v>
      </c>
      <c r="Y6878">
        <v>20</v>
      </c>
      <c r="Z6878" t="s">
        <v>1604</v>
      </c>
      <c r="AA6878" s="3">
        <v>0.100964188575745</v>
      </c>
      <c r="AB6878" t="s">
        <v>32770</v>
      </c>
      <c r="AC6878" t="s">
        <v>4562</v>
      </c>
      <c r="AD6878" t="s">
        <v>32769</v>
      </c>
      <c r="AE6878" t="s">
        <v>4655</v>
      </c>
      <c r="AF6878" t="s">
        <v>5201</v>
      </c>
      <c r="AG6878" t="s">
        <v>4564</v>
      </c>
      <c r="AH6878" t="s">
        <v>1605</v>
      </c>
      <c r="AI6878" t="s">
        <v>32771</v>
      </c>
      <c r="AJ6878" t="s">
        <v>4335</v>
      </c>
      <c r="AK6878" t="s">
        <v>32772</v>
      </c>
      <c r="AL6878" s="13" t="s">
        <v>1899</v>
      </c>
      <c r="AM6878">
        <v>1</v>
      </c>
      <c r="AN6878" s="15" t="s">
        <v>4336</v>
      </c>
    </row>
    <row r="6879" spans="1:40" x14ac:dyDescent="0.3">
      <c r="A6879" s="10" t="str">
        <f>HYPERLINK("http://www.washoecounty.gov/assessor/cama/?parid=510-433-23&amp;CardNumber=1","510-433-23")</f>
        <v>510-433-23</v>
      </c>
      <c r="B6879" t="s">
        <v>4655</v>
      </c>
      <c r="C6879" t="s">
        <v>32773</v>
      </c>
      <c r="D6879" s="1">
        <v>40417</v>
      </c>
      <c r="E6879" s="2">
        <v>145000</v>
      </c>
      <c r="F6879" t="s">
        <v>4567</v>
      </c>
      <c r="G6879" s="17" t="str">
        <f>HYPERLINK("https://www.washoecounty.gov/assessor/cama/?command=sales&amp;parid=51043323","3916339")</f>
        <v>3916339</v>
      </c>
      <c r="H6879" t="s">
        <v>4334</v>
      </c>
      <c r="I6879">
        <v>2007</v>
      </c>
      <c r="J6879">
        <v>2007</v>
      </c>
      <c r="K6879" t="s">
        <v>4554</v>
      </c>
      <c r="L6879" t="s">
        <v>3974</v>
      </c>
      <c r="M6879" s="2">
        <v>1623</v>
      </c>
      <c r="N6879" t="s">
        <v>5280</v>
      </c>
      <c r="O6879">
        <v>2</v>
      </c>
      <c r="P6879">
        <v>2</v>
      </c>
      <c r="Q6879">
        <v>0</v>
      </c>
      <c r="R6879" t="s">
        <v>5281</v>
      </c>
      <c r="S6879" t="s">
        <v>4558</v>
      </c>
      <c r="T6879" t="s">
        <v>4559</v>
      </c>
      <c r="U6879" t="s">
        <v>4560</v>
      </c>
      <c r="V6879" s="2">
        <v>448</v>
      </c>
      <c r="W6879" t="s">
        <v>4655</v>
      </c>
      <c r="X6879" s="2">
        <v>0</v>
      </c>
      <c r="Y6879">
        <v>20</v>
      </c>
      <c r="Z6879" t="s">
        <v>1604</v>
      </c>
      <c r="AA6879" s="3">
        <v>0.106657482683659</v>
      </c>
      <c r="AB6879" t="s">
        <v>32774</v>
      </c>
      <c r="AC6879" t="s">
        <v>4562</v>
      </c>
      <c r="AD6879" t="s">
        <v>32773</v>
      </c>
      <c r="AE6879" t="s">
        <v>4655</v>
      </c>
      <c r="AF6879" t="s">
        <v>5201</v>
      </c>
      <c r="AG6879" t="s">
        <v>4564</v>
      </c>
      <c r="AH6879" t="s">
        <v>1605</v>
      </c>
      <c r="AI6879" t="s">
        <v>32775</v>
      </c>
      <c r="AJ6879" t="s">
        <v>4335</v>
      </c>
      <c r="AK6879" t="s">
        <v>32776</v>
      </c>
      <c r="AL6879" s="13" t="s">
        <v>1899</v>
      </c>
      <c r="AM6879" s="14">
        <v>1</v>
      </c>
      <c r="AN6879" s="15" t="s">
        <v>4336</v>
      </c>
    </row>
    <row r="6880" spans="1:40" x14ac:dyDescent="0.3">
      <c r="A6880" s="10" t="str">
        <f>HYPERLINK("http://www.washoecounty.gov/assessor/cama/?parid=510-441-02&amp;CardNumber=1","510-441-02")</f>
        <v>510-441-02</v>
      </c>
      <c r="B6880" t="s">
        <v>4655</v>
      </c>
      <c r="C6880" t="s">
        <v>32777</v>
      </c>
      <c r="D6880" s="1">
        <v>40319</v>
      </c>
      <c r="E6880" s="2">
        <v>136000</v>
      </c>
      <c r="F6880" t="s">
        <v>4567</v>
      </c>
      <c r="G6880" s="17" t="str">
        <f>HYPERLINK("https://www.washoecounty.gov/assessor/cama/?command=sales&amp;parid=51044102","3883645")</f>
        <v>3883645</v>
      </c>
      <c r="H6880" t="s">
        <v>4334</v>
      </c>
      <c r="I6880">
        <v>2005</v>
      </c>
      <c r="J6880">
        <v>2005</v>
      </c>
      <c r="K6880" t="s">
        <v>4554</v>
      </c>
      <c r="L6880" t="s">
        <v>4555</v>
      </c>
      <c r="M6880" s="2">
        <v>1173</v>
      </c>
      <c r="N6880" t="s">
        <v>5280</v>
      </c>
      <c r="O6880">
        <v>2</v>
      </c>
      <c r="P6880">
        <v>2</v>
      </c>
      <c r="Q6880">
        <v>0</v>
      </c>
      <c r="R6880" t="s">
        <v>5281</v>
      </c>
      <c r="S6880" t="s">
        <v>4558</v>
      </c>
      <c r="T6880" t="s">
        <v>4559</v>
      </c>
      <c r="U6880" t="s">
        <v>4560</v>
      </c>
      <c r="V6880" s="2">
        <v>448</v>
      </c>
      <c r="W6880" t="s">
        <v>4655</v>
      </c>
      <c r="X6880" s="2">
        <v>0</v>
      </c>
      <c r="Y6880">
        <v>20</v>
      </c>
      <c r="Z6880" t="s">
        <v>1604</v>
      </c>
      <c r="AA6880" s="3">
        <v>9.9242426455020905E-2</v>
      </c>
      <c r="AB6880" t="s">
        <v>32778</v>
      </c>
      <c r="AC6880" t="s">
        <v>4562</v>
      </c>
      <c r="AD6880" t="s">
        <v>32777</v>
      </c>
      <c r="AE6880" t="s">
        <v>4655</v>
      </c>
      <c r="AF6880" t="s">
        <v>5201</v>
      </c>
      <c r="AG6880" t="s">
        <v>4564</v>
      </c>
      <c r="AH6880" t="s">
        <v>1605</v>
      </c>
      <c r="AI6880" t="s">
        <v>4655</v>
      </c>
      <c r="AJ6880" t="s">
        <v>4335</v>
      </c>
      <c r="AK6880" t="s">
        <v>32779</v>
      </c>
      <c r="AL6880" s="13" t="s">
        <v>1899</v>
      </c>
      <c r="AM6880">
        <v>1</v>
      </c>
      <c r="AN6880" s="15" t="s">
        <v>4336</v>
      </c>
    </row>
    <row r="6881" spans="1:40" x14ac:dyDescent="0.3">
      <c r="A6881" s="10" t="str">
        <f>HYPERLINK("http://www.washoecounty.gov/assessor/cama/?parid=510-441-03&amp;CardNumber=1","510-441-03")</f>
        <v>510-441-03</v>
      </c>
      <c r="B6881" t="s">
        <v>4655</v>
      </c>
      <c r="C6881" t="s">
        <v>32780</v>
      </c>
      <c r="D6881" s="1">
        <v>40499</v>
      </c>
      <c r="E6881" s="2">
        <v>106050</v>
      </c>
      <c r="F6881" t="s">
        <v>4553</v>
      </c>
      <c r="G6881" s="17" t="str">
        <f>HYPERLINK("https://www.washoecounty.gov/assessor/cama/?command=sales&amp;parid=51044103","3943912")</f>
        <v>3943912</v>
      </c>
      <c r="H6881" t="s">
        <v>4334</v>
      </c>
      <c r="I6881">
        <v>2005</v>
      </c>
      <c r="J6881">
        <v>2005</v>
      </c>
      <c r="K6881" t="s">
        <v>4554</v>
      </c>
      <c r="L6881" t="s">
        <v>3974</v>
      </c>
      <c r="M6881" s="2">
        <v>1623</v>
      </c>
      <c r="N6881" t="s">
        <v>5280</v>
      </c>
      <c r="O6881">
        <v>2</v>
      </c>
      <c r="P6881">
        <v>2</v>
      </c>
      <c r="Q6881">
        <v>0</v>
      </c>
      <c r="R6881" t="s">
        <v>5281</v>
      </c>
      <c r="S6881" t="s">
        <v>4558</v>
      </c>
      <c r="T6881" t="s">
        <v>4559</v>
      </c>
      <c r="U6881" t="s">
        <v>4560</v>
      </c>
      <c r="V6881" s="2">
        <v>448</v>
      </c>
      <c r="W6881" t="s">
        <v>4655</v>
      </c>
      <c r="X6881" s="2">
        <v>0</v>
      </c>
      <c r="Y6881">
        <v>20</v>
      </c>
      <c r="Z6881" t="s">
        <v>1604</v>
      </c>
      <c r="AA6881" s="3">
        <v>9.9150598049163804E-2</v>
      </c>
      <c r="AB6881" t="s">
        <v>1410</v>
      </c>
      <c r="AC6881" t="s">
        <v>4562</v>
      </c>
      <c r="AD6881" t="s">
        <v>2549</v>
      </c>
      <c r="AE6881" t="s">
        <v>4655</v>
      </c>
      <c r="AF6881" t="s">
        <v>4563</v>
      </c>
      <c r="AG6881" t="s">
        <v>4564</v>
      </c>
      <c r="AH6881" t="s">
        <v>2330</v>
      </c>
      <c r="AI6881" t="s">
        <v>4903</v>
      </c>
      <c r="AJ6881" t="s">
        <v>4335</v>
      </c>
      <c r="AK6881" t="s">
        <v>32781</v>
      </c>
      <c r="AL6881" s="13" t="s">
        <v>1899</v>
      </c>
      <c r="AM6881" s="14">
        <v>1</v>
      </c>
      <c r="AN6881" s="15" t="s">
        <v>4336</v>
      </c>
    </row>
    <row r="6882" spans="1:40" x14ac:dyDescent="0.3">
      <c r="A6882" s="10" t="str">
        <f>HYPERLINK("http://www.washoecounty.gov/assessor/cama/?parid=510-441-10&amp;CardNumber=1","510-441-10")</f>
        <v>510-441-10</v>
      </c>
      <c r="B6882" t="s">
        <v>4655</v>
      </c>
      <c r="C6882" t="s">
        <v>32782</v>
      </c>
      <c r="D6882" s="1">
        <v>40479</v>
      </c>
      <c r="E6882" s="2">
        <v>156000</v>
      </c>
      <c r="F6882" t="s">
        <v>4553</v>
      </c>
      <c r="G6882" s="17" t="str">
        <f>HYPERLINK("https://www.washoecounty.gov/assessor/cama/?command=sales&amp;parid=51044110","3937375")</f>
        <v>3937375</v>
      </c>
      <c r="H6882" t="s">
        <v>4334</v>
      </c>
      <c r="I6882">
        <v>2005</v>
      </c>
      <c r="J6882">
        <v>2005</v>
      </c>
      <c r="K6882" t="s">
        <v>4554</v>
      </c>
      <c r="L6882" t="s">
        <v>3974</v>
      </c>
      <c r="M6882" s="2">
        <v>1996</v>
      </c>
      <c r="N6882" t="s">
        <v>5280</v>
      </c>
      <c r="O6882">
        <v>2</v>
      </c>
      <c r="P6882">
        <v>2</v>
      </c>
      <c r="Q6882">
        <v>1</v>
      </c>
      <c r="R6882" t="s">
        <v>5281</v>
      </c>
      <c r="S6882" t="s">
        <v>4558</v>
      </c>
      <c r="T6882" t="s">
        <v>4559</v>
      </c>
      <c r="U6882" t="s">
        <v>4560</v>
      </c>
      <c r="V6882" s="2">
        <v>448</v>
      </c>
      <c r="W6882" t="s">
        <v>4655</v>
      </c>
      <c r="X6882" s="2">
        <v>0</v>
      </c>
      <c r="Y6882">
        <v>20</v>
      </c>
      <c r="Z6882" t="s">
        <v>1604</v>
      </c>
      <c r="AA6882" s="3">
        <v>0.12674471735954301</v>
      </c>
      <c r="AB6882" t="s">
        <v>32783</v>
      </c>
      <c r="AC6882" t="s">
        <v>4575</v>
      </c>
      <c r="AD6882" t="s">
        <v>32784</v>
      </c>
      <c r="AE6882" t="s">
        <v>4655</v>
      </c>
      <c r="AF6882" t="s">
        <v>5061</v>
      </c>
      <c r="AG6882" t="s">
        <v>4564</v>
      </c>
      <c r="AH6882">
        <v>89410</v>
      </c>
      <c r="AI6882" t="s">
        <v>32785</v>
      </c>
      <c r="AJ6882" t="s">
        <v>4335</v>
      </c>
      <c r="AK6882" t="s">
        <v>32786</v>
      </c>
      <c r="AL6882" s="13" t="s">
        <v>1899</v>
      </c>
      <c r="AM6882" s="14">
        <v>1</v>
      </c>
      <c r="AN6882" s="15" t="s">
        <v>4336</v>
      </c>
    </row>
    <row r="6883" spans="1:40" x14ac:dyDescent="0.3">
      <c r="A6883" s="10" t="str">
        <f>HYPERLINK("http://www.washoecounty.gov/assessor/cama/?parid=510-452-02&amp;CardNumber=1","510-452-02")</f>
        <v>510-452-02</v>
      </c>
      <c r="B6883" t="s">
        <v>4655</v>
      </c>
      <c r="C6883" t="s">
        <v>32787</v>
      </c>
      <c r="D6883" s="1">
        <v>40353</v>
      </c>
      <c r="E6883" s="2">
        <v>230000</v>
      </c>
      <c r="F6883" t="s">
        <v>4567</v>
      </c>
      <c r="G6883" s="17" t="str">
        <f>HYPERLINK("https://www.washoecounty.gov/assessor/cama/?command=sales&amp;parid=51045202","3895179")</f>
        <v>3895179</v>
      </c>
      <c r="H6883" t="s">
        <v>611</v>
      </c>
      <c r="I6883">
        <v>2005</v>
      </c>
      <c r="J6883">
        <v>2005</v>
      </c>
      <c r="K6883" t="s">
        <v>4554</v>
      </c>
      <c r="L6883" t="s">
        <v>3974</v>
      </c>
      <c r="M6883" s="2">
        <v>2617</v>
      </c>
      <c r="N6883" t="s">
        <v>5280</v>
      </c>
      <c r="O6883">
        <v>4</v>
      </c>
      <c r="P6883">
        <v>2</v>
      </c>
      <c r="Q6883">
        <v>1</v>
      </c>
      <c r="R6883" t="s">
        <v>5281</v>
      </c>
      <c r="S6883" t="s">
        <v>4898</v>
      </c>
      <c r="T6883" t="s">
        <v>2704</v>
      </c>
      <c r="U6883" t="s">
        <v>4560</v>
      </c>
      <c r="V6883" s="2">
        <v>529</v>
      </c>
      <c r="W6883" t="s">
        <v>4655</v>
      </c>
      <c r="X6883" s="2">
        <v>0</v>
      </c>
      <c r="Y6883">
        <v>20</v>
      </c>
      <c r="Z6883" t="s">
        <v>2048</v>
      </c>
      <c r="AA6883" s="3">
        <v>0.118640951812267</v>
      </c>
      <c r="AB6883" t="s">
        <v>32788</v>
      </c>
      <c r="AC6883" t="s">
        <v>4575</v>
      </c>
      <c r="AD6883" t="s">
        <v>32789</v>
      </c>
      <c r="AE6883" t="s">
        <v>32790</v>
      </c>
      <c r="AF6883" t="s">
        <v>32791</v>
      </c>
      <c r="AG6883" t="s">
        <v>1542</v>
      </c>
      <c r="AH6883">
        <v>21401</v>
      </c>
      <c r="AI6883" t="s">
        <v>32792</v>
      </c>
      <c r="AJ6883" t="s">
        <v>612</v>
      </c>
      <c r="AK6883" t="s">
        <v>32793</v>
      </c>
      <c r="AL6883" s="13" t="s">
        <v>1899</v>
      </c>
      <c r="AM6883" s="14">
        <v>1</v>
      </c>
      <c r="AN6883" s="15" t="s">
        <v>613</v>
      </c>
    </row>
    <row r="6884" spans="1:40" x14ac:dyDescent="0.3">
      <c r="A6884" s="10" t="str">
        <f>HYPERLINK("http://www.washoecounty.gov/assessor/cama/?parid=510-452-05&amp;CardNumber=1","510-452-05")</f>
        <v>510-452-05</v>
      </c>
      <c r="B6884" t="s">
        <v>4655</v>
      </c>
      <c r="C6884" t="s">
        <v>32794</v>
      </c>
      <c r="D6884" s="1">
        <v>40392</v>
      </c>
      <c r="E6884" s="2">
        <v>205000</v>
      </c>
      <c r="F6884" t="s">
        <v>4567</v>
      </c>
      <c r="G6884" s="17" t="str">
        <f>HYPERLINK("https://www.washoecounty.gov/assessor/cama/?command=sales&amp;parid=51045205","3907922")</f>
        <v>3907922</v>
      </c>
      <c r="H6884" t="s">
        <v>611</v>
      </c>
      <c r="I6884">
        <v>2005</v>
      </c>
      <c r="J6884">
        <v>2005</v>
      </c>
      <c r="K6884" t="s">
        <v>4554</v>
      </c>
      <c r="L6884" t="s">
        <v>3974</v>
      </c>
      <c r="M6884" s="2">
        <v>2617</v>
      </c>
      <c r="N6884" t="s">
        <v>5280</v>
      </c>
      <c r="O6884">
        <v>4</v>
      </c>
      <c r="P6884">
        <v>2</v>
      </c>
      <c r="Q6884">
        <v>1</v>
      </c>
      <c r="R6884" t="s">
        <v>5281</v>
      </c>
      <c r="S6884" t="s">
        <v>4898</v>
      </c>
      <c r="T6884" t="s">
        <v>2704</v>
      </c>
      <c r="U6884" t="s">
        <v>4560</v>
      </c>
      <c r="V6884" s="2">
        <v>529</v>
      </c>
      <c r="W6884" t="s">
        <v>4655</v>
      </c>
      <c r="X6884" s="2">
        <v>0</v>
      </c>
      <c r="Y6884">
        <v>20</v>
      </c>
      <c r="Z6884" t="s">
        <v>2048</v>
      </c>
      <c r="AA6884" s="3">
        <v>0.15991735458374023</v>
      </c>
      <c r="AB6884" t="s">
        <v>32795</v>
      </c>
      <c r="AC6884" t="s">
        <v>4575</v>
      </c>
      <c r="AD6884" t="s">
        <v>32794</v>
      </c>
      <c r="AE6884" t="s">
        <v>4655</v>
      </c>
      <c r="AF6884" t="s">
        <v>5201</v>
      </c>
      <c r="AG6884" t="s">
        <v>4564</v>
      </c>
      <c r="AH6884" t="s">
        <v>1605</v>
      </c>
      <c r="AI6884" t="s">
        <v>32796</v>
      </c>
      <c r="AJ6884" t="s">
        <v>612</v>
      </c>
      <c r="AK6884" t="s">
        <v>32797</v>
      </c>
      <c r="AL6884" s="13" t="s">
        <v>1899</v>
      </c>
      <c r="AM6884">
        <v>1</v>
      </c>
      <c r="AN6884" s="15" t="s">
        <v>613</v>
      </c>
    </row>
    <row r="6885" spans="1:40" x14ac:dyDescent="0.3">
      <c r="A6885" s="10" t="str">
        <f>HYPERLINK("http://www.washoecounty.gov/assessor/cama/?parid=510-452-12&amp;CardNumber=1","510-452-12")</f>
        <v>510-452-12</v>
      </c>
      <c r="B6885" t="s">
        <v>4655</v>
      </c>
      <c r="C6885" t="s">
        <v>32798</v>
      </c>
      <c r="D6885" s="1">
        <v>40197</v>
      </c>
      <c r="E6885" s="2">
        <v>208500</v>
      </c>
      <c r="F6885" t="s">
        <v>4553</v>
      </c>
      <c r="G6885" s="17" t="str">
        <f>HYPERLINK("https://www.washoecounty.gov/assessor/cama/?command=sales&amp;parid=51045212","3840515")</f>
        <v>3840515</v>
      </c>
      <c r="H6885" t="s">
        <v>611</v>
      </c>
      <c r="I6885">
        <v>2005</v>
      </c>
      <c r="J6885">
        <v>2005</v>
      </c>
      <c r="K6885" t="s">
        <v>4554</v>
      </c>
      <c r="L6885" t="s">
        <v>3974</v>
      </c>
      <c r="M6885" s="2">
        <v>2598</v>
      </c>
      <c r="N6885" t="s">
        <v>5280</v>
      </c>
      <c r="O6885">
        <v>4</v>
      </c>
      <c r="P6885">
        <v>3</v>
      </c>
      <c r="Q6885">
        <v>0</v>
      </c>
      <c r="R6885" t="s">
        <v>5281</v>
      </c>
      <c r="S6885" t="s">
        <v>4898</v>
      </c>
      <c r="T6885" t="s">
        <v>2704</v>
      </c>
      <c r="U6885" t="s">
        <v>4560</v>
      </c>
      <c r="V6885" s="2">
        <v>528</v>
      </c>
      <c r="W6885" t="s">
        <v>4655</v>
      </c>
      <c r="X6885" s="2">
        <v>0</v>
      </c>
      <c r="Y6885">
        <v>20</v>
      </c>
      <c r="Z6885" t="s">
        <v>2048</v>
      </c>
      <c r="AA6885" s="3">
        <v>0.132392108440399</v>
      </c>
      <c r="AB6885" t="s">
        <v>32799</v>
      </c>
      <c r="AC6885" t="s">
        <v>4575</v>
      </c>
      <c r="AD6885" t="s">
        <v>32800</v>
      </c>
      <c r="AE6885" t="s">
        <v>4655</v>
      </c>
      <c r="AF6885" t="s">
        <v>2408</v>
      </c>
      <c r="AG6885" t="s">
        <v>4584</v>
      </c>
      <c r="AH6885">
        <v>94010</v>
      </c>
      <c r="AI6885" t="s">
        <v>32801</v>
      </c>
      <c r="AJ6885" t="s">
        <v>612</v>
      </c>
      <c r="AK6885" t="s">
        <v>32802</v>
      </c>
      <c r="AL6885" s="13" t="s">
        <v>1899</v>
      </c>
      <c r="AM6885">
        <v>1</v>
      </c>
      <c r="AN6885" s="15" t="s">
        <v>613</v>
      </c>
    </row>
    <row r="6886" spans="1:40" x14ac:dyDescent="0.3">
      <c r="A6886" s="10" t="str">
        <f>HYPERLINK("http://www.washoecounty.gov/assessor/cama/?parid=510-453-01&amp;CardNumber=1","510-453-01")</f>
        <v>510-453-01</v>
      </c>
      <c r="B6886" t="s">
        <v>4655</v>
      </c>
      <c r="C6886" t="s">
        <v>32803</v>
      </c>
      <c r="D6886" s="1">
        <v>40203</v>
      </c>
      <c r="E6886" s="2">
        <v>189000</v>
      </c>
      <c r="F6886" t="s">
        <v>4567</v>
      </c>
      <c r="G6886" s="17" t="str">
        <f>HYPERLINK("https://www.washoecounty.gov/assessor/cama/?command=sales&amp;parid=51045301","3842583")</f>
        <v>3842583</v>
      </c>
      <c r="H6886" t="s">
        <v>611</v>
      </c>
      <c r="I6886">
        <v>2005</v>
      </c>
      <c r="J6886">
        <v>2005</v>
      </c>
      <c r="K6886" t="s">
        <v>4554</v>
      </c>
      <c r="L6886" t="s">
        <v>4555</v>
      </c>
      <c r="M6886" s="2">
        <v>1823</v>
      </c>
      <c r="N6886" t="s">
        <v>5280</v>
      </c>
      <c r="O6886">
        <v>3</v>
      </c>
      <c r="P6886">
        <v>2</v>
      </c>
      <c r="Q6886">
        <v>0</v>
      </c>
      <c r="R6886" t="s">
        <v>5281</v>
      </c>
      <c r="S6886" t="s">
        <v>4898</v>
      </c>
      <c r="T6886" t="s">
        <v>2704</v>
      </c>
      <c r="U6886" t="s">
        <v>4560</v>
      </c>
      <c r="V6886" s="2">
        <v>462</v>
      </c>
      <c r="W6886" t="s">
        <v>4655</v>
      </c>
      <c r="X6886" s="2">
        <v>0</v>
      </c>
      <c r="Y6886">
        <v>20</v>
      </c>
      <c r="Z6886" t="s">
        <v>2048</v>
      </c>
      <c r="AA6886" s="3">
        <v>0.15413223206996901</v>
      </c>
      <c r="AB6886" t="s">
        <v>32804</v>
      </c>
      <c r="AC6886" t="s">
        <v>4562</v>
      </c>
      <c r="AD6886" t="s">
        <v>32803</v>
      </c>
      <c r="AE6886" t="s">
        <v>4655</v>
      </c>
      <c r="AF6886" t="s">
        <v>5201</v>
      </c>
      <c r="AG6886" t="s">
        <v>4564</v>
      </c>
      <c r="AH6886" t="s">
        <v>1605</v>
      </c>
      <c r="AI6886" t="s">
        <v>32805</v>
      </c>
      <c r="AJ6886" t="s">
        <v>612</v>
      </c>
      <c r="AK6886" t="s">
        <v>32806</v>
      </c>
      <c r="AL6886" s="13" t="s">
        <v>1899</v>
      </c>
      <c r="AM6886">
        <v>1</v>
      </c>
      <c r="AN6886" s="15" t="s">
        <v>613</v>
      </c>
    </row>
    <row r="6887" spans="1:40" x14ac:dyDescent="0.3">
      <c r="A6887" s="10" t="str">
        <f>HYPERLINK("http://www.washoecounty.gov/assessor/cama/?parid=510-453-07&amp;CardNumber=1","510-453-07")</f>
        <v>510-453-07</v>
      </c>
      <c r="B6887" t="s">
        <v>4655</v>
      </c>
      <c r="C6887" t="s">
        <v>32807</v>
      </c>
      <c r="D6887" s="1">
        <v>40354</v>
      </c>
      <c r="E6887" s="2">
        <v>175000</v>
      </c>
      <c r="F6887" t="s">
        <v>4567</v>
      </c>
      <c r="G6887" s="17" t="str">
        <f>HYPERLINK("https://www.washoecounty.gov/assessor/cama/?command=sales&amp;parid=51045307","3895616")</f>
        <v>3895616</v>
      </c>
      <c r="H6887" t="s">
        <v>611</v>
      </c>
      <c r="I6887">
        <v>2005</v>
      </c>
      <c r="J6887">
        <v>2005</v>
      </c>
      <c r="K6887" t="s">
        <v>4554</v>
      </c>
      <c r="L6887" t="s">
        <v>3974</v>
      </c>
      <c r="M6887" s="2">
        <v>2598</v>
      </c>
      <c r="N6887" t="s">
        <v>5280</v>
      </c>
      <c r="O6887">
        <v>4</v>
      </c>
      <c r="P6887">
        <v>3</v>
      </c>
      <c r="Q6887">
        <v>0</v>
      </c>
      <c r="R6887" t="s">
        <v>5281</v>
      </c>
      <c r="S6887" t="s">
        <v>4898</v>
      </c>
      <c r="T6887" t="s">
        <v>2704</v>
      </c>
      <c r="U6887" t="s">
        <v>4560</v>
      </c>
      <c r="V6887" s="2">
        <v>528</v>
      </c>
      <c r="W6887" t="s">
        <v>4655</v>
      </c>
      <c r="X6887" s="2">
        <v>0</v>
      </c>
      <c r="Y6887">
        <v>20</v>
      </c>
      <c r="Z6887" t="s">
        <v>2048</v>
      </c>
      <c r="AA6887" s="3">
        <v>0.120454542338848</v>
      </c>
      <c r="AB6887" t="s">
        <v>32808</v>
      </c>
      <c r="AC6887" t="s">
        <v>4562</v>
      </c>
      <c r="AD6887" t="s">
        <v>32807</v>
      </c>
      <c r="AE6887" t="s">
        <v>4655</v>
      </c>
      <c r="AF6887" t="s">
        <v>5201</v>
      </c>
      <c r="AG6887" t="s">
        <v>4564</v>
      </c>
      <c r="AH6887" t="s">
        <v>1605</v>
      </c>
      <c r="AI6887" t="s">
        <v>32809</v>
      </c>
      <c r="AJ6887" t="s">
        <v>612</v>
      </c>
      <c r="AK6887" t="s">
        <v>32810</v>
      </c>
      <c r="AL6887" s="13" t="s">
        <v>1899</v>
      </c>
      <c r="AM6887" s="14">
        <v>1</v>
      </c>
      <c r="AN6887" s="15" t="s">
        <v>613</v>
      </c>
    </row>
    <row r="6888" spans="1:40" x14ac:dyDescent="0.3">
      <c r="A6888" s="10" t="str">
        <f>HYPERLINK("http://www.washoecounty.gov/assessor/cama/?parid=510-453-13&amp;CardNumber=1","510-453-13")</f>
        <v>510-453-13</v>
      </c>
      <c r="B6888" t="s">
        <v>4655</v>
      </c>
      <c r="C6888" t="s">
        <v>32811</v>
      </c>
      <c r="D6888" s="1">
        <v>40367</v>
      </c>
      <c r="E6888" s="2">
        <v>154900</v>
      </c>
      <c r="F6888" t="s">
        <v>4553</v>
      </c>
      <c r="G6888" s="17" t="str">
        <f>HYPERLINK("https://www.washoecounty.gov/assessor/cama/?command=sales&amp;parid=51045313","3899442")</f>
        <v>3899442</v>
      </c>
      <c r="H6888" t="s">
        <v>611</v>
      </c>
      <c r="I6888">
        <v>2005</v>
      </c>
      <c r="J6888">
        <v>2005</v>
      </c>
      <c r="K6888" t="s">
        <v>4554</v>
      </c>
      <c r="L6888" t="s">
        <v>4555</v>
      </c>
      <c r="M6888" s="2">
        <v>1656</v>
      </c>
      <c r="N6888" t="s">
        <v>5280</v>
      </c>
      <c r="O6888">
        <v>3</v>
      </c>
      <c r="P6888">
        <v>2</v>
      </c>
      <c r="Q6888">
        <v>0</v>
      </c>
      <c r="R6888" t="s">
        <v>5281</v>
      </c>
      <c r="S6888" t="s">
        <v>4898</v>
      </c>
      <c r="T6888" t="s">
        <v>2704</v>
      </c>
      <c r="U6888" t="s">
        <v>4560</v>
      </c>
      <c r="V6888" s="2">
        <v>462</v>
      </c>
      <c r="W6888" t="s">
        <v>4655</v>
      </c>
      <c r="X6888" s="2">
        <v>0</v>
      </c>
      <c r="Y6888">
        <v>20</v>
      </c>
      <c r="Z6888" t="s">
        <v>2048</v>
      </c>
      <c r="AA6888" s="3">
        <v>0.14655646681785583</v>
      </c>
      <c r="AB6888" t="s">
        <v>32812</v>
      </c>
      <c r="AC6888" t="s">
        <v>4562</v>
      </c>
      <c r="AD6888" t="s">
        <v>32811</v>
      </c>
      <c r="AE6888" t="s">
        <v>4655</v>
      </c>
      <c r="AF6888" t="s">
        <v>5201</v>
      </c>
      <c r="AG6888" t="s">
        <v>4564</v>
      </c>
      <c r="AH6888" t="s">
        <v>1605</v>
      </c>
      <c r="AI6888" t="s">
        <v>4503</v>
      </c>
      <c r="AJ6888" t="s">
        <v>612</v>
      </c>
      <c r="AK6888" t="s">
        <v>32813</v>
      </c>
      <c r="AL6888" s="13" t="s">
        <v>1899</v>
      </c>
      <c r="AM6888" s="14">
        <v>1</v>
      </c>
      <c r="AN6888" s="15" t="s">
        <v>613</v>
      </c>
    </row>
    <row r="6889" spans="1:40" x14ac:dyDescent="0.3">
      <c r="A6889" s="10" t="str">
        <f>HYPERLINK("http://www.washoecounty.gov/assessor/cama/?parid=510-453-15&amp;CardNumber=1","510-453-15")</f>
        <v>510-453-15</v>
      </c>
      <c r="B6889" t="s">
        <v>4655</v>
      </c>
      <c r="C6889" t="s">
        <v>32814</v>
      </c>
      <c r="D6889" s="1">
        <v>40458</v>
      </c>
      <c r="E6889" s="2">
        <v>184000</v>
      </c>
      <c r="F6889" t="s">
        <v>4553</v>
      </c>
      <c r="G6889" s="17" t="str">
        <f>HYPERLINK("https://www.washoecounty.gov/assessor/cama/?command=sales&amp;parid=51045315","3930483")</f>
        <v>3930483</v>
      </c>
      <c r="H6889" t="s">
        <v>611</v>
      </c>
      <c r="I6889">
        <v>2005</v>
      </c>
      <c r="J6889">
        <v>2005</v>
      </c>
      <c r="K6889" t="s">
        <v>4554</v>
      </c>
      <c r="L6889" t="s">
        <v>3974</v>
      </c>
      <c r="M6889" s="2">
        <v>2617</v>
      </c>
      <c r="N6889" t="s">
        <v>5280</v>
      </c>
      <c r="O6889">
        <v>4</v>
      </c>
      <c r="P6889">
        <v>2</v>
      </c>
      <c r="Q6889">
        <v>1</v>
      </c>
      <c r="R6889" t="s">
        <v>5281</v>
      </c>
      <c r="S6889" t="s">
        <v>4898</v>
      </c>
      <c r="T6889" t="s">
        <v>2704</v>
      </c>
      <c r="U6889" t="s">
        <v>4560</v>
      </c>
      <c r="V6889" s="2">
        <v>529</v>
      </c>
      <c r="W6889" t="s">
        <v>4655</v>
      </c>
      <c r="X6889" s="2">
        <v>0</v>
      </c>
      <c r="Y6889">
        <v>20</v>
      </c>
      <c r="Z6889" t="s">
        <v>2048</v>
      </c>
      <c r="AA6889" s="3">
        <v>0.125436186790466</v>
      </c>
      <c r="AB6889" t="s">
        <v>32815</v>
      </c>
      <c r="AC6889" t="s">
        <v>4575</v>
      </c>
      <c r="AD6889" t="s">
        <v>32816</v>
      </c>
      <c r="AE6889" t="s">
        <v>32814</v>
      </c>
      <c r="AF6889" t="s">
        <v>4809</v>
      </c>
      <c r="AG6889" t="s">
        <v>4564</v>
      </c>
      <c r="AH6889" t="s">
        <v>1605</v>
      </c>
      <c r="AI6889" t="s">
        <v>4503</v>
      </c>
      <c r="AJ6889" t="s">
        <v>612</v>
      </c>
      <c r="AK6889" t="s">
        <v>32817</v>
      </c>
      <c r="AL6889" s="13" t="s">
        <v>1899</v>
      </c>
      <c r="AM6889" s="14">
        <v>1</v>
      </c>
      <c r="AN6889" s="15" t="s">
        <v>613</v>
      </c>
    </row>
    <row r="6890" spans="1:40" x14ac:dyDescent="0.3">
      <c r="A6890" s="10" t="str">
        <f>HYPERLINK("http://www.washoecounty.gov/assessor/cama/?parid=510-453-25&amp;CardNumber=1","510-453-25")</f>
        <v>510-453-25</v>
      </c>
      <c r="B6890" t="s">
        <v>4655</v>
      </c>
      <c r="C6890" t="s">
        <v>32818</v>
      </c>
      <c r="D6890" s="1">
        <v>40284</v>
      </c>
      <c r="E6890" s="2">
        <v>174500</v>
      </c>
      <c r="F6890" t="s">
        <v>4567</v>
      </c>
      <c r="G6890" s="17" t="str">
        <f>HYPERLINK("https://www.washoecounty.gov/assessor/cama/?command=sales&amp;parid=51045325","3871985")</f>
        <v>3871985</v>
      </c>
      <c r="H6890" t="s">
        <v>611</v>
      </c>
      <c r="I6890">
        <v>2005</v>
      </c>
      <c r="J6890">
        <v>2005</v>
      </c>
      <c r="K6890" t="s">
        <v>4554</v>
      </c>
      <c r="L6890" t="s">
        <v>4555</v>
      </c>
      <c r="M6890" s="2">
        <v>1656</v>
      </c>
      <c r="N6890" t="s">
        <v>5280</v>
      </c>
      <c r="O6890">
        <v>3</v>
      </c>
      <c r="P6890">
        <v>2</v>
      </c>
      <c r="Q6890">
        <v>0</v>
      </c>
      <c r="R6890" t="s">
        <v>5281</v>
      </c>
      <c r="S6890" t="s">
        <v>4898</v>
      </c>
      <c r="T6890" t="s">
        <v>2704</v>
      </c>
      <c r="U6890" t="s">
        <v>4560</v>
      </c>
      <c r="V6890" s="2">
        <v>462</v>
      </c>
      <c r="W6890" t="s">
        <v>4655</v>
      </c>
      <c r="X6890" s="2">
        <v>0</v>
      </c>
      <c r="Y6890">
        <v>20</v>
      </c>
      <c r="Z6890" t="s">
        <v>2048</v>
      </c>
      <c r="AA6890" s="3">
        <v>0.14511018991470301</v>
      </c>
      <c r="AB6890" t="s">
        <v>32819</v>
      </c>
      <c r="AC6890" t="s">
        <v>4562</v>
      </c>
      <c r="AD6890" t="s">
        <v>32820</v>
      </c>
      <c r="AE6890" t="s">
        <v>4655</v>
      </c>
      <c r="AF6890" t="s">
        <v>5201</v>
      </c>
      <c r="AG6890" t="s">
        <v>4564</v>
      </c>
      <c r="AH6890" t="s">
        <v>1605</v>
      </c>
      <c r="AI6890" t="s">
        <v>32821</v>
      </c>
      <c r="AJ6890" t="s">
        <v>612</v>
      </c>
      <c r="AK6890" t="s">
        <v>32822</v>
      </c>
      <c r="AL6890" s="13" t="s">
        <v>1899</v>
      </c>
      <c r="AM6890">
        <v>1</v>
      </c>
      <c r="AN6890" s="15" t="s">
        <v>613</v>
      </c>
    </row>
    <row r="6891" spans="1:40" x14ac:dyDescent="0.3">
      <c r="A6891" s="10" t="str">
        <f>HYPERLINK("http://www.washoecounty.gov/assessor/cama/?parid=510-453-27&amp;CardNumber=1","510-453-27")</f>
        <v>510-453-27</v>
      </c>
      <c r="B6891" t="s">
        <v>4655</v>
      </c>
      <c r="C6891" t="s">
        <v>32823</v>
      </c>
      <c r="D6891" s="1">
        <v>40438</v>
      </c>
      <c r="E6891" s="2">
        <v>180000</v>
      </c>
      <c r="F6891" t="s">
        <v>4553</v>
      </c>
      <c r="G6891" s="17" t="str">
        <f>HYPERLINK("https://www.washoecounty.gov/assessor/cama/?command=sales&amp;parid=51045327","3923501")</f>
        <v>3923501</v>
      </c>
      <c r="H6891" t="s">
        <v>611</v>
      </c>
      <c r="I6891">
        <v>2005</v>
      </c>
      <c r="J6891">
        <v>2005</v>
      </c>
      <c r="K6891" t="s">
        <v>4554</v>
      </c>
      <c r="L6891" t="s">
        <v>4555</v>
      </c>
      <c r="M6891" s="2">
        <v>1823</v>
      </c>
      <c r="N6891" t="s">
        <v>5280</v>
      </c>
      <c r="O6891">
        <v>3</v>
      </c>
      <c r="P6891">
        <v>2</v>
      </c>
      <c r="Q6891">
        <v>0</v>
      </c>
      <c r="R6891" t="s">
        <v>5281</v>
      </c>
      <c r="S6891" t="s">
        <v>4898</v>
      </c>
      <c r="T6891" t="s">
        <v>2704</v>
      </c>
      <c r="U6891" t="s">
        <v>4560</v>
      </c>
      <c r="V6891" s="2">
        <v>462</v>
      </c>
      <c r="W6891" t="s">
        <v>4655</v>
      </c>
      <c r="X6891" s="2">
        <v>0</v>
      </c>
      <c r="Y6891">
        <v>20</v>
      </c>
      <c r="Z6891" t="s">
        <v>2048</v>
      </c>
      <c r="AA6891" s="3">
        <v>0.21074379980564101</v>
      </c>
      <c r="AB6891" t="s">
        <v>32824</v>
      </c>
      <c r="AC6891" t="s">
        <v>4562</v>
      </c>
      <c r="AD6891" t="s">
        <v>32823</v>
      </c>
      <c r="AE6891" t="s">
        <v>4655</v>
      </c>
      <c r="AF6891" t="s">
        <v>5201</v>
      </c>
      <c r="AG6891" t="s">
        <v>4564</v>
      </c>
      <c r="AH6891" t="s">
        <v>1605</v>
      </c>
      <c r="AI6891" t="s">
        <v>4903</v>
      </c>
      <c r="AJ6891" t="s">
        <v>612</v>
      </c>
      <c r="AK6891" t="s">
        <v>32825</v>
      </c>
      <c r="AL6891" s="13" t="s">
        <v>1899</v>
      </c>
      <c r="AM6891">
        <v>1</v>
      </c>
      <c r="AN6891" s="15" t="s">
        <v>613</v>
      </c>
    </row>
    <row r="6892" spans="1:40" x14ac:dyDescent="0.3">
      <c r="A6892" s="10" t="str">
        <f>HYPERLINK("http://www.washoecounty.gov/assessor/cama/?parid=510-461-09&amp;CardNumber=1","510-461-09")</f>
        <v>510-461-09</v>
      </c>
      <c r="B6892" t="s">
        <v>4655</v>
      </c>
      <c r="C6892" t="s">
        <v>32826</v>
      </c>
      <c r="D6892" s="1">
        <v>40463</v>
      </c>
      <c r="E6892" s="2">
        <v>218000</v>
      </c>
      <c r="F6892" t="s">
        <v>4567</v>
      </c>
      <c r="G6892" s="17" t="str">
        <f>HYPERLINK("https://www.washoecounty.gov/assessor/cama/?command=sales&amp;parid=51046109","3932023")</f>
        <v>3932023</v>
      </c>
      <c r="H6892" t="s">
        <v>523</v>
      </c>
      <c r="I6892">
        <v>2005</v>
      </c>
      <c r="J6892">
        <v>2005</v>
      </c>
      <c r="K6892" t="s">
        <v>4554</v>
      </c>
      <c r="L6892" t="s">
        <v>4555</v>
      </c>
      <c r="M6892" s="2">
        <v>1932</v>
      </c>
      <c r="N6892" t="s">
        <v>5280</v>
      </c>
      <c r="O6892">
        <v>4</v>
      </c>
      <c r="P6892">
        <v>2</v>
      </c>
      <c r="Q6892">
        <v>0</v>
      </c>
      <c r="R6892" t="s">
        <v>5281</v>
      </c>
      <c r="S6892" t="s">
        <v>4898</v>
      </c>
      <c r="T6892" t="s">
        <v>2704</v>
      </c>
      <c r="U6892" t="s">
        <v>4560</v>
      </c>
      <c r="V6892" s="2">
        <v>424</v>
      </c>
      <c r="W6892" t="s">
        <v>4655</v>
      </c>
      <c r="X6892" s="2">
        <v>0</v>
      </c>
      <c r="Y6892">
        <v>20</v>
      </c>
      <c r="Z6892" t="s">
        <v>1604</v>
      </c>
      <c r="AA6892" s="3">
        <v>0.175321400165558</v>
      </c>
      <c r="AB6892" t="s">
        <v>32827</v>
      </c>
      <c r="AC6892" t="s">
        <v>4562</v>
      </c>
      <c r="AD6892" t="s">
        <v>32828</v>
      </c>
      <c r="AE6892" t="s">
        <v>4655</v>
      </c>
      <c r="AF6892" t="s">
        <v>5201</v>
      </c>
      <c r="AG6892" t="s">
        <v>4564</v>
      </c>
      <c r="AH6892" t="s">
        <v>3898</v>
      </c>
      <c r="AI6892" t="s">
        <v>32829</v>
      </c>
      <c r="AJ6892" t="s">
        <v>524</v>
      </c>
      <c r="AK6892" t="s">
        <v>32830</v>
      </c>
      <c r="AL6892" s="13" t="s">
        <v>1899</v>
      </c>
      <c r="AM6892" s="14">
        <v>1</v>
      </c>
      <c r="AN6892" s="15" t="s">
        <v>610</v>
      </c>
    </row>
    <row r="6893" spans="1:40" x14ac:dyDescent="0.3">
      <c r="A6893" s="10" t="str">
        <f>HYPERLINK("http://www.washoecounty.gov/assessor/cama/?parid=510-461-10&amp;CardNumber=1","510-461-10")</f>
        <v>510-461-10</v>
      </c>
      <c r="B6893" t="s">
        <v>4655</v>
      </c>
      <c r="C6893" t="s">
        <v>32831</v>
      </c>
      <c r="D6893" s="1">
        <v>40193</v>
      </c>
      <c r="E6893" s="2">
        <v>207000</v>
      </c>
      <c r="F6893" t="s">
        <v>4567</v>
      </c>
      <c r="G6893" s="17" t="str">
        <f>HYPERLINK("https://www.washoecounty.gov/assessor/cama/?command=sales&amp;parid=51046110","3840196")</f>
        <v>3840196</v>
      </c>
      <c r="H6893" t="s">
        <v>523</v>
      </c>
      <c r="I6893">
        <v>2005</v>
      </c>
      <c r="J6893">
        <v>2005</v>
      </c>
      <c r="K6893" t="s">
        <v>4554</v>
      </c>
      <c r="L6893" t="s">
        <v>4555</v>
      </c>
      <c r="M6893" s="2">
        <v>2070</v>
      </c>
      <c r="N6893" t="s">
        <v>5280</v>
      </c>
      <c r="O6893">
        <v>4</v>
      </c>
      <c r="P6893">
        <v>2</v>
      </c>
      <c r="Q6893">
        <v>1</v>
      </c>
      <c r="R6893" t="s">
        <v>5281</v>
      </c>
      <c r="S6893" t="s">
        <v>4898</v>
      </c>
      <c r="T6893" t="s">
        <v>2704</v>
      </c>
      <c r="U6893" t="s">
        <v>4560</v>
      </c>
      <c r="V6893" s="2">
        <v>420</v>
      </c>
      <c r="W6893" t="s">
        <v>4655</v>
      </c>
      <c r="X6893" s="2">
        <v>0</v>
      </c>
      <c r="Y6893">
        <v>20</v>
      </c>
      <c r="Z6893" t="s">
        <v>1604</v>
      </c>
      <c r="AA6893" s="3">
        <v>0.20583103597164201</v>
      </c>
      <c r="AB6893" t="s">
        <v>32832</v>
      </c>
      <c r="AC6893" t="s">
        <v>4575</v>
      </c>
      <c r="AD6893" t="s">
        <v>32833</v>
      </c>
      <c r="AE6893" t="s">
        <v>4655</v>
      </c>
      <c r="AF6893" t="s">
        <v>4809</v>
      </c>
      <c r="AG6893" t="s">
        <v>4564</v>
      </c>
      <c r="AH6893" t="s">
        <v>1605</v>
      </c>
      <c r="AI6893" t="s">
        <v>32834</v>
      </c>
      <c r="AJ6893" t="s">
        <v>524</v>
      </c>
      <c r="AK6893" t="s">
        <v>32835</v>
      </c>
      <c r="AL6893" s="13" t="s">
        <v>1899</v>
      </c>
      <c r="AM6893" s="14">
        <v>1</v>
      </c>
      <c r="AN6893" s="15" t="s">
        <v>610</v>
      </c>
    </row>
    <row r="6894" spans="1:40" x14ac:dyDescent="0.3">
      <c r="A6894" s="10" t="str">
        <f>HYPERLINK("http://www.washoecounty.gov/assessor/cama/?parid=510-462-06&amp;CardNumber=1","510-462-06")</f>
        <v>510-462-06</v>
      </c>
      <c r="B6894" t="s">
        <v>4655</v>
      </c>
      <c r="C6894" t="s">
        <v>32836</v>
      </c>
      <c r="D6894" s="1">
        <v>40438</v>
      </c>
      <c r="E6894" s="2">
        <v>202400</v>
      </c>
      <c r="F6894" t="s">
        <v>4553</v>
      </c>
      <c r="G6894" s="17" t="str">
        <f>HYPERLINK("https://www.washoecounty.gov/assessor/cama/?command=sales&amp;parid=51046206","3923538")</f>
        <v>3923538</v>
      </c>
      <c r="H6894" t="s">
        <v>523</v>
      </c>
      <c r="I6894">
        <v>2005</v>
      </c>
      <c r="J6894">
        <v>2005</v>
      </c>
      <c r="K6894" t="s">
        <v>4554</v>
      </c>
      <c r="L6894" t="s">
        <v>4555</v>
      </c>
      <c r="M6894" s="2">
        <v>1932</v>
      </c>
      <c r="N6894" t="s">
        <v>5280</v>
      </c>
      <c r="O6894">
        <v>3</v>
      </c>
      <c r="P6894">
        <v>2</v>
      </c>
      <c r="Q6894">
        <v>0</v>
      </c>
      <c r="R6894" t="s">
        <v>5281</v>
      </c>
      <c r="S6894" t="s">
        <v>4898</v>
      </c>
      <c r="T6894" t="s">
        <v>2704</v>
      </c>
      <c r="U6894" t="s">
        <v>4560</v>
      </c>
      <c r="V6894" s="2">
        <v>424</v>
      </c>
      <c r="W6894" t="s">
        <v>4655</v>
      </c>
      <c r="X6894" s="2">
        <v>0</v>
      </c>
      <c r="Y6894">
        <v>20</v>
      </c>
      <c r="Z6894" t="s">
        <v>1604</v>
      </c>
      <c r="AA6894" s="3">
        <v>0.16065196692943601</v>
      </c>
      <c r="AB6894" t="s">
        <v>32837</v>
      </c>
      <c r="AC6894" t="s">
        <v>4562</v>
      </c>
      <c r="AD6894" t="s">
        <v>32836</v>
      </c>
      <c r="AE6894" t="s">
        <v>4655</v>
      </c>
      <c r="AF6894" t="s">
        <v>5201</v>
      </c>
      <c r="AG6894" t="s">
        <v>4564</v>
      </c>
      <c r="AH6894" t="s">
        <v>1605</v>
      </c>
      <c r="AI6894" t="s">
        <v>4565</v>
      </c>
      <c r="AJ6894" t="s">
        <v>524</v>
      </c>
      <c r="AK6894" t="s">
        <v>32838</v>
      </c>
      <c r="AL6894" s="13" t="s">
        <v>1899</v>
      </c>
      <c r="AM6894">
        <v>1</v>
      </c>
      <c r="AN6894" s="15" t="s">
        <v>610</v>
      </c>
    </row>
    <row r="6895" spans="1:40" x14ac:dyDescent="0.3">
      <c r="A6895" s="10" t="str">
        <f>HYPERLINK("http://www.washoecounty.gov/assessor/cama/?parid=510-463-01&amp;CardNumber=1","510-463-01")</f>
        <v>510-463-01</v>
      </c>
      <c r="B6895" t="s">
        <v>4655</v>
      </c>
      <c r="C6895" t="s">
        <v>32839</v>
      </c>
      <c r="D6895" s="1">
        <v>40325</v>
      </c>
      <c r="E6895" s="2">
        <v>191100</v>
      </c>
      <c r="F6895" t="s">
        <v>4567</v>
      </c>
      <c r="G6895" s="17" t="str">
        <f>HYPERLINK("https://www.washoecounty.gov/assessor/cama/?command=sales&amp;parid=51046301","3886126")</f>
        <v>3886126</v>
      </c>
      <c r="H6895" t="s">
        <v>523</v>
      </c>
      <c r="I6895">
        <v>2005</v>
      </c>
      <c r="J6895">
        <v>2005</v>
      </c>
      <c r="K6895" t="s">
        <v>4554</v>
      </c>
      <c r="L6895" t="s">
        <v>4555</v>
      </c>
      <c r="M6895" s="2">
        <v>2070</v>
      </c>
      <c r="N6895" t="s">
        <v>5280</v>
      </c>
      <c r="O6895">
        <v>4</v>
      </c>
      <c r="P6895">
        <v>2</v>
      </c>
      <c r="Q6895">
        <v>1</v>
      </c>
      <c r="R6895" t="s">
        <v>5281</v>
      </c>
      <c r="S6895" t="s">
        <v>4898</v>
      </c>
      <c r="T6895" t="s">
        <v>2704</v>
      </c>
      <c r="U6895" t="s">
        <v>4560</v>
      </c>
      <c r="V6895" s="2">
        <v>420</v>
      </c>
      <c r="W6895" t="s">
        <v>4655</v>
      </c>
      <c r="X6895" s="2">
        <v>0</v>
      </c>
      <c r="Y6895">
        <v>20</v>
      </c>
      <c r="Z6895" t="s">
        <v>1604</v>
      </c>
      <c r="AA6895" s="3">
        <v>0.16806703805923501</v>
      </c>
      <c r="AB6895" t="s">
        <v>32840</v>
      </c>
      <c r="AC6895" t="s">
        <v>4562</v>
      </c>
      <c r="AD6895" t="s">
        <v>32839</v>
      </c>
      <c r="AE6895" t="s">
        <v>4655</v>
      </c>
      <c r="AF6895" t="s">
        <v>4809</v>
      </c>
      <c r="AG6895" t="s">
        <v>4564</v>
      </c>
      <c r="AH6895" t="s">
        <v>1605</v>
      </c>
      <c r="AI6895" t="s">
        <v>32841</v>
      </c>
      <c r="AJ6895" t="s">
        <v>524</v>
      </c>
      <c r="AK6895" t="s">
        <v>32842</v>
      </c>
      <c r="AL6895" s="13" t="s">
        <v>1899</v>
      </c>
      <c r="AM6895" s="14">
        <v>1</v>
      </c>
      <c r="AN6895" s="15" t="s">
        <v>610</v>
      </c>
    </row>
    <row r="6896" spans="1:40" x14ac:dyDescent="0.3">
      <c r="A6896" s="10" t="str">
        <f>HYPERLINK("http://www.washoecounty.gov/assessor/cama/?parid=510-463-08&amp;CardNumber=1","510-463-08")</f>
        <v>510-463-08</v>
      </c>
      <c r="B6896" t="s">
        <v>4655</v>
      </c>
      <c r="C6896" t="s">
        <v>32843</v>
      </c>
      <c r="D6896" s="1">
        <v>40332</v>
      </c>
      <c r="E6896" s="2">
        <v>193500</v>
      </c>
      <c r="F6896" t="s">
        <v>4567</v>
      </c>
      <c r="G6896" s="17" t="str">
        <f>HYPERLINK("https://www.washoecounty.gov/assessor/cama/?command=sales&amp;parid=51046308","3888113")</f>
        <v>3888113</v>
      </c>
      <c r="H6896" t="s">
        <v>523</v>
      </c>
      <c r="I6896">
        <v>2005</v>
      </c>
      <c r="J6896">
        <v>2005</v>
      </c>
      <c r="K6896" t="s">
        <v>4554</v>
      </c>
      <c r="L6896" t="s">
        <v>4555</v>
      </c>
      <c r="M6896" s="2">
        <v>1932</v>
      </c>
      <c r="N6896" t="s">
        <v>5280</v>
      </c>
      <c r="O6896">
        <v>4</v>
      </c>
      <c r="P6896">
        <v>2</v>
      </c>
      <c r="Q6896">
        <v>0</v>
      </c>
      <c r="R6896" t="s">
        <v>5281</v>
      </c>
      <c r="S6896" t="s">
        <v>4898</v>
      </c>
      <c r="T6896" t="s">
        <v>2704</v>
      </c>
      <c r="U6896" t="s">
        <v>4560</v>
      </c>
      <c r="V6896" s="2">
        <v>424</v>
      </c>
      <c r="W6896" t="s">
        <v>4655</v>
      </c>
      <c r="X6896" s="2">
        <v>0</v>
      </c>
      <c r="Y6896">
        <v>20</v>
      </c>
      <c r="Z6896" t="s">
        <v>1604</v>
      </c>
      <c r="AA6896" s="3">
        <v>0.159779608249664</v>
      </c>
      <c r="AB6896" t="s">
        <v>32844</v>
      </c>
      <c r="AC6896" t="s">
        <v>4562</v>
      </c>
      <c r="AD6896" t="s">
        <v>32845</v>
      </c>
      <c r="AE6896" t="s">
        <v>4655</v>
      </c>
      <c r="AF6896" t="s">
        <v>5201</v>
      </c>
      <c r="AG6896" t="s">
        <v>4564</v>
      </c>
      <c r="AH6896" t="s">
        <v>1605</v>
      </c>
      <c r="AI6896" t="s">
        <v>32846</v>
      </c>
      <c r="AJ6896" t="s">
        <v>524</v>
      </c>
      <c r="AK6896" t="s">
        <v>32847</v>
      </c>
      <c r="AL6896" s="13" t="s">
        <v>1899</v>
      </c>
      <c r="AM6896" s="14">
        <v>1</v>
      </c>
      <c r="AN6896" s="15" t="s">
        <v>610</v>
      </c>
    </row>
    <row r="6897" spans="1:40" x14ac:dyDescent="0.3">
      <c r="A6897" s="10" t="str">
        <f>HYPERLINK("http://www.washoecounty.gov/assessor/cama/?parid=510-464-04&amp;CardNumber=1","510-464-04")</f>
        <v>510-464-04</v>
      </c>
      <c r="B6897" t="s">
        <v>4655</v>
      </c>
      <c r="C6897" t="s">
        <v>32848</v>
      </c>
      <c r="D6897" s="1">
        <v>40452</v>
      </c>
      <c r="E6897" s="2">
        <v>195000</v>
      </c>
      <c r="F6897" t="s">
        <v>4567</v>
      </c>
      <c r="G6897" s="17" t="str">
        <f>HYPERLINK("https://www.washoecounty.gov/assessor/cama/?command=sales&amp;parid=51046404","3928786")</f>
        <v>3928786</v>
      </c>
      <c r="H6897" t="s">
        <v>523</v>
      </c>
      <c r="I6897">
        <v>2005</v>
      </c>
      <c r="J6897">
        <v>2005</v>
      </c>
      <c r="K6897" t="s">
        <v>4554</v>
      </c>
      <c r="L6897" t="s">
        <v>4555</v>
      </c>
      <c r="M6897" s="2">
        <v>1932</v>
      </c>
      <c r="N6897" t="s">
        <v>5280</v>
      </c>
      <c r="O6897">
        <v>3</v>
      </c>
      <c r="P6897">
        <v>2</v>
      </c>
      <c r="Q6897">
        <v>0</v>
      </c>
      <c r="R6897" t="s">
        <v>5281</v>
      </c>
      <c r="S6897" t="s">
        <v>4898</v>
      </c>
      <c r="T6897" t="s">
        <v>2704</v>
      </c>
      <c r="U6897" t="s">
        <v>4560</v>
      </c>
      <c r="V6897" s="2">
        <v>424</v>
      </c>
      <c r="W6897" t="s">
        <v>4655</v>
      </c>
      <c r="X6897" s="2">
        <v>0</v>
      </c>
      <c r="Y6897">
        <v>20</v>
      </c>
      <c r="Z6897" t="s">
        <v>1604</v>
      </c>
      <c r="AA6897" s="3">
        <v>0.169306710362434</v>
      </c>
      <c r="AB6897" t="s">
        <v>32849</v>
      </c>
      <c r="AC6897" t="s">
        <v>4562</v>
      </c>
      <c r="AD6897" t="s">
        <v>32848</v>
      </c>
      <c r="AE6897" t="s">
        <v>4655</v>
      </c>
      <c r="AF6897" t="s">
        <v>5201</v>
      </c>
      <c r="AG6897" t="s">
        <v>4564</v>
      </c>
      <c r="AH6897" t="s">
        <v>1605</v>
      </c>
      <c r="AI6897" t="s">
        <v>32850</v>
      </c>
      <c r="AJ6897" t="s">
        <v>524</v>
      </c>
      <c r="AK6897" t="s">
        <v>32851</v>
      </c>
      <c r="AL6897" s="13" t="s">
        <v>1899</v>
      </c>
      <c r="AM6897">
        <v>1</v>
      </c>
      <c r="AN6897" s="15" t="s">
        <v>610</v>
      </c>
    </row>
    <row r="6898" spans="1:40" x14ac:dyDescent="0.3">
      <c r="A6898" s="10" t="str">
        <f>HYPERLINK("http://www.washoecounty.gov/assessor/cama/?parid=510-471-07&amp;CardNumber=1","510-471-07")</f>
        <v>510-471-07</v>
      </c>
      <c r="B6898" t="s">
        <v>4655</v>
      </c>
      <c r="C6898" t="s">
        <v>32852</v>
      </c>
      <c r="D6898" s="1">
        <v>40186</v>
      </c>
      <c r="E6898" s="2">
        <v>244900</v>
      </c>
      <c r="F6898" t="s">
        <v>4567</v>
      </c>
      <c r="G6898" s="17" t="str">
        <f>HYPERLINK("https://www.washoecounty.gov/assessor/cama/?command=sales&amp;parid=51047107","3837469")</f>
        <v>3837469</v>
      </c>
      <c r="H6898" t="s">
        <v>525</v>
      </c>
      <c r="I6898">
        <v>2009</v>
      </c>
      <c r="J6898">
        <v>2009</v>
      </c>
      <c r="K6898" t="s">
        <v>4554</v>
      </c>
      <c r="L6898" t="s">
        <v>4555</v>
      </c>
      <c r="M6898" s="2">
        <v>1932</v>
      </c>
      <c r="N6898" t="s">
        <v>5280</v>
      </c>
      <c r="O6898">
        <v>3</v>
      </c>
      <c r="P6898">
        <v>2</v>
      </c>
      <c r="Q6898">
        <v>1</v>
      </c>
      <c r="R6898" t="s">
        <v>5281</v>
      </c>
      <c r="S6898" t="s">
        <v>4898</v>
      </c>
      <c r="T6898" t="s">
        <v>2704</v>
      </c>
      <c r="U6898" t="s">
        <v>4560</v>
      </c>
      <c r="V6898" s="2">
        <v>424</v>
      </c>
      <c r="W6898" t="s">
        <v>4655</v>
      </c>
      <c r="X6898" s="2">
        <v>0</v>
      </c>
      <c r="Y6898">
        <v>20</v>
      </c>
      <c r="Z6898" t="s">
        <v>1604</v>
      </c>
      <c r="AA6898" s="3">
        <v>0.18005050718784299</v>
      </c>
      <c r="AB6898" t="s">
        <v>32853</v>
      </c>
      <c r="AC6898" t="s">
        <v>4562</v>
      </c>
      <c r="AD6898" t="s">
        <v>32852</v>
      </c>
      <c r="AE6898" t="s">
        <v>4655</v>
      </c>
      <c r="AF6898" t="s">
        <v>5201</v>
      </c>
      <c r="AG6898" t="s">
        <v>4564</v>
      </c>
      <c r="AH6898" t="s">
        <v>1605</v>
      </c>
      <c r="AI6898" t="s">
        <v>526</v>
      </c>
      <c r="AJ6898" t="s">
        <v>527</v>
      </c>
      <c r="AK6898" t="s">
        <v>32854</v>
      </c>
      <c r="AL6898" s="13" t="s">
        <v>1899</v>
      </c>
      <c r="AM6898">
        <v>1</v>
      </c>
      <c r="AN6898" s="15" t="s">
        <v>610</v>
      </c>
    </row>
    <row r="6899" spans="1:40" x14ac:dyDescent="0.3">
      <c r="A6899" s="10" t="str">
        <f>HYPERLINK("http://www.washoecounty.gov/assessor/cama/?parid=510-471-18&amp;CardNumber=1","510-471-18")</f>
        <v>510-471-18</v>
      </c>
      <c r="B6899" t="s">
        <v>4655</v>
      </c>
      <c r="C6899" t="s">
        <v>32855</v>
      </c>
      <c r="D6899" s="1">
        <v>40388</v>
      </c>
      <c r="E6899" s="2">
        <v>199400</v>
      </c>
      <c r="F6899" t="s">
        <v>4553</v>
      </c>
      <c r="G6899" s="17" t="str">
        <f>HYPERLINK("https://www.washoecounty.gov/assessor/cama/?command=sales&amp;parid=51047118","3906359")</f>
        <v>3906359</v>
      </c>
      <c r="H6899" t="s">
        <v>525</v>
      </c>
      <c r="I6899">
        <v>2007</v>
      </c>
      <c r="J6899">
        <v>2007</v>
      </c>
      <c r="K6899" t="s">
        <v>4554</v>
      </c>
      <c r="L6899" t="s">
        <v>4555</v>
      </c>
      <c r="M6899" s="2">
        <v>1932</v>
      </c>
      <c r="N6899" t="s">
        <v>5280</v>
      </c>
      <c r="O6899">
        <v>3</v>
      </c>
      <c r="P6899">
        <v>2</v>
      </c>
      <c r="Q6899">
        <v>0</v>
      </c>
      <c r="R6899" t="s">
        <v>5281</v>
      </c>
      <c r="S6899" t="s">
        <v>4898</v>
      </c>
      <c r="T6899" t="s">
        <v>2704</v>
      </c>
      <c r="U6899" t="s">
        <v>4560</v>
      </c>
      <c r="V6899" s="2">
        <v>424</v>
      </c>
      <c r="W6899" t="s">
        <v>4655</v>
      </c>
      <c r="X6899" s="2">
        <v>0</v>
      </c>
      <c r="Y6899">
        <v>20</v>
      </c>
      <c r="Z6899" t="s">
        <v>1604</v>
      </c>
      <c r="AA6899" s="3">
        <v>0.169995412230492</v>
      </c>
      <c r="AB6899" t="s">
        <v>32856</v>
      </c>
      <c r="AC6899" t="s">
        <v>4562</v>
      </c>
      <c r="AD6899" t="s">
        <v>32857</v>
      </c>
      <c r="AE6899" t="s">
        <v>4655</v>
      </c>
      <c r="AF6899" t="s">
        <v>4809</v>
      </c>
      <c r="AG6899" t="s">
        <v>4564</v>
      </c>
      <c r="AH6899" t="s">
        <v>1605</v>
      </c>
      <c r="AI6899" t="s">
        <v>32858</v>
      </c>
      <c r="AJ6899" t="s">
        <v>527</v>
      </c>
      <c r="AK6899" t="s">
        <v>32859</v>
      </c>
      <c r="AL6899" s="13" t="s">
        <v>1899</v>
      </c>
      <c r="AM6899">
        <v>1</v>
      </c>
      <c r="AN6899" s="15" t="s">
        <v>610</v>
      </c>
    </row>
    <row r="6900" spans="1:40" x14ac:dyDescent="0.3">
      <c r="A6900" s="10" t="str">
        <f>HYPERLINK("http://www.washoecounty.gov/assessor/cama/?parid=510-472-10&amp;CardNumber=1","510-472-10")</f>
        <v>510-472-10</v>
      </c>
      <c r="B6900" t="s">
        <v>4655</v>
      </c>
      <c r="C6900" t="s">
        <v>32860</v>
      </c>
      <c r="D6900" s="1">
        <v>40506</v>
      </c>
      <c r="E6900" s="2">
        <v>199000</v>
      </c>
      <c r="F6900" t="s">
        <v>4567</v>
      </c>
      <c r="G6900" s="17" t="str">
        <f>HYPERLINK("https://www.washoecounty.gov/assessor/cama/?command=sales&amp;parid=51047210","3946791")</f>
        <v>3946791</v>
      </c>
      <c r="H6900" t="s">
        <v>525</v>
      </c>
      <c r="I6900">
        <v>2007</v>
      </c>
      <c r="J6900">
        <v>2007</v>
      </c>
      <c r="K6900" t="s">
        <v>4554</v>
      </c>
      <c r="L6900" t="s">
        <v>4555</v>
      </c>
      <c r="M6900" s="2">
        <v>2070</v>
      </c>
      <c r="N6900" t="s">
        <v>5280</v>
      </c>
      <c r="O6900">
        <v>4</v>
      </c>
      <c r="P6900">
        <v>2</v>
      </c>
      <c r="Q6900">
        <v>1</v>
      </c>
      <c r="R6900" t="s">
        <v>5281</v>
      </c>
      <c r="S6900" t="s">
        <v>4898</v>
      </c>
      <c r="T6900" t="s">
        <v>2704</v>
      </c>
      <c r="U6900" t="s">
        <v>4560</v>
      </c>
      <c r="V6900" s="2">
        <v>420</v>
      </c>
      <c r="W6900" t="s">
        <v>4655</v>
      </c>
      <c r="X6900" s="2">
        <v>0</v>
      </c>
      <c r="Y6900">
        <v>20</v>
      </c>
      <c r="Z6900" t="s">
        <v>1604</v>
      </c>
      <c r="AA6900" s="3">
        <v>0.31317722797393799</v>
      </c>
      <c r="AB6900" t="s">
        <v>32861</v>
      </c>
      <c r="AC6900" t="s">
        <v>4575</v>
      </c>
      <c r="AD6900" t="s">
        <v>32860</v>
      </c>
      <c r="AE6900" t="s">
        <v>4655</v>
      </c>
      <c r="AF6900" t="s">
        <v>5201</v>
      </c>
      <c r="AG6900" t="s">
        <v>4564</v>
      </c>
      <c r="AH6900" t="s">
        <v>1605</v>
      </c>
      <c r="AI6900" t="s">
        <v>32862</v>
      </c>
      <c r="AJ6900" t="s">
        <v>527</v>
      </c>
      <c r="AK6900" t="s">
        <v>32863</v>
      </c>
      <c r="AL6900" s="13" t="s">
        <v>1899</v>
      </c>
      <c r="AM6900" s="14">
        <v>1</v>
      </c>
      <c r="AN6900" s="15" t="s">
        <v>610</v>
      </c>
    </row>
    <row r="6901" spans="1:40" x14ac:dyDescent="0.3">
      <c r="A6901" s="10" t="str">
        <f>HYPERLINK("http://www.washoecounty.gov/assessor/cama/?parid=510-472-15&amp;CardNumber=1","510-472-15")</f>
        <v>510-472-15</v>
      </c>
      <c r="B6901" t="s">
        <v>4655</v>
      </c>
      <c r="C6901" t="s">
        <v>32864</v>
      </c>
      <c r="D6901" s="1">
        <v>40234</v>
      </c>
      <c r="E6901" s="2">
        <v>236501</v>
      </c>
      <c r="F6901" t="s">
        <v>4567</v>
      </c>
      <c r="G6901" s="17" t="str">
        <f>HYPERLINK("https://www.washoecounty.gov/assessor/cama/?command=sales&amp;parid=51047215","3852836")</f>
        <v>3852836</v>
      </c>
      <c r="H6901" t="s">
        <v>525</v>
      </c>
      <c r="I6901">
        <v>2009</v>
      </c>
      <c r="J6901">
        <v>2009</v>
      </c>
      <c r="K6901" t="s">
        <v>4554</v>
      </c>
      <c r="L6901" t="s">
        <v>4555</v>
      </c>
      <c r="M6901" s="2">
        <v>1932</v>
      </c>
      <c r="N6901" t="s">
        <v>5280</v>
      </c>
      <c r="O6901">
        <v>3</v>
      </c>
      <c r="P6901">
        <v>2</v>
      </c>
      <c r="Q6901">
        <v>1</v>
      </c>
      <c r="R6901" t="s">
        <v>5281</v>
      </c>
      <c r="S6901" t="s">
        <v>4898</v>
      </c>
      <c r="T6901" t="s">
        <v>2704</v>
      </c>
      <c r="U6901" t="s">
        <v>4560</v>
      </c>
      <c r="V6901" s="2">
        <v>424</v>
      </c>
      <c r="W6901" t="s">
        <v>4655</v>
      </c>
      <c r="X6901" s="2">
        <v>0</v>
      </c>
      <c r="Y6901">
        <v>20</v>
      </c>
      <c r="Z6901" t="s">
        <v>1604</v>
      </c>
      <c r="AA6901" s="3">
        <v>0.137741044163704</v>
      </c>
      <c r="AB6901" t="s">
        <v>32865</v>
      </c>
      <c r="AC6901" t="s">
        <v>4562</v>
      </c>
      <c r="AD6901" t="s">
        <v>32864</v>
      </c>
      <c r="AE6901" t="s">
        <v>4655</v>
      </c>
      <c r="AF6901" t="s">
        <v>5201</v>
      </c>
      <c r="AG6901" t="s">
        <v>4564</v>
      </c>
      <c r="AH6901" t="s">
        <v>1605</v>
      </c>
      <c r="AI6901" t="s">
        <v>526</v>
      </c>
      <c r="AJ6901" t="s">
        <v>527</v>
      </c>
      <c r="AK6901" t="s">
        <v>32866</v>
      </c>
      <c r="AL6901" s="13" t="s">
        <v>1899</v>
      </c>
      <c r="AM6901" s="14">
        <v>1</v>
      </c>
      <c r="AN6901" s="15" t="s">
        <v>610</v>
      </c>
    </row>
    <row r="6902" spans="1:40" x14ac:dyDescent="0.3">
      <c r="A6902" s="10" t="str">
        <f>HYPERLINK("http://www.washoecounty.gov/assessor/cama/?parid=510-472-16&amp;CardNumber=1","510-472-16")</f>
        <v>510-472-16</v>
      </c>
      <c r="B6902" t="s">
        <v>4655</v>
      </c>
      <c r="C6902" t="s">
        <v>32867</v>
      </c>
      <c r="D6902" s="1">
        <v>40248</v>
      </c>
      <c r="E6902" s="2">
        <v>245399</v>
      </c>
      <c r="F6902" t="s">
        <v>4567</v>
      </c>
      <c r="G6902" s="17" t="str">
        <f>HYPERLINK("https://www.washoecounty.gov/assessor/cama/?command=sales&amp;parid=51047216","3858746")</f>
        <v>3858746</v>
      </c>
      <c r="H6902" t="s">
        <v>525</v>
      </c>
      <c r="I6902">
        <v>2009</v>
      </c>
      <c r="J6902">
        <v>2009</v>
      </c>
      <c r="K6902" t="s">
        <v>4554</v>
      </c>
      <c r="L6902" t="s">
        <v>4555</v>
      </c>
      <c r="M6902" s="2">
        <v>2070</v>
      </c>
      <c r="N6902" t="s">
        <v>5280</v>
      </c>
      <c r="O6902">
        <v>3</v>
      </c>
      <c r="P6902">
        <v>2</v>
      </c>
      <c r="Q6902">
        <v>1</v>
      </c>
      <c r="R6902" t="s">
        <v>5281</v>
      </c>
      <c r="S6902" t="s">
        <v>4898</v>
      </c>
      <c r="T6902" t="s">
        <v>2704</v>
      </c>
      <c r="U6902" t="s">
        <v>4560</v>
      </c>
      <c r="V6902" s="2">
        <v>420</v>
      </c>
      <c r="W6902" t="s">
        <v>4655</v>
      </c>
      <c r="X6902" s="2">
        <v>0</v>
      </c>
      <c r="Y6902">
        <v>20</v>
      </c>
      <c r="Z6902" t="s">
        <v>1604</v>
      </c>
      <c r="AA6902" s="3">
        <v>0.140748396515846</v>
      </c>
      <c r="AB6902" t="s">
        <v>25576</v>
      </c>
      <c r="AC6902" t="s">
        <v>4575</v>
      </c>
      <c r="AD6902" t="s">
        <v>32867</v>
      </c>
      <c r="AE6902" t="s">
        <v>4655</v>
      </c>
      <c r="AF6902" t="s">
        <v>5201</v>
      </c>
      <c r="AG6902" t="s">
        <v>4564</v>
      </c>
      <c r="AH6902" t="s">
        <v>1605</v>
      </c>
      <c r="AI6902" t="s">
        <v>526</v>
      </c>
      <c r="AJ6902" t="s">
        <v>527</v>
      </c>
      <c r="AK6902" t="s">
        <v>32868</v>
      </c>
      <c r="AL6902" s="13" t="s">
        <v>1899</v>
      </c>
      <c r="AM6902" s="14">
        <v>1</v>
      </c>
      <c r="AN6902" s="15" t="s">
        <v>610</v>
      </c>
    </row>
    <row r="6903" spans="1:40" x14ac:dyDescent="0.3">
      <c r="A6903" s="10" t="str">
        <f>HYPERLINK("http://www.washoecounty.gov/assessor/cama/?parid=510-472-17&amp;CardNumber=1","510-472-17")</f>
        <v>510-472-17</v>
      </c>
      <c r="B6903" t="s">
        <v>4655</v>
      </c>
      <c r="C6903" t="s">
        <v>32869</v>
      </c>
      <c r="D6903" s="1">
        <v>40298</v>
      </c>
      <c r="E6903" s="2">
        <v>230750</v>
      </c>
      <c r="F6903" t="s">
        <v>4567</v>
      </c>
      <c r="G6903" s="17" t="str">
        <f>HYPERLINK("https://www.washoecounty.gov/assessor/cama/?command=sales&amp;parid=51047217","3876944")</f>
        <v>3876944</v>
      </c>
      <c r="H6903" t="s">
        <v>525</v>
      </c>
      <c r="I6903">
        <v>2009</v>
      </c>
      <c r="J6903">
        <v>2009</v>
      </c>
      <c r="K6903" t="s">
        <v>4554</v>
      </c>
      <c r="L6903" t="s">
        <v>4555</v>
      </c>
      <c r="M6903" s="2">
        <v>1932</v>
      </c>
      <c r="N6903" t="s">
        <v>5280</v>
      </c>
      <c r="O6903">
        <v>3</v>
      </c>
      <c r="P6903">
        <v>2</v>
      </c>
      <c r="Q6903">
        <v>1</v>
      </c>
      <c r="R6903" t="s">
        <v>5281</v>
      </c>
      <c r="S6903" t="s">
        <v>4898</v>
      </c>
      <c r="T6903" t="s">
        <v>2704</v>
      </c>
      <c r="U6903" t="s">
        <v>4560</v>
      </c>
      <c r="V6903" s="2">
        <v>424</v>
      </c>
      <c r="W6903" t="s">
        <v>4655</v>
      </c>
      <c r="X6903" s="2">
        <v>0</v>
      </c>
      <c r="Y6903">
        <v>20</v>
      </c>
      <c r="Z6903" t="s">
        <v>1604</v>
      </c>
      <c r="AA6903" s="3">
        <v>0.14781910181045499</v>
      </c>
      <c r="AB6903" t="s">
        <v>32870</v>
      </c>
      <c r="AC6903" t="s">
        <v>4562</v>
      </c>
      <c r="AD6903" t="s">
        <v>32871</v>
      </c>
      <c r="AE6903" t="s">
        <v>4655</v>
      </c>
      <c r="AF6903" t="s">
        <v>5201</v>
      </c>
      <c r="AG6903" t="s">
        <v>4564</v>
      </c>
      <c r="AH6903" t="s">
        <v>4126</v>
      </c>
      <c r="AI6903" t="s">
        <v>526</v>
      </c>
      <c r="AJ6903" t="s">
        <v>527</v>
      </c>
      <c r="AK6903" t="s">
        <v>32872</v>
      </c>
      <c r="AL6903" s="13" t="s">
        <v>1899</v>
      </c>
      <c r="AM6903" s="14">
        <v>1</v>
      </c>
      <c r="AN6903" s="15" t="s">
        <v>610</v>
      </c>
    </row>
    <row r="6904" spans="1:40" x14ac:dyDescent="0.3">
      <c r="A6904" s="10" t="str">
        <f>HYPERLINK("http://www.washoecounty.gov/assessor/cama/?parid=510-481-07&amp;CardNumber=1","510-481-07")</f>
        <v>510-481-07</v>
      </c>
      <c r="B6904" t="s">
        <v>4655</v>
      </c>
      <c r="C6904" t="s">
        <v>1725</v>
      </c>
      <c r="D6904" s="1">
        <v>40382</v>
      </c>
      <c r="E6904" s="2">
        <v>935000</v>
      </c>
      <c r="F6904" t="s">
        <v>4187</v>
      </c>
      <c r="G6904" s="17" t="str">
        <f>HYPERLINK("https://www.washoecounty.gov/assessor/cama/?command=sales&amp;parid=51048107","3904374")</f>
        <v>3904374</v>
      </c>
      <c r="H6904" t="s">
        <v>1726</v>
      </c>
      <c r="I6904">
        <v>2011</v>
      </c>
      <c r="J6904">
        <v>2011</v>
      </c>
      <c r="K6904" t="s">
        <v>3210</v>
      </c>
      <c r="L6904" t="s">
        <v>1366</v>
      </c>
      <c r="M6904" s="2">
        <v>7736</v>
      </c>
      <c r="N6904" t="s">
        <v>4580</v>
      </c>
      <c r="O6904">
        <v>0</v>
      </c>
      <c r="P6904">
        <v>0</v>
      </c>
      <c r="Q6904">
        <v>0</v>
      </c>
      <c r="R6904" t="s">
        <v>3211</v>
      </c>
      <c r="S6904" t="s">
        <v>302</v>
      </c>
      <c r="T6904" t="s">
        <v>4655</v>
      </c>
      <c r="U6904" t="s">
        <v>4655</v>
      </c>
      <c r="V6904" s="2">
        <v>0</v>
      </c>
      <c r="W6904" t="s">
        <v>4655</v>
      </c>
      <c r="X6904" s="2">
        <v>0</v>
      </c>
      <c r="Y6904">
        <v>14</v>
      </c>
      <c r="Z6904" t="s">
        <v>2048</v>
      </c>
      <c r="AA6904" s="3">
        <v>1.3688935041427599</v>
      </c>
      <c r="AB6904" t="s">
        <v>5520</v>
      </c>
      <c r="AC6904" t="s">
        <v>4562</v>
      </c>
      <c r="AD6904" t="s">
        <v>32873</v>
      </c>
      <c r="AE6904" t="s">
        <v>32874</v>
      </c>
      <c r="AF6904" t="s">
        <v>32875</v>
      </c>
      <c r="AG6904" t="s">
        <v>1049</v>
      </c>
      <c r="AH6904">
        <v>30721</v>
      </c>
      <c r="AI6904" t="s">
        <v>1727</v>
      </c>
      <c r="AJ6904" t="s">
        <v>4571</v>
      </c>
      <c r="AK6904" t="s">
        <v>1728</v>
      </c>
      <c r="AL6904" s="13" t="s">
        <v>1899</v>
      </c>
      <c r="AM6904" s="14">
        <v>1</v>
      </c>
      <c r="AN6904" s="15" t="s">
        <v>3005</v>
      </c>
    </row>
    <row r="6905" spans="1:40" x14ac:dyDescent="0.3">
      <c r="A6905" s="10" t="str">
        <f>HYPERLINK("http://www.washoecounty.gov/assessor/cama/?parid=510-491-08&amp;CardNumber=1","510-491-08")</f>
        <v>510-491-08</v>
      </c>
      <c r="B6905" t="s">
        <v>4655</v>
      </c>
      <c r="C6905" t="s">
        <v>32876</v>
      </c>
      <c r="D6905" s="1">
        <v>40213</v>
      </c>
      <c r="E6905" s="2">
        <v>706248</v>
      </c>
      <c r="F6905" t="s">
        <v>4201</v>
      </c>
      <c r="G6905" s="17" t="str">
        <f>HYPERLINK("https://www.washoecounty.gov/assessor/cama/?command=sales&amp;parid=51049108","3846043")</f>
        <v>3846043</v>
      </c>
      <c r="H6905" t="s">
        <v>5346</v>
      </c>
      <c r="I6905">
        <v>2010</v>
      </c>
      <c r="J6905">
        <v>2010</v>
      </c>
      <c r="K6905" t="s">
        <v>3210</v>
      </c>
      <c r="L6905" t="s">
        <v>1366</v>
      </c>
      <c r="M6905" s="2">
        <v>11696</v>
      </c>
      <c r="N6905" t="s">
        <v>4580</v>
      </c>
      <c r="O6905">
        <v>0</v>
      </c>
      <c r="P6905">
        <v>0</v>
      </c>
      <c r="Q6905">
        <v>0</v>
      </c>
      <c r="R6905" t="s">
        <v>3211</v>
      </c>
      <c r="S6905" t="s">
        <v>3040</v>
      </c>
      <c r="T6905" t="s">
        <v>4655</v>
      </c>
      <c r="U6905" t="s">
        <v>4655</v>
      </c>
      <c r="V6905" s="2">
        <v>0</v>
      </c>
      <c r="W6905" t="s">
        <v>4655</v>
      </c>
      <c r="X6905" s="2">
        <v>0</v>
      </c>
      <c r="Y6905">
        <v>40</v>
      </c>
      <c r="Z6905" t="s">
        <v>2048</v>
      </c>
      <c r="AA6905" s="3">
        <v>1.5843434333801201</v>
      </c>
      <c r="AB6905" t="s">
        <v>32877</v>
      </c>
      <c r="AC6905" t="s">
        <v>4562</v>
      </c>
      <c r="AD6905" t="s">
        <v>32878</v>
      </c>
      <c r="AE6905" t="s">
        <v>4655</v>
      </c>
      <c r="AF6905" t="s">
        <v>24255</v>
      </c>
      <c r="AG6905" t="s">
        <v>1434</v>
      </c>
      <c r="AH6905">
        <v>97708</v>
      </c>
      <c r="AI6905" t="s">
        <v>3706</v>
      </c>
      <c r="AJ6905" t="s">
        <v>32879</v>
      </c>
      <c r="AK6905" t="s">
        <v>32880</v>
      </c>
      <c r="AL6905" s="13" t="s">
        <v>1899</v>
      </c>
      <c r="AM6905">
        <v>1</v>
      </c>
      <c r="AN6905" s="15" t="s">
        <v>3005</v>
      </c>
    </row>
    <row r="6906" spans="1:40" x14ac:dyDescent="0.3">
      <c r="A6906" s="10" t="str">
        <f>HYPERLINK("http://www.washoecounty.gov/assessor/cama/?parid=510-522-37&amp;CardNumber=1","510-522-37")</f>
        <v>510-522-37</v>
      </c>
      <c r="B6906" t="s">
        <v>4655</v>
      </c>
      <c r="C6906" t="s">
        <v>32881</v>
      </c>
      <c r="D6906" s="1">
        <v>40487</v>
      </c>
      <c r="E6906" s="2">
        <v>155000</v>
      </c>
      <c r="F6906" t="s">
        <v>4567</v>
      </c>
      <c r="G6906" s="17" t="str">
        <f>HYPERLINK("https://www.washoecounty.gov/assessor/cama/?command=sales&amp;parid=51052237","3940595")</f>
        <v>3940595</v>
      </c>
      <c r="H6906" t="s">
        <v>1021</v>
      </c>
      <c r="I6906">
        <v>2006</v>
      </c>
      <c r="J6906">
        <v>2006</v>
      </c>
      <c r="K6906" t="s">
        <v>4554</v>
      </c>
      <c r="L6906" t="s">
        <v>3974</v>
      </c>
      <c r="M6906" s="2">
        <v>1732</v>
      </c>
      <c r="N6906" t="s">
        <v>5280</v>
      </c>
      <c r="O6906">
        <v>2</v>
      </c>
      <c r="P6906">
        <v>2</v>
      </c>
      <c r="Q6906">
        <v>1</v>
      </c>
      <c r="R6906" t="s">
        <v>5281</v>
      </c>
      <c r="S6906" t="s">
        <v>4898</v>
      </c>
      <c r="T6906" t="s">
        <v>4559</v>
      </c>
      <c r="U6906" t="s">
        <v>4560</v>
      </c>
      <c r="V6906" s="2">
        <v>498</v>
      </c>
      <c r="W6906" t="s">
        <v>4655</v>
      </c>
      <c r="X6906" s="2">
        <v>0</v>
      </c>
      <c r="Y6906">
        <v>20</v>
      </c>
      <c r="Z6906" t="s">
        <v>1604</v>
      </c>
      <c r="AA6906" s="3">
        <v>5.3971532732248299E-2</v>
      </c>
      <c r="AB6906" t="s">
        <v>32882</v>
      </c>
      <c r="AC6906" t="s">
        <v>4562</v>
      </c>
      <c r="AD6906" t="s">
        <v>32881</v>
      </c>
      <c r="AE6906" t="s">
        <v>4655</v>
      </c>
      <c r="AF6906" t="s">
        <v>5201</v>
      </c>
      <c r="AG6906" t="s">
        <v>4564</v>
      </c>
      <c r="AH6906" t="s">
        <v>1605</v>
      </c>
      <c r="AI6906" t="s">
        <v>32883</v>
      </c>
      <c r="AJ6906" t="s">
        <v>1022</v>
      </c>
      <c r="AK6906" t="s">
        <v>32884</v>
      </c>
      <c r="AL6906" s="13" t="s">
        <v>1899</v>
      </c>
      <c r="AM6906">
        <v>1</v>
      </c>
      <c r="AN6906" s="15" t="s">
        <v>1023</v>
      </c>
    </row>
    <row r="6907" spans="1:40" x14ac:dyDescent="0.3">
      <c r="A6907" s="10" t="str">
        <f>HYPERLINK("http://www.washoecounty.gov/assessor/cama/?parid=510-532-08&amp;CardNumber=1","510-532-08")</f>
        <v>510-532-08</v>
      </c>
      <c r="B6907" t="s">
        <v>4655</v>
      </c>
      <c r="C6907" t="s">
        <v>32885</v>
      </c>
      <c r="D6907" s="1">
        <v>40479</v>
      </c>
      <c r="E6907" s="2">
        <v>177000</v>
      </c>
      <c r="F6907" t="s">
        <v>4553</v>
      </c>
      <c r="G6907" s="17" t="str">
        <f>HYPERLINK("https://www.washoecounty.gov/assessor/cama/?command=sales&amp;parid=51053208","3937663")</f>
        <v>3937663</v>
      </c>
      <c r="H6907" t="s">
        <v>1021</v>
      </c>
      <c r="I6907">
        <v>2005</v>
      </c>
      <c r="J6907">
        <v>2005</v>
      </c>
      <c r="K6907" t="s">
        <v>4554</v>
      </c>
      <c r="L6907" t="s">
        <v>3974</v>
      </c>
      <c r="M6907" s="2">
        <v>1732</v>
      </c>
      <c r="N6907" t="s">
        <v>5280</v>
      </c>
      <c r="O6907">
        <v>2</v>
      </c>
      <c r="P6907">
        <v>2</v>
      </c>
      <c r="Q6907">
        <v>1</v>
      </c>
      <c r="R6907" t="s">
        <v>5281</v>
      </c>
      <c r="S6907" t="s">
        <v>4898</v>
      </c>
      <c r="T6907" t="s">
        <v>4559</v>
      </c>
      <c r="U6907" t="s">
        <v>4560</v>
      </c>
      <c r="V6907" s="2">
        <v>498</v>
      </c>
      <c r="W6907" t="s">
        <v>4655</v>
      </c>
      <c r="X6907" s="2">
        <v>0</v>
      </c>
      <c r="Y6907">
        <v>20</v>
      </c>
      <c r="Z6907" t="s">
        <v>1604</v>
      </c>
      <c r="AA6907" s="3">
        <v>0.104958675801754</v>
      </c>
      <c r="AB6907" t="s">
        <v>32886</v>
      </c>
      <c r="AC6907" t="s">
        <v>4575</v>
      </c>
      <c r="AD6907" t="s">
        <v>32887</v>
      </c>
      <c r="AE6907" t="s">
        <v>4655</v>
      </c>
      <c r="AF6907" t="s">
        <v>4809</v>
      </c>
      <c r="AG6907" t="s">
        <v>4564</v>
      </c>
      <c r="AH6907" t="s">
        <v>1605</v>
      </c>
      <c r="AI6907" t="s">
        <v>601</v>
      </c>
      <c r="AJ6907" t="s">
        <v>1022</v>
      </c>
      <c r="AK6907" t="s">
        <v>32888</v>
      </c>
      <c r="AL6907" s="13" t="s">
        <v>1899</v>
      </c>
      <c r="AM6907" s="14">
        <v>1</v>
      </c>
      <c r="AN6907" s="15" t="s">
        <v>1023</v>
      </c>
    </row>
    <row r="6908" spans="1:40" x14ac:dyDescent="0.3">
      <c r="A6908" s="10" t="str">
        <f>HYPERLINK("http://www.washoecounty.gov/assessor/cama/?parid=510-551-08&amp;CardNumber=1","510-551-08")</f>
        <v>510-551-08</v>
      </c>
      <c r="B6908" t="s">
        <v>4655</v>
      </c>
      <c r="C6908" t="s">
        <v>32889</v>
      </c>
      <c r="D6908" s="1">
        <v>40235</v>
      </c>
      <c r="E6908" s="2">
        <v>170000</v>
      </c>
      <c r="F6908" t="s">
        <v>4567</v>
      </c>
      <c r="G6908" s="17" t="str">
        <f>HYPERLINK("https://www.washoecounty.gov/assessor/cama/?command=sales&amp;parid=51055108","3853171")</f>
        <v>3853171</v>
      </c>
      <c r="H6908" t="s">
        <v>5193</v>
      </c>
      <c r="I6908">
        <v>2006</v>
      </c>
      <c r="J6908">
        <v>2006</v>
      </c>
      <c r="K6908" t="s">
        <v>4554</v>
      </c>
      <c r="L6908" t="s">
        <v>4555</v>
      </c>
      <c r="M6908" s="2">
        <v>1656</v>
      </c>
      <c r="N6908" t="s">
        <v>5280</v>
      </c>
      <c r="O6908">
        <v>3</v>
      </c>
      <c r="P6908">
        <v>2</v>
      </c>
      <c r="Q6908">
        <v>0</v>
      </c>
      <c r="R6908" t="s">
        <v>5281</v>
      </c>
      <c r="S6908" t="s">
        <v>4898</v>
      </c>
      <c r="T6908" t="s">
        <v>2704</v>
      </c>
      <c r="U6908" t="s">
        <v>4560</v>
      </c>
      <c r="V6908" s="2">
        <v>462</v>
      </c>
      <c r="W6908" t="s">
        <v>4655</v>
      </c>
      <c r="X6908" s="2">
        <v>0</v>
      </c>
      <c r="Y6908">
        <v>20</v>
      </c>
      <c r="Z6908" t="s">
        <v>2048</v>
      </c>
      <c r="AA6908" s="3">
        <v>0.15569329261779785</v>
      </c>
      <c r="AB6908" t="s">
        <v>32890</v>
      </c>
      <c r="AC6908" t="s">
        <v>4575</v>
      </c>
      <c r="AD6908" t="s">
        <v>32891</v>
      </c>
      <c r="AE6908" t="s">
        <v>4655</v>
      </c>
      <c r="AF6908" t="s">
        <v>3815</v>
      </c>
      <c r="AG6908" t="s">
        <v>4564</v>
      </c>
      <c r="AH6908" t="s">
        <v>3816</v>
      </c>
      <c r="AI6908" t="s">
        <v>32892</v>
      </c>
      <c r="AJ6908" t="s">
        <v>5194</v>
      </c>
      <c r="AK6908" t="s">
        <v>32893</v>
      </c>
      <c r="AL6908" s="13" t="s">
        <v>1899</v>
      </c>
      <c r="AM6908">
        <v>1</v>
      </c>
      <c r="AN6908" s="15" t="s">
        <v>613</v>
      </c>
    </row>
    <row r="6909" spans="1:40" x14ac:dyDescent="0.3">
      <c r="A6909" s="10" t="str">
        <f>HYPERLINK("http://www.washoecounty.gov/assessor/cama/?parid=510-551-15&amp;CardNumber=1","510-551-15")</f>
        <v>510-551-15</v>
      </c>
      <c r="B6909" t="s">
        <v>4655</v>
      </c>
      <c r="C6909" t="s">
        <v>32894</v>
      </c>
      <c r="D6909" s="1">
        <v>40256</v>
      </c>
      <c r="E6909" s="2">
        <v>191000</v>
      </c>
      <c r="F6909" t="s">
        <v>4553</v>
      </c>
      <c r="G6909" s="17" t="str">
        <f>HYPERLINK("https://www.washoecounty.gov/assessor/cama/?command=sales&amp;parid=51055115","3861484")</f>
        <v>3861484</v>
      </c>
      <c r="H6909" t="s">
        <v>5193</v>
      </c>
      <c r="I6909">
        <v>2006</v>
      </c>
      <c r="J6909">
        <v>2006</v>
      </c>
      <c r="K6909" t="s">
        <v>4554</v>
      </c>
      <c r="L6909" t="s">
        <v>3974</v>
      </c>
      <c r="M6909" s="2">
        <v>2598</v>
      </c>
      <c r="N6909" t="s">
        <v>5280</v>
      </c>
      <c r="O6909">
        <v>4</v>
      </c>
      <c r="P6909">
        <v>3</v>
      </c>
      <c r="Q6909">
        <v>0</v>
      </c>
      <c r="R6909" t="s">
        <v>5281</v>
      </c>
      <c r="S6909" t="s">
        <v>4898</v>
      </c>
      <c r="T6909" t="s">
        <v>2704</v>
      </c>
      <c r="U6909" t="s">
        <v>4560</v>
      </c>
      <c r="V6909" s="2">
        <v>528</v>
      </c>
      <c r="W6909" t="s">
        <v>4655</v>
      </c>
      <c r="X6909" s="2">
        <v>0</v>
      </c>
      <c r="Y6909">
        <v>20</v>
      </c>
      <c r="Z6909" t="s">
        <v>2048</v>
      </c>
      <c r="AA6909" s="3">
        <v>0.118640951812267</v>
      </c>
      <c r="AB6909" t="s">
        <v>32895</v>
      </c>
      <c r="AC6909" t="s">
        <v>4562</v>
      </c>
      <c r="AD6909" t="s">
        <v>32894</v>
      </c>
      <c r="AE6909" t="s">
        <v>4655</v>
      </c>
      <c r="AF6909" t="s">
        <v>5201</v>
      </c>
      <c r="AG6909" t="s">
        <v>4564</v>
      </c>
      <c r="AH6909" t="s">
        <v>1605</v>
      </c>
      <c r="AI6909" t="s">
        <v>4903</v>
      </c>
      <c r="AJ6909" t="s">
        <v>5194</v>
      </c>
      <c r="AK6909" t="s">
        <v>32896</v>
      </c>
      <c r="AL6909" s="13" t="s">
        <v>1899</v>
      </c>
      <c r="AM6909">
        <v>1</v>
      </c>
      <c r="AN6909" s="15" t="s">
        <v>613</v>
      </c>
    </row>
    <row r="6910" spans="1:40" x14ac:dyDescent="0.3">
      <c r="A6910" s="10" t="str">
        <f>HYPERLINK("http://www.washoecounty.gov/assessor/cama/?parid=510-552-08&amp;CardNumber=1","510-552-08")</f>
        <v>510-552-08</v>
      </c>
      <c r="B6910" t="s">
        <v>4655</v>
      </c>
      <c r="C6910" t="s">
        <v>32897</v>
      </c>
      <c r="D6910" s="1">
        <v>40492</v>
      </c>
      <c r="E6910" s="2">
        <v>180000</v>
      </c>
      <c r="F6910" t="s">
        <v>4567</v>
      </c>
      <c r="G6910" s="17" t="str">
        <f>HYPERLINK("https://www.washoecounty.gov/assessor/cama/?command=sales&amp;parid=51055208","3941598")</f>
        <v>3941598</v>
      </c>
      <c r="H6910" t="s">
        <v>5193</v>
      </c>
      <c r="I6910">
        <v>2006</v>
      </c>
      <c r="J6910">
        <v>2006</v>
      </c>
      <c r="K6910" t="s">
        <v>4554</v>
      </c>
      <c r="L6910" t="s">
        <v>4555</v>
      </c>
      <c r="M6910" s="2">
        <v>1656</v>
      </c>
      <c r="N6910" t="s">
        <v>5280</v>
      </c>
      <c r="O6910">
        <v>3</v>
      </c>
      <c r="P6910">
        <v>2</v>
      </c>
      <c r="Q6910">
        <v>0</v>
      </c>
      <c r="R6910" t="s">
        <v>5281</v>
      </c>
      <c r="S6910" t="s">
        <v>4898</v>
      </c>
      <c r="T6910" t="s">
        <v>2704</v>
      </c>
      <c r="U6910" t="s">
        <v>4560</v>
      </c>
      <c r="V6910" s="2">
        <v>462</v>
      </c>
      <c r="W6910" t="s">
        <v>4655</v>
      </c>
      <c r="X6910" s="2">
        <v>0</v>
      </c>
      <c r="Y6910">
        <v>20</v>
      </c>
      <c r="Z6910" t="s">
        <v>2048</v>
      </c>
      <c r="AA6910" s="3">
        <v>0.17842057347297699</v>
      </c>
      <c r="AB6910" t="s">
        <v>32898</v>
      </c>
      <c r="AC6910" t="s">
        <v>4562</v>
      </c>
      <c r="AD6910" t="s">
        <v>32899</v>
      </c>
      <c r="AE6910" t="s">
        <v>4655</v>
      </c>
      <c r="AF6910" t="s">
        <v>5201</v>
      </c>
      <c r="AG6910" t="s">
        <v>4564</v>
      </c>
      <c r="AH6910" t="s">
        <v>5202</v>
      </c>
      <c r="AI6910" t="s">
        <v>32898</v>
      </c>
      <c r="AJ6910" t="s">
        <v>5194</v>
      </c>
      <c r="AK6910" t="s">
        <v>32900</v>
      </c>
      <c r="AL6910" s="13" t="s">
        <v>1899</v>
      </c>
      <c r="AM6910">
        <v>1</v>
      </c>
      <c r="AN6910" s="15" t="s">
        <v>613</v>
      </c>
    </row>
    <row r="6911" spans="1:40" x14ac:dyDescent="0.3">
      <c r="A6911" s="10" t="str">
        <f>HYPERLINK("http://www.washoecounty.gov/assessor/cama/?parid=510-572-02&amp;CardNumber=1","510-572-02")</f>
        <v>510-572-02</v>
      </c>
      <c r="B6911" t="s">
        <v>4655</v>
      </c>
      <c r="C6911" t="s">
        <v>32901</v>
      </c>
      <c r="D6911" s="1">
        <v>40361</v>
      </c>
      <c r="E6911" s="2">
        <v>125000</v>
      </c>
      <c r="F6911" t="s">
        <v>4567</v>
      </c>
      <c r="G6911" s="17" t="str">
        <f>HYPERLINK("https://www.washoecounty.gov/assessor/cama/?command=sales&amp;parid=51057202","3898191")</f>
        <v>3898191</v>
      </c>
      <c r="H6911" t="s">
        <v>633</v>
      </c>
      <c r="I6911">
        <v>2006</v>
      </c>
      <c r="J6911">
        <v>2006</v>
      </c>
      <c r="K6911" t="s">
        <v>4897</v>
      </c>
      <c r="L6911" t="s">
        <v>4555</v>
      </c>
      <c r="M6911" s="2">
        <v>1316</v>
      </c>
      <c r="N6911" t="s">
        <v>5280</v>
      </c>
      <c r="O6911">
        <v>2</v>
      </c>
      <c r="P6911">
        <v>2</v>
      </c>
      <c r="Q6911">
        <v>0</v>
      </c>
      <c r="R6911" t="s">
        <v>5281</v>
      </c>
      <c r="S6911" t="s">
        <v>4135</v>
      </c>
      <c r="T6911" t="s">
        <v>2704</v>
      </c>
      <c r="U6911" t="s">
        <v>5631</v>
      </c>
      <c r="V6911" s="2">
        <v>300</v>
      </c>
      <c r="W6911" t="s">
        <v>4655</v>
      </c>
      <c r="X6911" s="2">
        <v>0</v>
      </c>
      <c r="Y6911">
        <v>21</v>
      </c>
      <c r="Z6911" t="s">
        <v>2048</v>
      </c>
      <c r="AA6911" s="3">
        <v>3.5629019141197198E-2</v>
      </c>
      <c r="AB6911" t="s">
        <v>32902</v>
      </c>
      <c r="AC6911" t="s">
        <v>4575</v>
      </c>
      <c r="AD6911" t="s">
        <v>32903</v>
      </c>
      <c r="AE6911" t="s">
        <v>32901</v>
      </c>
      <c r="AF6911" t="s">
        <v>5201</v>
      </c>
      <c r="AG6911" t="s">
        <v>4564</v>
      </c>
      <c r="AH6911" t="s">
        <v>1605</v>
      </c>
      <c r="AI6911" t="s">
        <v>32904</v>
      </c>
      <c r="AJ6911" t="s">
        <v>217</v>
      </c>
      <c r="AK6911" t="s">
        <v>32905</v>
      </c>
      <c r="AL6911" s="13" t="s">
        <v>1899</v>
      </c>
      <c r="AM6911" s="14">
        <v>1</v>
      </c>
      <c r="AN6911" s="15" t="s">
        <v>218</v>
      </c>
    </row>
    <row r="6912" spans="1:40" x14ac:dyDescent="0.3">
      <c r="A6912" s="10" t="str">
        <f>HYPERLINK("http://www.washoecounty.gov/assessor/cama/?parid=510-572-09&amp;CardNumber=1","510-572-09")</f>
        <v>510-572-09</v>
      </c>
      <c r="B6912" t="s">
        <v>4655</v>
      </c>
      <c r="C6912" t="s">
        <v>32906</v>
      </c>
      <c r="D6912" s="1">
        <v>40479</v>
      </c>
      <c r="E6912" s="2">
        <v>133000</v>
      </c>
      <c r="F6912" t="s">
        <v>4567</v>
      </c>
      <c r="G6912" s="17" t="str">
        <f>HYPERLINK("https://www.washoecounty.gov/assessor/cama/?command=sales&amp;parid=51057209","3937906")</f>
        <v>3937906</v>
      </c>
      <c r="H6912" t="s">
        <v>633</v>
      </c>
      <c r="I6912">
        <v>2006</v>
      </c>
      <c r="J6912">
        <v>2006</v>
      </c>
      <c r="K6912" t="s">
        <v>4897</v>
      </c>
      <c r="L6912" t="s">
        <v>4555</v>
      </c>
      <c r="M6912" s="2">
        <v>1619</v>
      </c>
      <c r="N6912" t="s">
        <v>5280</v>
      </c>
      <c r="O6912">
        <v>3</v>
      </c>
      <c r="P6912">
        <v>2</v>
      </c>
      <c r="Q6912">
        <v>0</v>
      </c>
      <c r="R6912" t="s">
        <v>5281</v>
      </c>
      <c r="S6912" t="s">
        <v>4135</v>
      </c>
      <c r="T6912" t="s">
        <v>2704</v>
      </c>
      <c r="U6912" t="s">
        <v>4560</v>
      </c>
      <c r="V6912" s="2">
        <v>264</v>
      </c>
      <c r="W6912" t="s">
        <v>4655</v>
      </c>
      <c r="X6912" s="2">
        <v>0</v>
      </c>
      <c r="Y6912">
        <v>21</v>
      </c>
      <c r="Z6912" t="s">
        <v>2048</v>
      </c>
      <c r="AA6912" s="3">
        <v>4.08402197062969E-2</v>
      </c>
      <c r="AB6912" t="s">
        <v>32907</v>
      </c>
      <c r="AC6912" t="s">
        <v>4562</v>
      </c>
      <c r="AD6912" t="s">
        <v>32908</v>
      </c>
      <c r="AE6912" t="s">
        <v>4655</v>
      </c>
      <c r="AF6912" t="s">
        <v>32909</v>
      </c>
      <c r="AG6912" t="s">
        <v>4584</v>
      </c>
      <c r="AH6912" t="s">
        <v>21081</v>
      </c>
      <c r="AI6912" t="s">
        <v>32910</v>
      </c>
      <c r="AJ6912" t="s">
        <v>217</v>
      </c>
      <c r="AK6912" t="s">
        <v>32911</v>
      </c>
      <c r="AL6912" s="13" t="s">
        <v>1899</v>
      </c>
      <c r="AM6912" s="14">
        <v>1</v>
      </c>
      <c r="AN6912" s="15" t="s">
        <v>218</v>
      </c>
    </row>
    <row r="6913" spans="1:40" x14ac:dyDescent="0.3">
      <c r="A6913" s="10" t="str">
        <f>HYPERLINK("http://www.washoecounty.gov/assessor/cama/?parid=510-572-14&amp;CardNumber=1","510-572-14")</f>
        <v>510-572-14</v>
      </c>
      <c r="B6913" t="s">
        <v>4655</v>
      </c>
      <c r="C6913" t="s">
        <v>32912</v>
      </c>
      <c r="D6913" s="1">
        <v>40477</v>
      </c>
      <c r="E6913" s="2">
        <v>125900</v>
      </c>
      <c r="F6913" t="s">
        <v>4567</v>
      </c>
      <c r="G6913" s="17" t="str">
        <f>HYPERLINK("https://www.washoecounty.gov/assessor/cama/?command=sales&amp;parid=51057214","3936663")</f>
        <v>3936663</v>
      </c>
      <c r="H6913" t="s">
        <v>633</v>
      </c>
      <c r="I6913">
        <v>2006</v>
      </c>
      <c r="J6913">
        <v>2006</v>
      </c>
      <c r="K6913" t="s">
        <v>4897</v>
      </c>
      <c r="L6913" t="s">
        <v>4555</v>
      </c>
      <c r="M6913" s="2">
        <v>1316</v>
      </c>
      <c r="N6913" t="s">
        <v>5280</v>
      </c>
      <c r="O6913">
        <v>2</v>
      </c>
      <c r="P6913">
        <v>2</v>
      </c>
      <c r="Q6913">
        <v>0</v>
      </c>
      <c r="R6913" t="s">
        <v>5281</v>
      </c>
      <c r="S6913" t="s">
        <v>4135</v>
      </c>
      <c r="T6913" t="s">
        <v>2704</v>
      </c>
      <c r="U6913" t="s">
        <v>5631</v>
      </c>
      <c r="V6913" s="2">
        <v>300</v>
      </c>
      <c r="W6913" t="s">
        <v>4655</v>
      </c>
      <c r="X6913" s="2">
        <v>0</v>
      </c>
      <c r="Y6913">
        <v>21</v>
      </c>
      <c r="Z6913" t="s">
        <v>2048</v>
      </c>
      <c r="AA6913" s="3">
        <v>3.6065198481082902E-2</v>
      </c>
      <c r="AB6913" t="s">
        <v>32913</v>
      </c>
      <c r="AC6913" t="s">
        <v>4562</v>
      </c>
      <c r="AD6913" t="s">
        <v>32914</v>
      </c>
      <c r="AE6913" t="s">
        <v>4655</v>
      </c>
      <c r="AF6913" t="s">
        <v>5201</v>
      </c>
      <c r="AG6913" t="s">
        <v>4564</v>
      </c>
      <c r="AH6913" t="s">
        <v>1605</v>
      </c>
      <c r="AI6913" t="s">
        <v>32915</v>
      </c>
      <c r="AJ6913" t="s">
        <v>217</v>
      </c>
      <c r="AK6913" t="s">
        <v>32916</v>
      </c>
      <c r="AL6913" s="13" t="s">
        <v>1899</v>
      </c>
      <c r="AM6913" s="14">
        <v>1</v>
      </c>
      <c r="AN6913" s="15" t="s">
        <v>218</v>
      </c>
    </row>
    <row r="6914" spans="1:40" x14ac:dyDescent="0.3">
      <c r="A6914" s="10" t="str">
        <f>HYPERLINK("http://www.washoecounty.gov/assessor/cama/?parid=510-573-07&amp;CardNumber=1","510-573-07")</f>
        <v>510-573-07</v>
      </c>
      <c r="B6914" t="s">
        <v>4655</v>
      </c>
      <c r="C6914" t="s">
        <v>32917</v>
      </c>
      <c r="D6914" s="1">
        <v>40291</v>
      </c>
      <c r="E6914" s="2">
        <v>161000</v>
      </c>
      <c r="F6914" t="s">
        <v>4567</v>
      </c>
      <c r="G6914" s="17" t="str">
        <f>HYPERLINK("https://www.washoecounty.gov/assessor/cama/?command=sales&amp;parid=51057307","3874212")</f>
        <v>3874212</v>
      </c>
      <c r="H6914" t="s">
        <v>633</v>
      </c>
      <c r="I6914">
        <v>2006</v>
      </c>
      <c r="J6914">
        <v>2006</v>
      </c>
      <c r="K6914" t="s">
        <v>4897</v>
      </c>
      <c r="L6914" t="s">
        <v>4555</v>
      </c>
      <c r="M6914" s="2">
        <v>1748</v>
      </c>
      <c r="N6914" t="s">
        <v>5280</v>
      </c>
      <c r="O6914">
        <v>3</v>
      </c>
      <c r="P6914">
        <v>2</v>
      </c>
      <c r="Q6914">
        <v>0</v>
      </c>
      <c r="R6914" t="s">
        <v>5281</v>
      </c>
      <c r="S6914" t="s">
        <v>4135</v>
      </c>
      <c r="T6914" t="s">
        <v>2704</v>
      </c>
      <c r="U6914" t="s">
        <v>5631</v>
      </c>
      <c r="V6914" s="2">
        <v>480</v>
      </c>
      <c r="W6914" t="s">
        <v>4655</v>
      </c>
      <c r="X6914" s="2">
        <v>0</v>
      </c>
      <c r="Y6914">
        <v>21</v>
      </c>
      <c r="Z6914" t="s">
        <v>2048</v>
      </c>
      <c r="AA6914" s="3">
        <v>4.9449034035205799E-2</v>
      </c>
      <c r="AB6914" t="s">
        <v>32918</v>
      </c>
      <c r="AC6914" t="s">
        <v>4562</v>
      </c>
      <c r="AD6914" t="s">
        <v>32919</v>
      </c>
      <c r="AE6914" t="s">
        <v>4655</v>
      </c>
      <c r="AF6914" t="s">
        <v>6781</v>
      </c>
      <c r="AG6914" t="s">
        <v>1539</v>
      </c>
      <c r="AH6914" t="s">
        <v>32920</v>
      </c>
      <c r="AI6914" t="s">
        <v>32921</v>
      </c>
      <c r="AJ6914" t="s">
        <v>217</v>
      </c>
      <c r="AK6914" t="s">
        <v>32922</v>
      </c>
      <c r="AL6914" s="13" t="s">
        <v>1899</v>
      </c>
      <c r="AM6914">
        <v>1</v>
      </c>
      <c r="AN6914" s="15" t="s">
        <v>218</v>
      </c>
    </row>
    <row r="6915" spans="1:40" x14ac:dyDescent="0.3">
      <c r="A6915" s="10" t="str">
        <f>HYPERLINK("http://www.washoecounty.gov/assessor/cama/?parid=510-573-20&amp;CardNumber=1","510-573-20")</f>
        <v>510-573-20</v>
      </c>
      <c r="B6915" t="s">
        <v>4655</v>
      </c>
      <c r="C6915" t="s">
        <v>32923</v>
      </c>
      <c r="D6915" s="1">
        <v>40448</v>
      </c>
      <c r="E6915" s="2">
        <v>143000</v>
      </c>
      <c r="F6915" t="s">
        <v>4553</v>
      </c>
      <c r="G6915" s="17" t="str">
        <f>HYPERLINK("https://www.washoecounty.gov/assessor/cama/?command=sales&amp;parid=51057320","3926702")</f>
        <v>3926702</v>
      </c>
      <c r="H6915" t="s">
        <v>633</v>
      </c>
      <c r="I6915">
        <v>2006</v>
      </c>
      <c r="J6915">
        <v>2006</v>
      </c>
      <c r="K6915" t="s">
        <v>3144</v>
      </c>
      <c r="L6915" t="s">
        <v>4555</v>
      </c>
      <c r="M6915" s="2">
        <v>1480</v>
      </c>
      <c r="N6915" t="s">
        <v>5280</v>
      </c>
      <c r="O6915">
        <v>2</v>
      </c>
      <c r="P6915">
        <v>2</v>
      </c>
      <c r="Q6915">
        <v>0</v>
      </c>
      <c r="R6915" t="s">
        <v>5281</v>
      </c>
      <c r="S6915" t="s">
        <v>4135</v>
      </c>
      <c r="T6915" t="s">
        <v>2704</v>
      </c>
      <c r="U6915" t="s">
        <v>5631</v>
      </c>
      <c r="V6915" s="2">
        <v>302</v>
      </c>
      <c r="W6915" t="s">
        <v>4655</v>
      </c>
      <c r="X6915" s="2">
        <v>0</v>
      </c>
      <c r="Y6915">
        <v>21</v>
      </c>
      <c r="Z6915" t="s">
        <v>2048</v>
      </c>
      <c r="AA6915" s="3">
        <v>3.8475666195154197E-2</v>
      </c>
      <c r="AB6915" t="s">
        <v>32924</v>
      </c>
      <c r="AC6915" t="s">
        <v>4562</v>
      </c>
      <c r="AD6915" t="s">
        <v>32925</v>
      </c>
      <c r="AE6915" t="s">
        <v>4655</v>
      </c>
      <c r="AF6915" t="s">
        <v>2356</v>
      </c>
      <c r="AG6915" t="s">
        <v>4584</v>
      </c>
      <c r="AH6915" t="s">
        <v>1387</v>
      </c>
      <c r="AI6915" t="s">
        <v>601</v>
      </c>
      <c r="AJ6915" t="s">
        <v>217</v>
      </c>
      <c r="AK6915" t="s">
        <v>32926</v>
      </c>
      <c r="AL6915" s="13" t="s">
        <v>1899</v>
      </c>
      <c r="AM6915">
        <v>1</v>
      </c>
      <c r="AN6915" s="15" t="s">
        <v>218</v>
      </c>
    </row>
    <row r="6916" spans="1:40" x14ac:dyDescent="0.3">
      <c r="A6916" s="10" t="str">
        <f>HYPERLINK("http://www.washoecounty.gov/assessor/cama/?parid=510-574-20&amp;CardNumber=1","510-574-20")</f>
        <v>510-574-20</v>
      </c>
      <c r="B6916" t="s">
        <v>4655</v>
      </c>
      <c r="C6916" t="s">
        <v>32927</v>
      </c>
      <c r="D6916" s="1">
        <v>40505</v>
      </c>
      <c r="E6916" s="2">
        <v>124000</v>
      </c>
      <c r="F6916" t="s">
        <v>4553</v>
      </c>
      <c r="G6916" s="17" t="str">
        <f>HYPERLINK("https://www.washoecounty.gov/assessor/cama/?command=sales&amp;parid=51057420","3946223")</f>
        <v>3946223</v>
      </c>
      <c r="H6916" t="s">
        <v>633</v>
      </c>
      <c r="I6916">
        <v>2006</v>
      </c>
      <c r="J6916">
        <v>2006</v>
      </c>
      <c r="K6916" t="s">
        <v>4897</v>
      </c>
      <c r="L6916" t="s">
        <v>4555</v>
      </c>
      <c r="M6916" s="2">
        <v>1316</v>
      </c>
      <c r="N6916" t="s">
        <v>5280</v>
      </c>
      <c r="O6916">
        <v>2</v>
      </c>
      <c r="P6916">
        <v>2</v>
      </c>
      <c r="Q6916">
        <v>0</v>
      </c>
      <c r="R6916" t="s">
        <v>5281</v>
      </c>
      <c r="S6916" t="s">
        <v>4135</v>
      </c>
      <c r="T6916" t="s">
        <v>2704</v>
      </c>
      <c r="U6916" t="s">
        <v>5631</v>
      </c>
      <c r="V6916" s="2">
        <v>300</v>
      </c>
      <c r="W6916" t="s">
        <v>4655</v>
      </c>
      <c r="X6916" s="2">
        <v>0</v>
      </c>
      <c r="Y6916">
        <v>21</v>
      </c>
      <c r="Z6916" t="s">
        <v>2048</v>
      </c>
      <c r="AA6916" s="3">
        <v>3.5629019141197198E-2</v>
      </c>
      <c r="AB6916" t="s">
        <v>32928</v>
      </c>
      <c r="AC6916" t="s">
        <v>4575</v>
      </c>
      <c r="AD6916" t="s">
        <v>32929</v>
      </c>
      <c r="AE6916" t="s">
        <v>4655</v>
      </c>
      <c r="AF6916" t="s">
        <v>4809</v>
      </c>
      <c r="AG6916" t="s">
        <v>4564</v>
      </c>
      <c r="AH6916" t="s">
        <v>1605</v>
      </c>
      <c r="AI6916" t="s">
        <v>32930</v>
      </c>
      <c r="AJ6916" t="s">
        <v>217</v>
      </c>
      <c r="AK6916" t="s">
        <v>32931</v>
      </c>
      <c r="AL6916" s="13" t="s">
        <v>1899</v>
      </c>
      <c r="AM6916" s="14">
        <v>1</v>
      </c>
      <c r="AN6916" s="15" t="s">
        <v>218</v>
      </c>
    </row>
    <row r="6917" spans="1:40" x14ac:dyDescent="0.3">
      <c r="A6917" s="10" t="str">
        <f>HYPERLINK("http://www.washoecounty.gov/assessor/cama/?parid=510-575-25&amp;CardNumber=1","510-575-25")</f>
        <v>510-575-25</v>
      </c>
      <c r="B6917" t="s">
        <v>4655</v>
      </c>
      <c r="C6917" t="s">
        <v>32932</v>
      </c>
      <c r="D6917" s="1">
        <v>40492</v>
      </c>
      <c r="E6917" s="2">
        <v>151000</v>
      </c>
      <c r="F6917" t="s">
        <v>4567</v>
      </c>
      <c r="G6917" s="17" t="str">
        <f>HYPERLINK("https://www.washoecounty.gov/assessor/cama/?command=sales&amp;parid=51057525","3941986")</f>
        <v>3941986</v>
      </c>
      <c r="H6917" t="s">
        <v>633</v>
      </c>
      <c r="I6917">
        <v>2006</v>
      </c>
      <c r="J6917">
        <v>2006</v>
      </c>
      <c r="K6917" t="s">
        <v>4897</v>
      </c>
      <c r="L6917" t="s">
        <v>4555</v>
      </c>
      <c r="M6917" s="2">
        <v>1748</v>
      </c>
      <c r="N6917" t="s">
        <v>5280</v>
      </c>
      <c r="O6917">
        <v>3</v>
      </c>
      <c r="P6917">
        <v>2</v>
      </c>
      <c r="Q6917">
        <v>0</v>
      </c>
      <c r="R6917" t="s">
        <v>5281</v>
      </c>
      <c r="S6917" t="s">
        <v>4135</v>
      </c>
      <c r="T6917" t="s">
        <v>2704</v>
      </c>
      <c r="U6917" t="s">
        <v>5631</v>
      </c>
      <c r="V6917" s="2">
        <v>480</v>
      </c>
      <c r="W6917" t="s">
        <v>4655</v>
      </c>
      <c r="X6917" s="2">
        <v>0</v>
      </c>
      <c r="Y6917">
        <v>21</v>
      </c>
      <c r="Z6917" t="s">
        <v>2048</v>
      </c>
      <c r="AA6917" s="3">
        <v>4.9449034035205799E-2</v>
      </c>
      <c r="AB6917" t="s">
        <v>32933</v>
      </c>
      <c r="AC6917" t="s">
        <v>4562</v>
      </c>
      <c r="AD6917" t="s">
        <v>32932</v>
      </c>
      <c r="AE6917" t="s">
        <v>4655</v>
      </c>
      <c r="AF6917" t="s">
        <v>5201</v>
      </c>
      <c r="AG6917" t="s">
        <v>4564</v>
      </c>
      <c r="AH6917" t="s">
        <v>1605</v>
      </c>
      <c r="AI6917" t="s">
        <v>28604</v>
      </c>
      <c r="AJ6917" t="s">
        <v>217</v>
      </c>
      <c r="AK6917" t="s">
        <v>32934</v>
      </c>
      <c r="AL6917" s="13" t="s">
        <v>1899</v>
      </c>
      <c r="AM6917">
        <v>1</v>
      </c>
      <c r="AN6917" s="15" t="s">
        <v>218</v>
      </c>
    </row>
    <row r="6918" spans="1:40" x14ac:dyDescent="0.3">
      <c r="A6918" s="10" t="str">
        <f>HYPERLINK("http://www.washoecounty.gov/assessor/cama/?parid=510-575-29&amp;CardNumber=1","510-575-29")</f>
        <v>510-575-29</v>
      </c>
      <c r="B6918" t="s">
        <v>4655</v>
      </c>
      <c r="C6918" t="s">
        <v>32935</v>
      </c>
      <c r="D6918" s="1">
        <v>40280</v>
      </c>
      <c r="E6918" s="2">
        <v>59500</v>
      </c>
      <c r="F6918" t="s">
        <v>4567</v>
      </c>
      <c r="G6918" s="17" t="str">
        <f>HYPERLINK("https://www.washoecounty.gov/assessor/cama/?command=sales&amp;parid=51057529","3869890")</f>
        <v>3869890</v>
      </c>
      <c r="H6918" t="s">
        <v>633</v>
      </c>
      <c r="I6918">
        <v>2006</v>
      </c>
      <c r="J6918">
        <v>2006</v>
      </c>
      <c r="K6918" t="s">
        <v>3144</v>
      </c>
      <c r="L6918" t="s">
        <v>4555</v>
      </c>
      <c r="M6918" s="2">
        <v>1480</v>
      </c>
      <c r="N6918" t="s">
        <v>5280</v>
      </c>
      <c r="O6918">
        <v>2</v>
      </c>
      <c r="P6918">
        <v>2</v>
      </c>
      <c r="Q6918">
        <v>0</v>
      </c>
      <c r="R6918" t="s">
        <v>5281</v>
      </c>
      <c r="S6918" t="s">
        <v>4135</v>
      </c>
      <c r="T6918" t="s">
        <v>2704</v>
      </c>
      <c r="U6918" t="s">
        <v>5631</v>
      </c>
      <c r="V6918" s="2">
        <v>302</v>
      </c>
      <c r="W6918" t="s">
        <v>4655</v>
      </c>
      <c r="X6918" s="2">
        <v>0</v>
      </c>
      <c r="Y6918">
        <v>21</v>
      </c>
      <c r="Z6918" t="s">
        <v>2048</v>
      </c>
      <c r="AA6918" s="3">
        <v>3.8475666195154197E-2</v>
      </c>
      <c r="AB6918" t="s">
        <v>32936</v>
      </c>
      <c r="AC6918" t="s">
        <v>4562</v>
      </c>
      <c r="AD6918" t="s">
        <v>32935</v>
      </c>
      <c r="AE6918" t="s">
        <v>4655</v>
      </c>
      <c r="AF6918" t="s">
        <v>5201</v>
      </c>
      <c r="AG6918" t="s">
        <v>4564</v>
      </c>
      <c r="AH6918" t="s">
        <v>1605</v>
      </c>
      <c r="AI6918" t="s">
        <v>32937</v>
      </c>
      <c r="AJ6918" t="s">
        <v>217</v>
      </c>
      <c r="AK6918" t="s">
        <v>32938</v>
      </c>
      <c r="AL6918" s="13" t="s">
        <v>1899</v>
      </c>
      <c r="AM6918">
        <v>1</v>
      </c>
      <c r="AN6918" s="15" t="s">
        <v>218</v>
      </c>
    </row>
    <row r="6919" spans="1:40" x14ac:dyDescent="0.3">
      <c r="A6919" s="10" t="str">
        <f>HYPERLINK("http://www.washoecounty.gov/assessor/cama/?parid=510-575-29&amp;CardNumber=1","510-575-29")</f>
        <v>510-575-29</v>
      </c>
      <c r="B6919" t="s">
        <v>4655</v>
      </c>
      <c r="C6919" t="s">
        <v>32935</v>
      </c>
      <c r="D6919" s="1">
        <v>40389</v>
      </c>
      <c r="E6919" s="2">
        <v>130000</v>
      </c>
      <c r="F6919" t="s">
        <v>4567</v>
      </c>
      <c r="G6919" s="17" t="str">
        <f>HYPERLINK("https://www.washoecounty.gov/assessor/cama/?command=sales&amp;parid=51057529","3907393")</f>
        <v>3907393</v>
      </c>
      <c r="H6919" t="s">
        <v>633</v>
      </c>
      <c r="I6919">
        <v>2006</v>
      </c>
      <c r="J6919">
        <v>2006</v>
      </c>
      <c r="K6919" t="s">
        <v>3144</v>
      </c>
      <c r="L6919" t="s">
        <v>4555</v>
      </c>
      <c r="M6919" s="2">
        <v>1480</v>
      </c>
      <c r="N6919" t="s">
        <v>5280</v>
      </c>
      <c r="O6919">
        <v>2</v>
      </c>
      <c r="P6919">
        <v>2</v>
      </c>
      <c r="Q6919">
        <v>0</v>
      </c>
      <c r="R6919" t="s">
        <v>5281</v>
      </c>
      <c r="S6919" t="s">
        <v>4135</v>
      </c>
      <c r="T6919" t="s">
        <v>2704</v>
      </c>
      <c r="U6919" t="s">
        <v>5631</v>
      </c>
      <c r="V6919" s="2">
        <v>302</v>
      </c>
      <c r="W6919" t="s">
        <v>4655</v>
      </c>
      <c r="X6919" s="2">
        <v>0</v>
      </c>
      <c r="Y6919">
        <v>21</v>
      </c>
      <c r="Z6919" t="s">
        <v>2048</v>
      </c>
      <c r="AA6919" s="3">
        <v>3.8475666195154197E-2</v>
      </c>
      <c r="AB6919" t="s">
        <v>32936</v>
      </c>
      <c r="AC6919" t="s">
        <v>4562</v>
      </c>
      <c r="AD6919" t="s">
        <v>32935</v>
      </c>
      <c r="AE6919" t="s">
        <v>4655</v>
      </c>
      <c r="AF6919" t="s">
        <v>5201</v>
      </c>
      <c r="AG6919" t="s">
        <v>4564</v>
      </c>
      <c r="AH6919" t="s">
        <v>1605</v>
      </c>
      <c r="AI6919" t="s">
        <v>32937</v>
      </c>
      <c r="AJ6919" t="s">
        <v>217</v>
      </c>
      <c r="AK6919" t="s">
        <v>32938</v>
      </c>
      <c r="AL6919" s="13" t="s">
        <v>1899</v>
      </c>
      <c r="AM6919">
        <v>1</v>
      </c>
      <c r="AN6919" s="15" t="s">
        <v>218</v>
      </c>
    </row>
    <row r="6920" spans="1:40" x14ac:dyDescent="0.3">
      <c r="A6920" s="10" t="str">
        <f>HYPERLINK("http://www.washoecounty.gov/assessor/cama/?parid=510-621-51&amp;CardNumber=1","510-621-51")</f>
        <v>510-621-51</v>
      </c>
      <c r="B6920" t="s">
        <v>4655</v>
      </c>
      <c r="C6920" t="s">
        <v>32939</v>
      </c>
      <c r="D6920" s="1">
        <v>40438</v>
      </c>
      <c r="E6920" s="2">
        <v>173500</v>
      </c>
      <c r="F6920" t="s">
        <v>4567</v>
      </c>
      <c r="G6920" s="17" t="str">
        <f>HYPERLINK("https://www.washoecounty.gov/assessor/cama/?command=sales&amp;parid=51062151","3923773")</f>
        <v>3923773</v>
      </c>
      <c r="H6920" t="s">
        <v>32940</v>
      </c>
      <c r="I6920">
        <v>2007</v>
      </c>
      <c r="J6920">
        <v>2007</v>
      </c>
      <c r="K6920" t="s">
        <v>4554</v>
      </c>
      <c r="L6920" t="s">
        <v>3974</v>
      </c>
      <c r="M6920" s="2">
        <v>2196</v>
      </c>
      <c r="N6920" t="s">
        <v>3147</v>
      </c>
      <c r="O6920">
        <v>4</v>
      </c>
      <c r="P6920">
        <v>2</v>
      </c>
      <c r="Q6920">
        <v>1</v>
      </c>
      <c r="R6920" t="s">
        <v>5281</v>
      </c>
      <c r="S6920" t="s">
        <v>4898</v>
      </c>
      <c r="T6920" t="s">
        <v>2704</v>
      </c>
      <c r="U6920" t="s">
        <v>5631</v>
      </c>
      <c r="V6920" s="2">
        <v>504</v>
      </c>
      <c r="W6920" t="s">
        <v>4655</v>
      </c>
      <c r="X6920" s="2">
        <v>0</v>
      </c>
      <c r="Y6920">
        <v>20</v>
      </c>
      <c r="Z6920" t="s">
        <v>2048</v>
      </c>
      <c r="AA6920" s="3">
        <v>0.122061520814896</v>
      </c>
      <c r="AB6920" t="s">
        <v>32941</v>
      </c>
      <c r="AC6920" t="s">
        <v>4562</v>
      </c>
      <c r="AD6920" t="s">
        <v>32942</v>
      </c>
      <c r="AE6920" t="s">
        <v>4655</v>
      </c>
      <c r="AF6920" t="s">
        <v>1189</v>
      </c>
      <c r="AG6920" t="s">
        <v>4564</v>
      </c>
      <c r="AH6920" t="s">
        <v>32943</v>
      </c>
      <c r="AI6920" t="s">
        <v>32944</v>
      </c>
      <c r="AJ6920" t="s">
        <v>32945</v>
      </c>
      <c r="AK6920" t="s">
        <v>32946</v>
      </c>
      <c r="AL6920" s="13" t="s">
        <v>1899</v>
      </c>
      <c r="AM6920" s="14">
        <v>1</v>
      </c>
      <c r="AN6920" s="15" t="s">
        <v>32947</v>
      </c>
    </row>
    <row r="6921" spans="1:40" x14ac:dyDescent="0.3">
      <c r="A6921" s="10" t="str">
        <f>HYPERLINK("http://www.washoecounty.gov/assessor/cama/?parid=512-061-04&amp;CardNumber=1","512-061-04")</f>
        <v>512-061-04</v>
      </c>
      <c r="B6921" t="s">
        <v>4655</v>
      </c>
      <c r="C6921" t="s">
        <v>32948</v>
      </c>
      <c r="D6921" s="1">
        <v>40451</v>
      </c>
      <c r="E6921" s="2">
        <v>190000</v>
      </c>
      <c r="F6921" t="s">
        <v>4567</v>
      </c>
      <c r="G6921" s="17" t="str">
        <f>HYPERLINK("https://www.washoecounty.gov/assessor/cama/?command=sales&amp;parid=51206104","3928262")</f>
        <v>3928262</v>
      </c>
      <c r="H6921" t="s">
        <v>3195</v>
      </c>
      <c r="I6921">
        <v>2006</v>
      </c>
      <c r="J6921">
        <v>2006</v>
      </c>
      <c r="K6921" t="s">
        <v>4554</v>
      </c>
      <c r="L6921" t="s">
        <v>4555</v>
      </c>
      <c r="M6921" s="2">
        <v>2028</v>
      </c>
      <c r="N6921" t="s">
        <v>5280</v>
      </c>
      <c r="O6921">
        <v>4</v>
      </c>
      <c r="P6921">
        <v>3</v>
      </c>
      <c r="Q6921">
        <v>0</v>
      </c>
      <c r="R6921" t="s">
        <v>4557</v>
      </c>
      <c r="S6921" t="s">
        <v>4898</v>
      </c>
      <c r="T6921" t="s">
        <v>2704</v>
      </c>
      <c r="U6921" t="s">
        <v>4560</v>
      </c>
      <c r="V6921" s="2">
        <v>400</v>
      </c>
      <c r="W6921" t="s">
        <v>4655</v>
      </c>
      <c r="X6921" s="2">
        <v>0</v>
      </c>
      <c r="Y6921">
        <v>20</v>
      </c>
      <c r="Z6921" t="s">
        <v>2048</v>
      </c>
      <c r="AA6921" s="3">
        <v>0.137741044163704</v>
      </c>
      <c r="AB6921" t="s">
        <v>32949</v>
      </c>
      <c r="AC6921" t="s">
        <v>4562</v>
      </c>
      <c r="AD6921" t="s">
        <v>1667</v>
      </c>
      <c r="AE6921" t="s">
        <v>4655</v>
      </c>
      <c r="AF6921" t="s">
        <v>32950</v>
      </c>
      <c r="AG6921" t="s">
        <v>2016</v>
      </c>
      <c r="AH6921">
        <v>48098</v>
      </c>
      <c r="AI6921" t="s">
        <v>32951</v>
      </c>
      <c r="AJ6921" t="s">
        <v>3213</v>
      </c>
      <c r="AK6921" t="s">
        <v>32952</v>
      </c>
      <c r="AL6921" s="13" t="s">
        <v>1886</v>
      </c>
      <c r="AM6921">
        <v>1</v>
      </c>
      <c r="AN6921" s="15" t="s">
        <v>2412</v>
      </c>
    </row>
    <row r="6922" spans="1:40" x14ac:dyDescent="0.3">
      <c r="A6922" s="10" t="str">
        <f>HYPERLINK("http://www.washoecounty.gov/assessor/cama/?parid=512-061-08&amp;CardNumber=1","512-061-08")</f>
        <v>512-061-08</v>
      </c>
      <c r="B6922" t="s">
        <v>4655</v>
      </c>
      <c r="C6922" t="s">
        <v>32953</v>
      </c>
      <c r="D6922" s="1">
        <v>40392</v>
      </c>
      <c r="E6922" s="2">
        <v>100000</v>
      </c>
      <c r="F6922" t="s">
        <v>4553</v>
      </c>
      <c r="G6922" s="17" t="str">
        <f>HYPERLINK("https://www.washoecounty.gov/assessor/cama/?command=sales&amp;parid=51206108","3907961")</f>
        <v>3907961</v>
      </c>
      <c r="H6922" t="s">
        <v>3195</v>
      </c>
      <c r="I6922">
        <v>2006</v>
      </c>
      <c r="J6922">
        <v>2006</v>
      </c>
      <c r="K6922" t="s">
        <v>4554</v>
      </c>
      <c r="L6922" t="s">
        <v>4555</v>
      </c>
      <c r="M6922" s="2">
        <v>2028</v>
      </c>
      <c r="N6922" t="s">
        <v>5280</v>
      </c>
      <c r="O6922">
        <v>4</v>
      </c>
      <c r="P6922">
        <v>3</v>
      </c>
      <c r="Q6922">
        <v>0</v>
      </c>
      <c r="R6922" t="s">
        <v>4557</v>
      </c>
      <c r="S6922" t="s">
        <v>4898</v>
      </c>
      <c r="T6922" t="s">
        <v>2704</v>
      </c>
      <c r="U6922" t="s">
        <v>4560</v>
      </c>
      <c r="V6922" s="2">
        <v>400</v>
      </c>
      <c r="W6922" t="s">
        <v>4655</v>
      </c>
      <c r="X6922" s="2">
        <v>0</v>
      </c>
      <c r="Y6922">
        <v>20</v>
      </c>
      <c r="Z6922" t="s">
        <v>2048</v>
      </c>
      <c r="AA6922" s="3">
        <v>0.137741044163704</v>
      </c>
      <c r="AB6922" t="s">
        <v>32954</v>
      </c>
      <c r="AC6922" t="s">
        <v>4562</v>
      </c>
      <c r="AD6922" t="s">
        <v>32955</v>
      </c>
      <c r="AE6922" t="s">
        <v>4655</v>
      </c>
      <c r="AF6922" t="s">
        <v>32956</v>
      </c>
      <c r="AG6922" t="s">
        <v>4657</v>
      </c>
      <c r="AH6922">
        <v>63017</v>
      </c>
      <c r="AI6922" t="s">
        <v>32957</v>
      </c>
      <c r="AJ6922" t="s">
        <v>3213</v>
      </c>
      <c r="AK6922" t="s">
        <v>32958</v>
      </c>
      <c r="AL6922" s="13" t="s">
        <v>1886</v>
      </c>
      <c r="AM6922" s="14">
        <v>1</v>
      </c>
      <c r="AN6922" s="15" t="s">
        <v>2412</v>
      </c>
    </row>
    <row r="6923" spans="1:40" x14ac:dyDescent="0.3">
      <c r="A6923" s="10" t="str">
        <f>HYPERLINK("http://www.washoecounty.gov/assessor/cama/?parid=512-061-08&amp;CardNumber=1","512-061-08")</f>
        <v>512-061-08</v>
      </c>
      <c r="B6923" t="s">
        <v>4655</v>
      </c>
      <c r="C6923" t="s">
        <v>32953</v>
      </c>
      <c r="D6923" s="1">
        <v>40542</v>
      </c>
      <c r="E6923" s="2">
        <v>178900</v>
      </c>
      <c r="F6923" t="s">
        <v>4553</v>
      </c>
      <c r="G6923" s="17" t="str">
        <f>HYPERLINK("https://www.washoecounty.gov/assessor/cama/?command=sales&amp;parid=51206108","3959150")</f>
        <v>3959150</v>
      </c>
      <c r="H6923" t="s">
        <v>3195</v>
      </c>
      <c r="I6923">
        <v>2006</v>
      </c>
      <c r="J6923">
        <v>2006</v>
      </c>
      <c r="K6923" t="s">
        <v>4554</v>
      </c>
      <c r="L6923" t="s">
        <v>4555</v>
      </c>
      <c r="M6923" s="2">
        <v>2028</v>
      </c>
      <c r="N6923" t="s">
        <v>5280</v>
      </c>
      <c r="O6923">
        <v>4</v>
      </c>
      <c r="P6923">
        <v>3</v>
      </c>
      <c r="Q6923">
        <v>0</v>
      </c>
      <c r="R6923" t="s">
        <v>4557</v>
      </c>
      <c r="S6923" t="s">
        <v>4898</v>
      </c>
      <c r="T6923" t="s">
        <v>2704</v>
      </c>
      <c r="U6923" t="s">
        <v>4560</v>
      </c>
      <c r="V6923" s="2">
        <v>400</v>
      </c>
      <c r="W6923" t="s">
        <v>4655</v>
      </c>
      <c r="X6923" s="2">
        <v>0</v>
      </c>
      <c r="Y6923">
        <v>20</v>
      </c>
      <c r="Z6923" t="s">
        <v>2048</v>
      </c>
      <c r="AA6923" s="3">
        <v>0.137741044163704</v>
      </c>
      <c r="AB6923" t="s">
        <v>32954</v>
      </c>
      <c r="AC6923" t="s">
        <v>4562</v>
      </c>
      <c r="AD6923" t="s">
        <v>32955</v>
      </c>
      <c r="AE6923" t="s">
        <v>4655</v>
      </c>
      <c r="AF6923" t="s">
        <v>32956</v>
      </c>
      <c r="AG6923" t="s">
        <v>4657</v>
      </c>
      <c r="AH6923">
        <v>63017</v>
      </c>
      <c r="AI6923" t="s">
        <v>32957</v>
      </c>
      <c r="AJ6923" t="s">
        <v>3213</v>
      </c>
      <c r="AK6923" t="s">
        <v>32958</v>
      </c>
      <c r="AL6923" s="13" t="s">
        <v>1886</v>
      </c>
      <c r="AM6923" s="14">
        <v>1</v>
      </c>
      <c r="AN6923" s="15" t="s">
        <v>2412</v>
      </c>
    </row>
    <row r="6924" spans="1:40" x14ac:dyDescent="0.3">
      <c r="A6924" s="10" t="str">
        <f>HYPERLINK("http://www.washoecounty.gov/assessor/cama/?parid=512-061-09&amp;CardNumber=1","512-061-09")</f>
        <v>512-061-09</v>
      </c>
      <c r="B6924" t="s">
        <v>4655</v>
      </c>
      <c r="C6924" t="s">
        <v>32959</v>
      </c>
      <c r="D6924" s="1">
        <v>40323</v>
      </c>
      <c r="E6924" s="2">
        <v>180000</v>
      </c>
      <c r="F6924" t="s">
        <v>4567</v>
      </c>
      <c r="G6924" s="17" t="str">
        <f>HYPERLINK("https://www.washoecounty.gov/assessor/cama/?command=sales&amp;parid=51206109","3884827")</f>
        <v>3884827</v>
      </c>
      <c r="H6924" t="s">
        <v>3195</v>
      </c>
      <c r="I6924">
        <v>2006</v>
      </c>
      <c r="J6924">
        <v>2006</v>
      </c>
      <c r="K6924" t="s">
        <v>4554</v>
      </c>
      <c r="L6924" t="s">
        <v>4555</v>
      </c>
      <c r="M6924" s="2">
        <v>1666</v>
      </c>
      <c r="N6924" t="s">
        <v>5280</v>
      </c>
      <c r="O6924">
        <v>3</v>
      </c>
      <c r="P6924">
        <v>2</v>
      </c>
      <c r="Q6924">
        <v>0</v>
      </c>
      <c r="R6924" t="s">
        <v>4557</v>
      </c>
      <c r="S6924" t="s">
        <v>4898</v>
      </c>
      <c r="T6924" t="s">
        <v>2704</v>
      </c>
      <c r="U6924" t="s">
        <v>4560</v>
      </c>
      <c r="V6924" s="2">
        <v>441</v>
      </c>
      <c r="W6924" t="s">
        <v>4655</v>
      </c>
      <c r="X6924" s="2">
        <v>0</v>
      </c>
      <c r="Y6924">
        <v>20</v>
      </c>
      <c r="Z6924" t="s">
        <v>2048</v>
      </c>
      <c r="AA6924" s="3">
        <v>0.16593204438686401</v>
      </c>
      <c r="AB6924" t="s">
        <v>32960</v>
      </c>
      <c r="AC6924" t="s">
        <v>4575</v>
      </c>
      <c r="AD6924" t="s">
        <v>32959</v>
      </c>
      <c r="AE6924" t="s">
        <v>4655</v>
      </c>
      <c r="AF6924" t="s">
        <v>5201</v>
      </c>
      <c r="AG6924" t="s">
        <v>4564</v>
      </c>
      <c r="AH6924" t="s">
        <v>1605</v>
      </c>
      <c r="AI6924" t="s">
        <v>32961</v>
      </c>
      <c r="AJ6924" t="s">
        <v>3213</v>
      </c>
      <c r="AK6924" t="s">
        <v>32962</v>
      </c>
      <c r="AL6924" s="13" t="s">
        <v>1886</v>
      </c>
      <c r="AM6924" s="14">
        <v>1</v>
      </c>
      <c r="AN6924" s="15" t="s">
        <v>2412</v>
      </c>
    </row>
    <row r="6925" spans="1:40" x14ac:dyDescent="0.3">
      <c r="A6925" s="10" t="str">
        <f>HYPERLINK("http://www.washoecounty.gov/assessor/cama/?parid=512-062-11&amp;CardNumber=1","512-062-11")</f>
        <v>512-062-11</v>
      </c>
      <c r="B6925" t="s">
        <v>4655</v>
      </c>
      <c r="C6925" t="s">
        <v>32963</v>
      </c>
      <c r="D6925" s="1">
        <v>40451</v>
      </c>
      <c r="E6925" s="2">
        <v>195900</v>
      </c>
      <c r="F6925" t="s">
        <v>4553</v>
      </c>
      <c r="G6925" s="17" t="str">
        <f>HYPERLINK("https://www.washoecounty.gov/assessor/cama/?command=sales&amp;parid=51206211","3928445")</f>
        <v>3928445</v>
      </c>
      <c r="H6925" t="s">
        <v>3195</v>
      </c>
      <c r="I6925">
        <v>2006</v>
      </c>
      <c r="J6925">
        <v>2006</v>
      </c>
      <c r="K6925" t="s">
        <v>4554</v>
      </c>
      <c r="L6925" t="s">
        <v>4555</v>
      </c>
      <c r="M6925" s="2">
        <v>1830</v>
      </c>
      <c r="N6925" t="s">
        <v>5280</v>
      </c>
      <c r="O6925">
        <v>3</v>
      </c>
      <c r="P6925">
        <v>2</v>
      </c>
      <c r="Q6925">
        <v>0</v>
      </c>
      <c r="R6925" t="s">
        <v>4557</v>
      </c>
      <c r="S6925" t="s">
        <v>4898</v>
      </c>
      <c r="T6925" t="s">
        <v>2704</v>
      </c>
      <c r="U6925" t="s">
        <v>4560</v>
      </c>
      <c r="V6925" s="2">
        <v>444</v>
      </c>
      <c r="W6925" t="s">
        <v>4655</v>
      </c>
      <c r="X6925" s="2">
        <v>0</v>
      </c>
      <c r="Y6925">
        <v>20</v>
      </c>
      <c r="Z6925" t="s">
        <v>2048</v>
      </c>
      <c r="AA6925" s="3">
        <v>0.19354912638664201</v>
      </c>
      <c r="AB6925" t="s">
        <v>32964</v>
      </c>
      <c r="AC6925" t="s">
        <v>4575</v>
      </c>
      <c r="AD6925" t="s">
        <v>32965</v>
      </c>
      <c r="AE6925" t="s">
        <v>4655</v>
      </c>
      <c r="AF6925" t="s">
        <v>5201</v>
      </c>
      <c r="AG6925" t="s">
        <v>4564</v>
      </c>
      <c r="AH6925" t="s">
        <v>1605</v>
      </c>
      <c r="AI6925" t="s">
        <v>4655</v>
      </c>
      <c r="AJ6925" t="s">
        <v>3213</v>
      </c>
      <c r="AK6925" t="s">
        <v>32966</v>
      </c>
      <c r="AL6925" s="13" t="s">
        <v>1886</v>
      </c>
      <c r="AM6925">
        <v>1</v>
      </c>
      <c r="AN6925" s="15" t="s">
        <v>2412</v>
      </c>
    </row>
    <row r="6926" spans="1:40" x14ac:dyDescent="0.3">
      <c r="A6926" s="10" t="str">
        <f>HYPERLINK("http://www.washoecounty.gov/assessor/cama/?parid=512-072-07&amp;CardNumber=1","512-072-07")</f>
        <v>512-072-07</v>
      </c>
      <c r="B6926" t="s">
        <v>4655</v>
      </c>
      <c r="C6926" t="s">
        <v>32967</v>
      </c>
      <c r="D6926" s="1">
        <v>40421</v>
      </c>
      <c r="E6926" s="2">
        <v>180000</v>
      </c>
      <c r="F6926" t="s">
        <v>4553</v>
      </c>
      <c r="G6926" s="17" t="str">
        <f>HYPERLINK("https://www.washoecounty.gov/assessor/cama/?command=sales&amp;parid=51207207","3917617")</f>
        <v>3917617</v>
      </c>
      <c r="H6926" t="s">
        <v>3195</v>
      </c>
      <c r="I6926">
        <v>2006</v>
      </c>
      <c r="J6926">
        <v>2006</v>
      </c>
      <c r="K6926" t="s">
        <v>4554</v>
      </c>
      <c r="L6926" t="s">
        <v>4555</v>
      </c>
      <c r="M6926" s="2">
        <v>1830</v>
      </c>
      <c r="N6926" t="s">
        <v>5280</v>
      </c>
      <c r="O6926">
        <v>3</v>
      </c>
      <c r="P6926">
        <v>2</v>
      </c>
      <c r="Q6926">
        <v>0</v>
      </c>
      <c r="R6926" t="s">
        <v>4557</v>
      </c>
      <c r="S6926" t="s">
        <v>4898</v>
      </c>
      <c r="T6926" t="s">
        <v>2704</v>
      </c>
      <c r="U6926" t="s">
        <v>4560</v>
      </c>
      <c r="V6926" s="2">
        <v>444</v>
      </c>
      <c r="W6926" t="s">
        <v>4655</v>
      </c>
      <c r="X6926" s="2">
        <v>0</v>
      </c>
      <c r="Y6926">
        <v>20</v>
      </c>
      <c r="Z6926" t="s">
        <v>2048</v>
      </c>
      <c r="AA6926" s="3">
        <v>0.137741044163704</v>
      </c>
      <c r="AB6926" t="s">
        <v>32968</v>
      </c>
      <c r="AC6926" t="s">
        <v>4575</v>
      </c>
      <c r="AD6926" t="s">
        <v>32967</v>
      </c>
      <c r="AE6926" t="s">
        <v>4655</v>
      </c>
      <c r="AF6926" t="s">
        <v>5201</v>
      </c>
      <c r="AG6926" t="s">
        <v>4564</v>
      </c>
      <c r="AH6926" t="s">
        <v>1605</v>
      </c>
      <c r="AI6926" t="s">
        <v>4794</v>
      </c>
      <c r="AJ6926" t="s">
        <v>3213</v>
      </c>
      <c r="AK6926" t="s">
        <v>32969</v>
      </c>
      <c r="AL6926" s="13" t="s">
        <v>1886</v>
      </c>
      <c r="AM6926">
        <v>1</v>
      </c>
      <c r="AN6926" s="15" t="s">
        <v>2412</v>
      </c>
    </row>
    <row r="6927" spans="1:40" x14ac:dyDescent="0.3">
      <c r="A6927" s="10" t="str">
        <f>HYPERLINK("http://www.washoecounty.gov/assessor/cama/?parid=512-072-15&amp;CardNumber=1","512-072-15")</f>
        <v>512-072-15</v>
      </c>
      <c r="B6927" t="s">
        <v>4655</v>
      </c>
      <c r="C6927" t="s">
        <v>32970</v>
      </c>
      <c r="D6927" s="1">
        <v>40267</v>
      </c>
      <c r="E6927" s="2">
        <v>180000</v>
      </c>
      <c r="F6927" t="s">
        <v>4567</v>
      </c>
      <c r="G6927" s="17" t="str">
        <f>HYPERLINK("https://www.washoecounty.gov/assessor/cama/?command=sales&amp;parid=51207215","3865439")</f>
        <v>3865439</v>
      </c>
      <c r="H6927" t="s">
        <v>3195</v>
      </c>
      <c r="I6927">
        <v>2006</v>
      </c>
      <c r="J6927">
        <v>2006</v>
      </c>
      <c r="K6927" t="s">
        <v>4554</v>
      </c>
      <c r="L6927" t="s">
        <v>4555</v>
      </c>
      <c r="M6927" s="2">
        <v>1666</v>
      </c>
      <c r="N6927" t="s">
        <v>5280</v>
      </c>
      <c r="O6927">
        <v>3</v>
      </c>
      <c r="P6927">
        <v>2</v>
      </c>
      <c r="Q6927">
        <v>0</v>
      </c>
      <c r="R6927" t="s">
        <v>4557</v>
      </c>
      <c r="S6927" t="s">
        <v>4898</v>
      </c>
      <c r="T6927" t="s">
        <v>2704</v>
      </c>
      <c r="U6927" t="s">
        <v>4560</v>
      </c>
      <c r="V6927" s="2">
        <v>441</v>
      </c>
      <c r="W6927" t="s">
        <v>4655</v>
      </c>
      <c r="X6927" s="2">
        <v>0</v>
      </c>
      <c r="Y6927">
        <v>20</v>
      </c>
      <c r="Z6927" t="s">
        <v>2048</v>
      </c>
      <c r="AA6927" s="3">
        <v>0.137741044163704</v>
      </c>
      <c r="AB6927" t="s">
        <v>32971</v>
      </c>
      <c r="AC6927" t="s">
        <v>4562</v>
      </c>
      <c r="AD6927" t="s">
        <v>32972</v>
      </c>
      <c r="AE6927" t="s">
        <v>4655</v>
      </c>
      <c r="AF6927" t="s">
        <v>5201</v>
      </c>
      <c r="AG6927" t="s">
        <v>4564</v>
      </c>
      <c r="AH6927" t="s">
        <v>1605</v>
      </c>
      <c r="AI6927" t="s">
        <v>32973</v>
      </c>
      <c r="AJ6927" t="s">
        <v>3213</v>
      </c>
      <c r="AK6927" t="s">
        <v>32974</v>
      </c>
      <c r="AL6927" s="13" t="s">
        <v>1886</v>
      </c>
      <c r="AM6927" s="14">
        <v>1</v>
      </c>
      <c r="AN6927" s="15" t="s">
        <v>2412</v>
      </c>
    </row>
    <row r="6928" spans="1:40" x14ac:dyDescent="0.3">
      <c r="A6928" s="10" t="str">
        <f>HYPERLINK("http://www.washoecounty.gov/assessor/cama/?parid=512-081-04&amp;CardNumber=1","512-081-04")</f>
        <v>512-081-04</v>
      </c>
      <c r="B6928" t="s">
        <v>4655</v>
      </c>
      <c r="C6928" t="s">
        <v>32975</v>
      </c>
      <c r="D6928" s="1">
        <v>40506</v>
      </c>
      <c r="E6928" s="2">
        <v>310000</v>
      </c>
      <c r="F6928" t="s">
        <v>4567</v>
      </c>
      <c r="G6928" s="17" t="str">
        <f>HYPERLINK("https://www.washoecounty.gov/assessor/cama/?command=sales&amp;parid=51208104","3946879")</f>
        <v>3946879</v>
      </c>
      <c r="H6928" t="s">
        <v>32976</v>
      </c>
      <c r="I6928">
        <v>2006</v>
      </c>
      <c r="J6928">
        <v>2006</v>
      </c>
      <c r="K6928" t="s">
        <v>4554</v>
      </c>
      <c r="L6928" t="s">
        <v>3974</v>
      </c>
      <c r="M6928" s="2">
        <v>3690</v>
      </c>
      <c r="N6928" t="s">
        <v>5280</v>
      </c>
      <c r="O6928">
        <v>4</v>
      </c>
      <c r="P6928">
        <v>4</v>
      </c>
      <c r="Q6928">
        <v>0</v>
      </c>
      <c r="R6928" t="s">
        <v>5281</v>
      </c>
      <c r="S6928" t="s">
        <v>4898</v>
      </c>
      <c r="T6928" t="s">
        <v>2704</v>
      </c>
      <c r="U6928" t="s">
        <v>5631</v>
      </c>
      <c r="V6928" s="2">
        <v>667</v>
      </c>
      <c r="W6928" t="s">
        <v>4655</v>
      </c>
      <c r="X6928" s="2">
        <v>0</v>
      </c>
      <c r="Y6928">
        <v>20</v>
      </c>
      <c r="Z6928" t="s">
        <v>2048</v>
      </c>
      <c r="AA6928" s="3">
        <v>0.16850320994854001</v>
      </c>
      <c r="AB6928" t="s">
        <v>32977</v>
      </c>
      <c r="AC6928" t="s">
        <v>4575</v>
      </c>
      <c r="AD6928" t="s">
        <v>32975</v>
      </c>
      <c r="AE6928" t="s">
        <v>4655</v>
      </c>
      <c r="AF6928" t="s">
        <v>5201</v>
      </c>
      <c r="AG6928" t="s">
        <v>4564</v>
      </c>
      <c r="AH6928" t="s">
        <v>1605</v>
      </c>
      <c r="AI6928" t="s">
        <v>32978</v>
      </c>
      <c r="AJ6928" t="s">
        <v>32979</v>
      </c>
      <c r="AK6928" t="s">
        <v>32980</v>
      </c>
      <c r="AL6928" s="13" t="s">
        <v>1886</v>
      </c>
      <c r="AM6928">
        <v>1</v>
      </c>
      <c r="AN6928" s="15" t="s">
        <v>438</v>
      </c>
    </row>
    <row r="6929" spans="1:40" x14ac:dyDescent="0.3">
      <c r="A6929" s="10" t="str">
        <f>HYPERLINK("http://www.washoecounty.gov/assessor/cama/?parid=512-081-05&amp;CardNumber=1","512-081-05")</f>
        <v>512-081-05</v>
      </c>
      <c r="B6929" t="s">
        <v>4655</v>
      </c>
      <c r="C6929" t="s">
        <v>32981</v>
      </c>
      <c r="D6929" s="1">
        <v>40455</v>
      </c>
      <c r="E6929" s="2">
        <v>265000</v>
      </c>
      <c r="F6929" t="s">
        <v>4567</v>
      </c>
      <c r="G6929" s="17" t="str">
        <f>HYPERLINK("https://www.washoecounty.gov/assessor/cama/?command=sales&amp;parid=51208105","3929051")</f>
        <v>3929051</v>
      </c>
      <c r="H6929" t="s">
        <v>32982</v>
      </c>
      <c r="I6929">
        <v>2006</v>
      </c>
      <c r="J6929">
        <v>2006</v>
      </c>
      <c r="K6929" t="s">
        <v>4554</v>
      </c>
      <c r="L6929" t="s">
        <v>3974</v>
      </c>
      <c r="M6929" s="2">
        <v>3690</v>
      </c>
      <c r="N6929" t="s">
        <v>5280</v>
      </c>
      <c r="O6929">
        <v>5</v>
      </c>
      <c r="P6929">
        <v>4</v>
      </c>
      <c r="Q6929">
        <v>0</v>
      </c>
      <c r="R6929" t="s">
        <v>5281</v>
      </c>
      <c r="S6929" t="s">
        <v>4898</v>
      </c>
      <c r="T6929" t="s">
        <v>2704</v>
      </c>
      <c r="U6929" t="s">
        <v>5631</v>
      </c>
      <c r="V6929" s="2">
        <v>667</v>
      </c>
      <c r="W6929" t="s">
        <v>4655</v>
      </c>
      <c r="X6929" s="2">
        <v>0</v>
      </c>
      <c r="Y6929">
        <v>20</v>
      </c>
      <c r="Z6929" t="s">
        <v>2048</v>
      </c>
      <c r="AA6929" s="3">
        <v>0.15426997840404499</v>
      </c>
      <c r="AB6929" t="s">
        <v>32983</v>
      </c>
      <c r="AC6929" t="s">
        <v>4562</v>
      </c>
      <c r="AD6929" t="s">
        <v>32981</v>
      </c>
      <c r="AE6929" t="s">
        <v>4655</v>
      </c>
      <c r="AF6929" t="s">
        <v>4809</v>
      </c>
      <c r="AG6929" t="s">
        <v>4564</v>
      </c>
      <c r="AH6929" t="s">
        <v>1605</v>
      </c>
      <c r="AI6929" t="s">
        <v>32984</v>
      </c>
      <c r="AJ6929" t="s">
        <v>32979</v>
      </c>
      <c r="AK6929" t="s">
        <v>32985</v>
      </c>
      <c r="AL6929" s="13" t="s">
        <v>1886</v>
      </c>
      <c r="AM6929">
        <v>1</v>
      </c>
      <c r="AN6929" s="15" t="s">
        <v>438</v>
      </c>
    </row>
    <row r="6930" spans="1:40" x14ac:dyDescent="0.3">
      <c r="A6930" s="10" t="str">
        <f>HYPERLINK("http://www.washoecounty.gov/assessor/cama/?parid=512-091-10&amp;CardNumber=1","512-091-10")</f>
        <v>512-091-10</v>
      </c>
      <c r="B6930" t="s">
        <v>4655</v>
      </c>
      <c r="C6930" t="s">
        <v>32986</v>
      </c>
      <c r="D6930" s="1">
        <v>40423</v>
      </c>
      <c r="E6930" s="2">
        <v>232500</v>
      </c>
      <c r="F6930" t="s">
        <v>4553</v>
      </c>
      <c r="G6930" s="17" t="str">
        <f>HYPERLINK("https://www.washoecounty.gov/assessor/cama/?command=sales&amp;parid=51209110","3918283")</f>
        <v>3918283</v>
      </c>
      <c r="H6930" t="s">
        <v>2410</v>
      </c>
      <c r="I6930">
        <v>2006</v>
      </c>
      <c r="J6930">
        <v>2006</v>
      </c>
      <c r="K6930" t="s">
        <v>4554</v>
      </c>
      <c r="L6930" t="s">
        <v>3886</v>
      </c>
      <c r="M6930" s="2">
        <v>2305</v>
      </c>
      <c r="N6930" t="s">
        <v>5280</v>
      </c>
      <c r="O6930">
        <v>4</v>
      </c>
      <c r="P6930">
        <v>3</v>
      </c>
      <c r="Q6930">
        <v>0</v>
      </c>
      <c r="R6930" t="s">
        <v>4557</v>
      </c>
      <c r="S6930" t="s">
        <v>4898</v>
      </c>
      <c r="T6930" t="s">
        <v>2704</v>
      </c>
      <c r="U6930" t="s">
        <v>4560</v>
      </c>
      <c r="V6930" s="2">
        <v>441</v>
      </c>
      <c r="W6930" t="s">
        <v>4655</v>
      </c>
      <c r="X6930" s="2">
        <v>0</v>
      </c>
      <c r="Y6930">
        <v>20</v>
      </c>
      <c r="Z6930" t="s">
        <v>2048</v>
      </c>
      <c r="AA6930" s="3">
        <v>0.14807163178920699</v>
      </c>
      <c r="AB6930" t="s">
        <v>32987</v>
      </c>
      <c r="AC6930" t="s">
        <v>4562</v>
      </c>
      <c r="AD6930" t="s">
        <v>32986</v>
      </c>
      <c r="AE6930" t="s">
        <v>4655</v>
      </c>
      <c r="AF6930" t="s">
        <v>5201</v>
      </c>
      <c r="AG6930" t="s">
        <v>4564</v>
      </c>
      <c r="AH6930" t="s">
        <v>1605</v>
      </c>
      <c r="AI6930" t="s">
        <v>32988</v>
      </c>
      <c r="AJ6930" t="s">
        <v>2411</v>
      </c>
      <c r="AK6930" t="s">
        <v>32989</v>
      </c>
      <c r="AL6930" s="13" t="s">
        <v>1886</v>
      </c>
      <c r="AM6930" s="14">
        <v>1</v>
      </c>
      <c r="AN6930" s="15" t="s">
        <v>2412</v>
      </c>
    </row>
    <row r="6931" spans="1:40" x14ac:dyDescent="0.3">
      <c r="A6931" s="10" t="str">
        <f>HYPERLINK("http://www.washoecounty.gov/assessor/cama/?parid=512-092-08&amp;CardNumber=1","512-092-08")</f>
        <v>512-092-08</v>
      </c>
      <c r="B6931" t="s">
        <v>4655</v>
      </c>
      <c r="C6931" t="s">
        <v>32990</v>
      </c>
      <c r="D6931" s="1">
        <v>40486</v>
      </c>
      <c r="E6931" s="2">
        <v>185000</v>
      </c>
      <c r="F6931" t="s">
        <v>4567</v>
      </c>
      <c r="G6931" s="17" t="str">
        <f>HYPERLINK("https://www.washoecounty.gov/assessor/cama/?command=sales&amp;parid=51209208","3940053")</f>
        <v>3940053</v>
      </c>
      <c r="H6931" t="s">
        <v>2410</v>
      </c>
      <c r="I6931">
        <v>2007</v>
      </c>
      <c r="J6931">
        <v>2007</v>
      </c>
      <c r="K6931" t="s">
        <v>4554</v>
      </c>
      <c r="L6931" t="s">
        <v>4555</v>
      </c>
      <c r="M6931" s="2">
        <v>1838</v>
      </c>
      <c r="N6931" t="s">
        <v>5280</v>
      </c>
      <c r="O6931">
        <v>3</v>
      </c>
      <c r="P6931">
        <v>2</v>
      </c>
      <c r="Q6931">
        <v>0</v>
      </c>
      <c r="R6931" t="s">
        <v>5281</v>
      </c>
      <c r="S6931" t="s">
        <v>4898</v>
      </c>
      <c r="T6931" t="s">
        <v>2704</v>
      </c>
      <c r="U6931" t="s">
        <v>4560</v>
      </c>
      <c r="V6931" s="2">
        <v>444</v>
      </c>
      <c r="W6931" t="s">
        <v>4655</v>
      </c>
      <c r="X6931" s="2">
        <v>0</v>
      </c>
      <c r="Y6931">
        <v>20</v>
      </c>
      <c r="Z6931" t="s">
        <v>2048</v>
      </c>
      <c r="AA6931" s="3">
        <v>0.15463727712631201</v>
      </c>
      <c r="AB6931" t="s">
        <v>32991</v>
      </c>
      <c r="AC6931" t="s">
        <v>4562</v>
      </c>
      <c r="AD6931" t="s">
        <v>32992</v>
      </c>
      <c r="AE6931" t="s">
        <v>4655</v>
      </c>
      <c r="AF6931" t="s">
        <v>4563</v>
      </c>
      <c r="AG6931" t="s">
        <v>4564</v>
      </c>
      <c r="AH6931">
        <v>89509</v>
      </c>
      <c r="AI6931" t="s">
        <v>32993</v>
      </c>
      <c r="AJ6931" t="s">
        <v>2411</v>
      </c>
      <c r="AK6931" t="s">
        <v>32994</v>
      </c>
      <c r="AL6931" s="13" t="s">
        <v>1886</v>
      </c>
      <c r="AM6931">
        <v>1</v>
      </c>
      <c r="AN6931" s="15" t="s">
        <v>2412</v>
      </c>
    </row>
    <row r="6932" spans="1:40" x14ac:dyDescent="0.3">
      <c r="A6932" s="10" t="str">
        <f>HYPERLINK("http://www.washoecounty.gov/assessor/cama/?parid=512-093-10&amp;CardNumber=1","512-093-10")</f>
        <v>512-093-10</v>
      </c>
      <c r="B6932" t="s">
        <v>4655</v>
      </c>
      <c r="C6932" t="s">
        <v>32995</v>
      </c>
      <c r="D6932" s="1">
        <v>40263</v>
      </c>
      <c r="E6932" s="2">
        <v>185000</v>
      </c>
      <c r="F6932" t="s">
        <v>4567</v>
      </c>
      <c r="G6932" s="17" t="str">
        <f>HYPERLINK("https://www.washoecounty.gov/assessor/cama/?command=sales&amp;parid=51209310","3864503")</f>
        <v>3864503</v>
      </c>
      <c r="H6932" t="s">
        <v>2410</v>
      </c>
      <c r="I6932">
        <v>2007</v>
      </c>
      <c r="J6932">
        <v>2007</v>
      </c>
      <c r="K6932" t="s">
        <v>4554</v>
      </c>
      <c r="L6932" t="s">
        <v>4555</v>
      </c>
      <c r="M6932" s="2">
        <v>1666</v>
      </c>
      <c r="N6932" t="s">
        <v>5280</v>
      </c>
      <c r="O6932">
        <v>3</v>
      </c>
      <c r="P6932">
        <v>2</v>
      </c>
      <c r="Q6932">
        <v>0</v>
      </c>
      <c r="R6932" t="s">
        <v>5281</v>
      </c>
      <c r="S6932" t="s">
        <v>4898</v>
      </c>
      <c r="T6932" t="s">
        <v>2704</v>
      </c>
      <c r="U6932" t="s">
        <v>4560</v>
      </c>
      <c r="V6932" s="2">
        <v>441</v>
      </c>
      <c r="W6932" t="s">
        <v>4655</v>
      </c>
      <c r="X6932" s="2">
        <v>0</v>
      </c>
      <c r="Y6932">
        <v>20</v>
      </c>
      <c r="Z6932" t="s">
        <v>2048</v>
      </c>
      <c r="AA6932" s="3">
        <v>0.19416895508766199</v>
      </c>
      <c r="AB6932" t="s">
        <v>32996</v>
      </c>
      <c r="AC6932" t="s">
        <v>4562</v>
      </c>
      <c r="AD6932" t="s">
        <v>32995</v>
      </c>
      <c r="AE6932" t="s">
        <v>4655</v>
      </c>
      <c r="AF6932" t="s">
        <v>5201</v>
      </c>
      <c r="AG6932" t="s">
        <v>4564</v>
      </c>
      <c r="AH6932" t="s">
        <v>1605</v>
      </c>
      <c r="AI6932" t="s">
        <v>32997</v>
      </c>
      <c r="AJ6932" t="s">
        <v>2411</v>
      </c>
      <c r="AK6932" t="s">
        <v>32998</v>
      </c>
      <c r="AL6932" s="13" t="s">
        <v>1886</v>
      </c>
      <c r="AM6932">
        <v>1</v>
      </c>
      <c r="AN6932" s="15" t="s">
        <v>2412</v>
      </c>
    </row>
    <row r="6933" spans="1:40" x14ac:dyDescent="0.3">
      <c r="A6933" s="10" t="str">
        <f>HYPERLINK("http://www.washoecounty.gov/assessor/cama/?parid=512-093-13&amp;CardNumber=1","512-093-13")</f>
        <v>512-093-13</v>
      </c>
      <c r="B6933" t="s">
        <v>4655</v>
      </c>
      <c r="C6933" t="s">
        <v>32999</v>
      </c>
      <c r="D6933" s="1">
        <v>40458</v>
      </c>
      <c r="E6933" s="2">
        <v>235000</v>
      </c>
      <c r="F6933" t="s">
        <v>4553</v>
      </c>
      <c r="G6933" s="17" t="str">
        <f>HYPERLINK("https://www.washoecounty.gov/assessor/cama/?command=sales&amp;parid=51209313","3930861")</f>
        <v>3930861</v>
      </c>
      <c r="H6933" t="s">
        <v>2410</v>
      </c>
      <c r="I6933">
        <v>2007</v>
      </c>
      <c r="J6933">
        <v>2007</v>
      </c>
      <c r="K6933" t="s">
        <v>4554</v>
      </c>
      <c r="L6933" t="s">
        <v>3886</v>
      </c>
      <c r="M6933" s="2">
        <v>2305</v>
      </c>
      <c r="N6933" t="s">
        <v>5280</v>
      </c>
      <c r="O6933">
        <v>4</v>
      </c>
      <c r="P6933">
        <v>3</v>
      </c>
      <c r="Q6933">
        <v>0</v>
      </c>
      <c r="R6933" t="s">
        <v>5281</v>
      </c>
      <c r="S6933" t="s">
        <v>4898</v>
      </c>
      <c r="T6933" t="s">
        <v>2704</v>
      </c>
      <c r="U6933" t="s">
        <v>4560</v>
      </c>
      <c r="V6933" s="2">
        <v>441</v>
      </c>
      <c r="W6933" t="s">
        <v>4655</v>
      </c>
      <c r="X6933" s="2">
        <v>0</v>
      </c>
      <c r="Y6933">
        <v>20</v>
      </c>
      <c r="Z6933" t="s">
        <v>2048</v>
      </c>
      <c r="AA6933" s="3">
        <v>0.23335629701614399</v>
      </c>
      <c r="AB6933" t="s">
        <v>33000</v>
      </c>
      <c r="AC6933" t="s">
        <v>4562</v>
      </c>
      <c r="AD6933" t="s">
        <v>33001</v>
      </c>
      <c r="AE6933" t="s">
        <v>4655</v>
      </c>
      <c r="AF6933" t="s">
        <v>4809</v>
      </c>
      <c r="AG6933" t="s">
        <v>4564</v>
      </c>
      <c r="AH6933" t="s">
        <v>1605</v>
      </c>
      <c r="AI6933" t="s">
        <v>4655</v>
      </c>
      <c r="AJ6933" t="s">
        <v>2411</v>
      </c>
      <c r="AK6933" t="s">
        <v>33002</v>
      </c>
      <c r="AL6933" s="13" t="s">
        <v>1886</v>
      </c>
      <c r="AM6933" s="14">
        <v>1</v>
      </c>
      <c r="AN6933" s="15" t="s">
        <v>2412</v>
      </c>
    </row>
    <row r="6934" spans="1:40" x14ac:dyDescent="0.3">
      <c r="A6934" s="10" t="str">
        <f>HYPERLINK("http://www.washoecounty.gov/assessor/cama/?parid=512-101-01&amp;CardNumber=1","512-101-01")</f>
        <v>512-101-01</v>
      </c>
      <c r="B6934" t="s">
        <v>4655</v>
      </c>
      <c r="C6934" t="s">
        <v>33003</v>
      </c>
      <c r="D6934" s="1">
        <v>40443</v>
      </c>
      <c r="E6934" s="2">
        <v>177000</v>
      </c>
      <c r="F6934" t="s">
        <v>4567</v>
      </c>
      <c r="G6934" s="17" t="str">
        <f>HYPERLINK("https://www.washoecounty.gov/assessor/cama/?command=sales&amp;parid=51210101","3925218")</f>
        <v>3925218</v>
      </c>
      <c r="H6934" t="s">
        <v>2410</v>
      </c>
      <c r="I6934">
        <v>2007</v>
      </c>
      <c r="J6934">
        <v>2007</v>
      </c>
      <c r="K6934" t="s">
        <v>4554</v>
      </c>
      <c r="L6934" t="s">
        <v>4555</v>
      </c>
      <c r="M6934" s="2">
        <v>1666</v>
      </c>
      <c r="N6934" t="s">
        <v>5280</v>
      </c>
      <c r="O6934">
        <v>3</v>
      </c>
      <c r="P6934">
        <v>2</v>
      </c>
      <c r="Q6934">
        <v>0</v>
      </c>
      <c r="R6934" t="s">
        <v>5281</v>
      </c>
      <c r="S6934" t="s">
        <v>4898</v>
      </c>
      <c r="T6934" t="s">
        <v>2704</v>
      </c>
      <c r="U6934" t="s">
        <v>4560</v>
      </c>
      <c r="V6934" s="2">
        <v>441</v>
      </c>
      <c r="W6934" t="s">
        <v>4655</v>
      </c>
      <c r="X6934" s="2">
        <v>0</v>
      </c>
      <c r="Y6934">
        <v>20</v>
      </c>
      <c r="Z6934" t="s">
        <v>2048</v>
      </c>
      <c r="AA6934" s="3">
        <v>0.16359044611453999</v>
      </c>
      <c r="AB6934" t="s">
        <v>33004</v>
      </c>
      <c r="AC6934" t="s">
        <v>4562</v>
      </c>
      <c r="AD6934" t="s">
        <v>33003</v>
      </c>
      <c r="AE6934" t="s">
        <v>4655</v>
      </c>
      <c r="AF6934" t="s">
        <v>5201</v>
      </c>
      <c r="AG6934" t="s">
        <v>4564</v>
      </c>
      <c r="AH6934" t="s">
        <v>1605</v>
      </c>
      <c r="AI6934" t="s">
        <v>33005</v>
      </c>
      <c r="AJ6934" t="s">
        <v>2411</v>
      </c>
      <c r="AK6934" t="s">
        <v>33006</v>
      </c>
      <c r="AL6934" s="13" t="s">
        <v>1886</v>
      </c>
      <c r="AM6934" s="14">
        <v>1</v>
      </c>
      <c r="AN6934" s="15" t="s">
        <v>2412</v>
      </c>
    </row>
    <row r="6935" spans="1:40" x14ac:dyDescent="0.3">
      <c r="A6935" s="10" t="str">
        <f>HYPERLINK("http://www.washoecounty.gov/assessor/cama/?parid=512-102-04&amp;CardNumber=1","512-102-04")</f>
        <v>512-102-04</v>
      </c>
      <c r="B6935" t="s">
        <v>4655</v>
      </c>
      <c r="C6935" t="s">
        <v>33007</v>
      </c>
      <c r="D6935" s="1">
        <v>40506</v>
      </c>
      <c r="E6935" s="2">
        <v>203000</v>
      </c>
      <c r="F6935" t="s">
        <v>4567</v>
      </c>
      <c r="G6935" s="17" t="str">
        <f>HYPERLINK("https://www.washoecounty.gov/assessor/cama/?command=sales&amp;parid=51210204","3946513")</f>
        <v>3946513</v>
      </c>
      <c r="H6935" t="s">
        <v>2410</v>
      </c>
      <c r="I6935">
        <v>2007</v>
      </c>
      <c r="J6935">
        <v>2007</v>
      </c>
      <c r="K6935" t="s">
        <v>4554</v>
      </c>
      <c r="L6935" t="s">
        <v>4555</v>
      </c>
      <c r="M6935" s="2">
        <v>2028</v>
      </c>
      <c r="N6935" t="s">
        <v>5280</v>
      </c>
      <c r="O6935">
        <v>4</v>
      </c>
      <c r="P6935">
        <v>3</v>
      </c>
      <c r="Q6935">
        <v>0</v>
      </c>
      <c r="R6935" t="s">
        <v>5281</v>
      </c>
      <c r="S6935" t="s">
        <v>4898</v>
      </c>
      <c r="T6935" t="s">
        <v>2704</v>
      </c>
      <c r="U6935" t="s">
        <v>4560</v>
      </c>
      <c r="V6935" s="2">
        <v>400</v>
      </c>
      <c r="W6935" t="s">
        <v>4655</v>
      </c>
      <c r="X6935" s="2">
        <v>0</v>
      </c>
      <c r="Y6935">
        <v>20</v>
      </c>
      <c r="Z6935" t="s">
        <v>2048</v>
      </c>
      <c r="AA6935" s="3">
        <v>0.15206611156463601</v>
      </c>
      <c r="AB6935" t="s">
        <v>33008</v>
      </c>
      <c r="AC6935" t="s">
        <v>4562</v>
      </c>
      <c r="AD6935" t="s">
        <v>33007</v>
      </c>
      <c r="AE6935" t="s">
        <v>4655</v>
      </c>
      <c r="AF6935" t="s">
        <v>5201</v>
      </c>
      <c r="AG6935" t="s">
        <v>4564</v>
      </c>
      <c r="AH6935" t="s">
        <v>1605</v>
      </c>
      <c r="AI6935" t="s">
        <v>33009</v>
      </c>
      <c r="AJ6935" t="s">
        <v>2411</v>
      </c>
      <c r="AK6935" t="s">
        <v>33010</v>
      </c>
      <c r="AL6935" s="13" t="s">
        <v>1886</v>
      </c>
      <c r="AM6935">
        <v>1</v>
      </c>
      <c r="AN6935" s="15" t="s">
        <v>2412</v>
      </c>
    </row>
    <row r="6936" spans="1:40" x14ac:dyDescent="0.3">
      <c r="A6936" s="10" t="str">
        <f>HYPERLINK("http://www.washoecounty.gov/assessor/cama/?parid=512-102-14&amp;CardNumber=1","512-102-14")</f>
        <v>512-102-14</v>
      </c>
      <c r="B6936" t="s">
        <v>4655</v>
      </c>
      <c r="C6936" t="s">
        <v>33011</v>
      </c>
      <c r="D6936" s="1">
        <v>40263</v>
      </c>
      <c r="E6936" s="2">
        <v>180000</v>
      </c>
      <c r="F6936" t="s">
        <v>4567</v>
      </c>
      <c r="G6936" s="17" t="str">
        <f>HYPERLINK("https://www.washoecounty.gov/assessor/cama/?command=sales&amp;parid=51210214","3864505")</f>
        <v>3864505</v>
      </c>
      <c r="H6936" t="s">
        <v>2410</v>
      </c>
      <c r="I6936">
        <v>2007</v>
      </c>
      <c r="J6936">
        <v>2007</v>
      </c>
      <c r="K6936" t="s">
        <v>4554</v>
      </c>
      <c r="L6936" t="s">
        <v>3886</v>
      </c>
      <c r="M6936" s="2">
        <v>1666</v>
      </c>
      <c r="N6936" t="s">
        <v>5280</v>
      </c>
      <c r="O6936">
        <v>3</v>
      </c>
      <c r="P6936">
        <v>2</v>
      </c>
      <c r="Q6936">
        <v>0</v>
      </c>
      <c r="R6936" t="s">
        <v>5281</v>
      </c>
      <c r="S6936" t="s">
        <v>4898</v>
      </c>
      <c r="T6936" t="s">
        <v>2704</v>
      </c>
      <c r="U6936" t="s">
        <v>4560</v>
      </c>
      <c r="V6936" s="2">
        <v>441</v>
      </c>
      <c r="W6936" t="s">
        <v>4655</v>
      </c>
      <c r="X6936" s="2">
        <v>0</v>
      </c>
      <c r="Y6936">
        <v>20</v>
      </c>
      <c r="Z6936" t="s">
        <v>2048</v>
      </c>
      <c r="AA6936" s="3">
        <v>0.19265380501747101</v>
      </c>
      <c r="AB6936" t="s">
        <v>33012</v>
      </c>
      <c r="AC6936" t="s">
        <v>4562</v>
      </c>
      <c r="AD6936" t="s">
        <v>33013</v>
      </c>
      <c r="AE6936" t="s">
        <v>4655</v>
      </c>
      <c r="AF6936" t="s">
        <v>4809</v>
      </c>
      <c r="AG6936" t="s">
        <v>4564</v>
      </c>
      <c r="AH6936" t="s">
        <v>1605</v>
      </c>
      <c r="AI6936" t="s">
        <v>33014</v>
      </c>
      <c r="AJ6936" t="s">
        <v>2411</v>
      </c>
      <c r="AK6936" t="s">
        <v>33015</v>
      </c>
      <c r="AL6936" s="13" t="s">
        <v>1886</v>
      </c>
      <c r="AM6936" s="14">
        <v>1</v>
      </c>
      <c r="AN6936" s="15" t="s">
        <v>2412</v>
      </c>
    </row>
    <row r="6937" spans="1:40" x14ac:dyDescent="0.3">
      <c r="A6937" s="10" t="str">
        <f>HYPERLINK("http://www.washoecounty.gov/assessor/cama/?parid=512-102-17&amp;CardNumber=1","512-102-17")</f>
        <v>512-102-17</v>
      </c>
      <c r="B6937" t="s">
        <v>4655</v>
      </c>
      <c r="C6937" t="s">
        <v>33016</v>
      </c>
      <c r="D6937" s="1">
        <v>40248</v>
      </c>
      <c r="E6937" s="2">
        <v>205000</v>
      </c>
      <c r="F6937" t="s">
        <v>4567</v>
      </c>
      <c r="G6937" s="17" t="str">
        <f>HYPERLINK("https://www.washoecounty.gov/assessor/cama/?command=sales&amp;parid=51210217","3858562")</f>
        <v>3858562</v>
      </c>
      <c r="H6937" t="s">
        <v>2410</v>
      </c>
      <c r="I6937">
        <v>2007</v>
      </c>
      <c r="J6937">
        <v>2007</v>
      </c>
      <c r="K6937" t="s">
        <v>4554</v>
      </c>
      <c r="L6937" t="s">
        <v>4555</v>
      </c>
      <c r="M6937" s="2">
        <v>1830</v>
      </c>
      <c r="N6937" t="s">
        <v>5280</v>
      </c>
      <c r="O6937">
        <v>3</v>
      </c>
      <c r="P6937">
        <v>2</v>
      </c>
      <c r="Q6937">
        <v>0</v>
      </c>
      <c r="R6937" t="s">
        <v>5281</v>
      </c>
      <c r="S6937" t="s">
        <v>4898</v>
      </c>
      <c r="T6937" t="s">
        <v>2704</v>
      </c>
      <c r="U6937" t="s">
        <v>4560</v>
      </c>
      <c r="V6937" s="2">
        <v>444</v>
      </c>
      <c r="W6937" t="s">
        <v>4655</v>
      </c>
      <c r="X6937" s="2">
        <v>0</v>
      </c>
      <c r="Y6937">
        <v>20</v>
      </c>
      <c r="Z6937" t="s">
        <v>2048</v>
      </c>
      <c r="AA6937" s="3">
        <v>0.27286502718925498</v>
      </c>
      <c r="AB6937" t="s">
        <v>33017</v>
      </c>
      <c r="AC6937" t="s">
        <v>4575</v>
      </c>
      <c r="AD6937" t="s">
        <v>33016</v>
      </c>
      <c r="AE6937" t="s">
        <v>4655</v>
      </c>
      <c r="AF6937" t="s">
        <v>5201</v>
      </c>
      <c r="AG6937" t="s">
        <v>4564</v>
      </c>
      <c r="AH6937" t="s">
        <v>1605</v>
      </c>
      <c r="AI6937" t="s">
        <v>33018</v>
      </c>
      <c r="AJ6937" t="s">
        <v>2411</v>
      </c>
      <c r="AK6937" t="s">
        <v>33019</v>
      </c>
      <c r="AL6937" s="13" t="s">
        <v>1886</v>
      </c>
      <c r="AM6937">
        <v>1</v>
      </c>
      <c r="AN6937" s="15" t="s">
        <v>2412</v>
      </c>
    </row>
    <row r="6938" spans="1:40" x14ac:dyDescent="0.3">
      <c r="A6938" s="10" t="str">
        <f>HYPERLINK("http://www.washoecounty.gov/assessor/cama/?parid=512-121-06&amp;CardNumber=1","512-121-06")</f>
        <v>512-121-06</v>
      </c>
      <c r="B6938" t="s">
        <v>4655</v>
      </c>
      <c r="C6938" t="s">
        <v>33020</v>
      </c>
      <c r="D6938" s="1">
        <v>40539</v>
      </c>
      <c r="E6938" s="2">
        <v>219867</v>
      </c>
      <c r="F6938" t="s">
        <v>3259</v>
      </c>
      <c r="G6938" s="17" t="str">
        <f>HYPERLINK("https://www.washoecounty.gov/assessor/cama/?command=sales&amp;parid=51212106","3957561")</f>
        <v>3957561</v>
      </c>
      <c r="H6938" t="s">
        <v>436</v>
      </c>
      <c r="I6938">
        <v>2010</v>
      </c>
      <c r="J6938">
        <v>2010</v>
      </c>
      <c r="K6938" t="s">
        <v>4554</v>
      </c>
      <c r="L6938" t="s">
        <v>4555</v>
      </c>
      <c r="M6938" s="2">
        <v>1826</v>
      </c>
      <c r="N6938" t="s">
        <v>5280</v>
      </c>
      <c r="O6938">
        <v>3</v>
      </c>
      <c r="P6938">
        <v>2</v>
      </c>
      <c r="Q6938">
        <v>0</v>
      </c>
      <c r="R6938" t="s">
        <v>5281</v>
      </c>
      <c r="S6938" t="s">
        <v>4898</v>
      </c>
      <c r="T6938" t="s">
        <v>2704</v>
      </c>
      <c r="U6938" t="s">
        <v>4560</v>
      </c>
      <c r="V6938" s="2">
        <v>457</v>
      </c>
      <c r="W6938" t="s">
        <v>4655</v>
      </c>
      <c r="X6938" s="2">
        <v>0</v>
      </c>
      <c r="Y6938">
        <v>20</v>
      </c>
      <c r="Z6938" t="s">
        <v>2048</v>
      </c>
      <c r="AA6938" s="3">
        <v>0.201744720339775</v>
      </c>
      <c r="AB6938" t="s">
        <v>33021</v>
      </c>
      <c r="AC6938" t="s">
        <v>4562</v>
      </c>
      <c r="AD6938" t="s">
        <v>33020</v>
      </c>
      <c r="AE6938" t="s">
        <v>4655</v>
      </c>
      <c r="AF6938" t="s">
        <v>5201</v>
      </c>
      <c r="AG6938" t="s">
        <v>4564</v>
      </c>
      <c r="AH6938" t="s">
        <v>1605</v>
      </c>
      <c r="AI6938" t="s">
        <v>33022</v>
      </c>
      <c r="AJ6938" t="s">
        <v>437</v>
      </c>
      <c r="AK6938" t="s">
        <v>33023</v>
      </c>
      <c r="AL6938" s="13" t="s">
        <v>1886</v>
      </c>
      <c r="AM6938">
        <v>1</v>
      </c>
      <c r="AN6938" s="15" t="s">
        <v>438</v>
      </c>
    </row>
    <row r="6939" spans="1:40" x14ac:dyDescent="0.3">
      <c r="A6939" s="10" t="str">
        <f>HYPERLINK("http://www.washoecounty.gov/assessor/cama/?parid=512-121-33&amp;CardNumber=1","512-121-33")</f>
        <v>512-121-33</v>
      </c>
      <c r="B6939" t="s">
        <v>4655</v>
      </c>
      <c r="C6939" s="20" t="s">
        <v>283</v>
      </c>
      <c r="D6939" s="1">
        <v>40431</v>
      </c>
      <c r="E6939" s="2">
        <v>287000</v>
      </c>
      <c r="F6939" t="s">
        <v>4567</v>
      </c>
      <c r="G6939" s="20" t="s">
        <v>282</v>
      </c>
      <c r="H6939" t="s">
        <v>436</v>
      </c>
      <c r="I6939">
        <v>2007</v>
      </c>
      <c r="J6939">
        <v>2007</v>
      </c>
      <c r="K6939" t="s">
        <v>4554</v>
      </c>
      <c r="L6939" t="s">
        <v>3974</v>
      </c>
      <c r="M6939" s="2">
        <v>3111</v>
      </c>
      <c r="N6939" t="s">
        <v>5280</v>
      </c>
      <c r="O6939">
        <v>4</v>
      </c>
      <c r="P6939">
        <v>3</v>
      </c>
      <c r="Q6939">
        <v>1</v>
      </c>
      <c r="R6939" t="s">
        <v>5281</v>
      </c>
      <c r="S6939" t="s">
        <v>4898</v>
      </c>
      <c r="T6939" t="s">
        <v>2704</v>
      </c>
      <c r="U6939" t="s">
        <v>5631</v>
      </c>
      <c r="V6939" s="2">
        <v>638</v>
      </c>
      <c r="W6939" t="s">
        <v>4655</v>
      </c>
      <c r="X6939" s="2">
        <v>0</v>
      </c>
      <c r="Y6939">
        <v>20</v>
      </c>
      <c r="Z6939" t="s">
        <v>2048</v>
      </c>
      <c r="AA6939" s="3">
        <v>0.25511938333511402</v>
      </c>
      <c r="AB6939" s="20" t="s">
        <v>8865</v>
      </c>
      <c r="AD6939" t="s">
        <v>283</v>
      </c>
      <c r="AE6939" t="s">
        <v>283</v>
      </c>
      <c r="AF6939" t="s">
        <v>283</v>
      </c>
      <c r="AG6939" t="s">
        <v>4564</v>
      </c>
      <c r="AH6939" t="s">
        <v>3101</v>
      </c>
      <c r="AI6939" t="s">
        <v>8865</v>
      </c>
      <c r="AJ6939" t="s">
        <v>437</v>
      </c>
      <c r="AK6939" t="s">
        <v>8865</v>
      </c>
      <c r="AL6939" s="13" t="s">
        <v>1886</v>
      </c>
      <c r="AM6939" s="14">
        <v>1</v>
      </c>
      <c r="AN6939" s="15" t="s">
        <v>438</v>
      </c>
    </row>
    <row r="6940" spans="1:40" x14ac:dyDescent="0.3">
      <c r="A6940" s="10" t="str">
        <f>HYPERLINK("http://www.washoecounty.gov/assessor/cama/?parid=512-131-11&amp;CardNumber=1","512-131-11")</f>
        <v>512-131-11</v>
      </c>
      <c r="B6940" t="s">
        <v>4655</v>
      </c>
      <c r="C6940" t="s">
        <v>33024</v>
      </c>
      <c r="D6940" s="1">
        <v>40459</v>
      </c>
      <c r="E6940" s="2">
        <v>304900</v>
      </c>
      <c r="F6940" t="s">
        <v>4553</v>
      </c>
      <c r="G6940" s="17" t="str">
        <f>HYPERLINK("https://www.washoecounty.gov/assessor/cama/?command=sales&amp;parid=51213111","3931270")</f>
        <v>3931270</v>
      </c>
      <c r="H6940" t="s">
        <v>436</v>
      </c>
      <c r="I6940">
        <v>2007</v>
      </c>
      <c r="J6940">
        <v>2007</v>
      </c>
      <c r="K6940" t="s">
        <v>4554</v>
      </c>
      <c r="L6940" t="s">
        <v>3974</v>
      </c>
      <c r="M6940" s="2">
        <v>3690</v>
      </c>
      <c r="N6940" t="s">
        <v>5280</v>
      </c>
      <c r="O6940">
        <v>4</v>
      </c>
      <c r="P6940">
        <v>4</v>
      </c>
      <c r="Q6940">
        <v>0</v>
      </c>
      <c r="R6940" t="s">
        <v>5281</v>
      </c>
      <c r="S6940" t="s">
        <v>4898</v>
      </c>
      <c r="T6940" t="s">
        <v>2704</v>
      </c>
      <c r="U6940" t="s">
        <v>5631</v>
      </c>
      <c r="V6940" s="2">
        <v>667</v>
      </c>
      <c r="W6940" t="s">
        <v>4655</v>
      </c>
      <c r="X6940" s="2">
        <v>0</v>
      </c>
      <c r="Y6940">
        <v>20</v>
      </c>
      <c r="Z6940" t="s">
        <v>2048</v>
      </c>
      <c r="AA6940" s="3">
        <v>0.1591368168592453</v>
      </c>
      <c r="AB6940" t="s">
        <v>33025</v>
      </c>
      <c r="AC6940" t="s">
        <v>4562</v>
      </c>
      <c r="AD6940" t="s">
        <v>33024</v>
      </c>
      <c r="AE6940" t="s">
        <v>4655</v>
      </c>
      <c r="AF6940" t="s">
        <v>5201</v>
      </c>
      <c r="AG6940" t="s">
        <v>4564</v>
      </c>
      <c r="AH6940" t="s">
        <v>1605</v>
      </c>
      <c r="AI6940" t="s">
        <v>4655</v>
      </c>
      <c r="AJ6940" t="s">
        <v>437</v>
      </c>
      <c r="AK6940" t="s">
        <v>33026</v>
      </c>
      <c r="AL6940" s="13" t="s">
        <v>1886</v>
      </c>
      <c r="AM6940" s="14">
        <v>1</v>
      </c>
      <c r="AN6940" s="15" t="s">
        <v>438</v>
      </c>
    </row>
    <row r="6941" spans="1:40" x14ac:dyDescent="0.3">
      <c r="A6941" s="10" t="str">
        <f>HYPERLINK("http://www.washoecounty.gov/assessor/cama/?parid=512-131-22&amp;CardNumber=1","512-131-22")</f>
        <v>512-131-22</v>
      </c>
      <c r="B6941" t="s">
        <v>4655</v>
      </c>
      <c r="C6941" t="s">
        <v>33027</v>
      </c>
      <c r="D6941" s="1">
        <v>40479</v>
      </c>
      <c r="E6941" s="2">
        <v>306000</v>
      </c>
      <c r="F6941" t="s">
        <v>4567</v>
      </c>
      <c r="G6941" s="17" t="str">
        <f>HYPERLINK("https://www.washoecounty.gov/assessor/cama/?command=sales&amp;parid=51213122","3937406")</f>
        <v>3937406</v>
      </c>
      <c r="H6941" t="s">
        <v>436</v>
      </c>
      <c r="I6941">
        <v>2007</v>
      </c>
      <c r="J6941">
        <v>2007</v>
      </c>
      <c r="K6941" t="s">
        <v>4554</v>
      </c>
      <c r="L6941" t="s">
        <v>3974</v>
      </c>
      <c r="M6941" s="2">
        <v>3690</v>
      </c>
      <c r="N6941" t="s">
        <v>5280</v>
      </c>
      <c r="O6941">
        <v>4</v>
      </c>
      <c r="P6941">
        <v>4</v>
      </c>
      <c r="Q6941">
        <v>0</v>
      </c>
      <c r="R6941" t="s">
        <v>5281</v>
      </c>
      <c r="S6941" t="s">
        <v>4898</v>
      </c>
      <c r="T6941" t="s">
        <v>2704</v>
      </c>
      <c r="U6941" t="s">
        <v>5631</v>
      </c>
      <c r="V6941" s="2">
        <v>667</v>
      </c>
      <c r="W6941" t="s">
        <v>4655</v>
      </c>
      <c r="X6941" s="2">
        <v>0</v>
      </c>
      <c r="Y6941">
        <v>20</v>
      </c>
      <c r="Z6941" t="s">
        <v>2048</v>
      </c>
      <c r="AA6941" s="3">
        <v>0.14499540627002699</v>
      </c>
      <c r="AB6941" t="s">
        <v>33028</v>
      </c>
      <c r="AC6941" t="s">
        <v>4562</v>
      </c>
      <c r="AD6941" t="s">
        <v>33029</v>
      </c>
      <c r="AE6941" t="s">
        <v>4655</v>
      </c>
      <c r="AF6941" t="s">
        <v>4809</v>
      </c>
      <c r="AG6941" t="s">
        <v>4564</v>
      </c>
      <c r="AH6941" t="s">
        <v>1605</v>
      </c>
      <c r="AI6941" t="s">
        <v>33030</v>
      </c>
      <c r="AJ6941" t="s">
        <v>437</v>
      </c>
      <c r="AK6941" t="s">
        <v>33031</v>
      </c>
      <c r="AL6941" s="13" t="s">
        <v>1886</v>
      </c>
      <c r="AM6941">
        <v>1</v>
      </c>
      <c r="AN6941" s="15" t="s">
        <v>438</v>
      </c>
    </row>
    <row r="6942" spans="1:40" x14ac:dyDescent="0.3">
      <c r="A6942" s="10" t="str">
        <f>HYPERLINK("http://www.washoecounty.gov/assessor/cama/?parid=514-031-05&amp;CardNumber=1","514-031-05")</f>
        <v>514-031-05</v>
      </c>
      <c r="B6942" t="s">
        <v>4655</v>
      </c>
      <c r="C6942" t="s">
        <v>33032</v>
      </c>
      <c r="D6942" s="1">
        <v>40540</v>
      </c>
      <c r="E6942" s="2">
        <v>140000</v>
      </c>
      <c r="F6942" t="s">
        <v>4553</v>
      </c>
      <c r="G6942" s="17" t="str">
        <f>HYPERLINK("https://www.washoecounty.gov/assessor/cama/?command=sales&amp;parid=51403105","3958208")</f>
        <v>3958208</v>
      </c>
      <c r="H6942" t="s">
        <v>33033</v>
      </c>
      <c r="I6942">
        <v>1996</v>
      </c>
      <c r="J6942">
        <v>1996</v>
      </c>
      <c r="K6942" t="s">
        <v>4554</v>
      </c>
      <c r="L6942" t="s">
        <v>4555</v>
      </c>
      <c r="M6942" s="2">
        <v>1399</v>
      </c>
      <c r="N6942" t="s">
        <v>5280</v>
      </c>
      <c r="O6942">
        <v>3</v>
      </c>
      <c r="P6942">
        <v>2</v>
      </c>
      <c r="Q6942">
        <v>0</v>
      </c>
      <c r="R6942" t="s">
        <v>4557</v>
      </c>
      <c r="S6942" t="s">
        <v>4558</v>
      </c>
      <c r="T6942" t="s">
        <v>2704</v>
      </c>
      <c r="U6942" t="s">
        <v>4560</v>
      </c>
      <c r="V6942" s="2">
        <v>580</v>
      </c>
      <c r="W6942" t="s">
        <v>4655</v>
      </c>
      <c r="X6942" s="2">
        <v>0</v>
      </c>
      <c r="Y6942">
        <v>20</v>
      </c>
      <c r="Z6942" t="s">
        <v>1604</v>
      </c>
      <c r="AA6942" s="3">
        <v>0.14499540627002699</v>
      </c>
      <c r="AB6942" t="s">
        <v>33034</v>
      </c>
      <c r="AC6942" t="s">
        <v>4575</v>
      </c>
      <c r="AD6942" t="s">
        <v>5572</v>
      </c>
      <c r="AE6942" t="s">
        <v>4655</v>
      </c>
      <c r="AF6942" t="s">
        <v>22467</v>
      </c>
      <c r="AG6942" t="s">
        <v>4584</v>
      </c>
      <c r="AH6942">
        <v>94126</v>
      </c>
      <c r="AI6942" t="s">
        <v>4045</v>
      </c>
      <c r="AJ6942" t="s">
        <v>33035</v>
      </c>
      <c r="AK6942" t="s">
        <v>33036</v>
      </c>
      <c r="AL6942" s="13" t="s">
        <v>1899</v>
      </c>
      <c r="AM6942">
        <v>1</v>
      </c>
      <c r="AN6942" s="15" t="s">
        <v>1984</v>
      </c>
    </row>
    <row r="6943" spans="1:40" x14ac:dyDescent="0.3">
      <c r="A6943" s="10" t="str">
        <f>HYPERLINK("http://www.washoecounty.gov/assessor/cama/?parid=514-032-04&amp;CardNumber=1","514-032-04")</f>
        <v>514-032-04</v>
      </c>
      <c r="B6943" t="s">
        <v>4655</v>
      </c>
      <c r="C6943" t="s">
        <v>33037</v>
      </c>
      <c r="D6943" s="1">
        <v>40422</v>
      </c>
      <c r="E6943" s="2">
        <v>222895</v>
      </c>
      <c r="F6943" t="s">
        <v>4567</v>
      </c>
      <c r="G6943" s="17" t="str">
        <f>HYPERLINK("https://www.washoecounty.gov/assessor/cama/?command=sales&amp;parid=51403204","3918122")</f>
        <v>3918122</v>
      </c>
      <c r="H6943" t="s">
        <v>33038</v>
      </c>
      <c r="I6943">
        <v>1995</v>
      </c>
      <c r="J6943">
        <v>1995</v>
      </c>
      <c r="K6943" t="s">
        <v>4554</v>
      </c>
      <c r="L6943" t="s">
        <v>3974</v>
      </c>
      <c r="M6943" s="2">
        <v>2014</v>
      </c>
      <c r="N6943" t="s">
        <v>5280</v>
      </c>
      <c r="O6943">
        <v>4</v>
      </c>
      <c r="P6943">
        <v>3</v>
      </c>
      <c r="Q6943">
        <v>0</v>
      </c>
      <c r="R6943" t="s">
        <v>4557</v>
      </c>
      <c r="S6943" t="s">
        <v>4558</v>
      </c>
      <c r="T6943" t="s">
        <v>2704</v>
      </c>
      <c r="U6943" t="s">
        <v>4560</v>
      </c>
      <c r="V6943" s="2">
        <v>611</v>
      </c>
      <c r="W6943" t="s">
        <v>4655</v>
      </c>
      <c r="X6943" s="2">
        <v>0</v>
      </c>
      <c r="Y6943">
        <v>20</v>
      </c>
      <c r="Z6943" t="s">
        <v>1604</v>
      </c>
      <c r="AA6943" s="3">
        <v>0.22499999403953599</v>
      </c>
      <c r="AB6943" t="s">
        <v>33039</v>
      </c>
      <c r="AC6943" t="s">
        <v>4575</v>
      </c>
      <c r="AD6943" t="s">
        <v>33040</v>
      </c>
      <c r="AE6943" t="s">
        <v>33037</v>
      </c>
      <c r="AF6943" t="s">
        <v>5201</v>
      </c>
      <c r="AG6943" t="s">
        <v>4564</v>
      </c>
      <c r="AH6943" t="s">
        <v>1605</v>
      </c>
      <c r="AI6943" t="s">
        <v>33041</v>
      </c>
      <c r="AJ6943" t="s">
        <v>33035</v>
      </c>
      <c r="AK6943" t="s">
        <v>33042</v>
      </c>
      <c r="AL6943" s="13" t="s">
        <v>1899</v>
      </c>
      <c r="AM6943" s="14">
        <v>1</v>
      </c>
      <c r="AN6943" s="15" t="s">
        <v>1984</v>
      </c>
    </row>
    <row r="6944" spans="1:40" x14ac:dyDescent="0.3">
      <c r="A6944" s="10" t="str">
        <f>HYPERLINK("http://www.washoecounty.gov/assessor/cama/?parid=514-042-14&amp;CardNumber=1","514-042-14")</f>
        <v>514-042-14</v>
      </c>
      <c r="B6944" t="s">
        <v>4655</v>
      </c>
      <c r="C6944" t="s">
        <v>33043</v>
      </c>
      <c r="D6944" s="1">
        <v>40520</v>
      </c>
      <c r="E6944" s="2">
        <v>304370</v>
      </c>
      <c r="F6944" t="s">
        <v>4567</v>
      </c>
      <c r="G6944" s="17" t="str">
        <f>HYPERLINK("https://www.washoecounty.gov/assessor/cama/?command=sales&amp;parid=51404214","3951042")</f>
        <v>3951042</v>
      </c>
      <c r="H6944" t="s">
        <v>5062</v>
      </c>
      <c r="I6944">
        <v>1990</v>
      </c>
      <c r="J6944">
        <v>1990</v>
      </c>
      <c r="K6944" t="s">
        <v>4554</v>
      </c>
      <c r="L6944" t="s">
        <v>4555</v>
      </c>
      <c r="M6944" s="2">
        <v>2767</v>
      </c>
      <c r="N6944" t="s">
        <v>5280</v>
      </c>
      <c r="O6944">
        <v>4</v>
      </c>
      <c r="P6944">
        <v>2</v>
      </c>
      <c r="Q6944">
        <v>1</v>
      </c>
      <c r="R6944" t="s">
        <v>5281</v>
      </c>
      <c r="S6944" t="s">
        <v>4558</v>
      </c>
      <c r="T6944" t="s">
        <v>2704</v>
      </c>
      <c r="U6944" t="s">
        <v>4560</v>
      </c>
      <c r="V6944" s="2">
        <v>704</v>
      </c>
      <c r="W6944" t="s">
        <v>4655</v>
      </c>
      <c r="X6944" s="2">
        <v>0</v>
      </c>
      <c r="Y6944">
        <v>20</v>
      </c>
      <c r="Z6944" t="s">
        <v>4830</v>
      </c>
      <c r="AA6944" s="3">
        <v>0.31499081850051902</v>
      </c>
      <c r="AB6944" t="s">
        <v>33044</v>
      </c>
      <c r="AC6944" t="s">
        <v>4575</v>
      </c>
      <c r="AD6944" t="s">
        <v>33043</v>
      </c>
      <c r="AE6944" t="s">
        <v>4655</v>
      </c>
      <c r="AF6944" t="s">
        <v>5201</v>
      </c>
      <c r="AG6944" t="s">
        <v>4564</v>
      </c>
      <c r="AH6944" t="s">
        <v>1605</v>
      </c>
      <c r="AI6944" t="s">
        <v>33045</v>
      </c>
      <c r="AJ6944" t="s">
        <v>33046</v>
      </c>
      <c r="AK6944" t="s">
        <v>33047</v>
      </c>
      <c r="AL6944" s="13" t="s">
        <v>1886</v>
      </c>
      <c r="AM6944">
        <v>1</v>
      </c>
      <c r="AN6944" s="15" t="s">
        <v>1984</v>
      </c>
    </row>
    <row r="6945" spans="1:40" x14ac:dyDescent="0.3">
      <c r="A6945" s="10" t="str">
        <f>HYPERLINK("http://www.washoecounty.gov/assessor/cama/?parid=514-061-05&amp;CardNumber=1","514-061-05")</f>
        <v>514-061-05</v>
      </c>
      <c r="B6945" t="s">
        <v>4655</v>
      </c>
      <c r="C6945" t="s">
        <v>33048</v>
      </c>
      <c r="D6945" s="1">
        <v>40450</v>
      </c>
      <c r="E6945" s="2">
        <v>220000</v>
      </c>
      <c r="F6945" t="s">
        <v>4567</v>
      </c>
      <c r="G6945" s="17" t="str">
        <f>HYPERLINK("https://www.washoecounty.gov/assessor/cama/?command=sales&amp;parid=51406105","3927678")</f>
        <v>3927678</v>
      </c>
      <c r="H6945" t="s">
        <v>5505</v>
      </c>
      <c r="I6945">
        <v>1994</v>
      </c>
      <c r="J6945">
        <v>1994</v>
      </c>
      <c r="K6945" t="s">
        <v>4554</v>
      </c>
      <c r="L6945" t="s">
        <v>3974</v>
      </c>
      <c r="M6945" s="2">
        <v>2495</v>
      </c>
      <c r="N6945" t="s">
        <v>5280</v>
      </c>
      <c r="O6945">
        <v>4</v>
      </c>
      <c r="P6945">
        <v>2</v>
      </c>
      <c r="Q6945">
        <v>1</v>
      </c>
      <c r="R6945" t="s">
        <v>4557</v>
      </c>
      <c r="S6945" t="s">
        <v>4558</v>
      </c>
      <c r="T6945" t="s">
        <v>2704</v>
      </c>
      <c r="U6945" t="s">
        <v>4560</v>
      </c>
      <c r="V6945" s="2">
        <v>583</v>
      </c>
      <c r="W6945" t="s">
        <v>4655</v>
      </c>
      <c r="X6945" s="2">
        <v>0</v>
      </c>
      <c r="Y6945">
        <v>20</v>
      </c>
      <c r="Z6945" t="s">
        <v>1687</v>
      </c>
      <c r="AA6945" s="3">
        <v>0.17499999701976801</v>
      </c>
      <c r="AB6945" t="s">
        <v>33049</v>
      </c>
      <c r="AC6945" t="s">
        <v>4562</v>
      </c>
      <c r="AD6945" t="s">
        <v>33048</v>
      </c>
      <c r="AE6945" t="s">
        <v>4655</v>
      </c>
      <c r="AF6945" t="s">
        <v>5201</v>
      </c>
      <c r="AG6945" t="s">
        <v>4564</v>
      </c>
      <c r="AH6945" t="s">
        <v>1605</v>
      </c>
      <c r="AI6945" t="s">
        <v>33050</v>
      </c>
      <c r="AJ6945" t="s">
        <v>33051</v>
      </c>
      <c r="AK6945" t="s">
        <v>33052</v>
      </c>
      <c r="AL6945" s="13" t="s">
        <v>1899</v>
      </c>
      <c r="AM6945" s="14">
        <v>1</v>
      </c>
      <c r="AN6945" s="15" t="s">
        <v>1984</v>
      </c>
    </row>
    <row r="6946" spans="1:40" x14ac:dyDescent="0.3">
      <c r="A6946" s="10" t="str">
        <f>HYPERLINK("http://www.washoecounty.gov/assessor/cama/?parid=514-072-01&amp;CardNumber=1","514-072-01")</f>
        <v>514-072-01</v>
      </c>
      <c r="B6946" t="s">
        <v>4655</v>
      </c>
      <c r="C6946" t="s">
        <v>33053</v>
      </c>
      <c r="D6946" s="1">
        <v>40476</v>
      </c>
      <c r="E6946" s="2">
        <v>180000</v>
      </c>
      <c r="F6946" t="s">
        <v>4567</v>
      </c>
      <c r="G6946" s="17" t="str">
        <f>HYPERLINK("https://www.washoecounty.gov/assessor/cama/?command=sales&amp;parid=51407201","3935969")</f>
        <v>3935969</v>
      </c>
      <c r="H6946" t="s">
        <v>5505</v>
      </c>
      <c r="I6946">
        <v>1994</v>
      </c>
      <c r="J6946">
        <v>1994</v>
      </c>
      <c r="K6946" t="s">
        <v>4554</v>
      </c>
      <c r="L6946" t="s">
        <v>3974</v>
      </c>
      <c r="M6946" s="2">
        <v>2495</v>
      </c>
      <c r="N6946" t="s">
        <v>5280</v>
      </c>
      <c r="O6946">
        <v>4</v>
      </c>
      <c r="P6946">
        <v>2</v>
      </c>
      <c r="Q6946">
        <v>1</v>
      </c>
      <c r="R6946" t="s">
        <v>5281</v>
      </c>
      <c r="S6946" t="s">
        <v>4558</v>
      </c>
      <c r="T6946" t="s">
        <v>2704</v>
      </c>
      <c r="U6946" t="s">
        <v>4560</v>
      </c>
      <c r="V6946" s="2">
        <v>583</v>
      </c>
      <c r="W6946" t="s">
        <v>4655</v>
      </c>
      <c r="X6946" s="2">
        <v>0</v>
      </c>
      <c r="Y6946">
        <v>20</v>
      </c>
      <c r="Z6946" t="s">
        <v>1687</v>
      </c>
      <c r="AA6946" s="3">
        <v>0.282001823186874</v>
      </c>
      <c r="AB6946" t="s">
        <v>33054</v>
      </c>
      <c r="AC6946" t="s">
        <v>4562</v>
      </c>
      <c r="AD6946" t="s">
        <v>33055</v>
      </c>
      <c r="AE6946" t="s">
        <v>4655</v>
      </c>
      <c r="AF6946" t="s">
        <v>4563</v>
      </c>
      <c r="AG6946" t="s">
        <v>5529</v>
      </c>
      <c r="AH6946">
        <v>89509</v>
      </c>
      <c r="AI6946" t="s">
        <v>33056</v>
      </c>
      <c r="AJ6946" t="s">
        <v>33057</v>
      </c>
      <c r="AK6946" t="s">
        <v>33058</v>
      </c>
      <c r="AL6946" s="13" t="s">
        <v>1899</v>
      </c>
      <c r="AM6946" s="14">
        <v>1</v>
      </c>
      <c r="AN6946" s="15" t="s">
        <v>1984</v>
      </c>
    </row>
    <row r="6947" spans="1:40" x14ac:dyDescent="0.3">
      <c r="A6947" s="10" t="str">
        <f>HYPERLINK("http://www.washoecounty.gov/assessor/cama/?parid=514-075-02&amp;CardNumber=1","514-075-02")</f>
        <v>514-075-02</v>
      </c>
      <c r="B6947" t="s">
        <v>4655</v>
      </c>
      <c r="C6947" t="s">
        <v>33059</v>
      </c>
      <c r="D6947" s="1">
        <v>40519</v>
      </c>
      <c r="E6947" s="2">
        <v>182900</v>
      </c>
      <c r="F6947" t="s">
        <v>4553</v>
      </c>
      <c r="G6947" s="17" t="str">
        <f>HYPERLINK("https://www.washoecounty.gov/assessor/cama/?command=sales&amp;parid=51407502","3950027")</f>
        <v>3950027</v>
      </c>
      <c r="H6947" t="s">
        <v>5505</v>
      </c>
      <c r="I6947">
        <v>1994</v>
      </c>
      <c r="J6947">
        <v>1994</v>
      </c>
      <c r="K6947" t="s">
        <v>4554</v>
      </c>
      <c r="L6947" t="s">
        <v>4555</v>
      </c>
      <c r="M6947" s="2">
        <v>1736</v>
      </c>
      <c r="N6947" t="s">
        <v>5280</v>
      </c>
      <c r="O6947">
        <v>3</v>
      </c>
      <c r="P6947">
        <v>2</v>
      </c>
      <c r="Q6947">
        <v>0</v>
      </c>
      <c r="R6947" t="s">
        <v>4557</v>
      </c>
      <c r="S6947" t="s">
        <v>4558</v>
      </c>
      <c r="T6947" t="s">
        <v>2704</v>
      </c>
      <c r="U6947" t="s">
        <v>4560</v>
      </c>
      <c r="V6947" s="2">
        <v>609</v>
      </c>
      <c r="W6947" t="s">
        <v>4655</v>
      </c>
      <c r="X6947" s="2">
        <v>0</v>
      </c>
      <c r="Y6947">
        <v>20</v>
      </c>
      <c r="Z6947" t="s">
        <v>1687</v>
      </c>
      <c r="AA6947" s="3">
        <v>0.176010102033615</v>
      </c>
      <c r="AB6947" t="s">
        <v>33060</v>
      </c>
      <c r="AC6947" t="s">
        <v>4575</v>
      </c>
      <c r="AD6947" t="s">
        <v>33061</v>
      </c>
      <c r="AE6947" t="s">
        <v>4655</v>
      </c>
      <c r="AF6947" t="s">
        <v>1570</v>
      </c>
      <c r="AG6947" t="s">
        <v>4564</v>
      </c>
      <c r="AH6947" t="s">
        <v>1601</v>
      </c>
      <c r="AI6947" t="s">
        <v>4202</v>
      </c>
      <c r="AJ6947" t="s">
        <v>33062</v>
      </c>
      <c r="AK6947" t="s">
        <v>33063</v>
      </c>
      <c r="AL6947" s="13" t="s">
        <v>1899</v>
      </c>
      <c r="AM6947">
        <v>1</v>
      </c>
      <c r="AN6947" s="15" t="s">
        <v>1984</v>
      </c>
    </row>
    <row r="6948" spans="1:40" x14ac:dyDescent="0.3">
      <c r="A6948" s="10" t="str">
        <f>HYPERLINK("http://www.washoecounty.gov/assessor/cama/?parid=514-075-03&amp;CardNumber=1","514-075-03")</f>
        <v>514-075-03</v>
      </c>
      <c r="B6948" t="s">
        <v>4655</v>
      </c>
      <c r="C6948" t="s">
        <v>33064</v>
      </c>
      <c r="D6948" s="1">
        <v>40235</v>
      </c>
      <c r="E6948" s="2">
        <v>210000</v>
      </c>
      <c r="F6948" t="s">
        <v>4553</v>
      </c>
      <c r="G6948" s="17" t="str">
        <f>HYPERLINK("https://www.washoecounty.gov/assessor/cama/?command=sales&amp;parid=51407503","3853393")</f>
        <v>3853393</v>
      </c>
      <c r="H6948" t="s">
        <v>5505</v>
      </c>
      <c r="I6948">
        <v>1994</v>
      </c>
      <c r="J6948">
        <v>1994</v>
      </c>
      <c r="K6948" t="s">
        <v>4554</v>
      </c>
      <c r="L6948" t="s">
        <v>4555</v>
      </c>
      <c r="M6948" s="2">
        <v>1984</v>
      </c>
      <c r="N6948" t="s">
        <v>5280</v>
      </c>
      <c r="O6948">
        <v>4</v>
      </c>
      <c r="P6948">
        <v>2</v>
      </c>
      <c r="Q6948">
        <v>0</v>
      </c>
      <c r="R6948" t="s">
        <v>4557</v>
      </c>
      <c r="S6948" t="s">
        <v>4558</v>
      </c>
      <c r="T6948" t="s">
        <v>2704</v>
      </c>
      <c r="U6948" t="s">
        <v>4560</v>
      </c>
      <c r="V6948" s="2">
        <v>544</v>
      </c>
      <c r="W6948" t="s">
        <v>4655</v>
      </c>
      <c r="X6948" s="2">
        <v>0</v>
      </c>
      <c r="Y6948">
        <v>20</v>
      </c>
      <c r="Z6948" t="s">
        <v>1687</v>
      </c>
      <c r="AA6948" s="3">
        <v>0.17800734937191001</v>
      </c>
      <c r="AB6948" t="s">
        <v>33065</v>
      </c>
      <c r="AC6948" t="s">
        <v>4562</v>
      </c>
      <c r="AD6948" t="s">
        <v>33064</v>
      </c>
      <c r="AE6948" t="s">
        <v>4655</v>
      </c>
      <c r="AF6948" t="s">
        <v>5201</v>
      </c>
      <c r="AG6948" t="s">
        <v>4564</v>
      </c>
      <c r="AH6948" t="s">
        <v>1605</v>
      </c>
      <c r="AI6948" t="s">
        <v>4565</v>
      </c>
      <c r="AJ6948" t="s">
        <v>33066</v>
      </c>
      <c r="AK6948" t="s">
        <v>33067</v>
      </c>
      <c r="AL6948" s="13" t="s">
        <v>1899</v>
      </c>
      <c r="AM6948" s="14">
        <v>1</v>
      </c>
      <c r="AN6948" s="15" t="s">
        <v>1984</v>
      </c>
    </row>
    <row r="6949" spans="1:40" x14ac:dyDescent="0.3">
      <c r="A6949" s="10" t="str">
        <f>HYPERLINK("http://www.washoecounty.gov/assessor/cama/?parid=514-075-15&amp;CardNumber=1","514-075-15")</f>
        <v>514-075-15</v>
      </c>
      <c r="B6949" t="s">
        <v>4655</v>
      </c>
      <c r="C6949" t="s">
        <v>33068</v>
      </c>
      <c r="D6949" s="1">
        <v>40393</v>
      </c>
      <c r="E6949" s="2">
        <v>237777</v>
      </c>
      <c r="F6949" t="s">
        <v>4567</v>
      </c>
      <c r="G6949" s="17" t="str">
        <f>HYPERLINK("https://www.washoecounty.gov/assessor/cama/?command=sales&amp;parid=51407515","3908088")</f>
        <v>3908088</v>
      </c>
      <c r="H6949" t="s">
        <v>5505</v>
      </c>
      <c r="I6949">
        <v>1994</v>
      </c>
      <c r="J6949">
        <v>1994</v>
      </c>
      <c r="K6949" t="s">
        <v>4554</v>
      </c>
      <c r="L6949" t="s">
        <v>3886</v>
      </c>
      <c r="M6949" s="2">
        <v>2495</v>
      </c>
      <c r="N6949" t="s">
        <v>5280</v>
      </c>
      <c r="O6949">
        <v>4</v>
      </c>
      <c r="P6949">
        <v>2</v>
      </c>
      <c r="Q6949">
        <v>1</v>
      </c>
      <c r="R6949" t="s">
        <v>4557</v>
      </c>
      <c r="S6949" t="s">
        <v>4558</v>
      </c>
      <c r="T6949" t="s">
        <v>2704</v>
      </c>
      <c r="U6949" t="s">
        <v>4560</v>
      </c>
      <c r="V6949" s="2">
        <v>583</v>
      </c>
      <c r="W6949" t="s">
        <v>4655</v>
      </c>
      <c r="X6949" s="2">
        <v>0</v>
      </c>
      <c r="Y6949">
        <v>20</v>
      </c>
      <c r="Z6949" t="s">
        <v>1687</v>
      </c>
      <c r="AA6949" s="3">
        <v>0.19800275564193701</v>
      </c>
      <c r="AB6949" t="s">
        <v>33069</v>
      </c>
      <c r="AC6949" t="s">
        <v>4562</v>
      </c>
      <c r="AD6949" t="s">
        <v>33068</v>
      </c>
      <c r="AE6949" t="s">
        <v>4655</v>
      </c>
      <c r="AF6949" t="s">
        <v>5201</v>
      </c>
      <c r="AG6949" t="s">
        <v>4564</v>
      </c>
      <c r="AH6949" t="s">
        <v>1605</v>
      </c>
      <c r="AI6949" t="s">
        <v>4655</v>
      </c>
      <c r="AJ6949" t="s">
        <v>33070</v>
      </c>
      <c r="AK6949" t="s">
        <v>33071</v>
      </c>
      <c r="AL6949" s="13" t="s">
        <v>1899</v>
      </c>
      <c r="AM6949" s="14">
        <v>1</v>
      </c>
      <c r="AN6949" s="15" t="s">
        <v>1984</v>
      </c>
    </row>
    <row r="6950" spans="1:40" x14ac:dyDescent="0.3">
      <c r="A6950" s="10" t="str">
        <f>HYPERLINK("http://www.washoecounty.gov/assessor/cama/?parid=514-094-02&amp;CardNumber=1","514-094-02")</f>
        <v>514-094-02</v>
      </c>
      <c r="B6950" t="s">
        <v>4655</v>
      </c>
      <c r="C6950" t="s">
        <v>33072</v>
      </c>
      <c r="D6950" s="1">
        <v>40268</v>
      </c>
      <c r="E6950" s="2">
        <v>168900</v>
      </c>
      <c r="F6950" t="s">
        <v>4553</v>
      </c>
      <c r="G6950" s="17" t="str">
        <f>HYPERLINK("https://www.washoecounty.gov/assessor/cama/?command=sales&amp;parid=51409402","3866260")</f>
        <v>3866260</v>
      </c>
      <c r="H6950" t="s">
        <v>528</v>
      </c>
      <c r="I6950">
        <v>1987</v>
      </c>
      <c r="J6950">
        <v>1987</v>
      </c>
      <c r="K6950" t="s">
        <v>4554</v>
      </c>
      <c r="L6950" t="s">
        <v>3974</v>
      </c>
      <c r="M6950" s="2">
        <v>1878</v>
      </c>
      <c r="N6950" t="s">
        <v>5280</v>
      </c>
      <c r="O6950">
        <v>4</v>
      </c>
      <c r="P6950">
        <v>3</v>
      </c>
      <c r="Q6950">
        <v>0</v>
      </c>
      <c r="R6950" t="s">
        <v>5281</v>
      </c>
      <c r="S6950" t="s">
        <v>4558</v>
      </c>
      <c r="T6950" t="s">
        <v>4559</v>
      </c>
      <c r="U6950" t="s">
        <v>4560</v>
      </c>
      <c r="V6950" s="2">
        <v>650</v>
      </c>
      <c r="W6950" t="s">
        <v>4655</v>
      </c>
      <c r="X6950" s="2">
        <v>0</v>
      </c>
      <c r="Y6950">
        <v>20</v>
      </c>
      <c r="Z6950" t="s">
        <v>4830</v>
      </c>
      <c r="AA6950" s="3">
        <v>0.18399907648563399</v>
      </c>
      <c r="AB6950" t="s">
        <v>33073</v>
      </c>
      <c r="AC6950" t="s">
        <v>4562</v>
      </c>
      <c r="AD6950" t="s">
        <v>33074</v>
      </c>
      <c r="AE6950" t="s">
        <v>4655</v>
      </c>
      <c r="AF6950" t="s">
        <v>4809</v>
      </c>
      <c r="AG6950" t="s">
        <v>4564</v>
      </c>
      <c r="AH6950" t="s">
        <v>1605</v>
      </c>
      <c r="AI6950" t="s">
        <v>1602</v>
      </c>
      <c r="AJ6950" t="s">
        <v>33075</v>
      </c>
      <c r="AK6950" t="s">
        <v>33076</v>
      </c>
      <c r="AL6950" s="13" t="s">
        <v>1899</v>
      </c>
      <c r="AM6950">
        <v>1</v>
      </c>
      <c r="AN6950" s="15" t="s">
        <v>1984</v>
      </c>
    </row>
    <row r="6951" spans="1:40" x14ac:dyDescent="0.3">
      <c r="A6951" s="10" t="str">
        <f>HYPERLINK("http://www.washoecounty.gov/assessor/cama/?parid=514-094-05&amp;CardNumber=1","514-094-05")</f>
        <v>514-094-05</v>
      </c>
      <c r="B6951" t="s">
        <v>4655</v>
      </c>
      <c r="C6951" t="s">
        <v>33077</v>
      </c>
      <c r="D6951" s="1">
        <v>40197</v>
      </c>
      <c r="E6951" s="2">
        <v>197000</v>
      </c>
      <c r="F6951" t="s">
        <v>4567</v>
      </c>
      <c r="G6951" s="17" t="str">
        <f>HYPERLINK("https://www.washoecounty.gov/assessor/cama/?command=sales&amp;parid=51409405","3840718")</f>
        <v>3840718</v>
      </c>
      <c r="H6951" t="s">
        <v>528</v>
      </c>
      <c r="I6951">
        <v>1987</v>
      </c>
      <c r="J6951">
        <v>1987</v>
      </c>
      <c r="K6951" t="s">
        <v>4554</v>
      </c>
      <c r="L6951" t="s">
        <v>4555</v>
      </c>
      <c r="M6951" s="2">
        <v>1753</v>
      </c>
      <c r="N6951" t="s">
        <v>5280</v>
      </c>
      <c r="O6951">
        <v>4</v>
      </c>
      <c r="P6951">
        <v>2</v>
      </c>
      <c r="Q6951">
        <v>0</v>
      </c>
      <c r="R6951" t="s">
        <v>5281</v>
      </c>
      <c r="S6951" t="s">
        <v>4558</v>
      </c>
      <c r="T6951" t="s">
        <v>4559</v>
      </c>
      <c r="U6951" t="s">
        <v>4560</v>
      </c>
      <c r="V6951" s="2">
        <v>634</v>
      </c>
      <c r="W6951" t="s">
        <v>4655</v>
      </c>
      <c r="X6951" s="2">
        <v>0</v>
      </c>
      <c r="Y6951">
        <v>20</v>
      </c>
      <c r="Z6951" t="s">
        <v>4830</v>
      </c>
      <c r="AA6951" s="3">
        <v>0.20101010799408001</v>
      </c>
      <c r="AB6951" t="s">
        <v>33078</v>
      </c>
      <c r="AC6951" t="s">
        <v>4575</v>
      </c>
      <c r="AD6951" t="s">
        <v>33079</v>
      </c>
      <c r="AE6951" t="s">
        <v>33077</v>
      </c>
      <c r="AF6951" t="s">
        <v>5201</v>
      </c>
      <c r="AG6951" t="s">
        <v>4564</v>
      </c>
      <c r="AH6951" t="s">
        <v>1605</v>
      </c>
      <c r="AI6951" t="s">
        <v>33080</v>
      </c>
      <c r="AJ6951" t="s">
        <v>33081</v>
      </c>
      <c r="AK6951" t="s">
        <v>33082</v>
      </c>
      <c r="AL6951" s="13" t="s">
        <v>1899</v>
      </c>
      <c r="AM6951">
        <v>1</v>
      </c>
      <c r="AN6951" s="15" t="s">
        <v>1984</v>
      </c>
    </row>
    <row r="6952" spans="1:40" x14ac:dyDescent="0.3">
      <c r="A6952" s="10" t="str">
        <f>HYPERLINK("http://www.washoecounty.gov/assessor/cama/?parid=514-102-07&amp;CardNumber=1","514-102-07")</f>
        <v>514-102-07</v>
      </c>
      <c r="B6952" t="s">
        <v>4655</v>
      </c>
      <c r="C6952" t="s">
        <v>33083</v>
      </c>
      <c r="D6952" s="1">
        <v>40294</v>
      </c>
      <c r="E6952" s="2">
        <v>170000</v>
      </c>
      <c r="F6952" t="s">
        <v>4567</v>
      </c>
      <c r="G6952" s="17" t="str">
        <f>HYPERLINK("https://www.washoecounty.gov/assessor/cama/?command=sales&amp;parid=51410207","3874421")</f>
        <v>3874421</v>
      </c>
      <c r="H6952" t="s">
        <v>3470</v>
      </c>
      <c r="I6952">
        <v>1987</v>
      </c>
      <c r="J6952">
        <v>1987</v>
      </c>
      <c r="K6952" t="s">
        <v>4554</v>
      </c>
      <c r="L6952" t="s">
        <v>3974</v>
      </c>
      <c r="M6952" s="2">
        <v>2187</v>
      </c>
      <c r="N6952" t="s">
        <v>5280</v>
      </c>
      <c r="O6952">
        <v>4</v>
      </c>
      <c r="P6952">
        <v>2</v>
      </c>
      <c r="Q6952">
        <v>1</v>
      </c>
      <c r="R6952" t="s">
        <v>4557</v>
      </c>
      <c r="S6952" t="s">
        <v>4558</v>
      </c>
      <c r="T6952" t="s">
        <v>4559</v>
      </c>
      <c r="U6952" t="s">
        <v>4560</v>
      </c>
      <c r="V6952" s="2">
        <v>630</v>
      </c>
      <c r="W6952" t="s">
        <v>4655</v>
      </c>
      <c r="X6952" s="2">
        <v>0</v>
      </c>
      <c r="Y6952">
        <v>20</v>
      </c>
      <c r="Z6952" t="s">
        <v>4830</v>
      </c>
      <c r="AA6952" s="3">
        <v>0.214990824460983</v>
      </c>
      <c r="AB6952" t="s">
        <v>33084</v>
      </c>
      <c r="AC6952" t="s">
        <v>4575</v>
      </c>
      <c r="AD6952" t="s">
        <v>33083</v>
      </c>
      <c r="AE6952" t="s">
        <v>4655</v>
      </c>
      <c r="AF6952" t="s">
        <v>5201</v>
      </c>
      <c r="AG6952" t="s">
        <v>4564</v>
      </c>
      <c r="AH6952" t="s">
        <v>1605</v>
      </c>
      <c r="AI6952" t="s">
        <v>33085</v>
      </c>
      <c r="AJ6952" t="s">
        <v>33086</v>
      </c>
      <c r="AK6952" t="s">
        <v>33087</v>
      </c>
      <c r="AL6952" s="13" t="s">
        <v>1899</v>
      </c>
      <c r="AM6952">
        <v>1</v>
      </c>
      <c r="AN6952" s="15" t="s">
        <v>1984</v>
      </c>
    </row>
    <row r="6953" spans="1:40" x14ac:dyDescent="0.3">
      <c r="A6953" s="10" t="str">
        <f>HYPERLINK("http://www.washoecounty.gov/assessor/cama/?parid=514-103-03&amp;CardNumber=1","514-103-03")</f>
        <v>514-103-03</v>
      </c>
      <c r="B6953" t="s">
        <v>4655</v>
      </c>
      <c r="C6953" t="s">
        <v>33088</v>
      </c>
      <c r="D6953" s="1">
        <v>40395</v>
      </c>
      <c r="E6953" s="2">
        <v>189000</v>
      </c>
      <c r="F6953" t="s">
        <v>4553</v>
      </c>
      <c r="G6953" s="17" t="str">
        <f>HYPERLINK("https://www.washoecounty.gov/assessor/cama/?command=sales&amp;parid=51410303","3909200")</f>
        <v>3909200</v>
      </c>
      <c r="H6953" t="s">
        <v>3470</v>
      </c>
      <c r="I6953">
        <v>1987</v>
      </c>
      <c r="J6953">
        <v>1987</v>
      </c>
      <c r="K6953" t="s">
        <v>4554</v>
      </c>
      <c r="L6953" t="s">
        <v>3974</v>
      </c>
      <c r="M6953" s="2">
        <v>2187</v>
      </c>
      <c r="N6953" t="s">
        <v>5280</v>
      </c>
      <c r="O6953">
        <v>4</v>
      </c>
      <c r="P6953">
        <v>2</v>
      </c>
      <c r="Q6953">
        <v>1</v>
      </c>
      <c r="R6953" t="s">
        <v>4557</v>
      </c>
      <c r="S6953" t="s">
        <v>4558</v>
      </c>
      <c r="T6953" t="s">
        <v>4559</v>
      </c>
      <c r="U6953" t="s">
        <v>4560</v>
      </c>
      <c r="V6953" s="2">
        <v>630</v>
      </c>
      <c r="W6953" t="s">
        <v>4655</v>
      </c>
      <c r="X6953" s="2">
        <v>0</v>
      </c>
      <c r="Y6953">
        <v>20</v>
      </c>
      <c r="Z6953" t="s">
        <v>4830</v>
      </c>
      <c r="AA6953" s="3">
        <v>0.23000459372997301</v>
      </c>
      <c r="AB6953" t="s">
        <v>33089</v>
      </c>
      <c r="AC6953" t="s">
        <v>4575</v>
      </c>
      <c r="AD6953" t="s">
        <v>33088</v>
      </c>
      <c r="AE6953" t="s">
        <v>4655</v>
      </c>
      <c r="AF6953" t="s">
        <v>5201</v>
      </c>
      <c r="AG6953" t="s">
        <v>4564</v>
      </c>
      <c r="AH6953" t="s">
        <v>1605</v>
      </c>
      <c r="AI6953" t="s">
        <v>2351</v>
      </c>
      <c r="AJ6953" t="s">
        <v>33090</v>
      </c>
      <c r="AK6953" t="s">
        <v>33091</v>
      </c>
      <c r="AL6953" s="13" t="s">
        <v>1899</v>
      </c>
      <c r="AM6953" s="14">
        <v>1</v>
      </c>
      <c r="AN6953" s="15" t="s">
        <v>1984</v>
      </c>
    </row>
    <row r="6954" spans="1:40" x14ac:dyDescent="0.3">
      <c r="A6954" s="10" t="str">
        <f>HYPERLINK("http://www.washoecounty.gov/assessor/cama/?parid=514-104-04&amp;CardNumber=1","514-104-04")</f>
        <v>514-104-04</v>
      </c>
      <c r="B6954" t="s">
        <v>4655</v>
      </c>
      <c r="C6954" t="s">
        <v>33092</v>
      </c>
      <c r="D6954" s="1">
        <v>40359</v>
      </c>
      <c r="E6954" s="2">
        <v>165000</v>
      </c>
      <c r="F6954" t="s">
        <v>4567</v>
      </c>
      <c r="G6954" s="17" t="str">
        <f>HYPERLINK("https://www.washoecounty.gov/assessor/cama/?command=sales&amp;parid=51410404","3897231")</f>
        <v>3897231</v>
      </c>
      <c r="H6954" t="s">
        <v>3470</v>
      </c>
      <c r="I6954">
        <v>1987</v>
      </c>
      <c r="J6954">
        <v>1987</v>
      </c>
      <c r="K6954" t="s">
        <v>4554</v>
      </c>
      <c r="L6954" t="s">
        <v>3886</v>
      </c>
      <c r="M6954" s="2">
        <v>1878</v>
      </c>
      <c r="N6954" t="s">
        <v>5280</v>
      </c>
      <c r="O6954">
        <v>3</v>
      </c>
      <c r="P6954">
        <v>2</v>
      </c>
      <c r="Q6954">
        <v>1</v>
      </c>
      <c r="R6954" t="s">
        <v>4557</v>
      </c>
      <c r="S6954" t="s">
        <v>4558</v>
      </c>
      <c r="T6954" t="s">
        <v>4559</v>
      </c>
      <c r="U6954" t="s">
        <v>4560</v>
      </c>
      <c r="V6954" s="2">
        <v>440</v>
      </c>
      <c r="W6954" t="s">
        <v>4655</v>
      </c>
      <c r="X6954" s="2">
        <v>0</v>
      </c>
      <c r="Y6954">
        <v>20</v>
      </c>
      <c r="Z6954" t="s">
        <v>4830</v>
      </c>
      <c r="AA6954" s="3">
        <v>0.17899449169635773</v>
      </c>
      <c r="AB6954" t="s">
        <v>33093</v>
      </c>
      <c r="AC6954" t="s">
        <v>4562</v>
      </c>
      <c r="AD6954" t="s">
        <v>33094</v>
      </c>
      <c r="AE6954" t="s">
        <v>4655</v>
      </c>
      <c r="AF6954" t="s">
        <v>5201</v>
      </c>
      <c r="AG6954" t="s">
        <v>4564</v>
      </c>
      <c r="AH6954" t="s">
        <v>1605</v>
      </c>
      <c r="AI6954" t="s">
        <v>33095</v>
      </c>
      <c r="AJ6954" t="s">
        <v>33096</v>
      </c>
      <c r="AK6954" t="s">
        <v>33097</v>
      </c>
      <c r="AL6954" s="13" t="s">
        <v>1899</v>
      </c>
      <c r="AM6954" s="14">
        <v>1</v>
      </c>
      <c r="AN6954" s="15" t="s">
        <v>1984</v>
      </c>
    </row>
    <row r="6955" spans="1:40" x14ac:dyDescent="0.3">
      <c r="A6955" s="10" t="str">
        <f>HYPERLINK("http://www.washoecounty.gov/assessor/cama/?parid=514-104-08&amp;CardNumber=1","514-104-08")</f>
        <v>514-104-08</v>
      </c>
      <c r="B6955" t="s">
        <v>4655</v>
      </c>
      <c r="C6955" t="s">
        <v>33098</v>
      </c>
      <c r="D6955" s="1">
        <v>40501</v>
      </c>
      <c r="E6955" s="2">
        <v>155000</v>
      </c>
      <c r="F6955" t="s">
        <v>4553</v>
      </c>
      <c r="G6955" s="17" t="str">
        <f>HYPERLINK("https://www.washoecounty.gov/assessor/cama/?command=sales&amp;parid=51410408","3944950")</f>
        <v>3944950</v>
      </c>
      <c r="H6955" t="s">
        <v>3470</v>
      </c>
      <c r="I6955">
        <v>1987</v>
      </c>
      <c r="J6955">
        <v>1987</v>
      </c>
      <c r="K6955" t="s">
        <v>4554</v>
      </c>
      <c r="L6955" t="s">
        <v>3974</v>
      </c>
      <c r="M6955" s="2">
        <v>2183</v>
      </c>
      <c r="N6955" t="s">
        <v>5280</v>
      </c>
      <c r="O6955">
        <v>4</v>
      </c>
      <c r="P6955">
        <v>2</v>
      </c>
      <c r="Q6955">
        <v>1</v>
      </c>
      <c r="R6955" t="s">
        <v>4557</v>
      </c>
      <c r="S6955" t="s">
        <v>4558</v>
      </c>
      <c r="T6955" t="s">
        <v>4559</v>
      </c>
      <c r="U6955" t="s">
        <v>4560</v>
      </c>
      <c r="V6955" s="2">
        <v>525</v>
      </c>
      <c r="W6955" t="s">
        <v>4655</v>
      </c>
      <c r="X6955" s="2">
        <v>0</v>
      </c>
      <c r="Y6955">
        <v>20</v>
      </c>
      <c r="Z6955" t="s">
        <v>4830</v>
      </c>
      <c r="AA6955" s="3">
        <v>0.26099634170532199</v>
      </c>
      <c r="AB6955" t="s">
        <v>33099</v>
      </c>
      <c r="AC6955" t="s">
        <v>4562</v>
      </c>
      <c r="AD6955" t="s">
        <v>33098</v>
      </c>
      <c r="AE6955" t="s">
        <v>4655</v>
      </c>
      <c r="AF6955" t="s">
        <v>5201</v>
      </c>
      <c r="AG6955" t="s">
        <v>4564</v>
      </c>
      <c r="AH6955" t="s">
        <v>1605</v>
      </c>
      <c r="AI6955" t="s">
        <v>4045</v>
      </c>
      <c r="AJ6955" t="s">
        <v>33100</v>
      </c>
      <c r="AK6955" t="s">
        <v>33101</v>
      </c>
      <c r="AL6955" s="13" t="s">
        <v>1899</v>
      </c>
      <c r="AM6955" s="14">
        <v>1</v>
      </c>
      <c r="AN6955" s="15" t="s">
        <v>1984</v>
      </c>
    </row>
    <row r="6956" spans="1:40" x14ac:dyDescent="0.3">
      <c r="A6956" s="10" t="str">
        <f>HYPERLINK("http://www.washoecounty.gov/assessor/cama/?parid=514-104-10&amp;CardNumber=1","514-104-10")</f>
        <v>514-104-10</v>
      </c>
      <c r="B6956" t="s">
        <v>4655</v>
      </c>
      <c r="C6956" t="s">
        <v>33102</v>
      </c>
      <c r="D6956" s="1">
        <v>40325</v>
      </c>
      <c r="E6956" s="2">
        <v>210000</v>
      </c>
      <c r="F6956" t="s">
        <v>4567</v>
      </c>
      <c r="G6956" s="17" t="str">
        <f>HYPERLINK("https://www.washoecounty.gov/assessor/cama/?command=sales&amp;parid=51410410","3886238")</f>
        <v>3886238</v>
      </c>
      <c r="H6956" t="s">
        <v>3470</v>
      </c>
      <c r="I6956">
        <v>1987</v>
      </c>
      <c r="J6956">
        <v>1987</v>
      </c>
      <c r="K6956" t="s">
        <v>4554</v>
      </c>
      <c r="L6956" t="s">
        <v>3974</v>
      </c>
      <c r="M6956" s="2">
        <v>2191</v>
      </c>
      <c r="N6956" t="s">
        <v>5280</v>
      </c>
      <c r="O6956">
        <v>4</v>
      </c>
      <c r="P6956">
        <v>2</v>
      </c>
      <c r="Q6956">
        <v>1</v>
      </c>
      <c r="R6956" t="s">
        <v>5281</v>
      </c>
      <c r="S6956" t="s">
        <v>4558</v>
      </c>
      <c r="T6956" t="s">
        <v>4559</v>
      </c>
      <c r="U6956" t="s">
        <v>4560</v>
      </c>
      <c r="V6956" s="2">
        <v>630</v>
      </c>
      <c r="W6956" t="s">
        <v>4655</v>
      </c>
      <c r="X6956" s="2">
        <v>0</v>
      </c>
      <c r="Y6956">
        <v>20</v>
      </c>
      <c r="Z6956" t="s">
        <v>4830</v>
      </c>
      <c r="AA6956" s="3">
        <v>0.26499080657959001</v>
      </c>
      <c r="AB6956" t="s">
        <v>33103</v>
      </c>
      <c r="AC6956" t="s">
        <v>4575</v>
      </c>
      <c r="AD6956" t="s">
        <v>33104</v>
      </c>
      <c r="AE6956" t="s">
        <v>33102</v>
      </c>
      <c r="AF6956" t="s">
        <v>5201</v>
      </c>
      <c r="AG6956" t="s">
        <v>4564</v>
      </c>
      <c r="AH6956" t="s">
        <v>1605</v>
      </c>
      <c r="AI6956" t="s">
        <v>33105</v>
      </c>
      <c r="AJ6956" t="s">
        <v>33106</v>
      </c>
      <c r="AK6956" t="s">
        <v>33107</v>
      </c>
      <c r="AL6956" s="13" t="s">
        <v>1899</v>
      </c>
      <c r="AM6956">
        <v>1</v>
      </c>
      <c r="AN6956" s="15" t="s">
        <v>1984</v>
      </c>
    </row>
    <row r="6957" spans="1:40" x14ac:dyDescent="0.3">
      <c r="A6957" s="10" t="str">
        <f>HYPERLINK("http://www.washoecounty.gov/assessor/cama/?parid=514-110-02&amp;CardNumber=1","514-110-02")</f>
        <v>514-110-02</v>
      </c>
      <c r="B6957" t="s">
        <v>4655</v>
      </c>
      <c r="C6957" t="s">
        <v>33108</v>
      </c>
      <c r="D6957" s="1">
        <v>40185</v>
      </c>
      <c r="E6957" s="2">
        <v>525000</v>
      </c>
      <c r="F6957" t="s">
        <v>4567</v>
      </c>
      <c r="G6957" s="17" t="str">
        <f>HYPERLINK("https://www.washoecounty.gov/assessor/cama/?command=sales&amp;parid=51411002","3837309")</f>
        <v>3837309</v>
      </c>
      <c r="H6957" t="s">
        <v>33109</v>
      </c>
      <c r="I6957">
        <v>2007</v>
      </c>
      <c r="J6957">
        <v>2007</v>
      </c>
      <c r="K6957" t="s">
        <v>4554</v>
      </c>
      <c r="L6957" t="s">
        <v>4555</v>
      </c>
      <c r="M6957" s="2">
        <v>2772</v>
      </c>
      <c r="N6957" t="s">
        <v>2012</v>
      </c>
      <c r="O6957">
        <v>5</v>
      </c>
      <c r="P6957">
        <v>4</v>
      </c>
      <c r="Q6957">
        <v>1</v>
      </c>
      <c r="R6957" t="s">
        <v>5281</v>
      </c>
      <c r="S6957" t="s">
        <v>4898</v>
      </c>
      <c r="T6957" t="s">
        <v>2704</v>
      </c>
      <c r="U6957" t="s">
        <v>4560</v>
      </c>
      <c r="V6957" s="2">
        <v>1125</v>
      </c>
      <c r="W6957" t="s">
        <v>3201</v>
      </c>
      <c r="X6957" s="2">
        <v>2683</v>
      </c>
      <c r="Y6957">
        <v>20</v>
      </c>
      <c r="Z6957" t="s">
        <v>4051</v>
      </c>
      <c r="AA6957" s="3">
        <v>1.95300734043121</v>
      </c>
      <c r="AB6957" t="s">
        <v>33110</v>
      </c>
      <c r="AC6957" t="s">
        <v>4562</v>
      </c>
      <c r="AD6957" t="s">
        <v>33108</v>
      </c>
      <c r="AE6957" t="s">
        <v>4655</v>
      </c>
      <c r="AF6957" t="s">
        <v>5201</v>
      </c>
      <c r="AG6957" t="s">
        <v>4564</v>
      </c>
      <c r="AH6957" t="s">
        <v>3898</v>
      </c>
      <c r="AI6957" t="s">
        <v>4655</v>
      </c>
      <c r="AJ6957" t="s">
        <v>33111</v>
      </c>
      <c r="AK6957" t="s">
        <v>33112</v>
      </c>
      <c r="AL6957" s="13" t="s">
        <v>1899</v>
      </c>
      <c r="AM6957">
        <v>1</v>
      </c>
      <c r="AN6957" s="15" t="s">
        <v>33113</v>
      </c>
    </row>
    <row r="6958" spans="1:40" x14ac:dyDescent="0.3">
      <c r="A6958" s="10" t="str">
        <f>HYPERLINK("http://www.washoecounty.gov/assessor/cama/?parid=514-121-03&amp;CardNumber=1","514-121-03")</f>
        <v>514-121-03</v>
      </c>
      <c r="B6958" t="s">
        <v>4655</v>
      </c>
      <c r="C6958" t="s">
        <v>33114</v>
      </c>
      <c r="D6958" s="1">
        <v>40302</v>
      </c>
      <c r="E6958" s="2">
        <v>151000</v>
      </c>
      <c r="F6958" t="s">
        <v>4553</v>
      </c>
      <c r="G6958" s="17" t="str">
        <f>HYPERLINK("https://www.washoecounty.gov/assessor/cama/?command=sales&amp;parid=51412103","3877824")</f>
        <v>3877824</v>
      </c>
      <c r="H6958" t="s">
        <v>33115</v>
      </c>
      <c r="I6958">
        <v>2005</v>
      </c>
      <c r="J6958">
        <v>2005</v>
      </c>
      <c r="K6958" t="s">
        <v>4554</v>
      </c>
      <c r="L6958" t="s">
        <v>4555</v>
      </c>
      <c r="M6958" s="2">
        <v>2716</v>
      </c>
      <c r="N6958" t="s">
        <v>5106</v>
      </c>
      <c r="O6958">
        <v>3</v>
      </c>
      <c r="P6958">
        <v>2</v>
      </c>
      <c r="Q6958">
        <v>1</v>
      </c>
      <c r="R6958" t="s">
        <v>5281</v>
      </c>
      <c r="S6958" t="s">
        <v>4898</v>
      </c>
      <c r="T6958" t="s">
        <v>2704</v>
      </c>
      <c r="U6958" t="s">
        <v>4655</v>
      </c>
      <c r="V6958" s="2">
        <v>0</v>
      </c>
      <c r="W6958" t="s">
        <v>3201</v>
      </c>
      <c r="X6958" s="2">
        <v>1037</v>
      </c>
      <c r="Y6958">
        <v>20</v>
      </c>
      <c r="Z6958" t="s">
        <v>4051</v>
      </c>
      <c r="AA6958" s="3">
        <v>0.28700643777847301</v>
      </c>
      <c r="AB6958" t="s">
        <v>33116</v>
      </c>
      <c r="AC6958" t="s">
        <v>4562</v>
      </c>
      <c r="AD6958" t="s">
        <v>33117</v>
      </c>
      <c r="AE6958" t="s">
        <v>4655</v>
      </c>
      <c r="AF6958" t="s">
        <v>5201</v>
      </c>
      <c r="AG6958" t="s">
        <v>4564</v>
      </c>
      <c r="AH6958" t="s">
        <v>4126</v>
      </c>
      <c r="AI6958" t="s">
        <v>4655</v>
      </c>
      <c r="AJ6958" t="s">
        <v>33118</v>
      </c>
      <c r="AK6958" t="s">
        <v>33119</v>
      </c>
      <c r="AL6958" s="13" t="s">
        <v>1899</v>
      </c>
      <c r="AM6958" s="14">
        <v>1</v>
      </c>
      <c r="AN6958" s="15" t="s">
        <v>33113</v>
      </c>
    </row>
    <row r="6959" spans="1:40" x14ac:dyDescent="0.3">
      <c r="A6959" s="10" t="str">
        <f>HYPERLINK("http://www.washoecounty.gov/assessor/cama/?parid=514-133-01&amp;CardNumber=1","514-133-01")</f>
        <v>514-133-01</v>
      </c>
      <c r="B6959" t="s">
        <v>4655</v>
      </c>
      <c r="C6959" t="s">
        <v>33120</v>
      </c>
      <c r="D6959" s="1">
        <v>40325</v>
      </c>
      <c r="E6959" s="2">
        <v>165000</v>
      </c>
      <c r="F6959" t="s">
        <v>4567</v>
      </c>
      <c r="G6959" s="17" t="str">
        <f>HYPERLINK("https://www.washoecounty.gov/assessor/cama/?command=sales&amp;parid=51413301","3885806")</f>
        <v>3885806</v>
      </c>
      <c r="H6959" t="s">
        <v>5011</v>
      </c>
      <c r="I6959">
        <v>1997</v>
      </c>
      <c r="J6959">
        <v>1997</v>
      </c>
      <c r="K6959" t="s">
        <v>4554</v>
      </c>
      <c r="L6959" t="s">
        <v>4555</v>
      </c>
      <c r="M6959" s="2">
        <v>1310</v>
      </c>
      <c r="N6959" t="s">
        <v>5280</v>
      </c>
      <c r="O6959">
        <v>3</v>
      </c>
      <c r="P6959">
        <v>2</v>
      </c>
      <c r="Q6959">
        <v>0</v>
      </c>
      <c r="R6959" t="s">
        <v>5281</v>
      </c>
      <c r="S6959" t="s">
        <v>4558</v>
      </c>
      <c r="T6959" t="s">
        <v>2704</v>
      </c>
      <c r="U6959" t="s">
        <v>4560</v>
      </c>
      <c r="V6959" s="2">
        <v>576</v>
      </c>
      <c r="W6959" t="s">
        <v>4655</v>
      </c>
      <c r="X6959" s="2">
        <v>0</v>
      </c>
      <c r="Y6959">
        <v>20</v>
      </c>
      <c r="Z6959" t="s">
        <v>1604</v>
      </c>
      <c r="AA6959" s="3">
        <v>0.20700183510780301</v>
      </c>
      <c r="AB6959" t="s">
        <v>33121</v>
      </c>
      <c r="AC6959" t="s">
        <v>4562</v>
      </c>
      <c r="AD6959" t="s">
        <v>1667</v>
      </c>
      <c r="AE6959" t="s">
        <v>4655</v>
      </c>
      <c r="AF6959" t="s">
        <v>1668</v>
      </c>
      <c r="AG6959" t="s">
        <v>2016</v>
      </c>
      <c r="AH6959">
        <v>48098</v>
      </c>
      <c r="AI6959" t="s">
        <v>33122</v>
      </c>
      <c r="AJ6959" t="s">
        <v>5012</v>
      </c>
      <c r="AK6959" t="s">
        <v>33123</v>
      </c>
      <c r="AL6959" s="13" t="s">
        <v>1899</v>
      </c>
      <c r="AM6959">
        <v>1</v>
      </c>
      <c r="AN6959" s="15" t="s">
        <v>1984</v>
      </c>
    </row>
    <row r="6960" spans="1:40" x14ac:dyDescent="0.3">
      <c r="A6960" s="10" t="str">
        <f>HYPERLINK("http://www.washoecounty.gov/assessor/cama/?parid=514-182-12&amp;CardNumber=1","514-182-12")</f>
        <v>514-182-12</v>
      </c>
      <c r="B6960" t="s">
        <v>4655</v>
      </c>
      <c r="C6960" t="s">
        <v>33124</v>
      </c>
      <c r="D6960" s="1">
        <v>40436</v>
      </c>
      <c r="E6960" s="2">
        <v>195000</v>
      </c>
      <c r="F6960" t="s">
        <v>4553</v>
      </c>
      <c r="G6960" s="17" t="str">
        <f>HYPERLINK("https://www.washoecounty.gov/assessor/cama/?command=sales&amp;parid=51418212","3922533")</f>
        <v>3922533</v>
      </c>
      <c r="H6960" t="s">
        <v>5237</v>
      </c>
      <c r="I6960">
        <v>1997</v>
      </c>
      <c r="J6960">
        <v>1997</v>
      </c>
      <c r="K6960" t="s">
        <v>4554</v>
      </c>
      <c r="L6960" t="s">
        <v>4555</v>
      </c>
      <c r="M6960" s="2">
        <v>1972</v>
      </c>
      <c r="N6960" t="s">
        <v>5280</v>
      </c>
      <c r="O6960">
        <v>3</v>
      </c>
      <c r="P6960">
        <v>2</v>
      </c>
      <c r="Q6960">
        <v>1</v>
      </c>
      <c r="R6960" t="s">
        <v>4557</v>
      </c>
      <c r="S6960" t="s">
        <v>4558</v>
      </c>
      <c r="T6960" t="s">
        <v>2704</v>
      </c>
      <c r="U6960" t="s">
        <v>4560</v>
      </c>
      <c r="V6960" s="2">
        <v>630</v>
      </c>
      <c r="W6960" t="s">
        <v>4655</v>
      </c>
      <c r="X6960" s="2">
        <v>0</v>
      </c>
      <c r="Y6960">
        <v>20</v>
      </c>
      <c r="Z6960" t="s">
        <v>1604</v>
      </c>
      <c r="AA6960" s="3">
        <v>0.233999088406563</v>
      </c>
      <c r="AB6960" t="s">
        <v>33125</v>
      </c>
      <c r="AC6960" t="s">
        <v>4562</v>
      </c>
      <c r="AD6960" t="s">
        <v>33124</v>
      </c>
      <c r="AE6960" t="s">
        <v>4655</v>
      </c>
      <c r="AF6960" t="s">
        <v>5201</v>
      </c>
      <c r="AG6960" t="s">
        <v>4564</v>
      </c>
      <c r="AH6960" t="s">
        <v>1605</v>
      </c>
      <c r="AI6960" t="s">
        <v>33126</v>
      </c>
      <c r="AJ6960" t="s">
        <v>5238</v>
      </c>
      <c r="AK6960" t="s">
        <v>33127</v>
      </c>
      <c r="AL6960" s="13" t="s">
        <v>1899</v>
      </c>
      <c r="AM6960" s="14">
        <v>1</v>
      </c>
      <c r="AN6960" s="15" t="s">
        <v>1984</v>
      </c>
    </row>
    <row r="6961" spans="1:40" x14ac:dyDescent="0.3">
      <c r="A6961" s="10" t="str">
        <f>HYPERLINK("http://www.washoecounty.gov/assessor/cama/?parid=514-191-04&amp;CardNumber=1","514-191-04")</f>
        <v>514-191-04</v>
      </c>
      <c r="B6961" t="s">
        <v>4655</v>
      </c>
      <c r="C6961" t="s">
        <v>33128</v>
      </c>
      <c r="D6961" s="1">
        <v>40319</v>
      </c>
      <c r="E6961" s="2">
        <v>194000</v>
      </c>
      <c r="F6961" t="s">
        <v>4553</v>
      </c>
      <c r="G6961" s="17" t="str">
        <f>HYPERLINK("https://www.washoecounty.gov/assessor/cama/?command=sales&amp;parid=51419104","3883923")</f>
        <v>3883923</v>
      </c>
      <c r="H6961" t="s">
        <v>33129</v>
      </c>
      <c r="I6961">
        <v>1996</v>
      </c>
      <c r="J6961">
        <v>1996</v>
      </c>
      <c r="K6961" t="s">
        <v>4554</v>
      </c>
      <c r="L6961" t="s">
        <v>4555</v>
      </c>
      <c r="M6961" s="2">
        <v>1572</v>
      </c>
      <c r="N6961" t="s">
        <v>5280</v>
      </c>
      <c r="O6961">
        <v>3</v>
      </c>
      <c r="P6961">
        <v>2</v>
      </c>
      <c r="Q6961">
        <v>0</v>
      </c>
      <c r="R6961" t="s">
        <v>5281</v>
      </c>
      <c r="S6961" t="s">
        <v>4558</v>
      </c>
      <c r="T6961" t="s">
        <v>2704</v>
      </c>
      <c r="U6961" t="s">
        <v>4560</v>
      </c>
      <c r="V6961" s="2">
        <v>575</v>
      </c>
      <c r="W6961" t="s">
        <v>4655</v>
      </c>
      <c r="X6961" s="2">
        <v>0</v>
      </c>
      <c r="Y6961">
        <v>20</v>
      </c>
      <c r="Z6961" t="s">
        <v>1604</v>
      </c>
      <c r="AA6961" s="3">
        <v>0.18298898637294769</v>
      </c>
      <c r="AB6961" t="s">
        <v>33130</v>
      </c>
      <c r="AC6961" t="s">
        <v>4562</v>
      </c>
      <c r="AD6961" t="s">
        <v>33128</v>
      </c>
      <c r="AE6961" t="s">
        <v>4655</v>
      </c>
      <c r="AF6961" t="s">
        <v>5201</v>
      </c>
      <c r="AG6961" t="s">
        <v>4564</v>
      </c>
      <c r="AH6961" t="s">
        <v>1605</v>
      </c>
      <c r="AI6961" t="s">
        <v>4903</v>
      </c>
      <c r="AJ6961" t="s">
        <v>33131</v>
      </c>
      <c r="AK6961" t="s">
        <v>33132</v>
      </c>
      <c r="AL6961" s="13" t="s">
        <v>1899</v>
      </c>
      <c r="AM6961">
        <v>1</v>
      </c>
      <c r="AN6961" s="15" t="s">
        <v>1984</v>
      </c>
    </row>
    <row r="6962" spans="1:40" x14ac:dyDescent="0.3">
      <c r="A6962" s="10" t="str">
        <f>HYPERLINK("http://www.washoecounty.gov/assessor/cama/?parid=514-193-02&amp;CardNumber=1","514-193-02")</f>
        <v>514-193-02</v>
      </c>
      <c r="B6962" t="s">
        <v>4655</v>
      </c>
      <c r="C6962" t="s">
        <v>33133</v>
      </c>
      <c r="D6962" s="1">
        <v>40529</v>
      </c>
      <c r="E6962" s="2">
        <v>157900</v>
      </c>
      <c r="F6962" t="s">
        <v>4553</v>
      </c>
      <c r="G6962" s="17" t="str">
        <f>HYPERLINK("https://www.washoecounty.gov/assessor/cama/?command=sales&amp;parid=51419302","3955055")</f>
        <v>3955055</v>
      </c>
      <c r="H6962" t="s">
        <v>33129</v>
      </c>
      <c r="I6962">
        <v>1997</v>
      </c>
      <c r="J6962">
        <v>1997</v>
      </c>
      <c r="K6962" t="s">
        <v>4554</v>
      </c>
      <c r="L6962" t="s">
        <v>4555</v>
      </c>
      <c r="M6962" s="2">
        <v>1572</v>
      </c>
      <c r="N6962" t="s">
        <v>5280</v>
      </c>
      <c r="O6962">
        <v>3</v>
      </c>
      <c r="P6962">
        <v>2</v>
      </c>
      <c r="Q6962">
        <v>0</v>
      </c>
      <c r="R6962" t="s">
        <v>4557</v>
      </c>
      <c r="S6962" t="s">
        <v>4558</v>
      </c>
      <c r="T6962" t="s">
        <v>2704</v>
      </c>
      <c r="U6962" t="s">
        <v>4560</v>
      </c>
      <c r="V6962" s="2">
        <v>575</v>
      </c>
      <c r="W6962" t="s">
        <v>4655</v>
      </c>
      <c r="X6962" s="2">
        <v>0</v>
      </c>
      <c r="Y6962">
        <v>20</v>
      </c>
      <c r="Z6962" t="s">
        <v>1604</v>
      </c>
      <c r="AA6962" s="3">
        <v>0.16099633276462599</v>
      </c>
      <c r="AB6962" t="s">
        <v>33134</v>
      </c>
      <c r="AC6962" t="s">
        <v>4562</v>
      </c>
      <c r="AD6962" t="s">
        <v>33133</v>
      </c>
      <c r="AE6962" t="s">
        <v>4655</v>
      </c>
      <c r="AF6962" t="s">
        <v>5201</v>
      </c>
      <c r="AG6962" t="s">
        <v>4564</v>
      </c>
      <c r="AH6962" t="s">
        <v>1605</v>
      </c>
      <c r="AI6962" t="s">
        <v>1278</v>
      </c>
      <c r="AJ6962" t="s">
        <v>33131</v>
      </c>
      <c r="AK6962" t="s">
        <v>33135</v>
      </c>
      <c r="AL6962" s="13" t="s">
        <v>1899</v>
      </c>
      <c r="AM6962">
        <v>1</v>
      </c>
      <c r="AN6962" s="15" t="s">
        <v>1984</v>
      </c>
    </row>
    <row r="6963" spans="1:40" x14ac:dyDescent="0.3">
      <c r="A6963" s="10" t="str">
        <f>HYPERLINK("http://www.washoecounty.gov/assessor/cama/?parid=514-202-08&amp;CardNumber=1","514-202-08")</f>
        <v>514-202-08</v>
      </c>
      <c r="B6963" t="s">
        <v>4655</v>
      </c>
      <c r="C6963" t="s">
        <v>33136</v>
      </c>
      <c r="D6963" s="1">
        <v>40297</v>
      </c>
      <c r="E6963" s="2">
        <v>215000</v>
      </c>
      <c r="F6963" t="s">
        <v>4567</v>
      </c>
      <c r="G6963" s="17" t="str">
        <f>HYPERLINK("https://www.washoecounty.gov/assessor/cama/?command=sales&amp;parid=51420208","3876294")</f>
        <v>3876294</v>
      </c>
      <c r="H6963" t="s">
        <v>3929</v>
      </c>
      <c r="I6963">
        <v>1996</v>
      </c>
      <c r="J6963">
        <v>1996</v>
      </c>
      <c r="K6963" t="s">
        <v>4554</v>
      </c>
      <c r="L6963" t="s">
        <v>4555</v>
      </c>
      <c r="M6963" s="2">
        <v>2074</v>
      </c>
      <c r="N6963" t="s">
        <v>5280</v>
      </c>
      <c r="O6963">
        <v>3</v>
      </c>
      <c r="P6963">
        <v>2</v>
      </c>
      <c r="Q6963">
        <v>0</v>
      </c>
      <c r="R6963" t="s">
        <v>5281</v>
      </c>
      <c r="S6963" t="s">
        <v>4898</v>
      </c>
      <c r="T6963" t="s">
        <v>2704</v>
      </c>
      <c r="U6963" t="s">
        <v>4560</v>
      </c>
      <c r="V6963" s="2">
        <v>400</v>
      </c>
      <c r="W6963" t="s">
        <v>4655</v>
      </c>
      <c r="X6963" s="2">
        <v>0</v>
      </c>
      <c r="Y6963">
        <v>20</v>
      </c>
      <c r="Z6963" t="s">
        <v>5200</v>
      </c>
      <c r="AA6963" s="3">
        <v>0.18500918149948101</v>
      </c>
      <c r="AB6963" t="s">
        <v>33137</v>
      </c>
      <c r="AC6963" t="s">
        <v>4562</v>
      </c>
      <c r="AD6963" t="s">
        <v>33138</v>
      </c>
      <c r="AE6963" t="s">
        <v>4655</v>
      </c>
      <c r="AF6963" t="s">
        <v>4809</v>
      </c>
      <c r="AG6963" t="s">
        <v>4564</v>
      </c>
      <c r="AH6963" t="s">
        <v>3898</v>
      </c>
      <c r="AI6963" t="s">
        <v>4655</v>
      </c>
      <c r="AJ6963" t="s">
        <v>3930</v>
      </c>
      <c r="AK6963" t="s">
        <v>33139</v>
      </c>
      <c r="AL6963" s="13" t="s">
        <v>1899</v>
      </c>
      <c r="AM6963">
        <v>1</v>
      </c>
      <c r="AN6963" s="15" t="s">
        <v>1987</v>
      </c>
    </row>
    <row r="6964" spans="1:40" x14ac:dyDescent="0.3">
      <c r="A6964" s="10" t="str">
        <f>HYPERLINK("http://www.washoecounty.gov/assessor/cama/?parid=514-202-27&amp;CardNumber=1","514-202-27")</f>
        <v>514-202-27</v>
      </c>
      <c r="B6964" t="s">
        <v>4655</v>
      </c>
      <c r="C6964" t="s">
        <v>33140</v>
      </c>
      <c r="D6964" s="1">
        <v>40326</v>
      </c>
      <c r="E6964" s="2">
        <v>245100</v>
      </c>
      <c r="F6964" t="s">
        <v>4567</v>
      </c>
      <c r="G6964" s="17" t="str">
        <f>HYPERLINK("https://www.washoecounty.gov/assessor/cama/?command=sales&amp;parid=51420227","3886319")</f>
        <v>3886319</v>
      </c>
      <c r="H6964" t="s">
        <v>4219</v>
      </c>
      <c r="I6964">
        <v>1999</v>
      </c>
      <c r="J6964">
        <v>1999</v>
      </c>
      <c r="K6964" t="s">
        <v>4554</v>
      </c>
      <c r="L6964" t="s">
        <v>4555</v>
      </c>
      <c r="M6964" s="2">
        <v>1492</v>
      </c>
      <c r="N6964" t="s">
        <v>5280</v>
      </c>
      <c r="O6964">
        <v>3</v>
      </c>
      <c r="P6964">
        <v>3</v>
      </c>
      <c r="Q6964">
        <v>0</v>
      </c>
      <c r="R6964" t="s">
        <v>5281</v>
      </c>
      <c r="S6964" t="s">
        <v>4898</v>
      </c>
      <c r="T6964" t="s">
        <v>2704</v>
      </c>
      <c r="U6964" t="s">
        <v>4560</v>
      </c>
      <c r="V6964" s="2">
        <v>487</v>
      </c>
      <c r="W6964" t="s">
        <v>3201</v>
      </c>
      <c r="X6964" s="2">
        <v>720</v>
      </c>
      <c r="Y6964">
        <v>20</v>
      </c>
      <c r="Z6964" t="s">
        <v>5200</v>
      </c>
      <c r="AA6964" s="3">
        <v>0.298002749681473</v>
      </c>
      <c r="AB6964" t="s">
        <v>33141</v>
      </c>
      <c r="AC6964" t="s">
        <v>4562</v>
      </c>
      <c r="AD6964" t="s">
        <v>33140</v>
      </c>
      <c r="AE6964" t="s">
        <v>4655</v>
      </c>
      <c r="AF6964" t="s">
        <v>5201</v>
      </c>
      <c r="AG6964" t="s">
        <v>4564</v>
      </c>
      <c r="AH6964" t="s">
        <v>1605</v>
      </c>
      <c r="AI6964" t="s">
        <v>4655</v>
      </c>
      <c r="AJ6964" t="s">
        <v>3930</v>
      </c>
      <c r="AK6964" t="s">
        <v>33142</v>
      </c>
      <c r="AL6964" s="13" t="s">
        <v>1899</v>
      </c>
      <c r="AM6964" s="14">
        <v>1</v>
      </c>
      <c r="AN6964" s="15" t="s">
        <v>1987</v>
      </c>
    </row>
    <row r="6965" spans="1:40" x14ac:dyDescent="0.3">
      <c r="A6965" s="10" t="str">
        <f>HYPERLINK("http://www.washoecounty.gov/assessor/cama/?parid=514-202-37&amp;CardNumber=1","514-202-37")</f>
        <v>514-202-37</v>
      </c>
      <c r="B6965" t="s">
        <v>4655</v>
      </c>
      <c r="C6965" t="s">
        <v>33143</v>
      </c>
      <c r="D6965" s="1">
        <v>40340</v>
      </c>
      <c r="E6965" s="2">
        <v>239000</v>
      </c>
      <c r="F6965" t="s">
        <v>4567</v>
      </c>
      <c r="G6965" s="17" t="str">
        <f>HYPERLINK("https://www.washoecounty.gov/assessor/cama/?command=sales&amp;parid=51420237","3891147")</f>
        <v>3891147</v>
      </c>
      <c r="H6965" t="s">
        <v>3929</v>
      </c>
      <c r="I6965">
        <v>1997</v>
      </c>
      <c r="J6965">
        <v>1997</v>
      </c>
      <c r="K6965" t="s">
        <v>4554</v>
      </c>
      <c r="L6965" t="s">
        <v>3974</v>
      </c>
      <c r="M6965" s="2">
        <v>2331</v>
      </c>
      <c r="N6965" t="s">
        <v>5280</v>
      </c>
      <c r="O6965">
        <v>4</v>
      </c>
      <c r="P6965">
        <v>3</v>
      </c>
      <c r="Q6965">
        <v>0</v>
      </c>
      <c r="R6965" t="s">
        <v>4557</v>
      </c>
      <c r="S6965" t="s">
        <v>4898</v>
      </c>
      <c r="T6965" t="s">
        <v>2704</v>
      </c>
      <c r="U6965" t="s">
        <v>162</v>
      </c>
      <c r="V6965" s="2">
        <v>608</v>
      </c>
      <c r="W6965" t="s">
        <v>4655</v>
      </c>
      <c r="X6965" s="2">
        <v>0</v>
      </c>
      <c r="Y6965">
        <v>20</v>
      </c>
      <c r="Z6965" t="s">
        <v>5200</v>
      </c>
      <c r="AA6965" s="3">
        <v>0.18298898637294769</v>
      </c>
      <c r="AB6965" t="s">
        <v>33144</v>
      </c>
      <c r="AC6965" t="s">
        <v>4562</v>
      </c>
      <c r="AD6965" t="s">
        <v>33145</v>
      </c>
      <c r="AE6965" t="s">
        <v>4655</v>
      </c>
      <c r="AF6965" t="s">
        <v>5201</v>
      </c>
      <c r="AG6965" t="s">
        <v>4564</v>
      </c>
      <c r="AH6965" t="s">
        <v>1605</v>
      </c>
      <c r="AI6965" t="s">
        <v>33146</v>
      </c>
      <c r="AJ6965" t="s">
        <v>33147</v>
      </c>
      <c r="AK6965" t="s">
        <v>33148</v>
      </c>
      <c r="AL6965" s="13" t="s">
        <v>1899</v>
      </c>
      <c r="AM6965" s="14">
        <v>1</v>
      </c>
      <c r="AN6965" s="15" t="s">
        <v>1987</v>
      </c>
    </row>
    <row r="6966" spans="1:40" x14ac:dyDescent="0.3">
      <c r="A6966" s="10" t="str">
        <f>HYPERLINK("http://www.washoecounty.gov/assessor/cama/?parid=514-212-02&amp;CardNumber=1","514-212-02")</f>
        <v>514-212-02</v>
      </c>
      <c r="B6966" t="s">
        <v>4655</v>
      </c>
      <c r="C6966" t="s">
        <v>33149</v>
      </c>
      <c r="D6966" s="1">
        <v>40479</v>
      </c>
      <c r="E6966" s="2">
        <v>218000</v>
      </c>
      <c r="F6966" t="s">
        <v>4553</v>
      </c>
      <c r="G6966" s="17" t="str">
        <f>HYPERLINK("https://www.washoecounty.gov/assessor/cama/?command=sales&amp;parid=51421202","3937925")</f>
        <v>3937925</v>
      </c>
      <c r="H6966" t="s">
        <v>3929</v>
      </c>
      <c r="I6966">
        <v>1996</v>
      </c>
      <c r="J6966">
        <v>1996</v>
      </c>
      <c r="K6966" t="s">
        <v>4554</v>
      </c>
      <c r="L6966" t="s">
        <v>3974</v>
      </c>
      <c r="M6966" s="2">
        <v>2199</v>
      </c>
      <c r="N6966" t="s">
        <v>5280</v>
      </c>
      <c r="O6966">
        <v>4</v>
      </c>
      <c r="P6966">
        <v>2</v>
      </c>
      <c r="Q6966">
        <v>1</v>
      </c>
      <c r="R6966" t="s">
        <v>5281</v>
      </c>
      <c r="S6966" t="s">
        <v>4898</v>
      </c>
      <c r="T6966" t="s">
        <v>2704</v>
      </c>
      <c r="U6966" t="s">
        <v>4560</v>
      </c>
      <c r="V6966" s="2">
        <v>570</v>
      </c>
      <c r="W6966" t="s">
        <v>4655</v>
      </c>
      <c r="X6966" s="2">
        <v>0</v>
      </c>
      <c r="Y6966">
        <v>20</v>
      </c>
      <c r="Z6966" t="s">
        <v>5200</v>
      </c>
      <c r="AA6966" s="3">
        <v>0.17199265956878662</v>
      </c>
      <c r="AB6966" t="s">
        <v>33150</v>
      </c>
      <c r="AC6966" t="s">
        <v>4575</v>
      </c>
      <c r="AD6966" t="s">
        <v>33151</v>
      </c>
      <c r="AE6966" t="s">
        <v>4655</v>
      </c>
      <c r="AF6966" t="s">
        <v>4809</v>
      </c>
      <c r="AG6966" t="s">
        <v>4564</v>
      </c>
      <c r="AH6966" t="s">
        <v>1605</v>
      </c>
      <c r="AI6966" t="s">
        <v>4565</v>
      </c>
      <c r="AJ6966" t="s">
        <v>3930</v>
      </c>
      <c r="AK6966" t="s">
        <v>33152</v>
      </c>
      <c r="AL6966" s="13" t="s">
        <v>1899</v>
      </c>
      <c r="AM6966">
        <v>1</v>
      </c>
      <c r="AN6966" s="15" t="s">
        <v>1987</v>
      </c>
    </row>
    <row r="6967" spans="1:40" x14ac:dyDescent="0.3">
      <c r="A6967" s="10" t="str">
        <f>HYPERLINK("http://www.washoecounty.gov/assessor/cama/?parid=514-213-48&amp;CardNumber=1","514-213-48")</f>
        <v>514-213-48</v>
      </c>
      <c r="B6967" t="s">
        <v>4655</v>
      </c>
      <c r="C6967" t="s">
        <v>33153</v>
      </c>
      <c r="D6967" s="1">
        <v>40479</v>
      </c>
      <c r="E6967" s="2">
        <v>235000</v>
      </c>
      <c r="F6967" t="s">
        <v>4567</v>
      </c>
      <c r="G6967" s="17" t="str">
        <f>HYPERLINK("https://www.washoecounty.gov/assessor/cama/?command=sales&amp;parid=51421348","3937718")</f>
        <v>3937718</v>
      </c>
      <c r="H6967" t="s">
        <v>3929</v>
      </c>
      <c r="I6967">
        <v>1997</v>
      </c>
      <c r="J6967">
        <v>1997</v>
      </c>
      <c r="K6967" t="s">
        <v>4554</v>
      </c>
      <c r="L6967" t="s">
        <v>3974</v>
      </c>
      <c r="M6967" s="2">
        <v>2199</v>
      </c>
      <c r="N6967" t="s">
        <v>5280</v>
      </c>
      <c r="O6967">
        <v>4</v>
      </c>
      <c r="P6967">
        <v>2</v>
      </c>
      <c r="Q6967">
        <v>1</v>
      </c>
      <c r="R6967" t="s">
        <v>5281</v>
      </c>
      <c r="S6967" t="s">
        <v>4898</v>
      </c>
      <c r="T6967" t="s">
        <v>2704</v>
      </c>
      <c r="U6967" t="s">
        <v>5631</v>
      </c>
      <c r="V6967" s="2">
        <v>570</v>
      </c>
      <c r="W6967" t="s">
        <v>4655</v>
      </c>
      <c r="X6967" s="2">
        <v>0</v>
      </c>
      <c r="Y6967">
        <v>20</v>
      </c>
      <c r="Z6967" t="s">
        <v>5200</v>
      </c>
      <c r="AA6967" s="3">
        <v>0.44600552320480302</v>
      </c>
      <c r="AB6967" t="s">
        <v>33154</v>
      </c>
      <c r="AC6967" t="s">
        <v>4562</v>
      </c>
      <c r="AD6967" t="s">
        <v>33153</v>
      </c>
      <c r="AE6967" t="s">
        <v>4655</v>
      </c>
      <c r="AF6967" t="s">
        <v>5201</v>
      </c>
      <c r="AG6967" t="s">
        <v>4564</v>
      </c>
      <c r="AH6967" t="s">
        <v>1605</v>
      </c>
      <c r="AI6967" t="s">
        <v>33155</v>
      </c>
      <c r="AJ6967" t="s">
        <v>4968</v>
      </c>
      <c r="AK6967" t="s">
        <v>33156</v>
      </c>
      <c r="AL6967" s="13" t="s">
        <v>1899</v>
      </c>
      <c r="AM6967">
        <v>1</v>
      </c>
      <c r="AN6967" s="15" t="s">
        <v>1987</v>
      </c>
    </row>
    <row r="6968" spans="1:40" x14ac:dyDescent="0.3">
      <c r="A6968" s="10" t="str">
        <f>HYPERLINK("http://www.washoecounty.gov/assessor/cama/?parid=514-213-53&amp;CardNumber=1","514-213-53")</f>
        <v>514-213-53</v>
      </c>
      <c r="B6968" t="s">
        <v>4655</v>
      </c>
      <c r="C6968" t="s">
        <v>33157</v>
      </c>
      <c r="D6968" s="1">
        <v>40325</v>
      </c>
      <c r="E6968" s="2">
        <v>215000</v>
      </c>
      <c r="F6968" t="s">
        <v>4567</v>
      </c>
      <c r="G6968" s="17" t="str">
        <f>HYPERLINK("https://www.washoecounty.gov/assessor/cama/?command=sales&amp;parid=51421353","3885854")</f>
        <v>3885854</v>
      </c>
      <c r="H6968" t="s">
        <v>3929</v>
      </c>
      <c r="I6968">
        <v>1997</v>
      </c>
      <c r="J6968">
        <v>1997</v>
      </c>
      <c r="K6968" t="s">
        <v>4554</v>
      </c>
      <c r="L6968" t="s">
        <v>4555</v>
      </c>
      <c r="M6968" s="2">
        <v>2074</v>
      </c>
      <c r="N6968" t="s">
        <v>5280</v>
      </c>
      <c r="O6968">
        <v>4</v>
      </c>
      <c r="P6968">
        <v>2</v>
      </c>
      <c r="Q6968">
        <v>0</v>
      </c>
      <c r="R6968" t="s">
        <v>4557</v>
      </c>
      <c r="S6968" t="s">
        <v>4898</v>
      </c>
      <c r="T6968" t="s">
        <v>2704</v>
      </c>
      <c r="U6968" t="s">
        <v>4560</v>
      </c>
      <c r="V6968" s="2">
        <v>400</v>
      </c>
      <c r="W6968" t="s">
        <v>4655</v>
      </c>
      <c r="X6968" s="2">
        <v>0</v>
      </c>
      <c r="Y6968">
        <v>20</v>
      </c>
      <c r="Z6968" t="s">
        <v>5200</v>
      </c>
      <c r="AA6968" s="3">
        <v>0.201997250318527</v>
      </c>
      <c r="AB6968" t="s">
        <v>33158</v>
      </c>
      <c r="AC6968" t="s">
        <v>4562</v>
      </c>
      <c r="AD6968" t="s">
        <v>33157</v>
      </c>
      <c r="AE6968" t="s">
        <v>4655</v>
      </c>
      <c r="AF6968" t="s">
        <v>5201</v>
      </c>
      <c r="AG6968" t="s">
        <v>4564</v>
      </c>
      <c r="AH6968" t="s">
        <v>1350</v>
      </c>
      <c r="AI6968" t="s">
        <v>33159</v>
      </c>
      <c r="AJ6968" t="s">
        <v>4968</v>
      </c>
      <c r="AK6968" t="s">
        <v>33160</v>
      </c>
      <c r="AL6968" s="13" t="s">
        <v>1899</v>
      </c>
      <c r="AM6968">
        <v>1</v>
      </c>
      <c r="AN6968" s="15" t="s">
        <v>1987</v>
      </c>
    </row>
    <row r="6969" spans="1:40" x14ac:dyDescent="0.3">
      <c r="A6969" s="10" t="str">
        <f>HYPERLINK("http://www.washoecounty.gov/assessor/cama/?parid=514-231-04&amp;CardNumber=1","514-231-04")</f>
        <v>514-231-04</v>
      </c>
      <c r="B6969" t="s">
        <v>4655</v>
      </c>
      <c r="C6969" t="s">
        <v>33161</v>
      </c>
      <c r="D6969" s="1">
        <v>40305</v>
      </c>
      <c r="E6969" s="2">
        <v>228000</v>
      </c>
      <c r="F6969" t="s">
        <v>4567</v>
      </c>
      <c r="G6969" s="17" t="str">
        <f>HYPERLINK("https://www.washoecounty.gov/assessor/cama/?command=sales&amp;parid=51423104","3879251")</f>
        <v>3879251</v>
      </c>
      <c r="H6969" t="s">
        <v>1586</v>
      </c>
      <c r="I6969">
        <v>1999</v>
      </c>
      <c r="J6969">
        <v>1999</v>
      </c>
      <c r="K6969" t="s">
        <v>4554</v>
      </c>
      <c r="L6969" t="s">
        <v>3974</v>
      </c>
      <c r="M6969" s="2">
        <v>2903</v>
      </c>
      <c r="N6969" t="s">
        <v>5280</v>
      </c>
      <c r="O6969">
        <v>5</v>
      </c>
      <c r="P6969">
        <v>3</v>
      </c>
      <c r="Q6969">
        <v>0</v>
      </c>
      <c r="R6969" t="s">
        <v>4557</v>
      </c>
      <c r="S6969" t="s">
        <v>4558</v>
      </c>
      <c r="T6969" t="s">
        <v>2704</v>
      </c>
      <c r="U6969" t="s">
        <v>5631</v>
      </c>
      <c r="V6969" s="2">
        <v>755</v>
      </c>
      <c r="W6969" t="s">
        <v>4655</v>
      </c>
      <c r="X6969" s="2">
        <v>0</v>
      </c>
      <c r="Y6969">
        <v>20</v>
      </c>
      <c r="Z6969" t="s">
        <v>1604</v>
      </c>
      <c r="AA6969" s="3">
        <v>0.20599173009395599</v>
      </c>
      <c r="AB6969" t="s">
        <v>33162</v>
      </c>
      <c r="AC6969" t="s">
        <v>4575</v>
      </c>
      <c r="AD6969" t="s">
        <v>33163</v>
      </c>
      <c r="AE6969" t="s">
        <v>33161</v>
      </c>
      <c r="AF6969" t="s">
        <v>5201</v>
      </c>
      <c r="AG6969" t="s">
        <v>4564</v>
      </c>
      <c r="AH6969" t="s">
        <v>1605</v>
      </c>
      <c r="AI6969" t="s">
        <v>33164</v>
      </c>
      <c r="AJ6969" t="s">
        <v>1151</v>
      </c>
      <c r="AK6969" t="s">
        <v>33165</v>
      </c>
      <c r="AL6969" s="13" t="s">
        <v>1899</v>
      </c>
      <c r="AM6969">
        <v>1</v>
      </c>
      <c r="AN6969" s="15" t="s">
        <v>1984</v>
      </c>
    </row>
    <row r="6970" spans="1:40" x14ac:dyDescent="0.3">
      <c r="A6970" s="10" t="str">
        <f>HYPERLINK("http://www.washoecounty.gov/assessor/cama/?parid=514-231-17&amp;CardNumber=1","514-231-17")</f>
        <v>514-231-17</v>
      </c>
      <c r="B6970" t="s">
        <v>4655</v>
      </c>
      <c r="C6970" t="s">
        <v>33166</v>
      </c>
      <c r="D6970" s="1">
        <v>40478</v>
      </c>
      <c r="E6970" s="2">
        <v>193500</v>
      </c>
      <c r="F6970" t="s">
        <v>4553</v>
      </c>
      <c r="G6970" s="17" t="str">
        <f>HYPERLINK("https://www.washoecounty.gov/assessor/cama/?command=sales&amp;parid=51423117","3937206")</f>
        <v>3937206</v>
      </c>
      <c r="H6970" t="s">
        <v>1586</v>
      </c>
      <c r="I6970">
        <v>1997</v>
      </c>
      <c r="J6970">
        <v>1997</v>
      </c>
      <c r="K6970" t="s">
        <v>4554</v>
      </c>
      <c r="L6970" t="s">
        <v>4555</v>
      </c>
      <c r="M6970" s="2">
        <v>1972</v>
      </c>
      <c r="N6970" t="s">
        <v>5280</v>
      </c>
      <c r="O6970">
        <v>3</v>
      </c>
      <c r="P6970">
        <v>2</v>
      </c>
      <c r="Q6970">
        <v>1</v>
      </c>
      <c r="R6970" t="s">
        <v>5281</v>
      </c>
      <c r="S6970" t="s">
        <v>4558</v>
      </c>
      <c r="T6970" t="s">
        <v>2704</v>
      </c>
      <c r="U6970" t="s">
        <v>4560</v>
      </c>
      <c r="V6970" s="2">
        <v>647</v>
      </c>
      <c r="W6970" t="s">
        <v>4655</v>
      </c>
      <c r="X6970" s="2">
        <v>0</v>
      </c>
      <c r="Y6970">
        <v>20</v>
      </c>
      <c r="Z6970" t="s">
        <v>1604</v>
      </c>
      <c r="AA6970" s="3">
        <v>0.217998161911964</v>
      </c>
      <c r="AB6970" t="s">
        <v>33167</v>
      </c>
      <c r="AC6970" t="s">
        <v>4562</v>
      </c>
      <c r="AD6970" t="s">
        <v>33166</v>
      </c>
      <c r="AE6970" t="s">
        <v>4655</v>
      </c>
      <c r="AF6970" t="s">
        <v>5201</v>
      </c>
      <c r="AG6970" t="s">
        <v>4564</v>
      </c>
      <c r="AH6970" t="s">
        <v>1605</v>
      </c>
      <c r="AI6970" t="s">
        <v>33168</v>
      </c>
      <c r="AJ6970" t="s">
        <v>1151</v>
      </c>
      <c r="AK6970" t="s">
        <v>33169</v>
      </c>
      <c r="AL6970" s="13" t="s">
        <v>1899</v>
      </c>
      <c r="AM6970">
        <v>1</v>
      </c>
      <c r="AN6970" s="15" t="s">
        <v>1984</v>
      </c>
    </row>
    <row r="6971" spans="1:40" x14ac:dyDescent="0.3">
      <c r="A6971" s="10" t="str">
        <f>HYPERLINK("http://www.washoecounty.gov/assessor/cama/?parid=514-241-06&amp;CardNumber=1","514-241-06")</f>
        <v>514-241-06</v>
      </c>
      <c r="B6971" t="s">
        <v>4655</v>
      </c>
      <c r="C6971" t="s">
        <v>33170</v>
      </c>
      <c r="D6971" s="1">
        <v>40431</v>
      </c>
      <c r="E6971" s="2">
        <v>219500</v>
      </c>
      <c r="F6971" t="s">
        <v>4567</v>
      </c>
      <c r="G6971" s="17" t="str">
        <f>HYPERLINK("https://www.washoecounty.gov/assessor/cama/?command=sales&amp;parid=51424106","3921064")</f>
        <v>3921064</v>
      </c>
      <c r="H6971" t="s">
        <v>1586</v>
      </c>
      <c r="I6971">
        <v>1998</v>
      </c>
      <c r="J6971">
        <v>1998</v>
      </c>
      <c r="K6971" t="s">
        <v>4554</v>
      </c>
      <c r="L6971" t="s">
        <v>4555</v>
      </c>
      <c r="M6971" s="2">
        <v>2156</v>
      </c>
      <c r="N6971" t="s">
        <v>5280</v>
      </c>
      <c r="O6971">
        <v>3</v>
      </c>
      <c r="P6971">
        <v>2</v>
      </c>
      <c r="Q6971">
        <v>1</v>
      </c>
      <c r="R6971" t="s">
        <v>4557</v>
      </c>
      <c r="S6971" t="s">
        <v>4558</v>
      </c>
      <c r="T6971" t="s">
        <v>2704</v>
      </c>
      <c r="U6971" t="s">
        <v>4560</v>
      </c>
      <c r="V6971" s="2">
        <v>588</v>
      </c>
      <c r="W6971" t="s">
        <v>4655</v>
      </c>
      <c r="X6971" s="2">
        <v>0</v>
      </c>
      <c r="Y6971">
        <v>20</v>
      </c>
      <c r="Z6971" t="s">
        <v>1604</v>
      </c>
      <c r="AA6971" s="3">
        <v>0.228007346391678</v>
      </c>
      <c r="AB6971" t="s">
        <v>33171</v>
      </c>
      <c r="AC6971" t="s">
        <v>4562</v>
      </c>
      <c r="AD6971" t="s">
        <v>33170</v>
      </c>
      <c r="AE6971" t="s">
        <v>4655</v>
      </c>
      <c r="AF6971" t="s">
        <v>5201</v>
      </c>
      <c r="AG6971" t="s">
        <v>4564</v>
      </c>
      <c r="AH6971" t="s">
        <v>1605</v>
      </c>
      <c r="AI6971" t="s">
        <v>33172</v>
      </c>
      <c r="AJ6971" t="s">
        <v>1151</v>
      </c>
      <c r="AK6971" t="s">
        <v>33173</v>
      </c>
      <c r="AL6971" s="13" t="s">
        <v>1899</v>
      </c>
      <c r="AM6971" s="14">
        <v>1</v>
      </c>
      <c r="AN6971" s="15" t="s">
        <v>1984</v>
      </c>
    </row>
    <row r="6972" spans="1:40" x14ac:dyDescent="0.3">
      <c r="A6972" s="10" t="str">
        <f>HYPERLINK("http://www.washoecounty.gov/assessor/cama/?parid=514-271-02&amp;CardNumber=1","514-271-02")</f>
        <v>514-271-02</v>
      </c>
      <c r="B6972" t="s">
        <v>4655</v>
      </c>
      <c r="C6972" t="s">
        <v>33174</v>
      </c>
      <c r="D6972" s="1">
        <v>40479</v>
      </c>
      <c r="E6972" s="2">
        <v>140000</v>
      </c>
      <c r="F6972" t="s">
        <v>4567</v>
      </c>
      <c r="G6972" s="17" t="str">
        <f>HYPERLINK("https://www.washoecounty.gov/assessor/cama/?command=sales&amp;parid=51427102","3937980")</f>
        <v>3937980</v>
      </c>
      <c r="H6972" t="s">
        <v>5482</v>
      </c>
      <c r="I6972">
        <v>1997</v>
      </c>
      <c r="J6972">
        <v>1997</v>
      </c>
      <c r="K6972" t="s">
        <v>4554</v>
      </c>
      <c r="L6972" t="s">
        <v>4555</v>
      </c>
      <c r="M6972" s="2">
        <v>1197</v>
      </c>
      <c r="N6972" t="s">
        <v>5280</v>
      </c>
      <c r="O6972">
        <v>3</v>
      </c>
      <c r="P6972">
        <v>2</v>
      </c>
      <c r="Q6972">
        <v>0</v>
      </c>
      <c r="R6972" t="s">
        <v>4557</v>
      </c>
      <c r="S6972" t="s">
        <v>4558</v>
      </c>
      <c r="T6972" t="s">
        <v>2704</v>
      </c>
      <c r="U6972" t="s">
        <v>4560</v>
      </c>
      <c r="V6972" s="2">
        <v>413</v>
      </c>
      <c r="W6972" t="s">
        <v>4655</v>
      </c>
      <c r="X6972" s="2">
        <v>0</v>
      </c>
      <c r="Y6972">
        <v>20</v>
      </c>
      <c r="Z6972" t="s">
        <v>1604</v>
      </c>
      <c r="AA6972" s="3">
        <v>0.148002758622169</v>
      </c>
      <c r="AB6972" t="s">
        <v>5591</v>
      </c>
      <c r="AC6972" t="s">
        <v>4562</v>
      </c>
      <c r="AD6972" t="s">
        <v>5592</v>
      </c>
      <c r="AE6972" t="s">
        <v>4655</v>
      </c>
      <c r="AF6972" t="s">
        <v>1668</v>
      </c>
      <c r="AG6972" t="s">
        <v>2016</v>
      </c>
      <c r="AH6972">
        <v>48098</v>
      </c>
      <c r="AI6972" t="s">
        <v>33175</v>
      </c>
      <c r="AJ6972" t="s">
        <v>5483</v>
      </c>
      <c r="AK6972" t="s">
        <v>33176</v>
      </c>
      <c r="AL6972" s="13" t="s">
        <v>1899</v>
      </c>
      <c r="AM6972">
        <v>1</v>
      </c>
      <c r="AN6972" s="15" t="s">
        <v>1984</v>
      </c>
    </row>
    <row r="6973" spans="1:40" x14ac:dyDescent="0.3">
      <c r="A6973" s="10" t="str">
        <f>HYPERLINK("http://www.washoecounty.gov/assessor/cama/?parid=514-271-11&amp;CardNumber=1","514-271-11")</f>
        <v>514-271-11</v>
      </c>
      <c r="B6973" t="s">
        <v>4655</v>
      </c>
      <c r="C6973" t="s">
        <v>33177</v>
      </c>
      <c r="D6973" s="1">
        <v>40532</v>
      </c>
      <c r="E6973" s="2">
        <v>135000</v>
      </c>
      <c r="F6973" t="s">
        <v>4553</v>
      </c>
      <c r="G6973" s="17" t="str">
        <f>HYPERLINK("https://www.washoecounty.gov/assessor/cama/?command=sales&amp;parid=51427111","3955481")</f>
        <v>3955481</v>
      </c>
      <c r="H6973" t="s">
        <v>33178</v>
      </c>
      <c r="I6973">
        <v>1999</v>
      </c>
      <c r="J6973">
        <v>1999</v>
      </c>
      <c r="K6973" t="s">
        <v>4554</v>
      </c>
      <c r="L6973" t="s">
        <v>4555</v>
      </c>
      <c r="M6973" s="2">
        <v>1295</v>
      </c>
      <c r="N6973" t="s">
        <v>5280</v>
      </c>
      <c r="O6973">
        <v>3</v>
      </c>
      <c r="P6973">
        <v>2</v>
      </c>
      <c r="Q6973">
        <v>0</v>
      </c>
      <c r="R6973" t="s">
        <v>5281</v>
      </c>
      <c r="S6973" t="s">
        <v>4558</v>
      </c>
      <c r="T6973" t="s">
        <v>2704</v>
      </c>
      <c r="U6973" t="s">
        <v>4560</v>
      </c>
      <c r="V6973" s="2">
        <v>411</v>
      </c>
      <c r="W6973" t="s">
        <v>4655</v>
      </c>
      <c r="X6973" s="2">
        <v>0</v>
      </c>
      <c r="Y6973">
        <v>20</v>
      </c>
      <c r="Z6973" t="s">
        <v>1604</v>
      </c>
      <c r="AA6973" s="3">
        <v>0.15899908542633101</v>
      </c>
      <c r="AB6973" t="s">
        <v>33179</v>
      </c>
      <c r="AC6973" t="s">
        <v>4562</v>
      </c>
      <c r="AD6973" t="s">
        <v>33180</v>
      </c>
      <c r="AE6973" t="s">
        <v>4655</v>
      </c>
      <c r="AF6973" t="s">
        <v>4809</v>
      </c>
      <c r="AG6973" t="s">
        <v>4564</v>
      </c>
      <c r="AH6973" t="s">
        <v>1605</v>
      </c>
      <c r="AI6973" t="s">
        <v>4903</v>
      </c>
      <c r="AJ6973" t="s">
        <v>33181</v>
      </c>
      <c r="AK6973" t="s">
        <v>33182</v>
      </c>
      <c r="AL6973" s="13" t="s">
        <v>1899</v>
      </c>
      <c r="AM6973" s="14">
        <v>1</v>
      </c>
      <c r="AN6973" s="15" t="s">
        <v>1984</v>
      </c>
    </row>
    <row r="6974" spans="1:40" x14ac:dyDescent="0.3">
      <c r="A6974" s="10" t="str">
        <f>HYPERLINK("http://www.washoecounty.gov/assessor/cama/?parid=514-282-12&amp;CardNumber=1","514-282-12")</f>
        <v>514-282-12</v>
      </c>
      <c r="B6974" t="s">
        <v>4655</v>
      </c>
      <c r="C6974" t="s">
        <v>33183</v>
      </c>
      <c r="D6974" s="1">
        <v>40478</v>
      </c>
      <c r="E6974" s="2">
        <v>150000</v>
      </c>
      <c r="F6974" t="s">
        <v>4567</v>
      </c>
      <c r="G6974" s="17" t="str">
        <f>HYPERLINK("https://www.washoecounty.gov/assessor/cama/?command=sales&amp;parid=51428212","3937347")</f>
        <v>3937347</v>
      </c>
      <c r="H6974" t="s">
        <v>937</v>
      </c>
      <c r="I6974">
        <v>1997</v>
      </c>
      <c r="J6974">
        <v>1997</v>
      </c>
      <c r="K6974" t="s">
        <v>4554</v>
      </c>
      <c r="L6974" t="s">
        <v>4555</v>
      </c>
      <c r="M6974" s="2">
        <v>1436</v>
      </c>
      <c r="N6974" t="s">
        <v>5280</v>
      </c>
      <c r="O6974">
        <v>3</v>
      </c>
      <c r="P6974">
        <v>2</v>
      </c>
      <c r="Q6974">
        <v>0</v>
      </c>
      <c r="R6974" t="s">
        <v>4557</v>
      </c>
      <c r="S6974" t="s">
        <v>4558</v>
      </c>
      <c r="T6974" t="s">
        <v>4559</v>
      </c>
      <c r="U6974" t="s">
        <v>4560</v>
      </c>
      <c r="V6974" s="2">
        <v>412</v>
      </c>
      <c r="W6974" t="s">
        <v>4655</v>
      </c>
      <c r="X6974" s="2">
        <v>0</v>
      </c>
      <c r="Y6974">
        <v>20</v>
      </c>
      <c r="Z6974" t="s">
        <v>1604</v>
      </c>
      <c r="AA6974" s="3">
        <v>0.189003676176071</v>
      </c>
      <c r="AB6974" t="s">
        <v>33184</v>
      </c>
      <c r="AC6974" t="s">
        <v>4562</v>
      </c>
      <c r="AD6974" t="s">
        <v>33185</v>
      </c>
      <c r="AE6974" t="s">
        <v>4655</v>
      </c>
      <c r="AF6974" t="s">
        <v>5201</v>
      </c>
      <c r="AG6974" t="s">
        <v>4564</v>
      </c>
      <c r="AH6974" t="s">
        <v>1605</v>
      </c>
      <c r="AI6974" t="s">
        <v>4390</v>
      </c>
      <c r="AJ6974" t="s">
        <v>977</v>
      </c>
      <c r="AK6974" t="s">
        <v>33186</v>
      </c>
      <c r="AL6974" s="13" t="s">
        <v>1886</v>
      </c>
      <c r="AM6974">
        <v>1</v>
      </c>
      <c r="AN6974" s="15" t="s">
        <v>1984</v>
      </c>
    </row>
    <row r="6975" spans="1:40" x14ac:dyDescent="0.3">
      <c r="A6975" s="10" t="str">
        <f>HYPERLINK("http://www.washoecounty.gov/assessor/cama/?parid=514-282-17&amp;CardNumber=1","514-282-17")</f>
        <v>514-282-17</v>
      </c>
      <c r="B6975" t="s">
        <v>4655</v>
      </c>
      <c r="C6975" t="s">
        <v>33187</v>
      </c>
      <c r="D6975" s="1">
        <v>40415</v>
      </c>
      <c r="E6975" s="2">
        <v>147000</v>
      </c>
      <c r="F6975" t="s">
        <v>4567</v>
      </c>
      <c r="G6975" s="17" t="str">
        <f>HYPERLINK("https://www.washoecounty.gov/assessor/cama/?command=sales&amp;parid=51428217","3915363")</f>
        <v>3915363</v>
      </c>
      <c r="H6975" t="s">
        <v>937</v>
      </c>
      <c r="I6975">
        <v>1997</v>
      </c>
      <c r="J6975">
        <v>1997</v>
      </c>
      <c r="K6975" t="s">
        <v>4554</v>
      </c>
      <c r="L6975" t="s">
        <v>4555</v>
      </c>
      <c r="M6975" s="2">
        <v>1197</v>
      </c>
      <c r="N6975" t="s">
        <v>5280</v>
      </c>
      <c r="O6975">
        <v>3</v>
      </c>
      <c r="P6975">
        <v>2</v>
      </c>
      <c r="Q6975">
        <v>0</v>
      </c>
      <c r="R6975" t="s">
        <v>4557</v>
      </c>
      <c r="S6975" t="s">
        <v>4558</v>
      </c>
      <c r="T6975" t="s">
        <v>4559</v>
      </c>
      <c r="U6975" t="s">
        <v>4560</v>
      </c>
      <c r="V6975" s="2">
        <v>413</v>
      </c>
      <c r="W6975" t="s">
        <v>4655</v>
      </c>
      <c r="X6975" s="2">
        <v>0</v>
      </c>
      <c r="Y6975">
        <v>20</v>
      </c>
      <c r="Z6975" t="s">
        <v>1604</v>
      </c>
      <c r="AA6975" s="3">
        <v>0.16400367021560699</v>
      </c>
      <c r="AB6975" t="s">
        <v>33188</v>
      </c>
      <c r="AC6975" t="s">
        <v>4562</v>
      </c>
      <c r="AD6975" t="s">
        <v>33189</v>
      </c>
      <c r="AE6975" t="s">
        <v>4655</v>
      </c>
      <c r="AF6975" t="s">
        <v>4809</v>
      </c>
      <c r="AG6975" t="s">
        <v>4564</v>
      </c>
      <c r="AH6975" t="s">
        <v>1605</v>
      </c>
      <c r="AI6975" t="s">
        <v>33190</v>
      </c>
      <c r="AJ6975" t="s">
        <v>977</v>
      </c>
      <c r="AK6975" t="s">
        <v>33191</v>
      </c>
      <c r="AL6975" s="13" t="s">
        <v>1886</v>
      </c>
      <c r="AM6975" s="14">
        <v>1</v>
      </c>
      <c r="AN6975" s="15" t="s">
        <v>1984</v>
      </c>
    </row>
    <row r="6976" spans="1:40" x14ac:dyDescent="0.3">
      <c r="A6976" s="10" t="str">
        <f>HYPERLINK("http://www.washoecounty.gov/assessor/cama/?parid=514-293-01&amp;CardNumber=1","514-293-01")</f>
        <v>514-293-01</v>
      </c>
      <c r="B6976" t="s">
        <v>4655</v>
      </c>
      <c r="C6976" t="s">
        <v>33192</v>
      </c>
      <c r="D6976" s="1">
        <v>40450</v>
      </c>
      <c r="E6976" s="2">
        <v>169500</v>
      </c>
      <c r="F6976" t="s">
        <v>4567</v>
      </c>
      <c r="G6976" s="17" t="str">
        <f>HYPERLINK("https://www.washoecounty.gov/assessor/cama/?command=sales&amp;parid=51429301","3927547")</f>
        <v>3927547</v>
      </c>
      <c r="H6976" t="s">
        <v>937</v>
      </c>
      <c r="I6976">
        <v>1998</v>
      </c>
      <c r="J6976">
        <v>1998</v>
      </c>
      <c r="K6976" t="s">
        <v>4554</v>
      </c>
      <c r="L6976" t="s">
        <v>4555</v>
      </c>
      <c r="M6976" s="2">
        <v>1436</v>
      </c>
      <c r="N6976" t="s">
        <v>5280</v>
      </c>
      <c r="O6976">
        <v>3</v>
      </c>
      <c r="P6976">
        <v>2</v>
      </c>
      <c r="Q6976">
        <v>0</v>
      </c>
      <c r="R6976" t="s">
        <v>4557</v>
      </c>
      <c r="S6976" t="s">
        <v>4558</v>
      </c>
      <c r="T6976" t="s">
        <v>4559</v>
      </c>
      <c r="U6976" t="s">
        <v>4560</v>
      </c>
      <c r="V6976" s="2">
        <v>412</v>
      </c>
      <c r="W6976" t="s">
        <v>4655</v>
      </c>
      <c r="X6976" s="2">
        <v>0</v>
      </c>
      <c r="Y6976">
        <v>20</v>
      </c>
      <c r="Z6976" t="s">
        <v>1604</v>
      </c>
      <c r="AA6976" s="3">
        <v>0.27398988604545599</v>
      </c>
      <c r="AB6976" t="s">
        <v>33193</v>
      </c>
      <c r="AC6976" t="s">
        <v>4562</v>
      </c>
      <c r="AD6976" t="s">
        <v>33192</v>
      </c>
      <c r="AE6976" t="s">
        <v>4655</v>
      </c>
      <c r="AF6976" t="s">
        <v>5201</v>
      </c>
      <c r="AG6976" t="s">
        <v>4564</v>
      </c>
      <c r="AH6976" t="s">
        <v>1605</v>
      </c>
      <c r="AI6976" t="s">
        <v>33194</v>
      </c>
      <c r="AJ6976" t="s">
        <v>977</v>
      </c>
      <c r="AK6976" t="s">
        <v>33195</v>
      </c>
      <c r="AL6976" s="13" t="s">
        <v>1886</v>
      </c>
      <c r="AM6976" s="14">
        <v>1</v>
      </c>
      <c r="AN6976" s="15" t="s">
        <v>1984</v>
      </c>
    </row>
    <row r="6977" spans="1:40" x14ac:dyDescent="0.3">
      <c r="A6977" s="10" t="str">
        <f>HYPERLINK("http://www.washoecounty.gov/assessor/cama/?parid=514-300-13&amp;CardNumber=1","514-300-13")</f>
        <v>514-300-13</v>
      </c>
      <c r="B6977" t="s">
        <v>4655</v>
      </c>
      <c r="C6977" t="s">
        <v>33196</v>
      </c>
      <c r="D6977" s="1">
        <v>40392</v>
      </c>
      <c r="E6977" s="2">
        <v>148000</v>
      </c>
      <c r="F6977" t="s">
        <v>4567</v>
      </c>
      <c r="G6977" s="17" t="str">
        <f>HYPERLINK("https://www.washoecounty.gov/assessor/cama/?command=sales&amp;parid=51430013","3907776")</f>
        <v>3907776</v>
      </c>
      <c r="H6977" t="s">
        <v>2924</v>
      </c>
      <c r="I6977">
        <v>2000</v>
      </c>
      <c r="J6977">
        <v>2000</v>
      </c>
      <c r="K6977" t="s">
        <v>4554</v>
      </c>
      <c r="L6977" t="s">
        <v>4555</v>
      </c>
      <c r="M6977" s="2">
        <v>1296</v>
      </c>
      <c r="N6977" t="s">
        <v>5280</v>
      </c>
      <c r="O6977">
        <v>3</v>
      </c>
      <c r="P6977">
        <v>2</v>
      </c>
      <c r="Q6977">
        <v>0</v>
      </c>
      <c r="R6977" t="s">
        <v>4557</v>
      </c>
      <c r="S6977" t="s">
        <v>4558</v>
      </c>
      <c r="T6977" t="s">
        <v>4559</v>
      </c>
      <c r="U6977" t="s">
        <v>4560</v>
      </c>
      <c r="V6977" s="2">
        <v>410</v>
      </c>
      <c r="W6977" t="s">
        <v>4655</v>
      </c>
      <c r="X6977" s="2">
        <v>0</v>
      </c>
      <c r="Y6977">
        <v>20</v>
      </c>
      <c r="Z6977" t="s">
        <v>1604</v>
      </c>
      <c r="AA6977" s="3">
        <v>0.15798898041248299</v>
      </c>
      <c r="AB6977" t="s">
        <v>33197</v>
      </c>
      <c r="AC6977" t="s">
        <v>4562</v>
      </c>
      <c r="AD6977" t="s">
        <v>33198</v>
      </c>
      <c r="AE6977" t="s">
        <v>4655</v>
      </c>
      <c r="AF6977" t="s">
        <v>5201</v>
      </c>
      <c r="AG6977" t="s">
        <v>4564</v>
      </c>
      <c r="AH6977" t="s">
        <v>3898</v>
      </c>
      <c r="AI6977" t="s">
        <v>4655</v>
      </c>
      <c r="AJ6977" t="s">
        <v>2925</v>
      </c>
      <c r="AK6977" t="s">
        <v>33199</v>
      </c>
      <c r="AL6977" s="13" t="s">
        <v>1886</v>
      </c>
      <c r="AM6977" s="14">
        <v>1</v>
      </c>
      <c r="AN6977" s="15" t="s">
        <v>1984</v>
      </c>
    </row>
    <row r="6978" spans="1:40" x14ac:dyDescent="0.3">
      <c r="A6978" s="10" t="str">
        <f>HYPERLINK("http://www.washoecounty.gov/assessor/cama/?parid=514-300-15&amp;CardNumber=1","514-300-15")</f>
        <v>514-300-15</v>
      </c>
      <c r="B6978" t="s">
        <v>4655</v>
      </c>
      <c r="C6978" t="s">
        <v>33200</v>
      </c>
      <c r="D6978" s="1">
        <v>40487</v>
      </c>
      <c r="E6978" s="2">
        <v>145000</v>
      </c>
      <c r="F6978" t="s">
        <v>4567</v>
      </c>
      <c r="G6978" s="17" t="str">
        <f>HYPERLINK("https://www.washoecounty.gov/assessor/cama/?command=sales&amp;parid=51430015","3940556")</f>
        <v>3940556</v>
      </c>
      <c r="H6978" t="s">
        <v>2924</v>
      </c>
      <c r="I6978">
        <v>2000</v>
      </c>
      <c r="J6978">
        <v>2000</v>
      </c>
      <c r="K6978" t="s">
        <v>4554</v>
      </c>
      <c r="L6978" t="s">
        <v>4555</v>
      </c>
      <c r="M6978" s="2">
        <v>1296</v>
      </c>
      <c r="N6978" t="s">
        <v>5280</v>
      </c>
      <c r="O6978">
        <v>3</v>
      </c>
      <c r="P6978">
        <v>2</v>
      </c>
      <c r="Q6978">
        <v>0</v>
      </c>
      <c r="R6978" t="s">
        <v>5281</v>
      </c>
      <c r="S6978" t="s">
        <v>4558</v>
      </c>
      <c r="T6978" t="s">
        <v>4559</v>
      </c>
      <c r="U6978" t="s">
        <v>4560</v>
      </c>
      <c r="V6978" s="2">
        <v>410</v>
      </c>
      <c r="W6978" t="s">
        <v>4655</v>
      </c>
      <c r="X6978" s="2">
        <v>0</v>
      </c>
      <c r="Y6978">
        <v>20</v>
      </c>
      <c r="Z6978" t="s">
        <v>1604</v>
      </c>
      <c r="AA6978" s="3">
        <v>0.14400826394558</v>
      </c>
      <c r="AB6978" t="s">
        <v>33201</v>
      </c>
      <c r="AC6978" t="s">
        <v>4562</v>
      </c>
      <c r="AD6978" t="s">
        <v>33200</v>
      </c>
      <c r="AE6978" t="s">
        <v>4655</v>
      </c>
      <c r="AF6978" t="s">
        <v>5201</v>
      </c>
      <c r="AG6978" t="s">
        <v>4564</v>
      </c>
      <c r="AH6978" t="s">
        <v>3898</v>
      </c>
      <c r="AI6978" t="s">
        <v>33202</v>
      </c>
      <c r="AJ6978" t="s">
        <v>2925</v>
      </c>
      <c r="AK6978" t="s">
        <v>33203</v>
      </c>
      <c r="AL6978" s="13" t="s">
        <v>1886</v>
      </c>
      <c r="AM6978" s="14">
        <v>1</v>
      </c>
      <c r="AN6978" s="15" t="s">
        <v>1984</v>
      </c>
    </row>
    <row r="6979" spans="1:40" x14ac:dyDescent="0.3">
      <c r="A6979" s="10" t="str">
        <f>HYPERLINK("http://www.washoecounty.gov/assessor/cama/?parid=514-322-18&amp;CardNumber=1","514-322-18")</f>
        <v>514-322-18</v>
      </c>
      <c r="B6979" t="s">
        <v>4655</v>
      </c>
      <c r="C6979" t="s">
        <v>33204</v>
      </c>
      <c r="D6979" s="1">
        <v>40443</v>
      </c>
      <c r="E6979" s="2">
        <v>180000</v>
      </c>
      <c r="F6979" t="s">
        <v>4567</v>
      </c>
      <c r="G6979" s="17" t="str">
        <f>HYPERLINK("https://www.washoecounty.gov/assessor/cama/?command=sales&amp;parid=51432218","3925029")</f>
        <v>3925029</v>
      </c>
      <c r="H6979" t="s">
        <v>1311</v>
      </c>
      <c r="I6979">
        <v>2001</v>
      </c>
      <c r="J6979">
        <v>2001</v>
      </c>
      <c r="K6979" t="s">
        <v>4554</v>
      </c>
      <c r="L6979" t="s">
        <v>3974</v>
      </c>
      <c r="M6979" s="2">
        <v>1882</v>
      </c>
      <c r="N6979" t="s">
        <v>5280</v>
      </c>
      <c r="O6979">
        <v>3</v>
      </c>
      <c r="P6979">
        <v>2</v>
      </c>
      <c r="Q6979">
        <v>1</v>
      </c>
      <c r="R6979" t="s">
        <v>4557</v>
      </c>
      <c r="S6979" t="s">
        <v>4558</v>
      </c>
      <c r="T6979" t="s">
        <v>4559</v>
      </c>
      <c r="U6979" t="s">
        <v>5631</v>
      </c>
      <c r="V6979" s="2">
        <v>466</v>
      </c>
      <c r="W6979" t="s">
        <v>4655</v>
      </c>
      <c r="X6979" s="2">
        <v>0</v>
      </c>
      <c r="Y6979">
        <v>20</v>
      </c>
      <c r="Z6979" t="s">
        <v>1604</v>
      </c>
      <c r="AA6979" s="3">
        <v>0.12699724733829501</v>
      </c>
      <c r="AB6979" t="s">
        <v>33205</v>
      </c>
      <c r="AC6979" t="s">
        <v>4562</v>
      </c>
      <c r="AD6979" t="s">
        <v>33204</v>
      </c>
      <c r="AE6979" t="s">
        <v>4655</v>
      </c>
      <c r="AF6979" t="s">
        <v>5201</v>
      </c>
      <c r="AG6979" t="s">
        <v>4564</v>
      </c>
      <c r="AH6979" t="s">
        <v>1605</v>
      </c>
      <c r="AI6979" t="s">
        <v>33206</v>
      </c>
      <c r="AJ6979" t="s">
        <v>1312</v>
      </c>
      <c r="AK6979" t="s">
        <v>33207</v>
      </c>
      <c r="AL6979" s="13" t="s">
        <v>1886</v>
      </c>
      <c r="AM6979" s="14">
        <v>1</v>
      </c>
      <c r="AN6979" s="15" t="s">
        <v>1984</v>
      </c>
    </row>
    <row r="6980" spans="1:40" x14ac:dyDescent="0.3">
      <c r="A6980" s="10" t="str">
        <f>HYPERLINK("http://www.washoecounty.gov/assessor/cama/?parid=514-323-05&amp;CardNumber=1","514-323-05")</f>
        <v>514-323-05</v>
      </c>
      <c r="B6980" t="s">
        <v>4655</v>
      </c>
      <c r="C6980" t="s">
        <v>33208</v>
      </c>
      <c r="D6980" s="1">
        <v>40420</v>
      </c>
      <c r="E6980" s="2">
        <v>152500</v>
      </c>
      <c r="F6980" t="s">
        <v>4567</v>
      </c>
      <c r="G6980" s="17" t="str">
        <f>HYPERLINK("https://www.washoecounty.gov/assessor/cama/?command=sales&amp;parid=51432305","3917019")</f>
        <v>3917019</v>
      </c>
      <c r="H6980" t="s">
        <v>1311</v>
      </c>
      <c r="I6980">
        <v>2000</v>
      </c>
      <c r="J6980">
        <v>2000</v>
      </c>
      <c r="K6980" t="s">
        <v>4554</v>
      </c>
      <c r="L6980" t="s">
        <v>4555</v>
      </c>
      <c r="M6980" s="2">
        <v>1262</v>
      </c>
      <c r="N6980" t="s">
        <v>5280</v>
      </c>
      <c r="O6980">
        <v>3</v>
      </c>
      <c r="P6980">
        <v>2</v>
      </c>
      <c r="Q6980">
        <v>0</v>
      </c>
      <c r="R6980" t="s">
        <v>4557</v>
      </c>
      <c r="S6980" t="s">
        <v>4558</v>
      </c>
      <c r="T6980" t="s">
        <v>4559</v>
      </c>
      <c r="U6980" t="s">
        <v>4560</v>
      </c>
      <c r="V6980" s="2">
        <v>483</v>
      </c>
      <c r="W6980" t="s">
        <v>4655</v>
      </c>
      <c r="X6980" s="2">
        <v>0</v>
      </c>
      <c r="Y6980">
        <v>20</v>
      </c>
      <c r="Z6980" t="s">
        <v>1604</v>
      </c>
      <c r="AA6980" s="3">
        <v>0.119995407760143</v>
      </c>
      <c r="AB6980" t="s">
        <v>33209</v>
      </c>
      <c r="AC6980" t="s">
        <v>4562</v>
      </c>
      <c r="AD6980" t="s">
        <v>33210</v>
      </c>
      <c r="AE6980" t="s">
        <v>4655</v>
      </c>
      <c r="AF6980" t="s">
        <v>5499</v>
      </c>
      <c r="AG6980" t="s">
        <v>4564</v>
      </c>
      <c r="AH6980" t="s">
        <v>1605</v>
      </c>
      <c r="AI6980" t="s">
        <v>33211</v>
      </c>
      <c r="AJ6980" t="s">
        <v>1312</v>
      </c>
      <c r="AK6980" t="s">
        <v>33212</v>
      </c>
      <c r="AL6980" s="13" t="s">
        <v>1886</v>
      </c>
      <c r="AM6980">
        <v>1</v>
      </c>
      <c r="AN6980" s="15" t="s">
        <v>1984</v>
      </c>
    </row>
    <row r="6981" spans="1:40" x14ac:dyDescent="0.3">
      <c r="A6981" s="10" t="str">
        <f>HYPERLINK("http://www.washoecounty.gov/assessor/cama/?parid=514-331-01&amp;CardNumber=1","514-331-01")</f>
        <v>514-331-01</v>
      </c>
      <c r="B6981" t="s">
        <v>4655</v>
      </c>
      <c r="C6981" t="s">
        <v>33213</v>
      </c>
      <c r="D6981" s="1">
        <v>40393</v>
      </c>
      <c r="E6981" s="2">
        <v>191000</v>
      </c>
      <c r="F6981" t="s">
        <v>4553</v>
      </c>
      <c r="G6981" s="17" t="str">
        <f>HYPERLINK("https://www.washoecounty.gov/assessor/cama/?command=sales&amp;parid=51433101","3908278")</f>
        <v>3908278</v>
      </c>
      <c r="H6981" t="s">
        <v>5375</v>
      </c>
      <c r="I6981">
        <v>2000</v>
      </c>
      <c r="J6981">
        <v>2000</v>
      </c>
      <c r="K6981" t="s">
        <v>4554</v>
      </c>
      <c r="L6981" t="s">
        <v>3974</v>
      </c>
      <c r="M6981" s="2">
        <v>2282</v>
      </c>
      <c r="N6981" t="s">
        <v>5280</v>
      </c>
      <c r="O6981">
        <v>3</v>
      </c>
      <c r="P6981">
        <v>2</v>
      </c>
      <c r="Q6981">
        <v>1</v>
      </c>
      <c r="R6981" t="s">
        <v>5281</v>
      </c>
      <c r="S6981" t="s">
        <v>4898</v>
      </c>
      <c r="T6981" t="s">
        <v>2704</v>
      </c>
      <c r="U6981" t="s">
        <v>5631</v>
      </c>
      <c r="V6981" s="2">
        <v>428</v>
      </c>
      <c r="W6981" t="s">
        <v>4655</v>
      </c>
      <c r="X6981" s="2">
        <v>0</v>
      </c>
      <c r="Y6981">
        <v>20</v>
      </c>
      <c r="Z6981" t="s">
        <v>1604</v>
      </c>
      <c r="AA6981" s="3">
        <v>0.16299356520175901</v>
      </c>
      <c r="AB6981" t="s">
        <v>33214</v>
      </c>
      <c r="AC6981" t="s">
        <v>4562</v>
      </c>
      <c r="AD6981" t="s">
        <v>33215</v>
      </c>
      <c r="AE6981" t="s">
        <v>4655</v>
      </c>
      <c r="AF6981" t="s">
        <v>4809</v>
      </c>
      <c r="AG6981" t="s">
        <v>4564</v>
      </c>
      <c r="AH6981" t="s">
        <v>33216</v>
      </c>
      <c r="AI6981" t="s">
        <v>4903</v>
      </c>
      <c r="AJ6981" t="s">
        <v>5376</v>
      </c>
      <c r="AK6981" t="s">
        <v>33217</v>
      </c>
      <c r="AL6981" s="13" t="s">
        <v>1886</v>
      </c>
      <c r="AM6981">
        <v>1</v>
      </c>
      <c r="AN6981" s="15" t="s">
        <v>1984</v>
      </c>
    </row>
    <row r="6982" spans="1:40" x14ac:dyDescent="0.3">
      <c r="A6982" s="10" t="str">
        <f>HYPERLINK("http://www.washoecounty.gov/assessor/cama/?parid=514-331-06&amp;CardNumber=1","514-331-06")</f>
        <v>514-331-06</v>
      </c>
      <c r="B6982" t="s">
        <v>4655</v>
      </c>
      <c r="C6982" t="s">
        <v>33218</v>
      </c>
      <c r="D6982" s="1">
        <v>40392</v>
      </c>
      <c r="E6982" s="2">
        <v>159000</v>
      </c>
      <c r="F6982" t="s">
        <v>4567</v>
      </c>
      <c r="G6982" s="17" t="str">
        <f>HYPERLINK("https://www.washoecounty.gov/assessor/cama/?command=sales&amp;parid=51433106","3907861")</f>
        <v>3907861</v>
      </c>
      <c r="H6982" t="s">
        <v>5375</v>
      </c>
      <c r="I6982">
        <v>2000</v>
      </c>
      <c r="J6982">
        <v>2000</v>
      </c>
      <c r="K6982" t="s">
        <v>4554</v>
      </c>
      <c r="L6982" t="s">
        <v>4555</v>
      </c>
      <c r="M6982" s="2">
        <v>1574</v>
      </c>
      <c r="N6982" t="s">
        <v>5280</v>
      </c>
      <c r="O6982">
        <v>3</v>
      </c>
      <c r="P6982">
        <v>2</v>
      </c>
      <c r="Q6982">
        <v>0</v>
      </c>
      <c r="R6982" t="s">
        <v>5281</v>
      </c>
      <c r="S6982" t="s">
        <v>4898</v>
      </c>
      <c r="T6982" t="s">
        <v>4559</v>
      </c>
      <c r="U6982" t="s">
        <v>4560</v>
      </c>
      <c r="V6982" s="2">
        <v>440</v>
      </c>
      <c r="W6982" t="s">
        <v>4655</v>
      </c>
      <c r="X6982" s="2">
        <v>0</v>
      </c>
      <c r="Y6982">
        <v>20</v>
      </c>
      <c r="Z6982" t="s">
        <v>1604</v>
      </c>
      <c r="AA6982" s="3">
        <v>0.125</v>
      </c>
      <c r="AB6982" t="s">
        <v>33219</v>
      </c>
      <c r="AC6982" t="s">
        <v>4562</v>
      </c>
      <c r="AD6982" t="s">
        <v>33218</v>
      </c>
      <c r="AE6982" t="s">
        <v>4655</v>
      </c>
      <c r="AF6982" t="s">
        <v>5201</v>
      </c>
      <c r="AG6982" t="s">
        <v>4564</v>
      </c>
      <c r="AH6982" t="s">
        <v>1605</v>
      </c>
      <c r="AI6982" t="s">
        <v>33220</v>
      </c>
      <c r="AJ6982" t="s">
        <v>5376</v>
      </c>
      <c r="AK6982" t="s">
        <v>33221</v>
      </c>
      <c r="AL6982" s="13" t="s">
        <v>1886</v>
      </c>
      <c r="AM6982" s="14">
        <v>1</v>
      </c>
      <c r="AN6982" s="15" t="s">
        <v>1984</v>
      </c>
    </row>
    <row r="6983" spans="1:40" x14ac:dyDescent="0.3">
      <c r="A6983" s="10" t="str">
        <f>HYPERLINK("http://www.washoecounty.gov/assessor/cama/?parid=514-331-13&amp;CardNumber=1","514-331-13")</f>
        <v>514-331-13</v>
      </c>
      <c r="B6983" t="s">
        <v>4655</v>
      </c>
      <c r="C6983" t="s">
        <v>33222</v>
      </c>
      <c r="D6983" s="1">
        <v>40303</v>
      </c>
      <c r="E6983" s="2">
        <v>170000</v>
      </c>
      <c r="F6983" t="s">
        <v>4553</v>
      </c>
      <c r="G6983" s="17" t="str">
        <f>HYPERLINK("https://www.washoecounty.gov/assessor/cama/?command=sales&amp;parid=51433113","3878424")</f>
        <v>3878424</v>
      </c>
      <c r="H6983" t="s">
        <v>5375</v>
      </c>
      <c r="I6983">
        <v>2001</v>
      </c>
      <c r="J6983">
        <v>2001</v>
      </c>
      <c r="K6983" t="s">
        <v>4554</v>
      </c>
      <c r="L6983" t="s">
        <v>4555</v>
      </c>
      <c r="M6983" s="2">
        <v>1335</v>
      </c>
      <c r="N6983" t="s">
        <v>5280</v>
      </c>
      <c r="O6983">
        <v>3</v>
      </c>
      <c r="P6983">
        <v>2</v>
      </c>
      <c r="Q6983">
        <v>0</v>
      </c>
      <c r="R6983" t="s">
        <v>4557</v>
      </c>
      <c r="S6983" t="s">
        <v>4898</v>
      </c>
      <c r="T6983" t="s">
        <v>2704</v>
      </c>
      <c r="U6983" t="s">
        <v>4560</v>
      </c>
      <c r="V6983" s="2">
        <v>420</v>
      </c>
      <c r="W6983" t="s">
        <v>4655</v>
      </c>
      <c r="X6983" s="2">
        <v>0</v>
      </c>
      <c r="Y6983">
        <v>20</v>
      </c>
      <c r="Z6983" t="s">
        <v>1604</v>
      </c>
      <c r="AA6983" s="3">
        <v>0.13900367915630299</v>
      </c>
      <c r="AB6983" t="s">
        <v>33223</v>
      </c>
      <c r="AC6983" t="s">
        <v>4562</v>
      </c>
      <c r="AD6983" t="s">
        <v>33224</v>
      </c>
      <c r="AE6983" t="s">
        <v>4655</v>
      </c>
      <c r="AF6983" t="s">
        <v>33225</v>
      </c>
      <c r="AG6983" t="s">
        <v>4584</v>
      </c>
      <c r="AH6983" t="s">
        <v>4231</v>
      </c>
      <c r="AI6983" t="s">
        <v>4655</v>
      </c>
      <c r="AJ6983" t="s">
        <v>5376</v>
      </c>
      <c r="AK6983" t="s">
        <v>33226</v>
      </c>
      <c r="AL6983" s="13" t="s">
        <v>1886</v>
      </c>
      <c r="AM6983" s="14">
        <v>1</v>
      </c>
      <c r="AN6983" s="15" t="s">
        <v>1984</v>
      </c>
    </row>
    <row r="6984" spans="1:40" x14ac:dyDescent="0.3">
      <c r="A6984" s="10" t="str">
        <f>HYPERLINK("http://www.washoecounty.gov/assessor/cama/?parid=514-333-06&amp;CardNumber=1","514-333-06")</f>
        <v>514-333-06</v>
      </c>
      <c r="B6984" t="s">
        <v>4655</v>
      </c>
      <c r="C6984" t="s">
        <v>33227</v>
      </c>
      <c r="D6984" s="1">
        <v>40276</v>
      </c>
      <c r="E6984" s="2">
        <v>192500</v>
      </c>
      <c r="F6984" t="s">
        <v>4553</v>
      </c>
      <c r="G6984" s="17" t="str">
        <f>HYPERLINK("https://www.washoecounty.gov/assessor/cama/?command=sales&amp;parid=51433306","3869046")</f>
        <v>3869046</v>
      </c>
      <c r="H6984" t="s">
        <v>5375</v>
      </c>
      <c r="I6984">
        <v>2000</v>
      </c>
      <c r="J6984">
        <v>2000</v>
      </c>
      <c r="K6984" t="s">
        <v>4554</v>
      </c>
      <c r="L6984" t="s">
        <v>3974</v>
      </c>
      <c r="M6984" s="2">
        <v>2040</v>
      </c>
      <c r="N6984" t="s">
        <v>5280</v>
      </c>
      <c r="O6984">
        <v>3</v>
      </c>
      <c r="P6984">
        <v>2</v>
      </c>
      <c r="Q6984">
        <v>1</v>
      </c>
      <c r="R6984" t="s">
        <v>5281</v>
      </c>
      <c r="S6984" t="s">
        <v>4898</v>
      </c>
      <c r="T6984" t="s">
        <v>4559</v>
      </c>
      <c r="U6984" t="s">
        <v>4560</v>
      </c>
      <c r="V6984" s="2">
        <v>611</v>
      </c>
      <c r="W6984" t="s">
        <v>4655</v>
      </c>
      <c r="X6984" s="2">
        <v>0</v>
      </c>
      <c r="Y6984">
        <v>20</v>
      </c>
      <c r="Z6984" t="s">
        <v>1604</v>
      </c>
      <c r="AA6984" s="3">
        <v>0.22899448871612499</v>
      </c>
      <c r="AB6984" t="s">
        <v>33228</v>
      </c>
      <c r="AC6984" t="s">
        <v>4575</v>
      </c>
      <c r="AD6984" t="s">
        <v>33229</v>
      </c>
      <c r="AE6984" t="s">
        <v>4655</v>
      </c>
      <c r="AF6984" t="s">
        <v>4809</v>
      </c>
      <c r="AG6984" t="s">
        <v>4564</v>
      </c>
      <c r="AH6984" t="s">
        <v>1605</v>
      </c>
      <c r="AI6984" t="s">
        <v>4565</v>
      </c>
      <c r="AJ6984" t="s">
        <v>5376</v>
      </c>
      <c r="AK6984" t="s">
        <v>33230</v>
      </c>
      <c r="AL6984" s="13" t="s">
        <v>1886</v>
      </c>
      <c r="AM6984" s="14">
        <v>1</v>
      </c>
      <c r="AN6984" s="15" t="s">
        <v>1984</v>
      </c>
    </row>
    <row r="6985" spans="1:40" x14ac:dyDescent="0.3">
      <c r="A6985" s="10" t="str">
        <f>HYPERLINK("http://www.washoecounty.gov/assessor/cama/?parid=514-361-13&amp;CardNumber=1","514-361-13")</f>
        <v>514-361-13</v>
      </c>
      <c r="B6985" t="s">
        <v>4655</v>
      </c>
      <c r="C6985" t="s">
        <v>33231</v>
      </c>
      <c r="D6985" s="1">
        <v>40247</v>
      </c>
      <c r="E6985" s="2">
        <v>206500</v>
      </c>
      <c r="F6985" t="s">
        <v>4553</v>
      </c>
      <c r="G6985" s="17" t="str">
        <f>HYPERLINK("https://www.washoecounty.gov/assessor/cama/?command=sales&amp;parid=51436113","3858280")</f>
        <v>3858280</v>
      </c>
      <c r="H6985" t="s">
        <v>281</v>
      </c>
      <c r="I6985">
        <v>2001</v>
      </c>
      <c r="J6985">
        <v>2001</v>
      </c>
      <c r="K6985" t="s">
        <v>4554</v>
      </c>
      <c r="L6985" t="s">
        <v>4555</v>
      </c>
      <c r="M6985" s="2">
        <v>2015</v>
      </c>
      <c r="N6985" t="s">
        <v>3147</v>
      </c>
      <c r="O6985">
        <v>3</v>
      </c>
      <c r="P6985">
        <v>2</v>
      </c>
      <c r="Q6985">
        <v>0</v>
      </c>
      <c r="R6985" t="s">
        <v>4557</v>
      </c>
      <c r="S6985" t="s">
        <v>4898</v>
      </c>
      <c r="T6985" t="s">
        <v>2704</v>
      </c>
      <c r="U6985" t="s">
        <v>4560</v>
      </c>
      <c r="V6985" s="2">
        <v>664</v>
      </c>
      <c r="W6985" t="s">
        <v>4655</v>
      </c>
      <c r="X6985" s="2">
        <v>0</v>
      </c>
      <c r="Y6985">
        <v>20</v>
      </c>
      <c r="Z6985" t="s">
        <v>1604</v>
      </c>
      <c r="AA6985" s="3">
        <v>0.18000459671020499</v>
      </c>
      <c r="AB6985" t="s">
        <v>33232</v>
      </c>
      <c r="AC6985" t="s">
        <v>4575</v>
      </c>
      <c r="AD6985" t="s">
        <v>33233</v>
      </c>
      <c r="AE6985" t="s">
        <v>4655</v>
      </c>
      <c r="AF6985" t="s">
        <v>4563</v>
      </c>
      <c r="AG6985" t="s">
        <v>4564</v>
      </c>
      <c r="AH6985">
        <v>89509</v>
      </c>
      <c r="AI6985" t="s">
        <v>2177</v>
      </c>
      <c r="AJ6985" t="s">
        <v>682</v>
      </c>
      <c r="AK6985" t="s">
        <v>33234</v>
      </c>
      <c r="AL6985" s="13" t="s">
        <v>1899</v>
      </c>
      <c r="AM6985">
        <v>1</v>
      </c>
      <c r="AN6985" s="15" t="s">
        <v>683</v>
      </c>
    </row>
    <row r="6986" spans="1:40" x14ac:dyDescent="0.3">
      <c r="A6986" s="10" t="str">
        <f>HYPERLINK("http://www.washoecounty.gov/assessor/cama/?parid=514-381-03&amp;CardNumber=1","514-381-03")</f>
        <v>514-381-03</v>
      </c>
      <c r="B6986" t="s">
        <v>4655</v>
      </c>
      <c r="C6986" t="s">
        <v>33235</v>
      </c>
      <c r="D6986" s="1">
        <v>40541</v>
      </c>
      <c r="E6986" s="2">
        <v>122850</v>
      </c>
      <c r="F6986" t="s">
        <v>4553</v>
      </c>
      <c r="G6986" s="17" t="str">
        <f>HYPERLINK("https://www.washoecounty.gov/assessor/cama/?command=sales&amp;parid=51438103","3958357")</f>
        <v>3958357</v>
      </c>
      <c r="H6986" t="s">
        <v>1137</v>
      </c>
      <c r="I6986">
        <v>2001</v>
      </c>
      <c r="J6986">
        <v>2001</v>
      </c>
      <c r="K6986" t="s">
        <v>4554</v>
      </c>
      <c r="L6986" t="s">
        <v>4555</v>
      </c>
      <c r="M6986" s="2">
        <v>1471</v>
      </c>
      <c r="N6986" t="s">
        <v>5280</v>
      </c>
      <c r="O6986">
        <v>3</v>
      </c>
      <c r="P6986">
        <v>2</v>
      </c>
      <c r="Q6986">
        <v>0</v>
      </c>
      <c r="R6986" t="s">
        <v>4557</v>
      </c>
      <c r="S6986" t="s">
        <v>4558</v>
      </c>
      <c r="T6986" t="s">
        <v>4559</v>
      </c>
      <c r="U6986" t="s">
        <v>4560</v>
      </c>
      <c r="V6986" s="2">
        <v>483</v>
      </c>
      <c r="W6986" t="s">
        <v>4655</v>
      </c>
      <c r="X6986" s="2">
        <v>0</v>
      </c>
      <c r="Y6986">
        <v>20</v>
      </c>
      <c r="Z6986" t="s">
        <v>1604</v>
      </c>
      <c r="AA6986" s="3">
        <v>0.12724977731704701</v>
      </c>
      <c r="AB6986" t="s">
        <v>33236</v>
      </c>
      <c r="AC6986" t="s">
        <v>4575</v>
      </c>
      <c r="AD6986" t="s">
        <v>33237</v>
      </c>
      <c r="AE6986" t="s">
        <v>4655</v>
      </c>
      <c r="AF6986" t="s">
        <v>5201</v>
      </c>
      <c r="AG6986" t="s">
        <v>4564</v>
      </c>
      <c r="AH6986" t="s">
        <v>1605</v>
      </c>
      <c r="AI6986" t="s">
        <v>4903</v>
      </c>
      <c r="AJ6986" t="s">
        <v>668</v>
      </c>
      <c r="AK6986" t="s">
        <v>33238</v>
      </c>
      <c r="AL6986" s="13" t="s">
        <v>1886</v>
      </c>
      <c r="AM6986" s="14">
        <v>1</v>
      </c>
      <c r="AN6986" s="15" t="s">
        <v>1984</v>
      </c>
    </row>
    <row r="6987" spans="1:40" x14ac:dyDescent="0.3">
      <c r="A6987" s="10" t="str">
        <f>HYPERLINK("http://www.washoecounty.gov/assessor/cama/?parid=514-383-02&amp;CardNumber=1","514-383-02")</f>
        <v>514-383-02</v>
      </c>
      <c r="B6987" t="s">
        <v>4655</v>
      </c>
      <c r="C6987" t="s">
        <v>33239</v>
      </c>
      <c r="D6987" s="1">
        <v>40276</v>
      </c>
      <c r="E6987" s="2">
        <v>168000</v>
      </c>
      <c r="F6987" t="s">
        <v>4567</v>
      </c>
      <c r="G6987" s="17" t="str">
        <f>HYPERLINK("https://www.washoecounty.gov/assessor/cama/?command=sales&amp;parid=51438302","3868939")</f>
        <v>3868939</v>
      </c>
      <c r="H6987" t="s">
        <v>1137</v>
      </c>
      <c r="I6987">
        <v>2001</v>
      </c>
      <c r="J6987">
        <v>2001</v>
      </c>
      <c r="K6987" t="s">
        <v>4554</v>
      </c>
      <c r="L6987" t="s">
        <v>4555</v>
      </c>
      <c r="M6987" s="2">
        <v>1262</v>
      </c>
      <c r="N6987" t="s">
        <v>5280</v>
      </c>
      <c r="O6987">
        <v>3</v>
      </c>
      <c r="P6987">
        <v>2</v>
      </c>
      <c r="Q6987">
        <v>0</v>
      </c>
      <c r="R6987" t="s">
        <v>4557</v>
      </c>
      <c r="S6987" t="s">
        <v>4558</v>
      </c>
      <c r="T6987" t="s">
        <v>4559</v>
      </c>
      <c r="U6987" t="s">
        <v>4560</v>
      </c>
      <c r="V6987" s="2">
        <v>483</v>
      </c>
      <c r="W6987" t="s">
        <v>4655</v>
      </c>
      <c r="X6987" s="2">
        <v>0</v>
      </c>
      <c r="Y6987">
        <v>20</v>
      </c>
      <c r="Z6987" t="s">
        <v>1604</v>
      </c>
      <c r="AA6987" s="3">
        <v>0.152594119310379</v>
      </c>
      <c r="AB6987" t="s">
        <v>33240</v>
      </c>
      <c r="AC6987" t="s">
        <v>4562</v>
      </c>
      <c r="AD6987" t="s">
        <v>33241</v>
      </c>
      <c r="AE6987" t="s">
        <v>4655</v>
      </c>
      <c r="AF6987" t="s">
        <v>4809</v>
      </c>
      <c r="AG6987" t="s">
        <v>4564</v>
      </c>
      <c r="AH6987" t="s">
        <v>1605</v>
      </c>
      <c r="AI6987" t="s">
        <v>2622</v>
      </c>
      <c r="AJ6987" t="s">
        <v>1139</v>
      </c>
      <c r="AK6987" t="s">
        <v>33242</v>
      </c>
      <c r="AL6987" s="13" t="s">
        <v>1886</v>
      </c>
      <c r="AM6987">
        <v>1</v>
      </c>
      <c r="AN6987" s="15" t="s">
        <v>1984</v>
      </c>
    </row>
    <row r="6988" spans="1:40" x14ac:dyDescent="0.3">
      <c r="A6988" s="10" t="str">
        <f>HYPERLINK("http://www.washoecounty.gov/assessor/cama/?parid=514-383-08&amp;CardNumber=1","514-383-08")</f>
        <v>514-383-08</v>
      </c>
      <c r="B6988" t="s">
        <v>4655</v>
      </c>
      <c r="C6988" t="s">
        <v>33243</v>
      </c>
      <c r="D6988" s="1">
        <v>40232</v>
      </c>
      <c r="E6988" s="2">
        <v>183000</v>
      </c>
      <c r="F6988" t="s">
        <v>4567</v>
      </c>
      <c r="G6988" s="17" t="str">
        <f>HYPERLINK("https://www.washoecounty.gov/assessor/cama/?command=sales&amp;parid=51438308","3851736")</f>
        <v>3851736</v>
      </c>
      <c r="H6988" t="s">
        <v>1137</v>
      </c>
      <c r="I6988">
        <v>2001</v>
      </c>
      <c r="J6988">
        <v>2001</v>
      </c>
      <c r="K6988" t="s">
        <v>4554</v>
      </c>
      <c r="L6988" t="s">
        <v>4555</v>
      </c>
      <c r="M6988" s="2">
        <v>1471</v>
      </c>
      <c r="N6988" t="s">
        <v>5280</v>
      </c>
      <c r="O6988">
        <v>3</v>
      </c>
      <c r="P6988">
        <v>2</v>
      </c>
      <c r="Q6988">
        <v>0</v>
      </c>
      <c r="R6988" t="s">
        <v>4557</v>
      </c>
      <c r="S6988" t="s">
        <v>4558</v>
      </c>
      <c r="T6988" t="s">
        <v>4559</v>
      </c>
      <c r="U6988" t="s">
        <v>4560</v>
      </c>
      <c r="V6988" s="2">
        <v>483</v>
      </c>
      <c r="W6988" t="s">
        <v>4655</v>
      </c>
      <c r="X6988" s="2">
        <v>0</v>
      </c>
      <c r="Y6988">
        <v>20</v>
      </c>
      <c r="Z6988" t="s">
        <v>1604</v>
      </c>
      <c r="AA6988" s="3">
        <v>0.215886130928993</v>
      </c>
      <c r="AB6988" t="s">
        <v>1138</v>
      </c>
      <c r="AC6988" t="s">
        <v>4575</v>
      </c>
      <c r="AD6988" t="s">
        <v>33243</v>
      </c>
      <c r="AE6988" t="s">
        <v>4655</v>
      </c>
      <c r="AF6988" t="s">
        <v>5201</v>
      </c>
      <c r="AG6988" t="s">
        <v>4564</v>
      </c>
      <c r="AH6988" t="s">
        <v>1605</v>
      </c>
      <c r="AI6988" t="s">
        <v>33244</v>
      </c>
      <c r="AJ6988" t="s">
        <v>1139</v>
      </c>
      <c r="AK6988" t="s">
        <v>33245</v>
      </c>
      <c r="AL6988" s="13" t="s">
        <v>1886</v>
      </c>
      <c r="AM6988">
        <v>1</v>
      </c>
      <c r="AN6988" s="15" t="s">
        <v>1984</v>
      </c>
    </row>
    <row r="6989" spans="1:40" x14ac:dyDescent="0.3">
      <c r="A6989" s="10" t="str">
        <f>HYPERLINK("http://www.washoecounty.gov/assessor/cama/?parid=514-411-06&amp;CardNumber=1","514-411-06")</f>
        <v>514-411-06</v>
      </c>
      <c r="B6989" t="s">
        <v>4655</v>
      </c>
      <c r="C6989" t="s">
        <v>33246</v>
      </c>
      <c r="D6989" s="1">
        <v>40371</v>
      </c>
      <c r="E6989" s="2">
        <v>255000</v>
      </c>
      <c r="F6989" t="s">
        <v>4567</v>
      </c>
      <c r="G6989" s="17" t="str">
        <f>HYPERLINK("https://www.washoecounty.gov/assessor/cama/?command=sales&amp;parid=51441106","3900516")</f>
        <v>3900516</v>
      </c>
      <c r="H6989" t="s">
        <v>33247</v>
      </c>
      <c r="I6989">
        <v>2005</v>
      </c>
      <c r="J6989">
        <v>2005</v>
      </c>
      <c r="K6989" t="s">
        <v>4554</v>
      </c>
      <c r="L6989" t="s">
        <v>3974</v>
      </c>
      <c r="M6989" s="2">
        <v>2651</v>
      </c>
      <c r="N6989" t="s">
        <v>3147</v>
      </c>
      <c r="O6989">
        <v>4</v>
      </c>
      <c r="P6989">
        <v>2</v>
      </c>
      <c r="Q6989">
        <v>1</v>
      </c>
      <c r="R6989" t="s">
        <v>4557</v>
      </c>
      <c r="S6989" t="s">
        <v>4898</v>
      </c>
      <c r="T6989" t="s">
        <v>2704</v>
      </c>
      <c r="U6989" t="s">
        <v>4560</v>
      </c>
      <c r="V6989" s="2">
        <v>710</v>
      </c>
      <c r="W6989" t="s">
        <v>4655</v>
      </c>
      <c r="X6989" s="2">
        <v>0</v>
      </c>
      <c r="Y6989">
        <v>20</v>
      </c>
      <c r="Z6989" t="s">
        <v>1604</v>
      </c>
      <c r="AA6989" s="3">
        <v>0.22926996648311601</v>
      </c>
      <c r="AB6989" t="s">
        <v>33248</v>
      </c>
      <c r="AC6989" t="s">
        <v>4575</v>
      </c>
      <c r="AD6989" t="s">
        <v>33246</v>
      </c>
      <c r="AE6989" t="s">
        <v>4655</v>
      </c>
      <c r="AF6989" t="s">
        <v>5201</v>
      </c>
      <c r="AG6989" t="s">
        <v>4564</v>
      </c>
      <c r="AH6989" t="s">
        <v>1605</v>
      </c>
      <c r="AI6989" t="s">
        <v>33249</v>
      </c>
      <c r="AJ6989" t="s">
        <v>33250</v>
      </c>
      <c r="AK6989" t="s">
        <v>33251</v>
      </c>
      <c r="AL6989" s="13" t="s">
        <v>1886</v>
      </c>
      <c r="AM6989" s="14">
        <v>1</v>
      </c>
      <c r="AN6989" s="15" t="s">
        <v>683</v>
      </c>
    </row>
    <row r="6990" spans="1:40" x14ac:dyDescent="0.3">
      <c r="A6990" s="10" t="str">
        <f>HYPERLINK("http://www.washoecounty.gov/assessor/cama/?parid=514-431-12&amp;CardNumber=1","514-431-12")</f>
        <v>514-431-12</v>
      </c>
      <c r="B6990" t="s">
        <v>4655</v>
      </c>
      <c r="C6990" t="s">
        <v>33252</v>
      </c>
      <c r="D6990" s="1">
        <v>40527</v>
      </c>
      <c r="E6990" s="2">
        <v>170300</v>
      </c>
      <c r="F6990" t="s">
        <v>4553</v>
      </c>
      <c r="G6990" s="17" t="str">
        <f>HYPERLINK("https://www.washoecounty.gov/assessor/cama/?command=sales&amp;parid=51443112","3953738")</f>
        <v>3953738</v>
      </c>
      <c r="H6990" t="s">
        <v>33253</v>
      </c>
      <c r="I6990">
        <v>2001</v>
      </c>
      <c r="J6990">
        <v>2001</v>
      </c>
      <c r="K6990" t="s">
        <v>4554</v>
      </c>
      <c r="L6990" t="s">
        <v>3974</v>
      </c>
      <c r="M6990" s="2">
        <v>2392</v>
      </c>
      <c r="N6990" t="s">
        <v>5280</v>
      </c>
      <c r="O6990">
        <v>3</v>
      </c>
      <c r="P6990">
        <v>2</v>
      </c>
      <c r="Q6990">
        <v>1</v>
      </c>
      <c r="R6990" t="s">
        <v>5281</v>
      </c>
      <c r="S6990" t="s">
        <v>4898</v>
      </c>
      <c r="T6990" t="s">
        <v>4559</v>
      </c>
      <c r="U6990" t="s">
        <v>4560</v>
      </c>
      <c r="V6990" s="2">
        <v>428</v>
      </c>
      <c r="W6990" t="s">
        <v>4655</v>
      </c>
      <c r="X6990" s="2">
        <v>0</v>
      </c>
      <c r="Y6990">
        <v>20</v>
      </c>
      <c r="Z6990" t="s">
        <v>1604</v>
      </c>
      <c r="AA6990" s="3">
        <v>0.480945825576782</v>
      </c>
      <c r="AB6990" t="s">
        <v>33254</v>
      </c>
      <c r="AC6990" t="s">
        <v>4575</v>
      </c>
      <c r="AD6990" t="s">
        <v>33255</v>
      </c>
      <c r="AE6990" t="s">
        <v>4655</v>
      </c>
      <c r="AF6990" t="s">
        <v>5201</v>
      </c>
      <c r="AG6990" t="s">
        <v>4564</v>
      </c>
      <c r="AH6990" t="s">
        <v>1605</v>
      </c>
      <c r="AI6990" t="s">
        <v>4655</v>
      </c>
      <c r="AJ6990" t="s">
        <v>590</v>
      </c>
      <c r="AK6990" t="s">
        <v>33256</v>
      </c>
      <c r="AL6990" s="13" t="s">
        <v>1886</v>
      </c>
      <c r="AM6990">
        <v>1</v>
      </c>
      <c r="AN6990" s="15" t="s">
        <v>1984</v>
      </c>
    </row>
    <row r="6991" spans="1:40" x14ac:dyDescent="0.3">
      <c r="A6991" s="10" t="str">
        <f>HYPERLINK("http://www.washoecounty.gov/assessor/cama/?parid=514-443-04&amp;CardNumber=1","514-443-04")</f>
        <v>514-443-04</v>
      </c>
      <c r="B6991" t="s">
        <v>4655</v>
      </c>
      <c r="C6991" t="s">
        <v>33257</v>
      </c>
      <c r="D6991" s="1">
        <v>40190</v>
      </c>
      <c r="E6991" s="2">
        <v>170000</v>
      </c>
      <c r="F6991" t="s">
        <v>4553</v>
      </c>
      <c r="G6991" s="17" t="str">
        <f>HYPERLINK("https://www.washoecounty.gov/assessor/cama/?command=sales&amp;parid=51444304","3838633")</f>
        <v>3838633</v>
      </c>
      <c r="H6991" t="s">
        <v>462</v>
      </c>
      <c r="I6991">
        <v>2002</v>
      </c>
      <c r="J6991">
        <v>2002</v>
      </c>
      <c r="K6991" t="s">
        <v>4554</v>
      </c>
      <c r="L6991" t="s">
        <v>4555</v>
      </c>
      <c r="M6991" s="2">
        <v>1335</v>
      </c>
      <c r="N6991" t="s">
        <v>5280</v>
      </c>
      <c r="O6991">
        <v>3</v>
      </c>
      <c r="P6991">
        <v>2</v>
      </c>
      <c r="Q6991">
        <v>0</v>
      </c>
      <c r="R6991" t="s">
        <v>5281</v>
      </c>
      <c r="S6991" t="s">
        <v>4898</v>
      </c>
      <c r="T6991" t="s">
        <v>4559</v>
      </c>
      <c r="U6991" t="s">
        <v>4560</v>
      </c>
      <c r="V6991" s="2">
        <v>420</v>
      </c>
      <c r="W6991" t="s">
        <v>4655</v>
      </c>
      <c r="X6991" s="2">
        <v>0</v>
      </c>
      <c r="Y6991">
        <v>20</v>
      </c>
      <c r="Z6991" t="s">
        <v>1604</v>
      </c>
      <c r="AA6991" s="3">
        <v>0.15426997840404499</v>
      </c>
      <c r="AB6991" t="s">
        <v>33258</v>
      </c>
      <c r="AC6991" t="s">
        <v>4562</v>
      </c>
      <c r="AD6991" t="s">
        <v>33257</v>
      </c>
      <c r="AE6991" t="s">
        <v>4655</v>
      </c>
      <c r="AF6991" t="s">
        <v>5201</v>
      </c>
      <c r="AG6991" t="s">
        <v>4564</v>
      </c>
      <c r="AH6991" t="s">
        <v>1605</v>
      </c>
      <c r="AI6991" t="s">
        <v>1267</v>
      </c>
      <c r="AJ6991" t="s">
        <v>590</v>
      </c>
      <c r="AK6991" t="s">
        <v>33259</v>
      </c>
      <c r="AL6991" s="13" t="s">
        <v>1886</v>
      </c>
      <c r="AM6991" s="14">
        <v>1</v>
      </c>
      <c r="AN6991" s="15" t="s">
        <v>1984</v>
      </c>
    </row>
    <row r="6992" spans="1:40" x14ac:dyDescent="0.3">
      <c r="A6992" s="10" t="str">
        <f>HYPERLINK("http://www.washoecounty.gov/assessor/cama/?parid=514-451-01&amp;CardNumber=1","514-451-01")</f>
        <v>514-451-01</v>
      </c>
      <c r="B6992" t="s">
        <v>4655</v>
      </c>
      <c r="C6992" t="s">
        <v>33260</v>
      </c>
      <c r="D6992" s="1">
        <v>40358</v>
      </c>
      <c r="E6992" s="2">
        <v>200000</v>
      </c>
      <c r="F6992" t="s">
        <v>4567</v>
      </c>
      <c r="G6992" s="17" t="str">
        <f>HYPERLINK("https://www.washoecounty.gov/assessor/cama/?command=sales&amp;parid=51445101","3896739")</f>
        <v>3896739</v>
      </c>
      <c r="H6992" t="s">
        <v>2837</v>
      </c>
      <c r="I6992">
        <v>2002</v>
      </c>
      <c r="J6992">
        <v>2002</v>
      </c>
      <c r="K6992" t="s">
        <v>4554</v>
      </c>
      <c r="L6992" t="s">
        <v>3974</v>
      </c>
      <c r="M6992" s="2">
        <v>1882</v>
      </c>
      <c r="N6992" t="s">
        <v>5280</v>
      </c>
      <c r="O6992">
        <v>3</v>
      </c>
      <c r="P6992">
        <v>2</v>
      </c>
      <c r="Q6992">
        <v>1</v>
      </c>
      <c r="R6992" t="s">
        <v>5281</v>
      </c>
      <c r="S6992" t="s">
        <v>4558</v>
      </c>
      <c r="T6992" t="s">
        <v>4559</v>
      </c>
      <c r="U6992" t="s">
        <v>5631</v>
      </c>
      <c r="V6992" s="2">
        <v>466</v>
      </c>
      <c r="W6992" t="s">
        <v>4655</v>
      </c>
      <c r="X6992" s="2">
        <v>0</v>
      </c>
      <c r="Y6992">
        <v>20</v>
      </c>
      <c r="Z6992" t="s">
        <v>1604</v>
      </c>
      <c r="AA6992" s="3">
        <v>0.18753443658351898</v>
      </c>
      <c r="AB6992" t="s">
        <v>33261</v>
      </c>
      <c r="AC6992" t="s">
        <v>4575</v>
      </c>
      <c r="AD6992" t="s">
        <v>33260</v>
      </c>
      <c r="AE6992" t="s">
        <v>4655</v>
      </c>
      <c r="AF6992" t="s">
        <v>5201</v>
      </c>
      <c r="AG6992" t="s">
        <v>4564</v>
      </c>
      <c r="AH6992" t="s">
        <v>1605</v>
      </c>
      <c r="AI6992" t="s">
        <v>33262</v>
      </c>
      <c r="AJ6992" t="s">
        <v>2838</v>
      </c>
      <c r="AK6992" t="s">
        <v>33263</v>
      </c>
      <c r="AL6992" s="13" t="s">
        <v>1886</v>
      </c>
      <c r="AM6992">
        <v>1</v>
      </c>
      <c r="AN6992" s="15" t="s">
        <v>1984</v>
      </c>
    </row>
    <row r="6993" spans="1:40" x14ac:dyDescent="0.3">
      <c r="A6993" s="10" t="str">
        <f>HYPERLINK("http://www.washoecounty.gov/assessor/cama/?parid=514-452-13&amp;CardNumber=1","514-452-13")</f>
        <v>514-452-13</v>
      </c>
      <c r="B6993" t="s">
        <v>4655</v>
      </c>
      <c r="C6993" t="s">
        <v>33264</v>
      </c>
      <c r="D6993" s="1">
        <v>40266</v>
      </c>
      <c r="E6993" s="2">
        <v>189000</v>
      </c>
      <c r="F6993" t="s">
        <v>4567</v>
      </c>
      <c r="G6993" s="17" t="str">
        <f>HYPERLINK("https://www.washoecounty.gov/assessor/cama/?command=sales&amp;parid=51445213","3864951")</f>
        <v>3864951</v>
      </c>
      <c r="H6993" t="s">
        <v>2837</v>
      </c>
      <c r="I6993">
        <v>2002</v>
      </c>
      <c r="J6993">
        <v>2002</v>
      </c>
      <c r="K6993" t="s">
        <v>4554</v>
      </c>
      <c r="L6993" t="s">
        <v>4555</v>
      </c>
      <c r="M6993" s="2">
        <v>1471</v>
      </c>
      <c r="N6993" t="s">
        <v>5280</v>
      </c>
      <c r="O6993">
        <v>3</v>
      </c>
      <c r="P6993">
        <v>2</v>
      </c>
      <c r="Q6993">
        <v>0</v>
      </c>
      <c r="R6993" t="s">
        <v>5281</v>
      </c>
      <c r="S6993" t="s">
        <v>4558</v>
      </c>
      <c r="T6993" t="s">
        <v>4559</v>
      </c>
      <c r="U6993" t="s">
        <v>4560</v>
      </c>
      <c r="V6993" s="2">
        <v>483</v>
      </c>
      <c r="W6993" t="s">
        <v>4655</v>
      </c>
      <c r="X6993" s="2">
        <v>0</v>
      </c>
      <c r="Y6993">
        <v>20</v>
      </c>
      <c r="Z6993" t="s">
        <v>1604</v>
      </c>
      <c r="AA6993" s="3">
        <v>0.18129017949104301</v>
      </c>
      <c r="AB6993" t="s">
        <v>33265</v>
      </c>
      <c r="AC6993" t="s">
        <v>4562</v>
      </c>
      <c r="AD6993" t="s">
        <v>33264</v>
      </c>
      <c r="AE6993" t="s">
        <v>4655</v>
      </c>
      <c r="AF6993" t="s">
        <v>5201</v>
      </c>
      <c r="AG6993" t="s">
        <v>4564</v>
      </c>
      <c r="AH6993" t="s">
        <v>1605</v>
      </c>
      <c r="AI6993" t="s">
        <v>33266</v>
      </c>
      <c r="AJ6993" t="s">
        <v>2838</v>
      </c>
      <c r="AK6993" t="s">
        <v>33267</v>
      </c>
      <c r="AL6993" s="13" t="s">
        <v>1886</v>
      </c>
      <c r="AM6993" s="14">
        <v>1</v>
      </c>
      <c r="AN6993" s="15" t="s">
        <v>1984</v>
      </c>
    </row>
    <row r="6994" spans="1:40" x14ac:dyDescent="0.3">
      <c r="A6994" s="10" t="str">
        <f>HYPERLINK("http://www.washoecounty.gov/assessor/cama/?parid=514-474-08&amp;CardNumber=1","514-474-08")</f>
        <v>514-474-08</v>
      </c>
      <c r="B6994" t="s">
        <v>4655</v>
      </c>
      <c r="C6994" t="s">
        <v>33268</v>
      </c>
      <c r="D6994" s="1">
        <v>40506</v>
      </c>
      <c r="E6994" s="2">
        <v>162900</v>
      </c>
      <c r="F6994" t="s">
        <v>4553</v>
      </c>
      <c r="G6994" s="17" t="str">
        <f>HYPERLINK("https://www.washoecounty.gov/assessor/cama/?command=sales&amp;parid=51447408","3946426")</f>
        <v>3946426</v>
      </c>
      <c r="H6994" t="s">
        <v>4346</v>
      </c>
      <c r="I6994">
        <v>2001</v>
      </c>
      <c r="J6994">
        <v>2001</v>
      </c>
      <c r="K6994" t="s">
        <v>4554</v>
      </c>
      <c r="L6994" t="s">
        <v>3974</v>
      </c>
      <c r="M6994" s="2">
        <v>2039</v>
      </c>
      <c r="N6994" t="s">
        <v>5280</v>
      </c>
      <c r="O6994">
        <v>3</v>
      </c>
      <c r="P6994">
        <v>2</v>
      </c>
      <c r="Q6994">
        <v>1</v>
      </c>
      <c r="R6994" t="s">
        <v>4557</v>
      </c>
      <c r="S6994" t="s">
        <v>4898</v>
      </c>
      <c r="T6994" t="s">
        <v>4559</v>
      </c>
      <c r="U6994" t="s">
        <v>4560</v>
      </c>
      <c r="V6994" s="2">
        <v>611</v>
      </c>
      <c r="W6994" t="s">
        <v>4655</v>
      </c>
      <c r="X6994" s="2">
        <v>0</v>
      </c>
      <c r="Y6994">
        <v>20</v>
      </c>
      <c r="Z6994" t="s">
        <v>1604</v>
      </c>
      <c r="AA6994" s="3">
        <v>0.12649218738079099</v>
      </c>
      <c r="AB6994" t="s">
        <v>33269</v>
      </c>
      <c r="AC6994" t="s">
        <v>4562</v>
      </c>
      <c r="AD6994" t="s">
        <v>33268</v>
      </c>
      <c r="AE6994" t="s">
        <v>4655</v>
      </c>
      <c r="AF6994" t="s">
        <v>5201</v>
      </c>
      <c r="AG6994" t="s">
        <v>4564</v>
      </c>
      <c r="AH6994" t="s">
        <v>1605</v>
      </c>
      <c r="AI6994" t="s">
        <v>1602</v>
      </c>
      <c r="AJ6994" t="s">
        <v>3394</v>
      </c>
      <c r="AK6994" t="s">
        <v>33270</v>
      </c>
      <c r="AL6994" s="13" t="s">
        <v>1886</v>
      </c>
      <c r="AM6994">
        <v>1</v>
      </c>
      <c r="AN6994" s="15" t="s">
        <v>1984</v>
      </c>
    </row>
    <row r="6995" spans="1:40" x14ac:dyDescent="0.3">
      <c r="A6995" s="10" t="str">
        <f>HYPERLINK("http://www.washoecounty.gov/assessor/cama/?parid=514-482-02&amp;CardNumber=1","514-482-02")</f>
        <v>514-482-02</v>
      </c>
      <c r="B6995" t="s">
        <v>4655</v>
      </c>
      <c r="C6995" t="s">
        <v>33271</v>
      </c>
      <c r="D6995" s="1">
        <v>40297</v>
      </c>
      <c r="E6995" s="2">
        <v>174000</v>
      </c>
      <c r="F6995" t="s">
        <v>4553</v>
      </c>
      <c r="G6995" s="17" t="str">
        <f>HYPERLINK("https://www.washoecounty.gov/assessor/cama/?command=sales&amp;parid=51448202","3876215")</f>
        <v>3876215</v>
      </c>
      <c r="H6995" t="s">
        <v>4346</v>
      </c>
      <c r="I6995">
        <v>2002</v>
      </c>
      <c r="J6995">
        <v>2002</v>
      </c>
      <c r="K6995" t="s">
        <v>4554</v>
      </c>
      <c r="L6995" t="s">
        <v>3974</v>
      </c>
      <c r="M6995" s="2">
        <v>2039</v>
      </c>
      <c r="N6995" t="s">
        <v>5280</v>
      </c>
      <c r="O6995">
        <v>3</v>
      </c>
      <c r="P6995">
        <v>2</v>
      </c>
      <c r="Q6995">
        <v>1</v>
      </c>
      <c r="R6995" t="s">
        <v>5281</v>
      </c>
      <c r="S6995" t="s">
        <v>4898</v>
      </c>
      <c r="T6995" t="s">
        <v>4559</v>
      </c>
      <c r="U6995" t="s">
        <v>4560</v>
      </c>
      <c r="V6995" s="2">
        <v>611</v>
      </c>
      <c r="W6995" t="s">
        <v>4655</v>
      </c>
      <c r="X6995" s="2">
        <v>0</v>
      </c>
      <c r="Y6995">
        <v>20</v>
      </c>
      <c r="Z6995" t="s">
        <v>1604</v>
      </c>
      <c r="AA6995" s="3">
        <v>0.137741044163704</v>
      </c>
      <c r="AB6995" t="s">
        <v>33272</v>
      </c>
      <c r="AC6995" t="s">
        <v>4562</v>
      </c>
      <c r="AD6995" t="s">
        <v>33271</v>
      </c>
      <c r="AE6995" t="s">
        <v>4655</v>
      </c>
      <c r="AF6995" t="s">
        <v>4809</v>
      </c>
      <c r="AG6995" t="s">
        <v>4564</v>
      </c>
      <c r="AH6995" t="s">
        <v>1605</v>
      </c>
      <c r="AI6995" t="s">
        <v>4903</v>
      </c>
      <c r="AJ6995" t="s">
        <v>3394</v>
      </c>
      <c r="AK6995" t="s">
        <v>33273</v>
      </c>
      <c r="AL6995" s="13" t="s">
        <v>1886</v>
      </c>
      <c r="AM6995" s="14">
        <v>1</v>
      </c>
      <c r="AN6995" s="15" t="s">
        <v>1984</v>
      </c>
    </row>
    <row r="6996" spans="1:40" x14ac:dyDescent="0.3">
      <c r="A6996" s="10" t="str">
        <f>HYPERLINK("http://www.washoecounty.gov/assessor/cama/?parid=514-482-03&amp;CardNumber=1","514-482-03")</f>
        <v>514-482-03</v>
      </c>
      <c r="B6996" t="s">
        <v>4655</v>
      </c>
      <c r="C6996" t="s">
        <v>33274</v>
      </c>
      <c r="D6996" s="1">
        <v>40312</v>
      </c>
      <c r="E6996" s="2">
        <v>160000</v>
      </c>
      <c r="F6996" t="s">
        <v>4567</v>
      </c>
      <c r="G6996" s="17" t="str">
        <f>HYPERLINK("https://www.washoecounty.gov/assessor/cama/?command=sales&amp;parid=51448203","3881721")</f>
        <v>3881721</v>
      </c>
      <c r="H6996" t="s">
        <v>4346</v>
      </c>
      <c r="I6996">
        <v>2002</v>
      </c>
      <c r="J6996">
        <v>2002</v>
      </c>
      <c r="K6996" t="s">
        <v>4554</v>
      </c>
      <c r="L6996" t="s">
        <v>4555</v>
      </c>
      <c r="M6996" s="2">
        <v>1335</v>
      </c>
      <c r="N6996" t="s">
        <v>5280</v>
      </c>
      <c r="O6996">
        <v>3</v>
      </c>
      <c r="P6996">
        <v>2</v>
      </c>
      <c r="Q6996">
        <v>0</v>
      </c>
      <c r="R6996" t="s">
        <v>4557</v>
      </c>
      <c r="S6996" t="s">
        <v>4898</v>
      </c>
      <c r="T6996" t="s">
        <v>4559</v>
      </c>
      <c r="U6996" t="s">
        <v>4560</v>
      </c>
      <c r="V6996" s="2">
        <v>420</v>
      </c>
      <c r="W6996" t="s">
        <v>4655</v>
      </c>
      <c r="X6996" s="2">
        <v>0</v>
      </c>
      <c r="Y6996">
        <v>20</v>
      </c>
      <c r="Z6996" t="s">
        <v>1604</v>
      </c>
      <c r="AA6996" s="3">
        <v>0.137741044163704</v>
      </c>
      <c r="AB6996" t="s">
        <v>33275</v>
      </c>
      <c r="AC6996" t="s">
        <v>4562</v>
      </c>
      <c r="AD6996" t="s">
        <v>33274</v>
      </c>
      <c r="AE6996" t="s">
        <v>4655</v>
      </c>
      <c r="AF6996" t="s">
        <v>5201</v>
      </c>
      <c r="AG6996" t="s">
        <v>4564</v>
      </c>
      <c r="AH6996" t="s">
        <v>1605</v>
      </c>
      <c r="AI6996" t="s">
        <v>33276</v>
      </c>
      <c r="AJ6996" t="s">
        <v>3394</v>
      </c>
      <c r="AK6996" t="s">
        <v>33277</v>
      </c>
      <c r="AL6996" s="13" t="s">
        <v>1886</v>
      </c>
      <c r="AM6996">
        <v>1</v>
      </c>
      <c r="AN6996" s="15" t="s">
        <v>1984</v>
      </c>
    </row>
    <row r="6997" spans="1:40" x14ac:dyDescent="0.3">
      <c r="A6997" s="10" t="str">
        <f>HYPERLINK("http://www.washoecounty.gov/assessor/cama/?parid=514-482-05&amp;CardNumber=1","514-482-05")</f>
        <v>514-482-05</v>
      </c>
      <c r="B6997" t="s">
        <v>4655</v>
      </c>
      <c r="C6997" t="s">
        <v>33278</v>
      </c>
      <c r="D6997" s="1">
        <v>40351</v>
      </c>
      <c r="E6997" s="2">
        <v>178000</v>
      </c>
      <c r="F6997" t="s">
        <v>4567</v>
      </c>
      <c r="G6997" s="17" t="str">
        <f>HYPERLINK("https://www.washoecounty.gov/assessor/cama/?command=sales&amp;parid=51448205","3894412")</f>
        <v>3894412</v>
      </c>
      <c r="H6997" t="s">
        <v>4346</v>
      </c>
      <c r="I6997">
        <v>2002</v>
      </c>
      <c r="J6997">
        <v>2002</v>
      </c>
      <c r="K6997" t="s">
        <v>4554</v>
      </c>
      <c r="L6997" t="s">
        <v>4555</v>
      </c>
      <c r="M6997" s="2">
        <v>1537</v>
      </c>
      <c r="N6997" t="s">
        <v>5280</v>
      </c>
      <c r="O6997">
        <v>3</v>
      </c>
      <c r="P6997">
        <v>2</v>
      </c>
      <c r="Q6997">
        <v>0</v>
      </c>
      <c r="R6997" t="s">
        <v>5281</v>
      </c>
      <c r="S6997" t="s">
        <v>4898</v>
      </c>
      <c r="T6997" t="s">
        <v>4559</v>
      </c>
      <c r="U6997" t="s">
        <v>4560</v>
      </c>
      <c r="V6997" s="2">
        <v>420</v>
      </c>
      <c r="W6997" t="s">
        <v>4655</v>
      </c>
      <c r="X6997" s="2">
        <v>0</v>
      </c>
      <c r="Y6997">
        <v>20</v>
      </c>
      <c r="Z6997" t="s">
        <v>1604</v>
      </c>
      <c r="AA6997" s="3">
        <v>0.19926537573337555</v>
      </c>
      <c r="AB6997" t="s">
        <v>33279</v>
      </c>
      <c r="AC6997" t="s">
        <v>4562</v>
      </c>
      <c r="AD6997" t="s">
        <v>33280</v>
      </c>
      <c r="AE6997" t="s">
        <v>4655</v>
      </c>
      <c r="AF6997" t="s">
        <v>4809</v>
      </c>
      <c r="AG6997" t="s">
        <v>4564</v>
      </c>
      <c r="AH6997" t="s">
        <v>1605</v>
      </c>
      <c r="AI6997" t="s">
        <v>33281</v>
      </c>
      <c r="AJ6997" t="s">
        <v>3394</v>
      </c>
      <c r="AK6997" t="s">
        <v>33282</v>
      </c>
      <c r="AL6997" s="13" t="s">
        <v>1886</v>
      </c>
      <c r="AM6997" s="14">
        <v>1</v>
      </c>
      <c r="AN6997" s="15" t="s">
        <v>1984</v>
      </c>
    </row>
    <row r="6998" spans="1:40" x14ac:dyDescent="0.3">
      <c r="A6998" s="10" t="str">
        <f>HYPERLINK("http://www.washoecounty.gov/assessor/cama/?parid=514-512-09&amp;CardNumber=1","514-512-09")</f>
        <v>514-512-09</v>
      </c>
      <c r="B6998" t="s">
        <v>4655</v>
      </c>
      <c r="C6998" t="s">
        <v>33283</v>
      </c>
      <c r="D6998" s="1">
        <v>40478</v>
      </c>
      <c r="E6998" s="2">
        <v>265000</v>
      </c>
      <c r="F6998" t="s">
        <v>4567</v>
      </c>
      <c r="G6998" s="17" t="str">
        <f>HYPERLINK("https://www.washoecounty.gov/assessor/cama/?command=sales&amp;parid=51451209","3937002")</f>
        <v>3937002</v>
      </c>
      <c r="H6998" t="s">
        <v>5593</v>
      </c>
      <c r="I6998">
        <v>2003</v>
      </c>
      <c r="J6998">
        <v>2003</v>
      </c>
      <c r="K6998" t="s">
        <v>4554</v>
      </c>
      <c r="L6998" t="s">
        <v>3974</v>
      </c>
      <c r="M6998" s="2">
        <v>2651</v>
      </c>
      <c r="N6998" t="s">
        <v>3147</v>
      </c>
      <c r="O6998">
        <v>4</v>
      </c>
      <c r="P6998">
        <v>3</v>
      </c>
      <c r="Q6998">
        <v>0</v>
      </c>
      <c r="R6998" t="s">
        <v>5281</v>
      </c>
      <c r="S6998" t="s">
        <v>4898</v>
      </c>
      <c r="T6998" t="s">
        <v>2704</v>
      </c>
      <c r="U6998" t="s">
        <v>4560</v>
      </c>
      <c r="V6998" s="2">
        <v>710</v>
      </c>
      <c r="W6998" t="s">
        <v>4655</v>
      </c>
      <c r="X6998" s="2">
        <v>0</v>
      </c>
      <c r="Y6998">
        <v>20</v>
      </c>
      <c r="Z6998" t="s">
        <v>1604</v>
      </c>
      <c r="AA6998" s="3">
        <v>0.34575298428535461</v>
      </c>
      <c r="AB6998" t="s">
        <v>33284</v>
      </c>
      <c r="AC6998" t="s">
        <v>4562</v>
      </c>
      <c r="AD6998" t="s">
        <v>33283</v>
      </c>
      <c r="AE6998" t="s">
        <v>4655</v>
      </c>
      <c r="AF6998" t="s">
        <v>5201</v>
      </c>
      <c r="AG6998" t="s">
        <v>4564</v>
      </c>
      <c r="AH6998" t="s">
        <v>1605</v>
      </c>
      <c r="AI6998" t="s">
        <v>33285</v>
      </c>
      <c r="AJ6998" t="s">
        <v>5016</v>
      </c>
      <c r="AK6998" t="s">
        <v>33286</v>
      </c>
      <c r="AL6998" s="13" t="s">
        <v>1899</v>
      </c>
      <c r="AM6998">
        <v>1</v>
      </c>
      <c r="AN6998" s="15" t="s">
        <v>683</v>
      </c>
    </row>
    <row r="6999" spans="1:40" x14ac:dyDescent="0.3">
      <c r="A6999" s="10" t="str">
        <f>HYPERLINK("http://www.washoecounty.gov/assessor/cama/?parid=514-531-02&amp;CardNumber=1","514-531-02")</f>
        <v>514-531-02</v>
      </c>
      <c r="B6999" t="s">
        <v>4655</v>
      </c>
      <c r="C6999" t="s">
        <v>33287</v>
      </c>
      <c r="D6999" s="1">
        <v>40435</v>
      </c>
      <c r="E6999" s="2">
        <v>280000</v>
      </c>
      <c r="F6999" t="s">
        <v>4567</v>
      </c>
      <c r="G6999" s="17" t="str">
        <f>HYPERLINK("https://www.washoecounty.gov/assessor/cama/?command=sales&amp;parid=51453102","3922143")</f>
        <v>3922143</v>
      </c>
      <c r="H6999" t="s">
        <v>4511</v>
      </c>
      <c r="I6999">
        <v>2004</v>
      </c>
      <c r="J6999">
        <v>2004</v>
      </c>
      <c r="K6999" t="s">
        <v>4554</v>
      </c>
      <c r="L6999" t="s">
        <v>3974</v>
      </c>
      <c r="M6999" s="2">
        <v>3098</v>
      </c>
      <c r="N6999" t="s">
        <v>3887</v>
      </c>
      <c r="O6999">
        <v>3</v>
      </c>
      <c r="P6999">
        <v>2</v>
      </c>
      <c r="Q6999">
        <v>1</v>
      </c>
      <c r="R6999" t="s">
        <v>5281</v>
      </c>
      <c r="S6999" t="s">
        <v>4898</v>
      </c>
      <c r="T6999" t="s">
        <v>2704</v>
      </c>
      <c r="U6999" t="s">
        <v>162</v>
      </c>
      <c r="V6999" s="2">
        <v>871</v>
      </c>
      <c r="W6999" t="s">
        <v>4655</v>
      </c>
      <c r="X6999" s="2">
        <v>0</v>
      </c>
      <c r="Y6999">
        <v>20</v>
      </c>
      <c r="Z6999" t="s">
        <v>1604</v>
      </c>
      <c r="AA6999" s="3">
        <v>0.19763544201850899</v>
      </c>
      <c r="AB6999" t="s">
        <v>33288</v>
      </c>
      <c r="AC6999" t="s">
        <v>4562</v>
      </c>
      <c r="AD6999" t="s">
        <v>33289</v>
      </c>
      <c r="AE6999" t="s">
        <v>4655</v>
      </c>
      <c r="AF6999" t="s">
        <v>5201</v>
      </c>
      <c r="AG6999" t="s">
        <v>4564</v>
      </c>
      <c r="AH6999" t="s">
        <v>1605</v>
      </c>
      <c r="AI6999" t="s">
        <v>33290</v>
      </c>
      <c r="AJ6999" t="s">
        <v>4512</v>
      </c>
      <c r="AK6999" t="s">
        <v>33291</v>
      </c>
      <c r="AL6999" s="13" t="s">
        <v>1899</v>
      </c>
      <c r="AM6999" s="14">
        <v>1</v>
      </c>
      <c r="AN6999" s="15" t="s">
        <v>2975</v>
      </c>
    </row>
    <row r="7000" spans="1:40" x14ac:dyDescent="0.3">
      <c r="A7000" s="10" t="str">
        <f>HYPERLINK("http://www.washoecounty.gov/assessor/cama/?parid=514-532-10&amp;CardNumber=1","514-532-10")</f>
        <v>514-532-10</v>
      </c>
      <c r="B7000" t="s">
        <v>4655</v>
      </c>
      <c r="C7000" t="s">
        <v>33292</v>
      </c>
      <c r="D7000" s="1">
        <v>40291</v>
      </c>
      <c r="E7000" s="2">
        <v>345000</v>
      </c>
      <c r="F7000" t="s">
        <v>4567</v>
      </c>
      <c r="G7000" s="17" t="str">
        <f>HYPERLINK("https://www.washoecounty.gov/assessor/cama/?command=sales&amp;parid=51453210","3874137")</f>
        <v>3874137</v>
      </c>
      <c r="H7000" t="s">
        <v>4511</v>
      </c>
      <c r="I7000">
        <v>2004</v>
      </c>
      <c r="J7000">
        <v>2004</v>
      </c>
      <c r="K7000" t="s">
        <v>4554</v>
      </c>
      <c r="L7000" t="s">
        <v>3974</v>
      </c>
      <c r="M7000" s="2">
        <v>3544</v>
      </c>
      <c r="N7000" t="s">
        <v>3887</v>
      </c>
      <c r="O7000">
        <v>3</v>
      </c>
      <c r="P7000">
        <v>3</v>
      </c>
      <c r="Q7000">
        <v>1</v>
      </c>
      <c r="R7000" t="s">
        <v>4557</v>
      </c>
      <c r="S7000" t="s">
        <v>4898</v>
      </c>
      <c r="T7000" t="s">
        <v>2704</v>
      </c>
      <c r="U7000" t="s">
        <v>5631</v>
      </c>
      <c r="V7000" s="2">
        <v>858</v>
      </c>
      <c r="W7000" t="s">
        <v>3201</v>
      </c>
      <c r="X7000" s="2">
        <v>936</v>
      </c>
      <c r="Y7000">
        <v>20</v>
      </c>
      <c r="Z7000" t="s">
        <v>1604</v>
      </c>
      <c r="AA7000" s="3">
        <v>0.18246097862720501</v>
      </c>
      <c r="AB7000" t="s">
        <v>33293</v>
      </c>
      <c r="AC7000" t="s">
        <v>4562</v>
      </c>
      <c r="AD7000" t="s">
        <v>33292</v>
      </c>
      <c r="AE7000" t="s">
        <v>4655</v>
      </c>
      <c r="AF7000" t="s">
        <v>5201</v>
      </c>
      <c r="AG7000" t="s">
        <v>4564</v>
      </c>
      <c r="AH7000" t="s">
        <v>1605</v>
      </c>
      <c r="AI7000" t="s">
        <v>33294</v>
      </c>
      <c r="AJ7000" t="s">
        <v>4512</v>
      </c>
      <c r="AK7000" t="s">
        <v>33295</v>
      </c>
      <c r="AL7000" s="13" t="s">
        <v>1899</v>
      </c>
      <c r="AM7000">
        <v>1</v>
      </c>
      <c r="AN7000" s="15" t="s">
        <v>2975</v>
      </c>
    </row>
    <row r="7001" spans="1:40" x14ac:dyDescent="0.3">
      <c r="A7001" s="10" t="str">
        <f>HYPERLINK("http://www.washoecounty.gov/assessor/cama/?parid=514-533-02&amp;CardNumber=1","514-533-02")</f>
        <v>514-533-02</v>
      </c>
      <c r="B7001" t="s">
        <v>4655</v>
      </c>
      <c r="C7001" t="s">
        <v>33296</v>
      </c>
      <c r="D7001" s="1">
        <v>40400</v>
      </c>
      <c r="E7001" s="2">
        <v>220000</v>
      </c>
      <c r="F7001" t="s">
        <v>4567</v>
      </c>
      <c r="G7001" s="17" t="str">
        <f>HYPERLINK("https://www.washoecounty.gov/assessor/cama/?command=sales&amp;parid=51453302","3910357")</f>
        <v>3910357</v>
      </c>
      <c r="H7001" t="s">
        <v>4511</v>
      </c>
      <c r="I7001">
        <v>2004</v>
      </c>
      <c r="J7001">
        <v>2004</v>
      </c>
      <c r="K7001" t="s">
        <v>4554</v>
      </c>
      <c r="L7001" t="s">
        <v>4555</v>
      </c>
      <c r="M7001" s="2">
        <v>1961</v>
      </c>
      <c r="N7001" t="s">
        <v>3887</v>
      </c>
      <c r="O7001">
        <v>3</v>
      </c>
      <c r="P7001">
        <v>2</v>
      </c>
      <c r="Q7001">
        <v>1</v>
      </c>
      <c r="R7001" t="s">
        <v>4557</v>
      </c>
      <c r="S7001" t="s">
        <v>4898</v>
      </c>
      <c r="T7001" t="s">
        <v>2704</v>
      </c>
      <c r="U7001" t="s">
        <v>4560</v>
      </c>
      <c r="V7001" s="2">
        <v>744</v>
      </c>
      <c r="W7001" t="s">
        <v>4655</v>
      </c>
      <c r="X7001" s="2">
        <v>0</v>
      </c>
      <c r="Y7001">
        <v>20</v>
      </c>
      <c r="Z7001" t="s">
        <v>1604</v>
      </c>
      <c r="AA7001" s="3">
        <v>0.160697892308235</v>
      </c>
      <c r="AB7001" t="s">
        <v>33297</v>
      </c>
      <c r="AC7001" t="s">
        <v>4562</v>
      </c>
      <c r="AD7001" t="s">
        <v>33296</v>
      </c>
      <c r="AE7001" t="s">
        <v>4655</v>
      </c>
      <c r="AF7001" t="s">
        <v>5201</v>
      </c>
      <c r="AG7001" t="s">
        <v>4564</v>
      </c>
      <c r="AH7001" t="s">
        <v>1605</v>
      </c>
      <c r="AI7001" t="s">
        <v>33298</v>
      </c>
      <c r="AJ7001" t="s">
        <v>4512</v>
      </c>
      <c r="AK7001" t="s">
        <v>33299</v>
      </c>
      <c r="AL7001" s="13" t="s">
        <v>1899</v>
      </c>
      <c r="AM7001">
        <v>1</v>
      </c>
      <c r="AN7001" s="15" t="s">
        <v>2975</v>
      </c>
    </row>
    <row r="7002" spans="1:40" x14ac:dyDescent="0.3">
      <c r="A7002" s="10" t="str">
        <f>HYPERLINK("http://www.washoecounty.gov/assessor/cama/?parid=514-561-10&amp;CardNumber=1","514-561-10")</f>
        <v>514-561-10</v>
      </c>
      <c r="B7002" t="s">
        <v>4655</v>
      </c>
      <c r="C7002" t="s">
        <v>33300</v>
      </c>
      <c r="D7002" s="1">
        <v>40392</v>
      </c>
      <c r="E7002" s="2">
        <v>354000</v>
      </c>
      <c r="F7002" t="s">
        <v>4567</v>
      </c>
      <c r="G7002" s="17" t="str">
        <f>HYPERLINK("https://www.washoecounty.gov/assessor/cama/?command=sales&amp;parid=51456110","3907912")</f>
        <v>3907912</v>
      </c>
      <c r="H7002" t="s">
        <v>3395</v>
      </c>
      <c r="I7002">
        <v>2004</v>
      </c>
      <c r="J7002">
        <v>2004</v>
      </c>
      <c r="K7002" t="s">
        <v>4554</v>
      </c>
      <c r="L7002" t="s">
        <v>4555</v>
      </c>
      <c r="M7002" s="2">
        <v>2070</v>
      </c>
      <c r="N7002" t="s">
        <v>3147</v>
      </c>
      <c r="O7002">
        <v>4</v>
      </c>
      <c r="P7002">
        <v>3</v>
      </c>
      <c r="Q7002">
        <v>0</v>
      </c>
      <c r="R7002" t="s">
        <v>5281</v>
      </c>
      <c r="S7002" t="s">
        <v>4898</v>
      </c>
      <c r="T7002" t="s">
        <v>2704</v>
      </c>
      <c r="U7002" t="s">
        <v>4560</v>
      </c>
      <c r="V7002" s="2">
        <v>641</v>
      </c>
      <c r="W7002" t="s">
        <v>4571</v>
      </c>
      <c r="X7002" s="2">
        <v>1734</v>
      </c>
      <c r="Y7002">
        <v>20</v>
      </c>
      <c r="Z7002" t="s">
        <v>1687</v>
      </c>
      <c r="AA7002" s="3">
        <v>0.200573921203613</v>
      </c>
      <c r="AB7002" t="s">
        <v>33301</v>
      </c>
      <c r="AC7002" t="s">
        <v>4562</v>
      </c>
      <c r="AD7002" t="s">
        <v>33302</v>
      </c>
      <c r="AE7002" t="s">
        <v>4655</v>
      </c>
      <c r="AF7002" t="s">
        <v>33225</v>
      </c>
      <c r="AG7002" t="s">
        <v>4584</v>
      </c>
      <c r="AH7002" t="s">
        <v>33303</v>
      </c>
      <c r="AI7002" t="s">
        <v>4655</v>
      </c>
      <c r="AJ7002" t="s">
        <v>3454</v>
      </c>
      <c r="AK7002" t="s">
        <v>33304</v>
      </c>
      <c r="AL7002" s="13" t="s">
        <v>1886</v>
      </c>
      <c r="AM7002" s="14">
        <v>1</v>
      </c>
      <c r="AN7002" s="15" t="s">
        <v>683</v>
      </c>
    </row>
    <row r="7003" spans="1:40" x14ac:dyDescent="0.3">
      <c r="A7003" s="10" t="str">
        <f>HYPERLINK("http://www.washoecounty.gov/assessor/cama/?parid=514-572-17&amp;CardNumber=1","514-572-17")</f>
        <v>514-572-17</v>
      </c>
      <c r="B7003" t="s">
        <v>4655</v>
      </c>
      <c r="C7003" t="s">
        <v>33305</v>
      </c>
      <c r="D7003" s="1">
        <v>40295</v>
      </c>
      <c r="E7003" s="2">
        <v>388500</v>
      </c>
      <c r="F7003" t="s">
        <v>4567</v>
      </c>
      <c r="G7003" s="17" t="str">
        <f>HYPERLINK("https://www.washoecounty.gov/assessor/cama/?command=sales&amp;parid=51457217","3875156")</f>
        <v>3875156</v>
      </c>
      <c r="H7003" t="s">
        <v>3395</v>
      </c>
      <c r="I7003">
        <v>2004</v>
      </c>
      <c r="J7003">
        <v>2004</v>
      </c>
      <c r="K7003" t="s">
        <v>4554</v>
      </c>
      <c r="L7003" t="s">
        <v>4555</v>
      </c>
      <c r="M7003" s="2">
        <v>2258</v>
      </c>
      <c r="N7003" t="s">
        <v>3147</v>
      </c>
      <c r="O7003">
        <v>3</v>
      </c>
      <c r="P7003">
        <v>2</v>
      </c>
      <c r="Q7003">
        <v>1</v>
      </c>
      <c r="R7003" t="s">
        <v>4557</v>
      </c>
      <c r="S7003" t="s">
        <v>4898</v>
      </c>
      <c r="T7003" t="s">
        <v>2704</v>
      </c>
      <c r="U7003" t="s">
        <v>4560</v>
      </c>
      <c r="V7003" s="2">
        <v>638</v>
      </c>
      <c r="W7003" t="s">
        <v>4655</v>
      </c>
      <c r="X7003" s="2">
        <v>0</v>
      </c>
      <c r="Y7003">
        <v>20</v>
      </c>
      <c r="Z7003" t="s">
        <v>1687</v>
      </c>
      <c r="AA7003" s="3">
        <v>0.242378324270248</v>
      </c>
      <c r="AB7003" t="s">
        <v>33306</v>
      </c>
      <c r="AC7003" t="s">
        <v>4575</v>
      </c>
      <c r="AD7003" t="s">
        <v>33305</v>
      </c>
      <c r="AE7003" t="s">
        <v>4655</v>
      </c>
      <c r="AF7003" t="s">
        <v>5201</v>
      </c>
      <c r="AG7003" t="s">
        <v>4564</v>
      </c>
      <c r="AH7003" t="s">
        <v>1605</v>
      </c>
      <c r="AI7003" t="s">
        <v>33307</v>
      </c>
      <c r="AJ7003" t="s">
        <v>3454</v>
      </c>
      <c r="AK7003" t="s">
        <v>33308</v>
      </c>
      <c r="AL7003" s="13" t="s">
        <v>1886</v>
      </c>
      <c r="AM7003" s="14">
        <v>1</v>
      </c>
      <c r="AN7003" s="15" t="s">
        <v>683</v>
      </c>
    </row>
    <row r="7004" spans="1:40" x14ac:dyDescent="0.3">
      <c r="A7004" s="10" t="str">
        <f>HYPERLINK("http://www.washoecounty.gov/assessor/cama/?parid=514-572-18&amp;CardNumber=1","514-572-18")</f>
        <v>514-572-18</v>
      </c>
      <c r="B7004" t="s">
        <v>4655</v>
      </c>
      <c r="C7004" t="s">
        <v>33309</v>
      </c>
      <c r="D7004" s="1">
        <v>40359</v>
      </c>
      <c r="E7004" s="2">
        <v>350000</v>
      </c>
      <c r="F7004" t="s">
        <v>4567</v>
      </c>
      <c r="G7004" s="17" t="str">
        <f>HYPERLINK("https://www.washoecounty.gov/assessor/cama/?command=sales&amp;parid=51457218","3897472")</f>
        <v>3897472</v>
      </c>
      <c r="H7004" t="s">
        <v>3395</v>
      </c>
      <c r="I7004">
        <v>2004</v>
      </c>
      <c r="J7004">
        <v>2004</v>
      </c>
      <c r="K7004" t="s">
        <v>4554</v>
      </c>
      <c r="L7004" t="s">
        <v>3974</v>
      </c>
      <c r="M7004" s="2">
        <v>2651</v>
      </c>
      <c r="N7004" t="s">
        <v>3147</v>
      </c>
      <c r="O7004">
        <v>3</v>
      </c>
      <c r="P7004">
        <v>3</v>
      </c>
      <c r="Q7004">
        <v>1</v>
      </c>
      <c r="R7004" t="s">
        <v>5281</v>
      </c>
      <c r="S7004" t="s">
        <v>4898</v>
      </c>
      <c r="T7004" t="s">
        <v>2704</v>
      </c>
      <c r="U7004" t="s">
        <v>4560</v>
      </c>
      <c r="V7004" s="2">
        <v>710</v>
      </c>
      <c r="W7004" t="s">
        <v>4655</v>
      </c>
      <c r="X7004" s="2">
        <v>0</v>
      </c>
      <c r="Y7004">
        <v>20</v>
      </c>
      <c r="Z7004" t="s">
        <v>1687</v>
      </c>
      <c r="AA7004" s="3">
        <v>0.234710738062859</v>
      </c>
      <c r="AB7004" t="s">
        <v>33310</v>
      </c>
      <c r="AC7004" t="s">
        <v>4562</v>
      </c>
      <c r="AD7004" t="s">
        <v>33311</v>
      </c>
      <c r="AE7004" t="s">
        <v>4655</v>
      </c>
      <c r="AF7004" t="s">
        <v>4839</v>
      </c>
      <c r="AG7004" t="s">
        <v>4584</v>
      </c>
      <c r="AH7004">
        <v>95037</v>
      </c>
      <c r="AI7004" t="s">
        <v>33312</v>
      </c>
      <c r="AJ7004" t="s">
        <v>3454</v>
      </c>
      <c r="AK7004" t="s">
        <v>33313</v>
      </c>
      <c r="AL7004" s="13" t="s">
        <v>1886</v>
      </c>
      <c r="AM7004" s="14">
        <v>1</v>
      </c>
      <c r="AN7004" s="15" t="s">
        <v>683</v>
      </c>
    </row>
    <row r="7005" spans="1:40" x14ac:dyDescent="0.3">
      <c r="A7005" s="10" t="str">
        <f>HYPERLINK("http://www.washoecounty.gov/assessor/cama/?parid=514-581-06&amp;CardNumber=1","514-581-06")</f>
        <v>514-581-06</v>
      </c>
      <c r="B7005" t="s">
        <v>4655</v>
      </c>
      <c r="C7005" t="s">
        <v>33314</v>
      </c>
      <c r="D7005" s="1">
        <v>40231</v>
      </c>
      <c r="E7005" s="2">
        <v>310000</v>
      </c>
      <c r="F7005" t="s">
        <v>4567</v>
      </c>
      <c r="G7005" s="17" t="str">
        <f>HYPERLINK("https://www.washoecounty.gov/assessor/cama/?command=sales&amp;parid=51458106","3851614")</f>
        <v>3851614</v>
      </c>
      <c r="H7005" t="s">
        <v>1197</v>
      </c>
      <c r="I7005">
        <v>2006</v>
      </c>
      <c r="J7005">
        <v>2006</v>
      </c>
      <c r="K7005" t="s">
        <v>4554</v>
      </c>
      <c r="L7005" t="s">
        <v>3974</v>
      </c>
      <c r="M7005" s="2">
        <v>2700</v>
      </c>
      <c r="N7005" t="s">
        <v>3887</v>
      </c>
      <c r="O7005">
        <v>3</v>
      </c>
      <c r="P7005">
        <v>2</v>
      </c>
      <c r="Q7005">
        <v>1</v>
      </c>
      <c r="R7005" t="s">
        <v>5281</v>
      </c>
      <c r="S7005" t="s">
        <v>4898</v>
      </c>
      <c r="T7005" t="s">
        <v>4559</v>
      </c>
      <c r="U7005" t="s">
        <v>4560</v>
      </c>
      <c r="V7005" s="2">
        <v>818</v>
      </c>
      <c r="W7005" t="s">
        <v>4655</v>
      </c>
      <c r="X7005" s="2">
        <v>0</v>
      </c>
      <c r="Y7005">
        <v>20</v>
      </c>
      <c r="Z7005" t="s">
        <v>1604</v>
      </c>
      <c r="AA7005" s="3">
        <v>0.16170798242092099</v>
      </c>
      <c r="AB7005" t="s">
        <v>33315</v>
      </c>
      <c r="AC7005" t="s">
        <v>4562</v>
      </c>
      <c r="AD7005" t="s">
        <v>33316</v>
      </c>
      <c r="AE7005" t="s">
        <v>4655</v>
      </c>
      <c r="AF7005" t="s">
        <v>4809</v>
      </c>
      <c r="AG7005" t="s">
        <v>4564</v>
      </c>
      <c r="AH7005" t="s">
        <v>1605</v>
      </c>
      <c r="AI7005" t="s">
        <v>2973</v>
      </c>
      <c r="AJ7005" t="s">
        <v>2974</v>
      </c>
      <c r="AK7005" t="s">
        <v>33317</v>
      </c>
      <c r="AL7005" s="13" t="s">
        <v>1899</v>
      </c>
      <c r="AM7005" s="14">
        <v>1</v>
      </c>
      <c r="AN7005" s="15" t="s">
        <v>2975</v>
      </c>
    </row>
    <row r="7006" spans="1:40" x14ac:dyDescent="0.3">
      <c r="A7006" s="10" t="str">
        <f>HYPERLINK("http://www.washoecounty.gov/assessor/cama/?parid=514-591-28&amp;CardNumber=1","514-591-28")</f>
        <v>514-591-28</v>
      </c>
      <c r="B7006" t="s">
        <v>4655</v>
      </c>
      <c r="C7006" t="s">
        <v>33318</v>
      </c>
      <c r="D7006" s="1">
        <v>40511</v>
      </c>
      <c r="E7006" s="2">
        <v>405000</v>
      </c>
      <c r="F7006" t="s">
        <v>4567</v>
      </c>
      <c r="G7006" s="17" t="str">
        <f>HYPERLINK("https://www.washoecounty.gov/assessor/cama/?command=sales&amp;parid=51459128","3947317")</f>
        <v>3947317</v>
      </c>
      <c r="H7006" t="s">
        <v>1197</v>
      </c>
      <c r="I7006">
        <v>2007</v>
      </c>
      <c r="J7006">
        <v>2007</v>
      </c>
      <c r="K7006" t="s">
        <v>4554</v>
      </c>
      <c r="L7006" t="s">
        <v>3974</v>
      </c>
      <c r="M7006" s="2">
        <v>3114</v>
      </c>
      <c r="N7006" t="s">
        <v>3887</v>
      </c>
      <c r="O7006">
        <v>4</v>
      </c>
      <c r="P7006">
        <v>3</v>
      </c>
      <c r="Q7006">
        <v>1</v>
      </c>
      <c r="R7006" t="s">
        <v>5281</v>
      </c>
      <c r="S7006" t="s">
        <v>4898</v>
      </c>
      <c r="T7006" t="s">
        <v>4559</v>
      </c>
      <c r="U7006" t="s">
        <v>162</v>
      </c>
      <c r="V7006" s="2">
        <v>871</v>
      </c>
      <c r="W7006" t="s">
        <v>3201</v>
      </c>
      <c r="X7006" s="2">
        <v>1242</v>
      </c>
      <c r="Y7006">
        <v>20</v>
      </c>
      <c r="Z7006" t="s">
        <v>1604</v>
      </c>
      <c r="AA7006" s="3">
        <v>0.29437556862831099</v>
      </c>
      <c r="AB7006" t="s">
        <v>33319</v>
      </c>
      <c r="AC7006" t="s">
        <v>4562</v>
      </c>
      <c r="AD7006" t="s">
        <v>33320</v>
      </c>
      <c r="AE7006" t="s">
        <v>4655</v>
      </c>
      <c r="AF7006" t="s">
        <v>5201</v>
      </c>
      <c r="AG7006" t="s">
        <v>4564</v>
      </c>
      <c r="AH7006" t="s">
        <v>1605</v>
      </c>
      <c r="AI7006" t="s">
        <v>33321</v>
      </c>
      <c r="AJ7006" t="s">
        <v>2974</v>
      </c>
      <c r="AK7006" t="s">
        <v>33322</v>
      </c>
      <c r="AL7006" s="13" t="s">
        <v>1899</v>
      </c>
      <c r="AM7006">
        <v>1</v>
      </c>
      <c r="AN7006" s="15" t="s">
        <v>2975</v>
      </c>
    </row>
    <row r="7007" spans="1:40" x14ac:dyDescent="0.3">
      <c r="A7007" s="10" t="str">
        <f>HYPERLINK("http://www.washoecounty.gov/assessor/cama/?parid=514-591-35&amp;CardNumber=1","514-591-35")</f>
        <v>514-591-35</v>
      </c>
      <c r="B7007" t="s">
        <v>4655</v>
      </c>
      <c r="C7007" t="s">
        <v>33323</v>
      </c>
      <c r="D7007" s="1">
        <v>40353</v>
      </c>
      <c r="E7007" s="2">
        <v>269900</v>
      </c>
      <c r="F7007" t="s">
        <v>4567</v>
      </c>
      <c r="G7007" s="17" t="str">
        <f>HYPERLINK("https://www.washoecounty.gov/assessor/cama/?command=sales&amp;parid=51459135","3895186")</f>
        <v>3895186</v>
      </c>
      <c r="H7007" t="s">
        <v>1197</v>
      </c>
      <c r="I7007">
        <v>2010</v>
      </c>
      <c r="J7007">
        <v>2010</v>
      </c>
      <c r="K7007" t="s">
        <v>4554</v>
      </c>
      <c r="L7007" t="s">
        <v>4555</v>
      </c>
      <c r="M7007" s="2">
        <v>1961</v>
      </c>
      <c r="N7007" t="s">
        <v>3887</v>
      </c>
      <c r="O7007">
        <v>3</v>
      </c>
      <c r="P7007">
        <v>2</v>
      </c>
      <c r="Q7007">
        <v>1</v>
      </c>
      <c r="R7007" t="s">
        <v>5281</v>
      </c>
      <c r="S7007" t="s">
        <v>4898</v>
      </c>
      <c r="T7007" t="s">
        <v>2704</v>
      </c>
      <c r="U7007" t="s">
        <v>4560</v>
      </c>
      <c r="V7007" s="2">
        <v>744</v>
      </c>
      <c r="W7007" t="s">
        <v>4655</v>
      </c>
      <c r="X7007" s="2">
        <v>0</v>
      </c>
      <c r="Y7007">
        <v>20</v>
      </c>
      <c r="Z7007" t="s">
        <v>1604</v>
      </c>
      <c r="AA7007" s="3">
        <v>0.21769972145557404</v>
      </c>
      <c r="AB7007" t="s">
        <v>33324</v>
      </c>
      <c r="AC7007" t="s">
        <v>4562</v>
      </c>
      <c r="AD7007" t="s">
        <v>33323</v>
      </c>
      <c r="AE7007" t="s">
        <v>4655</v>
      </c>
      <c r="AF7007" t="s">
        <v>5201</v>
      </c>
      <c r="AG7007" t="s">
        <v>4564</v>
      </c>
      <c r="AH7007" t="s">
        <v>1605</v>
      </c>
      <c r="AI7007" t="s">
        <v>2973</v>
      </c>
      <c r="AJ7007" t="s">
        <v>2974</v>
      </c>
      <c r="AK7007" t="s">
        <v>33325</v>
      </c>
      <c r="AL7007" s="13" t="s">
        <v>1899</v>
      </c>
      <c r="AM7007">
        <v>1</v>
      </c>
      <c r="AN7007" s="15" t="s">
        <v>2975</v>
      </c>
    </row>
    <row r="7008" spans="1:40" x14ac:dyDescent="0.3">
      <c r="A7008" s="10" t="str">
        <f>HYPERLINK("http://www.washoecounty.gov/assessor/cama/?parid=514-591-36&amp;CardNumber=1","514-591-36")</f>
        <v>514-591-36</v>
      </c>
      <c r="B7008" t="s">
        <v>4655</v>
      </c>
      <c r="C7008" t="s">
        <v>33326</v>
      </c>
      <c r="D7008" s="1">
        <v>40353</v>
      </c>
      <c r="E7008" s="2">
        <v>310489</v>
      </c>
      <c r="F7008" t="s">
        <v>4567</v>
      </c>
      <c r="G7008" s="17" t="str">
        <f>HYPERLINK("https://www.washoecounty.gov/assessor/cama/?command=sales&amp;parid=51459136","3895183")</f>
        <v>3895183</v>
      </c>
      <c r="H7008" t="s">
        <v>1197</v>
      </c>
      <c r="I7008">
        <v>2010</v>
      </c>
      <c r="J7008">
        <v>2010</v>
      </c>
      <c r="K7008" t="s">
        <v>4554</v>
      </c>
      <c r="L7008" t="s">
        <v>4555</v>
      </c>
      <c r="M7008" s="2">
        <v>2338</v>
      </c>
      <c r="N7008" t="s">
        <v>3887</v>
      </c>
      <c r="O7008">
        <v>3</v>
      </c>
      <c r="P7008">
        <v>2</v>
      </c>
      <c r="Q7008">
        <v>1</v>
      </c>
      <c r="R7008" t="s">
        <v>5281</v>
      </c>
      <c r="S7008" t="s">
        <v>4898</v>
      </c>
      <c r="T7008" t="s">
        <v>2704</v>
      </c>
      <c r="U7008" t="s">
        <v>4560</v>
      </c>
      <c r="V7008" s="2">
        <v>552</v>
      </c>
      <c r="W7008" t="s">
        <v>4655</v>
      </c>
      <c r="X7008" s="2">
        <v>0</v>
      </c>
      <c r="Y7008">
        <v>20</v>
      </c>
      <c r="Z7008" t="s">
        <v>1604</v>
      </c>
      <c r="AA7008" s="3">
        <v>0.19352616369724274</v>
      </c>
      <c r="AB7008" t="s">
        <v>33327</v>
      </c>
      <c r="AC7008" t="s">
        <v>4562</v>
      </c>
      <c r="AD7008" t="s">
        <v>33326</v>
      </c>
      <c r="AE7008" t="s">
        <v>4655</v>
      </c>
      <c r="AF7008" t="s">
        <v>5201</v>
      </c>
      <c r="AG7008" t="s">
        <v>4564</v>
      </c>
      <c r="AH7008" t="s">
        <v>1605</v>
      </c>
      <c r="AI7008" t="s">
        <v>2973</v>
      </c>
      <c r="AJ7008" t="s">
        <v>2974</v>
      </c>
      <c r="AK7008" t="s">
        <v>33328</v>
      </c>
      <c r="AL7008" s="13" t="s">
        <v>1899</v>
      </c>
      <c r="AM7008" s="14">
        <v>1</v>
      </c>
      <c r="AN7008" s="15" t="s">
        <v>2975</v>
      </c>
    </row>
    <row r="7009" spans="1:40" x14ac:dyDescent="0.3">
      <c r="A7009" s="10" t="str">
        <f>HYPERLINK("http://www.washoecounty.gov/assessor/cama/?parid=514-591-40&amp;CardNumber=1","514-591-40")</f>
        <v>514-591-40</v>
      </c>
      <c r="B7009" t="s">
        <v>4655</v>
      </c>
      <c r="C7009" t="s">
        <v>33329</v>
      </c>
      <c r="D7009" s="1">
        <v>40500</v>
      </c>
      <c r="E7009" s="2">
        <v>447643</v>
      </c>
      <c r="F7009" t="s">
        <v>4567</v>
      </c>
      <c r="G7009" s="17" t="str">
        <f>HYPERLINK("https://www.washoecounty.gov/assessor/cama/?command=sales&amp;parid=51459140","3944641")</f>
        <v>3944641</v>
      </c>
      <c r="H7009" t="s">
        <v>1197</v>
      </c>
      <c r="I7009">
        <v>2010</v>
      </c>
      <c r="J7009">
        <v>2010</v>
      </c>
      <c r="K7009" t="s">
        <v>4554</v>
      </c>
      <c r="L7009" t="s">
        <v>4555</v>
      </c>
      <c r="M7009" s="2">
        <v>3114</v>
      </c>
      <c r="N7009" t="s">
        <v>3887</v>
      </c>
      <c r="O7009">
        <v>3</v>
      </c>
      <c r="P7009">
        <v>2</v>
      </c>
      <c r="Q7009">
        <v>1</v>
      </c>
      <c r="R7009" t="s">
        <v>5281</v>
      </c>
      <c r="S7009" t="s">
        <v>4898</v>
      </c>
      <c r="T7009" t="s">
        <v>2704</v>
      </c>
      <c r="U7009" t="s">
        <v>162</v>
      </c>
      <c r="V7009" s="2">
        <v>871</v>
      </c>
      <c r="W7009" t="s">
        <v>4655</v>
      </c>
      <c r="X7009" s="2">
        <v>0</v>
      </c>
      <c r="Y7009">
        <v>20</v>
      </c>
      <c r="Z7009" t="s">
        <v>1604</v>
      </c>
      <c r="AA7009" s="3">
        <v>0.18331037461757699</v>
      </c>
      <c r="AB7009" t="s">
        <v>33330</v>
      </c>
      <c r="AC7009" t="s">
        <v>4562</v>
      </c>
      <c r="AD7009" t="s">
        <v>33329</v>
      </c>
      <c r="AE7009" t="s">
        <v>4655</v>
      </c>
      <c r="AF7009" t="s">
        <v>5201</v>
      </c>
      <c r="AG7009" t="s">
        <v>4564</v>
      </c>
      <c r="AH7009" t="s">
        <v>1605</v>
      </c>
      <c r="AI7009" t="s">
        <v>4655</v>
      </c>
      <c r="AJ7009" t="s">
        <v>2974</v>
      </c>
      <c r="AK7009" t="s">
        <v>33331</v>
      </c>
      <c r="AL7009" s="13" t="s">
        <v>1899</v>
      </c>
      <c r="AM7009">
        <v>1</v>
      </c>
      <c r="AN7009" s="15" t="s">
        <v>2975</v>
      </c>
    </row>
    <row r="7010" spans="1:40" x14ac:dyDescent="0.3">
      <c r="A7010" s="10" t="str">
        <f>HYPERLINK("http://www.washoecounty.gov/assessor/cama/?parid=514-591-41&amp;CardNumber=1","514-591-41")</f>
        <v>514-591-41</v>
      </c>
      <c r="B7010" t="s">
        <v>4655</v>
      </c>
      <c r="C7010" t="s">
        <v>33332</v>
      </c>
      <c r="D7010" s="1">
        <v>40343</v>
      </c>
      <c r="E7010" s="2">
        <v>343843</v>
      </c>
      <c r="F7010" t="s">
        <v>4567</v>
      </c>
      <c r="G7010" s="17" t="str">
        <f>HYPERLINK("https://www.washoecounty.gov/assessor/cama/?command=sales&amp;parid=51459141","3891207")</f>
        <v>3891207</v>
      </c>
      <c r="H7010" t="s">
        <v>1197</v>
      </c>
      <c r="I7010">
        <v>2010</v>
      </c>
      <c r="J7010">
        <v>2010</v>
      </c>
      <c r="K7010" t="s">
        <v>4554</v>
      </c>
      <c r="L7010" t="s">
        <v>4555</v>
      </c>
      <c r="M7010" s="2">
        <v>1961</v>
      </c>
      <c r="N7010" t="s">
        <v>3887</v>
      </c>
      <c r="O7010">
        <v>3</v>
      </c>
      <c r="P7010">
        <v>2</v>
      </c>
      <c r="Q7010">
        <v>1</v>
      </c>
      <c r="R7010" t="s">
        <v>5281</v>
      </c>
      <c r="S7010" t="s">
        <v>4898</v>
      </c>
      <c r="T7010" t="s">
        <v>2704</v>
      </c>
      <c r="U7010" t="s">
        <v>4560</v>
      </c>
      <c r="V7010" s="2">
        <v>744</v>
      </c>
      <c r="W7010" t="s">
        <v>4655</v>
      </c>
      <c r="X7010" s="2">
        <v>0</v>
      </c>
      <c r="Y7010">
        <v>20</v>
      </c>
      <c r="Z7010" t="s">
        <v>1604</v>
      </c>
      <c r="AA7010" s="3">
        <v>0.184618920087814</v>
      </c>
      <c r="AB7010" t="s">
        <v>33333</v>
      </c>
      <c r="AC7010" t="s">
        <v>4575</v>
      </c>
      <c r="AD7010" t="s">
        <v>33334</v>
      </c>
      <c r="AE7010" t="s">
        <v>4655</v>
      </c>
      <c r="AF7010" t="s">
        <v>5201</v>
      </c>
      <c r="AG7010" t="s">
        <v>4564</v>
      </c>
      <c r="AH7010" t="s">
        <v>1605</v>
      </c>
      <c r="AI7010" t="s">
        <v>2973</v>
      </c>
      <c r="AJ7010" t="s">
        <v>2974</v>
      </c>
      <c r="AK7010" t="s">
        <v>33335</v>
      </c>
      <c r="AL7010" s="13" t="s">
        <v>1899</v>
      </c>
      <c r="AM7010" s="14">
        <v>1</v>
      </c>
      <c r="AN7010" s="15" t="s">
        <v>2975</v>
      </c>
    </row>
    <row r="7011" spans="1:40" x14ac:dyDescent="0.3">
      <c r="A7011" s="10" t="str">
        <f>HYPERLINK("http://www.washoecounty.gov/assessor/cama/?parid=514-591-42&amp;CardNumber=1","514-591-42")</f>
        <v>514-591-42</v>
      </c>
      <c r="B7011" t="s">
        <v>4655</v>
      </c>
      <c r="C7011" t="s">
        <v>33336</v>
      </c>
      <c r="D7011" s="1">
        <v>40359</v>
      </c>
      <c r="E7011" s="2">
        <v>281000</v>
      </c>
      <c r="F7011" t="s">
        <v>3259</v>
      </c>
      <c r="G7011" s="17" t="str">
        <f>HYPERLINK("https://www.washoecounty.gov/assessor/cama/?command=sales&amp;parid=51459142","3897150")</f>
        <v>3897150</v>
      </c>
      <c r="H7011" t="s">
        <v>1197</v>
      </c>
      <c r="I7011">
        <v>2010</v>
      </c>
      <c r="J7011">
        <v>2010</v>
      </c>
      <c r="K7011" t="s">
        <v>4554</v>
      </c>
      <c r="L7011" t="s">
        <v>4555</v>
      </c>
      <c r="M7011" s="2">
        <v>2078</v>
      </c>
      <c r="N7011" t="s">
        <v>3887</v>
      </c>
      <c r="O7011">
        <v>3</v>
      </c>
      <c r="P7011">
        <v>2</v>
      </c>
      <c r="Q7011">
        <v>1</v>
      </c>
      <c r="R7011" t="s">
        <v>5281</v>
      </c>
      <c r="S7011" t="s">
        <v>4898</v>
      </c>
      <c r="T7011" t="s">
        <v>2704</v>
      </c>
      <c r="U7011" t="s">
        <v>4560</v>
      </c>
      <c r="V7011" s="2">
        <v>812</v>
      </c>
      <c r="W7011" t="s">
        <v>4655</v>
      </c>
      <c r="X7011" s="2">
        <v>0</v>
      </c>
      <c r="Y7011">
        <v>20</v>
      </c>
      <c r="Z7011" t="s">
        <v>1604</v>
      </c>
      <c r="AA7011" s="3">
        <v>0.183172628283501</v>
      </c>
      <c r="AB7011" t="s">
        <v>33337</v>
      </c>
      <c r="AC7011" t="s">
        <v>4562</v>
      </c>
      <c r="AD7011" t="s">
        <v>33336</v>
      </c>
      <c r="AE7011" t="s">
        <v>4655</v>
      </c>
      <c r="AF7011" t="s">
        <v>5201</v>
      </c>
      <c r="AG7011" t="s">
        <v>4564</v>
      </c>
      <c r="AH7011" t="s">
        <v>1605</v>
      </c>
      <c r="AI7011" t="s">
        <v>2973</v>
      </c>
      <c r="AJ7011" t="s">
        <v>2974</v>
      </c>
      <c r="AK7011" t="s">
        <v>33338</v>
      </c>
      <c r="AL7011" s="13" t="s">
        <v>1899</v>
      </c>
      <c r="AM7011" s="14">
        <v>1</v>
      </c>
      <c r="AN7011" s="15" t="s">
        <v>2975</v>
      </c>
    </row>
    <row r="7012" spans="1:40" x14ac:dyDescent="0.3">
      <c r="A7012" s="10" t="str">
        <f>HYPERLINK("http://www.washoecounty.gov/assessor/cama/?parid=516-031-03&amp;CardNumber=1","516-031-03")</f>
        <v>516-031-03</v>
      </c>
      <c r="B7012" t="s">
        <v>4655</v>
      </c>
      <c r="C7012" t="s">
        <v>33339</v>
      </c>
      <c r="D7012" s="1">
        <v>40305</v>
      </c>
      <c r="E7012" s="2">
        <v>205000</v>
      </c>
      <c r="F7012" t="s">
        <v>4553</v>
      </c>
      <c r="G7012" s="17" t="str">
        <f>HYPERLINK("https://www.washoecounty.gov/assessor/cama/?command=sales&amp;parid=51603103","3879391")</f>
        <v>3879391</v>
      </c>
      <c r="H7012" t="s">
        <v>3189</v>
      </c>
      <c r="I7012">
        <v>1999</v>
      </c>
      <c r="J7012">
        <v>1999</v>
      </c>
      <c r="K7012" t="s">
        <v>4554</v>
      </c>
      <c r="L7012" t="s">
        <v>4555</v>
      </c>
      <c r="M7012" s="2">
        <v>1806</v>
      </c>
      <c r="N7012" t="s">
        <v>4048</v>
      </c>
      <c r="O7012">
        <v>3</v>
      </c>
      <c r="P7012">
        <v>2</v>
      </c>
      <c r="Q7012">
        <v>0</v>
      </c>
      <c r="R7012" t="s">
        <v>4557</v>
      </c>
      <c r="S7012" t="s">
        <v>4558</v>
      </c>
      <c r="T7012" t="s">
        <v>4559</v>
      </c>
      <c r="U7012" t="s">
        <v>4560</v>
      </c>
      <c r="V7012" s="2">
        <v>530</v>
      </c>
      <c r="W7012" t="s">
        <v>4655</v>
      </c>
      <c r="X7012" s="2">
        <v>0</v>
      </c>
      <c r="Y7012">
        <v>20</v>
      </c>
      <c r="Z7012" t="s">
        <v>1604</v>
      </c>
      <c r="AA7012" s="3">
        <v>0.14299815893173218</v>
      </c>
      <c r="AB7012" t="s">
        <v>33340</v>
      </c>
      <c r="AC7012" t="s">
        <v>4562</v>
      </c>
      <c r="AD7012" t="s">
        <v>33339</v>
      </c>
      <c r="AE7012" t="s">
        <v>4655</v>
      </c>
      <c r="AF7012" t="s">
        <v>5201</v>
      </c>
      <c r="AG7012" t="s">
        <v>4564</v>
      </c>
      <c r="AH7012" t="s">
        <v>1605</v>
      </c>
      <c r="AI7012" t="s">
        <v>24425</v>
      </c>
      <c r="AJ7012" t="s">
        <v>33341</v>
      </c>
      <c r="AK7012" t="s">
        <v>33342</v>
      </c>
      <c r="AL7012" s="13" t="s">
        <v>1899</v>
      </c>
      <c r="AM7012">
        <v>1</v>
      </c>
      <c r="AN7012" s="15" t="s">
        <v>1606</v>
      </c>
    </row>
    <row r="7013" spans="1:40" x14ac:dyDescent="0.3">
      <c r="A7013" s="10" t="str">
        <f>HYPERLINK("http://www.washoecounty.gov/assessor/cama/?parid=516-031-13&amp;CardNumber=1","516-031-13")</f>
        <v>516-031-13</v>
      </c>
      <c r="B7013" t="s">
        <v>4655</v>
      </c>
      <c r="C7013" t="s">
        <v>33343</v>
      </c>
      <c r="D7013" s="1">
        <v>40225</v>
      </c>
      <c r="E7013" s="2">
        <v>175000</v>
      </c>
      <c r="F7013" t="s">
        <v>4567</v>
      </c>
      <c r="G7013" s="17" t="str">
        <f>HYPERLINK("https://www.washoecounty.gov/assessor/cama/?command=sales&amp;parid=51603113","3849865")</f>
        <v>3849865</v>
      </c>
      <c r="H7013" t="s">
        <v>3189</v>
      </c>
      <c r="I7013">
        <v>1999</v>
      </c>
      <c r="J7013">
        <v>1999</v>
      </c>
      <c r="K7013" t="s">
        <v>4554</v>
      </c>
      <c r="L7013" t="s">
        <v>3974</v>
      </c>
      <c r="M7013" s="2">
        <v>2062</v>
      </c>
      <c r="N7013" t="s">
        <v>4048</v>
      </c>
      <c r="O7013">
        <v>3</v>
      </c>
      <c r="P7013">
        <v>2</v>
      </c>
      <c r="Q7013">
        <v>1</v>
      </c>
      <c r="R7013" t="s">
        <v>5281</v>
      </c>
      <c r="S7013" t="s">
        <v>4558</v>
      </c>
      <c r="T7013" t="s">
        <v>4559</v>
      </c>
      <c r="U7013" t="s">
        <v>4560</v>
      </c>
      <c r="V7013" s="2">
        <v>500</v>
      </c>
      <c r="W7013" t="s">
        <v>4655</v>
      </c>
      <c r="X7013" s="2">
        <v>0</v>
      </c>
      <c r="Y7013">
        <v>20</v>
      </c>
      <c r="Z7013" t="s">
        <v>1604</v>
      </c>
      <c r="AA7013" s="3">
        <v>0.157001838088036</v>
      </c>
      <c r="AB7013" t="s">
        <v>33344</v>
      </c>
      <c r="AC7013" t="s">
        <v>4575</v>
      </c>
      <c r="AD7013" t="s">
        <v>33343</v>
      </c>
      <c r="AE7013" t="s">
        <v>4655</v>
      </c>
      <c r="AF7013" t="s">
        <v>5201</v>
      </c>
      <c r="AG7013" t="s">
        <v>4564</v>
      </c>
      <c r="AH7013" t="s">
        <v>1605</v>
      </c>
      <c r="AI7013" t="s">
        <v>33345</v>
      </c>
      <c r="AJ7013" t="s">
        <v>33346</v>
      </c>
      <c r="AK7013" t="s">
        <v>33347</v>
      </c>
      <c r="AL7013" s="13" t="s">
        <v>1899</v>
      </c>
      <c r="AM7013" s="14">
        <v>1</v>
      </c>
      <c r="AN7013" s="15" t="s">
        <v>1606</v>
      </c>
    </row>
    <row r="7014" spans="1:40" x14ac:dyDescent="0.3">
      <c r="A7014" s="10" t="str">
        <f>HYPERLINK("http://www.washoecounty.gov/assessor/cama/?parid=516-031-16&amp;CardNumber=1","516-031-16")</f>
        <v>516-031-16</v>
      </c>
      <c r="B7014" t="s">
        <v>4655</v>
      </c>
      <c r="C7014" t="s">
        <v>33348</v>
      </c>
      <c r="D7014" s="1">
        <v>40304</v>
      </c>
      <c r="E7014" s="2">
        <v>158500</v>
      </c>
      <c r="F7014" t="s">
        <v>4567</v>
      </c>
      <c r="G7014" s="17" t="str">
        <f>HYPERLINK("https://www.washoecounty.gov/assessor/cama/?command=sales&amp;parid=51603116","3878910")</f>
        <v>3878910</v>
      </c>
      <c r="H7014" t="s">
        <v>3189</v>
      </c>
      <c r="I7014">
        <v>1999</v>
      </c>
      <c r="J7014">
        <v>1999</v>
      </c>
      <c r="K7014" t="s">
        <v>4554</v>
      </c>
      <c r="L7014" t="s">
        <v>4555</v>
      </c>
      <c r="M7014" s="2">
        <v>1446</v>
      </c>
      <c r="N7014" t="s">
        <v>4048</v>
      </c>
      <c r="O7014">
        <v>2</v>
      </c>
      <c r="P7014">
        <v>2</v>
      </c>
      <c r="Q7014">
        <v>0</v>
      </c>
      <c r="R7014" t="s">
        <v>4557</v>
      </c>
      <c r="S7014" t="s">
        <v>4558</v>
      </c>
      <c r="T7014" t="s">
        <v>4559</v>
      </c>
      <c r="U7014" t="s">
        <v>4560</v>
      </c>
      <c r="V7014" s="2">
        <v>600</v>
      </c>
      <c r="W7014" t="s">
        <v>4655</v>
      </c>
      <c r="X7014" s="2">
        <v>0</v>
      </c>
      <c r="Y7014">
        <v>20</v>
      </c>
      <c r="Z7014" t="s">
        <v>1604</v>
      </c>
      <c r="AA7014" s="3">
        <v>0.141000911593437</v>
      </c>
      <c r="AB7014" t="s">
        <v>33349</v>
      </c>
      <c r="AC7014" t="s">
        <v>4562</v>
      </c>
      <c r="AD7014" t="s">
        <v>33350</v>
      </c>
      <c r="AE7014" t="s">
        <v>4655</v>
      </c>
      <c r="AF7014" t="s">
        <v>5201</v>
      </c>
      <c r="AG7014" t="s">
        <v>4564</v>
      </c>
      <c r="AH7014" t="s">
        <v>1605</v>
      </c>
      <c r="AI7014" t="s">
        <v>33351</v>
      </c>
      <c r="AJ7014" t="s">
        <v>33352</v>
      </c>
      <c r="AK7014" t="s">
        <v>33353</v>
      </c>
      <c r="AL7014" s="13" t="s">
        <v>1899</v>
      </c>
      <c r="AM7014" s="14">
        <v>1</v>
      </c>
      <c r="AN7014" s="15" t="s">
        <v>1606</v>
      </c>
    </row>
    <row r="7015" spans="1:40" x14ac:dyDescent="0.3">
      <c r="A7015" s="10" t="str">
        <f>HYPERLINK("http://www.washoecounty.gov/assessor/cama/?parid=516-042-08&amp;CardNumber=1","516-042-08")</f>
        <v>516-042-08</v>
      </c>
      <c r="B7015" t="s">
        <v>4655</v>
      </c>
      <c r="C7015" t="s">
        <v>33354</v>
      </c>
      <c r="D7015" s="1">
        <v>40389</v>
      </c>
      <c r="E7015" s="2">
        <v>214500</v>
      </c>
      <c r="F7015" t="s">
        <v>4567</v>
      </c>
      <c r="G7015" s="17" t="str">
        <f>HYPERLINK("https://www.washoecounty.gov/assessor/cama/?command=sales&amp;parid=51604208","3907368")</f>
        <v>3907368</v>
      </c>
      <c r="H7015" t="s">
        <v>33355</v>
      </c>
      <c r="I7015">
        <v>1998</v>
      </c>
      <c r="J7015">
        <v>1998</v>
      </c>
      <c r="K7015" t="s">
        <v>4554</v>
      </c>
      <c r="L7015" t="s">
        <v>3974</v>
      </c>
      <c r="M7015" s="2">
        <v>2062</v>
      </c>
      <c r="N7015" t="s">
        <v>4048</v>
      </c>
      <c r="O7015">
        <v>4</v>
      </c>
      <c r="P7015">
        <v>2</v>
      </c>
      <c r="Q7015">
        <v>1</v>
      </c>
      <c r="R7015" t="s">
        <v>5281</v>
      </c>
      <c r="S7015" t="s">
        <v>4558</v>
      </c>
      <c r="T7015" t="s">
        <v>4559</v>
      </c>
      <c r="U7015" t="s">
        <v>4560</v>
      </c>
      <c r="V7015" s="2">
        <v>580</v>
      </c>
      <c r="W7015" t="s">
        <v>4655</v>
      </c>
      <c r="X7015" s="2">
        <v>0</v>
      </c>
      <c r="Y7015">
        <v>20</v>
      </c>
      <c r="Z7015" t="s">
        <v>1604</v>
      </c>
      <c r="AA7015" s="3">
        <v>0.21099632978439301</v>
      </c>
      <c r="AB7015" t="s">
        <v>33356</v>
      </c>
      <c r="AC7015" t="s">
        <v>4562</v>
      </c>
      <c r="AD7015" t="s">
        <v>33354</v>
      </c>
      <c r="AE7015" t="s">
        <v>4655</v>
      </c>
      <c r="AF7015" t="s">
        <v>5201</v>
      </c>
      <c r="AG7015" t="s">
        <v>4564</v>
      </c>
      <c r="AH7015" t="s">
        <v>1605</v>
      </c>
      <c r="AI7015" t="s">
        <v>33357</v>
      </c>
      <c r="AJ7015" t="s">
        <v>33358</v>
      </c>
      <c r="AK7015" t="s">
        <v>33359</v>
      </c>
      <c r="AL7015" s="13" t="s">
        <v>1899</v>
      </c>
      <c r="AM7015">
        <v>1</v>
      </c>
      <c r="AN7015" s="15" t="s">
        <v>1606</v>
      </c>
    </row>
    <row r="7016" spans="1:40" x14ac:dyDescent="0.3">
      <c r="A7016" s="10" t="str">
        <f>HYPERLINK("http://www.washoecounty.gov/assessor/cama/?parid=516-052-02&amp;CardNumber=1","516-052-02")</f>
        <v>516-052-02</v>
      </c>
      <c r="B7016" t="s">
        <v>4655</v>
      </c>
      <c r="C7016" t="s">
        <v>33360</v>
      </c>
      <c r="D7016" s="1">
        <v>40385</v>
      </c>
      <c r="E7016" s="2">
        <v>150000</v>
      </c>
      <c r="F7016" t="s">
        <v>4567</v>
      </c>
      <c r="G7016" s="17" t="str">
        <f>HYPERLINK("https://www.washoecounty.gov/assessor/cama/?command=sales&amp;parid=51605202","3904808")</f>
        <v>3904808</v>
      </c>
      <c r="H7016" t="s">
        <v>2976</v>
      </c>
      <c r="I7016">
        <v>1998</v>
      </c>
      <c r="J7016">
        <v>1998</v>
      </c>
      <c r="K7016" t="s">
        <v>4554</v>
      </c>
      <c r="L7016" t="s">
        <v>4555</v>
      </c>
      <c r="M7016" s="2">
        <v>1446</v>
      </c>
      <c r="N7016" t="s">
        <v>4048</v>
      </c>
      <c r="O7016">
        <v>3</v>
      </c>
      <c r="P7016">
        <v>2</v>
      </c>
      <c r="Q7016">
        <v>0</v>
      </c>
      <c r="R7016" t="s">
        <v>5281</v>
      </c>
      <c r="S7016" t="s">
        <v>4558</v>
      </c>
      <c r="T7016" t="s">
        <v>4559</v>
      </c>
      <c r="U7016" t="s">
        <v>4560</v>
      </c>
      <c r="V7016" s="2">
        <v>601</v>
      </c>
      <c r="W7016" t="s">
        <v>4655</v>
      </c>
      <c r="X7016" s="2">
        <v>0</v>
      </c>
      <c r="Y7016">
        <v>20</v>
      </c>
      <c r="Z7016" t="s">
        <v>1604</v>
      </c>
      <c r="AA7016" s="3">
        <v>0.14898990094661699</v>
      </c>
      <c r="AB7016" t="s">
        <v>33361</v>
      </c>
      <c r="AC7016" t="s">
        <v>4575</v>
      </c>
      <c r="AD7016" t="s">
        <v>33360</v>
      </c>
      <c r="AE7016" t="s">
        <v>4655</v>
      </c>
      <c r="AF7016" t="s">
        <v>5201</v>
      </c>
      <c r="AG7016" t="s">
        <v>4564</v>
      </c>
      <c r="AH7016" t="s">
        <v>1605</v>
      </c>
      <c r="AI7016" t="s">
        <v>33362</v>
      </c>
      <c r="AJ7016" t="s">
        <v>33363</v>
      </c>
      <c r="AK7016" t="s">
        <v>33364</v>
      </c>
      <c r="AL7016" s="13" t="s">
        <v>1899</v>
      </c>
      <c r="AM7016">
        <v>1</v>
      </c>
      <c r="AN7016" s="15" t="s">
        <v>1606</v>
      </c>
    </row>
    <row r="7017" spans="1:40" x14ac:dyDescent="0.3">
      <c r="A7017" s="10" t="str">
        <f>HYPERLINK("http://www.washoecounty.gov/assessor/cama/?parid=516-053-07&amp;CardNumber=1","516-053-07")</f>
        <v>516-053-07</v>
      </c>
      <c r="B7017" t="s">
        <v>4655</v>
      </c>
      <c r="C7017" t="s">
        <v>33365</v>
      </c>
      <c r="D7017" s="1">
        <v>40487</v>
      </c>
      <c r="E7017" s="2">
        <v>175000</v>
      </c>
      <c r="F7017" t="s">
        <v>4567</v>
      </c>
      <c r="G7017" s="17" t="str">
        <f>HYPERLINK("https://www.washoecounty.gov/assessor/cama/?command=sales&amp;parid=51605307","3940484")</f>
        <v>3940484</v>
      </c>
      <c r="H7017" t="s">
        <v>2976</v>
      </c>
      <c r="I7017">
        <v>1998</v>
      </c>
      <c r="J7017">
        <v>1998</v>
      </c>
      <c r="K7017" t="s">
        <v>4554</v>
      </c>
      <c r="L7017" t="s">
        <v>4555</v>
      </c>
      <c r="M7017" s="2">
        <v>1715</v>
      </c>
      <c r="N7017" t="s">
        <v>4048</v>
      </c>
      <c r="O7017">
        <v>4</v>
      </c>
      <c r="P7017">
        <v>2</v>
      </c>
      <c r="Q7017">
        <v>0</v>
      </c>
      <c r="R7017" t="s">
        <v>4557</v>
      </c>
      <c r="S7017" t="s">
        <v>4558</v>
      </c>
      <c r="T7017" t="s">
        <v>4559</v>
      </c>
      <c r="U7017" t="s">
        <v>4560</v>
      </c>
      <c r="V7017" s="2">
        <v>557</v>
      </c>
      <c r="W7017" t="s">
        <v>4655</v>
      </c>
      <c r="X7017" s="2">
        <v>0</v>
      </c>
      <c r="Y7017">
        <v>20</v>
      </c>
      <c r="Z7017" t="s">
        <v>1604</v>
      </c>
      <c r="AA7017" s="3">
        <v>0.25</v>
      </c>
      <c r="AB7017" t="s">
        <v>33366</v>
      </c>
      <c r="AC7017" t="s">
        <v>4562</v>
      </c>
      <c r="AD7017" t="s">
        <v>33365</v>
      </c>
      <c r="AE7017" t="s">
        <v>4655</v>
      </c>
      <c r="AF7017" t="s">
        <v>5201</v>
      </c>
      <c r="AG7017" t="s">
        <v>4564</v>
      </c>
      <c r="AH7017" t="s">
        <v>1605</v>
      </c>
      <c r="AI7017" t="s">
        <v>33367</v>
      </c>
      <c r="AJ7017" t="s">
        <v>33368</v>
      </c>
      <c r="AK7017" t="s">
        <v>33369</v>
      </c>
      <c r="AL7017" s="13" t="s">
        <v>1899</v>
      </c>
      <c r="AM7017" s="14">
        <v>1</v>
      </c>
      <c r="AN7017" s="15" t="s">
        <v>1606</v>
      </c>
    </row>
    <row r="7018" spans="1:40" x14ac:dyDescent="0.3">
      <c r="A7018" s="10" t="str">
        <f>HYPERLINK("http://www.washoecounty.gov/assessor/cama/?parid=516-053-09&amp;CardNumber=1","516-053-09")</f>
        <v>516-053-09</v>
      </c>
      <c r="B7018" t="s">
        <v>4655</v>
      </c>
      <c r="C7018" t="s">
        <v>33370</v>
      </c>
      <c r="D7018" s="1">
        <v>40473</v>
      </c>
      <c r="E7018" s="2">
        <v>152000</v>
      </c>
      <c r="F7018" t="s">
        <v>4567</v>
      </c>
      <c r="G7018" s="17" t="str">
        <f>HYPERLINK("https://www.washoecounty.gov/assessor/cama/?command=sales&amp;parid=51605309","3935786")</f>
        <v>3935786</v>
      </c>
      <c r="H7018" t="s">
        <v>2976</v>
      </c>
      <c r="I7018">
        <v>1998</v>
      </c>
      <c r="J7018">
        <v>1998</v>
      </c>
      <c r="K7018" t="s">
        <v>4554</v>
      </c>
      <c r="L7018" t="s">
        <v>4555</v>
      </c>
      <c r="M7018" s="2">
        <v>1446</v>
      </c>
      <c r="N7018" t="s">
        <v>4048</v>
      </c>
      <c r="O7018">
        <v>3</v>
      </c>
      <c r="P7018">
        <v>2</v>
      </c>
      <c r="Q7018">
        <v>0</v>
      </c>
      <c r="R7018" t="s">
        <v>5281</v>
      </c>
      <c r="S7018" t="s">
        <v>4558</v>
      </c>
      <c r="T7018" t="s">
        <v>4559</v>
      </c>
      <c r="U7018" t="s">
        <v>4560</v>
      </c>
      <c r="V7018" s="2">
        <v>401</v>
      </c>
      <c r="W7018" t="s">
        <v>4655</v>
      </c>
      <c r="X7018" s="2">
        <v>0</v>
      </c>
      <c r="Y7018">
        <v>20</v>
      </c>
      <c r="Z7018" t="s">
        <v>1604</v>
      </c>
      <c r="AA7018" s="3">
        <v>0.16799816489219666</v>
      </c>
      <c r="AB7018" t="s">
        <v>33371</v>
      </c>
      <c r="AC7018" t="s">
        <v>4562</v>
      </c>
      <c r="AD7018" t="s">
        <v>33372</v>
      </c>
      <c r="AE7018" t="s">
        <v>4655</v>
      </c>
      <c r="AF7018" t="s">
        <v>4563</v>
      </c>
      <c r="AG7018" t="s">
        <v>4564</v>
      </c>
      <c r="AH7018">
        <v>89509</v>
      </c>
      <c r="AI7018" t="s">
        <v>4655</v>
      </c>
      <c r="AJ7018" t="s">
        <v>33373</v>
      </c>
      <c r="AK7018" t="s">
        <v>33374</v>
      </c>
      <c r="AL7018" s="13" t="s">
        <v>1899</v>
      </c>
      <c r="AM7018">
        <v>1</v>
      </c>
      <c r="AN7018" s="15" t="s">
        <v>1606</v>
      </c>
    </row>
    <row r="7019" spans="1:40" x14ac:dyDescent="0.3">
      <c r="A7019" s="10" t="str">
        <f>HYPERLINK("http://www.washoecounty.gov/assessor/cama/?parid=516-071-05&amp;CardNumber=1","516-071-05")</f>
        <v>516-071-05</v>
      </c>
      <c r="B7019" t="s">
        <v>4655</v>
      </c>
      <c r="C7019" t="s">
        <v>33375</v>
      </c>
      <c r="D7019" s="1">
        <v>40541</v>
      </c>
      <c r="E7019" s="2">
        <v>145000</v>
      </c>
      <c r="F7019" t="s">
        <v>4553</v>
      </c>
      <c r="G7019" s="17" t="str">
        <f>HYPERLINK("https://www.washoecounty.gov/assessor/cama/?command=sales&amp;parid=51607105","3958824")</f>
        <v>3958824</v>
      </c>
      <c r="H7019" t="s">
        <v>5663</v>
      </c>
      <c r="I7019">
        <v>1999</v>
      </c>
      <c r="J7019">
        <v>1999</v>
      </c>
      <c r="K7019" t="s">
        <v>4554</v>
      </c>
      <c r="L7019" t="s">
        <v>4555</v>
      </c>
      <c r="M7019" s="2">
        <v>1446</v>
      </c>
      <c r="N7019" t="s">
        <v>4048</v>
      </c>
      <c r="O7019">
        <v>3</v>
      </c>
      <c r="P7019">
        <v>2</v>
      </c>
      <c r="Q7019">
        <v>0</v>
      </c>
      <c r="R7019" t="s">
        <v>4557</v>
      </c>
      <c r="S7019" t="s">
        <v>4558</v>
      </c>
      <c r="T7019" t="s">
        <v>4559</v>
      </c>
      <c r="U7019" t="s">
        <v>4560</v>
      </c>
      <c r="V7019" s="2">
        <v>400</v>
      </c>
      <c r="W7019" t="s">
        <v>4655</v>
      </c>
      <c r="X7019" s="2">
        <v>0</v>
      </c>
      <c r="Y7019">
        <v>20</v>
      </c>
      <c r="Z7019" t="s">
        <v>1604</v>
      </c>
      <c r="AA7019" s="3">
        <v>0.141000911593437</v>
      </c>
      <c r="AB7019" t="s">
        <v>33376</v>
      </c>
      <c r="AC7019" t="s">
        <v>4575</v>
      </c>
      <c r="AD7019" t="s">
        <v>33375</v>
      </c>
      <c r="AE7019" t="s">
        <v>4655</v>
      </c>
      <c r="AF7019" t="s">
        <v>5201</v>
      </c>
      <c r="AG7019" t="s">
        <v>4564</v>
      </c>
      <c r="AH7019" t="s">
        <v>1605</v>
      </c>
      <c r="AI7019" t="s">
        <v>4903</v>
      </c>
      <c r="AJ7019" t="s">
        <v>33377</v>
      </c>
      <c r="AK7019" t="s">
        <v>33378</v>
      </c>
      <c r="AL7019" s="13" t="s">
        <v>1899</v>
      </c>
      <c r="AM7019" s="14">
        <v>1</v>
      </c>
      <c r="AN7019" s="15" t="s">
        <v>1606</v>
      </c>
    </row>
    <row r="7020" spans="1:40" x14ac:dyDescent="0.3">
      <c r="A7020" s="10" t="str">
        <f>HYPERLINK("http://www.washoecounty.gov/assessor/cama/?parid=516-083-02&amp;CardNumber=1","516-083-02")</f>
        <v>516-083-02</v>
      </c>
      <c r="B7020" t="s">
        <v>4655</v>
      </c>
      <c r="C7020" t="s">
        <v>33379</v>
      </c>
      <c r="D7020" s="1">
        <v>40231</v>
      </c>
      <c r="E7020" s="2">
        <v>159900</v>
      </c>
      <c r="F7020" t="s">
        <v>4553</v>
      </c>
      <c r="G7020" s="17" t="str">
        <f>HYPERLINK("https://www.washoecounty.gov/assessor/cama/?command=sales&amp;parid=51608302","3851601")</f>
        <v>3851601</v>
      </c>
      <c r="H7020" t="s">
        <v>2976</v>
      </c>
      <c r="I7020">
        <v>1998</v>
      </c>
      <c r="J7020">
        <v>1998</v>
      </c>
      <c r="K7020" t="s">
        <v>4554</v>
      </c>
      <c r="L7020" t="s">
        <v>4555</v>
      </c>
      <c r="M7020" s="2">
        <v>1446</v>
      </c>
      <c r="N7020" t="s">
        <v>4048</v>
      </c>
      <c r="O7020">
        <v>3</v>
      </c>
      <c r="P7020">
        <v>2</v>
      </c>
      <c r="Q7020">
        <v>0</v>
      </c>
      <c r="R7020" t="s">
        <v>5281</v>
      </c>
      <c r="S7020" t="s">
        <v>4558</v>
      </c>
      <c r="T7020" t="s">
        <v>4559</v>
      </c>
      <c r="U7020" t="s">
        <v>4560</v>
      </c>
      <c r="V7020" s="2">
        <v>601</v>
      </c>
      <c r="W7020" t="s">
        <v>4655</v>
      </c>
      <c r="X7020" s="2">
        <v>0</v>
      </c>
      <c r="Y7020">
        <v>20</v>
      </c>
      <c r="Z7020" t="s">
        <v>1604</v>
      </c>
      <c r="AA7020" s="3">
        <v>0.17899449169635773</v>
      </c>
      <c r="AB7020" t="s">
        <v>33380</v>
      </c>
      <c r="AC7020" t="s">
        <v>4562</v>
      </c>
      <c r="AD7020" t="s">
        <v>33381</v>
      </c>
      <c r="AE7020" t="s">
        <v>4655</v>
      </c>
      <c r="AF7020" t="s">
        <v>5201</v>
      </c>
      <c r="AG7020" t="s">
        <v>4564</v>
      </c>
      <c r="AH7020" t="s">
        <v>5202</v>
      </c>
      <c r="AI7020" t="s">
        <v>2351</v>
      </c>
      <c r="AJ7020" t="s">
        <v>33382</v>
      </c>
      <c r="AK7020" t="s">
        <v>33383</v>
      </c>
      <c r="AL7020" s="13" t="s">
        <v>1899</v>
      </c>
      <c r="AM7020" s="14">
        <v>1</v>
      </c>
      <c r="AN7020" s="15" t="s">
        <v>1606</v>
      </c>
    </row>
    <row r="7021" spans="1:40" x14ac:dyDescent="0.3">
      <c r="A7021" s="10" t="str">
        <f>HYPERLINK("http://www.washoecounty.gov/assessor/cama/?parid=516-091-05&amp;CardNumber=1","516-091-05")</f>
        <v>516-091-05</v>
      </c>
      <c r="B7021" t="s">
        <v>4655</v>
      </c>
      <c r="C7021" t="s">
        <v>33384</v>
      </c>
      <c r="D7021" s="1">
        <v>40368</v>
      </c>
      <c r="E7021" s="2">
        <v>200000</v>
      </c>
      <c r="F7021" t="s">
        <v>4567</v>
      </c>
      <c r="G7021" s="17" t="str">
        <f>HYPERLINK("https://www.washoecounty.gov/assessor/cama/?command=sales&amp;parid=51609105","3899801")</f>
        <v>3899801</v>
      </c>
      <c r="H7021" t="s">
        <v>33385</v>
      </c>
      <c r="I7021">
        <v>1997</v>
      </c>
      <c r="J7021">
        <v>1997</v>
      </c>
      <c r="K7021" t="s">
        <v>4554</v>
      </c>
      <c r="L7021" t="s">
        <v>4555</v>
      </c>
      <c r="M7021" s="2">
        <v>1715</v>
      </c>
      <c r="N7021" t="s">
        <v>4048</v>
      </c>
      <c r="O7021">
        <v>4</v>
      </c>
      <c r="P7021">
        <v>2</v>
      </c>
      <c r="Q7021">
        <v>0</v>
      </c>
      <c r="R7021" t="s">
        <v>5281</v>
      </c>
      <c r="S7021" t="s">
        <v>4558</v>
      </c>
      <c r="T7021" t="s">
        <v>4559</v>
      </c>
      <c r="U7021" t="s">
        <v>4560</v>
      </c>
      <c r="V7021" s="2">
        <v>557</v>
      </c>
      <c r="W7021" t="s">
        <v>4655</v>
      </c>
      <c r="X7021" s="2">
        <v>0</v>
      </c>
      <c r="Y7021">
        <v>20</v>
      </c>
      <c r="Z7021" t="s">
        <v>1604</v>
      </c>
      <c r="AA7021" s="3">
        <v>0.20399449765682201</v>
      </c>
      <c r="AB7021" t="s">
        <v>33386</v>
      </c>
      <c r="AC7021" t="s">
        <v>4562</v>
      </c>
      <c r="AD7021" t="s">
        <v>33387</v>
      </c>
      <c r="AE7021" t="s">
        <v>4655</v>
      </c>
      <c r="AF7021" t="s">
        <v>5499</v>
      </c>
      <c r="AG7021" t="s">
        <v>4564</v>
      </c>
      <c r="AH7021" t="s">
        <v>1605</v>
      </c>
      <c r="AI7021" t="s">
        <v>27010</v>
      </c>
      <c r="AJ7021" t="s">
        <v>33388</v>
      </c>
      <c r="AK7021" t="s">
        <v>33389</v>
      </c>
      <c r="AL7021" s="13" t="s">
        <v>1899</v>
      </c>
      <c r="AM7021" s="14">
        <v>1</v>
      </c>
      <c r="AN7021" s="15" t="s">
        <v>1606</v>
      </c>
    </row>
    <row r="7022" spans="1:40" x14ac:dyDescent="0.3">
      <c r="A7022" s="10" t="str">
        <f>HYPERLINK("http://www.washoecounty.gov/assessor/cama/?parid=516-094-06&amp;CardNumber=1","516-094-06")</f>
        <v>516-094-06</v>
      </c>
      <c r="B7022" t="s">
        <v>4655</v>
      </c>
      <c r="C7022" t="s">
        <v>33390</v>
      </c>
      <c r="D7022" s="1">
        <v>40183</v>
      </c>
      <c r="E7022" s="2">
        <v>182900</v>
      </c>
      <c r="F7022" t="s">
        <v>4553</v>
      </c>
      <c r="G7022" s="17" t="str">
        <f>HYPERLINK("https://www.washoecounty.gov/assessor/cama/?command=sales&amp;parid=51609406","3836364")</f>
        <v>3836364</v>
      </c>
      <c r="H7022" t="s">
        <v>33385</v>
      </c>
      <c r="I7022">
        <v>1997</v>
      </c>
      <c r="J7022">
        <v>1997</v>
      </c>
      <c r="K7022" t="s">
        <v>4554</v>
      </c>
      <c r="L7022" t="s">
        <v>3974</v>
      </c>
      <c r="M7022" s="2">
        <v>2016</v>
      </c>
      <c r="N7022" t="s">
        <v>4048</v>
      </c>
      <c r="O7022">
        <v>4</v>
      </c>
      <c r="P7022">
        <v>2</v>
      </c>
      <c r="Q7022">
        <v>1</v>
      </c>
      <c r="R7022" t="s">
        <v>5281</v>
      </c>
      <c r="S7022" t="s">
        <v>4558</v>
      </c>
      <c r="T7022" t="s">
        <v>4559</v>
      </c>
      <c r="U7022" t="s">
        <v>4560</v>
      </c>
      <c r="V7022" s="2">
        <v>580</v>
      </c>
      <c r="W7022" t="s">
        <v>4655</v>
      </c>
      <c r="X7022" s="2">
        <v>0</v>
      </c>
      <c r="Y7022">
        <v>20</v>
      </c>
      <c r="Z7022" t="s">
        <v>1604</v>
      </c>
      <c r="AA7022" s="3">
        <v>0.18099173903465299</v>
      </c>
      <c r="AB7022" t="s">
        <v>33391</v>
      </c>
      <c r="AC7022" t="s">
        <v>4562</v>
      </c>
      <c r="AD7022" t="s">
        <v>33392</v>
      </c>
      <c r="AE7022" t="s">
        <v>4655</v>
      </c>
      <c r="AF7022" t="s">
        <v>5201</v>
      </c>
      <c r="AG7022" t="s">
        <v>4564</v>
      </c>
      <c r="AH7022" t="s">
        <v>1605</v>
      </c>
      <c r="AI7022" t="s">
        <v>4655</v>
      </c>
      <c r="AJ7022" t="s">
        <v>33393</v>
      </c>
      <c r="AK7022" t="s">
        <v>33394</v>
      </c>
      <c r="AL7022" s="13" t="s">
        <v>1899</v>
      </c>
      <c r="AM7022">
        <v>1</v>
      </c>
      <c r="AN7022" s="15" t="s">
        <v>1606</v>
      </c>
    </row>
    <row r="7023" spans="1:40" x14ac:dyDescent="0.3">
      <c r="A7023" s="10" t="str">
        <f>HYPERLINK("http://www.washoecounty.gov/assessor/cama/?parid=516-111-06&amp;CardNumber=1","516-111-06")</f>
        <v>516-111-06</v>
      </c>
      <c r="B7023" t="s">
        <v>4655</v>
      </c>
      <c r="C7023" t="s">
        <v>33395</v>
      </c>
      <c r="D7023" s="1">
        <v>40451</v>
      </c>
      <c r="E7023" s="2">
        <v>220000</v>
      </c>
      <c r="F7023" t="s">
        <v>4567</v>
      </c>
      <c r="G7023" s="17" t="str">
        <f>HYPERLINK("https://www.washoecounty.gov/assessor/cama/?command=sales&amp;parid=51611106","3927977")</f>
        <v>3927977</v>
      </c>
      <c r="H7023" t="s">
        <v>33396</v>
      </c>
      <c r="I7023">
        <v>1996</v>
      </c>
      <c r="J7023">
        <v>1996</v>
      </c>
      <c r="K7023" t="s">
        <v>4554</v>
      </c>
      <c r="L7023" t="s">
        <v>3974</v>
      </c>
      <c r="M7023" s="2">
        <v>2561</v>
      </c>
      <c r="N7023" t="s">
        <v>5280</v>
      </c>
      <c r="O7023">
        <v>3</v>
      </c>
      <c r="P7023">
        <v>2</v>
      </c>
      <c r="Q7023">
        <v>1</v>
      </c>
      <c r="R7023" t="s">
        <v>5281</v>
      </c>
      <c r="S7023" t="s">
        <v>4558</v>
      </c>
      <c r="T7023" t="s">
        <v>4559</v>
      </c>
      <c r="U7023" t="s">
        <v>5631</v>
      </c>
      <c r="V7023" s="2">
        <v>605</v>
      </c>
      <c r="W7023" t="s">
        <v>4655</v>
      </c>
      <c r="X7023" s="2">
        <v>0</v>
      </c>
      <c r="Y7023">
        <v>20</v>
      </c>
      <c r="Z7023" t="s">
        <v>1604</v>
      </c>
      <c r="AA7023" s="3">
        <v>0.266000926494598</v>
      </c>
      <c r="AB7023" t="s">
        <v>33397</v>
      </c>
      <c r="AC7023" t="s">
        <v>4575</v>
      </c>
      <c r="AD7023" t="s">
        <v>33398</v>
      </c>
      <c r="AE7023" t="s">
        <v>33395</v>
      </c>
      <c r="AF7023" t="s">
        <v>5201</v>
      </c>
      <c r="AG7023" t="s">
        <v>4564</v>
      </c>
      <c r="AH7023" t="s">
        <v>1605</v>
      </c>
      <c r="AI7023" t="s">
        <v>33399</v>
      </c>
      <c r="AJ7023" t="s">
        <v>33400</v>
      </c>
      <c r="AK7023" t="s">
        <v>33401</v>
      </c>
      <c r="AL7023" s="13" t="s">
        <v>1899</v>
      </c>
      <c r="AM7023" s="14">
        <v>1</v>
      </c>
      <c r="AN7023" s="15" t="s">
        <v>1606</v>
      </c>
    </row>
    <row r="7024" spans="1:40" x14ac:dyDescent="0.3">
      <c r="A7024" s="10" t="str">
        <f>HYPERLINK("http://www.washoecounty.gov/assessor/cama/?parid=516-113-11&amp;CardNumber=1","516-113-11")</f>
        <v>516-113-11</v>
      </c>
      <c r="B7024" t="s">
        <v>4655</v>
      </c>
      <c r="C7024" t="s">
        <v>33402</v>
      </c>
      <c r="D7024" s="1">
        <v>40354</v>
      </c>
      <c r="E7024" s="2">
        <v>225000</v>
      </c>
      <c r="F7024" t="s">
        <v>4567</v>
      </c>
      <c r="G7024" s="17" t="str">
        <f>HYPERLINK("https://www.washoecounty.gov/assessor/cama/?command=sales&amp;parid=51611311","3895426")</f>
        <v>3895426</v>
      </c>
      <c r="H7024" t="s">
        <v>33396</v>
      </c>
      <c r="I7024">
        <v>1996</v>
      </c>
      <c r="J7024">
        <v>1996</v>
      </c>
      <c r="K7024" t="s">
        <v>4554</v>
      </c>
      <c r="L7024" t="s">
        <v>3974</v>
      </c>
      <c r="M7024" s="2">
        <v>2561</v>
      </c>
      <c r="N7024" t="s">
        <v>5280</v>
      </c>
      <c r="O7024">
        <v>3</v>
      </c>
      <c r="P7024">
        <v>2</v>
      </c>
      <c r="Q7024">
        <v>1</v>
      </c>
      <c r="R7024" t="s">
        <v>4557</v>
      </c>
      <c r="S7024" t="s">
        <v>4558</v>
      </c>
      <c r="T7024" t="s">
        <v>4559</v>
      </c>
      <c r="U7024" t="s">
        <v>5631</v>
      </c>
      <c r="V7024" s="2">
        <v>605</v>
      </c>
      <c r="W7024" t="s">
        <v>4655</v>
      </c>
      <c r="X7024" s="2">
        <v>0</v>
      </c>
      <c r="Y7024">
        <v>20</v>
      </c>
      <c r="Z7024" t="s">
        <v>1604</v>
      </c>
      <c r="AA7024" s="3">
        <v>0.21701101958751701</v>
      </c>
      <c r="AB7024" t="s">
        <v>33403</v>
      </c>
      <c r="AC7024" t="s">
        <v>4562</v>
      </c>
      <c r="AD7024" t="s">
        <v>33404</v>
      </c>
      <c r="AE7024" t="s">
        <v>4655</v>
      </c>
      <c r="AF7024" t="s">
        <v>4563</v>
      </c>
      <c r="AG7024" t="s">
        <v>4564</v>
      </c>
      <c r="AH7024">
        <v>89509</v>
      </c>
      <c r="AI7024" t="s">
        <v>33405</v>
      </c>
      <c r="AJ7024" t="s">
        <v>33406</v>
      </c>
      <c r="AK7024" t="s">
        <v>33407</v>
      </c>
      <c r="AL7024" s="13" t="s">
        <v>1899</v>
      </c>
      <c r="AM7024">
        <v>1</v>
      </c>
      <c r="AN7024" s="15" t="s">
        <v>1606</v>
      </c>
    </row>
    <row r="7025" spans="1:40" x14ac:dyDescent="0.3">
      <c r="A7025" s="10" t="str">
        <f>HYPERLINK("http://www.washoecounty.gov/assessor/cama/?parid=516-123-01&amp;CardNumber=1","516-123-01")</f>
        <v>516-123-01</v>
      </c>
      <c r="B7025" t="s">
        <v>4655</v>
      </c>
      <c r="C7025" t="s">
        <v>33408</v>
      </c>
      <c r="D7025" s="1">
        <v>40421</v>
      </c>
      <c r="E7025" s="2">
        <v>155000</v>
      </c>
      <c r="F7025" t="s">
        <v>4567</v>
      </c>
      <c r="G7025" s="17" t="str">
        <f>HYPERLINK("https://www.washoecounty.gov/assessor/cama/?command=sales&amp;parid=51612301","3917581")</f>
        <v>3917581</v>
      </c>
      <c r="H7025" t="s">
        <v>3265</v>
      </c>
      <c r="I7025">
        <v>1997</v>
      </c>
      <c r="J7025">
        <v>1997</v>
      </c>
      <c r="K7025" t="s">
        <v>4554</v>
      </c>
      <c r="L7025" t="s">
        <v>4555</v>
      </c>
      <c r="M7025" s="2">
        <v>1647</v>
      </c>
      <c r="N7025" t="s">
        <v>4048</v>
      </c>
      <c r="O7025">
        <v>3</v>
      </c>
      <c r="P7025">
        <v>2</v>
      </c>
      <c r="Q7025">
        <v>0</v>
      </c>
      <c r="R7025" t="s">
        <v>5281</v>
      </c>
      <c r="S7025" t="s">
        <v>4558</v>
      </c>
      <c r="T7025" t="s">
        <v>4559</v>
      </c>
      <c r="U7025" t="s">
        <v>4560</v>
      </c>
      <c r="V7025" s="2">
        <v>560</v>
      </c>
      <c r="W7025" t="s">
        <v>4655</v>
      </c>
      <c r="X7025" s="2">
        <v>0</v>
      </c>
      <c r="Y7025">
        <v>20</v>
      </c>
      <c r="Z7025" t="s">
        <v>1604</v>
      </c>
      <c r="AA7025" s="3">
        <v>0.14898990094661699</v>
      </c>
      <c r="AB7025" t="s">
        <v>33409</v>
      </c>
      <c r="AC7025" t="s">
        <v>4562</v>
      </c>
      <c r="AD7025" t="s">
        <v>33408</v>
      </c>
      <c r="AE7025" t="s">
        <v>4655</v>
      </c>
      <c r="AF7025" t="s">
        <v>5201</v>
      </c>
      <c r="AG7025" t="s">
        <v>4564</v>
      </c>
      <c r="AH7025" t="s">
        <v>1605</v>
      </c>
      <c r="AI7025" t="s">
        <v>33410</v>
      </c>
      <c r="AJ7025" t="s">
        <v>33411</v>
      </c>
      <c r="AK7025" t="s">
        <v>33412</v>
      </c>
      <c r="AL7025" s="13" t="s">
        <v>1899</v>
      </c>
      <c r="AM7025">
        <v>1</v>
      </c>
      <c r="AN7025" s="15" t="s">
        <v>1606</v>
      </c>
    </row>
    <row r="7026" spans="1:40" x14ac:dyDescent="0.3">
      <c r="A7026" s="10" t="str">
        <f>HYPERLINK("http://www.washoecounty.gov/assessor/cama/?parid=516-123-06&amp;CardNumber=1","516-123-06")</f>
        <v>516-123-06</v>
      </c>
      <c r="B7026" t="s">
        <v>4655</v>
      </c>
      <c r="C7026" t="s">
        <v>33413</v>
      </c>
      <c r="D7026" s="1">
        <v>40382</v>
      </c>
      <c r="E7026" s="2">
        <v>205000</v>
      </c>
      <c r="F7026" t="s">
        <v>4553</v>
      </c>
      <c r="G7026" s="17" t="str">
        <f>HYPERLINK("https://www.washoecounty.gov/assessor/cama/?command=sales&amp;parid=51612306","3904310")</f>
        <v>3904310</v>
      </c>
      <c r="H7026" t="s">
        <v>3265</v>
      </c>
      <c r="I7026">
        <v>1997</v>
      </c>
      <c r="J7026">
        <v>1997</v>
      </c>
      <c r="K7026" t="s">
        <v>4554</v>
      </c>
      <c r="L7026" t="s">
        <v>3974</v>
      </c>
      <c r="M7026" s="2">
        <v>2807</v>
      </c>
      <c r="N7026" t="s">
        <v>4048</v>
      </c>
      <c r="O7026">
        <v>4</v>
      </c>
      <c r="P7026">
        <v>3</v>
      </c>
      <c r="Q7026">
        <v>0</v>
      </c>
      <c r="R7026" t="s">
        <v>5281</v>
      </c>
      <c r="S7026" t="s">
        <v>4558</v>
      </c>
      <c r="T7026" t="s">
        <v>4559</v>
      </c>
      <c r="U7026" t="s">
        <v>5631</v>
      </c>
      <c r="V7026" s="2">
        <v>644</v>
      </c>
      <c r="W7026" t="s">
        <v>4655</v>
      </c>
      <c r="X7026" s="2">
        <v>0</v>
      </c>
      <c r="Y7026">
        <v>20</v>
      </c>
      <c r="Z7026" t="s">
        <v>1604</v>
      </c>
      <c r="AA7026" s="3">
        <v>0.141000911593437</v>
      </c>
      <c r="AB7026" t="s">
        <v>33414</v>
      </c>
      <c r="AC7026" t="s">
        <v>4562</v>
      </c>
      <c r="AD7026" t="s">
        <v>33413</v>
      </c>
      <c r="AE7026" t="s">
        <v>4655</v>
      </c>
      <c r="AF7026" t="s">
        <v>5201</v>
      </c>
      <c r="AG7026" t="s">
        <v>4564</v>
      </c>
      <c r="AH7026" t="s">
        <v>1605</v>
      </c>
      <c r="AI7026" t="s">
        <v>4655</v>
      </c>
      <c r="AJ7026" t="s">
        <v>33415</v>
      </c>
      <c r="AK7026" t="s">
        <v>33416</v>
      </c>
      <c r="AL7026" s="13" t="s">
        <v>1899</v>
      </c>
      <c r="AM7026" s="14">
        <v>1</v>
      </c>
      <c r="AN7026" s="15" t="s">
        <v>1606</v>
      </c>
    </row>
    <row r="7027" spans="1:40" x14ac:dyDescent="0.3">
      <c r="A7027" s="10" t="str">
        <f>HYPERLINK("http://www.washoecounty.gov/assessor/cama/?parid=516-124-05&amp;CardNumber=1","516-124-05")</f>
        <v>516-124-05</v>
      </c>
      <c r="B7027" t="s">
        <v>4655</v>
      </c>
      <c r="C7027" t="s">
        <v>33417</v>
      </c>
      <c r="D7027" s="1">
        <v>40416</v>
      </c>
      <c r="E7027" s="2">
        <v>171000</v>
      </c>
      <c r="F7027" t="s">
        <v>4553</v>
      </c>
      <c r="G7027" s="17" t="str">
        <f>HYPERLINK("https://www.washoecounty.gov/assessor/cama/?command=sales&amp;parid=51612405","3915922")</f>
        <v>3915922</v>
      </c>
      <c r="H7027" t="s">
        <v>3265</v>
      </c>
      <c r="I7027">
        <v>1997</v>
      </c>
      <c r="J7027">
        <v>1997</v>
      </c>
      <c r="K7027" t="s">
        <v>4554</v>
      </c>
      <c r="L7027" t="s">
        <v>4555</v>
      </c>
      <c r="M7027" s="2">
        <v>1418</v>
      </c>
      <c r="N7027" t="s">
        <v>4048</v>
      </c>
      <c r="O7027">
        <v>3</v>
      </c>
      <c r="P7027">
        <v>2</v>
      </c>
      <c r="Q7027">
        <v>0</v>
      </c>
      <c r="R7027" t="s">
        <v>5281</v>
      </c>
      <c r="S7027" t="s">
        <v>4558</v>
      </c>
      <c r="T7027" t="s">
        <v>4559</v>
      </c>
      <c r="U7027" t="s">
        <v>4560</v>
      </c>
      <c r="V7027" s="2">
        <v>556</v>
      </c>
      <c r="W7027" t="s">
        <v>4655</v>
      </c>
      <c r="X7027" s="2">
        <v>0</v>
      </c>
      <c r="Y7027">
        <v>20</v>
      </c>
      <c r="Z7027" t="s">
        <v>1604</v>
      </c>
      <c r="AA7027" s="3">
        <v>0.17100550234317799</v>
      </c>
      <c r="AB7027" t="s">
        <v>33418</v>
      </c>
      <c r="AC7027" t="s">
        <v>4562</v>
      </c>
      <c r="AD7027" t="s">
        <v>33417</v>
      </c>
      <c r="AE7027" t="s">
        <v>4655</v>
      </c>
      <c r="AF7027" t="s">
        <v>5201</v>
      </c>
      <c r="AG7027" t="s">
        <v>4564</v>
      </c>
      <c r="AH7027" t="s">
        <v>1605</v>
      </c>
      <c r="AI7027" t="s">
        <v>4903</v>
      </c>
      <c r="AJ7027" t="s">
        <v>33419</v>
      </c>
      <c r="AK7027" t="s">
        <v>33420</v>
      </c>
      <c r="AL7027" s="13" t="s">
        <v>1899</v>
      </c>
      <c r="AM7027" s="14">
        <v>1</v>
      </c>
      <c r="AN7027" s="15" t="s">
        <v>1606</v>
      </c>
    </row>
    <row r="7028" spans="1:40" x14ac:dyDescent="0.3">
      <c r="A7028" s="10" t="str">
        <f>HYPERLINK("http://www.washoecounty.gov/assessor/cama/?parid=516-132-09&amp;CardNumber=1","516-132-09")</f>
        <v>516-132-09</v>
      </c>
      <c r="B7028" t="s">
        <v>4655</v>
      </c>
      <c r="C7028" t="s">
        <v>33421</v>
      </c>
      <c r="D7028" s="1">
        <v>40288</v>
      </c>
      <c r="E7028" s="2">
        <v>189000</v>
      </c>
      <c r="F7028" t="s">
        <v>4553</v>
      </c>
      <c r="G7028" s="17" t="str">
        <f>HYPERLINK("https://www.washoecounty.gov/assessor/cama/?command=sales&amp;parid=51613209","3872796")</f>
        <v>3872796</v>
      </c>
      <c r="H7028" t="s">
        <v>4795</v>
      </c>
      <c r="I7028">
        <v>1999</v>
      </c>
      <c r="J7028">
        <v>1999</v>
      </c>
      <c r="K7028" t="s">
        <v>4554</v>
      </c>
      <c r="L7028" t="s">
        <v>3974</v>
      </c>
      <c r="M7028" s="2">
        <v>2061</v>
      </c>
      <c r="N7028" t="s">
        <v>4048</v>
      </c>
      <c r="O7028">
        <v>4</v>
      </c>
      <c r="P7028">
        <v>2</v>
      </c>
      <c r="Q7028">
        <v>1</v>
      </c>
      <c r="R7028" t="s">
        <v>4557</v>
      </c>
      <c r="S7028" t="s">
        <v>4558</v>
      </c>
      <c r="T7028" t="s">
        <v>4559</v>
      </c>
      <c r="U7028" t="s">
        <v>4560</v>
      </c>
      <c r="V7028" s="2">
        <v>500</v>
      </c>
      <c r="W7028" t="s">
        <v>4655</v>
      </c>
      <c r="X7028" s="2">
        <v>0</v>
      </c>
      <c r="Y7028">
        <v>20</v>
      </c>
      <c r="Z7028" t="s">
        <v>1604</v>
      </c>
      <c r="AA7028" s="3">
        <v>0.14600551128387501</v>
      </c>
      <c r="AB7028" t="s">
        <v>33422</v>
      </c>
      <c r="AC7028" t="s">
        <v>4562</v>
      </c>
      <c r="AD7028" t="s">
        <v>33423</v>
      </c>
      <c r="AE7028" t="s">
        <v>4655</v>
      </c>
      <c r="AF7028" t="s">
        <v>5201</v>
      </c>
      <c r="AG7028" t="s">
        <v>4564</v>
      </c>
      <c r="AH7028" t="s">
        <v>1605</v>
      </c>
      <c r="AI7028" t="s">
        <v>4202</v>
      </c>
      <c r="AJ7028" t="s">
        <v>33424</v>
      </c>
      <c r="AK7028" t="s">
        <v>33425</v>
      </c>
      <c r="AL7028" s="13" t="s">
        <v>1899</v>
      </c>
      <c r="AM7028" s="14">
        <v>1</v>
      </c>
      <c r="AN7028" s="15" t="s">
        <v>1606</v>
      </c>
    </row>
    <row r="7029" spans="1:40" x14ac:dyDescent="0.3">
      <c r="A7029" s="10" t="str">
        <f>HYPERLINK("http://www.washoecounty.gov/assessor/cama/?parid=516-132-14&amp;CardNumber=1","516-132-14")</f>
        <v>516-132-14</v>
      </c>
      <c r="B7029" t="s">
        <v>4655</v>
      </c>
      <c r="C7029" t="s">
        <v>33426</v>
      </c>
      <c r="D7029" s="1">
        <v>40396</v>
      </c>
      <c r="E7029" s="2">
        <v>202000</v>
      </c>
      <c r="F7029" t="s">
        <v>4553</v>
      </c>
      <c r="G7029" s="17" t="str">
        <f>HYPERLINK("https://www.washoecounty.gov/assessor/cama/?command=sales&amp;parid=51613214","3909465")</f>
        <v>3909465</v>
      </c>
      <c r="H7029" t="s">
        <v>4795</v>
      </c>
      <c r="I7029">
        <v>2000</v>
      </c>
      <c r="J7029">
        <v>2000</v>
      </c>
      <c r="K7029" t="s">
        <v>4554</v>
      </c>
      <c r="L7029" t="s">
        <v>3974</v>
      </c>
      <c r="M7029" s="2">
        <v>2492</v>
      </c>
      <c r="N7029" t="s">
        <v>4048</v>
      </c>
      <c r="O7029">
        <v>4</v>
      </c>
      <c r="P7029">
        <v>2</v>
      </c>
      <c r="Q7029">
        <v>1</v>
      </c>
      <c r="R7029" t="s">
        <v>4557</v>
      </c>
      <c r="S7029" t="s">
        <v>4558</v>
      </c>
      <c r="T7029" t="s">
        <v>4559</v>
      </c>
      <c r="U7029" t="s">
        <v>4560</v>
      </c>
      <c r="V7029" s="2">
        <v>404</v>
      </c>
      <c r="W7029" t="s">
        <v>4655</v>
      </c>
      <c r="X7029" s="2">
        <v>0</v>
      </c>
      <c r="Y7029">
        <v>20</v>
      </c>
      <c r="Z7029" t="s">
        <v>1604</v>
      </c>
      <c r="AA7029" s="3">
        <v>0.14499540627002699</v>
      </c>
      <c r="AB7029" t="s">
        <v>33427</v>
      </c>
      <c r="AC7029" t="s">
        <v>4562</v>
      </c>
      <c r="AD7029" t="s">
        <v>33428</v>
      </c>
      <c r="AE7029" t="s">
        <v>4655</v>
      </c>
      <c r="AF7029" t="s">
        <v>5201</v>
      </c>
      <c r="AG7029" t="s">
        <v>4564</v>
      </c>
      <c r="AH7029" t="s">
        <v>1605</v>
      </c>
      <c r="AI7029" t="s">
        <v>4655</v>
      </c>
      <c r="AJ7029" t="s">
        <v>33429</v>
      </c>
      <c r="AK7029" t="s">
        <v>33430</v>
      </c>
      <c r="AL7029" s="13" t="s">
        <v>1899</v>
      </c>
      <c r="AM7029">
        <v>1</v>
      </c>
      <c r="AN7029" s="15" t="s">
        <v>1606</v>
      </c>
    </row>
    <row r="7030" spans="1:40" x14ac:dyDescent="0.3">
      <c r="A7030" s="10" t="str">
        <f>HYPERLINK("http://www.washoecounty.gov/assessor/cama/?parid=516-134-06&amp;CardNumber=1","516-134-06")</f>
        <v>516-134-06</v>
      </c>
      <c r="B7030" t="s">
        <v>4655</v>
      </c>
      <c r="C7030" t="s">
        <v>33431</v>
      </c>
      <c r="D7030" s="1">
        <v>40466</v>
      </c>
      <c r="E7030" s="2">
        <v>180400</v>
      </c>
      <c r="F7030" t="s">
        <v>4553</v>
      </c>
      <c r="G7030" s="17" t="str">
        <f>HYPERLINK("https://www.washoecounty.gov/assessor/cama/?command=sales&amp;parid=51613406","3933415")</f>
        <v>3933415</v>
      </c>
      <c r="H7030" t="s">
        <v>4795</v>
      </c>
      <c r="I7030">
        <v>2000</v>
      </c>
      <c r="J7030">
        <v>2000</v>
      </c>
      <c r="K7030" t="s">
        <v>4554</v>
      </c>
      <c r="L7030" t="s">
        <v>4555</v>
      </c>
      <c r="M7030" s="2">
        <v>2062</v>
      </c>
      <c r="N7030" t="s">
        <v>4048</v>
      </c>
      <c r="O7030">
        <v>3</v>
      </c>
      <c r="P7030">
        <v>2</v>
      </c>
      <c r="Q7030">
        <v>1</v>
      </c>
      <c r="R7030" t="s">
        <v>4557</v>
      </c>
      <c r="S7030" t="s">
        <v>4558</v>
      </c>
      <c r="T7030" t="s">
        <v>4559</v>
      </c>
      <c r="U7030" t="s">
        <v>4560</v>
      </c>
      <c r="V7030" s="2">
        <v>550</v>
      </c>
      <c r="W7030" t="s">
        <v>4655</v>
      </c>
      <c r="X7030" s="2">
        <v>0</v>
      </c>
      <c r="Y7030">
        <v>20</v>
      </c>
      <c r="Z7030" t="s">
        <v>1604</v>
      </c>
      <c r="AA7030" s="3">
        <v>0.14499540627002699</v>
      </c>
      <c r="AB7030" t="s">
        <v>33432</v>
      </c>
      <c r="AC7030" t="s">
        <v>4562</v>
      </c>
      <c r="AD7030" t="s">
        <v>33433</v>
      </c>
      <c r="AE7030" t="s">
        <v>4655</v>
      </c>
      <c r="AF7030" t="s">
        <v>4809</v>
      </c>
      <c r="AG7030" t="s">
        <v>4564</v>
      </c>
      <c r="AH7030" t="s">
        <v>1605</v>
      </c>
      <c r="AI7030" t="s">
        <v>4503</v>
      </c>
      <c r="AJ7030" t="s">
        <v>33434</v>
      </c>
      <c r="AK7030" t="s">
        <v>33435</v>
      </c>
      <c r="AL7030" s="13" t="s">
        <v>1899</v>
      </c>
      <c r="AM7030">
        <v>1</v>
      </c>
      <c r="AN7030" s="15" t="s">
        <v>1606</v>
      </c>
    </row>
    <row r="7031" spans="1:40" x14ac:dyDescent="0.3">
      <c r="A7031" s="10" t="str">
        <f>HYPERLINK("http://www.washoecounty.gov/assessor/cama/?parid=516-141-17&amp;CardNumber=1","516-141-17")</f>
        <v>516-141-17</v>
      </c>
      <c r="B7031" t="s">
        <v>4655</v>
      </c>
      <c r="C7031" t="s">
        <v>33436</v>
      </c>
      <c r="D7031" s="1">
        <v>40451</v>
      </c>
      <c r="E7031" s="2">
        <v>125000</v>
      </c>
      <c r="F7031" t="s">
        <v>4567</v>
      </c>
      <c r="G7031" s="17" t="str">
        <f>HYPERLINK("https://www.washoecounty.gov/assessor/cama/?command=sales&amp;parid=51614117","3928219")</f>
        <v>3928219</v>
      </c>
      <c r="H7031" t="s">
        <v>33437</v>
      </c>
      <c r="I7031">
        <v>2001</v>
      </c>
      <c r="J7031">
        <v>2001</v>
      </c>
      <c r="K7031" t="s">
        <v>4554</v>
      </c>
      <c r="L7031" t="s">
        <v>4555</v>
      </c>
      <c r="M7031" s="2">
        <v>1205</v>
      </c>
      <c r="N7031" t="s">
        <v>5280</v>
      </c>
      <c r="O7031">
        <v>3</v>
      </c>
      <c r="P7031">
        <v>2</v>
      </c>
      <c r="Q7031">
        <v>0</v>
      </c>
      <c r="R7031" t="s">
        <v>4557</v>
      </c>
      <c r="S7031" t="s">
        <v>4898</v>
      </c>
      <c r="T7031" t="s">
        <v>4559</v>
      </c>
      <c r="U7031" t="s">
        <v>4560</v>
      </c>
      <c r="V7031" s="2">
        <v>420</v>
      </c>
      <c r="W7031" t="s">
        <v>4655</v>
      </c>
      <c r="X7031" s="2">
        <v>0</v>
      </c>
      <c r="Y7031">
        <v>20</v>
      </c>
      <c r="Z7031" t="s">
        <v>1604</v>
      </c>
      <c r="AA7031" s="3">
        <v>0.10500459372997301</v>
      </c>
      <c r="AB7031" t="s">
        <v>33438</v>
      </c>
      <c r="AC7031" t="s">
        <v>4575</v>
      </c>
      <c r="AD7031" t="s">
        <v>33436</v>
      </c>
      <c r="AE7031" t="s">
        <v>4655</v>
      </c>
      <c r="AF7031" t="s">
        <v>5201</v>
      </c>
      <c r="AG7031" t="s">
        <v>4564</v>
      </c>
      <c r="AH7031" t="s">
        <v>1605</v>
      </c>
      <c r="AI7031" t="s">
        <v>33439</v>
      </c>
      <c r="AJ7031" t="s">
        <v>33440</v>
      </c>
      <c r="AK7031" t="s">
        <v>33441</v>
      </c>
      <c r="AL7031" s="13" t="s">
        <v>1899</v>
      </c>
      <c r="AM7031">
        <v>1</v>
      </c>
      <c r="AN7031" s="15" t="s">
        <v>592</v>
      </c>
    </row>
    <row r="7032" spans="1:40" x14ac:dyDescent="0.3">
      <c r="A7032" s="10" t="str">
        <f>HYPERLINK("http://www.washoecounty.gov/assessor/cama/?parid=516-141-20&amp;CardNumber=1","516-141-20")</f>
        <v>516-141-20</v>
      </c>
      <c r="B7032" t="s">
        <v>4655</v>
      </c>
      <c r="C7032" t="s">
        <v>33442</v>
      </c>
      <c r="D7032" s="1">
        <v>40247</v>
      </c>
      <c r="E7032" s="2">
        <v>129000</v>
      </c>
      <c r="F7032" t="s">
        <v>4567</v>
      </c>
      <c r="G7032" s="17" t="str">
        <f>HYPERLINK("https://www.washoecounty.gov/assessor/cama/?command=sales&amp;parid=51614120","3858118")</f>
        <v>3858118</v>
      </c>
      <c r="H7032" t="s">
        <v>33437</v>
      </c>
      <c r="I7032">
        <v>2001</v>
      </c>
      <c r="J7032">
        <v>2001</v>
      </c>
      <c r="K7032" t="s">
        <v>4554</v>
      </c>
      <c r="L7032" t="s">
        <v>4555</v>
      </c>
      <c r="M7032" s="2">
        <v>1096</v>
      </c>
      <c r="N7032" t="s">
        <v>5280</v>
      </c>
      <c r="O7032">
        <v>2</v>
      </c>
      <c r="P7032">
        <v>2</v>
      </c>
      <c r="Q7032">
        <v>0</v>
      </c>
      <c r="R7032" t="s">
        <v>4557</v>
      </c>
      <c r="S7032" t="s">
        <v>4898</v>
      </c>
      <c r="T7032" t="s">
        <v>4559</v>
      </c>
      <c r="U7032" t="s">
        <v>4560</v>
      </c>
      <c r="V7032" s="2">
        <v>420</v>
      </c>
      <c r="W7032" t="s">
        <v>4655</v>
      </c>
      <c r="X7032" s="2">
        <v>0</v>
      </c>
      <c r="Y7032">
        <v>20</v>
      </c>
      <c r="Z7032" t="s">
        <v>1604</v>
      </c>
      <c r="AA7032" s="3">
        <v>0.10599173605442</v>
      </c>
      <c r="AB7032" t="s">
        <v>33443</v>
      </c>
      <c r="AC7032" t="s">
        <v>4562</v>
      </c>
      <c r="AD7032" t="s">
        <v>33442</v>
      </c>
      <c r="AE7032" t="s">
        <v>4655</v>
      </c>
      <c r="AF7032" t="s">
        <v>5201</v>
      </c>
      <c r="AG7032" t="s">
        <v>4564</v>
      </c>
      <c r="AH7032" t="s">
        <v>1605</v>
      </c>
      <c r="AI7032" t="s">
        <v>33444</v>
      </c>
      <c r="AJ7032" t="s">
        <v>33445</v>
      </c>
      <c r="AK7032" t="s">
        <v>33446</v>
      </c>
      <c r="AL7032" s="13" t="s">
        <v>1899</v>
      </c>
      <c r="AM7032" s="14">
        <v>1</v>
      </c>
      <c r="AN7032" s="15" t="s">
        <v>592</v>
      </c>
    </row>
    <row r="7033" spans="1:40" x14ac:dyDescent="0.3">
      <c r="A7033" s="10" t="str">
        <f>HYPERLINK("http://www.washoecounty.gov/assessor/cama/?parid=516-144-01&amp;CardNumber=1","516-144-01")</f>
        <v>516-144-01</v>
      </c>
      <c r="B7033" t="s">
        <v>4655</v>
      </c>
      <c r="C7033" t="s">
        <v>33447</v>
      </c>
      <c r="D7033" s="1">
        <v>40316</v>
      </c>
      <c r="E7033" s="2">
        <v>121000</v>
      </c>
      <c r="F7033" t="s">
        <v>4553</v>
      </c>
      <c r="G7033" s="17" t="str">
        <f>HYPERLINK("https://www.washoecounty.gov/assessor/cama/?command=sales&amp;parid=51614401","3882734")</f>
        <v>3882734</v>
      </c>
      <c r="H7033" t="s">
        <v>33437</v>
      </c>
      <c r="I7033">
        <v>2001</v>
      </c>
      <c r="J7033">
        <v>2001</v>
      </c>
      <c r="K7033" t="s">
        <v>4554</v>
      </c>
      <c r="L7033" t="s">
        <v>4555</v>
      </c>
      <c r="M7033" s="2">
        <v>1096</v>
      </c>
      <c r="N7033" t="s">
        <v>5280</v>
      </c>
      <c r="O7033">
        <v>2</v>
      </c>
      <c r="P7033">
        <v>2</v>
      </c>
      <c r="Q7033">
        <v>0</v>
      </c>
      <c r="R7033" t="s">
        <v>5281</v>
      </c>
      <c r="S7033" t="s">
        <v>4898</v>
      </c>
      <c r="T7033" t="s">
        <v>4559</v>
      </c>
      <c r="U7033" t="s">
        <v>4560</v>
      </c>
      <c r="V7033" s="2">
        <v>420</v>
      </c>
      <c r="W7033" t="s">
        <v>4655</v>
      </c>
      <c r="X7033" s="2">
        <v>0</v>
      </c>
      <c r="Y7033">
        <v>20</v>
      </c>
      <c r="Z7033" t="s">
        <v>1604</v>
      </c>
      <c r="AA7033" s="3">
        <v>0.11799816042184801</v>
      </c>
      <c r="AB7033" t="s">
        <v>33448</v>
      </c>
      <c r="AC7033" t="s">
        <v>4562</v>
      </c>
      <c r="AD7033" t="s">
        <v>33447</v>
      </c>
      <c r="AE7033" t="s">
        <v>4655</v>
      </c>
      <c r="AF7033" t="s">
        <v>5201</v>
      </c>
      <c r="AG7033" t="s">
        <v>4564</v>
      </c>
      <c r="AH7033" t="s">
        <v>1605</v>
      </c>
      <c r="AI7033" t="s">
        <v>4045</v>
      </c>
      <c r="AJ7033" t="s">
        <v>33449</v>
      </c>
      <c r="AK7033" t="s">
        <v>33450</v>
      </c>
      <c r="AL7033" s="13" t="s">
        <v>1899</v>
      </c>
      <c r="AM7033" s="14">
        <v>1</v>
      </c>
      <c r="AN7033" s="15" t="s">
        <v>592</v>
      </c>
    </row>
    <row r="7034" spans="1:40" x14ac:dyDescent="0.3">
      <c r="A7034" s="10" t="str">
        <f>HYPERLINK("http://www.washoecounty.gov/assessor/cama/?parid=516-152-01&amp;CardNumber=1","516-152-01")</f>
        <v>516-152-01</v>
      </c>
      <c r="B7034" t="s">
        <v>4655</v>
      </c>
      <c r="C7034" t="s">
        <v>33451</v>
      </c>
      <c r="D7034" s="1">
        <v>40515</v>
      </c>
      <c r="E7034" s="2">
        <v>153000</v>
      </c>
      <c r="F7034" t="s">
        <v>4567</v>
      </c>
      <c r="G7034" s="17" t="str">
        <f>HYPERLINK("https://www.washoecounty.gov/assessor/cama/?command=sales&amp;parid=51615201","3948943")</f>
        <v>3948943</v>
      </c>
      <c r="H7034" t="s">
        <v>5189</v>
      </c>
      <c r="I7034">
        <v>2001</v>
      </c>
      <c r="J7034">
        <v>2001</v>
      </c>
      <c r="K7034" t="s">
        <v>4554</v>
      </c>
      <c r="L7034" t="s">
        <v>4555</v>
      </c>
      <c r="M7034" s="2">
        <v>1558</v>
      </c>
      <c r="N7034" t="s">
        <v>4048</v>
      </c>
      <c r="O7034">
        <v>3</v>
      </c>
      <c r="P7034">
        <v>2</v>
      </c>
      <c r="Q7034">
        <v>0</v>
      </c>
      <c r="R7034" t="s">
        <v>4557</v>
      </c>
      <c r="S7034" t="s">
        <v>4558</v>
      </c>
      <c r="T7034" t="s">
        <v>4559</v>
      </c>
      <c r="U7034" t="s">
        <v>4560</v>
      </c>
      <c r="V7034" s="2">
        <v>400</v>
      </c>
      <c r="W7034" t="s">
        <v>4655</v>
      </c>
      <c r="X7034" s="2">
        <v>0</v>
      </c>
      <c r="Y7034">
        <v>20</v>
      </c>
      <c r="Z7034" t="s">
        <v>1604</v>
      </c>
      <c r="AA7034" s="3">
        <v>0.16299356520175901</v>
      </c>
      <c r="AB7034" t="s">
        <v>33452</v>
      </c>
      <c r="AC7034" t="s">
        <v>4562</v>
      </c>
      <c r="AD7034" t="s">
        <v>33451</v>
      </c>
      <c r="AE7034" t="s">
        <v>4655</v>
      </c>
      <c r="AF7034" t="s">
        <v>5201</v>
      </c>
      <c r="AG7034" t="s">
        <v>4564</v>
      </c>
      <c r="AH7034" t="s">
        <v>1605</v>
      </c>
      <c r="AI7034" t="s">
        <v>33453</v>
      </c>
      <c r="AJ7034" t="s">
        <v>33454</v>
      </c>
      <c r="AK7034" t="s">
        <v>33455</v>
      </c>
      <c r="AL7034" s="13" t="s">
        <v>1899</v>
      </c>
      <c r="AM7034" s="14">
        <v>1</v>
      </c>
      <c r="AN7034" s="15" t="s">
        <v>1607</v>
      </c>
    </row>
    <row r="7035" spans="1:40" x14ac:dyDescent="0.3">
      <c r="A7035" s="10" t="str">
        <f>HYPERLINK("http://www.washoecounty.gov/assessor/cama/?parid=516-152-04&amp;CardNumber=1","516-152-04")</f>
        <v>516-152-04</v>
      </c>
      <c r="B7035" t="s">
        <v>4655</v>
      </c>
      <c r="C7035" t="s">
        <v>33456</v>
      </c>
      <c r="D7035" s="1">
        <v>40438</v>
      </c>
      <c r="E7035" s="2">
        <v>179900</v>
      </c>
      <c r="F7035" t="s">
        <v>4553</v>
      </c>
      <c r="G7035" s="17" t="str">
        <f>HYPERLINK("https://www.washoecounty.gov/assessor/cama/?command=sales&amp;parid=51615204","3923727")</f>
        <v>3923727</v>
      </c>
      <c r="H7035" t="s">
        <v>5189</v>
      </c>
      <c r="I7035">
        <v>2001</v>
      </c>
      <c r="J7035">
        <v>2001</v>
      </c>
      <c r="K7035" t="s">
        <v>4554</v>
      </c>
      <c r="L7035" t="s">
        <v>3974</v>
      </c>
      <c r="M7035" s="2">
        <v>2079</v>
      </c>
      <c r="N7035" t="s">
        <v>4048</v>
      </c>
      <c r="O7035">
        <v>3</v>
      </c>
      <c r="P7035">
        <v>2</v>
      </c>
      <c r="Q7035">
        <v>0</v>
      </c>
      <c r="R7035" t="s">
        <v>4557</v>
      </c>
      <c r="S7035" t="s">
        <v>4558</v>
      </c>
      <c r="T7035" t="s">
        <v>4559</v>
      </c>
      <c r="U7035" t="s">
        <v>4560</v>
      </c>
      <c r="V7035" s="2">
        <v>380</v>
      </c>
      <c r="W7035" t="s">
        <v>4655</v>
      </c>
      <c r="X7035" s="2">
        <v>0</v>
      </c>
      <c r="Y7035">
        <v>20</v>
      </c>
      <c r="Z7035" t="s">
        <v>1604</v>
      </c>
      <c r="AA7035" s="3">
        <v>0.13999082148075101</v>
      </c>
      <c r="AB7035" t="s">
        <v>33457</v>
      </c>
      <c r="AC7035" t="s">
        <v>4562</v>
      </c>
      <c r="AD7035" t="s">
        <v>33458</v>
      </c>
      <c r="AE7035" t="s">
        <v>4655</v>
      </c>
      <c r="AF7035" t="s">
        <v>5201</v>
      </c>
      <c r="AG7035" t="s">
        <v>4564</v>
      </c>
      <c r="AH7035" t="s">
        <v>1605</v>
      </c>
      <c r="AI7035" t="s">
        <v>33459</v>
      </c>
      <c r="AJ7035" t="s">
        <v>33460</v>
      </c>
      <c r="AK7035" t="s">
        <v>33461</v>
      </c>
      <c r="AL7035" s="13" t="s">
        <v>1899</v>
      </c>
      <c r="AM7035" s="14">
        <v>1</v>
      </c>
      <c r="AN7035" s="15" t="s">
        <v>1607</v>
      </c>
    </row>
    <row r="7036" spans="1:40" x14ac:dyDescent="0.3">
      <c r="A7036" s="10" t="str">
        <f>HYPERLINK("http://www.washoecounty.gov/assessor/cama/?parid=516-163-02&amp;CardNumber=1","516-163-02")</f>
        <v>516-163-02</v>
      </c>
      <c r="B7036" t="s">
        <v>4655</v>
      </c>
      <c r="C7036" t="s">
        <v>33462</v>
      </c>
      <c r="D7036" s="1">
        <v>40290</v>
      </c>
      <c r="E7036" s="2">
        <v>150000</v>
      </c>
      <c r="F7036" t="s">
        <v>4567</v>
      </c>
      <c r="G7036" s="17" t="str">
        <f>HYPERLINK("https://www.washoecounty.gov/assessor/cama/?command=sales&amp;parid=51616302","3873638")</f>
        <v>3873638</v>
      </c>
      <c r="H7036" t="s">
        <v>2053</v>
      </c>
      <c r="I7036">
        <v>1998</v>
      </c>
      <c r="J7036">
        <v>1998</v>
      </c>
      <c r="K7036" t="s">
        <v>4554</v>
      </c>
      <c r="L7036" t="s">
        <v>4555</v>
      </c>
      <c r="M7036" s="2">
        <v>1270</v>
      </c>
      <c r="N7036" t="s">
        <v>5280</v>
      </c>
      <c r="O7036">
        <v>3</v>
      </c>
      <c r="P7036">
        <v>2</v>
      </c>
      <c r="Q7036">
        <v>0</v>
      </c>
      <c r="R7036" t="s">
        <v>5281</v>
      </c>
      <c r="S7036" t="s">
        <v>4558</v>
      </c>
      <c r="T7036" t="s">
        <v>4559</v>
      </c>
      <c r="U7036" t="s">
        <v>4560</v>
      </c>
      <c r="V7036" s="2">
        <v>454</v>
      </c>
      <c r="W7036" t="s">
        <v>4655</v>
      </c>
      <c r="X7036" s="2">
        <v>0</v>
      </c>
      <c r="Y7036">
        <v>20</v>
      </c>
      <c r="Z7036" t="s">
        <v>1604</v>
      </c>
      <c r="AA7036" s="3">
        <v>0.13900367915630299</v>
      </c>
      <c r="AB7036" t="s">
        <v>33463</v>
      </c>
      <c r="AC7036" t="s">
        <v>4562</v>
      </c>
      <c r="AD7036" t="s">
        <v>33462</v>
      </c>
      <c r="AE7036" t="s">
        <v>4655</v>
      </c>
      <c r="AF7036" t="s">
        <v>5201</v>
      </c>
      <c r="AG7036" t="s">
        <v>4564</v>
      </c>
      <c r="AH7036" t="s">
        <v>1605</v>
      </c>
      <c r="AI7036" t="s">
        <v>33464</v>
      </c>
      <c r="AJ7036" t="s">
        <v>33465</v>
      </c>
      <c r="AK7036" t="s">
        <v>33466</v>
      </c>
      <c r="AL7036" s="13" t="s">
        <v>1899</v>
      </c>
      <c r="AM7036">
        <v>1</v>
      </c>
      <c r="AN7036" s="15" t="s">
        <v>1607</v>
      </c>
    </row>
    <row r="7037" spans="1:40" x14ac:dyDescent="0.3">
      <c r="A7037" s="10" t="str">
        <f>HYPERLINK("http://www.washoecounty.gov/assessor/cama/?parid=516-164-05&amp;CardNumber=1","516-164-05")</f>
        <v>516-164-05</v>
      </c>
      <c r="B7037" t="s">
        <v>4655</v>
      </c>
      <c r="C7037" t="s">
        <v>33467</v>
      </c>
      <c r="D7037" s="1">
        <v>40263</v>
      </c>
      <c r="E7037" s="2">
        <v>190000</v>
      </c>
      <c r="F7037" t="s">
        <v>4567</v>
      </c>
      <c r="G7037" s="17" t="str">
        <f>HYPERLINK("https://www.washoecounty.gov/assessor/cama/?command=sales&amp;parid=51616405","3864501")</f>
        <v>3864501</v>
      </c>
      <c r="H7037" t="s">
        <v>2053</v>
      </c>
      <c r="I7037">
        <v>1999</v>
      </c>
      <c r="J7037">
        <v>1999</v>
      </c>
      <c r="K7037" t="s">
        <v>4554</v>
      </c>
      <c r="L7037" t="s">
        <v>4555</v>
      </c>
      <c r="M7037" s="2">
        <v>1670</v>
      </c>
      <c r="N7037" t="s">
        <v>5280</v>
      </c>
      <c r="O7037">
        <v>3</v>
      </c>
      <c r="P7037">
        <v>2</v>
      </c>
      <c r="Q7037">
        <v>0</v>
      </c>
      <c r="R7037" t="s">
        <v>5281</v>
      </c>
      <c r="S7037" t="s">
        <v>4558</v>
      </c>
      <c r="T7037" t="s">
        <v>4559</v>
      </c>
      <c r="U7037" t="s">
        <v>4560</v>
      </c>
      <c r="V7037" s="2">
        <v>528</v>
      </c>
      <c r="W7037" t="s">
        <v>4655</v>
      </c>
      <c r="X7037" s="2">
        <v>0</v>
      </c>
      <c r="Y7037">
        <v>20</v>
      </c>
      <c r="Z7037" t="s">
        <v>1604</v>
      </c>
      <c r="AA7037" s="3">
        <v>0.18298898637294769</v>
      </c>
      <c r="AB7037" t="s">
        <v>33468</v>
      </c>
      <c r="AC7037" t="s">
        <v>4562</v>
      </c>
      <c r="AD7037" t="s">
        <v>33469</v>
      </c>
      <c r="AE7037" t="s">
        <v>4655</v>
      </c>
      <c r="AF7037" t="s">
        <v>5201</v>
      </c>
      <c r="AG7037" t="s">
        <v>4564</v>
      </c>
      <c r="AH7037" t="s">
        <v>1605</v>
      </c>
      <c r="AI7037" t="s">
        <v>33470</v>
      </c>
      <c r="AJ7037" t="s">
        <v>33471</v>
      </c>
      <c r="AK7037" t="s">
        <v>33472</v>
      </c>
      <c r="AL7037" s="13" t="s">
        <v>1899</v>
      </c>
      <c r="AM7037">
        <v>1</v>
      </c>
      <c r="AN7037" s="15" t="s">
        <v>1607</v>
      </c>
    </row>
    <row r="7038" spans="1:40" x14ac:dyDescent="0.3">
      <c r="A7038" s="10" t="str">
        <f>HYPERLINK("http://www.washoecounty.gov/assessor/cama/?parid=516-172-12&amp;CardNumber=1","516-172-12")</f>
        <v>516-172-12</v>
      </c>
      <c r="B7038" t="s">
        <v>4655</v>
      </c>
      <c r="C7038" t="s">
        <v>33473</v>
      </c>
      <c r="D7038" s="1">
        <v>40312</v>
      </c>
      <c r="E7038" s="2">
        <v>215000</v>
      </c>
      <c r="F7038" t="s">
        <v>4553</v>
      </c>
      <c r="G7038" s="17" t="str">
        <f>HYPERLINK("https://www.washoecounty.gov/assessor/cama/?command=sales&amp;parid=51617212","3881492")</f>
        <v>3881492</v>
      </c>
      <c r="H7038" t="s">
        <v>3212</v>
      </c>
      <c r="I7038">
        <v>2000</v>
      </c>
      <c r="J7038">
        <v>2000</v>
      </c>
      <c r="K7038" t="s">
        <v>4554</v>
      </c>
      <c r="L7038" t="s">
        <v>4555</v>
      </c>
      <c r="M7038" s="2">
        <v>1816</v>
      </c>
      <c r="N7038" t="s">
        <v>5280</v>
      </c>
      <c r="O7038">
        <v>4</v>
      </c>
      <c r="P7038">
        <v>2</v>
      </c>
      <c r="Q7038">
        <v>0</v>
      </c>
      <c r="R7038" t="s">
        <v>5281</v>
      </c>
      <c r="S7038" t="s">
        <v>4558</v>
      </c>
      <c r="T7038" t="s">
        <v>4559</v>
      </c>
      <c r="U7038" t="s">
        <v>4560</v>
      </c>
      <c r="V7038" s="2">
        <v>576</v>
      </c>
      <c r="W7038" t="s">
        <v>4655</v>
      </c>
      <c r="X7038" s="2">
        <v>0</v>
      </c>
      <c r="Y7038">
        <v>20</v>
      </c>
      <c r="Z7038" t="s">
        <v>1604</v>
      </c>
      <c r="AA7038" s="3">
        <v>0.148002758622169</v>
      </c>
      <c r="AB7038" t="s">
        <v>33474</v>
      </c>
      <c r="AC7038" t="s">
        <v>4562</v>
      </c>
      <c r="AD7038" t="s">
        <v>33473</v>
      </c>
      <c r="AE7038" t="s">
        <v>4655</v>
      </c>
      <c r="AF7038" t="s">
        <v>5201</v>
      </c>
      <c r="AG7038" t="s">
        <v>4564</v>
      </c>
      <c r="AH7038" t="s">
        <v>1605</v>
      </c>
      <c r="AI7038" t="s">
        <v>4903</v>
      </c>
      <c r="AJ7038" t="s">
        <v>33475</v>
      </c>
      <c r="AK7038" t="s">
        <v>33476</v>
      </c>
      <c r="AL7038" s="13" t="s">
        <v>1899</v>
      </c>
      <c r="AM7038">
        <v>1</v>
      </c>
      <c r="AN7038" s="15" t="s">
        <v>1607</v>
      </c>
    </row>
    <row r="7039" spans="1:40" x14ac:dyDescent="0.3">
      <c r="A7039" s="10" t="str">
        <f>HYPERLINK("http://www.washoecounty.gov/assessor/cama/?parid=516-174-03&amp;CardNumber=1","516-174-03")</f>
        <v>516-174-03</v>
      </c>
      <c r="B7039" t="s">
        <v>4655</v>
      </c>
      <c r="C7039" t="s">
        <v>33477</v>
      </c>
      <c r="D7039" s="1">
        <v>40367</v>
      </c>
      <c r="E7039" s="2">
        <v>234000</v>
      </c>
      <c r="F7039" t="s">
        <v>4553</v>
      </c>
      <c r="G7039" s="17" t="str">
        <f>HYPERLINK("https://www.washoecounty.gov/assessor/cama/?command=sales&amp;parid=51617403","3899402")</f>
        <v>3899402</v>
      </c>
      <c r="H7039" t="s">
        <v>3212</v>
      </c>
      <c r="I7039">
        <v>2000</v>
      </c>
      <c r="J7039">
        <v>2000</v>
      </c>
      <c r="K7039" t="s">
        <v>4554</v>
      </c>
      <c r="L7039" t="s">
        <v>3974</v>
      </c>
      <c r="M7039" s="2">
        <v>2583</v>
      </c>
      <c r="N7039" t="s">
        <v>5280</v>
      </c>
      <c r="O7039">
        <v>3</v>
      </c>
      <c r="P7039">
        <v>3</v>
      </c>
      <c r="Q7039">
        <v>0</v>
      </c>
      <c r="R7039" t="s">
        <v>5281</v>
      </c>
      <c r="S7039" t="s">
        <v>4558</v>
      </c>
      <c r="T7039" t="s">
        <v>4559</v>
      </c>
      <c r="U7039" t="s">
        <v>4560</v>
      </c>
      <c r="V7039" s="2">
        <v>616</v>
      </c>
      <c r="W7039" t="s">
        <v>4655</v>
      </c>
      <c r="X7039" s="2">
        <v>0</v>
      </c>
      <c r="Y7039">
        <v>20</v>
      </c>
      <c r="Z7039" t="s">
        <v>1604</v>
      </c>
      <c r="AA7039" s="3">
        <v>0.20300734043121299</v>
      </c>
      <c r="AB7039" t="s">
        <v>33478</v>
      </c>
      <c r="AC7039" t="s">
        <v>4575</v>
      </c>
      <c r="AD7039" t="s">
        <v>33477</v>
      </c>
      <c r="AE7039" t="s">
        <v>4655</v>
      </c>
      <c r="AF7039" t="s">
        <v>5201</v>
      </c>
      <c r="AG7039" t="s">
        <v>4564</v>
      </c>
      <c r="AH7039" t="s">
        <v>1605</v>
      </c>
      <c r="AI7039" t="s">
        <v>3068</v>
      </c>
      <c r="AJ7039" t="s">
        <v>33479</v>
      </c>
      <c r="AK7039" t="s">
        <v>33480</v>
      </c>
      <c r="AL7039" s="13" t="s">
        <v>1899</v>
      </c>
      <c r="AM7039">
        <v>1</v>
      </c>
      <c r="AN7039" s="15" t="s">
        <v>1607</v>
      </c>
    </row>
    <row r="7040" spans="1:40" x14ac:dyDescent="0.3">
      <c r="A7040" s="10" t="str">
        <f>HYPERLINK("http://www.washoecounty.gov/assessor/cama/?parid=516-181-03&amp;CardNumber=1","516-181-03")</f>
        <v>516-181-03</v>
      </c>
      <c r="B7040" t="s">
        <v>4655</v>
      </c>
      <c r="C7040" t="s">
        <v>33481</v>
      </c>
      <c r="D7040" s="1">
        <v>40479</v>
      </c>
      <c r="E7040" s="2">
        <v>190000</v>
      </c>
      <c r="F7040" t="s">
        <v>4567</v>
      </c>
      <c r="G7040" s="17" t="str">
        <f>HYPERLINK("https://www.washoecounty.gov/assessor/cama/?command=sales&amp;parid=51618103","3937792")</f>
        <v>3937792</v>
      </c>
      <c r="H7040" t="s">
        <v>2094</v>
      </c>
      <c r="I7040">
        <v>1996</v>
      </c>
      <c r="J7040">
        <v>1996</v>
      </c>
      <c r="K7040" t="s">
        <v>4554</v>
      </c>
      <c r="L7040" t="s">
        <v>3974</v>
      </c>
      <c r="M7040" s="2">
        <v>2097</v>
      </c>
      <c r="N7040" t="s">
        <v>5280</v>
      </c>
      <c r="O7040">
        <v>4</v>
      </c>
      <c r="P7040">
        <v>3</v>
      </c>
      <c r="Q7040">
        <v>0</v>
      </c>
      <c r="R7040" t="s">
        <v>4557</v>
      </c>
      <c r="S7040" t="s">
        <v>4558</v>
      </c>
      <c r="T7040" t="s">
        <v>4559</v>
      </c>
      <c r="U7040" t="s">
        <v>4560</v>
      </c>
      <c r="V7040" s="2">
        <v>609</v>
      </c>
      <c r="W7040" t="s">
        <v>4655</v>
      </c>
      <c r="X7040" s="2">
        <v>0</v>
      </c>
      <c r="Y7040">
        <v>20</v>
      </c>
      <c r="Z7040" t="s">
        <v>1604</v>
      </c>
      <c r="AA7040" s="3">
        <v>0.16299356520175901</v>
      </c>
      <c r="AB7040" t="s">
        <v>33482</v>
      </c>
      <c r="AC7040" t="s">
        <v>4575</v>
      </c>
      <c r="AD7040" t="s">
        <v>33483</v>
      </c>
      <c r="AE7040" t="s">
        <v>4655</v>
      </c>
      <c r="AF7040" t="s">
        <v>1018</v>
      </c>
      <c r="AG7040" t="s">
        <v>4584</v>
      </c>
      <c r="AH7040">
        <v>94501</v>
      </c>
      <c r="AI7040" t="s">
        <v>33484</v>
      </c>
      <c r="AJ7040" t="s">
        <v>33485</v>
      </c>
      <c r="AK7040" t="s">
        <v>33486</v>
      </c>
      <c r="AL7040" s="13" t="s">
        <v>1899</v>
      </c>
      <c r="AM7040">
        <v>1</v>
      </c>
      <c r="AN7040" s="15" t="s">
        <v>1607</v>
      </c>
    </row>
    <row r="7041" spans="1:40" x14ac:dyDescent="0.3">
      <c r="A7041" s="10" t="str">
        <f>HYPERLINK("http://www.washoecounty.gov/assessor/cama/?parid=516-182-03&amp;CardNumber=1","516-182-03")</f>
        <v>516-182-03</v>
      </c>
      <c r="B7041" t="s">
        <v>4655</v>
      </c>
      <c r="C7041" t="s">
        <v>33487</v>
      </c>
      <c r="D7041" s="1">
        <v>40378</v>
      </c>
      <c r="E7041" s="2">
        <v>238472</v>
      </c>
      <c r="F7041" t="s">
        <v>4567</v>
      </c>
      <c r="G7041" s="17" t="str">
        <f>HYPERLINK("https://www.washoecounty.gov/assessor/cama/?command=sales&amp;parid=51618203","3902668")</f>
        <v>3902668</v>
      </c>
      <c r="H7041" t="s">
        <v>2094</v>
      </c>
      <c r="I7041">
        <v>1996</v>
      </c>
      <c r="J7041">
        <v>1996</v>
      </c>
      <c r="K7041" t="s">
        <v>4554</v>
      </c>
      <c r="L7041" t="s">
        <v>3974</v>
      </c>
      <c r="M7041" s="2">
        <v>2772</v>
      </c>
      <c r="N7041" t="s">
        <v>5280</v>
      </c>
      <c r="O7041">
        <v>4</v>
      </c>
      <c r="P7041">
        <v>3</v>
      </c>
      <c r="Q7041">
        <v>0</v>
      </c>
      <c r="R7041" t="s">
        <v>4557</v>
      </c>
      <c r="S7041" t="s">
        <v>4558</v>
      </c>
      <c r="T7041" t="s">
        <v>4559</v>
      </c>
      <c r="U7041" t="s">
        <v>5631</v>
      </c>
      <c r="V7041" s="2">
        <v>587</v>
      </c>
      <c r="W7041" t="s">
        <v>4655</v>
      </c>
      <c r="X7041" s="2">
        <v>0</v>
      </c>
      <c r="Y7041">
        <v>20</v>
      </c>
      <c r="Z7041" t="s">
        <v>1604</v>
      </c>
      <c r="AA7041" s="3">
        <v>0.21000918745994601</v>
      </c>
      <c r="AB7041" t="s">
        <v>33488</v>
      </c>
      <c r="AC7041" t="s">
        <v>4562</v>
      </c>
      <c r="AD7041" t="s">
        <v>33487</v>
      </c>
      <c r="AE7041" t="s">
        <v>4655</v>
      </c>
      <c r="AF7041" t="s">
        <v>5201</v>
      </c>
      <c r="AG7041" t="s">
        <v>4564</v>
      </c>
      <c r="AH7041" t="s">
        <v>1605</v>
      </c>
      <c r="AI7041" t="s">
        <v>33489</v>
      </c>
      <c r="AJ7041" t="s">
        <v>33490</v>
      </c>
      <c r="AK7041" t="s">
        <v>33491</v>
      </c>
      <c r="AL7041" s="13" t="s">
        <v>1899</v>
      </c>
      <c r="AM7041" s="14">
        <v>1</v>
      </c>
      <c r="AN7041" s="15" t="s">
        <v>1607</v>
      </c>
    </row>
    <row r="7042" spans="1:40" x14ac:dyDescent="0.3">
      <c r="A7042" s="10" t="str">
        <f>HYPERLINK("http://www.washoecounty.gov/assessor/cama/?parid=516-182-13&amp;CardNumber=1","516-182-13")</f>
        <v>516-182-13</v>
      </c>
      <c r="B7042" t="s">
        <v>4655</v>
      </c>
      <c r="C7042" t="s">
        <v>33492</v>
      </c>
      <c r="D7042" s="1">
        <v>40249</v>
      </c>
      <c r="E7042" s="2">
        <v>170000</v>
      </c>
      <c r="F7042" t="s">
        <v>4567</v>
      </c>
      <c r="G7042" s="17" t="str">
        <f>HYPERLINK("https://www.washoecounty.gov/assessor/cama/?command=sales&amp;parid=51618213","3859405")</f>
        <v>3859405</v>
      </c>
      <c r="H7042" t="s">
        <v>2094</v>
      </c>
      <c r="I7042">
        <v>1996</v>
      </c>
      <c r="J7042">
        <v>1996</v>
      </c>
      <c r="K7042" t="s">
        <v>4554</v>
      </c>
      <c r="L7042" t="s">
        <v>4555</v>
      </c>
      <c r="M7042" s="2">
        <v>1670</v>
      </c>
      <c r="N7042" t="s">
        <v>5280</v>
      </c>
      <c r="O7042">
        <v>3</v>
      </c>
      <c r="P7042">
        <v>2</v>
      </c>
      <c r="Q7042">
        <v>0</v>
      </c>
      <c r="R7042" t="s">
        <v>4557</v>
      </c>
      <c r="S7042" t="s">
        <v>4558</v>
      </c>
      <c r="T7042" t="s">
        <v>4559</v>
      </c>
      <c r="U7042" t="s">
        <v>4560</v>
      </c>
      <c r="V7042" s="2">
        <v>528</v>
      </c>
      <c r="W7042" t="s">
        <v>4655</v>
      </c>
      <c r="X7042" s="2">
        <v>0</v>
      </c>
      <c r="Y7042">
        <v>20</v>
      </c>
      <c r="Z7042" t="s">
        <v>1604</v>
      </c>
      <c r="AA7042" s="3">
        <v>0.16499081254005399</v>
      </c>
      <c r="AB7042" t="s">
        <v>33493</v>
      </c>
      <c r="AC7042" t="s">
        <v>4562</v>
      </c>
      <c r="AD7042" t="s">
        <v>33492</v>
      </c>
      <c r="AE7042" t="s">
        <v>4655</v>
      </c>
      <c r="AF7042" t="s">
        <v>5201</v>
      </c>
      <c r="AG7042" t="s">
        <v>4564</v>
      </c>
      <c r="AH7042" t="s">
        <v>1605</v>
      </c>
      <c r="AI7042" t="s">
        <v>33494</v>
      </c>
      <c r="AJ7042" t="s">
        <v>33495</v>
      </c>
      <c r="AK7042" t="s">
        <v>33496</v>
      </c>
      <c r="AL7042" s="13" t="s">
        <v>1899</v>
      </c>
      <c r="AM7042">
        <v>1</v>
      </c>
      <c r="AN7042" s="15" t="s">
        <v>1607</v>
      </c>
    </row>
    <row r="7043" spans="1:40" x14ac:dyDescent="0.3">
      <c r="A7043" s="10" t="str">
        <f>HYPERLINK("http://www.washoecounty.gov/assessor/cama/?parid=516-221-03&amp;CardNumber=1","516-221-03")</f>
        <v>516-221-03</v>
      </c>
      <c r="B7043" t="s">
        <v>4655</v>
      </c>
      <c r="C7043" t="s">
        <v>33497</v>
      </c>
      <c r="D7043" s="1">
        <v>40347</v>
      </c>
      <c r="E7043" s="2">
        <v>165000</v>
      </c>
      <c r="F7043" t="s">
        <v>4567</v>
      </c>
      <c r="G7043" s="17" t="str">
        <f>HYPERLINK("https://www.washoecounty.gov/assessor/cama/?command=sales&amp;parid=51622103","3893504")</f>
        <v>3893504</v>
      </c>
      <c r="H7043" t="s">
        <v>33498</v>
      </c>
      <c r="I7043">
        <v>2001</v>
      </c>
      <c r="J7043">
        <v>2001</v>
      </c>
      <c r="K7043" t="s">
        <v>4554</v>
      </c>
      <c r="L7043" t="s">
        <v>3974</v>
      </c>
      <c r="M7043" s="2">
        <v>1999</v>
      </c>
      <c r="N7043" t="s">
        <v>4048</v>
      </c>
      <c r="O7043">
        <v>4</v>
      </c>
      <c r="P7043">
        <v>2</v>
      </c>
      <c r="Q7043">
        <v>1</v>
      </c>
      <c r="R7043" t="s">
        <v>5281</v>
      </c>
      <c r="S7043" t="s">
        <v>4558</v>
      </c>
      <c r="T7043" t="s">
        <v>4559</v>
      </c>
      <c r="U7043" t="s">
        <v>4560</v>
      </c>
      <c r="V7043" s="2">
        <v>440</v>
      </c>
      <c r="W7043" t="s">
        <v>4655</v>
      </c>
      <c r="X7043" s="2">
        <v>0</v>
      </c>
      <c r="Y7043">
        <v>20</v>
      </c>
      <c r="Z7043" t="s">
        <v>1604</v>
      </c>
      <c r="AA7043" s="3">
        <v>0.160009175539017</v>
      </c>
      <c r="AB7043" t="s">
        <v>33499</v>
      </c>
      <c r="AC7043" t="s">
        <v>4575</v>
      </c>
      <c r="AD7043" t="s">
        <v>33497</v>
      </c>
      <c r="AE7043" t="s">
        <v>4655</v>
      </c>
      <c r="AF7043" t="s">
        <v>5201</v>
      </c>
      <c r="AG7043" t="s">
        <v>4564</v>
      </c>
      <c r="AH7043" t="s">
        <v>1605</v>
      </c>
      <c r="AI7043" t="s">
        <v>33500</v>
      </c>
      <c r="AJ7043" t="s">
        <v>33501</v>
      </c>
      <c r="AK7043" t="s">
        <v>33502</v>
      </c>
      <c r="AL7043" s="13" t="s">
        <v>1899</v>
      </c>
      <c r="AM7043">
        <v>1</v>
      </c>
      <c r="AN7043" s="15" t="s">
        <v>1607</v>
      </c>
    </row>
    <row r="7044" spans="1:40" x14ac:dyDescent="0.3">
      <c r="A7044" s="10" t="str">
        <f>HYPERLINK("http://www.washoecounty.gov/assessor/cama/?parid=516-223-04&amp;CardNumber=1","516-223-04")</f>
        <v>516-223-04</v>
      </c>
      <c r="B7044" t="s">
        <v>4655</v>
      </c>
      <c r="C7044" t="s">
        <v>33503</v>
      </c>
      <c r="D7044" s="1">
        <v>40184</v>
      </c>
      <c r="E7044" s="2">
        <v>199000</v>
      </c>
      <c r="F7044" t="s">
        <v>4567</v>
      </c>
      <c r="G7044" s="17" t="str">
        <f>HYPERLINK("https://www.washoecounty.gov/assessor/cama/?command=sales&amp;parid=51622304","3836773")</f>
        <v>3836773</v>
      </c>
      <c r="H7044" t="s">
        <v>33504</v>
      </c>
      <c r="I7044">
        <v>2001</v>
      </c>
      <c r="J7044">
        <v>2001</v>
      </c>
      <c r="K7044" t="s">
        <v>4554</v>
      </c>
      <c r="L7044" t="s">
        <v>3974</v>
      </c>
      <c r="M7044" s="2">
        <v>1999</v>
      </c>
      <c r="N7044" t="s">
        <v>4048</v>
      </c>
      <c r="O7044">
        <v>4</v>
      </c>
      <c r="P7044">
        <v>2</v>
      </c>
      <c r="Q7044">
        <v>1</v>
      </c>
      <c r="R7044" t="s">
        <v>5281</v>
      </c>
      <c r="S7044" t="s">
        <v>4558</v>
      </c>
      <c r="T7044" t="s">
        <v>4559</v>
      </c>
      <c r="U7044" t="s">
        <v>4560</v>
      </c>
      <c r="V7044" s="2">
        <v>440</v>
      </c>
      <c r="W7044" t="s">
        <v>4655</v>
      </c>
      <c r="X7044" s="2">
        <v>0</v>
      </c>
      <c r="Y7044">
        <v>20</v>
      </c>
      <c r="Z7044" t="s">
        <v>1604</v>
      </c>
      <c r="AA7044" s="3">
        <v>0.14898990094661699</v>
      </c>
      <c r="AB7044" t="s">
        <v>33505</v>
      </c>
      <c r="AC7044" t="s">
        <v>4575</v>
      </c>
      <c r="AD7044" t="s">
        <v>33503</v>
      </c>
      <c r="AE7044" t="s">
        <v>4655</v>
      </c>
      <c r="AF7044" t="s">
        <v>5201</v>
      </c>
      <c r="AG7044" t="s">
        <v>4564</v>
      </c>
      <c r="AH7044" t="s">
        <v>1605</v>
      </c>
      <c r="AI7044" t="s">
        <v>33506</v>
      </c>
      <c r="AJ7044" t="s">
        <v>33501</v>
      </c>
      <c r="AK7044" t="s">
        <v>33507</v>
      </c>
      <c r="AL7044" s="13" t="s">
        <v>1899</v>
      </c>
      <c r="AM7044">
        <v>1</v>
      </c>
      <c r="AN7044" s="15" t="s">
        <v>1607</v>
      </c>
    </row>
    <row r="7045" spans="1:40" x14ac:dyDescent="0.3">
      <c r="A7045" s="10" t="str">
        <f>HYPERLINK("http://www.washoecounty.gov/assessor/cama/?parid=516-233-06&amp;CardNumber=1","516-233-06")</f>
        <v>516-233-06</v>
      </c>
      <c r="B7045" t="s">
        <v>4655</v>
      </c>
      <c r="C7045" t="s">
        <v>33508</v>
      </c>
      <c r="D7045" s="1">
        <v>40225</v>
      </c>
      <c r="E7045" s="2">
        <v>200000</v>
      </c>
      <c r="F7045" t="s">
        <v>4567</v>
      </c>
      <c r="G7045" s="17" t="str">
        <f>HYPERLINK("https://www.washoecounty.gov/assessor/cama/?command=sales&amp;parid=51623306","3849692")</f>
        <v>3849692</v>
      </c>
      <c r="H7045" t="s">
        <v>5117</v>
      </c>
      <c r="I7045">
        <v>2001</v>
      </c>
      <c r="J7045">
        <v>2001</v>
      </c>
      <c r="K7045" t="s">
        <v>4554</v>
      </c>
      <c r="L7045" t="s">
        <v>4555</v>
      </c>
      <c r="M7045" s="2">
        <v>1840</v>
      </c>
      <c r="N7045" t="s">
        <v>5280</v>
      </c>
      <c r="O7045">
        <v>4</v>
      </c>
      <c r="P7045">
        <v>2</v>
      </c>
      <c r="Q7045">
        <v>0</v>
      </c>
      <c r="R7045" t="s">
        <v>4557</v>
      </c>
      <c r="S7045" t="s">
        <v>4135</v>
      </c>
      <c r="T7045" t="s">
        <v>4559</v>
      </c>
      <c r="U7045" t="s">
        <v>4560</v>
      </c>
      <c r="V7045" s="2">
        <v>572</v>
      </c>
      <c r="W7045" t="s">
        <v>4655</v>
      </c>
      <c r="X7045" s="2">
        <v>0</v>
      </c>
      <c r="Y7045">
        <v>20</v>
      </c>
      <c r="Z7045" t="s">
        <v>1604</v>
      </c>
      <c r="AA7045" s="3">
        <v>0.14499540627002699</v>
      </c>
      <c r="AB7045" t="s">
        <v>33509</v>
      </c>
      <c r="AC7045" t="s">
        <v>4562</v>
      </c>
      <c r="AD7045" t="s">
        <v>33510</v>
      </c>
      <c r="AE7045" t="s">
        <v>4655</v>
      </c>
      <c r="AF7045" t="s">
        <v>5201</v>
      </c>
      <c r="AG7045" t="s">
        <v>4564</v>
      </c>
      <c r="AH7045" t="s">
        <v>1605</v>
      </c>
      <c r="AI7045" t="s">
        <v>33511</v>
      </c>
      <c r="AJ7045" t="s">
        <v>5118</v>
      </c>
      <c r="AK7045" t="s">
        <v>33512</v>
      </c>
      <c r="AL7045" s="13" t="s">
        <v>1899</v>
      </c>
      <c r="AM7045">
        <v>1</v>
      </c>
      <c r="AN7045" s="15" t="s">
        <v>1607</v>
      </c>
    </row>
    <row r="7046" spans="1:40" x14ac:dyDescent="0.3">
      <c r="A7046" s="10" t="str">
        <f>HYPERLINK("http://www.washoecounty.gov/assessor/cama/?parid=516-233-08&amp;CardNumber=1","516-233-08")</f>
        <v>516-233-08</v>
      </c>
      <c r="B7046" t="s">
        <v>4655</v>
      </c>
      <c r="C7046" t="s">
        <v>33513</v>
      </c>
      <c r="D7046" s="1">
        <v>40389</v>
      </c>
      <c r="E7046" s="2">
        <v>211000</v>
      </c>
      <c r="F7046" t="s">
        <v>4567</v>
      </c>
      <c r="G7046" s="17" t="str">
        <f>HYPERLINK("https://www.washoecounty.gov/assessor/cama/?command=sales&amp;parid=51623308","3907415")</f>
        <v>3907415</v>
      </c>
      <c r="H7046" t="s">
        <v>5117</v>
      </c>
      <c r="I7046">
        <v>2001</v>
      </c>
      <c r="J7046">
        <v>2001</v>
      </c>
      <c r="K7046" t="s">
        <v>4554</v>
      </c>
      <c r="L7046" t="s">
        <v>4555</v>
      </c>
      <c r="M7046" s="2">
        <v>1864</v>
      </c>
      <c r="N7046" t="s">
        <v>5280</v>
      </c>
      <c r="O7046">
        <v>4</v>
      </c>
      <c r="P7046">
        <v>2</v>
      </c>
      <c r="Q7046">
        <v>0</v>
      </c>
      <c r="R7046" t="s">
        <v>5281</v>
      </c>
      <c r="S7046" t="s">
        <v>4558</v>
      </c>
      <c r="T7046" t="s">
        <v>4559</v>
      </c>
      <c r="U7046" t="s">
        <v>4560</v>
      </c>
      <c r="V7046" s="2">
        <v>437</v>
      </c>
      <c r="W7046" t="s">
        <v>4655</v>
      </c>
      <c r="X7046" s="2">
        <v>0</v>
      </c>
      <c r="Y7046">
        <v>20</v>
      </c>
      <c r="Z7046" t="s">
        <v>1604</v>
      </c>
      <c r="AA7046" s="3">
        <v>0.25101009011268599</v>
      </c>
      <c r="AB7046" t="s">
        <v>33514</v>
      </c>
      <c r="AC7046" t="s">
        <v>4575</v>
      </c>
      <c r="AD7046" t="s">
        <v>33513</v>
      </c>
      <c r="AE7046" t="s">
        <v>4655</v>
      </c>
      <c r="AF7046" t="s">
        <v>5201</v>
      </c>
      <c r="AG7046" t="s">
        <v>4564</v>
      </c>
      <c r="AH7046" t="s">
        <v>1605</v>
      </c>
      <c r="AI7046" t="s">
        <v>33515</v>
      </c>
      <c r="AJ7046" t="s">
        <v>5118</v>
      </c>
      <c r="AK7046" t="s">
        <v>33516</v>
      </c>
      <c r="AL7046" s="13" t="s">
        <v>1899</v>
      </c>
      <c r="AM7046" s="14">
        <v>1</v>
      </c>
      <c r="AN7046" s="15" t="s">
        <v>1607</v>
      </c>
    </row>
    <row r="7047" spans="1:40" x14ac:dyDescent="0.3">
      <c r="A7047" s="10" t="str">
        <f>HYPERLINK("http://www.washoecounty.gov/assessor/cama/?parid=516-234-12&amp;CardNumber=1","516-234-12")</f>
        <v>516-234-12</v>
      </c>
      <c r="B7047" t="s">
        <v>4655</v>
      </c>
      <c r="C7047" t="s">
        <v>33517</v>
      </c>
      <c r="D7047" s="1">
        <v>40402</v>
      </c>
      <c r="E7047" s="2">
        <v>197000</v>
      </c>
      <c r="F7047" t="s">
        <v>4567</v>
      </c>
      <c r="G7047" s="17" t="str">
        <f>HYPERLINK("https://www.washoecounty.gov/assessor/cama/?command=sales&amp;parid=51623412","3911290")</f>
        <v>3911290</v>
      </c>
      <c r="H7047" t="s">
        <v>5117</v>
      </c>
      <c r="I7047">
        <v>2001</v>
      </c>
      <c r="J7047">
        <v>2001</v>
      </c>
      <c r="K7047" t="s">
        <v>4554</v>
      </c>
      <c r="L7047" t="s">
        <v>4555</v>
      </c>
      <c r="M7047" s="2">
        <v>1864</v>
      </c>
      <c r="N7047" t="s">
        <v>5280</v>
      </c>
      <c r="O7047">
        <v>4</v>
      </c>
      <c r="P7047">
        <v>2</v>
      </c>
      <c r="Q7047">
        <v>0</v>
      </c>
      <c r="R7047" t="s">
        <v>4557</v>
      </c>
      <c r="S7047" t="s">
        <v>4558</v>
      </c>
      <c r="T7047" t="s">
        <v>4559</v>
      </c>
      <c r="U7047" t="s">
        <v>4560</v>
      </c>
      <c r="V7047" s="2">
        <v>437</v>
      </c>
      <c r="W7047" t="s">
        <v>4655</v>
      </c>
      <c r="X7047" s="2">
        <v>0</v>
      </c>
      <c r="Y7047">
        <v>20</v>
      </c>
      <c r="Z7047" t="s">
        <v>1604</v>
      </c>
      <c r="AA7047" s="3">
        <v>0.16600091755390201</v>
      </c>
      <c r="AB7047" t="s">
        <v>33518</v>
      </c>
      <c r="AC7047" t="s">
        <v>4562</v>
      </c>
      <c r="AD7047" t="s">
        <v>33517</v>
      </c>
      <c r="AE7047" t="s">
        <v>4655</v>
      </c>
      <c r="AF7047" t="s">
        <v>5201</v>
      </c>
      <c r="AG7047" t="s">
        <v>4564</v>
      </c>
      <c r="AH7047" t="s">
        <v>1605</v>
      </c>
      <c r="AI7047" t="s">
        <v>4655</v>
      </c>
      <c r="AJ7047" t="s">
        <v>5118</v>
      </c>
      <c r="AK7047" t="s">
        <v>33519</v>
      </c>
      <c r="AL7047" s="13" t="s">
        <v>1899</v>
      </c>
      <c r="AM7047">
        <v>1</v>
      </c>
      <c r="AN7047" s="15" t="s">
        <v>1607</v>
      </c>
    </row>
    <row r="7048" spans="1:40" x14ac:dyDescent="0.3">
      <c r="A7048" s="10" t="str">
        <f>HYPERLINK("http://www.washoecounty.gov/assessor/cama/?parid=516-241-03&amp;CardNumber=1","516-241-03")</f>
        <v>516-241-03</v>
      </c>
      <c r="B7048" t="s">
        <v>4655</v>
      </c>
      <c r="C7048" t="s">
        <v>33520</v>
      </c>
      <c r="D7048" s="1">
        <v>40274</v>
      </c>
      <c r="E7048" s="2">
        <v>145000</v>
      </c>
      <c r="F7048" t="s">
        <v>4567</v>
      </c>
      <c r="G7048" s="17" t="str">
        <f>HYPERLINK("https://www.washoecounty.gov/assessor/cama/?command=sales&amp;parid=51624103","3867956")</f>
        <v>3867956</v>
      </c>
      <c r="H7048" t="s">
        <v>591</v>
      </c>
      <c r="I7048">
        <v>2001</v>
      </c>
      <c r="J7048">
        <v>2001</v>
      </c>
      <c r="K7048" t="s">
        <v>4554</v>
      </c>
      <c r="L7048" t="s">
        <v>3974</v>
      </c>
      <c r="M7048" s="2">
        <v>1501</v>
      </c>
      <c r="N7048" t="s">
        <v>5280</v>
      </c>
      <c r="O7048">
        <v>3</v>
      </c>
      <c r="P7048">
        <v>2</v>
      </c>
      <c r="Q7048">
        <v>1</v>
      </c>
      <c r="R7048" t="s">
        <v>5281</v>
      </c>
      <c r="S7048" t="s">
        <v>4898</v>
      </c>
      <c r="T7048" t="s">
        <v>4559</v>
      </c>
      <c r="U7048" t="s">
        <v>4560</v>
      </c>
      <c r="V7048" s="2">
        <v>400</v>
      </c>
      <c r="W7048" t="s">
        <v>4655</v>
      </c>
      <c r="X7048" s="2">
        <v>0</v>
      </c>
      <c r="Y7048">
        <v>20</v>
      </c>
      <c r="Z7048" t="s">
        <v>1604</v>
      </c>
      <c r="AA7048" s="3">
        <v>0.105188243091106</v>
      </c>
      <c r="AB7048" t="s">
        <v>33521</v>
      </c>
      <c r="AC7048" t="s">
        <v>4575</v>
      </c>
      <c r="AD7048" t="s">
        <v>33522</v>
      </c>
      <c r="AE7048" t="s">
        <v>4655</v>
      </c>
      <c r="AF7048" t="s">
        <v>5201</v>
      </c>
      <c r="AG7048" t="s">
        <v>4564</v>
      </c>
      <c r="AH7048" t="s">
        <v>1605</v>
      </c>
      <c r="AI7048" t="s">
        <v>4655</v>
      </c>
      <c r="AJ7048" t="s">
        <v>1217</v>
      </c>
      <c r="AK7048" t="s">
        <v>33523</v>
      </c>
      <c r="AL7048" s="13" t="s">
        <v>1899</v>
      </c>
      <c r="AM7048" s="14">
        <v>1</v>
      </c>
      <c r="AN7048" s="15" t="s">
        <v>592</v>
      </c>
    </row>
    <row r="7049" spans="1:40" x14ac:dyDescent="0.3">
      <c r="A7049" s="10" t="str">
        <f>HYPERLINK("http://www.washoecounty.gov/assessor/cama/?parid=516-242-05&amp;CardNumber=1","516-242-05")</f>
        <v>516-242-05</v>
      </c>
      <c r="B7049" t="s">
        <v>4655</v>
      </c>
      <c r="C7049" t="s">
        <v>33524</v>
      </c>
      <c r="D7049" s="1">
        <v>40441</v>
      </c>
      <c r="E7049" s="2">
        <v>125000</v>
      </c>
      <c r="F7049" t="s">
        <v>4553</v>
      </c>
      <c r="G7049" s="17" t="str">
        <f>HYPERLINK("https://www.washoecounty.gov/assessor/cama/?command=sales&amp;parid=51624205","3923914")</f>
        <v>3923914</v>
      </c>
      <c r="H7049" t="s">
        <v>5190</v>
      </c>
      <c r="I7049">
        <v>2001</v>
      </c>
      <c r="J7049">
        <v>2001</v>
      </c>
      <c r="K7049" t="s">
        <v>4554</v>
      </c>
      <c r="L7049" t="s">
        <v>4555</v>
      </c>
      <c r="M7049" s="2">
        <v>1096</v>
      </c>
      <c r="N7049" t="s">
        <v>5280</v>
      </c>
      <c r="O7049">
        <v>2</v>
      </c>
      <c r="P7049">
        <v>2</v>
      </c>
      <c r="Q7049">
        <v>0</v>
      </c>
      <c r="R7049" t="s">
        <v>4557</v>
      </c>
      <c r="S7049" t="s">
        <v>4898</v>
      </c>
      <c r="T7049" t="s">
        <v>4559</v>
      </c>
      <c r="U7049" t="s">
        <v>4560</v>
      </c>
      <c r="V7049" s="2">
        <v>420</v>
      </c>
      <c r="W7049" t="s">
        <v>4655</v>
      </c>
      <c r="X7049" s="2">
        <v>0</v>
      </c>
      <c r="Y7049">
        <v>20</v>
      </c>
      <c r="Z7049" t="s">
        <v>1604</v>
      </c>
      <c r="AA7049" s="3">
        <v>0.105785124003887</v>
      </c>
      <c r="AB7049" t="s">
        <v>33525</v>
      </c>
      <c r="AC7049" t="s">
        <v>4562</v>
      </c>
      <c r="AD7049" t="s">
        <v>33526</v>
      </c>
      <c r="AE7049" t="s">
        <v>4655</v>
      </c>
      <c r="AF7049" t="s">
        <v>4809</v>
      </c>
      <c r="AG7049" t="s">
        <v>4564</v>
      </c>
      <c r="AH7049" t="s">
        <v>1605</v>
      </c>
      <c r="AI7049" t="s">
        <v>4903</v>
      </c>
      <c r="AJ7049" t="s">
        <v>1217</v>
      </c>
      <c r="AK7049" t="s">
        <v>33527</v>
      </c>
      <c r="AL7049" s="13" t="s">
        <v>1899</v>
      </c>
      <c r="AM7049" s="14">
        <v>1</v>
      </c>
      <c r="AN7049" s="15" t="s">
        <v>592</v>
      </c>
    </row>
    <row r="7050" spans="1:40" x14ac:dyDescent="0.3">
      <c r="A7050" s="10" t="str">
        <f>HYPERLINK("http://www.washoecounty.gov/assessor/cama/?parid=516-242-14&amp;CardNumber=1","516-242-14")</f>
        <v>516-242-14</v>
      </c>
      <c r="B7050" t="s">
        <v>4655</v>
      </c>
      <c r="C7050" t="s">
        <v>33528</v>
      </c>
      <c r="D7050" s="1">
        <v>40238</v>
      </c>
      <c r="E7050" s="2">
        <v>135000</v>
      </c>
      <c r="F7050" t="s">
        <v>4567</v>
      </c>
      <c r="G7050" s="17" t="str">
        <f>HYPERLINK("https://www.washoecounty.gov/assessor/cama/?command=sales&amp;parid=51624214","3853968")</f>
        <v>3853968</v>
      </c>
      <c r="H7050" t="s">
        <v>591</v>
      </c>
      <c r="I7050">
        <v>2002</v>
      </c>
      <c r="J7050">
        <v>2002</v>
      </c>
      <c r="K7050" t="s">
        <v>4554</v>
      </c>
      <c r="L7050" t="s">
        <v>4555</v>
      </c>
      <c r="M7050" s="2">
        <v>1096</v>
      </c>
      <c r="N7050" t="s">
        <v>5280</v>
      </c>
      <c r="O7050">
        <v>2</v>
      </c>
      <c r="P7050">
        <v>2</v>
      </c>
      <c r="Q7050">
        <v>0</v>
      </c>
      <c r="R7050" t="s">
        <v>5281</v>
      </c>
      <c r="S7050" t="s">
        <v>4898</v>
      </c>
      <c r="T7050" t="s">
        <v>4559</v>
      </c>
      <c r="U7050" t="s">
        <v>4560</v>
      </c>
      <c r="V7050" s="2">
        <v>420</v>
      </c>
      <c r="W7050" t="s">
        <v>4655</v>
      </c>
      <c r="X7050" s="2">
        <v>0</v>
      </c>
      <c r="Y7050">
        <v>20</v>
      </c>
      <c r="Z7050" t="s">
        <v>1604</v>
      </c>
      <c r="AA7050" s="3">
        <v>0.107713498175144</v>
      </c>
      <c r="AB7050" t="s">
        <v>33529</v>
      </c>
      <c r="AC7050" t="s">
        <v>4562</v>
      </c>
      <c r="AD7050" t="s">
        <v>33530</v>
      </c>
      <c r="AE7050" t="s">
        <v>4655</v>
      </c>
      <c r="AF7050" t="s">
        <v>4563</v>
      </c>
      <c r="AG7050" t="s">
        <v>4564</v>
      </c>
      <c r="AH7050">
        <v>89507</v>
      </c>
      <c r="AI7050" t="s">
        <v>33531</v>
      </c>
      <c r="AJ7050" t="s">
        <v>1217</v>
      </c>
      <c r="AK7050" t="s">
        <v>33532</v>
      </c>
      <c r="AL7050" s="13" t="s">
        <v>1899</v>
      </c>
      <c r="AM7050">
        <v>1</v>
      </c>
      <c r="AN7050" s="15" t="s">
        <v>592</v>
      </c>
    </row>
    <row r="7051" spans="1:40" x14ac:dyDescent="0.3">
      <c r="A7051" s="10" t="str">
        <f>HYPERLINK("http://www.washoecounty.gov/assessor/cama/?parid=516-242-15&amp;CardNumber=1","516-242-15")</f>
        <v>516-242-15</v>
      </c>
      <c r="B7051" t="s">
        <v>4655</v>
      </c>
      <c r="C7051" t="s">
        <v>33533</v>
      </c>
      <c r="D7051" s="1">
        <v>40220</v>
      </c>
      <c r="E7051" s="2">
        <v>80000</v>
      </c>
      <c r="F7051" t="s">
        <v>4567</v>
      </c>
      <c r="G7051" s="17" t="str">
        <f>HYPERLINK("https://www.washoecounty.gov/assessor/cama/?command=sales&amp;parid=51624215","3848355")</f>
        <v>3848355</v>
      </c>
      <c r="H7051" t="s">
        <v>591</v>
      </c>
      <c r="I7051">
        <v>2002</v>
      </c>
      <c r="J7051">
        <v>2002</v>
      </c>
      <c r="K7051" t="s">
        <v>4554</v>
      </c>
      <c r="L7051" t="s">
        <v>4555</v>
      </c>
      <c r="M7051" s="2">
        <v>1205</v>
      </c>
      <c r="N7051" t="s">
        <v>5280</v>
      </c>
      <c r="O7051">
        <v>3</v>
      </c>
      <c r="P7051">
        <v>2</v>
      </c>
      <c r="Q7051">
        <v>0</v>
      </c>
      <c r="R7051" t="s">
        <v>5281</v>
      </c>
      <c r="S7051" t="s">
        <v>4898</v>
      </c>
      <c r="T7051" t="s">
        <v>4559</v>
      </c>
      <c r="U7051" t="s">
        <v>4560</v>
      </c>
      <c r="V7051" s="2">
        <v>420</v>
      </c>
      <c r="W7051" t="s">
        <v>4655</v>
      </c>
      <c r="X7051" s="2">
        <v>0</v>
      </c>
      <c r="Y7051">
        <v>20</v>
      </c>
      <c r="Z7051" t="s">
        <v>1604</v>
      </c>
      <c r="AA7051" s="3">
        <v>0.10394857823848699</v>
      </c>
      <c r="AB7051" t="s">
        <v>33534</v>
      </c>
      <c r="AC7051" t="s">
        <v>4562</v>
      </c>
      <c r="AD7051" t="s">
        <v>9211</v>
      </c>
      <c r="AE7051" t="s">
        <v>4655</v>
      </c>
      <c r="AF7051" t="s">
        <v>1821</v>
      </c>
      <c r="AG7051" t="s">
        <v>4564</v>
      </c>
      <c r="AH7051">
        <v>89061</v>
      </c>
      <c r="AI7051" t="s">
        <v>33535</v>
      </c>
      <c r="AJ7051" t="s">
        <v>1217</v>
      </c>
      <c r="AK7051" t="s">
        <v>33536</v>
      </c>
      <c r="AL7051" s="13" t="s">
        <v>1899</v>
      </c>
      <c r="AM7051">
        <v>1</v>
      </c>
      <c r="AN7051" s="15" t="s">
        <v>592</v>
      </c>
    </row>
    <row r="7052" spans="1:40" x14ac:dyDescent="0.3">
      <c r="A7052" s="10" t="str">
        <f>HYPERLINK("http://www.washoecounty.gov/assessor/cama/?parid=516-244-01&amp;CardNumber=1","516-244-01")</f>
        <v>516-244-01</v>
      </c>
      <c r="B7052" t="s">
        <v>4655</v>
      </c>
      <c r="C7052" t="s">
        <v>33537</v>
      </c>
      <c r="D7052" s="1">
        <v>40471</v>
      </c>
      <c r="E7052" s="2">
        <v>164800</v>
      </c>
      <c r="F7052" t="s">
        <v>4553</v>
      </c>
      <c r="G7052" s="17" t="str">
        <f>HYPERLINK("https://www.washoecounty.gov/assessor/cama/?command=sales&amp;parid=51624401","3934934")</f>
        <v>3934934</v>
      </c>
      <c r="H7052" t="s">
        <v>591</v>
      </c>
      <c r="I7052">
        <v>2002</v>
      </c>
      <c r="J7052">
        <v>2002</v>
      </c>
      <c r="K7052" t="s">
        <v>4554</v>
      </c>
      <c r="L7052" t="s">
        <v>3974</v>
      </c>
      <c r="M7052" s="2">
        <v>1910</v>
      </c>
      <c r="N7052" t="s">
        <v>5280</v>
      </c>
      <c r="O7052">
        <v>4</v>
      </c>
      <c r="P7052">
        <v>3</v>
      </c>
      <c r="Q7052">
        <v>1</v>
      </c>
      <c r="R7052" t="s">
        <v>5281</v>
      </c>
      <c r="S7052" t="s">
        <v>4898</v>
      </c>
      <c r="T7052" t="s">
        <v>4559</v>
      </c>
      <c r="U7052" t="s">
        <v>5631</v>
      </c>
      <c r="V7052" s="2">
        <v>400</v>
      </c>
      <c r="W7052" t="s">
        <v>4655</v>
      </c>
      <c r="X7052" s="2">
        <v>0</v>
      </c>
      <c r="Y7052">
        <v>20</v>
      </c>
      <c r="Z7052" t="s">
        <v>1604</v>
      </c>
      <c r="AA7052" s="3">
        <v>0.110720843076706</v>
      </c>
      <c r="AB7052" t="s">
        <v>33538</v>
      </c>
      <c r="AC7052" t="s">
        <v>4562</v>
      </c>
      <c r="AD7052" t="s">
        <v>33539</v>
      </c>
      <c r="AE7052" t="s">
        <v>4655</v>
      </c>
      <c r="AF7052" t="s">
        <v>33540</v>
      </c>
      <c r="AG7052" t="s">
        <v>4564</v>
      </c>
      <c r="AH7052" t="s">
        <v>2091</v>
      </c>
      <c r="AI7052" t="s">
        <v>1602</v>
      </c>
      <c r="AJ7052" t="s">
        <v>1217</v>
      </c>
      <c r="AK7052" t="s">
        <v>33541</v>
      </c>
      <c r="AL7052" s="13" t="s">
        <v>1899</v>
      </c>
      <c r="AM7052" s="14">
        <v>1</v>
      </c>
      <c r="AN7052" s="15" t="s">
        <v>592</v>
      </c>
    </row>
    <row r="7053" spans="1:40" x14ac:dyDescent="0.3">
      <c r="A7053" s="10" t="str">
        <f>HYPERLINK("http://www.washoecounty.gov/assessor/cama/?parid=516-244-09&amp;CardNumber=1","516-244-09")</f>
        <v>516-244-09</v>
      </c>
      <c r="B7053" t="s">
        <v>4655</v>
      </c>
      <c r="C7053" s="20" t="s">
        <v>283</v>
      </c>
      <c r="D7053" s="1">
        <v>40277</v>
      </c>
      <c r="E7053" s="2">
        <v>174997</v>
      </c>
      <c r="F7053" t="s">
        <v>4567</v>
      </c>
      <c r="G7053" s="20" t="s">
        <v>282</v>
      </c>
      <c r="H7053" t="s">
        <v>591</v>
      </c>
      <c r="I7053">
        <v>2002</v>
      </c>
      <c r="J7053">
        <v>2002</v>
      </c>
      <c r="K7053" t="s">
        <v>4554</v>
      </c>
      <c r="L7053" t="s">
        <v>3974</v>
      </c>
      <c r="M7053" s="2">
        <v>1910</v>
      </c>
      <c r="N7053" t="s">
        <v>5280</v>
      </c>
      <c r="O7053">
        <v>4</v>
      </c>
      <c r="P7053">
        <v>3</v>
      </c>
      <c r="Q7053">
        <v>1</v>
      </c>
      <c r="R7053" t="s">
        <v>5281</v>
      </c>
      <c r="S7053" t="s">
        <v>4898</v>
      </c>
      <c r="T7053" t="s">
        <v>4559</v>
      </c>
      <c r="U7053" t="s">
        <v>5631</v>
      </c>
      <c r="V7053" s="2">
        <v>400</v>
      </c>
      <c r="W7053" t="s">
        <v>4655</v>
      </c>
      <c r="X7053" s="2">
        <v>0</v>
      </c>
      <c r="Y7053">
        <v>20</v>
      </c>
      <c r="Z7053" t="s">
        <v>1604</v>
      </c>
      <c r="AA7053" s="3">
        <v>0.14506427943706501</v>
      </c>
      <c r="AB7053" s="20" t="s">
        <v>8865</v>
      </c>
      <c r="AD7053" t="s">
        <v>283</v>
      </c>
      <c r="AE7053" t="s">
        <v>283</v>
      </c>
      <c r="AF7053" t="s">
        <v>283</v>
      </c>
      <c r="AG7053" t="s">
        <v>4564</v>
      </c>
      <c r="AH7053" t="s">
        <v>3101</v>
      </c>
      <c r="AI7053" t="s">
        <v>8865</v>
      </c>
      <c r="AJ7053" t="s">
        <v>1217</v>
      </c>
      <c r="AK7053" t="s">
        <v>8865</v>
      </c>
      <c r="AL7053" s="13" t="s">
        <v>1899</v>
      </c>
      <c r="AM7053">
        <v>1</v>
      </c>
      <c r="AN7053" s="15" t="s">
        <v>592</v>
      </c>
    </row>
    <row r="7054" spans="1:40" x14ac:dyDescent="0.3">
      <c r="A7054" s="10" t="str">
        <f>HYPERLINK("http://www.washoecounty.gov/assessor/cama/?parid=516-244-12&amp;CardNumber=1","516-244-12")</f>
        <v>516-244-12</v>
      </c>
      <c r="B7054" t="s">
        <v>4655</v>
      </c>
      <c r="C7054" t="s">
        <v>33542</v>
      </c>
      <c r="D7054" s="1">
        <v>40501</v>
      </c>
      <c r="E7054" s="2">
        <v>131000</v>
      </c>
      <c r="F7054" t="s">
        <v>4567</v>
      </c>
      <c r="G7054" s="17" t="str">
        <f>HYPERLINK("https://www.washoecounty.gov/assessor/cama/?command=sales&amp;parid=51624412","3945225")</f>
        <v>3945225</v>
      </c>
      <c r="H7054" t="s">
        <v>591</v>
      </c>
      <c r="I7054">
        <v>2001</v>
      </c>
      <c r="J7054">
        <v>2001</v>
      </c>
      <c r="K7054" t="s">
        <v>4554</v>
      </c>
      <c r="L7054" t="s">
        <v>4555</v>
      </c>
      <c r="M7054" s="2">
        <v>1096</v>
      </c>
      <c r="N7054" t="s">
        <v>5280</v>
      </c>
      <c r="O7054">
        <v>2</v>
      </c>
      <c r="P7054">
        <v>2</v>
      </c>
      <c r="Q7054">
        <v>0</v>
      </c>
      <c r="R7054" t="s">
        <v>5281</v>
      </c>
      <c r="S7054" t="s">
        <v>4898</v>
      </c>
      <c r="T7054" t="s">
        <v>4559</v>
      </c>
      <c r="U7054" t="s">
        <v>4560</v>
      </c>
      <c r="V7054" s="2">
        <v>420</v>
      </c>
      <c r="W7054" t="s">
        <v>4655</v>
      </c>
      <c r="X7054" s="2">
        <v>0</v>
      </c>
      <c r="Y7054">
        <v>20</v>
      </c>
      <c r="Z7054" t="s">
        <v>1604</v>
      </c>
      <c r="AA7054" s="3">
        <v>0.105440773069859</v>
      </c>
      <c r="AB7054" t="s">
        <v>33543</v>
      </c>
      <c r="AC7054" t="s">
        <v>4575</v>
      </c>
      <c r="AD7054" t="s">
        <v>33544</v>
      </c>
      <c r="AE7054" t="s">
        <v>4655</v>
      </c>
      <c r="AF7054" t="s">
        <v>33545</v>
      </c>
      <c r="AG7054" t="s">
        <v>4584</v>
      </c>
      <c r="AH7054" t="s">
        <v>33546</v>
      </c>
      <c r="AI7054" t="s">
        <v>4655</v>
      </c>
      <c r="AJ7054" t="s">
        <v>1217</v>
      </c>
      <c r="AK7054" t="s">
        <v>33547</v>
      </c>
      <c r="AL7054" s="13" t="s">
        <v>1899</v>
      </c>
      <c r="AM7054" s="14">
        <v>1</v>
      </c>
      <c r="AN7054" s="15" t="s">
        <v>592</v>
      </c>
    </row>
    <row r="7055" spans="1:40" x14ac:dyDescent="0.3">
      <c r="A7055" s="10" t="str">
        <f>HYPERLINK("http://www.washoecounty.gov/assessor/cama/?parid=516-244-13&amp;CardNumber=1","516-244-13")</f>
        <v>516-244-13</v>
      </c>
      <c r="B7055" t="s">
        <v>4655</v>
      </c>
      <c r="C7055" t="s">
        <v>33548</v>
      </c>
      <c r="D7055" s="1">
        <v>40441</v>
      </c>
      <c r="E7055" s="2">
        <v>135000</v>
      </c>
      <c r="F7055" t="s">
        <v>4553</v>
      </c>
      <c r="G7055" s="17" t="str">
        <f>HYPERLINK("https://www.washoecounty.gov/assessor/cama/?command=sales&amp;parid=51624413","3924102")</f>
        <v>3924102</v>
      </c>
      <c r="H7055" t="s">
        <v>5190</v>
      </c>
      <c r="I7055">
        <v>2001</v>
      </c>
      <c r="J7055">
        <v>2001</v>
      </c>
      <c r="K7055" t="s">
        <v>4554</v>
      </c>
      <c r="L7055" t="s">
        <v>4555</v>
      </c>
      <c r="M7055" s="2">
        <v>1205</v>
      </c>
      <c r="N7055" t="s">
        <v>5280</v>
      </c>
      <c r="O7055">
        <v>3</v>
      </c>
      <c r="P7055">
        <v>2</v>
      </c>
      <c r="Q7055">
        <v>0</v>
      </c>
      <c r="R7055" t="s">
        <v>5281</v>
      </c>
      <c r="S7055" t="s">
        <v>4898</v>
      </c>
      <c r="T7055" t="s">
        <v>4559</v>
      </c>
      <c r="U7055" t="s">
        <v>4560</v>
      </c>
      <c r="V7055" s="2">
        <v>420</v>
      </c>
      <c r="W7055" t="s">
        <v>4655</v>
      </c>
      <c r="X7055" s="2">
        <v>0</v>
      </c>
      <c r="Y7055">
        <v>20</v>
      </c>
      <c r="Z7055" t="s">
        <v>1604</v>
      </c>
      <c r="AA7055" s="3">
        <v>0.108654730021954</v>
      </c>
      <c r="AB7055" t="s">
        <v>33549</v>
      </c>
      <c r="AC7055" t="s">
        <v>4575</v>
      </c>
      <c r="AD7055" t="s">
        <v>33550</v>
      </c>
      <c r="AE7055" t="s">
        <v>4655</v>
      </c>
      <c r="AF7055" t="s">
        <v>4809</v>
      </c>
      <c r="AG7055" t="s">
        <v>4564</v>
      </c>
      <c r="AH7055" t="s">
        <v>1605</v>
      </c>
      <c r="AI7055" t="s">
        <v>4903</v>
      </c>
      <c r="AJ7055" t="s">
        <v>1217</v>
      </c>
      <c r="AK7055" t="s">
        <v>33551</v>
      </c>
      <c r="AL7055" s="13" t="s">
        <v>1899</v>
      </c>
      <c r="AM7055">
        <v>1</v>
      </c>
      <c r="AN7055" s="15" t="s">
        <v>592</v>
      </c>
    </row>
    <row r="7056" spans="1:40" x14ac:dyDescent="0.3">
      <c r="A7056" s="10" t="str">
        <f>HYPERLINK("http://www.washoecounty.gov/assessor/cama/?parid=516-253-11&amp;CardNumber=1","516-253-11")</f>
        <v>516-253-11</v>
      </c>
      <c r="B7056" t="s">
        <v>4655</v>
      </c>
      <c r="C7056" t="s">
        <v>33552</v>
      </c>
      <c r="D7056" s="1">
        <v>40379</v>
      </c>
      <c r="E7056" s="2">
        <v>206000</v>
      </c>
      <c r="F7056" t="s">
        <v>4567</v>
      </c>
      <c r="G7056" s="17" t="str">
        <f>HYPERLINK("https://www.washoecounty.gov/assessor/cama/?command=sales&amp;parid=51625311","3903060")</f>
        <v>3903060</v>
      </c>
      <c r="H7056" t="s">
        <v>1484</v>
      </c>
      <c r="I7056">
        <v>2002</v>
      </c>
      <c r="J7056">
        <v>2002</v>
      </c>
      <c r="K7056" t="s">
        <v>4554</v>
      </c>
      <c r="L7056" t="s">
        <v>4555</v>
      </c>
      <c r="M7056" s="2">
        <v>1864</v>
      </c>
      <c r="N7056" t="s">
        <v>5280</v>
      </c>
      <c r="O7056">
        <v>3</v>
      </c>
      <c r="P7056">
        <v>2</v>
      </c>
      <c r="Q7056">
        <v>0</v>
      </c>
      <c r="R7056" t="s">
        <v>4557</v>
      </c>
      <c r="S7056" t="s">
        <v>4558</v>
      </c>
      <c r="T7056" t="s">
        <v>4559</v>
      </c>
      <c r="U7056" t="s">
        <v>4560</v>
      </c>
      <c r="V7056" s="2">
        <v>437</v>
      </c>
      <c r="W7056" t="s">
        <v>4655</v>
      </c>
      <c r="X7056" s="2">
        <v>0</v>
      </c>
      <c r="Y7056">
        <v>20</v>
      </c>
      <c r="Z7056" t="s">
        <v>1604</v>
      </c>
      <c r="AA7056" s="3">
        <v>0.28879705071449302</v>
      </c>
      <c r="AB7056" t="s">
        <v>33553</v>
      </c>
      <c r="AC7056" t="s">
        <v>4562</v>
      </c>
      <c r="AD7056" t="s">
        <v>33552</v>
      </c>
      <c r="AE7056" t="s">
        <v>4655</v>
      </c>
      <c r="AF7056" t="s">
        <v>5201</v>
      </c>
      <c r="AG7056" t="s">
        <v>4564</v>
      </c>
      <c r="AH7056" t="s">
        <v>1605</v>
      </c>
      <c r="AI7056" t="s">
        <v>33554</v>
      </c>
      <c r="AJ7056" t="s">
        <v>1485</v>
      </c>
      <c r="AK7056" t="s">
        <v>33555</v>
      </c>
      <c r="AL7056" s="13" t="s">
        <v>1899</v>
      </c>
      <c r="AM7056">
        <v>1</v>
      </c>
      <c r="AN7056" s="15" t="s">
        <v>1607</v>
      </c>
    </row>
    <row r="7057" spans="1:40" x14ac:dyDescent="0.3">
      <c r="A7057" s="10" t="str">
        <f>HYPERLINK("http://www.washoecounty.gov/assessor/cama/?parid=516-253-21&amp;CardNumber=1","516-253-21")</f>
        <v>516-253-21</v>
      </c>
      <c r="B7057" t="s">
        <v>4655</v>
      </c>
      <c r="C7057" t="s">
        <v>33556</v>
      </c>
      <c r="D7057" s="1">
        <v>40325</v>
      </c>
      <c r="E7057" s="2">
        <v>188000</v>
      </c>
      <c r="F7057" t="s">
        <v>4567</v>
      </c>
      <c r="G7057" s="17" t="str">
        <f>HYPERLINK("https://www.washoecounty.gov/assessor/cama/?command=sales&amp;parid=51625321","03885867")</f>
        <v>03885867</v>
      </c>
      <c r="H7057" t="s">
        <v>1484</v>
      </c>
      <c r="I7057">
        <v>2002</v>
      </c>
      <c r="J7057">
        <v>2002</v>
      </c>
      <c r="K7057" t="s">
        <v>4554</v>
      </c>
      <c r="L7057" t="s">
        <v>4555</v>
      </c>
      <c r="M7057" s="2">
        <v>1670</v>
      </c>
      <c r="N7057" t="s">
        <v>5280</v>
      </c>
      <c r="O7057">
        <v>3</v>
      </c>
      <c r="P7057">
        <v>2</v>
      </c>
      <c r="Q7057">
        <v>0</v>
      </c>
      <c r="R7057" t="s">
        <v>4557</v>
      </c>
      <c r="S7057" t="s">
        <v>4135</v>
      </c>
      <c r="T7057" t="s">
        <v>4559</v>
      </c>
      <c r="U7057" t="s">
        <v>4560</v>
      </c>
      <c r="V7057" s="2">
        <v>528</v>
      </c>
      <c r="W7057" t="s">
        <v>4655</v>
      </c>
      <c r="X7057" s="2">
        <v>0</v>
      </c>
      <c r="Y7057">
        <v>20</v>
      </c>
      <c r="Z7057" t="s">
        <v>1604</v>
      </c>
      <c r="AA7057" s="3">
        <v>0.20172175765037501</v>
      </c>
      <c r="AB7057" t="s">
        <v>33557</v>
      </c>
      <c r="AC7057" t="s">
        <v>4575</v>
      </c>
      <c r="AD7057" t="s">
        <v>33556</v>
      </c>
      <c r="AE7057" t="s">
        <v>4655</v>
      </c>
      <c r="AF7057" t="s">
        <v>4809</v>
      </c>
      <c r="AG7057" t="s">
        <v>4564</v>
      </c>
      <c r="AH7057" t="s">
        <v>1605</v>
      </c>
      <c r="AI7057" t="s">
        <v>33558</v>
      </c>
      <c r="AJ7057" t="s">
        <v>1485</v>
      </c>
      <c r="AK7057" t="s">
        <v>33559</v>
      </c>
      <c r="AL7057" s="13" t="s">
        <v>1899</v>
      </c>
      <c r="AM7057">
        <v>1</v>
      </c>
      <c r="AN7057" s="15" t="s">
        <v>1607</v>
      </c>
    </row>
    <row r="7058" spans="1:40" x14ac:dyDescent="0.3">
      <c r="A7058" s="10" t="str">
        <f>HYPERLINK("http://www.washoecounty.gov/assessor/cama/?parid=516-263-02&amp;CardNumber=1","516-263-02")</f>
        <v>516-263-02</v>
      </c>
      <c r="B7058" t="s">
        <v>4655</v>
      </c>
      <c r="C7058" t="s">
        <v>33560</v>
      </c>
      <c r="D7058" s="1">
        <v>40259</v>
      </c>
      <c r="E7058" s="2">
        <v>135000</v>
      </c>
      <c r="F7058" t="s">
        <v>4553</v>
      </c>
      <c r="G7058" s="17" t="str">
        <f>HYPERLINK("https://www.washoecounty.gov/assessor/cama/?command=sales&amp;parid=51626302","3862261")</f>
        <v>3862261</v>
      </c>
      <c r="H7058" t="s">
        <v>4337</v>
      </c>
      <c r="I7058">
        <v>2002</v>
      </c>
      <c r="J7058">
        <v>2002</v>
      </c>
      <c r="K7058" t="s">
        <v>4554</v>
      </c>
      <c r="L7058" t="s">
        <v>4555</v>
      </c>
      <c r="M7058" s="2">
        <v>1205</v>
      </c>
      <c r="N7058" t="s">
        <v>5280</v>
      </c>
      <c r="O7058">
        <v>3</v>
      </c>
      <c r="P7058">
        <v>2</v>
      </c>
      <c r="Q7058">
        <v>0</v>
      </c>
      <c r="R7058" t="s">
        <v>4557</v>
      </c>
      <c r="S7058" t="s">
        <v>4898</v>
      </c>
      <c r="T7058" t="s">
        <v>4559</v>
      </c>
      <c r="U7058" t="s">
        <v>4560</v>
      </c>
      <c r="V7058" s="2">
        <v>420</v>
      </c>
      <c r="W7058" t="s">
        <v>4655</v>
      </c>
      <c r="X7058" s="2">
        <v>0</v>
      </c>
      <c r="Y7058">
        <v>20</v>
      </c>
      <c r="Z7058" t="s">
        <v>1604</v>
      </c>
      <c r="AA7058" s="3">
        <v>0.103787876665592</v>
      </c>
      <c r="AB7058" t="s">
        <v>33561</v>
      </c>
      <c r="AC7058" t="s">
        <v>4562</v>
      </c>
      <c r="AD7058" t="s">
        <v>33560</v>
      </c>
      <c r="AE7058" t="s">
        <v>4655</v>
      </c>
      <c r="AF7058" t="s">
        <v>5201</v>
      </c>
      <c r="AG7058" t="s">
        <v>4564</v>
      </c>
      <c r="AH7058" t="s">
        <v>1605</v>
      </c>
      <c r="AI7058" t="s">
        <v>4848</v>
      </c>
      <c r="AJ7058" t="s">
        <v>4338</v>
      </c>
      <c r="AK7058" t="s">
        <v>33562</v>
      </c>
      <c r="AL7058" s="13" t="s">
        <v>1899</v>
      </c>
      <c r="AM7058" s="14">
        <v>1</v>
      </c>
      <c r="AN7058" s="15" t="s">
        <v>592</v>
      </c>
    </row>
    <row r="7059" spans="1:40" x14ac:dyDescent="0.3">
      <c r="A7059" s="10" t="str">
        <f>HYPERLINK("http://www.washoecounty.gov/assessor/cama/?parid=516-263-04&amp;CardNumber=1","516-263-04")</f>
        <v>516-263-04</v>
      </c>
      <c r="B7059" t="s">
        <v>4655</v>
      </c>
      <c r="C7059" t="s">
        <v>33563</v>
      </c>
      <c r="D7059" s="1">
        <v>40318</v>
      </c>
      <c r="E7059" s="2">
        <v>137500</v>
      </c>
      <c r="F7059" t="s">
        <v>4567</v>
      </c>
      <c r="G7059" s="17" t="str">
        <f>HYPERLINK("https://www.washoecounty.gov/assessor/cama/?command=sales&amp;parid=51626304","3883371")</f>
        <v>3883371</v>
      </c>
      <c r="H7059" t="s">
        <v>4337</v>
      </c>
      <c r="I7059">
        <v>2002</v>
      </c>
      <c r="J7059">
        <v>2002</v>
      </c>
      <c r="K7059" t="s">
        <v>4554</v>
      </c>
      <c r="L7059" t="s">
        <v>4555</v>
      </c>
      <c r="M7059" s="2">
        <v>1096</v>
      </c>
      <c r="N7059" t="s">
        <v>5280</v>
      </c>
      <c r="O7059">
        <v>2</v>
      </c>
      <c r="P7059">
        <v>2</v>
      </c>
      <c r="Q7059">
        <v>0</v>
      </c>
      <c r="R7059" t="s">
        <v>4557</v>
      </c>
      <c r="S7059" t="s">
        <v>4898</v>
      </c>
      <c r="T7059" t="s">
        <v>4559</v>
      </c>
      <c r="U7059" t="s">
        <v>4560</v>
      </c>
      <c r="V7059" s="2">
        <v>420</v>
      </c>
      <c r="W7059" t="s">
        <v>4655</v>
      </c>
      <c r="X7059" s="2">
        <v>0</v>
      </c>
      <c r="Y7059">
        <v>20</v>
      </c>
      <c r="Z7059" t="s">
        <v>1604</v>
      </c>
      <c r="AA7059" s="3">
        <v>0.106427915394306</v>
      </c>
      <c r="AB7059" t="s">
        <v>33564</v>
      </c>
      <c r="AC7059" t="s">
        <v>4562</v>
      </c>
      <c r="AD7059" t="s">
        <v>33563</v>
      </c>
      <c r="AE7059" t="s">
        <v>4655</v>
      </c>
      <c r="AF7059" t="s">
        <v>5201</v>
      </c>
      <c r="AG7059" t="s">
        <v>4564</v>
      </c>
      <c r="AH7059" t="s">
        <v>1605</v>
      </c>
      <c r="AI7059" t="s">
        <v>33565</v>
      </c>
      <c r="AJ7059" t="s">
        <v>4338</v>
      </c>
      <c r="AK7059" t="s">
        <v>33566</v>
      </c>
      <c r="AL7059" s="13" t="s">
        <v>1899</v>
      </c>
      <c r="AM7059">
        <v>1</v>
      </c>
      <c r="AN7059" s="15" t="s">
        <v>592</v>
      </c>
    </row>
    <row r="7060" spans="1:40" x14ac:dyDescent="0.3">
      <c r="A7060" s="10" t="str">
        <f>HYPERLINK("http://www.washoecounty.gov/assessor/cama/?parid=516-263-14&amp;CardNumber=1","516-263-14")</f>
        <v>516-263-14</v>
      </c>
      <c r="B7060" t="s">
        <v>4655</v>
      </c>
      <c r="C7060" t="s">
        <v>33567</v>
      </c>
      <c r="D7060" s="1">
        <v>40409</v>
      </c>
      <c r="E7060" s="2">
        <v>120500</v>
      </c>
      <c r="F7060" t="s">
        <v>4567</v>
      </c>
      <c r="G7060" s="17" t="str">
        <f>HYPERLINK("https://www.washoecounty.gov/assessor/cama/?command=sales&amp;parid=51626314","3913813")</f>
        <v>3913813</v>
      </c>
      <c r="H7060" t="s">
        <v>4337</v>
      </c>
      <c r="I7060">
        <v>2002</v>
      </c>
      <c r="J7060">
        <v>2002</v>
      </c>
      <c r="K7060" t="s">
        <v>4554</v>
      </c>
      <c r="L7060" t="s">
        <v>3974</v>
      </c>
      <c r="M7060" s="2">
        <v>1501</v>
      </c>
      <c r="N7060" t="s">
        <v>5280</v>
      </c>
      <c r="O7060">
        <v>3</v>
      </c>
      <c r="P7060">
        <v>2</v>
      </c>
      <c r="Q7060">
        <v>1</v>
      </c>
      <c r="R7060" t="s">
        <v>5281</v>
      </c>
      <c r="S7060" t="s">
        <v>4898</v>
      </c>
      <c r="T7060" t="s">
        <v>4559</v>
      </c>
      <c r="U7060" t="s">
        <v>4560</v>
      </c>
      <c r="V7060" s="2">
        <v>400</v>
      </c>
      <c r="W7060" t="s">
        <v>4655</v>
      </c>
      <c r="X7060" s="2">
        <v>0</v>
      </c>
      <c r="Y7060">
        <v>20</v>
      </c>
      <c r="Z7060" t="s">
        <v>1604</v>
      </c>
      <c r="AA7060" s="3">
        <v>0.10397153347730601</v>
      </c>
      <c r="AB7060" t="s">
        <v>33568</v>
      </c>
      <c r="AC7060" t="s">
        <v>4562</v>
      </c>
      <c r="AD7060" t="s">
        <v>33569</v>
      </c>
      <c r="AE7060" t="s">
        <v>4655</v>
      </c>
      <c r="AF7060" t="s">
        <v>4809</v>
      </c>
      <c r="AG7060" t="s">
        <v>4564</v>
      </c>
      <c r="AH7060" t="s">
        <v>1605</v>
      </c>
      <c r="AI7060" t="s">
        <v>33570</v>
      </c>
      <c r="AJ7060" t="s">
        <v>4338</v>
      </c>
      <c r="AK7060" t="s">
        <v>33571</v>
      </c>
      <c r="AL7060" s="13" t="s">
        <v>1899</v>
      </c>
      <c r="AM7060">
        <v>1</v>
      </c>
      <c r="AN7060" s="15" t="s">
        <v>592</v>
      </c>
    </row>
    <row r="7061" spans="1:40" x14ac:dyDescent="0.3">
      <c r="A7061" s="10" t="str">
        <f>HYPERLINK("http://www.washoecounty.gov/assessor/cama/?parid=516-274-03&amp;CardNumber=1","516-274-03")</f>
        <v>516-274-03</v>
      </c>
      <c r="B7061" t="s">
        <v>4655</v>
      </c>
      <c r="C7061" t="s">
        <v>33572</v>
      </c>
      <c r="D7061" s="1">
        <v>40205</v>
      </c>
      <c r="E7061" s="2">
        <v>197500</v>
      </c>
      <c r="F7061" t="s">
        <v>4553</v>
      </c>
      <c r="G7061" s="17" t="str">
        <f>HYPERLINK("https://www.washoecounty.gov/assessor/cama/?command=sales&amp;parid=51627403","3843175")</f>
        <v>3843175</v>
      </c>
      <c r="H7061" t="s">
        <v>33573</v>
      </c>
      <c r="I7061">
        <v>2002</v>
      </c>
      <c r="J7061">
        <v>2002</v>
      </c>
      <c r="K7061" t="s">
        <v>4554</v>
      </c>
      <c r="L7061" t="s">
        <v>4555</v>
      </c>
      <c r="M7061" s="2">
        <v>1932</v>
      </c>
      <c r="N7061" t="s">
        <v>5280</v>
      </c>
      <c r="O7061">
        <v>4</v>
      </c>
      <c r="P7061">
        <v>2</v>
      </c>
      <c r="Q7061">
        <v>0</v>
      </c>
      <c r="R7061" t="s">
        <v>4557</v>
      </c>
      <c r="S7061" t="s">
        <v>4558</v>
      </c>
      <c r="T7061" t="s">
        <v>4559</v>
      </c>
      <c r="U7061" t="s">
        <v>4560</v>
      </c>
      <c r="V7061" s="2">
        <v>424</v>
      </c>
      <c r="W7061" t="s">
        <v>4655</v>
      </c>
      <c r="X7061" s="2">
        <v>0</v>
      </c>
      <c r="Y7061">
        <v>20</v>
      </c>
      <c r="Z7061" t="s">
        <v>1604</v>
      </c>
      <c r="AA7061" s="3">
        <v>0.16434802114963501</v>
      </c>
      <c r="AB7061" t="s">
        <v>33574</v>
      </c>
      <c r="AC7061" t="s">
        <v>4575</v>
      </c>
      <c r="AD7061" t="s">
        <v>33575</v>
      </c>
      <c r="AE7061" t="s">
        <v>33572</v>
      </c>
      <c r="AF7061" t="s">
        <v>4809</v>
      </c>
      <c r="AG7061" t="s">
        <v>4564</v>
      </c>
      <c r="AH7061" t="s">
        <v>1605</v>
      </c>
      <c r="AI7061" t="s">
        <v>4045</v>
      </c>
      <c r="AJ7061" t="s">
        <v>33576</v>
      </c>
      <c r="AK7061" t="s">
        <v>33577</v>
      </c>
      <c r="AL7061" s="13" t="s">
        <v>1899</v>
      </c>
      <c r="AM7061">
        <v>1</v>
      </c>
      <c r="AN7061" s="15" t="s">
        <v>593</v>
      </c>
    </row>
    <row r="7062" spans="1:40" x14ac:dyDescent="0.3">
      <c r="A7062" s="10" t="str">
        <f>HYPERLINK("http://www.washoecounty.gov/assessor/cama/?parid=516-274-07&amp;CardNumber=1","516-274-07")</f>
        <v>516-274-07</v>
      </c>
      <c r="B7062" t="s">
        <v>4655</v>
      </c>
      <c r="C7062" t="s">
        <v>33578</v>
      </c>
      <c r="D7062" s="1">
        <v>40312</v>
      </c>
      <c r="E7062" s="2">
        <v>170000</v>
      </c>
      <c r="F7062" t="s">
        <v>4567</v>
      </c>
      <c r="G7062" s="17" t="str">
        <f>HYPERLINK("https://www.washoecounty.gov/assessor/cama/?command=sales&amp;parid=51627407","3881827")</f>
        <v>3881827</v>
      </c>
      <c r="H7062" t="s">
        <v>33579</v>
      </c>
      <c r="I7062">
        <v>2003</v>
      </c>
      <c r="J7062">
        <v>2003</v>
      </c>
      <c r="K7062" t="s">
        <v>4554</v>
      </c>
      <c r="L7062" t="s">
        <v>4555</v>
      </c>
      <c r="M7062" s="2">
        <v>1404</v>
      </c>
      <c r="N7062" t="s">
        <v>5280</v>
      </c>
      <c r="O7062">
        <v>3</v>
      </c>
      <c r="P7062">
        <v>2</v>
      </c>
      <c r="Q7062">
        <v>0</v>
      </c>
      <c r="R7062" t="s">
        <v>4557</v>
      </c>
      <c r="S7062" t="s">
        <v>4558</v>
      </c>
      <c r="T7062" t="s">
        <v>4559</v>
      </c>
      <c r="U7062" t="s">
        <v>4560</v>
      </c>
      <c r="V7062" s="2">
        <v>381</v>
      </c>
      <c r="W7062" t="s">
        <v>4655</v>
      </c>
      <c r="X7062" s="2">
        <v>0</v>
      </c>
      <c r="Y7062">
        <v>20</v>
      </c>
      <c r="Z7062" t="s">
        <v>1604</v>
      </c>
      <c r="AA7062" s="3">
        <v>0.154889807105064</v>
      </c>
      <c r="AB7062" t="s">
        <v>33580</v>
      </c>
      <c r="AC7062" t="s">
        <v>4562</v>
      </c>
      <c r="AD7062" t="s">
        <v>33581</v>
      </c>
      <c r="AE7062" t="s">
        <v>4655</v>
      </c>
      <c r="AF7062" t="s">
        <v>5201</v>
      </c>
      <c r="AG7062" t="s">
        <v>4564</v>
      </c>
      <c r="AH7062" t="s">
        <v>1605</v>
      </c>
      <c r="AI7062" t="s">
        <v>33582</v>
      </c>
      <c r="AJ7062" t="s">
        <v>33576</v>
      </c>
      <c r="AK7062" t="s">
        <v>33583</v>
      </c>
      <c r="AL7062" s="13" t="s">
        <v>1899</v>
      </c>
      <c r="AM7062">
        <v>1</v>
      </c>
      <c r="AN7062" s="15" t="s">
        <v>593</v>
      </c>
    </row>
    <row r="7063" spans="1:40" x14ac:dyDescent="0.3">
      <c r="A7063" s="10" t="str">
        <f>HYPERLINK("http://www.washoecounty.gov/assessor/cama/?parid=516-274-10&amp;CardNumber=1","516-274-10")</f>
        <v>516-274-10</v>
      </c>
      <c r="B7063" t="s">
        <v>4655</v>
      </c>
      <c r="C7063" t="s">
        <v>33584</v>
      </c>
      <c r="D7063" s="1">
        <v>40368</v>
      </c>
      <c r="E7063" s="2">
        <v>158000</v>
      </c>
      <c r="F7063" t="s">
        <v>4553</v>
      </c>
      <c r="G7063" s="17" t="str">
        <f>HYPERLINK("https://www.washoecounty.gov/assessor/cama/?command=sales&amp;parid=51627410","3899912")</f>
        <v>3899912</v>
      </c>
      <c r="H7063" t="s">
        <v>33585</v>
      </c>
      <c r="I7063">
        <v>2003</v>
      </c>
      <c r="J7063">
        <v>2003</v>
      </c>
      <c r="K7063" t="s">
        <v>4554</v>
      </c>
      <c r="L7063" t="s">
        <v>4555</v>
      </c>
      <c r="M7063" s="2">
        <v>1404</v>
      </c>
      <c r="N7063" t="s">
        <v>5280</v>
      </c>
      <c r="O7063">
        <v>3</v>
      </c>
      <c r="P7063">
        <v>2</v>
      </c>
      <c r="Q7063">
        <v>0</v>
      </c>
      <c r="R7063" t="s">
        <v>5281</v>
      </c>
      <c r="S7063" t="s">
        <v>4558</v>
      </c>
      <c r="T7063" t="s">
        <v>4559</v>
      </c>
      <c r="U7063" t="s">
        <v>4560</v>
      </c>
      <c r="V7063" s="2">
        <v>381</v>
      </c>
      <c r="W7063" t="s">
        <v>4655</v>
      </c>
      <c r="X7063" s="2">
        <v>0</v>
      </c>
      <c r="Y7063">
        <v>20</v>
      </c>
      <c r="Z7063" t="s">
        <v>1604</v>
      </c>
      <c r="AA7063" s="3">
        <v>0.17291092872619601</v>
      </c>
      <c r="AB7063" t="s">
        <v>33586</v>
      </c>
      <c r="AC7063" t="s">
        <v>4562</v>
      </c>
      <c r="AD7063" t="s">
        <v>33587</v>
      </c>
      <c r="AE7063" t="s">
        <v>4655</v>
      </c>
      <c r="AF7063" t="s">
        <v>4809</v>
      </c>
      <c r="AG7063" t="s">
        <v>4564</v>
      </c>
      <c r="AH7063" t="s">
        <v>1605</v>
      </c>
      <c r="AI7063" t="s">
        <v>33588</v>
      </c>
      <c r="AJ7063" t="s">
        <v>33576</v>
      </c>
      <c r="AK7063" t="s">
        <v>33589</v>
      </c>
      <c r="AL7063" s="13" t="s">
        <v>1899</v>
      </c>
      <c r="AM7063" s="14">
        <v>1</v>
      </c>
      <c r="AN7063" s="15" t="s">
        <v>593</v>
      </c>
    </row>
    <row r="7064" spans="1:40" x14ac:dyDescent="0.3">
      <c r="A7064" s="10" t="str">
        <f>HYPERLINK("http://www.washoecounty.gov/assessor/cama/?parid=516-291-11&amp;CardNumber=1","516-291-11")</f>
        <v>516-291-11</v>
      </c>
      <c r="B7064" t="s">
        <v>4655</v>
      </c>
      <c r="C7064" t="s">
        <v>33590</v>
      </c>
      <c r="D7064" s="1">
        <v>40259</v>
      </c>
      <c r="E7064" s="2">
        <v>185000</v>
      </c>
      <c r="F7064" t="s">
        <v>4567</v>
      </c>
      <c r="G7064" s="17" t="str">
        <f>HYPERLINK("https://www.washoecounty.gov/assessor/cama/?command=sales&amp;parid=51629111","3862032")</f>
        <v>3862032</v>
      </c>
      <c r="H7064" t="s">
        <v>4097</v>
      </c>
      <c r="I7064">
        <v>2003</v>
      </c>
      <c r="J7064">
        <v>2003</v>
      </c>
      <c r="K7064" t="s">
        <v>4554</v>
      </c>
      <c r="L7064" t="s">
        <v>3974</v>
      </c>
      <c r="M7064" s="2">
        <v>2218</v>
      </c>
      <c r="N7064" t="s">
        <v>5280</v>
      </c>
      <c r="O7064">
        <v>3</v>
      </c>
      <c r="P7064">
        <v>2</v>
      </c>
      <c r="Q7064">
        <v>1</v>
      </c>
      <c r="R7064" t="s">
        <v>4557</v>
      </c>
      <c r="S7064" t="s">
        <v>4898</v>
      </c>
      <c r="T7064" t="s">
        <v>2704</v>
      </c>
      <c r="U7064" t="s">
        <v>5631</v>
      </c>
      <c r="V7064" s="2">
        <v>484</v>
      </c>
      <c r="W7064" t="s">
        <v>4655</v>
      </c>
      <c r="X7064" s="2">
        <v>0</v>
      </c>
      <c r="Y7064">
        <v>20</v>
      </c>
      <c r="Z7064" t="s">
        <v>5200</v>
      </c>
      <c r="AA7064" s="3">
        <v>0.21299357712268799</v>
      </c>
      <c r="AB7064" t="s">
        <v>33591</v>
      </c>
      <c r="AC7064" t="s">
        <v>4562</v>
      </c>
      <c r="AD7064" t="s">
        <v>33592</v>
      </c>
      <c r="AE7064" t="s">
        <v>4655</v>
      </c>
      <c r="AF7064" t="s">
        <v>5201</v>
      </c>
      <c r="AG7064" t="s">
        <v>4564</v>
      </c>
      <c r="AH7064" t="s">
        <v>1605</v>
      </c>
      <c r="AI7064" t="s">
        <v>33593</v>
      </c>
      <c r="AJ7064" t="s">
        <v>4098</v>
      </c>
      <c r="AK7064" t="s">
        <v>33594</v>
      </c>
      <c r="AL7064" s="13" t="s">
        <v>1899</v>
      </c>
      <c r="AM7064" s="14">
        <v>1</v>
      </c>
      <c r="AN7064" s="15" t="s">
        <v>1987</v>
      </c>
    </row>
    <row r="7065" spans="1:40" x14ac:dyDescent="0.3">
      <c r="A7065" s="10" t="str">
        <f>HYPERLINK("http://www.washoecounty.gov/assessor/cama/?parid=516-311-02&amp;CardNumber=1","516-311-02")</f>
        <v>516-311-02</v>
      </c>
      <c r="B7065" t="s">
        <v>4655</v>
      </c>
      <c r="C7065" t="s">
        <v>33595</v>
      </c>
      <c r="D7065" s="1">
        <v>40478</v>
      </c>
      <c r="E7065" s="2">
        <v>190000</v>
      </c>
      <c r="F7065" t="s">
        <v>4567</v>
      </c>
      <c r="G7065" s="17" t="str">
        <f>HYPERLINK("https://www.washoecounty.gov/assessor/cama/?command=sales&amp;parid=51631102","3937039")</f>
        <v>3937039</v>
      </c>
      <c r="H7065" t="s">
        <v>4097</v>
      </c>
      <c r="I7065">
        <v>2003</v>
      </c>
      <c r="J7065">
        <v>2003</v>
      </c>
      <c r="K7065" t="s">
        <v>4554</v>
      </c>
      <c r="L7065" t="s">
        <v>3974</v>
      </c>
      <c r="M7065" s="2">
        <v>2398</v>
      </c>
      <c r="N7065" t="s">
        <v>5280</v>
      </c>
      <c r="O7065">
        <v>4</v>
      </c>
      <c r="P7065">
        <v>2</v>
      </c>
      <c r="Q7065">
        <v>1</v>
      </c>
      <c r="R7065" t="s">
        <v>5281</v>
      </c>
      <c r="S7065" t="s">
        <v>4898</v>
      </c>
      <c r="T7065" t="s">
        <v>2704</v>
      </c>
      <c r="U7065" t="s">
        <v>5631</v>
      </c>
      <c r="V7065" s="2">
        <v>483</v>
      </c>
      <c r="W7065" t="s">
        <v>4655</v>
      </c>
      <c r="X7065" s="2">
        <v>0</v>
      </c>
      <c r="Y7065">
        <v>20</v>
      </c>
      <c r="Z7065" t="s">
        <v>5200</v>
      </c>
      <c r="AA7065" s="3">
        <v>0.17499999701976801</v>
      </c>
      <c r="AB7065" t="s">
        <v>33596</v>
      </c>
      <c r="AC7065" t="s">
        <v>4562</v>
      </c>
      <c r="AD7065" t="s">
        <v>33595</v>
      </c>
      <c r="AE7065" t="s">
        <v>4655</v>
      </c>
      <c r="AF7065" t="s">
        <v>5201</v>
      </c>
      <c r="AG7065" t="s">
        <v>4564</v>
      </c>
      <c r="AH7065" t="s">
        <v>1605</v>
      </c>
      <c r="AI7065" t="s">
        <v>33597</v>
      </c>
      <c r="AJ7065" t="s">
        <v>4098</v>
      </c>
      <c r="AK7065" t="s">
        <v>33598</v>
      </c>
      <c r="AL7065" s="13" t="s">
        <v>1899</v>
      </c>
      <c r="AM7065" s="14">
        <v>1</v>
      </c>
      <c r="AN7065" s="15" t="s">
        <v>1987</v>
      </c>
    </row>
    <row r="7066" spans="1:40" x14ac:dyDescent="0.3">
      <c r="A7066" s="10" t="str">
        <f>HYPERLINK("http://www.washoecounty.gov/assessor/cama/?parid=516-333-10&amp;CardNumber=1","516-333-10")</f>
        <v>516-333-10</v>
      </c>
      <c r="B7066" t="s">
        <v>4655</v>
      </c>
      <c r="C7066" t="s">
        <v>33599</v>
      </c>
      <c r="D7066" s="1">
        <v>40371</v>
      </c>
      <c r="E7066" s="2">
        <v>179000</v>
      </c>
      <c r="F7066" t="s">
        <v>4567</v>
      </c>
      <c r="G7066" s="17" t="str">
        <f>HYPERLINK("https://www.washoecounty.gov/assessor/cama/?command=sales&amp;parid=51633310","3900386")</f>
        <v>3900386</v>
      </c>
      <c r="H7066" t="s">
        <v>1486</v>
      </c>
      <c r="I7066">
        <v>2003</v>
      </c>
      <c r="J7066">
        <v>2003</v>
      </c>
      <c r="K7066" t="s">
        <v>4554</v>
      </c>
      <c r="L7066" t="s">
        <v>4555</v>
      </c>
      <c r="M7066" s="2">
        <v>1615</v>
      </c>
      <c r="N7066" t="s">
        <v>3147</v>
      </c>
      <c r="O7066">
        <v>2</v>
      </c>
      <c r="P7066">
        <v>2</v>
      </c>
      <c r="Q7066">
        <v>0</v>
      </c>
      <c r="R7066" t="s">
        <v>5281</v>
      </c>
      <c r="S7066" t="s">
        <v>4898</v>
      </c>
      <c r="T7066" t="s">
        <v>2704</v>
      </c>
      <c r="U7066" t="s">
        <v>4560</v>
      </c>
      <c r="V7066" s="2">
        <v>660</v>
      </c>
      <c r="W7066" t="s">
        <v>4655</v>
      </c>
      <c r="X7066" s="2">
        <v>0</v>
      </c>
      <c r="Y7066">
        <v>20</v>
      </c>
      <c r="Z7066" t="s">
        <v>1604</v>
      </c>
      <c r="AA7066" s="3">
        <v>0.169995412230492</v>
      </c>
      <c r="AB7066" t="s">
        <v>33600</v>
      </c>
      <c r="AC7066" t="s">
        <v>4562</v>
      </c>
      <c r="AD7066" t="s">
        <v>33599</v>
      </c>
      <c r="AE7066" t="s">
        <v>4655</v>
      </c>
      <c r="AF7066" t="s">
        <v>4809</v>
      </c>
      <c r="AG7066" t="s">
        <v>4564</v>
      </c>
      <c r="AH7066" t="s">
        <v>1605</v>
      </c>
      <c r="AI7066" t="s">
        <v>33601</v>
      </c>
      <c r="AJ7066" t="s">
        <v>1487</v>
      </c>
      <c r="AK7066" t="s">
        <v>33602</v>
      </c>
      <c r="AL7066" s="13" t="s">
        <v>1899</v>
      </c>
      <c r="AM7066" s="14">
        <v>1</v>
      </c>
      <c r="AN7066" s="15" t="s">
        <v>1685</v>
      </c>
    </row>
    <row r="7067" spans="1:40" x14ac:dyDescent="0.3">
      <c r="A7067" s="10" t="str">
        <f>HYPERLINK("http://www.washoecounty.gov/assessor/cama/?parid=516-351-16&amp;CardNumber=1","516-351-16")</f>
        <v>516-351-16</v>
      </c>
      <c r="B7067" t="s">
        <v>4655</v>
      </c>
      <c r="C7067" t="s">
        <v>33603</v>
      </c>
      <c r="D7067" s="1">
        <v>40325</v>
      </c>
      <c r="E7067" s="2">
        <v>165000</v>
      </c>
      <c r="F7067" t="s">
        <v>4567</v>
      </c>
      <c r="G7067" s="17" t="str">
        <f>HYPERLINK("https://www.washoecounty.gov/assessor/cama/?command=sales&amp;parid=51635116","3885881")</f>
        <v>3885881</v>
      </c>
      <c r="H7067" t="s">
        <v>4220</v>
      </c>
      <c r="I7067">
        <v>2003</v>
      </c>
      <c r="J7067">
        <v>2003</v>
      </c>
      <c r="K7067" t="s">
        <v>4554</v>
      </c>
      <c r="L7067" t="s">
        <v>4555</v>
      </c>
      <c r="M7067" s="2">
        <v>1404</v>
      </c>
      <c r="N7067" t="s">
        <v>5280</v>
      </c>
      <c r="O7067">
        <v>3</v>
      </c>
      <c r="P7067">
        <v>2</v>
      </c>
      <c r="Q7067">
        <v>0</v>
      </c>
      <c r="R7067" t="s">
        <v>5281</v>
      </c>
      <c r="S7067" t="s">
        <v>4558</v>
      </c>
      <c r="T7067" t="s">
        <v>4559</v>
      </c>
      <c r="U7067" t="s">
        <v>4560</v>
      </c>
      <c r="V7067" s="2">
        <v>381</v>
      </c>
      <c r="W7067" t="s">
        <v>4655</v>
      </c>
      <c r="X7067" s="2">
        <v>0</v>
      </c>
      <c r="Y7067">
        <v>20</v>
      </c>
      <c r="Z7067" t="s">
        <v>1604</v>
      </c>
      <c r="AA7067" s="3">
        <v>0.18200182914733901</v>
      </c>
      <c r="AB7067" t="s">
        <v>33604</v>
      </c>
      <c r="AC7067" t="s">
        <v>4575</v>
      </c>
      <c r="AD7067" t="s">
        <v>33605</v>
      </c>
      <c r="AE7067" t="s">
        <v>4655</v>
      </c>
      <c r="AF7067" t="s">
        <v>5201</v>
      </c>
      <c r="AG7067" t="s">
        <v>4564</v>
      </c>
      <c r="AH7067" t="s">
        <v>1605</v>
      </c>
      <c r="AI7067" t="s">
        <v>33606</v>
      </c>
      <c r="AJ7067" t="s">
        <v>4221</v>
      </c>
      <c r="AK7067" t="s">
        <v>33607</v>
      </c>
      <c r="AL7067" s="13" t="s">
        <v>1899</v>
      </c>
      <c r="AM7067">
        <v>1</v>
      </c>
      <c r="AN7067" s="15" t="s">
        <v>593</v>
      </c>
    </row>
    <row r="7068" spans="1:40" x14ac:dyDescent="0.3">
      <c r="A7068" s="10" t="str">
        <f>HYPERLINK("http://www.washoecounty.gov/assessor/cama/?parid=516-351-22&amp;CardNumber=1","516-351-22")</f>
        <v>516-351-22</v>
      </c>
      <c r="B7068" t="s">
        <v>4655</v>
      </c>
      <c r="C7068" t="s">
        <v>33608</v>
      </c>
      <c r="D7068" s="1">
        <v>40354</v>
      </c>
      <c r="E7068" s="2">
        <v>199900</v>
      </c>
      <c r="F7068" t="s">
        <v>4567</v>
      </c>
      <c r="G7068" s="17" t="str">
        <f>HYPERLINK("https://www.washoecounty.gov/assessor/cama/?command=sales&amp;parid=51635122","3895488")</f>
        <v>3895488</v>
      </c>
      <c r="H7068" t="s">
        <v>33609</v>
      </c>
      <c r="I7068">
        <v>2003</v>
      </c>
      <c r="J7068">
        <v>2003</v>
      </c>
      <c r="K7068" t="s">
        <v>4554</v>
      </c>
      <c r="L7068" t="s">
        <v>4555</v>
      </c>
      <c r="M7068" s="2">
        <v>1932</v>
      </c>
      <c r="N7068" t="s">
        <v>5280</v>
      </c>
      <c r="O7068">
        <v>3</v>
      </c>
      <c r="P7068">
        <v>2</v>
      </c>
      <c r="Q7068">
        <v>0</v>
      </c>
      <c r="R7068" t="s">
        <v>5281</v>
      </c>
      <c r="S7068" t="s">
        <v>4558</v>
      </c>
      <c r="T7068" t="s">
        <v>4559</v>
      </c>
      <c r="U7068" t="s">
        <v>4560</v>
      </c>
      <c r="V7068" s="2">
        <v>424</v>
      </c>
      <c r="W7068" t="s">
        <v>4655</v>
      </c>
      <c r="X7068" s="2">
        <v>0</v>
      </c>
      <c r="Y7068">
        <v>20</v>
      </c>
      <c r="Z7068" t="s">
        <v>1604</v>
      </c>
      <c r="AA7068" s="3">
        <v>0.18000459671020499</v>
      </c>
      <c r="AB7068" t="s">
        <v>33610</v>
      </c>
      <c r="AC7068" t="s">
        <v>4562</v>
      </c>
      <c r="AD7068" t="s">
        <v>33608</v>
      </c>
      <c r="AE7068" t="s">
        <v>4655</v>
      </c>
      <c r="AF7068" t="s">
        <v>5201</v>
      </c>
      <c r="AG7068" t="s">
        <v>4564</v>
      </c>
      <c r="AH7068" t="s">
        <v>1605</v>
      </c>
      <c r="AI7068" t="s">
        <v>33611</v>
      </c>
      <c r="AJ7068" t="s">
        <v>4221</v>
      </c>
      <c r="AK7068" t="s">
        <v>33612</v>
      </c>
      <c r="AL7068" s="13" t="s">
        <v>1899</v>
      </c>
      <c r="AM7068" s="14">
        <v>1</v>
      </c>
      <c r="AN7068" s="15" t="s">
        <v>593</v>
      </c>
    </row>
    <row r="7069" spans="1:40" x14ac:dyDescent="0.3">
      <c r="A7069" s="10" t="str">
        <f>HYPERLINK("http://www.washoecounty.gov/assessor/cama/?parid=516-361-08&amp;CardNumber=1","516-361-08")</f>
        <v>516-361-08</v>
      </c>
      <c r="B7069" t="s">
        <v>4655</v>
      </c>
      <c r="C7069" t="s">
        <v>33613</v>
      </c>
      <c r="D7069" s="1">
        <v>40338</v>
      </c>
      <c r="E7069" s="2">
        <v>218000</v>
      </c>
      <c r="F7069" t="s">
        <v>4567</v>
      </c>
      <c r="G7069" s="17" t="str">
        <f>HYPERLINK("https://www.washoecounty.gov/assessor/cama/?command=sales&amp;parid=51636108","3889701")</f>
        <v>3889701</v>
      </c>
      <c r="H7069" t="s">
        <v>4510</v>
      </c>
      <c r="I7069">
        <v>2004</v>
      </c>
      <c r="J7069">
        <v>2004</v>
      </c>
      <c r="K7069" t="s">
        <v>4554</v>
      </c>
      <c r="L7069" t="s">
        <v>4555</v>
      </c>
      <c r="M7069" s="2">
        <v>1853</v>
      </c>
      <c r="N7069" t="s">
        <v>3147</v>
      </c>
      <c r="O7069">
        <v>3</v>
      </c>
      <c r="P7069">
        <v>2</v>
      </c>
      <c r="Q7069">
        <v>0</v>
      </c>
      <c r="R7069" t="s">
        <v>5281</v>
      </c>
      <c r="S7069" t="s">
        <v>4898</v>
      </c>
      <c r="T7069" t="s">
        <v>2704</v>
      </c>
      <c r="U7069" t="s">
        <v>4560</v>
      </c>
      <c r="V7069" s="2">
        <v>657</v>
      </c>
      <c r="W7069" t="s">
        <v>4655</v>
      </c>
      <c r="X7069" s="2">
        <v>0</v>
      </c>
      <c r="Y7069">
        <v>20</v>
      </c>
      <c r="Z7069" t="s">
        <v>1604</v>
      </c>
      <c r="AA7069" s="3">
        <v>0.16657483577728271</v>
      </c>
      <c r="AB7069" t="s">
        <v>33614</v>
      </c>
      <c r="AC7069" t="s">
        <v>4562</v>
      </c>
      <c r="AD7069" t="s">
        <v>33615</v>
      </c>
      <c r="AE7069" t="s">
        <v>4655</v>
      </c>
      <c r="AF7069" t="s">
        <v>4809</v>
      </c>
      <c r="AG7069" t="s">
        <v>4564</v>
      </c>
      <c r="AH7069" t="s">
        <v>1605</v>
      </c>
      <c r="AI7069" t="s">
        <v>3548</v>
      </c>
      <c r="AJ7069" t="s">
        <v>5361</v>
      </c>
      <c r="AK7069" t="s">
        <v>33616</v>
      </c>
      <c r="AL7069" s="13" t="s">
        <v>1899</v>
      </c>
      <c r="AM7069" s="14">
        <v>1</v>
      </c>
      <c r="AN7069" s="15" t="s">
        <v>1685</v>
      </c>
    </row>
    <row r="7070" spans="1:40" x14ac:dyDescent="0.3">
      <c r="A7070" s="10" t="str">
        <f>HYPERLINK("http://www.washoecounty.gov/assessor/cama/?parid=516-361-08&amp;CardNumber=1","516-361-08")</f>
        <v>516-361-08</v>
      </c>
      <c r="B7070" t="s">
        <v>4655</v>
      </c>
      <c r="C7070" t="s">
        <v>33613</v>
      </c>
      <c r="D7070" s="1">
        <v>40465</v>
      </c>
      <c r="E7070" s="2">
        <v>230000</v>
      </c>
      <c r="F7070" t="s">
        <v>4567</v>
      </c>
      <c r="G7070" s="17" t="str">
        <f>HYPERLINK("https://www.washoecounty.gov/assessor/cama/?command=sales&amp;parid=51636108","3933250")</f>
        <v>3933250</v>
      </c>
      <c r="H7070" t="s">
        <v>4510</v>
      </c>
      <c r="I7070">
        <v>2004</v>
      </c>
      <c r="J7070">
        <v>2004</v>
      </c>
      <c r="K7070" t="s">
        <v>4554</v>
      </c>
      <c r="L7070" t="s">
        <v>4555</v>
      </c>
      <c r="M7070" s="2">
        <v>1853</v>
      </c>
      <c r="N7070" t="s">
        <v>3147</v>
      </c>
      <c r="O7070">
        <v>3</v>
      </c>
      <c r="P7070">
        <v>2</v>
      </c>
      <c r="Q7070">
        <v>0</v>
      </c>
      <c r="R7070" t="s">
        <v>5281</v>
      </c>
      <c r="S7070" t="s">
        <v>4898</v>
      </c>
      <c r="T7070" t="s">
        <v>2704</v>
      </c>
      <c r="U7070" t="s">
        <v>4560</v>
      </c>
      <c r="V7070" s="2">
        <v>657</v>
      </c>
      <c r="W7070" t="s">
        <v>4655</v>
      </c>
      <c r="X7070" s="2">
        <v>0</v>
      </c>
      <c r="Y7070">
        <v>20</v>
      </c>
      <c r="Z7070" t="s">
        <v>1604</v>
      </c>
      <c r="AA7070" s="3">
        <v>0.16657483577728271</v>
      </c>
      <c r="AB7070" t="s">
        <v>33614</v>
      </c>
      <c r="AC7070" t="s">
        <v>4562</v>
      </c>
      <c r="AD7070" t="s">
        <v>33615</v>
      </c>
      <c r="AE7070" t="s">
        <v>4655</v>
      </c>
      <c r="AF7070" t="s">
        <v>4809</v>
      </c>
      <c r="AG7070" t="s">
        <v>4564</v>
      </c>
      <c r="AH7070" t="s">
        <v>1605</v>
      </c>
      <c r="AI7070" t="s">
        <v>3548</v>
      </c>
      <c r="AJ7070" t="s">
        <v>5361</v>
      </c>
      <c r="AK7070" t="s">
        <v>33616</v>
      </c>
      <c r="AL7070" s="13" t="s">
        <v>1899</v>
      </c>
      <c r="AM7070">
        <v>1</v>
      </c>
      <c r="AN7070" s="15" t="s">
        <v>1685</v>
      </c>
    </row>
    <row r="7071" spans="1:40" x14ac:dyDescent="0.3">
      <c r="A7071" s="10" t="str">
        <f>HYPERLINK("http://www.washoecounty.gov/assessor/cama/?parid=516-361-13&amp;CardNumber=1","516-361-13")</f>
        <v>516-361-13</v>
      </c>
      <c r="B7071" t="s">
        <v>4655</v>
      </c>
      <c r="C7071" t="s">
        <v>33617</v>
      </c>
      <c r="D7071" s="1">
        <v>40254</v>
      </c>
      <c r="E7071" s="2">
        <v>208500</v>
      </c>
      <c r="F7071" t="s">
        <v>4567</v>
      </c>
      <c r="G7071" s="17" t="str">
        <f>HYPERLINK("https://www.washoecounty.gov/assessor/cama/?command=sales&amp;parid=51636113","3860686")</f>
        <v>3860686</v>
      </c>
      <c r="H7071" t="s">
        <v>4510</v>
      </c>
      <c r="I7071">
        <v>2004</v>
      </c>
      <c r="J7071">
        <v>2004</v>
      </c>
      <c r="K7071" t="s">
        <v>4554</v>
      </c>
      <c r="L7071" t="s">
        <v>4555</v>
      </c>
      <c r="M7071" s="2">
        <v>1853</v>
      </c>
      <c r="N7071" t="s">
        <v>3147</v>
      </c>
      <c r="O7071">
        <v>3</v>
      </c>
      <c r="P7071">
        <v>2</v>
      </c>
      <c r="Q7071">
        <v>0</v>
      </c>
      <c r="R7071" t="s">
        <v>5281</v>
      </c>
      <c r="S7071" t="s">
        <v>4898</v>
      </c>
      <c r="T7071" t="s">
        <v>2704</v>
      </c>
      <c r="U7071" t="s">
        <v>4560</v>
      </c>
      <c r="V7071" s="2">
        <v>657</v>
      </c>
      <c r="W7071" t="s">
        <v>4655</v>
      </c>
      <c r="X7071" s="2">
        <v>0</v>
      </c>
      <c r="Y7071">
        <v>20</v>
      </c>
      <c r="Z7071" t="s">
        <v>1604</v>
      </c>
      <c r="AA7071" s="3">
        <v>0.18820019066333801</v>
      </c>
      <c r="AB7071" t="s">
        <v>33618</v>
      </c>
      <c r="AC7071" t="s">
        <v>4562</v>
      </c>
      <c r="AD7071" t="s">
        <v>33617</v>
      </c>
      <c r="AE7071" t="s">
        <v>4655</v>
      </c>
      <c r="AF7071" t="s">
        <v>5201</v>
      </c>
      <c r="AG7071" t="s">
        <v>4564</v>
      </c>
      <c r="AH7071" t="s">
        <v>1605</v>
      </c>
      <c r="AI7071" t="s">
        <v>33619</v>
      </c>
      <c r="AJ7071" t="s">
        <v>5361</v>
      </c>
      <c r="AK7071" t="s">
        <v>33620</v>
      </c>
      <c r="AL7071" s="13" t="s">
        <v>1899</v>
      </c>
      <c r="AM7071">
        <v>1</v>
      </c>
      <c r="AN7071" s="15" t="s">
        <v>1685</v>
      </c>
    </row>
    <row r="7072" spans="1:40" x14ac:dyDescent="0.3">
      <c r="A7072" s="10" t="str">
        <f>HYPERLINK("http://www.washoecounty.gov/assessor/cama/?parid=516-362-06&amp;CardNumber=1","516-362-06")</f>
        <v>516-362-06</v>
      </c>
      <c r="B7072" t="s">
        <v>4655</v>
      </c>
      <c r="C7072" t="s">
        <v>33621</v>
      </c>
      <c r="D7072" s="1">
        <v>40424</v>
      </c>
      <c r="E7072" s="2">
        <v>225000</v>
      </c>
      <c r="F7072" t="s">
        <v>4567</v>
      </c>
      <c r="G7072" s="17" t="str">
        <f>HYPERLINK("https://www.washoecounty.gov/assessor/cama/?command=sales&amp;parid=51636206","3918791")</f>
        <v>3918791</v>
      </c>
      <c r="H7072" t="s">
        <v>5318</v>
      </c>
      <c r="I7072">
        <v>2004</v>
      </c>
      <c r="J7072">
        <v>2004</v>
      </c>
      <c r="K7072" t="s">
        <v>4554</v>
      </c>
      <c r="L7072" t="s">
        <v>3974</v>
      </c>
      <c r="M7072" s="2">
        <v>2533</v>
      </c>
      <c r="N7072" t="s">
        <v>3147</v>
      </c>
      <c r="O7072">
        <v>4</v>
      </c>
      <c r="P7072">
        <v>2</v>
      </c>
      <c r="Q7072">
        <v>1</v>
      </c>
      <c r="R7072" t="s">
        <v>5281</v>
      </c>
      <c r="S7072" t="s">
        <v>4898</v>
      </c>
      <c r="T7072" t="s">
        <v>2704</v>
      </c>
      <c r="U7072" t="s">
        <v>4560</v>
      </c>
      <c r="V7072" s="2">
        <v>660</v>
      </c>
      <c r="W7072" t="s">
        <v>4655</v>
      </c>
      <c r="X7072" s="2">
        <v>0</v>
      </c>
      <c r="Y7072">
        <v>20</v>
      </c>
      <c r="Z7072" t="s">
        <v>1604</v>
      </c>
      <c r="AA7072" s="3">
        <v>0.19931130111217499</v>
      </c>
      <c r="AB7072" t="s">
        <v>33622</v>
      </c>
      <c r="AC7072" t="s">
        <v>4562</v>
      </c>
      <c r="AD7072" t="s">
        <v>33621</v>
      </c>
      <c r="AE7072" t="s">
        <v>4655</v>
      </c>
      <c r="AF7072" t="s">
        <v>5201</v>
      </c>
      <c r="AG7072" t="s">
        <v>4564</v>
      </c>
      <c r="AH7072" t="s">
        <v>1605</v>
      </c>
      <c r="AI7072" t="s">
        <v>33623</v>
      </c>
      <c r="AJ7072" t="s">
        <v>5361</v>
      </c>
      <c r="AK7072" t="s">
        <v>33624</v>
      </c>
      <c r="AL7072" s="13" t="s">
        <v>1899</v>
      </c>
      <c r="AM7072" s="14">
        <v>1</v>
      </c>
      <c r="AN7072" s="15" t="s">
        <v>1685</v>
      </c>
    </row>
    <row r="7073" spans="1:40" x14ac:dyDescent="0.3">
      <c r="A7073" s="10" t="str">
        <f>HYPERLINK("http://www.washoecounty.gov/assessor/cama/?parid=516-362-13&amp;CardNumber=1","516-362-13")</f>
        <v>516-362-13</v>
      </c>
      <c r="B7073" t="s">
        <v>4655</v>
      </c>
      <c r="C7073" t="s">
        <v>33625</v>
      </c>
      <c r="D7073" s="1">
        <v>40417</v>
      </c>
      <c r="E7073" s="2">
        <v>240000</v>
      </c>
      <c r="F7073" t="s">
        <v>4567</v>
      </c>
      <c r="G7073" s="17" t="str">
        <f>HYPERLINK("https://www.washoecounty.gov/assessor/cama/?command=sales&amp;parid=51636213","3916314")</f>
        <v>3916314</v>
      </c>
      <c r="H7073" t="s">
        <v>4510</v>
      </c>
      <c r="I7073">
        <v>2004</v>
      </c>
      <c r="J7073">
        <v>2004</v>
      </c>
      <c r="K7073" t="s">
        <v>4554</v>
      </c>
      <c r="L7073" t="s">
        <v>3974</v>
      </c>
      <c r="M7073" s="2">
        <v>2813</v>
      </c>
      <c r="N7073" t="s">
        <v>3147</v>
      </c>
      <c r="O7073">
        <v>4</v>
      </c>
      <c r="P7073">
        <v>2</v>
      </c>
      <c r="Q7073">
        <v>1</v>
      </c>
      <c r="R7073" t="s">
        <v>5281</v>
      </c>
      <c r="S7073" t="s">
        <v>4898</v>
      </c>
      <c r="T7073" t="s">
        <v>2704</v>
      </c>
      <c r="U7073" t="s">
        <v>4560</v>
      </c>
      <c r="V7073" s="2">
        <v>660</v>
      </c>
      <c r="W7073" t="s">
        <v>4655</v>
      </c>
      <c r="X7073" s="2">
        <v>0</v>
      </c>
      <c r="Y7073">
        <v>20</v>
      </c>
      <c r="Z7073" t="s">
        <v>1604</v>
      </c>
      <c r="AA7073" s="3">
        <v>0.23996786773204801</v>
      </c>
      <c r="AB7073" t="s">
        <v>33626</v>
      </c>
      <c r="AC7073" t="s">
        <v>4562</v>
      </c>
      <c r="AD7073" t="s">
        <v>33627</v>
      </c>
      <c r="AE7073" t="s">
        <v>4655</v>
      </c>
      <c r="AF7073" t="s">
        <v>4563</v>
      </c>
      <c r="AG7073" t="s">
        <v>4564</v>
      </c>
      <c r="AH7073">
        <v>89509</v>
      </c>
      <c r="AI7073" t="s">
        <v>33628</v>
      </c>
      <c r="AJ7073" t="s">
        <v>5361</v>
      </c>
      <c r="AK7073" t="s">
        <v>33629</v>
      </c>
      <c r="AL7073" s="13" t="s">
        <v>1899</v>
      </c>
      <c r="AM7073" s="14">
        <v>1</v>
      </c>
      <c r="AN7073" s="15" t="s">
        <v>1685</v>
      </c>
    </row>
    <row r="7074" spans="1:40" x14ac:dyDescent="0.3">
      <c r="A7074" s="10" t="str">
        <f>HYPERLINK("http://www.washoecounty.gov/assessor/cama/?parid=516-362-16&amp;CardNumber=1","516-362-16")</f>
        <v>516-362-16</v>
      </c>
      <c r="B7074" t="s">
        <v>4655</v>
      </c>
      <c r="C7074" t="s">
        <v>33630</v>
      </c>
      <c r="D7074" s="1">
        <v>40340</v>
      </c>
      <c r="E7074" s="2">
        <v>249000</v>
      </c>
      <c r="F7074" t="s">
        <v>4567</v>
      </c>
      <c r="G7074" s="17" t="str">
        <f>HYPERLINK("https://www.washoecounty.gov/assessor/cama/?command=sales&amp;parid=51636216","3891034")</f>
        <v>3891034</v>
      </c>
      <c r="H7074" t="s">
        <v>4510</v>
      </c>
      <c r="I7074">
        <v>2004</v>
      </c>
      <c r="J7074">
        <v>2004</v>
      </c>
      <c r="K7074" t="s">
        <v>4554</v>
      </c>
      <c r="L7074" t="s">
        <v>4555</v>
      </c>
      <c r="M7074" s="2">
        <v>1853</v>
      </c>
      <c r="N7074" t="s">
        <v>3147</v>
      </c>
      <c r="O7074">
        <v>3</v>
      </c>
      <c r="P7074">
        <v>2</v>
      </c>
      <c r="Q7074">
        <v>0</v>
      </c>
      <c r="R7074" t="s">
        <v>5281</v>
      </c>
      <c r="S7074" t="s">
        <v>4898</v>
      </c>
      <c r="T7074" t="s">
        <v>2704</v>
      </c>
      <c r="U7074" t="s">
        <v>4560</v>
      </c>
      <c r="V7074" s="2">
        <v>657</v>
      </c>
      <c r="W7074" t="s">
        <v>4655</v>
      </c>
      <c r="X7074" s="2">
        <v>0</v>
      </c>
      <c r="Y7074">
        <v>20</v>
      </c>
      <c r="Z7074" t="s">
        <v>1604</v>
      </c>
      <c r="AA7074" s="3">
        <v>0.160697892308235</v>
      </c>
      <c r="AB7074" t="s">
        <v>33631</v>
      </c>
      <c r="AC7074" t="s">
        <v>4562</v>
      </c>
      <c r="AD7074" t="s">
        <v>33630</v>
      </c>
      <c r="AE7074" t="s">
        <v>4655</v>
      </c>
      <c r="AF7074" t="s">
        <v>5201</v>
      </c>
      <c r="AG7074" t="s">
        <v>4564</v>
      </c>
      <c r="AH7074" t="s">
        <v>1605</v>
      </c>
      <c r="AI7074" t="s">
        <v>33632</v>
      </c>
      <c r="AJ7074" t="s">
        <v>5361</v>
      </c>
      <c r="AK7074" t="s">
        <v>33633</v>
      </c>
      <c r="AL7074" s="13" t="s">
        <v>1899</v>
      </c>
      <c r="AM7074" s="14">
        <v>1</v>
      </c>
      <c r="AN7074" s="15" t="s">
        <v>1685</v>
      </c>
    </row>
    <row r="7075" spans="1:40" x14ac:dyDescent="0.3">
      <c r="A7075" s="10" t="str">
        <f>HYPERLINK("http://www.washoecounty.gov/assessor/cama/?parid=516-362-19&amp;CardNumber=1","516-362-19")</f>
        <v>516-362-19</v>
      </c>
      <c r="B7075" t="s">
        <v>4655</v>
      </c>
      <c r="C7075" t="s">
        <v>33634</v>
      </c>
      <c r="D7075" s="1">
        <v>40403</v>
      </c>
      <c r="E7075" s="2">
        <v>180000</v>
      </c>
      <c r="F7075" t="s">
        <v>4567</v>
      </c>
      <c r="G7075" s="17" t="str">
        <f>HYPERLINK("https://www.washoecounty.gov/assessor/cama/?command=sales&amp;parid=51636219","3911932")</f>
        <v>3911932</v>
      </c>
      <c r="H7075" t="s">
        <v>4510</v>
      </c>
      <c r="I7075">
        <v>2004</v>
      </c>
      <c r="J7075">
        <v>2004</v>
      </c>
      <c r="K7075" t="s">
        <v>4554</v>
      </c>
      <c r="L7075" t="s">
        <v>4555</v>
      </c>
      <c r="M7075" s="2">
        <v>1853</v>
      </c>
      <c r="N7075" t="s">
        <v>3147</v>
      </c>
      <c r="O7075">
        <v>3</v>
      </c>
      <c r="P7075">
        <v>2</v>
      </c>
      <c r="Q7075">
        <v>0</v>
      </c>
      <c r="R7075" t="s">
        <v>5281</v>
      </c>
      <c r="S7075" t="s">
        <v>4898</v>
      </c>
      <c r="T7075" t="s">
        <v>2704</v>
      </c>
      <c r="U7075" t="s">
        <v>4560</v>
      </c>
      <c r="V7075" s="2">
        <v>657</v>
      </c>
      <c r="W7075" t="s">
        <v>4655</v>
      </c>
      <c r="X7075" s="2">
        <v>0</v>
      </c>
      <c r="Y7075">
        <v>20</v>
      </c>
      <c r="Z7075" t="s">
        <v>1604</v>
      </c>
      <c r="AA7075" s="3">
        <v>0.160697892308235</v>
      </c>
      <c r="AB7075" t="s">
        <v>33635</v>
      </c>
      <c r="AC7075" t="s">
        <v>4575</v>
      </c>
      <c r="AD7075" t="s">
        <v>33634</v>
      </c>
      <c r="AE7075" t="s">
        <v>4655</v>
      </c>
      <c r="AF7075" t="s">
        <v>5201</v>
      </c>
      <c r="AG7075" t="s">
        <v>4564</v>
      </c>
      <c r="AH7075" t="s">
        <v>1605</v>
      </c>
      <c r="AI7075" t="s">
        <v>4655</v>
      </c>
      <c r="AJ7075" t="s">
        <v>5361</v>
      </c>
      <c r="AK7075" t="s">
        <v>33636</v>
      </c>
      <c r="AL7075" s="13" t="s">
        <v>1899</v>
      </c>
      <c r="AM7075">
        <v>1</v>
      </c>
      <c r="AN7075" s="15" t="s">
        <v>1685</v>
      </c>
    </row>
    <row r="7076" spans="1:40" x14ac:dyDescent="0.3">
      <c r="A7076" s="10" t="str">
        <f>HYPERLINK("http://www.washoecounty.gov/assessor/cama/?parid=516-363-04&amp;CardNumber=1","516-363-04")</f>
        <v>516-363-04</v>
      </c>
      <c r="B7076" t="s">
        <v>4655</v>
      </c>
      <c r="C7076" t="s">
        <v>33637</v>
      </c>
      <c r="D7076" s="1">
        <v>40326</v>
      </c>
      <c r="E7076" s="2">
        <v>248000</v>
      </c>
      <c r="F7076" t="s">
        <v>4553</v>
      </c>
      <c r="G7076" s="17" t="str">
        <f>HYPERLINK("https://www.washoecounty.gov/assessor/cama/?command=sales&amp;parid=51636304","3886804")</f>
        <v>3886804</v>
      </c>
      <c r="H7076" t="s">
        <v>4510</v>
      </c>
      <c r="I7076">
        <v>2004</v>
      </c>
      <c r="J7076">
        <v>2004</v>
      </c>
      <c r="K7076" t="s">
        <v>4554</v>
      </c>
      <c r="L7076" t="s">
        <v>3974</v>
      </c>
      <c r="M7076" s="2">
        <v>2813</v>
      </c>
      <c r="N7076" t="s">
        <v>3147</v>
      </c>
      <c r="O7076">
        <v>4</v>
      </c>
      <c r="P7076">
        <v>2</v>
      </c>
      <c r="Q7076">
        <v>1</v>
      </c>
      <c r="R7076" t="s">
        <v>5281</v>
      </c>
      <c r="S7076" t="s">
        <v>4898</v>
      </c>
      <c r="T7076" t="s">
        <v>2704</v>
      </c>
      <c r="U7076" t="s">
        <v>4560</v>
      </c>
      <c r="V7076" s="2">
        <v>660</v>
      </c>
      <c r="W7076" t="s">
        <v>4655</v>
      </c>
      <c r="X7076" s="2">
        <v>0</v>
      </c>
      <c r="Y7076">
        <v>20</v>
      </c>
      <c r="Z7076" t="s">
        <v>1604</v>
      </c>
      <c r="AA7076" s="3">
        <v>0.18078511953353901</v>
      </c>
      <c r="AB7076" t="s">
        <v>33638</v>
      </c>
      <c r="AC7076" t="s">
        <v>4575</v>
      </c>
      <c r="AD7076" t="s">
        <v>33639</v>
      </c>
      <c r="AE7076" t="s">
        <v>4655</v>
      </c>
      <c r="AF7076" t="s">
        <v>4809</v>
      </c>
      <c r="AG7076" t="s">
        <v>4564</v>
      </c>
      <c r="AH7076" t="s">
        <v>1605</v>
      </c>
      <c r="AI7076" t="s">
        <v>33640</v>
      </c>
      <c r="AJ7076" t="s">
        <v>5361</v>
      </c>
      <c r="AK7076" t="s">
        <v>33641</v>
      </c>
      <c r="AL7076" s="13" t="s">
        <v>1899</v>
      </c>
      <c r="AM7076" s="14">
        <v>1</v>
      </c>
      <c r="AN7076" s="15" t="s">
        <v>1685</v>
      </c>
    </row>
    <row r="7077" spans="1:40" x14ac:dyDescent="0.3">
      <c r="A7077" s="10" t="str">
        <f>HYPERLINK("http://www.washoecounty.gov/assessor/cama/?parid=516-364-04&amp;CardNumber=1","516-364-04")</f>
        <v>516-364-04</v>
      </c>
      <c r="B7077" t="s">
        <v>4655</v>
      </c>
      <c r="C7077" t="s">
        <v>33642</v>
      </c>
      <c r="D7077" s="1">
        <v>40492</v>
      </c>
      <c r="E7077" s="2">
        <v>185000</v>
      </c>
      <c r="F7077" t="s">
        <v>4553</v>
      </c>
      <c r="G7077" s="17" t="str">
        <f>HYPERLINK("https://www.washoecounty.gov/assessor/cama/?command=sales&amp;parid=51636404","3942020")</f>
        <v>3942020</v>
      </c>
      <c r="H7077" t="s">
        <v>5318</v>
      </c>
      <c r="I7077">
        <v>2004</v>
      </c>
      <c r="J7077">
        <v>2004</v>
      </c>
      <c r="K7077" t="s">
        <v>4554</v>
      </c>
      <c r="L7077" t="s">
        <v>3974</v>
      </c>
      <c r="M7077" s="2">
        <v>2081</v>
      </c>
      <c r="N7077" t="s">
        <v>3147</v>
      </c>
      <c r="O7077">
        <v>3</v>
      </c>
      <c r="P7077">
        <v>2</v>
      </c>
      <c r="Q7077">
        <v>1</v>
      </c>
      <c r="R7077" t="s">
        <v>5281</v>
      </c>
      <c r="S7077" t="s">
        <v>4898</v>
      </c>
      <c r="T7077" t="s">
        <v>2704</v>
      </c>
      <c r="U7077" t="s">
        <v>4560</v>
      </c>
      <c r="V7077" s="2">
        <v>600</v>
      </c>
      <c r="W7077" t="s">
        <v>4655</v>
      </c>
      <c r="X7077" s="2">
        <v>0</v>
      </c>
      <c r="Y7077">
        <v>20</v>
      </c>
      <c r="Z7077" t="s">
        <v>1604</v>
      </c>
      <c r="AA7077" s="3">
        <v>0.19559228420257599</v>
      </c>
      <c r="AB7077" t="s">
        <v>33643</v>
      </c>
      <c r="AC7077" t="s">
        <v>4562</v>
      </c>
      <c r="AD7077" t="s">
        <v>33642</v>
      </c>
      <c r="AE7077" t="s">
        <v>4655</v>
      </c>
      <c r="AF7077" t="s">
        <v>5201</v>
      </c>
      <c r="AG7077" t="s">
        <v>4564</v>
      </c>
      <c r="AH7077" t="s">
        <v>1605</v>
      </c>
      <c r="AI7077" t="s">
        <v>4794</v>
      </c>
      <c r="AJ7077" t="s">
        <v>5361</v>
      </c>
      <c r="AK7077" t="s">
        <v>33644</v>
      </c>
      <c r="AL7077" s="13" t="s">
        <v>1899</v>
      </c>
      <c r="AM7077">
        <v>1</v>
      </c>
      <c r="AN7077" s="15" t="s">
        <v>1685</v>
      </c>
    </row>
    <row r="7078" spans="1:40" x14ac:dyDescent="0.3">
      <c r="A7078" s="10" t="str">
        <f>HYPERLINK("http://www.washoecounty.gov/assessor/cama/?parid=516-371-01&amp;CardNumber=1","516-371-01")</f>
        <v>516-371-01</v>
      </c>
      <c r="B7078" t="s">
        <v>4655</v>
      </c>
      <c r="C7078" t="s">
        <v>33645</v>
      </c>
      <c r="D7078" s="1">
        <v>40527</v>
      </c>
      <c r="E7078" s="2">
        <v>180000</v>
      </c>
      <c r="F7078" t="s">
        <v>4567</v>
      </c>
      <c r="G7078" s="17" t="str">
        <f>HYPERLINK("https://www.washoecounty.gov/assessor/cama/?command=sales&amp;parid=51637101","3953750")</f>
        <v>3953750</v>
      </c>
      <c r="H7078" t="s">
        <v>5162</v>
      </c>
      <c r="I7078">
        <v>2005</v>
      </c>
      <c r="J7078">
        <v>2005</v>
      </c>
      <c r="K7078" t="s">
        <v>4554</v>
      </c>
      <c r="L7078" t="s">
        <v>4555</v>
      </c>
      <c r="M7078" s="2">
        <v>1853</v>
      </c>
      <c r="N7078" t="s">
        <v>3147</v>
      </c>
      <c r="O7078">
        <v>3</v>
      </c>
      <c r="P7078">
        <v>2</v>
      </c>
      <c r="Q7078">
        <v>0</v>
      </c>
      <c r="R7078" t="s">
        <v>5281</v>
      </c>
      <c r="S7078" t="s">
        <v>4898</v>
      </c>
      <c r="T7078" t="s">
        <v>2704</v>
      </c>
      <c r="U7078" t="s">
        <v>4560</v>
      </c>
      <c r="V7078" s="2">
        <v>657</v>
      </c>
      <c r="W7078" t="s">
        <v>4655</v>
      </c>
      <c r="X7078" s="2">
        <v>0</v>
      </c>
      <c r="Y7078">
        <v>20</v>
      </c>
      <c r="Z7078" t="s">
        <v>1604</v>
      </c>
      <c r="AA7078" s="3">
        <v>0.21338383853435516</v>
      </c>
      <c r="AB7078" t="s">
        <v>33646</v>
      </c>
      <c r="AC7078" t="s">
        <v>4575</v>
      </c>
      <c r="AD7078" t="s">
        <v>33645</v>
      </c>
      <c r="AE7078" t="s">
        <v>4655</v>
      </c>
      <c r="AF7078" t="s">
        <v>5201</v>
      </c>
      <c r="AG7078" t="s">
        <v>4564</v>
      </c>
      <c r="AH7078" t="s">
        <v>1605</v>
      </c>
      <c r="AI7078" t="s">
        <v>33647</v>
      </c>
      <c r="AJ7078" t="s">
        <v>1684</v>
      </c>
      <c r="AK7078" t="s">
        <v>33648</v>
      </c>
      <c r="AL7078" s="13" t="s">
        <v>1899</v>
      </c>
      <c r="AM7078">
        <v>1</v>
      </c>
      <c r="AN7078" s="15" t="s">
        <v>1685</v>
      </c>
    </row>
    <row r="7079" spans="1:40" x14ac:dyDescent="0.3">
      <c r="A7079" s="10" t="str">
        <f>HYPERLINK("http://www.washoecounty.gov/assessor/cama/?parid=516-371-05&amp;CardNumber=1","516-371-05")</f>
        <v>516-371-05</v>
      </c>
      <c r="B7079" t="s">
        <v>4655</v>
      </c>
      <c r="C7079" t="s">
        <v>33649</v>
      </c>
      <c r="D7079" s="1">
        <v>40305</v>
      </c>
      <c r="E7079" s="2">
        <v>239000</v>
      </c>
      <c r="F7079" t="s">
        <v>4567</v>
      </c>
      <c r="G7079" s="17" t="str">
        <f>HYPERLINK("https://www.washoecounty.gov/assessor/cama/?command=sales&amp;parid=51637105","3879243")</f>
        <v>3879243</v>
      </c>
      <c r="H7079" t="s">
        <v>5162</v>
      </c>
      <c r="I7079">
        <v>2005</v>
      </c>
      <c r="J7079">
        <v>2005</v>
      </c>
      <c r="K7079" t="s">
        <v>4554</v>
      </c>
      <c r="L7079" t="s">
        <v>3974</v>
      </c>
      <c r="M7079" s="2">
        <v>2545</v>
      </c>
      <c r="N7079" t="s">
        <v>3147</v>
      </c>
      <c r="O7079">
        <v>4</v>
      </c>
      <c r="P7079">
        <v>2</v>
      </c>
      <c r="Q7079">
        <v>1</v>
      </c>
      <c r="R7079" t="s">
        <v>5281</v>
      </c>
      <c r="S7079" t="s">
        <v>4898</v>
      </c>
      <c r="T7079" t="s">
        <v>2704</v>
      </c>
      <c r="U7079" t="s">
        <v>4560</v>
      </c>
      <c r="V7079" s="2">
        <v>660</v>
      </c>
      <c r="W7079" t="s">
        <v>4655</v>
      </c>
      <c r="X7079" s="2">
        <v>0</v>
      </c>
      <c r="Y7079">
        <v>20</v>
      </c>
      <c r="Z7079" t="s">
        <v>1604</v>
      </c>
      <c r="AA7079" s="3">
        <v>0.19717630743980399</v>
      </c>
      <c r="AB7079" t="s">
        <v>33650</v>
      </c>
      <c r="AC7079" t="s">
        <v>4562</v>
      </c>
      <c r="AD7079" t="s">
        <v>33649</v>
      </c>
      <c r="AE7079" t="s">
        <v>4655</v>
      </c>
      <c r="AF7079" t="s">
        <v>5201</v>
      </c>
      <c r="AG7079" t="s">
        <v>4564</v>
      </c>
      <c r="AH7079" t="s">
        <v>1605</v>
      </c>
      <c r="AI7079" t="s">
        <v>4655</v>
      </c>
      <c r="AJ7079" t="s">
        <v>1684</v>
      </c>
      <c r="AK7079" t="s">
        <v>33651</v>
      </c>
      <c r="AL7079" s="13" t="s">
        <v>1899</v>
      </c>
      <c r="AM7079">
        <v>1</v>
      </c>
      <c r="AN7079" s="15" t="s">
        <v>1685</v>
      </c>
    </row>
    <row r="7080" spans="1:40" x14ac:dyDescent="0.3">
      <c r="A7080" s="10" t="str">
        <f>HYPERLINK("http://www.washoecounty.gov/assessor/cama/?parid=516-371-20&amp;CardNumber=1","516-371-20")</f>
        <v>516-371-20</v>
      </c>
      <c r="B7080" t="s">
        <v>4655</v>
      </c>
      <c r="C7080" t="s">
        <v>33652</v>
      </c>
      <c r="D7080" s="1">
        <v>40231</v>
      </c>
      <c r="E7080" s="2">
        <v>212000</v>
      </c>
      <c r="F7080" t="s">
        <v>4567</v>
      </c>
      <c r="G7080" s="17" t="str">
        <f>HYPERLINK("https://www.washoecounty.gov/assessor/cama/?command=sales&amp;parid=51637120","3851340")</f>
        <v>3851340</v>
      </c>
      <c r="H7080" t="s">
        <v>4655</v>
      </c>
      <c r="I7080">
        <v>2004</v>
      </c>
      <c r="J7080">
        <v>2004</v>
      </c>
      <c r="K7080" t="s">
        <v>4554</v>
      </c>
      <c r="L7080" t="s">
        <v>4555</v>
      </c>
      <c r="M7080" s="2">
        <v>1853</v>
      </c>
      <c r="N7080" t="s">
        <v>3147</v>
      </c>
      <c r="O7080">
        <v>3</v>
      </c>
      <c r="P7080">
        <v>2</v>
      </c>
      <c r="Q7080">
        <v>0</v>
      </c>
      <c r="R7080" t="s">
        <v>5281</v>
      </c>
      <c r="S7080" t="s">
        <v>4898</v>
      </c>
      <c r="T7080" t="s">
        <v>2704</v>
      </c>
      <c r="U7080" t="s">
        <v>4560</v>
      </c>
      <c r="V7080" s="2">
        <v>657</v>
      </c>
      <c r="W7080" t="s">
        <v>4655</v>
      </c>
      <c r="X7080" s="2">
        <v>0</v>
      </c>
      <c r="Y7080">
        <v>20</v>
      </c>
      <c r="Z7080" t="s">
        <v>1604</v>
      </c>
      <c r="AA7080" s="3">
        <v>0.160697892308235</v>
      </c>
      <c r="AB7080" t="s">
        <v>594</v>
      </c>
      <c r="AC7080" t="s">
        <v>4562</v>
      </c>
      <c r="AD7080" t="s">
        <v>1683</v>
      </c>
      <c r="AE7080" t="s">
        <v>4655</v>
      </c>
      <c r="AF7080" t="s">
        <v>4809</v>
      </c>
      <c r="AG7080" t="s">
        <v>4564</v>
      </c>
      <c r="AH7080" t="s">
        <v>1605</v>
      </c>
      <c r="AI7080" t="s">
        <v>33653</v>
      </c>
      <c r="AJ7080" t="s">
        <v>1684</v>
      </c>
      <c r="AK7080" t="s">
        <v>33654</v>
      </c>
      <c r="AL7080" s="13" t="s">
        <v>1899</v>
      </c>
      <c r="AM7080">
        <v>1</v>
      </c>
      <c r="AN7080" s="15" t="s">
        <v>1685</v>
      </c>
    </row>
    <row r="7081" spans="1:40" x14ac:dyDescent="0.3">
      <c r="A7081" s="10" t="str">
        <f>HYPERLINK("http://www.washoecounty.gov/assessor/cama/?parid=516-372-01&amp;CardNumber=1","516-372-01")</f>
        <v>516-372-01</v>
      </c>
      <c r="B7081" t="s">
        <v>4655</v>
      </c>
      <c r="C7081" t="s">
        <v>33655</v>
      </c>
      <c r="D7081" s="1">
        <v>40267</v>
      </c>
      <c r="E7081" s="2">
        <v>208000</v>
      </c>
      <c r="F7081" t="s">
        <v>4567</v>
      </c>
      <c r="G7081" s="17" t="str">
        <f>HYPERLINK("https://www.washoecounty.gov/assessor/cama/?command=sales&amp;parid=51637201","3865661")</f>
        <v>3865661</v>
      </c>
      <c r="H7081" t="s">
        <v>5162</v>
      </c>
      <c r="I7081">
        <v>2004</v>
      </c>
      <c r="J7081">
        <v>2004</v>
      </c>
      <c r="K7081" t="s">
        <v>4554</v>
      </c>
      <c r="L7081" t="s">
        <v>4555</v>
      </c>
      <c r="M7081" s="2">
        <v>1853</v>
      </c>
      <c r="N7081" t="s">
        <v>3147</v>
      </c>
      <c r="O7081">
        <v>3</v>
      </c>
      <c r="P7081">
        <v>2</v>
      </c>
      <c r="Q7081">
        <v>0</v>
      </c>
      <c r="R7081" t="s">
        <v>5281</v>
      </c>
      <c r="S7081" t="s">
        <v>4898</v>
      </c>
      <c r="T7081" t="s">
        <v>2704</v>
      </c>
      <c r="U7081" t="s">
        <v>4560</v>
      </c>
      <c r="V7081" s="2">
        <v>657</v>
      </c>
      <c r="W7081" t="s">
        <v>4655</v>
      </c>
      <c r="X7081" s="2">
        <v>0</v>
      </c>
      <c r="Y7081">
        <v>20</v>
      </c>
      <c r="Z7081" t="s">
        <v>1604</v>
      </c>
      <c r="AA7081" s="3">
        <v>0.178535357117653</v>
      </c>
      <c r="AB7081" t="s">
        <v>33656</v>
      </c>
      <c r="AC7081" t="s">
        <v>4562</v>
      </c>
      <c r="AD7081" t="s">
        <v>33655</v>
      </c>
      <c r="AE7081" t="s">
        <v>4655</v>
      </c>
      <c r="AF7081" t="s">
        <v>5201</v>
      </c>
      <c r="AG7081" t="s">
        <v>4564</v>
      </c>
      <c r="AH7081" t="s">
        <v>1605</v>
      </c>
      <c r="AI7081" t="s">
        <v>33657</v>
      </c>
      <c r="AJ7081" t="s">
        <v>1684</v>
      </c>
      <c r="AK7081" t="s">
        <v>33658</v>
      </c>
      <c r="AL7081" s="13" t="s">
        <v>1899</v>
      </c>
      <c r="AM7081" s="14">
        <v>1</v>
      </c>
      <c r="AN7081" s="15" t="s">
        <v>1685</v>
      </c>
    </row>
    <row r="7082" spans="1:40" x14ac:dyDescent="0.3">
      <c r="A7082" s="10" t="str">
        <f>HYPERLINK("http://www.washoecounty.gov/assessor/cama/?parid=516-372-08&amp;CardNumber=1","516-372-08")</f>
        <v>516-372-08</v>
      </c>
      <c r="B7082" t="s">
        <v>4655</v>
      </c>
      <c r="C7082" t="s">
        <v>33659</v>
      </c>
      <c r="D7082" s="1">
        <v>40351</v>
      </c>
      <c r="E7082" s="2">
        <v>233800</v>
      </c>
      <c r="F7082" t="s">
        <v>4567</v>
      </c>
      <c r="G7082" s="17" t="str">
        <f>HYPERLINK("https://www.washoecounty.gov/assessor/cama/?command=sales&amp;parid=51637208","3894372")</f>
        <v>3894372</v>
      </c>
      <c r="H7082" t="s">
        <v>5162</v>
      </c>
      <c r="I7082">
        <v>2004</v>
      </c>
      <c r="J7082">
        <v>2004</v>
      </c>
      <c r="K7082" t="s">
        <v>4554</v>
      </c>
      <c r="L7082" t="s">
        <v>3974</v>
      </c>
      <c r="M7082" s="2">
        <v>2813</v>
      </c>
      <c r="N7082" t="s">
        <v>3147</v>
      </c>
      <c r="O7082">
        <v>4</v>
      </c>
      <c r="P7082">
        <v>2</v>
      </c>
      <c r="Q7082">
        <v>1</v>
      </c>
      <c r="R7082" t="s">
        <v>5281</v>
      </c>
      <c r="S7082" t="s">
        <v>4898</v>
      </c>
      <c r="T7082" t="s">
        <v>2704</v>
      </c>
      <c r="U7082" t="s">
        <v>4560</v>
      </c>
      <c r="V7082" s="2">
        <v>660</v>
      </c>
      <c r="W7082" t="s">
        <v>4655</v>
      </c>
      <c r="X7082" s="2">
        <v>0</v>
      </c>
      <c r="Y7082">
        <v>20</v>
      </c>
      <c r="Z7082" t="s">
        <v>1604</v>
      </c>
      <c r="AA7082" s="3">
        <v>0.16875573992729187</v>
      </c>
      <c r="AB7082" t="s">
        <v>33660</v>
      </c>
      <c r="AC7082" t="s">
        <v>4562</v>
      </c>
      <c r="AD7082" t="s">
        <v>33661</v>
      </c>
      <c r="AE7082" t="s">
        <v>4655</v>
      </c>
      <c r="AF7082" t="s">
        <v>930</v>
      </c>
      <c r="AG7082" t="s">
        <v>1188</v>
      </c>
      <c r="AH7082" t="s">
        <v>33662</v>
      </c>
      <c r="AI7082" t="s">
        <v>33663</v>
      </c>
      <c r="AJ7082" t="s">
        <v>1684</v>
      </c>
      <c r="AK7082" t="s">
        <v>33664</v>
      </c>
      <c r="AL7082" s="13" t="s">
        <v>1899</v>
      </c>
      <c r="AM7082">
        <v>1</v>
      </c>
      <c r="AN7082" s="15" t="s">
        <v>1685</v>
      </c>
    </row>
    <row r="7083" spans="1:40" x14ac:dyDescent="0.3">
      <c r="A7083" s="10" t="str">
        <f>HYPERLINK("http://www.washoecounty.gov/assessor/cama/?parid=516-372-14&amp;CardNumber=1","516-372-14")</f>
        <v>516-372-14</v>
      </c>
      <c r="B7083" t="s">
        <v>4655</v>
      </c>
      <c r="C7083" t="s">
        <v>33665</v>
      </c>
      <c r="D7083" s="1">
        <v>40234</v>
      </c>
      <c r="E7083" s="2">
        <v>184900</v>
      </c>
      <c r="F7083" t="s">
        <v>4553</v>
      </c>
      <c r="G7083" s="17" t="str">
        <f>HYPERLINK("https://www.washoecounty.gov/assessor/cama/?command=sales&amp;parid=51637214","3852673")</f>
        <v>3852673</v>
      </c>
      <c r="H7083" t="s">
        <v>5162</v>
      </c>
      <c r="I7083">
        <v>2004</v>
      </c>
      <c r="J7083">
        <v>2004</v>
      </c>
      <c r="K7083" t="s">
        <v>4554</v>
      </c>
      <c r="L7083" t="s">
        <v>4555</v>
      </c>
      <c r="M7083" s="2">
        <v>1853</v>
      </c>
      <c r="N7083" t="s">
        <v>3147</v>
      </c>
      <c r="O7083">
        <v>3</v>
      </c>
      <c r="P7083">
        <v>2</v>
      </c>
      <c r="Q7083">
        <v>0</v>
      </c>
      <c r="R7083" t="s">
        <v>5281</v>
      </c>
      <c r="S7083" t="s">
        <v>4898</v>
      </c>
      <c r="T7083" t="s">
        <v>2704</v>
      </c>
      <c r="U7083" t="s">
        <v>4560</v>
      </c>
      <c r="V7083" s="2">
        <v>657</v>
      </c>
      <c r="W7083" t="s">
        <v>4655</v>
      </c>
      <c r="X7083" s="2">
        <v>0</v>
      </c>
      <c r="Y7083">
        <v>20</v>
      </c>
      <c r="Z7083" t="s">
        <v>1604</v>
      </c>
      <c r="AA7083" s="3">
        <v>0.160697892308235</v>
      </c>
      <c r="AB7083" t="s">
        <v>33666</v>
      </c>
      <c r="AC7083" t="s">
        <v>4562</v>
      </c>
      <c r="AD7083" t="s">
        <v>33665</v>
      </c>
      <c r="AE7083" t="s">
        <v>4655</v>
      </c>
      <c r="AF7083" t="s">
        <v>5201</v>
      </c>
      <c r="AG7083" t="s">
        <v>4564</v>
      </c>
      <c r="AH7083" t="s">
        <v>1605</v>
      </c>
      <c r="AI7083" t="s">
        <v>5163</v>
      </c>
      <c r="AJ7083" t="s">
        <v>1684</v>
      </c>
      <c r="AK7083" t="s">
        <v>33667</v>
      </c>
      <c r="AL7083" s="13" t="s">
        <v>1899</v>
      </c>
      <c r="AM7083">
        <v>1</v>
      </c>
      <c r="AN7083" s="15" t="s">
        <v>1685</v>
      </c>
    </row>
    <row r="7084" spans="1:40" x14ac:dyDescent="0.3">
      <c r="A7084" s="10" t="str">
        <f>HYPERLINK("http://www.washoecounty.gov/assessor/cama/?parid=516-401-05&amp;CardNumber=1","516-401-05")</f>
        <v>516-401-05</v>
      </c>
      <c r="B7084" t="s">
        <v>4655</v>
      </c>
      <c r="C7084" t="s">
        <v>33668</v>
      </c>
      <c r="D7084" s="1">
        <v>40478</v>
      </c>
      <c r="E7084" s="2">
        <v>275000</v>
      </c>
      <c r="F7084" t="s">
        <v>4567</v>
      </c>
      <c r="G7084" s="17" t="str">
        <f>HYPERLINK("https://www.washoecounty.gov/assessor/cama/?command=sales&amp;parid=51640105","3936997")</f>
        <v>3936997</v>
      </c>
      <c r="H7084" t="s">
        <v>1686</v>
      </c>
      <c r="I7084">
        <v>2005</v>
      </c>
      <c r="J7084">
        <v>2005</v>
      </c>
      <c r="K7084" t="s">
        <v>4554</v>
      </c>
      <c r="L7084" t="s">
        <v>4555</v>
      </c>
      <c r="M7084" s="2">
        <v>2922</v>
      </c>
      <c r="N7084" t="s">
        <v>3147</v>
      </c>
      <c r="O7084">
        <v>4</v>
      </c>
      <c r="P7084">
        <v>3</v>
      </c>
      <c r="Q7084">
        <v>0</v>
      </c>
      <c r="R7084" t="s">
        <v>5281</v>
      </c>
      <c r="S7084" t="s">
        <v>4898</v>
      </c>
      <c r="T7084" t="s">
        <v>2704</v>
      </c>
      <c r="U7084" t="s">
        <v>4560</v>
      </c>
      <c r="V7084" s="2">
        <v>768</v>
      </c>
      <c r="W7084" t="s">
        <v>4655</v>
      </c>
      <c r="X7084" s="2">
        <v>0</v>
      </c>
      <c r="Y7084">
        <v>20</v>
      </c>
      <c r="Z7084" t="s">
        <v>1687</v>
      </c>
      <c r="AA7084" s="3">
        <v>0.202020198106766</v>
      </c>
      <c r="AB7084" t="s">
        <v>33669</v>
      </c>
      <c r="AC7084" t="s">
        <v>4562</v>
      </c>
      <c r="AD7084" t="s">
        <v>33668</v>
      </c>
      <c r="AE7084" t="s">
        <v>4655</v>
      </c>
      <c r="AF7084" t="s">
        <v>5201</v>
      </c>
      <c r="AG7084" t="s">
        <v>4564</v>
      </c>
      <c r="AH7084" t="s">
        <v>1605</v>
      </c>
      <c r="AI7084" t="s">
        <v>33670</v>
      </c>
      <c r="AJ7084" t="s">
        <v>1299</v>
      </c>
      <c r="AK7084" t="s">
        <v>33671</v>
      </c>
      <c r="AL7084" s="13" t="s">
        <v>1899</v>
      </c>
      <c r="AM7084" s="14">
        <v>1</v>
      </c>
      <c r="AN7084" s="15" t="s">
        <v>1300</v>
      </c>
    </row>
    <row r="7085" spans="1:40" x14ac:dyDescent="0.3">
      <c r="A7085" s="10" t="str">
        <f>HYPERLINK("http://www.washoecounty.gov/assessor/cama/?parid=516-401-09&amp;CardNumber=1","516-401-09")</f>
        <v>516-401-09</v>
      </c>
      <c r="B7085" t="s">
        <v>4655</v>
      </c>
      <c r="C7085" t="s">
        <v>33672</v>
      </c>
      <c r="D7085" s="1">
        <v>40487</v>
      </c>
      <c r="E7085" s="2">
        <v>245000</v>
      </c>
      <c r="F7085" t="s">
        <v>4567</v>
      </c>
      <c r="G7085" s="17" t="str">
        <f>HYPERLINK("https://www.washoecounty.gov/assessor/cama/?command=sales&amp;parid=51640109","3940287")</f>
        <v>3940287</v>
      </c>
      <c r="H7085" t="s">
        <v>1686</v>
      </c>
      <c r="I7085">
        <v>2005</v>
      </c>
      <c r="J7085">
        <v>2005</v>
      </c>
      <c r="K7085" t="s">
        <v>4554</v>
      </c>
      <c r="L7085" t="s">
        <v>4555</v>
      </c>
      <c r="M7085" s="2">
        <v>2649</v>
      </c>
      <c r="N7085" t="s">
        <v>3147</v>
      </c>
      <c r="O7085">
        <v>4</v>
      </c>
      <c r="P7085">
        <v>2</v>
      </c>
      <c r="Q7085">
        <v>1</v>
      </c>
      <c r="R7085" t="s">
        <v>5281</v>
      </c>
      <c r="S7085" t="s">
        <v>4898</v>
      </c>
      <c r="T7085" t="s">
        <v>2704</v>
      </c>
      <c r="U7085" t="s">
        <v>4560</v>
      </c>
      <c r="V7085" s="2">
        <v>672</v>
      </c>
      <c r="W7085" t="s">
        <v>4655</v>
      </c>
      <c r="X7085" s="2">
        <v>0</v>
      </c>
      <c r="Y7085">
        <v>20</v>
      </c>
      <c r="Z7085" t="s">
        <v>1687</v>
      </c>
      <c r="AA7085" s="3">
        <v>0.202020198106766</v>
      </c>
      <c r="AB7085" t="s">
        <v>33673</v>
      </c>
      <c r="AC7085" t="s">
        <v>4562</v>
      </c>
      <c r="AD7085" t="s">
        <v>33672</v>
      </c>
      <c r="AE7085" t="s">
        <v>4655</v>
      </c>
      <c r="AF7085" t="s">
        <v>5201</v>
      </c>
      <c r="AG7085" t="s">
        <v>4564</v>
      </c>
      <c r="AH7085" t="s">
        <v>1605</v>
      </c>
      <c r="AI7085" t="s">
        <v>33674</v>
      </c>
      <c r="AJ7085" t="s">
        <v>1299</v>
      </c>
      <c r="AK7085" t="s">
        <v>33675</v>
      </c>
      <c r="AL7085" s="13" t="s">
        <v>1899</v>
      </c>
      <c r="AM7085">
        <v>1</v>
      </c>
      <c r="AN7085" s="15" t="s">
        <v>1300</v>
      </c>
    </row>
    <row r="7086" spans="1:40" x14ac:dyDescent="0.3">
      <c r="A7086" s="10" t="str">
        <f>HYPERLINK("http://www.washoecounty.gov/assessor/cama/?parid=516-401-11&amp;CardNumber=1","516-401-11")</f>
        <v>516-401-11</v>
      </c>
      <c r="B7086" t="s">
        <v>4655</v>
      </c>
      <c r="C7086" t="s">
        <v>33676</v>
      </c>
      <c r="D7086" s="1">
        <v>40325</v>
      </c>
      <c r="E7086" s="2">
        <v>275000</v>
      </c>
      <c r="F7086" t="s">
        <v>4567</v>
      </c>
      <c r="G7086" s="17" t="str">
        <f>HYPERLINK("https://www.washoecounty.gov/assessor/cama/?command=sales&amp;parid=51640111","3886212")</f>
        <v>3886212</v>
      </c>
      <c r="H7086" t="s">
        <v>1686</v>
      </c>
      <c r="I7086">
        <v>2006</v>
      </c>
      <c r="J7086">
        <v>2006</v>
      </c>
      <c r="K7086" t="s">
        <v>4554</v>
      </c>
      <c r="L7086" t="s">
        <v>4555</v>
      </c>
      <c r="M7086" s="2">
        <v>2922</v>
      </c>
      <c r="N7086" t="s">
        <v>3147</v>
      </c>
      <c r="O7086">
        <v>3</v>
      </c>
      <c r="P7086">
        <v>2</v>
      </c>
      <c r="Q7086">
        <v>0</v>
      </c>
      <c r="R7086" t="s">
        <v>5281</v>
      </c>
      <c r="S7086" t="s">
        <v>4898</v>
      </c>
      <c r="T7086" t="s">
        <v>2704</v>
      </c>
      <c r="U7086" t="s">
        <v>4560</v>
      </c>
      <c r="V7086" s="2">
        <v>768</v>
      </c>
      <c r="W7086" t="s">
        <v>4655</v>
      </c>
      <c r="X7086" s="2">
        <v>0</v>
      </c>
      <c r="Y7086">
        <v>20</v>
      </c>
      <c r="Z7086" t="s">
        <v>1687</v>
      </c>
      <c r="AA7086" s="3">
        <v>0.202020198106766</v>
      </c>
      <c r="AB7086" t="s">
        <v>33677</v>
      </c>
      <c r="AC7086" t="s">
        <v>4562</v>
      </c>
      <c r="AD7086" t="s">
        <v>33676</v>
      </c>
      <c r="AE7086" t="s">
        <v>4655</v>
      </c>
      <c r="AF7086" t="s">
        <v>5201</v>
      </c>
      <c r="AG7086" t="s">
        <v>4564</v>
      </c>
      <c r="AH7086" t="s">
        <v>1605</v>
      </c>
      <c r="AI7086" t="s">
        <v>33678</v>
      </c>
      <c r="AJ7086" t="s">
        <v>1299</v>
      </c>
      <c r="AK7086" t="s">
        <v>33679</v>
      </c>
      <c r="AL7086" s="13" t="s">
        <v>1899</v>
      </c>
      <c r="AM7086">
        <v>1</v>
      </c>
      <c r="AN7086" s="15" t="s">
        <v>1300</v>
      </c>
    </row>
    <row r="7087" spans="1:40" x14ac:dyDescent="0.3">
      <c r="A7087" s="10" t="str">
        <f>HYPERLINK("http://www.washoecounty.gov/assessor/cama/?parid=516-402-13&amp;CardNumber=1","516-402-13")</f>
        <v>516-402-13</v>
      </c>
      <c r="B7087" t="s">
        <v>4655</v>
      </c>
      <c r="C7087" t="s">
        <v>33680</v>
      </c>
      <c r="D7087" s="1">
        <v>40476</v>
      </c>
      <c r="E7087" s="2">
        <v>275000</v>
      </c>
      <c r="F7087" t="s">
        <v>4553</v>
      </c>
      <c r="G7087" s="17" t="str">
        <f>HYPERLINK("https://www.washoecounty.gov/assessor/cama/?command=sales&amp;parid=51640213","3936091")</f>
        <v>3936091</v>
      </c>
      <c r="H7087" t="s">
        <v>1686</v>
      </c>
      <c r="I7087">
        <v>2006</v>
      </c>
      <c r="J7087">
        <v>2006</v>
      </c>
      <c r="K7087" t="s">
        <v>4554</v>
      </c>
      <c r="L7087" t="s">
        <v>4555</v>
      </c>
      <c r="M7087" s="2">
        <v>3217</v>
      </c>
      <c r="N7087" t="s">
        <v>3147</v>
      </c>
      <c r="O7087">
        <v>4</v>
      </c>
      <c r="P7087">
        <v>3</v>
      </c>
      <c r="Q7087">
        <v>1</v>
      </c>
      <c r="R7087" t="s">
        <v>5281</v>
      </c>
      <c r="S7087" t="s">
        <v>4898</v>
      </c>
      <c r="T7087" t="s">
        <v>2704</v>
      </c>
      <c r="U7087" t="s">
        <v>4560</v>
      </c>
      <c r="V7087" s="2">
        <v>924</v>
      </c>
      <c r="W7087" t="s">
        <v>4655</v>
      </c>
      <c r="X7087" s="2">
        <v>0</v>
      </c>
      <c r="Y7087">
        <v>20</v>
      </c>
      <c r="Z7087" t="s">
        <v>1687</v>
      </c>
      <c r="AA7087" s="3">
        <v>0.255303025245667</v>
      </c>
      <c r="AB7087" t="s">
        <v>33681</v>
      </c>
      <c r="AC7087" t="s">
        <v>4562</v>
      </c>
      <c r="AD7087" t="s">
        <v>33680</v>
      </c>
      <c r="AE7087" t="s">
        <v>4655</v>
      </c>
      <c r="AF7087" t="s">
        <v>5201</v>
      </c>
      <c r="AG7087" t="s">
        <v>4564</v>
      </c>
      <c r="AH7087" t="s">
        <v>1605</v>
      </c>
      <c r="AI7087" t="s">
        <v>4565</v>
      </c>
      <c r="AJ7087" t="s">
        <v>1299</v>
      </c>
      <c r="AK7087" t="s">
        <v>33682</v>
      </c>
      <c r="AL7087" s="13" t="s">
        <v>1899</v>
      </c>
      <c r="AM7087">
        <v>1</v>
      </c>
      <c r="AN7087" s="15" t="s">
        <v>1300</v>
      </c>
    </row>
    <row r="7088" spans="1:40" x14ac:dyDescent="0.3">
      <c r="A7088" s="10" t="str">
        <f>HYPERLINK("http://www.washoecounty.gov/assessor/cama/?parid=516-402-16&amp;CardNumber=1","516-402-16")</f>
        <v>516-402-16</v>
      </c>
      <c r="B7088" t="s">
        <v>4655</v>
      </c>
      <c r="C7088" t="s">
        <v>33683</v>
      </c>
      <c r="D7088" s="1">
        <v>40343</v>
      </c>
      <c r="E7088" s="2">
        <v>309000</v>
      </c>
      <c r="F7088" t="s">
        <v>4553</v>
      </c>
      <c r="G7088" s="17" t="str">
        <f>HYPERLINK("https://www.washoecounty.gov/assessor/cama/?command=sales&amp;parid=51640216","3891485")</f>
        <v>3891485</v>
      </c>
      <c r="H7088" t="s">
        <v>1686</v>
      </c>
      <c r="I7088">
        <v>2006</v>
      </c>
      <c r="J7088">
        <v>2006</v>
      </c>
      <c r="K7088" t="s">
        <v>4554</v>
      </c>
      <c r="L7088" t="s">
        <v>4555</v>
      </c>
      <c r="M7088" s="2">
        <v>3217</v>
      </c>
      <c r="N7088" t="s">
        <v>3147</v>
      </c>
      <c r="O7088">
        <v>3</v>
      </c>
      <c r="P7088">
        <v>2</v>
      </c>
      <c r="Q7088">
        <v>1</v>
      </c>
      <c r="R7088" t="s">
        <v>5281</v>
      </c>
      <c r="S7088" t="s">
        <v>4898</v>
      </c>
      <c r="T7088" t="s">
        <v>2704</v>
      </c>
      <c r="U7088" t="s">
        <v>4560</v>
      </c>
      <c r="V7088" s="2">
        <v>924</v>
      </c>
      <c r="W7088" t="s">
        <v>4655</v>
      </c>
      <c r="X7088" s="2">
        <v>0</v>
      </c>
      <c r="Y7088">
        <v>20</v>
      </c>
      <c r="Z7088" t="s">
        <v>1687</v>
      </c>
      <c r="AA7088" s="3">
        <v>0.22780074179172499</v>
      </c>
      <c r="AB7088" t="s">
        <v>33684</v>
      </c>
      <c r="AC7088" t="s">
        <v>4562</v>
      </c>
      <c r="AD7088" t="s">
        <v>33685</v>
      </c>
      <c r="AE7088" t="s">
        <v>4655</v>
      </c>
      <c r="AF7088" t="s">
        <v>4809</v>
      </c>
      <c r="AG7088" t="s">
        <v>4564</v>
      </c>
      <c r="AH7088" t="s">
        <v>1605</v>
      </c>
      <c r="AI7088" t="s">
        <v>2351</v>
      </c>
      <c r="AJ7088" t="s">
        <v>1299</v>
      </c>
      <c r="AK7088" t="s">
        <v>33686</v>
      </c>
      <c r="AL7088" s="13" t="s">
        <v>1899</v>
      </c>
      <c r="AM7088">
        <v>1</v>
      </c>
      <c r="AN7088" s="15" t="s">
        <v>1300</v>
      </c>
    </row>
    <row r="7089" spans="1:40" x14ac:dyDescent="0.3">
      <c r="A7089" s="10" t="str">
        <f>HYPERLINK("http://www.washoecounty.gov/assessor/cama/?parid=516-403-01&amp;CardNumber=1","516-403-01")</f>
        <v>516-403-01</v>
      </c>
      <c r="B7089" t="s">
        <v>4655</v>
      </c>
      <c r="C7089" t="s">
        <v>33687</v>
      </c>
      <c r="D7089" s="1">
        <v>40234</v>
      </c>
      <c r="E7089" s="2">
        <v>265501</v>
      </c>
      <c r="F7089" t="s">
        <v>4553</v>
      </c>
      <c r="G7089" s="17" t="str">
        <f>HYPERLINK("https://www.washoecounty.gov/assessor/cama/?command=sales&amp;parid=51640301","3852823")</f>
        <v>3852823</v>
      </c>
      <c r="H7089" t="s">
        <v>1686</v>
      </c>
      <c r="I7089">
        <v>2006</v>
      </c>
      <c r="J7089">
        <v>2006</v>
      </c>
      <c r="K7089" t="s">
        <v>4554</v>
      </c>
      <c r="L7089" t="s">
        <v>4555</v>
      </c>
      <c r="M7089" s="2">
        <v>2649</v>
      </c>
      <c r="N7089" t="s">
        <v>3147</v>
      </c>
      <c r="O7089">
        <v>4</v>
      </c>
      <c r="P7089">
        <v>2</v>
      </c>
      <c r="Q7089">
        <v>1</v>
      </c>
      <c r="R7089" t="s">
        <v>5281</v>
      </c>
      <c r="S7089" t="s">
        <v>4898</v>
      </c>
      <c r="T7089" t="s">
        <v>2704</v>
      </c>
      <c r="U7089" t="s">
        <v>4560</v>
      </c>
      <c r="V7089" s="2">
        <v>672</v>
      </c>
      <c r="W7089" t="s">
        <v>4655</v>
      </c>
      <c r="X7089" s="2">
        <v>0</v>
      </c>
      <c r="Y7089">
        <v>20</v>
      </c>
      <c r="Z7089" t="s">
        <v>1687</v>
      </c>
      <c r="AA7089" s="3">
        <v>0.21923783421516418</v>
      </c>
      <c r="AB7089" t="s">
        <v>33688</v>
      </c>
      <c r="AC7089" t="s">
        <v>4562</v>
      </c>
      <c r="AD7089" t="s">
        <v>33687</v>
      </c>
      <c r="AE7089" t="s">
        <v>4655</v>
      </c>
      <c r="AF7089" t="s">
        <v>5201</v>
      </c>
      <c r="AG7089" t="s">
        <v>4564</v>
      </c>
      <c r="AH7089" t="s">
        <v>1605</v>
      </c>
      <c r="AI7089" t="s">
        <v>4145</v>
      </c>
      <c r="AJ7089" t="s">
        <v>1299</v>
      </c>
      <c r="AK7089" t="s">
        <v>33689</v>
      </c>
      <c r="AL7089" s="13" t="s">
        <v>1899</v>
      </c>
      <c r="AM7089" s="14">
        <v>1</v>
      </c>
      <c r="AN7089" s="15" t="s">
        <v>1300</v>
      </c>
    </row>
    <row r="7090" spans="1:40" x14ac:dyDescent="0.3">
      <c r="A7090" s="10" t="str">
        <f>HYPERLINK("http://www.washoecounty.gov/assessor/cama/?parid=516-403-14&amp;CardNumber=1","516-403-14")</f>
        <v>516-403-14</v>
      </c>
      <c r="B7090" t="s">
        <v>4655</v>
      </c>
      <c r="C7090" s="20" t="s">
        <v>283</v>
      </c>
      <c r="D7090" s="1">
        <v>40238</v>
      </c>
      <c r="E7090" s="2">
        <v>365000</v>
      </c>
      <c r="F7090" t="s">
        <v>4567</v>
      </c>
      <c r="G7090" s="20" t="s">
        <v>282</v>
      </c>
      <c r="H7090" t="s">
        <v>1686</v>
      </c>
      <c r="I7090">
        <v>2006</v>
      </c>
      <c r="J7090">
        <v>2006</v>
      </c>
      <c r="K7090" t="s">
        <v>4554</v>
      </c>
      <c r="L7090" t="s">
        <v>3974</v>
      </c>
      <c r="M7090" s="2">
        <v>4352</v>
      </c>
      <c r="N7090" t="s">
        <v>3147</v>
      </c>
      <c r="O7090">
        <v>5</v>
      </c>
      <c r="P7090">
        <v>3</v>
      </c>
      <c r="Q7090">
        <v>1</v>
      </c>
      <c r="R7090" t="s">
        <v>5281</v>
      </c>
      <c r="S7090" t="s">
        <v>4898</v>
      </c>
      <c r="T7090" t="s">
        <v>2704</v>
      </c>
      <c r="U7090" t="s">
        <v>5631</v>
      </c>
      <c r="V7090" s="2">
        <v>884</v>
      </c>
      <c r="W7090" t="s">
        <v>4655</v>
      </c>
      <c r="X7090" s="2">
        <v>0</v>
      </c>
      <c r="Y7090">
        <v>20</v>
      </c>
      <c r="Z7090" t="s">
        <v>1687</v>
      </c>
      <c r="AA7090" s="3">
        <v>0.23735077679157299</v>
      </c>
      <c r="AB7090" s="20" t="s">
        <v>8865</v>
      </c>
      <c r="AD7090" t="s">
        <v>283</v>
      </c>
      <c r="AE7090" t="s">
        <v>283</v>
      </c>
      <c r="AF7090" t="s">
        <v>283</v>
      </c>
      <c r="AG7090" t="s">
        <v>4564</v>
      </c>
      <c r="AH7090" t="s">
        <v>3101</v>
      </c>
      <c r="AI7090" t="s">
        <v>8865</v>
      </c>
      <c r="AJ7090" t="s">
        <v>1299</v>
      </c>
      <c r="AK7090" t="s">
        <v>8865</v>
      </c>
      <c r="AL7090" s="13" t="s">
        <v>1899</v>
      </c>
      <c r="AM7090">
        <v>1</v>
      </c>
      <c r="AN7090" s="15" t="s">
        <v>1300</v>
      </c>
    </row>
    <row r="7091" spans="1:40" x14ac:dyDescent="0.3">
      <c r="A7091" s="10" t="str">
        <f>HYPERLINK("http://www.washoecounty.gov/assessor/cama/?parid=516-404-04&amp;CardNumber=1","516-404-04")</f>
        <v>516-404-04</v>
      </c>
      <c r="B7091" t="s">
        <v>4655</v>
      </c>
      <c r="C7091" t="s">
        <v>33690</v>
      </c>
      <c r="D7091" s="1">
        <v>40501</v>
      </c>
      <c r="E7091" s="2">
        <v>282130</v>
      </c>
      <c r="F7091" t="s">
        <v>4567</v>
      </c>
      <c r="G7091" s="17" t="str">
        <f>HYPERLINK("https://www.washoecounty.gov/assessor/cama/?command=sales&amp;parid=51640404","3944818")</f>
        <v>3944818</v>
      </c>
      <c r="H7091" t="s">
        <v>1686</v>
      </c>
      <c r="I7091">
        <v>2006</v>
      </c>
      <c r="J7091">
        <v>2006</v>
      </c>
      <c r="K7091" t="s">
        <v>4554</v>
      </c>
      <c r="L7091" t="s">
        <v>4555</v>
      </c>
      <c r="M7091" s="2">
        <v>2922</v>
      </c>
      <c r="N7091" t="s">
        <v>3147</v>
      </c>
      <c r="O7091">
        <v>4</v>
      </c>
      <c r="P7091">
        <v>3</v>
      </c>
      <c r="Q7091">
        <v>0</v>
      </c>
      <c r="R7091" t="s">
        <v>5281</v>
      </c>
      <c r="S7091" t="s">
        <v>4898</v>
      </c>
      <c r="T7091" t="s">
        <v>2704</v>
      </c>
      <c r="U7091" t="s">
        <v>4560</v>
      </c>
      <c r="V7091" s="2">
        <v>768</v>
      </c>
      <c r="W7091" t="s">
        <v>4655</v>
      </c>
      <c r="X7091" s="2">
        <v>0</v>
      </c>
      <c r="Y7091">
        <v>20</v>
      </c>
      <c r="Z7091" t="s">
        <v>1687</v>
      </c>
      <c r="AA7091" s="3">
        <v>0.202020198106766</v>
      </c>
      <c r="AB7091" t="s">
        <v>33691</v>
      </c>
      <c r="AC7091" t="s">
        <v>4562</v>
      </c>
      <c r="AD7091" t="s">
        <v>33692</v>
      </c>
      <c r="AE7091" t="s">
        <v>4655</v>
      </c>
      <c r="AF7091" t="s">
        <v>5201</v>
      </c>
      <c r="AG7091" t="s">
        <v>4564</v>
      </c>
      <c r="AH7091" t="s">
        <v>1605</v>
      </c>
      <c r="AI7091" t="s">
        <v>33693</v>
      </c>
      <c r="AJ7091" t="s">
        <v>1299</v>
      </c>
      <c r="AK7091" t="s">
        <v>33694</v>
      </c>
      <c r="AL7091" s="13" t="s">
        <v>1899</v>
      </c>
      <c r="AM7091" s="14">
        <v>1</v>
      </c>
      <c r="AN7091" s="15" t="s">
        <v>1300</v>
      </c>
    </row>
    <row r="7092" spans="1:40" x14ac:dyDescent="0.3">
      <c r="A7092" s="10" t="str">
        <f>HYPERLINK("http://www.washoecounty.gov/assessor/cama/?parid=516-404-10&amp;CardNumber=1","516-404-10")</f>
        <v>516-404-10</v>
      </c>
      <c r="B7092" t="s">
        <v>4655</v>
      </c>
      <c r="C7092" t="s">
        <v>33695</v>
      </c>
      <c r="D7092" s="1">
        <v>40512</v>
      </c>
      <c r="E7092" s="2">
        <v>279900</v>
      </c>
      <c r="F7092" t="s">
        <v>4553</v>
      </c>
      <c r="G7092" s="17" t="str">
        <f>HYPERLINK("https://www.washoecounty.gov/assessor/cama/?command=sales&amp;parid=51640410","3947769")</f>
        <v>3947769</v>
      </c>
      <c r="H7092" t="s">
        <v>1686</v>
      </c>
      <c r="I7092">
        <v>2005</v>
      </c>
      <c r="J7092">
        <v>2005</v>
      </c>
      <c r="K7092" t="s">
        <v>4554</v>
      </c>
      <c r="L7092" t="s">
        <v>4555</v>
      </c>
      <c r="M7092" s="2">
        <v>2922</v>
      </c>
      <c r="N7092" t="s">
        <v>3147</v>
      </c>
      <c r="O7092">
        <v>4</v>
      </c>
      <c r="P7092">
        <v>3</v>
      </c>
      <c r="Q7092">
        <v>0</v>
      </c>
      <c r="R7092" t="s">
        <v>5281</v>
      </c>
      <c r="S7092" t="s">
        <v>4898</v>
      </c>
      <c r="T7092" t="s">
        <v>2704</v>
      </c>
      <c r="U7092" t="s">
        <v>4560</v>
      </c>
      <c r="V7092" s="2">
        <v>768</v>
      </c>
      <c r="W7092" t="s">
        <v>4655</v>
      </c>
      <c r="X7092" s="2">
        <v>0</v>
      </c>
      <c r="Y7092">
        <v>20</v>
      </c>
      <c r="Z7092" t="s">
        <v>1687</v>
      </c>
      <c r="AA7092" s="3">
        <v>0.222176313400269</v>
      </c>
      <c r="AB7092" t="s">
        <v>33696</v>
      </c>
      <c r="AC7092" t="s">
        <v>4562</v>
      </c>
      <c r="AD7092" t="s">
        <v>33695</v>
      </c>
      <c r="AE7092" t="s">
        <v>4655</v>
      </c>
      <c r="AF7092" t="s">
        <v>5201</v>
      </c>
      <c r="AG7092" t="s">
        <v>4564</v>
      </c>
      <c r="AH7092" t="s">
        <v>1605</v>
      </c>
      <c r="AI7092" t="s">
        <v>4903</v>
      </c>
      <c r="AJ7092" t="s">
        <v>1299</v>
      </c>
      <c r="AK7092" t="s">
        <v>33697</v>
      </c>
      <c r="AL7092" s="13" t="s">
        <v>1899</v>
      </c>
      <c r="AM7092">
        <v>1</v>
      </c>
      <c r="AN7092" s="15" t="s">
        <v>1300</v>
      </c>
    </row>
    <row r="7093" spans="1:40" x14ac:dyDescent="0.3">
      <c r="A7093" s="10" t="str">
        <f>HYPERLINK("http://www.washoecounty.gov/assessor/cama/?parid=516-412-03&amp;CardNumber=1","516-412-03")</f>
        <v>516-412-03</v>
      </c>
      <c r="B7093" t="s">
        <v>4655</v>
      </c>
      <c r="C7093" t="s">
        <v>33698</v>
      </c>
      <c r="D7093" s="1">
        <v>40351</v>
      </c>
      <c r="E7093" s="2">
        <v>260015</v>
      </c>
      <c r="F7093" t="s">
        <v>4567</v>
      </c>
      <c r="G7093" s="17" t="str">
        <f>HYPERLINK("https://www.washoecounty.gov/assessor/cama/?command=sales&amp;parid=51641203","3894321")</f>
        <v>3894321</v>
      </c>
      <c r="H7093" t="s">
        <v>418</v>
      </c>
      <c r="I7093">
        <v>2005</v>
      </c>
      <c r="J7093">
        <v>2005</v>
      </c>
      <c r="K7093" t="s">
        <v>4554</v>
      </c>
      <c r="L7093" t="s">
        <v>4555</v>
      </c>
      <c r="M7093" s="2">
        <v>2372</v>
      </c>
      <c r="N7093" t="s">
        <v>3147</v>
      </c>
      <c r="O7093">
        <v>4</v>
      </c>
      <c r="P7093">
        <v>3</v>
      </c>
      <c r="Q7093">
        <v>0</v>
      </c>
      <c r="R7093" t="s">
        <v>5281</v>
      </c>
      <c r="S7093" t="s">
        <v>4898</v>
      </c>
      <c r="T7093" t="s">
        <v>2704</v>
      </c>
      <c r="U7093" t="s">
        <v>4560</v>
      </c>
      <c r="V7093" s="2">
        <v>609</v>
      </c>
      <c r="W7093" t="s">
        <v>4655</v>
      </c>
      <c r="X7093" s="2">
        <v>0</v>
      </c>
      <c r="Y7093">
        <v>20</v>
      </c>
      <c r="Z7093" t="s">
        <v>1687</v>
      </c>
      <c r="AA7093" s="3">
        <v>0.257392108440399</v>
      </c>
      <c r="AB7093" t="s">
        <v>33699</v>
      </c>
      <c r="AC7093" t="s">
        <v>4575</v>
      </c>
      <c r="AD7093" t="s">
        <v>33700</v>
      </c>
      <c r="AE7093" t="s">
        <v>4655</v>
      </c>
      <c r="AF7093" t="s">
        <v>4809</v>
      </c>
      <c r="AG7093" t="s">
        <v>4564</v>
      </c>
      <c r="AH7093" t="s">
        <v>1605</v>
      </c>
      <c r="AI7093" t="s">
        <v>33701</v>
      </c>
      <c r="AJ7093" t="s">
        <v>1299</v>
      </c>
      <c r="AK7093" t="s">
        <v>33702</v>
      </c>
      <c r="AL7093" s="13" t="s">
        <v>1899</v>
      </c>
      <c r="AM7093" s="14">
        <v>1</v>
      </c>
      <c r="AN7093" s="15" t="s">
        <v>2586</v>
      </c>
    </row>
    <row r="7094" spans="1:40" x14ac:dyDescent="0.3">
      <c r="A7094" s="10" t="str">
        <f>HYPERLINK("http://www.washoecounty.gov/assessor/cama/?parid=516-421-01&amp;CardNumber=1","516-421-01")</f>
        <v>516-421-01</v>
      </c>
      <c r="B7094" t="s">
        <v>4655</v>
      </c>
      <c r="C7094" t="s">
        <v>33703</v>
      </c>
      <c r="D7094" s="1">
        <v>40388</v>
      </c>
      <c r="E7094" s="2">
        <v>328751</v>
      </c>
      <c r="F7094" t="s">
        <v>4567</v>
      </c>
      <c r="G7094" s="17" t="str">
        <f>HYPERLINK("https://www.washoecounty.gov/assessor/cama/?command=sales&amp;parid=51642101","3906613")</f>
        <v>3906613</v>
      </c>
      <c r="H7094" t="s">
        <v>418</v>
      </c>
      <c r="I7094">
        <v>2010</v>
      </c>
      <c r="J7094">
        <v>2010</v>
      </c>
      <c r="K7094" t="s">
        <v>4554</v>
      </c>
      <c r="L7094" t="s">
        <v>4555</v>
      </c>
      <c r="M7094" s="2">
        <v>2372</v>
      </c>
      <c r="N7094" t="s">
        <v>3147</v>
      </c>
      <c r="O7094">
        <v>3</v>
      </c>
      <c r="P7094">
        <v>3</v>
      </c>
      <c r="Q7094">
        <v>0</v>
      </c>
      <c r="R7094" t="s">
        <v>5281</v>
      </c>
      <c r="S7094" t="s">
        <v>4898</v>
      </c>
      <c r="T7094" t="s">
        <v>2704</v>
      </c>
      <c r="U7094" t="s">
        <v>4560</v>
      </c>
      <c r="V7094" s="2">
        <v>609</v>
      </c>
      <c r="W7094" t="s">
        <v>4655</v>
      </c>
      <c r="X7094" s="2">
        <v>0</v>
      </c>
      <c r="Y7094">
        <v>20</v>
      </c>
      <c r="Z7094" t="s">
        <v>1687</v>
      </c>
      <c r="AA7094" s="3">
        <v>0.23156565427780201</v>
      </c>
      <c r="AB7094" t="s">
        <v>33704</v>
      </c>
      <c r="AC7094" t="s">
        <v>4575</v>
      </c>
      <c r="AD7094" t="s">
        <v>33705</v>
      </c>
      <c r="AE7094" t="s">
        <v>33706</v>
      </c>
      <c r="AF7094" t="s">
        <v>4809</v>
      </c>
      <c r="AG7094" t="s">
        <v>4564</v>
      </c>
      <c r="AH7094" t="s">
        <v>1605</v>
      </c>
      <c r="AI7094" t="s">
        <v>2584</v>
      </c>
      <c r="AJ7094" t="s">
        <v>1299</v>
      </c>
      <c r="AK7094" t="s">
        <v>33707</v>
      </c>
      <c r="AL7094" s="13" t="s">
        <v>1899</v>
      </c>
      <c r="AM7094">
        <v>1</v>
      </c>
      <c r="AN7094" s="15" t="s">
        <v>2586</v>
      </c>
    </row>
    <row r="7095" spans="1:40" x14ac:dyDescent="0.3">
      <c r="A7095" s="10" t="str">
        <f>HYPERLINK("http://www.washoecounty.gov/assessor/cama/?parid=516-421-05&amp;CardNumber=1","516-421-05")</f>
        <v>516-421-05</v>
      </c>
      <c r="B7095" t="s">
        <v>4655</v>
      </c>
      <c r="C7095" t="s">
        <v>33708</v>
      </c>
      <c r="D7095" s="1">
        <v>40249</v>
      </c>
      <c r="E7095" s="2">
        <v>290000</v>
      </c>
      <c r="F7095" t="s">
        <v>4567</v>
      </c>
      <c r="G7095" s="17" t="str">
        <f>HYPERLINK("https://www.washoecounty.gov/assessor/cama/?command=sales&amp;parid=51642105","3859463")</f>
        <v>3859463</v>
      </c>
      <c r="H7095" t="s">
        <v>418</v>
      </c>
      <c r="I7095">
        <v>2005</v>
      </c>
      <c r="J7095">
        <v>2005</v>
      </c>
      <c r="K7095" t="s">
        <v>4554</v>
      </c>
      <c r="L7095" t="s">
        <v>4555</v>
      </c>
      <c r="M7095" s="2">
        <v>2372</v>
      </c>
      <c r="N7095" t="s">
        <v>3147</v>
      </c>
      <c r="O7095">
        <v>0</v>
      </c>
      <c r="P7095">
        <v>3</v>
      </c>
      <c r="Q7095">
        <v>0</v>
      </c>
      <c r="R7095" t="s">
        <v>5281</v>
      </c>
      <c r="S7095" t="s">
        <v>4898</v>
      </c>
      <c r="T7095" t="s">
        <v>2704</v>
      </c>
      <c r="U7095" t="s">
        <v>4655</v>
      </c>
      <c r="V7095" s="2">
        <v>0</v>
      </c>
      <c r="W7095" t="s">
        <v>4655</v>
      </c>
      <c r="X7095" s="2">
        <v>0</v>
      </c>
      <c r="Y7095">
        <v>20</v>
      </c>
      <c r="Z7095" t="s">
        <v>1687</v>
      </c>
      <c r="AA7095" s="3">
        <v>0.1958218514919281</v>
      </c>
      <c r="AB7095" t="s">
        <v>33709</v>
      </c>
      <c r="AC7095" t="s">
        <v>4562</v>
      </c>
      <c r="AD7095" t="s">
        <v>33710</v>
      </c>
      <c r="AE7095" t="s">
        <v>4655</v>
      </c>
      <c r="AF7095" t="s">
        <v>33711</v>
      </c>
      <c r="AG7095" t="s">
        <v>4209</v>
      </c>
      <c r="AH7095">
        <v>81008</v>
      </c>
      <c r="AI7095" t="s">
        <v>4655</v>
      </c>
      <c r="AJ7095" t="s">
        <v>1299</v>
      </c>
      <c r="AK7095" t="s">
        <v>33712</v>
      </c>
      <c r="AL7095" s="13" t="s">
        <v>1899</v>
      </c>
      <c r="AM7095">
        <v>1</v>
      </c>
      <c r="AN7095" s="15" t="s">
        <v>2586</v>
      </c>
    </row>
    <row r="7096" spans="1:40" x14ac:dyDescent="0.3">
      <c r="A7096" s="10" t="str">
        <f>HYPERLINK("http://www.washoecounty.gov/assessor/cama/?parid=516-421-08&amp;CardNumber=1","516-421-08")</f>
        <v>516-421-08</v>
      </c>
      <c r="B7096" t="s">
        <v>4655</v>
      </c>
      <c r="C7096" t="s">
        <v>33713</v>
      </c>
      <c r="D7096" s="1">
        <v>40268</v>
      </c>
      <c r="E7096" s="2">
        <v>250000</v>
      </c>
      <c r="F7096" t="s">
        <v>4553</v>
      </c>
      <c r="G7096" s="17" t="str">
        <f>HYPERLINK("https://www.washoecounty.gov/assessor/cama/?command=sales&amp;parid=51642108","3866160")</f>
        <v>3866160</v>
      </c>
      <c r="H7096" t="s">
        <v>418</v>
      </c>
      <c r="I7096">
        <v>2005</v>
      </c>
      <c r="J7096">
        <v>2005</v>
      </c>
      <c r="K7096" t="s">
        <v>4554</v>
      </c>
      <c r="L7096" t="s">
        <v>4555</v>
      </c>
      <c r="M7096" s="2">
        <v>2372</v>
      </c>
      <c r="N7096" t="s">
        <v>3147</v>
      </c>
      <c r="O7096">
        <v>3</v>
      </c>
      <c r="P7096">
        <v>3</v>
      </c>
      <c r="Q7096">
        <v>0</v>
      </c>
      <c r="R7096" t="s">
        <v>5281</v>
      </c>
      <c r="S7096" t="s">
        <v>4898</v>
      </c>
      <c r="T7096" t="s">
        <v>2704</v>
      </c>
      <c r="U7096" t="s">
        <v>4560</v>
      </c>
      <c r="V7096" s="2">
        <v>609</v>
      </c>
      <c r="W7096" t="s">
        <v>4655</v>
      </c>
      <c r="X7096" s="2">
        <v>0</v>
      </c>
      <c r="Y7096">
        <v>20</v>
      </c>
      <c r="Z7096" t="s">
        <v>1687</v>
      </c>
      <c r="AA7096" s="3">
        <v>0.26354452967643738</v>
      </c>
      <c r="AB7096" t="s">
        <v>33714</v>
      </c>
      <c r="AC7096" t="s">
        <v>4562</v>
      </c>
      <c r="AD7096" t="s">
        <v>33715</v>
      </c>
      <c r="AE7096" t="s">
        <v>4655</v>
      </c>
      <c r="AF7096" t="s">
        <v>4809</v>
      </c>
      <c r="AG7096" t="s">
        <v>4564</v>
      </c>
      <c r="AH7096" t="s">
        <v>1605</v>
      </c>
      <c r="AI7096" t="s">
        <v>949</v>
      </c>
      <c r="AJ7096" t="s">
        <v>1299</v>
      </c>
      <c r="AK7096" t="s">
        <v>33716</v>
      </c>
      <c r="AL7096" s="13" t="s">
        <v>1899</v>
      </c>
      <c r="AM7096">
        <v>1</v>
      </c>
      <c r="AN7096" s="15" t="s">
        <v>2586</v>
      </c>
    </row>
    <row r="7097" spans="1:40" x14ac:dyDescent="0.3">
      <c r="A7097" s="10" t="str">
        <f>HYPERLINK("http://www.washoecounty.gov/assessor/cama/?parid=516-421-21&amp;CardNumber=1","516-421-21")</f>
        <v>516-421-21</v>
      </c>
      <c r="B7097" t="s">
        <v>4655</v>
      </c>
      <c r="C7097" t="s">
        <v>33717</v>
      </c>
      <c r="D7097" s="1">
        <v>40394</v>
      </c>
      <c r="E7097" s="2">
        <v>286886</v>
      </c>
      <c r="F7097" t="s">
        <v>3259</v>
      </c>
      <c r="G7097" s="17" t="str">
        <f>HYPERLINK("https://www.washoecounty.gov/assessor/cama/?command=sales&amp;parid=51642121","3908920")</f>
        <v>3908920</v>
      </c>
      <c r="H7097" t="s">
        <v>33718</v>
      </c>
      <c r="I7097">
        <v>2010</v>
      </c>
      <c r="J7097">
        <v>2010</v>
      </c>
      <c r="K7097" t="s">
        <v>4554</v>
      </c>
      <c r="L7097" t="s">
        <v>4555</v>
      </c>
      <c r="M7097" s="2">
        <v>2102</v>
      </c>
      <c r="N7097" t="s">
        <v>3147</v>
      </c>
      <c r="O7097">
        <v>3</v>
      </c>
      <c r="P7097">
        <v>2</v>
      </c>
      <c r="Q7097">
        <v>0</v>
      </c>
      <c r="R7097" t="s">
        <v>5281</v>
      </c>
      <c r="S7097" t="s">
        <v>4898</v>
      </c>
      <c r="T7097" t="s">
        <v>2704</v>
      </c>
      <c r="U7097" t="s">
        <v>4560</v>
      </c>
      <c r="V7097" s="2">
        <v>723</v>
      </c>
      <c r="W7097" t="s">
        <v>4655</v>
      </c>
      <c r="X7097" s="2">
        <v>0</v>
      </c>
      <c r="Y7097">
        <v>20</v>
      </c>
      <c r="Z7097" t="s">
        <v>1687</v>
      </c>
      <c r="AA7097" s="3">
        <v>0.18953168392181396</v>
      </c>
      <c r="AB7097" t="s">
        <v>33719</v>
      </c>
      <c r="AC7097" t="s">
        <v>4562</v>
      </c>
      <c r="AD7097" t="s">
        <v>33720</v>
      </c>
      <c r="AE7097" t="s">
        <v>4655</v>
      </c>
      <c r="AF7097" t="s">
        <v>4809</v>
      </c>
      <c r="AG7097" t="s">
        <v>4564</v>
      </c>
      <c r="AH7097" t="s">
        <v>1605</v>
      </c>
      <c r="AI7097" t="s">
        <v>2584</v>
      </c>
      <c r="AJ7097" t="s">
        <v>33721</v>
      </c>
      <c r="AK7097" t="s">
        <v>33722</v>
      </c>
      <c r="AL7097" s="13" t="s">
        <v>1899</v>
      </c>
      <c r="AM7097">
        <v>1</v>
      </c>
      <c r="AN7097" s="15" t="s">
        <v>2586</v>
      </c>
    </row>
    <row r="7098" spans="1:40" x14ac:dyDescent="0.3">
      <c r="A7098" s="10" t="str">
        <f>HYPERLINK("http://www.washoecounty.gov/assessor/cama/?parid=516-422-04&amp;CardNumber=1","516-422-04")</f>
        <v>516-422-04</v>
      </c>
      <c r="B7098" t="s">
        <v>4655</v>
      </c>
      <c r="C7098" t="s">
        <v>33723</v>
      </c>
      <c r="D7098" s="1">
        <v>40415</v>
      </c>
      <c r="E7098" s="2">
        <v>225000</v>
      </c>
      <c r="F7098" t="s">
        <v>4553</v>
      </c>
      <c r="G7098" s="17" t="str">
        <f>HYPERLINK("https://www.washoecounty.gov/assessor/cama/?command=sales&amp;parid=51642204","3915605")</f>
        <v>3915605</v>
      </c>
      <c r="H7098" t="s">
        <v>418</v>
      </c>
      <c r="I7098">
        <v>2005</v>
      </c>
      <c r="J7098">
        <v>2005</v>
      </c>
      <c r="K7098" t="s">
        <v>4554</v>
      </c>
      <c r="L7098" t="s">
        <v>4555</v>
      </c>
      <c r="M7098" s="2">
        <v>1769</v>
      </c>
      <c r="N7098" t="s">
        <v>3147</v>
      </c>
      <c r="O7098">
        <v>3</v>
      </c>
      <c r="P7098">
        <v>2</v>
      </c>
      <c r="Q7098">
        <v>0</v>
      </c>
      <c r="R7098" t="s">
        <v>5281</v>
      </c>
      <c r="S7098" t="s">
        <v>4898</v>
      </c>
      <c r="T7098" t="s">
        <v>2704</v>
      </c>
      <c r="U7098" t="s">
        <v>4560</v>
      </c>
      <c r="V7098" s="2">
        <v>762</v>
      </c>
      <c r="W7098" t="s">
        <v>4655</v>
      </c>
      <c r="X7098" s="2">
        <v>0</v>
      </c>
      <c r="Y7098">
        <v>20</v>
      </c>
      <c r="Z7098" t="s">
        <v>1687</v>
      </c>
      <c r="AA7098" s="3">
        <v>0.20525711774826</v>
      </c>
      <c r="AB7098" t="s">
        <v>33724</v>
      </c>
      <c r="AC7098" t="s">
        <v>4562</v>
      </c>
      <c r="AD7098" t="s">
        <v>33725</v>
      </c>
      <c r="AE7098" t="s">
        <v>4655</v>
      </c>
      <c r="AF7098" t="s">
        <v>5201</v>
      </c>
      <c r="AG7098" t="s">
        <v>4564</v>
      </c>
      <c r="AH7098" t="s">
        <v>1605</v>
      </c>
      <c r="AI7098" t="s">
        <v>949</v>
      </c>
      <c r="AJ7098" t="s">
        <v>1299</v>
      </c>
      <c r="AK7098" t="s">
        <v>33726</v>
      </c>
      <c r="AL7098" s="13" t="s">
        <v>1899</v>
      </c>
      <c r="AM7098" s="14">
        <v>1</v>
      </c>
      <c r="AN7098" s="15" t="s">
        <v>2586</v>
      </c>
    </row>
    <row r="7099" spans="1:40" x14ac:dyDescent="0.3">
      <c r="A7099" s="10" t="str">
        <f>HYPERLINK("http://www.washoecounty.gov/assessor/cama/?parid=516-423-01&amp;CardNumber=1","516-423-01")</f>
        <v>516-423-01</v>
      </c>
      <c r="B7099" t="s">
        <v>4655</v>
      </c>
      <c r="C7099" t="s">
        <v>33727</v>
      </c>
      <c r="D7099" s="1">
        <v>40249</v>
      </c>
      <c r="E7099" s="2">
        <v>228000</v>
      </c>
      <c r="F7099" t="s">
        <v>4567</v>
      </c>
      <c r="G7099" s="17" t="str">
        <f>HYPERLINK("https://www.washoecounty.gov/assessor/cama/?command=sales&amp;parid=51642301","3859544")</f>
        <v>3859544</v>
      </c>
      <c r="H7099" t="s">
        <v>418</v>
      </c>
      <c r="I7099">
        <v>2005</v>
      </c>
      <c r="J7099">
        <v>2005</v>
      </c>
      <c r="K7099" t="s">
        <v>4554</v>
      </c>
      <c r="L7099" t="s">
        <v>4555</v>
      </c>
      <c r="M7099" s="2">
        <v>1769</v>
      </c>
      <c r="N7099" t="s">
        <v>3147</v>
      </c>
      <c r="O7099">
        <v>2</v>
      </c>
      <c r="P7099">
        <v>2</v>
      </c>
      <c r="Q7099">
        <v>0</v>
      </c>
      <c r="R7099" t="s">
        <v>5281</v>
      </c>
      <c r="S7099" t="s">
        <v>4898</v>
      </c>
      <c r="T7099" t="s">
        <v>2704</v>
      </c>
      <c r="U7099" t="s">
        <v>4560</v>
      </c>
      <c r="V7099" s="2">
        <v>762</v>
      </c>
      <c r="W7099" t="s">
        <v>4655</v>
      </c>
      <c r="X7099" s="2">
        <v>0</v>
      </c>
      <c r="Y7099">
        <v>20</v>
      </c>
      <c r="Z7099" t="s">
        <v>1687</v>
      </c>
      <c r="AA7099" s="3">
        <v>0.21051423251628901</v>
      </c>
      <c r="AB7099" t="s">
        <v>33728</v>
      </c>
      <c r="AC7099" t="s">
        <v>4562</v>
      </c>
      <c r="AD7099" t="s">
        <v>33727</v>
      </c>
      <c r="AE7099" t="s">
        <v>4655</v>
      </c>
      <c r="AF7099" t="s">
        <v>5201</v>
      </c>
      <c r="AG7099" t="s">
        <v>4564</v>
      </c>
      <c r="AH7099" t="s">
        <v>1605</v>
      </c>
      <c r="AI7099" t="s">
        <v>33729</v>
      </c>
      <c r="AJ7099" t="s">
        <v>1299</v>
      </c>
      <c r="AK7099" t="s">
        <v>33730</v>
      </c>
      <c r="AL7099" s="13" t="s">
        <v>1899</v>
      </c>
      <c r="AM7099">
        <v>1</v>
      </c>
      <c r="AN7099" s="15" t="s">
        <v>2586</v>
      </c>
    </row>
    <row r="7100" spans="1:40" x14ac:dyDescent="0.3">
      <c r="A7100" s="10" t="str">
        <f>HYPERLINK("http://www.washoecounty.gov/assessor/cama/?parid=516-431-01&amp;CardNumber=1","516-431-01")</f>
        <v>516-431-01</v>
      </c>
      <c r="B7100" t="s">
        <v>4655</v>
      </c>
      <c r="C7100" t="s">
        <v>33731</v>
      </c>
      <c r="D7100" s="1">
        <v>40420</v>
      </c>
      <c r="E7100" s="2">
        <v>285000</v>
      </c>
      <c r="F7100" t="s">
        <v>4567</v>
      </c>
      <c r="G7100" s="17" t="str">
        <f>HYPERLINK("https://www.washoecounty.gov/assessor/cama/?command=sales&amp;parid=51643101","3916997")</f>
        <v>3916997</v>
      </c>
      <c r="H7100" t="s">
        <v>1686</v>
      </c>
      <c r="I7100">
        <v>2005</v>
      </c>
      <c r="J7100">
        <v>2005</v>
      </c>
      <c r="K7100" t="s">
        <v>4554</v>
      </c>
      <c r="L7100" t="s">
        <v>3974</v>
      </c>
      <c r="M7100" s="2">
        <v>3932</v>
      </c>
      <c r="N7100" t="s">
        <v>3147</v>
      </c>
      <c r="O7100">
        <v>4</v>
      </c>
      <c r="P7100">
        <v>2</v>
      </c>
      <c r="Q7100">
        <v>1</v>
      </c>
      <c r="R7100" t="s">
        <v>5281</v>
      </c>
      <c r="S7100" t="s">
        <v>4898</v>
      </c>
      <c r="T7100" t="s">
        <v>2704</v>
      </c>
      <c r="U7100" t="s">
        <v>4560</v>
      </c>
      <c r="V7100" s="2">
        <v>884</v>
      </c>
      <c r="W7100" t="s">
        <v>4655</v>
      </c>
      <c r="X7100" s="2">
        <v>0</v>
      </c>
      <c r="Y7100">
        <v>20</v>
      </c>
      <c r="Z7100" t="s">
        <v>1687</v>
      </c>
      <c r="AA7100" s="3">
        <v>0.23714417219161987</v>
      </c>
      <c r="AB7100" t="s">
        <v>33732</v>
      </c>
      <c r="AC7100" t="s">
        <v>4575</v>
      </c>
      <c r="AD7100" t="s">
        <v>33733</v>
      </c>
      <c r="AE7100" t="s">
        <v>33731</v>
      </c>
      <c r="AF7100" t="s">
        <v>5201</v>
      </c>
      <c r="AG7100" t="s">
        <v>4564</v>
      </c>
      <c r="AH7100" t="s">
        <v>1605</v>
      </c>
      <c r="AI7100" t="s">
        <v>33734</v>
      </c>
      <c r="AJ7100" t="s">
        <v>1299</v>
      </c>
      <c r="AK7100" t="s">
        <v>33735</v>
      </c>
      <c r="AL7100" s="13" t="s">
        <v>1899</v>
      </c>
      <c r="AM7100" s="14">
        <v>1</v>
      </c>
      <c r="AN7100" s="15" t="s">
        <v>1300</v>
      </c>
    </row>
    <row r="7101" spans="1:40" x14ac:dyDescent="0.3">
      <c r="A7101" s="10" t="str">
        <f>HYPERLINK("http://www.washoecounty.gov/assessor/cama/?parid=516-431-02&amp;CardNumber=1","516-431-02")</f>
        <v>516-431-02</v>
      </c>
      <c r="B7101" t="s">
        <v>4655</v>
      </c>
      <c r="C7101" t="s">
        <v>33736</v>
      </c>
      <c r="D7101" s="1">
        <v>40324</v>
      </c>
      <c r="E7101" s="2">
        <v>312000</v>
      </c>
      <c r="F7101" t="s">
        <v>4567</v>
      </c>
      <c r="G7101" s="17" t="str">
        <f>HYPERLINK("https://www.washoecounty.gov/assessor/cama/?command=sales&amp;parid=51643102","3885522")</f>
        <v>3885522</v>
      </c>
      <c r="H7101" t="s">
        <v>1686</v>
      </c>
      <c r="I7101">
        <v>2005</v>
      </c>
      <c r="J7101">
        <v>2005</v>
      </c>
      <c r="K7101" t="s">
        <v>4554</v>
      </c>
      <c r="L7101" t="s">
        <v>4555</v>
      </c>
      <c r="M7101" s="2">
        <v>3445</v>
      </c>
      <c r="N7101" t="s">
        <v>3147</v>
      </c>
      <c r="O7101">
        <v>5</v>
      </c>
      <c r="P7101">
        <v>4</v>
      </c>
      <c r="Q7101">
        <v>0</v>
      </c>
      <c r="R7101" t="s">
        <v>5281</v>
      </c>
      <c r="S7101" t="s">
        <v>4898</v>
      </c>
      <c r="T7101" t="s">
        <v>2704</v>
      </c>
      <c r="U7101" t="s">
        <v>4560</v>
      </c>
      <c r="V7101" s="2">
        <v>696</v>
      </c>
      <c r="W7101" t="s">
        <v>4655</v>
      </c>
      <c r="X7101" s="2">
        <v>0</v>
      </c>
      <c r="Y7101">
        <v>20</v>
      </c>
      <c r="Z7101" t="s">
        <v>1687</v>
      </c>
      <c r="AA7101" s="3">
        <v>0.31228190660476701</v>
      </c>
      <c r="AB7101" t="s">
        <v>33737</v>
      </c>
      <c r="AC7101" t="s">
        <v>4575</v>
      </c>
      <c r="AD7101" t="s">
        <v>33738</v>
      </c>
      <c r="AE7101" t="s">
        <v>4655</v>
      </c>
      <c r="AF7101" t="s">
        <v>33739</v>
      </c>
      <c r="AG7101" t="s">
        <v>4584</v>
      </c>
      <c r="AH7101" t="s">
        <v>33740</v>
      </c>
      <c r="AI7101" t="s">
        <v>33741</v>
      </c>
      <c r="AJ7101" t="s">
        <v>1299</v>
      </c>
      <c r="AK7101" t="s">
        <v>33742</v>
      </c>
      <c r="AL7101" s="13" t="s">
        <v>1899</v>
      </c>
      <c r="AM7101" s="14">
        <v>1</v>
      </c>
      <c r="AN7101" s="15" t="s">
        <v>1300</v>
      </c>
    </row>
    <row r="7102" spans="1:40" x14ac:dyDescent="0.3">
      <c r="A7102" s="10" t="str">
        <f>HYPERLINK("http://www.washoecounty.gov/assessor/cama/?parid=516-432-03&amp;CardNumber=1","516-432-03")</f>
        <v>516-432-03</v>
      </c>
      <c r="B7102" t="s">
        <v>4655</v>
      </c>
      <c r="C7102" t="s">
        <v>33743</v>
      </c>
      <c r="D7102" s="1">
        <v>40466</v>
      </c>
      <c r="E7102" s="2">
        <v>260000</v>
      </c>
      <c r="F7102" t="s">
        <v>4567</v>
      </c>
      <c r="G7102" s="17" t="str">
        <f>HYPERLINK("https://www.washoecounty.gov/assessor/cama/?command=sales&amp;parid=51643203","3933780")</f>
        <v>3933780</v>
      </c>
      <c r="H7102" t="s">
        <v>1686</v>
      </c>
      <c r="I7102">
        <v>2005</v>
      </c>
      <c r="J7102">
        <v>2005</v>
      </c>
      <c r="K7102" t="s">
        <v>4554</v>
      </c>
      <c r="L7102" t="s">
        <v>4555</v>
      </c>
      <c r="M7102" s="2">
        <v>3217</v>
      </c>
      <c r="N7102" t="s">
        <v>3147</v>
      </c>
      <c r="O7102">
        <v>5</v>
      </c>
      <c r="P7102">
        <v>4</v>
      </c>
      <c r="Q7102">
        <v>1</v>
      </c>
      <c r="R7102" t="s">
        <v>5281</v>
      </c>
      <c r="S7102" t="s">
        <v>4898</v>
      </c>
      <c r="T7102" t="s">
        <v>2704</v>
      </c>
      <c r="U7102" t="s">
        <v>4560</v>
      </c>
      <c r="V7102" s="2">
        <v>924</v>
      </c>
      <c r="W7102" t="s">
        <v>4655</v>
      </c>
      <c r="X7102" s="2">
        <v>0</v>
      </c>
      <c r="Y7102">
        <v>20</v>
      </c>
      <c r="Z7102" t="s">
        <v>1687</v>
      </c>
      <c r="AA7102" s="3">
        <v>0.2252984344959259</v>
      </c>
      <c r="AB7102" t="s">
        <v>33744</v>
      </c>
      <c r="AC7102" t="s">
        <v>4562</v>
      </c>
      <c r="AD7102" t="s">
        <v>33743</v>
      </c>
      <c r="AE7102" t="s">
        <v>4655</v>
      </c>
      <c r="AF7102" t="s">
        <v>5201</v>
      </c>
      <c r="AG7102" t="s">
        <v>4564</v>
      </c>
      <c r="AH7102" t="s">
        <v>1605</v>
      </c>
      <c r="AI7102" t="s">
        <v>33745</v>
      </c>
      <c r="AJ7102" t="s">
        <v>1299</v>
      </c>
      <c r="AK7102" t="s">
        <v>33746</v>
      </c>
      <c r="AL7102" s="13" t="s">
        <v>1899</v>
      </c>
      <c r="AM7102" s="14">
        <v>1</v>
      </c>
      <c r="AN7102" s="15" t="s">
        <v>1300</v>
      </c>
    </row>
    <row r="7103" spans="1:40" x14ac:dyDescent="0.3">
      <c r="A7103" s="10" t="str">
        <f>HYPERLINK("http://www.washoecounty.gov/assessor/cama/?parid=516-433-04&amp;CardNumber=1","516-433-04")</f>
        <v>516-433-04</v>
      </c>
      <c r="B7103" t="s">
        <v>4655</v>
      </c>
      <c r="C7103" t="s">
        <v>33747</v>
      </c>
      <c r="D7103" s="1">
        <v>40406</v>
      </c>
      <c r="E7103" s="2">
        <v>376686</v>
      </c>
      <c r="F7103" t="s">
        <v>4567</v>
      </c>
      <c r="G7103" s="17" t="str">
        <f>HYPERLINK("https://www.washoecounty.gov/assessor/cama/?command=sales&amp;parid=51643304","3912402")</f>
        <v>3912402</v>
      </c>
      <c r="H7103" t="s">
        <v>1686</v>
      </c>
      <c r="I7103">
        <v>2010</v>
      </c>
      <c r="J7103">
        <v>2010</v>
      </c>
      <c r="K7103" t="s">
        <v>4554</v>
      </c>
      <c r="L7103" t="s">
        <v>4555</v>
      </c>
      <c r="M7103" s="2">
        <v>2922</v>
      </c>
      <c r="N7103" t="s">
        <v>3147</v>
      </c>
      <c r="O7103">
        <v>4</v>
      </c>
      <c r="P7103">
        <v>3</v>
      </c>
      <c r="Q7103">
        <v>0</v>
      </c>
      <c r="R7103" t="s">
        <v>5281</v>
      </c>
      <c r="S7103" t="s">
        <v>4898</v>
      </c>
      <c r="T7103" t="s">
        <v>2704</v>
      </c>
      <c r="U7103" t="s">
        <v>4560</v>
      </c>
      <c r="V7103" s="2">
        <v>768</v>
      </c>
      <c r="W7103" t="s">
        <v>4655</v>
      </c>
      <c r="X7103" s="2">
        <v>0</v>
      </c>
      <c r="Y7103">
        <v>20</v>
      </c>
      <c r="Z7103" t="s">
        <v>1687</v>
      </c>
      <c r="AA7103" s="3">
        <v>0.22419650852680201</v>
      </c>
      <c r="AB7103" t="s">
        <v>33748</v>
      </c>
      <c r="AC7103" t="s">
        <v>4562</v>
      </c>
      <c r="AD7103" t="s">
        <v>33747</v>
      </c>
      <c r="AE7103" t="s">
        <v>4655</v>
      </c>
      <c r="AF7103" t="s">
        <v>5201</v>
      </c>
      <c r="AG7103" t="s">
        <v>4564</v>
      </c>
      <c r="AH7103" t="s">
        <v>1605</v>
      </c>
      <c r="AI7103" t="s">
        <v>2584</v>
      </c>
      <c r="AJ7103" t="s">
        <v>1299</v>
      </c>
      <c r="AK7103" t="s">
        <v>33749</v>
      </c>
      <c r="AL7103" s="13" t="s">
        <v>1899</v>
      </c>
      <c r="AM7103">
        <v>1</v>
      </c>
      <c r="AN7103" s="15" t="s">
        <v>1300</v>
      </c>
    </row>
    <row r="7104" spans="1:40" x14ac:dyDescent="0.3">
      <c r="A7104" s="10" t="str">
        <f>HYPERLINK("http://www.washoecounty.gov/assessor/cama/?parid=516-433-06&amp;CardNumber=1","516-433-06")</f>
        <v>516-433-06</v>
      </c>
      <c r="B7104" t="s">
        <v>4655</v>
      </c>
      <c r="C7104" t="s">
        <v>33750</v>
      </c>
      <c r="D7104" s="1">
        <v>40282</v>
      </c>
      <c r="E7104" s="2">
        <v>389000</v>
      </c>
      <c r="F7104" t="s">
        <v>4567</v>
      </c>
      <c r="G7104" s="17" t="str">
        <f>HYPERLINK("https://www.washoecounty.gov/assessor/cama/?command=sales&amp;parid=51643306","3871050")</f>
        <v>3871050</v>
      </c>
      <c r="H7104" t="s">
        <v>1686</v>
      </c>
      <c r="I7104">
        <v>2009</v>
      </c>
      <c r="J7104">
        <v>2009</v>
      </c>
      <c r="K7104" t="s">
        <v>4554</v>
      </c>
      <c r="L7104" t="s">
        <v>4555</v>
      </c>
      <c r="M7104" s="2">
        <v>3217</v>
      </c>
      <c r="N7104" t="s">
        <v>3147</v>
      </c>
      <c r="O7104">
        <v>4</v>
      </c>
      <c r="P7104">
        <v>2</v>
      </c>
      <c r="Q7104">
        <v>1</v>
      </c>
      <c r="R7104" t="s">
        <v>5281</v>
      </c>
      <c r="S7104" t="s">
        <v>4898</v>
      </c>
      <c r="T7104" t="s">
        <v>2704</v>
      </c>
      <c r="U7104" t="s">
        <v>4560</v>
      </c>
      <c r="V7104" s="2">
        <v>924</v>
      </c>
      <c r="W7104" t="s">
        <v>4655</v>
      </c>
      <c r="X7104" s="2">
        <v>0</v>
      </c>
      <c r="Y7104">
        <v>20</v>
      </c>
      <c r="Z7104" t="s">
        <v>1687</v>
      </c>
      <c r="AA7104" s="3">
        <v>0.23021119832992601</v>
      </c>
      <c r="AB7104" t="s">
        <v>33751</v>
      </c>
      <c r="AC7104" t="s">
        <v>4562</v>
      </c>
      <c r="AD7104" t="s">
        <v>33750</v>
      </c>
      <c r="AE7104" t="s">
        <v>4655</v>
      </c>
      <c r="AF7104" t="s">
        <v>5201</v>
      </c>
      <c r="AG7104" t="s">
        <v>4564</v>
      </c>
      <c r="AH7104" t="s">
        <v>1605</v>
      </c>
      <c r="AI7104" t="s">
        <v>2584</v>
      </c>
      <c r="AJ7104" t="s">
        <v>1299</v>
      </c>
      <c r="AK7104" t="s">
        <v>33752</v>
      </c>
      <c r="AL7104" s="13" t="s">
        <v>1899</v>
      </c>
      <c r="AM7104">
        <v>1</v>
      </c>
      <c r="AN7104" s="15" t="s">
        <v>1300</v>
      </c>
    </row>
    <row r="7105" spans="1:40" x14ac:dyDescent="0.3">
      <c r="A7105" s="10" t="str">
        <f>HYPERLINK("http://www.washoecounty.gov/assessor/cama/?parid=516-434-05&amp;CardNumber=1","516-434-05")</f>
        <v>516-434-05</v>
      </c>
      <c r="B7105" t="s">
        <v>4655</v>
      </c>
      <c r="C7105" t="s">
        <v>33753</v>
      </c>
      <c r="D7105" s="1">
        <v>40490</v>
      </c>
      <c r="E7105" s="2">
        <v>340000</v>
      </c>
      <c r="F7105" t="s">
        <v>4567</v>
      </c>
      <c r="G7105" s="17" t="str">
        <f>HYPERLINK("https://www.washoecounty.gov/assessor/cama/?command=sales&amp;parid=51643405","3940936")</f>
        <v>3940936</v>
      </c>
      <c r="H7105" t="s">
        <v>1686</v>
      </c>
      <c r="I7105">
        <v>2010</v>
      </c>
      <c r="J7105">
        <v>2010</v>
      </c>
      <c r="K7105" t="s">
        <v>4554</v>
      </c>
      <c r="L7105" t="s">
        <v>4555</v>
      </c>
      <c r="M7105" s="2">
        <v>3217</v>
      </c>
      <c r="N7105" t="s">
        <v>3147</v>
      </c>
      <c r="O7105">
        <v>3</v>
      </c>
      <c r="P7105">
        <v>2</v>
      </c>
      <c r="Q7105">
        <v>1</v>
      </c>
      <c r="R7105" t="s">
        <v>5281</v>
      </c>
      <c r="S7105" t="s">
        <v>4898</v>
      </c>
      <c r="T7105" t="s">
        <v>2704</v>
      </c>
      <c r="U7105" t="s">
        <v>4560</v>
      </c>
      <c r="V7105" s="2">
        <v>924</v>
      </c>
      <c r="W7105" t="s">
        <v>4655</v>
      </c>
      <c r="X7105" s="2">
        <v>0</v>
      </c>
      <c r="Y7105">
        <v>20</v>
      </c>
      <c r="Z7105" t="s">
        <v>1687</v>
      </c>
      <c r="AA7105" s="3">
        <v>0.258310377597809</v>
      </c>
      <c r="AB7105" t="s">
        <v>33754</v>
      </c>
      <c r="AC7105" t="s">
        <v>4562</v>
      </c>
      <c r="AD7105" t="s">
        <v>33755</v>
      </c>
      <c r="AE7105" t="s">
        <v>4655</v>
      </c>
      <c r="AF7105" t="s">
        <v>5201</v>
      </c>
      <c r="AG7105" t="s">
        <v>4564</v>
      </c>
      <c r="AH7105" t="s">
        <v>1605</v>
      </c>
      <c r="AI7105" t="s">
        <v>2584</v>
      </c>
      <c r="AJ7105" t="s">
        <v>1299</v>
      </c>
      <c r="AK7105" t="s">
        <v>33756</v>
      </c>
      <c r="AL7105" s="13" t="s">
        <v>1899</v>
      </c>
      <c r="AM7105">
        <v>1</v>
      </c>
      <c r="AN7105" s="15" t="s">
        <v>1300</v>
      </c>
    </row>
    <row r="7106" spans="1:40" x14ac:dyDescent="0.3">
      <c r="A7106" s="10" t="str">
        <f>HYPERLINK("http://www.washoecounty.gov/assessor/cama/?parid=516-435-04&amp;CardNumber=1","516-435-04")</f>
        <v>516-435-04</v>
      </c>
      <c r="B7106" t="s">
        <v>4655</v>
      </c>
      <c r="C7106" t="s">
        <v>33757</v>
      </c>
      <c r="D7106" s="1">
        <v>40221</v>
      </c>
      <c r="E7106" s="2">
        <v>290000</v>
      </c>
      <c r="F7106" t="s">
        <v>4567</v>
      </c>
      <c r="G7106" s="17" t="str">
        <f>HYPERLINK("https://www.washoecounty.gov/assessor/cama/?command=sales&amp;parid=51643504","3848971")</f>
        <v>3848971</v>
      </c>
      <c r="H7106" t="s">
        <v>1686</v>
      </c>
      <c r="I7106">
        <v>2005</v>
      </c>
      <c r="J7106">
        <v>2005</v>
      </c>
      <c r="K7106" t="s">
        <v>4554</v>
      </c>
      <c r="L7106" t="s">
        <v>4555</v>
      </c>
      <c r="M7106" s="2">
        <v>3217</v>
      </c>
      <c r="N7106" t="s">
        <v>3147</v>
      </c>
      <c r="O7106">
        <v>3</v>
      </c>
      <c r="P7106">
        <v>2</v>
      </c>
      <c r="Q7106">
        <v>1</v>
      </c>
      <c r="R7106" t="s">
        <v>5281</v>
      </c>
      <c r="S7106" t="s">
        <v>4898</v>
      </c>
      <c r="T7106" t="s">
        <v>2704</v>
      </c>
      <c r="U7106" t="s">
        <v>4560</v>
      </c>
      <c r="V7106" s="2">
        <v>924</v>
      </c>
      <c r="W7106" t="s">
        <v>4655</v>
      </c>
      <c r="X7106" s="2">
        <v>0</v>
      </c>
      <c r="Y7106">
        <v>20</v>
      </c>
      <c r="Z7106" t="s">
        <v>1687</v>
      </c>
      <c r="AA7106" s="3">
        <v>0.21464645862579346</v>
      </c>
      <c r="AB7106" t="s">
        <v>33758</v>
      </c>
      <c r="AC7106" t="s">
        <v>4575</v>
      </c>
      <c r="AD7106" t="s">
        <v>33757</v>
      </c>
      <c r="AE7106" t="s">
        <v>4655</v>
      </c>
      <c r="AF7106" t="s">
        <v>5201</v>
      </c>
      <c r="AG7106" t="s">
        <v>4564</v>
      </c>
      <c r="AH7106" t="s">
        <v>1605</v>
      </c>
      <c r="AI7106" t="s">
        <v>33759</v>
      </c>
      <c r="AJ7106" t="s">
        <v>1299</v>
      </c>
      <c r="AK7106" t="s">
        <v>33760</v>
      </c>
      <c r="AL7106" s="13" t="s">
        <v>1899</v>
      </c>
      <c r="AM7106">
        <v>1</v>
      </c>
      <c r="AN7106" s="15" t="s">
        <v>1300</v>
      </c>
    </row>
    <row r="7107" spans="1:40" x14ac:dyDescent="0.3">
      <c r="A7107" s="10" t="str">
        <f>HYPERLINK("http://www.washoecounty.gov/assessor/cama/?parid=516-451-02&amp;CardNumber=1","516-451-02")</f>
        <v>516-451-02</v>
      </c>
      <c r="B7107" t="s">
        <v>4655</v>
      </c>
      <c r="C7107" t="s">
        <v>33761</v>
      </c>
      <c r="D7107" s="1">
        <v>40368</v>
      </c>
      <c r="E7107" s="2">
        <v>305539</v>
      </c>
      <c r="F7107" t="s">
        <v>4567</v>
      </c>
      <c r="G7107" s="17" t="str">
        <f>HYPERLINK("https://www.washoecounty.gov/assessor/cama/?command=sales&amp;parid=51645102","3899728")</f>
        <v>3899728</v>
      </c>
      <c r="H7107" t="s">
        <v>2583</v>
      </c>
      <c r="I7107">
        <v>2010</v>
      </c>
      <c r="J7107">
        <v>2010</v>
      </c>
      <c r="K7107" t="s">
        <v>4554</v>
      </c>
      <c r="L7107" t="s">
        <v>4555</v>
      </c>
      <c r="M7107" s="2">
        <v>2372</v>
      </c>
      <c r="N7107" t="s">
        <v>3147</v>
      </c>
      <c r="O7107">
        <v>3</v>
      </c>
      <c r="P7107">
        <v>3</v>
      </c>
      <c r="Q7107">
        <v>0</v>
      </c>
      <c r="R7107" t="s">
        <v>5281</v>
      </c>
      <c r="S7107" t="s">
        <v>4898</v>
      </c>
      <c r="T7107" t="s">
        <v>2704</v>
      </c>
      <c r="U7107" t="s">
        <v>4560</v>
      </c>
      <c r="V7107" s="2">
        <v>609</v>
      </c>
      <c r="W7107" t="s">
        <v>4655</v>
      </c>
      <c r="X7107" s="2">
        <v>0</v>
      </c>
      <c r="Y7107">
        <v>20</v>
      </c>
      <c r="Z7107" t="s">
        <v>1687</v>
      </c>
      <c r="AA7107" s="3">
        <v>0.21808999776840199</v>
      </c>
      <c r="AB7107" t="s">
        <v>33762</v>
      </c>
      <c r="AC7107" t="s">
        <v>4562</v>
      </c>
      <c r="AD7107" t="s">
        <v>33763</v>
      </c>
      <c r="AE7107" t="s">
        <v>4655</v>
      </c>
      <c r="AF7107" t="s">
        <v>5201</v>
      </c>
      <c r="AG7107" t="s">
        <v>4564</v>
      </c>
      <c r="AH7107" t="s">
        <v>1605</v>
      </c>
      <c r="AI7107" t="s">
        <v>2584</v>
      </c>
      <c r="AJ7107" t="s">
        <v>2585</v>
      </c>
      <c r="AK7107" t="s">
        <v>33764</v>
      </c>
      <c r="AL7107" s="13" t="s">
        <v>1899</v>
      </c>
      <c r="AM7107">
        <v>1</v>
      </c>
      <c r="AN7107" s="15" t="s">
        <v>2586</v>
      </c>
    </row>
    <row r="7108" spans="1:40" x14ac:dyDescent="0.3">
      <c r="A7108" s="10" t="str">
        <f>HYPERLINK("http://www.washoecounty.gov/assessor/cama/?parid=516-451-04&amp;CardNumber=1","516-451-04")</f>
        <v>516-451-04</v>
      </c>
      <c r="B7108" t="s">
        <v>4655</v>
      </c>
      <c r="C7108" t="s">
        <v>33765</v>
      </c>
      <c r="D7108" s="1">
        <v>40388</v>
      </c>
      <c r="E7108" s="2">
        <v>342239</v>
      </c>
      <c r="F7108" t="s">
        <v>4567</v>
      </c>
      <c r="G7108" s="17" t="str">
        <f>HYPERLINK("https://www.washoecounty.gov/assessor/cama/?command=sales&amp;parid=51645104","3906603")</f>
        <v>3906603</v>
      </c>
      <c r="H7108" t="s">
        <v>2583</v>
      </c>
      <c r="I7108">
        <v>2010</v>
      </c>
      <c r="J7108">
        <v>2010</v>
      </c>
      <c r="K7108" t="s">
        <v>4554</v>
      </c>
      <c r="L7108" t="s">
        <v>4555</v>
      </c>
      <c r="M7108" s="2">
        <v>2296</v>
      </c>
      <c r="N7108" t="s">
        <v>3147</v>
      </c>
      <c r="O7108">
        <v>3</v>
      </c>
      <c r="P7108">
        <v>2</v>
      </c>
      <c r="Q7108">
        <v>1</v>
      </c>
      <c r="R7108" t="s">
        <v>5281</v>
      </c>
      <c r="S7108" t="s">
        <v>4898</v>
      </c>
      <c r="T7108" t="s">
        <v>2704</v>
      </c>
      <c r="U7108" t="s">
        <v>4560</v>
      </c>
      <c r="V7108" s="2">
        <v>853</v>
      </c>
      <c r="W7108" t="s">
        <v>4655</v>
      </c>
      <c r="X7108" s="2">
        <v>0</v>
      </c>
      <c r="Y7108">
        <v>20</v>
      </c>
      <c r="Z7108" t="s">
        <v>1687</v>
      </c>
      <c r="AA7108" s="3">
        <v>0.259986221790314</v>
      </c>
      <c r="AB7108" t="s">
        <v>33766</v>
      </c>
      <c r="AC7108" t="s">
        <v>4562</v>
      </c>
      <c r="AD7108" t="s">
        <v>33767</v>
      </c>
      <c r="AE7108" t="s">
        <v>4655</v>
      </c>
      <c r="AF7108" t="s">
        <v>4809</v>
      </c>
      <c r="AG7108" t="s">
        <v>4564</v>
      </c>
      <c r="AH7108" t="s">
        <v>1605</v>
      </c>
      <c r="AI7108" t="s">
        <v>2584</v>
      </c>
      <c r="AJ7108" t="s">
        <v>2585</v>
      </c>
      <c r="AK7108" t="s">
        <v>33768</v>
      </c>
      <c r="AL7108" s="13" t="s">
        <v>1899</v>
      </c>
      <c r="AM7108">
        <v>1</v>
      </c>
      <c r="AN7108" s="15" t="s">
        <v>2586</v>
      </c>
    </row>
    <row r="7109" spans="1:40" x14ac:dyDescent="0.3">
      <c r="A7109" s="10" t="str">
        <f>HYPERLINK("http://www.washoecounty.gov/assessor/cama/?parid=516-453-15&amp;CardNumber=1","516-453-15")</f>
        <v>516-453-15</v>
      </c>
      <c r="B7109" t="s">
        <v>4655</v>
      </c>
      <c r="C7109" t="s">
        <v>33769</v>
      </c>
      <c r="D7109" s="1">
        <v>40312</v>
      </c>
      <c r="E7109" s="2">
        <v>300000</v>
      </c>
      <c r="F7109" t="s">
        <v>4567</v>
      </c>
      <c r="G7109" s="17" t="str">
        <f>HYPERLINK("https://www.washoecounty.gov/assessor/cama/?command=sales&amp;parid=51645315","3881458")</f>
        <v>3881458</v>
      </c>
      <c r="H7109" t="s">
        <v>2583</v>
      </c>
      <c r="I7109">
        <v>2008</v>
      </c>
      <c r="J7109">
        <v>2008</v>
      </c>
      <c r="K7109" t="s">
        <v>4554</v>
      </c>
      <c r="L7109" t="s">
        <v>4555</v>
      </c>
      <c r="M7109" s="2">
        <v>1769</v>
      </c>
      <c r="N7109" t="s">
        <v>3147</v>
      </c>
      <c r="O7109">
        <v>2</v>
      </c>
      <c r="P7109">
        <v>2</v>
      </c>
      <c r="Q7109">
        <v>0</v>
      </c>
      <c r="R7109" t="s">
        <v>5281</v>
      </c>
      <c r="S7109" t="s">
        <v>4898</v>
      </c>
      <c r="T7109" t="s">
        <v>2704</v>
      </c>
      <c r="U7109" t="s">
        <v>4655</v>
      </c>
      <c r="V7109" s="2">
        <v>0</v>
      </c>
      <c r="W7109" t="s">
        <v>4655</v>
      </c>
      <c r="X7109" s="2">
        <v>0</v>
      </c>
      <c r="Y7109">
        <v>20</v>
      </c>
      <c r="Z7109" t="s">
        <v>1687</v>
      </c>
      <c r="AA7109" s="3">
        <v>0.28241506218910201</v>
      </c>
      <c r="AB7109" t="s">
        <v>2769</v>
      </c>
      <c r="AC7109" t="s">
        <v>4575</v>
      </c>
      <c r="AD7109" t="s">
        <v>33770</v>
      </c>
      <c r="AE7109" t="s">
        <v>4655</v>
      </c>
      <c r="AF7109" t="s">
        <v>4563</v>
      </c>
      <c r="AG7109" t="s">
        <v>4564</v>
      </c>
      <c r="AH7109">
        <v>89503</v>
      </c>
      <c r="AI7109" t="s">
        <v>2584</v>
      </c>
      <c r="AJ7109" t="s">
        <v>2585</v>
      </c>
      <c r="AK7109" t="s">
        <v>33771</v>
      </c>
      <c r="AL7109" s="13" t="s">
        <v>1899</v>
      </c>
      <c r="AM7109" s="14">
        <v>1</v>
      </c>
      <c r="AN7109" s="15" t="s">
        <v>2586</v>
      </c>
    </row>
    <row r="7110" spans="1:40" x14ac:dyDescent="0.3">
      <c r="A7110" s="10" t="str">
        <f>HYPERLINK("http://www.washoecounty.gov/assessor/cama/?parid=516-454-02&amp;CardNumber=1","516-454-02")</f>
        <v>516-454-02</v>
      </c>
      <c r="B7110" t="s">
        <v>4655</v>
      </c>
      <c r="C7110" t="s">
        <v>33772</v>
      </c>
      <c r="D7110" s="1">
        <v>40312</v>
      </c>
      <c r="E7110" s="2">
        <v>273000</v>
      </c>
      <c r="F7110" t="s">
        <v>4567</v>
      </c>
      <c r="G7110" s="17" t="str">
        <f>HYPERLINK("https://www.washoecounty.gov/assessor/cama/?command=sales&amp;parid=51645402","3881481")</f>
        <v>3881481</v>
      </c>
      <c r="H7110" t="s">
        <v>2583</v>
      </c>
      <c r="I7110">
        <v>2009</v>
      </c>
      <c r="J7110">
        <v>2009</v>
      </c>
      <c r="K7110" t="s">
        <v>4554</v>
      </c>
      <c r="L7110" t="s">
        <v>4555</v>
      </c>
      <c r="M7110" s="2">
        <v>1769</v>
      </c>
      <c r="N7110" t="s">
        <v>3147</v>
      </c>
      <c r="O7110">
        <v>3</v>
      </c>
      <c r="P7110">
        <v>2</v>
      </c>
      <c r="Q7110">
        <v>0</v>
      </c>
      <c r="R7110" t="s">
        <v>4557</v>
      </c>
      <c r="S7110" t="s">
        <v>4898</v>
      </c>
      <c r="T7110" t="s">
        <v>2704</v>
      </c>
      <c r="U7110" t="s">
        <v>4560</v>
      </c>
      <c r="V7110" s="2">
        <v>762</v>
      </c>
      <c r="W7110" t="s">
        <v>4655</v>
      </c>
      <c r="X7110" s="2">
        <v>0</v>
      </c>
      <c r="Y7110">
        <v>20</v>
      </c>
      <c r="Z7110" t="s">
        <v>1687</v>
      </c>
      <c r="AA7110" s="3">
        <v>0.275780528783798</v>
      </c>
      <c r="AB7110" t="s">
        <v>33773</v>
      </c>
      <c r="AC7110" t="s">
        <v>4562</v>
      </c>
      <c r="AD7110" t="s">
        <v>33772</v>
      </c>
      <c r="AE7110" t="s">
        <v>4655</v>
      </c>
      <c r="AF7110" t="s">
        <v>5201</v>
      </c>
      <c r="AG7110" t="s">
        <v>4564</v>
      </c>
      <c r="AH7110" t="s">
        <v>1605</v>
      </c>
      <c r="AI7110" t="s">
        <v>2584</v>
      </c>
      <c r="AJ7110" t="s">
        <v>2585</v>
      </c>
      <c r="AK7110" t="s">
        <v>33774</v>
      </c>
      <c r="AL7110" s="13" t="s">
        <v>1899</v>
      </c>
      <c r="AM7110">
        <v>1</v>
      </c>
      <c r="AN7110" s="15" t="s">
        <v>2586</v>
      </c>
    </row>
    <row r="7111" spans="1:40" x14ac:dyDescent="0.3">
      <c r="A7111" s="10" t="str">
        <f>HYPERLINK("http://www.washoecounty.gov/assessor/cama/?parid=516-454-05&amp;CardNumber=1","516-454-05")</f>
        <v>516-454-05</v>
      </c>
      <c r="B7111" t="s">
        <v>4655</v>
      </c>
      <c r="C7111" s="20" t="s">
        <v>283</v>
      </c>
      <c r="D7111" s="1">
        <v>40242</v>
      </c>
      <c r="E7111" s="2">
        <v>291140</v>
      </c>
      <c r="F7111" t="s">
        <v>4567</v>
      </c>
      <c r="G7111" s="20" t="s">
        <v>282</v>
      </c>
      <c r="H7111" t="s">
        <v>2583</v>
      </c>
      <c r="I7111">
        <v>2009</v>
      </c>
      <c r="J7111">
        <v>2009</v>
      </c>
      <c r="K7111" t="s">
        <v>4554</v>
      </c>
      <c r="L7111" t="s">
        <v>4555</v>
      </c>
      <c r="M7111" s="2">
        <v>2372</v>
      </c>
      <c r="N7111" t="s">
        <v>3147</v>
      </c>
      <c r="O7111">
        <v>4</v>
      </c>
      <c r="P7111">
        <v>3</v>
      </c>
      <c r="Q7111">
        <v>0</v>
      </c>
      <c r="R7111" t="s">
        <v>5281</v>
      </c>
      <c r="S7111" t="s">
        <v>4898</v>
      </c>
      <c r="T7111" t="s">
        <v>2704</v>
      </c>
      <c r="U7111" t="s">
        <v>4560</v>
      </c>
      <c r="V7111" s="2">
        <v>609</v>
      </c>
      <c r="W7111" t="s">
        <v>4655</v>
      </c>
      <c r="X7111" s="2">
        <v>0</v>
      </c>
      <c r="Y7111">
        <v>20</v>
      </c>
      <c r="Z7111" t="s">
        <v>1687</v>
      </c>
      <c r="AA7111" s="3">
        <v>0.19276858866214752</v>
      </c>
      <c r="AB7111" s="20" t="s">
        <v>8865</v>
      </c>
      <c r="AD7111" t="s">
        <v>283</v>
      </c>
      <c r="AE7111" t="s">
        <v>283</v>
      </c>
      <c r="AF7111" t="s">
        <v>283</v>
      </c>
      <c r="AG7111" t="s">
        <v>4564</v>
      </c>
      <c r="AH7111" t="s">
        <v>3101</v>
      </c>
      <c r="AI7111" t="s">
        <v>8865</v>
      </c>
      <c r="AJ7111" t="s">
        <v>2585</v>
      </c>
      <c r="AK7111" t="s">
        <v>8865</v>
      </c>
      <c r="AL7111" s="13" t="s">
        <v>1899</v>
      </c>
      <c r="AM7111">
        <v>1</v>
      </c>
      <c r="AN7111" s="15" t="s">
        <v>2586</v>
      </c>
    </row>
    <row r="7112" spans="1:40" x14ac:dyDescent="0.3">
      <c r="A7112" s="10" t="str">
        <f>HYPERLINK("http://www.washoecounty.gov/assessor/cama/?parid=516-470-27&amp;CardNumber=1","516-470-27")</f>
        <v>516-470-27</v>
      </c>
      <c r="B7112" t="s">
        <v>4655</v>
      </c>
      <c r="C7112" t="s">
        <v>33775</v>
      </c>
      <c r="D7112" s="1">
        <v>40263</v>
      </c>
      <c r="E7112" s="2">
        <v>451290</v>
      </c>
      <c r="F7112" t="s">
        <v>4187</v>
      </c>
      <c r="G7112" s="17" t="str">
        <f>HYPERLINK("https://www.washoecounty.gov/assessor/cama/?command=sales&amp;parid=51647027","3864492")</f>
        <v>3864492</v>
      </c>
      <c r="H7112" t="s">
        <v>33776</v>
      </c>
      <c r="I7112">
        <v>2006</v>
      </c>
      <c r="J7112">
        <v>2006</v>
      </c>
      <c r="K7112" t="s">
        <v>1567</v>
      </c>
      <c r="L7112" t="s">
        <v>1366</v>
      </c>
      <c r="M7112" s="2">
        <v>2120</v>
      </c>
      <c r="N7112" t="s">
        <v>4580</v>
      </c>
      <c r="O7112">
        <v>0</v>
      </c>
      <c r="P7112">
        <v>0</v>
      </c>
      <c r="Q7112">
        <v>0</v>
      </c>
      <c r="R7112" t="s">
        <v>1395</v>
      </c>
      <c r="S7112" t="s">
        <v>2054</v>
      </c>
      <c r="T7112" t="s">
        <v>4655</v>
      </c>
      <c r="U7112" t="s">
        <v>4655</v>
      </c>
      <c r="V7112" s="2">
        <v>0</v>
      </c>
      <c r="W7112" t="s">
        <v>4655</v>
      </c>
      <c r="X7112" s="2">
        <v>0</v>
      </c>
      <c r="Y7112">
        <v>41</v>
      </c>
      <c r="Z7112" t="s">
        <v>2862</v>
      </c>
      <c r="AA7112" s="3">
        <v>5.6336089968681301E-2</v>
      </c>
      <c r="AB7112" t="s">
        <v>33777</v>
      </c>
      <c r="AC7112" t="s">
        <v>4562</v>
      </c>
      <c r="AD7112" t="s">
        <v>33778</v>
      </c>
      <c r="AE7112" t="s">
        <v>4655</v>
      </c>
      <c r="AF7112" t="s">
        <v>5201</v>
      </c>
      <c r="AG7112" t="s">
        <v>4564</v>
      </c>
      <c r="AH7112" t="s">
        <v>1605</v>
      </c>
      <c r="AI7112" t="s">
        <v>4655</v>
      </c>
      <c r="AJ7112" t="s">
        <v>33779</v>
      </c>
      <c r="AK7112" t="s">
        <v>33780</v>
      </c>
      <c r="AL7112" s="13" t="s">
        <v>1899</v>
      </c>
      <c r="AM7112" s="14">
        <v>1</v>
      </c>
      <c r="AN7112" s="15" t="s">
        <v>33781</v>
      </c>
    </row>
    <row r="7113" spans="1:40" x14ac:dyDescent="0.3">
      <c r="A7113" s="10" t="str">
        <f>HYPERLINK("http://www.washoecounty.gov/assessor/cama/?parid=516-491-20&amp;CardNumber=1","516-491-20")</f>
        <v>516-491-20</v>
      </c>
      <c r="B7113" t="s">
        <v>4655</v>
      </c>
      <c r="C7113" t="s">
        <v>33782</v>
      </c>
      <c r="D7113" s="1">
        <v>40535</v>
      </c>
      <c r="E7113" s="2">
        <v>247000</v>
      </c>
      <c r="F7113" t="s">
        <v>4567</v>
      </c>
      <c r="G7113" s="17" t="str">
        <f>HYPERLINK("https://www.washoecounty.gov/assessor/cama/?command=sales&amp;parid=51649120","3956949")</f>
        <v>3956949</v>
      </c>
      <c r="H7113" t="s">
        <v>33783</v>
      </c>
      <c r="I7113">
        <v>2008</v>
      </c>
      <c r="J7113">
        <v>2008</v>
      </c>
      <c r="K7113" t="s">
        <v>4554</v>
      </c>
      <c r="L7113" t="s">
        <v>3974</v>
      </c>
      <c r="M7113" s="2">
        <v>2543</v>
      </c>
      <c r="N7113" t="s">
        <v>3147</v>
      </c>
      <c r="O7113">
        <v>4</v>
      </c>
      <c r="P7113">
        <v>2</v>
      </c>
      <c r="Q7113">
        <v>1</v>
      </c>
      <c r="R7113" t="s">
        <v>5281</v>
      </c>
      <c r="S7113" t="s">
        <v>4898</v>
      </c>
      <c r="T7113" t="s">
        <v>2704</v>
      </c>
      <c r="U7113" t="s">
        <v>5631</v>
      </c>
      <c r="V7113" s="2">
        <v>702</v>
      </c>
      <c r="W7113" t="s">
        <v>4655</v>
      </c>
      <c r="X7113" s="2">
        <v>0</v>
      </c>
      <c r="Y7113">
        <v>20</v>
      </c>
      <c r="Z7113" t="s">
        <v>2048</v>
      </c>
      <c r="AA7113" s="3">
        <v>0.30709365010261502</v>
      </c>
      <c r="AB7113" t="s">
        <v>33784</v>
      </c>
      <c r="AC7113" t="s">
        <v>4562</v>
      </c>
      <c r="AD7113" t="s">
        <v>33782</v>
      </c>
      <c r="AE7113" t="s">
        <v>4655</v>
      </c>
      <c r="AF7113" t="s">
        <v>5201</v>
      </c>
      <c r="AG7113" t="s">
        <v>4564</v>
      </c>
      <c r="AH7113" t="s">
        <v>1605</v>
      </c>
      <c r="AI7113" t="s">
        <v>33785</v>
      </c>
      <c r="AJ7113" t="s">
        <v>33786</v>
      </c>
      <c r="AK7113" t="s">
        <v>33787</v>
      </c>
      <c r="AL7113" s="13" t="s">
        <v>1899</v>
      </c>
      <c r="AM7113">
        <v>1</v>
      </c>
      <c r="AN7113" s="15" t="s">
        <v>1607</v>
      </c>
    </row>
    <row r="7114" spans="1:40" x14ac:dyDescent="0.3">
      <c r="A7114" s="10" t="str">
        <f>HYPERLINK("http://www.washoecounty.gov/assessor/cama/?parid=516-491-21&amp;CardNumber=1","516-491-21")</f>
        <v>516-491-21</v>
      </c>
      <c r="B7114" t="s">
        <v>4655</v>
      </c>
      <c r="C7114" t="s">
        <v>33788</v>
      </c>
      <c r="D7114" s="1">
        <v>40534</v>
      </c>
      <c r="E7114" s="2">
        <v>227000</v>
      </c>
      <c r="F7114" t="s">
        <v>4553</v>
      </c>
      <c r="G7114" s="17" t="str">
        <f>HYPERLINK("https://www.washoecounty.gov/assessor/cama/?command=sales&amp;parid=51649121","3956573")</f>
        <v>3956573</v>
      </c>
      <c r="H7114" t="s">
        <v>33783</v>
      </c>
      <c r="I7114">
        <v>2008</v>
      </c>
      <c r="J7114">
        <v>2008</v>
      </c>
      <c r="K7114" t="s">
        <v>4554</v>
      </c>
      <c r="L7114" t="s">
        <v>4555</v>
      </c>
      <c r="M7114" s="2">
        <v>2102</v>
      </c>
      <c r="N7114" t="s">
        <v>3147</v>
      </c>
      <c r="O7114">
        <v>3</v>
      </c>
      <c r="P7114">
        <v>2</v>
      </c>
      <c r="Q7114">
        <v>1</v>
      </c>
      <c r="R7114" t="s">
        <v>5281</v>
      </c>
      <c r="S7114" t="s">
        <v>4898</v>
      </c>
      <c r="T7114" t="s">
        <v>2704</v>
      </c>
      <c r="U7114" t="s">
        <v>4560</v>
      </c>
      <c r="V7114" s="2">
        <v>680</v>
      </c>
      <c r="W7114" t="s">
        <v>4655</v>
      </c>
      <c r="X7114" s="2">
        <v>0</v>
      </c>
      <c r="Y7114">
        <v>20</v>
      </c>
      <c r="Z7114" t="s">
        <v>2048</v>
      </c>
      <c r="AA7114" s="3">
        <v>0.18080808222293901</v>
      </c>
      <c r="AB7114" t="s">
        <v>1507</v>
      </c>
      <c r="AC7114" t="s">
        <v>4562</v>
      </c>
      <c r="AD7114" t="s">
        <v>33788</v>
      </c>
      <c r="AE7114" t="s">
        <v>4655</v>
      </c>
      <c r="AF7114" t="s">
        <v>5201</v>
      </c>
      <c r="AG7114" t="s">
        <v>4564</v>
      </c>
      <c r="AH7114" t="s">
        <v>1605</v>
      </c>
      <c r="AI7114" t="s">
        <v>33785</v>
      </c>
      <c r="AJ7114" t="s">
        <v>33786</v>
      </c>
      <c r="AK7114" t="s">
        <v>33789</v>
      </c>
      <c r="AL7114" s="13" t="s">
        <v>1899</v>
      </c>
      <c r="AM7114" s="14">
        <v>1</v>
      </c>
      <c r="AN7114" s="15" t="s">
        <v>1607</v>
      </c>
    </row>
    <row r="7115" spans="1:40" x14ac:dyDescent="0.3">
      <c r="A7115" s="10" t="str">
        <f>HYPERLINK("http://www.washoecounty.gov/assessor/cama/?parid=518-011-01&amp;CardNumber=1","518-011-01")</f>
        <v>518-011-01</v>
      </c>
      <c r="B7115" t="s">
        <v>4655</v>
      </c>
      <c r="C7115" t="s">
        <v>33790</v>
      </c>
      <c r="D7115" s="1">
        <v>40289</v>
      </c>
      <c r="E7115" s="2">
        <v>172500</v>
      </c>
      <c r="F7115" t="s">
        <v>4553</v>
      </c>
      <c r="G7115" s="17" t="str">
        <f>HYPERLINK("https://www.washoecounty.gov/assessor/cama/?command=sales&amp;parid=51801101","3873401")</f>
        <v>3873401</v>
      </c>
      <c r="H7115" t="s">
        <v>1301</v>
      </c>
      <c r="I7115">
        <v>1992</v>
      </c>
      <c r="J7115">
        <v>1992</v>
      </c>
      <c r="K7115" t="s">
        <v>4554</v>
      </c>
      <c r="L7115" t="s">
        <v>3974</v>
      </c>
      <c r="M7115" s="2">
        <v>1586</v>
      </c>
      <c r="N7115" t="s">
        <v>5280</v>
      </c>
      <c r="O7115">
        <v>3</v>
      </c>
      <c r="P7115">
        <v>2</v>
      </c>
      <c r="Q7115">
        <v>1</v>
      </c>
      <c r="R7115" t="s">
        <v>4557</v>
      </c>
      <c r="S7115" t="s">
        <v>4558</v>
      </c>
      <c r="T7115" t="s">
        <v>2704</v>
      </c>
      <c r="U7115" t="s">
        <v>5631</v>
      </c>
      <c r="V7115" s="2">
        <v>441</v>
      </c>
      <c r="W7115" t="s">
        <v>4655</v>
      </c>
      <c r="X7115" s="2">
        <v>0</v>
      </c>
      <c r="Y7115">
        <v>20</v>
      </c>
      <c r="Z7115" t="s">
        <v>4051</v>
      </c>
      <c r="AA7115" s="3">
        <v>0.173002749681473</v>
      </c>
      <c r="AB7115" t="s">
        <v>33791</v>
      </c>
      <c r="AC7115" t="s">
        <v>4562</v>
      </c>
      <c r="AD7115" t="s">
        <v>33790</v>
      </c>
      <c r="AE7115" t="s">
        <v>4655</v>
      </c>
      <c r="AF7115" t="s">
        <v>5201</v>
      </c>
      <c r="AG7115" t="s">
        <v>4564</v>
      </c>
      <c r="AH7115" t="s">
        <v>1605</v>
      </c>
      <c r="AI7115" t="s">
        <v>4565</v>
      </c>
      <c r="AJ7115" t="s">
        <v>33792</v>
      </c>
      <c r="AK7115" t="s">
        <v>33793</v>
      </c>
      <c r="AL7115" s="13" t="s">
        <v>1886</v>
      </c>
      <c r="AM7115" s="14">
        <v>1</v>
      </c>
      <c r="AN7115" s="15" t="s">
        <v>1984</v>
      </c>
    </row>
    <row r="7116" spans="1:40" x14ac:dyDescent="0.3">
      <c r="A7116" s="10" t="str">
        <f>HYPERLINK("http://www.washoecounty.gov/assessor/cama/?parid=518-011-11&amp;CardNumber=1","518-011-11")</f>
        <v>518-011-11</v>
      </c>
      <c r="B7116" t="s">
        <v>4655</v>
      </c>
      <c r="C7116" t="s">
        <v>33794</v>
      </c>
      <c r="D7116" s="1">
        <v>40206</v>
      </c>
      <c r="E7116" s="2">
        <v>166000</v>
      </c>
      <c r="F7116" t="s">
        <v>4553</v>
      </c>
      <c r="G7116" s="17" t="str">
        <f>HYPERLINK("https://www.washoecounty.gov/assessor/cama/?command=sales&amp;parid=51801111","3843877")</f>
        <v>3843877</v>
      </c>
      <c r="H7116" t="s">
        <v>1301</v>
      </c>
      <c r="I7116">
        <v>1992</v>
      </c>
      <c r="J7116">
        <v>1992</v>
      </c>
      <c r="K7116" t="s">
        <v>4554</v>
      </c>
      <c r="L7116" t="s">
        <v>3974</v>
      </c>
      <c r="M7116" s="2">
        <v>1428</v>
      </c>
      <c r="N7116" t="s">
        <v>5280</v>
      </c>
      <c r="O7116">
        <v>3</v>
      </c>
      <c r="P7116">
        <v>2</v>
      </c>
      <c r="Q7116">
        <v>1</v>
      </c>
      <c r="R7116" t="s">
        <v>4557</v>
      </c>
      <c r="S7116" t="s">
        <v>4558</v>
      </c>
      <c r="T7116" t="s">
        <v>2704</v>
      </c>
      <c r="U7116" t="s">
        <v>5631</v>
      </c>
      <c r="V7116" s="2">
        <v>500</v>
      </c>
      <c r="W7116" t="s">
        <v>4655</v>
      </c>
      <c r="X7116" s="2">
        <v>0</v>
      </c>
      <c r="Y7116">
        <v>20</v>
      </c>
      <c r="Z7116" t="s">
        <v>4051</v>
      </c>
      <c r="AA7116" s="3">
        <v>0.18200182914733901</v>
      </c>
      <c r="AB7116" t="s">
        <v>33795</v>
      </c>
      <c r="AC7116" t="s">
        <v>4562</v>
      </c>
      <c r="AD7116" t="s">
        <v>33794</v>
      </c>
      <c r="AE7116" t="s">
        <v>4655</v>
      </c>
      <c r="AF7116" t="s">
        <v>5201</v>
      </c>
      <c r="AG7116" t="s">
        <v>4564</v>
      </c>
      <c r="AH7116" t="s">
        <v>1605</v>
      </c>
      <c r="AI7116" t="s">
        <v>27638</v>
      </c>
      <c r="AJ7116" t="s">
        <v>33796</v>
      </c>
      <c r="AK7116" t="s">
        <v>33797</v>
      </c>
      <c r="AL7116" s="13" t="s">
        <v>1886</v>
      </c>
      <c r="AM7116">
        <v>1</v>
      </c>
      <c r="AN7116" s="15" t="s">
        <v>1984</v>
      </c>
    </row>
    <row r="7117" spans="1:40" x14ac:dyDescent="0.3">
      <c r="A7117" s="10" t="str">
        <f>HYPERLINK("http://www.washoecounty.gov/assessor/cama/?parid=518-031-02&amp;CardNumber=1","518-031-02")</f>
        <v>518-031-02</v>
      </c>
      <c r="B7117" t="s">
        <v>4655</v>
      </c>
      <c r="C7117" t="s">
        <v>33798</v>
      </c>
      <c r="D7117" s="1">
        <v>40284</v>
      </c>
      <c r="E7117" s="2">
        <v>175000</v>
      </c>
      <c r="F7117" t="s">
        <v>4567</v>
      </c>
      <c r="G7117" s="17" t="str">
        <f>HYPERLINK("https://www.washoecounty.gov/assessor/cama/?command=sales&amp;parid=51803102","3872005")</f>
        <v>3872005</v>
      </c>
      <c r="H7117" t="s">
        <v>1301</v>
      </c>
      <c r="I7117">
        <v>1992</v>
      </c>
      <c r="J7117">
        <v>1992</v>
      </c>
      <c r="K7117" t="s">
        <v>4554</v>
      </c>
      <c r="L7117" t="s">
        <v>3974</v>
      </c>
      <c r="M7117" s="2">
        <v>2315</v>
      </c>
      <c r="N7117" t="s">
        <v>5280</v>
      </c>
      <c r="O7117">
        <v>4</v>
      </c>
      <c r="P7117">
        <v>3</v>
      </c>
      <c r="Q7117">
        <v>0</v>
      </c>
      <c r="R7117" t="s">
        <v>4557</v>
      </c>
      <c r="S7117" t="s">
        <v>4558</v>
      </c>
      <c r="T7117" t="s">
        <v>2704</v>
      </c>
      <c r="U7117" t="s">
        <v>4560</v>
      </c>
      <c r="V7117" s="2">
        <v>468</v>
      </c>
      <c r="W7117" t="s">
        <v>4655</v>
      </c>
      <c r="X7117" s="2">
        <v>0</v>
      </c>
      <c r="Y7117">
        <v>20</v>
      </c>
      <c r="Z7117" t="s">
        <v>4051</v>
      </c>
      <c r="AA7117" s="3">
        <v>0.15000000596046401</v>
      </c>
      <c r="AB7117" t="s">
        <v>33799</v>
      </c>
      <c r="AC7117" t="s">
        <v>4562</v>
      </c>
      <c r="AD7117" t="s">
        <v>33798</v>
      </c>
      <c r="AE7117" t="s">
        <v>4655</v>
      </c>
      <c r="AF7117" t="s">
        <v>5201</v>
      </c>
      <c r="AG7117" t="s">
        <v>4564</v>
      </c>
      <c r="AH7117" t="s">
        <v>1605</v>
      </c>
      <c r="AI7117" t="s">
        <v>33800</v>
      </c>
      <c r="AJ7117" t="s">
        <v>33801</v>
      </c>
      <c r="AK7117" t="s">
        <v>33802</v>
      </c>
      <c r="AL7117" s="13" t="s">
        <v>1886</v>
      </c>
      <c r="AM7117">
        <v>1</v>
      </c>
      <c r="AN7117" s="15" t="s">
        <v>1984</v>
      </c>
    </row>
    <row r="7118" spans="1:40" x14ac:dyDescent="0.3">
      <c r="A7118" s="10" t="str">
        <f>HYPERLINK("http://www.washoecounty.gov/assessor/cama/?parid=518-032-03&amp;CardNumber=1","518-032-03")</f>
        <v>518-032-03</v>
      </c>
      <c r="B7118" t="s">
        <v>4655</v>
      </c>
      <c r="C7118" t="s">
        <v>33803</v>
      </c>
      <c r="D7118" s="1">
        <v>40466</v>
      </c>
      <c r="E7118" s="2">
        <v>218750</v>
      </c>
      <c r="F7118" t="s">
        <v>4553</v>
      </c>
      <c r="G7118" s="17" t="str">
        <f>HYPERLINK("https://www.washoecounty.gov/assessor/cama/?command=sales&amp;parid=51803203","3933333")</f>
        <v>3933333</v>
      </c>
      <c r="H7118" t="s">
        <v>33804</v>
      </c>
      <c r="I7118">
        <v>1992</v>
      </c>
      <c r="J7118">
        <v>1992</v>
      </c>
      <c r="K7118" t="s">
        <v>4554</v>
      </c>
      <c r="L7118" t="s">
        <v>3974</v>
      </c>
      <c r="M7118" s="2">
        <v>2532</v>
      </c>
      <c r="N7118" t="s">
        <v>5280</v>
      </c>
      <c r="O7118">
        <v>4</v>
      </c>
      <c r="P7118">
        <v>3</v>
      </c>
      <c r="Q7118">
        <v>0</v>
      </c>
      <c r="R7118" t="s">
        <v>4557</v>
      </c>
      <c r="S7118" t="s">
        <v>4558</v>
      </c>
      <c r="T7118" t="s">
        <v>2704</v>
      </c>
      <c r="U7118" t="s">
        <v>4560</v>
      </c>
      <c r="V7118" s="2">
        <v>667</v>
      </c>
      <c r="W7118" t="s">
        <v>4655</v>
      </c>
      <c r="X7118" s="2">
        <v>0</v>
      </c>
      <c r="Y7118">
        <v>20</v>
      </c>
      <c r="Z7118" t="s">
        <v>4051</v>
      </c>
      <c r="AA7118" s="3">
        <v>0.17699724435806299</v>
      </c>
      <c r="AB7118" t="s">
        <v>33805</v>
      </c>
      <c r="AC7118" t="s">
        <v>4562</v>
      </c>
      <c r="AD7118" t="s">
        <v>33806</v>
      </c>
      <c r="AE7118" t="s">
        <v>4655</v>
      </c>
      <c r="AF7118" t="s">
        <v>4809</v>
      </c>
      <c r="AG7118" t="s">
        <v>4564</v>
      </c>
      <c r="AH7118" t="s">
        <v>1605</v>
      </c>
      <c r="AI7118" t="s">
        <v>4565</v>
      </c>
      <c r="AJ7118" t="s">
        <v>33807</v>
      </c>
      <c r="AK7118" t="s">
        <v>33808</v>
      </c>
      <c r="AL7118" s="13" t="s">
        <v>1886</v>
      </c>
      <c r="AM7118" s="14">
        <v>1</v>
      </c>
      <c r="AN7118" s="15" t="s">
        <v>1984</v>
      </c>
    </row>
    <row r="7119" spans="1:40" x14ac:dyDescent="0.3">
      <c r="A7119" s="10" t="str">
        <f>HYPERLINK("http://www.washoecounty.gov/assessor/cama/?parid=518-045-04&amp;CardNumber=1","518-045-04")</f>
        <v>518-045-04</v>
      </c>
      <c r="B7119" t="s">
        <v>4655</v>
      </c>
      <c r="C7119" t="s">
        <v>33809</v>
      </c>
      <c r="D7119" s="1">
        <v>40317</v>
      </c>
      <c r="E7119" s="2">
        <v>172500</v>
      </c>
      <c r="F7119" t="s">
        <v>4567</v>
      </c>
      <c r="G7119" s="17" t="str">
        <f>HYPERLINK("https://www.washoecounty.gov/assessor/cama/?command=sales&amp;parid=51804504","3882934")</f>
        <v>3882934</v>
      </c>
      <c r="H7119" t="s">
        <v>4222</v>
      </c>
      <c r="I7119">
        <v>1990</v>
      </c>
      <c r="J7119">
        <v>1990</v>
      </c>
      <c r="K7119" t="s">
        <v>4554</v>
      </c>
      <c r="L7119" t="s">
        <v>3974</v>
      </c>
      <c r="M7119" s="2">
        <v>1854</v>
      </c>
      <c r="N7119" t="s">
        <v>5280</v>
      </c>
      <c r="O7119">
        <v>3</v>
      </c>
      <c r="P7119">
        <v>2</v>
      </c>
      <c r="Q7119">
        <v>1</v>
      </c>
      <c r="R7119" t="s">
        <v>4557</v>
      </c>
      <c r="S7119" t="s">
        <v>4558</v>
      </c>
      <c r="T7119" t="s">
        <v>2704</v>
      </c>
      <c r="U7119" t="s">
        <v>4560</v>
      </c>
      <c r="V7119" s="2">
        <v>458</v>
      </c>
      <c r="W7119" t="s">
        <v>4655</v>
      </c>
      <c r="X7119" s="2">
        <v>0</v>
      </c>
      <c r="Y7119">
        <v>20</v>
      </c>
      <c r="Z7119" t="s">
        <v>4051</v>
      </c>
      <c r="AA7119" s="3">
        <v>0.13999082148075101</v>
      </c>
      <c r="AB7119" t="s">
        <v>33810</v>
      </c>
      <c r="AC7119" t="s">
        <v>4562</v>
      </c>
      <c r="AD7119" t="s">
        <v>33811</v>
      </c>
      <c r="AE7119" t="s">
        <v>4655</v>
      </c>
      <c r="AF7119" t="s">
        <v>5201</v>
      </c>
      <c r="AG7119" t="s">
        <v>4564</v>
      </c>
      <c r="AH7119" t="s">
        <v>1605</v>
      </c>
      <c r="AI7119" t="s">
        <v>33812</v>
      </c>
      <c r="AJ7119" t="s">
        <v>33813</v>
      </c>
      <c r="AK7119" t="s">
        <v>33814</v>
      </c>
      <c r="AL7119" s="13" t="s">
        <v>1886</v>
      </c>
      <c r="AM7119" s="14">
        <v>1</v>
      </c>
      <c r="AN7119" s="15" t="s">
        <v>1984</v>
      </c>
    </row>
    <row r="7120" spans="1:40" x14ac:dyDescent="0.3">
      <c r="A7120" s="10" t="str">
        <f>HYPERLINK("http://www.washoecounty.gov/assessor/cama/?parid=518-045-07&amp;CardNumber=1","518-045-07")</f>
        <v>518-045-07</v>
      </c>
      <c r="B7120" t="s">
        <v>4655</v>
      </c>
      <c r="C7120" t="s">
        <v>33815</v>
      </c>
      <c r="D7120" s="1">
        <v>40352</v>
      </c>
      <c r="E7120" s="2">
        <v>138500</v>
      </c>
      <c r="F7120" t="s">
        <v>4567</v>
      </c>
      <c r="G7120" s="17" t="str">
        <f>HYPERLINK("https://www.washoecounty.gov/assessor/cama/?command=sales&amp;parid=51804507","3894640")</f>
        <v>3894640</v>
      </c>
      <c r="H7120" t="s">
        <v>2413</v>
      </c>
      <c r="I7120">
        <v>1990</v>
      </c>
      <c r="J7120">
        <v>1990</v>
      </c>
      <c r="K7120" t="s">
        <v>4554</v>
      </c>
      <c r="L7120" t="s">
        <v>3974</v>
      </c>
      <c r="M7120" s="2">
        <v>2532</v>
      </c>
      <c r="N7120" t="s">
        <v>5280</v>
      </c>
      <c r="O7120">
        <v>4</v>
      </c>
      <c r="P7120">
        <v>3</v>
      </c>
      <c r="Q7120">
        <v>0</v>
      </c>
      <c r="R7120" t="s">
        <v>4557</v>
      </c>
      <c r="S7120" t="s">
        <v>4558</v>
      </c>
      <c r="T7120" t="s">
        <v>2704</v>
      </c>
      <c r="U7120" t="s">
        <v>4560</v>
      </c>
      <c r="V7120" s="2">
        <v>667</v>
      </c>
      <c r="W7120" t="s">
        <v>4655</v>
      </c>
      <c r="X7120" s="2">
        <v>0</v>
      </c>
      <c r="Y7120">
        <v>20</v>
      </c>
      <c r="Z7120" t="s">
        <v>4051</v>
      </c>
      <c r="AA7120" s="3">
        <v>0.16799816489219666</v>
      </c>
      <c r="AB7120" t="s">
        <v>33816</v>
      </c>
      <c r="AC7120" t="s">
        <v>4562</v>
      </c>
      <c r="AD7120" t="s">
        <v>33815</v>
      </c>
      <c r="AE7120" t="s">
        <v>4655</v>
      </c>
      <c r="AF7120" t="s">
        <v>5201</v>
      </c>
      <c r="AG7120" t="s">
        <v>4564</v>
      </c>
      <c r="AH7120" t="s">
        <v>1605</v>
      </c>
      <c r="AI7120" t="s">
        <v>33817</v>
      </c>
      <c r="AJ7120" t="s">
        <v>33818</v>
      </c>
      <c r="AK7120" t="s">
        <v>33819</v>
      </c>
      <c r="AL7120" s="13" t="s">
        <v>1886</v>
      </c>
      <c r="AM7120" s="14">
        <v>1</v>
      </c>
      <c r="AN7120" s="15" t="s">
        <v>1984</v>
      </c>
    </row>
    <row r="7121" spans="1:40" x14ac:dyDescent="0.3">
      <c r="A7121" s="10" t="str">
        <f>HYPERLINK("http://www.washoecounty.gov/assessor/cama/?parid=518-051-12&amp;CardNumber=1","518-051-12")</f>
        <v>518-051-12</v>
      </c>
      <c r="B7121" t="s">
        <v>4655</v>
      </c>
      <c r="C7121" t="s">
        <v>4661</v>
      </c>
      <c r="D7121" s="1">
        <v>40254</v>
      </c>
      <c r="E7121" s="2">
        <v>140000</v>
      </c>
      <c r="F7121" t="s">
        <v>4567</v>
      </c>
      <c r="G7121" s="17" t="str">
        <f>HYPERLINK("https://www.washoecounty.gov/assessor/cama/?command=sales&amp;parid=51805112","3860682")</f>
        <v>3860682</v>
      </c>
      <c r="H7121" t="s">
        <v>4662</v>
      </c>
      <c r="I7121">
        <v>1992</v>
      </c>
      <c r="J7121">
        <v>1992</v>
      </c>
      <c r="K7121" t="s">
        <v>4554</v>
      </c>
      <c r="L7121" t="s">
        <v>3974</v>
      </c>
      <c r="M7121" s="2">
        <v>2315</v>
      </c>
      <c r="N7121" t="s">
        <v>5280</v>
      </c>
      <c r="O7121">
        <v>4</v>
      </c>
      <c r="P7121">
        <v>3</v>
      </c>
      <c r="Q7121">
        <v>0</v>
      </c>
      <c r="R7121" t="s">
        <v>4557</v>
      </c>
      <c r="S7121" t="s">
        <v>4558</v>
      </c>
      <c r="T7121" t="s">
        <v>2704</v>
      </c>
      <c r="U7121" t="s">
        <v>4560</v>
      </c>
      <c r="V7121" s="2">
        <v>468</v>
      </c>
      <c r="W7121" t="s">
        <v>4655</v>
      </c>
      <c r="X7121" s="2">
        <v>0</v>
      </c>
      <c r="Y7121">
        <v>20</v>
      </c>
      <c r="Z7121" t="s">
        <v>1491</v>
      </c>
      <c r="AA7121" s="3">
        <v>0.16600091755390201</v>
      </c>
      <c r="AB7121" t="s">
        <v>4663</v>
      </c>
      <c r="AC7121" t="s">
        <v>4562</v>
      </c>
      <c r="AD7121" t="s">
        <v>4661</v>
      </c>
      <c r="AE7121" t="s">
        <v>4655</v>
      </c>
      <c r="AF7121" t="s">
        <v>5201</v>
      </c>
      <c r="AG7121" t="s">
        <v>4564</v>
      </c>
      <c r="AH7121" t="s">
        <v>1605</v>
      </c>
      <c r="AI7121" t="s">
        <v>33820</v>
      </c>
      <c r="AJ7121" t="s">
        <v>4664</v>
      </c>
      <c r="AK7121" t="s">
        <v>4665</v>
      </c>
      <c r="AL7121" s="13" t="s">
        <v>1886</v>
      </c>
      <c r="AM7121" s="14">
        <v>1</v>
      </c>
      <c r="AN7121" s="15" t="s">
        <v>1984</v>
      </c>
    </row>
    <row r="7122" spans="1:40" x14ac:dyDescent="0.3">
      <c r="A7122" s="10" t="str">
        <f>HYPERLINK("http://www.washoecounty.gov/assessor/cama/?parid=518-051-21&amp;CardNumber=1","518-051-21")</f>
        <v>518-051-21</v>
      </c>
      <c r="B7122" t="s">
        <v>4655</v>
      </c>
      <c r="C7122" t="s">
        <v>33821</v>
      </c>
      <c r="D7122" s="1">
        <v>40330</v>
      </c>
      <c r="E7122" s="2">
        <v>234000</v>
      </c>
      <c r="F7122" t="s">
        <v>4553</v>
      </c>
      <c r="G7122" s="17" t="str">
        <f>HYPERLINK("https://www.washoecounty.gov/assessor/cama/?command=sales&amp;parid=51805121","3887238")</f>
        <v>3887238</v>
      </c>
      <c r="H7122" t="s">
        <v>4662</v>
      </c>
      <c r="I7122">
        <v>1992</v>
      </c>
      <c r="J7122">
        <v>1992</v>
      </c>
      <c r="K7122" t="s">
        <v>4554</v>
      </c>
      <c r="L7122" t="s">
        <v>3974</v>
      </c>
      <c r="M7122" s="2">
        <v>2532</v>
      </c>
      <c r="N7122" t="s">
        <v>5280</v>
      </c>
      <c r="O7122">
        <v>4</v>
      </c>
      <c r="P7122">
        <v>3</v>
      </c>
      <c r="Q7122">
        <v>0</v>
      </c>
      <c r="R7122" t="s">
        <v>4557</v>
      </c>
      <c r="S7122" t="s">
        <v>4558</v>
      </c>
      <c r="T7122" t="s">
        <v>2704</v>
      </c>
      <c r="U7122" t="s">
        <v>4560</v>
      </c>
      <c r="V7122" s="2">
        <v>667</v>
      </c>
      <c r="W7122" t="s">
        <v>4655</v>
      </c>
      <c r="X7122" s="2">
        <v>0</v>
      </c>
      <c r="Y7122">
        <v>20</v>
      </c>
      <c r="Z7122" t="s">
        <v>1491</v>
      </c>
      <c r="AA7122" s="3">
        <v>0.27300274372100802</v>
      </c>
      <c r="AB7122" t="s">
        <v>33822</v>
      </c>
      <c r="AC7122" t="s">
        <v>4562</v>
      </c>
      <c r="AD7122" t="s">
        <v>33821</v>
      </c>
      <c r="AE7122" t="s">
        <v>4655</v>
      </c>
      <c r="AF7122" t="s">
        <v>4809</v>
      </c>
      <c r="AG7122" t="s">
        <v>4564</v>
      </c>
      <c r="AH7122" t="s">
        <v>1605</v>
      </c>
      <c r="AI7122" t="s">
        <v>33823</v>
      </c>
      <c r="AJ7122" t="s">
        <v>33824</v>
      </c>
      <c r="AK7122" t="s">
        <v>33825</v>
      </c>
      <c r="AL7122" s="13" t="s">
        <v>1886</v>
      </c>
      <c r="AM7122">
        <v>1</v>
      </c>
      <c r="AN7122" s="15" t="s">
        <v>1984</v>
      </c>
    </row>
    <row r="7123" spans="1:40" x14ac:dyDescent="0.3">
      <c r="A7123" s="10" t="str">
        <f>HYPERLINK("http://www.washoecounty.gov/assessor/cama/?parid=518-052-16&amp;CardNumber=1","518-052-16")</f>
        <v>518-052-16</v>
      </c>
      <c r="B7123" t="s">
        <v>4655</v>
      </c>
      <c r="C7123" t="s">
        <v>33826</v>
      </c>
      <c r="D7123" s="1">
        <v>40277</v>
      </c>
      <c r="E7123" s="2">
        <v>206000</v>
      </c>
      <c r="F7123" t="s">
        <v>4567</v>
      </c>
      <c r="G7123" s="17" t="str">
        <f>HYPERLINK("https://www.washoecounty.gov/assessor/cama/?command=sales&amp;parid=51805216","3869524")</f>
        <v>3869524</v>
      </c>
      <c r="H7123" t="s">
        <v>4662</v>
      </c>
      <c r="I7123">
        <v>1992</v>
      </c>
      <c r="J7123">
        <v>1992</v>
      </c>
      <c r="K7123" t="s">
        <v>4554</v>
      </c>
      <c r="L7123" t="s">
        <v>4555</v>
      </c>
      <c r="M7123" s="2">
        <v>1935</v>
      </c>
      <c r="N7123" t="s">
        <v>5280</v>
      </c>
      <c r="O7123">
        <v>4</v>
      </c>
      <c r="P7123">
        <v>2</v>
      </c>
      <c r="Q7123">
        <v>0</v>
      </c>
      <c r="R7123" t="s">
        <v>5281</v>
      </c>
      <c r="S7123" t="s">
        <v>4558</v>
      </c>
      <c r="T7123" t="s">
        <v>2704</v>
      </c>
      <c r="U7123" t="s">
        <v>4560</v>
      </c>
      <c r="V7123" s="2">
        <v>612</v>
      </c>
      <c r="W7123" t="s">
        <v>4655</v>
      </c>
      <c r="X7123" s="2">
        <v>0</v>
      </c>
      <c r="Y7123">
        <v>20</v>
      </c>
      <c r="Z7123" t="s">
        <v>4051</v>
      </c>
      <c r="AA7123" s="3">
        <v>0.28000459074974099</v>
      </c>
      <c r="AB7123" t="s">
        <v>33827</v>
      </c>
      <c r="AC7123" t="s">
        <v>4562</v>
      </c>
      <c r="AD7123" t="s">
        <v>33826</v>
      </c>
      <c r="AE7123" t="s">
        <v>4655</v>
      </c>
      <c r="AF7123" t="s">
        <v>5201</v>
      </c>
      <c r="AG7123" t="s">
        <v>4564</v>
      </c>
      <c r="AH7123" t="s">
        <v>1605</v>
      </c>
      <c r="AI7123" t="s">
        <v>4655</v>
      </c>
      <c r="AJ7123" t="s">
        <v>33828</v>
      </c>
      <c r="AK7123" t="s">
        <v>33829</v>
      </c>
      <c r="AL7123" s="13" t="s">
        <v>1886</v>
      </c>
      <c r="AM7123" s="14">
        <v>1</v>
      </c>
      <c r="AN7123" s="15" t="s">
        <v>1984</v>
      </c>
    </row>
    <row r="7124" spans="1:40" x14ac:dyDescent="0.3">
      <c r="A7124" s="10" t="str">
        <f>HYPERLINK("http://www.washoecounty.gov/assessor/cama/?parid=518-053-06&amp;CardNumber=1","518-053-06")</f>
        <v>518-053-06</v>
      </c>
      <c r="B7124" t="s">
        <v>4655</v>
      </c>
      <c r="C7124" t="s">
        <v>33830</v>
      </c>
      <c r="D7124" s="1">
        <v>40298</v>
      </c>
      <c r="E7124" s="2">
        <v>200000</v>
      </c>
      <c r="F7124" t="s">
        <v>4567</v>
      </c>
      <c r="G7124" s="17" t="str">
        <f>HYPERLINK("https://www.washoecounty.gov/assessor/cama/?command=sales&amp;parid=51805306","3876528")</f>
        <v>3876528</v>
      </c>
      <c r="H7124" t="s">
        <v>2413</v>
      </c>
      <c r="I7124">
        <v>1991</v>
      </c>
      <c r="J7124">
        <v>1991</v>
      </c>
      <c r="K7124" t="s">
        <v>4554</v>
      </c>
      <c r="L7124" t="s">
        <v>4555</v>
      </c>
      <c r="M7124" s="2">
        <v>1653</v>
      </c>
      <c r="N7124" t="s">
        <v>5280</v>
      </c>
      <c r="O7124">
        <v>3</v>
      </c>
      <c r="P7124">
        <v>2</v>
      </c>
      <c r="Q7124">
        <v>0</v>
      </c>
      <c r="R7124" t="s">
        <v>4557</v>
      </c>
      <c r="S7124" t="s">
        <v>4558</v>
      </c>
      <c r="T7124" t="s">
        <v>2704</v>
      </c>
      <c r="U7124" t="s">
        <v>4560</v>
      </c>
      <c r="V7124" s="2">
        <v>452</v>
      </c>
      <c r="W7124" t="s">
        <v>4655</v>
      </c>
      <c r="X7124" s="2">
        <v>0</v>
      </c>
      <c r="Y7124">
        <v>20</v>
      </c>
      <c r="Z7124" t="s">
        <v>4051</v>
      </c>
      <c r="AA7124" s="3">
        <v>0.160009175539017</v>
      </c>
      <c r="AB7124" t="s">
        <v>33831</v>
      </c>
      <c r="AC7124" t="s">
        <v>4575</v>
      </c>
      <c r="AD7124" t="s">
        <v>33832</v>
      </c>
      <c r="AE7124" t="s">
        <v>4655</v>
      </c>
      <c r="AF7124" t="s">
        <v>5201</v>
      </c>
      <c r="AG7124" t="s">
        <v>4564</v>
      </c>
      <c r="AH7124" t="s">
        <v>1605</v>
      </c>
      <c r="AI7124" t="s">
        <v>33833</v>
      </c>
      <c r="AJ7124" t="s">
        <v>33834</v>
      </c>
      <c r="AK7124" t="s">
        <v>33835</v>
      </c>
      <c r="AL7124" s="13" t="s">
        <v>1886</v>
      </c>
      <c r="AM7124">
        <v>1</v>
      </c>
      <c r="AN7124" s="15" t="s">
        <v>1984</v>
      </c>
    </row>
    <row r="7125" spans="1:40" x14ac:dyDescent="0.3">
      <c r="A7125" s="10" t="str">
        <f>HYPERLINK("http://www.washoecounty.gov/assessor/cama/?parid=518-053-13&amp;CardNumber=1","518-053-13")</f>
        <v>518-053-13</v>
      </c>
      <c r="B7125" t="s">
        <v>4655</v>
      </c>
      <c r="C7125" t="s">
        <v>33836</v>
      </c>
      <c r="D7125" s="1">
        <v>40375</v>
      </c>
      <c r="E7125" s="2">
        <v>171000</v>
      </c>
      <c r="F7125" t="s">
        <v>4553</v>
      </c>
      <c r="G7125" s="17" t="str">
        <f>HYPERLINK("https://www.washoecounty.gov/assessor/cama/?command=sales&amp;parid=51805313","3902012")</f>
        <v>3902012</v>
      </c>
      <c r="H7125" t="s">
        <v>33837</v>
      </c>
      <c r="I7125">
        <v>1991</v>
      </c>
      <c r="J7125">
        <v>1991</v>
      </c>
      <c r="K7125" t="s">
        <v>4554</v>
      </c>
      <c r="L7125" t="s">
        <v>4555</v>
      </c>
      <c r="M7125" s="2">
        <v>1653</v>
      </c>
      <c r="N7125" t="s">
        <v>5280</v>
      </c>
      <c r="O7125">
        <v>3</v>
      </c>
      <c r="P7125">
        <v>2</v>
      </c>
      <c r="Q7125">
        <v>0</v>
      </c>
      <c r="R7125" t="s">
        <v>5281</v>
      </c>
      <c r="S7125" t="s">
        <v>4558</v>
      </c>
      <c r="T7125" t="s">
        <v>2704</v>
      </c>
      <c r="U7125" t="s">
        <v>4560</v>
      </c>
      <c r="V7125" s="2">
        <v>452</v>
      </c>
      <c r="W7125" t="s">
        <v>4655</v>
      </c>
      <c r="X7125" s="2">
        <v>0</v>
      </c>
      <c r="Y7125">
        <v>20</v>
      </c>
      <c r="Z7125" t="s">
        <v>4051</v>
      </c>
      <c r="AA7125" s="3">
        <v>0.21999540925025901</v>
      </c>
      <c r="AB7125" t="s">
        <v>33838</v>
      </c>
      <c r="AC7125" t="s">
        <v>4575</v>
      </c>
      <c r="AD7125" t="s">
        <v>33839</v>
      </c>
      <c r="AE7125" t="s">
        <v>33836</v>
      </c>
      <c r="AF7125" t="s">
        <v>5201</v>
      </c>
      <c r="AG7125" t="s">
        <v>4564</v>
      </c>
      <c r="AH7125" t="s">
        <v>1605</v>
      </c>
      <c r="AI7125" t="s">
        <v>2351</v>
      </c>
      <c r="AJ7125" t="s">
        <v>33840</v>
      </c>
      <c r="AK7125" t="s">
        <v>33841</v>
      </c>
      <c r="AL7125" s="13" t="s">
        <v>1886</v>
      </c>
      <c r="AM7125">
        <v>1</v>
      </c>
      <c r="AN7125" s="15" t="s">
        <v>1984</v>
      </c>
    </row>
    <row r="7126" spans="1:40" x14ac:dyDescent="0.3">
      <c r="A7126" s="10" t="str">
        <f>HYPERLINK("http://www.washoecounty.gov/assessor/cama/?parid=518-054-03&amp;CardNumber=1","518-054-03")</f>
        <v>518-054-03</v>
      </c>
      <c r="B7126" t="s">
        <v>4655</v>
      </c>
      <c r="C7126" t="s">
        <v>33842</v>
      </c>
      <c r="D7126" s="1">
        <v>40263</v>
      </c>
      <c r="E7126" s="2">
        <v>243000</v>
      </c>
      <c r="F7126" t="s">
        <v>4567</v>
      </c>
      <c r="G7126" s="17" t="str">
        <f>HYPERLINK("https://www.washoecounty.gov/assessor/cama/?command=sales&amp;parid=51805403","3864286")</f>
        <v>3864286</v>
      </c>
      <c r="H7126" t="s">
        <v>2413</v>
      </c>
      <c r="I7126">
        <v>1992</v>
      </c>
      <c r="J7126">
        <v>1992</v>
      </c>
      <c r="K7126" t="s">
        <v>4554</v>
      </c>
      <c r="L7126" t="s">
        <v>3974</v>
      </c>
      <c r="M7126" s="2">
        <v>2532</v>
      </c>
      <c r="N7126" t="s">
        <v>5280</v>
      </c>
      <c r="O7126">
        <v>4</v>
      </c>
      <c r="P7126">
        <v>3</v>
      </c>
      <c r="Q7126">
        <v>0</v>
      </c>
      <c r="R7126" t="s">
        <v>4557</v>
      </c>
      <c r="S7126" t="s">
        <v>4558</v>
      </c>
      <c r="T7126" t="s">
        <v>2704</v>
      </c>
      <c r="U7126" t="s">
        <v>4560</v>
      </c>
      <c r="V7126" s="2">
        <v>667</v>
      </c>
      <c r="W7126" t="s">
        <v>4655</v>
      </c>
      <c r="X7126" s="2">
        <v>0</v>
      </c>
      <c r="Y7126">
        <v>20</v>
      </c>
      <c r="Z7126" t="s">
        <v>4051</v>
      </c>
      <c r="AA7126" s="3">
        <v>0.18500918149948101</v>
      </c>
      <c r="AB7126" t="s">
        <v>33843</v>
      </c>
      <c r="AC7126" t="s">
        <v>4562</v>
      </c>
      <c r="AD7126" t="s">
        <v>33842</v>
      </c>
      <c r="AE7126" t="s">
        <v>4655</v>
      </c>
      <c r="AF7126" t="s">
        <v>5201</v>
      </c>
      <c r="AG7126" t="s">
        <v>4564</v>
      </c>
      <c r="AH7126" t="s">
        <v>1605</v>
      </c>
      <c r="AI7126" t="s">
        <v>19233</v>
      </c>
      <c r="AJ7126" t="s">
        <v>33844</v>
      </c>
      <c r="AK7126" t="s">
        <v>33845</v>
      </c>
      <c r="AL7126" s="13" t="s">
        <v>1886</v>
      </c>
      <c r="AM7126">
        <v>1</v>
      </c>
      <c r="AN7126" s="15" t="s">
        <v>1984</v>
      </c>
    </row>
    <row r="7127" spans="1:40" x14ac:dyDescent="0.3">
      <c r="A7127" s="10" t="str">
        <f>HYPERLINK("http://www.washoecounty.gov/assessor/cama/?parid=518-061-10&amp;CardNumber=1","518-061-10")</f>
        <v>518-061-10</v>
      </c>
      <c r="B7127" t="s">
        <v>4655</v>
      </c>
      <c r="C7127" t="s">
        <v>33846</v>
      </c>
      <c r="D7127" s="1">
        <v>40515</v>
      </c>
      <c r="E7127" s="2">
        <v>215000</v>
      </c>
      <c r="F7127" t="s">
        <v>4567</v>
      </c>
      <c r="G7127" s="17" t="str">
        <f>HYPERLINK("https://www.washoecounty.gov/assessor/cama/?command=sales&amp;parid=51806110","3949362")</f>
        <v>3949362</v>
      </c>
      <c r="H7127" t="s">
        <v>2821</v>
      </c>
      <c r="I7127">
        <v>1992</v>
      </c>
      <c r="J7127">
        <v>1992</v>
      </c>
      <c r="K7127" t="s">
        <v>4554</v>
      </c>
      <c r="L7127" t="s">
        <v>4555</v>
      </c>
      <c r="M7127" s="2">
        <v>2074</v>
      </c>
      <c r="N7127" t="s">
        <v>5280</v>
      </c>
      <c r="O7127">
        <v>4</v>
      </c>
      <c r="P7127">
        <v>2</v>
      </c>
      <c r="Q7127">
        <v>1</v>
      </c>
      <c r="R7127" t="s">
        <v>4557</v>
      </c>
      <c r="S7127" t="s">
        <v>4558</v>
      </c>
      <c r="T7127" t="s">
        <v>2704</v>
      </c>
      <c r="U7127" t="s">
        <v>4560</v>
      </c>
      <c r="V7127" s="2">
        <v>608</v>
      </c>
      <c r="W7127" t="s">
        <v>4655</v>
      </c>
      <c r="X7127" s="2">
        <v>0</v>
      </c>
      <c r="Y7127">
        <v>20</v>
      </c>
      <c r="Z7127" t="s">
        <v>1604</v>
      </c>
      <c r="AA7127" s="3">
        <v>0.19100092351436601</v>
      </c>
      <c r="AB7127" t="s">
        <v>33847</v>
      </c>
      <c r="AC7127" t="s">
        <v>4562</v>
      </c>
      <c r="AD7127" t="s">
        <v>33848</v>
      </c>
      <c r="AE7127" t="s">
        <v>4655</v>
      </c>
      <c r="AF7127" t="s">
        <v>5201</v>
      </c>
      <c r="AG7127" t="s">
        <v>4564</v>
      </c>
      <c r="AH7127" t="s">
        <v>1605</v>
      </c>
      <c r="AI7127" t="s">
        <v>33849</v>
      </c>
      <c r="AJ7127" t="s">
        <v>33850</v>
      </c>
      <c r="AK7127" t="s">
        <v>33851</v>
      </c>
      <c r="AL7127" s="13" t="s">
        <v>1886</v>
      </c>
      <c r="AM7127" s="14">
        <v>1</v>
      </c>
      <c r="AN7127" s="15" t="s">
        <v>1984</v>
      </c>
    </row>
    <row r="7128" spans="1:40" x14ac:dyDescent="0.3">
      <c r="A7128" s="10" t="str">
        <f>HYPERLINK("http://www.washoecounty.gov/assessor/cama/?parid=518-061-14&amp;CardNumber=1","518-061-14")</f>
        <v>518-061-14</v>
      </c>
      <c r="B7128" t="s">
        <v>4655</v>
      </c>
      <c r="C7128" t="s">
        <v>33852</v>
      </c>
      <c r="D7128" s="1">
        <v>40504</v>
      </c>
      <c r="E7128" s="2">
        <v>200000</v>
      </c>
      <c r="F7128" t="s">
        <v>4553</v>
      </c>
      <c r="G7128" s="17" t="str">
        <f>HYPERLINK("https://www.washoecounty.gov/assessor/cama/?command=sales&amp;parid=51806114","3945681")</f>
        <v>3945681</v>
      </c>
      <c r="H7128" t="s">
        <v>2821</v>
      </c>
      <c r="I7128">
        <v>1993</v>
      </c>
      <c r="J7128">
        <v>1993</v>
      </c>
      <c r="K7128" t="s">
        <v>4554</v>
      </c>
      <c r="L7128" t="s">
        <v>4555</v>
      </c>
      <c r="M7128" s="2">
        <v>2074</v>
      </c>
      <c r="N7128" t="s">
        <v>5280</v>
      </c>
      <c r="O7128">
        <v>4</v>
      </c>
      <c r="P7128">
        <v>2</v>
      </c>
      <c r="Q7128">
        <v>1</v>
      </c>
      <c r="R7128" t="s">
        <v>4557</v>
      </c>
      <c r="S7128" t="s">
        <v>4558</v>
      </c>
      <c r="T7128" t="s">
        <v>2704</v>
      </c>
      <c r="U7128" t="s">
        <v>4560</v>
      </c>
      <c r="V7128" s="2">
        <v>608</v>
      </c>
      <c r="W7128" t="s">
        <v>4655</v>
      </c>
      <c r="X7128" s="2">
        <v>0</v>
      </c>
      <c r="Y7128">
        <v>20</v>
      </c>
      <c r="Z7128" t="s">
        <v>1604</v>
      </c>
      <c r="AA7128" s="3">
        <v>0.16099633276462599</v>
      </c>
      <c r="AB7128" t="s">
        <v>33853</v>
      </c>
      <c r="AC7128" t="s">
        <v>4562</v>
      </c>
      <c r="AD7128" t="s">
        <v>33852</v>
      </c>
      <c r="AE7128" t="s">
        <v>4655</v>
      </c>
      <c r="AF7128" t="s">
        <v>5201</v>
      </c>
      <c r="AG7128" t="s">
        <v>4564</v>
      </c>
      <c r="AH7128" t="s">
        <v>1605</v>
      </c>
      <c r="AI7128" t="s">
        <v>4202</v>
      </c>
      <c r="AJ7128" t="s">
        <v>33854</v>
      </c>
      <c r="AK7128" t="s">
        <v>33855</v>
      </c>
      <c r="AL7128" s="13" t="s">
        <v>1886</v>
      </c>
      <c r="AM7128">
        <v>1</v>
      </c>
      <c r="AN7128" s="15" t="s">
        <v>1984</v>
      </c>
    </row>
    <row r="7129" spans="1:40" x14ac:dyDescent="0.3">
      <c r="A7129" s="10" t="str">
        <f>HYPERLINK("http://www.washoecounty.gov/assessor/cama/?parid=518-062-13&amp;CardNumber=1","518-062-13")</f>
        <v>518-062-13</v>
      </c>
      <c r="B7129" t="s">
        <v>4655</v>
      </c>
      <c r="C7129" t="s">
        <v>33856</v>
      </c>
      <c r="D7129" s="1">
        <v>40318</v>
      </c>
      <c r="E7129" s="2">
        <v>225000</v>
      </c>
      <c r="F7129" t="s">
        <v>4567</v>
      </c>
      <c r="G7129" s="17" t="str">
        <f>HYPERLINK("https://www.washoecounty.gov/assessor/cama/?command=sales&amp;parid=51806213","3883436")</f>
        <v>3883436</v>
      </c>
      <c r="H7129" t="s">
        <v>2821</v>
      </c>
      <c r="I7129">
        <v>1992</v>
      </c>
      <c r="J7129">
        <v>1992</v>
      </c>
      <c r="K7129" t="s">
        <v>4554</v>
      </c>
      <c r="L7129" t="s">
        <v>4555</v>
      </c>
      <c r="M7129" s="2">
        <v>1836</v>
      </c>
      <c r="N7129" t="s">
        <v>5280</v>
      </c>
      <c r="O7129">
        <v>3</v>
      </c>
      <c r="P7129">
        <v>2</v>
      </c>
      <c r="Q7129">
        <v>0</v>
      </c>
      <c r="R7129" t="s">
        <v>5281</v>
      </c>
      <c r="S7129" t="s">
        <v>4558</v>
      </c>
      <c r="T7129" t="s">
        <v>2704</v>
      </c>
      <c r="U7129" t="s">
        <v>4560</v>
      </c>
      <c r="V7129" s="2">
        <v>658</v>
      </c>
      <c r="W7129" t="s">
        <v>4655</v>
      </c>
      <c r="X7129" s="2">
        <v>0</v>
      </c>
      <c r="Y7129">
        <v>20</v>
      </c>
      <c r="Z7129" t="s">
        <v>1604</v>
      </c>
      <c r="AA7129" s="3">
        <v>0.39699265360832198</v>
      </c>
      <c r="AB7129" t="s">
        <v>33857</v>
      </c>
      <c r="AC7129" t="s">
        <v>4575</v>
      </c>
      <c r="AD7129" t="s">
        <v>33856</v>
      </c>
      <c r="AE7129" t="s">
        <v>4655</v>
      </c>
      <c r="AF7129" t="s">
        <v>5201</v>
      </c>
      <c r="AG7129" t="s">
        <v>4564</v>
      </c>
      <c r="AH7129" t="s">
        <v>1605</v>
      </c>
      <c r="AI7129" t="s">
        <v>33858</v>
      </c>
      <c r="AJ7129" t="s">
        <v>33859</v>
      </c>
      <c r="AK7129" t="s">
        <v>33860</v>
      </c>
      <c r="AL7129" s="13" t="s">
        <v>1886</v>
      </c>
      <c r="AM7129" s="14">
        <v>1</v>
      </c>
      <c r="AN7129" s="15" t="s">
        <v>1984</v>
      </c>
    </row>
    <row r="7130" spans="1:40" x14ac:dyDescent="0.3">
      <c r="A7130" s="10" t="str">
        <f>HYPERLINK("http://www.washoecounty.gov/assessor/cama/?parid=518-062-27&amp;CardNumber=1","518-062-27")</f>
        <v>518-062-27</v>
      </c>
      <c r="B7130" t="s">
        <v>4655</v>
      </c>
      <c r="C7130" t="s">
        <v>33861</v>
      </c>
      <c r="D7130" s="1">
        <v>40497</v>
      </c>
      <c r="E7130" s="2">
        <v>215000</v>
      </c>
      <c r="F7130" t="s">
        <v>4567</v>
      </c>
      <c r="G7130" s="17" t="str">
        <f>HYPERLINK("https://www.washoecounty.gov/assessor/cama/?command=sales&amp;parid=51806227","3943106")</f>
        <v>3943106</v>
      </c>
      <c r="H7130" t="s">
        <v>2821</v>
      </c>
      <c r="I7130">
        <v>1992</v>
      </c>
      <c r="J7130">
        <v>1992</v>
      </c>
      <c r="K7130" t="s">
        <v>4554</v>
      </c>
      <c r="L7130" t="s">
        <v>3974</v>
      </c>
      <c r="M7130" s="2">
        <v>2290</v>
      </c>
      <c r="N7130" t="s">
        <v>5280</v>
      </c>
      <c r="O7130">
        <v>4</v>
      </c>
      <c r="P7130">
        <v>2</v>
      </c>
      <c r="Q7130">
        <v>1</v>
      </c>
      <c r="R7130" t="s">
        <v>4557</v>
      </c>
      <c r="S7130" t="s">
        <v>4558</v>
      </c>
      <c r="T7130" t="s">
        <v>2704</v>
      </c>
      <c r="U7130" t="s">
        <v>4560</v>
      </c>
      <c r="V7130" s="2">
        <v>652</v>
      </c>
      <c r="W7130" t="s">
        <v>4655</v>
      </c>
      <c r="X7130" s="2">
        <v>0</v>
      </c>
      <c r="Y7130">
        <v>20</v>
      </c>
      <c r="Z7130" t="s">
        <v>1604</v>
      </c>
      <c r="AA7130" s="3">
        <v>0.23500917851924899</v>
      </c>
      <c r="AB7130" t="s">
        <v>33862</v>
      </c>
      <c r="AC7130" t="s">
        <v>4575</v>
      </c>
      <c r="AD7130" t="s">
        <v>33861</v>
      </c>
      <c r="AE7130" t="s">
        <v>4655</v>
      </c>
      <c r="AF7130" t="s">
        <v>5201</v>
      </c>
      <c r="AG7130" t="s">
        <v>4564</v>
      </c>
      <c r="AH7130" t="s">
        <v>1605</v>
      </c>
      <c r="AI7130" t="s">
        <v>33863</v>
      </c>
      <c r="AJ7130" t="s">
        <v>33864</v>
      </c>
      <c r="AK7130" t="s">
        <v>33865</v>
      </c>
      <c r="AL7130" s="13" t="s">
        <v>1886</v>
      </c>
      <c r="AM7130" s="14">
        <v>1</v>
      </c>
      <c r="AN7130" s="15" t="s">
        <v>1984</v>
      </c>
    </row>
    <row r="7131" spans="1:40" x14ac:dyDescent="0.3">
      <c r="A7131" s="10" t="str">
        <f>HYPERLINK("http://www.washoecounty.gov/assessor/cama/?parid=518-064-06&amp;CardNumber=1","518-064-06")</f>
        <v>518-064-06</v>
      </c>
      <c r="B7131" t="s">
        <v>4655</v>
      </c>
      <c r="C7131" t="s">
        <v>33866</v>
      </c>
      <c r="D7131" s="1">
        <v>40325</v>
      </c>
      <c r="E7131" s="2">
        <v>197000</v>
      </c>
      <c r="F7131" t="s">
        <v>4567</v>
      </c>
      <c r="G7131" s="17" t="str">
        <f>HYPERLINK("https://www.washoecounty.gov/assessor/cama/?command=sales&amp;parid=51806406","3885976")</f>
        <v>3885976</v>
      </c>
      <c r="H7131" t="s">
        <v>2821</v>
      </c>
      <c r="I7131">
        <v>1992</v>
      </c>
      <c r="J7131">
        <v>1992</v>
      </c>
      <c r="K7131" t="s">
        <v>4554</v>
      </c>
      <c r="L7131" t="s">
        <v>4555</v>
      </c>
      <c r="M7131" s="2">
        <v>1690</v>
      </c>
      <c r="N7131" t="s">
        <v>5280</v>
      </c>
      <c r="O7131">
        <v>3</v>
      </c>
      <c r="P7131">
        <v>3</v>
      </c>
      <c r="Q7131">
        <v>0</v>
      </c>
      <c r="R7131" t="s">
        <v>4557</v>
      </c>
      <c r="S7131" t="s">
        <v>4558</v>
      </c>
      <c r="T7131" t="s">
        <v>2704</v>
      </c>
      <c r="U7131" t="s">
        <v>4560</v>
      </c>
      <c r="V7131" s="2">
        <v>622</v>
      </c>
      <c r="W7131" t="s">
        <v>4655</v>
      </c>
      <c r="X7131" s="2">
        <v>0</v>
      </c>
      <c r="Y7131">
        <v>20</v>
      </c>
      <c r="Z7131" t="s">
        <v>1604</v>
      </c>
      <c r="AA7131" s="3">
        <v>0.20101010799408001</v>
      </c>
      <c r="AB7131" t="s">
        <v>33867</v>
      </c>
      <c r="AC7131" t="s">
        <v>4562</v>
      </c>
      <c r="AD7131" t="s">
        <v>33868</v>
      </c>
      <c r="AE7131" t="s">
        <v>33869</v>
      </c>
      <c r="AF7131" t="s">
        <v>5201</v>
      </c>
      <c r="AG7131" t="s">
        <v>4564</v>
      </c>
      <c r="AH7131" t="s">
        <v>1605</v>
      </c>
      <c r="AI7131" t="s">
        <v>33870</v>
      </c>
      <c r="AJ7131" t="s">
        <v>33871</v>
      </c>
      <c r="AK7131" t="s">
        <v>33872</v>
      </c>
      <c r="AL7131" s="13" t="s">
        <v>1886</v>
      </c>
      <c r="AM7131" s="14">
        <v>1</v>
      </c>
      <c r="AN7131" s="15" t="s">
        <v>1984</v>
      </c>
    </row>
    <row r="7132" spans="1:40" x14ac:dyDescent="0.3">
      <c r="A7132" s="10" t="str">
        <f>HYPERLINK("http://www.washoecounty.gov/assessor/cama/?parid=518-091-06&amp;CardNumber=1","518-091-06")</f>
        <v>518-091-06</v>
      </c>
      <c r="B7132" t="s">
        <v>4655</v>
      </c>
      <c r="C7132" t="s">
        <v>33873</v>
      </c>
      <c r="D7132" s="1">
        <v>40289</v>
      </c>
      <c r="E7132" s="2">
        <v>239900</v>
      </c>
      <c r="F7132" t="s">
        <v>4567</v>
      </c>
      <c r="G7132" s="17" t="str">
        <f>HYPERLINK("https://www.washoecounty.gov/assessor/cama/?command=sales&amp;parid=51809106","3873281")</f>
        <v>3873281</v>
      </c>
      <c r="H7132" t="s">
        <v>2771</v>
      </c>
      <c r="I7132">
        <v>1994</v>
      </c>
      <c r="J7132">
        <v>1994</v>
      </c>
      <c r="K7132" t="s">
        <v>4554</v>
      </c>
      <c r="L7132" t="s">
        <v>3974</v>
      </c>
      <c r="M7132" s="2">
        <v>2590</v>
      </c>
      <c r="N7132" t="s">
        <v>5280</v>
      </c>
      <c r="O7132">
        <v>4</v>
      </c>
      <c r="P7132">
        <v>2</v>
      </c>
      <c r="Q7132">
        <v>1</v>
      </c>
      <c r="R7132" t="s">
        <v>4557</v>
      </c>
      <c r="S7132" t="s">
        <v>4558</v>
      </c>
      <c r="T7132" t="s">
        <v>2704</v>
      </c>
      <c r="U7132" t="s">
        <v>4560</v>
      </c>
      <c r="V7132" s="2">
        <v>652</v>
      </c>
      <c r="W7132" t="s">
        <v>4655</v>
      </c>
      <c r="X7132" s="2">
        <v>0</v>
      </c>
      <c r="Y7132">
        <v>20</v>
      </c>
      <c r="Z7132" t="s">
        <v>4051</v>
      </c>
      <c r="AA7132" s="3">
        <v>0.20399449765682201</v>
      </c>
      <c r="AB7132" t="s">
        <v>33874</v>
      </c>
      <c r="AC7132" t="s">
        <v>4562</v>
      </c>
      <c r="AD7132" t="s">
        <v>33873</v>
      </c>
      <c r="AE7132" t="s">
        <v>4655</v>
      </c>
      <c r="AF7132" t="s">
        <v>5201</v>
      </c>
      <c r="AG7132" t="s">
        <v>4564</v>
      </c>
      <c r="AH7132" t="s">
        <v>1605</v>
      </c>
      <c r="AI7132" t="s">
        <v>26346</v>
      </c>
      <c r="AJ7132" t="s">
        <v>33875</v>
      </c>
      <c r="AK7132" t="s">
        <v>33876</v>
      </c>
      <c r="AL7132" s="13" t="s">
        <v>1886</v>
      </c>
      <c r="AM7132">
        <v>1</v>
      </c>
      <c r="AN7132" s="15" t="s">
        <v>1984</v>
      </c>
    </row>
    <row r="7133" spans="1:40" x14ac:dyDescent="0.3">
      <c r="A7133" s="10" t="str">
        <f>HYPERLINK("http://www.washoecounty.gov/assessor/cama/?parid=518-091-13&amp;CardNumber=1","518-091-13")</f>
        <v>518-091-13</v>
      </c>
      <c r="B7133" t="s">
        <v>4655</v>
      </c>
      <c r="C7133" t="s">
        <v>33877</v>
      </c>
      <c r="D7133" s="1">
        <v>40333</v>
      </c>
      <c r="E7133" s="2">
        <v>190000</v>
      </c>
      <c r="F7133" t="s">
        <v>4567</v>
      </c>
      <c r="G7133" s="17" t="str">
        <f>HYPERLINK("https://www.washoecounty.gov/assessor/cama/?command=sales&amp;parid=51809113","3888643")</f>
        <v>3888643</v>
      </c>
      <c r="H7133" t="s">
        <v>2771</v>
      </c>
      <c r="I7133">
        <v>1994</v>
      </c>
      <c r="J7133">
        <v>1994</v>
      </c>
      <c r="K7133" t="s">
        <v>4554</v>
      </c>
      <c r="L7133" t="s">
        <v>4555</v>
      </c>
      <c r="M7133" s="2">
        <v>1690</v>
      </c>
      <c r="N7133" t="s">
        <v>5280</v>
      </c>
      <c r="O7133">
        <v>3</v>
      </c>
      <c r="P7133">
        <v>2</v>
      </c>
      <c r="Q7133">
        <v>1</v>
      </c>
      <c r="R7133" t="s">
        <v>4557</v>
      </c>
      <c r="S7133" t="s">
        <v>4558</v>
      </c>
      <c r="T7133" t="s">
        <v>2704</v>
      </c>
      <c r="U7133" t="s">
        <v>4560</v>
      </c>
      <c r="V7133" s="2">
        <v>612</v>
      </c>
      <c r="W7133" t="s">
        <v>4655</v>
      </c>
      <c r="X7133" s="2">
        <v>0</v>
      </c>
      <c r="Y7133">
        <v>20</v>
      </c>
      <c r="Z7133" t="s">
        <v>4051</v>
      </c>
      <c r="AA7133" s="3">
        <v>0.20700183510780301</v>
      </c>
      <c r="AB7133" t="s">
        <v>33878</v>
      </c>
      <c r="AC7133" t="s">
        <v>4562</v>
      </c>
      <c r="AD7133" t="s">
        <v>33877</v>
      </c>
      <c r="AE7133" t="s">
        <v>4655</v>
      </c>
      <c r="AF7133" t="s">
        <v>4809</v>
      </c>
      <c r="AG7133" t="s">
        <v>4564</v>
      </c>
      <c r="AH7133" t="s">
        <v>1605</v>
      </c>
      <c r="AI7133" t="s">
        <v>33879</v>
      </c>
      <c r="AJ7133" t="s">
        <v>33880</v>
      </c>
      <c r="AK7133" t="s">
        <v>33881</v>
      </c>
      <c r="AL7133" s="13" t="s">
        <v>1886</v>
      </c>
      <c r="AM7133" s="14">
        <v>1</v>
      </c>
      <c r="AN7133" s="15" t="s">
        <v>1984</v>
      </c>
    </row>
    <row r="7134" spans="1:40" x14ac:dyDescent="0.3">
      <c r="A7134" s="10" t="str">
        <f>HYPERLINK("http://www.washoecounty.gov/assessor/cama/?parid=518-102-02&amp;CardNumber=1","518-102-02")</f>
        <v>518-102-02</v>
      </c>
      <c r="B7134" t="s">
        <v>4655</v>
      </c>
      <c r="C7134" t="s">
        <v>33882</v>
      </c>
      <c r="D7134" s="1">
        <v>40375</v>
      </c>
      <c r="E7134" s="2">
        <v>237500</v>
      </c>
      <c r="F7134" t="s">
        <v>4567</v>
      </c>
      <c r="G7134" s="17" t="str">
        <f>HYPERLINK("https://www.washoecounty.gov/assessor/cama/?command=sales&amp;parid=51810202","3902210")</f>
        <v>3902210</v>
      </c>
      <c r="H7134" t="s">
        <v>2771</v>
      </c>
      <c r="I7134">
        <v>1994</v>
      </c>
      <c r="J7134">
        <v>1996</v>
      </c>
      <c r="K7134" t="s">
        <v>4554</v>
      </c>
      <c r="L7134" t="s">
        <v>3974</v>
      </c>
      <c r="M7134" s="2">
        <v>2259</v>
      </c>
      <c r="N7134" t="s">
        <v>5280</v>
      </c>
      <c r="O7134">
        <v>4</v>
      </c>
      <c r="P7134">
        <v>3</v>
      </c>
      <c r="Q7134">
        <v>0</v>
      </c>
      <c r="R7134" t="s">
        <v>5281</v>
      </c>
      <c r="S7134" t="s">
        <v>4558</v>
      </c>
      <c r="T7134" t="s">
        <v>2704</v>
      </c>
      <c r="U7134" t="s">
        <v>5631</v>
      </c>
      <c r="V7134" s="2">
        <v>628</v>
      </c>
      <c r="W7134" t="s">
        <v>4655</v>
      </c>
      <c r="X7134" s="2">
        <v>0</v>
      </c>
      <c r="Y7134">
        <v>20</v>
      </c>
      <c r="Z7134" t="s">
        <v>4051</v>
      </c>
      <c r="AA7134" s="3">
        <v>0.21701101958751701</v>
      </c>
      <c r="AB7134" t="s">
        <v>33883</v>
      </c>
      <c r="AC7134" t="s">
        <v>4575</v>
      </c>
      <c r="AD7134" t="s">
        <v>33884</v>
      </c>
      <c r="AE7134" t="s">
        <v>33885</v>
      </c>
      <c r="AF7134" t="s">
        <v>574</v>
      </c>
      <c r="AG7134" t="s">
        <v>4584</v>
      </c>
      <c r="AH7134">
        <v>95051</v>
      </c>
      <c r="AI7134" t="s">
        <v>33886</v>
      </c>
      <c r="AJ7134" t="s">
        <v>33887</v>
      </c>
      <c r="AK7134" t="s">
        <v>33888</v>
      </c>
      <c r="AL7134" s="13" t="s">
        <v>1886</v>
      </c>
      <c r="AM7134" s="14">
        <v>1</v>
      </c>
      <c r="AN7134" s="15" t="s">
        <v>1984</v>
      </c>
    </row>
    <row r="7135" spans="1:40" x14ac:dyDescent="0.3">
      <c r="A7135" s="10" t="str">
        <f>HYPERLINK("http://www.washoecounty.gov/assessor/cama/?parid=518-110-09&amp;CardNumber=1","518-110-09")</f>
        <v>518-110-09</v>
      </c>
      <c r="B7135" t="s">
        <v>4655</v>
      </c>
      <c r="C7135" t="s">
        <v>33889</v>
      </c>
      <c r="D7135" s="1">
        <v>40228</v>
      </c>
      <c r="E7135" s="2">
        <v>215000</v>
      </c>
      <c r="F7135" t="s">
        <v>4553</v>
      </c>
      <c r="G7135" s="17" t="str">
        <f>HYPERLINK("https://www.washoecounty.gov/assessor/cama/?command=sales&amp;parid=51811009","3851143")</f>
        <v>3851143</v>
      </c>
      <c r="H7135" t="s">
        <v>33890</v>
      </c>
      <c r="I7135">
        <v>1994</v>
      </c>
      <c r="J7135">
        <v>1994</v>
      </c>
      <c r="K7135" t="s">
        <v>4554</v>
      </c>
      <c r="L7135" t="s">
        <v>3974</v>
      </c>
      <c r="M7135" s="2">
        <v>1923</v>
      </c>
      <c r="N7135" t="s">
        <v>5280</v>
      </c>
      <c r="O7135">
        <v>4</v>
      </c>
      <c r="P7135">
        <v>3</v>
      </c>
      <c r="Q7135">
        <v>0</v>
      </c>
      <c r="R7135" t="s">
        <v>5281</v>
      </c>
      <c r="S7135" t="s">
        <v>4558</v>
      </c>
      <c r="T7135" t="s">
        <v>2704</v>
      </c>
      <c r="U7135" t="s">
        <v>4560</v>
      </c>
      <c r="V7135" s="2">
        <v>624</v>
      </c>
      <c r="W7135" t="s">
        <v>4655</v>
      </c>
      <c r="X7135" s="2">
        <v>0</v>
      </c>
      <c r="Y7135">
        <v>20</v>
      </c>
      <c r="Z7135" t="s">
        <v>1604</v>
      </c>
      <c r="AA7135" s="3">
        <v>0.17100550234317799</v>
      </c>
      <c r="AB7135" t="s">
        <v>33891</v>
      </c>
      <c r="AC7135" t="s">
        <v>4562</v>
      </c>
      <c r="AD7135" t="s">
        <v>33889</v>
      </c>
      <c r="AE7135" t="s">
        <v>4655</v>
      </c>
      <c r="AF7135" t="s">
        <v>5201</v>
      </c>
      <c r="AG7135" t="s">
        <v>4564</v>
      </c>
      <c r="AH7135" t="s">
        <v>1605</v>
      </c>
      <c r="AI7135" t="s">
        <v>2399</v>
      </c>
      <c r="AJ7135" t="s">
        <v>33892</v>
      </c>
      <c r="AK7135" t="s">
        <v>33893</v>
      </c>
      <c r="AL7135" s="13" t="s">
        <v>1886</v>
      </c>
      <c r="AM7135">
        <v>1</v>
      </c>
      <c r="AN7135" s="15" t="s">
        <v>1984</v>
      </c>
    </row>
    <row r="7136" spans="1:40" x14ac:dyDescent="0.3">
      <c r="A7136" s="10" t="str">
        <f>HYPERLINK("http://www.washoecounty.gov/assessor/cama/?parid=518-141-04&amp;CardNumber=1","518-141-04")</f>
        <v>518-141-04</v>
      </c>
      <c r="B7136" t="s">
        <v>4655</v>
      </c>
      <c r="C7136" t="s">
        <v>33894</v>
      </c>
      <c r="D7136" s="1">
        <v>40182</v>
      </c>
      <c r="E7136" s="2">
        <v>167000</v>
      </c>
      <c r="F7136" t="s">
        <v>4553</v>
      </c>
      <c r="G7136" s="17" t="str">
        <f>HYPERLINK("https://www.washoecounty.gov/assessor/cama/?command=sales&amp;parid=51814104","3836029")</f>
        <v>3836029</v>
      </c>
      <c r="H7136" t="s">
        <v>33895</v>
      </c>
      <c r="I7136">
        <v>1994</v>
      </c>
      <c r="J7136">
        <v>1994</v>
      </c>
      <c r="K7136" t="s">
        <v>4554</v>
      </c>
      <c r="L7136" t="s">
        <v>4555</v>
      </c>
      <c r="M7136" s="2">
        <v>1310</v>
      </c>
      <c r="N7136" t="s">
        <v>5280</v>
      </c>
      <c r="O7136">
        <v>3</v>
      </c>
      <c r="P7136">
        <v>2</v>
      </c>
      <c r="Q7136">
        <v>0</v>
      </c>
      <c r="R7136" t="s">
        <v>4557</v>
      </c>
      <c r="S7136" t="s">
        <v>4558</v>
      </c>
      <c r="T7136" t="s">
        <v>2704</v>
      </c>
      <c r="U7136" t="s">
        <v>4560</v>
      </c>
      <c r="V7136" s="2">
        <v>496</v>
      </c>
      <c r="W7136" t="s">
        <v>4655</v>
      </c>
      <c r="X7136" s="2">
        <v>0</v>
      </c>
      <c r="Y7136">
        <v>20</v>
      </c>
      <c r="Z7136" t="s">
        <v>1604</v>
      </c>
      <c r="AA7136" s="3">
        <v>0.15500459074974099</v>
      </c>
      <c r="AB7136" t="s">
        <v>33896</v>
      </c>
      <c r="AC7136" t="s">
        <v>4562</v>
      </c>
      <c r="AD7136" t="s">
        <v>33894</v>
      </c>
      <c r="AE7136" t="s">
        <v>4655</v>
      </c>
      <c r="AF7136" t="s">
        <v>5201</v>
      </c>
      <c r="AG7136" t="s">
        <v>4564</v>
      </c>
      <c r="AH7136" t="s">
        <v>1605</v>
      </c>
      <c r="AI7136" t="s">
        <v>4903</v>
      </c>
      <c r="AJ7136" t="s">
        <v>33897</v>
      </c>
      <c r="AK7136" t="s">
        <v>33898</v>
      </c>
      <c r="AL7136" s="13" t="s">
        <v>1886</v>
      </c>
      <c r="AM7136">
        <v>1</v>
      </c>
      <c r="AN7136" s="15" t="s">
        <v>1984</v>
      </c>
    </row>
    <row r="7137" spans="1:40" x14ac:dyDescent="0.3">
      <c r="A7137" s="10" t="str">
        <f>HYPERLINK("http://www.washoecounty.gov/assessor/cama/?parid=518-142-01&amp;CardNumber=1","518-142-01")</f>
        <v>518-142-01</v>
      </c>
      <c r="B7137" t="s">
        <v>4655</v>
      </c>
      <c r="C7137" t="s">
        <v>33899</v>
      </c>
      <c r="D7137" s="1">
        <v>40333</v>
      </c>
      <c r="E7137" s="2">
        <v>172000</v>
      </c>
      <c r="F7137" t="s">
        <v>4567</v>
      </c>
      <c r="G7137" s="17" t="str">
        <f>HYPERLINK("https://www.washoecounty.gov/assessor/cama/?command=sales&amp;parid=51814201","3888428")</f>
        <v>3888428</v>
      </c>
      <c r="H7137" t="s">
        <v>33895</v>
      </c>
      <c r="I7137">
        <v>1994</v>
      </c>
      <c r="J7137">
        <v>1994</v>
      </c>
      <c r="K7137" t="s">
        <v>4554</v>
      </c>
      <c r="L7137" t="s">
        <v>4555</v>
      </c>
      <c r="M7137" s="2">
        <v>1310</v>
      </c>
      <c r="N7137" t="s">
        <v>5280</v>
      </c>
      <c r="O7137">
        <v>3</v>
      </c>
      <c r="P7137">
        <v>2</v>
      </c>
      <c r="Q7137">
        <v>0</v>
      </c>
      <c r="R7137" t="s">
        <v>4557</v>
      </c>
      <c r="S7137" t="s">
        <v>4558</v>
      </c>
      <c r="T7137" t="s">
        <v>2704</v>
      </c>
      <c r="U7137" t="s">
        <v>4560</v>
      </c>
      <c r="V7137" s="2">
        <v>576</v>
      </c>
      <c r="W7137" t="s">
        <v>4655</v>
      </c>
      <c r="X7137" s="2">
        <v>0</v>
      </c>
      <c r="Y7137">
        <v>20</v>
      </c>
      <c r="Z7137" t="s">
        <v>1604</v>
      </c>
      <c r="AA7137" s="3">
        <v>0.26200643181800798</v>
      </c>
      <c r="AB7137" t="s">
        <v>33900</v>
      </c>
      <c r="AC7137" t="s">
        <v>4562</v>
      </c>
      <c r="AD7137" t="s">
        <v>33899</v>
      </c>
      <c r="AE7137" t="s">
        <v>4655</v>
      </c>
      <c r="AF7137" t="s">
        <v>5201</v>
      </c>
      <c r="AG7137" t="s">
        <v>4564</v>
      </c>
      <c r="AH7137" t="s">
        <v>1605</v>
      </c>
      <c r="AI7137" t="s">
        <v>33901</v>
      </c>
      <c r="AJ7137" t="s">
        <v>33902</v>
      </c>
      <c r="AK7137" t="s">
        <v>33903</v>
      </c>
      <c r="AL7137" s="13" t="s">
        <v>1886</v>
      </c>
      <c r="AM7137" s="14">
        <v>1</v>
      </c>
      <c r="AN7137" s="15" t="s">
        <v>1984</v>
      </c>
    </row>
    <row r="7138" spans="1:40" x14ac:dyDescent="0.3">
      <c r="A7138" s="10" t="str">
        <f>HYPERLINK("http://www.washoecounty.gov/assessor/cama/?parid=518-161-15&amp;CardNumber=1","518-161-15")</f>
        <v>518-161-15</v>
      </c>
      <c r="B7138" t="s">
        <v>4655</v>
      </c>
      <c r="C7138" t="s">
        <v>33904</v>
      </c>
      <c r="D7138" s="1">
        <v>40298</v>
      </c>
      <c r="E7138" s="2">
        <v>175000</v>
      </c>
      <c r="F7138" t="s">
        <v>4567</v>
      </c>
      <c r="G7138" s="17" t="str">
        <f>HYPERLINK("https://www.washoecounty.gov/assessor/cama/?command=sales&amp;parid=51816115","3876946")</f>
        <v>3876946</v>
      </c>
      <c r="H7138" t="s">
        <v>3461</v>
      </c>
      <c r="I7138">
        <v>1992</v>
      </c>
      <c r="J7138">
        <v>1992</v>
      </c>
      <c r="K7138" t="s">
        <v>4554</v>
      </c>
      <c r="L7138" t="s">
        <v>4555</v>
      </c>
      <c r="M7138" s="2">
        <v>1435</v>
      </c>
      <c r="N7138" t="s">
        <v>5280</v>
      </c>
      <c r="O7138">
        <v>3</v>
      </c>
      <c r="P7138">
        <v>2</v>
      </c>
      <c r="Q7138">
        <v>0</v>
      </c>
      <c r="R7138" t="s">
        <v>5281</v>
      </c>
      <c r="S7138" t="s">
        <v>4558</v>
      </c>
      <c r="T7138" t="s">
        <v>2704</v>
      </c>
      <c r="U7138" t="s">
        <v>4560</v>
      </c>
      <c r="V7138" s="2">
        <v>455</v>
      </c>
      <c r="W7138" t="s">
        <v>4655</v>
      </c>
      <c r="X7138" s="2">
        <v>0</v>
      </c>
      <c r="Y7138">
        <v>20</v>
      </c>
      <c r="Z7138" t="s">
        <v>4051</v>
      </c>
      <c r="AA7138" s="3">
        <v>0.13900367915630299</v>
      </c>
      <c r="AB7138" t="s">
        <v>33905</v>
      </c>
      <c r="AC7138" t="s">
        <v>4562</v>
      </c>
      <c r="AD7138" t="s">
        <v>33904</v>
      </c>
      <c r="AE7138" t="s">
        <v>4655</v>
      </c>
      <c r="AF7138" t="s">
        <v>5201</v>
      </c>
      <c r="AG7138" t="s">
        <v>4564</v>
      </c>
      <c r="AH7138" t="s">
        <v>1605</v>
      </c>
      <c r="AI7138" t="s">
        <v>33906</v>
      </c>
      <c r="AJ7138" t="s">
        <v>33907</v>
      </c>
      <c r="AK7138" t="s">
        <v>33908</v>
      </c>
      <c r="AL7138" s="13" t="s">
        <v>1886</v>
      </c>
      <c r="AM7138">
        <v>1</v>
      </c>
      <c r="AN7138" s="15" t="s">
        <v>1984</v>
      </c>
    </row>
    <row r="7139" spans="1:40" x14ac:dyDescent="0.3">
      <c r="A7139" s="10" t="str">
        <f>HYPERLINK("http://www.washoecounty.gov/assessor/cama/?parid=518-162-03&amp;CardNumber=1","518-162-03")</f>
        <v>518-162-03</v>
      </c>
      <c r="B7139" t="s">
        <v>4655</v>
      </c>
      <c r="C7139" t="s">
        <v>33909</v>
      </c>
      <c r="D7139" s="1">
        <v>40359</v>
      </c>
      <c r="E7139" s="2">
        <v>146000</v>
      </c>
      <c r="F7139" t="s">
        <v>4567</v>
      </c>
      <c r="G7139" s="17" t="str">
        <f>HYPERLINK("https://www.washoecounty.gov/assessor/cama/?command=sales&amp;parid=51816203","3897169")</f>
        <v>3897169</v>
      </c>
      <c r="H7139" t="s">
        <v>3461</v>
      </c>
      <c r="I7139">
        <v>1992</v>
      </c>
      <c r="J7139">
        <v>1992</v>
      </c>
      <c r="K7139" t="s">
        <v>4554</v>
      </c>
      <c r="L7139" t="s">
        <v>4555</v>
      </c>
      <c r="M7139" s="2">
        <v>1164</v>
      </c>
      <c r="N7139" t="s">
        <v>5280</v>
      </c>
      <c r="O7139">
        <v>3</v>
      </c>
      <c r="P7139">
        <v>2</v>
      </c>
      <c r="Q7139">
        <v>0</v>
      </c>
      <c r="R7139" t="s">
        <v>4557</v>
      </c>
      <c r="S7139" t="s">
        <v>4558</v>
      </c>
      <c r="T7139" t="s">
        <v>2704</v>
      </c>
      <c r="U7139" t="s">
        <v>4560</v>
      </c>
      <c r="V7139" s="2">
        <v>456</v>
      </c>
      <c r="W7139" t="s">
        <v>4655</v>
      </c>
      <c r="X7139" s="2">
        <v>0</v>
      </c>
      <c r="Y7139">
        <v>20</v>
      </c>
      <c r="Z7139" t="s">
        <v>4051</v>
      </c>
      <c r="AA7139" s="3">
        <v>0.16299356520175901</v>
      </c>
      <c r="AB7139" t="s">
        <v>33910</v>
      </c>
      <c r="AC7139" t="s">
        <v>4562</v>
      </c>
      <c r="AD7139" t="s">
        <v>33909</v>
      </c>
      <c r="AE7139" t="s">
        <v>4655</v>
      </c>
      <c r="AF7139" t="s">
        <v>5201</v>
      </c>
      <c r="AG7139" t="s">
        <v>4564</v>
      </c>
      <c r="AH7139" t="s">
        <v>1605</v>
      </c>
      <c r="AI7139" t="s">
        <v>33911</v>
      </c>
      <c r="AJ7139" t="s">
        <v>33912</v>
      </c>
      <c r="AK7139" t="s">
        <v>33913</v>
      </c>
      <c r="AL7139" s="13" t="s">
        <v>1886</v>
      </c>
      <c r="AM7139">
        <v>1</v>
      </c>
      <c r="AN7139" s="15" t="s">
        <v>1984</v>
      </c>
    </row>
    <row r="7140" spans="1:40" x14ac:dyDescent="0.3">
      <c r="A7140" s="10" t="str">
        <f>HYPERLINK("http://www.washoecounty.gov/assessor/cama/?parid=518-162-08&amp;CardNumber=1","518-162-08")</f>
        <v>518-162-08</v>
      </c>
      <c r="B7140" t="s">
        <v>4655</v>
      </c>
      <c r="C7140" t="s">
        <v>33914</v>
      </c>
      <c r="D7140" s="1">
        <v>40526</v>
      </c>
      <c r="E7140" s="2">
        <v>145000</v>
      </c>
      <c r="F7140" t="s">
        <v>4567</v>
      </c>
      <c r="G7140" s="17" t="str">
        <f>HYPERLINK("https://www.washoecounty.gov/assessor/cama/?command=sales&amp;parid=51816208","3953305")</f>
        <v>3953305</v>
      </c>
      <c r="H7140" t="s">
        <v>3461</v>
      </c>
      <c r="I7140">
        <v>1992</v>
      </c>
      <c r="J7140">
        <v>1992</v>
      </c>
      <c r="K7140" t="s">
        <v>4554</v>
      </c>
      <c r="L7140" t="s">
        <v>4555</v>
      </c>
      <c r="M7140" s="2">
        <v>1435</v>
      </c>
      <c r="N7140" t="s">
        <v>5280</v>
      </c>
      <c r="O7140">
        <v>3</v>
      </c>
      <c r="P7140">
        <v>2</v>
      </c>
      <c r="Q7140">
        <v>0</v>
      </c>
      <c r="R7140" t="s">
        <v>5281</v>
      </c>
      <c r="S7140" t="s">
        <v>4558</v>
      </c>
      <c r="T7140" t="s">
        <v>2704</v>
      </c>
      <c r="U7140" t="s">
        <v>4560</v>
      </c>
      <c r="V7140" s="2">
        <v>455</v>
      </c>
      <c r="W7140" t="s">
        <v>4655</v>
      </c>
      <c r="X7140" s="2">
        <v>0</v>
      </c>
      <c r="Y7140">
        <v>20</v>
      </c>
      <c r="Z7140" t="s">
        <v>4051</v>
      </c>
      <c r="AA7140" s="3">
        <v>0.151010096073151</v>
      </c>
      <c r="AB7140" t="s">
        <v>33915</v>
      </c>
      <c r="AC7140" t="s">
        <v>4562</v>
      </c>
      <c r="AD7140" t="s">
        <v>33914</v>
      </c>
      <c r="AE7140" t="s">
        <v>4655</v>
      </c>
      <c r="AF7140" t="s">
        <v>5201</v>
      </c>
      <c r="AG7140" t="s">
        <v>4564</v>
      </c>
      <c r="AH7140" t="s">
        <v>1605</v>
      </c>
      <c r="AI7140" t="s">
        <v>33916</v>
      </c>
      <c r="AJ7140" t="s">
        <v>33917</v>
      </c>
      <c r="AK7140" t="s">
        <v>33918</v>
      </c>
      <c r="AL7140" s="13" t="s">
        <v>1886</v>
      </c>
      <c r="AM7140" s="14">
        <v>1</v>
      </c>
      <c r="AN7140" s="15" t="s">
        <v>1984</v>
      </c>
    </row>
    <row r="7141" spans="1:40" x14ac:dyDescent="0.3">
      <c r="A7141" s="10" t="str">
        <f>HYPERLINK("http://www.washoecounty.gov/assessor/cama/?parid=518-163-12&amp;CardNumber=1","518-163-12")</f>
        <v>518-163-12</v>
      </c>
      <c r="B7141" t="s">
        <v>4655</v>
      </c>
      <c r="C7141" t="s">
        <v>33919</v>
      </c>
      <c r="D7141" s="1">
        <v>40456</v>
      </c>
      <c r="E7141" s="2">
        <v>145000</v>
      </c>
      <c r="F7141" t="s">
        <v>4553</v>
      </c>
      <c r="G7141" s="17" t="str">
        <f>HYPERLINK("https://www.washoecounty.gov/assessor/cama/?command=sales&amp;parid=51816312","3929523")</f>
        <v>3929523</v>
      </c>
      <c r="H7141" t="s">
        <v>3461</v>
      </c>
      <c r="I7141">
        <v>1993</v>
      </c>
      <c r="J7141">
        <v>1993</v>
      </c>
      <c r="K7141" t="s">
        <v>4554</v>
      </c>
      <c r="L7141" t="s">
        <v>4555</v>
      </c>
      <c r="M7141" s="2">
        <v>1435</v>
      </c>
      <c r="N7141" t="s">
        <v>5280</v>
      </c>
      <c r="O7141">
        <v>3</v>
      </c>
      <c r="P7141">
        <v>2</v>
      </c>
      <c r="Q7141">
        <v>0</v>
      </c>
      <c r="R7141" t="s">
        <v>4557</v>
      </c>
      <c r="S7141" t="s">
        <v>4558</v>
      </c>
      <c r="T7141" t="s">
        <v>2704</v>
      </c>
      <c r="U7141" t="s">
        <v>4560</v>
      </c>
      <c r="V7141" s="2">
        <v>455</v>
      </c>
      <c r="W7141" t="s">
        <v>4655</v>
      </c>
      <c r="X7141" s="2">
        <v>0</v>
      </c>
      <c r="Y7141">
        <v>20</v>
      </c>
      <c r="Z7141" t="s">
        <v>4051</v>
      </c>
      <c r="AA7141" s="3">
        <v>0.19299817085266099</v>
      </c>
      <c r="AB7141" t="s">
        <v>31368</v>
      </c>
      <c r="AC7141" t="s">
        <v>4562</v>
      </c>
      <c r="AD7141" t="s">
        <v>31369</v>
      </c>
      <c r="AE7141" t="s">
        <v>4655</v>
      </c>
      <c r="AF7141" t="s">
        <v>5178</v>
      </c>
      <c r="AG7141" t="s">
        <v>4584</v>
      </c>
      <c r="AH7141" t="s">
        <v>5179</v>
      </c>
      <c r="AI7141" t="s">
        <v>4655</v>
      </c>
      <c r="AJ7141" t="s">
        <v>33920</v>
      </c>
      <c r="AK7141" t="s">
        <v>33921</v>
      </c>
      <c r="AL7141" s="13" t="s">
        <v>1886</v>
      </c>
      <c r="AM7141" s="14">
        <v>1</v>
      </c>
      <c r="AN7141" s="15" t="s">
        <v>1984</v>
      </c>
    </row>
    <row r="7142" spans="1:40" x14ac:dyDescent="0.3">
      <c r="A7142" s="10" t="str">
        <f>HYPERLINK("http://www.washoecounty.gov/assessor/cama/?parid=518-171-03&amp;CardNumber=1","518-171-03")</f>
        <v>518-171-03</v>
      </c>
      <c r="B7142" t="s">
        <v>4655</v>
      </c>
      <c r="C7142" t="s">
        <v>33922</v>
      </c>
      <c r="D7142" s="1">
        <v>40358</v>
      </c>
      <c r="E7142" s="2">
        <v>160000</v>
      </c>
      <c r="F7142" t="s">
        <v>4567</v>
      </c>
      <c r="G7142" s="17" t="str">
        <f>HYPERLINK("https://www.washoecounty.gov/assessor/cama/?command=sales&amp;parid=51817103","3896840")</f>
        <v>3896840</v>
      </c>
      <c r="H7142" t="s">
        <v>3461</v>
      </c>
      <c r="I7142">
        <v>1992</v>
      </c>
      <c r="J7142">
        <v>1992</v>
      </c>
      <c r="K7142" t="s">
        <v>4554</v>
      </c>
      <c r="L7142" t="s">
        <v>4555</v>
      </c>
      <c r="M7142" s="2">
        <v>1286</v>
      </c>
      <c r="N7142" t="s">
        <v>5280</v>
      </c>
      <c r="O7142">
        <v>3</v>
      </c>
      <c r="P7142">
        <v>2</v>
      </c>
      <c r="Q7142">
        <v>0</v>
      </c>
      <c r="R7142" t="s">
        <v>4557</v>
      </c>
      <c r="S7142" t="s">
        <v>4558</v>
      </c>
      <c r="T7142" t="s">
        <v>2704</v>
      </c>
      <c r="U7142" t="s">
        <v>4560</v>
      </c>
      <c r="V7142" s="2">
        <v>455</v>
      </c>
      <c r="W7142" t="s">
        <v>4655</v>
      </c>
      <c r="X7142" s="2">
        <v>0</v>
      </c>
      <c r="Y7142">
        <v>20</v>
      </c>
      <c r="Z7142" t="s">
        <v>4051</v>
      </c>
      <c r="AA7142" s="3">
        <v>0.14299815893173218</v>
      </c>
      <c r="AB7142" t="s">
        <v>33923</v>
      </c>
      <c r="AC7142" t="s">
        <v>4562</v>
      </c>
      <c r="AD7142" t="s">
        <v>33922</v>
      </c>
      <c r="AE7142" t="s">
        <v>4655</v>
      </c>
      <c r="AF7142" t="s">
        <v>5201</v>
      </c>
      <c r="AG7142" t="s">
        <v>4564</v>
      </c>
      <c r="AH7142" t="s">
        <v>1605</v>
      </c>
      <c r="AI7142" t="s">
        <v>33924</v>
      </c>
      <c r="AJ7142" t="s">
        <v>33925</v>
      </c>
      <c r="AK7142" t="s">
        <v>33926</v>
      </c>
      <c r="AL7142" s="13" t="s">
        <v>1886</v>
      </c>
      <c r="AM7142">
        <v>1</v>
      </c>
      <c r="AN7142" s="15" t="s">
        <v>1984</v>
      </c>
    </row>
    <row r="7143" spans="1:40" x14ac:dyDescent="0.3">
      <c r="A7143" s="10" t="str">
        <f>HYPERLINK("http://www.washoecounty.gov/assessor/cama/?parid=518-172-12&amp;CardNumber=1","518-172-12")</f>
        <v>518-172-12</v>
      </c>
      <c r="B7143" t="s">
        <v>4655</v>
      </c>
      <c r="C7143" t="s">
        <v>33927</v>
      </c>
      <c r="D7143" s="1">
        <v>40437</v>
      </c>
      <c r="E7143" s="2">
        <v>130000</v>
      </c>
      <c r="F7143" t="s">
        <v>4553</v>
      </c>
      <c r="G7143" s="17" t="str">
        <f>HYPERLINK("https://www.washoecounty.gov/assessor/cama/?command=sales&amp;parid=51817212","3923062")</f>
        <v>3923062</v>
      </c>
      <c r="H7143" t="s">
        <v>3461</v>
      </c>
      <c r="I7143">
        <v>1991</v>
      </c>
      <c r="J7143">
        <v>1991</v>
      </c>
      <c r="K7143" t="s">
        <v>4554</v>
      </c>
      <c r="L7143" t="s">
        <v>3974</v>
      </c>
      <c r="M7143" s="2">
        <v>1700</v>
      </c>
      <c r="N7143" t="s">
        <v>5280</v>
      </c>
      <c r="O7143">
        <v>4</v>
      </c>
      <c r="P7143">
        <v>3</v>
      </c>
      <c r="Q7143">
        <v>0</v>
      </c>
      <c r="R7143" t="s">
        <v>4557</v>
      </c>
      <c r="S7143" t="s">
        <v>4558</v>
      </c>
      <c r="T7143" t="s">
        <v>2704</v>
      </c>
      <c r="U7143" t="s">
        <v>5631</v>
      </c>
      <c r="V7143" s="2">
        <v>504</v>
      </c>
      <c r="W7143" t="s">
        <v>4655</v>
      </c>
      <c r="X7143" s="2">
        <v>0</v>
      </c>
      <c r="Y7143">
        <v>20</v>
      </c>
      <c r="Z7143" t="s">
        <v>4051</v>
      </c>
      <c r="AA7143" s="3">
        <v>0.20101010799408001</v>
      </c>
      <c r="AB7143" t="s">
        <v>33928</v>
      </c>
      <c r="AC7143" t="s">
        <v>4575</v>
      </c>
      <c r="AD7143" t="s">
        <v>33929</v>
      </c>
      <c r="AE7143" t="s">
        <v>33930</v>
      </c>
      <c r="AF7143" t="s">
        <v>4809</v>
      </c>
      <c r="AG7143" t="s">
        <v>4564</v>
      </c>
      <c r="AH7143" t="s">
        <v>1605</v>
      </c>
      <c r="AI7143" t="s">
        <v>5209</v>
      </c>
      <c r="AJ7143" t="s">
        <v>33931</v>
      </c>
      <c r="AK7143" t="s">
        <v>33932</v>
      </c>
      <c r="AL7143" s="13" t="s">
        <v>1886</v>
      </c>
      <c r="AM7143">
        <v>1</v>
      </c>
      <c r="AN7143" s="15" t="s">
        <v>1984</v>
      </c>
    </row>
    <row r="7144" spans="1:40" x14ac:dyDescent="0.3">
      <c r="A7144" s="10" t="str">
        <f>HYPERLINK("http://www.washoecounty.gov/assessor/cama/?parid=518-172-23&amp;CardNumber=1","518-172-23")</f>
        <v>518-172-23</v>
      </c>
      <c r="B7144" t="s">
        <v>4655</v>
      </c>
      <c r="C7144" t="s">
        <v>33933</v>
      </c>
      <c r="D7144" s="1">
        <v>40464</v>
      </c>
      <c r="E7144" s="2">
        <v>146000</v>
      </c>
      <c r="F7144" t="s">
        <v>4553</v>
      </c>
      <c r="G7144" s="17" t="str">
        <f>HYPERLINK("https://www.washoecounty.gov/assessor/cama/?command=sales&amp;parid=51817223","3932632")</f>
        <v>3932632</v>
      </c>
      <c r="H7144" t="s">
        <v>3461</v>
      </c>
      <c r="I7144">
        <v>1993</v>
      </c>
      <c r="J7144">
        <v>1993</v>
      </c>
      <c r="K7144" t="s">
        <v>4554</v>
      </c>
      <c r="L7144" t="s">
        <v>4555</v>
      </c>
      <c r="M7144" s="2">
        <v>1164</v>
      </c>
      <c r="N7144" t="s">
        <v>5280</v>
      </c>
      <c r="O7144">
        <v>3</v>
      </c>
      <c r="P7144">
        <v>2</v>
      </c>
      <c r="Q7144">
        <v>0</v>
      </c>
      <c r="R7144" t="s">
        <v>4557</v>
      </c>
      <c r="S7144" t="s">
        <v>4558</v>
      </c>
      <c r="T7144" t="s">
        <v>2704</v>
      </c>
      <c r="U7144" t="s">
        <v>4560</v>
      </c>
      <c r="V7144" s="2">
        <v>456</v>
      </c>
      <c r="W7144" t="s">
        <v>4655</v>
      </c>
      <c r="X7144" s="2">
        <v>0</v>
      </c>
      <c r="Y7144">
        <v>20</v>
      </c>
      <c r="Z7144" t="s">
        <v>4051</v>
      </c>
      <c r="AA7144" s="3">
        <v>0.13900367915630299</v>
      </c>
      <c r="AB7144" t="s">
        <v>3854</v>
      </c>
      <c r="AC7144" t="s">
        <v>4575</v>
      </c>
      <c r="AD7144" t="s">
        <v>3996</v>
      </c>
      <c r="AE7144" t="s">
        <v>4655</v>
      </c>
      <c r="AF7144" t="s">
        <v>4809</v>
      </c>
      <c r="AG7144" t="s">
        <v>4564</v>
      </c>
      <c r="AH7144" t="s">
        <v>1605</v>
      </c>
      <c r="AI7144" t="s">
        <v>3995</v>
      </c>
      <c r="AJ7144" t="s">
        <v>33934</v>
      </c>
      <c r="AK7144" t="s">
        <v>33935</v>
      </c>
      <c r="AL7144" s="13" t="s">
        <v>1886</v>
      </c>
      <c r="AM7144" s="14">
        <v>1</v>
      </c>
      <c r="AN7144" s="15" t="s">
        <v>1984</v>
      </c>
    </row>
    <row r="7145" spans="1:40" x14ac:dyDescent="0.3">
      <c r="A7145" s="10" t="str">
        <f>HYPERLINK("http://www.washoecounty.gov/assessor/cama/?parid=518-173-07&amp;CardNumber=1","518-173-07")</f>
        <v>518-173-07</v>
      </c>
      <c r="B7145" t="s">
        <v>4655</v>
      </c>
      <c r="C7145" t="s">
        <v>33936</v>
      </c>
      <c r="D7145" s="1">
        <v>40403</v>
      </c>
      <c r="E7145" s="2">
        <v>158000</v>
      </c>
      <c r="F7145" t="s">
        <v>4567</v>
      </c>
      <c r="G7145" s="17" t="str">
        <f>HYPERLINK("https://www.washoecounty.gov/assessor/cama/?command=sales&amp;parid=51817307","3911972")</f>
        <v>3911972</v>
      </c>
      <c r="H7145" t="s">
        <v>3461</v>
      </c>
      <c r="I7145">
        <v>1993</v>
      </c>
      <c r="J7145">
        <v>1993</v>
      </c>
      <c r="K7145" t="s">
        <v>4554</v>
      </c>
      <c r="L7145" t="s">
        <v>4555</v>
      </c>
      <c r="M7145" s="2">
        <v>1435</v>
      </c>
      <c r="N7145" t="s">
        <v>5280</v>
      </c>
      <c r="O7145">
        <v>3</v>
      </c>
      <c r="P7145">
        <v>2</v>
      </c>
      <c r="Q7145">
        <v>0</v>
      </c>
      <c r="R7145" t="s">
        <v>5281</v>
      </c>
      <c r="S7145" t="s">
        <v>4558</v>
      </c>
      <c r="T7145" t="s">
        <v>2704</v>
      </c>
      <c r="U7145" t="s">
        <v>4560</v>
      </c>
      <c r="V7145" s="2">
        <v>455</v>
      </c>
      <c r="W7145" t="s">
        <v>4655</v>
      </c>
      <c r="X7145" s="2">
        <v>0</v>
      </c>
      <c r="Y7145">
        <v>20</v>
      </c>
      <c r="Z7145" t="s">
        <v>4051</v>
      </c>
      <c r="AA7145" s="3">
        <v>0.13298897445201899</v>
      </c>
      <c r="AB7145" t="s">
        <v>33937</v>
      </c>
      <c r="AC7145" t="s">
        <v>4562</v>
      </c>
      <c r="AD7145" t="s">
        <v>14671</v>
      </c>
      <c r="AE7145" t="s">
        <v>4655</v>
      </c>
      <c r="AF7145" t="s">
        <v>5201</v>
      </c>
      <c r="AG7145" t="s">
        <v>4564</v>
      </c>
      <c r="AH7145" t="s">
        <v>1350</v>
      </c>
      <c r="AI7145" t="s">
        <v>33938</v>
      </c>
      <c r="AJ7145" t="s">
        <v>33939</v>
      </c>
      <c r="AK7145" t="s">
        <v>33940</v>
      </c>
      <c r="AL7145" s="13" t="s">
        <v>1886</v>
      </c>
      <c r="AM7145" s="14">
        <v>1</v>
      </c>
      <c r="AN7145" s="15" t="s">
        <v>1984</v>
      </c>
    </row>
    <row r="7146" spans="1:40" x14ac:dyDescent="0.3">
      <c r="A7146" s="10" t="str">
        <f>HYPERLINK("http://www.washoecounty.gov/assessor/cama/?parid=518-192-10&amp;CardNumber=1","518-192-10")</f>
        <v>518-192-10</v>
      </c>
      <c r="B7146" t="s">
        <v>4655</v>
      </c>
      <c r="C7146" t="s">
        <v>33941</v>
      </c>
      <c r="D7146" s="1">
        <v>40455</v>
      </c>
      <c r="E7146" s="2">
        <v>180000</v>
      </c>
      <c r="F7146" t="s">
        <v>4567</v>
      </c>
      <c r="G7146" s="17" t="str">
        <f>HYPERLINK("https://www.washoecounty.gov/assessor/cama/?command=sales&amp;parid=51819210","3929236")</f>
        <v>3929236</v>
      </c>
      <c r="H7146" t="s">
        <v>33942</v>
      </c>
      <c r="I7146">
        <v>1991</v>
      </c>
      <c r="J7146">
        <v>1991</v>
      </c>
      <c r="K7146" t="s">
        <v>4554</v>
      </c>
      <c r="L7146" t="s">
        <v>3974</v>
      </c>
      <c r="M7146" s="2">
        <v>2372</v>
      </c>
      <c r="N7146" t="s">
        <v>5280</v>
      </c>
      <c r="O7146">
        <v>4</v>
      </c>
      <c r="P7146">
        <v>2</v>
      </c>
      <c r="Q7146">
        <v>1</v>
      </c>
      <c r="R7146" t="s">
        <v>4557</v>
      </c>
      <c r="S7146" t="s">
        <v>4558</v>
      </c>
      <c r="T7146" t="s">
        <v>2704</v>
      </c>
      <c r="U7146" t="s">
        <v>4560</v>
      </c>
      <c r="V7146" s="2">
        <v>616</v>
      </c>
      <c r="W7146" t="s">
        <v>4655</v>
      </c>
      <c r="X7146" s="2">
        <v>0</v>
      </c>
      <c r="Y7146">
        <v>20</v>
      </c>
      <c r="Z7146" t="s">
        <v>4051</v>
      </c>
      <c r="AA7146" s="3">
        <v>0.26000916957855202</v>
      </c>
      <c r="AB7146" t="s">
        <v>33943</v>
      </c>
      <c r="AC7146" t="s">
        <v>4562</v>
      </c>
      <c r="AD7146" t="s">
        <v>33941</v>
      </c>
      <c r="AE7146" t="s">
        <v>4655</v>
      </c>
      <c r="AF7146" t="s">
        <v>5201</v>
      </c>
      <c r="AG7146" t="s">
        <v>4564</v>
      </c>
      <c r="AH7146" t="s">
        <v>1605</v>
      </c>
      <c r="AI7146" t="s">
        <v>4655</v>
      </c>
      <c r="AJ7146" t="s">
        <v>33944</v>
      </c>
      <c r="AK7146" t="s">
        <v>33945</v>
      </c>
      <c r="AL7146" s="13" t="s">
        <v>1886</v>
      </c>
      <c r="AM7146">
        <v>1</v>
      </c>
      <c r="AN7146" s="15" t="s">
        <v>1984</v>
      </c>
    </row>
    <row r="7147" spans="1:40" x14ac:dyDescent="0.3">
      <c r="A7147" s="10" t="str">
        <f>HYPERLINK("http://www.washoecounty.gov/assessor/cama/?parid=518-193-08&amp;CardNumber=1","518-193-08")</f>
        <v>518-193-08</v>
      </c>
      <c r="B7147" t="s">
        <v>4655</v>
      </c>
      <c r="C7147" t="s">
        <v>33946</v>
      </c>
      <c r="D7147" s="1">
        <v>40500</v>
      </c>
      <c r="E7147" s="2">
        <v>230000</v>
      </c>
      <c r="F7147" t="s">
        <v>4553</v>
      </c>
      <c r="G7147" s="17" t="str">
        <f>HYPERLINK("https://www.washoecounty.gov/assessor/cama/?command=sales&amp;parid=51819308","3944561")</f>
        <v>3944561</v>
      </c>
      <c r="H7147" t="s">
        <v>4969</v>
      </c>
      <c r="I7147">
        <v>1991</v>
      </c>
      <c r="J7147">
        <v>1991</v>
      </c>
      <c r="K7147" t="s">
        <v>4554</v>
      </c>
      <c r="L7147" t="s">
        <v>3974</v>
      </c>
      <c r="M7147" s="2">
        <v>2708</v>
      </c>
      <c r="N7147" t="s">
        <v>5280</v>
      </c>
      <c r="O7147">
        <v>5</v>
      </c>
      <c r="P7147">
        <v>3</v>
      </c>
      <c r="Q7147">
        <v>1</v>
      </c>
      <c r="R7147" t="s">
        <v>5281</v>
      </c>
      <c r="S7147" t="s">
        <v>4558</v>
      </c>
      <c r="T7147" t="s">
        <v>2704</v>
      </c>
      <c r="U7147" t="s">
        <v>4560</v>
      </c>
      <c r="V7147" s="2">
        <v>616</v>
      </c>
      <c r="W7147" t="s">
        <v>4655</v>
      </c>
      <c r="X7147" s="2">
        <v>0</v>
      </c>
      <c r="Y7147">
        <v>20</v>
      </c>
      <c r="Z7147" t="s">
        <v>4051</v>
      </c>
      <c r="AA7147" s="3">
        <v>0.30899909138679499</v>
      </c>
      <c r="AB7147" t="s">
        <v>33947</v>
      </c>
      <c r="AC7147" t="s">
        <v>4562</v>
      </c>
      <c r="AD7147" t="s">
        <v>33946</v>
      </c>
      <c r="AE7147" t="s">
        <v>4655</v>
      </c>
      <c r="AF7147" t="s">
        <v>5201</v>
      </c>
      <c r="AG7147" t="s">
        <v>4564</v>
      </c>
      <c r="AH7147" t="s">
        <v>1605</v>
      </c>
      <c r="AI7147" t="s">
        <v>33948</v>
      </c>
      <c r="AJ7147" t="s">
        <v>33949</v>
      </c>
      <c r="AK7147" t="s">
        <v>33950</v>
      </c>
      <c r="AL7147" s="13" t="s">
        <v>1886</v>
      </c>
      <c r="AM7147">
        <v>1</v>
      </c>
      <c r="AN7147" s="15" t="s">
        <v>1984</v>
      </c>
    </row>
    <row r="7148" spans="1:40" x14ac:dyDescent="0.3">
      <c r="A7148" s="10" t="str">
        <f>HYPERLINK("http://www.washoecounty.gov/assessor/cama/?parid=518-193-09&amp;CardNumber=1","518-193-09")</f>
        <v>518-193-09</v>
      </c>
      <c r="B7148" t="s">
        <v>4655</v>
      </c>
      <c r="C7148" t="s">
        <v>33951</v>
      </c>
      <c r="D7148" s="1">
        <v>40325</v>
      </c>
      <c r="E7148" s="2">
        <v>189000</v>
      </c>
      <c r="F7148" t="s">
        <v>4567</v>
      </c>
      <c r="G7148" s="17" t="str">
        <f>HYPERLINK("https://www.washoecounty.gov/assessor/cama/?command=sales&amp;parid=51819309","3885828")</f>
        <v>3885828</v>
      </c>
      <c r="H7148" t="s">
        <v>4969</v>
      </c>
      <c r="I7148">
        <v>1991</v>
      </c>
      <c r="J7148">
        <v>1991</v>
      </c>
      <c r="K7148" t="s">
        <v>4554</v>
      </c>
      <c r="L7148" t="s">
        <v>3974</v>
      </c>
      <c r="M7148" s="2">
        <v>1773</v>
      </c>
      <c r="N7148" t="s">
        <v>5280</v>
      </c>
      <c r="O7148">
        <v>4</v>
      </c>
      <c r="P7148">
        <v>3</v>
      </c>
      <c r="Q7148">
        <v>0</v>
      </c>
      <c r="R7148" t="s">
        <v>4557</v>
      </c>
      <c r="S7148" t="s">
        <v>4558</v>
      </c>
      <c r="T7148" t="s">
        <v>2704</v>
      </c>
      <c r="U7148" t="s">
        <v>4560</v>
      </c>
      <c r="V7148" s="2">
        <v>550</v>
      </c>
      <c r="W7148" t="s">
        <v>4655</v>
      </c>
      <c r="X7148" s="2">
        <v>0</v>
      </c>
      <c r="Y7148">
        <v>20</v>
      </c>
      <c r="Z7148" t="s">
        <v>4051</v>
      </c>
      <c r="AA7148" s="3">
        <v>0.34499540925025901</v>
      </c>
      <c r="AB7148" t="s">
        <v>33952</v>
      </c>
      <c r="AC7148" t="s">
        <v>4562</v>
      </c>
      <c r="AD7148" t="s">
        <v>33951</v>
      </c>
      <c r="AE7148" t="s">
        <v>4655</v>
      </c>
      <c r="AF7148" t="s">
        <v>5201</v>
      </c>
      <c r="AG7148" t="s">
        <v>4564</v>
      </c>
      <c r="AH7148" t="s">
        <v>1605</v>
      </c>
      <c r="AI7148" t="s">
        <v>33953</v>
      </c>
      <c r="AJ7148" t="s">
        <v>33954</v>
      </c>
      <c r="AK7148" t="s">
        <v>33955</v>
      </c>
      <c r="AL7148" s="13" t="s">
        <v>1886</v>
      </c>
      <c r="AM7148" s="14">
        <v>1</v>
      </c>
      <c r="AN7148" s="15" t="s">
        <v>1984</v>
      </c>
    </row>
    <row r="7149" spans="1:40" x14ac:dyDescent="0.3">
      <c r="A7149" s="10" t="str">
        <f>HYPERLINK("http://www.washoecounty.gov/assessor/cama/?parid=518-201-02&amp;CardNumber=1","518-201-02")</f>
        <v>518-201-02</v>
      </c>
      <c r="B7149" t="s">
        <v>4655</v>
      </c>
      <c r="C7149" t="s">
        <v>33956</v>
      </c>
      <c r="D7149" s="1">
        <v>40378</v>
      </c>
      <c r="E7149" s="2">
        <v>225000</v>
      </c>
      <c r="F7149" t="s">
        <v>4567</v>
      </c>
      <c r="G7149" s="17" t="str">
        <f>HYPERLINK("https://www.washoecounty.gov/assessor/cama/?command=sales&amp;parid=51820102","3902485")</f>
        <v>3902485</v>
      </c>
      <c r="H7149" t="s">
        <v>1302</v>
      </c>
      <c r="I7149">
        <v>1993</v>
      </c>
      <c r="J7149">
        <v>1993</v>
      </c>
      <c r="K7149" t="s">
        <v>4554</v>
      </c>
      <c r="L7149" t="s">
        <v>3974</v>
      </c>
      <c r="M7149" s="2">
        <v>2648</v>
      </c>
      <c r="N7149" t="s">
        <v>5280</v>
      </c>
      <c r="O7149">
        <v>5</v>
      </c>
      <c r="P7149">
        <v>3</v>
      </c>
      <c r="Q7149">
        <v>0</v>
      </c>
      <c r="R7149" t="s">
        <v>4557</v>
      </c>
      <c r="S7149" t="s">
        <v>4558</v>
      </c>
      <c r="T7149" t="s">
        <v>2704</v>
      </c>
      <c r="U7149" t="s">
        <v>5631</v>
      </c>
      <c r="V7149" s="2">
        <v>630</v>
      </c>
      <c r="W7149" t="s">
        <v>4655</v>
      </c>
      <c r="X7149" s="2">
        <v>0</v>
      </c>
      <c r="Y7149">
        <v>20</v>
      </c>
      <c r="Z7149" t="s">
        <v>1604</v>
      </c>
      <c r="AA7149" s="3">
        <v>0.24600550532341001</v>
      </c>
      <c r="AB7149" t="s">
        <v>33957</v>
      </c>
      <c r="AC7149" t="s">
        <v>4562</v>
      </c>
      <c r="AD7149" t="s">
        <v>33956</v>
      </c>
      <c r="AE7149" t="s">
        <v>4655</v>
      </c>
      <c r="AF7149" t="s">
        <v>5201</v>
      </c>
      <c r="AG7149" t="s">
        <v>4564</v>
      </c>
      <c r="AH7149" t="s">
        <v>1605</v>
      </c>
      <c r="AI7149" t="s">
        <v>33958</v>
      </c>
      <c r="AJ7149" t="s">
        <v>33959</v>
      </c>
      <c r="AK7149" t="s">
        <v>33960</v>
      </c>
      <c r="AL7149" s="13" t="s">
        <v>1886</v>
      </c>
      <c r="AM7149" s="14">
        <v>1</v>
      </c>
      <c r="AN7149" s="15" t="s">
        <v>1984</v>
      </c>
    </row>
    <row r="7150" spans="1:40" x14ac:dyDescent="0.3">
      <c r="A7150" s="10" t="str">
        <f>HYPERLINK("http://www.washoecounty.gov/assessor/cama/?parid=518-202-08&amp;CardNumber=1","518-202-08")</f>
        <v>518-202-08</v>
      </c>
      <c r="B7150" t="s">
        <v>4655</v>
      </c>
      <c r="C7150" t="s">
        <v>33961</v>
      </c>
      <c r="D7150" s="1">
        <v>40437</v>
      </c>
      <c r="E7150" s="2">
        <v>255000</v>
      </c>
      <c r="F7150" t="s">
        <v>4567</v>
      </c>
      <c r="G7150" s="17" t="str">
        <f>HYPERLINK("https://www.washoecounty.gov/assessor/cama/?command=sales&amp;parid=51820208","3923110")</f>
        <v>3923110</v>
      </c>
      <c r="H7150" t="s">
        <v>1302</v>
      </c>
      <c r="I7150">
        <v>1993</v>
      </c>
      <c r="J7150">
        <v>1993</v>
      </c>
      <c r="K7150" t="s">
        <v>4554</v>
      </c>
      <c r="L7150" t="s">
        <v>3974</v>
      </c>
      <c r="M7150" s="2">
        <v>2652</v>
      </c>
      <c r="N7150" t="s">
        <v>5280</v>
      </c>
      <c r="O7150">
        <v>5</v>
      </c>
      <c r="P7150">
        <v>3</v>
      </c>
      <c r="Q7150">
        <v>0</v>
      </c>
      <c r="R7150" t="s">
        <v>4557</v>
      </c>
      <c r="S7150" t="s">
        <v>4558</v>
      </c>
      <c r="T7150" t="s">
        <v>2704</v>
      </c>
      <c r="U7150" t="s">
        <v>5631</v>
      </c>
      <c r="V7150" s="2">
        <v>630</v>
      </c>
      <c r="W7150" t="s">
        <v>4655</v>
      </c>
      <c r="X7150" s="2">
        <v>0</v>
      </c>
      <c r="Y7150">
        <v>20</v>
      </c>
      <c r="Z7150" t="s">
        <v>1604</v>
      </c>
      <c r="AA7150" s="3">
        <v>0.25599172711372398</v>
      </c>
      <c r="AB7150" t="s">
        <v>33962</v>
      </c>
      <c r="AC7150" t="s">
        <v>4562</v>
      </c>
      <c r="AD7150" t="s">
        <v>33963</v>
      </c>
      <c r="AE7150" t="s">
        <v>4655</v>
      </c>
      <c r="AF7150" t="s">
        <v>2798</v>
      </c>
      <c r="AG7150" t="s">
        <v>4584</v>
      </c>
      <c r="AH7150" t="s">
        <v>33964</v>
      </c>
      <c r="AI7150" t="s">
        <v>32824</v>
      </c>
      <c r="AJ7150" t="s">
        <v>33965</v>
      </c>
      <c r="AK7150" t="s">
        <v>33966</v>
      </c>
      <c r="AL7150" s="13" t="s">
        <v>1886</v>
      </c>
      <c r="AM7150" s="14">
        <v>1</v>
      </c>
      <c r="AN7150" s="15" t="s">
        <v>1984</v>
      </c>
    </row>
    <row r="7151" spans="1:40" x14ac:dyDescent="0.3">
      <c r="A7151" s="10" t="str">
        <f>HYPERLINK("http://www.washoecounty.gov/assessor/cama/?parid=518-212-15&amp;CardNumber=1","518-212-15")</f>
        <v>518-212-15</v>
      </c>
      <c r="B7151" t="s">
        <v>4655</v>
      </c>
      <c r="C7151" t="s">
        <v>33967</v>
      </c>
      <c r="D7151" s="1">
        <v>40204</v>
      </c>
      <c r="E7151" s="2">
        <v>200000</v>
      </c>
      <c r="F7151" t="s">
        <v>4567</v>
      </c>
      <c r="G7151" s="17" t="str">
        <f>HYPERLINK("https://www.washoecounty.gov/assessor/cama/?command=sales&amp;parid=51821215","3842796")</f>
        <v>3842796</v>
      </c>
      <c r="H7151" t="s">
        <v>1302</v>
      </c>
      <c r="I7151">
        <v>1993</v>
      </c>
      <c r="J7151">
        <v>1993</v>
      </c>
      <c r="K7151" t="s">
        <v>4554</v>
      </c>
      <c r="L7151" t="s">
        <v>4555</v>
      </c>
      <c r="M7151" s="2">
        <v>1730</v>
      </c>
      <c r="N7151" t="s">
        <v>5280</v>
      </c>
      <c r="O7151">
        <v>3</v>
      </c>
      <c r="P7151">
        <v>2</v>
      </c>
      <c r="Q7151">
        <v>0</v>
      </c>
      <c r="R7151" t="s">
        <v>4557</v>
      </c>
      <c r="S7151" t="s">
        <v>4558</v>
      </c>
      <c r="T7151" t="s">
        <v>2704</v>
      </c>
      <c r="U7151" t="s">
        <v>4560</v>
      </c>
      <c r="V7151" s="2">
        <v>591</v>
      </c>
      <c r="W7151" t="s">
        <v>4655</v>
      </c>
      <c r="X7151" s="2">
        <v>0</v>
      </c>
      <c r="Y7151">
        <v>20</v>
      </c>
      <c r="Z7151" t="s">
        <v>1604</v>
      </c>
      <c r="AA7151" s="3">
        <v>0.26400366425514199</v>
      </c>
      <c r="AB7151" t="s">
        <v>33968</v>
      </c>
      <c r="AC7151" t="s">
        <v>4562</v>
      </c>
      <c r="AD7151" t="s">
        <v>33969</v>
      </c>
      <c r="AE7151" t="s">
        <v>4655</v>
      </c>
      <c r="AF7151" t="s">
        <v>4809</v>
      </c>
      <c r="AG7151" t="s">
        <v>4564</v>
      </c>
      <c r="AH7151" t="s">
        <v>1605</v>
      </c>
      <c r="AI7151" t="s">
        <v>33970</v>
      </c>
      <c r="AJ7151" t="s">
        <v>33971</v>
      </c>
      <c r="AK7151" t="s">
        <v>33972</v>
      </c>
      <c r="AL7151" s="13" t="s">
        <v>1886</v>
      </c>
      <c r="AM7151" s="14">
        <v>1</v>
      </c>
      <c r="AN7151" s="15" t="s">
        <v>1984</v>
      </c>
    </row>
    <row r="7152" spans="1:40" x14ac:dyDescent="0.3">
      <c r="A7152" s="10" t="str">
        <f>HYPERLINK("http://www.washoecounty.gov/assessor/cama/?parid=518-215-06&amp;CardNumber=1","518-215-06")</f>
        <v>518-215-06</v>
      </c>
      <c r="B7152" t="s">
        <v>4655</v>
      </c>
      <c r="C7152" t="s">
        <v>33973</v>
      </c>
      <c r="D7152" s="1">
        <v>40343</v>
      </c>
      <c r="E7152" s="2">
        <v>214900</v>
      </c>
      <c r="F7152" t="s">
        <v>4567</v>
      </c>
      <c r="G7152" s="17" t="str">
        <f>HYPERLINK("https://www.washoecounty.gov/assessor/cama/?command=sales&amp;parid=51821506","3891527")</f>
        <v>3891527</v>
      </c>
      <c r="H7152" t="s">
        <v>1302</v>
      </c>
      <c r="I7152">
        <v>1993</v>
      </c>
      <c r="J7152">
        <v>1993</v>
      </c>
      <c r="K7152" t="s">
        <v>4554</v>
      </c>
      <c r="L7152" t="s">
        <v>4555</v>
      </c>
      <c r="M7152" s="2">
        <v>1734</v>
      </c>
      <c r="N7152" t="s">
        <v>5280</v>
      </c>
      <c r="O7152">
        <v>3</v>
      </c>
      <c r="P7152">
        <v>2</v>
      </c>
      <c r="Q7152">
        <v>0</v>
      </c>
      <c r="R7152" t="s">
        <v>5281</v>
      </c>
      <c r="S7152" t="s">
        <v>4558</v>
      </c>
      <c r="T7152" t="s">
        <v>2704</v>
      </c>
      <c r="U7152" t="s">
        <v>4560</v>
      </c>
      <c r="V7152" s="2">
        <v>609</v>
      </c>
      <c r="W7152" t="s">
        <v>4655</v>
      </c>
      <c r="X7152" s="2">
        <v>0</v>
      </c>
      <c r="Y7152">
        <v>20</v>
      </c>
      <c r="Z7152" t="s">
        <v>1604</v>
      </c>
      <c r="AA7152" s="3">
        <v>0.24800275266170499</v>
      </c>
      <c r="AB7152" t="s">
        <v>33974</v>
      </c>
      <c r="AC7152" t="s">
        <v>4562</v>
      </c>
      <c r="AD7152" t="s">
        <v>33973</v>
      </c>
      <c r="AE7152" t="s">
        <v>4655</v>
      </c>
      <c r="AF7152" t="s">
        <v>5201</v>
      </c>
      <c r="AG7152" t="s">
        <v>4564</v>
      </c>
      <c r="AH7152" t="s">
        <v>1605</v>
      </c>
      <c r="AI7152" t="s">
        <v>33975</v>
      </c>
      <c r="AJ7152" t="s">
        <v>33976</v>
      </c>
      <c r="AK7152" t="s">
        <v>33977</v>
      </c>
      <c r="AL7152" s="13" t="s">
        <v>1886</v>
      </c>
      <c r="AM7152">
        <v>1</v>
      </c>
      <c r="AN7152" s="15" t="s">
        <v>1984</v>
      </c>
    </row>
    <row r="7153" spans="1:40" x14ac:dyDescent="0.3">
      <c r="A7153" s="10" t="str">
        <f>HYPERLINK("http://www.washoecounty.gov/assessor/cama/?parid=518-224-01&amp;CardNumber=1","518-224-01")</f>
        <v>518-224-01</v>
      </c>
      <c r="B7153" t="s">
        <v>4655</v>
      </c>
      <c r="C7153" t="s">
        <v>33978</v>
      </c>
      <c r="D7153" s="1">
        <v>40260</v>
      </c>
      <c r="E7153" s="2">
        <v>228000</v>
      </c>
      <c r="F7153" t="s">
        <v>4553</v>
      </c>
      <c r="G7153" s="17" t="str">
        <f>HYPERLINK("https://www.washoecounty.gov/assessor/cama/?command=sales&amp;parid=51822401","3862993")</f>
        <v>3862993</v>
      </c>
      <c r="H7153" t="s">
        <v>1302</v>
      </c>
      <c r="I7153">
        <v>1992</v>
      </c>
      <c r="J7153">
        <v>1992</v>
      </c>
      <c r="K7153" t="s">
        <v>4554</v>
      </c>
      <c r="L7153" t="s">
        <v>3974</v>
      </c>
      <c r="M7153" s="2">
        <v>2633</v>
      </c>
      <c r="N7153" t="s">
        <v>5280</v>
      </c>
      <c r="O7153">
        <v>5</v>
      </c>
      <c r="P7153">
        <v>3</v>
      </c>
      <c r="Q7153">
        <v>0</v>
      </c>
      <c r="R7153" t="s">
        <v>4557</v>
      </c>
      <c r="S7153" t="s">
        <v>4558</v>
      </c>
      <c r="T7153" t="s">
        <v>2704</v>
      </c>
      <c r="U7153" t="s">
        <v>5631</v>
      </c>
      <c r="V7153" s="2">
        <v>630</v>
      </c>
      <c r="W7153" t="s">
        <v>4655</v>
      </c>
      <c r="X7153" s="2">
        <v>0</v>
      </c>
      <c r="Y7153">
        <v>20</v>
      </c>
      <c r="Z7153" t="s">
        <v>1604</v>
      </c>
      <c r="AA7153" s="3">
        <v>0.42800733447074901</v>
      </c>
      <c r="AB7153" t="s">
        <v>33979</v>
      </c>
      <c r="AC7153" t="s">
        <v>4562</v>
      </c>
      <c r="AD7153" t="s">
        <v>33978</v>
      </c>
      <c r="AE7153" t="s">
        <v>4655</v>
      </c>
      <c r="AF7153" t="s">
        <v>5201</v>
      </c>
      <c r="AG7153" t="s">
        <v>4564</v>
      </c>
      <c r="AH7153" t="s">
        <v>1605</v>
      </c>
      <c r="AI7153" t="s">
        <v>687</v>
      </c>
      <c r="AJ7153" t="s">
        <v>33980</v>
      </c>
      <c r="AK7153" t="s">
        <v>33981</v>
      </c>
      <c r="AL7153" s="13" t="s">
        <v>1886</v>
      </c>
      <c r="AM7153">
        <v>1</v>
      </c>
      <c r="AN7153" s="15" t="s">
        <v>1984</v>
      </c>
    </row>
    <row r="7154" spans="1:40" x14ac:dyDescent="0.3">
      <c r="A7154" s="10" t="str">
        <f>HYPERLINK("http://www.washoecounty.gov/assessor/cama/?parid=518-224-03&amp;CardNumber=1","518-224-03")</f>
        <v>518-224-03</v>
      </c>
      <c r="B7154" t="s">
        <v>4655</v>
      </c>
      <c r="C7154" t="s">
        <v>33982</v>
      </c>
      <c r="D7154" s="1">
        <v>40235</v>
      </c>
      <c r="E7154" s="2">
        <v>199000</v>
      </c>
      <c r="F7154" t="s">
        <v>4553</v>
      </c>
      <c r="G7154" s="17" t="str">
        <f>HYPERLINK("https://www.washoecounty.gov/assessor/cama/?command=sales&amp;parid=51822403","3853304")</f>
        <v>3853304</v>
      </c>
      <c r="H7154" t="s">
        <v>1302</v>
      </c>
      <c r="I7154">
        <v>1992</v>
      </c>
      <c r="J7154">
        <v>1992</v>
      </c>
      <c r="K7154" t="s">
        <v>4554</v>
      </c>
      <c r="L7154" t="s">
        <v>4555</v>
      </c>
      <c r="M7154" s="2">
        <v>1983</v>
      </c>
      <c r="N7154" t="s">
        <v>5280</v>
      </c>
      <c r="O7154">
        <v>4</v>
      </c>
      <c r="P7154">
        <v>2</v>
      </c>
      <c r="Q7154">
        <v>0</v>
      </c>
      <c r="R7154" t="s">
        <v>4557</v>
      </c>
      <c r="S7154" t="s">
        <v>4558</v>
      </c>
      <c r="T7154" t="s">
        <v>2704</v>
      </c>
      <c r="U7154" t="s">
        <v>4560</v>
      </c>
      <c r="V7154" s="2">
        <v>544</v>
      </c>
      <c r="W7154" t="s">
        <v>4655</v>
      </c>
      <c r="X7154" s="2">
        <v>0</v>
      </c>
      <c r="Y7154">
        <v>20</v>
      </c>
      <c r="Z7154" t="s">
        <v>1604</v>
      </c>
      <c r="AA7154" s="3">
        <v>0.237006425857544</v>
      </c>
      <c r="AB7154" t="s">
        <v>33983</v>
      </c>
      <c r="AC7154" t="s">
        <v>4562</v>
      </c>
      <c r="AD7154" t="s">
        <v>33982</v>
      </c>
      <c r="AE7154" t="s">
        <v>4655</v>
      </c>
      <c r="AF7154" t="s">
        <v>5201</v>
      </c>
      <c r="AG7154" t="s">
        <v>4564</v>
      </c>
      <c r="AH7154" t="s">
        <v>1605</v>
      </c>
      <c r="AI7154" t="s">
        <v>4565</v>
      </c>
      <c r="AJ7154" t="s">
        <v>33984</v>
      </c>
      <c r="AK7154" t="s">
        <v>33985</v>
      </c>
      <c r="AL7154" s="13" t="s">
        <v>1886</v>
      </c>
      <c r="AM7154">
        <v>1</v>
      </c>
      <c r="AN7154" s="15" t="s">
        <v>1984</v>
      </c>
    </row>
    <row r="7155" spans="1:40" x14ac:dyDescent="0.3">
      <c r="A7155" s="10" t="str">
        <f>HYPERLINK("http://www.washoecounty.gov/assessor/cama/?parid=518-232-04&amp;CardNumber=1","518-232-04")</f>
        <v>518-232-04</v>
      </c>
      <c r="B7155" t="s">
        <v>4655</v>
      </c>
      <c r="C7155" t="s">
        <v>33986</v>
      </c>
      <c r="D7155" s="1">
        <v>40343</v>
      </c>
      <c r="E7155" s="2">
        <v>185000</v>
      </c>
      <c r="F7155" t="s">
        <v>4567</v>
      </c>
      <c r="G7155" s="17" t="str">
        <f>HYPERLINK("https://www.washoecounty.gov/assessor/cama/?command=sales&amp;parid=51823204","3891559")</f>
        <v>3891559</v>
      </c>
      <c r="H7155" t="s">
        <v>2995</v>
      </c>
      <c r="I7155">
        <v>1991</v>
      </c>
      <c r="J7155">
        <v>1991</v>
      </c>
      <c r="K7155" t="s">
        <v>4554</v>
      </c>
      <c r="L7155" t="s">
        <v>4555</v>
      </c>
      <c r="M7155" s="2">
        <v>1495</v>
      </c>
      <c r="N7155" t="s">
        <v>5280</v>
      </c>
      <c r="O7155">
        <v>3</v>
      </c>
      <c r="P7155">
        <v>2</v>
      </c>
      <c r="Q7155">
        <v>0</v>
      </c>
      <c r="R7155" t="s">
        <v>5281</v>
      </c>
      <c r="S7155" t="s">
        <v>4558</v>
      </c>
      <c r="T7155" t="s">
        <v>2704</v>
      </c>
      <c r="U7155" t="s">
        <v>4560</v>
      </c>
      <c r="V7155" s="2">
        <v>550</v>
      </c>
      <c r="W7155" t="s">
        <v>4655</v>
      </c>
      <c r="X7155" s="2">
        <v>0</v>
      </c>
      <c r="Y7155">
        <v>20</v>
      </c>
      <c r="Z7155" t="s">
        <v>4051</v>
      </c>
      <c r="AA7155" s="3">
        <v>0.21999540925025901</v>
      </c>
      <c r="AB7155" t="s">
        <v>33987</v>
      </c>
      <c r="AC7155" t="s">
        <v>4562</v>
      </c>
      <c r="AD7155" t="s">
        <v>33986</v>
      </c>
      <c r="AE7155" t="s">
        <v>4655</v>
      </c>
      <c r="AF7155" t="s">
        <v>5201</v>
      </c>
      <c r="AG7155" t="s">
        <v>4564</v>
      </c>
      <c r="AH7155" t="s">
        <v>1605</v>
      </c>
      <c r="AI7155" t="s">
        <v>33988</v>
      </c>
      <c r="AJ7155" t="s">
        <v>33989</v>
      </c>
      <c r="AK7155" t="s">
        <v>33990</v>
      </c>
      <c r="AL7155" s="13" t="s">
        <v>1886</v>
      </c>
      <c r="AM7155" s="14">
        <v>1</v>
      </c>
      <c r="AN7155" s="15" t="s">
        <v>1984</v>
      </c>
    </row>
    <row r="7156" spans="1:40" x14ac:dyDescent="0.3">
      <c r="A7156" s="10" t="str">
        <f>HYPERLINK("http://www.washoecounty.gov/assessor/cama/?parid=518-232-09&amp;CardNumber=1","518-232-09")</f>
        <v>518-232-09</v>
      </c>
      <c r="B7156" t="s">
        <v>4655</v>
      </c>
      <c r="C7156" t="s">
        <v>33991</v>
      </c>
      <c r="D7156" s="1">
        <v>40260</v>
      </c>
      <c r="E7156" s="2">
        <v>264895</v>
      </c>
      <c r="F7156" t="s">
        <v>4567</v>
      </c>
      <c r="G7156" s="17" t="str">
        <f>HYPERLINK("https://www.washoecounty.gov/assessor/cama/?command=sales&amp;parid=51823209","3862968")</f>
        <v>3862968</v>
      </c>
      <c r="H7156" t="s">
        <v>2995</v>
      </c>
      <c r="I7156">
        <v>1991</v>
      </c>
      <c r="J7156">
        <v>1992</v>
      </c>
      <c r="K7156" t="s">
        <v>4554</v>
      </c>
      <c r="L7156" t="s">
        <v>3974</v>
      </c>
      <c r="M7156" s="2">
        <v>2693</v>
      </c>
      <c r="N7156" t="s">
        <v>5280</v>
      </c>
      <c r="O7156">
        <v>4</v>
      </c>
      <c r="P7156">
        <v>2</v>
      </c>
      <c r="Q7156">
        <v>1</v>
      </c>
      <c r="R7156" t="s">
        <v>5281</v>
      </c>
      <c r="S7156" t="s">
        <v>4558</v>
      </c>
      <c r="T7156" t="s">
        <v>2704</v>
      </c>
      <c r="U7156" t="s">
        <v>4560</v>
      </c>
      <c r="V7156" s="2">
        <v>616</v>
      </c>
      <c r="W7156" t="s">
        <v>4655</v>
      </c>
      <c r="X7156" s="2">
        <v>0</v>
      </c>
      <c r="Y7156">
        <v>20</v>
      </c>
      <c r="Z7156" t="s">
        <v>4051</v>
      </c>
      <c r="AA7156" s="3">
        <v>0.21999540925025901</v>
      </c>
      <c r="AB7156" t="s">
        <v>33992</v>
      </c>
      <c r="AC7156" t="s">
        <v>4562</v>
      </c>
      <c r="AD7156" t="s">
        <v>33991</v>
      </c>
      <c r="AE7156" t="s">
        <v>4655</v>
      </c>
      <c r="AF7156" t="s">
        <v>5201</v>
      </c>
      <c r="AG7156" t="s">
        <v>4564</v>
      </c>
      <c r="AH7156" t="s">
        <v>1605</v>
      </c>
      <c r="AI7156" t="s">
        <v>33993</v>
      </c>
      <c r="AJ7156" t="s">
        <v>33994</v>
      </c>
      <c r="AK7156" t="s">
        <v>33995</v>
      </c>
      <c r="AL7156" s="13" t="s">
        <v>1886</v>
      </c>
      <c r="AM7156">
        <v>1</v>
      </c>
      <c r="AN7156" s="15" t="s">
        <v>1984</v>
      </c>
    </row>
    <row r="7157" spans="1:40" x14ac:dyDescent="0.3">
      <c r="A7157" s="10" t="str">
        <f>HYPERLINK("http://www.washoecounty.gov/assessor/cama/?parid=518-242-03&amp;CardNumber=1","518-242-03")</f>
        <v>518-242-03</v>
      </c>
      <c r="B7157" t="s">
        <v>4655</v>
      </c>
      <c r="C7157" t="s">
        <v>33996</v>
      </c>
      <c r="D7157" s="1">
        <v>40260</v>
      </c>
      <c r="E7157" s="2">
        <v>178000</v>
      </c>
      <c r="F7157" t="s">
        <v>4567</v>
      </c>
      <c r="G7157" s="17" t="str">
        <f>HYPERLINK("https://www.washoecounty.gov/assessor/cama/?command=sales&amp;parid=51824203","3862933")</f>
        <v>3862933</v>
      </c>
      <c r="H7157" t="s">
        <v>2995</v>
      </c>
      <c r="I7157">
        <v>1991</v>
      </c>
      <c r="J7157">
        <v>1991</v>
      </c>
      <c r="K7157" t="s">
        <v>4554</v>
      </c>
      <c r="L7157" t="s">
        <v>3974</v>
      </c>
      <c r="M7157" s="2">
        <v>2372</v>
      </c>
      <c r="N7157" t="s">
        <v>5280</v>
      </c>
      <c r="O7157">
        <v>4</v>
      </c>
      <c r="P7157">
        <v>2</v>
      </c>
      <c r="Q7157">
        <v>1</v>
      </c>
      <c r="R7157" t="s">
        <v>5281</v>
      </c>
      <c r="S7157" t="s">
        <v>4558</v>
      </c>
      <c r="T7157" t="s">
        <v>2704</v>
      </c>
      <c r="U7157" t="s">
        <v>4560</v>
      </c>
      <c r="V7157" s="2">
        <v>616</v>
      </c>
      <c r="W7157" t="s">
        <v>4655</v>
      </c>
      <c r="X7157" s="2">
        <v>0</v>
      </c>
      <c r="Y7157">
        <v>20</v>
      </c>
      <c r="Z7157" t="s">
        <v>4051</v>
      </c>
      <c r="AA7157" s="3">
        <v>0.146992653608322</v>
      </c>
      <c r="AB7157" t="s">
        <v>33997</v>
      </c>
      <c r="AC7157" t="s">
        <v>4562</v>
      </c>
      <c r="AD7157" t="s">
        <v>33996</v>
      </c>
      <c r="AE7157" t="s">
        <v>4655</v>
      </c>
      <c r="AF7157" t="s">
        <v>5201</v>
      </c>
      <c r="AG7157" t="s">
        <v>4564</v>
      </c>
      <c r="AH7157" t="s">
        <v>1605</v>
      </c>
      <c r="AI7157" t="s">
        <v>33998</v>
      </c>
      <c r="AJ7157" t="s">
        <v>33999</v>
      </c>
      <c r="AK7157" t="s">
        <v>34000</v>
      </c>
      <c r="AL7157" s="13" t="s">
        <v>1886</v>
      </c>
      <c r="AM7157" s="14">
        <v>1</v>
      </c>
      <c r="AN7157" s="15" t="s">
        <v>1984</v>
      </c>
    </row>
    <row r="7158" spans="1:40" x14ac:dyDescent="0.3">
      <c r="A7158" s="10" t="str">
        <f>HYPERLINK("http://www.washoecounty.gov/assessor/cama/?parid=518-272-10&amp;CardNumber=1","518-272-10")</f>
        <v>518-272-10</v>
      </c>
      <c r="B7158" t="s">
        <v>4655</v>
      </c>
      <c r="C7158" t="s">
        <v>34001</v>
      </c>
      <c r="D7158" s="1">
        <v>40415</v>
      </c>
      <c r="E7158" s="2">
        <v>180500</v>
      </c>
      <c r="F7158" t="s">
        <v>4567</v>
      </c>
      <c r="G7158" s="17" t="str">
        <f>HYPERLINK("https://www.washoecounty.gov/assessor/cama/?command=sales&amp;parid=51827210","3915601")</f>
        <v>3915601</v>
      </c>
      <c r="H7158" t="s">
        <v>911</v>
      </c>
      <c r="I7158">
        <v>1995</v>
      </c>
      <c r="J7158">
        <v>1995</v>
      </c>
      <c r="K7158" t="s">
        <v>4554</v>
      </c>
      <c r="L7158" t="s">
        <v>3974</v>
      </c>
      <c r="M7158" s="2">
        <v>1923</v>
      </c>
      <c r="N7158" t="s">
        <v>5280</v>
      </c>
      <c r="O7158">
        <v>4</v>
      </c>
      <c r="P7158">
        <v>3</v>
      </c>
      <c r="Q7158">
        <v>0</v>
      </c>
      <c r="R7158" t="s">
        <v>5281</v>
      </c>
      <c r="S7158" t="s">
        <v>4558</v>
      </c>
      <c r="T7158" t="s">
        <v>2704</v>
      </c>
      <c r="U7158" t="s">
        <v>4560</v>
      </c>
      <c r="V7158" s="2">
        <v>624</v>
      </c>
      <c r="W7158" t="s">
        <v>4655</v>
      </c>
      <c r="X7158" s="2">
        <v>0</v>
      </c>
      <c r="Y7158">
        <v>20</v>
      </c>
      <c r="Z7158" t="s">
        <v>1604</v>
      </c>
      <c r="AA7158" s="3">
        <v>0.16900826990604401</v>
      </c>
      <c r="AB7158" t="s">
        <v>912</v>
      </c>
      <c r="AC7158" t="s">
        <v>4562</v>
      </c>
      <c r="AD7158" t="s">
        <v>913</v>
      </c>
      <c r="AE7158" t="s">
        <v>4655</v>
      </c>
      <c r="AF7158" t="s">
        <v>914</v>
      </c>
      <c r="AG7158" t="s">
        <v>4564</v>
      </c>
      <c r="AH7158">
        <v>89406</v>
      </c>
      <c r="AI7158" t="s">
        <v>4655</v>
      </c>
      <c r="AJ7158" t="s">
        <v>502</v>
      </c>
      <c r="AK7158" t="s">
        <v>34002</v>
      </c>
      <c r="AL7158" s="13" t="s">
        <v>1886</v>
      </c>
      <c r="AM7158">
        <v>1</v>
      </c>
      <c r="AN7158" s="15" t="s">
        <v>1984</v>
      </c>
    </row>
    <row r="7159" spans="1:40" x14ac:dyDescent="0.3">
      <c r="A7159" s="10" t="str">
        <f>HYPERLINK("http://www.washoecounty.gov/assessor/cama/?parid=518-291-09&amp;CardNumber=1","518-291-09")</f>
        <v>518-291-09</v>
      </c>
      <c r="B7159" t="s">
        <v>4655</v>
      </c>
      <c r="C7159" t="s">
        <v>34003</v>
      </c>
      <c r="D7159" s="1">
        <v>40269</v>
      </c>
      <c r="E7159" s="2">
        <v>195000</v>
      </c>
      <c r="F7159" t="s">
        <v>4567</v>
      </c>
      <c r="G7159" s="17" t="str">
        <f>HYPERLINK("https://www.washoecounty.gov/assessor/cama/?command=sales&amp;parid=51829109","3866777")</f>
        <v>3866777</v>
      </c>
      <c r="H7159" t="s">
        <v>375</v>
      </c>
      <c r="I7159">
        <v>1995</v>
      </c>
      <c r="J7159">
        <v>1995</v>
      </c>
      <c r="K7159" t="s">
        <v>4554</v>
      </c>
      <c r="L7159" t="s">
        <v>4555</v>
      </c>
      <c r="M7159" s="2">
        <v>1690</v>
      </c>
      <c r="N7159" t="s">
        <v>5280</v>
      </c>
      <c r="O7159">
        <v>3</v>
      </c>
      <c r="P7159">
        <v>2</v>
      </c>
      <c r="Q7159">
        <v>0</v>
      </c>
      <c r="R7159" t="s">
        <v>4557</v>
      </c>
      <c r="S7159" t="s">
        <v>4558</v>
      </c>
      <c r="T7159" t="s">
        <v>2704</v>
      </c>
      <c r="U7159" t="s">
        <v>4560</v>
      </c>
      <c r="V7159" s="2">
        <v>612</v>
      </c>
      <c r="W7159" t="s">
        <v>4655</v>
      </c>
      <c r="X7159" s="2">
        <v>0</v>
      </c>
      <c r="Y7159">
        <v>20</v>
      </c>
      <c r="Z7159" t="s">
        <v>1604</v>
      </c>
      <c r="AA7159" s="3">
        <v>0.16200642287731201</v>
      </c>
      <c r="AB7159" t="s">
        <v>34004</v>
      </c>
      <c r="AC7159" t="s">
        <v>4562</v>
      </c>
      <c r="AD7159" t="s">
        <v>34005</v>
      </c>
      <c r="AE7159" t="s">
        <v>4655</v>
      </c>
      <c r="AF7159" t="s">
        <v>5201</v>
      </c>
      <c r="AG7159" t="s">
        <v>4564</v>
      </c>
      <c r="AH7159" t="s">
        <v>5202</v>
      </c>
      <c r="AI7159" t="s">
        <v>4655</v>
      </c>
      <c r="AJ7159" t="s">
        <v>376</v>
      </c>
      <c r="AK7159" t="s">
        <v>34006</v>
      </c>
      <c r="AL7159" s="13" t="s">
        <v>1886</v>
      </c>
      <c r="AM7159" s="14">
        <v>1</v>
      </c>
      <c r="AN7159" s="15" t="s">
        <v>1984</v>
      </c>
    </row>
    <row r="7160" spans="1:40" x14ac:dyDescent="0.3">
      <c r="A7160" s="10" t="str">
        <f>HYPERLINK("http://www.washoecounty.gov/assessor/cama/?parid=518-382-04&amp;CardNumber=1","518-382-04")</f>
        <v>518-382-04</v>
      </c>
      <c r="B7160" t="s">
        <v>4655</v>
      </c>
      <c r="C7160" t="s">
        <v>34007</v>
      </c>
      <c r="D7160" s="1">
        <v>40344</v>
      </c>
      <c r="E7160" s="2">
        <v>173900</v>
      </c>
      <c r="F7160" t="s">
        <v>4567</v>
      </c>
      <c r="G7160" s="17" t="str">
        <f>HYPERLINK("https://www.washoecounty.gov/assessor/cama/?command=sales&amp;parid=51838204","3891776")</f>
        <v>3891776</v>
      </c>
      <c r="H7160" t="s">
        <v>34008</v>
      </c>
      <c r="I7160">
        <v>1998</v>
      </c>
      <c r="J7160">
        <v>1998</v>
      </c>
      <c r="K7160" t="s">
        <v>4554</v>
      </c>
      <c r="L7160" t="s">
        <v>4555</v>
      </c>
      <c r="M7160" s="2">
        <v>1500</v>
      </c>
      <c r="N7160" t="s">
        <v>5280</v>
      </c>
      <c r="O7160">
        <v>3</v>
      </c>
      <c r="P7160">
        <v>2</v>
      </c>
      <c r="Q7160">
        <v>0</v>
      </c>
      <c r="R7160" t="s">
        <v>4557</v>
      </c>
      <c r="S7160" t="s">
        <v>4558</v>
      </c>
      <c r="T7160" t="s">
        <v>2704</v>
      </c>
      <c r="U7160" t="s">
        <v>4560</v>
      </c>
      <c r="V7160" s="2">
        <v>594</v>
      </c>
      <c r="W7160" t="s">
        <v>4655</v>
      </c>
      <c r="X7160" s="2">
        <v>0</v>
      </c>
      <c r="Y7160">
        <v>20</v>
      </c>
      <c r="Z7160" t="s">
        <v>1604</v>
      </c>
      <c r="AA7160" s="3">
        <v>0.16299356520175901</v>
      </c>
      <c r="AB7160" t="s">
        <v>34009</v>
      </c>
      <c r="AC7160" t="s">
        <v>4562</v>
      </c>
      <c r="AD7160" t="s">
        <v>3490</v>
      </c>
      <c r="AE7160" t="s">
        <v>4655</v>
      </c>
      <c r="AF7160" t="s">
        <v>5201</v>
      </c>
      <c r="AG7160" t="s">
        <v>4564</v>
      </c>
      <c r="AH7160" t="s">
        <v>4126</v>
      </c>
      <c r="AI7160" t="s">
        <v>34009</v>
      </c>
      <c r="AJ7160" t="s">
        <v>34010</v>
      </c>
      <c r="AK7160" t="s">
        <v>34011</v>
      </c>
      <c r="AL7160" s="13" t="s">
        <v>1886</v>
      </c>
      <c r="AM7160">
        <v>1</v>
      </c>
      <c r="AN7160" s="15" t="s">
        <v>1987</v>
      </c>
    </row>
    <row r="7161" spans="1:40" x14ac:dyDescent="0.3">
      <c r="A7161" s="10" t="str">
        <f>HYPERLINK("http://www.washoecounty.gov/assessor/cama/?parid=518-384-09&amp;CardNumber=1","518-384-09")</f>
        <v>518-384-09</v>
      </c>
      <c r="B7161" t="s">
        <v>4655</v>
      </c>
      <c r="C7161" t="s">
        <v>34012</v>
      </c>
      <c r="D7161" s="1">
        <v>40357</v>
      </c>
      <c r="E7161" s="2">
        <v>191000</v>
      </c>
      <c r="F7161" t="s">
        <v>4567</v>
      </c>
      <c r="G7161" s="17" t="str">
        <f>HYPERLINK("https://www.washoecounty.gov/assessor/cama/?command=sales&amp;parid=51838409","3895743")</f>
        <v>3895743</v>
      </c>
      <c r="H7161" t="s">
        <v>34008</v>
      </c>
      <c r="I7161">
        <v>1996</v>
      </c>
      <c r="J7161">
        <v>1996</v>
      </c>
      <c r="K7161" t="s">
        <v>4554</v>
      </c>
      <c r="L7161" t="s">
        <v>3974</v>
      </c>
      <c r="M7161" s="2">
        <v>1943</v>
      </c>
      <c r="N7161" t="s">
        <v>5280</v>
      </c>
      <c r="O7161">
        <v>3</v>
      </c>
      <c r="P7161">
        <v>2</v>
      </c>
      <c r="Q7161">
        <v>1</v>
      </c>
      <c r="R7161" t="s">
        <v>5281</v>
      </c>
      <c r="S7161" t="s">
        <v>4558</v>
      </c>
      <c r="T7161" t="s">
        <v>2704</v>
      </c>
      <c r="U7161" t="s">
        <v>5631</v>
      </c>
      <c r="V7161" s="2">
        <v>656</v>
      </c>
      <c r="W7161" t="s">
        <v>4655</v>
      </c>
      <c r="X7161" s="2">
        <v>0</v>
      </c>
      <c r="Y7161">
        <v>20</v>
      </c>
      <c r="Z7161" t="s">
        <v>1604</v>
      </c>
      <c r="AA7161" s="3">
        <v>0.18599632382392883</v>
      </c>
      <c r="AB7161" t="s">
        <v>34013</v>
      </c>
      <c r="AC7161" t="s">
        <v>4562</v>
      </c>
      <c r="AD7161" t="s">
        <v>34014</v>
      </c>
      <c r="AE7161" t="s">
        <v>4655</v>
      </c>
      <c r="AF7161" t="s">
        <v>4809</v>
      </c>
      <c r="AG7161" t="s">
        <v>4564</v>
      </c>
      <c r="AH7161" t="s">
        <v>1605</v>
      </c>
      <c r="AI7161" t="s">
        <v>34015</v>
      </c>
      <c r="AJ7161" t="s">
        <v>34010</v>
      </c>
      <c r="AK7161" t="s">
        <v>34016</v>
      </c>
      <c r="AL7161" s="13" t="s">
        <v>1886</v>
      </c>
      <c r="AM7161" s="14">
        <v>1</v>
      </c>
      <c r="AN7161" s="15" t="s">
        <v>1987</v>
      </c>
    </row>
    <row r="7162" spans="1:40" x14ac:dyDescent="0.3">
      <c r="A7162" s="10" t="str">
        <f>HYPERLINK("http://www.washoecounty.gov/assessor/cama/?parid=518-391-07&amp;CardNumber=1","518-391-07")</f>
        <v>518-391-07</v>
      </c>
      <c r="B7162" t="s">
        <v>4655</v>
      </c>
      <c r="C7162" t="s">
        <v>34017</v>
      </c>
      <c r="D7162" s="1">
        <v>40471</v>
      </c>
      <c r="E7162" s="2">
        <v>225000</v>
      </c>
      <c r="F7162" t="s">
        <v>4567</v>
      </c>
      <c r="G7162" s="17" t="str">
        <f>HYPERLINK("https://www.washoecounty.gov/assessor/cama/?command=sales&amp;parid=51839107","3935051")</f>
        <v>3935051</v>
      </c>
      <c r="H7162" t="s">
        <v>34008</v>
      </c>
      <c r="I7162">
        <v>1997</v>
      </c>
      <c r="J7162">
        <v>1997</v>
      </c>
      <c r="K7162" t="s">
        <v>4554</v>
      </c>
      <c r="L7162" t="s">
        <v>3974</v>
      </c>
      <c r="M7162" s="2">
        <v>2174</v>
      </c>
      <c r="N7162" t="s">
        <v>5280</v>
      </c>
      <c r="O7162">
        <v>3</v>
      </c>
      <c r="P7162">
        <v>2</v>
      </c>
      <c r="Q7162">
        <v>1</v>
      </c>
      <c r="R7162" t="s">
        <v>5281</v>
      </c>
      <c r="S7162" t="s">
        <v>4558</v>
      </c>
      <c r="T7162" t="s">
        <v>2704</v>
      </c>
      <c r="U7162" t="s">
        <v>5631</v>
      </c>
      <c r="V7162" s="2">
        <v>682</v>
      </c>
      <c r="W7162" t="s">
        <v>4655</v>
      </c>
      <c r="X7162" s="2">
        <v>0</v>
      </c>
      <c r="Y7162">
        <v>20</v>
      </c>
      <c r="Z7162" t="s">
        <v>1604</v>
      </c>
      <c r="AA7162" s="3">
        <v>0.17800734937191001</v>
      </c>
      <c r="AB7162" t="s">
        <v>34018</v>
      </c>
      <c r="AC7162" t="s">
        <v>4562</v>
      </c>
      <c r="AD7162" t="s">
        <v>34017</v>
      </c>
      <c r="AE7162" t="s">
        <v>4655</v>
      </c>
      <c r="AF7162" t="s">
        <v>2899</v>
      </c>
      <c r="AG7162" t="s">
        <v>4564</v>
      </c>
      <c r="AH7162" t="s">
        <v>1605</v>
      </c>
      <c r="AI7162" t="s">
        <v>34019</v>
      </c>
      <c r="AJ7162" t="s">
        <v>34010</v>
      </c>
      <c r="AK7162" t="s">
        <v>34020</v>
      </c>
      <c r="AL7162" s="13" t="s">
        <v>1886</v>
      </c>
      <c r="AM7162">
        <v>1</v>
      </c>
      <c r="AN7162" s="15" t="s">
        <v>1987</v>
      </c>
    </row>
    <row r="7163" spans="1:40" x14ac:dyDescent="0.3">
      <c r="A7163" s="10" t="str">
        <f>HYPERLINK("http://www.washoecounty.gov/assessor/cama/?parid=518-392-03&amp;CardNumber=1","518-392-03")</f>
        <v>518-392-03</v>
      </c>
      <c r="B7163" t="s">
        <v>4655</v>
      </c>
      <c r="C7163" t="s">
        <v>34021</v>
      </c>
      <c r="D7163" s="1">
        <v>40254</v>
      </c>
      <c r="E7163" s="2">
        <v>190000</v>
      </c>
      <c r="F7163" t="s">
        <v>4567</v>
      </c>
      <c r="G7163" s="17" t="str">
        <f>HYPERLINK("https://www.washoecounty.gov/assessor/cama/?command=sales&amp;parid=51839203","3860844")</f>
        <v>3860844</v>
      </c>
      <c r="H7163" t="s">
        <v>34008</v>
      </c>
      <c r="I7163">
        <v>1997</v>
      </c>
      <c r="J7163">
        <v>1997</v>
      </c>
      <c r="K7163" t="s">
        <v>4554</v>
      </c>
      <c r="L7163" t="s">
        <v>4555</v>
      </c>
      <c r="M7163" s="2">
        <v>1736</v>
      </c>
      <c r="N7163" t="s">
        <v>5280</v>
      </c>
      <c r="O7163">
        <v>4</v>
      </c>
      <c r="P7163">
        <v>2</v>
      </c>
      <c r="Q7163">
        <v>0</v>
      </c>
      <c r="R7163" t="s">
        <v>5281</v>
      </c>
      <c r="S7163" t="s">
        <v>4558</v>
      </c>
      <c r="T7163" t="s">
        <v>2704</v>
      </c>
      <c r="U7163" t="s">
        <v>4560</v>
      </c>
      <c r="V7163" s="2">
        <v>410</v>
      </c>
      <c r="W7163" t="s">
        <v>4655</v>
      </c>
      <c r="X7163" s="2">
        <v>0</v>
      </c>
      <c r="Y7163">
        <v>20</v>
      </c>
      <c r="Z7163" t="s">
        <v>1604</v>
      </c>
      <c r="AA7163" s="3">
        <v>0.244008257985115</v>
      </c>
      <c r="AB7163" t="s">
        <v>34022</v>
      </c>
      <c r="AC7163" t="s">
        <v>4562</v>
      </c>
      <c r="AD7163" t="s">
        <v>34021</v>
      </c>
      <c r="AE7163" t="s">
        <v>4655</v>
      </c>
      <c r="AF7163" t="s">
        <v>5201</v>
      </c>
      <c r="AG7163" t="s">
        <v>4564</v>
      </c>
      <c r="AH7163" t="s">
        <v>1605</v>
      </c>
      <c r="AI7163" t="s">
        <v>34023</v>
      </c>
      <c r="AJ7163" t="s">
        <v>34010</v>
      </c>
      <c r="AK7163" t="s">
        <v>34024</v>
      </c>
      <c r="AL7163" s="13" t="s">
        <v>1886</v>
      </c>
      <c r="AM7163" s="14">
        <v>1</v>
      </c>
      <c r="AN7163" s="15" t="s">
        <v>1987</v>
      </c>
    </row>
    <row r="7164" spans="1:40" x14ac:dyDescent="0.3">
      <c r="A7164" s="10" t="str">
        <f>HYPERLINK("http://www.washoecounty.gov/assessor/cama/?parid=518-392-12&amp;CardNumber=1","518-392-12")</f>
        <v>518-392-12</v>
      </c>
      <c r="B7164" t="s">
        <v>4655</v>
      </c>
      <c r="C7164" t="s">
        <v>34025</v>
      </c>
      <c r="D7164" s="1">
        <v>40491</v>
      </c>
      <c r="E7164" s="2">
        <v>235600</v>
      </c>
      <c r="F7164" t="s">
        <v>4553</v>
      </c>
      <c r="G7164" s="17" t="str">
        <f>HYPERLINK("https://www.washoecounty.gov/assessor/cama/?command=sales&amp;parid=51839212","3941319")</f>
        <v>3941319</v>
      </c>
      <c r="H7164" t="s">
        <v>34008</v>
      </c>
      <c r="I7164">
        <v>1997</v>
      </c>
      <c r="J7164">
        <v>1997</v>
      </c>
      <c r="K7164" t="s">
        <v>4554</v>
      </c>
      <c r="L7164" t="s">
        <v>4555</v>
      </c>
      <c r="M7164" s="2">
        <v>1876</v>
      </c>
      <c r="N7164" t="s">
        <v>5280</v>
      </c>
      <c r="O7164">
        <v>4</v>
      </c>
      <c r="P7164">
        <v>2</v>
      </c>
      <c r="Q7164">
        <v>0</v>
      </c>
      <c r="R7164" t="s">
        <v>5281</v>
      </c>
      <c r="S7164" t="s">
        <v>4558</v>
      </c>
      <c r="T7164" t="s">
        <v>2704</v>
      </c>
      <c r="U7164" t="s">
        <v>162</v>
      </c>
      <c r="V7164" s="2">
        <v>1370</v>
      </c>
      <c r="W7164" t="s">
        <v>4655</v>
      </c>
      <c r="X7164" s="2">
        <v>0</v>
      </c>
      <c r="Y7164">
        <v>20</v>
      </c>
      <c r="Z7164" t="s">
        <v>1604</v>
      </c>
      <c r="AA7164" s="3">
        <v>0.38500916957855202</v>
      </c>
      <c r="AB7164" t="s">
        <v>34026</v>
      </c>
      <c r="AC7164" t="s">
        <v>4562</v>
      </c>
      <c r="AD7164" t="s">
        <v>34027</v>
      </c>
      <c r="AE7164" t="s">
        <v>4655</v>
      </c>
      <c r="AF7164" t="s">
        <v>5201</v>
      </c>
      <c r="AG7164" t="s">
        <v>4564</v>
      </c>
      <c r="AH7164" t="s">
        <v>1605</v>
      </c>
      <c r="AI7164" t="s">
        <v>4565</v>
      </c>
      <c r="AJ7164" t="s">
        <v>34010</v>
      </c>
      <c r="AK7164" t="s">
        <v>34028</v>
      </c>
      <c r="AL7164" s="13" t="s">
        <v>1886</v>
      </c>
      <c r="AM7164" s="14">
        <v>1</v>
      </c>
      <c r="AN7164" s="15" t="s">
        <v>1987</v>
      </c>
    </row>
    <row r="7165" spans="1:40" x14ac:dyDescent="0.3">
      <c r="A7165" s="10" t="str">
        <f>HYPERLINK("http://www.washoecounty.gov/assessor/cama/?parid=518-392-18&amp;CardNumber=1","518-392-18")</f>
        <v>518-392-18</v>
      </c>
      <c r="B7165" t="s">
        <v>4655</v>
      </c>
      <c r="C7165" t="s">
        <v>34029</v>
      </c>
      <c r="D7165" s="1">
        <v>40354</v>
      </c>
      <c r="E7165" s="2">
        <v>225000</v>
      </c>
      <c r="F7165" t="s">
        <v>4553</v>
      </c>
      <c r="G7165" s="17" t="str">
        <f>HYPERLINK("https://www.washoecounty.gov/assessor/cama/?command=sales&amp;parid=51839218","3895462")</f>
        <v>3895462</v>
      </c>
      <c r="H7165" t="s">
        <v>34008</v>
      </c>
      <c r="I7165">
        <v>1997</v>
      </c>
      <c r="J7165">
        <v>1997</v>
      </c>
      <c r="K7165" t="s">
        <v>4554</v>
      </c>
      <c r="L7165" t="s">
        <v>3974</v>
      </c>
      <c r="M7165" s="2">
        <v>1943</v>
      </c>
      <c r="N7165" t="s">
        <v>5280</v>
      </c>
      <c r="O7165">
        <v>3</v>
      </c>
      <c r="P7165">
        <v>2</v>
      </c>
      <c r="Q7165">
        <v>1</v>
      </c>
      <c r="R7165" t="s">
        <v>5281</v>
      </c>
      <c r="S7165" t="s">
        <v>4558</v>
      </c>
      <c r="T7165" t="s">
        <v>2704</v>
      </c>
      <c r="U7165" t="s">
        <v>5631</v>
      </c>
      <c r="V7165" s="2">
        <v>656</v>
      </c>
      <c r="W7165" t="s">
        <v>4655</v>
      </c>
      <c r="X7165" s="2">
        <v>0</v>
      </c>
      <c r="Y7165">
        <v>20</v>
      </c>
      <c r="Z7165" t="s">
        <v>1604</v>
      </c>
      <c r="AA7165" s="3">
        <v>0.24499541521072399</v>
      </c>
      <c r="AB7165" t="s">
        <v>34030</v>
      </c>
      <c r="AC7165" t="s">
        <v>4562</v>
      </c>
      <c r="AD7165" t="s">
        <v>34031</v>
      </c>
      <c r="AE7165" t="s">
        <v>4655</v>
      </c>
      <c r="AF7165" t="s">
        <v>4809</v>
      </c>
      <c r="AG7165" t="s">
        <v>4564</v>
      </c>
      <c r="AH7165" t="s">
        <v>1605</v>
      </c>
      <c r="AI7165" t="s">
        <v>4903</v>
      </c>
      <c r="AJ7165" t="s">
        <v>34010</v>
      </c>
      <c r="AK7165" t="s">
        <v>34032</v>
      </c>
      <c r="AL7165" s="13" t="s">
        <v>1886</v>
      </c>
      <c r="AM7165">
        <v>1</v>
      </c>
      <c r="AN7165" s="15" t="s">
        <v>1987</v>
      </c>
    </row>
    <row r="7166" spans="1:40" x14ac:dyDescent="0.3">
      <c r="A7166" s="10" t="str">
        <f>HYPERLINK("http://www.washoecounty.gov/assessor/cama/?parid=518-471-01&amp;CardNumber=1","518-471-01")</f>
        <v>518-471-01</v>
      </c>
      <c r="B7166" t="s">
        <v>4655</v>
      </c>
      <c r="C7166" t="s">
        <v>34033</v>
      </c>
      <c r="D7166" s="1">
        <v>40455</v>
      </c>
      <c r="E7166" s="2">
        <v>305000</v>
      </c>
      <c r="F7166" t="s">
        <v>4553</v>
      </c>
      <c r="G7166" s="17" t="str">
        <f>HYPERLINK("https://www.washoecounty.gov/assessor/cama/?command=sales&amp;parid=51847101","3929267")</f>
        <v>3929267</v>
      </c>
      <c r="H7166" t="s">
        <v>2623</v>
      </c>
      <c r="I7166">
        <v>2004</v>
      </c>
      <c r="J7166">
        <v>2004</v>
      </c>
      <c r="K7166" t="s">
        <v>4554</v>
      </c>
      <c r="L7166" t="s">
        <v>3974</v>
      </c>
      <c r="M7166" s="2">
        <v>2814</v>
      </c>
      <c r="N7166" t="s">
        <v>1245</v>
      </c>
      <c r="O7166">
        <v>4</v>
      </c>
      <c r="P7166">
        <v>3</v>
      </c>
      <c r="Q7166">
        <v>0</v>
      </c>
      <c r="R7166" t="s">
        <v>5281</v>
      </c>
      <c r="S7166" t="s">
        <v>4898</v>
      </c>
      <c r="T7166" t="s">
        <v>2704</v>
      </c>
      <c r="U7166" t="s">
        <v>4560</v>
      </c>
      <c r="V7166" s="2">
        <v>768</v>
      </c>
      <c r="W7166" t="s">
        <v>4655</v>
      </c>
      <c r="X7166" s="2">
        <v>0</v>
      </c>
      <c r="Y7166">
        <v>20</v>
      </c>
      <c r="Z7166" t="s">
        <v>1604</v>
      </c>
      <c r="AA7166" s="3">
        <v>0.34898990392684898</v>
      </c>
      <c r="AB7166" t="s">
        <v>34034</v>
      </c>
      <c r="AC7166" t="s">
        <v>4562</v>
      </c>
      <c r="AD7166" t="s">
        <v>34035</v>
      </c>
      <c r="AE7166" t="s">
        <v>4655</v>
      </c>
      <c r="AF7166" t="s">
        <v>4809</v>
      </c>
      <c r="AG7166" t="s">
        <v>4564</v>
      </c>
      <c r="AH7166" t="s">
        <v>1605</v>
      </c>
      <c r="AI7166" t="s">
        <v>4903</v>
      </c>
      <c r="AJ7166" t="s">
        <v>2624</v>
      </c>
      <c r="AK7166" t="s">
        <v>34036</v>
      </c>
      <c r="AL7166" s="13" t="s">
        <v>1886</v>
      </c>
      <c r="AM7166" s="14">
        <v>1</v>
      </c>
      <c r="AN7166" s="15" t="s">
        <v>2625</v>
      </c>
    </row>
    <row r="7167" spans="1:40" x14ac:dyDescent="0.3">
      <c r="A7167" s="10" t="str">
        <f>HYPERLINK("http://www.washoecounty.gov/assessor/cama/?parid=518-472-05&amp;CardNumber=1","518-472-05")</f>
        <v>518-472-05</v>
      </c>
      <c r="B7167" t="s">
        <v>4655</v>
      </c>
      <c r="C7167" t="s">
        <v>34037</v>
      </c>
      <c r="D7167" s="1">
        <v>40276</v>
      </c>
      <c r="E7167" s="2">
        <v>375000</v>
      </c>
      <c r="F7167" t="s">
        <v>4567</v>
      </c>
      <c r="G7167" s="17" t="str">
        <f>HYPERLINK("https://www.washoecounty.gov/assessor/cama/?command=sales&amp;parid=51847205","3868873")</f>
        <v>3868873</v>
      </c>
      <c r="H7167" t="s">
        <v>2623</v>
      </c>
      <c r="I7167">
        <v>2004</v>
      </c>
      <c r="J7167">
        <v>2004</v>
      </c>
      <c r="K7167" t="s">
        <v>4554</v>
      </c>
      <c r="L7167" t="s">
        <v>4555</v>
      </c>
      <c r="M7167" s="2">
        <v>2907</v>
      </c>
      <c r="N7167" t="s">
        <v>3887</v>
      </c>
      <c r="O7167">
        <v>4</v>
      </c>
      <c r="P7167">
        <v>3</v>
      </c>
      <c r="Q7167">
        <v>0</v>
      </c>
      <c r="R7167" t="s">
        <v>5281</v>
      </c>
      <c r="S7167" t="s">
        <v>4898</v>
      </c>
      <c r="T7167" t="s">
        <v>2704</v>
      </c>
      <c r="U7167" t="s">
        <v>4560</v>
      </c>
      <c r="V7167" s="2">
        <v>792</v>
      </c>
      <c r="W7167" t="s">
        <v>4655</v>
      </c>
      <c r="X7167" s="2">
        <v>0</v>
      </c>
      <c r="Y7167">
        <v>20</v>
      </c>
      <c r="Z7167" t="s">
        <v>1604</v>
      </c>
      <c r="AA7167" s="3">
        <v>0.35101011395454401</v>
      </c>
      <c r="AB7167" t="s">
        <v>34038</v>
      </c>
      <c r="AC7167" t="s">
        <v>4575</v>
      </c>
      <c r="AD7167" t="s">
        <v>34039</v>
      </c>
      <c r="AE7167" t="s">
        <v>4655</v>
      </c>
      <c r="AF7167" t="s">
        <v>4809</v>
      </c>
      <c r="AG7167" t="s">
        <v>4564</v>
      </c>
      <c r="AH7167" t="s">
        <v>1605</v>
      </c>
      <c r="AI7167" t="s">
        <v>34040</v>
      </c>
      <c r="AJ7167" t="s">
        <v>2624</v>
      </c>
      <c r="AK7167" t="s">
        <v>34041</v>
      </c>
      <c r="AL7167" s="13" t="s">
        <v>1886</v>
      </c>
      <c r="AM7167" s="14">
        <v>1</v>
      </c>
      <c r="AN7167" s="15" t="s">
        <v>2625</v>
      </c>
    </row>
    <row r="7168" spans="1:40" x14ac:dyDescent="0.3">
      <c r="A7168" s="10" t="str">
        <f>HYPERLINK("http://www.washoecounty.gov/assessor/cama/?parid=518-482-03&amp;CardNumber=1","518-482-03")</f>
        <v>518-482-03</v>
      </c>
      <c r="B7168" t="s">
        <v>4655</v>
      </c>
      <c r="C7168" t="s">
        <v>34042</v>
      </c>
      <c r="D7168" s="1">
        <v>40464</v>
      </c>
      <c r="E7168" s="2">
        <v>180000</v>
      </c>
      <c r="F7168" t="s">
        <v>4567</v>
      </c>
      <c r="G7168" s="17" t="str">
        <f>HYPERLINK("https://www.washoecounty.gov/assessor/cama/?command=sales&amp;parid=51848203","3932621")</f>
        <v>3932621</v>
      </c>
      <c r="H7168" t="s">
        <v>2623</v>
      </c>
      <c r="I7168">
        <v>0</v>
      </c>
      <c r="J7168">
        <v>0</v>
      </c>
      <c r="K7168" t="s">
        <v>4655</v>
      </c>
      <c r="L7168" t="s">
        <v>4655</v>
      </c>
      <c r="M7168" s="2">
        <v>0</v>
      </c>
      <c r="N7168" t="s">
        <v>4655</v>
      </c>
      <c r="O7168">
        <v>0</v>
      </c>
      <c r="P7168">
        <v>0</v>
      </c>
      <c r="Q7168">
        <v>0</v>
      </c>
      <c r="R7168" t="s">
        <v>4655</v>
      </c>
      <c r="S7168" t="s">
        <v>4655</v>
      </c>
      <c r="T7168" t="s">
        <v>4655</v>
      </c>
      <c r="U7168" t="s">
        <v>4655</v>
      </c>
      <c r="V7168" s="2">
        <v>0</v>
      </c>
      <c r="W7168" t="s">
        <v>4655</v>
      </c>
      <c r="X7168" s="2">
        <v>0</v>
      </c>
      <c r="Y7168">
        <v>12</v>
      </c>
      <c r="Z7168" t="s">
        <v>1604</v>
      </c>
      <c r="AA7168" s="3">
        <v>0.34400826692581199</v>
      </c>
      <c r="AB7168" t="s">
        <v>34043</v>
      </c>
      <c r="AC7168" t="s">
        <v>4562</v>
      </c>
      <c r="AD7168" t="s">
        <v>34044</v>
      </c>
      <c r="AE7168" t="s">
        <v>4655</v>
      </c>
      <c r="AF7168" t="s">
        <v>13391</v>
      </c>
      <c r="AG7168" t="s">
        <v>762</v>
      </c>
      <c r="AH7168" t="s">
        <v>34045</v>
      </c>
      <c r="AI7168" t="s">
        <v>34046</v>
      </c>
      <c r="AJ7168" t="s">
        <v>2624</v>
      </c>
      <c r="AK7168" t="s">
        <v>34047</v>
      </c>
      <c r="AL7168" s="13" t="s">
        <v>1886</v>
      </c>
      <c r="AM7168" s="14">
        <v>0</v>
      </c>
      <c r="AN7168" s="15" t="s">
        <v>2625</v>
      </c>
    </row>
    <row r="7169" spans="1:40" x14ac:dyDescent="0.3">
      <c r="A7169" s="10" t="str">
        <f>HYPERLINK("http://www.washoecounty.gov/assessor/cama/?parid=518-502-09&amp;CardNumber=1","518-502-09")</f>
        <v>518-502-09</v>
      </c>
      <c r="B7169" t="s">
        <v>4655</v>
      </c>
      <c r="C7169" t="s">
        <v>34048</v>
      </c>
      <c r="D7169" s="1">
        <v>40347</v>
      </c>
      <c r="E7169" s="2">
        <v>215000</v>
      </c>
      <c r="F7169" t="s">
        <v>4567</v>
      </c>
      <c r="G7169" s="17" t="str">
        <f>HYPERLINK("https://www.washoecounty.gov/assessor/cama/?command=sales&amp;parid=51850209","3893349")</f>
        <v>3893349</v>
      </c>
      <c r="H7169" t="s">
        <v>3603</v>
      </c>
      <c r="I7169">
        <v>2002</v>
      </c>
      <c r="J7169">
        <v>2002</v>
      </c>
      <c r="K7169" t="s">
        <v>4554</v>
      </c>
      <c r="L7169" t="s">
        <v>3974</v>
      </c>
      <c r="M7169" s="2">
        <v>2050</v>
      </c>
      <c r="N7169" t="s">
        <v>5280</v>
      </c>
      <c r="O7169">
        <v>4</v>
      </c>
      <c r="P7169">
        <v>2</v>
      </c>
      <c r="Q7169">
        <v>1</v>
      </c>
      <c r="R7169" t="s">
        <v>5281</v>
      </c>
      <c r="S7169" t="s">
        <v>4898</v>
      </c>
      <c r="T7169" t="s">
        <v>2704</v>
      </c>
      <c r="U7169" t="s">
        <v>4560</v>
      </c>
      <c r="V7169" s="2">
        <v>618</v>
      </c>
      <c r="W7169" t="s">
        <v>4655</v>
      </c>
      <c r="X7169" s="2">
        <v>0</v>
      </c>
      <c r="Y7169">
        <v>20</v>
      </c>
      <c r="Z7169" t="s">
        <v>1604</v>
      </c>
      <c r="AA7169" s="3">
        <v>0.17699724435806299</v>
      </c>
      <c r="AB7169" t="s">
        <v>34049</v>
      </c>
      <c r="AC7169" t="s">
        <v>4562</v>
      </c>
      <c r="AD7169" t="s">
        <v>34048</v>
      </c>
      <c r="AE7169" t="s">
        <v>4655</v>
      </c>
      <c r="AF7169" t="s">
        <v>5201</v>
      </c>
      <c r="AG7169" t="s">
        <v>4564</v>
      </c>
      <c r="AH7169" t="s">
        <v>1605</v>
      </c>
      <c r="AI7169" t="s">
        <v>34050</v>
      </c>
      <c r="AJ7169" t="s">
        <v>3604</v>
      </c>
      <c r="AK7169" t="s">
        <v>34051</v>
      </c>
      <c r="AL7169" s="13" t="s">
        <v>1886</v>
      </c>
      <c r="AM7169">
        <v>1</v>
      </c>
      <c r="AN7169" s="15" t="s">
        <v>1987</v>
      </c>
    </row>
    <row r="7170" spans="1:40" x14ac:dyDescent="0.3">
      <c r="A7170" s="10" t="str">
        <f>HYPERLINK("http://www.washoecounty.gov/assessor/cama/?parid=518-503-02&amp;CardNumber=1","518-503-02")</f>
        <v>518-503-02</v>
      </c>
      <c r="B7170" t="s">
        <v>4655</v>
      </c>
      <c r="C7170" t="s">
        <v>34052</v>
      </c>
      <c r="D7170" s="1">
        <v>40542</v>
      </c>
      <c r="E7170" s="2">
        <v>225000</v>
      </c>
      <c r="F7170" t="s">
        <v>4567</v>
      </c>
      <c r="G7170" s="17" t="str">
        <f>HYPERLINK("https://www.washoecounty.gov/assessor/cama/?command=sales&amp;parid=51850302","3959013")</f>
        <v>3959013</v>
      </c>
      <c r="H7170" t="s">
        <v>3603</v>
      </c>
      <c r="I7170">
        <v>2001</v>
      </c>
      <c r="J7170">
        <v>2001</v>
      </c>
      <c r="K7170" t="s">
        <v>4554</v>
      </c>
      <c r="L7170" t="s">
        <v>4555</v>
      </c>
      <c r="M7170" s="2">
        <v>2272</v>
      </c>
      <c r="N7170" t="s">
        <v>5280</v>
      </c>
      <c r="O7170">
        <v>4</v>
      </c>
      <c r="P7170">
        <v>2</v>
      </c>
      <c r="Q7170">
        <v>1</v>
      </c>
      <c r="R7170" t="s">
        <v>4557</v>
      </c>
      <c r="S7170" t="s">
        <v>4135</v>
      </c>
      <c r="T7170" t="s">
        <v>2704</v>
      </c>
      <c r="U7170" t="s">
        <v>4560</v>
      </c>
      <c r="V7170" s="2">
        <v>684</v>
      </c>
      <c r="W7170" t="s">
        <v>4655</v>
      </c>
      <c r="X7170" s="2">
        <v>0</v>
      </c>
      <c r="Y7170">
        <v>20</v>
      </c>
      <c r="Z7170" t="s">
        <v>1604</v>
      </c>
      <c r="AA7170" s="3">
        <v>0.346005499362946</v>
      </c>
      <c r="AB7170" t="s">
        <v>34053</v>
      </c>
      <c r="AC7170" t="s">
        <v>4562</v>
      </c>
      <c r="AD7170" t="s">
        <v>34054</v>
      </c>
      <c r="AE7170" t="s">
        <v>4655</v>
      </c>
      <c r="AF7170" t="s">
        <v>5201</v>
      </c>
      <c r="AG7170" t="s">
        <v>4564</v>
      </c>
      <c r="AH7170" t="s">
        <v>3898</v>
      </c>
      <c r="AI7170" t="s">
        <v>34055</v>
      </c>
      <c r="AJ7170" t="s">
        <v>3604</v>
      </c>
      <c r="AK7170" t="s">
        <v>34056</v>
      </c>
      <c r="AL7170" s="13" t="s">
        <v>1886</v>
      </c>
      <c r="AM7170" s="14">
        <v>1</v>
      </c>
      <c r="AN7170" s="15" t="s">
        <v>1987</v>
      </c>
    </row>
    <row r="7171" spans="1:40" x14ac:dyDescent="0.3">
      <c r="A7171" s="10" t="str">
        <f>HYPERLINK("http://www.washoecounty.gov/assessor/cama/?parid=518-503-03&amp;CardNumber=1","518-503-03")</f>
        <v>518-503-03</v>
      </c>
      <c r="B7171" t="s">
        <v>4655</v>
      </c>
      <c r="C7171" t="s">
        <v>34057</v>
      </c>
      <c r="D7171" s="1">
        <v>40351</v>
      </c>
      <c r="E7171" s="2">
        <v>187000</v>
      </c>
      <c r="F7171" t="s">
        <v>4567</v>
      </c>
      <c r="G7171" s="17" t="str">
        <f>HYPERLINK("https://www.washoecounty.gov/assessor/cama/?command=sales&amp;parid=51850303","3894302")</f>
        <v>3894302</v>
      </c>
      <c r="H7171" t="s">
        <v>3603</v>
      </c>
      <c r="I7171">
        <v>2002</v>
      </c>
      <c r="J7171">
        <v>2002</v>
      </c>
      <c r="K7171" t="s">
        <v>4554</v>
      </c>
      <c r="L7171" t="s">
        <v>4555</v>
      </c>
      <c r="M7171" s="2">
        <v>1814</v>
      </c>
      <c r="N7171" t="s">
        <v>5280</v>
      </c>
      <c r="O7171">
        <v>4</v>
      </c>
      <c r="P7171">
        <v>2</v>
      </c>
      <c r="Q7171">
        <v>0</v>
      </c>
      <c r="R7171" t="s">
        <v>5281</v>
      </c>
      <c r="S7171" t="s">
        <v>4135</v>
      </c>
      <c r="T7171" t="s">
        <v>2704</v>
      </c>
      <c r="U7171" t="s">
        <v>4560</v>
      </c>
      <c r="V7171" s="2">
        <v>420</v>
      </c>
      <c r="W7171" t="s">
        <v>4655</v>
      </c>
      <c r="X7171" s="2">
        <v>0</v>
      </c>
      <c r="Y7171">
        <v>20</v>
      </c>
      <c r="Z7171" t="s">
        <v>1604</v>
      </c>
      <c r="AA7171" s="3">
        <v>0.25101009011268599</v>
      </c>
      <c r="AB7171" t="s">
        <v>34058</v>
      </c>
      <c r="AC7171" t="s">
        <v>4562</v>
      </c>
      <c r="AD7171" t="s">
        <v>34057</v>
      </c>
      <c r="AE7171" t="s">
        <v>4655</v>
      </c>
      <c r="AF7171" t="s">
        <v>5201</v>
      </c>
      <c r="AG7171" t="s">
        <v>4564</v>
      </c>
      <c r="AH7171" t="s">
        <v>1605</v>
      </c>
      <c r="AI7171" t="s">
        <v>34059</v>
      </c>
      <c r="AJ7171" t="s">
        <v>3604</v>
      </c>
      <c r="AK7171" t="s">
        <v>34060</v>
      </c>
      <c r="AL7171" s="13" t="s">
        <v>1886</v>
      </c>
      <c r="AM7171">
        <v>1</v>
      </c>
      <c r="AN7171" s="15" t="s">
        <v>1987</v>
      </c>
    </row>
    <row r="7172" spans="1:40" x14ac:dyDescent="0.3">
      <c r="A7172" s="10" t="str">
        <f>HYPERLINK("http://www.washoecounty.gov/assessor/cama/?parid=518-571-06&amp;CardNumber=1","518-571-06")</f>
        <v>518-571-06</v>
      </c>
      <c r="B7172" t="s">
        <v>4655</v>
      </c>
      <c r="C7172" t="s">
        <v>34061</v>
      </c>
      <c r="D7172" s="1">
        <v>40322</v>
      </c>
      <c r="E7172" s="2">
        <v>175000</v>
      </c>
      <c r="F7172" t="s">
        <v>4567</v>
      </c>
      <c r="G7172" s="17" t="str">
        <f>HYPERLINK("https://www.washoecounty.gov/assessor/cama/?command=sales&amp;parid=51857106","3884306")</f>
        <v>3884306</v>
      </c>
      <c r="H7172" t="s">
        <v>3186</v>
      </c>
      <c r="I7172">
        <v>2000</v>
      </c>
      <c r="J7172">
        <v>2000</v>
      </c>
      <c r="K7172" t="s">
        <v>4554</v>
      </c>
      <c r="L7172" t="s">
        <v>4555</v>
      </c>
      <c r="M7172" s="2">
        <v>1500</v>
      </c>
      <c r="N7172" t="s">
        <v>5280</v>
      </c>
      <c r="O7172">
        <v>3</v>
      </c>
      <c r="P7172">
        <v>2</v>
      </c>
      <c r="Q7172">
        <v>0</v>
      </c>
      <c r="R7172" t="s">
        <v>4557</v>
      </c>
      <c r="S7172" t="s">
        <v>4135</v>
      </c>
      <c r="T7172" t="s">
        <v>2704</v>
      </c>
      <c r="U7172" t="s">
        <v>4560</v>
      </c>
      <c r="V7172" s="2">
        <v>594</v>
      </c>
      <c r="W7172" t="s">
        <v>4655</v>
      </c>
      <c r="X7172" s="2">
        <v>0</v>
      </c>
      <c r="Y7172">
        <v>20</v>
      </c>
      <c r="Z7172" t="s">
        <v>1604</v>
      </c>
      <c r="AA7172" s="3">
        <v>0.16200642287731201</v>
      </c>
      <c r="AB7172" t="s">
        <v>34062</v>
      </c>
      <c r="AC7172" t="s">
        <v>4562</v>
      </c>
      <c r="AD7172" t="s">
        <v>34063</v>
      </c>
      <c r="AE7172" t="s">
        <v>4655</v>
      </c>
      <c r="AF7172" t="s">
        <v>4563</v>
      </c>
      <c r="AG7172" t="s">
        <v>4564</v>
      </c>
      <c r="AH7172" t="s">
        <v>1147</v>
      </c>
      <c r="AI7172" t="s">
        <v>34064</v>
      </c>
      <c r="AJ7172" t="s">
        <v>3187</v>
      </c>
      <c r="AK7172" t="s">
        <v>34065</v>
      </c>
      <c r="AL7172" s="13" t="s">
        <v>1886</v>
      </c>
      <c r="AM7172">
        <v>1</v>
      </c>
      <c r="AN7172" s="15" t="s">
        <v>1987</v>
      </c>
    </row>
    <row r="7173" spans="1:40" x14ac:dyDescent="0.3">
      <c r="A7173" s="10" t="str">
        <f>HYPERLINK("http://www.washoecounty.gov/assessor/cama/?parid=518-571-08&amp;CardNumber=1","518-571-08")</f>
        <v>518-571-08</v>
      </c>
      <c r="B7173" t="s">
        <v>4655</v>
      </c>
      <c r="C7173" t="s">
        <v>34066</v>
      </c>
      <c r="D7173" s="1">
        <v>40438</v>
      </c>
      <c r="E7173" s="2">
        <v>173000</v>
      </c>
      <c r="F7173" t="s">
        <v>4567</v>
      </c>
      <c r="G7173" s="17" t="str">
        <f>HYPERLINK("https://www.washoecounty.gov/assessor/cama/?command=sales&amp;parid=51857108","3923571")</f>
        <v>3923571</v>
      </c>
      <c r="H7173" t="s">
        <v>3186</v>
      </c>
      <c r="I7173">
        <v>2000</v>
      </c>
      <c r="J7173">
        <v>2000</v>
      </c>
      <c r="K7173" t="s">
        <v>4554</v>
      </c>
      <c r="L7173" t="s">
        <v>4555</v>
      </c>
      <c r="M7173" s="2">
        <v>1500</v>
      </c>
      <c r="N7173" t="s">
        <v>5280</v>
      </c>
      <c r="O7173">
        <v>3</v>
      </c>
      <c r="P7173">
        <v>2</v>
      </c>
      <c r="Q7173">
        <v>0</v>
      </c>
      <c r="R7173" t="s">
        <v>5281</v>
      </c>
      <c r="S7173" t="s">
        <v>4135</v>
      </c>
      <c r="T7173" t="s">
        <v>2704</v>
      </c>
      <c r="U7173" t="s">
        <v>4560</v>
      </c>
      <c r="V7173" s="2">
        <v>594</v>
      </c>
      <c r="W7173" t="s">
        <v>4655</v>
      </c>
      <c r="X7173" s="2">
        <v>0</v>
      </c>
      <c r="Y7173">
        <v>20</v>
      </c>
      <c r="Z7173" t="s">
        <v>1604</v>
      </c>
      <c r="AA7173" s="3">
        <v>0.16299356520175901</v>
      </c>
      <c r="AB7173" t="s">
        <v>34067</v>
      </c>
      <c r="AC7173" t="s">
        <v>4562</v>
      </c>
      <c r="AD7173" t="s">
        <v>34068</v>
      </c>
      <c r="AE7173" t="s">
        <v>4655</v>
      </c>
      <c r="AF7173" t="s">
        <v>4809</v>
      </c>
      <c r="AG7173" t="s">
        <v>4564</v>
      </c>
      <c r="AH7173" t="s">
        <v>1605</v>
      </c>
      <c r="AI7173" t="s">
        <v>34069</v>
      </c>
      <c r="AJ7173" t="s">
        <v>3187</v>
      </c>
      <c r="AK7173" t="s">
        <v>34070</v>
      </c>
      <c r="AL7173" s="13" t="s">
        <v>1886</v>
      </c>
      <c r="AM7173">
        <v>1</v>
      </c>
      <c r="AN7173" s="15" t="s">
        <v>1987</v>
      </c>
    </row>
    <row r="7174" spans="1:40" x14ac:dyDescent="0.3">
      <c r="A7174" s="10" t="str">
        <f>HYPERLINK("http://www.washoecounty.gov/assessor/cama/?parid=518-571-12&amp;CardNumber=1","518-571-12")</f>
        <v>518-571-12</v>
      </c>
      <c r="B7174" t="s">
        <v>4655</v>
      </c>
      <c r="C7174" t="s">
        <v>34071</v>
      </c>
      <c r="D7174" s="1">
        <v>40360</v>
      </c>
      <c r="E7174" s="2">
        <v>190000</v>
      </c>
      <c r="F7174" t="s">
        <v>4567</v>
      </c>
      <c r="G7174" s="17" t="str">
        <f>HYPERLINK("https://www.washoecounty.gov/assessor/cama/?command=sales&amp;parid=51857112","3897699")</f>
        <v>3897699</v>
      </c>
      <c r="H7174" t="s">
        <v>3186</v>
      </c>
      <c r="I7174">
        <v>1999</v>
      </c>
      <c r="J7174">
        <v>1999</v>
      </c>
      <c r="K7174" t="s">
        <v>4554</v>
      </c>
      <c r="L7174" t="s">
        <v>4555</v>
      </c>
      <c r="M7174" s="2">
        <v>1500</v>
      </c>
      <c r="N7174" t="s">
        <v>5280</v>
      </c>
      <c r="O7174">
        <v>3</v>
      </c>
      <c r="P7174">
        <v>2</v>
      </c>
      <c r="Q7174">
        <v>0</v>
      </c>
      <c r="R7174" t="s">
        <v>4557</v>
      </c>
      <c r="S7174" t="s">
        <v>4135</v>
      </c>
      <c r="T7174" t="s">
        <v>2704</v>
      </c>
      <c r="U7174" t="s">
        <v>4560</v>
      </c>
      <c r="V7174" s="2">
        <v>594</v>
      </c>
      <c r="W7174" t="s">
        <v>4655</v>
      </c>
      <c r="X7174" s="2">
        <v>0</v>
      </c>
      <c r="Y7174">
        <v>20</v>
      </c>
      <c r="Z7174" t="s">
        <v>1604</v>
      </c>
      <c r="AA7174" s="3">
        <v>0.16200642287731201</v>
      </c>
      <c r="AB7174" t="s">
        <v>34072</v>
      </c>
      <c r="AC7174" t="s">
        <v>4562</v>
      </c>
      <c r="AD7174" t="s">
        <v>3490</v>
      </c>
      <c r="AE7174" t="s">
        <v>4655</v>
      </c>
      <c r="AF7174" t="s">
        <v>4809</v>
      </c>
      <c r="AG7174" t="s">
        <v>4564</v>
      </c>
      <c r="AH7174" t="s">
        <v>4126</v>
      </c>
      <c r="AI7174" t="s">
        <v>33916</v>
      </c>
      <c r="AJ7174" t="s">
        <v>3187</v>
      </c>
      <c r="AK7174" t="s">
        <v>34073</v>
      </c>
      <c r="AL7174" s="13" t="s">
        <v>1886</v>
      </c>
      <c r="AM7174" s="14">
        <v>1</v>
      </c>
      <c r="AN7174" s="15" t="s">
        <v>1987</v>
      </c>
    </row>
    <row r="7175" spans="1:40" x14ac:dyDescent="0.3">
      <c r="A7175" s="10" t="str">
        <f>HYPERLINK("http://www.washoecounty.gov/assessor/cama/?parid=518-591-08&amp;CardNumber=1","518-591-08")</f>
        <v>518-591-08</v>
      </c>
      <c r="B7175" t="s">
        <v>4655</v>
      </c>
      <c r="C7175" t="s">
        <v>34074</v>
      </c>
      <c r="D7175" s="1">
        <v>40228</v>
      </c>
      <c r="E7175" s="2">
        <v>187000</v>
      </c>
      <c r="F7175" t="s">
        <v>4567</v>
      </c>
      <c r="G7175" s="17" t="str">
        <f>HYPERLINK("https://www.washoecounty.gov/assessor/cama/?command=sales&amp;parid=51859108","3850947")</f>
        <v>3850947</v>
      </c>
      <c r="H7175" t="s">
        <v>1764</v>
      </c>
      <c r="I7175">
        <v>2002</v>
      </c>
      <c r="J7175">
        <v>2002</v>
      </c>
      <c r="K7175" t="s">
        <v>4554</v>
      </c>
      <c r="L7175" t="s">
        <v>3974</v>
      </c>
      <c r="M7175" s="2">
        <v>2261</v>
      </c>
      <c r="N7175" t="s">
        <v>5280</v>
      </c>
      <c r="O7175">
        <v>3</v>
      </c>
      <c r="P7175">
        <v>2</v>
      </c>
      <c r="Q7175">
        <v>1</v>
      </c>
      <c r="R7175" t="s">
        <v>5281</v>
      </c>
      <c r="S7175" t="s">
        <v>4558</v>
      </c>
      <c r="T7175" t="s">
        <v>2704</v>
      </c>
      <c r="U7175" t="s">
        <v>5631</v>
      </c>
      <c r="V7175" s="2">
        <v>601</v>
      </c>
      <c r="W7175" t="s">
        <v>4655</v>
      </c>
      <c r="X7175" s="2">
        <v>0</v>
      </c>
      <c r="Y7175">
        <v>20</v>
      </c>
      <c r="Z7175" t="s">
        <v>1604</v>
      </c>
      <c r="AA7175" s="3">
        <v>0.15798898041248299</v>
      </c>
      <c r="AB7175" t="s">
        <v>34075</v>
      </c>
      <c r="AC7175" t="s">
        <v>4562</v>
      </c>
      <c r="AD7175" t="s">
        <v>34074</v>
      </c>
      <c r="AE7175" t="s">
        <v>4655</v>
      </c>
      <c r="AF7175" t="s">
        <v>5201</v>
      </c>
      <c r="AG7175" t="s">
        <v>4564</v>
      </c>
      <c r="AH7175" t="s">
        <v>1605</v>
      </c>
      <c r="AI7175" t="s">
        <v>34076</v>
      </c>
      <c r="AJ7175" t="s">
        <v>1458</v>
      </c>
      <c r="AK7175" t="s">
        <v>34077</v>
      </c>
      <c r="AL7175" s="13" t="s">
        <v>1886</v>
      </c>
      <c r="AM7175">
        <v>1</v>
      </c>
      <c r="AN7175" s="15" t="s">
        <v>1987</v>
      </c>
    </row>
    <row r="7176" spans="1:40" x14ac:dyDescent="0.3">
      <c r="A7176" s="10" t="str">
        <f>HYPERLINK("http://www.washoecounty.gov/assessor/cama/?parid=518-591-30&amp;CardNumber=1","518-591-30")</f>
        <v>518-591-30</v>
      </c>
      <c r="B7176" t="s">
        <v>4655</v>
      </c>
      <c r="C7176" t="s">
        <v>34078</v>
      </c>
      <c r="D7176" s="1">
        <v>40521</v>
      </c>
      <c r="E7176" s="2">
        <v>150000</v>
      </c>
      <c r="F7176" t="s">
        <v>4553</v>
      </c>
      <c r="G7176" s="17" t="str">
        <f>HYPERLINK("https://www.washoecounty.gov/assessor/cama/?command=sales&amp;parid=51859130","3951553")</f>
        <v>3951553</v>
      </c>
      <c r="H7176" t="s">
        <v>1764</v>
      </c>
      <c r="I7176">
        <v>2001</v>
      </c>
      <c r="J7176">
        <v>2001</v>
      </c>
      <c r="K7176" t="s">
        <v>4554</v>
      </c>
      <c r="L7176" t="s">
        <v>3886</v>
      </c>
      <c r="M7176" s="2">
        <v>1803</v>
      </c>
      <c r="N7176" t="s">
        <v>5280</v>
      </c>
      <c r="O7176">
        <v>3</v>
      </c>
      <c r="P7176">
        <v>2</v>
      </c>
      <c r="Q7176">
        <v>1</v>
      </c>
      <c r="R7176" t="s">
        <v>4557</v>
      </c>
      <c r="S7176" t="s">
        <v>4135</v>
      </c>
      <c r="T7176" t="s">
        <v>2704</v>
      </c>
      <c r="U7176" t="s">
        <v>4560</v>
      </c>
      <c r="V7176" s="2">
        <v>556</v>
      </c>
      <c r="W7176" t="s">
        <v>4655</v>
      </c>
      <c r="X7176" s="2">
        <v>0</v>
      </c>
      <c r="Y7176">
        <v>20</v>
      </c>
      <c r="Z7176" t="s">
        <v>1604</v>
      </c>
      <c r="AA7176" s="3">
        <v>0.13900367915630299</v>
      </c>
      <c r="AB7176" t="s">
        <v>34079</v>
      </c>
      <c r="AC7176" t="s">
        <v>4575</v>
      </c>
      <c r="AD7176" t="s">
        <v>34080</v>
      </c>
      <c r="AE7176" t="s">
        <v>4655</v>
      </c>
      <c r="AF7176" t="s">
        <v>4809</v>
      </c>
      <c r="AG7176" t="s">
        <v>4564</v>
      </c>
      <c r="AH7176" t="s">
        <v>1605</v>
      </c>
      <c r="AI7176" t="s">
        <v>4655</v>
      </c>
      <c r="AJ7176" t="s">
        <v>1458</v>
      </c>
      <c r="AK7176" t="s">
        <v>34081</v>
      </c>
      <c r="AL7176" s="13" t="s">
        <v>1886</v>
      </c>
      <c r="AM7176" s="14">
        <v>1</v>
      </c>
      <c r="AN7176" s="15" t="s">
        <v>1987</v>
      </c>
    </row>
    <row r="7177" spans="1:40" x14ac:dyDescent="0.3">
      <c r="A7177" s="10" t="str">
        <f>HYPERLINK("http://www.washoecounty.gov/assessor/cama/?parid=518-601-04&amp;CardNumber=1","518-601-04")</f>
        <v>518-601-04</v>
      </c>
      <c r="B7177" t="s">
        <v>4655</v>
      </c>
      <c r="C7177" t="s">
        <v>34082</v>
      </c>
      <c r="D7177" s="1">
        <v>40417</v>
      </c>
      <c r="E7177" s="2">
        <v>197500</v>
      </c>
      <c r="F7177" t="s">
        <v>4567</v>
      </c>
      <c r="G7177" s="17" t="str">
        <f>HYPERLINK("https://www.washoecounty.gov/assessor/cama/?command=sales&amp;parid=51860104","3916334")</f>
        <v>3916334</v>
      </c>
      <c r="H7177" t="s">
        <v>1764</v>
      </c>
      <c r="I7177">
        <v>2003</v>
      </c>
      <c r="J7177">
        <v>2003</v>
      </c>
      <c r="K7177" t="s">
        <v>4554</v>
      </c>
      <c r="L7177" t="s">
        <v>3974</v>
      </c>
      <c r="M7177" s="2">
        <v>2081</v>
      </c>
      <c r="N7177" t="s">
        <v>5280</v>
      </c>
      <c r="O7177">
        <v>4</v>
      </c>
      <c r="P7177">
        <v>2</v>
      </c>
      <c r="Q7177">
        <v>1</v>
      </c>
      <c r="R7177" t="s">
        <v>5281</v>
      </c>
      <c r="S7177" t="s">
        <v>4898</v>
      </c>
      <c r="T7177" t="s">
        <v>2704</v>
      </c>
      <c r="U7177" t="s">
        <v>4560</v>
      </c>
      <c r="V7177" s="2">
        <v>440</v>
      </c>
      <c r="W7177" t="s">
        <v>4655</v>
      </c>
      <c r="X7177" s="2">
        <v>0</v>
      </c>
      <c r="Y7177">
        <v>20</v>
      </c>
      <c r="Z7177" t="s">
        <v>1604</v>
      </c>
      <c r="AA7177" s="3">
        <v>0.192011013627052</v>
      </c>
      <c r="AB7177" t="s">
        <v>34083</v>
      </c>
      <c r="AC7177" t="s">
        <v>4562</v>
      </c>
      <c r="AD7177" t="s">
        <v>34082</v>
      </c>
      <c r="AE7177" t="s">
        <v>4655</v>
      </c>
      <c r="AF7177" t="s">
        <v>5201</v>
      </c>
      <c r="AG7177" t="s">
        <v>4564</v>
      </c>
      <c r="AH7177" t="s">
        <v>1605</v>
      </c>
      <c r="AI7177" t="s">
        <v>34084</v>
      </c>
      <c r="AJ7177" t="s">
        <v>1458</v>
      </c>
      <c r="AK7177" t="s">
        <v>34085</v>
      </c>
      <c r="AL7177" s="13" t="s">
        <v>1886</v>
      </c>
      <c r="AM7177">
        <v>1</v>
      </c>
      <c r="AN7177" s="15" t="s">
        <v>1987</v>
      </c>
    </row>
    <row r="7178" spans="1:40" x14ac:dyDescent="0.3">
      <c r="A7178" s="10" t="str">
        <f>HYPERLINK("http://www.washoecounty.gov/assessor/cama/?parid=518-642-03&amp;CardNumber=1","518-642-03")</f>
        <v>518-642-03</v>
      </c>
      <c r="B7178" t="s">
        <v>4655</v>
      </c>
      <c r="C7178" t="s">
        <v>34086</v>
      </c>
      <c r="D7178" s="1">
        <v>40276</v>
      </c>
      <c r="E7178" s="2">
        <v>265000</v>
      </c>
      <c r="F7178" t="s">
        <v>4567</v>
      </c>
      <c r="G7178" s="17" t="str">
        <f>HYPERLINK("https://www.washoecounty.gov/assessor/cama/?command=sales&amp;parid=51864203","3869140")</f>
        <v>3869140</v>
      </c>
      <c r="H7178" t="s">
        <v>1985</v>
      </c>
      <c r="I7178">
        <v>2003</v>
      </c>
      <c r="J7178">
        <v>2003</v>
      </c>
      <c r="K7178" t="s">
        <v>4554</v>
      </c>
      <c r="L7178" t="s">
        <v>2170</v>
      </c>
      <c r="M7178" s="2">
        <v>2662</v>
      </c>
      <c r="N7178" t="s">
        <v>5280</v>
      </c>
      <c r="O7178">
        <v>4</v>
      </c>
      <c r="P7178">
        <v>2</v>
      </c>
      <c r="Q7178">
        <v>1</v>
      </c>
      <c r="R7178" t="s">
        <v>5281</v>
      </c>
      <c r="S7178" t="s">
        <v>4135</v>
      </c>
      <c r="T7178" t="s">
        <v>2704</v>
      </c>
      <c r="U7178" t="s">
        <v>4560</v>
      </c>
      <c r="V7178" s="2">
        <v>622</v>
      </c>
      <c r="W7178" t="s">
        <v>4655</v>
      </c>
      <c r="X7178" s="2">
        <v>0</v>
      </c>
      <c r="Y7178">
        <v>20</v>
      </c>
      <c r="Z7178" t="s">
        <v>1604</v>
      </c>
      <c r="AA7178" s="3">
        <v>0.167011022567749</v>
      </c>
      <c r="AB7178" t="s">
        <v>34087</v>
      </c>
      <c r="AC7178" t="s">
        <v>4562</v>
      </c>
      <c r="AD7178" t="s">
        <v>34086</v>
      </c>
      <c r="AE7178" t="s">
        <v>4655</v>
      </c>
      <c r="AF7178" t="s">
        <v>5201</v>
      </c>
      <c r="AG7178" t="s">
        <v>4564</v>
      </c>
      <c r="AH7178" t="s">
        <v>1605</v>
      </c>
      <c r="AI7178" t="s">
        <v>5298</v>
      </c>
      <c r="AJ7178" t="s">
        <v>1986</v>
      </c>
      <c r="AK7178" t="s">
        <v>34088</v>
      </c>
      <c r="AL7178" s="13" t="s">
        <v>1886</v>
      </c>
      <c r="AM7178" s="14">
        <v>1</v>
      </c>
      <c r="AN7178" s="15" t="s">
        <v>1987</v>
      </c>
    </row>
    <row r="7179" spans="1:40" x14ac:dyDescent="0.3">
      <c r="A7179" s="10" t="str">
        <f>HYPERLINK("http://www.washoecounty.gov/assessor/cama/?parid=518-642-05&amp;CardNumber=1","518-642-05")</f>
        <v>518-642-05</v>
      </c>
      <c r="B7179" t="s">
        <v>4655</v>
      </c>
      <c r="C7179" t="s">
        <v>34089</v>
      </c>
      <c r="D7179" s="1">
        <v>40429</v>
      </c>
      <c r="E7179" s="2">
        <v>270000</v>
      </c>
      <c r="F7179" t="s">
        <v>4567</v>
      </c>
      <c r="G7179" s="17" t="str">
        <f>HYPERLINK("https://www.washoecounty.gov/assessor/cama/?command=sales&amp;parid=51864205","3919951")</f>
        <v>3919951</v>
      </c>
      <c r="H7179" t="s">
        <v>1985</v>
      </c>
      <c r="I7179">
        <v>2003</v>
      </c>
      <c r="J7179">
        <v>2003</v>
      </c>
      <c r="K7179" t="s">
        <v>4554</v>
      </c>
      <c r="L7179" t="s">
        <v>3974</v>
      </c>
      <c r="M7179" s="2">
        <v>2768</v>
      </c>
      <c r="N7179" t="s">
        <v>5280</v>
      </c>
      <c r="O7179">
        <v>4</v>
      </c>
      <c r="P7179">
        <v>3</v>
      </c>
      <c r="Q7179">
        <v>0</v>
      </c>
      <c r="R7179" t="s">
        <v>5281</v>
      </c>
      <c r="S7179" t="s">
        <v>4898</v>
      </c>
      <c r="T7179" t="s">
        <v>2704</v>
      </c>
      <c r="U7179" t="s">
        <v>5631</v>
      </c>
      <c r="V7179" s="2">
        <v>682</v>
      </c>
      <c r="W7179" t="s">
        <v>4655</v>
      </c>
      <c r="X7179" s="2">
        <v>0</v>
      </c>
      <c r="Y7179">
        <v>20</v>
      </c>
      <c r="Z7179" t="s">
        <v>1604</v>
      </c>
      <c r="AA7179" s="3">
        <v>0.167011022567749</v>
      </c>
      <c r="AB7179" t="s">
        <v>3523</v>
      </c>
      <c r="AC7179" t="s">
        <v>4562</v>
      </c>
      <c r="AD7179" t="s">
        <v>34089</v>
      </c>
      <c r="AE7179" t="s">
        <v>4655</v>
      </c>
      <c r="AF7179" t="s">
        <v>5201</v>
      </c>
      <c r="AG7179" t="s">
        <v>4564</v>
      </c>
      <c r="AH7179" t="s">
        <v>1605</v>
      </c>
      <c r="AI7179" t="s">
        <v>34090</v>
      </c>
      <c r="AJ7179" t="s">
        <v>1986</v>
      </c>
      <c r="AK7179" t="s">
        <v>34091</v>
      </c>
      <c r="AL7179" s="13" t="s">
        <v>1886</v>
      </c>
      <c r="AM7179">
        <v>1</v>
      </c>
      <c r="AN7179" s="15" t="s">
        <v>1987</v>
      </c>
    </row>
    <row r="7180" spans="1:40" x14ac:dyDescent="0.3">
      <c r="A7180" s="10" t="str">
        <f>HYPERLINK("http://www.washoecounty.gov/assessor/cama/?parid=518-643-18&amp;CardNumber=1","518-643-18")</f>
        <v>518-643-18</v>
      </c>
      <c r="B7180" t="s">
        <v>4655</v>
      </c>
      <c r="C7180" t="s">
        <v>34092</v>
      </c>
      <c r="D7180" s="1">
        <v>40207</v>
      </c>
      <c r="E7180" s="2">
        <v>245000</v>
      </c>
      <c r="F7180" t="s">
        <v>4567</v>
      </c>
      <c r="G7180" s="17" t="str">
        <f>HYPERLINK("https://www.washoecounty.gov/assessor/cama/?command=sales&amp;parid=51864318","3844276")</f>
        <v>3844276</v>
      </c>
      <c r="H7180" t="s">
        <v>1985</v>
      </c>
      <c r="I7180">
        <v>2003</v>
      </c>
      <c r="J7180">
        <v>2003</v>
      </c>
      <c r="K7180" t="s">
        <v>4554</v>
      </c>
      <c r="L7180" t="s">
        <v>2170</v>
      </c>
      <c r="M7180" s="2">
        <v>2662</v>
      </c>
      <c r="N7180" t="s">
        <v>5280</v>
      </c>
      <c r="O7180">
        <v>4</v>
      </c>
      <c r="P7180">
        <v>2</v>
      </c>
      <c r="Q7180">
        <v>1</v>
      </c>
      <c r="R7180" t="s">
        <v>5281</v>
      </c>
      <c r="S7180" t="s">
        <v>4898</v>
      </c>
      <c r="T7180" t="s">
        <v>2704</v>
      </c>
      <c r="U7180" t="s">
        <v>4560</v>
      </c>
      <c r="V7180" s="2">
        <v>622</v>
      </c>
      <c r="W7180" t="s">
        <v>4655</v>
      </c>
      <c r="X7180" s="2">
        <v>0</v>
      </c>
      <c r="Y7180">
        <v>20</v>
      </c>
      <c r="Z7180" t="s">
        <v>1604</v>
      </c>
      <c r="AA7180" s="3">
        <v>0.33599632978439331</v>
      </c>
      <c r="AB7180" t="s">
        <v>34093</v>
      </c>
      <c r="AC7180" t="s">
        <v>4562</v>
      </c>
      <c r="AD7180" t="s">
        <v>34092</v>
      </c>
      <c r="AE7180" t="s">
        <v>4655</v>
      </c>
      <c r="AF7180" t="s">
        <v>5201</v>
      </c>
      <c r="AG7180" t="s">
        <v>4564</v>
      </c>
      <c r="AH7180" t="s">
        <v>1605</v>
      </c>
      <c r="AI7180" t="s">
        <v>34094</v>
      </c>
      <c r="AJ7180" t="s">
        <v>1986</v>
      </c>
      <c r="AK7180" t="s">
        <v>34095</v>
      </c>
      <c r="AL7180" s="13" t="s">
        <v>1886</v>
      </c>
      <c r="AM7180">
        <v>1</v>
      </c>
      <c r="AN7180" s="15" t="s">
        <v>1987</v>
      </c>
    </row>
    <row r="7181" spans="1:40" x14ac:dyDescent="0.3">
      <c r="A7181" s="10" t="str">
        <f>HYPERLINK("http://www.washoecounty.gov/assessor/cama/?parid=518-643-34&amp;CardNumber=1","518-643-34")</f>
        <v>518-643-34</v>
      </c>
      <c r="B7181" t="s">
        <v>4655</v>
      </c>
      <c r="C7181" t="s">
        <v>34096</v>
      </c>
      <c r="D7181" s="1">
        <v>40184</v>
      </c>
      <c r="E7181" s="2">
        <v>162500</v>
      </c>
      <c r="F7181" t="s">
        <v>4567</v>
      </c>
      <c r="G7181" s="17" t="str">
        <f>HYPERLINK("https://www.washoecounty.gov/assessor/cama/?command=sales&amp;parid=51864334","3836847")</f>
        <v>3836847</v>
      </c>
      <c r="H7181" t="s">
        <v>1985</v>
      </c>
      <c r="I7181">
        <v>2002</v>
      </c>
      <c r="J7181">
        <v>2002</v>
      </c>
      <c r="K7181" t="s">
        <v>4554</v>
      </c>
      <c r="L7181" t="s">
        <v>4555</v>
      </c>
      <c r="M7181" s="2">
        <v>1449</v>
      </c>
      <c r="N7181" t="s">
        <v>5280</v>
      </c>
      <c r="O7181">
        <v>3</v>
      </c>
      <c r="P7181">
        <v>2</v>
      </c>
      <c r="Q7181">
        <v>0</v>
      </c>
      <c r="R7181" t="s">
        <v>4557</v>
      </c>
      <c r="S7181" t="s">
        <v>4898</v>
      </c>
      <c r="T7181" t="s">
        <v>2704</v>
      </c>
      <c r="U7181" t="s">
        <v>4560</v>
      </c>
      <c r="V7181" s="2">
        <v>420</v>
      </c>
      <c r="W7181" t="s">
        <v>4655</v>
      </c>
      <c r="X7181" s="2">
        <v>0</v>
      </c>
      <c r="Y7181">
        <v>20</v>
      </c>
      <c r="Z7181" t="s">
        <v>1604</v>
      </c>
      <c r="AA7181" s="3">
        <v>0.19898989796638489</v>
      </c>
      <c r="AB7181" t="s">
        <v>34097</v>
      </c>
      <c r="AC7181" t="s">
        <v>4562</v>
      </c>
      <c r="AD7181" t="s">
        <v>34096</v>
      </c>
      <c r="AE7181" t="s">
        <v>4655</v>
      </c>
      <c r="AF7181" t="s">
        <v>5201</v>
      </c>
      <c r="AG7181" t="s">
        <v>4564</v>
      </c>
      <c r="AH7181" t="s">
        <v>1605</v>
      </c>
      <c r="AI7181" t="s">
        <v>34098</v>
      </c>
      <c r="AJ7181" t="s">
        <v>1986</v>
      </c>
      <c r="AK7181" t="s">
        <v>34099</v>
      </c>
      <c r="AL7181" s="13" t="s">
        <v>1886</v>
      </c>
      <c r="AM7181">
        <v>1</v>
      </c>
      <c r="AN7181" s="15" t="s">
        <v>1987</v>
      </c>
    </row>
    <row r="7182" spans="1:40" x14ac:dyDescent="0.3">
      <c r="A7182" s="10" t="str">
        <f>HYPERLINK("http://www.washoecounty.gov/assessor/cama/?parid=518-691-03&amp;CardNumber=1","518-691-03")</f>
        <v>518-691-03</v>
      </c>
      <c r="B7182" t="s">
        <v>4655</v>
      </c>
      <c r="C7182" t="s">
        <v>34100</v>
      </c>
      <c r="D7182" s="1">
        <v>40479</v>
      </c>
      <c r="E7182" s="2">
        <v>225000</v>
      </c>
      <c r="F7182" t="s">
        <v>4567</v>
      </c>
      <c r="G7182" s="17" t="str">
        <f>HYPERLINK("https://www.washoecounty.gov/assessor/cama/?command=sales&amp;parid=51869103","3937872")</f>
        <v>3937872</v>
      </c>
      <c r="H7182" t="s">
        <v>1019</v>
      </c>
      <c r="I7182">
        <v>2003</v>
      </c>
      <c r="J7182">
        <v>2003</v>
      </c>
      <c r="K7182" t="s">
        <v>4554</v>
      </c>
      <c r="L7182" t="s">
        <v>4555</v>
      </c>
      <c r="M7182" s="2">
        <v>1998</v>
      </c>
      <c r="N7182" t="s">
        <v>3147</v>
      </c>
      <c r="O7182">
        <v>3</v>
      </c>
      <c r="P7182">
        <v>2</v>
      </c>
      <c r="Q7182">
        <v>1</v>
      </c>
      <c r="R7182" t="s">
        <v>5281</v>
      </c>
      <c r="S7182" t="s">
        <v>4898</v>
      </c>
      <c r="T7182" t="s">
        <v>2704</v>
      </c>
      <c r="U7182" t="s">
        <v>4560</v>
      </c>
      <c r="V7182" s="2">
        <v>704</v>
      </c>
      <c r="W7182" t="s">
        <v>4655</v>
      </c>
      <c r="X7182" s="2">
        <v>0</v>
      </c>
      <c r="Y7182">
        <v>20</v>
      </c>
      <c r="Z7182" t="s">
        <v>1604</v>
      </c>
      <c r="AA7182" s="3">
        <v>0.42899447679519653</v>
      </c>
      <c r="AB7182" t="s">
        <v>34101</v>
      </c>
      <c r="AC7182" t="s">
        <v>4562</v>
      </c>
      <c r="AD7182" t="s">
        <v>34100</v>
      </c>
      <c r="AE7182" t="s">
        <v>4655</v>
      </c>
      <c r="AF7182" t="s">
        <v>5201</v>
      </c>
      <c r="AG7182" t="s">
        <v>4564</v>
      </c>
      <c r="AH7182" t="s">
        <v>1605</v>
      </c>
      <c r="AI7182" t="s">
        <v>34102</v>
      </c>
      <c r="AJ7182" t="s">
        <v>1020</v>
      </c>
      <c r="AK7182" t="s">
        <v>34103</v>
      </c>
      <c r="AL7182" s="13" t="s">
        <v>1886</v>
      </c>
      <c r="AM7182">
        <v>1</v>
      </c>
      <c r="AN7182" s="15" t="s">
        <v>2625</v>
      </c>
    </row>
    <row r="7183" spans="1:40" x14ac:dyDescent="0.3">
      <c r="A7183" s="10" t="str">
        <f>HYPERLINK("http://www.washoecounty.gov/assessor/cama/?parid=518-701-05&amp;CardNumber=1","518-701-05")</f>
        <v>518-701-05</v>
      </c>
      <c r="B7183" t="s">
        <v>4655</v>
      </c>
      <c r="C7183" t="s">
        <v>34104</v>
      </c>
      <c r="D7183" s="1">
        <v>40434</v>
      </c>
      <c r="E7183" s="2">
        <v>177000</v>
      </c>
      <c r="F7183" t="s">
        <v>4567</v>
      </c>
      <c r="G7183" s="17" t="str">
        <f>HYPERLINK("https://www.washoecounty.gov/assessor/cama/?command=sales&amp;parid=51870105","3921362")</f>
        <v>3921362</v>
      </c>
      <c r="H7183" t="s">
        <v>5239</v>
      </c>
      <c r="I7183">
        <v>2003</v>
      </c>
      <c r="J7183">
        <v>2003</v>
      </c>
      <c r="K7183" t="s">
        <v>4554</v>
      </c>
      <c r="L7183" t="s">
        <v>4555</v>
      </c>
      <c r="M7183" s="2">
        <v>1663</v>
      </c>
      <c r="N7183" t="s">
        <v>5280</v>
      </c>
      <c r="O7183">
        <v>3</v>
      </c>
      <c r="P7183">
        <v>2</v>
      </c>
      <c r="Q7183">
        <v>0</v>
      </c>
      <c r="R7183" t="s">
        <v>5281</v>
      </c>
      <c r="S7183" t="s">
        <v>4898</v>
      </c>
      <c r="T7183" t="s">
        <v>2704</v>
      </c>
      <c r="U7183" t="s">
        <v>4560</v>
      </c>
      <c r="V7183" s="2">
        <v>576</v>
      </c>
      <c r="W7183" t="s">
        <v>4655</v>
      </c>
      <c r="X7183" s="2">
        <v>0</v>
      </c>
      <c r="Y7183">
        <v>20</v>
      </c>
      <c r="Z7183" t="s">
        <v>5200</v>
      </c>
      <c r="AA7183" s="3">
        <v>0.15059687197208399</v>
      </c>
      <c r="AB7183" t="s">
        <v>4863</v>
      </c>
      <c r="AC7183" t="s">
        <v>4575</v>
      </c>
      <c r="AD7183" t="s">
        <v>5240</v>
      </c>
      <c r="AE7183" t="s">
        <v>4655</v>
      </c>
      <c r="AF7183" t="s">
        <v>5201</v>
      </c>
      <c r="AG7183" t="s">
        <v>4564</v>
      </c>
      <c r="AH7183" t="s">
        <v>1605</v>
      </c>
      <c r="AI7183" t="s">
        <v>34105</v>
      </c>
      <c r="AJ7183" t="s">
        <v>5241</v>
      </c>
      <c r="AK7183" t="s">
        <v>34106</v>
      </c>
      <c r="AL7183" s="13" t="s">
        <v>1899</v>
      </c>
      <c r="AM7183">
        <v>1</v>
      </c>
      <c r="AN7183" s="15" t="s">
        <v>1987</v>
      </c>
    </row>
    <row r="7184" spans="1:40" x14ac:dyDescent="0.3">
      <c r="A7184" s="10" t="str">
        <f>HYPERLINK("http://www.washoecounty.gov/assessor/cama/?parid=518-703-09&amp;CardNumber=1","518-703-09")</f>
        <v>518-703-09</v>
      </c>
      <c r="B7184" t="s">
        <v>4655</v>
      </c>
      <c r="C7184" t="s">
        <v>34107</v>
      </c>
      <c r="D7184" s="1">
        <v>40476</v>
      </c>
      <c r="E7184" s="2">
        <v>166500</v>
      </c>
      <c r="F7184" t="s">
        <v>4567</v>
      </c>
      <c r="G7184" s="17" t="str">
        <f>HYPERLINK("https://www.washoecounty.gov/assessor/cama/?command=sales&amp;parid=51870309","3936237")</f>
        <v>3936237</v>
      </c>
      <c r="H7184" t="s">
        <v>5239</v>
      </c>
      <c r="I7184">
        <v>2003</v>
      </c>
      <c r="J7184">
        <v>2003</v>
      </c>
      <c r="K7184" t="s">
        <v>4554</v>
      </c>
      <c r="L7184" t="s">
        <v>4555</v>
      </c>
      <c r="M7184" s="2">
        <v>1663</v>
      </c>
      <c r="N7184" t="s">
        <v>5280</v>
      </c>
      <c r="O7184">
        <v>3</v>
      </c>
      <c r="P7184">
        <v>2</v>
      </c>
      <c r="Q7184">
        <v>0</v>
      </c>
      <c r="R7184" t="s">
        <v>4557</v>
      </c>
      <c r="S7184" t="s">
        <v>4898</v>
      </c>
      <c r="T7184" t="s">
        <v>2704</v>
      </c>
      <c r="U7184" t="s">
        <v>4560</v>
      </c>
      <c r="V7184" s="2">
        <v>576</v>
      </c>
      <c r="W7184" t="s">
        <v>4655</v>
      </c>
      <c r="X7184" s="2">
        <v>0</v>
      </c>
      <c r="Y7184">
        <v>20</v>
      </c>
      <c r="Z7184" t="s">
        <v>5200</v>
      </c>
      <c r="AA7184" s="3">
        <v>0.14591367542743683</v>
      </c>
      <c r="AB7184" t="s">
        <v>34108</v>
      </c>
      <c r="AC7184" t="s">
        <v>4562</v>
      </c>
      <c r="AD7184" t="s">
        <v>34107</v>
      </c>
      <c r="AE7184" t="s">
        <v>4655</v>
      </c>
      <c r="AF7184" t="s">
        <v>5201</v>
      </c>
      <c r="AG7184" t="s">
        <v>4564</v>
      </c>
      <c r="AH7184" t="s">
        <v>1605</v>
      </c>
      <c r="AI7184" t="s">
        <v>34109</v>
      </c>
      <c r="AJ7184" t="s">
        <v>5241</v>
      </c>
      <c r="AK7184" t="s">
        <v>34110</v>
      </c>
      <c r="AL7184" s="13" t="s">
        <v>1899</v>
      </c>
      <c r="AM7184" s="14">
        <v>1</v>
      </c>
      <c r="AN7184" s="15" t="s">
        <v>1987</v>
      </c>
    </row>
    <row r="7185" spans="1:40" x14ac:dyDescent="0.3">
      <c r="A7185" s="10" t="str">
        <f>HYPERLINK("http://www.washoecounty.gov/assessor/cama/?parid=520-020-62&amp;CardNumber=1","520-020-62")</f>
        <v>520-020-62</v>
      </c>
      <c r="B7185" t="s">
        <v>4655</v>
      </c>
      <c r="C7185" t="s">
        <v>34111</v>
      </c>
      <c r="D7185" s="1">
        <v>40541</v>
      </c>
      <c r="E7185" s="2">
        <v>650000</v>
      </c>
      <c r="F7185" t="s">
        <v>3528</v>
      </c>
      <c r="G7185" s="17" t="str">
        <f>HYPERLINK("https://www.washoecounty.gov/assessor/cama/?command=sales&amp;parid=52002062","3958716")</f>
        <v>3958716</v>
      </c>
      <c r="H7185" t="s">
        <v>34112</v>
      </c>
      <c r="I7185">
        <v>0</v>
      </c>
      <c r="J7185">
        <v>0</v>
      </c>
      <c r="K7185" t="s">
        <v>4655</v>
      </c>
      <c r="L7185" t="s">
        <v>4655</v>
      </c>
      <c r="M7185" s="2">
        <v>0</v>
      </c>
      <c r="N7185" t="s">
        <v>4655</v>
      </c>
      <c r="O7185">
        <v>0</v>
      </c>
      <c r="P7185">
        <v>0</v>
      </c>
      <c r="Q7185">
        <v>0</v>
      </c>
      <c r="R7185" t="s">
        <v>4655</v>
      </c>
      <c r="S7185" t="s">
        <v>4655</v>
      </c>
      <c r="T7185" t="s">
        <v>4655</v>
      </c>
      <c r="U7185" t="s">
        <v>4655</v>
      </c>
      <c r="V7185" s="2">
        <v>0</v>
      </c>
      <c r="W7185" t="s">
        <v>4655</v>
      </c>
      <c r="X7185" s="2">
        <v>0</v>
      </c>
      <c r="Y7185">
        <v>11</v>
      </c>
      <c r="Z7185" t="s">
        <v>2048</v>
      </c>
      <c r="AA7185" s="3">
        <v>15.616000175476</v>
      </c>
      <c r="AB7185" t="s">
        <v>34113</v>
      </c>
      <c r="AC7185" t="s">
        <v>4562</v>
      </c>
      <c r="AD7185" t="s">
        <v>34114</v>
      </c>
      <c r="AE7185" t="s">
        <v>4655</v>
      </c>
      <c r="AF7185" t="s">
        <v>4563</v>
      </c>
      <c r="AG7185" t="s">
        <v>4564</v>
      </c>
      <c r="AH7185">
        <v>89502</v>
      </c>
      <c r="AI7185" t="s">
        <v>1787</v>
      </c>
      <c r="AJ7185" t="s">
        <v>34115</v>
      </c>
      <c r="AK7185" t="s">
        <v>34116</v>
      </c>
      <c r="AL7185" s="13" t="s">
        <v>1899</v>
      </c>
      <c r="AM7185" s="14">
        <v>0</v>
      </c>
      <c r="AN7185" s="15" t="s">
        <v>2385</v>
      </c>
    </row>
    <row r="7186" spans="1:40" x14ac:dyDescent="0.3">
      <c r="A7186" s="10" t="str">
        <f>HYPERLINK("http://www.washoecounty.gov/assessor/cama/?parid=520-031-15&amp;CardNumber=1","520-031-15")</f>
        <v>520-031-15</v>
      </c>
      <c r="B7186" t="s">
        <v>4655</v>
      </c>
      <c r="C7186" t="s">
        <v>34117</v>
      </c>
      <c r="D7186" s="1">
        <v>40473</v>
      </c>
      <c r="E7186" s="2">
        <v>225000</v>
      </c>
      <c r="F7186" t="s">
        <v>4567</v>
      </c>
      <c r="G7186" s="17" t="str">
        <f>HYPERLINK("https://www.washoecounty.gov/assessor/cama/?command=sales&amp;parid=52003115","3935708")</f>
        <v>3935708</v>
      </c>
      <c r="H7186" t="s">
        <v>5545</v>
      </c>
      <c r="I7186">
        <v>2002</v>
      </c>
      <c r="J7186">
        <v>2002</v>
      </c>
      <c r="K7186" t="s">
        <v>4554</v>
      </c>
      <c r="L7186" t="s">
        <v>4555</v>
      </c>
      <c r="M7186" s="2">
        <v>1976</v>
      </c>
      <c r="N7186" t="s">
        <v>3147</v>
      </c>
      <c r="O7186">
        <v>2</v>
      </c>
      <c r="P7186">
        <v>3</v>
      </c>
      <c r="Q7186">
        <v>0</v>
      </c>
      <c r="R7186" t="s">
        <v>5281</v>
      </c>
      <c r="S7186" t="s">
        <v>4898</v>
      </c>
      <c r="T7186" t="s">
        <v>2704</v>
      </c>
      <c r="U7186" t="s">
        <v>4560</v>
      </c>
      <c r="V7186" s="2">
        <v>553</v>
      </c>
      <c r="W7186" t="s">
        <v>4655</v>
      </c>
      <c r="X7186" s="2">
        <v>0</v>
      </c>
      <c r="Y7186">
        <v>20</v>
      </c>
      <c r="Z7186" t="s">
        <v>2048</v>
      </c>
      <c r="AA7186" s="3">
        <v>0.192011013627052</v>
      </c>
      <c r="AB7186" t="s">
        <v>5304</v>
      </c>
      <c r="AC7186" t="s">
        <v>4575</v>
      </c>
      <c r="AD7186" t="s">
        <v>34117</v>
      </c>
      <c r="AE7186" t="s">
        <v>4655</v>
      </c>
      <c r="AF7186" t="s">
        <v>5201</v>
      </c>
      <c r="AG7186" t="s">
        <v>4564</v>
      </c>
      <c r="AH7186" t="s">
        <v>1605</v>
      </c>
      <c r="AI7186" t="s">
        <v>34118</v>
      </c>
      <c r="AJ7186" t="s">
        <v>34119</v>
      </c>
      <c r="AK7186" t="s">
        <v>34120</v>
      </c>
      <c r="AL7186" s="13" t="s">
        <v>1899</v>
      </c>
      <c r="AM7186">
        <v>1</v>
      </c>
      <c r="AN7186" s="15" t="s">
        <v>26</v>
      </c>
    </row>
    <row r="7187" spans="1:40" x14ac:dyDescent="0.3">
      <c r="A7187" s="10" t="str">
        <f>HYPERLINK("http://www.washoecounty.gov/assessor/cama/?parid=520-032-13&amp;CardNumber=1","520-032-13")</f>
        <v>520-032-13</v>
      </c>
      <c r="B7187" t="s">
        <v>4655</v>
      </c>
      <c r="C7187" t="s">
        <v>34121</v>
      </c>
      <c r="D7187" s="1">
        <v>40186</v>
      </c>
      <c r="E7187" s="2">
        <v>256000</v>
      </c>
      <c r="F7187" t="s">
        <v>4553</v>
      </c>
      <c r="G7187" s="17" t="str">
        <f>HYPERLINK("https://www.washoecounty.gov/assessor/cama/?command=sales&amp;parid=52003213","3837768")</f>
        <v>3837768</v>
      </c>
      <c r="H7187" t="s">
        <v>699</v>
      </c>
      <c r="I7187">
        <v>2002</v>
      </c>
      <c r="J7187">
        <v>2002</v>
      </c>
      <c r="K7187" t="s">
        <v>4554</v>
      </c>
      <c r="L7187" t="s">
        <v>4555</v>
      </c>
      <c r="M7187" s="2">
        <v>1976</v>
      </c>
      <c r="N7187" t="s">
        <v>3147</v>
      </c>
      <c r="O7187">
        <v>3</v>
      </c>
      <c r="P7187">
        <v>3</v>
      </c>
      <c r="Q7187">
        <v>0</v>
      </c>
      <c r="R7187" t="s">
        <v>5281</v>
      </c>
      <c r="S7187" t="s">
        <v>4898</v>
      </c>
      <c r="T7187" t="s">
        <v>2704</v>
      </c>
      <c r="U7187" t="s">
        <v>4560</v>
      </c>
      <c r="V7187" s="2">
        <v>553</v>
      </c>
      <c r="W7187" t="s">
        <v>4655</v>
      </c>
      <c r="X7187" s="2">
        <v>0</v>
      </c>
      <c r="Y7187">
        <v>20</v>
      </c>
      <c r="Z7187" t="s">
        <v>2048</v>
      </c>
      <c r="AA7187" s="3">
        <v>0.24600550532341001</v>
      </c>
      <c r="AB7187" t="s">
        <v>34122</v>
      </c>
      <c r="AC7187" t="s">
        <v>4562</v>
      </c>
      <c r="AD7187" t="s">
        <v>34121</v>
      </c>
      <c r="AE7187" t="s">
        <v>4655</v>
      </c>
      <c r="AF7187" t="s">
        <v>5201</v>
      </c>
      <c r="AG7187" t="s">
        <v>4564</v>
      </c>
      <c r="AH7187" t="s">
        <v>1605</v>
      </c>
      <c r="AI7187" t="s">
        <v>4903</v>
      </c>
      <c r="AJ7187" t="s">
        <v>34123</v>
      </c>
      <c r="AK7187" t="s">
        <v>34124</v>
      </c>
      <c r="AL7187" s="13" t="s">
        <v>1899</v>
      </c>
      <c r="AM7187">
        <v>1</v>
      </c>
      <c r="AN7187" s="15" t="s">
        <v>26</v>
      </c>
    </row>
    <row r="7188" spans="1:40" x14ac:dyDescent="0.3">
      <c r="A7188" s="10" t="str">
        <f>HYPERLINK("http://www.washoecounty.gov/assessor/cama/?parid=520-032-17&amp;CardNumber=1","520-032-17")</f>
        <v>520-032-17</v>
      </c>
      <c r="B7188" t="s">
        <v>4655</v>
      </c>
      <c r="C7188" t="s">
        <v>34125</v>
      </c>
      <c r="D7188" s="1">
        <v>40277</v>
      </c>
      <c r="E7188" s="2">
        <v>260000</v>
      </c>
      <c r="F7188" t="s">
        <v>4553</v>
      </c>
      <c r="G7188" s="17" t="str">
        <f>HYPERLINK("https://www.washoecounty.gov/assessor/cama/?command=sales&amp;parid=52003217","3869441")</f>
        <v>3869441</v>
      </c>
      <c r="H7188" t="s">
        <v>5545</v>
      </c>
      <c r="I7188">
        <v>2002</v>
      </c>
      <c r="J7188">
        <v>2002</v>
      </c>
      <c r="K7188" t="s">
        <v>4554</v>
      </c>
      <c r="L7188" t="s">
        <v>3886</v>
      </c>
      <c r="M7188" s="2">
        <v>2420</v>
      </c>
      <c r="N7188" t="s">
        <v>3147</v>
      </c>
      <c r="O7188">
        <v>5</v>
      </c>
      <c r="P7188">
        <v>4</v>
      </c>
      <c r="Q7188">
        <v>0</v>
      </c>
      <c r="R7188" t="s">
        <v>5281</v>
      </c>
      <c r="S7188" t="s">
        <v>4898</v>
      </c>
      <c r="T7188" t="s">
        <v>2704</v>
      </c>
      <c r="U7188" t="s">
        <v>4560</v>
      </c>
      <c r="V7188" s="2">
        <v>710</v>
      </c>
      <c r="W7188" t="s">
        <v>4655</v>
      </c>
      <c r="X7188" s="2">
        <v>0</v>
      </c>
      <c r="Y7188">
        <v>20</v>
      </c>
      <c r="Z7188" t="s">
        <v>2048</v>
      </c>
      <c r="AA7188" s="3">
        <v>0.28599631786346436</v>
      </c>
      <c r="AB7188" t="s">
        <v>34126</v>
      </c>
      <c r="AC7188" t="s">
        <v>4562</v>
      </c>
      <c r="AD7188" t="s">
        <v>34125</v>
      </c>
      <c r="AE7188" t="s">
        <v>4655</v>
      </c>
      <c r="AF7188" t="s">
        <v>5201</v>
      </c>
      <c r="AG7188" t="s">
        <v>4564</v>
      </c>
      <c r="AH7188" t="s">
        <v>1605</v>
      </c>
      <c r="AI7188" t="s">
        <v>4903</v>
      </c>
      <c r="AJ7188" t="s">
        <v>34127</v>
      </c>
      <c r="AK7188" t="s">
        <v>34128</v>
      </c>
      <c r="AL7188" s="13" t="s">
        <v>1899</v>
      </c>
      <c r="AM7188" s="14">
        <v>1</v>
      </c>
      <c r="AN7188" s="15" t="s">
        <v>26</v>
      </c>
    </row>
    <row r="7189" spans="1:40" x14ac:dyDescent="0.3">
      <c r="A7189" s="10" t="str">
        <f>HYPERLINK("http://www.washoecounty.gov/assessor/cama/?parid=520-032-19&amp;CardNumber=1","520-032-19")</f>
        <v>520-032-19</v>
      </c>
      <c r="B7189" t="s">
        <v>4655</v>
      </c>
      <c r="C7189" t="s">
        <v>34129</v>
      </c>
      <c r="D7189" s="1">
        <v>40512</v>
      </c>
      <c r="E7189" s="2">
        <v>234000</v>
      </c>
      <c r="F7189" t="s">
        <v>4567</v>
      </c>
      <c r="G7189" s="17" t="str">
        <f>HYPERLINK("https://www.washoecounty.gov/assessor/cama/?command=sales&amp;parid=52003219","3947987")</f>
        <v>3947987</v>
      </c>
      <c r="H7189" t="s">
        <v>5545</v>
      </c>
      <c r="I7189">
        <v>2003</v>
      </c>
      <c r="J7189">
        <v>2003</v>
      </c>
      <c r="K7189" t="s">
        <v>4554</v>
      </c>
      <c r="L7189" t="s">
        <v>3886</v>
      </c>
      <c r="M7189" s="2">
        <v>2420</v>
      </c>
      <c r="N7189" t="s">
        <v>3147</v>
      </c>
      <c r="O7189">
        <v>3</v>
      </c>
      <c r="P7189">
        <v>3</v>
      </c>
      <c r="Q7189">
        <v>0</v>
      </c>
      <c r="R7189" t="s">
        <v>5281</v>
      </c>
      <c r="S7189" t="s">
        <v>4898</v>
      </c>
      <c r="T7189" t="s">
        <v>2704</v>
      </c>
      <c r="U7189" t="s">
        <v>4560</v>
      </c>
      <c r="V7189" s="2">
        <v>710</v>
      </c>
      <c r="W7189" t="s">
        <v>4655</v>
      </c>
      <c r="X7189" s="2">
        <v>0</v>
      </c>
      <c r="Y7189">
        <v>20</v>
      </c>
      <c r="Z7189" t="s">
        <v>2048</v>
      </c>
      <c r="AA7189" s="3">
        <v>0.25</v>
      </c>
      <c r="AB7189" t="s">
        <v>34130</v>
      </c>
      <c r="AC7189" t="s">
        <v>4562</v>
      </c>
      <c r="AD7189" t="s">
        <v>34131</v>
      </c>
      <c r="AE7189" t="s">
        <v>4655</v>
      </c>
      <c r="AF7189" t="s">
        <v>5201</v>
      </c>
      <c r="AG7189" t="s">
        <v>4564</v>
      </c>
      <c r="AH7189" t="s">
        <v>1605</v>
      </c>
      <c r="AI7189" t="s">
        <v>34132</v>
      </c>
      <c r="AJ7189" t="s">
        <v>34133</v>
      </c>
      <c r="AK7189" t="s">
        <v>34134</v>
      </c>
      <c r="AL7189" s="13" t="s">
        <v>1899</v>
      </c>
      <c r="AM7189">
        <v>1</v>
      </c>
      <c r="AN7189" s="15" t="s">
        <v>26</v>
      </c>
    </row>
    <row r="7190" spans="1:40" x14ac:dyDescent="0.3">
      <c r="A7190" s="10" t="str">
        <f>HYPERLINK("http://www.washoecounty.gov/assessor/cama/?parid=520-060-01&amp;CardNumber=1","520-060-01")</f>
        <v>520-060-01</v>
      </c>
      <c r="B7190" t="s">
        <v>4655</v>
      </c>
      <c r="C7190" t="s">
        <v>4292</v>
      </c>
      <c r="D7190" s="1">
        <v>40367</v>
      </c>
      <c r="E7190" s="2">
        <v>114000</v>
      </c>
      <c r="F7190" t="s">
        <v>4567</v>
      </c>
      <c r="G7190" s="17" t="str">
        <f>HYPERLINK("https://www.washoecounty.gov/assessor/cama/?command=sales&amp;parid=52006001","3899399")</f>
        <v>3899399</v>
      </c>
      <c r="H7190" t="s">
        <v>72</v>
      </c>
      <c r="I7190">
        <v>1999</v>
      </c>
      <c r="J7190">
        <v>1999</v>
      </c>
      <c r="K7190" t="s">
        <v>4897</v>
      </c>
      <c r="L7190" t="s">
        <v>4555</v>
      </c>
      <c r="M7190" s="2">
        <v>1282</v>
      </c>
      <c r="N7190" t="s">
        <v>3147</v>
      </c>
      <c r="O7190">
        <v>3</v>
      </c>
      <c r="P7190">
        <v>2</v>
      </c>
      <c r="Q7190">
        <v>0</v>
      </c>
      <c r="R7190" t="s">
        <v>4557</v>
      </c>
      <c r="S7190" t="s">
        <v>4898</v>
      </c>
      <c r="T7190" t="s">
        <v>2704</v>
      </c>
      <c r="U7190" t="s">
        <v>5631</v>
      </c>
      <c r="V7190" s="2">
        <v>264</v>
      </c>
      <c r="W7190" t="s">
        <v>4655</v>
      </c>
      <c r="X7190" s="2">
        <v>0</v>
      </c>
      <c r="Y7190">
        <v>21</v>
      </c>
      <c r="Z7190" t="s">
        <v>2048</v>
      </c>
      <c r="AA7190" s="3">
        <v>3.3999081701040303E-2</v>
      </c>
      <c r="AB7190" t="s">
        <v>34135</v>
      </c>
      <c r="AC7190" t="s">
        <v>4562</v>
      </c>
      <c r="AD7190" t="s">
        <v>3462</v>
      </c>
      <c r="AE7190" t="s">
        <v>4655</v>
      </c>
      <c r="AF7190" t="s">
        <v>5201</v>
      </c>
      <c r="AG7190" t="s">
        <v>4564</v>
      </c>
      <c r="AH7190" t="s">
        <v>1605</v>
      </c>
      <c r="AI7190" t="s">
        <v>34136</v>
      </c>
      <c r="AJ7190" t="s">
        <v>34137</v>
      </c>
      <c r="AK7190" t="s">
        <v>34138</v>
      </c>
      <c r="AL7190" s="13" t="s">
        <v>1899</v>
      </c>
      <c r="AM7190">
        <v>1</v>
      </c>
      <c r="AN7190" s="15" t="s">
        <v>74</v>
      </c>
    </row>
    <row r="7191" spans="1:40" x14ac:dyDescent="0.3">
      <c r="A7191" s="10" t="str">
        <f>HYPERLINK("http://www.washoecounty.gov/assessor/cama/?parid=520-070-04&amp;CardNumber=1","520-070-04")</f>
        <v>520-070-04</v>
      </c>
      <c r="B7191" t="s">
        <v>4655</v>
      </c>
      <c r="C7191" t="s">
        <v>27</v>
      </c>
      <c r="D7191" s="1">
        <v>40191</v>
      </c>
      <c r="E7191" s="2">
        <v>107900</v>
      </c>
      <c r="F7191" t="s">
        <v>4553</v>
      </c>
      <c r="G7191" s="17" t="str">
        <f>HYPERLINK("https://www.washoecounty.gov/assessor/cama/?command=sales&amp;parid=52007004","3838780")</f>
        <v>3838780</v>
      </c>
      <c r="H7191" t="s">
        <v>72</v>
      </c>
      <c r="I7191">
        <v>2000</v>
      </c>
      <c r="J7191">
        <v>2000</v>
      </c>
      <c r="K7191" t="s">
        <v>3144</v>
      </c>
      <c r="L7191" t="s">
        <v>4555</v>
      </c>
      <c r="M7191" s="2">
        <v>1064</v>
      </c>
      <c r="N7191" t="s">
        <v>3147</v>
      </c>
      <c r="O7191">
        <v>2</v>
      </c>
      <c r="P7191">
        <v>2</v>
      </c>
      <c r="Q7191">
        <v>0</v>
      </c>
      <c r="R7191" t="s">
        <v>4557</v>
      </c>
      <c r="S7191" t="s">
        <v>4898</v>
      </c>
      <c r="T7191" t="s">
        <v>2704</v>
      </c>
      <c r="U7191" t="s">
        <v>5631</v>
      </c>
      <c r="V7191" s="2">
        <v>264</v>
      </c>
      <c r="W7191" t="s">
        <v>4655</v>
      </c>
      <c r="X7191" s="2">
        <v>0</v>
      </c>
      <c r="Y7191">
        <v>21</v>
      </c>
      <c r="Z7191" t="s">
        <v>2048</v>
      </c>
      <c r="AA7191" s="3">
        <v>2.60101016610861E-2</v>
      </c>
      <c r="AB7191" t="s">
        <v>34139</v>
      </c>
      <c r="AC7191" t="s">
        <v>4575</v>
      </c>
      <c r="AD7191" t="s">
        <v>34140</v>
      </c>
      <c r="AE7191" t="s">
        <v>4655</v>
      </c>
      <c r="AF7191" t="s">
        <v>5201</v>
      </c>
      <c r="AG7191" t="s">
        <v>4564</v>
      </c>
      <c r="AH7191" t="s">
        <v>1605</v>
      </c>
      <c r="AI7191" t="s">
        <v>34141</v>
      </c>
      <c r="AJ7191" t="s">
        <v>34142</v>
      </c>
      <c r="AK7191" t="s">
        <v>34143</v>
      </c>
      <c r="AL7191" s="13" t="s">
        <v>1899</v>
      </c>
      <c r="AM7191">
        <v>1</v>
      </c>
      <c r="AN7191" s="15" t="s">
        <v>74</v>
      </c>
    </row>
    <row r="7192" spans="1:40" x14ac:dyDescent="0.3">
      <c r="A7192" s="10" t="str">
        <f>HYPERLINK("http://www.washoecounty.gov/assessor/cama/?parid=520-080-03&amp;CardNumber=1","520-080-03")</f>
        <v>520-080-03</v>
      </c>
      <c r="B7192" t="s">
        <v>4655</v>
      </c>
      <c r="C7192" t="s">
        <v>4292</v>
      </c>
      <c r="D7192" s="1">
        <v>40317</v>
      </c>
      <c r="E7192" s="2">
        <v>103950</v>
      </c>
      <c r="F7192" t="s">
        <v>4553</v>
      </c>
      <c r="G7192" s="17" t="str">
        <f>HYPERLINK("https://www.washoecounty.gov/assessor/cama/?command=sales&amp;parid=52008003","3883113")</f>
        <v>3883113</v>
      </c>
      <c r="H7192" t="s">
        <v>72</v>
      </c>
      <c r="I7192">
        <v>1999</v>
      </c>
      <c r="J7192">
        <v>1999</v>
      </c>
      <c r="K7192" t="s">
        <v>3144</v>
      </c>
      <c r="L7192" t="s">
        <v>4555</v>
      </c>
      <c r="M7192" s="2">
        <v>1064</v>
      </c>
      <c r="N7192" t="s">
        <v>3147</v>
      </c>
      <c r="O7192">
        <v>2</v>
      </c>
      <c r="P7192">
        <v>2</v>
      </c>
      <c r="Q7192">
        <v>0</v>
      </c>
      <c r="R7192" t="s">
        <v>5281</v>
      </c>
      <c r="S7192" t="s">
        <v>4898</v>
      </c>
      <c r="T7192" t="s">
        <v>2704</v>
      </c>
      <c r="U7192" t="s">
        <v>5631</v>
      </c>
      <c r="V7192" s="2">
        <v>264</v>
      </c>
      <c r="W7192" t="s">
        <v>4655</v>
      </c>
      <c r="X7192" s="2">
        <v>0</v>
      </c>
      <c r="Y7192">
        <v>21</v>
      </c>
      <c r="Z7192" t="s">
        <v>2048</v>
      </c>
      <c r="AA7192" s="3">
        <v>2.5000000372528999E-2</v>
      </c>
      <c r="AB7192" t="s">
        <v>34144</v>
      </c>
      <c r="AC7192" t="s">
        <v>4562</v>
      </c>
      <c r="AD7192" t="s">
        <v>34145</v>
      </c>
      <c r="AE7192" t="s">
        <v>4655</v>
      </c>
      <c r="AF7192" t="s">
        <v>5201</v>
      </c>
      <c r="AG7192" t="s">
        <v>4564</v>
      </c>
      <c r="AH7192" t="s">
        <v>1605</v>
      </c>
      <c r="AI7192" t="s">
        <v>4903</v>
      </c>
      <c r="AJ7192" t="s">
        <v>34146</v>
      </c>
      <c r="AK7192" t="s">
        <v>34147</v>
      </c>
      <c r="AL7192" s="13" t="s">
        <v>1899</v>
      </c>
      <c r="AM7192" s="14">
        <v>1</v>
      </c>
      <c r="AN7192" s="15" t="s">
        <v>74</v>
      </c>
    </row>
    <row r="7193" spans="1:40" x14ac:dyDescent="0.3">
      <c r="A7193" s="10" t="str">
        <f>HYPERLINK("http://www.washoecounty.gov/assessor/cama/?parid=520-080-06&amp;CardNumber=1","520-080-06")</f>
        <v>520-080-06</v>
      </c>
      <c r="B7193" t="s">
        <v>4655</v>
      </c>
      <c r="C7193" t="s">
        <v>4292</v>
      </c>
      <c r="D7193" s="1">
        <v>40519</v>
      </c>
      <c r="E7193" s="2">
        <v>96000</v>
      </c>
      <c r="F7193" t="s">
        <v>4553</v>
      </c>
      <c r="G7193" s="17" t="str">
        <f>HYPERLINK("https://www.washoecounty.gov/assessor/cama/?command=sales&amp;parid=52008006","3950467")</f>
        <v>3950467</v>
      </c>
      <c r="H7193" t="s">
        <v>72</v>
      </c>
      <c r="I7193">
        <v>1999</v>
      </c>
      <c r="J7193">
        <v>1999</v>
      </c>
      <c r="K7193" t="s">
        <v>4897</v>
      </c>
      <c r="L7193" t="s">
        <v>4555</v>
      </c>
      <c r="M7193" s="2">
        <v>1156</v>
      </c>
      <c r="N7193" t="s">
        <v>3147</v>
      </c>
      <c r="O7193">
        <v>2</v>
      </c>
      <c r="P7193">
        <v>2</v>
      </c>
      <c r="Q7193">
        <v>0</v>
      </c>
      <c r="R7193" t="s">
        <v>5281</v>
      </c>
      <c r="S7193" t="s">
        <v>4898</v>
      </c>
      <c r="T7193" t="s">
        <v>2704</v>
      </c>
      <c r="U7193" t="s">
        <v>5631</v>
      </c>
      <c r="V7193" s="2">
        <v>264</v>
      </c>
      <c r="W7193" t="s">
        <v>4655</v>
      </c>
      <c r="X7193" s="2">
        <v>0</v>
      </c>
      <c r="Y7193">
        <v>21</v>
      </c>
      <c r="Z7193" t="s">
        <v>2048</v>
      </c>
      <c r="AA7193" s="3">
        <v>2.60101016610861E-2</v>
      </c>
      <c r="AB7193" t="s">
        <v>34148</v>
      </c>
      <c r="AC7193" t="s">
        <v>4562</v>
      </c>
      <c r="AD7193" t="s">
        <v>34149</v>
      </c>
      <c r="AE7193" t="s">
        <v>4655</v>
      </c>
      <c r="AF7193" t="s">
        <v>5201</v>
      </c>
      <c r="AG7193" t="s">
        <v>4564</v>
      </c>
      <c r="AH7193" t="s">
        <v>1605</v>
      </c>
      <c r="AI7193" t="s">
        <v>34150</v>
      </c>
      <c r="AJ7193" t="s">
        <v>34151</v>
      </c>
      <c r="AK7193" t="s">
        <v>34152</v>
      </c>
      <c r="AL7193" s="13" t="s">
        <v>1899</v>
      </c>
      <c r="AM7193" s="14">
        <v>1</v>
      </c>
      <c r="AN7193" s="15" t="s">
        <v>74</v>
      </c>
    </row>
    <row r="7194" spans="1:40" x14ac:dyDescent="0.3">
      <c r="A7194" s="10" t="str">
        <f>HYPERLINK("http://www.washoecounty.gov/assessor/cama/?parid=520-101-05&amp;CardNumber=1","520-101-05")</f>
        <v>520-101-05</v>
      </c>
      <c r="B7194" t="s">
        <v>4655</v>
      </c>
      <c r="C7194" t="s">
        <v>34153</v>
      </c>
      <c r="D7194" s="1">
        <v>40506</v>
      </c>
      <c r="E7194" s="2">
        <v>95000</v>
      </c>
      <c r="F7194" t="s">
        <v>4553</v>
      </c>
      <c r="G7194" s="17" t="str">
        <f>HYPERLINK("https://www.washoecounty.gov/assessor/cama/?command=sales&amp;parid=52010105","3946493")</f>
        <v>3946493</v>
      </c>
      <c r="H7194" t="s">
        <v>2762</v>
      </c>
      <c r="I7194">
        <v>2001</v>
      </c>
      <c r="J7194">
        <v>2001</v>
      </c>
      <c r="K7194" t="s">
        <v>4554</v>
      </c>
      <c r="L7194" t="s">
        <v>3974</v>
      </c>
      <c r="M7194" s="2">
        <v>1386</v>
      </c>
      <c r="N7194" t="s">
        <v>3147</v>
      </c>
      <c r="O7194">
        <v>3</v>
      </c>
      <c r="P7194">
        <v>2</v>
      </c>
      <c r="Q7194">
        <v>1</v>
      </c>
      <c r="R7194" t="s">
        <v>5281</v>
      </c>
      <c r="S7194" t="s">
        <v>4898</v>
      </c>
      <c r="T7194" t="s">
        <v>2704</v>
      </c>
      <c r="U7194" t="s">
        <v>5631</v>
      </c>
      <c r="V7194" s="2">
        <v>399</v>
      </c>
      <c r="W7194" t="s">
        <v>4655</v>
      </c>
      <c r="X7194" s="2">
        <v>0</v>
      </c>
      <c r="Y7194">
        <v>20</v>
      </c>
      <c r="Z7194" t="s">
        <v>2048</v>
      </c>
      <c r="AA7194" s="3">
        <v>6.0996327549219097E-2</v>
      </c>
      <c r="AB7194" t="s">
        <v>34154</v>
      </c>
      <c r="AC7194" t="s">
        <v>4562</v>
      </c>
      <c r="AD7194" t="s">
        <v>34153</v>
      </c>
      <c r="AE7194" t="s">
        <v>4655</v>
      </c>
      <c r="AF7194" t="s">
        <v>5201</v>
      </c>
      <c r="AG7194" t="s">
        <v>4564</v>
      </c>
      <c r="AH7194" t="s">
        <v>1605</v>
      </c>
      <c r="AI7194" t="s">
        <v>4045</v>
      </c>
      <c r="AJ7194" t="s">
        <v>34155</v>
      </c>
      <c r="AK7194" t="s">
        <v>34156</v>
      </c>
      <c r="AL7194" s="13" t="s">
        <v>1899</v>
      </c>
      <c r="AM7194">
        <v>1</v>
      </c>
      <c r="AN7194" s="15" t="s">
        <v>4301</v>
      </c>
    </row>
    <row r="7195" spans="1:40" x14ac:dyDescent="0.3">
      <c r="A7195" s="10" t="str">
        <f>HYPERLINK("http://www.washoecounty.gov/assessor/cama/?parid=520-101-16&amp;CardNumber=1","520-101-16")</f>
        <v>520-101-16</v>
      </c>
      <c r="B7195" t="s">
        <v>4655</v>
      </c>
      <c r="C7195" t="s">
        <v>34157</v>
      </c>
      <c r="D7195" s="1">
        <v>40358</v>
      </c>
      <c r="E7195" s="2">
        <v>123000</v>
      </c>
      <c r="F7195" t="s">
        <v>4567</v>
      </c>
      <c r="G7195" s="17" t="str">
        <f>HYPERLINK("https://www.washoecounty.gov/assessor/cama/?command=sales&amp;parid=52010116","3896743")</f>
        <v>3896743</v>
      </c>
      <c r="H7195" t="s">
        <v>2762</v>
      </c>
      <c r="I7195">
        <v>1999</v>
      </c>
      <c r="J7195">
        <v>1999</v>
      </c>
      <c r="K7195" t="s">
        <v>4554</v>
      </c>
      <c r="L7195" t="s">
        <v>4555</v>
      </c>
      <c r="M7195" s="2">
        <v>1116</v>
      </c>
      <c r="N7195" t="s">
        <v>3147</v>
      </c>
      <c r="O7195">
        <v>3</v>
      </c>
      <c r="P7195">
        <v>2</v>
      </c>
      <c r="Q7195">
        <v>0</v>
      </c>
      <c r="R7195" t="s">
        <v>4557</v>
      </c>
      <c r="S7195" t="s">
        <v>4898</v>
      </c>
      <c r="T7195" t="s">
        <v>2704</v>
      </c>
      <c r="U7195" t="s">
        <v>4560</v>
      </c>
      <c r="V7195" s="2">
        <v>420</v>
      </c>
      <c r="W7195" t="s">
        <v>4655</v>
      </c>
      <c r="X7195" s="2">
        <v>0</v>
      </c>
      <c r="Y7195">
        <v>20</v>
      </c>
      <c r="Z7195" t="s">
        <v>2048</v>
      </c>
      <c r="AA7195" s="3">
        <v>7.6997242867946597E-2</v>
      </c>
      <c r="AB7195" t="s">
        <v>34158</v>
      </c>
      <c r="AC7195" t="s">
        <v>4562</v>
      </c>
      <c r="AD7195" t="s">
        <v>34157</v>
      </c>
      <c r="AE7195" t="s">
        <v>4655</v>
      </c>
      <c r="AF7195" t="s">
        <v>5201</v>
      </c>
      <c r="AG7195" t="s">
        <v>4564</v>
      </c>
      <c r="AH7195" t="s">
        <v>1605</v>
      </c>
      <c r="AI7195" t="s">
        <v>34159</v>
      </c>
      <c r="AJ7195" t="s">
        <v>34160</v>
      </c>
      <c r="AK7195" t="s">
        <v>34161</v>
      </c>
      <c r="AL7195" s="13" t="s">
        <v>1899</v>
      </c>
      <c r="AM7195">
        <v>1</v>
      </c>
      <c r="AN7195" s="15" t="s">
        <v>4301</v>
      </c>
    </row>
    <row r="7196" spans="1:40" x14ac:dyDescent="0.3">
      <c r="A7196" s="10" t="str">
        <f>HYPERLINK("http://www.washoecounty.gov/assessor/cama/?parid=520-102-03&amp;CardNumber=1","520-102-03")</f>
        <v>520-102-03</v>
      </c>
      <c r="B7196" t="s">
        <v>4655</v>
      </c>
      <c r="C7196" t="s">
        <v>34162</v>
      </c>
      <c r="D7196" s="1">
        <v>40535</v>
      </c>
      <c r="E7196" s="2">
        <v>111000</v>
      </c>
      <c r="F7196" t="s">
        <v>4567</v>
      </c>
      <c r="G7196" s="17" t="str">
        <f>HYPERLINK("https://www.washoecounty.gov/assessor/cama/?command=sales&amp;parid=52010203","3956991")</f>
        <v>3956991</v>
      </c>
      <c r="H7196" t="s">
        <v>2762</v>
      </c>
      <c r="I7196">
        <v>2001</v>
      </c>
      <c r="J7196">
        <v>2001</v>
      </c>
      <c r="K7196" t="s">
        <v>4554</v>
      </c>
      <c r="L7196" t="s">
        <v>4555</v>
      </c>
      <c r="M7196" s="2">
        <v>1249</v>
      </c>
      <c r="N7196" t="s">
        <v>3147</v>
      </c>
      <c r="O7196">
        <v>2</v>
      </c>
      <c r="P7196">
        <v>2</v>
      </c>
      <c r="Q7196">
        <v>0</v>
      </c>
      <c r="R7196" t="s">
        <v>5281</v>
      </c>
      <c r="S7196" t="s">
        <v>4898</v>
      </c>
      <c r="T7196" t="s">
        <v>2704</v>
      </c>
      <c r="U7196" t="s">
        <v>4560</v>
      </c>
      <c r="V7196" s="2">
        <v>399</v>
      </c>
      <c r="W7196" t="s">
        <v>4655</v>
      </c>
      <c r="X7196" s="2">
        <v>0</v>
      </c>
      <c r="Y7196">
        <v>20</v>
      </c>
      <c r="Z7196" t="s">
        <v>2048</v>
      </c>
      <c r="AA7196" s="3">
        <v>7.8994490206241594E-2</v>
      </c>
      <c r="AB7196" t="s">
        <v>34163</v>
      </c>
      <c r="AC7196" t="s">
        <v>4562</v>
      </c>
      <c r="AD7196" t="s">
        <v>4952</v>
      </c>
      <c r="AE7196" t="s">
        <v>4655</v>
      </c>
      <c r="AF7196" t="s">
        <v>5201</v>
      </c>
      <c r="AG7196" t="s">
        <v>4564</v>
      </c>
      <c r="AH7196" t="s">
        <v>1605</v>
      </c>
      <c r="AI7196" t="s">
        <v>34164</v>
      </c>
      <c r="AJ7196" t="s">
        <v>34165</v>
      </c>
      <c r="AK7196" t="s">
        <v>34166</v>
      </c>
      <c r="AL7196" s="13" t="s">
        <v>1899</v>
      </c>
      <c r="AM7196" s="14">
        <v>1</v>
      </c>
      <c r="AN7196" s="15" t="s">
        <v>4301</v>
      </c>
    </row>
    <row r="7197" spans="1:40" x14ac:dyDescent="0.3">
      <c r="A7197" s="10" t="str">
        <f>HYPERLINK("http://www.washoecounty.gov/assessor/cama/?parid=520-102-04&amp;CardNumber=1","520-102-04")</f>
        <v>520-102-04</v>
      </c>
      <c r="B7197" t="s">
        <v>4655</v>
      </c>
      <c r="C7197" t="s">
        <v>34167</v>
      </c>
      <c r="D7197" s="1">
        <v>40350</v>
      </c>
      <c r="E7197" s="2">
        <v>124900</v>
      </c>
      <c r="F7197" t="s">
        <v>4553</v>
      </c>
      <c r="G7197" s="17" t="str">
        <f>HYPERLINK("https://www.washoecounty.gov/assessor/cama/?command=sales&amp;parid=52010204","3893598")</f>
        <v>3893598</v>
      </c>
      <c r="H7197" t="s">
        <v>2762</v>
      </c>
      <c r="I7197">
        <v>2001</v>
      </c>
      <c r="J7197">
        <v>2001</v>
      </c>
      <c r="K7197" t="s">
        <v>4554</v>
      </c>
      <c r="L7197" t="s">
        <v>3974</v>
      </c>
      <c r="M7197" s="2">
        <v>1386</v>
      </c>
      <c r="N7197" t="s">
        <v>3147</v>
      </c>
      <c r="O7197">
        <v>3</v>
      </c>
      <c r="P7197">
        <v>2</v>
      </c>
      <c r="Q7197">
        <v>1</v>
      </c>
      <c r="R7197" t="s">
        <v>4557</v>
      </c>
      <c r="S7197" t="s">
        <v>4898</v>
      </c>
      <c r="T7197" t="s">
        <v>2704</v>
      </c>
      <c r="U7197" t="s">
        <v>5631</v>
      </c>
      <c r="V7197" s="2">
        <v>399</v>
      </c>
      <c r="W7197" t="s">
        <v>4655</v>
      </c>
      <c r="X7197" s="2">
        <v>0</v>
      </c>
      <c r="Y7197">
        <v>20</v>
      </c>
      <c r="Z7197" t="s">
        <v>2048</v>
      </c>
      <c r="AA7197" s="3">
        <v>6.0996327549219097E-2</v>
      </c>
      <c r="AB7197" t="s">
        <v>34168</v>
      </c>
      <c r="AC7197" t="s">
        <v>4562</v>
      </c>
      <c r="AD7197" t="s">
        <v>34167</v>
      </c>
      <c r="AE7197" t="s">
        <v>4655</v>
      </c>
      <c r="AF7197" t="s">
        <v>5201</v>
      </c>
      <c r="AG7197" t="s">
        <v>4564</v>
      </c>
      <c r="AH7197" t="s">
        <v>1605</v>
      </c>
      <c r="AI7197" t="s">
        <v>4045</v>
      </c>
      <c r="AJ7197" t="s">
        <v>34169</v>
      </c>
      <c r="AK7197" t="s">
        <v>34170</v>
      </c>
      <c r="AL7197" s="13" t="s">
        <v>1899</v>
      </c>
      <c r="AM7197" s="14">
        <v>1</v>
      </c>
      <c r="AN7197" s="15" t="s">
        <v>4301</v>
      </c>
    </row>
    <row r="7198" spans="1:40" x14ac:dyDescent="0.3">
      <c r="A7198" s="10" t="str">
        <f>HYPERLINK("http://www.washoecounty.gov/assessor/cama/?parid=520-102-07&amp;CardNumber=1","520-102-07")</f>
        <v>520-102-07</v>
      </c>
      <c r="B7198" t="s">
        <v>4655</v>
      </c>
      <c r="C7198" t="s">
        <v>34171</v>
      </c>
      <c r="D7198" s="1">
        <v>40497</v>
      </c>
      <c r="E7198" s="2">
        <v>129900</v>
      </c>
      <c r="F7198" t="s">
        <v>4553</v>
      </c>
      <c r="G7198" s="17" t="str">
        <f>HYPERLINK("https://www.washoecounty.gov/assessor/cama/?command=sales&amp;parid=52010207","3943099")</f>
        <v>3943099</v>
      </c>
      <c r="H7198" t="s">
        <v>2762</v>
      </c>
      <c r="I7198">
        <v>2001</v>
      </c>
      <c r="J7198">
        <v>2001</v>
      </c>
      <c r="K7198" t="s">
        <v>4554</v>
      </c>
      <c r="L7198" t="s">
        <v>3974</v>
      </c>
      <c r="M7198" s="2">
        <v>1458</v>
      </c>
      <c r="N7198" t="s">
        <v>3147</v>
      </c>
      <c r="O7198">
        <v>2</v>
      </c>
      <c r="P7198">
        <v>2</v>
      </c>
      <c r="Q7198">
        <v>1</v>
      </c>
      <c r="R7198" t="s">
        <v>5281</v>
      </c>
      <c r="S7198" t="s">
        <v>4898</v>
      </c>
      <c r="T7198" t="s">
        <v>2704</v>
      </c>
      <c r="U7198" t="s">
        <v>5631</v>
      </c>
      <c r="V7198" s="2">
        <v>419</v>
      </c>
      <c r="W7198" t="s">
        <v>4655</v>
      </c>
      <c r="X7198" s="2">
        <v>0</v>
      </c>
      <c r="Y7198">
        <v>20</v>
      </c>
      <c r="Z7198" t="s">
        <v>2048</v>
      </c>
      <c r="AA7198" s="3">
        <v>6.6000916063785595E-2</v>
      </c>
      <c r="AB7198" t="s">
        <v>34172</v>
      </c>
      <c r="AC7198" t="s">
        <v>4562</v>
      </c>
      <c r="AD7198" t="s">
        <v>34171</v>
      </c>
      <c r="AE7198" t="s">
        <v>4655</v>
      </c>
      <c r="AF7198" t="s">
        <v>5201</v>
      </c>
      <c r="AG7198" t="s">
        <v>4564</v>
      </c>
      <c r="AH7198" t="s">
        <v>1605</v>
      </c>
      <c r="AI7198" t="s">
        <v>717</v>
      </c>
      <c r="AJ7198" t="s">
        <v>34173</v>
      </c>
      <c r="AK7198" t="s">
        <v>34174</v>
      </c>
      <c r="AL7198" s="13" t="s">
        <v>1899</v>
      </c>
      <c r="AM7198">
        <v>1</v>
      </c>
      <c r="AN7198" s="15" t="s">
        <v>4301</v>
      </c>
    </row>
    <row r="7199" spans="1:40" x14ac:dyDescent="0.3">
      <c r="A7199" s="10" t="str">
        <f>HYPERLINK("http://www.washoecounty.gov/assessor/cama/?parid=520-114-02&amp;CardNumber=1","520-114-02")</f>
        <v>520-114-02</v>
      </c>
      <c r="B7199" t="s">
        <v>4655</v>
      </c>
      <c r="C7199" t="s">
        <v>34175</v>
      </c>
      <c r="D7199" s="1">
        <v>40506</v>
      </c>
      <c r="E7199" s="2">
        <v>118300</v>
      </c>
      <c r="F7199" t="s">
        <v>4567</v>
      </c>
      <c r="G7199" s="17" t="str">
        <f>HYPERLINK("https://www.washoecounty.gov/assessor/cama/?command=sales&amp;parid=52011402","3946852")</f>
        <v>3946852</v>
      </c>
      <c r="H7199" t="s">
        <v>2762</v>
      </c>
      <c r="I7199">
        <v>1999</v>
      </c>
      <c r="J7199">
        <v>1999</v>
      </c>
      <c r="K7199" t="s">
        <v>4554</v>
      </c>
      <c r="L7199" t="s">
        <v>3974</v>
      </c>
      <c r="M7199" s="2">
        <v>1386</v>
      </c>
      <c r="N7199" t="s">
        <v>3147</v>
      </c>
      <c r="O7199">
        <v>3</v>
      </c>
      <c r="P7199">
        <v>2</v>
      </c>
      <c r="Q7199">
        <v>1</v>
      </c>
      <c r="R7199" t="s">
        <v>4557</v>
      </c>
      <c r="S7199" t="s">
        <v>4898</v>
      </c>
      <c r="T7199" t="s">
        <v>2704</v>
      </c>
      <c r="U7199" t="s">
        <v>5631</v>
      </c>
      <c r="V7199" s="2">
        <v>399</v>
      </c>
      <c r="W7199" t="s">
        <v>4655</v>
      </c>
      <c r="X7199" s="2">
        <v>0</v>
      </c>
      <c r="Y7199">
        <v>20</v>
      </c>
      <c r="Z7199" t="s">
        <v>2048</v>
      </c>
      <c r="AA7199" s="3">
        <v>6.9995410740375505E-2</v>
      </c>
      <c r="AB7199" t="s">
        <v>33236</v>
      </c>
      <c r="AC7199" t="s">
        <v>4575</v>
      </c>
      <c r="AD7199" t="s">
        <v>33237</v>
      </c>
      <c r="AE7199" t="s">
        <v>4655</v>
      </c>
      <c r="AF7199" t="s">
        <v>5201</v>
      </c>
      <c r="AG7199" t="s">
        <v>5529</v>
      </c>
      <c r="AH7199" t="s">
        <v>1605</v>
      </c>
      <c r="AI7199" t="s">
        <v>34176</v>
      </c>
      <c r="AJ7199" t="s">
        <v>34177</v>
      </c>
      <c r="AK7199" t="s">
        <v>34178</v>
      </c>
      <c r="AL7199" s="13" t="s">
        <v>1899</v>
      </c>
      <c r="AM7199">
        <v>1</v>
      </c>
      <c r="AN7199" s="15" t="s">
        <v>4301</v>
      </c>
    </row>
    <row r="7200" spans="1:40" x14ac:dyDescent="0.3">
      <c r="A7200" s="10" t="str">
        <f>HYPERLINK("http://www.washoecounty.gov/assessor/cama/?parid=520-120-04&amp;CardNumber=1","520-120-04")</f>
        <v>520-120-04</v>
      </c>
      <c r="B7200" t="s">
        <v>4655</v>
      </c>
      <c r="C7200" t="s">
        <v>34179</v>
      </c>
      <c r="D7200" s="1">
        <v>40463</v>
      </c>
      <c r="E7200" s="2">
        <v>550000</v>
      </c>
      <c r="F7200" t="s">
        <v>4567</v>
      </c>
      <c r="G7200" s="17" t="str">
        <f>HYPERLINK("https://www.washoecounty.gov/assessor/cama/?command=sales&amp;parid=52012004","3931906")</f>
        <v>3931906</v>
      </c>
      <c r="H7200" t="s">
        <v>75</v>
      </c>
      <c r="I7200">
        <v>2006</v>
      </c>
      <c r="J7200">
        <v>2006</v>
      </c>
      <c r="K7200" t="s">
        <v>4554</v>
      </c>
      <c r="L7200" t="s">
        <v>4555</v>
      </c>
      <c r="M7200" s="2">
        <v>2935</v>
      </c>
      <c r="N7200" t="s">
        <v>2008</v>
      </c>
      <c r="O7200">
        <v>4</v>
      </c>
      <c r="P7200">
        <v>4</v>
      </c>
      <c r="Q7200">
        <v>2</v>
      </c>
      <c r="R7200" t="s">
        <v>5281</v>
      </c>
      <c r="S7200" t="s">
        <v>4898</v>
      </c>
      <c r="T7200" t="s">
        <v>4559</v>
      </c>
      <c r="U7200" t="s">
        <v>4560</v>
      </c>
      <c r="V7200" s="2">
        <v>841</v>
      </c>
      <c r="W7200" t="s">
        <v>3201</v>
      </c>
      <c r="X7200" s="2">
        <v>2678</v>
      </c>
      <c r="Y7200">
        <v>20</v>
      </c>
      <c r="Z7200" t="s">
        <v>2048</v>
      </c>
      <c r="AA7200" s="3">
        <v>0.57699722051620395</v>
      </c>
      <c r="AB7200" t="s">
        <v>34180</v>
      </c>
      <c r="AC7200" t="s">
        <v>4562</v>
      </c>
      <c r="AD7200" t="s">
        <v>34181</v>
      </c>
      <c r="AE7200" t="s">
        <v>4655</v>
      </c>
      <c r="AF7200" t="s">
        <v>34182</v>
      </c>
      <c r="AG7200" t="s">
        <v>2016</v>
      </c>
      <c r="AH7200" t="s">
        <v>34183</v>
      </c>
      <c r="AI7200" t="s">
        <v>34184</v>
      </c>
      <c r="AJ7200" t="s">
        <v>2061</v>
      </c>
      <c r="AK7200" t="s">
        <v>34185</v>
      </c>
      <c r="AL7200" s="13" t="s">
        <v>1899</v>
      </c>
      <c r="AM7200" s="14">
        <v>1</v>
      </c>
      <c r="AN7200" s="15" t="s">
        <v>2062</v>
      </c>
    </row>
    <row r="7201" spans="1:40" x14ac:dyDescent="0.3">
      <c r="A7201" s="10" t="str">
        <f>HYPERLINK("http://www.washoecounty.gov/assessor/cama/?parid=520-120-09&amp;CardNumber=1","520-120-09")</f>
        <v>520-120-09</v>
      </c>
      <c r="B7201" t="s">
        <v>4655</v>
      </c>
      <c r="C7201" t="s">
        <v>34186</v>
      </c>
      <c r="D7201" s="1">
        <v>40200</v>
      </c>
      <c r="E7201" s="2">
        <v>475000</v>
      </c>
      <c r="F7201" t="s">
        <v>4567</v>
      </c>
      <c r="G7201" s="17" t="str">
        <f>HYPERLINK("https://www.washoecounty.gov/assessor/cama/?command=sales&amp;parid=52012009","3842013")</f>
        <v>3842013</v>
      </c>
      <c r="H7201" t="s">
        <v>75</v>
      </c>
      <c r="I7201">
        <v>2004</v>
      </c>
      <c r="J7201">
        <v>2004</v>
      </c>
      <c r="K7201" t="s">
        <v>4554</v>
      </c>
      <c r="L7201" t="s">
        <v>3974</v>
      </c>
      <c r="M7201" s="2">
        <v>3947</v>
      </c>
      <c r="N7201" t="s">
        <v>5106</v>
      </c>
      <c r="O7201">
        <v>4</v>
      </c>
      <c r="P7201">
        <v>3</v>
      </c>
      <c r="Q7201">
        <v>1</v>
      </c>
      <c r="R7201" t="s">
        <v>5281</v>
      </c>
      <c r="S7201" t="s">
        <v>4898</v>
      </c>
      <c r="T7201" t="s">
        <v>2704</v>
      </c>
      <c r="U7201" t="s">
        <v>4560</v>
      </c>
      <c r="V7201" s="2">
        <v>1177</v>
      </c>
      <c r="W7201" t="s">
        <v>4655</v>
      </c>
      <c r="X7201" s="2">
        <v>0</v>
      </c>
      <c r="Y7201">
        <v>20</v>
      </c>
      <c r="Z7201" t="s">
        <v>2048</v>
      </c>
      <c r="AA7201" s="3">
        <v>1.00199723243713</v>
      </c>
      <c r="AB7201" t="s">
        <v>34187</v>
      </c>
      <c r="AC7201" t="s">
        <v>4562</v>
      </c>
      <c r="AD7201" t="s">
        <v>34188</v>
      </c>
      <c r="AE7201" t="s">
        <v>4655</v>
      </c>
      <c r="AF7201" t="s">
        <v>5201</v>
      </c>
      <c r="AG7201" t="s">
        <v>4564</v>
      </c>
      <c r="AH7201" t="s">
        <v>1605</v>
      </c>
      <c r="AI7201" t="s">
        <v>4655</v>
      </c>
      <c r="AJ7201" t="s">
        <v>2061</v>
      </c>
      <c r="AK7201" t="s">
        <v>34189</v>
      </c>
      <c r="AL7201" s="13" t="s">
        <v>1899</v>
      </c>
      <c r="AM7201" s="14">
        <v>1</v>
      </c>
      <c r="AN7201" s="15" t="s">
        <v>2062</v>
      </c>
    </row>
    <row r="7202" spans="1:40" x14ac:dyDescent="0.3">
      <c r="A7202" s="10" t="str">
        <f>HYPERLINK("http://www.washoecounty.gov/assessor/cama/?parid=520-120-12&amp;CardNumber=1","520-120-12")</f>
        <v>520-120-12</v>
      </c>
      <c r="B7202" t="s">
        <v>4655</v>
      </c>
      <c r="C7202" t="s">
        <v>34190</v>
      </c>
      <c r="D7202" s="1">
        <v>40421</v>
      </c>
      <c r="E7202" s="2">
        <v>440000</v>
      </c>
      <c r="F7202" t="s">
        <v>4567</v>
      </c>
      <c r="G7202" s="17" t="str">
        <f>HYPERLINK("https://www.washoecounty.gov/assessor/cama/?command=sales&amp;parid=52012012","3917626")</f>
        <v>3917626</v>
      </c>
      <c r="H7202" t="s">
        <v>75</v>
      </c>
      <c r="I7202">
        <v>2003</v>
      </c>
      <c r="J7202">
        <v>2003</v>
      </c>
      <c r="K7202" t="s">
        <v>4554</v>
      </c>
      <c r="L7202" t="s">
        <v>4555</v>
      </c>
      <c r="M7202" s="2">
        <v>2905</v>
      </c>
      <c r="N7202" t="s">
        <v>5106</v>
      </c>
      <c r="O7202">
        <v>3</v>
      </c>
      <c r="P7202">
        <v>3</v>
      </c>
      <c r="Q7202">
        <v>0</v>
      </c>
      <c r="R7202" t="s">
        <v>5281</v>
      </c>
      <c r="S7202" t="s">
        <v>4898</v>
      </c>
      <c r="T7202" t="s">
        <v>2704</v>
      </c>
      <c r="U7202" t="s">
        <v>4560</v>
      </c>
      <c r="V7202" s="2">
        <v>924</v>
      </c>
      <c r="W7202" t="s">
        <v>4655</v>
      </c>
      <c r="X7202" s="2">
        <v>0</v>
      </c>
      <c r="Y7202">
        <v>20</v>
      </c>
      <c r="Z7202" t="s">
        <v>2048</v>
      </c>
      <c r="AA7202" s="3">
        <v>0.75399446487426758</v>
      </c>
      <c r="AB7202" t="s">
        <v>34191</v>
      </c>
      <c r="AC7202" t="s">
        <v>4562</v>
      </c>
      <c r="AD7202" t="s">
        <v>34190</v>
      </c>
      <c r="AE7202" t="s">
        <v>4655</v>
      </c>
      <c r="AF7202" t="s">
        <v>5201</v>
      </c>
      <c r="AG7202" t="s">
        <v>4564</v>
      </c>
      <c r="AH7202" t="s">
        <v>1605</v>
      </c>
      <c r="AI7202" t="s">
        <v>34192</v>
      </c>
      <c r="AJ7202" t="s">
        <v>2061</v>
      </c>
      <c r="AK7202" t="s">
        <v>34193</v>
      </c>
      <c r="AL7202" s="13" t="s">
        <v>1899</v>
      </c>
      <c r="AM7202">
        <v>1</v>
      </c>
      <c r="AN7202" s="15" t="s">
        <v>2062</v>
      </c>
    </row>
    <row r="7203" spans="1:40" x14ac:dyDescent="0.3">
      <c r="A7203" s="10" t="str">
        <f>HYPERLINK("http://www.washoecounty.gov/assessor/cama/?parid=520-130-06&amp;CardNumber=1","520-130-06")</f>
        <v>520-130-06</v>
      </c>
      <c r="B7203" t="s">
        <v>4655</v>
      </c>
      <c r="C7203" t="s">
        <v>34194</v>
      </c>
      <c r="D7203" s="1">
        <v>40227</v>
      </c>
      <c r="E7203" s="2">
        <v>160731</v>
      </c>
      <c r="F7203" t="s">
        <v>4567</v>
      </c>
      <c r="G7203" s="17" t="str">
        <f>HYPERLINK("https://www.washoecounty.gov/assessor/cama/?command=sales&amp;parid=52013006","3850582")</f>
        <v>3850582</v>
      </c>
      <c r="H7203" t="s">
        <v>75</v>
      </c>
      <c r="I7203">
        <v>0</v>
      </c>
      <c r="J7203">
        <v>0</v>
      </c>
      <c r="K7203" t="s">
        <v>4655</v>
      </c>
      <c r="L7203" t="s">
        <v>4655</v>
      </c>
      <c r="M7203" s="2">
        <v>0</v>
      </c>
      <c r="N7203" t="s">
        <v>4655</v>
      </c>
      <c r="O7203">
        <v>0</v>
      </c>
      <c r="P7203">
        <v>0</v>
      </c>
      <c r="Q7203">
        <v>0</v>
      </c>
      <c r="R7203" t="s">
        <v>4655</v>
      </c>
      <c r="S7203" t="s">
        <v>4655</v>
      </c>
      <c r="T7203" t="s">
        <v>4655</v>
      </c>
      <c r="U7203" t="s">
        <v>4655</v>
      </c>
      <c r="V7203" s="2">
        <v>0</v>
      </c>
      <c r="W7203" t="s">
        <v>4655</v>
      </c>
      <c r="X7203" s="2">
        <v>0</v>
      </c>
      <c r="Y7203">
        <v>12</v>
      </c>
      <c r="Z7203" t="s">
        <v>2048</v>
      </c>
      <c r="AA7203" s="3">
        <v>0.74400824308395297</v>
      </c>
      <c r="AB7203" t="s">
        <v>34195</v>
      </c>
      <c r="AC7203" t="s">
        <v>4562</v>
      </c>
      <c r="AD7203" t="s">
        <v>34196</v>
      </c>
      <c r="AE7203" t="s">
        <v>4655</v>
      </c>
      <c r="AF7203" t="s">
        <v>4563</v>
      </c>
      <c r="AG7203" t="s">
        <v>4564</v>
      </c>
      <c r="AH7203">
        <v>89506</v>
      </c>
      <c r="AI7203" t="s">
        <v>34197</v>
      </c>
      <c r="AJ7203" t="s">
        <v>2061</v>
      </c>
      <c r="AK7203" t="s">
        <v>34198</v>
      </c>
      <c r="AL7203" s="13" t="s">
        <v>1899</v>
      </c>
      <c r="AM7203">
        <v>0</v>
      </c>
      <c r="AN7203" s="15" t="s">
        <v>2062</v>
      </c>
    </row>
    <row r="7204" spans="1:40" x14ac:dyDescent="0.3">
      <c r="A7204" s="10" t="str">
        <f>HYPERLINK("http://www.washoecounty.gov/assessor/cama/?parid=520-141-20&amp;CardNumber=1","520-141-20")</f>
        <v>520-141-20</v>
      </c>
      <c r="B7204" t="s">
        <v>4655</v>
      </c>
      <c r="C7204" t="s">
        <v>34199</v>
      </c>
      <c r="D7204" s="1">
        <v>40305</v>
      </c>
      <c r="E7204" s="2">
        <v>224000</v>
      </c>
      <c r="F7204" t="s">
        <v>4567</v>
      </c>
      <c r="G7204" s="17" t="str">
        <f>HYPERLINK("https://www.washoecounty.gov/assessor/cama/?command=sales&amp;parid=52014120","3879112")</f>
        <v>3879112</v>
      </c>
      <c r="H7204" t="s">
        <v>2063</v>
      </c>
      <c r="I7204">
        <v>2004</v>
      </c>
      <c r="J7204">
        <v>2004</v>
      </c>
      <c r="K7204" t="s">
        <v>4554</v>
      </c>
      <c r="L7204" t="s">
        <v>4555</v>
      </c>
      <c r="M7204" s="2">
        <v>1673</v>
      </c>
      <c r="N7204" t="s">
        <v>3147</v>
      </c>
      <c r="O7204">
        <v>2</v>
      </c>
      <c r="P7204">
        <v>2</v>
      </c>
      <c r="Q7204">
        <v>0</v>
      </c>
      <c r="R7204" t="s">
        <v>4557</v>
      </c>
      <c r="S7204" t="s">
        <v>4898</v>
      </c>
      <c r="T7204" t="s">
        <v>2704</v>
      </c>
      <c r="U7204" t="s">
        <v>4560</v>
      </c>
      <c r="V7204" s="2">
        <v>476</v>
      </c>
      <c r="W7204" t="s">
        <v>4655</v>
      </c>
      <c r="X7204" s="2">
        <v>0</v>
      </c>
      <c r="Y7204">
        <v>20</v>
      </c>
      <c r="Z7204" t="s">
        <v>2048</v>
      </c>
      <c r="AA7204" s="3">
        <v>0.14926537871360801</v>
      </c>
      <c r="AB7204" t="s">
        <v>34200</v>
      </c>
      <c r="AC7204" t="s">
        <v>4562</v>
      </c>
      <c r="AD7204" t="s">
        <v>34201</v>
      </c>
      <c r="AE7204" t="s">
        <v>4655</v>
      </c>
      <c r="AF7204" t="s">
        <v>5201</v>
      </c>
      <c r="AG7204" t="s">
        <v>4564</v>
      </c>
      <c r="AH7204" t="s">
        <v>1605</v>
      </c>
      <c r="AI7204" t="s">
        <v>34202</v>
      </c>
      <c r="AJ7204" t="s">
        <v>34203</v>
      </c>
      <c r="AK7204" t="s">
        <v>34204</v>
      </c>
      <c r="AL7204" s="13" t="s">
        <v>1899</v>
      </c>
      <c r="AM7204">
        <v>1</v>
      </c>
      <c r="AN7204" s="15" t="s">
        <v>26</v>
      </c>
    </row>
    <row r="7205" spans="1:40" x14ac:dyDescent="0.3">
      <c r="A7205" s="10" t="str">
        <f>HYPERLINK("http://www.washoecounty.gov/assessor/cama/?parid=520-142-15&amp;CardNumber=1","520-142-15")</f>
        <v>520-142-15</v>
      </c>
      <c r="B7205" t="s">
        <v>4655</v>
      </c>
      <c r="C7205" t="s">
        <v>34205</v>
      </c>
      <c r="D7205" s="1">
        <v>40280</v>
      </c>
      <c r="E7205" s="2">
        <v>250000</v>
      </c>
      <c r="F7205" t="s">
        <v>4567</v>
      </c>
      <c r="G7205" s="17" t="str">
        <f>HYPERLINK("https://www.washoecounty.gov/assessor/cama/?command=sales&amp;parid=52014215","3869704")</f>
        <v>3869704</v>
      </c>
      <c r="H7205" t="s">
        <v>2063</v>
      </c>
      <c r="I7205">
        <v>2002</v>
      </c>
      <c r="J7205">
        <v>2002</v>
      </c>
      <c r="K7205" t="s">
        <v>4554</v>
      </c>
      <c r="L7205" t="s">
        <v>3974</v>
      </c>
      <c r="M7205" s="2">
        <v>3051</v>
      </c>
      <c r="N7205" t="s">
        <v>3147</v>
      </c>
      <c r="O7205">
        <v>4</v>
      </c>
      <c r="P7205">
        <v>3</v>
      </c>
      <c r="Q7205">
        <v>0</v>
      </c>
      <c r="R7205" t="s">
        <v>5281</v>
      </c>
      <c r="S7205" t="s">
        <v>4898</v>
      </c>
      <c r="T7205" t="s">
        <v>2704</v>
      </c>
      <c r="U7205" t="s">
        <v>4560</v>
      </c>
      <c r="V7205" s="2">
        <v>853</v>
      </c>
      <c r="W7205" t="s">
        <v>4655</v>
      </c>
      <c r="X7205" s="2">
        <v>0</v>
      </c>
      <c r="Y7205">
        <v>20</v>
      </c>
      <c r="Z7205" t="s">
        <v>2048</v>
      </c>
      <c r="AA7205" s="3">
        <v>0.16099633276462599</v>
      </c>
      <c r="AB7205" t="s">
        <v>34206</v>
      </c>
      <c r="AC7205" t="s">
        <v>4562</v>
      </c>
      <c r="AD7205" t="s">
        <v>34205</v>
      </c>
      <c r="AE7205" t="s">
        <v>4655</v>
      </c>
      <c r="AF7205" t="s">
        <v>4563</v>
      </c>
      <c r="AG7205" t="s">
        <v>4564</v>
      </c>
      <c r="AH7205" t="s">
        <v>1605</v>
      </c>
      <c r="AI7205" t="s">
        <v>13434</v>
      </c>
      <c r="AJ7205" t="s">
        <v>2064</v>
      </c>
      <c r="AK7205" t="s">
        <v>34207</v>
      </c>
      <c r="AL7205" s="13" t="s">
        <v>1899</v>
      </c>
      <c r="AM7205">
        <v>1</v>
      </c>
      <c r="AN7205" s="15" t="s">
        <v>26</v>
      </c>
    </row>
    <row r="7206" spans="1:40" x14ac:dyDescent="0.3">
      <c r="A7206" s="10" t="str">
        <f>HYPERLINK("http://www.washoecounty.gov/assessor/cama/?parid=520-152-03&amp;CardNumber=1","520-152-03")</f>
        <v>520-152-03</v>
      </c>
      <c r="B7206" t="s">
        <v>4655</v>
      </c>
      <c r="C7206" t="s">
        <v>2773</v>
      </c>
      <c r="D7206" s="1">
        <v>40276</v>
      </c>
      <c r="E7206" s="2">
        <v>199000</v>
      </c>
      <c r="F7206" t="s">
        <v>4567</v>
      </c>
      <c r="G7206" s="17" t="str">
        <f>HYPERLINK("https://www.washoecounty.gov/assessor/cama/?command=sales&amp;parid=52015203","3868870")</f>
        <v>3868870</v>
      </c>
      <c r="H7206" t="s">
        <v>2063</v>
      </c>
      <c r="I7206">
        <v>2001</v>
      </c>
      <c r="J7206">
        <v>2001</v>
      </c>
      <c r="K7206" t="s">
        <v>4554</v>
      </c>
      <c r="L7206" t="s">
        <v>4555</v>
      </c>
      <c r="M7206" s="2">
        <v>1673</v>
      </c>
      <c r="N7206" t="s">
        <v>3147</v>
      </c>
      <c r="O7206">
        <v>3</v>
      </c>
      <c r="P7206">
        <v>2</v>
      </c>
      <c r="Q7206">
        <v>0</v>
      </c>
      <c r="R7206" t="s">
        <v>5281</v>
      </c>
      <c r="S7206" t="s">
        <v>4898</v>
      </c>
      <c r="T7206" t="s">
        <v>2704</v>
      </c>
      <c r="U7206" t="s">
        <v>4560</v>
      </c>
      <c r="V7206" s="2">
        <v>476</v>
      </c>
      <c r="W7206" t="s">
        <v>4655</v>
      </c>
      <c r="X7206" s="2">
        <v>0</v>
      </c>
      <c r="Y7206">
        <v>20</v>
      </c>
      <c r="Z7206" t="s">
        <v>2048</v>
      </c>
      <c r="AA7206" s="3">
        <v>0.130991742014885</v>
      </c>
      <c r="AB7206" t="s">
        <v>2626</v>
      </c>
      <c r="AC7206" t="s">
        <v>4562</v>
      </c>
      <c r="AD7206" t="s">
        <v>2627</v>
      </c>
      <c r="AE7206" t="s">
        <v>4655</v>
      </c>
      <c r="AF7206" t="s">
        <v>5201</v>
      </c>
      <c r="AG7206" t="s">
        <v>4564</v>
      </c>
      <c r="AH7206" t="s">
        <v>1605</v>
      </c>
      <c r="AI7206" t="s">
        <v>34208</v>
      </c>
      <c r="AJ7206" t="s">
        <v>2064</v>
      </c>
      <c r="AK7206" t="s">
        <v>2628</v>
      </c>
      <c r="AL7206" s="13" t="s">
        <v>1899</v>
      </c>
      <c r="AM7206" s="14">
        <v>1</v>
      </c>
      <c r="AN7206" s="15" t="s">
        <v>26</v>
      </c>
    </row>
    <row r="7207" spans="1:40" x14ac:dyDescent="0.3">
      <c r="A7207" s="10" t="str">
        <f>HYPERLINK("http://www.washoecounty.gov/assessor/cama/?parid=520-152-04&amp;CardNumber=1","520-152-04")</f>
        <v>520-152-04</v>
      </c>
      <c r="B7207" t="s">
        <v>4655</v>
      </c>
      <c r="C7207" t="s">
        <v>34209</v>
      </c>
      <c r="D7207" s="1">
        <v>40512</v>
      </c>
      <c r="E7207" s="2">
        <v>211000</v>
      </c>
      <c r="F7207" t="s">
        <v>4567</v>
      </c>
      <c r="G7207" s="17" t="str">
        <f>HYPERLINK("https://www.washoecounty.gov/assessor/cama/?command=sales&amp;parid=52015204","3947642")</f>
        <v>3947642</v>
      </c>
      <c r="H7207" t="s">
        <v>5611</v>
      </c>
      <c r="I7207">
        <v>2001</v>
      </c>
      <c r="J7207">
        <v>2001</v>
      </c>
      <c r="K7207" t="s">
        <v>4554</v>
      </c>
      <c r="L7207" t="s">
        <v>4555</v>
      </c>
      <c r="M7207" s="2">
        <v>1940</v>
      </c>
      <c r="N7207" t="s">
        <v>3147</v>
      </c>
      <c r="O7207">
        <v>3</v>
      </c>
      <c r="P7207">
        <v>2</v>
      </c>
      <c r="Q7207">
        <v>0</v>
      </c>
      <c r="R7207" t="s">
        <v>4557</v>
      </c>
      <c r="S7207" t="s">
        <v>4898</v>
      </c>
      <c r="T7207" t="s">
        <v>2704</v>
      </c>
      <c r="U7207" t="s">
        <v>4560</v>
      </c>
      <c r="V7207" s="2">
        <v>468</v>
      </c>
      <c r="W7207" t="s">
        <v>4655</v>
      </c>
      <c r="X7207" s="2">
        <v>0</v>
      </c>
      <c r="Y7207">
        <v>20</v>
      </c>
      <c r="Z7207" t="s">
        <v>2048</v>
      </c>
      <c r="AA7207" s="3">
        <v>0.130991742014885</v>
      </c>
      <c r="AB7207" t="s">
        <v>34090</v>
      </c>
      <c r="AC7207" t="s">
        <v>4562</v>
      </c>
      <c r="AD7207" t="s">
        <v>34209</v>
      </c>
      <c r="AE7207" t="s">
        <v>4655</v>
      </c>
      <c r="AF7207" t="s">
        <v>5201</v>
      </c>
      <c r="AG7207" t="s">
        <v>4564</v>
      </c>
      <c r="AH7207" t="s">
        <v>1605</v>
      </c>
      <c r="AI7207" t="s">
        <v>28704</v>
      </c>
      <c r="AJ7207" t="s">
        <v>2064</v>
      </c>
      <c r="AK7207" t="s">
        <v>34210</v>
      </c>
      <c r="AL7207" s="13" t="s">
        <v>1899</v>
      </c>
      <c r="AM7207" s="14">
        <v>1</v>
      </c>
      <c r="AN7207" s="15" t="s">
        <v>26</v>
      </c>
    </row>
    <row r="7208" spans="1:40" x14ac:dyDescent="0.3">
      <c r="A7208" s="10" t="str">
        <f>HYPERLINK("http://www.washoecounty.gov/assessor/cama/?parid=520-152-07&amp;CardNumber=1","520-152-07")</f>
        <v>520-152-07</v>
      </c>
      <c r="B7208" t="s">
        <v>4655</v>
      </c>
      <c r="C7208" t="s">
        <v>34211</v>
      </c>
      <c r="D7208" s="1">
        <v>40478</v>
      </c>
      <c r="E7208" s="2">
        <v>230000</v>
      </c>
      <c r="F7208" t="s">
        <v>4567</v>
      </c>
      <c r="G7208" s="17" t="str">
        <f>HYPERLINK("https://www.washoecounty.gov/assessor/cama/?command=sales&amp;parid=52015207","3936803")</f>
        <v>3936803</v>
      </c>
      <c r="H7208" t="s">
        <v>2063</v>
      </c>
      <c r="I7208">
        <v>2004</v>
      </c>
      <c r="J7208">
        <v>2004</v>
      </c>
      <c r="K7208" t="s">
        <v>4554</v>
      </c>
      <c r="L7208" t="s">
        <v>3974</v>
      </c>
      <c r="M7208" s="2">
        <v>2861</v>
      </c>
      <c r="N7208" t="s">
        <v>3147</v>
      </c>
      <c r="O7208">
        <v>4</v>
      </c>
      <c r="P7208">
        <v>4</v>
      </c>
      <c r="Q7208">
        <v>0</v>
      </c>
      <c r="R7208" t="s">
        <v>5281</v>
      </c>
      <c r="S7208" t="s">
        <v>4898</v>
      </c>
      <c r="T7208" t="s">
        <v>2704</v>
      </c>
      <c r="U7208" t="s">
        <v>4560</v>
      </c>
      <c r="V7208" s="2">
        <v>484</v>
      </c>
      <c r="W7208" t="s">
        <v>4655</v>
      </c>
      <c r="X7208" s="2">
        <v>0</v>
      </c>
      <c r="Y7208">
        <v>20</v>
      </c>
      <c r="Z7208" t="s">
        <v>2048</v>
      </c>
      <c r="AA7208" s="3">
        <v>0.13799357414245605</v>
      </c>
      <c r="AB7208" t="s">
        <v>34212</v>
      </c>
      <c r="AC7208" t="s">
        <v>4575</v>
      </c>
      <c r="AD7208" t="s">
        <v>34213</v>
      </c>
      <c r="AE7208" t="s">
        <v>4655</v>
      </c>
      <c r="AF7208" t="s">
        <v>2108</v>
      </c>
      <c r="AG7208" t="s">
        <v>2109</v>
      </c>
      <c r="AH7208" t="s">
        <v>34214</v>
      </c>
      <c r="AI7208" t="s">
        <v>34215</v>
      </c>
      <c r="AJ7208" t="s">
        <v>2064</v>
      </c>
      <c r="AK7208" t="s">
        <v>34216</v>
      </c>
      <c r="AL7208" s="13" t="s">
        <v>1899</v>
      </c>
      <c r="AM7208">
        <v>1</v>
      </c>
      <c r="AN7208" s="15" t="s">
        <v>26</v>
      </c>
    </row>
    <row r="7209" spans="1:40" x14ac:dyDescent="0.3">
      <c r="A7209" s="10" t="str">
        <f>HYPERLINK("http://www.washoecounty.gov/assessor/cama/?parid=520-153-02&amp;CardNumber=1","520-153-02")</f>
        <v>520-153-02</v>
      </c>
      <c r="B7209" t="s">
        <v>4655</v>
      </c>
      <c r="C7209" t="s">
        <v>32719</v>
      </c>
      <c r="D7209" s="1">
        <v>40189</v>
      </c>
      <c r="E7209" s="2">
        <v>219000</v>
      </c>
      <c r="F7209" t="s">
        <v>4553</v>
      </c>
      <c r="G7209" s="17" t="str">
        <f>HYPERLINK("https://www.washoecounty.gov/assessor/cama/?command=sales&amp;parid=52015302","3837893")</f>
        <v>3837893</v>
      </c>
      <c r="H7209" t="s">
        <v>2063</v>
      </c>
      <c r="I7209">
        <v>2004</v>
      </c>
      <c r="J7209">
        <v>2004</v>
      </c>
      <c r="K7209" t="s">
        <v>4554</v>
      </c>
      <c r="L7209" t="s">
        <v>3974</v>
      </c>
      <c r="M7209" s="2">
        <v>2779</v>
      </c>
      <c r="N7209" t="s">
        <v>3147</v>
      </c>
      <c r="O7209">
        <v>3</v>
      </c>
      <c r="P7209">
        <v>3</v>
      </c>
      <c r="Q7209">
        <v>0</v>
      </c>
      <c r="R7209" t="s">
        <v>5281</v>
      </c>
      <c r="S7209" t="s">
        <v>4898</v>
      </c>
      <c r="T7209" t="s">
        <v>2704</v>
      </c>
      <c r="U7209" t="s">
        <v>4560</v>
      </c>
      <c r="V7209" s="2">
        <v>633</v>
      </c>
      <c r="W7209" t="s">
        <v>4655</v>
      </c>
      <c r="X7209" s="2">
        <v>0</v>
      </c>
      <c r="Y7209">
        <v>20</v>
      </c>
      <c r="Z7209" t="s">
        <v>2048</v>
      </c>
      <c r="AA7209" s="3">
        <v>0.12699724733829501</v>
      </c>
      <c r="AB7209" t="s">
        <v>32718</v>
      </c>
      <c r="AC7209" t="s">
        <v>4562</v>
      </c>
      <c r="AD7209" t="s">
        <v>32719</v>
      </c>
      <c r="AE7209" t="s">
        <v>4655</v>
      </c>
      <c r="AF7209" t="s">
        <v>5201</v>
      </c>
      <c r="AG7209" t="s">
        <v>4564</v>
      </c>
      <c r="AH7209" t="s">
        <v>1605</v>
      </c>
      <c r="AI7209" t="s">
        <v>4503</v>
      </c>
      <c r="AJ7209" t="s">
        <v>2064</v>
      </c>
      <c r="AK7209" t="s">
        <v>34217</v>
      </c>
      <c r="AL7209" s="13" t="s">
        <v>1899</v>
      </c>
      <c r="AM7209">
        <v>1</v>
      </c>
      <c r="AN7209" s="15" t="s">
        <v>26</v>
      </c>
    </row>
    <row r="7210" spans="1:40" x14ac:dyDescent="0.3">
      <c r="A7210" s="10" t="str">
        <f>HYPERLINK("http://www.washoecounty.gov/assessor/cama/?parid=520-154-06&amp;CardNumber=1","520-154-06")</f>
        <v>520-154-06</v>
      </c>
      <c r="B7210" t="s">
        <v>4655</v>
      </c>
      <c r="C7210" t="s">
        <v>34218</v>
      </c>
      <c r="D7210" s="1">
        <v>40498</v>
      </c>
      <c r="E7210" s="2">
        <v>270000</v>
      </c>
      <c r="F7210" t="s">
        <v>4567</v>
      </c>
      <c r="G7210" s="17" t="str">
        <f>HYPERLINK("https://www.washoecounty.gov/assessor/cama/?command=sales&amp;parid=52015406","3943245")</f>
        <v>3943245</v>
      </c>
      <c r="H7210" t="s">
        <v>2063</v>
      </c>
      <c r="I7210">
        <v>2002</v>
      </c>
      <c r="J7210">
        <v>2002</v>
      </c>
      <c r="K7210" t="s">
        <v>4554</v>
      </c>
      <c r="L7210" t="s">
        <v>3974</v>
      </c>
      <c r="M7210" s="2">
        <v>2861</v>
      </c>
      <c r="N7210" t="s">
        <v>3147</v>
      </c>
      <c r="O7210">
        <v>4</v>
      </c>
      <c r="P7210">
        <v>4</v>
      </c>
      <c r="Q7210">
        <v>0</v>
      </c>
      <c r="R7210" t="s">
        <v>5281</v>
      </c>
      <c r="S7210" t="s">
        <v>4898</v>
      </c>
      <c r="T7210" t="s">
        <v>2704</v>
      </c>
      <c r="U7210" t="s">
        <v>4560</v>
      </c>
      <c r="V7210" s="2">
        <v>484</v>
      </c>
      <c r="W7210" t="s">
        <v>4655</v>
      </c>
      <c r="X7210" s="2">
        <v>0</v>
      </c>
      <c r="Y7210">
        <v>20</v>
      </c>
      <c r="Z7210" t="s">
        <v>2048</v>
      </c>
      <c r="AA7210" s="3">
        <v>0.15300734341144601</v>
      </c>
      <c r="AB7210" t="s">
        <v>34219</v>
      </c>
      <c r="AC7210" t="s">
        <v>4562</v>
      </c>
      <c r="AD7210" t="s">
        <v>34218</v>
      </c>
      <c r="AE7210" t="s">
        <v>4655</v>
      </c>
      <c r="AF7210" t="s">
        <v>5201</v>
      </c>
      <c r="AG7210" t="s">
        <v>4564</v>
      </c>
      <c r="AH7210" t="s">
        <v>1605</v>
      </c>
      <c r="AI7210" t="s">
        <v>34220</v>
      </c>
      <c r="AJ7210" t="s">
        <v>2064</v>
      </c>
      <c r="AK7210" t="s">
        <v>34221</v>
      </c>
      <c r="AL7210" s="13" t="s">
        <v>1899</v>
      </c>
      <c r="AM7210">
        <v>1</v>
      </c>
      <c r="AN7210" s="15" t="s">
        <v>26</v>
      </c>
    </row>
    <row r="7211" spans="1:40" x14ac:dyDescent="0.3">
      <c r="A7211" s="10" t="str">
        <f>HYPERLINK("http://www.washoecounty.gov/assessor/cama/?parid=520-171-04&amp;CardNumber=1","520-171-04")</f>
        <v>520-171-04</v>
      </c>
      <c r="B7211" t="s">
        <v>4655</v>
      </c>
      <c r="C7211" t="s">
        <v>34222</v>
      </c>
      <c r="D7211" s="1">
        <v>40331</v>
      </c>
      <c r="E7211" s="2">
        <v>282000</v>
      </c>
      <c r="F7211" t="s">
        <v>4567</v>
      </c>
      <c r="G7211" s="17" t="str">
        <f>HYPERLINK("https://www.washoecounty.gov/assessor/cama/?command=sales&amp;parid=52017104","3887415")</f>
        <v>3887415</v>
      </c>
      <c r="H7211" t="s">
        <v>3025</v>
      </c>
      <c r="I7211">
        <v>2005</v>
      </c>
      <c r="J7211">
        <v>2005</v>
      </c>
      <c r="K7211" t="s">
        <v>4554</v>
      </c>
      <c r="L7211" t="s">
        <v>3974</v>
      </c>
      <c r="M7211" s="2">
        <v>3262</v>
      </c>
      <c r="N7211" t="s">
        <v>3147</v>
      </c>
      <c r="O7211">
        <v>5</v>
      </c>
      <c r="P7211">
        <v>3</v>
      </c>
      <c r="Q7211">
        <v>1</v>
      </c>
      <c r="R7211" t="s">
        <v>4557</v>
      </c>
      <c r="S7211" t="s">
        <v>4898</v>
      </c>
      <c r="T7211" t="s">
        <v>2704</v>
      </c>
      <c r="U7211" t="s">
        <v>5631</v>
      </c>
      <c r="V7211" s="2">
        <v>558</v>
      </c>
      <c r="W7211" t="s">
        <v>4655</v>
      </c>
      <c r="X7211" s="2">
        <v>0</v>
      </c>
      <c r="Y7211">
        <v>20</v>
      </c>
      <c r="Z7211" t="s">
        <v>2048</v>
      </c>
      <c r="AA7211" s="3">
        <v>0.217998161911964</v>
      </c>
      <c r="AB7211" t="s">
        <v>34223</v>
      </c>
      <c r="AC7211" t="s">
        <v>4562</v>
      </c>
      <c r="AD7211" t="s">
        <v>34222</v>
      </c>
      <c r="AE7211" t="s">
        <v>4655</v>
      </c>
      <c r="AF7211" t="s">
        <v>5201</v>
      </c>
      <c r="AG7211" t="s">
        <v>4564</v>
      </c>
      <c r="AH7211" t="s">
        <v>1605</v>
      </c>
      <c r="AI7211" t="s">
        <v>34224</v>
      </c>
      <c r="AJ7211" t="s">
        <v>2427</v>
      </c>
      <c r="AK7211" t="s">
        <v>34225</v>
      </c>
      <c r="AL7211" s="13" t="s">
        <v>1899</v>
      </c>
      <c r="AM7211">
        <v>1</v>
      </c>
      <c r="AN7211" s="15" t="s">
        <v>26</v>
      </c>
    </row>
    <row r="7212" spans="1:40" x14ac:dyDescent="0.3">
      <c r="A7212" s="10" t="str">
        <f>HYPERLINK("http://www.washoecounty.gov/assessor/cama/?parid=520-181-01&amp;CardNumber=1","520-181-01")</f>
        <v>520-181-01</v>
      </c>
      <c r="B7212" t="s">
        <v>4655</v>
      </c>
      <c r="C7212" t="s">
        <v>34226</v>
      </c>
      <c r="D7212" s="1">
        <v>40297</v>
      </c>
      <c r="E7212" s="2">
        <v>220000</v>
      </c>
      <c r="F7212" t="s">
        <v>4553</v>
      </c>
      <c r="G7212" s="17" t="str">
        <f>HYPERLINK("https://www.washoecounty.gov/assessor/cama/?command=sales&amp;parid=52018101","3876028")</f>
        <v>3876028</v>
      </c>
      <c r="H7212" t="s">
        <v>3025</v>
      </c>
      <c r="I7212">
        <v>2001</v>
      </c>
      <c r="J7212">
        <v>2001</v>
      </c>
      <c r="K7212" t="s">
        <v>4554</v>
      </c>
      <c r="L7212" t="s">
        <v>4555</v>
      </c>
      <c r="M7212" s="2">
        <v>1989</v>
      </c>
      <c r="N7212" t="s">
        <v>3147</v>
      </c>
      <c r="O7212">
        <v>3</v>
      </c>
      <c r="P7212">
        <v>2</v>
      </c>
      <c r="Q7212">
        <v>0</v>
      </c>
      <c r="R7212" t="s">
        <v>5281</v>
      </c>
      <c r="S7212" t="s">
        <v>4898</v>
      </c>
      <c r="T7212" t="s">
        <v>2704</v>
      </c>
      <c r="U7212" t="s">
        <v>4560</v>
      </c>
      <c r="V7212" s="2">
        <v>602</v>
      </c>
      <c r="W7212" t="s">
        <v>4655</v>
      </c>
      <c r="X7212" s="2">
        <v>0</v>
      </c>
      <c r="Y7212">
        <v>20</v>
      </c>
      <c r="Z7212" t="s">
        <v>2048</v>
      </c>
      <c r="AA7212" s="3">
        <v>0.26799815893173218</v>
      </c>
      <c r="AB7212" t="s">
        <v>34227</v>
      </c>
      <c r="AC7212" t="s">
        <v>4562</v>
      </c>
      <c r="AD7212" t="s">
        <v>34228</v>
      </c>
      <c r="AE7212" t="s">
        <v>4655</v>
      </c>
      <c r="AF7212" t="s">
        <v>5201</v>
      </c>
      <c r="AG7212" t="s">
        <v>4564</v>
      </c>
      <c r="AH7212" t="s">
        <v>1605</v>
      </c>
      <c r="AI7212" t="s">
        <v>4565</v>
      </c>
      <c r="AJ7212" t="s">
        <v>2427</v>
      </c>
      <c r="AK7212" t="s">
        <v>34229</v>
      </c>
      <c r="AL7212" s="13" t="s">
        <v>1899</v>
      </c>
      <c r="AM7212" s="14">
        <v>1</v>
      </c>
      <c r="AN7212" s="15" t="s">
        <v>26</v>
      </c>
    </row>
    <row r="7213" spans="1:40" x14ac:dyDescent="0.3">
      <c r="A7213" s="10" t="str">
        <f>HYPERLINK("http://www.washoecounty.gov/assessor/cama/?parid=520-181-02&amp;CardNumber=1","520-181-02")</f>
        <v>520-181-02</v>
      </c>
      <c r="B7213" t="s">
        <v>4655</v>
      </c>
      <c r="C7213" t="s">
        <v>34230</v>
      </c>
      <c r="D7213" s="1">
        <v>40203</v>
      </c>
      <c r="E7213" s="2">
        <v>240000</v>
      </c>
      <c r="F7213" t="s">
        <v>4553</v>
      </c>
      <c r="G7213" s="17" t="str">
        <f>HYPERLINK("https://www.washoecounty.gov/assessor/cama/?command=sales&amp;parid=52018102","3842540")</f>
        <v>3842540</v>
      </c>
      <c r="H7213" t="s">
        <v>2822</v>
      </c>
      <c r="I7213">
        <v>2001</v>
      </c>
      <c r="J7213">
        <v>2001</v>
      </c>
      <c r="K7213" t="s">
        <v>4554</v>
      </c>
      <c r="L7213" t="s">
        <v>4555</v>
      </c>
      <c r="M7213" s="2">
        <v>2418</v>
      </c>
      <c r="N7213" t="s">
        <v>3147</v>
      </c>
      <c r="O7213">
        <v>4</v>
      </c>
      <c r="P7213">
        <v>2</v>
      </c>
      <c r="Q7213">
        <v>1</v>
      </c>
      <c r="R7213" t="s">
        <v>5281</v>
      </c>
      <c r="S7213" t="s">
        <v>4898</v>
      </c>
      <c r="T7213" t="s">
        <v>4559</v>
      </c>
      <c r="U7213" t="s">
        <v>4560</v>
      </c>
      <c r="V7213" s="2">
        <v>654</v>
      </c>
      <c r="W7213" t="s">
        <v>4655</v>
      </c>
      <c r="X7213" s="2">
        <v>0</v>
      </c>
      <c r="Y7213">
        <v>20</v>
      </c>
      <c r="Z7213" t="s">
        <v>2048</v>
      </c>
      <c r="AA7213" s="3">
        <v>0.26200643181800798</v>
      </c>
      <c r="AB7213" t="s">
        <v>34231</v>
      </c>
      <c r="AC7213" t="s">
        <v>4575</v>
      </c>
      <c r="AD7213" t="s">
        <v>34232</v>
      </c>
      <c r="AE7213" t="s">
        <v>34230</v>
      </c>
      <c r="AF7213" t="s">
        <v>5201</v>
      </c>
      <c r="AG7213" t="s">
        <v>4564</v>
      </c>
      <c r="AH7213" t="s">
        <v>1605</v>
      </c>
      <c r="AI7213" t="s">
        <v>4045</v>
      </c>
      <c r="AJ7213" t="s">
        <v>2427</v>
      </c>
      <c r="AK7213" t="s">
        <v>34233</v>
      </c>
      <c r="AL7213" s="13" t="s">
        <v>1899</v>
      </c>
      <c r="AM7213">
        <v>1</v>
      </c>
      <c r="AN7213" s="15" t="s">
        <v>26</v>
      </c>
    </row>
    <row r="7214" spans="1:40" x14ac:dyDescent="0.3">
      <c r="A7214" s="10" t="str">
        <f>HYPERLINK("http://www.washoecounty.gov/assessor/cama/?parid=520-182-07&amp;CardNumber=1","520-182-07")</f>
        <v>520-182-07</v>
      </c>
      <c r="B7214" t="s">
        <v>4655</v>
      </c>
      <c r="C7214" t="s">
        <v>34234</v>
      </c>
      <c r="D7214" s="1">
        <v>40417</v>
      </c>
      <c r="E7214" s="2">
        <v>275000</v>
      </c>
      <c r="F7214" t="s">
        <v>4567</v>
      </c>
      <c r="G7214" s="17" t="str">
        <f>HYPERLINK("https://www.washoecounty.gov/assessor/cama/?command=sales&amp;parid=52018207","3916572")</f>
        <v>3916572</v>
      </c>
      <c r="H7214" t="s">
        <v>3025</v>
      </c>
      <c r="I7214">
        <v>2003</v>
      </c>
      <c r="J7214">
        <v>2003</v>
      </c>
      <c r="K7214" t="s">
        <v>4554</v>
      </c>
      <c r="L7214" t="s">
        <v>3974</v>
      </c>
      <c r="M7214" s="2">
        <v>3162</v>
      </c>
      <c r="N7214" t="s">
        <v>3147</v>
      </c>
      <c r="O7214">
        <v>4</v>
      </c>
      <c r="P7214">
        <v>2</v>
      </c>
      <c r="Q7214">
        <v>1</v>
      </c>
      <c r="R7214" t="s">
        <v>5281</v>
      </c>
      <c r="S7214" t="s">
        <v>4898</v>
      </c>
      <c r="T7214" t="s">
        <v>2704</v>
      </c>
      <c r="U7214" t="s">
        <v>5631</v>
      </c>
      <c r="V7214" s="2">
        <v>658</v>
      </c>
      <c r="W7214" t="s">
        <v>4655</v>
      </c>
      <c r="X7214" s="2">
        <v>0</v>
      </c>
      <c r="Y7214">
        <v>20</v>
      </c>
      <c r="Z7214" t="s">
        <v>2048</v>
      </c>
      <c r="AA7214" s="3">
        <v>0.18099173903465299</v>
      </c>
      <c r="AB7214" t="s">
        <v>34235</v>
      </c>
      <c r="AC7214" t="s">
        <v>4562</v>
      </c>
      <c r="AD7214" t="s">
        <v>34234</v>
      </c>
      <c r="AE7214" t="s">
        <v>4655</v>
      </c>
      <c r="AF7214" t="s">
        <v>5201</v>
      </c>
      <c r="AG7214" t="s">
        <v>4564</v>
      </c>
      <c r="AH7214" t="s">
        <v>1605</v>
      </c>
      <c r="AI7214" t="s">
        <v>34236</v>
      </c>
      <c r="AJ7214" t="s">
        <v>2427</v>
      </c>
      <c r="AK7214" t="s">
        <v>34237</v>
      </c>
      <c r="AL7214" s="13" t="s">
        <v>1899</v>
      </c>
      <c r="AM7214">
        <v>1</v>
      </c>
      <c r="AN7214" s="15" t="s">
        <v>26</v>
      </c>
    </row>
    <row r="7215" spans="1:40" x14ac:dyDescent="0.3">
      <c r="A7215" s="10" t="str">
        <f>HYPERLINK("http://www.washoecounty.gov/assessor/cama/?parid=520-211-08&amp;CardNumber=1","520-211-08")</f>
        <v>520-211-08</v>
      </c>
      <c r="B7215" t="s">
        <v>4655</v>
      </c>
      <c r="C7215" t="s">
        <v>3903</v>
      </c>
      <c r="D7215" s="1">
        <v>40235</v>
      </c>
      <c r="E7215" s="2">
        <v>100000</v>
      </c>
      <c r="F7215" t="s">
        <v>4567</v>
      </c>
      <c r="G7215" s="17" t="str">
        <f>HYPERLINK("https://www.washoecounty.gov/assessor/cama/?command=sales&amp;parid=52021108","3852984")</f>
        <v>3852984</v>
      </c>
      <c r="H7215" t="s">
        <v>1697</v>
      </c>
      <c r="I7215">
        <v>2002</v>
      </c>
      <c r="J7215">
        <v>2002</v>
      </c>
      <c r="K7215" t="s">
        <v>3144</v>
      </c>
      <c r="L7215" t="s">
        <v>4555</v>
      </c>
      <c r="M7215" s="2">
        <v>1080</v>
      </c>
      <c r="N7215" t="s">
        <v>3147</v>
      </c>
      <c r="O7215">
        <v>2</v>
      </c>
      <c r="P7215">
        <v>2</v>
      </c>
      <c r="Q7215">
        <v>0</v>
      </c>
      <c r="R7215" t="s">
        <v>4557</v>
      </c>
      <c r="S7215" t="s">
        <v>4898</v>
      </c>
      <c r="T7215" t="s">
        <v>2704</v>
      </c>
      <c r="U7215" t="s">
        <v>5631</v>
      </c>
      <c r="V7215" s="2">
        <v>279</v>
      </c>
      <c r="W7215" t="s">
        <v>4655</v>
      </c>
      <c r="X7215" s="2">
        <v>0</v>
      </c>
      <c r="Y7215">
        <v>21</v>
      </c>
      <c r="Z7215" t="s">
        <v>2048</v>
      </c>
      <c r="AA7215" s="3">
        <v>1.00000004749745E-3</v>
      </c>
      <c r="AB7215" t="s">
        <v>34238</v>
      </c>
      <c r="AC7215" t="s">
        <v>4575</v>
      </c>
      <c r="AD7215" t="s">
        <v>34239</v>
      </c>
      <c r="AE7215" t="s">
        <v>4655</v>
      </c>
      <c r="AF7215" t="s">
        <v>5201</v>
      </c>
      <c r="AG7215" t="s">
        <v>4564</v>
      </c>
      <c r="AH7215" t="s">
        <v>1605</v>
      </c>
      <c r="AI7215" t="s">
        <v>4655</v>
      </c>
      <c r="AJ7215" t="s">
        <v>34240</v>
      </c>
      <c r="AK7215" t="s">
        <v>34241</v>
      </c>
      <c r="AL7215" s="13" t="s">
        <v>1899</v>
      </c>
      <c r="AM7215">
        <v>1</v>
      </c>
      <c r="AN7215" s="15" t="s">
        <v>74</v>
      </c>
    </row>
    <row r="7216" spans="1:40" x14ac:dyDescent="0.3">
      <c r="A7216" s="10" t="str">
        <f>HYPERLINK("http://www.washoecounty.gov/assessor/cama/?parid=520-211-09&amp;CardNumber=1","520-211-09")</f>
        <v>520-211-09</v>
      </c>
      <c r="B7216" t="s">
        <v>4655</v>
      </c>
      <c r="C7216" t="s">
        <v>3903</v>
      </c>
      <c r="D7216" s="1">
        <v>40491</v>
      </c>
      <c r="E7216" s="2">
        <v>93000</v>
      </c>
      <c r="F7216" t="s">
        <v>4553</v>
      </c>
      <c r="G7216" s="17" t="str">
        <f>HYPERLINK("https://www.washoecounty.gov/assessor/cama/?command=sales&amp;parid=52021109","3941317")</f>
        <v>3941317</v>
      </c>
      <c r="H7216" t="s">
        <v>1697</v>
      </c>
      <c r="I7216">
        <v>2002</v>
      </c>
      <c r="J7216">
        <v>2002</v>
      </c>
      <c r="K7216" t="s">
        <v>3144</v>
      </c>
      <c r="L7216" t="s">
        <v>4555</v>
      </c>
      <c r="M7216" s="2">
        <v>1064</v>
      </c>
      <c r="N7216" t="s">
        <v>3147</v>
      </c>
      <c r="O7216">
        <v>2</v>
      </c>
      <c r="P7216">
        <v>2</v>
      </c>
      <c r="Q7216">
        <v>0</v>
      </c>
      <c r="R7216" t="s">
        <v>4557</v>
      </c>
      <c r="S7216" t="s">
        <v>4898</v>
      </c>
      <c r="T7216" t="s">
        <v>2704</v>
      </c>
      <c r="U7216" t="s">
        <v>5631</v>
      </c>
      <c r="V7216" s="2">
        <v>264</v>
      </c>
      <c r="W7216" t="s">
        <v>4655</v>
      </c>
      <c r="X7216" s="2">
        <v>0</v>
      </c>
      <c r="Y7216">
        <v>21</v>
      </c>
      <c r="Z7216" t="s">
        <v>2048</v>
      </c>
      <c r="AA7216" s="3">
        <v>1.00000004749745E-3</v>
      </c>
      <c r="AB7216" t="s">
        <v>34242</v>
      </c>
      <c r="AC7216" t="s">
        <v>4562</v>
      </c>
      <c r="AD7216" t="s">
        <v>34243</v>
      </c>
      <c r="AE7216" t="s">
        <v>4655</v>
      </c>
      <c r="AF7216" t="s">
        <v>5201</v>
      </c>
      <c r="AG7216" t="s">
        <v>4564</v>
      </c>
      <c r="AH7216" t="s">
        <v>1605</v>
      </c>
      <c r="AI7216" t="s">
        <v>4903</v>
      </c>
      <c r="AJ7216" t="s">
        <v>3079</v>
      </c>
      <c r="AK7216" t="s">
        <v>34244</v>
      </c>
      <c r="AL7216" s="13" t="s">
        <v>1899</v>
      </c>
      <c r="AM7216" s="14">
        <v>1</v>
      </c>
      <c r="AN7216" s="15" t="s">
        <v>74</v>
      </c>
    </row>
    <row r="7217" spans="1:40" x14ac:dyDescent="0.3">
      <c r="A7217" s="10" t="str">
        <f>HYPERLINK("http://www.washoecounty.gov/assessor/cama/?parid=520-211-17&amp;CardNumber=1","520-211-17")</f>
        <v>520-211-17</v>
      </c>
      <c r="B7217" t="s">
        <v>4655</v>
      </c>
      <c r="C7217" t="s">
        <v>1231</v>
      </c>
      <c r="D7217" s="1">
        <v>40500</v>
      </c>
      <c r="E7217" s="2">
        <v>100000</v>
      </c>
      <c r="F7217" t="s">
        <v>4567</v>
      </c>
      <c r="G7217" s="17" t="str">
        <f>HYPERLINK("https://www.washoecounty.gov/assessor/cama/?command=sales&amp;parid=52021117","3944581")</f>
        <v>3944581</v>
      </c>
      <c r="H7217" t="s">
        <v>1697</v>
      </c>
      <c r="I7217">
        <v>2002</v>
      </c>
      <c r="J7217">
        <v>2002</v>
      </c>
      <c r="K7217" t="s">
        <v>3144</v>
      </c>
      <c r="L7217" t="s">
        <v>4555</v>
      </c>
      <c r="M7217" s="2">
        <v>1080</v>
      </c>
      <c r="N7217" t="s">
        <v>3147</v>
      </c>
      <c r="O7217">
        <v>2</v>
      </c>
      <c r="P7217">
        <v>2</v>
      </c>
      <c r="Q7217">
        <v>0</v>
      </c>
      <c r="R7217" t="s">
        <v>5281</v>
      </c>
      <c r="S7217" t="s">
        <v>4898</v>
      </c>
      <c r="T7217" t="s">
        <v>2704</v>
      </c>
      <c r="U7217" t="s">
        <v>5631</v>
      </c>
      <c r="V7217" s="2">
        <v>279</v>
      </c>
      <c r="W7217" t="s">
        <v>4655</v>
      </c>
      <c r="X7217" s="2">
        <v>0</v>
      </c>
      <c r="Y7217">
        <v>21</v>
      </c>
      <c r="Z7217" t="s">
        <v>2048</v>
      </c>
      <c r="AA7217" s="3">
        <v>1.00000004749745E-3</v>
      </c>
      <c r="AB7217" t="s">
        <v>34245</v>
      </c>
      <c r="AC7217" t="s">
        <v>4562</v>
      </c>
      <c r="AD7217" t="s">
        <v>34246</v>
      </c>
      <c r="AE7217" t="s">
        <v>4655</v>
      </c>
      <c r="AF7217" t="s">
        <v>5201</v>
      </c>
      <c r="AG7217" t="s">
        <v>4564</v>
      </c>
      <c r="AH7217" t="s">
        <v>1605</v>
      </c>
      <c r="AI7217" t="s">
        <v>34247</v>
      </c>
      <c r="AJ7217" t="s">
        <v>34248</v>
      </c>
      <c r="AK7217" t="s">
        <v>34249</v>
      </c>
      <c r="AL7217" s="13" t="s">
        <v>1899</v>
      </c>
      <c r="AM7217" s="14">
        <v>1</v>
      </c>
      <c r="AN7217" s="15" t="s">
        <v>74</v>
      </c>
    </row>
    <row r="7218" spans="1:40" x14ac:dyDescent="0.3">
      <c r="A7218" s="10" t="str">
        <f>HYPERLINK("http://www.washoecounty.gov/assessor/cama/?parid=520-220-36&amp;CardNumber=1","520-220-36")</f>
        <v>520-220-36</v>
      </c>
      <c r="B7218" t="s">
        <v>4655</v>
      </c>
      <c r="C7218" t="s">
        <v>34250</v>
      </c>
      <c r="D7218" s="1">
        <v>40336</v>
      </c>
      <c r="E7218" s="2">
        <v>140000</v>
      </c>
      <c r="F7218" t="s">
        <v>4567</v>
      </c>
      <c r="G7218" s="17" t="str">
        <f>HYPERLINK("https://www.washoecounty.gov/assessor/cama/?command=sales&amp;parid=52022036","3888887")</f>
        <v>3888887</v>
      </c>
      <c r="H7218" t="s">
        <v>34251</v>
      </c>
      <c r="I7218">
        <v>2002</v>
      </c>
      <c r="J7218">
        <v>2002</v>
      </c>
      <c r="K7218" t="s">
        <v>4554</v>
      </c>
      <c r="L7218" t="s">
        <v>3974</v>
      </c>
      <c r="M7218" s="2">
        <v>1458</v>
      </c>
      <c r="N7218" t="s">
        <v>3147</v>
      </c>
      <c r="O7218">
        <v>2</v>
      </c>
      <c r="P7218">
        <v>2</v>
      </c>
      <c r="Q7218">
        <v>1</v>
      </c>
      <c r="R7218" t="s">
        <v>5281</v>
      </c>
      <c r="S7218" t="s">
        <v>4898</v>
      </c>
      <c r="T7218" t="s">
        <v>2704</v>
      </c>
      <c r="U7218" t="s">
        <v>5631</v>
      </c>
      <c r="V7218" s="2">
        <v>419</v>
      </c>
      <c r="W7218" t="s">
        <v>4655</v>
      </c>
      <c r="X7218" s="2">
        <v>0</v>
      </c>
      <c r="Y7218">
        <v>20</v>
      </c>
      <c r="Z7218" t="s">
        <v>2048</v>
      </c>
      <c r="AA7218" s="3">
        <v>7.1074381470680195E-2</v>
      </c>
      <c r="AB7218" t="s">
        <v>34252</v>
      </c>
      <c r="AC7218" t="s">
        <v>4562</v>
      </c>
      <c r="AD7218" t="s">
        <v>34253</v>
      </c>
      <c r="AE7218" t="s">
        <v>4655</v>
      </c>
      <c r="AF7218" t="s">
        <v>4809</v>
      </c>
      <c r="AG7218" t="s">
        <v>4564</v>
      </c>
      <c r="AH7218" t="s">
        <v>1605</v>
      </c>
      <c r="AI7218" t="s">
        <v>34254</v>
      </c>
      <c r="AJ7218" t="s">
        <v>34255</v>
      </c>
      <c r="AK7218" t="s">
        <v>34256</v>
      </c>
      <c r="AL7218" s="13" t="s">
        <v>1899</v>
      </c>
      <c r="AM7218">
        <v>1</v>
      </c>
      <c r="AN7218" s="15" t="s">
        <v>4301</v>
      </c>
    </row>
    <row r="7219" spans="1:40" x14ac:dyDescent="0.3">
      <c r="A7219" s="10" t="str">
        <f>HYPERLINK("http://www.washoecounty.gov/assessor/cama/?parid=520-231-02&amp;CardNumber=1","520-231-02")</f>
        <v>520-231-02</v>
      </c>
      <c r="B7219" t="s">
        <v>4655</v>
      </c>
      <c r="C7219" t="s">
        <v>34257</v>
      </c>
      <c r="D7219" s="1">
        <v>40344</v>
      </c>
      <c r="E7219" s="2">
        <v>275000</v>
      </c>
      <c r="F7219" t="s">
        <v>4553</v>
      </c>
      <c r="G7219" s="17" t="str">
        <f>HYPERLINK("https://www.washoecounty.gov/assessor/cama/?command=sales&amp;parid=52023102","3892129")</f>
        <v>3892129</v>
      </c>
      <c r="H7219" t="s">
        <v>1121</v>
      </c>
      <c r="I7219">
        <v>2004</v>
      </c>
      <c r="J7219">
        <v>2004</v>
      </c>
      <c r="K7219" t="s">
        <v>4554</v>
      </c>
      <c r="L7219" t="s">
        <v>3974</v>
      </c>
      <c r="M7219" s="2">
        <v>2418</v>
      </c>
      <c r="N7219" t="s">
        <v>3147</v>
      </c>
      <c r="O7219">
        <v>4</v>
      </c>
      <c r="P7219">
        <v>4</v>
      </c>
      <c r="Q7219">
        <v>0</v>
      </c>
      <c r="R7219" t="s">
        <v>5281</v>
      </c>
      <c r="S7219" t="s">
        <v>4898</v>
      </c>
      <c r="T7219" t="s">
        <v>2704</v>
      </c>
      <c r="U7219" t="s">
        <v>4560</v>
      </c>
      <c r="V7219" s="2">
        <v>710</v>
      </c>
      <c r="W7219" t="s">
        <v>4655</v>
      </c>
      <c r="X7219" s="2">
        <v>0</v>
      </c>
      <c r="Y7219">
        <v>20</v>
      </c>
      <c r="Z7219" t="s">
        <v>2048</v>
      </c>
      <c r="AA7219" s="3">
        <v>0.1652892529964447</v>
      </c>
      <c r="AB7219" t="s">
        <v>34258</v>
      </c>
      <c r="AC7219" t="s">
        <v>4562</v>
      </c>
      <c r="AD7219" t="s">
        <v>34259</v>
      </c>
      <c r="AE7219" t="s">
        <v>4655</v>
      </c>
      <c r="AF7219" t="s">
        <v>4809</v>
      </c>
      <c r="AG7219" t="s">
        <v>4564</v>
      </c>
      <c r="AH7219" t="s">
        <v>1605</v>
      </c>
      <c r="AI7219" t="s">
        <v>4202</v>
      </c>
      <c r="AJ7219" t="s">
        <v>1544</v>
      </c>
      <c r="AK7219" t="s">
        <v>34260</v>
      </c>
      <c r="AL7219" s="13" t="s">
        <v>1899</v>
      </c>
      <c r="AM7219" s="14">
        <v>1</v>
      </c>
      <c r="AN7219" s="15" t="s">
        <v>26</v>
      </c>
    </row>
    <row r="7220" spans="1:40" x14ac:dyDescent="0.3">
      <c r="A7220" s="10" t="str">
        <f>HYPERLINK("http://www.washoecounty.gov/assessor/cama/?parid=520-231-12&amp;CardNumber=1","520-231-12")</f>
        <v>520-231-12</v>
      </c>
      <c r="B7220" t="s">
        <v>4655</v>
      </c>
      <c r="C7220" t="s">
        <v>34261</v>
      </c>
      <c r="D7220" s="1">
        <v>40526</v>
      </c>
      <c r="E7220" s="2">
        <v>395000</v>
      </c>
      <c r="F7220" t="s">
        <v>4567</v>
      </c>
      <c r="G7220" s="17" t="str">
        <f>HYPERLINK("https://www.washoecounty.gov/assessor/cama/?command=sales&amp;parid=52023112","3952892")</f>
        <v>3952892</v>
      </c>
      <c r="H7220" t="s">
        <v>1121</v>
      </c>
      <c r="I7220">
        <v>2004</v>
      </c>
      <c r="J7220">
        <v>2004</v>
      </c>
      <c r="K7220" t="s">
        <v>4554</v>
      </c>
      <c r="L7220" t="s">
        <v>4555</v>
      </c>
      <c r="M7220" s="2">
        <v>1986</v>
      </c>
      <c r="N7220" t="s">
        <v>3147</v>
      </c>
      <c r="O7220">
        <v>3</v>
      </c>
      <c r="P7220">
        <v>3</v>
      </c>
      <c r="Q7220">
        <v>0</v>
      </c>
      <c r="R7220" t="s">
        <v>5281</v>
      </c>
      <c r="S7220" t="s">
        <v>4898</v>
      </c>
      <c r="T7220" t="s">
        <v>2704</v>
      </c>
      <c r="U7220" t="s">
        <v>4560</v>
      </c>
      <c r="V7220" s="2">
        <v>441</v>
      </c>
      <c r="W7220" t="s">
        <v>4655</v>
      </c>
      <c r="X7220" s="2">
        <v>0</v>
      </c>
      <c r="Y7220">
        <v>20</v>
      </c>
      <c r="Z7220" t="s">
        <v>2048</v>
      </c>
      <c r="AA7220" s="3">
        <v>0.210123971104622</v>
      </c>
      <c r="AB7220" t="s">
        <v>34262</v>
      </c>
      <c r="AC7220" t="s">
        <v>4575</v>
      </c>
      <c r="AD7220" t="s">
        <v>34263</v>
      </c>
      <c r="AE7220" t="s">
        <v>4655</v>
      </c>
      <c r="AF7220" t="s">
        <v>34264</v>
      </c>
      <c r="AG7220" t="s">
        <v>4584</v>
      </c>
      <c r="AH7220" t="s">
        <v>34265</v>
      </c>
      <c r="AI7220" t="s">
        <v>34266</v>
      </c>
      <c r="AJ7220" t="s">
        <v>1544</v>
      </c>
      <c r="AK7220" t="s">
        <v>34267</v>
      </c>
      <c r="AL7220" s="13" t="s">
        <v>1899</v>
      </c>
      <c r="AM7220" s="14">
        <v>1</v>
      </c>
      <c r="AN7220" s="15" t="s">
        <v>26</v>
      </c>
    </row>
    <row r="7221" spans="1:40" x14ac:dyDescent="0.3">
      <c r="A7221" s="10" t="str">
        <f>HYPERLINK("http://www.washoecounty.gov/assessor/cama/?parid=520-232-24&amp;CardNumber=1","520-232-24")</f>
        <v>520-232-24</v>
      </c>
      <c r="B7221" t="s">
        <v>4655</v>
      </c>
      <c r="C7221" t="s">
        <v>34268</v>
      </c>
      <c r="D7221" s="1">
        <v>40473</v>
      </c>
      <c r="E7221" s="2">
        <v>249000</v>
      </c>
      <c r="F7221" t="s">
        <v>4567</v>
      </c>
      <c r="G7221" s="17" t="str">
        <f>HYPERLINK("https://www.washoecounty.gov/assessor/cama/?command=sales&amp;parid=52023224","3935488")</f>
        <v>3935488</v>
      </c>
      <c r="H7221" t="s">
        <v>34269</v>
      </c>
      <c r="I7221">
        <v>2005</v>
      </c>
      <c r="J7221">
        <v>2005</v>
      </c>
      <c r="K7221" t="s">
        <v>4554</v>
      </c>
      <c r="L7221" t="s">
        <v>4555</v>
      </c>
      <c r="M7221" s="2">
        <v>2345</v>
      </c>
      <c r="N7221" t="s">
        <v>3147</v>
      </c>
      <c r="O7221">
        <v>3</v>
      </c>
      <c r="P7221">
        <v>2</v>
      </c>
      <c r="Q7221">
        <v>0</v>
      </c>
      <c r="R7221" t="s">
        <v>5281</v>
      </c>
      <c r="S7221" t="s">
        <v>4898</v>
      </c>
      <c r="T7221" t="s">
        <v>2704</v>
      </c>
      <c r="U7221" t="s">
        <v>4560</v>
      </c>
      <c r="V7221" s="2">
        <v>600</v>
      </c>
      <c r="W7221" t="s">
        <v>4655</v>
      </c>
      <c r="X7221" s="2">
        <v>0</v>
      </c>
      <c r="Y7221">
        <v>20</v>
      </c>
      <c r="Z7221" t="s">
        <v>2048</v>
      </c>
      <c r="AA7221" s="3">
        <v>0.20576216280460399</v>
      </c>
      <c r="AB7221" t="s">
        <v>34270</v>
      </c>
      <c r="AC7221" t="s">
        <v>4562</v>
      </c>
      <c r="AD7221" t="s">
        <v>34271</v>
      </c>
      <c r="AE7221" t="s">
        <v>4655</v>
      </c>
      <c r="AF7221" t="s">
        <v>34272</v>
      </c>
      <c r="AG7221" t="s">
        <v>1008</v>
      </c>
      <c r="AH7221">
        <v>9042</v>
      </c>
      <c r="AI7221" t="s">
        <v>34273</v>
      </c>
      <c r="AJ7221" t="s">
        <v>4571</v>
      </c>
      <c r="AK7221" t="s">
        <v>34274</v>
      </c>
      <c r="AL7221" s="13" t="s">
        <v>1899</v>
      </c>
      <c r="AM7221">
        <v>1</v>
      </c>
      <c r="AN7221" s="15" t="s">
        <v>26</v>
      </c>
    </row>
    <row r="7222" spans="1:40" x14ac:dyDescent="0.3">
      <c r="A7222" s="10" t="str">
        <f>HYPERLINK("http://www.washoecounty.gov/assessor/cama/?parid=520-241-05&amp;CardNumber=1","520-241-05")</f>
        <v>520-241-05</v>
      </c>
      <c r="B7222" t="s">
        <v>4655</v>
      </c>
      <c r="C7222" t="s">
        <v>34275</v>
      </c>
      <c r="D7222" s="1">
        <v>40434</v>
      </c>
      <c r="E7222" s="2">
        <v>200000</v>
      </c>
      <c r="F7222" t="s">
        <v>4567</v>
      </c>
      <c r="G7222" s="17" t="str">
        <f>HYPERLINK("https://www.washoecounty.gov/assessor/cama/?command=sales&amp;parid=52024105","3921804")</f>
        <v>3921804</v>
      </c>
      <c r="H7222" t="s">
        <v>4865</v>
      </c>
      <c r="I7222">
        <v>2004</v>
      </c>
      <c r="J7222">
        <v>2004</v>
      </c>
      <c r="K7222" t="s">
        <v>4554</v>
      </c>
      <c r="L7222" t="s">
        <v>3974</v>
      </c>
      <c r="M7222" s="2">
        <v>2425</v>
      </c>
      <c r="N7222" t="s">
        <v>3147</v>
      </c>
      <c r="O7222">
        <v>3</v>
      </c>
      <c r="P7222">
        <v>2</v>
      </c>
      <c r="Q7222">
        <v>1</v>
      </c>
      <c r="R7222" t="s">
        <v>5281</v>
      </c>
      <c r="S7222" t="s">
        <v>4898</v>
      </c>
      <c r="T7222" t="s">
        <v>2704</v>
      </c>
      <c r="U7222" t="s">
        <v>4560</v>
      </c>
      <c r="V7222" s="2">
        <v>521</v>
      </c>
      <c r="W7222" t="s">
        <v>4655</v>
      </c>
      <c r="X7222" s="2">
        <v>0</v>
      </c>
      <c r="Y7222">
        <v>20</v>
      </c>
      <c r="Z7222" t="s">
        <v>2048</v>
      </c>
      <c r="AA7222" s="3">
        <v>0.18519283831119501</v>
      </c>
      <c r="AB7222" t="s">
        <v>34276</v>
      </c>
      <c r="AC7222" t="s">
        <v>4562</v>
      </c>
      <c r="AD7222" t="s">
        <v>34277</v>
      </c>
      <c r="AE7222" t="s">
        <v>4655</v>
      </c>
      <c r="AF7222" t="s">
        <v>34278</v>
      </c>
      <c r="AG7222" t="s">
        <v>4584</v>
      </c>
      <c r="AH7222">
        <v>92123</v>
      </c>
      <c r="AI7222" t="s">
        <v>4655</v>
      </c>
      <c r="AJ7222" t="s">
        <v>4866</v>
      </c>
      <c r="AK7222" t="s">
        <v>34279</v>
      </c>
      <c r="AL7222" s="13" t="s">
        <v>1899</v>
      </c>
      <c r="AM7222" s="14">
        <v>1</v>
      </c>
      <c r="AN7222" s="15" t="s">
        <v>26</v>
      </c>
    </row>
    <row r="7223" spans="1:40" x14ac:dyDescent="0.3">
      <c r="A7223" s="10" t="str">
        <f>HYPERLINK("http://www.washoecounty.gov/assessor/cama/?parid=520-242-03&amp;CardNumber=1","520-242-03")</f>
        <v>520-242-03</v>
      </c>
      <c r="B7223" t="s">
        <v>4655</v>
      </c>
      <c r="C7223" t="s">
        <v>34280</v>
      </c>
      <c r="D7223" s="1">
        <v>40294</v>
      </c>
      <c r="E7223" s="2">
        <v>196000</v>
      </c>
      <c r="F7223" t="s">
        <v>4567</v>
      </c>
      <c r="G7223" s="17" t="str">
        <f>HYPERLINK("https://www.washoecounty.gov/assessor/cama/?command=sales&amp;parid=52024203","3874690")</f>
        <v>3874690</v>
      </c>
      <c r="H7223" t="s">
        <v>4865</v>
      </c>
      <c r="I7223">
        <v>2004</v>
      </c>
      <c r="J7223">
        <v>2004</v>
      </c>
      <c r="K7223" t="s">
        <v>4554</v>
      </c>
      <c r="L7223" t="s">
        <v>4555</v>
      </c>
      <c r="M7223" s="2">
        <v>2102</v>
      </c>
      <c r="N7223" t="s">
        <v>3147</v>
      </c>
      <c r="O7223">
        <v>3</v>
      </c>
      <c r="P7223">
        <v>2</v>
      </c>
      <c r="Q7223">
        <v>0</v>
      </c>
      <c r="R7223" t="s">
        <v>5281</v>
      </c>
      <c r="S7223" t="s">
        <v>4898</v>
      </c>
      <c r="T7223" t="s">
        <v>2704</v>
      </c>
      <c r="U7223" t="s">
        <v>4560</v>
      </c>
      <c r="V7223" s="2">
        <v>542</v>
      </c>
      <c r="W7223" t="s">
        <v>4655</v>
      </c>
      <c r="X7223" s="2">
        <v>0</v>
      </c>
      <c r="Y7223">
        <v>20</v>
      </c>
      <c r="Z7223" t="s">
        <v>2048</v>
      </c>
      <c r="AA7223" s="3">
        <v>0.142653807997704</v>
      </c>
      <c r="AB7223" t="s">
        <v>34281</v>
      </c>
      <c r="AC7223" t="s">
        <v>4562</v>
      </c>
      <c r="AD7223" t="s">
        <v>34280</v>
      </c>
      <c r="AE7223" t="s">
        <v>4655</v>
      </c>
      <c r="AF7223" t="s">
        <v>5201</v>
      </c>
      <c r="AG7223" t="s">
        <v>4564</v>
      </c>
      <c r="AH7223" t="s">
        <v>1605</v>
      </c>
      <c r="AI7223" t="s">
        <v>34282</v>
      </c>
      <c r="AJ7223" t="s">
        <v>4866</v>
      </c>
      <c r="AK7223" t="s">
        <v>34283</v>
      </c>
      <c r="AL7223" s="13" t="s">
        <v>1899</v>
      </c>
      <c r="AM7223">
        <v>1</v>
      </c>
      <c r="AN7223" s="15" t="s">
        <v>26</v>
      </c>
    </row>
    <row r="7224" spans="1:40" x14ac:dyDescent="0.3">
      <c r="A7224" s="10" t="str">
        <f>HYPERLINK("http://www.washoecounty.gov/assessor/cama/?parid=520-242-04&amp;CardNumber=1","520-242-04")</f>
        <v>520-242-04</v>
      </c>
      <c r="B7224" t="s">
        <v>4655</v>
      </c>
      <c r="C7224" t="s">
        <v>34284</v>
      </c>
      <c r="D7224" s="1">
        <v>40389</v>
      </c>
      <c r="E7224" s="2">
        <v>186200</v>
      </c>
      <c r="F7224" t="s">
        <v>4553</v>
      </c>
      <c r="G7224" s="17" t="str">
        <f>HYPERLINK("https://www.washoecounty.gov/assessor/cama/?command=sales&amp;parid=52024204","3907331")</f>
        <v>3907331</v>
      </c>
      <c r="H7224" t="s">
        <v>4865</v>
      </c>
      <c r="I7224">
        <v>2004</v>
      </c>
      <c r="J7224">
        <v>2004</v>
      </c>
      <c r="K7224" t="s">
        <v>4554</v>
      </c>
      <c r="L7224" t="s">
        <v>3974</v>
      </c>
      <c r="M7224" s="2">
        <v>2425</v>
      </c>
      <c r="N7224" t="s">
        <v>3147</v>
      </c>
      <c r="O7224">
        <v>4</v>
      </c>
      <c r="P7224">
        <v>2</v>
      </c>
      <c r="Q7224">
        <v>1</v>
      </c>
      <c r="R7224" t="s">
        <v>5281</v>
      </c>
      <c r="S7224" t="s">
        <v>4898</v>
      </c>
      <c r="T7224" t="s">
        <v>2704</v>
      </c>
      <c r="U7224" t="s">
        <v>4560</v>
      </c>
      <c r="V7224" s="2">
        <v>521</v>
      </c>
      <c r="W7224" t="s">
        <v>4655</v>
      </c>
      <c r="X7224" s="2">
        <v>0</v>
      </c>
      <c r="Y7224">
        <v>20</v>
      </c>
      <c r="Z7224" t="s">
        <v>2048</v>
      </c>
      <c r="AA7224" s="3">
        <v>0.143549129366875</v>
      </c>
      <c r="AB7224" t="s">
        <v>34285</v>
      </c>
      <c r="AC7224" t="s">
        <v>4562</v>
      </c>
      <c r="AD7224" t="s">
        <v>34286</v>
      </c>
      <c r="AE7224" t="s">
        <v>4655</v>
      </c>
      <c r="AF7224" t="s">
        <v>5201</v>
      </c>
      <c r="AG7224" t="s">
        <v>4564</v>
      </c>
      <c r="AH7224" t="s">
        <v>1605</v>
      </c>
      <c r="AI7224" t="s">
        <v>4655</v>
      </c>
      <c r="AJ7224" t="s">
        <v>4866</v>
      </c>
      <c r="AK7224" t="s">
        <v>34287</v>
      </c>
      <c r="AL7224" s="13" t="s">
        <v>1899</v>
      </c>
      <c r="AM7224" s="14">
        <v>1</v>
      </c>
      <c r="AN7224" s="15" t="s">
        <v>26</v>
      </c>
    </row>
    <row r="7225" spans="1:40" x14ac:dyDescent="0.3">
      <c r="A7225" s="10" t="str">
        <f>HYPERLINK("http://www.washoecounty.gov/assessor/cama/?parid=520-243-02&amp;CardNumber=1","520-243-02")</f>
        <v>520-243-02</v>
      </c>
      <c r="B7225" t="s">
        <v>4655</v>
      </c>
      <c r="C7225" t="s">
        <v>34288</v>
      </c>
      <c r="D7225" s="1">
        <v>40359</v>
      </c>
      <c r="E7225" s="2">
        <v>198000</v>
      </c>
      <c r="F7225" t="s">
        <v>4567</v>
      </c>
      <c r="G7225" s="17" t="str">
        <f>HYPERLINK("https://www.washoecounty.gov/assessor/cama/?command=sales&amp;parid=52024302","3896961")</f>
        <v>3896961</v>
      </c>
      <c r="H7225" t="s">
        <v>4865</v>
      </c>
      <c r="I7225">
        <v>2004</v>
      </c>
      <c r="J7225">
        <v>2004</v>
      </c>
      <c r="K7225" t="s">
        <v>4554</v>
      </c>
      <c r="L7225" t="s">
        <v>4555</v>
      </c>
      <c r="M7225" s="2">
        <v>2102</v>
      </c>
      <c r="N7225" t="s">
        <v>3147</v>
      </c>
      <c r="O7225">
        <v>3</v>
      </c>
      <c r="P7225">
        <v>2</v>
      </c>
      <c r="Q7225">
        <v>0</v>
      </c>
      <c r="R7225" t="s">
        <v>5281</v>
      </c>
      <c r="S7225" t="s">
        <v>4898</v>
      </c>
      <c r="T7225" t="s">
        <v>2704</v>
      </c>
      <c r="U7225" t="s">
        <v>4560</v>
      </c>
      <c r="V7225" s="2">
        <v>542</v>
      </c>
      <c r="W7225" t="s">
        <v>4655</v>
      </c>
      <c r="X7225" s="2">
        <v>0</v>
      </c>
      <c r="Y7225">
        <v>20</v>
      </c>
      <c r="Z7225" t="s">
        <v>2048</v>
      </c>
      <c r="AA7225" s="3">
        <v>0.159756660461426</v>
      </c>
      <c r="AB7225" t="s">
        <v>34289</v>
      </c>
      <c r="AC7225" t="s">
        <v>4562</v>
      </c>
      <c r="AD7225" t="s">
        <v>34290</v>
      </c>
      <c r="AE7225" t="s">
        <v>4655</v>
      </c>
      <c r="AF7225" t="s">
        <v>4809</v>
      </c>
      <c r="AG7225" t="s">
        <v>4564</v>
      </c>
      <c r="AH7225" t="s">
        <v>1605</v>
      </c>
      <c r="AI7225" t="s">
        <v>34291</v>
      </c>
      <c r="AJ7225" t="s">
        <v>4866</v>
      </c>
      <c r="AK7225" t="s">
        <v>34292</v>
      </c>
      <c r="AL7225" s="13" t="s">
        <v>1899</v>
      </c>
      <c r="AM7225">
        <v>1</v>
      </c>
      <c r="AN7225" s="15" t="s">
        <v>26</v>
      </c>
    </row>
    <row r="7226" spans="1:40" x14ac:dyDescent="0.3">
      <c r="A7226" s="10" t="str">
        <f>HYPERLINK("http://www.washoecounty.gov/assessor/cama/?parid=520-243-19&amp;CardNumber=1","520-243-19")</f>
        <v>520-243-19</v>
      </c>
      <c r="B7226" t="s">
        <v>4655</v>
      </c>
      <c r="C7226" t="s">
        <v>34293</v>
      </c>
      <c r="D7226" s="1">
        <v>40283</v>
      </c>
      <c r="E7226" s="2">
        <v>194000</v>
      </c>
      <c r="F7226" t="s">
        <v>4567</v>
      </c>
      <c r="G7226" s="17" t="str">
        <f>HYPERLINK("https://www.washoecounty.gov/assessor/cama/?command=sales&amp;parid=52024319","3871392")</f>
        <v>3871392</v>
      </c>
      <c r="H7226" t="s">
        <v>4865</v>
      </c>
      <c r="I7226">
        <v>2004</v>
      </c>
      <c r="J7226">
        <v>2004</v>
      </c>
      <c r="K7226" t="s">
        <v>4554</v>
      </c>
      <c r="L7226" t="s">
        <v>3974</v>
      </c>
      <c r="M7226" s="2">
        <v>2425</v>
      </c>
      <c r="N7226" t="s">
        <v>3147</v>
      </c>
      <c r="O7226">
        <v>3</v>
      </c>
      <c r="P7226">
        <v>2</v>
      </c>
      <c r="Q7226">
        <v>1</v>
      </c>
      <c r="R7226" t="s">
        <v>5281</v>
      </c>
      <c r="S7226" t="s">
        <v>4898</v>
      </c>
      <c r="T7226" t="s">
        <v>2704</v>
      </c>
      <c r="U7226" t="s">
        <v>4560</v>
      </c>
      <c r="V7226" s="2">
        <v>521</v>
      </c>
      <c r="W7226" t="s">
        <v>4655</v>
      </c>
      <c r="X7226" s="2">
        <v>0</v>
      </c>
      <c r="Y7226">
        <v>20</v>
      </c>
      <c r="Z7226" t="s">
        <v>2048</v>
      </c>
      <c r="AA7226" s="3">
        <v>0.14377869665622711</v>
      </c>
      <c r="AB7226" t="s">
        <v>2442</v>
      </c>
      <c r="AC7226" t="s">
        <v>4575</v>
      </c>
      <c r="AD7226" t="s">
        <v>34294</v>
      </c>
      <c r="AE7226" t="s">
        <v>34295</v>
      </c>
      <c r="AF7226" t="s">
        <v>2210</v>
      </c>
      <c r="AG7226" t="s">
        <v>4584</v>
      </c>
      <c r="AH7226" t="s">
        <v>2211</v>
      </c>
      <c r="AI7226" t="s">
        <v>34296</v>
      </c>
      <c r="AJ7226" t="s">
        <v>4866</v>
      </c>
      <c r="AK7226" t="s">
        <v>34297</v>
      </c>
      <c r="AL7226" s="13" t="s">
        <v>1899</v>
      </c>
      <c r="AM7226">
        <v>1</v>
      </c>
      <c r="AN7226" s="15" t="s">
        <v>26</v>
      </c>
    </row>
    <row r="7227" spans="1:40" x14ac:dyDescent="0.3">
      <c r="A7227" s="10" t="str">
        <f>HYPERLINK("http://www.washoecounty.gov/assessor/cama/?parid=520-244-03&amp;CardNumber=1","520-244-03")</f>
        <v>520-244-03</v>
      </c>
      <c r="B7227" t="s">
        <v>4655</v>
      </c>
      <c r="C7227" t="s">
        <v>34298</v>
      </c>
      <c r="D7227" s="1">
        <v>40359</v>
      </c>
      <c r="E7227" s="2">
        <v>196000</v>
      </c>
      <c r="F7227" t="s">
        <v>4567</v>
      </c>
      <c r="G7227" s="17" t="str">
        <f>HYPERLINK("https://www.washoecounty.gov/assessor/cama/?command=sales&amp;parid=52024403","3897162")</f>
        <v>3897162</v>
      </c>
      <c r="H7227" t="s">
        <v>4865</v>
      </c>
      <c r="I7227">
        <v>2004</v>
      </c>
      <c r="J7227">
        <v>2004</v>
      </c>
      <c r="K7227" t="s">
        <v>4554</v>
      </c>
      <c r="L7227" t="s">
        <v>4555</v>
      </c>
      <c r="M7227" s="2">
        <v>2102</v>
      </c>
      <c r="N7227" t="s">
        <v>3147</v>
      </c>
      <c r="O7227">
        <v>2</v>
      </c>
      <c r="P7227">
        <v>2</v>
      </c>
      <c r="Q7227">
        <v>0</v>
      </c>
      <c r="R7227" t="s">
        <v>5281</v>
      </c>
      <c r="S7227" t="s">
        <v>4898</v>
      </c>
      <c r="T7227" t="s">
        <v>2704</v>
      </c>
      <c r="U7227" t="s">
        <v>4560</v>
      </c>
      <c r="V7227" s="2">
        <v>542</v>
      </c>
      <c r="W7227" t="s">
        <v>4655</v>
      </c>
      <c r="X7227" s="2">
        <v>0</v>
      </c>
      <c r="Y7227">
        <v>20</v>
      </c>
      <c r="Z7227" t="s">
        <v>2048</v>
      </c>
      <c r="AA7227" s="3">
        <v>0.16864095628261599</v>
      </c>
      <c r="AB7227" t="s">
        <v>34299</v>
      </c>
      <c r="AC7227" t="s">
        <v>4575</v>
      </c>
      <c r="AD7227" t="s">
        <v>34300</v>
      </c>
      <c r="AE7227" t="s">
        <v>34298</v>
      </c>
      <c r="AF7227" t="s">
        <v>5201</v>
      </c>
      <c r="AG7227" t="s">
        <v>4564</v>
      </c>
      <c r="AH7227" t="s">
        <v>1605</v>
      </c>
      <c r="AI7227" t="s">
        <v>34301</v>
      </c>
      <c r="AJ7227" t="s">
        <v>4866</v>
      </c>
      <c r="AK7227" t="s">
        <v>34302</v>
      </c>
      <c r="AL7227" s="13" t="s">
        <v>1899</v>
      </c>
      <c r="AM7227" s="14">
        <v>1</v>
      </c>
      <c r="AN7227" s="15" t="s">
        <v>26</v>
      </c>
    </row>
    <row r="7228" spans="1:40" x14ac:dyDescent="0.3">
      <c r="A7228" s="10" t="str">
        <f>HYPERLINK("http://www.washoecounty.gov/assessor/cama/?parid=520-261-08&amp;CardNumber=1","520-261-08")</f>
        <v>520-261-08</v>
      </c>
      <c r="B7228" t="s">
        <v>4655</v>
      </c>
      <c r="C7228" t="s">
        <v>2432</v>
      </c>
      <c r="D7228" s="1">
        <v>40407</v>
      </c>
      <c r="E7228" s="2">
        <v>93000</v>
      </c>
      <c r="F7228" t="s">
        <v>4553</v>
      </c>
      <c r="G7228" s="17" t="str">
        <f>HYPERLINK("https://www.washoecounty.gov/assessor/cama/?command=sales&amp;parid=52026108","3912887")</f>
        <v>3912887</v>
      </c>
      <c r="H7228" t="s">
        <v>2429</v>
      </c>
      <c r="I7228">
        <v>2002</v>
      </c>
      <c r="J7228">
        <v>2002</v>
      </c>
      <c r="K7228" t="s">
        <v>3144</v>
      </c>
      <c r="L7228" t="s">
        <v>4555</v>
      </c>
      <c r="M7228" s="2">
        <v>1080</v>
      </c>
      <c r="N7228" t="s">
        <v>3147</v>
      </c>
      <c r="O7228">
        <v>2</v>
      </c>
      <c r="P7228">
        <v>2</v>
      </c>
      <c r="Q7228">
        <v>0</v>
      </c>
      <c r="R7228" t="s">
        <v>5281</v>
      </c>
      <c r="S7228" t="s">
        <v>4898</v>
      </c>
      <c r="T7228" t="s">
        <v>2704</v>
      </c>
      <c r="U7228" t="s">
        <v>5631</v>
      </c>
      <c r="V7228" s="2">
        <v>279</v>
      </c>
      <c r="W7228" t="s">
        <v>4655</v>
      </c>
      <c r="X7228" s="2">
        <v>0</v>
      </c>
      <c r="Y7228">
        <v>21</v>
      </c>
      <c r="Z7228" t="s">
        <v>2048</v>
      </c>
      <c r="AA7228" s="3">
        <v>3.06473821401596E-2</v>
      </c>
      <c r="AB7228" t="s">
        <v>34303</v>
      </c>
      <c r="AC7228" t="s">
        <v>4562</v>
      </c>
      <c r="AD7228" t="s">
        <v>34304</v>
      </c>
      <c r="AE7228" t="s">
        <v>4655</v>
      </c>
      <c r="AF7228" t="s">
        <v>4809</v>
      </c>
      <c r="AG7228" t="s">
        <v>4564</v>
      </c>
      <c r="AH7228" t="s">
        <v>1605</v>
      </c>
      <c r="AI7228" t="s">
        <v>4585</v>
      </c>
      <c r="AJ7228" t="s">
        <v>2431</v>
      </c>
      <c r="AK7228" t="s">
        <v>34305</v>
      </c>
      <c r="AL7228" s="13" t="s">
        <v>1899</v>
      </c>
      <c r="AM7228">
        <v>1</v>
      </c>
      <c r="AN7228" s="15" t="s">
        <v>74</v>
      </c>
    </row>
    <row r="7229" spans="1:40" x14ac:dyDescent="0.3">
      <c r="A7229" s="10" t="str">
        <f>HYPERLINK("http://www.washoecounty.gov/assessor/cama/?parid=520-261-09&amp;CardNumber=1","520-261-09")</f>
        <v>520-261-09</v>
      </c>
      <c r="B7229" t="s">
        <v>4655</v>
      </c>
      <c r="C7229" t="s">
        <v>2432</v>
      </c>
      <c r="D7229" s="1">
        <v>40527</v>
      </c>
      <c r="E7229" s="2">
        <v>107400</v>
      </c>
      <c r="F7229" t="s">
        <v>4553</v>
      </c>
      <c r="G7229" s="17" t="str">
        <f>HYPERLINK("https://www.washoecounty.gov/assessor/cama/?command=sales&amp;parid=52026109","3953420")</f>
        <v>3953420</v>
      </c>
      <c r="H7229" t="s">
        <v>2429</v>
      </c>
      <c r="I7229">
        <v>2002</v>
      </c>
      <c r="J7229">
        <v>2002</v>
      </c>
      <c r="K7229" t="s">
        <v>3144</v>
      </c>
      <c r="L7229" t="s">
        <v>3974</v>
      </c>
      <c r="M7229" s="2">
        <v>1599</v>
      </c>
      <c r="N7229" t="s">
        <v>3147</v>
      </c>
      <c r="O7229">
        <v>3</v>
      </c>
      <c r="P7229">
        <v>2</v>
      </c>
      <c r="Q7229">
        <v>1</v>
      </c>
      <c r="R7229" t="s">
        <v>5281</v>
      </c>
      <c r="S7229" t="s">
        <v>4898</v>
      </c>
      <c r="T7229" t="s">
        <v>2704</v>
      </c>
      <c r="U7229" t="s">
        <v>5631</v>
      </c>
      <c r="V7229" s="2">
        <v>390</v>
      </c>
      <c r="W7229" t="s">
        <v>4655</v>
      </c>
      <c r="X7229" s="2">
        <v>0</v>
      </c>
      <c r="Y7229">
        <v>21</v>
      </c>
      <c r="Z7229" t="s">
        <v>2048</v>
      </c>
      <c r="AA7229" s="3">
        <v>2.3370064795017201E-2</v>
      </c>
      <c r="AB7229" t="s">
        <v>34306</v>
      </c>
      <c r="AC7229" t="s">
        <v>4562</v>
      </c>
      <c r="AD7229" t="s">
        <v>34307</v>
      </c>
      <c r="AE7229" t="s">
        <v>4655</v>
      </c>
      <c r="AF7229" t="s">
        <v>4809</v>
      </c>
      <c r="AG7229" t="s">
        <v>4564</v>
      </c>
      <c r="AH7229" t="s">
        <v>1605</v>
      </c>
      <c r="AI7229" t="s">
        <v>4565</v>
      </c>
      <c r="AJ7229" t="s">
        <v>2431</v>
      </c>
      <c r="AK7229" t="s">
        <v>34308</v>
      </c>
      <c r="AL7229" s="13" t="s">
        <v>1899</v>
      </c>
      <c r="AM7229" s="14">
        <v>1</v>
      </c>
      <c r="AN7229" s="15" t="s">
        <v>74</v>
      </c>
    </row>
    <row r="7230" spans="1:40" x14ac:dyDescent="0.3">
      <c r="A7230" s="10" t="str">
        <f>HYPERLINK("http://www.washoecounty.gov/assessor/cama/?parid=520-261-19&amp;CardNumber=1","520-261-19")</f>
        <v>520-261-19</v>
      </c>
      <c r="B7230" t="s">
        <v>4655</v>
      </c>
      <c r="C7230" t="s">
        <v>2428</v>
      </c>
      <c r="D7230" s="1">
        <v>40186</v>
      </c>
      <c r="E7230" s="2">
        <v>118000</v>
      </c>
      <c r="F7230" t="s">
        <v>4567</v>
      </c>
      <c r="G7230" s="17" t="str">
        <f>HYPERLINK("https://www.washoecounty.gov/assessor/cama/?command=sales&amp;parid=52026119","3837522")</f>
        <v>3837522</v>
      </c>
      <c r="H7230" t="s">
        <v>2429</v>
      </c>
      <c r="I7230">
        <v>2002</v>
      </c>
      <c r="J7230">
        <v>2002</v>
      </c>
      <c r="K7230" t="s">
        <v>4897</v>
      </c>
      <c r="L7230" t="s">
        <v>4555</v>
      </c>
      <c r="M7230" s="2">
        <v>1282</v>
      </c>
      <c r="N7230" t="s">
        <v>3147</v>
      </c>
      <c r="O7230">
        <v>3</v>
      </c>
      <c r="P7230">
        <v>2</v>
      </c>
      <c r="Q7230">
        <v>0</v>
      </c>
      <c r="R7230" t="s">
        <v>5281</v>
      </c>
      <c r="S7230" t="s">
        <v>4898</v>
      </c>
      <c r="T7230" t="s">
        <v>2704</v>
      </c>
      <c r="U7230" t="s">
        <v>5631</v>
      </c>
      <c r="V7230" s="2">
        <v>264</v>
      </c>
      <c r="W7230" t="s">
        <v>4655</v>
      </c>
      <c r="X7230" s="2">
        <v>0</v>
      </c>
      <c r="Y7230">
        <v>21</v>
      </c>
      <c r="Z7230" t="s">
        <v>2048</v>
      </c>
      <c r="AA7230" s="3">
        <v>3.4251607954502099E-2</v>
      </c>
      <c r="AB7230" t="s">
        <v>34309</v>
      </c>
      <c r="AC7230" t="s">
        <v>4562</v>
      </c>
      <c r="AD7230" t="s">
        <v>34310</v>
      </c>
      <c r="AE7230" t="s">
        <v>4655</v>
      </c>
      <c r="AF7230" t="s">
        <v>5201</v>
      </c>
      <c r="AG7230" t="s">
        <v>4564</v>
      </c>
      <c r="AH7230" t="s">
        <v>1605</v>
      </c>
      <c r="AI7230" t="s">
        <v>34311</v>
      </c>
      <c r="AJ7230" t="s">
        <v>2431</v>
      </c>
      <c r="AK7230" t="s">
        <v>34312</v>
      </c>
      <c r="AL7230" s="13" t="s">
        <v>1899</v>
      </c>
      <c r="AM7230" s="14">
        <v>1</v>
      </c>
      <c r="AN7230" s="15" t="s">
        <v>74</v>
      </c>
    </row>
    <row r="7231" spans="1:40" x14ac:dyDescent="0.3">
      <c r="A7231" s="10" t="str">
        <f>HYPERLINK("http://www.washoecounty.gov/assessor/cama/?parid=520-261-22&amp;CardNumber=1","520-261-22")</f>
        <v>520-261-22</v>
      </c>
      <c r="B7231" t="s">
        <v>4655</v>
      </c>
      <c r="C7231" t="s">
        <v>2428</v>
      </c>
      <c r="D7231" s="1">
        <v>40436</v>
      </c>
      <c r="E7231" s="2">
        <v>115000</v>
      </c>
      <c r="F7231" t="s">
        <v>4567</v>
      </c>
      <c r="G7231" s="17" t="str">
        <f>HYPERLINK("https://www.washoecounty.gov/assessor/cama/?command=sales&amp;parid=52026122","3922584")</f>
        <v>3922584</v>
      </c>
      <c r="H7231" t="s">
        <v>2429</v>
      </c>
      <c r="I7231">
        <v>2002</v>
      </c>
      <c r="J7231">
        <v>2002</v>
      </c>
      <c r="K7231" t="s">
        <v>3144</v>
      </c>
      <c r="L7231" t="s">
        <v>3974</v>
      </c>
      <c r="M7231" s="2">
        <v>1599</v>
      </c>
      <c r="N7231" t="s">
        <v>3147</v>
      </c>
      <c r="O7231">
        <v>3</v>
      </c>
      <c r="P7231">
        <v>2</v>
      </c>
      <c r="Q7231">
        <v>1</v>
      </c>
      <c r="R7231" t="s">
        <v>4557</v>
      </c>
      <c r="S7231" t="s">
        <v>4898</v>
      </c>
      <c r="T7231" t="s">
        <v>2704</v>
      </c>
      <c r="U7231" t="s">
        <v>5631</v>
      </c>
      <c r="V7231" s="2">
        <v>390</v>
      </c>
      <c r="W7231" t="s">
        <v>4655</v>
      </c>
      <c r="X7231" s="2">
        <v>0</v>
      </c>
      <c r="Y7231">
        <v>21</v>
      </c>
      <c r="Z7231" t="s">
        <v>2048</v>
      </c>
      <c r="AA7231" s="3">
        <v>2.3370064795017201E-2</v>
      </c>
      <c r="AB7231" t="s">
        <v>33236</v>
      </c>
      <c r="AC7231" t="s">
        <v>4575</v>
      </c>
      <c r="AD7231" t="s">
        <v>33237</v>
      </c>
      <c r="AE7231" t="s">
        <v>4655</v>
      </c>
      <c r="AF7231" t="s">
        <v>5201</v>
      </c>
      <c r="AG7231" t="s">
        <v>5529</v>
      </c>
      <c r="AH7231" t="s">
        <v>1605</v>
      </c>
      <c r="AI7231" t="s">
        <v>34313</v>
      </c>
      <c r="AJ7231" t="s">
        <v>2431</v>
      </c>
      <c r="AK7231" t="s">
        <v>34314</v>
      </c>
      <c r="AL7231" s="13" t="s">
        <v>1899</v>
      </c>
      <c r="AM7231" s="14">
        <v>1</v>
      </c>
      <c r="AN7231" s="15" t="s">
        <v>74</v>
      </c>
    </row>
    <row r="7232" spans="1:40" x14ac:dyDescent="0.3">
      <c r="A7232" s="10" t="str">
        <f>HYPERLINK("http://www.washoecounty.gov/assessor/cama/?parid=520-262-04&amp;CardNumber=1","520-262-04")</f>
        <v>520-262-04</v>
      </c>
      <c r="B7232" t="s">
        <v>4655</v>
      </c>
      <c r="C7232" t="s">
        <v>2843</v>
      </c>
      <c r="D7232" s="1">
        <v>40343</v>
      </c>
      <c r="E7232" s="2">
        <v>94926</v>
      </c>
      <c r="F7232" t="s">
        <v>4567</v>
      </c>
      <c r="G7232" s="17" t="str">
        <f>HYPERLINK("https://www.washoecounty.gov/assessor/cama/?command=sales&amp;parid=52026204","3891388")</f>
        <v>3891388</v>
      </c>
      <c r="H7232" t="s">
        <v>2429</v>
      </c>
      <c r="I7232">
        <v>2002</v>
      </c>
      <c r="J7232">
        <v>2002</v>
      </c>
      <c r="K7232" t="s">
        <v>3144</v>
      </c>
      <c r="L7232" t="s">
        <v>4555</v>
      </c>
      <c r="M7232" s="2">
        <v>1064</v>
      </c>
      <c r="N7232" t="s">
        <v>3147</v>
      </c>
      <c r="O7232">
        <v>2</v>
      </c>
      <c r="P7232">
        <v>2</v>
      </c>
      <c r="Q7232">
        <v>0</v>
      </c>
      <c r="R7232" t="s">
        <v>4557</v>
      </c>
      <c r="S7232" t="s">
        <v>4898</v>
      </c>
      <c r="T7232" t="s">
        <v>2704</v>
      </c>
      <c r="U7232" t="s">
        <v>5631</v>
      </c>
      <c r="V7232" s="2">
        <v>264</v>
      </c>
      <c r="W7232" t="s">
        <v>4655</v>
      </c>
      <c r="X7232" s="2">
        <v>0</v>
      </c>
      <c r="Y7232">
        <v>21</v>
      </c>
      <c r="Z7232" t="s">
        <v>2048</v>
      </c>
      <c r="AA7232" s="3">
        <v>2.527548186481E-2</v>
      </c>
      <c r="AB7232" t="s">
        <v>34315</v>
      </c>
      <c r="AC7232" t="s">
        <v>4562</v>
      </c>
      <c r="AD7232" t="s">
        <v>34316</v>
      </c>
      <c r="AE7232" t="s">
        <v>4655</v>
      </c>
      <c r="AF7232" t="s">
        <v>34317</v>
      </c>
      <c r="AG7232" t="s">
        <v>4584</v>
      </c>
      <c r="AH7232">
        <v>96021</v>
      </c>
      <c r="AI7232" t="s">
        <v>34318</v>
      </c>
      <c r="AJ7232" t="s">
        <v>2431</v>
      </c>
      <c r="AK7232" t="s">
        <v>34319</v>
      </c>
      <c r="AL7232" s="13" t="s">
        <v>1899</v>
      </c>
      <c r="AM7232">
        <v>1</v>
      </c>
      <c r="AN7232" s="15" t="s">
        <v>74</v>
      </c>
    </row>
    <row r="7233" spans="1:40" x14ac:dyDescent="0.3">
      <c r="A7233" s="10" t="str">
        <f>HYPERLINK("http://www.washoecounty.gov/assessor/cama/?parid=520-262-06&amp;CardNumber=1","520-262-06")</f>
        <v>520-262-06</v>
      </c>
      <c r="B7233" t="s">
        <v>4655</v>
      </c>
      <c r="C7233" t="s">
        <v>2843</v>
      </c>
      <c r="D7233" s="1">
        <v>40535</v>
      </c>
      <c r="E7233" s="2">
        <v>95000</v>
      </c>
      <c r="F7233" t="s">
        <v>4567</v>
      </c>
      <c r="G7233" s="17" t="str">
        <f>HYPERLINK("https://www.washoecounty.gov/assessor/cama/?command=sales&amp;parid=52026206","3956633")</f>
        <v>3956633</v>
      </c>
      <c r="H7233" t="s">
        <v>2429</v>
      </c>
      <c r="I7233">
        <v>2002</v>
      </c>
      <c r="J7233">
        <v>2002</v>
      </c>
      <c r="K7233" t="s">
        <v>4897</v>
      </c>
      <c r="L7233" t="s">
        <v>4555</v>
      </c>
      <c r="M7233" s="2">
        <v>1156</v>
      </c>
      <c r="N7233" t="s">
        <v>3147</v>
      </c>
      <c r="O7233">
        <v>2</v>
      </c>
      <c r="P7233">
        <v>2</v>
      </c>
      <c r="Q7233">
        <v>0</v>
      </c>
      <c r="R7233" t="s">
        <v>4557</v>
      </c>
      <c r="S7233" t="s">
        <v>4898</v>
      </c>
      <c r="T7233" t="s">
        <v>2704</v>
      </c>
      <c r="U7233" t="s">
        <v>5631</v>
      </c>
      <c r="V7233" s="2">
        <v>264</v>
      </c>
      <c r="W7233" t="s">
        <v>4655</v>
      </c>
      <c r="X7233" s="2">
        <v>0</v>
      </c>
      <c r="Y7233">
        <v>21</v>
      </c>
      <c r="Z7233" t="s">
        <v>2048</v>
      </c>
      <c r="AA7233" s="3">
        <v>2.52066124230623E-2</v>
      </c>
      <c r="AB7233" t="s">
        <v>781</v>
      </c>
      <c r="AC7233" t="s">
        <v>4562</v>
      </c>
      <c r="AD7233" t="s">
        <v>34320</v>
      </c>
      <c r="AE7233" t="s">
        <v>34321</v>
      </c>
      <c r="AF7233" t="s">
        <v>969</v>
      </c>
      <c r="AG7233" t="s">
        <v>4584</v>
      </c>
      <c r="AH7233" t="s">
        <v>1476</v>
      </c>
      <c r="AI7233" t="s">
        <v>34322</v>
      </c>
      <c r="AJ7233" t="s">
        <v>2431</v>
      </c>
      <c r="AK7233" t="s">
        <v>5662</v>
      </c>
      <c r="AL7233" s="13" t="s">
        <v>1899</v>
      </c>
      <c r="AM7233" s="14">
        <v>1</v>
      </c>
      <c r="AN7233" s="15" t="s">
        <v>74</v>
      </c>
    </row>
    <row r="7234" spans="1:40" x14ac:dyDescent="0.3">
      <c r="A7234" s="10" t="str">
        <f>HYPERLINK("http://www.washoecounty.gov/assessor/cama/?parid=520-262-08&amp;CardNumber=1","520-262-08")</f>
        <v>520-262-08</v>
      </c>
      <c r="B7234" t="s">
        <v>4655</v>
      </c>
      <c r="C7234" t="s">
        <v>2432</v>
      </c>
      <c r="D7234" s="1">
        <v>40423</v>
      </c>
      <c r="E7234" s="2">
        <v>105000</v>
      </c>
      <c r="F7234" t="s">
        <v>4553</v>
      </c>
      <c r="G7234" s="17" t="str">
        <f>HYPERLINK("https://www.washoecounty.gov/assessor/cama/?command=sales&amp;parid=52026208","3918406")</f>
        <v>3918406</v>
      </c>
      <c r="H7234" t="s">
        <v>2429</v>
      </c>
      <c r="I7234">
        <v>2002</v>
      </c>
      <c r="J7234">
        <v>2002</v>
      </c>
      <c r="K7234" t="s">
        <v>4897</v>
      </c>
      <c r="L7234" t="s">
        <v>4555</v>
      </c>
      <c r="M7234" s="2">
        <v>1330</v>
      </c>
      <c r="N7234" t="s">
        <v>3147</v>
      </c>
      <c r="O7234">
        <v>3</v>
      </c>
      <c r="P7234">
        <v>2</v>
      </c>
      <c r="Q7234">
        <v>0</v>
      </c>
      <c r="R7234" t="s">
        <v>4557</v>
      </c>
      <c r="S7234" t="s">
        <v>4898</v>
      </c>
      <c r="T7234" t="s">
        <v>2704</v>
      </c>
      <c r="U7234" t="s">
        <v>5631</v>
      </c>
      <c r="V7234" s="2">
        <v>264</v>
      </c>
      <c r="W7234" t="s">
        <v>4655</v>
      </c>
      <c r="X7234" s="2">
        <v>0</v>
      </c>
      <c r="Y7234">
        <v>21</v>
      </c>
      <c r="Z7234" t="s">
        <v>2048</v>
      </c>
      <c r="AA7234" s="3">
        <v>2.97979805618525E-2</v>
      </c>
      <c r="AB7234" t="s">
        <v>34323</v>
      </c>
      <c r="AC7234" t="s">
        <v>4562</v>
      </c>
      <c r="AD7234" t="s">
        <v>34324</v>
      </c>
      <c r="AE7234" t="s">
        <v>4655</v>
      </c>
      <c r="AF7234" t="s">
        <v>5201</v>
      </c>
      <c r="AG7234" t="s">
        <v>4564</v>
      </c>
      <c r="AH7234" t="s">
        <v>1605</v>
      </c>
      <c r="AI7234" t="s">
        <v>4565</v>
      </c>
      <c r="AJ7234" t="s">
        <v>2431</v>
      </c>
      <c r="AK7234" t="s">
        <v>34325</v>
      </c>
      <c r="AL7234" s="13" t="s">
        <v>1899</v>
      </c>
      <c r="AM7234">
        <v>1</v>
      </c>
      <c r="AN7234" s="15" t="s">
        <v>74</v>
      </c>
    </row>
    <row r="7235" spans="1:40" x14ac:dyDescent="0.3">
      <c r="A7235" s="10" t="str">
        <f>HYPERLINK("http://www.washoecounty.gov/assessor/cama/?parid=520-262-09&amp;CardNumber=1","520-262-09")</f>
        <v>520-262-09</v>
      </c>
      <c r="B7235" t="s">
        <v>4655</v>
      </c>
      <c r="C7235" t="s">
        <v>2432</v>
      </c>
      <c r="D7235" s="1">
        <v>40189</v>
      </c>
      <c r="E7235" s="2">
        <v>100000</v>
      </c>
      <c r="F7235" t="s">
        <v>4553</v>
      </c>
      <c r="G7235" s="17" t="str">
        <f>HYPERLINK("https://www.washoecounty.gov/assessor/cama/?command=sales&amp;parid=52026209","3838077")</f>
        <v>3838077</v>
      </c>
      <c r="H7235" t="s">
        <v>2429</v>
      </c>
      <c r="I7235">
        <v>2002</v>
      </c>
      <c r="J7235">
        <v>2002</v>
      </c>
      <c r="K7235" t="s">
        <v>3144</v>
      </c>
      <c r="L7235" t="s">
        <v>4555</v>
      </c>
      <c r="M7235" s="2">
        <v>1064</v>
      </c>
      <c r="N7235" t="s">
        <v>3147</v>
      </c>
      <c r="O7235">
        <v>2</v>
      </c>
      <c r="P7235">
        <v>2</v>
      </c>
      <c r="Q7235">
        <v>0</v>
      </c>
      <c r="R7235" t="s">
        <v>4557</v>
      </c>
      <c r="S7235" t="s">
        <v>4898</v>
      </c>
      <c r="T7235" t="s">
        <v>2704</v>
      </c>
      <c r="U7235" t="s">
        <v>5631</v>
      </c>
      <c r="V7235" s="2">
        <v>264</v>
      </c>
      <c r="W7235" t="s">
        <v>4655</v>
      </c>
      <c r="X7235" s="2">
        <v>0</v>
      </c>
      <c r="Y7235">
        <v>21</v>
      </c>
      <c r="Z7235" t="s">
        <v>2048</v>
      </c>
      <c r="AA7235" s="3">
        <v>2.527548186481E-2</v>
      </c>
      <c r="AB7235" t="s">
        <v>34326</v>
      </c>
      <c r="AC7235" t="s">
        <v>4562</v>
      </c>
      <c r="AD7235" t="s">
        <v>34327</v>
      </c>
      <c r="AE7235" t="s">
        <v>4655</v>
      </c>
      <c r="AF7235" t="s">
        <v>5201</v>
      </c>
      <c r="AG7235" t="s">
        <v>4564</v>
      </c>
      <c r="AH7235" t="s">
        <v>1605</v>
      </c>
      <c r="AI7235" t="s">
        <v>4903</v>
      </c>
      <c r="AJ7235" t="s">
        <v>2431</v>
      </c>
      <c r="AK7235" t="s">
        <v>34328</v>
      </c>
      <c r="AL7235" s="13" t="s">
        <v>1899</v>
      </c>
      <c r="AM7235" s="14">
        <v>1</v>
      </c>
      <c r="AN7235" s="15" t="s">
        <v>74</v>
      </c>
    </row>
    <row r="7236" spans="1:40" x14ac:dyDescent="0.3">
      <c r="A7236" s="10" t="str">
        <f>HYPERLINK("http://www.washoecounty.gov/assessor/cama/?parid=520-282-09&amp;CardNumber=1","520-282-09")</f>
        <v>520-282-09</v>
      </c>
      <c r="B7236" t="s">
        <v>4655</v>
      </c>
      <c r="C7236" t="s">
        <v>34329</v>
      </c>
      <c r="D7236" s="1">
        <v>40436</v>
      </c>
      <c r="E7236" s="2">
        <v>467000</v>
      </c>
      <c r="F7236" t="s">
        <v>4567</v>
      </c>
      <c r="G7236" s="17" t="str">
        <f>HYPERLINK("https://www.washoecounty.gov/assessor/cama/?command=sales&amp;parid=52028209","3922382")</f>
        <v>3922382</v>
      </c>
      <c r="H7236" t="s">
        <v>1273</v>
      </c>
      <c r="I7236">
        <v>2003</v>
      </c>
      <c r="J7236">
        <v>2003</v>
      </c>
      <c r="K7236" t="s">
        <v>4554</v>
      </c>
      <c r="L7236" t="s">
        <v>3974</v>
      </c>
      <c r="M7236" s="2">
        <v>3836</v>
      </c>
      <c r="N7236" t="s">
        <v>3147</v>
      </c>
      <c r="O7236">
        <v>5</v>
      </c>
      <c r="P7236">
        <v>4</v>
      </c>
      <c r="Q7236">
        <v>0</v>
      </c>
      <c r="R7236" t="s">
        <v>4557</v>
      </c>
      <c r="S7236" t="s">
        <v>4898</v>
      </c>
      <c r="T7236" t="s">
        <v>2704</v>
      </c>
      <c r="U7236" t="s">
        <v>4560</v>
      </c>
      <c r="V7236" s="2">
        <v>800</v>
      </c>
      <c r="W7236" t="s">
        <v>4655</v>
      </c>
      <c r="X7236" s="2">
        <v>0</v>
      </c>
      <c r="Y7236">
        <v>20</v>
      </c>
      <c r="Z7236" t="s">
        <v>2048</v>
      </c>
      <c r="AA7236" s="3">
        <v>0.19283746182918549</v>
      </c>
      <c r="AB7236" t="s">
        <v>34330</v>
      </c>
      <c r="AC7236" t="s">
        <v>4562</v>
      </c>
      <c r="AD7236" t="s">
        <v>34329</v>
      </c>
      <c r="AE7236" t="s">
        <v>4655</v>
      </c>
      <c r="AF7236" t="s">
        <v>4809</v>
      </c>
      <c r="AG7236" t="s">
        <v>4564</v>
      </c>
      <c r="AH7236" t="s">
        <v>1605</v>
      </c>
      <c r="AI7236" t="s">
        <v>5242</v>
      </c>
      <c r="AJ7236" t="s">
        <v>1274</v>
      </c>
      <c r="AK7236" t="s">
        <v>34331</v>
      </c>
      <c r="AL7236" s="13" t="s">
        <v>1899</v>
      </c>
      <c r="AM7236" s="14">
        <v>1</v>
      </c>
      <c r="AN7236" s="15" t="s">
        <v>26</v>
      </c>
    </row>
    <row r="7237" spans="1:40" x14ac:dyDescent="0.3">
      <c r="A7237" s="10" t="str">
        <f>HYPERLINK("http://www.washoecounty.gov/assessor/cama/?parid=520-282-10&amp;CardNumber=1","520-282-10")</f>
        <v>520-282-10</v>
      </c>
      <c r="B7237" t="s">
        <v>4655</v>
      </c>
      <c r="C7237" t="s">
        <v>34332</v>
      </c>
      <c r="D7237" s="1">
        <v>40472</v>
      </c>
      <c r="E7237" s="2">
        <v>260000</v>
      </c>
      <c r="F7237" t="s">
        <v>4567</v>
      </c>
      <c r="G7237" s="17" t="str">
        <f>HYPERLINK("https://www.washoecounty.gov/assessor/cama/?command=sales&amp;parid=52028210","3935348")</f>
        <v>3935348</v>
      </c>
      <c r="H7237" t="s">
        <v>1273</v>
      </c>
      <c r="I7237">
        <v>2004</v>
      </c>
      <c r="J7237">
        <v>2004</v>
      </c>
      <c r="K7237" t="s">
        <v>4554</v>
      </c>
      <c r="L7237" t="s">
        <v>4555</v>
      </c>
      <c r="M7237" s="2">
        <v>2149</v>
      </c>
      <c r="N7237" t="s">
        <v>3147</v>
      </c>
      <c r="O7237">
        <v>3</v>
      </c>
      <c r="P7237">
        <v>2</v>
      </c>
      <c r="Q7237">
        <v>0</v>
      </c>
      <c r="R7237" t="s">
        <v>5281</v>
      </c>
      <c r="S7237" t="s">
        <v>4898</v>
      </c>
      <c r="T7237" t="s">
        <v>2704</v>
      </c>
      <c r="U7237" t="s">
        <v>4560</v>
      </c>
      <c r="V7237" s="2">
        <v>801</v>
      </c>
      <c r="W7237" t="s">
        <v>4655</v>
      </c>
      <c r="X7237" s="2">
        <v>0</v>
      </c>
      <c r="Y7237">
        <v>20</v>
      </c>
      <c r="Z7237" t="s">
        <v>2048</v>
      </c>
      <c r="AA7237" s="3">
        <v>0.19451332092285201</v>
      </c>
      <c r="AB7237" t="s">
        <v>34333</v>
      </c>
      <c r="AC7237" t="s">
        <v>4575</v>
      </c>
      <c r="AD7237" t="s">
        <v>34334</v>
      </c>
      <c r="AE7237" t="s">
        <v>4655</v>
      </c>
      <c r="AF7237" t="s">
        <v>5201</v>
      </c>
      <c r="AG7237" t="s">
        <v>5529</v>
      </c>
      <c r="AH7237" t="s">
        <v>1605</v>
      </c>
      <c r="AI7237" t="s">
        <v>34335</v>
      </c>
      <c r="AJ7237" t="s">
        <v>1274</v>
      </c>
      <c r="AK7237" t="s">
        <v>34336</v>
      </c>
      <c r="AL7237" s="13" t="s">
        <v>1899</v>
      </c>
      <c r="AM7237" s="14">
        <v>1</v>
      </c>
      <c r="AN7237" s="15" t="s">
        <v>26</v>
      </c>
    </row>
    <row r="7238" spans="1:40" x14ac:dyDescent="0.3">
      <c r="A7238" s="10" t="str">
        <f>HYPERLINK("http://www.washoecounty.gov/assessor/cama/?parid=520-282-22&amp;CardNumber=1","520-282-22")</f>
        <v>520-282-22</v>
      </c>
      <c r="B7238" t="s">
        <v>4655</v>
      </c>
      <c r="C7238" t="s">
        <v>34337</v>
      </c>
      <c r="D7238" s="1">
        <v>40417</v>
      </c>
      <c r="E7238" s="2">
        <v>404000</v>
      </c>
      <c r="F7238" t="s">
        <v>4567</v>
      </c>
      <c r="G7238" s="17" t="str">
        <f>HYPERLINK("https://www.washoecounty.gov/assessor/cama/?command=sales&amp;parid=52028222","3916432")</f>
        <v>3916432</v>
      </c>
      <c r="H7238" t="s">
        <v>1273</v>
      </c>
      <c r="I7238">
        <v>2003</v>
      </c>
      <c r="J7238">
        <v>2003</v>
      </c>
      <c r="K7238" t="s">
        <v>4554</v>
      </c>
      <c r="L7238" t="s">
        <v>4555</v>
      </c>
      <c r="M7238" s="2">
        <v>2004</v>
      </c>
      <c r="N7238" t="s">
        <v>3147</v>
      </c>
      <c r="O7238">
        <v>5</v>
      </c>
      <c r="P7238">
        <v>3</v>
      </c>
      <c r="Q7238">
        <v>0</v>
      </c>
      <c r="R7238" t="s">
        <v>4557</v>
      </c>
      <c r="S7238" t="s">
        <v>4898</v>
      </c>
      <c r="T7238" t="s">
        <v>2704</v>
      </c>
      <c r="U7238" t="s">
        <v>4560</v>
      </c>
      <c r="V7238" s="2">
        <v>760</v>
      </c>
      <c r="W7238" t="s">
        <v>4571</v>
      </c>
      <c r="X7238" s="2">
        <v>1614</v>
      </c>
      <c r="Y7238">
        <v>20</v>
      </c>
      <c r="Z7238" t="s">
        <v>2048</v>
      </c>
      <c r="AA7238" s="3">
        <v>0.26492193341255199</v>
      </c>
      <c r="AB7238" t="s">
        <v>34338</v>
      </c>
      <c r="AC7238" t="s">
        <v>4575</v>
      </c>
      <c r="AD7238" t="s">
        <v>34337</v>
      </c>
      <c r="AE7238" t="s">
        <v>4655</v>
      </c>
      <c r="AF7238" t="s">
        <v>5201</v>
      </c>
      <c r="AG7238" t="s">
        <v>4564</v>
      </c>
      <c r="AH7238" t="s">
        <v>1605</v>
      </c>
      <c r="AI7238" t="s">
        <v>34339</v>
      </c>
      <c r="AJ7238" t="s">
        <v>1274</v>
      </c>
      <c r="AK7238" t="s">
        <v>34340</v>
      </c>
      <c r="AL7238" s="13" t="s">
        <v>1899</v>
      </c>
      <c r="AM7238" s="14">
        <v>1</v>
      </c>
      <c r="AN7238" s="15" t="s">
        <v>26</v>
      </c>
    </row>
    <row r="7239" spans="1:40" x14ac:dyDescent="0.3">
      <c r="A7239" s="10" t="str">
        <f>HYPERLINK("http://www.washoecounty.gov/assessor/cama/?parid=520-284-05&amp;CardNumber=1","520-284-05")</f>
        <v>520-284-05</v>
      </c>
      <c r="B7239" t="s">
        <v>4655</v>
      </c>
      <c r="C7239" t="s">
        <v>34341</v>
      </c>
      <c r="D7239" s="1">
        <v>40532</v>
      </c>
      <c r="E7239" s="2">
        <v>355000</v>
      </c>
      <c r="F7239" t="s">
        <v>4567</v>
      </c>
      <c r="G7239" s="17" t="str">
        <f>HYPERLINK("https://www.washoecounty.gov/assessor/cama/?command=sales&amp;parid=52028405","3955693")</f>
        <v>3955693</v>
      </c>
      <c r="H7239" t="s">
        <v>1273</v>
      </c>
      <c r="I7239">
        <v>2005</v>
      </c>
      <c r="J7239">
        <v>2005</v>
      </c>
      <c r="K7239" t="s">
        <v>4554</v>
      </c>
      <c r="L7239" t="s">
        <v>3974</v>
      </c>
      <c r="M7239" s="2">
        <v>3836</v>
      </c>
      <c r="N7239" t="s">
        <v>3147</v>
      </c>
      <c r="O7239">
        <v>5</v>
      </c>
      <c r="P7239">
        <v>4</v>
      </c>
      <c r="Q7239">
        <v>0</v>
      </c>
      <c r="R7239" t="s">
        <v>5281</v>
      </c>
      <c r="S7239" t="s">
        <v>4898</v>
      </c>
      <c r="T7239" t="s">
        <v>2704</v>
      </c>
      <c r="U7239" t="s">
        <v>4560</v>
      </c>
      <c r="V7239" s="2">
        <v>800</v>
      </c>
      <c r="W7239" t="s">
        <v>4655</v>
      </c>
      <c r="X7239" s="2">
        <v>0</v>
      </c>
      <c r="Y7239">
        <v>20</v>
      </c>
      <c r="Z7239" t="s">
        <v>2048</v>
      </c>
      <c r="AA7239" s="3">
        <v>0.28902661800384499</v>
      </c>
      <c r="AB7239" t="s">
        <v>34342</v>
      </c>
      <c r="AC7239" t="s">
        <v>4562</v>
      </c>
      <c r="AD7239" t="s">
        <v>34341</v>
      </c>
      <c r="AE7239" t="s">
        <v>4655</v>
      </c>
      <c r="AF7239" t="s">
        <v>5201</v>
      </c>
      <c r="AG7239" t="s">
        <v>4564</v>
      </c>
      <c r="AH7239" t="s">
        <v>1605</v>
      </c>
      <c r="AI7239" t="s">
        <v>34343</v>
      </c>
      <c r="AJ7239" t="s">
        <v>1274</v>
      </c>
      <c r="AK7239" t="s">
        <v>34344</v>
      </c>
      <c r="AL7239" s="13" t="s">
        <v>1899</v>
      </c>
      <c r="AM7239" s="14">
        <v>1</v>
      </c>
      <c r="AN7239" s="15" t="s">
        <v>26</v>
      </c>
    </row>
    <row r="7240" spans="1:40" x14ac:dyDescent="0.3">
      <c r="A7240" s="10" t="str">
        <f>HYPERLINK("http://www.washoecounty.gov/assessor/cama/?parid=520-291-03&amp;CardNumber=1","520-291-03")</f>
        <v>520-291-03</v>
      </c>
      <c r="B7240" t="s">
        <v>4655</v>
      </c>
      <c r="C7240" t="s">
        <v>34345</v>
      </c>
      <c r="D7240" s="1">
        <v>40430</v>
      </c>
      <c r="E7240" s="2">
        <v>245000</v>
      </c>
      <c r="F7240" t="s">
        <v>4567</v>
      </c>
      <c r="G7240" s="17" t="str">
        <f>HYPERLINK("https://www.washoecounty.gov/assessor/cama/?command=sales&amp;parid=52029103","3920581")</f>
        <v>3920581</v>
      </c>
      <c r="H7240" t="s">
        <v>5243</v>
      </c>
      <c r="I7240">
        <v>2003</v>
      </c>
      <c r="J7240">
        <v>2003</v>
      </c>
      <c r="K7240" t="s">
        <v>4554</v>
      </c>
      <c r="L7240" t="s">
        <v>3974</v>
      </c>
      <c r="M7240" s="2">
        <v>2861</v>
      </c>
      <c r="N7240" t="s">
        <v>3147</v>
      </c>
      <c r="O7240">
        <v>5</v>
      </c>
      <c r="P7240">
        <v>4</v>
      </c>
      <c r="Q7240">
        <v>0</v>
      </c>
      <c r="R7240" t="s">
        <v>5281</v>
      </c>
      <c r="S7240" t="s">
        <v>4898</v>
      </c>
      <c r="T7240" t="s">
        <v>2704</v>
      </c>
      <c r="U7240" t="s">
        <v>4560</v>
      </c>
      <c r="V7240" s="2">
        <v>724</v>
      </c>
      <c r="W7240" t="s">
        <v>4655</v>
      </c>
      <c r="X7240" s="2">
        <v>0</v>
      </c>
      <c r="Y7240">
        <v>20</v>
      </c>
      <c r="Z7240" t="s">
        <v>2048</v>
      </c>
      <c r="AA7240" s="3">
        <v>0.17199265956878662</v>
      </c>
      <c r="AB7240" t="s">
        <v>34346</v>
      </c>
      <c r="AC7240" t="s">
        <v>4562</v>
      </c>
      <c r="AD7240" t="s">
        <v>34345</v>
      </c>
      <c r="AE7240" t="s">
        <v>4655</v>
      </c>
      <c r="AF7240" t="s">
        <v>5201</v>
      </c>
      <c r="AG7240" t="s">
        <v>4564</v>
      </c>
      <c r="AH7240" t="s">
        <v>1605</v>
      </c>
      <c r="AI7240" t="s">
        <v>34347</v>
      </c>
      <c r="AJ7240" t="s">
        <v>5143</v>
      </c>
      <c r="AK7240" t="s">
        <v>34348</v>
      </c>
      <c r="AL7240" s="13" t="s">
        <v>1899</v>
      </c>
      <c r="AM7240" s="14">
        <v>1</v>
      </c>
      <c r="AN7240" s="15" t="s">
        <v>26</v>
      </c>
    </row>
    <row r="7241" spans="1:40" x14ac:dyDescent="0.3">
      <c r="A7241" s="10" t="str">
        <f>HYPERLINK("http://www.washoecounty.gov/assessor/cama/?parid=520-292-22&amp;CardNumber=1","520-292-22")</f>
        <v>520-292-22</v>
      </c>
      <c r="B7241" t="s">
        <v>4655</v>
      </c>
      <c r="C7241" t="s">
        <v>34349</v>
      </c>
      <c r="D7241" s="1">
        <v>40458</v>
      </c>
      <c r="E7241" s="2">
        <v>202000</v>
      </c>
      <c r="F7241" t="s">
        <v>4567</v>
      </c>
      <c r="G7241" s="17" t="str">
        <f>HYPERLINK("https://www.washoecounty.gov/assessor/cama/?command=sales&amp;parid=52029222","3930804")</f>
        <v>3930804</v>
      </c>
      <c r="H7241" t="s">
        <v>5243</v>
      </c>
      <c r="I7241">
        <v>2003</v>
      </c>
      <c r="J7241">
        <v>2003</v>
      </c>
      <c r="K7241" t="s">
        <v>4554</v>
      </c>
      <c r="L7241" t="s">
        <v>4555</v>
      </c>
      <c r="M7241" s="2">
        <v>1971</v>
      </c>
      <c r="N7241" t="s">
        <v>3147</v>
      </c>
      <c r="O7241">
        <v>3</v>
      </c>
      <c r="P7241">
        <v>2</v>
      </c>
      <c r="Q7241">
        <v>0</v>
      </c>
      <c r="R7241" t="s">
        <v>5281</v>
      </c>
      <c r="S7241" t="s">
        <v>4898</v>
      </c>
      <c r="T7241" t="s">
        <v>2704</v>
      </c>
      <c r="U7241" t="s">
        <v>4560</v>
      </c>
      <c r="V7241" s="2">
        <v>498</v>
      </c>
      <c r="W7241" t="s">
        <v>4655</v>
      </c>
      <c r="X7241" s="2">
        <v>0</v>
      </c>
      <c r="Y7241">
        <v>20</v>
      </c>
      <c r="Z7241" t="s">
        <v>2048</v>
      </c>
      <c r="AA7241" s="3">
        <v>0.148002758622169</v>
      </c>
      <c r="AB7241" t="s">
        <v>34350</v>
      </c>
      <c r="AC7241" t="s">
        <v>4575</v>
      </c>
      <c r="AD7241" t="s">
        <v>34351</v>
      </c>
      <c r="AE7241" t="s">
        <v>4655</v>
      </c>
      <c r="AF7241" t="s">
        <v>34352</v>
      </c>
      <c r="AG7241" t="s">
        <v>4564</v>
      </c>
      <c r="AH7241" t="s">
        <v>1605</v>
      </c>
      <c r="AI7241" t="s">
        <v>34353</v>
      </c>
      <c r="AJ7241" t="s">
        <v>5143</v>
      </c>
      <c r="AK7241" t="s">
        <v>34354</v>
      </c>
      <c r="AL7241" s="13" t="s">
        <v>1899</v>
      </c>
      <c r="AM7241">
        <v>1</v>
      </c>
      <c r="AN7241" s="15" t="s">
        <v>26</v>
      </c>
    </row>
    <row r="7242" spans="1:40" x14ac:dyDescent="0.3">
      <c r="A7242" s="10" t="str">
        <f>HYPERLINK("http://www.washoecounty.gov/assessor/cama/?parid=520-303-02&amp;CardNumber=1","520-303-02")</f>
        <v>520-303-02</v>
      </c>
      <c r="B7242" t="s">
        <v>4655</v>
      </c>
      <c r="C7242" t="s">
        <v>34355</v>
      </c>
      <c r="D7242" s="1">
        <v>40464</v>
      </c>
      <c r="E7242" s="2">
        <v>250000</v>
      </c>
      <c r="F7242" t="s">
        <v>4567</v>
      </c>
      <c r="G7242" s="17" t="str">
        <f>HYPERLINK("https://www.washoecounty.gov/assessor/cama/?command=sales&amp;parid=52030302","3932635")</f>
        <v>3932635</v>
      </c>
      <c r="H7242" t="s">
        <v>3842</v>
      </c>
      <c r="I7242">
        <v>2004</v>
      </c>
      <c r="J7242">
        <v>2004</v>
      </c>
      <c r="K7242" t="s">
        <v>4554</v>
      </c>
      <c r="L7242" t="s">
        <v>3974</v>
      </c>
      <c r="M7242" s="2">
        <v>3162</v>
      </c>
      <c r="N7242" t="s">
        <v>3147</v>
      </c>
      <c r="O7242">
        <v>4</v>
      </c>
      <c r="P7242">
        <v>2</v>
      </c>
      <c r="Q7242">
        <v>1</v>
      </c>
      <c r="R7242" t="s">
        <v>5281</v>
      </c>
      <c r="S7242" t="s">
        <v>4898</v>
      </c>
      <c r="T7242" t="s">
        <v>2704</v>
      </c>
      <c r="U7242" t="s">
        <v>5631</v>
      </c>
      <c r="V7242" s="2">
        <v>658</v>
      </c>
      <c r="W7242" t="s">
        <v>4655</v>
      </c>
      <c r="X7242" s="2">
        <v>0</v>
      </c>
      <c r="Y7242">
        <v>20</v>
      </c>
      <c r="Z7242" t="s">
        <v>2048</v>
      </c>
      <c r="AA7242" s="3">
        <v>0.35580807924270602</v>
      </c>
      <c r="AB7242" t="s">
        <v>34356</v>
      </c>
      <c r="AC7242" t="s">
        <v>4562</v>
      </c>
      <c r="AD7242" t="s">
        <v>34357</v>
      </c>
      <c r="AE7242" t="s">
        <v>4655</v>
      </c>
      <c r="AF7242" t="s">
        <v>4809</v>
      </c>
      <c r="AG7242" t="s">
        <v>4564</v>
      </c>
      <c r="AH7242" t="s">
        <v>1605</v>
      </c>
      <c r="AI7242" t="s">
        <v>34356</v>
      </c>
      <c r="AJ7242" t="s">
        <v>3843</v>
      </c>
      <c r="AK7242" t="s">
        <v>34358</v>
      </c>
      <c r="AL7242" s="13" t="s">
        <v>1899</v>
      </c>
      <c r="AM7242" s="14">
        <v>1</v>
      </c>
      <c r="AN7242" s="15" t="s">
        <v>26</v>
      </c>
    </row>
    <row r="7243" spans="1:40" x14ac:dyDescent="0.3">
      <c r="A7243" s="10" t="str">
        <f>HYPERLINK("http://www.washoecounty.gov/assessor/cama/?parid=520-303-03&amp;CardNumber=1","520-303-03")</f>
        <v>520-303-03</v>
      </c>
      <c r="B7243" t="s">
        <v>4655</v>
      </c>
      <c r="C7243" t="s">
        <v>34359</v>
      </c>
      <c r="D7243" s="1">
        <v>40233</v>
      </c>
      <c r="E7243" s="2">
        <v>265000</v>
      </c>
      <c r="F7243" t="s">
        <v>4567</v>
      </c>
      <c r="G7243" s="17" t="str">
        <f>HYPERLINK("https://www.washoecounty.gov/assessor/cama/?command=sales&amp;parid=52030303","3852355")</f>
        <v>3852355</v>
      </c>
      <c r="H7243" t="s">
        <v>3842</v>
      </c>
      <c r="I7243">
        <v>2004</v>
      </c>
      <c r="J7243">
        <v>2004</v>
      </c>
      <c r="K7243" t="s">
        <v>4554</v>
      </c>
      <c r="L7243" t="s">
        <v>4555</v>
      </c>
      <c r="M7243" s="2">
        <v>2345</v>
      </c>
      <c r="N7243" t="s">
        <v>3147</v>
      </c>
      <c r="O7243">
        <v>2</v>
      </c>
      <c r="P7243">
        <v>2</v>
      </c>
      <c r="Q7243">
        <v>0</v>
      </c>
      <c r="R7243" t="s">
        <v>5281</v>
      </c>
      <c r="S7243" t="s">
        <v>4898</v>
      </c>
      <c r="T7243" t="s">
        <v>2704</v>
      </c>
      <c r="U7243" t="s">
        <v>4560</v>
      </c>
      <c r="V7243" s="2">
        <v>600</v>
      </c>
      <c r="W7243" t="s">
        <v>4655</v>
      </c>
      <c r="X7243" s="2">
        <v>0</v>
      </c>
      <c r="Y7243">
        <v>20</v>
      </c>
      <c r="Z7243" t="s">
        <v>2048</v>
      </c>
      <c r="AA7243" s="3">
        <v>0.47952249646186829</v>
      </c>
      <c r="AB7243" t="s">
        <v>34360</v>
      </c>
      <c r="AC7243" t="s">
        <v>4562</v>
      </c>
      <c r="AD7243" t="s">
        <v>34359</v>
      </c>
      <c r="AE7243" t="s">
        <v>4655</v>
      </c>
      <c r="AF7243" t="s">
        <v>5201</v>
      </c>
      <c r="AG7243" t="s">
        <v>4564</v>
      </c>
      <c r="AH7243" t="s">
        <v>1605</v>
      </c>
      <c r="AI7243" t="s">
        <v>34361</v>
      </c>
      <c r="AJ7243" t="s">
        <v>3843</v>
      </c>
      <c r="AK7243" t="s">
        <v>34362</v>
      </c>
      <c r="AL7243" s="13" t="s">
        <v>1899</v>
      </c>
      <c r="AM7243">
        <v>1</v>
      </c>
      <c r="AN7243" s="15" t="s">
        <v>26</v>
      </c>
    </row>
    <row r="7244" spans="1:40" x14ac:dyDescent="0.3">
      <c r="A7244" s="10" t="str">
        <f>HYPERLINK("http://www.washoecounty.gov/assessor/cama/?parid=520-303-04&amp;CardNumber=1","520-303-04")</f>
        <v>520-303-04</v>
      </c>
      <c r="B7244" t="s">
        <v>4655</v>
      </c>
      <c r="C7244" t="s">
        <v>34363</v>
      </c>
      <c r="D7244" s="1">
        <v>40219</v>
      </c>
      <c r="E7244" s="2">
        <v>205000</v>
      </c>
      <c r="F7244" t="s">
        <v>4553</v>
      </c>
      <c r="G7244" s="17" t="str">
        <f>HYPERLINK("https://www.washoecounty.gov/assessor/cama/?command=sales&amp;parid=52030304","3847685")</f>
        <v>3847685</v>
      </c>
      <c r="H7244" t="s">
        <v>3842</v>
      </c>
      <c r="I7244">
        <v>2004</v>
      </c>
      <c r="J7244">
        <v>2004</v>
      </c>
      <c r="K7244" t="s">
        <v>4554</v>
      </c>
      <c r="L7244" t="s">
        <v>4555</v>
      </c>
      <c r="M7244" s="2">
        <v>2187</v>
      </c>
      <c r="N7244" t="s">
        <v>3147</v>
      </c>
      <c r="O7244">
        <v>2</v>
      </c>
      <c r="P7244">
        <v>2</v>
      </c>
      <c r="Q7244">
        <v>0</v>
      </c>
      <c r="R7244" t="s">
        <v>5281</v>
      </c>
      <c r="S7244" t="s">
        <v>4898</v>
      </c>
      <c r="T7244" t="s">
        <v>2704</v>
      </c>
      <c r="U7244" t="s">
        <v>4560</v>
      </c>
      <c r="V7244" s="2">
        <v>404</v>
      </c>
      <c r="W7244" t="s">
        <v>4655</v>
      </c>
      <c r="X7244" s="2">
        <v>0</v>
      </c>
      <c r="Y7244">
        <v>20</v>
      </c>
      <c r="Z7244" t="s">
        <v>2048</v>
      </c>
      <c r="AA7244" s="3">
        <v>0.25957301259040799</v>
      </c>
      <c r="AB7244" t="s">
        <v>34364</v>
      </c>
      <c r="AC7244" t="s">
        <v>4562</v>
      </c>
      <c r="AD7244" t="s">
        <v>34363</v>
      </c>
      <c r="AE7244" t="s">
        <v>4655</v>
      </c>
      <c r="AF7244" t="s">
        <v>5201</v>
      </c>
      <c r="AG7244" t="s">
        <v>4564</v>
      </c>
      <c r="AH7244" t="s">
        <v>1605</v>
      </c>
      <c r="AI7244" t="s">
        <v>4045</v>
      </c>
      <c r="AJ7244" t="s">
        <v>3843</v>
      </c>
      <c r="AK7244" t="s">
        <v>34365</v>
      </c>
      <c r="AL7244" s="13" t="s">
        <v>1899</v>
      </c>
      <c r="AM7244" s="14">
        <v>1</v>
      </c>
      <c r="AN7244" s="15" t="s">
        <v>26</v>
      </c>
    </row>
    <row r="7245" spans="1:40" x14ac:dyDescent="0.3">
      <c r="A7245" s="10" t="str">
        <f>HYPERLINK("http://www.washoecounty.gov/assessor/cama/?parid=520-311-10&amp;CardNumber=1","520-311-10")</f>
        <v>520-311-10</v>
      </c>
      <c r="B7245" t="s">
        <v>4655</v>
      </c>
      <c r="C7245" t="s">
        <v>34366</v>
      </c>
      <c r="D7245" s="1">
        <v>40198</v>
      </c>
      <c r="E7245" s="2">
        <v>280000</v>
      </c>
      <c r="F7245" t="s">
        <v>4567</v>
      </c>
      <c r="G7245" s="17" t="str">
        <f>HYPERLINK("https://www.washoecounty.gov/assessor/cama/?command=sales&amp;parid=52031110","3840920")</f>
        <v>3840920</v>
      </c>
      <c r="H7245" t="s">
        <v>3842</v>
      </c>
      <c r="I7245">
        <v>2004</v>
      </c>
      <c r="J7245">
        <v>2004</v>
      </c>
      <c r="K7245" t="s">
        <v>4554</v>
      </c>
      <c r="L7245" t="s">
        <v>3974</v>
      </c>
      <c r="M7245" s="2">
        <v>3162</v>
      </c>
      <c r="N7245" t="s">
        <v>3147</v>
      </c>
      <c r="O7245">
        <v>5</v>
      </c>
      <c r="P7245">
        <v>3</v>
      </c>
      <c r="Q7245">
        <v>1</v>
      </c>
      <c r="R7245" t="s">
        <v>5281</v>
      </c>
      <c r="S7245" t="s">
        <v>4898</v>
      </c>
      <c r="T7245" t="s">
        <v>2704</v>
      </c>
      <c r="U7245" t="s">
        <v>5631</v>
      </c>
      <c r="V7245" s="2">
        <v>658</v>
      </c>
      <c r="W7245" t="s">
        <v>4655</v>
      </c>
      <c r="X7245" s="2">
        <v>0</v>
      </c>
      <c r="Y7245">
        <v>20</v>
      </c>
      <c r="Z7245" t="s">
        <v>2048</v>
      </c>
      <c r="AA7245" s="3">
        <v>0.18893480300903301</v>
      </c>
      <c r="AB7245" t="s">
        <v>34367</v>
      </c>
      <c r="AC7245" t="s">
        <v>4562</v>
      </c>
      <c r="AD7245" t="s">
        <v>34366</v>
      </c>
      <c r="AE7245" t="s">
        <v>4655</v>
      </c>
      <c r="AF7245" t="s">
        <v>5201</v>
      </c>
      <c r="AG7245" t="s">
        <v>4564</v>
      </c>
      <c r="AH7245" t="s">
        <v>1605</v>
      </c>
      <c r="AI7245" t="s">
        <v>34368</v>
      </c>
      <c r="AJ7245" t="s">
        <v>3843</v>
      </c>
      <c r="AK7245" t="s">
        <v>34369</v>
      </c>
      <c r="AL7245" s="13" t="s">
        <v>1899</v>
      </c>
      <c r="AM7245">
        <v>1</v>
      </c>
      <c r="AN7245" s="15" t="s">
        <v>26</v>
      </c>
    </row>
    <row r="7246" spans="1:40" x14ac:dyDescent="0.3">
      <c r="A7246" s="10" t="str">
        <f>HYPERLINK("http://www.washoecounty.gov/assessor/cama/?parid=520-321-04&amp;CardNumber=1","520-321-04")</f>
        <v>520-321-04</v>
      </c>
      <c r="B7246" t="s">
        <v>4655</v>
      </c>
      <c r="C7246" t="s">
        <v>34370</v>
      </c>
      <c r="D7246" s="1">
        <v>40380</v>
      </c>
      <c r="E7246" s="2">
        <v>185000</v>
      </c>
      <c r="F7246" t="s">
        <v>4553</v>
      </c>
      <c r="G7246" s="17" t="str">
        <f>HYPERLINK("https://www.washoecounty.gov/assessor/cama/?command=sales&amp;parid=52032104","3903392")</f>
        <v>3903392</v>
      </c>
      <c r="H7246" t="s">
        <v>575</v>
      </c>
      <c r="I7246">
        <v>2004</v>
      </c>
      <c r="J7246">
        <v>2004</v>
      </c>
      <c r="K7246" t="s">
        <v>4554</v>
      </c>
      <c r="L7246" t="s">
        <v>3974</v>
      </c>
      <c r="M7246" s="2">
        <v>1898</v>
      </c>
      <c r="N7246" t="s">
        <v>3147</v>
      </c>
      <c r="O7246">
        <v>4</v>
      </c>
      <c r="P7246">
        <v>2</v>
      </c>
      <c r="Q7246">
        <v>1</v>
      </c>
      <c r="R7246" t="s">
        <v>4557</v>
      </c>
      <c r="S7246" t="s">
        <v>4898</v>
      </c>
      <c r="T7246" t="s">
        <v>2704</v>
      </c>
      <c r="U7246" t="s">
        <v>5631</v>
      </c>
      <c r="V7246" s="2">
        <v>438</v>
      </c>
      <c r="W7246" t="s">
        <v>4655</v>
      </c>
      <c r="X7246" s="2">
        <v>0</v>
      </c>
      <c r="Y7246">
        <v>20</v>
      </c>
      <c r="Z7246" t="s">
        <v>2048</v>
      </c>
      <c r="AA7246" s="3">
        <v>0.11462350934743901</v>
      </c>
      <c r="AB7246" t="s">
        <v>33330</v>
      </c>
      <c r="AC7246" t="s">
        <v>4562</v>
      </c>
      <c r="AD7246" t="s">
        <v>33329</v>
      </c>
      <c r="AE7246" t="s">
        <v>4655</v>
      </c>
      <c r="AF7246" t="s">
        <v>5201</v>
      </c>
      <c r="AG7246" t="s">
        <v>4564</v>
      </c>
      <c r="AH7246" t="s">
        <v>1605</v>
      </c>
      <c r="AI7246" t="s">
        <v>4655</v>
      </c>
      <c r="AJ7246" t="s">
        <v>576</v>
      </c>
      <c r="AK7246" t="s">
        <v>34371</v>
      </c>
      <c r="AL7246" s="13" t="s">
        <v>1899</v>
      </c>
      <c r="AM7246">
        <v>1</v>
      </c>
      <c r="AN7246" s="15" t="s">
        <v>26</v>
      </c>
    </row>
    <row r="7247" spans="1:40" x14ac:dyDescent="0.3">
      <c r="A7247" s="10" t="str">
        <f>HYPERLINK("http://www.washoecounty.gov/assessor/cama/?parid=520-321-21&amp;CardNumber=1","520-321-21")</f>
        <v>520-321-21</v>
      </c>
      <c r="B7247" t="s">
        <v>4655</v>
      </c>
      <c r="C7247" t="s">
        <v>503</v>
      </c>
      <c r="D7247" s="1">
        <v>40410</v>
      </c>
      <c r="E7247" s="2">
        <v>117000</v>
      </c>
      <c r="F7247" t="s">
        <v>4553</v>
      </c>
      <c r="G7247" s="17" t="str">
        <f>HYPERLINK("https://www.washoecounty.gov/assessor/cama/?command=sales&amp;parid=52032121","3914343")</f>
        <v>3914343</v>
      </c>
      <c r="H7247" t="s">
        <v>5080</v>
      </c>
      <c r="I7247">
        <v>2004</v>
      </c>
      <c r="J7247">
        <v>2004</v>
      </c>
      <c r="K7247" t="s">
        <v>4554</v>
      </c>
      <c r="L7247" t="s">
        <v>4555</v>
      </c>
      <c r="M7247" s="2">
        <v>1303</v>
      </c>
      <c r="N7247" t="s">
        <v>3147</v>
      </c>
      <c r="O7247">
        <v>3</v>
      </c>
      <c r="P7247">
        <v>2</v>
      </c>
      <c r="Q7247">
        <v>0</v>
      </c>
      <c r="R7247" t="s">
        <v>5281</v>
      </c>
      <c r="S7247" t="s">
        <v>4898</v>
      </c>
      <c r="T7247" t="s">
        <v>2704</v>
      </c>
      <c r="U7247" t="s">
        <v>4560</v>
      </c>
      <c r="V7247" s="2">
        <v>420</v>
      </c>
      <c r="W7247" t="s">
        <v>4655</v>
      </c>
      <c r="X7247" s="2">
        <v>0</v>
      </c>
      <c r="Y7247">
        <v>20</v>
      </c>
      <c r="Z7247" t="s">
        <v>2048</v>
      </c>
      <c r="AA7247" s="3">
        <v>0.11834251880645801</v>
      </c>
      <c r="AB7247" t="s">
        <v>5390</v>
      </c>
      <c r="AC7247" t="s">
        <v>4575</v>
      </c>
      <c r="AD7247" t="s">
        <v>34372</v>
      </c>
      <c r="AE7247" t="s">
        <v>4655</v>
      </c>
      <c r="AF7247" t="s">
        <v>4563</v>
      </c>
      <c r="AG7247" t="s">
        <v>4564</v>
      </c>
      <c r="AH7247">
        <v>89511</v>
      </c>
      <c r="AI7247" t="s">
        <v>34373</v>
      </c>
      <c r="AJ7247" t="s">
        <v>5081</v>
      </c>
      <c r="AK7247" t="s">
        <v>504</v>
      </c>
      <c r="AL7247" s="13" t="s">
        <v>1899</v>
      </c>
      <c r="AM7247">
        <v>1</v>
      </c>
      <c r="AN7247" s="15" t="s">
        <v>26</v>
      </c>
    </row>
    <row r="7248" spans="1:40" x14ac:dyDescent="0.3">
      <c r="A7248" s="10" t="str">
        <f>HYPERLINK("http://www.washoecounty.gov/assessor/cama/?parid=520-321-23&amp;CardNumber=1","520-321-23")</f>
        <v>520-321-23</v>
      </c>
      <c r="B7248" t="s">
        <v>4655</v>
      </c>
      <c r="C7248" t="s">
        <v>34374</v>
      </c>
      <c r="D7248" s="1">
        <v>40389</v>
      </c>
      <c r="E7248" s="2">
        <v>150000</v>
      </c>
      <c r="F7248" t="s">
        <v>4567</v>
      </c>
      <c r="G7248" s="17" t="str">
        <f>HYPERLINK("https://www.washoecounty.gov/assessor/cama/?command=sales&amp;parid=52032123","3907302")</f>
        <v>3907302</v>
      </c>
      <c r="H7248" t="s">
        <v>5080</v>
      </c>
      <c r="I7248">
        <v>2004</v>
      </c>
      <c r="J7248">
        <v>2004</v>
      </c>
      <c r="K7248" t="s">
        <v>4554</v>
      </c>
      <c r="L7248" t="s">
        <v>4555</v>
      </c>
      <c r="M7248" s="2">
        <v>1303</v>
      </c>
      <c r="N7248" t="s">
        <v>3147</v>
      </c>
      <c r="O7248">
        <v>3</v>
      </c>
      <c r="P7248">
        <v>2</v>
      </c>
      <c r="Q7248">
        <v>0</v>
      </c>
      <c r="R7248" t="s">
        <v>5281</v>
      </c>
      <c r="S7248" t="s">
        <v>4898</v>
      </c>
      <c r="T7248" t="s">
        <v>2704</v>
      </c>
      <c r="U7248" t="s">
        <v>4560</v>
      </c>
      <c r="V7248" s="2">
        <v>420</v>
      </c>
      <c r="W7248" t="s">
        <v>4655</v>
      </c>
      <c r="X7248" s="2">
        <v>0</v>
      </c>
      <c r="Y7248">
        <v>20</v>
      </c>
      <c r="Z7248" t="s">
        <v>2048</v>
      </c>
      <c r="AA7248" s="3">
        <v>0.12307162582874299</v>
      </c>
      <c r="AB7248" t="s">
        <v>34375</v>
      </c>
      <c r="AC7248" t="s">
        <v>4575</v>
      </c>
      <c r="AD7248" t="s">
        <v>34374</v>
      </c>
      <c r="AE7248" t="s">
        <v>4655</v>
      </c>
      <c r="AF7248" t="s">
        <v>5201</v>
      </c>
      <c r="AG7248" t="s">
        <v>4564</v>
      </c>
      <c r="AH7248" t="s">
        <v>1605</v>
      </c>
      <c r="AI7248" t="s">
        <v>34376</v>
      </c>
      <c r="AJ7248" t="s">
        <v>5081</v>
      </c>
      <c r="AK7248" t="s">
        <v>34377</v>
      </c>
      <c r="AL7248" s="13" t="s">
        <v>1899</v>
      </c>
      <c r="AM7248">
        <v>1</v>
      </c>
      <c r="AN7248" s="15" t="s">
        <v>26</v>
      </c>
    </row>
    <row r="7249" spans="1:40" x14ac:dyDescent="0.3">
      <c r="A7249" s="10" t="str">
        <f>HYPERLINK("http://www.washoecounty.gov/assessor/cama/?parid=520-322-10&amp;CardNumber=1","520-322-10")</f>
        <v>520-322-10</v>
      </c>
      <c r="B7249" t="s">
        <v>4655</v>
      </c>
      <c r="C7249" t="s">
        <v>34378</v>
      </c>
      <c r="D7249" s="1">
        <v>40449</v>
      </c>
      <c r="E7249" s="2">
        <v>180000</v>
      </c>
      <c r="F7249" t="s">
        <v>4567</v>
      </c>
      <c r="G7249" s="17" t="str">
        <f>HYPERLINK("https://www.washoecounty.gov/assessor/cama/?command=sales&amp;parid=52032210","3926854")</f>
        <v>3926854</v>
      </c>
      <c r="H7249" t="s">
        <v>5080</v>
      </c>
      <c r="I7249">
        <v>2004</v>
      </c>
      <c r="J7249">
        <v>2004</v>
      </c>
      <c r="K7249" t="s">
        <v>4554</v>
      </c>
      <c r="L7249" t="s">
        <v>3974</v>
      </c>
      <c r="M7249" s="2">
        <v>2106</v>
      </c>
      <c r="N7249" t="s">
        <v>3147</v>
      </c>
      <c r="O7249">
        <v>4</v>
      </c>
      <c r="P7249">
        <v>2</v>
      </c>
      <c r="Q7249">
        <v>1</v>
      </c>
      <c r="R7249" t="s">
        <v>5281</v>
      </c>
      <c r="S7249" t="s">
        <v>4898</v>
      </c>
      <c r="T7249" t="s">
        <v>2704</v>
      </c>
      <c r="U7249" t="s">
        <v>5631</v>
      </c>
      <c r="V7249" s="2">
        <v>462</v>
      </c>
      <c r="W7249" t="s">
        <v>4655</v>
      </c>
      <c r="X7249" s="2">
        <v>0</v>
      </c>
      <c r="Y7249">
        <v>20</v>
      </c>
      <c r="Z7249" t="s">
        <v>2048</v>
      </c>
      <c r="AA7249" s="3">
        <v>0.13138200342655201</v>
      </c>
      <c r="AB7249" t="s">
        <v>34379</v>
      </c>
      <c r="AC7249" t="s">
        <v>4575</v>
      </c>
      <c r="AD7249" t="s">
        <v>34380</v>
      </c>
      <c r="AE7249" t="s">
        <v>34381</v>
      </c>
      <c r="AF7249" t="s">
        <v>2715</v>
      </c>
      <c r="AG7249" t="s">
        <v>4584</v>
      </c>
      <c r="AH7249" t="s">
        <v>1116</v>
      </c>
      <c r="AI7249" t="s">
        <v>34382</v>
      </c>
      <c r="AJ7249" t="s">
        <v>5081</v>
      </c>
      <c r="AK7249" t="s">
        <v>34383</v>
      </c>
      <c r="AL7249" s="13" t="s">
        <v>1899</v>
      </c>
      <c r="AM7249">
        <v>1</v>
      </c>
      <c r="AN7249" s="15" t="s">
        <v>26</v>
      </c>
    </row>
    <row r="7250" spans="1:40" x14ac:dyDescent="0.3">
      <c r="A7250" s="10" t="str">
        <f>HYPERLINK("http://www.washoecounty.gov/assessor/cama/?parid=520-322-14&amp;CardNumber=1","520-322-14")</f>
        <v>520-322-14</v>
      </c>
      <c r="B7250" t="s">
        <v>4655</v>
      </c>
      <c r="C7250" t="s">
        <v>34384</v>
      </c>
      <c r="D7250" s="1">
        <v>40505</v>
      </c>
      <c r="E7250" s="2">
        <v>155000</v>
      </c>
      <c r="F7250" t="s">
        <v>4567</v>
      </c>
      <c r="G7250" s="17" t="str">
        <f>HYPERLINK("https://www.washoecounty.gov/assessor/cama/?command=sales&amp;parid=52032214","3945943")</f>
        <v>3945943</v>
      </c>
      <c r="H7250" t="s">
        <v>5080</v>
      </c>
      <c r="I7250">
        <v>2004</v>
      </c>
      <c r="J7250">
        <v>2004</v>
      </c>
      <c r="K7250" t="s">
        <v>4554</v>
      </c>
      <c r="L7250" t="s">
        <v>4555</v>
      </c>
      <c r="M7250" s="2">
        <v>1474</v>
      </c>
      <c r="N7250" t="s">
        <v>3147</v>
      </c>
      <c r="O7250">
        <v>3</v>
      </c>
      <c r="P7250">
        <v>2</v>
      </c>
      <c r="Q7250">
        <v>0</v>
      </c>
      <c r="R7250" t="s">
        <v>5281</v>
      </c>
      <c r="S7250" t="s">
        <v>4898</v>
      </c>
      <c r="T7250" t="s">
        <v>2704</v>
      </c>
      <c r="U7250" t="s">
        <v>4560</v>
      </c>
      <c r="V7250" s="2">
        <v>399</v>
      </c>
      <c r="W7250" t="s">
        <v>4655</v>
      </c>
      <c r="X7250" s="2">
        <v>0</v>
      </c>
      <c r="Y7250">
        <v>20</v>
      </c>
      <c r="Z7250" t="s">
        <v>2048</v>
      </c>
      <c r="AA7250" s="3">
        <v>0.143342509865761</v>
      </c>
      <c r="AB7250" t="s">
        <v>34385</v>
      </c>
      <c r="AC7250" t="s">
        <v>4562</v>
      </c>
      <c r="AD7250" t="s">
        <v>34384</v>
      </c>
      <c r="AE7250" t="s">
        <v>4655</v>
      </c>
      <c r="AF7250" t="s">
        <v>5201</v>
      </c>
      <c r="AG7250" t="s">
        <v>4564</v>
      </c>
      <c r="AH7250" t="s">
        <v>1605</v>
      </c>
      <c r="AI7250" t="s">
        <v>34386</v>
      </c>
      <c r="AJ7250" t="s">
        <v>5081</v>
      </c>
      <c r="AK7250" t="s">
        <v>34387</v>
      </c>
      <c r="AL7250" s="13" t="s">
        <v>1899</v>
      </c>
      <c r="AM7250" s="14">
        <v>1</v>
      </c>
      <c r="AN7250" s="15" t="s">
        <v>26</v>
      </c>
    </row>
    <row r="7251" spans="1:40" x14ac:dyDescent="0.3">
      <c r="A7251" s="10" t="str">
        <f>HYPERLINK("http://www.washoecounty.gov/assessor/cama/?parid=520-323-03&amp;CardNumber=1","520-323-03")</f>
        <v>520-323-03</v>
      </c>
      <c r="B7251" t="s">
        <v>4655</v>
      </c>
      <c r="C7251" t="s">
        <v>34388</v>
      </c>
      <c r="D7251" s="1">
        <v>40324</v>
      </c>
      <c r="E7251" s="2">
        <v>270000</v>
      </c>
      <c r="F7251" t="s">
        <v>4567</v>
      </c>
      <c r="G7251" s="17" t="str">
        <f>HYPERLINK("https://www.washoecounty.gov/assessor/cama/?command=sales&amp;parid=52032303","3885218")</f>
        <v>3885218</v>
      </c>
      <c r="H7251" t="s">
        <v>5080</v>
      </c>
      <c r="I7251">
        <v>2004</v>
      </c>
      <c r="J7251">
        <v>2004</v>
      </c>
      <c r="K7251" t="s">
        <v>4554</v>
      </c>
      <c r="L7251" t="s">
        <v>3974</v>
      </c>
      <c r="M7251" s="2">
        <v>3290</v>
      </c>
      <c r="N7251" t="s">
        <v>3147</v>
      </c>
      <c r="O7251">
        <v>5</v>
      </c>
      <c r="P7251">
        <v>3</v>
      </c>
      <c r="Q7251">
        <v>0</v>
      </c>
      <c r="R7251" t="s">
        <v>5281</v>
      </c>
      <c r="S7251" t="s">
        <v>4898</v>
      </c>
      <c r="T7251" t="s">
        <v>2704</v>
      </c>
      <c r="U7251" t="s">
        <v>5631</v>
      </c>
      <c r="V7251" s="2">
        <v>600</v>
      </c>
      <c r="W7251" t="s">
        <v>4655</v>
      </c>
      <c r="X7251" s="2">
        <v>0</v>
      </c>
      <c r="Y7251">
        <v>20</v>
      </c>
      <c r="Z7251" t="s">
        <v>2048</v>
      </c>
      <c r="AA7251" s="3">
        <v>0.18411386013031</v>
      </c>
      <c r="AB7251" t="s">
        <v>34389</v>
      </c>
      <c r="AC7251" t="s">
        <v>4562</v>
      </c>
      <c r="AD7251" t="s">
        <v>34388</v>
      </c>
      <c r="AE7251" t="s">
        <v>4655</v>
      </c>
      <c r="AF7251" t="s">
        <v>5201</v>
      </c>
      <c r="AG7251" t="s">
        <v>4564</v>
      </c>
      <c r="AH7251" t="s">
        <v>1605</v>
      </c>
      <c r="AI7251" t="s">
        <v>34390</v>
      </c>
      <c r="AJ7251" t="s">
        <v>5081</v>
      </c>
      <c r="AK7251" t="s">
        <v>34391</v>
      </c>
      <c r="AL7251" s="13" t="s">
        <v>1899</v>
      </c>
      <c r="AM7251">
        <v>1</v>
      </c>
      <c r="AN7251" s="15" t="s">
        <v>26</v>
      </c>
    </row>
    <row r="7252" spans="1:40" x14ac:dyDescent="0.3">
      <c r="A7252" s="10" t="str">
        <f>HYPERLINK("http://www.washoecounty.gov/assessor/cama/?parid=520-323-10&amp;CardNumber=1","520-323-10")</f>
        <v>520-323-10</v>
      </c>
      <c r="B7252" t="s">
        <v>4655</v>
      </c>
      <c r="C7252" t="s">
        <v>34392</v>
      </c>
      <c r="D7252" s="1">
        <v>40186</v>
      </c>
      <c r="E7252" s="2">
        <v>170000</v>
      </c>
      <c r="F7252" t="s">
        <v>4553</v>
      </c>
      <c r="G7252" s="17" t="str">
        <f>HYPERLINK("https://www.washoecounty.gov/assessor/cama/?command=sales&amp;parid=52032310","3837748")</f>
        <v>3837748</v>
      </c>
      <c r="H7252" t="s">
        <v>5080</v>
      </c>
      <c r="I7252">
        <v>2004</v>
      </c>
      <c r="J7252">
        <v>2004</v>
      </c>
      <c r="K7252" t="s">
        <v>4554</v>
      </c>
      <c r="L7252" t="s">
        <v>4555</v>
      </c>
      <c r="M7252" s="2">
        <v>1708</v>
      </c>
      <c r="N7252" t="s">
        <v>3147</v>
      </c>
      <c r="O7252">
        <v>3</v>
      </c>
      <c r="P7252">
        <v>2</v>
      </c>
      <c r="Q7252">
        <v>0</v>
      </c>
      <c r="R7252" t="s">
        <v>5281</v>
      </c>
      <c r="S7252" t="s">
        <v>4898</v>
      </c>
      <c r="T7252" t="s">
        <v>2704</v>
      </c>
      <c r="U7252" t="s">
        <v>4560</v>
      </c>
      <c r="V7252" s="2">
        <v>420</v>
      </c>
      <c r="W7252" t="s">
        <v>4655</v>
      </c>
      <c r="X7252" s="2">
        <v>0</v>
      </c>
      <c r="Y7252">
        <v>20</v>
      </c>
      <c r="Z7252" t="s">
        <v>2048</v>
      </c>
      <c r="AA7252" s="3">
        <v>0.19839301705360399</v>
      </c>
      <c r="AB7252" t="s">
        <v>34393</v>
      </c>
      <c r="AC7252" t="s">
        <v>4562</v>
      </c>
      <c r="AD7252" t="s">
        <v>34392</v>
      </c>
      <c r="AE7252" t="s">
        <v>4655</v>
      </c>
      <c r="AF7252" t="s">
        <v>5201</v>
      </c>
      <c r="AG7252" t="s">
        <v>4564</v>
      </c>
      <c r="AH7252" t="s">
        <v>1605</v>
      </c>
      <c r="AI7252" t="s">
        <v>2009</v>
      </c>
      <c r="AJ7252" t="s">
        <v>5081</v>
      </c>
      <c r="AK7252" t="s">
        <v>34394</v>
      </c>
      <c r="AL7252" s="13" t="s">
        <v>1899</v>
      </c>
      <c r="AM7252">
        <v>1</v>
      </c>
      <c r="AN7252" s="15" t="s">
        <v>26</v>
      </c>
    </row>
    <row r="7253" spans="1:40" x14ac:dyDescent="0.3">
      <c r="A7253" s="10" t="str">
        <f>HYPERLINK("http://www.washoecounty.gov/assessor/cama/?parid=520-324-05&amp;CardNumber=1","520-324-05")</f>
        <v>520-324-05</v>
      </c>
      <c r="B7253" t="s">
        <v>4655</v>
      </c>
      <c r="D7253" s="1">
        <v>40532</v>
      </c>
      <c r="E7253" s="2">
        <v>195500</v>
      </c>
      <c r="F7253" t="s">
        <v>4567</v>
      </c>
      <c r="G7253" s="17" t="str">
        <f>HYPERLINK("https://www.washoecounty.gov/assessor/cama/?command=sales&amp;parid=01044219","NOT AVAILABLE ")</f>
        <v xml:space="preserve">NOT AVAILABLE </v>
      </c>
      <c r="H7253" t="s">
        <v>5080</v>
      </c>
      <c r="I7253">
        <v>2004</v>
      </c>
      <c r="J7253">
        <v>2004</v>
      </c>
      <c r="K7253" t="s">
        <v>4554</v>
      </c>
      <c r="L7253" t="s">
        <v>3974</v>
      </c>
      <c r="M7253" s="2">
        <v>2315</v>
      </c>
      <c r="N7253" t="s">
        <v>3147</v>
      </c>
      <c r="O7253">
        <v>3</v>
      </c>
      <c r="P7253">
        <v>2</v>
      </c>
      <c r="Q7253">
        <v>1</v>
      </c>
      <c r="R7253" t="s">
        <v>5281</v>
      </c>
      <c r="S7253" t="s">
        <v>4898</v>
      </c>
      <c r="T7253" t="s">
        <v>2704</v>
      </c>
      <c r="U7253" t="s">
        <v>5631</v>
      </c>
      <c r="V7253" s="2">
        <v>613</v>
      </c>
      <c r="W7253" t="s">
        <v>4655</v>
      </c>
      <c r="X7253" s="2">
        <v>0</v>
      </c>
      <c r="Y7253">
        <v>20</v>
      </c>
      <c r="Z7253" t="s">
        <v>2048</v>
      </c>
      <c r="AA7253" s="3">
        <v>0.18728190660476701</v>
      </c>
      <c r="AB7253" t="s">
        <v>8865</v>
      </c>
      <c r="AC7253" t="s">
        <v>4562</v>
      </c>
      <c r="AD7253" t="s">
        <v>283</v>
      </c>
      <c r="AE7253" t="s">
        <v>283</v>
      </c>
      <c r="AF7253" t="s">
        <v>283</v>
      </c>
      <c r="AG7253" t="s">
        <v>4564</v>
      </c>
      <c r="AH7253" t="s">
        <v>3101</v>
      </c>
      <c r="AI7253" t="s">
        <v>8865</v>
      </c>
      <c r="AJ7253" t="s">
        <v>5081</v>
      </c>
      <c r="AK7253" t="s">
        <v>8865</v>
      </c>
      <c r="AL7253" s="13" t="s">
        <v>1899</v>
      </c>
      <c r="AM7253" s="14">
        <v>1</v>
      </c>
      <c r="AN7253" s="15" t="s">
        <v>26</v>
      </c>
    </row>
    <row r="7254" spans="1:40" x14ac:dyDescent="0.3">
      <c r="A7254" s="10" t="str">
        <f>HYPERLINK("http://www.washoecounty.gov/assessor/cama/?parid=520-324-06&amp;CardNumber=1","520-324-06")</f>
        <v>520-324-06</v>
      </c>
      <c r="B7254" t="s">
        <v>4655</v>
      </c>
      <c r="C7254" t="s">
        <v>34395</v>
      </c>
      <c r="D7254" s="1">
        <v>40501</v>
      </c>
      <c r="E7254" s="2">
        <v>195000</v>
      </c>
      <c r="F7254" t="s">
        <v>4567</v>
      </c>
      <c r="G7254" s="17" t="str">
        <f>HYPERLINK("https://www.washoecounty.gov/assessor/cama/?command=sales&amp;parid=52032406","3944721")</f>
        <v>3944721</v>
      </c>
      <c r="H7254" t="s">
        <v>5080</v>
      </c>
      <c r="I7254">
        <v>2004</v>
      </c>
      <c r="J7254">
        <v>2004</v>
      </c>
      <c r="K7254" t="s">
        <v>4554</v>
      </c>
      <c r="L7254" t="s">
        <v>4555</v>
      </c>
      <c r="M7254" s="2">
        <v>1981</v>
      </c>
      <c r="N7254" t="s">
        <v>3147</v>
      </c>
      <c r="O7254">
        <v>3</v>
      </c>
      <c r="P7254">
        <v>2</v>
      </c>
      <c r="Q7254">
        <v>0</v>
      </c>
      <c r="R7254" t="s">
        <v>4557</v>
      </c>
      <c r="S7254" t="s">
        <v>4898</v>
      </c>
      <c r="T7254" t="s">
        <v>2704</v>
      </c>
      <c r="U7254" t="s">
        <v>4560</v>
      </c>
      <c r="V7254" s="2">
        <v>596</v>
      </c>
      <c r="W7254" t="s">
        <v>4655</v>
      </c>
      <c r="X7254" s="2">
        <v>0</v>
      </c>
      <c r="Y7254">
        <v>20</v>
      </c>
      <c r="Z7254" t="s">
        <v>2048</v>
      </c>
      <c r="AA7254" s="3">
        <v>0.175114780664444</v>
      </c>
      <c r="AB7254" t="s">
        <v>34396</v>
      </c>
      <c r="AC7254" t="s">
        <v>4562</v>
      </c>
      <c r="AD7254" t="s">
        <v>34395</v>
      </c>
      <c r="AE7254" t="s">
        <v>4655</v>
      </c>
      <c r="AF7254" t="s">
        <v>5201</v>
      </c>
      <c r="AG7254" t="s">
        <v>4564</v>
      </c>
      <c r="AH7254" t="s">
        <v>1605</v>
      </c>
      <c r="AI7254" t="s">
        <v>34397</v>
      </c>
      <c r="AJ7254" t="s">
        <v>5081</v>
      </c>
      <c r="AK7254" t="s">
        <v>34398</v>
      </c>
      <c r="AL7254" s="13" t="s">
        <v>1899</v>
      </c>
      <c r="AM7254">
        <v>1</v>
      </c>
      <c r="AN7254" s="15" t="s">
        <v>26</v>
      </c>
    </row>
    <row r="7255" spans="1:40" x14ac:dyDescent="0.3">
      <c r="A7255" s="10" t="str">
        <f>HYPERLINK("http://www.washoecounty.gov/assessor/cama/?parid=520-341-06&amp;CardNumber=1","520-341-06")</f>
        <v>520-341-06</v>
      </c>
      <c r="B7255" t="s">
        <v>4655</v>
      </c>
      <c r="C7255" t="s">
        <v>34399</v>
      </c>
      <c r="D7255" s="1">
        <v>40199</v>
      </c>
      <c r="E7255" s="2">
        <v>435000</v>
      </c>
      <c r="F7255" t="s">
        <v>4567</v>
      </c>
      <c r="G7255" s="17" t="str">
        <f>HYPERLINK("https://www.washoecounty.gov/assessor/cama/?command=sales&amp;parid=52034106","3841661")</f>
        <v>3841661</v>
      </c>
      <c r="H7255" t="s">
        <v>5082</v>
      </c>
      <c r="I7255">
        <v>2004</v>
      </c>
      <c r="J7255">
        <v>2004</v>
      </c>
      <c r="K7255" t="s">
        <v>4554</v>
      </c>
      <c r="L7255" t="s">
        <v>4555</v>
      </c>
      <c r="M7255" s="2">
        <v>2004</v>
      </c>
      <c r="N7255" t="s">
        <v>3147</v>
      </c>
      <c r="O7255">
        <v>4</v>
      </c>
      <c r="P7255">
        <v>3</v>
      </c>
      <c r="Q7255">
        <v>0</v>
      </c>
      <c r="R7255" t="s">
        <v>5281</v>
      </c>
      <c r="S7255" t="s">
        <v>4898</v>
      </c>
      <c r="T7255" t="s">
        <v>2704</v>
      </c>
      <c r="U7255" t="s">
        <v>4560</v>
      </c>
      <c r="V7255" s="2">
        <v>760</v>
      </c>
      <c r="W7255" t="s">
        <v>4571</v>
      </c>
      <c r="X7255" s="2">
        <v>1614</v>
      </c>
      <c r="Y7255">
        <v>20</v>
      </c>
      <c r="Z7255" t="s">
        <v>2048</v>
      </c>
      <c r="AA7255" s="3">
        <v>0.20576216280460399</v>
      </c>
      <c r="AB7255" t="s">
        <v>34400</v>
      </c>
      <c r="AC7255" t="s">
        <v>4562</v>
      </c>
      <c r="AD7255" t="s">
        <v>34401</v>
      </c>
      <c r="AE7255" t="s">
        <v>4655</v>
      </c>
      <c r="AF7255" t="s">
        <v>5201</v>
      </c>
      <c r="AG7255" t="s">
        <v>4564</v>
      </c>
      <c r="AH7255" t="s">
        <v>1605</v>
      </c>
      <c r="AI7255" t="s">
        <v>34402</v>
      </c>
      <c r="AJ7255" t="s">
        <v>5083</v>
      </c>
      <c r="AK7255" t="s">
        <v>34403</v>
      </c>
      <c r="AL7255" s="13" t="s">
        <v>1899</v>
      </c>
      <c r="AM7255" s="14">
        <v>1</v>
      </c>
      <c r="AN7255" s="15" t="s">
        <v>26</v>
      </c>
    </row>
    <row r="7256" spans="1:40" x14ac:dyDescent="0.3">
      <c r="A7256" s="10" t="str">
        <f>HYPERLINK("http://www.washoecounty.gov/assessor/cama/?parid=520-344-15&amp;CardNumber=1","520-344-15")</f>
        <v>520-344-15</v>
      </c>
      <c r="B7256" t="s">
        <v>4655</v>
      </c>
      <c r="C7256" t="s">
        <v>34404</v>
      </c>
      <c r="D7256" s="1">
        <v>40276</v>
      </c>
      <c r="E7256" s="2">
        <v>235000</v>
      </c>
      <c r="F7256" t="s">
        <v>4567</v>
      </c>
      <c r="G7256" s="17" t="str">
        <f>HYPERLINK("https://www.washoecounty.gov/assessor/cama/?command=sales&amp;parid=52034415","3868957")</f>
        <v>3868957</v>
      </c>
      <c r="H7256" t="s">
        <v>5082</v>
      </c>
      <c r="I7256">
        <v>2004</v>
      </c>
      <c r="J7256">
        <v>2004</v>
      </c>
      <c r="K7256" t="s">
        <v>4554</v>
      </c>
      <c r="L7256" t="s">
        <v>4555</v>
      </c>
      <c r="M7256" s="2">
        <v>2466</v>
      </c>
      <c r="N7256" t="s">
        <v>3147</v>
      </c>
      <c r="O7256">
        <v>3</v>
      </c>
      <c r="P7256">
        <v>2</v>
      </c>
      <c r="Q7256">
        <v>0</v>
      </c>
      <c r="R7256" t="s">
        <v>5281</v>
      </c>
      <c r="S7256" t="s">
        <v>4898</v>
      </c>
      <c r="T7256" t="s">
        <v>2704</v>
      </c>
      <c r="U7256" t="s">
        <v>4560</v>
      </c>
      <c r="V7256" s="2">
        <v>641</v>
      </c>
      <c r="W7256" t="s">
        <v>4655</v>
      </c>
      <c r="X7256" s="2">
        <v>0</v>
      </c>
      <c r="Y7256">
        <v>20</v>
      </c>
      <c r="Z7256" t="s">
        <v>2048</v>
      </c>
      <c r="AA7256" s="3">
        <v>0.22513774037361101</v>
      </c>
      <c r="AB7256" t="s">
        <v>34405</v>
      </c>
      <c r="AC7256" t="s">
        <v>4575</v>
      </c>
      <c r="AD7256" t="s">
        <v>34406</v>
      </c>
      <c r="AE7256" t="s">
        <v>4655</v>
      </c>
      <c r="AF7256" t="s">
        <v>5201</v>
      </c>
      <c r="AG7256" t="s">
        <v>4564</v>
      </c>
      <c r="AH7256" t="s">
        <v>1605</v>
      </c>
      <c r="AI7256" t="s">
        <v>34407</v>
      </c>
      <c r="AJ7256" t="s">
        <v>5083</v>
      </c>
      <c r="AK7256" t="s">
        <v>34408</v>
      </c>
      <c r="AL7256" s="13" t="s">
        <v>1899</v>
      </c>
      <c r="AM7256">
        <v>1</v>
      </c>
      <c r="AN7256" s="15" t="s">
        <v>26</v>
      </c>
    </row>
    <row r="7257" spans="1:40" x14ac:dyDescent="0.3">
      <c r="A7257" s="10" t="str">
        <f>HYPERLINK("http://www.washoecounty.gov/assessor/cama/?parid=520-351-08&amp;CardNumber=1","520-351-08")</f>
        <v>520-351-08</v>
      </c>
      <c r="B7257" t="s">
        <v>4655</v>
      </c>
      <c r="C7257" t="s">
        <v>34409</v>
      </c>
      <c r="D7257" s="1">
        <v>40540</v>
      </c>
      <c r="E7257" s="2">
        <v>392500</v>
      </c>
      <c r="F7257" t="s">
        <v>4567</v>
      </c>
      <c r="G7257" s="17" t="str">
        <f>HYPERLINK("https://www.washoecounty.gov/assessor/cama/?command=sales&amp;parid=52035108","3958146")</f>
        <v>3958146</v>
      </c>
      <c r="H7257" t="s">
        <v>3963</v>
      </c>
      <c r="I7257">
        <v>2005</v>
      </c>
      <c r="J7257">
        <v>2005</v>
      </c>
      <c r="K7257" t="s">
        <v>4554</v>
      </c>
      <c r="L7257" t="s">
        <v>3974</v>
      </c>
      <c r="M7257" s="2">
        <v>2897</v>
      </c>
      <c r="N7257" t="s">
        <v>3147</v>
      </c>
      <c r="O7257">
        <v>5</v>
      </c>
      <c r="P7257">
        <v>4</v>
      </c>
      <c r="Q7257">
        <v>0</v>
      </c>
      <c r="R7257" t="s">
        <v>5281</v>
      </c>
      <c r="S7257" t="s">
        <v>4898</v>
      </c>
      <c r="T7257" t="s">
        <v>2704</v>
      </c>
      <c r="U7257" t="s">
        <v>4560</v>
      </c>
      <c r="V7257" s="2">
        <v>769</v>
      </c>
      <c r="W7257" t="s">
        <v>4571</v>
      </c>
      <c r="X7257" s="2">
        <v>1471</v>
      </c>
      <c r="Y7257">
        <v>20</v>
      </c>
      <c r="Z7257" t="s">
        <v>2048</v>
      </c>
      <c r="AA7257" s="3">
        <v>0.23507805168628701</v>
      </c>
      <c r="AB7257" t="s">
        <v>34410</v>
      </c>
      <c r="AC7257" t="s">
        <v>4562</v>
      </c>
      <c r="AD7257" t="s">
        <v>34409</v>
      </c>
      <c r="AE7257" t="s">
        <v>4655</v>
      </c>
      <c r="AF7257" t="s">
        <v>5201</v>
      </c>
      <c r="AG7257" t="s">
        <v>4564</v>
      </c>
      <c r="AH7257" t="s">
        <v>1605</v>
      </c>
      <c r="AI7257" t="s">
        <v>34411</v>
      </c>
      <c r="AJ7257" t="s">
        <v>3964</v>
      </c>
      <c r="AK7257" t="s">
        <v>34412</v>
      </c>
      <c r="AL7257" s="13" t="s">
        <v>1899</v>
      </c>
      <c r="AM7257" s="14">
        <v>1</v>
      </c>
      <c r="AN7257" s="15" t="s">
        <v>26</v>
      </c>
    </row>
    <row r="7258" spans="1:40" x14ac:dyDescent="0.3">
      <c r="A7258" s="10" t="str">
        <f>HYPERLINK("http://www.washoecounty.gov/assessor/cama/?parid=520-353-07&amp;CardNumber=1","520-353-07")</f>
        <v>520-353-07</v>
      </c>
      <c r="B7258" t="s">
        <v>4655</v>
      </c>
      <c r="C7258" t="s">
        <v>34413</v>
      </c>
      <c r="D7258" s="1">
        <v>40344</v>
      </c>
      <c r="E7258" s="2">
        <v>270000</v>
      </c>
      <c r="F7258" t="s">
        <v>4567</v>
      </c>
      <c r="G7258" s="17" t="str">
        <f>HYPERLINK("https://www.washoecounty.gov/assessor/cama/?command=sales&amp;parid=52035307","3891982")</f>
        <v>3891982</v>
      </c>
      <c r="H7258" t="s">
        <v>3963</v>
      </c>
      <c r="I7258">
        <v>2004</v>
      </c>
      <c r="J7258">
        <v>2004</v>
      </c>
      <c r="K7258" t="s">
        <v>4554</v>
      </c>
      <c r="L7258" t="s">
        <v>4555</v>
      </c>
      <c r="M7258" s="2">
        <v>2466</v>
      </c>
      <c r="N7258" t="s">
        <v>3147</v>
      </c>
      <c r="O7258">
        <v>3</v>
      </c>
      <c r="P7258">
        <v>2</v>
      </c>
      <c r="Q7258">
        <v>0</v>
      </c>
      <c r="R7258" t="s">
        <v>5281</v>
      </c>
      <c r="S7258" t="s">
        <v>4898</v>
      </c>
      <c r="T7258" t="s">
        <v>2704</v>
      </c>
      <c r="U7258" t="s">
        <v>4560</v>
      </c>
      <c r="V7258" s="2">
        <v>641</v>
      </c>
      <c r="W7258" t="s">
        <v>4655</v>
      </c>
      <c r="X7258" s="2">
        <v>0</v>
      </c>
      <c r="Y7258">
        <v>20</v>
      </c>
      <c r="Z7258" t="s">
        <v>2048</v>
      </c>
      <c r="AA7258" s="3">
        <v>0.19651055335998499</v>
      </c>
      <c r="AB7258" t="s">
        <v>34414</v>
      </c>
      <c r="AC7258" t="s">
        <v>4562</v>
      </c>
      <c r="AD7258" t="s">
        <v>34413</v>
      </c>
      <c r="AE7258" t="s">
        <v>4655</v>
      </c>
      <c r="AF7258" t="s">
        <v>5201</v>
      </c>
      <c r="AG7258" t="s">
        <v>4564</v>
      </c>
      <c r="AH7258" t="s">
        <v>1605</v>
      </c>
      <c r="AI7258" t="s">
        <v>34415</v>
      </c>
      <c r="AJ7258" t="s">
        <v>3964</v>
      </c>
      <c r="AK7258" t="s">
        <v>34416</v>
      </c>
      <c r="AL7258" s="13" t="s">
        <v>1899</v>
      </c>
      <c r="AM7258">
        <v>1</v>
      </c>
      <c r="AN7258" s="15" t="s">
        <v>26</v>
      </c>
    </row>
    <row r="7259" spans="1:40" x14ac:dyDescent="0.3">
      <c r="A7259" s="10" t="str">
        <f>HYPERLINK("http://www.washoecounty.gov/assessor/cama/?parid=520-362-06&amp;CardNumber=1","520-362-06")</f>
        <v>520-362-06</v>
      </c>
      <c r="B7259" t="s">
        <v>4655</v>
      </c>
      <c r="C7259" t="s">
        <v>34417</v>
      </c>
      <c r="D7259" s="1">
        <v>40429</v>
      </c>
      <c r="E7259" s="2">
        <v>342000</v>
      </c>
      <c r="F7259" t="s">
        <v>4553</v>
      </c>
      <c r="G7259" s="17" t="str">
        <f>HYPERLINK("https://www.washoecounty.gov/assessor/cama/?command=sales&amp;parid=52036206","3920006")</f>
        <v>3920006</v>
      </c>
      <c r="H7259" t="s">
        <v>3963</v>
      </c>
      <c r="I7259">
        <v>2004</v>
      </c>
      <c r="J7259">
        <v>2004</v>
      </c>
      <c r="K7259" t="s">
        <v>4554</v>
      </c>
      <c r="L7259" t="s">
        <v>3974</v>
      </c>
      <c r="M7259" s="2">
        <v>2897</v>
      </c>
      <c r="N7259" t="s">
        <v>3147</v>
      </c>
      <c r="O7259">
        <v>5</v>
      </c>
      <c r="P7259">
        <v>4</v>
      </c>
      <c r="Q7259">
        <v>0</v>
      </c>
      <c r="R7259" t="s">
        <v>5281</v>
      </c>
      <c r="S7259" t="s">
        <v>4898</v>
      </c>
      <c r="T7259" t="s">
        <v>2704</v>
      </c>
      <c r="U7259" t="s">
        <v>4560</v>
      </c>
      <c r="V7259" s="2">
        <v>769</v>
      </c>
      <c r="W7259" t="s">
        <v>4571</v>
      </c>
      <c r="X7259" s="2">
        <v>1471</v>
      </c>
      <c r="Y7259">
        <v>20</v>
      </c>
      <c r="Z7259" t="s">
        <v>2048</v>
      </c>
      <c r="AA7259" s="3">
        <v>0.203351691365242</v>
      </c>
      <c r="AB7259" t="s">
        <v>34418</v>
      </c>
      <c r="AC7259" t="s">
        <v>4562</v>
      </c>
      <c r="AD7259" t="s">
        <v>34417</v>
      </c>
      <c r="AE7259" t="s">
        <v>4655</v>
      </c>
      <c r="AF7259" t="s">
        <v>5201</v>
      </c>
      <c r="AG7259" t="s">
        <v>4564</v>
      </c>
      <c r="AH7259" t="s">
        <v>1605</v>
      </c>
      <c r="AI7259" t="s">
        <v>34419</v>
      </c>
      <c r="AJ7259" t="s">
        <v>3964</v>
      </c>
      <c r="AK7259" t="s">
        <v>34420</v>
      </c>
      <c r="AL7259" s="13" t="s">
        <v>1899</v>
      </c>
      <c r="AM7259">
        <v>1</v>
      </c>
      <c r="AN7259" s="15" t="s">
        <v>26</v>
      </c>
    </row>
    <row r="7260" spans="1:40" x14ac:dyDescent="0.3">
      <c r="A7260" s="10" t="str">
        <f>HYPERLINK("http://www.washoecounty.gov/assessor/cama/?parid=520-391-07&amp;CardNumber=1","520-391-07")</f>
        <v>520-391-07</v>
      </c>
      <c r="B7260" t="s">
        <v>4655</v>
      </c>
      <c r="C7260" t="s">
        <v>34421</v>
      </c>
      <c r="D7260" s="1">
        <v>40542</v>
      </c>
      <c r="E7260" s="2">
        <v>250000</v>
      </c>
      <c r="F7260" t="s">
        <v>4553</v>
      </c>
      <c r="G7260" s="17" t="str">
        <f>HYPERLINK("https://www.washoecounty.gov/assessor/cama/?command=sales&amp;parid=52039107","3959366")</f>
        <v>3959366</v>
      </c>
      <c r="H7260" t="s">
        <v>1152</v>
      </c>
      <c r="I7260">
        <v>2006</v>
      </c>
      <c r="J7260">
        <v>2006</v>
      </c>
      <c r="K7260" t="s">
        <v>4554</v>
      </c>
      <c r="L7260" t="s">
        <v>4555</v>
      </c>
      <c r="M7260" s="2">
        <v>2259</v>
      </c>
      <c r="N7260" t="s">
        <v>2012</v>
      </c>
      <c r="O7260">
        <v>3</v>
      </c>
      <c r="P7260">
        <v>2</v>
      </c>
      <c r="Q7260">
        <v>1</v>
      </c>
      <c r="R7260" t="s">
        <v>5281</v>
      </c>
      <c r="S7260" t="s">
        <v>4898</v>
      </c>
      <c r="T7260" t="s">
        <v>2704</v>
      </c>
      <c r="U7260" t="s">
        <v>4560</v>
      </c>
      <c r="V7260" s="2">
        <v>1092</v>
      </c>
      <c r="W7260" t="s">
        <v>3201</v>
      </c>
      <c r="X7260" s="2">
        <v>1193</v>
      </c>
      <c r="Y7260">
        <v>20</v>
      </c>
      <c r="Z7260" t="s">
        <v>2048</v>
      </c>
      <c r="AA7260" s="3">
        <v>0.36951330304145802</v>
      </c>
      <c r="AB7260" t="s">
        <v>34422</v>
      </c>
      <c r="AC7260" t="s">
        <v>4562</v>
      </c>
      <c r="AD7260" t="s">
        <v>34421</v>
      </c>
      <c r="AE7260" t="s">
        <v>4655</v>
      </c>
      <c r="AF7260" t="s">
        <v>5201</v>
      </c>
      <c r="AG7260" t="s">
        <v>4564</v>
      </c>
      <c r="AH7260" t="s">
        <v>1605</v>
      </c>
      <c r="AI7260" t="s">
        <v>4655</v>
      </c>
      <c r="AJ7260" t="s">
        <v>1153</v>
      </c>
      <c r="AK7260" t="s">
        <v>34423</v>
      </c>
      <c r="AL7260" s="13" t="s">
        <v>1899</v>
      </c>
      <c r="AM7260" s="14">
        <v>1</v>
      </c>
      <c r="AN7260" s="15" t="s">
        <v>2385</v>
      </c>
    </row>
    <row r="7261" spans="1:40" x14ac:dyDescent="0.3">
      <c r="A7261" s="10" t="str">
        <f>HYPERLINK("http://www.washoecounty.gov/assessor/cama/?parid=520-391-10&amp;CardNumber=1","520-391-10")</f>
        <v>520-391-10</v>
      </c>
      <c r="B7261" t="s">
        <v>4655</v>
      </c>
      <c r="C7261" t="s">
        <v>34424</v>
      </c>
      <c r="D7261" s="1">
        <v>40315</v>
      </c>
      <c r="E7261" s="2">
        <v>450000</v>
      </c>
      <c r="F7261" t="s">
        <v>4567</v>
      </c>
      <c r="G7261" s="17" t="str">
        <f>HYPERLINK("https://www.washoecounty.gov/assessor/cama/?command=sales&amp;parid=52039110","3881944")</f>
        <v>3881944</v>
      </c>
      <c r="H7261" t="s">
        <v>1152</v>
      </c>
      <c r="I7261">
        <v>2006</v>
      </c>
      <c r="J7261">
        <v>2006</v>
      </c>
      <c r="K7261" t="s">
        <v>4554</v>
      </c>
      <c r="L7261" t="s">
        <v>4555</v>
      </c>
      <c r="M7261" s="2">
        <v>3064</v>
      </c>
      <c r="N7261" t="s">
        <v>2008</v>
      </c>
      <c r="O7261">
        <v>4</v>
      </c>
      <c r="P7261">
        <v>3</v>
      </c>
      <c r="Q7261">
        <v>2</v>
      </c>
      <c r="R7261" t="s">
        <v>5281</v>
      </c>
      <c r="S7261" t="s">
        <v>4898</v>
      </c>
      <c r="T7261" t="s">
        <v>2704</v>
      </c>
      <c r="U7261" t="s">
        <v>4560</v>
      </c>
      <c r="V7261" s="2">
        <v>1561</v>
      </c>
      <c r="W7261" t="s">
        <v>3201</v>
      </c>
      <c r="X7261" s="2">
        <v>2118</v>
      </c>
      <c r="Y7261">
        <v>20</v>
      </c>
      <c r="Z7261" t="s">
        <v>2048</v>
      </c>
      <c r="AA7261" s="3">
        <v>0.35635903477668801</v>
      </c>
      <c r="AB7261" t="s">
        <v>34425</v>
      </c>
      <c r="AC7261" t="s">
        <v>4562</v>
      </c>
      <c r="AD7261" t="s">
        <v>34426</v>
      </c>
      <c r="AE7261" t="s">
        <v>4655</v>
      </c>
      <c r="AF7261" t="s">
        <v>5201</v>
      </c>
      <c r="AG7261" t="s">
        <v>4564</v>
      </c>
      <c r="AH7261" t="s">
        <v>3609</v>
      </c>
      <c r="AI7261" t="s">
        <v>34427</v>
      </c>
      <c r="AJ7261" t="s">
        <v>1153</v>
      </c>
      <c r="AK7261" t="s">
        <v>34428</v>
      </c>
      <c r="AL7261" s="13" t="s">
        <v>1899</v>
      </c>
      <c r="AM7261">
        <v>1</v>
      </c>
      <c r="AN7261" s="15" t="s">
        <v>2385</v>
      </c>
    </row>
    <row r="7262" spans="1:40" x14ac:dyDescent="0.3">
      <c r="A7262" s="10" t="str">
        <f>HYPERLINK("http://www.washoecounty.gov/assessor/cama/?parid=520-401-02&amp;CardNumber=1","520-401-02")</f>
        <v>520-401-02</v>
      </c>
      <c r="B7262" t="s">
        <v>4655</v>
      </c>
      <c r="C7262" t="s">
        <v>34429</v>
      </c>
      <c r="D7262" s="1">
        <v>40263</v>
      </c>
      <c r="E7262" s="2">
        <v>84900</v>
      </c>
      <c r="F7262" t="s">
        <v>4553</v>
      </c>
      <c r="G7262" s="17" t="str">
        <f>HYPERLINK("https://www.washoecounty.gov/assessor/cama/?command=sales&amp;parid=52040102","3864543")</f>
        <v>3864543</v>
      </c>
      <c r="H7262" t="s">
        <v>2382</v>
      </c>
      <c r="I7262">
        <v>0</v>
      </c>
      <c r="J7262">
        <v>0</v>
      </c>
      <c r="K7262" t="s">
        <v>4655</v>
      </c>
      <c r="L7262" t="s">
        <v>4655</v>
      </c>
      <c r="M7262" s="2">
        <v>0</v>
      </c>
      <c r="N7262" t="s">
        <v>4655</v>
      </c>
      <c r="O7262">
        <v>0</v>
      </c>
      <c r="P7262">
        <v>0</v>
      </c>
      <c r="Q7262">
        <v>0</v>
      </c>
      <c r="R7262" t="s">
        <v>4655</v>
      </c>
      <c r="S7262" t="s">
        <v>4655</v>
      </c>
      <c r="T7262" t="s">
        <v>4655</v>
      </c>
      <c r="U7262" t="s">
        <v>4655</v>
      </c>
      <c r="V7262" s="2">
        <v>0</v>
      </c>
      <c r="W7262" t="s">
        <v>4655</v>
      </c>
      <c r="X7262" s="2">
        <v>0</v>
      </c>
      <c r="Y7262">
        <v>12</v>
      </c>
      <c r="Z7262" t="s">
        <v>2048</v>
      </c>
      <c r="AA7262" s="3">
        <v>0.34430670738220198</v>
      </c>
      <c r="AB7262" t="s">
        <v>34430</v>
      </c>
      <c r="AC7262" t="s">
        <v>4575</v>
      </c>
      <c r="AD7262" t="s">
        <v>34431</v>
      </c>
      <c r="AE7262" t="s">
        <v>4655</v>
      </c>
      <c r="AF7262" t="s">
        <v>34432</v>
      </c>
      <c r="AG7262" t="s">
        <v>4584</v>
      </c>
      <c r="AH7262" t="s">
        <v>2383</v>
      </c>
      <c r="AI7262" t="s">
        <v>2009</v>
      </c>
      <c r="AJ7262" t="s">
        <v>2384</v>
      </c>
      <c r="AK7262" t="s">
        <v>34433</v>
      </c>
      <c r="AL7262" s="13" t="s">
        <v>1899</v>
      </c>
      <c r="AM7262">
        <v>0</v>
      </c>
      <c r="AN7262" s="15" t="s">
        <v>2385</v>
      </c>
    </row>
    <row r="7263" spans="1:40" x14ac:dyDescent="0.3">
      <c r="A7263" s="10" t="str">
        <f>HYPERLINK("http://www.washoecounty.gov/assessor/cama/?parid=520-411-04&amp;CardNumber=1","520-411-04")</f>
        <v>520-411-04</v>
      </c>
      <c r="B7263" t="s">
        <v>4655</v>
      </c>
      <c r="C7263" t="s">
        <v>34434</v>
      </c>
      <c r="D7263" s="1">
        <v>40354</v>
      </c>
      <c r="E7263" s="2">
        <v>56900</v>
      </c>
      <c r="F7263" t="s">
        <v>4553</v>
      </c>
      <c r="G7263" s="17" t="str">
        <f>HYPERLINK("https://www.washoecounty.gov/assessor/cama/?command=sales&amp;parid=52041104","3895469")</f>
        <v>3895469</v>
      </c>
      <c r="H7263" t="s">
        <v>2382</v>
      </c>
      <c r="I7263">
        <v>0</v>
      </c>
      <c r="J7263">
        <v>0</v>
      </c>
      <c r="K7263" t="s">
        <v>4655</v>
      </c>
      <c r="L7263" t="s">
        <v>4655</v>
      </c>
      <c r="M7263" s="2">
        <v>0</v>
      </c>
      <c r="N7263" t="s">
        <v>4655</v>
      </c>
      <c r="O7263">
        <v>0</v>
      </c>
      <c r="P7263">
        <v>0</v>
      </c>
      <c r="Q7263">
        <v>0</v>
      </c>
      <c r="R7263" t="s">
        <v>4655</v>
      </c>
      <c r="S7263" t="s">
        <v>4655</v>
      </c>
      <c r="T7263" t="s">
        <v>4655</v>
      </c>
      <c r="U7263" t="s">
        <v>4655</v>
      </c>
      <c r="V7263" s="2">
        <v>0</v>
      </c>
      <c r="W7263" t="s">
        <v>4655</v>
      </c>
      <c r="X7263" s="2">
        <v>0</v>
      </c>
      <c r="Y7263">
        <v>12</v>
      </c>
      <c r="Z7263" t="s">
        <v>2048</v>
      </c>
      <c r="AA7263" s="3">
        <v>0.34846189618110701</v>
      </c>
      <c r="AB7263" t="s">
        <v>1903</v>
      </c>
      <c r="AC7263" t="s">
        <v>4562</v>
      </c>
      <c r="AD7263" t="s">
        <v>5750</v>
      </c>
      <c r="AE7263" t="s">
        <v>4655</v>
      </c>
      <c r="AF7263" t="s">
        <v>5201</v>
      </c>
      <c r="AG7263" t="s">
        <v>4564</v>
      </c>
      <c r="AH7263" t="s">
        <v>1605</v>
      </c>
      <c r="AI7263" t="s">
        <v>6198</v>
      </c>
      <c r="AJ7263" t="s">
        <v>2384</v>
      </c>
      <c r="AK7263" t="s">
        <v>34435</v>
      </c>
      <c r="AL7263" s="13" t="s">
        <v>1899</v>
      </c>
      <c r="AM7263">
        <v>0</v>
      </c>
      <c r="AN7263" s="15" t="s">
        <v>2385</v>
      </c>
    </row>
    <row r="7264" spans="1:40" x14ac:dyDescent="0.3">
      <c r="A7264" s="10" t="str">
        <f>HYPERLINK("http://www.washoecounty.gov/assessor/cama/?parid=520-411-06&amp;CardNumber=1","520-411-06")</f>
        <v>520-411-06</v>
      </c>
      <c r="B7264" t="s">
        <v>4655</v>
      </c>
      <c r="C7264" t="s">
        <v>34436</v>
      </c>
      <c r="D7264" s="1">
        <v>40401</v>
      </c>
      <c r="E7264" s="2">
        <v>32500</v>
      </c>
      <c r="F7264" t="s">
        <v>4553</v>
      </c>
      <c r="G7264" s="17" t="str">
        <f>HYPERLINK("https://www.washoecounty.gov/assessor/cama/?command=sales&amp;parid=52041106","3910872")</f>
        <v>3910872</v>
      </c>
      <c r="H7264" t="s">
        <v>2382</v>
      </c>
      <c r="I7264">
        <v>0</v>
      </c>
      <c r="J7264">
        <v>0</v>
      </c>
      <c r="K7264" t="s">
        <v>4655</v>
      </c>
      <c r="L7264" t="s">
        <v>4655</v>
      </c>
      <c r="M7264" s="2">
        <v>0</v>
      </c>
      <c r="N7264" t="s">
        <v>4655</v>
      </c>
      <c r="O7264">
        <v>0</v>
      </c>
      <c r="P7264">
        <v>0</v>
      </c>
      <c r="Q7264">
        <v>0</v>
      </c>
      <c r="R7264" t="s">
        <v>4655</v>
      </c>
      <c r="S7264" t="s">
        <v>4655</v>
      </c>
      <c r="T7264" t="s">
        <v>4655</v>
      </c>
      <c r="U7264" t="s">
        <v>4655</v>
      </c>
      <c r="V7264" s="2">
        <v>0</v>
      </c>
      <c r="W7264" t="s">
        <v>4655</v>
      </c>
      <c r="X7264" s="2">
        <v>0</v>
      </c>
      <c r="Y7264">
        <v>12</v>
      </c>
      <c r="Z7264" t="s">
        <v>2048</v>
      </c>
      <c r="AA7264" s="3">
        <v>0.35870063304901101</v>
      </c>
      <c r="AB7264" t="s">
        <v>34437</v>
      </c>
      <c r="AC7264" t="s">
        <v>4575</v>
      </c>
      <c r="AD7264" t="s">
        <v>2467</v>
      </c>
      <c r="AE7264" t="s">
        <v>4655</v>
      </c>
      <c r="AF7264" t="s">
        <v>5201</v>
      </c>
      <c r="AG7264" t="s">
        <v>4564</v>
      </c>
      <c r="AH7264" t="s">
        <v>1605</v>
      </c>
      <c r="AI7264" t="s">
        <v>4655</v>
      </c>
      <c r="AJ7264" t="s">
        <v>2384</v>
      </c>
      <c r="AK7264" t="s">
        <v>34438</v>
      </c>
      <c r="AL7264" s="13" t="s">
        <v>1899</v>
      </c>
      <c r="AM7264" s="14">
        <v>0</v>
      </c>
      <c r="AN7264" s="15" t="s">
        <v>2385</v>
      </c>
    </row>
    <row r="7265" spans="1:40" x14ac:dyDescent="0.3">
      <c r="A7265" s="10" t="str">
        <f>HYPERLINK("http://www.washoecounty.gov/assessor/cama/?parid=522-041-02&amp;CardNumber=1","522-041-02")</f>
        <v>522-041-02</v>
      </c>
      <c r="B7265" t="s">
        <v>4655</v>
      </c>
      <c r="C7265" t="s">
        <v>34439</v>
      </c>
      <c r="D7265" s="1">
        <v>40491</v>
      </c>
      <c r="E7265" s="2">
        <v>412000</v>
      </c>
      <c r="F7265" t="s">
        <v>4567</v>
      </c>
      <c r="G7265" s="17" t="str">
        <f>HYPERLINK("https://www.washoecounty.gov/assessor/cama/?command=sales&amp;parid=52204102","3941353")</f>
        <v>3941353</v>
      </c>
      <c r="H7265" t="s">
        <v>34440</v>
      </c>
      <c r="I7265">
        <v>2006</v>
      </c>
      <c r="J7265">
        <v>2006</v>
      </c>
      <c r="K7265" t="s">
        <v>4554</v>
      </c>
      <c r="L7265" t="s">
        <v>4555</v>
      </c>
      <c r="M7265" s="2">
        <v>3289</v>
      </c>
      <c r="N7265" t="s">
        <v>5106</v>
      </c>
      <c r="O7265">
        <v>3</v>
      </c>
      <c r="P7265">
        <v>2</v>
      </c>
      <c r="Q7265">
        <v>2</v>
      </c>
      <c r="R7265" t="s">
        <v>5281</v>
      </c>
      <c r="S7265" t="s">
        <v>4898</v>
      </c>
      <c r="T7265" t="s">
        <v>2704</v>
      </c>
      <c r="U7265" t="s">
        <v>4560</v>
      </c>
      <c r="V7265" s="2">
        <v>1485</v>
      </c>
      <c r="W7265" t="s">
        <v>4655</v>
      </c>
      <c r="X7265" s="2">
        <v>0</v>
      </c>
      <c r="Y7265">
        <v>20</v>
      </c>
      <c r="Z7265" t="s">
        <v>2048</v>
      </c>
      <c r="AA7265" s="3">
        <v>0.43000459671020502</v>
      </c>
      <c r="AB7265" t="s">
        <v>34441</v>
      </c>
      <c r="AC7265" t="s">
        <v>4575</v>
      </c>
      <c r="AD7265" t="s">
        <v>34439</v>
      </c>
      <c r="AE7265" t="s">
        <v>4655</v>
      </c>
      <c r="AF7265" t="s">
        <v>4809</v>
      </c>
      <c r="AG7265" t="s">
        <v>4564</v>
      </c>
      <c r="AH7265" t="s">
        <v>1605</v>
      </c>
      <c r="AI7265" t="s">
        <v>34442</v>
      </c>
      <c r="AJ7265" t="s">
        <v>34443</v>
      </c>
      <c r="AK7265" t="s">
        <v>34444</v>
      </c>
      <c r="AL7265" s="13" t="s">
        <v>1899</v>
      </c>
      <c r="AM7265">
        <v>1</v>
      </c>
      <c r="AN7265" s="15" t="s">
        <v>2724</v>
      </c>
    </row>
    <row r="7266" spans="1:40" x14ac:dyDescent="0.3">
      <c r="A7266" s="10" t="str">
        <f>HYPERLINK("http://www.washoecounty.gov/assessor/cama/?parid=522-052-06&amp;CardNumber=1","522-052-06")</f>
        <v>522-052-06</v>
      </c>
      <c r="B7266" t="s">
        <v>4655</v>
      </c>
      <c r="C7266" t="s">
        <v>34445</v>
      </c>
      <c r="D7266" s="1">
        <v>40378</v>
      </c>
      <c r="E7266" s="2">
        <v>370000</v>
      </c>
      <c r="F7266" t="s">
        <v>4567</v>
      </c>
      <c r="G7266" s="17" t="str">
        <f>HYPERLINK("https://www.washoecounty.gov/assessor/cama/?command=sales&amp;parid=52205206","3902631")</f>
        <v>3902631</v>
      </c>
      <c r="H7266" t="s">
        <v>3218</v>
      </c>
      <c r="I7266">
        <v>2003</v>
      </c>
      <c r="J7266">
        <v>2003</v>
      </c>
      <c r="K7266" t="s">
        <v>4554</v>
      </c>
      <c r="L7266" t="s">
        <v>4555</v>
      </c>
      <c r="M7266" s="2">
        <v>2691</v>
      </c>
      <c r="N7266" t="s">
        <v>3887</v>
      </c>
      <c r="O7266">
        <v>4</v>
      </c>
      <c r="P7266">
        <v>2</v>
      </c>
      <c r="Q7266">
        <v>1</v>
      </c>
      <c r="R7266" t="s">
        <v>5281</v>
      </c>
      <c r="S7266" t="s">
        <v>4898</v>
      </c>
      <c r="T7266" t="s">
        <v>2704</v>
      </c>
      <c r="U7266" t="s">
        <v>4560</v>
      </c>
      <c r="V7266" s="2">
        <v>672</v>
      </c>
      <c r="W7266" t="s">
        <v>4655</v>
      </c>
      <c r="X7266" s="2">
        <v>0</v>
      </c>
      <c r="Y7266">
        <v>20</v>
      </c>
      <c r="Z7266" t="s">
        <v>2048</v>
      </c>
      <c r="AA7266" s="3">
        <v>0.27500000596046398</v>
      </c>
      <c r="AB7266" t="s">
        <v>34446</v>
      </c>
      <c r="AC7266" t="s">
        <v>4575</v>
      </c>
      <c r="AD7266" t="s">
        <v>34445</v>
      </c>
      <c r="AE7266" t="s">
        <v>4655</v>
      </c>
      <c r="AF7266" t="s">
        <v>5201</v>
      </c>
      <c r="AG7266" t="s">
        <v>4564</v>
      </c>
      <c r="AH7266" t="s">
        <v>1605</v>
      </c>
      <c r="AI7266" t="s">
        <v>34447</v>
      </c>
      <c r="AJ7266" t="s">
        <v>3219</v>
      </c>
      <c r="AK7266" t="s">
        <v>34448</v>
      </c>
      <c r="AL7266" s="13" t="s">
        <v>1899</v>
      </c>
      <c r="AM7266">
        <v>1</v>
      </c>
      <c r="AN7266" s="15" t="s">
        <v>2724</v>
      </c>
    </row>
    <row r="7267" spans="1:40" x14ac:dyDescent="0.3">
      <c r="A7267" s="10" t="str">
        <f>HYPERLINK("http://www.washoecounty.gov/assessor/cama/?parid=522-061-06&amp;CardNumber=1","522-061-06")</f>
        <v>522-061-06</v>
      </c>
      <c r="B7267" t="s">
        <v>4655</v>
      </c>
      <c r="C7267" t="s">
        <v>34449</v>
      </c>
      <c r="D7267" s="1">
        <v>40225</v>
      </c>
      <c r="E7267" s="2">
        <v>385000</v>
      </c>
      <c r="F7267" t="s">
        <v>4567</v>
      </c>
      <c r="G7267" s="17" t="str">
        <f>HYPERLINK("https://www.washoecounty.gov/assessor/cama/?command=sales&amp;parid=52206106","3849745")</f>
        <v>3849745</v>
      </c>
      <c r="H7267" t="s">
        <v>2775</v>
      </c>
      <c r="I7267">
        <v>2003</v>
      </c>
      <c r="J7267">
        <v>2003</v>
      </c>
      <c r="K7267" t="s">
        <v>4554</v>
      </c>
      <c r="L7267" t="s">
        <v>3974</v>
      </c>
      <c r="M7267" s="2">
        <v>3333</v>
      </c>
      <c r="N7267" t="s">
        <v>5106</v>
      </c>
      <c r="O7267">
        <v>4</v>
      </c>
      <c r="P7267">
        <v>4</v>
      </c>
      <c r="Q7267">
        <v>1</v>
      </c>
      <c r="R7267" t="s">
        <v>5281</v>
      </c>
      <c r="S7267" t="s">
        <v>4898</v>
      </c>
      <c r="T7267" t="s">
        <v>2704</v>
      </c>
      <c r="U7267" t="s">
        <v>4560</v>
      </c>
      <c r="V7267" s="2">
        <v>681</v>
      </c>
      <c r="W7267" t="s">
        <v>4655</v>
      </c>
      <c r="X7267" s="2">
        <v>0</v>
      </c>
      <c r="Y7267">
        <v>20</v>
      </c>
      <c r="Z7267" t="s">
        <v>2048</v>
      </c>
      <c r="AA7267" s="3">
        <v>0.25599172711372398</v>
      </c>
      <c r="AB7267" t="s">
        <v>34450</v>
      </c>
      <c r="AC7267" t="s">
        <v>4575</v>
      </c>
      <c r="AD7267" t="s">
        <v>34451</v>
      </c>
      <c r="AE7267" t="s">
        <v>34449</v>
      </c>
      <c r="AF7267" t="s">
        <v>5201</v>
      </c>
      <c r="AG7267" t="s">
        <v>4564</v>
      </c>
      <c r="AH7267" t="s">
        <v>1605</v>
      </c>
      <c r="AI7267" t="s">
        <v>34452</v>
      </c>
      <c r="AJ7267" t="s">
        <v>2776</v>
      </c>
      <c r="AK7267" t="s">
        <v>34453</v>
      </c>
      <c r="AL7267" s="13" t="s">
        <v>1899</v>
      </c>
      <c r="AM7267">
        <v>1</v>
      </c>
      <c r="AN7267" s="15" t="s">
        <v>2724</v>
      </c>
    </row>
    <row r="7268" spans="1:40" x14ac:dyDescent="0.3">
      <c r="A7268" s="10" t="str">
        <f>HYPERLINK("http://www.washoecounty.gov/assessor/cama/?parid=522-061-07&amp;CardNumber=1","522-061-07")</f>
        <v>522-061-07</v>
      </c>
      <c r="B7268" t="s">
        <v>4655</v>
      </c>
      <c r="C7268" t="s">
        <v>34454</v>
      </c>
      <c r="D7268" s="1">
        <v>40407</v>
      </c>
      <c r="E7268" s="2">
        <v>392900</v>
      </c>
      <c r="F7268" t="s">
        <v>4553</v>
      </c>
      <c r="G7268" s="17" t="str">
        <f>HYPERLINK("https://www.washoecounty.gov/assessor/cama/?command=sales&amp;parid=52206107","3913050")</f>
        <v>3913050</v>
      </c>
      <c r="H7268" t="s">
        <v>2775</v>
      </c>
      <c r="I7268">
        <v>2006</v>
      </c>
      <c r="J7268">
        <v>2006</v>
      </c>
      <c r="K7268" t="s">
        <v>4554</v>
      </c>
      <c r="L7268" t="s">
        <v>3974</v>
      </c>
      <c r="M7268" s="2">
        <v>3804</v>
      </c>
      <c r="N7268" t="s">
        <v>2012</v>
      </c>
      <c r="O7268">
        <v>4</v>
      </c>
      <c r="P7268">
        <v>4</v>
      </c>
      <c r="Q7268">
        <v>0</v>
      </c>
      <c r="R7268" t="s">
        <v>5281</v>
      </c>
      <c r="S7268" t="s">
        <v>4898</v>
      </c>
      <c r="T7268" t="s">
        <v>2704</v>
      </c>
      <c r="U7268" t="s">
        <v>4560</v>
      </c>
      <c r="V7268" s="2">
        <v>1220</v>
      </c>
      <c r="W7268" t="s">
        <v>4655</v>
      </c>
      <c r="X7268" s="2">
        <v>0</v>
      </c>
      <c r="Y7268">
        <v>20</v>
      </c>
      <c r="Z7268" t="s">
        <v>2048</v>
      </c>
      <c r="AA7268" s="3">
        <v>0.32499998807907099</v>
      </c>
      <c r="AB7268" t="s">
        <v>34455</v>
      </c>
      <c r="AC7268" t="s">
        <v>4562</v>
      </c>
      <c r="AD7268" t="s">
        <v>34456</v>
      </c>
      <c r="AE7268" t="s">
        <v>4655</v>
      </c>
      <c r="AF7268" t="s">
        <v>4809</v>
      </c>
      <c r="AG7268" t="s">
        <v>4564</v>
      </c>
      <c r="AH7268" t="s">
        <v>1605</v>
      </c>
      <c r="AI7268" t="s">
        <v>4655</v>
      </c>
      <c r="AJ7268" t="s">
        <v>2776</v>
      </c>
      <c r="AK7268" t="s">
        <v>34457</v>
      </c>
      <c r="AL7268" s="13" t="s">
        <v>1899</v>
      </c>
      <c r="AM7268">
        <v>1</v>
      </c>
      <c r="AN7268" s="15" t="s">
        <v>2724</v>
      </c>
    </row>
    <row r="7269" spans="1:40" x14ac:dyDescent="0.3">
      <c r="A7269" s="10" t="str">
        <f>HYPERLINK("http://www.washoecounty.gov/assessor/cama/?parid=522-061-08&amp;CardNumber=1","522-061-08")</f>
        <v>522-061-08</v>
      </c>
      <c r="B7269" t="s">
        <v>4655</v>
      </c>
      <c r="C7269" t="s">
        <v>34458</v>
      </c>
      <c r="D7269" s="1">
        <v>40389</v>
      </c>
      <c r="E7269" s="2">
        <v>195900</v>
      </c>
      <c r="F7269" t="s">
        <v>4567</v>
      </c>
      <c r="G7269" s="17" t="str">
        <f>HYPERLINK("https://www.washoecounty.gov/assessor/cama/?command=sales&amp;parid=52206108","3906944")</f>
        <v>3906944</v>
      </c>
      <c r="H7269" t="s">
        <v>2775</v>
      </c>
      <c r="I7269">
        <v>1999</v>
      </c>
      <c r="J7269">
        <v>1999</v>
      </c>
      <c r="K7269" t="s">
        <v>4554</v>
      </c>
      <c r="L7269" t="s">
        <v>3886</v>
      </c>
      <c r="M7269" s="2">
        <v>2035</v>
      </c>
      <c r="N7269" t="s">
        <v>3147</v>
      </c>
      <c r="O7269">
        <v>3</v>
      </c>
      <c r="P7269">
        <v>2</v>
      </c>
      <c r="Q7269">
        <v>1</v>
      </c>
      <c r="R7269" t="s">
        <v>5281</v>
      </c>
      <c r="S7269" t="s">
        <v>4558</v>
      </c>
      <c r="T7269" t="s">
        <v>3888</v>
      </c>
      <c r="U7269" t="s">
        <v>4655</v>
      </c>
      <c r="V7269" s="2">
        <v>0</v>
      </c>
      <c r="W7269" t="s">
        <v>4655</v>
      </c>
      <c r="X7269" s="2">
        <v>0</v>
      </c>
      <c r="Y7269">
        <v>20</v>
      </c>
      <c r="Z7269" t="s">
        <v>2048</v>
      </c>
      <c r="AA7269" s="3">
        <v>0.26200643181800798</v>
      </c>
      <c r="AB7269" t="s">
        <v>34459</v>
      </c>
      <c r="AC7269" t="s">
        <v>4575</v>
      </c>
      <c r="AD7269" t="s">
        <v>34458</v>
      </c>
      <c r="AE7269" t="s">
        <v>4655</v>
      </c>
      <c r="AF7269" t="s">
        <v>5201</v>
      </c>
      <c r="AG7269" t="s">
        <v>4564</v>
      </c>
      <c r="AH7269" t="s">
        <v>1605</v>
      </c>
      <c r="AI7269" t="s">
        <v>34460</v>
      </c>
      <c r="AJ7269" t="s">
        <v>2776</v>
      </c>
      <c r="AK7269" t="s">
        <v>34461</v>
      </c>
      <c r="AL7269" s="13" t="s">
        <v>1899</v>
      </c>
      <c r="AM7269">
        <v>1</v>
      </c>
      <c r="AN7269" s="15" t="s">
        <v>2724</v>
      </c>
    </row>
    <row r="7270" spans="1:40" x14ac:dyDescent="0.3">
      <c r="A7270" s="10" t="str">
        <f>HYPERLINK("http://www.washoecounty.gov/assessor/cama/?parid=522-061-08&amp;CardNumber=1","522-061-08")</f>
        <v>522-061-08</v>
      </c>
      <c r="B7270" t="s">
        <v>4655</v>
      </c>
      <c r="C7270" t="s">
        <v>34458</v>
      </c>
      <c r="D7270" s="1">
        <v>40392</v>
      </c>
      <c r="E7270" s="2">
        <v>249000</v>
      </c>
      <c r="F7270" t="s">
        <v>4567</v>
      </c>
      <c r="G7270" s="17" t="str">
        <f>HYPERLINK("https://www.washoecounty.gov/assessor/cama/?command=sales&amp;parid=52206108","3907690")</f>
        <v>3907690</v>
      </c>
      <c r="H7270" t="s">
        <v>2775</v>
      </c>
      <c r="I7270">
        <v>1999</v>
      </c>
      <c r="J7270">
        <v>1999</v>
      </c>
      <c r="K7270" t="s">
        <v>4554</v>
      </c>
      <c r="L7270" t="s">
        <v>3886</v>
      </c>
      <c r="M7270" s="2">
        <v>2035</v>
      </c>
      <c r="N7270" t="s">
        <v>3147</v>
      </c>
      <c r="O7270">
        <v>3</v>
      </c>
      <c r="P7270">
        <v>2</v>
      </c>
      <c r="Q7270">
        <v>1</v>
      </c>
      <c r="R7270" t="s">
        <v>5281</v>
      </c>
      <c r="S7270" t="s">
        <v>4558</v>
      </c>
      <c r="T7270" t="s">
        <v>3888</v>
      </c>
      <c r="U7270" t="s">
        <v>4655</v>
      </c>
      <c r="V7270" s="2">
        <v>0</v>
      </c>
      <c r="W7270" t="s">
        <v>4655</v>
      </c>
      <c r="X7270" s="2">
        <v>0</v>
      </c>
      <c r="Y7270">
        <v>20</v>
      </c>
      <c r="Z7270" t="s">
        <v>2048</v>
      </c>
      <c r="AA7270" s="3">
        <v>0.26200643181800798</v>
      </c>
      <c r="AB7270" t="s">
        <v>34459</v>
      </c>
      <c r="AC7270" t="s">
        <v>4575</v>
      </c>
      <c r="AD7270" t="s">
        <v>34458</v>
      </c>
      <c r="AE7270" t="s">
        <v>4655</v>
      </c>
      <c r="AF7270" t="s">
        <v>5201</v>
      </c>
      <c r="AG7270" t="s">
        <v>4564</v>
      </c>
      <c r="AH7270" t="s">
        <v>1605</v>
      </c>
      <c r="AI7270" t="s">
        <v>34460</v>
      </c>
      <c r="AJ7270" t="s">
        <v>2776</v>
      </c>
      <c r="AK7270" t="s">
        <v>34461</v>
      </c>
      <c r="AL7270" s="13" t="s">
        <v>1899</v>
      </c>
      <c r="AM7270">
        <v>1</v>
      </c>
      <c r="AN7270" s="15" t="s">
        <v>2724</v>
      </c>
    </row>
    <row r="7271" spans="1:40" x14ac:dyDescent="0.3">
      <c r="A7271" s="10" t="str">
        <f>HYPERLINK("http://www.washoecounty.gov/assessor/cama/?parid=522-062-11&amp;CardNumber=1","522-062-11")</f>
        <v>522-062-11</v>
      </c>
      <c r="B7271" t="s">
        <v>4655</v>
      </c>
      <c r="C7271" t="s">
        <v>34462</v>
      </c>
      <c r="D7271" s="1">
        <v>40535</v>
      </c>
      <c r="E7271" s="2">
        <v>105000</v>
      </c>
      <c r="F7271" t="s">
        <v>3174</v>
      </c>
      <c r="G7271" s="17" t="str">
        <f>HYPERLINK("https://www.washoecounty.gov/assessor/cama/?command=sales&amp;parid=52206211","3956644")</f>
        <v>3956644</v>
      </c>
      <c r="H7271" t="s">
        <v>2775</v>
      </c>
      <c r="I7271">
        <v>0</v>
      </c>
      <c r="J7271">
        <v>0</v>
      </c>
      <c r="K7271" t="s">
        <v>4655</v>
      </c>
      <c r="L7271" t="s">
        <v>4655</v>
      </c>
      <c r="M7271" s="2">
        <v>0</v>
      </c>
      <c r="N7271" t="s">
        <v>4655</v>
      </c>
      <c r="O7271">
        <v>0</v>
      </c>
      <c r="P7271">
        <v>0</v>
      </c>
      <c r="Q7271">
        <v>0</v>
      </c>
      <c r="R7271" t="s">
        <v>4655</v>
      </c>
      <c r="S7271" t="s">
        <v>4655</v>
      </c>
      <c r="T7271" t="s">
        <v>4655</v>
      </c>
      <c r="U7271" t="s">
        <v>4655</v>
      </c>
      <c r="V7271" s="2">
        <v>0</v>
      </c>
      <c r="W7271" t="s">
        <v>4655</v>
      </c>
      <c r="X7271" s="2">
        <v>0</v>
      </c>
      <c r="Y7271">
        <v>12</v>
      </c>
      <c r="Z7271" t="s">
        <v>2048</v>
      </c>
      <c r="AA7271" s="3">
        <v>0.26200643181800798</v>
      </c>
      <c r="AB7271" t="s">
        <v>1965</v>
      </c>
      <c r="AC7271" t="s">
        <v>4562</v>
      </c>
      <c r="AD7271" t="s">
        <v>34463</v>
      </c>
      <c r="AE7271" t="s">
        <v>34464</v>
      </c>
      <c r="AF7271" t="s">
        <v>3596</v>
      </c>
      <c r="AG7271" t="s">
        <v>4584</v>
      </c>
      <c r="AH7271" t="s">
        <v>3342</v>
      </c>
      <c r="AI7271" t="s">
        <v>34465</v>
      </c>
      <c r="AJ7271" t="s">
        <v>2776</v>
      </c>
      <c r="AK7271" t="s">
        <v>34466</v>
      </c>
      <c r="AL7271" s="13" t="s">
        <v>1899</v>
      </c>
      <c r="AM7271">
        <v>0</v>
      </c>
      <c r="AN7271" s="15" t="s">
        <v>2724</v>
      </c>
    </row>
    <row r="7272" spans="1:40" x14ac:dyDescent="0.3">
      <c r="A7272" s="10" t="str">
        <f>HYPERLINK("http://www.washoecounty.gov/assessor/cama/?parid=522-062-12&amp;CardNumber=1","522-062-12")</f>
        <v>522-062-12</v>
      </c>
      <c r="B7272" t="s">
        <v>4655</v>
      </c>
      <c r="C7272" t="s">
        <v>34467</v>
      </c>
      <c r="D7272" s="1">
        <v>40535</v>
      </c>
      <c r="E7272" s="2">
        <v>105000</v>
      </c>
      <c r="F7272" t="s">
        <v>3174</v>
      </c>
      <c r="G7272" s="17" t="str">
        <f>HYPERLINK("https://www.washoecounty.gov/assessor/cama/?command=sales&amp;parid=52206212","3956644")</f>
        <v>3956644</v>
      </c>
      <c r="H7272" t="s">
        <v>2775</v>
      </c>
      <c r="I7272">
        <v>0</v>
      </c>
      <c r="J7272">
        <v>0</v>
      </c>
      <c r="K7272" t="s">
        <v>4655</v>
      </c>
      <c r="L7272" t="s">
        <v>4655</v>
      </c>
      <c r="M7272" s="2">
        <v>0</v>
      </c>
      <c r="N7272" t="s">
        <v>4655</v>
      </c>
      <c r="O7272">
        <v>0</v>
      </c>
      <c r="P7272">
        <v>0</v>
      </c>
      <c r="Q7272">
        <v>0</v>
      </c>
      <c r="R7272" t="s">
        <v>4655</v>
      </c>
      <c r="S7272" t="s">
        <v>4655</v>
      </c>
      <c r="T7272" t="s">
        <v>4655</v>
      </c>
      <c r="U7272" t="s">
        <v>4655</v>
      </c>
      <c r="V7272" s="2">
        <v>0</v>
      </c>
      <c r="W7272" t="s">
        <v>4655</v>
      </c>
      <c r="X7272" s="2">
        <v>0</v>
      </c>
      <c r="Y7272">
        <v>12</v>
      </c>
      <c r="Z7272" t="s">
        <v>2048</v>
      </c>
      <c r="AA7272" s="3">
        <v>0.314003676176071</v>
      </c>
      <c r="AB7272" t="s">
        <v>1965</v>
      </c>
      <c r="AC7272" t="s">
        <v>4562</v>
      </c>
      <c r="AD7272" t="s">
        <v>34463</v>
      </c>
      <c r="AE7272" t="s">
        <v>34464</v>
      </c>
      <c r="AF7272" t="s">
        <v>3596</v>
      </c>
      <c r="AG7272" t="s">
        <v>4584</v>
      </c>
      <c r="AH7272" t="s">
        <v>3342</v>
      </c>
      <c r="AI7272" t="s">
        <v>4655</v>
      </c>
      <c r="AJ7272" t="s">
        <v>2776</v>
      </c>
      <c r="AK7272" t="s">
        <v>34468</v>
      </c>
      <c r="AL7272" s="13" t="s">
        <v>1899</v>
      </c>
      <c r="AM7272" s="14">
        <v>0</v>
      </c>
      <c r="AN7272" s="15" t="s">
        <v>2724</v>
      </c>
    </row>
    <row r="7273" spans="1:40" x14ac:dyDescent="0.3">
      <c r="A7273" s="10" t="str">
        <f>HYPERLINK("http://www.washoecounty.gov/assessor/cama/?parid=522-072-04&amp;CardNumber=1","522-072-04")</f>
        <v>522-072-04</v>
      </c>
      <c r="B7273" t="s">
        <v>4655</v>
      </c>
      <c r="C7273" t="s">
        <v>34469</v>
      </c>
      <c r="D7273" s="1">
        <v>40319</v>
      </c>
      <c r="E7273" s="2">
        <v>58000</v>
      </c>
      <c r="F7273" t="s">
        <v>4553</v>
      </c>
      <c r="G7273" s="17" t="str">
        <f>HYPERLINK("https://www.washoecounty.gov/assessor/cama/?command=sales&amp;parid=52207204","3883925")</f>
        <v>3883925</v>
      </c>
      <c r="H7273" t="s">
        <v>2775</v>
      </c>
      <c r="I7273">
        <v>0</v>
      </c>
      <c r="J7273">
        <v>0</v>
      </c>
      <c r="K7273" t="s">
        <v>4655</v>
      </c>
      <c r="L7273" t="s">
        <v>4655</v>
      </c>
      <c r="M7273" s="2">
        <v>0</v>
      </c>
      <c r="N7273" t="s">
        <v>4655</v>
      </c>
      <c r="O7273">
        <v>0</v>
      </c>
      <c r="P7273">
        <v>0</v>
      </c>
      <c r="Q7273">
        <v>0</v>
      </c>
      <c r="R7273" t="s">
        <v>4655</v>
      </c>
      <c r="S7273" t="s">
        <v>4655</v>
      </c>
      <c r="T7273" t="s">
        <v>4655</v>
      </c>
      <c r="U7273" t="s">
        <v>4655</v>
      </c>
      <c r="V7273" s="2">
        <v>0</v>
      </c>
      <c r="W7273" t="s">
        <v>4655</v>
      </c>
      <c r="X7273" s="2">
        <v>0</v>
      </c>
      <c r="Y7273">
        <v>12</v>
      </c>
      <c r="Z7273" t="s">
        <v>2048</v>
      </c>
      <c r="AA7273" s="3">
        <v>0.23200184106826799</v>
      </c>
      <c r="AB7273" t="s">
        <v>34470</v>
      </c>
      <c r="AC7273" t="s">
        <v>4562</v>
      </c>
      <c r="AD7273" t="s">
        <v>34471</v>
      </c>
      <c r="AE7273" t="s">
        <v>4655</v>
      </c>
      <c r="AF7273" t="s">
        <v>3253</v>
      </c>
      <c r="AG7273" t="s">
        <v>1539</v>
      </c>
      <c r="AH7273">
        <v>98075</v>
      </c>
      <c r="AI7273" t="s">
        <v>2009</v>
      </c>
      <c r="AJ7273" t="s">
        <v>2776</v>
      </c>
      <c r="AK7273" t="s">
        <v>34472</v>
      </c>
      <c r="AL7273" s="13" t="s">
        <v>1899</v>
      </c>
      <c r="AM7273">
        <v>0</v>
      </c>
      <c r="AN7273" s="15" t="s">
        <v>2724</v>
      </c>
    </row>
    <row r="7274" spans="1:40" x14ac:dyDescent="0.3">
      <c r="A7274" s="10" t="str">
        <f>HYPERLINK("http://www.washoecounty.gov/assessor/cama/?parid=522-121-12&amp;CardNumber=1","522-121-12")</f>
        <v>522-121-12</v>
      </c>
      <c r="B7274" t="s">
        <v>4655</v>
      </c>
      <c r="C7274" t="s">
        <v>34473</v>
      </c>
      <c r="D7274" s="1">
        <v>40344</v>
      </c>
      <c r="E7274" s="2">
        <v>375000</v>
      </c>
      <c r="F7274" t="s">
        <v>4567</v>
      </c>
      <c r="G7274" s="17" t="str">
        <f>HYPERLINK("https://www.washoecounty.gov/assessor/cama/?command=sales&amp;parid=52212112","3891948")</f>
        <v>3891948</v>
      </c>
      <c r="H7274" t="s">
        <v>1545</v>
      </c>
      <c r="I7274">
        <v>2003</v>
      </c>
      <c r="J7274">
        <v>2003</v>
      </c>
      <c r="K7274" t="s">
        <v>4554</v>
      </c>
      <c r="L7274" t="s">
        <v>4555</v>
      </c>
      <c r="M7274" s="2">
        <v>2845</v>
      </c>
      <c r="N7274" t="s">
        <v>1245</v>
      </c>
      <c r="O7274">
        <v>4</v>
      </c>
      <c r="P7274">
        <v>3</v>
      </c>
      <c r="Q7274">
        <v>1</v>
      </c>
      <c r="R7274" t="s">
        <v>5281</v>
      </c>
      <c r="S7274" t="s">
        <v>4898</v>
      </c>
      <c r="T7274" t="s">
        <v>2704</v>
      </c>
      <c r="U7274" t="s">
        <v>4560</v>
      </c>
      <c r="V7274" s="2">
        <v>833</v>
      </c>
      <c r="W7274" t="s">
        <v>4655</v>
      </c>
      <c r="X7274" s="2">
        <v>0</v>
      </c>
      <c r="Y7274">
        <v>20</v>
      </c>
      <c r="Z7274" t="s">
        <v>2048</v>
      </c>
      <c r="AA7274" s="3">
        <v>0.40199723839759799</v>
      </c>
      <c r="AB7274" t="s">
        <v>34474</v>
      </c>
      <c r="AC7274" t="s">
        <v>4562</v>
      </c>
      <c r="AD7274" t="s">
        <v>34473</v>
      </c>
      <c r="AE7274" t="s">
        <v>4655</v>
      </c>
      <c r="AF7274" t="s">
        <v>5201</v>
      </c>
      <c r="AG7274" t="s">
        <v>4564</v>
      </c>
      <c r="AH7274" t="s">
        <v>1605</v>
      </c>
      <c r="AI7274" t="s">
        <v>34475</v>
      </c>
      <c r="AJ7274" t="s">
        <v>1546</v>
      </c>
      <c r="AK7274" t="s">
        <v>34476</v>
      </c>
      <c r="AL7274" s="13" t="s">
        <v>1899</v>
      </c>
      <c r="AM7274" s="14">
        <v>1</v>
      </c>
      <c r="AN7274" s="15" t="s">
        <v>2724</v>
      </c>
    </row>
    <row r="7275" spans="1:40" x14ac:dyDescent="0.3">
      <c r="A7275" s="10" t="str">
        <f>HYPERLINK("http://www.washoecounty.gov/assessor/cama/?parid=522-132-13&amp;CardNumber=1","522-132-13")</f>
        <v>522-132-13</v>
      </c>
      <c r="B7275" t="s">
        <v>4655</v>
      </c>
      <c r="C7275" t="s">
        <v>34477</v>
      </c>
      <c r="D7275" s="1">
        <v>40298</v>
      </c>
      <c r="E7275" s="2">
        <v>309000</v>
      </c>
      <c r="F7275" t="s">
        <v>4553</v>
      </c>
      <c r="G7275" s="17" t="str">
        <f>HYPERLINK("https://www.washoecounty.gov/assessor/cama/?command=sales&amp;parid=52213213","3876880")</f>
        <v>3876880</v>
      </c>
      <c r="H7275" t="s">
        <v>3011</v>
      </c>
      <c r="I7275">
        <v>1998</v>
      </c>
      <c r="J7275">
        <v>1998</v>
      </c>
      <c r="K7275" t="s">
        <v>4554</v>
      </c>
      <c r="L7275" t="s">
        <v>3974</v>
      </c>
      <c r="M7275" s="2">
        <v>2827</v>
      </c>
      <c r="N7275" t="s">
        <v>1245</v>
      </c>
      <c r="O7275">
        <v>5</v>
      </c>
      <c r="P7275">
        <v>3</v>
      </c>
      <c r="Q7275">
        <v>0</v>
      </c>
      <c r="R7275" t="s">
        <v>5281</v>
      </c>
      <c r="S7275" t="s">
        <v>4135</v>
      </c>
      <c r="T7275" t="s">
        <v>4559</v>
      </c>
      <c r="U7275" t="s">
        <v>5631</v>
      </c>
      <c r="V7275" s="2">
        <v>792</v>
      </c>
      <c r="W7275" t="s">
        <v>4655</v>
      </c>
      <c r="X7275" s="2">
        <v>0</v>
      </c>
      <c r="Y7275">
        <v>20</v>
      </c>
      <c r="Z7275" t="s">
        <v>2048</v>
      </c>
      <c r="AA7275" s="3">
        <v>0.23298898339271545</v>
      </c>
      <c r="AB7275" t="s">
        <v>34478</v>
      </c>
      <c r="AC7275" t="s">
        <v>4562</v>
      </c>
      <c r="AD7275" t="s">
        <v>34477</v>
      </c>
      <c r="AE7275" t="s">
        <v>4655</v>
      </c>
      <c r="AF7275" t="s">
        <v>5201</v>
      </c>
      <c r="AG7275" t="s">
        <v>4564</v>
      </c>
      <c r="AH7275" t="s">
        <v>1605</v>
      </c>
      <c r="AI7275" t="s">
        <v>1267</v>
      </c>
      <c r="AJ7275" t="s">
        <v>2598</v>
      </c>
      <c r="AK7275" t="s">
        <v>34479</v>
      </c>
      <c r="AL7275" s="13" t="s">
        <v>1899</v>
      </c>
      <c r="AM7275">
        <v>1</v>
      </c>
      <c r="AN7275" s="15" t="s">
        <v>2724</v>
      </c>
    </row>
    <row r="7276" spans="1:40" x14ac:dyDescent="0.3">
      <c r="A7276" s="10" t="str">
        <f>HYPERLINK("http://www.washoecounty.gov/assessor/cama/?parid=522-141-11&amp;CardNumber=1","522-141-11")</f>
        <v>522-141-11</v>
      </c>
      <c r="B7276" t="s">
        <v>4655</v>
      </c>
      <c r="C7276" t="s">
        <v>34480</v>
      </c>
      <c r="D7276" s="1">
        <v>40541</v>
      </c>
      <c r="E7276" s="2">
        <v>290000</v>
      </c>
      <c r="F7276" t="s">
        <v>4553</v>
      </c>
      <c r="G7276" s="17" t="str">
        <f>HYPERLINK("https://www.washoecounty.gov/assessor/cama/?command=sales&amp;parid=52214111","3958470")</f>
        <v>3958470</v>
      </c>
      <c r="H7276" t="s">
        <v>3011</v>
      </c>
      <c r="I7276">
        <v>1998</v>
      </c>
      <c r="J7276">
        <v>1998</v>
      </c>
      <c r="K7276" t="s">
        <v>4554</v>
      </c>
      <c r="L7276" t="s">
        <v>3974</v>
      </c>
      <c r="M7276" s="2">
        <v>3027</v>
      </c>
      <c r="N7276" t="s">
        <v>3887</v>
      </c>
      <c r="O7276">
        <v>4</v>
      </c>
      <c r="P7276">
        <v>2</v>
      </c>
      <c r="Q7276">
        <v>1</v>
      </c>
      <c r="R7276" t="s">
        <v>5281</v>
      </c>
      <c r="S7276" t="s">
        <v>4135</v>
      </c>
      <c r="T7276" t="s">
        <v>4559</v>
      </c>
      <c r="U7276" t="s">
        <v>4560</v>
      </c>
      <c r="V7276" s="2">
        <v>890</v>
      </c>
      <c r="W7276" t="s">
        <v>4655</v>
      </c>
      <c r="X7276" s="2">
        <v>0</v>
      </c>
      <c r="Y7276">
        <v>20</v>
      </c>
      <c r="Z7276" t="s">
        <v>2048</v>
      </c>
      <c r="AA7276" s="3">
        <v>0.28399908542633101</v>
      </c>
      <c r="AB7276" t="s">
        <v>34481</v>
      </c>
      <c r="AC7276" t="s">
        <v>4575</v>
      </c>
      <c r="AD7276" t="s">
        <v>34480</v>
      </c>
      <c r="AE7276" t="s">
        <v>4655</v>
      </c>
      <c r="AF7276" t="s">
        <v>5201</v>
      </c>
      <c r="AG7276" t="s">
        <v>4564</v>
      </c>
      <c r="AH7276" t="s">
        <v>1605</v>
      </c>
      <c r="AI7276" t="s">
        <v>34482</v>
      </c>
      <c r="AJ7276" t="s">
        <v>2598</v>
      </c>
      <c r="AK7276" t="s">
        <v>34483</v>
      </c>
      <c r="AL7276" s="13" t="s">
        <v>1899</v>
      </c>
      <c r="AM7276">
        <v>1</v>
      </c>
      <c r="AN7276" s="15" t="s">
        <v>2724</v>
      </c>
    </row>
    <row r="7277" spans="1:40" x14ac:dyDescent="0.3">
      <c r="A7277" s="10" t="str">
        <f>HYPERLINK("http://www.washoecounty.gov/assessor/cama/?parid=522-161-17&amp;CardNumber=1","522-161-17")</f>
        <v>522-161-17</v>
      </c>
      <c r="B7277" t="s">
        <v>4655</v>
      </c>
      <c r="C7277" t="s">
        <v>34484</v>
      </c>
      <c r="D7277" s="1">
        <v>40273</v>
      </c>
      <c r="E7277" s="2">
        <v>480000</v>
      </c>
      <c r="F7277" t="s">
        <v>4567</v>
      </c>
      <c r="G7277" s="17" t="str">
        <f>HYPERLINK("https://www.washoecounty.gov/assessor/cama/?command=sales&amp;parid=52216117","3867817")</f>
        <v>3867817</v>
      </c>
      <c r="H7277" t="s">
        <v>1172</v>
      </c>
      <c r="I7277">
        <v>2008</v>
      </c>
      <c r="J7277">
        <v>2008</v>
      </c>
      <c r="K7277" t="s">
        <v>4554</v>
      </c>
      <c r="L7277" t="s">
        <v>4555</v>
      </c>
      <c r="M7277" s="2">
        <v>3907</v>
      </c>
      <c r="N7277" t="s">
        <v>5106</v>
      </c>
      <c r="O7277">
        <v>3</v>
      </c>
      <c r="P7277">
        <v>3</v>
      </c>
      <c r="Q7277">
        <v>0</v>
      </c>
      <c r="R7277" t="s">
        <v>5281</v>
      </c>
      <c r="S7277" t="s">
        <v>4898</v>
      </c>
      <c r="T7277" t="s">
        <v>4559</v>
      </c>
      <c r="U7277" t="s">
        <v>5631</v>
      </c>
      <c r="V7277" s="2">
        <v>890</v>
      </c>
      <c r="W7277" t="s">
        <v>4655</v>
      </c>
      <c r="X7277" s="2">
        <v>0</v>
      </c>
      <c r="Y7277">
        <v>20</v>
      </c>
      <c r="Z7277" t="s">
        <v>2048</v>
      </c>
      <c r="AA7277" s="3">
        <v>0.339990824460983</v>
      </c>
      <c r="AB7277" t="s">
        <v>34485</v>
      </c>
      <c r="AC7277" t="s">
        <v>4562</v>
      </c>
      <c r="AD7277" t="s">
        <v>34484</v>
      </c>
      <c r="AE7277" t="s">
        <v>4655</v>
      </c>
      <c r="AF7277" t="s">
        <v>5201</v>
      </c>
      <c r="AG7277" t="s">
        <v>4564</v>
      </c>
      <c r="AH7277" t="s">
        <v>1605</v>
      </c>
      <c r="AI7277" t="s">
        <v>4655</v>
      </c>
      <c r="AJ7277" t="s">
        <v>1173</v>
      </c>
      <c r="AK7277" t="s">
        <v>34486</v>
      </c>
      <c r="AL7277" s="13" t="s">
        <v>1899</v>
      </c>
      <c r="AM7277" s="14">
        <v>1</v>
      </c>
      <c r="AN7277" s="15" t="s">
        <v>2724</v>
      </c>
    </row>
    <row r="7278" spans="1:40" x14ac:dyDescent="0.3">
      <c r="A7278" s="10" t="str">
        <f>HYPERLINK("http://www.washoecounty.gov/assessor/cama/?parid=522-182-21&amp;CardNumber=1","522-182-21")</f>
        <v>522-182-21</v>
      </c>
      <c r="B7278" t="s">
        <v>4655</v>
      </c>
      <c r="C7278" t="s">
        <v>34487</v>
      </c>
      <c r="D7278" s="1">
        <v>40436</v>
      </c>
      <c r="E7278" s="2">
        <v>290000</v>
      </c>
      <c r="F7278" t="s">
        <v>4567</v>
      </c>
      <c r="G7278" s="17" t="str">
        <f>HYPERLINK("https://www.washoecounty.gov/assessor/cama/?command=sales&amp;parid=52218221","3922734")</f>
        <v>3922734</v>
      </c>
      <c r="H7278" t="s">
        <v>34488</v>
      </c>
      <c r="I7278">
        <v>1998</v>
      </c>
      <c r="J7278">
        <v>1998</v>
      </c>
      <c r="K7278" t="s">
        <v>4554</v>
      </c>
      <c r="L7278" t="s">
        <v>3974</v>
      </c>
      <c r="M7278" s="2">
        <v>2728</v>
      </c>
      <c r="N7278" t="s">
        <v>3147</v>
      </c>
      <c r="O7278">
        <v>3</v>
      </c>
      <c r="P7278">
        <v>3</v>
      </c>
      <c r="Q7278">
        <v>0</v>
      </c>
      <c r="R7278" t="s">
        <v>5281</v>
      </c>
      <c r="S7278" t="s">
        <v>4898</v>
      </c>
      <c r="T7278" t="s">
        <v>2704</v>
      </c>
      <c r="U7278" t="s">
        <v>4560</v>
      </c>
      <c r="V7278" s="2">
        <v>635</v>
      </c>
      <c r="W7278" t="s">
        <v>4655</v>
      </c>
      <c r="X7278" s="2">
        <v>0</v>
      </c>
      <c r="Y7278">
        <v>20</v>
      </c>
      <c r="Z7278" t="s">
        <v>2048</v>
      </c>
      <c r="AA7278" s="3">
        <v>0.31999540328979498</v>
      </c>
      <c r="AB7278" t="s">
        <v>34489</v>
      </c>
      <c r="AC7278" t="s">
        <v>4562</v>
      </c>
      <c r="AD7278" t="s">
        <v>34487</v>
      </c>
      <c r="AE7278" t="s">
        <v>4655</v>
      </c>
      <c r="AF7278" t="s">
        <v>5201</v>
      </c>
      <c r="AG7278" t="s">
        <v>4564</v>
      </c>
      <c r="AH7278" t="s">
        <v>1605</v>
      </c>
      <c r="AI7278" t="s">
        <v>34490</v>
      </c>
      <c r="AJ7278" t="s">
        <v>34491</v>
      </c>
      <c r="AK7278" t="s">
        <v>34492</v>
      </c>
      <c r="AL7278" s="13" t="s">
        <v>1899</v>
      </c>
      <c r="AM7278">
        <v>1</v>
      </c>
      <c r="AN7278" s="15" t="s">
        <v>26</v>
      </c>
    </row>
    <row r="7279" spans="1:40" x14ac:dyDescent="0.3">
      <c r="A7279" s="10" t="str">
        <f>HYPERLINK("http://www.washoecounty.gov/assessor/cama/?parid=522-261-13&amp;CardNumber=1","522-261-13")</f>
        <v>522-261-13</v>
      </c>
      <c r="B7279" t="s">
        <v>4655</v>
      </c>
      <c r="C7279" t="s">
        <v>34493</v>
      </c>
      <c r="D7279" s="1">
        <v>40357</v>
      </c>
      <c r="E7279" s="2">
        <v>212000</v>
      </c>
      <c r="F7279" t="s">
        <v>4553</v>
      </c>
      <c r="G7279" s="17" t="str">
        <f>HYPERLINK("https://www.washoecounty.gov/assessor/cama/?command=sales&amp;parid=52226113","3896108")</f>
        <v>3896108</v>
      </c>
      <c r="H7279" t="s">
        <v>4666</v>
      </c>
      <c r="I7279">
        <v>1997</v>
      </c>
      <c r="J7279">
        <v>1997</v>
      </c>
      <c r="K7279" t="s">
        <v>4554</v>
      </c>
      <c r="L7279" t="s">
        <v>3974</v>
      </c>
      <c r="M7279" s="2">
        <v>2165</v>
      </c>
      <c r="N7279" t="s">
        <v>5280</v>
      </c>
      <c r="O7279">
        <v>4</v>
      </c>
      <c r="P7279">
        <v>2</v>
      </c>
      <c r="Q7279">
        <v>1</v>
      </c>
      <c r="R7279" t="s">
        <v>4557</v>
      </c>
      <c r="S7279" t="s">
        <v>4135</v>
      </c>
      <c r="T7279" t="s">
        <v>2704</v>
      </c>
      <c r="U7279" t="s">
        <v>5631</v>
      </c>
      <c r="V7279" s="2">
        <v>560</v>
      </c>
      <c r="W7279" t="s">
        <v>4655</v>
      </c>
      <c r="X7279" s="2">
        <v>0</v>
      </c>
      <c r="Y7279">
        <v>20</v>
      </c>
      <c r="Z7279" t="s">
        <v>2048</v>
      </c>
      <c r="AA7279" s="3">
        <v>0.114990815520287</v>
      </c>
      <c r="AB7279" t="s">
        <v>34494</v>
      </c>
      <c r="AC7279" t="s">
        <v>4562</v>
      </c>
      <c r="AD7279" t="s">
        <v>34495</v>
      </c>
      <c r="AE7279" t="s">
        <v>4655</v>
      </c>
      <c r="AF7279" t="s">
        <v>5201</v>
      </c>
      <c r="AG7279" t="s">
        <v>4564</v>
      </c>
      <c r="AH7279" t="s">
        <v>1605</v>
      </c>
      <c r="AI7279" t="s">
        <v>949</v>
      </c>
      <c r="AJ7279" t="s">
        <v>3139</v>
      </c>
      <c r="AK7279" t="s">
        <v>34496</v>
      </c>
      <c r="AL7279" s="13" t="s">
        <v>1899</v>
      </c>
      <c r="AM7279" s="14">
        <v>1</v>
      </c>
      <c r="AN7279" s="15" t="s">
        <v>3589</v>
      </c>
    </row>
    <row r="7280" spans="1:40" x14ac:dyDescent="0.3">
      <c r="A7280" s="10" t="str">
        <f>HYPERLINK("http://www.washoecounty.gov/assessor/cama/?parid=522-262-14&amp;CardNumber=1","522-262-14")</f>
        <v>522-262-14</v>
      </c>
      <c r="B7280" t="s">
        <v>4655</v>
      </c>
      <c r="C7280" t="s">
        <v>34497</v>
      </c>
      <c r="D7280" s="1">
        <v>40472</v>
      </c>
      <c r="E7280" s="2">
        <v>165000</v>
      </c>
      <c r="F7280" t="s">
        <v>4553</v>
      </c>
      <c r="G7280" s="17" t="str">
        <f>HYPERLINK("https://www.washoecounty.gov/assessor/cama/?command=sales&amp;parid=52226214","3935221")</f>
        <v>3935221</v>
      </c>
      <c r="H7280" t="s">
        <v>4666</v>
      </c>
      <c r="I7280">
        <v>1997</v>
      </c>
      <c r="J7280">
        <v>1997</v>
      </c>
      <c r="K7280" t="s">
        <v>4554</v>
      </c>
      <c r="L7280" t="s">
        <v>3974</v>
      </c>
      <c r="M7280" s="2">
        <v>1742</v>
      </c>
      <c r="N7280" t="s">
        <v>5280</v>
      </c>
      <c r="O7280">
        <v>3</v>
      </c>
      <c r="P7280">
        <v>2</v>
      </c>
      <c r="Q7280">
        <v>1</v>
      </c>
      <c r="R7280" t="s">
        <v>4557</v>
      </c>
      <c r="S7280" t="s">
        <v>4135</v>
      </c>
      <c r="T7280" t="s">
        <v>2704</v>
      </c>
      <c r="U7280" t="s">
        <v>5631</v>
      </c>
      <c r="V7280" s="2">
        <v>432</v>
      </c>
      <c r="W7280" t="s">
        <v>4655</v>
      </c>
      <c r="X7280" s="2">
        <v>0</v>
      </c>
      <c r="Y7280">
        <v>20</v>
      </c>
      <c r="Z7280" t="s">
        <v>2048</v>
      </c>
      <c r="AA7280" s="3">
        <v>0.13900367915630299</v>
      </c>
      <c r="AB7280" t="s">
        <v>34498</v>
      </c>
      <c r="AC7280" t="s">
        <v>4562</v>
      </c>
      <c r="AD7280" t="s">
        <v>34499</v>
      </c>
      <c r="AE7280" t="s">
        <v>4655</v>
      </c>
      <c r="AF7280" t="s">
        <v>4809</v>
      </c>
      <c r="AG7280" t="s">
        <v>4564</v>
      </c>
      <c r="AH7280" t="s">
        <v>1605</v>
      </c>
      <c r="AI7280" t="s">
        <v>4903</v>
      </c>
      <c r="AJ7280" t="s">
        <v>3139</v>
      </c>
      <c r="AK7280" t="s">
        <v>34500</v>
      </c>
      <c r="AL7280" s="13" t="s">
        <v>1899</v>
      </c>
      <c r="AM7280" s="14">
        <v>1</v>
      </c>
      <c r="AN7280" s="15" t="s">
        <v>3589</v>
      </c>
    </row>
    <row r="7281" spans="1:40" x14ac:dyDescent="0.3">
      <c r="A7281" s="10" t="str">
        <f>HYPERLINK("http://www.washoecounty.gov/assessor/cama/?parid=522-262-16&amp;CardNumber=1","522-262-16")</f>
        <v>522-262-16</v>
      </c>
      <c r="B7281" t="s">
        <v>4655</v>
      </c>
      <c r="C7281" t="s">
        <v>34501</v>
      </c>
      <c r="D7281" s="1">
        <v>40253</v>
      </c>
      <c r="E7281" s="2">
        <v>176000</v>
      </c>
      <c r="F7281" t="s">
        <v>4567</v>
      </c>
      <c r="G7281" s="17" t="str">
        <f>HYPERLINK("https://www.washoecounty.gov/assessor/cama/?command=sales&amp;parid=52226216","3860490")</f>
        <v>3860490</v>
      </c>
      <c r="H7281" t="s">
        <v>4666</v>
      </c>
      <c r="I7281">
        <v>1997</v>
      </c>
      <c r="J7281">
        <v>1997</v>
      </c>
      <c r="K7281" t="s">
        <v>4554</v>
      </c>
      <c r="L7281" t="s">
        <v>3974</v>
      </c>
      <c r="M7281" s="2">
        <v>1742</v>
      </c>
      <c r="N7281" t="s">
        <v>5280</v>
      </c>
      <c r="O7281">
        <v>3</v>
      </c>
      <c r="P7281">
        <v>2</v>
      </c>
      <c r="Q7281">
        <v>1</v>
      </c>
      <c r="R7281" t="s">
        <v>5281</v>
      </c>
      <c r="S7281" t="s">
        <v>4135</v>
      </c>
      <c r="T7281" t="s">
        <v>2704</v>
      </c>
      <c r="U7281" t="s">
        <v>5631</v>
      </c>
      <c r="V7281" s="2">
        <v>432</v>
      </c>
      <c r="W7281" t="s">
        <v>4655</v>
      </c>
      <c r="X7281" s="2">
        <v>0</v>
      </c>
      <c r="Y7281">
        <v>20</v>
      </c>
      <c r="Z7281" t="s">
        <v>2048</v>
      </c>
      <c r="AA7281" s="3">
        <v>0.15300734341144601</v>
      </c>
      <c r="AB7281" t="s">
        <v>34502</v>
      </c>
      <c r="AC7281" t="s">
        <v>4562</v>
      </c>
      <c r="AD7281" t="s">
        <v>34501</v>
      </c>
      <c r="AE7281" t="s">
        <v>4655</v>
      </c>
      <c r="AF7281" t="s">
        <v>5201</v>
      </c>
      <c r="AG7281" t="s">
        <v>4564</v>
      </c>
      <c r="AH7281" t="s">
        <v>1605</v>
      </c>
      <c r="AI7281" t="s">
        <v>34503</v>
      </c>
      <c r="AJ7281" t="s">
        <v>3139</v>
      </c>
      <c r="AK7281" t="s">
        <v>34504</v>
      </c>
      <c r="AL7281" s="13" t="s">
        <v>1899</v>
      </c>
      <c r="AM7281">
        <v>1</v>
      </c>
      <c r="AN7281" s="15" t="s">
        <v>3589</v>
      </c>
    </row>
    <row r="7282" spans="1:40" x14ac:dyDescent="0.3">
      <c r="A7282" s="10" t="str">
        <f>HYPERLINK("http://www.washoecounty.gov/assessor/cama/?parid=522-263-05&amp;CardNumber=1","522-263-05")</f>
        <v>522-263-05</v>
      </c>
      <c r="B7282" t="s">
        <v>4655</v>
      </c>
      <c r="C7282" t="s">
        <v>34505</v>
      </c>
      <c r="D7282" s="1">
        <v>40542</v>
      </c>
      <c r="E7282" s="2">
        <v>125000</v>
      </c>
      <c r="F7282" t="s">
        <v>4567</v>
      </c>
      <c r="G7282" s="17" t="str">
        <f>HYPERLINK("https://www.washoecounty.gov/assessor/cama/?command=sales&amp;parid=52226305","3959329")</f>
        <v>3959329</v>
      </c>
      <c r="H7282" t="s">
        <v>4666</v>
      </c>
      <c r="I7282">
        <v>1997</v>
      </c>
      <c r="J7282">
        <v>1997</v>
      </c>
      <c r="K7282" t="s">
        <v>4554</v>
      </c>
      <c r="L7282" t="s">
        <v>3974</v>
      </c>
      <c r="M7282" s="2">
        <v>1736</v>
      </c>
      <c r="N7282" t="s">
        <v>5280</v>
      </c>
      <c r="O7282">
        <v>3</v>
      </c>
      <c r="P7282">
        <v>2</v>
      </c>
      <c r="Q7282">
        <v>1</v>
      </c>
      <c r="R7282" t="s">
        <v>4557</v>
      </c>
      <c r="S7282" t="s">
        <v>4135</v>
      </c>
      <c r="T7282" t="s">
        <v>2704</v>
      </c>
      <c r="U7282" t="s">
        <v>5631</v>
      </c>
      <c r="V7282" s="2">
        <v>432</v>
      </c>
      <c r="W7282" t="s">
        <v>4655</v>
      </c>
      <c r="X7282" s="2">
        <v>0</v>
      </c>
      <c r="Y7282">
        <v>20</v>
      </c>
      <c r="Z7282" t="s">
        <v>2048</v>
      </c>
      <c r="AA7282" s="3">
        <v>0.13000458478927601</v>
      </c>
      <c r="AB7282" t="s">
        <v>34506</v>
      </c>
      <c r="AC7282" t="s">
        <v>4562</v>
      </c>
      <c r="AD7282" t="s">
        <v>34507</v>
      </c>
      <c r="AE7282" t="s">
        <v>4655</v>
      </c>
      <c r="AF7282" t="s">
        <v>4563</v>
      </c>
      <c r="AG7282" t="s">
        <v>4564</v>
      </c>
      <c r="AH7282">
        <v>89501</v>
      </c>
      <c r="AI7282" t="s">
        <v>34508</v>
      </c>
      <c r="AJ7282" t="s">
        <v>3139</v>
      </c>
      <c r="AK7282" t="s">
        <v>34509</v>
      </c>
      <c r="AL7282" s="13" t="s">
        <v>1899</v>
      </c>
      <c r="AM7282">
        <v>1</v>
      </c>
      <c r="AN7282" s="15" t="s">
        <v>3589</v>
      </c>
    </row>
    <row r="7283" spans="1:40" x14ac:dyDescent="0.3">
      <c r="A7283" s="10" t="str">
        <f>HYPERLINK("http://www.washoecounty.gov/assessor/cama/?parid=522-263-11&amp;CardNumber=1","522-263-11")</f>
        <v>522-263-11</v>
      </c>
      <c r="B7283" t="s">
        <v>4655</v>
      </c>
      <c r="C7283" t="s">
        <v>34510</v>
      </c>
      <c r="D7283" s="1">
        <v>40540</v>
      </c>
      <c r="E7283" s="2">
        <v>157000</v>
      </c>
      <c r="F7283" t="s">
        <v>4553</v>
      </c>
      <c r="G7283" s="17" t="str">
        <f>HYPERLINK("https://www.washoecounty.gov/assessor/cama/?command=sales&amp;parid=52226311","3958258")</f>
        <v>3958258</v>
      </c>
      <c r="H7283" t="s">
        <v>4666</v>
      </c>
      <c r="I7283">
        <v>1997</v>
      </c>
      <c r="J7283">
        <v>1997</v>
      </c>
      <c r="K7283" t="s">
        <v>4554</v>
      </c>
      <c r="L7283" t="s">
        <v>4555</v>
      </c>
      <c r="M7283" s="2">
        <v>1647</v>
      </c>
      <c r="N7283" t="s">
        <v>5280</v>
      </c>
      <c r="O7283">
        <v>3</v>
      </c>
      <c r="P7283">
        <v>2</v>
      </c>
      <c r="Q7283">
        <v>0</v>
      </c>
      <c r="R7283" t="s">
        <v>4557</v>
      </c>
      <c r="S7283" t="s">
        <v>4135</v>
      </c>
      <c r="T7283" t="s">
        <v>2704</v>
      </c>
      <c r="U7283" t="s">
        <v>4560</v>
      </c>
      <c r="V7283" s="2">
        <v>396</v>
      </c>
      <c r="W7283" t="s">
        <v>4655</v>
      </c>
      <c r="X7283" s="2">
        <v>0</v>
      </c>
      <c r="Y7283">
        <v>20</v>
      </c>
      <c r="Z7283" t="s">
        <v>2048</v>
      </c>
      <c r="AA7283" s="3">
        <v>0.123002752661705</v>
      </c>
      <c r="AB7283" t="s">
        <v>34511</v>
      </c>
      <c r="AC7283" t="s">
        <v>4562</v>
      </c>
      <c r="AD7283" t="s">
        <v>34512</v>
      </c>
      <c r="AE7283" t="s">
        <v>4655</v>
      </c>
      <c r="AF7283" t="s">
        <v>5201</v>
      </c>
      <c r="AG7283" t="s">
        <v>4564</v>
      </c>
      <c r="AH7283" t="s">
        <v>1605</v>
      </c>
      <c r="AI7283" t="s">
        <v>4903</v>
      </c>
      <c r="AJ7283" t="s">
        <v>3139</v>
      </c>
      <c r="AK7283" t="s">
        <v>34513</v>
      </c>
      <c r="AL7283" s="13" t="s">
        <v>1899</v>
      </c>
      <c r="AM7283" s="14">
        <v>1</v>
      </c>
      <c r="AN7283" s="15" t="s">
        <v>3589</v>
      </c>
    </row>
    <row r="7284" spans="1:40" x14ac:dyDescent="0.3">
      <c r="A7284" s="10" t="str">
        <f>HYPERLINK("http://www.washoecounty.gov/assessor/cama/?parid=522-292-07&amp;CardNumber=1","522-292-07")</f>
        <v>522-292-07</v>
      </c>
      <c r="B7284" t="s">
        <v>4655</v>
      </c>
      <c r="C7284" t="s">
        <v>34514</v>
      </c>
      <c r="D7284" s="1">
        <v>40291</v>
      </c>
      <c r="E7284" s="2">
        <v>66150</v>
      </c>
      <c r="F7284" t="s">
        <v>4553</v>
      </c>
      <c r="G7284" s="17" t="str">
        <f>HYPERLINK("https://www.washoecounty.gov/assessor/cama/?command=sales&amp;parid=52229207","3874250")</f>
        <v>3874250</v>
      </c>
      <c r="H7284" t="s">
        <v>3469</v>
      </c>
      <c r="I7284">
        <v>0</v>
      </c>
      <c r="J7284">
        <v>0</v>
      </c>
      <c r="K7284" t="s">
        <v>4655</v>
      </c>
      <c r="L7284" t="s">
        <v>4655</v>
      </c>
      <c r="M7284" s="2">
        <v>0</v>
      </c>
      <c r="N7284" t="s">
        <v>4655</v>
      </c>
      <c r="O7284">
        <v>0</v>
      </c>
      <c r="P7284">
        <v>0</v>
      </c>
      <c r="Q7284">
        <v>0</v>
      </c>
      <c r="R7284" t="s">
        <v>4655</v>
      </c>
      <c r="S7284" t="s">
        <v>4655</v>
      </c>
      <c r="T7284" t="s">
        <v>4655</v>
      </c>
      <c r="U7284" t="s">
        <v>4655</v>
      </c>
      <c r="V7284" s="2">
        <v>0</v>
      </c>
      <c r="W7284" t="s">
        <v>4655</v>
      </c>
      <c r="X7284" s="2">
        <v>0</v>
      </c>
      <c r="Y7284">
        <v>12</v>
      </c>
      <c r="Z7284" t="s">
        <v>2048</v>
      </c>
      <c r="AA7284" s="3">
        <v>0.31485307216644298</v>
      </c>
      <c r="AB7284" t="s">
        <v>34515</v>
      </c>
      <c r="AC7284" t="s">
        <v>4575</v>
      </c>
      <c r="AD7284" t="s">
        <v>34516</v>
      </c>
      <c r="AE7284" t="s">
        <v>4655</v>
      </c>
      <c r="AF7284" t="s">
        <v>5201</v>
      </c>
      <c r="AG7284" t="s">
        <v>4564</v>
      </c>
      <c r="AH7284" t="s">
        <v>1605</v>
      </c>
      <c r="AI7284" t="s">
        <v>2009</v>
      </c>
      <c r="AJ7284" t="s">
        <v>357</v>
      </c>
      <c r="AK7284" t="s">
        <v>34517</v>
      </c>
      <c r="AL7284" s="13" t="s">
        <v>1899</v>
      </c>
      <c r="AM7284">
        <v>0</v>
      </c>
      <c r="AN7284" s="15" t="s">
        <v>2724</v>
      </c>
    </row>
    <row r="7285" spans="1:40" x14ac:dyDescent="0.3">
      <c r="A7285" s="10" t="str">
        <f>HYPERLINK("http://www.washoecounty.gov/assessor/cama/?parid=522-301-01&amp;CardNumber=1","522-301-01")</f>
        <v>522-301-01</v>
      </c>
      <c r="B7285" t="s">
        <v>4655</v>
      </c>
      <c r="C7285" t="s">
        <v>34518</v>
      </c>
      <c r="D7285" s="1">
        <v>40414</v>
      </c>
      <c r="E7285" s="2">
        <v>295000</v>
      </c>
      <c r="F7285" t="s">
        <v>4567</v>
      </c>
      <c r="G7285" s="17" t="str">
        <f>HYPERLINK("https://www.washoecounty.gov/assessor/cama/?command=sales&amp;parid=52230101","3915065")</f>
        <v>3915065</v>
      </c>
      <c r="H7285" t="s">
        <v>3469</v>
      </c>
      <c r="I7285">
        <v>2000</v>
      </c>
      <c r="J7285">
        <v>2000</v>
      </c>
      <c r="K7285" t="s">
        <v>4554</v>
      </c>
      <c r="L7285" t="s">
        <v>4555</v>
      </c>
      <c r="M7285" s="2">
        <v>2379</v>
      </c>
      <c r="N7285" t="s">
        <v>1245</v>
      </c>
      <c r="O7285">
        <v>4</v>
      </c>
      <c r="P7285">
        <v>3</v>
      </c>
      <c r="Q7285">
        <v>0</v>
      </c>
      <c r="R7285" t="s">
        <v>4557</v>
      </c>
      <c r="S7285" t="s">
        <v>4898</v>
      </c>
      <c r="T7285" t="s">
        <v>2704</v>
      </c>
      <c r="U7285" t="s">
        <v>4560</v>
      </c>
      <c r="V7285" s="2">
        <v>776</v>
      </c>
      <c r="W7285" t="s">
        <v>4655</v>
      </c>
      <c r="X7285" s="2">
        <v>0</v>
      </c>
      <c r="Y7285">
        <v>20</v>
      </c>
      <c r="Z7285" t="s">
        <v>2048</v>
      </c>
      <c r="AA7285" s="3">
        <v>0.32800734043121299</v>
      </c>
      <c r="AB7285" t="s">
        <v>34519</v>
      </c>
      <c r="AC7285" t="s">
        <v>4562</v>
      </c>
      <c r="AD7285" t="s">
        <v>34518</v>
      </c>
      <c r="AE7285" t="s">
        <v>4655</v>
      </c>
      <c r="AF7285" t="s">
        <v>5201</v>
      </c>
      <c r="AG7285" t="s">
        <v>4564</v>
      </c>
      <c r="AH7285" t="s">
        <v>1605</v>
      </c>
      <c r="AI7285" t="s">
        <v>34520</v>
      </c>
      <c r="AJ7285" t="s">
        <v>357</v>
      </c>
      <c r="AK7285" t="s">
        <v>34521</v>
      </c>
      <c r="AL7285" s="13" t="s">
        <v>1899</v>
      </c>
      <c r="AM7285">
        <v>1</v>
      </c>
      <c r="AN7285" s="15" t="s">
        <v>2724</v>
      </c>
    </row>
    <row r="7286" spans="1:40" x14ac:dyDescent="0.3">
      <c r="A7286" s="10" t="str">
        <f>HYPERLINK("http://www.washoecounty.gov/assessor/cama/?parid=522-401-06&amp;CardNumber=1","522-401-06")</f>
        <v>522-401-06</v>
      </c>
      <c r="B7286" t="s">
        <v>4655</v>
      </c>
      <c r="C7286" t="s">
        <v>1099</v>
      </c>
      <c r="D7286" s="1">
        <v>40403</v>
      </c>
      <c r="E7286" s="2">
        <v>215000</v>
      </c>
      <c r="F7286" t="s">
        <v>4567</v>
      </c>
      <c r="G7286" s="17" t="str">
        <f>HYPERLINK("https://www.washoecounty.gov/assessor/cama/?command=sales&amp;parid=52240106","3911995")</f>
        <v>3911995</v>
      </c>
      <c r="H7286" t="s">
        <v>1100</v>
      </c>
      <c r="I7286">
        <v>1998</v>
      </c>
      <c r="J7286">
        <v>1998</v>
      </c>
      <c r="K7286" t="s">
        <v>4554</v>
      </c>
      <c r="L7286" t="s">
        <v>3886</v>
      </c>
      <c r="M7286" s="2">
        <v>2552</v>
      </c>
      <c r="N7286" t="s">
        <v>3147</v>
      </c>
      <c r="O7286">
        <v>3</v>
      </c>
      <c r="P7286">
        <v>3</v>
      </c>
      <c r="Q7286">
        <v>0</v>
      </c>
      <c r="R7286" t="s">
        <v>5281</v>
      </c>
      <c r="S7286" t="s">
        <v>4898</v>
      </c>
      <c r="T7286" t="s">
        <v>2704</v>
      </c>
      <c r="U7286" t="s">
        <v>4560</v>
      </c>
      <c r="V7286" s="2">
        <v>651</v>
      </c>
      <c r="W7286" t="s">
        <v>4655</v>
      </c>
      <c r="X7286" s="2">
        <v>0</v>
      </c>
      <c r="Y7286">
        <v>20</v>
      </c>
      <c r="Z7286" t="s">
        <v>2048</v>
      </c>
      <c r="AA7286" s="3">
        <v>0.17100550234317799</v>
      </c>
      <c r="AB7286" t="s">
        <v>34522</v>
      </c>
      <c r="AC7286" t="s">
        <v>4575</v>
      </c>
      <c r="AD7286" t="s">
        <v>34523</v>
      </c>
      <c r="AE7286" t="s">
        <v>1099</v>
      </c>
      <c r="AF7286" t="s">
        <v>5201</v>
      </c>
      <c r="AG7286" t="s">
        <v>4564</v>
      </c>
      <c r="AH7286" t="s">
        <v>1605</v>
      </c>
      <c r="AI7286" t="s">
        <v>34524</v>
      </c>
      <c r="AJ7286" t="s">
        <v>295</v>
      </c>
      <c r="AK7286" t="s">
        <v>34525</v>
      </c>
      <c r="AL7286" s="13" t="s">
        <v>1899</v>
      </c>
      <c r="AM7286">
        <v>1</v>
      </c>
      <c r="AN7286" s="15" t="s">
        <v>26</v>
      </c>
    </row>
    <row r="7287" spans="1:40" x14ac:dyDescent="0.3">
      <c r="A7287" s="10" t="str">
        <f>HYPERLINK("http://www.washoecounty.gov/assessor/cama/?parid=522-411-01&amp;CardNumber=1","522-411-01")</f>
        <v>522-411-01</v>
      </c>
      <c r="B7287" t="s">
        <v>4655</v>
      </c>
      <c r="C7287" t="s">
        <v>34526</v>
      </c>
      <c r="D7287" s="1">
        <v>40501</v>
      </c>
      <c r="E7287" s="2">
        <v>295000</v>
      </c>
      <c r="F7287" t="s">
        <v>4567</v>
      </c>
      <c r="G7287" s="17" t="str">
        <f>HYPERLINK("https://www.washoecounty.gov/assessor/cama/?command=sales&amp;parid=52241101","3944733")</f>
        <v>3944733</v>
      </c>
      <c r="H7287" t="s">
        <v>2725</v>
      </c>
      <c r="I7287">
        <v>1998</v>
      </c>
      <c r="J7287">
        <v>1998</v>
      </c>
      <c r="K7287" t="s">
        <v>4554</v>
      </c>
      <c r="L7287" t="s">
        <v>3974</v>
      </c>
      <c r="M7287" s="2">
        <v>2728</v>
      </c>
      <c r="N7287" t="s">
        <v>3147</v>
      </c>
      <c r="O7287">
        <v>3</v>
      </c>
      <c r="P7287">
        <v>3</v>
      </c>
      <c r="Q7287">
        <v>0</v>
      </c>
      <c r="R7287" t="s">
        <v>5281</v>
      </c>
      <c r="S7287" t="s">
        <v>4135</v>
      </c>
      <c r="T7287" t="s">
        <v>2704</v>
      </c>
      <c r="U7287" t="s">
        <v>4560</v>
      </c>
      <c r="V7287" s="2">
        <v>635</v>
      </c>
      <c r="W7287" t="s">
        <v>4655</v>
      </c>
      <c r="X7287" s="2">
        <v>0</v>
      </c>
      <c r="Y7287">
        <v>20</v>
      </c>
      <c r="Z7287" t="s">
        <v>2048</v>
      </c>
      <c r="AA7287" s="3">
        <v>0.34699264168739319</v>
      </c>
      <c r="AB7287" t="s">
        <v>34527</v>
      </c>
      <c r="AC7287" t="s">
        <v>4562</v>
      </c>
      <c r="AD7287" t="s">
        <v>34526</v>
      </c>
      <c r="AE7287" t="s">
        <v>4655</v>
      </c>
      <c r="AF7287" t="s">
        <v>5201</v>
      </c>
      <c r="AG7287" t="s">
        <v>4564</v>
      </c>
      <c r="AH7287" t="s">
        <v>1605</v>
      </c>
      <c r="AI7287" t="s">
        <v>34528</v>
      </c>
      <c r="AJ7287" t="s">
        <v>2726</v>
      </c>
      <c r="AK7287" t="s">
        <v>34529</v>
      </c>
      <c r="AL7287" s="13" t="s">
        <v>1899</v>
      </c>
      <c r="AM7287">
        <v>1</v>
      </c>
      <c r="AN7287" s="15" t="s">
        <v>26</v>
      </c>
    </row>
    <row r="7288" spans="1:40" x14ac:dyDescent="0.3">
      <c r="A7288" s="10" t="str">
        <f>HYPERLINK("http://www.washoecounty.gov/assessor/cama/?parid=522-411-13&amp;CardNumber=1","522-411-13")</f>
        <v>522-411-13</v>
      </c>
      <c r="B7288" t="s">
        <v>4655</v>
      </c>
      <c r="C7288" t="s">
        <v>34530</v>
      </c>
      <c r="D7288" s="1">
        <v>40239</v>
      </c>
      <c r="E7288" s="2">
        <v>240000</v>
      </c>
      <c r="F7288" t="s">
        <v>4567</v>
      </c>
      <c r="G7288" s="17" t="str">
        <f>HYPERLINK("https://www.washoecounty.gov/assessor/cama/?command=sales&amp;parid=52241113","3854318")</f>
        <v>3854318</v>
      </c>
      <c r="H7288" t="s">
        <v>2725</v>
      </c>
      <c r="I7288">
        <v>1997</v>
      </c>
      <c r="J7288">
        <v>1997</v>
      </c>
      <c r="K7288" t="s">
        <v>4554</v>
      </c>
      <c r="L7288" t="s">
        <v>4555</v>
      </c>
      <c r="M7288" s="2">
        <v>2343</v>
      </c>
      <c r="N7288" t="s">
        <v>3147</v>
      </c>
      <c r="O7288">
        <v>4</v>
      </c>
      <c r="P7288">
        <v>2</v>
      </c>
      <c r="Q7288">
        <v>1</v>
      </c>
      <c r="R7288" t="s">
        <v>5281</v>
      </c>
      <c r="S7288" t="s">
        <v>4135</v>
      </c>
      <c r="T7288" t="s">
        <v>2704</v>
      </c>
      <c r="U7288" t="s">
        <v>4560</v>
      </c>
      <c r="V7288" s="2">
        <v>612</v>
      </c>
      <c r="W7288" t="s">
        <v>4655</v>
      </c>
      <c r="X7288" s="2">
        <v>0</v>
      </c>
      <c r="Y7288">
        <v>20</v>
      </c>
      <c r="Z7288" t="s">
        <v>2048</v>
      </c>
      <c r="AA7288" s="3">
        <v>0.30199724435806302</v>
      </c>
      <c r="AB7288" t="s">
        <v>34531</v>
      </c>
      <c r="AC7288" t="s">
        <v>4562</v>
      </c>
      <c r="AD7288" t="s">
        <v>34530</v>
      </c>
      <c r="AE7288" t="s">
        <v>4655</v>
      </c>
      <c r="AF7288" t="s">
        <v>5201</v>
      </c>
      <c r="AG7288" t="s">
        <v>4564</v>
      </c>
      <c r="AH7288" t="s">
        <v>1605</v>
      </c>
      <c r="AI7288" t="s">
        <v>34532</v>
      </c>
      <c r="AJ7288" t="s">
        <v>2726</v>
      </c>
      <c r="AK7288" t="s">
        <v>34533</v>
      </c>
      <c r="AL7288" s="13" t="s">
        <v>1899</v>
      </c>
      <c r="AM7288">
        <v>1</v>
      </c>
      <c r="AN7288" s="15" t="s">
        <v>26</v>
      </c>
    </row>
    <row r="7289" spans="1:40" x14ac:dyDescent="0.3">
      <c r="A7289" s="10" t="str">
        <f>HYPERLINK("http://www.washoecounty.gov/assessor/cama/?parid=522-412-06&amp;CardNumber=1","522-412-06")</f>
        <v>522-412-06</v>
      </c>
      <c r="B7289" t="s">
        <v>4655</v>
      </c>
      <c r="C7289" t="s">
        <v>34534</v>
      </c>
      <c r="D7289" s="1">
        <v>40368</v>
      </c>
      <c r="E7289" s="2">
        <v>317500</v>
      </c>
      <c r="F7289" t="s">
        <v>4567</v>
      </c>
      <c r="G7289" s="17" t="str">
        <f>HYPERLINK("https://www.washoecounty.gov/assessor/cama/?command=sales&amp;parid=52241206","3899820")</f>
        <v>3899820</v>
      </c>
      <c r="H7289" t="s">
        <v>2725</v>
      </c>
      <c r="I7289">
        <v>1997</v>
      </c>
      <c r="J7289">
        <v>1997</v>
      </c>
      <c r="K7289" t="s">
        <v>4554</v>
      </c>
      <c r="L7289" t="s">
        <v>3974</v>
      </c>
      <c r="M7289" s="2">
        <v>3236</v>
      </c>
      <c r="N7289" t="s">
        <v>3147</v>
      </c>
      <c r="O7289">
        <v>3</v>
      </c>
      <c r="P7289">
        <v>4</v>
      </c>
      <c r="Q7289">
        <v>0</v>
      </c>
      <c r="R7289" t="s">
        <v>5281</v>
      </c>
      <c r="S7289" t="s">
        <v>4898</v>
      </c>
      <c r="T7289" t="s">
        <v>2704</v>
      </c>
      <c r="U7289" t="s">
        <v>5631</v>
      </c>
      <c r="V7289" s="2">
        <v>609</v>
      </c>
      <c r="W7289" t="s">
        <v>4655</v>
      </c>
      <c r="X7289" s="2">
        <v>0</v>
      </c>
      <c r="Y7289">
        <v>20</v>
      </c>
      <c r="Z7289" t="s">
        <v>2048</v>
      </c>
      <c r="AA7289" s="3">
        <v>0.18099173903465299</v>
      </c>
      <c r="AB7289" t="s">
        <v>34535</v>
      </c>
      <c r="AC7289" t="s">
        <v>4562</v>
      </c>
      <c r="AD7289" t="s">
        <v>34536</v>
      </c>
      <c r="AE7289" t="s">
        <v>4655</v>
      </c>
      <c r="AF7289" t="s">
        <v>34537</v>
      </c>
      <c r="AG7289" t="s">
        <v>2782</v>
      </c>
      <c r="AH7289" t="s">
        <v>26303</v>
      </c>
      <c r="AI7289" t="s">
        <v>1328</v>
      </c>
      <c r="AJ7289" t="s">
        <v>2726</v>
      </c>
      <c r="AK7289" t="s">
        <v>34538</v>
      </c>
      <c r="AL7289" s="13" t="s">
        <v>1899</v>
      </c>
      <c r="AM7289">
        <v>1</v>
      </c>
      <c r="AN7289" s="15" t="s">
        <v>26</v>
      </c>
    </row>
    <row r="7290" spans="1:40" x14ac:dyDescent="0.3">
      <c r="A7290" s="10" t="str">
        <f>HYPERLINK("http://www.washoecounty.gov/assessor/cama/?parid=522-422-09&amp;CardNumber=1","522-422-09")</f>
        <v>522-422-09</v>
      </c>
      <c r="B7290" t="s">
        <v>4655</v>
      </c>
      <c r="C7290" t="s">
        <v>34539</v>
      </c>
      <c r="D7290" s="1">
        <v>40235</v>
      </c>
      <c r="E7290" s="2">
        <v>274900</v>
      </c>
      <c r="F7290" t="s">
        <v>4553</v>
      </c>
      <c r="G7290" s="17" t="str">
        <f>HYPERLINK("https://www.washoecounty.gov/assessor/cama/?command=sales&amp;parid=52242209","3853426")</f>
        <v>3853426</v>
      </c>
      <c r="H7290" t="s">
        <v>2772</v>
      </c>
      <c r="I7290">
        <v>2000</v>
      </c>
      <c r="J7290">
        <v>2000</v>
      </c>
      <c r="K7290" t="s">
        <v>4554</v>
      </c>
      <c r="L7290" t="s">
        <v>3974</v>
      </c>
      <c r="M7290" s="2">
        <v>3099</v>
      </c>
      <c r="N7290" t="s">
        <v>3147</v>
      </c>
      <c r="O7290">
        <v>4</v>
      </c>
      <c r="P7290">
        <v>3</v>
      </c>
      <c r="Q7290">
        <v>0</v>
      </c>
      <c r="R7290" t="s">
        <v>5281</v>
      </c>
      <c r="S7290" t="s">
        <v>4898</v>
      </c>
      <c r="T7290" t="s">
        <v>2704</v>
      </c>
      <c r="U7290" t="s">
        <v>5631</v>
      </c>
      <c r="V7290" s="2">
        <v>749</v>
      </c>
      <c r="W7290" t="s">
        <v>4655</v>
      </c>
      <c r="X7290" s="2">
        <v>0</v>
      </c>
      <c r="Y7290">
        <v>20</v>
      </c>
      <c r="Z7290" t="s">
        <v>2048</v>
      </c>
      <c r="AA7290" s="3">
        <v>0.176010102033615</v>
      </c>
      <c r="AB7290" t="s">
        <v>34540</v>
      </c>
      <c r="AC7290" t="s">
        <v>4562</v>
      </c>
      <c r="AD7290" t="s">
        <v>34541</v>
      </c>
      <c r="AE7290" t="s">
        <v>4655</v>
      </c>
      <c r="AF7290" t="s">
        <v>5201</v>
      </c>
      <c r="AG7290" t="s">
        <v>4564</v>
      </c>
      <c r="AH7290" t="s">
        <v>1605</v>
      </c>
      <c r="AI7290" t="s">
        <v>4045</v>
      </c>
      <c r="AJ7290" t="s">
        <v>2774</v>
      </c>
      <c r="AK7290" t="s">
        <v>34542</v>
      </c>
      <c r="AL7290" s="13" t="s">
        <v>1899</v>
      </c>
      <c r="AM7290">
        <v>1</v>
      </c>
      <c r="AN7290" s="15" t="s">
        <v>26</v>
      </c>
    </row>
    <row r="7291" spans="1:40" x14ac:dyDescent="0.3">
      <c r="A7291" s="10" t="str">
        <f>HYPERLINK("http://www.washoecounty.gov/assessor/cama/?parid=522-422-12&amp;CardNumber=1","522-422-12")</f>
        <v>522-422-12</v>
      </c>
      <c r="B7291" t="s">
        <v>4655</v>
      </c>
      <c r="C7291" t="s">
        <v>34543</v>
      </c>
      <c r="D7291" s="1">
        <v>40431</v>
      </c>
      <c r="E7291" s="2">
        <v>225000</v>
      </c>
      <c r="F7291" t="s">
        <v>4567</v>
      </c>
      <c r="G7291" s="17" t="str">
        <f>HYPERLINK("https://www.washoecounty.gov/assessor/cama/?command=sales&amp;parid=52242212","3921049")</f>
        <v>3921049</v>
      </c>
      <c r="H7291" t="s">
        <v>2772</v>
      </c>
      <c r="I7291">
        <v>2001</v>
      </c>
      <c r="J7291">
        <v>2001</v>
      </c>
      <c r="K7291" t="s">
        <v>4554</v>
      </c>
      <c r="L7291" t="s">
        <v>3974</v>
      </c>
      <c r="M7291" s="2">
        <v>2076</v>
      </c>
      <c r="N7291" t="s">
        <v>3147</v>
      </c>
      <c r="O7291">
        <v>4</v>
      </c>
      <c r="P7291">
        <v>2</v>
      </c>
      <c r="Q7291">
        <v>1</v>
      </c>
      <c r="R7291" t="s">
        <v>4557</v>
      </c>
      <c r="S7291" t="s">
        <v>4898</v>
      </c>
      <c r="T7291" t="s">
        <v>2704</v>
      </c>
      <c r="U7291" t="s">
        <v>4560</v>
      </c>
      <c r="V7291" s="2">
        <v>666</v>
      </c>
      <c r="W7291" t="s">
        <v>4655</v>
      </c>
      <c r="X7291" s="2">
        <v>0</v>
      </c>
      <c r="Y7291">
        <v>20</v>
      </c>
      <c r="Z7291" t="s">
        <v>2048</v>
      </c>
      <c r="AA7291" s="3">
        <v>0.16099633276462599</v>
      </c>
      <c r="AB7291" t="s">
        <v>3522</v>
      </c>
      <c r="AC7291" t="s">
        <v>4575</v>
      </c>
      <c r="AD7291" t="s">
        <v>34544</v>
      </c>
      <c r="AE7291" t="s">
        <v>4655</v>
      </c>
      <c r="AF7291" t="s">
        <v>4619</v>
      </c>
      <c r="AG7291" t="s">
        <v>4584</v>
      </c>
      <c r="AH7291" t="s">
        <v>22939</v>
      </c>
      <c r="AI7291" t="s">
        <v>34545</v>
      </c>
      <c r="AJ7291" t="s">
        <v>2774</v>
      </c>
      <c r="AK7291" t="s">
        <v>34546</v>
      </c>
      <c r="AL7291" s="13" t="s">
        <v>1899</v>
      </c>
      <c r="AM7291" s="14">
        <v>1</v>
      </c>
      <c r="AN7291" s="15" t="s">
        <v>26</v>
      </c>
    </row>
    <row r="7292" spans="1:40" x14ac:dyDescent="0.3">
      <c r="A7292" s="10" t="str">
        <f>HYPERLINK("http://www.washoecounty.gov/assessor/cama/?parid=522-432-06&amp;CardNumber=1","522-432-06")</f>
        <v>522-432-06</v>
      </c>
      <c r="B7292" t="s">
        <v>4655</v>
      </c>
      <c r="C7292" t="s">
        <v>34547</v>
      </c>
      <c r="D7292" s="1">
        <v>40274</v>
      </c>
      <c r="E7292" s="2">
        <v>259900</v>
      </c>
      <c r="F7292" t="s">
        <v>4553</v>
      </c>
      <c r="G7292" s="17" t="str">
        <f>HYPERLINK("https://www.washoecounty.gov/assessor/cama/?command=sales&amp;parid=52243206","3868210")</f>
        <v>3868210</v>
      </c>
      <c r="H7292" t="s">
        <v>2772</v>
      </c>
      <c r="I7292">
        <v>1999</v>
      </c>
      <c r="J7292">
        <v>1999</v>
      </c>
      <c r="K7292" t="s">
        <v>4554</v>
      </c>
      <c r="L7292" t="s">
        <v>4555</v>
      </c>
      <c r="M7292" s="2">
        <v>2349</v>
      </c>
      <c r="N7292" t="s">
        <v>3147</v>
      </c>
      <c r="O7292">
        <v>3</v>
      </c>
      <c r="P7292">
        <v>2</v>
      </c>
      <c r="Q7292">
        <v>0</v>
      </c>
      <c r="R7292" t="s">
        <v>4557</v>
      </c>
      <c r="S7292" t="s">
        <v>4898</v>
      </c>
      <c r="T7292" t="s">
        <v>2704</v>
      </c>
      <c r="U7292" t="s">
        <v>4560</v>
      </c>
      <c r="V7292" s="2">
        <v>447</v>
      </c>
      <c r="W7292" t="s">
        <v>4655</v>
      </c>
      <c r="X7292" s="2">
        <v>0</v>
      </c>
      <c r="Y7292">
        <v>20</v>
      </c>
      <c r="Z7292" t="s">
        <v>2048</v>
      </c>
      <c r="AA7292" s="3">
        <v>0.205004587769508</v>
      </c>
      <c r="AB7292" t="s">
        <v>34548</v>
      </c>
      <c r="AC7292" t="s">
        <v>4562</v>
      </c>
      <c r="AD7292" t="s">
        <v>34549</v>
      </c>
      <c r="AE7292" t="s">
        <v>4655</v>
      </c>
      <c r="AF7292" t="s">
        <v>4809</v>
      </c>
      <c r="AG7292" t="s">
        <v>4564</v>
      </c>
      <c r="AH7292" t="s">
        <v>1605</v>
      </c>
      <c r="AI7292" t="s">
        <v>3081</v>
      </c>
      <c r="AJ7292" t="s">
        <v>2774</v>
      </c>
      <c r="AK7292" t="s">
        <v>34550</v>
      </c>
      <c r="AL7292" s="13" t="s">
        <v>1899</v>
      </c>
      <c r="AM7292" s="14">
        <v>1</v>
      </c>
      <c r="AN7292" s="15" t="s">
        <v>26</v>
      </c>
    </row>
    <row r="7293" spans="1:40" x14ac:dyDescent="0.3">
      <c r="A7293" s="10" t="str">
        <f>HYPERLINK("http://www.washoecounty.gov/assessor/cama/?parid=522-451-09&amp;CardNumber=1","522-451-09")</f>
        <v>522-451-09</v>
      </c>
      <c r="B7293" t="s">
        <v>4655</v>
      </c>
      <c r="C7293" t="s">
        <v>34551</v>
      </c>
      <c r="D7293" s="1">
        <v>40207</v>
      </c>
      <c r="E7293" s="2">
        <v>190000</v>
      </c>
      <c r="F7293" t="s">
        <v>4553</v>
      </c>
      <c r="G7293" s="17" t="str">
        <f>HYPERLINK("https://www.washoecounty.gov/assessor/cama/?command=sales&amp;parid=52245109","3844222")</f>
        <v>3844222</v>
      </c>
      <c r="H7293" t="s">
        <v>3633</v>
      </c>
      <c r="I7293">
        <v>1998</v>
      </c>
      <c r="J7293">
        <v>1998</v>
      </c>
      <c r="K7293" t="s">
        <v>4554</v>
      </c>
      <c r="L7293" t="s">
        <v>3974</v>
      </c>
      <c r="M7293" s="2">
        <v>2315</v>
      </c>
      <c r="N7293" t="s">
        <v>3147</v>
      </c>
      <c r="O7293">
        <v>4</v>
      </c>
      <c r="P7293">
        <v>2</v>
      </c>
      <c r="Q7293">
        <v>1</v>
      </c>
      <c r="R7293" t="s">
        <v>4557</v>
      </c>
      <c r="S7293" t="s">
        <v>4135</v>
      </c>
      <c r="T7293" t="s">
        <v>2704</v>
      </c>
      <c r="U7293" t="s">
        <v>5631</v>
      </c>
      <c r="V7293" s="2">
        <v>613</v>
      </c>
      <c r="W7293" t="s">
        <v>4655</v>
      </c>
      <c r="X7293" s="2">
        <v>0</v>
      </c>
      <c r="Y7293">
        <v>20</v>
      </c>
      <c r="Z7293" t="s">
        <v>2048</v>
      </c>
      <c r="AA7293" s="3">
        <v>0.16400367021560699</v>
      </c>
      <c r="AB7293" t="s">
        <v>34552</v>
      </c>
      <c r="AC7293" t="s">
        <v>4562</v>
      </c>
      <c r="AD7293" t="s">
        <v>34553</v>
      </c>
      <c r="AE7293" t="s">
        <v>4655</v>
      </c>
      <c r="AF7293" t="s">
        <v>4809</v>
      </c>
      <c r="AG7293" t="s">
        <v>4564</v>
      </c>
      <c r="AH7293" t="s">
        <v>1605</v>
      </c>
      <c r="AI7293" t="s">
        <v>1149</v>
      </c>
      <c r="AJ7293" t="s">
        <v>3634</v>
      </c>
      <c r="AK7293" t="s">
        <v>34554</v>
      </c>
      <c r="AL7293" s="13" t="s">
        <v>1899</v>
      </c>
      <c r="AM7293" s="14">
        <v>1</v>
      </c>
      <c r="AN7293" s="15" t="s">
        <v>26</v>
      </c>
    </row>
    <row r="7294" spans="1:40" x14ac:dyDescent="0.3">
      <c r="A7294" s="10" t="str">
        <f>HYPERLINK("http://www.washoecounty.gov/assessor/cama/?parid=522-451-10&amp;CardNumber=1","522-451-10")</f>
        <v>522-451-10</v>
      </c>
      <c r="B7294" t="s">
        <v>4655</v>
      </c>
      <c r="C7294" t="s">
        <v>34555</v>
      </c>
      <c r="D7294" s="1">
        <v>40298</v>
      </c>
      <c r="E7294" s="2">
        <v>217500</v>
      </c>
      <c r="F7294" t="s">
        <v>4567</v>
      </c>
      <c r="G7294" s="17" t="str">
        <f>HYPERLINK("https://www.washoecounty.gov/assessor/cama/?command=sales&amp;parid=52245110","3877123")</f>
        <v>3877123</v>
      </c>
      <c r="H7294" t="s">
        <v>3633</v>
      </c>
      <c r="I7294">
        <v>1998</v>
      </c>
      <c r="J7294">
        <v>1998</v>
      </c>
      <c r="K7294" t="s">
        <v>4554</v>
      </c>
      <c r="L7294" t="s">
        <v>4555</v>
      </c>
      <c r="M7294" s="2">
        <v>1981</v>
      </c>
      <c r="N7294" t="s">
        <v>3147</v>
      </c>
      <c r="O7294">
        <v>3</v>
      </c>
      <c r="P7294">
        <v>2</v>
      </c>
      <c r="Q7294">
        <v>0</v>
      </c>
      <c r="R7294" t="s">
        <v>5281</v>
      </c>
      <c r="S7294" t="s">
        <v>4135</v>
      </c>
      <c r="T7294" t="s">
        <v>2704</v>
      </c>
      <c r="U7294" t="s">
        <v>4560</v>
      </c>
      <c r="V7294" s="2">
        <v>596</v>
      </c>
      <c r="W7294" t="s">
        <v>4655</v>
      </c>
      <c r="X7294" s="2">
        <v>0</v>
      </c>
      <c r="Y7294">
        <v>20</v>
      </c>
      <c r="Z7294" t="s">
        <v>2048</v>
      </c>
      <c r="AA7294" s="3">
        <v>0.16400367021560699</v>
      </c>
      <c r="AB7294" t="s">
        <v>34556</v>
      </c>
      <c r="AC7294" t="s">
        <v>4575</v>
      </c>
      <c r="AD7294" t="s">
        <v>34555</v>
      </c>
      <c r="AE7294" t="s">
        <v>4655</v>
      </c>
      <c r="AF7294" t="s">
        <v>5201</v>
      </c>
      <c r="AG7294" t="s">
        <v>4564</v>
      </c>
      <c r="AH7294" t="s">
        <v>1605</v>
      </c>
      <c r="AI7294" t="s">
        <v>34557</v>
      </c>
      <c r="AJ7294" t="s">
        <v>3634</v>
      </c>
      <c r="AK7294" t="s">
        <v>34558</v>
      </c>
      <c r="AL7294" s="13" t="s">
        <v>1899</v>
      </c>
      <c r="AM7294">
        <v>1</v>
      </c>
      <c r="AN7294" s="15" t="s">
        <v>26</v>
      </c>
    </row>
    <row r="7295" spans="1:40" x14ac:dyDescent="0.3">
      <c r="A7295" s="10" t="str">
        <f>HYPERLINK("http://www.washoecounty.gov/assessor/cama/?parid=522-452-07&amp;CardNumber=1","522-452-07")</f>
        <v>522-452-07</v>
      </c>
      <c r="B7295" t="s">
        <v>4655</v>
      </c>
      <c r="C7295" t="s">
        <v>34559</v>
      </c>
      <c r="D7295" s="1">
        <v>40326</v>
      </c>
      <c r="E7295" s="2">
        <v>250000</v>
      </c>
      <c r="F7295" t="s">
        <v>4567</v>
      </c>
      <c r="G7295" s="17" t="str">
        <f>HYPERLINK("https://www.washoecounty.gov/assessor/cama/?command=sales&amp;parid=52245207","3886349")</f>
        <v>3886349</v>
      </c>
      <c r="H7295" t="s">
        <v>3633</v>
      </c>
      <c r="I7295">
        <v>1999</v>
      </c>
      <c r="J7295">
        <v>1999</v>
      </c>
      <c r="K7295" t="s">
        <v>4554</v>
      </c>
      <c r="L7295" t="s">
        <v>4555</v>
      </c>
      <c r="M7295" s="2">
        <v>1981</v>
      </c>
      <c r="N7295" t="s">
        <v>3147</v>
      </c>
      <c r="O7295">
        <v>2</v>
      </c>
      <c r="P7295">
        <v>2</v>
      </c>
      <c r="Q7295">
        <v>0</v>
      </c>
      <c r="R7295" t="s">
        <v>5281</v>
      </c>
      <c r="S7295" t="s">
        <v>4135</v>
      </c>
      <c r="T7295" t="s">
        <v>2704</v>
      </c>
      <c r="U7295" t="s">
        <v>4560</v>
      </c>
      <c r="V7295" s="2">
        <v>596</v>
      </c>
      <c r="W7295" t="s">
        <v>4655</v>
      </c>
      <c r="X7295" s="2">
        <v>0</v>
      </c>
      <c r="Y7295">
        <v>20</v>
      </c>
      <c r="Z7295" t="s">
        <v>2048</v>
      </c>
      <c r="AA7295" s="3">
        <v>0.18298898637294769</v>
      </c>
      <c r="AB7295" t="s">
        <v>34560</v>
      </c>
      <c r="AC7295" t="s">
        <v>4562</v>
      </c>
      <c r="AD7295" t="s">
        <v>34559</v>
      </c>
      <c r="AE7295" t="s">
        <v>4655</v>
      </c>
      <c r="AF7295" t="s">
        <v>5201</v>
      </c>
      <c r="AG7295" t="s">
        <v>4564</v>
      </c>
      <c r="AH7295" t="s">
        <v>1605</v>
      </c>
      <c r="AI7295" t="s">
        <v>34561</v>
      </c>
      <c r="AJ7295" t="s">
        <v>3634</v>
      </c>
      <c r="AK7295" t="s">
        <v>34562</v>
      </c>
      <c r="AL7295" s="13" t="s">
        <v>1899</v>
      </c>
      <c r="AM7295" s="14">
        <v>1</v>
      </c>
      <c r="AN7295" s="15" t="s">
        <v>26</v>
      </c>
    </row>
    <row r="7296" spans="1:40" x14ac:dyDescent="0.3">
      <c r="A7296" s="10" t="str">
        <f>HYPERLINK("http://www.washoecounty.gov/assessor/cama/?parid=522-471-09&amp;CardNumber=1","522-471-09")</f>
        <v>522-471-09</v>
      </c>
      <c r="B7296" t="s">
        <v>4655</v>
      </c>
      <c r="C7296" t="s">
        <v>34563</v>
      </c>
      <c r="D7296" s="1">
        <v>40359</v>
      </c>
      <c r="E7296" s="2">
        <v>180000</v>
      </c>
      <c r="F7296" t="s">
        <v>4567</v>
      </c>
      <c r="G7296" s="17" t="str">
        <f>HYPERLINK("https://www.washoecounty.gov/assessor/cama/?command=sales&amp;parid=52247109","3897495")</f>
        <v>3897495</v>
      </c>
      <c r="H7296" t="s">
        <v>5014</v>
      </c>
      <c r="I7296">
        <v>1999</v>
      </c>
      <c r="J7296">
        <v>1999</v>
      </c>
      <c r="K7296" t="s">
        <v>4554</v>
      </c>
      <c r="L7296" t="s">
        <v>3974</v>
      </c>
      <c r="M7296" s="2">
        <v>1825</v>
      </c>
      <c r="N7296" t="s">
        <v>5280</v>
      </c>
      <c r="O7296">
        <v>3</v>
      </c>
      <c r="P7296">
        <v>2</v>
      </c>
      <c r="Q7296">
        <v>1</v>
      </c>
      <c r="R7296" t="s">
        <v>5281</v>
      </c>
      <c r="S7296" t="s">
        <v>4135</v>
      </c>
      <c r="T7296" t="s">
        <v>2704</v>
      </c>
      <c r="U7296" t="s">
        <v>5631</v>
      </c>
      <c r="V7296" s="2">
        <v>432</v>
      </c>
      <c r="W7296" t="s">
        <v>4655</v>
      </c>
      <c r="X7296" s="2">
        <v>0</v>
      </c>
      <c r="Y7296">
        <v>20</v>
      </c>
      <c r="Z7296" t="s">
        <v>2048</v>
      </c>
      <c r="AA7296" s="3">
        <v>0.103007346391678</v>
      </c>
      <c r="AB7296" t="s">
        <v>34564</v>
      </c>
      <c r="AC7296" t="s">
        <v>4562</v>
      </c>
      <c r="AD7296" t="s">
        <v>34563</v>
      </c>
      <c r="AE7296" t="s">
        <v>4655</v>
      </c>
      <c r="AF7296" t="s">
        <v>5201</v>
      </c>
      <c r="AG7296" t="s">
        <v>4564</v>
      </c>
      <c r="AH7296" t="s">
        <v>1605</v>
      </c>
      <c r="AI7296" t="s">
        <v>34565</v>
      </c>
      <c r="AJ7296" t="s">
        <v>5015</v>
      </c>
      <c r="AK7296" t="s">
        <v>34566</v>
      </c>
      <c r="AL7296" s="13" t="s">
        <v>1899</v>
      </c>
      <c r="AM7296">
        <v>1</v>
      </c>
      <c r="AN7296" s="15" t="s">
        <v>3589</v>
      </c>
    </row>
    <row r="7297" spans="1:40" x14ac:dyDescent="0.3">
      <c r="A7297" s="10" t="str">
        <f>HYPERLINK("http://www.washoecounty.gov/assessor/cama/?parid=522-471-12&amp;CardNumber=1","522-471-12")</f>
        <v>522-471-12</v>
      </c>
      <c r="B7297" t="s">
        <v>4655</v>
      </c>
      <c r="C7297" t="s">
        <v>34567</v>
      </c>
      <c r="D7297" s="1">
        <v>40438</v>
      </c>
      <c r="E7297" s="2">
        <v>155000</v>
      </c>
      <c r="F7297" t="s">
        <v>4567</v>
      </c>
      <c r="G7297" s="17" t="str">
        <f>HYPERLINK("https://www.washoecounty.gov/assessor/cama/?command=sales&amp;parid=52247112","3923566")</f>
        <v>3923566</v>
      </c>
      <c r="H7297" t="s">
        <v>5014</v>
      </c>
      <c r="I7297">
        <v>1999</v>
      </c>
      <c r="J7297">
        <v>1999</v>
      </c>
      <c r="K7297" t="s">
        <v>4554</v>
      </c>
      <c r="L7297" t="s">
        <v>4555</v>
      </c>
      <c r="M7297" s="2">
        <v>1631</v>
      </c>
      <c r="N7297" t="s">
        <v>5280</v>
      </c>
      <c r="O7297">
        <v>3</v>
      </c>
      <c r="P7297">
        <v>2</v>
      </c>
      <c r="Q7297">
        <v>0</v>
      </c>
      <c r="R7297" t="s">
        <v>5281</v>
      </c>
      <c r="S7297" t="s">
        <v>4135</v>
      </c>
      <c r="T7297" t="s">
        <v>2704</v>
      </c>
      <c r="U7297" t="s">
        <v>4560</v>
      </c>
      <c r="V7297" s="2">
        <v>404</v>
      </c>
      <c r="W7297" t="s">
        <v>4655</v>
      </c>
      <c r="X7297" s="2">
        <v>0</v>
      </c>
      <c r="Y7297">
        <v>20</v>
      </c>
      <c r="Z7297" t="s">
        <v>2048</v>
      </c>
      <c r="AA7297" s="3">
        <v>0.17398989200591999</v>
      </c>
      <c r="AB7297" t="s">
        <v>34568</v>
      </c>
      <c r="AC7297" t="s">
        <v>4562</v>
      </c>
      <c r="AD7297" t="s">
        <v>34567</v>
      </c>
      <c r="AE7297" t="s">
        <v>4655</v>
      </c>
      <c r="AF7297" t="s">
        <v>5201</v>
      </c>
      <c r="AG7297" t="s">
        <v>4564</v>
      </c>
      <c r="AH7297" t="s">
        <v>1605</v>
      </c>
      <c r="AI7297" t="s">
        <v>34569</v>
      </c>
      <c r="AJ7297" t="s">
        <v>5015</v>
      </c>
      <c r="AK7297" t="s">
        <v>34570</v>
      </c>
      <c r="AL7297" s="13" t="s">
        <v>1899</v>
      </c>
      <c r="AM7297" s="14">
        <v>1</v>
      </c>
      <c r="AN7297" s="15" t="s">
        <v>3589</v>
      </c>
    </row>
    <row r="7298" spans="1:40" x14ac:dyDescent="0.3">
      <c r="A7298" s="10" t="str">
        <f>HYPERLINK("http://www.washoecounty.gov/assessor/cama/?parid=522-473-02&amp;CardNumber=1","522-473-02")</f>
        <v>522-473-02</v>
      </c>
      <c r="B7298" t="s">
        <v>4655</v>
      </c>
      <c r="C7298" t="s">
        <v>34571</v>
      </c>
      <c r="D7298" s="1">
        <v>40490</v>
      </c>
      <c r="E7298" s="2">
        <v>174000</v>
      </c>
      <c r="F7298" t="s">
        <v>4553</v>
      </c>
      <c r="G7298" s="17" t="str">
        <f>HYPERLINK("https://www.washoecounty.gov/assessor/cama/?command=sales&amp;parid=52247302","3940885")</f>
        <v>3940885</v>
      </c>
      <c r="H7298" t="s">
        <v>5014</v>
      </c>
      <c r="I7298">
        <v>1999</v>
      </c>
      <c r="J7298">
        <v>1999</v>
      </c>
      <c r="K7298" t="s">
        <v>4554</v>
      </c>
      <c r="L7298" t="s">
        <v>3974</v>
      </c>
      <c r="M7298" s="2">
        <v>1785</v>
      </c>
      <c r="N7298" t="s">
        <v>5280</v>
      </c>
      <c r="O7298">
        <v>3</v>
      </c>
      <c r="P7298">
        <v>2</v>
      </c>
      <c r="Q7298">
        <v>1</v>
      </c>
      <c r="R7298" t="s">
        <v>4557</v>
      </c>
      <c r="S7298" t="s">
        <v>4135</v>
      </c>
      <c r="T7298" t="s">
        <v>2704</v>
      </c>
      <c r="U7298" t="s">
        <v>5631</v>
      </c>
      <c r="V7298" s="2">
        <v>432</v>
      </c>
      <c r="W7298" t="s">
        <v>4655</v>
      </c>
      <c r="X7298" s="2">
        <v>0</v>
      </c>
      <c r="Y7298">
        <v>20</v>
      </c>
      <c r="Z7298" t="s">
        <v>2048</v>
      </c>
      <c r="AA7298" s="3">
        <v>0.13298897445201899</v>
      </c>
      <c r="AB7298" t="s">
        <v>34572</v>
      </c>
      <c r="AC7298" t="s">
        <v>4575</v>
      </c>
      <c r="AD7298" t="s">
        <v>34573</v>
      </c>
      <c r="AE7298" t="s">
        <v>4655</v>
      </c>
      <c r="AF7298" t="s">
        <v>4809</v>
      </c>
      <c r="AG7298" t="s">
        <v>4564</v>
      </c>
      <c r="AH7298" t="s">
        <v>1605</v>
      </c>
      <c r="AI7298" t="s">
        <v>34574</v>
      </c>
      <c r="AJ7298" t="s">
        <v>5015</v>
      </c>
      <c r="AK7298" t="s">
        <v>34575</v>
      </c>
      <c r="AL7298" s="13" t="s">
        <v>1899</v>
      </c>
      <c r="AM7298" s="14">
        <v>1</v>
      </c>
      <c r="AN7298" s="15" t="s">
        <v>3589</v>
      </c>
    </row>
    <row r="7299" spans="1:40" x14ac:dyDescent="0.3">
      <c r="A7299" s="10" t="str">
        <f>HYPERLINK("http://www.washoecounty.gov/assessor/cama/?parid=522-473-07&amp;CardNumber=1","522-473-07")</f>
        <v>522-473-07</v>
      </c>
      <c r="B7299" t="s">
        <v>4655</v>
      </c>
      <c r="C7299" t="s">
        <v>34576</v>
      </c>
      <c r="D7299" s="1">
        <v>40333</v>
      </c>
      <c r="E7299" s="2">
        <v>160000</v>
      </c>
      <c r="F7299" t="s">
        <v>4567</v>
      </c>
      <c r="G7299" s="17" t="str">
        <f>HYPERLINK("https://www.washoecounty.gov/assessor/cama/?command=sales&amp;parid=52247307","3888401")</f>
        <v>3888401</v>
      </c>
      <c r="H7299" t="s">
        <v>5014</v>
      </c>
      <c r="I7299">
        <v>1998</v>
      </c>
      <c r="J7299">
        <v>1998</v>
      </c>
      <c r="K7299" t="s">
        <v>4554</v>
      </c>
      <c r="L7299" t="s">
        <v>3974</v>
      </c>
      <c r="M7299" s="2">
        <v>1742</v>
      </c>
      <c r="N7299" t="s">
        <v>5280</v>
      </c>
      <c r="O7299">
        <v>4</v>
      </c>
      <c r="P7299">
        <v>2</v>
      </c>
      <c r="Q7299">
        <v>1</v>
      </c>
      <c r="R7299" t="s">
        <v>5281</v>
      </c>
      <c r="S7299" t="s">
        <v>4135</v>
      </c>
      <c r="T7299" t="s">
        <v>2704</v>
      </c>
      <c r="U7299" t="s">
        <v>5631</v>
      </c>
      <c r="V7299" s="2">
        <v>432</v>
      </c>
      <c r="W7299" t="s">
        <v>4655</v>
      </c>
      <c r="X7299" s="2">
        <v>0</v>
      </c>
      <c r="Y7299">
        <v>20</v>
      </c>
      <c r="Z7299" t="s">
        <v>2048</v>
      </c>
      <c r="AA7299" s="3">
        <v>0.13000458478927601</v>
      </c>
      <c r="AB7299" t="s">
        <v>34577</v>
      </c>
      <c r="AC7299" t="s">
        <v>4575</v>
      </c>
      <c r="AD7299" t="s">
        <v>34578</v>
      </c>
      <c r="AE7299" t="s">
        <v>4655</v>
      </c>
      <c r="AF7299" t="s">
        <v>5201</v>
      </c>
      <c r="AG7299" t="s">
        <v>4564</v>
      </c>
      <c r="AH7299" t="s">
        <v>1605</v>
      </c>
      <c r="AI7299" t="s">
        <v>4655</v>
      </c>
      <c r="AJ7299" t="s">
        <v>5015</v>
      </c>
      <c r="AK7299" t="s">
        <v>34579</v>
      </c>
      <c r="AL7299" s="13" t="s">
        <v>1899</v>
      </c>
      <c r="AM7299" s="14">
        <v>1</v>
      </c>
      <c r="AN7299" s="15" t="s">
        <v>3589</v>
      </c>
    </row>
    <row r="7300" spans="1:40" x14ac:dyDescent="0.3">
      <c r="A7300" s="10" t="str">
        <f>HYPERLINK("http://www.washoecounty.gov/assessor/cama/?parid=522-482-02&amp;CardNumber=1","522-482-02")</f>
        <v>522-482-02</v>
      </c>
      <c r="B7300" t="s">
        <v>4655</v>
      </c>
      <c r="C7300" t="s">
        <v>34580</v>
      </c>
      <c r="D7300" s="1">
        <v>40359</v>
      </c>
      <c r="E7300" s="2">
        <v>450000</v>
      </c>
      <c r="F7300" t="s">
        <v>4567</v>
      </c>
      <c r="G7300" s="17" t="str">
        <f>HYPERLINK("https://www.washoecounty.gov/assessor/cama/?command=sales&amp;parid=52248202","3896950")</f>
        <v>3896950</v>
      </c>
      <c r="H7300" t="s">
        <v>3347</v>
      </c>
      <c r="I7300">
        <v>1999</v>
      </c>
      <c r="J7300">
        <v>2002</v>
      </c>
      <c r="K7300" t="s">
        <v>4554</v>
      </c>
      <c r="L7300" t="s">
        <v>4555</v>
      </c>
      <c r="M7300" s="2">
        <v>2712</v>
      </c>
      <c r="N7300" t="s">
        <v>3147</v>
      </c>
      <c r="O7300">
        <v>3</v>
      </c>
      <c r="P7300">
        <v>2</v>
      </c>
      <c r="Q7300">
        <v>1</v>
      </c>
      <c r="R7300" t="s">
        <v>5281</v>
      </c>
      <c r="S7300" t="s">
        <v>4898</v>
      </c>
      <c r="T7300" t="s">
        <v>2704</v>
      </c>
      <c r="U7300" t="s">
        <v>4560</v>
      </c>
      <c r="V7300" s="2">
        <v>755</v>
      </c>
      <c r="W7300" t="s">
        <v>4655</v>
      </c>
      <c r="X7300" s="2">
        <v>0</v>
      </c>
      <c r="Y7300">
        <v>20</v>
      </c>
      <c r="Z7300" t="s">
        <v>2048</v>
      </c>
      <c r="AA7300" s="3">
        <v>0.27601009607315102</v>
      </c>
      <c r="AB7300" t="s">
        <v>34581</v>
      </c>
      <c r="AC7300" t="s">
        <v>4562</v>
      </c>
      <c r="AD7300" t="s">
        <v>34580</v>
      </c>
      <c r="AE7300" t="s">
        <v>4655</v>
      </c>
      <c r="AF7300" t="s">
        <v>5201</v>
      </c>
      <c r="AG7300" t="s">
        <v>4564</v>
      </c>
      <c r="AH7300" t="s">
        <v>1605</v>
      </c>
      <c r="AI7300" t="s">
        <v>34582</v>
      </c>
      <c r="AJ7300" t="s">
        <v>3348</v>
      </c>
      <c r="AK7300" t="s">
        <v>34583</v>
      </c>
      <c r="AL7300" s="13" t="s">
        <v>1899</v>
      </c>
      <c r="AM7300">
        <v>1</v>
      </c>
      <c r="AN7300" s="15" t="s">
        <v>2724</v>
      </c>
    </row>
    <row r="7301" spans="1:40" x14ac:dyDescent="0.3">
      <c r="A7301" s="10" t="str">
        <f>HYPERLINK("http://www.washoecounty.gov/assessor/cama/?parid=522-511-15&amp;CardNumber=1","522-511-15")</f>
        <v>522-511-15</v>
      </c>
      <c r="B7301" t="s">
        <v>4655</v>
      </c>
      <c r="C7301" t="s">
        <v>34584</v>
      </c>
      <c r="D7301" s="1">
        <v>40361</v>
      </c>
      <c r="E7301" s="2">
        <v>348000</v>
      </c>
      <c r="F7301" t="s">
        <v>4553</v>
      </c>
      <c r="G7301" s="17" t="str">
        <f>HYPERLINK("https://www.washoecounty.gov/assessor/cama/?command=sales&amp;parid=52251115","3898009")</f>
        <v>3898009</v>
      </c>
      <c r="H7301" t="s">
        <v>5594</v>
      </c>
      <c r="I7301">
        <v>2002</v>
      </c>
      <c r="J7301">
        <v>2002</v>
      </c>
      <c r="K7301" t="s">
        <v>4554</v>
      </c>
      <c r="L7301" t="s">
        <v>4555</v>
      </c>
      <c r="M7301" s="2">
        <v>3224</v>
      </c>
      <c r="N7301" t="s">
        <v>3147</v>
      </c>
      <c r="O7301">
        <v>4</v>
      </c>
      <c r="P7301">
        <v>2</v>
      </c>
      <c r="Q7301">
        <v>1</v>
      </c>
      <c r="R7301" t="s">
        <v>5281</v>
      </c>
      <c r="S7301" t="s">
        <v>4898</v>
      </c>
      <c r="T7301" t="s">
        <v>2704</v>
      </c>
      <c r="U7301" t="s">
        <v>4560</v>
      </c>
      <c r="V7301" s="2">
        <v>744</v>
      </c>
      <c r="W7301" t="s">
        <v>4655</v>
      </c>
      <c r="X7301" s="2">
        <v>0</v>
      </c>
      <c r="Y7301">
        <v>20</v>
      </c>
      <c r="Z7301" t="s">
        <v>2048</v>
      </c>
      <c r="AA7301" s="3">
        <v>0.31299358606338501</v>
      </c>
      <c r="AB7301" t="s">
        <v>34585</v>
      </c>
      <c r="AC7301" t="s">
        <v>4562</v>
      </c>
      <c r="AD7301" t="s">
        <v>34584</v>
      </c>
      <c r="AE7301" t="s">
        <v>4655</v>
      </c>
      <c r="AF7301" t="s">
        <v>5201</v>
      </c>
      <c r="AG7301" t="s">
        <v>4564</v>
      </c>
      <c r="AH7301" t="s">
        <v>1605</v>
      </c>
      <c r="AI7301" t="s">
        <v>3081</v>
      </c>
      <c r="AJ7301" t="s">
        <v>5595</v>
      </c>
      <c r="AK7301" t="s">
        <v>34586</v>
      </c>
      <c r="AL7301" s="13" t="s">
        <v>1899</v>
      </c>
      <c r="AM7301" s="14">
        <v>1</v>
      </c>
      <c r="AN7301" s="15" t="s">
        <v>2724</v>
      </c>
    </row>
    <row r="7302" spans="1:40" x14ac:dyDescent="0.3">
      <c r="A7302" s="10" t="str">
        <f>HYPERLINK("http://www.washoecounty.gov/assessor/cama/?parid=522-521-01&amp;CardNumber=1","522-521-01")</f>
        <v>522-521-01</v>
      </c>
      <c r="B7302" t="s">
        <v>4655</v>
      </c>
      <c r="C7302" t="s">
        <v>34587</v>
      </c>
      <c r="D7302" s="1">
        <v>40373</v>
      </c>
      <c r="E7302" s="2">
        <v>340000</v>
      </c>
      <c r="F7302" t="s">
        <v>4567</v>
      </c>
      <c r="G7302" s="17" t="str">
        <f>HYPERLINK("https://www.washoecounty.gov/assessor/cama/?command=sales&amp;parid=52252101","3901139")</f>
        <v>3901139</v>
      </c>
      <c r="H7302" t="s">
        <v>5594</v>
      </c>
      <c r="I7302">
        <v>2002</v>
      </c>
      <c r="J7302">
        <v>2002</v>
      </c>
      <c r="K7302" t="s">
        <v>4554</v>
      </c>
      <c r="L7302" t="s">
        <v>3974</v>
      </c>
      <c r="M7302" s="2">
        <v>3171</v>
      </c>
      <c r="N7302" t="s">
        <v>3147</v>
      </c>
      <c r="O7302">
        <v>5</v>
      </c>
      <c r="P7302">
        <v>3</v>
      </c>
      <c r="Q7302">
        <v>1</v>
      </c>
      <c r="R7302" t="s">
        <v>5281</v>
      </c>
      <c r="S7302" t="s">
        <v>4898</v>
      </c>
      <c r="T7302" t="s">
        <v>2704</v>
      </c>
      <c r="U7302" t="s">
        <v>5631</v>
      </c>
      <c r="V7302" s="2">
        <v>713</v>
      </c>
      <c r="W7302" t="s">
        <v>4655</v>
      </c>
      <c r="X7302" s="2">
        <v>0</v>
      </c>
      <c r="Y7302">
        <v>20</v>
      </c>
      <c r="Z7302" t="s">
        <v>2048</v>
      </c>
      <c r="AA7302" s="3">
        <v>0.33399906754493702</v>
      </c>
      <c r="AB7302" t="s">
        <v>34588</v>
      </c>
      <c r="AC7302" t="s">
        <v>4562</v>
      </c>
      <c r="AD7302" t="s">
        <v>34589</v>
      </c>
      <c r="AE7302" t="s">
        <v>4655</v>
      </c>
      <c r="AF7302" t="s">
        <v>5201</v>
      </c>
      <c r="AG7302" t="s">
        <v>4564</v>
      </c>
      <c r="AH7302" t="s">
        <v>1605</v>
      </c>
      <c r="AI7302" t="s">
        <v>34590</v>
      </c>
      <c r="AJ7302" t="s">
        <v>4655</v>
      </c>
      <c r="AK7302" t="s">
        <v>34591</v>
      </c>
      <c r="AL7302" s="13" t="s">
        <v>1899</v>
      </c>
      <c r="AM7302" s="14">
        <v>1</v>
      </c>
      <c r="AN7302" s="15" t="s">
        <v>2724</v>
      </c>
    </row>
    <row r="7303" spans="1:40" x14ac:dyDescent="0.3">
      <c r="A7303" s="10" t="str">
        <f>HYPERLINK("http://www.washoecounty.gov/assessor/cama/?parid=522-521-14&amp;CardNumber=1","522-521-14")</f>
        <v>522-521-14</v>
      </c>
      <c r="B7303" t="s">
        <v>4655</v>
      </c>
      <c r="C7303" t="s">
        <v>34592</v>
      </c>
      <c r="D7303" s="1">
        <v>40270</v>
      </c>
      <c r="E7303" s="2">
        <v>378600</v>
      </c>
      <c r="F7303" t="s">
        <v>4553</v>
      </c>
      <c r="G7303" s="17" t="str">
        <f>HYPERLINK("https://www.washoecounty.gov/assessor/cama/?command=sales&amp;parid=52252114","3867199")</f>
        <v>3867199</v>
      </c>
      <c r="H7303" t="s">
        <v>5594</v>
      </c>
      <c r="I7303">
        <v>2002</v>
      </c>
      <c r="J7303">
        <v>2002</v>
      </c>
      <c r="K7303" t="s">
        <v>4554</v>
      </c>
      <c r="L7303" t="s">
        <v>4555</v>
      </c>
      <c r="M7303" s="2">
        <v>3223</v>
      </c>
      <c r="N7303" t="s">
        <v>3147</v>
      </c>
      <c r="O7303">
        <v>5</v>
      </c>
      <c r="P7303">
        <v>2</v>
      </c>
      <c r="Q7303">
        <v>1</v>
      </c>
      <c r="R7303" t="s">
        <v>5281</v>
      </c>
      <c r="S7303" t="s">
        <v>4898</v>
      </c>
      <c r="T7303" t="s">
        <v>2704</v>
      </c>
      <c r="U7303" t="s">
        <v>4560</v>
      </c>
      <c r="V7303" s="2">
        <v>744</v>
      </c>
      <c r="W7303" t="s">
        <v>4655</v>
      </c>
      <c r="X7303" s="2">
        <v>0</v>
      </c>
      <c r="Y7303">
        <v>20</v>
      </c>
      <c r="Z7303" t="s">
        <v>2048</v>
      </c>
      <c r="AA7303" s="3">
        <v>0.27500000596046398</v>
      </c>
      <c r="AB7303" t="s">
        <v>34593</v>
      </c>
      <c r="AC7303" t="s">
        <v>4575</v>
      </c>
      <c r="AD7303" t="s">
        <v>34592</v>
      </c>
      <c r="AE7303" t="s">
        <v>4655</v>
      </c>
      <c r="AF7303" t="s">
        <v>5201</v>
      </c>
      <c r="AG7303" t="s">
        <v>4564</v>
      </c>
      <c r="AH7303" t="s">
        <v>1605</v>
      </c>
      <c r="AI7303" t="s">
        <v>34594</v>
      </c>
      <c r="AJ7303" t="s">
        <v>5595</v>
      </c>
      <c r="AK7303" t="s">
        <v>34595</v>
      </c>
      <c r="AL7303" s="13" t="s">
        <v>1899</v>
      </c>
      <c r="AM7303" s="14">
        <v>1</v>
      </c>
      <c r="AN7303" s="15" t="s">
        <v>2724</v>
      </c>
    </row>
    <row r="7304" spans="1:40" x14ac:dyDescent="0.3">
      <c r="A7304" s="10" t="str">
        <f>HYPERLINK("http://www.washoecounty.gov/assessor/cama/?parid=522-531-12&amp;CardNumber=1","522-531-12")</f>
        <v>522-531-12</v>
      </c>
      <c r="B7304" t="s">
        <v>4655</v>
      </c>
      <c r="C7304" t="s">
        <v>34596</v>
      </c>
      <c r="D7304" s="1">
        <v>40284</v>
      </c>
      <c r="E7304" s="2">
        <v>225000</v>
      </c>
      <c r="F7304" t="s">
        <v>4553</v>
      </c>
      <c r="G7304" s="17" t="str">
        <f>HYPERLINK("https://www.washoecounty.gov/assessor/cama/?command=sales&amp;parid=52253112","3871936")</f>
        <v>3871936</v>
      </c>
      <c r="H7304" t="s">
        <v>1637</v>
      </c>
      <c r="I7304">
        <v>1998</v>
      </c>
      <c r="J7304">
        <v>1998</v>
      </c>
      <c r="K7304" t="s">
        <v>4554</v>
      </c>
      <c r="L7304" t="s">
        <v>3974</v>
      </c>
      <c r="M7304" s="2">
        <v>2419</v>
      </c>
      <c r="N7304" t="s">
        <v>3147</v>
      </c>
      <c r="O7304">
        <v>4</v>
      </c>
      <c r="P7304">
        <v>3</v>
      </c>
      <c r="Q7304">
        <v>0</v>
      </c>
      <c r="R7304" t="s">
        <v>5281</v>
      </c>
      <c r="S7304" t="s">
        <v>4898</v>
      </c>
      <c r="T7304" t="s">
        <v>2704</v>
      </c>
      <c r="U7304" t="s">
        <v>4560</v>
      </c>
      <c r="V7304" s="2">
        <v>626</v>
      </c>
      <c r="W7304" t="s">
        <v>4655</v>
      </c>
      <c r="X7304" s="2">
        <v>0</v>
      </c>
      <c r="Y7304">
        <v>20</v>
      </c>
      <c r="Z7304" t="s">
        <v>2048</v>
      </c>
      <c r="AA7304" s="3">
        <v>0.223989903926849</v>
      </c>
      <c r="AB7304" t="s">
        <v>34597</v>
      </c>
      <c r="AC7304" t="s">
        <v>4562</v>
      </c>
      <c r="AD7304" t="s">
        <v>34598</v>
      </c>
      <c r="AE7304" t="s">
        <v>4655</v>
      </c>
      <c r="AF7304" t="s">
        <v>4809</v>
      </c>
      <c r="AG7304" t="s">
        <v>4564</v>
      </c>
      <c r="AH7304" t="s">
        <v>1605</v>
      </c>
      <c r="AI7304" t="s">
        <v>4655</v>
      </c>
      <c r="AJ7304" t="s">
        <v>1638</v>
      </c>
      <c r="AK7304" t="s">
        <v>34599</v>
      </c>
      <c r="AL7304" s="13" t="s">
        <v>1899</v>
      </c>
      <c r="AM7304">
        <v>1</v>
      </c>
      <c r="AN7304" s="15" t="s">
        <v>26</v>
      </c>
    </row>
    <row r="7305" spans="1:40" x14ac:dyDescent="0.3">
      <c r="A7305" s="10" t="str">
        <f>HYPERLINK("http://www.washoecounty.gov/assessor/cama/?parid=522-533-01&amp;CardNumber=1","522-533-01")</f>
        <v>522-533-01</v>
      </c>
      <c r="B7305" t="s">
        <v>4655</v>
      </c>
      <c r="C7305" t="s">
        <v>34600</v>
      </c>
      <c r="D7305" s="1">
        <v>40389</v>
      </c>
      <c r="E7305" s="2">
        <v>245000</v>
      </c>
      <c r="F7305" t="s">
        <v>4567</v>
      </c>
      <c r="G7305" s="17" t="str">
        <f>HYPERLINK("https://www.washoecounty.gov/assessor/cama/?command=sales&amp;parid=52253301","3906981")</f>
        <v>3906981</v>
      </c>
      <c r="H7305" t="s">
        <v>1637</v>
      </c>
      <c r="I7305">
        <v>1998</v>
      </c>
      <c r="J7305">
        <v>1998</v>
      </c>
      <c r="K7305" t="s">
        <v>4554</v>
      </c>
      <c r="L7305" t="s">
        <v>4555</v>
      </c>
      <c r="M7305" s="2">
        <v>2015</v>
      </c>
      <c r="N7305" t="s">
        <v>3147</v>
      </c>
      <c r="O7305">
        <v>3</v>
      </c>
      <c r="P7305">
        <v>2</v>
      </c>
      <c r="Q7305">
        <v>0</v>
      </c>
      <c r="R7305" t="s">
        <v>4557</v>
      </c>
      <c r="S7305" t="s">
        <v>4898</v>
      </c>
      <c r="T7305" t="s">
        <v>2704</v>
      </c>
      <c r="U7305" t="s">
        <v>4560</v>
      </c>
      <c r="V7305" s="2">
        <v>664</v>
      </c>
      <c r="W7305" t="s">
        <v>4655</v>
      </c>
      <c r="X7305" s="2">
        <v>0</v>
      </c>
      <c r="Y7305">
        <v>20</v>
      </c>
      <c r="Z7305" t="s">
        <v>2048</v>
      </c>
      <c r="AA7305" s="3">
        <v>0.20000000298023199</v>
      </c>
      <c r="AB7305" t="s">
        <v>34601</v>
      </c>
      <c r="AC7305" t="s">
        <v>4562</v>
      </c>
      <c r="AD7305" t="s">
        <v>34600</v>
      </c>
      <c r="AE7305" t="s">
        <v>4655</v>
      </c>
      <c r="AF7305" t="s">
        <v>5201</v>
      </c>
      <c r="AG7305" t="s">
        <v>4564</v>
      </c>
      <c r="AH7305" t="s">
        <v>1605</v>
      </c>
      <c r="AI7305" t="s">
        <v>34602</v>
      </c>
      <c r="AJ7305" t="s">
        <v>1638</v>
      </c>
      <c r="AK7305" t="s">
        <v>34603</v>
      </c>
      <c r="AL7305" s="13" t="s">
        <v>1899</v>
      </c>
      <c r="AM7305">
        <v>1</v>
      </c>
      <c r="AN7305" s="15" t="s">
        <v>26</v>
      </c>
    </row>
    <row r="7306" spans="1:40" x14ac:dyDescent="0.3">
      <c r="A7306" s="10" t="str">
        <f>HYPERLINK("http://www.washoecounty.gov/assessor/cama/?parid=522-534-03&amp;CardNumber=1","522-534-03")</f>
        <v>522-534-03</v>
      </c>
      <c r="B7306" t="s">
        <v>4655</v>
      </c>
      <c r="C7306" t="s">
        <v>34604</v>
      </c>
      <c r="D7306" s="1">
        <v>40466</v>
      </c>
      <c r="E7306" s="2">
        <v>177000</v>
      </c>
      <c r="F7306" t="s">
        <v>4567</v>
      </c>
      <c r="G7306" s="17" t="str">
        <f>HYPERLINK("https://www.washoecounty.gov/assessor/cama/?command=sales&amp;parid=52253403","3933570")</f>
        <v>3933570</v>
      </c>
      <c r="H7306" t="s">
        <v>1637</v>
      </c>
      <c r="I7306">
        <v>1998</v>
      </c>
      <c r="J7306">
        <v>1998</v>
      </c>
      <c r="K7306" t="s">
        <v>4554</v>
      </c>
      <c r="L7306" t="s">
        <v>4555</v>
      </c>
      <c r="M7306" s="2">
        <v>1698</v>
      </c>
      <c r="N7306" t="s">
        <v>3147</v>
      </c>
      <c r="O7306">
        <v>3</v>
      </c>
      <c r="P7306">
        <v>2</v>
      </c>
      <c r="Q7306">
        <v>0</v>
      </c>
      <c r="R7306" t="s">
        <v>5281</v>
      </c>
      <c r="S7306" t="s">
        <v>4898</v>
      </c>
      <c r="T7306" t="s">
        <v>2704</v>
      </c>
      <c r="U7306" t="s">
        <v>4560</v>
      </c>
      <c r="V7306" s="2">
        <v>484</v>
      </c>
      <c r="W7306" t="s">
        <v>4655</v>
      </c>
      <c r="X7306" s="2">
        <v>0</v>
      </c>
      <c r="Y7306">
        <v>20</v>
      </c>
      <c r="Z7306" t="s">
        <v>2048</v>
      </c>
      <c r="AA7306" s="3">
        <v>0.17199265956878662</v>
      </c>
      <c r="AB7306" t="s">
        <v>34605</v>
      </c>
      <c r="AC7306" t="s">
        <v>4562</v>
      </c>
      <c r="AD7306" t="s">
        <v>34606</v>
      </c>
      <c r="AE7306" t="s">
        <v>4655</v>
      </c>
      <c r="AF7306" t="s">
        <v>5201</v>
      </c>
      <c r="AG7306" t="s">
        <v>4564</v>
      </c>
      <c r="AH7306" t="s">
        <v>1605</v>
      </c>
      <c r="AI7306" t="s">
        <v>34607</v>
      </c>
      <c r="AJ7306" t="s">
        <v>1638</v>
      </c>
      <c r="AK7306" t="s">
        <v>34608</v>
      </c>
      <c r="AL7306" s="13" t="s">
        <v>1899</v>
      </c>
      <c r="AM7306">
        <v>1</v>
      </c>
      <c r="AN7306" s="15" t="s">
        <v>26</v>
      </c>
    </row>
    <row r="7307" spans="1:40" x14ac:dyDescent="0.3">
      <c r="A7307" s="10" t="str">
        <f>HYPERLINK("http://www.washoecounty.gov/assessor/cama/?parid=522-534-10&amp;CardNumber=1","522-534-10")</f>
        <v>522-534-10</v>
      </c>
      <c r="B7307" t="s">
        <v>4655</v>
      </c>
      <c r="C7307" t="s">
        <v>34609</v>
      </c>
      <c r="D7307" s="1">
        <v>40410</v>
      </c>
      <c r="E7307" s="2">
        <v>240000</v>
      </c>
      <c r="F7307" t="s">
        <v>4567</v>
      </c>
      <c r="G7307" s="17" t="str">
        <f>HYPERLINK("https://www.washoecounty.gov/assessor/cama/?command=sales&amp;parid=52253410","3914275")</f>
        <v>3914275</v>
      </c>
      <c r="H7307" t="s">
        <v>1637</v>
      </c>
      <c r="I7307">
        <v>1999</v>
      </c>
      <c r="J7307">
        <v>1999</v>
      </c>
      <c r="K7307" t="s">
        <v>4554</v>
      </c>
      <c r="L7307" t="s">
        <v>4555</v>
      </c>
      <c r="M7307" s="2">
        <v>2015</v>
      </c>
      <c r="N7307" t="s">
        <v>3147</v>
      </c>
      <c r="O7307">
        <v>4</v>
      </c>
      <c r="P7307">
        <v>2</v>
      </c>
      <c r="Q7307">
        <v>0</v>
      </c>
      <c r="R7307" t="s">
        <v>4557</v>
      </c>
      <c r="S7307" t="s">
        <v>4898</v>
      </c>
      <c r="T7307" t="s">
        <v>2704</v>
      </c>
      <c r="U7307" t="s">
        <v>4560</v>
      </c>
      <c r="V7307" s="2">
        <v>664</v>
      </c>
      <c r="W7307" t="s">
        <v>4655</v>
      </c>
      <c r="X7307" s="2">
        <v>0</v>
      </c>
      <c r="Y7307">
        <v>20</v>
      </c>
      <c r="Z7307" t="s">
        <v>2048</v>
      </c>
      <c r="AA7307" s="3">
        <v>0.16799816489219666</v>
      </c>
      <c r="AB7307" t="s">
        <v>34610</v>
      </c>
      <c r="AC7307" t="s">
        <v>4575</v>
      </c>
      <c r="AD7307" t="s">
        <v>34611</v>
      </c>
      <c r="AE7307" t="s">
        <v>34609</v>
      </c>
      <c r="AF7307" t="s">
        <v>5201</v>
      </c>
      <c r="AG7307" t="s">
        <v>4564</v>
      </c>
      <c r="AH7307" t="s">
        <v>1605</v>
      </c>
      <c r="AI7307" t="s">
        <v>34612</v>
      </c>
      <c r="AJ7307" t="s">
        <v>1638</v>
      </c>
      <c r="AK7307" t="s">
        <v>34613</v>
      </c>
      <c r="AL7307" s="13" t="s">
        <v>1899</v>
      </c>
      <c r="AM7307">
        <v>1</v>
      </c>
      <c r="AN7307" s="15" t="s">
        <v>26</v>
      </c>
    </row>
    <row r="7308" spans="1:40" x14ac:dyDescent="0.3">
      <c r="A7308" s="10" t="str">
        <f>HYPERLINK("http://www.washoecounty.gov/assessor/cama/?parid=522-534-12&amp;CardNumber=1","522-534-12")</f>
        <v>522-534-12</v>
      </c>
      <c r="B7308" t="s">
        <v>4655</v>
      </c>
      <c r="C7308" t="s">
        <v>34614</v>
      </c>
      <c r="D7308" s="1">
        <v>40438</v>
      </c>
      <c r="E7308" s="2">
        <v>171690</v>
      </c>
      <c r="F7308" t="s">
        <v>4553</v>
      </c>
      <c r="G7308" s="17" t="str">
        <f>HYPERLINK("https://www.washoecounty.gov/assessor/cama/?command=sales&amp;parid=52253412","3923778")</f>
        <v>3923778</v>
      </c>
      <c r="H7308" t="s">
        <v>1637</v>
      </c>
      <c r="I7308">
        <v>1999</v>
      </c>
      <c r="J7308">
        <v>1999</v>
      </c>
      <c r="K7308" t="s">
        <v>4554</v>
      </c>
      <c r="L7308" t="s">
        <v>4555</v>
      </c>
      <c r="M7308" s="2">
        <v>1698</v>
      </c>
      <c r="N7308" t="s">
        <v>3147</v>
      </c>
      <c r="O7308">
        <v>3</v>
      </c>
      <c r="P7308">
        <v>2</v>
      </c>
      <c r="Q7308">
        <v>0</v>
      </c>
      <c r="R7308" t="s">
        <v>5281</v>
      </c>
      <c r="S7308" t="s">
        <v>4898</v>
      </c>
      <c r="T7308" t="s">
        <v>2704</v>
      </c>
      <c r="U7308" t="s">
        <v>4560</v>
      </c>
      <c r="V7308" s="2">
        <v>484</v>
      </c>
      <c r="W7308" t="s">
        <v>4655</v>
      </c>
      <c r="X7308" s="2">
        <v>0</v>
      </c>
      <c r="Y7308">
        <v>20</v>
      </c>
      <c r="Z7308" t="s">
        <v>2048</v>
      </c>
      <c r="AA7308" s="3">
        <v>0.16799816489219666</v>
      </c>
      <c r="AB7308" t="s">
        <v>34615</v>
      </c>
      <c r="AC7308" t="s">
        <v>4575</v>
      </c>
      <c r="AD7308" t="s">
        <v>34616</v>
      </c>
      <c r="AE7308" t="s">
        <v>4655</v>
      </c>
      <c r="AF7308" t="s">
        <v>5201</v>
      </c>
      <c r="AG7308" t="s">
        <v>4564</v>
      </c>
      <c r="AH7308" t="s">
        <v>1605</v>
      </c>
      <c r="AI7308" t="s">
        <v>34617</v>
      </c>
      <c r="AJ7308" t="s">
        <v>1638</v>
      </c>
      <c r="AK7308" t="s">
        <v>34618</v>
      </c>
      <c r="AL7308" s="13" t="s">
        <v>1899</v>
      </c>
      <c r="AM7308">
        <v>1</v>
      </c>
      <c r="AN7308" s="15" t="s">
        <v>26</v>
      </c>
    </row>
    <row r="7309" spans="1:40" x14ac:dyDescent="0.3">
      <c r="A7309" s="10" t="str">
        <f>HYPERLINK("http://www.washoecounty.gov/assessor/cama/?parid=522-541-03&amp;CardNumber=1","522-541-03")</f>
        <v>522-541-03</v>
      </c>
      <c r="B7309" t="s">
        <v>4655</v>
      </c>
      <c r="C7309" t="s">
        <v>34619</v>
      </c>
      <c r="D7309" s="1">
        <v>40277</v>
      </c>
      <c r="E7309" s="2">
        <v>227000</v>
      </c>
      <c r="F7309" t="s">
        <v>4567</v>
      </c>
      <c r="G7309" s="17" t="str">
        <f>HYPERLINK("https://www.washoecounty.gov/assessor/cama/?command=sales&amp;parid=52254103","3869537")</f>
        <v>3869537</v>
      </c>
      <c r="H7309" t="s">
        <v>4147</v>
      </c>
      <c r="I7309">
        <v>1999</v>
      </c>
      <c r="J7309">
        <v>1999</v>
      </c>
      <c r="K7309" t="s">
        <v>4554</v>
      </c>
      <c r="L7309" t="s">
        <v>3974</v>
      </c>
      <c r="M7309" s="2">
        <v>2315</v>
      </c>
      <c r="N7309" t="s">
        <v>3147</v>
      </c>
      <c r="O7309">
        <v>4</v>
      </c>
      <c r="P7309">
        <v>2</v>
      </c>
      <c r="Q7309">
        <v>1</v>
      </c>
      <c r="R7309" t="s">
        <v>4557</v>
      </c>
      <c r="S7309" t="s">
        <v>4898</v>
      </c>
      <c r="T7309" t="s">
        <v>2704</v>
      </c>
      <c r="U7309" t="s">
        <v>5631</v>
      </c>
      <c r="V7309" s="2">
        <v>613</v>
      </c>
      <c r="W7309" t="s">
        <v>4655</v>
      </c>
      <c r="X7309" s="2">
        <v>0</v>
      </c>
      <c r="Y7309">
        <v>20</v>
      </c>
      <c r="Z7309" t="s">
        <v>2048</v>
      </c>
      <c r="AA7309" s="3">
        <v>0.19100092351436601</v>
      </c>
      <c r="AB7309" t="s">
        <v>34620</v>
      </c>
      <c r="AC7309" t="s">
        <v>4562</v>
      </c>
      <c r="AD7309" t="s">
        <v>34619</v>
      </c>
      <c r="AE7309" t="s">
        <v>4655</v>
      </c>
      <c r="AF7309" t="s">
        <v>5201</v>
      </c>
      <c r="AG7309" t="s">
        <v>4564</v>
      </c>
      <c r="AH7309" t="s">
        <v>1605</v>
      </c>
      <c r="AI7309" t="s">
        <v>34621</v>
      </c>
      <c r="AJ7309" t="s">
        <v>4148</v>
      </c>
      <c r="AK7309" t="s">
        <v>34622</v>
      </c>
      <c r="AL7309" s="13" t="s">
        <v>1899</v>
      </c>
      <c r="AM7309">
        <v>1</v>
      </c>
      <c r="AN7309" s="15" t="s">
        <v>26</v>
      </c>
    </row>
    <row r="7310" spans="1:40" x14ac:dyDescent="0.3">
      <c r="A7310" s="10" t="str">
        <f>HYPERLINK("http://www.washoecounty.gov/assessor/cama/?parid=522-541-20&amp;CardNumber=1","522-541-20")</f>
        <v>522-541-20</v>
      </c>
      <c r="B7310" t="s">
        <v>4655</v>
      </c>
      <c r="C7310" t="s">
        <v>34623</v>
      </c>
      <c r="D7310" s="1">
        <v>40542</v>
      </c>
      <c r="E7310" s="2">
        <v>220000</v>
      </c>
      <c r="F7310" t="s">
        <v>4567</v>
      </c>
      <c r="G7310" s="17" t="str">
        <f>HYPERLINK("https://www.washoecounty.gov/assessor/cama/?command=sales&amp;parid=52254120","3958946")</f>
        <v>3958946</v>
      </c>
      <c r="H7310" t="s">
        <v>4147</v>
      </c>
      <c r="I7310">
        <v>1999</v>
      </c>
      <c r="J7310">
        <v>1999</v>
      </c>
      <c r="K7310" t="s">
        <v>4554</v>
      </c>
      <c r="L7310" t="s">
        <v>4555</v>
      </c>
      <c r="M7310" s="2">
        <v>1981</v>
      </c>
      <c r="N7310" t="s">
        <v>3147</v>
      </c>
      <c r="O7310">
        <v>2</v>
      </c>
      <c r="P7310">
        <v>2</v>
      </c>
      <c r="Q7310">
        <v>0</v>
      </c>
      <c r="R7310" t="s">
        <v>5281</v>
      </c>
      <c r="S7310" t="s">
        <v>4898</v>
      </c>
      <c r="T7310" t="s">
        <v>2704</v>
      </c>
      <c r="U7310" t="s">
        <v>4560</v>
      </c>
      <c r="V7310" s="2">
        <v>596</v>
      </c>
      <c r="W7310" t="s">
        <v>4655</v>
      </c>
      <c r="X7310" s="2">
        <v>0</v>
      </c>
      <c r="Y7310">
        <v>20</v>
      </c>
      <c r="Z7310" t="s">
        <v>2048</v>
      </c>
      <c r="AA7310" s="3">
        <v>0.167011022567749</v>
      </c>
      <c r="AB7310" t="s">
        <v>34624</v>
      </c>
      <c r="AC7310" t="s">
        <v>4562</v>
      </c>
      <c r="AD7310" t="s">
        <v>34623</v>
      </c>
      <c r="AE7310" t="s">
        <v>4655</v>
      </c>
      <c r="AF7310" t="s">
        <v>5201</v>
      </c>
      <c r="AG7310" t="s">
        <v>4564</v>
      </c>
      <c r="AH7310" t="s">
        <v>1605</v>
      </c>
      <c r="AI7310" t="s">
        <v>34625</v>
      </c>
      <c r="AJ7310" t="s">
        <v>4148</v>
      </c>
      <c r="AK7310" t="s">
        <v>34626</v>
      </c>
      <c r="AL7310" s="13" t="s">
        <v>1899</v>
      </c>
      <c r="AM7310" s="14">
        <v>1</v>
      </c>
      <c r="AN7310" s="15" t="s">
        <v>26</v>
      </c>
    </row>
    <row r="7311" spans="1:40" x14ac:dyDescent="0.3">
      <c r="A7311" s="10" t="str">
        <f>HYPERLINK("http://www.washoecounty.gov/assessor/cama/?parid=522-542-07&amp;CardNumber=1","522-542-07")</f>
        <v>522-542-07</v>
      </c>
      <c r="B7311" t="s">
        <v>4655</v>
      </c>
      <c r="C7311" s="20" t="s">
        <v>283</v>
      </c>
      <c r="D7311" s="1">
        <v>40239</v>
      </c>
      <c r="E7311" s="2">
        <v>295000</v>
      </c>
      <c r="F7311" t="s">
        <v>4567</v>
      </c>
      <c r="G7311" s="20" t="s">
        <v>282</v>
      </c>
      <c r="H7311" t="s">
        <v>4147</v>
      </c>
      <c r="I7311">
        <v>2000</v>
      </c>
      <c r="J7311">
        <v>2000</v>
      </c>
      <c r="K7311" t="s">
        <v>4554</v>
      </c>
      <c r="L7311" t="s">
        <v>3974</v>
      </c>
      <c r="M7311" s="2">
        <v>3290</v>
      </c>
      <c r="N7311" t="s">
        <v>3147</v>
      </c>
      <c r="O7311">
        <v>5</v>
      </c>
      <c r="P7311">
        <v>3</v>
      </c>
      <c r="Q7311">
        <v>0</v>
      </c>
      <c r="R7311" t="s">
        <v>5281</v>
      </c>
      <c r="S7311" t="s">
        <v>4898</v>
      </c>
      <c r="T7311" t="s">
        <v>2704</v>
      </c>
      <c r="U7311" t="s">
        <v>5631</v>
      </c>
      <c r="V7311" s="2">
        <v>600</v>
      </c>
      <c r="W7311" t="s">
        <v>4655</v>
      </c>
      <c r="X7311" s="2">
        <v>0</v>
      </c>
      <c r="Y7311">
        <v>20</v>
      </c>
      <c r="Z7311" t="s">
        <v>2048</v>
      </c>
      <c r="AA7311" s="3">
        <v>0.205004587769508</v>
      </c>
      <c r="AB7311" s="20" t="s">
        <v>8865</v>
      </c>
      <c r="AD7311" t="s">
        <v>283</v>
      </c>
      <c r="AE7311" t="s">
        <v>283</v>
      </c>
      <c r="AF7311" t="s">
        <v>283</v>
      </c>
      <c r="AG7311" t="s">
        <v>4564</v>
      </c>
      <c r="AH7311" t="s">
        <v>3101</v>
      </c>
      <c r="AI7311" t="s">
        <v>8865</v>
      </c>
      <c r="AJ7311" t="s">
        <v>4148</v>
      </c>
      <c r="AK7311" t="s">
        <v>34627</v>
      </c>
      <c r="AL7311" s="13" t="s">
        <v>1899</v>
      </c>
      <c r="AM7311">
        <v>1</v>
      </c>
      <c r="AN7311" s="15" t="s">
        <v>26</v>
      </c>
    </row>
    <row r="7312" spans="1:40" x14ac:dyDescent="0.3">
      <c r="A7312" s="10" t="str">
        <f>HYPERLINK("http://www.washoecounty.gov/assessor/cama/?parid=522-542-18&amp;CardNumber=1","522-542-18")</f>
        <v>522-542-18</v>
      </c>
      <c r="B7312" t="s">
        <v>4655</v>
      </c>
      <c r="C7312" t="s">
        <v>34628</v>
      </c>
      <c r="D7312" s="1">
        <v>40407</v>
      </c>
      <c r="E7312" s="2">
        <v>223500</v>
      </c>
      <c r="F7312" t="s">
        <v>4567</v>
      </c>
      <c r="G7312" s="17" t="str">
        <f>HYPERLINK("https://www.washoecounty.gov/assessor/cama/?command=sales&amp;parid=52254218","3913012")</f>
        <v>3913012</v>
      </c>
      <c r="H7312" t="s">
        <v>4147</v>
      </c>
      <c r="I7312">
        <v>2000</v>
      </c>
      <c r="J7312">
        <v>2000</v>
      </c>
      <c r="K7312" t="s">
        <v>4554</v>
      </c>
      <c r="L7312" t="s">
        <v>3974</v>
      </c>
      <c r="M7312" s="2">
        <v>2315</v>
      </c>
      <c r="N7312" t="s">
        <v>3147</v>
      </c>
      <c r="O7312">
        <v>4</v>
      </c>
      <c r="P7312">
        <v>2</v>
      </c>
      <c r="Q7312">
        <v>1</v>
      </c>
      <c r="R7312" t="s">
        <v>5281</v>
      </c>
      <c r="S7312" t="s">
        <v>4898</v>
      </c>
      <c r="T7312" t="s">
        <v>2704</v>
      </c>
      <c r="U7312" t="s">
        <v>5631</v>
      </c>
      <c r="V7312" s="2">
        <v>613</v>
      </c>
      <c r="W7312" t="s">
        <v>4655</v>
      </c>
      <c r="X7312" s="2">
        <v>0</v>
      </c>
      <c r="Y7312">
        <v>20</v>
      </c>
      <c r="Z7312" t="s">
        <v>2048</v>
      </c>
      <c r="AA7312" s="3">
        <v>0.19898989796638489</v>
      </c>
      <c r="AB7312" t="s">
        <v>34629</v>
      </c>
      <c r="AC7312" t="s">
        <v>4562</v>
      </c>
      <c r="AD7312" t="s">
        <v>34628</v>
      </c>
      <c r="AE7312" t="s">
        <v>4655</v>
      </c>
      <c r="AF7312" t="s">
        <v>5201</v>
      </c>
      <c r="AG7312" t="s">
        <v>4564</v>
      </c>
      <c r="AH7312" t="s">
        <v>1605</v>
      </c>
      <c r="AI7312" t="s">
        <v>34630</v>
      </c>
      <c r="AJ7312" t="s">
        <v>4148</v>
      </c>
      <c r="AK7312" t="s">
        <v>34631</v>
      </c>
      <c r="AL7312" s="13" t="s">
        <v>1899</v>
      </c>
      <c r="AM7312" s="14">
        <v>1</v>
      </c>
      <c r="AN7312" s="15" t="s">
        <v>26</v>
      </c>
    </row>
    <row r="7313" spans="1:40" x14ac:dyDescent="0.3">
      <c r="A7313" s="10" t="str">
        <f>HYPERLINK("http://www.washoecounty.gov/assessor/cama/?parid=522-602-03&amp;CardNumber=1","522-602-03")</f>
        <v>522-602-03</v>
      </c>
      <c r="B7313" t="s">
        <v>4655</v>
      </c>
      <c r="C7313" t="s">
        <v>34632</v>
      </c>
      <c r="D7313" s="1">
        <v>40333</v>
      </c>
      <c r="E7313" s="2">
        <v>220000</v>
      </c>
      <c r="F7313" t="s">
        <v>4567</v>
      </c>
      <c r="G7313" s="17" t="str">
        <f>HYPERLINK("https://www.washoecounty.gov/assessor/cama/?command=sales&amp;parid=52260203","3888528")</f>
        <v>3888528</v>
      </c>
      <c r="H7313" t="s">
        <v>1931</v>
      </c>
      <c r="I7313">
        <v>1999</v>
      </c>
      <c r="J7313">
        <v>1999</v>
      </c>
      <c r="K7313" t="s">
        <v>4554</v>
      </c>
      <c r="L7313" t="s">
        <v>4555</v>
      </c>
      <c r="M7313" s="2">
        <v>2408</v>
      </c>
      <c r="N7313" t="s">
        <v>3147</v>
      </c>
      <c r="O7313">
        <v>4</v>
      </c>
      <c r="P7313">
        <v>2</v>
      </c>
      <c r="Q7313">
        <v>1</v>
      </c>
      <c r="R7313" t="s">
        <v>5281</v>
      </c>
      <c r="S7313" t="s">
        <v>4898</v>
      </c>
      <c r="T7313" t="s">
        <v>2704</v>
      </c>
      <c r="U7313" t="s">
        <v>4560</v>
      </c>
      <c r="V7313" s="2">
        <v>611</v>
      </c>
      <c r="W7313" t="s">
        <v>4655</v>
      </c>
      <c r="X7313" s="2">
        <v>0</v>
      </c>
      <c r="Y7313">
        <v>20</v>
      </c>
      <c r="Z7313" t="s">
        <v>2048</v>
      </c>
      <c r="AA7313" s="3">
        <v>0.19299817085266099</v>
      </c>
      <c r="AB7313" t="s">
        <v>34633</v>
      </c>
      <c r="AC7313" t="s">
        <v>4562</v>
      </c>
      <c r="AD7313" t="s">
        <v>34632</v>
      </c>
      <c r="AE7313" t="s">
        <v>4655</v>
      </c>
      <c r="AF7313" t="s">
        <v>5201</v>
      </c>
      <c r="AG7313" t="s">
        <v>4564</v>
      </c>
      <c r="AH7313" t="s">
        <v>1605</v>
      </c>
      <c r="AI7313" t="s">
        <v>34634</v>
      </c>
      <c r="AJ7313" t="s">
        <v>1932</v>
      </c>
      <c r="AK7313" t="s">
        <v>34635</v>
      </c>
      <c r="AL7313" s="13" t="s">
        <v>1899</v>
      </c>
      <c r="AM7313">
        <v>1</v>
      </c>
      <c r="AN7313" s="15" t="s">
        <v>26</v>
      </c>
    </row>
    <row r="7314" spans="1:40" x14ac:dyDescent="0.3">
      <c r="A7314" s="10" t="str">
        <f>HYPERLINK("http://www.washoecounty.gov/assessor/cama/?parid=522-602-05&amp;CardNumber=1","522-602-05")</f>
        <v>522-602-05</v>
      </c>
      <c r="B7314" t="s">
        <v>4655</v>
      </c>
      <c r="C7314" t="s">
        <v>34636</v>
      </c>
      <c r="D7314" s="1">
        <v>40477</v>
      </c>
      <c r="E7314" s="2">
        <v>339000</v>
      </c>
      <c r="F7314" t="s">
        <v>4567</v>
      </c>
      <c r="G7314" s="17" t="str">
        <f>HYPERLINK("https://www.washoecounty.gov/assessor/cama/?command=sales&amp;parid=52260205","3936669")</f>
        <v>3936669</v>
      </c>
      <c r="H7314" t="s">
        <v>1931</v>
      </c>
      <c r="I7314">
        <v>1998</v>
      </c>
      <c r="J7314">
        <v>1998</v>
      </c>
      <c r="K7314" t="s">
        <v>4554</v>
      </c>
      <c r="L7314" t="s">
        <v>3974</v>
      </c>
      <c r="M7314" s="2">
        <v>3282</v>
      </c>
      <c r="N7314" t="s">
        <v>3147</v>
      </c>
      <c r="O7314">
        <v>4</v>
      </c>
      <c r="P7314">
        <v>4</v>
      </c>
      <c r="Q7314">
        <v>0</v>
      </c>
      <c r="R7314" t="s">
        <v>5281</v>
      </c>
      <c r="S7314" t="s">
        <v>4898</v>
      </c>
      <c r="T7314" t="s">
        <v>2704</v>
      </c>
      <c r="U7314" t="s">
        <v>5631</v>
      </c>
      <c r="V7314" s="2">
        <v>609</v>
      </c>
      <c r="W7314" t="s">
        <v>4655</v>
      </c>
      <c r="X7314" s="2">
        <v>0</v>
      </c>
      <c r="Y7314">
        <v>20</v>
      </c>
      <c r="Z7314" t="s">
        <v>2048</v>
      </c>
      <c r="AA7314" s="3">
        <v>0.29600551724433899</v>
      </c>
      <c r="AB7314" t="s">
        <v>34637</v>
      </c>
      <c r="AC7314" t="s">
        <v>4562</v>
      </c>
      <c r="AD7314" t="s">
        <v>34636</v>
      </c>
      <c r="AE7314" t="s">
        <v>4655</v>
      </c>
      <c r="AF7314" t="s">
        <v>5201</v>
      </c>
      <c r="AG7314" t="s">
        <v>4564</v>
      </c>
      <c r="AH7314" t="s">
        <v>1605</v>
      </c>
      <c r="AI7314" t="s">
        <v>34638</v>
      </c>
      <c r="AJ7314" t="s">
        <v>1932</v>
      </c>
      <c r="AK7314" t="s">
        <v>34639</v>
      </c>
      <c r="AL7314" s="13" t="s">
        <v>1899</v>
      </c>
      <c r="AM7314" s="14">
        <v>1</v>
      </c>
      <c r="AN7314" s="15" t="s">
        <v>26</v>
      </c>
    </row>
    <row r="7315" spans="1:40" x14ac:dyDescent="0.3">
      <c r="A7315" s="10" t="str">
        <f>HYPERLINK("http://www.washoecounty.gov/assessor/cama/?parid=522-751-07&amp;CardNumber=1","522-751-07")</f>
        <v>522-751-07</v>
      </c>
      <c r="B7315" t="s">
        <v>4655</v>
      </c>
      <c r="C7315" t="s">
        <v>34640</v>
      </c>
      <c r="D7315" s="1">
        <v>40205</v>
      </c>
      <c r="E7315" s="2">
        <v>207500</v>
      </c>
      <c r="F7315" t="s">
        <v>4553</v>
      </c>
      <c r="G7315" s="17" t="str">
        <f>HYPERLINK("https://www.washoecounty.gov/assessor/cama/?command=sales&amp;parid=52275107","3843255")</f>
        <v>3843255</v>
      </c>
      <c r="H7315" t="s">
        <v>3587</v>
      </c>
      <c r="I7315">
        <v>2002</v>
      </c>
      <c r="J7315">
        <v>2002</v>
      </c>
      <c r="K7315" t="s">
        <v>4554</v>
      </c>
      <c r="L7315" t="s">
        <v>4555</v>
      </c>
      <c r="M7315" s="2">
        <v>1910</v>
      </c>
      <c r="N7315" t="s">
        <v>5280</v>
      </c>
      <c r="O7315">
        <v>3</v>
      </c>
      <c r="P7315">
        <v>2</v>
      </c>
      <c r="Q7315">
        <v>0</v>
      </c>
      <c r="R7315" t="s">
        <v>5281</v>
      </c>
      <c r="S7315" t="s">
        <v>4135</v>
      </c>
      <c r="T7315" t="s">
        <v>2704</v>
      </c>
      <c r="U7315" t="s">
        <v>4560</v>
      </c>
      <c r="V7315" s="2">
        <v>406</v>
      </c>
      <c r="W7315" t="s">
        <v>4655</v>
      </c>
      <c r="X7315" s="2">
        <v>0</v>
      </c>
      <c r="Y7315">
        <v>20</v>
      </c>
      <c r="Z7315" t="s">
        <v>2048</v>
      </c>
      <c r="AA7315" s="3">
        <v>0.160009175539017</v>
      </c>
      <c r="AB7315" t="s">
        <v>34641</v>
      </c>
      <c r="AC7315" t="s">
        <v>4562</v>
      </c>
      <c r="AD7315" t="s">
        <v>34642</v>
      </c>
      <c r="AE7315" t="s">
        <v>4655</v>
      </c>
      <c r="AF7315" t="s">
        <v>34643</v>
      </c>
      <c r="AG7315" t="s">
        <v>4584</v>
      </c>
      <c r="AH7315">
        <v>94028</v>
      </c>
      <c r="AI7315" t="s">
        <v>34644</v>
      </c>
      <c r="AJ7315" t="s">
        <v>3588</v>
      </c>
      <c r="AK7315" t="s">
        <v>34645</v>
      </c>
      <c r="AL7315" s="13" t="s">
        <v>1899</v>
      </c>
      <c r="AM7315">
        <v>1</v>
      </c>
      <c r="AN7315" s="15" t="s">
        <v>3589</v>
      </c>
    </row>
    <row r="7316" spans="1:40" x14ac:dyDescent="0.3">
      <c r="A7316" s="10" t="str">
        <f>HYPERLINK("http://www.washoecounty.gov/assessor/cama/?parid=522-751-10&amp;CardNumber=1","522-751-10")</f>
        <v>522-751-10</v>
      </c>
      <c r="B7316" t="s">
        <v>4655</v>
      </c>
      <c r="C7316" t="s">
        <v>34646</v>
      </c>
      <c r="D7316" s="1">
        <v>40235</v>
      </c>
      <c r="E7316" s="2">
        <v>173000</v>
      </c>
      <c r="F7316" t="s">
        <v>4567</v>
      </c>
      <c r="G7316" s="17" t="str">
        <f>HYPERLINK("https://www.washoecounty.gov/assessor/cama/?command=sales&amp;parid=52275110","3853296")</f>
        <v>3853296</v>
      </c>
      <c r="H7316" t="s">
        <v>34647</v>
      </c>
      <c r="I7316">
        <v>2002</v>
      </c>
      <c r="J7316">
        <v>2002</v>
      </c>
      <c r="K7316" t="s">
        <v>4554</v>
      </c>
      <c r="L7316" t="s">
        <v>4555</v>
      </c>
      <c r="M7316" s="2">
        <v>1549</v>
      </c>
      <c r="N7316" t="s">
        <v>5280</v>
      </c>
      <c r="O7316">
        <v>3</v>
      </c>
      <c r="P7316">
        <v>2</v>
      </c>
      <c r="Q7316">
        <v>0</v>
      </c>
      <c r="R7316" t="s">
        <v>5281</v>
      </c>
      <c r="S7316" t="s">
        <v>4898</v>
      </c>
      <c r="T7316" t="s">
        <v>2704</v>
      </c>
      <c r="U7316" t="s">
        <v>4560</v>
      </c>
      <c r="V7316" s="2">
        <v>443</v>
      </c>
      <c r="W7316" t="s">
        <v>4655</v>
      </c>
      <c r="X7316" s="2">
        <v>0</v>
      </c>
      <c r="Y7316">
        <v>20</v>
      </c>
      <c r="Z7316" t="s">
        <v>2048</v>
      </c>
      <c r="AA7316" s="3">
        <v>0.135009184479713</v>
      </c>
      <c r="AB7316" t="s">
        <v>34648</v>
      </c>
      <c r="AC7316" t="s">
        <v>4562</v>
      </c>
      <c r="AD7316" t="s">
        <v>34646</v>
      </c>
      <c r="AE7316" t="s">
        <v>4655</v>
      </c>
      <c r="AF7316" t="s">
        <v>5201</v>
      </c>
      <c r="AG7316" t="s">
        <v>4564</v>
      </c>
      <c r="AH7316" t="s">
        <v>1605</v>
      </c>
      <c r="AI7316" t="s">
        <v>34649</v>
      </c>
      <c r="AJ7316" t="s">
        <v>3588</v>
      </c>
      <c r="AK7316" t="s">
        <v>34650</v>
      </c>
      <c r="AL7316" s="13" t="s">
        <v>1899</v>
      </c>
      <c r="AM7316">
        <v>1</v>
      </c>
      <c r="AN7316" s="15" t="s">
        <v>3589</v>
      </c>
    </row>
    <row r="7317" spans="1:40" x14ac:dyDescent="0.3">
      <c r="A7317" s="10" t="str">
        <f>HYPERLINK("http://www.washoecounty.gov/assessor/cama/?parid=522-751-11&amp;CardNumber=1","522-751-11")</f>
        <v>522-751-11</v>
      </c>
      <c r="B7317" t="s">
        <v>4655</v>
      </c>
      <c r="C7317" t="s">
        <v>34651</v>
      </c>
      <c r="D7317" s="1">
        <v>40357</v>
      </c>
      <c r="E7317" s="2">
        <v>177000</v>
      </c>
      <c r="F7317" t="s">
        <v>4567</v>
      </c>
      <c r="G7317" s="17" t="str">
        <f>HYPERLINK("https://www.washoecounty.gov/assessor/cama/?command=sales&amp;parid=52275111","3895953")</f>
        <v>3895953</v>
      </c>
      <c r="H7317" t="s">
        <v>3587</v>
      </c>
      <c r="I7317">
        <v>1999</v>
      </c>
      <c r="J7317">
        <v>1999</v>
      </c>
      <c r="K7317" t="s">
        <v>4554</v>
      </c>
      <c r="L7317" t="s">
        <v>4555</v>
      </c>
      <c r="M7317" s="2">
        <v>1920</v>
      </c>
      <c r="N7317" t="s">
        <v>5280</v>
      </c>
      <c r="O7317">
        <v>3</v>
      </c>
      <c r="P7317">
        <v>2</v>
      </c>
      <c r="Q7317">
        <v>0</v>
      </c>
      <c r="R7317" t="s">
        <v>4557</v>
      </c>
      <c r="S7317" t="s">
        <v>4898</v>
      </c>
      <c r="T7317" t="s">
        <v>2704</v>
      </c>
      <c r="U7317" t="s">
        <v>4560</v>
      </c>
      <c r="V7317" s="2">
        <v>406</v>
      </c>
      <c r="W7317" t="s">
        <v>4655</v>
      </c>
      <c r="X7317" s="2">
        <v>0</v>
      </c>
      <c r="Y7317">
        <v>20</v>
      </c>
      <c r="Z7317" t="s">
        <v>2048</v>
      </c>
      <c r="AA7317" s="3">
        <v>0.135009184479713</v>
      </c>
      <c r="AB7317" t="s">
        <v>34652</v>
      </c>
      <c r="AC7317" t="s">
        <v>4562</v>
      </c>
      <c r="AD7317" t="s">
        <v>34653</v>
      </c>
      <c r="AE7317" t="s">
        <v>4655</v>
      </c>
      <c r="AF7317" t="s">
        <v>5201</v>
      </c>
      <c r="AG7317" t="s">
        <v>4564</v>
      </c>
      <c r="AH7317" t="s">
        <v>1605</v>
      </c>
      <c r="AI7317" t="s">
        <v>34654</v>
      </c>
      <c r="AJ7317" t="s">
        <v>3588</v>
      </c>
      <c r="AK7317" t="s">
        <v>34655</v>
      </c>
      <c r="AL7317" s="13" t="s">
        <v>1899</v>
      </c>
      <c r="AM7317" s="14">
        <v>1</v>
      </c>
      <c r="AN7317" s="15" t="s">
        <v>3589</v>
      </c>
    </row>
    <row r="7318" spans="1:40" x14ac:dyDescent="0.3">
      <c r="A7318" s="10" t="str">
        <f>HYPERLINK("http://www.washoecounty.gov/assessor/cama/?parid=522-752-05&amp;CardNumber=1","522-752-05")</f>
        <v>522-752-05</v>
      </c>
      <c r="B7318" t="s">
        <v>4655</v>
      </c>
      <c r="C7318" t="s">
        <v>34656</v>
      </c>
      <c r="D7318" s="1">
        <v>40183</v>
      </c>
      <c r="E7318" s="2">
        <v>225000</v>
      </c>
      <c r="F7318" t="s">
        <v>4553</v>
      </c>
      <c r="G7318" s="17" t="str">
        <f>HYPERLINK("https://www.washoecounty.gov/assessor/cama/?command=sales&amp;parid=52275205","3836634")</f>
        <v>3836634</v>
      </c>
      <c r="H7318" t="s">
        <v>3587</v>
      </c>
      <c r="I7318">
        <v>1999</v>
      </c>
      <c r="J7318">
        <v>1999</v>
      </c>
      <c r="K7318" t="s">
        <v>4554</v>
      </c>
      <c r="L7318" t="s">
        <v>3974</v>
      </c>
      <c r="M7318" s="2">
        <v>2518</v>
      </c>
      <c r="N7318" t="s">
        <v>5280</v>
      </c>
      <c r="O7318">
        <v>4</v>
      </c>
      <c r="P7318">
        <v>3</v>
      </c>
      <c r="Q7318">
        <v>0</v>
      </c>
      <c r="R7318" t="s">
        <v>5281</v>
      </c>
      <c r="S7318" t="s">
        <v>4898</v>
      </c>
      <c r="T7318" t="s">
        <v>2704</v>
      </c>
      <c r="U7318" t="s">
        <v>5631</v>
      </c>
      <c r="V7318" s="2">
        <v>400</v>
      </c>
      <c r="W7318" t="s">
        <v>4655</v>
      </c>
      <c r="X7318" s="2">
        <v>0</v>
      </c>
      <c r="Y7318">
        <v>20</v>
      </c>
      <c r="Z7318" t="s">
        <v>2048</v>
      </c>
      <c r="AA7318" s="3">
        <v>0.18099173903465299</v>
      </c>
      <c r="AB7318" t="s">
        <v>34657</v>
      </c>
      <c r="AC7318" t="s">
        <v>4562</v>
      </c>
      <c r="AD7318" t="s">
        <v>34656</v>
      </c>
      <c r="AE7318" t="s">
        <v>4655</v>
      </c>
      <c r="AF7318" t="s">
        <v>5201</v>
      </c>
      <c r="AG7318" t="s">
        <v>4564</v>
      </c>
      <c r="AH7318" t="s">
        <v>1605</v>
      </c>
      <c r="AI7318" t="s">
        <v>4903</v>
      </c>
      <c r="AJ7318" t="s">
        <v>3588</v>
      </c>
      <c r="AK7318" t="s">
        <v>34658</v>
      </c>
      <c r="AL7318" s="13" t="s">
        <v>1899</v>
      </c>
      <c r="AM7318">
        <v>1</v>
      </c>
      <c r="AN7318" s="15" t="s">
        <v>3589</v>
      </c>
    </row>
    <row r="7319" spans="1:40" x14ac:dyDescent="0.3">
      <c r="A7319" s="10" t="str">
        <f>HYPERLINK("http://www.washoecounty.gov/assessor/cama/?parid=522-753-03&amp;CardNumber=1","522-753-03")</f>
        <v>522-753-03</v>
      </c>
      <c r="B7319" t="s">
        <v>4655</v>
      </c>
      <c r="C7319" t="s">
        <v>34659</v>
      </c>
      <c r="D7319" s="1">
        <v>40437</v>
      </c>
      <c r="E7319" s="2">
        <v>160000</v>
      </c>
      <c r="F7319" t="s">
        <v>4567</v>
      </c>
      <c r="G7319" s="17" t="str">
        <f>HYPERLINK("https://www.washoecounty.gov/assessor/cama/?command=sales&amp;parid=52275303","3923093")</f>
        <v>3923093</v>
      </c>
      <c r="H7319" t="s">
        <v>3587</v>
      </c>
      <c r="I7319">
        <v>1999</v>
      </c>
      <c r="J7319">
        <v>1999</v>
      </c>
      <c r="K7319" t="s">
        <v>4554</v>
      </c>
      <c r="L7319" t="s">
        <v>4555</v>
      </c>
      <c r="M7319" s="2">
        <v>1559</v>
      </c>
      <c r="N7319" t="s">
        <v>5280</v>
      </c>
      <c r="O7319">
        <v>3</v>
      </c>
      <c r="P7319">
        <v>2</v>
      </c>
      <c r="Q7319">
        <v>0</v>
      </c>
      <c r="R7319" t="s">
        <v>4557</v>
      </c>
      <c r="S7319" t="s">
        <v>4898</v>
      </c>
      <c r="T7319" t="s">
        <v>2704</v>
      </c>
      <c r="U7319" t="s">
        <v>4560</v>
      </c>
      <c r="V7319" s="2">
        <v>443</v>
      </c>
      <c r="W7319" t="s">
        <v>4655</v>
      </c>
      <c r="X7319" s="2">
        <v>0</v>
      </c>
      <c r="Y7319">
        <v>20</v>
      </c>
      <c r="Z7319" t="s">
        <v>2048</v>
      </c>
      <c r="AA7319" s="3">
        <v>0.13700643181800801</v>
      </c>
      <c r="AB7319" t="s">
        <v>34660</v>
      </c>
      <c r="AC7319" t="s">
        <v>4562</v>
      </c>
      <c r="AD7319" t="s">
        <v>34661</v>
      </c>
      <c r="AE7319" t="s">
        <v>4655</v>
      </c>
      <c r="AF7319" t="s">
        <v>5201</v>
      </c>
      <c r="AG7319" t="s">
        <v>4564</v>
      </c>
      <c r="AH7319" t="s">
        <v>5202</v>
      </c>
      <c r="AI7319" t="s">
        <v>4655</v>
      </c>
      <c r="AJ7319" t="s">
        <v>3588</v>
      </c>
      <c r="AK7319" t="s">
        <v>34662</v>
      </c>
      <c r="AL7319" s="13" t="s">
        <v>1899</v>
      </c>
      <c r="AM7319">
        <v>1</v>
      </c>
      <c r="AN7319" s="15" t="s">
        <v>3589</v>
      </c>
    </row>
    <row r="7320" spans="1:40" x14ac:dyDescent="0.3">
      <c r="A7320" s="10" t="str">
        <f>HYPERLINK("http://www.washoecounty.gov/assessor/cama/?parid=522-754-02&amp;CardNumber=1","522-754-02")</f>
        <v>522-754-02</v>
      </c>
      <c r="B7320" t="s">
        <v>4655</v>
      </c>
      <c r="C7320" t="s">
        <v>34663</v>
      </c>
      <c r="D7320" s="1">
        <v>40332</v>
      </c>
      <c r="E7320" s="2">
        <v>189000</v>
      </c>
      <c r="F7320" t="s">
        <v>4567</v>
      </c>
      <c r="G7320" s="17" t="str">
        <f>HYPERLINK("https://www.washoecounty.gov/assessor/cama/?command=sales&amp;parid=52275402","3887970")</f>
        <v>3887970</v>
      </c>
      <c r="H7320" t="s">
        <v>3587</v>
      </c>
      <c r="I7320">
        <v>1999</v>
      </c>
      <c r="J7320">
        <v>1999</v>
      </c>
      <c r="K7320" t="s">
        <v>4554</v>
      </c>
      <c r="L7320" t="s">
        <v>3974</v>
      </c>
      <c r="M7320" s="2">
        <v>2118</v>
      </c>
      <c r="N7320" t="s">
        <v>5280</v>
      </c>
      <c r="O7320">
        <v>5</v>
      </c>
      <c r="P7320">
        <v>3</v>
      </c>
      <c r="Q7320">
        <v>0</v>
      </c>
      <c r="R7320" t="s">
        <v>4557</v>
      </c>
      <c r="S7320" t="s">
        <v>4898</v>
      </c>
      <c r="T7320" t="s">
        <v>2704</v>
      </c>
      <c r="U7320" t="s">
        <v>4560</v>
      </c>
      <c r="V7320" s="2">
        <v>408</v>
      </c>
      <c r="W7320" t="s">
        <v>4655</v>
      </c>
      <c r="X7320" s="2">
        <v>0</v>
      </c>
      <c r="Y7320">
        <v>20</v>
      </c>
      <c r="Z7320" t="s">
        <v>2048</v>
      </c>
      <c r="AA7320" s="3">
        <v>0.13999082148075101</v>
      </c>
      <c r="AB7320" t="s">
        <v>34664</v>
      </c>
      <c r="AC7320" t="s">
        <v>4562</v>
      </c>
      <c r="AD7320" t="s">
        <v>34663</v>
      </c>
      <c r="AE7320" t="s">
        <v>4655</v>
      </c>
      <c r="AF7320" t="s">
        <v>5201</v>
      </c>
      <c r="AG7320" t="s">
        <v>4564</v>
      </c>
      <c r="AH7320" t="s">
        <v>1605</v>
      </c>
      <c r="AI7320" t="s">
        <v>34665</v>
      </c>
      <c r="AJ7320" t="s">
        <v>3588</v>
      </c>
      <c r="AK7320" t="s">
        <v>34666</v>
      </c>
      <c r="AL7320" s="13" t="s">
        <v>1899</v>
      </c>
      <c r="AM7320" s="14">
        <v>1</v>
      </c>
      <c r="AN7320" s="15" t="s">
        <v>3589</v>
      </c>
    </row>
    <row r="7321" spans="1:40" x14ac:dyDescent="0.3">
      <c r="A7321" s="10" t="str">
        <f>HYPERLINK("http://www.washoecounty.gov/assessor/cama/?parid=522-755-09&amp;CardNumber=1","522-755-09")</f>
        <v>522-755-09</v>
      </c>
      <c r="B7321" t="s">
        <v>4655</v>
      </c>
      <c r="C7321" t="s">
        <v>34667</v>
      </c>
      <c r="D7321" s="1">
        <v>40232</v>
      </c>
      <c r="E7321" s="2">
        <v>197000</v>
      </c>
      <c r="F7321" t="s">
        <v>4553</v>
      </c>
      <c r="G7321" s="17" t="str">
        <f>HYPERLINK("https://www.washoecounty.gov/assessor/cama/?command=sales&amp;parid=52275509","3851881")</f>
        <v>3851881</v>
      </c>
      <c r="H7321" t="s">
        <v>34647</v>
      </c>
      <c r="I7321">
        <v>2002</v>
      </c>
      <c r="J7321">
        <v>2002</v>
      </c>
      <c r="K7321" t="s">
        <v>4554</v>
      </c>
      <c r="L7321" t="s">
        <v>3974</v>
      </c>
      <c r="M7321" s="2">
        <v>2518</v>
      </c>
      <c r="N7321" t="s">
        <v>5280</v>
      </c>
      <c r="O7321">
        <v>4</v>
      </c>
      <c r="P7321">
        <v>3</v>
      </c>
      <c r="Q7321">
        <v>0</v>
      </c>
      <c r="R7321" t="s">
        <v>5281</v>
      </c>
      <c r="S7321" t="s">
        <v>4898</v>
      </c>
      <c r="T7321" t="s">
        <v>2704</v>
      </c>
      <c r="U7321" t="s">
        <v>5631</v>
      </c>
      <c r="V7321" s="2">
        <v>408</v>
      </c>
      <c r="W7321" t="s">
        <v>4655</v>
      </c>
      <c r="X7321" s="2">
        <v>0</v>
      </c>
      <c r="Y7321">
        <v>20</v>
      </c>
      <c r="Z7321" t="s">
        <v>2048</v>
      </c>
      <c r="AA7321" s="3">
        <v>0.16600091755390201</v>
      </c>
      <c r="AB7321" t="s">
        <v>34668</v>
      </c>
      <c r="AC7321" t="s">
        <v>4562</v>
      </c>
      <c r="AD7321" t="s">
        <v>34667</v>
      </c>
      <c r="AE7321" t="s">
        <v>4655</v>
      </c>
      <c r="AF7321" t="s">
        <v>5201</v>
      </c>
      <c r="AG7321" t="s">
        <v>4564</v>
      </c>
      <c r="AH7321" t="s">
        <v>1605</v>
      </c>
      <c r="AI7321" t="s">
        <v>4498</v>
      </c>
      <c r="AJ7321" t="s">
        <v>3588</v>
      </c>
      <c r="AK7321" t="s">
        <v>34669</v>
      </c>
      <c r="AL7321" s="13" t="s">
        <v>1899</v>
      </c>
      <c r="AM7321">
        <v>1</v>
      </c>
      <c r="AN7321" s="15" t="s">
        <v>3589</v>
      </c>
    </row>
    <row r="7322" spans="1:40" x14ac:dyDescent="0.3">
      <c r="A7322" s="10" t="str">
        <f>HYPERLINK("http://www.washoecounty.gov/assessor/cama/?parid=522-755-10&amp;CardNumber=1","522-755-10")</f>
        <v>522-755-10</v>
      </c>
      <c r="B7322" t="s">
        <v>4655</v>
      </c>
      <c r="C7322" t="s">
        <v>34670</v>
      </c>
      <c r="D7322" s="1">
        <v>40382</v>
      </c>
      <c r="E7322" s="2">
        <v>175000</v>
      </c>
      <c r="F7322" t="s">
        <v>4567</v>
      </c>
      <c r="G7322" s="17" t="str">
        <f>HYPERLINK("https://www.washoecounty.gov/assessor/cama/?command=sales&amp;parid=52275510","3904424")</f>
        <v>3904424</v>
      </c>
      <c r="H7322" t="s">
        <v>34647</v>
      </c>
      <c r="I7322">
        <v>2001</v>
      </c>
      <c r="J7322">
        <v>2001</v>
      </c>
      <c r="K7322" t="s">
        <v>4554</v>
      </c>
      <c r="L7322" t="s">
        <v>4555</v>
      </c>
      <c r="M7322" s="2">
        <v>1679</v>
      </c>
      <c r="N7322" t="s">
        <v>5280</v>
      </c>
      <c r="O7322">
        <v>3</v>
      </c>
      <c r="P7322">
        <v>2</v>
      </c>
      <c r="Q7322">
        <v>0</v>
      </c>
      <c r="R7322" t="s">
        <v>4557</v>
      </c>
      <c r="S7322" t="s">
        <v>4898</v>
      </c>
      <c r="T7322" t="s">
        <v>2704</v>
      </c>
      <c r="U7322" t="s">
        <v>4560</v>
      </c>
      <c r="V7322" s="2">
        <v>400</v>
      </c>
      <c r="W7322" t="s">
        <v>4655</v>
      </c>
      <c r="X7322" s="2">
        <v>0</v>
      </c>
      <c r="Y7322">
        <v>20</v>
      </c>
      <c r="Z7322" t="s">
        <v>2048</v>
      </c>
      <c r="AA7322" s="3">
        <v>0.18599632382392883</v>
      </c>
      <c r="AB7322" t="s">
        <v>33330</v>
      </c>
      <c r="AC7322" t="s">
        <v>4562</v>
      </c>
      <c r="AD7322" t="s">
        <v>33329</v>
      </c>
      <c r="AE7322" t="s">
        <v>4655</v>
      </c>
      <c r="AF7322" t="s">
        <v>5201</v>
      </c>
      <c r="AG7322" t="s">
        <v>4564</v>
      </c>
      <c r="AH7322" t="s">
        <v>1605</v>
      </c>
      <c r="AI7322" t="s">
        <v>4655</v>
      </c>
      <c r="AJ7322" t="s">
        <v>3588</v>
      </c>
      <c r="AK7322" t="s">
        <v>34671</v>
      </c>
      <c r="AL7322" s="13" t="s">
        <v>1899</v>
      </c>
      <c r="AM7322" s="14">
        <v>1</v>
      </c>
      <c r="AN7322" s="15" t="s">
        <v>3589</v>
      </c>
    </row>
    <row r="7323" spans="1:40" x14ac:dyDescent="0.3">
      <c r="A7323" s="10" t="str">
        <f>HYPERLINK("http://www.washoecounty.gov/assessor/cama/?parid=522-812-04&amp;CardNumber=1","522-812-04")</f>
        <v>522-812-04</v>
      </c>
      <c r="B7323" t="s">
        <v>4655</v>
      </c>
      <c r="C7323" t="s">
        <v>34672</v>
      </c>
      <c r="D7323" s="1">
        <v>40305</v>
      </c>
      <c r="E7323" s="2">
        <v>222500</v>
      </c>
      <c r="F7323" t="s">
        <v>4553</v>
      </c>
      <c r="G7323" s="17" t="str">
        <f>HYPERLINK("https://www.washoecounty.gov/assessor/cama/?command=sales&amp;parid=52281204","3879231")</f>
        <v>3879231</v>
      </c>
      <c r="H7323" t="s">
        <v>1256</v>
      </c>
      <c r="I7323">
        <v>2000</v>
      </c>
      <c r="J7323">
        <v>2000</v>
      </c>
      <c r="K7323" t="s">
        <v>4554</v>
      </c>
      <c r="L7323" t="s">
        <v>3974</v>
      </c>
      <c r="M7323" s="2">
        <v>2518</v>
      </c>
      <c r="N7323" t="s">
        <v>5280</v>
      </c>
      <c r="O7323">
        <v>4</v>
      </c>
      <c r="P7323">
        <v>3</v>
      </c>
      <c r="Q7323">
        <v>0</v>
      </c>
      <c r="R7323" t="s">
        <v>4557</v>
      </c>
      <c r="S7323" t="s">
        <v>4898</v>
      </c>
      <c r="T7323" t="s">
        <v>2704</v>
      </c>
      <c r="U7323" t="s">
        <v>162</v>
      </c>
      <c r="V7323" s="2">
        <v>648</v>
      </c>
      <c r="W7323" t="s">
        <v>4655</v>
      </c>
      <c r="X7323" s="2">
        <v>0</v>
      </c>
      <c r="Y7323">
        <v>20</v>
      </c>
      <c r="Z7323" t="s">
        <v>2048</v>
      </c>
      <c r="AA7323" s="3">
        <v>0.14898990094661699</v>
      </c>
      <c r="AB7323" t="s">
        <v>34673</v>
      </c>
      <c r="AC7323" t="s">
        <v>4562</v>
      </c>
      <c r="AD7323" t="s">
        <v>34672</v>
      </c>
      <c r="AE7323" t="s">
        <v>4655</v>
      </c>
      <c r="AF7323" t="s">
        <v>5201</v>
      </c>
      <c r="AG7323" t="s">
        <v>4564</v>
      </c>
      <c r="AH7323" t="s">
        <v>1605</v>
      </c>
      <c r="AI7323" t="s">
        <v>4655</v>
      </c>
      <c r="AJ7323" t="s">
        <v>1257</v>
      </c>
      <c r="AK7323" t="s">
        <v>34674</v>
      </c>
      <c r="AL7323" s="13" t="s">
        <v>1899</v>
      </c>
      <c r="AM7323" s="14">
        <v>1</v>
      </c>
      <c r="AN7323" s="15" t="s">
        <v>3589</v>
      </c>
    </row>
    <row r="7324" spans="1:40" x14ac:dyDescent="0.3">
      <c r="A7324" s="10" t="str">
        <f>HYPERLINK("http://www.washoecounty.gov/assessor/cama/?parid=522-881-11&amp;CardNumber=1","522-881-11")</f>
        <v>522-881-11</v>
      </c>
      <c r="B7324" t="s">
        <v>4655</v>
      </c>
      <c r="C7324" t="s">
        <v>34675</v>
      </c>
      <c r="D7324" s="1">
        <v>40417</v>
      </c>
      <c r="E7324" s="2">
        <v>259000</v>
      </c>
      <c r="F7324" t="s">
        <v>4553</v>
      </c>
      <c r="G7324" s="17" t="str">
        <f>HYPERLINK("https://www.washoecounty.gov/assessor/cama/?command=sales&amp;parid=52288111","3916464")</f>
        <v>3916464</v>
      </c>
      <c r="H7324" t="s">
        <v>2368</v>
      </c>
      <c r="I7324">
        <v>2001</v>
      </c>
      <c r="J7324">
        <v>2001</v>
      </c>
      <c r="K7324" t="s">
        <v>4554</v>
      </c>
      <c r="L7324" t="s">
        <v>3974</v>
      </c>
      <c r="M7324" s="2">
        <v>3003</v>
      </c>
      <c r="N7324" t="s">
        <v>3147</v>
      </c>
      <c r="O7324">
        <v>4</v>
      </c>
      <c r="P7324">
        <v>3</v>
      </c>
      <c r="Q7324">
        <v>0</v>
      </c>
      <c r="R7324" t="s">
        <v>5281</v>
      </c>
      <c r="S7324" t="s">
        <v>4898</v>
      </c>
      <c r="T7324" t="s">
        <v>2704</v>
      </c>
      <c r="U7324" t="s">
        <v>5631</v>
      </c>
      <c r="V7324" s="2">
        <v>650</v>
      </c>
      <c r="W7324" t="s">
        <v>4655</v>
      </c>
      <c r="X7324" s="2">
        <v>0</v>
      </c>
      <c r="Y7324">
        <v>20</v>
      </c>
      <c r="Z7324" t="s">
        <v>2048</v>
      </c>
      <c r="AA7324" s="3">
        <v>0.18500918149948101</v>
      </c>
      <c r="AB7324" t="s">
        <v>34676</v>
      </c>
      <c r="AC7324" t="s">
        <v>4562</v>
      </c>
      <c r="AD7324" t="s">
        <v>34675</v>
      </c>
      <c r="AE7324" t="s">
        <v>4655</v>
      </c>
      <c r="AF7324" t="s">
        <v>5201</v>
      </c>
      <c r="AG7324" t="s">
        <v>4564</v>
      </c>
      <c r="AH7324" t="s">
        <v>1605</v>
      </c>
      <c r="AI7324" t="s">
        <v>4045</v>
      </c>
      <c r="AJ7324" t="s">
        <v>2369</v>
      </c>
      <c r="AK7324" t="s">
        <v>34677</v>
      </c>
      <c r="AL7324" s="13" t="s">
        <v>1899</v>
      </c>
      <c r="AM7324" s="14">
        <v>1</v>
      </c>
      <c r="AN7324" s="15" t="s">
        <v>26</v>
      </c>
    </row>
    <row r="7325" spans="1:40" x14ac:dyDescent="0.3">
      <c r="A7325" s="10" t="str">
        <f>HYPERLINK("http://www.washoecounty.gov/assessor/cama/?parid=522-892-05&amp;CardNumber=1","522-892-05")</f>
        <v>522-892-05</v>
      </c>
      <c r="B7325" t="s">
        <v>4655</v>
      </c>
      <c r="C7325" t="s">
        <v>34678</v>
      </c>
      <c r="D7325" s="1">
        <v>40274</v>
      </c>
      <c r="E7325" s="2">
        <v>265000</v>
      </c>
      <c r="F7325" t="s">
        <v>4567</v>
      </c>
      <c r="G7325" s="17" t="str">
        <f>HYPERLINK("https://www.washoecounty.gov/assessor/cama/?command=sales&amp;parid=52289205","3868162")</f>
        <v>3868162</v>
      </c>
      <c r="H7325" t="s">
        <v>2368</v>
      </c>
      <c r="I7325">
        <v>2001</v>
      </c>
      <c r="J7325">
        <v>2001</v>
      </c>
      <c r="K7325" t="s">
        <v>4554</v>
      </c>
      <c r="L7325" t="s">
        <v>3974</v>
      </c>
      <c r="M7325" s="2">
        <v>3290</v>
      </c>
      <c r="N7325" t="s">
        <v>3147</v>
      </c>
      <c r="O7325">
        <v>5</v>
      </c>
      <c r="P7325">
        <v>3</v>
      </c>
      <c r="Q7325">
        <v>0</v>
      </c>
      <c r="R7325" t="s">
        <v>4557</v>
      </c>
      <c r="S7325" t="s">
        <v>4898</v>
      </c>
      <c r="T7325" t="s">
        <v>2704</v>
      </c>
      <c r="U7325" t="s">
        <v>5631</v>
      </c>
      <c r="V7325" s="2">
        <v>600</v>
      </c>
      <c r="W7325" t="s">
        <v>4655</v>
      </c>
      <c r="X7325" s="2">
        <v>0</v>
      </c>
      <c r="Y7325">
        <v>20</v>
      </c>
      <c r="Z7325" t="s">
        <v>2048</v>
      </c>
      <c r="AA7325" s="3">
        <v>0.16099633276462599</v>
      </c>
      <c r="AB7325" t="s">
        <v>34679</v>
      </c>
      <c r="AC7325" t="s">
        <v>4562</v>
      </c>
      <c r="AD7325" t="s">
        <v>34680</v>
      </c>
      <c r="AE7325" t="s">
        <v>4655</v>
      </c>
      <c r="AF7325" t="s">
        <v>5201</v>
      </c>
      <c r="AG7325" t="s">
        <v>4564</v>
      </c>
      <c r="AH7325" t="s">
        <v>1605</v>
      </c>
      <c r="AI7325" t="s">
        <v>34681</v>
      </c>
      <c r="AJ7325" t="s">
        <v>2369</v>
      </c>
      <c r="AK7325" t="s">
        <v>34682</v>
      </c>
      <c r="AL7325" s="13" t="s">
        <v>1899</v>
      </c>
      <c r="AM7325" s="14">
        <v>1</v>
      </c>
      <c r="AN7325" s="15" t="s">
        <v>26</v>
      </c>
    </row>
    <row r="7326" spans="1:40" x14ac:dyDescent="0.3">
      <c r="A7326" s="10" t="str">
        <f>HYPERLINK("http://www.washoecounty.gov/assessor/cama/?parid=522-892-07&amp;CardNumber=1","522-892-07")</f>
        <v>522-892-07</v>
      </c>
      <c r="B7326" t="s">
        <v>4655</v>
      </c>
      <c r="C7326" t="s">
        <v>34683</v>
      </c>
      <c r="D7326" s="1">
        <v>40487</v>
      </c>
      <c r="E7326" s="2">
        <v>256500</v>
      </c>
      <c r="F7326" t="s">
        <v>4553</v>
      </c>
      <c r="G7326" s="17" t="str">
        <f>HYPERLINK("https://www.washoecounty.gov/assessor/cama/?command=sales&amp;parid=52289207","3940659")</f>
        <v>3940659</v>
      </c>
      <c r="H7326" t="s">
        <v>2368</v>
      </c>
      <c r="I7326">
        <v>2001</v>
      </c>
      <c r="J7326">
        <v>2001</v>
      </c>
      <c r="K7326" t="s">
        <v>4554</v>
      </c>
      <c r="L7326" t="s">
        <v>3974</v>
      </c>
      <c r="M7326" s="2">
        <v>3290</v>
      </c>
      <c r="N7326" t="s">
        <v>3147</v>
      </c>
      <c r="O7326">
        <v>5</v>
      </c>
      <c r="P7326">
        <v>3</v>
      </c>
      <c r="Q7326">
        <v>0</v>
      </c>
      <c r="R7326" t="s">
        <v>4557</v>
      </c>
      <c r="S7326" t="s">
        <v>4898</v>
      </c>
      <c r="T7326" t="s">
        <v>2704</v>
      </c>
      <c r="U7326" t="s">
        <v>5631</v>
      </c>
      <c r="V7326" s="2">
        <v>600</v>
      </c>
      <c r="W7326" t="s">
        <v>4655</v>
      </c>
      <c r="X7326" s="2">
        <v>0</v>
      </c>
      <c r="Y7326">
        <v>20</v>
      </c>
      <c r="Z7326" t="s">
        <v>2048</v>
      </c>
      <c r="AA7326" s="3">
        <v>0.16099633276462599</v>
      </c>
      <c r="AB7326" t="s">
        <v>34684</v>
      </c>
      <c r="AC7326" t="s">
        <v>4575</v>
      </c>
      <c r="AD7326" t="s">
        <v>34683</v>
      </c>
      <c r="AE7326" t="s">
        <v>4655</v>
      </c>
      <c r="AF7326" t="s">
        <v>5201</v>
      </c>
      <c r="AG7326" t="s">
        <v>4564</v>
      </c>
      <c r="AH7326" t="s">
        <v>1605</v>
      </c>
      <c r="AI7326" t="s">
        <v>4794</v>
      </c>
      <c r="AJ7326" t="s">
        <v>2369</v>
      </c>
      <c r="AK7326" t="s">
        <v>34685</v>
      </c>
      <c r="AL7326" s="13" t="s">
        <v>1899</v>
      </c>
      <c r="AM7326">
        <v>1</v>
      </c>
      <c r="AN7326" s="15" t="s">
        <v>26</v>
      </c>
    </row>
    <row r="7327" spans="1:40" x14ac:dyDescent="0.3">
      <c r="A7327" s="10" t="str">
        <f>HYPERLINK("http://www.washoecounty.gov/assessor/cama/?parid=522-911-20&amp;CardNumber=1","522-911-20")</f>
        <v>522-911-20</v>
      </c>
      <c r="B7327" t="s">
        <v>4655</v>
      </c>
      <c r="C7327" t="s">
        <v>34686</v>
      </c>
      <c r="D7327" s="1">
        <v>40359</v>
      </c>
      <c r="E7327" s="2">
        <v>270000</v>
      </c>
      <c r="F7327" t="s">
        <v>4567</v>
      </c>
      <c r="G7327" s="17" t="str">
        <f>HYPERLINK("https://www.washoecounty.gov/assessor/cama/?command=sales&amp;parid=52291120","3897255")</f>
        <v>3897255</v>
      </c>
      <c r="H7327" t="s">
        <v>403</v>
      </c>
      <c r="I7327">
        <v>2002</v>
      </c>
      <c r="J7327">
        <v>2002</v>
      </c>
      <c r="K7327" t="s">
        <v>4554</v>
      </c>
      <c r="L7327" t="s">
        <v>3974</v>
      </c>
      <c r="M7327" s="2">
        <v>3279</v>
      </c>
      <c r="N7327" t="s">
        <v>3147</v>
      </c>
      <c r="O7327">
        <v>4</v>
      </c>
      <c r="P7327">
        <v>5</v>
      </c>
      <c r="Q7327">
        <v>0</v>
      </c>
      <c r="R7327" t="s">
        <v>5281</v>
      </c>
      <c r="S7327" t="s">
        <v>4898</v>
      </c>
      <c r="T7327" t="s">
        <v>2704</v>
      </c>
      <c r="U7327" t="s">
        <v>4560</v>
      </c>
      <c r="V7327" s="2">
        <v>458</v>
      </c>
      <c r="W7327" t="s">
        <v>4655</v>
      </c>
      <c r="X7327" s="2">
        <v>0</v>
      </c>
      <c r="Y7327">
        <v>20</v>
      </c>
      <c r="Z7327" t="s">
        <v>2048</v>
      </c>
      <c r="AA7327" s="3">
        <v>0.21446281671524048</v>
      </c>
      <c r="AB7327" t="s">
        <v>34687</v>
      </c>
      <c r="AC7327" t="s">
        <v>4562</v>
      </c>
      <c r="AD7327" t="s">
        <v>34686</v>
      </c>
      <c r="AE7327" t="s">
        <v>4655</v>
      </c>
      <c r="AF7327" t="s">
        <v>5201</v>
      </c>
      <c r="AG7327" t="s">
        <v>4564</v>
      </c>
      <c r="AH7327" t="s">
        <v>1605</v>
      </c>
      <c r="AI7327" t="s">
        <v>34688</v>
      </c>
      <c r="AJ7327" t="s">
        <v>404</v>
      </c>
      <c r="AK7327" t="s">
        <v>34689</v>
      </c>
      <c r="AL7327" s="13" t="s">
        <v>1899</v>
      </c>
      <c r="AM7327">
        <v>1</v>
      </c>
      <c r="AN7327" s="15" t="s">
        <v>26</v>
      </c>
    </row>
    <row r="7328" spans="1:40" x14ac:dyDescent="0.3">
      <c r="A7328" s="10" t="str">
        <f>HYPERLINK("http://www.washoecounty.gov/assessor/cama/?parid=522-912-30&amp;CardNumber=1","522-912-30")</f>
        <v>522-912-30</v>
      </c>
      <c r="B7328" t="s">
        <v>4655</v>
      </c>
      <c r="C7328" t="s">
        <v>34690</v>
      </c>
      <c r="D7328" s="1">
        <v>40505</v>
      </c>
      <c r="E7328" s="2">
        <v>270000</v>
      </c>
      <c r="F7328" t="s">
        <v>4567</v>
      </c>
      <c r="G7328" s="17" t="str">
        <f>HYPERLINK("https://www.washoecounty.gov/assessor/cama/?command=sales&amp;parid=52291230","3946308")</f>
        <v>3946308</v>
      </c>
      <c r="H7328" t="s">
        <v>34691</v>
      </c>
      <c r="I7328">
        <v>2001</v>
      </c>
      <c r="J7328">
        <v>2001</v>
      </c>
      <c r="K7328" t="s">
        <v>4554</v>
      </c>
      <c r="L7328" t="s">
        <v>4555</v>
      </c>
      <c r="M7328" s="2">
        <v>2393</v>
      </c>
      <c r="N7328" t="s">
        <v>3147</v>
      </c>
      <c r="O7328">
        <v>3</v>
      </c>
      <c r="P7328">
        <v>2</v>
      </c>
      <c r="Q7328">
        <v>0</v>
      </c>
      <c r="R7328" t="s">
        <v>5281</v>
      </c>
      <c r="S7328" t="s">
        <v>4898</v>
      </c>
      <c r="T7328" t="s">
        <v>2704</v>
      </c>
      <c r="U7328" t="s">
        <v>4560</v>
      </c>
      <c r="V7328" s="2">
        <v>644</v>
      </c>
      <c r="W7328" t="s">
        <v>4655</v>
      </c>
      <c r="X7328" s="2">
        <v>0</v>
      </c>
      <c r="Y7328">
        <v>20</v>
      </c>
      <c r="Z7328" t="s">
        <v>2048</v>
      </c>
      <c r="AA7328" s="3">
        <v>0.23985306918621099</v>
      </c>
      <c r="AB7328" t="s">
        <v>34692</v>
      </c>
      <c r="AC7328" t="s">
        <v>4575</v>
      </c>
      <c r="AD7328" t="s">
        <v>34690</v>
      </c>
      <c r="AE7328" t="s">
        <v>4655</v>
      </c>
      <c r="AF7328" t="s">
        <v>5201</v>
      </c>
      <c r="AG7328" t="s">
        <v>4564</v>
      </c>
      <c r="AH7328" t="s">
        <v>1605</v>
      </c>
      <c r="AI7328" t="s">
        <v>34693</v>
      </c>
      <c r="AJ7328" t="s">
        <v>34694</v>
      </c>
      <c r="AK7328" t="s">
        <v>34695</v>
      </c>
      <c r="AL7328" s="13" t="s">
        <v>1899</v>
      </c>
      <c r="AM7328" s="14">
        <v>1</v>
      </c>
      <c r="AN7328" s="15" t="s">
        <v>26</v>
      </c>
    </row>
    <row r="7329" spans="1:40" x14ac:dyDescent="0.3">
      <c r="A7329" s="10" t="str">
        <f>HYPERLINK("http://www.washoecounty.gov/assessor/cama/?parid=522-921-14&amp;CardNumber=1","522-921-14")</f>
        <v>522-921-14</v>
      </c>
      <c r="B7329" t="s">
        <v>4655</v>
      </c>
      <c r="C7329" t="s">
        <v>34696</v>
      </c>
      <c r="D7329" s="1">
        <v>40198</v>
      </c>
      <c r="E7329" s="2">
        <v>280000</v>
      </c>
      <c r="F7329" t="s">
        <v>4567</v>
      </c>
      <c r="G7329" s="17" t="str">
        <f>HYPERLINK("https://www.washoecounty.gov/assessor/cama/?command=sales&amp;parid=52292114","3841186")</f>
        <v>3841186</v>
      </c>
      <c r="H7329" t="s">
        <v>34697</v>
      </c>
      <c r="I7329">
        <v>2002</v>
      </c>
      <c r="J7329">
        <v>2002</v>
      </c>
      <c r="K7329" t="s">
        <v>4554</v>
      </c>
      <c r="L7329" t="s">
        <v>3974</v>
      </c>
      <c r="M7329" s="2">
        <v>3290</v>
      </c>
      <c r="N7329" t="s">
        <v>3147</v>
      </c>
      <c r="O7329">
        <v>4</v>
      </c>
      <c r="P7329">
        <v>3</v>
      </c>
      <c r="Q7329">
        <v>0</v>
      </c>
      <c r="R7329" t="s">
        <v>5281</v>
      </c>
      <c r="S7329" t="s">
        <v>4898</v>
      </c>
      <c r="T7329" t="s">
        <v>2704</v>
      </c>
      <c r="U7329" t="s">
        <v>5631</v>
      </c>
      <c r="V7329" s="2">
        <v>600</v>
      </c>
      <c r="W7329" t="s">
        <v>4655</v>
      </c>
      <c r="X7329" s="2">
        <v>0</v>
      </c>
      <c r="Y7329">
        <v>20</v>
      </c>
      <c r="Z7329" t="s">
        <v>2048</v>
      </c>
      <c r="AA7329" s="3">
        <v>0.21496786177158356</v>
      </c>
      <c r="AB7329" t="s">
        <v>34698</v>
      </c>
      <c r="AC7329" t="s">
        <v>4562</v>
      </c>
      <c r="AD7329" t="s">
        <v>34699</v>
      </c>
      <c r="AE7329" t="s">
        <v>4655</v>
      </c>
      <c r="AF7329" t="s">
        <v>5499</v>
      </c>
      <c r="AG7329" t="s">
        <v>4564</v>
      </c>
      <c r="AH7329" t="s">
        <v>1605</v>
      </c>
      <c r="AI7329" t="s">
        <v>34700</v>
      </c>
      <c r="AJ7329" t="s">
        <v>34701</v>
      </c>
      <c r="AK7329" t="s">
        <v>34702</v>
      </c>
      <c r="AL7329" s="13" t="s">
        <v>1899</v>
      </c>
      <c r="AM7329">
        <v>1</v>
      </c>
      <c r="AN7329" s="15" t="s">
        <v>26</v>
      </c>
    </row>
    <row r="7330" spans="1:40" x14ac:dyDescent="0.3">
      <c r="A7330" s="10" t="str">
        <f>HYPERLINK("http://www.washoecounty.gov/assessor/cama/?parid=522-922-12&amp;CardNumber=1","522-922-12")</f>
        <v>522-922-12</v>
      </c>
      <c r="B7330" t="s">
        <v>4655</v>
      </c>
      <c r="C7330" t="s">
        <v>34703</v>
      </c>
      <c r="D7330" s="1">
        <v>40247</v>
      </c>
      <c r="E7330" s="2">
        <v>258000</v>
      </c>
      <c r="F7330" t="s">
        <v>4567</v>
      </c>
      <c r="G7330" s="17" t="str">
        <f>HYPERLINK("https://www.washoecounty.gov/assessor/cama/?command=sales&amp;parid=52292212","3858298")</f>
        <v>3858298</v>
      </c>
      <c r="H7330" t="s">
        <v>204</v>
      </c>
      <c r="I7330">
        <v>2002</v>
      </c>
      <c r="J7330">
        <v>2002</v>
      </c>
      <c r="K7330" t="s">
        <v>4554</v>
      </c>
      <c r="L7330" t="s">
        <v>3974</v>
      </c>
      <c r="M7330" s="2">
        <v>3290</v>
      </c>
      <c r="N7330" t="s">
        <v>3147</v>
      </c>
      <c r="O7330">
        <v>4</v>
      </c>
      <c r="P7330">
        <v>3</v>
      </c>
      <c r="Q7330">
        <v>0</v>
      </c>
      <c r="R7330" t="s">
        <v>5281</v>
      </c>
      <c r="S7330" t="s">
        <v>4898</v>
      </c>
      <c r="T7330" t="s">
        <v>2704</v>
      </c>
      <c r="U7330" t="s">
        <v>5631</v>
      </c>
      <c r="V7330" s="2">
        <v>600</v>
      </c>
      <c r="W7330" t="s">
        <v>4655</v>
      </c>
      <c r="X7330" s="2">
        <v>0</v>
      </c>
      <c r="Y7330">
        <v>20</v>
      </c>
      <c r="Z7330" t="s">
        <v>2048</v>
      </c>
      <c r="AA7330" s="3">
        <v>0.17596419155597687</v>
      </c>
      <c r="AB7330" t="s">
        <v>34704</v>
      </c>
      <c r="AC7330" t="s">
        <v>4562</v>
      </c>
      <c r="AD7330" t="s">
        <v>34703</v>
      </c>
      <c r="AE7330" t="s">
        <v>4655</v>
      </c>
      <c r="AF7330" t="s">
        <v>5201</v>
      </c>
      <c r="AG7330" t="s">
        <v>4564</v>
      </c>
      <c r="AH7330" t="s">
        <v>1605</v>
      </c>
      <c r="AI7330" t="s">
        <v>34705</v>
      </c>
      <c r="AJ7330" t="s">
        <v>199</v>
      </c>
      <c r="AK7330" t="s">
        <v>34706</v>
      </c>
      <c r="AL7330" s="13" t="s">
        <v>1899</v>
      </c>
      <c r="AM7330" s="14">
        <v>1</v>
      </c>
      <c r="AN7330" s="15" t="s">
        <v>26</v>
      </c>
    </row>
    <row r="7331" spans="1:40" x14ac:dyDescent="0.3">
      <c r="A7331" s="10" t="str">
        <f>HYPERLINK("http://www.washoecounty.gov/assessor/cama/?parid=522-922-13&amp;CardNumber=1","522-922-13")</f>
        <v>522-922-13</v>
      </c>
      <c r="B7331" t="s">
        <v>4655</v>
      </c>
      <c r="C7331" t="s">
        <v>34707</v>
      </c>
      <c r="D7331" s="1">
        <v>40360</v>
      </c>
      <c r="E7331" s="2">
        <v>270000</v>
      </c>
      <c r="F7331" t="s">
        <v>4567</v>
      </c>
      <c r="G7331" s="17" t="str">
        <f>HYPERLINK("https://www.washoecounty.gov/assessor/cama/?command=sales&amp;parid=52292213","3897616")</f>
        <v>3897616</v>
      </c>
      <c r="H7331" t="s">
        <v>204</v>
      </c>
      <c r="I7331">
        <v>2002</v>
      </c>
      <c r="J7331">
        <v>2002</v>
      </c>
      <c r="K7331" t="s">
        <v>4554</v>
      </c>
      <c r="L7331" t="s">
        <v>3974</v>
      </c>
      <c r="M7331" s="2">
        <v>3290</v>
      </c>
      <c r="N7331" t="s">
        <v>3147</v>
      </c>
      <c r="O7331">
        <v>4</v>
      </c>
      <c r="P7331">
        <v>3</v>
      </c>
      <c r="Q7331">
        <v>0</v>
      </c>
      <c r="R7331" t="s">
        <v>5281</v>
      </c>
      <c r="S7331" t="s">
        <v>4898</v>
      </c>
      <c r="T7331" t="s">
        <v>2704</v>
      </c>
      <c r="U7331" t="s">
        <v>5631</v>
      </c>
      <c r="V7331" s="2">
        <v>600</v>
      </c>
      <c r="W7331" t="s">
        <v>4655</v>
      </c>
      <c r="X7331" s="2">
        <v>0</v>
      </c>
      <c r="Y7331">
        <v>20</v>
      </c>
      <c r="Z7331" t="s">
        <v>2048</v>
      </c>
      <c r="AA7331" s="3">
        <v>0.16733241081237801</v>
      </c>
      <c r="AB7331" t="s">
        <v>34708</v>
      </c>
      <c r="AC7331" t="s">
        <v>4562</v>
      </c>
      <c r="AD7331" t="s">
        <v>34709</v>
      </c>
      <c r="AE7331" t="s">
        <v>4655</v>
      </c>
      <c r="AF7331" t="s">
        <v>4809</v>
      </c>
      <c r="AG7331" t="s">
        <v>4564</v>
      </c>
      <c r="AH7331" t="s">
        <v>1605</v>
      </c>
      <c r="AI7331" t="s">
        <v>4655</v>
      </c>
      <c r="AJ7331" t="s">
        <v>199</v>
      </c>
      <c r="AK7331" t="s">
        <v>34710</v>
      </c>
      <c r="AL7331" s="13" t="s">
        <v>1899</v>
      </c>
      <c r="AM7331" s="14">
        <v>1</v>
      </c>
      <c r="AN7331" s="15" t="s">
        <v>26</v>
      </c>
    </row>
    <row r="7332" spans="1:40" x14ac:dyDescent="0.3">
      <c r="A7332" s="10" t="str">
        <f>HYPERLINK("http://www.washoecounty.gov/assessor/cama/?parid=524-012-23&amp;CardNumber=1","524-012-23")</f>
        <v>524-012-23</v>
      </c>
      <c r="B7332" t="s">
        <v>4655</v>
      </c>
      <c r="C7332" t="s">
        <v>34711</v>
      </c>
      <c r="D7332" s="1">
        <v>40347</v>
      </c>
      <c r="E7332" s="2">
        <v>181650</v>
      </c>
      <c r="F7332" t="s">
        <v>4567</v>
      </c>
      <c r="G7332" s="17" t="str">
        <f>HYPERLINK("https://www.washoecounty.gov/assessor/cama/?command=sales&amp;parid=52401223","3893364")</f>
        <v>3893364</v>
      </c>
      <c r="H7332" t="s">
        <v>1355</v>
      </c>
      <c r="I7332">
        <v>2001</v>
      </c>
      <c r="J7332">
        <v>2001</v>
      </c>
      <c r="K7332" t="s">
        <v>4554</v>
      </c>
      <c r="L7332" t="s">
        <v>4555</v>
      </c>
      <c r="M7332" s="2">
        <v>1543</v>
      </c>
      <c r="N7332" t="s">
        <v>5280</v>
      </c>
      <c r="O7332">
        <v>3</v>
      </c>
      <c r="P7332">
        <v>2</v>
      </c>
      <c r="Q7332">
        <v>0</v>
      </c>
      <c r="R7332" t="s">
        <v>5281</v>
      </c>
      <c r="S7332" t="s">
        <v>4898</v>
      </c>
      <c r="T7332" t="s">
        <v>2704</v>
      </c>
      <c r="U7332" t="s">
        <v>4560</v>
      </c>
      <c r="V7332" s="2">
        <v>624</v>
      </c>
      <c r="W7332" t="s">
        <v>4655</v>
      </c>
      <c r="X7332" s="2">
        <v>0</v>
      </c>
      <c r="Y7332">
        <v>20</v>
      </c>
      <c r="Z7332" t="s">
        <v>1604</v>
      </c>
      <c r="AA7332" s="3">
        <v>0.22300276160240201</v>
      </c>
      <c r="AB7332" t="s">
        <v>34712</v>
      </c>
      <c r="AC7332" t="s">
        <v>4575</v>
      </c>
      <c r="AD7332" t="s">
        <v>34711</v>
      </c>
      <c r="AE7332" t="s">
        <v>4655</v>
      </c>
      <c r="AF7332" t="s">
        <v>5201</v>
      </c>
      <c r="AG7332" t="s">
        <v>4564</v>
      </c>
      <c r="AH7332" t="s">
        <v>1605</v>
      </c>
      <c r="AI7332" t="s">
        <v>34713</v>
      </c>
      <c r="AJ7332" t="s">
        <v>1356</v>
      </c>
      <c r="AK7332" t="s">
        <v>34714</v>
      </c>
      <c r="AL7332" s="13" t="s">
        <v>1899</v>
      </c>
      <c r="AM7332" s="14">
        <v>1</v>
      </c>
      <c r="AN7332" s="15" t="s">
        <v>988</v>
      </c>
    </row>
    <row r="7333" spans="1:40" x14ac:dyDescent="0.3">
      <c r="A7333" s="10" t="str">
        <f>HYPERLINK("http://www.washoecounty.gov/assessor/cama/?parid=524-031-07&amp;CardNumber=1","524-031-07")</f>
        <v>524-031-07</v>
      </c>
      <c r="B7333" t="s">
        <v>4655</v>
      </c>
      <c r="C7333" t="s">
        <v>34715</v>
      </c>
      <c r="D7333" s="1">
        <v>40445</v>
      </c>
      <c r="E7333" s="2">
        <v>170000</v>
      </c>
      <c r="F7333" t="s">
        <v>4567</v>
      </c>
      <c r="G7333" s="17" t="str">
        <f>HYPERLINK("https://www.washoecounty.gov/assessor/cama/?command=sales&amp;parid=52403107","3926236")</f>
        <v>3926236</v>
      </c>
      <c r="H7333" t="s">
        <v>3251</v>
      </c>
      <c r="I7333">
        <v>1998</v>
      </c>
      <c r="J7333">
        <v>1998</v>
      </c>
      <c r="K7333" t="s">
        <v>4554</v>
      </c>
      <c r="L7333" t="s">
        <v>4555</v>
      </c>
      <c r="M7333" s="2">
        <v>1720</v>
      </c>
      <c r="N7333" t="s">
        <v>5280</v>
      </c>
      <c r="O7333">
        <v>3</v>
      </c>
      <c r="P7333">
        <v>2</v>
      </c>
      <c r="Q7333">
        <v>0</v>
      </c>
      <c r="R7333" t="s">
        <v>4557</v>
      </c>
      <c r="S7333" t="s">
        <v>4898</v>
      </c>
      <c r="T7333" t="s">
        <v>2704</v>
      </c>
      <c r="U7333" t="s">
        <v>4560</v>
      </c>
      <c r="V7333" s="2">
        <v>590</v>
      </c>
      <c r="W7333" t="s">
        <v>4655</v>
      </c>
      <c r="X7333" s="2">
        <v>0</v>
      </c>
      <c r="Y7333">
        <v>20</v>
      </c>
      <c r="Z7333" t="s">
        <v>1604</v>
      </c>
      <c r="AA7333" s="3">
        <v>0.30300733447074901</v>
      </c>
      <c r="AB7333" t="s">
        <v>34716</v>
      </c>
      <c r="AC7333" t="s">
        <v>4562</v>
      </c>
      <c r="AD7333" t="s">
        <v>34715</v>
      </c>
      <c r="AE7333" t="s">
        <v>4655</v>
      </c>
      <c r="AF7333" t="s">
        <v>5201</v>
      </c>
      <c r="AG7333" t="s">
        <v>4564</v>
      </c>
      <c r="AH7333" t="s">
        <v>1605</v>
      </c>
      <c r="AI7333" t="s">
        <v>34717</v>
      </c>
      <c r="AJ7333" t="s">
        <v>34718</v>
      </c>
      <c r="AK7333" t="s">
        <v>34719</v>
      </c>
      <c r="AL7333" s="13" t="s">
        <v>1899</v>
      </c>
      <c r="AM7333" s="14">
        <v>1</v>
      </c>
      <c r="AN7333" s="15" t="s">
        <v>988</v>
      </c>
    </row>
    <row r="7334" spans="1:40" x14ac:dyDescent="0.3">
      <c r="A7334" s="10" t="str">
        <f>HYPERLINK("http://www.washoecounty.gov/assessor/cama/?parid=524-041-06&amp;CardNumber=1","524-041-06")</f>
        <v>524-041-06</v>
      </c>
      <c r="B7334" t="s">
        <v>4655</v>
      </c>
      <c r="C7334" t="s">
        <v>34720</v>
      </c>
      <c r="D7334" s="1">
        <v>40542</v>
      </c>
      <c r="E7334" s="2">
        <v>130000</v>
      </c>
      <c r="F7334" t="s">
        <v>4567</v>
      </c>
      <c r="G7334" s="17" t="str">
        <f>HYPERLINK("https://www.washoecounty.gov/assessor/cama/?command=sales&amp;parid=52404106","3959374")</f>
        <v>3959374</v>
      </c>
      <c r="H7334" t="s">
        <v>3251</v>
      </c>
      <c r="I7334">
        <v>1999</v>
      </c>
      <c r="J7334">
        <v>1999</v>
      </c>
      <c r="K7334" t="s">
        <v>4554</v>
      </c>
      <c r="L7334" t="s">
        <v>4555</v>
      </c>
      <c r="M7334" s="2">
        <v>1262</v>
      </c>
      <c r="N7334" t="s">
        <v>5280</v>
      </c>
      <c r="O7334">
        <v>3</v>
      </c>
      <c r="P7334">
        <v>2</v>
      </c>
      <c r="Q7334">
        <v>0</v>
      </c>
      <c r="R7334" t="s">
        <v>4557</v>
      </c>
      <c r="S7334" t="s">
        <v>4558</v>
      </c>
      <c r="T7334" t="s">
        <v>4559</v>
      </c>
      <c r="U7334" t="s">
        <v>4560</v>
      </c>
      <c r="V7334" s="2">
        <v>389</v>
      </c>
      <c r="W7334" t="s">
        <v>4655</v>
      </c>
      <c r="X7334" s="2">
        <v>0</v>
      </c>
      <c r="Y7334">
        <v>20</v>
      </c>
      <c r="Z7334" t="s">
        <v>1604</v>
      </c>
      <c r="AA7334" s="3">
        <v>0.19699265062808999</v>
      </c>
      <c r="AB7334" t="s">
        <v>34721</v>
      </c>
      <c r="AC7334" t="s">
        <v>4562</v>
      </c>
      <c r="AD7334" t="s">
        <v>34720</v>
      </c>
      <c r="AE7334" t="s">
        <v>4655</v>
      </c>
      <c r="AF7334" t="s">
        <v>5201</v>
      </c>
      <c r="AG7334" t="s">
        <v>4564</v>
      </c>
      <c r="AH7334" t="s">
        <v>1605</v>
      </c>
      <c r="AI7334" t="s">
        <v>34722</v>
      </c>
      <c r="AJ7334" t="s">
        <v>34723</v>
      </c>
      <c r="AK7334" t="s">
        <v>34724</v>
      </c>
      <c r="AL7334" s="13" t="s">
        <v>1899</v>
      </c>
      <c r="AM7334">
        <v>1</v>
      </c>
      <c r="AN7334" s="15" t="s">
        <v>988</v>
      </c>
    </row>
    <row r="7335" spans="1:40" x14ac:dyDescent="0.3">
      <c r="A7335" s="10" t="str">
        <f>HYPERLINK("http://www.washoecounty.gov/assessor/cama/?parid=524-042-09&amp;CardNumber=1","524-042-09")</f>
        <v>524-042-09</v>
      </c>
      <c r="B7335" t="s">
        <v>4655</v>
      </c>
      <c r="C7335" t="s">
        <v>34725</v>
      </c>
      <c r="D7335" s="1">
        <v>40424</v>
      </c>
      <c r="E7335" s="2">
        <v>142000</v>
      </c>
      <c r="F7335" t="s">
        <v>4553</v>
      </c>
      <c r="G7335" s="17" t="str">
        <f>HYPERLINK("https://www.washoecounty.gov/assessor/cama/?command=sales&amp;parid=52404209","3918809")</f>
        <v>3918809</v>
      </c>
      <c r="H7335" t="s">
        <v>3251</v>
      </c>
      <c r="I7335">
        <v>1999</v>
      </c>
      <c r="J7335">
        <v>1999</v>
      </c>
      <c r="K7335" t="s">
        <v>4554</v>
      </c>
      <c r="L7335" t="s">
        <v>4555</v>
      </c>
      <c r="M7335" s="2">
        <v>1440</v>
      </c>
      <c r="N7335" t="s">
        <v>5280</v>
      </c>
      <c r="O7335">
        <v>3</v>
      </c>
      <c r="P7335">
        <v>2</v>
      </c>
      <c r="Q7335">
        <v>0</v>
      </c>
      <c r="R7335" t="s">
        <v>4557</v>
      </c>
      <c r="S7335" t="s">
        <v>4558</v>
      </c>
      <c r="T7335" t="s">
        <v>4559</v>
      </c>
      <c r="U7335" t="s">
        <v>4560</v>
      </c>
      <c r="V7335" s="2">
        <v>400</v>
      </c>
      <c r="W7335" t="s">
        <v>4655</v>
      </c>
      <c r="X7335" s="2">
        <v>0</v>
      </c>
      <c r="Y7335">
        <v>20</v>
      </c>
      <c r="Z7335" t="s">
        <v>1604</v>
      </c>
      <c r="AA7335" s="3">
        <v>0.233999088406563</v>
      </c>
      <c r="AB7335" t="s">
        <v>34726</v>
      </c>
      <c r="AC7335" t="s">
        <v>4575</v>
      </c>
      <c r="AD7335" t="s">
        <v>34727</v>
      </c>
      <c r="AE7335" t="s">
        <v>34725</v>
      </c>
      <c r="AF7335" t="s">
        <v>4809</v>
      </c>
      <c r="AG7335" t="s">
        <v>4564</v>
      </c>
      <c r="AH7335" t="s">
        <v>1605</v>
      </c>
      <c r="AI7335" t="s">
        <v>4045</v>
      </c>
      <c r="AJ7335" t="s">
        <v>34728</v>
      </c>
      <c r="AK7335" t="s">
        <v>34729</v>
      </c>
      <c r="AL7335" s="13" t="s">
        <v>1899</v>
      </c>
      <c r="AM7335" s="14">
        <v>1</v>
      </c>
      <c r="AN7335" s="15" t="s">
        <v>988</v>
      </c>
    </row>
    <row r="7336" spans="1:40" x14ac:dyDescent="0.3">
      <c r="A7336" s="10" t="str">
        <f>HYPERLINK("http://www.washoecounty.gov/assessor/cama/?parid=524-081-17&amp;CardNumber=1","524-081-17")</f>
        <v>524-081-17</v>
      </c>
      <c r="B7336" t="s">
        <v>4655</v>
      </c>
      <c r="C7336" t="s">
        <v>34730</v>
      </c>
      <c r="D7336" s="1">
        <v>40268</v>
      </c>
      <c r="E7336" s="2">
        <v>232000</v>
      </c>
      <c r="F7336" t="s">
        <v>4567</v>
      </c>
      <c r="G7336" s="17" t="str">
        <f>HYPERLINK("https://www.washoecounty.gov/assessor/cama/?command=sales&amp;parid=52408117","3866494")</f>
        <v>3866494</v>
      </c>
      <c r="H7336" t="s">
        <v>1669</v>
      </c>
      <c r="I7336">
        <v>2000</v>
      </c>
      <c r="J7336">
        <v>2000</v>
      </c>
      <c r="K7336" t="s">
        <v>4554</v>
      </c>
      <c r="L7336" t="s">
        <v>4555</v>
      </c>
      <c r="M7336" s="2">
        <v>1996</v>
      </c>
      <c r="N7336" t="s">
        <v>5280</v>
      </c>
      <c r="O7336">
        <v>4</v>
      </c>
      <c r="P7336">
        <v>2</v>
      </c>
      <c r="Q7336">
        <v>0</v>
      </c>
      <c r="R7336" t="s">
        <v>4557</v>
      </c>
      <c r="S7336" t="s">
        <v>4898</v>
      </c>
      <c r="T7336" t="s">
        <v>2704</v>
      </c>
      <c r="U7336" t="s">
        <v>4560</v>
      </c>
      <c r="V7336" s="2">
        <v>600</v>
      </c>
      <c r="W7336" t="s">
        <v>4655</v>
      </c>
      <c r="X7336" s="2">
        <v>0</v>
      </c>
      <c r="Y7336">
        <v>20</v>
      </c>
      <c r="Z7336" t="s">
        <v>1604</v>
      </c>
      <c r="AA7336" s="3">
        <v>0.22601009905338301</v>
      </c>
      <c r="AB7336" t="s">
        <v>34731</v>
      </c>
      <c r="AC7336" t="s">
        <v>4575</v>
      </c>
      <c r="AD7336" t="s">
        <v>34732</v>
      </c>
      <c r="AE7336" t="s">
        <v>3490</v>
      </c>
      <c r="AF7336" t="s">
        <v>5201</v>
      </c>
      <c r="AG7336" t="s">
        <v>4564</v>
      </c>
      <c r="AH7336" t="s">
        <v>4126</v>
      </c>
      <c r="AI7336" t="s">
        <v>34733</v>
      </c>
      <c r="AJ7336" t="s">
        <v>34734</v>
      </c>
      <c r="AK7336" t="s">
        <v>34735</v>
      </c>
      <c r="AL7336" s="13" t="s">
        <v>1899</v>
      </c>
      <c r="AM7336" s="14">
        <v>1</v>
      </c>
      <c r="AN7336" s="15" t="s">
        <v>988</v>
      </c>
    </row>
    <row r="7337" spans="1:40" x14ac:dyDescent="0.3">
      <c r="A7337" s="10" t="str">
        <f>HYPERLINK("http://www.washoecounty.gov/assessor/cama/?parid=524-082-08&amp;CardNumber=1","524-082-08")</f>
        <v>524-082-08</v>
      </c>
      <c r="B7337" t="s">
        <v>4655</v>
      </c>
      <c r="C7337" t="s">
        <v>34736</v>
      </c>
      <c r="D7337" s="1">
        <v>40434</v>
      </c>
      <c r="E7337" s="2">
        <v>235000</v>
      </c>
      <c r="F7337" t="s">
        <v>4567</v>
      </c>
      <c r="G7337" s="17" t="str">
        <f>HYPERLINK("https://www.washoecounty.gov/assessor/cama/?command=sales&amp;parid=52408208","3921476")</f>
        <v>3921476</v>
      </c>
      <c r="H7337" t="s">
        <v>1669</v>
      </c>
      <c r="I7337">
        <v>1998</v>
      </c>
      <c r="J7337">
        <v>1998</v>
      </c>
      <c r="K7337" t="s">
        <v>4554</v>
      </c>
      <c r="L7337" t="s">
        <v>3974</v>
      </c>
      <c r="M7337" s="2">
        <v>2858</v>
      </c>
      <c r="N7337" t="s">
        <v>5280</v>
      </c>
      <c r="O7337">
        <v>3</v>
      </c>
      <c r="P7337">
        <v>2</v>
      </c>
      <c r="Q7337">
        <v>1</v>
      </c>
      <c r="R7337" t="s">
        <v>5281</v>
      </c>
      <c r="S7337" t="s">
        <v>4135</v>
      </c>
      <c r="T7337" t="s">
        <v>4559</v>
      </c>
      <c r="U7337" t="s">
        <v>4560</v>
      </c>
      <c r="V7337" s="2">
        <v>660</v>
      </c>
      <c r="W7337" t="s">
        <v>4655</v>
      </c>
      <c r="X7337" s="2">
        <v>0</v>
      </c>
      <c r="Y7337">
        <v>20</v>
      </c>
      <c r="Z7337" t="s">
        <v>1604</v>
      </c>
      <c r="AA7337" s="3">
        <v>0.28399908542633101</v>
      </c>
      <c r="AB7337" t="s">
        <v>34737</v>
      </c>
      <c r="AC7337" t="s">
        <v>4562</v>
      </c>
      <c r="AD7337" t="s">
        <v>34738</v>
      </c>
      <c r="AE7337" t="s">
        <v>4655</v>
      </c>
      <c r="AF7337" t="s">
        <v>4809</v>
      </c>
      <c r="AG7337" t="s">
        <v>4564</v>
      </c>
      <c r="AH7337" t="s">
        <v>1605</v>
      </c>
      <c r="AI7337" t="s">
        <v>34739</v>
      </c>
      <c r="AJ7337" t="s">
        <v>34740</v>
      </c>
      <c r="AK7337" t="s">
        <v>34741</v>
      </c>
      <c r="AL7337" s="13" t="s">
        <v>1899</v>
      </c>
      <c r="AM7337">
        <v>1</v>
      </c>
      <c r="AN7337" s="15" t="s">
        <v>988</v>
      </c>
    </row>
    <row r="7338" spans="1:40" x14ac:dyDescent="0.3">
      <c r="A7338" s="10" t="str">
        <f>HYPERLINK("http://www.washoecounty.gov/assessor/cama/?parid=524-121-06&amp;CardNumber=1","524-121-06")</f>
        <v>524-121-06</v>
      </c>
      <c r="B7338" t="s">
        <v>4655</v>
      </c>
      <c r="C7338" s="20" t="s">
        <v>283</v>
      </c>
      <c r="D7338" s="1">
        <v>40312</v>
      </c>
      <c r="E7338" s="2">
        <v>190000</v>
      </c>
      <c r="F7338" t="s">
        <v>4567</v>
      </c>
      <c r="G7338" s="20" t="s">
        <v>282</v>
      </c>
      <c r="H7338" t="s">
        <v>1259</v>
      </c>
      <c r="I7338">
        <v>1997</v>
      </c>
      <c r="J7338">
        <v>1997</v>
      </c>
      <c r="K7338" t="s">
        <v>4554</v>
      </c>
      <c r="L7338" t="s">
        <v>4555</v>
      </c>
      <c r="M7338" s="2">
        <v>1856</v>
      </c>
      <c r="N7338" t="s">
        <v>5280</v>
      </c>
      <c r="O7338">
        <v>4</v>
      </c>
      <c r="P7338">
        <v>2</v>
      </c>
      <c r="Q7338">
        <v>0</v>
      </c>
      <c r="R7338" t="s">
        <v>5281</v>
      </c>
      <c r="S7338" t="s">
        <v>4898</v>
      </c>
      <c r="T7338" t="s">
        <v>2704</v>
      </c>
      <c r="U7338" t="s">
        <v>4560</v>
      </c>
      <c r="V7338" s="2">
        <v>420</v>
      </c>
      <c r="W7338" t="s">
        <v>4655</v>
      </c>
      <c r="X7338" s="2">
        <v>0</v>
      </c>
      <c r="Y7338">
        <v>20</v>
      </c>
      <c r="Z7338" t="s">
        <v>1604</v>
      </c>
      <c r="AA7338" s="3">
        <v>0.29201102256774902</v>
      </c>
      <c r="AB7338" s="20" t="s">
        <v>8865</v>
      </c>
      <c r="AD7338" t="s">
        <v>283</v>
      </c>
      <c r="AE7338" t="s">
        <v>283</v>
      </c>
      <c r="AF7338" t="s">
        <v>283</v>
      </c>
      <c r="AG7338" t="s">
        <v>4564</v>
      </c>
      <c r="AH7338" t="s">
        <v>3101</v>
      </c>
      <c r="AI7338" t="s">
        <v>8865</v>
      </c>
      <c r="AJ7338" t="s">
        <v>34742</v>
      </c>
      <c r="AK7338" t="s">
        <v>34743</v>
      </c>
      <c r="AL7338" s="13" t="s">
        <v>1899</v>
      </c>
      <c r="AM7338" s="14">
        <v>1</v>
      </c>
      <c r="AN7338" s="15" t="s">
        <v>988</v>
      </c>
    </row>
    <row r="7339" spans="1:40" x14ac:dyDescent="0.3">
      <c r="A7339" s="10" t="str">
        <f>HYPERLINK("http://www.washoecounty.gov/assessor/cama/?parid=524-132-12&amp;CardNumber=1","524-132-12")</f>
        <v>524-132-12</v>
      </c>
      <c r="B7339" t="s">
        <v>4655</v>
      </c>
      <c r="C7339" t="s">
        <v>34744</v>
      </c>
      <c r="D7339" s="1">
        <v>40353</v>
      </c>
      <c r="E7339" s="2">
        <v>199900</v>
      </c>
      <c r="F7339" t="s">
        <v>4553</v>
      </c>
      <c r="G7339" s="17" t="str">
        <f>HYPERLINK("https://www.washoecounty.gov/assessor/cama/?command=sales&amp;parid=52413212","3895095")</f>
        <v>3895095</v>
      </c>
      <c r="H7339" t="s">
        <v>1259</v>
      </c>
      <c r="I7339">
        <v>1998</v>
      </c>
      <c r="J7339">
        <v>1998</v>
      </c>
      <c r="K7339" t="s">
        <v>4554</v>
      </c>
      <c r="L7339" t="s">
        <v>4555</v>
      </c>
      <c r="M7339" s="2">
        <v>1856</v>
      </c>
      <c r="N7339" t="s">
        <v>5280</v>
      </c>
      <c r="O7339">
        <v>4</v>
      </c>
      <c r="P7339">
        <v>2</v>
      </c>
      <c r="Q7339">
        <v>0</v>
      </c>
      <c r="R7339" t="s">
        <v>5281</v>
      </c>
      <c r="S7339" t="s">
        <v>4898</v>
      </c>
      <c r="T7339" t="s">
        <v>2704</v>
      </c>
      <c r="U7339" t="s">
        <v>4560</v>
      </c>
      <c r="V7339" s="2">
        <v>620</v>
      </c>
      <c r="W7339" t="s">
        <v>4655</v>
      </c>
      <c r="X7339" s="2">
        <v>0</v>
      </c>
      <c r="Y7339">
        <v>20</v>
      </c>
      <c r="Z7339" t="s">
        <v>1604</v>
      </c>
      <c r="AA7339" s="3">
        <v>0.217998161911964</v>
      </c>
      <c r="AB7339" t="s">
        <v>34745</v>
      </c>
      <c r="AC7339" t="s">
        <v>4562</v>
      </c>
      <c r="AD7339" t="s">
        <v>34744</v>
      </c>
      <c r="AE7339" t="s">
        <v>4655</v>
      </c>
      <c r="AF7339" t="s">
        <v>5201</v>
      </c>
      <c r="AG7339" t="s">
        <v>4564</v>
      </c>
      <c r="AH7339" t="s">
        <v>3898</v>
      </c>
      <c r="AI7339" t="s">
        <v>4903</v>
      </c>
      <c r="AJ7339" t="s">
        <v>34746</v>
      </c>
      <c r="AK7339" t="s">
        <v>34747</v>
      </c>
      <c r="AL7339" s="13" t="s">
        <v>1899</v>
      </c>
      <c r="AM7339">
        <v>1</v>
      </c>
      <c r="AN7339" s="15" t="s">
        <v>988</v>
      </c>
    </row>
    <row r="7340" spans="1:40" x14ac:dyDescent="0.3">
      <c r="A7340" s="10" t="str">
        <f>HYPERLINK("http://www.washoecounty.gov/assessor/cama/?parid=524-141-01&amp;CardNumber=1","524-141-01")</f>
        <v>524-141-01</v>
      </c>
      <c r="B7340" t="s">
        <v>4655</v>
      </c>
      <c r="C7340" t="s">
        <v>34748</v>
      </c>
      <c r="D7340" s="1">
        <v>40298</v>
      </c>
      <c r="E7340" s="2">
        <v>420000</v>
      </c>
      <c r="F7340" t="s">
        <v>4567</v>
      </c>
      <c r="G7340" s="17" t="str">
        <f>HYPERLINK("https://www.washoecounty.gov/assessor/cama/?command=sales&amp;parid=52414101","3876603")</f>
        <v>3876603</v>
      </c>
      <c r="H7340" t="s">
        <v>34749</v>
      </c>
      <c r="I7340">
        <v>1998</v>
      </c>
      <c r="J7340">
        <v>1998</v>
      </c>
      <c r="K7340" t="s">
        <v>4554</v>
      </c>
      <c r="L7340" t="s">
        <v>4555</v>
      </c>
      <c r="M7340" s="2">
        <v>3498</v>
      </c>
      <c r="N7340" t="s">
        <v>3887</v>
      </c>
      <c r="O7340">
        <v>5</v>
      </c>
      <c r="P7340">
        <v>3</v>
      </c>
      <c r="Q7340">
        <v>0</v>
      </c>
      <c r="R7340" t="s">
        <v>5281</v>
      </c>
      <c r="S7340" t="s">
        <v>4898</v>
      </c>
      <c r="T7340" t="s">
        <v>2704</v>
      </c>
      <c r="U7340" t="s">
        <v>162</v>
      </c>
      <c r="V7340" s="2">
        <v>2376</v>
      </c>
      <c r="W7340" t="s">
        <v>4655</v>
      </c>
      <c r="X7340" s="2">
        <v>0</v>
      </c>
      <c r="Y7340">
        <v>20</v>
      </c>
      <c r="Z7340" t="s">
        <v>1604</v>
      </c>
      <c r="AA7340" s="3">
        <v>1.00700187683105</v>
      </c>
      <c r="AB7340" t="s">
        <v>34750</v>
      </c>
      <c r="AC7340" t="s">
        <v>4562</v>
      </c>
      <c r="AD7340" t="s">
        <v>34748</v>
      </c>
      <c r="AE7340" t="s">
        <v>4655</v>
      </c>
      <c r="AF7340" t="s">
        <v>5201</v>
      </c>
      <c r="AG7340" t="s">
        <v>4564</v>
      </c>
      <c r="AH7340" t="s">
        <v>1605</v>
      </c>
      <c r="AI7340" t="s">
        <v>4655</v>
      </c>
      <c r="AJ7340" t="s">
        <v>34751</v>
      </c>
      <c r="AK7340" t="s">
        <v>34752</v>
      </c>
      <c r="AL7340" s="13" t="s">
        <v>1899</v>
      </c>
      <c r="AM7340">
        <v>1</v>
      </c>
      <c r="AN7340" s="15" t="s">
        <v>3840</v>
      </c>
    </row>
    <row r="7341" spans="1:40" x14ac:dyDescent="0.3">
      <c r="A7341" s="10" t="str">
        <f>HYPERLINK("http://www.washoecounty.gov/assessor/cama/?parid=524-141-01&amp;CardNumber=1","524-141-01")</f>
        <v>524-141-01</v>
      </c>
      <c r="B7341" t="s">
        <v>4655</v>
      </c>
      <c r="C7341" t="s">
        <v>34748</v>
      </c>
      <c r="D7341" s="1">
        <v>40353</v>
      </c>
      <c r="E7341" s="2">
        <v>425000</v>
      </c>
      <c r="F7341" t="s">
        <v>4567</v>
      </c>
      <c r="G7341" s="17" t="str">
        <f>HYPERLINK("https://www.washoecounty.gov/assessor/cama/?command=sales&amp;parid=52414101","3894942")</f>
        <v>3894942</v>
      </c>
      <c r="H7341" t="s">
        <v>34749</v>
      </c>
      <c r="I7341">
        <v>1998</v>
      </c>
      <c r="J7341">
        <v>1998</v>
      </c>
      <c r="K7341" t="s">
        <v>4554</v>
      </c>
      <c r="L7341" t="s">
        <v>4555</v>
      </c>
      <c r="M7341" s="2">
        <v>3498</v>
      </c>
      <c r="N7341" t="s">
        <v>3887</v>
      </c>
      <c r="O7341">
        <v>5</v>
      </c>
      <c r="P7341">
        <v>3</v>
      </c>
      <c r="Q7341">
        <v>0</v>
      </c>
      <c r="R7341" t="s">
        <v>5281</v>
      </c>
      <c r="S7341" t="s">
        <v>4898</v>
      </c>
      <c r="T7341" t="s">
        <v>2704</v>
      </c>
      <c r="U7341" t="s">
        <v>162</v>
      </c>
      <c r="V7341" s="2">
        <v>2376</v>
      </c>
      <c r="W7341" t="s">
        <v>4655</v>
      </c>
      <c r="X7341" s="2">
        <v>0</v>
      </c>
      <c r="Y7341">
        <v>20</v>
      </c>
      <c r="Z7341" t="s">
        <v>1604</v>
      </c>
      <c r="AA7341" s="3">
        <v>1.00700187683105</v>
      </c>
      <c r="AB7341" t="s">
        <v>34750</v>
      </c>
      <c r="AC7341" t="s">
        <v>4562</v>
      </c>
      <c r="AD7341" t="s">
        <v>34748</v>
      </c>
      <c r="AE7341" t="s">
        <v>4655</v>
      </c>
      <c r="AF7341" t="s">
        <v>5201</v>
      </c>
      <c r="AG7341" t="s">
        <v>4564</v>
      </c>
      <c r="AH7341" t="s">
        <v>1605</v>
      </c>
      <c r="AI7341" t="s">
        <v>4655</v>
      </c>
      <c r="AJ7341" t="s">
        <v>34751</v>
      </c>
      <c r="AK7341" t="s">
        <v>34752</v>
      </c>
      <c r="AL7341" s="13" t="s">
        <v>1899</v>
      </c>
      <c r="AM7341">
        <v>1</v>
      </c>
      <c r="AN7341" s="15" t="s">
        <v>3840</v>
      </c>
    </row>
    <row r="7342" spans="1:40" x14ac:dyDescent="0.3">
      <c r="A7342" s="10" t="str">
        <f>HYPERLINK("http://www.washoecounty.gov/assessor/cama/?parid=524-161-01&amp;CardNumber=1","524-161-01")</f>
        <v>524-161-01</v>
      </c>
      <c r="B7342" t="s">
        <v>4655</v>
      </c>
      <c r="C7342" t="s">
        <v>34753</v>
      </c>
      <c r="D7342" s="1">
        <v>40247</v>
      </c>
      <c r="E7342" s="2">
        <v>160000</v>
      </c>
      <c r="F7342" t="s">
        <v>4567</v>
      </c>
      <c r="G7342" s="17" t="str">
        <f>HYPERLINK("https://www.washoecounty.gov/assessor/cama/?command=sales&amp;parid=52416101","3858062")</f>
        <v>3858062</v>
      </c>
      <c r="H7342" t="s">
        <v>1816</v>
      </c>
      <c r="I7342">
        <v>1999</v>
      </c>
      <c r="J7342">
        <v>1999</v>
      </c>
      <c r="K7342" t="s">
        <v>4554</v>
      </c>
      <c r="L7342" t="s">
        <v>4555</v>
      </c>
      <c r="M7342" s="2">
        <v>1685</v>
      </c>
      <c r="N7342" t="s">
        <v>4048</v>
      </c>
      <c r="O7342">
        <v>3</v>
      </c>
      <c r="P7342">
        <v>2</v>
      </c>
      <c r="Q7342">
        <v>0</v>
      </c>
      <c r="R7342" t="s">
        <v>5281</v>
      </c>
      <c r="S7342" t="s">
        <v>4558</v>
      </c>
      <c r="T7342" t="s">
        <v>4559</v>
      </c>
      <c r="U7342" t="s">
        <v>162</v>
      </c>
      <c r="V7342" s="2">
        <v>1146</v>
      </c>
      <c r="W7342" t="s">
        <v>4655</v>
      </c>
      <c r="X7342" s="2">
        <v>0</v>
      </c>
      <c r="Y7342">
        <v>20</v>
      </c>
      <c r="Z7342" t="s">
        <v>1604</v>
      </c>
      <c r="AA7342" s="3">
        <v>0.26701101660728499</v>
      </c>
      <c r="AB7342" t="s">
        <v>34754</v>
      </c>
      <c r="AC7342" t="s">
        <v>4562</v>
      </c>
      <c r="AD7342" t="s">
        <v>34753</v>
      </c>
      <c r="AE7342" t="s">
        <v>4655</v>
      </c>
      <c r="AF7342" t="s">
        <v>5201</v>
      </c>
      <c r="AG7342" t="s">
        <v>4564</v>
      </c>
      <c r="AH7342" t="s">
        <v>1605</v>
      </c>
      <c r="AI7342" t="s">
        <v>34755</v>
      </c>
      <c r="AJ7342" t="s">
        <v>34756</v>
      </c>
      <c r="AK7342" t="s">
        <v>34757</v>
      </c>
      <c r="AL7342" s="13" t="s">
        <v>1899</v>
      </c>
      <c r="AM7342" s="14">
        <v>1</v>
      </c>
      <c r="AN7342" s="15" t="s">
        <v>988</v>
      </c>
    </row>
    <row r="7343" spans="1:40" x14ac:dyDescent="0.3">
      <c r="A7343" s="10" t="str">
        <f>HYPERLINK("http://www.washoecounty.gov/assessor/cama/?parid=524-161-10&amp;CardNumber=1","524-161-10")</f>
        <v>524-161-10</v>
      </c>
      <c r="B7343" t="s">
        <v>4655</v>
      </c>
      <c r="C7343" t="s">
        <v>34758</v>
      </c>
      <c r="D7343" s="1">
        <v>40212</v>
      </c>
      <c r="E7343" s="2">
        <v>183689</v>
      </c>
      <c r="F7343" t="s">
        <v>4567</v>
      </c>
      <c r="G7343" s="17" t="str">
        <f>HYPERLINK("https://www.washoecounty.gov/assessor/cama/?command=sales&amp;parid=52416110","3845659")</f>
        <v>3845659</v>
      </c>
      <c r="H7343" t="s">
        <v>1816</v>
      </c>
      <c r="I7343">
        <v>1998</v>
      </c>
      <c r="J7343">
        <v>1998</v>
      </c>
      <c r="K7343" t="s">
        <v>4554</v>
      </c>
      <c r="L7343" t="s">
        <v>4555</v>
      </c>
      <c r="M7343" s="2">
        <v>1737</v>
      </c>
      <c r="N7343" t="s">
        <v>4048</v>
      </c>
      <c r="O7343">
        <v>3</v>
      </c>
      <c r="P7343">
        <v>2</v>
      </c>
      <c r="Q7343">
        <v>0</v>
      </c>
      <c r="R7343" t="s">
        <v>5281</v>
      </c>
      <c r="S7343" t="s">
        <v>4558</v>
      </c>
      <c r="T7343" t="s">
        <v>4559</v>
      </c>
      <c r="U7343" t="s">
        <v>4560</v>
      </c>
      <c r="V7343" s="2">
        <v>696</v>
      </c>
      <c r="W7343" t="s">
        <v>4655</v>
      </c>
      <c r="X7343" s="2">
        <v>0</v>
      </c>
      <c r="Y7343">
        <v>20</v>
      </c>
      <c r="Z7343" t="s">
        <v>1604</v>
      </c>
      <c r="AA7343" s="3">
        <v>0.26099634170532199</v>
      </c>
      <c r="AB7343" t="s">
        <v>34759</v>
      </c>
      <c r="AC7343" t="s">
        <v>4575</v>
      </c>
      <c r="AD7343" t="s">
        <v>34760</v>
      </c>
      <c r="AE7343" t="s">
        <v>34758</v>
      </c>
      <c r="AF7343" t="s">
        <v>4809</v>
      </c>
      <c r="AG7343" t="s">
        <v>4564</v>
      </c>
      <c r="AH7343" t="s">
        <v>1605</v>
      </c>
      <c r="AI7343" t="s">
        <v>1602</v>
      </c>
      <c r="AJ7343" t="s">
        <v>34761</v>
      </c>
      <c r="AK7343" t="s">
        <v>34762</v>
      </c>
      <c r="AL7343" s="13" t="s">
        <v>1899</v>
      </c>
      <c r="AM7343" s="14">
        <v>1</v>
      </c>
      <c r="AN7343" s="15" t="s">
        <v>988</v>
      </c>
    </row>
    <row r="7344" spans="1:40" x14ac:dyDescent="0.3">
      <c r="A7344" s="10" t="str">
        <f>HYPERLINK("http://www.washoecounty.gov/assessor/cama/?parid=524-161-10&amp;CardNumber=1","524-161-10")</f>
        <v>524-161-10</v>
      </c>
      <c r="B7344" t="s">
        <v>4655</v>
      </c>
      <c r="C7344" t="s">
        <v>34758</v>
      </c>
      <c r="D7344" s="1">
        <v>40410</v>
      </c>
      <c r="E7344" s="2">
        <v>166900</v>
      </c>
      <c r="F7344" t="s">
        <v>4553</v>
      </c>
      <c r="G7344" s="17" t="str">
        <f>HYPERLINK("https://www.washoecounty.gov/assessor/cama/?command=sales&amp;parid=52416110","3914273")</f>
        <v>3914273</v>
      </c>
      <c r="H7344" t="s">
        <v>1816</v>
      </c>
      <c r="I7344">
        <v>1998</v>
      </c>
      <c r="J7344">
        <v>1998</v>
      </c>
      <c r="K7344" t="s">
        <v>4554</v>
      </c>
      <c r="L7344" t="s">
        <v>4555</v>
      </c>
      <c r="M7344" s="2">
        <v>1737</v>
      </c>
      <c r="N7344" t="s">
        <v>4048</v>
      </c>
      <c r="O7344">
        <v>3</v>
      </c>
      <c r="P7344">
        <v>2</v>
      </c>
      <c r="Q7344">
        <v>0</v>
      </c>
      <c r="R7344" t="s">
        <v>5281</v>
      </c>
      <c r="S7344" t="s">
        <v>4558</v>
      </c>
      <c r="T7344" t="s">
        <v>4559</v>
      </c>
      <c r="U7344" t="s">
        <v>4560</v>
      </c>
      <c r="V7344" s="2">
        <v>696</v>
      </c>
      <c r="W7344" t="s">
        <v>4655</v>
      </c>
      <c r="X7344" s="2">
        <v>0</v>
      </c>
      <c r="Y7344">
        <v>20</v>
      </c>
      <c r="Z7344" t="s">
        <v>1604</v>
      </c>
      <c r="AA7344" s="3">
        <v>0.26099634170532199</v>
      </c>
      <c r="AB7344" t="s">
        <v>34759</v>
      </c>
      <c r="AC7344" t="s">
        <v>4575</v>
      </c>
      <c r="AD7344" t="s">
        <v>34760</v>
      </c>
      <c r="AE7344" t="s">
        <v>34758</v>
      </c>
      <c r="AF7344" t="s">
        <v>4809</v>
      </c>
      <c r="AG7344" t="s">
        <v>4564</v>
      </c>
      <c r="AH7344" t="s">
        <v>1605</v>
      </c>
      <c r="AI7344" t="s">
        <v>1602</v>
      </c>
      <c r="AJ7344" t="s">
        <v>34761</v>
      </c>
      <c r="AK7344" t="s">
        <v>34762</v>
      </c>
      <c r="AL7344" s="13" t="s">
        <v>1899</v>
      </c>
      <c r="AM7344">
        <v>1</v>
      </c>
      <c r="AN7344" s="15" t="s">
        <v>988</v>
      </c>
    </row>
    <row r="7345" spans="1:40" x14ac:dyDescent="0.3">
      <c r="A7345" s="10" t="str">
        <f>HYPERLINK("http://www.washoecounty.gov/assessor/cama/?parid=524-171-04&amp;CardNumber=1","524-171-04")</f>
        <v>524-171-04</v>
      </c>
      <c r="B7345" t="s">
        <v>4655</v>
      </c>
      <c r="C7345" t="s">
        <v>34763</v>
      </c>
      <c r="D7345" s="1">
        <v>40421</v>
      </c>
      <c r="E7345" s="2">
        <v>170000</v>
      </c>
      <c r="F7345" t="s">
        <v>4553</v>
      </c>
      <c r="G7345" s="17" t="str">
        <f>HYPERLINK("https://www.washoecounty.gov/assessor/cama/?command=sales&amp;parid=52417104","3917692")</f>
        <v>3917692</v>
      </c>
      <c r="H7345" t="s">
        <v>1816</v>
      </c>
      <c r="I7345">
        <v>1998</v>
      </c>
      <c r="J7345">
        <v>1998</v>
      </c>
      <c r="K7345" t="s">
        <v>4554</v>
      </c>
      <c r="L7345" t="s">
        <v>4555</v>
      </c>
      <c r="M7345" s="2">
        <v>1426</v>
      </c>
      <c r="N7345" t="s">
        <v>4048</v>
      </c>
      <c r="O7345">
        <v>3</v>
      </c>
      <c r="P7345">
        <v>2</v>
      </c>
      <c r="Q7345">
        <v>0</v>
      </c>
      <c r="R7345" t="s">
        <v>4557</v>
      </c>
      <c r="S7345" t="s">
        <v>4558</v>
      </c>
      <c r="T7345" t="s">
        <v>4559</v>
      </c>
      <c r="U7345" t="s">
        <v>4560</v>
      </c>
      <c r="V7345" s="2">
        <v>529</v>
      </c>
      <c r="W7345" t="s">
        <v>4655</v>
      </c>
      <c r="X7345" s="2">
        <v>0</v>
      </c>
      <c r="Y7345">
        <v>20</v>
      </c>
      <c r="Z7345" t="s">
        <v>1604</v>
      </c>
      <c r="AA7345" s="3">
        <v>0.176010102033615</v>
      </c>
      <c r="AB7345" t="s">
        <v>34764</v>
      </c>
      <c r="AC7345" t="s">
        <v>4562</v>
      </c>
      <c r="AD7345" t="s">
        <v>34763</v>
      </c>
      <c r="AE7345" t="s">
        <v>4655</v>
      </c>
      <c r="AF7345" t="s">
        <v>5201</v>
      </c>
      <c r="AG7345" t="s">
        <v>4564</v>
      </c>
      <c r="AH7345" t="s">
        <v>1605</v>
      </c>
      <c r="AI7345" t="s">
        <v>4903</v>
      </c>
      <c r="AJ7345" t="s">
        <v>34765</v>
      </c>
      <c r="AK7345" t="s">
        <v>34766</v>
      </c>
      <c r="AL7345" s="13" t="s">
        <v>1899</v>
      </c>
      <c r="AM7345">
        <v>1</v>
      </c>
      <c r="AN7345" s="15" t="s">
        <v>988</v>
      </c>
    </row>
    <row r="7346" spans="1:40" x14ac:dyDescent="0.3">
      <c r="A7346" s="10" t="str">
        <f>HYPERLINK("http://www.washoecounty.gov/assessor/cama/?parid=524-171-07&amp;CardNumber=1","524-171-07")</f>
        <v>524-171-07</v>
      </c>
      <c r="B7346" t="s">
        <v>4655</v>
      </c>
      <c r="C7346" t="s">
        <v>34767</v>
      </c>
      <c r="D7346" s="1">
        <v>40403</v>
      </c>
      <c r="E7346" s="2">
        <v>135000</v>
      </c>
      <c r="F7346" t="s">
        <v>4567</v>
      </c>
      <c r="G7346" s="17" t="str">
        <f>HYPERLINK("https://www.washoecounty.gov/assessor/cama/?command=sales&amp;parid=52417107","3911598")</f>
        <v>3911598</v>
      </c>
      <c r="H7346" t="s">
        <v>1816</v>
      </c>
      <c r="I7346">
        <v>1999</v>
      </c>
      <c r="J7346">
        <v>1999</v>
      </c>
      <c r="K7346" t="s">
        <v>4554</v>
      </c>
      <c r="L7346" t="s">
        <v>4555</v>
      </c>
      <c r="M7346" s="2">
        <v>1685</v>
      </c>
      <c r="N7346" t="s">
        <v>4048</v>
      </c>
      <c r="O7346">
        <v>3</v>
      </c>
      <c r="P7346">
        <v>2</v>
      </c>
      <c r="Q7346">
        <v>0</v>
      </c>
      <c r="R7346" t="s">
        <v>5281</v>
      </c>
      <c r="S7346" t="s">
        <v>4558</v>
      </c>
      <c r="T7346" t="s">
        <v>4559</v>
      </c>
      <c r="U7346" t="s">
        <v>4560</v>
      </c>
      <c r="V7346" s="2">
        <v>570</v>
      </c>
      <c r="W7346" t="s">
        <v>4655</v>
      </c>
      <c r="X7346" s="2">
        <v>0</v>
      </c>
      <c r="Y7346">
        <v>20</v>
      </c>
      <c r="Z7346" t="s">
        <v>1604</v>
      </c>
      <c r="AA7346" s="3">
        <v>0.17398989200591999</v>
      </c>
      <c r="AB7346" t="s">
        <v>1506</v>
      </c>
      <c r="AC7346" t="s">
        <v>4562</v>
      </c>
      <c r="AD7346" t="s">
        <v>1912</v>
      </c>
      <c r="AE7346" t="s">
        <v>4655</v>
      </c>
      <c r="AF7346" t="s">
        <v>4563</v>
      </c>
      <c r="AG7346" t="s">
        <v>4564</v>
      </c>
      <c r="AH7346">
        <v>89511</v>
      </c>
      <c r="AI7346" t="s">
        <v>34768</v>
      </c>
      <c r="AJ7346" t="s">
        <v>34769</v>
      </c>
      <c r="AK7346" t="s">
        <v>34770</v>
      </c>
      <c r="AL7346" s="13" t="s">
        <v>1899</v>
      </c>
      <c r="AM7346" s="14">
        <v>1</v>
      </c>
      <c r="AN7346" s="15" t="s">
        <v>988</v>
      </c>
    </row>
    <row r="7347" spans="1:40" x14ac:dyDescent="0.3">
      <c r="A7347" s="10" t="str">
        <f>HYPERLINK("http://www.washoecounty.gov/assessor/cama/?parid=524-172-10&amp;CardNumber=1","524-172-10")</f>
        <v>524-172-10</v>
      </c>
      <c r="B7347" t="s">
        <v>4655</v>
      </c>
      <c r="C7347" t="s">
        <v>34771</v>
      </c>
      <c r="D7347" s="1">
        <v>40378</v>
      </c>
      <c r="E7347" s="2">
        <v>205000</v>
      </c>
      <c r="F7347" t="s">
        <v>4567</v>
      </c>
      <c r="G7347" s="17" t="str">
        <f>HYPERLINK("https://www.washoecounty.gov/assessor/cama/?command=sales&amp;parid=52417210","3902459")</f>
        <v>3902459</v>
      </c>
      <c r="H7347" t="s">
        <v>1816</v>
      </c>
      <c r="I7347">
        <v>1998</v>
      </c>
      <c r="J7347">
        <v>1998</v>
      </c>
      <c r="K7347" t="s">
        <v>4554</v>
      </c>
      <c r="L7347" t="s">
        <v>4555</v>
      </c>
      <c r="M7347" s="2">
        <v>2086</v>
      </c>
      <c r="N7347" t="s">
        <v>4048</v>
      </c>
      <c r="O7347">
        <v>4</v>
      </c>
      <c r="P7347">
        <v>2</v>
      </c>
      <c r="Q7347">
        <v>1</v>
      </c>
      <c r="R7347" t="s">
        <v>5281</v>
      </c>
      <c r="S7347" t="s">
        <v>4558</v>
      </c>
      <c r="T7347" t="s">
        <v>4559</v>
      </c>
      <c r="U7347" t="s">
        <v>4560</v>
      </c>
      <c r="V7347" s="2">
        <v>726</v>
      </c>
      <c r="W7347" t="s">
        <v>4655</v>
      </c>
      <c r="X7347" s="2">
        <v>0</v>
      </c>
      <c r="Y7347">
        <v>20</v>
      </c>
      <c r="Z7347" t="s">
        <v>1604</v>
      </c>
      <c r="AA7347" s="3">
        <v>0.28099173307418801</v>
      </c>
      <c r="AB7347" t="s">
        <v>34772</v>
      </c>
      <c r="AC7347" t="s">
        <v>4562</v>
      </c>
      <c r="AD7347" t="s">
        <v>34771</v>
      </c>
      <c r="AE7347" t="s">
        <v>4655</v>
      </c>
      <c r="AF7347" t="s">
        <v>5201</v>
      </c>
      <c r="AG7347" t="s">
        <v>4564</v>
      </c>
      <c r="AH7347" t="s">
        <v>1605</v>
      </c>
      <c r="AI7347" t="s">
        <v>3220</v>
      </c>
      <c r="AJ7347" t="s">
        <v>34773</v>
      </c>
      <c r="AK7347" t="s">
        <v>34774</v>
      </c>
      <c r="AL7347" s="13" t="s">
        <v>1899</v>
      </c>
      <c r="AM7347">
        <v>1</v>
      </c>
      <c r="AN7347" s="15" t="s">
        <v>988</v>
      </c>
    </row>
    <row r="7348" spans="1:40" x14ac:dyDescent="0.3">
      <c r="A7348" s="10" t="str">
        <f>HYPERLINK("http://www.washoecounty.gov/assessor/cama/?parid=524-172-12&amp;CardNumber=1","524-172-12")</f>
        <v>524-172-12</v>
      </c>
      <c r="B7348" t="s">
        <v>4655</v>
      </c>
      <c r="C7348" t="s">
        <v>34775</v>
      </c>
      <c r="D7348" s="1">
        <v>40399</v>
      </c>
      <c r="E7348" s="2">
        <v>202000</v>
      </c>
      <c r="F7348" t="s">
        <v>4553</v>
      </c>
      <c r="G7348" s="17" t="str">
        <f>HYPERLINK("https://www.washoecounty.gov/assessor/cama/?command=sales&amp;parid=52417212","3909975")</f>
        <v>3909975</v>
      </c>
      <c r="H7348" t="s">
        <v>1816</v>
      </c>
      <c r="I7348">
        <v>1998</v>
      </c>
      <c r="J7348">
        <v>1998</v>
      </c>
      <c r="K7348" t="s">
        <v>4554</v>
      </c>
      <c r="L7348" t="s">
        <v>4555</v>
      </c>
      <c r="M7348" s="2">
        <v>2086</v>
      </c>
      <c r="N7348" t="s">
        <v>4048</v>
      </c>
      <c r="O7348">
        <v>4</v>
      </c>
      <c r="P7348">
        <v>2</v>
      </c>
      <c r="Q7348">
        <v>1</v>
      </c>
      <c r="R7348" t="s">
        <v>5281</v>
      </c>
      <c r="S7348" t="s">
        <v>4558</v>
      </c>
      <c r="T7348" t="s">
        <v>4559</v>
      </c>
      <c r="U7348" t="s">
        <v>4560</v>
      </c>
      <c r="V7348" s="2">
        <v>726</v>
      </c>
      <c r="W7348" t="s">
        <v>4655</v>
      </c>
      <c r="X7348" s="2">
        <v>0</v>
      </c>
      <c r="Y7348">
        <v>20</v>
      </c>
      <c r="Z7348" t="s">
        <v>1604</v>
      </c>
      <c r="AA7348" s="3">
        <v>0.207988977432251</v>
      </c>
      <c r="AB7348" t="s">
        <v>34776</v>
      </c>
      <c r="AC7348" t="s">
        <v>4562</v>
      </c>
      <c r="AD7348" t="s">
        <v>34775</v>
      </c>
      <c r="AE7348" t="s">
        <v>4655</v>
      </c>
      <c r="AF7348" t="s">
        <v>5201</v>
      </c>
      <c r="AG7348" t="s">
        <v>4564</v>
      </c>
      <c r="AH7348" t="s">
        <v>1605</v>
      </c>
      <c r="AI7348" t="s">
        <v>21737</v>
      </c>
      <c r="AJ7348" t="s">
        <v>34777</v>
      </c>
      <c r="AK7348" t="s">
        <v>34778</v>
      </c>
      <c r="AL7348" s="13" t="s">
        <v>1899</v>
      </c>
      <c r="AM7348">
        <v>1</v>
      </c>
      <c r="AN7348" s="15" t="s">
        <v>988</v>
      </c>
    </row>
    <row r="7349" spans="1:40" x14ac:dyDescent="0.3">
      <c r="A7349" s="10" t="str">
        <f>HYPERLINK("http://www.washoecounty.gov/assessor/cama/?parid=524-191-07&amp;CardNumber=1","524-191-07")</f>
        <v>524-191-07</v>
      </c>
      <c r="B7349" t="s">
        <v>4655</v>
      </c>
      <c r="C7349" t="s">
        <v>34779</v>
      </c>
      <c r="D7349" s="1">
        <v>40410</v>
      </c>
      <c r="E7349" s="2">
        <v>190000</v>
      </c>
      <c r="F7349" t="s">
        <v>4567</v>
      </c>
      <c r="G7349" s="17" t="str">
        <f>HYPERLINK("https://www.washoecounty.gov/assessor/cama/?command=sales&amp;parid=52419107","3914299")</f>
        <v>3914299</v>
      </c>
      <c r="H7349" t="s">
        <v>770</v>
      </c>
      <c r="I7349">
        <v>1999</v>
      </c>
      <c r="J7349">
        <v>1999</v>
      </c>
      <c r="K7349" t="s">
        <v>4554</v>
      </c>
      <c r="L7349" t="s">
        <v>4555</v>
      </c>
      <c r="M7349" s="2">
        <v>1852</v>
      </c>
      <c r="N7349" t="s">
        <v>5280</v>
      </c>
      <c r="O7349">
        <v>3</v>
      </c>
      <c r="P7349">
        <v>2</v>
      </c>
      <c r="Q7349">
        <v>0</v>
      </c>
      <c r="R7349" t="s">
        <v>5281</v>
      </c>
      <c r="S7349" t="s">
        <v>4898</v>
      </c>
      <c r="T7349" t="s">
        <v>4559</v>
      </c>
      <c r="U7349" t="s">
        <v>4560</v>
      </c>
      <c r="V7349" s="2">
        <v>640</v>
      </c>
      <c r="W7349" t="s">
        <v>4655</v>
      </c>
      <c r="X7349" s="2">
        <v>0</v>
      </c>
      <c r="Y7349">
        <v>20</v>
      </c>
      <c r="Z7349" t="s">
        <v>1604</v>
      </c>
      <c r="AA7349" s="3">
        <v>0.27500000596046398</v>
      </c>
      <c r="AB7349" t="s">
        <v>34780</v>
      </c>
      <c r="AC7349" t="s">
        <v>4575</v>
      </c>
      <c r="AD7349" t="s">
        <v>34779</v>
      </c>
      <c r="AE7349" t="s">
        <v>4655</v>
      </c>
      <c r="AF7349" t="s">
        <v>5201</v>
      </c>
      <c r="AG7349" t="s">
        <v>4564</v>
      </c>
      <c r="AH7349" t="s">
        <v>1605</v>
      </c>
      <c r="AI7349" t="s">
        <v>4655</v>
      </c>
      <c r="AJ7349" t="s">
        <v>34781</v>
      </c>
      <c r="AK7349" t="s">
        <v>34782</v>
      </c>
      <c r="AL7349" s="13" t="s">
        <v>1899</v>
      </c>
      <c r="AM7349" s="14">
        <v>1</v>
      </c>
      <c r="AN7349" s="15" t="s">
        <v>988</v>
      </c>
    </row>
    <row r="7350" spans="1:40" x14ac:dyDescent="0.3">
      <c r="A7350" s="10" t="str">
        <f>HYPERLINK("http://www.washoecounty.gov/assessor/cama/?parid=524-191-11&amp;CardNumber=1","524-191-11")</f>
        <v>524-191-11</v>
      </c>
      <c r="B7350" t="s">
        <v>4655</v>
      </c>
      <c r="C7350" t="s">
        <v>34783</v>
      </c>
      <c r="D7350" s="1">
        <v>40407</v>
      </c>
      <c r="E7350" s="2">
        <v>235000</v>
      </c>
      <c r="F7350" t="s">
        <v>4553</v>
      </c>
      <c r="G7350" s="17" t="str">
        <f>HYPERLINK("https://www.washoecounty.gov/assessor/cama/?command=sales&amp;parid=52419111","3912607")</f>
        <v>3912607</v>
      </c>
      <c r="H7350" t="s">
        <v>770</v>
      </c>
      <c r="I7350">
        <v>1999</v>
      </c>
      <c r="J7350">
        <v>1999</v>
      </c>
      <c r="K7350" t="s">
        <v>4554</v>
      </c>
      <c r="L7350" t="s">
        <v>3974</v>
      </c>
      <c r="M7350" s="2">
        <v>2392</v>
      </c>
      <c r="N7350" t="s">
        <v>5280</v>
      </c>
      <c r="O7350">
        <v>5</v>
      </c>
      <c r="P7350">
        <v>3</v>
      </c>
      <c r="Q7350">
        <v>0</v>
      </c>
      <c r="R7350" t="s">
        <v>5281</v>
      </c>
      <c r="S7350" t="s">
        <v>4898</v>
      </c>
      <c r="T7350" t="s">
        <v>4559</v>
      </c>
      <c r="U7350" t="s">
        <v>5631</v>
      </c>
      <c r="V7350" s="2">
        <v>632</v>
      </c>
      <c r="W7350" t="s">
        <v>4655</v>
      </c>
      <c r="X7350" s="2">
        <v>0</v>
      </c>
      <c r="Y7350">
        <v>20</v>
      </c>
      <c r="Z7350" t="s">
        <v>1604</v>
      </c>
      <c r="AA7350" s="3">
        <v>0.28900367021560702</v>
      </c>
      <c r="AB7350" t="s">
        <v>34784</v>
      </c>
      <c r="AC7350" t="s">
        <v>4562</v>
      </c>
      <c r="AD7350" t="s">
        <v>34785</v>
      </c>
      <c r="AE7350" t="s">
        <v>4655</v>
      </c>
      <c r="AF7350" t="s">
        <v>4809</v>
      </c>
      <c r="AG7350" t="s">
        <v>4564</v>
      </c>
      <c r="AH7350" t="s">
        <v>1605</v>
      </c>
      <c r="AI7350" t="s">
        <v>34786</v>
      </c>
      <c r="AJ7350" t="s">
        <v>34787</v>
      </c>
      <c r="AK7350" t="s">
        <v>34788</v>
      </c>
      <c r="AL7350" s="13" t="s">
        <v>1899</v>
      </c>
      <c r="AM7350" s="14">
        <v>1</v>
      </c>
      <c r="AN7350" s="15" t="s">
        <v>988</v>
      </c>
    </row>
    <row r="7351" spans="1:40" x14ac:dyDescent="0.3">
      <c r="A7351" s="10" t="str">
        <f>HYPERLINK("http://www.washoecounty.gov/assessor/cama/?parid=524-200-07&amp;CardNumber=1","524-200-07")</f>
        <v>524-200-07</v>
      </c>
      <c r="B7351" t="s">
        <v>4655</v>
      </c>
      <c r="C7351" s="20" t="s">
        <v>283</v>
      </c>
      <c r="D7351" s="1">
        <v>40354</v>
      </c>
      <c r="E7351" s="2">
        <v>420000</v>
      </c>
      <c r="F7351" t="s">
        <v>4567</v>
      </c>
      <c r="G7351" s="20" t="s">
        <v>282</v>
      </c>
      <c r="H7351" t="s">
        <v>4655</v>
      </c>
      <c r="I7351">
        <v>1999</v>
      </c>
      <c r="J7351">
        <v>1999</v>
      </c>
      <c r="K7351" t="s">
        <v>4554</v>
      </c>
      <c r="L7351" t="s">
        <v>4555</v>
      </c>
      <c r="M7351" s="2">
        <v>3014</v>
      </c>
      <c r="N7351" t="s">
        <v>3887</v>
      </c>
      <c r="O7351">
        <v>5</v>
      </c>
      <c r="P7351">
        <v>3</v>
      </c>
      <c r="Q7351">
        <v>0</v>
      </c>
      <c r="R7351" t="s">
        <v>5281</v>
      </c>
      <c r="S7351" t="s">
        <v>4898</v>
      </c>
      <c r="T7351" t="s">
        <v>2704</v>
      </c>
      <c r="U7351" t="s">
        <v>4560</v>
      </c>
      <c r="V7351" s="2">
        <v>896</v>
      </c>
      <c r="W7351" t="s">
        <v>4655</v>
      </c>
      <c r="X7351" s="2">
        <v>0</v>
      </c>
      <c r="Y7351">
        <v>20</v>
      </c>
      <c r="Z7351" t="s">
        <v>1604</v>
      </c>
      <c r="AA7351" s="3">
        <v>1.00899910926818</v>
      </c>
      <c r="AB7351" s="20" t="s">
        <v>8865</v>
      </c>
      <c r="AD7351" t="s">
        <v>283</v>
      </c>
      <c r="AE7351" t="s">
        <v>283</v>
      </c>
      <c r="AF7351" t="s">
        <v>283</v>
      </c>
      <c r="AG7351" t="s">
        <v>4564</v>
      </c>
      <c r="AH7351" t="s">
        <v>3101</v>
      </c>
      <c r="AI7351" t="s">
        <v>8865</v>
      </c>
      <c r="AJ7351" t="s">
        <v>34789</v>
      </c>
      <c r="AK7351" t="s">
        <v>8865</v>
      </c>
      <c r="AL7351" s="13" t="s">
        <v>1899</v>
      </c>
      <c r="AM7351" s="14">
        <v>1</v>
      </c>
      <c r="AN7351" s="15" t="s">
        <v>3840</v>
      </c>
    </row>
    <row r="7352" spans="1:40" x14ac:dyDescent="0.3">
      <c r="A7352" s="10" t="str">
        <f>HYPERLINK("http://www.washoecounty.gov/assessor/cama/?parid=524-212-08&amp;CardNumber=1","524-212-08")</f>
        <v>524-212-08</v>
      </c>
      <c r="B7352" t="s">
        <v>4655</v>
      </c>
      <c r="C7352" t="s">
        <v>34790</v>
      </c>
      <c r="D7352" s="1">
        <v>40354</v>
      </c>
      <c r="E7352" s="2">
        <v>192000</v>
      </c>
      <c r="F7352" t="s">
        <v>4567</v>
      </c>
      <c r="G7352" s="17" t="str">
        <f>HYPERLINK("https://www.washoecounty.gov/assessor/cama/?command=sales&amp;parid=52421208","3895572")</f>
        <v>3895572</v>
      </c>
      <c r="H7352" t="s">
        <v>3349</v>
      </c>
      <c r="I7352">
        <v>1999</v>
      </c>
      <c r="J7352">
        <v>1999</v>
      </c>
      <c r="K7352" t="s">
        <v>4554</v>
      </c>
      <c r="L7352" t="s">
        <v>4555</v>
      </c>
      <c r="M7352" s="2">
        <v>2016</v>
      </c>
      <c r="N7352" t="s">
        <v>5280</v>
      </c>
      <c r="O7352">
        <v>4</v>
      </c>
      <c r="P7352">
        <v>2</v>
      </c>
      <c r="Q7352">
        <v>0</v>
      </c>
      <c r="R7352" t="s">
        <v>4557</v>
      </c>
      <c r="S7352" t="s">
        <v>4558</v>
      </c>
      <c r="T7352" t="s">
        <v>4559</v>
      </c>
      <c r="U7352" t="s">
        <v>4560</v>
      </c>
      <c r="V7352" s="2">
        <v>630</v>
      </c>
      <c r="W7352" t="s">
        <v>4655</v>
      </c>
      <c r="X7352" s="2">
        <v>0</v>
      </c>
      <c r="Y7352">
        <v>20</v>
      </c>
      <c r="Z7352" t="s">
        <v>1604</v>
      </c>
      <c r="AA7352" s="3">
        <v>0.22601009905338301</v>
      </c>
      <c r="AB7352" t="s">
        <v>34791</v>
      </c>
      <c r="AC7352" t="s">
        <v>4575</v>
      </c>
      <c r="AD7352" t="s">
        <v>34792</v>
      </c>
      <c r="AE7352" t="s">
        <v>34790</v>
      </c>
      <c r="AF7352" t="s">
        <v>5201</v>
      </c>
      <c r="AG7352" t="s">
        <v>4564</v>
      </c>
      <c r="AH7352" t="s">
        <v>1605</v>
      </c>
      <c r="AI7352" t="s">
        <v>34793</v>
      </c>
      <c r="AJ7352" t="s">
        <v>34794</v>
      </c>
      <c r="AK7352" t="s">
        <v>34795</v>
      </c>
      <c r="AL7352" s="13" t="s">
        <v>1899</v>
      </c>
      <c r="AM7352" s="14">
        <v>1</v>
      </c>
      <c r="AN7352" s="15" t="s">
        <v>988</v>
      </c>
    </row>
    <row r="7353" spans="1:40" x14ac:dyDescent="0.3">
      <c r="A7353" s="10" t="str">
        <f>HYPERLINK("http://www.washoecounty.gov/assessor/cama/?parid=524-232-11&amp;CardNumber=1","524-232-11")</f>
        <v>524-232-11</v>
      </c>
      <c r="B7353" t="s">
        <v>4655</v>
      </c>
      <c r="C7353" t="s">
        <v>34796</v>
      </c>
      <c r="D7353" s="1">
        <v>40333</v>
      </c>
      <c r="E7353" s="2">
        <v>175000</v>
      </c>
      <c r="F7353" t="s">
        <v>4567</v>
      </c>
      <c r="G7353" s="17" t="str">
        <f>HYPERLINK("https://www.washoecounty.gov/assessor/cama/?command=sales&amp;parid=52423211","3888534")</f>
        <v>3888534</v>
      </c>
      <c r="H7353" t="s">
        <v>2728</v>
      </c>
      <c r="I7353">
        <v>1999</v>
      </c>
      <c r="J7353">
        <v>1999</v>
      </c>
      <c r="K7353" t="s">
        <v>4554</v>
      </c>
      <c r="L7353" t="s">
        <v>4555</v>
      </c>
      <c r="M7353" s="2">
        <v>1440</v>
      </c>
      <c r="N7353" t="s">
        <v>5280</v>
      </c>
      <c r="O7353">
        <v>3</v>
      </c>
      <c r="P7353">
        <v>2</v>
      </c>
      <c r="Q7353">
        <v>0</v>
      </c>
      <c r="R7353" t="s">
        <v>4557</v>
      </c>
      <c r="S7353" t="s">
        <v>4558</v>
      </c>
      <c r="T7353" t="s">
        <v>4559</v>
      </c>
      <c r="U7353" t="s">
        <v>4560</v>
      </c>
      <c r="V7353" s="2">
        <v>400</v>
      </c>
      <c r="W7353" t="s">
        <v>4655</v>
      </c>
      <c r="X7353" s="2">
        <v>0</v>
      </c>
      <c r="Y7353">
        <v>20</v>
      </c>
      <c r="Z7353" t="s">
        <v>1604</v>
      </c>
      <c r="AA7353" s="3">
        <v>0.31299358606338501</v>
      </c>
      <c r="AB7353" t="s">
        <v>34797</v>
      </c>
      <c r="AC7353" t="s">
        <v>4575</v>
      </c>
      <c r="AD7353" t="s">
        <v>34798</v>
      </c>
      <c r="AE7353" t="s">
        <v>34799</v>
      </c>
      <c r="AF7353" t="s">
        <v>4809</v>
      </c>
      <c r="AG7353" t="s">
        <v>4564</v>
      </c>
      <c r="AH7353" t="s">
        <v>1605</v>
      </c>
      <c r="AI7353" t="s">
        <v>34800</v>
      </c>
      <c r="AJ7353" t="s">
        <v>34801</v>
      </c>
      <c r="AK7353" t="s">
        <v>34802</v>
      </c>
      <c r="AL7353" s="13" t="s">
        <v>1899</v>
      </c>
      <c r="AM7353">
        <v>1</v>
      </c>
      <c r="AN7353" s="15" t="s">
        <v>988</v>
      </c>
    </row>
    <row r="7354" spans="1:40" x14ac:dyDescent="0.3">
      <c r="A7354" s="10" t="str">
        <f>HYPERLINK("http://www.washoecounty.gov/assessor/cama/?parid=524-241-08&amp;CardNumber=1","524-241-08")</f>
        <v>524-241-08</v>
      </c>
      <c r="B7354" t="s">
        <v>4655</v>
      </c>
      <c r="C7354" t="s">
        <v>34803</v>
      </c>
      <c r="D7354" s="1">
        <v>40421</v>
      </c>
      <c r="E7354" s="2">
        <v>142900</v>
      </c>
      <c r="F7354" t="s">
        <v>4553</v>
      </c>
      <c r="G7354" s="17" t="str">
        <f>HYPERLINK("https://www.washoecounty.gov/assessor/cama/?command=sales&amp;parid=52424108","3917644")</f>
        <v>3917644</v>
      </c>
      <c r="H7354" t="s">
        <v>2728</v>
      </c>
      <c r="I7354">
        <v>1999</v>
      </c>
      <c r="J7354">
        <v>1999</v>
      </c>
      <c r="K7354" t="s">
        <v>4554</v>
      </c>
      <c r="L7354" t="s">
        <v>4555</v>
      </c>
      <c r="M7354" s="2">
        <v>1262</v>
      </c>
      <c r="N7354" t="s">
        <v>5280</v>
      </c>
      <c r="O7354">
        <v>3</v>
      </c>
      <c r="P7354">
        <v>2</v>
      </c>
      <c r="Q7354">
        <v>0</v>
      </c>
      <c r="R7354" t="s">
        <v>5281</v>
      </c>
      <c r="S7354" t="s">
        <v>4558</v>
      </c>
      <c r="T7354" t="s">
        <v>4559</v>
      </c>
      <c r="U7354" t="s">
        <v>4560</v>
      </c>
      <c r="V7354" s="2">
        <v>579</v>
      </c>
      <c r="W7354" t="s">
        <v>4655</v>
      </c>
      <c r="X7354" s="2">
        <v>0</v>
      </c>
      <c r="Y7354">
        <v>20</v>
      </c>
      <c r="Z7354" t="s">
        <v>1604</v>
      </c>
      <c r="AA7354" s="3">
        <v>0.23000459372997301</v>
      </c>
      <c r="AB7354" t="s">
        <v>34804</v>
      </c>
      <c r="AC7354" t="s">
        <v>4562</v>
      </c>
      <c r="AD7354" t="s">
        <v>34803</v>
      </c>
      <c r="AE7354" t="s">
        <v>4655</v>
      </c>
      <c r="AF7354" t="s">
        <v>5201</v>
      </c>
      <c r="AG7354" t="s">
        <v>4564</v>
      </c>
      <c r="AH7354" t="s">
        <v>1605</v>
      </c>
      <c r="AI7354" t="s">
        <v>4565</v>
      </c>
      <c r="AJ7354" t="s">
        <v>34805</v>
      </c>
      <c r="AK7354" t="s">
        <v>34806</v>
      </c>
      <c r="AL7354" s="13" t="s">
        <v>1899</v>
      </c>
      <c r="AM7354">
        <v>1</v>
      </c>
      <c r="AN7354" s="15" t="s">
        <v>988</v>
      </c>
    </row>
    <row r="7355" spans="1:40" x14ac:dyDescent="0.3">
      <c r="A7355" s="10" t="str">
        <f>HYPERLINK("http://www.washoecounty.gov/assessor/cama/?parid=524-242-23&amp;CardNumber=1","524-242-23")</f>
        <v>524-242-23</v>
      </c>
      <c r="B7355" t="s">
        <v>4655</v>
      </c>
      <c r="C7355" t="s">
        <v>34807</v>
      </c>
      <c r="D7355" s="1">
        <v>40435</v>
      </c>
      <c r="E7355" s="2">
        <v>130000</v>
      </c>
      <c r="F7355" t="s">
        <v>4567</v>
      </c>
      <c r="G7355" s="17" t="str">
        <f>HYPERLINK("https://www.washoecounty.gov/assessor/cama/?command=sales&amp;parid=52424223","3922126")</f>
        <v>3922126</v>
      </c>
      <c r="H7355" t="s">
        <v>2728</v>
      </c>
      <c r="I7355">
        <v>1999</v>
      </c>
      <c r="J7355">
        <v>1999</v>
      </c>
      <c r="K7355" t="s">
        <v>4554</v>
      </c>
      <c r="L7355" t="s">
        <v>4555</v>
      </c>
      <c r="M7355" s="2">
        <v>1262</v>
      </c>
      <c r="N7355" t="s">
        <v>5280</v>
      </c>
      <c r="O7355">
        <v>2</v>
      </c>
      <c r="P7355">
        <v>2</v>
      </c>
      <c r="Q7355">
        <v>0</v>
      </c>
      <c r="R7355" t="s">
        <v>4557</v>
      </c>
      <c r="S7355" t="s">
        <v>4558</v>
      </c>
      <c r="T7355" t="s">
        <v>4559</v>
      </c>
      <c r="U7355" t="s">
        <v>4560</v>
      </c>
      <c r="V7355" s="2">
        <v>389</v>
      </c>
      <c r="W7355" t="s">
        <v>4655</v>
      </c>
      <c r="X7355" s="2">
        <v>0</v>
      </c>
      <c r="Y7355">
        <v>20</v>
      </c>
      <c r="Z7355" t="s">
        <v>1604</v>
      </c>
      <c r="AA7355" s="3">
        <v>0.23099173605442</v>
      </c>
      <c r="AB7355" t="s">
        <v>34808</v>
      </c>
      <c r="AC7355" t="s">
        <v>4562</v>
      </c>
      <c r="AD7355" t="s">
        <v>34809</v>
      </c>
      <c r="AE7355" t="s">
        <v>4655</v>
      </c>
      <c r="AF7355" t="s">
        <v>5201</v>
      </c>
      <c r="AG7355" t="s">
        <v>4564</v>
      </c>
      <c r="AH7355" t="s">
        <v>1350</v>
      </c>
      <c r="AI7355" t="s">
        <v>34810</v>
      </c>
      <c r="AJ7355" t="s">
        <v>34811</v>
      </c>
      <c r="AK7355" t="s">
        <v>34812</v>
      </c>
      <c r="AL7355" s="13" t="s">
        <v>1899</v>
      </c>
      <c r="AM7355">
        <v>1</v>
      </c>
      <c r="AN7355" s="15" t="s">
        <v>988</v>
      </c>
    </row>
    <row r="7356" spans="1:40" x14ac:dyDescent="0.3">
      <c r="A7356" s="10" t="str">
        <f>HYPERLINK("http://www.washoecounty.gov/assessor/cama/?parid=524-242-26&amp;CardNumber=1","524-242-26")</f>
        <v>524-242-26</v>
      </c>
      <c r="B7356" t="s">
        <v>4655</v>
      </c>
      <c r="C7356" t="s">
        <v>34813</v>
      </c>
      <c r="D7356" s="1">
        <v>40295</v>
      </c>
      <c r="E7356" s="2">
        <v>117000</v>
      </c>
      <c r="F7356" t="s">
        <v>4553</v>
      </c>
      <c r="G7356" s="17" t="str">
        <f>HYPERLINK("https://www.washoecounty.gov/assessor/cama/?command=sales&amp;parid=52424226","3874912")</f>
        <v>3874912</v>
      </c>
      <c r="H7356" t="s">
        <v>2728</v>
      </c>
      <c r="I7356">
        <v>1999</v>
      </c>
      <c r="J7356">
        <v>1999</v>
      </c>
      <c r="K7356" t="s">
        <v>4554</v>
      </c>
      <c r="L7356" t="s">
        <v>4555</v>
      </c>
      <c r="M7356" s="2">
        <v>1262</v>
      </c>
      <c r="N7356" t="s">
        <v>5280</v>
      </c>
      <c r="O7356">
        <v>3</v>
      </c>
      <c r="P7356">
        <v>2</v>
      </c>
      <c r="Q7356">
        <v>0</v>
      </c>
      <c r="R7356" t="s">
        <v>4557</v>
      </c>
      <c r="S7356" t="s">
        <v>4558</v>
      </c>
      <c r="T7356" t="s">
        <v>4559</v>
      </c>
      <c r="U7356" t="s">
        <v>4560</v>
      </c>
      <c r="V7356" s="2">
        <v>389</v>
      </c>
      <c r="W7356" t="s">
        <v>4655</v>
      </c>
      <c r="X7356" s="2">
        <v>0</v>
      </c>
      <c r="Y7356">
        <v>20</v>
      </c>
      <c r="Z7356" t="s">
        <v>1604</v>
      </c>
      <c r="AA7356" s="3">
        <v>0.30000001192092901</v>
      </c>
      <c r="AB7356" t="s">
        <v>34814</v>
      </c>
      <c r="AC7356" t="s">
        <v>4562</v>
      </c>
      <c r="AD7356" t="s">
        <v>34813</v>
      </c>
      <c r="AE7356" t="s">
        <v>4655</v>
      </c>
      <c r="AF7356" t="s">
        <v>5201</v>
      </c>
      <c r="AG7356" t="s">
        <v>4564</v>
      </c>
      <c r="AH7356" t="s">
        <v>1605</v>
      </c>
      <c r="AI7356" t="s">
        <v>793</v>
      </c>
      <c r="AJ7356" t="s">
        <v>34815</v>
      </c>
      <c r="AK7356" t="s">
        <v>34816</v>
      </c>
      <c r="AL7356" s="13" t="s">
        <v>1899</v>
      </c>
      <c r="AM7356" s="14">
        <v>1</v>
      </c>
      <c r="AN7356" s="15" t="s">
        <v>988</v>
      </c>
    </row>
    <row r="7357" spans="1:40" x14ac:dyDescent="0.3">
      <c r="A7357" s="10" t="str">
        <f>HYPERLINK("http://www.washoecounty.gov/assessor/cama/?parid=524-242-26&amp;CardNumber=1","524-242-26")</f>
        <v>524-242-26</v>
      </c>
      <c r="B7357" t="s">
        <v>4655</v>
      </c>
      <c r="C7357" t="s">
        <v>34813</v>
      </c>
      <c r="D7357" s="1">
        <v>40382</v>
      </c>
      <c r="E7357" s="2">
        <v>140000</v>
      </c>
      <c r="F7357" t="s">
        <v>4567</v>
      </c>
      <c r="G7357" s="17" t="str">
        <f>HYPERLINK("https://www.washoecounty.gov/assessor/cama/?command=sales&amp;parid=52424226","3904242")</f>
        <v>3904242</v>
      </c>
      <c r="H7357" t="s">
        <v>2728</v>
      </c>
      <c r="I7357">
        <v>1999</v>
      </c>
      <c r="J7357">
        <v>1999</v>
      </c>
      <c r="K7357" t="s">
        <v>4554</v>
      </c>
      <c r="L7357" t="s">
        <v>4555</v>
      </c>
      <c r="M7357" s="2">
        <v>1262</v>
      </c>
      <c r="N7357" t="s">
        <v>5280</v>
      </c>
      <c r="O7357">
        <v>3</v>
      </c>
      <c r="P7357">
        <v>2</v>
      </c>
      <c r="Q7357">
        <v>0</v>
      </c>
      <c r="R7357" t="s">
        <v>4557</v>
      </c>
      <c r="S7357" t="s">
        <v>4558</v>
      </c>
      <c r="T7357" t="s">
        <v>4559</v>
      </c>
      <c r="U7357" t="s">
        <v>4560</v>
      </c>
      <c r="V7357" s="2">
        <v>389</v>
      </c>
      <c r="W7357" t="s">
        <v>4655</v>
      </c>
      <c r="X7357" s="2">
        <v>0</v>
      </c>
      <c r="Y7357">
        <v>20</v>
      </c>
      <c r="Z7357" t="s">
        <v>1604</v>
      </c>
      <c r="AA7357" s="3">
        <v>0.30000001192092901</v>
      </c>
      <c r="AB7357" t="s">
        <v>34814</v>
      </c>
      <c r="AC7357" t="s">
        <v>4562</v>
      </c>
      <c r="AD7357" t="s">
        <v>34813</v>
      </c>
      <c r="AE7357" t="s">
        <v>4655</v>
      </c>
      <c r="AF7357" t="s">
        <v>5201</v>
      </c>
      <c r="AG7357" t="s">
        <v>4564</v>
      </c>
      <c r="AH7357" t="s">
        <v>1605</v>
      </c>
      <c r="AI7357" t="s">
        <v>793</v>
      </c>
      <c r="AJ7357" t="s">
        <v>34815</v>
      </c>
      <c r="AK7357" t="s">
        <v>34816</v>
      </c>
      <c r="AL7357" s="13" t="s">
        <v>1899</v>
      </c>
      <c r="AM7357">
        <v>1</v>
      </c>
      <c r="AN7357" s="15" t="s">
        <v>988</v>
      </c>
    </row>
    <row r="7358" spans="1:40" x14ac:dyDescent="0.3">
      <c r="A7358" s="10" t="str">
        <f>HYPERLINK("http://www.washoecounty.gov/assessor/cama/?parid=524-272-07&amp;CardNumber=1","524-272-07")</f>
        <v>524-272-07</v>
      </c>
      <c r="B7358" t="s">
        <v>4655</v>
      </c>
      <c r="C7358" t="s">
        <v>34817</v>
      </c>
      <c r="D7358" s="1">
        <v>40331</v>
      </c>
      <c r="E7358" s="2">
        <v>260000</v>
      </c>
      <c r="F7358" t="s">
        <v>4567</v>
      </c>
      <c r="G7358" s="17" t="str">
        <f>HYPERLINK("https://www.washoecounty.gov/assessor/cama/?command=sales&amp;parid=52427207","3887439")</f>
        <v>3887439</v>
      </c>
      <c r="H7358" t="s">
        <v>34818</v>
      </c>
      <c r="I7358">
        <v>1999</v>
      </c>
      <c r="J7358">
        <v>1999</v>
      </c>
      <c r="K7358" t="s">
        <v>4554</v>
      </c>
      <c r="L7358" t="s">
        <v>4555</v>
      </c>
      <c r="M7358" s="2">
        <v>2235</v>
      </c>
      <c r="N7358" t="s">
        <v>5280</v>
      </c>
      <c r="O7358">
        <v>4</v>
      </c>
      <c r="P7358">
        <v>2</v>
      </c>
      <c r="Q7358">
        <v>0</v>
      </c>
      <c r="R7358" t="s">
        <v>4557</v>
      </c>
      <c r="S7358" t="s">
        <v>4898</v>
      </c>
      <c r="T7358" t="s">
        <v>2704</v>
      </c>
      <c r="U7358" t="s">
        <v>4560</v>
      </c>
      <c r="V7358" s="2">
        <v>600</v>
      </c>
      <c r="W7358" t="s">
        <v>4655</v>
      </c>
      <c r="X7358" s="2">
        <v>0</v>
      </c>
      <c r="Y7358">
        <v>20</v>
      </c>
      <c r="Z7358" t="s">
        <v>1604</v>
      </c>
      <c r="AA7358" s="3">
        <v>0.31600090861320501</v>
      </c>
      <c r="AB7358" t="s">
        <v>34819</v>
      </c>
      <c r="AC7358" t="s">
        <v>4562</v>
      </c>
      <c r="AD7358" t="s">
        <v>34817</v>
      </c>
      <c r="AE7358" t="s">
        <v>4655</v>
      </c>
      <c r="AF7358" t="s">
        <v>5201</v>
      </c>
      <c r="AG7358" t="s">
        <v>4564</v>
      </c>
      <c r="AH7358" t="s">
        <v>1605</v>
      </c>
      <c r="AI7358" t="s">
        <v>34820</v>
      </c>
      <c r="AJ7358" t="s">
        <v>34821</v>
      </c>
      <c r="AK7358" t="s">
        <v>34822</v>
      </c>
      <c r="AL7358" s="13" t="s">
        <v>1899</v>
      </c>
      <c r="AM7358" s="14">
        <v>1</v>
      </c>
      <c r="AN7358" s="15" t="s">
        <v>988</v>
      </c>
    </row>
    <row r="7359" spans="1:40" x14ac:dyDescent="0.3">
      <c r="A7359" s="10" t="str">
        <f>HYPERLINK("http://www.washoecounty.gov/assessor/cama/?parid=524-291-11&amp;CardNumber=1","524-291-11")</f>
        <v>524-291-11</v>
      </c>
      <c r="B7359" t="s">
        <v>4655</v>
      </c>
      <c r="C7359" t="s">
        <v>34823</v>
      </c>
      <c r="D7359" s="1">
        <v>40422</v>
      </c>
      <c r="E7359" s="2">
        <v>200000</v>
      </c>
      <c r="F7359" t="s">
        <v>4553</v>
      </c>
      <c r="G7359" s="17" t="str">
        <f>HYPERLINK("https://www.washoecounty.gov/assessor/cama/?command=sales&amp;parid=52429111","3917963")</f>
        <v>3917963</v>
      </c>
      <c r="H7359" t="s">
        <v>4169</v>
      </c>
      <c r="I7359">
        <v>2000</v>
      </c>
      <c r="J7359">
        <v>2000</v>
      </c>
      <c r="K7359" t="s">
        <v>4554</v>
      </c>
      <c r="L7359" t="s">
        <v>4555</v>
      </c>
      <c r="M7359" s="2">
        <v>1996</v>
      </c>
      <c r="N7359" t="s">
        <v>5280</v>
      </c>
      <c r="O7359">
        <v>4</v>
      </c>
      <c r="P7359">
        <v>2</v>
      </c>
      <c r="Q7359">
        <v>0</v>
      </c>
      <c r="R7359" t="s">
        <v>4557</v>
      </c>
      <c r="S7359" t="s">
        <v>4135</v>
      </c>
      <c r="T7359" t="s">
        <v>4559</v>
      </c>
      <c r="U7359" t="s">
        <v>4560</v>
      </c>
      <c r="V7359" s="2">
        <v>600</v>
      </c>
      <c r="W7359" t="s">
        <v>4655</v>
      </c>
      <c r="X7359" s="2">
        <v>0</v>
      </c>
      <c r="Y7359">
        <v>20</v>
      </c>
      <c r="Z7359" t="s">
        <v>1604</v>
      </c>
      <c r="AA7359" s="3">
        <v>0.19400826096534701</v>
      </c>
      <c r="AB7359" t="s">
        <v>34824</v>
      </c>
      <c r="AC7359" t="s">
        <v>4562</v>
      </c>
      <c r="AD7359" t="s">
        <v>34823</v>
      </c>
      <c r="AE7359" t="s">
        <v>4655</v>
      </c>
      <c r="AF7359" t="s">
        <v>5201</v>
      </c>
      <c r="AG7359" t="s">
        <v>4564</v>
      </c>
      <c r="AH7359" t="s">
        <v>1605</v>
      </c>
      <c r="AI7359" t="s">
        <v>34825</v>
      </c>
      <c r="AJ7359" t="s">
        <v>34826</v>
      </c>
      <c r="AK7359" t="s">
        <v>34827</v>
      </c>
      <c r="AL7359" s="13" t="s">
        <v>1899</v>
      </c>
      <c r="AM7359">
        <v>1</v>
      </c>
      <c r="AN7359" s="15" t="s">
        <v>988</v>
      </c>
    </row>
    <row r="7360" spans="1:40" x14ac:dyDescent="0.3">
      <c r="A7360" s="10" t="str">
        <f>HYPERLINK("http://www.washoecounty.gov/assessor/cama/?parid=524-292-11&amp;CardNumber=1","524-292-11")</f>
        <v>524-292-11</v>
      </c>
      <c r="B7360" t="s">
        <v>4655</v>
      </c>
      <c r="C7360" t="s">
        <v>34828</v>
      </c>
      <c r="D7360" s="1">
        <v>40267</v>
      </c>
      <c r="E7360" s="2">
        <v>182000</v>
      </c>
      <c r="F7360" t="s">
        <v>4553</v>
      </c>
      <c r="G7360" s="17" t="str">
        <f>HYPERLINK("https://www.washoecounty.gov/assessor/cama/?command=sales&amp;parid=52429211","3865559")</f>
        <v>3865559</v>
      </c>
      <c r="H7360" t="s">
        <v>4169</v>
      </c>
      <c r="I7360">
        <v>2000</v>
      </c>
      <c r="J7360">
        <v>2000</v>
      </c>
      <c r="K7360" t="s">
        <v>4554</v>
      </c>
      <c r="L7360" t="s">
        <v>4555</v>
      </c>
      <c r="M7360" s="2">
        <v>1543</v>
      </c>
      <c r="N7360" t="s">
        <v>5280</v>
      </c>
      <c r="O7360">
        <v>3</v>
      </c>
      <c r="P7360">
        <v>2</v>
      </c>
      <c r="Q7360">
        <v>0</v>
      </c>
      <c r="R7360" t="s">
        <v>4557</v>
      </c>
      <c r="S7360" t="s">
        <v>4558</v>
      </c>
      <c r="T7360" t="s">
        <v>4559</v>
      </c>
      <c r="U7360" t="s">
        <v>4560</v>
      </c>
      <c r="V7360" s="2">
        <v>624</v>
      </c>
      <c r="W7360" t="s">
        <v>4655</v>
      </c>
      <c r="X7360" s="2">
        <v>0</v>
      </c>
      <c r="Y7360">
        <v>20</v>
      </c>
      <c r="Z7360" t="s">
        <v>1604</v>
      </c>
      <c r="AA7360" s="3">
        <v>0.189003676176071</v>
      </c>
      <c r="AB7360" t="s">
        <v>34829</v>
      </c>
      <c r="AC7360" t="s">
        <v>4562</v>
      </c>
      <c r="AD7360" t="s">
        <v>34828</v>
      </c>
      <c r="AE7360" t="s">
        <v>4655</v>
      </c>
      <c r="AF7360" t="s">
        <v>5201</v>
      </c>
      <c r="AG7360" t="s">
        <v>4564</v>
      </c>
      <c r="AH7360" t="s">
        <v>1605</v>
      </c>
      <c r="AI7360" t="s">
        <v>949</v>
      </c>
      <c r="AJ7360" t="s">
        <v>34830</v>
      </c>
      <c r="AK7360" t="s">
        <v>34831</v>
      </c>
      <c r="AL7360" s="13" t="s">
        <v>1899</v>
      </c>
      <c r="AM7360" s="14">
        <v>1</v>
      </c>
      <c r="AN7360" s="15" t="s">
        <v>988</v>
      </c>
    </row>
    <row r="7361" spans="1:40" x14ac:dyDescent="0.3">
      <c r="A7361" s="10" t="str">
        <f>HYPERLINK("http://www.washoecounty.gov/assessor/cama/?parid=524-293-13&amp;CardNumber=1","524-293-13")</f>
        <v>524-293-13</v>
      </c>
      <c r="B7361" t="s">
        <v>4655</v>
      </c>
      <c r="C7361" t="s">
        <v>34832</v>
      </c>
      <c r="D7361" s="1">
        <v>40304</v>
      </c>
      <c r="E7361" s="2">
        <v>150000</v>
      </c>
      <c r="F7361" t="s">
        <v>4567</v>
      </c>
      <c r="G7361" s="17" t="str">
        <f>HYPERLINK("https://www.washoecounty.gov/assessor/cama/?command=sales&amp;parid=52429313","3878893")</f>
        <v>3878893</v>
      </c>
      <c r="H7361" t="s">
        <v>4169</v>
      </c>
      <c r="I7361">
        <v>2000</v>
      </c>
      <c r="J7361">
        <v>2000</v>
      </c>
      <c r="K7361" t="s">
        <v>4554</v>
      </c>
      <c r="L7361" t="s">
        <v>4555</v>
      </c>
      <c r="M7361" s="2">
        <v>1440</v>
      </c>
      <c r="N7361" t="s">
        <v>5280</v>
      </c>
      <c r="O7361">
        <v>3</v>
      </c>
      <c r="P7361">
        <v>2</v>
      </c>
      <c r="Q7361">
        <v>0</v>
      </c>
      <c r="R7361" t="s">
        <v>4557</v>
      </c>
      <c r="S7361" t="s">
        <v>4135</v>
      </c>
      <c r="T7361" t="s">
        <v>4559</v>
      </c>
      <c r="U7361" t="s">
        <v>4560</v>
      </c>
      <c r="V7361" s="2">
        <v>400</v>
      </c>
      <c r="W7361" t="s">
        <v>4655</v>
      </c>
      <c r="X7361" s="2">
        <v>0</v>
      </c>
      <c r="Y7361">
        <v>20</v>
      </c>
      <c r="Z7361" t="s">
        <v>1604</v>
      </c>
      <c r="AA7361" s="3">
        <v>0.18399907648563399</v>
      </c>
      <c r="AB7361" t="s">
        <v>34833</v>
      </c>
      <c r="AC7361" t="s">
        <v>4562</v>
      </c>
      <c r="AD7361" t="s">
        <v>34834</v>
      </c>
      <c r="AE7361" t="s">
        <v>4655</v>
      </c>
      <c r="AF7361" t="s">
        <v>5201</v>
      </c>
      <c r="AG7361" t="s">
        <v>4564</v>
      </c>
      <c r="AH7361" t="s">
        <v>1605</v>
      </c>
      <c r="AI7361" t="s">
        <v>34835</v>
      </c>
      <c r="AJ7361" t="s">
        <v>34836</v>
      </c>
      <c r="AK7361" t="s">
        <v>34837</v>
      </c>
      <c r="AL7361" s="13" t="s">
        <v>1899</v>
      </c>
      <c r="AM7361" s="14">
        <v>1</v>
      </c>
      <c r="AN7361" s="15" t="s">
        <v>988</v>
      </c>
    </row>
    <row r="7362" spans="1:40" x14ac:dyDescent="0.3">
      <c r="A7362" s="10" t="str">
        <f>HYPERLINK("http://www.washoecounty.gov/assessor/cama/?parid=524-300-05&amp;CardNumber=1","524-300-05")</f>
        <v>524-300-05</v>
      </c>
      <c r="B7362" t="s">
        <v>4655</v>
      </c>
      <c r="C7362" t="s">
        <v>34838</v>
      </c>
      <c r="D7362" s="1">
        <v>40233</v>
      </c>
      <c r="E7362" s="2">
        <v>178500</v>
      </c>
      <c r="F7362" t="s">
        <v>4567</v>
      </c>
      <c r="G7362" s="17" t="str">
        <f>HYPERLINK("https://www.washoecounty.gov/assessor/cama/?command=sales&amp;parid=52430005","3852350")</f>
        <v>3852350</v>
      </c>
      <c r="H7362" t="s">
        <v>4169</v>
      </c>
      <c r="I7362">
        <v>2000</v>
      </c>
      <c r="J7362">
        <v>2000</v>
      </c>
      <c r="K7362" t="s">
        <v>4554</v>
      </c>
      <c r="L7362" t="s">
        <v>4555</v>
      </c>
      <c r="M7362" s="2">
        <v>1543</v>
      </c>
      <c r="N7362" t="s">
        <v>5280</v>
      </c>
      <c r="O7362">
        <v>3</v>
      </c>
      <c r="P7362">
        <v>2</v>
      </c>
      <c r="Q7362">
        <v>0</v>
      </c>
      <c r="R7362" t="s">
        <v>4557</v>
      </c>
      <c r="S7362" t="s">
        <v>4558</v>
      </c>
      <c r="T7362" t="s">
        <v>4559</v>
      </c>
      <c r="U7362" t="s">
        <v>4560</v>
      </c>
      <c r="V7362" s="2">
        <v>624</v>
      </c>
      <c r="W7362" t="s">
        <v>4655</v>
      </c>
      <c r="X7362" s="2">
        <v>0</v>
      </c>
      <c r="Y7362">
        <v>20</v>
      </c>
      <c r="Z7362" t="s">
        <v>1604</v>
      </c>
      <c r="AA7362" s="3">
        <v>0.22601009905338301</v>
      </c>
      <c r="AB7362" t="s">
        <v>34839</v>
      </c>
      <c r="AC7362" t="s">
        <v>4562</v>
      </c>
      <c r="AD7362" t="s">
        <v>34838</v>
      </c>
      <c r="AE7362" t="s">
        <v>4655</v>
      </c>
      <c r="AF7362" t="s">
        <v>5201</v>
      </c>
      <c r="AG7362" t="s">
        <v>4564</v>
      </c>
      <c r="AH7362" t="s">
        <v>1605</v>
      </c>
      <c r="AI7362" t="s">
        <v>34840</v>
      </c>
      <c r="AJ7362" t="s">
        <v>34841</v>
      </c>
      <c r="AK7362" t="s">
        <v>34842</v>
      </c>
      <c r="AL7362" s="13" t="s">
        <v>1899</v>
      </c>
      <c r="AM7362" s="14">
        <v>1</v>
      </c>
      <c r="AN7362" s="15" t="s">
        <v>988</v>
      </c>
    </row>
    <row r="7363" spans="1:40" x14ac:dyDescent="0.3">
      <c r="A7363" s="10" t="str">
        <f>HYPERLINK("http://www.washoecounty.gov/assessor/cama/?parid=524-300-10&amp;CardNumber=1","524-300-10")</f>
        <v>524-300-10</v>
      </c>
      <c r="B7363" t="s">
        <v>4655</v>
      </c>
      <c r="C7363" t="s">
        <v>34843</v>
      </c>
      <c r="D7363" s="1">
        <v>40282</v>
      </c>
      <c r="E7363" s="2">
        <v>162500</v>
      </c>
      <c r="F7363" t="s">
        <v>4567</v>
      </c>
      <c r="G7363" s="17" t="str">
        <f>HYPERLINK("https://www.washoecounty.gov/assessor/cama/?command=sales&amp;parid=52430010","3870955")</f>
        <v>3870955</v>
      </c>
      <c r="H7363" t="s">
        <v>4169</v>
      </c>
      <c r="I7363">
        <v>2000</v>
      </c>
      <c r="J7363">
        <v>2000</v>
      </c>
      <c r="K7363" t="s">
        <v>4554</v>
      </c>
      <c r="L7363" t="s">
        <v>4555</v>
      </c>
      <c r="M7363" s="2">
        <v>1262</v>
      </c>
      <c r="N7363" t="s">
        <v>5280</v>
      </c>
      <c r="O7363">
        <v>3</v>
      </c>
      <c r="P7363">
        <v>2</v>
      </c>
      <c r="Q7363">
        <v>0</v>
      </c>
      <c r="R7363" t="s">
        <v>4557</v>
      </c>
      <c r="S7363" t="s">
        <v>4558</v>
      </c>
      <c r="T7363" t="s">
        <v>4559</v>
      </c>
      <c r="U7363" t="s">
        <v>4560</v>
      </c>
      <c r="V7363" s="2">
        <v>389</v>
      </c>
      <c r="W7363" t="s">
        <v>4655</v>
      </c>
      <c r="X7363" s="2">
        <v>0</v>
      </c>
      <c r="Y7363">
        <v>20</v>
      </c>
      <c r="Z7363" t="s">
        <v>1604</v>
      </c>
      <c r="AA7363" s="3">
        <v>0.20899908244609799</v>
      </c>
      <c r="AB7363" t="s">
        <v>34844</v>
      </c>
      <c r="AC7363" t="s">
        <v>4575</v>
      </c>
      <c r="AD7363" t="s">
        <v>34843</v>
      </c>
      <c r="AE7363" t="s">
        <v>4655</v>
      </c>
      <c r="AF7363" t="s">
        <v>5201</v>
      </c>
      <c r="AG7363" t="s">
        <v>4564</v>
      </c>
      <c r="AH7363" t="s">
        <v>1605</v>
      </c>
      <c r="AI7363" t="s">
        <v>34845</v>
      </c>
      <c r="AJ7363" t="s">
        <v>34846</v>
      </c>
      <c r="AK7363" t="s">
        <v>34847</v>
      </c>
      <c r="AL7363" s="13" t="s">
        <v>1899</v>
      </c>
      <c r="AM7363" s="14">
        <v>1</v>
      </c>
      <c r="AN7363" s="15" t="s">
        <v>988</v>
      </c>
    </row>
    <row r="7364" spans="1:40" x14ac:dyDescent="0.3">
      <c r="A7364" s="10" t="str">
        <f>HYPERLINK("http://www.washoecounty.gov/assessor/cama/?parid=524-300-11&amp;CardNumber=1","524-300-11")</f>
        <v>524-300-11</v>
      </c>
      <c r="B7364" t="s">
        <v>4655</v>
      </c>
      <c r="C7364" t="s">
        <v>34848</v>
      </c>
      <c r="D7364" s="1">
        <v>40311</v>
      </c>
      <c r="E7364" s="2">
        <v>172500</v>
      </c>
      <c r="F7364" t="s">
        <v>4567</v>
      </c>
      <c r="G7364" s="17" t="str">
        <f>HYPERLINK("https://www.washoecounty.gov/assessor/cama/?command=sales&amp;parid=52430011","3881235")</f>
        <v>3881235</v>
      </c>
      <c r="H7364" t="s">
        <v>4169</v>
      </c>
      <c r="I7364">
        <v>2000</v>
      </c>
      <c r="J7364">
        <v>2000</v>
      </c>
      <c r="K7364" t="s">
        <v>4554</v>
      </c>
      <c r="L7364" t="s">
        <v>4555</v>
      </c>
      <c r="M7364" s="2">
        <v>1439</v>
      </c>
      <c r="N7364" t="s">
        <v>5280</v>
      </c>
      <c r="O7364">
        <v>3</v>
      </c>
      <c r="P7364">
        <v>2</v>
      </c>
      <c r="Q7364">
        <v>0</v>
      </c>
      <c r="R7364" t="s">
        <v>4557</v>
      </c>
      <c r="S7364" t="s">
        <v>4558</v>
      </c>
      <c r="T7364" t="s">
        <v>4559</v>
      </c>
      <c r="U7364" t="s">
        <v>4560</v>
      </c>
      <c r="V7364" s="2">
        <v>400</v>
      </c>
      <c r="W7364" t="s">
        <v>4655</v>
      </c>
      <c r="X7364" s="2">
        <v>0</v>
      </c>
      <c r="Y7364">
        <v>20</v>
      </c>
      <c r="Z7364" t="s">
        <v>1604</v>
      </c>
      <c r="AA7364" s="3">
        <v>0.189003676176071</v>
      </c>
      <c r="AB7364" t="s">
        <v>34849</v>
      </c>
      <c r="AC7364" t="s">
        <v>4562</v>
      </c>
      <c r="AD7364" t="s">
        <v>34848</v>
      </c>
      <c r="AE7364" t="s">
        <v>4655</v>
      </c>
      <c r="AF7364" t="s">
        <v>5201</v>
      </c>
      <c r="AG7364" t="s">
        <v>4564</v>
      </c>
      <c r="AH7364" t="s">
        <v>1605</v>
      </c>
      <c r="AI7364" t="s">
        <v>34850</v>
      </c>
      <c r="AJ7364" t="s">
        <v>34851</v>
      </c>
      <c r="AK7364" t="s">
        <v>34852</v>
      </c>
      <c r="AL7364" s="13" t="s">
        <v>1899</v>
      </c>
      <c r="AM7364" s="14">
        <v>1</v>
      </c>
      <c r="AN7364" s="15" t="s">
        <v>988</v>
      </c>
    </row>
    <row r="7365" spans="1:40" x14ac:dyDescent="0.3">
      <c r="A7365" s="10" t="str">
        <f>HYPERLINK("http://www.washoecounty.gov/assessor/cama/?parid=524-331-06&amp;CardNumber=1","524-331-06")</f>
        <v>524-331-06</v>
      </c>
      <c r="B7365" t="s">
        <v>4655</v>
      </c>
      <c r="C7365" t="s">
        <v>34853</v>
      </c>
      <c r="D7365" s="1">
        <v>40423</v>
      </c>
      <c r="E7365" s="2">
        <v>341000</v>
      </c>
      <c r="F7365" t="s">
        <v>4567</v>
      </c>
      <c r="G7365" s="17" t="str">
        <f>HYPERLINK("https://www.washoecounty.gov/assessor/cama/?command=sales&amp;parid=52433106","3918596")</f>
        <v>3918596</v>
      </c>
      <c r="H7365" t="s">
        <v>34854</v>
      </c>
      <c r="I7365">
        <v>2000</v>
      </c>
      <c r="J7365">
        <v>2000</v>
      </c>
      <c r="K7365" t="s">
        <v>4554</v>
      </c>
      <c r="L7365" t="s">
        <v>4555</v>
      </c>
      <c r="M7365" s="2">
        <v>2486</v>
      </c>
      <c r="N7365" t="s">
        <v>3887</v>
      </c>
      <c r="O7365">
        <v>4</v>
      </c>
      <c r="P7365">
        <v>3</v>
      </c>
      <c r="Q7365">
        <v>0</v>
      </c>
      <c r="R7365" t="s">
        <v>4557</v>
      </c>
      <c r="S7365" t="s">
        <v>4898</v>
      </c>
      <c r="T7365" t="s">
        <v>2704</v>
      </c>
      <c r="U7365" t="s">
        <v>4560</v>
      </c>
      <c r="V7365" s="2">
        <v>779</v>
      </c>
      <c r="W7365" t="s">
        <v>4655</v>
      </c>
      <c r="X7365" s="2">
        <v>0</v>
      </c>
      <c r="Y7365">
        <v>20</v>
      </c>
      <c r="Z7365" t="s">
        <v>1604</v>
      </c>
      <c r="AA7365" s="3">
        <v>0.54201102256774902</v>
      </c>
      <c r="AB7365" t="s">
        <v>34855</v>
      </c>
      <c r="AC7365" t="s">
        <v>4575</v>
      </c>
      <c r="AD7365" t="s">
        <v>34853</v>
      </c>
      <c r="AE7365" t="s">
        <v>4655</v>
      </c>
      <c r="AF7365" t="s">
        <v>5201</v>
      </c>
      <c r="AG7365" t="s">
        <v>4564</v>
      </c>
      <c r="AH7365" t="s">
        <v>1605</v>
      </c>
      <c r="AI7365" t="s">
        <v>34856</v>
      </c>
      <c r="AJ7365" t="s">
        <v>34857</v>
      </c>
      <c r="AK7365" t="s">
        <v>34858</v>
      </c>
      <c r="AL7365" s="13" t="s">
        <v>1899</v>
      </c>
      <c r="AM7365">
        <v>1</v>
      </c>
      <c r="AN7365" s="15" t="s">
        <v>3840</v>
      </c>
    </row>
    <row r="7366" spans="1:40" x14ac:dyDescent="0.3">
      <c r="A7366" s="10" t="str">
        <f>HYPERLINK("http://www.washoecounty.gov/assessor/cama/?parid=524-332-01&amp;CardNumber=1","524-332-01")</f>
        <v>524-332-01</v>
      </c>
      <c r="B7366" t="s">
        <v>4655</v>
      </c>
      <c r="C7366" t="s">
        <v>34859</v>
      </c>
      <c r="D7366" s="1">
        <v>40511</v>
      </c>
      <c r="E7366" s="2">
        <v>365000</v>
      </c>
      <c r="F7366" t="s">
        <v>4567</v>
      </c>
      <c r="G7366" s="17" t="str">
        <f>HYPERLINK("https://www.washoecounty.gov/assessor/cama/?command=sales&amp;parid=52433201","3947172")</f>
        <v>3947172</v>
      </c>
      <c r="H7366" t="s">
        <v>34854</v>
      </c>
      <c r="I7366">
        <v>2000</v>
      </c>
      <c r="J7366">
        <v>2000</v>
      </c>
      <c r="K7366" t="s">
        <v>4554</v>
      </c>
      <c r="L7366" t="s">
        <v>4555</v>
      </c>
      <c r="M7366" s="2">
        <v>3510</v>
      </c>
      <c r="N7366" t="s">
        <v>3887</v>
      </c>
      <c r="O7366">
        <v>4</v>
      </c>
      <c r="P7366">
        <v>3</v>
      </c>
      <c r="Q7366">
        <v>0</v>
      </c>
      <c r="R7366" t="s">
        <v>4557</v>
      </c>
      <c r="S7366" t="s">
        <v>4898</v>
      </c>
      <c r="T7366" t="s">
        <v>2704</v>
      </c>
      <c r="U7366" t="s">
        <v>4560</v>
      </c>
      <c r="V7366" s="2">
        <v>926</v>
      </c>
      <c r="W7366" t="s">
        <v>4655</v>
      </c>
      <c r="X7366" s="2">
        <v>0</v>
      </c>
      <c r="Y7366">
        <v>20</v>
      </c>
      <c r="Z7366" t="s">
        <v>1604</v>
      </c>
      <c r="AA7366" s="3">
        <v>0.56999540328979403</v>
      </c>
      <c r="AB7366" t="s">
        <v>34860</v>
      </c>
      <c r="AC7366" t="s">
        <v>4575</v>
      </c>
      <c r="AD7366" t="s">
        <v>34859</v>
      </c>
      <c r="AE7366" t="s">
        <v>4655</v>
      </c>
      <c r="AF7366" t="s">
        <v>5201</v>
      </c>
      <c r="AG7366" t="s">
        <v>4564</v>
      </c>
      <c r="AH7366" t="s">
        <v>1605</v>
      </c>
      <c r="AI7366" t="s">
        <v>34861</v>
      </c>
      <c r="AJ7366" t="s">
        <v>34857</v>
      </c>
      <c r="AK7366" t="s">
        <v>34862</v>
      </c>
      <c r="AL7366" s="13" t="s">
        <v>1899</v>
      </c>
      <c r="AM7366">
        <v>1</v>
      </c>
      <c r="AN7366" s="15" t="s">
        <v>3840</v>
      </c>
    </row>
    <row r="7367" spans="1:40" x14ac:dyDescent="0.3">
      <c r="A7367" s="10" t="str">
        <f>HYPERLINK("http://www.washoecounty.gov/assessor/cama/?parid=524-332-02&amp;CardNumber=1","524-332-02")</f>
        <v>524-332-02</v>
      </c>
      <c r="B7367" t="s">
        <v>4655</v>
      </c>
      <c r="C7367" t="s">
        <v>34863</v>
      </c>
      <c r="D7367" s="1">
        <v>40367</v>
      </c>
      <c r="E7367" s="2">
        <v>364000</v>
      </c>
      <c r="F7367" t="s">
        <v>4567</v>
      </c>
      <c r="G7367" s="17" t="str">
        <f>HYPERLINK("https://www.washoecounty.gov/assessor/cama/?command=sales&amp;parid=52433202","3899540")</f>
        <v>3899540</v>
      </c>
      <c r="H7367" t="s">
        <v>34854</v>
      </c>
      <c r="I7367">
        <v>2000</v>
      </c>
      <c r="J7367">
        <v>2000</v>
      </c>
      <c r="K7367" t="s">
        <v>4554</v>
      </c>
      <c r="L7367" t="s">
        <v>4555</v>
      </c>
      <c r="M7367" s="2">
        <v>2486</v>
      </c>
      <c r="N7367" t="s">
        <v>3887</v>
      </c>
      <c r="O7367">
        <v>4</v>
      </c>
      <c r="P7367">
        <v>3</v>
      </c>
      <c r="Q7367">
        <v>0</v>
      </c>
      <c r="R7367" t="s">
        <v>5281</v>
      </c>
      <c r="S7367" t="s">
        <v>4898</v>
      </c>
      <c r="T7367" t="s">
        <v>2704</v>
      </c>
      <c r="U7367" t="s">
        <v>4560</v>
      </c>
      <c r="V7367" s="2">
        <v>779</v>
      </c>
      <c r="W7367" t="s">
        <v>4655</v>
      </c>
      <c r="X7367" s="2">
        <v>0</v>
      </c>
      <c r="Y7367">
        <v>20</v>
      </c>
      <c r="Z7367" t="s">
        <v>1604</v>
      </c>
      <c r="AA7367" s="3">
        <v>0.5</v>
      </c>
      <c r="AB7367" t="s">
        <v>34864</v>
      </c>
      <c r="AC7367" t="s">
        <v>4562</v>
      </c>
      <c r="AD7367" t="s">
        <v>34863</v>
      </c>
      <c r="AE7367" t="s">
        <v>4655</v>
      </c>
      <c r="AF7367" t="s">
        <v>5201</v>
      </c>
      <c r="AG7367" t="s">
        <v>4564</v>
      </c>
      <c r="AH7367" t="s">
        <v>1605</v>
      </c>
      <c r="AI7367" t="s">
        <v>34865</v>
      </c>
      <c r="AJ7367" t="s">
        <v>34857</v>
      </c>
      <c r="AK7367" t="s">
        <v>34866</v>
      </c>
      <c r="AL7367" s="13" t="s">
        <v>1899</v>
      </c>
      <c r="AM7367">
        <v>1</v>
      </c>
      <c r="AN7367" s="15" t="s">
        <v>3840</v>
      </c>
    </row>
    <row r="7368" spans="1:40" x14ac:dyDescent="0.3">
      <c r="A7368" s="10" t="str">
        <f>HYPERLINK("http://www.washoecounty.gov/assessor/cama/?parid=524-341-02&amp;CardNumber=1","524-341-02")</f>
        <v>524-341-02</v>
      </c>
      <c r="B7368" t="s">
        <v>4655</v>
      </c>
      <c r="C7368" t="s">
        <v>34867</v>
      </c>
      <c r="D7368" s="1">
        <v>40473</v>
      </c>
      <c r="E7368" s="2">
        <v>222500</v>
      </c>
      <c r="F7368" t="s">
        <v>4553</v>
      </c>
      <c r="G7368" s="17" t="str">
        <f>HYPERLINK("https://www.washoecounty.gov/assessor/cama/?command=sales&amp;parid=52434102","3935547")</f>
        <v>3935547</v>
      </c>
      <c r="H7368" t="s">
        <v>950</v>
      </c>
      <c r="I7368">
        <v>2006</v>
      </c>
      <c r="J7368">
        <v>2006</v>
      </c>
      <c r="K7368" t="s">
        <v>4554</v>
      </c>
      <c r="L7368" t="s">
        <v>4555</v>
      </c>
      <c r="M7368" s="2">
        <v>2217</v>
      </c>
      <c r="N7368" t="s">
        <v>3887</v>
      </c>
      <c r="O7368">
        <v>3</v>
      </c>
      <c r="P7368">
        <v>2</v>
      </c>
      <c r="Q7368">
        <v>0</v>
      </c>
      <c r="R7368" t="s">
        <v>5281</v>
      </c>
      <c r="S7368" t="s">
        <v>4898</v>
      </c>
      <c r="T7368" t="s">
        <v>2704</v>
      </c>
      <c r="U7368" t="s">
        <v>4560</v>
      </c>
      <c r="V7368" s="2">
        <v>769</v>
      </c>
      <c r="W7368" t="s">
        <v>4655</v>
      </c>
      <c r="X7368" s="2">
        <v>0</v>
      </c>
      <c r="Y7368">
        <v>20</v>
      </c>
      <c r="Z7368" t="s">
        <v>1604</v>
      </c>
      <c r="AA7368" s="3">
        <v>0.410009175539017</v>
      </c>
      <c r="AB7368" t="s">
        <v>34868</v>
      </c>
      <c r="AC7368" t="s">
        <v>4562</v>
      </c>
      <c r="AD7368" t="s">
        <v>34869</v>
      </c>
      <c r="AE7368" t="s">
        <v>4655</v>
      </c>
      <c r="AF7368" t="s">
        <v>34870</v>
      </c>
      <c r="AG7368" t="s">
        <v>4584</v>
      </c>
      <c r="AH7368" t="s">
        <v>2211</v>
      </c>
      <c r="AI7368" t="s">
        <v>4045</v>
      </c>
      <c r="AJ7368" t="s">
        <v>2225</v>
      </c>
      <c r="AK7368" t="s">
        <v>34871</v>
      </c>
      <c r="AL7368" s="13" t="s">
        <v>1899</v>
      </c>
      <c r="AM7368">
        <v>1</v>
      </c>
      <c r="AN7368" s="15" t="s">
        <v>988</v>
      </c>
    </row>
    <row r="7369" spans="1:40" x14ac:dyDescent="0.3">
      <c r="A7369" s="10" t="str">
        <f>HYPERLINK("http://www.washoecounty.gov/assessor/cama/?parid=524-341-04&amp;CardNumber=1","524-341-04")</f>
        <v>524-341-04</v>
      </c>
      <c r="B7369" t="s">
        <v>4655</v>
      </c>
      <c r="C7369" t="s">
        <v>34872</v>
      </c>
      <c r="D7369" s="1">
        <v>40268</v>
      </c>
      <c r="E7369" s="2">
        <v>238000</v>
      </c>
      <c r="F7369" t="s">
        <v>4553</v>
      </c>
      <c r="G7369" s="17" t="str">
        <f>HYPERLINK("https://www.washoecounty.gov/assessor/cama/?command=sales&amp;parid=52434104","3866236")</f>
        <v>3866236</v>
      </c>
      <c r="H7369" t="s">
        <v>950</v>
      </c>
      <c r="I7369">
        <v>2006</v>
      </c>
      <c r="J7369">
        <v>2006</v>
      </c>
      <c r="K7369" t="s">
        <v>4554</v>
      </c>
      <c r="L7369" t="s">
        <v>4555</v>
      </c>
      <c r="M7369" s="2">
        <v>2217</v>
      </c>
      <c r="N7369" t="s">
        <v>3147</v>
      </c>
      <c r="O7369">
        <v>3</v>
      </c>
      <c r="P7369">
        <v>2</v>
      </c>
      <c r="Q7369">
        <v>0</v>
      </c>
      <c r="R7369" t="s">
        <v>5281</v>
      </c>
      <c r="S7369" t="s">
        <v>4898</v>
      </c>
      <c r="T7369" t="s">
        <v>2704</v>
      </c>
      <c r="U7369" t="s">
        <v>4560</v>
      </c>
      <c r="V7369" s="2">
        <v>769</v>
      </c>
      <c r="W7369" t="s">
        <v>4655</v>
      </c>
      <c r="X7369" s="2">
        <v>0</v>
      </c>
      <c r="Y7369">
        <v>20</v>
      </c>
      <c r="Z7369" t="s">
        <v>1604</v>
      </c>
      <c r="AA7369" s="3">
        <v>0.33900368213653598</v>
      </c>
      <c r="AB7369" t="s">
        <v>34873</v>
      </c>
      <c r="AC7369" t="s">
        <v>4562</v>
      </c>
      <c r="AD7369" t="s">
        <v>34874</v>
      </c>
      <c r="AE7369" t="s">
        <v>4655</v>
      </c>
      <c r="AF7369" t="s">
        <v>4809</v>
      </c>
      <c r="AG7369" t="s">
        <v>4564</v>
      </c>
      <c r="AH7369" t="s">
        <v>1605</v>
      </c>
      <c r="AI7369" t="s">
        <v>4903</v>
      </c>
      <c r="AJ7369" t="s">
        <v>2225</v>
      </c>
      <c r="AK7369" t="s">
        <v>34875</v>
      </c>
      <c r="AL7369" s="13" t="s">
        <v>1899</v>
      </c>
      <c r="AM7369" s="14">
        <v>1</v>
      </c>
      <c r="AN7369" s="15" t="s">
        <v>988</v>
      </c>
    </row>
    <row r="7370" spans="1:40" x14ac:dyDescent="0.3">
      <c r="A7370" s="10" t="str">
        <f>HYPERLINK("http://www.washoecounty.gov/assessor/cama/?parid=524-342-07&amp;CardNumber=1","524-342-07")</f>
        <v>524-342-07</v>
      </c>
      <c r="B7370" t="s">
        <v>4655</v>
      </c>
      <c r="C7370" t="s">
        <v>34876</v>
      </c>
      <c r="D7370" s="1">
        <v>40343</v>
      </c>
      <c r="E7370" s="2">
        <v>220000</v>
      </c>
      <c r="F7370" t="s">
        <v>4553</v>
      </c>
      <c r="G7370" s="17" t="str">
        <f>HYPERLINK("https://www.washoecounty.gov/assessor/cama/?command=sales&amp;parid=52434207","NOT AVAILABLE ")</f>
        <v xml:space="preserve">NOT AVAILABLE </v>
      </c>
      <c r="H7370" t="s">
        <v>950</v>
      </c>
      <c r="I7370">
        <v>2001</v>
      </c>
      <c r="J7370">
        <v>2001</v>
      </c>
      <c r="K7370" t="s">
        <v>4554</v>
      </c>
      <c r="L7370" t="s">
        <v>4555</v>
      </c>
      <c r="M7370" s="2">
        <v>2016</v>
      </c>
      <c r="N7370" t="s">
        <v>5280</v>
      </c>
      <c r="O7370">
        <v>4</v>
      </c>
      <c r="P7370">
        <v>2</v>
      </c>
      <c r="Q7370">
        <v>0</v>
      </c>
      <c r="R7370" t="s">
        <v>4557</v>
      </c>
      <c r="S7370" t="s">
        <v>4558</v>
      </c>
      <c r="T7370" t="s">
        <v>4559</v>
      </c>
      <c r="U7370" t="s">
        <v>4560</v>
      </c>
      <c r="V7370" s="2">
        <v>629</v>
      </c>
      <c r="W7370" t="s">
        <v>4655</v>
      </c>
      <c r="X7370" s="2">
        <v>0</v>
      </c>
      <c r="Y7370">
        <v>20</v>
      </c>
      <c r="Z7370" t="s">
        <v>1604</v>
      </c>
      <c r="AA7370" s="3">
        <v>0.32300275564193698</v>
      </c>
      <c r="AB7370" t="s">
        <v>8865</v>
      </c>
      <c r="AC7370" t="s">
        <v>4575</v>
      </c>
      <c r="AD7370" t="s">
        <v>283</v>
      </c>
      <c r="AE7370" t="s">
        <v>4655</v>
      </c>
      <c r="AF7370" t="s">
        <v>283</v>
      </c>
      <c r="AG7370" t="s">
        <v>4564</v>
      </c>
      <c r="AH7370" t="s">
        <v>3101</v>
      </c>
      <c r="AI7370" t="s">
        <v>4655</v>
      </c>
      <c r="AJ7370" t="s">
        <v>2225</v>
      </c>
      <c r="AK7370" t="s">
        <v>34877</v>
      </c>
      <c r="AL7370" s="13" t="s">
        <v>1899</v>
      </c>
      <c r="AM7370">
        <v>1</v>
      </c>
      <c r="AN7370" s="15" t="s">
        <v>988</v>
      </c>
    </row>
    <row r="7371" spans="1:40" x14ac:dyDescent="0.3">
      <c r="A7371" s="10" t="str">
        <f>HYPERLINK("http://www.washoecounty.gov/assessor/cama/?parid=524-342-08&amp;CardNumber=1","524-342-08")</f>
        <v>524-342-08</v>
      </c>
      <c r="B7371" t="s">
        <v>4655</v>
      </c>
      <c r="C7371" t="s">
        <v>34878</v>
      </c>
      <c r="D7371" s="1">
        <v>40529</v>
      </c>
      <c r="E7371" s="2">
        <v>205900</v>
      </c>
      <c r="F7371" t="s">
        <v>4553</v>
      </c>
      <c r="G7371" s="17" t="str">
        <f>HYPERLINK("https://www.washoecounty.gov/assessor/cama/?command=sales&amp;parid=52434208","3954874")</f>
        <v>3954874</v>
      </c>
      <c r="H7371" t="s">
        <v>950</v>
      </c>
      <c r="I7371">
        <v>2001</v>
      </c>
      <c r="J7371">
        <v>2001</v>
      </c>
      <c r="K7371" t="s">
        <v>4554</v>
      </c>
      <c r="L7371" t="s">
        <v>4555</v>
      </c>
      <c r="M7371" s="2">
        <v>2235</v>
      </c>
      <c r="N7371" t="s">
        <v>5280</v>
      </c>
      <c r="O7371">
        <v>4</v>
      </c>
      <c r="P7371">
        <v>2</v>
      </c>
      <c r="Q7371">
        <v>0</v>
      </c>
      <c r="R7371" t="s">
        <v>4557</v>
      </c>
      <c r="S7371" t="s">
        <v>4558</v>
      </c>
      <c r="T7371" t="s">
        <v>4559</v>
      </c>
      <c r="U7371" t="s">
        <v>4560</v>
      </c>
      <c r="V7371" s="2">
        <v>600</v>
      </c>
      <c r="W7371" t="s">
        <v>4655</v>
      </c>
      <c r="X7371" s="2">
        <v>0</v>
      </c>
      <c r="Y7371">
        <v>20</v>
      </c>
      <c r="Z7371" t="s">
        <v>1604</v>
      </c>
      <c r="AA7371" s="3">
        <v>0.36701101064682001</v>
      </c>
      <c r="AB7371" t="s">
        <v>34879</v>
      </c>
      <c r="AC7371" t="s">
        <v>4562</v>
      </c>
      <c r="AD7371" t="s">
        <v>34878</v>
      </c>
      <c r="AE7371" t="s">
        <v>4655</v>
      </c>
      <c r="AF7371" t="s">
        <v>5201</v>
      </c>
      <c r="AG7371" t="s">
        <v>4564</v>
      </c>
      <c r="AH7371" t="s">
        <v>1605</v>
      </c>
      <c r="AI7371" t="s">
        <v>4503</v>
      </c>
      <c r="AJ7371" t="s">
        <v>2225</v>
      </c>
      <c r="AK7371" t="s">
        <v>34880</v>
      </c>
      <c r="AL7371" s="13" t="s">
        <v>1899</v>
      </c>
      <c r="AM7371">
        <v>1</v>
      </c>
      <c r="AN7371" s="15" t="s">
        <v>988</v>
      </c>
    </row>
    <row r="7372" spans="1:40" x14ac:dyDescent="0.3">
      <c r="A7372" s="10" t="str">
        <f>HYPERLINK("http://www.washoecounty.gov/assessor/cama/?parid=524-371-02&amp;CardNumber=1","524-371-02")</f>
        <v>524-371-02</v>
      </c>
      <c r="B7372" t="s">
        <v>4655</v>
      </c>
      <c r="C7372" t="s">
        <v>34881</v>
      </c>
      <c r="D7372" s="1">
        <v>40298</v>
      </c>
      <c r="E7372" s="2">
        <v>400000</v>
      </c>
      <c r="F7372" t="s">
        <v>4567</v>
      </c>
      <c r="G7372" s="17" t="str">
        <f>HYPERLINK("https://www.washoecounty.gov/assessor/cama/?command=sales&amp;parid=52437102","3877013")</f>
        <v>3877013</v>
      </c>
      <c r="H7372" t="s">
        <v>3841</v>
      </c>
      <c r="I7372">
        <v>2000</v>
      </c>
      <c r="J7372">
        <v>2000</v>
      </c>
      <c r="K7372" t="s">
        <v>4554</v>
      </c>
      <c r="L7372" t="s">
        <v>4555</v>
      </c>
      <c r="M7372" s="2">
        <v>3014</v>
      </c>
      <c r="N7372" t="s">
        <v>3887</v>
      </c>
      <c r="O7372">
        <v>4</v>
      </c>
      <c r="P7372">
        <v>3</v>
      </c>
      <c r="Q7372">
        <v>0</v>
      </c>
      <c r="R7372" t="s">
        <v>4557</v>
      </c>
      <c r="S7372" t="s">
        <v>4898</v>
      </c>
      <c r="T7372" t="s">
        <v>2704</v>
      </c>
      <c r="U7372" t="s">
        <v>4560</v>
      </c>
      <c r="V7372" s="2">
        <v>896</v>
      </c>
      <c r="W7372" t="s">
        <v>4655</v>
      </c>
      <c r="X7372" s="2">
        <v>0</v>
      </c>
      <c r="Y7372">
        <v>20</v>
      </c>
      <c r="Z7372" t="s">
        <v>1604</v>
      </c>
      <c r="AA7372" s="3">
        <v>0.503007352352142</v>
      </c>
      <c r="AB7372" t="s">
        <v>34557</v>
      </c>
      <c r="AC7372" t="s">
        <v>4562</v>
      </c>
      <c r="AD7372" t="s">
        <v>34881</v>
      </c>
      <c r="AE7372" t="s">
        <v>4655</v>
      </c>
      <c r="AF7372" t="s">
        <v>5201</v>
      </c>
      <c r="AG7372" t="s">
        <v>4564</v>
      </c>
      <c r="AH7372" t="s">
        <v>1605</v>
      </c>
      <c r="AI7372" t="s">
        <v>34882</v>
      </c>
      <c r="AJ7372" t="s">
        <v>3326</v>
      </c>
      <c r="AK7372" t="s">
        <v>34883</v>
      </c>
      <c r="AL7372" s="13" t="s">
        <v>1899</v>
      </c>
      <c r="AM7372">
        <v>1</v>
      </c>
      <c r="AN7372" s="15" t="s">
        <v>3840</v>
      </c>
    </row>
    <row r="7373" spans="1:40" x14ac:dyDescent="0.3">
      <c r="A7373" s="10" t="str">
        <f>HYPERLINK("http://www.washoecounty.gov/assessor/cama/?parid=524-372-12&amp;CardNumber=1","524-372-12")</f>
        <v>524-372-12</v>
      </c>
      <c r="B7373" t="s">
        <v>4655</v>
      </c>
      <c r="C7373" t="s">
        <v>34884</v>
      </c>
      <c r="D7373" s="1">
        <v>40526</v>
      </c>
      <c r="E7373" s="2">
        <v>415000</v>
      </c>
      <c r="F7373" t="s">
        <v>4567</v>
      </c>
      <c r="G7373" s="17" t="str">
        <f>HYPERLINK("https://www.washoecounty.gov/assessor/cama/?command=sales&amp;parid=52437212","3953036")</f>
        <v>3953036</v>
      </c>
      <c r="H7373" t="s">
        <v>3841</v>
      </c>
      <c r="I7373">
        <v>2001</v>
      </c>
      <c r="J7373">
        <v>2001</v>
      </c>
      <c r="K7373" t="s">
        <v>4554</v>
      </c>
      <c r="L7373" t="s">
        <v>4555</v>
      </c>
      <c r="M7373" s="2">
        <v>3511</v>
      </c>
      <c r="N7373" t="s">
        <v>3887</v>
      </c>
      <c r="O7373">
        <v>4</v>
      </c>
      <c r="P7373">
        <v>3</v>
      </c>
      <c r="Q7373">
        <v>0</v>
      </c>
      <c r="R7373" t="s">
        <v>4557</v>
      </c>
      <c r="S7373" t="s">
        <v>4898</v>
      </c>
      <c r="T7373" t="s">
        <v>2704</v>
      </c>
      <c r="U7373" t="s">
        <v>4560</v>
      </c>
      <c r="V7373" s="2">
        <v>926</v>
      </c>
      <c r="W7373" t="s">
        <v>4655</v>
      </c>
      <c r="X7373" s="2">
        <v>0</v>
      </c>
      <c r="Y7373">
        <v>20</v>
      </c>
      <c r="Z7373" t="s">
        <v>1604</v>
      </c>
      <c r="AA7373" s="3">
        <v>0.60700184106826705</v>
      </c>
      <c r="AB7373" t="s">
        <v>34885</v>
      </c>
      <c r="AC7373" t="s">
        <v>4562</v>
      </c>
      <c r="AD7373" t="s">
        <v>34884</v>
      </c>
      <c r="AE7373" t="s">
        <v>4655</v>
      </c>
      <c r="AF7373" t="s">
        <v>5201</v>
      </c>
      <c r="AG7373" t="s">
        <v>4564</v>
      </c>
      <c r="AH7373" t="s">
        <v>1605</v>
      </c>
      <c r="AI7373" t="s">
        <v>34886</v>
      </c>
      <c r="AJ7373" t="s">
        <v>3326</v>
      </c>
      <c r="AK7373" t="s">
        <v>34887</v>
      </c>
      <c r="AL7373" s="13" t="s">
        <v>1899</v>
      </c>
      <c r="AM7373" s="14">
        <v>1</v>
      </c>
      <c r="AN7373" s="15" t="s">
        <v>3840</v>
      </c>
    </row>
    <row r="7374" spans="1:40" x14ac:dyDescent="0.3">
      <c r="A7374" s="10" t="str">
        <f>HYPERLINK("http://www.washoecounty.gov/assessor/cama/?parid=524-392-03&amp;CardNumber=1","524-392-03")</f>
        <v>524-392-03</v>
      </c>
      <c r="B7374" t="s">
        <v>4655</v>
      </c>
      <c r="C7374" t="s">
        <v>34888</v>
      </c>
      <c r="D7374" s="1">
        <v>40325</v>
      </c>
      <c r="E7374" s="2">
        <v>235000</v>
      </c>
      <c r="F7374" t="s">
        <v>4567</v>
      </c>
      <c r="G7374" s="17" t="str">
        <f>HYPERLINK("https://www.washoecounty.gov/assessor/cama/?command=sales&amp;parid=52439203","3886072")</f>
        <v>3886072</v>
      </c>
      <c r="H7374" t="s">
        <v>2587</v>
      </c>
      <c r="I7374">
        <v>2001</v>
      </c>
      <c r="J7374">
        <v>2001</v>
      </c>
      <c r="K7374" t="s">
        <v>4554</v>
      </c>
      <c r="L7374" t="s">
        <v>4555</v>
      </c>
      <c r="M7374" s="2">
        <v>2235</v>
      </c>
      <c r="N7374" t="s">
        <v>5280</v>
      </c>
      <c r="O7374">
        <v>4</v>
      </c>
      <c r="P7374">
        <v>2</v>
      </c>
      <c r="Q7374">
        <v>0</v>
      </c>
      <c r="R7374" t="s">
        <v>4557</v>
      </c>
      <c r="S7374" t="s">
        <v>4558</v>
      </c>
      <c r="T7374" t="s">
        <v>2704</v>
      </c>
      <c r="U7374" t="s">
        <v>4560</v>
      </c>
      <c r="V7374" s="2">
        <v>600</v>
      </c>
      <c r="W7374" t="s">
        <v>4655</v>
      </c>
      <c r="X7374" s="2">
        <v>0</v>
      </c>
      <c r="Y7374">
        <v>20</v>
      </c>
      <c r="Z7374" t="s">
        <v>1604</v>
      </c>
      <c r="AA7374" s="3">
        <v>0.26000916957855202</v>
      </c>
      <c r="AB7374" t="s">
        <v>1150</v>
      </c>
      <c r="AC7374" t="s">
        <v>4575</v>
      </c>
      <c r="AD7374" t="s">
        <v>34889</v>
      </c>
      <c r="AE7374" t="s">
        <v>4971</v>
      </c>
      <c r="AF7374" t="s">
        <v>4563</v>
      </c>
      <c r="AG7374" t="s">
        <v>4564</v>
      </c>
      <c r="AH7374">
        <v>89511</v>
      </c>
      <c r="AI7374" t="s">
        <v>4970</v>
      </c>
      <c r="AJ7374" t="s">
        <v>2588</v>
      </c>
      <c r="AK7374" t="s">
        <v>34890</v>
      </c>
      <c r="AL7374" s="13" t="s">
        <v>1899</v>
      </c>
      <c r="AM7374">
        <v>1</v>
      </c>
      <c r="AN7374" s="15" t="s">
        <v>988</v>
      </c>
    </row>
    <row r="7375" spans="1:40" x14ac:dyDescent="0.3">
      <c r="A7375" s="10" t="str">
        <f>HYPERLINK("http://www.washoecounty.gov/assessor/cama/?parid=524-392-06&amp;CardNumber=1","524-392-06")</f>
        <v>524-392-06</v>
      </c>
      <c r="B7375" t="s">
        <v>4655</v>
      </c>
      <c r="C7375" t="s">
        <v>34891</v>
      </c>
      <c r="D7375" s="1">
        <v>40380</v>
      </c>
      <c r="E7375" s="2">
        <v>210000</v>
      </c>
      <c r="F7375" t="s">
        <v>4567</v>
      </c>
      <c r="G7375" s="17" t="str">
        <f>HYPERLINK("https://www.washoecounty.gov/assessor/cama/?command=sales&amp;parid=52439206","3903632")</f>
        <v>3903632</v>
      </c>
      <c r="H7375" t="s">
        <v>2587</v>
      </c>
      <c r="I7375">
        <v>2001</v>
      </c>
      <c r="J7375">
        <v>2001</v>
      </c>
      <c r="K7375" t="s">
        <v>4554</v>
      </c>
      <c r="L7375" t="s">
        <v>4555</v>
      </c>
      <c r="M7375" s="2">
        <v>2016</v>
      </c>
      <c r="N7375" t="s">
        <v>5280</v>
      </c>
      <c r="O7375">
        <v>4</v>
      </c>
      <c r="P7375">
        <v>2</v>
      </c>
      <c r="Q7375">
        <v>0</v>
      </c>
      <c r="R7375" t="s">
        <v>4557</v>
      </c>
      <c r="S7375" t="s">
        <v>4898</v>
      </c>
      <c r="T7375" t="s">
        <v>2704</v>
      </c>
      <c r="U7375" t="s">
        <v>4560</v>
      </c>
      <c r="V7375" s="2">
        <v>630</v>
      </c>
      <c r="W7375" t="s">
        <v>4655</v>
      </c>
      <c r="X7375" s="2">
        <v>0</v>
      </c>
      <c r="Y7375">
        <v>20</v>
      </c>
      <c r="Z7375" t="s">
        <v>1604</v>
      </c>
      <c r="AA7375" s="3">
        <v>0.20899908244609799</v>
      </c>
      <c r="AB7375" t="s">
        <v>34892</v>
      </c>
      <c r="AC7375" t="s">
        <v>4562</v>
      </c>
      <c r="AD7375" t="s">
        <v>34893</v>
      </c>
      <c r="AE7375" t="s">
        <v>4655</v>
      </c>
      <c r="AF7375" t="s">
        <v>1214</v>
      </c>
      <c r="AG7375" t="s">
        <v>4584</v>
      </c>
      <c r="AH7375" t="s">
        <v>1215</v>
      </c>
      <c r="AI7375" t="s">
        <v>34894</v>
      </c>
      <c r="AJ7375" t="s">
        <v>2588</v>
      </c>
      <c r="AK7375" t="s">
        <v>34895</v>
      </c>
      <c r="AL7375" s="13" t="s">
        <v>1899</v>
      </c>
      <c r="AM7375">
        <v>1</v>
      </c>
      <c r="AN7375" s="15" t="s">
        <v>988</v>
      </c>
    </row>
    <row r="7376" spans="1:40" x14ac:dyDescent="0.3">
      <c r="A7376" s="10" t="str">
        <f>HYPERLINK("http://www.washoecounty.gov/assessor/cama/?parid=524-392-15&amp;CardNumber=1","524-392-15")</f>
        <v>524-392-15</v>
      </c>
      <c r="B7376" t="s">
        <v>4655</v>
      </c>
      <c r="C7376" s="20" t="s">
        <v>283</v>
      </c>
      <c r="D7376" s="1">
        <v>40242</v>
      </c>
      <c r="E7376" s="2">
        <v>229000</v>
      </c>
      <c r="F7376" t="s">
        <v>4567</v>
      </c>
      <c r="G7376" s="20" t="s">
        <v>282</v>
      </c>
      <c r="H7376" t="s">
        <v>2587</v>
      </c>
      <c r="I7376">
        <v>2001</v>
      </c>
      <c r="J7376">
        <v>2001</v>
      </c>
      <c r="K7376" t="s">
        <v>4554</v>
      </c>
      <c r="L7376" t="s">
        <v>4555</v>
      </c>
      <c r="M7376" s="2">
        <v>2016</v>
      </c>
      <c r="N7376" t="s">
        <v>5280</v>
      </c>
      <c r="O7376">
        <v>4</v>
      </c>
      <c r="P7376">
        <v>2</v>
      </c>
      <c r="Q7376">
        <v>0</v>
      </c>
      <c r="R7376" t="s">
        <v>4557</v>
      </c>
      <c r="S7376" t="s">
        <v>4898</v>
      </c>
      <c r="T7376" t="s">
        <v>4559</v>
      </c>
      <c r="U7376" t="s">
        <v>4560</v>
      </c>
      <c r="V7376" s="2">
        <v>630</v>
      </c>
      <c r="W7376" t="s">
        <v>4655</v>
      </c>
      <c r="X7376" s="2">
        <v>0</v>
      </c>
      <c r="Y7376">
        <v>20</v>
      </c>
      <c r="Z7376" t="s">
        <v>1604</v>
      </c>
      <c r="AA7376" s="3">
        <v>0.21900826692581199</v>
      </c>
      <c r="AB7376" s="20" t="s">
        <v>8865</v>
      </c>
      <c r="AD7376" t="s">
        <v>283</v>
      </c>
      <c r="AE7376" t="s">
        <v>283</v>
      </c>
      <c r="AF7376" t="s">
        <v>283</v>
      </c>
      <c r="AG7376" t="s">
        <v>4564</v>
      </c>
      <c r="AH7376" t="s">
        <v>3101</v>
      </c>
      <c r="AI7376" t="s">
        <v>8865</v>
      </c>
      <c r="AJ7376" t="s">
        <v>2588</v>
      </c>
      <c r="AK7376" t="s">
        <v>8865</v>
      </c>
      <c r="AL7376" s="13" t="s">
        <v>1899</v>
      </c>
      <c r="AM7376" s="14">
        <v>1</v>
      </c>
      <c r="AN7376" s="15" t="s">
        <v>988</v>
      </c>
    </row>
    <row r="7377" spans="1:40" x14ac:dyDescent="0.3">
      <c r="A7377" s="10" t="str">
        <f>HYPERLINK("http://www.washoecounty.gov/assessor/cama/?parid=524-402-07&amp;CardNumber=1","524-402-07")</f>
        <v>524-402-07</v>
      </c>
      <c r="B7377" t="s">
        <v>4655</v>
      </c>
      <c r="C7377" t="s">
        <v>34896</v>
      </c>
      <c r="D7377" s="1">
        <v>40534</v>
      </c>
      <c r="E7377" s="2">
        <v>169000</v>
      </c>
      <c r="F7377" t="s">
        <v>4567</v>
      </c>
      <c r="G7377" s="17" t="str">
        <f>HYPERLINK("https://www.washoecounty.gov/assessor/cama/?command=sales&amp;parid=52440207","3956526")</f>
        <v>3956526</v>
      </c>
      <c r="H7377" t="s">
        <v>2587</v>
      </c>
      <c r="I7377">
        <v>2001</v>
      </c>
      <c r="J7377">
        <v>2001</v>
      </c>
      <c r="K7377" t="s">
        <v>4554</v>
      </c>
      <c r="L7377" t="s">
        <v>4555</v>
      </c>
      <c r="M7377" s="2">
        <v>1705</v>
      </c>
      <c r="N7377" t="s">
        <v>5280</v>
      </c>
      <c r="O7377">
        <v>3</v>
      </c>
      <c r="P7377">
        <v>2</v>
      </c>
      <c r="Q7377">
        <v>0</v>
      </c>
      <c r="R7377" t="s">
        <v>4557</v>
      </c>
      <c r="S7377" t="s">
        <v>4558</v>
      </c>
      <c r="T7377" t="s">
        <v>4559</v>
      </c>
      <c r="U7377" t="s">
        <v>4560</v>
      </c>
      <c r="V7377" s="2">
        <v>617</v>
      </c>
      <c r="W7377" t="s">
        <v>4655</v>
      </c>
      <c r="X7377" s="2">
        <v>0</v>
      </c>
      <c r="Y7377">
        <v>20</v>
      </c>
      <c r="Z7377" t="s">
        <v>1604</v>
      </c>
      <c r="AA7377" s="3">
        <v>0.207988977432251</v>
      </c>
      <c r="AB7377" t="s">
        <v>34897</v>
      </c>
      <c r="AC7377" t="s">
        <v>4562</v>
      </c>
      <c r="AD7377" t="s">
        <v>34898</v>
      </c>
      <c r="AE7377" t="s">
        <v>4655</v>
      </c>
      <c r="AF7377" t="s">
        <v>5201</v>
      </c>
      <c r="AG7377" t="s">
        <v>4564</v>
      </c>
      <c r="AH7377" t="s">
        <v>1605</v>
      </c>
      <c r="AI7377" t="s">
        <v>34899</v>
      </c>
      <c r="AJ7377" t="s">
        <v>2588</v>
      </c>
      <c r="AK7377" t="s">
        <v>34900</v>
      </c>
      <c r="AL7377" s="13" t="s">
        <v>1899</v>
      </c>
      <c r="AM7377" s="14">
        <v>1</v>
      </c>
      <c r="AN7377" s="15" t="s">
        <v>988</v>
      </c>
    </row>
    <row r="7378" spans="1:40" x14ac:dyDescent="0.3">
      <c r="A7378" s="10" t="str">
        <f>HYPERLINK("http://www.washoecounty.gov/assessor/cama/?parid=524-421-13&amp;CardNumber=1","524-421-13")</f>
        <v>524-421-13</v>
      </c>
      <c r="B7378" t="s">
        <v>4655</v>
      </c>
      <c r="C7378" t="s">
        <v>34901</v>
      </c>
      <c r="D7378" s="1">
        <v>40456</v>
      </c>
      <c r="E7378" s="2">
        <v>249500</v>
      </c>
      <c r="F7378" t="s">
        <v>4567</v>
      </c>
      <c r="G7378" s="17" t="str">
        <f>HYPERLINK("https://www.washoecounty.gov/assessor/cama/?command=sales&amp;parid=52442113","3929895")</f>
        <v>3929895</v>
      </c>
      <c r="H7378" t="s">
        <v>3563</v>
      </c>
      <c r="I7378">
        <v>2005</v>
      </c>
      <c r="J7378">
        <v>2005</v>
      </c>
      <c r="K7378" t="s">
        <v>4554</v>
      </c>
      <c r="L7378" t="s">
        <v>3974</v>
      </c>
      <c r="M7378" s="2">
        <v>3142</v>
      </c>
      <c r="N7378" t="s">
        <v>3147</v>
      </c>
      <c r="O7378">
        <v>3</v>
      </c>
      <c r="P7378">
        <v>3</v>
      </c>
      <c r="Q7378">
        <v>0</v>
      </c>
      <c r="R7378" t="s">
        <v>5281</v>
      </c>
      <c r="S7378" t="s">
        <v>4898</v>
      </c>
      <c r="T7378" t="s">
        <v>2704</v>
      </c>
      <c r="U7378" t="s">
        <v>4560</v>
      </c>
      <c r="V7378" s="2">
        <v>853</v>
      </c>
      <c r="W7378" t="s">
        <v>4655</v>
      </c>
      <c r="X7378" s="2">
        <v>0</v>
      </c>
      <c r="Y7378">
        <v>20</v>
      </c>
      <c r="Z7378" t="s">
        <v>5200</v>
      </c>
      <c r="AA7378" s="3">
        <v>0.33808541297912598</v>
      </c>
      <c r="AB7378" t="s">
        <v>34902</v>
      </c>
      <c r="AC7378" t="s">
        <v>4575</v>
      </c>
      <c r="AD7378" t="s">
        <v>34901</v>
      </c>
      <c r="AE7378" t="s">
        <v>4655</v>
      </c>
      <c r="AF7378" t="s">
        <v>5201</v>
      </c>
      <c r="AG7378" t="s">
        <v>4564</v>
      </c>
      <c r="AH7378" t="s">
        <v>1605</v>
      </c>
      <c r="AI7378" t="s">
        <v>34903</v>
      </c>
      <c r="AJ7378" t="s">
        <v>3564</v>
      </c>
      <c r="AK7378" t="s">
        <v>34904</v>
      </c>
      <c r="AL7378" s="13" t="s">
        <v>1899</v>
      </c>
      <c r="AM7378">
        <v>1</v>
      </c>
      <c r="AN7378" s="15" t="s">
        <v>26</v>
      </c>
    </row>
    <row r="7379" spans="1:40" x14ac:dyDescent="0.3">
      <c r="A7379" s="10" t="str">
        <f>HYPERLINK("http://www.washoecounty.gov/assessor/cama/?parid=526-040-19&amp;CardNumber=1","526-040-19")</f>
        <v>526-040-19</v>
      </c>
      <c r="B7379" t="s">
        <v>4655</v>
      </c>
      <c r="C7379" t="s">
        <v>34905</v>
      </c>
      <c r="D7379" s="1">
        <v>40287</v>
      </c>
      <c r="E7379" s="2">
        <v>270000</v>
      </c>
      <c r="F7379" t="s">
        <v>4567</v>
      </c>
      <c r="G7379" s="17" t="str">
        <f>HYPERLINK("https://www.washoecounty.gov/assessor/cama/?command=sales&amp;parid=52604019","3872379")</f>
        <v>3872379</v>
      </c>
      <c r="H7379" t="s">
        <v>1811</v>
      </c>
      <c r="I7379">
        <v>2005</v>
      </c>
      <c r="J7379">
        <v>2005</v>
      </c>
      <c r="K7379" t="s">
        <v>4554</v>
      </c>
      <c r="L7379" t="s">
        <v>3974</v>
      </c>
      <c r="M7379" s="2">
        <v>2570</v>
      </c>
      <c r="N7379" t="s">
        <v>3147</v>
      </c>
      <c r="O7379">
        <v>4</v>
      </c>
      <c r="P7379">
        <v>3</v>
      </c>
      <c r="Q7379">
        <v>0</v>
      </c>
      <c r="R7379" t="s">
        <v>5281</v>
      </c>
      <c r="S7379" t="s">
        <v>4898</v>
      </c>
      <c r="T7379" t="s">
        <v>2704</v>
      </c>
      <c r="U7379" t="s">
        <v>4560</v>
      </c>
      <c r="V7379" s="2">
        <v>764</v>
      </c>
      <c r="W7379" t="s">
        <v>4655</v>
      </c>
      <c r="X7379" s="2">
        <v>0</v>
      </c>
      <c r="Y7379">
        <v>20</v>
      </c>
      <c r="Z7379" t="s">
        <v>2048</v>
      </c>
      <c r="AA7379" s="3">
        <v>0.309825539588928</v>
      </c>
      <c r="AB7379" t="s">
        <v>34906</v>
      </c>
      <c r="AC7379" t="s">
        <v>4562</v>
      </c>
      <c r="AD7379" t="s">
        <v>34905</v>
      </c>
      <c r="AE7379" t="s">
        <v>4655</v>
      </c>
      <c r="AF7379" t="s">
        <v>5201</v>
      </c>
      <c r="AG7379" t="s">
        <v>4564</v>
      </c>
      <c r="AH7379" t="s">
        <v>1605</v>
      </c>
      <c r="AI7379" t="s">
        <v>34907</v>
      </c>
      <c r="AJ7379" t="s">
        <v>3500</v>
      </c>
      <c r="AK7379" t="s">
        <v>34908</v>
      </c>
      <c r="AL7379" s="13" t="s">
        <v>1899</v>
      </c>
      <c r="AM7379">
        <v>1</v>
      </c>
      <c r="AN7379" s="15" t="s">
        <v>2036</v>
      </c>
    </row>
    <row r="7380" spans="1:40" x14ac:dyDescent="0.3">
      <c r="A7380" s="10" t="str">
        <f>HYPERLINK("http://www.washoecounty.gov/assessor/cama/?parid=526-051-08&amp;CardNumber=1","526-051-08")</f>
        <v>526-051-08</v>
      </c>
      <c r="B7380" t="s">
        <v>4655</v>
      </c>
      <c r="C7380" t="s">
        <v>34909</v>
      </c>
      <c r="D7380" s="1">
        <v>40527</v>
      </c>
      <c r="E7380" s="2">
        <v>210000</v>
      </c>
      <c r="F7380" t="s">
        <v>4567</v>
      </c>
      <c r="G7380" s="17" t="str">
        <f>HYPERLINK("https://www.washoecounty.gov/assessor/cama/?command=sales&amp;parid=52605108","3953700")</f>
        <v>3953700</v>
      </c>
      <c r="H7380" t="s">
        <v>1811</v>
      </c>
      <c r="I7380">
        <v>2005</v>
      </c>
      <c r="J7380">
        <v>2005</v>
      </c>
      <c r="K7380" t="s">
        <v>4554</v>
      </c>
      <c r="L7380" t="s">
        <v>3974</v>
      </c>
      <c r="M7380" s="2">
        <v>2476</v>
      </c>
      <c r="N7380" t="s">
        <v>3147</v>
      </c>
      <c r="O7380">
        <v>3</v>
      </c>
      <c r="P7380">
        <v>3</v>
      </c>
      <c r="Q7380">
        <v>0</v>
      </c>
      <c r="R7380" t="s">
        <v>5281</v>
      </c>
      <c r="S7380" t="s">
        <v>4898</v>
      </c>
      <c r="T7380" t="s">
        <v>2704</v>
      </c>
      <c r="U7380" t="s">
        <v>4560</v>
      </c>
      <c r="V7380" s="2">
        <v>775</v>
      </c>
      <c r="W7380" t="s">
        <v>4655</v>
      </c>
      <c r="X7380" s="2">
        <v>0</v>
      </c>
      <c r="Y7380">
        <v>20</v>
      </c>
      <c r="Z7380" t="s">
        <v>2048</v>
      </c>
      <c r="AA7380" s="3">
        <v>0.25087237358093301</v>
      </c>
      <c r="AB7380" t="s">
        <v>34910</v>
      </c>
      <c r="AC7380" t="s">
        <v>4562</v>
      </c>
      <c r="AD7380" t="s">
        <v>34909</v>
      </c>
      <c r="AE7380" t="s">
        <v>4655</v>
      </c>
      <c r="AF7380" t="s">
        <v>5201</v>
      </c>
      <c r="AG7380" t="s">
        <v>4564</v>
      </c>
      <c r="AH7380" t="s">
        <v>1605</v>
      </c>
      <c r="AI7380" t="s">
        <v>34911</v>
      </c>
      <c r="AJ7380" t="s">
        <v>3500</v>
      </c>
      <c r="AK7380" t="s">
        <v>34912</v>
      </c>
      <c r="AL7380" s="13" t="s">
        <v>1899</v>
      </c>
      <c r="AM7380">
        <v>1</v>
      </c>
      <c r="AN7380" s="15" t="s">
        <v>2036</v>
      </c>
    </row>
    <row r="7381" spans="1:40" x14ac:dyDescent="0.3">
      <c r="A7381" s="10" t="str">
        <f>HYPERLINK("http://www.washoecounty.gov/assessor/cama/?parid=526-051-11&amp;CardNumber=1","526-051-11")</f>
        <v>526-051-11</v>
      </c>
      <c r="B7381" t="s">
        <v>4655</v>
      </c>
      <c r="C7381" t="s">
        <v>1216</v>
      </c>
      <c r="D7381" s="1">
        <v>40375</v>
      </c>
      <c r="E7381" s="2">
        <v>170000</v>
      </c>
      <c r="F7381" t="s">
        <v>4567</v>
      </c>
      <c r="G7381" s="17" t="str">
        <f>HYPERLINK("https://www.washoecounty.gov/assessor/cama/?command=sales&amp;parid=52605111","3901978")</f>
        <v>3901978</v>
      </c>
      <c r="H7381" t="s">
        <v>1811</v>
      </c>
      <c r="I7381">
        <v>2005</v>
      </c>
      <c r="J7381">
        <v>2005</v>
      </c>
      <c r="K7381" t="s">
        <v>4554</v>
      </c>
      <c r="L7381" t="s">
        <v>4555</v>
      </c>
      <c r="M7381" s="2">
        <v>1925</v>
      </c>
      <c r="N7381" t="s">
        <v>3147</v>
      </c>
      <c r="O7381">
        <v>4</v>
      </c>
      <c r="P7381">
        <v>2</v>
      </c>
      <c r="Q7381">
        <v>0</v>
      </c>
      <c r="R7381" t="s">
        <v>5281</v>
      </c>
      <c r="S7381" t="s">
        <v>4898</v>
      </c>
      <c r="T7381" t="s">
        <v>2704</v>
      </c>
      <c r="U7381" t="s">
        <v>4560</v>
      </c>
      <c r="V7381" s="2">
        <v>680</v>
      </c>
      <c r="W7381" t="s">
        <v>4655</v>
      </c>
      <c r="X7381" s="2">
        <v>0</v>
      </c>
      <c r="Y7381">
        <v>20</v>
      </c>
      <c r="Z7381" t="s">
        <v>2048</v>
      </c>
      <c r="AA7381" s="3">
        <v>0.289233237504959</v>
      </c>
      <c r="AB7381" t="s">
        <v>34913</v>
      </c>
      <c r="AC7381" t="s">
        <v>4562</v>
      </c>
      <c r="AD7381" t="s">
        <v>1216</v>
      </c>
      <c r="AE7381" t="s">
        <v>4655</v>
      </c>
      <c r="AF7381" t="s">
        <v>5201</v>
      </c>
      <c r="AG7381" t="s">
        <v>4564</v>
      </c>
      <c r="AH7381" t="s">
        <v>1605</v>
      </c>
      <c r="AI7381" t="s">
        <v>34914</v>
      </c>
      <c r="AJ7381" t="s">
        <v>3500</v>
      </c>
      <c r="AK7381" t="s">
        <v>34915</v>
      </c>
      <c r="AL7381" s="13" t="s">
        <v>1899</v>
      </c>
      <c r="AM7381">
        <v>1</v>
      </c>
      <c r="AN7381" s="15" t="s">
        <v>2036</v>
      </c>
    </row>
    <row r="7382" spans="1:40" x14ac:dyDescent="0.3">
      <c r="A7382" s="10" t="str">
        <f>HYPERLINK("http://www.washoecounty.gov/assessor/cama/?parid=526-052-05&amp;CardNumber=1","526-052-05")</f>
        <v>526-052-05</v>
      </c>
      <c r="B7382" t="s">
        <v>4655</v>
      </c>
      <c r="C7382" t="s">
        <v>34916</v>
      </c>
      <c r="D7382" s="1">
        <v>40534</v>
      </c>
      <c r="E7382" s="2">
        <v>200000</v>
      </c>
      <c r="F7382" t="s">
        <v>4553</v>
      </c>
      <c r="G7382" s="17" t="str">
        <f>HYPERLINK("https://www.washoecounty.gov/assessor/cama/?command=sales&amp;parid=52605205","3956175")</f>
        <v>3956175</v>
      </c>
      <c r="H7382" t="s">
        <v>1811</v>
      </c>
      <c r="I7382">
        <v>2005</v>
      </c>
      <c r="J7382">
        <v>2005</v>
      </c>
      <c r="K7382" t="s">
        <v>4554</v>
      </c>
      <c r="L7382" t="s">
        <v>4555</v>
      </c>
      <c r="M7382" s="2">
        <v>1988</v>
      </c>
      <c r="N7382" t="s">
        <v>3147</v>
      </c>
      <c r="O7382">
        <v>4</v>
      </c>
      <c r="P7382">
        <v>3</v>
      </c>
      <c r="Q7382">
        <v>0</v>
      </c>
      <c r="R7382" t="s">
        <v>5281</v>
      </c>
      <c r="S7382" t="s">
        <v>4898</v>
      </c>
      <c r="T7382" t="s">
        <v>2704</v>
      </c>
      <c r="U7382" t="s">
        <v>4560</v>
      </c>
      <c r="V7382" s="2">
        <v>670</v>
      </c>
      <c r="W7382" t="s">
        <v>4655</v>
      </c>
      <c r="X7382" s="2">
        <v>0</v>
      </c>
      <c r="Y7382">
        <v>20</v>
      </c>
      <c r="Z7382" t="s">
        <v>2048</v>
      </c>
      <c r="AA7382" s="3">
        <v>0.19800275564193701</v>
      </c>
      <c r="AB7382" t="s">
        <v>34917</v>
      </c>
      <c r="AC7382" t="s">
        <v>4562</v>
      </c>
      <c r="AD7382" t="s">
        <v>34918</v>
      </c>
      <c r="AE7382" t="s">
        <v>4655</v>
      </c>
      <c r="AF7382" t="s">
        <v>666</v>
      </c>
      <c r="AG7382" t="s">
        <v>4584</v>
      </c>
      <c r="AH7382" t="s">
        <v>667</v>
      </c>
      <c r="AI7382" t="s">
        <v>4903</v>
      </c>
      <c r="AJ7382" t="s">
        <v>3500</v>
      </c>
      <c r="AK7382" t="s">
        <v>34919</v>
      </c>
      <c r="AL7382" s="13" t="s">
        <v>1899</v>
      </c>
      <c r="AM7382">
        <v>1</v>
      </c>
      <c r="AN7382" s="15" t="s">
        <v>2036</v>
      </c>
    </row>
    <row r="7383" spans="1:40" x14ac:dyDescent="0.3">
      <c r="A7383" s="10" t="str">
        <f>HYPERLINK("http://www.washoecounty.gov/assessor/cama/?parid=526-052-22&amp;CardNumber=1","526-052-22")</f>
        <v>526-052-22</v>
      </c>
      <c r="B7383" t="s">
        <v>4655</v>
      </c>
      <c r="C7383" t="s">
        <v>34920</v>
      </c>
      <c r="D7383" s="1">
        <v>40410</v>
      </c>
      <c r="E7383" s="2">
        <v>234000</v>
      </c>
      <c r="F7383" t="s">
        <v>4567</v>
      </c>
      <c r="G7383" s="17" t="str">
        <f>HYPERLINK("https://www.washoecounty.gov/assessor/cama/?command=sales&amp;parid=52605222","3913983")</f>
        <v>3913983</v>
      </c>
      <c r="H7383" t="s">
        <v>1811</v>
      </c>
      <c r="I7383">
        <v>2005</v>
      </c>
      <c r="J7383">
        <v>2005</v>
      </c>
      <c r="K7383" t="s">
        <v>4554</v>
      </c>
      <c r="L7383" t="s">
        <v>3974</v>
      </c>
      <c r="M7383" s="2">
        <v>2758</v>
      </c>
      <c r="N7383" t="s">
        <v>3147</v>
      </c>
      <c r="O7383">
        <v>5</v>
      </c>
      <c r="P7383">
        <v>3</v>
      </c>
      <c r="Q7383">
        <v>0</v>
      </c>
      <c r="R7383" t="s">
        <v>5281</v>
      </c>
      <c r="S7383" t="s">
        <v>4898</v>
      </c>
      <c r="T7383" t="s">
        <v>2704</v>
      </c>
      <c r="U7383" t="s">
        <v>4560</v>
      </c>
      <c r="V7383" s="2">
        <v>775</v>
      </c>
      <c r="W7383" t="s">
        <v>4655</v>
      </c>
      <c r="X7383" s="2">
        <v>0</v>
      </c>
      <c r="Y7383">
        <v>20</v>
      </c>
      <c r="Z7383" t="s">
        <v>2048</v>
      </c>
      <c r="AA7383" s="3">
        <v>0.175528004765511</v>
      </c>
      <c r="AB7383" t="s">
        <v>34921</v>
      </c>
      <c r="AC7383" t="s">
        <v>4562</v>
      </c>
      <c r="AD7383" t="s">
        <v>34920</v>
      </c>
      <c r="AE7383" t="s">
        <v>4655</v>
      </c>
      <c r="AF7383" t="s">
        <v>5201</v>
      </c>
      <c r="AG7383" t="s">
        <v>4564</v>
      </c>
      <c r="AH7383" t="s">
        <v>1605</v>
      </c>
      <c r="AI7383" t="s">
        <v>34922</v>
      </c>
      <c r="AJ7383" t="s">
        <v>3500</v>
      </c>
      <c r="AK7383" t="s">
        <v>34923</v>
      </c>
      <c r="AL7383" s="13" t="s">
        <v>1899</v>
      </c>
      <c r="AM7383" s="14">
        <v>1</v>
      </c>
      <c r="AN7383" s="15" t="s">
        <v>2036</v>
      </c>
    </row>
    <row r="7384" spans="1:40" x14ac:dyDescent="0.3">
      <c r="A7384" s="10" t="str">
        <f>HYPERLINK("http://www.washoecounty.gov/assessor/cama/?parid=526-071-08&amp;CardNumber=1","526-071-08")</f>
        <v>526-071-08</v>
      </c>
      <c r="B7384" t="s">
        <v>4655</v>
      </c>
      <c r="C7384" t="s">
        <v>34924</v>
      </c>
      <c r="D7384" s="1">
        <v>40483</v>
      </c>
      <c r="E7384" s="2">
        <v>173000</v>
      </c>
      <c r="F7384" t="s">
        <v>4567</v>
      </c>
      <c r="G7384" s="17" t="str">
        <f>HYPERLINK("https://www.washoecounty.gov/assessor/cama/?command=sales&amp;parid=52607108","3938665")</f>
        <v>3938665</v>
      </c>
      <c r="H7384" t="s">
        <v>1813</v>
      </c>
      <c r="I7384">
        <v>2004</v>
      </c>
      <c r="J7384">
        <v>2004</v>
      </c>
      <c r="K7384" t="s">
        <v>4554</v>
      </c>
      <c r="L7384" t="s">
        <v>4555</v>
      </c>
      <c r="M7384" s="2">
        <v>1898</v>
      </c>
      <c r="N7384" t="s">
        <v>3147</v>
      </c>
      <c r="O7384">
        <v>3</v>
      </c>
      <c r="P7384">
        <v>2</v>
      </c>
      <c r="Q7384">
        <v>0</v>
      </c>
      <c r="R7384" t="s">
        <v>4557</v>
      </c>
      <c r="S7384" t="s">
        <v>4898</v>
      </c>
      <c r="T7384" t="s">
        <v>2704</v>
      </c>
      <c r="U7384" t="s">
        <v>4560</v>
      </c>
      <c r="V7384" s="2">
        <v>441</v>
      </c>
      <c r="W7384" t="s">
        <v>4655</v>
      </c>
      <c r="X7384" s="2">
        <v>0</v>
      </c>
      <c r="Y7384">
        <v>20</v>
      </c>
      <c r="Z7384" t="s">
        <v>2048</v>
      </c>
      <c r="AA7384" s="3">
        <v>0.121671259403229</v>
      </c>
      <c r="AB7384" t="s">
        <v>34925</v>
      </c>
      <c r="AC7384" t="s">
        <v>4562</v>
      </c>
      <c r="AD7384" t="s">
        <v>34924</v>
      </c>
      <c r="AE7384" t="s">
        <v>4655</v>
      </c>
      <c r="AF7384" t="s">
        <v>4809</v>
      </c>
      <c r="AG7384" t="s">
        <v>4564</v>
      </c>
      <c r="AH7384" t="s">
        <v>1605</v>
      </c>
      <c r="AI7384" t="s">
        <v>34926</v>
      </c>
      <c r="AJ7384" t="s">
        <v>1814</v>
      </c>
      <c r="AK7384" t="s">
        <v>34927</v>
      </c>
      <c r="AL7384" s="13" t="s">
        <v>1899</v>
      </c>
      <c r="AM7384" s="14">
        <v>1</v>
      </c>
      <c r="AN7384" s="15" t="s">
        <v>1815</v>
      </c>
    </row>
    <row r="7385" spans="1:40" x14ac:dyDescent="0.3">
      <c r="A7385" s="10" t="str">
        <f>HYPERLINK("http://www.washoecounty.gov/assessor/cama/?parid=526-071-10&amp;CardNumber=1","526-071-10")</f>
        <v>526-071-10</v>
      </c>
      <c r="B7385" t="s">
        <v>4655</v>
      </c>
      <c r="C7385" t="s">
        <v>34928</v>
      </c>
      <c r="D7385" s="1">
        <v>40281</v>
      </c>
      <c r="E7385" s="2">
        <v>229000</v>
      </c>
      <c r="F7385" t="s">
        <v>4567</v>
      </c>
      <c r="G7385" s="17" t="str">
        <f>HYPERLINK("https://www.washoecounty.gov/assessor/cama/?command=sales&amp;parid=52607110","3870264")</f>
        <v>3870264</v>
      </c>
      <c r="H7385" t="s">
        <v>1813</v>
      </c>
      <c r="I7385">
        <v>2004</v>
      </c>
      <c r="J7385">
        <v>2004</v>
      </c>
      <c r="K7385" t="s">
        <v>4554</v>
      </c>
      <c r="L7385" t="s">
        <v>3974</v>
      </c>
      <c r="M7385" s="2">
        <v>2383</v>
      </c>
      <c r="N7385" t="s">
        <v>3147</v>
      </c>
      <c r="O7385">
        <v>4</v>
      </c>
      <c r="P7385">
        <v>2</v>
      </c>
      <c r="Q7385">
        <v>1</v>
      </c>
      <c r="R7385" t="s">
        <v>4557</v>
      </c>
      <c r="S7385" t="s">
        <v>4898</v>
      </c>
      <c r="T7385" t="s">
        <v>2704</v>
      </c>
      <c r="U7385" t="s">
        <v>4560</v>
      </c>
      <c r="V7385" s="2">
        <v>630</v>
      </c>
      <c r="W7385" t="s">
        <v>4655</v>
      </c>
      <c r="X7385" s="2">
        <v>0</v>
      </c>
      <c r="Y7385">
        <v>20</v>
      </c>
      <c r="Z7385" t="s">
        <v>2048</v>
      </c>
      <c r="AA7385" s="3">
        <v>0.121671259403229</v>
      </c>
      <c r="AB7385" t="s">
        <v>34929</v>
      </c>
      <c r="AC7385" t="s">
        <v>4562</v>
      </c>
      <c r="AD7385" t="s">
        <v>34928</v>
      </c>
      <c r="AE7385" t="s">
        <v>4655</v>
      </c>
      <c r="AF7385" t="s">
        <v>5201</v>
      </c>
      <c r="AG7385" t="s">
        <v>4564</v>
      </c>
      <c r="AH7385" t="s">
        <v>1605</v>
      </c>
      <c r="AI7385" t="s">
        <v>4655</v>
      </c>
      <c r="AJ7385" t="s">
        <v>1814</v>
      </c>
      <c r="AK7385" t="s">
        <v>34930</v>
      </c>
      <c r="AL7385" s="13" t="s">
        <v>1899</v>
      </c>
      <c r="AM7385">
        <v>1</v>
      </c>
      <c r="AN7385" s="15" t="s">
        <v>1815</v>
      </c>
    </row>
    <row r="7386" spans="1:40" x14ac:dyDescent="0.3">
      <c r="A7386" s="10" t="str">
        <f>HYPERLINK("http://www.washoecounty.gov/assessor/cama/?parid=526-071-20&amp;CardNumber=1","526-071-20")</f>
        <v>526-071-20</v>
      </c>
      <c r="B7386" t="s">
        <v>4655</v>
      </c>
      <c r="C7386" t="s">
        <v>34931</v>
      </c>
      <c r="D7386" s="1">
        <v>40430</v>
      </c>
      <c r="E7386" s="2">
        <v>240000</v>
      </c>
      <c r="F7386" t="s">
        <v>4567</v>
      </c>
      <c r="G7386" s="17" t="str">
        <f>HYPERLINK("https://www.washoecounty.gov/assessor/cama/?command=sales&amp;parid=52607120","3920619")</f>
        <v>3920619</v>
      </c>
      <c r="H7386" t="s">
        <v>1813</v>
      </c>
      <c r="I7386">
        <v>2004</v>
      </c>
      <c r="J7386">
        <v>2004</v>
      </c>
      <c r="K7386" t="s">
        <v>4554</v>
      </c>
      <c r="L7386" t="s">
        <v>3974</v>
      </c>
      <c r="M7386" s="2">
        <v>2714</v>
      </c>
      <c r="N7386" t="s">
        <v>3147</v>
      </c>
      <c r="O7386">
        <v>5</v>
      </c>
      <c r="P7386">
        <v>3</v>
      </c>
      <c r="Q7386">
        <v>0</v>
      </c>
      <c r="R7386" t="s">
        <v>4557</v>
      </c>
      <c r="S7386" t="s">
        <v>4898</v>
      </c>
      <c r="T7386" t="s">
        <v>2704</v>
      </c>
      <c r="U7386" t="s">
        <v>5631</v>
      </c>
      <c r="V7386" s="2">
        <v>590</v>
      </c>
      <c r="W7386" t="s">
        <v>4655</v>
      </c>
      <c r="X7386" s="2">
        <v>0</v>
      </c>
      <c r="Y7386">
        <v>20</v>
      </c>
      <c r="Z7386" t="s">
        <v>2048</v>
      </c>
      <c r="AA7386" s="3">
        <v>0.14061065018176999</v>
      </c>
      <c r="AB7386" t="s">
        <v>34932</v>
      </c>
      <c r="AC7386" t="s">
        <v>4575</v>
      </c>
      <c r="AD7386" t="s">
        <v>34933</v>
      </c>
      <c r="AE7386" t="s">
        <v>34931</v>
      </c>
      <c r="AF7386" t="s">
        <v>5201</v>
      </c>
      <c r="AG7386" t="s">
        <v>4564</v>
      </c>
      <c r="AH7386" t="s">
        <v>1605</v>
      </c>
      <c r="AI7386" t="s">
        <v>34934</v>
      </c>
      <c r="AJ7386" t="s">
        <v>1814</v>
      </c>
      <c r="AK7386" t="s">
        <v>34935</v>
      </c>
      <c r="AL7386" s="13" t="s">
        <v>1899</v>
      </c>
      <c r="AM7386">
        <v>1</v>
      </c>
      <c r="AN7386" s="15" t="s">
        <v>1815</v>
      </c>
    </row>
    <row r="7387" spans="1:40" x14ac:dyDescent="0.3">
      <c r="A7387" s="10" t="str">
        <f>HYPERLINK("http://www.washoecounty.gov/assessor/cama/?parid=526-071-32&amp;CardNumber=1","526-071-32")</f>
        <v>526-071-32</v>
      </c>
      <c r="B7387" t="s">
        <v>4655</v>
      </c>
      <c r="C7387" t="s">
        <v>34936</v>
      </c>
      <c r="D7387" s="1">
        <v>40506</v>
      </c>
      <c r="E7387" s="2">
        <v>206000</v>
      </c>
      <c r="F7387" t="s">
        <v>4553</v>
      </c>
      <c r="G7387" s="17" t="str">
        <f>HYPERLINK("https://www.washoecounty.gov/assessor/cama/?command=sales&amp;parid=52607132","3946823")</f>
        <v>3946823</v>
      </c>
      <c r="H7387" t="s">
        <v>1813</v>
      </c>
      <c r="I7387">
        <v>2005</v>
      </c>
      <c r="J7387">
        <v>2005</v>
      </c>
      <c r="K7387" t="s">
        <v>4554</v>
      </c>
      <c r="L7387" t="s">
        <v>3974</v>
      </c>
      <c r="M7387" s="2">
        <v>2593</v>
      </c>
      <c r="N7387" t="s">
        <v>3147</v>
      </c>
      <c r="O7387">
        <v>4</v>
      </c>
      <c r="P7387">
        <v>2</v>
      </c>
      <c r="Q7387">
        <v>1</v>
      </c>
      <c r="R7387" t="s">
        <v>5281</v>
      </c>
      <c r="S7387" t="s">
        <v>4898</v>
      </c>
      <c r="T7387" t="s">
        <v>2704</v>
      </c>
      <c r="U7387" t="s">
        <v>4560</v>
      </c>
      <c r="V7387" s="2">
        <v>420</v>
      </c>
      <c r="W7387" t="s">
        <v>4655</v>
      </c>
      <c r="X7387" s="2">
        <v>0</v>
      </c>
      <c r="Y7387">
        <v>20</v>
      </c>
      <c r="Z7387" t="s">
        <v>2048</v>
      </c>
      <c r="AA7387" s="3">
        <v>0.24240128695964799</v>
      </c>
      <c r="AB7387" t="s">
        <v>34937</v>
      </c>
      <c r="AC7387" t="s">
        <v>4575</v>
      </c>
      <c r="AD7387" t="s">
        <v>34936</v>
      </c>
      <c r="AE7387" t="s">
        <v>4655</v>
      </c>
      <c r="AF7387" t="s">
        <v>5201</v>
      </c>
      <c r="AG7387" t="s">
        <v>4564</v>
      </c>
      <c r="AH7387" t="s">
        <v>1605</v>
      </c>
      <c r="AI7387" t="s">
        <v>34938</v>
      </c>
      <c r="AJ7387" t="s">
        <v>1814</v>
      </c>
      <c r="AK7387" t="s">
        <v>34939</v>
      </c>
      <c r="AL7387" s="13" t="s">
        <v>1899</v>
      </c>
      <c r="AM7387" s="14">
        <v>1</v>
      </c>
      <c r="AN7387" s="15" t="s">
        <v>1815</v>
      </c>
    </row>
    <row r="7388" spans="1:40" x14ac:dyDescent="0.3">
      <c r="A7388" s="10" t="str">
        <f>HYPERLINK("http://www.washoecounty.gov/assessor/cama/?parid=526-071-37&amp;CardNumber=1","526-071-37")</f>
        <v>526-071-37</v>
      </c>
      <c r="B7388" t="s">
        <v>4655</v>
      </c>
      <c r="C7388" t="s">
        <v>34940</v>
      </c>
      <c r="D7388" s="1">
        <v>40247</v>
      </c>
      <c r="E7388" s="2">
        <v>198000</v>
      </c>
      <c r="F7388" t="s">
        <v>4553</v>
      </c>
      <c r="G7388" s="17" t="str">
        <f>HYPERLINK("https://www.washoecounty.gov/assessor/cama/?command=sales&amp;parid=52607137","3858379")</f>
        <v>3858379</v>
      </c>
      <c r="H7388" t="s">
        <v>1813</v>
      </c>
      <c r="I7388">
        <v>2004</v>
      </c>
      <c r="J7388">
        <v>2004</v>
      </c>
      <c r="K7388" t="s">
        <v>4554</v>
      </c>
      <c r="L7388" t="s">
        <v>4555</v>
      </c>
      <c r="M7388" s="2">
        <v>1898</v>
      </c>
      <c r="N7388" t="s">
        <v>3147</v>
      </c>
      <c r="O7388">
        <v>3</v>
      </c>
      <c r="P7388">
        <v>2</v>
      </c>
      <c r="Q7388">
        <v>0</v>
      </c>
      <c r="R7388" t="s">
        <v>5281</v>
      </c>
      <c r="S7388" t="s">
        <v>4898</v>
      </c>
      <c r="T7388" t="s">
        <v>2704</v>
      </c>
      <c r="U7388" t="s">
        <v>4560</v>
      </c>
      <c r="V7388" s="2">
        <v>441</v>
      </c>
      <c r="W7388" t="s">
        <v>4655</v>
      </c>
      <c r="X7388" s="2">
        <v>0</v>
      </c>
      <c r="Y7388">
        <v>20</v>
      </c>
      <c r="Z7388" t="s">
        <v>2048</v>
      </c>
      <c r="AA7388" s="3">
        <v>0.121671259403229</v>
      </c>
      <c r="AB7388" t="s">
        <v>34941</v>
      </c>
      <c r="AC7388" t="s">
        <v>4575</v>
      </c>
      <c r="AD7388" t="s">
        <v>34940</v>
      </c>
      <c r="AE7388" t="s">
        <v>4655</v>
      </c>
      <c r="AF7388" t="s">
        <v>5201</v>
      </c>
      <c r="AG7388" t="s">
        <v>4564</v>
      </c>
      <c r="AH7388" t="s">
        <v>1605</v>
      </c>
      <c r="AI7388" t="s">
        <v>34942</v>
      </c>
      <c r="AJ7388" t="s">
        <v>1814</v>
      </c>
      <c r="AK7388" t="s">
        <v>34943</v>
      </c>
      <c r="AL7388" s="13" t="s">
        <v>1899</v>
      </c>
      <c r="AM7388" s="14">
        <v>1</v>
      </c>
      <c r="AN7388" s="15" t="s">
        <v>1815</v>
      </c>
    </row>
    <row r="7389" spans="1:40" x14ac:dyDescent="0.3">
      <c r="A7389" s="10" t="str">
        <f>HYPERLINK("http://www.washoecounty.gov/assessor/cama/?parid=526-072-02&amp;CardNumber=1","526-072-02")</f>
        <v>526-072-02</v>
      </c>
      <c r="B7389" t="s">
        <v>4655</v>
      </c>
      <c r="C7389" t="s">
        <v>34944</v>
      </c>
      <c r="D7389" s="1">
        <v>40386</v>
      </c>
      <c r="E7389" s="2">
        <v>170000</v>
      </c>
      <c r="F7389" t="s">
        <v>4567</v>
      </c>
      <c r="G7389" s="17" t="str">
        <f>HYPERLINK("https://www.washoecounty.gov/assessor/cama/?command=sales&amp;parid=52607202","3905319")</f>
        <v>3905319</v>
      </c>
      <c r="H7389" t="s">
        <v>1813</v>
      </c>
      <c r="I7389">
        <v>2004</v>
      </c>
      <c r="J7389">
        <v>2004</v>
      </c>
      <c r="K7389" t="s">
        <v>4554</v>
      </c>
      <c r="L7389" t="s">
        <v>4555</v>
      </c>
      <c r="M7389" s="2">
        <v>1898</v>
      </c>
      <c r="N7389" t="s">
        <v>3147</v>
      </c>
      <c r="O7389">
        <v>3</v>
      </c>
      <c r="P7389">
        <v>2</v>
      </c>
      <c r="Q7389">
        <v>0</v>
      </c>
      <c r="R7389" t="s">
        <v>5281</v>
      </c>
      <c r="S7389" t="s">
        <v>4898</v>
      </c>
      <c r="T7389" t="s">
        <v>2704</v>
      </c>
      <c r="U7389" t="s">
        <v>4560</v>
      </c>
      <c r="V7389" s="2">
        <v>441</v>
      </c>
      <c r="W7389" t="s">
        <v>4655</v>
      </c>
      <c r="X7389" s="2">
        <v>0</v>
      </c>
      <c r="Y7389">
        <v>20</v>
      </c>
      <c r="Z7389" t="s">
        <v>2048</v>
      </c>
      <c r="AA7389" s="3">
        <v>0.13005051016807601</v>
      </c>
      <c r="AB7389" t="s">
        <v>34945</v>
      </c>
      <c r="AC7389" t="s">
        <v>4562</v>
      </c>
      <c r="AD7389" t="s">
        <v>34944</v>
      </c>
      <c r="AE7389" t="s">
        <v>4655</v>
      </c>
      <c r="AF7389" t="s">
        <v>5201</v>
      </c>
      <c r="AG7389" t="s">
        <v>4564</v>
      </c>
      <c r="AH7389" t="s">
        <v>1605</v>
      </c>
      <c r="AI7389" t="s">
        <v>34946</v>
      </c>
      <c r="AJ7389" t="s">
        <v>1814</v>
      </c>
      <c r="AK7389" t="s">
        <v>34947</v>
      </c>
      <c r="AL7389" s="13" t="s">
        <v>1899</v>
      </c>
      <c r="AM7389">
        <v>1</v>
      </c>
      <c r="AN7389" s="15" t="s">
        <v>1815</v>
      </c>
    </row>
    <row r="7390" spans="1:40" x14ac:dyDescent="0.3">
      <c r="A7390" s="10" t="str">
        <f>HYPERLINK("http://www.washoecounty.gov/assessor/cama/?parid=526-081-01&amp;CardNumber=1","526-081-01")</f>
        <v>526-081-01</v>
      </c>
      <c r="B7390" t="s">
        <v>4655</v>
      </c>
      <c r="C7390" t="s">
        <v>34948</v>
      </c>
      <c r="D7390" s="1">
        <v>40186</v>
      </c>
      <c r="E7390" s="2">
        <v>234500</v>
      </c>
      <c r="F7390" t="s">
        <v>4553</v>
      </c>
      <c r="G7390" s="17" t="str">
        <f>HYPERLINK("https://www.washoecounty.gov/assessor/cama/?command=sales&amp;parid=52608101","3837609")</f>
        <v>3837609</v>
      </c>
      <c r="H7390" t="s">
        <v>1813</v>
      </c>
      <c r="I7390">
        <v>2004</v>
      </c>
      <c r="J7390">
        <v>2004</v>
      </c>
      <c r="K7390" t="s">
        <v>4554</v>
      </c>
      <c r="L7390" t="s">
        <v>3974</v>
      </c>
      <c r="M7390" s="2">
        <v>2803</v>
      </c>
      <c r="N7390" t="s">
        <v>3147</v>
      </c>
      <c r="O7390">
        <v>5</v>
      </c>
      <c r="P7390">
        <v>3</v>
      </c>
      <c r="Q7390">
        <v>0</v>
      </c>
      <c r="R7390" t="s">
        <v>4557</v>
      </c>
      <c r="S7390" t="s">
        <v>4898</v>
      </c>
      <c r="T7390" t="s">
        <v>2704</v>
      </c>
      <c r="U7390" t="s">
        <v>4560</v>
      </c>
      <c r="V7390" s="2">
        <v>420</v>
      </c>
      <c r="W7390" t="s">
        <v>4655</v>
      </c>
      <c r="X7390" s="2">
        <v>0</v>
      </c>
      <c r="Y7390">
        <v>20</v>
      </c>
      <c r="Z7390" t="s">
        <v>2048</v>
      </c>
      <c r="AA7390" s="3">
        <v>0.32245180010795599</v>
      </c>
      <c r="AB7390" t="s">
        <v>34949</v>
      </c>
      <c r="AC7390" t="s">
        <v>4562</v>
      </c>
      <c r="AD7390" t="s">
        <v>34948</v>
      </c>
      <c r="AE7390" t="s">
        <v>4655</v>
      </c>
      <c r="AF7390" t="s">
        <v>5201</v>
      </c>
      <c r="AG7390" t="s">
        <v>4564</v>
      </c>
      <c r="AH7390" t="s">
        <v>1605</v>
      </c>
      <c r="AI7390" t="s">
        <v>4903</v>
      </c>
      <c r="AJ7390" t="s">
        <v>1814</v>
      </c>
      <c r="AK7390" t="s">
        <v>34950</v>
      </c>
      <c r="AL7390" s="13" t="s">
        <v>1899</v>
      </c>
      <c r="AM7390" s="14">
        <v>1</v>
      </c>
      <c r="AN7390" s="15" t="s">
        <v>1815</v>
      </c>
    </row>
    <row r="7391" spans="1:40" x14ac:dyDescent="0.3">
      <c r="A7391" s="10" t="str">
        <f>HYPERLINK("http://www.washoecounty.gov/assessor/cama/?parid=526-081-04&amp;CardNumber=1","526-081-04")</f>
        <v>526-081-04</v>
      </c>
      <c r="B7391" t="s">
        <v>4655</v>
      </c>
      <c r="C7391" t="s">
        <v>34951</v>
      </c>
      <c r="D7391" s="1">
        <v>40193</v>
      </c>
      <c r="E7391" s="2">
        <v>199000</v>
      </c>
      <c r="F7391" t="s">
        <v>4567</v>
      </c>
      <c r="G7391" s="17" t="str">
        <f>HYPERLINK("https://www.washoecounty.gov/assessor/cama/?command=sales&amp;parid=52608104","3840248")</f>
        <v>3840248</v>
      </c>
      <c r="H7391" t="s">
        <v>1813</v>
      </c>
      <c r="I7391">
        <v>2004</v>
      </c>
      <c r="J7391">
        <v>2004</v>
      </c>
      <c r="K7391" t="s">
        <v>4554</v>
      </c>
      <c r="L7391" t="s">
        <v>4555</v>
      </c>
      <c r="M7391" s="2">
        <v>1898</v>
      </c>
      <c r="N7391" t="s">
        <v>3147</v>
      </c>
      <c r="O7391">
        <v>3</v>
      </c>
      <c r="P7391">
        <v>2</v>
      </c>
      <c r="Q7391">
        <v>0</v>
      </c>
      <c r="R7391" t="s">
        <v>4557</v>
      </c>
      <c r="S7391" t="s">
        <v>4898</v>
      </c>
      <c r="T7391" t="s">
        <v>2704</v>
      </c>
      <c r="U7391" t="s">
        <v>4560</v>
      </c>
      <c r="V7391" s="2">
        <v>441</v>
      </c>
      <c r="W7391" t="s">
        <v>4655</v>
      </c>
      <c r="X7391" s="2">
        <v>0</v>
      </c>
      <c r="Y7391">
        <v>20</v>
      </c>
      <c r="Z7391" t="s">
        <v>2048</v>
      </c>
      <c r="AA7391" s="3">
        <v>0.14230945706367501</v>
      </c>
      <c r="AB7391" t="s">
        <v>34952</v>
      </c>
      <c r="AC7391" t="s">
        <v>4575</v>
      </c>
      <c r="AD7391" t="s">
        <v>34951</v>
      </c>
      <c r="AE7391" t="s">
        <v>4655</v>
      </c>
      <c r="AF7391" t="s">
        <v>4809</v>
      </c>
      <c r="AG7391" t="s">
        <v>4564</v>
      </c>
      <c r="AH7391" t="s">
        <v>1605</v>
      </c>
      <c r="AI7391" t="s">
        <v>34953</v>
      </c>
      <c r="AJ7391" t="s">
        <v>1814</v>
      </c>
      <c r="AK7391" t="s">
        <v>34954</v>
      </c>
      <c r="AL7391" s="13" t="s">
        <v>1899</v>
      </c>
      <c r="AM7391" s="14">
        <v>1</v>
      </c>
      <c r="AN7391" s="15" t="s">
        <v>1815</v>
      </c>
    </row>
    <row r="7392" spans="1:40" x14ac:dyDescent="0.3">
      <c r="A7392" s="10" t="str">
        <f>HYPERLINK("http://www.washoecounty.gov/assessor/cama/?parid=526-082-02&amp;CardNumber=1","526-082-02")</f>
        <v>526-082-02</v>
      </c>
      <c r="B7392" t="s">
        <v>4655</v>
      </c>
      <c r="C7392" t="s">
        <v>34955</v>
      </c>
      <c r="D7392" s="1">
        <v>40337</v>
      </c>
      <c r="E7392" s="2">
        <v>233000</v>
      </c>
      <c r="F7392" t="s">
        <v>4567</v>
      </c>
      <c r="G7392" s="17" t="str">
        <f>HYPERLINK("https://www.washoecounty.gov/assessor/cama/?command=sales&amp;parid=52608202","3889382")</f>
        <v>3889382</v>
      </c>
      <c r="H7392" t="s">
        <v>1813</v>
      </c>
      <c r="I7392">
        <v>2004</v>
      </c>
      <c r="J7392">
        <v>2004</v>
      </c>
      <c r="K7392" t="s">
        <v>4554</v>
      </c>
      <c r="L7392" t="s">
        <v>3974</v>
      </c>
      <c r="M7392" s="2">
        <v>2803</v>
      </c>
      <c r="N7392" t="s">
        <v>3147</v>
      </c>
      <c r="O7392">
        <v>5</v>
      </c>
      <c r="P7392">
        <v>3</v>
      </c>
      <c r="Q7392">
        <v>0</v>
      </c>
      <c r="R7392" t="s">
        <v>4557</v>
      </c>
      <c r="S7392" t="s">
        <v>4898</v>
      </c>
      <c r="T7392" t="s">
        <v>2704</v>
      </c>
      <c r="U7392" t="s">
        <v>4560</v>
      </c>
      <c r="V7392" s="2">
        <v>420</v>
      </c>
      <c r="W7392" t="s">
        <v>4655</v>
      </c>
      <c r="X7392" s="2">
        <v>0</v>
      </c>
      <c r="Y7392">
        <v>20</v>
      </c>
      <c r="Z7392" t="s">
        <v>2048</v>
      </c>
      <c r="AA7392" s="3">
        <v>0.12408172339201</v>
      </c>
      <c r="AB7392" t="s">
        <v>34956</v>
      </c>
      <c r="AC7392" t="s">
        <v>4562</v>
      </c>
      <c r="AD7392" t="s">
        <v>34955</v>
      </c>
      <c r="AE7392" t="s">
        <v>4655</v>
      </c>
      <c r="AF7392" t="s">
        <v>5201</v>
      </c>
      <c r="AG7392" t="s">
        <v>4564</v>
      </c>
      <c r="AH7392" t="s">
        <v>1605</v>
      </c>
      <c r="AI7392" t="s">
        <v>34957</v>
      </c>
      <c r="AJ7392" t="s">
        <v>1814</v>
      </c>
      <c r="AK7392" t="s">
        <v>34958</v>
      </c>
      <c r="AL7392" s="13" t="s">
        <v>1899</v>
      </c>
      <c r="AM7392">
        <v>1</v>
      </c>
      <c r="AN7392" s="15" t="s">
        <v>1815</v>
      </c>
    </row>
    <row r="7393" spans="1:40" x14ac:dyDescent="0.3">
      <c r="A7393" s="10" t="str">
        <f>HYPERLINK("http://www.washoecounty.gov/assessor/cama/?parid=526-082-17&amp;CardNumber=1","526-082-17")</f>
        <v>526-082-17</v>
      </c>
      <c r="B7393" t="s">
        <v>4655</v>
      </c>
      <c r="C7393" t="s">
        <v>34959</v>
      </c>
      <c r="D7393" s="1">
        <v>40256</v>
      </c>
      <c r="E7393" s="2">
        <v>182000</v>
      </c>
      <c r="F7393" t="s">
        <v>4553</v>
      </c>
      <c r="G7393" s="17" t="str">
        <f>HYPERLINK("https://www.washoecounty.gov/assessor/cama/?command=sales&amp;parid=52608217","3861737")</f>
        <v>3861737</v>
      </c>
      <c r="H7393" t="s">
        <v>1813</v>
      </c>
      <c r="I7393">
        <v>2004</v>
      </c>
      <c r="J7393">
        <v>2004</v>
      </c>
      <c r="K7393" t="s">
        <v>4554</v>
      </c>
      <c r="L7393" t="s">
        <v>4555</v>
      </c>
      <c r="M7393" s="2">
        <v>1563</v>
      </c>
      <c r="N7393" t="s">
        <v>3147</v>
      </c>
      <c r="O7393">
        <v>3</v>
      </c>
      <c r="P7393">
        <v>2</v>
      </c>
      <c r="Q7393">
        <v>0</v>
      </c>
      <c r="R7393" t="s">
        <v>5281</v>
      </c>
      <c r="S7393" t="s">
        <v>4898</v>
      </c>
      <c r="T7393" t="s">
        <v>2704</v>
      </c>
      <c r="U7393" t="s">
        <v>4560</v>
      </c>
      <c r="V7393" s="2">
        <v>400</v>
      </c>
      <c r="W7393" t="s">
        <v>4655</v>
      </c>
      <c r="X7393" s="2">
        <v>0</v>
      </c>
      <c r="Y7393">
        <v>20</v>
      </c>
      <c r="Z7393" t="s">
        <v>2048</v>
      </c>
      <c r="AA7393" s="3">
        <v>0.121671259403229</v>
      </c>
      <c r="AB7393" t="s">
        <v>34960</v>
      </c>
      <c r="AC7393" t="s">
        <v>4562</v>
      </c>
      <c r="AD7393" t="s">
        <v>34959</v>
      </c>
      <c r="AE7393" t="s">
        <v>4655</v>
      </c>
      <c r="AF7393" t="s">
        <v>5201</v>
      </c>
      <c r="AG7393" t="s">
        <v>4564</v>
      </c>
      <c r="AH7393" t="s">
        <v>1605</v>
      </c>
      <c r="AI7393" t="s">
        <v>4565</v>
      </c>
      <c r="AJ7393" t="s">
        <v>1814</v>
      </c>
      <c r="AK7393" t="s">
        <v>34961</v>
      </c>
      <c r="AL7393" s="13" t="s">
        <v>1899</v>
      </c>
      <c r="AM7393">
        <v>1</v>
      </c>
      <c r="AN7393" s="15" t="s">
        <v>1815</v>
      </c>
    </row>
    <row r="7394" spans="1:40" x14ac:dyDescent="0.3">
      <c r="A7394" s="10" t="str">
        <f>HYPERLINK("http://www.washoecounty.gov/assessor/cama/?parid=526-103-07&amp;CardNumber=1","526-103-07")</f>
        <v>526-103-07</v>
      </c>
      <c r="B7394" t="s">
        <v>4655</v>
      </c>
      <c r="C7394" t="s">
        <v>34962</v>
      </c>
      <c r="D7394" s="1">
        <v>40389</v>
      </c>
      <c r="E7394" s="2">
        <v>230000</v>
      </c>
      <c r="F7394" t="s">
        <v>4553</v>
      </c>
      <c r="G7394" s="17" t="str">
        <f>HYPERLINK("https://www.washoecounty.gov/assessor/cama/?command=sales&amp;parid=52610307","3907288")</f>
        <v>3907288</v>
      </c>
      <c r="H7394" t="s">
        <v>1671</v>
      </c>
      <c r="I7394">
        <v>2005</v>
      </c>
      <c r="J7394">
        <v>2005</v>
      </c>
      <c r="K7394" t="s">
        <v>4554</v>
      </c>
      <c r="L7394" t="s">
        <v>3974</v>
      </c>
      <c r="M7394" s="2">
        <v>2791</v>
      </c>
      <c r="N7394" t="s">
        <v>3147</v>
      </c>
      <c r="O7394">
        <v>4</v>
      </c>
      <c r="P7394">
        <v>3</v>
      </c>
      <c r="Q7394">
        <v>0</v>
      </c>
      <c r="R7394" t="s">
        <v>5281</v>
      </c>
      <c r="S7394" t="s">
        <v>4898</v>
      </c>
      <c r="T7394" t="s">
        <v>2704</v>
      </c>
      <c r="U7394" t="s">
        <v>4560</v>
      </c>
      <c r="V7394" s="2">
        <v>662</v>
      </c>
      <c r="W7394" t="s">
        <v>4655</v>
      </c>
      <c r="X7394" s="2">
        <v>0</v>
      </c>
      <c r="Y7394">
        <v>20</v>
      </c>
      <c r="Z7394" t="s">
        <v>2048</v>
      </c>
      <c r="AA7394" s="3">
        <v>0.14435261487960799</v>
      </c>
      <c r="AB7394" t="s">
        <v>34963</v>
      </c>
      <c r="AC7394" t="s">
        <v>4562</v>
      </c>
      <c r="AD7394" t="s">
        <v>34962</v>
      </c>
      <c r="AE7394" t="s">
        <v>4655</v>
      </c>
      <c r="AF7394" t="s">
        <v>5201</v>
      </c>
      <c r="AG7394" t="s">
        <v>4564</v>
      </c>
      <c r="AH7394" t="s">
        <v>1605</v>
      </c>
      <c r="AI7394" t="s">
        <v>2009</v>
      </c>
      <c r="AJ7394" t="s">
        <v>1672</v>
      </c>
      <c r="AK7394" t="s">
        <v>34964</v>
      </c>
      <c r="AL7394" s="13" t="s">
        <v>1899</v>
      </c>
      <c r="AM7394" s="14">
        <v>1</v>
      </c>
      <c r="AN7394" s="15" t="s">
        <v>2036</v>
      </c>
    </row>
    <row r="7395" spans="1:40" x14ac:dyDescent="0.3">
      <c r="A7395" s="10" t="str">
        <f>HYPERLINK("http://www.washoecounty.gov/assessor/cama/?parid=526-111-08&amp;CardNumber=1","526-111-08")</f>
        <v>526-111-08</v>
      </c>
      <c r="B7395" t="s">
        <v>4655</v>
      </c>
      <c r="C7395" t="s">
        <v>34965</v>
      </c>
      <c r="D7395" s="1">
        <v>40317</v>
      </c>
      <c r="E7395" s="2">
        <v>228000</v>
      </c>
      <c r="F7395" t="s">
        <v>4567</v>
      </c>
      <c r="G7395" s="17" t="str">
        <f>HYPERLINK("https://www.washoecounty.gov/assessor/cama/?command=sales&amp;parid=52611108","3883079")</f>
        <v>3883079</v>
      </c>
      <c r="H7395" t="s">
        <v>1671</v>
      </c>
      <c r="I7395">
        <v>2005</v>
      </c>
      <c r="J7395">
        <v>2005</v>
      </c>
      <c r="K7395" t="s">
        <v>4554</v>
      </c>
      <c r="L7395" t="s">
        <v>3974</v>
      </c>
      <c r="M7395" s="2">
        <v>2618</v>
      </c>
      <c r="N7395" t="s">
        <v>3147</v>
      </c>
      <c r="O7395">
        <v>3</v>
      </c>
      <c r="P7395">
        <v>2</v>
      </c>
      <c r="Q7395">
        <v>1</v>
      </c>
      <c r="R7395" t="s">
        <v>5281</v>
      </c>
      <c r="S7395" t="s">
        <v>4898</v>
      </c>
      <c r="T7395" t="s">
        <v>2704</v>
      </c>
      <c r="U7395" t="s">
        <v>4560</v>
      </c>
      <c r="V7395" s="2">
        <v>608</v>
      </c>
      <c r="W7395" t="s">
        <v>4655</v>
      </c>
      <c r="X7395" s="2">
        <v>0</v>
      </c>
      <c r="Y7395">
        <v>20</v>
      </c>
      <c r="Z7395" t="s">
        <v>2048</v>
      </c>
      <c r="AA7395" s="3">
        <v>0.175321400165558</v>
      </c>
      <c r="AB7395" t="s">
        <v>34966</v>
      </c>
      <c r="AC7395" t="s">
        <v>4562</v>
      </c>
      <c r="AD7395" t="s">
        <v>34965</v>
      </c>
      <c r="AE7395" t="s">
        <v>4655</v>
      </c>
      <c r="AF7395" t="s">
        <v>5201</v>
      </c>
      <c r="AG7395" t="s">
        <v>4564</v>
      </c>
      <c r="AH7395" t="s">
        <v>1605</v>
      </c>
      <c r="AI7395" t="s">
        <v>4655</v>
      </c>
      <c r="AJ7395" t="s">
        <v>1672</v>
      </c>
      <c r="AK7395" t="s">
        <v>34967</v>
      </c>
      <c r="AL7395" s="13" t="s">
        <v>1899</v>
      </c>
      <c r="AM7395">
        <v>1</v>
      </c>
      <c r="AN7395" s="15" t="s">
        <v>2036</v>
      </c>
    </row>
    <row r="7396" spans="1:40" x14ac:dyDescent="0.3">
      <c r="A7396" s="10" t="str">
        <f>HYPERLINK("http://www.washoecounty.gov/assessor/cama/?parid=526-111-18&amp;CardNumber=1","526-111-18")</f>
        <v>526-111-18</v>
      </c>
      <c r="B7396" t="s">
        <v>4655</v>
      </c>
      <c r="C7396" t="s">
        <v>34968</v>
      </c>
      <c r="D7396" s="1">
        <v>40534</v>
      </c>
      <c r="E7396" s="2">
        <v>168800</v>
      </c>
      <c r="F7396" t="s">
        <v>4553</v>
      </c>
      <c r="G7396" s="17" t="str">
        <f>HYPERLINK("https://www.washoecounty.gov/assessor/cama/?command=sales&amp;parid=52611118","3956360")</f>
        <v>3956360</v>
      </c>
      <c r="H7396" t="s">
        <v>1671</v>
      </c>
      <c r="I7396">
        <v>2005</v>
      </c>
      <c r="J7396">
        <v>2005</v>
      </c>
      <c r="K7396" t="s">
        <v>4554</v>
      </c>
      <c r="L7396" t="s">
        <v>4555</v>
      </c>
      <c r="M7396" s="2">
        <v>1918</v>
      </c>
      <c r="N7396" t="s">
        <v>3147</v>
      </c>
      <c r="O7396">
        <v>3</v>
      </c>
      <c r="P7396">
        <v>2</v>
      </c>
      <c r="Q7396">
        <v>0</v>
      </c>
      <c r="R7396" t="s">
        <v>5281</v>
      </c>
      <c r="S7396" t="s">
        <v>4898</v>
      </c>
      <c r="T7396" t="s">
        <v>2704</v>
      </c>
      <c r="U7396" t="s">
        <v>4560</v>
      </c>
      <c r="V7396" s="2">
        <v>632</v>
      </c>
      <c r="W7396" t="s">
        <v>4655</v>
      </c>
      <c r="X7396" s="2">
        <v>0</v>
      </c>
      <c r="Y7396">
        <v>20</v>
      </c>
      <c r="Z7396" t="s">
        <v>2048</v>
      </c>
      <c r="AA7396" s="3">
        <v>0.16239669919013999</v>
      </c>
      <c r="AB7396" t="s">
        <v>34969</v>
      </c>
      <c r="AC7396" t="s">
        <v>4562</v>
      </c>
      <c r="AD7396" t="s">
        <v>34970</v>
      </c>
      <c r="AE7396" t="s">
        <v>4655</v>
      </c>
      <c r="AF7396" t="s">
        <v>4809</v>
      </c>
      <c r="AG7396" t="s">
        <v>4564</v>
      </c>
      <c r="AH7396" t="s">
        <v>1605</v>
      </c>
      <c r="AI7396" t="s">
        <v>2009</v>
      </c>
      <c r="AJ7396" t="s">
        <v>1672</v>
      </c>
      <c r="AK7396" t="s">
        <v>34971</v>
      </c>
      <c r="AL7396" s="13" t="s">
        <v>1899</v>
      </c>
      <c r="AM7396">
        <v>1</v>
      </c>
      <c r="AN7396" s="15" t="s">
        <v>2036</v>
      </c>
    </row>
    <row r="7397" spans="1:40" x14ac:dyDescent="0.3">
      <c r="A7397" s="10" t="str">
        <f>HYPERLINK("http://www.washoecounty.gov/assessor/cama/?parid=526-111-20&amp;CardNumber=1","526-111-20")</f>
        <v>526-111-20</v>
      </c>
      <c r="B7397" t="s">
        <v>4655</v>
      </c>
      <c r="C7397" t="s">
        <v>34972</v>
      </c>
      <c r="D7397" s="1">
        <v>40497</v>
      </c>
      <c r="E7397" s="2">
        <v>236000</v>
      </c>
      <c r="F7397" t="s">
        <v>4567</v>
      </c>
      <c r="G7397" s="17" t="str">
        <f>HYPERLINK("https://www.washoecounty.gov/assessor/cama/?command=sales&amp;parid=52611120","3943137")</f>
        <v>3943137</v>
      </c>
      <c r="H7397" t="s">
        <v>1671</v>
      </c>
      <c r="I7397">
        <v>2005</v>
      </c>
      <c r="J7397">
        <v>2005</v>
      </c>
      <c r="K7397" t="s">
        <v>4554</v>
      </c>
      <c r="L7397" t="s">
        <v>3974</v>
      </c>
      <c r="M7397" s="2">
        <v>2791</v>
      </c>
      <c r="N7397" t="s">
        <v>3147</v>
      </c>
      <c r="O7397">
        <v>4</v>
      </c>
      <c r="P7397">
        <v>3</v>
      </c>
      <c r="Q7397">
        <v>0</v>
      </c>
      <c r="R7397" t="s">
        <v>5281</v>
      </c>
      <c r="S7397" t="s">
        <v>4898</v>
      </c>
      <c r="T7397" t="s">
        <v>2704</v>
      </c>
      <c r="U7397" t="s">
        <v>4560</v>
      </c>
      <c r="V7397" s="2">
        <v>662</v>
      </c>
      <c r="W7397" t="s">
        <v>4655</v>
      </c>
      <c r="X7397" s="2">
        <v>0</v>
      </c>
      <c r="Y7397">
        <v>20</v>
      </c>
      <c r="Z7397" t="s">
        <v>2048</v>
      </c>
      <c r="AA7397" s="3">
        <v>0.19846189022064201</v>
      </c>
      <c r="AB7397" t="s">
        <v>34973</v>
      </c>
      <c r="AC7397" t="s">
        <v>4562</v>
      </c>
      <c r="AD7397" t="s">
        <v>34972</v>
      </c>
      <c r="AE7397" t="s">
        <v>4655</v>
      </c>
      <c r="AF7397" t="s">
        <v>5201</v>
      </c>
      <c r="AG7397" t="s">
        <v>4564</v>
      </c>
      <c r="AH7397" t="s">
        <v>1605</v>
      </c>
      <c r="AI7397" t="s">
        <v>34974</v>
      </c>
      <c r="AJ7397" t="s">
        <v>1672</v>
      </c>
      <c r="AK7397" t="s">
        <v>34975</v>
      </c>
      <c r="AL7397" s="13" t="s">
        <v>1899</v>
      </c>
      <c r="AM7397">
        <v>1</v>
      </c>
      <c r="AN7397" s="15" t="s">
        <v>2036</v>
      </c>
    </row>
    <row r="7398" spans="1:40" x14ac:dyDescent="0.3">
      <c r="A7398" s="10" t="str">
        <f>HYPERLINK("http://www.washoecounty.gov/assessor/cama/?parid=526-111-28&amp;CardNumber=1","526-111-28")</f>
        <v>526-111-28</v>
      </c>
      <c r="B7398" t="s">
        <v>4655</v>
      </c>
      <c r="C7398" t="s">
        <v>34976</v>
      </c>
      <c r="D7398" s="1">
        <v>40301</v>
      </c>
      <c r="E7398" s="2">
        <v>190000</v>
      </c>
      <c r="F7398" t="s">
        <v>4567</v>
      </c>
      <c r="G7398" s="17" t="str">
        <f>HYPERLINK("https://www.washoecounty.gov/assessor/cama/?command=sales&amp;parid=52611128","3877423")</f>
        <v>3877423</v>
      </c>
      <c r="H7398" t="s">
        <v>1671</v>
      </c>
      <c r="I7398">
        <v>2005</v>
      </c>
      <c r="J7398">
        <v>2005</v>
      </c>
      <c r="K7398" t="s">
        <v>4554</v>
      </c>
      <c r="L7398" t="s">
        <v>4555</v>
      </c>
      <c r="M7398" s="2">
        <v>2158</v>
      </c>
      <c r="N7398" t="s">
        <v>3147</v>
      </c>
      <c r="O7398">
        <v>4</v>
      </c>
      <c r="P7398">
        <v>2</v>
      </c>
      <c r="Q7398">
        <v>1</v>
      </c>
      <c r="R7398" t="s">
        <v>5281</v>
      </c>
      <c r="S7398" t="s">
        <v>4898</v>
      </c>
      <c r="T7398" t="s">
        <v>2704</v>
      </c>
      <c r="U7398" t="s">
        <v>4560</v>
      </c>
      <c r="V7398" s="2">
        <v>682</v>
      </c>
      <c r="W7398" t="s">
        <v>4655</v>
      </c>
      <c r="X7398" s="2">
        <v>0</v>
      </c>
      <c r="Y7398">
        <v>20</v>
      </c>
      <c r="Z7398" t="s">
        <v>2048</v>
      </c>
      <c r="AA7398" s="3">
        <v>0.161662071943283</v>
      </c>
      <c r="AB7398" t="s">
        <v>34977</v>
      </c>
      <c r="AC7398" t="s">
        <v>4562</v>
      </c>
      <c r="AD7398" t="s">
        <v>34978</v>
      </c>
      <c r="AE7398" t="s">
        <v>4655</v>
      </c>
      <c r="AF7398" t="s">
        <v>5201</v>
      </c>
      <c r="AG7398" t="s">
        <v>4564</v>
      </c>
      <c r="AH7398" t="s">
        <v>3898</v>
      </c>
      <c r="AI7398" t="s">
        <v>34979</v>
      </c>
      <c r="AJ7398" t="s">
        <v>1672</v>
      </c>
      <c r="AK7398" t="s">
        <v>34980</v>
      </c>
      <c r="AL7398" s="13" t="s">
        <v>1899</v>
      </c>
      <c r="AM7398">
        <v>1</v>
      </c>
      <c r="AN7398" s="15" t="s">
        <v>2036</v>
      </c>
    </row>
    <row r="7399" spans="1:40" x14ac:dyDescent="0.3">
      <c r="A7399" s="10" t="str">
        <f>HYPERLINK("http://www.washoecounty.gov/assessor/cama/?parid=526-111-35&amp;CardNumber=1","526-111-35")</f>
        <v>526-111-35</v>
      </c>
      <c r="B7399" t="s">
        <v>4655</v>
      </c>
      <c r="C7399" t="s">
        <v>34981</v>
      </c>
      <c r="D7399" s="1">
        <v>40542</v>
      </c>
      <c r="E7399" s="2">
        <v>232500</v>
      </c>
      <c r="F7399" t="s">
        <v>4567</v>
      </c>
      <c r="G7399" s="17" t="str">
        <f>HYPERLINK("https://www.washoecounty.gov/assessor/cama/?command=sales&amp;parid=52611135","3959364")</f>
        <v>3959364</v>
      </c>
      <c r="H7399" t="s">
        <v>1671</v>
      </c>
      <c r="I7399">
        <v>2006</v>
      </c>
      <c r="J7399">
        <v>2006</v>
      </c>
      <c r="K7399" t="s">
        <v>4554</v>
      </c>
      <c r="L7399" t="s">
        <v>3974</v>
      </c>
      <c r="M7399" s="2">
        <v>2764</v>
      </c>
      <c r="N7399" t="s">
        <v>3147</v>
      </c>
      <c r="O7399">
        <v>4</v>
      </c>
      <c r="P7399">
        <v>3</v>
      </c>
      <c r="Q7399">
        <v>0</v>
      </c>
      <c r="R7399" t="s">
        <v>5281</v>
      </c>
      <c r="S7399" t="s">
        <v>4898</v>
      </c>
      <c r="T7399" t="s">
        <v>2704</v>
      </c>
      <c r="U7399" t="s">
        <v>4560</v>
      </c>
      <c r="V7399" s="2">
        <v>662</v>
      </c>
      <c r="W7399" t="s">
        <v>4655</v>
      </c>
      <c r="X7399" s="2">
        <v>0</v>
      </c>
      <c r="Y7399">
        <v>20</v>
      </c>
      <c r="Z7399" t="s">
        <v>2048</v>
      </c>
      <c r="AA7399" s="3">
        <v>0.200826451182365</v>
      </c>
      <c r="AB7399" t="s">
        <v>34982</v>
      </c>
      <c r="AC7399" t="s">
        <v>4562</v>
      </c>
      <c r="AD7399" t="s">
        <v>34981</v>
      </c>
      <c r="AE7399" t="s">
        <v>4655</v>
      </c>
      <c r="AF7399" t="s">
        <v>5201</v>
      </c>
      <c r="AG7399" t="s">
        <v>4564</v>
      </c>
      <c r="AH7399" t="s">
        <v>1605</v>
      </c>
      <c r="AI7399" t="s">
        <v>34983</v>
      </c>
      <c r="AJ7399" t="s">
        <v>1672</v>
      </c>
      <c r="AK7399" t="s">
        <v>34984</v>
      </c>
      <c r="AL7399" s="13" t="s">
        <v>1899</v>
      </c>
      <c r="AM7399">
        <v>1</v>
      </c>
      <c r="AN7399" s="15" t="s">
        <v>2036</v>
      </c>
    </row>
    <row r="7400" spans="1:40" x14ac:dyDescent="0.3">
      <c r="A7400" s="10" t="str">
        <f>HYPERLINK("http://www.washoecounty.gov/assessor/cama/?parid=526-111-40&amp;CardNumber=1","526-111-40")</f>
        <v>526-111-40</v>
      </c>
      <c r="B7400" t="s">
        <v>4655</v>
      </c>
      <c r="C7400" t="s">
        <v>34985</v>
      </c>
      <c r="D7400" s="1">
        <v>40421</v>
      </c>
      <c r="E7400" s="2">
        <v>185000</v>
      </c>
      <c r="F7400" t="s">
        <v>4553</v>
      </c>
      <c r="G7400" s="17" t="str">
        <f>HYPERLINK("https://www.washoecounty.gov/assessor/cama/?command=sales&amp;parid=52611140","3917473")</f>
        <v>3917473</v>
      </c>
      <c r="H7400" t="s">
        <v>1671</v>
      </c>
      <c r="I7400">
        <v>2006</v>
      </c>
      <c r="J7400">
        <v>2006</v>
      </c>
      <c r="K7400" t="s">
        <v>4554</v>
      </c>
      <c r="L7400" t="s">
        <v>4555</v>
      </c>
      <c r="M7400" s="2">
        <v>1918</v>
      </c>
      <c r="N7400" t="s">
        <v>3147</v>
      </c>
      <c r="O7400">
        <v>3</v>
      </c>
      <c r="P7400">
        <v>2</v>
      </c>
      <c r="Q7400">
        <v>0</v>
      </c>
      <c r="R7400" t="s">
        <v>5281</v>
      </c>
      <c r="S7400" t="s">
        <v>4898</v>
      </c>
      <c r="T7400" t="s">
        <v>2704</v>
      </c>
      <c r="U7400" t="s">
        <v>4560</v>
      </c>
      <c r="V7400" s="2">
        <v>632</v>
      </c>
      <c r="W7400" t="s">
        <v>4655</v>
      </c>
      <c r="X7400" s="2">
        <v>0</v>
      </c>
      <c r="Y7400">
        <v>20</v>
      </c>
      <c r="Z7400" t="s">
        <v>2048</v>
      </c>
      <c r="AA7400" s="3">
        <v>0.147704318165779</v>
      </c>
      <c r="AB7400" t="s">
        <v>970</v>
      </c>
      <c r="AC7400" t="s">
        <v>4562</v>
      </c>
      <c r="AD7400" t="s">
        <v>34985</v>
      </c>
      <c r="AE7400" t="s">
        <v>4655</v>
      </c>
      <c r="AF7400" t="s">
        <v>5201</v>
      </c>
      <c r="AG7400" t="s">
        <v>4564</v>
      </c>
      <c r="AH7400" t="s">
        <v>1605</v>
      </c>
      <c r="AI7400" t="s">
        <v>4585</v>
      </c>
      <c r="AJ7400" t="s">
        <v>1672</v>
      </c>
      <c r="AK7400" t="s">
        <v>34986</v>
      </c>
      <c r="AL7400" s="13" t="s">
        <v>1899</v>
      </c>
      <c r="AM7400">
        <v>1</v>
      </c>
      <c r="AN7400" s="15" t="s">
        <v>2036</v>
      </c>
    </row>
    <row r="7401" spans="1:40" x14ac:dyDescent="0.3">
      <c r="A7401" s="10" t="str">
        <f>HYPERLINK("http://www.washoecounty.gov/assessor/cama/?parid=526-112-01&amp;CardNumber=1","526-112-01")</f>
        <v>526-112-01</v>
      </c>
      <c r="B7401" t="s">
        <v>4655</v>
      </c>
      <c r="C7401" t="s">
        <v>34987</v>
      </c>
      <c r="D7401" s="1">
        <v>40410</v>
      </c>
      <c r="E7401" s="2">
        <v>245000</v>
      </c>
      <c r="F7401" t="s">
        <v>4553</v>
      </c>
      <c r="G7401" s="17" t="str">
        <f>HYPERLINK("https://www.washoecounty.gov/assessor/cama/?command=sales&amp;parid=52611201","3914163")</f>
        <v>3914163</v>
      </c>
      <c r="H7401" t="s">
        <v>1671</v>
      </c>
      <c r="I7401">
        <v>2006</v>
      </c>
      <c r="J7401">
        <v>2006</v>
      </c>
      <c r="K7401" t="s">
        <v>4554</v>
      </c>
      <c r="L7401" t="s">
        <v>3974</v>
      </c>
      <c r="M7401" s="2">
        <v>2764</v>
      </c>
      <c r="N7401" t="s">
        <v>3147</v>
      </c>
      <c r="O7401">
        <v>4</v>
      </c>
      <c r="P7401">
        <v>3</v>
      </c>
      <c r="Q7401">
        <v>0</v>
      </c>
      <c r="R7401" t="s">
        <v>5281</v>
      </c>
      <c r="S7401" t="s">
        <v>4898</v>
      </c>
      <c r="T7401" t="s">
        <v>2704</v>
      </c>
      <c r="U7401" t="s">
        <v>4560</v>
      </c>
      <c r="V7401" s="2">
        <v>662</v>
      </c>
      <c r="W7401" t="s">
        <v>4655</v>
      </c>
      <c r="X7401" s="2">
        <v>0</v>
      </c>
      <c r="Y7401">
        <v>20</v>
      </c>
      <c r="Z7401" t="s">
        <v>2048</v>
      </c>
      <c r="AA7401" s="3">
        <v>0.18838383257389069</v>
      </c>
      <c r="AB7401" t="s">
        <v>34988</v>
      </c>
      <c r="AC7401" t="s">
        <v>4562</v>
      </c>
      <c r="AD7401" t="s">
        <v>34989</v>
      </c>
      <c r="AE7401" t="s">
        <v>4655</v>
      </c>
      <c r="AF7401" t="s">
        <v>5201</v>
      </c>
      <c r="AG7401" t="s">
        <v>4564</v>
      </c>
      <c r="AH7401" t="s">
        <v>1605</v>
      </c>
      <c r="AI7401" t="s">
        <v>34990</v>
      </c>
      <c r="AJ7401" t="s">
        <v>1672</v>
      </c>
      <c r="AK7401" t="s">
        <v>34991</v>
      </c>
      <c r="AL7401" s="13" t="s">
        <v>1899</v>
      </c>
      <c r="AM7401">
        <v>1</v>
      </c>
      <c r="AN7401" s="15" t="s">
        <v>2036</v>
      </c>
    </row>
    <row r="7402" spans="1:40" x14ac:dyDescent="0.3">
      <c r="A7402" s="10" t="str">
        <f>HYPERLINK("http://www.washoecounty.gov/assessor/cama/?parid=526-112-07&amp;CardNumber=1","526-112-07")</f>
        <v>526-112-07</v>
      </c>
      <c r="B7402" t="s">
        <v>4655</v>
      </c>
      <c r="C7402" t="s">
        <v>34992</v>
      </c>
      <c r="D7402" s="1">
        <v>40268</v>
      </c>
      <c r="E7402" s="2">
        <v>220000</v>
      </c>
      <c r="F7402" t="s">
        <v>4553</v>
      </c>
      <c r="G7402" s="17" t="str">
        <f>HYPERLINK("https://www.washoecounty.gov/assessor/cama/?command=sales&amp;parid=52611207","3866655")</f>
        <v>3866655</v>
      </c>
      <c r="H7402" t="s">
        <v>1671</v>
      </c>
      <c r="I7402">
        <v>2006</v>
      </c>
      <c r="J7402">
        <v>2006</v>
      </c>
      <c r="K7402" t="s">
        <v>4554</v>
      </c>
      <c r="L7402" t="s">
        <v>4555</v>
      </c>
      <c r="M7402" s="2">
        <v>2158</v>
      </c>
      <c r="N7402" t="s">
        <v>3147</v>
      </c>
      <c r="O7402">
        <v>4</v>
      </c>
      <c r="P7402">
        <v>2</v>
      </c>
      <c r="Q7402">
        <v>1</v>
      </c>
      <c r="R7402" t="s">
        <v>5281</v>
      </c>
      <c r="S7402" t="s">
        <v>4898</v>
      </c>
      <c r="T7402" t="s">
        <v>2704</v>
      </c>
      <c r="U7402" t="s">
        <v>4560</v>
      </c>
      <c r="V7402" s="2">
        <v>682</v>
      </c>
      <c r="W7402" t="s">
        <v>4655</v>
      </c>
      <c r="X7402" s="2">
        <v>0</v>
      </c>
      <c r="Y7402">
        <v>20</v>
      </c>
      <c r="Z7402" t="s">
        <v>2048</v>
      </c>
      <c r="AA7402" s="3">
        <v>0.24042700231075301</v>
      </c>
      <c r="AB7402" t="s">
        <v>34993</v>
      </c>
      <c r="AC7402" t="s">
        <v>4562</v>
      </c>
      <c r="AD7402" t="s">
        <v>34994</v>
      </c>
      <c r="AE7402" t="s">
        <v>4655</v>
      </c>
      <c r="AF7402" t="s">
        <v>4809</v>
      </c>
      <c r="AG7402" t="s">
        <v>4564</v>
      </c>
      <c r="AH7402" t="s">
        <v>1605</v>
      </c>
      <c r="AI7402" t="s">
        <v>4903</v>
      </c>
      <c r="AJ7402" t="s">
        <v>1672</v>
      </c>
      <c r="AK7402" t="s">
        <v>34995</v>
      </c>
      <c r="AL7402" s="13" t="s">
        <v>1899</v>
      </c>
      <c r="AM7402" s="14">
        <v>1</v>
      </c>
      <c r="AN7402" s="15" t="s">
        <v>2036</v>
      </c>
    </row>
    <row r="7403" spans="1:40" x14ac:dyDescent="0.3">
      <c r="A7403" s="10" t="str">
        <f>HYPERLINK("http://www.washoecounty.gov/assessor/cama/?parid=526-112-08&amp;CardNumber=1","526-112-08")</f>
        <v>526-112-08</v>
      </c>
      <c r="B7403" t="s">
        <v>4655</v>
      </c>
      <c r="C7403" t="s">
        <v>34996</v>
      </c>
      <c r="D7403" s="1">
        <v>40302</v>
      </c>
      <c r="E7403" s="2">
        <v>185000</v>
      </c>
      <c r="F7403" t="s">
        <v>4567</v>
      </c>
      <c r="G7403" s="17" t="str">
        <f>HYPERLINK("https://www.washoecounty.gov/assessor/cama/?command=sales&amp;parid=52611208","3878047")</f>
        <v>3878047</v>
      </c>
      <c r="H7403" t="s">
        <v>1671</v>
      </c>
      <c r="I7403">
        <v>2006</v>
      </c>
      <c r="J7403">
        <v>2006</v>
      </c>
      <c r="K7403" t="s">
        <v>4554</v>
      </c>
      <c r="L7403" t="s">
        <v>4555</v>
      </c>
      <c r="M7403" s="2">
        <v>1918</v>
      </c>
      <c r="N7403" t="s">
        <v>3147</v>
      </c>
      <c r="O7403">
        <v>3</v>
      </c>
      <c r="P7403">
        <v>2</v>
      </c>
      <c r="Q7403">
        <v>0</v>
      </c>
      <c r="R7403" t="s">
        <v>5281</v>
      </c>
      <c r="S7403" t="s">
        <v>4898</v>
      </c>
      <c r="T7403" t="s">
        <v>2704</v>
      </c>
      <c r="U7403" t="s">
        <v>4560</v>
      </c>
      <c r="V7403" s="2">
        <v>632</v>
      </c>
      <c r="W7403" t="s">
        <v>4655</v>
      </c>
      <c r="X7403" s="2">
        <v>0</v>
      </c>
      <c r="Y7403">
        <v>20</v>
      </c>
      <c r="Z7403" t="s">
        <v>2048</v>
      </c>
      <c r="AA7403" s="3">
        <v>0.23560605943203</v>
      </c>
      <c r="AB7403" t="s">
        <v>34997</v>
      </c>
      <c r="AC7403" t="s">
        <v>4562</v>
      </c>
      <c r="AD7403" t="s">
        <v>34998</v>
      </c>
      <c r="AE7403" t="s">
        <v>4655</v>
      </c>
      <c r="AF7403" t="s">
        <v>5201</v>
      </c>
      <c r="AG7403" t="s">
        <v>4564</v>
      </c>
      <c r="AH7403" t="s">
        <v>1605</v>
      </c>
      <c r="AI7403" t="s">
        <v>34999</v>
      </c>
      <c r="AJ7403" t="s">
        <v>1672</v>
      </c>
      <c r="AK7403" t="s">
        <v>35000</v>
      </c>
      <c r="AL7403" s="13" t="s">
        <v>1899</v>
      </c>
      <c r="AM7403">
        <v>1</v>
      </c>
      <c r="AN7403" s="15" t="s">
        <v>2036</v>
      </c>
    </row>
    <row r="7404" spans="1:40" x14ac:dyDescent="0.3">
      <c r="A7404" s="10" t="str">
        <f>HYPERLINK("http://www.washoecounty.gov/assessor/cama/?parid=526-112-09&amp;CardNumber=1","526-112-09")</f>
        <v>526-112-09</v>
      </c>
      <c r="B7404" t="s">
        <v>4655</v>
      </c>
      <c r="C7404" t="s">
        <v>35001</v>
      </c>
      <c r="D7404" s="1">
        <v>40451</v>
      </c>
      <c r="E7404" s="2">
        <v>220000</v>
      </c>
      <c r="F7404" t="s">
        <v>4567</v>
      </c>
      <c r="G7404" s="17" t="str">
        <f>HYPERLINK("https://www.washoecounty.gov/assessor/cama/?command=sales&amp;parid=52611209","3928406")</f>
        <v>3928406</v>
      </c>
      <c r="H7404" t="s">
        <v>1671</v>
      </c>
      <c r="I7404">
        <v>2006</v>
      </c>
      <c r="J7404">
        <v>2006</v>
      </c>
      <c r="K7404" t="s">
        <v>4554</v>
      </c>
      <c r="L7404" t="s">
        <v>3974</v>
      </c>
      <c r="M7404" s="2">
        <v>2618</v>
      </c>
      <c r="N7404" t="s">
        <v>3147</v>
      </c>
      <c r="O7404">
        <v>4</v>
      </c>
      <c r="P7404">
        <v>3</v>
      </c>
      <c r="Q7404">
        <v>1</v>
      </c>
      <c r="R7404" t="s">
        <v>5281</v>
      </c>
      <c r="S7404" t="s">
        <v>4898</v>
      </c>
      <c r="T7404" t="s">
        <v>2704</v>
      </c>
      <c r="U7404" t="s">
        <v>4560</v>
      </c>
      <c r="V7404" s="2">
        <v>608</v>
      </c>
      <c r="W7404" t="s">
        <v>4655</v>
      </c>
      <c r="X7404" s="2">
        <v>0</v>
      </c>
      <c r="Y7404">
        <v>20</v>
      </c>
      <c r="Z7404" t="s">
        <v>2048</v>
      </c>
      <c r="AA7404" s="3">
        <v>0.27702021598815901</v>
      </c>
      <c r="AB7404" t="s">
        <v>35002</v>
      </c>
      <c r="AC7404" t="s">
        <v>4562</v>
      </c>
      <c r="AD7404" t="s">
        <v>35001</v>
      </c>
      <c r="AE7404" t="s">
        <v>4655</v>
      </c>
      <c r="AF7404" t="s">
        <v>5201</v>
      </c>
      <c r="AG7404" t="s">
        <v>4564</v>
      </c>
      <c r="AH7404" t="s">
        <v>1605</v>
      </c>
      <c r="AI7404" t="s">
        <v>4655</v>
      </c>
      <c r="AJ7404" t="s">
        <v>1672</v>
      </c>
      <c r="AK7404" t="s">
        <v>35003</v>
      </c>
      <c r="AL7404" s="13" t="s">
        <v>1899</v>
      </c>
      <c r="AM7404" s="14">
        <v>1</v>
      </c>
      <c r="AN7404" s="15" t="s">
        <v>2036</v>
      </c>
    </row>
    <row r="7405" spans="1:40" x14ac:dyDescent="0.3">
      <c r="A7405" s="10" t="str">
        <f>HYPERLINK("http://www.washoecounty.gov/assessor/cama/?parid=526-112-14&amp;CardNumber=1","526-112-14")</f>
        <v>526-112-14</v>
      </c>
      <c r="B7405" t="s">
        <v>4655</v>
      </c>
      <c r="C7405" t="s">
        <v>35004</v>
      </c>
      <c r="D7405" s="1">
        <v>40267</v>
      </c>
      <c r="E7405" s="2">
        <v>239900</v>
      </c>
      <c r="F7405" t="s">
        <v>4553</v>
      </c>
      <c r="G7405" s="17" t="str">
        <f>HYPERLINK("https://www.washoecounty.gov/assessor/cama/?command=sales&amp;parid=52611214","3865647")</f>
        <v>3865647</v>
      </c>
      <c r="H7405" t="s">
        <v>1671</v>
      </c>
      <c r="I7405">
        <v>2005</v>
      </c>
      <c r="J7405">
        <v>2005</v>
      </c>
      <c r="K7405" t="s">
        <v>4554</v>
      </c>
      <c r="L7405" t="s">
        <v>3974</v>
      </c>
      <c r="M7405" s="2">
        <v>2764</v>
      </c>
      <c r="N7405" t="s">
        <v>3147</v>
      </c>
      <c r="O7405">
        <v>5</v>
      </c>
      <c r="P7405">
        <v>3</v>
      </c>
      <c r="Q7405">
        <v>0</v>
      </c>
      <c r="R7405" t="s">
        <v>5281</v>
      </c>
      <c r="S7405" t="s">
        <v>4898</v>
      </c>
      <c r="T7405" t="s">
        <v>2704</v>
      </c>
      <c r="U7405" t="s">
        <v>4560</v>
      </c>
      <c r="V7405" s="2">
        <v>662</v>
      </c>
      <c r="W7405" t="s">
        <v>4655</v>
      </c>
      <c r="X7405" s="2">
        <v>0</v>
      </c>
      <c r="Y7405">
        <v>20</v>
      </c>
      <c r="Z7405" t="s">
        <v>2048</v>
      </c>
      <c r="AA7405" s="3">
        <v>0.1652892529964447</v>
      </c>
      <c r="AB7405" t="s">
        <v>35005</v>
      </c>
      <c r="AC7405" t="s">
        <v>4562</v>
      </c>
      <c r="AD7405" t="s">
        <v>35004</v>
      </c>
      <c r="AE7405" t="s">
        <v>4655</v>
      </c>
      <c r="AF7405" t="s">
        <v>5201</v>
      </c>
      <c r="AG7405" t="s">
        <v>4564</v>
      </c>
      <c r="AH7405" t="s">
        <v>1605</v>
      </c>
      <c r="AI7405" t="s">
        <v>4903</v>
      </c>
      <c r="AJ7405" t="s">
        <v>1672</v>
      </c>
      <c r="AK7405" t="s">
        <v>35006</v>
      </c>
      <c r="AL7405" s="13" t="s">
        <v>1899</v>
      </c>
      <c r="AM7405" s="14">
        <v>1</v>
      </c>
      <c r="AN7405" s="15" t="s">
        <v>2036</v>
      </c>
    </row>
    <row r="7406" spans="1:40" x14ac:dyDescent="0.3">
      <c r="A7406" s="10" t="str">
        <f>HYPERLINK("http://www.washoecounty.gov/assessor/cama/?parid=526-121-01&amp;CardNumber=1","526-121-01")</f>
        <v>526-121-01</v>
      </c>
      <c r="B7406" t="s">
        <v>4655</v>
      </c>
      <c r="C7406" t="s">
        <v>35007</v>
      </c>
      <c r="D7406" s="1">
        <v>40263</v>
      </c>
      <c r="E7406" s="2">
        <v>1575000</v>
      </c>
      <c r="F7406" t="s">
        <v>2900</v>
      </c>
      <c r="G7406" s="17" t="str">
        <f>HYPERLINK("https://www.washoecounty.gov/assessor/cama/?command=sales&amp;parid=52612101","3864468")</f>
        <v>3864468</v>
      </c>
      <c r="H7406" t="s">
        <v>1242</v>
      </c>
      <c r="I7406">
        <v>0</v>
      </c>
      <c r="J7406">
        <v>0</v>
      </c>
      <c r="K7406" t="s">
        <v>4655</v>
      </c>
      <c r="L7406" t="s">
        <v>4655</v>
      </c>
      <c r="M7406" s="2">
        <v>0</v>
      </c>
      <c r="N7406" t="s">
        <v>4655</v>
      </c>
      <c r="O7406">
        <v>0</v>
      </c>
      <c r="P7406">
        <v>0</v>
      </c>
      <c r="Q7406">
        <v>0</v>
      </c>
      <c r="R7406" t="s">
        <v>4655</v>
      </c>
      <c r="S7406" t="s">
        <v>4655</v>
      </c>
      <c r="T7406" t="s">
        <v>4655</v>
      </c>
      <c r="U7406" t="s">
        <v>4655</v>
      </c>
      <c r="V7406" s="2">
        <v>0</v>
      </c>
      <c r="W7406" t="s">
        <v>4655</v>
      </c>
      <c r="X7406" s="2">
        <v>0</v>
      </c>
      <c r="Y7406">
        <v>12</v>
      </c>
      <c r="Z7406" t="s">
        <v>5200</v>
      </c>
      <c r="AA7406" s="3">
        <v>0.16864095628261599</v>
      </c>
      <c r="AB7406" t="s">
        <v>35008</v>
      </c>
      <c r="AC7406" t="s">
        <v>4562</v>
      </c>
      <c r="AD7406" t="s">
        <v>35009</v>
      </c>
      <c r="AE7406" t="s">
        <v>4655</v>
      </c>
      <c r="AF7406" t="s">
        <v>3869</v>
      </c>
      <c r="AG7406" t="s">
        <v>2567</v>
      </c>
      <c r="AH7406">
        <v>74114</v>
      </c>
      <c r="AI7406" t="s">
        <v>35010</v>
      </c>
      <c r="AJ7406" t="s">
        <v>3870</v>
      </c>
      <c r="AK7406" t="s">
        <v>35011</v>
      </c>
      <c r="AL7406" s="13" t="s">
        <v>1899</v>
      </c>
      <c r="AM7406">
        <v>0</v>
      </c>
      <c r="AN7406" s="15" t="s">
        <v>26</v>
      </c>
    </row>
    <row r="7407" spans="1:40" x14ac:dyDescent="0.3">
      <c r="A7407" s="10" t="str">
        <f>HYPERLINK("http://www.washoecounty.gov/assessor/cama/?parid=526-121-05&amp;CardNumber=1","526-121-05")</f>
        <v>526-121-05</v>
      </c>
      <c r="B7407" t="s">
        <v>4655</v>
      </c>
      <c r="C7407" t="s">
        <v>35012</v>
      </c>
      <c r="D7407" s="1">
        <v>40263</v>
      </c>
      <c r="E7407" s="2">
        <v>1575000</v>
      </c>
      <c r="F7407" t="s">
        <v>2900</v>
      </c>
      <c r="G7407" s="17" t="str">
        <f>HYPERLINK("https://www.washoecounty.gov/assessor/cama/?command=sales&amp;parid=52612105","3864468")</f>
        <v>3864468</v>
      </c>
      <c r="H7407" t="s">
        <v>1242</v>
      </c>
      <c r="I7407">
        <v>0</v>
      </c>
      <c r="J7407">
        <v>0</v>
      </c>
      <c r="K7407" t="s">
        <v>4655</v>
      </c>
      <c r="L7407" t="s">
        <v>4655</v>
      </c>
      <c r="M7407" s="2">
        <v>0</v>
      </c>
      <c r="N7407" t="s">
        <v>4655</v>
      </c>
      <c r="O7407">
        <v>0</v>
      </c>
      <c r="P7407">
        <v>0</v>
      </c>
      <c r="Q7407">
        <v>0</v>
      </c>
      <c r="R7407" t="s">
        <v>4655</v>
      </c>
      <c r="S7407" t="s">
        <v>4655</v>
      </c>
      <c r="T7407" t="s">
        <v>4655</v>
      </c>
      <c r="U7407" t="s">
        <v>4655</v>
      </c>
      <c r="V7407" s="2">
        <v>0</v>
      </c>
      <c r="W7407" t="s">
        <v>4655</v>
      </c>
      <c r="X7407" s="2">
        <v>0</v>
      </c>
      <c r="Y7407">
        <v>12</v>
      </c>
      <c r="Z7407" t="s">
        <v>5200</v>
      </c>
      <c r="AA7407" s="3">
        <v>0.15622130036354101</v>
      </c>
      <c r="AB7407" t="s">
        <v>35008</v>
      </c>
      <c r="AC7407" t="s">
        <v>4562</v>
      </c>
      <c r="AD7407" t="s">
        <v>35009</v>
      </c>
      <c r="AE7407" t="s">
        <v>4655</v>
      </c>
      <c r="AF7407" t="s">
        <v>3869</v>
      </c>
      <c r="AG7407" t="s">
        <v>2567</v>
      </c>
      <c r="AH7407">
        <v>74114</v>
      </c>
      <c r="AI7407" t="s">
        <v>35010</v>
      </c>
      <c r="AJ7407" t="s">
        <v>3870</v>
      </c>
      <c r="AK7407" t="s">
        <v>35013</v>
      </c>
      <c r="AL7407" s="13" t="s">
        <v>1899</v>
      </c>
      <c r="AM7407">
        <v>0</v>
      </c>
      <c r="AN7407" s="15" t="s">
        <v>26</v>
      </c>
    </row>
    <row r="7408" spans="1:40" x14ac:dyDescent="0.3">
      <c r="A7408" s="10" t="str">
        <f>HYPERLINK("http://www.washoecounty.gov/assessor/cama/?parid=526-121-06&amp;CardNumber=1","526-121-06")</f>
        <v>526-121-06</v>
      </c>
      <c r="B7408" t="s">
        <v>4655</v>
      </c>
      <c r="C7408" t="s">
        <v>35014</v>
      </c>
      <c r="D7408" s="1">
        <v>40263</v>
      </c>
      <c r="E7408" s="2">
        <v>1575000</v>
      </c>
      <c r="F7408" t="s">
        <v>2900</v>
      </c>
      <c r="G7408" s="17" t="str">
        <f>HYPERLINK("https://www.washoecounty.gov/assessor/cama/?command=sales&amp;parid=52612106","3864468")</f>
        <v>3864468</v>
      </c>
      <c r="H7408" t="s">
        <v>1242</v>
      </c>
      <c r="I7408">
        <v>0</v>
      </c>
      <c r="J7408">
        <v>0</v>
      </c>
      <c r="K7408" t="s">
        <v>4655</v>
      </c>
      <c r="L7408" t="s">
        <v>4655</v>
      </c>
      <c r="M7408" s="2">
        <v>0</v>
      </c>
      <c r="N7408" t="s">
        <v>4655</v>
      </c>
      <c r="O7408">
        <v>0</v>
      </c>
      <c r="P7408">
        <v>0</v>
      </c>
      <c r="Q7408">
        <v>0</v>
      </c>
      <c r="R7408" t="s">
        <v>4655</v>
      </c>
      <c r="S7408" t="s">
        <v>4655</v>
      </c>
      <c r="T7408" t="s">
        <v>4655</v>
      </c>
      <c r="U7408" t="s">
        <v>4655</v>
      </c>
      <c r="V7408" s="2">
        <v>0</v>
      </c>
      <c r="W7408" t="s">
        <v>4655</v>
      </c>
      <c r="X7408" s="2">
        <v>0</v>
      </c>
      <c r="Y7408">
        <v>12</v>
      </c>
      <c r="Z7408" t="s">
        <v>5200</v>
      </c>
      <c r="AA7408" s="3">
        <v>0.1663452684879303</v>
      </c>
      <c r="AB7408" t="s">
        <v>35008</v>
      </c>
      <c r="AC7408" t="s">
        <v>4562</v>
      </c>
      <c r="AD7408" t="s">
        <v>35009</v>
      </c>
      <c r="AE7408" t="s">
        <v>4655</v>
      </c>
      <c r="AF7408" t="s">
        <v>3869</v>
      </c>
      <c r="AG7408" t="s">
        <v>2567</v>
      </c>
      <c r="AH7408">
        <v>74114</v>
      </c>
      <c r="AI7408" t="s">
        <v>35010</v>
      </c>
      <c r="AJ7408" t="s">
        <v>3870</v>
      </c>
      <c r="AK7408" t="s">
        <v>35015</v>
      </c>
      <c r="AL7408" s="13" t="s">
        <v>1899</v>
      </c>
      <c r="AM7408" s="14">
        <v>0</v>
      </c>
      <c r="AN7408" s="15" t="s">
        <v>26</v>
      </c>
    </row>
    <row r="7409" spans="1:40" x14ac:dyDescent="0.3">
      <c r="A7409" s="10" t="str">
        <f>HYPERLINK("http://www.washoecounty.gov/assessor/cama/?parid=526-121-09&amp;CardNumber=1","526-121-09")</f>
        <v>526-121-09</v>
      </c>
      <c r="B7409" t="s">
        <v>4655</v>
      </c>
      <c r="C7409" t="s">
        <v>35016</v>
      </c>
      <c r="D7409" s="1">
        <v>40416</v>
      </c>
      <c r="E7409" s="2">
        <v>224500</v>
      </c>
      <c r="F7409" t="s">
        <v>4567</v>
      </c>
      <c r="G7409" s="17" t="str">
        <f>HYPERLINK("https://www.washoecounty.gov/assessor/cama/?command=sales&amp;parid=52612109","3915795")</f>
        <v>3915795</v>
      </c>
      <c r="H7409" t="s">
        <v>1242</v>
      </c>
      <c r="I7409">
        <v>2006</v>
      </c>
      <c r="J7409">
        <v>2006</v>
      </c>
      <c r="K7409" t="s">
        <v>4554</v>
      </c>
      <c r="L7409" t="s">
        <v>3974</v>
      </c>
      <c r="M7409" s="2">
        <v>2092</v>
      </c>
      <c r="N7409" t="s">
        <v>3147</v>
      </c>
      <c r="O7409">
        <v>4</v>
      </c>
      <c r="P7409">
        <v>3</v>
      </c>
      <c r="Q7409">
        <v>0</v>
      </c>
      <c r="R7409" t="s">
        <v>5281</v>
      </c>
      <c r="S7409" t="s">
        <v>4898</v>
      </c>
      <c r="T7409" t="s">
        <v>2704</v>
      </c>
      <c r="U7409" t="s">
        <v>5631</v>
      </c>
      <c r="V7409" s="2">
        <v>714</v>
      </c>
      <c r="W7409" t="s">
        <v>4655</v>
      </c>
      <c r="X7409" s="2">
        <v>0</v>
      </c>
      <c r="Y7409">
        <v>20</v>
      </c>
      <c r="Z7409" t="s">
        <v>5200</v>
      </c>
      <c r="AA7409" s="3">
        <v>0.160697892308235</v>
      </c>
      <c r="AB7409" t="s">
        <v>35017</v>
      </c>
      <c r="AC7409" t="s">
        <v>4562</v>
      </c>
      <c r="AD7409" t="s">
        <v>35016</v>
      </c>
      <c r="AE7409" t="s">
        <v>4655</v>
      </c>
      <c r="AF7409" t="s">
        <v>5201</v>
      </c>
      <c r="AG7409" t="s">
        <v>4564</v>
      </c>
      <c r="AH7409" t="s">
        <v>1605</v>
      </c>
      <c r="AI7409" t="s">
        <v>1310</v>
      </c>
      <c r="AJ7409" t="s">
        <v>3870</v>
      </c>
      <c r="AK7409" t="s">
        <v>35018</v>
      </c>
      <c r="AL7409" s="13" t="s">
        <v>1899</v>
      </c>
      <c r="AM7409" s="14">
        <v>1</v>
      </c>
      <c r="AN7409" s="15" t="s">
        <v>26</v>
      </c>
    </row>
    <row r="7410" spans="1:40" x14ac:dyDescent="0.3">
      <c r="A7410" s="10" t="str">
        <f>HYPERLINK("http://www.washoecounty.gov/assessor/cama/?parid=526-121-13&amp;CardNumber=1","526-121-13")</f>
        <v>526-121-13</v>
      </c>
      <c r="B7410" t="s">
        <v>4655</v>
      </c>
      <c r="C7410" t="s">
        <v>35019</v>
      </c>
      <c r="D7410" s="1">
        <v>40473</v>
      </c>
      <c r="E7410" s="2">
        <v>191000</v>
      </c>
      <c r="F7410" t="s">
        <v>4567</v>
      </c>
      <c r="G7410" s="17" t="str">
        <f>HYPERLINK("https://www.washoecounty.gov/assessor/cama/?command=sales&amp;parid=52612113","3935782")</f>
        <v>3935782</v>
      </c>
      <c r="H7410" t="s">
        <v>1242</v>
      </c>
      <c r="I7410">
        <v>2006</v>
      </c>
      <c r="J7410">
        <v>2006</v>
      </c>
      <c r="K7410" t="s">
        <v>4554</v>
      </c>
      <c r="L7410" t="s">
        <v>3974</v>
      </c>
      <c r="M7410" s="2">
        <v>2092</v>
      </c>
      <c r="N7410" t="s">
        <v>3147</v>
      </c>
      <c r="O7410">
        <v>4</v>
      </c>
      <c r="P7410">
        <v>3</v>
      </c>
      <c r="Q7410">
        <v>0</v>
      </c>
      <c r="R7410" t="s">
        <v>5281</v>
      </c>
      <c r="S7410" t="s">
        <v>4898</v>
      </c>
      <c r="T7410" t="s">
        <v>2704</v>
      </c>
      <c r="U7410" t="s">
        <v>5631</v>
      </c>
      <c r="V7410" s="2">
        <v>714</v>
      </c>
      <c r="W7410" t="s">
        <v>4655</v>
      </c>
      <c r="X7410" s="2">
        <v>0</v>
      </c>
      <c r="Y7410">
        <v>20</v>
      </c>
      <c r="Z7410" t="s">
        <v>5200</v>
      </c>
      <c r="AA7410" s="3">
        <v>0.160697892308235</v>
      </c>
      <c r="AB7410" t="s">
        <v>35020</v>
      </c>
      <c r="AC7410" t="s">
        <v>4575</v>
      </c>
      <c r="AD7410" t="s">
        <v>35021</v>
      </c>
      <c r="AE7410" t="s">
        <v>4655</v>
      </c>
      <c r="AF7410" t="s">
        <v>4809</v>
      </c>
      <c r="AG7410" t="s">
        <v>4564</v>
      </c>
      <c r="AH7410" t="s">
        <v>1605</v>
      </c>
      <c r="AI7410" t="s">
        <v>35022</v>
      </c>
      <c r="AJ7410" t="s">
        <v>3870</v>
      </c>
      <c r="AK7410" t="s">
        <v>35023</v>
      </c>
      <c r="AL7410" s="13" t="s">
        <v>1899</v>
      </c>
      <c r="AM7410">
        <v>1</v>
      </c>
      <c r="AN7410" s="15" t="s">
        <v>26</v>
      </c>
    </row>
    <row r="7411" spans="1:40" x14ac:dyDescent="0.3">
      <c r="A7411" s="10" t="str">
        <f>HYPERLINK("http://www.washoecounty.gov/assessor/cama/?parid=526-122-01&amp;CardNumber=1","526-122-01")</f>
        <v>526-122-01</v>
      </c>
      <c r="B7411" t="s">
        <v>4655</v>
      </c>
      <c r="C7411" t="s">
        <v>35024</v>
      </c>
      <c r="D7411" s="1">
        <v>40263</v>
      </c>
      <c r="E7411" s="2">
        <v>1575000</v>
      </c>
      <c r="F7411" t="s">
        <v>2900</v>
      </c>
      <c r="G7411" s="17" t="str">
        <f>HYPERLINK("https://www.washoecounty.gov/assessor/cama/?command=sales&amp;parid=52612201","3864468")</f>
        <v>3864468</v>
      </c>
      <c r="H7411" t="s">
        <v>1242</v>
      </c>
      <c r="I7411">
        <v>0</v>
      </c>
      <c r="J7411">
        <v>0</v>
      </c>
      <c r="K7411" t="s">
        <v>4655</v>
      </c>
      <c r="L7411" t="s">
        <v>4655</v>
      </c>
      <c r="M7411" s="2">
        <v>0</v>
      </c>
      <c r="N7411" t="s">
        <v>4655</v>
      </c>
      <c r="O7411">
        <v>0</v>
      </c>
      <c r="P7411">
        <v>0</v>
      </c>
      <c r="Q7411">
        <v>0</v>
      </c>
      <c r="R7411" t="s">
        <v>4655</v>
      </c>
      <c r="S7411" t="s">
        <v>4655</v>
      </c>
      <c r="T7411" t="s">
        <v>4655</v>
      </c>
      <c r="U7411" t="s">
        <v>4655</v>
      </c>
      <c r="V7411" s="2">
        <v>0</v>
      </c>
      <c r="W7411" t="s">
        <v>4655</v>
      </c>
      <c r="X7411" s="2">
        <v>0</v>
      </c>
      <c r="Y7411">
        <v>12</v>
      </c>
      <c r="Z7411" t="s">
        <v>5200</v>
      </c>
      <c r="AA7411" s="3">
        <v>0.16150137782096899</v>
      </c>
      <c r="AB7411" t="s">
        <v>35008</v>
      </c>
      <c r="AC7411" t="s">
        <v>4562</v>
      </c>
      <c r="AD7411" t="s">
        <v>35009</v>
      </c>
      <c r="AE7411" t="s">
        <v>4655</v>
      </c>
      <c r="AF7411" t="s">
        <v>3869</v>
      </c>
      <c r="AG7411" t="s">
        <v>2567</v>
      </c>
      <c r="AH7411">
        <v>74114</v>
      </c>
      <c r="AI7411" t="s">
        <v>35010</v>
      </c>
      <c r="AJ7411" t="s">
        <v>3870</v>
      </c>
      <c r="AK7411" t="s">
        <v>35025</v>
      </c>
      <c r="AL7411" s="13" t="s">
        <v>1899</v>
      </c>
      <c r="AM7411">
        <v>0</v>
      </c>
      <c r="AN7411" s="15" t="s">
        <v>26</v>
      </c>
    </row>
    <row r="7412" spans="1:40" x14ac:dyDescent="0.3">
      <c r="A7412" s="10" t="str">
        <f>HYPERLINK("http://www.washoecounty.gov/assessor/cama/?parid=526-122-01&amp;CardNumber=1","526-122-01")</f>
        <v>526-122-01</v>
      </c>
      <c r="B7412" t="s">
        <v>4655</v>
      </c>
      <c r="C7412" t="s">
        <v>35024</v>
      </c>
      <c r="D7412" s="1">
        <v>40263</v>
      </c>
      <c r="E7412" s="2">
        <v>1575000</v>
      </c>
      <c r="F7412" t="s">
        <v>3174</v>
      </c>
      <c r="G7412" s="17" t="str">
        <f>HYPERLINK("https://www.washoecounty.gov/assessor/cama/?command=sales&amp;parid=52612201","3864468")</f>
        <v>3864468</v>
      </c>
      <c r="H7412" t="s">
        <v>1242</v>
      </c>
      <c r="I7412">
        <v>0</v>
      </c>
      <c r="J7412">
        <v>0</v>
      </c>
      <c r="K7412" t="s">
        <v>4655</v>
      </c>
      <c r="L7412" t="s">
        <v>4655</v>
      </c>
      <c r="M7412" s="2">
        <v>0</v>
      </c>
      <c r="N7412" t="s">
        <v>4655</v>
      </c>
      <c r="O7412">
        <v>0</v>
      </c>
      <c r="P7412">
        <v>0</v>
      </c>
      <c r="Q7412">
        <v>0</v>
      </c>
      <c r="R7412" t="s">
        <v>4655</v>
      </c>
      <c r="S7412" t="s">
        <v>4655</v>
      </c>
      <c r="T7412" t="s">
        <v>4655</v>
      </c>
      <c r="U7412" t="s">
        <v>4655</v>
      </c>
      <c r="V7412" s="2">
        <v>0</v>
      </c>
      <c r="W7412" t="s">
        <v>4655</v>
      </c>
      <c r="X7412" s="2">
        <v>0</v>
      </c>
      <c r="Y7412">
        <v>12</v>
      </c>
      <c r="Z7412" t="s">
        <v>5200</v>
      </c>
      <c r="AA7412" s="3">
        <v>0.16150137782096899</v>
      </c>
      <c r="AB7412" t="s">
        <v>35008</v>
      </c>
      <c r="AC7412" t="s">
        <v>4562</v>
      </c>
      <c r="AD7412" t="s">
        <v>35009</v>
      </c>
      <c r="AE7412" t="s">
        <v>4655</v>
      </c>
      <c r="AF7412" t="s">
        <v>3869</v>
      </c>
      <c r="AG7412" t="s">
        <v>2567</v>
      </c>
      <c r="AH7412">
        <v>74114</v>
      </c>
      <c r="AI7412" t="s">
        <v>35010</v>
      </c>
      <c r="AJ7412" t="s">
        <v>3870</v>
      </c>
      <c r="AK7412" t="s">
        <v>35025</v>
      </c>
      <c r="AL7412" s="13" t="s">
        <v>1899</v>
      </c>
      <c r="AM7412">
        <v>0</v>
      </c>
      <c r="AN7412" s="15" t="s">
        <v>26</v>
      </c>
    </row>
    <row r="7413" spans="1:40" x14ac:dyDescent="0.3">
      <c r="A7413" s="10" t="str">
        <f>HYPERLINK("http://www.washoecounty.gov/assessor/cama/?parid=526-122-02&amp;CardNumber=1","526-122-02")</f>
        <v>526-122-02</v>
      </c>
      <c r="B7413" t="s">
        <v>4655</v>
      </c>
      <c r="C7413" t="s">
        <v>35026</v>
      </c>
      <c r="D7413" s="1">
        <v>40263</v>
      </c>
      <c r="E7413" s="2">
        <v>1575000</v>
      </c>
      <c r="F7413" t="s">
        <v>2900</v>
      </c>
      <c r="G7413" s="17" t="str">
        <f>HYPERLINK("https://www.washoecounty.gov/assessor/cama/?command=sales&amp;parid=52612202","3864468")</f>
        <v>3864468</v>
      </c>
      <c r="H7413" t="s">
        <v>1242</v>
      </c>
      <c r="I7413">
        <v>0</v>
      </c>
      <c r="J7413">
        <v>0</v>
      </c>
      <c r="K7413" t="s">
        <v>4655</v>
      </c>
      <c r="L7413" t="s">
        <v>4655</v>
      </c>
      <c r="M7413" s="2">
        <v>0</v>
      </c>
      <c r="N7413" t="s">
        <v>4655</v>
      </c>
      <c r="O7413">
        <v>0</v>
      </c>
      <c r="P7413">
        <v>0</v>
      </c>
      <c r="Q7413">
        <v>0</v>
      </c>
      <c r="R7413" t="s">
        <v>4655</v>
      </c>
      <c r="S7413" t="s">
        <v>4655</v>
      </c>
      <c r="T7413" t="s">
        <v>4655</v>
      </c>
      <c r="U7413" t="s">
        <v>4655</v>
      </c>
      <c r="V7413" s="2">
        <v>0</v>
      </c>
      <c r="W7413" t="s">
        <v>4655</v>
      </c>
      <c r="X7413" s="2">
        <v>0</v>
      </c>
      <c r="Y7413">
        <v>12</v>
      </c>
      <c r="Z7413" t="s">
        <v>5200</v>
      </c>
      <c r="AA7413" s="3">
        <v>0.160697892308235</v>
      </c>
      <c r="AB7413" t="s">
        <v>35008</v>
      </c>
      <c r="AC7413" t="s">
        <v>4562</v>
      </c>
      <c r="AD7413" t="s">
        <v>35009</v>
      </c>
      <c r="AE7413" t="s">
        <v>4655</v>
      </c>
      <c r="AF7413" t="s">
        <v>3869</v>
      </c>
      <c r="AG7413" t="s">
        <v>2567</v>
      </c>
      <c r="AH7413">
        <v>74114</v>
      </c>
      <c r="AI7413" t="s">
        <v>35010</v>
      </c>
      <c r="AJ7413" t="s">
        <v>3870</v>
      </c>
      <c r="AK7413" t="s">
        <v>35027</v>
      </c>
      <c r="AL7413" s="13" t="s">
        <v>1899</v>
      </c>
      <c r="AM7413">
        <v>0</v>
      </c>
      <c r="AN7413" s="15" t="s">
        <v>26</v>
      </c>
    </row>
    <row r="7414" spans="1:40" x14ac:dyDescent="0.3">
      <c r="A7414" s="10" t="str">
        <f>HYPERLINK("http://www.washoecounty.gov/assessor/cama/?parid=526-122-03&amp;CardNumber=1","526-122-03")</f>
        <v>526-122-03</v>
      </c>
      <c r="B7414" t="s">
        <v>4655</v>
      </c>
      <c r="C7414" t="s">
        <v>35028</v>
      </c>
      <c r="D7414" s="1">
        <v>40263</v>
      </c>
      <c r="E7414" s="2">
        <v>1575000</v>
      </c>
      <c r="F7414" t="s">
        <v>2900</v>
      </c>
      <c r="G7414" s="17" t="str">
        <f>HYPERLINK("https://www.washoecounty.gov/assessor/cama/?command=sales&amp;parid=52612203","3864468")</f>
        <v>3864468</v>
      </c>
      <c r="H7414" t="s">
        <v>1242</v>
      </c>
      <c r="I7414">
        <v>0</v>
      </c>
      <c r="J7414">
        <v>0</v>
      </c>
      <c r="K7414" t="s">
        <v>4655</v>
      </c>
      <c r="L7414" t="s">
        <v>4655</v>
      </c>
      <c r="M7414" s="2">
        <v>0</v>
      </c>
      <c r="N7414" t="s">
        <v>4655</v>
      </c>
      <c r="O7414">
        <v>0</v>
      </c>
      <c r="P7414">
        <v>0</v>
      </c>
      <c r="Q7414">
        <v>0</v>
      </c>
      <c r="R7414" t="s">
        <v>4655</v>
      </c>
      <c r="S7414" t="s">
        <v>4655</v>
      </c>
      <c r="T7414" t="s">
        <v>4655</v>
      </c>
      <c r="U7414" t="s">
        <v>4655</v>
      </c>
      <c r="V7414" s="2">
        <v>0</v>
      </c>
      <c r="W7414" t="s">
        <v>4655</v>
      </c>
      <c r="X7414" s="2">
        <v>0</v>
      </c>
      <c r="Y7414">
        <v>12</v>
      </c>
      <c r="Z7414" t="s">
        <v>5200</v>
      </c>
      <c r="AA7414" s="3">
        <v>0.1652892529964447</v>
      </c>
      <c r="AB7414" t="s">
        <v>35008</v>
      </c>
      <c r="AC7414" t="s">
        <v>4562</v>
      </c>
      <c r="AD7414" t="s">
        <v>35009</v>
      </c>
      <c r="AE7414" t="s">
        <v>4655</v>
      </c>
      <c r="AF7414" t="s">
        <v>3869</v>
      </c>
      <c r="AG7414" t="s">
        <v>2567</v>
      </c>
      <c r="AH7414">
        <v>74114</v>
      </c>
      <c r="AI7414" t="s">
        <v>35010</v>
      </c>
      <c r="AJ7414" t="s">
        <v>3870</v>
      </c>
      <c r="AK7414" t="s">
        <v>35029</v>
      </c>
      <c r="AL7414" s="13" t="s">
        <v>1899</v>
      </c>
      <c r="AM7414" s="14">
        <v>0</v>
      </c>
      <c r="AN7414" s="15" t="s">
        <v>26</v>
      </c>
    </row>
    <row r="7415" spans="1:40" x14ac:dyDescent="0.3">
      <c r="A7415" s="10" t="str">
        <f>HYPERLINK("http://www.washoecounty.gov/assessor/cama/?parid=526-122-04&amp;CardNumber=1","526-122-04")</f>
        <v>526-122-04</v>
      </c>
      <c r="B7415" t="s">
        <v>4655</v>
      </c>
      <c r="C7415" t="s">
        <v>35030</v>
      </c>
      <c r="D7415" s="1">
        <v>40263</v>
      </c>
      <c r="E7415" s="2">
        <v>1575000</v>
      </c>
      <c r="F7415" t="s">
        <v>2900</v>
      </c>
      <c r="G7415" s="17" t="str">
        <f>HYPERLINK("https://www.washoecounty.gov/assessor/cama/?command=sales&amp;parid=52612204","3864468")</f>
        <v>3864468</v>
      </c>
      <c r="H7415" t="s">
        <v>1242</v>
      </c>
      <c r="I7415">
        <v>0</v>
      </c>
      <c r="J7415">
        <v>0</v>
      </c>
      <c r="K7415" t="s">
        <v>4655</v>
      </c>
      <c r="L7415" t="s">
        <v>4655</v>
      </c>
      <c r="M7415" s="2">
        <v>0</v>
      </c>
      <c r="N7415" t="s">
        <v>4655</v>
      </c>
      <c r="O7415">
        <v>0</v>
      </c>
      <c r="P7415">
        <v>0</v>
      </c>
      <c r="Q7415">
        <v>0</v>
      </c>
      <c r="R7415" t="s">
        <v>4655</v>
      </c>
      <c r="S7415" t="s">
        <v>4655</v>
      </c>
      <c r="T7415" t="s">
        <v>4655</v>
      </c>
      <c r="U7415" t="s">
        <v>4655</v>
      </c>
      <c r="V7415" s="2">
        <v>0</v>
      </c>
      <c r="W7415" t="s">
        <v>4655</v>
      </c>
      <c r="X7415" s="2">
        <v>0</v>
      </c>
      <c r="Y7415">
        <v>12</v>
      </c>
      <c r="Z7415" t="s">
        <v>5200</v>
      </c>
      <c r="AA7415" s="3">
        <v>0.160697892308235</v>
      </c>
      <c r="AB7415" t="s">
        <v>35008</v>
      </c>
      <c r="AC7415" t="s">
        <v>4562</v>
      </c>
      <c r="AD7415" t="s">
        <v>35009</v>
      </c>
      <c r="AE7415" t="s">
        <v>4655</v>
      </c>
      <c r="AF7415" t="s">
        <v>3869</v>
      </c>
      <c r="AG7415" t="s">
        <v>2567</v>
      </c>
      <c r="AH7415">
        <v>74114</v>
      </c>
      <c r="AI7415" t="s">
        <v>35010</v>
      </c>
      <c r="AJ7415" t="s">
        <v>3870</v>
      </c>
      <c r="AK7415" t="s">
        <v>35031</v>
      </c>
      <c r="AL7415" s="13" t="s">
        <v>1899</v>
      </c>
      <c r="AM7415" s="14">
        <v>0</v>
      </c>
      <c r="AN7415" s="15" t="s">
        <v>26</v>
      </c>
    </row>
    <row r="7416" spans="1:40" x14ac:dyDescent="0.3">
      <c r="A7416" s="10" t="str">
        <f>HYPERLINK("http://www.washoecounty.gov/assessor/cama/?parid=526-122-05&amp;CardNumber=1","526-122-05")</f>
        <v>526-122-05</v>
      </c>
      <c r="B7416" t="s">
        <v>4655</v>
      </c>
      <c r="C7416" t="s">
        <v>35032</v>
      </c>
      <c r="D7416" s="1">
        <v>40263</v>
      </c>
      <c r="E7416" s="2">
        <v>1575000</v>
      </c>
      <c r="F7416" t="s">
        <v>2900</v>
      </c>
      <c r="G7416" s="17" t="str">
        <f>HYPERLINK("https://www.washoecounty.gov/assessor/cama/?command=sales&amp;parid=52612205","3864468")</f>
        <v>3864468</v>
      </c>
      <c r="H7416" t="s">
        <v>1242</v>
      </c>
      <c r="I7416">
        <v>0</v>
      </c>
      <c r="J7416">
        <v>0</v>
      </c>
      <c r="K7416" t="s">
        <v>4655</v>
      </c>
      <c r="L7416" t="s">
        <v>4655</v>
      </c>
      <c r="M7416" s="2">
        <v>0</v>
      </c>
      <c r="N7416" t="s">
        <v>4655</v>
      </c>
      <c r="O7416">
        <v>0</v>
      </c>
      <c r="P7416">
        <v>0</v>
      </c>
      <c r="Q7416">
        <v>0</v>
      </c>
      <c r="R7416" t="s">
        <v>4655</v>
      </c>
      <c r="S7416" t="s">
        <v>4655</v>
      </c>
      <c r="T7416" t="s">
        <v>4655</v>
      </c>
      <c r="U7416" t="s">
        <v>4655</v>
      </c>
      <c r="V7416" s="2">
        <v>0</v>
      </c>
      <c r="W7416" t="s">
        <v>4655</v>
      </c>
      <c r="X7416" s="2">
        <v>0</v>
      </c>
      <c r="Y7416">
        <v>12</v>
      </c>
      <c r="Z7416" t="s">
        <v>5200</v>
      </c>
      <c r="AA7416" s="3">
        <v>0.1652892529964447</v>
      </c>
      <c r="AB7416" t="s">
        <v>35008</v>
      </c>
      <c r="AC7416" t="s">
        <v>4562</v>
      </c>
      <c r="AD7416" t="s">
        <v>35009</v>
      </c>
      <c r="AE7416" t="s">
        <v>4655</v>
      </c>
      <c r="AF7416" t="s">
        <v>3869</v>
      </c>
      <c r="AG7416" t="s">
        <v>2567</v>
      </c>
      <c r="AH7416">
        <v>74114</v>
      </c>
      <c r="AI7416" t="s">
        <v>35010</v>
      </c>
      <c r="AJ7416" t="s">
        <v>3870</v>
      </c>
      <c r="AK7416" t="s">
        <v>35033</v>
      </c>
      <c r="AL7416" s="13" t="s">
        <v>1899</v>
      </c>
      <c r="AM7416" s="14">
        <v>0</v>
      </c>
      <c r="AN7416" s="15" t="s">
        <v>26</v>
      </c>
    </row>
    <row r="7417" spans="1:40" x14ac:dyDescent="0.3">
      <c r="A7417" s="10" t="str">
        <f>HYPERLINK("http://www.washoecounty.gov/assessor/cama/?parid=526-122-06&amp;CardNumber=1","526-122-06")</f>
        <v>526-122-06</v>
      </c>
      <c r="B7417" t="s">
        <v>4655</v>
      </c>
      <c r="C7417" t="s">
        <v>35034</v>
      </c>
      <c r="D7417" s="1">
        <v>40263</v>
      </c>
      <c r="E7417" s="2">
        <v>1575000</v>
      </c>
      <c r="F7417" t="s">
        <v>2900</v>
      </c>
      <c r="G7417" s="17" t="str">
        <f>HYPERLINK("https://www.washoecounty.gov/assessor/cama/?command=sales&amp;parid=52612206","3864468")</f>
        <v>3864468</v>
      </c>
      <c r="H7417" t="s">
        <v>1242</v>
      </c>
      <c r="I7417">
        <v>0</v>
      </c>
      <c r="J7417">
        <v>0</v>
      </c>
      <c r="K7417" t="s">
        <v>4655</v>
      </c>
      <c r="L7417" t="s">
        <v>4655</v>
      </c>
      <c r="M7417" s="2">
        <v>0</v>
      </c>
      <c r="N7417" t="s">
        <v>4655</v>
      </c>
      <c r="O7417">
        <v>0</v>
      </c>
      <c r="P7417">
        <v>0</v>
      </c>
      <c r="Q7417">
        <v>0</v>
      </c>
      <c r="R7417" t="s">
        <v>4655</v>
      </c>
      <c r="S7417" t="s">
        <v>4655</v>
      </c>
      <c r="T7417" t="s">
        <v>4655</v>
      </c>
      <c r="U7417" t="s">
        <v>4655</v>
      </c>
      <c r="V7417" s="2">
        <v>0</v>
      </c>
      <c r="W7417" t="s">
        <v>4655</v>
      </c>
      <c r="X7417" s="2">
        <v>0</v>
      </c>
      <c r="Y7417">
        <v>12</v>
      </c>
      <c r="Z7417" t="s">
        <v>5200</v>
      </c>
      <c r="AA7417" s="3">
        <v>0.160697892308235</v>
      </c>
      <c r="AB7417" t="s">
        <v>35008</v>
      </c>
      <c r="AC7417" t="s">
        <v>4562</v>
      </c>
      <c r="AD7417" t="s">
        <v>35009</v>
      </c>
      <c r="AE7417" t="s">
        <v>4655</v>
      </c>
      <c r="AF7417" t="s">
        <v>3869</v>
      </c>
      <c r="AG7417" t="s">
        <v>2567</v>
      </c>
      <c r="AH7417">
        <v>74114</v>
      </c>
      <c r="AI7417" t="s">
        <v>35010</v>
      </c>
      <c r="AJ7417" t="s">
        <v>3870</v>
      </c>
      <c r="AK7417" t="s">
        <v>35035</v>
      </c>
      <c r="AL7417" s="13" t="s">
        <v>1899</v>
      </c>
      <c r="AM7417">
        <v>0</v>
      </c>
      <c r="AN7417" s="15" t="s">
        <v>26</v>
      </c>
    </row>
    <row r="7418" spans="1:40" x14ac:dyDescent="0.3">
      <c r="A7418" s="10" t="str">
        <f>HYPERLINK("http://www.washoecounty.gov/assessor/cama/?parid=526-122-07&amp;CardNumber=1","526-122-07")</f>
        <v>526-122-07</v>
      </c>
      <c r="B7418" t="s">
        <v>4655</v>
      </c>
      <c r="C7418" t="s">
        <v>35036</v>
      </c>
      <c r="D7418" s="1">
        <v>40263</v>
      </c>
      <c r="E7418" s="2">
        <v>1575000</v>
      </c>
      <c r="F7418" t="s">
        <v>2900</v>
      </c>
      <c r="G7418" s="17" t="str">
        <f>HYPERLINK("https://www.washoecounty.gov/assessor/cama/?command=sales&amp;parid=52612207","3864468")</f>
        <v>3864468</v>
      </c>
      <c r="H7418" t="s">
        <v>1242</v>
      </c>
      <c r="I7418">
        <v>0</v>
      </c>
      <c r="J7418">
        <v>0</v>
      </c>
      <c r="K7418" t="s">
        <v>4655</v>
      </c>
      <c r="L7418" t="s">
        <v>4655</v>
      </c>
      <c r="M7418" s="2">
        <v>0</v>
      </c>
      <c r="N7418" t="s">
        <v>4655</v>
      </c>
      <c r="O7418">
        <v>0</v>
      </c>
      <c r="P7418">
        <v>0</v>
      </c>
      <c r="Q7418">
        <v>0</v>
      </c>
      <c r="R7418" t="s">
        <v>4655</v>
      </c>
      <c r="S7418" t="s">
        <v>4655</v>
      </c>
      <c r="T7418" t="s">
        <v>4655</v>
      </c>
      <c r="U7418" t="s">
        <v>4655</v>
      </c>
      <c r="V7418" s="2">
        <v>0</v>
      </c>
      <c r="W7418" t="s">
        <v>4655</v>
      </c>
      <c r="X7418" s="2">
        <v>0</v>
      </c>
      <c r="Y7418">
        <v>12</v>
      </c>
      <c r="Z7418" t="s">
        <v>5200</v>
      </c>
      <c r="AA7418" s="3">
        <v>0.14164370298385601</v>
      </c>
      <c r="AB7418" t="s">
        <v>35008</v>
      </c>
      <c r="AC7418" t="s">
        <v>4562</v>
      </c>
      <c r="AD7418" t="s">
        <v>35009</v>
      </c>
      <c r="AE7418" t="s">
        <v>4655</v>
      </c>
      <c r="AF7418" t="s">
        <v>3869</v>
      </c>
      <c r="AG7418" t="s">
        <v>2567</v>
      </c>
      <c r="AH7418">
        <v>74114</v>
      </c>
      <c r="AI7418" t="s">
        <v>35010</v>
      </c>
      <c r="AJ7418" t="s">
        <v>3870</v>
      </c>
      <c r="AK7418" t="s">
        <v>35037</v>
      </c>
      <c r="AL7418" s="13" t="s">
        <v>1899</v>
      </c>
      <c r="AM7418">
        <v>0</v>
      </c>
      <c r="AN7418" s="15" t="s">
        <v>26</v>
      </c>
    </row>
    <row r="7419" spans="1:40" x14ac:dyDescent="0.3">
      <c r="A7419" s="10" t="str">
        <f>HYPERLINK("http://www.washoecounty.gov/assessor/cama/?parid=526-122-08&amp;CardNumber=1","526-122-08")</f>
        <v>526-122-08</v>
      </c>
      <c r="B7419" t="s">
        <v>4655</v>
      </c>
      <c r="C7419" t="s">
        <v>35038</v>
      </c>
      <c r="D7419" s="1">
        <v>40263</v>
      </c>
      <c r="E7419" s="2">
        <v>1575000</v>
      </c>
      <c r="F7419" t="s">
        <v>2900</v>
      </c>
      <c r="G7419" s="17" t="str">
        <f>HYPERLINK("https://www.washoecounty.gov/assessor/cama/?command=sales&amp;parid=52612208","3864468")</f>
        <v>3864468</v>
      </c>
      <c r="H7419" t="s">
        <v>1242</v>
      </c>
      <c r="I7419">
        <v>0</v>
      </c>
      <c r="J7419">
        <v>0</v>
      </c>
      <c r="K7419" t="s">
        <v>4655</v>
      </c>
      <c r="L7419" t="s">
        <v>4655</v>
      </c>
      <c r="M7419" s="2">
        <v>0</v>
      </c>
      <c r="N7419" t="s">
        <v>4655</v>
      </c>
      <c r="O7419">
        <v>0</v>
      </c>
      <c r="P7419">
        <v>0</v>
      </c>
      <c r="Q7419">
        <v>0</v>
      </c>
      <c r="R7419" t="s">
        <v>4655</v>
      </c>
      <c r="S7419" t="s">
        <v>4655</v>
      </c>
      <c r="T7419" t="s">
        <v>4655</v>
      </c>
      <c r="U7419" t="s">
        <v>4655</v>
      </c>
      <c r="V7419" s="2">
        <v>0</v>
      </c>
      <c r="W7419" t="s">
        <v>4655</v>
      </c>
      <c r="X7419" s="2">
        <v>0</v>
      </c>
      <c r="Y7419">
        <v>12</v>
      </c>
      <c r="Z7419" t="s">
        <v>5200</v>
      </c>
      <c r="AA7419" s="3">
        <v>0.21186868846416501</v>
      </c>
      <c r="AB7419" t="s">
        <v>35008</v>
      </c>
      <c r="AC7419" t="s">
        <v>4562</v>
      </c>
      <c r="AD7419" t="s">
        <v>35009</v>
      </c>
      <c r="AE7419" t="s">
        <v>4655</v>
      </c>
      <c r="AF7419" t="s">
        <v>3869</v>
      </c>
      <c r="AG7419" t="s">
        <v>2567</v>
      </c>
      <c r="AH7419">
        <v>74114</v>
      </c>
      <c r="AI7419" t="s">
        <v>35010</v>
      </c>
      <c r="AJ7419" t="s">
        <v>3870</v>
      </c>
      <c r="AK7419" t="s">
        <v>35039</v>
      </c>
      <c r="AL7419" s="13" t="s">
        <v>1899</v>
      </c>
      <c r="AM7419" s="14">
        <v>0</v>
      </c>
      <c r="AN7419" s="15" t="s">
        <v>26</v>
      </c>
    </row>
    <row r="7420" spans="1:40" x14ac:dyDescent="0.3">
      <c r="A7420" s="10" t="str">
        <f>HYPERLINK("http://www.washoecounty.gov/assessor/cama/?parid=526-122-09&amp;CardNumber=1","526-122-09")</f>
        <v>526-122-09</v>
      </c>
      <c r="B7420" t="s">
        <v>4655</v>
      </c>
      <c r="C7420" t="s">
        <v>35040</v>
      </c>
      <c r="D7420" s="1">
        <v>40263</v>
      </c>
      <c r="E7420" s="2">
        <v>1575000</v>
      </c>
      <c r="F7420" t="s">
        <v>2900</v>
      </c>
      <c r="G7420" s="17" t="str">
        <f>HYPERLINK("https://www.washoecounty.gov/assessor/cama/?command=sales&amp;parid=52612209","3864468")</f>
        <v>3864468</v>
      </c>
      <c r="H7420" t="s">
        <v>1242</v>
      </c>
      <c r="I7420">
        <v>0</v>
      </c>
      <c r="J7420">
        <v>0</v>
      </c>
      <c r="K7420" t="s">
        <v>4655</v>
      </c>
      <c r="L7420" t="s">
        <v>4655</v>
      </c>
      <c r="M7420" s="2">
        <v>0</v>
      </c>
      <c r="N7420" t="s">
        <v>4655</v>
      </c>
      <c r="O7420">
        <v>0</v>
      </c>
      <c r="P7420">
        <v>0</v>
      </c>
      <c r="Q7420">
        <v>0</v>
      </c>
      <c r="R7420" t="s">
        <v>4655</v>
      </c>
      <c r="S7420" t="s">
        <v>4655</v>
      </c>
      <c r="T7420" t="s">
        <v>4655</v>
      </c>
      <c r="U7420" t="s">
        <v>4655</v>
      </c>
      <c r="V7420" s="2">
        <v>0</v>
      </c>
      <c r="W7420" t="s">
        <v>4655</v>
      </c>
      <c r="X7420" s="2">
        <v>0</v>
      </c>
      <c r="Y7420">
        <v>12</v>
      </c>
      <c r="Z7420" t="s">
        <v>5200</v>
      </c>
      <c r="AA7420" s="3">
        <v>0.20658861100673701</v>
      </c>
      <c r="AB7420" t="s">
        <v>35008</v>
      </c>
      <c r="AC7420" t="s">
        <v>4562</v>
      </c>
      <c r="AD7420" t="s">
        <v>35009</v>
      </c>
      <c r="AE7420" t="s">
        <v>4655</v>
      </c>
      <c r="AF7420" t="s">
        <v>3869</v>
      </c>
      <c r="AG7420" t="s">
        <v>2567</v>
      </c>
      <c r="AH7420">
        <v>74114</v>
      </c>
      <c r="AI7420" t="s">
        <v>35010</v>
      </c>
      <c r="AJ7420" t="s">
        <v>3870</v>
      </c>
      <c r="AK7420" t="s">
        <v>35041</v>
      </c>
      <c r="AL7420" s="13" t="s">
        <v>1899</v>
      </c>
      <c r="AM7420" s="14">
        <v>0</v>
      </c>
      <c r="AN7420" s="15" t="s">
        <v>26</v>
      </c>
    </row>
    <row r="7421" spans="1:40" x14ac:dyDescent="0.3">
      <c r="A7421" s="10" t="str">
        <f>HYPERLINK("http://www.washoecounty.gov/assessor/cama/?parid=526-122-10&amp;CardNumber=1","526-122-10")</f>
        <v>526-122-10</v>
      </c>
      <c r="B7421" t="s">
        <v>4655</v>
      </c>
      <c r="C7421" t="s">
        <v>35042</v>
      </c>
      <c r="D7421" s="1">
        <v>40263</v>
      </c>
      <c r="E7421" s="2">
        <v>1575000</v>
      </c>
      <c r="F7421" t="s">
        <v>2900</v>
      </c>
      <c r="G7421" s="17" t="str">
        <f>HYPERLINK("https://www.washoecounty.gov/assessor/cama/?command=sales&amp;parid=52612210","3864468")</f>
        <v>3864468</v>
      </c>
      <c r="H7421" t="s">
        <v>1242</v>
      </c>
      <c r="I7421">
        <v>0</v>
      </c>
      <c r="J7421">
        <v>0</v>
      </c>
      <c r="K7421" t="s">
        <v>4655</v>
      </c>
      <c r="L7421" t="s">
        <v>4655</v>
      </c>
      <c r="M7421" s="2">
        <v>0</v>
      </c>
      <c r="N7421" t="s">
        <v>4655</v>
      </c>
      <c r="O7421">
        <v>0</v>
      </c>
      <c r="P7421">
        <v>0</v>
      </c>
      <c r="Q7421">
        <v>0</v>
      </c>
      <c r="R7421" t="s">
        <v>4655</v>
      </c>
      <c r="S7421" t="s">
        <v>4655</v>
      </c>
      <c r="T7421" t="s">
        <v>4655</v>
      </c>
      <c r="U7421" t="s">
        <v>4655</v>
      </c>
      <c r="V7421" s="2">
        <v>0</v>
      </c>
      <c r="W7421" t="s">
        <v>4655</v>
      </c>
      <c r="X7421" s="2">
        <v>0</v>
      </c>
      <c r="Y7421">
        <v>12</v>
      </c>
      <c r="Z7421" t="s">
        <v>5200</v>
      </c>
      <c r="AA7421" s="3">
        <v>0.19488061964511899</v>
      </c>
      <c r="AB7421" t="s">
        <v>35008</v>
      </c>
      <c r="AC7421" t="s">
        <v>4562</v>
      </c>
      <c r="AD7421" t="s">
        <v>35009</v>
      </c>
      <c r="AE7421" t="s">
        <v>4655</v>
      </c>
      <c r="AF7421" t="s">
        <v>3869</v>
      </c>
      <c r="AG7421" t="s">
        <v>2567</v>
      </c>
      <c r="AH7421">
        <v>74114</v>
      </c>
      <c r="AI7421" t="s">
        <v>35010</v>
      </c>
      <c r="AJ7421" t="s">
        <v>3870</v>
      </c>
      <c r="AK7421" t="s">
        <v>35043</v>
      </c>
      <c r="AL7421" s="13" t="s">
        <v>1899</v>
      </c>
      <c r="AM7421">
        <v>0</v>
      </c>
      <c r="AN7421" s="15" t="s">
        <v>26</v>
      </c>
    </row>
    <row r="7422" spans="1:40" x14ac:dyDescent="0.3">
      <c r="A7422" s="10" t="str">
        <f>HYPERLINK("http://www.washoecounty.gov/assessor/cama/?parid=526-122-11&amp;CardNumber=1","526-122-11")</f>
        <v>526-122-11</v>
      </c>
      <c r="B7422" t="s">
        <v>4655</v>
      </c>
      <c r="C7422" t="s">
        <v>35044</v>
      </c>
      <c r="D7422" s="1">
        <v>40263</v>
      </c>
      <c r="E7422" s="2">
        <v>1575000</v>
      </c>
      <c r="F7422" t="s">
        <v>2900</v>
      </c>
      <c r="G7422" s="17" t="str">
        <f>HYPERLINK("https://www.washoecounty.gov/assessor/cama/?command=sales&amp;parid=52612211","3864468")</f>
        <v>3864468</v>
      </c>
      <c r="H7422" t="s">
        <v>1242</v>
      </c>
      <c r="I7422">
        <v>0</v>
      </c>
      <c r="J7422">
        <v>0</v>
      </c>
      <c r="K7422" t="s">
        <v>4655</v>
      </c>
      <c r="L7422" t="s">
        <v>4655</v>
      </c>
      <c r="M7422" s="2">
        <v>0</v>
      </c>
      <c r="N7422" t="s">
        <v>4655</v>
      </c>
      <c r="O7422">
        <v>0</v>
      </c>
      <c r="P7422">
        <v>0</v>
      </c>
      <c r="Q7422">
        <v>0</v>
      </c>
      <c r="R7422" t="s">
        <v>4655</v>
      </c>
      <c r="S7422" t="s">
        <v>4655</v>
      </c>
      <c r="T7422" t="s">
        <v>4655</v>
      </c>
      <c r="U7422" t="s">
        <v>4655</v>
      </c>
      <c r="V7422" s="2">
        <v>0</v>
      </c>
      <c r="W7422" t="s">
        <v>4655</v>
      </c>
      <c r="X7422" s="2">
        <v>0</v>
      </c>
      <c r="Y7422">
        <v>12</v>
      </c>
      <c r="Z7422" t="s">
        <v>5200</v>
      </c>
      <c r="AA7422" s="3">
        <v>0.202892556786537</v>
      </c>
      <c r="AB7422" t="s">
        <v>35008</v>
      </c>
      <c r="AC7422" t="s">
        <v>4562</v>
      </c>
      <c r="AD7422" t="s">
        <v>35009</v>
      </c>
      <c r="AE7422" t="s">
        <v>4655</v>
      </c>
      <c r="AF7422" t="s">
        <v>3869</v>
      </c>
      <c r="AG7422" t="s">
        <v>2567</v>
      </c>
      <c r="AH7422">
        <v>74114</v>
      </c>
      <c r="AI7422" t="s">
        <v>35010</v>
      </c>
      <c r="AJ7422" t="s">
        <v>3870</v>
      </c>
      <c r="AK7422" t="s">
        <v>35045</v>
      </c>
      <c r="AL7422" s="13" t="s">
        <v>1899</v>
      </c>
      <c r="AM7422">
        <v>0</v>
      </c>
      <c r="AN7422" s="15" t="s">
        <v>26</v>
      </c>
    </row>
    <row r="7423" spans="1:40" x14ac:dyDescent="0.3">
      <c r="A7423" s="10" t="str">
        <f>HYPERLINK("http://www.washoecounty.gov/assessor/cama/?parid=526-122-12&amp;CardNumber=1","526-122-12")</f>
        <v>526-122-12</v>
      </c>
      <c r="B7423" t="s">
        <v>4655</v>
      </c>
      <c r="C7423" s="20" t="s">
        <v>283</v>
      </c>
      <c r="D7423" s="1">
        <v>40263</v>
      </c>
      <c r="E7423" s="2">
        <v>1575000</v>
      </c>
      <c r="F7423" t="s">
        <v>2900</v>
      </c>
      <c r="G7423" s="20" t="s">
        <v>282</v>
      </c>
      <c r="H7423" t="s">
        <v>1242</v>
      </c>
      <c r="I7423">
        <v>0</v>
      </c>
      <c r="J7423">
        <v>0</v>
      </c>
      <c r="K7423" t="s">
        <v>4655</v>
      </c>
      <c r="L7423" t="s">
        <v>4655</v>
      </c>
      <c r="M7423" s="2">
        <v>0</v>
      </c>
      <c r="N7423" t="s">
        <v>4655</v>
      </c>
      <c r="O7423">
        <v>0</v>
      </c>
      <c r="P7423">
        <v>0</v>
      </c>
      <c r="Q7423">
        <v>0</v>
      </c>
      <c r="R7423" t="s">
        <v>4655</v>
      </c>
      <c r="S7423" t="s">
        <v>4655</v>
      </c>
      <c r="T7423" t="s">
        <v>4655</v>
      </c>
      <c r="U7423" t="s">
        <v>4655</v>
      </c>
      <c r="V7423" s="2">
        <v>0</v>
      </c>
      <c r="W7423" t="s">
        <v>4655</v>
      </c>
      <c r="X7423" s="2">
        <v>0</v>
      </c>
      <c r="Y7423">
        <v>12</v>
      </c>
      <c r="Z7423" t="s">
        <v>5200</v>
      </c>
      <c r="AA7423" s="3">
        <v>0.20865473151207001</v>
      </c>
      <c r="AB7423" s="20" t="s">
        <v>8865</v>
      </c>
      <c r="AD7423" t="s">
        <v>283</v>
      </c>
      <c r="AE7423" t="s">
        <v>283</v>
      </c>
      <c r="AF7423" t="s">
        <v>283</v>
      </c>
      <c r="AG7423" t="s">
        <v>4564</v>
      </c>
      <c r="AH7423" t="s">
        <v>3101</v>
      </c>
      <c r="AI7423" t="s">
        <v>8865</v>
      </c>
      <c r="AJ7423" t="s">
        <v>3870</v>
      </c>
      <c r="AK7423" t="s">
        <v>35046</v>
      </c>
      <c r="AL7423" s="13" t="s">
        <v>1899</v>
      </c>
      <c r="AM7423">
        <v>0</v>
      </c>
      <c r="AN7423" s="15" t="s">
        <v>26</v>
      </c>
    </row>
    <row r="7424" spans="1:40" x14ac:dyDescent="0.3">
      <c r="A7424" s="10" t="str">
        <f>HYPERLINK("http://www.washoecounty.gov/assessor/cama/?parid=526-122-13&amp;CardNumber=1","526-122-13")</f>
        <v>526-122-13</v>
      </c>
      <c r="B7424" t="s">
        <v>4655</v>
      </c>
      <c r="C7424" t="s">
        <v>35047</v>
      </c>
      <c r="D7424" s="1">
        <v>40263</v>
      </c>
      <c r="E7424" s="2">
        <v>1575000</v>
      </c>
      <c r="F7424" t="s">
        <v>2900</v>
      </c>
      <c r="G7424" s="17" t="str">
        <f>HYPERLINK("https://www.washoecounty.gov/assessor/cama/?command=sales&amp;parid=52612213","3864468")</f>
        <v>3864468</v>
      </c>
      <c r="H7424" t="s">
        <v>1242</v>
      </c>
      <c r="I7424">
        <v>0</v>
      </c>
      <c r="J7424">
        <v>0</v>
      </c>
      <c r="K7424" t="s">
        <v>4655</v>
      </c>
      <c r="L7424" t="s">
        <v>4655</v>
      </c>
      <c r="M7424" s="2">
        <v>0</v>
      </c>
      <c r="N7424" t="s">
        <v>4655</v>
      </c>
      <c r="O7424">
        <v>0</v>
      </c>
      <c r="P7424">
        <v>0</v>
      </c>
      <c r="Q7424">
        <v>0</v>
      </c>
      <c r="R7424" t="s">
        <v>4655</v>
      </c>
      <c r="S7424" t="s">
        <v>4655</v>
      </c>
      <c r="T7424" t="s">
        <v>4655</v>
      </c>
      <c r="U7424" t="s">
        <v>4655</v>
      </c>
      <c r="V7424" s="2">
        <v>0</v>
      </c>
      <c r="W7424" t="s">
        <v>4655</v>
      </c>
      <c r="X7424" s="2">
        <v>0</v>
      </c>
      <c r="Y7424">
        <v>12</v>
      </c>
      <c r="Z7424" t="s">
        <v>5200</v>
      </c>
      <c r="AA7424" s="3">
        <v>0.20332874357700301</v>
      </c>
      <c r="AB7424" t="s">
        <v>35008</v>
      </c>
      <c r="AC7424" t="s">
        <v>4562</v>
      </c>
      <c r="AD7424" t="s">
        <v>35009</v>
      </c>
      <c r="AE7424" t="s">
        <v>4655</v>
      </c>
      <c r="AF7424" t="s">
        <v>3869</v>
      </c>
      <c r="AG7424" t="s">
        <v>2567</v>
      </c>
      <c r="AH7424">
        <v>74114</v>
      </c>
      <c r="AI7424" t="s">
        <v>35010</v>
      </c>
      <c r="AJ7424" t="s">
        <v>3870</v>
      </c>
      <c r="AK7424" t="s">
        <v>35048</v>
      </c>
      <c r="AL7424" s="13" t="s">
        <v>1899</v>
      </c>
      <c r="AM7424">
        <v>0</v>
      </c>
      <c r="AN7424" s="15" t="s">
        <v>26</v>
      </c>
    </row>
    <row r="7425" spans="1:40" x14ac:dyDescent="0.3">
      <c r="A7425" s="10" t="str">
        <f>HYPERLINK("http://www.washoecounty.gov/assessor/cama/?parid=526-122-14&amp;CardNumber=1","526-122-14")</f>
        <v>526-122-14</v>
      </c>
      <c r="B7425" t="s">
        <v>4655</v>
      </c>
      <c r="C7425" t="s">
        <v>35049</v>
      </c>
      <c r="D7425" s="1">
        <v>40263</v>
      </c>
      <c r="E7425" s="2">
        <v>1575000</v>
      </c>
      <c r="F7425" t="s">
        <v>2900</v>
      </c>
      <c r="G7425" s="17" t="str">
        <f>HYPERLINK("https://www.washoecounty.gov/assessor/cama/?command=sales&amp;parid=52612214","3864468")</f>
        <v>3864468</v>
      </c>
      <c r="H7425" t="s">
        <v>1242</v>
      </c>
      <c r="I7425">
        <v>0</v>
      </c>
      <c r="J7425">
        <v>0</v>
      </c>
      <c r="K7425" t="s">
        <v>4655</v>
      </c>
      <c r="L7425" t="s">
        <v>4655</v>
      </c>
      <c r="M7425" s="2">
        <v>0</v>
      </c>
      <c r="N7425" t="s">
        <v>4655</v>
      </c>
      <c r="O7425">
        <v>0</v>
      </c>
      <c r="P7425">
        <v>0</v>
      </c>
      <c r="Q7425">
        <v>0</v>
      </c>
      <c r="R7425" t="s">
        <v>4655</v>
      </c>
      <c r="S7425" t="s">
        <v>4655</v>
      </c>
      <c r="T7425" t="s">
        <v>4655</v>
      </c>
      <c r="U7425" t="s">
        <v>4655</v>
      </c>
      <c r="V7425" s="2">
        <v>0</v>
      </c>
      <c r="W7425" t="s">
        <v>4655</v>
      </c>
      <c r="X7425" s="2">
        <v>0</v>
      </c>
      <c r="Y7425">
        <v>12</v>
      </c>
      <c r="Z7425" t="s">
        <v>5200</v>
      </c>
      <c r="AA7425" s="3">
        <v>0.16170798242092099</v>
      </c>
      <c r="AB7425" t="s">
        <v>35008</v>
      </c>
      <c r="AC7425" t="s">
        <v>4562</v>
      </c>
      <c r="AD7425" t="s">
        <v>35009</v>
      </c>
      <c r="AE7425" t="s">
        <v>4655</v>
      </c>
      <c r="AF7425" t="s">
        <v>3869</v>
      </c>
      <c r="AG7425" t="s">
        <v>2567</v>
      </c>
      <c r="AH7425">
        <v>74114</v>
      </c>
      <c r="AI7425" t="s">
        <v>35010</v>
      </c>
      <c r="AJ7425" t="s">
        <v>3870</v>
      </c>
      <c r="AK7425" t="s">
        <v>35050</v>
      </c>
      <c r="AL7425" s="13" t="s">
        <v>1899</v>
      </c>
      <c r="AM7425" s="14">
        <v>0</v>
      </c>
      <c r="AN7425" s="15" t="s">
        <v>26</v>
      </c>
    </row>
    <row r="7426" spans="1:40" x14ac:dyDescent="0.3">
      <c r="A7426" s="10" t="str">
        <f>HYPERLINK("http://www.washoecounty.gov/assessor/cama/?parid=526-122-16&amp;CardNumber=1","526-122-16")</f>
        <v>526-122-16</v>
      </c>
      <c r="B7426" t="s">
        <v>4655</v>
      </c>
      <c r="C7426" t="s">
        <v>35051</v>
      </c>
      <c r="D7426" s="1">
        <v>40263</v>
      </c>
      <c r="E7426" s="2">
        <v>1575000</v>
      </c>
      <c r="F7426" t="s">
        <v>2900</v>
      </c>
      <c r="G7426" s="17" t="str">
        <f>HYPERLINK("https://www.washoecounty.gov/assessor/cama/?command=sales&amp;parid=52612216","3864468")</f>
        <v>3864468</v>
      </c>
      <c r="H7426" t="s">
        <v>1242</v>
      </c>
      <c r="I7426">
        <v>0</v>
      </c>
      <c r="J7426">
        <v>0</v>
      </c>
      <c r="K7426" t="s">
        <v>4655</v>
      </c>
      <c r="L7426" t="s">
        <v>4655</v>
      </c>
      <c r="M7426" s="2">
        <v>0</v>
      </c>
      <c r="N7426" t="s">
        <v>4655</v>
      </c>
      <c r="O7426">
        <v>0</v>
      </c>
      <c r="P7426">
        <v>0</v>
      </c>
      <c r="Q7426">
        <v>0</v>
      </c>
      <c r="R7426" t="s">
        <v>4655</v>
      </c>
      <c r="S7426" t="s">
        <v>4655</v>
      </c>
      <c r="T7426" t="s">
        <v>4655</v>
      </c>
      <c r="U7426" t="s">
        <v>4655</v>
      </c>
      <c r="V7426" s="2">
        <v>0</v>
      </c>
      <c r="W7426" t="s">
        <v>4655</v>
      </c>
      <c r="X7426" s="2">
        <v>0</v>
      </c>
      <c r="Y7426">
        <v>12</v>
      </c>
      <c r="Z7426" t="s">
        <v>5200</v>
      </c>
      <c r="AA7426" s="3">
        <v>0.24038107693195301</v>
      </c>
      <c r="AB7426" t="s">
        <v>35008</v>
      </c>
      <c r="AC7426" t="s">
        <v>4562</v>
      </c>
      <c r="AD7426" t="s">
        <v>35009</v>
      </c>
      <c r="AE7426" t="s">
        <v>4655</v>
      </c>
      <c r="AF7426" t="s">
        <v>3869</v>
      </c>
      <c r="AG7426" t="s">
        <v>2567</v>
      </c>
      <c r="AH7426">
        <v>74114</v>
      </c>
      <c r="AI7426" t="s">
        <v>35010</v>
      </c>
      <c r="AJ7426" t="s">
        <v>3870</v>
      </c>
      <c r="AK7426" t="s">
        <v>35052</v>
      </c>
      <c r="AL7426" s="13" t="s">
        <v>1899</v>
      </c>
      <c r="AM7426">
        <v>0</v>
      </c>
      <c r="AN7426" s="15" t="s">
        <v>26</v>
      </c>
    </row>
    <row r="7427" spans="1:40" x14ac:dyDescent="0.3">
      <c r="A7427" s="10" t="str">
        <f>HYPERLINK("http://www.washoecounty.gov/assessor/cama/?parid=526-122-19&amp;CardNumber=1","526-122-19")</f>
        <v>526-122-19</v>
      </c>
      <c r="B7427" t="s">
        <v>4655</v>
      </c>
      <c r="C7427" t="s">
        <v>35053</v>
      </c>
      <c r="D7427" s="1">
        <v>40263</v>
      </c>
      <c r="E7427" s="2">
        <v>1575000</v>
      </c>
      <c r="F7427" t="s">
        <v>2900</v>
      </c>
      <c r="G7427" s="17" t="str">
        <f>HYPERLINK("https://www.washoecounty.gov/assessor/cama/?command=sales&amp;parid=52612219","3864468")</f>
        <v>3864468</v>
      </c>
      <c r="H7427" t="s">
        <v>1242</v>
      </c>
      <c r="I7427">
        <v>0</v>
      </c>
      <c r="J7427">
        <v>0</v>
      </c>
      <c r="K7427" t="s">
        <v>4655</v>
      </c>
      <c r="L7427" t="s">
        <v>4655</v>
      </c>
      <c r="M7427" s="2">
        <v>0</v>
      </c>
      <c r="N7427" t="s">
        <v>4655</v>
      </c>
      <c r="O7427">
        <v>0</v>
      </c>
      <c r="P7427">
        <v>0</v>
      </c>
      <c r="Q7427">
        <v>0</v>
      </c>
      <c r="R7427" t="s">
        <v>4655</v>
      </c>
      <c r="S7427" t="s">
        <v>4655</v>
      </c>
      <c r="T7427" t="s">
        <v>4655</v>
      </c>
      <c r="U7427" t="s">
        <v>4655</v>
      </c>
      <c r="V7427" s="2">
        <v>0</v>
      </c>
      <c r="W7427" t="s">
        <v>4655</v>
      </c>
      <c r="X7427" s="2">
        <v>0</v>
      </c>
      <c r="Y7427">
        <v>12</v>
      </c>
      <c r="Z7427" t="s">
        <v>5200</v>
      </c>
      <c r="AA7427" s="3">
        <v>0.20443066954612699</v>
      </c>
      <c r="AB7427" t="s">
        <v>35008</v>
      </c>
      <c r="AC7427" t="s">
        <v>4562</v>
      </c>
      <c r="AD7427" t="s">
        <v>35009</v>
      </c>
      <c r="AE7427" t="s">
        <v>4655</v>
      </c>
      <c r="AF7427" t="s">
        <v>3869</v>
      </c>
      <c r="AG7427" t="s">
        <v>2567</v>
      </c>
      <c r="AH7427">
        <v>74114</v>
      </c>
      <c r="AI7427" t="s">
        <v>35010</v>
      </c>
      <c r="AJ7427" t="s">
        <v>3870</v>
      </c>
      <c r="AK7427" t="s">
        <v>35054</v>
      </c>
      <c r="AL7427" s="13" t="s">
        <v>1899</v>
      </c>
      <c r="AM7427">
        <v>0</v>
      </c>
      <c r="AN7427" s="15" t="s">
        <v>26</v>
      </c>
    </row>
    <row r="7428" spans="1:40" x14ac:dyDescent="0.3">
      <c r="A7428" s="10" t="str">
        <f>HYPERLINK("http://www.washoecounty.gov/assessor/cama/?parid=526-122-20&amp;CardNumber=1","526-122-20")</f>
        <v>526-122-20</v>
      </c>
      <c r="B7428" t="s">
        <v>4655</v>
      </c>
      <c r="C7428" t="s">
        <v>35055</v>
      </c>
      <c r="D7428" s="1">
        <v>40263</v>
      </c>
      <c r="E7428" s="2">
        <v>1575000</v>
      </c>
      <c r="F7428" t="s">
        <v>2900</v>
      </c>
      <c r="G7428" s="17" t="str">
        <f>HYPERLINK("https://www.washoecounty.gov/assessor/cama/?command=sales&amp;parid=52612220","3864468")</f>
        <v>3864468</v>
      </c>
      <c r="H7428" t="s">
        <v>1242</v>
      </c>
      <c r="I7428">
        <v>0</v>
      </c>
      <c r="J7428">
        <v>0</v>
      </c>
      <c r="K7428" t="s">
        <v>4655</v>
      </c>
      <c r="L7428" t="s">
        <v>4655</v>
      </c>
      <c r="M7428" s="2">
        <v>0</v>
      </c>
      <c r="N7428" t="s">
        <v>4655</v>
      </c>
      <c r="O7428">
        <v>0</v>
      </c>
      <c r="P7428">
        <v>0</v>
      </c>
      <c r="Q7428">
        <v>0</v>
      </c>
      <c r="R7428" t="s">
        <v>4655</v>
      </c>
      <c r="S7428" t="s">
        <v>4655</v>
      </c>
      <c r="T7428" t="s">
        <v>4655</v>
      </c>
      <c r="U7428" t="s">
        <v>4655</v>
      </c>
      <c r="V7428" s="2">
        <v>0</v>
      </c>
      <c r="W7428" t="s">
        <v>4655</v>
      </c>
      <c r="X7428" s="2">
        <v>0</v>
      </c>
      <c r="Y7428">
        <v>12</v>
      </c>
      <c r="Z7428" t="s">
        <v>5200</v>
      </c>
      <c r="AA7428" s="3">
        <v>0.18193297088146199</v>
      </c>
      <c r="AB7428" t="s">
        <v>35008</v>
      </c>
      <c r="AC7428" t="s">
        <v>4562</v>
      </c>
      <c r="AD7428" t="s">
        <v>35009</v>
      </c>
      <c r="AE7428" t="s">
        <v>4655</v>
      </c>
      <c r="AF7428" t="s">
        <v>3869</v>
      </c>
      <c r="AG7428" t="s">
        <v>2567</v>
      </c>
      <c r="AH7428">
        <v>74114</v>
      </c>
      <c r="AI7428" t="s">
        <v>35010</v>
      </c>
      <c r="AJ7428" t="s">
        <v>3870</v>
      </c>
      <c r="AK7428" t="s">
        <v>35056</v>
      </c>
      <c r="AL7428" s="13" t="s">
        <v>1899</v>
      </c>
      <c r="AM7428">
        <v>0</v>
      </c>
      <c r="AN7428" s="15" t="s">
        <v>26</v>
      </c>
    </row>
    <row r="7429" spans="1:40" x14ac:dyDescent="0.3">
      <c r="A7429" s="10" t="str">
        <f>HYPERLINK("http://www.washoecounty.gov/assessor/cama/?parid=526-122-21&amp;CardNumber=1","526-122-21")</f>
        <v>526-122-21</v>
      </c>
      <c r="B7429" t="s">
        <v>4655</v>
      </c>
      <c r="C7429" t="s">
        <v>35057</v>
      </c>
      <c r="D7429" s="1">
        <v>40263</v>
      </c>
      <c r="E7429" s="2">
        <v>1575000</v>
      </c>
      <c r="F7429" t="s">
        <v>2900</v>
      </c>
      <c r="G7429" s="17" t="str">
        <f>HYPERLINK("https://www.washoecounty.gov/assessor/cama/?command=sales&amp;parid=52612221","3864468")</f>
        <v>3864468</v>
      </c>
      <c r="H7429" t="s">
        <v>1242</v>
      </c>
      <c r="I7429">
        <v>0</v>
      </c>
      <c r="J7429">
        <v>0</v>
      </c>
      <c r="K7429" t="s">
        <v>4655</v>
      </c>
      <c r="L7429" t="s">
        <v>4655</v>
      </c>
      <c r="M7429" s="2">
        <v>0</v>
      </c>
      <c r="N7429" t="s">
        <v>4655</v>
      </c>
      <c r="O7429">
        <v>0</v>
      </c>
      <c r="P7429">
        <v>0</v>
      </c>
      <c r="Q7429">
        <v>0</v>
      </c>
      <c r="R7429" t="s">
        <v>4655</v>
      </c>
      <c r="S7429" t="s">
        <v>4655</v>
      </c>
      <c r="T7429" t="s">
        <v>4655</v>
      </c>
      <c r="U7429" t="s">
        <v>4655</v>
      </c>
      <c r="V7429" s="2">
        <v>0</v>
      </c>
      <c r="W7429" t="s">
        <v>4655</v>
      </c>
      <c r="X7429" s="2">
        <v>0</v>
      </c>
      <c r="Y7429">
        <v>12</v>
      </c>
      <c r="Z7429" t="s">
        <v>5200</v>
      </c>
      <c r="AA7429" s="3">
        <v>0.18181818723678589</v>
      </c>
      <c r="AB7429" t="s">
        <v>35008</v>
      </c>
      <c r="AC7429" t="s">
        <v>4562</v>
      </c>
      <c r="AD7429" t="s">
        <v>35009</v>
      </c>
      <c r="AE7429" t="s">
        <v>4655</v>
      </c>
      <c r="AF7429" t="s">
        <v>3869</v>
      </c>
      <c r="AG7429" t="s">
        <v>2567</v>
      </c>
      <c r="AH7429">
        <v>74114</v>
      </c>
      <c r="AI7429" t="s">
        <v>35010</v>
      </c>
      <c r="AJ7429" t="s">
        <v>3870</v>
      </c>
      <c r="AK7429" t="s">
        <v>35058</v>
      </c>
      <c r="AL7429" s="13" t="s">
        <v>1899</v>
      </c>
      <c r="AM7429" s="14">
        <v>0</v>
      </c>
      <c r="AN7429" s="15" t="s">
        <v>26</v>
      </c>
    </row>
    <row r="7430" spans="1:40" x14ac:dyDescent="0.3">
      <c r="A7430" s="10" t="str">
        <f>HYPERLINK("http://www.washoecounty.gov/assessor/cama/?parid=526-122-22&amp;CardNumber=1","526-122-22")</f>
        <v>526-122-22</v>
      </c>
      <c r="B7430" t="s">
        <v>4655</v>
      </c>
      <c r="C7430" t="s">
        <v>35059</v>
      </c>
      <c r="D7430" s="1">
        <v>40263</v>
      </c>
      <c r="E7430" s="2">
        <v>1575000</v>
      </c>
      <c r="F7430" t="s">
        <v>2900</v>
      </c>
      <c r="G7430" s="17" t="str">
        <f>HYPERLINK("https://www.washoecounty.gov/assessor/cama/?command=sales&amp;parid=52612222","3864468")</f>
        <v>3864468</v>
      </c>
      <c r="H7430" t="s">
        <v>1242</v>
      </c>
      <c r="I7430">
        <v>0</v>
      </c>
      <c r="J7430">
        <v>0</v>
      </c>
      <c r="K7430" t="s">
        <v>4655</v>
      </c>
      <c r="L7430" t="s">
        <v>4655</v>
      </c>
      <c r="M7430" s="2">
        <v>0</v>
      </c>
      <c r="N7430" t="s">
        <v>4655</v>
      </c>
      <c r="O7430">
        <v>0</v>
      </c>
      <c r="P7430">
        <v>0</v>
      </c>
      <c r="Q7430">
        <v>0</v>
      </c>
      <c r="R7430" t="s">
        <v>4655</v>
      </c>
      <c r="S7430" t="s">
        <v>4655</v>
      </c>
      <c r="T7430" t="s">
        <v>4655</v>
      </c>
      <c r="U7430" t="s">
        <v>4655</v>
      </c>
      <c r="V7430" s="2">
        <v>0</v>
      </c>
      <c r="W7430" t="s">
        <v>4655</v>
      </c>
      <c r="X7430" s="2">
        <v>0</v>
      </c>
      <c r="Y7430">
        <v>12</v>
      </c>
      <c r="Z7430" t="s">
        <v>5200</v>
      </c>
      <c r="AA7430" s="3">
        <v>0.17986685037612901</v>
      </c>
      <c r="AB7430" t="s">
        <v>35008</v>
      </c>
      <c r="AC7430" t="s">
        <v>4562</v>
      </c>
      <c r="AD7430" t="s">
        <v>35009</v>
      </c>
      <c r="AE7430" t="s">
        <v>4655</v>
      </c>
      <c r="AF7430" t="s">
        <v>3869</v>
      </c>
      <c r="AG7430" t="s">
        <v>2567</v>
      </c>
      <c r="AH7430">
        <v>74114</v>
      </c>
      <c r="AI7430" t="s">
        <v>35010</v>
      </c>
      <c r="AJ7430" t="s">
        <v>3870</v>
      </c>
      <c r="AK7430" t="s">
        <v>35060</v>
      </c>
      <c r="AL7430" s="13" t="s">
        <v>1899</v>
      </c>
      <c r="AM7430" s="14">
        <v>0</v>
      </c>
      <c r="AN7430" s="15" t="s">
        <v>26</v>
      </c>
    </row>
    <row r="7431" spans="1:40" x14ac:dyDescent="0.3">
      <c r="A7431" s="10" t="str">
        <f>HYPERLINK("http://www.washoecounty.gov/assessor/cama/?parid=526-122-23&amp;CardNumber=1","526-122-23")</f>
        <v>526-122-23</v>
      </c>
      <c r="B7431" t="s">
        <v>4655</v>
      </c>
      <c r="C7431" t="s">
        <v>35061</v>
      </c>
      <c r="D7431" s="1">
        <v>40263</v>
      </c>
      <c r="E7431" s="2">
        <v>1575000</v>
      </c>
      <c r="F7431" t="s">
        <v>2900</v>
      </c>
      <c r="G7431" s="17" t="str">
        <f>HYPERLINK("https://www.washoecounty.gov/assessor/cama/?command=sales&amp;parid=52612223","3864468")</f>
        <v>3864468</v>
      </c>
      <c r="H7431" t="s">
        <v>1242</v>
      </c>
      <c r="I7431">
        <v>0</v>
      </c>
      <c r="J7431">
        <v>0</v>
      </c>
      <c r="K7431" t="s">
        <v>4655</v>
      </c>
      <c r="L7431" t="s">
        <v>4655</v>
      </c>
      <c r="M7431" s="2">
        <v>0</v>
      </c>
      <c r="N7431" t="s">
        <v>4655</v>
      </c>
      <c r="O7431">
        <v>0</v>
      </c>
      <c r="P7431">
        <v>0</v>
      </c>
      <c r="Q7431">
        <v>0</v>
      </c>
      <c r="R7431" t="s">
        <v>4655</v>
      </c>
      <c r="S7431" t="s">
        <v>4655</v>
      </c>
      <c r="T7431" t="s">
        <v>4655</v>
      </c>
      <c r="U7431" t="s">
        <v>4655</v>
      </c>
      <c r="V7431" s="2">
        <v>0</v>
      </c>
      <c r="W7431" t="s">
        <v>4655</v>
      </c>
      <c r="X7431" s="2">
        <v>0</v>
      </c>
      <c r="Y7431">
        <v>12</v>
      </c>
      <c r="Z7431" t="s">
        <v>5200</v>
      </c>
      <c r="AA7431" s="3">
        <v>0.17986685037612901</v>
      </c>
      <c r="AB7431" t="s">
        <v>35008</v>
      </c>
      <c r="AC7431" t="s">
        <v>4562</v>
      </c>
      <c r="AD7431" t="s">
        <v>35009</v>
      </c>
      <c r="AE7431" t="s">
        <v>4655</v>
      </c>
      <c r="AF7431" t="s">
        <v>3869</v>
      </c>
      <c r="AG7431" t="s">
        <v>2567</v>
      </c>
      <c r="AH7431">
        <v>74114</v>
      </c>
      <c r="AI7431" t="s">
        <v>35010</v>
      </c>
      <c r="AJ7431" t="s">
        <v>3870</v>
      </c>
      <c r="AK7431" t="s">
        <v>35062</v>
      </c>
      <c r="AL7431" s="13" t="s">
        <v>1899</v>
      </c>
      <c r="AM7431" s="14">
        <v>0</v>
      </c>
      <c r="AN7431" s="15" t="s">
        <v>26</v>
      </c>
    </row>
    <row r="7432" spans="1:40" x14ac:dyDescent="0.3">
      <c r="A7432" s="10" t="str">
        <f>HYPERLINK("http://www.washoecounty.gov/assessor/cama/?parid=526-122-24&amp;CardNumber=1","526-122-24")</f>
        <v>526-122-24</v>
      </c>
      <c r="B7432" t="s">
        <v>4655</v>
      </c>
      <c r="C7432" t="s">
        <v>35063</v>
      </c>
      <c r="D7432" s="1">
        <v>40263</v>
      </c>
      <c r="E7432" s="2">
        <v>1575000</v>
      </c>
      <c r="F7432" t="s">
        <v>2900</v>
      </c>
      <c r="G7432" s="17" t="str">
        <f>HYPERLINK("https://www.washoecounty.gov/assessor/cama/?command=sales&amp;parid=52612224","3864468")</f>
        <v>3864468</v>
      </c>
      <c r="H7432" t="s">
        <v>1242</v>
      </c>
      <c r="I7432">
        <v>0</v>
      </c>
      <c r="J7432">
        <v>0</v>
      </c>
      <c r="K7432" t="s">
        <v>4655</v>
      </c>
      <c r="L7432" t="s">
        <v>4655</v>
      </c>
      <c r="M7432" s="2">
        <v>0</v>
      </c>
      <c r="N7432" t="s">
        <v>4655</v>
      </c>
      <c r="O7432">
        <v>0</v>
      </c>
      <c r="P7432">
        <v>0</v>
      </c>
      <c r="Q7432">
        <v>0</v>
      </c>
      <c r="R7432" t="s">
        <v>4655</v>
      </c>
      <c r="S7432" t="s">
        <v>4655</v>
      </c>
      <c r="T7432" t="s">
        <v>4655</v>
      </c>
      <c r="U7432" t="s">
        <v>4655</v>
      </c>
      <c r="V7432" s="2">
        <v>0</v>
      </c>
      <c r="W7432" t="s">
        <v>4655</v>
      </c>
      <c r="X7432" s="2">
        <v>0</v>
      </c>
      <c r="Y7432">
        <v>12</v>
      </c>
      <c r="Z7432" t="s">
        <v>5200</v>
      </c>
      <c r="AA7432" s="3">
        <v>0.18181818723678589</v>
      </c>
      <c r="AB7432" t="s">
        <v>35008</v>
      </c>
      <c r="AC7432" t="s">
        <v>4562</v>
      </c>
      <c r="AD7432" t="s">
        <v>35009</v>
      </c>
      <c r="AE7432" t="s">
        <v>4655</v>
      </c>
      <c r="AF7432" t="s">
        <v>3869</v>
      </c>
      <c r="AG7432" t="s">
        <v>2567</v>
      </c>
      <c r="AH7432">
        <v>74114</v>
      </c>
      <c r="AI7432" t="s">
        <v>35010</v>
      </c>
      <c r="AJ7432" t="s">
        <v>3870</v>
      </c>
      <c r="AK7432" t="s">
        <v>35064</v>
      </c>
      <c r="AL7432" s="13" t="s">
        <v>1899</v>
      </c>
      <c r="AM7432" s="14">
        <v>0</v>
      </c>
      <c r="AN7432" s="15" t="s">
        <v>26</v>
      </c>
    </row>
    <row r="7433" spans="1:40" x14ac:dyDescent="0.3">
      <c r="A7433" s="10" t="str">
        <f>HYPERLINK("http://www.washoecounty.gov/assessor/cama/?parid=526-122-25&amp;CardNumber=1","526-122-25")</f>
        <v>526-122-25</v>
      </c>
      <c r="B7433" t="s">
        <v>4655</v>
      </c>
      <c r="C7433" t="s">
        <v>35065</v>
      </c>
      <c r="D7433" s="1">
        <v>40263</v>
      </c>
      <c r="E7433" s="2">
        <v>1575000</v>
      </c>
      <c r="F7433" t="s">
        <v>2900</v>
      </c>
      <c r="G7433" s="17" t="str">
        <f>HYPERLINK("https://www.washoecounty.gov/assessor/cama/?command=sales&amp;parid=52612225","3864468")</f>
        <v>3864468</v>
      </c>
      <c r="H7433" t="s">
        <v>1242</v>
      </c>
      <c r="I7433">
        <v>0</v>
      </c>
      <c r="J7433">
        <v>0</v>
      </c>
      <c r="K7433" t="s">
        <v>4655</v>
      </c>
      <c r="L7433" t="s">
        <v>4655</v>
      </c>
      <c r="M7433" s="2">
        <v>0</v>
      </c>
      <c r="N7433" t="s">
        <v>4655</v>
      </c>
      <c r="O7433">
        <v>0</v>
      </c>
      <c r="P7433">
        <v>0</v>
      </c>
      <c r="Q7433">
        <v>0</v>
      </c>
      <c r="R7433" t="s">
        <v>4655</v>
      </c>
      <c r="S7433" t="s">
        <v>4655</v>
      </c>
      <c r="T7433" t="s">
        <v>4655</v>
      </c>
      <c r="U7433" t="s">
        <v>4655</v>
      </c>
      <c r="V7433" s="2">
        <v>0</v>
      </c>
      <c r="W7433" t="s">
        <v>4655</v>
      </c>
      <c r="X7433" s="2">
        <v>0</v>
      </c>
      <c r="Y7433">
        <v>12</v>
      </c>
      <c r="Z7433" t="s">
        <v>5200</v>
      </c>
      <c r="AA7433" s="3">
        <v>0.18181818723678589</v>
      </c>
      <c r="AB7433" t="s">
        <v>35008</v>
      </c>
      <c r="AC7433" t="s">
        <v>4562</v>
      </c>
      <c r="AD7433" t="s">
        <v>35009</v>
      </c>
      <c r="AE7433" t="s">
        <v>4655</v>
      </c>
      <c r="AF7433" t="s">
        <v>3869</v>
      </c>
      <c r="AG7433" t="s">
        <v>2567</v>
      </c>
      <c r="AH7433">
        <v>74114</v>
      </c>
      <c r="AI7433" t="s">
        <v>35010</v>
      </c>
      <c r="AJ7433" t="s">
        <v>3870</v>
      </c>
      <c r="AK7433" t="s">
        <v>35066</v>
      </c>
      <c r="AL7433" s="13" t="s">
        <v>1899</v>
      </c>
      <c r="AM7433">
        <v>0</v>
      </c>
      <c r="AN7433" s="15" t="s">
        <v>26</v>
      </c>
    </row>
    <row r="7434" spans="1:40" x14ac:dyDescent="0.3">
      <c r="A7434" s="10" t="str">
        <f>HYPERLINK("http://www.washoecounty.gov/assessor/cama/?parid=526-122-26&amp;CardNumber=1","526-122-26")</f>
        <v>526-122-26</v>
      </c>
      <c r="B7434" t="s">
        <v>4655</v>
      </c>
      <c r="C7434" t="s">
        <v>35067</v>
      </c>
      <c r="D7434" s="1">
        <v>40263</v>
      </c>
      <c r="E7434" s="2">
        <v>1575000</v>
      </c>
      <c r="F7434" t="s">
        <v>2900</v>
      </c>
      <c r="G7434" s="17" t="str">
        <f>HYPERLINK("https://www.washoecounty.gov/assessor/cama/?command=sales&amp;parid=52612226","3864468")</f>
        <v>3864468</v>
      </c>
      <c r="H7434" t="s">
        <v>1242</v>
      </c>
      <c r="I7434">
        <v>0</v>
      </c>
      <c r="J7434">
        <v>0</v>
      </c>
      <c r="K7434" t="s">
        <v>4655</v>
      </c>
      <c r="L7434" t="s">
        <v>4655</v>
      </c>
      <c r="M7434" s="2">
        <v>0</v>
      </c>
      <c r="N7434" t="s">
        <v>4655</v>
      </c>
      <c r="O7434">
        <v>0</v>
      </c>
      <c r="P7434">
        <v>0</v>
      </c>
      <c r="Q7434">
        <v>0</v>
      </c>
      <c r="R7434" t="s">
        <v>4655</v>
      </c>
      <c r="S7434" t="s">
        <v>4655</v>
      </c>
      <c r="T7434" t="s">
        <v>4655</v>
      </c>
      <c r="U7434" t="s">
        <v>4655</v>
      </c>
      <c r="V7434" s="2">
        <v>0</v>
      </c>
      <c r="W7434" t="s">
        <v>4655</v>
      </c>
      <c r="X7434" s="2">
        <v>0</v>
      </c>
      <c r="Y7434">
        <v>12</v>
      </c>
      <c r="Z7434" t="s">
        <v>5200</v>
      </c>
      <c r="AA7434" s="3">
        <v>0.18551422655582428</v>
      </c>
      <c r="AB7434" t="s">
        <v>35008</v>
      </c>
      <c r="AC7434" t="s">
        <v>4562</v>
      </c>
      <c r="AD7434" t="s">
        <v>35009</v>
      </c>
      <c r="AE7434" t="s">
        <v>4655</v>
      </c>
      <c r="AF7434" t="s">
        <v>3869</v>
      </c>
      <c r="AG7434" t="s">
        <v>2567</v>
      </c>
      <c r="AH7434">
        <v>74114</v>
      </c>
      <c r="AI7434" t="s">
        <v>35010</v>
      </c>
      <c r="AJ7434" t="s">
        <v>3870</v>
      </c>
      <c r="AK7434" t="s">
        <v>35068</v>
      </c>
      <c r="AL7434" s="13" t="s">
        <v>1899</v>
      </c>
      <c r="AM7434" s="14">
        <v>0</v>
      </c>
      <c r="AN7434" s="15" t="s">
        <v>26</v>
      </c>
    </row>
    <row r="7435" spans="1:40" x14ac:dyDescent="0.3">
      <c r="A7435" s="10" t="str">
        <f>HYPERLINK("http://www.washoecounty.gov/assessor/cama/?parid=526-122-27&amp;CardNumber=1","526-122-27")</f>
        <v>526-122-27</v>
      </c>
      <c r="B7435" t="s">
        <v>4655</v>
      </c>
      <c r="C7435" t="s">
        <v>35069</v>
      </c>
      <c r="D7435" s="1">
        <v>40263</v>
      </c>
      <c r="E7435" s="2">
        <v>1575000</v>
      </c>
      <c r="F7435" t="s">
        <v>2900</v>
      </c>
      <c r="G7435" s="17" t="str">
        <f>HYPERLINK("https://www.washoecounty.gov/assessor/cama/?command=sales&amp;parid=52612227","3864468")</f>
        <v>3864468</v>
      </c>
      <c r="H7435" t="s">
        <v>1242</v>
      </c>
      <c r="I7435">
        <v>0</v>
      </c>
      <c r="J7435">
        <v>0</v>
      </c>
      <c r="K7435" t="s">
        <v>4655</v>
      </c>
      <c r="L7435" t="s">
        <v>4655</v>
      </c>
      <c r="M7435" s="2">
        <v>0</v>
      </c>
      <c r="N7435" t="s">
        <v>4655</v>
      </c>
      <c r="O7435">
        <v>0</v>
      </c>
      <c r="P7435">
        <v>0</v>
      </c>
      <c r="Q7435">
        <v>0</v>
      </c>
      <c r="R7435" t="s">
        <v>4655</v>
      </c>
      <c r="S7435" t="s">
        <v>4655</v>
      </c>
      <c r="T7435" t="s">
        <v>4655</v>
      </c>
      <c r="U7435" t="s">
        <v>4655</v>
      </c>
      <c r="V7435" s="2">
        <v>0</v>
      </c>
      <c r="W7435" t="s">
        <v>4655</v>
      </c>
      <c r="X7435" s="2">
        <v>0</v>
      </c>
      <c r="Y7435">
        <v>12</v>
      </c>
      <c r="Z7435" t="s">
        <v>5200</v>
      </c>
      <c r="AA7435" s="3">
        <v>0.25174471735954285</v>
      </c>
      <c r="AB7435" t="s">
        <v>35008</v>
      </c>
      <c r="AC7435" t="s">
        <v>4562</v>
      </c>
      <c r="AD7435" t="s">
        <v>35009</v>
      </c>
      <c r="AE7435" t="s">
        <v>4655</v>
      </c>
      <c r="AF7435" t="s">
        <v>3869</v>
      </c>
      <c r="AG7435" t="s">
        <v>2567</v>
      </c>
      <c r="AH7435">
        <v>74114</v>
      </c>
      <c r="AI7435" t="s">
        <v>35010</v>
      </c>
      <c r="AJ7435" t="s">
        <v>3870</v>
      </c>
      <c r="AK7435" t="s">
        <v>35070</v>
      </c>
      <c r="AL7435" s="13" t="s">
        <v>1899</v>
      </c>
      <c r="AM7435" s="14">
        <v>0</v>
      </c>
      <c r="AN7435" s="15" t="s">
        <v>26</v>
      </c>
    </row>
    <row r="7436" spans="1:40" x14ac:dyDescent="0.3">
      <c r="A7436" s="10" t="str">
        <f>HYPERLINK("http://www.washoecounty.gov/assessor/cama/?parid=526-122-28&amp;CardNumber=1","526-122-28")</f>
        <v>526-122-28</v>
      </c>
      <c r="B7436" t="s">
        <v>4655</v>
      </c>
      <c r="C7436" t="s">
        <v>35071</v>
      </c>
      <c r="D7436" s="1">
        <v>40263</v>
      </c>
      <c r="E7436" s="2">
        <v>1575000</v>
      </c>
      <c r="F7436" t="s">
        <v>2900</v>
      </c>
      <c r="G7436" s="17" t="str">
        <f>HYPERLINK("https://www.washoecounty.gov/assessor/cama/?command=sales&amp;parid=52612228","3864468")</f>
        <v>3864468</v>
      </c>
      <c r="H7436" t="s">
        <v>1242</v>
      </c>
      <c r="I7436">
        <v>0</v>
      </c>
      <c r="J7436">
        <v>0</v>
      </c>
      <c r="K7436" t="s">
        <v>4655</v>
      </c>
      <c r="L7436" t="s">
        <v>4655</v>
      </c>
      <c r="M7436" s="2">
        <v>0</v>
      </c>
      <c r="N7436" t="s">
        <v>4655</v>
      </c>
      <c r="O7436">
        <v>0</v>
      </c>
      <c r="P7436">
        <v>0</v>
      </c>
      <c r="Q7436">
        <v>0</v>
      </c>
      <c r="R7436" t="s">
        <v>4655</v>
      </c>
      <c r="S7436" t="s">
        <v>4655</v>
      </c>
      <c r="T7436" t="s">
        <v>4655</v>
      </c>
      <c r="U7436" t="s">
        <v>4655</v>
      </c>
      <c r="V7436" s="2">
        <v>0</v>
      </c>
      <c r="W7436" t="s">
        <v>4655</v>
      </c>
      <c r="X7436" s="2">
        <v>0</v>
      </c>
      <c r="Y7436">
        <v>12</v>
      </c>
      <c r="Z7436" t="s">
        <v>1491</v>
      </c>
      <c r="AA7436" s="3">
        <v>0.27812212705612199</v>
      </c>
      <c r="AB7436" t="s">
        <v>35008</v>
      </c>
      <c r="AC7436" t="s">
        <v>4562</v>
      </c>
      <c r="AD7436" t="s">
        <v>35009</v>
      </c>
      <c r="AE7436" t="s">
        <v>4655</v>
      </c>
      <c r="AF7436" t="s">
        <v>3869</v>
      </c>
      <c r="AG7436" t="s">
        <v>2567</v>
      </c>
      <c r="AH7436">
        <v>74114</v>
      </c>
      <c r="AI7436" t="s">
        <v>35010</v>
      </c>
      <c r="AJ7436" t="s">
        <v>3870</v>
      </c>
      <c r="AK7436" t="s">
        <v>35072</v>
      </c>
      <c r="AL7436" s="13" t="s">
        <v>1899</v>
      </c>
      <c r="AM7436">
        <v>0</v>
      </c>
      <c r="AN7436" s="15" t="s">
        <v>26</v>
      </c>
    </row>
    <row r="7437" spans="1:40" x14ac:dyDescent="0.3">
      <c r="A7437" s="10" t="str">
        <f>HYPERLINK("http://www.washoecounty.gov/assessor/cama/?parid=526-122-29&amp;CardNumber=1","526-122-29")</f>
        <v>526-122-29</v>
      </c>
      <c r="B7437" t="s">
        <v>4655</v>
      </c>
      <c r="C7437" t="s">
        <v>35073</v>
      </c>
      <c r="D7437" s="1">
        <v>40263</v>
      </c>
      <c r="E7437" s="2">
        <v>1575000</v>
      </c>
      <c r="F7437" t="s">
        <v>2900</v>
      </c>
      <c r="G7437" s="17" t="str">
        <f>HYPERLINK("https://www.washoecounty.gov/assessor/cama/?command=sales&amp;parid=52612229","3864468")</f>
        <v>3864468</v>
      </c>
      <c r="H7437" t="s">
        <v>1242</v>
      </c>
      <c r="I7437">
        <v>0</v>
      </c>
      <c r="J7437">
        <v>0</v>
      </c>
      <c r="K7437" t="s">
        <v>4655</v>
      </c>
      <c r="L7437" t="s">
        <v>4655</v>
      </c>
      <c r="M7437" s="2">
        <v>0</v>
      </c>
      <c r="N7437" t="s">
        <v>4655</v>
      </c>
      <c r="O7437">
        <v>0</v>
      </c>
      <c r="P7437">
        <v>0</v>
      </c>
      <c r="Q7437">
        <v>0</v>
      </c>
      <c r="R7437" t="s">
        <v>4655</v>
      </c>
      <c r="S7437" t="s">
        <v>4655</v>
      </c>
      <c r="T7437" t="s">
        <v>4655</v>
      </c>
      <c r="U7437" t="s">
        <v>4655</v>
      </c>
      <c r="V7437" s="2">
        <v>0</v>
      </c>
      <c r="W7437" t="s">
        <v>4655</v>
      </c>
      <c r="X7437" s="2">
        <v>0</v>
      </c>
      <c r="Y7437">
        <v>12</v>
      </c>
      <c r="Z7437" t="s">
        <v>5200</v>
      </c>
      <c r="AA7437" s="3">
        <v>0.176010102033615</v>
      </c>
      <c r="AB7437" t="s">
        <v>35008</v>
      </c>
      <c r="AC7437" t="s">
        <v>4562</v>
      </c>
      <c r="AD7437" t="s">
        <v>35009</v>
      </c>
      <c r="AE7437" t="s">
        <v>4655</v>
      </c>
      <c r="AF7437" t="s">
        <v>3869</v>
      </c>
      <c r="AG7437" t="s">
        <v>2567</v>
      </c>
      <c r="AH7437">
        <v>74114</v>
      </c>
      <c r="AI7437" t="s">
        <v>35010</v>
      </c>
      <c r="AJ7437" t="s">
        <v>3870</v>
      </c>
      <c r="AK7437" t="s">
        <v>35074</v>
      </c>
      <c r="AL7437" s="13" t="s">
        <v>1899</v>
      </c>
      <c r="AM7437">
        <v>0</v>
      </c>
      <c r="AN7437" s="15" t="s">
        <v>26</v>
      </c>
    </row>
    <row r="7438" spans="1:40" x14ac:dyDescent="0.3">
      <c r="A7438" s="10" t="str">
        <f>HYPERLINK("http://www.washoecounty.gov/assessor/cama/?parid=526-122-30&amp;CardNumber=1","526-122-30")</f>
        <v>526-122-30</v>
      </c>
      <c r="B7438" t="s">
        <v>4655</v>
      </c>
      <c r="C7438" t="s">
        <v>35075</v>
      </c>
      <c r="D7438" s="1">
        <v>40263</v>
      </c>
      <c r="E7438" s="2">
        <v>1575000</v>
      </c>
      <c r="F7438" t="s">
        <v>2900</v>
      </c>
      <c r="G7438" s="17" t="str">
        <f>HYPERLINK("https://www.washoecounty.gov/assessor/cama/?command=sales&amp;parid=52612230","3864468")</f>
        <v>3864468</v>
      </c>
      <c r="H7438" t="s">
        <v>1242</v>
      </c>
      <c r="I7438">
        <v>0</v>
      </c>
      <c r="J7438">
        <v>0</v>
      </c>
      <c r="K7438" t="s">
        <v>4655</v>
      </c>
      <c r="L7438" t="s">
        <v>4655</v>
      </c>
      <c r="M7438" s="2">
        <v>0</v>
      </c>
      <c r="N7438" t="s">
        <v>4655</v>
      </c>
      <c r="O7438">
        <v>0</v>
      </c>
      <c r="P7438">
        <v>0</v>
      </c>
      <c r="Q7438">
        <v>0</v>
      </c>
      <c r="R7438" t="s">
        <v>4655</v>
      </c>
      <c r="S7438" t="s">
        <v>4655</v>
      </c>
      <c r="T7438" t="s">
        <v>4655</v>
      </c>
      <c r="U7438" t="s">
        <v>4655</v>
      </c>
      <c r="V7438" s="2">
        <v>0</v>
      </c>
      <c r="W7438" t="s">
        <v>4655</v>
      </c>
      <c r="X7438" s="2">
        <v>0</v>
      </c>
      <c r="Y7438">
        <v>12</v>
      </c>
      <c r="Z7438" t="s">
        <v>1491</v>
      </c>
      <c r="AA7438" s="3">
        <v>0.14233241975307501</v>
      </c>
      <c r="AB7438" t="s">
        <v>35008</v>
      </c>
      <c r="AC7438" t="s">
        <v>4562</v>
      </c>
      <c r="AD7438" t="s">
        <v>35009</v>
      </c>
      <c r="AE7438" t="s">
        <v>4655</v>
      </c>
      <c r="AF7438" t="s">
        <v>3869</v>
      </c>
      <c r="AG7438" t="s">
        <v>2567</v>
      </c>
      <c r="AH7438">
        <v>74114</v>
      </c>
      <c r="AI7438" t="s">
        <v>35010</v>
      </c>
      <c r="AJ7438" t="s">
        <v>3870</v>
      </c>
      <c r="AK7438" t="s">
        <v>35076</v>
      </c>
      <c r="AL7438" s="13" t="s">
        <v>1899</v>
      </c>
      <c r="AM7438">
        <v>0</v>
      </c>
      <c r="AN7438" s="15" t="s">
        <v>26</v>
      </c>
    </row>
    <row r="7439" spans="1:40" x14ac:dyDescent="0.3">
      <c r="A7439" s="10" t="str">
        <f>HYPERLINK("http://www.washoecounty.gov/assessor/cama/?parid=526-122-31&amp;CardNumber=1","526-122-31")</f>
        <v>526-122-31</v>
      </c>
      <c r="B7439" t="s">
        <v>4655</v>
      </c>
      <c r="C7439" t="s">
        <v>35077</v>
      </c>
      <c r="D7439" s="1">
        <v>40263</v>
      </c>
      <c r="E7439" s="2">
        <v>1575000</v>
      </c>
      <c r="F7439" t="s">
        <v>2900</v>
      </c>
      <c r="G7439" s="17" t="str">
        <f>HYPERLINK("https://www.washoecounty.gov/assessor/cama/?command=sales&amp;parid=52612231","3864468")</f>
        <v>3864468</v>
      </c>
      <c r="H7439" t="s">
        <v>1242</v>
      </c>
      <c r="I7439">
        <v>0</v>
      </c>
      <c r="J7439">
        <v>0</v>
      </c>
      <c r="K7439" t="s">
        <v>4655</v>
      </c>
      <c r="L7439" t="s">
        <v>4655</v>
      </c>
      <c r="M7439" s="2">
        <v>0</v>
      </c>
      <c r="N7439" t="s">
        <v>4655</v>
      </c>
      <c r="O7439">
        <v>0</v>
      </c>
      <c r="P7439">
        <v>0</v>
      </c>
      <c r="Q7439">
        <v>0</v>
      </c>
      <c r="R7439" t="s">
        <v>4655</v>
      </c>
      <c r="S7439" t="s">
        <v>4655</v>
      </c>
      <c r="T7439" t="s">
        <v>4655</v>
      </c>
      <c r="U7439" t="s">
        <v>4655</v>
      </c>
      <c r="V7439" s="2">
        <v>0</v>
      </c>
      <c r="W7439" t="s">
        <v>4655</v>
      </c>
      <c r="X7439" s="2">
        <v>0</v>
      </c>
      <c r="Y7439">
        <v>12</v>
      </c>
      <c r="Z7439" t="s">
        <v>5200</v>
      </c>
      <c r="AA7439" s="3">
        <v>0.14921946823596954</v>
      </c>
      <c r="AB7439" t="s">
        <v>35008</v>
      </c>
      <c r="AC7439" t="s">
        <v>4562</v>
      </c>
      <c r="AD7439" t="s">
        <v>35009</v>
      </c>
      <c r="AE7439" t="s">
        <v>4655</v>
      </c>
      <c r="AF7439" t="s">
        <v>3869</v>
      </c>
      <c r="AG7439" t="s">
        <v>2567</v>
      </c>
      <c r="AH7439">
        <v>74114</v>
      </c>
      <c r="AI7439" t="s">
        <v>35010</v>
      </c>
      <c r="AJ7439" t="s">
        <v>3870</v>
      </c>
      <c r="AK7439" t="s">
        <v>35078</v>
      </c>
      <c r="AL7439" s="13" t="s">
        <v>1899</v>
      </c>
      <c r="AM7439">
        <v>0</v>
      </c>
      <c r="AN7439" s="15" t="s">
        <v>26</v>
      </c>
    </row>
    <row r="7440" spans="1:40" x14ac:dyDescent="0.3">
      <c r="A7440" s="10" t="str">
        <f>HYPERLINK("http://www.washoecounty.gov/assessor/cama/?parid=526-122-32&amp;CardNumber=1","526-122-32")</f>
        <v>526-122-32</v>
      </c>
      <c r="B7440" t="s">
        <v>4655</v>
      </c>
      <c r="C7440" t="s">
        <v>35079</v>
      </c>
      <c r="D7440" s="1">
        <v>40263</v>
      </c>
      <c r="E7440" s="2">
        <v>1575000</v>
      </c>
      <c r="F7440" t="s">
        <v>2900</v>
      </c>
      <c r="G7440" s="17" t="str">
        <f>HYPERLINK("https://www.washoecounty.gov/assessor/cama/?command=sales&amp;parid=52612232","3864468")</f>
        <v>3864468</v>
      </c>
      <c r="H7440" t="s">
        <v>1242</v>
      </c>
      <c r="I7440">
        <v>0</v>
      </c>
      <c r="J7440">
        <v>0</v>
      </c>
      <c r="K7440" t="s">
        <v>4655</v>
      </c>
      <c r="L7440" t="s">
        <v>4655</v>
      </c>
      <c r="M7440" s="2">
        <v>0</v>
      </c>
      <c r="N7440" t="s">
        <v>4655</v>
      </c>
      <c r="O7440">
        <v>0</v>
      </c>
      <c r="P7440">
        <v>0</v>
      </c>
      <c r="Q7440">
        <v>0</v>
      </c>
      <c r="R7440" t="s">
        <v>4655</v>
      </c>
      <c r="S7440" t="s">
        <v>4655</v>
      </c>
      <c r="T7440" t="s">
        <v>4655</v>
      </c>
      <c r="U7440" t="s">
        <v>4655</v>
      </c>
      <c r="V7440" s="2">
        <v>0</v>
      </c>
      <c r="W7440" t="s">
        <v>4655</v>
      </c>
      <c r="X7440" s="2">
        <v>0</v>
      </c>
      <c r="Y7440">
        <v>12</v>
      </c>
      <c r="Z7440" t="s">
        <v>5200</v>
      </c>
      <c r="AA7440" s="3">
        <v>0.156106516718864</v>
      </c>
      <c r="AB7440" t="s">
        <v>35008</v>
      </c>
      <c r="AC7440" t="s">
        <v>4562</v>
      </c>
      <c r="AD7440" t="s">
        <v>35009</v>
      </c>
      <c r="AE7440" t="s">
        <v>4655</v>
      </c>
      <c r="AF7440" t="s">
        <v>3869</v>
      </c>
      <c r="AG7440" t="s">
        <v>2567</v>
      </c>
      <c r="AH7440">
        <v>74114</v>
      </c>
      <c r="AI7440" t="s">
        <v>35010</v>
      </c>
      <c r="AJ7440" t="s">
        <v>3870</v>
      </c>
      <c r="AK7440" t="s">
        <v>35080</v>
      </c>
      <c r="AL7440" s="13" t="s">
        <v>1899</v>
      </c>
      <c r="AM7440">
        <v>0</v>
      </c>
      <c r="AN7440" s="15" t="s">
        <v>26</v>
      </c>
    </row>
    <row r="7441" spans="1:40" x14ac:dyDescent="0.3">
      <c r="A7441" s="10" t="str">
        <f>HYPERLINK("http://www.washoecounty.gov/assessor/cama/?parid=526-122-33&amp;CardNumber=1","526-122-33")</f>
        <v>526-122-33</v>
      </c>
      <c r="B7441" t="s">
        <v>4655</v>
      </c>
      <c r="C7441" t="s">
        <v>35081</v>
      </c>
      <c r="D7441" s="1">
        <v>40263</v>
      </c>
      <c r="E7441" s="2">
        <v>1575000</v>
      </c>
      <c r="F7441" t="s">
        <v>2900</v>
      </c>
      <c r="G7441" s="17" t="str">
        <f>HYPERLINK("https://www.washoecounty.gov/assessor/cama/?command=sales&amp;parid=52612233","3864468")</f>
        <v>3864468</v>
      </c>
      <c r="H7441" t="s">
        <v>1242</v>
      </c>
      <c r="I7441">
        <v>0</v>
      </c>
      <c r="J7441">
        <v>0</v>
      </c>
      <c r="K7441" t="s">
        <v>4655</v>
      </c>
      <c r="L7441" t="s">
        <v>4655</v>
      </c>
      <c r="M7441" s="2">
        <v>0</v>
      </c>
      <c r="N7441" t="s">
        <v>4655</v>
      </c>
      <c r="O7441">
        <v>0</v>
      </c>
      <c r="P7441">
        <v>0</v>
      </c>
      <c r="Q7441">
        <v>0</v>
      </c>
      <c r="R7441" t="s">
        <v>4655</v>
      </c>
      <c r="S7441" t="s">
        <v>4655</v>
      </c>
      <c r="T7441" t="s">
        <v>4655</v>
      </c>
      <c r="U7441" t="s">
        <v>4655</v>
      </c>
      <c r="V7441" s="2">
        <v>0</v>
      </c>
      <c r="W7441" t="s">
        <v>4655</v>
      </c>
      <c r="X7441" s="2">
        <v>0</v>
      </c>
      <c r="Y7441">
        <v>12</v>
      </c>
      <c r="Z7441" t="s">
        <v>1491</v>
      </c>
      <c r="AA7441" s="3">
        <v>0.17217630147933999</v>
      </c>
      <c r="AB7441" t="s">
        <v>35008</v>
      </c>
      <c r="AC7441" t="s">
        <v>4562</v>
      </c>
      <c r="AD7441" t="s">
        <v>35009</v>
      </c>
      <c r="AE7441" t="s">
        <v>4655</v>
      </c>
      <c r="AF7441" t="s">
        <v>3869</v>
      </c>
      <c r="AG7441" t="s">
        <v>2567</v>
      </c>
      <c r="AH7441">
        <v>74114</v>
      </c>
      <c r="AI7441" t="s">
        <v>35010</v>
      </c>
      <c r="AJ7441" t="s">
        <v>3870</v>
      </c>
      <c r="AK7441" t="s">
        <v>35082</v>
      </c>
      <c r="AL7441" s="13" t="s">
        <v>1899</v>
      </c>
      <c r="AM7441" s="14">
        <v>0</v>
      </c>
      <c r="AN7441" s="15" t="s">
        <v>26</v>
      </c>
    </row>
    <row r="7442" spans="1:40" x14ac:dyDescent="0.3">
      <c r="A7442" s="10" t="str">
        <f>HYPERLINK("http://www.washoecounty.gov/assessor/cama/?parid=526-122-34&amp;CardNumber=1","526-122-34")</f>
        <v>526-122-34</v>
      </c>
      <c r="B7442" t="s">
        <v>4655</v>
      </c>
      <c r="C7442" t="s">
        <v>35083</v>
      </c>
      <c r="D7442" s="1">
        <v>40263</v>
      </c>
      <c r="E7442" s="2">
        <v>1575000</v>
      </c>
      <c r="F7442" t="s">
        <v>2900</v>
      </c>
      <c r="G7442" s="17" t="str">
        <f>HYPERLINK("https://www.washoecounty.gov/assessor/cama/?command=sales&amp;parid=52612234","3864468")</f>
        <v>3864468</v>
      </c>
      <c r="H7442" t="s">
        <v>1242</v>
      </c>
      <c r="I7442">
        <v>0</v>
      </c>
      <c r="J7442">
        <v>0</v>
      </c>
      <c r="K7442" t="s">
        <v>4655</v>
      </c>
      <c r="L7442" t="s">
        <v>4655</v>
      </c>
      <c r="M7442" s="2">
        <v>0</v>
      </c>
      <c r="N7442" t="s">
        <v>4655</v>
      </c>
      <c r="O7442">
        <v>0</v>
      </c>
      <c r="P7442">
        <v>0</v>
      </c>
      <c r="Q7442">
        <v>0</v>
      </c>
      <c r="R7442" t="s">
        <v>4655</v>
      </c>
      <c r="S7442" t="s">
        <v>4655</v>
      </c>
      <c r="T7442" t="s">
        <v>4655</v>
      </c>
      <c r="U7442" t="s">
        <v>4655</v>
      </c>
      <c r="V7442" s="2">
        <v>0</v>
      </c>
      <c r="W7442" t="s">
        <v>4655</v>
      </c>
      <c r="X7442" s="2">
        <v>0</v>
      </c>
      <c r="Y7442">
        <v>12</v>
      </c>
      <c r="Z7442" t="s">
        <v>5200</v>
      </c>
      <c r="AA7442" s="3">
        <v>0.14921946823596954</v>
      </c>
      <c r="AB7442" t="s">
        <v>35008</v>
      </c>
      <c r="AC7442" t="s">
        <v>4562</v>
      </c>
      <c r="AD7442" t="s">
        <v>35009</v>
      </c>
      <c r="AE7442" t="s">
        <v>4655</v>
      </c>
      <c r="AF7442" t="s">
        <v>3869</v>
      </c>
      <c r="AG7442" t="s">
        <v>2567</v>
      </c>
      <c r="AH7442">
        <v>74114</v>
      </c>
      <c r="AI7442" t="s">
        <v>35010</v>
      </c>
      <c r="AJ7442" t="s">
        <v>3870</v>
      </c>
      <c r="AK7442" t="s">
        <v>35084</v>
      </c>
      <c r="AL7442" s="13" t="s">
        <v>1899</v>
      </c>
      <c r="AM7442">
        <v>0</v>
      </c>
      <c r="AN7442" s="15" t="s">
        <v>26</v>
      </c>
    </row>
    <row r="7443" spans="1:40" x14ac:dyDescent="0.3">
      <c r="A7443" s="10" t="str">
        <f>HYPERLINK("http://www.washoecounty.gov/assessor/cama/?parid=526-122-35&amp;CardNumber=1","526-122-35")</f>
        <v>526-122-35</v>
      </c>
      <c r="B7443" t="s">
        <v>4655</v>
      </c>
      <c r="C7443" t="s">
        <v>35085</v>
      </c>
      <c r="D7443" s="1">
        <v>40263</v>
      </c>
      <c r="E7443" s="2">
        <v>1575000</v>
      </c>
      <c r="F7443" t="s">
        <v>2900</v>
      </c>
      <c r="G7443" s="17" t="str">
        <f>HYPERLINK("https://www.washoecounty.gov/assessor/cama/?command=sales&amp;parid=52612235","3864468")</f>
        <v>3864468</v>
      </c>
      <c r="H7443" t="s">
        <v>1242</v>
      </c>
      <c r="I7443">
        <v>0</v>
      </c>
      <c r="J7443">
        <v>0</v>
      </c>
      <c r="K7443" t="s">
        <v>4655</v>
      </c>
      <c r="L7443" t="s">
        <v>4655</v>
      </c>
      <c r="M7443" s="2">
        <v>0</v>
      </c>
      <c r="N7443" t="s">
        <v>4655</v>
      </c>
      <c r="O7443">
        <v>0</v>
      </c>
      <c r="P7443">
        <v>0</v>
      </c>
      <c r="Q7443">
        <v>0</v>
      </c>
      <c r="R7443" t="s">
        <v>4655</v>
      </c>
      <c r="S7443" t="s">
        <v>4655</v>
      </c>
      <c r="T7443" t="s">
        <v>4655</v>
      </c>
      <c r="U7443" t="s">
        <v>4655</v>
      </c>
      <c r="V7443" s="2">
        <v>0</v>
      </c>
      <c r="W7443" t="s">
        <v>4655</v>
      </c>
      <c r="X7443" s="2">
        <v>0</v>
      </c>
      <c r="Y7443">
        <v>12</v>
      </c>
      <c r="Z7443" t="s">
        <v>5200</v>
      </c>
      <c r="AA7443" s="3">
        <v>0.14233241975307501</v>
      </c>
      <c r="AB7443" t="s">
        <v>35008</v>
      </c>
      <c r="AC7443" t="s">
        <v>4562</v>
      </c>
      <c r="AD7443" t="s">
        <v>35009</v>
      </c>
      <c r="AE7443" t="s">
        <v>4655</v>
      </c>
      <c r="AF7443" t="s">
        <v>3869</v>
      </c>
      <c r="AG7443" t="s">
        <v>2567</v>
      </c>
      <c r="AH7443">
        <v>74114</v>
      </c>
      <c r="AI7443" t="s">
        <v>35010</v>
      </c>
      <c r="AJ7443" t="s">
        <v>3870</v>
      </c>
      <c r="AK7443" t="s">
        <v>35086</v>
      </c>
      <c r="AL7443" s="13" t="s">
        <v>1899</v>
      </c>
      <c r="AM7443" s="14">
        <v>0</v>
      </c>
      <c r="AN7443" s="15" t="s">
        <v>26</v>
      </c>
    </row>
    <row r="7444" spans="1:40" x14ac:dyDescent="0.3">
      <c r="A7444" s="10" t="str">
        <f>HYPERLINK("http://www.washoecounty.gov/assessor/cama/?parid=526-122-36&amp;CardNumber=1","526-122-36")</f>
        <v>526-122-36</v>
      </c>
      <c r="B7444" t="s">
        <v>4655</v>
      </c>
      <c r="C7444" t="s">
        <v>35087</v>
      </c>
      <c r="D7444" s="1">
        <v>40263</v>
      </c>
      <c r="E7444" s="2">
        <v>1575000</v>
      </c>
      <c r="F7444" t="s">
        <v>2900</v>
      </c>
      <c r="G7444" s="17" t="str">
        <f>HYPERLINK("https://www.washoecounty.gov/assessor/cama/?command=sales&amp;parid=52612236","3864468")</f>
        <v>3864468</v>
      </c>
      <c r="H7444" t="s">
        <v>1242</v>
      </c>
      <c r="I7444">
        <v>0</v>
      </c>
      <c r="J7444">
        <v>0</v>
      </c>
      <c r="K7444" t="s">
        <v>4655</v>
      </c>
      <c r="L7444" t="s">
        <v>4655</v>
      </c>
      <c r="M7444" s="2">
        <v>0</v>
      </c>
      <c r="N7444" t="s">
        <v>4655</v>
      </c>
      <c r="O7444">
        <v>0</v>
      </c>
      <c r="P7444">
        <v>0</v>
      </c>
      <c r="Q7444">
        <v>0</v>
      </c>
      <c r="R7444" t="s">
        <v>4655</v>
      </c>
      <c r="S7444" t="s">
        <v>4655</v>
      </c>
      <c r="T7444" t="s">
        <v>4655</v>
      </c>
      <c r="U7444" t="s">
        <v>4655</v>
      </c>
      <c r="V7444" s="2">
        <v>0</v>
      </c>
      <c r="W7444" t="s">
        <v>4655</v>
      </c>
      <c r="X7444" s="2">
        <v>0</v>
      </c>
      <c r="Y7444">
        <v>12</v>
      </c>
      <c r="Z7444" t="s">
        <v>1491</v>
      </c>
      <c r="AA7444" s="3">
        <v>0.14233241975307501</v>
      </c>
      <c r="AB7444" t="s">
        <v>35008</v>
      </c>
      <c r="AC7444" t="s">
        <v>4562</v>
      </c>
      <c r="AD7444" t="s">
        <v>35009</v>
      </c>
      <c r="AE7444" t="s">
        <v>4655</v>
      </c>
      <c r="AF7444" t="s">
        <v>3869</v>
      </c>
      <c r="AG7444" t="s">
        <v>2567</v>
      </c>
      <c r="AH7444">
        <v>74114</v>
      </c>
      <c r="AI7444" t="s">
        <v>35010</v>
      </c>
      <c r="AJ7444" t="s">
        <v>3870</v>
      </c>
      <c r="AK7444" t="s">
        <v>35088</v>
      </c>
      <c r="AL7444" s="13" t="s">
        <v>1899</v>
      </c>
      <c r="AM7444">
        <v>0</v>
      </c>
      <c r="AN7444" s="15" t="s">
        <v>26</v>
      </c>
    </row>
    <row r="7445" spans="1:40" x14ac:dyDescent="0.3">
      <c r="A7445" s="10" t="str">
        <f>HYPERLINK("http://www.washoecounty.gov/assessor/cama/?parid=526-122-37&amp;CardNumber=1","526-122-37")</f>
        <v>526-122-37</v>
      </c>
      <c r="B7445" t="s">
        <v>4655</v>
      </c>
      <c r="C7445" t="s">
        <v>35089</v>
      </c>
      <c r="D7445" s="1">
        <v>40263</v>
      </c>
      <c r="E7445" s="2">
        <v>1575000</v>
      </c>
      <c r="F7445" t="s">
        <v>2900</v>
      </c>
      <c r="G7445" s="17" t="str">
        <f>HYPERLINK("https://www.washoecounty.gov/assessor/cama/?command=sales&amp;parid=52612237","3864468")</f>
        <v>3864468</v>
      </c>
      <c r="H7445" t="s">
        <v>1242</v>
      </c>
      <c r="I7445">
        <v>0</v>
      </c>
      <c r="J7445">
        <v>0</v>
      </c>
      <c r="K7445" t="s">
        <v>4655</v>
      </c>
      <c r="L7445" t="s">
        <v>4655</v>
      </c>
      <c r="M7445" s="2">
        <v>0</v>
      </c>
      <c r="N7445" t="s">
        <v>4655</v>
      </c>
      <c r="O7445">
        <v>0</v>
      </c>
      <c r="P7445">
        <v>0</v>
      </c>
      <c r="Q7445">
        <v>0</v>
      </c>
      <c r="R7445" t="s">
        <v>4655</v>
      </c>
      <c r="S7445" t="s">
        <v>4655</v>
      </c>
      <c r="T7445" t="s">
        <v>4655</v>
      </c>
      <c r="U7445" t="s">
        <v>4655</v>
      </c>
      <c r="V7445" s="2">
        <v>0</v>
      </c>
      <c r="W7445" t="s">
        <v>4655</v>
      </c>
      <c r="X7445" s="2">
        <v>0</v>
      </c>
      <c r="Y7445">
        <v>12</v>
      </c>
      <c r="Z7445" t="s">
        <v>5200</v>
      </c>
      <c r="AA7445" s="3">
        <v>0.14921946823596954</v>
      </c>
      <c r="AB7445" t="s">
        <v>35008</v>
      </c>
      <c r="AC7445" t="s">
        <v>4562</v>
      </c>
      <c r="AD7445" t="s">
        <v>35009</v>
      </c>
      <c r="AE7445" t="s">
        <v>4655</v>
      </c>
      <c r="AF7445" t="s">
        <v>3869</v>
      </c>
      <c r="AG7445" t="s">
        <v>2567</v>
      </c>
      <c r="AH7445">
        <v>74114</v>
      </c>
      <c r="AI7445" t="s">
        <v>35010</v>
      </c>
      <c r="AJ7445" t="s">
        <v>3870</v>
      </c>
      <c r="AK7445" t="s">
        <v>35090</v>
      </c>
      <c r="AL7445" s="13" t="s">
        <v>1899</v>
      </c>
      <c r="AM7445">
        <v>0</v>
      </c>
      <c r="AN7445" s="15" t="s">
        <v>26</v>
      </c>
    </row>
    <row r="7446" spans="1:40" x14ac:dyDescent="0.3">
      <c r="A7446" s="10" t="str">
        <f>HYPERLINK("http://www.washoecounty.gov/assessor/cama/?parid=526-122-38&amp;CardNumber=1","526-122-38")</f>
        <v>526-122-38</v>
      </c>
      <c r="B7446" t="s">
        <v>4655</v>
      </c>
      <c r="C7446" t="s">
        <v>35091</v>
      </c>
      <c r="D7446" s="1">
        <v>40263</v>
      </c>
      <c r="E7446" s="2">
        <v>1575000</v>
      </c>
      <c r="F7446" t="s">
        <v>2900</v>
      </c>
      <c r="G7446" s="17" t="str">
        <f>HYPERLINK("https://www.washoecounty.gov/assessor/cama/?command=sales&amp;parid=52612238","3864468")</f>
        <v>3864468</v>
      </c>
      <c r="H7446" t="s">
        <v>1242</v>
      </c>
      <c r="I7446">
        <v>0</v>
      </c>
      <c r="J7446">
        <v>0</v>
      </c>
      <c r="K7446" t="s">
        <v>4655</v>
      </c>
      <c r="L7446" t="s">
        <v>4655</v>
      </c>
      <c r="M7446" s="2">
        <v>0</v>
      </c>
      <c r="N7446" t="s">
        <v>4655</v>
      </c>
      <c r="O7446">
        <v>0</v>
      </c>
      <c r="P7446">
        <v>0</v>
      </c>
      <c r="Q7446">
        <v>0</v>
      </c>
      <c r="R7446" t="s">
        <v>4655</v>
      </c>
      <c r="S7446" t="s">
        <v>4655</v>
      </c>
      <c r="T7446" t="s">
        <v>4655</v>
      </c>
      <c r="U7446" t="s">
        <v>4655</v>
      </c>
      <c r="V7446" s="2">
        <v>0</v>
      </c>
      <c r="W7446" t="s">
        <v>4655</v>
      </c>
      <c r="X7446" s="2">
        <v>0</v>
      </c>
      <c r="Y7446">
        <v>12</v>
      </c>
      <c r="Z7446" t="s">
        <v>5200</v>
      </c>
      <c r="AA7446" s="3">
        <v>0.17217630147933999</v>
      </c>
      <c r="AB7446" t="s">
        <v>35008</v>
      </c>
      <c r="AC7446" t="s">
        <v>4562</v>
      </c>
      <c r="AD7446" t="s">
        <v>35009</v>
      </c>
      <c r="AE7446" t="s">
        <v>4655</v>
      </c>
      <c r="AF7446" t="s">
        <v>3869</v>
      </c>
      <c r="AG7446" t="s">
        <v>2567</v>
      </c>
      <c r="AH7446">
        <v>74114</v>
      </c>
      <c r="AI7446" t="s">
        <v>35010</v>
      </c>
      <c r="AJ7446" t="s">
        <v>3870</v>
      </c>
      <c r="AK7446" t="s">
        <v>35092</v>
      </c>
      <c r="AL7446" s="13" t="s">
        <v>1899</v>
      </c>
      <c r="AM7446" s="14">
        <v>0</v>
      </c>
      <c r="AN7446" s="15" t="s">
        <v>26</v>
      </c>
    </row>
    <row r="7447" spans="1:40" x14ac:dyDescent="0.3">
      <c r="A7447" s="10" t="str">
        <f>HYPERLINK("http://www.washoecounty.gov/assessor/cama/?parid=526-122-39&amp;CardNumber=1","526-122-39")</f>
        <v>526-122-39</v>
      </c>
      <c r="B7447" t="s">
        <v>4655</v>
      </c>
      <c r="C7447" t="s">
        <v>35093</v>
      </c>
      <c r="D7447" s="1">
        <v>40263</v>
      </c>
      <c r="E7447" s="2">
        <v>1575000</v>
      </c>
      <c r="F7447" t="s">
        <v>2900</v>
      </c>
      <c r="G7447" s="17" t="str">
        <f>HYPERLINK("https://www.washoecounty.gov/assessor/cama/?command=sales&amp;parid=52612239","3864468")</f>
        <v>3864468</v>
      </c>
      <c r="H7447" t="s">
        <v>1242</v>
      </c>
      <c r="I7447">
        <v>0</v>
      </c>
      <c r="J7447">
        <v>0</v>
      </c>
      <c r="K7447" t="s">
        <v>4655</v>
      </c>
      <c r="L7447" t="s">
        <v>4655</v>
      </c>
      <c r="M7447" s="2">
        <v>0</v>
      </c>
      <c r="N7447" t="s">
        <v>4655</v>
      </c>
      <c r="O7447">
        <v>0</v>
      </c>
      <c r="P7447">
        <v>0</v>
      </c>
      <c r="Q7447">
        <v>0</v>
      </c>
      <c r="R7447" t="s">
        <v>4655</v>
      </c>
      <c r="S7447" t="s">
        <v>4655</v>
      </c>
      <c r="T7447" t="s">
        <v>4655</v>
      </c>
      <c r="U7447" t="s">
        <v>4655</v>
      </c>
      <c r="V7447" s="2">
        <v>0</v>
      </c>
      <c r="W7447" t="s">
        <v>4655</v>
      </c>
      <c r="X7447" s="2">
        <v>0</v>
      </c>
      <c r="Y7447">
        <v>12</v>
      </c>
      <c r="Z7447" t="s">
        <v>5200</v>
      </c>
      <c r="AA7447" s="3">
        <v>0.156106516718864</v>
      </c>
      <c r="AB7447" t="s">
        <v>35008</v>
      </c>
      <c r="AC7447" t="s">
        <v>4562</v>
      </c>
      <c r="AD7447" t="s">
        <v>35009</v>
      </c>
      <c r="AE7447" t="s">
        <v>4655</v>
      </c>
      <c r="AF7447" t="s">
        <v>3869</v>
      </c>
      <c r="AG7447" t="s">
        <v>2567</v>
      </c>
      <c r="AH7447">
        <v>74114</v>
      </c>
      <c r="AI7447" t="s">
        <v>35010</v>
      </c>
      <c r="AJ7447" t="s">
        <v>3870</v>
      </c>
      <c r="AK7447" t="s">
        <v>35094</v>
      </c>
      <c r="AL7447" s="13" t="s">
        <v>1899</v>
      </c>
      <c r="AM7447" s="14">
        <v>0</v>
      </c>
      <c r="AN7447" s="15" t="s">
        <v>26</v>
      </c>
    </row>
    <row r="7448" spans="1:40" x14ac:dyDescent="0.3">
      <c r="A7448" s="10" t="str">
        <f>HYPERLINK("http://www.washoecounty.gov/assessor/cama/?parid=526-122-40&amp;CardNumber=1","526-122-40")</f>
        <v>526-122-40</v>
      </c>
      <c r="B7448" t="s">
        <v>4655</v>
      </c>
      <c r="C7448" t="s">
        <v>35095</v>
      </c>
      <c r="D7448" s="1">
        <v>40263</v>
      </c>
      <c r="E7448" s="2">
        <v>1575000</v>
      </c>
      <c r="F7448" t="s">
        <v>2900</v>
      </c>
      <c r="G7448" s="17" t="str">
        <f>HYPERLINK("https://www.washoecounty.gov/assessor/cama/?command=sales&amp;parid=52612240","3864468")</f>
        <v>3864468</v>
      </c>
      <c r="H7448" t="s">
        <v>1242</v>
      </c>
      <c r="I7448">
        <v>0</v>
      </c>
      <c r="J7448">
        <v>0</v>
      </c>
      <c r="K7448" t="s">
        <v>4655</v>
      </c>
      <c r="L7448" t="s">
        <v>4655</v>
      </c>
      <c r="M7448" s="2">
        <v>0</v>
      </c>
      <c r="N7448" t="s">
        <v>4655</v>
      </c>
      <c r="O7448">
        <v>0</v>
      </c>
      <c r="P7448">
        <v>0</v>
      </c>
      <c r="Q7448">
        <v>0</v>
      </c>
      <c r="R7448" t="s">
        <v>4655</v>
      </c>
      <c r="S7448" t="s">
        <v>4655</v>
      </c>
      <c r="T7448" t="s">
        <v>4655</v>
      </c>
      <c r="U7448" t="s">
        <v>4655</v>
      </c>
      <c r="V7448" s="2">
        <v>0</v>
      </c>
      <c r="W7448" t="s">
        <v>4655</v>
      </c>
      <c r="X7448" s="2">
        <v>0</v>
      </c>
      <c r="Y7448">
        <v>12</v>
      </c>
      <c r="Z7448" t="s">
        <v>5200</v>
      </c>
      <c r="AA7448" s="3">
        <v>0.14921946823596954</v>
      </c>
      <c r="AB7448" t="s">
        <v>35008</v>
      </c>
      <c r="AC7448" t="s">
        <v>4562</v>
      </c>
      <c r="AD7448" t="s">
        <v>35009</v>
      </c>
      <c r="AE7448" t="s">
        <v>4655</v>
      </c>
      <c r="AF7448" t="s">
        <v>3869</v>
      </c>
      <c r="AG7448" t="s">
        <v>2567</v>
      </c>
      <c r="AH7448">
        <v>74114</v>
      </c>
      <c r="AI7448" t="s">
        <v>35010</v>
      </c>
      <c r="AJ7448" t="s">
        <v>3870</v>
      </c>
      <c r="AK7448" t="s">
        <v>35096</v>
      </c>
      <c r="AL7448" s="13" t="s">
        <v>1899</v>
      </c>
      <c r="AM7448" s="14">
        <v>0</v>
      </c>
      <c r="AN7448" s="15" t="s">
        <v>26</v>
      </c>
    </row>
    <row r="7449" spans="1:40" x14ac:dyDescent="0.3">
      <c r="A7449" s="10" t="str">
        <f>HYPERLINK("http://www.washoecounty.gov/assessor/cama/?parid=526-122-41&amp;CardNumber=1","526-122-41")</f>
        <v>526-122-41</v>
      </c>
      <c r="B7449" t="s">
        <v>4655</v>
      </c>
      <c r="C7449" t="s">
        <v>35097</v>
      </c>
      <c r="D7449" s="1">
        <v>40263</v>
      </c>
      <c r="E7449" s="2">
        <v>1575000</v>
      </c>
      <c r="F7449" t="s">
        <v>2900</v>
      </c>
      <c r="G7449" s="17" t="str">
        <f>HYPERLINK("https://www.washoecounty.gov/assessor/cama/?command=sales&amp;parid=52612241","3864468")</f>
        <v>3864468</v>
      </c>
      <c r="H7449" t="s">
        <v>1242</v>
      </c>
      <c r="I7449">
        <v>0</v>
      </c>
      <c r="J7449">
        <v>0</v>
      </c>
      <c r="K7449" t="s">
        <v>4655</v>
      </c>
      <c r="L7449" t="s">
        <v>4655</v>
      </c>
      <c r="M7449" s="2">
        <v>0</v>
      </c>
      <c r="N7449" t="s">
        <v>4655</v>
      </c>
      <c r="O7449">
        <v>0</v>
      </c>
      <c r="P7449">
        <v>0</v>
      </c>
      <c r="Q7449">
        <v>0</v>
      </c>
      <c r="R7449" t="s">
        <v>4655</v>
      </c>
      <c r="S7449" t="s">
        <v>4655</v>
      </c>
      <c r="T7449" t="s">
        <v>4655</v>
      </c>
      <c r="U7449" t="s">
        <v>4655</v>
      </c>
      <c r="V7449" s="2">
        <v>0</v>
      </c>
      <c r="W7449" t="s">
        <v>4655</v>
      </c>
      <c r="X7449" s="2">
        <v>0</v>
      </c>
      <c r="Y7449">
        <v>12</v>
      </c>
      <c r="Z7449" t="s">
        <v>5200</v>
      </c>
      <c r="AA7449" s="3">
        <v>0.14233241975307501</v>
      </c>
      <c r="AB7449" t="s">
        <v>35008</v>
      </c>
      <c r="AC7449" t="s">
        <v>4562</v>
      </c>
      <c r="AD7449" t="s">
        <v>35009</v>
      </c>
      <c r="AE7449" t="s">
        <v>4655</v>
      </c>
      <c r="AF7449" t="s">
        <v>3869</v>
      </c>
      <c r="AG7449" t="s">
        <v>2567</v>
      </c>
      <c r="AH7449">
        <v>74114</v>
      </c>
      <c r="AI7449" t="s">
        <v>35010</v>
      </c>
      <c r="AJ7449" t="s">
        <v>3870</v>
      </c>
      <c r="AK7449" t="s">
        <v>35098</v>
      </c>
      <c r="AL7449" s="13" t="s">
        <v>1899</v>
      </c>
      <c r="AM7449" s="14">
        <v>0</v>
      </c>
      <c r="AN7449" s="15" t="s">
        <v>26</v>
      </c>
    </row>
    <row r="7450" spans="1:40" x14ac:dyDescent="0.3">
      <c r="A7450" s="10" t="str">
        <f>HYPERLINK("http://www.washoecounty.gov/assessor/cama/?parid=526-122-42&amp;CardNumber=1","526-122-42")</f>
        <v>526-122-42</v>
      </c>
      <c r="B7450" t="s">
        <v>4655</v>
      </c>
      <c r="C7450" t="s">
        <v>35099</v>
      </c>
      <c r="D7450" s="1">
        <v>40263</v>
      </c>
      <c r="E7450" s="2">
        <v>1575000</v>
      </c>
      <c r="F7450" t="s">
        <v>2900</v>
      </c>
      <c r="G7450" s="17" t="str">
        <f>HYPERLINK("https://www.washoecounty.gov/assessor/cama/?command=sales&amp;parid=52612242","3864468")</f>
        <v>3864468</v>
      </c>
      <c r="H7450" t="s">
        <v>1242</v>
      </c>
      <c r="I7450">
        <v>0</v>
      </c>
      <c r="J7450">
        <v>0</v>
      </c>
      <c r="K7450" t="s">
        <v>4655</v>
      </c>
      <c r="L7450" t="s">
        <v>4655</v>
      </c>
      <c r="M7450" s="2">
        <v>0</v>
      </c>
      <c r="N7450" t="s">
        <v>4655</v>
      </c>
      <c r="O7450">
        <v>0</v>
      </c>
      <c r="P7450">
        <v>0</v>
      </c>
      <c r="Q7450">
        <v>0</v>
      </c>
      <c r="R7450" t="s">
        <v>4655</v>
      </c>
      <c r="S7450" t="s">
        <v>4655</v>
      </c>
      <c r="T7450" t="s">
        <v>4655</v>
      </c>
      <c r="U7450" t="s">
        <v>4655</v>
      </c>
      <c r="V7450" s="2">
        <v>0</v>
      </c>
      <c r="W7450" t="s">
        <v>4655</v>
      </c>
      <c r="X7450" s="2">
        <v>0</v>
      </c>
      <c r="Y7450">
        <v>12</v>
      </c>
      <c r="Z7450" t="s">
        <v>5200</v>
      </c>
      <c r="AA7450" s="3">
        <v>0.17470155656337699</v>
      </c>
      <c r="AB7450" t="s">
        <v>35008</v>
      </c>
      <c r="AC7450" t="s">
        <v>4562</v>
      </c>
      <c r="AD7450" t="s">
        <v>35009</v>
      </c>
      <c r="AE7450" t="s">
        <v>4655</v>
      </c>
      <c r="AF7450" t="s">
        <v>3869</v>
      </c>
      <c r="AG7450" t="s">
        <v>2567</v>
      </c>
      <c r="AH7450">
        <v>74114</v>
      </c>
      <c r="AI7450" t="s">
        <v>35010</v>
      </c>
      <c r="AJ7450" t="s">
        <v>3870</v>
      </c>
      <c r="AK7450" t="s">
        <v>35100</v>
      </c>
      <c r="AL7450" s="13" t="s">
        <v>1899</v>
      </c>
      <c r="AM7450" s="14">
        <v>0</v>
      </c>
      <c r="AN7450" s="15" t="s">
        <v>26</v>
      </c>
    </row>
    <row r="7451" spans="1:40" x14ac:dyDescent="0.3">
      <c r="A7451" s="10" t="str">
        <f>HYPERLINK("http://www.washoecounty.gov/assessor/cama/?parid=526-123-01&amp;CardNumber=1","526-123-01")</f>
        <v>526-123-01</v>
      </c>
      <c r="B7451" t="s">
        <v>4655</v>
      </c>
      <c r="C7451" t="s">
        <v>35101</v>
      </c>
      <c r="D7451" s="1">
        <v>40263</v>
      </c>
      <c r="E7451" s="2">
        <v>1575000</v>
      </c>
      <c r="F7451" t="s">
        <v>2900</v>
      </c>
      <c r="G7451" s="17" t="str">
        <f>HYPERLINK("https://www.washoecounty.gov/assessor/cama/?command=sales&amp;parid=52612301","3864468")</f>
        <v>3864468</v>
      </c>
      <c r="H7451" t="s">
        <v>1242</v>
      </c>
      <c r="I7451">
        <v>0</v>
      </c>
      <c r="J7451">
        <v>0</v>
      </c>
      <c r="K7451" t="s">
        <v>4655</v>
      </c>
      <c r="L7451" t="s">
        <v>4655</v>
      </c>
      <c r="M7451" s="2">
        <v>0</v>
      </c>
      <c r="N7451" t="s">
        <v>4655</v>
      </c>
      <c r="O7451">
        <v>0</v>
      </c>
      <c r="P7451">
        <v>0</v>
      </c>
      <c r="Q7451">
        <v>0</v>
      </c>
      <c r="R7451" t="s">
        <v>4655</v>
      </c>
      <c r="S7451" t="s">
        <v>4655</v>
      </c>
      <c r="T7451" t="s">
        <v>4655</v>
      </c>
      <c r="U7451" t="s">
        <v>4655</v>
      </c>
      <c r="V7451" s="2">
        <v>0</v>
      </c>
      <c r="W7451" t="s">
        <v>4655</v>
      </c>
      <c r="X7451" s="2">
        <v>0</v>
      </c>
      <c r="Y7451">
        <v>12</v>
      </c>
      <c r="Z7451" t="s">
        <v>5200</v>
      </c>
      <c r="AA7451" s="3">
        <v>0.19322773814201399</v>
      </c>
      <c r="AB7451" t="s">
        <v>35008</v>
      </c>
      <c r="AC7451" t="s">
        <v>4562</v>
      </c>
      <c r="AD7451" t="s">
        <v>35009</v>
      </c>
      <c r="AE7451" t="s">
        <v>4655</v>
      </c>
      <c r="AF7451" t="s">
        <v>3869</v>
      </c>
      <c r="AG7451" t="s">
        <v>2567</v>
      </c>
      <c r="AH7451">
        <v>74114</v>
      </c>
      <c r="AI7451" t="s">
        <v>35010</v>
      </c>
      <c r="AJ7451" t="s">
        <v>3870</v>
      </c>
      <c r="AK7451" t="s">
        <v>35102</v>
      </c>
      <c r="AL7451" s="13" t="s">
        <v>1899</v>
      </c>
      <c r="AM7451">
        <v>0</v>
      </c>
      <c r="AN7451" s="15" t="s">
        <v>26</v>
      </c>
    </row>
    <row r="7452" spans="1:40" x14ac:dyDescent="0.3">
      <c r="A7452" s="10" t="str">
        <f>HYPERLINK("http://www.washoecounty.gov/assessor/cama/?parid=526-123-02&amp;CardNumber=1","526-123-02")</f>
        <v>526-123-02</v>
      </c>
      <c r="B7452" t="s">
        <v>4655</v>
      </c>
      <c r="C7452" t="s">
        <v>35103</v>
      </c>
      <c r="D7452" s="1">
        <v>40263</v>
      </c>
      <c r="E7452" s="2">
        <v>1575000</v>
      </c>
      <c r="F7452" t="s">
        <v>2900</v>
      </c>
      <c r="G7452" s="17" t="str">
        <f>HYPERLINK("https://www.washoecounty.gov/assessor/cama/?command=sales&amp;parid=52612302","3864468")</f>
        <v>3864468</v>
      </c>
      <c r="H7452" t="s">
        <v>1242</v>
      </c>
      <c r="I7452">
        <v>0</v>
      </c>
      <c r="J7452">
        <v>0</v>
      </c>
      <c r="K7452" t="s">
        <v>4655</v>
      </c>
      <c r="L7452" t="s">
        <v>4655</v>
      </c>
      <c r="M7452" s="2">
        <v>0</v>
      </c>
      <c r="N7452" t="s">
        <v>4655</v>
      </c>
      <c r="O7452">
        <v>0</v>
      </c>
      <c r="P7452">
        <v>0</v>
      </c>
      <c r="Q7452">
        <v>0</v>
      </c>
      <c r="R7452" t="s">
        <v>4655</v>
      </c>
      <c r="S7452" t="s">
        <v>4655</v>
      </c>
      <c r="T7452" t="s">
        <v>4655</v>
      </c>
      <c r="U7452" t="s">
        <v>4655</v>
      </c>
      <c r="V7452" s="2">
        <v>0</v>
      </c>
      <c r="W7452" t="s">
        <v>4655</v>
      </c>
      <c r="X7452" s="2">
        <v>0</v>
      </c>
      <c r="Y7452">
        <v>12</v>
      </c>
      <c r="Z7452" t="s">
        <v>5200</v>
      </c>
      <c r="AA7452" s="3">
        <v>0.17109733819961501</v>
      </c>
      <c r="AB7452" t="s">
        <v>35008</v>
      </c>
      <c r="AC7452" t="s">
        <v>4562</v>
      </c>
      <c r="AD7452" t="s">
        <v>35009</v>
      </c>
      <c r="AE7452" t="s">
        <v>4655</v>
      </c>
      <c r="AF7452" t="s">
        <v>3869</v>
      </c>
      <c r="AG7452" t="s">
        <v>2567</v>
      </c>
      <c r="AH7452">
        <v>74114</v>
      </c>
      <c r="AI7452" t="s">
        <v>35010</v>
      </c>
      <c r="AJ7452" t="s">
        <v>3870</v>
      </c>
      <c r="AK7452" t="s">
        <v>35104</v>
      </c>
      <c r="AL7452" s="13" t="s">
        <v>1899</v>
      </c>
      <c r="AM7452" s="14">
        <v>0</v>
      </c>
      <c r="AN7452" s="15" t="s">
        <v>26</v>
      </c>
    </row>
    <row r="7453" spans="1:40" x14ac:dyDescent="0.3">
      <c r="A7453" s="10" t="str">
        <f>HYPERLINK("http://www.washoecounty.gov/assessor/cama/?parid=526-123-03&amp;CardNumber=1","526-123-03")</f>
        <v>526-123-03</v>
      </c>
      <c r="B7453" t="s">
        <v>4655</v>
      </c>
      <c r="C7453" t="s">
        <v>35105</v>
      </c>
      <c r="D7453" s="1">
        <v>40263</v>
      </c>
      <c r="E7453" s="2">
        <v>1575000</v>
      </c>
      <c r="F7453" t="s">
        <v>2900</v>
      </c>
      <c r="G7453" s="17" t="str">
        <f>HYPERLINK("https://www.washoecounty.gov/assessor/cama/?command=sales&amp;parid=52612303","3864468")</f>
        <v>3864468</v>
      </c>
      <c r="H7453" t="s">
        <v>1242</v>
      </c>
      <c r="I7453">
        <v>0</v>
      </c>
      <c r="J7453">
        <v>0</v>
      </c>
      <c r="K7453" t="s">
        <v>4655</v>
      </c>
      <c r="L7453" t="s">
        <v>4655</v>
      </c>
      <c r="M7453" s="2">
        <v>0</v>
      </c>
      <c r="N7453" t="s">
        <v>4655</v>
      </c>
      <c r="O7453">
        <v>0</v>
      </c>
      <c r="P7453">
        <v>0</v>
      </c>
      <c r="Q7453">
        <v>0</v>
      </c>
      <c r="R7453" t="s">
        <v>4655</v>
      </c>
      <c r="S7453" t="s">
        <v>4655</v>
      </c>
      <c r="T7453" t="s">
        <v>4655</v>
      </c>
      <c r="U7453" t="s">
        <v>4655</v>
      </c>
      <c r="V7453" s="2">
        <v>0</v>
      </c>
      <c r="W7453" t="s">
        <v>4655</v>
      </c>
      <c r="X7453" s="2">
        <v>0</v>
      </c>
      <c r="Y7453">
        <v>12</v>
      </c>
      <c r="Z7453" t="s">
        <v>5200</v>
      </c>
      <c r="AA7453" s="3">
        <v>0.27509182691574102</v>
      </c>
      <c r="AB7453" t="s">
        <v>35008</v>
      </c>
      <c r="AC7453" t="s">
        <v>4562</v>
      </c>
      <c r="AD7453" t="s">
        <v>35009</v>
      </c>
      <c r="AE7453" t="s">
        <v>4655</v>
      </c>
      <c r="AF7453" t="s">
        <v>3869</v>
      </c>
      <c r="AG7453" t="s">
        <v>2567</v>
      </c>
      <c r="AH7453">
        <v>74114</v>
      </c>
      <c r="AI7453" t="s">
        <v>35010</v>
      </c>
      <c r="AJ7453" t="s">
        <v>3870</v>
      </c>
      <c r="AK7453" t="s">
        <v>35106</v>
      </c>
      <c r="AL7453" s="13" t="s">
        <v>1899</v>
      </c>
      <c r="AM7453">
        <v>0</v>
      </c>
      <c r="AN7453" s="15" t="s">
        <v>26</v>
      </c>
    </row>
    <row r="7454" spans="1:40" x14ac:dyDescent="0.3">
      <c r="A7454" s="10" t="str">
        <f>HYPERLINK("http://www.washoecounty.gov/assessor/cama/?parid=526-123-04&amp;CardNumber=1","526-123-04")</f>
        <v>526-123-04</v>
      </c>
      <c r="B7454" t="s">
        <v>4655</v>
      </c>
      <c r="C7454" t="s">
        <v>35107</v>
      </c>
      <c r="D7454" s="1">
        <v>40263</v>
      </c>
      <c r="E7454" s="2">
        <v>1575000</v>
      </c>
      <c r="F7454" t="s">
        <v>2900</v>
      </c>
      <c r="G7454" s="17" t="str">
        <f>HYPERLINK("https://www.washoecounty.gov/assessor/cama/?command=sales&amp;parid=52612304","3864468")</f>
        <v>3864468</v>
      </c>
      <c r="H7454" t="s">
        <v>1242</v>
      </c>
      <c r="I7454">
        <v>0</v>
      </c>
      <c r="J7454">
        <v>0</v>
      </c>
      <c r="K7454" t="s">
        <v>4655</v>
      </c>
      <c r="L7454" t="s">
        <v>4655</v>
      </c>
      <c r="M7454" s="2">
        <v>0</v>
      </c>
      <c r="N7454" t="s">
        <v>4655</v>
      </c>
      <c r="O7454">
        <v>0</v>
      </c>
      <c r="P7454">
        <v>0</v>
      </c>
      <c r="Q7454">
        <v>0</v>
      </c>
      <c r="R7454" t="s">
        <v>4655</v>
      </c>
      <c r="S7454" t="s">
        <v>4655</v>
      </c>
      <c r="T7454" t="s">
        <v>4655</v>
      </c>
      <c r="U7454" t="s">
        <v>4655</v>
      </c>
      <c r="V7454" s="2">
        <v>0</v>
      </c>
      <c r="W7454" t="s">
        <v>4655</v>
      </c>
      <c r="X7454" s="2">
        <v>0</v>
      </c>
      <c r="Y7454">
        <v>12</v>
      </c>
      <c r="Z7454" t="s">
        <v>5200</v>
      </c>
      <c r="AA7454" s="3">
        <v>0.186662077903748</v>
      </c>
      <c r="AB7454" t="s">
        <v>35008</v>
      </c>
      <c r="AC7454" t="s">
        <v>4562</v>
      </c>
      <c r="AD7454" t="s">
        <v>35009</v>
      </c>
      <c r="AE7454" t="s">
        <v>4655</v>
      </c>
      <c r="AF7454" t="s">
        <v>3869</v>
      </c>
      <c r="AG7454" t="s">
        <v>2567</v>
      </c>
      <c r="AH7454">
        <v>74114</v>
      </c>
      <c r="AI7454" t="s">
        <v>35010</v>
      </c>
      <c r="AJ7454" t="s">
        <v>3870</v>
      </c>
      <c r="AK7454" t="s">
        <v>35108</v>
      </c>
      <c r="AL7454" s="13" t="s">
        <v>1899</v>
      </c>
      <c r="AM7454">
        <v>0</v>
      </c>
      <c r="AN7454" s="15" t="s">
        <v>26</v>
      </c>
    </row>
    <row r="7455" spans="1:40" x14ac:dyDescent="0.3">
      <c r="A7455" s="10" t="str">
        <f>HYPERLINK("http://www.washoecounty.gov/assessor/cama/?parid=526-123-05&amp;CardNumber=1","526-123-05")</f>
        <v>526-123-05</v>
      </c>
      <c r="B7455" t="s">
        <v>4655</v>
      </c>
      <c r="C7455" t="s">
        <v>35109</v>
      </c>
      <c r="D7455" s="1">
        <v>40263</v>
      </c>
      <c r="E7455" s="2">
        <v>1575000</v>
      </c>
      <c r="F7455" t="s">
        <v>2900</v>
      </c>
      <c r="G7455" s="17" t="str">
        <f>HYPERLINK("https://www.washoecounty.gov/assessor/cama/?command=sales&amp;parid=52612305","3864468")</f>
        <v>3864468</v>
      </c>
      <c r="H7455" t="s">
        <v>1242</v>
      </c>
      <c r="I7455">
        <v>0</v>
      </c>
      <c r="J7455">
        <v>0</v>
      </c>
      <c r="K7455" t="s">
        <v>4655</v>
      </c>
      <c r="L7455" t="s">
        <v>4655</v>
      </c>
      <c r="M7455" s="2">
        <v>0</v>
      </c>
      <c r="N7455" t="s">
        <v>4655</v>
      </c>
      <c r="O7455">
        <v>0</v>
      </c>
      <c r="P7455">
        <v>0</v>
      </c>
      <c r="Q7455">
        <v>0</v>
      </c>
      <c r="R7455" t="s">
        <v>4655</v>
      </c>
      <c r="S7455" t="s">
        <v>4655</v>
      </c>
      <c r="T7455" t="s">
        <v>4655</v>
      </c>
      <c r="U7455" t="s">
        <v>4655</v>
      </c>
      <c r="V7455" s="2">
        <v>0</v>
      </c>
      <c r="W7455" t="s">
        <v>4655</v>
      </c>
      <c r="X7455" s="2">
        <v>0</v>
      </c>
      <c r="Y7455">
        <v>12</v>
      </c>
      <c r="Z7455" t="s">
        <v>5200</v>
      </c>
      <c r="AA7455" s="3">
        <v>0.27217629551887512</v>
      </c>
      <c r="AB7455" t="s">
        <v>35008</v>
      </c>
      <c r="AC7455" t="s">
        <v>4562</v>
      </c>
      <c r="AD7455" t="s">
        <v>35009</v>
      </c>
      <c r="AE7455" t="s">
        <v>4655</v>
      </c>
      <c r="AF7455" t="s">
        <v>3869</v>
      </c>
      <c r="AG7455" t="s">
        <v>2567</v>
      </c>
      <c r="AH7455">
        <v>74114</v>
      </c>
      <c r="AI7455" t="s">
        <v>35010</v>
      </c>
      <c r="AJ7455" t="s">
        <v>3870</v>
      </c>
      <c r="AK7455" t="s">
        <v>35110</v>
      </c>
      <c r="AL7455" s="13" t="s">
        <v>1899</v>
      </c>
      <c r="AM7455">
        <v>0</v>
      </c>
      <c r="AN7455" s="15" t="s">
        <v>26</v>
      </c>
    </row>
    <row r="7456" spans="1:40" x14ac:dyDescent="0.3">
      <c r="A7456" s="10" t="str">
        <f>HYPERLINK("http://www.washoecounty.gov/assessor/cama/?parid=526-123-06&amp;CardNumber=1","526-123-06")</f>
        <v>526-123-06</v>
      </c>
      <c r="B7456" t="s">
        <v>4655</v>
      </c>
      <c r="C7456" t="s">
        <v>35111</v>
      </c>
      <c r="D7456" s="1">
        <v>40263</v>
      </c>
      <c r="E7456" s="2">
        <v>1575000</v>
      </c>
      <c r="F7456" t="s">
        <v>2900</v>
      </c>
      <c r="G7456" s="17" t="str">
        <f>HYPERLINK("https://www.washoecounty.gov/assessor/cama/?command=sales&amp;parid=52612306","3864468")</f>
        <v>3864468</v>
      </c>
      <c r="H7456" t="s">
        <v>1242</v>
      </c>
      <c r="I7456">
        <v>0</v>
      </c>
      <c r="J7456">
        <v>0</v>
      </c>
      <c r="K7456" t="s">
        <v>4655</v>
      </c>
      <c r="L7456" t="s">
        <v>4655</v>
      </c>
      <c r="M7456" s="2">
        <v>0</v>
      </c>
      <c r="N7456" t="s">
        <v>4655</v>
      </c>
      <c r="O7456">
        <v>0</v>
      </c>
      <c r="P7456">
        <v>0</v>
      </c>
      <c r="Q7456">
        <v>0</v>
      </c>
      <c r="R7456" t="s">
        <v>4655</v>
      </c>
      <c r="S7456" t="s">
        <v>4655</v>
      </c>
      <c r="T7456" t="s">
        <v>4655</v>
      </c>
      <c r="U7456" t="s">
        <v>4655</v>
      </c>
      <c r="V7456" s="2">
        <v>0</v>
      </c>
      <c r="W7456" t="s">
        <v>4655</v>
      </c>
      <c r="X7456" s="2">
        <v>0</v>
      </c>
      <c r="Y7456">
        <v>12</v>
      </c>
      <c r="Z7456" t="s">
        <v>5200</v>
      </c>
      <c r="AA7456" s="3">
        <v>0.17109733819961501</v>
      </c>
      <c r="AB7456" t="s">
        <v>35008</v>
      </c>
      <c r="AC7456" t="s">
        <v>4562</v>
      </c>
      <c r="AD7456" t="s">
        <v>35009</v>
      </c>
      <c r="AE7456" t="s">
        <v>4655</v>
      </c>
      <c r="AF7456" t="s">
        <v>3869</v>
      </c>
      <c r="AG7456" t="s">
        <v>2567</v>
      </c>
      <c r="AH7456">
        <v>74114</v>
      </c>
      <c r="AI7456" t="s">
        <v>35010</v>
      </c>
      <c r="AJ7456" t="s">
        <v>3870</v>
      </c>
      <c r="AK7456" t="s">
        <v>35112</v>
      </c>
      <c r="AL7456" s="13" t="s">
        <v>1899</v>
      </c>
      <c r="AM7456">
        <v>0</v>
      </c>
      <c r="AN7456" s="15" t="s">
        <v>26</v>
      </c>
    </row>
    <row r="7457" spans="1:40" x14ac:dyDescent="0.3">
      <c r="A7457" s="10" t="str">
        <f>HYPERLINK("http://www.washoecounty.gov/assessor/cama/?parid=526-123-07&amp;CardNumber=1","526-123-07")</f>
        <v>526-123-07</v>
      </c>
      <c r="B7457" t="s">
        <v>4655</v>
      </c>
      <c r="C7457" t="s">
        <v>35113</v>
      </c>
      <c r="D7457" s="1">
        <v>40263</v>
      </c>
      <c r="E7457" s="2">
        <v>1575000</v>
      </c>
      <c r="F7457" t="s">
        <v>2900</v>
      </c>
      <c r="G7457" s="17" t="str">
        <f>HYPERLINK("https://www.washoecounty.gov/assessor/cama/?command=sales&amp;parid=52612307","3864468")</f>
        <v>3864468</v>
      </c>
      <c r="H7457" t="s">
        <v>1242</v>
      </c>
      <c r="I7457">
        <v>0</v>
      </c>
      <c r="J7457">
        <v>0</v>
      </c>
      <c r="K7457" t="s">
        <v>4655</v>
      </c>
      <c r="L7457" t="s">
        <v>4655</v>
      </c>
      <c r="M7457" s="2">
        <v>0</v>
      </c>
      <c r="N7457" t="s">
        <v>4655</v>
      </c>
      <c r="O7457">
        <v>0</v>
      </c>
      <c r="P7457">
        <v>0</v>
      </c>
      <c r="Q7457">
        <v>0</v>
      </c>
      <c r="R7457" t="s">
        <v>4655</v>
      </c>
      <c r="S7457" t="s">
        <v>4655</v>
      </c>
      <c r="T7457" t="s">
        <v>4655</v>
      </c>
      <c r="U7457" t="s">
        <v>4655</v>
      </c>
      <c r="V7457" s="2">
        <v>0</v>
      </c>
      <c r="W7457" t="s">
        <v>4655</v>
      </c>
      <c r="X7457" s="2">
        <v>0</v>
      </c>
      <c r="Y7457">
        <v>12</v>
      </c>
      <c r="Z7457" t="s">
        <v>5200</v>
      </c>
      <c r="AA7457" s="3">
        <v>0.19520202279090901</v>
      </c>
      <c r="AB7457" t="s">
        <v>35008</v>
      </c>
      <c r="AC7457" t="s">
        <v>4562</v>
      </c>
      <c r="AD7457" t="s">
        <v>35009</v>
      </c>
      <c r="AE7457" t="s">
        <v>4655</v>
      </c>
      <c r="AF7457" t="s">
        <v>3869</v>
      </c>
      <c r="AG7457" t="s">
        <v>2567</v>
      </c>
      <c r="AH7457">
        <v>74114</v>
      </c>
      <c r="AI7457" t="s">
        <v>35010</v>
      </c>
      <c r="AJ7457" t="s">
        <v>3870</v>
      </c>
      <c r="AK7457" t="s">
        <v>35114</v>
      </c>
      <c r="AL7457" s="13" t="s">
        <v>1899</v>
      </c>
      <c r="AM7457">
        <v>0</v>
      </c>
      <c r="AN7457" s="15" t="s">
        <v>26</v>
      </c>
    </row>
    <row r="7458" spans="1:40" x14ac:dyDescent="0.3">
      <c r="A7458" s="10" t="str">
        <f>HYPERLINK("http://www.washoecounty.gov/assessor/cama/?parid=526-123-08&amp;CardNumber=1","526-123-08")</f>
        <v>526-123-08</v>
      </c>
      <c r="B7458" t="s">
        <v>4655</v>
      </c>
      <c r="C7458" t="s">
        <v>35115</v>
      </c>
      <c r="D7458" s="1">
        <v>40263</v>
      </c>
      <c r="E7458" s="2">
        <v>1575000</v>
      </c>
      <c r="F7458" t="s">
        <v>2900</v>
      </c>
      <c r="G7458" s="17" t="str">
        <f>HYPERLINK("https://www.washoecounty.gov/assessor/cama/?command=sales&amp;parid=52612308","3864468")</f>
        <v>3864468</v>
      </c>
      <c r="H7458" t="s">
        <v>1242</v>
      </c>
      <c r="I7458">
        <v>0</v>
      </c>
      <c r="J7458">
        <v>0</v>
      </c>
      <c r="K7458" t="s">
        <v>4655</v>
      </c>
      <c r="L7458" t="s">
        <v>4655</v>
      </c>
      <c r="M7458" s="2">
        <v>0</v>
      </c>
      <c r="N7458" t="s">
        <v>4655</v>
      </c>
      <c r="O7458">
        <v>0</v>
      </c>
      <c r="P7458">
        <v>0</v>
      </c>
      <c r="Q7458">
        <v>0</v>
      </c>
      <c r="R7458" t="s">
        <v>4655</v>
      </c>
      <c r="S7458" t="s">
        <v>4655</v>
      </c>
      <c r="T7458" t="s">
        <v>4655</v>
      </c>
      <c r="U7458" t="s">
        <v>4655</v>
      </c>
      <c r="V7458" s="2">
        <v>0</v>
      </c>
      <c r="W7458" t="s">
        <v>4655</v>
      </c>
      <c r="X7458" s="2">
        <v>0</v>
      </c>
      <c r="Y7458">
        <v>12</v>
      </c>
      <c r="Z7458" t="s">
        <v>5200</v>
      </c>
      <c r="AA7458" s="3">
        <v>0.19520202279090901</v>
      </c>
      <c r="AB7458" t="s">
        <v>35008</v>
      </c>
      <c r="AC7458" t="s">
        <v>4562</v>
      </c>
      <c r="AD7458" t="s">
        <v>35009</v>
      </c>
      <c r="AE7458" t="s">
        <v>4655</v>
      </c>
      <c r="AF7458" t="s">
        <v>3869</v>
      </c>
      <c r="AG7458" t="s">
        <v>2567</v>
      </c>
      <c r="AH7458">
        <v>74114</v>
      </c>
      <c r="AI7458" t="s">
        <v>35010</v>
      </c>
      <c r="AJ7458" t="s">
        <v>3870</v>
      </c>
      <c r="AK7458" t="s">
        <v>35116</v>
      </c>
      <c r="AL7458" s="13" t="s">
        <v>1899</v>
      </c>
      <c r="AM7458">
        <v>0</v>
      </c>
      <c r="AN7458" s="15" t="s">
        <v>26</v>
      </c>
    </row>
    <row r="7459" spans="1:40" x14ac:dyDescent="0.3">
      <c r="A7459" s="10" t="str">
        <f>HYPERLINK("http://www.washoecounty.gov/assessor/cama/?parid=526-123-09&amp;CardNumber=1","526-123-09")</f>
        <v>526-123-09</v>
      </c>
      <c r="B7459" t="s">
        <v>4655</v>
      </c>
      <c r="C7459" t="s">
        <v>35117</v>
      </c>
      <c r="D7459" s="1">
        <v>40263</v>
      </c>
      <c r="E7459" s="2">
        <v>1575000</v>
      </c>
      <c r="F7459" t="s">
        <v>2900</v>
      </c>
      <c r="G7459" s="17" t="str">
        <f>HYPERLINK("https://www.washoecounty.gov/assessor/cama/?command=sales&amp;parid=52612309","3864468")</f>
        <v>3864468</v>
      </c>
      <c r="H7459" t="s">
        <v>1242</v>
      </c>
      <c r="I7459">
        <v>0</v>
      </c>
      <c r="J7459">
        <v>0</v>
      </c>
      <c r="K7459" t="s">
        <v>4655</v>
      </c>
      <c r="L7459" t="s">
        <v>4655</v>
      </c>
      <c r="M7459" s="2">
        <v>0</v>
      </c>
      <c r="N7459" t="s">
        <v>4655</v>
      </c>
      <c r="O7459">
        <v>0</v>
      </c>
      <c r="P7459">
        <v>0</v>
      </c>
      <c r="Q7459">
        <v>0</v>
      </c>
      <c r="R7459" t="s">
        <v>4655</v>
      </c>
      <c r="S7459" t="s">
        <v>4655</v>
      </c>
      <c r="T7459" t="s">
        <v>4655</v>
      </c>
      <c r="U7459" t="s">
        <v>4655</v>
      </c>
      <c r="V7459" s="2">
        <v>0</v>
      </c>
      <c r="W7459" t="s">
        <v>4655</v>
      </c>
      <c r="X7459" s="2">
        <v>0</v>
      </c>
      <c r="Y7459">
        <v>12</v>
      </c>
      <c r="Z7459" t="s">
        <v>5200</v>
      </c>
      <c r="AA7459" s="3">
        <v>0.17109733819961501</v>
      </c>
      <c r="AB7459" t="s">
        <v>35008</v>
      </c>
      <c r="AC7459" t="s">
        <v>4562</v>
      </c>
      <c r="AD7459" t="s">
        <v>35009</v>
      </c>
      <c r="AE7459" t="s">
        <v>4655</v>
      </c>
      <c r="AF7459" t="s">
        <v>3869</v>
      </c>
      <c r="AG7459" t="s">
        <v>2567</v>
      </c>
      <c r="AH7459">
        <v>74114</v>
      </c>
      <c r="AI7459" t="s">
        <v>35010</v>
      </c>
      <c r="AJ7459" t="s">
        <v>3870</v>
      </c>
      <c r="AK7459" t="s">
        <v>35118</v>
      </c>
      <c r="AL7459" s="13" t="s">
        <v>1899</v>
      </c>
      <c r="AM7459">
        <v>0</v>
      </c>
      <c r="AN7459" s="15" t="s">
        <v>26</v>
      </c>
    </row>
    <row r="7460" spans="1:40" x14ac:dyDescent="0.3">
      <c r="A7460" s="10" t="str">
        <f>HYPERLINK("http://www.washoecounty.gov/assessor/cama/?parid=526-123-10&amp;CardNumber=1","526-123-10")</f>
        <v>526-123-10</v>
      </c>
      <c r="B7460" t="s">
        <v>4655</v>
      </c>
      <c r="C7460" t="s">
        <v>35119</v>
      </c>
      <c r="D7460" s="1">
        <v>40263</v>
      </c>
      <c r="E7460" s="2">
        <v>1575000</v>
      </c>
      <c r="F7460" t="s">
        <v>2900</v>
      </c>
      <c r="G7460" s="17" t="str">
        <f>HYPERLINK("https://www.washoecounty.gov/assessor/cama/?command=sales&amp;parid=52612310","3864468")</f>
        <v>3864468</v>
      </c>
      <c r="H7460" t="s">
        <v>1242</v>
      </c>
      <c r="I7460">
        <v>0</v>
      </c>
      <c r="J7460">
        <v>0</v>
      </c>
      <c r="K7460" t="s">
        <v>4655</v>
      </c>
      <c r="L7460" t="s">
        <v>4655</v>
      </c>
      <c r="M7460" s="2">
        <v>0</v>
      </c>
      <c r="N7460" t="s">
        <v>4655</v>
      </c>
      <c r="O7460">
        <v>0</v>
      </c>
      <c r="P7460">
        <v>0</v>
      </c>
      <c r="Q7460">
        <v>0</v>
      </c>
      <c r="R7460" t="s">
        <v>4655</v>
      </c>
      <c r="S7460" t="s">
        <v>4655</v>
      </c>
      <c r="T7460" t="s">
        <v>4655</v>
      </c>
      <c r="U7460" t="s">
        <v>4655</v>
      </c>
      <c r="V7460" s="2">
        <v>0</v>
      </c>
      <c r="W7460" t="s">
        <v>4655</v>
      </c>
      <c r="X7460" s="2">
        <v>0</v>
      </c>
      <c r="Y7460">
        <v>12</v>
      </c>
      <c r="Z7460" t="s">
        <v>5200</v>
      </c>
      <c r="AA7460" s="3">
        <v>0.27816805243492099</v>
      </c>
      <c r="AB7460" t="s">
        <v>35008</v>
      </c>
      <c r="AC7460" t="s">
        <v>4562</v>
      </c>
      <c r="AD7460" t="s">
        <v>35009</v>
      </c>
      <c r="AE7460" t="s">
        <v>4655</v>
      </c>
      <c r="AF7460" t="s">
        <v>3869</v>
      </c>
      <c r="AG7460" t="s">
        <v>2567</v>
      </c>
      <c r="AH7460">
        <v>74114</v>
      </c>
      <c r="AI7460" t="s">
        <v>35010</v>
      </c>
      <c r="AJ7460" t="s">
        <v>3870</v>
      </c>
      <c r="AK7460" t="s">
        <v>35120</v>
      </c>
      <c r="AL7460" s="13" t="s">
        <v>1899</v>
      </c>
      <c r="AM7460">
        <v>0</v>
      </c>
      <c r="AN7460" s="15" t="s">
        <v>26</v>
      </c>
    </row>
    <row r="7461" spans="1:40" x14ac:dyDescent="0.3">
      <c r="A7461" s="10" t="str">
        <f>HYPERLINK("http://www.washoecounty.gov/assessor/cama/?parid=526-123-11&amp;CardNumber=1","526-123-11")</f>
        <v>526-123-11</v>
      </c>
      <c r="B7461" t="s">
        <v>4655</v>
      </c>
      <c r="C7461" t="s">
        <v>35121</v>
      </c>
      <c r="D7461" s="1">
        <v>40263</v>
      </c>
      <c r="E7461" s="2">
        <v>1575000</v>
      </c>
      <c r="F7461" t="s">
        <v>2900</v>
      </c>
      <c r="G7461" s="17" t="str">
        <f>HYPERLINK("https://www.washoecounty.gov/assessor/cama/?command=sales&amp;parid=52612311","3864468")</f>
        <v>3864468</v>
      </c>
      <c r="H7461" t="s">
        <v>1242</v>
      </c>
      <c r="I7461">
        <v>0</v>
      </c>
      <c r="J7461">
        <v>0</v>
      </c>
      <c r="K7461" t="s">
        <v>4655</v>
      </c>
      <c r="L7461" t="s">
        <v>4655</v>
      </c>
      <c r="M7461" s="2">
        <v>0</v>
      </c>
      <c r="N7461" t="s">
        <v>4655</v>
      </c>
      <c r="O7461">
        <v>0</v>
      </c>
      <c r="P7461">
        <v>0</v>
      </c>
      <c r="Q7461">
        <v>0</v>
      </c>
      <c r="R7461" t="s">
        <v>4655</v>
      </c>
      <c r="S7461" t="s">
        <v>4655</v>
      </c>
      <c r="T7461" t="s">
        <v>4655</v>
      </c>
      <c r="U7461" t="s">
        <v>4655</v>
      </c>
      <c r="V7461" s="2">
        <v>0</v>
      </c>
      <c r="W7461" t="s">
        <v>4655</v>
      </c>
      <c r="X7461" s="2">
        <v>0</v>
      </c>
      <c r="Y7461">
        <v>12</v>
      </c>
      <c r="Z7461" t="s">
        <v>5200</v>
      </c>
      <c r="AA7461" s="3">
        <v>0.18817722797393799</v>
      </c>
      <c r="AB7461" t="s">
        <v>35008</v>
      </c>
      <c r="AC7461" t="s">
        <v>4562</v>
      </c>
      <c r="AD7461" t="s">
        <v>35009</v>
      </c>
      <c r="AE7461" t="s">
        <v>4655</v>
      </c>
      <c r="AF7461" t="s">
        <v>3869</v>
      </c>
      <c r="AG7461" t="s">
        <v>2567</v>
      </c>
      <c r="AH7461">
        <v>74114</v>
      </c>
      <c r="AI7461" t="s">
        <v>35010</v>
      </c>
      <c r="AJ7461" t="s">
        <v>3870</v>
      </c>
      <c r="AK7461" t="s">
        <v>35122</v>
      </c>
      <c r="AL7461" s="13" t="s">
        <v>1899</v>
      </c>
      <c r="AM7461" s="14">
        <v>0</v>
      </c>
      <c r="AN7461" s="15" t="s">
        <v>26</v>
      </c>
    </row>
    <row r="7462" spans="1:40" x14ac:dyDescent="0.3">
      <c r="A7462" s="10" t="str">
        <f>HYPERLINK("http://www.washoecounty.gov/assessor/cama/?parid=526-123-12&amp;CardNumber=1","526-123-12")</f>
        <v>526-123-12</v>
      </c>
      <c r="B7462" t="s">
        <v>4655</v>
      </c>
      <c r="C7462" t="s">
        <v>35123</v>
      </c>
      <c r="D7462" s="1">
        <v>40263</v>
      </c>
      <c r="E7462" s="2">
        <v>1575000</v>
      </c>
      <c r="F7462" t="s">
        <v>2900</v>
      </c>
      <c r="G7462" s="17" t="str">
        <f>HYPERLINK("https://www.washoecounty.gov/assessor/cama/?command=sales&amp;parid=52612312","3864468")</f>
        <v>3864468</v>
      </c>
      <c r="H7462" t="s">
        <v>1242</v>
      </c>
      <c r="I7462">
        <v>0</v>
      </c>
      <c r="J7462">
        <v>0</v>
      </c>
      <c r="K7462" t="s">
        <v>4655</v>
      </c>
      <c r="L7462" t="s">
        <v>4655</v>
      </c>
      <c r="M7462" s="2">
        <v>0</v>
      </c>
      <c r="N7462" t="s">
        <v>4655</v>
      </c>
      <c r="O7462">
        <v>0</v>
      </c>
      <c r="P7462">
        <v>0</v>
      </c>
      <c r="Q7462">
        <v>0</v>
      </c>
      <c r="R7462" t="s">
        <v>4655</v>
      </c>
      <c r="S7462" t="s">
        <v>4655</v>
      </c>
      <c r="T7462" t="s">
        <v>4655</v>
      </c>
      <c r="U7462" t="s">
        <v>4655</v>
      </c>
      <c r="V7462" s="2">
        <v>0</v>
      </c>
      <c r="W7462" t="s">
        <v>4655</v>
      </c>
      <c r="X7462" s="2">
        <v>0</v>
      </c>
      <c r="Y7462">
        <v>12</v>
      </c>
      <c r="Z7462" t="s">
        <v>5200</v>
      </c>
      <c r="AA7462" s="3">
        <v>0.27366849780082703</v>
      </c>
      <c r="AB7462" t="s">
        <v>35008</v>
      </c>
      <c r="AC7462" t="s">
        <v>4562</v>
      </c>
      <c r="AD7462" t="s">
        <v>35009</v>
      </c>
      <c r="AE7462" t="s">
        <v>4655</v>
      </c>
      <c r="AF7462" t="s">
        <v>3869</v>
      </c>
      <c r="AG7462" t="s">
        <v>2567</v>
      </c>
      <c r="AH7462">
        <v>74114</v>
      </c>
      <c r="AI7462" t="s">
        <v>35010</v>
      </c>
      <c r="AJ7462" t="s">
        <v>3870</v>
      </c>
      <c r="AK7462" t="s">
        <v>35124</v>
      </c>
      <c r="AL7462" s="13" t="s">
        <v>1899</v>
      </c>
      <c r="AM7462">
        <v>0</v>
      </c>
      <c r="AN7462" s="15" t="s">
        <v>26</v>
      </c>
    </row>
    <row r="7463" spans="1:40" x14ac:dyDescent="0.3">
      <c r="A7463" s="10" t="str">
        <f>HYPERLINK("http://www.washoecounty.gov/assessor/cama/?parid=526-123-13&amp;CardNumber=1","526-123-13")</f>
        <v>526-123-13</v>
      </c>
      <c r="B7463" t="s">
        <v>4655</v>
      </c>
      <c r="C7463" t="s">
        <v>35125</v>
      </c>
      <c r="D7463" s="1">
        <v>40263</v>
      </c>
      <c r="E7463" s="2">
        <v>1575000</v>
      </c>
      <c r="F7463" t="s">
        <v>2900</v>
      </c>
      <c r="G7463" s="17" t="str">
        <f>HYPERLINK("https://www.washoecounty.gov/assessor/cama/?command=sales&amp;parid=52612313","3864468")</f>
        <v>3864468</v>
      </c>
      <c r="H7463" t="s">
        <v>1242</v>
      </c>
      <c r="I7463">
        <v>0</v>
      </c>
      <c r="J7463">
        <v>0</v>
      </c>
      <c r="K7463" t="s">
        <v>4655</v>
      </c>
      <c r="L7463" t="s">
        <v>4655</v>
      </c>
      <c r="M7463" s="2">
        <v>0</v>
      </c>
      <c r="N7463" t="s">
        <v>4655</v>
      </c>
      <c r="O7463">
        <v>0</v>
      </c>
      <c r="P7463">
        <v>0</v>
      </c>
      <c r="Q7463">
        <v>0</v>
      </c>
      <c r="R7463" t="s">
        <v>4655</v>
      </c>
      <c r="S7463" t="s">
        <v>4655</v>
      </c>
      <c r="T7463" t="s">
        <v>4655</v>
      </c>
      <c r="U7463" t="s">
        <v>4655</v>
      </c>
      <c r="V7463" s="2">
        <v>0</v>
      </c>
      <c r="W7463" t="s">
        <v>4655</v>
      </c>
      <c r="X7463" s="2">
        <v>0</v>
      </c>
      <c r="Y7463">
        <v>12</v>
      </c>
      <c r="Z7463" t="s">
        <v>5200</v>
      </c>
      <c r="AA7463" s="3">
        <v>0.17109733819961501</v>
      </c>
      <c r="AB7463" t="s">
        <v>35008</v>
      </c>
      <c r="AC7463" t="s">
        <v>4562</v>
      </c>
      <c r="AD7463" t="s">
        <v>35009</v>
      </c>
      <c r="AE7463" t="s">
        <v>4655</v>
      </c>
      <c r="AF7463" t="s">
        <v>3869</v>
      </c>
      <c r="AG7463" t="s">
        <v>2567</v>
      </c>
      <c r="AH7463">
        <v>74114</v>
      </c>
      <c r="AI7463" t="s">
        <v>35010</v>
      </c>
      <c r="AJ7463" t="s">
        <v>3870</v>
      </c>
      <c r="AK7463" t="s">
        <v>35126</v>
      </c>
      <c r="AL7463" s="13" t="s">
        <v>1899</v>
      </c>
      <c r="AM7463" s="14">
        <v>0</v>
      </c>
      <c r="AN7463" s="15" t="s">
        <v>26</v>
      </c>
    </row>
    <row r="7464" spans="1:40" x14ac:dyDescent="0.3">
      <c r="A7464" s="10" t="str">
        <f>HYPERLINK("http://www.washoecounty.gov/assessor/cama/?parid=526-123-14&amp;CardNumber=1","526-123-14")</f>
        <v>526-123-14</v>
      </c>
      <c r="B7464" t="s">
        <v>4655</v>
      </c>
      <c r="C7464" t="s">
        <v>35127</v>
      </c>
      <c r="D7464" s="1">
        <v>40263</v>
      </c>
      <c r="E7464" s="2">
        <v>1575000</v>
      </c>
      <c r="F7464" t="s">
        <v>2900</v>
      </c>
      <c r="G7464" s="17" t="str">
        <f>HYPERLINK("https://www.washoecounty.gov/assessor/cama/?command=sales&amp;parid=52612314","3864468")</f>
        <v>3864468</v>
      </c>
      <c r="H7464" t="s">
        <v>1242</v>
      </c>
      <c r="I7464">
        <v>0</v>
      </c>
      <c r="J7464">
        <v>0</v>
      </c>
      <c r="K7464" t="s">
        <v>4655</v>
      </c>
      <c r="L7464" t="s">
        <v>4655</v>
      </c>
      <c r="M7464" s="2">
        <v>0</v>
      </c>
      <c r="N7464" t="s">
        <v>4655</v>
      </c>
      <c r="O7464">
        <v>0</v>
      </c>
      <c r="P7464">
        <v>0</v>
      </c>
      <c r="Q7464">
        <v>0</v>
      </c>
      <c r="R7464" t="s">
        <v>4655</v>
      </c>
      <c r="S7464" t="s">
        <v>4655</v>
      </c>
      <c r="T7464" t="s">
        <v>4655</v>
      </c>
      <c r="U7464" t="s">
        <v>4655</v>
      </c>
      <c r="V7464" s="2">
        <v>0</v>
      </c>
      <c r="W7464" t="s">
        <v>4655</v>
      </c>
      <c r="X7464" s="2">
        <v>0</v>
      </c>
      <c r="Y7464">
        <v>12</v>
      </c>
      <c r="Z7464" t="s">
        <v>5200</v>
      </c>
      <c r="AA7464" s="3">
        <v>0.19520202279090901</v>
      </c>
      <c r="AB7464" t="s">
        <v>35008</v>
      </c>
      <c r="AC7464" t="s">
        <v>4562</v>
      </c>
      <c r="AD7464" t="s">
        <v>35009</v>
      </c>
      <c r="AE7464" t="s">
        <v>4655</v>
      </c>
      <c r="AF7464" t="s">
        <v>3869</v>
      </c>
      <c r="AG7464" t="s">
        <v>2567</v>
      </c>
      <c r="AH7464">
        <v>74114</v>
      </c>
      <c r="AI7464" t="s">
        <v>35010</v>
      </c>
      <c r="AJ7464" t="s">
        <v>3870</v>
      </c>
      <c r="AK7464" t="s">
        <v>35128</v>
      </c>
      <c r="AL7464" s="13" t="s">
        <v>1899</v>
      </c>
      <c r="AM7464" s="14">
        <v>0</v>
      </c>
      <c r="AN7464" s="15" t="s">
        <v>26</v>
      </c>
    </row>
    <row r="7465" spans="1:40" x14ac:dyDescent="0.3">
      <c r="A7465" s="10" t="str">
        <f>HYPERLINK("http://www.washoecounty.gov/assessor/cama/?parid=526-123-15&amp;CardNumber=1","526-123-15")</f>
        <v>526-123-15</v>
      </c>
      <c r="B7465" t="s">
        <v>4655</v>
      </c>
      <c r="C7465" t="s">
        <v>35129</v>
      </c>
      <c r="D7465" s="1">
        <v>40263</v>
      </c>
      <c r="E7465" s="2">
        <v>1575000</v>
      </c>
      <c r="F7465" t="s">
        <v>2900</v>
      </c>
      <c r="G7465" s="17" t="str">
        <f>HYPERLINK("https://www.washoecounty.gov/assessor/cama/?command=sales&amp;parid=52612315","3864468")</f>
        <v>3864468</v>
      </c>
      <c r="H7465" t="s">
        <v>1242</v>
      </c>
      <c r="I7465">
        <v>0</v>
      </c>
      <c r="J7465">
        <v>0</v>
      </c>
      <c r="K7465" t="s">
        <v>4655</v>
      </c>
      <c r="L7465" t="s">
        <v>4655</v>
      </c>
      <c r="M7465" s="2">
        <v>0</v>
      </c>
      <c r="N7465" t="s">
        <v>4655</v>
      </c>
      <c r="O7465">
        <v>0</v>
      </c>
      <c r="P7465">
        <v>0</v>
      </c>
      <c r="Q7465">
        <v>0</v>
      </c>
      <c r="R7465" t="s">
        <v>4655</v>
      </c>
      <c r="S7465" t="s">
        <v>4655</v>
      </c>
      <c r="T7465" t="s">
        <v>4655</v>
      </c>
      <c r="U7465" t="s">
        <v>4655</v>
      </c>
      <c r="V7465" s="2">
        <v>0</v>
      </c>
      <c r="W7465" t="s">
        <v>4655</v>
      </c>
      <c r="X7465" s="2">
        <v>0</v>
      </c>
      <c r="Y7465">
        <v>12</v>
      </c>
      <c r="Z7465" t="s">
        <v>5200</v>
      </c>
      <c r="AA7465" s="3">
        <v>0.144054174423218</v>
      </c>
      <c r="AB7465" t="s">
        <v>35008</v>
      </c>
      <c r="AC7465" t="s">
        <v>4562</v>
      </c>
      <c r="AD7465" t="s">
        <v>35009</v>
      </c>
      <c r="AE7465" t="s">
        <v>4655</v>
      </c>
      <c r="AF7465" t="s">
        <v>3869</v>
      </c>
      <c r="AG7465" t="s">
        <v>2567</v>
      </c>
      <c r="AH7465">
        <v>74114</v>
      </c>
      <c r="AI7465" t="s">
        <v>35010</v>
      </c>
      <c r="AJ7465" t="s">
        <v>3870</v>
      </c>
      <c r="AK7465" t="s">
        <v>35130</v>
      </c>
      <c r="AL7465" s="13" t="s">
        <v>1899</v>
      </c>
      <c r="AM7465" s="14">
        <v>0</v>
      </c>
      <c r="AN7465" s="15" t="s">
        <v>26</v>
      </c>
    </row>
    <row r="7466" spans="1:40" x14ac:dyDescent="0.3">
      <c r="A7466" s="10" t="str">
        <f>HYPERLINK("http://www.washoecounty.gov/assessor/cama/?parid=526-123-16&amp;CardNumber=1","526-123-16")</f>
        <v>526-123-16</v>
      </c>
      <c r="B7466" t="s">
        <v>4655</v>
      </c>
      <c r="C7466" t="s">
        <v>35131</v>
      </c>
      <c r="D7466" s="1">
        <v>40263</v>
      </c>
      <c r="E7466" s="2">
        <v>1575000</v>
      </c>
      <c r="F7466" t="s">
        <v>2900</v>
      </c>
      <c r="G7466" s="17" t="str">
        <f>HYPERLINK("https://www.washoecounty.gov/assessor/cama/?command=sales&amp;parid=52612316","3864468")</f>
        <v>3864468</v>
      </c>
      <c r="H7466" t="s">
        <v>1242</v>
      </c>
      <c r="I7466">
        <v>0</v>
      </c>
      <c r="J7466">
        <v>0</v>
      </c>
      <c r="K7466" t="s">
        <v>4655</v>
      </c>
      <c r="L7466" t="s">
        <v>4655</v>
      </c>
      <c r="M7466" s="2">
        <v>0</v>
      </c>
      <c r="N7466" t="s">
        <v>4655</v>
      </c>
      <c r="O7466">
        <v>0</v>
      </c>
      <c r="P7466">
        <v>0</v>
      </c>
      <c r="Q7466">
        <v>0</v>
      </c>
      <c r="R7466" t="s">
        <v>4655</v>
      </c>
      <c r="S7466" t="s">
        <v>4655</v>
      </c>
      <c r="T7466" t="s">
        <v>4655</v>
      </c>
      <c r="U7466" t="s">
        <v>4655</v>
      </c>
      <c r="V7466" s="2">
        <v>0</v>
      </c>
      <c r="W7466" t="s">
        <v>4655</v>
      </c>
      <c r="X7466" s="2">
        <v>0</v>
      </c>
      <c r="Y7466">
        <v>12</v>
      </c>
      <c r="Z7466" t="s">
        <v>5200</v>
      </c>
      <c r="AA7466" s="3">
        <v>0.16101928055286399</v>
      </c>
      <c r="AB7466" t="s">
        <v>35008</v>
      </c>
      <c r="AC7466" t="s">
        <v>4562</v>
      </c>
      <c r="AD7466" t="s">
        <v>35009</v>
      </c>
      <c r="AE7466" t="s">
        <v>4655</v>
      </c>
      <c r="AF7466" t="s">
        <v>3869</v>
      </c>
      <c r="AG7466" t="s">
        <v>2567</v>
      </c>
      <c r="AH7466">
        <v>74114</v>
      </c>
      <c r="AI7466" t="s">
        <v>35010</v>
      </c>
      <c r="AJ7466" t="s">
        <v>3870</v>
      </c>
      <c r="AK7466" t="s">
        <v>35132</v>
      </c>
      <c r="AL7466" s="13" t="s">
        <v>1899</v>
      </c>
      <c r="AM7466">
        <v>0</v>
      </c>
      <c r="AN7466" s="15" t="s">
        <v>26</v>
      </c>
    </row>
    <row r="7467" spans="1:40" x14ac:dyDescent="0.3">
      <c r="A7467" s="10" t="str">
        <f>HYPERLINK("http://www.washoecounty.gov/assessor/cama/?parid=526-123-17&amp;CardNumber=1","526-123-17")</f>
        <v>526-123-17</v>
      </c>
      <c r="B7467" t="s">
        <v>4655</v>
      </c>
      <c r="C7467" t="s">
        <v>35133</v>
      </c>
      <c r="D7467" s="1">
        <v>40263</v>
      </c>
      <c r="E7467" s="2">
        <v>1575000</v>
      </c>
      <c r="F7467" t="s">
        <v>2900</v>
      </c>
      <c r="G7467" s="17" t="str">
        <f>HYPERLINK("https://www.washoecounty.gov/assessor/cama/?command=sales&amp;parid=52612317","3864468")</f>
        <v>3864468</v>
      </c>
      <c r="H7467" t="s">
        <v>1242</v>
      </c>
      <c r="I7467">
        <v>0</v>
      </c>
      <c r="J7467">
        <v>0</v>
      </c>
      <c r="K7467" t="s">
        <v>4655</v>
      </c>
      <c r="L7467" t="s">
        <v>4655</v>
      </c>
      <c r="M7467" s="2">
        <v>0</v>
      </c>
      <c r="N7467" t="s">
        <v>4655</v>
      </c>
      <c r="O7467">
        <v>0</v>
      </c>
      <c r="P7467">
        <v>0</v>
      </c>
      <c r="Q7467">
        <v>0</v>
      </c>
      <c r="R7467" t="s">
        <v>4655</v>
      </c>
      <c r="S7467" t="s">
        <v>4655</v>
      </c>
      <c r="T7467" t="s">
        <v>4655</v>
      </c>
      <c r="U7467" t="s">
        <v>4655</v>
      </c>
      <c r="V7467" s="2">
        <v>0</v>
      </c>
      <c r="W7467" t="s">
        <v>4655</v>
      </c>
      <c r="X7467" s="2">
        <v>0</v>
      </c>
      <c r="Y7467">
        <v>12</v>
      </c>
      <c r="Z7467" t="s">
        <v>5200</v>
      </c>
      <c r="AA7467" s="3">
        <v>0.230280071496964</v>
      </c>
      <c r="AB7467" t="s">
        <v>35008</v>
      </c>
      <c r="AC7467" t="s">
        <v>4562</v>
      </c>
      <c r="AD7467" t="s">
        <v>35009</v>
      </c>
      <c r="AE7467" t="s">
        <v>4655</v>
      </c>
      <c r="AF7467" t="s">
        <v>3869</v>
      </c>
      <c r="AG7467" t="s">
        <v>2567</v>
      </c>
      <c r="AH7467">
        <v>74114</v>
      </c>
      <c r="AI7467" t="s">
        <v>35010</v>
      </c>
      <c r="AJ7467" t="s">
        <v>3870</v>
      </c>
      <c r="AK7467" t="s">
        <v>35134</v>
      </c>
      <c r="AL7467" s="13" t="s">
        <v>1899</v>
      </c>
      <c r="AM7467" s="14">
        <v>0</v>
      </c>
      <c r="AN7467" s="15" t="s">
        <v>26</v>
      </c>
    </row>
    <row r="7468" spans="1:40" x14ac:dyDescent="0.3">
      <c r="A7468" s="10" t="str">
        <f>HYPERLINK("http://www.washoecounty.gov/assessor/cama/?parid=526-123-18&amp;CardNumber=1","526-123-18")</f>
        <v>526-123-18</v>
      </c>
      <c r="B7468" t="s">
        <v>4655</v>
      </c>
      <c r="C7468" t="s">
        <v>35135</v>
      </c>
      <c r="D7468" s="1">
        <v>40263</v>
      </c>
      <c r="E7468" s="2">
        <v>1575000</v>
      </c>
      <c r="F7468" t="s">
        <v>2900</v>
      </c>
      <c r="G7468" s="17" t="str">
        <f>HYPERLINK("https://www.washoecounty.gov/assessor/cama/?command=sales&amp;parid=52612318","3864468")</f>
        <v>3864468</v>
      </c>
      <c r="H7468" t="s">
        <v>1242</v>
      </c>
      <c r="I7468">
        <v>0</v>
      </c>
      <c r="J7468">
        <v>0</v>
      </c>
      <c r="K7468" t="s">
        <v>4655</v>
      </c>
      <c r="L7468" t="s">
        <v>4655</v>
      </c>
      <c r="M7468" s="2">
        <v>0</v>
      </c>
      <c r="N7468" t="s">
        <v>4655</v>
      </c>
      <c r="O7468">
        <v>0</v>
      </c>
      <c r="P7468">
        <v>0</v>
      </c>
      <c r="Q7468">
        <v>0</v>
      </c>
      <c r="R7468" t="s">
        <v>4655</v>
      </c>
      <c r="S7468" t="s">
        <v>4655</v>
      </c>
      <c r="T7468" t="s">
        <v>4655</v>
      </c>
      <c r="U7468" t="s">
        <v>4655</v>
      </c>
      <c r="V7468" s="2">
        <v>0</v>
      </c>
      <c r="W7468" t="s">
        <v>4655</v>
      </c>
      <c r="X7468" s="2">
        <v>0</v>
      </c>
      <c r="Y7468">
        <v>12</v>
      </c>
      <c r="Z7468" t="s">
        <v>5200</v>
      </c>
      <c r="AA7468" s="3">
        <v>0.22979797422885895</v>
      </c>
      <c r="AB7468" t="s">
        <v>35008</v>
      </c>
      <c r="AC7468" t="s">
        <v>4562</v>
      </c>
      <c r="AD7468" t="s">
        <v>35009</v>
      </c>
      <c r="AE7468" t="s">
        <v>4655</v>
      </c>
      <c r="AF7468" t="s">
        <v>3869</v>
      </c>
      <c r="AG7468" t="s">
        <v>2567</v>
      </c>
      <c r="AH7468">
        <v>74114</v>
      </c>
      <c r="AI7468" t="s">
        <v>35010</v>
      </c>
      <c r="AJ7468" t="s">
        <v>3870</v>
      </c>
      <c r="AK7468" t="s">
        <v>35136</v>
      </c>
      <c r="AL7468" s="13" t="s">
        <v>1899</v>
      </c>
      <c r="AM7468" s="14">
        <v>0</v>
      </c>
      <c r="AN7468" s="15" t="s">
        <v>26</v>
      </c>
    </row>
    <row r="7469" spans="1:40" x14ac:dyDescent="0.3">
      <c r="A7469" s="10" t="str">
        <f>HYPERLINK("http://www.washoecounty.gov/assessor/cama/?parid=526-123-19&amp;CardNumber=1","526-123-19")</f>
        <v>526-123-19</v>
      </c>
      <c r="B7469" t="s">
        <v>4655</v>
      </c>
      <c r="C7469" t="s">
        <v>35137</v>
      </c>
      <c r="D7469" s="1">
        <v>40263</v>
      </c>
      <c r="E7469" s="2">
        <v>1575000</v>
      </c>
      <c r="F7469" t="s">
        <v>2900</v>
      </c>
      <c r="G7469" s="17" t="str">
        <f>HYPERLINK("https://www.washoecounty.gov/assessor/cama/?command=sales&amp;parid=52612319","3864468")</f>
        <v>3864468</v>
      </c>
      <c r="H7469" t="s">
        <v>1242</v>
      </c>
      <c r="I7469">
        <v>0</v>
      </c>
      <c r="J7469">
        <v>0</v>
      </c>
      <c r="K7469" t="s">
        <v>4655</v>
      </c>
      <c r="L7469" t="s">
        <v>4655</v>
      </c>
      <c r="M7469" s="2">
        <v>0</v>
      </c>
      <c r="N7469" t="s">
        <v>4655</v>
      </c>
      <c r="O7469">
        <v>0</v>
      </c>
      <c r="P7469">
        <v>0</v>
      </c>
      <c r="Q7469">
        <v>0</v>
      </c>
      <c r="R7469" t="s">
        <v>4655</v>
      </c>
      <c r="S7469" t="s">
        <v>4655</v>
      </c>
      <c r="T7469" t="s">
        <v>4655</v>
      </c>
      <c r="U7469" t="s">
        <v>4655</v>
      </c>
      <c r="V7469" s="2">
        <v>0</v>
      </c>
      <c r="W7469" t="s">
        <v>4655</v>
      </c>
      <c r="X7469" s="2">
        <v>0</v>
      </c>
      <c r="Y7469">
        <v>12</v>
      </c>
      <c r="Z7469" t="s">
        <v>5200</v>
      </c>
      <c r="AA7469" s="3">
        <v>0.163039490580559</v>
      </c>
      <c r="AB7469" t="s">
        <v>35008</v>
      </c>
      <c r="AC7469" t="s">
        <v>4562</v>
      </c>
      <c r="AD7469" t="s">
        <v>35009</v>
      </c>
      <c r="AE7469" t="s">
        <v>4655</v>
      </c>
      <c r="AF7469" t="s">
        <v>3869</v>
      </c>
      <c r="AG7469" t="s">
        <v>2567</v>
      </c>
      <c r="AH7469">
        <v>74114</v>
      </c>
      <c r="AI7469" t="s">
        <v>35010</v>
      </c>
      <c r="AJ7469" t="s">
        <v>3870</v>
      </c>
      <c r="AK7469" t="s">
        <v>35138</v>
      </c>
      <c r="AL7469" s="13" t="s">
        <v>1899</v>
      </c>
      <c r="AM7469" s="14">
        <v>0</v>
      </c>
      <c r="AN7469" s="15" t="s">
        <v>26</v>
      </c>
    </row>
    <row r="7470" spans="1:40" x14ac:dyDescent="0.3">
      <c r="A7470" s="10" t="str">
        <f>HYPERLINK("http://www.washoecounty.gov/assessor/cama/?parid=526-123-20&amp;CardNumber=1","526-123-20")</f>
        <v>526-123-20</v>
      </c>
      <c r="B7470" t="s">
        <v>4655</v>
      </c>
      <c r="C7470" t="s">
        <v>35139</v>
      </c>
      <c r="D7470" s="1">
        <v>40263</v>
      </c>
      <c r="E7470" s="2">
        <v>1575000</v>
      </c>
      <c r="F7470" t="s">
        <v>2900</v>
      </c>
      <c r="G7470" s="17" t="str">
        <f>HYPERLINK("https://www.washoecounty.gov/assessor/cama/?command=sales&amp;parid=52612320","3864468")</f>
        <v>3864468</v>
      </c>
      <c r="H7470" t="s">
        <v>1242</v>
      </c>
      <c r="I7470">
        <v>0</v>
      </c>
      <c r="J7470">
        <v>0</v>
      </c>
      <c r="K7470" t="s">
        <v>4655</v>
      </c>
      <c r="L7470" t="s">
        <v>4655</v>
      </c>
      <c r="M7470" s="2">
        <v>0</v>
      </c>
      <c r="N7470" t="s">
        <v>4655</v>
      </c>
      <c r="O7470">
        <v>0</v>
      </c>
      <c r="P7470">
        <v>0</v>
      </c>
      <c r="Q7470">
        <v>0</v>
      </c>
      <c r="R7470" t="s">
        <v>4655</v>
      </c>
      <c r="S7470" t="s">
        <v>4655</v>
      </c>
      <c r="T7470" t="s">
        <v>4655</v>
      </c>
      <c r="U7470" t="s">
        <v>4655</v>
      </c>
      <c r="V7470" s="2">
        <v>0</v>
      </c>
      <c r="W7470" t="s">
        <v>4655</v>
      </c>
      <c r="X7470" s="2">
        <v>0</v>
      </c>
      <c r="Y7470">
        <v>12</v>
      </c>
      <c r="Z7470" t="s">
        <v>5200</v>
      </c>
      <c r="AA7470" s="3">
        <v>0.17217630147933999</v>
      </c>
      <c r="AB7470" t="s">
        <v>35008</v>
      </c>
      <c r="AC7470" t="s">
        <v>4562</v>
      </c>
      <c r="AD7470" t="s">
        <v>35009</v>
      </c>
      <c r="AE7470" t="s">
        <v>4655</v>
      </c>
      <c r="AF7470" t="s">
        <v>3869</v>
      </c>
      <c r="AG7470" t="s">
        <v>2567</v>
      </c>
      <c r="AH7470">
        <v>74114</v>
      </c>
      <c r="AI7470" t="s">
        <v>35010</v>
      </c>
      <c r="AJ7470" t="s">
        <v>3870</v>
      </c>
      <c r="AK7470" t="s">
        <v>35140</v>
      </c>
      <c r="AL7470" s="13" t="s">
        <v>1899</v>
      </c>
      <c r="AM7470">
        <v>0</v>
      </c>
      <c r="AN7470" s="15" t="s">
        <v>26</v>
      </c>
    </row>
    <row r="7471" spans="1:40" x14ac:dyDescent="0.3">
      <c r="A7471" s="10" t="str">
        <f>HYPERLINK("http://www.washoecounty.gov/assessor/cama/?parid=526-123-21&amp;CardNumber=1","526-123-21")</f>
        <v>526-123-21</v>
      </c>
      <c r="B7471" t="s">
        <v>4655</v>
      </c>
      <c r="C7471" t="s">
        <v>35141</v>
      </c>
      <c r="D7471" s="1">
        <v>40263</v>
      </c>
      <c r="E7471" s="2">
        <v>1575000</v>
      </c>
      <c r="F7471" t="s">
        <v>2900</v>
      </c>
      <c r="G7471" s="17" t="str">
        <f>HYPERLINK("https://www.washoecounty.gov/assessor/cama/?command=sales&amp;parid=52612321","3864468")</f>
        <v>3864468</v>
      </c>
      <c r="H7471" t="s">
        <v>1242</v>
      </c>
      <c r="I7471">
        <v>0</v>
      </c>
      <c r="J7471">
        <v>0</v>
      </c>
      <c r="K7471" t="s">
        <v>4655</v>
      </c>
      <c r="L7471" t="s">
        <v>4655</v>
      </c>
      <c r="M7471" s="2">
        <v>0</v>
      </c>
      <c r="N7471" t="s">
        <v>4655</v>
      </c>
      <c r="O7471">
        <v>0</v>
      </c>
      <c r="P7471">
        <v>0</v>
      </c>
      <c r="Q7471">
        <v>0</v>
      </c>
      <c r="R7471" t="s">
        <v>4655</v>
      </c>
      <c r="S7471" t="s">
        <v>4655</v>
      </c>
      <c r="T7471" t="s">
        <v>4655</v>
      </c>
      <c r="U7471" t="s">
        <v>4655</v>
      </c>
      <c r="V7471" s="2">
        <v>0</v>
      </c>
      <c r="W7471" t="s">
        <v>4655</v>
      </c>
      <c r="X7471" s="2">
        <v>0</v>
      </c>
      <c r="Y7471">
        <v>12</v>
      </c>
      <c r="Z7471" t="s">
        <v>5200</v>
      </c>
      <c r="AA7471" s="3">
        <v>0.17217630147933999</v>
      </c>
      <c r="AB7471" t="s">
        <v>35008</v>
      </c>
      <c r="AC7471" t="s">
        <v>4562</v>
      </c>
      <c r="AD7471" t="s">
        <v>35009</v>
      </c>
      <c r="AE7471" t="s">
        <v>4655</v>
      </c>
      <c r="AF7471" t="s">
        <v>3869</v>
      </c>
      <c r="AG7471" t="s">
        <v>2567</v>
      </c>
      <c r="AH7471">
        <v>74114</v>
      </c>
      <c r="AI7471" t="s">
        <v>35010</v>
      </c>
      <c r="AJ7471" t="s">
        <v>3870</v>
      </c>
      <c r="AK7471" t="s">
        <v>35142</v>
      </c>
      <c r="AL7471" s="13" t="s">
        <v>1899</v>
      </c>
      <c r="AM7471">
        <v>0</v>
      </c>
      <c r="AN7471" s="15" t="s">
        <v>26</v>
      </c>
    </row>
    <row r="7472" spans="1:40" x14ac:dyDescent="0.3">
      <c r="A7472" s="10" t="str">
        <f>HYPERLINK("http://www.washoecounty.gov/assessor/cama/?parid=526-141-07&amp;CardNumber=1","526-141-07")</f>
        <v>526-141-07</v>
      </c>
      <c r="B7472" t="s">
        <v>4655</v>
      </c>
      <c r="C7472" t="s">
        <v>35143</v>
      </c>
      <c r="D7472" s="1">
        <v>40511</v>
      </c>
      <c r="E7472" s="2">
        <v>145000</v>
      </c>
      <c r="F7472" t="s">
        <v>4567</v>
      </c>
      <c r="G7472" s="17" t="str">
        <f>HYPERLINK("https://www.washoecounty.gov/assessor/cama/?command=sales&amp;parid=52614107","3947046")</f>
        <v>3947046</v>
      </c>
      <c r="H7472" t="s">
        <v>1336</v>
      </c>
      <c r="I7472">
        <v>2005</v>
      </c>
      <c r="J7472">
        <v>2005</v>
      </c>
      <c r="K7472" t="s">
        <v>4554</v>
      </c>
      <c r="L7472" t="s">
        <v>3974</v>
      </c>
      <c r="M7472" s="2">
        <v>1540</v>
      </c>
      <c r="N7472" t="s">
        <v>5280</v>
      </c>
      <c r="O7472">
        <v>3</v>
      </c>
      <c r="P7472">
        <v>2</v>
      </c>
      <c r="Q7472">
        <v>1</v>
      </c>
      <c r="R7472" t="s">
        <v>5281</v>
      </c>
      <c r="S7472" t="s">
        <v>4898</v>
      </c>
      <c r="T7472" t="s">
        <v>2704</v>
      </c>
      <c r="U7472" t="s">
        <v>4560</v>
      </c>
      <c r="V7472" s="2">
        <v>429</v>
      </c>
      <c r="W7472" t="s">
        <v>4655</v>
      </c>
      <c r="X7472" s="2">
        <v>0</v>
      </c>
      <c r="Y7472">
        <v>20</v>
      </c>
      <c r="Z7472" t="s">
        <v>2048</v>
      </c>
      <c r="AA7472" s="3">
        <v>7.8902661800384494E-2</v>
      </c>
      <c r="AB7472" t="s">
        <v>35144</v>
      </c>
      <c r="AC7472" t="s">
        <v>4575</v>
      </c>
      <c r="AD7472" t="s">
        <v>35143</v>
      </c>
      <c r="AE7472" t="s">
        <v>4655</v>
      </c>
      <c r="AF7472" t="s">
        <v>5201</v>
      </c>
      <c r="AG7472" t="s">
        <v>4564</v>
      </c>
      <c r="AH7472" t="s">
        <v>1605</v>
      </c>
      <c r="AI7472" t="s">
        <v>35145</v>
      </c>
      <c r="AJ7472" t="s">
        <v>923</v>
      </c>
      <c r="AK7472" t="s">
        <v>35146</v>
      </c>
      <c r="AL7472" s="13" t="s">
        <v>1899</v>
      </c>
      <c r="AM7472" s="14">
        <v>1</v>
      </c>
      <c r="AN7472" s="15" t="s">
        <v>2039</v>
      </c>
    </row>
    <row r="7473" spans="1:40" x14ac:dyDescent="0.3">
      <c r="A7473" s="10" t="str">
        <f>HYPERLINK("http://www.washoecounty.gov/assessor/cama/?parid=526-142-04&amp;CardNumber=1","526-142-04")</f>
        <v>526-142-04</v>
      </c>
      <c r="B7473" t="s">
        <v>4655</v>
      </c>
      <c r="C7473" t="s">
        <v>35147</v>
      </c>
      <c r="D7473" s="1">
        <v>40487</v>
      </c>
      <c r="E7473" s="2">
        <v>119000</v>
      </c>
      <c r="F7473" t="s">
        <v>4553</v>
      </c>
      <c r="G7473" s="17" t="str">
        <f>HYPERLINK("https://www.washoecounty.gov/assessor/cama/?command=sales&amp;parid=52614204","3940530")</f>
        <v>3940530</v>
      </c>
      <c r="H7473" t="s">
        <v>1336</v>
      </c>
      <c r="I7473">
        <v>2005</v>
      </c>
      <c r="J7473">
        <v>2005</v>
      </c>
      <c r="K7473" t="s">
        <v>4554</v>
      </c>
      <c r="L7473" t="s">
        <v>3974</v>
      </c>
      <c r="M7473" s="2">
        <v>1850</v>
      </c>
      <c r="N7473" t="s">
        <v>5280</v>
      </c>
      <c r="O7473">
        <v>3</v>
      </c>
      <c r="P7473">
        <v>2</v>
      </c>
      <c r="Q7473">
        <v>1</v>
      </c>
      <c r="R7473" t="s">
        <v>5281</v>
      </c>
      <c r="S7473" t="s">
        <v>4898</v>
      </c>
      <c r="T7473" t="s">
        <v>2704</v>
      </c>
      <c r="U7473" t="s">
        <v>5631</v>
      </c>
      <c r="V7473" s="2">
        <v>450</v>
      </c>
      <c r="W7473" t="s">
        <v>4655</v>
      </c>
      <c r="X7473" s="2">
        <v>0</v>
      </c>
      <c r="Y7473">
        <v>20</v>
      </c>
      <c r="Z7473" t="s">
        <v>2048</v>
      </c>
      <c r="AA7473" s="3">
        <v>7.1349859237670898E-2</v>
      </c>
      <c r="AB7473" t="s">
        <v>35148</v>
      </c>
      <c r="AC7473" t="s">
        <v>4562</v>
      </c>
      <c r="AD7473" t="s">
        <v>35149</v>
      </c>
      <c r="AE7473" t="s">
        <v>4655</v>
      </c>
      <c r="AF7473" t="s">
        <v>5201</v>
      </c>
      <c r="AG7473" t="s">
        <v>4564</v>
      </c>
      <c r="AH7473" t="s">
        <v>5202</v>
      </c>
      <c r="AI7473" t="s">
        <v>4565</v>
      </c>
      <c r="AJ7473" t="s">
        <v>923</v>
      </c>
      <c r="AK7473" t="s">
        <v>35150</v>
      </c>
      <c r="AL7473" s="13" t="s">
        <v>1899</v>
      </c>
      <c r="AM7473">
        <v>1</v>
      </c>
      <c r="AN7473" s="15" t="s">
        <v>2039</v>
      </c>
    </row>
    <row r="7474" spans="1:40" x14ac:dyDescent="0.3">
      <c r="A7474" s="10" t="str">
        <f>HYPERLINK("http://www.washoecounty.gov/assessor/cama/?parid=526-142-11&amp;CardNumber=1","526-142-11")</f>
        <v>526-142-11</v>
      </c>
      <c r="B7474" t="s">
        <v>4655</v>
      </c>
      <c r="C7474" t="s">
        <v>35151</v>
      </c>
      <c r="D7474" s="1">
        <v>40499</v>
      </c>
      <c r="E7474" s="2">
        <v>123000</v>
      </c>
      <c r="F7474" t="s">
        <v>4567</v>
      </c>
      <c r="G7474" s="17" t="str">
        <f>HYPERLINK("https://www.washoecounty.gov/assessor/cama/?command=sales&amp;parid=52614211","3943969")</f>
        <v>3943969</v>
      </c>
      <c r="H7474" t="s">
        <v>1336</v>
      </c>
      <c r="I7474">
        <v>2005</v>
      </c>
      <c r="J7474">
        <v>2005</v>
      </c>
      <c r="K7474" t="s">
        <v>4554</v>
      </c>
      <c r="L7474" t="s">
        <v>3974</v>
      </c>
      <c r="M7474" s="2">
        <v>1850</v>
      </c>
      <c r="N7474" t="s">
        <v>5280</v>
      </c>
      <c r="O7474">
        <v>3</v>
      </c>
      <c r="P7474">
        <v>2</v>
      </c>
      <c r="Q7474">
        <v>1</v>
      </c>
      <c r="R7474" t="s">
        <v>5281</v>
      </c>
      <c r="S7474" t="s">
        <v>4898</v>
      </c>
      <c r="T7474" t="s">
        <v>2704</v>
      </c>
      <c r="U7474" t="s">
        <v>5631</v>
      </c>
      <c r="V7474" s="2">
        <v>450</v>
      </c>
      <c r="W7474" t="s">
        <v>4655</v>
      </c>
      <c r="X7474" s="2">
        <v>0</v>
      </c>
      <c r="Y7474">
        <v>20</v>
      </c>
      <c r="Z7474" t="s">
        <v>2048</v>
      </c>
      <c r="AA7474" s="3">
        <v>7.0752985775470706E-2</v>
      </c>
      <c r="AB7474" t="s">
        <v>35152</v>
      </c>
      <c r="AC7474" t="s">
        <v>4575</v>
      </c>
      <c r="AD7474" t="s">
        <v>35153</v>
      </c>
      <c r="AE7474" t="s">
        <v>4655</v>
      </c>
      <c r="AF7474" t="s">
        <v>4563</v>
      </c>
      <c r="AG7474" t="s">
        <v>4564</v>
      </c>
      <c r="AH7474" t="s">
        <v>5197</v>
      </c>
      <c r="AI7474" t="s">
        <v>35152</v>
      </c>
      <c r="AJ7474" t="s">
        <v>923</v>
      </c>
      <c r="AK7474" t="s">
        <v>35154</v>
      </c>
      <c r="AL7474" s="13" t="s">
        <v>1899</v>
      </c>
      <c r="AM7474">
        <v>1</v>
      </c>
      <c r="AN7474" s="15" t="s">
        <v>2039</v>
      </c>
    </row>
    <row r="7475" spans="1:40" x14ac:dyDescent="0.3">
      <c r="A7475" s="10" t="str">
        <f>HYPERLINK("http://www.washoecounty.gov/assessor/cama/?parid=526-142-12&amp;CardNumber=1","526-142-12")</f>
        <v>526-142-12</v>
      </c>
      <c r="B7475" t="s">
        <v>4655</v>
      </c>
      <c r="C7475" t="s">
        <v>35155</v>
      </c>
      <c r="D7475" s="1">
        <v>40522</v>
      </c>
      <c r="E7475" s="2">
        <v>134500</v>
      </c>
      <c r="F7475" t="s">
        <v>4567</v>
      </c>
      <c r="G7475" s="17" t="str">
        <f>HYPERLINK("https://www.washoecounty.gov/assessor/cama/?command=sales&amp;parid=52614212","3952278")</f>
        <v>3952278</v>
      </c>
      <c r="H7475" t="s">
        <v>1336</v>
      </c>
      <c r="I7475">
        <v>2005</v>
      </c>
      <c r="J7475">
        <v>2005</v>
      </c>
      <c r="K7475" t="s">
        <v>4554</v>
      </c>
      <c r="L7475" t="s">
        <v>3974</v>
      </c>
      <c r="M7475" s="2">
        <v>1540</v>
      </c>
      <c r="N7475" t="s">
        <v>5280</v>
      </c>
      <c r="O7475">
        <v>3</v>
      </c>
      <c r="P7475">
        <v>2</v>
      </c>
      <c r="Q7475">
        <v>1</v>
      </c>
      <c r="R7475" t="s">
        <v>5281</v>
      </c>
      <c r="S7475" t="s">
        <v>4898</v>
      </c>
      <c r="T7475" t="s">
        <v>2704</v>
      </c>
      <c r="U7475" t="s">
        <v>4560</v>
      </c>
      <c r="V7475" s="2">
        <v>429</v>
      </c>
      <c r="W7475" t="s">
        <v>4655</v>
      </c>
      <c r="X7475" s="2">
        <v>0</v>
      </c>
      <c r="Y7475">
        <v>20</v>
      </c>
      <c r="Z7475" t="s">
        <v>2048</v>
      </c>
      <c r="AA7475" s="3">
        <v>6.8801656365394606E-2</v>
      </c>
      <c r="AB7475" t="s">
        <v>35156</v>
      </c>
      <c r="AC7475" t="s">
        <v>4562</v>
      </c>
      <c r="AD7475" t="s">
        <v>35157</v>
      </c>
      <c r="AE7475" t="s">
        <v>4655</v>
      </c>
      <c r="AF7475" t="s">
        <v>5201</v>
      </c>
      <c r="AG7475" t="s">
        <v>4564</v>
      </c>
      <c r="AH7475" t="s">
        <v>1605</v>
      </c>
      <c r="AI7475" t="s">
        <v>35158</v>
      </c>
      <c r="AJ7475" t="s">
        <v>923</v>
      </c>
      <c r="AK7475" t="s">
        <v>35159</v>
      </c>
      <c r="AL7475" s="13" t="s">
        <v>1899</v>
      </c>
      <c r="AM7475" s="14">
        <v>1</v>
      </c>
      <c r="AN7475" s="15" t="s">
        <v>2039</v>
      </c>
    </row>
    <row r="7476" spans="1:40" x14ac:dyDescent="0.3">
      <c r="A7476" s="10" t="str">
        <f>HYPERLINK("http://www.washoecounty.gov/assessor/cama/?parid=526-142-13&amp;CardNumber=1","526-142-13")</f>
        <v>526-142-13</v>
      </c>
      <c r="B7476" t="s">
        <v>4655</v>
      </c>
      <c r="C7476" t="s">
        <v>35160</v>
      </c>
      <c r="D7476" s="1">
        <v>40451</v>
      </c>
      <c r="E7476" s="2">
        <v>130000</v>
      </c>
      <c r="F7476" t="s">
        <v>4567</v>
      </c>
      <c r="G7476" s="17" t="str">
        <f>HYPERLINK("https://www.washoecounty.gov/assessor/cama/?command=sales&amp;parid=52614213","3928454")</f>
        <v>3928454</v>
      </c>
      <c r="H7476" t="s">
        <v>1336</v>
      </c>
      <c r="I7476">
        <v>2005</v>
      </c>
      <c r="J7476">
        <v>2005</v>
      </c>
      <c r="K7476" t="s">
        <v>4554</v>
      </c>
      <c r="L7476" t="s">
        <v>3974</v>
      </c>
      <c r="M7476" s="2">
        <v>1850</v>
      </c>
      <c r="N7476" t="s">
        <v>5280</v>
      </c>
      <c r="O7476">
        <v>3</v>
      </c>
      <c r="P7476">
        <v>2</v>
      </c>
      <c r="Q7476">
        <v>1</v>
      </c>
      <c r="R7476" t="s">
        <v>5281</v>
      </c>
      <c r="S7476" t="s">
        <v>4898</v>
      </c>
      <c r="T7476" t="s">
        <v>2704</v>
      </c>
      <c r="U7476" t="s">
        <v>5631</v>
      </c>
      <c r="V7476" s="2">
        <v>450</v>
      </c>
      <c r="W7476" t="s">
        <v>4655</v>
      </c>
      <c r="X7476" s="2">
        <v>0</v>
      </c>
      <c r="Y7476">
        <v>20</v>
      </c>
      <c r="Z7476" t="s">
        <v>2048</v>
      </c>
      <c r="AA7476" s="3">
        <v>6.8801656365394606E-2</v>
      </c>
      <c r="AB7476" t="s">
        <v>35161</v>
      </c>
      <c r="AC7476" t="s">
        <v>4562</v>
      </c>
      <c r="AD7476" t="s">
        <v>35160</v>
      </c>
      <c r="AE7476" t="s">
        <v>4655</v>
      </c>
      <c r="AF7476" t="s">
        <v>5201</v>
      </c>
      <c r="AG7476" t="s">
        <v>4564</v>
      </c>
      <c r="AH7476" t="s">
        <v>1605</v>
      </c>
      <c r="AI7476" t="s">
        <v>35162</v>
      </c>
      <c r="AJ7476" t="s">
        <v>923</v>
      </c>
      <c r="AK7476" t="s">
        <v>35163</v>
      </c>
      <c r="AL7476" s="13" t="s">
        <v>1899</v>
      </c>
      <c r="AM7476" s="14">
        <v>1</v>
      </c>
      <c r="AN7476" s="15" t="s">
        <v>2039</v>
      </c>
    </row>
    <row r="7477" spans="1:40" x14ac:dyDescent="0.3">
      <c r="A7477" s="10" t="str">
        <f>HYPERLINK("http://www.washoecounty.gov/assessor/cama/?parid=526-152-02&amp;CardNumber=1","526-152-02")</f>
        <v>526-152-02</v>
      </c>
      <c r="B7477" t="s">
        <v>4655</v>
      </c>
      <c r="C7477" t="s">
        <v>35164</v>
      </c>
      <c r="D7477" s="1">
        <v>40297</v>
      </c>
      <c r="E7477" s="2">
        <v>145000</v>
      </c>
      <c r="F7477" t="s">
        <v>4567</v>
      </c>
      <c r="G7477" s="17" t="str">
        <f>HYPERLINK("https://www.washoecounty.gov/assessor/cama/?command=sales&amp;parid=52615202","3875994")</f>
        <v>3875994</v>
      </c>
      <c r="H7477" t="s">
        <v>1336</v>
      </c>
      <c r="I7477">
        <v>2006</v>
      </c>
      <c r="J7477">
        <v>2006</v>
      </c>
      <c r="K7477" t="s">
        <v>4554</v>
      </c>
      <c r="L7477" t="s">
        <v>3974</v>
      </c>
      <c r="M7477" s="2">
        <v>1996</v>
      </c>
      <c r="N7477" t="s">
        <v>5280</v>
      </c>
      <c r="O7477">
        <v>4</v>
      </c>
      <c r="P7477">
        <v>2</v>
      </c>
      <c r="Q7477">
        <v>1</v>
      </c>
      <c r="R7477" t="s">
        <v>5281</v>
      </c>
      <c r="S7477" t="s">
        <v>4898</v>
      </c>
      <c r="T7477" t="s">
        <v>2704</v>
      </c>
      <c r="U7477" t="s">
        <v>5631</v>
      </c>
      <c r="V7477" s="2">
        <v>441</v>
      </c>
      <c r="W7477" t="s">
        <v>4655</v>
      </c>
      <c r="X7477" s="2">
        <v>0</v>
      </c>
      <c r="Y7477">
        <v>20</v>
      </c>
      <c r="Z7477" t="s">
        <v>2048</v>
      </c>
      <c r="AA7477" s="3">
        <v>7.4150599539279896E-2</v>
      </c>
      <c r="AB7477" t="s">
        <v>35165</v>
      </c>
      <c r="AC7477" t="s">
        <v>4575</v>
      </c>
      <c r="AD7477" t="s">
        <v>35164</v>
      </c>
      <c r="AE7477" t="s">
        <v>4655</v>
      </c>
      <c r="AF7477" t="s">
        <v>5201</v>
      </c>
      <c r="AG7477" t="s">
        <v>4564</v>
      </c>
      <c r="AH7477" t="s">
        <v>1605</v>
      </c>
      <c r="AI7477" t="s">
        <v>35166</v>
      </c>
      <c r="AJ7477" t="s">
        <v>923</v>
      </c>
      <c r="AK7477" t="s">
        <v>35167</v>
      </c>
      <c r="AL7477" s="13" t="s">
        <v>1899</v>
      </c>
      <c r="AM7477">
        <v>1</v>
      </c>
      <c r="AN7477" s="15" t="s">
        <v>2039</v>
      </c>
    </row>
    <row r="7478" spans="1:40" x14ac:dyDescent="0.3">
      <c r="A7478" s="10" t="str">
        <f>HYPERLINK("http://www.washoecounty.gov/assessor/cama/?parid=526-152-03&amp;CardNumber=1","526-152-03")</f>
        <v>526-152-03</v>
      </c>
      <c r="B7478" t="s">
        <v>4655</v>
      </c>
      <c r="C7478" t="s">
        <v>35168</v>
      </c>
      <c r="D7478" s="1">
        <v>40282</v>
      </c>
      <c r="E7478" s="2">
        <v>144226</v>
      </c>
      <c r="F7478" t="s">
        <v>4567</v>
      </c>
      <c r="G7478" s="17" t="str">
        <f>HYPERLINK("https://www.washoecounty.gov/assessor/cama/?command=sales&amp;parid=52615203","3870906")</f>
        <v>3870906</v>
      </c>
      <c r="H7478" t="s">
        <v>1336</v>
      </c>
      <c r="I7478">
        <v>2006</v>
      </c>
      <c r="J7478">
        <v>2006</v>
      </c>
      <c r="K7478" t="s">
        <v>4554</v>
      </c>
      <c r="L7478" t="s">
        <v>3974</v>
      </c>
      <c r="M7478" s="2">
        <v>1549</v>
      </c>
      <c r="N7478" t="s">
        <v>5280</v>
      </c>
      <c r="O7478">
        <v>3</v>
      </c>
      <c r="P7478">
        <v>2</v>
      </c>
      <c r="Q7478">
        <v>1</v>
      </c>
      <c r="R7478" t="s">
        <v>5281</v>
      </c>
      <c r="S7478" t="s">
        <v>4898</v>
      </c>
      <c r="T7478" t="s">
        <v>2704</v>
      </c>
      <c r="U7478" t="s">
        <v>4560</v>
      </c>
      <c r="V7478" s="2">
        <v>420</v>
      </c>
      <c r="W7478" t="s">
        <v>4655</v>
      </c>
      <c r="X7478" s="2">
        <v>0</v>
      </c>
      <c r="Y7478">
        <v>20</v>
      </c>
      <c r="Z7478" t="s">
        <v>2048</v>
      </c>
      <c r="AA7478" s="3">
        <v>6.8296603858470903E-2</v>
      </c>
      <c r="AB7478" t="s">
        <v>35169</v>
      </c>
      <c r="AC7478" t="s">
        <v>4562</v>
      </c>
      <c r="AD7478" t="s">
        <v>35170</v>
      </c>
      <c r="AE7478" t="s">
        <v>4655</v>
      </c>
      <c r="AF7478" t="s">
        <v>4809</v>
      </c>
      <c r="AG7478" t="s">
        <v>4564</v>
      </c>
      <c r="AH7478" t="s">
        <v>1605</v>
      </c>
      <c r="AI7478" t="s">
        <v>35171</v>
      </c>
      <c r="AJ7478" t="s">
        <v>923</v>
      </c>
      <c r="AK7478" t="s">
        <v>35172</v>
      </c>
      <c r="AL7478" s="13" t="s">
        <v>1899</v>
      </c>
      <c r="AM7478">
        <v>1</v>
      </c>
      <c r="AN7478" s="15" t="s">
        <v>2039</v>
      </c>
    </row>
    <row r="7479" spans="1:40" x14ac:dyDescent="0.3">
      <c r="A7479" s="10" t="str">
        <f>HYPERLINK("http://www.washoecounty.gov/assessor/cama/?parid=526-152-09&amp;CardNumber=1","526-152-09")</f>
        <v>526-152-09</v>
      </c>
      <c r="B7479" t="s">
        <v>4655</v>
      </c>
      <c r="C7479" t="s">
        <v>35173</v>
      </c>
      <c r="D7479" s="1">
        <v>40330</v>
      </c>
      <c r="E7479" s="2">
        <v>194900</v>
      </c>
      <c r="F7479" t="s">
        <v>4567</v>
      </c>
      <c r="G7479" s="17" t="str">
        <f>HYPERLINK("https://www.washoecounty.gov/assessor/cama/?command=sales&amp;parid=52615209","3887177")</f>
        <v>3887177</v>
      </c>
      <c r="H7479" t="s">
        <v>1336</v>
      </c>
      <c r="I7479">
        <v>2005</v>
      </c>
      <c r="J7479">
        <v>2005</v>
      </c>
      <c r="K7479" t="s">
        <v>4554</v>
      </c>
      <c r="L7479" t="s">
        <v>3974</v>
      </c>
      <c r="M7479" s="2">
        <v>1850</v>
      </c>
      <c r="N7479" t="s">
        <v>5280</v>
      </c>
      <c r="O7479">
        <v>4</v>
      </c>
      <c r="P7479">
        <v>2</v>
      </c>
      <c r="Q7479">
        <v>1</v>
      </c>
      <c r="R7479" t="s">
        <v>5281</v>
      </c>
      <c r="S7479" t="s">
        <v>4898</v>
      </c>
      <c r="T7479" t="s">
        <v>2704</v>
      </c>
      <c r="U7479" t="s">
        <v>5631</v>
      </c>
      <c r="V7479" s="2">
        <v>450</v>
      </c>
      <c r="W7479" t="s">
        <v>4655</v>
      </c>
      <c r="X7479" s="2">
        <v>0</v>
      </c>
      <c r="Y7479">
        <v>20</v>
      </c>
      <c r="Z7479" t="s">
        <v>2048</v>
      </c>
      <c r="AA7479" s="3">
        <v>0.101239666342735</v>
      </c>
      <c r="AB7479" t="s">
        <v>35174</v>
      </c>
      <c r="AC7479" t="s">
        <v>4562</v>
      </c>
      <c r="AD7479" t="s">
        <v>35175</v>
      </c>
      <c r="AE7479" t="s">
        <v>4655</v>
      </c>
      <c r="AF7479" t="s">
        <v>5201</v>
      </c>
      <c r="AG7479" t="s">
        <v>4564</v>
      </c>
      <c r="AH7479" t="s">
        <v>1605</v>
      </c>
      <c r="AI7479" t="s">
        <v>35176</v>
      </c>
      <c r="AJ7479" t="s">
        <v>923</v>
      </c>
      <c r="AK7479" t="s">
        <v>35177</v>
      </c>
      <c r="AL7479" s="13" t="s">
        <v>1899</v>
      </c>
      <c r="AM7479">
        <v>1</v>
      </c>
      <c r="AN7479" s="15" t="s">
        <v>2039</v>
      </c>
    </row>
    <row r="7480" spans="1:40" x14ac:dyDescent="0.3">
      <c r="A7480" s="10" t="str">
        <f>HYPERLINK("http://www.washoecounty.gov/assessor/cama/?parid=526-154-03&amp;CardNumber=1","526-154-03")</f>
        <v>526-154-03</v>
      </c>
      <c r="B7480" t="s">
        <v>4655</v>
      </c>
      <c r="C7480" t="s">
        <v>35178</v>
      </c>
      <c r="D7480" s="1">
        <v>40228</v>
      </c>
      <c r="E7480" s="2">
        <v>155000</v>
      </c>
      <c r="F7480" t="s">
        <v>4567</v>
      </c>
      <c r="G7480" s="17" t="str">
        <f>HYPERLINK("https://www.washoecounty.gov/assessor/cama/?command=sales&amp;parid=52615403","3851160")</f>
        <v>3851160</v>
      </c>
      <c r="H7480" t="s">
        <v>1336</v>
      </c>
      <c r="I7480">
        <v>2005</v>
      </c>
      <c r="J7480">
        <v>2005</v>
      </c>
      <c r="K7480" t="s">
        <v>4554</v>
      </c>
      <c r="L7480" t="s">
        <v>3974</v>
      </c>
      <c r="M7480" s="2">
        <v>2202</v>
      </c>
      <c r="N7480" t="s">
        <v>5280</v>
      </c>
      <c r="O7480">
        <v>4</v>
      </c>
      <c r="P7480">
        <v>3</v>
      </c>
      <c r="Q7480">
        <v>1</v>
      </c>
      <c r="R7480" t="s">
        <v>5281</v>
      </c>
      <c r="S7480" t="s">
        <v>4898</v>
      </c>
      <c r="T7480" t="s">
        <v>2704</v>
      </c>
      <c r="U7480" t="s">
        <v>4560</v>
      </c>
      <c r="V7480" s="2">
        <v>447</v>
      </c>
      <c r="W7480" t="s">
        <v>4655</v>
      </c>
      <c r="X7480" s="2">
        <v>0</v>
      </c>
      <c r="Y7480">
        <v>20</v>
      </c>
      <c r="Z7480" t="s">
        <v>2048</v>
      </c>
      <c r="AA7480" s="3">
        <v>7.8604221343994099E-2</v>
      </c>
      <c r="AB7480" t="s">
        <v>35179</v>
      </c>
      <c r="AC7480" t="s">
        <v>4562</v>
      </c>
      <c r="AD7480" t="s">
        <v>35180</v>
      </c>
      <c r="AE7480" t="s">
        <v>4655</v>
      </c>
      <c r="AF7480" t="s">
        <v>4563</v>
      </c>
      <c r="AG7480" t="s">
        <v>4564</v>
      </c>
      <c r="AH7480" t="s">
        <v>5197</v>
      </c>
      <c r="AI7480" t="s">
        <v>35181</v>
      </c>
      <c r="AJ7480" t="s">
        <v>923</v>
      </c>
      <c r="AK7480" t="s">
        <v>35182</v>
      </c>
      <c r="AL7480" s="13" t="s">
        <v>1899</v>
      </c>
      <c r="AM7480">
        <v>1</v>
      </c>
      <c r="AN7480" s="15" t="s">
        <v>2039</v>
      </c>
    </row>
    <row r="7481" spans="1:40" x14ac:dyDescent="0.3">
      <c r="A7481" s="10" t="str">
        <f>HYPERLINK("http://www.washoecounty.gov/assessor/cama/?parid=526-155-02&amp;CardNumber=1","526-155-02")</f>
        <v>526-155-02</v>
      </c>
      <c r="B7481" t="s">
        <v>4655</v>
      </c>
      <c r="C7481" t="s">
        <v>35183</v>
      </c>
      <c r="D7481" s="1">
        <v>40421</v>
      </c>
      <c r="E7481" s="2">
        <v>156000</v>
      </c>
      <c r="F7481" t="s">
        <v>4567</v>
      </c>
      <c r="G7481" s="17" t="str">
        <f>HYPERLINK("https://www.washoecounty.gov/assessor/cama/?command=sales&amp;parid=52615502","3917513")</f>
        <v>3917513</v>
      </c>
      <c r="H7481" t="s">
        <v>1336</v>
      </c>
      <c r="I7481">
        <v>2005</v>
      </c>
      <c r="J7481">
        <v>2005</v>
      </c>
      <c r="K7481" t="s">
        <v>4554</v>
      </c>
      <c r="L7481" t="s">
        <v>3974</v>
      </c>
      <c r="M7481" s="2">
        <v>2202</v>
      </c>
      <c r="N7481" t="s">
        <v>5280</v>
      </c>
      <c r="O7481">
        <v>4</v>
      </c>
      <c r="P7481">
        <v>3</v>
      </c>
      <c r="Q7481">
        <v>1</v>
      </c>
      <c r="R7481" t="s">
        <v>5281</v>
      </c>
      <c r="S7481" t="s">
        <v>4898</v>
      </c>
      <c r="T7481" t="s">
        <v>2704</v>
      </c>
      <c r="U7481" t="s">
        <v>4560</v>
      </c>
      <c r="V7481" s="2">
        <v>447</v>
      </c>
      <c r="W7481" t="s">
        <v>4655</v>
      </c>
      <c r="X7481" s="2">
        <v>0</v>
      </c>
      <c r="Y7481">
        <v>20</v>
      </c>
      <c r="Z7481" t="s">
        <v>2048</v>
      </c>
      <c r="AA7481" s="3">
        <v>6.8296603858470903E-2</v>
      </c>
      <c r="AB7481" t="s">
        <v>35184</v>
      </c>
      <c r="AC7481" t="s">
        <v>4575</v>
      </c>
      <c r="AD7481" t="s">
        <v>35185</v>
      </c>
      <c r="AE7481" t="s">
        <v>4655</v>
      </c>
      <c r="AF7481" t="s">
        <v>4563</v>
      </c>
      <c r="AG7481" t="s">
        <v>4564</v>
      </c>
      <c r="AH7481">
        <v>89512</v>
      </c>
      <c r="AI7481" t="s">
        <v>4655</v>
      </c>
      <c r="AJ7481" t="s">
        <v>923</v>
      </c>
      <c r="AK7481" t="s">
        <v>35186</v>
      </c>
      <c r="AL7481" s="13" t="s">
        <v>1899</v>
      </c>
      <c r="AM7481" s="14">
        <v>1</v>
      </c>
      <c r="AN7481" s="15" t="s">
        <v>2039</v>
      </c>
    </row>
    <row r="7482" spans="1:40" x14ac:dyDescent="0.3">
      <c r="A7482" s="10" t="str">
        <f>HYPERLINK("http://www.washoecounty.gov/assessor/cama/?parid=526-155-07&amp;CardNumber=1","526-155-07")</f>
        <v>526-155-07</v>
      </c>
      <c r="B7482" t="s">
        <v>4655</v>
      </c>
      <c r="C7482" t="s">
        <v>35187</v>
      </c>
      <c r="D7482" s="1">
        <v>40200</v>
      </c>
      <c r="E7482" s="2">
        <v>170000</v>
      </c>
      <c r="F7482" t="s">
        <v>4567</v>
      </c>
      <c r="G7482" s="17" t="str">
        <f>HYPERLINK("https://www.washoecounty.gov/assessor/cama/?command=sales&amp;parid=52615507","3841908")</f>
        <v>3841908</v>
      </c>
      <c r="H7482" t="s">
        <v>1336</v>
      </c>
      <c r="I7482">
        <v>2005</v>
      </c>
      <c r="J7482">
        <v>2005</v>
      </c>
      <c r="K7482" t="s">
        <v>4554</v>
      </c>
      <c r="L7482" t="s">
        <v>3974</v>
      </c>
      <c r="M7482" s="2">
        <v>2202</v>
      </c>
      <c r="N7482" t="s">
        <v>5280</v>
      </c>
      <c r="O7482">
        <v>4</v>
      </c>
      <c r="P7482">
        <v>3</v>
      </c>
      <c r="Q7482">
        <v>1</v>
      </c>
      <c r="R7482" t="s">
        <v>5281</v>
      </c>
      <c r="S7482" t="s">
        <v>4898</v>
      </c>
      <c r="T7482" t="s">
        <v>2704</v>
      </c>
      <c r="U7482" t="s">
        <v>4560</v>
      </c>
      <c r="V7482" s="2">
        <v>447</v>
      </c>
      <c r="W7482" t="s">
        <v>4655</v>
      </c>
      <c r="X7482" s="2">
        <v>0</v>
      </c>
      <c r="Y7482">
        <v>20</v>
      </c>
      <c r="Z7482" t="s">
        <v>2048</v>
      </c>
      <c r="AA7482" s="3">
        <v>6.8296603858470903E-2</v>
      </c>
      <c r="AB7482" t="s">
        <v>35188</v>
      </c>
      <c r="AC7482" t="s">
        <v>4562</v>
      </c>
      <c r="AD7482" t="s">
        <v>35189</v>
      </c>
      <c r="AE7482" t="s">
        <v>4655</v>
      </c>
      <c r="AF7482" t="s">
        <v>4809</v>
      </c>
      <c r="AG7482" t="s">
        <v>4564</v>
      </c>
      <c r="AH7482" t="s">
        <v>1605</v>
      </c>
      <c r="AI7482" t="s">
        <v>4655</v>
      </c>
      <c r="AJ7482" t="s">
        <v>923</v>
      </c>
      <c r="AK7482" t="s">
        <v>35190</v>
      </c>
      <c r="AL7482" s="13" t="s">
        <v>1899</v>
      </c>
      <c r="AM7482">
        <v>1</v>
      </c>
      <c r="AN7482" s="15" t="s">
        <v>2039</v>
      </c>
    </row>
    <row r="7483" spans="1:40" x14ac:dyDescent="0.3">
      <c r="A7483" s="10" t="str">
        <f>HYPERLINK("http://www.washoecounty.gov/assessor/cama/?parid=526-162-06&amp;CardNumber=1","526-162-06")</f>
        <v>526-162-06</v>
      </c>
      <c r="B7483" t="s">
        <v>4655</v>
      </c>
      <c r="C7483" t="s">
        <v>35191</v>
      </c>
      <c r="D7483" s="1">
        <v>40289</v>
      </c>
      <c r="E7483" s="2">
        <v>155000</v>
      </c>
      <c r="F7483" t="s">
        <v>4567</v>
      </c>
      <c r="G7483" s="17" t="str">
        <f>HYPERLINK("https://www.washoecounty.gov/assessor/cama/?command=sales&amp;parid=52616206","3873456")</f>
        <v>3873456</v>
      </c>
      <c r="H7483" t="s">
        <v>1336</v>
      </c>
      <c r="I7483">
        <v>2005</v>
      </c>
      <c r="J7483">
        <v>2005</v>
      </c>
      <c r="K7483" t="s">
        <v>4554</v>
      </c>
      <c r="L7483" t="s">
        <v>3974</v>
      </c>
      <c r="M7483" s="2">
        <v>2056</v>
      </c>
      <c r="N7483" t="s">
        <v>5280</v>
      </c>
      <c r="O7483">
        <v>3</v>
      </c>
      <c r="P7483">
        <v>2</v>
      </c>
      <c r="Q7483">
        <v>1</v>
      </c>
      <c r="R7483" t="s">
        <v>5281</v>
      </c>
      <c r="S7483" t="s">
        <v>4898</v>
      </c>
      <c r="T7483" t="s">
        <v>2704</v>
      </c>
      <c r="U7483" t="s">
        <v>5631</v>
      </c>
      <c r="V7483" s="2">
        <v>429</v>
      </c>
      <c r="W7483" t="s">
        <v>4655</v>
      </c>
      <c r="X7483" s="2">
        <v>0</v>
      </c>
      <c r="Y7483">
        <v>20</v>
      </c>
      <c r="Z7483" t="s">
        <v>2048</v>
      </c>
      <c r="AA7483" s="3">
        <v>8.0945819616317694E-2</v>
      </c>
      <c r="AB7483" t="s">
        <v>35192</v>
      </c>
      <c r="AC7483" t="s">
        <v>4562</v>
      </c>
      <c r="AD7483" t="s">
        <v>35191</v>
      </c>
      <c r="AE7483" t="s">
        <v>4655</v>
      </c>
      <c r="AF7483" t="s">
        <v>5201</v>
      </c>
      <c r="AG7483" t="s">
        <v>4564</v>
      </c>
      <c r="AH7483" t="s">
        <v>1605</v>
      </c>
      <c r="AI7483" t="s">
        <v>35193</v>
      </c>
      <c r="AJ7483" t="s">
        <v>923</v>
      </c>
      <c r="AK7483" t="s">
        <v>35194</v>
      </c>
      <c r="AL7483" s="13" t="s">
        <v>1899</v>
      </c>
      <c r="AM7483">
        <v>1</v>
      </c>
      <c r="AN7483" s="15" t="s">
        <v>2039</v>
      </c>
    </row>
    <row r="7484" spans="1:40" x14ac:dyDescent="0.3">
      <c r="A7484" s="10" t="str">
        <f>HYPERLINK("http://www.washoecounty.gov/assessor/cama/?parid=526-162-12&amp;CardNumber=1","526-162-12")</f>
        <v>526-162-12</v>
      </c>
      <c r="B7484" t="s">
        <v>4655</v>
      </c>
      <c r="C7484" t="s">
        <v>35195</v>
      </c>
      <c r="D7484" s="1">
        <v>40239</v>
      </c>
      <c r="E7484" s="2">
        <v>150000</v>
      </c>
      <c r="F7484" t="s">
        <v>4553</v>
      </c>
      <c r="G7484" s="17" t="str">
        <f>HYPERLINK("https://www.washoecounty.gov/assessor/cama/?command=sales&amp;parid=52616212","3854681")</f>
        <v>3854681</v>
      </c>
      <c r="H7484" t="s">
        <v>1336</v>
      </c>
      <c r="I7484">
        <v>2007</v>
      </c>
      <c r="J7484">
        <v>2007</v>
      </c>
      <c r="K7484" t="s">
        <v>4554</v>
      </c>
      <c r="L7484" t="s">
        <v>3974</v>
      </c>
      <c r="M7484" s="2">
        <v>1884</v>
      </c>
      <c r="N7484" t="s">
        <v>5280</v>
      </c>
      <c r="O7484">
        <v>4</v>
      </c>
      <c r="P7484">
        <v>2</v>
      </c>
      <c r="Q7484">
        <v>1</v>
      </c>
      <c r="R7484" t="s">
        <v>5281</v>
      </c>
      <c r="S7484" t="s">
        <v>4898</v>
      </c>
      <c r="T7484" t="s">
        <v>2704</v>
      </c>
      <c r="U7484" t="s">
        <v>5631</v>
      </c>
      <c r="V7484" s="2">
        <v>441</v>
      </c>
      <c r="W7484" t="s">
        <v>4655</v>
      </c>
      <c r="X7484" s="2">
        <v>0</v>
      </c>
      <c r="Y7484">
        <v>20</v>
      </c>
      <c r="Z7484" t="s">
        <v>2048</v>
      </c>
      <c r="AA7484" s="3">
        <v>7.6515153050422696E-2</v>
      </c>
      <c r="AB7484" t="s">
        <v>35196</v>
      </c>
      <c r="AC7484" t="s">
        <v>4562</v>
      </c>
      <c r="AD7484" t="s">
        <v>35195</v>
      </c>
      <c r="AE7484" t="s">
        <v>4655</v>
      </c>
      <c r="AF7484" t="s">
        <v>5201</v>
      </c>
      <c r="AG7484" t="s">
        <v>4564</v>
      </c>
      <c r="AH7484" t="s">
        <v>1605</v>
      </c>
      <c r="AI7484" t="s">
        <v>4655</v>
      </c>
      <c r="AJ7484" t="s">
        <v>923</v>
      </c>
      <c r="AK7484" t="s">
        <v>35197</v>
      </c>
      <c r="AL7484" s="13" t="s">
        <v>1899</v>
      </c>
      <c r="AM7484">
        <v>1</v>
      </c>
      <c r="AN7484" s="15" t="s">
        <v>2039</v>
      </c>
    </row>
    <row r="7485" spans="1:40" x14ac:dyDescent="0.3">
      <c r="A7485" s="10" t="str">
        <f>HYPERLINK("http://www.washoecounty.gov/assessor/cama/?parid=526-163-04&amp;CardNumber=1","526-163-04")</f>
        <v>526-163-04</v>
      </c>
      <c r="B7485" t="s">
        <v>4655</v>
      </c>
      <c r="C7485" t="s">
        <v>35198</v>
      </c>
      <c r="D7485" s="1">
        <v>40233</v>
      </c>
      <c r="E7485" s="2">
        <v>140000</v>
      </c>
      <c r="F7485" t="s">
        <v>4567</v>
      </c>
      <c r="G7485" s="17" t="str">
        <f>HYPERLINK("https://www.washoecounty.gov/assessor/cama/?command=sales&amp;parid=52616304","3852345")</f>
        <v>3852345</v>
      </c>
      <c r="H7485" t="s">
        <v>1336</v>
      </c>
      <c r="I7485">
        <v>2005</v>
      </c>
      <c r="J7485">
        <v>2005</v>
      </c>
      <c r="K7485" t="s">
        <v>4554</v>
      </c>
      <c r="L7485" t="s">
        <v>3974</v>
      </c>
      <c r="M7485" s="2">
        <v>1760</v>
      </c>
      <c r="N7485" t="s">
        <v>5280</v>
      </c>
      <c r="O7485">
        <v>3</v>
      </c>
      <c r="P7485">
        <v>2</v>
      </c>
      <c r="Q7485">
        <v>1</v>
      </c>
      <c r="R7485" t="s">
        <v>5281</v>
      </c>
      <c r="S7485" t="s">
        <v>4898</v>
      </c>
      <c r="T7485" t="s">
        <v>2704</v>
      </c>
      <c r="U7485" t="s">
        <v>5631</v>
      </c>
      <c r="V7485" s="2">
        <v>420</v>
      </c>
      <c r="W7485" t="s">
        <v>4655</v>
      </c>
      <c r="X7485" s="2">
        <v>0</v>
      </c>
      <c r="Y7485">
        <v>20</v>
      </c>
      <c r="Z7485" t="s">
        <v>2048</v>
      </c>
      <c r="AA7485" s="3">
        <v>8.1703394651413006E-2</v>
      </c>
      <c r="AB7485" t="s">
        <v>35199</v>
      </c>
      <c r="AC7485" t="s">
        <v>4562</v>
      </c>
      <c r="AD7485" t="s">
        <v>35198</v>
      </c>
      <c r="AE7485" t="s">
        <v>4655</v>
      </c>
      <c r="AF7485" t="s">
        <v>5201</v>
      </c>
      <c r="AG7485" t="s">
        <v>4564</v>
      </c>
      <c r="AH7485" t="s">
        <v>1605</v>
      </c>
      <c r="AI7485" t="s">
        <v>35200</v>
      </c>
      <c r="AJ7485" t="s">
        <v>923</v>
      </c>
      <c r="AK7485" t="s">
        <v>35201</v>
      </c>
      <c r="AL7485" s="13" t="s">
        <v>1899</v>
      </c>
      <c r="AM7485">
        <v>1</v>
      </c>
      <c r="AN7485" s="15" t="s">
        <v>2039</v>
      </c>
    </row>
    <row r="7486" spans="1:40" x14ac:dyDescent="0.3">
      <c r="A7486" s="10" t="str">
        <f>HYPERLINK("http://www.washoecounty.gov/assessor/cama/?parid=526-171-02&amp;CardNumber=1","526-171-02")</f>
        <v>526-171-02</v>
      </c>
      <c r="B7486" t="s">
        <v>4655</v>
      </c>
      <c r="C7486" t="s">
        <v>35202</v>
      </c>
      <c r="D7486" s="1">
        <v>40228</v>
      </c>
      <c r="E7486" s="2">
        <v>145000</v>
      </c>
      <c r="F7486" t="s">
        <v>4567</v>
      </c>
      <c r="G7486" s="17" t="str">
        <f>HYPERLINK("https://www.washoecounty.gov/assessor/cama/?command=sales&amp;parid=52617102","3851211")</f>
        <v>3851211</v>
      </c>
      <c r="H7486" t="s">
        <v>1336</v>
      </c>
      <c r="I7486">
        <v>2005</v>
      </c>
      <c r="J7486">
        <v>2005</v>
      </c>
      <c r="K7486" t="s">
        <v>4554</v>
      </c>
      <c r="L7486" t="s">
        <v>3974</v>
      </c>
      <c r="M7486" s="2">
        <v>1850</v>
      </c>
      <c r="N7486" t="s">
        <v>5280</v>
      </c>
      <c r="O7486">
        <v>3</v>
      </c>
      <c r="P7486">
        <v>2</v>
      </c>
      <c r="Q7486">
        <v>1</v>
      </c>
      <c r="R7486" t="s">
        <v>5281</v>
      </c>
      <c r="S7486" t="s">
        <v>4898</v>
      </c>
      <c r="T7486" t="s">
        <v>2704</v>
      </c>
      <c r="U7486" t="s">
        <v>5631</v>
      </c>
      <c r="V7486" s="2">
        <v>450</v>
      </c>
      <c r="W7486" t="s">
        <v>4655</v>
      </c>
      <c r="X7486" s="2">
        <v>0</v>
      </c>
      <c r="Y7486">
        <v>20</v>
      </c>
      <c r="Z7486" t="s">
        <v>2048</v>
      </c>
      <c r="AA7486" s="3">
        <v>7.2084479033947005E-2</v>
      </c>
      <c r="AB7486" t="s">
        <v>35203</v>
      </c>
      <c r="AC7486" t="s">
        <v>4575</v>
      </c>
      <c r="AD7486" t="s">
        <v>35202</v>
      </c>
      <c r="AE7486" t="s">
        <v>4655</v>
      </c>
      <c r="AF7486" t="s">
        <v>5201</v>
      </c>
      <c r="AG7486" t="s">
        <v>4564</v>
      </c>
      <c r="AH7486" t="s">
        <v>1605</v>
      </c>
      <c r="AI7486" t="s">
        <v>35204</v>
      </c>
      <c r="AJ7486" t="s">
        <v>923</v>
      </c>
      <c r="AK7486" t="s">
        <v>35205</v>
      </c>
      <c r="AL7486" s="13" t="s">
        <v>1899</v>
      </c>
      <c r="AM7486">
        <v>1</v>
      </c>
      <c r="AN7486" s="15" t="s">
        <v>2039</v>
      </c>
    </row>
    <row r="7487" spans="1:40" x14ac:dyDescent="0.3">
      <c r="A7487" s="10" t="str">
        <f>HYPERLINK("http://www.washoecounty.gov/assessor/cama/?parid=526-171-06&amp;CardNumber=1","526-171-06")</f>
        <v>526-171-06</v>
      </c>
      <c r="B7487" t="s">
        <v>4655</v>
      </c>
      <c r="C7487" t="s">
        <v>35206</v>
      </c>
      <c r="D7487" s="1">
        <v>40316</v>
      </c>
      <c r="E7487" s="2">
        <v>145500</v>
      </c>
      <c r="F7487" t="s">
        <v>4567</v>
      </c>
      <c r="G7487" s="17" t="str">
        <f>HYPERLINK("https://www.washoecounty.gov/assessor/cama/?command=sales&amp;parid=52617106","3882606")</f>
        <v>3882606</v>
      </c>
      <c r="H7487" t="s">
        <v>1336</v>
      </c>
      <c r="I7487">
        <v>2005</v>
      </c>
      <c r="J7487">
        <v>2005</v>
      </c>
      <c r="K7487" t="s">
        <v>4554</v>
      </c>
      <c r="L7487" t="s">
        <v>3974</v>
      </c>
      <c r="M7487" s="2">
        <v>1540</v>
      </c>
      <c r="N7487" t="s">
        <v>5280</v>
      </c>
      <c r="O7487">
        <v>3</v>
      </c>
      <c r="P7487">
        <v>2</v>
      </c>
      <c r="Q7487">
        <v>1</v>
      </c>
      <c r="R7487" t="s">
        <v>5281</v>
      </c>
      <c r="S7487" t="s">
        <v>4898</v>
      </c>
      <c r="T7487" t="s">
        <v>2704</v>
      </c>
      <c r="U7487" t="s">
        <v>4560</v>
      </c>
      <c r="V7487" s="2">
        <v>429</v>
      </c>
      <c r="W7487" t="s">
        <v>4655</v>
      </c>
      <c r="X7487" s="2">
        <v>0</v>
      </c>
      <c r="Y7487">
        <v>20</v>
      </c>
      <c r="Z7487" t="s">
        <v>2048</v>
      </c>
      <c r="AA7487" s="3">
        <v>7.1533516049385099E-2</v>
      </c>
      <c r="AB7487" t="s">
        <v>35207</v>
      </c>
      <c r="AC7487" t="s">
        <v>4562</v>
      </c>
      <c r="AD7487" t="s">
        <v>35206</v>
      </c>
      <c r="AE7487" t="s">
        <v>4655</v>
      </c>
      <c r="AF7487" t="s">
        <v>5201</v>
      </c>
      <c r="AG7487" t="s">
        <v>4564</v>
      </c>
      <c r="AH7487" t="s">
        <v>1605</v>
      </c>
      <c r="AI7487" t="s">
        <v>35208</v>
      </c>
      <c r="AJ7487" t="s">
        <v>923</v>
      </c>
      <c r="AK7487" t="s">
        <v>35209</v>
      </c>
      <c r="AL7487" s="13" t="s">
        <v>1899</v>
      </c>
      <c r="AM7487" s="14">
        <v>1</v>
      </c>
      <c r="AN7487" s="15" t="s">
        <v>2039</v>
      </c>
    </row>
    <row r="7488" spans="1:40" x14ac:dyDescent="0.3">
      <c r="A7488" s="10" t="str">
        <f>HYPERLINK("http://www.washoecounty.gov/assessor/cama/?parid=526-171-08&amp;CardNumber=1","526-171-08")</f>
        <v>526-171-08</v>
      </c>
      <c r="B7488" t="s">
        <v>4655</v>
      </c>
      <c r="C7488" t="s">
        <v>35210</v>
      </c>
      <c r="D7488" s="1">
        <v>40233</v>
      </c>
      <c r="E7488" s="2">
        <v>160000</v>
      </c>
      <c r="F7488" t="s">
        <v>4553</v>
      </c>
      <c r="G7488" s="17" t="str">
        <f>HYPERLINK("https://www.washoecounty.gov/assessor/cama/?command=sales&amp;parid=52617108","3852377")</f>
        <v>3852377</v>
      </c>
      <c r="H7488" t="s">
        <v>1336</v>
      </c>
      <c r="I7488">
        <v>2005</v>
      </c>
      <c r="J7488">
        <v>2005</v>
      </c>
      <c r="K7488" t="s">
        <v>4554</v>
      </c>
      <c r="L7488" t="s">
        <v>3974</v>
      </c>
      <c r="M7488" s="2">
        <v>1850</v>
      </c>
      <c r="N7488" t="s">
        <v>5280</v>
      </c>
      <c r="O7488">
        <v>3</v>
      </c>
      <c r="P7488">
        <v>2</v>
      </c>
      <c r="Q7488">
        <v>1</v>
      </c>
      <c r="R7488" t="s">
        <v>5281</v>
      </c>
      <c r="S7488" t="s">
        <v>4898</v>
      </c>
      <c r="T7488" t="s">
        <v>2704</v>
      </c>
      <c r="U7488" t="s">
        <v>5631</v>
      </c>
      <c r="V7488" s="2">
        <v>450</v>
      </c>
      <c r="W7488" t="s">
        <v>4655</v>
      </c>
      <c r="X7488" s="2">
        <v>0</v>
      </c>
      <c r="Y7488">
        <v>20</v>
      </c>
      <c r="Z7488" t="s">
        <v>2048</v>
      </c>
      <c r="AA7488" s="3">
        <v>7.1533516049385099E-2</v>
      </c>
      <c r="AB7488" t="s">
        <v>35211</v>
      </c>
      <c r="AC7488" t="s">
        <v>4575</v>
      </c>
      <c r="AD7488" t="s">
        <v>35212</v>
      </c>
      <c r="AE7488" t="s">
        <v>4655</v>
      </c>
      <c r="AF7488" t="s">
        <v>4809</v>
      </c>
      <c r="AG7488" t="s">
        <v>4564</v>
      </c>
      <c r="AH7488" t="s">
        <v>1605</v>
      </c>
      <c r="AI7488" t="s">
        <v>4903</v>
      </c>
      <c r="AJ7488" t="s">
        <v>923</v>
      </c>
      <c r="AK7488" t="s">
        <v>35213</v>
      </c>
      <c r="AL7488" s="13" t="s">
        <v>1899</v>
      </c>
      <c r="AM7488">
        <v>1</v>
      </c>
      <c r="AN7488" s="15" t="s">
        <v>2039</v>
      </c>
    </row>
    <row r="7489" spans="1:40" x14ac:dyDescent="0.3">
      <c r="A7489" s="10" t="str">
        <f>HYPERLINK("http://www.washoecounty.gov/assessor/cama/?parid=526-171-10&amp;CardNumber=1","526-171-10")</f>
        <v>526-171-10</v>
      </c>
      <c r="B7489" t="s">
        <v>4655</v>
      </c>
      <c r="C7489" t="s">
        <v>35214</v>
      </c>
      <c r="D7489" s="1">
        <v>40260</v>
      </c>
      <c r="E7489" s="2">
        <v>167000</v>
      </c>
      <c r="F7489" t="s">
        <v>4553</v>
      </c>
      <c r="G7489" s="17" t="str">
        <f>HYPERLINK("https://www.washoecounty.gov/assessor/cama/?command=sales&amp;parid=52617110","3862805")</f>
        <v>3862805</v>
      </c>
      <c r="H7489" t="s">
        <v>1336</v>
      </c>
      <c r="I7489">
        <v>2005</v>
      </c>
      <c r="J7489">
        <v>2005</v>
      </c>
      <c r="K7489" t="s">
        <v>4554</v>
      </c>
      <c r="L7489" t="s">
        <v>3974</v>
      </c>
      <c r="M7489" s="2">
        <v>2056</v>
      </c>
      <c r="N7489" t="s">
        <v>5280</v>
      </c>
      <c r="O7489">
        <v>3</v>
      </c>
      <c r="P7489">
        <v>2</v>
      </c>
      <c r="Q7489">
        <v>1</v>
      </c>
      <c r="R7489" t="s">
        <v>5281</v>
      </c>
      <c r="S7489" t="s">
        <v>4898</v>
      </c>
      <c r="T7489" t="s">
        <v>2704</v>
      </c>
      <c r="U7489" t="s">
        <v>5631</v>
      </c>
      <c r="V7489" s="2">
        <v>429</v>
      </c>
      <c r="W7489" t="s">
        <v>4655</v>
      </c>
      <c r="X7489" s="2">
        <v>0</v>
      </c>
      <c r="Y7489">
        <v>20</v>
      </c>
      <c r="Z7489" t="s">
        <v>2048</v>
      </c>
      <c r="AA7489" s="3">
        <v>8.0027550458908095E-2</v>
      </c>
      <c r="AB7489" t="s">
        <v>35215</v>
      </c>
      <c r="AC7489" t="s">
        <v>4562</v>
      </c>
      <c r="AD7489" t="s">
        <v>35214</v>
      </c>
      <c r="AE7489" t="s">
        <v>4655</v>
      </c>
      <c r="AF7489" t="s">
        <v>4809</v>
      </c>
      <c r="AG7489" t="s">
        <v>4564</v>
      </c>
      <c r="AH7489" t="s">
        <v>1605</v>
      </c>
      <c r="AI7489" t="s">
        <v>4655</v>
      </c>
      <c r="AJ7489" t="s">
        <v>923</v>
      </c>
      <c r="AK7489" t="s">
        <v>35216</v>
      </c>
      <c r="AL7489" s="13" t="s">
        <v>1899</v>
      </c>
      <c r="AM7489">
        <v>1</v>
      </c>
      <c r="AN7489" s="15" t="s">
        <v>2039</v>
      </c>
    </row>
    <row r="7490" spans="1:40" x14ac:dyDescent="0.3">
      <c r="A7490" s="10" t="str">
        <f>HYPERLINK("http://www.washoecounty.gov/assessor/cama/?parid=526-181-01&amp;CardNumber=1","526-181-01")</f>
        <v>526-181-01</v>
      </c>
      <c r="B7490" t="s">
        <v>4655</v>
      </c>
      <c r="C7490" t="s">
        <v>35217</v>
      </c>
      <c r="D7490" s="1">
        <v>40485</v>
      </c>
      <c r="E7490" s="2">
        <v>143000</v>
      </c>
      <c r="F7490" t="s">
        <v>4567</v>
      </c>
      <c r="G7490" s="17" t="str">
        <f>HYPERLINK("https://www.washoecounty.gov/assessor/cama/?command=sales&amp;parid=52618101","3939294")</f>
        <v>3939294</v>
      </c>
      <c r="H7490" t="s">
        <v>1336</v>
      </c>
      <c r="I7490">
        <v>2005</v>
      </c>
      <c r="J7490">
        <v>2005</v>
      </c>
      <c r="K7490" t="s">
        <v>4554</v>
      </c>
      <c r="L7490" t="s">
        <v>3974</v>
      </c>
      <c r="M7490" s="2">
        <v>1760</v>
      </c>
      <c r="N7490" t="s">
        <v>5280</v>
      </c>
      <c r="O7490">
        <v>3</v>
      </c>
      <c r="P7490">
        <v>2</v>
      </c>
      <c r="Q7490">
        <v>1</v>
      </c>
      <c r="R7490" t="s">
        <v>5281</v>
      </c>
      <c r="S7490" t="s">
        <v>4898</v>
      </c>
      <c r="T7490" t="s">
        <v>2704</v>
      </c>
      <c r="U7490" t="s">
        <v>5631</v>
      </c>
      <c r="V7490" s="2">
        <v>420</v>
      </c>
      <c r="W7490" t="s">
        <v>4655</v>
      </c>
      <c r="X7490" s="2">
        <v>0</v>
      </c>
      <c r="Y7490">
        <v>20</v>
      </c>
      <c r="Z7490" t="s">
        <v>2048</v>
      </c>
      <c r="AA7490" s="3">
        <v>7.4150599539279896E-2</v>
      </c>
      <c r="AB7490" t="s">
        <v>35218</v>
      </c>
      <c r="AC7490" t="s">
        <v>4575</v>
      </c>
      <c r="AD7490" t="s">
        <v>35217</v>
      </c>
      <c r="AE7490" t="s">
        <v>4655</v>
      </c>
      <c r="AF7490" t="s">
        <v>5201</v>
      </c>
      <c r="AG7490" t="s">
        <v>4564</v>
      </c>
      <c r="AH7490" t="s">
        <v>1605</v>
      </c>
      <c r="AI7490" t="s">
        <v>35219</v>
      </c>
      <c r="AJ7490" t="s">
        <v>923</v>
      </c>
      <c r="AK7490" t="s">
        <v>35220</v>
      </c>
      <c r="AL7490" s="13" t="s">
        <v>1899</v>
      </c>
      <c r="AM7490" s="14">
        <v>1</v>
      </c>
      <c r="AN7490" s="15" t="s">
        <v>2039</v>
      </c>
    </row>
    <row r="7491" spans="1:40" x14ac:dyDescent="0.3">
      <c r="A7491" s="10" t="str">
        <f>HYPERLINK("http://www.washoecounty.gov/assessor/cama/?parid=526-191-03&amp;CardNumber=1","526-191-03")</f>
        <v>526-191-03</v>
      </c>
      <c r="B7491" t="s">
        <v>4655</v>
      </c>
      <c r="C7491" t="s">
        <v>35221</v>
      </c>
      <c r="D7491" s="1">
        <v>40534</v>
      </c>
      <c r="E7491" s="2">
        <v>140900</v>
      </c>
      <c r="F7491" t="s">
        <v>4553</v>
      </c>
      <c r="G7491" s="17" t="str">
        <f>HYPERLINK("https://www.washoecounty.gov/assessor/cama/?command=sales&amp;parid=52619103","3956190")</f>
        <v>3956190</v>
      </c>
      <c r="H7491" t="s">
        <v>1323</v>
      </c>
      <c r="I7491">
        <v>2006</v>
      </c>
      <c r="J7491">
        <v>2006</v>
      </c>
      <c r="K7491" t="s">
        <v>4554</v>
      </c>
      <c r="L7491" t="s">
        <v>3974</v>
      </c>
      <c r="M7491" s="2">
        <v>1549</v>
      </c>
      <c r="N7491" t="s">
        <v>5280</v>
      </c>
      <c r="O7491">
        <v>3</v>
      </c>
      <c r="P7491">
        <v>2</v>
      </c>
      <c r="Q7491">
        <v>1</v>
      </c>
      <c r="R7491" t="s">
        <v>5281</v>
      </c>
      <c r="S7491" t="s">
        <v>4898</v>
      </c>
      <c r="T7491" t="s">
        <v>2704</v>
      </c>
      <c r="U7491" t="s">
        <v>4560</v>
      </c>
      <c r="V7491" s="2">
        <v>420</v>
      </c>
      <c r="W7491" t="s">
        <v>4655</v>
      </c>
      <c r="X7491" s="2">
        <v>0</v>
      </c>
      <c r="Y7491">
        <v>20</v>
      </c>
      <c r="Z7491" t="s">
        <v>2048</v>
      </c>
      <c r="AA7491" s="3">
        <v>6.8617999553680406E-2</v>
      </c>
      <c r="AB7491" t="s">
        <v>9476</v>
      </c>
      <c r="AC7491" t="s">
        <v>4575</v>
      </c>
      <c r="AD7491" t="s">
        <v>4938</v>
      </c>
      <c r="AE7491" t="s">
        <v>4655</v>
      </c>
      <c r="AF7491" t="s">
        <v>4563</v>
      </c>
      <c r="AG7491" t="s">
        <v>4564</v>
      </c>
      <c r="AH7491">
        <v>89509</v>
      </c>
      <c r="AI7491" t="s">
        <v>601</v>
      </c>
      <c r="AJ7491" t="s">
        <v>902</v>
      </c>
      <c r="AK7491" t="s">
        <v>35222</v>
      </c>
      <c r="AL7491" s="13" t="s">
        <v>1899</v>
      </c>
      <c r="AM7491">
        <v>1</v>
      </c>
      <c r="AN7491" s="15" t="s">
        <v>2039</v>
      </c>
    </row>
    <row r="7492" spans="1:40" x14ac:dyDescent="0.3">
      <c r="A7492" s="10" t="str">
        <f>HYPERLINK("http://www.washoecounty.gov/assessor/cama/?parid=526-191-08&amp;CardNumber=1","526-191-08")</f>
        <v>526-191-08</v>
      </c>
      <c r="B7492" t="s">
        <v>4655</v>
      </c>
      <c r="C7492" t="s">
        <v>35223</v>
      </c>
      <c r="D7492" s="1">
        <v>40466</v>
      </c>
      <c r="E7492" s="2">
        <v>145000</v>
      </c>
      <c r="F7492" t="s">
        <v>4567</v>
      </c>
      <c r="G7492" s="17" t="str">
        <f>HYPERLINK("https://www.washoecounty.gov/assessor/cama/?command=sales&amp;parid=52619108","3933657")</f>
        <v>3933657</v>
      </c>
      <c r="H7492" t="s">
        <v>1323</v>
      </c>
      <c r="I7492">
        <v>2006</v>
      </c>
      <c r="J7492">
        <v>2006</v>
      </c>
      <c r="K7492" t="s">
        <v>4554</v>
      </c>
      <c r="L7492" t="s">
        <v>3974</v>
      </c>
      <c r="M7492" s="2">
        <v>1996</v>
      </c>
      <c r="N7492" t="s">
        <v>5280</v>
      </c>
      <c r="O7492">
        <v>4</v>
      </c>
      <c r="P7492">
        <v>2</v>
      </c>
      <c r="Q7492">
        <v>1</v>
      </c>
      <c r="R7492" t="s">
        <v>5281</v>
      </c>
      <c r="S7492" t="s">
        <v>4898</v>
      </c>
      <c r="T7492" t="s">
        <v>2704</v>
      </c>
      <c r="U7492" t="s">
        <v>5631</v>
      </c>
      <c r="V7492" s="2">
        <v>441</v>
      </c>
      <c r="W7492" t="s">
        <v>4655</v>
      </c>
      <c r="X7492" s="2">
        <v>0</v>
      </c>
      <c r="Y7492">
        <v>20</v>
      </c>
      <c r="Z7492" t="s">
        <v>2048</v>
      </c>
      <c r="AA7492" s="3">
        <v>8.4504134953022003E-2</v>
      </c>
      <c r="AB7492" t="s">
        <v>35224</v>
      </c>
      <c r="AC7492" t="s">
        <v>4562</v>
      </c>
      <c r="AD7492" t="s">
        <v>35225</v>
      </c>
      <c r="AE7492" t="s">
        <v>4655</v>
      </c>
      <c r="AF7492" t="s">
        <v>4809</v>
      </c>
      <c r="AG7492" t="s">
        <v>4564</v>
      </c>
      <c r="AH7492" t="s">
        <v>1605</v>
      </c>
      <c r="AI7492" t="s">
        <v>35226</v>
      </c>
      <c r="AJ7492" t="s">
        <v>902</v>
      </c>
      <c r="AK7492" t="s">
        <v>35227</v>
      </c>
      <c r="AL7492" s="13" t="s">
        <v>1899</v>
      </c>
      <c r="AM7492" s="14">
        <v>1</v>
      </c>
      <c r="AN7492" s="15" t="s">
        <v>2039</v>
      </c>
    </row>
    <row r="7493" spans="1:40" x14ac:dyDescent="0.3">
      <c r="A7493" s="10" t="str">
        <f>HYPERLINK("http://www.washoecounty.gov/assessor/cama/?parid=526-191-10&amp;CardNumber=1","526-191-10")</f>
        <v>526-191-10</v>
      </c>
      <c r="B7493" t="s">
        <v>4655</v>
      </c>
      <c r="C7493" t="s">
        <v>35228</v>
      </c>
      <c r="D7493" s="1">
        <v>40275</v>
      </c>
      <c r="E7493" s="2">
        <v>155000</v>
      </c>
      <c r="F7493" t="s">
        <v>4567</v>
      </c>
      <c r="G7493" s="17" t="str">
        <f>HYPERLINK("https://www.washoecounty.gov/assessor/cama/?command=sales&amp;parid=52619110","3868706")</f>
        <v>3868706</v>
      </c>
      <c r="H7493" t="s">
        <v>1323</v>
      </c>
      <c r="I7493">
        <v>2006</v>
      </c>
      <c r="J7493">
        <v>2006</v>
      </c>
      <c r="K7493" t="s">
        <v>4554</v>
      </c>
      <c r="L7493" t="s">
        <v>3974</v>
      </c>
      <c r="M7493" s="2">
        <v>1549</v>
      </c>
      <c r="N7493" t="s">
        <v>5280</v>
      </c>
      <c r="O7493">
        <v>3</v>
      </c>
      <c r="P7493">
        <v>2</v>
      </c>
      <c r="Q7493">
        <v>1</v>
      </c>
      <c r="R7493" t="s">
        <v>5281</v>
      </c>
      <c r="S7493" t="s">
        <v>4898</v>
      </c>
      <c r="T7493" t="s">
        <v>2704</v>
      </c>
      <c r="U7493" t="s">
        <v>4560</v>
      </c>
      <c r="V7493" s="2">
        <v>420</v>
      </c>
      <c r="W7493" t="s">
        <v>4655</v>
      </c>
      <c r="X7493" s="2">
        <v>0</v>
      </c>
      <c r="Y7493">
        <v>20</v>
      </c>
      <c r="Z7493" t="s">
        <v>2048</v>
      </c>
      <c r="AA7493" s="3">
        <v>7.3645547032356304E-2</v>
      </c>
      <c r="AB7493" t="s">
        <v>35229</v>
      </c>
      <c r="AC7493" t="s">
        <v>4562</v>
      </c>
      <c r="AD7493" t="s">
        <v>35228</v>
      </c>
      <c r="AE7493" t="s">
        <v>4655</v>
      </c>
      <c r="AF7493" t="s">
        <v>5201</v>
      </c>
      <c r="AG7493" t="s">
        <v>4564</v>
      </c>
      <c r="AH7493" t="s">
        <v>1605</v>
      </c>
      <c r="AI7493" t="s">
        <v>4655</v>
      </c>
      <c r="AJ7493" t="s">
        <v>902</v>
      </c>
      <c r="AK7493" t="s">
        <v>35230</v>
      </c>
      <c r="AL7493" s="13" t="s">
        <v>1899</v>
      </c>
      <c r="AM7493">
        <v>1</v>
      </c>
      <c r="AN7493" s="15" t="s">
        <v>2039</v>
      </c>
    </row>
    <row r="7494" spans="1:40" x14ac:dyDescent="0.3">
      <c r="A7494" s="10" t="str">
        <f>HYPERLINK("http://www.washoecounty.gov/assessor/cama/?parid=526-191-21&amp;CardNumber=1","526-191-21")</f>
        <v>526-191-21</v>
      </c>
      <c r="B7494" t="s">
        <v>4655</v>
      </c>
      <c r="C7494" t="s">
        <v>35231</v>
      </c>
      <c r="D7494" s="1">
        <v>40359</v>
      </c>
      <c r="E7494" s="2">
        <v>150000</v>
      </c>
      <c r="F7494" t="s">
        <v>4553</v>
      </c>
      <c r="G7494" s="17" t="str">
        <f>HYPERLINK("https://www.washoecounty.gov/assessor/cama/?command=sales&amp;parid=52619121","3897207")</f>
        <v>3897207</v>
      </c>
      <c r="H7494" t="s">
        <v>1323</v>
      </c>
      <c r="I7494">
        <v>2006</v>
      </c>
      <c r="J7494">
        <v>2006</v>
      </c>
      <c r="K7494" t="s">
        <v>4554</v>
      </c>
      <c r="L7494" t="s">
        <v>3974</v>
      </c>
      <c r="M7494" s="2">
        <v>1549</v>
      </c>
      <c r="N7494" t="s">
        <v>5280</v>
      </c>
      <c r="O7494">
        <v>3</v>
      </c>
      <c r="P7494">
        <v>2</v>
      </c>
      <c r="Q7494">
        <v>1</v>
      </c>
      <c r="R7494" t="s">
        <v>5281</v>
      </c>
      <c r="S7494" t="s">
        <v>4898</v>
      </c>
      <c r="T7494" t="s">
        <v>2704</v>
      </c>
      <c r="U7494" t="s">
        <v>4560</v>
      </c>
      <c r="V7494" s="2">
        <v>420</v>
      </c>
      <c r="W7494" t="s">
        <v>4655</v>
      </c>
      <c r="X7494" s="2">
        <v>0</v>
      </c>
      <c r="Y7494">
        <v>20</v>
      </c>
      <c r="Z7494" t="s">
        <v>2048</v>
      </c>
      <c r="AA7494" s="3">
        <v>7.4150599539279896E-2</v>
      </c>
      <c r="AB7494" t="s">
        <v>35232</v>
      </c>
      <c r="AC7494" t="s">
        <v>4562</v>
      </c>
      <c r="AD7494" t="s">
        <v>35233</v>
      </c>
      <c r="AE7494" t="s">
        <v>4655</v>
      </c>
      <c r="AF7494" t="s">
        <v>5201</v>
      </c>
      <c r="AG7494" t="s">
        <v>4564</v>
      </c>
      <c r="AH7494" t="s">
        <v>1350</v>
      </c>
      <c r="AI7494" t="s">
        <v>4565</v>
      </c>
      <c r="AJ7494" t="s">
        <v>902</v>
      </c>
      <c r="AK7494" t="s">
        <v>35234</v>
      </c>
      <c r="AL7494" s="13" t="s">
        <v>1899</v>
      </c>
      <c r="AM7494" s="14">
        <v>1</v>
      </c>
      <c r="AN7494" s="15" t="s">
        <v>2039</v>
      </c>
    </row>
    <row r="7495" spans="1:40" x14ac:dyDescent="0.3">
      <c r="A7495" s="10" t="str">
        <f>HYPERLINK("http://www.washoecounty.gov/assessor/cama/?parid=526-191-23&amp;CardNumber=1","526-191-23")</f>
        <v>526-191-23</v>
      </c>
      <c r="B7495" t="s">
        <v>4655</v>
      </c>
      <c r="C7495" t="s">
        <v>35235</v>
      </c>
      <c r="D7495" s="1">
        <v>40347</v>
      </c>
      <c r="E7495" s="2">
        <v>150000</v>
      </c>
      <c r="F7495" t="s">
        <v>4553</v>
      </c>
      <c r="G7495" s="17" t="str">
        <f>HYPERLINK("https://www.washoecounty.gov/assessor/cama/?command=sales&amp;parid=52619123","3893501")</f>
        <v>3893501</v>
      </c>
      <c r="H7495" t="s">
        <v>1323</v>
      </c>
      <c r="I7495">
        <v>2006</v>
      </c>
      <c r="J7495">
        <v>2006</v>
      </c>
      <c r="K7495" t="s">
        <v>4554</v>
      </c>
      <c r="L7495" t="s">
        <v>3974</v>
      </c>
      <c r="M7495" s="2">
        <v>1884</v>
      </c>
      <c r="N7495" t="s">
        <v>5280</v>
      </c>
      <c r="O7495">
        <v>4</v>
      </c>
      <c r="P7495">
        <v>2</v>
      </c>
      <c r="Q7495">
        <v>1</v>
      </c>
      <c r="R7495" t="s">
        <v>5281</v>
      </c>
      <c r="S7495" t="s">
        <v>4898</v>
      </c>
      <c r="T7495" t="s">
        <v>2704</v>
      </c>
      <c r="U7495" t="s">
        <v>5631</v>
      </c>
      <c r="V7495" s="2">
        <v>441</v>
      </c>
      <c r="W7495" t="s">
        <v>4655</v>
      </c>
      <c r="X7495" s="2">
        <v>0</v>
      </c>
      <c r="Y7495">
        <v>20</v>
      </c>
      <c r="Z7495" t="s">
        <v>2048</v>
      </c>
      <c r="AA7495" s="3">
        <v>8.1726357340812697E-2</v>
      </c>
      <c r="AB7495" t="s">
        <v>35236</v>
      </c>
      <c r="AC7495" t="s">
        <v>4562</v>
      </c>
      <c r="AD7495" t="s">
        <v>35235</v>
      </c>
      <c r="AE7495" t="s">
        <v>4655</v>
      </c>
      <c r="AF7495" t="s">
        <v>5201</v>
      </c>
      <c r="AG7495" t="s">
        <v>4564</v>
      </c>
      <c r="AH7495" t="s">
        <v>1605</v>
      </c>
      <c r="AI7495" t="s">
        <v>4655</v>
      </c>
      <c r="AJ7495" t="s">
        <v>902</v>
      </c>
      <c r="AK7495" t="s">
        <v>35237</v>
      </c>
      <c r="AL7495" s="13" t="s">
        <v>1899</v>
      </c>
      <c r="AM7495" s="14">
        <v>1</v>
      </c>
      <c r="AN7495" s="15" t="s">
        <v>2039</v>
      </c>
    </row>
    <row r="7496" spans="1:40" x14ac:dyDescent="0.3">
      <c r="A7496" s="10" t="str">
        <f>HYPERLINK("http://www.washoecounty.gov/assessor/cama/?parid=526-201-02&amp;CardNumber=1","526-201-02")</f>
        <v>526-201-02</v>
      </c>
      <c r="B7496" t="s">
        <v>4655</v>
      </c>
      <c r="C7496" t="s">
        <v>35238</v>
      </c>
      <c r="D7496" s="1">
        <v>40353</v>
      </c>
      <c r="E7496" s="2">
        <v>170000</v>
      </c>
      <c r="F7496" t="s">
        <v>4553</v>
      </c>
      <c r="G7496" s="17" t="str">
        <f>HYPERLINK("https://www.washoecounty.gov/assessor/cama/?command=sales&amp;parid=52620102","3894997")</f>
        <v>3894997</v>
      </c>
      <c r="H7496" t="s">
        <v>1323</v>
      </c>
      <c r="I7496">
        <v>2006</v>
      </c>
      <c r="J7496">
        <v>2006</v>
      </c>
      <c r="K7496" t="s">
        <v>4554</v>
      </c>
      <c r="L7496" t="s">
        <v>3974</v>
      </c>
      <c r="M7496" s="2">
        <v>2180</v>
      </c>
      <c r="N7496" t="s">
        <v>5280</v>
      </c>
      <c r="O7496">
        <v>4</v>
      </c>
      <c r="P7496">
        <v>3</v>
      </c>
      <c r="Q7496">
        <v>1</v>
      </c>
      <c r="R7496" t="s">
        <v>5281</v>
      </c>
      <c r="S7496" t="s">
        <v>4898</v>
      </c>
      <c r="T7496" t="s">
        <v>2704</v>
      </c>
      <c r="U7496" t="s">
        <v>5631</v>
      </c>
      <c r="V7496" s="2">
        <v>450</v>
      </c>
      <c r="W7496" t="s">
        <v>4655</v>
      </c>
      <c r="X7496" s="2">
        <v>0</v>
      </c>
      <c r="Y7496">
        <v>20</v>
      </c>
      <c r="Z7496" t="s">
        <v>2048</v>
      </c>
      <c r="AA7496" s="3">
        <v>7.3301196098327595E-2</v>
      </c>
      <c r="AB7496" t="s">
        <v>35239</v>
      </c>
      <c r="AC7496" t="s">
        <v>4562</v>
      </c>
      <c r="AD7496" t="s">
        <v>35238</v>
      </c>
      <c r="AE7496" t="s">
        <v>4655</v>
      </c>
      <c r="AF7496" t="s">
        <v>5201</v>
      </c>
      <c r="AG7496" t="s">
        <v>4564</v>
      </c>
      <c r="AH7496" t="s">
        <v>1605</v>
      </c>
      <c r="AI7496" t="s">
        <v>4045</v>
      </c>
      <c r="AJ7496" t="s">
        <v>902</v>
      </c>
      <c r="AK7496" t="s">
        <v>35240</v>
      </c>
      <c r="AL7496" s="13" t="s">
        <v>1899</v>
      </c>
      <c r="AM7496">
        <v>1</v>
      </c>
      <c r="AN7496" s="15" t="s">
        <v>2039</v>
      </c>
    </row>
    <row r="7497" spans="1:40" x14ac:dyDescent="0.3">
      <c r="A7497" s="10" t="str">
        <f>HYPERLINK("http://www.washoecounty.gov/assessor/cama/?parid=526-201-09&amp;CardNumber=1","526-201-09")</f>
        <v>526-201-09</v>
      </c>
      <c r="B7497" t="s">
        <v>4655</v>
      </c>
      <c r="C7497" t="s">
        <v>35241</v>
      </c>
      <c r="D7497" s="1">
        <v>40235</v>
      </c>
      <c r="E7497" s="2">
        <v>165000</v>
      </c>
      <c r="F7497" t="s">
        <v>4567</v>
      </c>
      <c r="G7497" s="17" t="str">
        <f>HYPERLINK("https://www.washoecounty.gov/assessor/cama/?command=sales&amp;parid=52620109","3853477")</f>
        <v>3853477</v>
      </c>
      <c r="H7497" t="s">
        <v>1323</v>
      </c>
      <c r="I7497">
        <v>2006</v>
      </c>
      <c r="J7497">
        <v>2006</v>
      </c>
      <c r="K7497" t="s">
        <v>4554</v>
      </c>
      <c r="L7497" t="s">
        <v>3974</v>
      </c>
      <c r="M7497" s="2">
        <v>2180</v>
      </c>
      <c r="N7497" t="s">
        <v>5280</v>
      </c>
      <c r="O7497">
        <v>4</v>
      </c>
      <c r="P7497">
        <v>3</v>
      </c>
      <c r="Q7497">
        <v>1</v>
      </c>
      <c r="R7497" t="s">
        <v>5281</v>
      </c>
      <c r="S7497" t="s">
        <v>4898</v>
      </c>
      <c r="T7497" t="s">
        <v>2704</v>
      </c>
      <c r="U7497" t="s">
        <v>5631</v>
      </c>
      <c r="V7497" s="2">
        <v>450</v>
      </c>
      <c r="W7497" t="s">
        <v>4655</v>
      </c>
      <c r="X7497" s="2">
        <v>0</v>
      </c>
      <c r="Y7497">
        <v>20</v>
      </c>
      <c r="Z7497" t="s">
        <v>2048</v>
      </c>
      <c r="AA7497" s="3">
        <v>6.8296603858470903E-2</v>
      </c>
      <c r="AB7497" t="s">
        <v>35242</v>
      </c>
      <c r="AC7497" t="s">
        <v>4562</v>
      </c>
      <c r="AD7497" t="s">
        <v>35241</v>
      </c>
      <c r="AE7497" t="s">
        <v>4655</v>
      </c>
      <c r="AF7497" t="s">
        <v>5201</v>
      </c>
      <c r="AG7497" t="s">
        <v>4564</v>
      </c>
      <c r="AH7497" t="s">
        <v>1605</v>
      </c>
      <c r="AI7497" t="s">
        <v>35243</v>
      </c>
      <c r="AJ7497" t="s">
        <v>902</v>
      </c>
      <c r="AK7497" t="s">
        <v>35244</v>
      </c>
      <c r="AL7497" s="13" t="s">
        <v>1899</v>
      </c>
      <c r="AM7497">
        <v>1</v>
      </c>
      <c r="AN7497" s="15" t="s">
        <v>2039</v>
      </c>
    </row>
    <row r="7498" spans="1:40" x14ac:dyDescent="0.3">
      <c r="A7498" s="10" t="str">
        <f>HYPERLINK("http://www.washoecounty.gov/assessor/cama/?parid=526-202-09&amp;CardNumber=1","526-202-09")</f>
        <v>526-202-09</v>
      </c>
      <c r="B7498" t="s">
        <v>4655</v>
      </c>
      <c r="C7498" t="s">
        <v>35245</v>
      </c>
      <c r="D7498" s="1">
        <v>40281</v>
      </c>
      <c r="E7498" s="2">
        <v>147000</v>
      </c>
      <c r="F7498" t="s">
        <v>4553</v>
      </c>
      <c r="G7498" s="17" t="str">
        <f>HYPERLINK("https://www.washoecounty.gov/assessor/cama/?command=sales&amp;parid=52620209","3870150")</f>
        <v>3870150</v>
      </c>
      <c r="H7498" t="s">
        <v>1323</v>
      </c>
      <c r="I7498">
        <v>2006</v>
      </c>
      <c r="J7498">
        <v>2006</v>
      </c>
      <c r="K7498" t="s">
        <v>4554</v>
      </c>
      <c r="L7498" t="s">
        <v>3974</v>
      </c>
      <c r="M7498" s="2">
        <v>2180</v>
      </c>
      <c r="N7498" t="s">
        <v>5280</v>
      </c>
      <c r="O7498">
        <v>4</v>
      </c>
      <c r="P7498">
        <v>3</v>
      </c>
      <c r="Q7498">
        <v>1</v>
      </c>
      <c r="R7498" t="s">
        <v>5281</v>
      </c>
      <c r="S7498" t="s">
        <v>4898</v>
      </c>
      <c r="T7498" t="s">
        <v>2704</v>
      </c>
      <c r="U7498" t="s">
        <v>5631</v>
      </c>
      <c r="V7498" s="2">
        <v>450</v>
      </c>
      <c r="W7498" t="s">
        <v>4655</v>
      </c>
      <c r="X7498" s="2">
        <v>0</v>
      </c>
      <c r="Y7498">
        <v>20</v>
      </c>
      <c r="Z7498" t="s">
        <v>2048</v>
      </c>
      <c r="AA7498" s="3">
        <v>6.80670365691185E-2</v>
      </c>
      <c r="AB7498" t="s">
        <v>35246</v>
      </c>
      <c r="AC7498" t="s">
        <v>4562</v>
      </c>
      <c r="AD7498" t="s">
        <v>35247</v>
      </c>
      <c r="AE7498" t="s">
        <v>4655</v>
      </c>
      <c r="AF7498" t="s">
        <v>5201</v>
      </c>
      <c r="AG7498" t="s">
        <v>4564</v>
      </c>
      <c r="AH7498" t="s">
        <v>1605</v>
      </c>
      <c r="AI7498" t="s">
        <v>4565</v>
      </c>
      <c r="AJ7498" t="s">
        <v>902</v>
      </c>
      <c r="AK7498" t="s">
        <v>35248</v>
      </c>
      <c r="AL7498" s="13" t="s">
        <v>1899</v>
      </c>
      <c r="AM7498" s="14">
        <v>1</v>
      </c>
      <c r="AN7498" s="15" t="s">
        <v>2039</v>
      </c>
    </row>
    <row r="7499" spans="1:40" x14ac:dyDescent="0.3">
      <c r="A7499" s="10" t="str">
        <f>HYPERLINK("http://www.washoecounty.gov/assessor/cama/?parid=526-203-09&amp;CardNumber=1","526-203-09")</f>
        <v>526-203-09</v>
      </c>
      <c r="B7499" t="s">
        <v>4655</v>
      </c>
      <c r="C7499" t="s">
        <v>1174</v>
      </c>
      <c r="D7499" s="1">
        <v>40276</v>
      </c>
      <c r="E7499" s="2">
        <v>160000</v>
      </c>
      <c r="F7499" t="s">
        <v>4567</v>
      </c>
      <c r="G7499" s="17" t="str">
        <f>HYPERLINK("https://www.washoecounty.gov/assessor/cama/?command=sales&amp;parid=52620309","3868949")</f>
        <v>3868949</v>
      </c>
      <c r="H7499" t="s">
        <v>1323</v>
      </c>
      <c r="I7499">
        <v>2006</v>
      </c>
      <c r="J7499">
        <v>2006</v>
      </c>
      <c r="K7499" t="s">
        <v>4554</v>
      </c>
      <c r="L7499" t="s">
        <v>3974</v>
      </c>
      <c r="M7499" s="2">
        <v>1760</v>
      </c>
      <c r="N7499" t="s">
        <v>5280</v>
      </c>
      <c r="O7499">
        <v>3</v>
      </c>
      <c r="P7499">
        <v>2</v>
      </c>
      <c r="Q7499">
        <v>1</v>
      </c>
      <c r="R7499" t="s">
        <v>5281</v>
      </c>
      <c r="S7499" t="s">
        <v>4898</v>
      </c>
      <c r="T7499" t="s">
        <v>2704</v>
      </c>
      <c r="U7499" t="s">
        <v>5631</v>
      </c>
      <c r="V7499" s="2">
        <v>420</v>
      </c>
      <c r="W7499" t="s">
        <v>4655</v>
      </c>
      <c r="X7499" s="2">
        <v>0</v>
      </c>
      <c r="Y7499">
        <v>20</v>
      </c>
      <c r="Z7499" t="s">
        <v>2048</v>
      </c>
      <c r="AA7499" s="3">
        <v>7.4150599539279896E-2</v>
      </c>
      <c r="AB7499" t="s">
        <v>2111</v>
      </c>
      <c r="AC7499" t="s">
        <v>4562</v>
      </c>
      <c r="AD7499" t="s">
        <v>1174</v>
      </c>
      <c r="AE7499" t="s">
        <v>4655</v>
      </c>
      <c r="AF7499" t="s">
        <v>5201</v>
      </c>
      <c r="AG7499" t="s">
        <v>4564</v>
      </c>
      <c r="AH7499" t="s">
        <v>1605</v>
      </c>
      <c r="AI7499" t="s">
        <v>35249</v>
      </c>
      <c r="AJ7499" t="s">
        <v>902</v>
      </c>
      <c r="AK7499" t="s">
        <v>3853</v>
      </c>
      <c r="AL7499" s="13" t="s">
        <v>1899</v>
      </c>
      <c r="AM7499">
        <v>1</v>
      </c>
      <c r="AN7499" s="15" t="s">
        <v>2039</v>
      </c>
    </row>
    <row r="7500" spans="1:40" x14ac:dyDescent="0.3">
      <c r="A7500" s="10" t="str">
        <f>HYPERLINK("http://www.washoecounty.gov/assessor/cama/?parid=526-203-12&amp;CardNumber=1","526-203-12")</f>
        <v>526-203-12</v>
      </c>
      <c r="B7500" t="s">
        <v>4655</v>
      </c>
      <c r="C7500" t="s">
        <v>35250</v>
      </c>
      <c r="D7500" s="1">
        <v>40233</v>
      </c>
      <c r="E7500" s="2">
        <v>177900</v>
      </c>
      <c r="F7500" t="s">
        <v>4553</v>
      </c>
      <c r="G7500" s="17" t="str">
        <f>HYPERLINK("https://www.washoecounty.gov/assessor/cama/?command=sales&amp;parid=52620312","3852414")</f>
        <v>3852414</v>
      </c>
      <c r="H7500" t="s">
        <v>1323</v>
      </c>
      <c r="I7500">
        <v>2006</v>
      </c>
      <c r="J7500">
        <v>2006</v>
      </c>
      <c r="K7500" t="s">
        <v>4554</v>
      </c>
      <c r="L7500" t="s">
        <v>3974</v>
      </c>
      <c r="M7500" s="2">
        <v>2184</v>
      </c>
      <c r="N7500" t="s">
        <v>5280</v>
      </c>
      <c r="O7500">
        <v>4</v>
      </c>
      <c r="P7500">
        <v>3</v>
      </c>
      <c r="Q7500">
        <v>1</v>
      </c>
      <c r="R7500" t="s">
        <v>5281</v>
      </c>
      <c r="S7500" t="s">
        <v>4898</v>
      </c>
      <c r="T7500" t="s">
        <v>2704</v>
      </c>
      <c r="U7500" t="s">
        <v>5631</v>
      </c>
      <c r="V7500" s="2">
        <v>450</v>
      </c>
      <c r="W7500" t="s">
        <v>4655</v>
      </c>
      <c r="X7500" s="2">
        <v>0</v>
      </c>
      <c r="Y7500">
        <v>20</v>
      </c>
      <c r="Z7500" t="s">
        <v>2048</v>
      </c>
      <c r="AA7500" s="3">
        <v>6.8296603858470903E-2</v>
      </c>
      <c r="AB7500" t="s">
        <v>35251</v>
      </c>
      <c r="AC7500" t="s">
        <v>4575</v>
      </c>
      <c r="AD7500" t="s">
        <v>35252</v>
      </c>
      <c r="AE7500" t="s">
        <v>4655</v>
      </c>
      <c r="AF7500" t="s">
        <v>4809</v>
      </c>
      <c r="AG7500" t="s">
        <v>4564</v>
      </c>
      <c r="AH7500" t="s">
        <v>1605</v>
      </c>
      <c r="AI7500" t="s">
        <v>1283</v>
      </c>
      <c r="AJ7500" t="s">
        <v>902</v>
      </c>
      <c r="AK7500" t="s">
        <v>35253</v>
      </c>
      <c r="AL7500" s="13" t="s">
        <v>1899</v>
      </c>
      <c r="AM7500">
        <v>1</v>
      </c>
      <c r="AN7500" s="15" t="s">
        <v>2039</v>
      </c>
    </row>
    <row r="7501" spans="1:40" x14ac:dyDescent="0.3">
      <c r="A7501" s="10" t="str">
        <f>HYPERLINK("http://www.washoecounty.gov/assessor/cama/?parid=526-203-15&amp;CardNumber=1","526-203-15")</f>
        <v>526-203-15</v>
      </c>
      <c r="B7501" t="s">
        <v>4655</v>
      </c>
      <c r="C7501" t="s">
        <v>35254</v>
      </c>
      <c r="D7501" s="1">
        <v>40288</v>
      </c>
      <c r="E7501" s="2">
        <v>158000</v>
      </c>
      <c r="F7501" t="s">
        <v>4553</v>
      </c>
      <c r="G7501" s="17" t="str">
        <f>HYPERLINK("https://www.washoecounty.gov/assessor/cama/?command=sales&amp;parid=52620315","3872776")</f>
        <v>3872776</v>
      </c>
      <c r="H7501" t="s">
        <v>1323</v>
      </c>
      <c r="I7501">
        <v>2006</v>
      </c>
      <c r="J7501">
        <v>2006</v>
      </c>
      <c r="K7501" t="s">
        <v>4554</v>
      </c>
      <c r="L7501" t="s">
        <v>3974</v>
      </c>
      <c r="M7501" s="2">
        <v>1939</v>
      </c>
      <c r="N7501" t="s">
        <v>5280</v>
      </c>
      <c r="O7501">
        <v>4</v>
      </c>
      <c r="P7501">
        <v>3</v>
      </c>
      <c r="Q7501">
        <v>1</v>
      </c>
      <c r="R7501" t="s">
        <v>5281</v>
      </c>
      <c r="S7501" t="s">
        <v>4898</v>
      </c>
      <c r="T7501" t="s">
        <v>2704</v>
      </c>
      <c r="U7501" t="s">
        <v>4655</v>
      </c>
      <c r="V7501" s="2">
        <v>0</v>
      </c>
      <c r="W7501" t="s">
        <v>4655</v>
      </c>
      <c r="X7501" s="2">
        <v>0</v>
      </c>
      <c r="Y7501">
        <v>20</v>
      </c>
      <c r="Z7501" t="s">
        <v>2048</v>
      </c>
      <c r="AA7501" s="3">
        <v>6.8319559097289997E-2</v>
      </c>
      <c r="AB7501" t="s">
        <v>35255</v>
      </c>
      <c r="AC7501" t="s">
        <v>4562</v>
      </c>
      <c r="AD7501" t="s">
        <v>35256</v>
      </c>
      <c r="AE7501" t="s">
        <v>4655</v>
      </c>
      <c r="AF7501" t="s">
        <v>4809</v>
      </c>
      <c r="AG7501" t="s">
        <v>4564</v>
      </c>
      <c r="AH7501" t="s">
        <v>1605</v>
      </c>
      <c r="AI7501" t="s">
        <v>4202</v>
      </c>
      <c r="AJ7501" t="s">
        <v>902</v>
      </c>
      <c r="AK7501" t="s">
        <v>35257</v>
      </c>
      <c r="AL7501" s="13" t="s">
        <v>1899</v>
      </c>
      <c r="AM7501">
        <v>1</v>
      </c>
      <c r="AN7501" s="15" t="s">
        <v>2039</v>
      </c>
    </row>
    <row r="7502" spans="1:40" x14ac:dyDescent="0.3">
      <c r="A7502" s="10" t="str">
        <f>HYPERLINK("http://www.washoecounty.gov/assessor/cama/?parid=526-204-01&amp;CardNumber=1","526-204-01")</f>
        <v>526-204-01</v>
      </c>
      <c r="B7502" t="s">
        <v>4655</v>
      </c>
      <c r="C7502" t="s">
        <v>35258</v>
      </c>
      <c r="D7502" s="1">
        <v>40494</v>
      </c>
      <c r="E7502" s="2">
        <v>144900</v>
      </c>
      <c r="F7502" t="s">
        <v>4553</v>
      </c>
      <c r="G7502" s="17" t="str">
        <f>HYPERLINK("https://www.washoecounty.gov/assessor/cama/?command=sales&amp;parid=52620401","3942648")</f>
        <v>3942648</v>
      </c>
      <c r="H7502" t="s">
        <v>1323</v>
      </c>
      <c r="I7502">
        <v>2006</v>
      </c>
      <c r="J7502">
        <v>2006</v>
      </c>
      <c r="K7502" t="s">
        <v>4554</v>
      </c>
      <c r="L7502" t="s">
        <v>3974</v>
      </c>
      <c r="M7502" s="2">
        <v>1996</v>
      </c>
      <c r="N7502" t="s">
        <v>5280</v>
      </c>
      <c r="O7502">
        <v>4</v>
      </c>
      <c r="P7502">
        <v>2</v>
      </c>
      <c r="Q7502">
        <v>1</v>
      </c>
      <c r="R7502" t="s">
        <v>5281</v>
      </c>
      <c r="S7502" t="s">
        <v>4898</v>
      </c>
      <c r="T7502" t="s">
        <v>2704</v>
      </c>
      <c r="U7502" t="s">
        <v>5631</v>
      </c>
      <c r="V7502" s="2">
        <v>441</v>
      </c>
      <c r="W7502" t="s">
        <v>4655</v>
      </c>
      <c r="X7502" s="2">
        <v>0</v>
      </c>
      <c r="Y7502">
        <v>20</v>
      </c>
      <c r="Z7502" t="s">
        <v>2048</v>
      </c>
      <c r="AA7502" s="3">
        <v>7.8053258359432207E-2</v>
      </c>
      <c r="AB7502" t="s">
        <v>35259</v>
      </c>
      <c r="AC7502" t="s">
        <v>4562</v>
      </c>
      <c r="AD7502" t="s">
        <v>35260</v>
      </c>
      <c r="AE7502" t="s">
        <v>4655</v>
      </c>
      <c r="AF7502" t="s">
        <v>4809</v>
      </c>
      <c r="AG7502" t="s">
        <v>4564</v>
      </c>
      <c r="AH7502" t="s">
        <v>1605</v>
      </c>
      <c r="AI7502" t="s">
        <v>1602</v>
      </c>
      <c r="AJ7502" t="s">
        <v>902</v>
      </c>
      <c r="AK7502" t="s">
        <v>35261</v>
      </c>
      <c r="AL7502" s="13" t="s">
        <v>1899</v>
      </c>
      <c r="AM7502">
        <v>1</v>
      </c>
      <c r="AN7502" s="15" t="s">
        <v>2039</v>
      </c>
    </row>
    <row r="7503" spans="1:40" x14ac:dyDescent="0.3">
      <c r="A7503" s="10" t="str">
        <f>HYPERLINK("http://www.washoecounty.gov/assessor/cama/?parid=526-204-03&amp;CardNumber=1","526-204-03")</f>
        <v>526-204-03</v>
      </c>
      <c r="B7503" t="s">
        <v>4655</v>
      </c>
      <c r="C7503" t="s">
        <v>35262</v>
      </c>
      <c r="D7503" s="1">
        <v>40235</v>
      </c>
      <c r="E7503" s="2">
        <v>150000</v>
      </c>
      <c r="F7503" t="s">
        <v>4553</v>
      </c>
      <c r="G7503" s="17" t="str">
        <f>HYPERLINK("https://www.washoecounty.gov/assessor/cama/?command=sales&amp;parid=52620403","3853311")</f>
        <v>3853311</v>
      </c>
      <c r="H7503" t="s">
        <v>1323</v>
      </c>
      <c r="I7503">
        <v>2006</v>
      </c>
      <c r="J7503">
        <v>2006</v>
      </c>
      <c r="K7503" t="s">
        <v>4554</v>
      </c>
      <c r="L7503" t="s">
        <v>3974</v>
      </c>
      <c r="M7503" s="2">
        <v>1884</v>
      </c>
      <c r="N7503" t="s">
        <v>5280</v>
      </c>
      <c r="O7503">
        <v>4</v>
      </c>
      <c r="P7503">
        <v>2</v>
      </c>
      <c r="Q7503">
        <v>1</v>
      </c>
      <c r="R7503" t="s">
        <v>5281</v>
      </c>
      <c r="S7503" t="s">
        <v>4898</v>
      </c>
      <c r="T7503" t="s">
        <v>2704</v>
      </c>
      <c r="U7503" t="s">
        <v>5631</v>
      </c>
      <c r="V7503" s="2">
        <v>441</v>
      </c>
      <c r="W7503" t="s">
        <v>4655</v>
      </c>
      <c r="X7503" s="2">
        <v>0</v>
      </c>
      <c r="Y7503">
        <v>20</v>
      </c>
      <c r="Z7503" t="s">
        <v>2048</v>
      </c>
      <c r="AA7503" s="3">
        <v>6.8296603858470903E-2</v>
      </c>
      <c r="AB7503" t="s">
        <v>35263</v>
      </c>
      <c r="AC7503" t="s">
        <v>4562</v>
      </c>
      <c r="AD7503" t="s">
        <v>35262</v>
      </c>
      <c r="AE7503" t="s">
        <v>4655</v>
      </c>
      <c r="AF7503" t="s">
        <v>5201</v>
      </c>
      <c r="AG7503" t="s">
        <v>4564</v>
      </c>
      <c r="AH7503" t="s">
        <v>1605</v>
      </c>
      <c r="AI7503" t="s">
        <v>4848</v>
      </c>
      <c r="AJ7503" t="s">
        <v>902</v>
      </c>
      <c r="AK7503" t="s">
        <v>35264</v>
      </c>
      <c r="AL7503" s="13" t="s">
        <v>1899</v>
      </c>
      <c r="AM7503">
        <v>1</v>
      </c>
      <c r="AN7503" s="15" t="s">
        <v>2039</v>
      </c>
    </row>
    <row r="7504" spans="1:40" x14ac:dyDescent="0.3">
      <c r="A7504" s="10" t="str">
        <f>HYPERLINK("http://www.washoecounty.gov/assessor/cama/?parid=526-204-04&amp;CardNumber=1","526-204-04")</f>
        <v>526-204-04</v>
      </c>
      <c r="B7504" t="s">
        <v>4655</v>
      </c>
      <c r="C7504" t="s">
        <v>35265</v>
      </c>
      <c r="D7504" s="1">
        <v>40290</v>
      </c>
      <c r="E7504" s="2">
        <v>137000</v>
      </c>
      <c r="F7504" t="s">
        <v>4567</v>
      </c>
      <c r="G7504" s="17" t="str">
        <f>HYPERLINK("https://www.washoecounty.gov/assessor/cama/?command=sales&amp;parid=52620404","3873743")</f>
        <v>3873743</v>
      </c>
      <c r="H7504" t="s">
        <v>1323</v>
      </c>
      <c r="I7504">
        <v>2006</v>
      </c>
      <c r="J7504">
        <v>2006</v>
      </c>
      <c r="K7504" t="s">
        <v>4554</v>
      </c>
      <c r="L7504" t="s">
        <v>3974</v>
      </c>
      <c r="M7504" s="2">
        <v>1996</v>
      </c>
      <c r="N7504" t="s">
        <v>5280</v>
      </c>
      <c r="O7504">
        <v>4</v>
      </c>
      <c r="P7504">
        <v>2</v>
      </c>
      <c r="Q7504">
        <v>1</v>
      </c>
      <c r="R7504" t="s">
        <v>5281</v>
      </c>
      <c r="S7504" t="s">
        <v>4898</v>
      </c>
      <c r="T7504" t="s">
        <v>2704</v>
      </c>
      <c r="U7504" t="s">
        <v>5631</v>
      </c>
      <c r="V7504" s="2">
        <v>441</v>
      </c>
      <c r="W7504" t="s">
        <v>4655</v>
      </c>
      <c r="X7504" s="2">
        <v>0</v>
      </c>
      <c r="Y7504">
        <v>20</v>
      </c>
      <c r="Z7504" t="s">
        <v>2048</v>
      </c>
      <c r="AA7504" s="3">
        <v>7.4242427945136996E-2</v>
      </c>
      <c r="AB7504" t="s">
        <v>35266</v>
      </c>
      <c r="AC7504" t="s">
        <v>4562</v>
      </c>
      <c r="AD7504" t="s">
        <v>35267</v>
      </c>
      <c r="AE7504" t="s">
        <v>4655</v>
      </c>
      <c r="AF7504" t="s">
        <v>1917</v>
      </c>
      <c r="AG7504" t="s">
        <v>1188</v>
      </c>
      <c r="AH7504" t="s">
        <v>35268</v>
      </c>
      <c r="AI7504" t="s">
        <v>35269</v>
      </c>
      <c r="AJ7504" t="s">
        <v>902</v>
      </c>
      <c r="AK7504" t="s">
        <v>35270</v>
      </c>
      <c r="AL7504" s="13" t="s">
        <v>1899</v>
      </c>
      <c r="AM7504">
        <v>1</v>
      </c>
      <c r="AN7504" s="15" t="s">
        <v>2039</v>
      </c>
    </row>
    <row r="7505" spans="1:40" x14ac:dyDescent="0.3">
      <c r="A7505" s="10" t="str">
        <f>HYPERLINK("http://www.washoecounty.gov/assessor/cama/?parid=526-211-02&amp;CardNumber=1","526-211-02")</f>
        <v>526-211-02</v>
      </c>
      <c r="B7505" t="s">
        <v>4655</v>
      </c>
      <c r="C7505" t="s">
        <v>35271</v>
      </c>
      <c r="D7505" s="1">
        <v>40379</v>
      </c>
      <c r="E7505" s="2">
        <v>148700</v>
      </c>
      <c r="F7505" t="s">
        <v>4553</v>
      </c>
      <c r="G7505" s="17" t="str">
        <f>HYPERLINK("https://www.washoecounty.gov/assessor/cama/?command=sales&amp;parid=52621102","3902949")</f>
        <v>3902949</v>
      </c>
      <c r="H7505" t="s">
        <v>1323</v>
      </c>
      <c r="I7505">
        <v>2007</v>
      </c>
      <c r="J7505">
        <v>2007</v>
      </c>
      <c r="K7505" t="s">
        <v>4554</v>
      </c>
      <c r="L7505" t="s">
        <v>3974</v>
      </c>
      <c r="M7505" s="2">
        <v>1884</v>
      </c>
      <c r="N7505" t="s">
        <v>5280</v>
      </c>
      <c r="O7505">
        <v>4</v>
      </c>
      <c r="P7505">
        <v>2</v>
      </c>
      <c r="Q7505">
        <v>1</v>
      </c>
      <c r="R7505" t="s">
        <v>5281</v>
      </c>
      <c r="S7505" t="s">
        <v>4898</v>
      </c>
      <c r="T7505" t="s">
        <v>2704</v>
      </c>
      <c r="U7505" t="s">
        <v>5631</v>
      </c>
      <c r="V7505" s="2">
        <v>441</v>
      </c>
      <c r="W7505" t="s">
        <v>4655</v>
      </c>
      <c r="X7505" s="2">
        <v>0</v>
      </c>
      <c r="Y7505">
        <v>20</v>
      </c>
      <c r="Z7505" t="s">
        <v>2048</v>
      </c>
      <c r="AA7505" s="3">
        <v>7.2842054069042206E-2</v>
      </c>
      <c r="AB7505" t="s">
        <v>35272</v>
      </c>
      <c r="AC7505" t="s">
        <v>4562</v>
      </c>
      <c r="AD7505" t="s">
        <v>35271</v>
      </c>
      <c r="AE7505" t="s">
        <v>4655</v>
      </c>
      <c r="AF7505" t="s">
        <v>5201</v>
      </c>
      <c r="AG7505" t="s">
        <v>4564</v>
      </c>
      <c r="AH7505" t="s">
        <v>1605</v>
      </c>
      <c r="AI7505" t="s">
        <v>4903</v>
      </c>
      <c r="AJ7505" t="s">
        <v>902</v>
      </c>
      <c r="AK7505" t="s">
        <v>35273</v>
      </c>
      <c r="AL7505" s="13" t="s">
        <v>1899</v>
      </c>
      <c r="AM7505">
        <v>1</v>
      </c>
      <c r="AN7505" s="15" t="s">
        <v>2039</v>
      </c>
    </row>
    <row r="7506" spans="1:40" x14ac:dyDescent="0.3">
      <c r="A7506" s="10" t="str">
        <f>HYPERLINK("http://www.washoecounty.gov/assessor/cama/?parid=526-211-13&amp;CardNumber=1","526-211-13")</f>
        <v>526-211-13</v>
      </c>
      <c r="B7506" t="s">
        <v>4655</v>
      </c>
      <c r="C7506" t="s">
        <v>35274</v>
      </c>
      <c r="D7506" s="1">
        <v>40274</v>
      </c>
      <c r="E7506" s="2">
        <v>145000</v>
      </c>
      <c r="F7506" t="s">
        <v>4567</v>
      </c>
      <c r="G7506" s="17" t="str">
        <f>HYPERLINK("https://www.washoecounty.gov/assessor/cama/?command=sales&amp;parid=52621113","3867980")</f>
        <v>3867980</v>
      </c>
      <c r="H7506" t="s">
        <v>1323</v>
      </c>
      <c r="I7506">
        <v>2006</v>
      </c>
      <c r="J7506">
        <v>2006</v>
      </c>
      <c r="K7506" t="s">
        <v>4554</v>
      </c>
      <c r="L7506" t="s">
        <v>3974</v>
      </c>
      <c r="M7506" s="2">
        <v>1549</v>
      </c>
      <c r="N7506" t="s">
        <v>5280</v>
      </c>
      <c r="O7506">
        <v>3</v>
      </c>
      <c r="P7506">
        <v>2</v>
      </c>
      <c r="Q7506">
        <v>1</v>
      </c>
      <c r="R7506" t="s">
        <v>5281</v>
      </c>
      <c r="S7506" t="s">
        <v>4898</v>
      </c>
      <c r="T7506" t="s">
        <v>2704</v>
      </c>
      <c r="U7506" t="s">
        <v>4560</v>
      </c>
      <c r="V7506" s="2">
        <v>420</v>
      </c>
      <c r="W7506" t="s">
        <v>4655</v>
      </c>
      <c r="X7506" s="2">
        <v>0</v>
      </c>
      <c r="Y7506">
        <v>20</v>
      </c>
      <c r="Z7506" t="s">
        <v>2048</v>
      </c>
      <c r="AA7506" s="3">
        <v>6.8296603858470903E-2</v>
      </c>
      <c r="AB7506" t="s">
        <v>35275</v>
      </c>
      <c r="AC7506" t="s">
        <v>4562</v>
      </c>
      <c r="AD7506" t="s">
        <v>35276</v>
      </c>
      <c r="AE7506" t="s">
        <v>4655</v>
      </c>
      <c r="AF7506" t="s">
        <v>5201</v>
      </c>
      <c r="AG7506" t="s">
        <v>4564</v>
      </c>
      <c r="AH7506" t="s">
        <v>1605</v>
      </c>
      <c r="AI7506" t="s">
        <v>35277</v>
      </c>
      <c r="AJ7506" t="s">
        <v>902</v>
      </c>
      <c r="AK7506" t="s">
        <v>35278</v>
      </c>
      <c r="AL7506" s="13" t="s">
        <v>1899</v>
      </c>
      <c r="AM7506" s="14">
        <v>1</v>
      </c>
      <c r="AN7506" s="15" t="s">
        <v>2039</v>
      </c>
    </row>
    <row r="7507" spans="1:40" x14ac:dyDescent="0.3">
      <c r="A7507" s="10" t="str">
        <f>HYPERLINK("http://www.washoecounty.gov/assessor/cama/?parid=526-211-21&amp;CardNumber=1","526-211-21")</f>
        <v>526-211-21</v>
      </c>
      <c r="B7507" t="s">
        <v>4655</v>
      </c>
      <c r="C7507" t="s">
        <v>35279</v>
      </c>
      <c r="D7507" s="1">
        <v>40351</v>
      </c>
      <c r="E7507" s="2">
        <v>143000</v>
      </c>
      <c r="F7507" t="s">
        <v>4567</v>
      </c>
      <c r="G7507" s="17" t="str">
        <f>HYPERLINK("https://www.washoecounty.gov/assessor/cama/?command=sales&amp;parid=52621121","3894397")</f>
        <v>3894397</v>
      </c>
      <c r="H7507" t="s">
        <v>1323</v>
      </c>
      <c r="I7507">
        <v>2006</v>
      </c>
      <c r="J7507">
        <v>2006</v>
      </c>
      <c r="K7507" t="s">
        <v>4554</v>
      </c>
      <c r="L7507" t="s">
        <v>3974</v>
      </c>
      <c r="M7507" s="2">
        <v>1549</v>
      </c>
      <c r="N7507" t="s">
        <v>5280</v>
      </c>
      <c r="O7507">
        <v>3</v>
      </c>
      <c r="P7507">
        <v>2</v>
      </c>
      <c r="Q7507">
        <v>1</v>
      </c>
      <c r="R7507" t="s">
        <v>5281</v>
      </c>
      <c r="S7507" t="s">
        <v>4898</v>
      </c>
      <c r="T7507" t="s">
        <v>2704</v>
      </c>
      <c r="U7507" t="s">
        <v>4560</v>
      </c>
      <c r="V7507" s="2">
        <v>420</v>
      </c>
      <c r="W7507" t="s">
        <v>4655</v>
      </c>
      <c r="X7507" s="2">
        <v>0</v>
      </c>
      <c r="Y7507">
        <v>20</v>
      </c>
      <c r="Z7507" t="s">
        <v>2048</v>
      </c>
      <c r="AA7507" s="3">
        <v>7.0339761674404103E-2</v>
      </c>
      <c r="AB7507" t="s">
        <v>35280</v>
      </c>
      <c r="AC7507" t="s">
        <v>4575</v>
      </c>
      <c r="AD7507" t="s">
        <v>35281</v>
      </c>
      <c r="AE7507" t="s">
        <v>35279</v>
      </c>
      <c r="AF7507" t="s">
        <v>5201</v>
      </c>
      <c r="AG7507" t="s">
        <v>4564</v>
      </c>
      <c r="AH7507" t="s">
        <v>1605</v>
      </c>
      <c r="AI7507" t="s">
        <v>35282</v>
      </c>
      <c r="AJ7507" t="s">
        <v>902</v>
      </c>
      <c r="AK7507" t="s">
        <v>35283</v>
      </c>
      <c r="AL7507" s="13" t="s">
        <v>1899</v>
      </c>
      <c r="AM7507" s="14">
        <v>1</v>
      </c>
      <c r="AN7507" s="15" t="s">
        <v>2039</v>
      </c>
    </row>
    <row r="7508" spans="1:40" x14ac:dyDescent="0.3">
      <c r="A7508" s="10" t="str">
        <f>HYPERLINK("http://www.washoecounty.gov/assessor/cama/?parid=526-221-01&amp;CardNumber=1","526-221-01")</f>
        <v>526-221-01</v>
      </c>
      <c r="B7508" t="s">
        <v>4655</v>
      </c>
      <c r="C7508" t="s">
        <v>35284</v>
      </c>
      <c r="D7508" s="1">
        <v>40392</v>
      </c>
      <c r="E7508" s="2">
        <v>165000</v>
      </c>
      <c r="F7508" t="s">
        <v>4567</v>
      </c>
      <c r="G7508" s="17" t="str">
        <f>HYPERLINK("https://www.washoecounty.gov/assessor/cama/?command=sales&amp;parid=52622101","3907822")</f>
        <v>3907822</v>
      </c>
      <c r="H7508" t="s">
        <v>1383</v>
      </c>
      <c r="I7508">
        <v>2005</v>
      </c>
      <c r="J7508">
        <v>2005</v>
      </c>
      <c r="K7508" t="s">
        <v>4554</v>
      </c>
      <c r="L7508" t="s">
        <v>4555</v>
      </c>
      <c r="M7508" s="2">
        <v>1898</v>
      </c>
      <c r="N7508" t="s">
        <v>3147</v>
      </c>
      <c r="O7508">
        <v>3</v>
      </c>
      <c r="P7508">
        <v>2</v>
      </c>
      <c r="Q7508">
        <v>0</v>
      </c>
      <c r="R7508" t="s">
        <v>5281</v>
      </c>
      <c r="S7508" t="s">
        <v>4898</v>
      </c>
      <c r="T7508" t="s">
        <v>2704</v>
      </c>
      <c r="U7508" t="s">
        <v>4560</v>
      </c>
      <c r="V7508" s="2">
        <v>441</v>
      </c>
      <c r="W7508" t="s">
        <v>4655</v>
      </c>
      <c r="X7508" s="2">
        <v>0</v>
      </c>
      <c r="Y7508">
        <v>20</v>
      </c>
      <c r="Z7508" t="s">
        <v>2048</v>
      </c>
      <c r="AA7508" s="3">
        <v>0.126813590526581</v>
      </c>
      <c r="AB7508" t="s">
        <v>35285</v>
      </c>
      <c r="AC7508" t="s">
        <v>4562</v>
      </c>
      <c r="AD7508" t="s">
        <v>35284</v>
      </c>
      <c r="AE7508" t="s">
        <v>4655</v>
      </c>
      <c r="AF7508" t="s">
        <v>5201</v>
      </c>
      <c r="AG7508" t="s">
        <v>4564</v>
      </c>
      <c r="AH7508" t="s">
        <v>1605</v>
      </c>
      <c r="AI7508" t="s">
        <v>35286</v>
      </c>
      <c r="AJ7508" t="s">
        <v>1218</v>
      </c>
      <c r="AK7508" t="s">
        <v>35287</v>
      </c>
      <c r="AL7508" s="13" t="s">
        <v>1899</v>
      </c>
      <c r="AM7508">
        <v>1</v>
      </c>
      <c r="AN7508" s="15" t="s">
        <v>1815</v>
      </c>
    </row>
    <row r="7509" spans="1:40" x14ac:dyDescent="0.3">
      <c r="A7509" s="10" t="str">
        <f>HYPERLINK("http://www.washoecounty.gov/assessor/cama/?parid=526-222-04&amp;CardNumber=1","526-222-04")</f>
        <v>526-222-04</v>
      </c>
      <c r="B7509" t="s">
        <v>4655</v>
      </c>
      <c r="C7509" t="s">
        <v>35288</v>
      </c>
      <c r="D7509" s="1">
        <v>40309</v>
      </c>
      <c r="E7509" s="2">
        <v>150000</v>
      </c>
      <c r="F7509" t="s">
        <v>3528</v>
      </c>
      <c r="G7509" s="17" t="str">
        <f>HYPERLINK("https://www.washoecounty.gov/assessor/cama/?command=sales&amp;parid=52622204","3880459")</f>
        <v>3880459</v>
      </c>
      <c r="H7509" t="s">
        <v>1383</v>
      </c>
      <c r="I7509">
        <v>2005</v>
      </c>
      <c r="J7509">
        <v>2005</v>
      </c>
      <c r="K7509" t="s">
        <v>4554</v>
      </c>
      <c r="L7509" t="s">
        <v>4555</v>
      </c>
      <c r="M7509" s="2">
        <v>1563</v>
      </c>
      <c r="N7509" t="s">
        <v>3147</v>
      </c>
      <c r="O7509">
        <v>3</v>
      </c>
      <c r="P7509">
        <v>2</v>
      </c>
      <c r="Q7509">
        <v>0</v>
      </c>
      <c r="R7509" t="s">
        <v>5281</v>
      </c>
      <c r="S7509" t="s">
        <v>4898</v>
      </c>
      <c r="T7509" t="s">
        <v>2704</v>
      </c>
      <c r="U7509" t="s">
        <v>4560</v>
      </c>
      <c r="V7509" s="2">
        <v>400</v>
      </c>
      <c r="W7509" t="s">
        <v>4655</v>
      </c>
      <c r="X7509" s="2">
        <v>0</v>
      </c>
      <c r="Y7509">
        <v>20</v>
      </c>
      <c r="Z7509" t="s">
        <v>2048</v>
      </c>
      <c r="AA7509" s="3">
        <v>0.13213957846164703</v>
      </c>
      <c r="AB7509" t="s">
        <v>35289</v>
      </c>
      <c r="AC7509" t="s">
        <v>4575</v>
      </c>
      <c r="AD7509" t="s">
        <v>35290</v>
      </c>
      <c r="AE7509" t="s">
        <v>4655</v>
      </c>
      <c r="AF7509" t="s">
        <v>4809</v>
      </c>
      <c r="AG7509" t="s">
        <v>4564</v>
      </c>
      <c r="AH7509" t="s">
        <v>1605</v>
      </c>
      <c r="AI7509" t="s">
        <v>18714</v>
      </c>
      <c r="AJ7509" t="s">
        <v>1218</v>
      </c>
      <c r="AK7509" t="s">
        <v>35291</v>
      </c>
      <c r="AL7509" s="13" t="s">
        <v>1899</v>
      </c>
      <c r="AM7509" s="14">
        <v>1</v>
      </c>
      <c r="AN7509" s="15" t="s">
        <v>1815</v>
      </c>
    </row>
    <row r="7510" spans="1:40" x14ac:dyDescent="0.3">
      <c r="A7510" s="10" t="str">
        <f>HYPERLINK("http://www.washoecounty.gov/assessor/cama/?parid=526-222-24&amp;CardNumber=1","526-222-24")</f>
        <v>526-222-24</v>
      </c>
      <c r="B7510" t="s">
        <v>4655</v>
      </c>
      <c r="C7510" t="s">
        <v>35292</v>
      </c>
      <c r="D7510" s="1">
        <v>40316</v>
      </c>
      <c r="E7510" s="2">
        <v>237000</v>
      </c>
      <c r="F7510" t="s">
        <v>4567</v>
      </c>
      <c r="G7510" s="17" t="str">
        <f>HYPERLINK("https://www.washoecounty.gov/assessor/cama/?command=sales&amp;parid=52622224","3882448")</f>
        <v>3882448</v>
      </c>
      <c r="H7510" t="s">
        <v>1383</v>
      </c>
      <c r="I7510">
        <v>2005</v>
      </c>
      <c r="J7510">
        <v>2005</v>
      </c>
      <c r="K7510" t="s">
        <v>4554</v>
      </c>
      <c r="L7510" t="s">
        <v>3974</v>
      </c>
      <c r="M7510" s="2">
        <v>2934</v>
      </c>
      <c r="N7510" t="s">
        <v>3147</v>
      </c>
      <c r="O7510">
        <v>5</v>
      </c>
      <c r="P7510">
        <v>3</v>
      </c>
      <c r="Q7510">
        <v>0</v>
      </c>
      <c r="R7510" t="s">
        <v>4557</v>
      </c>
      <c r="S7510" t="s">
        <v>4898</v>
      </c>
      <c r="T7510" t="s">
        <v>2704</v>
      </c>
      <c r="U7510" t="s">
        <v>5631</v>
      </c>
      <c r="V7510" s="2">
        <v>590</v>
      </c>
      <c r="W7510" t="s">
        <v>4655</v>
      </c>
      <c r="X7510" s="2">
        <v>0</v>
      </c>
      <c r="Y7510">
        <v>20</v>
      </c>
      <c r="Z7510" t="s">
        <v>2048</v>
      </c>
      <c r="AA7510" s="3">
        <v>0.121671259403229</v>
      </c>
      <c r="AB7510" t="s">
        <v>35293</v>
      </c>
      <c r="AC7510" t="s">
        <v>4562</v>
      </c>
      <c r="AD7510" t="s">
        <v>35292</v>
      </c>
      <c r="AE7510" t="s">
        <v>4655</v>
      </c>
      <c r="AF7510" t="s">
        <v>5201</v>
      </c>
      <c r="AG7510" t="s">
        <v>4564</v>
      </c>
      <c r="AH7510" t="s">
        <v>1605</v>
      </c>
      <c r="AI7510" t="s">
        <v>35294</v>
      </c>
      <c r="AJ7510" t="s">
        <v>1218</v>
      </c>
      <c r="AK7510" t="s">
        <v>35295</v>
      </c>
      <c r="AL7510" s="13" t="s">
        <v>1899</v>
      </c>
      <c r="AM7510">
        <v>1</v>
      </c>
      <c r="AN7510" s="15" t="s">
        <v>1815</v>
      </c>
    </row>
    <row r="7511" spans="1:40" x14ac:dyDescent="0.3">
      <c r="A7511" s="10" t="str">
        <f>HYPERLINK("http://www.washoecounty.gov/assessor/cama/?parid=526-222-26&amp;CardNumber=1","526-222-26")</f>
        <v>526-222-26</v>
      </c>
      <c r="B7511" t="s">
        <v>4655</v>
      </c>
      <c r="C7511" t="s">
        <v>1293</v>
      </c>
      <c r="D7511" s="1">
        <v>40522</v>
      </c>
      <c r="E7511" s="2">
        <v>201000</v>
      </c>
      <c r="F7511" t="s">
        <v>4567</v>
      </c>
      <c r="G7511" s="17" t="str">
        <f>HYPERLINK("https://www.washoecounty.gov/assessor/cama/?command=sales&amp;parid=52622226","3951951")</f>
        <v>3951951</v>
      </c>
      <c r="H7511" t="s">
        <v>1383</v>
      </c>
      <c r="I7511">
        <v>2005</v>
      </c>
      <c r="J7511">
        <v>2005</v>
      </c>
      <c r="K7511" t="s">
        <v>4554</v>
      </c>
      <c r="L7511" t="s">
        <v>3974</v>
      </c>
      <c r="M7511" s="2">
        <v>2383</v>
      </c>
      <c r="N7511" t="s">
        <v>3147</v>
      </c>
      <c r="O7511">
        <v>4</v>
      </c>
      <c r="P7511">
        <v>2</v>
      </c>
      <c r="Q7511">
        <v>1</v>
      </c>
      <c r="R7511" t="s">
        <v>4557</v>
      </c>
      <c r="S7511" t="s">
        <v>4898</v>
      </c>
      <c r="T7511" t="s">
        <v>2704</v>
      </c>
      <c r="U7511" t="s">
        <v>4560</v>
      </c>
      <c r="V7511" s="2">
        <v>630</v>
      </c>
      <c r="W7511" t="s">
        <v>4655</v>
      </c>
      <c r="X7511" s="2">
        <v>0</v>
      </c>
      <c r="Y7511">
        <v>20</v>
      </c>
      <c r="Z7511" t="s">
        <v>2048</v>
      </c>
      <c r="AA7511" s="3">
        <v>0.121671259403229</v>
      </c>
      <c r="AB7511" t="s">
        <v>654</v>
      </c>
      <c r="AC7511" t="s">
        <v>4575</v>
      </c>
      <c r="AD7511" t="s">
        <v>655</v>
      </c>
      <c r="AE7511" t="s">
        <v>4655</v>
      </c>
      <c r="AF7511" t="s">
        <v>4809</v>
      </c>
      <c r="AG7511" t="s">
        <v>4564</v>
      </c>
      <c r="AH7511" t="s">
        <v>1605</v>
      </c>
      <c r="AI7511" t="s">
        <v>656</v>
      </c>
      <c r="AJ7511" t="s">
        <v>1218</v>
      </c>
      <c r="AK7511" t="s">
        <v>1294</v>
      </c>
      <c r="AL7511" s="13" t="s">
        <v>1899</v>
      </c>
      <c r="AM7511" s="14">
        <v>1</v>
      </c>
      <c r="AN7511" s="15" t="s">
        <v>1815</v>
      </c>
    </row>
    <row r="7512" spans="1:40" x14ac:dyDescent="0.3">
      <c r="A7512" s="10" t="str">
        <f>HYPERLINK("http://www.washoecounty.gov/assessor/cama/?parid=526-222-28&amp;CardNumber=1","526-222-28")</f>
        <v>526-222-28</v>
      </c>
      <c r="B7512" t="s">
        <v>4655</v>
      </c>
      <c r="C7512" t="s">
        <v>35296</v>
      </c>
      <c r="D7512" s="1">
        <v>40449</v>
      </c>
      <c r="E7512" s="2">
        <v>212000</v>
      </c>
      <c r="F7512" t="s">
        <v>4553</v>
      </c>
      <c r="G7512" s="17" t="str">
        <f>HYPERLINK("https://www.washoecounty.gov/assessor/cama/?command=sales&amp;parid=52622228","3927142")</f>
        <v>3927142</v>
      </c>
      <c r="H7512" t="s">
        <v>1383</v>
      </c>
      <c r="I7512">
        <v>2005</v>
      </c>
      <c r="J7512">
        <v>2005</v>
      </c>
      <c r="K7512" t="s">
        <v>4554</v>
      </c>
      <c r="L7512" t="s">
        <v>3974</v>
      </c>
      <c r="M7512" s="2">
        <v>2383</v>
      </c>
      <c r="N7512" t="s">
        <v>3147</v>
      </c>
      <c r="O7512">
        <v>4</v>
      </c>
      <c r="P7512">
        <v>2</v>
      </c>
      <c r="Q7512">
        <v>1</v>
      </c>
      <c r="R7512" t="s">
        <v>5281</v>
      </c>
      <c r="S7512" t="s">
        <v>4898</v>
      </c>
      <c r="T7512" t="s">
        <v>2704</v>
      </c>
      <c r="U7512" t="s">
        <v>4560</v>
      </c>
      <c r="V7512" s="2">
        <v>630</v>
      </c>
      <c r="W7512" t="s">
        <v>4655</v>
      </c>
      <c r="X7512" s="2">
        <v>0</v>
      </c>
      <c r="Y7512">
        <v>20</v>
      </c>
      <c r="Z7512" t="s">
        <v>2048</v>
      </c>
      <c r="AA7512" s="3">
        <v>0.12862718105316201</v>
      </c>
      <c r="AB7512" t="s">
        <v>35297</v>
      </c>
      <c r="AC7512" t="s">
        <v>4562</v>
      </c>
      <c r="AD7512" t="s">
        <v>35298</v>
      </c>
      <c r="AE7512" t="s">
        <v>4655</v>
      </c>
      <c r="AF7512" t="s">
        <v>5201</v>
      </c>
      <c r="AG7512" t="s">
        <v>4564</v>
      </c>
      <c r="AH7512" t="s">
        <v>1605</v>
      </c>
      <c r="AI7512" t="s">
        <v>4903</v>
      </c>
      <c r="AJ7512" t="s">
        <v>1218</v>
      </c>
      <c r="AK7512" t="s">
        <v>35299</v>
      </c>
      <c r="AL7512" s="13" t="s">
        <v>1899</v>
      </c>
      <c r="AM7512" s="14">
        <v>1</v>
      </c>
      <c r="AN7512" s="15" t="s">
        <v>1815</v>
      </c>
    </row>
    <row r="7513" spans="1:40" x14ac:dyDescent="0.3">
      <c r="A7513" s="10" t="str">
        <f>HYPERLINK("http://www.washoecounty.gov/assessor/cama/?parid=526-231-12&amp;CardNumber=1","526-231-12")</f>
        <v>526-231-12</v>
      </c>
      <c r="B7513" t="s">
        <v>4655</v>
      </c>
      <c r="C7513" t="s">
        <v>35300</v>
      </c>
      <c r="D7513" s="1">
        <v>40268</v>
      </c>
      <c r="E7513" s="2">
        <v>225000</v>
      </c>
      <c r="F7513" t="s">
        <v>4567</v>
      </c>
      <c r="G7513" s="17" t="str">
        <f>HYPERLINK("https://www.washoecounty.gov/assessor/cama/?command=sales&amp;parid=52623112","3866320")</f>
        <v>3866320</v>
      </c>
      <c r="H7513" t="s">
        <v>1383</v>
      </c>
      <c r="I7513">
        <v>2005</v>
      </c>
      <c r="J7513">
        <v>2005</v>
      </c>
      <c r="K7513" t="s">
        <v>4554</v>
      </c>
      <c r="L7513" t="s">
        <v>3974</v>
      </c>
      <c r="M7513" s="2">
        <v>2593</v>
      </c>
      <c r="N7513" t="s">
        <v>3147</v>
      </c>
      <c r="O7513">
        <v>4</v>
      </c>
      <c r="P7513">
        <v>2</v>
      </c>
      <c r="Q7513">
        <v>1</v>
      </c>
      <c r="R7513" t="s">
        <v>4557</v>
      </c>
      <c r="S7513" t="s">
        <v>4898</v>
      </c>
      <c r="T7513" t="s">
        <v>2704</v>
      </c>
      <c r="U7513" t="s">
        <v>4560</v>
      </c>
      <c r="V7513" s="2">
        <v>630</v>
      </c>
      <c r="W7513" t="s">
        <v>4655</v>
      </c>
      <c r="X7513" s="2">
        <v>0</v>
      </c>
      <c r="Y7513">
        <v>20</v>
      </c>
      <c r="Z7513" t="s">
        <v>2048</v>
      </c>
      <c r="AA7513" s="3">
        <v>0.12628558278083801</v>
      </c>
      <c r="AB7513" t="s">
        <v>35301</v>
      </c>
      <c r="AC7513" t="s">
        <v>4562</v>
      </c>
      <c r="AD7513" t="s">
        <v>35302</v>
      </c>
      <c r="AE7513" t="s">
        <v>4655</v>
      </c>
      <c r="AF7513" t="s">
        <v>4809</v>
      </c>
      <c r="AG7513" t="s">
        <v>4564</v>
      </c>
      <c r="AH7513" t="s">
        <v>1605</v>
      </c>
      <c r="AI7513" t="s">
        <v>35303</v>
      </c>
      <c r="AJ7513" t="s">
        <v>1218</v>
      </c>
      <c r="AK7513" t="s">
        <v>35304</v>
      </c>
      <c r="AL7513" s="13" t="s">
        <v>1899</v>
      </c>
      <c r="AM7513">
        <v>1</v>
      </c>
      <c r="AN7513" s="15" t="s">
        <v>1815</v>
      </c>
    </row>
    <row r="7514" spans="1:40" x14ac:dyDescent="0.3">
      <c r="A7514" s="10" t="str">
        <f>HYPERLINK("http://www.washoecounty.gov/assessor/cama/?parid=526-232-01&amp;CardNumber=1","526-232-01")</f>
        <v>526-232-01</v>
      </c>
      <c r="B7514" t="s">
        <v>4655</v>
      </c>
      <c r="C7514" t="s">
        <v>35305</v>
      </c>
      <c r="D7514" s="1">
        <v>40283</v>
      </c>
      <c r="E7514" s="2">
        <v>212000</v>
      </c>
      <c r="F7514" t="s">
        <v>4567</v>
      </c>
      <c r="G7514" s="17" t="str">
        <f>HYPERLINK("https://www.washoecounty.gov/assessor/cama/?command=sales&amp;parid=52623201","3871116")</f>
        <v>3871116</v>
      </c>
      <c r="H7514" t="s">
        <v>1383</v>
      </c>
      <c r="I7514">
        <v>2005</v>
      </c>
      <c r="J7514">
        <v>2005</v>
      </c>
      <c r="K7514" t="s">
        <v>4554</v>
      </c>
      <c r="L7514" t="s">
        <v>3974</v>
      </c>
      <c r="M7514" s="2">
        <v>2593</v>
      </c>
      <c r="N7514" t="s">
        <v>3147</v>
      </c>
      <c r="O7514">
        <v>4</v>
      </c>
      <c r="P7514">
        <v>2</v>
      </c>
      <c r="Q7514">
        <v>1</v>
      </c>
      <c r="R7514" t="s">
        <v>4557</v>
      </c>
      <c r="S7514" t="s">
        <v>4898</v>
      </c>
      <c r="T7514" t="s">
        <v>2704</v>
      </c>
      <c r="U7514" t="s">
        <v>4560</v>
      </c>
      <c r="V7514" s="2">
        <v>630</v>
      </c>
      <c r="W7514" t="s">
        <v>4655</v>
      </c>
      <c r="X7514" s="2">
        <v>0</v>
      </c>
      <c r="Y7514">
        <v>20</v>
      </c>
      <c r="Z7514" t="s">
        <v>2048</v>
      </c>
      <c r="AA7514" s="3">
        <v>0.121671259403229</v>
      </c>
      <c r="AB7514" t="s">
        <v>35306</v>
      </c>
      <c r="AC7514" t="s">
        <v>4562</v>
      </c>
      <c r="AD7514" t="s">
        <v>35307</v>
      </c>
      <c r="AE7514" t="s">
        <v>4655</v>
      </c>
      <c r="AF7514" t="s">
        <v>4809</v>
      </c>
      <c r="AG7514" t="s">
        <v>4564</v>
      </c>
      <c r="AH7514" t="s">
        <v>1605</v>
      </c>
      <c r="AI7514" t="s">
        <v>35308</v>
      </c>
      <c r="AJ7514" t="s">
        <v>1218</v>
      </c>
      <c r="AK7514" t="s">
        <v>35309</v>
      </c>
      <c r="AL7514" s="13" t="s">
        <v>1899</v>
      </c>
      <c r="AM7514" s="14">
        <v>1</v>
      </c>
      <c r="AN7514" s="15" t="s">
        <v>1815</v>
      </c>
    </row>
    <row r="7515" spans="1:40" x14ac:dyDescent="0.3">
      <c r="A7515" s="10" t="str">
        <f>HYPERLINK("http://www.washoecounty.gov/assessor/cama/?parid=526-252-02&amp;CardNumber=1","526-252-02")</f>
        <v>526-252-02</v>
      </c>
      <c r="B7515" t="s">
        <v>4655</v>
      </c>
      <c r="C7515" t="s">
        <v>35310</v>
      </c>
      <c r="D7515" s="1">
        <v>40270</v>
      </c>
      <c r="E7515" s="2">
        <v>184300</v>
      </c>
      <c r="F7515" t="s">
        <v>4567</v>
      </c>
      <c r="G7515" s="17" t="str">
        <f>HYPERLINK("https://www.washoecounty.gov/assessor/cama/?command=sales&amp;parid=52625202","3867174")</f>
        <v>3867174</v>
      </c>
      <c r="H7515" t="s">
        <v>4364</v>
      </c>
      <c r="I7515">
        <v>2007</v>
      </c>
      <c r="J7515">
        <v>2007</v>
      </c>
      <c r="K7515" t="s">
        <v>4554</v>
      </c>
      <c r="L7515" t="s">
        <v>3974</v>
      </c>
      <c r="M7515" s="2">
        <v>1869</v>
      </c>
      <c r="N7515" t="s">
        <v>3147</v>
      </c>
      <c r="O7515">
        <v>4</v>
      </c>
      <c r="P7515">
        <v>3</v>
      </c>
      <c r="Q7515">
        <v>0</v>
      </c>
      <c r="R7515" t="s">
        <v>5281</v>
      </c>
      <c r="S7515" t="s">
        <v>4898</v>
      </c>
      <c r="T7515" t="s">
        <v>2704</v>
      </c>
      <c r="U7515" t="s">
        <v>4560</v>
      </c>
      <c r="V7515" s="2">
        <v>425</v>
      </c>
      <c r="W7515" t="s">
        <v>4655</v>
      </c>
      <c r="X7515" s="2">
        <v>0</v>
      </c>
      <c r="Y7515">
        <v>20</v>
      </c>
      <c r="Z7515" t="s">
        <v>2048</v>
      </c>
      <c r="AA7515" s="3">
        <v>0.117079891264439</v>
      </c>
      <c r="AB7515" t="s">
        <v>35311</v>
      </c>
      <c r="AC7515" t="s">
        <v>4562</v>
      </c>
      <c r="AD7515" t="s">
        <v>35310</v>
      </c>
      <c r="AE7515" t="s">
        <v>4655</v>
      </c>
      <c r="AF7515" t="s">
        <v>5201</v>
      </c>
      <c r="AG7515" t="s">
        <v>4564</v>
      </c>
      <c r="AH7515" t="s">
        <v>1605</v>
      </c>
      <c r="AI7515" t="s">
        <v>35312</v>
      </c>
      <c r="AJ7515" t="s">
        <v>4365</v>
      </c>
      <c r="AK7515" t="s">
        <v>35313</v>
      </c>
      <c r="AL7515" s="13" t="s">
        <v>1899</v>
      </c>
      <c r="AM7515" s="14">
        <v>1</v>
      </c>
      <c r="AN7515" s="15" t="s">
        <v>1815</v>
      </c>
    </row>
    <row r="7516" spans="1:40" x14ac:dyDescent="0.3">
      <c r="A7516" s="10" t="str">
        <f>HYPERLINK("http://www.washoecounty.gov/assessor/cama/?parid=526-252-09&amp;CardNumber=1","526-252-09")</f>
        <v>526-252-09</v>
      </c>
      <c r="B7516" t="s">
        <v>4655</v>
      </c>
      <c r="C7516" t="s">
        <v>35314</v>
      </c>
      <c r="D7516" s="1">
        <v>40375</v>
      </c>
      <c r="E7516" s="2">
        <v>175000</v>
      </c>
      <c r="F7516" t="s">
        <v>4567</v>
      </c>
      <c r="G7516" s="17" t="str">
        <f>HYPERLINK("https://www.washoecounty.gov/assessor/cama/?command=sales&amp;parid=52625209","3902052")</f>
        <v>3902052</v>
      </c>
      <c r="H7516" t="s">
        <v>4364</v>
      </c>
      <c r="I7516">
        <v>2006</v>
      </c>
      <c r="J7516">
        <v>2006</v>
      </c>
      <c r="K7516" t="s">
        <v>4554</v>
      </c>
      <c r="L7516" t="s">
        <v>4555</v>
      </c>
      <c r="M7516" s="2">
        <v>1511</v>
      </c>
      <c r="N7516" t="s">
        <v>3147</v>
      </c>
      <c r="O7516">
        <v>3</v>
      </c>
      <c r="P7516">
        <v>2</v>
      </c>
      <c r="Q7516">
        <v>0</v>
      </c>
      <c r="R7516" t="s">
        <v>5281</v>
      </c>
      <c r="S7516" t="s">
        <v>4898</v>
      </c>
      <c r="T7516" t="s">
        <v>2704</v>
      </c>
      <c r="U7516" t="s">
        <v>4560</v>
      </c>
      <c r="V7516" s="2">
        <v>420</v>
      </c>
      <c r="W7516" t="s">
        <v>4655</v>
      </c>
      <c r="X7516" s="2">
        <v>0</v>
      </c>
      <c r="Y7516">
        <v>20</v>
      </c>
      <c r="Z7516" t="s">
        <v>2048</v>
      </c>
      <c r="AA7516" s="3">
        <v>0.117079891264439</v>
      </c>
      <c r="AB7516" t="s">
        <v>35315</v>
      </c>
      <c r="AC7516" t="s">
        <v>4562</v>
      </c>
      <c r="AD7516" t="s">
        <v>35314</v>
      </c>
      <c r="AE7516" t="s">
        <v>4655</v>
      </c>
      <c r="AF7516" t="s">
        <v>5201</v>
      </c>
      <c r="AG7516" t="s">
        <v>4564</v>
      </c>
      <c r="AH7516" t="s">
        <v>1605</v>
      </c>
      <c r="AI7516" t="s">
        <v>35316</v>
      </c>
      <c r="AJ7516" t="s">
        <v>4365</v>
      </c>
      <c r="AK7516" t="s">
        <v>35317</v>
      </c>
      <c r="AL7516" s="13" t="s">
        <v>1899</v>
      </c>
      <c r="AM7516" s="14">
        <v>1</v>
      </c>
      <c r="AN7516" s="15" t="s">
        <v>1815</v>
      </c>
    </row>
    <row r="7517" spans="1:40" x14ac:dyDescent="0.3">
      <c r="A7517" s="10" t="str">
        <f>HYPERLINK("http://www.washoecounty.gov/assessor/cama/?parid=526-252-17&amp;CardNumber=1","526-252-17")</f>
        <v>526-252-17</v>
      </c>
      <c r="B7517" t="s">
        <v>4655</v>
      </c>
      <c r="C7517" t="s">
        <v>35318</v>
      </c>
      <c r="D7517" s="1">
        <v>40346</v>
      </c>
      <c r="E7517" s="2">
        <v>179000</v>
      </c>
      <c r="F7517" t="s">
        <v>4567</v>
      </c>
      <c r="G7517" s="17" t="str">
        <f>HYPERLINK("https://www.washoecounty.gov/assessor/cama/?command=sales&amp;parid=52625217","3892828")</f>
        <v>3892828</v>
      </c>
      <c r="H7517" t="s">
        <v>4364</v>
      </c>
      <c r="I7517">
        <v>2006</v>
      </c>
      <c r="J7517">
        <v>2006</v>
      </c>
      <c r="K7517" t="s">
        <v>4554</v>
      </c>
      <c r="L7517" t="s">
        <v>4555</v>
      </c>
      <c r="M7517" s="2">
        <v>1511</v>
      </c>
      <c r="N7517" t="s">
        <v>3147</v>
      </c>
      <c r="O7517">
        <v>3</v>
      </c>
      <c r="P7517">
        <v>2</v>
      </c>
      <c r="Q7517">
        <v>0</v>
      </c>
      <c r="R7517" t="s">
        <v>5281</v>
      </c>
      <c r="S7517" t="s">
        <v>4898</v>
      </c>
      <c r="T7517" t="s">
        <v>2704</v>
      </c>
      <c r="U7517" t="s">
        <v>4560</v>
      </c>
      <c r="V7517" s="2">
        <v>420</v>
      </c>
      <c r="W7517" t="s">
        <v>4655</v>
      </c>
      <c r="X7517" s="2">
        <v>0</v>
      </c>
      <c r="Y7517">
        <v>20</v>
      </c>
      <c r="Z7517" t="s">
        <v>2048</v>
      </c>
      <c r="AA7517" s="3">
        <v>0.117079891264439</v>
      </c>
      <c r="AB7517" t="s">
        <v>35319</v>
      </c>
      <c r="AC7517" t="s">
        <v>4562</v>
      </c>
      <c r="AD7517" t="s">
        <v>35318</v>
      </c>
      <c r="AE7517" t="s">
        <v>4655</v>
      </c>
      <c r="AF7517" t="s">
        <v>5201</v>
      </c>
      <c r="AG7517" t="s">
        <v>4564</v>
      </c>
      <c r="AH7517" t="s">
        <v>1605</v>
      </c>
      <c r="AI7517" t="s">
        <v>35320</v>
      </c>
      <c r="AJ7517" t="s">
        <v>4365</v>
      </c>
      <c r="AK7517" t="s">
        <v>35321</v>
      </c>
      <c r="AL7517" s="13" t="s">
        <v>1899</v>
      </c>
      <c r="AM7517">
        <v>1</v>
      </c>
      <c r="AN7517" s="15" t="s">
        <v>1815</v>
      </c>
    </row>
    <row r="7518" spans="1:40" x14ac:dyDescent="0.3">
      <c r="A7518" s="10" t="str">
        <f>HYPERLINK("http://www.washoecounty.gov/assessor/cama/?parid=526-254-23&amp;CardNumber=1","526-254-23")</f>
        <v>526-254-23</v>
      </c>
      <c r="B7518" t="s">
        <v>4655</v>
      </c>
      <c r="C7518" t="s">
        <v>35322</v>
      </c>
      <c r="D7518" s="1">
        <v>40259</v>
      </c>
      <c r="E7518" s="2">
        <v>209500</v>
      </c>
      <c r="F7518" t="s">
        <v>4553</v>
      </c>
      <c r="G7518" s="17" t="str">
        <f>HYPERLINK("https://www.washoecounty.gov/assessor/cama/?command=sales&amp;parid=52625423","3862230")</f>
        <v>3862230</v>
      </c>
      <c r="H7518" t="s">
        <v>4364</v>
      </c>
      <c r="I7518">
        <v>2006</v>
      </c>
      <c r="J7518">
        <v>2006</v>
      </c>
      <c r="K7518" t="s">
        <v>4554</v>
      </c>
      <c r="L7518" t="s">
        <v>3974</v>
      </c>
      <c r="M7518" s="2">
        <v>2554</v>
      </c>
      <c r="N7518" t="s">
        <v>3147</v>
      </c>
      <c r="O7518">
        <v>4</v>
      </c>
      <c r="P7518">
        <v>3</v>
      </c>
      <c r="Q7518">
        <v>0</v>
      </c>
      <c r="R7518" t="s">
        <v>5281</v>
      </c>
      <c r="S7518" t="s">
        <v>4898</v>
      </c>
      <c r="T7518" t="s">
        <v>2704</v>
      </c>
      <c r="U7518" t="s">
        <v>5631</v>
      </c>
      <c r="V7518" s="2">
        <v>513</v>
      </c>
      <c r="W7518" t="s">
        <v>4655</v>
      </c>
      <c r="X7518" s="2">
        <v>0</v>
      </c>
      <c r="Y7518">
        <v>20</v>
      </c>
      <c r="Z7518" t="s">
        <v>2048</v>
      </c>
      <c r="AA7518" s="3">
        <v>0.117079891264439</v>
      </c>
      <c r="AB7518" t="s">
        <v>35323</v>
      </c>
      <c r="AC7518" t="s">
        <v>4575</v>
      </c>
      <c r="AD7518" t="s">
        <v>35322</v>
      </c>
      <c r="AE7518" t="s">
        <v>4655</v>
      </c>
      <c r="AF7518" t="s">
        <v>5201</v>
      </c>
      <c r="AG7518" t="s">
        <v>4564</v>
      </c>
      <c r="AH7518" t="s">
        <v>1605</v>
      </c>
      <c r="AI7518" t="s">
        <v>4045</v>
      </c>
      <c r="AJ7518" t="s">
        <v>4365</v>
      </c>
      <c r="AK7518" t="s">
        <v>35324</v>
      </c>
      <c r="AL7518" s="13" t="s">
        <v>1899</v>
      </c>
      <c r="AM7518">
        <v>1</v>
      </c>
      <c r="AN7518" s="15" t="s">
        <v>1815</v>
      </c>
    </row>
    <row r="7519" spans="1:40" x14ac:dyDescent="0.3">
      <c r="A7519" s="10" t="str">
        <f>HYPERLINK("http://www.washoecounty.gov/assessor/cama/?parid=526-271-01&amp;CardNumber=1","526-271-01")</f>
        <v>526-271-01</v>
      </c>
      <c r="B7519" t="s">
        <v>4655</v>
      </c>
      <c r="C7519" t="s">
        <v>35325</v>
      </c>
      <c r="D7519" s="1">
        <v>40532</v>
      </c>
      <c r="E7519" s="2">
        <v>235000</v>
      </c>
      <c r="F7519" t="s">
        <v>4567</v>
      </c>
      <c r="G7519" s="17" t="str">
        <f>HYPERLINK("https://www.washoecounty.gov/assessor/cama/?command=sales&amp;parid=52627101","3955576")</f>
        <v>3955576</v>
      </c>
      <c r="H7519" t="s">
        <v>2047</v>
      </c>
      <c r="I7519">
        <v>2006</v>
      </c>
      <c r="J7519">
        <v>2006</v>
      </c>
      <c r="K7519" t="s">
        <v>4554</v>
      </c>
      <c r="L7519" t="s">
        <v>3974</v>
      </c>
      <c r="M7519" s="2">
        <v>2758</v>
      </c>
      <c r="N7519" t="s">
        <v>3147</v>
      </c>
      <c r="O7519">
        <v>5</v>
      </c>
      <c r="P7519">
        <v>3</v>
      </c>
      <c r="Q7519">
        <v>0</v>
      </c>
      <c r="R7519" t="s">
        <v>5281</v>
      </c>
      <c r="S7519" t="s">
        <v>4898</v>
      </c>
      <c r="T7519" t="s">
        <v>2704</v>
      </c>
      <c r="U7519" t="s">
        <v>4560</v>
      </c>
      <c r="V7519" s="2">
        <v>775</v>
      </c>
      <c r="W7519" t="s">
        <v>4655</v>
      </c>
      <c r="X7519" s="2">
        <v>0</v>
      </c>
      <c r="Y7519">
        <v>20</v>
      </c>
      <c r="Z7519" t="s">
        <v>2048</v>
      </c>
      <c r="AA7519" s="3">
        <v>0.25507345795631398</v>
      </c>
      <c r="AB7519" t="s">
        <v>35326</v>
      </c>
      <c r="AC7519" t="s">
        <v>4562</v>
      </c>
      <c r="AD7519" t="s">
        <v>35327</v>
      </c>
      <c r="AE7519" t="s">
        <v>4655</v>
      </c>
      <c r="AF7519" t="s">
        <v>5201</v>
      </c>
      <c r="AG7519" t="s">
        <v>4564</v>
      </c>
      <c r="AH7519" t="s">
        <v>1605</v>
      </c>
      <c r="AI7519" t="s">
        <v>35328</v>
      </c>
      <c r="AJ7519" t="s">
        <v>2049</v>
      </c>
      <c r="AK7519" t="s">
        <v>35329</v>
      </c>
      <c r="AL7519" s="13" t="s">
        <v>1899</v>
      </c>
      <c r="AM7519">
        <v>1</v>
      </c>
      <c r="AN7519" s="15" t="s">
        <v>2036</v>
      </c>
    </row>
    <row r="7520" spans="1:40" x14ac:dyDescent="0.3">
      <c r="A7520" s="10" t="str">
        <f>HYPERLINK("http://www.washoecounty.gov/assessor/cama/?parid=526-271-03&amp;CardNumber=1","526-271-03")</f>
        <v>526-271-03</v>
      </c>
      <c r="B7520" t="s">
        <v>4655</v>
      </c>
      <c r="C7520" t="s">
        <v>283</v>
      </c>
      <c r="D7520" s="1">
        <v>40358</v>
      </c>
      <c r="E7520" s="2">
        <v>210000</v>
      </c>
      <c r="F7520" t="s">
        <v>4567</v>
      </c>
      <c r="G7520" s="20" t="s">
        <v>282</v>
      </c>
      <c r="H7520" t="s">
        <v>2047</v>
      </c>
      <c r="I7520">
        <v>2006</v>
      </c>
      <c r="J7520">
        <v>2006</v>
      </c>
      <c r="K7520" t="s">
        <v>4554</v>
      </c>
      <c r="L7520" t="s">
        <v>4555</v>
      </c>
      <c r="M7520" s="2">
        <v>1925</v>
      </c>
      <c r="N7520" t="s">
        <v>3147</v>
      </c>
      <c r="O7520">
        <v>4</v>
      </c>
      <c r="P7520">
        <v>2</v>
      </c>
      <c r="Q7520">
        <v>0</v>
      </c>
      <c r="R7520" t="s">
        <v>5281</v>
      </c>
      <c r="S7520" t="s">
        <v>4898</v>
      </c>
      <c r="T7520" t="s">
        <v>2704</v>
      </c>
      <c r="U7520" t="s">
        <v>4560</v>
      </c>
      <c r="V7520" s="2">
        <v>680</v>
      </c>
      <c r="W7520" t="s">
        <v>4655</v>
      </c>
      <c r="X7520" s="2">
        <v>0</v>
      </c>
      <c r="Y7520">
        <v>20</v>
      </c>
      <c r="Z7520" t="s">
        <v>2048</v>
      </c>
      <c r="AA7520" s="3">
        <v>0.18675389885902399</v>
      </c>
      <c r="AB7520" s="20" t="s">
        <v>8865</v>
      </c>
      <c r="AD7520" t="s">
        <v>283</v>
      </c>
      <c r="AE7520" t="s">
        <v>283</v>
      </c>
      <c r="AF7520" t="s">
        <v>283</v>
      </c>
      <c r="AG7520" t="s">
        <v>4564</v>
      </c>
      <c r="AH7520" t="s">
        <v>3101</v>
      </c>
      <c r="AI7520" t="s">
        <v>8865</v>
      </c>
      <c r="AJ7520" t="s">
        <v>2049</v>
      </c>
      <c r="AK7520" t="s">
        <v>35330</v>
      </c>
      <c r="AL7520" s="13" t="s">
        <v>1899</v>
      </c>
      <c r="AM7520">
        <v>1</v>
      </c>
      <c r="AN7520" s="15" t="s">
        <v>2036</v>
      </c>
    </row>
    <row r="7521" spans="1:40" x14ac:dyDescent="0.3">
      <c r="A7521" s="10" t="str">
        <f>HYPERLINK("http://www.washoecounty.gov/assessor/cama/?parid=526-281-01&amp;CardNumber=1","526-281-01")</f>
        <v>526-281-01</v>
      </c>
      <c r="B7521" t="s">
        <v>4655</v>
      </c>
      <c r="C7521" t="s">
        <v>35331</v>
      </c>
      <c r="D7521" s="1">
        <v>40296</v>
      </c>
      <c r="E7521" s="2">
        <v>229000</v>
      </c>
      <c r="F7521" t="s">
        <v>4567</v>
      </c>
      <c r="G7521" s="17" t="str">
        <f>HYPERLINK("https://www.washoecounty.gov/assessor/cama/?command=sales&amp;parid=52628101","3875769")</f>
        <v>3875769</v>
      </c>
      <c r="H7521" t="s">
        <v>2047</v>
      </c>
      <c r="I7521">
        <v>2006</v>
      </c>
      <c r="J7521">
        <v>2006</v>
      </c>
      <c r="K7521" t="s">
        <v>4554</v>
      </c>
      <c r="L7521" t="s">
        <v>4555</v>
      </c>
      <c r="M7521" s="2">
        <v>1988</v>
      </c>
      <c r="N7521" t="s">
        <v>3147</v>
      </c>
      <c r="O7521">
        <v>4</v>
      </c>
      <c r="P7521">
        <v>2</v>
      </c>
      <c r="Q7521">
        <v>0</v>
      </c>
      <c r="R7521" t="s">
        <v>5281</v>
      </c>
      <c r="S7521" t="s">
        <v>4898</v>
      </c>
      <c r="T7521" t="s">
        <v>2704</v>
      </c>
      <c r="U7521" t="s">
        <v>4560</v>
      </c>
      <c r="V7521" s="2">
        <v>670</v>
      </c>
      <c r="W7521" t="s">
        <v>4655</v>
      </c>
      <c r="X7521" s="2">
        <v>0</v>
      </c>
      <c r="Y7521">
        <v>20</v>
      </c>
      <c r="Z7521" t="s">
        <v>2048</v>
      </c>
      <c r="AA7521" s="3">
        <v>0.20576216280460399</v>
      </c>
      <c r="AB7521" t="s">
        <v>35332</v>
      </c>
      <c r="AC7521" t="s">
        <v>4562</v>
      </c>
      <c r="AD7521" t="s">
        <v>35331</v>
      </c>
      <c r="AE7521" t="s">
        <v>4655</v>
      </c>
      <c r="AF7521" t="s">
        <v>5201</v>
      </c>
      <c r="AG7521" t="s">
        <v>4564</v>
      </c>
      <c r="AH7521" t="s">
        <v>1605</v>
      </c>
      <c r="AI7521" t="s">
        <v>31350</v>
      </c>
      <c r="AJ7521" t="s">
        <v>2049</v>
      </c>
      <c r="AK7521" t="s">
        <v>35333</v>
      </c>
      <c r="AL7521" s="13" t="s">
        <v>1899</v>
      </c>
      <c r="AM7521" s="14">
        <v>1</v>
      </c>
      <c r="AN7521" s="15" t="s">
        <v>2036</v>
      </c>
    </row>
    <row r="7522" spans="1:40" x14ac:dyDescent="0.3">
      <c r="A7522" s="10" t="str">
        <f>HYPERLINK("http://www.washoecounty.gov/assessor/cama/?parid=526-281-06&amp;CardNumber=1","526-281-06")</f>
        <v>526-281-06</v>
      </c>
      <c r="B7522" t="s">
        <v>4655</v>
      </c>
      <c r="C7522" t="s">
        <v>35334</v>
      </c>
      <c r="D7522" s="1">
        <v>40441</v>
      </c>
      <c r="E7522" s="2">
        <v>228000</v>
      </c>
      <c r="F7522" t="s">
        <v>4567</v>
      </c>
      <c r="G7522" s="17" t="str">
        <f>HYPERLINK("https://www.washoecounty.gov/assessor/cama/?command=sales&amp;parid=52628106","3923894")</f>
        <v>3923894</v>
      </c>
      <c r="H7522" t="s">
        <v>2047</v>
      </c>
      <c r="I7522">
        <v>2006</v>
      </c>
      <c r="J7522">
        <v>2006</v>
      </c>
      <c r="K7522" t="s">
        <v>4554</v>
      </c>
      <c r="L7522" t="s">
        <v>3974</v>
      </c>
      <c r="M7522" s="2">
        <v>2758</v>
      </c>
      <c r="N7522" t="s">
        <v>3147</v>
      </c>
      <c r="O7522">
        <v>5</v>
      </c>
      <c r="P7522">
        <v>3</v>
      </c>
      <c r="Q7522">
        <v>0</v>
      </c>
      <c r="R7522" t="s">
        <v>5281</v>
      </c>
      <c r="S7522" t="s">
        <v>4898</v>
      </c>
      <c r="T7522" t="s">
        <v>2704</v>
      </c>
      <c r="U7522" t="s">
        <v>4560</v>
      </c>
      <c r="V7522" s="2">
        <v>775</v>
      </c>
      <c r="W7522" t="s">
        <v>4655</v>
      </c>
      <c r="X7522" s="2">
        <v>0</v>
      </c>
      <c r="Y7522">
        <v>20</v>
      </c>
      <c r="Z7522" t="s">
        <v>2048</v>
      </c>
      <c r="AA7522" s="3">
        <v>0.201744720339775</v>
      </c>
      <c r="AB7522" t="s">
        <v>35335</v>
      </c>
      <c r="AC7522" t="s">
        <v>4562</v>
      </c>
      <c r="AD7522" t="s">
        <v>35336</v>
      </c>
      <c r="AE7522" t="s">
        <v>4655</v>
      </c>
      <c r="AF7522" t="s">
        <v>5201</v>
      </c>
      <c r="AG7522" t="s">
        <v>4564</v>
      </c>
      <c r="AH7522" t="s">
        <v>1605</v>
      </c>
      <c r="AI7522" t="s">
        <v>35337</v>
      </c>
      <c r="AJ7522" t="s">
        <v>2049</v>
      </c>
      <c r="AK7522" t="s">
        <v>35338</v>
      </c>
      <c r="AL7522" s="13" t="s">
        <v>1899</v>
      </c>
      <c r="AM7522" s="14">
        <v>1</v>
      </c>
      <c r="AN7522" s="15" t="s">
        <v>2036</v>
      </c>
    </row>
    <row r="7523" spans="1:40" x14ac:dyDescent="0.3">
      <c r="A7523" s="10" t="str">
        <f>HYPERLINK("http://www.washoecounty.gov/assessor/cama/?parid=526-281-19&amp;CardNumber=1","526-281-19")</f>
        <v>526-281-19</v>
      </c>
      <c r="B7523" t="s">
        <v>4655</v>
      </c>
      <c r="C7523" t="s">
        <v>35339</v>
      </c>
      <c r="D7523" s="1">
        <v>40515</v>
      </c>
      <c r="E7523" s="2">
        <v>212000</v>
      </c>
      <c r="F7523" t="s">
        <v>4553</v>
      </c>
      <c r="G7523" s="17" t="str">
        <f>HYPERLINK("https://www.washoecounty.gov/assessor/cama/?command=sales&amp;parid=52628119","3949352")</f>
        <v>3949352</v>
      </c>
      <c r="H7523" t="s">
        <v>2047</v>
      </c>
      <c r="I7523">
        <v>2006</v>
      </c>
      <c r="J7523">
        <v>2006</v>
      </c>
      <c r="K7523" t="s">
        <v>4554</v>
      </c>
      <c r="L7523" t="s">
        <v>3974</v>
      </c>
      <c r="M7523" s="2">
        <v>2570</v>
      </c>
      <c r="N7523" t="s">
        <v>3147</v>
      </c>
      <c r="O7523">
        <v>4</v>
      </c>
      <c r="P7523">
        <v>3</v>
      </c>
      <c r="Q7523">
        <v>0</v>
      </c>
      <c r="R7523" t="s">
        <v>5281</v>
      </c>
      <c r="S7523" t="s">
        <v>4898</v>
      </c>
      <c r="T7523" t="s">
        <v>2704</v>
      </c>
      <c r="U7523" t="s">
        <v>4560</v>
      </c>
      <c r="V7523" s="2">
        <v>764</v>
      </c>
      <c r="W7523" t="s">
        <v>4655</v>
      </c>
      <c r="X7523" s="2">
        <v>0</v>
      </c>
      <c r="Y7523">
        <v>20</v>
      </c>
      <c r="Z7523" t="s">
        <v>2048</v>
      </c>
      <c r="AA7523" s="3">
        <v>0.221051424741745</v>
      </c>
      <c r="AB7523" t="s">
        <v>35340</v>
      </c>
      <c r="AC7523" t="s">
        <v>4562</v>
      </c>
      <c r="AD7523" t="s">
        <v>35341</v>
      </c>
      <c r="AE7523" t="s">
        <v>4655</v>
      </c>
      <c r="AF7523" t="s">
        <v>4809</v>
      </c>
      <c r="AG7523" t="s">
        <v>4564</v>
      </c>
      <c r="AH7523" t="s">
        <v>1605</v>
      </c>
      <c r="AI7523" t="s">
        <v>4565</v>
      </c>
      <c r="AJ7523" t="s">
        <v>2049</v>
      </c>
      <c r="AK7523" t="s">
        <v>35342</v>
      </c>
      <c r="AL7523" s="13" t="s">
        <v>1899</v>
      </c>
      <c r="AM7523">
        <v>1</v>
      </c>
      <c r="AN7523" s="15" t="s">
        <v>2036</v>
      </c>
    </row>
    <row r="7524" spans="1:40" x14ac:dyDescent="0.3">
      <c r="A7524" s="10" t="str">
        <f>HYPERLINK("http://www.washoecounty.gov/assessor/cama/?parid=526-281-20&amp;CardNumber=1","526-281-20")</f>
        <v>526-281-20</v>
      </c>
      <c r="B7524" t="s">
        <v>4655</v>
      </c>
      <c r="C7524" t="s">
        <v>35343</v>
      </c>
      <c r="D7524" s="1">
        <v>40218</v>
      </c>
      <c r="E7524" s="2">
        <v>233000</v>
      </c>
      <c r="F7524" t="s">
        <v>4567</v>
      </c>
      <c r="G7524" s="17" t="str">
        <f>HYPERLINK("https://www.washoecounty.gov/assessor/cama/?command=sales&amp;parid=52628120","DEED")</f>
        <v>DEED</v>
      </c>
      <c r="H7524" t="s">
        <v>2047</v>
      </c>
      <c r="I7524">
        <v>2006</v>
      </c>
      <c r="J7524">
        <v>2006</v>
      </c>
      <c r="K7524" t="s">
        <v>4554</v>
      </c>
      <c r="L7524" t="s">
        <v>3974</v>
      </c>
      <c r="M7524" s="2">
        <v>2758</v>
      </c>
      <c r="N7524" t="s">
        <v>3147</v>
      </c>
      <c r="O7524">
        <v>4</v>
      </c>
      <c r="P7524">
        <v>3</v>
      </c>
      <c r="Q7524">
        <v>0</v>
      </c>
      <c r="R7524" t="s">
        <v>5281</v>
      </c>
      <c r="S7524" t="s">
        <v>4898</v>
      </c>
      <c r="T7524" t="s">
        <v>2704</v>
      </c>
      <c r="U7524" t="s">
        <v>4560</v>
      </c>
      <c r="V7524" s="2">
        <v>775</v>
      </c>
      <c r="W7524" t="s">
        <v>4655</v>
      </c>
      <c r="X7524" s="2">
        <v>0</v>
      </c>
      <c r="Y7524">
        <v>20</v>
      </c>
      <c r="Z7524" t="s">
        <v>2048</v>
      </c>
      <c r="AA7524" s="3">
        <v>0.24065656960010501</v>
      </c>
      <c r="AB7524" t="s">
        <v>35344</v>
      </c>
      <c r="AC7524" t="s">
        <v>4562</v>
      </c>
      <c r="AD7524" t="s">
        <v>35343</v>
      </c>
      <c r="AE7524" t="s">
        <v>4655</v>
      </c>
      <c r="AF7524" t="s">
        <v>5201</v>
      </c>
      <c r="AG7524" t="s">
        <v>4564</v>
      </c>
      <c r="AH7524" t="s">
        <v>1605</v>
      </c>
      <c r="AI7524" t="s">
        <v>35345</v>
      </c>
      <c r="AJ7524" t="s">
        <v>2049</v>
      </c>
      <c r="AK7524" t="s">
        <v>35346</v>
      </c>
      <c r="AL7524" s="13" t="s">
        <v>1899</v>
      </c>
      <c r="AM7524" s="14">
        <v>1</v>
      </c>
      <c r="AN7524" s="15" t="s">
        <v>2036</v>
      </c>
    </row>
    <row r="7525" spans="1:40" x14ac:dyDescent="0.3">
      <c r="A7525" s="10" t="str">
        <f>HYPERLINK("http://www.washoecounty.gov/assessor/cama/?parid=526-281-24&amp;CardNumber=1","526-281-24")</f>
        <v>526-281-24</v>
      </c>
      <c r="B7525" t="s">
        <v>4655</v>
      </c>
      <c r="D7525" s="1">
        <v>40527</v>
      </c>
      <c r="E7525" s="2">
        <v>225000</v>
      </c>
      <c r="F7525" t="s">
        <v>4567</v>
      </c>
      <c r="G7525" s="17" t="str">
        <f>HYPERLINK("https://www.washoecounty.gov/assessor/cama/?command=sales&amp;parid=01044219","NOT AVAILABLE ")</f>
        <v xml:space="preserve">NOT AVAILABLE </v>
      </c>
      <c r="H7525" t="s">
        <v>2047</v>
      </c>
      <c r="I7525">
        <v>2006</v>
      </c>
      <c r="J7525">
        <v>2006</v>
      </c>
      <c r="K7525" t="s">
        <v>4554</v>
      </c>
      <c r="L7525" t="s">
        <v>3974</v>
      </c>
      <c r="M7525" s="2">
        <v>2758</v>
      </c>
      <c r="N7525" t="s">
        <v>3147</v>
      </c>
      <c r="O7525">
        <v>4</v>
      </c>
      <c r="P7525">
        <v>3</v>
      </c>
      <c r="Q7525">
        <v>0</v>
      </c>
      <c r="R7525" t="s">
        <v>5281</v>
      </c>
      <c r="S7525" t="s">
        <v>4898</v>
      </c>
      <c r="T7525" t="s">
        <v>2704</v>
      </c>
      <c r="U7525" t="s">
        <v>4560</v>
      </c>
      <c r="V7525" s="2">
        <v>775</v>
      </c>
      <c r="W7525" t="s">
        <v>4655</v>
      </c>
      <c r="X7525" s="2">
        <v>0</v>
      </c>
      <c r="Y7525">
        <v>20</v>
      </c>
      <c r="Z7525" t="s">
        <v>2048</v>
      </c>
      <c r="AA7525" s="3">
        <v>0.38714417815208402</v>
      </c>
      <c r="AB7525" t="s">
        <v>8865</v>
      </c>
      <c r="AC7525" t="s">
        <v>4562</v>
      </c>
      <c r="AD7525" t="s">
        <v>283</v>
      </c>
      <c r="AE7525" t="s">
        <v>283</v>
      </c>
      <c r="AF7525" t="s">
        <v>283</v>
      </c>
      <c r="AG7525" t="s">
        <v>4564</v>
      </c>
      <c r="AH7525" t="s">
        <v>3101</v>
      </c>
      <c r="AI7525" t="s">
        <v>8865</v>
      </c>
      <c r="AJ7525" t="s">
        <v>2049</v>
      </c>
      <c r="AK7525" t="s">
        <v>8865</v>
      </c>
      <c r="AL7525" s="13" t="s">
        <v>1899</v>
      </c>
      <c r="AM7525" s="14">
        <v>1</v>
      </c>
      <c r="AN7525" s="15" t="s">
        <v>2036</v>
      </c>
    </row>
    <row r="7526" spans="1:40" x14ac:dyDescent="0.3">
      <c r="A7526" s="10" t="str">
        <f>HYPERLINK("http://www.washoecounty.gov/assessor/cama/?parid=526-281-28&amp;CardNumber=1","526-281-28")</f>
        <v>526-281-28</v>
      </c>
      <c r="B7526" t="s">
        <v>4655</v>
      </c>
      <c r="C7526" t="s">
        <v>35347</v>
      </c>
      <c r="D7526" s="1">
        <v>40184</v>
      </c>
      <c r="E7526" s="2">
        <v>251000</v>
      </c>
      <c r="F7526" t="s">
        <v>4567</v>
      </c>
      <c r="G7526" s="17" t="str">
        <f>HYPERLINK("https://www.washoecounty.gov/assessor/cama/?command=sales&amp;parid=52628128","3836955")</f>
        <v>3836955</v>
      </c>
      <c r="H7526" t="s">
        <v>2047</v>
      </c>
      <c r="I7526">
        <v>2006</v>
      </c>
      <c r="J7526">
        <v>2006</v>
      </c>
      <c r="K7526" t="s">
        <v>4554</v>
      </c>
      <c r="L7526" t="s">
        <v>3974</v>
      </c>
      <c r="M7526" s="2">
        <v>2600</v>
      </c>
      <c r="N7526" t="s">
        <v>3147</v>
      </c>
      <c r="O7526">
        <v>5</v>
      </c>
      <c r="P7526">
        <v>3</v>
      </c>
      <c r="Q7526">
        <v>0</v>
      </c>
      <c r="R7526" t="s">
        <v>5281</v>
      </c>
      <c r="S7526" t="s">
        <v>4898</v>
      </c>
      <c r="T7526" t="s">
        <v>2704</v>
      </c>
      <c r="U7526" t="s">
        <v>4560</v>
      </c>
      <c r="V7526" s="2">
        <v>775</v>
      </c>
      <c r="W7526" t="s">
        <v>4655</v>
      </c>
      <c r="X7526" s="2">
        <v>0</v>
      </c>
      <c r="Y7526">
        <v>20</v>
      </c>
      <c r="Z7526" t="s">
        <v>2048</v>
      </c>
      <c r="AA7526" s="3">
        <v>0.232805326581001</v>
      </c>
      <c r="AB7526" t="s">
        <v>35348</v>
      </c>
      <c r="AC7526" t="s">
        <v>4562</v>
      </c>
      <c r="AD7526" t="s">
        <v>35349</v>
      </c>
      <c r="AE7526" t="s">
        <v>4655</v>
      </c>
      <c r="AF7526" t="s">
        <v>5201</v>
      </c>
      <c r="AG7526" t="s">
        <v>4564</v>
      </c>
      <c r="AH7526" t="s">
        <v>1605</v>
      </c>
      <c r="AI7526" t="s">
        <v>35350</v>
      </c>
      <c r="AJ7526" t="s">
        <v>2049</v>
      </c>
      <c r="AK7526" t="s">
        <v>35351</v>
      </c>
      <c r="AL7526" s="13" t="s">
        <v>1899</v>
      </c>
      <c r="AM7526" s="14">
        <v>1</v>
      </c>
      <c r="AN7526" s="15" t="s">
        <v>2036</v>
      </c>
    </row>
    <row r="7527" spans="1:40" x14ac:dyDescent="0.3">
      <c r="A7527" s="10" t="str">
        <f>HYPERLINK("http://www.washoecounty.gov/assessor/cama/?parid=526-281-29&amp;CardNumber=1","526-281-29")</f>
        <v>526-281-29</v>
      </c>
      <c r="B7527" t="s">
        <v>4655</v>
      </c>
      <c r="C7527" t="s">
        <v>35352</v>
      </c>
      <c r="D7527" s="1">
        <v>40395</v>
      </c>
      <c r="E7527" s="2">
        <v>266000</v>
      </c>
      <c r="F7527" t="s">
        <v>4567</v>
      </c>
      <c r="G7527" s="17" t="str">
        <f>HYPERLINK("https://www.washoecounty.gov/assessor/cama/?command=sales&amp;parid=52628129","3909218")</f>
        <v>3909218</v>
      </c>
      <c r="H7527" t="s">
        <v>2047</v>
      </c>
      <c r="I7527">
        <v>2006</v>
      </c>
      <c r="J7527">
        <v>2006</v>
      </c>
      <c r="K7527" t="s">
        <v>4554</v>
      </c>
      <c r="L7527" t="s">
        <v>3974</v>
      </c>
      <c r="M7527" s="2">
        <v>2570</v>
      </c>
      <c r="N7527" t="s">
        <v>3147</v>
      </c>
      <c r="O7527">
        <v>4</v>
      </c>
      <c r="P7527">
        <v>3</v>
      </c>
      <c r="Q7527">
        <v>0</v>
      </c>
      <c r="R7527" t="s">
        <v>5281</v>
      </c>
      <c r="S7527" t="s">
        <v>4898</v>
      </c>
      <c r="T7527" t="s">
        <v>2704</v>
      </c>
      <c r="U7527" t="s">
        <v>4560</v>
      </c>
      <c r="V7527" s="2">
        <v>764</v>
      </c>
      <c r="W7527" t="s">
        <v>4655</v>
      </c>
      <c r="X7527" s="2">
        <v>0</v>
      </c>
      <c r="Y7527">
        <v>20</v>
      </c>
      <c r="Z7527" t="s">
        <v>2048</v>
      </c>
      <c r="AA7527" s="3">
        <v>0.17359963059425401</v>
      </c>
      <c r="AB7527" t="s">
        <v>35353</v>
      </c>
      <c r="AC7527" t="s">
        <v>4562</v>
      </c>
      <c r="AD7527" t="s">
        <v>35352</v>
      </c>
      <c r="AE7527" t="s">
        <v>4655</v>
      </c>
      <c r="AF7527" t="s">
        <v>5201</v>
      </c>
      <c r="AG7527" t="s">
        <v>4564</v>
      </c>
      <c r="AH7527" t="s">
        <v>1605</v>
      </c>
      <c r="AI7527" t="s">
        <v>35354</v>
      </c>
      <c r="AJ7527" t="s">
        <v>2049</v>
      </c>
      <c r="AK7527" t="s">
        <v>35355</v>
      </c>
      <c r="AL7527" s="13" t="s">
        <v>1899</v>
      </c>
      <c r="AM7527" s="14">
        <v>1</v>
      </c>
      <c r="AN7527" s="15" t="s">
        <v>2036</v>
      </c>
    </row>
    <row r="7528" spans="1:40" x14ac:dyDescent="0.3">
      <c r="A7528" s="10" t="str">
        <f>HYPERLINK("http://www.washoecounty.gov/assessor/cama/?parid=526-341-09&amp;CardNumber=1","526-341-09")</f>
        <v>526-341-09</v>
      </c>
      <c r="B7528" t="s">
        <v>4655</v>
      </c>
      <c r="C7528" t="s">
        <v>35356</v>
      </c>
      <c r="D7528" s="1">
        <v>40413</v>
      </c>
      <c r="E7528" s="2">
        <v>234900</v>
      </c>
      <c r="F7528" t="s">
        <v>4553</v>
      </c>
      <c r="G7528" s="17" t="str">
        <f>HYPERLINK("https://www.washoecounty.gov/assessor/cama/?command=sales&amp;parid=52634109","3914633")</f>
        <v>3914633</v>
      </c>
      <c r="H7528" t="s">
        <v>1330</v>
      </c>
      <c r="I7528">
        <v>2006</v>
      </c>
      <c r="J7528">
        <v>2006</v>
      </c>
      <c r="K7528" t="s">
        <v>4554</v>
      </c>
      <c r="L7528" t="s">
        <v>4555</v>
      </c>
      <c r="M7528" s="2">
        <v>2169</v>
      </c>
      <c r="N7528" t="s">
        <v>3147</v>
      </c>
      <c r="O7528">
        <v>3</v>
      </c>
      <c r="P7528">
        <v>2</v>
      </c>
      <c r="Q7528">
        <v>0</v>
      </c>
      <c r="R7528" t="s">
        <v>5281</v>
      </c>
      <c r="S7528" t="s">
        <v>4898</v>
      </c>
      <c r="T7528" t="s">
        <v>2704</v>
      </c>
      <c r="U7528" t="s">
        <v>4560</v>
      </c>
      <c r="V7528" s="2">
        <v>678</v>
      </c>
      <c r="W7528" t="s">
        <v>4655</v>
      </c>
      <c r="X7528" s="2">
        <v>0</v>
      </c>
      <c r="Y7528">
        <v>20</v>
      </c>
      <c r="Z7528" t="s">
        <v>2048</v>
      </c>
      <c r="AA7528" s="3">
        <v>0.29022037982940702</v>
      </c>
      <c r="AB7528" t="s">
        <v>24013</v>
      </c>
      <c r="AC7528" t="s">
        <v>4562</v>
      </c>
      <c r="AD7528" t="s">
        <v>35356</v>
      </c>
      <c r="AE7528" t="s">
        <v>4655</v>
      </c>
      <c r="AF7528" t="s">
        <v>5201</v>
      </c>
      <c r="AG7528" t="s">
        <v>4564</v>
      </c>
      <c r="AH7528" t="s">
        <v>1605</v>
      </c>
      <c r="AI7528" t="s">
        <v>35357</v>
      </c>
      <c r="AJ7528" t="s">
        <v>3586</v>
      </c>
      <c r="AK7528" t="s">
        <v>35358</v>
      </c>
      <c r="AL7528" s="13" t="s">
        <v>1899</v>
      </c>
      <c r="AM7528" s="14">
        <v>1</v>
      </c>
      <c r="AN7528" s="15" t="s">
        <v>2036</v>
      </c>
    </row>
    <row r="7529" spans="1:40" x14ac:dyDescent="0.3">
      <c r="A7529" s="10" t="str">
        <f>HYPERLINK("http://www.washoecounty.gov/assessor/cama/?parid=526-343-03&amp;CardNumber=1","526-343-03")</f>
        <v>526-343-03</v>
      </c>
      <c r="B7529" t="s">
        <v>4655</v>
      </c>
      <c r="C7529" t="s">
        <v>35359</v>
      </c>
      <c r="D7529" s="1">
        <v>40283</v>
      </c>
      <c r="E7529" s="2">
        <v>260000</v>
      </c>
      <c r="F7529" t="s">
        <v>4567</v>
      </c>
      <c r="G7529" s="17" t="str">
        <f>HYPERLINK("https://www.washoecounty.gov/assessor/cama/?command=sales&amp;parid=52634303","3871526")</f>
        <v>3871526</v>
      </c>
      <c r="H7529" t="s">
        <v>1330</v>
      </c>
      <c r="I7529">
        <v>2006</v>
      </c>
      <c r="J7529">
        <v>2006</v>
      </c>
      <c r="K7529" t="s">
        <v>4554</v>
      </c>
      <c r="L7529" t="s">
        <v>3974</v>
      </c>
      <c r="M7529" s="2">
        <v>2765</v>
      </c>
      <c r="N7529" t="s">
        <v>3147</v>
      </c>
      <c r="O7529">
        <v>4</v>
      </c>
      <c r="P7529">
        <v>3</v>
      </c>
      <c r="Q7529">
        <v>0</v>
      </c>
      <c r="R7529" t="s">
        <v>5281</v>
      </c>
      <c r="S7529" t="s">
        <v>4898</v>
      </c>
      <c r="T7529" t="s">
        <v>2704</v>
      </c>
      <c r="U7529" t="s">
        <v>5631</v>
      </c>
      <c r="V7529" s="2">
        <v>682</v>
      </c>
      <c r="W7529" t="s">
        <v>4655</v>
      </c>
      <c r="X7529" s="2">
        <v>0</v>
      </c>
      <c r="Y7529">
        <v>20</v>
      </c>
      <c r="Z7529" t="s">
        <v>2048</v>
      </c>
      <c r="AA7529" s="3">
        <v>0.245798900723457</v>
      </c>
      <c r="AB7529" t="s">
        <v>35360</v>
      </c>
      <c r="AC7529" t="s">
        <v>4562</v>
      </c>
      <c r="AD7529" t="s">
        <v>35359</v>
      </c>
      <c r="AE7529" t="s">
        <v>4655</v>
      </c>
      <c r="AF7529" t="s">
        <v>5201</v>
      </c>
      <c r="AG7529" t="s">
        <v>4564</v>
      </c>
      <c r="AH7529" t="s">
        <v>1605</v>
      </c>
      <c r="AI7529" t="s">
        <v>35361</v>
      </c>
      <c r="AJ7529" t="s">
        <v>3586</v>
      </c>
      <c r="AK7529" t="s">
        <v>35362</v>
      </c>
      <c r="AL7529" s="13" t="s">
        <v>1899</v>
      </c>
      <c r="AM7529" s="14">
        <v>1</v>
      </c>
      <c r="AN7529" s="15" t="s">
        <v>2036</v>
      </c>
    </row>
    <row r="7530" spans="1:40" x14ac:dyDescent="0.3">
      <c r="A7530" s="10" t="str">
        <f>HYPERLINK("http://www.washoecounty.gov/assessor/cama/?parid=526-352-08&amp;CardNumber=1","526-352-08")</f>
        <v>526-352-08</v>
      </c>
      <c r="B7530" t="s">
        <v>4655</v>
      </c>
      <c r="C7530" t="s">
        <v>35363</v>
      </c>
      <c r="D7530" s="1">
        <v>40219</v>
      </c>
      <c r="E7530" s="2">
        <v>238847</v>
      </c>
      <c r="F7530" t="s">
        <v>4567</v>
      </c>
      <c r="G7530" s="17" t="str">
        <f>HYPERLINK("https://www.washoecounty.gov/assessor/cama/?command=sales&amp;parid=52635208","3847777")</f>
        <v>3847777</v>
      </c>
      <c r="H7530" t="s">
        <v>1338</v>
      </c>
      <c r="I7530">
        <v>2009</v>
      </c>
      <c r="J7530">
        <v>2009</v>
      </c>
      <c r="K7530" t="s">
        <v>4554</v>
      </c>
      <c r="L7530" t="s">
        <v>4555</v>
      </c>
      <c r="M7530" s="2">
        <v>2146</v>
      </c>
      <c r="N7530" t="s">
        <v>3147</v>
      </c>
      <c r="O7530">
        <v>4</v>
      </c>
      <c r="P7530">
        <v>2</v>
      </c>
      <c r="Q7530">
        <v>0</v>
      </c>
      <c r="R7530" t="s">
        <v>5281</v>
      </c>
      <c r="S7530" t="s">
        <v>4898</v>
      </c>
      <c r="T7530" t="s">
        <v>2704</v>
      </c>
      <c r="U7530" t="s">
        <v>4560</v>
      </c>
      <c r="V7530" s="2">
        <v>665</v>
      </c>
      <c r="W7530" t="s">
        <v>4655</v>
      </c>
      <c r="X7530" s="2">
        <v>0</v>
      </c>
      <c r="Y7530">
        <v>20</v>
      </c>
      <c r="Z7530" t="s">
        <v>2048</v>
      </c>
      <c r="AA7530" s="3">
        <v>0.22180899977683999</v>
      </c>
      <c r="AB7530" t="s">
        <v>35364</v>
      </c>
      <c r="AC7530" t="s">
        <v>4575</v>
      </c>
      <c r="AD7530" t="s">
        <v>35363</v>
      </c>
      <c r="AE7530" t="s">
        <v>4655</v>
      </c>
      <c r="AF7530" t="s">
        <v>5201</v>
      </c>
      <c r="AG7530" t="s">
        <v>4564</v>
      </c>
      <c r="AH7530" t="s">
        <v>1605</v>
      </c>
      <c r="AI7530" t="s">
        <v>35365</v>
      </c>
      <c r="AJ7530" t="s">
        <v>550</v>
      </c>
      <c r="AK7530" t="s">
        <v>35366</v>
      </c>
      <c r="AL7530" s="13" t="s">
        <v>1899</v>
      </c>
      <c r="AM7530">
        <v>1</v>
      </c>
      <c r="AN7530" s="15" t="s">
        <v>2036</v>
      </c>
    </row>
    <row r="7531" spans="1:40" x14ac:dyDescent="0.3">
      <c r="A7531" s="10" t="str">
        <f>HYPERLINK("http://www.washoecounty.gov/assessor/cama/?parid=526-352-09&amp;CardNumber=1","526-352-09")</f>
        <v>526-352-09</v>
      </c>
      <c r="B7531" t="s">
        <v>4655</v>
      </c>
      <c r="C7531" t="s">
        <v>35367</v>
      </c>
      <c r="D7531" s="1">
        <v>40213</v>
      </c>
      <c r="E7531" s="2">
        <v>259209</v>
      </c>
      <c r="F7531" t="s">
        <v>4567</v>
      </c>
      <c r="G7531" s="17" t="str">
        <f>HYPERLINK("https://www.washoecounty.gov/assessor/cama/?command=sales&amp;parid=52635209","3846138")</f>
        <v>3846138</v>
      </c>
      <c r="H7531" t="s">
        <v>1338</v>
      </c>
      <c r="I7531">
        <v>2009</v>
      </c>
      <c r="J7531">
        <v>2009</v>
      </c>
      <c r="K7531" t="s">
        <v>4554</v>
      </c>
      <c r="L7531" t="s">
        <v>4555</v>
      </c>
      <c r="M7531" s="2">
        <v>2324</v>
      </c>
      <c r="N7531" t="s">
        <v>3147</v>
      </c>
      <c r="O7531">
        <v>4</v>
      </c>
      <c r="P7531">
        <v>2</v>
      </c>
      <c r="Q7531">
        <v>0</v>
      </c>
      <c r="R7531" t="s">
        <v>5281</v>
      </c>
      <c r="S7531" t="s">
        <v>4898</v>
      </c>
      <c r="T7531" t="s">
        <v>2704</v>
      </c>
      <c r="U7531" t="s">
        <v>4560</v>
      </c>
      <c r="V7531" s="2">
        <v>639</v>
      </c>
      <c r="W7531" t="s">
        <v>4655</v>
      </c>
      <c r="X7531" s="2">
        <v>0</v>
      </c>
      <c r="Y7531">
        <v>20</v>
      </c>
      <c r="Z7531" t="s">
        <v>2048</v>
      </c>
      <c r="AA7531" s="3">
        <v>0.203833788633347</v>
      </c>
      <c r="AB7531" t="s">
        <v>35368</v>
      </c>
      <c r="AC7531" t="s">
        <v>4562</v>
      </c>
      <c r="AD7531" t="s">
        <v>35367</v>
      </c>
      <c r="AE7531" t="s">
        <v>4655</v>
      </c>
      <c r="AF7531" t="s">
        <v>4809</v>
      </c>
      <c r="AG7531" t="s">
        <v>4564</v>
      </c>
      <c r="AH7531" t="s">
        <v>1605</v>
      </c>
      <c r="AI7531" t="s">
        <v>549</v>
      </c>
      <c r="AJ7531" t="s">
        <v>550</v>
      </c>
      <c r="AK7531" t="s">
        <v>35369</v>
      </c>
      <c r="AL7531" s="13" t="s">
        <v>1899</v>
      </c>
      <c r="AM7531">
        <v>1</v>
      </c>
      <c r="AN7531" s="15" t="s">
        <v>2036</v>
      </c>
    </row>
    <row r="7532" spans="1:40" x14ac:dyDescent="0.3">
      <c r="A7532" s="10" t="str">
        <f>HYPERLINK("http://www.washoecounty.gov/assessor/cama/?parid=526-352-12&amp;CardNumber=1","526-352-12")</f>
        <v>526-352-12</v>
      </c>
      <c r="B7532" t="s">
        <v>4655</v>
      </c>
      <c r="C7532" t="s">
        <v>35370</v>
      </c>
      <c r="D7532" s="1">
        <v>40232</v>
      </c>
      <c r="E7532" s="2">
        <v>249990</v>
      </c>
      <c r="F7532" t="s">
        <v>4567</v>
      </c>
      <c r="G7532" s="17" t="str">
        <f>HYPERLINK("https://www.washoecounty.gov/assessor/cama/?command=sales&amp;parid=52635212","3851834")</f>
        <v>3851834</v>
      </c>
      <c r="H7532" t="s">
        <v>1338</v>
      </c>
      <c r="I7532">
        <v>2009</v>
      </c>
      <c r="J7532">
        <v>2009</v>
      </c>
      <c r="K7532" t="s">
        <v>4554</v>
      </c>
      <c r="L7532" t="s">
        <v>4555</v>
      </c>
      <c r="M7532" s="2">
        <v>2324</v>
      </c>
      <c r="N7532" t="s">
        <v>3147</v>
      </c>
      <c r="O7532">
        <v>4</v>
      </c>
      <c r="P7532">
        <v>2</v>
      </c>
      <c r="Q7532">
        <v>0</v>
      </c>
      <c r="R7532" t="s">
        <v>5281</v>
      </c>
      <c r="S7532" t="s">
        <v>4898</v>
      </c>
      <c r="T7532" t="s">
        <v>2704</v>
      </c>
      <c r="U7532" t="s">
        <v>4560</v>
      </c>
      <c r="V7532" s="2">
        <v>639</v>
      </c>
      <c r="W7532" t="s">
        <v>4655</v>
      </c>
      <c r="X7532" s="2">
        <v>0</v>
      </c>
      <c r="Y7532">
        <v>20</v>
      </c>
      <c r="Z7532" t="s">
        <v>2048</v>
      </c>
      <c r="AA7532" s="3">
        <v>0.225688710808754</v>
      </c>
      <c r="AB7532" t="s">
        <v>35371</v>
      </c>
      <c r="AC7532" t="s">
        <v>4562</v>
      </c>
      <c r="AD7532" t="s">
        <v>35370</v>
      </c>
      <c r="AE7532" t="s">
        <v>4655</v>
      </c>
      <c r="AF7532" t="s">
        <v>5201</v>
      </c>
      <c r="AG7532" t="s">
        <v>4564</v>
      </c>
      <c r="AH7532" t="s">
        <v>1605</v>
      </c>
      <c r="AI7532" t="s">
        <v>549</v>
      </c>
      <c r="AJ7532" t="s">
        <v>550</v>
      </c>
      <c r="AK7532" t="s">
        <v>35372</v>
      </c>
      <c r="AL7532" s="13" t="s">
        <v>1899</v>
      </c>
      <c r="AM7532" s="14">
        <v>1</v>
      </c>
      <c r="AN7532" s="15" t="s">
        <v>2036</v>
      </c>
    </row>
    <row r="7533" spans="1:40" x14ac:dyDescent="0.3">
      <c r="A7533" s="10" t="str">
        <f>HYPERLINK("http://www.washoecounty.gov/assessor/cama/?parid=526-352-13&amp;CardNumber=1","526-352-13")</f>
        <v>526-352-13</v>
      </c>
      <c r="B7533" t="s">
        <v>4655</v>
      </c>
      <c r="C7533" t="s">
        <v>35373</v>
      </c>
      <c r="D7533" s="1">
        <v>40248</v>
      </c>
      <c r="E7533" s="2">
        <v>290637</v>
      </c>
      <c r="F7533" t="s">
        <v>4567</v>
      </c>
      <c r="G7533" s="17" t="str">
        <f>HYPERLINK("https://www.washoecounty.gov/assessor/cama/?command=sales&amp;parid=52635213","3858614")</f>
        <v>3858614</v>
      </c>
      <c r="H7533" t="s">
        <v>1338</v>
      </c>
      <c r="I7533">
        <v>2009</v>
      </c>
      <c r="J7533">
        <v>2009</v>
      </c>
      <c r="K7533" t="s">
        <v>4554</v>
      </c>
      <c r="L7533" t="s">
        <v>3974</v>
      </c>
      <c r="M7533" s="2">
        <v>2965</v>
      </c>
      <c r="N7533" t="s">
        <v>3147</v>
      </c>
      <c r="O7533">
        <v>4</v>
      </c>
      <c r="P7533">
        <v>2</v>
      </c>
      <c r="Q7533">
        <v>1</v>
      </c>
      <c r="R7533" t="s">
        <v>5281</v>
      </c>
      <c r="S7533" t="s">
        <v>4898</v>
      </c>
      <c r="T7533" t="s">
        <v>2704</v>
      </c>
      <c r="U7533" t="s">
        <v>5631</v>
      </c>
      <c r="V7533" s="2">
        <v>691</v>
      </c>
      <c r="W7533" t="s">
        <v>4655</v>
      </c>
      <c r="X7533" s="2">
        <v>0</v>
      </c>
      <c r="Y7533">
        <v>20</v>
      </c>
      <c r="Z7533" t="s">
        <v>2048</v>
      </c>
      <c r="AA7533" s="3">
        <v>0.28904959559440602</v>
      </c>
      <c r="AB7533" t="s">
        <v>35374</v>
      </c>
      <c r="AC7533" t="s">
        <v>4562</v>
      </c>
      <c r="AD7533" t="s">
        <v>35373</v>
      </c>
      <c r="AE7533" t="s">
        <v>4655</v>
      </c>
      <c r="AF7533" t="s">
        <v>5201</v>
      </c>
      <c r="AG7533" t="s">
        <v>4564</v>
      </c>
      <c r="AH7533" t="s">
        <v>1605</v>
      </c>
      <c r="AI7533" t="s">
        <v>549</v>
      </c>
      <c r="AJ7533" t="s">
        <v>550</v>
      </c>
      <c r="AK7533" t="s">
        <v>35375</v>
      </c>
      <c r="AL7533" s="13" t="s">
        <v>1899</v>
      </c>
      <c r="AM7533">
        <v>1</v>
      </c>
      <c r="AN7533" s="15" t="s">
        <v>2036</v>
      </c>
    </row>
    <row r="7534" spans="1:40" x14ac:dyDescent="0.3">
      <c r="A7534" s="10" t="str">
        <f>HYPERLINK("http://www.washoecounty.gov/assessor/cama/?parid=526-352-19&amp;CardNumber=1","526-352-19")</f>
        <v>526-352-19</v>
      </c>
      <c r="B7534" t="s">
        <v>4655</v>
      </c>
      <c r="C7534" t="s">
        <v>35376</v>
      </c>
      <c r="D7534" s="1">
        <v>40193</v>
      </c>
      <c r="E7534" s="2">
        <v>260268</v>
      </c>
      <c r="F7534" t="s">
        <v>4567</v>
      </c>
      <c r="G7534" s="17" t="str">
        <f>HYPERLINK("https://www.washoecounty.gov/assessor/cama/?command=sales&amp;parid=52635219","3840136")</f>
        <v>3840136</v>
      </c>
      <c r="H7534" t="s">
        <v>1338</v>
      </c>
      <c r="I7534">
        <v>2006</v>
      </c>
      <c r="J7534">
        <v>2006</v>
      </c>
      <c r="K7534" t="s">
        <v>4554</v>
      </c>
      <c r="L7534" t="s">
        <v>3974</v>
      </c>
      <c r="M7534" s="2">
        <v>2583</v>
      </c>
      <c r="N7534" t="s">
        <v>3147</v>
      </c>
      <c r="O7534">
        <v>4</v>
      </c>
      <c r="P7534">
        <v>3</v>
      </c>
      <c r="Q7534">
        <v>0</v>
      </c>
      <c r="R7534" t="s">
        <v>5281</v>
      </c>
      <c r="S7534" t="s">
        <v>4898</v>
      </c>
      <c r="T7534" t="s">
        <v>2704</v>
      </c>
      <c r="U7534" t="s">
        <v>4560</v>
      </c>
      <c r="V7534" s="2">
        <v>843</v>
      </c>
      <c r="W7534" t="s">
        <v>4655</v>
      </c>
      <c r="X7534" s="2">
        <v>0</v>
      </c>
      <c r="Y7534">
        <v>20</v>
      </c>
      <c r="Z7534" t="s">
        <v>2048</v>
      </c>
      <c r="AA7534" s="3">
        <v>0.21023875474929801</v>
      </c>
      <c r="AB7534" t="s">
        <v>35377</v>
      </c>
      <c r="AC7534" t="s">
        <v>4562</v>
      </c>
      <c r="AD7534" t="s">
        <v>35376</v>
      </c>
      <c r="AE7534" t="s">
        <v>4655</v>
      </c>
      <c r="AF7534" t="s">
        <v>5201</v>
      </c>
      <c r="AG7534" t="s">
        <v>4564</v>
      </c>
      <c r="AH7534" t="s">
        <v>1605</v>
      </c>
      <c r="AI7534" t="s">
        <v>4655</v>
      </c>
      <c r="AJ7534" t="s">
        <v>550</v>
      </c>
      <c r="AK7534" t="s">
        <v>35378</v>
      </c>
      <c r="AL7534" s="13" t="s">
        <v>1899</v>
      </c>
      <c r="AM7534">
        <v>1</v>
      </c>
      <c r="AN7534" s="15" t="s">
        <v>2036</v>
      </c>
    </row>
    <row r="7535" spans="1:40" x14ac:dyDescent="0.3">
      <c r="A7535" s="10" t="str">
        <f>HYPERLINK("http://www.washoecounty.gov/assessor/cama/?parid=526-352-23&amp;CardNumber=1","526-352-23")</f>
        <v>526-352-23</v>
      </c>
      <c r="B7535" t="s">
        <v>4655</v>
      </c>
      <c r="C7535" t="s">
        <v>35379</v>
      </c>
      <c r="D7535" s="1">
        <v>40228</v>
      </c>
      <c r="E7535" s="2">
        <v>237990</v>
      </c>
      <c r="F7535" t="s">
        <v>4567</v>
      </c>
      <c r="G7535" s="17" t="str">
        <f>HYPERLINK("https://www.washoecounty.gov/assessor/cama/?command=sales&amp;parid=52635223","3851026")</f>
        <v>3851026</v>
      </c>
      <c r="H7535" t="s">
        <v>35380</v>
      </c>
      <c r="I7535">
        <v>2009</v>
      </c>
      <c r="J7535">
        <v>2009</v>
      </c>
      <c r="K7535" t="s">
        <v>4554</v>
      </c>
      <c r="L7535" t="s">
        <v>4555</v>
      </c>
      <c r="M7535" s="2">
        <v>2146</v>
      </c>
      <c r="N7535" t="s">
        <v>3147</v>
      </c>
      <c r="O7535">
        <v>4</v>
      </c>
      <c r="P7535">
        <v>2</v>
      </c>
      <c r="Q7535">
        <v>0</v>
      </c>
      <c r="R7535" t="s">
        <v>5281</v>
      </c>
      <c r="S7535" t="s">
        <v>4898</v>
      </c>
      <c r="T7535" t="s">
        <v>2704</v>
      </c>
      <c r="U7535" t="s">
        <v>4560</v>
      </c>
      <c r="V7535" s="2">
        <v>665</v>
      </c>
      <c r="W7535" t="s">
        <v>4655</v>
      </c>
      <c r="X7535" s="2">
        <v>0</v>
      </c>
      <c r="Y7535">
        <v>20</v>
      </c>
      <c r="Z7535" t="s">
        <v>2048</v>
      </c>
      <c r="AA7535" s="3">
        <v>0.23574380576610601</v>
      </c>
      <c r="AB7535" t="s">
        <v>35381</v>
      </c>
      <c r="AC7535" t="s">
        <v>4562</v>
      </c>
      <c r="AD7535" t="s">
        <v>35379</v>
      </c>
      <c r="AE7535" t="s">
        <v>4655</v>
      </c>
      <c r="AF7535" t="s">
        <v>5201</v>
      </c>
      <c r="AG7535" t="s">
        <v>4564</v>
      </c>
      <c r="AH7535" t="s">
        <v>1605</v>
      </c>
      <c r="AI7535" t="s">
        <v>549</v>
      </c>
      <c r="AJ7535" t="s">
        <v>35382</v>
      </c>
      <c r="AK7535" t="s">
        <v>35383</v>
      </c>
      <c r="AL7535" s="13" t="s">
        <v>1899</v>
      </c>
      <c r="AM7535">
        <v>1</v>
      </c>
      <c r="AN7535" s="15" t="s">
        <v>2036</v>
      </c>
    </row>
    <row r="7536" spans="1:40" x14ac:dyDescent="0.3">
      <c r="A7536" s="10" t="str">
        <f>HYPERLINK("http://www.washoecounty.gov/assessor/cama/?parid=526-352-28&amp;CardNumber=1","526-352-28")</f>
        <v>526-352-28</v>
      </c>
      <c r="B7536" t="s">
        <v>4655</v>
      </c>
      <c r="C7536" t="s">
        <v>35384</v>
      </c>
      <c r="D7536" s="1">
        <v>40266</v>
      </c>
      <c r="E7536" s="2">
        <v>239990</v>
      </c>
      <c r="F7536" t="s">
        <v>4567</v>
      </c>
      <c r="G7536" s="17" t="str">
        <f>HYPERLINK("https://www.washoecounty.gov/assessor/cama/?command=sales&amp;parid=52635228","3864873")</f>
        <v>3864873</v>
      </c>
      <c r="H7536" t="s">
        <v>35385</v>
      </c>
      <c r="I7536">
        <v>2009</v>
      </c>
      <c r="J7536">
        <v>2009</v>
      </c>
      <c r="K7536" t="s">
        <v>4554</v>
      </c>
      <c r="L7536" t="s">
        <v>4555</v>
      </c>
      <c r="M7536" s="2">
        <v>2324</v>
      </c>
      <c r="N7536" t="s">
        <v>3147</v>
      </c>
      <c r="O7536">
        <v>4</v>
      </c>
      <c r="P7536">
        <v>2</v>
      </c>
      <c r="Q7536">
        <v>0</v>
      </c>
      <c r="R7536" t="s">
        <v>5281</v>
      </c>
      <c r="S7536" t="s">
        <v>4898</v>
      </c>
      <c r="T7536" t="s">
        <v>2704</v>
      </c>
      <c r="U7536" t="s">
        <v>4560</v>
      </c>
      <c r="V7536" s="2">
        <v>639</v>
      </c>
      <c r="W7536" t="s">
        <v>4655</v>
      </c>
      <c r="X7536" s="2">
        <v>0</v>
      </c>
      <c r="Y7536">
        <v>20</v>
      </c>
      <c r="Z7536" t="s">
        <v>2048</v>
      </c>
      <c r="AA7536" s="3">
        <v>0.27819100022316001</v>
      </c>
      <c r="AB7536" t="s">
        <v>35386</v>
      </c>
      <c r="AC7536" t="s">
        <v>4562</v>
      </c>
      <c r="AD7536" t="s">
        <v>35384</v>
      </c>
      <c r="AE7536" t="s">
        <v>4655</v>
      </c>
      <c r="AF7536" t="s">
        <v>5201</v>
      </c>
      <c r="AG7536" t="s">
        <v>4564</v>
      </c>
      <c r="AH7536" t="s">
        <v>1605</v>
      </c>
      <c r="AI7536" t="s">
        <v>549</v>
      </c>
      <c r="AJ7536" t="s">
        <v>4571</v>
      </c>
      <c r="AK7536" t="s">
        <v>35387</v>
      </c>
      <c r="AL7536" s="13" t="s">
        <v>1899</v>
      </c>
      <c r="AM7536" s="14">
        <v>1</v>
      </c>
      <c r="AN7536" s="15" t="s">
        <v>2036</v>
      </c>
    </row>
    <row r="7537" spans="1:40" x14ac:dyDescent="0.3">
      <c r="A7537" s="10" t="str">
        <f>HYPERLINK("http://www.washoecounty.gov/assessor/cama/?parid=526-353-02&amp;CardNumber=1","526-353-02")</f>
        <v>526-353-02</v>
      </c>
      <c r="B7537" t="s">
        <v>4655</v>
      </c>
      <c r="C7537" t="s">
        <v>35388</v>
      </c>
      <c r="D7537" s="1">
        <v>40318</v>
      </c>
      <c r="E7537" s="2">
        <v>200000</v>
      </c>
      <c r="F7537" t="s">
        <v>4567</v>
      </c>
      <c r="G7537" s="17" t="str">
        <f>HYPERLINK("https://www.washoecounty.gov/assessor/cama/?command=sales&amp;parid=52635302","3883450")</f>
        <v>3883450</v>
      </c>
      <c r="H7537" t="s">
        <v>1338</v>
      </c>
      <c r="I7537">
        <v>2006</v>
      </c>
      <c r="J7537">
        <v>2006</v>
      </c>
      <c r="K7537" t="s">
        <v>4554</v>
      </c>
      <c r="L7537" t="s">
        <v>4555</v>
      </c>
      <c r="M7537" s="2">
        <v>2146</v>
      </c>
      <c r="N7537" t="s">
        <v>3147</v>
      </c>
      <c r="O7537">
        <v>4</v>
      </c>
      <c r="P7537">
        <v>2</v>
      </c>
      <c r="Q7537">
        <v>0</v>
      </c>
      <c r="R7537" t="s">
        <v>5281</v>
      </c>
      <c r="S7537" t="s">
        <v>4898</v>
      </c>
      <c r="T7537" t="s">
        <v>2704</v>
      </c>
      <c r="U7537" t="s">
        <v>4560</v>
      </c>
      <c r="V7537" s="2">
        <v>665</v>
      </c>
      <c r="W7537" t="s">
        <v>4655</v>
      </c>
      <c r="X7537" s="2">
        <v>0</v>
      </c>
      <c r="Y7537">
        <v>20</v>
      </c>
      <c r="Z7537" t="s">
        <v>2048</v>
      </c>
      <c r="AA7537" s="3">
        <v>0.20321395993232699</v>
      </c>
      <c r="AB7537" t="s">
        <v>35389</v>
      </c>
      <c r="AC7537" t="s">
        <v>4562</v>
      </c>
      <c r="AD7537" t="s">
        <v>35388</v>
      </c>
      <c r="AE7537" t="s">
        <v>4655</v>
      </c>
      <c r="AF7537" t="s">
        <v>5201</v>
      </c>
      <c r="AG7537" t="s">
        <v>4564</v>
      </c>
      <c r="AH7537" t="s">
        <v>1605</v>
      </c>
      <c r="AI7537" t="s">
        <v>35390</v>
      </c>
      <c r="AJ7537" t="s">
        <v>550</v>
      </c>
      <c r="AK7537" t="s">
        <v>35391</v>
      </c>
      <c r="AL7537" s="13" t="s">
        <v>1899</v>
      </c>
      <c r="AM7537">
        <v>1</v>
      </c>
      <c r="AN7537" s="15" t="s">
        <v>2036</v>
      </c>
    </row>
    <row r="7538" spans="1:40" x14ac:dyDescent="0.3">
      <c r="A7538" s="10" t="str">
        <f>HYPERLINK("http://www.washoecounty.gov/assessor/cama/?parid=526-353-06&amp;CardNumber=1","526-353-06")</f>
        <v>526-353-06</v>
      </c>
      <c r="B7538" t="s">
        <v>4655</v>
      </c>
      <c r="C7538" t="s">
        <v>35392</v>
      </c>
      <c r="D7538" s="1">
        <v>40470</v>
      </c>
      <c r="E7538" s="2">
        <v>190500</v>
      </c>
      <c r="F7538" t="s">
        <v>4567</v>
      </c>
      <c r="G7538" s="17" t="str">
        <f>HYPERLINK("https://www.washoecounty.gov/assessor/cama/?command=sales&amp;parid=52635306","3934445")</f>
        <v>3934445</v>
      </c>
      <c r="H7538" t="s">
        <v>1338</v>
      </c>
      <c r="I7538">
        <v>2006</v>
      </c>
      <c r="J7538">
        <v>2006</v>
      </c>
      <c r="K7538" t="s">
        <v>4554</v>
      </c>
      <c r="L7538" t="s">
        <v>4555</v>
      </c>
      <c r="M7538" s="2">
        <v>2146</v>
      </c>
      <c r="N7538" t="s">
        <v>3147</v>
      </c>
      <c r="O7538">
        <v>4</v>
      </c>
      <c r="P7538">
        <v>2</v>
      </c>
      <c r="Q7538">
        <v>0</v>
      </c>
      <c r="R7538" t="s">
        <v>5281</v>
      </c>
      <c r="S7538" t="s">
        <v>4898</v>
      </c>
      <c r="T7538" t="s">
        <v>2704</v>
      </c>
      <c r="U7538" t="s">
        <v>4560</v>
      </c>
      <c r="V7538" s="2">
        <v>669</v>
      </c>
      <c r="W7538" t="s">
        <v>4655</v>
      </c>
      <c r="X7538" s="2">
        <v>0</v>
      </c>
      <c r="Y7538">
        <v>20</v>
      </c>
      <c r="Z7538" t="s">
        <v>2048</v>
      </c>
      <c r="AA7538" s="3">
        <v>0.17676767706870999</v>
      </c>
      <c r="AB7538" t="s">
        <v>35393</v>
      </c>
      <c r="AC7538" t="s">
        <v>4562</v>
      </c>
      <c r="AD7538" t="s">
        <v>35392</v>
      </c>
      <c r="AE7538" t="s">
        <v>4655</v>
      </c>
      <c r="AF7538" t="s">
        <v>5201</v>
      </c>
      <c r="AG7538" t="s">
        <v>4564</v>
      </c>
      <c r="AH7538" t="s">
        <v>1605</v>
      </c>
      <c r="AI7538" t="s">
        <v>4655</v>
      </c>
      <c r="AJ7538" t="s">
        <v>550</v>
      </c>
      <c r="AK7538" t="s">
        <v>35394</v>
      </c>
      <c r="AL7538" s="13" t="s">
        <v>1899</v>
      </c>
      <c r="AM7538">
        <v>1</v>
      </c>
      <c r="AN7538" s="15" t="s">
        <v>2036</v>
      </c>
    </row>
    <row r="7539" spans="1:40" x14ac:dyDescent="0.3">
      <c r="A7539" s="10" t="str">
        <f>HYPERLINK("http://www.washoecounty.gov/assessor/cama/?parid=526-361-06&amp;CardNumber=1","526-361-06")</f>
        <v>526-361-06</v>
      </c>
      <c r="B7539" t="s">
        <v>4655</v>
      </c>
      <c r="C7539" t="s">
        <v>35395</v>
      </c>
      <c r="D7539" s="1">
        <v>40287</v>
      </c>
      <c r="E7539" s="2">
        <v>254000</v>
      </c>
      <c r="F7539" t="s">
        <v>4553</v>
      </c>
      <c r="G7539" s="17" t="str">
        <f>HYPERLINK("https://www.washoecounty.gov/assessor/cama/?command=sales&amp;parid=52636106","3872108")</f>
        <v>3872108</v>
      </c>
      <c r="H7539" t="s">
        <v>1338</v>
      </c>
      <c r="I7539">
        <v>2006</v>
      </c>
      <c r="J7539">
        <v>2006</v>
      </c>
      <c r="K7539" t="s">
        <v>4554</v>
      </c>
      <c r="L7539" t="s">
        <v>3974</v>
      </c>
      <c r="M7539" s="2">
        <v>2965</v>
      </c>
      <c r="N7539" t="s">
        <v>3147</v>
      </c>
      <c r="O7539">
        <v>5</v>
      </c>
      <c r="P7539">
        <v>2</v>
      </c>
      <c r="Q7539">
        <v>1</v>
      </c>
      <c r="R7539" t="s">
        <v>5281</v>
      </c>
      <c r="S7539" t="s">
        <v>4898</v>
      </c>
      <c r="T7539" t="s">
        <v>2704</v>
      </c>
      <c r="U7539" t="s">
        <v>5631</v>
      </c>
      <c r="V7539" s="2">
        <v>691</v>
      </c>
      <c r="W7539" t="s">
        <v>4655</v>
      </c>
      <c r="X7539" s="2">
        <v>0</v>
      </c>
      <c r="Y7539">
        <v>20</v>
      </c>
      <c r="Z7539" t="s">
        <v>2048</v>
      </c>
      <c r="AA7539" s="3">
        <v>0.18397612869739499</v>
      </c>
      <c r="AB7539" t="s">
        <v>35396</v>
      </c>
      <c r="AC7539" t="s">
        <v>4575</v>
      </c>
      <c r="AD7539" t="s">
        <v>35395</v>
      </c>
      <c r="AE7539" t="s">
        <v>4655</v>
      </c>
      <c r="AF7539" t="s">
        <v>5201</v>
      </c>
      <c r="AG7539" t="s">
        <v>4564</v>
      </c>
      <c r="AH7539" t="s">
        <v>1605</v>
      </c>
      <c r="AI7539" t="s">
        <v>29228</v>
      </c>
      <c r="AJ7539" t="s">
        <v>550</v>
      </c>
      <c r="AK7539" t="s">
        <v>35397</v>
      </c>
      <c r="AL7539" s="13" t="s">
        <v>1899</v>
      </c>
      <c r="AM7539">
        <v>1</v>
      </c>
      <c r="AN7539" s="15" t="s">
        <v>2036</v>
      </c>
    </row>
    <row r="7540" spans="1:40" x14ac:dyDescent="0.3">
      <c r="A7540" s="10" t="str">
        <f>HYPERLINK("http://www.washoecounty.gov/assessor/cama/?parid=526-362-07&amp;CardNumber=1","526-362-07")</f>
        <v>526-362-07</v>
      </c>
      <c r="B7540" t="s">
        <v>4655</v>
      </c>
      <c r="C7540" t="s">
        <v>35398</v>
      </c>
      <c r="D7540" s="1">
        <v>40235</v>
      </c>
      <c r="E7540" s="2">
        <v>234990</v>
      </c>
      <c r="F7540" t="s">
        <v>4567</v>
      </c>
      <c r="G7540" s="17" t="str">
        <f>HYPERLINK("https://www.washoecounty.gov/assessor/cama/?command=sales&amp;parid=52636207","3853151")</f>
        <v>3853151</v>
      </c>
      <c r="H7540" t="s">
        <v>1338</v>
      </c>
      <c r="I7540">
        <v>2009</v>
      </c>
      <c r="J7540">
        <v>2009</v>
      </c>
      <c r="K7540" t="s">
        <v>4554</v>
      </c>
      <c r="L7540" t="s">
        <v>4555</v>
      </c>
      <c r="M7540" s="2">
        <v>2146</v>
      </c>
      <c r="N7540" t="s">
        <v>3147</v>
      </c>
      <c r="O7540">
        <v>4</v>
      </c>
      <c r="P7540">
        <v>2</v>
      </c>
      <c r="Q7540">
        <v>0</v>
      </c>
      <c r="R7540" t="s">
        <v>5281</v>
      </c>
      <c r="S7540" t="s">
        <v>4898</v>
      </c>
      <c r="T7540" t="s">
        <v>2704</v>
      </c>
      <c r="U7540" t="s">
        <v>4560</v>
      </c>
      <c r="V7540" s="2">
        <v>665</v>
      </c>
      <c r="W7540" t="s">
        <v>4655</v>
      </c>
      <c r="X7540" s="2">
        <v>0</v>
      </c>
      <c r="Y7540">
        <v>20</v>
      </c>
      <c r="Z7540" t="s">
        <v>2048</v>
      </c>
      <c r="AA7540" s="3">
        <v>0.20668044686317399</v>
      </c>
      <c r="AB7540" t="s">
        <v>35399</v>
      </c>
      <c r="AC7540" t="s">
        <v>4575</v>
      </c>
      <c r="AD7540" t="s">
        <v>35398</v>
      </c>
      <c r="AE7540" t="s">
        <v>4655</v>
      </c>
      <c r="AF7540" t="s">
        <v>5201</v>
      </c>
      <c r="AG7540" t="s">
        <v>4564</v>
      </c>
      <c r="AH7540" t="s">
        <v>1605</v>
      </c>
      <c r="AI7540" t="s">
        <v>35400</v>
      </c>
      <c r="AJ7540" t="s">
        <v>550</v>
      </c>
      <c r="AK7540" t="s">
        <v>35401</v>
      </c>
      <c r="AL7540" s="13" t="s">
        <v>1899</v>
      </c>
      <c r="AM7540">
        <v>1</v>
      </c>
      <c r="AN7540" s="15" t="s">
        <v>2036</v>
      </c>
    </row>
    <row r="7541" spans="1:40" x14ac:dyDescent="0.3">
      <c r="A7541" s="10" t="str">
        <f>HYPERLINK("http://www.washoecounty.gov/assessor/cama/?parid=526-362-08&amp;CardNumber=1","526-362-08")</f>
        <v>526-362-08</v>
      </c>
      <c r="B7541" t="s">
        <v>4655</v>
      </c>
      <c r="C7541" t="s">
        <v>35402</v>
      </c>
      <c r="D7541" s="1">
        <v>40233</v>
      </c>
      <c r="E7541" s="2">
        <v>245676</v>
      </c>
      <c r="F7541" t="s">
        <v>4567</v>
      </c>
      <c r="G7541" s="17" t="str">
        <f>HYPERLINK("https://www.washoecounty.gov/assessor/cama/?command=sales&amp;parid=52636208","3852197")</f>
        <v>3852197</v>
      </c>
      <c r="H7541" t="s">
        <v>1338</v>
      </c>
      <c r="I7541">
        <v>2009</v>
      </c>
      <c r="J7541">
        <v>2009</v>
      </c>
      <c r="K7541" t="s">
        <v>4554</v>
      </c>
      <c r="L7541" t="s">
        <v>4555</v>
      </c>
      <c r="M7541" s="2">
        <v>2324</v>
      </c>
      <c r="N7541" t="s">
        <v>3147</v>
      </c>
      <c r="O7541">
        <v>4</v>
      </c>
      <c r="P7541">
        <v>2</v>
      </c>
      <c r="Q7541">
        <v>0</v>
      </c>
      <c r="R7541" t="s">
        <v>5281</v>
      </c>
      <c r="S7541" t="s">
        <v>4898</v>
      </c>
      <c r="T7541" t="s">
        <v>2704</v>
      </c>
      <c r="U7541" t="s">
        <v>4560</v>
      </c>
      <c r="V7541" s="2">
        <v>639</v>
      </c>
      <c r="W7541" t="s">
        <v>4655</v>
      </c>
      <c r="X7541" s="2">
        <v>0</v>
      </c>
      <c r="Y7541">
        <v>20</v>
      </c>
      <c r="Z7541" t="s">
        <v>2048</v>
      </c>
      <c r="AA7541" s="3">
        <v>0.17355372011661499</v>
      </c>
      <c r="AB7541" t="s">
        <v>35403</v>
      </c>
      <c r="AC7541" t="s">
        <v>4562</v>
      </c>
      <c r="AD7541" t="s">
        <v>35402</v>
      </c>
      <c r="AE7541" t="s">
        <v>4655</v>
      </c>
      <c r="AF7541" t="s">
        <v>5201</v>
      </c>
      <c r="AG7541" t="s">
        <v>4564</v>
      </c>
      <c r="AH7541" t="s">
        <v>1605</v>
      </c>
      <c r="AI7541" t="s">
        <v>549</v>
      </c>
      <c r="AJ7541" t="s">
        <v>550</v>
      </c>
      <c r="AK7541" t="s">
        <v>35404</v>
      </c>
      <c r="AL7541" s="13" t="s">
        <v>1899</v>
      </c>
      <c r="AM7541">
        <v>1</v>
      </c>
      <c r="AN7541" s="15" t="s">
        <v>2036</v>
      </c>
    </row>
    <row r="7542" spans="1:40" x14ac:dyDescent="0.3">
      <c r="A7542" s="10" t="str">
        <f>HYPERLINK("http://www.washoecounty.gov/assessor/cama/?parid=526-362-09&amp;CardNumber=1","526-362-09")</f>
        <v>526-362-09</v>
      </c>
      <c r="B7542" t="s">
        <v>4655</v>
      </c>
      <c r="C7542" t="s">
        <v>35405</v>
      </c>
      <c r="D7542" s="1">
        <v>40212</v>
      </c>
      <c r="E7542" s="2">
        <v>237966</v>
      </c>
      <c r="F7542" t="s">
        <v>4567</v>
      </c>
      <c r="G7542" s="17" t="str">
        <f>HYPERLINK("https://www.washoecounty.gov/assessor/cama/?command=sales&amp;parid=52636209","3845766")</f>
        <v>3845766</v>
      </c>
      <c r="H7542" t="s">
        <v>1338</v>
      </c>
      <c r="I7542">
        <v>2009</v>
      </c>
      <c r="J7542">
        <v>2009</v>
      </c>
      <c r="K7542" t="s">
        <v>4554</v>
      </c>
      <c r="L7542" t="s">
        <v>4555</v>
      </c>
      <c r="M7542" s="2">
        <v>2324</v>
      </c>
      <c r="N7542" t="s">
        <v>3147</v>
      </c>
      <c r="O7542">
        <v>4</v>
      </c>
      <c r="P7542">
        <v>2</v>
      </c>
      <c r="Q7542">
        <v>0</v>
      </c>
      <c r="R7542" t="s">
        <v>5281</v>
      </c>
      <c r="S7542" t="s">
        <v>4898</v>
      </c>
      <c r="T7542" t="s">
        <v>2704</v>
      </c>
      <c r="U7542" t="s">
        <v>4560</v>
      </c>
      <c r="V7542" s="2">
        <v>639</v>
      </c>
      <c r="W7542" t="s">
        <v>4655</v>
      </c>
      <c r="X7542" s="2">
        <v>0</v>
      </c>
      <c r="Y7542">
        <v>20</v>
      </c>
      <c r="Z7542" t="s">
        <v>2048</v>
      </c>
      <c r="AA7542" s="3">
        <v>0.16873277723789215</v>
      </c>
      <c r="AB7542" t="s">
        <v>35406</v>
      </c>
      <c r="AC7542" t="s">
        <v>4562</v>
      </c>
      <c r="AD7542" t="s">
        <v>1385</v>
      </c>
      <c r="AE7542" t="s">
        <v>4655</v>
      </c>
      <c r="AF7542" t="s">
        <v>1386</v>
      </c>
      <c r="AG7542" t="s">
        <v>4584</v>
      </c>
      <c r="AH7542" t="s">
        <v>1387</v>
      </c>
      <c r="AI7542" t="s">
        <v>549</v>
      </c>
      <c r="AJ7542" t="s">
        <v>550</v>
      </c>
      <c r="AK7542" t="s">
        <v>35407</v>
      </c>
      <c r="AL7542" s="13" t="s">
        <v>1899</v>
      </c>
      <c r="AM7542" s="14">
        <v>1</v>
      </c>
      <c r="AN7542" s="15" t="s">
        <v>2036</v>
      </c>
    </row>
    <row r="7543" spans="1:40" x14ac:dyDescent="0.3">
      <c r="A7543" s="10" t="str">
        <f>HYPERLINK("http://www.washoecounty.gov/assessor/cama/?parid=526-362-10&amp;CardNumber=1","526-362-10")</f>
        <v>526-362-10</v>
      </c>
      <c r="B7543" t="s">
        <v>4655</v>
      </c>
      <c r="C7543" t="s">
        <v>35408</v>
      </c>
      <c r="D7543" s="1">
        <v>40228</v>
      </c>
      <c r="E7543" s="2">
        <v>244990</v>
      </c>
      <c r="F7543" t="s">
        <v>4567</v>
      </c>
      <c r="G7543" s="17" t="str">
        <f>HYPERLINK("https://www.washoecounty.gov/assessor/cama/?command=sales&amp;parid=52636210","3851088")</f>
        <v>3851088</v>
      </c>
      <c r="H7543" t="s">
        <v>1338</v>
      </c>
      <c r="I7543">
        <v>2009</v>
      </c>
      <c r="J7543">
        <v>2009</v>
      </c>
      <c r="K7543" t="s">
        <v>4554</v>
      </c>
      <c r="L7543" t="s">
        <v>4555</v>
      </c>
      <c r="M7543" s="2">
        <v>2324</v>
      </c>
      <c r="N7543" t="s">
        <v>3147</v>
      </c>
      <c r="O7543">
        <v>4</v>
      </c>
      <c r="P7543">
        <v>2</v>
      </c>
      <c r="Q7543">
        <v>0</v>
      </c>
      <c r="R7543" t="s">
        <v>5281</v>
      </c>
      <c r="S7543" t="s">
        <v>4898</v>
      </c>
      <c r="T7543" t="s">
        <v>2704</v>
      </c>
      <c r="U7543" t="s">
        <v>4560</v>
      </c>
      <c r="V7543" s="2">
        <v>639</v>
      </c>
      <c r="W7543" t="s">
        <v>4655</v>
      </c>
      <c r="X7543" s="2">
        <v>0</v>
      </c>
      <c r="Y7543">
        <v>20</v>
      </c>
      <c r="Z7543" t="s">
        <v>2048</v>
      </c>
      <c r="AA7543" s="3">
        <v>0.16873277723789215</v>
      </c>
      <c r="AB7543" t="s">
        <v>35409</v>
      </c>
      <c r="AC7543" t="s">
        <v>4562</v>
      </c>
      <c r="AD7543" t="s">
        <v>35408</v>
      </c>
      <c r="AE7543" t="s">
        <v>4655</v>
      </c>
      <c r="AF7543" t="s">
        <v>5201</v>
      </c>
      <c r="AG7543" t="s">
        <v>4564</v>
      </c>
      <c r="AH7543" t="s">
        <v>1605</v>
      </c>
      <c r="AI7543" t="s">
        <v>549</v>
      </c>
      <c r="AJ7543" t="s">
        <v>550</v>
      </c>
      <c r="AK7543" t="s">
        <v>35410</v>
      </c>
      <c r="AL7543" s="13" t="s">
        <v>1899</v>
      </c>
      <c r="AM7543" s="14">
        <v>1</v>
      </c>
      <c r="AN7543" s="15" t="s">
        <v>2036</v>
      </c>
    </row>
    <row r="7544" spans="1:40" x14ac:dyDescent="0.3">
      <c r="A7544" s="10" t="str">
        <f>HYPERLINK("http://www.washoecounty.gov/assessor/cama/?parid=526-362-35&amp;CardNumber=1","526-362-35")</f>
        <v>526-362-35</v>
      </c>
      <c r="B7544" t="s">
        <v>4655</v>
      </c>
      <c r="C7544" t="s">
        <v>35411</v>
      </c>
      <c r="D7544" s="1">
        <v>40214</v>
      </c>
      <c r="E7544" s="2">
        <v>270000</v>
      </c>
      <c r="F7544" t="s">
        <v>4567</v>
      </c>
      <c r="G7544" s="17" t="str">
        <f>HYPERLINK("https://www.washoecounty.gov/assessor/cama/?command=sales&amp;parid=52636235","3846345")</f>
        <v>3846345</v>
      </c>
      <c r="H7544" t="s">
        <v>1338</v>
      </c>
      <c r="I7544">
        <v>2006</v>
      </c>
      <c r="J7544">
        <v>2006</v>
      </c>
      <c r="K7544" t="s">
        <v>4554</v>
      </c>
      <c r="L7544" t="s">
        <v>3974</v>
      </c>
      <c r="M7544" s="2">
        <v>2837</v>
      </c>
      <c r="N7544" t="s">
        <v>3147</v>
      </c>
      <c r="O7544">
        <v>4</v>
      </c>
      <c r="P7544">
        <v>3</v>
      </c>
      <c r="Q7544">
        <v>0</v>
      </c>
      <c r="R7544" t="s">
        <v>5281</v>
      </c>
      <c r="S7544" t="s">
        <v>4898</v>
      </c>
      <c r="T7544" t="s">
        <v>2704</v>
      </c>
      <c r="U7544" t="s">
        <v>4560</v>
      </c>
      <c r="V7544" s="2">
        <v>843</v>
      </c>
      <c r="W7544" t="s">
        <v>4655</v>
      </c>
      <c r="X7544" s="2">
        <v>0</v>
      </c>
      <c r="Y7544">
        <v>20</v>
      </c>
      <c r="Z7544" t="s">
        <v>2048</v>
      </c>
      <c r="AA7544" s="3">
        <v>0.19074839353561401</v>
      </c>
      <c r="AB7544" t="s">
        <v>35412</v>
      </c>
      <c r="AC7544" t="s">
        <v>4562</v>
      </c>
      <c r="AD7544" t="s">
        <v>35411</v>
      </c>
      <c r="AE7544" t="s">
        <v>4655</v>
      </c>
      <c r="AF7544" t="s">
        <v>5201</v>
      </c>
      <c r="AG7544" t="s">
        <v>4564</v>
      </c>
      <c r="AH7544" t="s">
        <v>1605</v>
      </c>
      <c r="AI7544" t="s">
        <v>35413</v>
      </c>
      <c r="AJ7544" t="s">
        <v>550</v>
      </c>
      <c r="AK7544" t="s">
        <v>35414</v>
      </c>
      <c r="AL7544" s="13" t="s">
        <v>1899</v>
      </c>
      <c r="AM7544">
        <v>1</v>
      </c>
      <c r="AN7544" s="15" t="s">
        <v>2036</v>
      </c>
    </row>
    <row r="7545" spans="1:40" x14ac:dyDescent="0.3">
      <c r="A7545" s="10" t="str">
        <f>HYPERLINK("http://www.washoecounty.gov/assessor/cama/?parid=526-372-14&amp;CardNumber=1","526-372-14")</f>
        <v>526-372-14</v>
      </c>
      <c r="B7545" t="s">
        <v>4655</v>
      </c>
      <c r="C7545" s="20" t="s">
        <v>283</v>
      </c>
      <c r="D7545" s="1">
        <v>40535</v>
      </c>
      <c r="E7545" s="2">
        <v>245000</v>
      </c>
      <c r="F7545" t="s">
        <v>4567</v>
      </c>
      <c r="G7545" s="20" t="s">
        <v>282</v>
      </c>
      <c r="H7545" t="s">
        <v>4655</v>
      </c>
      <c r="I7545">
        <v>2007</v>
      </c>
      <c r="J7545">
        <v>2007</v>
      </c>
      <c r="K7545" t="s">
        <v>4554</v>
      </c>
      <c r="L7545" t="s">
        <v>3974</v>
      </c>
      <c r="M7545" s="2">
        <v>2965</v>
      </c>
      <c r="N7545" t="s">
        <v>3147</v>
      </c>
      <c r="O7545">
        <v>5</v>
      </c>
      <c r="P7545">
        <v>2</v>
      </c>
      <c r="Q7545">
        <v>1</v>
      </c>
      <c r="R7545" t="s">
        <v>5281</v>
      </c>
      <c r="S7545" t="s">
        <v>4898</v>
      </c>
      <c r="T7545" t="s">
        <v>2704</v>
      </c>
      <c r="U7545" t="s">
        <v>5631</v>
      </c>
      <c r="V7545" s="2">
        <v>691</v>
      </c>
      <c r="W7545" t="s">
        <v>4655</v>
      </c>
      <c r="X7545" s="2">
        <v>0</v>
      </c>
      <c r="Y7545">
        <v>20</v>
      </c>
      <c r="Z7545" t="s">
        <v>2048</v>
      </c>
      <c r="AA7545" s="3">
        <v>0.16873277723789215</v>
      </c>
      <c r="AB7545" s="20" t="s">
        <v>8865</v>
      </c>
      <c r="AD7545" t="s">
        <v>283</v>
      </c>
      <c r="AE7545" t="s">
        <v>283</v>
      </c>
      <c r="AF7545" t="s">
        <v>283</v>
      </c>
      <c r="AG7545" t="s">
        <v>4564</v>
      </c>
      <c r="AH7545" t="s">
        <v>3101</v>
      </c>
      <c r="AI7545" t="s">
        <v>8865</v>
      </c>
      <c r="AJ7545" t="s">
        <v>550</v>
      </c>
      <c r="AK7545" t="s">
        <v>8865</v>
      </c>
      <c r="AL7545" s="13" t="s">
        <v>1899</v>
      </c>
      <c r="AM7545" s="14">
        <v>1</v>
      </c>
      <c r="AN7545" s="15" t="s">
        <v>2036</v>
      </c>
    </row>
    <row r="7546" spans="1:40" x14ac:dyDescent="0.3">
      <c r="A7546" s="10" t="str">
        <f>HYPERLINK("http://www.washoecounty.gov/assessor/cama/?parid=526-372-25&amp;CardNumber=1","526-372-25")</f>
        <v>526-372-25</v>
      </c>
      <c r="B7546" t="s">
        <v>4655</v>
      </c>
      <c r="C7546" t="s">
        <v>3658</v>
      </c>
      <c r="D7546" s="1">
        <v>40232</v>
      </c>
      <c r="E7546" s="2">
        <v>257000</v>
      </c>
      <c r="F7546" t="s">
        <v>4553</v>
      </c>
      <c r="G7546" s="17" t="str">
        <f>HYPERLINK("https://www.washoecounty.gov/assessor/cama/?command=sales&amp;parid=52637225","3852025")</f>
        <v>3852025</v>
      </c>
      <c r="H7546" t="s">
        <v>1338</v>
      </c>
      <c r="I7546">
        <v>2006</v>
      </c>
      <c r="J7546">
        <v>2006</v>
      </c>
      <c r="K7546" t="s">
        <v>4554</v>
      </c>
      <c r="L7546" t="s">
        <v>3974</v>
      </c>
      <c r="M7546" s="2">
        <v>2837</v>
      </c>
      <c r="N7546" t="s">
        <v>3147</v>
      </c>
      <c r="O7546">
        <v>4</v>
      </c>
      <c r="P7546">
        <v>3</v>
      </c>
      <c r="Q7546">
        <v>0</v>
      </c>
      <c r="R7546" t="s">
        <v>5281</v>
      </c>
      <c r="S7546" t="s">
        <v>4898</v>
      </c>
      <c r="T7546" t="s">
        <v>2704</v>
      </c>
      <c r="U7546" t="s">
        <v>4560</v>
      </c>
      <c r="V7546" s="2">
        <v>854</v>
      </c>
      <c r="W7546" t="s">
        <v>4655</v>
      </c>
      <c r="X7546" s="2">
        <v>0</v>
      </c>
      <c r="Y7546">
        <v>20</v>
      </c>
      <c r="Z7546" t="s">
        <v>2048</v>
      </c>
      <c r="AA7546" s="3">
        <v>0.30695593357086198</v>
      </c>
      <c r="AB7546" t="s">
        <v>4514</v>
      </c>
      <c r="AC7546" t="s">
        <v>4562</v>
      </c>
      <c r="AD7546" t="s">
        <v>3658</v>
      </c>
      <c r="AE7546" t="s">
        <v>4655</v>
      </c>
      <c r="AF7546" t="s">
        <v>5201</v>
      </c>
      <c r="AG7546" t="s">
        <v>4564</v>
      </c>
      <c r="AH7546" t="s">
        <v>1605</v>
      </c>
      <c r="AI7546" t="s">
        <v>4903</v>
      </c>
      <c r="AJ7546" t="s">
        <v>550</v>
      </c>
      <c r="AK7546" t="s">
        <v>4515</v>
      </c>
      <c r="AL7546" s="13" t="s">
        <v>1899</v>
      </c>
      <c r="AM7546" s="14">
        <v>1</v>
      </c>
      <c r="AN7546" s="15" t="s">
        <v>2036</v>
      </c>
    </row>
    <row r="7547" spans="1:40" x14ac:dyDescent="0.3">
      <c r="A7547" s="10" t="str">
        <f>HYPERLINK("http://www.washoecounty.gov/assessor/cama/?parid=526-372-29&amp;CardNumber=1","526-372-29")</f>
        <v>526-372-29</v>
      </c>
      <c r="B7547" t="s">
        <v>4655</v>
      </c>
      <c r="C7547" t="s">
        <v>35415</v>
      </c>
      <c r="D7547" s="1">
        <v>40368</v>
      </c>
      <c r="E7547" s="2">
        <v>257900</v>
      </c>
      <c r="F7547" t="s">
        <v>4553</v>
      </c>
      <c r="G7547" s="17" t="str">
        <f>HYPERLINK("https://www.washoecounty.gov/assessor/cama/?command=sales&amp;parid=52637229","3899848")</f>
        <v>3899848</v>
      </c>
      <c r="H7547" t="s">
        <v>1338</v>
      </c>
      <c r="I7547">
        <v>2006</v>
      </c>
      <c r="J7547">
        <v>2006</v>
      </c>
      <c r="K7547" t="s">
        <v>4554</v>
      </c>
      <c r="L7547" t="s">
        <v>3974</v>
      </c>
      <c r="M7547" s="2">
        <v>2583</v>
      </c>
      <c r="N7547" t="s">
        <v>3147</v>
      </c>
      <c r="O7547">
        <v>4</v>
      </c>
      <c r="P7547">
        <v>3</v>
      </c>
      <c r="Q7547">
        <v>0</v>
      </c>
      <c r="R7547" t="s">
        <v>5281</v>
      </c>
      <c r="S7547" t="s">
        <v>4898</v>
      </c>
      <c r="T7547" t="s">
        <v>2704</v>
      </c>
      <c r="U7547" t="s">
        <v>4560</v>
      </c>
      <c r="V7547" s="2">
        <v>854</v>
      </c>
      <c r="W7547" t="s">
        <v>4655</v>
      </c>
      <c r="X7547" s="2">
        <v>0</v>
      </c>
      <c r="Y7547">
        <v>20</v>
      </c>
      <c r="Z7547" t="s">
        <v>2048</v>
      </c>
      <c r="AA7547" s="3">
        <v>0.23719008266925801</v>
      </c>
      <c r="AB7547" t="s">
        <v>35416</v>
      </c>
      <c r="AC7547" t="s">
        <v>4562</v>
      </c>
      <c r="AD7547" t="s">
        <v>35415</v>
      </c>
      <c r="AE7547" t="s">
        <v>4655</v>
      </c>
      <c r="AF7547" t="s">
        <v>4809</v>
      </c>
      <c r="AG7547" t="s">
        <v>4564</v>
      </c>
      <c r="AH7547" t="s">
        <v>1605</v>
      </c>
      <c r="AI7547" t="s">
        <v>4903</v>
      </c>
      <c r="AJ7547" t="s">
        <v>550</v>
      </c>
      <c r="AK7547" t="s">
        <v>35417</v>
      </c>
      <c r="AL7547" s="13" t="s">
        <v>1899</v>
      </c>
      <c r="AM7547">
        <v>1</v>
      </c>
      <c r="AN7547" s="15" t="s">
        <v>2036</v>
      </c>
    </row>
    <row r="7548" spans="1:40" x14ac:dyDescent="0.3">
      <c r="A7548" s="10" t="str">
        <f>HYPERLINK("http://www.washoecounty.gov/assessor/cama/?parid=526-372-35&amp;CardNumber=1","526-372-35")</f>
        <v>526-372-35</v>
      </c>
      <c r="B7548" t="s">
        <v>4655</v>
      </c>
      <c r="D7548" s="1">
        <v>40303</v>
      </c>
      <c r="E7548" s="2">
        <v>280000</v>
      </c>
      <c r="F7548" t="s">
        <v>4553</v>
      </c>
      <c r="G7548" s="17" t="str">
        <f>HYPERLINK("https://www.washoecounty.gov/assessor/cama/?command=sales&amp;parid=01044219","NOT AVAILABLE ")</f>
        <v xml:space="preserve">NOT AVAILABLE </v>
      </c>
      <c r="H7548" t="s">
        <v>1338</v>
      </c>
      <c r="I7548">
        <v>2006</v>
      </c>
      <c r="J7548">
        <v>2006</v>
      </c>
      <c r="K7548" t="s">
        <v>4554</v>
      </c>
      <c r="L7548" t="s">
        <v>3974</v>
      </c>
      <c r="M7548" s="2">
        <v>2965</v>
      </c>
      <c r="N7548" t="s">
        <v>3147</v>
      </c>
      <c r="O7548">
        <v>4</v>
      </c>
      <c r="P7548">
        <v>2</v>
      </c>
      <c r="Q7548">
        <v>1</v>
      </c>
      <c r="R7548" t="s">
        <v>5281</v>
      </c>
      <c r="S7548" t="s">
        <v>4898</v>
      </c>
      <c r="T7548" t="s">
        <v>2704</v>
      </c>
      <c r="U7548" t="s">
        <v>5631</v>
      </c>
      <c r="V7548" s="2">
        <v>691</v>
      </c>
      <c r="W7548" t="s">
        <v>4655</v>
      </c>
      <c r="X7548" s="2">
        <v>0</v>
      </c>
      <c r="Y7548">
        <v>20</v>
      </c>
      <c r="Z7548" t="s">
        <v>2048</v>
      </c>
      <c r="AA7548" s="3">
        <v>0.403994500637054</v>
      </c>
      <c r="AB7548" t="s">
        <v>8865</v>
      </c>
      <c r="AC7548" t="s">
        <v>4575</v>
      </c>
      <c r="AD7548" t="s">
        <v>283</v>
      </c>
      <c r="AE7548" t="s">
        <v>283</v>
      </c>
      <c r="AF7548" t="s">
        <v>283</v>
      </c>
      <c r="AG7548" t="s">
        <v>4564</v>
      </c>
      <c r="AH7548" t="s">
        <v>3101</v>
      </c>
      <c r="AI7548" t="s">
        <v>8865</v>
      </c>
      <c r="AJ7548" t="s">
        <v>550</v>
      </c>
      <c r="AK7548" t="s">
        <v>8865</v>
      </c>
      <c r="AL7548" s="13" t="s">
        <v>1899</v>
      </c>
      <c r="AM7548">
        <v>1</v>
      </c>
      <c r="AN7548" s="15" t="s">
        <v>2036</v>
      </c>
    </row>
    <row r="7549" spans="1:40" x14ac:dyDescent="0.3">
      <c r="A7549" s="10" t="str">
        <f>HYPERLINK("http://www.washoecounty.gov/assessor/cama/?parid=526-401-02&amp;CardNumber=1","526-401-02")</f>
        <v>526-401-02</v>
      </c>
      <c r="B7549" t="s">
        <v>4655</v>
      </c>
      <c r="C7549" t="s">
        <v>35418</v>
      </c>
      <c r="D7549" s="1">
        <v>40346</v>
      </c>
      <c r="E7549" s="2">
        <v>172970</v>
      </c>
      <c r="F7549" t="s">
        <v>4567</v>
      </c>
      <c r="G7549" s="17" t="str">
        <f>HYPERLINK("https://www.washoecounty.gov/assessor/cama/?command=sales&amp;parid=52640102","3893114")</f>
        <v>3893114</v>
      </c>
      <c r="H7549" t="s">
        <v>906</v>
      </c>
      <c r="I7549">
        <v>2010</v>
      </c>
      <c r="J7549">
        <v>2010</v>
      </c>
      <c r="K7549" t="s">
        <v>4554</v>
      </c>
      <c r="L7549" t="s">
        <v>4555</v>
      </c>
      <c r="M7549" s="2">
        <v>1400</v>
      </c>
      <c r="N7549" t="s">
        <v>5280</v>
      </c>
      <c r="O7549">
        <v>3</v>
      </c>
      <c r="P7549">
        <v>2</v>
      </c>
      <c r="Q7549">
        <v>0</v>
      </c>
      <c r="R7549" t="s">
        <v>5281</v>
      </c>
      <c r="S7549" t="s">
        <v>4898</v>
      </c>
      <c r="T7549" t="s">
        <v>2704</v>
      </c>
      <c r="U7549" t="s">
        <v>4560</v>
      </c>
      <c r="V7549" s="2">
        <v>414</v>
      </c>
      <c r="W7549" t="s">
        <v>4655</v>
      </c>
      <c r="X7549" s="2">
        <v>0</v>
      </c>
      <c r="Y7549">
        <v>20</v>
      </c>
      <c r="Z7549" t="s">
        <v>2048</v>
      </c>
      <c r="AA7549" s="3">
        <v>0.100436180830002</v>
      </c>
      <c r="AB7549" t="s">
        <v>35419</v>
      </c>
      <c r="AC7549" t="s">
        <v>4562</v>
      </c>
      <c r="AD7549" t="s">
        <v>35418</v>
      </c>
      <c r="AE7549" t="s">
        <v>4655</v>
      </c>
      <c r="AF7549" t="s">
        <v>4809</v>
      </c>
      <c r="AG7549" t="s">
        <v>4564</v>
      </c>
      <c r="AH7549" t="s">
        <v>1605</v>
      </c>
      <c r="AI7549" t="s">
        <v>1784</v>
      </c>
      <c r="AJ7549" t="s">
        <v>1785</v>
      </c>
      <c r="AK7549" t="s">
        <v>35420</v>
      </c>
      <c r="AL7549" s="13" t="s">
        <v>1899</v>
      </c>
      <c r="AM7549" s="14">
        <v>1</v>
      </c>
      <c r="AN7549" s="15" t="s">
        <v>1815</v>
      </c>
    </row>
    <row r="7550" spans="1:40" x14ac:dyDescent="0.3">
      <c r="A7550" s="10" t="str">
        <f>HYPERLINK("http://www.washoecounty.gov/assessor/cama/?parid=526-401-03&amp;CardNumber=1","526-401-03")</f>
        <v>526-401-03</v>
      </c>
      <c r="B7550" t="s">
        <v>4655</v>
      </c>
      <c r="C7550" t="s">
        <v>35421</v>
      </c>
      <c r="D7550" s="1">
        <v>40359</v>
      </c>
      <c r="E7550" s="2">
        <v>182950</v>
      </c>
      <c r="F7550" t="s">
        <v>4567</v>
      </c>
      <c r="G7550" s="17" t="str">
        <f>HYPERLINK("https://www.washoecounty.gov/assessor/cama/?command=sales&amp;parid=52640103","3897446")</f>
        <v>3897446</v>
      </c>
      <c r="H7550" t="s">
        <v>906</v>
      </c>
      <c r="I7550">
        <v>2010</v>
      </c>
      <c r="J7550">
        <v>2010</v>
      </c>
      <c r="K7550" t="s">
        <v>4554</v>
      </c>
      <c r="L7550" t="s">
        <v>4555</v>
      </c>
      <c r="M7550" s="2">
        <v>1805</v>
      </c>
      <c r="N7550" t="s">
        <v>5280</v>
      </c>
      <c r="O7550">
        <v>3</v>
      </c>
      <c r="P7550">
        <v>2</v>
      </c>
      <c r="Q7550">
        <v>1</v>
      </c>
      <c r="R7550" t="s">
        <v>5281</v>
      </c>
      <c r="S7550" t="s">
        <v>4898</v>
      </c>
      <c r="T7550" t="s">
        <v>2704</v>
      </c>
      <c r="U7550" t="s">
        <v>5631</v>
      </c>
      <c r="V7550" s="2">
        <v>469</v>
      </c>
      <c r="W7550" t="s">
        <v>4655</v>
      </c>
      <c r="X7550" s="2">
        <v>0</v>
      </c>
      <c r="Y7550">
        <v>20</v>
      </c>
      <c r="Z7550" t="s">
        <v>2048</v>
      </c>
      <c r="AA7550" s="3">
        <v>0.100436180830002</v>
      </c>
      <c r="AB7550" t="s">
        <v>35422</v>
      </c>
      <c r="AC7550" t="s">
        <v>4575</v>
      </c>
      <c r="AD7550" t="s">
        <v>35423</v>
      </c>
      <c r="AE7550" t="s">
        <v>4655</v>
      </c>
      <c r="AF7550" t="s">
        <v>35424</v>
      </c>
      <c r="AG7550" t="s">
        <v>4584</v>
      </c>
      <c r="AH7550">
        <v>93117</v>
      </c>
      <c r="AI7550" t="s">
        <v>1784</v>
      </c>
      <c r="AJ7550" t="s">
        <v>1785</v>
      </c>
      <c r="AK7550" t="s">
        <v>35425</v>
      </c>
      <c r="AL7550" s="13" t="s">
        <v>1899</v>
      </c>
      <c r="AM7550">
        <v>1</v>
      </c>
      <c r="AN7550" s="15" t="s">
        <v>1815</v>
      </c>
    </row>
    <row r="7551" spans="1:40" x14ac:dyDescent="0.3">
      <c r="A7551" s="10" t="str">
        <f>HYPERLINK("http://www.washoecounty.gov/assessor/cama/?parid=526-401-04&amp;CardNumber=1","526-401-04")</f>
        <v>526-401-04</v>
      </c>
      <c r="B7551" t="s">
        <v>4655</v>
      </c>
      <c r="C7551" t="s">
        <v>35426</v>
      </c>
      <c r="D7551" s="1">
        <v>40332</v>
      </c>
      <c r="E7551" s="2">
        <v>166709</v>
      </c>
      <c r="F7551" t="s">
        <v>4567</v>
      </c>
      <c r="G7551" s="17" t="str">
        <f>HYPERLINK("https://www.washoecounty.gov/assessor/cama/?command=sales&amp;parid=52640104","3888195")</f>
        <v>3888195</v>
      </c>
      <c r="H7551" t="s">
        <v>906</v>
      </c>
      <c r="I7551">
        <v>2010</v>
      </c>
      <c r="J7551">
        <v>2010</v>
      </c>
      <c r="K7551" t="s">
        <v>4554</v>
      </c>
      <c r="L7551" t="s">
        <v>4555</v>
      </c>
      <c r="M7551" s="2">
        <v>1400</v>
      </c>
      <c r="N7551" t="s">
        <v>5280</v>
      </c>
      <c r="O7551">
        <v>3</v>
      </c>
      <c r="P7551">
        <v>2</v>
      </c>
      <c r="Q7551">
        <v>0</v>
      </c>
      <c r="R7551" t="s">
        <v>5281</v>
      </c>
      <c r="S7551" t="s">
        <v>4898</v>
      </c>
      <c r="T7551" t="s">
        <v>2704</v>
      </c>
      <c r="U7551" t="s">
        <v>4560</v>
      </c>
      <c r="V7551" s="2">
        <v>414</v>
      </c>
      <c r="W7551" t="s">
        <v>4655</v>
      </c>
      <c r="X7551" s="2">
        <v>0</v>
      </c>
      <c r="Y7551">
        <v>20</v>
      </c>
      <c r="Z7551" t="s">
        <v>2048</v>
      </c>
      <c r="AA7551" s="3">
        <v>0.121602386236191</v>
      </c>
      <c r="AB7551" t="s">
        <v>35427</v>
      </c>
      <c r="AC7551" t="s">
        <v>4562</v>
      </c>
      <c r="AD7551" t="s">
        <v>35426</v>
      </c>
      <c r="AE7551" t="s">
        <v>4655</v>
      </c>
      <c r="AF7551" t="s">
        <v>5201</v>
      </c>
      <c r="AG7551" t="s">
        <v>4564</v>
      </c>
      <c r="AH7551" t="s">
        <v>1605</v>
      </c>
      <c r="AI7551" t="s">
        <v>1784</v>
      </c>
      <c r="AJ7551" t="s">
        <v>1785</v>
      </c>
      <c r="AK7551" t="s">
        <v>35428</v>
      </c>
      <c r="AL7551" s="13" t="s">
        <v>1899</v>
      </c>
      <c r="AM7551" s="14">
        <v>1</v>
      </c>
      <c r="AN7551" s="15" t="s">
        <v>1815</v>
      </c>
    </row>
    <row r="7552" spans="1:40" x14ac:dyDescent="0.3">
      <c r="A7552" s="10" t="str">
        <f>HYPERLINK("http://www.washoecounty.gov/assessor/cama/?parid=526-402-08&amp;CardNumber=1","526-402-08")</f>
        <v>526-402-08</v>
      </c>
      <c r="B7552" t="s">
        <v>4655</v>
      </c>
      <c r="C7552" t="s">
        <v>35429</v>
      </c>
      <c r="D7552" s="1">
        <v>40268</v>
      </c>
      <c r="E7552" s="2">
        <v>190486</v>
      </c>
      <c r="F7552" t="s">
        <v>4567</v>
      </c>
      <c r="G7552" s="17" t="str">
        <f>HYPERLINK("https://www.washoecounty.gov/assessor/cama/?command=sales&amp;parid=52640208","3866268")</f>
        <v>3866268</v>
      </c>
      <c r="H7552" t="s">
        <v>906</v>
      </c>
      <c r="I7552">
        <v>2009</v>
      </c>
      <c r="J7552">
        <v>2009</v>
      </c>
      <c r="K7552" t="s">
        <v>4554</v>
      </c>
      <c r="L7552" t="s">
        <v>3974</v>
      </c>
      <c r="M7552" s="2">
        <v>1533</v>
      </c>
      <c r="N7552" t="s">
        <v>5280</v>
      </c>
      <c r="O7552">
        <v>3</v>
      </c>
      <c r="P7552">
        <v>2</v>
      </c>
      <c r="Q7552">
        <v>1</v>
      </c>
      <c r="R7552" t="s">
        <v>5281</v>
      </c>
      <c r="S7552" t="s">
        <v>4898</v>
      </c>
      <c r="T7552" t="s">
        <v>2704</v>
      </c>
      <c r="U7552" t="s">
        <v>5631</v>
      </c>
      <c r="V7552" s="2">
        <v>469</v>
      </c>
      <c r="W7552" t="s">
        <v>4655</v>
      </c>
      <c r="X7552" s="2">
        <v>0</v>
      </c>
      <c r="Y7552">
        <v>20</v>
      </c>
      <c r="Z7552" t="s">
        <v>2048</v>
      </c>
      <c r="AA7552" s="3">
        <v>0.13436639308929399</v>
      </c>
      <c r="AB7552" t="s">
        <v>35430</v>
      </c>
      <c r="AC7552" t="s">
        <v>4575</v>
      </c>
      <c r="AD7552" t="s">
        <v>35429</v>
      </c>
      <c r="AE7552" t="s">
        <v>4655</v>
      </c>
      <c r="AF7552" t="s">
        <v>4809</v>
      </c>
      <c r="AG7552" t="s">
        <v>4564</v>
      </c>
      <c r="AH7552" t="s">
        <v>1605</v>
      </c>
      <c r="AI7552" t="s">
        <v>4655</v>
      </c>
      <c r="AJ7552" t="s">
        <v>1785</v>
      </c>
      <c r="AK7552" t="s">
        <v>35431</v>
      </c>
      <c r="AL7552" s="13" t="s">
        <v>1899</v>
      </c>
      <c r="AM7552" s="14">
        <v>1</v>
      </c>
      <c r="AN7552" s="15" t="s">
        <v>1815</v>
      </c>
    </row>
    <row r="7553" spans="1:40" x14ac:dyDescent="0.3">
      <c r="A7553" s="10" t="str">
        <f>HYPERLINK("http://www.washoecounty.gov/assessor/cama/?parid=526-402-09&amp;CardNumber=1","526-402-09")</f>
        <v>526-402-09</v>
      </c>
      <c r="B7553" t="s">
        <v>4655</v>
      </c>
      <c r="C7553" t="s">
        <v>35432</v>
      </c>
      <c r="D7553" s="1">
        <v>40326</v>
      </c>
      <c r="E7553" s="2">
        <v>220943</v>
      </c>
      <c r="F7553" t="s">
        <v>4567</v>
      </c>
      <c r="G7553" s="17" t="str">
        <f>HYPERLINK("https://www.washoecounty.gov/assessor/cama/?command=sales&amp;parid=52640209","3886604")</f>
        <v>3886604</v>
      </c>
      <c r="H7553" t="s">
        <v>906</v>
      </c>
      <c r="I7553">
        <v>2009</v>
      </c>
      <c r="J7553">
        <v>2009</v>
      </c>
      <c r="K7553" t="s">
        <v>4554</v>
      </c>
      <c r="L7553" t="s">
        <v>3974</v>
      </c>
      <c r="M7553" s="2">
        <v>2204</v>
      </c>
      <c r="N7553" t="s">
        <v>5280</v>
      </c>
      <c r="O7553">
        <v>4</v>
      </c>
      <c r="P7553">
        <v>2</v>
      </c>
      <c r="Q7553">
        <v>1</v>
      </c>
      <c r="R7553" t="s">
        <v>5281</v>
      </c>
      <c r="S7553" t="s">
        <v>4898</v>
      </c>
      <c r="T7553" t="s">
        <v>2704</v>
      </c>
      <c r="U7553" t="s">
        <v>5631</v>
      </c>
      <c r="V7553" s="2">
        <v>420</v>
      </c>
      <c r="W7553" t="s">
        <v>4655</v>
      </c>
      <c r="X7553" s="2">
        <v>0</v>
      </c>
      <c r="Y7553">
        <v>20</v>
      </c>
      <c r="Z7553" t="s">
        <v>2048</v>
      </c>
      <c r="AA7553" s="3">
        <v>0.10289256274700199</v>
      </c>
      <c r="AB7553" t="s">
        <v>35433</v>
      </c>
      <c r="AC7553" t="s">
        <v>4562</v>
      </c>
      <c r="AD7553" t="s">
        <v>35432</v>
      </c>
      <c r="AE7553" t="s">
        <v>4655</v>
      </c>
      <c r="AF7553" t="s">
        <v>5201</v>
      </c>
      <c r="AG7553" t="s">
        <v>4564</v>
      </c>
      <c r="AH7553" t="s">
        <v>1605</v>
      </c>
      <c r="AI7553" t="s">
        <v>1784</v>
      </c>
      <c r="AJ7553" t="s">
        <v>1785</v>
      </c>
      <c r="AK7553" t="s">
        <v>35434</v>
      </c>
      <c r="AL7553" s="13" t="s">
        <v>1899</v>
      </c>
      <c r="AM7553" s="14">
        <v>1</v>
      </c>
      <c r="AN7553" s="15" t="s">
        <v>1815</v>
      </c>
    </row>
    <row r="7554" spans="1:40" x14ac:dyDescent="0.3">
      <c r="A7554" s="10" t="str">
        <f>HYPERLINK("http://www.washoecounty.gov/assessor/cama/?parid=526-402-10&amp;CardNumber=1","526-402-10")</f>
        <v>526-402-10</v>
      </c>
      <c r="B7554" t="s">
        <v>4655</v>
      </c>
      <c r="C7554" t="s">
        <v>35435</v>
      </c>
      <c r="D7554" s="1">
        <v>40339</v>
      </c>
      <c r="E7554" s="2">
        <v>171700</v>
      </c>
      <c r="F7554" t="s">
        <v>4567</v>
      </c>
      <c r="G7554" s="17" t="str">
        <f>HYPERLINK("https://www.washoecounty.gov/assessor/cama/?command=sales&amp;parid=52640210","3890241")</f>
        <v>3890241</v>
      </c>
      <c r="H7554" t="s">
        <v>906</v>
      </c>
      <c r="I7554">
        <v>2009</v>
      </c>
      <c r="J7554">
        <v>2009</v>
      </c>
      <c r="K7554" t="s">
        <v>4554</v>
      </c>
      <c r="L7554" t="s">
        <v>4555</v>
      </c>
      <c r="M7554" s="2">
        <v>1400</v>
      </c>
      <c r="N7554" t="s">
        <v>5280</v>
      </c>
      <c r="O7554">
        <v>2</v>
      </c>
      <c r="P7554">
        <v>2</v>
      </c>
      <c r="Q7554">
        <v>0</v>
      </c>
      <c r="R7554" t="s">
        <v>5281</v>
      </c>
      <c r="S7554" t="s">
        <v>4898</v>
      </c>
      <c r="T7554" t="s">
        <v>2704</v>
      </c>
      <c r="U7554" t="s">
        <v>4560</v>
      </c>
      <c r="V7554" s="2">
        <v>414</v>
      </c>
      <c r="W7554" t="s">
        <v>4655</v>
      </c>
      <c r="X7554" s="2">
        <v>0</v>
      </c>
      <c r="Y7554">
        <v>20</v>
      </c>
      <c r="Z7554" t="s">
        <v>2048</v>
      </c>
      <c r="AA7554" s="3">
        <v>9.2056930065155002E-2</v>
      </c>
      <c r="AB7554" t="s">
        <v>35436</v>
      </c>
      <c r="AC7554" t="s">
        <v>4562</v>
      </c>
      <c r="AD7554" t="s">
        <v>35435</v>
      </c>
      <c r="AE7554" t="s">
        <v>4655</v>
      </c>
      <c r="AF7554" t="s">
        <v>4809</v>
      </c>
      <c r="AG7554" t="s">
        <v>4564</v>
      </c>
      <c r="AH7554" t="s">
        <v>1605</v>
      </c>
      <c r="AI7554" t="s">
        <v>1784</v>
      </c>
      <c r="AJ7554" t="s">
        <v>1785</v>
      </c>
      <c r="AK7554" t="s">
        <v>35437</v>
      </c>
      <c r="AL7554" s="13" t="s">
        <v>1899</v>
      </c>
      <c r="AM7554" s="14">
        <v>1</v>
      </c>
      <c r="AN7554" s="15" t="s">
        <v>1815</v>
      </c>
    </row>
    <row r="7555" spans="1:40" x14ac:dyDescent="0.3">
      <c r="A7555" s="10" t="str">
        <f>HYPERLINK("http://www.washoecounty.gov/assessor/cama/?parid=526-402-11&amp;CardNumber=1","526-402-11")</f>
        <v>526-402-11</v>
      </c>
      <c r="B7555" t="s">
        <v>4655</v>
      </c>
      <c r="C7555" t="s">
        <v>35438</v>
      </c>
      <c r="D7555" s="1">
        <v>40338</v>
      </c>
      <c r="E7555" s="2">
        <v>187942</v>
      </c>
      <c r="F7555" t="s">
        <v>4567</v>
      </c>
      <c r="G7555" s="17" t="str">
        <f>HYPERLINK("https://www.washoecounty.gov/assessor/cama/?command=sales&amp;parid=52640211","NOT AVAILABLE ")</f>
        <v xml:space="preserve">NOT AVAILABLE </v>
      </c>
      <c r="H7555" t="s">
        <v>906</v>
      </c>
      <c r="I7555">
        <v>2009</v>
      </c>
      <c r="J7555">
        <v>2009</v>
      </c>
      <c r="K7555" t="s">
        <v>4554</v>
      </c>
      <c r="L7555" t="s">
        <v>3974</v>
      </c>
      <c r="M7555" s="2">
        <v>1533</v>
      </c>
      <c r="N7555" t="s">
        <v>5280</v>
      </c>
      <c r="O7555">
        <v>3</v>
      </c>
      <c r="P7555">
        <v>2</v>
      </c>
      <c r="Q7555">
        <v>1</v>
      </c>
      <c r="R7555" t="s">
        <v>5281</v>
      </c>
      <c r="S7555" t="s">
        <v>4898</v>
      </c>
      <c r="T7555" t="s">
        <v>2704</v>
      </c>
      <c r="U7555" t="s">
        <v>5631</v>
      </c>
      <c r="V7555" s="2">
        <v>469</v>
      </c>
      <c r="W7555" t="s">
        <v>4655</v>
      </c>
      <c r="X7555" s="2">
        <v>0</v>
      </c>
      <c r="Y7555">
        <v>20</v>
      </c>
      <c r="Z7555" t="s">
        <v>2048</v>
      </c>
      <c r="AA7555" s="3">
        <v>9.2378325760364505E-2</v>
      </c>
      <c r="AB7555" t="s">
        <v>8865</v>
      </c>
      <c r="AC7555" t="s">
        <v>4562</v>
      </c>
      <c r="AD7555" t="s">
        <v>283</v>
      </c>
      <c r="AE7555" t="s">
        <v>4655</v>
      </c>
      <c r="AF7555" t="s">
        <v>283</v>
      </c>
      <c r="AG7555" t="s">
        <v>4564</v>
      </c>
      <c r="AH7555" t="s">
        <v>3101</v>
      </c>
      <c r="AI7555" t="s">
        <v>4655</v>
      </c>
      <c r="AJ7555" t="s">
        <v>1785</v>
      </c>
      <c r="AK7555" t="s">
        <v>35439</v>
      </c>
      <c r="AL7555" s="13" t="s">
        <v>1899</v>
      </c>
      <c r="AM7555" s="14">
        <v>1</v>
      </c>
      <c r="AN7555" s="15" t="s">
        <v>1815</v>
      </c>
    </row>
    <row r="7556" spans="1:40" x14ac:dyDescent="0.3">
      <c r="A7556" s="10" t="str">
        <f>HYPERLINK("http://www.washoecounty.gov/assessor/cama/?parid=526-402-12&amp;CardNumber=1","526-402-12")</f>
        <v>526-402-12</v>
      </c>
      <c r="B7556" t="s">
        <v>4655</v>
      </c>
      <c r="C7556" t="s">
        <v>35440</v>
      </c>
      <c r="D7556" s="1">
        <v>40529</v>
      </c>
      <c r="E7556" s="2">
        <v>162000</v>
      </c>
      <c r="F7556" t="s">
        <v>4567</v>
      </c>
      <c r="G7556" s="17" t="str">
        <f>HYPERLINK("https://www.washoecounty.gov/assessor/cama/?command=sales&amp;parid=52640212","3954718")</f>
        <v>3954718</v>
      </c>
      <c r="H7556" t="s">
        <v>906</v>
      </c>
      <c r="I7556">
        <v>2009</v>
      </c>
      <c r="J7556">
        <v>2009</v>
      </c>
      <c r="K7556" t="s">
        <v>4554</v>
      </c>
      <c r="L7556" t="s">
        <v>3974</v>
      </c>
      <c r="M7556" s="2">
        <v>1853</v>
      </c>
      <c r="N7556" t="s">
        <v>5280</v>
      </c>
      <c r="O7556">
        <v>4</v>
      </c>
      <c r="P7556">
        <v>2</v>
      </c>
      <c r="Q7556">
        <v>1</v>
      </c>
      <c r="R7556" t="s">
        <v>5281</v>
      </c>
      <c r="S7556" t="s">
        <v>4898</v>
      </c>
      <c r="T7556" t="s">
        <v>2704</v>
      </c>
      <c r="U7556" t="s">
        <v>5631</v>
      </c>
      <c r="V7556" s="2">
        <v>420</v>
      </c>
      <c r="W7556" t="s">
        <v>4655</v>
      </c>
      <c r="X7556" s="2">
        <v>0</v>
      </c>
      <c r="Y7556">
        <v>20</v>
      </c>
      <c r="Z7556" t="s">
        <v>2048</v>
      </c>
      <c r="AA7556" s="3">
        <v>9.2883378267288194E-2</v>
      </c>
      <c r="AB7556" t="s">
        <v>35441</v>
      </c>
      <c r="AC7556" t="s">
        <v>4562</v>
      </c>
      <c r="AD7556" t="s">
        <v>5021</v>
      </c>
      <c r="AE7556" t="s">
        <v>4655</v>
      </c>
      <c r="AF7556" t="s">
        <v>5022</v>
      </c>
      <c r="AG7556" t="s">
        <v>1188</v>
      </c>
      <c r="AH7556" t="s">
        <v>5023</v>
      </c>
      <c r="AI7556" t="s">
        <v>4655</v>
      </c>
      <c r="AJ7556" t="s">
        <v>1785</v>
      </c>
      <c r="AK7556" t="s">
        <v>35442</v>
      </c>
      <c r="AL7556" s="13" t="s">
        <v>1899</v>
      </c>
      <c r="AM7556">
        <v>1</v>
      </c>
      <c r="AN7556" s="15" t="s">
        <v>1815</v>
      </c>
    </row>
    <row r="7557" spans="1:40" x14ac:dyDescent="0.3">
      <c r="A7557" s="10" t="str">
        <f>HYPERLINK("http://www.washoecounty.gov/assessor/cama/?parid=526-402-13&amp;CardNumber=1","526-402-13")</f>
        <v>526-402-13</v>
      </c>
      <c r="B7557" t="s">
        <v>4655</v>
      </c>
      <c r="C7557" t="s">
        <v>35443</v>
      </c>
      <c r="D7557" s="1">
        <v>40268</v>
      </c>
      <c r="E7557" s="2">
        <v>184990</v>
      </c>
      <c r="F7557" t="s">
        <v>4567</v>
      </c>
      <c r="G7557" s="17" t="str">
        <f>HYPERLINK("https://www.washoecounty.gov/assessor/cama/?command=sales&amp;parid=52640213","3866254")</f>
        <v>3866254</v>
      </c>
      <c r="H7557" t="s">
        <v>906</v>
      </c>
      <c r="I7557">
        <v>2009</v>
      </c>
      <c r="J7557">
        <v>2009</v>
      </c>
      <c r="K7557" t="s">
        <v>4554</v>
      </c>
      <c r="L7557" t="s">
        <v>3974</v>
      </c>
      <c r="M7557" s="2">
        <v>1533</v>
      </c>
      <c r="N7557" t="s">
        <v>5280</v>
      </c>
      <c r="O7557">
        <v>3</v>
      </c>
      <c r="P7557">
        <v>2</v>
      </c>
      <c r="Q7557">
        <v>1</v>
      </c>
      <c r="R7557" t="s">
        <v>5281</v>
      </c>
      <c r="S7557" t="s">
        <v>4898</v>
      </c>
      <c r="T7557" t="s">
        <v>2704</v>
      </c>
      <c r="U7557" t="s">
        <v>5631</v>
      </c>
      <c r="V7557" s="2">
        <v>469</v>
      </c>
      <c r="W7557" t="s">
        <v>4655</v>
      </c>
      <c r="X7557" s="2">
        <v>0</v>
      </c>
      <c r="Y7557">
        <v>20</v>
      </c>
      <c r="Z7557" t="s">
        <v>2048</v>
      </c>
      <c r="AA7557" s="3">
        <v>9.3388430774211897E-2</v>
      </c>
      <c r="AB7557" t="s">
        <v>35444</v>
      </c>
      <c r="AC7557" t="s">
        <v>4562</v>
      </c>
      <c r="AD7557" t="s">
        <v>35443</v>
      </c>
      <c r="AE7557" t="s">
        <v>4655</v>
      </c>
      <c r="AF7557" t="s">
        <v>4809</v>
      </c>
      <c r="AG7557" t="s">
        <v>4564</v>
      </c>
      <c r="AH7557" t="s">
        <v>1605</v>
      </c>
      <c r="AI7557" t="s">
        <v>1784</v>
      </c>
      <c r="AJ7557" t="s">
        <v>1785</v>
      </c>
      <c r="AK7557" t="s">
        <v>35445</v>
      </c>
      <c r="AL7557" s="13" t="s">
        <v>1899</v>
      </c>
      <c r="AM7557">
        <v>1</v>
      </c>
      <c r="AN7557" s="15" t="s">
        <v>1815</v>
      </c>
    </row>
    <row r="7558" spans="1:40" x14ac:dyDescent="0.3">
      <c r="A7558" s="10" t="str">
        <f>HYPERLINK("http://www.washoecounty.gov/assessor/cama/?parid=526-402-14&amp;CardNumber=1","526-402-14")</f>
        <v>526-402-14</v>
      </c>
      <c r="B7558" t="s">
        <v>4655</v>
      </c>
      <c r="C7558" t="s">
        <v>35446</v>
      </c>
      <c r="D7558" s="1">
        <v>40289</v>
      </c>
      <c r="E7558" s="2">
        <v>198256</v>
      </c>
      <c r="F7558" t="s">
        <v>4567</v>
      </c>
      <c r="G7558" s="17" t="str">
        <f>HYPERLINK("https://www.washoecounty.gov/assessor/cama/?command=sales&amp;parid=52640214","3873333")</f>
        <v>3873333</v>
      </c>
      <c r="H7558" t="s">
        <v>906</v>
      </c>
      <c r="I7558">
        <v>2009</v>
      </c>
      <c r="J7558">
        <v>2009</v>
      </c>
      <c r="K7558" t="s">
        <v>4554</v>
      </c>
      <c r="L7558" t="s">
        <v>3974</v>
      </c>
      <c r="M7558" s="2">
        <v>1853</v>
      </c>
      <c r="N7558" t="s">
        <v>5280</v>
      </c>
      <c r="O7558">
        <v>4</v>
      </c>
      <c r="P7558">
        <v>2</v>
      </c>
      <c r="Q7558">
        <v>1</v>
      </c>
      <c r="R7558" t="s">
        <v>5281</v>
      </c>
      <c r="S7558" t="s">
        <v>4898</v>
      </c>
      <c r="T7558" t="s">
        <v>2704</v>
      </c>
      <c r="U7558" t="s">
        <v>5631</v>
      </c>
      <c r="V7558" s="2">
        <v>420</v>
      </c>
      <c r="W7558" t="s">
        <v>4655</v>
      </c>
      <c r="X7558" s="2">
        <v>0</v>
      </c>
      <c r="Y7558">
        <v>20</v>
      </c>
      <c r="Z7558" t="s">
        <v>2048</v>
      </c>
      <c r="AA7558" s="3">
        <v>9.3893483281135601E-2</v>
      </c>
      <c r="AB7558" t="s">
        <v>35447</v>
      </c>
      <c r="AC7558" t="s">
        <v>4562</v>
      </c>
      <c r="AD7558" t="s">
        <v>35446</v>
      </c>
      <c r="AE7558" t="s">
        <v>4655</v>
      </c>
      <c r="AF7558" t="s">
        <v>5201</v>
      </c>
      <c r="AG7558" t="s">
        <v>4564</v>
      </c>
      <c r="AH7558" t="s">
        <v>1605</v>
      </c>
      <c r="AI7558" t="s">
        <v>1784</v>
      </c>
      <c r="AJ7558" t="s">
        <v>1785</v>
      </c>
      <c r="AK7558" t="s">
        <v>35448</v>
      </c>
      <c r="AL7558" s="13" t="s">
        <v>1899</v>
      </c>
      <c r="AM7558" s="14">
        <v>1</v>
      </c>
      <c r="AN7558" s="15" t="s">
        <v>1815</v>
      </c>
    </row>
    <row r="7559" spans="1:40" x14ac:dyDescent="0.3">
      <c r="A7559" s="10" t="str">
        <f>HYPERLINK("http://www.washoecounty.gov/assessor/cama/?parid=526-402-15&amp;CardNumber=1","526-402-15")</f>
        <v>526-402-15</v>
      </c>
      <c r="B7559" t="s">
        <v>4655</v>
      </c>
      <c r="C7559" t="s">
        <v>35449</v>
      </c>
      <c r="D7559" s="1">
        <v>40268</v>
      </c>
      <c r="E7559" s="2">
        <v>162602</v>
      </c>
      <c r="F7559" t="s">
        <v>4567</v>
      </c>
      <c r="G7559" s="17" t="str">
        <f>HYPERLINK("https://www.washoecounty.gov/assessor/cama/?command=sales&amp;parid=52640215","3866277")</f>
        <v>3866277</v>
      </c>
      <c r="H7559" t="s">
        <v>906</v>
      </c>
      <c r="I7559">
        <v>2009</v>
      </c>
      <c r="J7559">
        <v>2009</v>
      </c>
      <c r="K7559" t="s">
        <v>4554</v>
      </c>
      <c r="L7559" t="s">
        <v>4555</v>
      </c>
      <c r="M7559" s="2">
        <v>1275</v>
      </c>
      <c r="N7559" t="s">
        <v>5280</v>
      </c>
      <c r="O7559">
        <v>3</v>
      </c>
      <c r="P7559">
        <v>2</v>
      </c>
      <c r="Q7559">
        <v>0</v>
      </c>
      <c r="R7559" t="s">
        <v>5281</v>
      </c>
      <c r="S7559" t="s">
        <v>4898</v>
      </c>
      <c r="T7559" t="s">
        <v>2704</v>
      </c>
      <c r="U7559" t="s">
        <v>4560</v>
      </c>
      <c r="V7559" s="2">
        <v>420</v>
      </c>
      <c r="W7559" t="s">
        <v>4655</v>
      </c>
      <c r="X7559" s="2">
        <v>0</v>
      </c>
      <c r="Y7559">
        <v>20</v>
      </c>
      <c r="Z7559" t="s">
        <v>2048</v>
      </c>
      <c r="AA7559" s="3">
        <v>9.4398528337478596E-2</v>
      </c>
      <c r="AB7559" t="s">
        <v>35450</v>
      </c>
      <c r="AC7559" t="s">
        <v>4562</v>
      </c>
      <c r="AD7559" t="s">
        <v>35449</v>
      </c>
      <c r="AE7559" t="s">
        <v>4655</v>
      </c>
      <c r="AF7559" t="s">
        <v>4809</v>
      </c>
      <c r="AG7559" t="s">
        <v>4564</v>
      </c>
      <c r="AH7559" t="s">
        <v>1605</v>
      </c>
      <c r="AI7559" t="s">
        <v>1784</v>
      </c>
      <c r="AJ7559" t="s">
        <v>1785</v>
      </c>
      <c r="AK7559" t="s">
        <v>35451</v>
      </c>
      <c r="AL7559" s="13" t="s">
        <v>1899</v>
      </c>
      <c r="AM7559" s="14">
        <v>1</v>
      </c>
      <c r="AN7559" s="15" t="s">
        <v>1815</v>
      </c>
    </row>
    <row r="7560" spans="1:40" x14ac:dyDescent="0.3">
      <c r="A7560" s="10" t="str">
        <f>HYPERLINK("http://www.washoecounty.gov/assessor/cama/?parid=526-402-16&amp;CardNumber=1","526-402-16")</f>
        <v>526-402-16</v>
      </c>
      <c r="B7560" t="s">
        <v>4655</v>
      </c>
      <c r="C7560" t="s">
        <v>35452</v>
      </c>
      <c r="D7560" s="1">
        <v>40260</v>
      </c>
      <c r="E7560" s="2">
        <v>203809</v>
      </c>
      <c r="F7560" t="s">
        <v>4567</v>
      </c>
      <c r="G7560" s="17" t="str">
        <f>HYPERLINK("https://www.washoecounty.gov/assessor/cama/?command=sales&amp;parid=52640216","3862878")</f>
        <v>3862878</v>
      </c>
      <c r="H7560" t="s">
        <v>906</v>
      </c>
      <c r="I7560">
        <v>2009</v>
      </c>
      <c r="J7560">
        <v>2009</v>
      </c>
      <c r="K7560" t="s">
        <v>4554</v>
      </c>
      <c r="L7560" t="s">
        <v>3974</v>
      </c>
      <c r="M7560" s="2">
        <v>2204</v>
      </c>
      <c r="N7560" t="s">
        <v>5280</v>
      </c>
      <c r="O7560">
        <v>4</v>
      </c>
      <c r="P7560">
        <v>2</v>
      </c>
      <c r="Q7560">
        <v>1</v>
      </c>
      <c r="R7560" t="s">
        <v>5281</v>
      </c>
      <c r="S7560" t="s">
        <v>4898</v>
      </c>
      <c r="T7560" t="s">
        <v>2704</v>
      </c>
      <c r="U7560" t="s">
        <v>5631</v>
      </c>
      <c r="V7560" s="2">
        <v>420</v>
      </c>
      <c r="W7560" t="s">
        <v>4655</v>
      </c>
      <c r="X7560" s="2">
        <v>0</v>
      </c>
      <c r="Y7560">
        <v>20</v>
      </c>
      <c r="Z7560" t="s">
        <v>2048</v>
      </c>
      <c r="AA7560" s="3">
        <v>9.4903580844402299E-2</v>
      </c>
      <c r="AB7560" t="s">
        <v>35453</v>
      </c>
      <c r="AC7560" t="s">
        <v>4562</v>
      </c>
      <c r="AD7560" t="s">
        <v>35454</v>
      </c>
      <c r="AE7560" t="s">
        <v>4655</v>
      </c>
      <c r="AF7560" t="s">
        <v>5201</v>
      </c>
      <c r="AG7560" t="s">
        <v>4564</v>
      </c>
      <c r="AH7560" t="s">
        <v>1605</v>
      </c>
      <c r="AI7560" t="s">
        <v>1784</v>
      </c>
      <c r="AJ7560" t="s">
        <v>1785</v>
      </c>
      <c r="AK7560" t="s">
        <v>35455</v>
      </c>
      <c r="AL7560" s="13" t="s">
        <v>1899</v>
      </c>
      <c r="AM7560">
        <v>1</v>
      </c>
      <c r="AN7560" s="15" t="s">
        <v>1815</v>
      </c>
    </row>
    <row r="7561" spans="1:40" x14ac:dyDescent="0.3">
      <c r="A7561" s="10" t="str">
        <f>HYPERLINK("http://www.washoecounty.gov/assessor/cama/?parid=526-402-17&amp;CardNumber=1","526-402-17")</f>
        <v>526-402-17</v>
      </c>
      <c r="B7561" t="s">
        <v>4655</v>
      </c>
      <c r="C7561" t="s">
        <v>35456</v>
      </c>
      <c r="D7561" s="1">
        <v>40268</v>
      </c>
      <c r="E7561" s="2">
        <v>161087</v>
      </c>
      <c r="F7561" t="s">
        <v>4567</v>
      </c>
      <c r="G7561" s="17" t="str">
        <f>HYPERLINK("https://www.washoecounty.gov/assessor/cama/?command=sales&amp;parid=52640217","3866213")</f>
        <v>3866213</v>
      </c>
      <c r="H7561" t="s">
        <v>906</v>
      </c>
      <c r="I7561">
        <v>2009</v>
      </c>
      <c r="J7561">
        <v>2009</v>
      </c>
      <c r="K7561" t="s">
        <v>4554</v>
      </c>
      <c r="L7561" t="s">
        <v>4555</v>
      </c>
      <c r="M7561" s="2">
        <v>1275</v>
      </c>
      <c r="N7561" t="s">
        <v>5280</v>
      </c>
      <c r="O7561">
        <v>3</v>
      </c>
      <c r="P7561">
        <v>2</v>
      </c>
      <c r="Q7561">
        <v>0</v>
      </c>
      <c r="R7561" t="s">
        <v>5281</v>
      </c>
      <c r="S7561" t="s">
        <v>4898</v>
      </c>
      <c r="T7561" t="s">
        <v>2704</v>
      </c>
      <c r="U7561" t="s">
        <v>4560</v>
      </c>
      <c r="V7561" s="2">
        <v>420</v>
      </c>
      <c r="W7561" t="s">
        <v>4655</v>
      </c>
      <c r="X7561" s="2">
        <v>0</v>
      </c>
      <c r="Y7561">
        <v>20</v>
      </c>
      <c r="Z7561" t="s">
        <v>2048</v>
      </c>
      <c r="AA7561" s="3">
        <v>9.6166208386421204E-2</v>
      </c>
      <c r="AB7561" t="s">
        <v>35457</v>
      </c>
      <c r="AC7561" t="s">
        <v>4562</v>
      </c>
      <c r="AD7561" t="s">
        <v>35458</v>
      </c>
      <c r="AE7561" t="s">
        <v>4655</v>
      </c>
      <c r="AF7561" t="s">
        <v>5201</v>
      </c>
      <c r="AG7561" t="s">
        <v>4564</v>
      </c>
      <c r="AH7561" t="s">
        <v>1605</v>
      </c>
      <c r="AI7561" t="s">
        <v>1784</v>
      </c>
      <c r="AJ7561" t="s">
        <v>1785</v>
      </c>
      <c r="AK7561" t="s">
        <v>35459</v>
      </c>
      <c r="AL7561" s="13" t="s">
        <v>1899</v>
      </c>
      <c r="AM7561" s="14">
        <v>1</v>
      </c>
      <c r="AN7561" s="15" t="s">
        <v>1815</v>
      </c>
    </row>
    <row r="7562" spans="1:40" x14ac:dyDescent="0.3">
      <c r="A7562" s="10" t="str">
        <f>HYPERLINK("http://www.washoecounty.gov/assessor/cama/?parid=526-402-18&amp;CardNumber=1","526-402-18")</f>
        <v>526-402-18</v>
      </c>
      <c r="B7562" t="s">
        <v>4655</v>
      </c>
      <c r="C7562" t="s">
        <v>35460</v>
      </c>
      <c r="D7562" s="1">
        <v>40253</v>
      </c>
      <c r="E7562" s="2">
        <v>202947</v>
      </c>
      <c r="F7562" t="s">
        <v>4567</v>
      </c>
      <c r="G7562" s="17" t="str">
        <f>HYPERLINK("https://www.washoecounty.gov/assessor/cama/?command=sales&amp;parid=52640218","3860305")</f>
        <v>3860305</v>
      </c>
      <c r="H7562" t="s">
        <v>906</v>
      </c>
      <c r="I7562">
        <v>2009</v>
      </c>
      <c r="J7562">
        <v>2009</v>
      </c>
      <c r="K7562" t="s">
        <v>4554</v>
      </c>
      <c r="L7562" t="s">
        <v>3974</v>
      </c>
      <c r="M7562" s="2">
        <v>1853</v>
      </c>
      <c r="N7562" t="s">
        <v>5280</v>
      </c>
      <c r="O7562">
        <v>4</v>
      </c>
      <c r="P7562">
        <v>2</v>
      </c>
      <c r="Q7562">
        <v>1</v>
      </c>
      <c r="R7562" t="s">
        <v>5281</v>
      </c>
      <c r="S7562" t="s">
        <v>4898</v>
      </c>
      <c r="T7562" t="s">
        <v>2704</v>
      </c>
      <c r="U7562" t="s">
        <v>5631</v>
      </c>
      <c r="V7562" s="2">
        <v>420</v>
      </c>
      <c r="W7562" t="s">
        <v>4655</v>
      </c>
      <c r="X7562" s="2">
        <v>0</v>
      </c>
      <c r="Y7562">
        <v>20</v>
      </c>
      <c r="Z7562" t="s">
        <v>2048</v>
      </c>
      <c r="AA7562" s="3">
        <v>0.118365474045277</v>
      </c>
      <c r="AB7562" t="s">
        <v>35461</v>
      </c>
      <c r="AC7562" t="s">
        <v>4562</v>
      </c>
      <c r="AD7562" t="s">
        <v>35460</v>
      </c>
      <c r="AE7562" t="s">
        <v>4655</v>
      </c>
      <c r="AF7562" t="s">
        <v>5201</v>
      </c>
      <c r="AG7562" t="s">
        <v>4564</v>
      </c>
      <c r="AH7562" t="s">
        <v>1605</v>
      </c>
      <c r="AI7562" t="s">
        <v>1784</v>
      </c>
      <c r="AJ7562" t="s">
        <v>1785</v>
      </c>
      <c r="AK7562" t="s">
        <v>35462</v>
      </c>
      <c r="AL7562" s="13" t="s">
        <v>1899</v>
      </c>
      <c r="AM7562" s="14">
        <v>1</v>
      </c>
      <c r="AN7562" s="15" t="s">
        <v>1815</v>
      </c>
    </row>
    <row r="7563" spans="1:40" x14ac:dyDescent="0.3">
      <c r="A7563" s="10" t="str">
        <f>HYPERLINK("http://www.washoecounty.gov/assessor/cama/?parid=526-404-01&amp;CardNumber=1","526-404-01")</f>
        <v>526-404-01</v>
      </c>
      <c r="B7563" t="s">
        <v>4655</v>
      </c>
      <c r="C7563" t="s">
        <v>35463</v>
      </c>
      <c r="D7563" s="1">
        <v>40311</v>
      </c>
      <c r="E7563" s="2">
        <v>208505</v>
      </c>
      <c r="F7563" t="s">
        <v>4567</v>
      </c>
      <c r="G7563" s="17" t="str">
        <f>HYPERLINK("https://www.washoecounty.gov/assessor/cama/?command=sales&amp;parid=52640401","3881196")</f>
        <v>3881196</v>
      </c>
      <c r="H7563" t="s">
        <v>906</v>
      </c>
      <c r="I7563">
        <v>2009</v>
      </c>
      <c r="J7563">
        <v>2009</v>
      </c>
      <c r="K7563" t="s">
        <v>4554</v>
      </c>
      <c r="L7563" t="s">
        <v>3974</v>
      </c>
      <c r="M7563" s="2">
        <v>2204</v>
      </c>
      <c r="N7563" t="s">
        <v>5280</v>
      </c>
      <c r="O7563">
        <v>4</v>
      </c>
      <c r="P7563">
        <v>2</v>
      </c>
      <c r="Q7563">
        <v>1</v>
      </c>
      <c r="R7563" t="s">
        <v>5281</v>
      </c>
      <c r="S7563" t="s">
        <v>4898</v>
      </c>
      <c r="T7563" t="s">
        <v>2704</v>
      </c>
      <c r="U7563" t="s">
        <v>5631</v>
      </c>
      <c r="V7563" s="2">
        <v>420</v>
      </c>
      <c r="W7563" t="s">
        <v>4655</v>
      </c>
      <c r="X7563" s="2">
        <v>0</v>
      </c>
      <c r="Y7563">
        <v>20</v>
      </c>
      <c r="Z7563" t="s">
        <v>2048</v>
      </c>
      <c r="AA7563" s="3">
        <v>0.109251603484154</v>
      </c>
      <c r="AB7563" t="s">
        <v>35464</v>
      </c>
      <c r="AC7563" t="s">
        <v>4562</v>
      </c>
      <c r="AD7563" t="s">
        <v>35463</v>
      </c>
      <c r="AE7563" t="s">
        <v>4655</v>
      </c>
      <c r="AF7563" t="s">
        <v>5201</v>
      </c>
      <c r="AG7563" t="s">
        <v>4564</v>
      </c>
      <c r="AH7563" t="s">
        <v>1605</v>
      </c>
      <c r="AI7563" t="s">
        <v>4655</v>
      </c>
      <c r="AJ7563" t="s">
        <v>1785</v>
      </c>
      <c r="AK7563" t="s">
        <v>35465</v>
      </c>
      <c r="AL7563" s="13" t="s">
        <v>1899</v>
      </c>
      <c r="AM7563">
        <v>1</v>
      </c>
      <c r="AN7563" s="15" t="s">
        <v>1815</v>
      </c>
    </row>
    <row r="7564" spans="1:40" x14ac:dyDescent="0.3">
      <c r="A7564" s="10" t="str">
        <f>HYPERLINK("http://www.washoecounty.gov/assessor/cama/?parid=526-405-02&amp;CardNumber=1","526-405-02")</f>
        <v>526-405-02</v>
      </c>
      <c r="B7564" t="s">
        <v>4655</v>
      </c>
      <c r="C7564" t="s">
        <v>35466</v>
      </c>
      <c r="D7564" s="1">
        <v>40207</v>
      </c>
      <c r="E7564" s="2">
        <v>175745</v>
      </c>
      <c r="F7564" t="s">
        <v>4567</v>
      </c>
      <c r="G7564" s="17" t="str">
        <f>HYPERLINK("https://www.washoecounty.gov/assessor/cama/?command=sales&amp;parid=52640502","3844238")</f>
        <v>3844238</v>
      </c>
      <c r="H7564" t="s">
        <v>906</v>
      </c>
      <c r="I7564">
        <v>2009</v>
      </c>
      <c r="J7564">
        <v>2009</v>
      </c>
      <c r="K7564" t="s">
        <v>4554</v>
      </c>
      <c r="L7564" t="s">
        <v>4555</v>
      </c>
      <c r="M7564" s="2">
        <v>1400</v>
      </c>
      <c r="N7564" t="s">
        <v>5280</v>
      </c>
      <c r="O7564">
        <v>2</v>
      </c>
      <c r="P7564">
        <v>2</v>
      </c>
      <c r="Q7564">
        <v>0</v>
      </c>
      <c r="R7564" t="s">
        <v>5281</v>
      </c>
      <c r="S7564" t="s">
        <v>4898</v>
      </c>
      <c r="T7564" t="s">
        <v>2704</v>
      </c>
      <c r="U7564" t="s">
        <v>4560</v>
      </c>
      <c r="V7564" s="2">
        <v>414</v>
      </c>
      <c r="W7564" t="s">
        <v>4655</v>
      </c>
      <c r="X7564" s="2">
        <v>0</v>
      </c>
      <c r="Y7564">
        <v>20</v>
      </c>
      <c r="Z7564" t="s">
        <v>2048</v>
      </c>
      <c r="AA7564" s="3">
        <v>9.1827362775802598E-2</v>
      </c>
      <c r="AB7564" t="s">
        <v>35467</v>
      </c>
      <c r="AC7564" t="s">
        <v>4562</v>
      </c>
      <c r="AD7564" t="s">
        <v>35466</v>
      </c>
      <c r="AE7564" t="s">
        <v>4655</v>
      </c>
      <c r="AF7564" t="s">
        <v>4809</v>
      </c>
      <c r="AG7564" t="s">
        <v>4564</v>
      </c>
      <c r="AH7564" t="s">
        <v>1605</v>
      </c>
      <c r="AI7564" t="s">
        <v>1784</v>
      </c>
      <c r="AJ7564" t="s">
        <v>1785</v>
      </c>
      <c r="AK7564" t="s">
        <v>35468</v>
      </c>
      <c r="AL7564" s="13" t="s">
        <v>1899</v>
      </c>
      <c r="AM7564" s="14">
        <v>1</v>
      </c>
      <c r="AN7564" s="15" t="s">
        <v>1815</v>
      </c>
    </row>
    <row r="7565" spans="1:40" x14ac:dyDescent="0.3">
      <c r="A7565" s="10" t="str">
        <f>HYPERLINK("http://www.washoecounty.gov/assessor/cama/?parid=526-405-03&amp;CardNumber=1","526-405-03")</f>
        <v>526-405-03</v>
      </c>
      <c r="B7565" t="s">
        <v>4655</v>
      </c>
      <c r="C7565" t="s">
        <v>35469</v>
      </c>
      <c r="D7565" s="1">
        <v>40295</v>
      </c>
      <c r="E7565" s="2">
        <v>184469</v>
      </c>
      <c r="F7565" t="s">
        <v>4567</v>
      </c>
      <c r="G7565" s="17" t="str">
        <f>HYPERLINK("https://www.washoecounty.gov/assessor/cama/?command=sales&amp;parid=52640503","3875249")</f>
        <v>3875249</v>
      </c>
      <c r="H7565" t="s">
        <v>906</v>
      </c>
      <c r="I7565">
        <v>2009</v>
      </c>
      <c r="J7565">
        <v>2009</v>
      </c>
      <c r="K7565" t="s">
        <v>4554</v>
      </c>
      <c r="L7565" t="s">
        <v>3974</v>
      </c>
      <c r="M7565" s="2">
        <v>1533</v>
      </c>
      <c r="N7565" t="s">
        <v>5280</v>
      </c>
      <c r="O7565">
        <v>3</v>
      </c>
      <c r="P7565">
        <v>2</v>
      </c>
      <c r="Q7565">
        <v>1</v>
      </c>
      <c r="R7565" t="s">
        <v>5281</v>
      </c>
      <c r="S7565" t="s">
        <v>4898</v>
      </c>
      <c r="T7565" t="s">
        <v>2704</v>
      </c>
      <c r="U7565" t="s">
        <v>5631</v>
      </c>
      <c r="V7565" s="2">
        <v>469</v>
      </c>
      <c r="W7565" t="s">
        <v>4655</v>
      </c>
      <c r="X7565" s="2">
        <v>0</v>
      </c>
      <c r="Y7565">
        <v>20</v>
      </c>
      <c r="Z7565" t="s">
        <v>2048</v>
      </c>
      <c r="AA7565" s="3">
        <v>9.1827362775802598E-2</v>
      </c>
      <c r="AB7565" t="s">
        <v>35470</v>
      </c>
      <c r="AC7565" t="s">
        <v>4562</v>
      </c>
      <c r="AD7565" t="s">
        <v>35469</v>
      </c>
      <c r="AE7565" t="s">
        <v>4655</v>
      </c>
      <c r="AF7565" t="s">
        <v>5201</v>
      </c>
      <c r="AG7565" t="s">
        <v>4564</v>
      </c>
      <c r="AH7565" t="s">
        <v>1605</v>
      </c>
      <c r="AI7565" t="s">
        <v>1784</v>
      </c>
      <c r="AJ7565" t="s">
        <v>1785</v>
      </c>
      <c r="AK7565" t="s">
        <v>35471</v>
      </c>
      <c r="AL7565" s="13" t="s">
        <v>1899</v>
      </c>
      <c r="AM7565">
        <v>1</v>
      </c>
      <c r="AN7565" s="15" t="s">
        <v>1815</v>
      </c>
    </row>
    <row r="7566" spans="1:40" x14ac:dyDescent="0.3">
      <c r="A7566" s="10" t="str">
        <f>HYPERLINK("http://www.washoecounty.gov/assessor/cama/?parid=526-405-05&amp;CardNumber=1","526-405-05")</f>
        <v>526-405-05</v>
      </c>
      <c r="B7566" t="s">
        <v>4655</v>
      </c>
      <c r="C7566" t="s">
        <v>35472</v>
      </c>
      <c r="D7566" s="1">
        <v>40287</v>
      </c>
      <c r="E7566" s="2">
        <v>209919</v>
      </c>
      <c r="F7566" t="s">
        <v>4567</v>
      </c>
      <c r="G7566" s="17" t="str">
        <f>HYPERLINK("https://www.washoecounty.gov/assessor/cama/?command=sales&amp;parid=52640505","3872407")</f>
        <v>3872407</v>
      </c>
      <c r="H7566" t="s">
        <v>906</v>
      </c>
      <c r="I7566">
        <v>2009</v>
      </c>
      <c r="J7566">
        <v>2009</v>
      </c>
      <c r="K7566" t="s">
        <v>4554</v>
      </c>
      <c r="L7566" t="s">
        <v>3974</v>
      </c>
      <c r="M7566" s="2">
        <v>2204</v>
      </c>
      <c r="N7566" t="s">
        <v>5280</v>
      </c>
      <c r="O7566">
        <v>4</v>
      </c>
      <c r="P7566">
        <v>2</v>
      </c>
      <c r="Q7566">
        <v>1</v>
      </c>
      <c r="R7566" t="s">
        <v>5281</v>
      </c>
      <c r="S7566" t="s">
        <v>4898</v>
      </c>
      <c r="T7566" t="s">
        <v>2704</v>
      </c>
      <c r="U7566" t="s">
        <v>5631</v>
      </c>
      <c r="V7566" s="2">
        <v>420</v>
      </c>
      <c r="W7566" t="s">
        <v>4655</v>
      </c>
      <c r="X7566" s="2">
        <v>0</v>
      </c>
      <c r="Y7566">
        <v>20</v>
      </c>
      <c r="Z7566" t="s">
        <v>2048</v>
      </c>
      <c r="AA7566" s="3">
        <v>9.9035814404487596E-2</v>
      </c>
      <c r="AB7566" t="s">
        <v>35473</v>
      </c>
      <c r="AC7566" t="s">
        <v>4562</v>
      </c>
      <c r="AD7566" t="s">
        <v>35472</v>
      </c>
      <c r="AE7566" t="s">
        <v>4655</v>
      </c>
      <c r="AF7566" t="s">
        <v>5201</v>
      </c>
      <c r="AG7566" t="s">
        <v>4564</v>
      </c>
      <c r="AH7566" t="s">
        <v>1605</v>
      </c>
      <c r="AI7566" t="s">
        <v>1784</v>
      </c>
      <c r="AJ7566" t="s">
        <v>1785</v>
      </c>
      <c r="AK7566" t="s">
        <v>35474</v>
      </c>
      <c r="AL7566" s="13" t="s">
        <v>1899</v>
      </c>
      <c r="AM7566" s="14">
        <v>1</v>
      </c>
      <c r="AN7566" s="15" t="s">
        <v>1815</v>
      </c>
    </row>
    <row r="7567" spans="1:40" x14ac:dyDescent="0.3">
      <c r="A7567" s="10" t="str">
        <f>HYPERLINK("http://www.washoecounty.gov/assessor/cama/?parid=526-406-03&amp;CardNumber=1","526-406-03")</f>
        <v>526-406-03</v>
      </c>
      <c r="B7567" t="s">
        <v>4655</v>
      </c>
      <c r="C7567" t="s">
        <v>35475</v>
      </c>
      <c r="D7567" s="1">
        <v>40308</v>
      </c>
      <c r="E7567" s="2">
        <v>174900</v>
      </c>
      <c r="F7567" t="s">
        <v>4567</v>
      </c>
      <c r="G7567" s="17" t="str">
        <f>HYPERLINK("https://www.washoecounty.gov/assessor/cama/?command=sales&amp;parid=52640603","3879859")</f>
        <v>3879859</v>
      </c>
      <c r="H7567" t="s">
        <v>906</v>
      </c>
      <c r="I7567">
        <v>2008</v>
      </c>
      <c r="J7567">
        <v>2008</v>
      </c>
      <c r="K7567" t="s">
        <v>4554</v>
      </c>
      <c r="L7567" t="s">
        <v>3974</v>
      </c>
      <c r="M7567" s="2">
        <v>1874</v>
      </c>
      <c r="N7567" t="s">
        <v>3147</v>
      </c>
      <c r="O7567">
        <v>3</v>
      </c>
      <c r="P7567">
        <v>2</v>
      </c>
      <c r="Q7567">
        <v>1</v>
      </c>
      <c r="R7567" t="s">
        <v>5281</v>
      </c>
      <c r="S7567" t="s">
        <v>4898</v>
      </c>
      <c r="T7567" t="s">
        <v>2704</v>
      </c>
      <c r="U7567" t="s">
        <v>5631</v>
      </c>
      <c r="V7567" s="2">
        <v>493</v>
      </c>
      <c r="W7567" t="s">
        <v>4655</v>
      </c>
      <c r="X7567" s="2">
        <v>0</v>
      </c>
      <c r="Y7567">
        <v>20</v>
      </c>
      <c r="Z7567" t="s">
        <v>2048</v>
      </c>
      <c r="AA7567" s="3">
        <v>9.1827362775802598E-2</v>
      </c>
      <c r="AB7567" t="s">
        <v>35476</v>
      </c>
      <c r="AC7567" t="s">
        <v>4575</v>
      </c>
      <c r="AD7567" t="s">
        <v>35475</v>
      </c>
      <c r="AE7567" t="s">
        <v>4655</v>
      </c>
      <c r="AF7567" t="s">
        <v>5201</v>
      </c>
      <c r="AG7567" t="s">
        <v>5529</v>
      </c>
      <c r="AH7567" t="s">
        <v>1605</v>
      </c>
      <c r="AI7567" t="s">
        <v>35477</v>
      </c>
      <c r="AJ7567" t="s">
        <v>1785</v>
      </c>
      <c r="AK7567" t="s">
        <v>35478</v>
      </c>
      <c r="AL7567" s="13" t="s">
        <v>1899</v>
      </c>
      <c r="AM7567">
        <v>1</v>
      </c>
      <c r="AN7567" s="15" t="s">
        <v>1815</v>
      </c>
    </row>
    <row r="7568" spans="1:40" x14ac:dyDescent="0.3">
      <c r="A7568" s="10" t="str">
        <f>HYPERLINK("http://www.washoecounty.gov/assessor/cama/?parid=526-406-05&amp;CardNumber=1","526-406-05")</f>
        <v>526-406-05</v>
      </c>
      <c r="B7568" t="s">
        <v>4655</v>
      </c>
      <c r="C7568" t="s">
        <v>35479</v>
      </c>
      <c r="D7568" s="1">
        <v>40326</v>
      </c>
      <c r="E7568" s="2">
        <v>217735</v>
      </c>
      <c r="F7568" t="s">
        <v>4567</v>
      </c>
      <c r="G7568" s="17" t="str">
        <f>HYPERLINK("https://www.washoecounty.gov/assessor/cama/?command=sales&amp;parid=52640605","3886573")</f>
        <v>3886573</v>
      </c>
      <c r="H7568" t="s">
        <v>906</v>
      </c>
      <c r="I7568">
        <v>2009</v>
      </c>
      <c r="J7568">
        <v>2009</v>
      </c>
      <c r="K7568" t="s">
        <v>4554</v>
      </c>
      <c r="L7568" t="s">
        <v>3974</v>
      </c>
      <c r="M7568" s="2">
        <v>2204</v>
      </c>
      <c r="N7568" t="s">
        <v>5280</v>
      </c>
      <c r="O7568">
        <v>4</v>
      </c>
      <c r="P7568">
        <v>2</v>
      </c>
      <c r="Q7568">
        <v>1</v>
      </c>
      <c r="R7568" t="s">
        <v>5281</v>
      </c>
      <c r="S7568" t="s">
        <v>4898</v>
      </c>
      <c r="T7568" t="s">
        <v>2704</v>
      </c>
      <c r="U7568" t="s">
        <v>5631</v>
      </c>
      <c r="V7568" s="2">
        <v>420</v>
      </c>
      <c r="W7568" t="s">
        <v>4655</v>
      </c>
      <c r="X7568" s="2">
        <v>0</v>
      </c>
      <c r="Y7568">
        <v>20</v>
      </c>
      <c r="Z7568" t="s">
        <v>2048</v>
      </c>
      <c r="AA7568" s="3">
        <v>9.1827362775802598E-2</v>
      </c>
      <c r="AB7568" t="s">
        <v>35480</v>
      </c>
      <c r="AC7568" t="s">
        <v>4562</v>
      </c>
      <c r="AD7568" t="s">
        <v>35479</v>
      </c>
      <c r="AE7568" t="s">
        <v>4655</v>
      </c>
      <c r="AF7568" t="s">
        <v>5201</v>
      </c>
      <c r="AG7568" t="s">
        <v>4564</v>
      </c>
      <c r="AH7568" t="s">
        <v>1605</v>
      </c>
      <c r="AI7568" t="s">
        <v>1784</v>
      </c>
      <c r="AJ7568" t="s">
        <v>1785</v>
      </c>
      <c r="AK7568" t="s">
        <v>35481</v>
      </c>
      <c r="AL7568" s="13" t="s">
        <v>1899</v>
      </c>
      <c r="AM7568">
        <v>1</v>
      </c>
      <c r="AN7568" s="15" t="s">
        <v>1815</v>
      </c>
    </row>
    <row r="7569" spans="1:40" x14ac:dyDescent="0.3">
      <c r="A7569" s="10" t="str">
        <f>HYPERLINK("http://www.washoecounty.gov/assessor/cama/?parid=526-406-06&amp;CardNumber=1","526-406-06")</f>
        <v>526-406-06</v>
      </c>
      <c r="B7569" t="s">
        <v>4655</v>
      </c>
      <c r="C7569" t="s">
        <v>35482</v>
      </c>
      <c r="D7569" s="1">
        <v>40395</v>
      </c>
      <c r="E7569" s="2">
        <v>180000</v>
      </c>
      <c r="F7569" t="s">
        <v>3259</v>
      </c>
      <c r="G7569" s="17" t="str">
        <f>HYPERLINK("https://www.washoecounty.gov/assessor/cama/?command=sales&amp;parid=52640606","3909159")</f>
        <v>3909159</v>
      </c>
      <c r="H7569" t="s">
        <v>906</v>
      </c>
      <c r="I7569">
        <v>2009</v>
      </c>
      <c r="J7569">
        <v>2009</v>
      </c>
      <c r="K7569" t="s">
        <v>4554</v>
      </c>
      <c r="L7569" t="s">
        <v>3974</v>
      </c>
      <c r="M7569" s="2">
        <v>1533</v>
      </c>
      <c r="N7569" t="s">
        <v>5280</v>
      </c>
      <c r="O7569">
        <v>3</v>
      </c>
      <c r="P7569">
        <v>2</v>
      </c>
      <c r="Q7569">
        <v>1</v>
      </c>
      <c r="R7569" t="s">
        <v>5281</v>
      </c>
      <c r="S7569" t="s">
        <v>4898</v>
      </c>
      <c r="T7569" t="s">
        <v>2704</v>
      </c>
      <c r="U7569" t="s">
        <v>5631</v>
      </c>
      <c r="V7569" s="2">
        <v>469</v>
      </c>
      <c r="W7569" t="s">
        <v>4655</v>
      </c>
      <c r="X7569" s="2">
        <v>0</v>
      </c>
      <c r="Y7569">
        <v>20</v>
      </c>
      <c r="Z7569" t="s">
        <v>2048</v>
      </c>
      <c r="AA7569" s="3">
        <v>9.1827362775802598E-2</v>
      </c>
      <c r="AB7569" t="s">
        <v>35483</v>
      </c>
      <c r="AC7569" t="s">
        <v>4575</v>
      </c>
      <c r="AD7569" t="s">
        <v>35484</v>
      </c>
      <c r="AE7569" t="s">
        <v>4655</v>
      </c>
      <c r="AF7569" t="s">
        <v>5201</v>
      </c>
      <c r="AG7569" t="s">
        <v>4564</v>
      </c>
      <c r="AH7569" t="s">
        <v>1605</v>
      </c>
      <c r="AI7569" t="s">
        <v>1784</v>
      </c>
      <c r="AJ7569" t="s">
        <v>1785</v>
      </c>
      <c r="AK7569" t="s">
        <v>35485</v>
      </c>
      <c r="AL7569" s="13" t="s">
        <v>1899</v>
      </c>
      <c r="AM7569">
        <v>1</v>
      </c>
      <c r="AN7569" s="15" t="s">
        <v>1815</v>
      </c>
    </row>
    <row r="7570" spans="1:40" x14ac:dyDescent="0.3">
      <c r="A7570" s="10" t="str">
        <f>HYPERLINK("http://www.washoecounty.gov/assessor/cama/?parid=526-406-07&amp;CardNumber=1","526-406-07")</f>
        <v>526-406-07</v>
      </c>
      <c r="B7570" t="s">
        <v>4655</v>
      </c>
      <c r="C7570" t="s">
        <v>35486</v>
      </c>
      <c r="D7570" s="1">
        <v>40529</v>
      </c>
      <c r="E7570" s="2">
        <v>162000</v>
      </c>
      <c r="F7570" t="s">
        <v>4567</v>
      </c>
      <c r="G7570" s="17" t="str">
        <f>HYPERLINK("https://www.washoecounty.gov/assessor/cama/?command=sales&amp;parid=52640607","3954717")</f>
        <v>3954717</v>
      </c>
      <c r="H7570" t="s">
        <v>906</v>
      </c>
      <c r="I7570">
        <v>2009</v>
      </c>
      <c r="J7570">
        <v>2009</v>
      </c>
      <c r="K7570" t="s">
        <v>4554</v>
      </c>
      <c r="L7570" t="s">
        <v>3974</v>
      </c>
      <c r="M7570" s="2">
        <v>1853</v>
      </c>
      <c r="N7570" t="s">
        <v>5280</v>
      </c>
      <c r="O7570">
        <v>4</v>
      </c>
      <c r="P7570">
        <v>2</v>
      </c>
      <c r="Q7570">
        <v>1</v>
      </c>
      <c r="R7570" t="s">
        <v>5281</v>
      </c>
      <c r="S7570" t="s">
        <v>4898</v>
      </c>
      <c r="T7570" t="s">
        <v>2704</v>
      </c>
      <c r="U7570" t="s">
        <v>5631</v>
      </c>
      <c r="V7570" s="2">
        <v>420</v>
      </c>
      <c r="W7570" t="s">
        <v>4655</v>
      </c>
      <c r="X7570" s="2">
        <v>0</v>
      </c>
      <c r="Y7570">
        <v>20</v>
      </c>
      <c r="Z7570" t="s">
        <v>2048</v>
      </c>
      <c r="AA7570" s="3">
        <v>9.1827362775802598E-2</v>
      </c>
      <c r="AB7570" t="s">
        <v>35441</v>
      </c>
      <c r="AC7570" t="s">
        <v>4562</v>
      </c>
      <c r="AD7570" t="s">
        <v>5021</v>
      </c>
      <c r="AE7570" t="s">
        <v>4655</v>
      </c>
      <c r="AF7570" t="s">
        <v>5022</v>
      </c>
      <c r="AG7570" t="s">
        <v>1188</v>
      </c>
      <c r="AH7570" t="s">
        <v>5023</v>
      </c>
      <c r="AI7570" t="s">
        <v>1784</v>
      </c>
      <c r="AJ7570" t="s">
        <v>1785</v>
      </c>
      <c r="AK7570" t="s">
        <v>35487</v>
      </c>
      <c r="AL7570" s="13" t="s">
        <v>1899</v>
      </c>
      <c r="AM7570" s="14">
        <v>1</v>
      </c>
      <c r="AN7570" s="15" t="s">
        <v>1815</v>
      </c>
    </row>
    <row r="7571" spans="1:40" x14ac:dyDescent="0.3">
      <c r="A7571" s="10" t="str">
        <f>HYPERLINK("http://www.washoecounty.gov/assessor/cama/?parid=526-406-09&amp;CardNumber=1","526-406-09")</f>
        <v>526-406-09</v>
      </c>
      <c r="B7571" t="s">
        <v>4655</v>
      </c>
      <c r="C7571" t="s">
        <v>35488</v>
      </c>
      <c r="D7571" s="1">
        <v>40350</v>
      </c>
      <c r="E7571" s="2">
        <v>217857</v>
      </c>
      <c r="F7571" t="s">
        <v>4567</v>
      </c>
      <c r="G7571" s="17" t="str">
        <f>HYPERLINK("https://www.washoecounty.gov/assessor/cama/?command=sales&amp;parid=52640609","3893790")</f>
        <v>3893790</v>
      </c>
      <c r="H7571" t="s">
        <v>906</v>
      </c>
      <c r="I7571">
        <v>2009</v>
      </c>
      <c r="J7571">
        <v>2009</v>
      </c>
      <c r="K7571" t="s">
        <v>4554</v>
      </c>
      <c r="L7571" t="s">
        <v>3974</v>
      </c>
      <c r="M7571" s="2">
        <v>2204</v>
      </c>
      <c r="N7571" t="s">
        <v>5280</v>
      </c>
      <c r="O7571">
        <v>4</v>
      </c>
      <c r="P7571">
        <v>2</v>
      </c>
      <c r="Q7571">
        <v>1</v>
      </c>
      <c r="R7571" t="s">
        <v>5281</v>
      </c>
      <c r="S7571" t="s">
        <v>4898</v>
      </c>
      <c r="T7571" t="s">
        <v>2704</v>
      </c>
      <c r="U7571" t="s">
        <v>5631</v>
      </c>
      <c r="V7571" s="2">
        <v>420</v>
      </c>
      <c r="W7571" t="s">
        <v>4655</v>
      </c>
      <c r="X7571" s="2">
        <v>0</v>
      </c>
      <c r="Y7571">
        <v>20</v>
      </c>
      <c r="Z7571" t="s">
        <v>2048</v>
      </c>
      <c r="AA7571" s="3">
        <v>9.1827362775802598E-2</v>
      </c>
      <c r="AB7571" t="s">
        <v>35489</v>
      </c>
      <c r="AC7571" t="s">
        <v>4575</v>
      </c>
      <c r="AD7571" t="s">
        <v>35488</v>
      </c>
      <c r="AE7571" t="s">
        <v>4655</v>
      </c>
      <c r="AF7571" t="s">
        <v>5201</v>
      </c>
      <c r="AG7571" t="s">
        <v>4564</v>
      </c>
      <c r="AH7571" t="s">
        <v>1605</v>
      </c>
      <c r="AI7571" t="s">
        <v>1784</v>
      </c>
      <c r="AJ7571" t="s">
        <v>1785</v>
      </c>
      <c r="AK7571" t="s">
        <v>35490</v>
      </c>
      <c r="AL7571" s="13" t="s">
        <v>1899</v>
      </c>
      <c r="AM7571" s="14">
        <v>1</v>
      </c>
      <c r="AN7571" s="15" t="s">
        <v>1815</v>
      </c>
    </row>
    <row r="7572" spans="1:40" x14ac:dyDescent="0.3">
      <c r="A7572" s="10" t="str">
        <f>HYPERLINK("http://www.washoecounty.gov/assessor/cama/?parid=526-406-10&amp;CardNumber=1","526-406-10")</f>
        <v>526-406-10</v>
      </c>
      <c r="B7572" t="s">
        <v>4655</v>
      </c>
      <c r="C7572" t="s">
        <v>35491</v>
      </c>
      <c r="D7572" s="1">
        <v>40542</v>
      </c>
      <c r="E7572" s="2">
        <v>139950</v>
      </c>
      <c r="F7572" t="s">
        <v>4567</v>
      </c>
      <c r="G7572" s="17" t="str">
        <f>HYPERLINK("https://www.washoecounty.gov/assessor/cama/?command=sales&amp;parid=52640610","3958998")</f>
        <v>3958998</v>
      </c>
      <c r="H7572" t="s">
        <v>906</v>
      </c>
      <c r="I7572">
        <v>2010</v>
      </c>
      <c r="J7572">
        <v>2010</v>
      </c>
      <c r="K7572" t="s">
        <v>4554</v>
      </c>
      <c r="L7572" t="s">
        <v>4555</v>
      </c>
      <c r="M7572" s="2">
        <v>1275</v>
      </c>
      <c r="N7572" t="s">
        <v>5280</v>
      </c>
      <c r="O7572">
        <v>3</v>
      </c>
      <c r="P7572">
        <v>2</v>
      </c>
      <c r="Q7572">
        <v>0</v>
      </c>
      <c r="R7572" t="s">
        <v>5281</v>
      </c>
      <c r="S7572" t="s">
        <v>4898</v>
      </c>
      <c r="T7572" t="s">
        <v>2704</v>
      </c>
      <c r="U7572" t="s">
        <v>4560</v>
      </c>
      <c r="V7572" s="2">
        <v>420</v>
      </c>
      <c r="W7572" t="s">
        <v>4655</v>
      </c>
      <c r="X7572" s="2">
        <v>0</v>
      </c>
      <c r="Y7572">
        <v>20</v>
      </c>
      <c r="Z7572" t="s">
        <v>2048</v>
      </c>
      <c r="AA7572" s="3">
        <v>9.1827362775802598E-2</v>
      </c>
      <c r="AB7572" t="s">
        <v>35492</v>
      </c>
      <c r="AC7572" t="s">
        <v>4562</v>
      </c>
      <c r="AD7572" t="s">
        <v>35491</v>
      </c>
      <c r="AE7572" t="s">
        <v>4655</v>
      </c>
      <c r="AF7572" t="s">
        <v>5201</v>
      </c>
      <c r="AG7572" t="s">
        <v>4564</v>
      </c>
      <c r="AH7572" t="s">
        <v>1605</v>
      </c>
      <c r="AI7572" t="s">
        <v>1784</v>
      </c>
      <c r="AJ7572" t="s">
        <v>1785</v>
      </c>
      <c r="AK7572" t="s">
        <v>35493</v>
      </c>
      <c r="AL7572" s="13" t="s">
        <v>1899</v>
      </c>
      <c r="AM7572" s="14">
        <v>1</v>
      </c>
      <c r="AN7572" s="15" t="s">
        <v>1815</v>
      </c>
    </row>
    <row r="7573" spans="1:40" x14ac:dyDescent="0.3">
      <c r="A7573" s="10" t="str">
        <f>HYPERLINK("http://www.washoecounty.gov/assessor/cama/?parid=526-406-11&amp;CardNumber=1","526-406-11")</f>
        <v>526-406-11</v>
      </c>
      <c r="B7573" t="s">
        <v>4655</v>
      </c>
      <c r="C7573" t="s">
        <v>35494</v>
      </c>
      <c r="D7573" s="1">
        <v>40357</v>
      </c>
      <c r="E7573" s="2">
        <v>187704</v>
      </c>
      <c r="F7573" t="s">
        <v>4567</v>
      </c>
      <c r="G7573" s="17" t="str">
        <f>HYPERLINK("https://www.washoecounty.gov/assessor/cama/?command=sales&amp;parid=52640611","3896074")</f>
        <v>3896074</v>
      </c>
      <c r="H7573" t="s">
        <v>906</v>
      </c>
      <c r="I7573">
        <v>2010</v>
      </c>
      <c r="J7573">
        <v>2010</v>
      </c>
      <c r="K7573" t="s">
        <v>4554</v>
      </c>
      <c r="L7573" t="s">
        <v>4555</v>
      </c>
      <c r="M7573" s="2">
        <v>1805</v>
      </c>
      <c r="N7573" t="s">
        <v>5280</v>
      </c>
      <c r="O7573">
        <v>3</v>
      </c>
      <c r="P7573">
        <v>2</v>
      </c>
      <c r="Q7573">
        <v>1</v>
      </c>
      <c r="R7573" t="s">
        <v>5281</v>
      </c>
      <c r="S7573" t="s">
        <v>4898</v>
      </c>
      <c r="T7573" t="s">
        <v>2704</v>
      </c>
      <c r="U7573" t="s">
        <v>5631</v>
      </c>
      <c r="V7573" s="2">
        <v>469</v>
      </c>
      <c r="W7573" t="s">
        <v>4655</v>
      </c>
      <c r="X7573" s="2">
        <v>0</v>
      </c>
      <c r="Y7573">
        <v>20</v>
      </c>
      <c r="Z7573" t="s">
        <v>2048</v>
      </c>
      <c r="AA7573" s="3">
        <v>9.7199268639087705E-2</v>
      </c>
      <c r="AB7573" t="s">
        <v>35495</v>
      </c>
      <c r="AC7573" t="s">
        <v>4562</v>
      </c>
      <c r="AD7573" t="s">
        <v>35496</v>
      </c>
      <c r="AE7573" t="s">
        <v>4655</v>
      </c>
      <c r="AF7573" t="s">
        <v>4809</v>
      </c>
      <c r="AG7573" t="s">
        <v>4564</v>
      </c>
      <c r="AH7573" t="s">
        <v>1605</v>
      </c>
      <c r="AI7573" t="s">
        <v>1784</v>
      </c>
      <c r="AJ7573" t="s">
        <v>1785</v>
      </c>
      <c r="AK7573" t="s">
        <v>35497</v>
      </c>
      <c r="AL7573" s="13" t="s">
        <v>1899</v>
      </c>
      <c r="AM7573">
        <v>1</v>
      </c>
      <c r="AN7573" s="15" t="s">
        <v>1815</v>
      </c>
    </row>
    <row r="7574" spans="1:40" x14ac:dyDescent="0.3">
      <c r="A7574" s="10" t="str">
        <f>HYPERLINK("http://www.washoecounty.gov/assessor/cama/?parid=526-431-18&amp;CardNumber=1","526-431-18")</f>
        <v>526-431-18</v>
      </c>
      <c r="B7574" t="s">
        <v>4655</v>
      </c>
      <c r="C7574" t="s">
        <v>5092</v>
      </c>
      <c r="D7574" s="1">
        <v>40282</v>
      </c>
      <c r="E7574" s="2">
        <v>84000</v>
      </c>
      <c r="F7574" t="s">
        <v>2900</v>
      </c>
      <c r="G7574" s="17" t="str">
        <f>HYPERLINK("https://www.washoecounty.gov/assessor/cama/?command=sales&amp;parid=52643118","3870967")</f>
        <v>3870967</v>
      </c>
      <c r="H7574" t="s">
        <v>903</v>
      </c>
      <c r="I7574">
        <v>2010</v>
      </c>
      <c r="J7574">
        <v>2010</v>
      </c>
      <c r="K7574" t="s">
        <v>4554</v>
      </c>
      <c r="L7574" t="s">
        <v>4555</v>
      </c>
      <c r="M7574" s="2">
        <v>2440</v>
      </c>
      <c r="N7574" t="s">
        <v>5280</v>
      </c>
      <c r="O7574">
        <v>4</v>
      </c>
      <c r="P7574">
        <v>2</v>
      </c>
      <c r="Q7574">
        <v>0</v>
      </c>
      <c r="R7574" t="s">
        <v>5281</v>
      </c>
      <c r="S7574" t="s">
        <v>4898</v>
      </c>
      <c r="T7574" t="s">
        <v>4559</v>
      </c>
      <c r="U7574" t="s">
        <v>4560</v>
      </c>
      <c r="V7574" s="2">
        <v>714</v>
      </c>
      <c r="W7574" t="s">
        <v>4655</v>
      </c>
      <c r="X7574" s="2">
        <v>0</v>
      </c>
      <c r="Y7574">
        <v>12</v>
      </c>
      <c r="Z7574" t="s">
        <v>2048</v>
      </c>
      <c r="AA7574" s="3">
        <v>0.22605600953102101</v>
      </c>
      <c r="AB7574" t="s">
        <v>5725</v>
      </c>
      <c r="AC7574" t="s">
        <v>4562</v>
      </c>
      <c r="AD7574" t="s">
        <v>5092</v>
      </c>
      <c r="AE7574" t="s">
        <v>4655</v>
      </c>
      <c r="AF7574" t="s">
        <v>5201</v>
      </c>
      <c r="AG7574" t="s">
        <v>4564</v>
      </c>
      <c r="AH7574" t="s">
        <v>5202</v>
      </c>
      <c r="AI7574" t="s">
        <v>904</v>
      </c>
      <c r="AJ7574" t="s">
        <v>905</v>
      </c>
      <c r="AK7574" t="s">
        <v>5093</v>
      </c>
      <c r="AL7574" s="13" t="s">
        <v>1899</v>
      </c>
      <c r="AM7574">
        <v>1</v>
      </c>
      <c r="AN7574" s="15" t="s">
        <v>2036</v>
      </c>
    </row>
    <row r="7575" spans="1:40" x14ac:dyDescent="0.3">
      <c r="A7575" s="10" t="str">
        <f>HYPERLINK("http://www.washoecounty.gov/assessor/cama/?parid=526-431-19&amp;CardNumber=1","526-431-19")</f>
        <v>526-431-19</v>
      </c>
      <c r="B7575" t="s">
        <v>4655</v>
      </c>
      <c r="C7575" t="s">
        <v>5094</v>
      </c>
      <c r="D7575" s="1">
        <v>40282</v>
      </c>
      <c r="E7575" s="2">
        <v>84000</v>
      </c>
      <c r="F7575" t="s">
        <v>2900</v>
      </c>
      <c r="G7575" s="17" t="str">
        <f>HYPERLINK("https://www.washoecounty.gov/assessor/cama/?command=sales&amp;parid=52643119","3870967")</f>
        <v>3870967</v>
      </c>
      <c r="H7575" t="s">
        <v>903</v>
      </c>
      <c r="I7575">
        <v>2010</v>
      </c>
      <c r="J7575">
        <v>2010</v>
      </c>
      <c r="K7575" t="s">
        <v>4554</v>
      </c>
      <c r="L7575" t="s">
        <v>4555</v>
      </c>
      <c r="M7575" s="2">
        <v>2405</v>
      </c>
      <c r="N7575" t="s">
        <v>5280</v>
      </c>
      <c r="O7575">
        <v>4</v>
      </c>
      <c r="P7575">
        <v>2</v>
      </c>
      <c r="Q7575">
        <v>0</v>
      </c>
      <c r="R7575" t="s">
        <v>5281</v>
      </c>
      <c r="S7575" t="s">
        <v>4898</v>
      </c>
      <c r="T7575" t="s">
        <v>4559</v>
      </c>
      <c r="U7575" t="s">
        <v>4560</v>
      </c>
      <c r="V7575" s="2">
        <v>736</v>
      </c>
      <c r="W7575" t="s">
        <v>4655</v>
      </c>
      <c r="X7575" s="2">
        <v>0</v>
      </c>
      <c r="Y7575">
        <v>12</v>
      </c>
      <c r="Z7575" t="s">
        <v>2048</v>
      </c>
      <c r="AA7575" s="3">
        <v>0.22731864452362061</v>
      </c>
      <c r="AB7575" t="s">
        <v>5701</v>
      </c>
      <c r="AC7575" t="s">
        <v>4562</v>
      </c>
      <c r="AD7575" t="s">
        <v>5094</v>
      </c>
      <c r="AE7575" t="s">
        <v>4655</v>
      </c>
      <c r="AF7575" t="s">
        <v>5201</v>
      </c>
      <c r="AG7575" t="s">
        <v>4564</v>
      </c>
      <c r="AH7575" t="s">
        <v>1605</v>
      </c>
      <c r="AI7575" t="s">
        <v>904</v>
      </c>
      <c r="AJ7575" t="s">
        <v>905</v>
      </c>
      <c r="AK7575" t="s">
        <v>5095</v>
      </c>
      <c r="AL7575" s="13" t="s">
        <v>1899</v>
      </c>
      <c r="AM7575" s="14">
        <v>1</v>
      </c>
      <c r="AN7575" s="15" t="s">
        <v>2036</v>
      </c>
    </row>
    <row r="7576" spans="1:40" x14ac:dyDescent="0.3">
      <c r="A7576" s="10" t="str">
        <f>HYPERLINK("http://www.washoecounty.gov/assessor/cama/?parid=526-431-20&amp;CardNumber=1","526-431-20")</f>
        <v>526-431-20</v>
      </c>
      <c r="B7576" t="s">
        <v>4655</v>
      </c>
      <c r="C7576" t="s">
        <v>3501</v>
      </c>
      <c r="D7576" s="1">
        <v>40345</v>
      </c>
      <c r="E7576" s="2">
        <v>42000</v>
      </c>
      <c r="F7576" t="s">
        <v>4201</v>
      </c>
      <c r="G7576" s="17" t="str">
        <f>HYPERLINK("https://www.washoecounty.gov/assessor/cama/?command=sales&amp;parid=52643120","3892248")</f>
        <v>3892248</v>
      </c>
      <c r="H7576" t="s">
        <v>903</v>
      </c>
      <c r="I7576">
        <v>2010</v>
      </c>
      <c r="J7576">
        <v>2010</v>
      </c>
      <c r="K7576" t="s">
        <v>4554</v>
      </c>
      <c r="L7576" t="s">
        <v>4555</v>
      </c>
      <c r="M7576" s="2">
        <v>1842</v>
      </c>
      <c r="N7576" t="s">
        <v>5280</v>
      </c>
      <c r="O7576">
        <v>4</v>
      </c>
      <c r="P7576">
        <v>2</v>
      </c>
      <c r="Q7576">
        <v>0</v>
      </c>
      <c r="R7576" t="s">
        <v>5281</v>
      </c>
      <c r="S7576" t="s">
        <v>4898</v>
      </c>
      <c r="T7576" t="s">
        <v>4559</v>
      </c>
      <c r="U7576" t="s">
        <v>4560</v>
      </c>
      <c r="V7576" s="2">
        <v>686</v>
      </c>
      <c r="W7576" t="s">
        <v>4655</v>
      </c>
      <c r="X7576" s="2">
        <v>0</v>
      </c>
      <c r="Y7576">
        <v>12</v>
      </c>
      <c r="Z7576" t="s">
        <v>2048</v>
      </c>
      <c r="AA7576" s="3">
        <v>0.25567033886909502</v>
      </c>
      <c r="AB7576" t="s">
        <v>904</v>
      </c>
      <c r="AC7576" t="s">
        <v>4562</v>
      </c>
      <c r="AD7576" t="s">
        <v>35498</v>
      </c>
      <c r="AE7576" t="s">
        <v>35499</v>
      </c>
      <c r="AF7576" t="s">
        <v>4563</v>
      </c>
      <c r="AG7576" t="s">
        <v>4564</v>
      </c>
      <c r="AH7576" t="s">
        <v>5197</v>
      </c>
      <c r="AI7576" t="s">
        <v>35500</v>
      </c>
      <c r="AJ7576" t="s">
        <v>905</v>
      </c>
      <c r="AK7576" t="s">
        <v>3502</v>
      </c>
      <c r="AL7576" s="13" t="s">
        <v>1899</v>
      </c>
      <c r="AM7576" s="14">
        <v>1</v>
      </c>
      <c r="AN7576" s="15" t="s">
        <v>2036</v>
      </c>
    </row>
    <row r="7577" spans="1:40" x14ac:dyDescent="0.3">
      <c r="A7577" s="10" t="str">
        <f>HYPERLINK("http://www.washoecounty.gov/assessor/cama/?parid=526-431-21&amp;CardNumber=1","526-431-21")</f>
        <v>526-431-21</v>
      </c>
      <c r="B7577" t="s">
        <v>4655</v>
      </c>
      <c r="C7577" t="s">
        <v>35501</v>
      </c>
      <c r="D7577" s="1">
        <v>40232</v>
      </c>
      <c r="E7577" s="2">
        <v>42000</v>
      </c>
      <c r="F7577" t="s">
        <v>4187</v>
      </c>
      <c r="G7577" s="17" t="str">
        <f>HYPERLINK("https://www.washoecounty.gov/assessor/cama/?command=sales&amp;parid=52643121","3851824")</f>
        <v>3851824</v>
      </c>
      <c r="H7577" t="s">
        <v>903</v>
      </c>
      <c r="I7577">
        <v>2010</v>
      </c>
      <c r="J7577">
        <v>2010</v>
      </c>
      <c r="K7577" t="s">
        <v>4554</v>
      </c>
      <c r="L7577" t="s">
        <v>4555</v>
      </c>
      <c r="M7577" s="2">
        <v>1814</v>
      </c>
      <c r="N7577" t="s">
        <v>5280</v>
      </c>
      <c r="O7577">
        <v>3</v>
      </c>
      <c r="P7577">
        <v>2</v>
      </c>
      <c r="Q7577">
        <v>0</v>
      </c>
      <c r="R7577" t="s">
        <v>5281</v>
      </c>
      <c r="S7577" t="s">
        <v>4898</v>
      </c>
      <c r="T7577" t="s">
        <v>4559</v>
      </c>
      <c r="U7577" t="s">
        <v>4560</v>
      </c>
      <c r="V7577" s="2">
        <v>667</v>
      </c>
      <c r="W7577" t="s">
        <v>4655</v>
      </c>
      <c r="X7577" s="2">
        <v>0</v>
      </c>
      <c r="Y7577">
        <v>12</v>
      </c>
      <c r="Z7577" t="s">
        <v>2048</v>
      </c>
      <c r="AA7577" s="3">
        <v>0.27084481716156</v>
      </c>
      <c r="AB7577" t="s">
        <v>35502</v>
      </c>
      <c r="AC7577" t="s">
        <v>4562</v>
      </c>
      <c r="AD7577" t="s">
        <v>35503</v>
      </c>
      <c r="AE7577" t="s">
        <v>4655</v>
      </c>
      <c r="AF7577" t="s">
        <v>4809</v>
      </c>
      <c r="AG7577" t="s">
        <v>4564</v>
      </c>
      <c r="AH7577" t="s">
        <v>1605</v>
      </c>
      <c r="AI7577" t="s">
        <v>904</v>
      </c>
      <c r="AJ7577" t="s">
        <v>905</v>
      </c>
      <c r="AK7577" t="s">
        <v>35504</v>
      </c>
      <c r="AL7577" s="13" t="s">
        <v>1899</v>
      </c>
      <c r="AM7577" s="14">
        <v>1</v>
      </c>
      <c r="AN7577" s="15" t="s">
        <v>2036</v>
      </c>
    </row>
    <row r="7578" spans="1:40" x14ac:dyDescent="0.3">
      <c r="A7578" s="10" t="str">
        <f>HYPERLINK("http://www.washoecounty.gov/assessor/cama/?parid=526-431-21&amp;CardNumber=1","526-431-21")</f>
        <v>526-431-21</v>
      </c>
      <c r="B7578" t="s">
        <v>4655</v>
      </c>
      <c r="C7578" t="s">
        <v>35501</v>
      </c>
      <c r="D7578" s="1">
        <v>40494</v>
      </c>
      <c r="E7578" s="2">
        <v>246115</v>
      </c>
      <c r="F7578" t="s">
        <v>4567</v>
      </c>
      <c r="G7578" s="17" t="str">
        <f>HYPERLINK("https://www.washoecounty.gov/assessor/cama/?command=sales&amp;parid=52643121","3942404")</f>
        <v>3942404</v>
      </c>
      <c r="H7578" t="s">
        <v>903</v>
      </c>
      <c r="I7578">
        <v>2010</v>
      </c>
      <c r="J7578">
        <v>2010</v>
      </c>
      <c r="K7578" t="s">
        <v>4554</v>
      </c>
      <c r="L7578" t="s">
        <v>4555</v>
      </c>
      <c r="M7578" s="2">
        <v>1814</v>
      </c>
      <c r="N7578" t="s">
        <v>5280</v>
      </c>
      <c r="O7578">
        <v>3</v>
      </c>
      <c r="P7578">
        <v>2</v>
      </c>
      <c r="Q7578">
        <v>0</v>
      </c>
      <c r="R7578" t="s">
        <v>5281</v>
      </c>
      <c r="S7578" t="s">
        <v>4898</v>
      </c>
      <c r="T7578" t="s">
        <v>4559</v>
      </c>
      <c r="U7578" t="s">
        <v>4560</v>
      </c>
      <c r="V7578" s="2">
        <v>667</v>
      </c>
      <c r="W7578" t="s">
        <v>4655</v>
      </c>
      <c r="X7578" s="2">
        <v>0</v>
      </c>
      <c r="Y7578">
        <v>20</v>
      </c>
      <c r="Z7578" t="s">
        <v>2048</v>
      </c>
      <c r="AA7578" s="3">
        <v>0.27084481716156</v>
      </c>
      <c r="AB7578" t="s">
        <v>35502</v>
      </c>
      <c r="AC7578" t="s">
        <v>4562</v>
      </c>
      <c r="AD7578" t="s">
        <v>35503</v>
      </c>
      <c r="AE7578" t="s">
        <v>4655</v>
      </c>
      <c r="AF7578" t="s">
        <v>4809</v>
      </c>
      <c r="AG7578" t="s">
        <v>4564</v>
      </c>
      <c r="AH7578" t="s">
        <v>1605</v>
      </c>
      <c r="AI7578" t="s">
        <v>904</v>
      </c>
      <c r="AJ7578" t="s">
        <v>905</v>
      </c>
      <c r="AK7578" t="s">
        <v>35504</v>
      </c>
      <c r="AL7578" s="13" t="s">
        <v>1899</v>
      </c>
      <c r="AM7578">
        <v>1</v>
      </c>
      <c r="AN7578" s="15" t="s">
        <v>2036</v>
      </c>
    </row>
    <row r="7579" spans="1:40" x14ac:dyDescent="0.3">
      <c r="A7579" s="10" t="str">
        <f>HYPERLINK("http://www.washoecounty.gov/assessor/cama/?parid=526-471-02&amp;CardNumber=1","526-471-02")</f>
        <v>526-471-02</v>
      </c>
      <c r="B7579" t="s">
        <v>4655</v>
      </c>
      <c r="C7579" t="s">
        <v>35505</v>
      </c>
      <c r="D7579" s="1">
        <v>40443</v>
      </c>
      <c r="E7579" s="2">
        <v>165000</v>
      </c>
      <c r="F7579" t="s">
        <v>4567</v>
      </c>
      <c r="G7579" s="17" t="str">
        <f>HYPERLINK("https://www.washoecounty.gov/assessor/cama/?command=sales&amp;parid=52647102","3924971")</f>
        <v>3924971</v>
      </c>
      <c r="H7579" t="s">
        <v>1056</v>
      </c>
      <c r="I7579">
        <v>2007</v>
      </c>
      <c r="J7579">
        <v>2007</v>
      </c>
      <c r="K7579" t="s">
        <v>4554</v>
      </c>
      <c r="L7579" t="s">
        <v>4555</v>
      </c>
      <c r="M7579" s="2">
        <v>1614</v>
      </c>
      <c r="N7579" t="s">
        <v>5280</v>
      </c>
      <c r="O7579">
        <v>3</v>
      </c>
      <c r="P7579">
        <v>2</v>
      </c>
      <c r="Q7579">
        <v>0</v>
      </c>
      <c r="R7579" t="s">
        <v>4557</v>
      </c>
      <c r="S7579" t="s">
        <v>4898</v>
      </c>
      <c r="T7579" t="s">
        <v>2704</v>
      </c>
      <c r="U7579" t="s">
        <v>4560</v>
      </c>
      <c r="V7579" s="2">
        <v>532</v>
      </c>
      <c r="W7579" t="s">
        <v>4655</v>
      </c>
      <c r="X7579" s="2">
        <v>0</v>
      </c>
      <c r="Y7579">
        <v>20</v>
      </c>
      <c r="Z7579" t="s">
        <v>2048</v>
      </c>
      <c r="AA7579" s="3">
        <v>0.16251148283481601</v>
      </c>
      <c r="AB7579" t="s">
        <v>35506</v>
      </c>
      <c r="AC7579" t="s">
        <v>4562</v>
      </c>
      <c r="AD7579" t="s">
        <v>35505</v>
      </c>
      <c r="AE7579" t="s">
        <v>4655</v>
      </c>
      <c r="AF7579" t="s">
        <v>5201</v>
      </c>
      <c r="AG7579" t="s">
        <v>4564</v>
      </c>
      <c r="AH7579" t="s">
        <v>1605</v>
      </c>
      <c r="AI7579" t="s">
        <v>35507</v>
      </c>
      <c r="AJ7579" t="s">
        <v>1057</v>
      </c>
      <c r="AK7579" t="s">
        <v>35508</v>
      </c>
      <c r="AL7579" s="13" t="s">
        <v>1899</v>
      </c>
      <c r="AM7579">
        <v>1</v>
      </c>
      <c r="AN7579" s="15" t="s">
        <v>1058</v>
      </c>
    </row>
    <row r="7580" spans="1:40" x14ac:dyDescent="0.3">
      <c r="A7580" s="10" t="str">
        <f>HYPERLINK("http://www.washoecounty.gov/assessor/cama/?parid=526-471-06&amp;CardNumber=1","526-471-06")</f>
        <v>526-471-06</v>
      </c>
      <c r="B7580" t="s">
        <v>4655</v>
      </c>
      <c r="C7580" t="s">
        <v>35509</v>
      </c>
      <c r="D7580" s="1">
        <v>40444</v>
      </c>
      <c r="E7580" s="2">
        <v>140100</v>
      </c>
      <c r="F7580" t="s">
        <v>4553</v>
      </c>
      <c r="G7580" s="17" t="str">
        <f>HYPERLINK("https://www.washoecounty.gov/assessor/cama/?command=sales&amp;parid=52647106","3925265")</f>
        <v>3925265</v>
      </c>
      <c r="H7580" t="s">
        <v>1056</v>
      </c>
      <c r="I7580">
        <v>2007</v>
      </c>
      <c r="J7580">
        <v>2007</v>
      </c>
      <c r="K7580" t="s">
        <v>4554</v>
      </c>
      <c r="L7580" t="s">
        <v>4555</v>
      </c>
      <c r="M7580" s="2">
        <v>1261</v>
      </c>
      <c r="N7580" t="s">
        <v>5280</v>
      </c>
      <c r="O7580">
        <v>3</v>
      </c>
      <c r="P7580">
        <v>2</v>
      </c>
      <c r="Q7580">
        <v>0</v>
      </c>
      <c r="R7580" t="s">
        <v>5281</v>
      </c>
      <c r="S7580" t="s">
        <v>4898</v>
      </c>
      <c r="T7580" t="s">
        <v>2704</v>
      </c>
      <c r="U7580" t="s">
        <v>4560</v>
      </c>
      <c r="V7580" s="2">
        <v>449</v>
      </c>
      <c r="W7580" t="s">
        <v>4655</v>
      </c>
      <c r="X7580" s="2">
        <v>0</v>
      </c>
      <c r="Y7580">
        <v>20</v>
      </c>
      <c r="Z7580" t="s">
        <v>2048</v>
      </c>
      <c r="AA7580" s="3">
        <v>0.166988059878349</v>
      </c>
      <c r="AB7580" t="s">
        <v>35510</v>
      </c>
      <c r="AC7580" t="s">
        <v>4562</v>
      </c>
      <c r="AD7580" t="s">
        <v>35509</v>
      </c>
      <c r="AE7580" t="s">
        <v>4655</v>
      </c>
      <c r="AF7580" t="s">
        <v>5201</v>
      </c>
      <c r="AG7580" t="s">
        <v>4564</v>
      </c>
      <c r="AH7580" t="s">
        <v>1605</v>
      </c>
      <c r="AI7580" t="s">
        <v>35511</v>
      </c>
      <c r="AJ7580" t="s">
        <v>1057</v>
      </c>
      <c r="AK7580" t="s">
        <v>35512</v>
      </c>
      <c r="AL7580" s="13" t="s">
        <v>1899</v>
      </c>
      <c r="AM7580">
        <v>1</v>
      </c>
      <c r="AN7580" s="15" t="s">
        <v>1058</v>
      </c>
    </row>
    <row r="7581" spans="1:40" x14ac:dyDescent="0.3">
      <c r="A7581" s="10" t="str">
        <f>HYPERLINK("http://www.washoecounty.gov/assessor/cama/?parid=526-473-20&amp;CardNumber=1","526-473-20")</f>
        <v>526-473-20</v>
      </c>
      <c r="B7581" t="s">
        <v>4655</v>
      </c>
      <c r="C7581" t="s">
        <v>35513</v>
      </c>
      <c r="D7581" s="1">
        <v>40452</v>
      </c>
      <c r="E7581" s="2">
        <v>98000</v>
      </c>
      <c r="F7581" t="s">
        <v>4553</v>
      </c>
      <c r="G7581" s="17" t="str">
        <f>HYPERLINK("https://www.washoecounty.gov/assessor/cama/?command=sales&amp;parid=52647320","3928589")</f>
        <v>3928589</v>
      </c>
      <c r="H7581" t="s">
        <v>1056</v>
      </c>
      <c r="I7581">
        <v>2007</v>
      </c>
      <c r="J7581">
        <v>2007</v>
      </c>
      <c r="K7581" t="s">
        <v>4554</v>
      </c>
      <c r="L7581" t="s">
        <v>4555</v>
      </c>
      <c r="M7581" s="2">
        <v>1261</v>
      </c>
      <c r="N7581" t="s">
        <v>5280</v>
      </c>
      <c r="O7581">
        <v>2</v>
      </c>
      <c r="P7581">
        <v>2</v>
      </c>
      <c r="Q7581">
        <v>0</v>
      </c>
      <c r="R7581" t="s">
        <v>5281</v>
      </c>
      <c r="S7581" t="s">
        <v>4898</v>
      </c>
      <c r="T7581" t="s">
        <v>2704</v>
      </c>
      <c r="U7581" t="s">
        <v>4560</v>
      </c>
      <c r="V7581" s="2">
        <v>449</v>
      </c>
      <c r="W7581" t="s">
        <v>4655</v>
      </c>
      <c r="X7581" s="2">
        <v>0</v>
      </c>
      <c r="Y7581">
        <v>20</v>
      </c>
      <c r="Z7581" t="s">
        <v>2048</v>
      </c>
      <c r="AA7581" s="3">
        <v>0.21694214642047899</v>
      </c>
      <c r="AB7581" t="s">
        <v>35483</v>
      </c>
      <c r="AC7581" t="s">
        <v>4575</v>
      </c>
      <c r="AD7581" t="s">
        <v>35513</v>
      </c>
      <c r="AE7581" t="s">
        <v>4655</v>
      </c>
      <c r="AF7581" t="s">
        <v>4809</v>
      </c>
      <c r="AG7581" t="s">
        <v>4564</v>
      </c>
      <c r="AH7581" t="s">
        <v>1605</v>
      </c>
      <c r="AI7581" t="s">
        <v>3282</v>
      </c>
      <c r="AJ7581" t="s">
        <v>1057</v>
      </c>
      <c r="AK7581" t="s">
        <v>35514</v>
      </c>
      <c r="AL7581" s="13" t="s">
        <v>1899</v>
      </c>
      <c r="AM7581" s="14">
        <v>1</v>
      </c>
      <c r="AN7581" s="15" t="s">
        <v>1058</v>
      </c>
    </row>
    <row r="7582" spans="1:40" x14ac:dyDescent="0.3">
      <c r="A7582" s="10" t="str">
        <f>HYPERLINK("http://www.washoecounty.gov/assessor/cama/?parid=526-473-20&amp;CardNumber=1","526-473-20")</f>
        <v>526-473-20</v>
      </c>
      <c r="B7582" t="s">
        <v>4655</v>
      </c>
      <c r="C7582" t="s">
        <v>35513</v>
      </c>
      <c r="D7582" s="1">
        <v>40483</v>
      </c>
      <c r="E7582" s="2">
        <v>139000</v>
      </c>
      <c r="F7582" t="s">
        <v>4567</v>
      </c>
      <c r="G7582" s="17" t="str">
        <f>HYPERLINK("https://www.washoecounty.gov/assessor/cama/?command=sales&amp;parid=52647320","3938429")</f>
        <v>3938429</v>
      </c>
      <c r="H7582" t="s">
        <v>1056</v>
      </c>
      <c r="I7582">
        <v>2007</v>
      </c>
      <c r="J7582">
        <v>2007</v>
      </c>
      <c r="K7582" t="s">
        <v>4554</v>
      </c>
      <c r="L7582" t="s">
        <v>4555</v>
      </c>
      <c r="M7582" s="2">
        <v>1261</v>
      </c>
      <c r="N7582" t="s">
        <v>5280</v>
      </c>
      <c r="O7582">
        <v>2</v>
      </c>
      <c r="P7582">
        <v>2</v>
      </c>
      <c r="Q7582">
        <v>0</v>
      </c>
      <c r="R7582" t="s">
        <v>5281</v>
      </c>
      <c r="S7582" t="s">
        <v>4898</v>
      </c>
      <c r="T7582" t="s">
        <v>2704</v>
      </c>
      <c r="U7582" t="s">
        <v>4560</v>
      </c>
      <c r="V7582" s="2">
        <v>449</v>
      </c>
      <c r="W7582" t="s">
        <v>4655</v>
      </c>
      <c r="X7582" s="2">
        <v>0</v>
      </c>
      <c r="Y7582">
        <v>20</v>
      </c>
      <c r="Z7582" t="s">
        <v>2048</v>
      </c>
      <c r="AA7582" s="3">
        <v>0.21694214642047899</v>
      </c>
      <c r="AB7582" t="s">
        <v>35483</v>
      </c>
      <c r="AC7582" t="s">
        <v>4575</v>
      </c>
      <c r="AD7582" t="s">
        <v>35513</v>
      </c>
      <c r="AE7582" t="s">
        <v>4655</v>
      </c>
      <c r="AF7582" t="s">
        <v>4809</v>
      </c>
      <c r="AG7582" t="s">
        <v>4564</v>
      </c>
      <c r="AH7582" t="s">
        <v>1605</v>
      </c>
      <c r="AI7582" t="s">
        <v>3282</v>
      </c>
      <c r="AJ7582" t="s">
        <v>1057</v>
      </c>
      <c r="AK7582" t="s">
        <v>35514</v>
      </c>
      <c r="AL7582" s="13" t="s">
        <v>1899</v>
      </c>
      <c r="AM7582" s="14">
        <v>1</v>
      </c>
      <c r="AN7582" s="15" t="s">
        <v>1058</v>
      </c>
    </row>
    <row r="7583" spans="1:40" x14ac:dyDescent="0.3">
      <c r="A7583" s="10" t="str">
        <f>HYPERLINK("http://www.washoecounty.gov/assessor/cama/?parid=526-481-09&amp;CardNumber=1","526-481-09")</f>
        <v>526-481-09</v>
      </c>
      <c r="B7583" t="s">
        <v>4655</v>
      </c>
      <c r="C7583" t="s">
        <v>35515</v>
      </c>
      <c r="D7583" s="1">
        <v>40255</v>
      </c>
      <c r="E7583" s="2">
        <v>175000</v>
      </c>
      <c r="F7583" t="s">
        <v>4567</v>
      </c>
      <c r="G7583" s="17" t="str">
        <f>HYPERLINK("https://www.washoecounty.gov/assessor/cama/?command=sales&amp;parid=52648109","3861273")</f>
        <v>3861273</v>
      </c>
      <c r="H7583" t="s">
        <v>1056</v>
      </c>
      <c r="I7583">
        <v>2007</v>
      </c>
      <c r="J7583">
        <v>2007</v>
      </c>
      <c r="K7583" t="s">
        <v>4554</v>
      </c>
      <c r="L7583" t="s">
        <v>4555</v>
      </c>
      <c r="M7583" s="2">
        <v>1431</v>
      </c>
      <c r="N7583" t="s">
        <v>5280</v>
      </c>
      <c r="O7583">
        <v>3</v>
      </c>
      <c r="P7583">
        <v>2</v>
      </c>
      <c r="Q7583">
        <v>0</v>
      </c>
      <c r="R7583" t="s">
        <v>5281</v>
      </c>
      <c r="S7583" t="s">
        <v>4898</v>
      </c>
      <c r="T7583" t="s">
        <v>2704</v>
      </c>
      <c r="U7583" t="s">
        <v>4560</v>
      </c>
      <c r="V7583" s="2">
        <v>484</v>
      </c>
      <c r="W7583" t="s">
        <v>4655</v>
      </c>
      <c r="X7583" s="2">
        <v>0</v>
      </c>
      <c r="Y7583">
        <v>20</v>
      </c>
      <c r="Z7583" t="s">
        <v>2048</v>
      </c>
      <c r="AA7583" s="3">
        <v>0.16478420794010201</v>
      </c>
      <c r="AB7583" t="s">
        <v>35516</v>
      </c>
      <c r="AC7583" t="s">
        <v>4562</v>
      </c>
      <c r="AD7583" t="s">
        <v>35515</v>
      </c>
      <c r="AE7583" t="s">
        <v>4655</v>
      </c>
      <c r="AF7583" t="s">
        <v>5201</v>
      </c>
      <c r="AG7583" t="s">
        <v>4564</v>
      </c>
      <c r="AH7583" t="s">
        <v>1605</v>
      </c>
      <c r="AI7583" t="s">
        <v>35517</v>
      </c>
      <c r="AJ7583" t="s">
        <v>1057</v>
      </c>
      <c r="AK7583" t="s">
        <v>35518</v>
      </c>
      <c r="AL7583" s="13" t="s">
        <v>1899</v>
      </c>
      <c r="AM7583">
        <v>1</v>
      </c>
      <c r="AN7583" s="15" t="s">
        <v>1058</v>
      </c>
    </row>
    <row r="7584" spans="1:40" x14ac:dyDescent="0.3">
      <c r="A7584" s="10" t="str">
        <f>HYPERLINK("http://www.washoecounty.gov/assessor/cama/?parid=526-481-19&amp;CardNumber=1","526-481-19")</f>
        <v>526-481-19</v>
      </c>
      <c r="B7584" t="s">
        <v>4655</v>
      </c>
      <c r="C7584" t="s">
        <v>35519</v>
      </c>
      <c r="D7584" s="1">
        <v>40289</v>
      </c>
      <c r="E7584" s="2">
        <v>170000</v>
      </c>
      <c r="F7584" t="s">
        <v>4567</v>
      </c>
      <c r="G7584" s="17" t="str">
        <f>HYPERLINK("https://www.washoecounty.gov/assessor/cama/?command=sales&amp;parid=52648119","3873371")</f>
        <v>3873371</v>
      </c>
      <c r="H7584" t="s">
        <v>1056</v>
      </c>
      <c r="I7584">
        <v>2007</v>
      </c>
      <c r="J7584">
        <v>2007</v>
      </c>
      <c r="K7584" t="s">
        <v>4554</v>
      </c>
      <c r="L7584" t="s">
        <v>4555</v>
      </c>
      <c r="M7584" s="2">
        <v>1261</v>
      </c>
      <c r="N7584" t="s">
        <v>5280</v>
      </c>
      <c r="O7584">
        <v>3</v>
      </c>
      <c r="P7584">
        <v>2</v>
      </c>
      <c r="Q7584">
        <v>0</v>
      </c>
      <c r="R7584" t="s">
        <v>5281</v>
      </c>
      <c r="S7584" t="s">
        <v>4898</v>
      </c>
      <c r="T7584" t="s">
        <v>2704</v>
      </c>
      <c r="U7584" t="s">
        <v>4560</v>
      </c>
      <c r="V7584" s="2">
        <v>449</v>
      </c>
      <c r="W7584" t="s">
        <v>4655</v>
      </c>
      <c r="X7584" s="2">
        <v>0</v>
      </c>
      <c r="Y7584">
        <v>20</v>
      </c>
      <c r="Z7584" t="s">
        <v>2048</v>
      </c>
      <c r="AA7584" s="3">
        <v>0.16827364265918732</v>
      </c>
      <c r="AB7584" t="s">
        <v>35520</v>
      </c>
      <c r="AC7584" t="s">
        <v>4562</v>
      </c>
      <c r="AD7584" t="s">
        <v>35519</v>
      </c>
      <c r="AE7584" t="s">
        <v>4655</v>
      </c>
      <c r="AF7584" t="s">
        <v>5201</v>
      </c>
      <c r="AG7584" t="s">
        <v>4564</v>
      </c>
      <c r="AH7584" t="s">
        <v>1605</v>
      </c>
      <c r="AI7584" t="s">
        <v>35521</v>
      </c>
      <c r="AJ7584" t="s">
        <v>1057</v>
      </c>
      <c r="AK7584" t="s">
        <v>35522</v>
      </c>
      <c r="AL7584" s="13" t="s">
        <v>1899</v>
      </c>
      <c r="AM7584" s="14">
        <v>1</v>
      </c>
      <c r="AN7584" s="15" t="s">
        <v>1058</v>
      </c>
    </row>
    <row r="7585" spans="1:40" x14ac:dyDescent="0.3">
      <c r="A7585" s="10" t="str">
        <f>HYPERLINK("http://www.washoecounty.gov/assessor/cama/?parid=526-533-10&amp;CardNumber=1","526-533-10")</f>
        <v>526-533-10</v>
      </c>
      <c r="B7585" t="s">
        <v>4655</v>
      </c>
      <c r="C7585" t="s">
        <v>35523</v>
      </c>
      <c r="D7585" s="1">
        <v>40235</v>
      </c>
      <c r="E7585" s="2">
        <v>330107</v>
      </c>
      <c r="F7585" t="s">
        <v>4567</v>
      </c>
      <c r="G7585" s="17" t="str">
        <f>HYPERLINK("https://www.washoecounty.gov/assessor/cama/?command=sales&amp;parid=52653310","3853385")</f>
        <v>3853385</v>
      </c>
      <c r="H7585" t="s">
        <v>1786</v>
      </c>
      <c r="I7585">
        <v>2009</v>
      </c>
      <c r="J7585">
        <v>2009</v>
      </c>
      <c r="K7585" t="s">
        <v>4554</v>
      </c>
      <c r="L7585" t="s">
        <v>4555</v>
      </c>
      <c r="M7585" s="2">
        <v>2873</v>
      </c>
      <c r="N7585" t="s">
        <v>3147</v>
      </c>
      <c r="O7585">
        <v>3</v>
      </c>
      <c r="P7585">
        <v>2</v>
      </c>
      <c r="Q7585">
        <v>1</v>
      </c>
      <c r="R7585" t="s">
        <v>5281</v>
      </c>
      <c r="S7585" t="s">
        <v>4898</v>
      </c>
      <c r="T7585" t="s">
        <v>2704</v>
      </c>
      <c r="U7585" t="s">
        <v>4560</v>
      </c>
      <c r="V7585" s="2">
        <v>682</v>
      </c>
      <c r="W7585" t="s">
        <v>4655</v>
      </c>
      <c r="X7585" s="2">
        <v>0</v>
      </c>
      <c r="Y7585">
        <v>20</v>
      </c>
      <c r="Z7585" t="s">
        <v>2048</v>
      </c>
      <c r="AA7585" s="3">
        <v>0.36253443360328702</v>
      </c>
      <c r="AB7585" t="s">
        <v>35524</v>
      </c>
      <c r="AC7585" t="s">
        <v>4575</v>
      </c>
      <c r="AD7585" t="s">
        <v>35525</v>
      </c>
      <c r="AE7585" t="s">
        <v>35523</v>
      </c>
      <c r="AF7585" t="s">
        <v>5201</v>
      </c>
      <c r="AG7585" t="s">
        <v>4564</v>
      </c>
      <c r="AH7585" t="s">
        <v>1605</v>
      </c>
      <c r="AI7585" t="s">
        <v>4655</v>
      </c>
      <c r="AJ7585" t="s">
        <v>1732</v>
      </c>
      <c r="AK7585" t="s">
        <v>35526</v>
      </c>
      <c r="AL7585" s="13" t="s">
        <v>1899</v>
      </c>
      <c r="AM7585" s="14">
        <v>1</v>
      </c>
      <c r="AN7585" s="15" t="s">
        <v>2036</v>
      </c>
    </row>
    <row r="7586" spans="1:40" x14ac:dyDescent="0.3">
      <c r="A7586" s="10" t="str">
        <f>HYPERLINK("http://www.washoecounty.gov/assessor/cama/?parid=526-533-11&amp;CardNumber=1","526-533-11")</f>
        <v>526-533-11</v>
      </c>
      <c r="B7586" t="s">
        <v>4655</v>
      </c>
      <c r="C7586" t="s">
        <v>35527</v>
      </c>
      <c r="D7586" s="1">
        <v>40213</v>
      </c>
      <c r="E7586" s="2">
        <v>341111</v>
      </c>
      <c r="F7586" t="s">
        <v>3528</v>
      </c>
      <c r="G7586" s="17" t="str">
        <f>HYPERLINK("https://www.washoecounty.gov/assessor/cama/?command=sales&amp;parid=52653311","3845979")</f>
        <v>3845979</v>
      </c>
      <c r="H7586" t="s">
        <v>1786</v>
      </c>
      <c r="I7586">
        <v>2009</v>
      </c>
      <c r="J7586">
        <v>2009</v>
      </c>
      <c r="K7586" t="s">
        <v>4554</v>
      </c>
      <c r="L7586" t="s">
        <v>4555</v>
      </c>
      <c r="M7586" s="2">
        <v>2538</v>
      </c>
      <c r="N7586" t="s">
        <v>3147</v>
      </c>
      <c r="O7586">
        <v>3</v>
      </c>
      <c r="P7586">
        <v>2</v>
      </c>
      <c r="Q7586">
        <v>1</v>
      </c>
      <c r="R7586" t="s">
        <v>5281</v>
      </c>
      <c r="S7586" t="s">
        <v>4898</v>
      </c>
      <c r="T7586" t="s">
        <v>2704</v>
      </c>
      <c r="U7586" t="s">
        <v>4560</v>
      </c>
      <c r="V7586" s="2">
        <v>682</v>
      </c>
      <c r="W7586" t="s">
        <v>4655</v>
      </c>
      <c r="X7586" s="2">
        <v>0</v>
      </c>
      <c r="Y7586">
        <v>12</v>
      </c>
      <c r="Z7586" t="s">
        <v>2048</v>
      </c>
      <c r="AA7586" s="3">
        <v>0.35016068816184998</v>
      </c>
      <c r="AB7586" t="s">
        <v>16051</v>
      </c>
      <c r="AC7586" t="s">
        <v>4575</v>
      </c>
      <c r="AD7586" t="s">
        <v>35528</v>
      </c>
      <c r="AE7586" t="s">
        <v>35529</v>
      </c>
      <c r="AF7586" t="s">
        <v>5201</v>
      </c>
      <c r="AG7586" t="s">
        <v>4564</v>
      </c>
      <c r="AH7586" t="s">
        <v>1605</v>
      </c>
      <c r="AI7586" t="s">
        <v>35530</v>
      </c>
      <c r="AJ7586" t="s">
        <v>1732</v>
      </c>
      <c r="AK7586" t="s">
        <v>35531</v>
      </c>
      <c r="AL7586" s="13" t="s">
        <v>1899</v>
      </c>
      <c r="AM7586">
        <v>1</v>
      </c>
      <c r="AN7586" s="15" t="s">
        <v>2036</v>
      </c>
    </row>
    <row r="7587" spans="1:40" x14ac:dyDescent="0.3">
      <c r="A7587" s="10" t="str">
        <f>HYPERLINK("http://www.washoecounty.gov/assessor/cama/?parid=526-533-13&amp;CardNumber=1","526-533-13")</f>
        <v>526-533-13</v>
      </c>
      <c r="B7587" t="s">
        <v>4655</v>
      </c>
      <c r="C7587" t="s">
        <v>35532</v>
      </c>
      <c r="D7587" s="1">
        <v>40204</v>
      </c>
      <c r="E7587" s="2">
        <v>304000</v>
      </c>
      <c r="F7587" t="s">
        <v>4567</v>
      </c>
      <c r="G7587" s="17" t="str">
        <f>HYPERLINK("https://www.washoecounty.gov/assessor/cama/?command=sales&amp;parid=52653313","3842671")</f>
        <v>3842671</v>
      </c>
      <c r="H7587" t="s">
        <v>1786</v>
      </c>
      <c r="I7587">
        <v>2009</v>
      </c>
      <c r="J7587">
        <v>2009</v>
      </c>
      <c r="K7587" t="s">
        <v>4554</v>
      </c>
      <c r="L7587" t="s">
        <v>4555</v>
      </c>
      <c r="M7587" s="2">
        <v>2538</v>
      </c>
      <c r="N7587" t="s">
        <v>3147</v>
      </c>
      <c r="O7587">
        <v>3</v>
      </c>
      <c r="P7587">
        <v>2</v>
      </c>
      <c r="Q7587">
        <v>1</v>
      </c>
      <c r="R7587" t="s">
        <v>5281</v>
      </c>
      <c r="S7587" t="s">
        <v>4898</v>
      </c>
      <c r="T7587" t="s">
        <v>2704</v>
      </c>
      <c r="U7587" t="s">
        <v>4560</v>
      </c>
      <c r="V7587" s="2">
        <v>682</v>
      </c>
      <c r="W7587" t="s">
        <v>4655</v>
      </c>
      <c r="X7587" s="2">
        <v>0</v>
      </c>
      <c r="Y7587">
        <v>20</v>
      </c>
      <c r="Z7587" t="s">
        <v>2048</v>
      </c>
      <c r="AA7587" s="3">
        <v>0.26524335145950301</v>
      </c>
      <c r="AB7587" t="s">
        <v>35533</v>
      </c>
      <c r="AC7587" t="s">
        <v>4562</v>
      </c>
      <c r="AD7587" t="s">
        <v>35534</v>
      </c>
      <c r="AE7587" t="s">
        <v>4655</v>
      </c>
      <c r="AF7587" t="s">
        <v>4809</v>
      </c>
      <c r="AG7587" t="s">
        <v>4564</v>
      </c>
      <c r="AH7587" t="s">
        <v>1605</v>
      </c>
      <c r="AI7587" t="s">
        <v>35530</v>
      </c>
      <c r="AJ7587" t="s">
        <v>1732</v>
      </c>
      <c r="AK7587" t="s">
        <v>35535</v>
      </c>
      <c r="AL7587" s="13" t="s">
        <v>1899</v>
      </c>
      <c r="AM7587">
        <v>1</v>
      </c>
      <c r="AN7587" s="15" t="s">
        <v>2036</v>
      </c>
    </row>
    <row r="7588" spans="1:40" x14ac:dyDescent="0.3">
      <c r="A7588" s="10" t="str">
        <f>HYPERLINK("http://www.washoecounty.gov/assessor/cama/?parid=526-533-14&amp;CardNumber=1","526-533-14")</f>
        <v>526-533-14</v>
      </c>
      <c r="B7588" t="s">
        <v>4655</v>
      </c>
      <c r="C7588" t="s">
        <v>35536</v>
      </c>
      <c r="D7588" s="1">
        <v>40312</v>
      </c>
      <c r="E7588" s="2">
        <v>324000</v>
      </c>
      <c r="F7588" t="s">
        <v>4567</v>
      </c>
      <c r="G7588" s="17" t="str">
        <f>HYPERLINK("https://www.washoecounty.gov/assessor/cama/?command=sales&amp;parid=52653314","3881354")</f>
        <v>3881354</v>
      </c>
      <c r="H7588" t="s">
        <v>1786</v>
      </c>
      <c r="I7588">
        <v>2009</v>
      </c>
      <c r="J7588">
        <v>2009</v>
      </c>
      <c r="K7588" t="s">
        <v>4554</v>
      </c>
      <c r="L7588" t="s">
        <v>4555</v>
      </c>
      <c r="M7588" s="2">
        <v>2873</v>
      </c>
      <c r="N7588" t="s">
        <v>3147</v>
      </c>
      <c r="O7588">
        <v>3</v>
      </c>
      <c r="P7588">
        <v>2</v>
      </c>
      <c r="Q7588">
        <v>1</v>
      </c>
      <c r="R7588" t="s">
        <v>5281</v>
      </c>
      <c r="S7588" t="s">
        <v>4898</v>
      </c>
      <c r="T7588" t="s">
        <v>2704</v>
      </c>
      <c r="U7588" t="s">
        <v>4560</v>
      </c>
      <c r="V7588" s="2">
        <v>682</v>
      </c>
      <c r="W7588" t="s">
        <v>4655</v>
      </c>
      <c r="X7588" s="2">
        <v>0</v>
      </c>
      <c r="Y7588">
        <v>20</v>
      </c>
      <c r="Z7588" t="s">
        <v>2048</v>
      </c>
      <c r="AA7588" s="3">
        <v>0.29008263349533098</v>
      </c>
      <c r="AB7588" t="s">
        <v>35537</v>
      </c>
      <c r="AC7588" t="s">
        <v>4562</v>
      </c>
      <c r="AD7588" t="s">
        <v>35536</v>
      </c>
      <c r="AE7588" t="s">
        <v>4655</v>
      </c>
      <c r="AF7588" t="s">
        <v>5201</v>
      </c>
      <c r="AG7588" t="s">
        <v>4564</v>
      </c>
      <c r="AH7588" t="s">
        <v>1605</v>
      </c>
      <c r="AI7588" t="s">
        <v>35530</v>
      </c>
      <c r="AJ7588" t="s">
        <v>1732</v>
      </c>
      <c r="AK7588" t="s">
        <v>35538</v>
      </c>
      <c r="AL7588" s="13" t="s">
        <v>1899</v>
      </c>
      <c r="AM7588" s="14">
        <v>1</v>
      </c>
      <c r="AN7588" s="15" t="s">
        <v>2036</v>
      </c>
    </row>
    <row r="7589" spans="1:40" x14ac:dyDescent="0.3">
      <c r="A7589" s="10" t="str">
        <f>HYPERLINK("http://www.washoecounty.gov/assessor/cama/?parid=526-541-05&amp;CardNumber=1","526-541-05")</f>
        <v>526-541-05</v>
      </c>
      <c r="B7589" t="s">
        <v>4655</v>
      </c>
      <c r="C7589" t="s">
        <v>35539</v>
      </c>
      <c r="D7589" s="1">
        <v>40197</v>
      </c>
      <c r="E7589" s="2">
        <v>390000</v>
      </c>
      <c r="F7589" t="s">
        <v>4567</v>
      </c>
      <c r="G7589" s="17" t="str">
        <f>HYPERLINK("https://www.washoecounty.gov/assessor/cama/?command=sales&amp;parid=52654105","3840552")</f>
        <v>3840552</v>
      </c>
      <c r="H7589" t="s">
        <v>1786</v>
      </c>
      <c r="I7589">
        <v>2009</v>
      </c>
      <c r="J7589">
        <v>2009</v>
      </c>
      <c r="K7589" t="s">
        <v>4554</v>
      </c>
      <c r="L7589" t="s">
        <v>4555</v>
      </c>
      <c r="M7589" s="2">
        <v>2873</v>
      </c>
      <c r="N7589" t="s">
        <v>3147</v>
      </c>
      <c r="O7589">
        <v>3</v>
      </c>
      <c r="P7589">
        <v>2</v>
      </c>
      <c r="Q7589">
        <v>1</v>
      </c>
      <c r="R7589" t="s">
        <v>5281</v>
      </c>
      <c r="S7589" t="s">
        <v>4898</v>
      </c>
      <c r="T7589" t="s">
        <v>2704</v>
      </c>
      <c r="U7589" t="s">
        <v>4560</v>
      </c>
      <c r="V7589" s="2">
        <v>682</v>
      </c>
      <c r="W7589" t="s">
        <v>4655</v>
      </c>
      <c r="X7589" s="2">
        <v>0</v>
      </c>
      <c r="Y7589">
        <v>20</v>
      </c>
      <c r="Z7589" t="s">
        <v>2048</v>
      </c>
      <c r="AA7589" s="3">
        <v>0.20055095851421401</v>
      </c>
      <c r="AB7589" t="s">
        <v>35540</v>
      </c>
      <c r="AC7589" t="s">
        <v>4575</v>
      </c>
      <c r="AD7589" t="s">
        <v>35539</v>
      </c>
      <c r="AE7589" t="s">
        <v>4655</v>
      </c>
      <c r="AF7589" t="s">
        <v>5201</v>
      </c>
      <c r="AG7589" t="s">
        <v>4564</v>
      </c>
      <c r="AH7589" t="s">
        <v>1605</v>
      </c>
      <c r="AI7589" t="s">
        <v>4655</v>
      </c>
      <c r="AJ7589" t="s">
        <v>1732</v>
      </c>
      <c r="AK7589" t="s">
        <v>35541</v>
      </c>
      <c r="AL7589" s="13" t="s">
        <v>1899</v>
      </c>
      <c r="AM7589" s="14">
        <v>1</v>
      </c>
      <c r="AN7589" s="15" t="s">
        <v>2036</v>
      </c>
    </row>
    <row r="7590" spans="1:40" x14ac:dyDescent="0.3">
      <c r="A7590" s="10" t="str">
        <f>HYPERLINK("http://www.washoecounty.gov/assessor/cama/?parid=526-541-07&amp;CardNumber=1","526-541-07")</f>
        <v>526-541-07</v>
      </c>
      <c r="B7590" t="s">
        <v>4655</v>
      </c>
      <c r="C7590" t="s">
        <v>35542</v>
      </c>
      <c r="D7590" s="1">
        <v>40207</v>
      </c>
      <c r="E7590" s="2">
        <v>316966</v>
      </c>
      <c r="F7590" t="s">
        <v>4567</v>
      </c>
      <c r="G7590" s="17" t="str">
        <f>HYPERLINK("https://www.washoecounty.gov/assessor/cama/?command=sales&amp;parid=52654107","3844399")</f>
        <v>3844399</v>
      </c>
      <c r="H7590" t="s">
        <v>1786</v>
      </c>
      <c r="I7590">
        <v>2009</v>
      </c>
      <c r="J7590">
        <v>2009</v>
      </c>
      <c r="K7590" t="s">
        <v>4554</v>
      </c>
      <c r="L7590" t="s">
        <v>4555</v>
      </c>
      <c r="M7590" s="2">
        <v>2315</v>
      </c>
      <c r="N7590" t="s">
        <v>3147</v>
      </c>
      <c r="O7590">
        <v>3</v>
      </c>
      <c r="P7590">
        <v>2</v>
      </c>
      <c r="Q7590">
        <v>0</v>
      </c>
      <c r="R7590" t="s">
        <v>5281</v>
      </c>
      <c r="S7590" t="s">
        <v>4898</v>
      </c>
      <c r="T7590" t="s">
        <v>2704</v>
      </c>
      <c r="U7590" t="s">
        <v>4560</v>
      </c>
      <c r="V7590" s="2">
        <v>506</v>
      </c>
      <c r="W7590" t="s">
        <v>4655</v>
      </c>
      <c r="X7590" s="2">
        <v>0</v>
      </c>
      <c r="Y7590">
        <v>20</v>
      </c>
      <c r="Z7590" t="s">
        <v>2048</v>
      </c>
      <c r="AA7590" s="3">
        <v>0.22213038802146901</v>
      </c>
      <c r="AB7590" t="s">
        <v>35543</v>
      </c>
      <c r="AC7590" t="s">
        <v>4562</v>
      </c>
      <c r="AD7590" t="s">
        <v>35542</v>
      </c>
      <c r="AE7590" t="s">
        <v>4655</v>
      </c>
      <c r="AF7590" t="s">
        <v>5201</v>
      </c>
      <c r="AG7590" t="s">
        <v>4564</v>
      </c>
      <c r="AH7590" t="s">
        <v>1605</v>
      </c>
      <c r="AI7590" t="s">
        <v>35530</v>
      </c>
      <c r="AJ7590" t="s">
        <v>1732</v>
      </c>
      <c r="AK7590" t="s">
        <v>35544</v>
      </c>
      <c r="AL7590" s="13" t="s">
        <v>1899</v>
      </c>
      <c r="AM7590">
        <v>1</v>
      </c>
      <c r="AN7590" s="15" t="s">
        <v>2036</v>
      </c>
    </row>
    <row r="7591" spans="1:40" x14ac:dyDescent="0.3">
      <c r="A7591" s="10" t="str">
        <f>HYPERLINK("http://www.washoecounty.gov/assessor/cama/?parid=526-541-08&amp;CardNumber=1","526-541-08")</f>
        <v>526-541-08</v>
      </c>
      <c r="B7591" t="s">
        <v>4655</v>
      </c>
      <c r="C7591" t="s">
        <v>35545</v>
      </c>
      <c r="D7591" s="1">
        <v>40249</v>
      </c>
      <c r="E7591" s="2">
        <v>407500</v>
      </c>
      <c r="F7591" t="s">
        <v>4567</v>
      </c>
      <c r="G7591" s="17" t="str">
        <f>HYPERLINK("https://www.washoecounty.gov/assessor/cama/?command=sales&amp;parid=52654108","3859015")</f>
        <v>3859015</v>
      </c>
      <c r="H7591" t="s">
        <v>1786</v>
      </c>
      <c r="I7591">
        <v>2007</v>
      </c>
      <c r="J7591">
        <v>2007</v>
      </c>
      <c r="K7591" t="s">
        <v>4554</v>
      </c>
      <c r="L7591" t="s">
        <v>4555</v>
      </c>
      <c r="M7591" s="2">
        <v>3071</v>
      </c>
      <c r="N7591" t="s">
        <v>3147</v>
      </c>
      <c r="O7591">
        <v>3</v>
      </c>
      <c r="P7591">
        <v>2</v>
      </c>
      <c r="Q7591">
        <v>1</v>
      </c>
      <c r="R7591" t="s">
        <v>5281</v>
      </c>
      <c r="S7591" t="s">
        <v>4898</v>
      </c>
      <c r="T7591" t="s">
        <v>2704</v>
      </c>
      <c r="U7591" t="s">
        <v>4560</v>
      </c>
      <c r="V7591" s="2">
        <v>484</v>
      </c>
      <c r="W7591" t="s">
        <v>4655</v>
      </c>
      <c r="X7591" s="2">
        <v>0</v>
      </c>
      <c r="Y7591">
        <v>20</v>
      </c>
      <c r="Z7591" t="s">
        <v>2048</v>
      </c>
      <c r="AA7591" s="3">
        <v>0.21763084828853599</v>
      </c>
      <c r="AB7591" t="s">
        <v>35546</v>
      </c>
      <c r="AC7591" t="s">
        <v>4575</v>
      </c>
      <c r="AD7591" t="s">
        <v>35545</v>
      </c>
      <c r="AE7591" t="s">
        <v>4655</v>
      </c>
      <c r="AF7591" t="s">
        <v>5201</v>
      </c>
      <c r="AG7591" t="s">
        <v>4564</v>
      </c>
      <c r="AH7591" t="s">
        <v>1605</v>
      </c>
      <c r="AI7591" t="s">
        <v>35547</v>
      </c>
      <c r="AJ7591" t="s">
        <v>1732</v>
      </c>
      <c r="AK7591" t="s">
        <v>35548</v>
      </c>
      <c r="AL7591" s="13" t="s">
        <v>1899</v>
      </c>
      <c r="AM7591">
        <v>1</v>
      </c>
      <c r="AN7591" s="15" t="s">
        <v>2036</v>
      </c>
    </row>
    <row r="7592" spans="1:40" x14ac:dyDescent="0.3">
      <c r="A7592" s="10" t="str">
        <f>HYPERLINK("http://www.washoecounty.gov/assessor/cama/?parid=526-541-09&amp;CardNumber=1","526-541-09")</f>
        <v>526-541-09</v>
      </c>
      <c r="B7592" t="s">
        <v>4655</v>
      </c>
      <c r="C7592" t="s">
        <v>35549</v>
      </c>
      <c r="D7592" s="1">
        <v>40324</v>
      </c>
      <c r="E7592" s="2">
        <v>430000</v>
      </c>
      <c r="F7592" t="s">
        <v>4567</v>
      </c>
      <c r="G7592" s="17" t="str">
        <f>HYPERLINK("https://www.washoecounty.gov/assessor/cama/?command=sales&amp;parid=52654109","3885600")</f>
        <v>3885600</v>
      </c>
      <c r="H7592" t="s">
        <v>1786</v>
      </c>
      <c r="I7592">
        <v>2007</v>
      </c>
      <c r="J7592">
        <v>2007</v>
      </c>
      <c r="K7592" t="s">
        <v>4554</v>
      </c>
      <c r="L7592" t="s">
        <v>3974</v>
      </c>
      <c r="M7592" s="2">
        <v>3319</v>
      </c>
      <c r="N7592" t="s">
        <v>3147</v>
      </c>
      <c r="O7592">
        <v>4</v>
      </c>
      <c r="P7592">
        <v>3</v>
      </c>
      <c r="Q7592">
        <v>0</v>
      </c>
      <c r="R7592" t="s">
        <v>5281</v>
      </c>
      <c r="S7592" t="s">
        <v>4898</v>
      </c>
      <c r="T7592" t="s">
        <v>2704</v>
      </c>
      <c r="U7592" t="s">
        <v>4560</v>
      </c>
      <c r="V7592" s="2">
        <v>704</v>
      </c>
      <c r="W7592" t="s">
        <v>4655</v>
      </c>
      <c r="X7592" s="2">
        <v>0</v>
      </c>
      <c r="Y7592">
        <v>20</v>
      </c>
      <c r="Z7592" t="s">
        <v>2048</v>
      </c>
      <c r="AA7592" s="3">
        <v>0.22015610337257399</v>
      </c>
      <c r="AB7592" t="s">
        <v>35550</v>
      </c>
      <c r="AC7592" t="s">
        <v>4562</v>
      </c>
      <c r="AD7592" t="s">
        <v>35549</v>
      </c>
      <c r="AE7592" t="s">
        <v>4655</v>
      </c>
      <c r="AF7592" t="s">
        <v>5201</v>
      </c>
      <c r="AG7592" t="s">
        <v>4564</v>
      </c>
      <c r="AH7592" t="s">
        <v>1605</v>
      </c>
      <c r="AI7592" t="s">
        <v>35530</v>
      </c>
      <c r="AJ7592" t="s">
        <v>1732</v>
      </c>
      <c r="AK7592" t="s">
        <v>35551</v>
      </c>
      <c r="AL7592" s="13" t="s">
        <v>1899</v>
      </c>
      <c r="AM7592">
        <v>1</v>
      </c>
      <c r="AN7592" s="15" t="s">
        <v>2036</v>
      </c>
    </row>
    <row r="7593" spans="1:40" x14ac:dyDescent="0.3">
      <c r="A7593" s="10" t="str">
        <f>HYPERLINK("http://www.washoecounty.gov/assessor/cama/?parid=526-541-10&amp;CardNumber=1","526-541-10")</f>
        <v>526-541-10</v>
      </c>
      <c r="B7593" t="s">
        <v>4655</v>
      </c>
      <c r="C7593" t="s">
        <v>35552</v>
      </c>
      <c r="D7593" s="1">
        <v>40266</v>
      </c>
      <c r="E7593" s="2">
        <v>365000</v>
      </c>
      <c r="F7593" t="s">
        <v>4567</v>
      </c>
      <c r="G7593" s="17" t="str">
        <f>HYPERLINK("https://www.washoecounty.gov/assessor/cama/?command=sales&amp;parid=52654110","3864783")</f>
        <v>3864783</v>
      </c>
      <c r="H7593" t="s">
        <v>1786</v>
      </c>
      <c r="I7593">
        <v>2007</v>
      </c>
      <c r="J7593">
        <v>2007</v>
      </c>
      <c r="K7593" t="s">
        <v>4554</v>
      </c>
      <c r="L7593" t="s">
        <v>4555</v>
      </c>
      <c r="M7593" s="2">
        <v>2538</v>
      </c>
      <c r="N7593" t="s">
        <v>3147</v>
      </c>
      <c r="O7593">
        <v>3</v>
      </c>
      <c r="P7593">
        <v>2</v>
      </c>
      <c r="Q7593">
        <v>1</v>
      </c>
      <c r="R7593" t="s">
        <v>5281</v>
      </c>
      <c r="S7593" t="s">
        <v>4898</v>
      </c>
      <c r="T7593" t="s">
        <v>2704</v>
      </c>
      <c r="U7593" t="s">
        <v>4560</v>
      </c>
      <c r="V7593" s="2">
        <v>682</v>
      </c>
      <c r="W7593" t="s">
        <v>4655</v>
      </c>
      <c r="X7593" s="2">
        <v>0</v>
      </c>
      <c r="Y7593">
        <v>20</v>
      </c>
      <c r="Z7593" t="s">
        <v>2048</v>
      </c>
      <c r="AA7593" s="3">
        <v>0.21939852833747864</v>
      </c>
      <c r="AB7593" t="s">
        <v>35553</v>
      </c>
      <c r="AC7593" t="s">
        <v>4562</v>
      </c>
      <c r="AD7593" t="s">
        <v>35554</v>
      </c>
      <c r="AE7593" t="s">
        <v>4655</v>
      </c>
      <c r="AF7593" t="s">
        <v>35555</v>
      </c>
      <c r="AG7593" t="s">
        <v>4584</v>
      </c>
      <c r="AH7593">
        <v>95018</v>
      </c>
      <c r="AI7593" t="s">
        <v>35530</v>
      </c>
      <c r="AJ7593" t="s">
        <v>1732</v>
      </c>
      <c r="AK7593" t="s">
        <v>35556</v>
      </c>
      <c r="AL7593" s="13" t="s">
        <v>1899</v>
      </c>
      <c r="AM7593" s="14">
        <v>1</v>
      </c>
      <c r="AN7593" s="15" t="s">
        <v>2036</v>
      </c>
    </row>
    <row r="7594" spans="1:40" x14ac:dyDescent="0.3">
      <c r="A7594" s="10" t="str">
        <f>HYPERLINK("http://www.washoecounty.gov/assessor/cama/?parid=526-542-01&amp;CardNumber=1","526-542-01")</f>
        <v>526-542-01</v>
      </c>
      <c r="B7594" t="s">
        <v>4655</v>
      </c>
      <c r="C7594" t="s">
        <v>35557</v>
      </c>
      <c r="D7594" s="1">
        <v>40297</v>
      </c>
      <c r="E7594" s="2">
        <v>346516</v>
      </c>
      <c r="F7594" t="s">
        <v>4567</v>
      </c>
      <c r="G7594" s="17" t="str">
        <f>HYPERLINK("https://www.washoecounty.gov/assessor/cama/?command=sales&amp;parid=52654201","3876033")</f>
        <v>3876033</v>
      </c>
      <c r="H7594" t="s">
        <v>1786</v>
      </c>
      <c r="I7594">
        <v>2009</v>
      </c>
      <c r="J7594">
        <v>2009</v>
      </c>
      <c r="K7594" t="s">
        <v>4554</v>
      </c>
      <c r="L7594" t="s">
        <v>4555</v>
      </c>
      <c r="M7594" s="2">
        <v>2873</v>
      </c>
      <c r="N7594" t="s">
        <v>3147</v>
      </c>
      <c r="O7594">
        <v>3</v>
      </c>
      <c r="P7594">
        <v>2</v>
      </c>
      <c r="Q7594">
        <v>1</v>
      </c>
      <c r="R7594" t="s">
        <v>5281</v>
      </c>
      <c r="S7594" t="s">
        <v>4898</v>
      </c>
      <c r="T7594" t="s">
        <v>2704</v>
      </c>
      <c r="U7594" t="s">
        <v>4560</v>
      </c>
      <c r="V7594" s="2">
        <v>682</v>
      </c>
      <c r="W7594" t="s">
        <v>4655</v>
      </c>
      <c r="X7594" s="2">
        <v>0</v>
      </c>
      <c r="Y7594">
        <v>20</v>
      </c>
      <c r="Z7594" t="s">
        <v>2048</v>
      </c>
      <c r="AA7594" s="3">
        <v>0.37649220228195202</v>
      </c>
      <c r="AB7594" t="s">
        <v>35558</v>
      </c>
      <c r="AC7594" t="s">
        <v>4562</v>
      </c>
      <c r="AD7594" t="s">
        <v>35559</v>
      </c>
      <c r="AE7594" t="s">
        <v>4655</v>
      </c>
      <c r="AF7594" t="s">
        <v>4809</v>
      </c>
      <c r="AG7594" t="s">
        <v>4564</v>
      </c>
      <c r="AH7594" t="s">
        <v>1605</v>
      </c>
      <c r="AI7594" t="s">
        <v>35530</v>
      </c>
      <c r="AJ7594" t="s">
        <v>1732</v>
      </c>
      <c r="AK7594" t="s">
        <v>35560</v>
      </c>
      <c r="AL7594" s="13" t="s">
        <v>1899</v>
      </c>
      <c r="AM7594">
        <v>1</v>
      </c>
      <c r="AN7594" s="15" t="s">
        <v>2036</v>
      </c>
    </row>
    <row r="7595" spans="1:40" x14ac:dyDescent="0.3">
      <c r="A7595" s="10" t="str">
        <f>HYPERLINK("http://www.washoecounty.gov/assessor/cama/?parid=526-542-03&amp;CardNumber=1","526-542-03")</f>
        <v>526-542-03</v>
      </c>
      <c r="B7595" t="s">
        <v>4655</v>
      </c>
      <c r="C7595" t="s">
        <v>35561</v>
      </c>
      <c r="D7595" s="1">
        <v>40288</v>
      </c>
      <c r="E7595" s="2">
        <v>371036</v>
      </c>
      <c r="F7595" t="s">
        <v>4567</v>
      </c>
      <c r="G7595" s="17" t="str">
        <f>HYPERLINK("https://www.washoecounty.gov/assessor/cama/?command=sales&amp;parid=52654203","3872909")</f>
        <v>3872909</v>
      </c>
      <c r="H7595" t="s">
        <v>1786</v>
      </c>
      <c r="I7595">
        <v>2008</v>
      </c>
      <c r="J7595">
        <v>2008</v>
      </c>
      <c r="K7595" t="s">
        <v>4554</v>
      </c>
      <c r="L7595" t="s">
        <v>3974</v>
      </c>
      <c r="M7595" s="2">
        <v>3319</v>
      </c>
      <c r="N7595" t="s">
        <v>3147</v>
      </c>
      <c r="O7595">
        <v>3</v>
      </c>
      <c r="P7595">
        <v>2</v>
      </c>
      <c r="Q7595">
        <v>1</v>
      </c>
      <c r="R7595" t="s">
        <v>5281</v>
      </c>
      <c r="S7595" t="s">
        <v>4898</v>
      </c>
      <c r="T7595" t="s">
        <v>2704</v>
      </c>
      <c r="U7595" t="s">
        <v>4560</v>
      </c>
      <c r="V7595" s="2">
        <v>704</v>
      </c>
      <c r="W7595" t="s">
        <v>4655</v>
      </c>
      <c r="X7595" s="2">
        <v>0</v>
      </c>
      <c r="Y7595">
        <v>20</v>
      </c>
      <c r="Z7595" t="s">
        <v>2048</v>
      </c>
      <c r="AA7595" s="3">
        <v>0.2883838415145874</v>
      </c>
      <c r="AB7595" t="s">
        <v>35562</v>
      </c>
      <c r="AC7595" t="s">
        <v>4562</v>
      </c>
      <c r="AD7595" t="s">
        <v>35563</v>
      </c>
      <c r="AE7595" t="s">
        <v>4655</v>
      </c>
      <c r="AF7595" t="s">
        <v>4809</v>
      </c>
      <c r="AG7595" t="s">
        <v>4564</v>
      </c>
      <c r="AH7595" t="s">
        <v>1605</v>
      </c>
      <c r="AI7595" t="s">
        <v>35530</v>
      </c>
      <c r="AJ7595" t="s">
        <v>1732</v>
      </c>
      <c r="AK7595" t="s">
        <v>35564</v>
      </c>
      <c r="AL7595" s="13" t="s">
        <v>1899</v>
      </c>
      <c r="AM7595" s="14">
        <v>1</v>
      </c>
      <c r="AN7595" s="15" t="s">
        <v>2036</v>
      </c>
    </row>
    <row r="7596" spans="1:40" x14ac:dyDescent="0.3">
      <c r="A7596" s="10" t="str">
        <f>HYPERLINK("http://www.washoecounty.gov/assessor/cama/?parid=526-542-04&amp;CardNumber=1","526-542-04")</f>
        <v>526-542-04</v>
      </c>
      <c r="B7596" t="s">
        <v>4655</v>
      </c>
      <c r="C7596" t="s">
        <v>35565</v>
      </c>
      <c r="D7596" s="1">
        <v>40312</v>
      </c>
      <c r="E7596" s="2">
        <v>345055</v>
      </c>
      <c r="F7596" t="s">
        <v>4567</v>
      </c>
      <c r="G7596" s="17" t="str">
        <f>HYPERLINK("https://www.washoecounty.gov/assessor/cama/?command=sales&amp;parid=52654204","3881471")</f>
        <v>3881471</v>
      </c>
      <c r="H7596" t="s">
        <v>1786</v>
      </c>
      <c r="I7596">
        <v>2009</v>
      </c>
      <c r="J7596">
        <v>2009</v>
      </c>
      <c r="K7596" t="s">
        <v>4554</v>
      </c>
      <c r="L7596" t="s">
        <v>4555</v>
      </c>
      <c r="M7596" s="2">
        <v>2873</v>
      </c>
      <c r="N7596" t="s">
        <v>3147</v>
      </c>
      <c r="O7596">
        <v>3</v>
      </c>
      <c r="P7596">
        <v>2</v>
      </c>
      <c r="Q7596">
        <v>1</v>
      </c>
      <c r="R7596" t="s">
        <v>5281</v>
      </c>
      <c r="S7596" t="s">
        <v>4898</v>
      </c>
      <c r="T7596" t="s">
        <v>2704</v>
      </c>
      <c r="U7596" t="s">
        <v>4560</v>
      </c>
      <c r="V7596" s="2">
        <v>682</v>
      </c>
      <c r="W7596" t="s">
        <v>4655</v>
      </c>
      <c r="X7596" s="2">
        <v>0</v>
      </c>
      <c r="Y7596">
        <v>20</v>
      </c>
      <c r="Z7596" t="s">
        <v>2048</v>
      </c>
      <c r="AA7596" s="3">
        <v>0.32660698890686002</v>
      </c>
      <c r="AB7596" t="s">
        <v>35566</v>
      </c>
      <c r="AC7596" t="s">
        <v>4562</v>
      </c>
      <c r="AD7596" t="s">
        <v>35565</v>
      </c>
      <c r="AE7596" t="s">
        <v>4655</v>
      </c>
      <c r="AF7596" t="s">
        <v>5201</v>
      </c>
      <c r="AG7596" t="s">
        <v>4564</v>
      </c>
      <c r="AH7596" t="s">
        <v>1605</v>
      </c>
      <c r="AI7596" t="s">
        <v>35530</v>
      </c>
      <c r="AJ7596" t="s">
        <v>1732</v>
      </c>
      <c r="AK7596" t="s">
        <v>35567</v>
      </c>
      <c r="AL7596" s="13" t="s">
        <v>1899</v>
      </c>
      <c r="AM7596">
        <v>1</v>
      </c>
      <c r="AN7596" s="15" t="s">
        <v>2036</v>
      </c>
    </row>
    <row r="7597" spans="1:40" x14ac:dyDescent="0.3">
      <c r="A7597" s="10" t="str">
        <f>HYPERLINK("http://www.washoecounty.gov/assessor/cama/?parid=526-542-17&amp;CardNumber=1","526-542-17")</f>
        <v>526-542-17</v>
      </c>
      <c r="B7597" t="s">
        <v>4655</v>
      </c>
      <c r="C7597" t="s">
        <v>35568</v>
      </c>
      <c r="D7597" s="1">
        <v>40234</v>
      </c>
      <c r="E7597" s="2">
        <v>400000</v>
      </c>
      <c r="F7597" t="s">
        <v>4567</v>
      </c>
      <c r="G7597" s="17" t="str">
        <f>HYPERLINK("https://www.washoecounty.gov/assessor/cama/?command=sales&amp;parid=52654217","3852853")</f>
        <v>3852853</v>
      </c>
      <c r="H7597" t="s">
        <v>1786</v>
      </c>
      <c r="I7597">
        <v>2008</v>
      </c>
      <c r="J7597">
        <v>2008</v>
      </c>
      <c r="K7597" t="s">
        <v>4554</v>
      </c>
      <c r="L7597" t="s">
        <v>3974</v>
      </c>
      <c r="M7597" s="2">
        <v>3740</v>
      </c>
      <c r="N7597" t="s">
        <v>3147</v>
      </c>
      <c r="O7597">
        <v>4</v>
      </c>
      <c r="P7597">
        <v>3</v>
      </c>
      <c r="Q7597">
        <v>0</v>
      </c>
      <c r="R7597" t="s">
        <v>5281</v>
      </c>
      <c r="S7597" t="s">
        <v>4898</v>
      </c>
      <c r="T7597" t="s">
        <v>2704</v>
      </c>
      <c r="U7597" t="s">
        <v>4560</v>
      </c>
      <c r="V7597" s="2">
        <v>704</v>
      </c>
      <c r="W7597" t="s">
        <v>4655</v>
      </c>
      <c r="X7597" s="2">
        <v>0</v>
      </c>
      <c r="Y7597">
        <v>20</v>
      </c>
      <c r="Z7597" t="s">
        <v>2048</v>
      </c>
      <c r="AA7597" s="3">
        <v>0.236111104488373</v>
      </c>
      <c r="AB7597" t="s">
        <v>35569</v>
      </c>
      <c r="AC7597" t="s">
        <v>4575</v>
      </c>
      <c r="AD7597" t="s">
        <v>35568</v>
      </c>
      <c r="AE7597" t="s">
        <v>4655</v>
      </c>
      <c r="AF7597" t="s">
        <v>5201</v>
      </c>
      <c r="AG7597" t="s">
        <v>4564</v>
      </c>
      <c r="AH7597" t="s">
        <v>1605</v>
      </c>
      <c r="AI7597" t="s">
        <v>35530</v>
      </c>
      <c r="AJ7597" t="s">
        <v>1732</v>
      </c>
      <c r="AK7597" t="s">
        <v>35570</v>
      </c>
      <c r="AL7597" s="13" t="s">
        <v>1899</v>
      </c>
      <c r="AM7597" s="14">
        <v>1</v>
      </c>
      <c r="AN7597" s="15" t="s">
        <v>2036</v>
      </c>
    </row>
    <row r="7598" spans="1:40" x14ac:dyDescent="0.3">
      <c r="A7598" s="10" t="str">
        <f>HYPERLINK("http://www.washoecounty.gov/assessor/cama/?parid=526-551-10&amp;CardNumber=1","526-551-10")</f>
        <v>526-551-10</v>
      </c>
      <c r="B7598" t="s">
        <v>4655</v>
      </c>
      <c r="C7598" t="s">
        <v>35571</v>
      </c>
      <c r="D7598" s="1">
        <v>40416</v>
      </c>
      <c r="E7598" s="2">
        <v>361000</v>
      </c>
      <c r="F7598" t="s">
        <v>4567</v>
      </c>
      <c r="G7598" s="17" t="str">
        <f>HYPERLINK("https://www.washoecounty.gov/assessor/cama/?command=sales&amp;parid=52655110","3915943")</f>
        <v>3915943</v>
      </c>
      <c r="H7598" t="s">
        <v>1786</v>
      </c>
      <c r="I7598">
        <v>2008</v>
      </c>
      <c r="J7598">
        <v>2008</v>
      </c>
      <c r="K7598" t="s">
        <v>4554</v>
      </c>
      <c r="L7598" t="s">
        <v>4555</v>
      </c>
      <c r="M7598" s="2">
        <v>2538</v>
      </c>
      <c r="N7598" t="s">
        <v>3147</v>
      </c>
      <c r="O7598">
        <v>3</v>
      </c>
      <c r="P7598">
        <v>2</v>
      </c>
      <c r="Q7598">
        <v>1</v>
      </c>
      <c r="R7598" t="s">
        <v>5281</v>
      </c>
      <c r="S7598" t="s">
        <v>4898</v>
      </c>
      <c r="T7598" t="s">
        <v>2704</v>
      </c>
      <c r="U7598" t="s">
        <v>4560</v>
      </c>
      <c r="V7598" s="2">
        <v>682</v>
      </c>
      <c r="W7598" t="s">
        <v>4655</v>
      </c>
      <c r="X7598" s="2">
        <v>0</v>
      </c>
      <c r="Y7598">
        <v>20</v>
      </c>
      <c r="Z7598" t="s">
        <v>2048</v>
      </c>
      <c r="AA7598" s="3">
        <v>0.23319558799266815</v>
      </c>
      <c r="AB7598" t="s">
        <v>35572</v>
      </c>
      <c r="AC7598" t="s">
        <v>4575</v>
      </c>
      <c r="AD7598" t="s">
        <v>35573</v>
      </c>
      <c r="AE7598" t="s">
        <v>4655</v>
      </c>
      <c r="AF7598" t="s">
        <v>5201</v>
      </c>
      <c r="AG7598" t="s">
        <v>4564</v>
      </c>
      <c r="AH7598" t="s">
        <v>1605</v>
      </c>
      <c r="AI7598" t="s">
        <v>4655</v>
      </c>
      <c r="AJ7598" t="s">
        <v>1732</v>
      </c>
      <c r="AK7598" t="s">
        <v>35574</v>
      </c>
      <c r="AL7598" s="13" t="s">
        <v>1899</v>
      </c>
      <c r="AM7598">
        <v>1</v>
      </c>
      <c r="AN7598" s="15" t="s">
        <v>2036</v>
      </c>
    </row>
    <row r="7599" spans="1:40" x14ac:dyDescent="0.3">
      <c r="A7599" s="10" t="str">
        <f>HYPERLINK("http://www.washoecounty.gov/assessor/cama/?parid=526-551-12&amp;CardNumber=1","526-551-12")</f>
        <v>526-551-12</v>
      </c>
      <c r="B7599" t="s">
        <v>4655</v>
      </c>
      <c r="C7599" t="s">
        <v>35575</v>
      </c>
      <c r="D7599" s="1">
        <v>40235</v>
      </c>
      <c r="E7599" s="2">
        <v>300000</v>
      </c>
      <c r="F7599" t="s">
        <v>4567</v>
      </c>
      <c r="G7599" s="17" t="str">
        <f>HYPERLINK("https://www.washoecounty.gov/assessor/cama/?command=sales&amp;parid=52655112","3853193")</f>
        <v>3853193</v>
      </c>
      <c r="H7599" t="s">
        <v>1786</v>
      </c>
      <c r="I7599">
        <v>2009</v>
      </c>
      <c r="J7599">
        <v>2009</v>
      </c>
      <c r="K7599" t="s">
        <v>4554</v>
      </c>
      <c r="L7599" t="s">
        <v>4555</v>
      </c>
      <c r="M7599" s="2">
        <v>2538</v>
      </c>
      <c r="N7599" t="s">
        <v>3147</v>
      </c>
      <c r="O7599">
        <v>3</v>
      </c>
      <c r="P7599">
        <v>2</v>
      </c>
      <c r="Q7599">
        <v>1</v>
      </c>
      <c r="R7599" t="s">
        <v>5281</v>
      </c>
      <c r="S7599" t="s">
        <v>4898</v>
      </c>
      <c r="T7599" t="s">
        <v>2704</v>
      </c>
      <c r="U7599" t="s">
        <v>4560</v>
      </c>
      <c r="V7599" s="2">
        <v>682</v>
      </c>
      <c r="W7599" t="s">
        <v>4655</v>
      </c>
      <c r="X7599" s="2">
        <v>0</v>
      </c>
      <c r="Y7599">
        <v>20</v>
      </c>
      <c r="Z7599" t="s">
        <v>2048</v>
      </c>
      <c r="AA7599" s="3">
        <v>0.276400357484818</v>
      </c>
      <c r="AB7599" t="s">
        <v>35576</v>
      </c>
      <c r="AC7599" t="s">
        <v>4562</v>
      </c>
      <c r="AD7599" t="s">
        <v>35575</v>
      </c>
      <c r="AE7599" t="s">
        <v>4655</v>
      </c>
      <c r="AF7599" t="s">
        <v>5201</v>
      </c>
      <c r="AG7599" t="s">
        <v>4564</v>
      </c>
      <c r="AH7599" t="s">
        <v>1605</v>
      </c>
      <c r="AI7599" t="s">
        <v>35530</v>
      </c>
      <c r="AJ7599" t="s">
        <v>1732</v>
      </c>
      <c r="AK7599" t="s">
        <v>35577</v>
      </c>
      <c r="AL7599" s="13" t="s">
        <v>1899</v>
      </c>
      <c r="AM7599" s="14">
        <v>1</v>
      </c>
      <c r="AN7599" s="15" t="s">
        <v>2036</v>
      </c>
    </row>
    <row r="7600" spans="1:40" x14ac:dyDescent="0.3">
      <c r="A7600" s="10" t="str">
        <f>HYPERLINK("http://www.washoecounty.gov/assessor/cama/?parid=526-571-11&amp;CardNumber=1","526-571-11")</f>
        <v>526-571-11</v>
      </c>
      <c r="B7600" t="s">
        <v>4655</v>
      </c>
      <c r="C7600" t="s">
        <v>35578</v>
      </c>
      <c r="D7600" s="1">
        <v>40186</v>
      </c>
      <c r="E7600" s="2">
        <v>202000</v>
      </c>
      <c r="F7600" t="s">
        <v>4567</v>
      </c>
      <c r="G7600" s="17" t="str">
        <f>HYPERLINK("https://www.washoecounty.gov/assessor/cama/?command=sales&amp;parid=52657111","3837672")</f>
        <v>3837672</v>
      </c>
      <c r="H7600" t="s">
        <v>2037</v>
      </c>
      <c r="I7600">
        <v>2009</v>
      </c>
      <c r="J7600">
        <v>2009</v>
      </c>
      <c r="K7600" t="s">
        <v>4554</v>
      </c>
      <c r="L7600" t="s">
        <v>3974</v>
      </c>
      <c r="M7600" s="2">
        <v>2310</v>
      </c>
      <c r="N7600" t="s">
        <v>5280</v>
      </c>
      <c r="O7600">
        <v>3</v>
      </c>
      <c r="P7600">
        <v>2</v>
      </c>
      <c r="Q7600">
        <v>1</v>
      </c>
      <c r="R7600" t="s">
        <v>5281</v>
      </c>
      <c r="S7600" t="s">
        <v>4898</v>
      </c>
      <c r="T7600" t="s">
        <v>2704</v>
      </c>
      <c r="U7600" t="s">
        <v>5631</v>
      </c>
      <c r="V7600" s="2">
        <v>463</v>
      </c>
      <c r="W7600" t="s">
        <v>4655</v>
      </c>
      <c r="X7600" s="2">
        <v>0</v>
      </c>
      <c r="Y7600">
        <v>20</v>
      </c>
      <c r="Z7600" t="s">
        <v>2048</v>
      </c>
      <c r="AA7600" s="3">
        <v>0.12995867431163799</v>
      </c>
      <c r="AB7600" t="s">
        <v>35579</v>
      </c>
      <c r="AC7600" t="s">
        <v>4562</v>
      </c>
      <c r="AD7600" t="s">
        <v>35580</v>
      </c>
      <c r="AE7600" t="s">
        <v>4655</v>
      </c>
      <c r="AF7600" t="s">
        <v>5201</v>
      </c>
      <c r="AG7600" t="s">
        <v>4564</v>
      </c>
      <c r="AH7600" t="s">
        <v>1605</v>
      </c>
      <c r="AI7600" t="s">
        <v>4655</v>
      </c>
      <c r="AJ7600" t="s">
        <v>2038</v>
      </c>
      <c r="AK7600" t="s">
        <v>35581</v>
      </c>
      <c r="AL7600" s="13" t="s">
        <v>1899</v>
      </c>
      <c r="AM7600">
        <v>1</v>
      </c>
      <c r="AN7600" s="15" t="s">
        <v>2039</v>
      </c>
    </row>
    <row r="7601" spans="1:40" x14ac:dyDescent="0.3">
      <c r="A7601" s="10" t="str">
        <f>HYPERLINK("http://www.washoecounty.gov/assessor/cama/?parid=526-571-14&amp;CardNumber=1","526-571-14")</f>
        <v>526-571-14</v>
      </c>
      <c r="B7601" t="s">
        <v>4655</v>
      </c>
      <c r="C7601" t="s">
        <v>35582</v>
      </c>
      <c r="D7601" s="1">
        <v>40203</v>
      </c>
      <c r="E7601" s="2">
        <v>169990</v>
      </c>
      <c r="F7601" t="s">
        <v>4567</v>
      </c>
      <c r="G7601" s="17" t="str">
        <f>HYPERLINK("https://www.washoecounty.gov/assessor/cama/?command=sales&amp;parid=52657114","3842284")</f>
        <v>3842284</v>
      </c>
      <c r="H7601" t="s">
        <v>2037</v>
      </c>
      <c r="I7601">
        <v>2009</v>
      </c>
      <c r="J7601">
        <v>2009</v>
      </c>
      <c r="K7601" t="s">
        <v>4554</v>
      </c>
      <c r="L7601" t="s">
        <v>3974</v>
      </c>
      <c r="M7601" s="2">
        <v>1761</v>
      </c>
      <c r="N7601" t="s">
        <v>5280</v>
      </c>
      <c r="O7601">
        <v>3</v>
      </c>
      <c r="P7601">
        <v>2</v>
      </c>
      <c r="Q7601">
        <v>1</v>
      </c>
      <c r="R7601" t="s">
        <v>5281</v>
      </c>
      <c r="S7601" t="s">
        <v>4898</v>
      </c>
      <c r="T7601" t="s">
        <v>2704</v>
      </c>
      <c r="U7601" t="s">
        <v>5631</v>
      </c>
      <c r="V7601" s="2">
        <v>426</v>
      </c>
      <c r="W7601" t="s">
        <v>4655</v>
      </c>
      <c r="X7601" s="2">
        <v>0</v>
      </c>
      <c r="Y7601">
        <v>20</v>
      </c>
      <c r="Z7601" t="s">
        <v>2048</v>
      </c>
      <c r="AA7601" s="3">
        <v>8.7580345571041093E-2</v>
      </c>
      <c r="AB7601" t="s">
        <v>35583</v>
      </c>
      <c r="AC7601" t="s">
        <v>4562</v>
      </c>
      <c r="AD7601" t="s">
        <v>35584</v>
      </c>
      <c r="AE7601" t="s">
        <v>4655</v>
      </c>
      <c r="AF7601" t="s">
        <v>5201</v>
      </c>
      <c r="AG7601" t="s">
        <v>4564</v>
      </c>
      <c r="AH7601" t="s">
        <v>1605</v>
      </c>
      <c r="AI7601" t="s">
        <v>549</v>
      </c>
      <c r="AJ7601" t="s">
        <v>2038</v>
      </c>
      <c r="AK7601" t="s">
        <v>35585</v>
      </c>
      <c r="AL7601" s="13" t="s">
        <v>1899</v>
      </c>
      <c r="AM7601" s="14">
        <v>1</v>
      </c>
      <c r="AN7601" s="15" t="s">
        <v>2039</v>
      </c>
    </row>
    <row r="7602" spans="1:40" x14ac:dyDescent="0.3">
      <c r="A7602" s="10" t="str">
        <f>HYPERLINK("http://www.washoecounty.gov/assessor/cama/?parid=526-571-18&amp;CardNumber=1","526-571-18")</f>
        <v>526-571-18</v>
      </c>
      <c r="B7602" t="s">
        <v>4655</v>
      </c>
      <c r="C7602" t="s">
        <v>35586</v>
      </c>
      <c r="D7602" s="1">
        <v>40436</v>
      </c>
      <c r="E7602" s="2">
        <v>170775</v>
      </c>
      <c r="F7602" t="s">
        <v>4567</v>
      </c>
      <c r="G7602" s="17" t="str">
        <f>HYPERLINK("https://www.washoecounty.gov/assessor/cama/?command=sales&amp;parid=52657118","3922453")</f>
        <v>3922453</v>
      </c>
      <c r="H7602" t="s">
        <v>2037</v>
      </c>
      <c r="I7602">
        <v>2010</v>
      </c>
      <c r="J7602">
        <v>2010</v>
      </c>
      <c r="K7602" t="s">
        <v>4554</v>
      </c>
      <c r="L7602" t="s">
        <v>3974</v>
      </c>
      <c r="M7602" s="2">
        <v>1761</v>
      </c>
      <c r="N7602" t="s">
        <v>5280</v>
      </c>
      <c r="O7602">
        <v>3</v>
      </c>
      <c r="P7602">
        <v>2</v>
      </c>
      <c r="Q7602">
        <v>1</v>
      </c>
      <c r="R7602" t="s">
        <v>5281</v>
      </c>
      <c r="S7602" t="s">
        <v>4898</v>
      </c>
      <c r="T7602" t="s">
        <v>2704</v>
      </c>
      <c r="U7602" t="s">
        <v>5631</v>
      </c>
      <c r="V7602" s="2">
        <v>426</v>
      </c>
      <c r="W7602" t="s">
        <v>4655</v>
      </c>
      <c r="X7602" s="2">
        <v>0</v>
      </c>
      <c r="Y7602">
        <v>20</v>
      </c>
      <c r="Z7602" t="s">
        <v>2048</v>
      </c>
      <c r="AA7602" s="3">
        <v>6.6574841737747206E-2</v>
      </c>
      <c r="AB7602" t="s">
        <v>35587</v>
      </c>
      <c r="AC7602" t="s">
        <v>4562</v>
      </c>
      <c r="AD7602" t="s">
        <v>35588</v>
      </c>
      <c r="AE7602" t="s">
        <v>4655</v>
      </c>
      <c r="AF7602" t="s">
        <v>5201</v>
      </c>
      <c r="AG7602" t="s">
        <v>4564</v>
      </c>
      <c r="AH7602" t="s">
        <v>1605</v>
      </c>
      <c r="AI7602" t="s">
        <v>35589</v>
      </c>
      <c r="AJ7602" t="s">
        <v>2038</v>
      </c>
      <c r="AK7602" t="s">
        <v>35590</v>
      </c>
      <c r="AL7602" s="13" t="s">
        <v>1899</v>
      </c>
      <c r="AM7602" s="14">
        <v>1</v>
      </c>
      <c r="AN7602" s="15" t="s">
        <v>2039</v>
      </c>
    </row>
    <row r="7603" spans="1:40" x14ac:dyDescent="0.3">
      <c r="A7603" s="10" t="str">
        <f>HYPERLINK("http://www.washoecounty.gov/assessor/cama/?parid=526-571-19&amp;CardNumber=1","526-571-19")</f>
        <v>526-571-19</v>
      </c>
      <c r="B7603" t="s">
        <v>4655</v>
      </c>
      <c r="C7603" t="s">
        <v>35591</v>
      </c>
      <c r="D7603" s="1">
        <v>40451</v>
      </c>
      <c r="E7603" s="2">
        <v>182900</v>
      </c>
      <c r="F7603" t="s">
        <v>4567</v>
      </c>
      <c r="G7603" s="17" t="str">
        <f>HYPERLINK("https://www.washoecounty.gov/assessor/cama/?command=sales&amp;parid=52657119","3928022")</f>
        <v>3928022</v>
      </c>
      <c r="H7603" t="s">
        <v>2037</v>
      </c>
      <c r="I7603">
        <v>2010</v>
      </c>
      <c r="J7603">
        <v>2010</v>
      </c>
      <c r="K7603" t="s">
        <v>4554</v>
      </c>
      <c r="L7603" t="s">
        <v>3974</v>
      </c>
      <c r="M7603" s="2">
        <v>2310</v>
      </c>
      <c r="N7603" t="s">
        <v>5280</v>
      </c>
      <c r="O7603">
        <v>3</v>
      </c>
      <c r="P7603">
        <v>2</v>
      </c>
      <c r="Q7603">
        <v>1</v>
      </c>
      <c r="R7603" t="s">
        <v>5281</v>
      </c>
      <c r="S7603" t="s">
        <v>4898</v>
      </c>
      <c r="T7603" t="s">
        <v>2704</v>
      </c>
      <c r="U7603" t="s">
        <v>5631</v>
      </c>
      <c r="V7603" s="2">
        <v>463</v>
      </c>
      <c r="W7603" t="s">
        <v>4655</v>
      </c>
      <c r="X7603" s="2">
        <v>0</v>
      </c>
      <c r="Y7603">
        <v>20</v>
      </c>
      <c r="Z7603" t="s">
        <v>2048</v>
      </c>
      <c r="AA7603" s="3">
        <v>9.5041319727897602E-2</v>
      </c>
      <c r="AB7603" t="s">
        <v>35592</v>
      </c>
      <c r="AC7603" t="s">
        <v>4562</v>
      </c>
      <c r="AD7603" t="s">
        <v>35593</v>
      </c>
      <c r="AE7603" t="s">
        <v>4655</v>
      </c>
      <c r="AF7603" t="s">
        <v>5329</v>
      </c>
      <c r="AG7603" t="s">
        <v>4584</v>
      </c>
      <c r="AH7603" t="s">
        <v>5330</v>
      </c>
      <c r="AI7603" t="s">
        <v>549</v>
      </c>
      <c r="AJ7603" t="s">
        <v>2038</v>
      </c>
      <c r="AK7603" t="s">
        <v>35594</v>
      </c>
      <c r="AL7603" s="13" t="s">
        <v>1899</v>
      </c>
      <c r="AM7603" s="14">
        <v>1</v>
      </c>
      <c r="AN7603" s="15" t="s">
        <v>2039</v>
      </c>
    </row>
    <row r="7604" spans="1:40" x14ac:dyDescent="0.3">
      <c r="A7604" s="10" t="str">
        <f>HYPERLINK("http://www.washoecounty.gov/assessor/cama/?parid=526-571-22&amp;CardNumber=1","526-571-22")</f>
        <v>526-571-22</v>
      </c>
      <c r="B7604" t="s">
        <v>4655</v>
      </c>
      <c r="C7604" t="s">
        <v>35595</v>
      </c>
      <c r="D7604" s="1">
        <v>40485</v>
      </c>
      <c r="E7604" s="2">
        <v>181990</v>
      </c>
      <c r="F7604" t="s">
        <v>4567</v>
      </c>
      <c r="G7604" s="17" t="str">
        <f>HYPERLINK("https://www.washoecounty.gov/assessor/cama/?command=sales&amp;parid=52657122","3939466")</f>
        <v>3939466</v>
      </c>
      <c r="H7604" t="s">
        <v>35596</v>
      </c>
      <c r="I7604">
        <v>2011</v>
      </c>
      <c r="J7604">
        <v>2011</v>
      </c>
      <c r="K7604" t="s">
        <v>4554</v>
      </c>
      <c r="L7604" t="s">
        <v>3974</v>
      </c>
      <c r="M7604" s="2">
        <v>2310</v>
      </c>
      <c r="N7604" t="s">
        <v>3147</v>
      </c>
      <c r="O7604">
        <v>3</v>
      </c>
      <c r="P7604">
        <v>2</v>
      </c>
      <c r="Q7604">
        <v>1</v>
      </c>
      <c r="R7604" t="s">
        <v>5281</v>
      </c>
      <c r="S7604" t="s">
        <v>4898</v>
      </c>
      <c r="T7604" t="s">
        <v>2704</v>
      </c>
      <c r="U7604" t="s">
        <v>5631</v>
      </c>
      <c r="V7604" s="2">
        <v>463</v>
      </c>
      <c r="W7604" t="s">
        <v>4655</v>
      </c>
      <c r="X7604" s="2">
        <v>0</v>
      </c>
      <c r="Y7604">
        <v>20</v>
      </c>
      <c r="Z7604" t="s">
        <v>2048</v>
      </c>
      <c r="AA7604" s="3">
        <v>9.6441686153411907E-2</v>
      </c>
      <c r="AB7604" t="s">
        <v>35597</v>
      </c>
      <c r="AC7604" t="s">
        <v>4562</v>
      </c>
      <c r="AD7604" t="s">
        <v>35598</v>
      </c>
      <c r="AE7604" t="s">
        <v>4655</v>
      </c>
      <c r="AF7604" t="s">
        <v>4563</v>
      </c>
      <c r="AG7604" t="s">
        <v>4564</v>
      </c>
      <c r="AH7604">
        <v>89502</v>
      </c>
      <c r="AI7604" t="s">
        <v>549</v>
      </c>
      <c r="AJ7604" t="s">
        <v>4571</v>
      </c>
      <c r="AK7604" t="s">
        <v>35599</v>
      </c>
      <c r="AL7604" s="13" t="s">
        <v>1899</v>
      </c>
      <c r="AM7604" s="14">
        <v>1</v>
      </c>
      <c r="AN7604" s="15" t="s">
        <v>2039</v>
      </c>
    </row>
    <row r="7605" spans="1:40" x14ac:dyDescent="0.3">
      <c r="A7605" s="10" t="str">
        <f>HYPERLINK("http://www.washoecounty.gov/assessor/cama/?parid=526-571-23&amp;CardNumber=1","526-571-23")</f>
        <v>526-571-23</v>
      </c>
      <c r="B7605" t="s">
        <v>4655</v>
      </c>
      <c r="C7605" t="s">
        <v>35600</v>
      </c>
      <c r="D7605" s="1">
        <v>40444</v>
      </c>
      <c r="E7605" s="2">
        <v>168990</v>
      </c>
      <c r="F7605" t="s">
        <v>4567</v>
      </c>
      <c r="G7605" s="17" t="str">
        <f>HYPERLINK("https://www.washoecounty.gov/assessor/cama/?command=sales&amp;parid=52657123","3925281")</f>
        <v>3925281</v>
      </c>
      <c r="H7605" t="s">
        <v>35596</v>
      </c>
      <c r="I7605">
        <v>2010</v>
      </c>
      <c r="J7605">
        <v>2010</v>
      </c>
      <c r="K7605" t="s">
        <v>4554</v>
      </c>
      <c r="L7605" t="s">
        <v>3974</v>
      </c>
      <c r="M7605" s="2">
        <v>1761</v>
      </c>
      <c r="N7605" t="s">
        <v>5280</v>
      </c>
      <c r="O7605">
        <v>3</v>
      </c>
      <c r="P7605">
        <v>2</v>
      </c>
      <c r="Q7605">
        <v>1</v>
      </c>
      <c r="R7605" t="s">
        <v>5281</v>
      </c>
      <c r="S7605" t="s">
        <v>4898</v>
      </c>
      <c r="T7605" t="s">
        <v>2704</v>
      </c>
      <c r="U7605" t="s">
        <v>5631</v>
      </c>
      <c r="V7605" s="2">
        <v>426</v>
      </c>
      <c r="W7605" t="s">
        <v>4655</v>
      </c>
      <c r="X7605" s="2">
        <v>0</v>
      </c>
      <c r="Y7605">
        <v>20</v>
      </c>
      <c r="Z7605" t="s">
        <v>2048</v>
      </c>
      <c r="AA7605" s="3">
        <v>6.7906334996223394E-2</v>
      </c>
      <c r="AB7605" t="s">
        <v>35601</v>
      </c>
      <c r="AC7605" t="s">
        <v>4562</v>
      </c>
      <c r="AD7605" t="s">
        <v>35602</v>
      </c>
      <c r="AE7605" t="s">
        <v>4655</v>
      </c>
      <c r="AF7605" t="s">
        <v>5201</v>
      </c>
      <c r="AG7605" t="s">
        <v>4564</v>
      </c>
      <c r="AH7605" t="s">
        <v>1605</v>
      </c>
      <c r="AI7605" t="s">
        <v>549</v>
      </c>
      <c r="AJ7605" t="s">
        <v>4571</v>
      </c>
      <c r="AK7605" t="s">
        <v>35603</v>
      </c>
      <c r="AL7605" s="13" t="s">
        <v>1899</v>
      </c>
      <c r="AM7605" s="14">
        <v>1</v>
      </c>
      <c r="AN7605" s="15" t="s">
        <v>2039</v>
      </c>
    </row>
    <row r="7606" spans="1:40" x14ac:dyDescent="0.3">
      <c r="A7606" s="10" t="str">
        <f>HYPERLINK("http://www.washoecounty.gov/assessor/cama/?parid=526-572-11&amp;CardNumber=1","526-572-11")</f>
        <v>526-572-11</v>
      </c>
      <c r="B7606" t="s">
        <v>4655</v>
      </c>
      <c r="C7606" t="s">
        <v>35604</v>
      </c>
      <c r="D7606" s="1">
        <v>40340</v>
      </c>
      <c r="E7606" s="2">
        <v>187990</v>
      </c>
      <c r="F7606" t="s">
        <v>4567</v>
      </c>
      <c r="G7606" s="17" t="str">
        <f>HYPERLINK("https://www.washoecounty.gov/assessor/cama/?command=sales&amp;parid=52657211","3890825")</f>
        <v>3890825</v>
      </c>
      <c r="H7606" t="s">
        <v>2037</v>
      </c>
      <c r="I7606">
        <v>2009</v>
      </c>
      <c r="J7606">
        <v>2009</v>
      </c>
      <c r="K7606" t="s">
        <v>4554</v>
      </c>
      <c r="L7606" t="s">
        <v>3974</v>
      </c>
      <c r="M7606" s="2">
        <v>2310</v>
      </c>
      <c r="N7606" t="s">
        <v>5280</v>
      </c>
      <c r="O7606">
        <v>3</v>
      </c>
      <c r="P7606">
        <v>2</v>
      </c>
      <c r="Q7606">
        <v>1</v>
      </c>
      <c r="R7606" t="s">
        <v>5281</v>
      </c>
      <c r="S7606" t="s">
        <v>4898</v>
      </c>
      <c r="T7606" t="s">
        <v>2704</v>
      </c>
      <c r="U7606" t="s">
        <v>5631</v>
      </c>
      <c r="V7606" s="2">
        <v>463</v>
      </c>
      <c r="W7606" t="s">
        <v>4655</v>
      </c>
      <c r="X7606" s="2">
        <v>0</v>
      </c>
      <c r="Y7606">
        <v>20</v>
      </c>
      <c r="Z7606" t="s">
        <v>2048</v>
      </c>
      <c r="AA7606" s="3">
        <v>0.10245638340711601</v>
      </c>
      <c r="AB7606" t="s">
        <v>35605</v>
      </c>
      <c r="AC7606" t="s">
        <v>4562</v>
      </c>
      <c r="AD7606" t="s">
        <v>35606</v>
      </c>
      <c r="AE7606" t="s">
        <v>4655</v>
      </c>
      <c r="AF7606" t="s">
        <v>4809</v>
      </c>
      <c r="AG7606" t="s">
        <v>4564</v>
      </c>
      <c r="AH7606" t="s">
        <v>1605</v>
      </c>
      <c r="AI7606" t="s">
        <v>549</v>
      </c>
      <c r="AJ7606" t="s">
        <v>2038</v>
      </c>
      <c r="AK7606" t="s">
        <v>35607</v>
      </c>
      <c r="AL7606" s="13" t="s">
        <v>1899</v>
      </c>
      <c r="AM7606">
        <v>1</v>
      </c>
      <c r="AN7606" s="15" t="s">
        <v>2039</v>
      </c>
    </row>
    <row r="7607" spans="1:40" x14ac:dyDescent="0.3">
      <c r="A7607" s="10" t="str">
        <f>HYPERLINK("http://www.washoecounty.gov/assessor/cama/?parid=526-572-12&amp;CardNumber=1","526-572-12")</f>
        <v>526-572-12</v>
      </c>
      <c r="B7607" t="s">
        <v>4655</v>
      </c>
      <c r="C7607" t="s">
        <v>35608</v>
      </c>
      <c r="D7607" s="1">
        <v>40297</v>
      </c>
      <c r="E7607" s="2">
        <v>179900</v>
      </c>
      <c r="F7607" t="s">
        <v>4567</v>
      </c>
      <c r="G7607" s="17" t="str">
        <f>HYPERLINK("https://www.washoecounty.gov/assessor/cama/?command=sales&amp;parid=52657212","3876288")</f>
        <v>3876288</v>
      </c>
      <c r="H7607" t="s">
        <v>2037</v>
      </c>
      <c r="I7607">
        <v>2009</v>
      </c>
      <c r="J7607">
        <v>2009</v>
      </c>
      <c r="K7607" t="s">
        <v>4554</v>
      </c>
      <c r="L7607" t="s">
        <v>3974</v>
      </c>
      <c r="M7607" s="2">
        <v>2310</v>
      </c>
      <c r="N7607" t="s">
        <v>5280</v>
      </c>
      <c r="O7607">
        <v>3</v>
      </c>
      <c r="P7607">
        <v>2</v>
      </c>
      <c r="Q7607">
        <v>1</v>
      </c>
      <c r="R7607" t="s">
        <v>5281</v>
      </c>
      <c r="S7607" t="s">
        <v>4898</v>
      </c>
      <c r="T7607" t="s">
        <v>2704</v>
      </c>
      <c r="U7607" t="s">
        <v>5631</v>
      </c>
      <c r="V7607" s="2">
        <v>463</v>
      </c>
      <c r="W7607" t="s">
        <v>4655</v>
      </c>
      <c r="X7607" s="2">
        <v>0</v>
      </c>
      <c r="Y7607">
        <v>20</v>
      </c>
      <c r="Z7607" t="s">
        <v>2048</v>
      </c>
      <c r="AA7607" s="3">
        <v>0.11916895955801</v>
      </c>
      <c r="AB7607" t="s">
        <v>35609</v>
      </c>
      <c r="AC7607" t="s">
        <v>4575</v>
      </c>
      <c r="AD7607" t="s">
        <v>35608</v>
      </c>
      <c r="AE7607" t="s">
        <v>4655</v>
      </c>
      <c r="AF7607" t="s">
        <v>4809</v>
      </c>
      <c r="AG7607" t="s">
        <v>4564</v>
      </c>
      <c r="AH7607" t="s">
        <v>1605</v>
      </c>
      <c r="AI7607" t="s">
        <v>549</v>
      </c>
      <c r="AJ7607" t="s">
        <v>2038</v>
      </c>
      <c r="AK7607" t="s">
        <v>35610</v>
      </c>
      <c r="AL7607" s="13" t="s">
        <v>1899</v>
      </c>
      <c r="AM7607">
        <v>1</v>
      </c>
      <c r="AN7607" s="15" t="s">
        <v>2039</v>
      </c>
    </row>
    <row r="7608" spans="1:40" x14ac:dyDescent="0.3">
      <c r="A7608" s="10" t="str">
        <f>HYPERLINK("http://www.washoecounty.gov/assessor/cama/?parid=526-572-14&amp;CardNumber=1","526-572-14")</f>
        <v>526-572-14</v>
      </c>
      <c r="B7608" t="s">
        <v>4655</v>
      </c>
      <c r="C7608" t="s">
        <v>35611</v>
      </c>
      <c r="D7608" s="1">
        <v>40242</v>
      </c>
      <c r="E7608" s="2">
        <v>190125</v>
      </c>
      <c r="F7608" t="s">
        <v>4567</v>
      </c>
      <c r="G7608" s="17" t="str">
        <f>HYPERLINK("https://www.washoecounty.gov/assessor/cama/?command=sales&amp;parid=52657214","3856446")</f>
        <v>3856446</v>
      </c>
      <c r="H7608" t="s">
        <v>2037</v>
      </c>
      <c r="I7608">
        <v>2009</v>
      </c>
      <c r="J7608">
        <v>2009</v>
      </c>
      <c r="K7608" t="s">
        <v>4554</v>
      </c>
      <c r="L7608" t="s">
        <v>3974</v>
      </c>
      <c r="M7608" s="2">
        <v>2310</v>
      </c>
      <c r="N7608" t="s">
        <v>5280</v>
      </c>
      <c r="O7608">
        <v>3</v>
      </c>
      <c r="P7608">
        <v>2</v>
      </c>
      <c r="Q7608">
        <v>1</v>
      </c>
      <c r="R7608" t="s">
        <v>5281</v>
      </c>
      <c r="S7608" t="s">
        <v>4898</v>
      </c>
      <c r="T7608" t="s">
        <v>2704</v>
      </c>
      <c r="U7608" t="s">
        <v>5631</v>
      </c>
      <c r="V7608" s="2">
        <v>463</v>
      </c>
      <c r="W7608" t="s">
        <v>4655</v>
      </c>
      <c r="X7608" s="2">
        <v>0</v>
      </c>
      <c r="Y7608">
        <v>20</v>
      </c>
      <c r="Z7608" t="s">
        <v>2048</v>
      </c>
      <c r="AA7608" s="3">
        <v>9.4834707677364294E-2</v>
      </c>
      <c r="AB7608" t="s">
        <v>35612</v>
      </c>
      <c r="AC7608" t="s">
        <v>4562</v>
      </c>
      <c r="AD7608" t="s">
        <v>35613</v>
      </c>
      <c r="AE7608" t="s">
        <v>4655</v>
      </c>
      <c r="AF7608" t="s">
        <v>5201</v>
      </c>
      <c r="AG7608" t="s">
        <v>4564</v>
      </c>
      <c r="AH7608" t="s">
        <v>1605</v>
      </c>
      <c r="AI7608" t="s">
        <v>549</v>
      </c>
      <c r="AJ7608" t="s">
        <v>2038</v>
      </c>
      <c r="AK7608" t="s">
        <v>35614</v>
      </c>
      <c r="AL7608" s="13" t="s">
        <v>1899</v>
      </c>
      <c r="AM7608" s="14">
        <v>1</v>
      </c>
      <c r="AN7608" s="15" t="s">
        <v>2039</v>
      </c>
    </row>
    <row r="7609" spans="1:40" x14ac:dyDescent="0.3">
      <c r="A7609" s="10" t="str">
        <f>HYPERLINK("http://www.washoecounty.gov/assessor/cama/?parid=526-572-17&amp;CardNumber=1","526-572-17")</f>
        <v>526-572-17</v>
      </c>
      <c r="B7609" t="s">
        <v>4655</v>
      </c>
      <c r="C7609" t="s">
        <v>35615</v>
      </c>
      <c r="D7609" s="1">
        <v>40228</v>
      </c>
      <c r="E7609" s="2">
        <v>164990</v>
      </c>
      <c r="F7609" t="s">
        <v>3528</v>
      </c>
      <c r="G7609" s="17" t="str">
        <f>HYPERLINK("https://www.washoecounty.gov/assessor/cama/?command=sales&amp;parid=52657217","3851241")</f>
        <v>3851241</v>
      </c>
      <c r="H7609" t="s">
        <v>2037</v>
      </c>
      <c r="I7609">
        <v>2009</v>
      </c>
      <c r="J7609">
        <v>2009</v>
      </c>
      <c r="K7609" t="s">
        <v>4554</v>
      </c>
      <c r="L7609" t="s">
        <v>3974</v>
      </c>
      <c r="M7609" s="2">
        <v>1761</v>
      </c>
      <c r="N7609" t="s">
        <v>5280</v>
      </c>
      <c r="O7609">
        <v>3</v>
      </c>
      <c r="P7609">
        <v>2</v>
      </c>
      <c r="Q7609">
        <v>1</v>
      </c>
      <c r="R7609" t="s">
        <v>5281</v>
      </c>
      <c r="S7609" t="s">
        <v>4898</v>
      </c>
      <c r="T7609" t="s">
        <v>2704</v>
      </c>
      <c r="U7609" t="s">
        <v>5631</v>
      </c>
      <c r="V7609" s="2">
        <v>426</v>
      </c>
      <c r="W7609" t="s">
        <v>4655</v>
      </c>
      <c r="X7609" s="2">
        <v>0</v>
      </c>
      <c r="Y7609">
        <v>12</v>
      </c>
      <c r="Z7609" t="s">
        <v>2048</v>
      </c>
      <c r="AA7609" s="3">
        <v>6.9054178893566104E-2</v>
      </c>
      <c r="AB7609" t="s">
        <v>35616</v>
      </c>
      <c r="AC7609" t="s">
        <v>4562</v>
      </c>
      <c r="AD7609" t="s">
        <v>35617</v>
      </c>
      <c r="AE7609" t="s">
        <v>4655</v>
      </c>
      <c r="AF7609" t="s">
        <v>5201</v>
      </c>
      <c r="AG7609" t="s">
        <v>4564</v>
      </c>
      <c r="AH7609" t="s">
        <v>1605</v>
      </c>
      <c r="AI7609" t="s">
        <v>549</v>
      </c>
      <c r="AJ7609" t="s">
        <v>2038</v>
      </c>
      <c r="AK7609" t="s">
        <v>35618</v>
      </c>
      <c r="AL7609" s="13" t="s">
        <v>1899</v>
      </c>
      <c r="AM7609" s="14">
        <v>1</v>
      </c>
      <c r="AN7609" s="15" t="s">
        <v>2039</v>
      </c>
    </row>
    <row r="7610" spans="1:40" x14ac:dyDescent="0.3">
      <c r="A7610" s="10" t="str">
        <f>HYPERLINK("http://www.washoecounty.gov/assessor/cama/?parid=526-572-17&amp;CardNumber=1","526-572-17")</f>
        <v>526-572-17</v>
      </c>
      <c r="B7610" t="s">
        <v>4655</v>
      </c>
      <c r="C7610" t="s">
        <v>35615</v>
      </c>
      <c r="D7610" s="1">
        <v>40245</v>
      </c>
      <c r="E7610" s="2">
        <v>164990</v>
      </c>
      <c r="F7610" t="s">
        <v>4567</v>
      </c>
      <c r="G7610" s="17" t="str">
        <f>HYPERLINK("https://www.washoecounty.gov/assessor/cama/?command=sales&amp;parid=52657217","3851241")</f>
        <v>3851241</v>
      </c>
      <c r="H7610" t="s">
        <v>2037</v>
      </c>
      <c r="I7610">
        <v>2009</v>
      </c>
      <c r="J7610">
        <v>2009</v>
      </c>
      <c r="K7610" t="s">
        <v>4554</v>
      </c>
      <c r="L7610" t="s">
        <v>3974</v>
      </c>
      <c r="M7610" s="2">
        <v>1761</v>
      </c>
      <c r="N7610" t="s">
        <v>5280</v>
      </c>
      <c r="O7610">
        <v>3</v>
      </c>
      <c r="P7610">
        <v>2</v>
      </c>
      <c r="Q7610">
        <v>1</v>
      </c>
      <c r="R7610" t="s">
        <v>5281</v>
      </c>
      <c r="S7610" t="s">
        <v>4898</v>
      </c>
      <c r="T7610" t="s">
        <v>2704</v>
      </c>
      <c r="U7610" t="s">
        <v>5631</v>
      </c>
      <c r="V7610" s="2">
        <v>426</v>
      </c>
      <c r="W7610" t="s">
        <v>4655</v>
      </c>
      <c r="X7610" s="2">
        <v>0</v>
      </c>
      <c r="Y7610">
        <v>20</v>
      </c>
      <c r="Z7610" t="s">
        <v>2048</v>
      </c>
      <c r="AA7610" s="3">
        <v>6.9054178893566104E-2</v>
      </c>
      <c r="AB7610" t="s">
        <v>35616</v>
      </c>
      <c r="AC7610" t="s">
        <v>4562</v>
      </c>
      <c r="AD7610" t="s">
        <v>35617</v>
      </c>
      <c r="AE7610" t="s">
        <v>4655</v>
      </c>
      <c r="AF7610" t="s">
        <v>5201</v>
      </c>
      <c r="AG7610" t="s">
        <v>4564</v>
      </c>
      <c r="AH7610" t="s">
        <v>1605</v>
      </c>
      <c r="AI7610" t="s">
        <v>549</v>
      </c>
      <c r="AJ7610" t="s">
        <v>2038</v>
      </c>
      <c r="AK7610" t="s">
        <v>35618</v>
      </c>
      <c r="AL7610" s="13" t="s">
        <v>1899</v>
      </c>
      <c r="AM7610">
        <v>1</v>
      </c>
      <c r="AN7610" s="15" t="s">
        <v>2039</v>
      </c>
    </row>
    <row r="7611" spans="1:40" x14ac:dyDescent="0.3">
      <c r="A7611" s="10" t="str">
        <f>HYPERLINK("http://www.washoecounty.gov/assessor/cama/?parid=526-572-18&amp;CardNumber=1","526-572-18")</f>
        <v>526-572-18</v>
      </c>
      <c r="B7611" t="s">
        <v>4655</v>
      </c>
      <c r="C7611" t="s">
        <v>35619</v>
      </c>
      <c r="D7611" s="1">
        <v>40268</v>
      </c>
      <c r="E7611" s="2">
        <v>164990</v>
      </c>
      <c r="F7611" t="s">
        <v>4567</v>
      </c>
      <c r="G7611" s="17" t="str">
        <f>HYPERLINK("https://www.washoecounty.gov/assessor/cama/?command=sales&amp;parid=52657218","3866426")</f>
        <v>3866426</v>
      </c>
      <c r="H7611" t="s">
        <v>2037</v>
      </c>
      <c r="I7611">
        <v>2009</v>
      </c>
      <c r="J7611">
        <v>2009</v>
      </c>
      <c r="K7611" t="s">
        <v>4554</v>
      </c>
      <c r="L7611" t="s">
        <v>3974</v>
      </c>
      <c r="M7611" s="2">
        <v>1761</v>
      </c>
      <c r="N7611" t="s">
        <v>5280</v>
      </c>
      <c r="O7611">
        <v>3</v>
      </c>
      <c r="P7611">
        <v>2</v>
      </c>
      <c r="Q7611">
        <v>1</v>
      </c>
      <c r="R7611" t="s">
        <v>5281</v>
      </c>
      <c r="S7611" t="s">
        <v>4898</v>
      </c>
      <c r="T7611" t="s">
        <v>2704</v>
      </c>
      <c r="U7611" t="s">
        <v>5631</v>
      </c>
      <c r="V7611" s="2">
        <v>426</v>
      </c>
      <c r="W7611" t="s">
        <v>4655</v>
      </c>
      <c r="X7611" s="2">
        <v>0</v>
      </c>
      <c r="Y7611">
        <v>20</v>
      </c>
      <c r="Z7611" t="s">
        <v>2048</v>
      </c>
      <c r="AA7611" s="3">
        <v>8.2415059208869906E-2</v>
      </c>
      <c r="AB7611" t="s">
        <v>35620</v>
      </c>
      <c r="AC7611" t="s">
        <v>4562</v>
      </c>
      <c r="AD7611" t="s">
        <v>35621</v>
      </c>
      <c r="AE7611" t="s">
        <v>4655</v>
      </c>
      <c r="AF7611" t="s">
        <v>35622</v>
      </c>
      <c r="AG7611" t="s">
        <v>4584</v>
      </c>
      <c r="AH7611">
        <v>94037</v>
      </c>
      <c r="AI7611" t="s">
        <v>549</v>
      </c>
      <c r="AJ7611" t="s">
        <v>2038</v>
      </c>
      <c r="AK7611" t="s">
        <v>35623</v>
      </c>
      <c r="AL7611" s="13" t="s">
        <v>1899</v>
      </c>
      <c r="AM7611">
        <v>1</v>
      </c>
      <c r="AN7611" s="15" t="s">
        <v>2039</v>
      </c>
    </row>
    <row r="7612" spans="1:40" x14ac:dyDescent="0.3">
      <c r="A7612" s="10" t="str">
        <f>HYPERLINK("http://www.washoecounty.gov/assessor/cama/?parid=526-572-28&amp;CardNumber=1","526-572-28")</f>
        <v>526-572-28</v>
      </c>
      <c r="B7612" t="s">
        <v>4655</v>
      </c>
      <c r="C7612" t="s">
        <v>35624</v>
      </c>
      <c r="D7612" s="1">
        <v>40394</v>
      </c>
      <c r="E7612" s="2">
        <v>167990</v>
      </c>
      <c r="F7612" t="s">
        <v>4567</v>
      </c>
      <c r="G7612" s="17" t="str">
        <f>HYPERLINK("https://www.washoecounty.gov/assessor/cama/?command=sales&amp;parid=52657228","3908805")</f>
        <v>3908805</v>
      </c>
      <c r="H7612" t="s">
        <v>35596</v>
      </c>
      <c r="I7612">
        <v>2009</v>
      </c>
      <c r="J7612">
        <v>2009</v>
      </c>
      <c r="K7612" t="s">
        <v>4554</v>
      </c>
      <c r="L7612" t="s">
        <v>3974</v>
      </c>
      <c r="M7612" s="2">
        <v>1761</v>
      </c>
      <c r="N7612" t="s">
        <v>5280</v>
      </c>
      <c r="O7612">
        <v>3</v>
      </c>
      <c r="P7612">
        <v>2</v>
      </c>
      <c r="Q7612">
        <v>1</v>
      </c>
      <c r="R7612" t="s">
        <v>5281</v>
      </c>
      <c r="S7612" t="s">
        <v>4898</v>
      </c>
      <c r="T7612" t="s">
        <v>2704</v>
      </c>
      <c r="U7612" t="s">
        <v>5631</v>
      </c>
      <c r="V7612" s="2">
        <v>426</v>
      </c>
      <c r="W7612" t="s">
        <v>4655</v>
      </c>
      <c r="X7612" s="2">
        <v>0</v>
      </c>
      <c r="Y7612">
        <v>20</v>
      </c>
      <c r="Z7612" t="s">
        <v>2048</v>
      </c>
      <c r="AA7612" s="3">
        <v>7.7203854918479906E-2</v>
      </c>
      <c r="AB7612" t="s">
        <v>35625</v>
      </c>
      <c r="AC7612" t="s">
        <v>4562</v>
      </c>
      <c r="AD7612" t="s">
        <v>35624</v>
      </c>
      <c r="AE7612" t="s">
        <v>4655</v>
      </c>
      <c r="AF7612" t="s">
        <v>4809</v>
      </c>
      <c r="AG7612" t="s">
        <v>4564</v>
      </c>
      <c r="AH7612" t="s">
        <v>1605</v>
      </c>
      <c r="AI7612" t="s">
        <v>549</v>
      </c>
      <c r="AJ7612" t="s">
        <v>4571</v>
      </c>
      <c r="AK7612" t="s">
        <v>35626</v>
      </c>
      <c r="AL7612" s="13" t="s">
        <v>1899</v>
      </c>
      <c r="AM7612" s="14">
        <v>1</v>
      </c>
      <c r="AN7612" s="15" t="s">
        <v>2039</v>
      </c>
    </row>
    <row r="7613" spans="1:40" x14ac:dyDescent="0.3">
      <c r="A7613" s="10" t="str">
        <f>HYPERLINK("http://www.washoecounty.gov/assessor/cama/?parid=526-572-29&amp;CardNumber=1","526-572-29")</f>
        <v>526-572-29</v>
      </c>
      <c r="B7613" t="s">
        <v>4655</v>
      </c>
      <c r="C7613" t="s">
        <v>35627</v>
      </c>
      <c r="D7613" s="1">
        <v>40340</v>
      </c>
      <c r="E7613" s="2">
        <v>164990</v>
      </c>
      <c r="F7613" t="s">
        <v>4567</v>
      </c>
      <c r="G7613" s="17" t="str">
        <f>HYPERLINK("https://www.washoecounty.gov/assessor/cama/?command=sales&amp;parid=52657229","3890963")</f>
        <v>3890963</v>
      </c>
      <c r="H7613" t="s">
        <v>35596</v>
      </c>
      <c r="I7613">
        <v>2009</v>
      </c>
      <c r="J7613">
        <v>2009</v>
      </c>
      <c r="K7613" t="s">
        <v>4554</v>
      </c>
      <c r="L7613" t="s">
        <v>3974</v>
      </c>
      <c r="M7613" s="2">
        <v>1761</v>
      </c>
      <c r="N7613" t="s">
        <v>5280</v>
      </c>
      <c r="O7613">
        <v>3</v>
      </c>
      <c r="P7613">
        <v>2</v>
      </c>
      <c r="Q7613">
        <v>1</v>
      </c>
      <c r="R7613" t="s">
        <v>5281</v>
      </c>
      <c r="S7613" t="s">
        <v>4898</v>
      </c>
      <c r="T7613" t="s">
        <v>2704</v>
      </c>
      <c r="U7613" t="s">
        <v>5631</v>
      </c>
      <c r="V7613" s="2">
        <v>426</v>
      </c>
      <c r="W7613" t="s">
        <v>4655</v>
      </c>
      <c r="X7613" s="2">
        <v>0</v>
      </c>
      <c r="Y7613">
        <v>20</v>
      </c>
      <c r="Z7613" t="s">
        <v>2048</v>
      </c>
      <c r="AA7613" s="3">
        <v>6.6391184926033006E-2</v>
      </c>
      <c r="AB7613" t="s">
        <v>35628</v>
      </c>
      <c r="AC7613" t="s">
        <v>4562</v>
      </c>
      <c r="AD7613" t="s">
        <v>35629</v>
      </c>
      <c r="AE7613" t="s">
        <v>4655</v>
      </c>
      <c r="AF7613" t="s">
        <v>4809</v>
      </c>
      <c r="AG7613" t="s">
        <v>4564</v>
      </c>
      <c r="AH7613" t="s">
        <v>1605</v>
      </c>
      <c r="AI7613" t="s">
        <v>549</v>
      </c>
      <c r="AJ7613" t="s">
        <v>4571</v>
      </c>
      <c r="AK7613" t="s">
        <v>35630</v>
      </c>
      <c r="AL7613" s="13" t="s">
        <v>1899</v>
      </c>
      <c r="AM7613">
        <v>1</v>
      </c>
      <c r="AN7613" s="15" t="s">
        <v>2039</v>
      </c>
    </row>
    <row r="7614" spans="1:40" x14ac:dyDescent="0.3">
      <c r="A7614" s="10" t="str">
        <f>HYPERLINK("http://www.washoecounty.gov/assessor/cama/?parid=526-572-31&amp;CardNumber=1","526-572-31")</f>
        <v>526-572-31</v>
      </c>
      <c r="B7614" t="s">
        <v>4655</v>
      </c>
      <c r="C7614" t="s">
        <v>35631</v>
      </c>
      <c r="D7614" s="1">
        <v>40263</v>
      </c>
      <c r="E7614" s="2">
        <v>184990</v>
      </c>
      <c r="F7614" t="s">
        <v>4567</v>
      </c>
      <c r="G7614" s="17" t="str">
        <f>HYPERLINK("https://www.washoecounty.gov/assessor/cama/?command=sales&amp;parid=52657231","3864519")</f>
        <v>3864519</v>
      </c>
      <c r="H7614" t="s">
        <v>35596</v>
      </c>
      <c r="I7614">
        <v>2009</v>
      </c>
      <c r="J7614">
        <v>2009</v>
      </c>
      <c r="K7614" t="s">
        <v>4554</v>
      </c>
      <c r="L7614" t="s">
        <v>3974</v>
      </c>
      <c r="M7614" s="2">
        <v>2310</v>
      </c>
      <c r="N7614" t="s">
        <v>5280</v>
      </c>
      <c r="O7614">
        <v>3</v>
      </c>
      <c r="P7614">
        <v>2</v>
      </c>
      <c r="Q7614">
        <v>1</v>
      </c>
      <c r="R7614" t="s">
        <v>5281</v>
      </c>
      <c r="S7614" t="s">
        <v>4898</v>
      </c>
      <c r="T7614" t="s">
        <v>2704</v>
      </c>
      <c r="U7614" t="s">
        <v>5631</v>
      </c>
      <c r="V7614" s="2">
        <v>463</v>
      </c>
      <c r="W7614" t="s">
        <v>4655</v>
      </c>
      <c r="X7614" s="2">
        <v>0</v>
      </c>
      <c r="Y7614">
        <v>20</v>
      </c>
      <c r="Z7614" t="s">
        <v>2048</v>
      </c>
      <c r="AA7614" s="3">
        <v>9.6143253147602095E-2</v>
      </c>
      <c r="AB7614" t="s">
        <v>35632</v>
      </c>
      <c r="AC7614" t="s">
        <v>4562</v>
      </c>
      <c r="AD7614" t="s">
        <v>35633</v>
      </c>
      <c r="AE7614" t="s">
        <v>4655</v>
      </c>
      <c r="AF7614" t="s">
        <v>5201</v>
      </c>
      <c r="AG7614" t="s">
        <v>4564</v>
      </c>
      <c r="AH7614" t="s">
        <v>1605</v>
      </c>
      <c r="AI7614" t="s">
        <v>549</v>
      </c>
      <c r="AJ7614" t="s">
        <v>4571</v>
      </c>
      <c r="AK7614" t="s">
        <v>35634</v>
      </c>
      <c r="AL7614" s="13" t="s">
        <v>1899</v>
      </c>
      <c r="AM7614">
        <v>1</v>
      </c>
      <c r="AN7614" s="15" t="s">
        <v>2039</v>
      </c>
    </row>
    <row r="7615" spans="1:40" x14ac:dyDescent="0.3">
      <c r="A7615" s="10" t="str">
        <f>HYPERLINK("http://www.washoecounty.gov/assessor/cama/?parid=526-572-32&amp;CardNumber=1","526-572-32")</f>
        <v>526-572-32</v>
      </c>
      <c r="B7615" t="s">
        <v>4655</v>
      </c>
      <c r="C7615" t="s">
        <v>35635</v>
      </c>
      <c r="D7615" s="1">
        <v>40248</v>
      </c>
      <c r="E7615" s="2">
        <v>169990</v>
      </c>
      <c r="F7615" t="s">
        <v>4567</v>
      </c>
      <c r="G7615" s="17" t="str">
        <f>HYPERLINK("https://www.washoecounty.gov/assessor/cama/?command=sales&amp;parid=52657232","3858580")</f>
        <v>3858580</v>
      </c>
      <c r="H7615" t="s">
        <v>35596</v>
      </c>
      <c r="I7615">
        <v>2009</v>
      </c>
      <c r="J7615">
        <v>2009</v>
      </c>
      <c r="K7615" t="s">
        <v>4554</v>
      </c>
      <c r="L7615" t="s">
        <v>3974</v>
      </c>
      <c r="M7615" s="2">
        <v>1761</v>
      </c>
      <c r="N7615" t="s">
        <v>5280</v>
      </c>
      <c r="O7615">
        <v>3</v>
      </c>
      <c r="P7615">
        <v>2</v>
      </c>
      <c r="Q7615">
        <v>1</v>
      </c>
      <c r="R7615" t="s">
        <v>5281</v>
      </c>
      <c r="S7615" t="s">
        <v>4898</v>
      </c>
      <c r="T7615" t="s">
        <v>2704</v>
      </c>
      <c r="U7615" t="s">
        <v>5631</v>
      </c>
      <c r="V7615" s="2">
        <v>426</v>
      </c>
      <c r="W7615" t="s">
        <v>4655</v>
      </c>
      <c r="X7615" s="2">
        <v>0</v>
      </c>
      <c r="Y7615">
        <v>20</v>
      </c>
      <c r="Z7615" t="s">
        <v>2048</v>
      </c>
      <c r="AA7615" s="3">
        <v>6.6391184926033006E-2</v>
      </c>
      <c r="AB7615" t="s">
        <v>35636</v>
      </c>
      <c r="AC7615" t="s">
        <v>4562</v>
      </c>
      <c r="AD7615" t="s">
        <v>35637</v>
      </c>
      <c r="AE7615" t="s">
        <v>4655</v>
      </c>
      <c r="AF7615" t="s">
        <v>5201</v>
      </c>
      <c r="AG7615" t="s">
        <v>4564</v>
      </c>
      <c r="AH7615" t="s">
        <v>1605</v>
      </c>
      <c r="AI7615" t="s">
        <v>549</v>
      </c>
      <c r="AJ7615" t="s">
        <v>4571</v>
      </c>
      <c r="AK7615" t="s">
        <v>35638</v>
      </c>
      <c r="AL7615" s="13" t="s">
        <v>1899</v>
      </c>
      <c r="AM7615" s="14">
        <v>1</v>
      </c>
      <c r="AN7615" s="15" t="s">
        <v>2039</v>
      </c>
    </row>
    <row r="7616" spans="1:40" x14ac:dyDescent="0.3">
      <c r="A7616" s="10" t="str">
        <f>HYPERLINK("http://www.washoecounty.gov/assessor/cama/?parid=526-582-12&amp;CardNumber=1","526-582-12")</f>
        <v>526-582-12</v>
      </c>
      <c r="B7616" t="s">
        <v>4655</v>
      </c>
      <c r="C7616" t="s">
        <v>35639</v>
      </c>
      <c r="D7616" s="1">
        <v>40431</v>
      </c>
      <c r="E7616" s="2">
        <v>147000</v>
      </c>
      <c r="F7616" t="s">
        <v>4553</v>
      </c>
      <c r="G7616" s="17" t="str">
        <f>HYPERLINK("https://www.washoecounty.gov/assessor/cama/?command=sales&amp;parid=52658212","3921155")</f>
        <v>3921155</v>
      </c>
      <c r="H7616" t="s">
        <v>2037</v>
      </c>
      <c r="I7616">
        <v>2007</v>
      </c>
      <c r="J7616">
        <v>2007</v>
      </c>
      <c r="K7616" t="s">
        <v>4554</v>
      </c>
      <c r="L7616" t="s">
        <v>3974</v>
      </c>
      <c r="M7616" s="2">
        <v>1761</v>
      </c>
      <c r="N7616" t="s">
        <v>5280</v>
      </c>
      <c r="O7616">
        <v>3</v>
      </c>
      <c r="P7616">
        <v>2</v>
      </c>
      <c r="Q7616">
        <v>1</v>
      </c>
      <c r="R7616" t="s">
        <v>5281</v>
      </c>
      <c r="S7616" t="s">
        <v>4898</v>
      </c>
      <c r="T7616" t="s">
        <v>2704</v>
      </c>
      <c r="U7616" t="s">
        <v>5631</v>
      </c>
      <c r="V7616" s="2">
        <v>426</v>
      </c>
      <c r="W7616" t="s">
        <v>4655</v>
      </c>
      <c r="X7616" s="2">
        <v>0</v>
      </c>
      <c r="Y7616">
        <v>20</v>
      </c>
      <c r="Z7616" t="s">
        <v>2048</v>
      </c>
      <c r="AA7616" s="3">
        <v>6.9077134132385296E-2</v>
      </c>
      <c r="AB7616" t="s">
        <v>35640</v>
      </c>
      <c r="AC7616" t="s">
        <v>4575</v>
      </c>
      <c r="AD7616" t="s">
        <v>35641</v>
      </c>
      <c r="AE7616" t="s">
        <v>4655</v>
      </c>
      <c r="AF7616" t="s">
        <v>5201</v>
      </c>
      <c r="AG7616" t="s">
        <v>4564</v>
      </c>
      <c r="AH7616" t="s">
        <v>1605</v>
      </c>
      <c r="AI7616" t="s">
        <v>949</v>
      </c>
      <c r="AJ7616" t="s">
        <v>2038</v>
      </c>
      <c r="AK7616" t="s">
        <v>35642</v>
      </c>
      <c r="AL7616" s="13" t="s">
        <v>1899</v>
      </c>
      <c r="AM7616" s="14">
        <v>1</v>
      </c>
      <c r="AN7616" s="15" t="s">
        <v>2039</v>
      </c>
    </row>
    <row r="7617" spans="1:40" x14ac:dyDescent="0.3">
      <c r="A7617" s="10" t="str">
        <f>HYPERLINK("http://www.washoecounty.gov/assessor/cama/?parid=526-582-19&amp;CardNumber=1","526-582-19")</f>
        <v>526-582-19</v>
      </c>
      <c r="B7617" t="s">
        <v>4655</v>
      </c>
      <c r="C7617" t="s">
        <v>35643</v>
      </c>
      <c r="D7617" s="1">
        <v>40413</v>
      </c>
      <c r="E7617" s="2">
        <v>155000</v>
      </c>
      <c r="F7617" t="s">
        <v>4553</v>
      </c>
      <c r="G7617" s="17" t="str">
        <f>HYPERLINK("https://www.washoecounty.gov/assessor/cama/?command=sales&amp;parid=52658219","3914534")</f>
        <v>3914534</v>
      </c>
      <c r="H7617" t="s">
        <v>2037</v>
      </c>
      <c r="I7617">
        <v>2007</v>
      </c>
      <c r="J7617">
        <v>2007</v>
      </c>
      <c r="K7617" t="s">
        <v>4554</v>
      </c>
      <c r="L7617" t="s">
        <v>3974</v>
      </c>
      <c r="M7617" s="2">
        <v>1761</v>
      </c>
      <c r="N7617" t="s">
        <v>5280</v>
      </c>
      <c r="O7617">
        <v>3</v>
      </c>
      <c r="P7617">
        <v>2</v>
      </c>
      <c r="Q7617">
        <v>1</v>
      </c>
      <c r="R7617" t="s">
        <v>5281</v>
      </c>
      <c r="S7617" t="s">
        <v>4898</v>
      </c>
      <c r="T7617" t="s">
        <v>2704</v>
      </c>
      <c r="U7617" t="s">
        <v>5631</v>
      </c>
      <c r="V7617" s="2">
        <v>426</v>
      </c>
      <c r="W7617" t="s">
        <v>4655</v>
      </c>
      <c r="X7617" s="2">
        <v>0</v>
      </c>
      <c r="Y7617">
        <v>20</v>
      </c>
      <c r="Z7617" t="s">
        <v>2048</v>
      </c>
      <c r="AA7617" s="3">
        <v>6.6115699708461803E-2</v>
      </c>
      <c r="AB7617" t="s">
        <v>35644</v>
      </c>
      <c r="AC7617" t="s">
        <v>4562</v>
      </c>
      <c r="AD7617" t="s">
        <v>35645</v>
      </c>
      <c r="AE7617" t="s">
        <v>4655</v>
      </c>
      <c r="AF7617" t="s">
        <v>5201</v>
      </c>
      <c r="AG7617" t="s">
        <v>4564</v>
      </c>
      <c r="AH7617" t="s">
        <v>1605</v>
      </c>
      <c r="AI7617" t="s">
        <v>4903</v>
      </c>
      <c r="AJ7617" t="s">
        <v>2038</v>
      </c>
      <c r="AK7617" t="s">
        <v>35646</v>
      </c>
      <c r="AL7617" s="13" t="s">
        <v>1899</v>
      </c>
      <c r="AM7617" s="14">
        <v>1</v>
      </c>
      <c r="AN7617" s="15" t="s">
        <v>2039</v>
      </c>
    </row>
    <row r="7618" spans="1:40" x14ac:dyDescent="0.3">
      <c r="A7618" s="10" t="str">
        <f>HYPERLINK("http://www.washoecounty.gov/assessor/cama/?parid=526-601-06&amp;CardNumber=1","526-601-06")</f>
        <v>526-601-06</v>
      </c>
      <c r="B7618" t="s">
        <v>4655</v>
      </c>
      <c r="C7618" t="s">
        <v>35647</v>
      </c>
      <c r="D7618" s="1">
        <v>40184</v>
      </c>
      <c r="E7618" s="2">
        <v>169000</v>
      </c>
      <c r="F7618" t="s">
        <v>4553</v>
      </c>
      <c r="G7618" s="17" t="str">
        <f>HYPERLINK("https://www.washoecounty.gov/assessor/cama/?command=sales&amp;parid=52660106","3836936")</f>
        <v>3836936</v>
      </c>
      <c r="H7618" t="s">
        <v>2037</v>
      </c>
      <c r="I7618">
        <v>2008</v>
      </c>
      <c r="J7618">
        <v>2008</v>
      </c>
      <c r="K7618" t="s">
        <v>4554</v>
      </c>
      <c r="L7618" t="s">
        <v>3974</v>
      </c>
      <c r="M7618" s="2">
        <v>2085</v>
      </c>
      <c r="N7618" t="s">
        <v>5280</v>
      </c>
      <c r="O7618">
        <v>4</v>
      </c>
      <c r="P7618">
        <v>3</v>
      </c>
      <c r="Q7618">
        <v>0</v>
      </c>
      <c r="R7618" t="s">
        <v>5281</v>
      </c>
      <c r="S7618" t="s">
        <v>4898</v>
      </c>
      <c r="T7618" t="s">
        <v>2704</v>
      </c>
      <c r="U7618" t="s">
        <v>5631</v>
      </c>
      <c r="V7618" s="2">
        <v>429</v>
      </c>
      <c r="W7618" t="s">
        <v>4655</v>
      </c>
      <c r="X7618" s="2">
        <v>0</v>
      </c>
      <c r="Y7618">
        <v>20</v>
      </c>
      <c r="Z7618" t="s">
        <v>2048</v>
      </c>
      <c r="AA7618" s="3">
        <v>9.7107440233230605E-2</v>
      </c>
      <c r="AB7618" t="s">
        <v>35648</v>
      </c>
      <c r="AC7618" t="s">
        <v>4562</v>
      </c>
      <c r="AD7618" t="s">
        <v>35647</v>
      </c>
      <c r="AE7618" t="s">
        <v>4655</v>
      </c>
      <c r="AF7618" t="s">
        <v>5201</v>
      </c>
      <c r="AG7618" t="s">
        <v>4564</v>
      </c>
      <c r="AH7618" t="s">
        <v>1605</v>
      </c>
      <c r="AI7618" t="s">
        <v>4903</v>
      </c>
      <c r="AJ7618" t="s">
        <v>2038</v>
      </c>
      <c r="AK7618" t="s">
        <v>35649</v>
      </c>
      <c r="AL7618" s="13" t="s">
        <v>1899</v>
      </c>
      <c r="AM7618">
        <v>1</v>
      </c>
      <c r="AN7618" s="15" t="s">
        <v>2039</v>
      </c>
    </row>
    <row r="7619" spans="1:40" x14ac:dyDescent="0.3">
      <c r="A7619" s="10" t="str">
        <f>HYPERLINK("http://www.washoecounty.gov/assessor/cama/?parid=526-611-01&amp;CardNumber=1","526-611-01")</f>
        <v>526-611-01</v>
      </c>
      <c r="B7619" t="s">
        <v>4655</v>
      </c>
      <c r="C7619" t="s">
        <v>35650</v>
      </c>
      <c r="D7619" s="1">
        <v>40290</v>
      </c>
      <c r="E7619" s="2">
        <v>180990</v>
      </c>
      <c r="F7619" t="s">
        <v>4567</v>
      </c>
      <c r="G7619" s="17" t="str">
        <f>HYPERLINK("https://www.washoecounty.gov/assessor/cama/?command=sales&amp;parid=52661101","3873571")</f>
        <v>3873571</v>
      </c>
      <c r="H7619" t="s">
        <v>2037</v>
      </c>
      <c r="I7619">
        <v>2009</v>
      </c>
      <c r="J7619">
        <v>2009</v>
      </c>
      <c r="K7619" t="s">
        <v>4554</v>
      </c>
      <c r="L7619" t="s">
        <v>3974</v>
      </c>
      <c r="M7619" s="2">
        <v>2031</v>
      </c>
      <c r="N7619" t="s">
        <v>5280</v>
      </c>
      <c r="O7619">
        <v>3</v>
      </c>
      <c r="P7619">
        <v>2</v>
      </c>
      <c r="Q7619">
        <v>1</v>
      </c>
      <c r="R7619" t="s">
        <v>5281</v>
      </c>
      <c r="S7619" t="s">
        <v>4898</v>
      </c>
      <c r="T7619" t="s">
        <v>2704</v>
      </c>
      <c r="U7619" t="s">
        <v>5631</v>
      </c>
      <c r="V7619" s="2">
        <v>453</v>
      </c>
      <c r="W7619" t="s">
        <v>4655</v>
      </c>
      <c r="X7619" s="2">
        <v>0</v>
      </c>
      <c r="Y7619">
        <v>20</v>
      </c>
      <c r="Z7619" t="s">
        <v>2048</v>
      </c>
      <c r="AA7619" s="3">
        <v>0.1286960542202</v>
      </c>
      <c r="AB7619" t="s">
        <v>35651</v>
      </c>
      <c r="AC7619" t="s">
        <v>4562</v>
      </c>
      <c r="AD7619" t="s">
        <v>35652</v>
      </c>
      <c r="AE7619" t="s">
        <v>4655</v>
      </c>
      <c r="AF7619" t="s">
        <v>35653</v>
      </c>
      <c r="AG7619" t="s">
        <v>3370</v>
      </c>
      <c r="AH7619" t="s">
        <v>35654</v>
      </c>
      <c r="AI7619" t="s">
        <v>549</v>
      </c>
      <c r="AJ7619" t="s">
        <v>2038</v>
      </c>
      <c r="AK7619" t="s">
        <v>35655</v>
      </c>
      <c r="AL7619" s="13" t="s">
        <v>1899</v>
      </c>
      <c r="AM7619">
        <v>1</v>
      </c>
      <c r="AN7619" s="15" t="s">
        <v>2039</v>
      </c>
    </row>
    <row r="7620" spans="1:40" x14ac:dyDescent="0.3">
      <c r="A7620" s="10" t="str">
        <f>HYPERLINK("http://www.washoecounty.gov/assessor/cama/?parid=526-611-04&amp;CardNumber=1","526-611-04")</f>
        <v>526-611-04</v>
      </c>
      <c r="B7620" t="s">
        <v>4655</v>
      </c>
      <c r="C7620" t="s">
        <v>35656</v>
      </c>
      <c r="D7620" s="1">
        <v>40413</v>
      </c>
      <c r="E7620" s="2">
        <v>164990</v>
      </c>
      <c r="F7620" t="s">
        <v>4567</v>
      </c>
      <c r="G7620" s="17" t="str">
        <f>HYPERLINK("https://www.washoecounty.gov/assessor/cama/?command=sales&amp;parid=52661104","3914531")</f>
        <v>3914531</v>
      </c>
      <c r="H7620" t="s">
        <v>2037</v>
      </c>
      <c r="I7620">
        <v>2009</v>
      </c>
      <c r="J7620">
        <v>2009</v>
      </c>
      <c r="K7620" t="s">
        <v>4554</v>
      </c>
      <c r="L7620" t="s">
        <v>3974</v>
      </c>
      <c r="M7620" s="2">
        <v>1761</v>
      </c>
      <c r="N7620" t="s">
        <v>5280</v>
      </c>
      <c r="O7620">
        <v>3</v>
      </c>
      <c r="P7620">
        <v>2</v>
      </c>
      <c r="Q7620">
        <v>1</v>
      </c>
      <c r="R7620" t="s">
        <v>5281</v>
      </c>
      <c r="S7620" t="s">
        <v>4898</v>
      </c>
      <c r="T7620" t="s">
        <v>2704</v>
      </c>
      <c r="U7620" t="s">
        <v>5631</v>
      </c>
      <c r="V7620" s="2">
        <v>426</v>
      </c>
      <c r="W7620" t="s">
        <v>4655</v>
      </c>
      <c r="X7620" s="2">
        <v>0</v>
      </c>
      <c r="Y7620">
        <v>20</v>
      </c>
      <c r="Z7620" t="s">
        <v>2048</v>
      </c>
      <c r="AA7620" s="3">
        <v>6.6414140164852101E-2</v>
      </c>
      <c r="AB7620" t="s">
        <v>35657</v>
      </c>
      <c r="AC7620" t="s">
        <v>4562</v>
      </c>
      <c r="AD7620" t="s">
        <v>35658</v>
      </c>
      <c r="AE7620" t="s">
        <v>4655</v>
      </c>
      <c r="AF7620" t="s">
        <v>5201</v>
      </c>
      <c r="AG7620" t="s">
        <v>4564</v>
      </c>
      <c r="AH7620" t="s">
        <v>1605</v>
      </c>
      <c r="AI7620" t="s">
        <v>549</v>
      </c>
      <c r="AJ7620" t="s">
        <v>2038</v>
      </c>
      <c r="AK7620" t="s">
        <v>35659</v>
      </c>
      <c r="AL7620" s="13" t="s">
        <v>1899</v>
      </c>
      <c r="AM7620" s="14">
        <v>1</v>
      </c>
      <c r="AN7620" s="15" t="s">
        <v>2039</v>
      </c>
    </row>
    <row r="7621" spans="1:40" x14ac:dyDescent="0.3">
      <c r="A7621" s="10" t="str">
        <f>HYPERLINK("http://www.washoecounty.gov/assessor/cama/?parid=526-611-05&amp;CardNumber=1","526-611-05")</f>
        <v>526-611-05</v>
      </c>
      <c r="B7621" t="s">
        <v>4655</v>
      </c>
      <c r="C7621" t="s">
        <v>35660</v>
      </c>
      <c r="D7621" s="1">
        <v>40297</v>
      </c>
      <c r="E7621" s="2">
        <v>179990</v>
      </c>
      <c r="F7621" t="s">
        <v>4567</v>
      </c>
      <c r="G7621" s="17" t="str">
        <f>HYPERLINK("https://www.washoecounty.gov/assessor/cama/?command=sales&amp;parid=52661105","3876044")</f>
        <v>3876044</v>
      </c>
      <c r="H7621" t="s">
        <v>2037</v>
      </c>
      <c r="I7621">
        <v>2009</v>
      </c>
      <c r="J7621">
        <v>2009</v>
      </c>
      <c r="K7621" t="s">
        <v>4554</v>
      </c>
      <c r="L7621" t="s">
        <v>3974</v>
      </c>
      <c r="M7621" s="2">
        <v>2310</v>
      </c>
      <c r="N7621" t="s">
        <v>5280</v>
      </c>
      <c r="O7621">
        <v>3</v>
      </c>
      <c r="P7621">
        <v>2</v>
      </c>
      <c r="Q7621">
        <v>1</v>
      </c>
      <c r="R7621" t="s">
        <v>5281</v>
      </c>
      <c r="S7621" t="s">
        <v>4898</v>
      </c>
      <c r="T7621" t="s">
        <v>2704</v>
      </c>
      <c r="U7621" t="s">
        <v>5631</v>
      </c>
      <c r="V7621" s="2">
        <v>463</v>
      </c>
      <c r="W7621" t="s">
        <v>4655</v>
      </c>
      <c r="X7621" s="2">
        <v>0</v>
      </c>
      <c r="Y7621">
        <v>20</v>
      </c>
      <c r="Z7621" t="s">
        <v>2048</v>
      </c>
      <c r="AA7621" s="3">
        <v>0.10050505399704</v>
      </c>
      <c r="AB7621" t="s">
        <v>35661</v>
      </c>
      <c r="AC7621" t="s">
        <v>4562</v>
      </c>
      <c r="AD7621" t="s">
        <v>35660</v>
      </c>
      <c r="AE7621" t="s">
        <v>4655</v>
      </c>
      <c r="AF7621" t="s">
        <v>4809</v>
      </c>
      <c r="AG7621" t="s">
        <v>4564</v>
      </c>
      <c r="AH7621" t="s">
        <v>1605</v>
      </c>
      <c r="AI7621" t="s">
        <v>549</v>
      </c>
      <c r="AJ7621" t="s">
        <v>2038</v>
      </c>
      <c r="AK7621" t="s">
        <v>35662</v>
      </c>
      <c r="AL7621" s="13" t="s">
        <v>1899</v>
      </c>
      <c r="AM7621" s="14">
        <v>1</v>
      </c>
      <c r="AN7621" s="15" t="s">
        <v>2039</v>
      </c>
    </row>
    <row r="7622" spans="1:40" x14ac:dyDescent="0.3">
      <c r="A7622" s="10" t="str">
        <f>HYPERLINK("http://www.washoecounty.gov/assessor/cama/?parid=526-611-06&amp;CardNumber=1","526-611-06")</f>
        <v>526-611-06</v>
      </c>
      <c r="B7622" t="s">
        <v>4655</v>
      </c>
      <c r="C7622" t="s">
        <v>35663</v>
      </c>
      <c r="D7622" s="1">
        <v>40235</v>
      </c>
      <c r="E7622" s="2">
        <v>187383</v>
      </c>
      <c r="F7622" t="s">
        <v>4567</v>
      </c>
      <c r="G7622" s="17" t="str">
        <f>HYPERLINK("https://www.washoecounty.gov/assessor/cama/?command=sales&amp;parid=52661106","3853309")</f>
        <v>3853309</v>
      </c>
      <c r="H7622" t="s">
        <v>2037</v>
      </c>
      <c r="I7622">
        <v>2009</v>
      </c>
      <c r="J7622">
        <v>2009</v>
      </c>
      <c r="K7622" t="s">
        <v>4554</v>
      </c>
      <c r="L7622" t="s">
        <v>3974</v>
      </c>
      <c r="M7622" s="2">
        <v>2043</v>
      </c>
      <c r="N7622" t="s">
        <v>3147</v>
      </c>
      <c r="O7622">
        <v>3</v>
      </c>
      <c r="P7622">
        <v>3</v>
      </c>
      <c r="Q7622">
        <v>0</v>
      </c>
      <c r="R7622" t="s">
        <v>5281</v>
      </c>
      <c r="S7622" t="s">
        <v>4898</v>
      </c>
      <c r="T7622" t="s">
        <v>2704</v>
      </c>
      <c r="U7622" t="s">
        <v>5631</v>
      </c>
      <c r="V7622" s="2">
        <v>429</v>
      </c>
      <c r="W7622" t="s">
        <v>4655</v>
      </c>
      <c r="X7622" s="2">
        <v>0</v>
      </c>
      <c r="Y7622">
        <v>20</v>
      </c>
      <c r="Z7622" t="s">
        <v>2048</v>
      </c>
      <c r="AA7622" s="3">
        <v>0.10876951366663</v>
      </c>
      <c r="AB7622" t="s">
        <v>35664</v>
      </c>
      <c r="AC7622" t="s">
        <v>4562</v>
      </c>
      <c r="AD7622" t="s">
        <v>35665</v>
      </c>
      <c r="AE7622" t="s">
        <v>4655</v>
      </c>
      <c r="AF7622" t="s">
        <v>5201</v>
      </c>
      <c r="AG7622" t="s">
        <v>4564</v>
      </c>
      <c r="AH7622" t="s">
        <v>1605</v>
      </c>
      <c r="AI7622" t="s">
        <v>549</v>
      </c>
      <c r="AJ7622" t="s">
        <v>2038</v>
      </c>
      <c r="AK7622" t="s">
        <v>35666</v>
      </c>
      <c r="AL7622" s="13" t="s">
        <v>1899</v>
      </c>
      <c r="AM7622">
        <v>1</v>
      </c>
      <c r="AN7622" s="15" t="s">
        <v>2039</v>
      </c>
    </row>
    <row r="7623" spans="1:40" x14ac:dyDescent="0.3">
      <c r="A7623" s="10" t="str">
        <f>HYPERLINK("http://www.washoecounty.gov/assessor/cama/?parid=526-611-16&amp;CardNumber=1","526-611-16")</f>
        <v>526-611-16</v>
      </c>
      <c r="B7623" t="s">
        <v>4655</v>
      </c>
      <c r="C7623" t="s">
        <v>35667</v>
      </c>
      <c r="D7623" s="1">
        <v>40354</v>
      </c>
      <c r="E7623" s="2">
        <v>184990</v>
      </c>
      <c r="F7623" t="s">
        <v>4567</v>
      </c>
      <c r="G7623" s="17" t="str">
        <f>HYPERLINK("https://www.washoecounty.gov/assessor/cama/?command=sales&amp;parid=52661116","3895259")</f>
        <v>3895259</v>
      </c>
      <c r="H7623" t="s">
        <v>35596</v>
      </c>
      <c r="I7623">
        <v>2009</v>
      </c>
      <c r="J7623">
        <v>2009</v>
      </c>
      <c r="K7623" t="s">
        <v>4554</v>
      </c>
      <c r="L7623" t="s">
        <v>3974</v>
      </c>
      <c r="M7623" s="2">
        <v>2310</v>
      </c>
      <c r="N7623" t="s">
        <v>5280</v>
      </c>
      <c r="O7623">
        <v>3</v>
      </c>
      <c r="P7623">
        <v>2</v>
      </c>
      <c r="Q7623">
        <v>1</v>
      </c>
      <c r="R7623" t="s">
        <v>5281</v>
      </c>
      <c r="S7623" t="s">
        <v>4898</v>
      </c>
      <c r="T7623" t="s">
        <v>2704</v>
      </c>
      <c r="U7623" t="s">
        <v>5631</v>
      </c>
      <c r="V7623" s="2">
        <v>463</v>
      </c>
      <c r="W7623" t="s">
        <v>4655</v>
      </c>
      <c r="X7623" s="2">
        <v>0</v>
      </c>
      <c r="Y7623">
        <v>20</v>
      </c>
      <c r="Z7623" t="s">
        <v>2048</v>
      </c>
      <c r="AA7623" s="3">
        <v>9.7199268639087705E-2</v>
      </c>
      <c r="AB7623" t="s">
        <v>35668</v>
      </c>
      <c r="AC7623" t="s">
        <v>4562</v>
      </c>
      <c r="AD7623" t="s">
        <v>35667</v>
      </c>
      <c r="AE7623" t="s">
        <v>4655</v>
      </c>
      <c r="AF7623" t="s">
        <v>4809</v>
      </c>
      <c r="AG7623" t="s">
        <v>4564</v>
      </c>
      <c r="AH7623" t="s">
        <v>1605</v>
      </c>
      <c r="AI7623" t="s">
        <v>549</v>
      </c>
      <c r="AJ7623" t="s">
        <v>4571</v>
      </c>
      <c r="AK7623" t="s">
        <v>35669</v>
      </c>
      <c r="AL7623" s="13" t="s">
        <v>1899</v>
      </c>
      <c r="AM7623">
        <v>1</v>
      </c>
      <c r="AN7623" s="15" t="s">
        <v>2039</v>
      </c>
    </row>
    <row r="7624" spans="1:40" x14ac:dyDescent="0.3">
      <c r="A7624" s="10" t="str">
        <f>HYPERLINK("http://www.washoecounty.gov/assessor/cama/?parid=526-611-17&amp;CardNumber=1","526-611-17")</f>
        <v>526-611-17</v>
      </c>
      <c r="B7624" t="s">
        <v>4655</v>
      </c>
      <c r="C7624" t="s">
        <v>35670</v>
      </c>
      <c r="D7624" s="1">
        <v>40325</v>
      </c>
      <c r="E7624" s="2">
        <v>164990</v>
      </c>
      <c r="F7624" t="s">
        <v>4567</v>
      </c>
      <c r="G7624" s="17" t="str">
        <f>HYPERLINK("https://www.washoecounty.gov/assessor/cama/?command=sales&amp;parid=52661117","3885870")</f>
        <v>3885870</v>
      </c>
      <c r="H7624" t="s">
        <v>35596</v>
      </c>
      <c r="I7624">
        <v>2009</v>
      </c>
      <c r="J7624">
        <v>2009</v>
      </c>
      <c r="K7624" t="s">
        <v>4554</v>
      </c>
      <c r="L7624" t="s">
        <v>3974</v>
      </c>
      <c r="M7624" s="2">
        <v>1761</v>
      </c>
      <c r="N7624" t="s">
        <v>5280</v>
      </c>
      <c r="O7624">
        <v>3</v>
      </c>
      <c r="P7624">
        <v>2</v>
      </c>
      <c r="Q7624">
        <v>1</v>
      </c>
      <c r="R7624" t="s">
        <v>5281</v>
      </c>
      <c r="S7624" t="s">
        <v>4898</v>
      </c>
      <c r="T7624" t="s">
        <v>2704</v>
      </c>
      <c r="U7624" t="s">
        <v>5631</v>
      </c>
      <c r="V7624" s="2">
        <v>426</v>
      </c>
      <c r="W7624" t="s">
        <v>4655</v>
      </c>
      <c r="X7624" s="2">
        <v>0</v>
      </c>
      <c r="Y7624">
        <v>20</v>
      </c>
      <c r="Z7624" t="s">
        <v>2048</v>
      </c>
      <c r="AA7624" s="3">
        <v>6.6322311758995098E-2</v>
      </c>
      <c r="AB7624" t="s">
        <v>35671</v>
      </c>
      <c r="AC7624" t="s">
        <v>4562</v>
      </c>
      <c r="AD7624" t="s">
        <v>35672</v>
      </c>
      <c r="AE7624" t="s">
        <v>4655</v>
      </c>
      <c r="AF7624" t="s">
        <v>5201</v>
      </c>
      <c r="AG7624" t="s">
        <v>4564</v>
      </c>
      <c r="AH7624" t="s">
        <v>1605</v>
      </c>
      <c r="AI7624" t="s">
        <v>549</v>
      </c>
      <c r="AJ7624" t="s">
        <v>4571</v>
      </c>
      <c r="AK7624" t="s">
        <v>35673</v>
      </c>
      <c r="AL7624" s="13" t="s">
        <v>1899</v>
      </c>
      <c r="AM7624">
        <v>1</v>
      </c>
      <c r="AN7624" s="15" t="s">
        <v>2039</v>
      </c>
    </row>
    <row r="7625" spans="1:40" x14ac:dyDescent="0.3">
      <c r="A7625" s="10" t="str">
        <f>HYPERLINK("http://www.washoecounty.gov/assessor/cama/?parid=526-621-03&amp;CardNumber=1","526-621-03")</f>
        <v>526-621-03</v>
      </c>
      <c r="B7625" t="s">
        <v>4655</v>
      </c>
      <c r="C7625" t="s">
        <v>35674</v>
      </c>
      <c r="D7625" s="1">
        <v>40506</v>
      </c>
      <c r="E7625" s="2">
        <v>155250</v>
      </c>
      <c r="F7625" t="s">
        <v>4567</v>
      </c>
      <c r="G7625" s="17" t="str">
        <f>HYPERLINK("https://www.washoecounty.gov/assessor/cama/?command=sales&amp;parid=52662103","3946524")</f>
        <v>3946524</v>
      </c>
      <c r="H7625" t="s">
        <v>2037</v>
      </c>
      <c r="I7625">
        <v>2010</v>
      </c>
      <c r="J7625">
        <v>2010</v>
      </c>
      <c r="K7625" t="s">
        <v>4554</v>
      </c>
      <c r="L7625" t="s">
        <v>3974</v>
      </c>
      <c r="M7625" s="2">
        <v>1761</v>
      </c>
      <c r="N7625" t="s">
        <v>5280</v>
      </c>
      <c r="O7625">
        <v>3</v>
      </c>
      <c r="P7625">
        <v>2</v>
      </c>
      <c r="Q7625">
        <v>1</v>
      </c>
      <c r="R7625" t="s">
        <v>5281</v>
      </c>
      <c r="S7625" t="s">
        <v>4898</v>
      </c>
      <c r="T7625" t="s">
        <v>2704</v>
      </c>
      <c r="U7625" t="s">
        <v>5631</v>
      </c>
      <c r="V7625" s="2">
        <v>426</v>
      </c>
      <c r="W7625" t="s">
        <v>4655</v>
      </c>
      <c r="X7625" s="2">
        <v>0</v>
      </c>
      <c r="Y7625">
        <v>20</v>
      </c>
      <c r="Z7625" t="s">
        <v>2048</v>
      </c>
      <c r="AA7625" s="3">
        <v>6.8181820213794694E-2</v>
      </c>
      <c r="AB7625" t="s">
        <v>35675</v>
      </c>
      <c r="AC7625" t="s">
        <v>4562</v>
      </c>
      <c r="AD7625" t="s">
        <v>35676</v>
      </c>
      <c r="AE7625" t="s">
        <v>4655</v>
      </c>
      <c r="AF7625" t="s">
        <v>5201</v>
      </c>
      <c r="AG7625" t="s">
        <v>4564</v>
      </c>
      <c r="AH7625" t="s">
        <v>1605</v>
      </c>
      <c r="AI7625" t="s">
        <v>549</v>
      </c>
      <c r="AJ7625" t="s">
        <v>2038</v>
      </c>
      <c r="AK7625" t="s">
        <v>35677</v>
      </c>
      <c r="AL7625" s="13" t="s">
        <v>1899</v>
      </c>
      <c r="AM7625">
        <v>1</v>
      </c>
      <c r="AN7625" s="15" t="s">
        <v>2039</v>
      </c>
    </row>
    <row r="7626" spans="1:40" x14ac:dyDescent="0.3">
      <c r="A7626" s="10" t="str">
        <f>HYPERLINK("http://www.washoecounty.gov/assessor/cama/?parid=526-621-04&amp;CardNumber=1","526-621-04")</f>
        <v>526-621-04</v>
      </c>
      <c r="B7626" t="s">
        <v>4655</v>
      </c>
      <c r="C7626" t="s">
        <v>35678</v>
      </c>
      <c r="D7626" s="1">
        <v>40541</v>
      </c>
      <c r="E7626" s="2">
        <v>169990</v>
      </c>
      <c r="F7626" t="s">
        <v>4567</v>
      </c>
      <c r="G7626" s="17" t="str">
        <f>HYPERLINK("https://www.washoecounty.gov/assessor/cama/?command=sales&amp;parid=52662104","3958706")</f>
        <v>3958706</v>
      </c>
      <c r="H7626" t="s">
        <v>2037</v>
      </c>
      <c r="I7626">
        <v>2007</v>
      </c>
      <c r="J7626">
        <v>2007</v>
      </c>
      <c r="K7626" t="s">
        <v>4554</v>
      </c>
      <c r="L7626" t="s">
        <v>3974</v>
      </c>
      <c r="M7626" s="2">
        <v>2085</v>
      </c>
      <c r="N7626" t="s">
        <v>5280</v>
      </c>
      <c r="O7626">
        <v>3</v>
      </c>
      <c r="P7626">
        <v>3</v>
      </c>
      <c r="Q7626">
        <v>0</v>
      </c>
      <c r="R7626" t="s">
        <v>5281</v>
      </c>
      <c r="S7626" t="s">
        <v>4898</v>
      </c>
      <c r="T7626" t="s">
        <v>2704</v>
      </c>
      <c r="U7626" t="s">
        <v>4560</v>
      </c>
      <c r="V7626" s="2">
        <v>429</v>
      </c>
      <c r="W7626" t="s">
        <v>4655</v>
      </c>
      <c r="X7626" s="2">
        <v>0</v>
      </c>
      <c r="Y7626">
        <v>20</v>
      </c>
      <c r="Z7626" t="s">
        <v>2048</v>
      </c>
      <c r="AA7626" s="3">
        <v>8.39531645178795E-2</v>
      </c>
      <c r="AB7626" t="s">
        <v>35679</v>
      </c>
      <c r="AC7626" t="s">
        <v>4562</v>
      </c>
      <c r="AD7626" t="s">
        <v>35680</v>
      </c>
      <c r="AE7626" t="s">
        <v>4655</v>
      </c>
      <c r="AF7626" t="s">
        <v>5201</v>
      </c>
      <c r="AG7626" t="s">
        <v>4564</v>
      </c>
      <c r="AH7626" t="s">
        <v>1605</v>
      </c>
      <c r="AI7626" t="s">
        <v>549</v>
      </c>
      <c r="AJ7626" t="s">
        <v>2038</v>
      </c>
      <c r="AK7626" t="s">
        <v>35681</v>
      </c>
      <c r="AL7626" s="13" t="s">
        <v>1899</v>
      </c>
      <c r="AM7626" s="14">
        <v>1</v>
      </c>
      <c r="AN7626" s="15" t="s">
        <v>2039</v>
      </c>
    </row>
    <row r="7627" spans="1:40" x14ac:dyDescent="0.3">
      <c r="A7627" s="10" t="str">
        <f>HYPERLINK("http://www.washoecounty.gov/assessor/cama/?parid=526-621-07&amp;CardNumber=1","526-621-07")</f>
        <v>526-621-07</v>
      </c>
      <c r="B7627" t="s">
        <v>4655</v>
      </c>
      <c r="C7627" t="s">
        <v>35682</v>
      </c>
      <c r="D7627" s="1">
        <v>40526</v>
      </c>
      <c r="E7627" s="2">
        <v>162490</v>
      </c>
      <c r="F7627" t="s">
        <v>4567</v>
      </c>
      <c r="G7627" s="17" t="str">
        <f>HYPERLINK("https://www.washoecounty.gov/assessor/cama/?command=sales&amp;parid=52662107","3953336")</f>
        <v>3953336</v>
      </c>
      <c r="H7627" t="s">
        <v>2037</v>
      </c>
      <c r="I7627">
        <v>2007</v>
      </c>
      <c r="J7627">
        <v>2007</v>
      </c>
      <c r="K7627" t="s">
        <v>4554</v>
      </c>
      <c r="L7627" t="s">
        <v>3974</v>
      </c>
      <c r="M7627" s="2">
        <v>1761</v>
      </c>
      <c r="N7627" t="s">
        <v>5280</v>
      </c>
      <c r="O7627">
        <v>3</v>
      </c>
      <c r="P7627">
        <v>2</v>
      </c>
      <c r="Q7627">
        <v>1</v>
      </c>
      <c r="R7627" t="s">
        <v>5281</v>
      </c>
      <c r="S7627" t="s">
        <v>4898</v>
      </c>
      <c r="T7627" t="s">
        <v>2704</v>
      </c>
      <c r="U7627" t="s">
        <v>5631</v>
      </c>
      <c r="V7627" s="2">
        <v>426</v>
      </c>
      <c r="W7627" t="s">
        <v>4655</v>
      </c>
      <c r="X7627" s="2">
        <v>0</v>
      </c>
      <c r="Y7627">
        <v>20</v>
      </c>
      <c r="Z7627" t="s">
        <v>2048</v>
      </c>
      <c r="AA7627" s="3">
        <v>6.6781453788280501E-2</v>
      </c>
      <c r="AB7627" t="s">
        <v>35683</v>
      </c>
      <c r="AC7627" t="s">
        <v>4562</v>
      </c>
      <c r="AD7627" t="s">
        <v>35684</v>
      </c>
      <c r="AE7627" t="s">
        <v>4655</v>
      </c>
      <c r="AF7627" t="s">
        <v>5201</v>
      </c>
      <c r="AG7627" t="s">
        <v>4564</v>
      </c>
      <c r="AH7627" t="s">
        <v>1605</v>
      </c>
      <c r="AI7627" t="s">
        <v>549</v>
      </c>
      <c r="AJ7627" t="s">
        <v>2038</v>
      </c>
      <c r="AK7627" t="s">
        <v>35685</v>
      </c>
      <c r="AL7627" s="13" t="s">
        <v>1899</v>
      </c>
      <c r="AM7627">
        <v>1</v>
      </c>
      <c r="AN7627" s="15" t="s">
        <v>2039</v>
      </c>
    </row>
    <row r="7628" spans="1:40" x14ac:dyDescent="0.3">
      <c r="A7628" s="10" t="str">
        <f>HYPERLINK("http://www.washoecounty.gov/assessor/cama/?parid=526-621-08&amp;CardNumber=1","526-621-08")</f>
        <v>526-621-08</v>
      </c>
      <c r="B7628" t="s">
        <v>4655</v>
      </c>
      <c r="C7628" t="s">
        <v>35686</v>
      </c>
      <c r="D7628" s="1">
        <v>40529</v>
      </c>
      <c r="E7628" s="2">
        <v>174990</v>
      </c>
      <c r="F7628" t="s">
        <v>4567</v>
      </c>
      <c r="G7628" s="17" t="str">
        <f>HYPERLINK("https://www.washoecounty.gov/assessor/cama/?command=sales&amp;parid=52662108","3954737")</f>
        <v>3954737</v>
      </c>
      <c r="H7628" t="s">
        <v>2037</v>
      </c>
      <c r="I7628">
        <v>2007</v>
      </c>
      <c r="J7628">
        <v>2007</v>
      </c>
      <c r="K7628" t="s">
        <v>4554</v>
      </c>
      <c r="L7628" t="s">
        <v>3974</v>
      </c>
      <c r="M7628" s="2">
        <v>2310</v>
      </c>
      <c r="N7628" t="s">
        <v>5280</v>
      </c>
      <c r="O7628">
        <v>4</v>
      </c>
      <c r="P7628">
        <v>2</v>
      </c>
      <c r="Q7628">
        <v>1</v>
      </c>
      <c r="R7628" t="s">
        <v>5281</v>
      </c>
      <c r="S7628" t="s">
        <v>4898</v>
      </c>
      <c r="T7628" t="s">
        <v>2704</v>
      </c>
      <c r="U7628" t="s">
        <v>5631</v>
      </c>
      <c r="V7628" s="2">
        <v>463</v>
      </c>
      <c r="W7628" t="s">
        <v>4655</v>
      </c>
      <c r="X7628" s="2">
        <v>0</v>
      </c>
      <c r="Y7628">
        <v>20</v>
      </c>
      <c r="Z7628" t="s">
        <v>2048</v>
      </c>
      <c r="AA7628" s="3">
        <v>8.7190084159374195E-2</v>
      </c>
      <c r="AB7628" t="s">
        <v>35687</v>
      </c>
      <c r="AC7628" t="s">
        <v>4575</v>
      </c>
      <c r="AD7628" t="s">
        <v>35688</v>
      </c>
      <c r="AE7628" t="s">
        <v>4655</v>
      </c>
      <c r="AF7628" t="s">
        <v>5201</v>
      </c>
      <c r="AG7628" t="s">
        <v>4564</v>
      </c>
      <c r="AH7628" t="s">
        <v>1605</v>
      </c>
      <c r="AI7628" t="s">
        <v>4655</v>
      </c>
      <c r="AJ7628" t="s">
        <v>2038</v>
      </c>
      <c r="AK7628" t="s">
        <v>35689</v>
      </c>
      <c r="AL7628" s="13" t="s">
        <v>1899</v>
      </c>
      <c r="AM7628" s="14">
        <v>1</v>
      </c>
      <c r="AN7628" s="15" t="s">
        <v>2039</v>
      </c>
    </row>
    <row r="7629" spans="1:40" x14ac:dyDescent="0.3">
      <c r="A7629" s="10" t="str">
        <f>HYPERLINK("http://www.washoecounty.gov/assessor/cama/?parid=526-621-09&amp;CardNumber=1","526-621-09")</f>
        <v>526-621-09</v>
      </c>
      <c r="B7629" t="s">
        <v>4655</v>
      </c>
      <c r="C7629" t="s">
        <v>35690</v>
      </c>
      <c r="D7629" s="1">
        <v>40527</v>
      </c>
      <c r="E7629" s="2">
        <v>171490</v>
      </c>
      <c r="F7629" t="s">
        <v>4567</v>
      </c>
      <c r="G7629" s="17" t="str">
        <f>HYPERLINK("https://www.washoecounty.gov/assessor/cama/?command=sales&amp;parid=52662109","3953637")</f>
        <v>3953637</v>
      </c>
      <c r="H7629" t="s">
        <v>2037</v>
      </c>
      <c r="I7629">
        <v>2007</v>
      </c>
      <c r="J7629">
        <v>2007</v>
      </c>
      <c r="K7629" t="s">
        <v>4554</v>
      </c>
      <c r="L7629" t="s">
        <v>3974</v>
      </c>
      <c r="M7629" s="2">
        <v>2083</v>
      </c>
      <c r="N7629" t="s">
        <v>5280</v>
      </c>
      <c r="O7629">
        <v>3</v>
      </c>
      <c r="P7629">
        <v>2</v>
      </c>
      <c r="Q7629">
        <v>1</v>
      </c>
      <c r="R7629" t="s">
        <v>5281</v>
      </c>
      <c r="S7629" t="s">
        <v>4898</v>
      </c>
      <c r="T7629" t="s">
        <v>2704</v>
      </c>
      <c r="U7629" t="s">
        <v>5631</v>
      </c>
      <c r="V7629" s="2">
        <v>453</v>
      </c>
      <c r="W7629" t="s">
        <v>4655</v>
      </c>
      <c r="X7629" s="2">
        <v>0</v>
      </c>
      <c r="Y7629">
        <v>20</v>
      </c>
      <c r="Z7629" t="s">
        <v>2048</v>
      </c>
      <c r="AA7629" s="3">
        <v>7.9430669546127305E-2</v>
      </c>
      <c r="AB7629" t="s">
        <v>35691</v>
      </c>
      <c r="AC7629" t="s">
        <v>4562</v>
      </c>
      <c r="AD7629" t="s">
        <v>35692</v>
      </c>
      <c r="AE7629" t="s">
        <v>4655</v>
      </c>
      <c r="AF7629" t="s">
        <v>5201</v>
      </c>
      <c r="AG7629" t="s">
        <v>4564</v>
      </c>
      <c r="AH7629" t="s">
        <v>1605</v>
      </c>
      <c r="AI7629" t="s">
        <v>4655</v>
      </c>
      <c r="AJ7629" t="s">
        <v>2038</v>
      </c>
      <c r="AK7629" t="s">
        <v>35693</v>
      </c>
      <c r="AL7629" s="13" t="s">
        <v>1899</v>
      </c>
      <c r="AM7629" s="14">
        <v>1</v>
      </c>
      <c r="AN7629" s="15" t="s">
        <v>2039</v>
      </c>
    </row>
    <row r="7630" spans="1:40" x14ac:dyDescent="0.3">
      <c r="A7630" s="10" t="str">
        <f>HYPERLINK("http://www.washoecounty.gov/assessor/cama/?parid=526-621-11&amp;CardNumber=1","526-621-11")</f>
        <v>526-621-11</v>
      </c>
      <c r="B7630" t="s">
        <v>4655</v>
      </c>
      <c r="C7630" t="s">
        <v>35694</v>
      </c>
      <c r="D7630" s="1">
        <v>40407</v>
      </c>
      <c r="E7630" s="2">
        <v>152990</v>
      </c>
      <c r="F7630" t="s">
        <v>4567</v>
      </c>
      <c r="G7630" s="17" t="str">
        <f>HYPERLINK("https://www.washoecounty.gov/assessor/cama/?command=sales&amp;parid=52662111","3912823")</f>
        <v>3912823</v>
      </c>
      <c r="H7630" t="s">
        <v>2037</v>
      </c>
      <c r="I7630">
        <v>2009</v>
      </c>
      <c r="J7630">
        <v>2009</v>
      </c>
      <c r="K7630" t="s">
        <v>4554</v>
      </c>
      <c r="L7630" t="s">
        <v>3974</v>
      </c>
      <c r="M7630" s="2">
        <v>1761</v>
      </c>
      <c r="N7630" t="s">
        <v>5280</v>
      </c>
      <c r="O7630">
        <v>3</v>
      </c>
      <c r="P7630">
        <v>2</v>
      </c>
      <c r="Q7630">
        <v>1</v>
      </c>
      <c r="R7630" t="s">
        <v>5281</v>
      </c>
      <c r="S7630" t="s">
        <v>4898</v>
      </c>
      <c r="T7630" t="s">
        <v>2704</v>
      </c>
      <c r="U7630" t="s">
        <v>5631</v>
      </c>
      <c r="V7630" s="2">
        <v>426</v>
      </c>
      <c r="W7630" t="s">
        <v>4655</v>
      </c>
      <c r="X7630" s="2">
        <v>0</v>
      </c>
      <c r="Y7630">
        <v>20</v>
      </c>
      <c r="Z7630" t="s">
        <v>2048</v>
      </c>
      <c r="AA7630" s="3">
        <v>9.4972454011440305E-2</v>
      </c>
      <c r="AB7630" t="s">
        <v>35695</v>
      </c>
      <c r="AC7630" t="s">
        <v>4575</v>
      </c>
      <c r="AD7630" t="s">
        <v>35694</v>
      </c>
      <c r="AE7630" t="s">
        <v>4655</v>
      </c>
      <c r="AF7630" t="s">
        <v>4809</v>
      </c>
      <c r="AG7630" t="s">
        <v>4564</v>
      </c>
      <c r="AH7630" t="s">
        <v>1605</v>
      </c>
      <c r="AI7630" t="s">
        <v>4655</v>
      </c>
      <c r="AJ7630" t="s">
        <v>2038</v>
      </c>
      <c r="AK7630" t="s">
        <v>35696</v>
      </c>
      <c r="AL7630" s="13" t="s">
        <v>1899</v>
      </c>
      <c r="AM7630" s="14">
        <v>1</v>
      </c>
      <c r="AN7630" s="15" t="s">
        <v>2039</v>
      </c>
    </row>
    <row r="7631" spans="1:40" x14ac:dyDescent="0.3">
      <c r="A7631" s="10" t="str">
        <f>HYPERLINK("http://www.washoecounty.gov/assessor/cama/?parid=526-621-12&amp;CardNumber=1","526-621-12")</f>
        <v>526-621-12</v>
      </c>
      <c r="B7631" t="s">
        <v>4655</v>
      </c>
      <c r="C7631" t="s">
        <v>1876</v>
      </c>
      <c r="D7631" s="1">
        <v>40340</v>
      </c>
      <c r="E7631" s="2">
        <v>179900</v>
      </c>
      <c r="F7631" t="s">
        <v>4567</v>
      </c>
      <c r="G7631" s="17" t="str">
        <f>HYPERLINK("https://www.washoecounty.gov/assessor/cama/?command=sales&amp;parid=52662112","3890817")</f>
        <v>3890817</v>
      </c>
      <c r="H7631" t="s">
        <v>2037</v>
      </c>
      <c r="I7631">
        <v>2009</v>
      </c>
      <c r="J7631">
        <v>2009</v>
      </c>
      <c r="K7631" t="s">
        <v>4554</v>
      </c>
      <c r="L7631" t="s">
        <v>3974</v>
      </c>
      <c r="M7631" s="2">
        <v>2083</v>
      </c>
      <c r="N7631" t="s">
        <v>5280</v>
      </c>
      <c r="O7631">
        <v>3</v>
      </c>
      <c r="P7631">
        <v>2</v>
      </c>
      <c r="Q7631">
        <v>1</v>
      </c>
      <c r="R7631" t="s">
        <v>5281</v>
      </c>
      <c r="S7631" t="s">
        <v>4898</v>
      </c>
      <c r="T7631" t="s">
        <v>2704</v>
      </c>
      <c r="U7631" t="s">
        <v>5631</v>
      </c>
      <c r="V7631" s="2">
        <v>453</v>
      </c>
      <c r="W7631" t="s">
        <v>4655</v>
      </c>
      <c r="X7631" s="2">
        <v>0</v>
      </c>
      <c r="Y7631">
        <v>20</v>
      </c>
      <c r="Z7631" t="s">
        <v>2048</v>
      </c>
      <c r="AA7631" s="3">
        <v>7.6538108289241805E-2</v>
      </c>
      <c r="AB7631" t="s">
        <v>1877</v>
      </c>
      <c r="AC7631" t="s">
        <v>4562</v>
      </c>
      <c r="AD7631" t="s">
        <v>35697</v>
      </c>
      <c r="AE7631" t="s">
        <v>4655</v>
      </c>
      <c r="AF7631" t="s">
        <v>4563</v>
      </c>
      <c r="AG7631" t="s">
        <v>4564</v>
      </c>
      <c r="AH7631" t="s">
        <v>5197</v>
      </c>
      <c r="AI7631" t="s">
        <v>1877</v>
      </c>
      <c r="AJ7631" t="s">
        <v>2038</v>
      </c>
      <c r="AK7631" t="s">
        <v>1878</v>
      </c>
      <c r="AL7631" s="13" t="s">
        <v>1899</v>
      </c>
      <c r="AM7631" s="14">
        <v>1</v>
      </c>
      <c r="AN7631" s="15" t="s">
        <v>2039</v>
      </c>
    </row>
    <row r="7632" spans="1:40" x14ac:dyDescent="0.3">
      <c r="A7632" s="10" t="str">
        <f>HYPERLINK("http://www.washoecounty.gov/assessor/cama/?parid=526-621-13&amp;CardNumber=1","526-621-13")</f>
        <v>526-621-13</v>
      </c>
      <c r="B7632" t="s">
        <v>4655</v>
      </c>
      <c r="C7632" t="s">
        <v>35698</v>
      </c>
      <c r="D7632" s="1">
        <v>40340</v>
      </c>
      <c r="E7632" s="2">
        <v>181900</v>
      </c>
      <c r="F7632" t="s">
        <v>4567</v>
      </c>
      <c r="G7632" s="17" t="str">
        <f>HYPERLINK("https://www.washoecounty.gov/assessor/cama/?command=sales&amp;parid=52662113","3890788")</f>
        <v>3890788</v>
      </c>
      <c r="H7632" t="s">
        <v>2037</v>
      </c>
      <c r="I7632">
        <v>2009</v>
      </c>
      <c r="J7632">
        <v>2009</v>
      </c>
      <c r="K7632" t="s">
        <v>4554</v>
      </c>
      <c r="L7632" t="s">
        <v>3974</v>
      </c>
      <c r="M7632" s="2">
        <v>2310</v>
      </c>
      <c r="N7632" t="s">
        <v>5280</v>
      </c>
      <c r="O7632">
        <v>3</v>
      </c>
      <c r="P7632">
        <v>2</v>
      </c>
      <c r="Q7632">
        <v>1</v>
      </c>
      <c r="R7632" t="s">
        <v>5281</v>
      </c>
      <c r="S7632" t="s">
        <v>4898</v>
      </c>
      <c r="T7632" t="s">
        <v>2704</v>
      </c>
      <c r="U7632" t="s">
        <v>5631</v>
      </c>
      <c r="V7632" s="2">
        <v>463</v>
      </c>
      <c r="W7632" t="s">
        <v>4655</v>
      </c>
      <c r="X7632" s="2">
        <v>0</v>
      </c>
      <c r="Y7632">
        <v>20</v>
      </c>
      <c r="Z7632" t="s">
        <v>2048</v>
      </c>
      <c r="AA7632" s="3">
        <v>9.9563822150230394E-2</v>
      </c>
      <c r="AB7632" t="s">
        <v>685</v>
      </c>
      <c r="AC7632" t="s">
        <v>4575</v>
      </c>
      <c r="AD7632" t="s">
        <v>35699</v>
      </c>
      <c r="AE7632" t="s">
        <v>4655</v>
      </c>
      <c r="AF7632" t="s">
        <v>4809</v>
      </c>
      <c r="AG7632" t="s">
        <v>4564</v>
      </c>
      <c r="AH7632" t="s">
        <v>1350</v>
      </c>
      <c r="AI7632" t="s">
        <v>549</v>
      </c>
      <c r="AJ7632" t="s">
        <v>2038</v>
      </c>
      <c r="AK7632" t="s">
        <v>35700</v>
      </c>
      <c r="AL7632" s="13" t="s">
        <v>1899</v>
      </c>
      <c r="AM7632">
        <v>1</v>
      </c>
      <c r="AN7632" s="15" t="s">
        <v>2039</v>
      </c>
    </row>
    <row r="7633" spans="1:40" x14ac:dyDescent="0.3">
      <c r="A7633" s="10" t="str">
        <f>HYPERLINK("http://www.washoecounty.gov/assessor/cama/?parid=526-621-14&amp;CardNumber=1","526-621-14")</f>
        <v>526-621-14</v>
      </c>
      <c r="B7633" t="s">
        <v>4655</v>
      </c>
      <c r="C7633" t="s">
        <v>35701</v>
      </c>
      <c r="D7633" s="1">
        <v>40354</v>
      </c>
      <c r="E7633" s="2">
        <v>162990</v>
      </c>
      <c r="F7633" t="s">
        <v>4567</v>
      </c>
      <c r="G7633" s="17" t="str">
        <f>HYPERLINK("https://www.washoecounty.gov/assessor/cama/?command=sales&amp;parid=52662114","3895215")</f>
        <v>3895215</v>
      </c>
      <c r="H7633" t="s">
        <v>2037</v>
      </c>
      <c r="I7633">
        <v>2009</v>
      </c>
      <c r="J7633">
        <v>2009</v>
      </c>
      <c r="K7633" t="s">
        <v>4554</v>
      </c>
      <c r="L7633" t="s">
        <v>3974</v>
      </c>
      <c r="M7633" s="2">
        <v>1761</v>
      </c>
      <c r="N7633" t="s">
        <v>5280</v>
      </c>
      <c r="O7633">
        <v>3</v>
      </c>
      <c r="P7633">
        <v>2</v>
      </c>
      <c r="Q7633">
        <v>1</v>
      </c>
      <c r="R7633" t="s">
        <v>5281</v>
      </c>
      <c r="S7633" t="s">
        <v>4898</v>
      </c>
      <c r="T7633" t="s">
        <v>2704</v>
      </c>
      <c r="U7633" t="s">
        <v>5631</v>
      </c>
      <c r="V7633" s="2">
        <v>426</v>
      </c>
      <c r="W7633" t="s">
        <v>4655</v>
      </c>
      <c r="X7633" s="2">
        <v>0</v>
      </c>
      <c r="Y7633">
        <v>20</v>
      </c>
      <c r="Z7633" t="s">
        <v>2048</v>
      </c>
      <c r="AA7633" s="3">
        <v>6.79292902350426E-2</v>
      </c>
      <c r="AB7633" t="s">
        <v>35702</v>
      </c>
      <c r="AC7633" t="s">
        <v>4562</v>
      </c>
      <c r="AD7633" t="s">
        <v>35703</v>
      </c>
      <c r="AE7633" t="s">
        <v>4655</v>
      </c>
      <c r="AF7633" t="s">
        <v>4809</v>
      </c>
      <c r="AG7633" t="s">
        <v>4564</v>
      </c>
      <c r="AH7633" t="s">
        <v>1605</v>
      </c>
      <c r="AI7633" t="s">
        <v>549</v>
      </c>
      <c r="AJ7633" t="s">
        <v>2038</v>
      </c>
      <c r="AK7633" t="s">
        <v>35704</v>
      </c>
      <c r="AL7633" s="13" t="s">
        <v>1899</v>
      </c>
      <c r="AM7633">
        <v>1</v>
      </c>
      <c r="AN7633" s="15" t="s">
        <v>2039</v>
      </c>
    </row>
    <row r="7634" spans="1:40" x14ac:dyDescent="0.3">
      <c r="A7634" s="10" t="str">
        <f>HYPERLINK("http://www.washoecounty.gov/assessor/cama/?parid=526-621-15&amp;CardNumber=1","526-621-15")</f>
        <v>526-621-15</v>
      </c>
      <c r="B7634" t="s">
        <v>4655</v>
      </c>
      <c r="C7634" t="s">
        <v>35705</v>
      </c>
      <c r="D7634" s="1">
        <v>40444</v>
      </c>
      <c r="E7634" s="2">
        <v>162990</v>
      </c>
      <c r="F7634" t="s">
        <v>4567</v>
      </c>
      <c r="G7634" s="17" t="str">
        <f>HYPERLINK("https://www.washoecounty.gov/assessor/cama/?command=sales&amp;parid=52662115","3925524")</f>
        <v>3925524</v>
      </c>
      <c r="H7634" t="s">
        <v>2037</v>
      </c>
      <c r="I7634">
        <v>2009</v>
      </c>
      <c r="J7634">
        <v>2009</v>
      </c>
      <c r="K7634" t="s">
        <v>4554</v>
      </c>
      <c r="L7634" t="s">
        <v>3974</v>
      </c>
      <c r="M7634" s="2">
        <v>1761</v>
      </c>
      <c r="N7634" t="s">
        <v>5280</v>
      </c>
      <c r="O7634">
        <v>3</v>
      </c>
      <c r="P7634">
        <v>2</v>
      </c>
      <c r="Q7634">
        <v>1</v>
      </c>
      <c r="R7634" t="s">
        <v>5281</v>
      </c>
      <c r="S7634" t="s">
        <v>4898</v>
      </c>
      <c r="T7634" t="s">
        <v>2704</v>
      </c>
      <c r="U7634" t="s">
        <v>5631</v>
      </c>
      <c r="V7634" s="2">
        <v>426</v>
      </c>
      <c r="W7634" t="s">
        <v>4655</v>
      </c>
      <c r="X7634" s="2">
        <v>0</v>
      </c>
      <c r="Y7634">
        <v>20</v>
      </c>
      <c r="Z7634" t="s">
        <v>2048</v>
      </c>
      <c r="AA7634" s="3">
        <v>6.7332416772842393E-2</v>
      </c>
      <c r="AB7634" t="s">
        <v>35706</v>
      </c>
      <c r="AC7634" t="s">
        <v>4562</v>
      </c>
      <c r="AD7634" t="s">
        <v>35707</v>
      </c>
      <c r="AE7634" t="s">
        <v>4655</v>
      </c>
      <c r="AF7634" t="s">
        <v>5201</v>
      </c>
      <c r="AG7634" t="s">
        <v>4564</v>
      </c>
      <c r="AH7634" t="s">
        <v>1605</v>
      </c>
      <c r="AI7634" t="s">
        <v>549</v>
      </c>
      <c r="AJ7634" t="s">
        <v>2038</v>
      </c>
      <c r="AK7634" t="s">
        <v>35708</v>
      </c>
      <c r="AL7634" s="13" t="s">
        <v>1899</v>
      </c>
      <c r="AM7634">
        <v>1</v>
      </c>
      <c r="AN7634" s="15" t="s">
        <v>2039</v>
      </c>
    </row>
    <row r="7635" spans="1:40" x14ac:dyDescent="0.3">
      <c r="A7635" s="10" t="str">
        <f>HYPERLINK("http://www.washoecounty.gov/assessor/cama/?parid=526-621-16&amp;CardNumber=1","526-621-16")</f>
        <v>526-621-16</v>
      </c>
      <c r="B7635" t="s">
        <v>4655</v>
      </c>
      <c r="C7635" t="s">
        <v>35709</v>
      </c>
      <c r="D7635" s="1">
        <v>40344</v>
      </c>
      <c r="E7635" s="2">
        <v>184990</v>
      </c>
      <c r="F7635" t="s">
        <v>4567</v>
      </c>
      <c r="G7635" s="17" t="str">
        <f>HYPERLINK("https://www.washoecounty.gov/assessor/cama/?command=sales&amp;parid=52662116","3891817")</f>
        <v>3891817</v>
      </c>
      <c r="H7635" t="s">
        <v>2037</v>
      </c>
      <c r="I7635">
        <v>2009</v>
      </c>
      <c r="J7635">
        <v>2009</v>
      </c>
      <c r="K7635" t="s">
        <v>4554</v>
      </c>
      <c r="L7635" t="s">
        <v>3974</v>
      </c>
      <c r="M7635" s="2">
        <v>2310</v>
      </c>
      <c r="N7635" t="s">
        <v>5280</v>
      </c>
      <c r="O7635">
        <v>3</v>
      </c>
      <c r="P7635">
        <v>2</v>
      </c>
      <c r="Q7635">
        <v>1</v>
      </c>
      <c r="R7635" t="s">
        <v>5281</v>
      </c>
      <c r="S7635" t="s">
        <v>4898</v>
      </c>
      <c r="T7635" t="s">
        <v>2704</v>
      </c>
      <c r="U7635" t="s">
        <v>5631</v>
      </c>
      <c r="V7635" s="2">
        <v>463</v>
      </c>
      <c r="W7635" t="s">
        <v>4655</v>
      </c>
      <c r="X7635" s="2">
        <v>0</v>
      </c>
      <c r="Y7635">
        <v>20</v>
      </c>
      <c r="Z7635" t="s">
        <v>2048</v>
      </c>
      <c r="AA7635" s="3">
        <v>8.7695136666297899E-2</v>
      </c>
      <c r="AB7635" t="s">
        <v>35710</v>
      </c>
      <c r="AC7635" t="s">
        <v>4562</v>
      </c>
      <c r="AD7635" t="s">
        <v>35709</v>
      </c>
      <c r="AE7635" t="s">
        <v>4655</v>
      </c>
      <c r="AF7635" t="s">
        <v>4809</v>
      </c>
      <c r="AG7635" t="s">
        <v>4564</v>
      </c>
      <c r="AH7635" t="s">
        <v>1605</v>
      </c>
      <c r="AI7635" t="s">
        <v>549</v>
      </c>
      <c r="AJ7635" t="s">
        <v>2038</v>
      </c>
      <c r="AK7635" t="s">
        <v>35711</v>
      </c>
      <c r="AL7635" s="13" t="s">
        <v>1899</v>
      </c>
      <c r="AM7635" s="14">
        <v>1</v>
      </c>
      <c r="AN7635" s="15" t="s">
        <v>2039</v>
      </c>
    </row>
    <row r="7636" spans="1:40" x14ac:dyDescent="0.3">
      <c r="A7636" s="10" t="str">
        <f>HYPERLINK("http://www.washoecounty.gov/assessor/cama/?parid=526-621-17&amp;CardNumber=1","526-621-17")</f>
        <v>526-621-17</v>
      </c>
      <c r="B7636" t="s">
        <v>4655</v>
      </c>
      <c r="C7636" t="s">
        <v>35712</v>
      </c>
      <c r="D7636" s="1">
        <v>40331</v>
      </c>
      <c r="E7636" s="2">
        <v>189763</v>
      </c>
      <c r="F7636" t="s">
        <v>4567</v>
      </c>
      <c r="G7636" s="17" t="str">
        <f>HYPERLINK("https://www.washoecounty.gov/assessor/cama/?command=sales&amp;parid=52662117","3887443")</f>
        <v>3887443</v>
      </c>
      <c r="H7636" t="s">
        <v>2037</v>
      </c>
      <c r="I7636">
        <v>2009</v>
      </c>
      <c r="J7636">
        <v>2009</v>
      </c>
      <c r="K7636" t="s">
        <v>4554</v>
      </c>
      <c r="L7636" t="s">
        <v>3974</v>
      </c>
      <c r="M7636" s="2">
        <v>2085</v>
      </c>
      <c r="N7636" t="s">
        <v>5280</v>
      </c>
      <c r="O7636">
        <v>3</v>
      </c>
      <c r="P7636">
        <v>3</v>
      </c>
      <c r="Q7636">
        <v>0</v>
      </c>
      <c r="R7636" t="s">
        <v>5281</v>
      </c>
      <c r="S7636" t="s">
        <v>4898</v>
      </c>
      <c r="T7636" t="s">
        <v>2704</v>
      </c>
      <c r="U7636" t="s">
        <v>5631</v>
      </c>
      <c r="V7636" s="2">
        <v>429</v>
      </c>
      <c r="W7636" t="s">
        <v>4655</v>
      </c>
      <c r="X7636" s="2">
        <v>0</v>
      </c>
      <c r="Y7636">
        <v>20</v>
      </c>
      <c r="Z7636" t="s">
        <v>2048</v>
      </c>
      <c r="AA7636" s="3">
        <v>0.11926078796386699</v>
      </c>
      <c r="AB7636" t="s">
        <v>35713</v>
      </c>
      <c r="AC7636" t="s">
        <v>4575</v>
      </c>
      <c r="AD7636" t="s">
        <v>35714</v>
      </c>
      <c r="AE7636" t="s">
        <v>4655</v>
      </c>
      <c r="AF7636" t="s">
        <v>35715</v>
      </c>
      <c r="AG7636" t="s">
        <v>4584</v>
      </c>
      <c r="AH7636">
        <v>90274</v>
      </c>
      <c r="AI7636" t="s">
        <v>549</v>
      </c>
      <c r="AJ7636" t="s">
        <v>2038</v>
      </c>
      <c r="AK7636" t="s">
        <v>35716</v>
      </c>
      <c r="AL7636" s="13" t="s">
        <v>1899</v>
      </c>
      <c r="AM7636" s="14">
        <v>1</v>
      </c>
      <c r="AN7636" s="15" t="s">
        <v>2039</v>
      </c>
    </row>
    <row r="7637" spans="1:40" x14ac:dyDescent="0.3">
      <c r="A7637" s="10" t="str">
        <f>HYPERLINK("http://www.washoecounty.gov/assessor/cama/?parid=526-621-20&amp;CardNumber=1","526-621-20")</f>
        <v>526-621-20</v>
      </c>
      <c r="B7637" t="s">
        <v>4655</v>
      </c>
      <c r="C7637" t="s">
        <v>35717</v>
      </c>
      <c r="D7637" s="1">
        <v>40499</v>
      </c>
      <c r="E7637" s="2">
        <v>198000</v>
      </c>
      <c r="F7637" t="s">
        <v>4567</v>
      </c>
      <c r="G7637" s="17" t="str">
        <f>HYPERLINK("https://www.washoecounty.gov/assessor/cama/?command=sales&amp;parid=52662120","3944069")</f>
        <v>3944069</v>
      </c>
      <c r="H7637" t="s">
        <v>35596</v>
      </c>
      <c r="I7637">
        <v>2010</v>
      </c>
      <c r="J7637">
        <v>2010</v>
      </c>
      <c r="K7637" t="s">
        <v>4554</v>
      </c>
      <c r="L7637" t="s">
        <v>3974</v>
      </c>
      <c r="M7637" s="2">
        <v>2310</v>
      </c>
      <c r="N7637" t="s">
        <v>5280</v>
      </c>
      <c r="O7637">
        <v>3</v>
      </c>
      <c r="P7637">
        <v>2</v>
      </c>
      <c r="Q7637">
        <v>1</v>
      </c>
      <c r="R7637" t="s">
        <v>5281</v>
      </c>
      <c r="S7637" t="s">
        <v>4898</v>
      </c>
      <c r="T7637" t="s">
        <v>2704</v>
      </c>
      <c r="U7637" t="s">
        <v>5631</v>
      </c>
      <c r="V7637" s="2">
        <v>463</v>
      </c>
      <c r="W7637" t="s">
        <v>4655</v>
      </c>
      <c r="X7637" s="2">
        <v>0</v>
      </c>
      <c r="Y7637">
        <v>20</v>
      </c>
      <c r="Z7637" t="s">
        <v>2048</v>
      </c>
      <c r="AA7637" s="3">
        <v>0.10876951366663</v>
      </c>
      <c r="AB7637" t="s">
        <v>35718</v>
      </c>
      <c r="AC7637" t="s">
        <v>4562</v>
      </c>
      <c r="AD7637" t="s">
        <v>35719</v>
      </c>
      <c r="AE7637" t="s">
        <v>4655</v>
      </c>
      <c r="AF7637" t="s">
        <v>5201</v>
      </c>
      <c r="AG7637" t="s">
        <v>4564</v>
      </c>
      <c r="AH7637" t="s">
        <v>1605</v>
      </c>
      <c r="AI7637" t="s">
        <v>549</v>
      </c>
      <c r="AJ7637" t="s">
        <v>4571</v>
      </c>
      <c r="AK7637" t="s">
        <v>35720</v>
      </c>
      <c r="AL7637" s="13" t="s">
        <v>1899</v>
      </c>
      <c r="AM7637">
        <v>1</v>
      </c>
      <c r="AN7637" s="15" t="s">
        <v>2039</v>
      </c>
    </row>
    <row r="7638" spans="1:40" x14ac:dyDescent="0.3">
      <c r="A7638" s="10" t="str">
        <f>HYPERLINK("http://www.washoecounty.gov/assessor/cama/?parid=526-621-21&amp;CardNumber=1","526-621-21")</f>
        <v>526-621-21</v>
      </c>
      <c r="B7638" t="s">
        <v>4655</v>
      </c>
      <c r="C7638" t="s">
        <v>35721</v>
      </c>
      <c r="D7638" s="1">
        <v>40542</v>
      </c>
      <c r="E7638" s="2">
        <v>151990</v>
      </c>
      <c r="F7638" t="s">
        <v>4567</v>
      </c>
      <c r="G7638" s="17" t="str">
        <f>HYPERLINK("https://www.washoecounty.gov/assessor/cama/?command=sales&amp;parid=52662121","3959096")</f>
        <v>3959096</v>
      </c>
      <c r="H7638" t="s">
        <v>35596</v>
      </c>
      <c r="I7638">
        <v>2010</v>
      </c>
      <c r="J7638">
        <v>2010</v>
      </c>
      <c r="K7638" t="s">
        <v>4554</v>
      </c>
      <c r="L7638" t="s">
        <v>3974</v>
      </c>
      <c r="M7638" s="2">
        <v>1761</v>
      </c>
      <c r="N7638" t="s">
        <v>5280</v>
      </c>
      <c r="O7638">
        <v>3</v>
      </c>
      <c r="P7638">
        <v>2</v>
      </c>
      <c r="Q7638">
        <v>1</v>
      </c>
      <c r="R7638" t="s">
        <v>5281</v>
      </c>
      <c r="S7638" t="s">
        <v>4898</v>
      </c>
      <c r="T7638" t="s">
        <v>2704</v>
      </c>
      <c r="U7638" t="s">
        <v>5631</v>
      </c>
      <c r="V7638" s="2">
        <v>426</v>
      </c>
      <c r="W7638" t="s">
        <v>4655</v>
      </c>
      <c r="X7638" s="2">
        <v>0</v>
      </c>
      <c r="Y7638">
        <v>20</v>
      </c>
      <c r="Z7638" t="s">
        <v>2048</v>
      </c>
      <c r="AA7638" s="3">
        <v>6.6253446042537703E-2</v>
      </c>
      <c r="AB7638" t="s">
        <v>35722</v>
      </c>
      <c r="AC7638" t="s">
        <v>4562</v>
      </c>
      <c r="AD7638" t="s">
        <v>35723</v>
      </c>
      <c r="AE7638" t="s">
        <v>4655</v>
      </c>
      <c r="AF7638" t="s">
        <v>5201</v>
      </c>
      <c r="AG7638" t="s">
        <v>4564</v>
      </c>
      <c r="AH7638" t="s">
        <v>1605</v>
      </c>
      <c r="AI7638" t="s">
        <v>549</v>
      </c>
      <c r="AJ7638" t="s">
        <v>4571</v>
      </c>
      <c r="AK7638" t="s">
        <v>35724</v>
      </c>
      <c r="AL7638" s="13" t="s">
        <v>1899</v>
      </c>
      <c r="AM7638">
        <v>1</v>
      </c>
      <c r="AN7638" s="15" t="s">
        <v>2039</v>
      </c>
    </row>
    <row r="7639" spans="1:40" x14ac:dyDescent="0.3">
      <c r="A7639" s="10" t="str">
        <f>HYPERLINK("http://www.washoecounty.gov/assessor/cama/?parid=526-621-24&amp;CardNumber=1","526-621-24")</f>
        <v>526-621-24</v>
      </c>
      <c r="B7639" t="s">
        <v>4655</v>
      </c>
      <c r="C7639" t="s">
        <v>35725</v>
      </c>
      <c r="D7639" s="1">
        <v>40479</v>
      </c>
      <c r="E7639" s="2">
        <v>165900</v>
      </c>
      <c r="F7639" t="s">
        <v>4567</v>
      </c>
      <c r="G7639" s="17" t="str">
        <f>HYPERLINK("https://www.washoecounty.gov/assessor/cama/?command=sales&amp;parid=52662124","3937680")</f>
        <v>3937680</v>
      </c>
      <c r="H7639" t="s">
        <v>35596</v>
      </c>
      <c r="I7639">
        <v>2007</v>
      </c>
      <c r="J7639">
        <v>2007</v>
      </c>
      <c r="K7639" t="s">
        <v>4554</v>
      </c>
      <c r="L7639" t="s">
        <v>3974</v>
      </c>
      <c r="M7639" s="2">
        <v>1761</v>
      </c>
      <c r="N7639" t="s">
        <v>5280</v>
      </c>
      <c r="O7639">
        <v>3</v>
      </c>
      <c r="P7639">
        <v>2</v>
      </c>
      <c r="Q7639">
        <v>1</v>
      </c>
      <c r="R7639" t="s">
        <v>5281</v>
      </c>
      <c r="S7639" t="s">
        <v>4898</v>
      </c>
      <c r="T7639" t="s">
        <v>2704</v>
      </c>
      <c r="U7639" t="s">
        <v>5631</v>
      </c>
      <c r="V7639" s="2">
        <v>426</v>
      </c>
      <c r="W7639" t="s">
        <v>4655</v>
      </c>
      <c r="X7639" s="2">
        <v>0</v>
      </c>
      <c r="Y7639">
        <v>20</v>
      </c>
      <c r="Z7639" t="s">
        <v>2048</v>
      </c>
      <c r="AA7639" s="3">
        <v>6.7493110895156902E-2</v>
      </c>
      <c r="AB7639" t="s">
        <v>35726</v>
      </c>
      <c r="AC7639" t="s">
        <v>4575</v>
      </c>
      <c r="AD7639" t="s">
        <v>35727</v>
      </c>
      <c r="AE7639" t="s">
        <v>4655</v>
      </c>
      <c r="AF7639" t="s">
        <v>4563</v>
      </c>
      <c r="AG7639" t="s">
        <v>4564</v>
      </c>
      <c r="AH7639" t="s">
        <v>5197</v>
      </c>
      <c r="AI7639" t="s">
        <v>549</v>
      </c>
      <c r="AJ7639" t="s">
        <v>4571</v>
      </c>
      <c r="AK7639" t="s">
        <v>35728</v>
      </c>
      <c r="AL7639" s="13" t="s">
        <v>1899</v>
      </c>
      <c r="AM7639">
        <v>1</v>
      </c>
      <c r="AN7639" s="15" t="s">
        <v>2039</v>
      </c>
    </row>
    <row r="7640" spans="1:40" x14ac:dyDescent="0.3">
      <c r="A7640" s="10" t="str">
        <f>HYPERLINK("http://www.washoecounty.gov/assessor/cama/?parid=526-621-26&amp;CardNumber=1","526-621-26")</f>
        <v>526-621-26</v>
      </c>
      <c r="B7640" t="s">
        <v>4655</v>
      </c>
      <c r="C7640" t="s">
        <v>35729</v>
      </c>
      <c r="D7640" s="1">
        <v>40451</v>
      </c>
      <c r="E7640" s="2">
        <v>205000</v>
      </c>
      <c r="F7640" t="s">
        <v>4567</v>
      </c>
      <c r="G7640" s="17" t="str">
        <f>HYPERLINK("https://www.washoecounty.gov/assessor/cama/?command=sales&amp;parid=52662126","3927778")</f>
        <v>3927778</v>
      </c>
      <c r="H7640" t="s">
        <v>35730</v>
      </c>
      <c r="I7640">
        <v>2007</v>
      </c>
      <c r="J7640">
        <v>2007</v>
      </c>
      <c r="K7640" t="s">
        <v>4554</v>
      </c>
      <c r="L7640" t="s">
        <v>3974</v>
      </c>
      <c r="M7640" s="2">
        <v>2310</v>
      </c>
      <c r="N7640" t="s">
        <v>5280</v>
      </c>
      <c r="O7640">
        <v>4</v>
      </c>
      <c r="P7640">
        <v>2</v>
      </c>
      <c r="Q7640">
        <v>1</v>
      </c>
      <c r="R7640" t="s">
        <v>5281</v>
      </c>
      <c r="S7640" t="s">
        <v>4898</v>
      </c>
      <c r="T7640" t="s">
        <v>2704</v>
      </c>
      <c r="U7640" t="s">
        <v>5631</v>
      </c>
      <c r="V7640" s="2">
        <v>463</v>
      </c>
      <c r="W7640" t="s">
        <v>4655</v>
      </c>
      <c r="X7640" s="2">
        <v>0</v>
      </c>
      <c r="Y7640">
        <v>20</v>
      </c>
      <c r="Z7640" t="s">
        <v>2048</v>
      </c>
      <c r="AA7640" s="3">
        <v>0.120752982795238</v>
      </c>
      <c r="AB7640" t="s">
        <v>35731</v>
      </c>
      <c r="AC7640" t="s">
        <v>4575</v>
      </c>
      <c r="AD7640" t="s">
        <v>35732</v>
      </c>
      <c r="AE7640" t="s">
        <v>35733</v>
      </c>
      <c r="AF7640" t="s">
        <v>4809</v>
      </c>
      <c r="AG7640" t="s">
        <v>4564</v>
      </c>
      <c r="AH7640" t="s">
        <v>1605</v>
      </c>
      <c r="AI7640" t="s">
        <v>549</v>
      </c>
      <c r="AJ7640" t="s">
        <v>4571</v>
      </c>
      <c r="AK7640" t="s">
        <v>35734</v>
      </c>
      <c r="AL7640" s="13" t="s">
        <v>1899</v>
      </c>
      <c r="AM7640">
        <v>1</v>
      </c>
      <c r="AN7640" s="15" t="s">
        <v>2039</v>
      </c>
    </row>
    <row r="7641" spans="1:40" x14ac:dyDescent="0.3">
      <c r="A7641" s="10" t="str">
        <f>HYPERLINK("http://www.washoecounty.gov/assessor/cama/?parid=527-062-09&amp;CardNumber=1","527-062-09")</f>
        <v>527-062-09</v>
      </c>
      <c r="B7641" t="s">
        <v>4655</v>
      </c>
      <c r="C7641" t="s">
        <v>4733</v>
      </c>
      <c r="D7641" s="1">
        <v>40303</v>
      </c>
      <c r="E7641" s="2">
        <v>370000</v>
      </c>
      <c r="F7641" t="s">
        <v>4553</v>
      </c>
      <c r="G7641" s="17" t="str">
        <f>HYPERLINK("https://www.washoecounty.gov/assessor/cama/?command=sales&amp;parid=52706209","3878141")</f>
        <v>3878141</v>
      </c>
      <c r="H7641" t="s">
        <v>2218</v>
      </c>
      <c r="I7641">
        <v>2006</v>
      </c>
      <c r="J7641">
        <v>2006</v>
      </c>
      <c r="K7641" t="s">
        <v>4554</v>
      </c>
      <c r="L7641" t="s">
        <v>4555</v>
      </c>
      <c r="M7641" s="2">
        <v>3892</v>
      </c>
      <c r="N7641" t="s">
        <v>3887</v>
      </c>
      <c r="O7641">
        <v>6</v>
      </c>
      <c r="P7641">
        <v>4</v>
      </c>
      <c r="Q7641">
        <v>0</v>
      </c>
      <c r="R7641" t="s">
        <v>5281</v>
      </c>
      <c r="S7641" t="s">
        <v>4898</v>
      </c>
      <c r="T7641" t="s">
        <v>2704</v>
      </c>
      <c r="U7641" t="s">
        <v>4560</v>
      </c>
      <c r="V7641" s="2">
        <v>944</v>
      </c>
      <c r="W7641" t="s">
        <v>4655</v>
      </c>
      <c r="X7641" s="2">
        <v>0</v>
      </c>
      <c r="Y7641">
        <v>20</v>
      </c>
      <c r="Z7641" t="s">
        <v>2048</v>
      </c>
      <c r="AA7641" s="3">
        <v>0.45202019810676602</v>
      </c>
      <c r="AB7641" t="s">
        <v>90</v>
      </c>
      <c r="AC7641" t="s">
        <v>4575</v>
      </c>
      <c r="AD7641" t="s">
        <v>5328</v>
      </c>
      <c r="AE7641" t="s">
        <v>4655</v>
      </c>
      <c r="AF7641" t="s">
        <v>5499</v>
      </c>
      <c r="AG7641" t="s">
        <v>4564</v>
      </c>
      <c r="AH7641" t="s">
        <v>1605</v>
      </c>
      <c r="AI7641" t="s">
        <v>4734</v>
      </c>
      <c r="AJ7641" t="s">
        <v>2219</v>
      </c>
      <c r="AK7641" t="s">
        <v>4735</v>
      </c>
      <c r="AL7641" s="13" t="s">
        <v>1899</v>
      </c>
      <c r="AM7641" s="14">
        <v>1</v>
      </c>
      <c r="AN7641" s="15" t="s">
        <v>2220</v>
      </c>
    </row>
    <row r="7642" spans="1:40" x14ac:dyDescent="0.3">
      <c r="A7642" s="10" t="str">
        <f>HYPERLINK("http://www.washoecounty.gov/assessor/cama/?parid=527-062-14&amp;CardNumber=1","527-062-14")</f>
        <v>527-062-14</v>
      </c>
      <c r="B7642" t="s">
        <v>4655</v>
      </c>
      <c r="C7642" t="s">
        <v>1483</v>
      </c>
      <c r="D7642" s="1">
        <v>40373</v>
      </c>
      <c r="E7642" s="2">
        <v>295000</v>
      </c>
      <c r="F7642" t="s">
        <v>4567</v>
      </c>
      <c r="G7642" s="17" t="str">
        <f>HYPERLINK("https://www.washoecounty.gov/assessor/cama/?command=sales&amp;parid=52706214","3901448")</f>
        <v>3901448</v>
      </c>
      <c r="H7642" t="s">
        <v>2218</v>
      </c>
      <c r="I7642">
        <v>2006</v>
      </c>
      <c r="J7642">
        <v>2006</v>
      </c>
      <c r="K7642" t="s">
        <v>4554</v>
      </c>
      <c r="L7642" t="s">
        <v>4555</v>
      </c>
      <c r="M7642" s="2">
        <v>2217</v>
      </c>
      <c r="N7642" t="s">
        <v>3887</v>
      </c>
      <c r="O7642">
        <v>3</v>
      </c>
      <c r="P7642">
        <v>2</v>
      </c>
      <c r="Q7642">
        <v>0</v>
      </c>
      <c r="R7642" t="s">
        <v>5281</v>
      </c>
      <c r="S7642" t="s">
        <v>4898</v>
      </c>
      <c r="T7642" t="s">
        <v>2704</v>
      </c>
      <c r="U7642" t="s">
        <v>4560</v>
      </c>
      <c r="V7642" s="2">
        <v>923</v>
      </c>
      <c r="W7642" t="s">
        <v>4655</v>
      </c>
      <c r="X7642" s="2">
        <v>0</v>
      </c>
      <c r="Y7642">
        <v>20</v>
      </c>
      <c r="Z7642" t="s">
        <v>2048</v>
      </c>
      <c r="AA7642" s="3">
        <v>0.39933425188064597</v>
      </c>
      <c r="AB7642" t="s">
        <v>35735</v>
      </c>
      <c r="AC7642" t="s">
        <v>4562</v>
      </c>
      <c r="AD7642" t="s">
        <v>1483</v>
      </c>
      <c r="AE7642" t="s">
        <v>4655</v>
      </c>
      <c r="AF7642" t="s">
        <v>5201</v>
      </c>
      <c r="AG7642" t="s">
        <v>4564</v>
      </c>
      <c r="AH7642" t="s">
        <v>1605</v>
      </c>
      <c r="AI7642" t="s">
        <v>35736</v>
      </c>
      <c r="AJ7642" t="s">
        <v>2219</v>
      </c>
      <c r="AK7642" t="s">
        <v>35737</v>
      </c>
      <c r="AL7642" s="13" t="s">
        <v>1899</v>
      </c>
      <c r="AM7642" s="14">
        <v>1</v>
      </c>
      <c r="AN7642" s="15" t="s">
        <v>2220</v>
      </c>
    </row>
    <row r="7643" spans="1:40" x14ac:dyDescent="0.3">
      <c r="A7643" s="10" t="str">
        <f>HYPERLINK("http://www.washoecounty.gov/assessor/cama/?parid=527-071-05&amp;CardNumber=1","527-071-05")</f>
        <v>527-071-05</v>
      </c>
      <c r="B7643" t="s">
        <v>4655</v>
      </c>
      <c r="C7643" t="s">
        <v>35738</v>
      </c>
      <c r="D7643" s="1">
        <v>40275</v>
      </c>
      <c r="E7643" s="2">
        <v>419000</v>
      </c>
      <c r="F7643" t="s">
        <v>4567</v>
      </c>
      <c r="G7643" s="17" t="str">
        <f>HYPERLINK("https://www.washoecounty.gov/assessor/cama/?command=sales&amp;parid=52707105","3868380")</f>
        <v>3868380</v>
      </c>
      <c r="H7643" t="s">
        <v>2218</v>
      </c>
      <c r="I7643">
        <v>2006</v>
      </c>
      <c r="J7643">
        <v>2006</v>
      </c>
      <c r="K7643" t="s">
        <v>4554</v>
      </c>
      <c r="L7643" t="s">
        <v>4555</v>
      </c>
      <c r="M7643" s="2">
        <v>3034</v>
      </c>
      <c r="N7643" t="s">
        <v>3887</v>
      </c>
      <c r="O7643">
        <v>5</v>
      </c>
      <c r="P7643">
        <v>3</v>
      </c>
      <c r="Q7643">
        <v>0</v>
      </c>
      <c r="R7643" t="s">
        <v>5281</v>
      </c>
      <c r="S7643" t="s">
        <v>4898</v>
      </c>
      <c r="T7643" t="s">
        <v>2704</v>
      </c>
      <c r="U7643" t="s">
        <v>4560</v>
      </c>
      <c r="V7643" s="2">
        <v>1206</v>
      </c>
      <c r="W7643" t="s">
        <v>4655</v>
      </c>
      <c r="X7643" s="2">
        <v>0</v>
      </c>
      <c r="Y7643">
        <v>20</v>
      </c>
      <c r="Z7643" t="s">
        <v>2048</v>
      </c>
      <c r="AA7643" s="3">
        <v>0.37878787517547607</v>
      </c>
      <c r="AB7643" t="s">
        <v>35739</v>
      </c>
      <c r="AC7643" t="s">
        <v>4562</v>
      </c>
      <c r="AD7643" t="s">
        <v>35738</v>
      </c>
      <c r="AE7643" t="s">
        <v>4655</v>
      </c>
      <c r="AF7643" t="s">
        <v>5201</v>
      </c>
      <c r="AG7643" t="s">
        <v>4564</v>
      </c>
      <c r="AH7643" t="s">
        <v>1605</v>
      </c>
      <c r="AI7643" t="s">
        <v>35740</v>
      </c>
      <c r="AJ7643" t="s">
        <v>2219</v>
      </c>
      <c r="AK7643" t="s">
        <v>35741</v>
      </c>
      <c r="AL7643" s="13" t="s">
        <v>1899</v>
      </c>
      <c r="AM7643">
        <v>1</v>
      </c>
      <c r="AN7643" s="15" t="s">
        <v>2220</v>
      </c>
    </row>
    <row r="7644" spans="1:40" x14ac:dyDescent="0.3">
      <c r="A7644" s="10" t="str">
        <f>HYPERLINK("http://www.washoecounty.gov/assessor/cama/?parid=527-111-02&amp;CardNumber=1","527-111-02")</f>
        <v>527-111-02</v>
      </c>
      <c r="B7644" t="s">
        <v>4655</v>
      </c>
      <c r="C7644" t="s">
        <v>35742</v>
      </c>
      <c r="D7644" s="1">
        <v>40305</v>
      </c>
      <c r="E7644" s="2">
        <v>524690</v>
      </c>
      <c r="F7644" t="s">
        <v>4567</v>
      </c>
      <c r="G7644" s="17" t="str">
        <f>HYPERLINK("https://www.washoecounty.gov/assessor/cama/?command=sales&amp;parid=52711102","3879429")</f>
        <v>3879429</v>
      </c>
      <c r="H7644" t="s">
        <v>2551</v>
      </c>
      <c r="I7644">
        <v>2007</v>
      </c>
      <c r="J7644">
        <v>2007</v>
      </c>
      <c r="K7644" t="s">
        <v>4554</v>
      </c>
      <c r="L7644" t="s">
        <v>4555</v>
      </c>
      <c r="M7644" s="2">
        <v>3884</v>
      </c>
      <c r="N7644" t="s">
        <v>3887</v>
      </c>
      <c r="O7644">
        <v>4</v>
      </c>
      <c r="P7644">
        <v>3</v>
      </c>
      <c r="Q7644">
        <v>1</v>
      </c>
      <c r="R7644" t="s">
        <v>5281</v>
      </c>
      <c r="S7644" t="s">
        <v>4898</v>
      </c>
      <c r="T7644" t="s">
        <v>2704</v>
      </c>
      <c r="U7644" t="s">
        <v>4560</v>
      </c>
      <c r="V7644" s="2">
        <v>972</v>
      </c>
      <c r="W7644" t="s">
        <v>4655</v>
      </c>
      <c r="X7644" s="2">
        <v>0</v>
      </c>
      <c r="Y7644">
        <v>20</v>
      </c>
      <c r="Z7644" t="s">
        <v>2048</v>
      </c>
      <c r="AA7644" s="3">
        <v>0.52169424295425415</v>
      </c>
      <c r="AB7644" t="s">
        <v>35743</v>
      </c>
      <c r="AC7644" t="s">
        <v>4562</v>
      </c>
      <c r="AD7644" t="s">
        <v>35742</v>
      </c>
      <c r="AE7644" t="s">
        <v>4655</v>
      </c>
      <c r="AF7644" t="s">
        <v>4809</v>
      </c>
      <c r="AG7644" t="s">
        <v>4564</v>
      </c>
      <c r="AH7644" t="s">
        <v>1605</v>
      </c>
      <c r="AI7644" t="s">
        <v>35744</v>
      </c>
      <c r="AJ7644" t="s">
        <v>2552</v>
      </c>
      <c r="AK7644" t="s">
        <v>35745</v>
      </c>
      <c r="AL7644" s="13" t="s">
        <v>1899</v>
      </c>
      <c r="AM7644">
        <v>1</v>
      </c>
      <c r="AN7644" s="15" t="s">
        <v>2220</v>
      </c>
    </row>
    <row r="7645" spans="1:40" x14ac:dyDescent="0.3">
      <c r="A7645" s="10" t="str">
        <f>HYPERLINK("http://www.washoecounty.gov/assessor/cama/?parid=527-112-21&amp;CardNumber=1","527-112-21")</f>
        <v>527-112-21</v>
      </c>
      <c r="B7645" t="s">
        <v>4655</v>
      </c>
      <c r="C7645" t="s">
        <v>35746</v>
      </c>
      <c r="D7645" s="1">
        <v>40541</v>
      </c>
      <c r="E7645" s="2">
        <v>395000</v>
      </c>
      <c r="F7645" t="s">
        <v>4553</v>
      </c>
      <c r="G7645" s="17" t="str">
        <f>HYPERLINK("https://www.washoecounty.gov/assessor/cama/?command=sales&amp;parid=52711221","3958587")</f>
        <v>3958587</v>
      </c>
      <c r="H7645" t="s">
        <v>2551</v>
      </c>
      <c r="I7645">
        <v>2006</v>
      </c>
      <c r="J7645">
        <v>2006</v>
      </c>
      <c r="K7645" t="s">
        <v>4554</v>
      </c>
      <c r="L7645" t="s">
        <v>4555</v>
      </c>
      <c r="M7645" s="2">
        <v>3582</v>
      </c>
      <c r="N7645" t="s">
        <v>3887</v>
      </c>
      <c r="O7645">
        <v>5</v>
      </c>
      <c r="P7645">
        <v>3</v>
      </c>
      <c r="Q7645">
        <v>0</v>
      </c>
      <c r="R7645" t="s">
        <v>5281</v>
      </c>
      <c r="S7645" t="s">
        <v>4898</v>
      </c>
      <c r="T7645" t="s">
        <v>2704</v>
      </c>
      <c r="U7645" t="s">
        <v>4560</v>
      </c>
      <c r="V7645" s="2">
        <v>1110</v>
      </c>
      <c r="W7645" t="s">
        <v>4655</v>
      </c>
      <c r="X7645" s="2">
        <v>0</v>
      </c>
      <c r="Y7645">
        <v>20</v>
      </c>
      <c r="Z7645" t="s">
        <v>2048</v>
      </c>
      <c r="AA7645" s="3">
        <v>0.38259872794151306</v>
      </c>
      <c r="AB7645" t="s">
        <v>35747</v>
      </c>
      <c r="AC7645" t="s">
        <v>4562</v>
      </c>
      <c r="AD7645" t="s">
        <v>35746</v>
      </c>
      <c r="AE7645" t="s">
        <v>4655</v>
      </c>
      <c r="AF7645" t="s">
        <v>5201</v>
      </c>
      <c r="AG7645" t="s">
        <v>4564</v>
      </c>
      <c r="AH7645" t="s">
        <v>1605</v>
      </c>
      <c r="AI7645" t="s">
        <v>4585</v>
      </c>
      <c r="AJ7645" t="s">
        <v>2552</v>
      </c>
      <c r="AK7645" t="s">
        <v>35748</v>
      </c>
      <c r="AL7645" s="13" t="s">
        <v>1899</v>
      </c>
      <c r="AM7645" s="14">
        <v>1</v>
      </c>
      <c r="AN7645" s="15" t="s">
        <v>2220</v>
      </c>
    </row>
    <row r="7646" spans="1:40" x14ac:dyDescent="0.3">
      <c r="A7646" s="10" t="str">
        <f>HYPERLINK("http://www.washoecounty.gov/assessor/cama/?parid=527-121-03&amp;CardNumber=1","527-121-03")</f>
        <v>527-121-03</v>
      </c>
      <c r="B7646" t="s">
        <v>4655</v>
      </c>
      <c r="C7646" t="s">
        <v>35749</v>
      </c>
      <c r="D7646" s="1">
        <v>40389</v>
      </c>
      <c r="E7646" s="2">
        <v>564000</v>
      </c>
      <c r="F7646" t="s">
        <v>4567</v>
      </c>
      <c r="G7646" s="17" t="str">
        <f>HYPERLINK("https://www.washoecounty.gov/assessor/cama/?command=sales&amp;parid=52712103","3906884")</f>
        <v>3906884</v>
      </c>
      <c r="H7646" t="s">
        <v>2551</v>
      </c>
      <c r="I7646">
        <v>2006</v>
      </c>
      <c r="J7646">
        <v>2006</v>
      </c>
      <c r="K7646" t="s">
        <v>4554</v>
      </c>
      <c r="L7646" t="s">
        <v>4555</v>
      </c>
      <c r="M7646" s="2">
        <v>3892</v>
      </c>
      <c r="N7646" t="s">
        <v>3887</v>
      </c>
      <c r="O7646">
        <v>6</v>
      </c>
      <c r="P7646">
        <v>4</v>
      </c>
      <c r="Q7646">
        <v>0</v>
      </c>
      <c r="R7646" t="s">
        <v>5281</v>
      </c>
      <c r="S7646" t="s">
        <v>4898</v>
      </c>
      <c r="T7646" t="s">
        <v>2704</v>
      </c>
      <c r="U7646" t="s">
        <v>4560</v>
      </c>
      <c r="V7646" s="2">
        <v>944</v>
      </c>
      <c r="W7646" t="s">
        <v>4655</v>
      </c>
      <c r="X7646" s="2">
        <v>0</v>
      </c>
      <c r="Y7646">
        <v>20</v>
      </c>
      <c r="Z7646" t="s">
        <v>2048</v>
      </c>
      <c r="AA7646" s="3">
        <v>0.393801659345627</v>
      </c>
      <c r="AB7646" t="s">
        <v>35750</v>
      </c>
      <c r="AC7646" t="s">
        <v>4562</v>
      </c>
      <c r="AD7646" t="s">
        <v>35749</v>
      </c>
      <c r="AE7646" t="s">
        <v>4655</v>
      </c>
      <c r="AF7646" t="s">
        <v>5201</v>
      </c>
      <c r="AG7646" t="s">
        <v>4564</v>
      </c>
      <c r="AH7646" t="s">
        <v>1605</v>
      </c>
      <c r="AI7646" t="s">
        <v>35751</v>
      </c>
      <c r="AJ7646" t="s">
        <v>2552</v>
      </c>
      <c r="AK7646" t="s">
        <v>35752</v>
      </c>
      <c r="AL7646" s="13" t="s">
        <v>1899</v>
      </c>
      <c r="AM7646" s="14">
        <v>1</v>
      </c>
      <c r="AN7646" s="15" t="s">
        <v>2220</v>
      </c>
    </row>
    <row r="7647" spans="1:40" x14ac:dyDescent="0.3">
      <c r="A7647" s="10" t="str">
        <f>HYPERLINK("http://www.washoecounty.gov/assessor/cama/?parid=528-071-13&amp;CardNumber=1","528-071-13")</f>
        <v>528-071-13</v>
      </c>
      <c r="B7647" t="s">
        <v>4655</v>
      </c>
      <c r="C7647" t="s">
        <v>35753</v>
      </c>
      <c r="D7647" s="1">
        <v>40260</v>
      </c>
      <c r="E7647" s="2">
        <v>239000</v>
      </c>
      <c r="F7647" t="s">
        <v>4567</v>
      </c>
      <c r="G7647" s="17" t="str">
        <f>HYPERLINK("https://www.washoecounty.gov/assessor/cama/?command=sales&amp;parid=52807113","3862957")</f>
        <v>3862957</v>
      </c>
      <c r="H7647" t="s">
        <v>4170</v>
      </c>
      <c r="I7647">
        <v>2006</v>
      </c>
      <c r="J7647">
        <v>2006</v>
      </c>
      <c r="K7647" t="s">
        <v>4554</v>
      </c>
      <c r="L7647" t="s">
        <v>3974</v>
      </c>
      <c r="M7647" s="2">
        <v>2664</v>
      </c>
      <c r="N7647" t="s">
        <v>3147</v>
      </c>
      <c r="O7647">
        <v>4</v>
      </c>
      <c r="P7647">
        <v>2</v>
      </c>
      <c r="Q7647">
        <v>1</v>
      </c>
      <c r="R7647" t="s">
        <v>5281</v>
      </c>
      <c r="S7647" t="s">
        <v>4898</v>
      </c>
      <c r="T7647" t="s">
        <v>2704</v>
      </c>
      <c r="U7647" t="s">
        <v>5631</v>
      </c>
      <c r="V7647" s="2">
        <v>742</v>
      </c>
      <c r="W7647" t="s">
        <v>4655</v>
      </c>
      <c r="X7647" s="2">
        <v>0</v>
      </c>
      <c r="Y7647">
        <v>20</v>
      </c>
      <c r="Z7647" t="s">
        <v>1604</v>
      </c>
      <c r="AA7647" s="3">
        <v>0.172750234603882</v>
      </c>
      <c r="AB7647" t="s">
        <v>35754</v>
      </c>
      <c r="AC7647" t="s">
        <v>4562</v>
      </c>
      <c r="AD7647" t="s">
        <v>35755</v>
      </c>
      <c r="AE7647" t="s">
        <v>4655</v>
      </c>
      <c r="AF7647" t="s">
        <v>5201</v>
      </c>
      <c r="AG7647" t="s">
        <v>4564</v>
      </c>
      <c r="AH7647" t="s">
        <v>1605</v>
      </c>
      <c r="AI7647" t="s">
        <v>35756</v>
      </c>
      <c r="AJ7647" t="s">
        <v>4543</v>
      </c>
      <c r="AK7647" t="s">
        <v>35757</v>
      </c>
      <c r="AL7647" s="13" t="s">
        <v>1900</v>
      </c>
      <c r="AM7647">
        <v>1</v>
      </c>
      <c r="AN7647" s="15" t="s">
        <v>2042</v>
      </c>
    </row>
    <row r="7648" spans="1:40" x14ac:dyDescent="0.3">
      <c r="A7648" s="10" t="str">
        <f>HYPERLINK("http://www.washoecounty.gov/assessor/cama/?parid=528-071-14&amp;CardNumber=1","528-071-14")</f>
        <v>528-071-14</v>
      </c>
      <c r="B7648" t="s">
        <v>4655</v>
      </c>
      <c r="C7648" t="s">
        <v>35758</v>
      </c>
      <c r="D7648" s="1">
        <v>40326</v>
      </c>
      <c r="E7648" s="2">
        <v>209000</v>
      </c>
      <c r="F7648" t="s">
        <v>4567</v>
      </c>
      <c r="G7648" s="17" t="str">
        <f>HYPERLINK("https://www.washoecounty.gov/assessor/cama/?command=sales&amp;parid=52807114","3886429")</f>
        <v>3886429</v>
      </c>
      <c r="H7648" t="s">
        <v>4170</v>
      </c>
      <c r="I7648">
        <v>2006</v>
      </c>
      <c r="J7648">
        <v>2006</v>
      </c>
      <c r="K7648" t="s">
        <v>4554</v>
      </c>
      <c r="L7648" t="s">
        <v>3974</v>
      </c>
      <c r="M7648" s="2">
        <v>2330</v>
      </c>
      <c r="N7648" t="s">
        <v>3147</v>
      </c>
      <c r="O7648">
        <v>4</v>
      </c>
      <c r="P7648">
        <v>2</v>
      </c>
      <c r="Q7648">
        <v>1</v>
      </c>
      <c r="R7648" t="s">
        <v>5281</v>
      </c>
      <c r="S7648" t="s">
        <v>4898</v>
      </c>
      <c r="T7648" t="s">
        <v>2704</v>
      </c>
      <c r="U7648" t="s">
        <v>5631</v>
      </c>
      <c r="V7648" s="2">
        <v>525</v>
      </c>
      <c r="W7648" t="s">
        <v>4655</v>
      </c>
      <c r="X7648" s="2">
        <v>0</v>
      </c>
      <c r="Y7648">
        <v>20</v>
      </c>
      <c r="Z7648" t="s">
        <v>1604</v>
      </c>
      <c r="AA7648" s="3">
        <v>0.172750234603882</v>
      </c>
      <c r="AB7648" t="s">
        <v>35759</v>
      </c>
      <c r="AC7648" t="s">
        <v>4562</v>
      </c>
      <c r="AD7648" t="s">
        <v>35758</v>
      </c>
      <c r="AE7648" t="s">
        <v>4655</v>
      </c>
      <c r="AF7648" t="s">
        <v>5201</v>
      </c>
      <c r="AG7648" t="s">
        <v>4564</v>
      </c>
      <c r="AH7648" t="s">
        <v>1605</v>
      </c>
      <c r="AI7648" t="s">
        <v>35756</v>
      </c>
      <c r="AJ7648" t="s">
        <v>4543</v>
      </c>
      <c r="AK7648" t="s">
        <v>35760</v>
      </c>
      <c r="AL7648" s="13" t="s">
        <v>1900</v>
      </c>
      <c r="AM7648">
        <v>1</v>
      </c>
      <c r="AN7648" s="15" t="s">
        <v>2042</v>
      </c>
    </row>
    <row r="7649" spans="1:40" x14ac:dyDescent="0.3">
      <c r="A7649" s="10" t="str">
        <f>HYPERLINK("http://www.washoecounty.gov/assessor/cama/?parid=528-071-15&amp;CardNumber=1","528-071-15")</f>
        <v>528-071-15</v>
      </c>
      <c r="B7649" t="s">
        <v>4655</v>
      </c>
      <c r="C7649" t="s">
        <v>35761</v>
      </c>
      <c r="D7649" s="1">
        <v>40298</v>
      </c>
      <c r="E7649" s="2">
        <v>205000</v>
      </c>
      <c r="F7649" t="s">
        <v>4567</v>
      </c>
      <c r="G7649" s="17" t="str">
        <f>HYPERLINK("https://www.washoecounty.gov/assessor/cama/?command=sales&amp;parid=52807115","3876876")</f>
        <v>3876876</v>
      </c>
      <c r="H7649" t="s">
        <v>4170</v>
      </c>
      <c r="I7649">
        <v>2006</v>
      </c>
      <c r="J7649">
        <v>2006</v>
      </c>
      <c r="K7649" t="s">
        <v>4554</v>
      </c>
      <c r="L7649" t="s">
        <v>4555</v>
      </c>
      <c r="M7649" s="2">
        <v>1801</v>
      </c>
      <c r="N7649" t="s">
        <v>3147</v>
      </c>
      <c r="O7649">
        <v>3</v>
      </c>
      <c r="P7649">
        <v>2</v>
      </c>
      <c r="Q7649">
        <v>0</v>
      </c>
      <c r="R7649" t="s">
        <v>5281</v>
      </c>
      <c r="S7649" t="s">
        <v>4898</v>
      </c>
      <c r="T7649" t="s">
        <v>2704</v>
      </c>
      <c r="U7649" t="s">
        <v>4560</v>
      </c>
      <c r="V7649" s="2">
        <v>400</v>
      </c>
      <c r="W7649" t="s">
        <v>4655</v>
      </c>
      <c r="X7649" s="2">
        <v>0</v>
      </c>
      <c r="Y7649">
        <v>20</v>
      </c>
      <c r="Z7649" t="s">
        <v>1604</v>
      </c>
      <c r="AA7649" s="3">
        <v>0.172750234603882</v>
      </c>
      <c r="AB7649" t="s">
        <v>35762</v>
      </c>
      <c r="AC7649" t="s">
        <v>4562</v>
      </c>
      <c r="AD7649" t="s">
        <v>35761</v>
      </c>
      <c r="AE7649" t="s">
        <v>4655</v>
      </c>
      <c r="AF7649" t="s">
        <v>5201</v>
      </c>
      <c r="AG7649" t="s">
        <v>4564</v>
      </c>
      <c r="AH7649" t="s">
        <v>1605</v>
      </c>
      <c r="AI7649" t="s">
        <v>35756</v>
      </c>
      <c r="AJ7649" t="s">
        <v>4543</v>
      </c>
      <c r="AK7649" t="s">
        <v>35763</v>
      </c>
      <c r="AL7649" s="13" t="s">
        <v>1900</v>
      </c>
      <c r="AM7649">
        <v>1</v>
      </c>
      <c r="AN7649" s="15" t="s">
        <v>2042</v>
      </c>
    </row>
    <row r="7650" spans="1:40" x14ac:dyDescent="0.3">
      <c r="A7650" s="10" t="str">
        <f>HYPERLINK("http://www.washoecounty.gov/assessor/cama/?parid=528-072-01&amp;CardNumber=1","528-072-01")</f>
        <v>528-072-01</v>
      </c>
      <c r="B7650" t="s">
        <v>4655</v>
      </c>
      <c r="C7650" t="s">
        <v>35764</v>
      </c>
      <c r="D7650" s="1">
        <v>40235</v>
      </c>
      <c r="E7650" s="2">
        <v>183000</v>
      </c>
      <c r="F7650" t="s">
        <v>4567</v>
      </c>
      <c r="G7650" s="17" t="str">
        <f>HYPERLINK("https://www.washoecounty.gov/assessor/cama/?command=sales&amp;parid=52807201","3853469")</f>
        <v>3853469</v>
      </c>
      <c r="H7650" t="s">
        <v>4170</v>
      </c>
      <c r="I7650">
        <v>2006</v>
      </c>
      <c r="J7650">
        <v>2006</v>
      </c>
      <c r="K7650" t="s">
        <v>4554</v>
      </c>
      <c r="L7650" t="s">
        <v>3974</v>
      </c>
      <c r="M7650" s="2">
        <v>2128</v>
      </c>
      <c r="N7650" t="s">
        <v>3147</v>
      </c>
      <c r="O7650">
        <v>3</v>
      </c>
      <c r="P7650">
        <v>2</v>
      </c>
      <c r="Q7650">
        <v>1</v>
      </c>
      <c r="R7650" t="s">
        <v>5281</v>
      </c>
      <c r="S7650" t="s">
        <v>4898</v>
      </c>
      <c r="T7650" t="s">
        <v>2704</v>
      </c>
      <c r="U7650" t="s">
        <v>4560</v>
      </c>
      <c r="V7650" s="2">
        <v>380</v>
      </c>
      <c r="W7650" t="s">
        <v>4655</v>
      </c>
      <c r="X7650" s="2">
        <v>0</v>
      </c>
      <c r="Y7650">
        <v>20</v>
      </c>
      <c r="Z7650" t="s">
        <v>1604</v>
      </c>
      <c r="AA7650" s="3">
        <v>0.16340678930282601</v>
      </c>
      <c r="AB7650" t="s">
        <v>35765</v>
      </c>
      <c r="AC7650" t="s">
        <v>4575</v>
      </c>
      <c r="AD7650" t="s">
        <v>35766</v>
      </c>
      <c r="AE7650" t="s">
        <v>35767</v>
      </c>
      <c r="AF7650" t="s">
        <v>4809</v>
      </c>
      <c r="AG7650" t="s">
        <v>4564</v>
      </c>
      <c r="AH7650" t="s">
        <v>1605</v>
      </c>
      <c r="AI7650" t="s">
        <v>35768</v>
      </c>
      <c r="AJ7650" t="s">
        <v>4543</v>
      </c>
      <c r="AK7650" t="s">
        <v>35769</v>
      </c>
      <c r="AL7650" s="13" t="s">
        <v>1900</v>
      </c>
      <c r="AM7650" s="14">
        <v>1</v>
      </c>
      <c r="AN7650" s="15" t="s">
        <v>2042</v>
      </c>
    </row>
    <row r="7651" spans="1:40" x14ac:dyDescent="0.3">
      <c r="A7651" s="10" t="str">
        <f>HYPERLINK("http://www.washoecounty.gov/assessor/cama/?parid=528-072-02&amp;CardNumber=1","528-072-02")</f>
        <v>528-072-02</v>
      </c>
      <c r="B7651" t="s">
        <v>4655</v>
      </c>
      <c r="C7651" t="s">
        <v>35770</v>
      </c>
      <c r="D7651" s="1">
        <v>40512</v>
      </c>
      <c r="E7651" s="2">
        <v>189000</v>
      </c>
      <c r="F7651" t="s">
        <v>4567</v>
      </c>
      <c r="G7651" s="17" t="str">
        <f>HYPERLINK("https://www.washoecounty.gov/assessor/cama/?command=sales&amp;parid=52807202","3947591")</f>
        <v>3947591</v>
      </c>
      <c r="H7651" t="s">
        <v>4170</v>
      </c>
      <c r="I7651">
        <v>2006</v>
      </c>
      <c r="J7651">
        <v>2006</v>
      </c>
      <c r="K7651" t="s">
        <v>4554</v>
      </c>
      <c r="L7651" t="s">
        <v>3974</v>
      </c>
      <c r="M7651" s="2">
        <v>2484</v>
      </c>
      <c r="N7651" t="s">
        <v>3147</v>
      </c>
      <c r="O7651">
        <v>4</v>
      </c>
      <c r="P7651">
        <v>2</v>
      </c>
      <c r="Q7651">
        <v>1</v>
      </c>
      <c r="R7651" t="s">
        <v>5281</v>
      </c>
      <c r="S7651" t="s">
        <v>4898</v>
      </c>
      <c r="T7651" t="s">
        <v>2704</v>
      </c>
      <c r="U7651" t="s">
        <v>5631</v>
      </c>
      <c r="V7651" s="2">
        <v>742</v>
      </c>
      <c r="W7651" t="s">
        <v>4655</v>
      </c>
      <c r="X7651" s="2">
        <v>0</v>
      </c>
      <c r="Y7651">
        <v>20</v>
      </c>
      <c r="Z7651" t="s">
        <v>1604</v>
      </c>
      <c r="AA7651" s="3">
        <v>0.14458218216896057</v>
      </c>
      <c r="AB7651" t="s">
        <v>35771</v>
      </c>
      <c r="AC7651" t="s">
        <v>4562</v>
      </c>
      <c r="AD7651" t="s">
        <v>35770</v>
      </c>
      <c r="AE7651" t="s">
        <v>4655</v>
      </c>
      <c r="AF7651" t="s">
        <v>5201</v>
      </c>
      <c r="AG7651" t="s">
        <v>4564</v>
      </c>
      <c r="AH7651" t="s">
        <v>1605</v>
      </c>
      <c r="AI7651" t="s">
        <v>35772</v>
      </c>
      <c r="AJ7651" t="s">
        <v>4543</v>
      </c>
      <c r="AK7651" t="s">
        <v>35773</v>
      </c>
      <c r="AL7651" s="13" t="s">
        <v>1900</v>
      </c>
      <c r="AM7651" s="14">
        <v>1</v>
      </c>
      <c r="AN7651" s="15" t="s">
        <v>2042</v>
      </c>
    </row>
    <row r="7652" spans="1:40" x14ac:dyDescent="0.3">
      <c r="A7652" s="10" t="str">
        <f>HYPERLINK("http://www.washoecounty.gov/assessor/cama/?parid=528-072-11&amp;CardNumber=1","528-072-11")</f>
        <v>528-072-11</v>
      </c>
      <c r="B7652" t="s">
        <v>4655</v>
      </c>
      <c r="C7652" t="s">
        <v>35774</v>
      </c>
      <c r="D7652" s="1">
        <v>40382</v>
      </c>
      <c r="E7652" s="2">
        <v>230000</v>
      </c>
      <c r="F7652" t="s">
        <v>4553</v>
      </c>
      <c r="G7652" s="17" t="str">
        <f>HYPERLINK("https://www.washoecounty.gov/assessor/cama/?command=sales&amp;parid=52807211","3904417")</f>
        <v>3904417</v>
      </c>
      <c r="H7652" t="s">
        <v>4170</v>
      </c>
      <c r="I7652">
        <v>2006</v>
      </c>
      <c r="J7652">
        <v>2006</v>
      </c>
      <c r="K7652" t="s">
        <v>4554</v>
      </c>
      <c r="L7652" t="s">
        <v>3974</v>
      </c>
      <c r="M7652" s="2">
        <v>2664</v>
      </c>
      <c r="N7652" t="s">
        <v>3147</v>
      </c>
      <c r="O7652">
        <v>4</v>
      </c>
      <c r="P7652">
        <v>2</v>
      </c>
      <c r="Q7652">
        <v>1</v>
      </c>
      <c r="R7652" t="s">
        <v>5281</v>
      </c>
      <c r="S7652" t="s">
        <v>4898</v>
      </c>
      <c r="T7652" t="s">
        <v>2704</v>
      </c>
      <c r="U7652" t="s">
        <v>5631</v>
      </c>
      <c r="V7652" s="2">
        <v>742</v>
      </c>
      <c r="W7652" t="s">
        <v>4655</v>
      </c>
      <c r="X7652" s="2">
        <v>0</v>
      </c>
      <c r="Y7652">
        <v>20</v>
      </c>
      <c r="Z7652" t="s">
        <v>1604</v>
      </c>
      <c r="AA7652" s="3">
        <v>0.159090906381607</v>
      </c>
      <c r="AB7652" t="s">
        <v>35775</v>
      </c>
      <c r="AC7652" t="s">
        <v>4575</v>
      </c>
      <c r="AD7652" t="s">
        <v>35776</v>
      </c>
      <c r="AE7652" t="s">
        <v>35774</v>
      </c>
      <c r="AF7652" t="s">
        <v>5201</v>
      </c>
      <c r="AG7652" t="s">
        <v>4564</v>
      </c>
      <c r="AH7652" t="s">
        <v>1605</v>
      </c>
      <c r="AI7652" t="s">
        <v>35777</v>
      </c>
      <c r="AJ7652" t="s">
        <v>4543</v>
      </c>
      <c r="AK7652" t="s">
        <v>35778</v>
      </c>
      <c r="AL7652" s="13" t="s">
        <v>1900</v>
      </c>
      <c r="AM7652" s="14">
        <v>1</v>
      </c>
      <c r="AN7652" s="15" t="s">
        <v>2042</v>
      </c>
    </row>
    <row r="7653" spans="1:40" x14ac:dyDescent="0.3">
      <c r="A7653" s="10" t="str">
        <f>HYPERLINK("http://www.washoecounty.gov/assessor/cama/?parid=528-073-03&amp;CardNumber=1","528-073-03")</f>
        <v>528-073-03</v>
      </c>
      <c r="B7653" t="s">
        <v>4655</v>
      </c>
      <c r="C7653" t="s">
        <v>35779</v>
      </c>
      <c r="D7653" s="1">
        <v>40207</v>
      </c>
      <c r="E7653" s="2">
        <v>245000</v>
      </c>
      <c r="F7653" t="s">
        <v>4567</v>
      </c>
      <c r="G7653" s="17" t="str">
        <f>HYPERLINK("https://www.washoecounty.gov/assessor/cama/?command=sales&amp;parid=52807303","3844536")</f>
        <v>3844536</v>
      </c>
      <c r="H7653" t="s">
        <v>4170</v>
      </c>
      <c r="I7653">
        <v>2006</v>
      </c>
      <c r="J7653">
        <v>2006</v>
      </c>
      <c r="K7653" t="s">
        <v>4554</v>
      </c>
      <c r="L7653" t="s">
        <v>3974</v>
      </c>
      <c r="M7653" s="2">
        <v>2664</v>
      </c>
      <c r="N7653" t="s">
        <v>3147</v>
      </c>
      <c r="O7653">
        <v>4</v>
      </c>
      <c r="P7653">
        <v>2</v>
      </c>
      <c r="Q7653">
        <v>1</v>
      </c>
      <c r="R7653" t="s">
        <v>5281</v>
      </c>
      <c r="S7653" t="s">
        <v>4898</v>
      </c>
      <c r="T7653" t="s">
        <v>2704</v>
      </c>
      <c r="U7653" t="s">
        <v>5631</v>
      </c>
      <c r="V7653" s="2">
        <v>742</v>
      </c>
      <c r="W7653" t="s">
        <v>4655</v>
      </c>
      <c r="X7653" s="2">
        <v>0</v>
      </c>
      <c r="Y7653">
        <v>20</v>
      </c>
      <c r="Z7653" t="s">
        <v>1604</v>
      </c>
      <c r="AA7653" s="3">
        <v>0.46489900350570701</v>
      </c>
      <c r="AB7653" t="s">
        <v>35780</v>
      </c>
      <c r="AC7653" t="s">
        <v>4562</v>
      </c>
      <c r="AD7653" t="s">
        <v>35779</v>
      </c>
      <c r="AE7653" t="s">
        <v>4655</v>
      </c>
      <c r="AF7653" t="s">
        <v>5201</v>
      </c>
      <c r="AG7653" t="s">
        <v>4564</v>
      </c>
      <c r="AH7653" t="s">
        <v>1605</v>
      </c>
      <c r="AI7653" t="s">
        <v>6589</v>
      </c>
      <c r="AJ7653" t="s">
        <v>4543</v>
      </c>
      <c r="AK7653" t="s">
        <v>35781</v>
      </c>
      <c r="AL7653" s="13" t="s">
        <v>1900</v>
      </c>
      <c r="AM7653" s="14">
        <v>1</v>
      </c>
      <c r="AN7653" s="15" t="s">
        <v>2042</v>
      </c>
    </row>
    <row r="7654" spans="1:40" x14ac:dyDescent="0.3">
      <c r="A7654" s="10" t="str">
        <f>HYPERLINK("http://www.washoecounty.gov/assessor/cama/?parid=528-073-05&amp;CardNumber=1","528-073-05")</f>
        <v>528-073-05</v>
      </c>
      <c r="B7654" t="s">
        <v>4655</v>
      </c>
      <c r="C7654" t="s">
        <v>35782</v>
      </c>
      <c r="D7654" s="1">
        <v>40241</v>
      </c>
      <c r="E7654" s="2">
        <v>225900</v>
      </c>
      <c r="F7654" t="s">
        <v>4553</v>
      </c>
      <c r="G7654" s="17" t="str">
        <f>HYPERLINK("https://www.washoecounty.gov/assessor/cama/?command=sales&amp;parid=52807305","3855705")</f>
        <v>3855705</v>
      </c>
      <c r="H7654" t="s">
        <v>4170</v>
      </c>
      <c r="I7654">
        <v>2006</v>
      </c>
      <c r="J7654">
        <v>2006</v>
      </c>
      <c r="K7654" t="s">
        <v>4554</v>
      </c>
      <c r="L7654" t="s">
        <v>3974</v>
      </c>
      <c r="M7654" s="2">
        <v>2664</v>
      </c>
      <c r="N7654" t="s">
        <v>3147</v>
      </c>
      <c r="O7654">
        <v>4</v>
      </c>
      <c r="P7654">
        <v>2</v>
      </c>
      <c r="Q7654">
        <v>1</v>
      </c>
      <c r="R7654" t="s">
        <v>5281</v>
      </c>
      <c r="S7654" t="s">
        <v>4898</v>
      </c>
      <c r="T7654" t="s">
        <v>2704</v>
      </c>
      <c r="U7654" t="s">
        <v>5631</v>
      </c>
      <c r="V7654" s="2">
        <v>742</v>
      </c>
      <c r="W7654" t="s">
        <v>4655</v>
      </c>
      <c r="X7654" s="2">
        <v>0</v>
      </c>
      <c r="Y7654">
        <v>20</v>
      </c>
      <c r="Z7654" t="s">
        <v>1604</v>
      </c>
      <c r="AA7654" s="3">
        <v>0.39573001861572299</v>
      </c>
      <c r="AB7654" t="s">
        <v>35783</v>
      </c>
      <c r="AC7654" t="s">
        <v>4562</v>
      </c>
      <c r="AD7654" t="s">
        <v>35784</v>
      </c>
      <c r="AE7654" t="s">
        <v>4655</v>
      </c>
      <c r="AF7654" t="s">
        <v>4809</v>
      </c>
      <c r="AG7654" t="s">
        <v>4564</v>
      </c>
      <c r="AH7654" t="s">
        <v>1605</v>
      </c>
      <c r="AI7654" t="s">
        <v>4585</v>
      </c>
      <c r="AJ7654" t="s">
        <v>4543</v>
      </c>
      <c r="AK7654" t="s">
        <v>35785</v>
      </c>
      <c r="AL7654" s="13" t="s">
        <v>1900</v>
      </c>
      <c r="AM7654" s="14">
        <v>1</v>
      </c>
      <c r="AN7654" s="15" t="s">
        <v>2042</v>
      </c>
    </row>
    <row r="7655" spans="1:40" x14ac:dyDescent="0.3">
      <c r="A7655" s="10" t="str">
        <f>HYPERLINK("http://www.washoecounty.gov/assessor/cama/?parid=528-073-08&amp;CardNumber=1","528-073-08")</f>
        <v>528-073-08</v>
      </c>
      <c r="B7655" t="s">
        <v>4655</v>
      </c>
      <c r="C7655" t="s">
        <v>35786</v>
      </c>
      <c r="D7655" s="1">
        <v>40417</v>
      </c>
      <c r="E7655" s="2">
        <v>209900</v>
      </c>
      <c r="F7655" t="s">
        <v>4553</v>
      </c>
      <c r="G7655" s="17" t="str">
        <f>HYPERLINK("https://www.washoecounty.gov/assessor/cama/?command=sales&amp;parid=52807308","3916341")</f>
        <v>3916341</v>
      </c>
      <c r="H7655" t="s">
        <v>4170</v>
      </c>
      <c r="I7655">
        <v>2006</v>
      </c>
      <c r="J7655">
        <v>2006</v>
      </c>
      <c r="K7655" t="s">
        <v>4554</v>
      </c>
      <c r="L7655" t="s">
        <v>3974</v>
      </c>
      <c r="M7655" s="2">
        <v>2664</v>
      </c>
      <c r="N7655" t="s">
        <v>3147</v>
      </c>
      <c r="O7655">
        <v>4</v>
      </c>
      <c r="P7655">
        <v>2</v>
      </c>
      <c r="Q7655">
        <v>1</v>
      </c>
      <c r="R7655" t="s">
        <v>5281</v>
      </c>
      <c r="S7655" t="s">
        <v>4898</v>
      </c>
      <c r="T7655" t="s">
        <v>2704</v>
      </c>
      <c r="U7655" t="s">
        <v>5631</v>
      </c>
      <c r="V7655" s="2">
        <v>742</v>
      </c>
      <c r="W7655" t="s">
        <v>4655</v>
      </c>
      <c r="X7655" s="2">
        <v>0</v>
      </c>
      <c r="Y7655">
        <v>20</v>
      </c>
      <c r="Z7655" t="s">
        <v>1604</v>
      </c>
      <c r="AA7655" s="3">
        <v>0.30808082222938499</v>
      </c>
      <c r="AB7655" t="s">
        <v>35787</v>
      </c>
      <c r="AC7655" t="s">
        <v>4562</v>
      </c>
      <c r="AD7655" t="s">
        <v>35786</v>
      </c>
      <c r="AE7655" t="s">
        <v>4655</v>
      </c>
      <c r="AF7655" t="s">
        <v>5201</v>
      </c>
      <c r="AG7655" t="s">
        <v>4564</v>
      </c>
      <c r="AH7655" t="s">
        <v>1605</v>
      </c>
      <c r="AI7655" t="s">
        <v>4903</v>
      </c>
      <c r="AJ7655" t="s">
        <v>4543</v>
      </c>
      <c r="AK7655" t="s">
        <v>35788</v>
      </c>
      <c r="AL7655" s="13" t="s">
        <v>1900</v>
      </c>
      <c r="AM7655">
        <v>1</v>
      </c>
      <c r="AN7655" s="15" t="s">
        <v>2042</v>
      </c>
    </row>
    <row r="7656" spans="1:40" x14ac:dyDescent="0.3">
      <c r="A7656" s="10" t="str">
        <f>HYPERLINK("http://www.washoecounty.gov/assessor/cama/?parid=528-081-01&amp;CardNumber=1","528-081-01")</f>
        <v>528-081-01</v>
      </c>
      <c r="B7656" t="s">
        <v>4655</v>
      </c>
      <c r="C7656" t="s">
        <v>35789</v>
      </c>
      <c r="D7656" s="1">
        <v>40193</v>
      </c>
      <c r="E7656" s="2">
        <v>198900</v>
      </c>
      <c r="F7656" t="s">
        <v>4553</v>
      </c>
      <c r="G7656" s="17" t="str">
        <f>HYPERLINK("https://www.washoecounty.gov/assessor/cama/?command=sales&amp;parid=52808101","3840183")</f>
        <v>3840183</v>
      </c>
      <c r="H7656" t="s">
        <v>4170</v>
      </c>
      <c r="I7656">
        <v>2007</v>
      </c>
      <c r="J7656">
        <v>2007</v>
      </c>
      <c r="K7656" t="s">
        <v>4554</v>
      </c>
      <c r="L7656" t="s">
        <v>4555</v>
      </c>
      <c r="M7656" s="2">
        <v>1801</v>
      </c>
      <c r="N7656" t="s">
        <v>3147</v>
      </c>
      <c r="O7656">
        <v>3</v>
      </c>
      <c r="P7656">
        <v>2</v>
      </c>
      <c r="Q7656">
        <v>0</v>
      </c>
      <c r="R7656" t="s">
        <v>5281</v>
      </c>
      <c r="S7656" t="s">
        <v>4898</v>
      </c>
      <c r="T7656" t="s">
        <v>2704</v>
      </c>
      <c r="U7656" t="s">
        <v>4560</v>
      </c>
      <c r="V7656" s="2">
        <v>400</v>
      </c>
      <c r="W7656" t="s">
        <v>4655</v>
      </c>
      <c r="X7656" s="2">
        <v>0</v>
      </c>
      <c r="Y7656">
        <v>20</v>
      </c>
      <c r="Z7656" t="s">
        <v>1604</v>
      </c>
      <c r="AA7656" s="3">
        <v>0.17940771579742401</v>
      </c>
      <c r="AB7656" t="s">
        <v>35790</v>
      </c>
      <c r="AC7656" t="s">
        <v>4562</v>
      </c>
      <c r="AD7656" t="s">
        <v>35789</v>
      </c>
      <c r="AE7656" t="s">
        <v>4655</v>
      </c>
      <c r="AF7656" t="s">
        <v>5201</v>
      </c>
      <c r="AG7656" t="s">
        <v>4564</v>
      </c>
      <c r="AH7656" t="s">
        <v>1605</v>
      </c>
      <c r="AI7656" t="s">
        <v>359</v>
      </c>
      <c r="AJ7656" t="s">
        <v>4543</v>
      </c>
      <c r="AK7656" t="s">
        <v>35791</v>
      </c>
      <c r="AL7656" s="13" t="s">
        <v>1900</v>
      </c>
      <c r="AM7656">
        <v>1</v>
      </c>
      <c r="AN7656" s="15" t="s">
        <v>2042</v>
      </c>
    </row>
    <row r="7657" spans="1:40" x14ac:dyDescent="0.3">
      <c r="A7657" s="10" t="str">
        <f>HYPERLINK("http://www.washoecounty.gov/assessor/cama/?parid=528-081-03&amp;CardNumber=1","528-081-03")</f>
        <v>528-081-03</v>
      </c>
      <c r="B7657" t="s">
        <v>4655</v>
      </c>
      <c r="C7657" t="s">
        <v>35792</v>
      </c>
      <c r="D7657" s="1">
        <v>40207</v>
      </c>
      <c r="E7657" s="2">
        <v>212000</v>
      </c>
      <c r="F7657" t="s">
        <v>4567</v>
      </c>
      <c r="G7657" s="17" t="str">
        <f>HYPERLINK("https://www.washoecounty.gov/assessor/cama/?command=sales&amp;parid=52808103","3844280")</f>
        <v>3844280</v>
      </c>
      <c r="H7657" t="s">
        <v>4170</v>
      </c>
      <c r="I7657">
        <v>2007</v>
      </c>
      <c r="J7657">
        <v>2007</v>
      </c>
      <c r="K7657" t="s">
        <v>4554</v>
      </c>
      <c r="L7657" t="s">
        <v>3974</v>
      </c>
      <c r="M7657" s="2">
        <v>2348</v>
      </c>
      <c r="N7657" t="s">
        <v>3147</v>
      </c>
      <c r="O7657">
        <v>4</v>
      </c>
      <c r="P7657">
        <v>2</v>
      </c>
      <c r="Q7657">
        <v>1</v>
      </c>
      <c r="R7657" t="s">
        <v>5281</v>
      </c>
      <c r="S7657" t="s">
        <v>4898</v>
      </c>
      <c r="T7657" t="s">
        <v>2704</v>
      </c>
      <c r="U7657" t="s">
        <v>5631</v>
      </c>
      <c r="V7657" s="2">
        <v>525</v>
      </c>
      <c r="W7657" t="s">
        <v>4655</v>
      </c>
      <c r="X7657" s="2">
        <v>0</v>
      </c>
      <c r="Y7657">
        <v>20</v>
      </c>
      <c r="Z7657" t="s">
        <v>1604</v>
      </c>
      <c r="AA7657" s="3">
        <v>0.27747935056686401</v>
      </c>
      <c r="AB7657" t="s">
        <v>35793</v>
      </c>
      <c r="AC7657" t="s">
        <v>4562</v>
      </c>
      <c r="AD7657" t="s">
        <v>35792</v>
      </c>
      <c r="AE7657" t="s">
        <v>4655</v>
      </c>
      <c r="AF7657" t="s">
        <v>5201</v>
      </c>
      <c r="AG7657" t="s">
        <v>4564</v>
      </c>
      <c r="AH7657" t="s">
        <v>1605</v>
      </c>
      <c r="AI7657" t="s">
        <v>4655</v>
      </c>
      <c r="AJ7657" t="s">
        <v>4543</v>
      </c>
      <c r="AK7657" t="s">
        <v>35794</v>
      </c>
      <c r="AL7657" s="13" t="s">
        <v>1900</v>
      </c>
      <c r="AM7657">
        <v>1</v>
      </c>
      <c r="AN7657" s="15" t="s">
        <v>2042</v>
      </c>
    </row>
    <row r="7658" spans="1:40" x14ac:dyDescent="0.3">
      <c r="A7658" s="10" t="str">
        <f>HYPERLINK("http://www.washoecounty.gov/assessor/cama/?parid=528-081-04&amp;CardNumber=1","528-081-04")</f>
        <v>528-081-04</v>
      </c>
      <c r="B7658" t="s">
        <v>4655</v>
      </c>
      <c r="C7658" t="s">
        <v>35795</v>
      </c>
      <c r="D7658" s="1">
        <v>40512</v>
      </c>
      <c r="E7658" s="2">
        <v>225000</v>
      </c>
      <c r="F7658" t="s">
        <v>4567</v>
      </c>
      <c r="G7658" s="17" t="str">
        <f>HYPERLINK("https://www.washoecounty.gov/assessor/cama/?command=sales&amp;parid=52808104","3947607")</f>
        <v>3947607</v>
      </c>
      <c r="H7658" t="s">
        <v>4170</v>
      </c>
      <c r="I7658">
        <v>2007</v>
      </c>
      <c r="J7658">
        <v>2007</v>
      </c>
      <c r="K7658" t="s">
        <v>4554</v>
      </c>
      <c r="L7658" t="s">
        <v>3974</v>
      </c>
      <c r="M7658" s="2">
        <v>2664</v>
      </c>
      <c r="N7658" t="s">
        <v>3147</v>
      </c>
      <c r="O7658">
        <v>4</v>
      </c>
      <c r="P7658">
        <v>2</v>
      </c>
      <c r="Q7658">
        <v>1</v>
      </c>
      <c r="R7658" t="s">
        <v>5281</v>
      </c>
      <c r="S7658" t="s">
        <v>4898</v>
      </c>
      <c r="T7658" t="s">
        <v>2704</v>
      </c>
      <c r="U7658" t="s">
        <v>5631</v>
      </c>
      <c r="V7658" s="2">
        <v>742</v>
      </c>
      <c r="W7658" t="s">
        <v>4655</v>
      </c>
      <c r="X7658" s="2">
        <v>0</v>
      </c>
      <c r="Y7658">
        <v>20</v>
      </c>
      <c r="Z7658" t="s">
        <v>1604</v>
      </c>
      <c r="AA7658" s="3">
        <v>0.35927456617355347</v>
      </c>
      <c r="AB7658" t="s">
        <v>35796</v>
      </c>
      <c r="AC7658" t="s">
        <v>4562</v>
      </c>
      <c r="AD7658" t="s">
        <v>35795</v>
      </c>
      <c r="AE7658" t="s">
        <v>4655</v>
      </c>
      <c r="AF7658" t="s">
        <v>5201</v>
      </c>
      <c r="AG7658" t="s">
        <v>4564</v>
      </c>
      <c r="AH7658" t="s">
        <v>1605</v>
      </c>
      <c r="AI7658" t="s">
        <v>35797</v>
      </c>
      <c r="AJ7658" t="s">
        <v>4543</v>
      </c>
      <c r="AK7658" t="s">
        <v>35798</v>
      </c>
      <c r="AL7658" s="13" t="s">
        <v>1900</v>
      </c>
      <c r="AM7658" s="14">
        <v>1</v>
      </c>
      <c r="AN7658" s="15" t="s">
        <v>2042</v>
      </c>
    </row>
    <row r="7659" spans="1:40" x14ac:dyDescent="0.3">
      <c r="A7659" s="10" t="str">
        <f>HYPERLINK("http://www.washoecounty.gov/assessor/cama/?parid=528-082-05&amp;CardNumber=1","528-082-05")</f>
        <v>528-082-05</v>
      </c>
      <c r="B7659" t="s">
        <v>4655</v>
      </c>
      <c r="C7659" t="s">
        <v>35799</v>
      </c>
      <c r="D7659" s="1">
        <v>40193</v>
      </c>
      <c r="E7659" s="2">
        <v>220000</v>
      </c>
      <c r="F7659" t="s">
        <v>4567</v>
      </c>
      <c r="G7659" s="17" t="str">
        <f>HYPERLINK("https://www.washoecounty.gov/assessor/cama/?command=sales&amp;parid=52808205","3839946")</f>
        <v>3839946</v>
      </c>
      <c r="H7659" t="s">
        <v>4170</v>
      </c>
      <c r="I7659">
        <v>2007</v>
      </c>
      <c r="J7659">
        <v>2007</v>
      </c>
      <c r="K7659" t="s">
        <v>4554</v>
      </c>
      <c r="L7659" t="s">
        <v>3974</v>
      </c>
      <c r="M7659" s="2">
        <v>2664</v>
      </c>
      <c r="N7659" t="s">
        <v>3147</v>
      </c>
      <c r="O7659">
        <v>4</v>
      </c>
      <c r="P7659">
        <v>2</v>
      </c>
      <c r="Q7659">
        <v>1</v>
      </c>
      <c r="R7659" t="s">
        <v>5281</v>
      </c>
      <c r="S7659" t="s">
        <v>4898</v>
      </c>
      <c r="T7659" t="s">
        <v>2704</v>
      </c>
      <c r="U7659" t="s">
        <v>5631</v>
      </c>
      <c r="V7659" s="2">
        <v>742</v>
      </c>
      <c r="W7659" t="s">
        <v>4655</v>
      </c>
      <c r="X7659" s="2">
        <v>0</v>
      </c>
      <c r="Y7659">
        <v>20</v>
      </c>
      <c r="Z7659" t="s">
        <v>1604</v>
      </c>
      <c r="AA7659" s="3">
        <v>0.145890727639198</v>
      </c>
      <c r="AB7659" t="s">
        <v>35800</v>
      </c>
      <c r="AC7659" t="s">
        <v>4562</v>
      </c>
      <c r="AD7659" t="s">
        <v>35799</v>
      </c>
      <c r="AE7659" t="s">
        <v>4655</v>
      </c>
      <c r="AF7659" t="s">
        <v>5201</v>
      </c>
      <c r="AG7659" t="s">
        <v>4564</v>
      </c>
      <c r="AH7659" t="s">
        <v>1605</v>
      </c>
      <c r="AI7659" t="s">
        <v>4655</v>
      </c>
      <c r="AJ7659" t="s">
        <v>4543</v>
      </c>
      <c r="AK7659" t="s">
        <v>35801</v>
      </c>
      <c r="AL7659" s="13" t="s">
        <v>1900</v>
      </c>
      <c r="AM7659" s="14">
        <v>1</v>
      </c>
      <c r="AN7659" s="15" t="s">
        <v>2042</v>
      </c>
    </row>
    <row r="7660" spans="1:40" x14ac:dyDescent="0.3">
      <c r="A7660" s="10" t="str">
        <f>HYPERLINK("http://www.washoecounty.gov/assessor/cama/?parid=528-101-06&amp;CardNumber=1","528-101-06")</f>
        <v>528-101-06</v>
      </c>
      <c r="B7660" t="s">
        <v>4655</v>
      </c>
      <c r="C7660" t="s">
        <v>35802</v>
      </c>
      <c r="D7660" s="1">
        <v>40476</v>
      </c>
      <c r="E7660" s="2">
        <v>115000</v>
      </c>
      <c r="F7660" t="s">
        <v>4553</v>
      </c>
      <c r="G7660" s="17" t="str">
        <f>HYPERLINK("https://www.washoecounty.gov/assessor/cama/?command=sales&amp;parid=52810106","3936184")</f>
        <v>3936184</v>
      </c>
      <c r="H7660" t="s">
        <v>4990</v>
      </c>
      <c r="I7660">
        <v>2004</v>
      </c>
      <c r="J7660">
        <v>2004</v>
      </c>
      <c r="K7660" t="s">
        <v>4554</v>
      </c>
      <c r="L7660" t="s">
        <v>4555</v>
      </c>
      <c r="M7660" s="2">
        <v>1082</v>
      </c>
      <c r="N7660" t="s">
        <v>4048</v>
      </c>
      <c r="O7660">
        <v>2</v>
      </c>
      <c r="P7660">
        <v>2</v>
      </c>
      <c r="Q7660">
        <v>0</v>
      </c>
      <c r="R7660" t="s">
        <v>5281</v>
      </c>
      <c r="S7660" t="s">
        <v>4898</v>
      </c>
      <c r="T7660" t="s">
        <v>4559</v>
      </c>
      <c r="U7660" t="s">
        <v>4560</v>
      </c>
      <c r="V7660" s="2">
        <v>380</v>
      </c>
      <c r="W7660" t="s">
        <v>4655</v>
      </c>
      <c r="X7660" s="2">
        <v>0</v>
      </c>
      <c r="Y7660">
        <v>20</v>
      </c>
      <c r="Z7660" t="s">
        <v>1604</v>
      </c>
      <c r="AA7660" s="3">
        <v>0.13829201459884599</v>
      </c>
      <c r="AB7660" t="s">
        <v>35803</v>
      </c>
      <c r="AC7660" t="s">
        <v>4562</v>
      </c>
      <c r="AD7660" t="s">
        <v>35802</v>
      </c>
      <c r="AE7660" t="s">
        <v>4655</v>
      </c>
      <c r="AF7660" t="s">
        <v>5201</v>
      </c>
      <c r="AG7660" t="s">
        <v>4564</v>
      </c>
      <c r="AH7660" t="s">
        <v>1605</v>
      </c>
      <c r="AI7660" t="s">
        <v>601</v>
      </c>
      <c r="AJ7660" t="s">
        <v>5255</v>
      </c>
      <c r="AK7660" t="s">
        <v>35804</v>
      </c>
      <c r="AL7660" s="13" t="s">
        <v>1899</v>
      </c>
      <c r="AM7660">
        <v>1</v>
      </c>
      <c r="AN7660" s="15" t="s">
        <v>5256</v>
      </c>
    </row>
    <row r="7661" spans="1:40" x14ac:dyDescent="0.3">
      <c r="A7661" s="10" t="str">
        <f>HYPERLINK("http://www.washoecounty.gov/assessor/cama/?parid=528-101-10&amp;CardNumber=1","528-101-10")</f>
        <v>528-101-10</v>
      </c>
      <c r="B7661" t="s">
        <v>4655</v>
      </c>
      <c r="C7661" t="s">
        <v>35805</v>
      </c>
      <c r="D7661" s="1">
        <v>40375</v>
      </c>
      <c r="E7661" s="2">
        <v>125000</v>
      </c>
      <c r="F7661" t="s">
        <v>4567</v>
      </c>
      <c r="G7661" s="17" t="str">
        <f>HYPERLINK("https://www.washoecounty.gov/assessor/cama/?command=sales&amp;parid=52810110","3902156")</f>
        <v>3902156</v>
      </c>
      <c r="H7661" t="s">
        <v>4990</v>
      </c>
      <c r="I7661">
        <v>2004</v>
      </c>
      <c r="J7661">
        <v>2004</v>
      </c>
      <c r="K7661" t="s">
        <v>4554</v>
      </c>
      <c r="L7661" t="s">
        <v>4555</v>
      </c>
      <c r="M7661" s="2">
        <v>1389</v>
      </c>
      <c r="N7661" t="s">
        <v>4048</v>
      </c>
      <c r="O7661">
        <v>3</v>
      </c>
      <c r="P7661">
        <v>2</v>
      </c>
      <c r="Q7661">
        <v>0</v>
      </c>
      <c r="R7661" t="s">
        <v>5281</v>
      </c>
      <c r="S7661" t="s">
        <v>4898</v>
      </c>
      <c r="T7661" t="s">
        <v>4559</v>
      </c>
      <c r="U7661" t="s">
        <v>4560</v>
      </c>
      <c r="V7661" s="2">
        <v>380</v>
      </c>
      <c r="W7661" t="s">
        <v>4655</v>
      </c>
      <c r="X7661" s="2">
        <v>0</v>
      </c>
      <c r="Y7661">
        <v>20</v>
      </c>
      <c r="Z7661" t="s">
        <v>1604</v>
      </c>
      <c r="AA7661" s="3">
        <v>0.16076676547527299</v>
      </c>
      <c r="AB7661" t="s">
        <v>35806</v>
      </c>
      <c r="AC7661" t="s">
        <v>4562</v>
      </c>
      <c r="AD7661" t="s">
        <v>35805</v>
      </c>
      <c r="AE7661" t="s">
        <v>4655</v>
      </c>
      <c r="AF7661" t="s">
        <v>5201</v>
      </c>
      <c r="AG7661" t="s">
        <v>4564</v>
      </c>
      <c r="AH7661" t="s">
        <v>1605</v>
      </c>
      <c r="AI7661" t="s">
        <v>35807</v>
      </c>
      <c r="AJ7661" t="s">
        <v>5255</v>
      </c>
      <c r="AK7661" t="s">
        <v>35808</v>
      </c>
      <c r="AL7661" s="13" t="s">
        <v>1899</v>
      </c>
      <c r="AM7661">
        <v>1</v>
      </c>
      <c r="AN7661" s="15" t="s">
        <v>5256</v>
      </c>
    </row>
    <row r="7662" spans="1:40" x14ac:dyDescent="0.3">
      <c r="A7662" s="10" t="str">
        <f>HYPERLINK("http://www.washoecounty.gov/assessor/cama/?parid=528-101-18&amp;CardNumber=1","528-101-18")</f>
        <v>528-101-18</v>
      </c>
      <c r="B7662" t="s">
        <v>4655</v>
      </c>
      <c r="C7662" t="s">
        <v>35809</v>
      </c>
      <c r="D7662" s="1">
        <v>40312</v>
      </c>
      <c r="E7662" s="2">
        <v>125000</v>
      </c>
      <c r="F7662" t="s">
        <v>4567</v>
      </c>
      <c r="G7662" s="17" t="str">
        <f>HYPERLINK("https://www.washoecounty.gov/assessor/cama/?command=sales&amp;parid=52810118","3881742")</f>
        <v>3881742</v>
      </c>
      <c r="H7662" t="s">
        <v>4990</v>
      </c>
      <c r="I7662">
        <v>2004</v>
      </c>
      <c r="J7662">
        <v>2004</v>
      </c>
      <c r="K7662" t="s">
        <v>4554</v>
      </c>
      <c r="L7662" t="s">
        <v>4555</v>
      </c>
      <c r="M7662" s="2">
        <v>1251</v>
      </c>
      <c r="N7662" t="s">
        <v>4048</v>
      </c>
      <c r="O7662">
        <v>3</v>
      </c>
      <c r="P7662">
        <v>2</v>
      </c>
      <c r="Q7662">
        <v>0</v>
      </c>
      <c r="R7662" t="s">
        <v>5281</v>
      </c>
      <c r="S7662" t="s">
        <v>4898</v>
      </c>
      <c r="T7662" t="s">
        <v>4559</v>
      </c>
      <c r="U7662" t="s">
        <v>4560</v>
      </c>
      <c r="V7662" s="2">
        <v>380</v>
      </c>
      <c r="W7662" t="s">
        <v>4655</v>
      </c>
      <c r="X7662" s="2">
        <v>0</v>
      </c>
      <c r="Y7662">
        <v>20</v>
      </c>
      <c r="Z7662" t="s">
        <v>1604</v>
      </c>
      <c r="AA7662" s="3">
        <v>0.20693296194076499</v>
      </c>
      <c r="AB7662" t="s">
        <v>35810</v>
      </c>
      <c r="AC7662" t="s">
        <v>4562</v>
      </c>
      <c r="AD7662" t="s">
        <v>35809</v>
      </c>
      <c r="AE7662" t="s">
        <v>4655</v>
      </c>
      <c r="AF7662" t="s">
        <v>5201</v>
      </c>
      <c r="AG7662" t="s">
        <v>4564</v>
      </c>
      <c r="AH7662" t="s">
        <v>1605</v>
      </c>
      <c r="AI7662" t="s">
        <v>35811</v>
      </c>
      <c r="AJ7662" t="s">
        <v>5255</v>
      </c>
      <c r="AK7662" t="s">
        <v>35812</v>
      </c>
      <c r="AL7662" s="13" t="s">
        <v>1899</v>
      </c>
      <c r="AM7662" s="14">
        <v>1</v>
      </c>
      <c r="AN7662" s="15" t="s">
        <v>5256</v>
      </c>
    </row>
    <row r="7663" spans="1:40" x14ac:dyDescent="0.3">
      <c r="A7663" s="10" t="str">
        <f>HYPERLINK("http://www.washoecounty.gov/assessor/cama/?parid=528-101-27&amp;CardNumber=1","528-101-27")</f>
        <v>528-101-27</v>
      </c>
      <c r="B7663" t="s">
        <v>4655</v>
      </c>
      <c r="C7663" t="s">
        <v>35813</v>
      </c>
      <c r="D7663" s="1">
        <v>40276</v>
      </c>
      <c r="E7663" s="2">
        <v>130000</v>
      </c>
      <c r="F7663" t="s">
        <v>4567</v>
      </c>
      <c r="G7663" s="17" t="str">
        <f>HYPERLINK("https://www.washoecounty.gov/assessor/cama/?command=sales&amp;parid=52810127","3869019")</f>
        <v>3869019</v>
      </c>
      <c r="H7663" t="s">
        <v>4990</v>
      </c>
      <c r="I7663">
        <v>2004</v>
      </c>
      <c r="J7663">
        <v>2004</v>
      </c>
      <c r="K7663" t="s">
        <v>4554</v>
      </c>
      <c r="L7663" t="s">
        <v>4555</v>
      </c>
      <c r="M7663" s="2">
        <v>1251</v>
      </c>
      <c r="N7663" t="s">
        <v>4048</v>
      </c>
      <c r="O7663">
        <v>3</v>
      </c>
      <c r="P7663">
        <v>2</v>
      </c>
      <c r="Q7663">
        <v>0</v>
      </c>
      <c r="R7663" t="s">
        <v>5281</v>
      </c>
      <c r="S7663" t="s">
        <v>4898</v>
      </c>
      <c r="T7663" t="s">
        <v>4559</v>
      </c>
      <c r="U7663" t="s">
        <v>4560</v>
      </c>
      <c r="V7663" s="2">
        <v>380</v>
      </c>
      <c r="W7663" t="s">
        <v>4655</v>
      </c>
      <c r="X7663" s="2">
        <v>0</v>
      </c>
      <c r="Y7663">
        <v>20</v>
      </c>
      <c r="Z7663" t="s">
        <v>1604</v>
      </c>
      <c r="AA7663" s="3">
        <v>0.1483241468667984</v>
      </c>
      <c r="AB7663" t="s">
        <v>35814</v>
      </c>
      <c r="AC7663" t="s">
        <v>4562</v>
      </c>
      <c r="AD7663" t="s">
        <v>35815</v>
      </c>
      <c r="AE7663" t="s">
        <v>4655</v>
      </c>
      <c r="AF7663" t="s">
        <v>5201</v>
      </c>
      <c r="AG7663" t="s">
        <v>4564</v>
      </c>
      <c r="AH7663" t="s">
        <v>1605</v>
      </c>
      <c r="AI7663" t="s">
        <v>35816</v>
      </c>
      <c r="AJ7663" t="s">
        <v>5255</v>
      </c>
      <c r="AK7663" t="s">
        <v>35817</v>
      </c>
      <c r="AL7663" s="13" t="s">
        <v>1899</v>
      </c>
      <c r="AM7663" s="14">
        <v>1</v>
      </c>
      <c r="AN7663" s="15" t="s">
        <v>5256</v>
      </c>
    </row>
    <row r="7664" spans="1:40" x14ac:dyDescent="0.3">
      <c r="A7664" s="10" t="str">
        <f>HYPERLINK("http://www.washoecounty.gov/assessor/cama/?parid=528-101-37&amp;CardNumber=1","528-101-37")</f>
        <v>528-101-37</v>
      </c>
      <c r="B7664" t="s">
        <v>4655</v>
      </c>
      <c r="C7664" t="s">
        <v>35818</v>
      </c>
      <c r="D7664" s="1">
        <v>40190</v>
      </c>
      <c r="E7664" s="2">
        <v>135000</v>
      </c>
      <c r="F7664" t="s">
        <v>4567</v>
      </c>
      <c r="G7664" s="17" t="str">
        <f>HYPERLINK("https://www.washoecounty.gov/assessor/cama/?command=sales&amp;parid=52810137","3838397")</f>
        <v>3838397</v>
      </c>
      <c r="H7664" t="s">
        <v>4990</v>
      </c>
      <c r="I7664">
        <v>2004</v>
      </c>
      <c r="J7664">
        <v>2004</v>
      </c>
      <c r="K7664" t="s">
        <v>4554</v>
      </c>
      <c r="L7664" t="s">
        <v>4555</v>
      </c>
      <c r="M7664" s="2">
        <v>1251</v>
      </c>
      <c r="N7664" t="s">
        <v>4048</v>
      </c>
      <c r="O7664">
        <v>3</v>
      </c>
      <c r="P7664">
        <v>2</v>
      </c>
      <c r="Q7664">
        <v>0</v>
      </c>
      <c r="R7664" t="s">
        <v>5281</v>
      </c>
      <c r="S7664" t="s">
        <v>4898</v>
      </c>
      <c r="T7664" t="s">
        <v>4559</v>
      </c>
      <c r="U7664" t="s">
        <v>4560</v>
      </c>
      <c r="V7664" s="2">
        <v>380</v>
      </c>
      <c r="W7664" t="s">
        <v>4655</v>
      </c>
      <c r="X7664" s="2">
        <v>0</v>
      </c>
      <c r="Y7664">
        <v>20</v>
      </c>
      <c r="Z7664" t="s">
        <v>1604</v>
      </c>
      <c r="AA7664" s="3">
        <v>0.14538566768169403</v>
      </c>
      <c r="AB7664" t="s">
        <v>35819</v>
      </c>
      <c r="AC7664" t="s">
        <v>4562</v>
      </c>
      <c r="AD7664" t="s">
        <v>35818</v>
      </c>
      <c r="AE7664" t="s">
        <v>4655</v>
      </c>
      <c r="AF7664" t="s">
        <v>5201</v>
      </c>
      <c r="AG7664" t="s">
        <v>4564</v>
      </c>
      <c r="AH7664" t="s">
        <v>1605</v>
      </c>
      <c r="AI7664" t="s">
        <v>35820</v>
      </c>
      <c r="AJ7664" t="s">
        <v>5255</v>
      </c>
      <c r="AK7664" t="s">
        <v>35821</v>
      </c>
      <c r="AL7664" s="13" t="s">
        <v>1899</v>
      </c>
      <c r="AM7664" s="14">
        <v>1</v>
      </c>
      <c r="AN7664" s="15" t="s">
        <v>5256</v>
      </c>
    </row>
    <row r="7665" spans="1:40" x14ac:dyDescent="0.3">
      <c r="A7665" s="10" t="str">
        <f>HYPERLINK("http://www.washoecounty.gov/assessor/cama/?parid=528-101-46&amp;CardNumber=1","528-101-46")</f>
        <v>528-101-46</v>
      </c>
      <c r="B7665" t="s">
        <v>4655</v>
      </c>
      <c r="C7665" t="s">
        <v>35822</v>
      </c>
      <c r="D7665" s="1">
        <v>40263</v>
      </c>
      <c r="E7665" s="2">
        <v>141000</v>
      </c>
      <c r="F7665" t="s">
        <v>4553</v>
      </c>
      <c r="G7665" s="17" t="str">
        <f>HYPERLINK("https://www.washoecounty.gov/assessor/cama/?command=sales&amp;parid=52810146","3864475")</f>
        <v>3864475</v>
      </c>
      <c r="H7665" t="s">
        <v>4990</v>
      </c>
      <c r="I7665">
        <v>2004</v>
      </c>
      <c r="J7665">
        <v>2004</v>
      </c>
      <c r="K7665" t="s">
        <v>4554</v>
      </c>
      <c r="L7665" t="s">
        <v>4555</v>
      </c>
      <c r="M7665" s="2">
        <v>1463</v>
      </c>
      <c r="N7665" t="s">
        <v>4048</v>
      </c>
      <c r="O7665">
        <v>3</v>
      </c>
      <c r="P7665">
        <v>2</v>
      </c>
      <c r="Q7665">
        <v>0</v>
      </c>
      <c r="R7665" t="s">
        <v>5281</v>
      </c>
      <c r="S7665" t="s">
        <v>4898</v>
      </c>
      <c r="T7665" t="s">
        <v>4559</v>
      </c>
      <c r="U7665" t="s">
        <v>4560</v>
      </c>
      <c r="V7665" s="2">
        <v>400</v>
      </c>
      <c r="W7665" t="s">
        <v>4655</v>
      </c>
      <c r="X7665" s="2">
        <v>0</v>
      </c>
      <c r="Y7665">
        <v>20</v>
      </c>
      <c r="Z7665" t="s">
        <v>1604</v>
      </c>
      <c r="AA7665" s="3">
        <v>0.14350321888923601</v>
      </c>
      <c r="AB7665" t="s">
        <v>35823</v>
      </c>
      <c r="AC7665" t="s">
        <v>4562</v>
      </c>
      <c r="AD7665" t="s">
        <v>35822</v>
      </c>
      <c r="AE7665" t="s">
        <v>4655</v>
      </c>
      <c r="AF7665" t="s">
        <v>5201</v>
      </c>
      <c r="AG7665" t="s">
        <v>4564</v>
      </c>
      <c r="AH7665" t="s">
        <v>1605</v>
      </c>
      <c r="AI7665" t="s">
        <v>4655</v>
      </c>
      <c r="AJ7665" t="s">
        <v>5255</v>
      </c>
      <c r="AK7665" t="s">
        <v>35824</v>
      </c>
      <c r="AL7665" s="13" t="s">
        <v>1899</v>
      </c>
      <c r="AM7665">
        <v>1</v>
      </c>
      <c r="AN7665" s="15" t="s">
        <v>5256</v>
      </c>
    </row>
    <row r="7666" spans="1:40" x14ac:dyDescent="0.3">
      <c r="A7666" s="10" t="str">
        <f>HYPERLINK("http://www.washoecounty.gov/assessor/cama/?parid=528-101-48&amp;CardNumber=1","528-101-48")</f>
        <v>528-101-48</v>
      </c>
      <c r="B7666" t="s">
        <v>4655</v>
      </c>
      <c r="C7666" t="s">
        <v>35825</v>
      </c>
      <c r="D7666" s="1">
        <v>40354</v>
      </c>
      <c r="E7666" s="2">
        <v>125000</v>
      </c>
      <c r="F7666" t="s">
        <v>4553</v>
      </c>
      <c r="G7666" s="17" t="str">
        <f>HYPERLINK("https://www.washoecounty.gov/assessor/cama/?command=sales&amp;parid=52810148","3895486")</f>
        <v>3895486</v>
      </c>
      <c r="H7666" t="s">
        <v>4990</v>
      </c>
      <c r="I7666">
        <v>2004</v>
      </c>
      <c r="J7666">
        <v>2004</v>
      </c>
      <c r="K7666" t="s">
        <v>4554</v>
      </c>
      <c r="L7666" t="s">
        <v>4555</v>
      </c>
      <c r="M7666" s="2">
        <v>1251</v>
      </c>
      <c r="N7666" t="s">
        <v>4048</v>
      </c>
      <c r="O7666">
        <v>3</v>
      </c>
      <c r="P7666">
        <v>2</v>
      </c>
      <c r="Q7666">
        <v>0</v>
      </c>
      <c r="R7666" t="s">
        <v>5281</v>
      </c>
      <c r="S7666" t="s">
        <v>4898</v>
      </c>
      <c r="T7666" t="s">
        <v>4559</v>
      </c>
      <c r="U7666" t="s">
        <v>4560</v>
      </c>
      <c r="V7666" s="2">
        <v>380</v>
      </c>
      <c r="W7666" t="s">
        <v>4655</v>
      </c>
      <c r="X7666" s="2">
        <v>0</v>
      </c>
      <c r="Y7666">
        <v>20</v>
      </c>
      <c r="Z7666" t="s">
        <v>1604</v>
      </c>
      <c r="AA7666" s="3">
        <v>0.14488062262535101</v>
      </c>
      <c r="AB7666" t="s">
        <v>35826</v>
      </c>
      <c r="AC7666" t="s">
        <v>4562</v>
      </c>
      <c r="AD7666" t="s">
        <v>35825</v>
      </c>
      <c r="AE7666" t="s">
        <v>4655</v>
      </c>
      <c r="AF7666" t="s">
        <v>5201</v>
      </c>
      <c r="AG7666" t="s">
        <v>4564</v>
      </c>
      <c r="AH7666" t="s">
        <v>1605</v>
      </c>
      <c r="AI7666" t="s">
        <v>601</v>
      </c>
      <c r="AJ7666" t="s">
        <v>5255</v>
      </c>
      <c r="AK7666" t="s">
        <v>35827</v>
      </c>
      <c r="AL7666" s="13" t="s">
        <v>1899</v>
      </c>
      <c r="AM7666" s="14">
        <v>1</v>
      </c>
      <c r="AN7666" s="15" t="s">
        <v>5256</v>
      </c>
    </row>
    <row r="7667" spans="1:40" x14ac:dyDescent="0.3">
      <c r="A7667" s="10" t="str">
        <f>HYPERLINK("http://www.washoecounty.gov/assessor/cama/?parid=528-101-49&amp;CardNumber=1","528-101-49")</f>
        <v>528-101-49</v>
      </c>
      <c r="B7667" t="s">
        <v>4655</v>
      </c>
      <c r="C7667" t="s">
        <v>35828</v>
      </c>
      <c r="D7667" s="1">
        <v>40193</v>
      </c>
      <c r="E7667" s="2">
        <v>125000</v>
      </c>
      <c r="F7667" t="s">
        <v>4567</v>
      </c>
      <c r="G7667" s="17" t="str">
        <f>HYPERLINK("https://www.washoecounty.gov/assessor/cama/?command=sales&amp;parid=52810149","3840113")</f>
        <v>3840113</v>
      </c>
      <c r="H7667" t="s">
        <v>4990</v>
      </c>
      <c r="I7667">
        <v>2004</v>
      </c>
      <c r="J7667">
        <v>2004</v>
      </c>
      <c r="K7667" t="s">
        <v>4554</v>
      </c>
      <c r="L7667" t="s">
        <v>4555</v>
      </c>
      <c r="M7667" s="2">
        <v>1082</v>
      </c>
      <c r="N7667" t="s">
        <v>4048</v>
      </c>
      <c r="O7667">
        <v>2</v>
      </c>
      <c r="P7667">
        <v>2</v>
      </c>
      <c r="Q7667">
        <v>0</v>
      </c>
      <c r="R7667" t="s">
        <v>5281</v>
      </c>
      <c r="S7667" t="s">
        <v>4898</v>
      </c>
      <c r="T7667" t="s">
        <v>4559</v>
      </c>
      <c r="U7667" t="s">
        <v>4560</v>
      </c>
      <c r="V7667" s="2">
        <v>380</v>
      </c>
      <c r="W7667" t="s">
        <v>4655</v>
      </c>
      <c r="X7667" s="2">
        <v>0</v>
      </c>
      <c r="Y7667">
        <v>20</v>
      </c>
      <c r="Z7667" t="s">
        <v>1604</v>
      </c>
      <c r="AA7667" s="3">
        <v>0.14106978476047499</v>
      </c>
      <c r="AB7667" t="s">
        <v>35829</v>
      </c>
      <c r="AC7667" t="s">
        <v>4575</v>
      </c>
      <c r="AD7667" t="s">
        <v>35828</v>
      </c>
      <c r="AE7667" t="s">
        <v>4655</v>
      </c>
      <c r="AF7667" t="s">
        <v>5201</v>
      </c>
      <c r="AG7667" t="s">
        <v>4564</v>
      </c>
      <c r="AH7667" t="s">
        <v>1605</v>
      </c>
      <c r="AI7667" t="s">
        <v>4655</v>
      </c>
      <c r="AJ7667" t="s">
        <v>5255</v>
      </c>
      <c r="AK7667" t="s">
        <v>35830</v>
      </c>
      <c r="AL7667" s="13" t="s">
        <v>1899</v>
      </c>
      <c r="AM7667">
        <v>1</v>
      </c>
      <c r="AN7667" s="15" t="s">
        <v>5256</v>
      </c>
    </row>
    <row r="7668" spans="1:40" x14ac:dyDescent="0.3">
      <c r="A7668" s="10" t="str">
        <f>HYPERLINK("http://www.washoecounty.gov/assessor/cama/?parid=528-101-50&amp;CardNumber=1","528-101-50")</f>
        <v>528-101-50</v>
      </c>
      <c r="B7668" t="s">
        <v>4655</v>
      </c>
      <c r="C7668" t="s">
        <v>35831</v>
      </c>
      <c r="D7668" s="1">
        <v>40375</v>
      </c>
      <c r="E7668" s="2">
        <v>132000</v>
      </c>
      <c r="F7668" t="s">
        <v>4567</v>
      </c>
      <c r="G7668" s="17" t="str">
        <f>HYPERLINK("https://www.washoecounty.gov/assessor/cama/?command=sales&amp;parid=52810150","3902328")</f>
        <v>3902328</v>
      </c>
      <c r="H7668" t="s">
        <v>4990</v>
      </c>
      <c r="I7668">
        <v>2004</v>
      </c>
      <c r="J7668">
        <v>2004</v>
      </c>
      <c r="K7668" t="s">
        <v>4554</v>
      </c>
      <c r="L7668" t="s">
        <v>4555</v>
      </c>
      <c r="M7668" s="2">
        <v>1389</v>
      </c>
      <c r="N7668" t="s">
        <v>4048</v>
      </c>
      <c r="O7668">
        <v>3</v>
      </c>
      <c r="P7668">
        <v>2</v>
      </c>
      <c r="Q7668">
        <v>0</v>
      </c>
      <c r="R7668" t="s">
        <v>5281</v>
      </c>
      <c r="S7668" t="s">
        <v>4898</v>
      </c>
      <c r="T7668" t="s">
        <v>4559</v>
      </c>
      <c r="U7668" t="s">
        <v>4560</v>
      </c>
      <c r="V7668" s="2">
        <v>380</v>
      </c>
      <c r="W7668" t="s">
        <v>4655</v>
      </c>
      <c r="X7668" s="2">
        <v>0</v>
      </c>
      <c r="Y7668">
        <v>20</v>
      </c>
      <c r="Z7668" t="s">
        <v>1604</v>
      </c>
      <c r="AA7668" s="3">
        <v>0.16274105012416801</v>
      </c>
      <c r="AB7668" t="s">
        <v>910</v>
      </c>
      <c r="AC7668" t="s">
        <v>4575</v>
      </c>
      <c r="AD7668" t="s">
        <v>3940</v>
      </c>
      <c r="AE7668" t="s">
        <v>4655</v>
      </c>
      <c r="AF7668" t="s">
        <v>4809</v>
      </c>
      <c r="AG7668" t="s">
        <v>4564</v>
      </c>
      <c r="AH7668" t="s">
        <v>1605</v>
      </c>
      <c r="AI7668" t="s">
        <v>35832</v>
      </c>
      <c r="AJ7668" t="s">
        <v>5255</v>
      </c>
      <c r="AK7668" t="s">
        <v>35833</v>
      </c>
      <c r="AL7668" s="13" t="s">
        <v>1899</v>
      </c>
      <c r="AM7668" s="14">
        <v>1</v>
      </c>
      <c r="AN7668" s="15" t="s">
        <v>5256</v>
      </c>
    </row>
    <row r="7669" spans="1:40" x14ac:dyDescent="0.3">
      <c r="A7669" s="10" t="str">
        <f>HYPERLINK("http://www.washoecounty.gov/assessor/cama/?parid=528-101-60&amp;CardNumber=1","528-101-60")</f>
        <v>528-101-60</v>
      </c>
      <c r="B7669" t="s">
        <v>4655</v>
      </c>
      <c r="C7669" t="s">
        <v>35834</v>
      </c>
      <c r="D7669" s="1">
        <v>40207</v>
      </c>
      <c r="E7669" s="2">
        <v>127250</v>
      </c>
      <c r="F7669" t="s">
        <v>4567</v>
      </c>
      <c r="G7669" s="17" t="str">
        <f>HYPERLINK("https://www.washoecounty.gov/assessor/cama/?command=sales&amp;parid=52810160","3844285")</f>
        <v>3844285</v>
      </c>
      <c r="H7669" t="s">
        <v>4990</v>
      </c>
      <c r="I7669">
        <v>2004</v>
      </c>
      <c r="J7669">
        <v>2004</v>
      </c>
      <c r="K7669" t="s">
        <v>4554</v>
      </c>
      <c r="L7669" t="s">
        <v>4555</v>
      </c>
      <c r="M7669" s="2">
        <v>1082</v>
      </c>
      <c r="N7669" t="s">
        <v>4048</v>
      </c>
      <c r="O7669">
        <v>3</v>
      </c>
      <c r="P7669">
        <v>2</v>
      </c>
      <c r="Q7669">
        <v>0</v>
      </c>
      <c r="R7669" t="s">
        <v>4557</v>
      </c>
      <c r="S7669" t="s">
        <v>4898</v>
      </c>
      <c r="T7669" t="s">
        <v>4559</v>
      </c>
      <c r="U7669" t="s">
        <v>4560</v>
      </c>
      <c r="V7669" s="2">
        <v>380</v>
      </c>
      <c r="W7669" t="s">
        <v>4655</v>
      </c>
      <c r="X7669" s="2">
        <v>0</v>
      </c>
      <c r="Y7669">
        <v>20</v>
      </c>
      <c r="Z7669" t="s">
        <v>1604</v>
      </c>
      <c r="AA7669" s="3">
        <v>0.14550046622753099</v>
      </c>
      <c r="AB7669" t="s">
        <v>35835</v>
      </c>
      <c r="AC7669" t="s">
        <v>4562</v>
      </c>
      <c r="AD7669" t="s">
        <v>35834</v>
      </c>
      <c r="AE7669" t="s">
        <v>4655</v>
      </c>
      <c r="AF7669" t="s">
        <v>5201</v>
      </c>
      <c r="AG7669" t="s">
        <v>4564</v>
      </c>
      <c r="AH7669" t="s">
        <v>1605</v>
      </c>
      <c r="AI7669" t="s">
        <v>35836</v>
      </c>
      <c r="AJ7669" t="s">
        <v>5255</v>
      </c>
      <c r="AK7669" t="s">
        <v>35837</v>
      </c>
      <c r="AL7669" s="13" t="s">
        <v>1899</v>
      </c>
      <c r="AM7669" s="14">
        <v>1</v>
      </c>
      <c r="AN7669" s="15" t="s">
        <v>5256</v>
      </c>
    </row>
    <row r="7670" spans="1:40" x14ac:dyDescent="0.3">
      <c r="A7670" s="10" t="str">
        <f>HYPERLINK("http://www.washoecounty.gov/assessor/cama/?parid=528-131-01&amp;CardNumber=1","528-131-01")</f>
        <v>528-131-01</v>
      </c>
      <c r="B7670" t="s">
        <v>4655</v>
      </c>
      <c r="C7670" t="s">
        <v>35838</v>
      </c>
      <c r="D7670" s="1">
        <v>40301</v>
      </c>
      <c r="E7670" s="2">
        <v>1000000</v>
      </c>
      <c r="F7670" t="s">
        <v>3174</v>
      </c>
      <c r="G7670" s="17" t="str">
        <f>HYPERLINK("https://www.washoecounty.gov/assessor/cama/?command=sales&amp;parid=52813101","3877174")</f>
        <v>3877174</v>
      </c>
      <c r="H7670" t="s">
        <v>4170</v>
      </c>
      <c r="I7670">
        <v>2011</v>
      </c>
      <c r="J7670">
        <v>2011</v>
      </c>
      <c r="K7670" t="s">
        <v>4554</v>
      </c>
      <c r="L7670" t="s">
        <v>4555</v>
      </c>
      <c r="M7670" s="2">
        <v>1697</v>
      </c>
      <c r="N7670" t="s">
        <v>3147</v>
      </c>
      <c r="O7670">
        <v>3</v>
      </c>
      <c r="P7670">
        <v>2</v>
      </c>
      <c r="Q7670">
        <v>0</v>
      </c>
      <c r="R7670" t="s">
        <v>5281</v>
      </c>
      <c r="S7670" t="s">
        <v>4898</v>
      </c>
      <c r="T7670" t="s">
        <v>2704</v>
      </c>
      <c r="U7670" t="s">
        <v>4560</v>
      </c>
      <c r="V7670" s="2">
        <v>454</v>
      </c>
      <c r="W7670" t="s">
        <v>4655</v>
      </c>
      <c r="X7670" s="2">
        <v>0</v>
      </c>
      <c r="Y7670">
        <v>12</v>
      </c>
      <c r="Z7670" t="s">
        <v>1604</v>
      </c>
      <c r="AA7670" s="3">
        <v>0.205716252326965</v>
      </c>
      <c r="AB7670" t="s">
        <v>35839</v>
      </c>
      <c r="AC7670" t="s">
        <v>4562</v>
      </c>
      <c r="AD7670" t="s">
        <v>35838</v>
      </c>
      <c r="AE7670" t="s">
        <v>4655</v>
      </c>
      <c r="AF7670" t="s">
        <v>5201</v>
      </c>
      <c r="AG7670" t="s">
        <v>4564</v>
      </c>
      <c r="AH7670" t="s">
        <v>1605</v>
      </c>
      <c r="AI7670" t="s">
        <v>1576</v>
      </c>
      <c r="AJ7670" t="s">
        <v>5286</v>
      </c>
      <c r="AK7670" t="s">
        <v>35840</v>
      </c>
      <c r="AL7670" s="13" t="s">
        <v>1900</v>
      </c>
      <c r="AM7670" s="14">
        <v>1</v>
      </c>
      <c r="AN7670" s="15" t="s">
        <v>2042</v>
      </c>
    </row>
    <row r="7671" spans="1:40" x14ac:dyDescent="0.3">
      <c r="A7671" s="10" t="str">
        <f>HYPERLINK("http://www.washoecounty.gov/assessor/cama/?parid=528-131-01&amp;CardNumber=1","528-131-01")</f>
        <v>528-131-01</v>
      </c>
      <c r="B7671" t="s">
        <v>4655</v>
      </c>
      <c r="C7671" t="s">
        <v>35838</v>
      </c>
      <c r="D7671" s="1">
        <v>40542</v>
      </c>
      <c r="E7671" s="2">
        <v>199573</v>
      </c>
      <c r="F7671" t="s">
        <v>4567</v>
      </c>
      <c r="G7671" s="17" t="str">
        <f>HYPERLINK("https://www.washoecounty.gov/assessor/cama/?command=sales&amp;parid=52813101","3959009")</f>
        <v>3959009</v>
      </c>
      <c r="H7671" t="s">
        <v>4170</v>
      </c>
      <c r="I7671">
        <v>2011</v>
      </c>
      <c r="J7671">
        <v>2011</v>
      </c>
      <c r="K7671" t="s">
        <v>4554</v>
      </c>
      <c r="L7671" t="s">
        <v>4555</v>
      </c>
      <c r="M7671" s="2">
        <v>1697</v>
      </c>
      <c r="N7671" t="s">
        <v>3147</v>
      </c>
      <c r="O7671">
        <v>3</v>
      </c>
      <c r="P7671">
        <v>2</v>
      </c>
      <c r="Q7671">
        <v>0</v>
      </c>
      <c r="R7671" t="s">
        <v>5281</v>
      </c>
      <c r="S7671" t="s">
        <v>4898</v>
      </c>
      <c r="T7671" t="s">
        <v>2704</v>
      </c>
      <c r="U7671" t="s">
        <v>4560</v>
      </c>
      <c r="V7671" s="2">
        <v>454</v>
      </c>
      <c r="W7671" t="s">
        <v>4655</v>
      </c>
      <c r="X7671" s="2">
        <v>0</v>
      </c>
      <c r="Y7671">
        <v>20</v>
      </c>
      <c r="Z7671" t="s">
        <v>1604</v>
      </c>
      <c r="AA7671" s="3">
        <v>0.205716252326965</v>
      </c>
      <c r="AB7671" t="s">
        <v>35839</v>
      </c>
      <c r="AC7671" t="s">
        <v>4562</v>
      </c>
      <c r="AD7671" t="s">
        <v>35838</v>
      </c>
      <c r="AE7671" t="s">
        <v>4655</v>
      </c>
      <c r="AF7671" t="s">
        <v>5201</v>
      </c>
      <c r="AG7671" t="s">
        <v>4564</v>
      </c>
      <c r="AH7671" t="s">
        <v>1605</v>
      </c>
      <c r="AI7671" t="s">
        <v>1576</v>
      </c>
      <c r="AJ7671" t="s">
        <v>5286</v>
      </c>
      <c r="AK7671" t="s">
        <v>35840</v>
      </c>
      <c r="AL7671" s="13" t="s">
        <v>1900</v>
      </c>
      <c r="AM7671">
        <v>1</v>
      </c>
      <c r="AN7671" s="15" t="s">
        <v>2042</v>
      </c>
    </row>
    <row r="7672" spans="1:40" x14ac:dyDescent="0.3">
      <c r="A7672" s="10" t="str">
        <f>HYPERLINK("http://www.washoecounty.gov/assessor/cama/?parid=528-131-05&amp;CardNumber=1","528-131-05")</f>
        <v>528-131-05</v>
      </c>
      <c r="B7672" t="s">
        <v>4655</v>
      </c>
      <c r="C7672" t="s">
        <v>35841</v>
      </c>
      <c r="D7672" s="1">
        <v>40452</v>
      </c>
      <c r="E7672" s="2">
        <v>215000</v>
      </c>
      <c r="F7672" t="s">
        <v>4567</v>
      </c>
      <c r="G7672" s="17" t="str">
        <f>HYPERLINK("https://www.washoecounty.gov/assessor/cama/?command=sales&amp;parid=52813105","3928913")</f>
        <v>3928913</v>
      </c>
      <c r="H7672" t="s">
        <v>4170</v>
      </c>
      <c r="I7672">
        <v>2007</v>
      </c>
      <c r="J7672">
        <v>2007</v>
      </c>
      <c r="K7672" t="s">
        <v>4554</v>
      </c>
      <c r="L7672" t="s">
        <v>4555</v>
      </c>
      <c r="M7672" s="2">
        <v>1933</v>
      </c>
      <c r="N7672" t="s">
        <v>3147</v>
      </c>
      <c r="O7672">
        <v>3</v>
      </c>
      <c r="P7672">
        <v>2</v>
      </c>
      <c r="Q7672">
        <v>0</v>
      </c>
      <c r="R7672" t="s">
        <v>5281</v>
      </c>
      <c r="S7672" t="s">
        <v>4898</v>
      </c>
      <c r="T7672" t="s">
        <v>2704</v>
      </c>
      <c r="U7672" t="s">
        <v>4560</v>
      </c>
      <c r="V7672" s="2">
        <v>474</v>
      </c>
      <c r="W7672" t="s">
        <v>4655</v>
      </c>
      <c r="X7672" s="2">
        <v>0</v>
      </c>
      <c r="Y7672">
        <v>20</v>
      </c>
      <c r="Z7672" t="s">
        <v>1604</v>
      </c>
      <c r="AA7672" s="3">
        <v>0.294788807630539</v>
      </c>
      <c r="AB7672" t="s">
        <v>35842</v>
      </c>
      <c r="AC7672" t="s">
        <v>4562</v>
      </c>
      <c r="AD7672" t="s">
        <v>35841</v>
      </c>
      <c r="AE7672" t="s">
        <v>4655</v>
      </c>
      <c r="AF7672" t="s">
        <v>5201</v>
      </c>
      <c r="AG7672" t="s">
        <v>4564</v>
      </c>
      <c r="AH7672" t="s">
        <v>1605</v>
      </c>
      <c r="AI7672" t="s">
        <v>35843</v>
      </c>
      <c r="AJ7672" t="s">
        <v>5286</v>
      </c>
      <c r="AK7672" t="s">
        <v>35844</v>
      </c>
      <c r="AL7672" s="13" t="s">
        <v>1900</v>
      </c>
      <c r="AM7672">
        <v>1</v>
      </c>
      <c r="AN7672" s="15" t="s">
        <v>2042</v>
      </c>
    </row>
    <row r="7673" spans="1:40" x14ac:dyDescent="0.3">
      <c r="A7673" s="10" t="str">
        <f>HYPERLINK("http://www.washoecounty.gov/assessor/cama/?parid=528-131-10&amp;CardNumber=1","528-131-10")</f>
        <v>528-131-10</v>
      </c>
      <c r="B7673" t="s">
        <v>4655</v>
      </c>
      <c r="C7673" t="s">
        <v>35845</v>
      </c>
      <c r="D7673" s="1">
        <v>40535</v>
      </c>
      <c r="E7673" s="2">
        <v>231000</v>
      </c>
      <c r="F7673" t="s">
        <v>4567</v>
      </c>
      <c r="G7673" s="17" t="str">
        <f>HYPERLINK("https://www.washoecounty.gov/assessor/cama/?command=sales&amp;parid=52813110","3957027")</f>
        <v>3957027</v>
      </c>
      <c r="H7673" t="s">
        <v>4170</v>
      </c>
      <c r="I7673">
        <v>2007</v>
      </c>
      <c r="J7673">
        <v>2007</v>
      </c>
      <c r="K7673" t="s">
        <v>4554</v>
      </c>
      <c r="L7673" t="s">
        <v>3974</v>
      </c>
      <c r="M7673" s="2">
        <v>2861</v>
      </c>
      <c r="N7673" t="s">
        <v>3147</v>
      </c>
      <c r="O7673">
        <v>4</v>
      </c>
      <c r="P7673">
        <v>3</v>
      </c>
      <c r="Q7673">
        <v>0</v>
      </c>
      <c r="R7673" t="s">
        <v>5281</v>
      </c>
      <c r="S7673" t="s">
        <v>4898</v>
      </c>
      <c r="T7673" t="s">
        <v>2704</v>
      </c>
      <c r="U7673" t="s">
        <v>5631</v>
      </c>
      <c r="V7673" s="2">
        <v>644</v>
      </c>
      <c r="W7673" t="s">
        <v>4655</v>
      </c>
      <c r="X7673" s="2">
        <v>0</v>
      </c>
      <c r="Y7673">
        <v>20</v>
      </c>
      <c r="Z7673" t="s">
        <v>1604</v>
      </c>
      <c r="AA7673" s="3">
        <v>0.16042239964008301</v>
      </c>
      <c r="AB7673" t="s">
        <v>35846</v>
      </c>
      <c r="AC7673" t="s">
        <v>4562</v>
      </c>
      <c r="AD7673" t="s">
        <v>35845</v>
      </c>
      <c r="AE7673" t="s">
        <v>4655</v>
      </c>
      <c r="AF7673" t="s">
        <v>5201</v>
      </c>
      <c r="AG7673" t="s">
        <v>4564</v>
      </c>
      <c r="AH7673" t="s">
        <v>1605</v>
      </c>
      <c r="AI7673" t="s">
        <v>35847</v>
      </c>
      <c r="AJ7673" t="s">
        <v>5286</v>
      </c>
      <c r="AK7673" t="s">
        <v>35848</v>
      </c>
      <c r="AL7673" s="13" t="s">
        <v>1900</v>
      </c>
      <c r="AM7673">
        <v>1</v>
      </c>
      <c r="AN7673" s="15" t="s">
        <v>2042</v>
      </c>
    </row>
    <row r="7674" spans="1:40" x14ac:dyDescent="0.3">
      <c r="A7674" s="10" t="str">
        <f>HYPERLINK("http://www.washoecounty.gov/assessor/cama/?parid=528-132-01&amp;CardNumber=1","528-132-01")</f>
        <v>528-132-01</v>
      </c>
      <c r="B7674" t="s">
        <v>4655</v>
      </c>
      <c r="C7674" t="s">
        <v>35849</v>
      </c>
      <c r="D7674" s="1">
        <v>40457</v>
      </c>
      <c r="E7674" s="2">
        <v>270000</v>
      </c>
      <c r="F7674" t="s">
        <v>4553</v>
      </c>
      <c r="G7674" s="17" t="str">
        <f>HYPERLINK("https://www.washoecounty.gov/assessor/cama/?command=sales&amp;parid=52813201","3930139")</f>
        <v>3930139</v>
      </c>
      <c r="H7674" t="s">
        <v>4170</v>
      </c>
      <c r="I7674">
        <v>2006</v>
      </c>
      <c r="J7674">
        <v>2006</v>
      </c>
      <c r="K7674" t="s">
        <v>4554</v>
      </c>
      <c r="L7674" t="s">
        <v>3974</v>
      </c>
      <c r="M7674" s="2">
        <v>3735</v>
      </c>
      <c r="N7674" t="s">
        <v>3147</v>
      </c>
      <c r="O7674">
        <v>5</v>
      </c>
      <c r="P7674">
        <v>3</v>
      </c>
      <c r="Q7674">
        <v>1</v>
      </c>
      <c r="R7674" t="s">
        <v>5281</v>
      </c>
      <c r="S7674" t="s">
        <v>4898</v>
      </c>
      <c r="T7674" t="s">
        <v>2704</v>
      </c>
      <c r="U7674" t="s">
        <v>162</v>
      </c>
      <c r="V7674" s="2">
        <v>576</v>
      </c>
      <c r="W7674" t="s">
        <v>4655</v>
      </c>
      <c r="X7674" s="2">
        <v>0</v>
      </c>
      <c r="Y7674">
        <v>20</v>
      </c>
      <c r="Z7674" t="s">
        <v>1604</v>
      </c>
      <c r="AA7674" s="3">
        <v>0.273393034934998</v>
      </c>
      <c r="AB7674" t="s">
        <v>35850</v>
      </c>
      <c r="AC7674" t="s">
        <v>4562</v>
      </c>
      <c r="AD7674" t="s">
        <v>35849</v>
      </c>
      <c r="AE7674" t="s">
        <v>4655</v>
      </c>
      <c r="AF7674" t="s">
        <v>5201</v>
      </c>
      <c r="AG7674" t="s">
        <v>4564</v>
      </c>
      <c r="AH7674" t="s">
        <v>1605</v>
      </c>
      <c r="AI7674" t="s">
        <v>4585</v>
      </c>
      <c r="AJ7674" t="s">
        <v>5286</v>
      </c>
      <c r="AK7674" t="s">
        <v>35851</v>
      </c>
      <c r="AL7674" s="13" t="s">
        <v>1900</v>
      </c>
      <c r="AM7674" s="14">
        <v>1</v>
      </c>
      <c r="AN7674" s="15" t="s">
        <v>2042</v>
      </c>
    </row>
    <row r="7675" spans="1:40" x14ac:dyDescent="0.3">
      <c r="A7675" s="10" t="str">
        <f>HYPERLINK("http://www.washoecounty.gov/assessor/cama/?parid=528-141-01&amp;CardNumber=1","528-141-01")</f>
        <v>528-141-01</v>
      </c>
      <c r="B7675" t="s">
        <v>4655</v>
      </c>
      <c r="C7675" t="s">
        <v>35852</v>
      </c>
      <c r="D7675" s="1">
        <v>40301</v>
      </c>
      <c r="E7675" s="2">
        <v>1000000</v>
      </c>
      <c r="F7675" t="s">
        <v>3174</v>
      </c>
      <c r="G7675" s="17" t="str">
        <f>HYPERLINK("https://www.washoecounty.gov/assessor/cama/?command=sales&amp;parid=52814101","3877174")</f>
        <v>3877174</v>
      </c>
      <c r="H7675" t="s">
        <v>4170</v>
      </c>
      <c r="I7675">
        <v>0</v>
      </c>
      <c r="J7675">
        <v>0</v>
      </c>
      <c r="K7675" t="s">
        <v>4655</v>
      </c>
      <c r="L7675" t="s">
        <v>4655</v>
      </c>
      <c r="M7675" s="2">
        <v>0</v>
      </c>
      <c r="N7675" t="s">
        <v>4655</v>
      </c>
      <c r="O7675">
        <v>0</v>
      </c>
      <c r="P7675">
        <v>0</v>
      </c>
      <c r="Q7675">
        <v>0</v>
      </c>
      <c r="R7675" t="s">
        <v>4655</v>
      </c>
      <c r="S7675" t="s">
        <v>4655</v>
      </c>
      <c r="T7675" t="s">
        <v>4655</v>
      </c>
      <c r="U7675" t="s">
        <v>4655</v>
      </c>
      <c r="V7675" s="2">
        <v>0</v>
      </c>
      <c r="W7675" t="s">
        <v>4655</v>
      </c>
      <c r="X7675" s="2">
        <v>0</v>
      </c>
      <c r="Y7675">
        <v>12</v>
      </c>
      <c r="Z7675" t="s">
        <v>1604</v>
      </c>
      <c r="AA7675" s="3">
        <v>0.17522956430912001</v>
      </c>
      <c r="AB7675" t="s">
        <v>1576</v>
      </c>
      <c r="AC7675" t="s">
        <v>4562</v>
      </c>
      <c r="AD7675" t="s">
        <v>5285</v>
      </c>
      <c r="AE7675" t="s">
        <v>4655</v>
      </c>
      <c r="AF7675" t="s">
        <v>4563</v>
      </c>
      <c r="AG7675" t="s">
        <v>4564</v>
      </c>
      <c r="AH7675" t="s">
        <v>5197</v>
      </c>
      <c r="AI7675" t="s">
        <v>1576</v>
      </c>
      <c r="AJ7675" t="s">
        <v>5286</v>
      </c>
      <c r="AK7675" t="s">
        <v>35853</v>
      </c>
      <c r="AL7675" s="13" t="s">
        <v>1900</v>
      </c>
      <c r="AM7675" s="14">
        <v>0</v>
      </c>
      <c r="AN7675" s="15" t="s">
        <v>2042</v>
      </c>
    </row>
    <row r="7676" spans="1:40" x14ac:dyDescent="0.3">
      <c r="A7676" s="10" t="str">
        <f>HYPERLINK("http://www.washoecounty.gov/assessor/cama/?parid=528-141-17&amp;CardNumber=1","528-141-17")</f>
        <v>528-141-17</v>
      </c>
      <c r="B7676" t="s">
        <v>4655</v>
      </c>
      <c r="C7676" s="20" t="s">
        <v>283</v>
      </c>
      <c r="D7676" s="1">
        <v>40479</v>
      </c>
      <c r="E7676" s="2">
        <v>243000</v>
      </c>
      <c r="F7676" t="s">
        <v>4567</v>
      </c>
      <c r="G7676" s="20" t="s">
        <v>282</v>
      </c>
      <c r="H7676" t="s">
        <v>4170</v>
      </c>
      <c r="I7676">
        <v>2006</v>
      </c>
      <c r="J7676">
        <v>2006</v>
      </c>
      <c r="K7676" t="s">
        <v>4554</v>
      </c>
      <c r="L7676" t="s">
        <v>3974</v>
      </c>
      <c r="M7676" s="2">
        <v>3060</v>
      </c>
      <c r="N7676" t="s">
        <v>3147</v>
      </c>
      <c r="O7676">
        <v>4</v>
      </c>
      <c r="P7676">
        <v>2</v>
      </c>
      <c r="Q7676">
        <v>1</v>
      </c>
      <c r="R7676" t="s">
        <v>5281</v>
      </c>
      <c r="S7676" t="s">
        <v>4898</v>
      </c>
      <c r="T7676" t="s">
        <v>2704</v>
      </c>
      <c r="U7676" t="s">
        <v>162</v>
      </c>
      <c r="V7676" s="2">
        <v>621</v>
      </c>
      <c r="W7676" t="s">
        <v>4655</v>
      </c>
      <c r="X7676" s="2">
        <v>0</v>
      </c>
      <c r="Y7676">
        <v>20</v>
      </c>
      <c r="Z7676" t="s">
        <v>1604</v>
      </c>
      <c r="AA7676" s="3">
        <v>0.18083104491233801</v>
      </c>
      <c r="AB7676" s="20" t="s">
        <v>8865</v>
      </c>
      <c r="AD7676" t="s">
        <v>283</v>
      </c>
      <c r="AE7676" t="s">
        <v>283</v>
      </c>
      <c r="AF7676" t="s">
        <v>283</v>
      </c>
      <c r="AG7676" t="s">
        <v>4564</v>
      </c>
      <c r="AH7676" t="s">
        <v>3101</v>
      </c>
      <c r="AI7676" t="s">
        <v>8865</v>
      </c>
      <c r="AJ7676" t="s">
        <v>5286</v>
      </c>
      <c r="AK7676" t="s">
        <v>8865</v>
      </c>
      <c r="AL7676" s="13" t="s">
        <v>1900</v>
      </c>
      <c r="AM7676">
        <v>1</v>
      </c>
      <c r="AN7676" s="15" t="s">
        <v>2042</v>
      </c>
    </row>
    <row r="7677" spans="1:40" x14ac:dyDescent="0.3">
      <c r="A7677" s="10" t="str">
        <f>HYPERLINK("http://www.washoecounty.gov/assessor/cama/?parid=528-141-19&amp;CardNumber=1","528-141-19")</f>
        <v>528-141-19</v>
      </c>
      <c r="B7677" t="s">
        <v>4655</v>
      </c>
      <c r="C7677" t="s">
        <v>4436</v>
      </c>
      <c r="D7677" s="1">
        <v>40301</v>
      </c>
      <c r="E7677" s="2">
        <v>1000000</v>
      </c>
      <c r="F7677" t="s">
        <v>3174</v>
      </c>
      <c r="G7677" s="17" t="str">
        <f>HYPERLINK("https://www.washoecounty.gov/assessor/cama/?command=sales&amp;parid=52814119","3877174")</f>
        <v>3877174</v>
      </c>
      <c r="H7677" t="s">
        <v>4170</v>
      </c>
      <c r="I7677">
        <v>2011</v>
      </c>
      <c r="J7677">
        <v>2011</v>
      </c>
      <c r="K7677" t="s">
        <v>4554</v>
      </c>
      <c r="L7677" t="s">
        <v>4555</v>
      </c>
      <c r="M7677" s="2">
        <v>1933</v>
      </c>
      <c r="N7677" t="s">
        <v>3147</v>
      </c>
      <c r="O7677">
        <v>3</v>
      </c>
      <c r="P7677">
        <v>2</v>
      </c>
      <c r="Q7677">
        <v>0</v>
      </c>
      <c r="R7677" t="s">
        <v>5281</v>
      </c>
      <c r="S7677" t="s">
        <v>4898</v>
      </c>
      <c r="T7677" t="s">
        <v>2704</v>
      </c>
      <c r="U7677" t="s">
        <v>4560</v>
      </c>
      <c r="V7677" s="2">
        <v>474</v>
      </c>
      <c r="W7677" t="s">
        <v>4655</v>
      </c>
      <c r="X7677" s="2">
        <v>0</v>
      </c>
      <c r="Y7677">
        <v>12</v>
      </c>
      <c r="Z7677" t="s">
        <v>1604</v>
      </c>
      <c r="AA7677" s="3">
        <v>0.18652433156967163</v>
      </c>
      <c r="AB7677" t="s">
        <v>1576</v>
      </c>
      <c r="AC7677" t="s">
        <v>4562</v>
      </c>
      <c r="AD7677" t="s">
        <v>5285</v>
      </c>
      <c r="AE7677" t="s">
        <v>4655</v>
      </c>
      <c r="AF7677" t="s">
        <v>4563</v>
      </c>
      <c r="AG7677" t="s">
        <v>4564</v>
      </c>
      <c r="AH7677" t="s">
        <v>5197</v>
      </c>
      <c r="AI7677" t="s">
        <v>1576</v>
      </c>
      <c r="AJ7677" t="s">
        <v>5286</v>
      </c>
      <c r="AK7677" t="s">
        <v>4437</v>
      </c>
      <c r="AL7677" s="13" t="s">
        <v>1900</v>
      </c>
      <c r="AM7677" s="14">
        <v>1</v>
      </c>
      <c r="AN7677" s="15" t="s">
        <v>2042</v>
      </c>
    </row>
    <row r="7678" spans="1:40" x14ac:dyDescent="0.3">
      <c r="A7678" s="10" t="str">
        <f>HYPERLINK("http://www.washoecounty.gov/assessor/cama/?parid=528-141-20&amp;CardNumber=1","528-141-20")</f>
        <v>528-141-20</v>
      </c>
      <c r="B7678" t="s">
        <v>4655</v>
      </c>
      <c r="C7678" t="s">
        <v>4438</v>
      </c>
      <c r="D7678" s="1">
        <v>40301</v>
      </c>
      <c r="E7678" s="2">
        <v>1000000</v>
      </c>
      <c r="F7678" t="s">
        <v>3174</v>
      </c>
      <c r="G7678" s="17" t="str">
        <f>HYPERLINK("https://www.washoecounty.gov/assessor/cama/?command=sales&amp;parid=52814120","3877174")</f>
        <v>3877174</v>
      </c>
      <c r="H7678" t="s">
        <v>4170</v>
      </c>
      <c r="I7678">
        <v>2011</v>
      </c>
      <c r="J7678">
        <v>2011</v>
      </c>
      <c r="K7678" t="s">
        <v>4554</v>
      </c>
      <c r="L7678" t="s">
        <v>4555</v>
      </c>
      <c r="M7678" s="2">
        <v>1933</v>
      </c>
      <c r="N7678" t="s">
        <v>3147</v>
      </c>
      <c r="O7678">
        <v>3</v>
      </c>
      <c r="P7678">
        <v>2</v>
      </c>
      <c r="Q7678">
        <v>0</v>
      </c>
      <c r="R7678" t="s">
        <v>5281</v>
      </c>
      <c r="S7678" t="s">
        <v>4898</v>
      </c>
      <c r="T7678" t="s">
        <v>2704</v>
      </c>
      <c r="U7678" t="s">
        <v>4560</v>
      </c>
      <c r="V7678" s="2">
        <v>474</v>
      </c>
      <c r="W7678" t="s">
        <v>4655</v>
      </c>
      <c r="X7678" s="2">
        <v>0</v>
      </c>
      <c r="Y7678">
        <v>12</v>
      </c>
      <c r="Z7678" t="s">
        <v>1604</v>
      </c>
      <c r="AA7678" s="3">
        <v>0.19120752811431899</v>
      </c>
      <c r="AB7678" t="s">
        <v>1576</v>
      </c>
      <c r="AC7678" t="s">
        <v>4562</v>
      </c>
      <c r="AD7678" t="s">
        <v>5285</v>
      </c>
      <c r="AE7678" t="s">
        <v>4655</v>
      </c>
      <c r="AF7678" t="s">
        <v>4563</v>
      </c>
      <c r="AG7678" t="s">
        <v>4564</v>
      </c>
      <c r="AH7678" t="s">
        <v>5197</v>
      </c>
      <c r="AI7678" t="s">
        <v>1576</v>
      </c>
      <c r="AJ7678" t="s">
        <v>5286</v>
      </c>
      <c r="AK7678" t="s">
        <v>4484</v>
      </c>
      <c r="AL7678" s="13" t="s">
        <v>1900</v>
      </c>
      <c r="AM7678" s="14">
        <v>1</v>
      </c>
      <c r="AN7678" s="15" t="s">
        <v>2042</v>
      </c>
    </row>
    <row r="7679" spans="1:40" x14ac:dyDescent="0.3">
      <c r="A7679" s="10" t="str">
        <f>HYPERLINK("http://www.washoecounty.gov/assessor/cama/?parid=528-141-21&amp;CardNumber=1","528-141-21")</f>
        <v>528-141-21</v>
      </c>
      <c r="B7679" t="s">
        <v>4655</v>
      </c>
      <c r="C7679" t="s">
        <v>4485</v>
      </c>
      <c r="D7679" s="1">
        <v>40301</v>
      </c>
      <c r="E7679" s="2">
        <v>1000000</v>
      </c>
      <c r="F7679" t="s">
        <v>3174</v>
      </c>
      <c r="G7679" s="17" t="str">
        <f>HYPERLINK("https://www.washoecounty.gov/assessor/cama/?command=sales&amp;parid=52814121","3877174")</f>
        <v>3877174</v>
      </c>
      <c r="H7679" t="s">
        <v>4170</v>
      </c>
      <c r="I7679">
        <v>2011</v>
      </c>
      <c r="J7679">
        <v>2011</v>
      </c>
      <c r="K7679" t="s">
        <v>4554</v>
      </c>
      <c r="L7679" t="s">
        <v>3974</v>
      </c>
      <c r="M7679" s="2">
        <v>2124</v>
      </c>
      <c r="N7679" t="s">
        <v>3147</v>
      </c>
      <c r="O7679">
        <v>3</v>
      </c>
      <c r="P7679">
        <v>2</v>
      </c>
      <c r="Q7679">
        <v>1</v>
      </c>
      <c r="R7679" t="s">
        <v>5281</v>
      </c>
      <c r="S7679" t="s">
        <v>4898</v>
      </c>
      <c r="T7679" t="s">
        <v>2704</v>
      </c>
      <c r="U7679" t="s">
        <v>4560</v>
      </c>
      <c r="V7679" s="2">
        <v>380</v>
      </c>
      <c r="W7679" t="s">
        <v>4655</v>
      </c>
      <c r="X7679" s="2">
        <v>0</v>
      </c>
      <c r="Y7679">
        <v>12</v>
      </c>
      <c r="Z7679" t="s">
        <v>1604</v>
      </c>
      <c r="AA7679" s="3">
        <v>0.23080807924270599</v>
      </c>
      <c r="AB7679" t="s">
        <v>1576</v>
      </c>
      <c r="AC7679" t="s">
        <v>4562</v>
      </c>
      <c r="AD7679" t="s">
        <v>5285</v>
      </c>
      <c r="AE7679" t="s">
        <v>4655</v>
      </c>
      <c r="AF7679" t="s">
        <v>4563</v>
      </c>
      <c r="AG7679" t="s">
        <v>4564</v>
      </c>
      <c r="AH7679" t="s">
        <v>5197</v>
      </c>
      <c r="AI7679" t="s">
        <v>1576</v>
      </c>
      <c r="AJ7679" t="s">
        <v>5286</v>
      </c>
      <c r="AK7679" t="s">
        <v>4486</v>
      </c>
      <c r="AL7679" s="13" t="s">
        <v>1900</v>
      </c>
      <c r="AM7679">
        <v>1</v>
      </c>
      <c r="AN7679" s="15" t="s">
        <v>2042</v>
      </c>
    </row>
    <row r="7680" spans="1:40" x14ac:dyDescent="0.3">
      <c r="A7680" s="10" t="str">
        <f>HYPERLINK("http://www.washoecounty.gov/assessor/cama/?parid=528-141-22&amp;CardNumber=1","528-141-22")</f>
        <v>528-141-22</v>
      </c>
      <c r="B7680" t="s">
        <v>4655</v>
      </c>
      <c r="C7680" t="s">
        <v>3096</v>
      </c>
      <c r="D7680" s="1">
        <v>40301</v>
      </c>
      <c r="E7680" s="2">
        <v>1000000</v>
      </c>
      <c r="F7680" t="s">
        <v>3174</v>
      </c>
      <c r="G7680" s="17" t="str">
        <f>HYPERLINK("https://www.washoecounty.gov/assessor/cama/?command=sales&amp;parid=52814122","3877174")</f>
        <v>3877174</v>
      </c>
      <c r="H7680" t="s">
        <v>4170</v>
      </c>
      <c r="I7680">
        <v>2011</v>
      </c>
      <c r="J7680">
        <v>2011</v>
      </c>
      <c r="K7680" t="s">
        <v>4554</v>
      </c>
      <c r="L7680" t="s">
        <v>4555</v>
      </c>
      <c r="M7680" s="2">
        <v>1933</v>
      </c>
      <c r="N7680" t="s">
        <v>3147</v>
      </c>
      <c r="O7680">
        <v>3</v>
      </c>
      <c r="P7680">
        <v>2</v>
      </c>
      <c r="Q7680">
        <v>0</v>
      </c>
      <c r="R7680" t="s">
        <v>5281</v>
      </c>
      <c r="S7680" t="s">
        <v>4898</v>
      </c>
      <c r="T7680" t="s">
        <v>2704</v>
      </c>
      <c r="U7680" t="s">
        <v>4560</v>
      </c>
      <c r="V7680" s="2">
        <v>474</v>
      </c>
      <c r="W7680" t="s">
        <v>4655</v>
      </c>
      <c r="X7680" s="2">
        <v>0</v>
      </c>
      <c r="Y7680">
        <v>12</v>
      </c>
      <c r="Z7680" t="s">
        <v>1604</v>
      </c>
      <c r="AA7680" s="3">
        <v>0.178581267595291</v>
      </c>
      <c r="AB7680" t="s">
        <v>0</v>
      </c>
      <c r="AC7680" t="s">
        <v>4575</v>
      </c>
      <c r="AD7680" t="s">
        <v>3096</v>
      </c>
      <c r="AE7680" t="s">
        <v>4655</v>
      </c>
      <c r="AF7680" t="s">
        <v>5201</v>
      </c>
      <c r="AG7680" t="s">
        <v>4564</v>
      </c>
      <c r="AH7680" t="s">
        <v>1605</v>
      </c>
      <c r="AI7680" t="s">
        <v>1576</v>
      </c>
      <c r="AJ7680" t="s">
        <v>5286</v>
      </c>
      <c r="AK7680" t="s">
        <v>4458</v>
      </c>
      <c r="AL7680" s="13" t="s">
        <v>1900</v>
      </c>
      <c r="AM7680" s="14">
        <v>1</v>
      </c>
      <c r="AN7680" s="15" t="s">
        <v>2042</v>
      </c>
    </row>
    <row r="7681" spans="1:40" x14ac:dyDescent="0.3">
      <c r="A7681" s="10" t="str">
        <f>HYPERLINK("http://www.washoecounty.gov/assessor/cama/?parid=528-141-23&amp;CardNumber=1","528-141-23")</f>
        <v>528-141-23</v>
      </c>
      <c r="B7681" t="s">
        <v>4655</v>
      </c>
      <c r="C7681" t="s">
        <v>4459</v>
      </c>
      <c r="D7681" s="1">
        <v>40301</v>
      </c>
      <c r="E7681" s="2">
        <v>1000000</v>
      </c>
      <c r="F7681" t="s">
        <v>3174</v>
      </c>
      <c r="G7681" s="17" t="str">
        <f>HYPERLINK("https://www.washoecounty.gov/assessor/cama/?command=sales&amp;parid=52814123","3877174")</f>
        <v>3877174</v>
      </c>
      <c r="H7681" t="s">
        <v>4170</v>
      </c>
      <c r="I7681">
        <v>2011</v>
      </c>
      <c r="J7681">
        <v>2011</v>
      </c>
      <c r="K7681" t="s">
        <v>4554</v>
      </c>
      <c r="L7681" t="s">
        <v>3974</v>
      </c>
      <c r="M7681" s="2">
        <v>2313</v>
      </c>
      <c r="N7681" t="s">
        <v>3147</v>
      </c>
      <c r="O7681">
        <v>4</v>
      </c>
      <c r="P7681">
        <v>3</v>
      </c>
      <c r="Q7681">
        <v>0</v>
      </c>
      <c r="R7681" t="s">
        <v>5281</v>
      </c>
      <c r="S7681" t="s">
        <v>4898</v>
      </c>
      <c r="T7681" t="s">
        <v>2704</v>
      </c>
      <c r="U7681" t="s">
        <v>4560</v>
      </c>
      <c r="V7681" s="2">
        <v>642</v>
      </c>
      <c r="W7681" t="s">
        <v>4655</v>
      </c>
      <c r="X7681" s="2">
        <v>0</v>
      </c>
      <c r="Y7681">
        <v>12</v>
      </c>
      <c r="Z7681" t="s">
        <v>1604</v>
      </c>
      <c r="AA7681" s="3">
        <v>0.17481634020805401</v>
      </c>
      <c r="AB7681" t="s">
        <v>1576</v>
      </c>
      <c r="AC7681" t="s">
        <v>4562</v>
      </c>
      <c r="AD7681" t="s">
        <v>5285</v>
      </c>
      <c r="AE7681" t="s">
        <v>4655</v>
      </c>
      <c r="AF7681" t="s">
        <v>4563</v>
      </c>
      <c r="AG7681" t="s">
        <v>4564</v>
      </c>
      <c r="AH7681" t="s">
        <v>5197</v>
      </c>
      <c r="AI7681" t="s">
        <v>1576</v>
      </c>
      <c r="AJ7681" t="s">
        <v>5286</v>
      </c>
      <c r="AK7681" t="s">
        <v>4460</v>
      </c>
      <c r="AL7681" s="13" t="s">
        <v>1900</v>
      </c>
      <c r="AM7681" s="14">
        <v>1</v>
      </c>
      <c r="AN7681" s="15" t="s">
        <v>2042</v>
      </c>
    </row>
    <row r="7682" spans="1:40" x14ac:dyDescent="0.3">
      <c r="A7682" s="10" t="str">
        <f>HYPERLINK("http://www.washoecounty.gov/assessor/cama/?parid=528-141-24&amp;CardNumber=1","528-141-24")</f>
        <v>528-141-24</v>
      </c>
      <c r="B7682" t="s">
        <v>4655</v>
      </c>
      <c r="C7682" t="s">
        <v>4461</v>
      </c>
      <c r="D7682" s="1">
        <v>40301</v>
      </c>
      <c r="E7682" s="2">
        <v>1000000</v>
      </c>
      <c r="F7682" t="s">
        <v>3174</v>
      </c>
      <c r="G7682" s="17" t="str">
        <f>HYPERLINK("https://www.washoecounty.gov/assessor/cama/?command=sales&amp;parid=52814124","3877174")</f>
        <v>3877174</v>
      </c>
      <c r="H7682" t="s">
        <v>4170</v>
      </c>
      <c r="I7682">
        <v>2011</v>
      </c>
      <c r="J7682">
        <v>2011</v>
      </c>
      <c r="K7682" t="s">
        <v>4554</v>
      </c>
      <c r="L7682" t="s">
        <v>3974</v>
      </c>
      <c r="M7682" s="2">
        <v>2124</v>
      </c>
      <c r="N7682" t="s">
        <v>3147</v>
      </c>
      <c r="O7682">
        <v>3</v>
      </c>
      <c r="P7682">
        <v>2</v>
      </c>
      <c r="Q7682">
        <v>1</v>
      </c>
      <c r="R7682" t="s">
        <v>5281</v>
      </c>
      <c r="S7682" t="s">
        <v>4898</v>
      </c>
      <c r="T7682" t="s">
        <v>2704</v>
      </c>
      <c r="U7682" t="s">
        <v>4560</v>
      </c>
      <c r="V7682" s="2">
        <v>380</v>
      </c>
      <c r="W7682" t="s">
        <v>4655</v>
      </c>
      <c r="X7682" s="2">
        <v>0</v>
      </c>
      <c r="Y7682">
        <v>12</v>
      </c>
      <c r="Z7682" t="s">
        <v>1604</v>
      </c>
      <c r="AA7682" s="3">
        <v>0.17481634020805401</v>
      </c>
      <c r="AB7682" t="s">
        <v>5702</v>
      </c>
      <c r="AC7682" t="s">
        <v>4562</v>
      </c>
      <c r="AD7682" t="s">
        <v>5703</v>
      </c>
      <c r="AE7682" t="s">
        <v>4655</v>
      </c>
      <c r="AF7682" t="s">
        <v>686</v>
      </c>
      <c r="AG7682" t="s">
        <v>4584</v>
      </c>
      <c r="AH7682">
        <v>94112</v>
      </c>
      <c r="AI7682" t="s">
        <v>1576</v>
      </c>
      <c r="AJ7682" t="s">
        <v>5286</v>
      </c>
      <c r="AK7682" t="s">
        <v>4462</v>
      </c>
      <c r="AL7682" s="13" t="s">
        <v>1900</v>
      </c>
      <c r="AM7682">
        <v>1</v>
      </c>
      <c r="AN7682" s="15" t="s">
        <v>2042</v>
      </c>
    </row>
    <row r="7683" spans="1:40" x14ac:dyDescent="0.3">
      <c r="A7683" s="10" t="str">
        <f>HYPERLINK("http://www.washoecounty.gov/assessor/cama/?parid=528-141-25&amp;CardNumber=1","528-141-25")</f>
        <v>528-141-25</v>
      </c>
      <c r="B7683" t="s">
        <v>4655</v>
      </c>
      <c r="C7683" t="s">
        <v>4463</v>
      </c>
      <c r="D7683" s="1">
        <v>40301</v>
      </c>
      <c r="E7683" s="2">
        <v>1000000</v>
      </c>
      <c r="F7683" t="s">
        <v>3174</v>
      </c>
      <c r="G7683" s="17" t="str">
        <f>HYPERLINK("https://www.washoecounty.gov/assessor/cama/?command=sales&amp;parid=52814125","3877174")</f>
        <v>3877174</v>
      </c>
      <c r="H7683" t="s">
        <v>4170</v>
      </c>
      <c r="I7683">
        <v>2011</v>
      </c>
      <c r="J7683">
        <v>2011</v>
      </c>
      <c r="K7683" t="s">
        <v>4554</v>
      </c>
      <c r="L7683" t="s">
        <v>4555</v>
      </c>
      <c r="M7683" s="2">
        <v>1697</v>
      </c>
      <c r="N7683" t="s">
        <v>3147</v>
      </c>
      <c r="O7683">
        <v>3</v>
      </c>
      <c r="P7683">
        <v>2</v>
      </c>
      <c r="Q7683">
        <v>0</v>
      </c>
      <c r="R7683" t="s">
        <v>5281</v>
      </c>
      <c r="S7683" t="s">
        <v>4898</v>
      </c>
      <c r="T7683" t="s">
        <v>2704</v>
      </c>
      <c r="U7683" t="s">
        <v>4560</v>
      </c>
      <c r="V7683" s="2">
        <v>454</v>
      </c>
      <c r="W7683" t="s">
        <v>4655</v>
      </c>
      <c r="X7683" s="2">
        <v>0</v>
      </c>
      <c r="Y7683">
        <v>12</v>
      </c>
      <c r="Z7683" t="s">
        <v>1604</v>
      </c>
      <c r="AA7683" s="3">
        <v>0.17481634020805401</v>
      </c>
      <c r="AB7683" t="s">
        <v>300</v>
      </c>
      <c r="AC7683" t="s">
        <v>4562</v>
      </c>
      <c r="AD7683" t="s">
        <v>4463</v>
      </c>
      <c r="AE7683" t="s">
        <v>4655</v>
      </c>
      <c r="AF7683" t="s">
        <v>5201</v>
      </c>
      <c r="AG7683" t="s">
        <v>4564</v>
      </c>
      <c r="AH7683" t="s">
        <v>1605</v>
      </c>
      <c r="AI7683" t="s">
        <v>1576</v>
      </c>
      <c r="AJ7683" t="s">
        <v>5286</v>
      </c>
      <c r="AK7683" t="s">
        <v>4464</v>
      </c>
      <c r="AL7683" s="13" t="s">
        <v>1900</v>
      </c>
      <c r="AM7683">
        <v>1</v>
      </c>
      <c r="AN7683" s="15" t="s">
        <v>2042</v>
      </c>
    </row>
    <row r="7684" spans="1:40" x14ac:dyDescent="0.3">
      <c r="A7684" s="10" t="str">
        <f>HYPERLINK("http://www.washoecounty.gov/assessor/cama/?parid=528-141-26&amp;CardNumber=1","528-141-26")</f>
        <v>528-141-26</v>
      </c>
      <c r="B7684" t="s">
        <v>4655</v>
      </c>
      <c r="C7684" t="s">
        <v>4465</v>
      </c>
      <c r="D7684" s="1">
        <v>40301</v>
      </c>
      <c r="E7684" s="2">
        <v>1000000</v>
      </c>
      <c r="F7684" t="s">
        <v>3174</v>
      </c>
      <c r="G7684" s="17" t="str">
        <f>HYPERLINK("https://www.washoecounty.gov/assessor/cama/?command=sales&amp;parid=52814126","3877174")</f>
        <v>3877174</v>
      </c>
      <c r="H7684" t="s">
        <v>4170</v>
      </c>
      <c r="I7684">
        <v>2011</v>
      </c>
      <c r="J7684">
        <v>2011</v>
      </c>
      <c r="K7684" t="s">
        <v>4554</v>
      </c>
      <c r="L7684" t="s">
        <v>4555</v>
      </c>
      <c r="M7684" s="2">
        <v>1933</v>
      </c>
      <c r="N7684" t="s">
        <v>3147</v>
      </c>
      <c r="O7684">
        <v>3</v>
      </c>
      <c r="P7684">
        <v>2</v>
      </c>
      <c r="Q7684">
        <v>0</v>
      </c>
      <c r="R7684" t="s">
        <v>5281</v>
      </c>
      <c r="S7684" t="s">
        <v>4898</v>
      </c>
      <c r="T7684" t="s">
        <v>2704</v>
      </c>
      <c r="U7684" t="s">
        <v>4560</v>
      </c>
      <c r="V7684" s="2">
        <v>474</v>
      </c>
      <c r="W7684" t="s">
        <v>4655</v>
      </c>
      <c r="X7684" s="2">
        <v>0</v>
      </c>
      <c r="Y7684">
        <v>12</v>
      </c>
      <c r="Z7684" t="s">
        <v>1604</v>
      </c>
      <c r="AA7684" s="3">
        <v>0.17481634020805401</v>
      </c>
      <c r="AB7684" t="s">
        <v>3522</v>
      </c>
      <c r="AC7684" t="s">
        <v>4575</v>
      </c>
      <c r="AD7684" t="s">
        <v>4465</v>
      </c>
      <c r="AE7684" t="s">
        <v>4655</v>
      </c>
      <c r="AF7684" t="s">
        <v>5201</v>
      </c>
      <c r="AG7684" t="s">
        <v>4564</v>
      </c>
      <c r="AH7684" t="s">
        <v>1605</v>
      </c>
      <c r="AI7684" t="s">
        <v>3522</v>
      </c>
      <c r="AJ7684" t="s">
        <v>5286</v>
      </c>
      <c r="AK7684" t="s">
        <v>4466</v>
      </c>
      <c r="AL7684" s="13" t="s">
        <v>1900</v>
      </c>
      <c r="AM7684">
        <v>1</v>
      </c>
      <c r="AN7684" s="15" t="s">
        <v>2042</v>
      </c>
    </row>
    <row r="7685" spans="1:40" x14ac:dyDescent="0.3">
      <c r="A7685" s="10" t="str">
        <f>HYPERLINK("http://www.washoecounty.gov/assessor/cama/?parid=528-141-27&amp;CardNumber=1","528-141-27")</f>
        <v>528-141-27</v>
      </c>
      <c r="B7685" t="s">
        <v>4655</v>
      </c>
      <c r="C7685" t="s">
        <v>35854</v>
      </c>
      <c r="D7685" s="1">
        <v>40301</v>
      </c>
      <c r="E7685" s="2">
        <v>1000000</v>
      </c>
      <c r="F7685" t="s">
        <v>3174</v>
      </c>
      <c r="G7685" s="17" t="str">
        <f>HYPERLINK("https://www.washoecounty.gov/assessor/cama/?command=sales&amp;parid=52814127","3877174")</f>
        <v>3877174</v>
      </c>
      <c r="H7685" t="s">
        <v>4170</v>
      </c>
      <c r="I7685">
        <v>2011</v>
      </c>
      <c r="J7685">
        <v>2011</v>
      </c>
      <c r="K7685" t="s">
        <v>4554</v>
      </c>
      <c r="L7685" t="s">
        <v>3974</v>
      </c>
      <c r="M7685" s="2">
        <v>2124</v>
      </c>
      <c r="N7685" t="s">
        <v>3147</v>
      </c>
      <c r="O7685">
        <v>3</v>
      </c>
      <c r="P7685">
        <v>2</v>
      </c>
      <c r="Q7685">
        <v>1</v>
      </c>
      <c r="R7685" t="s">
        <v>5281</v>
      </c>
      <c r="S7685" t="s">
        <v>4898</v>
      </c>
      <c r="T7685" t="s">
        <v>2704</v>
      </c>
      <c r="U7685" t="s">
        <v>4560</v>
      </c>
      <c r="V7685" s="2">
        <v>380</v>
      </c>
      <c r="W7685" t="s">
        <v>4655</v>
      </c>
      <c r="X7685" s="2">
        <v>0</v>
      </c>
      <c r="Y7685">
        <v>12</v>
      </c>
      <c r="Z7685" t="s">
        <v>1604</v>
      </c>
      <c r="AA7685" s="3">
        <v>0.17481634020805401</v>
      </c>
      <c r="AB7685" t="s">
        <v>35855</v>
      </c>
      <c r="AC7685" t="s">
        <v>4562</v>
      </c>
      <c r="AD7685" t="s">
        <v>35854</v>
      </c>
      <c r="AE7685" t="s">
        <v>4655</v>
      </c>
      <c r="AF7685" t="s">
        <v>5201</v>
      </c>
      <c r="AG7685" t="s">
        <v>4564</v>
      </c>
      <c r="AH7685" t="s">
        <v>1605</v>
      </c>
      <c r="AI7685" t="s">
        <v>1576</v>
      </c>
      <c r="AJ7685" t="s">
        <v>5286</v>
      </c>
      <c r="AK7685" t="s">
        <v>35856</v>
      </c>
      <c r="AL7685" s="13" t="s">
        <v>1900</v>
      </c>
      <c r="AM7685">
        <v>1</v>
      </c>
      <c r="AN7685" s="15" t="s">
        <v>2042</v>
      </c>
    </row>
    <row r="7686" spans="1:40" x14ac:dyDescent="0.3">
      <c r="A7686" s="10" t="str">
        <f>HYPERLINK("http://www.washoecounty.gov/assessor/cama/?parid=528-141-27&amp;CardNumber=1","528-141-27")</f>
        <v>528-141-27</v>
      </c>
      <c r="B7686" t="s">
        <v>4655</v>
      </c>
      <c r="C7686" t="s">
        <v>35854</v>
      </c>
      <c r="D7686" s="1">
        <v>40506</v>
      </c>
      <c r="E7686" s="2">
        <v>224000</v>
      </c>
      <c r="F7686" t="s">
        <v>4567</v>
      </c>
      <c r="G7686" s="17" t="str">
        <f>HYPERLINK("https://www.washoecounty.gov/assessor/cama/?command=sales&amp;parid=52814127","3946869")</f>
        <v>3946869</v>
      </c>
      <c r="H7686" t="s">
        <v>4170</v>
      </c>
      <c r="I7686">
        <v>2011</v>
      </c>
      <c r="J7686">
        <v>2011</v>
      </c>
      <c r="K7686" t="s">
        <v>4554</v>
      </c>
      <c r="L7686" t="s">
        <v>3974</v>
      </c>
      <c r="M7686" s="2">
        <v>2124</v>
      </c>
      <c r="N7686" t="s">
        <v>3147</v>
      </c>
      <c r="O7686">
        <v>3</v>
      </c>
      <c r="P7686">
        <v>2</v>
      </c>
      <c r="Q7686">
        <v>1</v>
      </c>
      <c r="R7686" t="s">
        <v>5281</v>
      </c>
      <c r="S7686" t="s">
        <v>4898</v>
      </c>
      <c r="T7686" t="s">
        <v>2704</v>
      </c>
      <c r="U7686" t="s">
        <v>4560</v>
      </c>
      <c r="V7686" s="2">
        <v>380</v>
      </c>
      <c r="W7686" t="s">
        <v>4655</v>
      </c>
      <c r="X7686" s="2">
        <v>0</v>
      </c>
      <c r="Y7686">
        <v>20</v>
      </c>
      <c r="Z7686" t="s">
        <v>1604</v>
      </c>
      <c r="AA7686" s="3">
        <v>0.17481634020805401</v>
      </c>
      <c r="AB7686" t="s">
        <v>35855</v>
      </c>
      <c r="AC7686" t="s">
        <v>4562</v>
      </c>
      <c r="AD7686" t="s">
        <v>35854</v>
      </c>
      <c r="AE7686" t="s">
        <v>4655</v>
      </c>
      <c r="AF7686" t="s">
        <v>5201</v>
      </c>
      <c r="AG7686" t="s">
        <v>4564</v>
      </c>
      <c r="AH7686" t="s">
        <v>1605</v>
      </c>
      <c r="AI7686" t="s">
        <v>1576</v>
      </c>
      <c r="AJ7686" t="s">
        <v>5286</v>
      </c>
      <c r="AK7686" t="s">
        <v>35856</v>
      </c>
      <c r="AL7686" s="13" t="s">
        <v>1900</v>
      </c>
      <c r="AM7686" s="14">
        <v>1</v>
      </c>
      <c r="AN7686" s="15" t="s">
        <v>2042</v>
      </c>
    </row>
    <row r="7687" spans="1:40" x14ac:dyDescent="0.3">
      <c r="A7687" s="10" t="str">
        <f>HYPERLINK("http://www.washoecounty.gov/assessor/cama/?parid=528-141-28&amp;CardNumber=1","528-141-28")</f>
        <v>528-141-28</v>
      </c>
      <c r="B7687" t="s">
        <v>4655</v>
      </c>
      <c r="C7687" t="s">
        <v>35857</v>
      </c>
      <c r="D7687" s="1">
        <v>40301</v>
      </c>
      <c r="E7687" s="2">
        <v>1000000</v>
      </c>
      <c r="F7687" t="s">
        <v>3174</v>
      </c>
      <c r="G7687" s="17" t="str">
        <f>HYPERLINK("https://www.washoecounty.gov/assessor/cama/?command=sales&amp;parid=52814128","3877174")</f>
        <v>3877174</v>
      </c>
      <c r="H7687" t="s">
        <v>4170</v>
      </c>
      <c r="I7687">
        <v>2011</v>
      </c>
      <c r="J7687">
        <v>2011</v>
      </c>
      <c r="K7687" t="s">
        <v>4554</v>
      </c>
      <c r="L7687" t="s">
        <v>4555</v>
      </c>
      <c r="M7687" s="2">
        <v>1933</v>
      </c>
      <c r="N7687" t="s">
        <v>3147</v>
      </c>
      <c r="O7687">
        <v>3</v>
      </c>
      <c r="P7687">
        <v>2</v>
      </c>
      <c r="Q7687">
        <v>0</v>
      </c>
      <c r="R7687" t="s">
        <v>5281</v>
      </c>
      <c r="S7687" t="s">
        <v>4898</v>
      </c>
      <c r="T7687" t="s">
        <v>2704</v>
      </c>
      <c r="U7687" t="s">
        <v>4560</v>
      </c>
      <c r="V7687" s="2">
        <v>474</v>
      </c>
      <c r="W7687" t="s">
        <v>4655</v>
      </c>
      <c r="X7687" s="2">
        <v>0</v>
      </c>
      <c r="Y7687">
        <v>12</v>
      </c>
      <c r="Z7687" t="s">
        <v>1604</v>
      </c>
      <c r="AA7687" s="3">
        <v>0.17481634020805401</v>
      </c>
      <c r="AB7687" t="s">
        <v>35858</v>
      </c>
      <c r="AC7687" t="s">
        <v>4562</v>
      </c>
      <c r="AD7687" t="s">
        <v>35859</v>
      </c>
      <c r="AE7687" t="s">
        <v>4655</v>
      </c>
      <c r="AF7687" t="s">
        <v>4809</v>
      </c>
      <c r="AG7687" t="s">
        <v>4564</v>
      </c>
      <c r="AH7687" t="s">
        <v>1605</v>
      </c>
      <c r="AI7687" t="s">
        <v>1576</v>
      </c>
      <c r="AJ7687" t="s">
        <v>5286</v>
      </c>
      <c r="AK7687" t="s">
        <v>35860</v>
      </c>
      <c r="AL7687" s="13" t="s">
        <v>1900</v>
      </c>
      <c r="AM7687" s="14">
        <v>1</v>
      </c>
      <c r="AN7687" s="15" t="s">
        <v>2042</v>
      </c>
    </row>
    <row r="7688" spans="1:40" x14ac:dyDescent="0.3">
      <c r="A7688" s="10" t="str">
        <f>HYPERLINK("http://www.washoecounty.gov/assessor/cama/?parid=528-141-28&amp;CardNumber=1","528-141-28")</f>
        <v>528-141-28</v>
      </c>
      <c r="B7688" t="s">
        <v>4655</v>
      </c>
      <c r="C7688" t="s">
        <v>35857</v>
      </c>
      <c r="D7688" s="1">
        <v>40505</v>
      </c>
      <c r="E7688" s="2">
        <v>224337</v>
      </c>
      <c r="F7688" t="s">
        <v>4567</v>
      </c>
      <c r="G7688" s="17" t="str">
        <f>HYPERLINK("https://www.washoecounty.gov/assessor/cama/?command=sales&amp;parid=52814128","3946117")</f>
        <v>3946117</v>
      </c>
      <c r="H7688" t="s">
        <v>4170</v>
      </c>
      <c r="I7688">
        <v>2011</v>
      </c>
      <c r="J7688">
        <v>2011</v>
      </c>
      <c r="K7688" t="s">
        <v>4554</v>
      </c>
      <c r="L7688" t="s">
        <v>4555</v>
      </c>
      <c r="M7688" s="2">
        <v>1933</v>
      </c>
      <c r="N7688" t="s">
        <v>3147</v>
      </c>
      <c r="O7688">
        <v>3</v>
      </c>
      <c r="P7688">
        <v>2</v>
      </c>
      <c r="Q7688">
        <v>0</v>
      </c>
      <c r="R7688" t="s">
        <v>5281</v>
      </c>
      <c r="S7688" t="s">
        <v>4898</v>
      </c>
      <c r="T7688" t="s">
        <v>2704</v>
      </c>
      <c r="U7688" t="s">
        <v>4560</v>
      </c>
      <c r="V7688" s="2">
        <v>474</v>
      </c>
      <c r="W7688" t="s">
        <v>4655</v>
      </c>
      <c r="X7688" s="2">
        <v>0</v>
      </c>
      <c r="Y7688">
        <v>20</v>
      </c>
      <c r="Z7688" t="s">
        <v>1604</v>
      </c>
      <c r="AA7688" s="3">
        <v>0.17481634020805401</v>
      </c>
      <c r="AB7688" t="s">
        <v>35858</v>
      </c>
      <c r="AC7688" t="s">
        <v>4562</v>
      </c>
      <c r="AD7688" t="s">
        <v>35859</v>
      </c>
      <c r="AE7688" t="s">
        <v>4655</v>
      </c>
      <c r="AF7688" t="s">
        <v>4809</v>
      </c>
      <c r="AG7688" t="s">
        <v>4564</v>
      </c>
      <c r="AH7688" t="s">
        <v>1605</v>
      </c>
      <c r="AI7688" t="s">
        <v>1576</v>
      </c>
      <c r="AJ7688" t="s">
        <v>5286</v>
      </c>
      <c r="AK7688" t="s">
        <v>35860</v>
      </c>
      <c r="AL7688" s="13" t="s">
        <v>1900</v>
      </c>
      <c r="AM7688" s="14">
        <v>1</v>
      </c>
      <c r="AN7688" s="15" t="s">
        <v>2042</v>
      </c>
    </row>
    <row r="7689" spans="1:40" x14ac:dyDescent="0.3">
      <c r="A7689" s="10" t="str">
        <f>HYPERLINK("http://www.washoecounty.gov/assessor/cama/?parid=528-141-29&amp;CardNumber=1","528-141-29")</f>
        <v>528-141-29</v>
      </c>
      <c r="B7689" t="s">
        <v>4655</v>
      </c>
      <c r="C7689" t="s">
        <v>35861</v>
      </c>
      <c r="D7689" s="1">
        <v>40301</v>
      </c>
      <c r="E7689" s="2">
        <v>1000000</v>
      </c>
      <c r="F7689" t="s">
        <v>3174</v>
      </c>
      <c r="G7689" s="17" t="str">
        <f>HYPERLINK("https://www.washoecounty.gov/assessor/cama/?command=sales&amp;parid=52814129","3877174")</f>
        <v>3877174</v>
      </c>
      <c r="H7689" t="s">
        <v>4170</v>
      </c>
      <c r="I7689">
        <v>2011</v>
      </c>
      <c r="J7689">
        <v>2011</v>
      </c>
      <c r="K7689" t="s">
        <v>4554</v>
      </c>
      <c r="L7689" t="s">
        <v>3974</v>
      </c>
      <c r="M7689" s="2">
        <v>2313</v>
      </c>
      <c r="N7689" t="s">
        <v>3147</v>
      </c>
      <c r="O7689">
        <v>4</v>
      </c>
      <c r="P7689">
        <v>3</v>
      </c>
      <c r="Q7689">
        <v>0</v>
      </c>
      <c r="R7689" t="s">
        <v>5281</v>
      </c>
      <c r="S7689" t="s">
        <v>4898</v>
      </c>
      <c r="T7689" t="s">
        <v>2704</v>
      </c>
      <c r="U7689" t="s">
        <v>4560</v>
      </c>
      <c r="V7689" s="2">
        <v>642</v>
      </c>
      <c r="W7689" t="s">
        <v>4655</v>
      </c>
      <c r="X7689" s="2">
        <v>0</v>
      </c>
      <c r="Y7689">
        <v>12</v>
      </c>
      <c r="Z7689" t="s">
        <v>1604</v>
      </c>
      <c r="AA7689" s="3">
        <v>0.17481634020805401</v>
      </c>
      <c r="AB7689" t="s">
        <v>35862</v>
      </c>
      <c r="AC7689" t="s">
        <v>4562</v>
      </c>
      <c r="AD7689" t="s">
        <v>35861</v>
      </c>
      <c r="AE7689" t="s">
        <v>4655</v>
      </c>
      <c r="AF7689" t="s">
        <v>5201</v>
      </c>
      <c r="AG7689" t="s">
        <v>4564</v>
      </c>
      <c r="AH7689" t="s">
        <v>1605</v>
      </c>
      <c r="AI7689" t="s">
        <v>1576</v>
      </c>
      <c r="AJ7689" t="s">
        <v>5286</v>
      </c>
      <c r="AK7689" t="s">
        <v>35863</v>
      </c>
      <c r="AL7689" s="13" t="s">
        <v>1900</v>
      </c>
      <c r="AM7689">
        <v>1</v>
      </c>
      <c r="AN7689" s="15" t="s">
        <v>2042</v>
      </c>
    </row>
    <row r="7690" spans="1:40" x14ac:dyDescent="0.3">
      <c r="A7690" s="10" t="str">
        <f>HYPERLINK("http://www.washoecounty.gov/assessor/cama/?parid=528-141-29&amp;CardNumber=1","528-141-29")</f>
        <v>528-141-29</v>
      </c>
      <c r="B7690" t="s">
        <v>4655</v>
      </c>
      <c r="C7690" t="s">
        <v>35861</v>
      </c>
      <c r="D7690" s="1">
        <v>40542</v>
      </c>
      <c r="E7690" s="2">
        <v>224000</v>
      </c>
      <c r="F7690" t="s">
        <v>4567</v>
      </c>
      <c r="G7690" s="17" t="str">
        <f>HYPERLINK("https://www.washoecounty.gov/assessor/cama/?command=sales&amp;parid=52814129","3959282")</f>
        <v>3959282</v>
      </c>
      <c r="H7690" t="s">
        <v>4170</v>
      </c>
      <c r="I7690">
        <v>2011</v>
      </c>
      <c r="J7690">
        <v>2011</v>
      </c>
      <c r="K7690" t="s">
        <v>4554</v>
      </c>
      <c r="L7690" t="s">
        <v>3974</v>
      </c>
      <c r="M7690" s="2">
        <v>2313</v>
      </c>
      <c r="N7690" t="s">
        <v>3147</v>
      </c>
      <c r="O7690">
        <v>4</v>
      </c>
      <c r="P7690">
        <v>3</v>
      </c>
      <c r="Q7690">
        <v>0</v>
      </c>
      <c r="R7690" t="s">
        <v>5281</v>
      </c>
      <c r="S7690" t="s">
        <v>4898</v>
      </c>
      <c r="T7690" t="s">
        <v>2704</v>
      </c>
      <c r="U7690" t="s">
        <v>4560</v>
      </c>
      <c r="V7690" s="2">
        <v>642</v>
      </c>
      <c r="W7690" t="s">
        <v>4655</v>
      </c>
      <c r="X7690" s="2">
        <v>0</v>
      </c>
      <c r="Y7690">
        <v>20</v>
      </c>
      <c r="Z7690" t="s">
        <v>1604</v>
      </c>
      <c r="AA7690" s="3">
        <v>0.17481634020805401</v>
      </c>
      <c r="AB7690" t="s">
        <v>35862</v>
      </c>
      <c r="AC7690" t="s">
        <v>4562</v>
      </c>
      <c r="AD7690" t="s">
        <v>35861</v>
      </c>
      <c r="AE7690" t="s">
        <v>4655</v>
      </c>
      <c r="AF7690" t="s">
        <v>5201</v>
      </c>
      <c r="AG7690" t="s">
        <v>4564</v>
      </c>
      <c r="AH7690" t="s">
        <v>1605</v>
      </c>
      <c r="AI7690" t="s">
        <v>1576</v>
      </c>
      <c r="AJ7690" t="s">
        <v>5286</v>
      </c>
      <c r="AK7690" t="s">
        <v>35863</v>
      </c>
      <c r="AL7690" s="13" t="s">
        <v>1900</v>
      </c>
      <c r="AM7690">
        <v>1</v>
      </c>
      <c r="AN7690" s="15" t="s">
        <v>2042</v>
      </c>
    </row>
    <row r="7691" spans="1:40" x14ac:dyDescent="0.3">
      <c r="A7691" s="10" t="str">
        <f>HYPERLINK("http://www.washoecounty.gov/assessor/cama/?parid=528-142-01&amp;CardNumber=1","528-142-01")</f>
        <v>528-142-01</v>
      </c>
      <c r="B7691" t="s">
        <v>4655</v>
      </c>
      <c r="C7691" t="s">
        <v>2640</v>
      </c>
      <c r="D7691" s="1">
        <v>40301</v>
      </c>
      <c r="E7691" s="2">
        <v>1000000</v>
      </c>
      <c r="F7691" t="s">
        <v>3174</v>
      </c>
      <c r="G7691" s="17" t="str">
        <f>HYPERLINK("https://www.washoecounty.gov/assessor/cama/?command=sales&amp;parid=52814201","3877174")</f>
        <v>3877174</v>
      </c>
      <c r="H7691" t="s">
        <v>4170</v>
      </c>
      <c r="I7691">
        <v>2011</v>
      </c>
      <c r="J7691">
        <v>2011</v>
      </c>
      <c r="K7691" t="s">
        <v>4554</v>
      </c>
      <c r="L7691" t="s">
        <v>3974</v>
      </c>
      <c r="M7691" s="2">
        <v>2313</v>
      </c>
      <c r="N7691" t="s">
        <v>3147</v>
      </c>
      <c r="O7691">
        <v>4</v>
      </c>
      <c r="P7691">
        <v>3</v>
      </c>
      <c r="Q7691">
        <v>0</v>
      </c>
      <c r="R7691" t="s">
        <v>5281</v>
      </c>
      <c r="S7691" t="s">
        <v>4898</v>
      </c>
      <c r="T7691" t="s">
        <v>2704</v>
      </c>
      <c r="U7691" t="s">
        <v>4560</v>
      </c>
      <c r="V7691" s="2">
        <v>642</v>
      </c>
      <c r="W7691" t="s">
        <v>4655</v>
      </c>
      <c r="X7691" s="2">
        <v>0</v>
      </c>
      <c r="Y7691">
        <v>12</v>
      </c>
      <c r="Z7691" t="s">
        <v>1604</v>
      </c>
      <c r="AA7691" s="3">
        <v>0.18558309972286199</v>
      </c>
      <c r="AB7691" t="s">
        <v>4861</v>
      </c>
      <c r="AC7691" t="s">
        <v>4562</v>
      </c>
      <c r="AD7691" t="s">
        <v>4862</v>
      </c>
      <c r="AE7691" t="s">
        <v>4655</v>
      </c>
      <c r="AF7691" t="s">
        <v>4809</v>
      </c>
      <c r="AG7691" t="s">
        <v>4564</v>
      </c>
      <c r="AH7691" t="s">
        <v>1605</v>
      </c>
      <c r="AI7691" t="s">
        <v>1576</v>
      </c>
      <c r="AJ7691" t="s">
        <v>5286</v>
      </c>
      <c r="AK7691" t="s">
        <v>2641</v>
      </c>
      <c r="AL7691" s="13" t="s">
        <v>1900</v>
      </c>
      <c r="AM7691">
        <v>1</v>
      </c>
      <c r="AN7691" s="15" t="s">
        <v>2042</v>
      </c>
    </row>
    <row r="7692" spans="1:40" x14ac:dyDescent="0.3">
      <c r="A7692" s="10" t="str">
        <f>HYPERLINK("http://www.washoecounty.gov/assessor/cama/?parid=528-142-02&amp;CardNumber=1","528-142-02")</f>
        <v>528-142-02</v>
      </c>
      <c r="B7692" t="s">
        <v>4655</v>
      </c>
      <c r="C7692" t="s">
        <v>2642</v>
      </c>
      <c r="D7692" s="1">
        <v>40301</v>
      </c>
      <c r="E7692" s="2">
        <v>1000000</v>
      </c>
      <c r="F7692" t="s">
        <v>3174</v>
      </c>
      <c r="G7692" s="17" t="str">
        <f>HYPERLINK("https://www.washoecounty.gov/assessor/cama/?command=sales&amp;parid=52814202","3877174")</f>
        <v>3877174</v>
      </c>
      <c r="H7692" t="s">
        <v>4170</v>
      </c>
      <c r="I7692">
        <v>2011</v>
      </c>
      <c r="J7692">
        <v>2011</v>
      </c>
      <c r="K7692" t="s">
        <v>4554</v>
      </c>
      <c r="L7692" t="s">
        <v>4555</v>
      </c>
      <c r="M7692" s="2">
        <v>1697</v>
      </c>
      <c r="N7692" t="s">
        <v>3147</v>
      </c>
      <c r="O7692">
        <v>3</v>
      </c>
      <c r="P7692">
        <v>2</v>
      </c>
      <c r="Q7692">
        <v>0</v>
      </c>
      <c r="R7692" t="s">
        <v>5281</v>
      </c>
      <c r="S7692" t="s">
        <v>4898</v>
      </c>
      <c r="T7692" t="s">
        <v>2704</v>
      </c>
      <c r="U7692" t="s">
        <v>4560</v>
      </c>
      <c r="V7692" s="2">
        <v>454</v>
      </c>
      <c r="W7692" t="s">
        <v>4655</v>
      </c>
      <c r="X7692" s="2">
        <v>0</v>
      </c>
      <c r="Y7692">
        <v>12</v>
      </c>
      <c r="Z7692" t="s">
        <v>1604</v>
      </c>
      <c r="AA7692" s="3">
        <v>0.15948118269443501</v>
      </c>
      <c r="AB7692" t="s">
        <v>486</v>
      </c>
      <c r="AC7692" t="s">
        <v>4562</v>
      </c>
      <c r="AD7692" t="s">
        <v>487</v>
      </c>
      <c r="AE7692" t="s">
        <v>4655</v>
      </c>
      <c r="AF7692" t="s">
        <v>4809</v>
      </c>
      <c r="AG7692" t="s">
        <v>4564</v>
      </c>
      <c r="AH7692" t="s">
        <v>1605</v>
      </c>
      <c r="AI7692" t="s">
        <v>1576</v>
      </c>
      <c r="AJ7692" t="s">
        <v>5286</v>
      </c>
      <c r="AK7692" t="s">
        <v>2645</v>
      </c>
      <c r="AL7692" s="13" t="s">
        <v>1900</v>
      </c>
      <c r="AM7692" s="14">
        <v>1</v>
      </c>
      <c r="AN7692" s="15" t="s">
        <v>2042</v>
      </c>
    </row>
    <row r="7693" spans="1:40" x14ac:dyDescent="0.3">
      <c r="A7693" s="10" t="str">
        <f>HYPERLINK("http://www.washoecounty.gov/assessor/cama/?parid=528-142-03&amp;CardNumber=1","528-142-03")</f>
        <v>528-142-03</v>
      </c>
      <c r="B7693" t="s">
        <v>4655</v>
      </c>
      <c r="C7693" t="s">
        <v>2646</v>
      </c>
      <c r="D7693" s="1">
        <v>40301</v>
      </c>
      <c r="E7693" s="2">
        <v>1000000</v>
      </c>
      <c r="F7693" t="s">
        <v>3174</v>
      </c>
      <c r="G7693" s="17" t="str">
        <f>HYPERLINK("https://www.washoecounty.gov/assessor/cama/?command=sales&amp;parid=52814203","3877174")</f>
        <v>3877174</v>
      </c>
      <c r="H7693" t="s">
        <v>4170</v>
      </c>
      <c r="I7693">
        <v>2011</v>
      </c>
      <c r="J7693">
        <v>2011</v>
      </c>
      <c r="K7693" t="s">
        <v>4554</v>
      </c>
      <c r="L7693" t="s">
        <v>3974</v>
      </c>
      <c r="M7693" s="2">
        <v>2313</v>
      </c>
      <c r="N7693" t="s">
        <v>3147</v>
      </c>
      <c r="O7693">
        <v>4</v>
      </c>
      <c r="P7693">
        <v>3</v>
      </c>
      <c r="Q7693">
        <v>0</v>
      </c>
      <c r="R7693" t="s">
        <v>5281</v>
      </c>
      <c r="S7693" t="s">
        <v>4898</v>
      </c>
      <c r="T7693" t="s">
        <v>2704</v>
      </c>
      <c r="U7693" t="s">
        <v>4560</v>
      </c>
      <c r="V7693" s="2">
        <v>642</v>
      </c>
      <c r="W7693" t="s">
        <v>4655</v>
      </c>
      <c r="X7693" s="2">
        <v>0</v>
      </c>
      <c r="Y7693">
        <v>12</v>
      </c>
      <c r="Z7693" t="s">
        <v>1604</v>
      </c>
      <c r="AA7693" s="3">
        <v>0.15948118269443501</v>
      </c>
      <c r="AB7693" t="s">
        <v>488</v>
      </c>
      <c r="AC7693" t="s">
        <v>4562</v>
      </c>
      <c r="AD7693" t="s">
        <v>489</v>
      </c>
      <c r="AE7693" t="s">
        <v>4655</v>
      </c>
      <c r="AF7693" t="s">
        <v>4809</v>
      </c>
      <c r="AG7693" t="s">
        <v>4564</v>
      </c>
      <c r="AH7693" t="s">
        <v>1605</v>
      </c>
      <c r="AI7693" t="s">
        <v>1576</v>
      </c>
      <c r="AJ7693" t="s">
        <v>5286</v>
      </c>
      <c r="AK7693" t="s">
        <v>2647</v>
      </c>
      <c r="AL7693" s="13" t="s">
        <v>1900</v>
      </c>
      <c r="AM7693">
        <v>1</v>
      </c>
      <c r="AN7693" s="15" t="s">
        <v>2042</v>
      </c>
    </row>
    <row r="7694" spans="1:40" x14ac:dyDescent="0.3">
      <c r="A7694" s="10" t="str">
        <f>HYPERLINK("http://www.washoecounty.gov/assessor/cama/?parid=528-142-04&amp;CardNumber=1","528-142-04")</f>
        <v>528-142-04</v>
      </c>
      <c r="B7694" t="s">
        <v>4655</v>
      </c>
      <c r="C7694" t="s">
        <v>2648</v>
      </c>
      <c r="D7694" s="1">
        <v>40301</v>
      </c>
      <c r="E7694" s="2">
        <v>1000000</v>
      </c>
      <c r="F7694" t="s">
        <v>3174</v>
      </c>
      <c r="G7694" s="17" t="str">
        <f>HYPERLINK("https://www.washoecounty.gov/assessor/cama/?command=sales&amp;parid=52814204","3877174")</f>
        <v>3877174</v>
      </c>
      <c r="H7694" t="s">
        <v>4170</v>
      </c>
      <c r="I7694">
        <v>2011</v>
      </c>
      <c r="J7694">
        <v>2011</v>
      </c>
      <c r="K7694" t="s">
        <v>4554</v>
      </c>
      <c r="L7694" t="s">
        <v>3974</v>
      </c>
      <c r="M7694" s="2">
        <v>2124</v>
      </c>
      <c r="N7694" t="s">
        <v>3147</v>
      </c>
      <c r="O7694">
        <v>3</v>
      </c>
      <c r="P7694">
        <v>2</v>
      </c>
      <c r="Q7694">
        <v>1</v>
      </c>
      <c r="R7694" t="s">
        <v>5281</v>
      </c>
      <c r="S7694" t="s">
        <v>4898</v>
      </c>
      <c r="T7694" t="s">
        <v>2704</v>
      </c>
      <c r="U7694" t="s">
        <v>4560</v>
      </c>
      <c r="V7694" s="2">
        <v>380</v>
      </c>
      <c r="W7694" t="s">
        <v>4655</v>
      </c>
      <c r="X7694" s="2">
        <v>0</v>
      </c>
      <c r="Y7694">
        <v>12</v>
      </c>
      <c r="Z7694" t="s">
        <v>1604</v>
      </c>
      <c r="AA7694" s="3">
        <v>0.15948118269443501</v>
      </c>
      <c r="AB7694" t="s">
        <v>711</v>
      </c>
      <c r="AC7694" t="s">
        <v>4562</v>
      </c>
      <c r="AD7694" t="s">
        <v>2648</v>
      </c>
      <c r="AE7694" t="s">
        <v>4655</v>
      </c>
      <c r="AF7694" t="s">
        <v>5201</v>
      </c>
      <c r="AG7694" t="s">
        <v>4564</v>
      </c>
      <c r="AH7694" t="s">
        <v>1605</v>
      </c>
      <c r="AI7694" t="s">
        <v>1576</v>
      </c>
      <c r="AJ7694" t="s">
        <v>5286</v>
      </c>
      <c r="AK7694" t="s">
        <v>3992</v>
      </c>
      <c r="AL7694" s="13" t="s">
        <v>1900</v>
      </c>
      <c r="AM7694">
        <v>1</v>
      </c>
      <c r="AN7694" s="15" t="s">
        <v>2042</v>
      </c>
    </row>
    <row r="7695" spans="1:40" x14ac:dyDescent="0.3">
      <c r="A7695" s="10" t="str">
        <f>HYPERLINK("http://www.washoecounty.gov/assessor/cama/?parid=528-142-05&amp;CardNumber=1","528-142-05")</f>
        <v>528-142-05</v>
      </c>
      <c r="B7695" t="s">
        <v>4655</v>
      </c>
      <c r="C7695" t="s">
        <v>4009</v>
      </c>
      <c r="D7695" s="1">
        <v>40301</v>
      </c>
      <c r="E7695" s="2">
        <v>1000000</v>
      </c>
      <c r="F7695" t="s">
        <v>3174</v>
      </c>
      <c r="G7695" s="17" t="str">
        <f>HYPERLINK("https://www.washoecounty.gov/assessor/cama/?command=sales&amp;parid=52814205","3877174")</f>
        <v>3877174</v>
      </c>
      <c r="H7695" t="s">
        <v>4170</v>
      </c>
      <c r="I7695">
        <v>2011</v>
      </c>
      <c r="J7695">
        <v>2011</v>
      </c>
      <c r="K7695" t="s">
        <v>4554</v>
      </c>
      <c r="L7695" t="s">
        <v>4555</v>
      </c>
      <c r="M7695" s="2">
        <v>1933</v>
      </c>
      <c r="N7695" t="s">
        <v>3147</v>
      </c>
      <c r="O7695">
        <v>3</v>
      </c>
      <c r="P7695">
        <v>2</v>
      </c>
      <c r="Q7695">
        <v>0</v>
      </c>
      <c r="R7695" t="s">
        <v>5281</v>
      </c>
      <c r="S7695" t="s">
        <v>4898</v>
      </c>
      <c r="T7695" t="s">
        <v>2704</v>
      </c>
      <c r="U7695" t="s">
        <v>4560</v>
      </c>
      <c r="V7695" s="2">
        <v>474</v>
      </c>
      <c r="W7695" t="s">
        <v>4655</v>
      </c>
      <c r="X7695" s="2">
        <v>0</v>
      </c>
      <c r="Y7695">
        <v>12</v>
      </c>
      <c r="Z7695" t="s">
        <v>1604</v>
      </c>
      <c r="AA7695" s="3">
        <v>0.15948118269443501</v>
      </c>
      <c r="AB7695" t="s">
        <v>5671</v>
      </c>
      <c r="AC7695" t="s">
        <v>4562</v>
      </c>
      <c r="AD7695" t="s">
        <v>4009</v>
      </c>
      <c r="AE7695" t="s">
        <v>4655</v>
      </c>
      <c r="AF7695" t="s">
        <v>5201</v>
      </c>
      <c r="AG7695" t="s">
        <v>4564</v>
      </c>
      <c r="AH7695" t="s">
        <v>1605</v>
      </c>
      <c r="AI7695" t="s">
        <v>1576</v>
      </c>
      <c r="AJ7695" t="s">
        <v>5286</v>
      </c>
      <c r="AK7695" t="s">
        <v>4010</v>
      </c>
      <c r="AL7695" s="13" t="s">
        <v>1900</v>
      </c>
      <c r="AM7695" s="14">
        <v>1</v>
      </c>
      <c r="AN7695" s="15" t="s">
        <v>2042</v>
      </c>
    </row>
    <row r="7696" spans="1:40" x14ac:dyDescent="0.3">
      <c r="A7696" s="10" t="str">
        <f>HYPERLINK("http://www.washoecounty.gov/assessor/cama/?parid=528-142-06&amp;CardNumber=1","528-142-06")</f>
        <v>528-142-06</v>
      </c>
      <c r="B7696" t="s">
        <v>4655</v>
      </c>
      <c r="C7696" t="s">
        <v>4011</v>
      </c>
      <c r="D7696" s="1">
        <v>40301</v>
      </c>
      <c r="E7696" s="2">
        <v>1000000</v>
      </c>
      <c r="F7696" t="s">
        <v>3174</v>
      </c>
      <c r="G7696" s="17" t="str">
        <f>HYPERLINK("https://www.washoecounty.gov/assessor/cama/?command=sales&amp;parid=52814206","3877174")</f>
        <v>3877174</v>
      </c>
      <c r="H7696" t="s">
        <v>4170</v>
      </c>
      <c r="I7696">
        <v>2011</v>
      </c>
      <c r="J7696">
        <v>2011</v>
      </c>
      <c r="K7696" t="s">
        <v>4554</v>
      </c>
      <c r="L7696" t="s">
        <v>4555</v>
      </c>
      <c r="M7696" s="2">
        <v>1697</v>
      </c>
      <c r="N7696" t="s">
        <v>3147</v>
      </c>
      <c r="O7696">
        <v>3</v>
      </c>
      <c r="P7696">
        <v>2</v>
      </c>
      <c r="Q7696">
        <v>0</v>
      </c>
      <c r="R7696" t="s">
        <v>5281</v>
      </c>
      <c r="S7696" t="s">
        <v>4898</v>
      </c>
      <c r="T7696" t="s">
        <v>2704</v>
      </c>
      <c r="U7696" t="s">
        <v>4560</v>
      </c>
      <c r="V7696" s="2">
        <v>454</v>
      </c>
      <c r="W7696" t="s">
        <v>4655</v>
      </c>
      <c r="X7696" s="2">
        <v>0</v>
      </c>
      <c r="Y7696">
        <v>12</v>
      </c>
      <c r="Z7696" t="s">
        <v>1604</v>
      </c>
      <c r="AA7696" s="3">
        <v>0.15948118269443501</v>
      </c>
      <c r="AB7696" t="s">
        <v>1576</v>
      </c>
      <c r="AC7696" t="s">
        <v>4562</v>
      </c>
      <c r="AD7696" t="s">
        <v>5285</v>
      </c>
      <c r="AE7696" t="s">
        <v>4655</v>
      </c>
      <c r="AF7696" t="s">
        <v>4563</v>
      </c>
      <c r="AG7696" t="s">
        <v>4564</v>
      </c>
      <c r="AH7696" t="s">
        <v>5197</v>
      </c>
      <c r="AI7696" t="s">
        <v>1576</v>
      </c>
      <c r="AJ7696" t="s">
        <v>5286</v>
      </c>
      <c r="AK7696" t="s">
        <v>4012</v>
      </c>
      <c r="AL7696" s="13" t="s">
        <v>1900</v>
      </c>
      <c r="AM7696">
        <v>1</v>
      </c>
      <c r="AN7696" s="15" t="s">
        <v>2042</v>
      </c>
    </row>
    <row r="7697" spans="1:40" x14ac:dyDescent="0.3">
      <c r="A7697" s="10" t="str">
        <f>HYPERLINK("http://www.washoecounty.gov/assessor/cama/?parid=528-142-07&amp;CardNumber=1","528-142-07")</f>
        <v>528-142-07</v>
      </c>
      <c r="B7697" t="s">
        <v>4655</v>
      </c>
      <c r="C7697" t="s">
        <v>4013</v>
      </c>
      <c r="D7697" s="1">
        <v>40301</v>
      </c>
      <c r="E7697" s="2">
        <v>1000000</v>
      </c>
      <c r="F7697" t="s">
        <v>3174</v>
      </c>
      <c r="G7697" s="17" t="str">
        <f>HYPERLINK("https://www.washoecounty.gov/assessor/cama/?command=sales&amp;parid=52814207","3877174")</f>
        <v>3877174</v>
      </c>
      <c r="H7697" t="s">
        <v>4170</v>
      </c>
      <c r="I7697">
        <v>2011</v>
      </c>
      <c r="J7697">
        <v>2011</v>
      </c>
      <c r="K7697" t="s">
        <v>4554</v>
      </c>
      <c r="L7697" t="s">
        <v>3974</v>
      </c>
      <c r="M7697" s="2">
        <v>2124</v>
      </c>
      <c r="N7697" t="s">
        <v>3147</v>
      </c>
      <c r="O7697">
        <v>3</v>
      </c>
      <c r="P7697">
        <v>2</v>
      </c>
      <c r="Q7697">
        <v>1</v>
      </c>
      <c r="R7697" t="s">
        <v>5281</v>
      </c>
      <c r="S7697" t="s">
        <v>4898</v>
      </c>
      <c r="T7697" t="s">
        <v>2704</v>
      </c>
      <c r="U7697" t="s">
        <v>4560</v>
      </c>
      <c r="V7697" s="2">
        <v>380</v>
      </c>
      <c r="W7697" t="s">
        <v>4655</v>
      </c>
      <c r="X7697" s="2">
        <v>0</v>
      </c>
      <c r="Y7697">
        <v>12</v>
      </c>
      <c r="Z7697" t="s">
        <v>1604</v>
      </c>
      <c r="AA7697" s="3">
        <v>0.15948118269443501</v>
      </c>
      <c r="AB7697" t="s">
        <v>1576</v>
      </c>
      <c r="AC7697" t="s">
        <v>4562</v>
      </c>
      <c r="AD7697" t="s">
        <v>5285</v>
      </c>
      <c r="AE7697" t="s">
        <v>4655</v>
      </c>
      <c r="AF7697" t="s">
        <v>4563</v>
      </c>
      <c r="AG7697" t="s">
        <v>4564</v>
      </c>
      <c r="AH7697" t="s">
        <v>5197</v>
      </c>
      <c r="AI7697" t="s">
        <v>1576</v>
      </c>
      <c r="AJ7697" t="s">
        <v>5286</v>
      </c>
      <c r="AK7697" t="s">
        <v>4339</v>
      </c>
      <c r="AL7697" s="13" t="s">
        <v>1900</v>
      </c>
      <c r="AM7697">
        <v>1</v>
      </c>
      <c r="AN7697" s="15" t="s">
        <v>2042</v>
      </c>
    </row>
    <row r="7698" spans="1:40" x14ac:dyDescent="0.3">
      <c r="A7698" s="10" t="str">
        <f>HYPERLINK("http://www.washoecounty.gov/assessor/cama/?parid=528-142-08&amp;CardNumber=1","528-142-08")</f>
        <v>528-142-08</v>
      </c>
      <c r="B7698" t="s">
        <v>4655</v>
      </c>
      <c r="D7698" s="1">
        <v>40301</v>
      </c>
      <c r="E7698" s="2">
        <v>1000000</v>
      </c>
      <c r="F7698" t="s">
        <v>3174</v>
      </c>
      <c r="G7698" s="17" t="str">
        <f>HYPERLINK("https://www.washoecounty.gov/assessor/cama/?command=sales&amp;parid=01044219","NOT AVAILABLE ")</f>
        <v xml:space="preserve">NOT AVAILABLE </v>
      </c>
      <c r="H7698" t="s">
        <v>4170</v>
      </c>
      <c r="I7698">
        <v>2011</v>
      </c>
      <c r="J7698">
        <v>2011</v>
      </c>
      <c r="K7698" t="s">
        <v>4554</v>
      </c>
      <c r="L7698" t="s">
        <v>3974</v>
      </c>
      <c r="M7698" s="2">
        <v>2313</v>
      </c>
      <c r="N7698" t="s">
        <v>3147</v>
      </c>
      <c r="O7698">
        <v>4</v>
      </c>
      <c r="P7698">
        <v>3</v>
      </c>
      <c r="Q7698">
        <v>0</v>
      </c>
      <c r="R7698" t="s">
        <v>5281</v>
      </c>
      <c r="S7698" t="s">
        <v>4898</v>
      </c>
      <c r="T7698" t="s">
        <v>2704</v>
      </c>
      <c r="U7698" t="s">
        <v>4560</v>
      </c>
      <c r="V7698" s="2">
        <v>642</v>
      </c>
      <c r="W7698" t="s">
        <v>4655</v>
      </c>
      <c r="X7698" s="2">
        <v>0</v>
      </c>
      <c r="Y7698">
        <v>12</v>
      </c>
      <c r="Z7698" t="s">
        <v>1604</v>
      </c>
      <c r="AA7698" s="3">
        <v>0.26301652193069502</v>
      </c>
      <c r="AB7698" t="s">
        <v>8865</v>
      </c>
      <c r="AC7698" t="s">
        <v>4562</v>
      </c>
      <c r="AD7698" t="s">
        <v>283</v>
      </c>
      <c r="AE7698" t="s">
        <v>283</v>
      </c>
      <c r="AF7698" t="s">
        <v>283</v>
      </c>
      <c r="AG7698" t="s">
        <v>4564</v>
      </c>
      <c r="AH7698" t="s">
        <v>3101</v>
      </c>
      <c r="AI7698" t="s">
        <v>8865</v>
      </c>
      <c r="AJ7698" t="s">
        <v>5286</v>
      </c>
      <c r="AK7698" t="s">
        <v>8865</v>
      </c>
      <c r="AL7698" s="13" t="s">
        <v>1900</v>
      </c>
      <c r="AM7698">
        <v>1</v>
      </c>
      <c r="AN7698" s="15" t="s">
        <v>2042</v>
      </c>
    </row>
    <row r="7699" spans="1:40" x14ac:dyDescent="0.3">
      <c r="A7699" s="10" t="str">
        <f>HYPERLINK("http://www.washoecounty.gov/assessor/cama/?parid=528-142-09&amp;CardNumber=1","528-142-09")</f>
        <v>528-142-09</v>
      </c>
      <c r="B7699" t="s">
        <v>4655</v>
      </c>
      <c r="C7699" t="s">
        <v>4340</v>
      </c>
      <c r="D7699" s="1">
        <v>40301</v>
      </c>
      <c r="E7699" s="2">
        <v>1000000</v>
      </c>
      <c r="F7699" t="s">
        <v>3174</v>
      </c>
      <c r="G7699" s="17" t="str">
        <f>HYPERLINK("https://www.washoecounty.gov/assessor/cama/?command=sales&amp;parid=52814209","3877174")</f>
        <v>3877174</v>
      </c>
      <c r="H7699" t="s">
        <v>4170</v>
      </c>
      <c r="I7699">
        <v>0</v>
      </c>
      <c r="J7699">
        <v>0</v>
      </c>
      <c r="K7699" t="s">
        <v>4655</v>
      </c>
      <c r="L7699" t="s">
        <v>4655</v>
      </c>
      <c r="M7699" s="2">
        <v>0</v>
      </c>
      <c r="N7699" t="s">
        <v>4655</v>
      </c>
      <c r="O7699">
        <v>0</v>
      </c>
      <c r="P7699">
        <v>0</v>
      </c>
      <c r="Q7699">
        <v>0</v>
      </c>
      <c r="R7699" t="s">
        <v>4655</v>
      </c>
      <c r="S7699" t="s">
        <v>4655</v>
      </c>
      <c r="T7699" t="s">
        <v>4655</v>
      </c>
      <c r="U7699" t="s">
        <v>4655</v>
      </c>
      <c r="V7699" s="2">
        <v>0</v>
      </c>
      <c r="W7699" t="s">
        <v>4655</v>
      </c>
      <c r="X7699" s="2">
        <v>0</v>
      </c>
      <c r="Y7699">
        <v>12</v>
      </c>
      <c r="Z7699" t="s">
        <v>1604</v>
      </c>
      <c r="AA7699" s="3">
        <v>0.25022956728935197</v>
      </c>
      <c r="AB7699" t="s">
        <v>1576</v>
      </c>
      <c r="AC7699" t="s">
        <v>4562</v>
      </c>
      <c r="AD7699" t="s">
        <v>5285</v>
      </c>
      <c r="AE7699" t="s">
        <v>4655</v>
      </c>
      <c r="AF7699" t="s">
        <v>4563</v>
      </c>
      <c r="AG7699" t="s">
        <v>4564</v>
      </c>
      <c r="AH7699" t="s">
        <v>5197</v>
      </c>
      <c r="AI7699" t="s">
        <v>1576</v>
      </c>
      <c r="AJ7699" t="s">
        <v>5286</v>
      </c>
      <c r="AK7699" t="s">
        <v>4341</v>
      </c>
      <c r="AL7699" s="13" t="s">
        <v>1900</v>
      </c>
      <c r="AM7699">
        <v>0</v>
      </c>
      <c r="AN7699" s="15" t="s">
        <v>2042</v>
      </c>
    </row>
    <row r="7700" spans="1:40" x14ac:dyDescent="0.3">
      <c r="A7700" s="10" t="str">
        <f>HYPERLINK("http://www.washoecounty.gov/assessor/cama/?parid=528-145-01&amp;CardNumber=1","528-145-01")</f>
        <v>528-145-01</v>
      </c>
      <c r="B7700" t="s">
        <v>4655</v>
      </c>
      <c r="D7700" s="1">
        <v>40368</v>
      </c>
      <c r="E7700" s="2">
        <v>190437</v>
      </c>
      <c r="F7700" t="s">
        <v>4553</v>
      </c>
      <c r="G7700" s="17" t="str">
        <f>HYPERLINK("https://www.washoecounty.gov/assessor/cama/?command=sales&amp;parid=01044219","NOT AVAILABLE ")</f>
        <v xml:space="preserve">NOT AVAILABLE </v>
      </c>
      <c r="H7700" t="s">
        <v>4170</v>
      </c>
      <c r="I7700">
        <v>2006</v>
      </c>
      <c r="J7700">
        <v>2006</v>
      </c>
      <c r="K7700" t="s">
        <v>4554</v>
      </c>
      <c r="L7700" t="s">
        <v>3974</v>
      </c>
      <c r="M7700" s="2">
        <v>2560</v>
      </c>
      <c r="N7700" t="s">
        <v>3147</v>
      </c>
      <c r="O7700">
        <v>4</v>
      </c>
      <c r="P7700">
        <v>3</v>
      </c>
      <c r="Q7700">
        <v>0</v>
      </c>
      <c r="R7700" t="s">
        <v>5281</v>
      </c>
      <c r="S7700" t="s">
        <v>4898</v>
      </c>
      <c r="T7700" t="s">
        <v>2704</v>
      </c>
      <c r="U7700" t="s">
        <v>4560</v>
      </c>
      <c r="V7700" s="2">
        <v>598</v>
      </c>
      <c r="W7700" t="s">
        <v>4655</v>
      </c>
      <c r="X7700" s="2">
        <v>0</v>
      </c>
      <c r="Y7700">
        <v>20</v>
      </c>
      <c r="Z7700" t="s">
        <v>1604</v>
      </c>
      <c r="AA7700" s="3">
        <v>0.19343434274196625</v>
      </c>
      <c r="AB7700" t="s">
        <v>8865</v>
      </c>
      <c r="AC7700" t="s">
        <v>4562</v>
      </c>
      <c r="AD7700" t="s">
        <v>283</v>
      </c>
      <c r="AE7700" t="s">
        <v>283</v>
      </c>
      <c r="AF7700" t="s">
        <v>283</v>
      </c>
      <c r="AG7700" t="s">
        <v>4564</v>
      </c>
      <c r="AH7700" t="s">
        <v>3101</v>
      </c>
      <c r="AI7700" t="s">
        <v>8865</v>
      </c>
      <c r="AJ7700" t="s">
        <v>5286</v>
      </c>
      <c r="AK7700" t="s">
        <v>8865</v>
      </c>
      <c r="AL7700" s="13" t="s">
        <v>1900</v>
      </c>
      <c r="AM7700" s="14">
        <v>1</v>
      </c>
      <c r="AN7700" s="15" t="s">
        <v>2042</v>
      </c>
    </row>
    <row r="7701" spans="1:40" x14ac:dyDescent="0.3">
      <c r="A7701" s="10" t="str">
        <f>HYPERLINK("http://www.washoecounty.gov/assessor/cama/?parid=528-151-01&amp;CardNumber=1","528-151-01")</f>
        <v>528-151-01</v>
      </c>
      <c r="B7701" t="s">
        <v>4655</v>
      </c>
      <c r="C7701" t="s">
        <v>35864</v>
      </c>
      <c r="D7701" s="1">
        <v>40512</v>
      </c>
      <c r="E7701" s="2">
        <v>189000</v>
      </c>
      <c r="F7701" t="s">
        <v>4567</v>
      </c>
      <c r="G7701" s="17" t="str">
        <f>HYPERLINK("https://www.washoecounty.gov/assessor/cama/?command=sales&amp;parid=52815101","3947800")</f>
        <v>3947800</v>
      </c>
      <c r="H7701" t="s">
        <v>2040</v>
      </c>
      <c r="I7701">
        <v>2006</v>
      </c>
      <c r="J7701">
        <v>2006</v>
      </c>
      <c r="K7701" t="s">
        <v>4554</v>
      </c>
      <c r="L7701" t="s">
        <v>3974</v>
      </c>
      <c r="M7701" s="2">
        <v>2330</v>
      </c>
      <c r="N7701" t="s">
        <v>3147</v>
      </c>
      <c r="O7701">
        <v>4</v>
      </c>
      <c r="P7701">
        <v>2</v>
      </c>
      <c r="Q7701">
        <v>1</v>
      </c>
      <c r="R7701" t="s">
        <v>5281</v>
      </c>
      <c r="S7701" t="s">
        <v>4898</v>
      </c>
      <c r="T7701" t="s">
        <v>2704</v>
      </c>
      <c r="U7701" t="s">
        <v>5631</v>
      </c>
      <c r="V7701" s="2">
        <v>525</v>
      </c>
      <c r="W7701" t="s">
        <v>4655</v>
      </c>
      <c r="X7701" s="2">
        <v>0</v>
      </c>
      <c r="Y7701">
        <v>20</v>
      </c>
      <c r="Z7701" t="s">
        <v>1604</v>
      </c>
      <c r="AA7701" s="3">
        <v>0.176721766591072</v>
      </c>
      <c r="AB7701" t="s">
        <v>35865</v>
      </c>
      <c r="AC7701" t="s">
        <v>4562</v>
      </c>
      <c r="AD7701" t="s">
        <v>35864</v>
      </c>
      <c r="AE7701" t="s">
        <v>4655</v>
      </c>
      <c r="AF7701" t="s">
        <v>5201</v>
      </c>
      <c r="AG7701" t="s">
        <v>4564</v>
      </c>
      <c r="AH7701" t="s">
        <v>1605</v>
      </c>
      <c r="AI7701" t="s">
        <v>35866</v>
      </c>
      <c r="AJ7701" t="s">
        <v>2041</v>
      </c>
      <c r="AK7701" t="s">
        <v>35867</v>
      </c>
      <c r="AL7701" s="13" t="s">
        <v>1900</v>
      </c>
      <c r="AM7701">
        <v>1</v>
      </c>
      <c r="AN7701" s="15" t="s">
        <v>2042</v>
      </c>
    </row>
    <row r="7702" spans="1:40" x14ac:dyDescent="0.3">
      <c r="A7702" s="10" t="str">
        <f>HYPERLINK("http://www.washoecounty.gov/assessor/cama/?parid=528-151-09&amp;CardNumber=1","528-151-09")</f>
        <v>528-151-09</v>
      </c>
      <c r="B7702" t="s">
        <v>4655</v>
      </c>
      <c r="C7702" t="s">
        <v>35868</v>
      </c>
      <c r="D7702" s="1">
        <v>40519</v>
      </c>
      <c r="E7702" s="2">
        <v>190000</v>
      </c>
      <c r="F7702" t="s">
        <v>4553</v>
      </c>
      <c r="G7702" s="17" t="str">
        <f>HYPERLINK("https://www.washoecounty.gov/assessor/cama/?command=sales&amp;parid=52815109","3950007")</f>
        <v>3950007</v>
      </c>
      <c r="H7702" t="s">
        <v>2040</v>
      </c>
      <c r="I7702">
        <v>2006</v>
      </c>
      <c r="J7702">
        <v>2006</v>
      </c>
      <c r="K7702" t="s">
        <v>4554</v>
      </c>
      <c r="L7702" t="s">
        <v>3974</v>
      </c>
      <c r="M7702" s="2">
        <v>2330</v>
      </c>
      <c r="N7702" t="s">
        <v>3147</v>
      </c>
      <c r="O7702">
        <v>4</v>
      </c>
      <c r="P7702">
        <v>2</v>
      </c>
      <c r="Q7702">
        <v>1</v>
      </c>
      <c r="R7702" t="s">
        <v>5281</v>
      </c>
      <c r="S7702" t="s">
        <v>4898</v>
      </c>
      <c r="T7702" t="s">
        <v>2704</v>
      </c>
      <c r="U7702" t="s">
        <v>5631</v>
      </c>
      <c r="V7702" s="2">
        <v>525</v>
      </c>
      <c r="W7702" t="s">
        <v>4655</v>
      </c>
      <c r="X7702" s="2">
        <v>0</v>
      </c>
      <c r="Y7702">
        <v>20</v>
      </c>
      <c r="Z7702" t="s">
        <v>1604</v>
      </c>
      <c r="AA7702" s="3">
        <v>0.17499999701976801</v>
      </c>
      <c r="AB7702" t="s">
        <v>35869</v>
      </c>
      <c r="AC7702" t="s">
        <v>4575</v>
      </c>
      <c r="AD7702" t="s">
        <v>35870</v>
      </c>
      <c r="AE7702" t="s">
        <v>4655</v>
      </c>
      <c r="AF7702" t="s">
        <v>5201</v>
      </c>
      <c r="AG7702" t="s">
        <v>4564</v>
      </c>
      <c r="AH7702" t="s">
        <v>1605</v>
      </c>
      <c r="AI7702" t="s">
        <v>4585</v>
      </c>
      <c r="AJ7702" t="s">
        <v>2041</v>
      </c>
      <c r="AK7702" t="s">
        <v>35871</v>
      </c>
      <c r="AL7702" s="13" t="s">
        <v>1900</v>
      </c>
      <c r="AM7702">
        <v>1</v>
      </c>
      <c r="AN7702" s="15" t="s">
        <v>2042</v>
      </c>
    </row>
    <row r="7703" spans="1:40" x14ac:dyDescent="0.3">
      <c r="A7703" s="10" t="str">
        <f>HYPERLINK("http://www.washoecounty.gov/assessor/cama/?parid=528-151-17&amp;CardNumber=1","528-151-17")</f>
        <v>528-151-17</v>
      </c>
      <c r="B7703" t="s">
        <v>4655</v>
      </c>
      <c r="C7703" t="s">
        <v>35872</v>
      </c>
      <c r="D7703" s="1">
        <v>40525</v>
      </c>
      <c r="E7703" s="2">
        <v>200000</v>
      </c>
      <c r="F7703" t="s">
        <v>4553</v>
      </c>
      <c r="G7703" s="17" t="str">
        <f>HYPERLINK("https://www.washoecounty.gov/assessor/cama/?command=sales&amp;parid=52815117","3952692")</f>
        <v>3952692</v>
      </c>
      <c r="H7703" t="s">
        <v>2040</v>
      </c>
      <c r="I7703">
        <v>2007</v>
      </c>
      <c r="J7703">
        <v>2007</v>
      </c>
      <c r="K7703" t="s">
        <v>4554</v>
      </c>
      <c r="L7703" t="s">
        <v>3974</v>
      </c>
      <c r="M7703" s="2">
        <v>2484</v>
      </c>
      <c r="N7703" t="s">
        <v>3147</v>
      </c>
      <c r="O7703">
        <v>4</v>
      </c>
      <c r="P7703">
        <v>2</v>
      </c>
      <c r="Q7703">
        <v>1</v>
      </c>
      <c r="R7703" t="s">
        <v>5281</v>
      </c>
      <c r="S7703" t="s">
        <v>4898</v>
      </c>
      <c r="T7703" t="s">
        <v>2704</v>
      </c>
      <c r="U7703" t="s">
        <v>5631</v>
      </c>
      <c r="V7703" s="2">
        <v>742</v>
      </c>
      <c r="W7703" t="s">
        <v>4655</v>
      </c>
      <c r="X7703" s="2">
        <v>0</v>
      </c>
      <c r="Y7703">
        <v>20</v>
      </c>
      <c r="Z7703" t="s">
        <v>1604</v>
      </c>
      <c r="AA7703" s="3">
        <v>0.14873737096786499</v>
      </c>
      <c r="AB7703" t="s">
        <v>35873</v>
      </c>
      <c r="AC7703" t="s">
        <v>4562</v>
      </c>
      <c r="AD7703" t="s">
        <v>35874</v>
      </c>
      <c r="AE7703" t="s">
        <v>4655</v>
      </c>
      <c r="AF7703" t="s">
        <v>35875</v>
      </c>
      <c r="AG7703" t="s">
        <v>2590</v>
      </c>
      <c r="AH7703">
        <v>84095</v>
      </c>
      <c r="AI7703" t="s">
        <v>4655</v>
      </c>
      <c r="AJ7703" t="s">
        <v>2041</v>
      </c>
      <c r="AK7703" t="s">
        <v>35876</v>
      </c>
      <c r="AL7703" s="13" t="s">
        <v>1900</v>
      </c>
      <c r="AM7703" s="14">
        <v>1</v>
      </c>
      <c r="AN7703" s="15" t="s">
        <v>2042</v>
      </c>
    </row>
    <row r="7704" spans="1:40" x14ac:dyDescent="0.3">
      <c r="A7704" s="10" t="str">
        <f>HYPERLINK("http://www.washoecounty.gov/assessor/cama/?parid=528-153-02&amp;CardNumber=1","528-153-02")</f>
        <v>528-153-02</v>
      </c>
      <c r="B7704" t="s">
        <v>4655</v>
      </c>
      <c r="C7704" t="s">
        <v>35877</v>
      </c>
      <c r="D7704" s="1">
        <v>40182</v>
      </c>
      <c r="E7704" s="2">
        <v>215000</v>
      </c>
      <c r="F7704" t="s">
        <v>4553</v>
      </c>
      <c r="G7704" s="17" t="str">
        <f>HYPERLINK("https://www.washoecounty.gov/assessor/cama/?command=sales&amp;parid=52815302","3836173")</f>
        <v>3836173</v>
      </c>
      <c r="H7704" t="s">
        <v>2040</v>
      </c>
      <c r="I7704">
        <v>2006</v>
      </c>
      <c r="J7704">
        <v>2006</v>
      </c>
      <c r="K7704" t="s">
        <v>4554</v>
      </c>
      <c r="L7704" t="s">
        <v>3974</v>
      </c>
      <c r="M7704" s="2">
        <v>2330</v>
      </c>
      <c r="N7704" t="s">
        <v>3147</v>
      </c>
      <c r="O7704">
        <v>4</v>
      </c>
      <c r="P7704">
        <v>2</v>
      </c>
      <c r="Q7704">
        <v>1</v>
      </c>
      <c r="R7704" t="s">
        <v>5281</v>
      </c>
      <c r="S7704" t="s">
        <v>4898</v>
      </c>
      <c r="T7704" t="s">
        <v>2704</v>
      </c>
      <c r="U7704" t="s">
        <v>5631</v>
      </c>
      <c r="V7704" s="2">
        <v>525</v>
      </c>
      <c r="W7704" t="s">
        <v>4655</v>
      </c>
      <c r="X7704" s="2">
        <v>0</v>
      </c>
      <c r="Y7704">
        <v>20</v>
      </c>
      <c r="Z7704" t="s">
        <v>1604</v>
      </c>
      <c r="AA7704" s="3">
        <v>0.137741044163704</v>
      </c>
      <c r="AB7704" t="s">
        <v>35878</v>
      </c>
      <c r="AC7704" t="s">
        <v>4575</v>
      </c>
      <c r="AD7704" t="s">
        <v>35879</v>
      </c>
      <c r="AE7704" t="s">
        <v>4655</v>
      </c>
      <c r="AF7704" t="s">
        <v>5643</v>
      </c>
      <c r="AG7704" t="s">
        <v>4584</v>
      </c>
      <c r="AH7704" t="s">
        <v>3090</v>
      </c>
      <c r="AI7704" t="s">
        <v>35880</v>
      </c>
      <c r="AJ7704" t="s">
        <v>2041</v>
      </c>
      <c r="AK7704" t="s">
        <v>35881</v>
      </c>
      <c r="AL7704" s="13" t="s">
        <v>1900</v>
      </c>
      <c r="AM7704" s="14">
        <v>1</v>
      </c>
      <c r="AN7704" s="15" t="s">
        <v>2042</v>
      </c>
    </row>
    <row r="7705" spans="1:40" x14ac:dyDescent="0.3">
      <c r="A7705" s="10" t="str">
        <f>HYPERLINK("http://www.washoecounty.gov/assessor/cama/?parid=528-153-08&amp;CardNumber=1","528-153-08")</f>
        <v>528-153-08</v>
      </c>
      <c r="B7705" t="s">
        <v>4655</v>
      </c>
      <c r="C7705" t="s">
        <v>35882</v>
      </c>
      <c r="D7705" s="1">
        <v>40319</v>
      </c>
      <c r="E7705" s="2">
        <v>250000</v>
      </c>
      <c r="F7705" t="s">
        <v>4553</v>
      </c>
      <c r="G7705" s="17" t="str">
        <f>HYPERLINK("https://www.washoecounty.gov/assessor/cama/?command=sales&amp;parid=52815308","3883798")</f>
        <v>3883798</v>
      </c>
      <c r="H7705" t="s">
        <v>2040</v>
      </c>
      <c r="I7705">
        <v>2006</v>
      </c>
      <c r="J7705">
        <v>2006</v>
      </c>
      <c r="K7705" t="s">
        <v>4554</v>
      </c>
      <c r="L7705" t="s">
        <v>3974</v>
      </c>
      <c r="M7705" s="2">
        <v>2484</v>
      </c>
      <c r="N7705" t="s">
        <v>3147</v>
      </c>
      <c r="O7705">
        <v>4</v>
      </c>
      <c r="P7705">
        <v>2</v>
      </c>
      <c r="Q7705">
        <v>1</v>
      </c>
      <c r="R7705" t="s">
        <v>5281</v>
      </c>
      <c r="S7705" t="s">
        <v>4898</v>
      </c>
      <c r="T7705" t="s">
        <v>2704</v>
      </c>
      <c r="U7705" t="s">
        <v>5631</v>
      </c>
      <c r="V7705" s="2">
        <v>742</v>
      </c>
      <c r="W7705" t="s">
        <v>4655</v>
      </c>
      <c r="X7705" s="2">
        <v>0</v>
      </c>
      <c r="Y7705">
        <v>20</v>
      </c>
      <c r="Z7705" t="s">
        <v>1604</v>
      </c>
      <c r="AA7705" s="3">
        <v>0.32337006926536599</v>
      </c>
      <c r="AB7705" t="s">
        <v>35883</v>
      </c>
      <c r="AC7705" t="s">
        <v>4562</v>
      </c>
      <c r="AD7705" t="s">
        <v>35882</v>
      </c>
      <c r="AE7705" t="s">
        <v>4655</v>
      </c>
      <c r="AF7705" t="s">
        <v>5201</v>
      </c>
      <c r="AG7705" t="s">
        <v>4564</v>
      </c>
      <c r="AH7705" t="s">
        <v>1605</v>
      </c>
      <c r="AI7705" t="s">
        <v>4655</v>
      </c>
      <c r="AJ7705" t="s">
        <v>2041</v>
      </c>
      <c r="AK7705" t="s">
        <v>35884</v>
      </c>
      <c r="AL7705" s="13" t="s">
        <v>1900</v>
      </c>
      <c r="AM7705">
        <v>1</v>
      </c>
      <c r="AN7705" s="15" t="s">
        <v>2042</v>
      </c>
    </row>
    <row r="7706" spans="1:40" x14ac:dyDescent="0.3">
      <c r="A7706" s="10" t="str">
        <f>HYPERLINK("http://www.washoecounty.gov/assessor/cama/?parid=528-161-01&amp;CardNumber=1","528-161-01")</f>
        <v>528-161-01</v>
      </c>
      <c r="B7706" t="s">
        <v>4655</v>
      </c>
      <c r="C7706" t="s">
        <v>35885</v>
      </c>
      <c r="D7706" s="1">
        <v>40399</v>
      </c>
      <c r="E7706" s="2">
        <v>250000</v>
      </c>
      <c r="F7706" t="s">
        <v>4553</v>
      </c>
      <c r="G7706" s="17" t="str">
        <f>HYPERLINK("https://www.washoecounty.gov/assessor/cama/?command=sales&amp;parid=52816101","3909903")</f>
        <v>3909903</v>
      </c>
      <c r="H7706" t="s">
        <v>3158</v>
      </c>
      <c r="I7706">
        <v>2006</v>
      </c>
      <c r="J7706">
        <v>2006</v>
      </c>
      <c r="K7706" t="s">
        <v>4554</v>
      </c>
      <c r="L7706" t="s">
        <v>3974</v>
      </c>
      <c r="M7706" s="2">
        <v>2560</v>
      </c>
      <c r="N7706" t="s">
        <v>3147</v>
      </c>
      <c r="O7706">
        <v>5</v>
      </c>
      <c r="P7706">
        <v>3</v>
      </c>
      <c r="Q7706">
        <v>0</v>
      </c>
      <c r="R7706" t="s">
        <v>5281</v>
      </c>
      <c r="S7706" t="s">
        <v>4898</v>
      </c>
      <c r="T7706" t="s">
        <v>2704</v>
      </c>
      <c r="U7706" t="s">
        <v>4560</v>
      </c>
      <c r="V7706" s="2">
        <v>598</v>
      </c>
      <c r="W7706" t="s">
        <v>4655</v>
      </c>
      <c r="X7706" s="2">
        <v>0</v>
      </c>
      <c r="Y7706">
        <v>20</v>
      </c>
      <c r="Z7706" t="s">
        <v>1604</v>
      </c>
      <c r="AA7706" s="3">
        <v>0.18521580100059501</v>
      </c>
      <c r="AB7706" t="s">
        <v>35886</v>
      </c>
      <c r="AC7706" t="s">
        <v>4562</v>
      </c>
      <c r="AD7706" t="s">
        <v>35887</v>
      </c>
      <c r="AE7706" t="s">
        <v>4655</v>
      </c>
      <c r="AF7706" t="s">
        <v>5201</v>
      </c>
      <c r="AG7706" t="s">
        <v>4564</v>
      </c>
      <c r="AH7706" t="s">
        <v>1605</v>
      </c>
      <c r="AI7706" t="s">
        <v>2555</v>
      </c>
      <c r="AJ7706" t="s">
        <v>2669</v>
      </c>
      <c r="AK7706" t="s">
        <v>35888</v>
      </c>
      <c r="AL7706" s="13" t="s">
        <v>1900</v>
      </c>
      <c r="AM7706">
        <v>1</v>
      </c>
      <c r="AN7706" s="15" t="s">
        <v>2042</v>
      </c>
    </row>
    <row r="7707" spans="1:40" x14ac:dyDescent="0.3">
      <c r="A7707" s="10" t="str">
        <f>HYPERLINK("http://www.washoecounty.gov/assessor/cama/?parid=528-162-08&amp;CardNumber=1","528-162-08")</f>
        <v>528-162-08</v>
      </c>
      <c r="B7707" t="s">
        <v>4655</v>
      </c>
      <c r="C7707" t="s">
        <v>35889</v>
      </c>
      <c r="D7707" s="1">
        <v>40221</v>
      </c>
      <c r="E7707" s="2">
        <v>265000</v>
      </c>
      <c r="F7707" t="s">
        <v>4553</v>
      </c>
      <c r="G7707" s="17" t="str">
        <f>HYPERLINK("https://www.washoecounty.gov/assessor/cama/?command=sales&amp;parid=52816208","3849117")</f>
        <v>3849117</v>
      </c>
      <c r="H7707" t="s">
        <v>3158</v>
      </c>
      <c r="I7707">
        <v>2007</v>
      </c>
      <c r="J7707">
        <v>2007</v>
      </c>
      <c r="K7707" t="s">
        <v>4554</v>
      </c>
      <c r="L7707" t="s">
        <v>3974</v>
      </c>
      <c r="M7707" s="2">
        <v>3088</v>
      </c>
      <c r="N7707" t="s">
        <v>3147</v>
      </c>
      <c r="O7707">
        <v>4</v>
      </c>
      <c r="P7707">
        <v>2</v>
      </c>
      <c r="Q7707">
        <v>1</v>
      </c>
      <c r="R7707" t="s">
        <v>5281</v>
      </c>
      <c r="S7707" t="s">
        <v>4898</v>
      </c>
      <c r="T7707" t="s">
        <v>2704</v>
      </c>
      <c r="U7707" t="s">
        <v>162</v>
      </c>
      <c r="V7707" s="2">
        <v>621</v>
      </c>
      <c r="W7707" t="s">
        <v>4655</v>
      </c>
      <c r="X7707" s="2">
        <v>0</v>
      </c>
      <c r="Y7707">
        <v>20</v>
      </c>
      <c r="Z7707" t="s">
        <v>1604</v>
      </c>
      <c r="AA7707" s="3">
        <v>0.15218089520931199</v>
      </c>
      <c r="AB7707" t="s">
        <v>35890</v>
      </c>
      <c r="AC7707" t="s">
        <v>4562</v>
      </c>
      <c r="AD7707" t="s">
        <v>35889</v>
      </c>
      <c r="AE7707" t="s">
        <v>4655</v>
      </c>
      <c r="AF7707" t="s">
        <v>5201</v>
      </c>
      <c r="AG7707" t="s">
        <v>4564</v>
      </c>
      <c r="AH7707" t="s">
        <v>1605</v>
      </c>
      <c r="AI7707" t="s">
        <v>4903</v>
      </c>
      <c r="AJ7707" t="s">
        <v>2669</v>
      </c>
      <c r="AK7707" t="s">
        <v>35891</v>
      </c>
      <c r="AL7707" s="13" t="s">
        <v>1900</v>
      </c>
      <c r="AM7707">
        <v>1</v>
      </c>
      <c r="AN7707" s="15" t="s">
        <v>2042</v>
      </c>
    </row>
    <row r="7708" spans="1:40" x14ac:dyDescent="0.3">
      <c r="A7708" s="10" t="str">
        <f>HYPERLINK("http://www.washoecounty.gov/assessor/cama/?parid=528-163-04&amp;CardNumber=1","528-163-04")</f>
        <v>528-163-04</v>
      </c>
      <c r="B7708" t="s">
        <v>4655</v>
      </c>
      <c r="C7708" t="s">
        <v>35892</v>
      </c>
      <c r="D7708" s="1">
        <v>40385</v>
      </c>
      <c r="E7708" s="2">
        <v>200000</v>
      </c>
      <c r="F7708" t="s">
        <v>4567</v>
      </c>
      <c r="G7708" s="17" t="str">
        <f>HYPERLINK("https://www.washoecounty.gov/assessor/cama/?command=sales&amp;parid=52816304","3905034")</f>
        <v>3905034</v>
      </c>
      <c r="H7708" t="s">
        <v>3158</v>
      </c>
      <c r="I7708">
        <v>2007</v>
      </c>
      <c r="J7708">
        <v>2007</v>
      </c>
      <c r="K7708" t="s">
        <v>4554</v>
      </c>
      <c r="L7708" t="s">
        <v>4555</v>
      </c>
      <c r="M7708" s="2">
        <v>1933</v>
      </c>
      <c r="N7708" t="s">
        <v>3147</v>
      </c>
      <c r="O7708">
        <v>3</v>
      </c>
      <c r="P7708">
        <v>2</v>
      </c>
      <c r="Q7708">
        <v>0</v>
      </c>
      <c r="R7708" t="s">
        <v>5281</v>
      </c>
      <c r="S7708" t="s">
        <v>4898</v>
      </c>
      <c r="T7708" t="s">
        <v>2704</v>
      </c>
      <c r="U7708" t="s">
        <v>4560</v>
      </c>
      <c r="V7708" s="2">
        <v>474</v>
      </c>
      <c r="W7708" t="s">
        <v>4655</v>
      </c>
      <c r="X7708" s="2">
        <v>0</v>
      </c>
      <c r="Y7708">
        <v>20</v>
      </c>
      <c r="Z7708" t="s">
        <v>1604</v>
      </c>
      <c r="AA7708" s="3">
        <v>0.16056014597415899</v>
      </c>
      <c r="AB7708" t="s">
        <v>35893</v>
      </c>
      <c r="AC7708" t="s">
        <v>4562</v>
      </c>
      <c r="AD7708" t="s">
        <v>554</v>
      </c>
      <c r="AE7708" t="s">
        <v>4655</v>
      </c>
      <c r="AF7708" t="s">
        <v>555</v>
      </c>
      <c r="AG7708" t="s">
        <v>4564</v>
      </c>
      <c r="AH7708">
        <v>89045</v>
      </c>
      <c r="AI7708" t="s">
        <v>35894</v>
      </c>
      <c r="AJ7708" t="s">
        <v>2669</v>
      </c>
      <c r="AK7708" t="s">
        <v>35895</v>
      </c>
      <c r="AL7708" s="13" t="s">
        <v>1900</v>
      </c>
      <c r="AM7708">
        <v>1</v>
      </c>
      <c r="AN7708" s="15" t="s">
        <v>2042</v>
      </c>
    </row>
    <row r="7709" spans="1:40" x14ac:dyDescent="0.3">
      <c r="A7709" s="10" t="str">
        <f>HYPERLINK("http://www.washoecounty.gov/assessor/cama/?parid=528-163-07&amp;CardNumber=1","528-163-07")</f>
        <v>528-163-07</v>
      </c>
      <c r="B7709" t="s">
        <v>4655</v>
      </c>
      <c r="C7709" t="s">
        <v>35896</v>
      </c>
      <c r="D7709" s="1">
        <v>40347</v>
      </c>
      <c r="E7709" s="2">
        <v>180000</v>
      </c>
      <c r="F7709" t="s">
        <v>4567</v>
      </c>
      <c r="G7709" s="17" t="str">
        <f>HYPERLINK("https://www.washoecounty.gov/assessor/cama/?command=sales&amp;parid=52816307","3893488")</f>
        <v>3893488</v>
      </c>
      <c r="H7709" t="s">
        <v>3158</v>
      </c>
      <c r="I7709">
        <v>2007</v>
      </c>
      <c r="J7709">
        <v>2007</v>
      </c>
      <c r="K7709" t="s">
        <v>4554</v>
      </c>
      <c r="L7709" t="s">
        <v>4555</v>
      </c>
      <c r="M7709" s="2">
        <v>1697</v>
      </c>
      <c r="N7709" t="s">
        <v>3147</v>
      </c>
      <c r="O7709">
        <v>3</v>
      </c>
      <c r="P7709">
        <v>2</v>
      </c>
      <c r="Q7709">
        <v>0</v>
      </c>
      <c r="R7709" t="s">
        <v>5281</v>
      </c>
      <c r="S7709" t="s">
        <v>4898</v>
      </c>
      <c r="T7709" t="s">
        <v>2704</v>
      </c>
      <c r="U7709" t="s">
        <v>4560</v>
      </c>
      <c r="V7709" s="2">
        <v>454</v>
      </c>
      <c r="W7709" t="s">
        <v>4655</v>
      </c>
      <c r="X7709" s="2">
        <v>0</v>
      </c>
      <c r="Y7709">
        <v>20</v>
      </c>
      <c r="Z7709" t="s">
        <v>1604</v>
      </c>
      <c r="AA7709" s="3">
        <v>0.17594122886657701</v>
      </c>
      <c r="AB7709" t="s">
        <v>35897</v>
      </c>
      <c r="AC7709" t="s">
        <v>4562</v>
      </c>
      <c r="AD7709" t="s">
        <v>35896</v>
      </c>
      <c r="AE7709" t="s">
        <v>4655</v>
      </c>
      <c r="AF7709" t="s">
        <v>5201</v>
      </c>
      <c r="AG7709" t="s">
        <v>4564</v>
      </c>
      <c r="AH7709" t="s">
        <v>1605</v>
      </c>
      <c r="AI7709" t="s">
        <v>35898</v>
      </c>
      <c r="AJ7709" t="s">
        <v>2669</v>
      </c>
      <c r="AK7709" t="s">
        <v>35899</v>
      </c>
      <c r="AL7709" s="13" t="s">
        <v>1900</v>
      </c>
      <c r="AM7709">
        <v>1</v>
      </c>
      <c r="AN7709" s="15" t="s">
        <v>2042</v>
      </c>
    </row>
    <row r="7710" spans="1:40" x14ac:dyDescent="0.3">
      <c r="A7710" s="10" t="str">
        <f>HYPERLINK("http://www.washoecounty.gov/assessor/cama/?parid=528-163-10&amp;CardNumber=1","528-163-10")</f>
        <v>528-163-10</v>
      </c>
      <c r="B7710" t="s">
        <v>4655</v>
      </c>
      <c r="C7710" s="20" t="s">
        <v>283</v>
      </c>
      <c r="D7710" s="1">
        <v>40298</v>
      </c>
      <c r="E7710" s="2">
        <v>220000</v>
      </c>
      <c r="F7710" t="s">
        <v>4553</v>
      </c>
      <c r="G7710" s="20" t="s">
        <v>282</v>
      </c>
      <c r="H7710" t="s">
        <v>3158</v>
      </c>
      <c r="I7710">
        <v>2007</v>
      </c>
      <c r="J7710">
        <v>2007</v>
      </c>
      <c r="K7710" t="s">
        <v>4554</v>
      </c>
      <c r="L7710" t="s">
        <v>3974</v>
      </c>
      <c r="M7710" s="2">
        <v>2861</v>
      </c>
      <c r="N7710" t="s">
        <v>3147</v>
      </c>
      <c r="O7710">
        <v>4</v>
      </c>
      <c r="P7710">
        <v>3</v>
      </c>
      <c r="Q7710">
        <v>0</v>
      </c>
      <c r="R7710" t="s">
        <v>5281</v>
      </c>
      <c r="S7710" t="s">
        <v>4898</v>
      </c>
      <c r="T7710" t="s">
        <v>2704</v>
      </c>
      <c r="U7710" t="s">
        <v>5631</v>
      </c>
      <c r="V7710" s="2">
        <v>644</v>
      </c>
      <c r="W7710" t="s">
        <v>4655</v>
      </c>
      <c r="X7710" s="2">
        <v>0</v>
      </c>
      <c r="Y7710">
        <v>20</v>
      </c>
      <c r="Z7710" t="s">
        <v>1604</v>
      </c>
      <c r="AA7710" s="3">
        <v>0.161409556865692</v>
      </c>
      <c r="AB7710" s="20" t="s">
        <v>8865</v>
      </c>
      <c r="AD7710" t="s">
        <v>283</v>
      </c>
      <c r="AE7710" t="s">
        <v>283</v>
      </c>
      <c r="AF7710" t="s">
        <v>283</v>
      </c>
      <c r="AG7710" t="s">
        <v>4564</v>
      </c>
      <c r="AH7710" t="s">
        <v>3101</v>
      </c>
      <c r="AI7710" t="s">
        <v>8865</v>
      </c>
      <c r="AJ7710" t="s">
        <v>2669</v>
      </c>
      <c r="AK7710" t="s">
        <v>8865</v>
      </c>
      <c r="AL7710" s="13" t="s">
        <v>1900</v>
      </c>
      <c r="AM7710">
        <v>1</v>
      </c>
      <c r="AN7710" s="15" t="s">
        <v>2042</v>
      </c>
    </row>
    <row r="7711" spans="1:40" x14ac:dyDescent="0.3">
      <c r="A7711" s="10" t="str">
        <f>HYPERLINK("http://www.washoecounty.gov/assessor/cama/?parid=528-163-12&amp;CardNumber=1","528-163-12")</f>
        <v>528-163-12</v>
      </c>
      <c r="B7711" t="s">
        <v>4655</v>
      </c>
      <c r="C7711" t="s">
        <v>35900</v>
      </c>
      <c r="D7711" s="1">
        <v>40301</v>
      </c>
      <c r="E7711" s="2">
        <v>1000000</v>
      </c>
      <c r="F7711" t="s">
        <v>3174</v>
      </c>
      <c r="G7711" s="17" t="str">
        <f>HYPERLINK("https://www.washoecounty.gov/assessor/cama/?command=sales&amp;parid=52816312","3877174")</f>
        <v>3877174</v>
      </c>
      <c r="H7711" t="s">
        <v>3158</v>
      </c>
      <c r="I7711">
        <v>0</v>
      </c>
      <c r="J7711">
        <v>0</v>
      </c>
      <c r="K7711" t="s">
        <v>4655</v>
      </c>
      <c r="L7711" t="s">
        <v>4655</v>
      </c>
      <c r="M7711" s="2">
        <v>0</v>
      </c>
      <c r="N7711" t="s">
        <v>4655</v>
      </c>
      <c r="O7711">
        <v>0</v>
      </c>
      <c r="P7711">
        <v>0</v>
      </c>
      <c r="Q7711">
        <v>0</v>
      </c>
      <c r="R7711" t="s">
        <v>4655</v>
      </c>
      <c r="S7711" t="s">
        <v>4655</v>
      </c>
      <c r="T7711" t="s">
        <v>4655</v>
      </c>
      <c r="U7711" t="s">
        <v>4655</v>
      </c>
      <c r="V7711" s="2">
        <v>0</v>
      </c>
      <c r="W7711" t="s">
        <v>4655</v>
      </c>
      <c r="X7711" s="2">
        <v>0</v>
      </c>
      <c r="Y7711">
        <v>12</v>
      </c>
      <c r="Z7711" t="s">
        <v>1604</v>
      </c>
      <c r="AA7711" s="3">
        <v>0.35009181499481201</v>
      </c>
      <c r="AB7711" t="s">
        <v>1576</v>
      </c>
      <c r="AC7711" t="s">
        <v>4562</v>
      </c>
      <c r="AD7711" t="s">
        <v>5285</v>
      </c>
      <c r="AE7711" t="s">
        <v>4655</v>
      </c>
      <c r="AF7711" t="s">
        <v>4563</v>
      </c>
      <c r="AG7711" t="s">
        <v>4564</v>
      </c>
      <c r="AH7711" t="s">
        <v>5197</v>
      </c>
      <c r="AI7711" t="s">
        <v>1576</v>
      </c>
      <c r="AJ7711" t="s">
        <v>2669</v>
      </c>
      <c r="AK7711" t="s">
        <v>35901</v>
      </c>
      <c r="AL7711" s="13" t="s">
        <v>1900</v>
      </c>
      <c r="AM7711" s="14">
        <v>0</v>
      </c>
      <c r="AN7711" s="15" t="s">
        <v>2042</v>
      </c>
    </row>
    <row r="7712" spans="1:40" x14ac:dyDescent="0.3">
      <c r="A7712" s="10" t="str">
        <f>HYPERLINK("http://www.washoecounty.gov/assessor/cama/?parid=528-163-13&amp;CardNumber=1","528-163-13")</f>
        <v>528-163-13</v>
      </c>
      <c r="B7712" t="s">
        <v>4655</v>
      </c>
      <c r="C7712" t="s">
        <v>35902</v>
      </c>
      <c r="D7712" s="1">
        <v>40301</v>
      </c>
      <c r="E7712" s="2">
        <v>1000000</v>
      </c>
      <c r="F7712" t="s">
        <v>3174</v>
      </c>
      <c r="G7712" s="17" t="str">
        <f>HYPERLINK("https://www.washoecounty.gov/assessor/cama/?command=sales&amp;parid=52816313","3877174")</f>
        <v>3877174</v>
      </c>
      <c r="H7712" t="s">
        <v>3158</v>
      </c>
      <c r="I7712">
        <v>0</v>
      </c>
      <c r="J7712">
        <v>0</v>
      </c>
      <c r="K7712" t="s">
        <v>4655</v>
      </c>
      <c r="L7712" t="s">
        <v>4655</v>
      </c>
      <c r="M7712" s="2">
        <v>0</v>
      </c>
      <c r="N7712" t="s">
        <v>4655</v>
      </c>
      <c r="O7712">
        <v>0</v>
      </c>
      <c r="P7712">
        <v>0</v>
      </c>
      <c r="Q7712">
        <v>0</v>
      </c>
      <c r="R7712" t="s">
        <v>4655</v>
      </c>
      <c r="S7712" t="s">
        <v>4655</v>
      </c>
      <c r="T7712" t="s">
        <v>4655</v>
      </c>
      <c r="U7712" t="s">
        <v>4655</v>
      </c>
      <c r="V7712" s="2">
        <v>0</v>
      </c>
      <c r="W7712" t="s">
        <v>4655</v>
      </c>
      <c r="X7712" s="2">
        <v>0</v>
      </c>
      <c r="Y7712">
        <v>12</v>
      </c>
      <c r="Z7712" t="s">
        <v>1604</v>
      </c>
      <c r="AA7712" s="3">
        <v>0.24646463990211501</v>
      </c>
      <c r="AB7712" t="s">
        <v>1576</v>
      </c>
      <c r="AC7712" t="s">
        <v>4562</v>
      </c>
      <c r="AD7712" t="s">
        <v>5285</v>
      </c>
      <c r="AE7712" t="s">
        <v>4655</v>
      </c>
      <c r="AF7712" t="s">
        <v>4563</v>
      </c>
      <c r="AG7712" t="s">
        <v>4564</v>
      </c>
      <c r="AH7712" t="s">
        <v>5197</v>
      </c>
      <c r="AI7712" t="s">
        <v>1576</v>
      </c>
      <c r="AJ7712" t="s">
        <v>2669</v>
      </c>
      <c r="AK7712" t="s">
        <v>35903</v>
      </c>
      <c r="AL7712" s="13" t="s">
        <v>1900</v>
      </c>
      <c r="AM7712">
        <v>0</v>
      </c>
      <c r="AN7712" s="15" t="s">
        <v>2042</v>
      </c>
    </row>
    <row r="7713" spans="1:40" x14ac:dyDescent="0.3">
      <c r="A7713" s="10" t="str">
        <f>HYPERLINK("http://www.washoecounty.gov/assessor/cama/?parid=528-163-14&amp;CardNumber=1","528-163-14")</f>
        <v>528-163-14</v>
      </c>
      <c r="B7713" t="s">
        <v>4655</v>
      </c>
      <c r="C7713" t="s">
        <v>35904</v>
      </c>
      <c r="D7713" s="1">
        <v>40301</v>
      </c>
      <c r="E7713" s="2">
        <v>1000000</v>
      </c>
      <c r="F7713" t="s">
        <v>3174</v>
      </c>
      <c r="G7713" s="17" t="str">
        <f>HYPERLINK("https://www.washoecounty.gov/assessor/cama/?command=sales&amp;parid=52816314","3877174")</f>
        <v>3877174</v>
      </c>
      <c r="H7713" t="s">
        <v>3158</v>
      </c>
      <c r="I7713">
        <v>0</v>
      </c>
      <c r="J7713">
        <v>0</v>
      </c>
      <c r="K7713" t="s">
        <v>4655</v>
      </c>
      <c r="L7713" t="s">
        <v>4655</v>
      </c>
      <c r="M7713" s="2">
        <v>0</v>
      </c>
      <c r="N7713" t="s">
        <v>4655</v>
      </c>
      <c r="O7713">
        <v>0</v>
      </c>
      <c r="P7713">
        <v>0</v>
      </c>
      <c r="Q7713">
        <v>0</v>
      </c>
      <c r="R7713" t="s">
        <v>4655</v>
      </c>
      <c r="S7713" t="s">
        <v>4655</v>
      </c>
      <c r="T7713" t="s">
        <v>4655</v>
      </c>
      <c r="U7713" t="s">
        <v>4655</v>
      </c>
      <c r="V7713" s="2">
        <v>0</v>
      </c>
      <c r="W7713" t="s">
        <v>4655</v>
      </c>
      <c r="X7713" s="2">
        <v>0</v>
      </c>
      <c r="Y7713">
        <v>12</v>
      </c>
      <c r="Z7713" t="s">
        <v>1604</v>
      </c>
      <c r="AA7713" s="3">
        <v>0.21662075817585</v>
      </c>
      <c r="AB7713" t="s">
        <v>1576</v>
      </c>
      <c r="AC7713" t="s">
        <v>4562</v>
      </c>
      <c r="AD7713" t="s">
        <v>5285</v>
      </c>
      <c r="AE7713" t="s">
        <v>4655</v>
      </c>
      <c r="AF7713" t="s">
        <v>4563</v>
      </c>
      <c r="AG7713" t="s">
        <v>4564</v>
      </c>
      <c r="AH7713" t="s">
        <v>5197</v>
      </c>
      <c r="AI7713" t="s">
        <v>1576</v>
      </c>
      <c r="AJ7713" t="s">
        <v>2669</v>
      </c>
      <c r="AK7713" t="s">
        <v>35905</v>
      </c>
      <c r="AL7713" s="13" t="s">
        <v>1900</v>
      </c>
      <c r="AM7713">
        <v>0</v>
      </c>
      <c r="AN7713" s="15" t="s">
        <v>2042</v>
      </c>
    </row>
    <row r="7714" spans="1:40" x14ac:dyDescent="0.3">
      <c r="A7714" s="10" t="str">
        <f>HYPERLINK("http://www.washoecounty.gov/assessor/cama/?parid=528-163-15&amp;CardNumber=1","528-163-15")</f>
        <v>528-163-15</v>
      </c>
      <c r="B7714" t="s">
        <v>4655</v>
      </c>
      <c r="C7714" t="s">
        <v>35906</v>
      </c>
      <c r="D7714" s="1">
        <v>40301</v>
      </c>
      <c r="E7714" s="2">
        <v>1000000</v>
      </c>
      <c r="F7714" t="s">
        <v>3174</v>
      </c>
      <c r="G7714" s="17" t="str">
        <f>HYPERLINK("https://www.washoecounty.gov/assessor/cama/?command=sales&amp;parid=52816315","3877174")</f>
        <v>3877174</v>
      </c>
      <c r="H7714" t="s">
        <v>3158</v>
      </c>
      <c r="I7714">
        <v>0</v>
      </c>
      <c r="J7714">
        <v>0</v>
      </c>
      <c r="K7714" t="s">
        <v>4655</v>
      </c>
      <c r="L7714" t="s">
        <v>4655</v>
      </c>
      <c r="M7714" s="2">
        <v>0</v>
      </c>
      <c r="N7714" t="s">
        <v>4655</v>
      </c>
      <c r="O7714">
        <v>0</v>
      </c>
      <c r="P7714">
        <v>0</v>
      </c>
      <c r="Q7714">
        <v>0</v>
      </c>
      <c r="R7714" t="s">
        <v>4655</v>
      </c>
      <c r="S7714" t="s">
        <v>4655</v>
      </c>
      <c r="T7714" t="s">
        <v>4655</v>
      </c>
      <c r="U7714" t="s">
        <v>4655</v>
      </c>
      <c r="V7714" s="2">
        <v>0</v>
      </c>
      <c r="W7714" t="s">
        <v>4655</v>
      </c>
      <c r="X7714" s="2">
        <v>0</v>
      </c>
      <c r="Y7714">
        <v>12</v>
      </c>
      <c r="Z7714" t="s">
        <v>1604</v>
      </c>
      <c r="AA7714" s="3">
        <v>0.16756197810173001</v>
      </c>
      <c r="AB7714" t="s">
        <v>1576</v>
      </c>
      <c r="AC7714" t="s">
        <v>4562</v>
      </c>
      <c r="AD7714" t="s">
        <v>5285</v>
      </c>
      <c r="AE7714" t="s">
        <v>4655</v>
      </c>
      <c r="AF7714" t="s">
        <v>4563</v>
      </c>
      <c r="AG7714" t="s">
        <v>4564</v>
      </c>
      <c r="AH7714" t="s">
        <v>5197</v>
      </c>
      <c r="AI7714" t="s">
        <v>1576</v>
      </c>
      <c r="AJ7714" t="s">
        <v>2669</v>
      </c>
      <c r="AK7714" t="s">
        <v>35907</v>
      </c>
      <c r="AL7714" s="13" t="s">
        <v>1900</v>
      </c>
      <c r="AM7714" s="14">
        <v>0</v>
      </c>
      <c r="AN7714" s="15" t="s">
        <v>2042</v>
      </c>
    </row>
    <row r="7715" spans="1:40" x14ac:dyDescent="0.3">
      <c r="A7715" s="10" t="str">
        <f>HYPERLINK("http://www.washoecounty.gov/assessor/cama/?parid=528-163-16&amp;CardNumber=1","528-163-16")</f>
        <v>528-163-16</v>
      </c>
      <c r="B7715" t="s">
        <v>4655</v>
      </c>
      <c r="C7715" t="s">
        <v>3486</v>
      </c>
      <c r="D7715" s="1">
        <v>40301</v>
      </c>
      <c r="E7715" s="2">
        <v>1000000</v>
      </c>
      <c r="F7715" t="s">
        <v>3174</v>
      </c>
      <c r="G7715" s="17" t="str">
        <f>HYPERLINK("https://www.washoecounty.gov/assessor/cama/?command=sales&amp;parid=52816316","3877174")</f>
        <v>3877174</v>
      </c>
      <c r="H7715" t="s">
        <v>3158</v>
      </c>
      <c r="I7715">
        <v>0</v>
      </c>
      <c r="J7715">
        <v>0</v>
      </c>
      <c r="K7715" t="s">
        <v>4655</v>
      </c>
      <c r="L7715" t="s">
        <v>4655</v>
      </c>
      <c r="M7715" s="2">
        <v>0</v>
      </c>
      <c r="N7715" t="s">
        <v>4655</v>
      </c>
      <c r="O7715">
        <v>0</v>
      </c>
      <c r="P7715">
        <v>0</v>
      </c>
      <c r="Q7715">
        <v>0</v>
      </c>
      <c r="R7715" t="s">
        <v>4655</v>
      </c>
      <c r="S7715" t="s">
        <v>4655</v>
      </c>
      <c r="T7715" t="s">
        <v>4655</v>
      </c>
      <c r="U7715" t="s">
        <v>4655</v>
      </c>
      <c r="V7715" s="2">
        <v>0</v>
      </c>
      <c r="W7715" t="s">
        <v>4655</v>
      </c>
      <c r="X7715" s="2">
        <v>0</v>
      </c>
      <c r="Y7715">
        <v>12</v>
      </c>
      <c r="Z7715" t="s">
        <v>1604</v>
      </c>
      <c r="AA7715" s="3">
        <v>0.16558769345283508</v>
      </c>
      <c r="AB7715" t="s">
        <v>1576</v>
      </c>
      <c r="AC7715" t="s">
        <v>4562</v>
      </c>
      <c r="AD7715" t="s">
        <v>5285</v>
      </c>
      <c r="AE7715" t="s">
        <v>4655</v>
      </c>
      <c r="AF7715" t="s">
        <v>4563</v>
      </c>
      <c r="AG7715" t="s">
        <v>4564</v>
      </c>
      <c r="AH7715" t="s">
        <v>5197</v>
      </c>
      <c r="AI7715" t="s">
        <v>1576</v>
      </c>
      <c r="AJ7715" t="s">
        <v>2669</v>
      </c>
      <c r="AK7715" t="s">
        <v>3487</v>
      </c>
      <c r="AL7715" s="13" t="s">
        <v>1900</v>
      </c>
      <c r="AM7715">
        <v>0</v>
      </c>
      <c r="AN7715" s="15" t="s">
        <v>2042</v>
      </c>
    </row>
    <row r="7716" spans="1:40" x14ac:dyDescent="0.3">
      <c r="A7716" s="10" t="str">
        <f>HYPERLINK("http://www.washoecounty.gov/assessor/cama/?parid=528-163-17&amp;CardNumber=1","528-163-17")</f>
        <v>528-163-17</v>
      </c>
      <c r="B7716" t="s">
        <v>4655</v>
      </c>
      <c r="C7716" t="s">
        <v>3488</v>
      </c>
      <c r="D7716" s="1">
        <v>40301</v>
      </c>
      <c r="E7716" s="2">
        <v>1000000</v>
      </c>
      <c r="F7716" t="s">
        <v>3174</v>
      </c>
      <c r="G7716" s="17" t="str">
        <f>HYPERLINK("https://www.washoecounty.gov/assessor/cama/?command=sales&amp;parid=52816317","3877174")</f>
        <v>3877174</v>
      </c>
      <c r="H7716" t="s">
        <v>3158</v>
      </c>
      <c r="I7716">
        <v>0</v>
      </c>
      <c r="J7716">
        <v>0</v>
      </c>
      <c r="K7716" t="s">
        <v>4655</v>
      </c>
      <c r="L7716" t="s">
        <v>4655</v>
      </c>
      <c r="M7716" s="2">
        <v>0</v>
      </c>
      <c r="N7716" t="s">
        <v>4655</v>
      </c>
      <c r="O7716">
        <v>0</v>
      </c>
      <c r="P7716">
        <v>0</v>
      </c>
      <c r="Q7716">
        <v>0</v>
      </c>
      <c r="R7716" t="s">
        <v>4655</v>
      </c>
      <c r="S7716" t="s">
        <v>4655</v>
      </c>
      <c r="T7716" t="s">
        <v>4655</v>
      </c>
      <c r="U7716" t="s">
        <v>4655</v>
      </c>
      <c r="V7716" s="2">
        <v>0</v>
      </c>
      <c r="W7716" t="s">
        <v>4655</v>
      </c>
      <c r="X7716" s="2">
        <v>0</v>
      </c>
      <c r="Y7716">
        <v>12</v>
      </c>
      <c r="Z7716" t="s">
        <v>1604</v>
      </c>
      <c r="AA7716" s="3">
        <v>0.20417813956737499</v>
      </c>
      <c r="AB7716" t="s">
        <v>1576</v>
      </c>
      <c r="AC7716" t="s">
        <v>4562</v>
      </c>
      <c r="AD7716" t="s">
        <v>5285</v>
      </c>
      <c r="AE7716" t="s">
        <v>4655</v>
      </c>
      <c r="AF7716" t="s">
        <v>4563</v>
      </c>
      <c r="AG7716" t="s">
        <v>4564</v>
      </c>
      <c r="AH7716" t="s">
        <v>5197</v>
      </c>
      <c r="AI7716" t="s">
        <v>1576</v>
      </c>
      <c r="AJ7716" t="s">
        <v>2669</v>
      </c>
      <c r="AK7716" t="s">
        <v>3489</v>
      </c>
      <c r="AL7716" s="13" t="s">
        <v>1900</v>
      </c>
      <c r="AM7716" s="14">
        <v>0</v>
      </c>
      <c r="AN7716" s="15" t="s">
        <v>2042</v>
      </c>
    </row>
    <row r="7717" spans="1:40" x14ac:dyDescent="0.3">
      <c r="A7717" s="10" t="str">
        <f>HYPERLINK("http://www.washoecounty.gov/assessor/cama/?parid=528-164-01&amp;CardNumber=1","528-164-01")</f>
        <v>528-164-01</v>
      </c>
      <c r="B7717" t="s">
        <v>4655</v>
      </c>
      <c r="C7717" t="s">
        <v>3494</v>
      </c>
      <c r="D7717" s="1">
        <v>40301</v>
      </c>
      <c r="E7717" s="2">
        <v>1000000</v>
      </c>
      <c r="F7717" t="s">
        <v>3174</v>
      </c>
      <c r="G7717" s="17" t="str">
        <f>HYPERLINK("https://www.washoecounty.gov/assessor/cama/?command=sales&amp;parid=52816401","3877174")</f>
        <v>3877174</v>
      </c>
      <c r="H7717" t="s">
        <v>3158</v>
      </c>
      <c r="I7717">
        <v>0</v>
      </c>
      <c r="J7717">
        <v>0</v>
      </c>
      <c r="K7717" t="s">
        <v>4655</v>
      </c>
      <c r="L7717" t="s">
        <v>4655</v>
      </c>
      <c r="M7717" s="2">
        <v>0</v>
      </c>
      <c r="N7717" t="s">
        <v>4655</v>
      </c>
      <c r="O7717">
        <v>0</v>
      </c>
      <c r="P7717">
        <v>0</v>
      </c>
      <c r="Q7717">
        <v>0</v>
      </c>
      <c r="R7717" t="s">
        <v>4655</v>
      </c>
      <c r="S7717" t="s">
        <v>4655</v>
      </c>
      <c r="T7717" t="s">
        <v>4655</v>
      </c>
      <c r="U7717" t="s">
        <v>4655</v>
      </c>
      <c r="V7717" s="2">
        <v>0</v>
      </c>
      <c r="W7717" t="s">
        <v>4655</v>
      </c>
      <c r="X7717" s="2">
        <v>0</v>
      </c>
      <c r="Y7717">
        <v>12</v>
      </c>
      <c r="Z7717" t="s">
        <v>1604</v>
      </c>
      <c r="AA7717" s="3">
        <v>0.179729104042053</v>
      </c>
      <c r="AB7717" t="s">
        <v>1576</v>
      </c>
      <c r="AC7717" t="s">
        <v>4562</v>
      </c>
      <c r="AD7717" t="s">
        <v>5285</v>
      </c>
      <c r="AE7717" t="s">
        <v>4655</v>
      </c>
      <c r="AF7717" t="s">
        <v>4563</v>
      </c>
      <c r="AG7717" t="s">
        <v>4564</v>
      </c>
      <c r="AH7717" t="s">
        <v>5197</v>
      </c>
      <c r="AI7717" t="s">
        <v>1576</v>
      </c>
      <c r="AJ7717" t="s">
        <v>2669</v>
      </c>
      <c r="AK7717" t="s">
        <v>3495</v>
      </c>
      <c r="AL7717" s="13" t="s">
        <v>1900</v>
      </c>
      <c r="AM7717">
        <v>0</v>
      </c>
      <c r="AN7717" s="15" t="s">
        <v>2042</v>
      </c>
    </row>
    <row r="7718" spans="1:40" x14ac:dyDescent="0.3">
      <c r="A7718" s="10" t="str">
        <f>HYPERLINK("http://www.washoecounty.gov/assessor/cama/?parid=528-164-02&amp;CardNumber=1","528-164-02")</f>
        <v>528-164-02</v>
      </c>
      <c r="B7718" t="s">
        <v>4655</v>
      </c>
      <c r="C7718" t="s">
        <v>3496</v>
      </c>
      <c r="D7718" s="1">
        <v>40301</v>
      </c>
      <c r="E7718" s="2">
        <v>1000000</v>
      </c>
      <c r="F7718" t="s">
        <v>3174</v>
      </c>
      <c r="G7718" s="17" t="str">
        <f>HYPERLINK("https://www.washoecounty.gov/assessor/cama/?command=sales&amp;parid=52816402","3877174")</f>
        <v>3877174</v>
      </c>
      <c r="H7718" t="s">
        <v>3158</v>
      </c>
      <c r="I7718">
        <v>0</v>
      </c>
      <c r="J7718">
        <v>0</v>
      </c>
      <c r="K7718" t="s">
        <v>4655</v>
      </c>
      <c r="L7718" t="s">
        <v>4655</v>
      </c>
      <c r="M7718" s="2">
        <v>0</v>
      </c>
      <c r="N7718" t="s">
        <v>4655</v>
      </c>
      <c r="O7718">
        <v>0</v>
      </c>
      <c r="P7718">
        <v>0</v>
      </c>
      <c r="Q7718">
        <v>0</v>
      </c>
      <c r="R7718" t="s">
        <v>4655</v>
      </c>
      <c r="S7718" t="s">
        <v>4655</v>
      </c>
      <c r="T7718" t="s">
        <v>4655</v>
      </c>
      <c r="U7718" t="s">
        <v>4655</v>
      </c>
      <c r="V7718" s="2">
        <v>0</v>
      </c>
      <c r="W7718" t="s">
        <v>4655</v>
      </c>
      <c r="X7718" s="2">
        <v>0</v>
      </c>
      <c r="Y7718">
        <v>12</v>
      </c>
      <c r="Z7718" t="s">
        <v>1604</v>
      </c>
      <c r="AA7718" s="3">
        <v>0.179729104042053</v>
      </c>
      <c r="AB7718" t="s">
        <v>1576</v>
      </c>
      <c r="AC7718" t="s">
        <v>4562</v>
      </c>
      <c r="AD7718" t="s">
        <v>5285</v>
      </c>
      <c r="AE7718" t="s">
        <v>4655</v>
      </c>
      <c r="AF7718" t="s">
        <v>4563</v>
      </c>
      <c r="AG7718" t="s">
        <v>4564</v>
      </c>
      <c r="AH7718" t="s">
        <v>5197</v>
      </c>
      <c r="AI7718" t="s">
        <v>1576</v>
      </c>
      <c r="AJ7718" t="s">
        <v>2669</v>
      </c>
      <c r="AK7718" t="s">
        <v>3497</v>
      </c>
      <c r="AL7718" s="13" t="s">
        <v>1900</v>
      </c>
      <c r="AM7718">
        <v>0</v>
      </c>
      <c r="AN7718" s="15" t="s">
        <v>2042</v>
      </c>
    </row>
    <row r="7719" spans="1:40" x14ac:dyDescent="0.3">
      <c r="A7719" s="10" t="str">
        <f>HYPERLINK("http://www.washoecounty.gov/assessor/cama/?parid=528-164-03&amp;CardNumber=1","528-164-03")</f>
        <v>528-164-03</v>
      </c>
      <c r="B7719" t="s">
        <v>4655</v>
      </c>
      <c r="C7719" t="s">
        <v>3498</v>
      </c>
      <c r="D7719" s="1">
        <v>40301</v>
      </c>
      <c r="E7719" s="2">
        <v>1000000</v>
      </c>
      <c r="F7719" t="s">
        <v>3174</v>
      </c>
      <c r="G7719" s="17" t="str">
        <f>HYPERLINK("https://www.washoecounty.gov/assessor/cama/?command=sales&amp;parid=52816403","3877174")</f>
        <v>3877174</v>
      </c>
      <c r="H7719" t="s">
        <v>3158</v>
      </c>
      <c r="I7719">
        <v>0</v>
      </c>
      <c r="J7719">
        <v>0</v>
      </c>
      <c r="K7719" t="s">
        <v>4655</v>
      </c>
      <c r="L7719" t="s">
        <v>4655</v>
      </c>
      <c r="M7719" s="2">
        <v>0</v>
      </c>
      <c r="N7719" t="s">
        <v>4655</v>
      </c>
      <c r="O7719">
        <v>0</v>
      </c>
      <c r="P7719">
        <v>0</v>
      </c>
      <c r="Q7719">
        <v>0</v>
      </c>
      <c r="R7719" t="s">
        <v>4655</v>
      </c>
      <c r="S7719" t="s">
        <v>4655</v>
      </c>
      <c r="T7719" t="s">
        <v>4655</v>
      </c>
      <c r="U7719" t="s">
        <v>4655</v>
      </c>
      <c r="V7719" s="2">
        <v>0</v>
      </c>
      <c r="W7719" t="s">
        <v>4655</v>
      </c>
      <c r="X7719" s="2">
        <v>0</v>
      </c>
      <c r="Y7719">
        <v>12</v>
      </c>
      <c r="Z7719" t="s">
        <v>1604</v>
      </c>
      <c r="AA7719" s="3">
        <v>0.179729104042053</v>
      </c>
      <c r="AB7719" t="s">
        <v>1576</v>
      </c>
      <c r="AC7719" t="s">
        <v>4562</v>
      </c>
      <c r="AD7719" t="s">
        <v>5285</v>
      </c>
      <c r="AE7719" t="s">
        <v>4655</v>
      </c>
      <c r="AF7719" t="s">
        <v>4563</v>
      </c>
      <c r="AG7719" t="s">
        <v>4564</v>
      </c>
      <c r="AH7719" t="s">
        <v>5197</v>
      </c>
      <c r="AI7719" t="s">
        <v>1576</v>
      </c>
      <c r="AJ7719" t="s">
        <v>2669</v>
      </c>
      <c r="AK7719" t="s">
        <v>3499</v>
      </c>
      <c r="AL7719" s="13" t="s">
        <v>1900</v>
      </c>
      <c r="AM7719">
        <v>0</v>
      </c>
      <c r="AN7719" s="15" t="s">
        <v>2042</v>
      </c>
    </row>
    <row r="7720" spans="1:40" x14ac:dyDescent="0.3">
      <c r="A7720" s="10" t="str">
        <f>HYPERLINK("http://www.washoecounty.gov/assessor/cama/?parid=528-164-04&amp;CardNumber=1","528-164-04")</f>
        <v>528-164-04</v>
      </c>
      <c r="B7720" t="s">
        <v>4655</v>
      </c>
      <c r="C7720" t="s">
        <v>35908</v>
      </c>
      <c r="D7720" s="1">
        <v>40301</v>
      </c>
      <c r="E7720" s="2">
        <v>1000000</v>
      </c>
      <c r="F7720" t="s">
        <v>3174</v>
      </c>
      <c r="G7720" s="17" t="str">
        <f>HYPERLINK("https://www.washoecounty.gov/assessor/cama/?command=sales&amp;parid=52816404","3877174")</f>
        <v>3877174</v>
      </c>
      <c r="H7720" t="s">
        <v>3158</v>
      </c>
      <c r="I7720">
        <v>0</v>
      </c>
      <c r="J7720">
        <v>0</v>
      </c>
      <c r="K7720" t="s">
        <v>4655</v>
      </c>
      <c r="L7720" t="s">
        <v>4655</v>
      </c>
      <c r="M7720" s="2">
        <v>0</v>
      </c>
      <c r="N7720" t="s">
        <v>4655</v>
      </c>
      <c r="O7720">
        <v>0</v>
      </c>
      <c r="P7720">
        <v>0</v>
      </c>
      <c r="Q7720">
        <v>0</v>
      </c>
      <c r="R7720" t="s">
        <v>4655</v>
      </c>
      <c r="S7720" t="s">
        <v>4655</v>
      </c>
      <c r="T7720" t="s">
        <v>4655</v>
      </c>
      <c r="U7720" t="s">
        <v>4655</v>
      </c>
      <c r="V7720" s="2">
        <v>0</v>
      </c>
      <c r="W7720" t="s">
        <v>4655</v>
      </c>
      <c r="X7720" s="2">
        <v>0</v>
      </c>
      <c r="Y7720">
        <v>12</v>
      </c>
      <c r="Z7720" t="s">
        <v>1604</v>
      </c>
      <c r="AA7720" s="3">
        <v>0.17899449169635773</v>
      </c>
      <c r="AB7720" t="s">
        <v>1576</v>
      </c>
      <c r="AC7720" t="s">
        <v>4562</v>
      </c>
      <c r="AD7720" t="s">
        <v>5285</v>
      </c>
      <c r="AE7720" t="s">
        <v>4655</v>
      </c>
      <c r="AF7720" t="s">
        <v>4563</v>
      </c>
      <c r="AG7720" t="s">
        <v>4564</v>
      </c>
      <c r="AH7720" t="s">
        <v>5197</v>
      </c>
      <c r="AI7720" t="s">
        <v>1576</v>
      </c>
      <c r="AJ7720" t="s">
        <v>2669</v>
      </c>
      <c r="AK7720" t="s">
        <v>35909</v>
      </c>
      <c r="AL7720" s="13" t="s">
        <v>1900</v>
      </c>
      <c r="AM7720">
        <v>0</v>
      </c>
      <c r="AN7720" s="15" t="s">
        <v>2042</v>
      </c>
    </row>
    <row r="7721" spans="1:40" x14ac:dyDescent="0.3">
      <c r="A7721" s="10" t="str">
        <f>HYPERLINK("http://www.washoecounty.gov/assessor/cama/?parid=528-164-05&amp;CardNumber=1","528-164-05")</f>
        <v>528-164-05</v>
      </c>
      <c r="B7721" t="s">
        <v>4655</v>
      </c>
      <c r="C7721" t="s">
        <v>35910</v>
      </c>
      <c r="D7721" s="1">
        <v>40301</v>
      </c>
      <c r="E7721" s="2">
        <v>1000000</v>
      </c>
      <c r="F7721" t="s">
        <v>3174</v>
      </c>
      <c r="G7721" s="17" t="str">
        <f>HYPERLINK("https://www.washoecounty.gov/assessor/cama/?command=sales&amp;parid=52816405","3877174")</f>
        <v>3877174</v>
      </c>
      <c r="H7721" t="s">
        <v>3158</v>
      </c>
      <c r="I7721">
        <v>0</v>
      </c>
      <c r="J7721">
        <v>0</v>
      </c>
      <c r="K7721" t="s">
        <v>4655</v>
      </c>
      <c r="L7721" t="s">
        <v>4655</v>
      </c>
      <c r="M7721" s="2">
        <v>0</v>
      </c>
      <c r="N7721" t="s">
        <v>4655</v>
      </c>
      <c r="O7721">
        <v>0</v>
      </c>
      <c r="P7721">
        <v>0</v>
      </c>
      <c r="Q7721">
        <v>0</v>
      </c>
      <c r="R7721" t="s">
        <v>4655</v>
      </c>
      <c r="S7721" t="s">
        <v>4655</v>
      </c>
      <c r="T7721" t="s">
        <v>4655</v>
      </c>
      <c r="U7721" t="s">
        <v>4655</v>
      </c>
      <c r="V7721" s="2">
        <v>0</v>
      </c>
      <c r="W7721" t="s">
        <v>4655</v>
      </c>
      <c r="X7721" s="2">
        <v>0</v>
      </c>
      <c r="Y7721">
        <v>12</v>
      </c>
      <c r="Z7721" t="s">
        <v>1604</v>
      </c>
      <c r="AA7721" s="3">
        <v>0.20975665748119399</v>
      </c>
      <c r="AB7721" t="s">
        <v>1576</v>
      </c>
      <c r="AC7721" t="s">
        <v>4562</v>
      </c>
      <c r="AD7721" t="s">
        <v>5285</v>
      </c>
      <c r="AE7721" t="s">
        <v>4655</v>
      </c>
      <c r="AF7721" t="s">
        <v>4563</v>
      </c>
      <c r="AG7721" t="s">
        <v>4564</v>
      </c>
      <c r="AH7721" t="s">
        <v>5197</v>
      </c>
      <c r="AI7721" t="s">
        <v>1576</v>
      </c>
      <c r="AJ7721" t="s">
        <v>2669</v>
      </c>
      <c r="AK7721" t="s">
        <v>35911</v>
      </c>
      <c r="AL7721" s="13" t="s">
        <v>1900</v>
      </c>
      <c r="AM7721" s="14">
        <v>0</v>
      </c>
      <c r="AN7721" s="15" t="s">
        <v>2042</v>
      </c>
    </row>
    <row r="7722" spans="1:40" x14ac:dyDescent="0.3">
      <c r="A7722" s="10" t="str">
        <f>HYPERLINK("http://www.washoecounty.gov/assessor/cama/?parid=528-171-06&amp;CardNumber=1","528-171-06")</f>
        <v>528-171-06</v>
      </c>
      <c r="B7722" t="s">
        <v>4655</v>
      </c>
      <c r="C7722" t="s">
        <v>35912</v>
      </c>
      <c r="D7722" s="1">
        <v>40192</v>
      </c>
      <c r="E7722" s="2">
        <v>130200</v>
      </c>
      <c r="F7722" t="s">
        <v>4567</v>
      </c>
      <c r="G7722" s="17" t="str">
        <f>HYPERLINK("https://www.washoecounty.gov/assessor/cama/?command=sales&amp;parid=52817106","3839353")</f>
        <v>3839353</v>
      </c>
      <c r="H7722" t="s">
        <v>2670</v>
      </c>
      <c r="I7722">
        <v>2005</v>
      </c>
      <c r="J7722">
        <v>2005</v>
      </c>
      <c r="K7722" t="s">
        <v>4554</v>
      </c>
      <c r="L7722" t="s">
        <v>4555</v>
      </c>
      <c r="M7722" s="2">
        <v>1082</v>
      </c>
      <c r="N7722" t="s">
        <v>4048</v>
      </c>
      <c r="O7722">
        <v>2</v>
      </c>
      <c r="P7722">
        <v>2</v>
      </c>
      <c r="Q7722">
        <v>0</v>
      </c>
      <c r="R7722" t="s">
        <v>5281</v>
      </c>
      <c r="S7722" t="s">
        <v>4898</v>
      </c>
      <c r="T7722" t="s">
        <v>4559</v>
      </c>
      <c r="U7722" t="s">
        <v>4560</v>
      </c>
      <c r="V7722" s="2">
        <v>380</v>
      </c>
      <c r="W7722" t="s">
        <v>4655</v>
      </c>
      <c r="X7722" s="2">
        <v>0</v>
      </c>
      <c r="Y7722">
        <v>20</v>
      </c>
      <c r="Z7722" t="s">
        <v>1604</v>
      </c>
      <c r="AA7722" s="3">
        <v>0.14081726968288399</v>
      </c>
      <c r="AB7722" t="s">
        <v>35913</v>
      </c>
      <c r="AC7722" t="s">
        <v>4562</v>
      </c>
      <c r="AD7722" t="s">
        <v>35912</v>
      </c>
      <c r="AE7722" t="s">
        <v>4655</v>
      </c>
      <c r="AF7722" t="s">
        <v>5201</v>
      </c>
      <c r="AG7722" t="s">
        <v>4564</v>
      </c>
      <c r="AH7722" t="s">
        <v>1605</v>
      </c>
      <c r="AI7722" t="s">
        <v>35914</v>
      </c>
      <c r="AJ7722" t="s">
        <v>70</v>
      </c>
      <c r="AK7722" t="s">
        <v>35915</v>
      </c>
      <c r="AL7722" s="13" t="s">
        <v>1899</v>
      </c>
      <c r="AM7722" s="14">
        <v>1</v>
      </c>
      <c r="AN7722" s="15" t="s">
        <v>5256</v>
      </c>
    </row>
    <row r="7723" spans="1:40" x14ac:dyDescent="0.3">
      <c r="A7723" s="10" t="str">
        <f>HYPERLINK("http://www.washoecounty.gov/assessor/cama/?parid=528-171-16&amp;CardNumber=1","528-171-16")</f>
        <v>528-171-16</v>
      </c>
      <c r="B7723" t="s">
        <v>4655</v>
      </c>
      <c r="C7723" t="s">
        <v>35916</v>
      </c>
      <c r="D7723" s="1">
        <v>40445</v>
      </c>
      <c r="E7723" s="2">
        <v>128000</v>
      </c>
      <c r="F7723" t="s">
        <v>4553</v>
      </c>
      <c r="G7723" s="17" t="str">
        <f>HYPERLINK("https://www.washoecounty.gov/assessor/cama/?command=sales&amp;parid=52817116","3926104")</f>
        <v>3926104</v>
      </c>
      <c r="H7723" t="s">
        <v>2670</v>
      </c>
      <c r="I7723">
        <v>2005</v>
      </c>
      <c r="J7723">
        <v>2005</v>
      </c>
      <c r="K7723" t="s">
        <v>4554</v>
      </c>
      <c r="L7723" t="s">
        <v>4555</v>
      </c>
      <c r="M7723" s="2">
        <v>1389</v>
      </c>
      <c r="N7723" t="s">
        <v>4048</v>
      </c>
      <c r="O7723">
        <v>3</v>
      </c>
      <c r="P7723">
        <v>2</v>
      </c>
      <c r="Q7723">
        <v>0</v>
      </c>
      <c r="R7723" t="s">
        <v>5281</v>
      </c>
      <c r="S7723" t="s">
        <v>4898</v>
      </c>
      <c r="T7723" t="s">
        <v>4559</v>
      </c>
      <c r="U7723" t="s">
        <v>4560</v>
      </c>
      <c r="V7723" s="2">
        <v>380</v>
      </c>
      <c r="W7723" t="s">
        <v>4655</v>
      </c>
      <c r="X7723" s="2">
        <v>0</v>
      </c>
      <c r="Y7723">
        <v>20</v>
      </c>
      <c r="Z7723" t="s">
        <v>1604</v>
      </c>
      <c r="AA7723" s="3">
        <v>0.160743802785873</v>
      </c>
      <c r="AB7723" t="s">
        <v>35917</v>
      </c>
      <c r="AC7723" t="s">
        <v>4575</v>
      </c>
      <c r="AD7723" t="s">
        <v>35918</v>
      </c>
      <c r="AE7723" t="s">
        <v>4655</v>
      </c>
      <c r="AF7723" t="s">
        <v>5201</v>
      </c>
      <c r="AG7723" t="s">
        <v>4564</v>
      </c>
      <c r="AH7723" t="s">
        <v>1605</v>
      </c>
      <c r="AI7723" t="s">
        <v>4655</v>
      </c>
      <c r="AJ7723" t="s">
        <v>70</v>
      </c>
      <c r="AK7723" t="s">
        <v>35919</v>
      </c>
      <c r="AL7723" s="13" t="s">
        <v>1899</v>
      </c>
      <c r="AM7723" s="14">
        <v>1</v>
      </c>
      <c r="AN7723" s="15" t="s">
        <v>5256</v>
      </c>
    </row>
    <row r="7724" spans="1:40" x14ac:dyDescent="0.3">
      <c r="A7724" s="10" t="str">
        <f>HYPERLINK("http://www.washoecounty.gov/assessor/cama/?parid=528-172-03&amp;CardNumber=1","528-172-03")</f>
        <v>528-172-03</v>
      </c>
      <c r="B7724" t="s">
        <v>4655</v>
      </c>
      <c r="C7724" t="s">
        <v>35920</v>
      </c>
      <c r="D7724" s="1">
        <v>40287</v>
      </c>
      <c r="E7724" s="2">
        <v>132000</v>
      </c>
      <c r="F7724" t="s">
        <v>4567</v>
      </c>
      <c r="G7724" s="17" t="str">
        <f>HYPERLINK("https://www.washoecounty.gov/assessor/cama/?command=sales&amp;parid=52817203","3872115")</f>
        <v>3872115</v>
      </c>
      <c r="H7724" t="s">
        <v>2670</v>
      </c>
      <c r="I7724">
        <v>2005</v>
      </c>
      <c r="J7724">
        <v>2005</v>
      </c>
      <c r="K7724" t="s">
        <v>4554</v>
      </c>
      <c r="L7724" t="s">
        <v>4555</v>
      </c>
      <c r="M7724" s="2">
        <v>1463</v>
      </c>
      <c r="N7724" t="s">
        <v>4048</v>
      </c>
      <c r="O7724">
        <v>3</v>
      </c>
      <c r="P7724">
        <v>2</v>
      </c>
      <c r="Q7724">
        <v>0</v>
      </c>
      <c r="R7724" t="s">
        <v>5281</v>
      </c>
      <c r="S7724" t="s">
        <v>4898</v>
      </c>
      <c r="T7724" t="s">
        <v>4559</v>
      </c>
      <c r="U7724" t="s">
        <v>4560</v>
      </c>
      <c r="V7724" s="2">
        <v>400</v>
      </c>
      <c r="W7724" t="s">
        <v>4655</v>
      </c>
      <c r="X7724" s="2">
        <v>0</v>
      </c>
      <c r="Y7724">
        <v>20</v>
      </c>
      <c r="Z7724" t="s">
        <v>1604</v>
      </c>
      <c r="AA7724" s="3">
        <v>0.162832871079445</v>
      </c>
      <c r="AB7724" t="s">
        <v>35921</v>
      </c>
      <c r="AC7724" t="s">
        <v>4562</v>
      </c>
      <c r="AD7724" t="s">
        <v>35920</v>
      </c>
      <c r="AE7724" t="s">
        <v>4655</v>
      </c>
      <c r="AF7724" t="s">
        <v>5201</v>
      </c>
      <c r="AG7724" t="s">
        <v>4564</v>
      </c>
      <c r="AH7724" t="s">
        <v>1605</v>
      </c>
      <c r="AI7724" t="s">
        <v>14089</v>
      </c>
      <c r="AJ7724" t="s">
        <v>70</v>
      </c>
      <c r="AK7724" t="s">
        <v>35922</v>
      </c>
      <c r="AL7724" s="13" t="s">
        <v>1899</v>
      </c>
      <c r="AM7724" s="14">
        <v>1</v>
      </c>
      <c r="AN7724" s="15" t="s">
        <v>5256</v>
      </c>
    </row>
    <row r="7725" spans="1:40" x14ac:dyDescent="0.3">
      <c r="A7725" s="10" t="str">
        <f>HYPERLINK("http://www.washoecounty.gov/assessor/cama/?parid=528-172-05&amp;CardNumber=1","528-172-05")</f>
        <v>528-172-05</v>
      </c>
      <c r="B7725" t="s">
        <v>4655</v>
      </c>
      <c r="C7725" t="s">
        <v>35923</v>
      </c>
      <c r="D7725" s="1">
        <v>40484</v>
      </c>
      <c r="E7725" s="2">
        <v>125000</v>
      </c>
      <c r="F7725" t="s">
        <v>4567</v>
      </c>
      <c r="G7725" s="17" t="str">
        <f>HYPERLINK("https://www.washoecounty.gov/assessor/cama/?command=sales&amp;parid=52817205","3939190")</f>
        <v>3939190</v>
      </c>
      <c r="H7725" t="s">
        <v>2670</v>
      </c>
      <c r="I7725">
        <v>2005</v>
      </c>
      <c r="J7725">
        <v>2005</v>
      </c>
      <c r="K7725" t="s">
        <v>4554</v>
      </c>
      <c r="L7725" t="s">
        <v>4555</v>
      </c>
      <c r="M7725" s="2">
        <v>1251</v>
      </c>
      <c r="N7725" t="s">
        <v>4048</v>
      </c>
      <c r="O7725">
        <v>3</v>
      </c>
      <c r="P7725">
        <v>2</v>
      </c>
      <c r="Q7725">
        <v>0</v>
      </c>
      <c r="R7725" t="s">
        <v>4557</v>
      </c>
      <c r="S7725" t="s">
        <v>4898</v>
      </c>
      <c r="T7725" t="s">
        <v>4559</v>
      </c>
      <c r="U7725" t="s">
        <v>4560</v>
      </c>
      <c r="V7725" s="2">
        <v>380</v>
      </c>
      <c r="W7725" t="s">
        <v>4655</v>
      </c>
      <c r="X7725" s="2">
        <v>0</v>
      </c>
      <c r="Y7725">
        <v>20</v>
      </c>
      <c r="Z7725" t="s">
        <v>1604</v>
      </c>
      <c r="AA7725" s="3">
        <v>0.14784204959869399</v>
      </c>
      <c r="AB7725" t="s">
        <v>35924</v>
      </c>
      <c r="AC7725" t="s">
        <v>4562</v>
      </c>
      <c r="AD7725" t="s">
        <v>35923</v>
      </c>
      <c r="AE7725" t="s">
        <v>4655</v>
      </c>
      <c r="AF7725" t="s">
        <v>5201</v>
      </c>
      <c r="AG7725" t="s">
        <v>4564</v>
      </c>
      <c r="AH7725" t="s">
        <v>1605</v>
      </c>
      <c r="AI7725" t="s">
        <v>4655</v>
      </c>
      <c r="AJ7725" t="s">
        <v>70</v>
      </c>
      <c r="AK7725" t="s">
        <v>35925</v>
      </c>
      <c r="AL7725" s="13" t="s">
        <v>1899</v>
      </c>
      <c r="AM7725" s="14">
        <v>1</v>
      </c>
      <c r="AN7725" s="15" t="s">
        <v>5256</v>
      </c>
    </row>
    <row r="7726" spans="1:40" x14ac:dyDescent="0.3">
      <c r="A7726" s="10" t="str">
        <f>HYPERLINK("http://www.washoecounty.gov/assessor/cama/?parid=528-172-06&amp;CardNumber=1","528-172-06")</f>
        <v>528-172-06</v>
      </c>
      <c r="B7726" t="s">
        <v>4655</v>
      </c>
      <c r="C7726" t="s">
        <v>35926</v>
      </c>
      <c r="D7726" s="1">
        <v>40267</v>
      </c>
      <c r="E7726" s="2">
        <v>150000</v>
      </c>
      <c r="F7726" t="s">
        <v>4567</v>
      </c>
      <c r="G7726" s="17" t="str">
        <f>HYPERLINK("https://www.washoecounty.gov/assessor/cama/?command=sales&amp;parid=52817206","3865551")</f>
        <v>3865551</v>
      </c>
      <c r="H7726" t="s">
        <v>2670</v>
      </c>
      <c r="I7726">
        <v>2005</v>
      </c>
      <c r="J7726">
        <v>2005</v>
      </c>
      <c r="K7726" t="s">
        <v>4554</v>
      </c>
      <c r="L7726" t="s">
        <v>4555</v>
      </c>
      <c r="M7726" s="2">
        <v>1463</v>
      </c>
      <c r="N7726" t="s">
        <v>4048</v>
      </c>
      <c r="O7726">
        <v>3</v>
      </c>
      <c r="P7726">
        <v>2</v>
      </c>
      <c r="Q7726">
        <v>0</v>
      </c>
      <c r="R7726" t="s">
        <v>4557</v>
      </c>
      <c r="S7726" t="s">
        <v>4898</v>
      </c>
      <c r="T7726" t="s">
        <v>4559</v>
      </c>
      <c r="U7726" t="s">
        <v>4560</v>
      </c>
      <c r="V7726" s="2">
        <v>400</v>
      </c>
      <c r="W7726" t="s">
        <v>4655</v>
      </c>
      <c r="X7726" s="2">
        <v>0</v>
      </c>
      <c r="Y7726">
        <v>20</v>
      </c>
      <c r="Z7726" t="s">
        <v>1604</v>
      </c>
      <c r="AA7726" s="3">
        <v>0.147704318165779</v>
      </c>
      <c r="AB7726" t="s">
        <v>35927</v>
      </c>
      <c r="AC7726" t="s">
        <v>4562</v>
      </c>
      <c r="AD7726" t="s">
        <v>35926</v>
      </c>
      <c r="AE7726" t="s">
        <v>4655</v>
      </c>
      <c r="AF7726" t="s">
        <v>5201</v>
      </c>
      <c r="AG7726" t="s">
        <v>4564</v>
      </c>
      <c r="AH7726" t="s">
        <v>1605</v>
      </c>
      <c r="AI7726" t="s">
        <v>35928</v>
      </c>
      <c r="AJ7726" t="s">
        <v>70</v>
      </c>
      <c r="AK7726" t="s">
        <v>35929</v>
      </c>
      <c r="AL7726" s="13" t="s">
        <v>1899</v>
      </c>
      <c r="AM7726">
        <v>1</v>
      </c>
      <c r="AN7726" s="15" t="s">
        <v>5256</v>
      </c>
    </row>
    <row r="7727" spans="1:40" x14ac:dyDescent="0.3">
      <c r="A7727" s="10" t="str">
        <f>HYPERLINK("http://www.washoecounty.gov/assessor/cama/?parid=528-172-22&amp;CardNumber=1","528-172-22")</f>
        <v>528-172-22</v>
      </c>
      <c r="B7727" t="s">
        <v>4655</v>
      </c>
      <c r="C7727" t="s">
        <v>35930</v>
      </c>
      <c r="D7727" s="1">
        <v>40359</v>
      </c>
      <c r="E7727" s="2">
        <v>130680</v>
      </c>
      <c r="F7727" t="s">
        <v>4553</v>
      </c>
      <c r="G7727" s="17" t="str">
        <f>HYPERLINK("https://www.washoecounty.gov/assessor/cama/?command=sales&amp;parid=52817222","3895503")</f>
        <v>3895503</v>
      </c>
      <c r="H7727" t="s">
        <v>2670</v>
      </c>
      <c r="I7727">
        <v>2005</v>
      </c>
      <c r="J7727">
        <v>2005</v>
      </c>
      <c r="K7727" t="s">
        <v>4554</v>
      </c>
      <c r="L7727" t="s">
        <v>4555</v>
      </c>
      <c r="M7727" s="2">
        <v>1463</v>
      </c>
      <c r="N7727" t="s">
        <v>4048</v>
      </c>
      <c r="O7727">
        <v>3</v>
      </c>
      <c r="P7727">
        <v>2</v>
      </c>
      <c r="Q7727">
        <v>0</v>
      </c>
      <c r="R7727" t="s">
        <v>5281</v>
      </c>
      <c r="S7727" t="s">
        <v>4898</v>
      </c>
      <c r="T7727" t="s">
        <v>4559</v>
      </c>
      <c r="U7727" t="s">
        <v>4560</v>
      </c>
      <c r="V7727" s="2">
        <v>400</v>
      </c>
      <c r="W7727" t="s">
        <v>4655</v>
      </c>
      <c r="X7727" s="2">
        <v>0</v>
      </c>
      <c r="Y7727">
        <v>20</v>
      </c>
      <c r="Z7727" t="s">
        <v>1604</v>
      </c>
      <c r="AA7727" s="3">
        <v>0.14837005734443701</v>
      </c>
      <c r="AB7727" t="s">
        <v>910</v>
      </c>
      <c r="AC7727" t="s">
        <v>4575</v>
      </c>
      <c r="AD7727" t="s">
        <v>3940</v>
      </c>
      <c r="AE7727" t="s">
        <v>4655</v>
      </c>
      <c r="AF7727" t="s">
        <v>4809</v>
      </c>
      <c r="AG7727" t="s">
        <v>4564</v>
      </c>
      <c r="AH7727" t="s">
        <v>1605</v>
      </c>
      <c r="AI7727" t="s">
        <v>3939</v>
      </c>
      <c r="AJ7727" t="s">
        <v>70</v>
      </c>
      <c r="AK7727" t="s">
        <v>35931</v>
      </c>
      <c r="AL7727" s="13" t="s">
        <v>1899</v>
      </c>
      <c r="AM7727">
        <v>1</v>
      </c>
      <c r="AN7727" s="15" t="s">
        <v>5256</v>
      </c>
    </row>
    <row r="7728" spans="1:40" x14ac:dyDescent="0.3">
      <c r="A7728" s="10" t="str">
        <f>HYPERLINK("http://www.washoecounty.gov/assessor/cama/?parid=528-172-24&amp;CardNumber=1","528-172-24")</f>
        <v>528-172-24</v>
      </c>
      <c r="B7728" t="s">
        <v>4655</v>
      </c>
      <c r="C7728" t="s">
        <v>35932</v>
      </c>
      <c r="D7728" s="1">
        <v>40472</v>
      </c>
      <c r="E7728" s="2">
        <v>130000</v>
      </c>
      <c r="F7728" t="s">
        <v>4553</v>
      </c>
      <c r="G7728" s="17" t="str">
        <f>HYPERLINK("https://www.washoecounty.gov/assessor/cama/?command=sales&amp;parid=52817224","3935305")</f>
        <v>3935305</v>
      </c>
      <c r="H7728" t="s">
        <v>2670</v>
      </c>
      <c r="I7728">
        <v>2005</v>
      </c>
      <c r="J7728">
        <v>2005</v>
      </c>
      <c r="K7728" t="s">
        <v>4554</v>
      </c>
      <c r="L7728" t="s">
        <v>4555</v>
      </c>
      <c r="M7728" s="2">
        <v>1389</v>
      </c>
      <c r="N7728" t="s">
        <v>4048</v>
      </c>
      <c r="O7728">
        <v>3</v>
      </c>
      <c r="P7728">
        <v>2</v>
      </c>
      <c r="Q7728">
        <v>0</v>
      </c>
      <c r="R7728" t="s">
        <v>5281</v>
      </c>
      <c r="S7728" t="s">
        <v>4898</v>
      </c>
      <c r="T7728" t="s">
        <v>4559</v>
      </c>
      <c r="U7728" t="s">
        <v>4560</v>
      </c>
      <c r="V7728" s="2">
        <v>380</v>
      </c>
      <c r="W7728" t="s">
        <v>4655</v>
      </c>
      <c r="X7728" s="2">
        <v>0</v>
      </c>
      <c r="Y7728">
        <v>20</v>
      </c>
      <c r="Z7728" t="s">
        <v>1604</v>
      </c>
      <c r="AA7728" s="3">
        <v>0.138246104121208</v>
      </c>
      <c r="AB7728" t="s">
        <v>35933</v>
      </c>
      <c r="AC7728" t="s">
        <v>4562</v>
      </c>
      <c r="AD7728" t="s">
        <v>35934</v>
      </c>
      <c r="AE7728" t="s">
        <v>4655</v>
      </c>
      <c r="AF7728" t="s">
        <v>4809</v>
      </c>
      <c r="AG7728" t="s">
        <v>4564</v>
      </c>
      <c r="AH7728" t="s">
        <v>1605</v>
      </c>
      <c r="AI7728" t="s">
        <v>4585</v>
      </c>
      <c r="AJ7728" t="s">
        <v>70</v>
      </c>
      <c r="AK7728" t="s">
        <v>35935</v>
      </c>
      <c r="AL7728" s="13" t="s">
        <v>1899</v>
      </c>
      <c r="AM7728">
        <v>1</v>
      </c>
      <c r="AN7728" s="15" t="s">
        <v>5256</v>
      </c>
    </row>
    <row r="7729" spans="1:40" x14ac:dyDescent="0.3">
      <c r="A7729" s="10" t="str">
        <f>HYPERLINK("http://www.washoecounty.gov/assessor/cama/?parid=528-181-08&amp;CardNumber=1","528-181-08")</f>
        <v>528-181-08</v>
      </c>
      <c r="B7729" t="s">
        <v>4655</v>
      </c>
      <c r="C7729" t="s">
        <v>35936</v>
      </c>
      <c r="D7729" s="1">
        <v>40541</v>
      </c>
      <c r="E7729" s="2">
        <v>147000</v>
      </c>
      <c r="F7729" t="s">
        <v>4553</v>
      </c>
      <c r="G7729" s="17" t="str">
        <f>HYPERLINK("https://www.washoecounty.gov/assessor/cama/?command=sales&amp;parid=52818108","3958585")</f>
        <v>3958585</v>
      </c>
      <c r="H7729" t="s">
        <v>71</v>
      </c>
      <c r="I7729">
        <v>2007</v>
      </c>
      <c r="J7729">
        <v>2007</v>
      </c>
      <c r="K7729" t="s">
        <v>4554</v>
      </c>
      <c r="L7729" t="s">
        <v>4555</v>
      </c>
      <c r="M7729" s="2">
        <v>1785</v>
      </c>
      <c r="N7729" t="s">
        <v>3147</v>
      </c>
      <c r="O7729">
        <v>4</v>
      </c>
      <c r="P7729">
        <v>2</v>
      </c>
      <c r="Q7729">
        <v>0</v>
      </c>
      <c r="R7729" t="s">
        <v>5281</v>
      </c>
      <c r="S7729" t="s">
        <v>4898</v>
      </c>
      <c r="T7729" t="s">
        <v>2704</v>
      </c>
      <c r="U7729" t="s">
        <v>4560</v>
      </c>
      <c r="V7729" s="2">
        <v>420</v>
      </c>
      <c r="W7729" t="s">
        <v>4655</v>
      </c>
      <c r="X7729" s="2">
        <v>0</v>
      </c>
      <c r="Y7729">
        <v>20</v>
      </c>
      <c r="Z7729" t="s">
        <v>1604</v>
      </c>
      <c r="AA7729" s="3">
        <v>0.137741044163704</v>
      </c>
      <c r="AB7729" t="s">
        <v>35937</v>
      </c>
      <c r="AC7729" t="s">
        <v>4562</v>
      </c>
      <c r="AD7729" t="s">
        <v>35936</v>
      </c>
      <c r="AE7729" t="s">
        <v>4655</v>
      </c>
      <c r="AF7729" t="s">
        <v>5201</v>
      </c>
      <c r="AG7729" t="s">
        <v>4564</v>
      </c>
      <c r="AH7729" t="s">
        <v>1605</v>
      </c>
      <c r="AI7729" t="s">
        <v>4655</v>
      </c>
      <c r="AJ7729" t="s">
        <v>1473</v>
      </c>
      <c r="AK7729" t="s">
        <v>35938</v>
      </c>
      <c r="AL7729" s="13" t="s">
        <v>1900</v>
      </c>
      <c r="AM7729">
        <v>1</v>
      </c>
      <c r="AN7729" s="15" t="s">
        <v>2042</v>
      </c>
    </row>
    <row r="7730" spans="1:40" x14ac:dyDescent="0.3">
      <c r="A7730" s="10" t="str">
        <f>HYPERLINK("http://www.washoecounty.gov/assessor/cama/?parid=528-183-10&amp;CardNumber=1","528-183-10")</f>
        <v>528-183-10</v>
      </c>
      <c r="B7730" t="s">
        <v>4655</v>
      </c>
      <c r="C7730" t="s">
        <v>35939</v>
      </c>
      <c r="D7730" s="1">
        <v>40436</v>
      </c>
      <c r="E7730" s="2">
        <v>225000</v>
      </c>
      <c r="F7730" t="s">
        <v>4553</v>
      </c>
      <c r="G7730" s="17" t="str">
        <f>HYPERLINK("https://www.washoecounty.gov/assessor/cama/?command=sales&amp;parid=52818310","3922454")</f>
        <v>3922454</v>
      </c>
      <c r="H7730" t="s">
        <v>71</v>
      </c>
      <c r="I7730">
        <v>2007</v>
      </c>
      <c r="J7730">
        <v>2007</v>
      </c>
      <c r="K7730" t="s">
        <v>4554</v>
      </c>
      <c r="L7730" t="s">
        <v>3974</v>
      </c>
      <c r="M7730" s="2">
        <v>2313</v>
      </c>
      <c r="N7730" t="s">
        <v>3147</v>
      </c>
      <c r="O7730">
        <v>4</v>
      </c>
      <c r="P7730">
        <v>3</v>
      </c>
      <c r="Q7730">
        <v>0</v>
      </c>
      <c r="R7730" t="s">
        <v>5281</v>
      </c>
      <c r="S7730" t="s">
        <v>4898</v>
      </c>
      <c r="T7730" t="s">
        <v>2704</v>
      </c>
      <c r="U7730" t="s">
        <v>4560</v>
      </c>
      <c r="V7730" s="2">
        <v>642</v>
      </c>
      <c r="W7730" t="s">
        <v>4655</v>
      </c>
      <c r="X7730" s="2">
        <v>0</v>
      </c>
      <c r="Y7730">
        <v>20</v>
      </c>
      <c r="Z7730" t="s">
        <v>1604</v>
      </c>
      <c r="AA7730" s="3">
        <v>0.163751155138016</v>
      </c>
      <c r="AB7730" t="s">
        <v>35940</v>
      </c>
      <c r="AC7730" t="s">
        <v>4562</v>
      </c>
      <c r="AD7730" t="s">
        <v>35939</v>
      </c>
      <c r="AE7730" t="s">
        <v>4655</v>
      </c>
      <c r="AF7730" t="s">
        <v>5201</v>
      </c>
      <c r="AG7730" t="s">
        <v>4564</v>
      </c>
      <c r="AH7730" t="s">
        <v>1605</v>
      </c>
      <c r="AI7730" t="s">
        <v>949</v>
      </c>
      <c r="AJ7730" t="s">
        <v>1473</v>
      </c>
      <c r="AK7730" t="s">
        <v>35941</v>
      </c>
      <c r="AL7730" s="13" t="s">
        <v>1900</v>
      </c>
      <c r="AM7730" s="14">
        <v>1</v>
      </c>
      <c r="AN7730" s="15" t="s">
        <v>2042</v>
      </c>
    </row>
    <row r="7731" spans="1:40" x14ac:dyDescent="0.3">
      <c r="A7731" s="10" t="str">
        <f>HYPERLINK("http://www.washoecounty.gov/assessor/cama/?parid=528-183-13&amp;CardNumber=1","528-183-13")</f>
        <v>528-183-13</v>
      </c>
      <c r="B7731" t="s">
        <v>4655</v>
      </c>
      <c r="C7731" t="s">
        <v>35942</v>
      </c>
      <c r="D7731" s="1">
        <v>40214</v>
      </c>
      <c r="E7731" s="2">
        <v>180000</v>
      </c>
      <c r="F7731" t="s">
        <v>4567</v>
      </c>
      <c r="G7731" s="17" t="str">
        <f>HYPERLINK("https://www.washoecounty.gov/assessor/cama/?command=sales&amp;parid=52818313","3846483")</f>
        <v>3846483</v>
      </c>
      <c r="H7731" t="s">
        <v>71</v>
      </c>
      <c r="I7731">
        <v>2007</v>
      </c>
      <c r="J7731">
        <v>2007</v>
      </c>
      <c r="K7731" t="s">
        <v>4554</v>
      </c>
      <c r="L7731" t="s">
        <v>4555</v>
      </c>
      <c r="M7731" s="2">
        <v>1675</v>
      </c>
      <c r="N7731" t="s">
        <v>3147</v>
      </c>
      <c r="O7731">
        <v>3</v>
      </c>
      <c r="P7731">
        <v>2</v>
      </c>
      <c r="Q7731">
        <v>0</v>
      </c>
      <c r="R7731" t="s">
        <v>5281</v>
      </c>
      <c r="S7731" t="s">
        <v>4898</v>
      </c>
      <c r="T7731" t="s">
        <v>2704</v>
      </c>
      <c r="U7731" t="s">
        <v>4560</v>
      </c>
      <c r="V7731" s="2">
        <v>460</v>
      </c>
      <c r="W7731" t="s">
        <v>4655</v>
      </c>
      <c r="X7731" s="2">
        <v>0</v>
      </c>
      <c r="Y7731">
        <v>20</v>
      </c>
      <c r="Z7731" t="s">
        <v>1604</v>
      </c>
      <c r="AA7731" s="3">
        <v>0.16076676547527299</v>
      </c>
      <c r="AB7731" t="s">
        <v>35943</v>
      </c>
      <c r="AC7731" t="s">
        <v>4562</v>
      </c>
      <c r="AD7731" t="s">
        <v>35942</v>
      </c>
      <c r="AE7731" t="s">
        <v>4655</v>
      </c>
      <c r="AF7731" t="s">
        <v>5201</v>
      </c>
      <c r="AG7731" t="s">
        <v>4564</v>
      </c>
      <c r="AH7731" t="s">
        <v>1605</v>
      </c>
      <c r="AI7731" t="s">
        <v>35944</v>
      </c>
      <c r="AJ7731" t="s">
        <v>1473</v>
      </c>
      <c r="AK7731" t="s">
        <v>35945</v>
      </c>
      <c r="AL7731" s="13" t="s">
        <v>1900</v>
      </c>
      <c r="AM7731">
        <v>1</v>
      </c>
      <c r="AN7731" s="15" t="s">
        <v>2042</v>
      </c>
    </row>
    <row r="7732" spans="1:40" x14ac:dyDescent="0.3">
      <c r="A7732" s="10" t="str">
        <f>HYPERLINK("http://www.washoecounty.gov/assessor/cama/?parid=528-185-03&amp;CardNumber=1","528-185-03")</f>
        <v>528-185-03</v>
      </c>
      <c r="B7732" t="s">
        <v>4655</v>
      </c>
      <c r="C7732" t="s">
        <v>35946</v>
      </c>
      <c r="D7732" s="1">
        <v>40303</v>
      </c>
      <c r="E7732" s="2">
        <v>270000</v>
      </c>
      <c r="F7732" t="s">
        <v>4567</v>
      </c>
      <c r="G7732" s="17" t="str">
        <f>HYPERLINK("https://www.washoecounty.gov/assessor/cama/?command=sales&amp;parid=52818503","3878232")</f>
        <v>3878232</v>
      </c>
      <c r="H7732" t="s">
        <v>71</v>
      </c>
      <c r="I7732">
        <v>2007</v>
      </c>
      <c r="J7732">
        <v>2007</v>
      </c>
      <c r="K7732" t="s">
        <v>4554</v>
      </c>
      <c r="L7732" t="s">
        <v>3974</v>
      </c>
      <c r="M7732" s="2">
        <v>2348</v>
      </c>
      <c r="N7732" t="s">
        <v>3147</v>
      </c>
      <c r="O7732">
        <v>4</v>
      </c>
      <c r="P7732">
        <v>2</v>
      </c>
      <c r="Q7732">
        <v>1</v>
      </c>
      <c r="R7732" t="s">
        <v>5281</v>
      </c>
      <c r="S7732" t="s">
        <v>4898</v>
      </c>
      <c r="T7732" t="s">
        <v>2704</v>
      </c>
      <c r="U7732" t="s">
        <v>5631</v>
      </c>
      <c r="V7732" s="2">
        <v>525</v>
      </c>
      <c r="W7732" t="s">
        <v>4655</v>
      </c>
      <c r="X7732" s="2">
        <v>0</v>
      </c>
      <c r="Y7732">
        <v>20</v>
      </c>
      <c r="Z7732" t="s">
        <v>1604</v>
      </c>
      <c r="AA7732" s="3">
        <v>0.19559228420257599</v>
      </c>
      <c r="AB7732" t="s">
        <v>35947</v>
      </c>
      <c r="AC7732" t="s">
        <v>4562</v>
      </c>
      <c r="AD7732" t="s">
        <v>35948</v>
      </c>
      <c r="AE7732" t="s">
        <v>4655</v>
      </c>
      <c r="AF7732" t="s">
        <v>5201</v>
      </c>
      <c r="AG7732" t="s">
        <v>4564</v>
      </c>
      <c r="AH7732" t="s">
        <v>1605</v>
      </c>
      <c r="AI7732" t="s">
        <v>1576</v>
      </c>
      <c r="AJ7732" t="s">
        <v>1473</v>
      </c>
      <c r="AK7732" t="s">
        <v>35949</v>
      </c>
      <c r="AL7732" s="13" t="s">
        <v>1900</v>
      </c>
      <c r="AM7732">
        <v>1</v>
      </c>
      <c r="AN7732" s="15" t="s">
        <v>2042</v>
      </c>
    </row>
    <row r="7733" spans="1:40" x14ac:dyDescent="0.3">
      <c r="A7733" s="10" t="str">
        <f>HYPERLINK("http://www.washoecounty.gov/assessor/cama/?parid=528-185-04&amp;CardNumber=1","528-185-04")</f>
        <v>528-185-04</v>
      </c>
      <c r="B7733" t="s">
        <v>4655</v>
      </c>
      <c r="C7733" t="s">
        <v>35950</v>
      </c>
      <c r="D7733" s="1">
        <v>40296</v>
      </c>
      <c r="E7733" s="2">
        <v>280000</v>
      </c>
      <c r="F7733" t="s">
        <v>4567</v>
      </c>
      <c r="G7733" s="17" t="str">
        <f>HYPERLINK("https://www.washoecounty.gov/assessor/cama/?command=sales&amp;parid=52818504","3875853")</f>
        <v>3875853</v>
      </c>
      <c r="H7733" t="s">
        <v>71</v>
      </c>
      <c r="I7733">
        <v>2007</v>
      </c>
      <c r="J7733">
        <v>2007</v>
      </c>
      <c r="K7733" t="s">
        <v>4554</v>
      </c>
      <c r="L7733" t="s">
        <v>3974</v>
      </c>
      <c r="M7733" s="2">
        <v>2664</v>
      </c>
      <c r="N7733" t="s">
        <v>3147</v>
      </c>
      <c r="O7733">
        <v>4</v>
      </c>
      <c r="P7733">
        <v>2</v>
      </c>
      <c r="Q7733">
        <v>1</v>
      </c>
      <c r="R7733" t="s">
        <v>5281</v>
      </c>
      <c r="S7733" t="s">
        <v>4898</v>
      </c>
      <c r="T7733" t="s">
        <v>2704</v>
      </c>
      <c r="U7733" t="s">
        <v>5631</v>
      </c>
      <c r="V7733" s="2">
        <v>742</v>
      </c>
      <c r="W7733" t="s">
        <v>4655</v>
      </c>
      <c r="X7733" s="2">
        <v>0</v>
      </c>
      <c r="Y7733">
        <v>20</v>
      </c>
      <c r="Z7733" t="s">
        <v>1604</v>
      </c>
      <c r="AA7733" s="3">
        <v>0.143549129366875</v>
      </c>
      <c r="AB7733" t="s">
        <v>35951</v>
      </c>
      <c r="AC7733" t="s">
        <v>4562</v>
      </c>
      <c r="AD7733" t="s">
        <v>35952</v>
      </c>
      <c r="AE7733" t="s">
        <v>4655</v>
      </c>
      <c r="AF7733" t="s">
        <v>1407</v>
      </c>
      <c r="AG7733" t="s">
        <v>4564</v>
      </c>
      <c r="AH7733">
        <v>89705</v>
      </c>
      <c r="AI7733" t="s">
        <v>1576</v>
      </c>
      <c r="AJ7733" t="s">
        <v>1473</v>
      </c>
      <c r="AK7733" t="s">
        <v>35953</v>
      </c>
      <c r="AL7733" s="13" t="s">
        <v>1900</v>
      </c>
      <c r="AM7733">
        <v>1</v>
      </c>
      <c r="AN7733" s="15" t="s">
        <v>2042</v>
      </c>
    </row>
    <row r="7734" spans="1:40" x14ac:dyDescent="0.3">
      <c r="A7734" s="10" t="str">
        <f>HYPERLINK("http://www.washoecounty.gov/assessor/cama/?parid=528-191-03&amp;CardNumber=1","528-191-03")</f>
        <v>528-191-03</v>
      </c>
      <c r="B7734" t="s">
        <v>4655</v>
      </c>
      <c r="C7734" t="s">
        <v>35954</v>
      </c>
      <c r="D7734" s="1">
        <v>40434</v>
      </c>
      <c r="E7734" s="2">
        <v>210000</v>
      </c>
      <c r="F7734" t="s">
        <v>4553</v>
      </c>
      <c r="G7734" s="17" t="str">
        <f>HYPERLINK("https://www.washoecounty.gov/assessor/cama/?command=sales&amp;parid=52819103","3921498")</f>
        <v>3921498</v>
      </c>
      <c r="H7734" t="s">
        <v>71</v>
      </c>
      <c r="I7734">
        <v>2007</v>
      </c>
      <c r="J7734">
        <v>2007</v>
      </c>
      <c r="K7734" t="s">
        <v>4554</v>
      </c>
      <c r="L7734" t="s">
        <v>3974</v>
      </c>
      <c r="M7734" s="2">
        <v>2313</v>
      </c>
      <c r="N7734" t="s">
        <v>3147</v>
      </c>
      <c r="O7734">
        <v>4</v>
      </c>
      <c r="P7734">
        <v>3</v>
      </c>
      <c r="Q7734">
        <v>0</v>
      </c>
      <c r="R7734" t="s">
        <v>5281</v>
      </c>
      <c r="S7734" t="s">
        <v>4898</v>
      </c>
      <c r="T7734" t="s">
        <v>2704</v>
      </c>
      <c r="U7734" t="s">
        <v>4560</v>
      </c>
      <c r="V7734" s="2">
        <v>642</v>
      </c>
      <c r="W7734" t="s">
        <v>4655</v>
      </c>
      <c r="X7734" s="2">
        <v>0</v>
      </c>
      <c r="Y7734">
        <v>20</v>
      </c>
      <c r="Z7734" t="s">
        <v>1604</v>
      </c>
      <c r="AA7734" s="3">
        <v>0.137741044163704</v>
      </c>
      <c r="AB7734" t="s">
        <v>35955</v>
      </c>
      <c r="AC7734" t="s">
        <v>4562</v>
      </c>
      <c r="AD7734" t="s">
        <v>35956</v>
      </c>
      <c r="AE7734" t="s">
        <v>4655</v>
      </c>
      <c r="AF7734" t="s">
        <v>5142</v>
      </c>
      <c r="AG7734" t="s">
        <v>4564</v>
      </c>
      <c r="AH7734">
        <v>89045</v>
      </c>
      <c r="AI7734" t="s">
        <v>4903</v>
      </c>
      <c r="AJ7734" t="s">
        <v>1473</v>
      </c>
      <c r="AK7734" t="s">
        <v>35957</v>
      </c>
      <c r="AL7734" s="13" t="s">
        <v>1900</v>
      </c>
      <c r="AM7734" s="14">
        <v>1</v>
      </c>
      <c r="AN7734" s="15" t="s">
        <v>2042</v>
      </c>
    </row>
    <row r="7735" spans="1:40" x14ac:dyDescent="0.3">
      <c r="A7735" s="10" t="str">
        <f>HYPERLINK("http://www.washoecounty.gov/assessor/cama/?parid=528-193-20&amp;CardNumber=1","528-193-20")</f>
        <v>528-193-20</v>
      </c>
      <c r="B7735" t="s">
        <v>4655</v>
      </c>
      <c r="C7735" t="s">
        <v>35958</v>
      </c>
      <c r="D7735" s="1">
        <v>40218</v>
      </c>
      <c r="E7735" s="2">
        <v>185000</v>
      </c>
      <c r="F7735" t="s">
        <v>4567</v>
      </c>
      <c r="G7735" s="17" t="str">
        <f>HYPERLINK("https://www.washoecounty.gov/assessor/cama/?command=sales&amp;parid=52819320","3845710")</f>
        <v>3845710</v>
      </c>
      <c r="H7735" t="s">
        <v>71</v>
      </c>
      <c r="I7735">
        <v>2007</v>
      </c>
      <c r="J7735">
        <v>2007</v>
      </c>
      <c r="K7735" t="s">
        <v>4554</v>
      </c>
      <c r="L7735" t="s">
        <v>4555</v>
      </c>
      <c r="M7735" s="2">
        <v>1785</v>
      </c>
      <c r="N7735" t="s">
        <v>3147</v>
      </c>
      <c r="O7735">
        <v>4</v>
      </c>
      <c r="P7735">
        <v>2</v>
      </c>
      <c r="Q7735">
        <v>0</v>
      </c>
      <c r="R7735" t="s">
        <v>5281</v>
      </c>
      <c r="S7735" t="s">
        <v>4898</v>
      </c>
      <c r="T7735" t="s">
        <v>2704</v>
      </c>
      <c r="U7735" t="s">
        <v>4560</v>
      </c>
      <c r="V7735" s="2">
        <v>420</v>
      </c>
      <c r="W7735" t="s">
        <v>4655</v>
      </c>
      <c r="X7735" s="2">
        <v>0</v>
      </c>
      <c r="Y7735">
        <v>20</v>
      </c>
      <c r="Z7735" t="s">
        <v>1604</v>
      </c>
      <c r="AA7735" s="3">
        <v>0.17681358754634857</v>
      </c>
      <c r="AB7735" t="s">
        <v>35959</v>
      </c>
      <c r="AC7735" t="s">
        <v>4562</v>
      </c>
      <c r="AD7735" t="s">
        <v>35960</v>
      </c>
      <c r="AE7735" t="s">
        <v>4655</v>
      </c>
      <c r="AF7735" t="s">
        <v>4809</v>
      </c>
      <c r="AG7735" t="s">
        <v>4564</v>
      </c>
      <c r="AH7735" t="s">
        <v>1605</v>
      </c>
      <c r="AI7735" t="s">
        <v>35961</v>
      </c>
      <c r="AJ7735" t="s">
        <v>1473</v>
      </c>
      <c r="AK7735" t="s">
        <v>35962</v>
      </c>
      <c r="AL7735" s="13" t="s">
        <v>1900</v>
      </c>
      <c r="AM7735">
        <v>1</v>
      </c>
      <c r="AN7735" s="15" t="s">
        <v>2042</v>
      </c>
    </row>
    <row r="7736" spans="1:40" x14ac:dyDescent="0.3">
      <c r="A7736" s="10" t="str">
        <f>HYPERLINK("http://www.washoecounty.gov/assessor/cama/?parid=528-211-05&amp;CardNumber=1","528-211-05")</f>
        <v>528-211-05</v>
      </c>
      <c r="B7736" t="s">
        <v>4655</v>
      </c>
      <c r="C7736" t="s">
        <v>35963</v>
      </c>
      <c r="D7736" s="1">
        <v>40291</v>
      </c>
      <c r="E7736" s="2">
        <v>279900</v>
      </c>
      <c r="F7736" t="s">
        <v>4567</v>
      </c>
      <c r="G7736" s="17" t="str">
        <f>HYPERLINK("https://www.washoecounty.gov/assessor/cama/?command=sales&amp;parid=52821105","3873970")</f>
        <v>3873970</v>
      </c>
      <c r="H7736" t="s">
        <v>28</v>
      </c>
      <c r="I7736">
        <v>2007</v>
      </c>
      <c r="J7736">
        <v>2007</v>
      </c>
      <c r="K7736" t="s">
        <v>4554</v>
      </c>
      <c r="L7736" t="s">
        <v>3974</v>
      </c>
      <c r="M7736" s="2">
        <v>3131</v>
      </c>
      <c r="N7736" t="s">
        <v>3147</v>
      </c>
      <c r="O7736">
        <v>4</v>
      </c>
      <c r="P7736">
        <v>2</v>
      </c>
      <c r="Q7736">
        <v>0</v>
      </c>
      <c r="R7736" t="s">
        <v>5281</v>
      </c>
      <c r="S7736" t="s">
        <v>4898</v>
      </c>
      <c r="T7736" t="s">
        <v>2704</v>
      </c>
      <c r="U7736" t="s">
        <v>5631</v>
      </c>
      <c r="V7736" s="2">
        <v>704</v>
      </c>
      <c r="W7736" t="s">
        <v>4655</v>
      </c>
      <c r="X7736" s="2">
        <v>0</v>
      </c>
      <c r="Y7736">
        <v>20</v>
      </c>
      <c r="Z7736" t="s">
        <v>1604</v>
      </c>
      <c r="AA7736" s="3">
        <v>0.25585398077964799</v>
      </c>
      <c r="AB7736" t="s">
        <v>35964</v>
      </c>
      <c r="AC7736" t="s">
        <v>4562</v>
      </c>
      <c r="AD7736" t="s">
        <v>35965</v>
      </c>
      <c r="AE7736" t="s">
        <v>4655</v>
      </c>
      <c r="AF7736" t="s">
        <v>5201</v>
      </c>
      <c r="AG7736" t="s">
        <v>4564</v>
      </c>
      <c r="AH7736" t="s">
        <v>1605</v>
      </c>
      <c r="AI7736" t="s">
        <v>35966</v>
      </c>
      <c r="AJ7736" t="s">
        <v>29</v>
      </c>
      <c r="AK7736" t="s">
        <v>35967</v>
      </c>
      <c r="AL7736" s="13" t="s">
        <v>1900</v>
      </c>
      <c r="AM7736">
        <v>1</v>
      </c>
      <c r="AN7736" s="15" t="s">
        <v>2042</v>
      </c>
    </row>
    <row r="7737" spans="1:40" x14ac:dyDescent="0.3">
      <c r="A7737" s="10" t="str">
        <f>HYPERLINK("http://www.washoecounty.gov/assessor/cama/?parid=528-211-08&amp;CardNumber=1","528-211-08")</f>
        <v>528-211-08</v>
      </c>
      <c r="B7737" t="s">
        <v>4655</v>
      </c>
      <c r="C7737" t="s">
        <v>35968</v>
      </c>
      <c r="D7737" s="1">
        <v>40210</v>
      </c>
      <c r="E7737" s="2">
        <v>245000</v>
      </c>
      <c r="F7737" t="s">
        <v>4567</v>
      </c>
      <c r="G7737" s="17" t="str">
        <f>HYPERLINK("https://www.washoecounty.gov/assessor/cama/?command=sales&amp;parid=52821108","3844579")</f>
        <v>3844579</v>
      </c>
      <c r="H7737" t="s">
        <v>28</v>
      </c>
      <c r="I7737">
        <v>2007</v>
      </c>
      <c r="J7737">
        <v>2007</v>
      </c>
      <c r="K7737" t="s">
        <v>4554</v>
      </c>
      <c r="L7737" t="s">
        <v>3974</v>
      </c>
      <c r="M7737" s="2">
        <v>2861</v>
      </c>
      <c r="N7737" t="s">
        <v>3147</v>
      </c>
      <c r="O7737">
        <v>4</v>
      </c>
      <c r="P7737">
        <v>3</v>
      </c>
      <c r="Q7737">
        <v>0</v>
      </c>
      <c r="R7737" t="s">
        <v>5281</v>
      </c>
      <c r="S7737" t="s">
        <v>4898</v>
      </c>
      <c r="T7737" t="s">
        <v>2704</v>
      </c>
      <c r="U7737" t="s">
        <v>5631</v>
      </c>
      <c r="V7737" s="2">
        <v>644</v>
      </c>
      <c r="W7737" t="s">
        <v>4655</v>
      </c>
      <c r="X7737" s="2">
        <v>0</v>
      </c>
      <c r="Y7737">
        <v>20</v>
      </c>
      <c r="Z7737" t="s">
        <v>1604</v>
      </c>
      <c r="AA7737" s="3">
        <v>0.14921946823596954</v>
      </c>
      <c r="AB7737" t="s">
        <v>35969</v>
      </c>
      <c r="AC7737" t="s">
        <v>4562</v>
      </c>
      <c r="AD7737" t="s">
        <v>35968</v>
      </c>
      <c r="AE7737" t="s">
        <v>4655</v>
      </c>
      <c r="AF7737" t="s">
        <v>5201</v>
      </c>
      <c r="AG7737" t="s">
        <v>4564</v>
      </c>
      <c r="AH7737" t="s">
        <v>1605</v>
      </c>
      <c r="AI7737" t="s">
        <v>35970</v>
      </c>
      <c r="AJ7737" t="s">
        <v>29</v>
      </c>
      <c r="AK7737" t="s">
        <v>35971</v>
      </c>
      <c r="AL7737" s="13" t="s">
        <v>1900</v>
      </c>
      <c r="AM7737" s="14">
        <v>1</v>
      </c>
      <c r="AN7737" s="15" t="s">
        <v>2042</v>
      </c>
    </row>
    <row r="7738" spans="1:40" x14ac:dyDescent="0.3">
      <c r="A7738" s="10" t="str">
        <f>HYPERLINK("http://www.washoecounty.gov/assessor/cama/?parid=528-211-15&amp;CardNumber=1","528-211-15")</f>
        <v>528-211-15</v>
      </c>
      <c r="B7738" t="s">
        <v>4655</v>
      </c>
      <c r="C7738" t="s">
        <v>35972</v>
      </c>
      <c r="D7738" s="1">
        <v>40417</v>
      </c>
      <c r="E7738" s="2">
        <v>240000</v>
      </c>
      <c r="F7738" t="s">
        <v>4567</v>
      </c>
      <c r="G7738" s="17" t="str">
        <f>HYPERLINK("https://www.washoecounty.gov/assessor/cama/?command=sales&amp;parid=52821115","3916318")</f>
        <v>3916318</v>
      </c>
      <c r="H7738" t="s">
        <v>28</v>
      </c>
      <c r="I7738">
        <v>2007</v>
      </c>
      <c r="J7738">
        <v>2007</v>
      </c>
      <c r="K7738" t="s">
        <v>4554</v>
      </c>
      <c r="L7738" t="s">
        <v>3974</v>
      </c>
      <c r="M7738" s="2">
        <v>2861</v>
      </c>
      <c r="N7738" t="s">
        <v>3147</v>
      </c>
      <c r="O7738">
        <v>4</v>
      </c>
      <c r="P7738">
        <v>3</v>
      </c>
      <c r="Q7738">
        <v>0</v>
      </c>
      <c r="R7738" t="s">
        <v>5281</v>
      </c>
      <c r="S7738" t="s">
        <v>4898</v>
      </c>
      <c r="T7738" t="s">
        <v>2704</v>
      </c>
      <c r="U7738" t="s">
        <v>5631</v>
      </c>
      <c r="V7738" s="2">
        <v>644</v>
      </c>
      <c r="W7738" t="s">
        <v>4655</v>
      </c>
      <c r="X7738" s="2">
        <v>0</v>
      </c>
      <c r="Y7738">
        <v>20</v>
      </c>
      <c r="Z7738" t="s">
        <v>1604</v>
      </c>
      <c r="AA7738" s="3">
        <v>0.157438009977341</v>
      </c>
      <c r="AB7738" t="s">
        <v>35973</v>
      </c>
      <c r="AC7738" t="s">
        <v>4562</v>
      </c>
      <c r="AD7738" t="s">
        <v>35972</v>
      </c>
      <c r="AE7738" t="s">
        <v>4655</v>
      </c>
      <c r="AF7738" t="s">
        <v>5201</v>
      </c>
      <c r="AG7738" t="s">
        <v>4564</v>
      </c>
      <c r="AH7738" t="s">
        <v>1605</v>
      </c>
      <c r="AI7738" t="s">
        <v>35974</v>
      </c>
      <c r="AJ7738" t="s">
        <v>29</v>
      </c>
      <c r="AK7738" t="s">
        <v>35975</v>
      </c>
      <c r="AL7738" s="13" t="s">
        <v>1900</v>
      </c>
      <c r="AM7738" s="14">
        <v>1</v>
      </c>
      <c r="AN7738" s="15" t="s">
        <v>2042</v>
      </c>
    </row>
    <row r="7739" spans="1:40" x14ac:dyDescent="0.3">
      <c r="A7739" s="10" t="str">
        <f>HYPERLINK("http://www.washoecounty.gov/assessor/cama/?parid=528-213-09&amp;CardNumber=1","528-213-09")</f>
        <v>528-213-09</v>
      </c>
      <c r="B7739" t="s">
        <v>4655</v>
      </c>
      <c r="C7739" t="s">
        <v>35976</v>
      </c>
      <c r="D7739" s="1">
        <v>40389</v>
      </c>
      <c r="E7739" s="2">
        <v>212000</v>
      </c>
      <c r="F7739" t="s">
        <v>4567</v>
      </c>
      <c r="G7739" s="17" t="str">
        <f>HYPERLINK("https://www.washoecounty.gov/assessor/cama/?command=sales&amp;parid=52821309","3907241")</f>
        <v>3907241</v>
      </c>
      <c r="H7739" t="s">
        <v>28</v>
      </c>
      <c r="I7739">
        <v>2007</v>
      </c>
      <c r="J7739">
        <v>2007</v>
      </c>
      <c r="K7739" t="s">
        <v>4554</v>
      </c>
      <c r="L7739" t="s">
        <v>4555</v>
      </c>
      <c r="M7739" s="2">
        <v>1933</v>
      </c>
      <c r="N7739" t="s">
        <v>3147</v>
      </c>
      <c r="O7739">
        <v>3</v>
      </c>
      <c r="P7739">
        <v>2</v>
      </c>
      <c r="Q7739">
        <v>0</v>
      </c>
      <c r="R7739" t="s">
        <v>5281</v>
      </c>
      <c r="S7739" t="s">
        <v>4898</v>
      </c>
      <c r="T7739" t="s">
        <v>2704</v>
      </c>
      <c r="U7739" t="s">
        <v>4560</v>
      </c>
      <c r="V7739" s="2">
        <v>474</v>
      </c>
      <c r="W7739" t="s">
        <v>4655</v>
      </c>
      <c r="X7739" s="2">
        <v>0</v>
      </c>
      <c r="Y7739">
        <v>20</v>
      </c>
      <c r="Z7739" t="s">
        <v>1604</v>
      </c>
      <c r="AA7739" s="3">
        <v>0.17102846503257799</v>
      </c>
      <c r="AB7739" t="s">
        <v>35977</v>
      </c>
      <c r="AC7739" t="s">
        <v>4562</v>
      </c>
      <c r="AD7739" t="s">
        <v>35976</v>
      </c>
      <c r="AE7739" t="s">
        <v>4655</v>
      </c>
      <c r="AF7739" t="s">
        <v>5201</v>
      </c>
      <c r="AG7739" t="s">
        <v>4564</v>
      </c>
      <c r="AH7739" t="s">
        <v>1605</v>
      </c>
      <c r="AI7739" t="s">
        <v>35978</v>
      </c>
      <c r="AJ7739" t="s">
        <v>29</v>
      </c>
      <c r="AK7739" t="s">
        <v>35979</v>
      </c>
      <c r="AL7739" s="13" t="s">
        <v>1900</v>
      </c>
      <c r="AM7739" s="14">
        <v>1</v>
      </c>
      <c r="AN7739" s="15" t="s">
        <v>2042</v>
      </c>
    </row>
    <row r="7740" spans="1:40" x14ac:dyDescent="0.3">
      <c r="A7740" s="10" t="str">
        <f>HYPERLINK("http://www.washoecounty.gov/assessor/cama/?parid=528-231-06&amp;CardNumber=1","528-231-06")</f>
        <v>528-231-06</v>
      </c>
      <c r="B7740" t="s">
        <v>4655</v>
      </c>
      <c r="C7740" t="s">
        <v>1558</v>
      </c>
      <c r="D7740" s="1">
        <v>40372</v>
      </c>
      <c r="E7740" s="2">
        <v>1369340</v>
      </c>
      <c r="F7740" t="s">
        <v>3584</v>
      </c>
      <c r="G7740" s="17" t="str">
        <f>HYPERLINK("https://www.washoecounty.gov/assessor/cama/?command=sales&amp;parid=52823106","3900875")</f>
        <v>3900875</v>
      </c>
      <c r="H7740" t="s">
        <v>4937</v>
      </c>
      <c r="I7740">
        <v>2007</v>
      </c>
      <c r="J7740">
        <v>2007</v>
      </c>
      <c r="K7740" t="s">
        <v>4554</v>
      </c>
      <c r="L7740" t="s">
        <v>3974</v>
      </c>
      <c r="M7740" s="2">
        <v>1485</v>
      </c>
      <c r="N7740" t="s">
        <v>5280</v>
      </c>
      <c r="O7740">
        <v>3</v>
      </c>
      <c r="P7740">
        <v>2</v>
      </c>
      <c r="Q7740">
        <v>1</v>
      </c>
      <c r="R7740" t="s">
        <v>5281</v>
      </c>
      <c r="S7740" t="s">
        <v>4898</v>
      </c>
      <c r="T7740" t="s">
        <v>2704</v>
      </c>
      <c r="U7740" t="s">
        <v>5631</v>
      </c>
      <c r="V7740" s="2">
        <v>444</v>
      </c>
      <c r="W7740" t="s">
        <v>4655</v>
      </c>
      <c r="X7740" s="2">
        <v>0</v>
      </c>
      <c r="Y7740">
        <v>20</v>
      </c>
      <c r="Z7740" t="s">
        <v>1604</v>
      </c>
      <c r="AA7740" s="3">
        <v>8.7626263499259893E-2</v>
      </c>
      <c r="AB7740" t="s">
        <v>5699</v>
      </c>
      <c r="AC7740" t="s">
        <v>4562</v>
      </c>
      <c r="AD7740" t="s">
        <v>5700</v>
      </c>
      <c r="AE7740" t="s">
        <v>4655</v>
      </c>
      <c r="AF7740" t="s">
        <v>4809</v>
      </c>
      <c r="AG7740" t="s">
        <v>4564</v>
      </c>
      <c r="AH7740" t="s">
        <v>1605</v>
      </c>
      <c r="AI7740" t="s">
        <v>3555</v>
      </c>
      <c r="AJ7740" t="s">
        <v>4939</v>
      </c>
      <c r="AK7740" t="s">
        <v>1559</v>
      </c>
      <c r="AL7740" s="13" t="s">
        <v>1900</v>
      </c>
      <c r="AM7740">
        <v>1</v>
      </c>
      <c r="AN7740" s="15" t="s">
        <v>4940</v>
      </c>
    </row>
    <row r="7741" spans="1:40" x14ac:dyDescent="0.3">
      <c r="A7741" s="10" t="str">
        <f>HYPERLINK("http://www.washoecounty.gov/assessor/cama/?parid=528-231-07&amp;CardNumber=1","528-231-07")</f>
        <v>528-231-07</v>
      </c>
      <c r="B7741" t="s">
        <v>4655</v>
      </c>
      <c r="C7741" t="s">
        <v>1560</v>
      </c>
      <c r="D7741" s="1">
        <v>40372</v>
      </c>
      <c r="E7741" s="2">
        <v>1369340</v>
      </c>
      <c r="F7741" t="s">
        <v>3584</v>
      </c>
      <c r="G7741" s="17" t="str">
        <f>HYPERLINK("https://www.washoecounty.gov/assessor/cama/?command=sales&amp;parid=52823107","3900875")</f>
        <v>3900875</v>
      </c>
      <c r="H7741" t="s">
        <v>4937</v>
      </c>
      <c r="I7741">
        <v>2007</v>
      </c>
      <c r="J7741">
        <v>2007</v>
      </c>
      <c r="K7741" t="s">
        <v>4554</v>
      </c>
      <c r="L7741" t="s">
        <v>3974</v>
      </c>
      <c r="M7741" s="2">
        <v>1485</v>
      </c>
      <c r="N7741" t="s">
        <v>5280</v>
      </c>
      <c r="O7741">
        <v>3</v>
      </c>
      <c r="P7741">
        <v>2</v>
      </c>
      <c r="Q7741">
        <v>1</v>
      </c>
      <c r="R7741" t="s">
        <v>5281</v>
      </c>
      <c r="S7741" t="s">
        <v>4898</v>
      </c>
      <c r="T7741" t="s">
        <v>2704</v>
      </c>
      <c r="U7741" t="s">
        <v>5631</v>
      </c>
      <c r="V7741" s="2">
        <v>444</v>
      </c>
      <c r="W7741" t="s">
        <v>4655</v>
      </c>
      <c r="X7741" s="2">
        <v>0</v>
      </c>
      <c r="Y7741">
        <v>20</v>
      </c>
      <c r="Z7741" t="s">
        <v>1604</v>
      </c>
      <c r="AA7741" s="3">
        <v>8.7626263499259893E-2</v>
      </c>
      <c r="AB7741" t="s">
        <v>241</v>
      </c>
      <c r="AC7741" t="s">
        <v>4575</v>
      </c>
      <c r="AD7741" t="s">
        <v>242</v>
      </c>
      <c r="AE7741" t="s">
        <v>4655</v>
      </c>
      <c r="AF7741" t="s">
        <v>5201</v>
      </c>
      <c r="AG7741" t="s">
        <v>4564</v>
      </c>
      <c r="AH7741" t="s">
        <v>1605</v>
      </c>
      <c r="AI7741" t="s">
        <v>1561</v>
      </c>
      <c r="AJ7741" t="s">
        <v>4939</v>
      </c>
      <c r="AK7741" t="s">
        <v>1562</v>
      </c>
      <c r="AL7741" s="13" t="s">
        <v>1900</v>
      </c>
      <c r="AM7741">
        <v>1</v>
      </c>
      <c r="AN7741" s="15" t="s">
        <v>4940</v>
      </c>
    </row>
    <row r="7742" spans="1:40" x14ac:dyDescent="0.3">
      <c r="A7742" s="10" t="str">
        <f>HYPERLINK("http://www.washoecounty.gov/assessor/cama/?parid=528-231-07&amp;CardNumber=1","528-231-07")</f>
        <v>528-231-07</v>
      </c>
      <c r="B7742" t="s">
        <v>4655</v>
      </c>
      <c r="C7742" t="s">
        <v>1560</v>
      </c>
      <c r="D7742" s="1">
        <v>40375</v>
      </c>
      <c r="E7742" s="2">
        <v>134950</v>
      </c>
      <c r="F7742" t="s">
        <v>4567</v>
      </c>
      <c r="G7742" s="17" t="str">
        <f>HYPERLINK("https://www.washoecounty.gov/assessor/cama/?command=sales&amp;parid=52823107","3902355")</f>
        <v>3902355</v>
      </c>
      <c r="H7742" t="s">
        <v>4937</v>
      </c>
      <c r="I7742">
        <v>2007</v>
      </c>
      <c r="J7742">
        <v>2007</v>
      </c>
      <c r="K7742" t="s">
        <v>4554</v>
      </c>
      <c r="L7742" t="s">
        <v>3974</v>
      </c>
      <c r="M7742" s="2">
        <v>1485</v>
      </c>
      <c r="N7742" t="s">
        <v>5280</v>
      </c>
      <c r="O7742">
        <v>3</v>
      </c>
      <c r="P7742">
        <v>2</v>
      </c>
      <c r="Q7742">
        <v>1</v>
      </c>
      <c r="R7742" t="s">
        <v>5281</v>
      </c>
      <c r="S7742" t="s">
        <v>4898</v>
      </c>
      <c r="T7742" t="s">
        <v>2704</v>
      </c>
      <c r="U7742" t="s">
        <v>5631</v>
      </c>
      <c r="V7742" s="2">
        <v>444</v>
      </c>
      <c r="W7742" t="s">
        <v>4655</v>
      </c>
      <c r="X7742" s="2">
        <v>0</v>
      </c>
      <c r="Y7742">
        <v>20</v>
      </c>
      <c r="Z7742" t="s">
        <v>1604</v>
      </c>
      <c r="AA7742" s="3">
        <v>8.7626263499259893E-2</v>
      </c>
      <c r="AB7742" t="s">
        <v>241</v>
      </c>
      <c r="AC7742" t="s">
        <v>4575</v>
      </c>
      <c r="AD7742" t="s">
        <v>242</v>
      </c>
      <c r="AE7742" t="s">
        <v>4655</v>
      </c>
      <c r="AF7742" t="s">
        <v>5201</v>
      </c>
      <c r="AG7742" t="s">
        <v>4564</v>
      </c>
      <c r="AH7742" t="s">
        <v>1605</v>
      </c>
      <c r="AI7742" t="s">
        <v>1561</v>
      </c>
      <c r="AJ7742" t="s">
        <v>4939</v>
      </c>
      <c r="AK7742" t="s">
        <v>1562</v>
      </c>
      <c r="AL7742" s="13" t="s">
        <v>1900</v>
      </c>
      <c r="AM7742" s="14">
        <v>1</v>
      </c>
      <c r="AN7742" s="15" t="s">
        <v>4940</v>
      </c>
    </row>
    <row r="7743" spans="1:40" x14ac:dyDescent="0.3">
      <c r="A7743" s="10" t="str">
        <f>HYPERLINK("http://www.washoecounty.gov/assessor/cama/?parid=528-233-01&amp;CardNumber=1","528-233-01")</f>
        <v>528-233-01</v>
      </c>
      <c r="B7743" t="s">
        <v>4655</v>
      </c>
      <c r="C7743" t="s">
        <v>35980</v>
      </c>
      <c r="D7743" s="1">
        <v>40317</v>
      </c>
      <c r="E7743" s="2">
        <v>382050</v>
      </c>
      <c r="F7743" t="s">
        <v>4567</v>
      </c>
      <c r="G7743" s="17" t="str">
        <f>HYPERLINK("https://www.washoecounty.gov/assessor/cama/?command=sales&amp;parid=52823301","3883124")</f>
        <v>3883124</v>
      </c>
      <c r="H7743" t="s">
        <v>4937</v>
      </c>
      <c r="I7743">
        <v>2007</v>
      </c>
      <c r="J7743">
        <v>2007</v>
      </c>
      <c r="K7743" t="s">
        <v>4554</v>
      </c>
      <c r="L7743" t="s">
        <v>4555</v>
      </c>
      <c r="M7743" s="2">
        <v>1190</v>
      </c>
      <c r="N7743" t="s">
        <v>5280</v>
      </c>
      <c r="O7743">
        <v>3</v>
      </c>
      <c r="P7743">
        <v>2</v>
      </c>
      <c r="Q7743">
        <v>0</v>
      </c>
      <c r="R7743" t="s">
        <v>5281</v>
      </c>
      <c r="S7743" t="s">
        <v>4898</v>
      </c>
      <c r="T7743" t="s">
        <v>2704</v>
      </c>
      <c r="U7743" t="s">
        <v>4560</v>
      </c>
      <c r="V7743" s="2">
        <v>418</v>
      </c>
      <c r="W7743" t="s">
        <v>4655</v>
      </c>
      <c r="X7743" s="2">
        <v>0</v>
      </c>
      <c r="Y7743">
        <v>20</v>
      </c>
      <c r="Z7743" t="s">
        <v>1604</v>
      </c>
      <c r="AA7743" s="3">
        <v>7.3852159082889599E-2</v>
      </c>
      <c r="AB7743" t="s">
        <v>35981</v>
      </c>
      <c r="AC7743" t="s">
        <v>4575</v>
      </c>
      <c r="AD7743" t="s">
        <v>35982</v>
      </c>
      <c r="AE7743" t="s">
        <v>4938</v>
      </c>
      <c r="AF7743" t="s">
        <v>4563</v>
      </c>
      <c r="AG7743" t="s">
        <v>4564</v>
      </c>
      <c r="AH7743">
        <v>89509</v>
      </c>
      <c r="AI7743" t="s">
        <v>4903</v>
      </c>
      <c r="AJ7743" t="s">
        <v>4939</v>
      </c>
      <c r="AK7743" t="s">
        <v>35983</v>
      </c>
      <c r="AL7743" s="13" t="s">
        <v>1900</v>
      </c>
      <c r="AM7743">
        <v>1</v>
      </c>
      <c r="AN7743" s="15" t="s">
        <v>4940</v>
      </c>
    </row>
    <row r="7744" spans="1:40" x14ac:dyDescent="0.3">
      <c r="A7744" s="10" t="str">
        <f>HYPERLINK("http://www.washoecounty.gov/assessor/cama/?parid=528-233-02&amp;CardNumber=1","528-233-02")</f>
        <v>528-233-02</v>
      </c>
      <c r="B7744" t="s">
        <v>4655</v>
      </c>
      <c r="C7744" t="s">
        <v>35984</v>
      </c>
      <c r="D7744" s="1">
        <v>40317</v>
      </c>
      <c r="E7744" s="2">
        <v>292950</v>
      </c>
      <c r="F7744" t="s">
        <v>4567</v>
      </c>
      <c r="G7744" s="17" t="str">
        <f>HYPERLINK("https://www.washoecounty.gov/assessor/cama/?command=sales&amp;parid=52823302","3883125")</f>
        <v>3883125</v>
      </c>
      <c r="H7744" t="s">
        <v>4937</v>
      </c>
      <c r="I7744">
        <v>2007</v>
      </c>
      <c r="J7744">
        <v>2007</v>
      </c>
      <c r="K7744" t="s">
        <v>4554</v>
      </c>
      <c r="L7744" t="s">
        <v>3974</v>
      </c>
      <c r="M7744" s="2">
        <v>1829</v>
      </c>
      <c r="N7744" t="s">
        <v>5280</v>
      </c>
      <c r="O7744">
        <v>3</v>
      </c>
      <c r="P7744">
        <v>2</v>
      </c>
      <c r="Q7744">
        <v>1</v>
      </c>
      <c r="R7744" t="s">
        <v>5281</v>
      </c>
      <c r="S7744" t="s">
        <v>4898</v>
      </c>
      <c r="T7744" t="s">
        <v>2704</v>
      </c>
      <c r="U7744" t="s">
        <v>5631</v>
      </c>
      <c r="V7744" s="2">
        <v>399</v>
      </c>
      <c r="W7744" t="s">
        <v>4655</v>
      </c>
      <c r="X7744" s="2">
        <v>0</v>
      </c>
      <c r="Y7744">
        <v>20</v>
      </c>
      <c r="Z7744" t="s">
        <v>1604</v>
      </c>
      <c r="AA7744" s="3">
        <v>6.6345274448394803E-2</v>
      </c>
      <c r="AB7744" t="s">
        <v>35985</v>
      </c>
      <c r="AC7744" t="s">
        <v>4575</v>
      </c>
      <c r="AD7744" t="s">
        <v>35986</v>
      </c>
      <c r="AE7744" t="s">
        <v>4655</v>
      </c>
      <c r="AF7744" t="s">
        <v>3114</v>
      </c>
      <c r="AG7744" t="s">
        <v>4564</v>
      </c>
      <c r="AH7744">
        <v>89509</v>
      </c>
      <c r="AI7744" t="s">
        <v>8971</v>
      </c>
      <c r="AJ7744" t="s">
        <v>4939</v>
      </c>
      <c r="AK7744" t="s">
        <v>35987</v>
      </c>
      <c r="AL7744" s="13" t="s">
        <v>1900</v>
      </c>
      <c r="AM7744">
        <v>1</v>
      </c>
      <c r="AN7744" s="15" t="s">
        <v>4940</v>
      </c>
    </row>
    <row r="7745" spans="1:40" x14ac:dyDescent="0.3">
      <c r="A7745" s="10" t="str">
        <f>HYPERLINK("http://www.washoecounty.gov/assessor/cama/?parid=528-233-03&amp;CardNumber=1","528-233-03")</f>
        <v>528-233-03</v>
      </c>
      <c r="B7745" t="s">
        <v>4655</v>
      </c>
      <c r="C7745" t="s">
        <v>35988</v>
      </c>
      <c r="D7745" s="1">
        <v>40317</v>
      </c>
      <c r="E7745" s="2">
        <v>292950</v>
      </c>
      <c r="F7745" t="s">
        <v>4567</v>
      </c>
      <c r="G7745" s="17" t="str">
        <f>HYPERLINK("https://www.washoecounty.gov/assessor/cama/?command=sales&amp;parid=52823303","3883125")</f>
        <v>3883125</v>
      </c>
      <c r="H7745" t="s">
        <v>4937</v>
      </c>
      <c r="I7745">
        <v>2007</v>
      </c>
      <c r="J7745">
        <v>2007</v>
      </c>
      <c r="K7745" t="s">
        <v>4554</v>
      </c>
      <c r="L7745" t="s">
        <v>3974</v>
      </c>
      <c r="M7745" s="2">
        <v>1485</v>
      </c>
      <c r="N7745" t="s">
        <v>5280</v>
      </c>
      <c r="O7745">
        <v>3</v>
      </c>
      <c r="P7745">
        <v>2</v>
      </c>
      <c r="Q7745">
        <v>1</v>
      </c>
      <c r="R7745" t="s">
        <v>5281</v>
      </c>
      <c r="S7745" t="s">
        <v>4898</v>
      </c>
      <c r="T7745" t="s">
        <v>2704</v>
      </c>
      <c r="U7745" t="s">
        <v>5631</v>
      </c>
      <c r="V7745" s="2">
        <v>444</v>
      </c>
      <c r="W7745" t="s">
        <v>4655</v>
      </c>
      <c r="X7745" s="2">
        <v>0</v>
      </c>
      <c r="Y7745">
        <v>20</v>
      </c>
      <c r="Z7745" t="s">
        <v>1604</v>
      </c>
      <c r="AA7745" s="3">
        <v>8.8659323751926394E-2</v>
      </c>
      <c r="AB7745" t="s">
        <v>35985</v>
      </c>
      <c r="AC7745" t="s">
        <v>4575</v>
      </c>
      <c r="AD7745" t="s">
        <v>35986</v>
      </c>
      <c r="AE7745" t="s">
        <v>4655</v>
      </c>
      <c r="AF7745" t="s">
        <v>3114</v>
      </c>
      <c r="AG7745" t="s">
        <v>4564</v>
      </c>
      <c r="AH7745">
        <v>89509</v>
      </c>
      <c r="AI7745" t="s">
        <v>4903</v>
      </c>
      <c r="AJ7745" t="s">
        <v>4939</v>
      </c>
      <c r="AK7745" t="s">
        <v>35989</v>
      </c>
      <c r="AL7745" s="13" t="s">
        <v>1900</v>
      </c>
      <c r="AM7745" s="14">
        <v>1</v>
      </c>
      <c r="AN7745" s="15" t="s">
        <v>4940</v>
      </c>
    </row>
    <row r="7746" spans="1:40" x14ac:dyDescent="0.3">
      <c r="A7746" s="10" t="str">
        <f>HYPERLINK("http://www.washoecounty.gov/assessor/cama/?parid=528-233-06&amp;CardNumber=1","528-233-06")</f>
        <v>528-233-06</v>
      </c>
      <c r="B7746" t="s">
        <v>4655</v>
      </c>
      <c r="C7746" t="s">
        <v>35990</v>
      </c>
      <c r="D7746" s="1">
        <v>40317</v>
      </c>
      <c r="E7746" s="2">
        <v>382050</v>
      </c>
      <c r="F7746" t="s">
        <v>4567</v>
      </c>
      <c r="G7746" s="17" t="str">
        <f>HYPERLINK("https://www.washoecounty.gov/assessor/cama/?command=sales&amp;parid=52823306","3883124")</f>
        <v>3883124</v>
      </c>
      <c r="H7746" t="s">
        <v>4937</v>
      </c>
      <c r="I7746">
        <v>2007</v>
      </c>
      <c r="J7746">
        <v>2007</v>
      </c>
      <c r="K7746" t="s">
        <v>4554</v>
      </c>
      <c r="L7746" t="s">
        <v>4555</v>
      </c>
      <c r="M7746" s="2">
        <v>1141</v>
      </c>
      <c r="N7746" t="s">
        <v>5280</v>
      </c>
      <c r="O7746">
        <v>3</v>
      </c>
      <c r="P7746">
        <v>2</v>
      </c>
      <c r="Q7746">
        <v>0</v>
      </c>
      <c r="R7746" t="s">
        <v>5281</v>
      </c>
      <c r="S7746" t="s">
        <v>4898</v>
      </c>
      <c r="T7746" t="s">
        <v>2704</v>
      </c>
      <c r="U7746" t="s">
        <v>4560</v>
      </c>
      <c r="V7746" s="2">
        <v>399</v>
      </c>
      <c r="W7746" t="s">
        <v>4655</v>
      </c>
      <c r="X7746" s="2">
        <v>0</v>
      </c>
      <c r="Y7746">
        <v>20</v>
      </c>
      <c r="Z7746" t="s">
        <v>1604</v>
      </c>
      <c r="AA7746" s="3">
        <v>7.6675847172737094E-2</v>
      </c>
      <c r="AB7746" t="s">
        <v>35981</v>
      </c>
      <c r="AC7746" t="s">
        <v>4575</v>
      </c>
      <c r="AD7746" t="s">
        <v>35982</v>
      </c>
      <c r="AE7746" t="s">
        <v>4938</v>
      </c>
      <c r="AF7746" t="s">
        <v>4563</v>
      </c>
      <c r="AG7746" t="s">
        <v>4564</v>
      </c>
      <c r="AH7746">
        <v>89509</v>
      </c>
      <c r="AI7746" t="s">
        <v>4903</v>
      </c>
      <c r="AJ7746" t="s">
        <v>4939</v>
      </c>
      <c r="AK7746" t="s">
        <v>35991</v>
      </c>
      <c r="AL7746" s="13" t="s">
        <v>1900</v>
      </c>
      <c r="AM7746" s="14">
        <v>1</v>
      </c>
      <c r="AN7746" s="15" t="s">
        <v>4940</v>
      </c>
    </row>
    <row r="7747" spans="1:40" x14ac:dyDescent="0.3">
      <c r="A7747" s="10" t="str">
        <f>HYPERLINK("http://www.washoecounty.gov/assessor/cama/?parid=528-233-10&amp;CardNumber=1","528-233-10")</f>
        <v>528-233-10</v>
      </c>
      <c r="B7747" t="s">
        <v>4655</v>
      </c>
      <c r="C7747" t="s">
        <v>35992</v>
      </c>
      <c r="D7747" s="1">
        <v>40296</v>
      </c>
      <c r="E7747" s="2">
        <v>3200000</v>
      </c>
      <c r="F7747" t="s">
        <v>4567</v>
      </c>
      <c r="G7747" s="17" t="str">
        <f>HYPERLINK("https://www.washoecounty.gov/assessor/cama/?command=sales&amp;parid=52823310","3875883")</f>
        <v>3875883</v>
      </c>
      <c r="H7747" t="s">
        <v>4937</v>
      </c>
      <c r="I7747">
        <v>0</v>
      </c>
      <c r="J7747">
        <v>0</v>
      </c>
      <c r="K7747" t="s">
        <v>4655</v>
      </c>
      <c r="L7747" t="s">
        <v>4655</v>
      </c>
      <c r="M7747" s="2">
        <v>0</v>
      </c>
      <c r="N7747" t="s">
        <v>4655</v>
      </c>
      <c r="O7747">
        <v>0</v>
      </c>
      <c r="P7747">
        <v>0</v>
      </c>
      <c r="Q7747">
        <v>0</v>
      </c>
      <c r="R7747" t="s">
        <v>4655</v>
      </c>
      <c r="S7747" t="s">
        <v>4655</v>
      </c>
      <c r="T7747" t="s">
        <v>4655</v>
      </c>
      <c r="U7747" t="s">
        <v>4655</v>
      </c>
      <c r="V7747" s="2">
        <v>0</v>
      </c>
      <c r="W7747" t="s">
        <v>4655</v>
      </c>
      <c r="X7747" s="2">
        <v>0</v>
      </c>
      <c r="Y7747">
        <v>12</v>
      </c>
      <c r="Z7747" t="s">
        <v>1604</v>
      </c>
      <c r="AA7747" s="3">
        <v>0.113406792283058</v>
      </c>
      <c r="AB7747" t="s">
        <v>8971</v>
      </c>
      <c r="AC7747" t="s">
        <v>4562</v>
      </c>
      <c r="AD7747" t="s">
        <v>35993</v>
      </c>
      <c r="AE7747" t="s">
        <v>4655</v>
      </c>
      <c r="AF7747" t="s">
        <v>35994</v>
      </c>
      <c r="AG7747" t="s">
        <v>4584</v>
      </c>
      <c r="AH7747">
        <v>90212</v>
      </c>
      <c r="AI7747" t="s">
        <v>35995</v>
      </c>
      <c r="AJ7747" t="s">
        <v>4939</v>
      </c>
      <c r="AK7747" t="s">
        <v>35996</v>
      </c>
      <c r="AL7747" s="13" t="s">
        <v>1900</v>
      </c>
      <c r="AM7747">
        <v>0</v>
      </c>
      <c r="AN7747" s="15" t="s">
        <v>4940</v>
      </c>
    </row>
    <row r="7748" spans="1:40" x14ac:dyDescent="0.3">
      <c r="A7748" s="10" t="str">
        <f>HYPERLINK("http://www.washoecounty.gov/assessor/cama/?parid=528-241-09&amp;CardNumber=1","528-241-09")</f>
        <v>528-241-09</v>
      </c>
      <c r="B7748" t="s">
        <v>4655</v>
      </c>
      <c r="C7748" t="s">
        <v>35997</v>
      </c>
      <c r="D7748" s="1">
        <v>40413</v>
      </c>
      <c r="E7748" s="2">
        <v>135000</v>
      </c>
      <c r="F7748" t="s">
        <v>4567</v>
      </c>
      <c r="G7748" s="17" t="str">
        <f>HYPERLINK("https://www.washoecounty.gov/assessor/cama/?command=sales&amp;parid=52824109","3914672")</f>
        <v>3914672</v>
      </c>
      <c r="H7748" t="s">
        <v>4937</v>
      </c>
      <c r="I7748">
        <v>2007</v>
      </c>
      <c r="J7748">
        <v>2007</v>
      </c>
      <c r="K7748" t="s">
        <v>4554</v>
      </c>
      <c r="L7748" t="s">
        <v>3974</v>
      </c>
      <c r="M7748" s="2">
        <v>1485</v>
      </c>
      <c r="N7748" t="s">
        <v>5280</v>
      </c>
      <c r="O7748">
        <v>3</v>
      </c>
      <c r="P7748">
        <v>2</v>
      </c>
      <c r="Q7748">
        <v>1</v>
      </c>
      <c r="R7748" t="s">
        <v>5281</v>
      </c>
      <c r="S7748" t="s">
        <v>4898</v>
      </c>
      <c r="T7748" t="s">
        <v>2704</v>
      </c>
      <c r="U7748" t="s">
        <v>5631</v>
      </c>
      <c r="V7748" s="2">
        <v>444</v>
      </c>
      <c r="W7748" t="s">
        <v>4655</v>
      </c>
      <c r="X7748" s="2">
        <v>0</v>
      </c>
      <c r="Y7748">
        <v>20</v>
      </c>
      <c r="Z7748" t="s">
        <v>1604</v>
      </c>
      <c r="AA7748" s="3">
        <v>8.7626263499259893E-2</v>
      </c>
      <c r="AB7748" t="s">
        <v>35998</v>
      </c>
      <c r="AC7748" t="s">
        <v>4562</v>
      </c>
      <c r="AD7748" t="s">
        <v>35997</v>
      </c>
      <c r="AE7748" t="s">
        <v>4655</v>
      </c>
      <c r="AF7748" t="s">
        <v>5201</v>
      </c>
      <c r="AG7748" t="s">
        <v>4564</v>
      </c>
      <c r="AH7748" t="s">
        <v>1605</v>
      </c>
      <c r="AI7748" t="s">
        <v>35998</v>
      </c>
      <c r="AJ7748" t="s">
        <v>4939</v>
      </c>
      <c r="AK7748" t="s">
        <v>35999</v>
      </c>
      <c r="AL7748" s="13" t="s">
        <v>1900</v>
      </c>
      <c r="AM7748">
        <v>1</v>
      </c>
      <c r="AN7748" s="15" t="s">
        <v>4940</v>
      </c>
    </row>
    <row r="7749" spans="1:40" x14ac:dyDescent="0.3">
      <c r="A7749" s="10" t="str">
        <f>HYPERLINK("http://www.washoecounty.gov/assessor/cama/?parid=528-241-19&amp;CardNumber=1","528-241-19")</f>
        <v>528-241-19</v>
      </c>
      <c r="B7749" t="s">
        <v>4655</v>
      </c>
      <c r="C7749" t="s">
        <v>36000</v>
      </c>
      <c r="D7749" s="1">
        <v>40450</v>
      </c>
      <c r="E7749" s="2">
        <v>131000</v>
      </c>
      <c r="F7749" t="s">
        <v>4553</v>
      </c>
      <c r="G7749" s="17" t="str">
        <f>HYPERLINK("https://www.washoecounty.gov/assessor/cama/?command=sales&amp;parid=52824119","3927308")</f>
        <v>3927308</v>
      </c>
      <c r="H7749" t="s">
        <v>4937</v>
      </c>
      <c r="I7749">
        <v>2007</v>
      </c>
      <c r="J7749">
        <v>2007</v>
      </c>
      <c r="K7749" t="s">
        <v>4554</v>
      </c>
      <c r="L7749" t="s">
        <v>4555</v>
      </c>
      <c r="M7749" s="2">
        <v>1190</v>
      </c>
      <c r="N7749" t="s">
        <v>5280</v>
      </c>
      <c r="O7749">
        <v>3</v>
      </c>
      <c r="P7749">
        <v>2</v>
      </c>
      <c r="Q7749">
        <v>0</v>
      </c>
      <c r="R7749" t="s">
        <v>5281</v>
      </c>
      <c r="S7749" t="s">
        <v>4898</v>
      </c>
      <c r="T7749" t="s">
        <v>2704</v>
      </c>
      <c r="U7749" t="s">
        <v>4560</v>
      </c>
      <c r="V7749" s="2">
        <v>418</v>
      </c>
      <c r="W7749" t="s">
        <v>4655</v>
      </c>
      <c r="X7749" s="2">
        <v>0</v>
      </c>
      <c r="Y7749">
        <v>20</v>
      </c>
      <c r="Z7749" t="s">
        <v>1604</v>
      </c>
      <c r="AA7749" s="3">
        <v>8.8911846280098003E-2</v>
      </c>
      <c r="AB7749" t="s">
        <v>36001</v>
      </c>
      <c r="AC7749" t="s">
        <v>4575</v>
      </c>
      <c r="AD7749" t="s">
        <v>36002</v>
      </c>
      <c r="AE7749" t="s">
        <v>36003</v>
      </c>
      <c r="AF7749" t="s">
        <v>4563</v>
      </c>
      <c r="AG7749" t="s">
        <v>4564</v>
      </c>
      <c r="AH7749" t="s">
        <v>5197</v>
      </c>
      <c r="AI7749" t="s">
        <v>36004</v>
      </c>
      <c r="AJ7749" t="s">
        <v>4939</v>
      </c>
      <c r="AK7749" t="s">
        <v>36005</v>
      </c>
      <c r="AL7749" s="13" t="s">
        <v>1900</v>
      </c>
      <c r="AM7749">
        <v>1</v>
      </c>
      <c r="AN7749" s="15" t="s">
        <v>4940</v>
      </c>
    </row>
    <row r="7750" spans="1:40" x14ac:dyDescent="0.3">
      <c r="A7750" s="10" t="str">
        <f>HYPERLINK("http://www.washoecounty.gov/assessor/cama/?parid=528-242-03&amp;CardNumber=1","528-242-03")</f>
        <v>528-242-03</v>
      </c>
      <c r="B7750" t="s">
        <v>4655</v>
      </c>
      <c r="C7750" t="s">
        <v>36006</v>
      </c>
      <c r="D7750" s="1">
        <v>40519</v>
      </c>
      <c r="E7750" s="2">
        <v>117000</v>
      </c>
      <c r="F7750" t="s">
        <v>4567</v>
      </c>
      <c r="G7750" s="17" t="str">
        <f>HYPERLINK("https://www.washoecounty.gov/assessor/cama/?command=sales&amp;parid=52824203","3950548")</f>
        <v>3950548</v>
      </c>
      <c r="H7750" t="s">
        <v>4937</v>
      </c>
      <c r="I7750">
        <v>2007</v>
      </c>
      <c r="J7750">
        <v>2007</v>
      </c>
      <c r="K7750" t="s">
        <v>4554</v>
      </c>
      <c r="L7750" t="s">
        <v>4555</v>
      </c>
      <c r="M7750" s="2">
        <v>1141</v>
      </c>
      <c r="N7750" t="s">
        <v>5280</v>
      </c>
      <c r="O7750">
        <v>3</v>
      </c>
      <c r="P7750">
        <v>2</v>
      </c>
      <c r="Q7750">
        <v>0</v>
      </c>
      <c r="R7750" t="s">
        <v>5281</v>
      </c>
      <c r="S7750" t="s">
        <v>4898</v>
      </c>
      <c r="T7750" t="s">
        <v>2704</v>
      </c>
      <c r="U7750" t="s">
        <v>4560</v>
      </c>
      <c r="V7750" s="2">
        <v>399</v>
      </c>
      <c r="W7750" t="s">
        <v>4655</v>
      </c>
      <c r="X7750" s="2">
        <v>0</v>
      </c>
      <c r="Y7750">
        <v>20</v>
      </c>
      <c r="Z7750" t="s">
        <v>1604</v>
      </c>
      <c r="AA7750" s="3">
        <v>8.0555558204650907E-2</v>
      </c>
      <c r="AB7750" t="s">
        <v>36007</v>
      </c>
      <c r="AC7750" t="s">
        <v>4562</v>
      </c>
      <c r="AD7750" t="s">
        <v>36008</v>
      </c>
      <c r="AE7750" t="s">
        <v>4655</v>
      </c>
      <c r="AF7750" t="s">
        <v>4809</v>
      </c>
      <c r="AG7750" t="s">
        <v>4564</v>
      </c>
      <c r="AH7750" t="s">
        <v>1605</v>
      </c>
      <c r="AI7750" t="s">
        <v>36009</v>
      </c>
      <c r="AJ7750" t="s">
        <v>4939</v>
      </c>
      <c r="AK7750" t="s">
        <v>36010</v>
      </c>
      <c r="AL7750" s="13" t="s">
        <v>1900</v>
      </c>
      <c r="AM7750" s="14">
        <v>1</v>
      </c>
      <c r="AN7750" s="15" t="s">
        <v>4940</v>
      </c>
    </row>
    <row r="7751" spans="1:40" x14ac:dyDescent="0.3">
      <c r="A7751" s="10" t="str">
        <f>HYPERLINK("http://www.washoecounty.gov/assessor/cama/?parid=528-252-01&amp;CardNumber=1","528-252-01")</f>
        <v>528-252-01</v>
      </c>
      <c r="B7751" t="s">
        <v>4655</v>
      </c>
      <c r="C7751" t="s">
        <v>36011</v>
      </c>
      <c r="D7751" s="1">
        <v>40350</v>
      </c>
      <c r="E7751" s="2">
        <v>150000</v>
      </c>
      <c r="F7751" t="s">
        <v>4567</v>
      </c>
      <c r="G7751" s="17" t="str">
        <f>HYPERLINK("https://www.washoecounty.gov/assessor/cama/?command=sales&amp;parid=52825201","3893643")</f>
        <v>3893643</v>
      </c>
      <c r="H7751" t="s">
        <v>4937</v>
      </c>
      <c r="I7751">
        <v>2007</v>
      </c>
      <c r="J7751">
        <v>2007</v>
      </c>
      <c r="K7751" t="s">
        <v>4554</v>
      </c>
      <c r="L7751" t="s">
        <v>3974</v>
      </c>
      <c r="M7751" s="2">
        <v>1829</v>
      </c>
      <c r="N7751" t="s">
        <v>5280</v>
      </c>
      <c r="O7751">
        <v>3</v>
      </c>
      <c r="P7751">
        <v>2</v>
      </c>
      <c r="Q7751">
        <v>1</v>
      </c>
      <c r="R7751" t="s">
        <v>5281</v>
      </c>
      <c r="S7751" t="s">
        <v>4898</v>
      </c>
      <c r="T7751" t="s">
        <v>2704</v>
      </c>
      <c r="U7751" t="s">
        <v>5631</v>
      </c>
      <c r="V7751" s="2">
        <v>399</v>
      </c>
      <c r="W7751" t="s">
        <v>4655</v>
      </c>
      <c r="X7751" s="2">
        <v>0</v>
      </c>
      <c r="Y7751">
        <v>20</v>
      </c>
      <c r="Z7751" t="s">
        <v>1604</v>
      </c>
      <c r="AA7751" s="3">
        <v>0.12564279139041901</v>
      </c>
      <c r="AB7751" t="s">
        <v>36012</v>
      </c>
      <c r="AC7751" t="s">
        <v>4562</v>
      </c>
      <c r="AD7751" t="s">
        <v>36011</v>
      </c>
      <c r="AE7751" t="s">
        <v>4655</v>
      </c>
      <c r="AF7751" t="s">
        <v>5201</v>
      </c>
      <c r="AG7751" t="s">
        <v>3674</v>
      </c>
      <c r="AH7751" t="s">
        <v>1605</v>
      </c>
      <c r="AI7751" t="s">
        <v>36013</v>
      </c>
      <c r="AJ7751" t="s">
        <v>4939</v>
      </c>
      <c r="AK7751" t="s">
        <v>36014</v>
      </c>
      <c r="AL7751" s="13" t="s">
        <v>1900</v>
      </c>
      <c r="AM7751" s="14">
        <v>1</v>
      </c>
      <c r="AN7751" s="15" t="s">
        <v>4940</v>
      </c>
    </row>
    <row r="7752" spans="1:40" x14ac:dyDescent="0.3">
      <c r="A7752" s="10" t="str">
        <f>HYPERLINK("http://www.washoecounty.gov/assessor/cama/?parid=528-252-05&amp;CardNumber=1","528-252-05")</f>
        <v>528-252-05</v>
      </c>
      <c r="B7752" t="s">
        <v>4655</v>
      </c>
      <c r="C7752" t="s">
        <v>36015</v>
      </c>
      <c r="D7752" s="1">
        <v>40529</v>
      </c>
      <c r="E7752" s="2">
        <v>133000</v>
      </c>
      <c r="F7752" t="s">
        <v>4553</v>
      </c>
      <c r="G7752" s="17" t="str">
        <f>HYPERLINK("https://www.washoecounty.gov/assessor/cama/?command=sales&amp;parid=52825205","3954948")</f>
        <v>3954948</v>
      </c>
      <c r="H7752" t="s">
        <v>4937</v>
      </c>
      <c r="I7752">
        <v>2007</v>
      </c>
      <c r="J7752">
        <v>2007</v>
      </c>
      <c r="K7752" t="s">
        <v>4554</v>
      </c>
      <c r="L7752" t="s">
        <v>3974</v>
      </c>
      <c r="M7752" s="2">
        <v>1485</v>
      </c>
      <c r="N7752" t="s">
        <v>5280</v>
      </c>
      <c r="O7752">
        <v>3</v>
      </c>
      <c r="P7752">
        <v>2</v>
      </c>
      <c r="Q7752">
        <v>1</v>
      </c>
      <c r="R7752" t="s">
        <v>5281</v>
      </c>
      <c r="S7752" t="s">
        <v>4898</v>
      </c>
      <c r="T7752" t="s">
        <v>2704</v>
      </c>
      <c r="U7752" t="s">
        <v>5631</v>
      </c>
      <c r="V7752" s="2">
        <v>444</v>
      </c>
      <c r="W7752" t="s">
        <v>4655</v>
      </c>
      <c r="X7752" s="2">
        <v>0</v>
      </c>
      <c r="Y7752">
        <v>20</v>
      </c>
      <c r="Z7752" t="s">
        <v>1604</v>
      </c>
      <c r="AA7752" s="3">
        <v>7.8489437699317904E-2</v>
      </c>
      <c r="AB7752" t="s">
        <v>36016</v>
      </c>
      <c r="AC7752" t="s">
        <v>4562</v>
      </c>
      <c r="AD7752" t="s">
        <v>36015</v>
      </c>
      <c r="AE7752" t="s">
        <v>4655</v>
      </c>
      <c r="AF7752" t="s">
        <v>5201</v>
      </c>
      <c r="AG7752" t="s">
        <v>4564</v>
      </c>
      <c r="AH7752" t="s">
        <v>1605</v>
      </c>
      <c r="AI7752" t="s">
        <v>4903</v>
      </c>
      <c r="AJ7752" t="s">
        <v>4939</v>
      </c>
      <c r="AK7752" t="s">
        <v>36017</v>
      </c>
      <c r="AL7752" s="13" t="s">
        <v>1900</v>
      </c>
      <c r="AM7752">
        <v>1</v>
      </c>
      <c r="AN7752" s="15" t="s">
        <v>4940</v>
      </c>
    </row>
    <row r="7753" spans="1:40" x14ac:dyDescent="0.3">
      <c r="A7753" s="10" t="str">
        <f>HYPERLINK("http://www.washoecounty.gov/assessor/cama/?parid=528-252-07&amp;CardNumber=1","528-252-07")</f>
        <v>528-252-07</v>
      </c>
      <c r="B7753" t="s">
        <v>4655</v>
      </c>
      <c r="C7753" t="s">
        <v>36018</v>
      </c>
      <c r="D7753" s="1">
        <v>40541</v>
      </c>
      <c r="E7753" s="2">
        <v>138900</v>
      </c>
      <c r="F7753" t="s">
        <v>4553</v>
      </c>
      <c r="G7753" s="17" t="str">
        <f>HYPERLINK("https://www.washoecounty.gov/assessor/cama/?command=sales&amp;parid=52825207","3958590")</f>
        <v>3958590</v>
      </c>
      <c r="H7753" t="s">
        <v>4937</v>
      </c>
      <c r="I7753">
        <v>2007</v>
      </c>
      <c r="J7753">
        <v>2007</v>
      </c>
      <c r="K7753" t="s">
        <v>4554</v>
      </c>
      <c r="L7753" t="s">
        <v>3974</v>
      </c>
      <c r="M7753" s="2">
        <v>1829</v>
      </c>
      <c r="N7753" t="s">
        <v>5280</v>
      </c>
      <c r="O7753">
        <v>4</v>
      </c>
      <c r="P7753">
        <v>2</v>
      </c>
      <c r="Q7753">
        <v>1</v>
      </c>
      <c r="R7753" t="s">
        <v>5281</v>
      </c>
      <c r="S7753" t="s">
        <v>4898</v>
      </c>
      <c r="T7753" t="s">
        <v>2704</v>
      </c>
      <c r="U7753" t="s">
        <v>5631</v>
      </c>
      <c r="V7753" s="2">
        <v>399</v>
      </c>
      <c r="W7753" t="s">
        <v>4655</v>
      </c>
      <c r="X7753" s="2">
        <v>0</v>
      </c>
      <c r="Y7753">
        <v>20</v>
      </c>
      <c r="Z7753" t="s">
        <v>1604</v>
      </c>
      <c r="AA7753" s="3">
        <v>0.105716250836849</v>
      </c>
      <c r="AB7753" t="s">
        <v>36019</v>
      </c>
      <c r="AC7753" t="s">
        <v>4562</v>
      </c>
      <c r="AD7753" t="s">
        <v>36018</v>
      </c>
      <c r="AE7753" t="s">
        <v>4655</v>
      </c>
      <c r="AF7753" t="s">
        <v>5201</v>
      </c>
      <c r="AG7753" t="s">
        <v>4564</v>
      </c>
      <c r="AH7753" t="s">
        <v>5202</v>
      </c>
      <c r="AI7753" t="s">
        <v>4565</v>
      </c>
      <c r="AJ7753" t="s">
        <v>4939</v>
      </c>
      <c r="AK7753" t="s">
        <v>36020</v>
      </c>
      <c r="AL7753" s="13" t="s">
        <v>1900</v>
      </c>
      <c r="AM7753" s="14">
        <v>1</v>
      </c>
      <c r="AN7753" s="15" t="s">
        <v>4940</v>
      </c>
    </row>
    <row r="7754" spans="1:40" x14ac:dyDescent="0.3">
      <c r="A7754" s="10" t="str">
        <f>HYPERLINK("http://www.washoecounty.gov/assessor/cama/?parid=528-261-02&amp;CardNumber=1","528-261-02")</f>
        <v>528-261-02</v>
      </c>
      <c r="B7754" t="s">
        <v>4655</v>
      </c>
      <c r="C7754" t="s">
        <v>36021</v>
      </c>
      <c r="D7754" s="1">
        <v>40354</v>
      </c>
      <c r="E7754" s="2">
        <v>127000</v>
      </c>
      <c r="F7754" t="s">
        <v>4567</v>
      </c>
      <c r="G7754" s="17" t="str">
        <f>HYPERLINK("https://www.washoecounty.gov/assessor/cama/?command=sales&amp;parid=52826102","3895559")</f>
        <v>3895559</v>
      </c>
      <c r="H7754" t="s">
        <v>3704</v>
      </c>
      <c r="I7754">
        <v>2007</v>
      </c>
      <c r="J7754">
        <v>2007</v>
      </c>
      <c r="K7754" t="s">
        <v>4554</v>
      </c>
      <c r="L7754" t="s">
        <v>4555</v>
      </c>
      <c r="M7754" s="2">
        <v>1190</v>
      </c>
      <c r="N7754" t="s">
        <v>5280</v>
      </c>
      <c r="O7754">
        <v>3</v>
      </c>
      <c r="P7754">
        <v>2</v>
      </c>
      <c r="Q7754">
        <v>0</v>
      </c>
      <c r="R7754" t="s">
        <v>5281</v>
      </c>
      <c r="S7754" t="s">
        <v>4898</v>
      </c>
      <c r="T7754" t="s">
        <v>2704</v>
      </c>
      <c r="U7754" t="s">
        <v>4560</v>
      </c>
      <c r="V7754" s="2">
        <v>418</v>
      </c>
      <c r="W7754" t="s">
        <v>4655</v>
      </c>
      <c r="X7754" s="2">
        <v>0</v>
      </c>
      <c r="Y7754">
        <v>20</v>
      </c>
      <c r="Z7754" t="s">
        <v>1604</v>
      </c>
      <c r="AA7754" s="3">
        <v>7.3852159082889599E-2</v>
      </c>
      <c r="AB7754" t="s">
        <v>36022</v>
      </c>
      <c r="AC7754" t="s">
        <v>4562</v>
      </c>
      <c r="AD7754" t="s">
        <v>36023</v>
      </c>
      <c r="AE7754" t="s">
        <v>4655</v>
      </c>
      <c r="AF7754" t="s">
        <v>4809</v>
      </c>
      <c r="AG7754" t="s">
        <v>4564</v>
      </c>
      <c r="AH7754" t="s">
        <v>1605</v>
      </c>
      <c r="AI7754" t="s">
        <v>3555</v>
      </c>
      <c r="AJ7754" t="s">
        <v>3705</v>
      </c>
      <c r="AK7754" t="s">
        <v>36024</v>
      </c>
      <c r="AL7754" s="13" t="s">
        <v>1900</v>
      </c>
      <c r="AM7754">
        <v>1</v>
      </c>
      <c r="AN7754" s="15" t="s">
        <v>4940</v>
      </c>
    </row>
    <row r="7755" spans="1:40" x14ac:dyDescent="0.3">
      <c r="A7755" s="10" t="str">
        <f>HYPERLINK("http://www.washoecounty.gov/assessor/cama/?parid=528-261-02&amp;CardNumber=1","528-261-02")</f>
        <v>528-261-02</v>
      </c>
      <c r="B7755" t="s">
        <v>4655</v>
      </c>
      <c r="C7755" t="s">
        <v>36021</v>
      </c>
      <c r="D7755" s="1">
        <v>40345</v>
      </c>
      <c r="E7755" s="2">
        <v>282950</v>
      </c>
      <c r="F7755" t="s">
        <v>4567</v>
      </c>
      <c r="G7755" s="17" t="str">
        <f>HYPERLINK("https://www.washoecounty.gov/assessor/cama/?command=sales&amp;parid=52826102","3892642")</f>
        <v>3892642</v>
      </c>
      <c r="H7755" t="s">
        <v>3704</v>
      </c>
      <c r="I7755">
        <v>2007</v>
      </c>
      <c r="J7755">
        <v>2007</v>
      </c>
      <c r="K7755" t="s">
        <v>4554</v>
      </c>
      <c r="L7755" t="s">
        <v>4555</v>
      </c>
      <c r="M7755" s="2">
        <v>1190</v>
      </c>
      <c r="N7755" t="s">
        <v>5280</v>
      </c>
      <c r="O7755">
        <v>3</v>
      </c>
      <c r="P7755">
        <v>2</v>
      </c>
      <c r="Q7755">
        <v>0</v>
      </c>
      <c r="R7755" t="s">
        <v>5281</v>
      </c>
      <c r="S7755" t="s">
        <v>4898</v>
      </c>
      <c r="T7755" t="s">
        <v>2704</v>
      </c>
      <c r="U7755" t="s">
        <v>4560</v>
      </c>
      <c r="V7755" s="2">
        <v>418</v>
      </c>
      <c r="W7755" t="s">
        <v>4655</v>
      </c>
      <c r="X7755" s="2">
        <v>0</v>
      </c>
      <c r="Y7755">
        <v>20</v>
      </c>
      <c r="Z7755" t="s">
        <v>1604</v>
      </c>
      <c r="AA7755" s="3">
        <v>7.3852159082889599E-2</v>
      </c>
      <c r="AB7755" t="s">
        <v>36022</v>
      </c>
      <c r="AC7755" t="s">
        <v>4562</v>
      </c>
      <c r="AD7755" t="s">
        <v>36023</v>
      </c>
      <c r="AE7755" t="s">
        <v>4655</v>
      </c>
      <c r="AF7755" t="s">
        <v>4809</v>
      </c>
      <c r="AG7755" t="s">
        <v>4564</v>
      </c>
      <c r="AH7755" t="s">
        <v>1605</v>
      </c>
      <c r="AI7755" t="s">
        <v>3555</v>
      </c>
      <c r="AJ7755" t="s">
        <v>3705</v>
      </c>
      <c r="AK7755" t="s">
        <v>36024</v>
      </c>
      <c r="AL7755" s="13" t="s">
        <v>1900</v>
      </c>
      <c r="AM7755">
        <v>1</v>
      </c>
      <c r="AN7755" s="15" t="s">
        <v>4940</v>
      </c>
    </row>
    <row r="7756" spans="1:40" x14ac:dyDescent="0.3">
      <c r="A7756" s="10" t="str">
        <f>HYPERLINK("http://www.washoecounty.gov/assessor/cama/?parid=528-261-03&amp;CardNumber=1","528-261-03")</f>
        <v>528-261-03</v>
      </c>
      <c r="B7756" t="s">
        <v>4655</v>
      </c>
      <c r="C7756" t="s">
        <v>1563</v>
      </c>
      <c r="D7756" s="1">
        <v>40372</v>
      </c>
      <c r="E7756" s="2">
        <v>1369340</v>
      </c>
      <c r="F7756" t="s">
        <v>3584</v>
      </c>
      <c r="G7756" s="17" t="str">
        <f>HYPERLINK("https://www.washoecounty.gov/assessor/cama/?command=sales&amp;parid=52826103","3900875")</f>
        <v>3900875</v>
      </c>
      <c r="H7756" t="s">
        <v>3704</v>
      </c>
      <c r="I7756">
        <v>2007</v>
      </c>
      <c r="J7756">
        <v>2007</v>
      </c>
      <c r="K7756" t="s">
        <v>4554</v>
      </c>
      <c r="L7756" t="s">
        <v>3974</v>
      </c>
      <c r="M7756" s="2">
        <v>1829</v>
      </c>
      <c r="N7756" t="s">
        <v>5280</v>
      </c>
      <c r="O7756">
        <v>3</v>
      </c>
      <c r="P7756">
        <v>2</v>
      </c>
      <c r="Q7756">
        <v>1</v>
      </c>
      <c r="R7756" t="s">
        <v>5281</v>
      </c>
      <c r="S7756" t="s">
        <v>4898</v>
      </c>
      <c r="T7756" t="s">
        <v>2704</v>
      </c>
      <c r="U7756" t="s">
        <v>5631</v>
      </c>
      <c r="V7756" s="2">
        <v>399</v>
      </c>
      <c r="W7756" t="s">
        <v>4655</v>
      </c>
      <c r="X7756" s="2">
        <v>0</v>
      </c>
      <c r="Y7756">
        <v>20</v>
      </c>
      <c r="Z7756" t="s">
        <v>1604</v>
      </c>
      <c r="AA7756" s="3">
        <v>6.3888892531395E-2</v>
      </c>
      <c r="AB7756" t="s">
        <v>5290</v>
      </c>
      <c r="AC7756" t="s">
        <v>4575</v>
      </c>
      <c r="AD7756" t="s">
        <v>5291</v>
      </c>
      <c r="AE7756" t="s">
        <v>4655</v>
      </c>
      <c r="AF7756" t="s">
        <v>4809</v>
      </c>
      <c r="AG7756" t="s">
        <v>4564</v>
      </c>
      <c r="AH7756" t="s">
        <v>1605</v>
      </c>
      <c r="AI7756" t="s">
        <v>3555</v>
      </c>
      <c r="AJ7756" t="s">
        <v>3705</v>
      </c>
      <c r="AK7756" t="s">
        <v>1564</v>
      </c>
      <c r="AL7756" s="13" t="s">
        <v>1900</v>
      </c>
      <c r="AM7756">
        <v>1</v>
      </c>
      <c r="AN7756" s="15" t="s">
        <v>4940</v>
      </c>
    </row>
    <row r="7757" spans="1:40" x14ac:dyDescent="0.3">
      <c r="A7757" s="10" t="str">
        <f>HYPERLINK("http://www.washoecounty.gov/assessor/cama/?parid=528-261-04&amp;CardNumber=1","528-261-04")</f>
        <v>528-261-04</v>
      </c>
      <c r="B7757" t="s">
        <v>4655</v>
      </c>
      <c r="C7757" t="s">
        <v>1516</v>
      </c>
      <c r="D7757" s="1">
        <v>40372</v>
      </c>
      <c r="E7757" s="2">
        <v>1369340</v>
      </c>
      <c r="F7757" t="s">
        <v>3584</v>
      </c>
      <c r="G7757" s="17" t="str">
        <f>HYPERLINK("https://www.washoecounty.gov/assessor/cama/?command=sales&amp;parid=52826104","3900875")</f>
        <v>3900875</v>
      </c>
      <c r="H7757" t="s">
        <v>3704</v>
      </c>
      <c r="I7757">
        <v>2007</v>
      </c>
      <c r="J7757">
        <v>2007</v>
      </c>
      <c r="K7757" t="s">
        <v>4554</v>
      </c>
      <c r="L7757" t="s">
        <v>3974</v>
      </c>
      <c r="M7757" s="2">
        <v>1485</v>
      </c>
      <c r="N7757" t="s">
        <v>5280</v>
      </c>
      <c r="O7757">
        <v>3</v>
      </c>
      <c r="P7757">
        <v>2</v>
      </c>
      <c r="Q7757">
        <v>1</v>
      </c>
      <c r="R7757" t="s">
        <v>5281</v>
      </c>
      <c r="S7757" t="s">
        <v>4898</v>
      </c>
      <c r="T7757" t="s">
        <v>2704</v>
      </c>
      <c r="U7757" t="s">
        <v>5631</v>
      </c>
      <c r="V7757" s="2">
        <v>444</v>
      </c>
      <c r="W7757" t="s">
        <v>4655</v>
      </c>
      <c r="X7757" s="2">
        <v>0</v>
      </c>
      <c r="Y7757">
        <v>20</v>
      </c>
      <c r="Z7757" t="s">
        <v>1604</v>
      </c>
      <c r="AA7757" s="3">
        <v>8.7626263499259893E-2</v>
      </c>
      <c r="AB7757" t="s">
        <v>173</v>
      </c>
      <c r="AC7757" t="s">
        <v>4562</v>
      </c>
      <c r="AD7757" t="s">
        <v>1516</v>
      </c>
      <c r="AE7757" t="s">
        <v>4655</v>
      </c>
      <c r="AF7757" t="s">
        <v>5201</v>
      </c>
      <c r="AG7757" t="s">
        <v>4564</v>
      </c>
      <c r="AH7757" t="s">
        <v>1605</v>
      </c>
      <c r="AI7757" t="s">
        <v>3555</v>
      </c>
      <c r="AJ7757" t="s">
        <v>3705</v>
      </c>
      <c r="AK7757" t="s">
        <v>1565</v>
      </c>
      <c r="AL7757" s="13" t="s">
        <v>1900</v>
      </c>
      <c r="AM7757">
        <v>1</v>
      </c>
      <c r="AN7757" s="15" t="s">
        <v>4940</v>
      </c>
    </row>
    <row r="7758" spans="1:40" x14ac:dyDescent="0.3">
      <c r="A7758" s="10" t="str">
        <f>HYPERLINK("http://www.washoecounty.gov/assessor/cama/?parid=528-261-06&amp;CardNumber=1","528-261-06")</f>
        <v>528-261-06</v>
      </c>
      <c r="B7758" t="s">
        <v>4655</v>
      </c>
      <c r="C7758" t="s">
        <v>36025</v>
      </c>
      <c r="D7758" s="1">
        <v>40372</v>
      </c>
      <c r="E7758" s="2">
        <v>1369340</v>
      </c>
      <c r="F7758" t="s">
        <v>3584</v>
      </c>
      <c r="G7758" s="17" t="str">
        <f>HYPERLINK("https://www.washoecounty.gov/assessor/cama/?command=sales&amp;parid=52826106","3900875")</f>
        <v>3900875</v>
      </c>
      <c r="H7758" t="s">
        <v>3704</v>
      </c>
      <c r="I7758">
        <v>2007</v>
      </c>
      <c r="J7758">
        <v>2007</v>
      </c>
      <c r="K7758" t="s">
        <v>4554</v>
      </c>
      <c r="L7758" t="s">
        <v>3974</v>
      </c>
      <c r="M7758" s="2">
        <v>1829</v>
      </c>
      <c r="N7758" t="s">
        <v>5280</v>
      </c>
      <c r="O7758">
        <v>3</v>
      </c>
      <c r="P7758">
        <v>2</v>
      </c>
      <c r="Q7758">
        <v>1</v>
      </c>
      <c r="R7758" t="s">
        <v>5281</v>
      </c>
      <c r="S7758" t="s">
        <v>4898</v>
      </c>
      <c r="T7758" t="s">
        <v>2704</v>
      </c>
      <c r="U7758" t="s">
        <v>5631</v>
      </c>
      <c r="V7758" s="2">
        <v>399</v>
      </c>
      <c r="W7758" t="s">
        <v>4655</v>
      </c>
      <c r="X7758" s="2">
        <v>0</v>
      </c>
      <c r="Y7758">
        <v>20</v>
      </c>
      <c r="Z7758" t="s">
        <v>1604</v>
      </c>
      <c r="AA7758" s="3">
        <v>6.3888892531395E-2</v>
      </c>
      <c r="AB7758" t="s">
        <v>36026</v>
      </c>
      <c r="AC7758" t="s">
        <v>4575</v>
      </c>
      <c r="AD7758" t="s">
        <v>36027</v>
      </c>
      <c r="AE7758" t="s">
        <v>4655</v>
      </c>
      <c r="AF7758" t="s">
        <v>5201</v>
      </c>
      <c r="AG7758" t="s">
        <v>4564</v>
      </c>
      <c r="AH7758" t="s">
        <v>1605</v>
      </c>
      <c r="AI7758" t="s">
        <v>3555</v>
      </c>
      <c r="AJ7758" t="s">
        <v>3705</v>
      </c>
      <c r="AK7758" t="s">
        <v>36028</v>
      </c>
      <c r="AL7758" s="13" t="s">
        <v>1900</v>
      </c>
      <c r="AM7758" s="14">
        <v>1</v>
      </c>
      <c r="AN7758" s="15" t="s">
        <v>4940</v>
      </c>
    </row>
    <row r="7759" spans="1:40" x14ac:dyDescent="0.3">
      <c r="A7759" s="10" t="str">
        <f>HYPERLINK("http://www.washoecounty.gov/assessor/cama/?parid=528-261-06&amp;CardNumber=1","528-261-06")</f>
        <v>528-261-06</v>
      </c>
      <c r="B7759" t="s">
        <v>4655</v>
      </c>
      <c r="C7759" t="s">
        <v>36025</v>
      </c>
      <c r="D7759" s="1">
        <v>40463</v>
      </c>
      <c r="E7759" s="2">
        <v>150000</v>
      </c>
      <c r="F7759" t="s">
        <v>4567</v>
      </c>
      <c r="G7759" s="17" t="str">
        <f>HYPERLINK("https://www.washoecounty.gov/assessor/cama/?command=sales&amp;parid=52826106","3932056")</f>
        <v>3932056</v>
      </c>
      <c r="H7759" t="s">
        <v>3704</v>
      </c>
      <c r="I7759">
        <v>2007</v>
      </c>
      <c r="J7759">
        <v>2007</v>
      </c>
      <c r="K7759" t="s">
        <v>4554</v>
      </c>
      <c r="L7759" t="s">
        <v>3974</v>
      </c>
      <c r="M7759" s="2">
        <v>1829</v>
      </c>
      <c r="N7759" t="s">
        <v>5280</v>
      </c>
      <c r="O7759">
        <v>3</v>
      </c>
      <c r="P7759">
        <v>2</v>
      </c>
      <c r="Q7759">
        <v>1</v>
      </c>
      <c r="R7759" t="s">
        <v>5281</v>
      </c>
      <c r="S7759" t="s">
        <v>4898</v>
      </c>
      <c r="T7759" t="s">
        <v>2704</v>
      </c>
      <c r="U7759" t="s">
        <v>5631</v>
      </c>
      <c r="V7759" s="2">
        <v>399</v>
      </c>
      <c r="W7759" t="s">
        <v>4655</v>
      </c>
      <c r="X7759" s="2">
        <v>0</v>
      </c>
      <c r="Y7759">
        <v>20</v>
      </c>
      <c r="Z7759" t="s">
        <v>1604</v>
      </c>
      <c r="AA7759" s="3">
        <v>6.3888892531395E-2</v>
      </c>
      <c r="AB7759" t="s">
        <v>36026</v>
      </c>
      <c r="AC7759" t="s">
        <v>4575</v>
      </c>
      <c r="AD7759" t="s">
        <v>36027</v>
      </c>
      <c r="AE7759" t="s">
        <v>4655</v>
      </c>
      <c r="AF7759" t="s">
        <v>5201</v>
      </c>
      <c r="AG7759" t="s">
        <v>4564</v>
      </c>
      <c r="AH7759" t="s">
        <v>1605</v>
      </c>
      <c r="AI7759" t="s">
        <v>3555</v>
      </c>
      <c r="AJ7759" t="s">
        <v>3705</v>
      </c>
      <c r="AK7759" t="s">
        <v>36028</v>
      </c>
      <c r="AL7759" s="13" t="s">
        <v>1900</v>
      </c>
      <c r="AM7759">
        <v>1</v>
      </c>
      <c r="AN7759" s="15" t="s">
        <v>4940</v>
      </c>
    </row>
    <row r="7760" spans="1:40" x14ac:dyDescent="0.3">
      <c r="A7760" s="10" t="str">
        <f>HYPERLINK("http://www.washoecounty.gov/assessor/cama/?parid=528-261-07&amp;CardNumber=1","528-261-07")</f>
        <v>528-261-07</v>
      </c>
      <c r="B7760" t="s">
        <v>4655</v>
      </c>
      <c r="C7760" t="s">
        <v>36029</v>
      </c>
      <c r="D7760" s="1">
        <v>40372</v>
      </c>
      <c r="E7760" s="2">
        <v>122550</v>
      </c>
      <c r="F7760" t="s">
        <v>4567</v>
      </c>
      <c r="G7760" s="17" t="str">
        <f>HYPERLINK("https://www.washoecounty.gov/assessor/cama/?command=sales&amp;parid=52826107","3900979")</f>
        <v>3900979</v>
      </c>
      <c r="H7760" t="s">
        <v>3704</v>
      </c>
      <c r="I7760">
        <v>2007</v>
      </c>
      <c r="J7760">
        <v>2007</v>
      </c>
      <c r="K7760" t="s">
        <v>4554</v>
      </c>
      <c r="L7760" t="s">
        <v>4555</v>
      </c>
      <c r="M7760" s="2">
        <v>1141</v>
      </c>
      <c r="N7760" t="s">
        <v>5280</v>
      </c>
      <c r="O7760">
        <v>3</v>
      </c>
      <c r="P7760">
        <v>2</v>
      </c>
      <c r="Q7760">
        <v>0</v>
      </c>
      <c r="R7760" t="s">
        <v>5281</v>
      </c>
      <c r="S7760" t="s">
        <v>4898</v>
      </c>
      <c r="T7760" t="s">
        <v>2704</v>
      </c>
      <c r="U7760" t="s">
        <v>4560</v>
      </c>
      <c r="V7760" s="2">
        <v>399</v>
      </c>
      <c r="W7760" t="s">
        <v>4655</v>
      </c>
      <c r="X7760" s="2">
        <v>0</v>
      </c>
      <c r="Y7760">
        <v>20</v>
      </c>
      <c r="Z7760" t="s">
        <v>1604</v>
      </c>
      <c r="AA7760" s="3">
        <v>7.3852159082889599E-2</v>
      </c>
      <c r="AB7760" t="s">
        <v>36030</v>
      </c>
      <c r="AC7760" t="s">
        <v>4562</v>
      </c>
      <c r="AD7760" t="s">
        <v>36031</v>
      </c>
      <c r="AE7760" t="s">
        <v>4655</v>
      </c>
      <c r="AF7760" t="s">
        <v>4809</v>
      </c>
      <c r="AG7760" t="s">
        <v>4564</v>
      </c>
      <c r="AH7760" t="s">
        <v>1605</v>
      </c>
      <c r="AI7760" t="s">
        <v>3555</v>
      </c>
      <c r="AJ7760" t="s">
        <v>3705</v>
      </c>
      <c r="AK7760" t="s">
        <v>36032</v>
      </c>
      <c r="AL7760" s="13" t="s">
        <v>1900</v>
      </c>
      <c r="AM7760" s="14">
        <v>1</v>
      </c>
      <c r="AN7760" s="15" t="s">
        <v>4940</v>
      </c>
    </row>
    <row r="7761" spans="1:40" x14ac:dyDescent="0.3">
      <c r="A7761" s="10" t="str">
        <f>HYPERLINK("http://www.washoecounty.gov/assessor/cama/?parid=528-261-07&amp;CardNumber=1","528-261-07")</f>
        <v>528-261-07</v>
      </c>
      <c r="B7761" t="s">
        <v>4655</v>
      </c>
      <c r="C7761" t="s">
        <v>36029</v>
      </c>
      <c r="D7761" s="1">
        <v>40372</v>
      </c>
      <c r="E7761" s="2">
        <v>1369340</v>
      </c>
      <c r="F7761" t="s">
        <v>3584</v>
      </c>
      <c r="G7761" s="17" t="str">
        <f>HYPERLINK("https://www.washoecounty.gov/assessor/cama/?command=sales&amp;parid=52826107","3900875")</f>
        <v>3900875</v>
      </c>
      <c r="H7761" t="s">
        <v>3704</v>
      </c>
      <c r="I7761">
        <v>2007</v>
      </c>
      <c r="J7761">
        <v>2007</v>
      </c>
      <c r="K7761" t="s">
        <v>4554</v>
      </c>
      <c r="L7761" t="s">
        <v>4555</v>
      </c>
      <c r="M7761" s="2">
        <v>1141</v>
      </c>
      <c r="N7761" t="s">
        <v>5280</v>
      </c>
      <c r="O7761">
        <v>3</v>
      </c>
      <c r="P7761">
        <v>2</v>
      </c>
      <c r="Q7761">
        <v>0</v>
      </c>
      <c r="R7761" t="s">
        <v>5281</v>
      </c>
      <c r="S7761" t="s">
        <v>4898</v>
      </c>
      <c r="T7761" t="s">
        <v>2704</v>
      </c>
      <c r="U7761" t="s">
        <v>4560</v>
      </c>
      <c r="V7761" s="2">
        <v>399</v>
      </c>
      <c r="W7761" t="s">
        <v>4655</v>
      </c>
      <c r="X7761" s="2">
        <v>0</v>
      </c>
      <c r="Y7761">
        <v>20</v>
      </c>
      <c r="Z7761" t="s">
        <v>1604</v>
      </c>
      <c r="AA7761" s="3">
        <v>7.3852159082889599E-2</v>
      </c>
      <c r="AB7761" t="s">
        <v>36030</v>
      </c>
      <c r="AC7761" t="s">
        <v>4562</v>
      </c>
      <c r="AD7761" t="s">
        <v>36031</v>
      </c>
      <c r="AE7761" t="s">
        <v>4655</v>
      </c>
      <c r="AF7761" t="s">
        <v>4809</v>
      </c>
      <c r="AG7761" t="s">
        <v>4564</v>
      </c>
      <c r="AH7761" t="s">
        <v>1605</v>
      </c>
      <c r="AI7761" t="s">
        <v>3555</v>
      </c>
      <c r="AJ7761" t="s">
        <v>3705</v>
      </c>
      <c r="AK7761" t="s">
        <v>36032</v>
      </c>
      <c r="AL7761" s="13" t="s">
        <v>1900</v>
      </c>
      <c r="AM7761" s="14">
        <v>1</v>
      </c>
      <c r="AN7761" s="15" t="s">
        <v>4940</v>
      </c>
    </row>
    <row r="7762" spans="1:40" x14ac:dyDescent="0.3">
      <c r="A7762" s="10" t="str">
        <f>HYPERLINK("http://www.washoecounty.gov/assessor/cama/?parid=528-261-10&amp;CardNumber=1","528-261-10")</f>
        <v>528-261-10</v>
      </c>
      <c r="B7762" t="s">
        <v>4655</v>
      </c>
      <c r="C7762" t="s">
        <v>36033</v>
      </c>
      <c r="D7762" s="1">
        <v>40372</v>
      </c>
      <c r="E7762" s="2">
        <v>1369340</v>
      </c>
      <c r="F7762" t="s">
        <v>3584</v>
      </c>
      <c r="G7762" s="17" t="str">
        <f>HYPERLINK("https://www.washoecounty.gov/assessor/cama/?command=sales&amp;parid=52826110","3900875")</f>
        <v>3900875</v>
      </c>
      <c r="H7762" t="s">
        <v>3704</v>
      </c>
      <c r="I7762">
        <v>2007</v>
      </c>
      <c r="J7762">
        <v>2007</v>
      </c>
      <c r="K7762" t="s">
        <v>4554</v>
      </c>
      <c r="L7762" t="s">
        <v>3974</v>
      </c>
      <c r="M7762" s="2">
        <v>1485</v>
      </c>
      <c r="N7762" t="s">
        <v>5280</v>
      </c>
      <c r="O7762">
        <v>3</v>
      </c>
      <c r="P7762">
        <v>2</v>
      </c>
      <c r="Q7762">
        <v>1</v>
      </c>
      <c r="R7762" t="s">
        <v>5281</v>
      </c>
      <c r="S7762" t="s">
        <v>4898</v>
      </c>
      <c r="T7762" t="s">
        <v>2704</v>
      </c>
      <c r="U7762" t="s">
        <v>5631</v>
      </c>
      <c r="V7762" s="2">
        <v>444</v>
      </c>
      <c r="W7762" t="s">
        <v>4655</v>
      </c>
      <c r="X7762" s="2">
        <v>0</v>
      </c>
      <c r="Y7762">
        <v>20</v>
      </c>
      <c r="Z7762" t="s">
        <v>1604</v>
      </c>
      <c r="AA7762" s="3">
        <v>8.7832875549793202E-2</v>
      </c>
      <c r="AB7762" t="s">
        <v>36034</v>
      </c>
      <c r="AC7762" t="s">
        <v>4575</v>
      </c>
      <c r="AD7762" t="s">
        <v>32769</v>
      </c>
      <c r="AE7762" t="s">
        <v>4655</v>
      </c>
      <c r="AF7762" t="s">
        <v>5201</v>
      </c>
      <c r="AG7762" t="s">
        <v>4564</v>
      </c>
      <c r="AH7762" t="s">
        <v>1605</v>
      </c>
      <c r="AI7762" t="s">
        <v>3555</v>
      </c>
      <c r="AJ7762" t="s">
        <v>3705</v>
      </c>
      <c r="AK7762" t="s">
        <v>36035</v>
      </c>
      <c r="AL7762" s="13" t="s">
        <v>1900</v>
      </c>
      <c r="AM7762">
        <v>1</v>
      </c>
      <c r="AN7762" s="15" t="s">
        <v>4940</v>
      </c>
    </row>
    <row r="7763" spans="1:40" x14ac:dyDescent="0.3">
      <c r="A7763" s="10" t="str">
        <f>HYPERLINK("http://www.washoecounty.gov/assessor/cama/?parid=528-261-10&amp;CardNumber=1","528-261-10")</f>
        <v>528-261-10</v>
      </c>
      <c r="B7763" t="s">
        <v>4655</v>
      </c>
      <c r="C7763" t="s">
        <v>36033</v>
      </c>
      <c r="D7763" s="1">
        <v>40382</v>
      </c>
      <c r="E7763" s="2">
        <v>139950</v>
      </c>
      <c r="F7763" t="s">
        <v>4567</v>
      </c>
      <c r="G7763" s="17" t="str">
        <f>HYPERLINK("https://www.washoecounty.gov/assessor/cama/?command=sales&amp;parid=52826110","3904261")</f>
        <v>3904261</v>
      </c>
      <c r="H7763" t="s">
        <v>3704</v>
      </c>
      <c r="I7763">
        <v>2007</v>
      </c>
      <c r="J7763">
        <v>2007</v>
      </c>
      <c r="K7763" t="s">
        <v>4554</v>
      </c>
      <c r="L7763" t="s">
        <v>3974</v>
      </c>
      <c r="M7763" s="2">
        <v>1485</v>
      </c>
      <c r="N7763" t="s">
        <v>5280</v>
      </c>
      <c r="O7763">
        <v>3</v>
      </c>
      <c r="P7763">
        <v>2</v>
      </c>
      <c r="Q7763">
        <v>1</v>
      </c>
      <c r="R7763" t="s">
        <v>5281</v>
      </c>
      <c r="S7763" t="s">
        <v>4898</v>
      </c>
      <c r="T7763" t="s">
        <v>2704</v>
      </c>
      <c r="U7763" t="s">
        <v>5631</v>
      </c>
      <c r="V7763" s="2">
        <v>444</v>
      </c>
      <c r="W7763" t="s">
        <v>4655</v>
      </c>
      <c r="X7763" s="2">
        <v>0</v>
      </c>
      <c r="Y7763">
        <v>20</v>
      </c>
      <c r="Z7763" t="s">
        <v>1604</v>
      </c>
      <c r="AA7763" s="3">
        <v>8.7832875549793202E-2</v>
      </c>
      <c r="AB7763" t="s">
        <v>36034</v>
      </c>
      <c r="AC7763" t="s">
        <v>4575</v>
      </c>
      <c r="AD7763" t="s">
        <v>32769</v>
      </c>
      <c r="AE7763" t="s">
        <v>4655</v>
      </c>
      <c r="AF7763" t="s">
        <v>5201</v>
      </c>
      <c r="AG7763" t="s">
        <v>4564</v>
      </c>
      <c r="AH7763" t="s">
        <v>1605</v>
      </c>
      <c r="AI7763" t="s">
        <v>3555</v>
      </c>
      <c r="AJ7763" t="s">
        <v>3705</v>
      </c>
      <c r="AK7763" t="s">
        <v>36035</v>
      </c>
      <c r="AL7763" s="13" t="s">
        <v>1900</v>
      </c>
      <c r="AM7763">
        <v>1</v>
      </c>
      <c r="AN7763" s="15" t="s">
        <v>4940</v>
      </c>
    </row>
    <row r="7764" spans="1:40" x14ac:dyDescent="0.3">
      <c r="A7764" s="10" t="str">
        <f>HYPERLINK("http://www.washoecounty.gov/assessor/cama/?parid=528-261-11&amp;CardNumber=1","528-261-11")</f>
        <v>528-261-11</v>
      </c>
      <c r="B7764" t="s">
        <v>4655</v>
      </c>
      <c r="C7764" t="s">
        <v>36036</v>
      </c>
      <c r="D7764" s="1">
        <v>40372</v>
      </c>
      <c r="E7764" s="2">
        <v>1369340</v>
      </c>
      <c r="F7764" t="s">
        <v>3584</v>
      </c>
      <c r="G7764" s="17" t="str">
        <f>HYPERLINK("https://www.washoecounty.gov/assessor/cama/?command=sales&amp;parid=52826111","3900875")</f>
        <v>3900875</v>
      </c>
      <c r="H7764" t="s">
        <v>3704</v>
      </c>
      <c r="I7764">
        <v>2007</v>
      </c>
      <c r="J7764">
        <v>2007</v>
      </c>
      <c r="K7764" t="s">
        <v>4554</v>
      </c>
      <c r="L7764" t="s">
        <v>3974</v>
      </c>
      <c r="M7764" s="2">
        <v>1485</v>
      </c>
      <c r="N7764" t="s">
        <v>5280</v>
      </c>
      <c r="O7764">
        <v>3</v>
      </c>
      <c r="P7764">
        <v>2</v>
      </c>
      <c r="Q7764">
        <v>1</v>
      </c>
      <c r="R7764" t="s">
        <v>5281</v>
      </c>
      <c r="S7764" t="s">
        <v>4898</v>
      </c>
      <c r="T7764" t="s">
        <v>2704</v>
      </c>
      <c r="U7764" t="s">
        <v>5631</v>
      </c>
      <c r="V7764" s="2">
        <v>444</v>
      </c>
      <c r="W7764" t="s">
        <v>4655</v>
      </c>
      <c r="X7764" s="2">
        <v>0</v>
      </c>
      <c r="Y7764">
        <v>20</v>
      </c>
      <c r="Z7764" t="s">
        <v>1604</v>
      </c>
      <c r="AA7764" s="3">
        <v>8.7832875549793202E-2</v>
      </c>
      <c r="AB7764" t="s">
        <v>36037</v>
      </c>
      <c r="AC7764" t="s">
        <v>4562</v>
      </c>
      <c r="AD7764" t="s">
        <v>36036</v>
      </c>
      <c r="AE7764" t="s">
        <v>4655</v>
      </c>
      <c r="AF7764" t="s">
        <v>5201</v>
      </c>
      <c r="AG7764" t="s">
        <v>4564</v>
      </c>
      <c r="AH7764" t="s">
        <v>1605</v>
      </c>
      <c r="AI7764" t="s">
        <v>3555</v>
      </c>
      <c r="AJ7764" t="s">
        <v>3705</v>
      </c>
      <c r="AK7764" t="s">
        <v>36038</v>
      </c>
      <c r="AL7764" s="13" t="s">
        <v>1900</v>
      </c>
      <c r="AM7764">
        <v>1</v>
      </c>
      <c r="AN7764" s="15" t="s">
        <v>4940</v>
      </c>
    </row>
    <row r="7765" spans="1:40" x14ac:dyDescent="0.3">
      <c r="A7765" s="10" t="str">
        <f>HYPERLINK("http://www.washoecounty.gov/assessor/cama/?parid=528-261-11&amp;CardNumber=1","528-261-11")</f>
        <v>528-261-11</v>
      </c>
      <c r="B7765" t="s">
        <v>4655</v>
      </c>
      <c r="C7765" t="s">
        <v>36036</v>
      </c>
      <c r="D7765" s="1">
        <v>40525</v>
      </c>
      <c r="E7765" s="2">
        <v>131000</v>
      </c>
      <c r="F7765" t="s">
        <v>4567</v>
      </c>
      <c r="G7765" s="17" t="str">
        <f>HYPERLINK("https://www.washoecounty.gov/assessor/cama/?command=sales&amp;parid=52826111","3952752")</f>
        <v>3952752</v>
      </c>
      <c r="H7765" t="s">
        <v>3704</v>
      </c>
      <c r="I7765">
        <v>2007</v>
      </c>
      <c r="J7765">
        <v>2007</v>
      </c>
      <c r="K7765" t="s">
        <v>4554</v>
      </c>
      <c r="L7765" t="s">
        <v>3974</v>
      </c>
      <c r="M7765" s="2">
        <v>1485</v>
      </c>
      <c r="N7765" t="s">
        <v>5280</v>
      </c>
      <c r="O7765">
        <v>3</v>
      </c>
      <c r="P7765">
        <v>2</v>
      </c>
      <c r="Q7765">
        <v>1</v>
      </c>
      <c r="R7765" t="s">
        <v>5281</v>
      </c>
      <c r="S7765" t="s">
        <v>4898</v>
      </c>
      <c r="T7765" t="s">
        <v>2704</v>
      </c>
      <c r="U7765" t="s">
        <v>5631</v>
      </c>
      <c r="V7765" s="2">
        <v>444</v>
      </c>
      <c r="W7765" t="s">
        <v>4655</v>
      </c>
      <c r="X7765" s="2">
        <v>0</v>
      </c>
      <c r="Y7765">
        <v>20</v>
      </c>
      <c r="Z7765" t="s">
        <v>1604</v>
      </c>
      <c r="AA7765" s="3">
        <v>8.7832875549793202E-2</v>
      </c>
      <c r="AB7765" t="s">
        <v>36037</v>
      </c>
      <c r="AC7765" t="s">
        <v>4562</v>
      </c>
      <c r="AD7765" t="s">
        <v>36036</v>
      </c>
      <c r="AE7765" t="s">
        <v>4655</v>
      </c>
      <c r="AF7765" t="s">
        <v>5201</v>
      </c>
      <c r="AG7765" t="s">
        <v>4564</v>
      </c>
      <c r="AH7765" t="s">
        <v>1605</v>
      </c>
      <c r="AI7765" t="s">
        <v>3555</v>
      </c>
      <c r="AJ7765" t="s">
        <v>3705</v>
      </c>
      <c r="AK7765" t="s">
        <v>36038</v>
      </c>
      <c r="AL7765" s="13" t="s">
        <v>1900</v>
      </c>
      <c r="AM7765" s="14">
        <v>1</v>
      </c>
      <c r="AN7765" s="15" t="s">
        <v>4940</v>
      </c>
    </row>
    <row r="7766" spans="1:40" x14ac:dyDescent="0.3">
      <c r="A7766" s="10" t="str">
        <f>HYPERLINK("http://www.washoecounty.gov/assessor/cama/?parid=528-261-12&amp;CardNumber=1","528-261-12")</f>
        <v>528-261-12</v>
      </c>
      <c r="B7766" t="s">
        <v>4655</v>
      </c>
      <c r="C7766" t="s">
        <v>36039</v>
      </c>
      <c r="D7766" s="1">
        <v>40372</v>
      </c>
      <c r="E7766" s="2">
        <v>1369340</v>
      </c>
      <c r="F7766" t="s">
        <v>3584</v>
      </c>
      <c r="G7766" s="17" t="str">
        <f>HYPERLINK("https://www.washoecounty.gov/assessor/cama/?command=sales&amp;parid=52826112","3900875")</f>
        <v>3900875</v>
      </c>
      <c r="H7766" t="s">
        <v>3704</v>
      </c>
      <c r="I7766">
        <v>2007</v>
      </c>
      <c r="J7766">
        <v>2007</v>
      </c>
      <c r="K7766" t="s">
        <v>4554</v>
      </c>
      <c r="L7766" t="s">
        <v>3974</v>
      </c>
      <c r="M7766" s="2">
        <v>1829</v>
      </c>
      <c r="N7766" t="s">
        <v>5280</v>
      </c>
      <c r="O7766">
        <v>3</v>
      </c>
      <c r="P7766">
        <v>2</v>
      </c>
      <c r="Q7766">
        <v>1</v>
      </c>
      <c r="R7766" t="s">
        <v>5281</v>
      </c>
      <c r="S7766" t="s">
        <v>4898</v>
      </c>
      <c r="T7766" t="s">
        <v>2704</v>
      </c>
      <c r="U7766" t="s">
        <v>5631</v>
      </c>
      <c r="V7766" s="2">
        <v>399</v>
      </c>
      <c r="W7766" t="s">
        <v>4655</v>
      </c>
      <c r="X7766" s="2">
        <v>0</v>
      </c>
      <c r="Y7766">
        <v>20</v>
      </c>
      <c r="Z7766" t="s">
        <v>1604</v>
      </c>
      <c r="AA7766" s="3">
        <v>6.4026631414890303E-2</v>
      </c>
      <c r="AB7766" t="s">
        <v>3555</v>
      </c>
      <c r="AC7766" t="s">
        <v>4562</v>
      </c>
      <c r="AD7766" t="s">
        <v>36040</v>
      </c>
      <c r="AE7766" t="s">
        <v>4655</v>
      </c>
      <c r="AF7766" t="s">
        <v>3556</v>
      </c>
      <c r="AG7766" t="s">
        <v>4584</v>
      </c>
      <c r="AH7766" t="s">
        <v>5908</v>
      </c>
      <c r="AI7766" t="s">
        <v>4903</v>
      </c>
      <c r="AJ7766" t="s">
        <v>3705</v>
      </c>
      <c r="AK7766" t="s">
        <v>36041</v>
      </c>
      <c r="AL7766" s="13" t="s">
        <v>1900</v>
      </c>
      <c r="AM7766">
        <v>1</v>
      </c>
      <c r="AN7766" s="15" t="s">
        <v>4940</v>
      </c>
    </row>
    <row r="7767" spans="1:40" x14ac:dyDescent="0.3">
      <c r="A7767" s="10" t="str">
        <f>HYPERLINK("http://www.washoecounty.gov/assessor/cama/?parid=528-261-13&amp;CardNumber=1","528-261-13")</f>
        <v>528-261-13</v>
      </c>
      <c r="B7767" t="s">
        <v>4655</v>
      </c>
      <c r="C7767" t="s">
        <v>36042</v>
      </c>
      <c r="D7767" s="1">
        <v>40372</v>
      </c>
      <c r="E7767" s="2">
        <v>1369340</v>
      </c>
      <c r="F7767" t="s">
        <v>3584</v>
      </c>
      <c r="G7767" s="17" t="str">
        <f>HYPERLINK("https://www.washoecounty.gov/assessor/cama/?command=sales&amp;parid=52826113","3900875")</f>
        <v>3900875</v>
      </c>
      <c r="H7767" t="s">
        <v>3704</v>
      </c>
      <c r="I7767">
        <v>2007</v>
      </c>
      <c r="J7767">
        <v>2007</v>
      </c>
      <c r="K7767" t="s">
        <v>4554</v>
      </c>
      <c r="L7767" t="s">
        <v>4555</v>
      </c>
      <c r="M7767" s="2">
        <v>1141</v>
      </c>
      <c r="N7767" t="s">
        <v>5280</v>
      </c>
      <c r="O7767">
        <v>3</v>
      </c>
      <c r="P7767">
        <v>2</v>
      </c>
      <c r="Q7767">
        <v>0</v>
      </c>
      <c r="R7767" t="s">
        <v>5281</v>
      </c>
      <c r="S7767" t="s">
        <v>4898</v>
      </c>
      <c r="T7767" t="s">
        <v>2704</v>
      </c>
      <c r="U7767" t="s">
        <v>4560</v>
      </c>
      <c r="V7767" s="2">
        <v>399</v>
      </c>
      <c r="W7767" t="s">
        <v>4655</v>
      </c>
      <c r="X7767" s="2">
        <v>0</v>
      </c>
      <c r="Y7767">
        <v>20</v>
      </c>
      <c r="Z7767" t="s">
        <v>1604</v>
      </c>
      <c r="AA7767" s="3">
        <v>7.75941237807274E-2</v>
      </c>
      <c r="AB7767" t="s">
        <v>36043</v>
      </c>
      <c r="AC7767" t="s">
        <v>4562</v>
      </c>
      <c r="AD7767" t="s">
        <v>36042</v>
      </c>
      <c r="AE7767" t="s">
        <v>4655</v>
      </c>
      <c r="AF7767" t="s">
        <v>5201</v>
      </c>
      <c r="AG7767" t="s">
        <v>4564</v>
      </c>
      <c r="AH7767" t="s">
        <v>1605</v>
      </c>
      <c r="AI7767" t="s">
        <v>3555</v>
      </c>
      <c r="AJ7767" t="s">
        <v>3705</v>
      </c>
      <c r="AK7767" t="s">
        <v>36044</v>
      </c>
      <c r="AL7767" s="13" t="s">
        <v>1900</v>
      </c>
      <c r="AM7767">
        <v>1</v>
      </c>
      <c r="AN7767" s="15" t="s">
        <v>4940</v>
      </c>
    </row>
    <row r="7768" spans="1:40" x14ac:dyDescent="0.3">
      <c r="A7768" s="10" t="str">
        <f>HYPERLINK("http://www.washoecounty.gov/assessor/cama/?parid=528-261-13&amp;CardNumber=1","528-261-13")</f>
        <v>528-261-13</v>
      </c>
      <c r="B7768" t="s">
        <v>4655</v>
      </c>
      <c r="C7768" t="s">
        <v>36042</v>
      </c>
      <c r="D7768" s="1">
        <v>40389</v>
      </c>
      <c r="E7768" s="2">
        <v>125497</v>
      </c>
      <c r="F7768" t="s">
        <v>4567</v>
      </c>
      <c r="G7768" s="17" t="str">
        <f>HYPERLINK("https://www.washoecounty.gov/assessor/cama/?command=sales&amp;parid=52826113","3907526")</f>
        <v>3907526</v>
      </c>
      <c r="H7768" t="s">
        <v>3704</v>
      </c>
      <c r="I7768">
        <v>2007</v>
      </c>
      <c r="J7768">
        <v>2007</v>
      </c>
      <c r="K7768" t="s">
        <v>4554</v>
      </c>
      <c r="L7768" t="s">
        <v>4555</v>
      </c>
      <c r="M7768" s="2">
        <v>1141</v>
      </c>
      <c r="N7768" t="s">
        <v>5280</v>
      </c>
      <c r="O7768">
        <v>3</v>
      </c>
      <c r="P7768">
        <v>2</v>
      </c>
      <c r="Q7768">
        <v>0</v>
      </c>
      <c r="R7768" t="s">
        <v>5281</v>
      </c>
      <c r="S7768" t="s">
        <v>4898</v>
      </c>
      <c r="T7768" t="s">
        <v>2704</v>
      </c>
      <c r="U7768" t="s">
        <v>4560</v>
      </c>
      <c r="V7768" s="2">
        <v>399</v>
      </c>
      <c r="W7768" t="s">
        <v>4655</v>
      </c>
      <c r="X7768" s="2">
        <v>0</v>
      </c>
      <c r="Y7768">
        <v>20</v>
      </c>
      <c r="Z7768" t="s">
        <v>1604</v>
      </c>
      <c r="AA7768" s="3">
        <v>7.75941237807274E-2</v>
      </c>
      <c r="AB7768" t="s">
        <v>36043</v>
      </c>
      <c r="AC7768" t="s">
        <v>4562</v>
      </c>
      <c r="AD7768" t="s">
        <v>36042</v>
      </c>
      <c r="AE7768" t="s">
        <v>4655</v>
      </c>
      <c r="AF7768" t="s">
        <v>5201</v>
      </c>
      <c r="AG7768" t="s">
        <v>4564</v>
      </c>
      <c r="AH7768" t="s">
        <v>1605</v>
      </c>
      <c r="AI7768" t="s">
        <v>3555</v>
      </c>
      <c r="AJ7768" t="s">
        <v>3705</v>
      </c>
      <c r="AK7768" t="s">
        <v>36044</v>
      </c>
      <c r="AL7768" s="13" t="s">
        <v>1900</v>
      </c>
      <c r="AM7768">
        <v>1</v>
      </c>
      <c r="AN7768" s="15" t="s">
        <v>4940</v>
      </c>
    </row>
    <row r="7769" spans="1:40" x14ac:dyDescent="0.3">
      <c r="A7769" s="10" t="str">
        <f>HYPERLINK("http://www.washoecounty.gov/assessor/cama/?parid=528-261-17&amp;CardNumber=1","528-261-17")</f>
        <v>528-261-17</v>
      </c>
      <c r="B7769" t="s">
        <v>4655</v>
      </c>
      <c r="C7769" t="s">
        <v>36045</v>
      </c>
      <c r="D7769" s="1">
        <v>40372</v>
      </c>
      <c r="E7769" s="2">
        <v>1369340</v>
      </c>
      <c r="F7769" t="s">
        <v>3584</v>
      </c>
      <c r="G7769" s="17" t="str">
        <f>HYPERLINK("https://www.washoecounty.gov/assessor/cama/?command=sales&amp;parid=52826117","3900875")</f>
        <v>3900875</v>
      </c>
      <c r="H7769" t="s">
        <v>3704</v>
      </c>
      <c r="I7769">
        <v>2008</v>
      </c>
      <c r="J7769">
        <v>2008</v>
      </c>
      <c r="K7769" t="s">
        <v>4554</v>
      </c>
      <c r="L7769" t="s">
        <v>3974</v>
      </c>
      <c r="M7769" s="2">
        <v>1485</v>
      </c>
      <c r="N7769" t="s">
        <v>5280</v>
      </c>
      <c r="O7769">
        <v>3</v>
      </c>
      <c r="P7769">
        <v>2</v>
      </c>
      <c r="Q7769">
        <v>1</v>
      </c>
      <c r="R7769" t="s">
        <v>5281</v>
      </c>
      <c r="S7769" t="s">
        <v>4898</v>
      </c>
      <c r="T7769" t="s">
        <v>2704</v>
      </c>
      <c r="U7769" t="s">
        <v>5631</v>
      </c>
      <c r="V7769" s="2">
        <v>444</v>
      </c>
      <c r="W7769" t="s">
        <v>4655</v>
      </c>
      <c r="X7769" s="2">
        <v>0</v>
      </c>
      <c r="Y7769">
        <v>20</v>
      </c>
      <c r="Z7769" t="s">
        <v>1604</v>
      </c>
      <c r="AA7769" s="3">
        <v>0.102364555001259</v>
      </c>
      <c r="AB7769" t="s">
        <v>3555</v>
      </c>
      <c r="AC7769" t="s">
        <v>4562</v>
      </c>
      <c r="AD7769" t="s">
        <v>36040</v>
      </c>
      <c r="AE7769" t="s">
        <v>4655</v>
      </c>
      <c r="AF7769" t="s">
        <v>3556</v>
      </c>
      <c r="AG7769" t="s">
        <v>4584</v>
      </c>
      <c r="AH7769" t="s">
        <v>5908</v>
      </c>
      <c r="AI7769" t="s">
        <v>4903</v>
      </c>
      <c r="AJ7769" t="s">
        <v>3705</v>
      </c>
      <c r="AK7769" t="s">
        <v>36046</v>
      </c>
      <c r="AL7769" s="13" t="s">
        <v>1900</v>
      </c>
      <c r="AM7769" s="14">
        <v>1</v>
      </c>
      <c r="AN7769" s="15" t="s">
        <v>4940</v>
      </c>
    </row>
    <row r="7770" spans="1:40" x14ac:dyDescent="0.3">
      <c r="A7770" s="10" t="str">
        <f>HYPERLINK("http://www.washoecounty.gov/assessor/cama/?parid=528-261-18&amp;CardNumber=1","528-261-18")</f>
        <v>528-261-18</v>
      </c>
      <c r="B7770" t="s">
        <v>4655</v>
      </c>
      <c r="C7770" t="s">
        <v>36047</v>
      </c>
      <c r="D7770" s="1">
        <v>40372</v>
      </c>
      <c r="E7770" s="2">
        <v>1369340</v>
      </c>
      <c r="F7770" t="s">
        <v>3584</v>
      </c>
      <c r="G7770" s="17" t="str">
        <f>HYPERLINK("https://www.washoecounty.gov/assessor/cama/?command=sales&amp;parid=52826118","3900875")</f>
        <v>3900875</v>
      </c>
      <c r="H7770" t="s">
        <v>3704</v>
      </c>
      <c r="I7770">
        <v>2008</v>
      </c>
      <c r="J7770">
        <v>2008</v>
      </c>
      <c r="K7770" t="s">
        <v>4554</v>
      </c>
      <c r="L7770" t="s">
        <v>3974</v>
      </c>
      <c r="M7770" s="2">
        <v>1829</v>
      </c>
      <c r="N7770" t="s">
        <v>5280</v>
      </c>
      <c r="O7770">
        <v>3</v>
      </c>
      <c r="P7770">
        <v>2</v>
      </c>
      <c r="Q7770">
        <v>1</v>
      </c>
      <c r="R7770" t="s">
        <v>5281</v>
      </c>
      <c r="S7770" t="s">
        <v>4898</v>
      </c>
      <c r="T7770" t="s">
        <v>2704</v>
      </c>
      <c r="U7770" t="s">
        <v>5631</v>
      </c>
      <c r="V7770" s="2">
        <v>399</v>
      </c>
      <c r="W7770" t="s">
        <v>4655</v>
      </c>
      <c r="X7770" s="2">
        <v>0</v>
      </c>
      <c r="Y7770">
        <v>20</v>
      </c>
      <c r="Z7770" t="s">
        <v>1604</v>
      </c>
      <c r="AA7770" s="3">
        <v>6.9719925522804302E-2</v>
      </c>
      <c r="AB7770" t="s">
        <v>3555</v>
      </c>
      <c r="AC7770" t="s">
        <v>4562</v>
      </c>
      <c r="AD7770" t="s">
        <v>36040</v>
      </c>
      <c r="AE7770" t="s">
        <v>4655</v>
      </c>
      <c r="AF7770" t="s">
        <v>3556</v>
      </c>
      <c r="AG7770" t="s">
        <v>4584</v>
      </c>
      <c r="AH7770" t="s">
        <v>5908</v>
      </c>
      <c r="AI7770" t="s">
        <v>4903</v>
      </c>
      <c r="AJ7770" t="s">
        <v>3705</v>
      </c>
      <c r="AK7770" t="s">
        <v>36048</v>
      </c>
      <c r="AL7770" s="13" t="s">
        <v>1900</v>
      </c>
      <c r="AM7770">
        <v>1</v>
      </c>
      <c r="AN7770" s="15" t="s">
        <v>4940</v>
      </c>
    </row>
    <row r="7771" spans="1:40" x14ac:dyDescent="0.3">
      <c r="A7771" s="10" t="str">
        <f>HYPERLINK("http://www.washoecounty.gov/assessor/cama/?parid=528-262-10&amp;CardNumber=1","528-262-10")</f>
        <v>528-262-10</v>
      </c>
      <c r="B7771" t="s">
        <v>4655</v>
      </c>
      <c r="C7771" t="s">
        <v>36049</v>
      </c>
      <c r="D7771" s="1">
        <v>40317</v>
      </c>
      <c r="E7771" s="2">
        <v>382050</v>
      </c>
      <c r="F7771" t="s">
        <v>4567</v>
      </c>
      <c r="G7771" s="17" t="str">
        <f>HYPERLINK("https://www.washoecounty.gov/assessor/cama/?command=sales&amp;parid=52826210","3883124")</f>
        <v>3883124</v>
      </c>
      <c r="H7771" t="s">
        <v>3704</v>
      </c>
      <c r="I7771">
        <v>2007</v>
      </c>
      <c r="J7771">
        <v>2007</v>
      </c>
      <c r="K7771" t="s">
        <v>4554</v>
      </c>
      <c r="L7771" t="s">
        <v>4555</v>
      </c>
      <c r="M7771" s="2">
        <v>1190</v>
      </c>
      <c r="N7771" t="s">
        <v>5280</v>
      </c>
      <c r="O7771">
        <v>3</v>
      </c>
      <c r="P7771">
        <v>2</v>
      </c>
      <c r="Q7771">
        <v>0</v>
      </c>
      <c r="R7771" t="s">
        <v>5281</v>
      </c>
      <c r="S7771" t="s">
        <v>4898</v>
      </c>
      <c r="T7771" t="s">
        <v>2704</v>
      </c>
      <c r="U7771" t="s">
        <v>4560</v>
      </c>
      <c r="V7771" s="2">
        <v>418</v>
      </c>
      <c r="W7771" t="s">
        <v>4655</v>
      </c>
      <c r="X7771" s="2">
        <v>0</v>
      </c>
      <c r="Y7771">
        <v>20</v>
      </c>
      <c r="Z7771" t="s">
        <v>1604</v>
      </c>
      <c r="AA7771" s="3">
        <v>9.1781452298164395E-2</v>
      </c>
      <c r="AB7771" t="s">
        <v>35981</v>
      </c>
      <c r="AC7771" t="s">
        <v>4575</v>
      </c>
      <c r="AD7771" t="s">
        <v>35982</v>
      </c>
      <c r="AE7771" t="s">
        <v>4938</v>
      </c>
      <c r="AF7771" t="s">
        <v>4563</v>
      </c>
      <c r="AG7771" t="s">
        <v>4564</v>
      </c>
      <c r="AH7771">
        <v>89509</v>
      </c>
      <c r="AI7771" t="s">
        <v>8971</v>
      </c>
      <c r="AJ7771" t="s">
        <v>3705</v>
      </c>
      <c r="AK7771" t="s">
        <v>36050</v>
      </c>
      <c r="AL7771" s="13" t="s">
        <v>1900</v>
      </c>
      <c r="AM7771" s="14">
        <v>1</v>
      </c>
      <c r="AN7771" s="15" t="s">
        <v>4940</v>
      </c>
    </row>
    <row r="7772" spans="1:40" x14ac:dyDescent="0.3">
      <c r="A7772" s="10" t="str">
        <f>HYPERLINK("http://www.washoecounty.gov/assessor/cama/?parid=528-262-11&amp;CardNumber=1","528-262-11")</f>
        <v>528-262-11</v>
      </c>
      <c r="B7772" t="s">
        <v>4655</v>
      </c>
      <c r="C7772" t="s">
        <v>36051</v>
      </c>
      <c r="D7772" s="1">
        <v>40345</v>
      </c>
      <c r="E7772" s="2">
        <v>155950</v>
      </c>
      <c r="F7772" t="s">
        <v>4567</v>
      </c>
      <c r="G7772" s="17" t="str">
        <f>HYPERLINK("https://www.washoecounty.gov/assessor/cama/?command=sales&amp;parid=52826211","3892643")</f>
        <v>3892643</v>
      </c>
      <c r="H7772" t="s">
        <v>3704</v>
      </c>
      <c r="I7772">
        <v>2007</v>
      </c>
      <c r="J7772">
        <v>2007</v>
      </c>
      <c r="K7772" t="s">
        <v>4554</v>
      </c>
      <c r="L7772" t="s">
        <v>3974</v>
      </c>
      <c r="M7772" s="2">
        <v>1829</v>
      </c>
      <c r="N7772" t="s">
        <v>5280</v>
      </c>
      <c r="O7772">
        <v>3</v>
      </c>
      <c r="P7772">
        <v>2</v>
      </c>
      <c r="Q7772">
        <v>1</v>
      </c>
      <c r="R7772" t="s">
        <v>5281</v>
      </c>
      <c r="S7772" t="s">
        <v>4898</v>
      </c>
      <c r="T7772" t="s">
        <v>2704</v>
      </c>
      <c r="U7772" t="s">
        <v>5631</v>
      </c>
      <c r="V7772" s="2">
        <v>399</v>
      </c>
      <c r="W7772" t="s">
        <v>4655</v>
      </c>
      <c r="X7772" s="2">
        <v>0</v>
      </c>
      <c r="Y7772">
        <v>20</v>
      </c>
      <c r="Z7772" t="s">
        <v>1604</v>
      </c>
      <c r="AA7772" s="3">
        <v>9.6349865198135404E-2</v>
      </c>
      <c r="AB7772" t="s">
        <v>36052</v>
      </c>
      <c r="AC7772" t="s">
        <v>4562</v>
      </c>
      <c r="AD7772" t="s">
        <v>36053</v>
      </c>
      <c r="AE7772" t="s">
        <v>4655</v>
      </c>
      <c r="AF7772" t="s">
        <v>4809</v>
      </c>
      <c r="AG7772" t="s">
        <v>4564</v>
      </c>
      <c r="AH7772" t="s">
        <v>1605</v>
      </c>
      <c r="AI7772" t="s">
        <v>3555</v>
      </c>
      <c r="AJ7772" t="s">
        <v>3705</v>
      </c>
      <c r="AK7772" t="s">
        <v>36054</v>
      </c>
      <c r="AL7772" s="13" t="s">
        <v>1900</v>
      </c>
      <c r="AM7772" s="14">
        <v>1</v>
      </c>
      <c r="AN7772" s="15" t="s">
        <v>4940</v>
      </c>
    </row>
    <row r="7773" spans="1:40" x14ac:dyDescent="0.3">
      <c r="A7773" s="10" t="str">
        <f>HYPERLINK("http://www.washoecounty.gov/assessor/cama/?parid=528-262-11&amp;CardNumber=1","528-262-11")</f>
        <v>528-262-11</v>
      </c>
      <c r="B7773" t="s">
        <v>4655</v>
      </c>
      <c r="C7773" t="s">
        <v>36051</v>
      </c>
      <c r="D7773" s="1">
        <v>40345</v>
      </c>
      <c r="E7773" s="2">
        <v>282950</v>
      </c>
      <c r="F7773" t="s">
        <v>4567</v>
      </c>
      <c r="G7773" s="17" t="str">
        <f>HYPERLINK("https://www.washoecounty.gov/assessor/cama/?command=sales&amp;parid=52826211","3892642")</f>
        <v>3892642</v>
      </c>
      <c r="H7773" t="s">
        <v>3704</v>
      </c>
      <c r="I7773">
        <v>2007</v>
      </c>
      <c r="J7773">
        <v>2007</v>
      </c>
      <c r="K7773" t="s">
        <v>4554</v>
      </c>
      <c r="L7773" t="s">
        <v>3974</v>
      </c>
      <c r="M7773" s="2">
        <v>1829</v>
      </c>
      <c r="N7773" t="s">
        <v>5280</v>
      </c>
      <c r="O7773">
        <v>3</v>
      </c>
      <c r="P7773">
        <v>2</v>
      </c>
      <c r="Q7773">
        <v>1</v>
      </c>
      <c r="R7773" t="s">
        <v>5281</v>
      </c>
      <c r="S7773" t="s">
        <v>4898</v>
      </c>
      <c r="T7773" t="s">
        <v>2704</v>
      </c>
      <c r="U7773" t="s">
        <v>5631</v>
      </c>
      <c r="V7773" s="2">
        <v>399</v>
      </c>
      <c r="W7773" t="s">
        <v>4655</v>
      </c>
      <c r="X7773" s="2">
        <v>0</v>
      </c>
      <c r="Y7773">
        <v>20</v>
      </c>
      <c r="Z7773" t="s">
        <v>1604</v>
      </c>
      <c r="AA7773" s="3">
        <v>9.6349865198135404E-2</v>
      </c>
      <c r="AB7773" t="s">
        <v>36052</v>
      </c>
      <c r="AC7773" t="s">
        <v>4562</v>
      </c>
      <c r="AD7773" t="s">
        <v>36053</v>
      </c>
      <c r="AE7773" t="s">
        <v>4655</v>
      </c>
      <c r="AF7773" t="s">
        <v>4809</v>
      </c>
      <c r="AG7773" t="s">
        <v>4564</v>
      </c>
      <c r="AH7773" t="s">
        <v>1605</v>
      </c>
      <c r="AI7773" t="s">
        <v>3555</v>
      </c>
      <c r="AJ7773" t="s">
        <v>3705</v>
      </c>
      <c r="AK7773" t="s">
        <v>36054</v>
      </c>
      <c r="AL7773" s="13" t="s">
        <v>1900</v>
      </c>
      <c r="AM7773" s="14">
        <v>1</v>
      </c>
      <c r="AN7773" s="15" t="s">
        <v>4940</v>
      </c>
    </row>
    <row r="7774" spans="1:40" x14ac:dyDescent="0.3">
      <c r="A7774" s="10" t="str">
        <f>HYPERLINK("http://www.washoecounty.gov/assessor/cama/?parid=530-031-06&amp;CardNumber=1","530-031-06")</f>
        <v>530-031-06</v>
      </c>
      <c r="B7774" t="s">
        <v>4655</v>
      </c>
      <c r="C7774" t="s">
        <v>36055</v>
      </c>
      <c r="D7774" s="1">
        <v>40301</v>
      </c>
      <c r="E7774" s="2">
        <v>95000</v>
      </c>
      <c r="F7774" t="s">
        <v>4567</v>
      </c>
      <c r="G7774" s="17" t="str">
        <f>HYPERLINK("https://www.washoecounty.gov/assessor/cama/?command=sales&amp;parid=53003106","3877263")</f>
        <v>3877263</v>
      </c>
      <c r="H7774" t="s">
        <v>4311</v>
      </c>
      <c r="I7774">
        <v>1996</v>
      </c>
      <c r="J7774">
        <v>1996</v>
      </c>
      <c r="K7774" t="s">
        <v>4554</v>
      </c>
      <c r="L7774" t="s">
        <v>4555</v>
      </c>
      <c r="M7774" s="2">
        <v>2244</v>
      </c>
      <c r="N7774" t="s">
        <v>4048</v>
      </c>
      <c r="O7774">
        <v>4</v>
      </c>
      <c r="P7774">
        <v>2</v>
      </c>
      <c r="Q7774">
        <v>1</v>
      </c>
      <c r="R7774" t="s">
        <v>5281</v>
      </c>
      <c r="S7774" t="s">
        <v>4558</v>
      </c>
      <c r="T7774" t="s">
        <v>4559</v>
      </c>
      <c r="U7774" t="s">
        <v>4560</v>
      </c>
      <c r="V7774" s="2">
        <v>952</v>
      </c>
      <c r="W7774" t="s">
        <v>4655</v>
      </c>
      <c r="X7774" s="2">
        <v>0</v>
      </c>
      <c r="Y7774">
        <v>20</v>
      </c>
      <c r="Z7774" t="s">
        <v>5508</v>
      </c>
      <c r="AA7774" s="3">
        <v>0.57601010799407903</v>
      </c>
      <c r="AB7774" t="s">
        <v>36056</v>
      </c>
      <c r="AC7774" t="s">
        <v>4562</v>
      </c>
      <c r="AD7774" t="s">
        <v>36055</v>
      </c>
      <c r="AE7774" t="s">
        <v>4655</v>
      </c>
      <c r="AF7774" t="s">
        <v>5201</v>
      </c>
      <c r="AG7774" t="s">
        <v>4564</v>
      </c>
      <c r="AH7774" t="s">
        <v>1605</v>
      </c>
      <c r="AI7774" t="s">
        <v>36057</v>
      </c>
      <c r="AJ7774" t="s">
        <v>4312</v>
      </c>
      <c r="AK7774" t="s">
        <v>36058</v>
      </c>
      <c r="AL7774" s="13" t="s">
        <v>1892</v>
      </c>
      <c r="AM7774">
        <v>1</v>
      </c>
      <c r="AN7774" s="15" t="s">
        <v>1352</v>
      </c>
    </row>
    <row r="7775" spans="1:40" x14ac:dyDescent="0.3">
      <c r="A7775" s="10" t="str">
        <f>HYPERLINK("http://www.washoecounty.gov/assessor/cama/?parid=530-031-06&amp;CardNumber=1","530-031-06")</f>
        <v>530-031-06</v>
      </c>
      <c r="B7775" t="s">
        <v>4655</v>
      </c>
      <c r="C7775" t="s">
        <v>36055</v>
      </c>
      <c r="D7775" s="1">
        <v>40382</v>
      </c>
      <c r="E7775" s="2">
        <v>222000</v>
      </c>
      <c r="F7775" t="s">
        <v>4567</v>
      </c>
      <c r="G7775" s="17" t="str">
        <f>HYPERLINK("https://www.washoecounty.gov/assessor/cama/?command=sales&amp;parid=53003106","3904441")</f>
        <v>3904441</v>
      </c>
      <c r="H7775" t="s">
        <v>4311</v>
      </c>
      <c r="I7775">
        <v>1996</v>
      </c>
      <c r="J7775">
        <v>1996</v>
      </c>
      <c r="K7775" t="s">
        <v>4554</v>
      </c>
      <c r="L7775" t="s">
        <v>4555</v>
      </c>
      <c r="M7775" s="2">
        <v>2244</v>
      </c>
      <c r="N7775" t="s">
        <v>4048</v>
      </c>
      <c r="O7775">
        <v>4</v>
      </c>
      <c r="P7775">
        <v>2</v>
      </c>
      <c r="Q7775">
        <v>1</v>
      </c>
      <c r="R7775" t="s">
        <v>5281</v>
      </c>
      <c r="S7775" t="s">
        <v>4558</v>
      </c>
      <c r="T7775" t="s">
        <v>4559</v>
      </c>
      <c r="U7775" t="s">
        <v>4560</v>
      </c>
      <c r="V7775" s="2">
        <v>952</v>
      </c>
      <c r="W7775" t="s">
        <v>4655</v>
      </c>
      <c r="X7775" s="2">
        <v>0</v>
      </c>
      <c r="Y7775">
        <v>20</v>
      </c>
      <c r="Z7775" t="s">
        <v>5508</v>
      </c>
      <c r="AA7775" s="3">
        <v>0.57601010799407903</v>
      </c>
      <c r="AB7775" t="s">
        <v>36056</v>
      </c>
      <c r="AC7775" t="s">
        <v>4562</v>
      </c>
      <c r="AD7775" t="s">
        <v>36055</v>
      </c>
      <c r="AE7775" t="s">
        <v>4655</v>
      </c>
      <c r="AF7775" t="s">
        <v>5201</v>
      </c>
      <c r="AG7775" t="s">
        <v>4564</v>
      </c>
      <c r="AH7775" t="s">
        <v>1605</v>
      </c>
      <c r="AI7775" t="s">
        <v>36057</v>
      </c>
      <c r="AJ7775" t="s">
        <v>4312</v>
      </c>
      <c r="AK7775" t="s">
        <v>36058</v>
      </c>
      <c r="AL7775" s="13" t="s">
        <v>1892</v>
      </c>
      <c r="AM7775">
        <v>1</v>
      </c>
      <c r="AN7775" s="15" t="s">
        <v>1352</v>
      </c>
    </row>
    <row r="7776" spans="1:40" x14ac:dyDescent="0.3">
      <c r="A7776" s="10" t="str">
        <f>HYPERLINK("http://www.washoecounty.gov/assessor/cama/?parid=530-031-11&amp;CardNumber=1","530-031-11")</f>
        <v>530-031-11</v>
      </c>
      <c r="B7776" t="s">
        <v>4655</v>
      </c>
      <c r="C7776" t="s">
        <v>36059</v>
      </c>
      <c r="D7776" s="1">
        <v>40512</v>
      </c>
      <c r="E7776" s="2">
        <v>170000</v>
      </c>
      <c r="F7776" t="s">
        <v>4553</v>
      </c>
      <c r="G7776" s="17" t="str">
        <f>HYPERLINK("https://www.washoecounty.gov/assessor/cama/?command=sales&amp;parid=53003111","3947541")</f>
        <v>3947541</v>
      </c>
      <c r="H7776" t="s">
        <v>4311</v>
      </c>
      <c r="I7776">
        <v>1996</v>
      </c>
      <c r="J7776">
        <v>1996</v>
      </c>
      <c r="K7776" t="s">
        <v>4554</v>
      </c>
      <c r="L7776" t="s">
        <v>4555</v>
      </c>
      <c r="M7776" s="2">
        <v>1592</v>
      </c>
      <c r="N7776" t="s">
        <v>4048</v>
      </c>
      <c r="O7776">
        <v>3</v>
      </c>
      <c r="P7776">
        <v>2</v>
      </c>
      <c r="Q7776">
        <v>1</v>
      </c>
      <c r="R7776" t="s">
        <v>4557</v>
      </c>
      <c r="S7776" t="s">
        <v>4558</v>
      </c>
      <c r="T7776" t="s">
        <v>4559</v>
      </c>
      <c r="U7776" t="s">
        <v>4560</v>
      </c>
      <c r="V7776" s="2">
        <v>689</v>
      </c>
      <c r="W7776" t="s">
        <v>4655</v>
      </c>
      <c r="X7776" s="2">
        <v>0</v>
      </c>
      <c r="Y7776">
        <v>20</v>
      </c>
      <c r="Z7776" t="s">
        <v>5508</v>
      </c>
      <c r="AA7776" s="3">
        <v>0.50798898935317904</v>
      </c>
      <c r="AB7776" t="s">
        <v>36060</v>
      </c>
      <c r="AC7776" t="s">
        <v>4562</v>
      </c>
      <c r="AD7776" t="s">
        <v>36059</v>
      </c>
      <c r="AE7776" t="s">
        <v>4655</v>
      </c>
      <c r="AF7776" t="s">
        <v>5201</v>
      </c>
      <c r="AG7776" t="s">
        <v>4564</v>
      </c>
      <c r="AH7776" t="s">
        <v>1605</v>
      </c>
      <c r="AI7776" t="s">
        <v>36061</v>
      </c>
      <c r="AJ7776" t="s">
        <v>4571</v>
      </c>
      <c r="AK7776" t="s">
        <v>36062</v>
      </c>
      <c r="AL7776" s="13" t="s">
        <v>1892</v>
      </c>
      <c r="AM7776" s="14">
        <v>1</v>
      </c>
      <c r="AN7776" s="15" t="s">
        <v>1352</v>
      </c>
    </row>
    <row r="7777" spans="1:40" x14ac:dyDescent="0.3">
      <c r="A7777" s="10" t="str">
        <f>HYPERLINK("http://www.washoecounty.gov/assessor/cama/?parid=530-041-10&amp;CardNumber=1","530-041-10")</f>
        <v>530-041-10</v>
      </c>
      <c r="B7777" t="s">
        <v>4655</v>
      </c>
      <c r="C7777" t="s">
        <v>36063</v>
      </c>
      <c r="D7777" s="1">
        <v>40443</v>
      </c>
      <c r="E7777" s="2">
        <v>165000</v>
      </c>
      <c r="F7777" t="s">
        <v>4567</v>
      </c>
      <c r="G7777" s="17" t="str">
        <f>HYPERLINK("https://www.washoecounty.gov/assessor/cama/?command=sales&amp;parid=53004110","3925007")</f>
        <v>3925007</v>
      </c>
      <c r="H7777" t="s">
        <v>4311</v>
      </c>
      <c r="I7777">
        <v>1996</v>
      </c>
      <c r="J7777">
        <v>1996</v>
      </c>
      <c r="K7777" t="s">
        <v>4554</v>
      </c>
      <c r="L7777" t="s">
        <v>4555</v>
      </c>
      <c r="M7777" s="2">
        <v>1592</v>
      </c>
      <c r="N7777" t="s">
        <v>4048</v>
      </c>
      <c r="O7777">
        <v>3</v>
      </c>
      <c r="P7777">
        <v>2</v>
      </c>
      <c r="Q7777">
        <v>1</v>
      </c>
      <c r="R7777" t="s">
        <v>4557</v>
      </c>
      <c r="S7777" t="s">
        <v>4558</v>
      </c>
      <c r="T7777" t="s">
        <v>4559</v>
      </c>
      <c r="U7777" t="s">
        <v>4560</v>
      </c>
      <c r="V7777" s="2">
        <v>689</v>
      </c>
      <c r="W7777" t="s">
        <v>4655</v>
      </c>
      <c r="X7777" s="2">
        <v>0</v>
      </c>
      <c r="Y7777">
        <v>20</v>
      </c>
      <c r="Z7777" t="s">
        <v>5508</v>
      </c>
      <c r="AA7777" s="3">
        <v>0.47899448871612499</v>
      </c>
      <c r="AB7777" t="s">
        <v>36064</v>
      </c>
      <c r="AC7777" t="s">
        <v>4562</v>
      </c>
      <c r="AD7777" t="s">
        <v>36065</v>
      </c>
      <c r="AE7777" t="s">
        <v>4655</v>
      </c>
      <c r="AF7777" t="s">
        <v>5201</v>
      </c>
      <c r="AG7777" t="s">
        <v>4564</v>
      </c>
      <c r="AH7777" t="s">
        <v>1605</v>
      </c>
      <c r="AI7777" t="s">
        <v>36066</v>
      </c>
      <c r="AJ7777" t="s">
        <v>4312</v>
      </c>
      <c r="AK7777" t="s">
        <v>36067</v>
      </c>
      <c r="AL7777" s="13" t="s">
        <v>1892</v>
      </c>
      <c r="AM7777" s="14">
        <v>1</v>
      </c>
      <c r="AN7777" s="15" t="s">
        <v>1352</v>
      </c>
    </row>
    <row r="7778" spans="1:40" x14ac:dyDescent="0.3">
      <c r="A7778" s="10" t="str">
        <f>HYPERLINK("http://www.washoecounty.gov/assessor/cama/?parid=530-074-32&amp;CardNumber=1","530-074-32")</f>
        <v>530-074-32</v>
      </c>
      <c r="B7778" t="s">
        <v>4655</v>
      </c>
      <c r="C7778" t="s">
        <v>36068</v>
      </c>
      <c r="D7778" s="1">
        <v>40449</v>
      </c>
      <c r="E7778" s="2">
        <v>240000</v>
      </c>
      <c r="F7778" t="s">
        <v>4553</v>
      </c>
      <c r="G7778" s="17" t="str">
        <f>HYPERLINK("https://www.washoecounty.gov/assessor/cama/?command=sales&amp;parid=53007432","3927033")</f>
        <v>3927033</v>
      </c>
      <c r="H7778" t="s">
        <v>36069</v>
      </c>
      <c r="I7778">
        <v>2003</v>
      </c>
      <c r="J7778">
        <v>2003</v>
      </c>
      <c r="K7778" t="s">
        <v>4554</v>
      </c>
      <c r="L7778" t="s">
        <v>4555</v>
      </c>
      <c r="M7778" s="2">
        <v>2576</v>
      </c>
      <c r="N7778" t="s">
        <v>3147</v>
      </c>
      <c r="O7778">
        <v>4</v>
      </c>
      <c r="P7778">
        <v>2</v>
      </c>
      <c r="Q7778">
        <v>1</v>
      </c>
      <c r="R7778" t="s">
        <v>5281</v>
      </c>
      <c r="S7778" t="s">
        <v>4898</v>
      </c>
      <c r="T7778" t="s">
        <v>4559</v>
      </c>
      <c r="U7778" t="s">
        <v>4560</v>
      </c>
      <c r="V7778" s="2">
        <v>680</v>
      </c>
      <c r="W7778" t="s">
        <v>4655</v>
      </c>
      <c r="X7778" s="2">
        <v>0</v>
      </c>
      <c r="Y7778">
        <v>20</v>
      </c>
      <c r="Z7778" t="s">
        <v>5508</v>
      </c>
      <c r="AA7778" s="3">
        <v>1.17398989200592</v>
      </c>
      <c r="AB7778" t="s">
        <v>36070</v>
      </c>
      <c r="AC7778" t="s">
        <v>4562</v>
      </c>
      <c r="AD7778" t="s">
        <v>36071</v>
      </c>
      <c r="AE7778" t="s">
        <v>4655</v>
      </c>
      <c r="AF7778" t="s">
        <v>4809</v>
      </c>
      <c r="AG7778" t="s">
        <v>4564</v>
      </c>
      <c r="AH7778" t="s">
        <v>1605</v>
      </c>
      <c r="AI7778" t="s">
        <v>4903</v>
      </c>
      <c r="AJ7778" t="s">
        <v>36072</v>
      </c>
      <c r="AK7778" t="s">
        <v>36073</v>
      </c>
      <c r="AL7778" s="13" t="s">
        <v>1892</v>
      </c>
      <c r="AM7778">
        <v>1</v>
      </c>
      <c r="AN7778" s="15" t="s">
        <v>1352</v>
      </c>
    </row>
    <row r="7779" spans="1:40" x14ac:dyDescent="0.3">
      <c r="A7779" s="10" t="str">
        <f>HYPERLINK("http://www.washoecounty.gov/assessor/cama/?parid=530-091-04&amp;CardNumber=1","530-091-04")</f>
        <v>530-091-04</v>
      </c>
      <c r="B7779" t="s">
        <v>4655</v>
      </c>
      <c r="C7779" t="s">
        <v>36074</v>
      </c>
      <c r="D7779" s="1">
        <v>40498</v>
      </c>
      <c r="E7779" s="2">
        <v>230000</v>
      </c>
      <c r="F7779" t="s">
        <v>4567</v>
      </c>
      <c r="G7779" s="17" t="str">
        <f>HYPERLINK("https://www.washoecounty.gov/assessor/cama/?command=sales&amp;parid=53009104","3943623")</f>
        <v>3943623</v>
      </c>
      <c r="H7779" t="s">
        <v>4311</v>
      </c>
      <c r="I7779">
        <v>2001</v>
      </c>
      <c r="J7779">
        <v>2001</v>
      </c>
      <c r="K7779" t="s">
        <v>4554</v>
      </c>
      <c r="L7779" t="s">
        <v>4555</v>
      </c>
      <c r="M7779" s="2">
        <v>2244</v>
      </c>
      <c r="N7779" t="s">
        <v>4048</v>
      </c>
      <c r="O7779">
        <v>4</v>
      </c>
      <c r="P7779">
        <v>2</v>
      </c>
      <c r="Q7779">
        <v>1</v>
      </c>
      <c r="R7779" t="s">
        <v>5281</v>
      </c>
      <c r="S7779" t="s">
        <v>4558</v>
      </c>
      <c r="T7779" t="s">
        <v>4559</v>
      </c>
      <c r="U7779" t="s">
        <v>4560</v>
      </c>
      <c r="V7779" s="2">
        <v>952</v>
      </c>
      <c r="W7779" t="s">
        <v>4655</v>
      </c>
      <c r="X7779" s="2">
        <v>0</v>
      </c>
      <c r="Y7779">
        <v>20</v>
      </c>
      <c r="Z7779" t="s">
        <v>5508</v>
      </c>
      <c r="AA7779" s="3">
        <v>0.89800274372100797</v>
      </c>
      <c r="AB7779" t="s">
        <v>36075</v>
      </c>
      <c r="AC7779" t="s">
        <v>4562</v>
      </c>
      <c r="AD7779" t="s">
        <v>36076</v>
      </c>
      <c r="AE7779" t="s">
        <v>4655</v>
      </c>
      <c r="AF7779" t="s">
        <v>4809</v>
      </c>
      <c r="AG7779" t="s">
        <v>4564</v>
      </c>
      <c r="AH7779" t="s">
        <v>5202</v>
      </c>
      <c r="AI7779" t="s">
        <v>36077</v>
      </c>
      <c r="AJ7779" t="s">
        <v>4312</v>
      </c>
      <c r="AK7779" t="s">
        <v>36078</v>
      </c>
      <c r="AL7779" s="13" t="s">
        <v>1892</v>
      </c>
      <c r="AM7779">
        <v>1</v>
      </c>
      <c r="AN7779" s="15" t="s">
        <v>1352</v>
      </c>
    </row>
    <row r="7780" spans="1:40" x14ac:dyDescent="0.3">
      <c r="A7780" s="10" t="str">
        <f>HYPERLINK("http://www.washoecounty.gov/assessor/cama/?parid=530-091-10&amp;CardNumber=1","530-091-10")</f>
        <v>530-091-10</v>
      </c>
      <c r="B7780" t="s">
        <v>4655</v>
      </c>
      <c r="C7780" t="s">
        <v>36079</v>
      </c>
      <c r="D7780" s="1">
        <v>40323</v>
      </c>
      <c r="E7780" s="2">
        <v>225000</v>
      </c>
      <c r="F7780" t="s">
        <v>4567</v>
      </c>
      <c r="G7780" s="17" t="str">
        <f>HYPERLINK("https://www.washoecounty.gov/assessor/cama/?command=sales&amp;parid=53009110","3884818")</f>
        <v>3884818</v>
      </c>
      <c r="H7780" t="s">
        <v>4311</v>
      </c>
      <c r="I7780">
        <v>2001</v>
      </c>
      <c r="J7780">
        <v>2001</v>
      </c>
      <c r="K7780" t="s">
        <v>4554</v>
      </c>
      <c r="L7780" t="s">
        <v>4555</v>
      </c>
      <c r="M7780" s="2">
        <v>1877</v>
      </c>
      <c r="N7780" t="s">
        <v>4048</v>
      </c>
      <c r="O7780">
        <v>3</v>
      </c>
      <c r="P7780">
        <v>2</v>
      </c>
      <c r="Q7780">
        <v>0</v>
      </c>
      <c r="R7780" t="s">
        <v>4557</v>
      </c>
      <c r="S7780" t="s">
        <v>4558</v>
      </c>
      <c r="T7780" t="s">
        <v>4559</v>
      </c>
      <c r="U7780" t="s">
        <v>4560</v>
      </c>
      <c r="V7780" s="2">
        <v>769</v>
      </c>
      <c r="W7780" t="s">
        <v>4655</v>
      </c>
      <c r="X7780" s="2">
        <v>0</v>
      </c>
      <c r="Y7780">
        <v>20</v>
      </c>
      <c r="Z7780" t="s">
        <v>5508</v>
      </c>
      <c r="AA7780" s="3">
        <v>0.79600548744201605</v>
      </c>
      <c r="AB7780" t="s">
        <v>36080</v>
      </c>
      <c r="AC7780" t="s">
        <v>4562</v>
      </c>
      <c r="AD7780" t="s">
        <v>36079</v>
      </c>
      <c r="AE7780" t="s">
        <v>4655</v>
      </c>
      <c r="AF7780" t="s">
        <v>5201</v>
      </c>
      <c r="AG7780" t="s">
        <v>4564</v>
      </c>
      <c r="AH7780" t="s">
        <v>1605</v>
      </c>
      <c r="AI7780" t="s">
        <v>4655</v>
      </c>
      <c r="AJ7780" t="s">
        <v>36081</v>
      </c>
      <c r="AK7780" t="s">
        <v>36082</v>
      </c>
      <c r="AL7780" s="13" t="s">
        <v>1892</v>
      </c>
      <c r="AM7780" s="14">
        <v>1</v>
      </c>
      <c r="AN7780" s="15" t="s">
        <v>1352</v>
      </c>
    </row>
    <row r="7781" spans="1:40" x14ac:dyDescent="0.3">
      <c r="A7781" s="10" t="str">
        <f>HYPERLINK("http://www.washoecounty.gov/assessor/cama/?parid=530-092-05&amp;CardNumber=1","530-092-05")</f>
        <v>530-092-05</v>
      </c>
      <c r="B7781" t="s">
        <v>4655</v>
      </c>
      <c r="C7781" t="s">
        <v>36083</v>
      </c>
      <c r="D7781" s="1">
        <v>40518</v>
      </c>
      <c r="E7781" s="2">
        <v>160000</v>
      </c>
      <c r="F7781" t="s">
        <v>4567</v>
      </c>
      <c r="G7781" s="17" t="str">
        <f>HYPERLINK("https://www.washoecounty.gov/assessor/cama/?command=sales&amp;parid=53009205","3949891")</f>
        <v>3949891</v>
      </c>
      <c r="H7781" t="s">
        <v>4311</v>
      </c>
      <c r="I7781">
        <v>1996</v>
      </c>
      <c r="J7781">
        <v>1996</v>
      </c>
      <c r="K7781" t="s">
        <v>4554</v>
      </c>
      <c r="L7781" t="s">
        <v>4555</v>
      </c>
      <c r="M7781" s="2">
        <v>1306</v>
      </c>
      <c r="N7781" t="s">
        <v>4048</v>
      </c>
      <c r="O7781">
        <v>3</v>
      </c>
      <c r="P7781">
        <v>2</v>
      </c>
      <c r="Q7781">
        <v>0</v>
      </c>
      <c r="R7781" t="s">
        <v>4557</v>
      </c>
      <c r="S7781" t="s">
        <v>4558</v>
      </c>
      <c r="T7781" t="s">
        <v>4559</v>
      </c>
      <c r="U7781" t="s">
        <v>4655</v>
      </c>
      <c r="V7781" s="2">
        <v>0</v>
      </c>
      <c r="W7781" t="s">
        <v>4655</v>
      </c>
      <c r="X7781" s="2">
        <v>0</v>
      </c>
      <c r="Y7781">
        <v>20</v>
      </c>
      <c r="Z7781" t="s">
        <v>5508</v>
      </c>
      <c r="AA7781" s="3">
        <v>0.39299815893173218</v>
      </c>
      <c r="AB7781" t="s">
        <v>36084</v>
      </c>
      <c r="AC7781" t="s">
        <v>4562</v>
      </c>
      <c r="AD7781" t="s">
        <v>36083</v>
      </c>
      <c r="AE7781" t="s">
        <v>4655</v>
      </c>
      <c r="AF7781" t="s">
        <v>5201</v>
      </c>
      <c r="AG7781" t="s">
        <v>4564</v>
      </c>
      <c r="AH7781" t="s">
        <v>1605</v>
      </c>
      <c r="AI7781" t="s">
        <v>36085</v>
      </c>
      <c r="AJ7781" t="s">
        <v>4312</v>
      </c>
      <c r="AK7781" t="s">
        <v>36086</v>
      </c>
      <c r="AL7781" s="13" t="s">
        <v>1892</v>
      </c>
      <c r="AM7781" s="14">
        <v>1</v>
      </c>
      <c r="AN7781" s="15" t="s">
        <v>1352</v>
      </c>
    </row>
    <row r="7782" spans="1:40" x14ac:dyDescent="0.3">
      <c r="A7782" s="10" t="str">
        <f>HYPERLINK("http://www.washoecounty.gov/assessor/cama/?parid=530-102-19&amp;CardNumber=1","530-102-19")</f>
        <v>530-102-19</v>
      </c>
      <c r="B7782" t="s">
        <v>4655</v>
      </c>
      <c r="C7782" t="s">
        <v>36087</v>
      </c>
      <c r="D7782" s="1">
        <v>40473</v>
      </c>
      <c r="E7782" s="2">
        <v>151000</v>
      </c>
      <c r="F7782" t="s">
        <v>4567</v>
      </c>
      <c r="G7782" s="17" t="str">
        <f>HYPERLINK("https://www.washoecounty.gov/assessor/cama/?command=sales&amp;parid=53010219","3935800")</f>
        <v>3935800</v>
      </c>
      <c r="H7782" t="s">
        <v>3344</v>
      </c>
      <c r="I7782">
        <v>1996</v>
      </c>
      <c r="J7782">
        <v>1996</v>
      </c>
      <c r="K7782" t="s">
        <v>4554</v>
      </c>
      <c r="L7782" t="s">
        <v>4555</v>
      </c>
      <c r="M7782" s="2">
        <v>1508</v>
      </c>
      <c r="N7782" t="s">
        <v>4048</v>
      </c>
      <c r="O7782">
        <v>3</v>
      </c>
      <c r="P7782">
        <v>2</v>
      </c>
      <c r="Q7782">
        <v>0</v>
      </c>
      <c r="R7782" t="s">
        <v>4557</v>
      </c>
      <c r="S7782" t="s">
        <v>4558</v>
      </c>
      <c r="T7782" t="s">
        <v>4559</v>
      </c>
      <c r="U7782" t="s">
        <v>4560</v>
      </c>
      <c r="V7782" s="2">
        <v>484</v>
      </c>
      <c r="W7782" t="s">
        <v>4655</v>
      </c>
      <c r="X7782" s="2">
        <v>0</v>
      </c>
      <c r="Y7782">
        <v>20</v>
      </c>
      <c r="Z7782" t="s">
        <v>5508</v>
      </c>
      <c r="AA7782" s="3">
        <v>0.39299815893173218</v>
      </c>
      <c r="AB7782" t="s">
        <v>36088</v>
      </c>
      <c r="AC7782" t="s">
        <v>4575</v>
      </c>
      <c r="AD7782" t="s">
        <v>36089</v>
      </c>
      <c r="AE7782" t="s">
        <v>4655</v>
      </c>
      <c r="AF7782" t="s">
        <v>3345</v>
      </c>
      <c r="AG7782" t="s">
        <v>4584</v>
      </c>
      <c r="AH7782">
        <v>92028</v>
      </c>
      <c r="AI7782" t="s">
        <v>36090</v>
      </c>
      <c r="AJ7782" t="s">
        <v>36091</v>
      </c>
      <c r="AK7782" t="s">
        <v>36092</v>
      </c>
      <c r="AL7782" s="13" t="s">
        <v>1892</v>
      </c>
      <c r="AM7782" s="14">
        <v>1</v>
      </c>
      <c r="AN7782" s="15" t="s">
        <v>1352</v>
      </c>
    </row>
    <row r="7783" spans="1:40" x14ac:dyDescent="0.3">
      <c r="A7783" s="10" t="str">
        <f>HYPERLINK("http://www.washoecounty.gov/assessor/cama/?parid=530-114-09&amp;CardNumber=1","530-114-09")</f>
        <v>530-114-09</v>
      </c>
      <c r="B7783" t="s">
        <v>4655</v>
      </c>
      <c r="C7783" t="s">
        <v>36093</v>
      </c>
      <c r="D7783" s="1">
        <v>40330</v>
      </c>
      <c r="E7783" s="2">
        <v>147000</v>
      </c>
      <c r="F7783" t="s">
        <v>4567</v>
      </c>
      <c r="G7783" s="17" t="str">
        <f>HYPERLINK("https://www.washoecounty.gov/assessor/cama/?command=sales&amp;parid=53011409","3887197")</f>
        <v>3887197</v>
      </c>
      <c r="H7783" t="s">
        <v>2809</v>
      </c>
      <c r="I7783">
        <v>1996</v>
      </c>
      <c r="J7783">
        <v>1996</v>
      </c>
      <c r="K7783" t="s">
        <v>4554</v>
      </c>
      <c r="L7783" t="s">
        <v>4555</v>
      </c>
      <c r="M7783" s="2">
        <v>1334</v>
      </c>
      <c r="N7783" t="s">
        <v>4048</v>
      </c>
      <c r="O7783">
        <v>3</v>
      </c>
      <c r="P7783">
        <v>2</v>
      </c>
      <c r="Q7783">
        <v>0</v>
      </c>
      <c r="R7783" t="s">
        <v>4557</v>
      </c>
      <c r="S7783" t="s">
        <v>4558</v>
      </c>
      <c r="T7783" t="s">
        <v>4559</v>
      </c>
      <c r="U7783" t="s">
        <v>162</v>
      </c>
      <c r="V7783" s="2">
        <v>1084</v>
      </c>
      <c r="W7783" t="s">
        <v>4655</v>
      </c>
      <c r="X7783" s="2">
        <v>0</v>
      </c>
      <c r="Y7783">
        <v>20</v>
      </c>
      <c r="Z7783" t="s">
        <v>5508</v>
      </c>
      <c r="AA7783" s="3">
        <v>0.4629935622215271</v>
      </c>
      <c r="AB7783" t="s">
        <v>36094</v>
      </c>
      <c r="AC7783" t="s">
        <v>4562</v>
      </c>
      <c r="AD7783" t="s">
        <v>36093</v>
      </c>
      <c r="AE7783" t="s">
        <v>4655</v>
      </c>
      <c r="AF7783" t="s">
        <v>4809</v>
      </c>
      <c r="AG7783" t="s">
        <v>4564</v>
      </c>
      <c r="AH7783" t="s">
        <v>1605</v>
      </c>
      <c r="AI7783" t="s">
        <v>36095</v>
      </c>
      <c r="AJ7783" t="s">
        <v>2810</v>
      </c>
      <c r="AK7783" t="s">
        <v>36096</v>
      </c>
      <c r="AL7783" s="13" t="s">
        <v>1892</v>
      </c>
      <c r="AM7783" s="14">
        <v>1</v>
      </c>
      <c r="AN7783" s="15" t="s">
        <v>1352</v>
      </c>
    </row>
    <row r="7784" spans="1:40" x14ac:dyDescent="0.3">
      <c r="A7784" s="10" t="str">
        <f>HYPERLINK("http://www.washoecounty.gov/assessor/cama/?parid=530-121-32&amp;CardNumber=1","530-121-32")</f>
        <v>530-121-32</v>
      </c>
      <c r="B7784" t="s">
        <v>4655</v>
      </c>
      <c r="C7784" t="s">
        <v>36097</v>
      </c>
      <c r="D7784" s="1">
        <v>40410</v>
      </c>
      <c r="E7784" s="2">
        <v>215000</v>
      </c>
      <c r="F7784" t="s">
        <v>4567</v>
      </c>
      <c r="G7784" s="17" t="str">
        <f>HYPERLINK("https://www.washoecounty.gov/assessor/cama/?command=sales&amp;parid=53012132","3914216")</f>
        <v>3914216</v>
      </c>
      <c r="H7784" t="s">
        <v>36098</v>
      </c>
      <c r="I7784">
        <v>1996</v>
      </c>
      <c r="J7784">
        <v>1996</v>
      </c>
      <c r="K7784" t="s">
        <v>4554</v>
      </c>
      <c r="L7784" t="s">
        <v>4555</v>
      </c>
      <c r="M7784" s="2">
        <v>1986</v>
      </c>
      <c r="N7784" t="s">
        <v>4048</v>
      </c>
      <c r="O7784">
        <v>4</v>
      </c>
      <c r="P7784">
        <v>2</v>
      </c>
      <c r="Q7784">
        <v>0</v>
      </c>
      <c r="R7784" t="s">
        <v>4557</v>
      </c>
      <c r="S7784" t="s">
        <v>4558</v>
      </c>
      <c r="T7784" t="s">
        <v>4559</v>
      </c>
      <c r="U7784" t="s">
        <v>4560</v>
      </c>
      <c r="V7784" s="2">
        <v>656</v>
      </c>
      <c r="W7784" t="s">
        <v>4655</v>
      </c>
      <c r="X7784" s="2">
        <v>0</v>
      </c>
      <c r="Y7784">
        <v>20</v>
      </c>
      <c r="Z7784" t="s">
        <v>5508</v>
      </c>
      <c r="AA7784" s="3">
        <v>0.50199723243713301</v>
      </c>
      <c r="AB7784" t="s">
        <v>36099</v>
      </c>
      <c r="AC7784" t="s">
        <v>4562</v>
      </c>
      <c r="AD7784" t="s">
        <v>36100</v>
      </c>
      <c r="AE7784" t="s">
        <v>4655</v>
      </c>
      <c r="AF7784" t="s">
        <v>5499</v>
      </c>
      <c r="AG7784" t="s">
        <v>4564</v>
      </c>
      <c r="AH7784" t="s">
        <v>1605</v>
      </c>
      <c r="AI7784" t="s">
        <v>36101</v>
      </c>
      <c r="AJ7784" t="s">
        <v>36102</v>
      </c>
      <c r="AK7784" t="s">
        <v>36103</v>
      </c>
      <c r="AL7784" s="13" t="s">
        <v>1892</v>
      </c>
      <c r="AM7784" s="14">
        <v>1</v>
      </c>
      <c r="AN7784" s="15" t="s">
        <v>1352</v>
      </c>
    </row>
    <row r="7785" spans="1:40" x14ac:dyDescent="0.3">
      <c r="A7785" s="10" t="str">
        <f>HYPERLINK("http://www.washoecounty.gov/assessor/cama/?parid=530-132-07&amp;CardNumber=1","530-132-07")</f>
        <v>530-132-07</v>
      </c>
      <c r="B7785" t="s">
        <v>4655</v>
      </c>
      <c r="C7785" t="s">
        <v>36104</v>
      </c>
      <c r="D7785" s="1">
        <v>40359</v>
      </c>
      <c r="E7785" s="2">
        <v>125000</v>
      </c>
      <c r="F7785" t="s">
        <v>4567</v>
      </c>
      <c r="G7785" s="17" t="str">
        <f>HYPERLINK("https://www.washoecounty.gov/assessor/cama/?command=sales&amp;parid=53013207","3897082")</f>
        <v>3897082</v>
      </c>
      <c r="H7785" t="s">
        <v>30</v>
      </c>
      <c r="I7785">
        <v>1996</v>
      </c>
      <c r="J7785">
        <v>1996</v>
      </c>
      <c r="K7785" t="s">
        <v>4554</v>
      </c>
      <c r="L7785" t="s">
        <v>4555</v>
      </c>
      <c r="M7785" s="2">
        <v>1260</v>
      </c>
      <c r="N7785" t="s">
        <v>5280</v>
      </c>
      <c r="O7785">
        <v>3</v>
      </c>
      <c r="P7785">
        <v>2</v>
      </c>
      <c r="Q7785">
        <v>0</v>
      </c>
      <c r="R7785" t="s">
        <v>4557</v>
      </c>
      <c r="S7785" t="s">
        <v>4558</v>
      </c>
      <c r="T7785" t="s">
        <v>4559</v>
      </c>
      <c r="U7785" t="s">
        <v>4560</v>
      </c>
      <c r="V7785" s="2">
        <v>440</v>
      </c>
      <c r="W7785" t="s">
        <v>4655</v>
      </c>
      <c r="X7785" s="2">
        <v>0</v>
      </c>
      <c r="Y7785">
        <v>20</v>
      </c>
      <c r="Z7785" t="s">
        <v>5508</v>
      </c>
      <c r="AA7785" s="3">
        <v>0.36099633574485801</v>
      </c>
      <c r="AB7785" t="s">
        <v>36105</v>
      </c>
      <c r="AC7785" t="s">
        <v>4562</v>
      </c>
      <c r="AD7785" t="s">
        <v>36104</v>
      </c>
      <c r="AE7785" t="s">
        <v>4655</v>
      </c>
      <c r="AF7785" t="s">
        <v>5201</v>
      </c>
      <c r="AG7785" t="s">
        <v>4564</v>
      </c>
      <c r="AH7785" t="s">
        <v>1605</v>
      </c>
      <c r="AI7785" t="s">
        <v>36106</v>
      </c>
      <c r="AJ7785" t="s">
        <v>31</v>
      </c>
      <c r="AK7785" t="s">
        <v>36107</v>
      </c>
      <c r="AL7785" s="13" t="s">
        <v>1892</v>
      </c>
      <c r="AM7785">
        <v>1</v>
      </c>
      <c r="AN7785" s="15" t="s">
        <v>32</v>
      </c>
    </row>
    <row r="7786" spans="1:40" x14ac:dyDescent="0.3">
      <c r="A7786" s="10" t="str">
        <f>HYPERLINK("http://www.washoecounty.gov/assessor/cama/?parid=530-132-08&amp;CardNumber=1","530-132-08")</f>
        <v>530-132-08</v>
      </c>
      <c r="B7786" t="s">
        <v>4655</v>
      </c>
      <c r="C7786" t="s">
        <v>36108</v>
      </c>
      <c r="D7786" s="1">
        <v>40186</v>
      </c>
      <c r="E7786" s="2">
        <v>120000</v>
      </c>
      <c r="F7786" t="s">
        <v>4567</v>
      </c>
      <c r="G7786" s="17" t="str">
        <f>HYPERLINK("https://www.washoecounty.gov/assessor/cama/?command=sales&amp;parid=53013208","3837689")</f>
        <v>3837689</v>
      </c>
      <c r="H7786" t="s">
        <v>30</v>
      </c>
      <c r="I7786">
        <v>1997</v>
      </c>
      <c r="J7786">
        <v>1997</v>
      </c>
      <c r="K7786" t="s">
        <v>4554</v>
      </c>
      <c r="L7786" t="s">
        <v>4555</v>
      </c>
      <c r="M7786" s="2">
        <v>1260</v>
      </c>
      <c r="N7786" t="s">
        <v>5280</v>
      </c>
      <c r="O7786">
        <v>3</v>
      </c>
      <c r="P7786">
        <v>2</v>
      </c>
      <c r="Q7786">
        <v>0</v>
      </c>
      <c r="R7786" t="s">
        <v>5281</v>
      </c>
      <c r="S7786" t="s">
        <v>4558</v>
      </c>
      <c r="T7786" t="s">
        <v>4559</v>
      </c>
      <c r="U7786" t="s">
        <v>4560</v>
      </c>
      <c r="V7786" s="2">
        <v>440</v>
      </c>
      <c r="W7786" t="s">
        <v>4655</v>
      </c>
      <c r="X7786" s="2">
        <v>0</v>
      </c>
      <c r="Y7786">
        <v>20</v>
      </c>
      <c r="Z7786" t="s">
        <v>5508</v>
      </c>
      <c r="AA7786" s="3">
        <v>0.37199264764785767</v>
      </c>
      <c r="AB7786" t="s">
        <v>36109</v>
      </c>
      <c r="AC7786" t="s">
        <v>4562</v>
      </c>
      <c r="AD7786" t="s">
        <v>36108</v>
      </c>
      <c r="AE7786" t="s">
        <v>4655</v>
      </c>
      <c r="AF7786" t="s">
        <v>5201</v>
      </c>
      <c r="AG7786" t="s">
        <v>4564</v>
      </c>
      <c r="AH7786" t="s">
        <v>1605</v>
      </c>
      <c r="AI7786" t="s">
        <v>36110</v>
      </c>
      <c r="AJ7786" t="s">
        <v>31</v>
      </c>
      <c r="AK7786" t="s">
        <v>36111</v>
      </c>
      <c r="AL7786" s="13" t="s">
        <v>1892</v>
      </c>
      <c r="AM7786">
        <v>1</v>
      </c>
      <c r="AN7786" s="15" t="s">
        <v>32</v>
      </c>
    </row>
    <row r="7787" spans="1:40" x14ac:dyDescent="0.3">
      <c r="A7787" s="10" t="str">
        <f>HYPERLINK("http://www.washoecounty.gov/assessor/cama/?parid=530-151-01&amp;CardNumber=1","530-151-01")</f>
        <v>530-151-01</v>
      </c>
      <c r="B7787" t="s">
        <v>4655</v>
      </c>
      <c r="C7787" t="s">
        <v>36112</v>
      </c>
      <c r="D7787" s="1">
        <v>40249</v>
      </c>
      <c r="E7787" s="2">
        <v>140000</v>
      </c>
      <c r="F7787" t="s">
        <v>4567</v>
      </c>
      <c r="G7787" s="17" t="str">
        <f>HYPERLINK("https://www.washoecounty.gov/assessor/cama/?command=sales&amp;parid=53015101","3858946")</f>
        <v>3858946</v>
      </c>
      <c r="H7787" t="s">
        <v>4112</v>
      </c>
      <c r="I7787">
        <v>1997</v>
      </c>
      <c r="J7787">
        <v>1997</v>
      </c>
      <c r="K7787" t="s">
        <v>4554</v>
      </c>
      <c r="L7787" t="s">
        <v>4555</v>
      </c>
      <c r="M7787" s="2">
        <v>1589</v>
      </c>
      <c r="N7787" t="s">
        <v>4048</v>
      </c>
      <c r="O7787">
        <v>3</v>
      </c>
      <c r="P7787">
        <v>2</v>
      </c>
      <c r="Q7787">
        <v>1</v>
      </c>
      <c r="R7787" t="s">
        <v>5281</v>
      </c>
      <c r="S7787" t="s">
        <v>4558</v>
      </c>
      <c r="T7787" t="s">
        <v>4559</v>
      </c>
      <c r="U7787" t="s">
        <v>4560</v>
      </c>
      <c r="V7787" s="2">
        <v>682</v>
      </c>
      <c r="W7787" t="s">
        <v>4655</v>
      </c>
      <c r="X7787" s="2">
        <v>0</v>
      </c>
      <c r="Y7787">
        <v>20</v>
      </c>
      <c r="Z7787" t="s">
        <v>5508</v>
      </c>
      <c r="AA7787" s="3">
        <v>0.27601009607315102</v>
      </c>
      <c r="AB7787" t="s">
        <v>36113</v>
      </c>
      <c r="AC7787" t="s">
        <v>4562</v>
      </c>
      <c r="AD7787" t="s">
        <v>36112</v>
      </c>
      <c r="AE7787" t="s">
        <v>4655</v>
      </c>
      <c r="AF7787" t="s">
        <v>5201</v>
      </c>
      <c r="AG7787" t="s">
        <v>4564</v>
      </c>
      <c r="AH7787" t="s">
        <v>1350</v>
      </c>
      <c r="AI7787" t="s">
        <v>36114</v>
      </c>
      <c r="AJ7787" t="s">
        <v>4113</v>
      </c>
      <c r="AK7787" t="s">
        <v>36115</v>
      </c>
      <c r="AL7787" s="13" t="s">
        <v>1892</v>
      </c>
      <c r="AM7787">
        <v>1</v>
      </c>
      <c r="AN7787" s="15" t="s">
        <v>2504</v>
      </c>
    </row>
    <row r="7788" spans="1:40" x14ac:dyDescent="0.3">
      <c r="A7788" s="10" t="str">
        <f>HYPERLINK("http://www.washoecounty.gov/assessor/cama/?parid=530-152-01&amp;CardNumber=1","530-152-01")</f>
        <v>530-152-01</v>
      </c>
      <c r="B7788" t="s">
        <v>4655</v>
      </c>
      <c r="C7788" t="s">
        <v>36116</v>
      </c>
      <c r="D7788" s="1">
        <v>40542</v>
      </c>
      <c r="E7788" s="2">
        <v>140000</v>
      </c>
      <c r="F7788" t="s">
        <v>4567</v>
      </c>
      <c r="G7788" s="17" t="str">
        <f>HYPERLINK("https://www.washoecounty.gov/assessor/cama/?command=sales&amp;parid=53015201","3959240")</f>
        <v>3959240</v>
      </c>
      <c r="H7788" t="s">
        <v>4112</v>
      </c>
      <c r="I7788">
        <v>1999</v>
      </c>
      <c r="J7788">
        <v>1999</v>
      </c>
      <c r="K7788" t="s">
        <v>4554</v>
      </c>
      <c r="L7788" t="s">
        <v>4555</v>
      </c>
      <c r="M7788" s="2">
        <v>1353</v>
      </c>
      <c r="N7788" t="s">
        <v>4048</v>
      </c>
      <c r="O7788">
        <v>3</v>
      </c>
      <c r="P7788">
        <v>2</v>
      </c>
      <c r="Q7788">
        <v>0</v>
      </c>
      <c r="R7788" t="s">
        <v>5281</v>
      </c>
      <c r="S7788" t="s">
        <v>4558</v>
      </c>
      <c r="T7788" t="s">
        <v>4559</v>
      </c>
      <c r="U7788" t="s">
        <v>4560</v>
      </c>
      <c r="V7788" s="2">
        <v>440</v>
      </c>
      <c r="W7788" t="s">
        <v>4655</v>
      </c>
      <c r="X7788" s="2">
        <v>0</v>
      </c>
      <c r="Y7788">
        <v>20</v>
      </c>
      <c r="Z7788" t="s">
        <v>5508</v>
      </c>
      <c r="AA7788" s="3">
        <v>0.285009175539017</v>
      </c>
      <c r="AB7788" t="s">
        <v>36117</v>
      </c>
      <c r="AC7788" t="s">
        <v>4562</v>
      </c>
      <c r="AD7788" t="s">
        <v>36116</v>
      </c>
      <c r="AE7788" t="s">
        <v>4655</v>
      </c>
      <c r="AF7788" t="s">
        <v>5201</v>
      </c>
      <c r="AG7788" t="s">
        <v>4564</v>
      </c>
      <c r="AH7788" t="s">
        <v>1605</v>
      </c>
      <c r="AI7788" t="s">
        <v>36118</v>
      </c>
      <c r="AJ7788" t="s">
        <v>4113</v>
      </c>
      <c r="AK7788" t="s">
        <v>36119</v>
      </c>
      <c r="AL7788" s="13" t="s">
        <v>1892</v>
      </c>
      <c r="AM7788" s="14">
        <v>1</v>
      </c>
      <c r="AN7788" s="15" t="s">
        <v>2504</v>
      </c>
    </row>
    <row r="7789" spans="1:40" x14ac:dyDescent="0.3">
      <c r="A7789" s="10" t="str">
        <f>HYPERLINK("http://www.washoecounty.gov/assessor/cama/?parid=530-152-08&amp;CardNumber=1","530-152-08")</f>
        <v>530-152-08</v>
      </c>
      <c r="B7789" t="s">
        <v>4655</v>
      </c>
      <c r="C7789" t="s">
        <v>36120</v>
      </c>
      <c r="D7789" s="1">
        <v>40408</v>
      </c>
      <c r="E7789" s="2">
        <v>210000</v>
      </c>
      <c r="F7789" t="s">
        <v>4553</v>
      </c>
      <c r="G7789" s="17" t="str">
        <f>HYPERLINK("https://www.washoecounty.gov/assessor/cama/?command=sales&amp;parid=53015208","3913099")</f>
        <v>3913099</v>
      </c>
      <c r="H7789" t="s">
        <v>4112</v>
      </c>
      <c r="I7789">
        <v>2000</v>
      </c>
      <c r="J7789">
        <v>2000</v>
      </c>
      <c r="K7789" t="s">
        <v>4554</v>
      </c>
      <c r="L7789" t="s">
        <v>4555</v>
      </c>
      <c r="M7789" s="2">
        <v>2244</v>
      </c>
      <c r="N7789" t="s">
        <v>4048</v>
      </c>
      <c r="O7789">
        <v>4</v>
      </c>
      <c r="P7789">
        <v>2</v>
      </c>
      <c r="Q7789">
        <v>1</v>
      </c>
      <c r="R7789" t="s">
        <v>5281</v>
      </c>
      <c r="S7789" t="s">
        <v>4558</v>
      </c>
      <c r="T7789" t="s">
        <v>4559</v>
      </c>
      <c r="U7789" t="s">
        <v>4560</v>
      </c>
      <c r="V7789" s="2">
        <v>952</v>
      </c>
      <c r="W7789" t="s">
        <v>4655</v>
      </c>
      <c r="X7789" s="2">
        <v>0</v>
      </c>
      <c r="Y7789">
        <v>20</v>
      </c>
      <c r="Z7789" t="s">
        <v>5508</v>
      </c>
      <c r="AA7789" s="3">
        <v>0.36799815297126798</v>
      </c>
      <c r="AB7789" t="s">
        <v>36121</v>
      </c>
      <c r="AC7789" t="s">
        <v>4562</v>
      </c>
      <c r="AD7789" t="s">
        <v>36120</v>
      </c>
      <c r="AE7789" t="s">
        <v>4655</v>
      </c>
      <c r="AF7789" t="s">
        <v>5201</v>
      </c>
      <c r="AG7789" t="s">
        <v>4564</v>
      </c>
      <c r="AH7789" t="s">
        <v>1350</v>
      </c>
      <c r="AI7789" t="s">
        <v>4655</v>
      </c>
      <c r="AJ7789" t="s">
        <v>4113</v>
      </c>
      <c r="AK7789" t="s">
        <v>36122</v>
      </c>
      <c r="AL7789" s="13" t="s">
        <v>1892</v>
      </c>
      <c r="AM7789">
        <v>1</v>
      </c>
      <c r="AN7789" s="15" t="s">
        <v>2504</v>
      </c>
    </row>
    <row r="7790" spans="1:40" x14ac:dyDescent="0.3">
      <c r="A7790" s="10" t="str">
        <f>HYPERLINK("http://www.washoecounty.gov/assessor/cama/?parid=530-161-07&amp;CardNumber=1","530-161-07")</f>
        <v>530-161-07</v>
      </c>
      <c r="B7790" t="s">
        <v>4655</v>
      </c>
      <c r="C7790" t="s">
        <v>36123</v>
      </c>
      <c r="D7790" s="1">
        <v>40270</v>
      </c>
      <c r="E7790" s="2">
        <v>168000</v>
      </c>
      <c r="F7790" t="s">
        <v>4553</v>
      </c>
      <c r="G7790" s="17" t="str">
        <f>HYPERLINK("https://www.washoecounty.gov/assessor/cama/?command=sales&amp;parid=53016107","3867276")</f>
        <v>3867276</v>
      </c>
      <c r="H7790" t="s">
        <v>4112</v>
      </c>
      <c r="I7790">
        <v>1999</v>
      </c>
      <c r="J7790">
        <v>1999</v>
      </c>
      <c r="K7790" t="s">
        <v>4554</v>
      </c>
      <c r="L7790" t="s">
        <v>4555</v>
      </c>
      <c r="M7790" s="2">
        <v>1334</v>
      </c>
      <c r="N7790" t="s">
        <v>4048</v>
      </c>
      <c r="O7790">
        <v>3</v>
      </c>
      <c r="P7790">
        <v>2</v>
      </c>
      <c r="Q7790">
        <v>0</v>
      </c>
      <c r="R7790" t="s">
        <v>4557</v>
      </c>
      <c r="S7790" t="s">
        <v>4558</v>
      </c>
      <c r="T7790" t="s">
        <v>4559</v>
      </c>
      <c r="U7790" t="s">
        <v>4560</v>
      </c>
      <c r="V7790" s="2">
        <v>484</v>
      </c>
      <c r="W7790" t="s">
        <v>4655</v>
      </c>
      <c r="X7790" s="2">
        <v>0</v>
      </c>
      <c r="Y7790">
        <v>20</v>
      </c>
      <c r="Z7790" t="s">
        <v>5508</v>
      </c>
      <c r="AA7790" s="3">
        <v>0.28700643777847301</v>
      </c>
      <c r="AB7790" t="s">
        <v>36124</v>
      </c>
      <c r="AC7790" t="s">
        <v>4562</v>
      </c>
      <c r="AD7790" t="s">
        <v>36123</v>
      </c>
      <c r="AE7790" t="s">
        <v>4655</v>
      </c>
      <c r="AF7790" t="s">
        <v>5201</v>
      </c>
      <c r="AG7790" t="s">
        <v>4564</v>
      </c>
      <c r="AH7790" t="s">
        <v>1350</v>
      </c>
      <c r="AI7790" t="s">
        <v>36125</v>
      </c>
      <c r="AJ7790" t="s">
        <v>4113</v>
      </c>
      <c r="AK7790" t="s">
        <v>36126</v>
      </c>
      <c r="AL7790" s="13" t="s">
        <v>1892</v>
      </c>
      <c r="AM7790" s="14">
        <v>1</v>
      </c>
      <c r="AN7790" s="15" t="s">
        <v>2504</v>
      </c>
    </row>
    <row r="7791" spans="1:40" x14ac:dyDescent="0.3">
      <c r="A7791" s="10" t="str">
        <f>HYPERLINK("http://www.washoecounty.gov/assessor/cama/?parid=530-162-01&amp;CardNumber=1","530-162-01")</f>
        <v>530-162-01</v>
      </c>
      <c r="B7791" t="s">
        <v>4655</v>
      </c>
      <c r="C7791" t="s">
        <v>36127</v>
      </c>
      <c r="D7791" s="1">
        <v>40284</v>
      </c>
      <c r="E7791" s="2">
        <v>165500</v>
      </c>
      <c r="F7791" t="s">
        <v>4567</v>
      </c>
      <c r="G7791" s="17" t="str">
        <f>HYPERLINK("https://www.washoecounty.gov/assessor/cama/?command=sales&amp;parid=53016201","3871891")</f>
        <v>3871891</v>
      </c>
      <c r="H7791" t="s">
        <v>4112</v>
      </c>
      <c r="I7791">
        <v>1997</v>
      </c>
      <c r="J7791">
        <v>1997</v>
      </c>
      <c r="K7791" t="s">
        <v>4554</v>
      </c>
      <c r="L7791" t="s">
        <v>4555</v>
      </c>
      <c r="M7791" s="2">
        <v>1336</v>
      </c>
      <c r="N7791" t="s">
        <v>4048</v>
      </c>
      <c r="O7791">
        <v>3</v>
      </c>
      <c r="P7791">
        <v>2</v>
      </c>
      <c r="Q7791">
        <v>0</v>
      </c>
      <c r="R7791" t="s">
        <v>5281</v>
      </c>
      <c r="S7791" t="s">
        <v>4558</v>
      </c>
      <c r="T7791" t="s">
        <v>4559</v>
      </c>
      <c r="U7791" t="s">
        <v>4560</v>
      </c>
      <c r="V7791" s="2">
        <v>400</v>
      </c>
      <c r="W7791" t="s">
        <v>4655</v>
      </c>
      <c r="X7791" s="2">
        <v>0</v>
      </c>
      <c r="Y7791">
        <v>20</v>
      </c>
      <c r="Z7791" t="s">
        <v>5508</v>
      </c>
      <c r="AA7791" s="3">
        <v>0.28298899531364441</v>
      </c>
      <c r="AB7791" t="s">
        <v>36128</v>
      </c>
      <c r="AC7791" t="s">
        <v>4562</v>
      </c>
      <c r="AD7791" t="s">
        <v>36127</v>
      </c>
      <c r="AE7791" t="s">
        <v>4655</v>
      </c>
      <c r="AF7791" t="s">
        <v>5201</v>
      </c>
      <c r="AG7791" t="s">
        <v>4564</v>
      </c>
      <c r="AH7791" t="s">
        <v>1350</v>
      </c>
      <c r="AI7791" t="s">
        <v>36129</v>
      </c>
      <c r="AJ7791" t="s">
        <v>4113</v>
      </c>
      <c r="AK7791" t="s">
        <v>36130</v>
      </c>
      <c r="AL7791" s="13" t="s">
        <v>1892</v>
      </c>
      <c r="AM7791">
        <v>1</v>
      </c>
      <c r="AN7791" s="15" t="s">
        <v>2504</v>
      </c>
    </row>
    <row r="7792" spans="1:40" x14ac:dyDescent="0.3">
      <c r="A7792" s="10" t="str">
        <f>HYPERLINK("http://www.washoecounty.gov/assessor/cama/?parid=530-171-05&amp;CardNumber=1","530-171-05")</f>
        <v>530-171-05</v>
      </c>
      <c r="B7792" t="s">
        <v>4655</v>
      </c>
      <c r="C7792" t="s">
        <v>36131</v>
      </c>
      <c r="D7792" s="1">
        <v>40438</v>
      </c>
      <c r="E7792" s="2">
        <v>149000</v>
      </c>
      <c r="F7792" t="s">
        <v>4567</v>
      </c>
      <c r="G7792" s="17" t="str">
        <f>HYPERLINK("https://www.washoecounty.gov/assessor/cama/?command=sales&amp;parid=53017105","3923492")</f>
        <v>3923492</v>
      </c>
      <c r="H7792" t="s">
        <v>4112</v>
      </c>
      <c r="I7792">
        <v>1997</v>
      </c>
      <c r="J7792">
        <v>1997</v>
      </c>
      <c r="K7792" t="s">
        <v>4554</v>
      </c>
      <c r="L7792" t="s">
        <v>4555</v>
      </c>
      <c r="M7792" s="2">
        <v>1303</v>
      </c>
      <c r="N7792" t="s">
        <v>4048</v>
      </c>
      <c r="O7792">
        <v>3</v>
      </c>
      <c r="P7792">
        <v>2</v>
      </c>
      <c r="Q7792">
        <v>0</v>
      </c>
      <c r="R7792" t="s">
        <v>4557</v>
      </c>
      <c r="S7792" t="s">
        <v>4558</v>
      </c>
      <c r="T7792" t="s">
        <v>4559</v>
      </c>
      <c r="U7792" t="s">
        <v>4560</v>
      </c>
      <c r="V7792" s="2">
        <v>400</v>
      </c>
      <c r="W7792" t="s">
        <v>4655</v>
      </c>
      <c r="X7792" s="2">
        <v>0</v>
      </c>
      <c r="Y7792">
        <v>20</v>
      </c>
      <c r="Z7792" t="s">
        <v>5508</v>
      </c>
      <c r="AA7792" s="3">
        <v>0.28298899531364441</v>
      </c>
      <c r="AB7792" t="s">
        <v>36132</v>
      </c>
      <c r="AC7792" t="s">
        <v>4562</v>
      </c>
      <c r="AD7792" t="s">
        <v>36133</v>
      </c>
      <c r="AE7792" t="s">
        <v>4655</v>
      </c>
      <c r="AF7792" t="s">
        <v>4563</v>
      </c>
      <c r="AG7792" t="s">
        <v>4564</v>
      </c>
      <c r="AH7792">
        <v>89510</v>
      </c>
      <c r="AI7792" t="s">
        <v>36134</v>
      </c>
      <c r="AJ7792" t="s">
        <v>4113</v>
      </c>
      <c r="AK7792" t="s">
        <v>36135</v>
      </c>
      <c r="AL7792" s="13" t="s">
        <v>1892</v>
      </c>
      <c r="AM7792">
        <v>1</v>
      </c>
      <c r="AN7792" s="15" t="s">
        <v>2504</v>
      </c>
    </row>
    <row r="7793" spans="1:40" x14ac:dyDescent="0.3">
      <c r="A7793" s="10" t="str">
        <f>HYPERLINK("http://www.washoecounty.gov/assessor/cama/?parid=530-192-13&amp;CardNumber=1","530-192-13")</f>
        <v>530-192-13</v>
      </c>
      <c r="B7793" t="s">
        <v>4655</v>
      </c>
      <c r="C7793" t="s">
        <v>36136</v>
      </c>
      <c r="D7793" s="1">
        <v>40506</v>
      </c>
      <c r="E7793" s="2">
        <v>192000</v>
      </c>
      <c r="F7793" t="s">
        <v>4553</v>
      </c>
      <c r="G7793" s="17" t="str">
        <f>HYPERLINK("https://www.washoecounty.gov/assessor/cama/?command=sales&amp;parid=53019213","3946799")</f>
        <v>3946799</v>
      </c>
      <c r="H7793" t="s">
        <v>3358</v>
      </c>
      <c r="I7793">
        <v>1999</v>
      </c>
      <c r="J7793">
        <v>1999</v>
      </c>
      <c r="K7793" t="s">
        <v>4554</v>
      </c>
      <c r="L7793" t="s">
        <v>4555</v>
      </c>
      <c r="M7793" s="2">
        <v>1877</v>
      </c>
      <c r="N7793" t="s">
        <v>4048</v>
      </c>
      <c r="O7793">
        <v>3</v>
      </c>
      <c r="P7793">
        <v>2</v>
      </c>
      <c r="Q7793">
        <v>0</v>
      </c>
      <c r="R7793" t="s">
        <v>4557</v>
      </c>
      <c r="S7793" t="s">
        <v>4558</v>
      </c>
      <c r="T7793" t="s">
        <v>4559</v>
      </c>
      <c r="U7793" t="s">
        <v>4560</v>
      </c>
      <c r="V7793" s="2">
        <v>653</v>
      </c>
      <c r="W7793" t="s">
        <v>4655</v>
      </c>
      <c r="X7793" s="2">
        <v>0</v>
      </c>
      <c r="Y7793">
        <v>20</v>
      </c>
      <c r="Z7793" t="s">
        <v>5508</v>
      </c>
      <c r="AA7793" s="3">
        <v>0.564003646373748</v>
      </c>
      <c r="AB7793" t="s">
        <v>36137</v>
      </c>
      <c r="AC7793" t="s">
        <v>4562</v>
      </c>
      <c r="AD7793" t="s">
        <v>36136</v>
      </c>
      <c r="AE7793" t="s">
        <v>4655</v>
      </c>
      <c r="AF7793" t="s">
        <v>5201</v>
      </c>
      <c r="AG7793" t="s">
        <v>4564</v>
      </c>
      <c r="AH7793" t="s">
        <v>1350</v>
      </c>
      <c r="AI7793" t="s">
        <v>36138</v>
      </c>
      <c r="AJ7793" t="s">
        <v>3359</v>
      </c>
      <c r="AK7793" t="s">
        <v>36139</v>
      </c>
      <c r="AL7793" s="13" t="s">
        <v>1892</v>
      </c>
      <c r="AM7793" s="14">
        <v>1</v>
      </c>
      <c r="AN7793" s="15" t="s">
        <v>2504</v>
      </c>
    </row>
    <row r="7794" spans="1:40" x14ac:dyDescent="0.3">
      <c r="A7794" s="10" t="str">
        <f>HYPERLINK("http://www.washoecounty.gov/assessor/cama/?parid=530-194-02&amp;CardNumber=1","530-194-02")</f>
        <v>530-194-02</v>
      </c>
      <c r="B7794" t="s">
        <v>4655</v>
      </c>
      <c r="C7794" t="s">
        <v>36140</v>
      </c>
      <c r="D7794" s="1">
        <v>40389</v>
      </c>
      <c r="E7794" s="2">
        <v>144900</v>
      </c>
      <c r="F7794" t="s">
        <v>4567</v>
      </c>
      <c r="G7794" s="17" t="str">
        <f>HYPERLINK("https://www.washoecounty.gov/assessor/cama/?command=sales&amp;parid=53019402","3907262")</f>
        <v>3907262</v>
      </c>
      <c r="H7794" t="s">
        <v>3358</v>
      </c>
      <c r="I7794">
        <v>1997</v>
      </c>
      <c r="J7794">
        <v>1997</v>
      </c>
      <c r="K7794" t="s">
        <v>4554</v>
      </c>
      <c r="L7794" t="s">
        <v>4555</v>
      </c>
      <c r="M7794" s="2">
        <v>1334</v>
      </c>
      <c r="N7794" t="s">
        <v>4048</v>
      </c>
      <c r="O7794">
        <v>2</v>
      </c>
      <c r="P7794">
        <v>2</v>
      </c>
      <c r="Q7794">
        <v>0</v>
      </c>
      <c r="R7794" t="s">
        <v>4557</v>
      </c>
      <c r="S7794" t="s">
        <v>4558</v>
      </c>
      <c r="T7794" t="s">
        <v>4559</v>
      </c>
      <c r="U7794" t="s">
        <v>4560</v>
      </c>
      <c r="V7794" s="2">
        <v>484</v>
      </c>
      <c r="W7794" t="s">
        <v>4655</v>
      </c>
      <c r="X7794" s="2">
        <v>0</v>
      </c>
      <c r="Y7794">
        <v>20</v>
      </c>
      <c r="Z7794" t="s">
        <v>5508</v>
      </c>
      <c r="AA7794" s="3">
        <v>0.298002749681473</v>
      </c>
      <c r="AB7794" t="s">
        <v>36141</v>
      </c>
      <c r="AC7794" t="s">
        <v>4562</v>
      </c>
      <c r="AD7794" t="s">
        <v>36140</v>
      </c>
      <c r="AE7794" t="s">
        <v>4655</v>
      </c>
      <c r="AF7794" t="s">
        <v>5201</v>
      </c>
      <c r="AG7794" t="s">
        <v>4564</v>
      </c>
      <c r="AH7794" t="s">
        <v>1350</v>
      </c>
      <c r="AI7794" t="s">
        <v>4655</v>
      </c>
      <c r="AJ7794" t="s">
        <v>3359</v>
      </c>
      <c r="AK7794" t="s">
        <v>36142</v>
      </c>
      <c r="AL7794" s="13" t="s">
        <v>1892</v>
      </c>
      <c r="AM7794">
        <v>1</v>
      </c>
      <c r="AN7794" s="15" t="s">
        <v>2504</v>
      </c>
    </row>
    <row r="7795" spans="1:40" x14ac:dyDescent="0.3">
      <c r="A7795" s="10" t="str">
        <f>HYPERLINK("http://www.washoecounty.gov/assessor/cama/?parid=530-212-02&amp;CardNumber=1","530-212-02")</f>
        <v>530-212-02</v>
      </c>
      <c r="B7795" t="s">
        <v>4655</v>
      </c>
      <c r="C7795" t="s">
        <v>36143</v>
      </c>
      <c r="D7795" s="1">
        <v>40263</v>
      </c>
      <c r="E7795" s="2">
        <v>159900</v>
      </c>
      <c r="F7795" t="s">
        <v>4553</v>
      </c>
      <c r="G7795" s="17" t="str">
        <f>HYPERLINK("https://www.washoecounty.gov/assessor/cama/?command=sales&amp;parid=53021202","3864591")</f>
        <v>3864591</v>
      </c>
      <c r="H7795" t="s">
        <v>33</v>
      </c>
      <c r="I7795">
        <v>1998</v>
      </c>
      <c r="J7795">
        <v>1998</v>
      </c>
      <c r="K7795" t="s">
        <v>4554</v>
      </c>
      <c r="L7795" t="s">
        <v>4555</v>
      </c>
      <c r="M7795" s="2">
        <v>1490</v>
      </c>
      <c r="N7795" t="s">
        <v>5280</v>
      </c>
      <c r="O7795">
        <v>3</v>
      </c>
      <c r="P7795">
        <v>2</v>
      </c>
      <c r="Q7795">
        <v>0</v>
      </c>
      <c r="R7795" t="s">
        <v>5281</v>
      </c>
      <c r="S7795" t="s">
        <v>4558</v>
      </c>
      <c r="T7795" t="s">
        <v>4559</v>
      </c>
      <c r="U7795" t="s">
        <v>4560</v>
      </c>
      <c r="V7795" s="2">
        <v>400</v>
      </c>
      <c r="W7795" t="s">
        <v>4655</v>
      </c>
      <c r="X7795" s="2">
        <v>0</v>
      </c>
      <c r="Y7795">
        <v>20</v>
      </c>
      <c r="Z7795" t="s">
        <v>5508</v>
      </c>
      <c r="AA7795" s="3">
        <v>0.27500000596046398</v>
      </c>
      <c r="AB7795" t="s">
        <v>36144</v>
      </c>
      <c r="AC7795" t="s">
        <v>4562</v>
      </c>
      <c r="AD7795" t="s">
        <v>36143</v>
      </c>
      <c r="AE7795" t="s">
        <v>4655</v>
      </c>
      <c r="AF7795" t="s">
        <v>5201</v>
      </c>
      <c r="AG7795" t="s">
        <v>4564</v>
      </c>
      <c r="AH7795" t="s">
        <v>1605</v>
      </c>
      <c r="AI7795" t="s">
        <v>4903</v>
      </c>
      <c r="AJ7795" t="s">
        <v>34</v>
      </c>
      <c r="AK7795" t="s">
        <v>36145</v>
      </c>
      <c r="AL7795" s="13" t="s">
        <v>1892</v>
      </c>
      <c r="AM7795">
        <v>1</v>
      </c>
      <c r="AN7795" s="15" t="s">
        <v>32</v>
      </c>
    </row>
    <row r="7796" spans="1:40" x14ac:dyDescent="0.3">
      <c r="A7796" s="10" t="str">
        <f>HYPERLINK("http://www.washoecounty.gov/assessor/cama/?parid=530-222-02&amp;CardNumber=1","530-222-02")</f>
        <v>530-222-02</v>
      </c>
      <c r="B7796" t="s">
        <v>4655</v>
      </c>
      <c r="C7796" t="s">
        <v>36146</v>
      </c>
      <c r="D7796" s="1">
        <v>40227</v>
      </c>
      <c r="E7796" s="2">
        <v>124900</v>
      </c>
      <c r="F7796" t="s">
        <v>4553</v>
      </c>
      <c r="G7796" s="17" t="str">
        <f>HYPERLINK("https://www.washoecounty.gov/assessor/cama/?command=sales&amp;parid=53022202","3850715")</f>
        <v>3850715</v>
      </c>
      <c r="H7796" t="s">
        <v>33</v>
      </c>
      <c r="I7796">
        <v>1998</v>
      </c>
      <c r="J7796">
        <v>1998</v>
      </c>
      <c r="K7796" t="s">
        <v>4554</v>
      </c>
      <c r="L7796" t="s">
        <v>4555</v>
      </c>
      <c r="M7796" s="2">
        <v>1261</v>
      </c>
      <c r="N7796" t="s">
        <v>5280</v>
      </c>
      <c r="O7796">
        <v>3</v>
      </c>
      <c r="P7796">
        <v>2</v>
      </c>
      <c r="Q7796">
        <v>0</v>
      </c>
      <c r="R7796" t="s">
        <v>4557</v>
      </c>
      <c r="S7796" t="s">
        <v>4558</v>
      </c>
      <c r="T7796" t="s">
        <v>4559</v>
      </c>
      <c r="U7796" t="s">
        <v>4560</v>
      </c>
      <c r="V7796" s="2">
        <v>440</v>
      </c>
      <c r="W7796" t="s">
        <v>4655</v>
      </c>
      <c r="X7796" s="2">
        <v>0</v>
      </c>
      <c r="Y7796">
        <v>20</v>
      </c>
      <c r="Z7796" t="s">
        <v>5508</v>
      </c>
      <c r="AA7796" s="3">
        <v>0.27500000596046398</v>
      </c>
      <c r="AB7796" t="s">
        <v>36147</v>
      </c>
      <c r="AC7796" t="s">
        <v>4562</v>
      </c>
      <c r="AD7796" t="s">
        <v>36146</v>
      </c>
      <c r="AE7796" t="s">
        <v>4655</v>
      </c>
      <c r="AF7796" t="s">
        <v>5201</v>
      </c>
      <c r="AG7796" t="s">
        <v>4564</v>
      </c>
      <c r="AH7796" t="s">
        <v>1605</v>
      </c>
      <c r="AI7796" t="s">
        <v>2351</v>
      </c>
      <c r="AJ7796" t="s">
        <v>34</v>
      </c>
      <c r="AK7796" t="s">
        <v>36148</v>
      </c>
      <c r="AL7796" s="13" t="s">
        <v>1892</v>
      </c>
      <c r="AM7796">
        <v>1</v>
      </c>
      <c r="AN7796" s="15" t="s">
        <v>32</v>
      </c>
    </row>
    <row r="7797" spans="1:40" x14ac:dyDescent="0.3">
      <c r="A7797" s="10" t="str">
        <f>HYPERLINK("http://www.washoecounty.gov/assessor/cama/?parid=530-261-14&amp;CardNumber=1","530-261-14")</f>
        <v>530-261-14</v>
      </c>
      <c r="B7797" t="s">
        <v>4655</v>
      </c>
      <c r="C7797" t="s">
        <v>36149</v>
      </c>
      <c r="D7797" s="1">
        <v>40455</v>
      </c>
      <c r="E7797" s="2">
        <v>135000</v>
      </c>
      <c r="F7797" t="s">
        <v>4553</v>
      </c>
      <c r="G7797" s="17" t="str">
        <f>HYPERLINK("https://www.washoecounty.gov/assessor/cama/?command=sales&amp;parid=53026114","3929375")</f>
        <v>3929375</v>
      </c>
      <c r="H7797" t="s">
        <v>2562</v>
      </c>
      <c r="I7797">
        <v>1998</v>
      </c>
      <c r="J7797">
        <v>1998</v>
      </c>
      <c r="K7797" t="s">
        <v>4554</v>
      </c>
      <c r="L7797" t="s">
        <v>4555</v>
      </c>
      <c r="M7797" s="2">
        <v>1306</v>
      </c>
      <c r="N7797" t="s">
        <v>4048</v>
      </c>
      <c r="O7797">
        <v>3</v>
      </c>
      <c r="P7797">
        <v>2</v>
      </c>
      <c r="Q7797">
        <v>0</v>
      </c>
      <c r="R7797" t="s">
        <v>4557</v>
      </c>
      <c r="S7797" t="s">
        <v>4558</v>
      </c>
      <c r="T7797" t="s">
        <v>4559</v>
      </c>
      <c r="U7797" t="s">
        <v>4560</v>
      </c>
      <c r="V7797" s="2">
        <v>400</v>
      </c>
      <c r="W7797" t="s">
        <v>4655</v>
      </c>
      <c r="X7797" s="2">
        <v>0</v>
      </c>
      <c r="Y7797">
        <v>20</v>
      </c>
      <c r="Z7797" t="s">
        <v>5508</v>
      </c>
      <c r="AA7797" s="3">
        <v>0.28298899531364441</v>
      </c>
      <c r="AB7797" t="s">
        <v>36150</v>
      </c>
      <c r="AC7797" t="s">
        <v>4562</v>
      </c>
      <c r="AD7797" t="s">
        <v>36151</v>
      </c>
      <c r="AE7797" t="s">
        <v>4655</v>
      </c>
      <c r="AF7797" t="s">
        <v>4809</v>
      </c>
      <c r="AG7797" t="s">
        <v>4564</v>
      </c>
      <c r="AH7797" t="s">
        <v>1605</v>
      </c>
      <c r="AI7797" t="s">
        <v>4565</v>
      </c>
      <c r="AJ7797" t="s">
        <v>2563</v>
      </c>
      <c r="AK7797" t="s">
        <v>36152</v>
      </c>
      <c r="AL7797" s="13" t="s">
        <v>1892</v>
      </c>
      <c r="AM7797" s="14">
        <v>1</v>
      </c>
      <c r="AN7797" s="15" t="s">
        <v>2504</v>
      </c>
    </row>
    <row r="7798" spans="1:40" x14ac:dyDescent="0.3">
      <c r="A7798" s="10" t="str">
        <f>HYPERLINK("http://www.washoecounty.gov/assessor/cama/?parid=530-271-04&amp;CardNumber=1","530-271-04")</f>
        <v>530-271-04</v>
      </c>
      <c r="B7798" t="s">
        <v>4655</v>
      </c>
      <c r="D7798" s="1">
        <v>40308</v>
      </c>
      <c r="E7798" s="2">
        <v>163000</v>
      </c>
      <c r="F7798" t="s">
        <v>4553</v>
      </c>
      <c r="G7798" s="17" t="str">
        <f>HYPERLINK("https://www.washoecounty.gov/assessor/cama/?command=sales&amp;parid=01044219","NOT AVAILABLE ")</f>
        <v xml:space="preserve">NOT AVAILABLE </v>
      </c>
      <c r="H7798" t="s">
        <v>2562</v>
      </c>
      <c r="I7798">
        <v>1998</v>
      </c>
      <c r="J7798">
        <v>1998</v>
      </c>
      <c r="K7798" t="s">
        <v>4554</v>
      </c>
      <c r="L7798" t="s">
        <v>4555</v>
      </c>
      <c r="M7798" s="2">
        <v>1589</v>
      </c>
      <c r="N7798" t="s">
        <v>4048</v>
      </c>
      <c r="O7798">
        <v>3</v>
      </c>
      <c r="P7798">
        <v>2</v>
      </c>
      <c r="Q7798">
        <v>1</v>
      </c>
      <c r="R7798" t="s">
        <v>4557</v>
      </c>
      <c r="S7798" t="s">
        <v>4558</v>
      </c>
      <c r="T7798" t="s">
        <v>4559</v>
      </c>
      <c r="U7798" t="s">
        <v>4560</v>
      </c>
      <c r="V7798" s="2">
        <v>682</v>
      </c>
      <c r="W7798" t="s">
        <v>4655</v>
      </c>
      <c r="X7798" s="2">
        <v>0</v>
      </c>
      <c r="Y7798">
        <v>20</v>
      </c>
      <c r="Z7798" t="s">
        <v>5508</v>
      </c>
      <c r="AA7798" s="3">
        <v>0.48298898339271545</v>
      </c>
      <c r="AB7798" t="s">
        <v>8865</v>
      </c>
      <c r="AC7798" t="s">
        <v>4575</v>
      </c>
      <c r="AD7798" t="s">
        <v>283</v>
      </c>
      <c r="AE7798" t="s">
        <v>283</v>
      </c>
      <c r="AF7798" t="s">
        <v>283</v>
      </c>
      <c r="AG7798" t="s">
        <v>4564</v>
      </c>
      <c r="AH7798" t="s">
        <v>3101</v>
      </c>
      <c r="AI7798" t="s">
        <v>8865</v>
      </c>
      <c r="AJ7798" t="s">
        <v>2563</v>
      </c>
      <c r="AK7798" t="s">
        <v>8865</v>
      </c>
      <c r="AL7798" s="13" t="s">
        <v>1892</v>
      </c>
      <c r="AM7798">
        <v>1</v>
      </c>
      <c r="AN7798" s="15" t="s">
        <v>2504</v>
      </c>
    </row>
    <row r="7799" spans="1:40" x14ac:dyDescent="0.3">
      <c r="A7799" s="10" t="str">
        <f>HYPERLINK("http://www.washoecounty.gov/assessor/cama/?parid=530-273-08&amp;CardNumber=1","530-273-08")</f>
        <v>530-273-08</v>
      </c>
      <c r="B7799" t="s">
        <v>4655</v>
      </c>
      <c r="C7799" t="s">
        <v>36153</v>
      </c>
      <c r="D7799" s="1">
        <v>40326</v>
      </c>
      <c r="E7799" s="2">
        <v>150000</v>
      </c>
      <c r="F7799" t="s">
        <v>4567</v>
      </c>
      <c r="G7799" s="17" t="str">
        <f>HYPERLINK("https://www.washoecounty.gov/assessor/cama/?command=sales&amp;parid=53027308","3886718")</f>
        <v>3886718</v>
      </c>
      <c r="H7799" t="s">
        <v>2562</v>
      </c>
      <c r="I7799">
        <v>1999</v>
      </c>
      <c r="J7799">
        <v>1999</v>
      </c>
      <c r="K7799" t="s">
        <v>4554</v>
      </c>
      <c r="L7799" t="s">
        <v>4555</v>
      </c>
      <c r="M7799" s="2">
        <v>1368</v>
      </c>
      <c r="N7799" t="s">
        <v>4048</v>
      </c>
      <c r="O7799">
        <v>3</v>
      </c>
      <c r="P7799">
        <v>2</v>
      </c>
      <c r="Q7799">
        <v>0</v>
      </c>
      <c r="R7799" t="s">
        <v>4557</v>
      </c>
      <c r="S7799" t="s">
        <v>4558</v>
      </c>
      <c r="T7799" t="s">
        <v>4559</v>
      </c>
      <c r="U7799" t="s">
        <v>4560</v>
      </c>
      <c r="V7799" s="2">
        <v>704</v>
      </c>
      <c r="W7799" t="s">
        <v>4655</v>
      </c>
      <c r="X7799" s="2">
        <v>0</v>
      </c>
      <c r="Y7799">
        <v>20</v>
      </c>
      <c r="Z7799" t="s">
        <v>5508</v>
      </c>
      <c r="AA7799" s="3">
        <v>0.32800734043121299</v>
      </c>
      <c r="AB7799" t="s">
        <v>36154</v>
      </c>
      <c r="AC7799" t="s">
        <v>4562</v>
      </c>
      <c r="AD7799" t="s">
        <v>36153</v>
      </c>
      <c r="AE7799" t="s">
        <v>4655</v>
      </c>
      <c r="AF7799" t="s">
        <v>5201</v>
      </c>
      <c r="AG7799" t="s">
        <v>4564</v>
      </c>
      <c r="AH7799" t="s">
        <v>1350</v>
      </c>
      <c r="AI7799" t="s">
        <v>36155</v>
      </c>
      <c r="AJ7799" t="s">
        <v>2563</v>
      </c>
      <c r="AK7799" t="s">
        <v>36156</v>
      </c>
      <c r="AL7799" s="13" t="s">
        <v>1892</v>
      </c>
      <c r="AM7799">
        <v>1</v>
      </c>
      <c r="AN7799" s="15" t="s">
        <v>2504</v>
      </c>
    </row>
    <row r="7800" spans="1:40" x14ac:dyDescent="0.3">
      <c r="A7800" s="10" t="str">
        <f>HYPERLINK("http://www.washoecounty.gov/assessor/cama/?parid=530-274-02&amp;CardNumber=1","530-274-02")</f>
        <v>530-274-02</v>
      </c>
      <c r="B7800" t="s">
        <v>4655</v>
      </c>
      <c r="C7800" t="s">
        <v>36157</v>
      </c>
      <c r="D7800" s="1">
        <v>40309</v>
      </c>
      <c r="E7800" s="2">
        <v>140000</v>
      </c>
      <c r="F7800" t="s">
        <v>4567</v>
      </c>
      <c r="G7800" s="17" t="str">
        <f>HYPERLINK("https://www.washoecounty.gov/assessor/cama/?command=sales&amp;parid=53027402","3880135")</f>
        <v>3880135</v>
      </c>
      <c r="H7800" t="s">
        <v>2562</v>
      </c>
      <c r="I7800">
        <v>2000</v>
      </c>
      <c r="J7800">
        <v>2000</v>
      </c>
      <c r="K7800" t="s">
        <v>4554</v>
      </c>
      <c r="L7800" t="s">
        <v>4555</v>
      </c>
      <c r="M7800" s="2">
        <v>1334</v>
      </c>
      <c r="N7800" t="s">
        <v>4048</v>
      </c>
      <c r="O7800">
        <v>3</v>
      </c>
      <c r="P7800">
        <v>2</v>
      </c>
      <c r="Q7800">
        <v>0</v>
      </c>
      <c r="R7800" t="s">
        <v>4557</v>
      </c>
      <c r="S7800" t="s">
        <v>4558</v>
      </c>
      <c r="T7800" t="s">
        <v>4559</v>
      </c>
      <c r="U7800" t="s">
        <v>4560</v>
      </c>
      <c r="V7800" s="2">
        <v>484</v>
      </c>
      <c r="W7800" t="s">
        <v>4655</v>
      </c>
      <c r="X7800" s="2">
        <v>0</v>
      </c>
      <c r="Y7800">
        <v>20</v>
      </c>
      <c r="Z7800" t="s">
        <v>5508</v>
      </c>
      <c r="AA7800" s="3">
        <v>0.29400825500488298</v>
      </c>
      <c r="AB7800" t="s">
        <v>36158</v>
      </c>
      <c r="AC7800" t="s">
        <v>4562</v>
      </c>
      <c r="AD7800" t="s">
        <v>36157</v>
      </c>
      <c r="AE7800" t="s">
        <v>4655</v>
      </c>
      <c r="AF7800" t="s">
        <v>4809</v>
      </c>
      <c r="AG7800" t="s">
        <v>4564</v>
      </c>
      <c r="AH7800" t="s">
        <v>1350</v>
      </c>
      <c r="AI7800" t="s">
        <v>36159</v>
      </c>
      <c r="AJ7800" t="s">
        <v>2563</v>
      </c>
      <c r="AK7800" t="s">
        <v>36160</v>
      </c>
      <c r="AL7800" s="13" t="s">
        <v>1892</v>
      </c>
      <c r="AM7800">
        <v>1</v>
      </c>
      <c r="AN7800" s="15" t="s">
        <v>2504</v>
      </c>
    </row>
    <row r="7801" spans="1:40" x14ac:dyDescent="0.3">
      <c r="A7801" s="10" t="str">
        <f>HYPERLINK("http://www.washoecounty.gov/assessor/cama/?parid=530-311-05&amp;CardNumber=1","530-311-05")</f>
        <v>530-311-05</v>
      </c>
      <c r="B7801" t="s">
        <v>4655</v>
      </c>
      <c r="C7801" t="s">
        <v>36161</v>
      </c>
      <c r="D7801" s="1">
        <v>40205</v>
      </c>
      <c r="E7801" s="2">
        <v>169850</v>
      </c>
      <c r="F7801" t="s">
        <v>4553</v>
      </c>
      <c r="G7801" s="17" t="str">
        <f>HYPERLINK("https://www.washoecounty.gov/assessor/cama/?command=sales&amp;parid=53031105","3843249")</f>
        <v>3843249</v>
      </c>
      <c r="H7801" t="s">
        <v>35</v>
      </c>
      <c r="I7801">
        <v>1999</v>
      </c>
      <c r="J7801">
        <v>1999</v>
      </c>
      <c r="K7801" t="s">
        <v>4554</v>
      </c>
      <c r="L7801" t="s">
        <v>4555</v>
      </c>
      <c r="M7801" s="2">
        <v>1420</v>
      </c>
      <c r="N7801" t="s">
        <v>5280</v>
      </c>
      <c r="O7801">
        <v>3</v>
      </c>
      <c r="P7801">
        <v>2</v>
      </c>
      <c r="Q7801">
        <v>0</v>
      </c>
      <c r="R7801" t="s">
        <v>5281</v>
      </c>
      <c r="S7801" t="s">
        <v>4558</v>
      </c>
      <c r="T7801" t="s">
        <v>4559</v>
      </c>
      <c r="U7801" t="s">
        <v>4560</v>
      </c>
      <c r="V7801" s="2">
        <v>451</v>
      </c>
      <c r="W7801" t="s">
        <v>4655</v>
      </c>
      <c r="X7801" s="2">
        <v>0</v>
      </c>
      <c r="Y7801">
        <v>20</v>
      </c>
      <c r="Z7801" t="s">
        <v>5508</v>
      </c>
      <c r="AA7801" s="3">
        <v>0.34400826692581199</v>
      </c>
      <c r="AB7801" t="s">
        <v>36162</v>
      </c>
      <c r="AC7801" t="s">
        <v>4562</v>
      </c>
      <c r="AD7801" t="s">
        <v>36161</v>
      </c>
      <c r="AE7801" t="s">
        <v>4655</v>
      </c>
      <c r="AF7801" t="s">
        <v>5201</v>
      </c>
      <c r="AG7801" t="s">
        <v>4564</v>
      </c>
      <c r="AH7801" t="s">
        <v>1605</v>
      </c>
      <c r="AI7801" t="s">
        <v>4565</v>
      </c>
      <c r="AJ7801" t="s">
        <v>122</v>
      </c>
      <c r="AK7801" t="s">
        <v>36163</v>
      </c>
      <c r="AL7801" s="13" t="s">
        <v>1892</v>
      </c>
      <c r="AM7801">
        <v>1</v>
      </c>
      <c r="AN7801" s="15" t="s">
        <v>32</v>
      </c>
    </row>
    <row r="7802" spans="1:40" x14ac:dyDescent="0.3">
      <c r="A7802" s="10" t="str">
        <f>HYPERLINK("http://www.washoecounty.gov/assessor/cama/?parid=530-321-04&amp;CardNumber=1","530-321-04")</f>
        <v>530-321-04</v>
      </c>
      <c r="B7802" t="s">
        <v>4655</v>
      </c>
      <c r="C7802" t="s">
        <v>36164</v>
      </c>
      <c r="D7802" s="1">
        <v>40326</v>
      </c>
      <c r="E7802" s="2">
        <v>222000</v>
      </c>
      <c r="F7802" t="s">
        <v>4567</v>
      </c>
      <c r="G7802" s="17" t="str">
        <f>HYPERLINK("https://www.washoecounty.gov/assessor/cama/?command=sales&amp;parid=53032104","3886840")</f>
        <v>3886840</v>
      </c>
      <c r="H7802" t="s">
        <v>123</v>
      </c>
      <c r="I7802">
        <v>2000</v>
      </c>
      <c r="J7802">
        <v>2000</v>
      </c>
      <c r="K7802" t="s">
        <v>4554</v>
      </c>
      <c r="L7802" t="s">
        <v>4555</v>
      </c>
      <c r="M7802" s="2">
        <v>2244</v>
      </c>
      <c r="N7802" t="s">
        <v>4048</v>
      </c>
      <c r="O7802">
        <v>4</v>
      </c>
      <c r="P7802">
        <v>2</v>
      </c>
      <c r="Q7802">
        <v>1</v>
      </c>
      <c r="R7802" t="s">
        <v>4557</v>
      </c>
      <c r="S7802" t="s">
        <v>4558</v>
      </c>
      <c r="T7802" t="s">
        <v>4559</v>
      </c>
      <c r="U7802" t="s">
        <v>4560</v>
      </c>
      <c r="V7802" s="2">
        <v>952</v>
      </c>
      <c r="W7802" t="s">
        <v>4655</v>
      </c>
      <c r="X7802" s="2">
        <v>0</v>
      </c>
      <c r="Y7802">
        <v>20</v>
      </c>
      <c r="Z7802" t="s">
        <v>5508</v>
      </c>
      <c r="AA7802" s="3">
        <v>0.31499081850051902</v>
      </c>
      <c r="AB7802" t="s">
        <v>36165</v>
      </c>
      <c r="AC7802" t="s">
        <v>4562</v>
      </c>
      <c r="AD7802" t="s">
        <v>36164</v>
      </c>
      <c r="AE7802" t="s">
        <v>4655</v>
      </c>
      <c r="AF7802" t="s">
        <v>5201</v>
      </c>
      <c r="AG7802" t="s">
        <v>4564</v>
      </c>
      <c r="AH7802" t="s">
        <v>1350</v>
      </c>
      <c r="AI7802" t="s">
        <v>36166</v>
      </c>
      <c r="AJ7802" t="s">
        <v>2503</v>
      </c>
      <c r="AK7802" t="s">
        <v>36167</v>
      </c>
      <c r="AL7802" s="13" t="s">
        <v>1892</v>
      </c>
      <c r="AM7802" s="14">
        <v>1</v>
      </c>
      <c r="AN7802" s="15" t="s">
        <v>2504</v>
      </c>
    </row>
    <row r="7803" spans="1:40" x14ac:dyDescent="0.3">
      <c r="A7803" s="10" t="str">
        <f>HYPERLINK("http://www.washoecounty.gov/assessor/cama/?parid=530-331-02&amp;CardNumber=1","530-331-02")</f>
        <v>530-331-02</v>
      </c>
      <c r="B7803" t="s">
        <v>4655</v>
      </c>
      <c r="C7803" t="s">
        <v>36168</v>
      </c>
      <c r="D7803" s="1">
        <v>40451</v>
      </c>
      <c r="E7803" s="2">
        <v>172500</v>
      </c>
      <c r="F7803" t="s">
        <v>4567</v>
      </c>
      <c r="G7803" s="17" t="str">
        <f>HYPERLINK("https://www.washoecounty.gov/assessor/cama/?command=sales&amp;parid=53033102","3928376")</f>
        <v>3928376</v>
      </c>
      <c r="H7803" t="s">
        <v>123</v>
      </c>
      <c r="I7803">
        <v>2002</v>
      </c>
      <c r="J7803">
        <v>2002</v>
      </c>
      <c r="K7803" t="s">
        <v>4554</v>
      </c>
      <c r="L7803" t="s">
        <v>4555</v>
      </c>
      <c r="M7803" s="2">
        <v>1775</v>
      </c>
      <c r="N7803" t="s">
        <v>4048</v>
      </c>
      <c r="O7803">
        <v>3</v>
      </c>
      <c r="P7803">
        <v>2</v>
      </c>
      <c r="Q7803">
        <v>0</v>
      </c>
      <c r="R7803" t="s">
        <v>5281</v>
      </c>
      <c r="S7803" t="s">
        <v>4558</v>
      </c>
      <c r="T7803" t="s">
        <v>4559</v>
      </c>
      <c r="U7803" t="s">
        <v>4560</v>
      </c>
      <c r="V7803" s="2">
        <v>769</v>
      </c>
      <c r="W7803" t="s">
        <v>4655</v>
      </c>
      <c r="X7803" s="2">
        <v>0</v>
      </c>
      <c r="Y7803">
        <v>20</v>
      </c>
      <c r="Z7803" t="s">
        <v>5508</v>
      </c>
      <c r="AA7803" s="3">
        <v>0.27699723839759827</v>
      </c>
      <c r="AB7803" t="s">
        <v>36169</v>
      </c>
      <c r="AC7803" t="s">
        <v>4562</v>
      </c>
      <c r="AD7803" t="s">
        <v>36168</v>
      </c>
      <c r="AE7803" t="s">
        <v>4655</v>
      </c>
      <c r="AF7803" t="s">
        <v>5201</v>
      </c>
      <c r="AG7803" t="s">
        <v>4564</v>
      </c>
      <c r="AH7803" t="s">
        <v>1350</v>
      </c>
      <c r="AI7803" t="s">
        <v>4655</v>
      </c>
      <c r="AJ7803" t="s">
        <v>2503</v>
      </c>
      <c r="AK7803" t="s">
        <v>36170</v>
      </c>
      <c r="AL7803" s="13" t="s">
        <v>1892</v>
      </c>
      <c r="AM7803" s="14">
        <v>1</v>
      </c>
      <c r="AN7803" s="15" t="s">
        <v>2504</v>
      </c>
    </row>
    <row r="7804" spans="1:40" x14ac:dyDescent="0.3">
      <c r="A7804" s="10" t="str">
        <f>HYPERLINK("http://www.washoecounty.gov/assessor/cama/?parid=530-331-08&amp;CardNumber=1","530-331-08")</f>
        <v>530-331-08</v>
      </c>
      <c r="B7804" t="s">
        <v>4655</v>
      </c>
      <c r="C7804" t="s">
        <v>36171</v>
      </c>
      <c r="D7804" s="1">
        <v>40449</v>
      </c>
      <c r="E7804" s="2">
        <v>200000</v>
      </c>
      <c r="F7804" t="s">
        <v>4567</v>
      </c>
      <c r="G7804" s="17" t="str">
        <f>HYPERLINK("https://www.washoecounty.gov/assessor/cama/?command=sales&amp;parid=53033108","3927024")</f>
        <v>3927024</v>
      </c>
      <c r="H7804" t="s">
        <v>123</v>
      </c>
      <c r="I7804">
        <v>2001</v>
      </c>
      <c r="J7804">
        <v>2001</v>
      </c>
      <c r="K7804" t="s">
        <v>4554</v>
      </c>
      <c r="L7804" t="s">
        <v>4555</v>
      </c>
      <c r="M7804" s="2">
        <v>2244</v>
      </c>
      <c r="N7804" t="s">
        <v>4048</v>
      </c>
      <c r="O7804">
        <v>3</v>
      </c>
      <c r="P7804">
        <v>3</v>
      </c>
      <c r="Q7804">
        <v>1</v>
      </c>
      <c r="R7804" t="s">
        <v>4557</v>
      </c>
      <c r="S7804" t="s">
        <v>4558</v>
      </c>
      <c r="T7804" t="s">
        <v>4559</v>
      </c>
      <c r="U7804" t="s">
        <v>4560</v>
      </c>
      <c r="V7804" s="2">
        <v>952</v>
      </c>
      <c r="W7804" t="s">
        <v>4655</v>
      </c>
      <c r="X7804" s="2">
        <v>0</v>
      </c>
      <c r="Y7804">
        <v>20</v>
      </c>
      <c r="Z7804" t="s">
        <v>5508</v>
      </c>
      <c r="AA7804" s="3">
        <v>0.34201100468635598</v>
      </c>
      <c r="AB7804" t="s">
        <v>36172</v>
      </c>
      <c r="AC7804" t="s">
        <v>4562</v>
      </c>
      <c r="AD7804" t="s">
        <v>36171</v>
      </c>
      <c r="AE7804" t="s">
        <v>4655</v>
      </c>
      <c r="AF7804" t="s">
        <v>5201</v>
      </c>
      <c r="AG7804" t="s">
        <v>4564</v>
      </c>
      <c r="AH7804" t="s">
        <v>1350</v>
      </c>
      <c r="AI7804" t="s">
        <v>36173</v>
      </c>
      <c r="AJ7804" t="s">
        <v>2503</v>
      </c>
      <c r="AK7804" t="s">
        <v>36174</v>
      </c>
      <c r="AL7804" s="13" t="s">
        <v>1892</v>
      </c>
      <c r="AM7804" s="14">
        <v>1</v>
      </c>
      <c r="AN7804" s="15" t="s">
        <v>2504</v>
      </c>
    </row>
    <row r="7805" spans="1:40" x14ac:dyDescent="0.3">
      <c r="A7805" s="10" t="str">
        <f>HYPERLINK("http://www.washoecounty.gov/assessor/cama/?parid=530-351-05&amp;CardNumber=1","530-351-05")</f>
        <v>530-351-05</v>
      </c>
      <c r="B7805" t="s">
        <v>4655</v>
      </c>
      <c r="C7805" t="s">
        <v>36175</v>
      </c>
      <c r="D7805" s="1">
        <v>40431</v>
      </c>
      <c r="E7805" s="2">
        <v>145000</v>
      </c>
      <c r="F7805" t="s">
        <v>4567</v>
      </c>
      <c r="G7805" s="17" t="str">
        <f>HYPERLINK("https://www.washoecounty.gov/assessor/cama/?command=sales&amp;parid=53035105","3921237")</f>
        <v>3921237</v>
      </c>
      <c r="H7805" t="s">
        <v>123</v>
      </c>
      <c r="I7805">
        <v>1999</v>
      </c>
      <c r="J7805">
        <v>1999</v>
      </c>
      <c r="K7805" t="s">
        <v>4554</v>
      </c>
      <c r="L7805" t="s">
        <v>4555</v>
      </c>
      <c r="M7805" s="2">
        <v>1336</v>
      </c>
      <c r="N7805" t="s">
        <v>4048</v>
      </c>
      <c r="O7805">
        <v>3</v>
      </c>
      <c r="P7805">
        <v>2</v>
      </c>
      <c r="Q7805">
        <v>0</v>
      </c>
      <c r="R7805" t="s">
        <v>4557</v>
      </c>
      <c r="S7805" t="s">
        <v>4558</v>
      </c>
      <c r="T7805" t="s">
        <v>4559</v>
      </c>
      <c r="U7805" t="s">
        <v>4560</v>
      </c>
      <c r="V7805" s="2">
        <v>400</v>
      </c>
      <c r="W7805" t="s">
        <v>4655</v>
      </c>
      <c r="X7805" s="2">
        <v>0</v>
      </c>
      <c r="Y7805">
        <v>20</v>
      </c>
      <c r="Z7805" t="s">
        <v>5508</v>
      </c>
      <c r="AA7805" s="3">
        <v>0.28298899531364441</v>
      </c>
      <c r="AB7805" t="s">
        <v>36176</v>
      </c>
      <c r="AC7805" t="s">
        <v>4562</v>
      </c>
      <c r="AD7805" t="s">
        <v>36175</v>
      </c>
      <c r="AE7805" t="s">
        <v>4655</v>
      </c>
      <c r="AF7805" t="s">
        <v>5201</v>
      </c>
      <c r="AG7805" t="s">
        <v>4564</v>
      </c>
      <c r="AH7805" t="s">
        <v>1350</v>
      </c>
      <c r="AI7805" t="s">
        <v>36177</v>
      </c>
      <c r="AJ7805" t="s">
        <v>2503</v>
      </c>
      <c r="AK7805" t="s">
        <v>36178</v>
      </c>
      <c r="AL7805" s="13" t="s">
        <v>1892</v>
      </c>
      <c r="AM7805">
        <v>1</v>
      </c>
      <c r="AN7805" s="15" t="s">
        <v>2504</v>
      </c>
    </row>
    <row r="7806" spans="1:40" x14ac:dyDescent="0.3">
      <c r="A7806" s="10" t="str">
        <f>HYPERLINK("http://www.washoecounty.gov/assessor/cama/?parid=530-352-04&amp;CardNumber=1","530-352-04")</f>
        <v>530-352-04</v>
      </c>
      <c r="B7806" t="s">
        <v>4655</v>
      </c>
      <c r="C7806" t="s">
        <v>36179</v>
      </c>
      <c r="D7806" s="1">
        <v>40193</v>
      </c>
      <c r="E7806" s="2">
        <v>152000</v>
      </c>
      <c r="F7806" t="s">
        <v>4567</v>
      </c>
      <c r="G7806" s="17" t="str">
        <f>HYPERLINK("https://www.washoecounty.gov/assessor/cama/?command=sales&amp;parid=53035204","3840218")</f>
        <v>3840218</v>
      </c>
      <c r="H7806" t="s">
        <v>123</v>
      </c>
      <c r="I7806">
        <v>2002</v>
      </c>
      <c r="J7806">
        <v>2002</v>
      </c>
      <c r="K7806" t="s">
        <v>4554</v>
      </c>
      <c r="L7806" t="s">
        <v>4555</v>
      </c>
      <c r="M7806" s="2">
        <v>1334</v>
      </c>
      <c r="N7806" t="s">
        <v>4048</v>
      </c>
      <c r="O7806">
        <v>3</v>
      </c>
      <c r="P7806">
        <v>2</v>
      </c>
      <c r="Q7806">
        <v>0</v>
      </c>
      <c r="R7806" t="s">
        <v>4557</v>
      </c>
      <c r="S7806" t="s">
        <v>4558</v>
      </c>
      <c r="T7806" t="s">
        <v>4559</v>
      </c>
      <c r="U7806" t="s">
        <v>4560</v>
      </c>
      <c r="V7806" s="2">
        <v>484</v>
      </c>
      <c r="W7806" t="s">
        <v>4655</v>
      </c>
      <c r="X7806" s="2">
        <v>0</v>
      </c>
      <c r="Y7806">
        <v>20</v>
      </c>
      <c r="Z7806" t="s">
        <v>5508</v>
      </c>
      <c r="AA7806" s="3">
        <v>0.28999081254005399</v>
      </c>
      <c r="AB7806" t="s">
        <v>36180</v>
      </c>
      <c r="AC7806" t="s">
        <v>4562</v>
      </c>
      <c r="AD7806" t="s">
        <v>36179</v>
      </c>
      <c r="AE7806" t="s">
        <v>4655</v>
      </c>
      <c r="AF7806" t="s">
        <v>5201</v>
      </c>
      <c r="AG7806" t="s">
        <v>4564</v>
      </c>
      <c r="AH7806" t="s">
        <v>1350</v>
      </c>
      <c r="AI7806" t="s">
        <v>36181</v>
      </c>
      <c r="AJ7806" t="s">
        <v>2503</v>
      </c>
      <c r="AK7806" t="s">
        <v>36182</v>
      </c>
      <c r="AL7806" s="13" t="s">
        <v>1892</v>
      </c>
      <c r="AM7806">
        <v>1</v>
      </c>
      <c r="AN7806" s="15" t="s">
        <v>2504</v>
      </c>
    </row>
    <row r="7807" spans="1:40" x14ac:dyDescent="0.3">
      <c r="A7807" s="10" t="str">
        <f>HYPERLINK("http://www.washoecounty.gov/assessor/cama/?parid=530-353-02&amp;CardNumber=1","530-353-02")</f>
        <v>530-353-02</v>
      </c>
      <c r="B7807" t="s">
        <v>4655</v>
      </c>
      <c r="C7807" t="s">
        <v>36183</v>
      </c>
      <c r="D7807" s="1">
        <v>40514</v>
      </c>
      <c r="E7807" s="2">
        <v>196500</v>
      </c>
      <c r="F7807" t="s">
        <v>4553</v>
      </c>
      <c r="G7807" s="17" t="str">
        <f>HYPERLINK("https://www.washoecounty.gov/assessor/cama/?command=sales&amp;parid=53035302","3948587")</f>
        <v>3948587</v>
      </c>
      <c r="H7807" t="s">
        <v>123</v>
      </c>
      <c r="I7807">
        <v>2001</v>
      </c>
      <c r="J7807">
        <v>2002</v>
      </c>
      <c r="K7807" t="s">
        <v>4554</v>
      </c>
      <c r="L7807" t="s">
        <v>4555</v>
      </c>
      <c r="M7807" s="2">
        <v>1974</v>
      </c>
      <c r="N7807" t="s">
        <v>4048</v>
      </c>
      <c r="O7807">
        <v>3</v>
      </c>
      <c r="P7807">
        <v>2</v>
      </c>
      <c r="Q7807">
        <v>0</v>
      </c>
      <c r="R7807" t="s">
        <v>4557</v>
      </c>
      <c r="S7807" t="s">
        <v>4558</v>
      </c>
      <c r="T7807" t="s">
        <v>4559</v>
      </c>
      <c r="U7807" t="s">
        <v>4560</v>
      </c>
      <c r="V7807" s="2">
        <v>704</v>
      </c>
      <c r="W7807" t="s">
        <v>4655</v>
      </c>
      <c r="X7807" s="2">
        <v>0</v>
      </c>
      <c r="Y7807">
        <v>20</v>
      </c>
      <c r="Z7807" t="s">
        <v>5508</v>
      </c>
      <c r="AA7807" s="3">
        <v>0.36701101064682001</v>
      </c>
      <c r="AB7807" t="s">
        <v>36184</v>
      </c>
      <c r="AC7807" t="s">
        <v>4562</v>
      </c>
      <c r="AD7807" t="s">
        <v>36185</v>
      </c>
      <c r="AE7807" t="s">
        <v>4655</v>
      </c>
      <c r="AF7807" t="s">
        <v>5201</v>
      </c>
      <c r="AG7807" t="s">
        <v>4564</v>
      </c>
      <c r="AH7807" t="s">
        <v>1605</v>
      </c>
      <c r="AI7807" t="s">
        <v>4202</v>
      </c>
      <c r="AJ7807" t="s">
        <v>2503</v>
      </c>
      <c r="AK7807" t="s">
        <v>36186</v>
      </c>
      <c r="AL7807" s="13" t="s">
        <v>1892</v>
      </c>
      <c r="AM7807" s="14">
        <v>1</v>
      </c>
      <c r="AN7807" s="15" t="s">
        <v>2504</v>
      </c>
    </row>
    <row r="7808" spans="1:40" x14ac:dyDescent="0.3">
      <c r="A7808" s="10" t="str">
        <f>HYPERLINK("http://www.washoecounty.gov/assessor/cama/?parid=530-364-06&amp;CardNumber=1","530-364-06")</f>
        <v>530-364-06</v>
      </c>
      <c r="B7808" t="s">
        <v>4655</v>
      </c>
      <c r="C7808" t="s">
        <v>36187</v>
      </c>
      <c r="D7808" s="1">
        <v>40476</v>
      </c>
      <c r="E7808" s="2">
        <v>182500</v>
      </c>
      <c r="F7808" t="s">
        <v>4567</v>
      </c>
      <c r="G7808" s="17" t="str">
        <f>HYPERLINK("https://www.washoecounty.gov/assessor/cama/?command=sales&amp;parid=53036406","3936252")</f>
        <v>3936252</v>
      </c>
      <c r="H7808" t="s">
        <v>123</v>
      </c>
      <c r="I7808">
        <v>2001</v>
      </c>
      <c r="J7808">
        <v>2001</v>
      </c>
      <c r="K7808" t="s">
        <v>4554</v>
      </c>
      <c r="L7808" t="s">
        <v>4555</v>
      </c>
      <c r="M7808" s="2">
        <v>1775</v>
      </c>
      <c r="N7808" t="s">
        <v>4048</v>
      </c>
      <c r="O7808">
        <v>3</v>
      </c>
      <c r="P7808">
        <v>2</v>
      </c>
      <c r="Q7808">
        <v>0</v>
      </c>
      <c r="R7808" t="s">
        <v>5281</v>
      </c>
      <c r="S7808" t="s">
        <v>4558</v>
      </c>
      <c r="T7808" t="s">
        <v>4559</v>
      </c>
      <c r="U7808" t="s">
        <v>4560</v>
      </c>
      <c r="V7808" s="2">
        <v>711</v>
      </c>
      <c r="W7808" t="s">
        <v>4655</v>
      </c>
      <c r="X7808" s="2">
        <v>0</v>
      </c>
      <c r="Y7808">
        <v>20</v>
      </c>
      <c r="Z7808" t="s">
        <v>5508</v>
      </c>
      <c r="AA7808" s="3">
        <v>0.36499083042144798</v>
      </c>
      <c r="AB7808" t="s">
        <v>36188</v>
      </c>
      <c r="AC7808" t="s">
        <v>4562</v>
      </c>
      <c r="AD7808" t="s">
        <v>36187</v>
      </c>
      <c r="AE7808" t="s">
        <v>4655</v>
      </c>
      <c r="AF7808" t="s">
        <v>5201</v>
      </c>
      <c r="AG7808" t="s">
        <v>4564</v>
      </c>
      <c r="AH7808" t="s">
        <v>1350</v>
      </c>
      <c r="AI7808" t="s">
        <v>36189</v>
      </c>
      <c r="AJ7808" t="s">
        <v>2503</v>
      </c>
      <c r="AK7808" t="s">
        <v>36190</v>
      </c>
      <c r="AL7808" s="13" t="s">
        <v>1892</v>
      </c>
      <c r="AM7808">
        <v>1</v>
      </c>
      <c r="AN7808" s="15" t="s">
        <v>2504</v>
      </c>
    </row>
    <row r="7809" spans="1:40" x14ac:dyDescent="0.3">
      <c r="A7809" s="10" t="str">
        <f>HYPERLINK("http://www.washoecounty.gov/assessor/cama/?parid=530-372-16&amp;CardNumber=1","530-372-16")</f>
        <v>530-372-16</v>
      </c>
      <c r="B7809" t="s">
        <v>4655</v>
      </c>
      <c r="C7809" t="s">
        <v>36191</v>
      </c>
      <c r="D7809" s="1">
        <v>40203</v>
      </c>
      <c r="E7809" s="2">
        <v>157500</v>
      </c>
      <c r="F7809" t="s">
        <v>4567</v>
      </c>
      <c r="G7809" s="17" t="str">
        <f>HYPERLINK("https://www.washoecounty.gov/assessor/cama/?command=sales&amp;parid=53037216","3842543")</f>
        <v>3842543</v>
      </c>
      <c r="H7809" t="s">
        <v>123</v>
      </c>
      <c r="I7809">
        <v>2002</v>
      </c>
      <c r="J7809">
        <v>2002</v>
      </c>
      <c r="K7809" t="s">
        <v>4554</v>
      </c>
      <c r="L7809" t="s">
        <v>4555</v>
      </c>
      <c r="M7809" s="2">
        <v>1353</v>
      </c>
      <c r="N7809" t="s">
        <v>4048</v>
      </c>
      <c r="O7809">
        <v>3</v>
      </c>
      <c r="P7809">
        <v>2</v>
      </c>
      <c r="Q7809">
        <v>0</v>
      </c>
      <c r="R7809" t="s">
        <v>4557</v>
      </c>
      <c r="S7809" t="s">
        <v>4558</v>
      </c>
      <c r="T7809" t="s">
        <v>4559</v>
      </c>
      <c r="U7809" t="s">
        <v>4560</v>
      </c>
      <c r="V7809" s="2">
        <v>440</v>
      </c>
      <c r="W7809" t="s">
        <v>4655</v>
      </c>
      <c r="X7809" s="2">
        <v>0</v>
      </c>
      <c r="Y7809">
        <v>20</v>
      </c>
      <c r="Z7809" t="s">
        <v>5508</v>
      </c>
      <c r="AA7809" s="3">
        <v>0.40899908542633101</v>
      </c>
      <c r="AB7809" t="s">
        <v>21566</v>
      </c>
      <c r="AC7809" t="s">
        <v>4575</v>
      </c>
      <c r="AD7809" t="s">
        <v>36191</v>
      </c>
      <c r="AE7809" t="s">
        <v>4655</v>
      </c>
      <c r="AF7809" t="s">
        <v>5201</v>
      </c>
      <c r="AG7809" t="s">
        <v>4564</v>
      </c>
      <c r="AH7809" t="s">
        <v>1350</v>
      </c>
      <c r="AI7809" t="s">
        <v>36192</v>
      </c>
      <c r="AJ7809" t="s">
        <v>2503</v>
      </c>
      <c r="AK7809" t="s">
        <v>36193</v>
      </c>
      <c r="AL7809" s="13" t="s">
        <v>1892</v>
      </c>
      <c r="AM7809">
        <v>1</v>
      </c>
      <c r="AN7809" s="15" t="s">
        <v>2504</v>
      </c>
    </row>
    <row r="7810" spans="1:40" x14ac:dyDescent="0.3">
      <c r="A7810" s="10" t="str">
        <f>HYPERLINK("http://www.washoecounty.gov/assessor/cama/?parid=530-381-01&amp;CardNumber=1","530-381-01")</f>
        <v>530-381-01</v>
      </c>
      <c r="B7810" t="s">
        <v>4655</v>
      </c>
      <c r="C7810" t="s">
        <v>36194</v>
      </c>
      <c r="D7810" s="1">
        <v>40206</v>
      </c>
      <c r="E7810" s="2">
        <v>140000</v>
      </c>
      <c r="F7810" t="s">
        <v>4567</v>
      </c>
      <c r="G7810" s="17" t="str">
        <f>HYPERLINK("https://www.washoecounty.gov/assessor/cama/?command=sales&amp;parid=53038101","3844334")</f>
        <v>3844334</v>
      </c>
      <c r="H7810" t="s">
        <v>123</v>
      </c>
      <c r="I7810">
        <v>2001</v>
      </c>
      <c r="J7810">
        <v>2001</v>
      </c>
      <c r="K7810" t="s">
        <v>4554</v>
      </c>
      <c r="L7810" t="s">
        <v>4555</v>
      </c>
      <c r="M7810" s="2">
        <v>1334</v>
      </c>
      <c r="N7810" t="s">
        <v>4048</v>
      </c>
      <c r="O7810">
        <v>3</v>
      </c>
      <c r="P7810">
        <v>2</v>
      </c>
      <c r="Q7810">
        <v>0</v>
      </c>
      <c r="R7810" t="s">
        <v>4557</v>
      </c>
      <c r="S7810" t="s">
        <v>4558</v>
      </c>
      <c r="T7810" t="s">
        <v>4559</v>
      </c>
      <c r="U7810" t="s">
        <v>4560</v>
      </c>
      <c r="V7810" s="2">
        <v>484</v>
      </c>
      <c r="W7810" t="s">
        <v>4655</v>
      </c>
      <c r="X7810" s="2">
        <v>0</v>
      </c>
      <c r="Y7810">
        <v>20</v>
      </c>
      <c r="Z7810" t="s">
        <v>5508</v>
      </c>
      <c r="AA7810" s="3">
        <v>0.28298899531364441</v>
      </c>
      <c r="AB7810" t="s">
        <v>36195</v>
      </c>
      <c r="AC7810" t="s">
        <v>4562</v>
      </c>
      <c r="AD7810" t="s">
        <v>36194</v>
      </c>
      <c r="AE7810" t="s">
        <v>4655</v>
      </c>
      <c r="AF7810" t="s">
        <v>5201</v>
      </c>
      <c r="AG7810" t="s">
        <v>4564</v>
      </c>
      <c r="AH7810" t="s">
        <v>1350</v>
      </c>
      <c r="AI7810" t="s">
        <v>36196</v>
      </c>
      <c r="AJ7810" t="s">
        <v>2503</v>
      </c>
      <c r="AK7810" t="s">
        <v>36197</v>
      </c>
      <c r="AL7810" s="13" t="s">
        <v>1892</v>
      </c>
      <c r="AM7810">
        <v>1</v>
      </c>
      <c r="AN7810" s="15" t="s">
        <v>2504</v>
      </c>
    </row>
    <row r="7811" spans="1:40" x14ac:dyDescent="0.3">
      <c r="A7811" s="10" t="str">
        <f>HYPERLINK("http://www.washoecounty.gov/assessor/cama/?parid=530-391-02&amp;CardNumber=1","530-391-02")</f>
        <v>530-391-02</v>
      </c>
      <c r="B7811" t="s">
        <v>4655</v>
      </c>
      <c r="C7811" t="s">
        <v>36198</v>
      </c>
      <c r="D7811" s="1">
        <v>40382</v>
      </c>
      <c r="E7811" s="2">
        <v>162500</v>
      </c>
      <c r="F7811" t="s">
        <v>4567</v>
      </c>
      <c r="G7811" s="17" t="str">
        <f>HYPERLINK("https://www.washoecounty.gov/assessor/cama/?command=sales&amp;parid=53039102","3904226")</f>
        <v>3904226</v>
      </c>
      <c r="H7811" t="s">
        <v>123</v>
      </c>
      <c r="I7811">
        <v>2002</v>
      </c>
      <c r="J7811">
        <v>2002</v>
      </c>
      <c r="K7811" t="s">
        <v>4554</v>
      </c>
      <c r="L7811" t="s">
        <v>4555</v>
      </c>
      <c r="M7811" s="2">
        <v>1306</v>
      </c>
      <c r="N7811" t="s">
        <v>4048</v>
      </c>
      <c r="O7811">
        <v>3</v>
      </c>
      <c r="P7811">
        <v>2</v>
      </c>
      <c r="Q7811">
        <v>0</v>
      </c>
      <c r="R7811" t="s">
        <v>4557</v>
      </c>
      <c r="S7811" t="s">
        <v>4558</v>
      </c>
      <c r="T7811" t="s">
        <v>4559</v>
      </c>
      <c r="U7811" t="s">
        <v>162</v>
      </c>
      <c r="V7811" s="2">
        <v>880</v>
      </c>
      <c r="W7811" t="s">
        <v>4655</v>
      </c>
      <c r="X7811" s="2">
        <v>0</v>
      </c>
      <c r="Y7811">
        <v>20</v>
      </c>
      <c r="Z7811" t="s">
        <v>5508</v>
      </c>
      <c r="AA7811" s="3">
        <v>0.32601010799407998</v>
      </c>
      <c r="AB7811" t="s">
        <v>36199</v>
      </c>
      <c r="AC7811" t="s">
        <v>4562</v>
      </c>
      <c r="AD7811" t="s">
        <v>36198</v>
      </c>
      <c r="AE7811" t="s">
        <v>4655</v>
      </c>
      <c r="AF7811" t="s">
        <v>5201</v>
      </c>
      <c r="AG7811" t="s">
        <v>4564</v>
      </c>
      <c r="AH7811" t="s">
        <v>1350</v>
      </c>
      <c r="AI7811" t="s">
        <v>36200</v>
      </c>
      <c r="AJ7811" t="s">
        <v>2503</v>
      </c>
      <c r="AK7811" t="s">
        <v>36201</v>
      </c>
      <c r="AL7811" s="13" t="s">
        <v>1892</v>
      </c>
      <c r="AM7811" s="14">
        <v>1</v>
      </c>
      <c r="AN7811" s="15" t="s">
        <v>2504</v>
      </c>
    </row>
    <row r="7812" spans="1:40" x14ac:dyDescent="0.3">
      <c r="A7812" s="10" t="str">
        <f>HYPERLINK("http://www.washoecounty.gov/assessor/cama/?parid=530-391-03&amp;CardNumber=1","530-391-03")</f>
        <v>530-391-03</v>
      </c>
      <c r="B7812" t="s">
        <v>4655</v>
      </c>
      <c r="C7812" t="s">
        <v>36202</v>
      </c>
      <c r="D7812" s="1">
        <v>40513</v>
      </c>
      <c r="E7812" s="2">
        <v>164500</v>
      </c>
      <c r="F7812" t="s">
        <v>4567</v>
      </c>
      <c r="G7812" s="17" t="str">
        <f>HYPERLINK("https://www.washoecounty.gov/assessor/cama/?command=sales&amp;parid=53039103","3948391")</f>
        <v>3948391</v>
      </c>
      <c r="H7812" t="s">
        <v>123</v>
      </c>
      <c r="I7812">
        <v>2001</v>
      </c>
      <c r="J7812">
        <v>2001</v>
      </c>
      <c r="K7812" t="s">
        <v>4554</v>
      </c>
      <c r="L7812" t="s">
        <v>4555</v>
      </c>
      <c r="M7812" s="2">
        <v>1553</v>
      </c>
      <c r="N7812" t="s">
        <v>4048</v>
      </c>
      <c r="O7812">
        <v>3</v>
      </c>
      <c r="P7812">
        <v>2</v>
      </c>
      <c r="Q7812">
        <v>0</v>
      </c>
      <c r="R7812" t="s">
        <v>4557</v>
      </c>
      <c r="S7812" t="s">
        <v>4558</v>
      </c>
      <c r="T7812" t="s">
        <v>4559</v>
      </c>
      <c r="U7812" t="s">
        <v>4560</v>
      </c>
      <c r="V7812" s="2">
        <v>484</v>
      </c>
      <c r="W7812" t="s">
        <v>4655</v>
      </c>
      <c r="X7812" s="2">
        <v>0</v>
      </c>
      <c r="Y7812">
        <v>20</v>
      </c>
      <c r="Z7812" t="s">
        <v>5508</v>
      </c>
      <c r="AA7812" s="3">
        <v>0.33500918745994601</v>
      </c>
      <c r="AB7812" t="s">
        <v>36203</v>
      </c>
      <c r="AC7812" t="s">
        <v>4562</v>
      </c>
      <c r="AD7812" t="s">
        <v>36202</v>
      </c>
      <c r="AE7812" t="s">
        <v>4655</v>
      </c>
      <c r="AF7812" t="s">
        <v>5201</v>
      </c>
      <c r="AG7812" t="s">
        <v>4564</v>
      </c>
      <c r="AH7812" t="s">
        <v>1350</v>
      </c>
      <c r="AI7812" t="s">
        <v>36204</v>
      </c>
      <c r="AJ7812" t="s">
        <v>2503</v>
      </c>
      <c r="AK7812" t="s">
        <v>36205</v>
      </c>
      <c r="AL7812" s="13" t="s">
        <v>1892</v>
      </c>
      <c r="AM7812">
        <v>1</v>
      </c>
      <c r="AN7812" s="15" t="s">
        <v>2504</v>
      </c>
    </row>
    <row r="7813" spans="1:40" x14ac:dyDescent="0.3">
      <c r="A7813" s="10" t="str">
        <f>HYPERLINK("http://www.washoecounty.gov/assessor/cama/?parid=530-393-06&amp;CardNumber=1","530-393-06")</f>
        <v>530-393-06</v>
      </c>
      <c r="B7813" t="s">
        <v>4655</v>
      </c>
      <c r="C7813" t="s">
        <v>36206</v>
      </c>
      <c r="D7813" s="1">
        <v>40326</v>
      </c>
      <c r="E7813" s="2">
        <v>155000</v>
      </c>
      <c r="F7813" t="s">
        <v>4553</v>
      </c>
      <c r="G7813" s="17" t="str">
        <f>HYPERLINK("https://www.washoecounty.gov/assessor/cama/?command=sales&amp;parid=53039306","3886585")</f>
        <v>3886585</v>
      </c>
      <c r="H7813" t="s">
        <v>123</v>
      </c>
      <c r="I7813">
        <v>2002</v>
      </c>
      <c r="J7813">
        <v>2002</v>
      </c>
      <c r="K7813" t="s">
        <v>4554</v>
      </c>
      <c r="L7813" t="s">
        <v>4555</v>
      </c>
      <c r="M7813" s="2">
        <v>1353</v>
      </c>
      <c r="N7813" t="s">
        <v>4048</v>
      </c>
      <c r="O7813">
        <v>3</v>
      </c>
      <c r="P7813">
        <v>2</v>
      </c>
      <c r="Q7813">
        <v>0</v>
      </c>
      <c r="R7813" t="s">
        <v>5281</v>
      </c>
      <c r="S7813" t="s">
        <v>4558</v>
      </c>
      <c r="T7813" t="s">
        <v>4559</v>
      </c>
      <c r="U7813" t="s">
        <v>4560</v>
      </c>
      <c r="V7813" s="2">
        <v>440</v>
      </c>
      <c r="W7813" t="s">
        <v>4655</v>
      </c>
      <c r="X7813" s="2">
        <v>0</v>
      </c>
      <c r="Y7813">
        <v>20</v>
      </c>
      <c r="Z7813" t="s">
        <v>5508</v>
      </c>
      <c r="AA7813" s="3">
        <v>0.426010102033615</v>
      </c>
      <c r="AB7813" t="s">
        <v>36207</v>
      </c>
      <c r="AC7813" t="s">
        <v>4562</v>
      </c>
      <c r="AD7813" t="s">
        <v>36208</v>
      </c>
      <c r="AE7813" t="s">
        <v>4655</v>
      </c>
      <c r="AF7813" t="s">
        <v>36209</v>
      </c>
      <c r="AG7813" t="s">
        <v>2590</v>
      </c>
      <c r="AH7813">
        <v>84403</v>
      </c>
      <c r="AI7813" t="s">
        <v>4655</v>
      </c>
      <c r="AJ7813" t="s">
        <v>2503</v>
      </c>
      <c r="AK7813" t="s">
        <v>36210</v>
      </c>
      <c r="AL7813" s="13" t="s">
        <v>1892</v>
      </c>
      <c r="AM7813" s="14">
        <v>1</v>
      </c>
      <c r="AN7813" s="15" t="s">
        <v>2504</v>
      </c>
    </row>
    <row r="7814" spans="1:40" x14ac:dyDescent="0.3">
      <c r="A7814" s="10" t="str">
        <f>HYPERLINK("http://www.washoecounty.gov/assessor/cama/?parid=530-394-02&amp;CardNumber=1","530-394-02")</f>
        <v>530-394-02</v>
      </c>
      <c r="B7814" t="s">
        <v>4655</v>
      </c>
      <c r="C7814" t="s">
        <v>36211</v>
      </c>
      <c r="D7814" s="1">
        <v>40406</v>
      </c>
      <c r="E7814" s="2">
        <v>218900</v>
      </c>
      <c r="F7814" t="s">
        <v>4553</v>
      </c>
      <c r="G7814" s="17" t="str">
        <f>HYPERLINK("https://www.washoecounty.gov/assessor/cama/?command=sales&amp;parid=53039402","3912330")</f>
        <v>3912330</v>
      </c>
      <c r="H7814" t="s">
        <v>123</v>
      </c>
      <c r="I7814">
        <v>2001</v>
      </c>
      <c r="J7814">
        <v>2001</v>
      </c>
      <c r="K7814" t="s">
        <v>4554</v>
      </c>
      <c r="L7814" t="s">
        <v>4555</v>
      </c>
      <c r="M7814" s="2">
        <v>2244</v>
      </c>
      <c r="N7814" t="s">
        <v>4048</v>
      </c>
      <c r="O7814">
        <v>4</v>
      </c>
      <c r="P7814">
        <v>2</v>
      </c>
      <c r="Q7814">
        <v>1</v>
      </c>
      <c r="R7814" t="s">
        <v>4557</v>
      </c>
      <c r="S7814" t="s">
        <v>4558</v>
      </c>
      <c r="T7814" t="s">
        <v>4559</v>
      </c>
      <c r="U7814" t="s">
        <v>162</v>
      </c>
      <c r="V7814" s="2">
        <v>1816</v>
      </c>
      <c r="W7814" t="s">
        <v>4655</v>
      </c>
      <c r="X7814" s="2">
        <v>0</v>
      </c>
      <c r="Y7814">
        <v>20</v>
      </c>
      <c r="Z7814" t="s">
        <v>5508</v>
      </c>
      <c r="AA7814" s="3">
        <v>0.43599632382392883</v>
      </c>
      <c r="AB7814" t="s">
        <v>36212</v>
      </c>
      <c r="AC7814" t="s">
        <v>4575</v>
      </c>
      <c r="AD7814" t="s">
        <v>36213</v>
      </c>
      <c r="AE7814" t="s">
        <v>4655</v>
      </c>
      <c r="AF7814" t="s">
        <v>5201</v>
      </c>
      <c r="AG7814" t="s">
        <v>4564</v>
      </c>
      <c r="AH7814" t="s">
        <v>1350</v>
      </c>
      <c r="AI7814" t="s">
        <v>36214</v>
      </c>
      <c r="AJ7814" t="s">
        <v>36215</v>
      </c>
      <c r="AK7814" t="s">
        <v>36216</v>
      </c>
      <c r="AL7814" s="13" t="s">
        <v>1892</v>
      </c>
      <c r="AM7814" s="14">
        <v>1</v>
      </c>
      <c r="AN7814" s="15" t="s">
        <v>2504</v>
      </c>
    </row>
    <row r="7815" spans="1:40" x14ac:dyDescent="0.3">
      <c r="A7815" s="10" t="str">
        <f>HYPERLINK("http://www.washoecounty.gov/assessor/cama/?parid=530-402-04&amp;CardNumber=1","530-402-04")</f>
        <v>530-402-04</v>
      </c>
      <c r="B7815" t="s">
        <v>4655</v>
      </c>
      <c r="C7815" t="s">
        <v>36217</v>
      </c>
      <c r="D7815" s="1">
        <v>40421</v>
      </c>
      <c r="E7815" s="2">
        <v>250000</v>
      </c>
      <c r="F7815" t="s">
        <v>4567</v>
      </c>
      <c r="G7815" s="17" t="str">
        <f>HYPERLINK("https://www.washoecounty.gov/assessor/cama/?command=sales&amp;parid=53040204","3917558")</f>
        <v>3917558</v>
      </c>
      <c r="H7815" t="s">
        <v>123</v>
      </c>
      <c r="I7815">
        <v>2002</v>
      </c>
      <c r="J7815">
        <v>2002</v>
      </c>
      <c r="K7815" t="s">
        <v>4554</v>
      </c>
      <c r="L7815" t="s">
        <v>4555</v>
      </c>
      <c r="M7815" s="2">
        <v>2910</v>
      </c>
      <c r="N7815" t="s">
        <v>4048</v>
      </c>
      <c r="O7815">
        <v>2</v>
      </c>
      <c r="P7815">
        <v>2</v>
      </c>
      <c r="Q7815">
        <v>0</v>
      </c>
      <c r="R7815" t="s">
        <v>4557</v>
      </c>
      <c r="S7815" t="s">
        <v>4558</v>
      </c>
      <c r="T7815" t="s">
        <v>4559</v>
      </c>
      <c r="U7815" t="s">
        <v>4560</v>
      </c>
      <c r="V7815" s="2">
        <v>848</v>
      </c>
      <c r="W7815" t="s">
        <v>4655</v>
      </c>
      <c r="X7815" s="2">
        <v>0</v>
      </c>
      <c r="Y7815">
        <v>20</v>
      </c>
      <c r="Z7815" t="s">
        <v>5508</v>
      </c>
      <c r="AA7815" s="3">
        <v>0.44800275564193698</v>
      </c>
      <c r="AB7815" t="s">
        <v>36218</v>
      </c>
      <c r="AC7815" t="s">
        <v>4562</v>
      </c>
      <c r="AD7815" t="s">
        <v>36217</v>
      </c>
      <c r="AE7815" t="s">
        <v>4655</v>
      </c>
      <c r="AF7815" t="s">
        <v>5201</v>
      </c>
      <c r="AG7815" t="s">
        <v>4564</v>
      </c>
      <c r="AH7815" t="s">
        <v>1350</v>
      </c>
      <c r="AI7815" t="s">
        <v>36219</v>
      </c>
      <c r="AJ7815" t="s">
        <v>2503</v>
      </c>
      <c r="AK7815" t="s">
        <v>36220</v>
      </c>
      <c r="AL7815" s="13" t="s">
        <v>1892</v>
      </c>
      <c r="AM7815" s="14">
        <v>1</v>
      </c>
      <c r="AN7815" s="15" t="s">
        <v>2504</v>
      </c>
    </row>
    <row r="7816" spans="1:40" x14ac:dyDescent="0.3">
      <c r="A7816" s="10" t="str">
        <f>HYPERLINK("http://www.washoecounty.gov/assessor/cama/?parid=530-414-01&amp;CardNumber=1","530-414-01")</f>
        <v>530-414-01</v>
      </c>
      <c r="B7816" t="s">
        <v>4655</v>
      </c>
      <c r="C7816" t="s">
        <v>36221</v>
      </c>
      <c r="D7816" s="1">
        <v>40220</v>
      </c>
      <c r="E7816" s="2">
        <v>195000</v>
      </c>
      <c r="F7816" t="s">
        <v>4567</v>
      </c>
      <c r="G7816" s="17" t="str">
        <f>HYPERLINK("https://www.washoecounty.gov/assessor/cama/?command=sales&amp;parid=53041401","3848228")</f>
        <v>3848228</v>
      </c>
      <c r="H7816" t="s">
        <v>123</v>
      </c>
      <c r="I7816">
        <v>2000</v>
      </c>
      <c r="J7816">
        <v>2000</v>
      </c>
      <c r="K7816" t="s">
        <v>4554</v>
      </c>
      <c r="L7816" t="s">
        <v>4555</v>
      </c>
      <c r="M7816" s="2">
        <v>1774</v>
      </c>
      <c r="N7816" t="s">
        <v>4048</v>
      </c>
      <c r="O7816">
        <v>3</v>
      </c>
      <c r="P7816">
        <v>2</v>
      </c>
      <c r="Q7816">
        <v>0</v>
      </c>
      <c r="R7816" t="s">
        <v>4557</v>
      </c>
      <c r="S7816" t="s">
        <v>4558</v>
      </c>
      <c r="T7816" t="s">
        <v>4559</v>
      </c>
      <c r="U7816" t="s">
        <v>4560</v>
      </c>
      <c r="V7816" s="2">
        <v>653</v>
      </c>
      <c r="W7816" t="s">
        <v>4655</v>
      </c>
      <c r="X7816" s="2">
        <v>0</v>
      </c>
      <c r="Y7816">
        <v>20</v>
      </c>
      <c r="Z7816" t="s">
        <v>5508</v>
      </c>
      <c r="AA7816" s="3">
        <v>0.33200183510780301</v>
      </c>
      <c r="AB7816" t="s">
        <v>36222</v>
      </c>
      <c r="AC7816" t="s">
        <v>4575</v>
      </c>
      <c r="AD7816" t="s">
        <v>36221</v>
      </c>
      <c r="AE7816" t="s">
        <v>4655</v>
      </c>
      <c r="AF7816" t="s">
        <v>5201</v>
      </c>
      <c r="AG7816" t="s">
        <v>4564</v>
      </c>
      <c r="AH7816" t="s">
        <v>1350</v>
      </c>
      <c r="AI7816" t="s">
        <v>36223</v>
      </c>
      <c r="AJ7816" t="s">
        <v>2503</v>
      </c>
      <c r="AK7816" t="s">
        <v>36224</v>
      </c>
      <c r="AL7816" s="13" t="s">
        <v>1892</v>
      </c>
      <c r="AM7816" s="14">
        <v>1</v>
      </c>
      <c r="AN7816" s="15" t="s">
        <v>2504</v>
      </c>
    </row>
    <row r="7817" spans="1:40" x14ac:dyDescent="0.3">
      <c r="A7817" s="10" t="str">
        <f>HYPERLINK("http://www.washoecounty.gov/assessor/cama/?parid=530-414-38&amp;CardNumber=1","530-414-38")</f>
        <v>530-414-38</v>
      </c>
      <c r="B7817" t="s">
        <v>4655</v>
      </c>
      <c r="C7817" t="s">
        <v>36225</v>
      </c>
      <c r="D7817" s="1">
        <v>40465</v>
      </c>
      <c r="E7817" s="2">
        <v>189000</v>
      </c>
      <c r="F7817" t="s">
        <v>4553</v>
      </c>
      <c r="G7817" s="17" t="str">
        <f>HYPERLINK("https://www.washoecounty.gov/assessor/cama/?command=sales&amp;parid=53041438","3933002")</f>
        <v>3933002</v>
      </c>
      <c r="H7817" t="s">
        <v>123</v>
      </c>
      <c r="I7817">
        <v>1999</v>
      </c>
      <c r="J7817">
        <v>1999</v>
      </c>
      <c r="K7817" t="s">
        <v>4554</v>
      </c>
      <c r="L7817" t="s">
        <v>4555</v>
      </c>
      <c r="M7817" s="2">
        <v>2244</v>
      </c>
      <c r="N7817" t="s">
        <v>4048</v>
      </c>
      <c r="O7817">
        <v>4</v>
      </c>
      <c r="P7817">
        <v>2</v>
      </c>
      <c r="Q7817">
        <v>1</v>
      </c>
      <c r="R7817" t="s">
        <v>4557</v>
      </c>
      <c r="S7817" t="s">
        <v>4558</v>
      </c>
      <c r="T7817" t="s">
        <v>4559</v>
      </c>
      <c r="U7817" t="s">
        <v>4560</v>
      </c>
      <c r="V7817" s="2">
        <v>952</v>
      </c>
      <c r="W7817" t="s">
        <v>4655</v>
      </c>
      <c r="X7817" s="2">
        <v>0</v>
      </c>
      <c r="Y7817">
        <v>20</v>
      </c>
      <c r="Z7817" t="s">
        <v>5508</v>
      </c>
      <c r="AA7817" s="3">
        <v>0.342998176813126</v>
      </c>
      <c r="AB7817" t="s">
        <v>36226</v>
      </c>
      <c r="AC7817" t="s">
        <v>4562</v>
      </c>
      <c r="AD7817" t="s">
        <v>36225</v>
      </c>
      <c r="AE7817" t="s">
        <v>4655</v>
      </c>
      <c r="AF7817" t="s">
        <v>5201</v>
      </c>
      <c r="AG7817" t="s">
        <v>4564</v>
      </c>
      <c r="AH7817" t="s">
        <v>1350</v>
      </c>
      <c r="AI7817" t="s">
        <v>5163</v>
      </c>
      <c r="AJ7817" t="s">
        <v>2503</v>
      </c>
      <c r="AK7817" t="s">
        <v>36227</v>
      </c>
      <c r="AL7817" s="13" t="s">
        <v>1892</v>
      </c>
      <c r="AM7817">
        <v>1</v>
      </c>
      <c r="AN7817" s="15" t="s">
        <v>2504</v>
      </c>
    </row>
    <row r="7818" spans="1:40" x14ac:dyDescent="0.3">
      <c r="A7818" s="10" t="str">
        <f>HYPERLINK("http://www.washoecounty.gov/assessor/cama/?parid=530-414-41&amp;CardNumber=1","530-414-41")</f>
        <v>530-414-41</v>
      </c>
      <c r="B7818" t="s">
        <v>4655</v>
      </c>
      <c r="C7818" t="s">
        <v>36228</v>
      </c>
      <c r="D7818" s="1">
        <v>40193</v>
      </c>
      <c r="E7818" s="2">
        <v>170900</v>
      </c>
      <c r="F7818" t="s">
        <v>4567</v>
      </c>
      <c r="G7818" s="17" t="str">
        <f>HYPERLINK("https://www.washoecounty.gov/assessor/cama/?command=sales&amp;parid=53041441","3840054")</f>
        <v>3840054</v>
      </c>
      <c r="H7818" t="s">
        <v>123</v>
      </c>
      <c r="I7818">
        <v>1999</v>
      </c>
      <c r="J7818">
        <v>1999</v>
      </c>
      <c r="K7818" t="s">
        <v>4554</v>
      </c>
      <c r="L7818" t="s">
        <v>4555</v>
      </c>
      <c r="M7818" s="2">
        <v>1334</v>
      </c>
      <c r="N7818" t="s">
        <v>4048</v>
      </c>
      <c r="O7818">
        <v>3</v>
      </c>
      <c r="P7818">
        <v>2</v>
      </c>
      <c r="Q7818">
        <v>0</v>
      </c>
      <c r="R7818" t="s">
        <v>4557</v>
      </c>
      <c r="S7818" t="s">
        <v>4558</v>
      </c>
      <c r="T7818" t="s">
        <v>4559</v>
      </c>
      <c r="U7818" t="s">
        <v>4560</v>
      </c>
      <c r="V7818" s="2">
        <v>484</v>
      </c>
      <c r="W7818" t="s">
        <v>4655</v>
      </c>
      <c r="X7818" s="2">
        <v>0</v>
      </c>
      <c r="Y7818">
        <v>20</v>
      </c>
      <c r="Z7818" t="s">
        <v>5508</v>
      </c>
      <c r="AA7818" s="3">
        <v>0.28298899531364441</v>
      </c>
      <c r="AB7818" t="s">
        <v>36229</v>
      </c>
      <c r="AC7818" t="s">
        <v>4575</v>
      </c>
      <c r="AD7818" t="s">
        <v>36228</v>
      </c>
      <c r="AE7818" t="s">
        <v>4655</v>
      </c>
      <c r="AF7818" t="s">
        <v>5201</v>
      </c>
      <c r="AG7818" t="s">
        <v>4564</v>
      </c>
      <c r="AH7818" t="s">
        <v>1350</v>
      </c>
      <c r="AI7818" t="s">
        <v>36230</v>
      </c>
      <c r="AJ7818" t="s">
        <v>2503</v>
      </c>
      <c r="AK7818" t="s">
        <v>36231</v>
      </c>
      <c r="AL7818" s="13" t="s">
        <v>1892</v>
      </c>
      <c r="AM7818">
        <v>1</v>
      </c>
      <c r="AN7818" s="15" t="s">
        <v>2504</v>
      </c>
    </row>
    <row r="7819" spans="1:40" x14ac:dyDescent="0.3">
      <c r="A7819" s="10" t="str">
        <f>HYPERLINK("http://www.washoecounty.gov/assessor/cama/?parid=530-421-06&amp;CardNumber=1","530-421-06")</f>
        <v>530-421-06</v>
      </c>
      <c r="B7819" t="s">
        <v>4655</v>
      </c>
      <c r="C7819" t="s">
        <v>36232</v>
      </c>
      <c r="D7819" s="1">
        <v>40337</v>
      </c>
      <c r="E7819" s="2">
        <v>170000</v>
      </c>
      <c r="F7819" t="s">
        <v>4553</v>
      </c>
      <c r="G7819" s="17" t="str">
        <f>HYPERLINK("https://www.washoecounty.gov/assessor/cama/?command=sales&amp;parid=53042106","3889211")</f>
        <v>3889211</v>
      </c>
      <c r="H7819" t="s">
        <v>2505</v>
      </c>
      <c r="I7819">
        <v>2000</v>
      </c>
      <c r="J7819">
        <v>2000</v>
      </c>
      <c r="K7819" t="s">
        <v>4554</v>
      </c>
      <c r="L7819" t="s">
        <v>4555</v>
      </c>
      <c r="M7819" s="2">
        <v>1573</v>
      </c>
      <c r="N7819" t="s">
        <v>5280</v>
      </c>
      <c r="O7819">
        <v>4</v>
      </c>
      <c r="P7819">
        <v>2</v>
      </c>
      <c r="Q7819">
        <v>0</v>
      </c>
      <c r="R7819" t="s">
        <v>4557</v>
      </c>
      <c r="S7819" t="s">
        <v>4558</v>
      </c>
      <c r="T7819" t="s">
        <v>4559</v>
      </c>
      <c r="U7819" t="s">
        <v>4560</v>
      </c>
      <c r="V7819" s="2">
        <v>551</v>
      </c>
      <c r="W7819" t="s">
        <v>4655</v>
      </c>
      <c r="X7819" s="2">
        <v>0</v>
      </c>
      <c r="Y7819">
        <v>20</v>
      </c>
      <c r="Z7819" t="s">
        <v>5508</v>
      </c>
      <c r="AA7819" s="3">
        <v>0.3379935622215271</v>
      </c>
      <c r="AB7819" t="s">
        <v>36233</v>
      </c>
      <c r="AC7819" t="s">
        <v>4562</v>
      </c>
      <c r="AD7819" t="s">
        <v>36232</v>
      </c>
      <c r="AE7819" t="s">
        <v>4655</v>
      </c>
      <c r="AF7819" t="s">
        <v>5201</v>
      </c>
      <c r="AG7819" t="s">
        <v>4564</v>
      </c>
      <c r="AH7819" t="s">
        <v>1605</v>
      </c>
      <c r="AI7819" t="s">
        <v>36234</v>
      </c>
      <c r="AJ7819" t="s">
        <v>2506</v>
      </c>
      <c r="AK7819" t="s">
        <v>36235</v>
      </c>
      <c r="AL7819" s="13" t="s">
        <v>1892</v>
      </c>
      <c r="AM7819">
        <v>1</v>
      </c>
      <c r="AN7819" s="15" t="s">
        <v>32</v>
      </c>
    </row>
    <row r="7820" spans="1:40" x14ac:dyDescent="0.3">
      <c r="A7820" s="10" t="str">
        <f>HYPERLINK("http://www.washoecounty.gov/assessor/cama/?parid=530-424-01&amp;CardNumber=1","530-424-01")</f>
        <v>530-424-01</v>
      </c>
      <c r="B7820" t="s">
        <v>4655</v>
      </c>
      <c r="C7820" t="s">
        <v>36236</v>
      </c>
      <c r="D7820" s="1">
        <v>40388</v>
      </c>
      <c r="E7820" s="2">
        <v>155000</v>
      </c>
      <c r="F7820" t="s">
        <v>4567</v>
      </c>
      <c r="G7820" s="17" t="str">
        <f>HYPERLINK("https://www.washoecounty.gov/assessor/cama/?command=sales&amp;parid=53042401","3906538")</f>
        <v>3906538</v>
      </c>
      <c r="H7820" t="s">
        <v>2505</v>
      </c>
      <c r="I7820">
        <v>2001</v>
      </c>
      <c r="J7820">
        <v>2001</v>
      </c>
      <c r="K7820" t="s">
        <v>4554</v>
      </c>
      <c r="L7820" t="s">
        <v>4555</v>
      </c>
      <c r="M7820" s="2">
        <v>1439</v>
      </c>
      <c r="N7820" t="s">
        <v>5280</v>
      </c>
      <c r="O7820">
        <v>3</v>
      </c>
      <c r="P7820">
        <v>2</v>
      </c>
      <c r="Q7820">
        <v>0</v>
      </c>
      <c r="R7820" t="s">
        <v>4557</v>
      </c>
      <c r="S7820" t="s">
        <v>4558</v>
      </c>
      <c r="T7820" t="s">
        <v>4559</v>
      </c>
      <c r="U7820" t="s">
        <v>4560</v>
      </c>
      <c r="V7820" s="2">
        <v>400</v>
      </c>
      <c r="W7820" t="s">
        <v>4655</v>
      </c>
      <c r="X7820" s="2">
        <v>0</v>
      </c>
      <c r="Y7820">
        <v>20</v>
      </c>
      <c r="Z7820" t="s">
        <v>5508</v>
      </c>
      <c r="AA7820" s="3">
        <v>0.28900367021560702</v>
      </c>
      <c r="AB7820" t="s">
        <v>36237</v>
      </c>
      <c r="AC7820" t="s">
        <v>4562</v>
      </c>
      <c r="AD7820" t="s">
        <v>36236</v>
      </c>
      <c r="AE7820" t="s">
        <v>4655</v>
      </c>
      <c r="AF7820" t="s">
        <v>5201</v>
      </c>
      <c r="AG7820" t="s">
        <v>4564</v>
      </c>
      <c r="AH7820" t="s">
        <v>1605</v>
      </c>
      <c r="AI7820" t="s">
        <v>36238</v>
      </c>
      <c r="AJ7820" t="s">
        <v>2506</v>
      </c>
      <c r="AK7820" t="s">
        <v>36239</v>
      </c>
      <c r="AL7820" s="13" t="s">
        <v>1892</v>
      </c>
      <c r="AM7820">
        <v>1</v>
      </c>
      <c r="AN7820" s="15" t="s">
        <v>32</v>
      </c>
    </row>
    <row r="7821" spans="1:40" x14ac:dyDescent="0.3">
      <c r="A7821" s="10" t="str">
        <f>HYPERLINK("http://www.washoecounty.gov/assessor/cama/?parid=530-432-01&amp;CardNumber=1","530-432-01")</f>
        <v>530-432-01</v>
      </c>
      <c r="B7821" t="s">
        <v>4655</v>
      </c>
      <c r="C7821" t="s">
        <v>36240</v>
      </c>
      <c r="D7821" s="1">
        <v>40421</v>
      </c>
      <c r="E7821" s="2">
        <v>180000</v>
      </c>
      <c r="F7821" t="s">
        <v>4567</v>
      </c>
      <c r="G7821" s="17" t="str">
        <f>HYPERLINK("https://www.washoecounty.gov/assessor/cama/?command=sales&amp;parid=53043201","3917619")</f>
        <v>3917619</v>
      </c>
      <c r="H7821" t="s">
        <v>2505</v>
      </c>
      <c r="I7821">
        <v>2002</v>
      </c>
      <c r="J7821">
        <v>2002</v>
      </c>
      <c r="K7821" t="s">
        <v>4554</v>
      </c>
      <c r="L7821" t="s">
        <v>4555</v>
      </c>
      <c r="M7821" s="2">
        <v>1913</v>
      </c>
      <c r="N7821" t="s">
        <v>5280</v>
      </c>
      <c r="O7821">
        <v>3</v>
      </c>
      <c r="P7821">
        <v>2</v>
      </c>
      <c r="Q7821">
        <v>0</v>
      </c>
      <c r="R7821" t="s">
        <v>5281</v>
      </c>
      <c r="S7821" t="s">
        <v>4558</v>
      </c>
      <c r="T7821" t="s">
        <v>2704</v>
      </c>
      <c r="U7821" t="s">
        <v>4560</v>
      </c>
      <c r="V7821" s="2">
        <v>617</v>
      </c>
      <c r="W7821" t="s">
        <v>4655</v>
      </c>
      <c r="X7821" s="2">
        <v>0</v>
      </c>
      <c r="Y7821">
        <v>20</v>
      </c>
      <c r="Z7821" t="s">
        <v>5508</v>
      </c>
      <c r="AA7821" s="3">
        <v>0.27699723839759827</v>
      </c>
      <c r="AB7821" t="s">
        <v>36241</v>
      </c>
      <c r="AC7821" t="s">
        <v>4562</v>
      </c>
      <c r="AD7821" t="s">
        <v>36240</v>
      </c>
      <c r="AE7821" t="s">
        <v>4655</v>
      </c>
      <c r="AF7821" t="s">
        <v>5201</v>
      </c>
      <c r="AG7821" t="s">
        <v>4564</v>
      </c>
      <c r="AH7821" t="s">
        <v>1605</v>
      </c>
      <c r="AI7821" t="s">
        <v>36242</v>
      </c>
      <c r="AJ7821" t="s">
        <v>2506</v>
      </c>
      <c r="AK7821" t="s">
        <v>36243</v>
      </c>
      <c r="AL7821" s="13" t="s">
        <v>1892</v>
      </c>
      <c r="AM7821">
        <v>1</v>
      </c>
      <c r="AN7821" s="15" t="s">
        <v>32</v>
      </c>
    </row>
    <row r="7822" spans="1:40" x14ac:dyDescent="0.3">
      <c r="A7822" s="10" t="str">
        <f>HYPERLINK("http://www.washoecounty.gov/assessor/cama/?parid=530-433-16&amp;CardNumber=1","530-433-16")</f>
        <v>530-433-16</v>
      </c>
      <c r="B7822" t="s">
        <v>4655</v>
      </c>
      <c r="C7822" t="s">
        <v>36244</v>
      </c>
      <c r="D7822" s="1">
        <v>40541</v>
      </c>
      <c r="E7822" s="2">
        <v>171000</v>
      </c>
      <c r="F7822" t="s">
        <v>4567</v>
      </c>
      <c r="G7822" s="17" t="str">
        <f>HYPERLINK("https://www.washoecounty.gov/assessor/cama/?command=sales&amp;parid=53043316","3958383")</f>
        <v>3958383</v>
      </c>
      <c r="H7822" t="s">
        <v>2505</v>
      </c>
      <c r="I7822">
        <v>1999</v>
      </c>
      <c r="J7822">
        <v>1999</v>
      </c>
      <c r="K7822" t="s">
        <v>4554</v>
      </c>
      <c r="L7822" t="s">
        <v>4555</v>
      </c>
      <c r="M7822" s="2">
        <v>1892</v>
      </c>
      <c r="N7822" t="s">
        <v>5280</v>
      </c>
      <c r="O7822">
        <v>4</v>
      </c>
      <c r="P7822">
        <v>2</v>
      </c>
      <c r="Q7822">
        <v>0</v>
      </c>
      <c r="R7822" t="s">
        <v>5281</v>
      </c>
      <c r="S7822" t="s">
        <v>4558</v>
      </c>
      <c r="T7822" t="s">
        <v>4559</v>
      </c>
      <c r="U7822" t="s">
        <v>4560</v>
      </c>
      <c r="V7822" s="2">
        <v>462</v>
      </c>
      <c r="W7822" t="s">
        <v>4655</v>
      </c>
      <c r="X7822" s="2">
        <v>0</v>
      </c>
      <c r="Y7822">
        <v>20</v>
      </c>
      <c r="Z7822" t="s">
        <v>5508</v>
      </c>
      <c r="AA7822" s="3">
        <v>0.27699723839759827</v>
      </c>
      <c r="AB7822" t="s">
        <v>36245</v>
      </c>
      <c r="AC7822" t="s">
        <v>4575</v>
      </c>
      <c r="AD7822" t="s">
        <v>36244</v>
      </c>
      <c r="AE7822" t="s">
        <v>4655</v>
      </c>
      <c r="AF7822" t="s">
        <v>5499</v>
      </c>
      <c r="AG7822" t="s">
        <v>4564</v>
      </c>
      <c r="AH7822" t="s">
        <v>1350</v>
      </c>
      <c r="AI7822" t="s">
        <v>36246</v>
      </c>
      <c r="AJ7822" t="s">
        <v>2506</v>
      </c>
      <c r="AK7822" t="s">
        <v>36247</v>
      </c>
      <c r="AL7822" s="13" t="s">
        <v>1892</v>
      </c>
      <c r="AM7822" s="14">
        <v>1</v>
      </c>
      <c r="AN7822" s="15" t="s">
        <v>32</v>
      </c>
    </row>
    <row r="7823" spans="1:40" x14ac:dyDescent="0.3">
      <c r="A7823" s="10" t="str">
        <f>HYPERLINK("http://www.washoecounty.gov/assessor/cama/?parid=530-433-27&amp;CardNumber=1","530-433-27")</f>
        <v>530-433-27</v>
      </c>
      <c r="B7823" t="s">
        <v>4655</v>
      </c>
      <c r="C7823" t="s">
        <v>36248</v>
      </c>
      <c r="D7823" s="1">
        <v>40263</v>
      </c>
      <c r="E7823" s="2">
        <v>145000</v>
      </c>
      <c r="F7823" t="s">
        <v>4553</v>
      </c>
      <c r="G7823" s="17" t="str">
        <f>HYPERLINK("https://www.washoecounty.gov/assessor/cama/?command=sales&amp;parid=53043327","3864534")</f>
        <v>3864534</v>
      </c>
      <c r="H7823" t="s">
        <v>2505</v>
      </c>
      <c r="I7823">
        <v>2001</v>
      </c>
      <c r="J7823">
        <v>2001</v>
      </c>
      <c r="K7823" t="s">
        <v>4554</v>
      </c>
      <c r="L7823" t="s">
        <v>4555</v>
      </c>
      <c r="M7823" s="2">
        <v>1439</v>
      </c>
      <c r="N7823" t="s">
        <v>5280</v>
      </c>
      <c r="O7823">
        <v>3</v>
      </c>
      <c r="P7823">
        <v>2</v>
      </c>
      <c r="Q7823">
        <v>0</v>
      </c>
      <c r="R7823" t="s">
        <v>4557</v>
      </c>
      <c r="S7823" t="s">
        <v>4558</v>
      </c>
      <c r="T7823" t="s">
        <v>4559</v>
      </c>
      <c r="U7823" t="s">
        <v>4560</v>
      </c>
      <c r="V7823" s="2">
        <v>400</v>
      </c>
      <c r="W7823" t="s">
        <v>4655</v>
      </c>
      <c r="X7823" s="2">
        <v>0</v>
      </c>
      <c r="Y7823">
        <v>20</v>
      </c>
      <c r="Z7823" t="s">
        <v>5508</v>
      </c>
      <c r="AA7823" s="3">
        <v>0.27601009607315102</v>
      </c>
      <c r="AB7823" t="s">
        <v>36249</v>
      </c>
      <c r="AC7823" t="s">
        <v>4575</v>
      </c>
      <c r="AD7823" t="s">
        <v>36248</v>
      </c>
      <c r="AE7823" t="s">
        <v>4655</v>
      </c>
      <c r="AF7823" t="s">
        <v>5201</v>
      </c>
      <c r="AG7823" t="s">
        <v>4564</v>
      </c>
      <c r="AH7823" t="s">
        <v>1605</v>
      </c>
      <c r="AI7823" t="s">
        <v>4503</v>
      </c>
      <c r="AJ7823" t="s">
        <v>2506</v>
      </c>
      <c r="AK7823" t="s">
        <v>36250</v>
      </c>
      <c r="AL7823" s="13" t="s">
        <v>1892</v>
      </c>
      <c r="AM7823">
        <v>1</v>
      </c>
      <c r="AN7823" s="15" t="s">
        <v>32</v>
      </c>
    </row>
    <row r="7824" spans="1:40" x14ac:dyDescent="0.3">
      <c r="A7824" s="10" t="str">
        <f>HYPERLINK("http://www.washoecounty.gov/assessor/cama/?parid=530-441-02&amp;CardNumber=1","530-441-02")</f>
        <v>530-441-02</v>
      </c>
      <c r="B7824" t="s">
        <v>4655</v>
      </c>
      <c r="C7824" t="s">
        <v>36251</v>
      </c>
      <c r="D7824" s="1">
        <v>40239</v>
      </c>
      <c r="E7824" s="2">
        <v>206082</v>
      </c>
      <c r="F7824" t="s">
        <v>4553</v>
      </c>
      <c r="G7824" s="17" t="str">
        <f>HYPERLINK("https://www.washoecounty.gov/assessor/cama/?command=sales&amp;parid=53044102","3854309")</f>
        <v>3854309</v>
      </c>
      <c r="H7824" t="s">
        <v>3165</v>
      </c>
      <c r="I7824">
        <v>2000</v>
      </c>
      <c r="J7824">
        <v>2000</v>
      </c>
      <c r="K7824" t="s">
        <v>4554</v>
      </c>
      <c r="L7824" t="s">
        <v>3974</v>
      </c>
      <c r="M7824" s="2">
        <v>2291</v>
      </c>
      <c r="N7824" t="s">
        <v>4048</v>
      </c>
      <c r="O7824">
        <v>4</v>
      </c>
      <c r="P7824">
        <v>3</v>
      </c>
      <c r="Q7824">
        <v>0</v>
      </c>
      <c r="R7824" t="s">
        <v>4557</v>
      </c>
      <c r="S7824" t="s">
        <v>4558</v>
      </c>
      <c r="T7824" t="s">
        <v>4559</v>
      </c>
      <c r="U7824" t="s">
        <v>4560</v>
      </c>
      <c r="V7824" s="2">
        <v>813</v>
      </c>
      <c r="W7824" t="s">
        <v>4655</v>
      </c>
      <c r="X7824" s="2">
        <v>0</v>
      </c>
      <c r="Y7824">
        <v>20</v>
      </c>
      <c r="Z7824" t="s">
        <v>5508</v>
      </c>
      <c r="AA7824" s="3">
        <v>0.307988971471786</v>
      </c>
      <c r="AB7824" t="s">
        <v>36252</v>
      </c>
      <c r="AC7824" t="s">
        <v>4562</v>
      </c>
      <c r="AD7824" t="s">
        <v>36251</v>
      </c>
      <c r="AE7824" t="s">
        <v>4655</v>
      </c>
      <c r="AF7824" t="s">
        <v>5201</v>
      </c>
      <c r="AG7824" t="s">
        <v>4564</v>
      </c>
      <c r="AH7824" t="s">
        <v>1605</v>
      </c>
      <c r="AI7824" t="s">
        <v>4045</v>
      </c>
      <c r="AJ7824" t="s">
        <v>3166</v>
      </c>
      <c r="AK7824" t="s">
        <v>36253</v>
      </c>
      <c r="AL7824" s="13" t="s">
        <v>1892</v>
      </c>
      <c r="AM7824" s="14">
        <v>1</v>
      </c>
      <c r="AN7824" s="15" t="s">
        <v>2504</v>
      </c>
    </row>
    <row r="7825" spans="1:40" x14ac:dyDescent="0.3">
      <c r="A7825" s="10" t="str">
        <f>HYPERLINK("http://www.washoecounty.gov/assessor/cama/?parid=530-444-06&amp;CardNumber=1","530-444-06")</f>
        <v>530-444-06</v>
      </c>
      <c r="B7825" t="s">
        <v>4655</v>
      </c>
      <c r="C7825" t="s">
        <v>36254</v>
      </c>
      <c r="D7825" s="1">
        <v>40392</v>
      </c>
      <c r="E7825" s="2">
        <v>170000</v>
      </c>
      <c r="F7825" t="s">
        <v>4567</v>
      </c>
      <c r="G7825" s="17" t="str">
        <f>HYPERLINK("https://www.washoecounty.gov/assessor/cama/?command=sales&amp;parid=53044406","3907866")</f>
        <v>3907866</v>
      </c>
      <c r="H7825" t="s">
        <v>3165</v>
      </c>
      <c r="I7825">
        <v>2002</v>
      </c>
      <c r="J7825">
        <v>2002</v>
      </c>
      <c r="K7825" t="s">
        <v>4554</v>
      </c>
      <c r="L7825" t="s">
        <v>4555</v>
      </c>
      <c r="M7825" s="2">
        <v>1334</v>
      </c>
      <c r="N7825" t="s">
        <v>4048</v>
      </c>
      <c r="O7825">
        <v>3</v>
      </c>
      <c r="P7825">
        <v>2</v>
      </c>
      <c r="Q7825">
        <v>0</v>
      </c>
      <c r="R7825" t="s">
        <v>5281</v>
      </c>
      <c r="S7825" t="s">
        <v>4558</v>
      </c>
      <c r="T7825" t="s">
        <v>4559</v>
      </c>
      <c r="U7825" t="s">
        <v>4560</v>
      </c>
      <c r="V7825" s="2">
        <v>484</v>
      </c>
      <c r="W7825" t="s">
        <v>4655</v>
      </c>
      <c r="X7825" s="2">
        <v>0</v>
      </c>
      <c r="Y7825">
        <v>20</v>
      </c>
      <c r="Z7825" t="s">
        <v>5508</v>
      </c>
      <c r="AA7825" s="3">
        <v>0.33599632978439331</v>
      </c>
      <c r="AB7825" t="s">
        <v>36255</v>
      </c>
      <c r="AC7825" t="s">
        <v>4562</v>
      </c>
      <c r="AD7825" t="s">
        <v>36254</v>
      </c>
      <c r="AE7825" t="s">
        <v>4655</v>
      </c>
      <c r="AF7825" t="s">
        <v>5201</v>
      </c>
      <c r="AG7825" t="s">
        <v>4564</v>
      </c>
      <c r="AH7825" t="s">
        <v>1350</v>
      </c>
      <c r="AI7825" t="s">
        <v>35353</v>
      </c>
      <c r="AJ7825" t="s">
        <v>3166</v>
      </c>
      <c r="AK7825" t="s">
        <v>36256</v>
      </c>
      <c r="AL7825" s="13" t="s">
        <v>1892</v>
      </c>
      <c r="AM7825">
        <v>1</v>
      </c>
      <c r="AN7825" s="15" t="s">
        <v>2504</v>
      </c>
    </row>
    <row r="7826" spans="1:40" x14ac:dyDescent="0.3">
      <c r="A7826" s="10" t="str">
        <f>HYPERLINK("http://www.washoecounty.gov/assessor/cama/?parid=530-470-01&amp;CardNumber=1","530-470-01")</f>
        <v>530-470-01</v>
      </c>
      <c r="B7826" t="s">
        <v>4655</v>
      </c>
      <c r="C7826" t="s">
        <v>36257</v>
      </c>
      <c r="D7826" s="1">
        <v>40494</v>
      </c>
      <c r="E7826" s="2">
        <v>860000</v>
      </c>
      <c r="F7826" t="s">
        <v>4187</v>
      </c>
      <c r="G7826" s="17" t="str">
        <f>HYPERLINK("https://www.washoecounty.gov/assessor/cama/?command=sales&amp;parid=53047001","3942211")</f>
        <v>3942211</v>
      </c>
      <c r="H7826" t="s">
        <v>36258</v>
      </c>
      <c r="I7826">
        <v>2001</v>
      </c>
      <c r="J7826">
        <v>2001</v>
      </c>
      <c r="K7826" t="s">
        <v>1375</v>
      </c>
      <c r="L7826" t="s">
        <v>1366</v>
      </c>
      <c r="M7826" s="2">
        <v>15000</v>
      </c>
      <c r="N7826" t="s">
        <v>1367</v>
      </c>
      <c r="O7826">
        <v>0</v>
      </c>
      <c r="P7826">
        <v>0</v>
      </c>
      <c r="Q7826">
        <v>0</v>
      </c>
      <c r="R7826" t="s">
        <v>1368</v>
      </c>
      <c r="S7826" t="s">
        <v>4599</v>
      </c>
      <c r="T7826" t="s">
        <v>4655</v>
      </c>
      <c r="U7826" t="s">
        <v>4655</v>
      </c>
      <c r="V7826" s="2">
        <v>0</v>
      </c>
      <c r="W7826" t="s">
        <v>4655</v>
      </c>
      <c r="X7826" s="2">
        <v>0</v>
      </c>
      <c r="Y7826">
        <v>50</v>
      </c>
      <c r="Z7826" t="s">
        <v>4843</v>
      </c>
      <c r="AA7826" s="3">
        <v>1.4160009622573799</v>
      </c>
      <c r="AB7826" t="s">
        <v>36259</v>
      </c>
      <c r="AC7826" t="s">
        <v>4562</v>
      </c>
      <c r="AD7826" t="s">
        <v>36260</v>
      </c>
      <c r="AE7826" t="s">
        <v>4655</v>
      </c>
      <c r="AF7826" t="s">
        <v>5201</v>
      </c>
      <c r="AG7826" t="s">
        <v>4564</v>
      </c>
      <c r="AH7826" t="s">
        <v>1350</v>
      </c>
      <c r="AI7826" t="s">
        <v>36261</v>
      </c>
      <c r="AJ7826" t="s">
        <v>36262</v>
      </c>
      <c r="AK7826" t="s">
        <v>36263</v>
      </c>
      <c r="AL7826" s="13" t="s">
        <v>1892</v>
      </c>
      <c r="AM7826" s="14">
        <v>0</v>
      </c>
      <c r="AN7826" s="15" t="s">
        <v>36264</v>
      </c>
    </row>
    <row r="7827" spans="1:40" x14ac:dyDescent="0.3">
      <c r="A7827" s="10" t="str">
        <f>HYPERLINK("http://www.washoecounty.gov/assessor/cama/?parid=530-501-08&amp;CardNumber=1","530-501-08")</f>
        <v>530-501-08</v>
      </c>
      <c r="B7827" t="s">
        <v>4655</v>
      </c>
      <c r="C7827" t="s">
        <v>36265</v>
      </c>
      <c r="D7827" s="1">
        <v>40231</v>
      </c>
      <c r="E7827" s="2">
        <v>140000</v>
      </c>
      <c r="F7827" t="s">
        <v>4567</v>
      </c>
      <c r="G7827" s="17" t="str">
        <f>HYPERLINK("https://www.washoecounty.gov/assessor/cama/?command=sales&amp;parid=53050108","3851642")</f>
        <v>3851642</v>
      </c>
      <c r="H7827" t="s">
        <v>3366</v>
      </c>
      <c r="I7827">
        <v>2001</v>
      </c>
      <c r="J7827">
        <v>2001</v>
      </c>
      <c r="K7827" t="s">
        <v>4554</v>
      </c>
      <c r="L7827" t="s">
        <v>4555</v>
      </c>
      <c r="M7827" s="2">
        <v>1262</v>
      </c>
      <c r="N7827" t="s">
        <v>5280</v>
      </c>
      <c r="O7827">
        <v>3</v>
      </c>
      <c r="P7827">
        <v>2</v>
      </c>
      <c r="Q7827">
        <v>0</v>
      </c>
      <c r="R7827" t="s">
        <v>4557</v>
      </c>
      <c r="S7827" t="s">
        <v>4558</v>
      </c>
      <c r="T7827" t="s">
        <v>4559</v>
      </c>
      <c r="U7827" t="s">
        <v>4560</v>
      </c>
      <c r="V7827" s="2">
        <v>389</v>
      </c>
      <c r="W7827" t="s">
        <v>4655</v>
      </c>
      <c r="X7827" s="2">
        <v>0</v>
      </c>
      <c r="Y7827">
        <v>20</v>
      </c>
      <c r="Z7827" t="s">
        <v>5508</v>
      </c>
      <c r="AA7827" s="3">
        <v>0.3736225962638855</v>
      </c>
      <c r="AB7827" t="s">
        <v>36266</v>
      </c>
      <c r="AC7827" t="s">
        <v>4575</v>
      </c>
      <c r="AD7827" t="s">
        <v>36265</v>
      </c>
      <c r="AE7827" t="s">
        <v>4655</v>
      </c>
      <c r="AF7827" t="s">
        <v>5201</v>
      </c>
      <c r="AG7827" t="s">
        <v>4564</v>
      </c>
      <c r="AH7827" t="s">
        <v>1605</v>
      </c>
      <c r="AI7827" t="s">
        <v>36267</v>
      </c>
      <c r="AJ7827" t="s">
        <v>3002</v>
      </c>
      <c r="AK7827" t="s">
        <v>36268</v>
      </c>
      <c r="AL7827" s="13" t="s">
        <v>1892</v>
      </c>
      <c r="AM7827">
        <v>1</v>
      </c>
      <c r="AN7827" s="15" t="s">
        <v>32</v>
      </c>
    </row>
    <row r="7828" spans="1:40" x14ac:dyDescent="0.3">
      <c r="A7828" s="10" t="str">
        <f>HYPERLINK("http://www.washoecounty.gov/assessor/cama/?parid=530-501-14&amp;CardNumber=1","530-501-14")</f>
        <v>530-501-14</v>
      </c>
      <c r="B7828" t="s">
        <v>4655</v>
      </c>
      <c r="C7828" t="s">
        <v>36269</v>
      </c>
      <c r="D7828" s="1">
        <v>40515</v>
      </c>
      <c r="E7828" s="2">
        <v>143300</v>
      </c>
      <c r="F7828" t="s">
        <v>4553</v>
      </c>
      <c r="G7828" s="17" t="str">
        <f>HYPERLINK("https://www.washoecounty.gov/assessor/cama/?command=sales&amp;parid=53050114","3948969")</f>
        <v>3948969</v>
      </c>
      <c r="H7828" t="s">
        <v>3366</v>
      </c>
      <c r="I7828">
        <v>2002</v>
      </c>
      <c r="J7828">
        <v>2002</v>
      </c>
      <c r="K7828" t="s">
        <v>4554</v>
      </c>
      <c r="L7828" t="s">
        <v>4555</v>
      </c>
      <c r="M7828" s="2">
        <v>1262</v>
      </c>
      <c r="N7828" t="s">
        <v>5280</v>
      </c>
      <c r="O7828">
        <v>3</v>
      </c>
      <c r="P7828">
        <v>2</v>
      </c>
      <c r="Q7828">
        <v>0</v>
      </c>
      <c r="R7828" t="s">
        <v>4557</v>
      </c>
      <c r="S7828" t="s">
        <v>4135</v>
      </c>
      <c r="T7828" t="s">
        <v>4559</v>
      </c>
      <c r="U7828" t="s">
        <v>4560</v>
      </c>
      <c r="V7828" s="2">
        <v>389</v>
      </c>
      <c r="W7828" t="s">
        <v>4655</v>
      </c>
      <c r="X7828" s="2">
        <v>0</v>
      </c>
      <c r="Y7828">
        <v>20</v>
      </c>
      <c r="Z7828" t="s">
        <v>5508</v>
      </c>
      <c r="AA7828" s="3">
        <v>0.31189164519309998</v>
      </c>
      <c r="AB7828" t="s">
        <v>36270</v>
      </c>
      <c r="AC7828" t="s">
        <v>4562</v>
      </c>
      <c r="AD7828" t="s">
        <v>36271</v>
      </c>
      <c r="AE7828" t="s">
        <v>4655</v>
      </c>
      <c r="AF7828" t="s">
        <v>4563</v>
      </c>
      <c r="AG7828" t="s">
        <v>4564</v>
      </c>
      <c r="AH7828" t="s">
        <v>1147</v>
      </c>
      <c r="AI7828" t="s">
        <v>36272</v>
      </c>
      <c r="AJ7828" t="s">
        <v>3002</v>
      </c>
      <c r="AK7828" t="s">
        <v>36273</v>
      </c>
      <c r="AL7828" s="13" t="s">
        <v>1892</v>
      </c>
      <c r="AM7828">
        <v>1</v>
      </c>
      <c r="AN7828" s="15" t="s">
        <v>32</v>
      </c>
    </row>
    <row r="7829" spans="1:40" x14ac:dyDescent="0.3">
      <c r="A7829" s="10" t="str">
        <f>HYPERLINK("http://www.washoecounty.gov/assessor/cama/?parid=530-502-10&amp;CardNumber=1","530-502-10")</f>
        <v>530-502-10</v>
      </c>
      <c r="B7829" t="s">
        <v>4655</v>
      </c>
      <c r="C7829" t="s">
        <v>36274</v>
      </c>
      <c r="D7829" s="1">
        <v>40186</v>
      </c>
      <c r="E7829" s="2">
        <v>135000</v>
      </c>
      <c r="F7829" t="s">
        <v>4553</v>
      </c>
      <c r="G7829" s="17" t="str">
        <f>HYPERLINK("https://www.washoecounty.gov/assessor/cama/?command=sales&amp;parid=53050210","3837518")</f>
        <v>3837518</v>
      </c>
      <c r="H7829" t="s">
        <v>3366</v>
      </c>
      <c r="I7829">
        <v>2001</v>
      </c>
      <c r="J7829">
        <v>2001</v>
      </c>
      <c r="K7829" t="s">
        <v>4554</v>
      </c>
      <c r="L7829" t="s">
        <v>4555</v>
      </c>
      <c r="M7829" s="2">
        <v>1262</v>
      </c>
      <c r="N7829" t="s">
        <v>5280</v>
      </c>
      <c r="O7829">
        <v>3</v>
      </c>
      <c r="P7829">
        <v>2</v>
      </c>
      <c r="Q7829">
        <v>0</v>
      </c>
      <c r="R7829" t="s">
        <v>4557</v>
      </c>
      <c r="S7829" t="s">
        <v>4558</v>
      </c>
      <c r="T7829" t="s">
        <v>4559</v>
      </c>
      <c r="U7829" t="s">
        <v>4560</v>
      </c>
      <c r="V7829" s="2">
        <v>389</v>
      </c>
      <c r="W7829" t="s">
        <v>4655</v>
      </c>
      <c r="X7829" s="2">
        <v>0</v>
      </c>
      <c r="Y7829">
        <v>20</v>
      </c>
      <c r="Z7829" t="s">
        <v>5508</v>
      </c>
      <c r="AA7829" s="3">
        <v>0.299127638339996</v>
      </c>
      <c r="AB7829" t="s">
        <v>36275</v>
      </c>
      <c r="AC7829" t="s">
        <v>4562</v>
      </c>
      <c r="AD7829" t="s">
        <v>36274</v>
      </c>
      <c r="AE7829" t="s">
        <v>4655</v>
      </c>
      <c r="AF7829" t="s">
        <v>5201</v>
      </c>
      <c r="AG7829" t="s">
        <v>4564</v>
      </c>
      <c r="AH7829" t="s">
        <v>1605</v>
      </c>
      <c r="AI7829" t="s">
        <v>4045</v>
      </c>
      <c r="AJ7829" t="s">
        <v>3002</v>
      </c>
      <c r="AK7829" t="s">
        <v>36276</v>
      </c>
      <c r="AL7829" s="13" t="s">
        <v>1892</v>
      </c>
      <c r="AM7829">
        <v>1</v>
      </c>
      <c r="AN7829" s="15" t="s">
        <v>32</v>
      </c>
    </row>
    <row r="7830" spans="1:40" x14ac:dyDescent="0.3">
      <c r="A7830" s="10" t="str">
        <f>HYPERLINK("http://www.washoecounty.gov/assessor/cama/?parid=530-511-02&amp;CardNumber=1","530-511-02")</f>
        <v>530-511-02</v>
      </c>
      <c r="B7830" t="s">
        <v>4655</v>
      </c>
      <c r="C7830" t="s">
        <v>36277</v>
      </c>
      <c r="D7830" s="1">
        <v>40535</v>
      </c>
      <c r="E7830" s="2">
        <v>130000</v>
      </c>
      <c r="F7830" t="s">
        <v>4567</v>
      </c>
      <c r="G7830" s="17" t="str">
        <f>HYPERLINK("https://www.washoecounty.gov/assessor/cama/?command=sales&amp;parid=53051102","3956678")</f>
        <v>3956678</v>
      </c>
      <c r="H7830" t="s">
        <v>36278</v>
      </c>
      <c r="I7830">
        <v>2002</v>
      </c>
      <c r="J7830">
        <v>2002</v>
      </c>
      <c r="K7830" t="s">
        <v>4554</v>
      </c>
      <c r="L7830" t="s">
        <v>4555</v>
      </c>
      <c r="M7830" s="2">
        <v>1262</v>
      </c>
      <c r="N7830" t="s">
        <v>5280</v>
      </c>
      <c r="O7830">
        <v>3</v>
      </c>
      <c r="P7830">
        <v>2</v>
      </c>
      <c r="Q7830">
        <v>0</v>
      </c>
      <c r="R7830" t="s">
        <v>4557</v>
      </c>
      <c r="S7830" t="s">
        <v>4558</v>
      </c>
      <c r="T7830" t="s">
        <v>4559</v>
      </c>
      <c r="U7830" t="s">
        <v>4560</v>
      </c>
      <c r="V7830" s="2">
        <v>389</v>
      </c>
      <c r="W7830" t="s">
        <v>4655</v>
      </c>
      <c r="X7830" s="2">
        <v>0</v>
      </c>
      <c r="Y7830">
        <v>20</v>
      </c>
      <c r="Z7830" t="s">
        <v>5508</v>
      </c>
      <c r="AA7830" s="3">
        <v>0.28399908542633101</v>
      </c>
      <c r="AB7830" t="s">
        <v>36279</v>
      </c>
      <c r="AC7830" t="s">
        <v>4562</v>
      </c>
      <c r="AD7830" t="s">
        <v>36277</v>
      </c>
      <c r="AE7830" t="s">
        <v>4655</v>
      </c>
      <c r="AF7830" t="s">
        <v>5201</v>
      </c>
      <c r="AG7830" t="s">
        <v>4564</v>
      </c>
      <c r="AH7830" t="s">
        <v>1605</v>
      </c>
      <c r="AI7830" t="s">
        <v>36280</v>
      </c>
      <c r="AJ7830" t="s">
        <v>2573</v>
      </c>
      <c r="AK7830" t="s">
        <v>36281</v>
      </c>
      <c r="AL7830" s="13" t="s">
        <v>1892</v>
      </c>
      <c r="AM7830">
        <v>1</v>
      </c>
      <c r="AN7830" s="15" t="s">
        <v>32</v>
      </c>
    </row>
    <row r="7831" spans="1:40" x14ac:dyDescent="0.3">
      <c r="A7831" s="10" t="str">
        <f>HYPERLINK("http://www.washoecounty.gov/assessor/cama/?parid=530-512-04&amp;CardNumber=1","530-512-04")</f>
        <v>530-512-04</v>
      </c>
      <c r="B7831" t="s">
        <v>4655</v>
      </c>
      <c r="C7831" t="s">
        <v>36282</v>
      </c>
      <c r="D7831" s="1">
        <v>40256</v>
      </c>
      <c r="E7831" s="2">
        <v>145000</v>
      </c>
      <c r="F7831" t="s">
        <v>4553</v>
      </c>
      <c r="G7831" s="17" t="str">
        <f>HYPERLINK("https://www.washoecounty.gov/assessor/cama/?command=sales&amp;parid=53051204","3861440")</f>
        <v>3861440</v>
      </c>
      <c r="H7831" t="s">
        <v>3908</v>
      </c>
      <c r="I7831">
        <v>2002</v>
      </c>
      <c r="J7831">
        <v>2002</v>
      </c>
      <c r="K7831" t="s">
        <v>4554</v>
      </c>
      <c r="L7831" t="s">
        <v>4555</v>
      </c>
      <c r="M7831" s="2">
        <v>1439</v>
      </c>
      <c r="N7831" t="s">
        <v>5280</v>
      </c>
      <c r="O7831">
        <v>3</v>
      </c>
      <c r="P7831">
        <v>2</v>
      </c>
      <c r="Q7831">
        <v>0</v>
      </c>
      <c r="R7831" t="s">
        <v>4557</v>
      </c>
      <c r="S7831" t="s">
        <v>4135</v>
      </c>
      <c r="T7831" t="s">
        <v>4559</v>
      </c>
      <c r="U7831" t="s">
        <v>4560</v>
      </c>
      <c r="V7831" s="2">
        <v>400</v>
      </c>
      <c r="W7831" t="s">
        <v>4655</v>
      </c>
      <c r="X7831" s="2">
        <v>0</v>
      </c>
      <c r="Y7831">
        <v>20</v>
      </c>
      <c r="Z7831" t="s">
        <v>5508</v>
      </c>
      <c r="AA7831" s="3">
        <v>0.30300733447074901</v>
      </c>
      <c r="AB7831" t="s">
        <v>36283</v>
      </c>
      <c r="AC7831" t="s">
        <v>4562</v>
      </c>
      <c r="AD7831" t="s">
        <v>36282</v>
      </c>
      <c r="AE7831" t="s">
        <v>4655</v>
      </c>
      <c r="AF7831" t="s">
        <v>5201</v>
      </c>
      <c r="AG7831" t="s">
        <v>4564</v>
      </c>
      <c r="AH7831" t="s">
        <v>1605</v>
      </c>
      <c r="AI7831" t="s">
        <v>4145</v>
      </c>
      <c r="AJ7831" t="s">
        <v>2573</v>
      </c>
      <c r="AK7831" t="s">
        <v>36284</v>
      </c>
      <c r="AL7831" s="13" t="s">
        <v>1892</v>
      </c>
      <c r="AM7831" s="14">
        <v>1</v>
      </c>
      <c r="AN7831" s="15" t="s">
        <v>32</v>
      </c>
    </row>
    <row r="7832" spans="1:40" x14ac:dyDescent="0.3">
      <c r="A7832" s="10" t="str">
        <f>HYPERLINK("http://www.washoecounty.gov/assessor/cama/?parid=530-523-03&amp;CardNumber=1","530-523-03")</f>
        <v>530-523-03</v>
      </c>
      <c r="B7832" t="s">
        <v>4655</v>
      </c>
      <c r="C7832" t="s">
        <v>36285</v>
      </c>
      <c r="D7832" s="1">
        <v>40505</v>
      </c>
      <c r="E7832" s="2">
        <v>183255</v>
      </c>
      <c r="F7832" t="s">
        <v>4553</v>
      </c>
      <c r="G7832" s="17" t="str">
        <f>HYPERLINK("https://www.washoecounty.gov/assessor/cama/?command=sales&amp;parid=53052303","3946226")</f>
        <v>3946226</v>
      </c>
      <c r="H7832" t="s">
        <v>1639</v>
      </c>
      <c r="I7832">
        <v>2002</v>
      </c>
      <c r="J7832">
        <v>2002</v>
      </c>
      <c r="K7832" t="s">
        <v>4554</v>
      </c>
      <c r="L7832" t="s">
        <v>4555</v>
      </c>
      <c r="M7832" s="2">
        <v>2114</v>
      </c>
      <c r="N7832" t="s">
        <v>4048</v>
      </c>
      <c r="O7832">
        <v>4</v>
      </c>
      <c r="P7832">
        <v>2</v>
      </c>
      <c r="Q7832">
        <v>0</v>
      </c>
      <c r="R7832" t="s">
        <v>5281</v>
      </c>
      <c r="S7832" t="s">
        <v>4558</v>
      </c>
      <c r="T7832" t="s">
        <v>4559</v>
      </c>
      <c r="U7832" t="s">
        <v>4560</v>
      </c>
      <c r="V7832" s="2">
        <v>656</v>
      </c>
      <c r="W7832" t="s">
        <v>4655</v>
      </c>
      <c r="X7832" s="2">
        <v>0</v>
      </c>
      <c r="Y7832">
        <v>20</v>
      </c>
      <c r="Z7832" t="s">
        <v>5508</v>
      </c>
      <c r="AA7832" s="3">
        <v>0.314003676176071</v>
      </c>
      <c r="AB7832" t="s">
        <v>36286</v>
      </c>
      <c r="AC7832" t="s">
        <v>4562</v>
      </c>
      <c r="AD7832" t="s">
        <v>36285</v>
      </c>
      <c r="AE7832" t="s">
        <v>4655</v>
      </c>
      <c r="AF7832" t="s">
        <v>4809</v>
      </c>
      <c r="AG7832" t="s">
        <v>4564</v>
      </c>
      <c r="AH7832" t="s">
        <v>1350</v>
      </c>
      <c r="AI7832" t="s">
        <v>4045</v>
      </c>
      <c r="AJ7832" t="s">
        <v>1640</v>
      </c>
      <c r="AK7832" t="s">
        <v>36287</v>
      </c>
      <c r="AL7832" s="13" t="s">
        <v>1892</v>
      </c>
      <c r="AM7832" s="14">
        <v>1</v>
      </c>
      <c r="AN7832" s="15" t="s">
        <v>2504</v>
      </c>
    </row>
    <row r="7833" spans="1:40" x14ac:dyDescent="0.3">
      <c r="A7833" s="10" t="str">
        <f>HYPERLINK("http://www.washoecounty.gov/assessor/cama/?parid=530-531-04&amp;CardNumber=1","530-531-04")</f>
        <v>530-531-04</v>
      </c>
      <c r="B7833" t="s">
        <v>4655</v>
      </c>
      <c r="C7833" t="s">
        <v>36288</v>
      </c>
      <c r="D7833" s="1">
        <v>40344</v>
      </c>
      <c r="E7833" s="2">
        <v>197000</v>
      </c>
      <c r="F7833" t="s">
        <v>4553</v>
      </c>
      <c r="G7833" s="17" t="str">
        <f>HYPERLINK("https://www.washoecounty.gov/assessor/cama/?command=sales&amp;parid=53053104","3892120")</f>
        <v>3892120</v>
      </c>
      <c r="H7833" t="s">
        <v>1639</v>
      </c>
      <c r="I7833">
        <v>2002</v>
      </c>
      <c r="J7833">
        <v>2002</v>
      </c>
      <c r="K7833" t="s">
        <v>4554</v>
      </c>
      <c r="L7833" t="s">
        <v>4555</v>
      </c>
      <c r="M7833" s="2">
        <v>2030</v>
      </c>
      <c r="N7833" t="s">
        <v>4048</v>
      </c>
      <c r="O7833">
        <v>3</v>
      </c>
      <c r="P7833">
        <v>2</v>
      </c>
      <c r="Q7833">
        <v>0</v>
      </c>
      <c r="R7833" t="s">
        <v>5281</v>
      </c>
      <c r="S7833" t="s">
        <v>4558</v>
      </c>
      <c r="T7833" t="s">
        <v>4559</v>
      </c>
      <c r="U7833" t="s">
        <v>4560</v>
      </c>
      <c r="V7833" s="2">
        <v>636</v>
      </c>
      <c r="W7833" t="s">
        <v>4655</v>
      </c>
      <c r="X7833" s="2">
        <v>0</v>
      </c>
      <c r="Y7833">
        <v>20</v>
      </c>
      <c r="Z7833" t="s">
        <v>5508</v>
      </c>
      <c r="AA7833" s="3">
        <v>0.36701101064682001</v>
      </c>
      <c r="AB7833" t="s">
        <v>36289</v>
      </c>
      <c r="AC7833" t="s">
        <v>4562</v>
      </c>
      <c r="AD7833" t="s">
        <v>36288</v>
      </c>
      <c r="AE7833" t="s">
        <v>4655</v>
      </c>
      <c r="AF7833" t="s">
        <v>4809</v>
      </c>
      <c r="AG7833" t="s">
        <v>4564</v>
      </c>
      <c r="AH7833" t="s">
        <v>1350</v>
      </c>
      <c r="AI7833" t="s">
        <v>4503</v>
      </c>
      <c r="AJ7833" t="s">
        <v>1640</v>
      </c>
      <c r="AK7833" t="s">
        <v>36290</v>
      </c>
      <c r="AL7833" s="13" t="s">
        <v>1892</v>
      </c>
      <c r="AM7833">
        <v>1</v>
      </c>
      <c r="AN7833" s="15" t="s">
        <v>2504</v>
      </c>
    </row>
    <row r="7834" spans="1:40" x14ac:dyDescent="0.3">
      <c r="A7834" s="10" t="str">
        <f>HYPERLINK("http://www.washoecounty.gov/assessor/cama/?parid=530-531-05&amp;CardNumber=1","530-531-05")</f>
        <v>530-531-05</v>
      </c>
      <c r="B7834" t="s">
        <v>4655</v>
      </c>
      <c r="C7834" t="s">
        <v>36291</v>
      </c>
      <c r="D7834" s="1">
        <v>40284</v>
      </c>
      <c r="E7834" s="2">
        <v>200750</v>
      </c>
      <c r="F7834" t="s">
        <v>4553</v>
      </c>
      <c r="G7834" s="17" t="str">
        <f>HYPERLINK("https://www.washoecounty.gov/assessor/cama/?command=sales&amp;parid=53053105","3871933")</f>
        <v>3871933</v>
      </c>
      <c r="H7834" t="s">
        <v>1639</v>
      </c>
      <c r="I7834">
        <v>2002</v>
      </c>
      <c r="J7834">
        <v>2002</v>
      </c>
      <c r="K7834" t="s">
        <v>4554</v>
      </c>
      <c r="L7834" t="s">
        <v>4555</v>
      </c>
      <c r="M7834" s="2">
        <v>2356</v>
      </c>
      <c r="N7834" t="s">
        <v>4048</v>
      </c>
      <c r="O7834">
        <v>4</v>
      </c>
      <c r="P7834">
        <v>3</v>
      </c>
      <c r="Q7834">
        <v>0</v>
      </c>
      <c r="R7834" t="s">
        <v>4557</v>
      </c>
      <c r="S7834" t="s">
        <v>4558</v>
      </c>
      <c r="T7834" t="s">
        <v>4559</v>
      </c>
      <c r="U7834" t="s">
        <v>4560</v>
      </c>
      <c r="V7834" s="2">
        <v>676</v>
      </c>
      <c r="W7834" t="s">
        <v>4655</v>
      </c>
      <c r="X7834" s="2">
        <v>0</v>
      </c>
      <c r="Y7834">
        <v>20</v>
      </c>
      <c r="Z7834" t="s">
        <v>5508</v>
      </c>
      <c r="AA7834" s="3">
        <v>0.33399906754493702</v>
      </c>
      <c r="AB7834" t="s">
        <v>36292</v>
      </c>
      <c r="AC7834" t="s">
        <v>4562</v>
      </c>
      <c r="AD7834" t="s">
        <v>36293</v>
      </c>
      <c r="AE7834" t="s">
        <v>4655</v>
      </c>
      <c r="AF7834" t="s">
        <v>4809</v>
      </c>
      <c r="AG7834" t="s">
        <v>4564</v>
      </c>
      <c r="AH7834" t="s">
        <v>1605</v>
      </c>
      <c r="AI7834" t="s">
        <v>2009</v>
      </c>
      <c r="AJ7834" t="s">
        <v>1640</v>
      </c>
      <c r="AK7834" t="s">
        <v>36294</v>
      </c>
      <c r="AL7834" s="13" t="s">
        <v>1892</v>
      </c>
      <c r="AM7834">
        <v>1</v>
      </c>
      <c r="AN7834" s="15" t="s">
        <v>2504</v>
      </c>
    </row>
    <row r="7835" spans="1:40" x14ac:dyDescent="0.3">
      <c r="A7835" s="10" t="str">
        <f>HYPERLINK("http://www.washoecounty.gov/assessor/cama/?parid=530-531-11&amp;CardNumber=1","530-531-11")</f>
        <v>530-531-11</v>
      </c>
      <c r="B7835" t="s">
        <v>4655</v>
      </c>
      <c r="C7835" t="s">
        <v>36295</v>
      </c>
      <c r="D7835" s="1">
        <v>40318</v>
      </c>
      <c r="E7835" s="2">
        <v>215000</v>
      </c>
      <c r="F7835" t="s">
        <v>4567</v>
      </c>
      <c r="G7835" s="17" t="str">
        <f>HYPERLINK("https://www.washoecounty.gov/assessor/cama/?command=sales&amp;parid=53053111","3883390")</f>
        <v>3883390</v>
      </c>
      <c r="H7835" t="s">
        <v>1639</v>
      </c>
      <c r="I7835">
        <v>2002</v>
      </c>
      <c r="J7835">
        <v>2002</v>
      </c>
      <c r="K7835" t="s">
        <v>4554</v>
      </c>
      <c r="L7835" t="s">
        <v>4555</v>
      </c>
      <c r="M7835" s="2">
        <v>2679</v>
      </c>
      <c r="N7835" t="s">
        <v>4048</v>
      </c>
      <c r="O7835">
        <v>5</v>
      </c>
      <c r="P7835">
        <v>3</v>
      </c>
      <c r="Q7835">
        <v>0</v>
      </c>
      <c r="R7835" t="s">
        <v>4557</v>
      </c>
      <c r="S7835" t="s">
        <v>4558</v>
      </c>
      <c r="T7835" t="s">
        <v>4559</v>
      </c>
      <c r="U7835" t="s">
        <v>4560</v>
      </c>
      <c r="V7835" s="2">
        <v>736</v>
      </c>
      <c r="W7835" t="s">
        <v>4655</v>
      </c>
      <c r="X7835" s="2">
        <v>0</v>
      </c>
      <c r="Y7835">
        <v>20</v>
      </c>
      <c r="Z7835" t="s">
        <v>5508</v>
      </c>
      <c r="AA7835" s="3">
        <v>0.33000460267067</v>
      </c>
      <c r="AB7835" t="s">
        <v>36296</v>
      </c>
      <c r="AC7835" t="s">
        <v>4575</v>
      </c>
      <c r="AD7835" t="s">
        <v>36295</v>
      </c>
      <c r="AE7835" t="s">
        <v>4655</v>
      </c>
      <c r="AF7835" t="s">
        <v>5201</v>
      </c>
      <c r="AG7835" t="s">
        <v>4564</v>
      </c>
      <c r="AH7835" t="s">
        <v>1350</v>
      </c>
      <c r="AI7835" t="s">
        <v>36297</v>
      </c>
      <c r="AJ7835" t="s">
        <v>1640</v>
      </c>
      <c r="AK7835" t="s">
        <v>36298</v>
      </c>
      <c r="AL7835" s="13" t="s">
        <v>1892</v>
      </c>
      <c r="AM7835">
        <v>1</v>
      </c>
      <c r="AN7835" s="15" t="s">
        <v>2504</v>
      </c>
    </row>
    <row r="7836" spans="1:40" x14ac:dyDescent="0.3">
      <c r="A7836" s="10" t="str">
        <f>HYPERLINK("http://www.washoecounty.gov/assessor/cama/?parid=530-532-04&amp;CardNumber=1","530-532-04")</f>
        <v>530-532-04</v>
      </c>
      <c r="B7836" t="s">
        <v>4655</v>
      </c>
      <c r="C7836" t="s">
        <v>36299</v>
      </c>
      <c r="D7836" s="1">
        <v>40344</v>
      </c>
      <c r="E7836" s="2">
        <v>202000</v>
      </c>
      <c r="F7836" t="s">
        <v>4553</v>
      </c>
      <c r="G7836" s="17" t="str">
        <f>HYPERLINK("https://www.washoecounty.gov/assessor/cama/?command=sales&amp;parid=53053204","3891781")</f>
        <v>3891781</v>
      </c>
      <c r="H7836" t="s">
        <v>1639</v>
      </c>
      <c r="I7836">
        <v>2002</v>
      </c>
      <c r="J7836">
        <v>2002</v>
      </c>
      <c r="K7836" t="s">
        <v>4554</v>
      </c>
      <c r="L7836" t="s">
        <v>4555</v>
      </c>
      <c r="M7836" s="2">
        <v>1775</v>
      </c>
      <c r="N7836" t="s">
        <v>4048</v>
      </c>
      <c r="O7836">
        <v>3</v>
      </c>
      <c r="P7836">
        <v>2</v>
      </c>
      <c r="Q7836">
        <v>0</v>
      </c>
      <c r="R7836" t="s">
        <v>4557</v>
      </c>
      <c r="S7836" t="s">
        <v>4558</v>
      </c>
      <c r="T7836" t="s">
        <v>4559</v>
      </c>
      <c r="U7836" t="s">
        <v>4560</v>
      </c>
      <c r="V7836" s="2">
        <v>653</v>
      </c>
      <c r="W7836" t="s">
        <v>4655</v>
      </c>
      <c r="X7836" s="2">
        <v>0</v>
      </c>
      <c r="Y7836">
        <v>20</v>
      </c>
      <c r="Z7836" t="s">
        <v>5508</v>
      </c>
      <c r="AA7836" s="3">
        <v>0.28900367021560702</v>
      </c>
      <c r="AB7836" t="s">
        <v>36300</v>
      </c>
      <c r="AC7836" t="s">
        <v>4562</v>
      </c>
      <c r="AD7836" t="s">
        <v>36301</v>
      </c>
      <c r="AE7836" t="s">
        <v>4655</v>
      </c>
      <c r="AF7836" t="s">
        <v>2345</v>
      </c>
      <c r="AG7836" t="s">
        <v>4584</v>
      </c>
      <c r="AH7836">
        <v>91040</v>
      </c>
      <c r="AI7836" t="s">
        <v>4903</v>
      </c>
      <c r="AJ7836" t="s">
        <v>1640</v>
      </c>
      <c r="AK7836" t="s">
        <v>36302</v>
      </c>
      <c r="AL7836" s="13" t="s">
        <v>1892</v>
      </c>
      <c r="AM7836">
        <v>1</v>
      </c>
      <c r="AN7836" s="15" t="s">
        <v>2504</v>
      </c>
    </row>
    <row r="7837" spans="1:40" x14ac:dyDescent="0.3">
      <c r="A7837" s="10" t="str">
        <f>HYPERLINK("http://www.washoecounty.gov/assessor/cama/?parid=530-533-01&amp;CardNumber=1","530-533-01")</f>
        <v>530-533-01</v>
      </c>
      <c r="B7837" t="s">
        <v>4655</v>
      </c>
      <c r="C7837" t="s">
        <v>36303</v>
      </c>
      <c r="D7837" s="1">
        <v>40407</v>
      </c>
      <c r="E7837" s="2">
        <v>220000</v>
      </c>
      <c r="F7837" t="s">
        <v>4567</v>
      </c>
      <c r="G7837" s="17" t="str">
        <f>HYPERLINK("https://www.washoecounty.gov/assessor/cama/?command=sales&amp;parid=53053301","3912696")</f>
        <v>3912696</v>
      </c>
      <c r="H7837" t="s">
        <v>1639</v>
      </c>
      <c r="I7837">
        <v>2002</v>
      </c>
      <c r="J7837">
        <v>2002</v>
      </c>
      <c r="K7837" t="s">
        <v>4554</v>
      </c>
      <c r="L7837" t="s">
        <v>4555</v>
      </c>
      <c r="M7837" s="2">
        <v>2114</v>
      </c>
      <c r="N7837" t="s">
        <v>4048</v>
      </c>
      <c r="O7837">
        <v>4</v>
      </c>
      <c r="P7837">
        <v>2</v>
      </c>
      <c r="Q7837">
        <v>0</v>
      </c>
      <c r="R7837" t="s">
        <v>5281</v>
      </c>
      <c r="S7837" t="s">
        <v>4558</v>
      </c>
      <c r="T7837" t="s">
        <v>4559</v>
      </c>
      <c r="U7837" t="s">
        <v>4560</v>
      </c>
      <c r="V7837" s="2">
        <v>656</v>
      </c>
      <c r="W7837" t="s">
        <v>4655</v>
      </c>
      <c r="X7837" s="2">
        <v>0</v>
      </c>
      <c r="Y7837">
        <v>20</v>
      </c>
      <c r="Z7837" t="s">
        <v>5508</v>
      </c>
      <c r="AA7837" s="3">
        <v>0.31999540328979498</v>
      </c>
      <c r="AB7837" t="s">
        <v>36304</v>
      </c>
      <c r="AC7837" t="s">
        <v>4575</v>
      </c>
      <c r="AD7837" t="s">
        <v>36305</v>
      </c>
      <c r="AE7837" t="s">
        <v>36306</v>
      </c>
      <c r="AF7837" t="s">
        <v>4809</v>
      </c>
      <c r="AG7837" t="s">
        <v>4564</v>
      </c>
      <c r="AH7837" t="s">
        <v>1350</v>
      </c>
      <c r="AI7837" t="s">
        <v>36307</v>
      </c>
      <c r="AJ7837" t="s">
        <v>1640</v>
      </c>
      <c r="AK7837" t="s">
        <v>36308</v>
      </c>
      <c r="AL7837" s="13" t="s">
        <v>1892</v>
      </c>
      <c r="AM7837">
        <v>1</v>
      </c>
      <c r="AN7837" s="15" t="s">
        <v>2504</v>
      </c>
    </row>
    <row r="7838" spans="1:40" x14ac:dyDescent="0.3">
      <c r="A7838" s="10" t="str">
        <f>HYPERLINK("http://www.washoecounty.gov/assessor/cama/?parid=530-541-03&amp;CardNumber=1","530-541-03")</f>
        <v>530-541-03</v>
      </c>
      <c r="B7838" t="s">
        <v>4655</v>
      </c>
      <c r="C7838" t="s">
        <v>36309</v>
      </c>
      <c r="D7838" s="1">
        <v>40350</v>
      </c>
      <c r="E7838" s="2">
        <v>195000</v>
      </c>
      <c r="F7838" t="s">
        <v>4567</v>
      </c>
      <c r="G7838" s="17" t="str">
        <f>HYPERLINK("https://www.washoecounty.gov/assessor/cama/?command=sales&amp;parid=53054103","3893827")</f>
        <v>3893827</v>
      </c>
      <c r="H7838" t="s">
        <v>1639</v>
      </c>
      <c r="I7838">
        <v>2002</v>
      </c>
      <c r="J7838">
        <v>2002</v>
      </c>
      <c r="K7838" t="s">
        <v>4554</v>
      </c>
      <c r="L7838" t="s">
        <v>4555</v>
      </c>
      <c r="M7838" s="2">
        <v>1496</v>
      </c>
      <c r="N7838" t="s">
        <v>4048</v>
      </c>
      <c r="O7838">
        <v>3</v>
      </c>
      <c r="P7838">
        <v>2</v>
      </c>
      <c r="Q7838">
        <v>0</v>
      </c>
      <c r="R7838" t="s">
        <v>4557</v>
      </c>
      <c r="S7838" t="s">
        <v>4558</v>
      </c>
      <c r="T7838" t="s">
        <v>4559</v>
      </c>
      <c r="U7838" t="s">
        <v>162</v>
      </c>
      <c r="V7838" s="2">
        <v>1280</v>
      </c>
      <c r="W7838" t="s">
        <v>4655</v>
      </c>
      <c r="X7838" s="2">
        <v>0</v>
      </c>
      <c r="Y7838">
        <v>20</v>
      </c>
      <c r="Z7838" t="s">
        <v>5508</v>
      </c>
      <c r="AA7838" s="3">
        <v>0.34699264168739319</v>
      </c>
      <c r="AB7838" t="s">
        <v>36310</v>
      </c>
      <c r="AC7838" t="s">
        <v>4562</v>
      </c>
      <c r="AD7838" t="s">
        <v>36309</v>
      </c>
      <c r="AE7838" t="s">
        <v>4655</v>
      </c>
      <c r="AF7838" t="s">
        <v>5201</v>
      </c>
      <c r="AG7838" t="s">
        <v>4564</v>
      </c>
      <c r="AH7838" t="s">
        <v>1350</v>
      </c>
      <c r="AI7838" t="s">
        <v>36311</v>
      </c>
      <c r="AJ7838" t="s">
        <v>1640</v>
      </c>
      <c r="AK7838" t="s">
        <v>36312</v>
      </c>
      <c r="AL7838" s="13" t="s">
        <v>1892</v>
      </c>
      <c r="AM7838" s="14">
        <v>1</v>
      </c>
      <c r="AN7838" s="15" t="s">
        <v>2504</v>
      </c>
    </row>
    <row r="7839" spans="1:40" x14ac:dyDescent="0.3">
      <c r="A7839" s="10" t="str">
        <f>HYPERLINK("http://www.washoecounty.gov/assessor/cama/?parid=530-552-04&amp;CardNumber=1","530-552-04")</f>
        <v>530-552-04</v>
      </c>
      <c r="B7839" t="s">
        <v>4655</v>
      </c>
      <c r="C7839" t="s">
        <v>36313</v>
      </c>
      <c r="D7839" s="1">
        <v>40534</v>
      </c>
      <c r="E7839" s="2">
        <v>157000</v>
      </c>
      <c r="F7839" t="s">
        <v>4567</v>
      </c>
      <c r="G7839" s="17" t="str">
        <f>HYPERLINK("https://www.washoecounty.gov/assessor/cama/?command=sales&amp;parid=53055204","3956134")</f>
        <v>3956134</v>
      </c>
      <c r="H7839" t="s">
        <v>3961</v>
      </c>
      <c r="I7839">
        <v>2002</v>
      </c>
      <c r="J7839">
        <v>2002</v>
      </c>
      <c r="K7839" t="s">
        <v>4554</v>
      </c>
      <c r="L7839" t="s">
        <v>4555</v>
      </c>
      <c r="M7839" s="2">
        <v>1439</v>
      </c>
      <c r="N7839" t="s">
        <v>5280</v>
      </c>
      <c r="O7839">
        <v>3</v>
      </c>
      <c r="P7839">
        <v>2</v>
      </c>
      <c r="Q7839">
        <v>0</v>
      </c>
      <c r="R7839" t="s">
        <v>4557</v>
      </c>
      <c r="S7839" t="s">
        <v>4558</v>
      </c>
      <c r="T7839" t="s">
        <v>4559</v>
      </c>
      <c r="U7839" t="s">
        <v>4560</v>
      </c>
      <c r="V7839" s="2">
        <v>590</v>
      </c>
      <c r="W7839" t="s">
        <v>4655</v>
      </c>
      <c r="X7839" s="2">
        <v>0</v>
      </c>
      <c r="Y7839">
        <v>20</v>
      </c>
      <c r="Z7839" t="s">
        <v>5508</v>
      </c>
      <c r="AA7839" s="3">
        <v>0.45101010799407998</v>
      </c>
      <c r="AB7839" t="s">
        <v>36314</v>
      </c>
      <c r="AC7839" t="s">
        <v>4562</v>
      </c>
      <c r="AD7839" t="s">
        <v>36315</v>
      </c>
      <c r="AE7839" t="s">
        <v>4655</v>
      </c>
      <c r="AF7839" t="s">
        <v>5499</v>
      </c>
      <c r="AG7839" t="s">
        <v>4564</v>
      </c>
      <c r="AH7839" t="s">
        <v>1605</v>
      </c>
      <c r="AI7839" t="s">
        <v>36316</v>
      </c>
      <c r="AJ7839" t="s">
        <v>3962</v>
      </c>
      <c r="AK7839" t="s">
        <v>36317</v>
      </c>
      <c r="AL7839" s="13" t="s">
        <v>1892</v>
      </c>
      <c r="AM7839" s="14">
        <v>1</v>
      </c>
      <c r="AN7839" s="15" t="s">
        <v>32</v>
      </c>
    </row>
    <row r="7840" spans="1:40" x14ac:dyDescent="0.3">
      <c r="A7840" s="10" t="str">
        <f>HYPERLINK("http://www.washoecounty.gov/assessor/cama/?parid=530-563-04&amp;CardNumber=1","530-563-04")</f>
        <v>530-563-04</v>
      </c>
      <c r="B7840" t="s">
        <v>4655</v>
      </c>
      <c r="C7840" t="s">
        <v>36318</v>
      </c>
      <c r="D7840" s="1">
        <v>40345</v>
      </c>
      <c r="E7840" s="2">
        <v>165000</v>
      </c>
      <c r="F7840" t="s">
        <v>4567</v>
      </c>
      <c r="G7840" s="17" t="str">
        <f>HYPERLINK("https://www.washoecounty.gov/assessor/cama/?command=sales&amp;parid=53056304","3892307")</f>
        <v>3892307</v>
      </c>
      <c r="H7840" t="s">
        <v>3961</v>
      </c>
      <c r="I7840">
        <v>2002</v>
      </c>
      <c r="J7840">
        <v>2002</v>
      </c>
      <c r="K7840" t="s">
        <v>4554</v>
      </c>
      <c r="L7840" t="s">
        <v>4555</v>
      </c>
      <c r="M7840" s="2">
        <v>1597</v>
      </c>
      <c r="N7840" t="s">
        <v>5280</v>
      </c>
      <c r="O7840">
        <v>3</v>
      </c>
      <c r="P7840">
        <v>2</v>
      </c>
      <c r="Q7840">
        <v>0</v>
      </c>
      <c r="R7840" t="s">
        <v>4557</v>
      </c>
      <c r="S7840" t="s">
        <v>4558</v>
      </c>
      <c r="T7840" t="s">
        <v>4559</v>
      </c>
      <c r="U7840" t="s">
        <v>4560</v>
      </c>
      <c r="V7840" s="2">
        <v>664</v>
      </c>
      <c r="W7840" t="s">
        <v>4655</v>
      </c>
      <c r="X7840" s="2">
        <v>0</v>
      </c>
      <c r="Y7840">
        <v>20</v>
      </c>
      <c r="Z7840" t="s">
        <v>5508</v>
      </c>
      <c r="AA7840" s="3">
        <v>0.29898989200592002</v>
      </c>
      <c r="AB7840" t="s">
        <v>36319</v>
      </c>
      <c r="AC7840" t="s">
        <v>4562</v>
      </c>
      <c r="AD7840" t="s">
        <v>36320</v>
      </c>
      <c r="AE7840" t="s">
        <v>4655</v>
      </c>
      <c r="AF7840" t="s">
        <v>5201</v>
      </c>
      <c r="AG7840" t="s">
        <v>4564</v>
      </c>
      <c r="AH7840" t="s">
        <v>1605</v>
      </c>
      <c r="AI7840" t="s">
        <v>36321</v>
      </c>
      <c r="AJ7840" t="s">
        <v>3962</v>
      </c>
      <c r="AK7840" t="s">
        <v>36322</v>
      </c>
      <c r="AL7840" s="13" t="s">
        <v>1892</v>
      </c>
      <c r="AM7840" s="14">
        <v>1</v>
      </c>
      <c r="AN7840" s="15" t="s">
        <v>32</v>
      </c>
    </row>
    <row r="7841" spans="1:40" x14ac:dyDescent="0.3">
      <c r="A7841" s="10" t="str">
        <f>HYPERLINK("http://www.washoecounty.gov/assessor/cama/?parid=530-563-05&amp;CardNumber=1","530-563-05")</f>
        <v>530-563-05</v>
      </c>
      <c r="B7841" t="s">
        <v>4655</v>
      </c>
      <c r="C7841" t="s">
        <v>36323</v>
      </c>
      <c r="D7841" s="1">
        <v>40535</v>
      </c>
      <c r="E7841" s="2">
        <v>170000</v>
      </c>
      <c r="F7841" t="s">
        <v>4553</v>
      </c>
      <c r="G7841" s="17" t="str">
        <f>HYPERLINK("https://www.washoecounty.gov/assessor/cama/?command=sales&amp;parid=53056305","3956863")</f>
        <v>3956863</v>
      </c>
      <c r="H7841" t="s">
        <v>3961</v>
      </c>
      <c r="I7841">
        <v>2002</v>
      </c>
      <c r="J7841">
        <v>2002</v>
      </c>
      <c r="K7841" t="s">
        <v>4554</v>
      </c>
      <c r="L7841" t="s">
        <v>4555</v>
      </c>
      <c r="M7841" s="2">
        <v>1597</v>
      </c>
      <c r="N7841" t="s">
        <v>5280</v>
      </c>
      <c r="O7841">
        <v>3</v>
      </c>
      <c r="P7841">
        <v>2</v>
      </c>
      <c r="Q7841">
        <v>0</v>
      </c>
      <c r="R7841" t="s">
        <v>5281</v>
      </c>
      <c r="S7841" t="s">
        <v>4558</v>
      </c>
      <c r="T7841" t="s">
        <v>4559</v>
      </c>
      <c r="U7841" t="s">
        <v>4560</v>
      </c>
      <c r="V7841" s="2">
        <v>664</v>
      </c>
      <c r="W7841" t="s">
        <v>4655</v>
      </c>
      <c r="X7841" s="2">
        <v>0</v>
      </c>
      <c r="Y7841">
        <v>20</v>
      </c>
      <c r="Z7841" t="s">
        <v>5508</v>
      </c>
      <c r="AA7841" s="3">
        <v>0.31000918149948098</v>
      </c>
      <c r="AB7841" t="s">
        <v>36324</v>
      </c>
      <c r="AC7841" t="s">
        <v>4575</v>
      </c>
      <c r="AD7841" t="s">
        <v>36323</v>
      </c>
      <c r="AE7841" t="s">
        <v>4655</v>
      </c>
      <c r="AF7841" t="s">
        <v>5201</v>
      </c>
      <c r="AG7841" t="s">
        <v>4564</v>
      </c>
      <c r="AH7841" t="s">
        <v>1605</v>
      </c>
      <c r="AI7841" t="s">
        <v>4903</v>
      </c>
      <c r="AJ7841" t="s">
        <v>3962</v>
      </c>
      <c r="AK7841" t="s">
        <v>36325</v>
      </c>
      <c r="AL7841" s="13" t="s">
        <v>1892</v>
      </c>
      <c r="AM7841" s="14">
        <v>1</v>
      </c>
      <c r="AN7841" s="15" t="s">
        <v>32</v>
      </c>
    </row>
    <row r="7842" spans="1:40" x14ac:dyDescent="0.3">
      <c r="A7842" s="10" t="str">
        <f>HYPERLINK("http://www.washoecounty.gov/assessor/cama/?parid=530-563-10&amp;CardNumber=1","530-563-10")</f>
        <v>530-563-10</v>
      </c>
      <c r="B7842" t="s">
        <v>4655</v>
      </c>
      <c r="C7842" t="s">
        <v>36326</v>
      </c>
      <c r="D7842" s="1">
        <v>40429</v>
      </c>
      <c r="E7842" s="2">
        <v>141000</v>
      </c>
      <c r="F7842" t="s">
        <v>4553</v>
      </c>
      <c r="G7842" s="17" t="str">
        <f>HYPERLINK("https://www.washoecounty.gov/assessor/cama/?command=sales&amp;parid=53056310","3920820")</f>
        <v>3920820</v>
      </c>
      <c r="H7842" t="s">
        <v>3961</v>
      </c>
      <c r="I7842">
        <v>2002</v>
      </c>
      <c r="J7842">
        <v>2002</v>
      </c>
      <c r="K7842" t="s">
        <v>4554</v>
      </c>
      <c r="L7842" t="s">
        <v>4555</v>
      </c>
      <c r="M7842" s="2">
        <v>1439</v>
      </c>
      <c r="N7842" t="s">
        <v>5280</v>
      </c>
      <c r="O7842">
        <v>3</v>
      </c>
      <c r="P7842">
        <v>2</v>
      </c>
      <c r="Q7842">
        <v>0</v>
      </c>
      <c r="R7842" t="s">
        <v>5281</v>
      </c>
      <c r="S7842" t="s">
        <v>4558</v>
      </c>
      <c r="T7842" t="s">
        <v>4559</v>
      </c>
      <c r="U7842" t="s">
        <v>4560</v>
      </c>
      <c r="V7842" s="2">
        <v>400</v>
      </c>
      <c r="W7842" t="s">
        <v>4655</v>
      </c>
      <c r="X7842" s="2">
        <v>0</v>
      </c>
      <c r="Y7842">
        <v>20</v>
      </c>
      <c r="Z7842" t="s">
        <v>5508</v>
      </c>
      <c r="AA7842" s="3">
        <v>0.27601009607315102</v>
      </c>
      <c r="AB7842" t="s">
        <v>36327</v>
      </c>
      <c r="AC7842" t="s">
        <v>4562</v>
      </c>
      <c r="AD7842" t="s">
        <v>36328</v>
      </c>
      <c r="AE7842" t="s">
        <v>4655</v>
      </c>
      <c r="AF7842" t="s">
        <v>5499</v>
      </c>
      <c r="AG7842" t="s">
        <v>4564</v>
      </c>
      <c r="AH7842" t="s">
        <v>1605</v>
      </c>
      <c r="AI7842" t="s">
        <v>2351</v>
      </c>
      <c r="AJ7842" t="s">
        <v>3962</v>
      </c>
      <c r="AK7842" t="s">
        <v>36329</v>
      </c>
      <c r="AL7842" s="13" t="s">
        <v>1892</v>
      </c>
      <c r="AM7842" s="14">
        <v>1</v>
      </c>
      <c r="AN7842" s="15" t="s">
        <v>32</v>
      </c>
    </row>
    <row r="7843" spans="1:40" x14ac:dyDescent="0.3">
      <c r="A7843" s="10" t="str">
        <f>HYPERLINK("http://www.washoecounty.gov/assessor/cama/?parid=530-571-14&amp;CardNumber=1","530-571-14")</f>
        <v>530-571-14</v>
      </c>
      <c r="B7843" t="s">
        <v>4655</v>
      </c>
      <c r="C7843" t="s">
        <v>36330</v>
      </c>
      <c r="D7843" s="1">
        <v>40310</v>
      </c>
      <c r="E7843" s="2">
        <v>205000</v>
      </c>
      <c r="F7843" t="s">
        <v>4553</v>
      </c>
      <c r="G7843" s="17" t="str">
        <f>HYPERLINK("https://www.washoecounty.gov/assessor/cama/?command=sales&amp;parid=53057114","3880875")</f>
        <v>3880875</v>
      </c>
      <c r="H7843" t="s">
        <v>2814</v>
      </c>
      <c r="I7843">
        <v>2002</v>
      </c>
      <c r="J7843">
        <v>2002</v>
      </c>
      <c r="K7843" t="s">
        <v>4554</v>
      </c>
      <c r="L7843" t="s">
        <v>4555</v>
      </c>
      <c r="M7843" s="2">
        <v>2016</v>
      </c>
      <c r="N7843" t="s">
        <v>5280</v>
      </c>
      <c r="O7843">
        <v>4</v>
      </c>
      <c r="P7843">
        <v>2</v>
      </c>
      <c r="Q7843">
        <v>0</v>
      </c>
      <c r="R7843" t="s">
        <v>5281</v>
      </c>
      <c r="S7843" t="s">
        <v>4558</v>
      </c>
      <c r="T7843" t="s">
        <v>4559</v>
      </c>
      <c r="U7843" t="s">
        <v>4560</v>
      </c>
      <c r="V7843" s="2">
        <v>630</v>
      </c>
      <c r="W7843" t="s">
        <v>4655</v>
      </c>
      <c r="X7843" s="2">
        <v>0</v>
      </c>
      <c r="Y7843">
        <v>20</v>
      </c>
      <c r="Z7843" t="s">
        <v>5508</v>
      </c>
      <c r="AA7843" s="3">
        <v>0.27906337380409202</v>
      </c>
      <c r="AB7843" t="s">
        <v>36331</v>
      </c>
      <c r="AC7843" t="s">
        <v>4562</v>
      </c>
      <c r="AD7843" t="s">
        <v>36330</v>
      </c>
      <c r="AE7843" t="s">
        <v>4655</v>
      </c>
      <c r="AF7843" t="s">
        <v>4809</v>
      </c>
      <c r="AG7843" t="s">
        <v>4564</v>
      </c>
      <c r="AH7843" t="s">
        <v>1605</v>
      </c>
      <c r="AI7843" t="s">
        <v>4903</v>
      </c>
      <c r="AJ7843" t="s">
        <v>2804</v>
      </c>
      <c r="AK7843" t="s">
        <v>36332</v>
      </c>
      <c r="AL7843" s="13" t="s">
        <v>1892</v>
      </c>
      <c r="AM7843" s="14">
        <v>1</v>
      </c>
      <c r="AN7843" s="15" t="s">
        <v>32</v>
      </c>
    </row>
    <row r="7844" spans="1:40" x14ac:dyDescent="0.3">
      <c r="A7844" s="10" t="str">
        <f>HYPERLINK("http://www.washoecounty.gov/assessor/cama/?parid=530-581-03&amp;CardNumber=1","530-581-03")</f>
        <v>530-581-03</v>
      </c>
      <c r="B7844" t="s">
        <v>4655</v>
      </c>
      <c r="C7844" t="s">
        <v>36333</v>
      </c>
      <c r="D7844" s="1">
        <v>40423</v>
      </c>
      <c r="E7844" s="2">
        <v>195000</v>
      </c>
      <c r="F7844" t="s">
        <v>4567</v>
      </c>
      <c r="G7844" s="17" t="str">
        <f>HYPERLINK("https://www.washoecounty.gov/assessor/cama/?command=sales&amp;parid=53058103","3918587")</f>
        <v>3918587</v>
      </c>
      <c r="H7844" t="s">
        <v>2814</v>
      </c>
      <c r="I7844">
        <v>2002</v>
      </c>
      <c r="J7844">
        <v>2002</v>
      </c>
      <c r="K7844" t="s">
        <v>4554</v>
      </c>
      <c r="L7844" t="s">
        <v>4555</v>
      </c>
      <c r="M7844" s="2">
        <v>1705</v>
      </c>
      <c r="N7844" t="s">
        <v>5280</v>
      </c>
      <c r="O7844">
        <v>4</v>
      </c>
      <c r="P7844">
        <v>2</v>
      </c>
      <c r="Q7844">
        <v>0</v>
      </c>
      <c r="R7844" t="s">
        <v>5281</v>
      </c>
      <c r="S7844" t="s">
        <v>4558</v>
      </c>
      <c r="T7844" t="s">
        <v>2704</v>
      </c>
      <c r="U7844" t="s">
        <v>4560</v>
      </c>
      <c r="V7844" s="2">
        <v>617</v>
      </c>
      <c r="W7844" t="s">
        <v>4655</v>
      </c>
      <c r="X7844" s="2">
        <v>0</v>
      </c>
      <c r="Y7844">
        <v>20</v>
      </c>
      <c r="Z7844" t="s">
        <v>5508</v>
      </c>
      <c r="AA7844" s="3">
        <v>0.29180440306663502</v>
      </c>
      <c r="AB7844" t="s">
        <v>36334</v>
      </c>
      <c r="AC7844" t="s">
        <v>4575</v>
      </c>
      <c r="AD7844" t="s">
        <v>36333</v>
      </c>
      <c r="AE7844" t="s">
        <v>4655</v>
      </c>
      <c r="AF7844" t="s">
        <v>4809</v>
      </c>
      <c r="AG7844" t="s">
        <v>4564</v>
      </c>
      <c r="AH7844" t="s">
        <v>1605</v>
      </c>
      <c r="AI7844" t="s">
        <v>36335</v>
      </c>
      <c r="AJ7844" t="s">
        <v>2804</v>
      </c>
      <c r="AK7844" t="s">
        <v>36336</v>
      </c>
      <c r="AL7844" s="13" t="s">
        <v>1892</v>
      </c>
      <c r="AM7844" s="14">
        <v>1</v>
      </c>
      <c r="AN7844" s="15" t="s">
        <v>32</v>
      </c>
    </row>
    <row r="7845" spans="1:40" x14ac:dyDescent="0.3">
      <c r="A7845" s="10" t="str">
        <f>HYPERLINK("http://www.washoecounty.gov/assessor/cama/?parid=530-593-03&amp;CardNumber=1","530-593-03")</f>
        <v>530-593-03</v>
      </c>
      <c r="B7845" t="s">
        <v>4655</v>
      </c>
      <c r="C7845" t="s">
        <v>36337</v>
      </c>
      <c r="D7845" s="1">
        <v>40256</v>
      </c>
      <c r="E7845" s="2">
        <v>216000</v>
      </c>
      <c r="F7845" t="s">
        <v>4567</v>
      </c>
      <c r="G7845" s="17" t="str">
        <f>HYPERLINK("https://www.washoecounty.gov/assessor/cama/?command=sales&amp;parid=53059303","3861845")</f>
        <v>3861845</v>
      </c>
      <c r="H7845" t="s">
        <v>3456</v>
      </c>
      <c r="I7845">
        <v>2002</v>
      </c>
      <c r="J7845">
        <v>2002</v>
      </c>
      <c r="K7845" t="s">
        <v>4554</v>
      </c>
      <c r="L7845" t="s">
        <v>4555</v>
      </c>
      <c r="M7845" s="2">
        <v>2244</v>
      </c>
      <c r="N7845" t="s">
        <v>4048</v>
      </c>
      <c r="O7845">
        <v>4</v>
      </c>
      <c r="P7845">
        <v>2</v>
      </c>
      <c r="Q7845">
        <v>1</v>
      </c>
      <c r="R7845" t="s">
        <v>5281</v>
      </c>
      <c r="S7845" t="s">
        <v>4558</v>
      </c>
      <c r="T7845" t="s">
        <v>4559</v>
      </c>
      <c r="U7845" t="s">
        <v>4560</v>
      </c>
      <c r="V7845" s="2">
        <v>952</v>
      </c>
      <c r="W7845" t="s">
        <v>4655</v>
      </c>
      <c r="X7845" s="2">
        <v>0</v>
      </c>
      <c r="Y7845">
        <v>20</v>
      </c>
      <c r="Z7845" t="s">
        <v>5508</v>
      </c>
      <c r="AA7845" s="3">
        <v>0.29958677291870101</v>
      </c>
      <c r="AB7845" t="s">
        <v>36338</v>
      </c>
      <c r="AC7845" t="s">
        <v>4562</v>
      </c>
      <c r="AD7845" t="s">
        <v>36337</v>
      </c>
      <c r="AE7845" t="s">
        <v>4655</v>
      </c>
      <c r="AF7845" t="s">
        <v>5201</v>
      </c>
      <c r="AG7845" t="s">
        <v>4564</v>
      </c>
      <c r="AH7845" t="s">
        <v>1350</v>
      </c>
      <c r="AI7845" t="s">
        <v>36339</v>
      </c>
      <c r="AJ7845" t="s">
        <v>736</v>
      </c>
      <c r="AK7845" t="s">
        <v>36340</v>
      </c>
      <c r="AL7845" s="13" t="s">
        <v>1892</v>
      </c>
      <c r="AM7845">
        <v>1</v>
      </c>
      <c r="AN7845" s="15" t="s">
        <v>2504</v>
      </c>
    </row>
    <row r="7846" spans="1:40" x14ac:dyDescent="0.3">
      <c r="A7846" s="10" t="str">
        <f>HYPERLINK("http://www.washoecounty.gov/assessor/cama/?parid=530-603-01&amp;CardNumber=1","530-603-01")</f>
        <v>530-603-01</v>
      </c>
      <c r="B7846" t="s">
        <v>4655</v>
      </c>
      <c r="C7846" t="s">
        <v>36341</v>
      </c>
      <c r="D7846" s="1">
        <v>40211</v>
      </c>
      <c r="E7846" s="2">
        <v>155000</v>
      </c>
      <c r="F7846" t="s">
        <v>4567</v>
      </c>
      <c r="G7846" s="17" t="str">
        <f>HYPERLINK("https://www.washoecounty.gov/assessor/cama/?command=sales&amp;parid=53060301","3845415")</f>
        <v>3845415</v>
      </c>
      <c r="H7846" t="s">
        <v>3456</v>
      </c>
      <c r="I7846">
        <v>2002</v>
      </c>
      <c r="J7846">
        <v>2002</v>
      </c>
      <c r="K7846" t="s">
        <v>4554</v>
      </c>
      <c r="L7846" t="s">
        <v>4555</v>
      </c>
      <c r="M7846" s="2">
        <v>1334</v>
      </c>
      <c r="N7846" t="s">
        <v>4048</v>
      </c>
      <c r="O7846">
        <v>3</v>
      </c>
      <c r="P7846">
        <v>2</v>
      </c>
      <c r="Q7846">
        <v>0</v>
      </c>
      <c r="R7846" t="s">
        <v>4557</v>
      </c>
      <c r="S7846" t="s">
        <v>4558</v>
      </c>
      <c r="T7846" t="s">
        <v>4559</v>
      </c>
      <c r="U7846" t="s">
        <v>4560</v>
      </c>
      <c r="V7846" s="2">
        <v>484</v>
      </c>
      <c r="W7846" t="s">
        <v>4655</v>
      </c>
      <c r="X7846" s="2">
        <v>0</v>
      </c>
      <c r="Y7846">
        <v>20</v>
      </c>
      <c r="Z7846" t="s">
        <v>5508</v>
      </c>
      <c r="AA7846" s="3">
        <v>0.32784664630889898</v>
      </c>
      <c r="AB7846" t="s">
        <v>36342</v>
      </c>
      <c r="AC7846" t="s">
        <v>4562</v>
      </c>
      <c r="AD7846" t="s">
        <v>36341</v>
      </c>
      <c r="AE7846" t="s">
        <v>4655</v>
      </c>
      <c r="AF7846" t="s">
        <v>4809</v>
      </c>
      <c r="AG7846" t="s">
        <v>4564</v>
      </c>
      <c r="AH7846" t="s">
        <v>1350</v>
      </c>
      <c r="AI7846" t="s">
        <v>36343</v>
      </c>
      <c r="AJ7846" t="s">
        <v>736</v>
      </c>
      <c r="AK7846" t="s">
        <v>36344</v>
      </c>
      <c r="AL7846" s="13" t="s">
        <v>1892</v>
      </c>
      <c r="AM7846">
        <v>1</v>
      </c>
      <c r="AN7846" s="15" t="s">
        <v>2504</v>
      </c>
    </row>
    <row r="7847" spans="1:40" x14ac:dyDescent="0.3">
      <c r="A7847" s="10" t="str">
        <f>HYPERLINK("http://www.washoecounty.gov/assessor/cama/?parid=530-611-02&amp;CardNumber=1","530-611-02")</f>
        <v>530-611-02</v>
      </c>
      <c r="B7847" t="s">
        <v>4655</v>
      </c>
      <c r="C7847" t="s">
        <v>36345</v>
      </c>
      <c r="D7847" s="1">
        <v>40542</v>
      </c>
      <c r="E7847" s="2">
        <v>169000</v>
      </c>
      <c r="F7847" t="s">
        <v>4567</v>
      </c>
      <c r="G7847" s="17" t="str">
        <f>HYPERLINK("https://www.washoecounty.gov/assessor/cama/?command=sales&amp;parid=53061102","3959371")</f>
        <v>3959371</v>
      </c>
      <c r="H7847" t="s">
        <v>3456</v>
      </c>
      <c r="I7847">
        <v>2002</v>
      </c>
      <c r="J7847">
        <v>2002</v>
      </c>
      <c r="K7847" t="s">
        <v>4554</v>
      </c>
      <c r="L7847" t="s">
        <v>4555</v>
      </c>
      <c r="M7847" s="2">
        <v>1775</v>
      </c>
      <c r="N7847" t="s">
        <v>4048</v>
      </c>
      <c r="O7847">
        <v>3</v>
      </c>
      <c r="P7847">
        <v>2</v>
      </c>
      <c r="Q7847">
        <v>0</v>
      </c>
      <c r="R7847" t="s">
        <v>4557</v>
      </c>
      <c r="S7847" t="s">
        <v>4558</v>
      </c>
      <c r="T7847" t="s">
        <v>4559</v>
      </c>
      <c r="U7847" t="s">
        <v>4560</v>
      </c>
      <c r="V7847" s="2">
        <v>653</v>
      </c>
      <c r="W7847" t="s">
        <v>4655</v>
      </c>
      <c r="X7847" s="2">
        <v>0</v>
      </c>
      <c r="Y7847">
        <v>20</v>
      </c>
      <c r="Z7847" t="s">
        <v>5508</v>
      </c>
      <c r="AA7847" s="3">
        <v>0.38119834661483798</v>
      </c>
      <c r="AB7847" t="s">
        <v>36346</v>
      </c>
      <c r="AC7847" t="s">
        <v>4562</v>
      </c>
      <c r="AD7847" t="s">
        <v>36345</v>
      </c>
      <c r="AE7847" t="s">
        <v>4655</v>
      </c>
      <c r="AF7847" t="s">
        <v>5201</v>
      </c>
      <c r="AG7847" t="s">
        <v>4564</v>
      </c>
      <c r="AH7847" t="s">
        <v>1350</v>
      </c>
      <c r="AI7847" t="s">
        <v>36347</v>
      </c>
      <c r="AJ7847" t="s">
        <v>736</v>
      </c>
      <c r="AK7847" t="s">
        <v>36348</v>
      </c>
      <c r="AL7847" s="13" t="s">
        <v>1892</v>
      </c>
      <c r="AM7847">
        <v>1</v>
      </c>
      <c r="AN7847" s="15" t="s">
        <v>2504</v>
      </c>
    </row>
    <row r="7848" spans="1:40" x14ac:dyDescent="0.3">
      <c r="A7848" s="10" t="str">
        <f>HYPERLINK("http://www.washoecounty.gov/assessor/cama/?parid=530-612-02&amp;CardNumber=1","530-612-02")</f>
        <v>530-612-02</v>
      </c>
      <c r="B7848" t="s">
        <v>4655</v>
      </c>
      <c r="C7848" s="20" t="s">
        <v>283</v>
      </c>
      <c r="D7848" s="1">
        <v>40389</v>
      </c>
      <c r="E7848" s="2">
        <v>155000</v>
      </c>
      <c r="F7848" t="s">
        <v>4567</v>
      </c>
      <c r="G7848" s="20" t="s">
        <v>282</v>
      </c>
      <c r="H7848" t="s">
        <v>3456</v>
      </c>
      <c r="I7848">
        <v>2002</v>
      </c>
      <c r="J7848">
        <v>2002</v>
      </c>
      <c r="K7848" t="s">
        <v>4554</v>
      </c>
      <c r="L7848" t="s">
        <v>4555</v>
      </c>
      <c r="M7848" s="2">
        <v>1353</v>
      </c>
      <c r="N7848" t="s">
        <v>4048</v>
      </c>
      <c r="O7848">
        <v>3</v>
      </c>
      <c r="P7848">
        <v>2</v>
      </c>
      <c r="Q7848">
        <v>0</v>
      </c>
      <c r="R7848" t="s">
        <v>5281</v>
      </c>
      <c r="S7848" t="s">
        <v>4558</v>
      </c>
      <c r="T7848" t="s">
        <v>4559</v>
      </c>
      <c r="U7848" t="s">
        <v>4560</v>
      </c>
      <c r="V7848" s="2">
        <v>440</v>
      </c>
      <c r="W7848" t="s">
        <v>4655</v>
      </c>
      <c r="X7848" s="2">
        <v>0</v>
      </c>
      <c r="Y7848">
        <v>20</v>
      </c>
      <c r="Z7848" t="s">
        <v>5508</v>
      </c>
      <c r="AA7848" s="3">
        <v>0.32387512922286998</v>
      </c>
      <c r="AB7848" s="20" t="s">
        <v>8865</v>
      </c>
      <c r="AD7848" t="s">
        <v>283</v>
      </c>
      <c r="AE7848" t="s">
        <v>283</v>
      </c>
      <c r="AF7848" t="s">
        <v>283</v>
      </c>
      <c r="AG7848" t="s">
        <v>4564</v>
      </c>
      <c r="AH7848" t="s">
        <v>3101</v>
      </c>
      <c r="AI7848" t="s">
        <v>8865</v>
      </c>
      <c r="AJ7848" t="s">
        <v>736</v>
      </c>
      <c r="AK7848" t="s">
        <v>36349</v>
      </c>
      <c r="AL7848" s="13" t="s">
        <v>1892</v>
      </c>
      <c r="AM7848">
        <v>1</v>
      </c>
      <c r="AN7848" s="15" t="s">
        <v>2504</v>
      </c>
    </row>
    <row r="7849" spans="1:40" x14ac:dyDescent="0.3">
      <c r="A7849" s="10" t="str">
        <f>HYPERLINK("http://www.washoecounty.gov/assessor/cama/?parid=530-613-07&amp;CardNumber=1","530-613-07")</f>
        <v>530-613-07</v>
      </c>
      <c r="B7849" t="s">
        <v>4655</v>
      </c>
      <c r="C7849" t="s">
        <v>36350</v>
      </c>
      <c r="D7849" s="1">
        <v>40386</v>
      </c>
      <c r="E7849" s="2">
        <v>150000</v>
      </c>
      <c r="F7849" t="s">
        <v>4567</v>
      </c>
      <c r="G7849" s="17" t="str">
        <f>HYPERLINK("https://www.washoecounty.gov/assessor/cama/?command=sales&amp;parid=53061307","3905384")</f>
        <v>3905384</v>
      </c>
      <c r="H7849" t="s">
        <v>3456</v>
      </c>
      <c r="I7849">
        <v>2002</v>
      </c>
      <c r="J7849">
        <v>2002</v>
      </c>
      <c r="K7849" t="s">
        <v>4554</v>
      </c>
      <c r="L7849" t="s">
        <v>4555</v>
      </c>
      <c r="M7849" s="2">
        <v>1306</v>
      </c>
      <c r="N7849" t="s">
        <v>4048</v>
      </c>
      <c r="O7849">
        <v>3</v>
      </c>
      <c r="P7849">
        <v>2</v>
      </c>
      <c r="Q7849">
        <v>0</v>
      </c>
      <c r="R7849" t="s">
        <v>4557</v>
      </c>
      <c r="S7849" t="s">
        <v>4558</v>
      </c>
      <c r="T7849" t="s">
        <v>4559</v>
      </c>
      <c r="U7849" t="s">
        <v>4560</v>
      </c>
      <c r="V7849" s="2">
        <v>400</v>
      </c>
      <c r="W7849" t="s">
        <v>4655</v>
      </c>
      <c r="X7849" s="2">
        <v>0</v>
      </c>
      <c r="Y7849">
        <v>20</v>
      </c>
      <c r="Z7849" t="s">
        <v>5508</v>
      </c>
      <c r="AA7849" s="3">
        <v>0.29958677291870101</v>
      </c>
      <c r="AB7849" t="s">
        <v>36351</v>
      </c>
      <c r="AC7849" t="s">
        <v>4562</v>
      </c>
      <c r="AD7849" t="s">
        <v>36350</v>
      </c>
      <c r="AE7849" t="s">
        <v>4655</v>
      </c>
      <c r="AF7849" t="s">
        <v>5201</v>
      </c>
      <c r="AG7849" t="s">
        <v>4564</v>
      </c>
      <c r="AH7849" t="s">
        <v>1350</v>
      </c>
      <c r="AI7849" t="s">
        <v>36352</v>
      </c>
      <c r="AJ7849" t="s">
        <v>736</v>
      </c>
      <c r="AK7849" t="s">
        <v>36353</v>
      </c>
      <c r="AL7849" s="13" t="s">
        <v>1892</v>
      </c>
      <c r="AM7849">
        <v>1</v>
      </c>
      <c r="AN7849" s="15" t="s">
        <v>2504</v>
      </c>
    </row>
    <row r="7850" spans="1:40" x14ac:dyDescent="0.3">
      <c r="A7850" s="10" t="str">
        <f>HYPERLINK("http://www.washoecounty.gov/assessor/cama/?parid=530-616-08&amp;CardNumber=1","530-616-08")</f>
        <v>530-616-08</v>
      </c>
      <c r="B7850" t="s">
        <v>4655</v>
      </c>
      <c r="C7850" t="s">
        <v>36354</v>
      </c>
      <c r="D7850" s="1">
        <v>40359</v>
      </c>
      <c r="E7850" s="2">
        <v>170000</v>
      </c>
      <c r="F7850" t="s">
        <v>4567</v>
      </c>
      <c r="G7850" s="17" t="str">
        <f>HYPERLINK("https://www.washoecounty.gov/assessor/cama/?command=sales&amp;parid=53061608","3897498")</f>
        <v>3897498</v>
      </c>
      <c r="H7850" t="s">
        <v>3456</v>
      </c>
      <c r="I7850">
        <v>2002</v>
      </c>
      <c r="J7850">
        <v>2002</v>
      </c>
      <c r="K7850" t="s">
        <v>4554</v>
      </c>
      <c r="L7850" t="s">
        <v>4555</v>
      </c>
      <c r="M7850" s="2">
        <v>1612</v>
      </c>
      <c r="N7850" t="s">
        <v>4048</v>
      </c>
      <c r="O7850">
        <v>3</v>
      </c>
      <c r="P7850">
        <v>2</v>
      </c>
      <c r="Q7850">
        <v>1</v>
      </c>
      <c r="R7850" t="s">
        <v>4557</v>
      </c>
      <c r="S7850" t="s">
        <v>4558</v>
      </c>
      <c r="T7850" t="s">
        <v>4559</v>
      </c>
      <c r="U7850" t="s">
        <v>4560</v>
      </c>
      <c r="V7850" s="2">
        <v>680</v>
      </c>
      <c r="W7850" t="s">
        <v>4655</v>
      </c>
      <c r="X7850" s="2">
        <v>0</v>
      </c>
      <c r="Y7850">
        <v>20</v>
      </c>
      <c r="Z7850" t="s">
        <v>5508</v>
      </c>
      <c r="AA7850" s="3">
        <v>0.30713957548141502</v>
      </c>
      <c r="AB7850" t="s">
        <v>36355</v>
      </c>
      <c r="AC7850" t="s">
        <v>4562</v>
      </c>
      <c r="AD7850" t="s">
        <v>36354</v>
      </c>
      <c r="AE7850" t="s">
        <v>4655</v>
      </c>
      <c r="AF7850" t="s">
        <v>5201</v>
      </c>
      <c r="AG7850" t="s">
        <v>4564</v>
      </c>
      <c r="AH7850" t="s">
        <v>1350</v>
      </c>
      <c r="AI7850" t="s">
        <v>36356</v>
      </c>
      <c r="AJ7850" t="s">
        <v>736</v>
      </c>
      <c r="AK7850" t="s">
        <v>36357</v>
      </c>
      <c r="AL7850" s="13" t="s">
        <v>1892</v>
      </c>
      <c r="AM7850" s="14">
        <v>1</v>
      </c>
      <c r="AN7850" s="15" t="s">
        <v>2504</v>
      </c>
    </row>
    <row r="7851" spans="1:40" x14ac:dyDescent="0.3">
      <c r="A7851" s="10" t="str">
        <f>HYPERLINK("http://www.washoecounty.gov/assessor/cama/?parid=530-633-05&amp;CardNumber=1","530-633-05")</f>
        <v>530-633-05</v>
      </c>
      <c r="B7851" t="s">
        <v>4655</v>
      </c>
      <c r="C7851" t="s">
        <v>36358</v>
      </c>
      <c r="D7851" s="1">
        <v>40354</v>
      </c>
      <c r="E7851" s="2">
        <v>260000</v>
      </c>
      <c r="F7851" t="s">
        <v>4567</v>
      </c>
      <c r="G7851" s="17" t="str">
        <f>HYPERLINK("https://www.washoecounty.gov/assessor/cama/?command=sales&amp;parid=53063305","3895363")</f>
        <v>3895363</v>
      </c>
      <c r="H7851" t="s">
        <v>2426</v>
      </c>
      <c r="I7851">
        <v>2003</v>
      </c>
      <c r="J7851">
        <v>2003</v>
      </c>
      <c r="K7851" t="s">
        <v>4554</v>
      </c>
      <c r="L7851" t="s">
        <v>4555</v>
      </c>
      <c r="M7851" s="2">
        <v>2785</v>
      </c>
      <c r="N7851" t="s">
        <v>5280</v>
      </c>
      <c r="O7851">
        <v>3</v>
      </c>
      <c r="P7851">
        <v>2</v>
      </c>
      <c r="Q7851">
        <v>1</v>
      </c>
      <c r="R7851" t="s">
        <v>5281</v>
      </c>
      <c r="S7851" t="s">
        <v>4898</v>
      </c>
      <c r="T7851" t="s">
        <v>4559</v>
      </c>
      <c r="U7851" t="s">
        <v>4560</v>
      </c>
      <c r="V7851" s="2">
        <v>520</v>
      </c>
      <c r="W7851" t="s">
        <v>4655</v>
      </c>
      <c r="X7851" s="2">
        <v>0</v>
      </c>
      <c r="Y7851">
        <v>20</v>
      </c>
      <c r="Z7851" t="s">
        <v>5508</v>
      </c>
      <c r="AA7851" s="3">
        <v>0.39485767483711198</v>
      </c>
      <c r="AB7851" t="s">
        <v>36359</v>
      </c>
      <c r="AC7851" t="s">
        <v>4562</v>
      </c>
      <c r="AD7851" t="s">
        <v>36358</v>
      </c>
      <c r="AE7851" t="s">
        <v>4655</v>
      </c>
      <c r="AF7851" t="s">
        <v>5201</v>
      </c>
      <c r="AG7851" t="s">
        <v>4564</v>
      </c>
      <c r="AH7851" t="s">
        <v>1350</v>
      </c>
      <c r="AI7851" t="s">
        <v>36360</v>
      </c>
      <c r="AJ7851" t="s">
        <v>4310</v>
      </c>
      <c r="AK7851" t="s">
        <v>36361</v>
      </c>
      <c r="AL7851" s="13" t="s">
        <v>1892</v>
      </c>
      <c r="AM7851" s="14">
        <v>1</v>
      </c>
      <c r="AN7851" s="15" t="s">
        <v>1832</v>
      </c>
    </row>
    <row r="7852" spans="1:40" x14ac:dyDescent="0.3">
      <c r="A7852" s="10" t="str">
        <f>HYPERLINK("http://www.washoecounty.gov/assessor/cama/?parid=530-634-07&amp;CardNumber=1","530-634-07")</f>
        <v>530-634-07</v>
      </c>
      <c r="B7852" t="s">
        <v>4655</v>
      </c>
      <c r="C7852" t="s">
        <v>36362</v>
      </c>
      <c r="D7852" s="1">
        <v>40421</v>
      </c>
      <c r="E7852" s="2">
        <v>229000</v>
      </c>
      <c r="F7852" t="s">
        <v>4567</v>
      </c>
      <c r="G7852" s="17" t="str">
        <f>HYPERLINK("https://www.washoecounty.gov/assessor/cama/?command=sales&amp;parid=53063407","3917481")</f>
        <v>3917481</v>
      </c>
      <c r="H7852" t="s">
        <v>36363</v>
      </c>
      <c r="I7852">
        <v>2002</v>
      </c>
      <c r="J7852">
        <v>2002</v>
      </c>
      <c r="K7852" t="s">
        <v>4554</v>
      </c>
      <c r="L7852" t="s">
        <v>4555</v>
      </c>
      <c r="M7852" s="2">
        <v>2042</v>
      </c>
      <c r="N7852" t="s">
        <v>5280</v>
      </c>
      <c r="O7852">
        <v>4</v>
      </c>
      <c r="P7852">
        <v>2</v>
      </c>
      <c r="Q7852">
        <v>0</v>
      </c>
      <c r="R7852" t="s">
        <v>5281</v>
      </c>
      <c r="S7852" t="s">
        <v>4898</v>
      </c>
      <c r="T7852" t="s">
        <v>4559</v>
      </c>
      <c r="U7852" t="s">
        <v>4560</v>
      </c>
      <c r="V7852" s="2">
        <v>780</v>
      </c>
      <c r="W7852" t="s">
        <v>4655</v>
      </c>
      <c r="X7852" s="2">
        <v>0</v>
      </c>
      <c r="Y7852">
        <v>20</v>
      </c>
      <c r="Z7852" t="s">
        <v>5508</v>
      </c>
      <c r="AA7852" s="3">
        <v>0.40835627913474998</v>
      </c>
      <c r="AB7852" t="s">
        <v>36364</v>
      </c>
      <c r="AC7852" t="s">
        <v>4562</v>
      </c>
      <c r="AD7852" t="s">
        <v>36362</v>
      </c>
      <c r="AE7852" t="s">
        <v>4655</v>
      </c>
      <c r="AF7852" t="s">
        <v>5201</v>
      </c>
      <c r="AG7852" t="s">
        <v>4564</v>
      </c>
      <c r="AH7852" t="s">
        <v>1350</v>
      </c>
      <c r="AI7852" t="s">
        <v>36365</v>
      </c>
      <c r="AJ7852" t="s">
        <v>36366</v>
      </c>
      <c r="AK7852" t="s">
        <v>36367</v>
      </c>
      <c r="AL7852" s="13" t="s">
        <v>1892</v>
      </c>
      <c r="AM7852">
        <v>1</v>
      </c>
      <c r="AN7852" s="15" t="s">
        <v>1832</v>
      </c>
    </row>
    <row r="7853" spans="1:40" x14ac:dyDescent="0.3">
      <c r="A7853" s="10" t="str">
        <f>HYPERLINK("http://www.washoecounty.gov/assessor/cama/?parid=530-635-03&amp;CardNumber=1","530-635-03")</f>
        <v>530-635-03</v>
      </c>
      <c r="B7853" t="s">
        <v>4655</v>
      </c>
      <c r="C7853" t="s">
        <v>36368</v>
      </c>
      <c r="D7853" s="1">
        <v>40298</v>
      </c>
      <c r="E7853" s="2">
        <v>239900</v>
      </c>
      <c r="F7853" t="s">
        <v>4567</v>
      </c>
      <c r="G7853" s="17" t="str">
        <f>HYPERLINK("https://www.washoecounty.gov/assessor/cama/?command=sales&amp;parid=53063503","3876773")</f>
        <v>3876773</v>
      </c>
      <c r="H7853" t="s">
        <v>4313</v>
      </c>
      <c r="I7853">
        <v>2002</v>
      </c>
      <c r="J7853">
        <v>2002</v>
      </c>
      <c r="K7853" t="s">
        <v>4554</v>
      </c>
      <c r="L7853" t="s">
        <v>4555</v>
      </c>
      <c r="M7853" s="2">
        <v>2785</v>
      </c>
      <c r="N7853" t="s">
        <v>5280</v>
      </c>
      <c r="O7853">
        <v>3</v>
      </c>
      <c r="P7853">
        <v>2</v>
      </c>
      <c r="Q7853">
        <v>1</v>
      </c>
      <c r="R7853" t="s">
        <v>5281</v>
      </c>
      <c r="S7853" t="s">
        <v>4898</v>
      </c>
      <c r="T7853" t="s">
        <v>4559</v>
      </c>
      <c r="U7853" t="s">
        <v>4560</v>
      </c>
      <c r="V7853" s="2">
        <v>420</v>
      </c>
      <c r="W7853" t="s">
        <v>4655</v>
      </c>
      <c r="X7853" s="2">
        <v>0</v>
      </c>
      <c r="Y7853">
        <v>20</v>
      </c>
      <c r="Z7853" t="s">
        <v>5508</v>
      </c>
      <c r="AA7853" s="3">
        <v>0.276652902364731</v>
      </c>
      <c r="AB7853" t="s">
        <v>36369</v>
      </c>
      <c r="AC7853" t="s">
        <v>4562</v>
      </c>
      <c r="AD7853" t="s">
        <v>36368</v>
      </c>
      <c r="AE7853" t="s">
        <v>4655</v>
      </c>
      <c r="AF7853" t="s">
        <v>5201</v>
      </c>
      <c r="AG7853" t="s">
        <v>4564</v>
      </c>
      <c r="AH7853" t="s">
        <v>1350</v>
      </c>
      <c r="AI7853" t="s">
        <v>26005</v>
      </c>
      <c r="AJ7853" t="s">
        <v>4310</v>
      </c>
      <c r="AK7853" t="s">
        <v>36370</v>
      </c>
      <c r="AL7853" s="13" t="s">
        <v>1892</v>
      </c>
      <c r="AM7853" s="14">
        <v>1</v>
      </c>
      <c r="AN7853" s="15" t="s">
        <v>1832</v>
      </c>
    </row>
    <row r="7854" spans="1:40" x14ac:dyDescent="0.3">
      <c r="A7854" s="10" t="str">
        <f>HYPERLINK("http://www.washoecounty.gov/assessor/cama/?parid=530-643-16&amp;CardNumber=1","530-643-16")</f>
        <v>530-643-16</v>
      </c>
      <c r="B7854" t="s">
        <v>4655</v>
      </c>
      <c r="C7854" t="s">
        <v>36371</v>
      </c>
      <c r="D7854" s="1">
        <v>40410</v>
      </c>
      <c r="E7854" s="2">
        <v>136000</v>
      </c>
      <c r="F7854" t="s">
        <v>4567</v>
      </c>
      <c r="G7854" s="17" t="str">
        <f>HYPERLINK("https://www.washoecounty.gov/assessor/cama/?command=sales&amp;parid=53064316","3914344")</f>
        <v>3914344</v>
      </c>
      <c r="H7854" t="s">
        <v>908</v>
      </c>
      <c r="I7854">
        <v>2002</v>
      </c>
      <c r="J7854">
        <v>2002</v>
      </c>
      <c r="K7854" t="s">
        <v>4554</v>
      </c>
      <c r="L7854" t="s">
        <v>4555</v>
      </c>
      <c r="M7854" s="2">
        <v>1334</v>
      </c>
      <c r="N7854" t="s">
        <v>4048</v>
      </c>
      <c r="O7854">
        <v>3</v>
      </c>
      <c r="P7854">
        <v>2</v>
      </c>
      <c r="Q7854">
        <v>0</v>
      </c>
      <c r="R7854" t="s">
        <v>4557</v>
      </c>
      <c r="S7854" t="s">
        <v>4558</v>
      </c>
      <c r="T7854" t="s">
        <v>4559</v>
      </c>
      <c r="U7854" t="s">
        <v>4560</v>
      </c>
      <c r="V7854" s="2">
        <v>484</v>
      </c>
      <c r="W7854" t="s">
        <v>4655</v>
      </c>
      <c r="X7854" s="2">
        <v>0</v>
      </c>
      <c r="Y7854">
        <v>20</v>
      </c>
      <c r="Z7854" t="s">
        <v>5508</v>
      </c>
      <c r="AA7854" s="3">
        <v>0.29077133536338801</v>
      </c>
      <c r="AB7854" t="s">
        <v>36372</v>
      </c>
      <c r="AC7854" t="s">
        <v>4562</v>
      </c>
      <c r="AD7854" t="s">
        <v>36371</v>
      </c>
      <c r="AE7854" t="s">
        <v>4655</v>
      </c>
      <c r="AF7854" t="s">
        <v>4809</v>
      </c>
      <c r="AG7854" t="s">
        <v>4564</v>
      </c>
      <c r="AH7854" t="s">
        <v>1350</v>
      </c>
      <c r="AI7854" t="s">
        <v>36373</v>
      </c>
      <c r="AJ7854" t="s">
        <v>909</v>
      </c>
      <c r="AK7854" t="s">
        <v>36374</v>
      </c>
      <c r="AL7854" s="13" t="s">
        <v>1892</v>
      </c>
      <c r="AM7854" s="14">
        <v>1</v>
      </c>
      <c r="AN7854" s="15" t="s">
        <v>2504</v>
      </c>
    </row>
    <row r="7855" spans="1:40" x14ac:dyDescent="0.3">
      <c r="A7855" s="10" t="str">
        <f>HYPERLINK("http://www.washoecounty.gov/assessor/cama/?parid=530-664-03&amp;CardNumber=1","530-664-03")</f>
        <v>530-664-03</v>
      </c>
      <c r="B7855" t="s">
        <v>4655</v>
      </c>
      <c r="C7855" t="s">
        <v>36375</v>
      </c>
      <c r="D7855" s="1">
        <v>40340</v>
      </c>
      <c r="E7855" s="2">
        <v>206000</v>
      </c>
      <c r="F7855" t="s">
        <v>4553</v>
      </c>
      <c r="G7855" s="17" t="str">
        <f>HYPERLINK("https://www.washoecounty.gov/assessor/cama/?command=sales&amp;parid=53066403","3891042")</f>
        <v>3891042</v>
      </c>
      <c r="H7855" t="s">
        <v>3167</v>
      </c>
      <c r="I7855">
        <v>2002</v>
      </c>
      <c r="J7855">
        <v>2002</v>
      </c>
      <c r="K7855" t="s">
        <v>4554</v>
      </c>
      <c r="L7855" t="s">
        <v>4555</v>
      </c>
      <c r="M7855" s="2">
        <v>1964</v>
      </c>
      <c r="N7855" t="s">
        <v>4048</v>
      </c>
      <c r="O7855">
        <v>4</v>
      </c>
      <c r="P7855">
        <v>2</v>
      </c>
      <c r="Q7855">
        <v>0</v>
      </c>
      <c r="R7855" t="s">
        <v>4557</v>
      </c>
      <c r="S7855" t="s">
        <v>4558</v>
      </c>
      <c r="T7855" t="s">
        <v>4559</v>
      </c>
      <c r="U7855" t="s">
        <v>4560</v>
      </c>
      <c r="V7855" s="2">
        <v>656</v>
      </c>
      <c r="W7855" t="s">
        <v>4655</v>
      </c>
      <c r="X7855" s="2">
        <v>0</v>
      </c>
      <c r="Y7855">
        <v>20</v>
      </c>
      <c r="Z7855" t="s">
        <v>5508</v>
      </c>
      <c r="AA7855" s="3">
        <v>0.344123035669327</v>
      </c>
      <c r="AB7855" t="s">
        <v>36376</v>
      </c>
      <c r="AC7855" t="s">
        <v>4575</v>
      </c>
      <c r="AD7855" t="s">
        <v>36375</v>
      </c>
      <c r="AE7855" t="s">
        <v>4655</v>
      </c>
      <c r="AF7855" t="s">
        <v>5201</v>
      </c>
      <c r="AG7855" t="s">
        <v>4564</v>
      </c>
      <c r="AH7855" t="s">
        <v>1605</v>
      </c>
      <c r="AI7855" t="s">
        <v>4565</v>
      </c>
      <c r="AJ7855" t="s">
        <v>3168</v>
      </c>
      <c r="AK7855" t="s">
        <v>36377</v>
      </c>
      <c r="AL7855" s="13" t="s">
        <v>1892</v>
      </c>
      <c r="AM7855" s="14">
        <v>1</v>
      </c>
      <c r="AN7855" s="15" t="s">
        <v>2504</v>
      </c>
    </row>
    <row r="7856" spans="1:40" x14ac:dyDescent="0.3">
      <c r="A7856" s="10" t="str">
        <f>HYPERLINK("http://www.washoecounty.gov/assessor/cama/?parid=530-664-06&amp;CardNumber=1","530-664-06")</f>
        <v>530-664-06</v>
      </c>
      <c r="B7856" t="s">
        <v>4655</v>
      </c>
      <c r="C7856" t="s">
        <v>36378</v>
      </c>
      <c r="D7856" s="1">
        <v>40232</v>
      </c>
      <c r="E7856" s="2">
        <v>215000</v>
      </c>
      <c r="F7856" t="s">
        <v>4553</v>
      </c>
      <c r="G7856" s="17" t="str">
        <f>HYPERLINK("https://www.washoecounty.gov/assessor/cama/?command=sales&amp;parid=53066406","3851920")</f>
        <v>3851920</v>
      </c>
      <c r="H7856" t="s">
        <v>3167</v>
      </c>
      <c r="I7856">
        <v>2002</v>
      </c>
      <c r="J7856">
        <v>2002</v>
      </c>
      <c r="K7856" t="s">
        <v>4554</v>
      </c>
      <c r="L7856" t="s">
        <v>4555</v>
      </c>
      <c r="M7856" s="2">
        <v>2114</v>
      </c>
      <c r="N7856" t="s">
        <v>4048</v>
      </c>
      <c r="O7856">
        <v>4</v>
      </c>
      <c r="P7856">
        <v>2</v>
      </c>
      <c r="Q7856">
        <v>0</v>
      </c>
      <c r="R7856" t="s">
        <v>5281</v>
      </c>
      <c r="S7856" t="s">
        <v>4558</v>
      </c>
      <c r="T7856" t="s">
        <v>4559</v>
      </c>
      <c r="U7856" t="s">
        <v>4560</v>
      </c>
      <c r="V7856" s="2">
        <v>656</v>
      </c>
      <c r="W7856" t="s">
        <v>4655</v>
      </c>
      <c r="X7856" s="2">
        <v>0</v>
      </c>
      <c r="Y7856">
        <v>20</v>
      </c>
      <c r="Z7856" t="s">
        <v>5508</v>
      </c>
      <c r="AA7856" s="3">
        <v>0.34364095330238298</v>
      </c>
      <c r="AB7856" t="s">
        <v>14752</v>
      </c>
      <c r="AC7856" t="s">
        <v>4575</v>
      </c>
      <c r="AD7856" t="s">
        <v>36378</v>
      </c>
      <c r="AE7856" t="s">
        <v>4655</v>
      </c>
      <c r="AF7856" t="s">
        <v>5201</v>
      </c>
      <c r="AG7856" t="s">
        <v>4564</v>
      </c>
      <c r="AH7856" t="s">
        <v>1605</v>
      </c>
      <c r="AI7856" t="s">
        <v>4045</v>
      </c>
      <c r="AJ7856" t="s">
        <v>3168</v>
      </c>
      <c r="AK7856" t="s">
        <v>36379</v>
      </c>
      <c r="AL7856" s="13" t="s">
        <v>1892</v>
      </c>
      <c r="AM7856">
        <v>1</v>
      </c>
      <c r="AN7856" s="15" t="s">
        <v>2504</v>
      </c>
    </row>
    <row r="7857" spans="1:40" x14ac:dyDescent="0.3">
      <c r="A7857" s="10" t="str">
        <f>HYPERLINK("http://www.washoecounty.gov/assessor/cama/?parid=530-665-08&amp;CardNumber=1","530-665-08")</f>
        <v>530-665-08</v>
      </c>
      <c r="B7857" t="s">
        <v>4655</v>
      </c>
      <c r="C7857" t="s">
        <v>36380</v>
      </c>
      <c r="D7857" s="1">
        <v>40298</v>
      </c>
      <c r="E7857" s="2">
        <v>235000</v>
      </c>
      <c r="F7857" t="s">
        <v>4567</v>
      </c>
      <c r="G7857" s="17" t="str">
        <f>HYPERLINK("https://www.washoecounty.gov/assessor/cama/?command=sales&amp;parid=53066508","3876831")</f>
        <v>3876831</v>
      </c>
      <c r="H7857" t="s">
        <v>3167</v>
      </c>
      <c r="I7857">
        <v>2002</v>
      </c>
      <c r="J7857">
        <v>2002</v>
      </c>
      <c r="K7857" t="s">
        <v>4554</v>
      </c>
      <c r="L7857" t="s">
        <v>4555</v>
      </c>
      <c r="M7857" s="2">
        <v>2679</v>
      </c>
      <c r="N7857" t="s">
        <v>4048</v>
      </c>
      <c r="O7857">
        <v>4</v>
      </c>
      <c r="P7857">
        <v>3</v>
      </c>
      <c r="Q7857">
        <v>0</v>
      </c>
      <c r="R7857" t="s">
        <v>5281</v>
      </c>
      <c r="S7857" t="s">
        <v>4558</v>
      </c>
      <c r="T7857" t="s">
        <v>4559</v>
      </c>
      <c r="U7857" t="s">
        <v>4560</v>
      </c>
      <c r="V7857" s="2">
        <v>736</v>
      </c>
      <c r="W7857" t="s">
        <v>4655</v>
      </c>
      <c r="X7857" s="2">
        <v>0</v>
      </c>
      <c r="Y7857">
        <v>20</v>
      </c>
      <c r="Z7857" t="s">
        <v>5508</v>
      </c>
      <c r="AA7857" s="3">
        <v>0.37646922469139099</v>
      </c>
      <c r="AB7857" t="s">
        <v>36381</v>
      </c>
      <c r="AC7857" t="s">
        <v>4562</v>
      </c>
      <c r="AD7857" t="s">
        <v>36380</v>
      </c>
      <c r="AE7857" t="s">
        <v>4655</v>
      </c>
      <c r="AF7857" t="s">
        <v>5201</v>
      </c>
      <c r="AG7857" t="s">
        <v>4564</v>
      </c>
      <c r="AH7857" t="s">
        <v>1350</v>
      </c>
      <c r="AI7857" t="s">
        <v>36382</v>
      </c>
      <c r="AJ7857" t="s">
        <v>3168</v>
      </c>
      <c r="AK7857" t="s">
        <v>36383</v>
      </c>
      <c r="AL7857" s="13" t="s">
        <v>1892</v>
      </c>
      <c r="AM7857">
        <v>1</v>
      </c>
      <c r="AN7857" s="15" t="s">
        <v>2504</v>
      </c>
    </row>
    <row r="7858" spans="1:40" x14ac:dyDescent="0.3">
      <c r="A7858" s="10" t="str">
        <f>HYPERLINK("http://www.washoecounty.gov/assessor/cama/?parid=530-665-09&amp;CardNumber=1","530-665-09")</f>
        <v>530-665-09</v>
      </c>
      <c r="B7858" t="s">
        <v>4655</v>
      </c>
      <c r="C7858" t="s">
        <v>36384</v>
      </c>
      <c r="D7858" s="1">
        <v>40389</v>
      </c>
      <c r="E7858" s="2">
        <v>237500</v>
      </c>
      <c r="F7858" t="s">
        <v>4567</v>
      </c>
      <c r="G7858" s="17" t="str">
        <f>HYPERLINK("https://www.washoecounty.gov/assessor/cama/?command=sales&amp;parid=53066509","3907445")</f>
        <v>3907445</v>
      </c>
      <c r="H7858" t="s">
        <v>3167</v>
      </c>
      <c r="I7858">
        <v>2002</v>
      </c>
      <c r="J7858">
        <v>2002</v>
      </c>
      <c r="K7858" t="s">
        <v>4554</v>
      </c>
      <c r="L7858" t="s">
        <v>4555</v>
      </c>
      <c r="M7858" s="2">
        <v>2679</v>
      </c>
      <c r="N7858" t="s">
        <v>4048</v>
      </c>
      <c r="O7858">
        <v>5</v>
      </c>
      <c r="P7858">
        <v>3</v>
      </c>
      <c r="Q7858">
        <v>0</v>
      </c>
      <c r="R7858" t="s">
        <v>4557</v>
      </c>
      <c r="S7858" t="s">
        <v>4558</v>
      </c>
      <c r="T7858" t="s">
        <v>4559</v>
      </c>
      <c r="U7858" t="s">
        <v>4560</v>
      </c>
      <c r="V7858" s="2">
        <v>736</v>
      </c>
      <c r="W7858" t="s">
        <v>4655</v>
      </c>
      <c r="X7858" s="2">
        <v>0</v>
      </c>
      <c r="Y7858">
        <v>20</v>
      </c>
      <c r="Z7858" t="s">
        <v>5508</v>
      </c>
      <c r="AA7858" s="3">
        <v>0.350688695907593</v>
      </c>
      <c r="AB7858" t="s">
        <v>36385</v>
      </c>
      <c r="AC7858" t="s">
        <v>4562</v>
      </c>
      <c r="AD7858" t="s">
        <v>36384</v>
      </c>
      <c r="AE7858" t="s">
        <v>4655</v>
      </c>
      <c r="AF7858" t="s">
        <v>5201</v>
      </c>
      <c r="AG7858" t="s">
        <v>4564</v>
      </c>
      <c r="AH7858" t="s">
        <v>1350</v>
      </c>
      <c r="AI7858" t="s">
        <v>36386</v>
      </c>
      <c r="AJ7858" t="s">
        <v>3168</v>
      </c>
      <c r="AK7858" t="s">
        <v>36387</v>
      </c>
      <c r="AL7858" s="13" t="s">
        <v>1892</v>
      </c>
      <c r="AM7858">
        <v>1</v>
      </c>
      <c r="AN7858" s="15" t="s">
        <v>2504</v>
      </c>
    </row>
    <row r="7859" spans="1:40" x14ac:dyDescent="0.3">
      <c r="A7859" s="10" t="str">
        <f>HYPERLINK("http://www.washoecounty.gov/assessor/cama/?parid=530-665-10&amp;CardNumber=1","530-665-10")</f>
        <v>530-665-10</v>
      </c>
      <c r="B7859" t="s">
        <v>4655</v>
      </c>
      <c r="C7859" t="s">
        <v>36388</v>
      </c>
      <c r="D7859" s="1">
        <v>40408</v>
      </c>
      <c r="E7859" s="2">
        <v>145000</v>
      </c>
      <c r="F7859" t="s">
        <v>4567</v>
      </c>
      <c r="G7859" s="17" t="str">
        <f>HYPERLINK("https://www.washoecounty.gov/assessor/cama/?command=sales&amp;parid=53066510","3913210")</f>
        <v>3913210</v>
      </c>
      <c r="H7859" t="s">
        <v>3167</v>
      </c>
      <c r="I7859">
        <v>2002</v>
      </c>
      <c r="J7859">
        <v>2002</v>
      </c>
      <c r="K7859" t="s">
        <v>4554</v>
      </c>
      <c r="L7859" t="s">
        <v>4555</v>
      </c>
      <c r="M7859" s="2">
        <v>1353</v>
      </c>
      <c r="N7859" t="s">
        <v>4048</v>
      </c>
      <c r="O7859">
        <v>3</v>
      </c>
      <c r="P7859">
        <v>2</v>
      </c>
      <c r="Q7859">
        <v>0</v>
      </c>
      <c r="R7859" t="s">
        <v>5281</v>
      </c>
      <c r="S7859" t="s">
        <v>4558</v>
      </c>
      <c r="T7859" t="s">
        <v>4559</v>
      </c>
      <c r="U7859" t="s">
        <v>4560</v>
      </c>
      <c r="V7859" s="2">
        <v>440</v>
      </c>
      <c r="W7859" t="s">
        <v>4655</v>
      </c>
      <c r="X7859" s="2">
        <v>0</v>
      </c>
      <c r="Y7859">
        <v>20</v>
      </c>
      <c r="Z7859" t="s">
        <v>5508</v>
      </c>
      <c r="AA7859" s="3">
        <v>0.35215795040130599</v>
      </c>
      <c r="AB7859" t="s">
        <v>36389</v>
      </c>
      <c r="AC7859" t="s">
        <v>4562</v>
      </c>
      <c r="AD7859" t="s">
        <v>36388</v>
      </c>
      <c r="AE7859" t="s">
        <v>4655</v>
      </c>
      <c r="AF7859" t="s">
        <v>5201</v>
      </c>
      <c r="AG7859" t="s">
        <v>4564</v>
      </c>
      <c r="AH7859" t="s">
        <v>1350</v>
      </c>
      <c r="AI7859" t="s">
        <v>36390</v>
      </c>
      <c r="AJ7859" t="s">
        <v>3168</v>
      </c>
      <c r="AK7859" t="s">
        <v>36391</v>
      </c>
      <c r="AL7859" s="13" t="s">
        <v>1892</v>
      </c>
      <c r="AM7859" s="14">
        <v>1</v>
      </c>
      <c r="AN7859" s="15" t="s">
        <v>2504</v>
      </c>
    </row>
    <row r="7860" spans="1:40" x14ac:dyDescent="0.3">
      <c r="A7860" s="10" t="str">
        <f>HYPERLINK("http://www.washoecounty.gov/assessor/cama/?parid=530-666-04&amp;CardNumber=1","530-666-04")</f>
        <v>530-666-04</v>
      </c>
      <c r="B7860" t="s">
        <v>4655</v>
      </c>
      <c r="C7860" t="s">
        <v>36392</v>
      </c>
      <c r="D7860" s="1">
        <v>40396</v>
      </c>
      <c r="E7860" s="2">
        <v>215000</v>
      </c>
      <c r="F7860" t="s">
        <v>4553</v>
      </c>
      <c r="G7860" s="17" t="str">
        <f>HYPERLINK("https://www.washoecounty.gov/assessor/cama/?command=sales&amp;parid=53066604","3909362")</f>
        <v>3909362</v>
      </c>
      <c r="H7860" t="s">
        <v>737</v>
      </c>
      <c r="I7860">
        <v>2003</v>
      </c>
      <c r="J7860">
        <v>2003</v>
      </c>
      <c r="K7860" t="s">
        <v>4554</v>
      </c>
      <c r="L7860" t="s">
        <v>4555</v>
      </c>
      <c r="M7860" s="2">
        <v>1964</v>
      </c>
      <c r="N7860" t="s">
        <v>4048</v>
      </c>
      <c r="O7860">
        <v>4</v>
      </c>
      <c r="P7860">
        <v>2</v>
      </c>
      <c r="Q7860">
        <v>0</v>
      </c>
      <c r="R7860" t="s">
        <v>5281</v>
      </c>
      <c r="S7860" t="s">
        <v>4558</v>
      </c>
      <c r="T7860" t="s">
        <v>4559</v>
      </c>
      <c r="U7860" t="s">
        <v>4560</v>
      </c>
      <c r="V7860" s="2">
        <v>656</v>
      </c>
      <c r="W7860" t="s">
        <v>4655</v>
      </c>
      <c r="X7860" s="2">
        <v>0</v>
      </c>
      <c r="Y7860">
        <v>20</v>
      </c>
      <c r="Z7860" t="s">
        <v>5508</v>
      </c>
      <c r="AA7860" s="3">
        <v>0.34152892231941201</v>
      </c>
      <c r="AB7860" t="s">
        <v>2990</v>
      </c>
      <c r="AC7860" t="s">
        <v>4575</v>
      </c>
      <c r="AD7860" t="s">
        <v>36393</v>
      </c>
      <c r="AE7860" t="s">
        <v>4655</v>
      </c>
      <c r="AF7860" t="s">
        <v>4809</v>
      </c>
      <c r="AG7860" t="s">
        <v>4564</v>
      </c>
      <c r="AH7860" t="s">
        <v>1605</v>
      </c>
      <c r="AI7860" t="s">
        <v>36394</v>
      </c>
      <c r="AJ7860" t="s">
        <v>2222</v>
      </c>
      <c r="AK7860" t="s">
        <v>36395</v>
      </c>
      <c r="AL7860" s="13" t="s">
        <v>1892</v>
      </c>
      <c r="AM7860">
        <v>1</v>
      </c>
      <c r="AN7860" s="15" t="s">
        <v>2504</v>
      </c>
    </row>
    <row r="7861" spans="1:40" x14ac:dyDescent="0.3">
      <c r="A7861" s="10" t="str">
        <f>HYPERLINK("http://www.washoecounty.gov/assessor/cama/?parid=530-674-06&amp;CardNumber=1","530-674-06")</f>
        <v>530-674-06</v>
      </c>
      <c r="B7861" t="s">
        <v>4655</v>
      </c>
      <c r="C7861" t="s">
        <v>36396</v>
      </c>
      <c r="D7861" s="1">
        <v>40239</v>
      </c>
      <c r="E7861" s="2">
        <v>165000</v>
      </c>
      <c r="F7861" t="s">
        <v>4567</v>
      </c>
      <c r="G7861" s="17" t="str">
        <f>HYPERLINK("https://www.washoecounty.gov/assessor/cama/?command=sales&amp;parid=53067406","3854262")</f>
        <v>3854262</v>
      </c>
      <c r="H7861" t="s">
        <v>3167</v>
      </c>
      <c r="I7861">
        <v>2002</v>
      </c>
      <c r="J7861">
        <v>2002</v>
      </c>
      <c r="K7861" t="s">
        <v>4554</v>
      </c>
      <c r="L7861" t="s">
        <v>4555</v>
      </c>
      <c r="M7861" s="2">
        <v>1334</v>
      </c>
      <c r="N7861" t="s">
        <v>4048</v>
      </c>
      <c r="O7861">
        <v>3</v>
      </c>
      <c r="P7861">
        <v>2</v>
      </c>
      <c r="Q7861">
        <v>0</v>
      </c>
      <c r="R7861" t="s">
        <v>5281</v>
      </c>
      <c r="S7861" t="s">
        <v>4558</v>
      </c>
      <c r="T7861" t="s">
        <v>4559</v>
      </c>
      <c r="U7861" t="s">
        <v>4560</v>
      </c>
      <c r="V7861" s="2">
        <v>484</v>
      </c>
      <c r="W7861" t="s">
        <v>4655</v>
      </c>
      <c r="X7861" s="2">
        <v>0</v>
      </c>
      <c r="Y7861">
        <v>20</v>
      </c>
      <c r="Z7861" t="s">
        <v>5508</v>
      </c>
      <c r="AA7861" s="3">
        <v>0.29292929172515869</v>
      </c>
      <c r="AB7861" t="s">
        <v>36397</v>
      </c>
      <c r="AC7861" t="s">
        <v>4562</v>
      </c>
      <c r="AD7861" t="s">
        <v>36396</v>
      </c>
      <c r="AE7861" t="s">
        <v>4655</v>
      </c>
      <c r="AF7861" t="s">
        <v>5201</v>
      </c>
      <c r="AG7861" t="s">
        <v>4564</v>
      </c>
      <c r="AH7861" t="s">
        <v>1350</v>
      </c>
      <c r="AI7861" t="s">
        <v>36398</v>
      </c>
      <c r="AJ7861" t="s">
        <v>3168</v>
      </c>
      <c r="AK7861" t="s">
        <v>36399</v>
      </c>
      <c r="AL7861" s="13" t="s">
        <v>1892</v>
      </c>
      <c r="AM7861" s="14">
        <v>1</v>
      </c>
      <c r="AN7861" s="15" t="s">
        <v>2504</v>
      </c>
    </row>
    <row r="7862" spans="1:40" x14ac:dyDescent="0.3">
      <c r="A7862" s="10" t="str">
        <f>HYPERLINK("http://www.washoecounty.gov/assessor/cama/?parid=530-674-07&amp;CardNumber=1","530-674-07")</f>
        <v>530-674-07</v>
      </c>
      <c r="B7862" t="s">
        <v>4655</v>
      </c>
      <c r="C7862" t="s">
        <v>2805</v>
      </c>
      <c r="D7862" s="1">
        <v>40310</v>
      </c>
      <c r="E7862" s="2">
        <v>124000</v>
      </c>
      <c r="F7862" t="s">
        <v>4553</v>
      </c>
      <c r="G7862" s="17" t="str">
        <f>HYPERLINK("https://www.washoecounty.gov/assessor/cama/?command=sales&amp;parid=53067407","388885")</f>
        <v>388885</v>
      </c>
      <c r="H7862" t="s">
        <v>3167</v>
      </c>
      <c r="I7862">
        <v>2002</v>
      </c>
      <c r="J7862">
        <v>2002</v>
      </c>
      <c r="K7862" t="s">
        <v>4554</v>
      </c>
      <c r="L7862" t="s">
        <v>4555</v>
      </c>
      <c r="M7862" s="2">
        <v>1496</v>
      </c>
      <c r="N7862" t="s">
        <v>4048</v>
      </c>
      <c r="O7862">
        <v>3</v>
      </c>
      <c r="P7862">
        <v>2</v>
      </c>
      <c r="Q7862">
        <v>0</v>
      </c>
      <c r="R7862" t="s">
        <v>4557</v>
      </c>
      <c r="S7862" t="s">
        <v>4558</v>
      </c>
      <c r="T7862" t="s">
        <v>4559</v>
      </c>
      <c r="U7862" t="s">
        <v>4560</v>
      </c>
      <c r="V7862" s="2">
        <v>704</v>
      </c>
      <c r="W7862" t="s">
        <v>4655</v>
      </c>
      <c r="X7862" s="2">
        <v>0</v>
      </c>
      <c r="Y7862">
        <v>20</v>
      </c>
      <c r="Z7862" t="s">
        <v>5508</v>
      </c>
      <c r="AA7862" s="3">
        <v>0.29292929172515869</v>
      </c>
      <c r="AB7862" t="s">
        <v>5723</v>
      </c>
      <c r="AC7862" t="s">
        <v>4562</v>
      </c>
      <c r="AD7862" t="s">
        <v>5724</v>
      </c>
      <c r="AE7862" t="s">
        <v>4655</v>
      </c>
      <c r="AF7862" t="s">
        <v>4809</v>
      </c>
      <c r="AG7862" t="s">
        <v>4564</v>
      </c>
      <c r="AH7862" t="s">
        <v>1350</v>
      </c>
      <c r="AI7862" t="s">
        <v>2618</v>
      </c>
      <c r="AJ7862" t="s">
        <v>3168</v>
      </c>
      <c r="AK7862" t="s">
        <v>2806</v>
      </c>
      <c r="AL7862" s="13" t="s">
        <v>1892</v>
      </c>
      <c r="AM7862" s="14">
        <v>1</v>
      </c>
      <c r="AN7862" s="15" t="s">
        <v>2504</v>
      </c>
    </row>
    <row r="7863" spans="1:40" x14ac:dyDescent="0.3">
      <c r="A7863" s="10" t="str">
        <f>HYPERLINK("http://www.washoecounty.gov/assessor/cama/?parid=530-674-07&amp;CardNumber=1","530-674-07")</f>
        <v>530-674-07</v>
      </c>
      <c r="B7863" t="s">
        <v>4655</v>
      </c>
      <c r="C7863" t="s">
        <v>2805</v>
      </c>
      <c r="D7863" s="1">
        <v>40324</v>
      </c>
      <c r="E7863" s="2">
        <v>145000</v>
      </c>
      <c r="F7863" t="s">
        <v>4567</v>
      </c>
      <c r="G7863" s="17" t="str">
        <f>HYPERLINK("https://www.washoecounty.gov/assessor/cama/?command=sales&amp;parid=53067407","3885181")</f>
        <v>3885181</v>
      </c>
      <c r="H7863" t="s">
        <v>3167</v>
      </c>
      <c r="I7863">
        <v>2002</v>
      </c>
      <c r="J7863">
        <v>2002</v>
      </c>
      <c r="K7863" t="s">
        <v>4554</v>
      </c>
      <c r="L7863" t="s">
        <v>4555</v>
      </c>
      <c r="M7863" s="2">
        <v>1496</v>
      </c>
      <c r="N7863" t="s">
        <v>4048</v>
      </c>
      <c r="O7863">
        <v>3</v>
      </c>
      <c r="P7863">
        <v>2</v>
      </c>
      <c r="Q7863">
        <v>0</v>
      </c>
      <c r="R7863" t="s">
        <v>4557</v>
      </c>
      <c r="S7863" t="s">
        <v>4558</v>
      </c>
      <c r="T7863" t="s">
        <v>4559</v>
      </c>
      <c r="U7863" t="s">
        <v>4560</v>
      </c>
      <c r="V7863" s="2">
        <v>704</v>
      </c>
      <c r="W7863" t="s">
        <v>4655</v>
      </c>
      <c r="X7863" s="2">
        <v>0</v>
      </c>
      <c r="Y7863">
        <v>20</v>
      </c>
      <c r="Z7863" t="s">
        <v>5508</v>
      </c>
      <c r="AA7863" s="3">
        <v>0.29292929172515869</v>
      </c>
      <c r="AB7863" t="s">
        <v>5723</v>
      </c>
      <c r="AC7863" t="s">
        <v>4562</v>
      </c>
      <c r="AD7863" t="s">
        <v>5724</v>
      </c>
      <c r="AE7863" t="s">
        <v>4655</v>
      </c>
      <c r="AF7863" t="s">
        <v>4809</v>
      </c>
      <c r="AG7863" t="s">
        <v>4564</v>
      </c>
      <c r="AH7863" t="s">
        <v>1350</v>
      </c>
      <c r="AI7863" t="s">
        <v>2618</v>
      </c>
      <c r="AJ7863" t="s">
        <v>3168</v>
      </c>
      <c r="AK7863" t="s">
        <v>2806</v>
      </c>
      <c r="AL7863" s="13" t="s">
        <v>1892</v>
      </c>
      <c r="AM7863">
        <v>1</v>
      </c>
      <c r="AN7863" s="15" t="s">
        <v>2504</v>
      </c>
    </row>
    <row r="7864" spans="1:40" x14ac:dyDescent="0.3">
      <c r="A7864" s="10" t="str">
        <f>HYPERLINK("http://www.washoecounty.gov/assessor/cama/?parid=530-682-06&amp;CardNumber=1","530-682-06")</f>
        <v>530-682-06</v>
      </c>
      <c r="B7864" t="s">
        <v>4655</v>
      </c>
      <c r="C7864" t="s">
        <v>36400</v>
      </c>
      <c r="D7864" s="1">
        <v>40312</v>
      </c>
      <c r="E7864" s="2">
        <v>180000</v>
      </c>
      <c r="F7864" t="s">
        <v>4567</v>
      </c>
      <c r="G7864" s="17" t="str">
        <f>HYPERLINK("https://www.washoecounty.gov/assessor/cama/?command=sales&amp;parid=53068206","3881362")</f>
        <v>3881362</v>
      </c>
      <c r="H7864" t="s">
        <v>2807</v>
      </c>
      <c r="I7864">
        <v>2002</v>
      </c>
      <c r="J7864">
        <v>2002</v>
      </c>
      <c r="K7864" t="s">
        <v>4554</v>
      </c>
      <c r="L7864" t="s">
        <v>4555</v>
      </c>
      <c r="M7864" s="2">
        <v>1705</v>
      </c>
      <c r="N7864" t="s">
        <v>5280</v>
      </c>
      <c r="O7864">
        <v>3</v>
      </c>
      <c r="P7864">
        <v>2</v>
      </c>
      <c r="Q7864">
        <v>0</v>
      </c>
      <c r="R7864" t="s">
        <v>5281</v>
      </c>
      <c r="S7864" t="s">
        <v>4558</v>
      </c>
      <c r="T7864" t="s">
        <v>4559</v>
      </c>
      <c r="U7864" t="s">
        <v>4560</v>
      </c>
      <c r="V7864" s="2">
        <v>617</v>
      </c>
      <c r="W7864" t="s">
        <v>4655</v>
      </c>
      <c r="X7864" s="2">
        <v>0</v>
      </c>
      <c r="Y7864">
        <v>20</v>
      </c>
      <c r="Z7864" t="s">
        <v>5508</v>
      </c>
      <c r="AA7864" s="3">
        <v>0.28285124897956798</v>
      </c>
      <c r="AB7864" t="s">
        <v>36401</v>
      </c>
      <c r="AC7864" t="s">
        <v>4575</v>
      </c>
      <c r="AD7864" t="s">
        <v>36400</v>
      </c>
      <c r="AE7864" t="s">
        <v>4655</v>
      </c>
      <c r="AF7864" t="s">
        <v>5201</v>
      </c>
      <c r="AG7864" t="s">
        <v>4564</v>
      </c>
      <c r="AH7864" t="s">
        <v>1605</v>
      </c>
      <c r="AI7864" t="s">
        <v>36402</v>
      </c>
      <c r="AJ7864" t="s">
        <v>2817</v>
      </c>
      <c r="AK7864" t="s">
        <v>36403</v>
      </c>
      <c r="AL7864" s="13" t="s">
        <v>1892</v>
      </c>
      <c r="AM7864">
        <v>1</v>
      </c>
      <c r="AN7864" s="15" t="s">
        <v>32</v>
      </c>
    </row>
    <row r="7865" spans="1:40" x14ac:dyDescent="0.3">
      <c r="A7865" s="10" t="str">
        <f>HYPERLINK("http://www.washoecounty.gov/assessor/cama/?parid=530-692-12&amp;CardNumber=1","530-692-12")</f>
        <v>530-692-12</v>
      </c>
      <c r="B7865" t="s">
        <v>4655</v>
      </c>
      <c r="C7865" t="s">
        <v>36404</v>
      </c>
      <c r="D7865" s="1">
        <v>40539</v>
      </c>
      <c r="E7865" s="2">
        <v>197800</v>
      </c>
      <c r="F7865" t="s">
        <v>4553</v>
      </c>
      <c r="G7865" s="17" t="str">
        <f>HYPERLINK("https://www.washoecounty.gov/assessor/cama/?command=sales&amp;parid=53069212","3957575")</f>
        <v>3957575</v>
      </c>
      <c r="H7865" t="s">
        <v>2807</v>
      </c>
      <c r="I7865">
        <v>2002</v>
      </c>
      <c r="J7865">
        <v>2002</v>
      </c>
      <c r="K7865" t="s">
        <v>4554</v>
      </c>
      <c r="L7865" t="s">
        <v>4555</v>
      </c>
      <c r="M7865" s="2">
        <v>2235</v>
      </c>
      <c r="N7865" t="s">
        <v>5280</v>
      </c>
      <c r="O7865">
        <v>4</v>
      </c>
      <c r="P7865">
        <v>2</v>
      </c>
      <c r="Q7865">
        <v>0</v>
      </c>
      <c r="R7865" t="s">
        <v>5281</v>
      </c>
      <c r="S7865" t="s">
        <v>4558</v>
      </c>
      <c r="T7865" t="s">
        <v>4559</v>
      </c>
      <c r="U7865" t="s">
        <v>4560</v>
      </c>
      <c r="V7865" s="2">
        <v>600</v>
      </c>
      <c r="W7865" t="s">
        <v>4655</v>
      </c>
      <c r="X7865" s="2">
        <v>0</v>
      </c>
      <c r="Y7865">
        <v>20</v>
      </c>
      <c r="Z7865" t="s">
        <v>5508</v>
      </c>
      <c r="AA7865" s="3">
        <v>0.39639577269554138</v>
      </c>
      <c r="AB7865" t="s">
        <v>36405</v>
      </c>
      <c r="AC7865" t="s">
        <v>4562</v>
      </c>
      <c r="AD7865" t="s">
        <v>36404</v>
      </c>
      <c r="AE7865" t="s">
        <v>4655</v>
      </c>
      <c r="AF7865" t="s">
        <v>5201</v>
      </c>
      <c r="AG7865" t="s">
        <v>4564</v>
      </c>
      <c r="AH7865" t="s">
        <v>1605</v>
      </c>
      <c r="AI7865" t="s">
        <v>4565</v>
      </c>
      <c r="AJ7865" t="s">
        <v>2817</v>
      </c>
      <c r="AK7865" t="s">
        <v>36406</v>
      </c>
      <c r="AL7865" s="13" t="s">
        <v>1892</v>
      </c>
      <c r="AM7865" s="14">
        <v>1</v>
      </c>
      <c r="AN7865" s="15" t="s">
        <v>32</v>
      </c>
    </row>
    <row r="7866" spans="1:40" x14ac:dyDescent="0.3">
      <c r="A7866" s="10" t="str">
        <f>HYPERLINK("http://www.washoecounty.gov/assessor/cama/?parid=530-692-20&amp;CardNumber=1","530-692-20")</f>
        <v>530-692-20</v>
      </c>
      <c r="B7866" t="s">
        <v>4655</v>
      </c>
      <c r="C7866" t="s">
        <v>36407</v>
      </c>
      <c r="D7866" s="1">
        <v>40410</v>
      </c>
      <c r="E7866" s="2">
        <v>194500</v>
      </c>
      <c r="F7866" t="s">
        <v>4567</v>
      </c>
      <c r="G7866" s="17" t="str">
        <f>HYPERLINK("https://www.washoecounty.gov/assessor/cama/?command=sales&amp;parid=53069220","3914153")</f>
        <v>3914153</v>
      </c>
      <c r="H7866" t="s">
        <v>2807</v>
      </c>
      <c r="I7866">
        <v>2002</v>
      </c>
      <c r="J7866">
        <v>2002</v>
      </c>
      <c r="K7866" t="s">
        <v>4554</v>
      </c>
      <c r="L7866" t="s">
        <v>4555</v>
      </c>
      <c r="M7866" s="2">
        <v>1705</v>
      </c>
      <c r="N7866" t="s">
        <v>5280</v>
      </c>
      <c r="O7866">
        <v>3</v>
      </c>
      <c r="P7866">
        <v>2</v>
      </c>
      <c r="Q7866">
        <v>0</v>
      </c>
      <c r="R7866" t="s">
        <v>4557</v>
      </c>
      <c r="S7866" t="s">
        <v>4898</v>
      </c>
      <c r="T7866" t="s">
        <v>2704</v>
      </c>
      <c r="U7866" t="s">
        <v>4560</v>
      </c>
      <c r="V7866" s="2">
        <v>617</v>
      </c>
      <c r="W7866" t="s">
        <v>4655</v>
      </c>
      <c r="X7866" s="2">
        <v>0</v>
      </c>
      <c r="Y7866">
        <v>20</v>
      </c>
      <c r="Z7866" t="s">
        <v>5508</v>
      </c>
      <c r="AA7866" s="3">
        <v>0.32405877113342302</v>
      </c>
      <c r="AB7866" t="s">
        <v>36408</v>
      </c>
      <c r="AC7866" t="s">
        <v>4562</v>
      </c>
      <c r="AD7866" t="s">
        <v>36407</v>
      </c>
      <c r="AE7866" t="s">
        <v>4655</v>
      </c>
      <c r="AF7866" t="s">
        <v>5201</v>
      </c>
      <c r="AG7866" t="s">
        <v>4564</v>
      </c>
      <c r="AH7866" t="s">
        <v>1605</v>
      </c>
      <c r="AI7866" t="s">
        <v>36409</v>
      </c>
      <c r="AJ7866" t="s">
        <v>2817</v>
      </c>
      <c r="AK7866" t="s">
        <v>36410</v>
      </c>
      <c r="AL7866" s="13" t="s">
        <v>1892</v>
      </c>
      <c r="AM7866" s="14">
        <v>1</v>
      </c>
      <c r="AN7866" s="15" t="s">
        <v>32</v>
      </c>
    </row>
    <row r="7867" spans="1:40" x14ac:dyDescent="0.3">
      <c r="A7867" s="10" t="str">
        <f>HYPERLINK("http://www.washoecounty.gov/assessor/cama/?parid=530-701-06&amp;CardNumber=1","530-701-06")</f>
        <v>530-701-06</v>
      </c>
      <c r="B7867" t="s">
        <v>4655</v>
      </c>
      <c r="C7867" t="s">
        <v>36411</v>
      </c>
      <c r="D7867" s="1">
        <v>40337</v>
      </c>
      <c r="E7867" s="2">
        <v>155000</v>
      </c>
      <c r="F7867" t="s">
        <v>4567</v>
      </c>
      <c r="G7867" s="17" t="str">
        <f>HYPERLINK("https://www.washoecounty.gov/assessor/cama/?command=sales&amp;parid=53070106","3889423")</f>
        <v>3889423</v>
      </c>
      <c r="H7867" t="s">
        <v>737</v>
      </c>
      <c r="I7867">
        <v>2003</v>
      </c>
      <c r="J7867">
        <v>2003</v>
      </c>
      <c r="K7867" t="s">
        <v>4554</v>
      </c>
      <c r="L7867" t="s">
        <v>4555</v>
      </c>
      <c r="M7867" s="2">
        <v>1496</v>
      </c>
      <c r="N7867" t="s">
        <v>4048</v>
      </c>
      <c r="O7867">
        <v>3</v>
      </c>
      <c r="P7867">
        <v>2</v>
      </c>
      <c r="Q7867">
        <v>0</v>
      </c>
      <c r="R7867" t="s">
        <v>4557</v>
      </c>
      <c r="S7867" t="s">
        <v>4558</v>
      </c>
      <c r="T7867" t="s">
        <v>4559</v>
      </c>
      <c r="U7867" t="s">
        <v>4560</v>
      </c>
      <c r="V7867" s="2">
        <v>704</v>
      </c>
      <c r="W7867" t="s">
        <v>4655</v>
      </c>
      <c r="X7867" s="2">
        <v>0</v>
      </c>
      <c r="Y7867">
        <v>20</v>
      </c>
      <c r="Z7867" t="s">
        <v>5508</v>
      </c>
      <c r="AA7867" s="3">
        <v>0.337396681308746</v>
      </c>
      <c r="AB7867" t="s">
        <v>36412</v>
      </c>
      <c r="AC7867" t="s">
        <v>4562</v>
      </c>
      <c r="AD7867" t="s">
        <v>36411</v>
      </c>
      <c r="AE7867" t="s">
        <v>4655</v>
      </c>
      <c r="AF7867" t="s">
        <v>5201</v>
      </c>
      <c r="AG7867" t="s">
        <v>4564</v>
      </c>
      <c r="AH7867" t="s">
        <v>1350</v>
      </c>
      <c r="AI7867" t="s">
        <v>36413</v>
      </c>
      <c r="AJ7867" t="s">
        <v>2222</v>
      </c>
      <c r="AK7867" t="s">
        <v>36414</v>
      </c>
      <c r="AL7867" s="13" t="s">
        <v>1892</v>
      </c>
      <c r="AM7867" s="14">
        <v>1</v>
      </c>
      <c r="AN7867" s="15" t="s">
        <v>2504</v>
      </c>
    </row>
    <row r="7868" spans="1:40" x14ac:dyDescent="0.3">
      <c r="A7868" s="10" t="str">
        <f>HYPERLINK("http://www.washoecounty.gov/assessor/cama/?parid=530-702-06&amp;CardNumber=1","530-702-06")</f>
        <v>530-702-06</v>
      </c>
      <c r="B7868" t="s">
        <v>4655</v>
      </c>
      <c r="C7868" t="s">
        <v>36415</v>
      </c>
      <c r="D7868" s="1">
        <v>40189</v>
      </c>
      <c r="E7868" s="2">
        <v>170000</v>
      </c>
      <c r="F7868" t="s">
        <v>4567</v>
      </c>
      <c r="G7868" s="17" t="str">
        <f>HYPERLINK("https://www.washoecounty.gov/assessor/cama/?command=sales&amp;parid=53070206","3837915")</f>
        <v>3837915</v>
      </c>
      <c r="H7868" t="s">
        <v>737</v>
      </c>
      <c r="I7868">
        <v>2003</v>
      </c>
      <c r="J7868">
        <v>2003</v>
      </c>
      <c r="K7868" t="s">
        <v>4554</v>
      </c>
      <c r="L7868" t="s">
        <v>4555</v>
      </c>
      <c r="M7868" s="2">
        <v>1775</v>
      </c>
      <c r="N7868" t="s">
        <v>4048</v>
      </c>
      <c r="O7868">
        <v>3</v>
      </c>
      <c r="P7868">
        <v>2</v>
      </c>
      <c r="Q7868">
        <v>0</v>
      </c>
      <c r="R7868" t="s">
        <v>5281</v>
      </c>
      <c r="S7868" t="s">
        <v>4558</v>
      </c>
      <c r="T7868" t="s">
        <v>4559</v>
      </c>
      <c r="U7868" t="s">
        <v>4560</v>
      </c>
      <c r="V7868" s="2">
        <v>653</v>
      </c>
      <c r="W7868" t="s">
        <v>4655</v>
      </c>
      <c r="X7868" s="2">
        <v>0</v>
      </c>
      <c r="Y7868">
        <v>20</v>
      </c>
      <c r="Z7868" t="s">
        <v>5508</v>
      </c>
      <c r="AA7868" s="3">
        <v>0.30479797720909102</v>
      </c>
      <c r="AB7868" t="s">
        <v>692</v>
      </c>
      <c r="AC7868" t="s">
        <v>4575</v>
      </c>
      <c r="AD7868" t="s">
        <v>36416</v>
      </c>
      <c r="AE7868" t="s">
        <v>2221</v>
      </c>
      <c r="AF7868" t="s">
        <v>5201</v>
      </c>
      <c r="AG7868" t="s">
        <v>4564</v>
      </c>
      <c r="AH7868" t="s">
        <v>1605</v>
      </c>
      <c r="AI7868" t="s">
        <v>36417</v>
      </c>
      <c r="AJ7868" t="s">
        <v>2222</v>
      </c>
      <c r="AK7868" t="s">
        <v>36418</v>
      </c>
      <c r="AL7868" s="13" t="s">
        <v>1892</v>
      </c>
      <c r="AM7868" s="14">
        <v>1</v>
      </c>
      <c r="AN7868" s="15" t="s">
        <v>2504</v>
      </c>
    </row>
    <row r="7869" spans="1:40" x14ac:dyDescent="0.3">
      <c r="A7869" s="10" t="str">
        <f>HYPERLINK("http://www.washoecounty.gov/assessor/cama/?parid=530-702-10&amp;CardNumber=1","530-702-10")</f>
        <v>530-702-10</v>
      </c>
      <c r="B7869" t="s">
        <v>4655</v>
      </c>
      <c r="C7869" t="s">
        <v>36419</v>
      </c>
      <c r="D7869" s="1">
        <v>40367</v>
      </c>
      <c r="E7869" s="2">
        <v>199900</v>
      </c>
      <c r="F7869" t="s">
        <v>4553</v>
      </c>
      <c r="G7869" s="17" t="str">
        <f>HYPERLINK("https://www.washoecounty.gov/assessor/cama/?command=sales&amp;parid=53070210","3899813")</f>
        <v>3899813</v>
      </c>
      <c r="H7869" t="s">
        <v>737</v>
      </c>
      <c r="I7869">
        <v>2003</v>
      </c>
      <c r="J7869">
        <v>2003</v>
      </c>
      <c r="K7869" t="s">
        <v>4554</v>
      </c>
      <c r="L7869" t="s">
        <v>4555</v>
      </c>
      <c r="M7869" s="2">
        <v>1877</v>
      </c>
      <c r="N7869" t="s">
        <v>4048</v>
      </c>
      <c r="O7869">
        <v>3</v>
      </c>
      <c r="P7869">
        <v>2</v>
      </c>
      <c r="Q7869">
        <v>0</v>
      </c>
      <c r="R7869" t="s">
        <v>5281</v>
      </c>
      <c r="S7869" t="s">
        <v>4558</v>
      </c>
      <c r="T7869" t="s">
        <v>4559</v>
      </c>
      <c r="U7869" t="s">
        <v>4560</v>
      </c>
      <c r="V7869" s="2">
        <v>769</v>
      </c>
      <c r="W7869" t="s">
        <v>4655</v>
      </c>
      <c r="X7869" s="2">
        <v>0</v>
      </c>
      <c r="Y7869">
        <v>20</v>
      </c>
      <c r="Z7869" t="s">
        <v>5508</v>
      </c>
      <c r="AA7869" s="3">
        <v>0.44887512922286998</v>
      </c>
      <c r="AB7869" t="s">
        <v>36420</v>
      </c>
      <c r="AC7869" t="s">
        <v>4575</v>
      </c>
      <c r="AD7869" t="s">
        <v>36421</v>
      </c>
      <c r="AE7869" t="s">
        <v>4655</v>
      </c>
      <c r="AF7869" t="s">
        <v>4809</v>
      </c>
      <c r="AG7869" t="s">
        <v>4564</v>
      </c>
      <c r="AH7869" t="s">
        <v>1350</v>
      </c>
      <c r="AI7869" t="s">
        <v>4585</v>
      </c>
      <c r="AJ7869" t="s">
        <v>2222</v>
      </c>
      <c r="AK7869" t="s">
        <v>36422</v>
      </c>
      <c r="AL7869" s="13" t="s">
        <v>1892</v>
      </c>
      <c r="AM7869" s="14">
        <v>1</v>
      </c>
      <c r="AN7869" s="15" t="s">
        <v>2504</v>
      </c>
    </row>
    <row r="7870" spans="1:40" x14ac:dyDescent="0.3">
      <c r="A7870" s="10" t="str">
        <f>HYPERLINK("http://www.washoecounty.gov/assessor/cama/?parid=530-702-14&amp;CardNumber=1","530-702-14")</f>
        <v>530-702-14</v>
      </c>
      <c r="B7870" t="s">
        <v>4655</v>
      </c>
      <c r="C7870" t="s">
        <v>36423</v>
      </c>
      <c r="D7870" s="1">
        <v>40479</v>
      </c>
      <c r="E7870" s="2">
        <v>165000</v>
      </c>
      <c r="F7870" t="s">
        <v>4567</v>
      </c>
      <c r="G7870" s="17" t="str">
        <f>HYPERLINK("https://www.washoecounty.gov/assessor/cama/?command=sales&amp;parid=53070214","3937887")</f>
        <v>3937887</v>
      </c>
      <c r="H7870" t="s">
        <v>737</v>
      </c>
      <c r="I7870">
        <v>2003</v>
      </c>
      <c r="J7870">
        <v>2003</v>
      </c>
      <c r="K7870" t="s">
        <v>4554</v>
      </c>
      <c r="L7870" t="s">
        <v>4555</v>
      </c>
      <c r="M7870" s="2">
        <v>1496</v>
      </c>
      <c r="N7870" t="s">
        <v>4048</v>
      </c>
      <c r="O7870">
        <v>3</v>
      </c>
      <c r="P7870">
        <v>2</v>
      </c>
      <c r="Q7870">
        <v>0</v>
      </c>
      <c r="R7870" t="s">
        <v>4557</v>
      </c>
      <c r="S7870" t="s">
        <v>4558</v>
      </c>
      <c r="T7870" t="s">
        <v>4559</v>
      </c>
      <c r="U7870" t="s">
        <v>4560</v>
      </c>
      <c r="V7870" s="2">
        <v>704</v>
      </c>
      <c r="W7870" t="s">
        <v>4655</v>
      </c>
      <c r="X7870" s="2">
        <v>0</v>
      </c>
      <c r="Y7870">
        <v>20</v>
      </c>
      <c r="Z7870" t="s">
        <v>5508</v>
      </c>
      <c r="AA7870" s="3">
        <v>0.318181812763214</v>
      </c>
      <c r="AB7870" t="s">
        <v>36424</v>
      </c>
      <c r="AC7870" t="s">
        <v>4562</v>
      </c>
      <c r="AD7870" t="s">
        <v>36423</v>
      </c>
      <c r="AE7870" t="s">
        <v>4655</v>
      </c>
      <c r="AF7870" t="s">
        <v>5201</v>
      </c>
      <c r="AG7870" t="s">
        <v>4564</v>
      </c>
      <c r="AH7870" t="s">
        <v>1350</v>
      </c>
      <c r="AI7870" t="s">
        <v>36425</v>
      </c>
      <c r="AJ7870" t="s">
        <v>2222</v>
      </c>
      <c r="AK7870" t="s">
        <v>36426</v>
      </c>
      <c r="AL7870" s="13" t="s">
        <v>1892</v>
      </c>
      <c r="AM7870">
        <v>1</v>
      </c>
      <c r="AN7870" s="15" t="s">
        <v>2504</v>
      </c>
    </row>
    <row r="7871" spans="1:40" x14ac:dyDescent="0.3">
      <c r="A7871" s="10" t="str">
        <f>HYPERLINK("http://www.washoecounty.gov/assessor/cama/?parid=530-713-04&amp;CardNumber=1","530-713-04")</f>
        <v>530-713-04</v>
      </c>
      <c r="B7871" t="s">
        <v>4655</v>
      </c>
      <c r="C7871" t="s">
        <v>36427</v>
      </c>
      <c r="D7871" s="1">
        <v>40198</v>
      </c>
      <c r="E7871" s="2">
        <v>155000</v>
      </c>
      <c r="F7871" t="s">
        <v>4567</v>
      </c>
      <c r="G7871" s="17" t="str">
        <f>HYPERLINK("https://www.washoecounty.gov/assessor/cama/?command=sales&amp;parid=53071304","3840813")</f>
        <v>3840813</v>
      </c>
      <c r="H7871" t="s">
        <v>737</v>
      </c>
      <c r="I7871">
        <v>2003</v>
      </c>
      <c r="J7871">
        <v>2003</v>
      </c>
      <c r="K7871" t="s">
        <v>4554</v>
      </c>
      <c r="L7871" t="s">
        <v>4555</v>
      </c>
      <c r="M7871" s="2">
        <v>1334</v>
      </c>
      <c r="N7871" t="s">
        <v>4048</v>
      </c>
      <c r="O7871">
        <v>3</v>
      </c>
      <c r="P7871">
        <v>2</v>
      </c>
      <c r="Q7871">
        <v>0</v>
      </c>
      <c r="R7871" t="s">
        <v>4557</v>
      </c>
      <c r="S7871" t="s">
        <v>4558</v>
      </c>
      <c r="T7871" t="s">
        <v>4559</v>
      </c>
      <c r="U7871" t="s">
        <v>4560</v>
      </c>
      <c r="V7871" s="2">
        <v>484</v>
      </c>
      <c r="W7871" t="s">
        <v>4655</v>
      </c>
      <c r="X7871" s="2">
        <v>0</v>
      </c>
      <c r="Y7871">
        <v>20</v>
      </c>
      <c r="Z7871" t="s">
        <v>5508</v>
      </c>
      <c r="AA7871" s="3">
        <v>0.32906335592269897</v>
      </c>
      <c r="AB7871" t="s">
        <v>36428</v>
      </c>
      <c r="AC7871" t="s">
        <v>4562</v>
      </c>
      <c r="AD7871" t="s">
        <v>36427</v>
      </c>
      <c r="AE7871" t="s">
        <v>4655</v>
      </c>
      <c r="AF7871" t="s">
        <v>5201</v>
      </c>
      <c r="AG7871" t="s">
        <v>4564</v>
      </c>
      <c r="AH7871" t="s">
        <v>1350</v>
      </c>
      <c r="AI7871" t="s">
        <v>36429</v>
      </c>
      <c r="AJ7871" t="s">
        <v>2222</v>
      </c>
      <c r="AK7871" t="s">
        <v>36430</v>
      </c>
      <c r="AL7871" s="13" t="s">
        <v>1892</v>
      </c>
      <c r="AM7871" s="14">
        <v>1</v>
      </c>
      <c r="AN7871" s="15" t="s">
        <v>2504</v>
      </c>
    </row>
    <row r="7872" spans="1:40" x14ac:dyDescent="0.3">
      <c r="A7872" s="10" t="str">
        <f>HYPERLINK("http://www.washoecounty.gov/assessor/cama/?parid=530-721-05&amp;CardNumber=1","530-721-05")</f>
        <v>530-721-05</v>
      </c>
      <c r="B7872" t="s">
        <v>4655</v>
      </c>
      <c r="C7872" t="s">
        <v>36431</v>
      </c>
      <c r="D7872" s="1">
        <v>40417</v>
      </c>
      <c r="E7872" s="2">
        <v>230000</v>
      </c>
      <c r="F7872" t="s">
        <v>4567</v>
      </c>
      <c r="G7872" s="17" t="str">
        <f>HYPERLINK("https://www.washoecounty.gov/assessor/cama/?command=sales&amp;parid=53072105","3916589")</f>
        <v>3916589</v>
      </c>
      <c r="H7872" t="s">
        <v>5344</v>
      </c>
      <c r="I7872">
        <v>2004</v>
      </c>
      <c r="J7872">
        <v>2004</v>
      </c>
      <c r="K7872" t="s">
        <v>4554</v>
      </c>
      <c r="L7872" t="s">
        <v>3974</v>
      </c>
      <c r="M7872" s="2">
        <v>2920</v>
      </c>
      <c r="N7872" t="s">
        <v>5280</v>
      </c>
      <c r="O7872">
        <v>5</v>
      </c>
      <c r="P7872">
        <v>3</v>
      </c>
      <c r="Q7872">
        <v>0</v>
      </c>
      <c r="R7872" t="s">
        <v>5281</v>
      </c>
      <c r="S7872" t="s">
        <v>4898</v>
      </c>
      <c r="T7872" t="s">
        <v>4559</v>
      </c>
      <c r="U7872" t="s">
        <v>5631</v>
      </c>
      <c r="V7872" s="2">
        <v>515</v>
      </c>
      <c r="W7872" t="s">
        <v>4655</v>
      </c>
      <c r="X7872" s="2">
        <v>0</v>
      </c>
      <c r="Y7872">
        <v>20</v>
      </c>
      <c r="Z7872" t="s">
        <v>5508</v>
      </c>
      <c r="AA7872" s="3">
        <v>0.275482088327408</v>
      </c>
      <c r="AB7872" t="s">
        <v>36432</v>
      </c>
      <c r="AC7872" t="s">
        <v>4562</v>
      </c>
      <c r="AD7872" t="s">
        <v>36431</v>
      </c>
      <c r="AE7872" t="s">
        <v>4655</v>
      </c>
      <c r="AF7872" t="s">
        <v>5201</v>
      </c>
      <c r="AG7872" t="s">
        <v>4564</v>
      </c>
      <c r="AH7872" t="s">
        <v>1350</v>
      </c>
      <c r="AI7872" t="s">
        <v>4655</v>
      </c>
      <c r="AJ7872" t="s">
        <v>5345</v>
      </c>
      <c r="AK7872" t="s">
        <v>36433</v>
      </c>
      <c r="AL7872" s="13" t="s">
        <v>1892</v>
      </c>
      <c r="AM7872">
        <v>1</v>
      </c>
      <c r="AN7872" s="15" t="s">
        <v>1832</v>
      </c>
    </row>
    <row r="7873" spans="1:40" x14ac:dyDescent="0.3">
      <c r="A7873" s="10" t="str">
        <f>HYPERLINK("http://www.washoecounty.gov/assessor/cama/?parid=530-724-08&amp;CardNumber=1","530-724-08")</f>
        <v>530-724-08</v>
      </c>
      <c r="B7873" t="s">
        <v>4655</v>
      </c>
      <c r="C7873" t="s">
        <v>36434</v>
      </c>
      <c r="D7873" s="1">
        <v>40528</v>
      </c>
      <c r="E7873" s="2">
        <v>221000</v>
      </c>
      <c r="F7873" t="s">
        <v>4553</v>
      </c>
      <c r="G7873" s="17" t="str">
        <f>HYPERLINK("https://www.washoecounty.gov/assessor/cama/?command=sales&amp;parid=53072408","3954611")</f>
        <v>3954611</v>
      </c>
      <c r="H7873" t="s">
        <v>5344</v>
      </c>
      <c r="I7873">
        <v>2003</v>
      </c>
      <c r="J7873">
        <v>2003</v>
      </c>
      <c r="K7873" t="s">
        <v>4554</v>
      </c>
      <c r="L7873" t="s">
        <v>3974</v>
      </c>
      <c r="M7873" s="2">
        <v>2920</v>
      </c>
      <c r="N7873" t="s">
        <v>5280</v>
      </c>
      <c r="O7873">
        <v>4</v>
      </c>
      <c r="P7873">
        <v>3</v>
      </c>
      <c r="Q7873">
        <v>0</v>
      </c>
      <c r="R7873" t="s">
        <v>5281</v>
      </c>
      <c r="S7873" t="s">
        <v>4898</v>
      </c>
      <c r="T7873" t="s">
        <v>4559</v>
      </c>
      <c r="U7873" t="s">
        <v>5631</v>
      </c>
      <c r="V7873" s="2">
        <v>599</v>
      </c>
      <c r="W7873" t="s">
        <v>4655</v>
      </c>
      <c r="X7873" s="2">
        <v>0</v>
      </c>
      <c r="Y7873">
        <v>20</v>
      </c>
      <c r="Z7873" t="s">
        <v>5508</v>
      </c>
      <c r="AA7873" s="3">
        <v>0.29292929172515869</v>
      </c>
      <c r="AB7873" t="s">
        <v>36088</v>
      </c>
      <c r="AC7873" t="s">
        <v>4575</v>
      </c>
      <c r="AD7873" t="s">
        <v>36089</v>
      </c>
      <c r="AE7873" t="s">
        <v>4655</v>
      </c>
      <c r="AF7873" t="s">
        <v>3345</v>
      </c>
      <c r="AG7873" t="s">
        <v>4584</v>
      </c>
      <c r="AH7873">
        <v>92028</v>
      </c>
      <c r="AI7873" t="s">
        <v>36090</v>
      </c>
      <c r="AJ7873" t="s">
        <v>5345</v>
      </c>
      <c r="AK7873" t="s">
        <v>36435</v>
      </c>
      <c r="AL7873" s="13" t="s">
        <v>1892</v>
      </c>
      <c r="AM7873" s="14">
        <v>1</v>
      </c>
      <c r="AN7873" s="15" t="s">
        <v>1832</v>
      </c>
    </row>
    <row r="7874" spans="1:40" x14ac:dyDescent="0.3">
      <c r="A7874" s="10" t="str">
        <f>HYPERLINK("http://www.washoecounty.gov/assessor/cama/?parid=530-752-11&amp;CardNumber=1","530-752-11")</f>
        <v>530-752-11</v>
      </c>
      <c r="B7874" t="s">
        <v>4655</v>
      </c>
      <c r="C7874" t="s">
        <v>36436</v>
      </c>
      <c r="D7874" s="1">
        <v>40235</v>
      </c>
      <c r="E7874" s="2">
        <v>155000</v>
      </c>
      <c r="F7874" t="s">
        <v>4567</v>
      </c>
      <c r="G7874" s="17" t="str">
        <f>HYPERLINK("https://www.washoecounty.gov/assessor/cama/?command=sales&amp;parid=53075211","3853431")</f>
        <v>3853431</v>
      </c>
      <c r="H7874" t="s">
        <v>2754</v>
      </c>
      <c r="I7874">
        <v>2003</v>
      </c>
      <c r="J7874">
        <v>2003</v>
      </c>
      <c r="K7874" t="s">
        <v>4554</v>
      </c>
      <c r="L7874" t="s">
        <v>4555</v>
      </c>
      <c r="M7874" s="2">
        <v>1353</v>
      </c>
      <c r="N7874" t="s">
        <v>4048</v>
      </c>
      <c r="O7874">
        <v>3</v>
      </c>
      <c r="P7874">
        <v>2</v>
      </c>
      <c r="Q7874">
        <v>0</v>
      </c>
      <c r="R7874" t="s">
        <v>4557</v>
      </c>
      <c r="S7874" t="s">
        <v>4558</v>
      </c>
      <c r="T7874" t="s">
        <v>4559</v>
      </c>
      <c r="U7874" t="s">
        <v>4560</v>
      </c>
      <c r="V7874" s="2">
        <v>440</v>
      </c>
      <c r="W7874" t="s">
        <v>4655</v>
      </c>
      <c r="X7874" s="2">
        <v>0</v>
      </c>
      <c r="Y7874">
        <v>20</v>
      </c>
      <c r="Z7874" t="s">
        <v>5508</v>
      </c>
      <c r="AA7874" s="3">
        <v>0.32692837715148926</v>
      </c>
      <c r="AB7874" t="s">
        <v>36437</v>
      </c>
      <c r="AC7874" t="s">
        <v>4562</v>
      </c>
      <c r="AD7874" t="s">
        <v>36436</v>
      </c>
      <c r="AE7874" t="s">
        <v>4655</v>
      </c>
      <c r="AF7874" t="s">
        <v>5201</v>
      </c>
      <c r="AG7874" t="s">
        <v>4564</v>
      </c>
      <c r="AH7874" t="s">
        <v>1350</v>
      </c>
      <c r="AI7874" t="s">
        <v>36438</v>
      </c>
      <c r="AJ7874" t="s">
        <v>2720</v>
      </c>
      <c r="AK7874" t="s">
        <v>36439</v>
      </c>
      <c r="AL7874" s="13" t="s">
        <v>1892</v>
      </c>
      <c r="AM7874" s="14">
        <v>1</v>
      </c>
      <c r="AN7874" s="15" t="s">
        <v>2504</v>
      </c>
    </row>
    <row r="7875" spans="1:40" x14ac:dyDescent="0.3">
      <c r="A7875" s="10" t="str">
        <f>HYPERLINK("http://www.washoecounty.gov/assessor/cama/?parid=530-782-05&amp;CardNumber=1","530-782-05")</f>
        <v>530-782-05</v>
      </c>
      <c r="B7875" t="s">
        <v>4655</v>
      </c>
      <c r="C7875" t="s">
        <v>36440</v>
      </c>
      <c r="D7875" s="1">
        <v>40506</v>
      </c>
      <c r="E7875" s="2">
        <v>166900</v>
      </c>
      <c r="F7875" t="s">
        <v>4553</v>
      </c>
      <c r="G7875" s="17" t="str">
        <f>HYPERLINK("https://www.washoecounty.gov/assessor/cama/?command=sales&amp;parid=53078205","3946789")</f>
        <v>3946789</v>
      </c>
      <c r="H7875" t="s">
        <v>2574</v>
      </c>
      <c r="I7875">
        <v>2004</v>
      </c>
      <c r="J7875">
        <v>2004</v>
      </c>
      <c r="K7875" t="s">
        <v>4554</v>
      </c>
      <c r="L7875" t="s">
        <v>4555</v>
      </c>
      <c r="M7875" s="2">
        <v>1612</v>
      </c>
      <c r="N7875" t="s">
        <v>4048</v>
      </c>
      <c r="O7875">
        <v>3</v>
      </c>
      <c r="P7875">
        <v>2</v>
      </c>
      <c r="Q7875">
        <v>1</v>
      </c>
      <c r="R7875" t="s">
        <v>5281</v>
      </c>
      <c r="S7875" t="s">
        <v>4558</v>
      </c>
      <c r="T7875" t="s">
        <v>4559</v>
      </c>
      <c r="U7875" t="s">
        <v>4560</v>
      </c>
      <c r="V7875" s="2">
        <v>680</v>
      </c>
      <c r="W7875" t="s">
        <v>4655</v>
      </c>
      <c r="X7875" s="2">
        <v>0</v>
      </c>
      <c r="Y7875">
        <v>20</v>
      </c>
      <c r="Z7875" t="s">
        <v>5508</v>
      </c>
      <c r="AA7875" s="3">
        <v>0.275482088327408</v>
      </c>
      <c r="AB7875" t="s">
        <v>36441</v>
      </c>
      <c r="AC7875" t="s">
        <v>4562</v>
      </c>
      <c r="AD7875" t="s">
        <v>36440</v>
      </c>
      <c r="AE7875" t="s">
        <v>4655</v>
      </c>
      <c r="AF7875" t="s">
        <v>5201</v>
      </c>
      <c r="AG7875" t="s">
        <v>4564</v>
      </c>
      <c r="AH7875" t="s">
        <v>1350</v>
      </c>
      <c r="AI7875" t="s">
        <v>4903</v>
      </c>
      <c r="AJ7875" t="s">
        <v>3897</v>
      </c>
      <c r="AK7875" t="s">
        <v>36442</v>
      </c>
      <c r="AL7875" s="13" t="s">
        <v>1892</v>
      </c>
      <c r="AM7875">
        <v>1</v>
      </c>
      <c r="AN7875" s="15" t="s">
        <v>2504</v>
      </c>
    </row>
    <row r="7876" spans="1:40" x14ac:dyDescent="0.3">
      <c r="A7876" s="10" t="str">
        <f>HYPERLINK("http://www.washoecounty.gov/assessor/cama/?parid=530-783-03&amp;CardNumber=1","530-783-03")</f>
        <v>530-783-03</v>
      </c>
      <c r="B7876" t="s">
        <v>4655</v>
      </c>
      <c r="C7876" t="s">
        <v>36443</v>
      </c>
      <c r="D7876" s="1">
        <v>40466</v>
      </c>
      <c r="E7876" s="2">
        <v>156000</v>
      </c>
      <c r="F7876" t="s">
        <v>4567</v>
      </c>
      <c r="G7876" s="17" t="str">
        <f>HYPERLINK("https://www.washoecounty.gov/assessor/cama/?command=sales&amp;parid=53078303","3933766")</f>
        <v>3933766</v>
      </c>
      <c r="H7876" t="s">
        <v>2574</v>
      </c>
      <c r="I7876">
        <v>2004</v>
      </c>
      <c r="J7876">
        <v>2004</v>
      </c>
      <c r="K7876" t="s">
        <v>4554</v>
      </c>
      <c r="L7876" t="s">
        <v>4555</v>
      </c>
      <c r="M7876" s="2">
        <v>1496</v>
      </c>
      <c r="N7876" t="s">
        <v>4048</v>
      </c>
      <c r="O7876">
        <v>3</v>
      </c>
      <c r="P7876">
        <v>2</v>
      </c>
      <c r="Q7876">
        <v>0</v>
      </c>
      <c r="R7876" t="s">
        <v>5281</v>
      </c>
      <c r="S7876" t="s">
        <v>4558</v>
      </c>
      <c r="T7876" t="s">
        <v>4559</v>
      </c>
      <c r="U7876" t="s">
        <v>4560</v>
      </c>
      <c r="V7876" s="2">
        <v>768</v>
      </c>
      <c r="W7876" t="s">
        <v>4655</v>
      </c>
      <c r="X7876" s="2">
        <v>0</v>
      </c>
      <c r="Y7876">
        <v>20</v>
      </c>
      <c r="Z7876" t="s">
        <v>5508</v>
      </c>
      <c r="AA7876" s="3">
        <v>0.32011020183563199</v>
      </c>
      <c r="AB7876" t="s">
        <v>36444</v>
      </c>
      <c r="AC7876" t="s">
        <v>4562</v>
      </c>
      <c r="AD7876" t="s">
        <v>36443</v>
      </c>
      <c r="AE7876" t="s">
        <v>4655</v>
      </c>
      <c r="AF7876" t="s">
        <v>5201</v>
      </c>
      <c r="AG7876" t="s">
        <v>4564</v>
      </c>
      <c r="AH7876" t="s">
        <v>1350</v>
      </c>
      <c r="AI7876" t="s">
        <v>36445</v>
      </c>
      <c r="AJ7876" t="s">
        <v>3897</v>
      </c>
      <c r="AK7876" t="s">
        <v>36446</v>
      </c>
      <c r="AL7876" s="13" t="s">
        <v>1892</v>
      </c>
      <c r="AM7876" s="14">
        <v>1</v>
      </c>
      <c r="AN7876" s="15" t="s">
        <v>2504</v>
      </c>
    </row>
    <row r="7877" spans="1:40" x14ac:dyDescent="0.3">
      <c r="A7877" s="10" t="str">
        <f>HYPERLINK("http://www.washoecounty.gov/assessor/cama/?parid=530-791-02&amp;CardNumber=1","530-791-02")</f>
        <v>530-791-02</v>
      </c>
      <c r="B7877" t="s">
        <v>4655</v>
      </c>
      <c r="C7877" t="s">
        <v>36447</v>
      </c>
      <c r="D7877" s="1">
        <v>40256</v>
      </c>
      <c r="E7877" s="2">
        <v>195000</v>
      </c>
      <c r="F7877" t="s">
        <v>4553</v>
      </c>
      <c r="G7877" s="17" t="str">
        <f>HYPERLINK("https://www.washoecounty.gov/assessor/cama/?command=sales&amp;parid=53079102","3861591")</f>
        <v>3861591</v>
      </c>
      <c r="H7877" t="s">
        <v>2574</v>
      </c>
      <c r="I7877">
        <v>2004</v>
      </c>
      <c r="J7877">
        <v>2004</v>
      </c>
      <c r="K7877" t="s">
        <v>4554</v>
      </c>
      <c r="L7877" t="s">
        <v>4555</v>
      </c>
      <c r="M7877" s="2">
        <v>1775</v>
      </c>
      <c r="N7877" t="s">
        <v>4048</v>
      </c>
      <c r="O7877">
        <v>3</v>
      </c>
      <c r="P7877">
        <v>2</v>
      </c>
      <c r="Q7877">
        <v>0</v>
      </c>
      <c r="R7877" t="s">
        <v>4557</v>
      </c>
      <c r="S7877" t="s">
        <v>4558</v>
      </c>
      <c r="T7877" t="s">
        <v>4559</v>
      </c>
      <c r="U7877" t="s">
        <v>4560</v>
      </c>
      <c r="V7877" s="2">
        <v>653</v>
      </c>
      <c r="W7877" t="s">
        <v>4655</v>
      </c>
      <c r="X7877" s="2">
        <v>0</v>
      </c>
      <c r="Y7877">
        <v>20</v>
      </c>
      <c r="Z7877" t="s">
        <v>5508</v>
      </c>
      <c r="AA7877" s="3">
        <v>0.28062441945076</v>
      </c>
      <c r="AB7877" t="s">
        <v>36448</v>
      </c>
      <c r="AC7877" t="s">
        <v>4562</v>
      </c>
      <c r="AD7877" t="s">
        <v>36447</v>
      </c>
      <c r="AE7877" t="s">
        <v>4655</v>
      </c>
      <c r="AF7877" t="s">
        <v>5201</v>
      </c>
      <c r="AG7877" t="s">
        <v>4564</v>
      </c>
      <c r="AH7877" t="s">
        <v>1605</v>
      </c>
      <c r="AI7877" t="s">
        <v>4565</v>
      </c>
      <c r="AJ7877" t="s">
        <v>3897</v>
      </c>
      <c r="AK7877" t="s">
        <v>36449</v>
      </c>
      <c r="AL7877" s="13" t="s">
        <v>1892</v>
      </c>
      <c r="AM7877">
        <v>1</v>
      </c>
      <c r="AN7877" s="15" t="s">
        <v>2504</v>
      </c>
    </row>
    <row r="7878" spans="1:40" x14ac:dyDescent="0.3">
      <c r="A7878" s="10" t="str">
        <f>HYPERLINK("http://www.washoecounty.gov/assessor/cama/?parid=530-813-05&amp;CardNumber=1","530-813-05")</f>
        <v>530-813-05</v>
      </c>
      <c r="B7878" t="s">
        <v>4655</v>
      </c>
      <c r="C7878" t="s">
        <v>36450</v>
      </c>
      <c r="D7878" s="1">
        <v>40347</v>
      </c>
      <c r="E7878" s="2">
        <v>226000</v>
      </c>
      <c r="F7878" t="s">
        <v>4567</v>
      </c>
      <c r="G7878" s="17" t="str">
        <f>HYPERLINK("https://www.washoecounty.gov/assessor/cama/?command=sales&amp;parid=53081305","3893236")</f>
        <v>3893236</v>
      </c>
      <c r="H7878" t="s">
        <v>3021</v>
      </c>
      <c r="I7878">
        <v>2004</v>
      </c>
      <c r="J7878">
        <v>2004</v>
      </c>
      <c r="K7878" t="s">
        <v>4554</v>
      </c>
      <c r="L7878" t="s">
        <v>4555</v>
      </c>
      <c r="M7878" s="2">
        <v>2679</v>
      </c>
      <c r="N7878" t="s">
        <v>4048</v>
      </c>
      <c r="O7878">
        <v>5</v>
      </c>
      <c r="P7878">
        <v>2</v>
      </c>
      <c r="Q7878">
        <v>1</v>
      </c>
      <c r="R7878" t="s">
        <v>4557</v>
      </c>
      <c r="S7878" t="s">
        <v>4558</v>
      </c>
      <c r="T7878" t="s">
        <v>4559</v>
      </c>
      <c r="U7878" t="s">
        <v>4560</v>
      </c>
      <c r="V7878" s="2">
        <v>736</v>
      </c>
      <c r="W7878" t="s">
        <v>4655</v>
      </c>
      <c r="X7878" s="2">
        <v>0</v>
      </c>
      <c r="Y7878">
        <v>20</v>
      </c>
      <c r="Z7878" t="s">
        <v>5508</v>
      </c>
      <c r="AA7878" s="3">
        <v>0.33620294928550698</v>
      </c>
      <c r="AB7878" t="s">
        <v>36451</v>
      </c>
      <c r="AC7878" t="s">
        <v>4562</v>
      </c>
      <c r="AD7878" t="s">
        <v>36450</v>
      </c>
      <c r="AE7878" t="s">
        <v>4655</v>
      </c>
      <c r="AF7878" t="s">
        <v>5201</v>
      </c>
      <c r="AG7878" t="s">
        <v>4564</v>
      </c>
      <c r="AH7878" t="s">
        <v>1350</v>
      </c>
      <c r="AI7878" t="s">
        <v>1444</v>
      </c>
      <c r="AJ7878" t="s">
        <v>3022</v>
      </c>
      <c r="AK7878" t="s">
        <v>36452</v>
      </c>
      <c r="AL7878" s="13" t="s">
        <v>1892</v>
      </c>
      <c r="AM7878">
        <v>1</v>
      </c>
      <c r="AN7878" s="15" t="s">
        <v>2504</v>
      </c>
    </row>
    <row r="7879" spans="1:40" x14ac:dyDescent="0.3">
      <c r="A7879" s="10" t="str">
        <f>HYPERLINK("http://www.washoecounty.gov/assessor/cama/?parid=530-814-03&amp;CardNumber=1","530-814-03")</f>
        <v>530-814-03</v>
      </c>
      <c r="B7879" t="s">
        <v>4655</v>
      </c>
      <c r="C7879" t="s">
        <v>36453</v>
      </c>
      <c r="D7879" s="1">
        <v>40420</v>
      </c>
      <c r="E7879" s="2">
        <v>255000</v>
      </c>
      <c r="F7879" t="s">
        <v>4567</v>
      </c>
      <c r="G7879" s="17" t="str">
        <f>HYPERLINK("https://www.washoecounty.gov/assessor/cama/?command=sales&amp;parid=53081403","3917039")</f>
        <v>3917039</v>
      </c>
      <c r="H7879" t="s">
        <v>3021</v>
      </c>
      <c r="I7879">
        <v>2004</v>
      </c>
      <c r="J7879">
        <v>2004</v>
      </c>
      <c r="K7879" t="s">
        <v>4554</v>
      </c>
      <c r="L7879" t="s">
        <v>4555</v>
      </c>
      <c r="M7879" s="2">
        <v>2679</v>
      </c>
      <c r="N7879" t="s">
        <v>4048</v>
      </c>
      <c r="O7879">
        <v>5</v>
      </c>
      <c r="P7879">
        <v>3</v>
      </c>
      <c r="Q7879">
        <v>0</v>
      </c>
      <c r="R7879" t="s">
        <v>5281</v>
      </c>
      <c r="S7879" t="s">
        <v>4558</v>
      </c>
      <c r="T7879" t="s">
        <v>4559</v>
      </c>
      <c r="U7879" t="s">
        <v>4560</v>
      </c>
      <c r="V7879" s="2">
        <v>736</v>
      </c>
      <c r="W7879" t="s">
        <v>4655</v>
      </c>
      <c r="X7879" s="2">
        <v>0</v>
      </c>
      <c r="Y7879">
        <v>20</v>
      </c>
      <c r="Z7879" t="s">
        <v>5508</v>
      </c>
      <c r="AA7879" s="3">
        <v>0.28140497207641602</v>
      </c>
      <c r="AB7879" t="s">
        <v>36454</v>
      </c>
      <c r="AC7879" t="s">
        <v>4562</v>
      </c>
      <c r="AD7879" t="s">
        <v>36453</v>
      </c>
      <c r="AE7879" t="s">
        <v>4655</v>
      </c>
      <c r="AF7879" t="s">
        <v>4809</v>
      </c>
      <c r="AG7879" t="s">
        <v>4564</v>
      </c>
      <c r="AH7879" t="s">
        <v>1350</v>
      </c>
      <c r="AI7879" t="s">
        <v>36455</v>
      </c>
      <c r="AJ7879" t="s">
        <v>3022</v>
      </c>
      <c r="AK7879" t="s">
        <v>36456</v>
      </c>
      <c r="AL7879" s="13" t="s">
        <v>1892</v>
      </c>
      <c r="AM7879">
        <v>1</v>
      </c>
      <c r="AN7879" s="15" t="s">
        <v>2504</v>
      </c>
    </row>
    <row r="7880" spans="1:40" x14ac:dyDescent="0.3">
      <c r="A7880" s="10" t="str">
        <f>HYPERLINK("http://www.washoecounty.gov/assessor/cama/?parid=530-821-05&amp;CardNumber=1","530-821-05")</f>
        <v>530-821-05</v>
      </c>
      <c r="B7880" t="s">
        <v>4655</v>
      </c>
      <c r="C7880" t="s">
        <v>36457</v>
      </c>
      <c r="D7880" s="1">
        <v>40234</v>
      </c>
      <c r="E7880" s="2">
        <v>149000</v>
      </c>
      <c r="F7880" t="s">
        <v>4567</v>
      </c>
      <c r="G7880" s="17" t="str">
        <f>HYPERLINK("https://www.washoecounty.gov/assessor/cama/?command=sales&amp;parid=53082105","3852583")</f>
        <v>3852583</v>
      </c>
      <c r="H7880" t="s">
        <v>3021</v>
      </c>
      <c r="I7880">
        <v>2004</v>
      </c>
      <c r="J7880">
        <v>2004</v>
      </c>
      <c r="K7880" t="s">
        <v>4554</v>
      </c>
      <c r="L7880" t="s">
        <v>4555</v>
      </c>
      <c r="M7880" s="2">
        <v>1496</v>
      </c>
      <c r="N7880" t="s">
        <v>4048</v>
      </c>
      <c r="O7880">
        <v>3</v>
      </c>
      <c r="P7880">
        <v>2</v>
      </c>
      <c r="Q7880">
        <v>0</v>
      </c>
      <c r="R7880" t="s">
        <v>4557</v>
      </c>
      <c r="S7880" t="s">
        <v>4558</v>
      </c>
      <c r="T7880" t="s">
        <v>4559</v>
      </c>
      <c r="U7880" t="s">
        <v>4560</v>
      </c>
      <c r="V7880" s="2">
        <v>704</v>
      </c>
      <c r="W7880" t="s">
        <v>4655</v>
      </c>
      <c r="X7880" s="2">
        <v>0</v>
      </c>
      <c r="Y7880">
        <v>20</v>
      </c>
      <c r="Z7880" t="s">
        <v>5508</v>
      </c>
      <c r="AA7880" s="3">
        <v>0.39905875921249401</v>
      </c>
      <c r="AB7880" t="s">
        <v>36458</v>
      </c>
      <c r="AC7880" t="s">
        <v>4575</v>
      </c>
      <c r="AD7880" t="s">
        <v>36457</v>
      </c>
      <c r="AE7880" t="s">
        <v>4655</v>
      </c>
      <c r="AF7880" t="s">
        <v>5201</v>
      </c>
      <c r="AG7880" t="s">
        <v>4564</v>
      </c>
      <c r="AH7880" t="s">
        <v>1350</v>
      </c>
      <c r="AI7880" t="s">
        <v>36459</v>
      </c>
      <c r="AJ7880" t="s">
        <v>3022</v>
      </c>
      <c r="AK7880" t="s">
        <v>36460</v>
      </c>
      <c r="AL7880" s="13" t="s">
        <v>1892</v>
      </c>
      <c r="AM7880">
        <v>1</v>
      </c>
      <c r="AN7880" s="15" t="s">
        <v>2504</v>
      </c>
    </row>
    <row r="7881" spans="1:40" x14ac:dyDescent="0.3">
      <c r="A7881" s="10" t="str">
        <f>HYPERLINK("http://www.washoecounty.gov/assessor/cama/?parid=530-822-04&amp;CardNumber=1","530-822-04")</f>
        <v>530-822-04</v>
      </c>
      <c r="B7881" t="s">
        <v>4655</v>
      </c>
      <c r="C7881" t="s">
        <v>36461</v>
      </c>
      <c r="D7881" s="1">
        <v>40242</v>
      </c>
      <c r="E7881" s="2">
        <v>195000</v>
      </c>
      <c r="F7881" t="s">
        <v>4567</v>
      </c>
      <c r="G7881" s="17" t="str">
        <f>HYPERLINK("https://www.washoecounty.gov/assessor/cama/?command=sales&amp;parid=53082204","3856474")</f>
        <v>3856474</v>
      </c>
      <c r="H7881" t="s">
        <v>3021</v>
      </c>
      <c r="I7881">
        <v>2004</v>
      </c>
      <c r="J7881">
        <v>2004</v>
      </c>
      <c r="K7881" t="s">
        <v>4554</v>
      </c>
      <c r="L7881" t="s">
        <v>4555</v>
      </c>
      <c r="M7881" s="2">
        <v>1775</v>
      </c>
      <c r="N7881" t="s">
        <v>4048</v>
      </c>
      <c r="O7881">
        <v>3</v>
      </c>
      <c r="P7881">
        <v>2</v>
      </c>
      <c r="Q7881">
        <v>0</v>
      </c>
      <c r="R7881" t="s">
        <v>4557</v>
      </c>
      <c r="S7881" t="s">
        <v>4558</v>
      </c>
      <c r="T7881" t="s">
        <v>4559</v>
      </c>
      <c r="U7881" t="s">
        <v>4560</v>
      </c>
      <c r="V7881" s="2">
        <v>769</v>
      </c>
      <c r="W7881" t="s">
        <v>4655</v>
      </c>
      <c r="X7881" s="2">
        <v>0</v>
      </c>
      <c r="Y7881">
        <v>20</v>
      </c>
      <c r="Z7881" t="s">
        <v>5508</v>
      </c>
      <c r="AA7881" s="3">
        <v>0.29384756088256803</v>
      </c>
      <c r="AB7881" t="s">
        <v>36462</v>
      </c>
      <c r="AC7881" t="s">
        <v>4575</v>
      </c>
      <c r="AD7881" t="s">
        <v>36463</v>
      </c>
      <c r="AE7881" t="s">
        <v>36461</v>
      </c>
      <c r="AF7881" t="s">
        <v>5201</v>
      </c>
      <c r="AG7881" t="s">
        <v>4564</v>
      </c>
      <c r="AH7881" t="s">
        <v>1350</v>
      </c>
      <c r="AI7881" t="s">
        <v>36464</v>
      </c>
      <c r="AJ7881" t="s">
        <v>3022</v>
      </c>
      <c r="AK7881" t="s">
        <v>36465</v>
      </c>
      <c r="AL7881" s="13" t="s">
        <v>1892</v>
      </c>
      <c r="AM7881">
        <v>1</v>
      </c>
      <c r="AN7881" s="15" t="s">
        <v>2504</v>
      </c>
    </row>
    <row r="7882" spans="1:40" x14ac:dyDescent="0.3">
      <c r="A7882" s="10" t="str">
        <f>HYPERLINK("http://www.washoecounty.gov/assessor/cama/?parid=530-853-03&amp;CardNumber=1","530-853-03")</f>
        <v>530-853-03</v>
      </c>
      <c r="B7882" t="s">
        <v>4655</v>
      </c>
      <c r="C7882" t="s">
        <v>36466</v>
      </c>
      <c r="D7882" s="1">
        <v>40539</v>
      </c>
      <c r="E7882" s="2">
        <v>220000</v>
      </c>
      <c r="F7882" t="s">
        <v>4553</v>
      </c>
      <c r="G7882" s="17" t="str">
        <f>HYPERLINK("https://www.washoecounty.gov/assessor/cama/?command=sales&amp;parid=53085303","3957495")</f>
        <v>3957495</v>
      </c>
      <c r="H7882" t="s">
        <v>3226</v>
      </c>
      <c r="I7882">
        <v>2005</v>
      </c>
      <c r="J7882">
        <v>2005</v>
      </c>
      <c r="K7882" t="s">
        <v>4554</v>
      </c>
      <c r="L7882" t="s">
        <v>4555</v>
      </c>
      <c r="M7882" s="2">
        <v>2502</v>
      </c>
      <c r="N7882" t="s">
        <v>5280</v>
      </c>
      <c r="O7882">
        <v>3</v>
      </c>
      <c r="P7882">
        <v>2</v>
      </c>
      <c r="Q7882">
        <v>1</v>
      </c>
      <c r="R7882" t="s">
        <v>5281</v>
      </c>
      <c r="S7882" t="s">
        <v>4898</v>
      </c>
      <c r="T7882" t="s">
        <v>4559</v>
      </c>
      <c r="U7882" t="s">
        <v>4560</v>
      </c>
      <c r="V7882" s="2">
        <v>608</v>
      </c>
      <c r="W7882" t="s">
        <v>4655</v>
      </c>
      <c r="X7882" s="2">
        <v>0</v>
      </c>
      <c r="Y7882">
        <v>20</v>
      </c>
      <c r="Z7882" t="s">
        <v>5508</v>
      </c>
      <c r="AA7882" s="3">
        <v>0.35059687495231601</v>
      </c>
      <c r="AB7882" t="s">
        <v>36467</v>
      </c>
      <c r="AC7882" t="s">
        <v>4562</v>
      </c>
      <c r="AD7882" t="s">
        <v>36466</v>
      </c>
      <c r="AE7882" t="s">
        <v>4655</v>
      </c>
      <c r="AF7882" t="s">
        <v>5201</v>
      </c>
      <c r="AG7882" t="s">
        <v>4564</v>
      </c>
      <c r="AH7882" t="s">
        <v>1350</v>
      </c>
      <c r="AI7882" t="s">
        <v>2351</v>
      </c>
      <c r="AJ7882" t="s">
        <v>3228</v>
      </c>
      <c r="AK7882" t="s">
        <v>36468</v>
      </c>
      <c r="AL7882" s="13" t="s">
        <v>1892</v>
      </c>
      <c r="AM7882" s="14">
        <v>1</v>
      </c>
      <c r="AN7882" s="15" t="s">
        <v>1832</v>
      </c>
    </row>
    <row r="7883" spans="1:40" x14ac:dyDescent="0.3">
      <c r="A7883" s="10" t="str">
        <f>HYPERLINK("http://www.washoecounty.gov/assessor/cama/?parid=530-854-03&amp;CardNumber=1","530-854-03")</f>
        <v>530-854-03</v>
      </c>
      <c r="B7883" t="s">
        <v>4655</v>
      </c>
      <c r="C7883" t="s">
        <v>36469</v>
      </c>
      <c r="D7883" s="1">
        <v>40452</v>
      </c>
      <c r="E7883" s="2">
        <v>235000</v>
      </c>
      <c r="F7883" t="s">
        <v>4553</v>
      </c>
      <c r="G7883" s="17" t="str">
        <f>HYPERLINK("https://www.washoecounty.gov/assessor/cama/?command=sales&amp;parid=53085403","3928722")</f>
        <v>3928722</v>
      </c>
      <c r="H7883" t="s">
        <v>3226</v>
      </c>
      <c r="I7883">
        <v>2005</v>
      </c>
      <c r="J7883">
        <v>2005</v>
      </c>
      <c r="K7883" t="s">
        <v>4554</v>
      </c>
      <c r="L7883" t="s">
        <v>4555</v>
      </c>
      <c r="M7883" s="2">
        <v>2384</v>
      </c>
      <c r="N7883" t="s">
        <v>5280</v>
      </c>
      <c r="O7883">
        <v>4</v>
      </c>
      <c r="P7883">
        <v>2</v>
      </c>
      <c r="Q7883">
        <v>1</v>
      </c>
      <c r="R7883" t="s">
        <v>5281</v>
      </c>
      <c r="S7883" t="s">
        <v>4898</v>
      </c>
      <c r="T7883" t="s">
        <v>4559</v>
      </c>
      <c r="U7883" t="s">
        <v>4560</v>
      </c>
      <c r="V7883" s="2">
        <v>610</v>
      </c>
      <c r="W7883" t="s">
        <v>4655</v>
      </c>
      <c r="X7883" s="2">
        <v>0</v>
      </c>
      <c r="Y7883">
        <v>20</v>
      </c>
      <c r="Z7883" t="s">
        <v>5508</v>
      </c>
      <c r="AA7883" s="3">
        <v>0.30362719297409102</v>
      </c>
      <c r="AB7883" t="s">
        <v>36470</v>
      </c>
      <c r="AC7883" t="s">
        <v>4562</v>
      </c>
      <c r="AD7883" t="s">
        <v>36469</v>
      </c>
      <c r="AE7883" t="s">
        <v>4655</v>
      </c>
      <c r="AF7883" t="s">
        <v>5201</v>
      </c>
      <c r="AG7883" t="s">
        <v>4564</v>
      </c>
      <c r="AH7883" t="s">
        <v>1350</v>
      </c>
      <c r="AI7883" t="s">
        <v>4903</v>
      </c>
      <c r="AJ7883" t="s">
        <v>3228</v>
      </c>
      <c r="AK7883" t="s">
        <v>36471</v>
      </c>
      <c r="AL7883" s="13" t="s">
        <v>1892</v>
      </c>
      <c r="AM7883">
        <v>1</v>
      </c>
      <c r="AN7883" s="15" t="s">
        <v>1832</v>
      </c>
    </row>
    <row r="7884" spans="1:40" x14ac:dyDescent="0.3">
      <c r="A7884" s="10" t="str">
        <f>HYPERLINK("http://www.washoecounty.gov/assessor/cama/?parid=530-854-04&amp;CardNumber=1","530-854-04")</f>
        <v>530-854-04</v>
      </c>
      <c r="B7884" t="s">
        <v>4655</v>
      </c>
      <c r="C7884" t="s">
        <v>36472</v>
      </c>
      <c r="D7884" s="1">
        <v>40283</v>
      </c>
      <c r="E7884" s="2">
        <v>265000</v>
      </c>
      <c r="F7884" t="s">
        <v>4567</v>
      </c>
      <c r="G7884" s="17" t="str">
        <f>HYPERLINK("https://www.washoecounty.gov/assessor/cama/?command=sales&amp;parid=53085404","3871236")</f>
        <v>3871236</v>
      </c>
      <c r="H7884" t="s">
        <v>3226</v>
      </c>
      <c r="I7884">
        <v>2005</v>
      </c>
      <c r="J7884">
        <v>2005</v>
      </c>
      <c r="K7884" t="s">
        <v>4554</v>
      </c>
      <c r="L7884" t="s">
        <v>4555</v>
      </c>
      <c r="M7884" s="2">
        <v>2785</v>
      </c>
      <c r="N7884" t="s">
        <v>5280</v>
      </c>
      <c r="O7884">
        <v>3</v>
      </c>
      <c r="P7884">
        <v>2</v>
      </c>
      <c r="Q7884">
        <v>1</v>
      </c>
      <c r="R7884" t="s">
        <v>5281</v>
      </c>
      <c r="S7884" t="s">
        <v>4898</v>
      </c>
      <c r="T7884" t="s">
        <v>4559</v>
      </c>
      <c r="U7884" t="s">
        <v>162</v>
      </c>
      <c r="V7884" s="2">
        <v>1440</v>
      </c>
      <c r="W7884" t="s">
        <v>4655</v>
      </c>
      <c r="X7884" s="2">
        <v>0</v>
      </c>
      <c r="Y7884">
        <v>20</v>
      </c>
      <c r="Z7884" t="s">
        <v>5508</v>
      </c>
      <c r="AA7884" s="3">
        <v>0.28960055112838701</v>
      </c>
      <c r="AB7884" t="s">
        <v>36473</v>
      </c>
      <c r="AC7884" t="s">
        <v>4562</v>
      </c>
      <c r="AD7884" t="s">
        <v>36474</v>
      </c>
      <c r="AE7884" t="s">
        <v>4655</v>
      </c>
      <c r="AF7884" t="s">
        <v>5201</v>
      </c>
      <c r="AG7884" t="s">
        <v>4564</v>
      </c>
      <c r="AH7884" t="s">
        <v>1605</v>
      </c>
      <c r="AI7884" t="s">
        <v>3227</v>
      </c>
      <c r="AJ7884" t="s">
        <v>3228</v>
      </c>
      <c r="AK7884" t="s">
        <v>36475</v>
      </c>
      <c r="AL7884" s="13" t="s">
        <v>1892</v>
      </c>
      <c r="AM7884" s="14">
        <v>1</v>
      </c>
      <c r="AN7884" s="15" t="s">
        <v>1832</v>
      </c>
    </row>
    <row r="7885" spans="1:40" x14ac:dyDescent="0.3">
      <c r="A7885" s="10" t="str">
        <f>HYPERLINK("http://www.washoecounty.gov/assessor/cama/?parid=530-873-02&amp;CardNumber=1","530-873-02")</f>
        <v>530-873-02</v>
      </c>
      <c r="B7885" t="s">
        <v>4655</v>
      </c>
      <c r="C7885" t="s">
        <v>36476</v>
      </c>
      <c r="D7885" s="1">
        <v>40542</v>
      </c>
      <c r="E7885" s="2">
        <v>166000</v>
      </c>
      <c r="F7885" t="s">
        <v>4553</v>
      </c>
      <c r="G7885" s="17" t="str">
        <f>HYPERLINK("https://www.washoecounty.gov/assessor/cama/?command=sales&amp;parid=53087302","3959330")</f>
        <v>3959330</v>
      </c>
      <c r="H7885" t="s">
        <v>4330</v>
      </c>
      <c r="I7885">
        <v>2005</v>
      </c>
      <c r="J7885">
        <v>2005</v>
      </c>
      <c r="K7885" t="s">
        <v>4554</v>
      </c>
      <c r="L7885" t="s">
        <v>4555</v>
      </c>
      <c r="M7885" s="2">
        <v>1775</v>
      </c>
      <c r="N7885" t="s">
        <v>4048</v>
      </c>
      <c r="O7885">
        <v>4</v>
      </c>
      <c r="P7885">
        <v>2</v>
      </c>
      <c r="Q7885">
        <v>0</v>
      </c>
      <c r="R7885" t="s">
        <v>4557</v>
      </c>
      <c r="S7885" t="s">
        <v>4558</v>
      </c>
      <c r="T7885" t="s">
        <v>4559</v>
      </c>
      <c r="U7885" t="s">
        <v>4560</v>
      </c>
      <c r="V7885" s="2">
        <v>711</v>
      </c>
      <c r="W7885" t="s">
        <v>4655</v>
      </c>
      <c r="X7885" s="2">
        <v>0</v>
      </c>
      <c r="Y7885">
        <v>20</v>
      </c>
      <c r="Z7885" t="s">
        <v>5508</v>
      </c>
      <c r="AA7885" s="3">
        <v>0.36235079169273399</v>
      </c>
      <c r="AB7885" t="s">
        <v>36477</v>
      </c>
      <c r="AC7885" t="s">
        <v>4562</v>
      </c>
      <c r="AD7885" t="s">
        <v>36476</v>
      </c>
      <c r="AE7885" t="s">
        <v>4655</v>
      </c>
      <c r="AF7885" t="s">
        <v>5201</v>
      </c>
      <c r="AG7885" t="s">
        <v>4564</v>
      </c>
      <c r="AH7885" t="s">
        <v>1605</v>
      </c>
      <c r="AI7885" t="s">
        <v>36478</v>
      </c>
      <c r="AJ7885" t="s">
        <v>2224</v>
      </c>
      <c r="AK7885" t="s">
        <v>36479</v>
      </c>
      <c r="AL7885" s="13" t="s">
        <v>1892</v>
      </c>
      <c r="AM7885" s="14">
        <v>1</v>
      </c>
      <c r="AN7885" s="15" t="s">
        <v>2504</v>
      </c>
    </row>
    <row r="7886" spans="1:40" x14ac:dyDescent="0.3">
      <c r="A7886" s="10" t="str">
        <f>HYPERLINK("http://www.washoecounty.gov/assessor/cama/?parid=530-873-05&amp;CardNumber=1","530-873-05")</f>
        <v>530-873-05</v>
      </c>
      <c r="B7886" t="s">
        <v>4655</v>
      </c>
      <c r="C7886" t="s">
        <v>36480</v>
      </c>
      <c r="D7886" s="1">
        <v>40235</v>
      </c>
      <c r="E7886" s="2">
        <v>165000</v>
      </c>
      <c r="F7886" t="s">
        <v>4567</v>
      </c>
      <c r="G7886" s="17" t="str">
        <f>HYPERLINK("https://www.washoecounty.gov/assessor/cama/?command=sales&amp;parid=53087305","3853048")</f>
        <v>3853048</v>
      </c>
      <c r="H7886" t="s">
        <v>4330</v>
      </c>
      <c r="I7886">
        <v>2005</v>
      </c>
      <c r="J7886">
        <v>2005</v>
      </c>
      <c r="K7886" t="s">
        <v>4554</v>
      </c>
      <c r="L7886" t="s">
        <v>4555</v>
      </c>
      <c r="M7886" s="2">
        <v>1334</v>
      </c>
      <c r="N7886" t="s">
        <v>4048</v>
      </c>
      <c r="O7886">
        <v>3</v>
      </c>
      <c r="P7886">
        <v>2</v>
      </c>
      <c r="Q7886">
        <v>0</v>
      </c>
      <c r="R7886" t="s">
        <v>5281</v>
      </c>
      <c r="S7886" t="s">
        <v>4558</v>
      </c>
      <c r="T7886" t="s">
        <v>4559</v>
      </c>
      <c r="U7886" t="s">
        <v>4560</v>
      </c>
      <c r="V7886" s="2">
        <v>484</v>
      </c>
      <c r="W7886" t="s">
        <v>4655</v>
      </c>
      <c r="X7886" s="2">
        <v>0</v>
      </c>
      <c r="Y7886">
        <v>20</v>
      </c>
      <c r="Z7886" t="s">
        <v>5508</v>
      </c>
      <c r="AA7886" s="3">
        <v>0.32814508676528897</v>
      </c>
      <c r="AB7886" t="s">
        <v>36481</v>
      </c>
      <c r="AC7886" t="s">
        <v>4562</v>
      </c>
      <c r="AD7886" t="s">
        <v>36480</v>
      </c>
      <c r="AE7886" t="s">
        <v>4655</v>
      </c>
      <c r="AF7886" t="s">
        <v>5201</v>
      </c>
      <c r="AG7886" t="s">
        <v>4564</v>
      </c>
      <c r="AH7886" t="s">
        <v>1350</v>
      </c>
      <c r="AI7886" t="s">
        <v>36482</v>
      </c>
      <c r="AJ7886" t="s">
        <v>2224</v>
      </c>
      <c r="AK7886" t="s">
        <v>36483</v>
      </c>
      <c r="AL7886" s="13" t="s">
        <v>1892</v>
      </c>
      <c r="AM7886" s="14">
        <v>1</v>
      </c>
      <c r="AN7886" s="15" t="s">
        <v>2504</v>
      </c>
    </row>
    <row r="7887" spans="1:40" x14ac:dyDescent="0.3">
      <c r="A7887" s="10" t="str">
        <f>HYPERLINK("http://www.washoecounty.gov/assessor/cama/?parid=530-881-04&amp;CardNumber=1","530-881-04")</f>
        <v>530-881-04</v>
      </c>
      <c r="B7887" t="s">
        <v>4655</v>
      </c>
      <c r="C7887" t="s">
        <v>36484</v>
      </c>
      <c r="D7887" s="1">
        <v>40526</v>
      </c>
      <c r="E7887" s="2">
        <v>170000</v>
      </c>
      <c r="F7887" t="s">
        <v>4553</v>
      </c>
      <c r="G7887" s="17" t="str">
        <f>HYPERLINK("https://www.washoecounty.gov/assessor/cama/?command=sales&amp;parid=53088104","3952870")</f>
        <v>3952870</v>
      </c>
      <c r="H7887" t="s">
        <v>4330</v>
      </c>
      <c r="I7887">
        <v>2005</v>
      </c>
      <c r="J7887">
        <v>2005</v>
      </c>
      <c r="K7887" t="s">
        <v>4554</v>
      </c>
      <c r="L7887" t="s">
        <v>4555</v>
      </c>
      <c r="M7887" s="2">
        <v>1612</v>
      </c>
      <c r="N7887" t="s">
        <v>4048</v>
      </c>
      <c r="O7887">
        <v>3</v>
      </c>
      <c r="P7887">
        <v>2</v>
      </c>
      <c r="Q7887">
        <v>1</v>
      </c>
      <c r="R7887" t="s">
        <v>5281</v>
      </c>
      <c r="S7887" t="s">
        <v>4558</v>
      </c>
      <c r="T7887" t="s">
        <v>4559</v>
      </c>
      <c r="U7887" t="s">
        <v>4560</v>
      </c>
      <c r="V7887" s="2">
        <v>960</v>
      </c>
      <c r="W7887" t="s">
        <v>4655</v>
      </c>
      <c r="X7887" s="2">
        <v>0</v>
      </c>
      <c r="Y7887">
        <v>20</v>
      </c>
      <c r="Z7887" t="s">
        <v>5508</v>
      </c>
      <c r="AA7887" s="3">
        <v>0.275482088327408</v>
      </c>
      <c r="AB7887" t="s">
        <v>36485</v>
      </c>
      <c r="AC7887" t="s">
        <v>4562</v>
      </c>
      <c r="AD7887" t="s">
        <v>36486</v>
      </c>
      <c r="AE7887" t="s">
        <v>4655</v>
      </c>
      <c r="AF7887" t="s">
        <v>36487</v>
      </c>
      <c r="AG7887" t="s">
        <v>4584</v>
      </c>
      <c r="AH7887">
        <v>96057</v>
      </c>
      <c r="AI7887" t="s">
        <v>2351</v>
      </c>
      <c r="AJ7887" t="s">
        <v>2224</v>
      </c>
      <c r="AK7887" t="s">
        <v>36488</v>
      </c>
      <c r="AL7887" s="13" t="s">
        <v>1892</v>
      </c>
      <c r="AM7887">
        <v>1</v>
      </c>
      <c r="AN7887" s="15" t="s">
        <v>2504</v>
      </c>
    </row>
    <row r="7888" spans="1:40" x14ac:dyDescent="0.3">
      <c r="A7888" s="10" t="str">
        <f>HYPERLINK("http://www.washoecounty.gov/assessor/cama/?parid=530-881-09&amp;CardNumber=1","530-881-09")</f>
        <v>530-881-09</v>
      </c>
      <c r="B7888" t="s">
        <v>4655</v>
      </c>
      <c r="C7888" t="s">
        <v>36489</v>
      </c>
      <c r="D7888" s="1">
        <v>40325</v>
      </c>
      <c r="E7888" s="2">
        <v>234500</v>
      </c>
      <c r="F7888" t="s">
        <v>4567</v>
      </c>
      <c r="G7888" s="17" t="str">
        <f>HYPERLINK("https://www.washoecounty.gov/assessor/cama/?command=sales&amp;parid=53088109","3887852")</f>
        <v>3887852</v>
      </c>
      <c r="H7888" t="s">
        <v>4330</v>
      </c>
      <c r="I7888">
        <v>2005</v>
      </c>
      <c r="J7888">
        <v>2005</v>
      </c>
      <c r="K7888" t="s">
        <v>4554</v>
      </c>
      <c r="L7888" t="s">
        <v>4555</v>
      </c>
      <c r="M7888" s="2">
        <v>2679</v>
      </c>
      <c r="N7888" t="s">
        <v>4048</v>
      </c>
      <c r="O7888">
        <v>5</v>
      </c>
      <c r="P7888">
        <v>3</v>
      </c>
      <c r="Q7888">
        <v>0</v>
      </c>
      <c r="R7888" t="s">
        <v>5281</v>
      </c>
      <c r="S7888" t="s">
        <v>4558</v>
      </c>
      <c r="T7888" t="s">
        <v>4559</v>
      </c>
      <c r="U7888" t="s">
        <v>162</v>
      </c>
      <c r="V7888" s="2">
        <v>1312</v>
      </c>
      <c r="W7888" t="s">
        <v>4655</v>
      </c>
      <c r="X7888" s="2">
        <v>0</v>
      </c>
      <c r="Y7888">
        <v>20</v>
      </c>
      <c r="Z7888" t="s">
        <v>5508</v>
      </c>
      <c r="AA7888" s="3">
        <v>0.275482088327408</v>
      </c>
      <c r="AB7888" t="s">
        <v>36490</v>
      </c>
      <c r="AC7888" t="s">
        <v>4562</v>
      </c>
      <c r="AD7888" t="s">
        <v>36489</v>
      </c>
      <c r="AE7888" t="s">
        <v>4655</v>
      </c>
      <c r="AF7888" t="s">
        <v>5201</v>
      </c>
      <c r="AG7888" t="s">
        <v>4564</v>
      </c>
      <c r="AH7888" t="s">
        <v>1350</v>
      </c>
      <c r="AI7888" t="s">
        <v>36491</v>
      </c>
      <c r="AJ7888" t="s">
        <v>2224</v>
      </c>
      <c r="AK7888" t="s">
        <v>36492</v>
      </c>
      <c r="AL7888" s="13" t="s">
        <v>1892</v>
      </c>
      <c r="AM7888">
        <v>1</v>
      </c>
      <c r="AN7888" s="15" t="s">
        <v>2504</v>
      </c>
    </row>
    <row r="7889" spans="1:40" x14ac:dyDescent="0.3">
      <c r="A7889" s="10" t="str">
        <f>HYPERLINK("http://www.washoecounty.gov/assessor/cama/?parid=530-882-09&amp;CardNumber=1","530-882-09")</f>
        <v>530-882-09</v>
      </c>
      <c r="B7889" t="s">
        <v>4655</v>
      </c>
      <c r="C7889" t="s">
        <v>36493</v>
      </c>
      <c r="D7889" s="1">
        <v>40518</v>
      </c>
      <c r="E7889" s="2">
        <v>154900</v>
      </c>
      <c r="F7889" t="s">
        <v>4567</v>
      </c>
      <c r="G7889" s="17" t="str">
        <f>HYPERLINK("https://www.washoecounty.gov/assessor/cama/?command=sales&amp;parid=53088209","3949876")</f>
        <v>3949876</v>
      </c>
      <c r="H7889" t="s">
        <v>4330</v>
      </c>
      <c r="I7889">
        <v>2005</v>
      </c>
      <c r="J7889">
        <v>2005</v>
      </c>
      <c r="K7889" t="s">
        <v>4554</v>
      </c>
      <c r="L7889" t="s">
        <v>4555</v>
      </c>
      <c r="M7889" s="2">
        <v>1496</v>
      </c>
      <c r="N7889" t="s">
        <v>4048</v>
      </c>
      <c r="O7889">
        <v>3</v>
      </c>
      <c r="P7889">
        <v>2</v>
      </c>
      <c r="Q7889">
        <v>0</v>
      </c>
      <c r="R7889" t="s">
        <v>5281</v>
      </c>
      <c r="S7889" t="s">
        <v>4558</v>
      </c>
      <c r="T7889" t="s">
        <v>4559</v>
      </c>
      <c r="U7889" t="s">
        <v>4560</v>
      </c>
      <c r="V7889" s="2">
        <v>704</v>
      </c>
      <c r="W7889" t="s">
        <v>4655</v>
      </c>
      <c r="X7889" s="2">
        <v>0</v>
      </c>
      <c r="Y7889">
        <v>20</v>
      </c>
      <c r="Z7889" t="s">
        <v>5508</v>
      </c>
      <c r="AA7889" s="3">
        <v>0.33960056304931602</v>
      </c>
      <c r="AB7889" t="s">
        <v>36494</v>
      </c>
      <c r="AC7889" t="s">
        <v>4562</v>
      </c>
      <c r="AD7889" t="s">
        <v>36493</v>
      </c>
      <c r="AE7889" t="s">
        <v>4655</v>
      </c>
      <c r="AF7889" t="s">
        <v>5201</v>
      </c>
      <c r="AG7889" t="s">
        <v>4564</v>
      </c>
      <c r="AH7889" t="s">
        <v>1350</v>
      </c>
      <c r="AI7889" t="s">
        <v>4655</v>
      </c>
      <c r="AJ7889" t="s">
        <v>2224</v>
      </c>
      <c r="AK7889" t="s">
        <v>36495</v>
      </c>
      <c r="AL7889" s="13" t="s">
        <v>1892</v>
      </c>
      <c r="AM7889">
        <v>1</v>
      </c>
      <c r="AN7889" s="15" t="s">
        <v>2504</v>
      </c>
    </row>
    <row r="7890" spans="1:40" x14ac:dyDescent="0.3">
      <c r="A7890" s="10" t="str">
        <f>HYPERLINK("http://www.washoecounty.gov/assessor/cama/?parid=530-883-02&amp;CardNumber=1","530-883-02")</f>
        <v>530-883-02</v>
      </c>
      <c r="B7890" t="s">
        <v>4655</v>
      </c>
      <c r="C7890" t="s">
        <v>36496</v>
      </c>
      <c r="D7890" s="1">
        <v>40442</v>
      </c>
      <c r="E7890" s="2">
        <v>167500</v>
      </c>
      <c r="F7890" t="s">
        <v>4567</v>
      </c>
      <c r="G7890" s="17" t="str">
        <f>HYPERLINK("https://www.washoecounty.gov/assessor/cama/?command=sales&amp;parid=53088302","3924706")</f>
        <v>3924706</v>
      </c>
      <c r="H7890" t="s">
        <v>4330</v>
      </c>
      <c r="I7890">
        <v>2005</v>
      </c>
      <c r="J7890">
        <v>2005</v>
      </c>
      <c r="K7890" t="s">
        <v>4554</v>
      </c>
      <c r="L7890" t="s">
        <v>4555</v>
      </c>
      <c r="M7890" s="2">
        <v>1775</v>
      </c>
      <c r="N7890" t="s">
        <v>4048</v>
      </c>
      <c r="O7890">
        <v>3</v>
      </c>
      <c r="P7890">
        <v>2</v>
      </c>
      <c r="Q7890">
        <v>0</v>
      </c>
      <c r="R7890" t="s">
        <v>5281</v>
      </c>
      <c r="S7890" t="s">
        <v>4558</v>
      </c>
      <c r="T7890" t="s">
        <v>4559</v>
      </c>
      <c r="U7890" t="s">
        <v>4560</v>
      </c>
      <c r="V7890" s="2">
        <v>769</v>
      </c>
      <c r="W7890" t="s">
        <v>4655</v>
      </c>
      <c r="X7890" s="2">
        <v>0</v>
      </c>
      <c r="Y7890">
        <v>20</v>
      </c>
      <c r="Z7890" t="s">
        <v>5508</v>
      </c>
      <c r="AA7890" s="3">
        <v>0.361088156700134</v>
      </c>
      <c r="AB7890" t="s">
        <v>36497</v>
      </c>
      <c r="AC7890" t="s">
        <v>4562</v>
      </c>
      <c r="AD7890" t="s">
        <v>36496</v>
      </c>
      <c r="AE7890" t="s">
        <v>4655</v>
      </c>
      <c r="AF7890" t="s">
        <v>5201</v>
      </c>
      <c r="AG7890" t="s">
        <v>4564</v>
      </c>
      <c r="AH7890" t="s">
        <v>1350</v>
      </c>
      <c r="AI7890" t="s">
        <v>36498</v>
      </c>
      <c r="AJ7890" t="s">
        <v>2224</v>
      </c>
      <c r="AK7890" t="s">
        <v>36499</v>
      </c>
      <c r="AL7890" s="13" t="s">
        <v>1892</v>
      </c>
      <c r="AM7890">
        <v>1</v>
      </c>
      <c r="AN7890" s="15" t="s">
        <v>2504</v>
      </c>
    </row>
    <row r="7891" spans="1:40" x14ac:dyDescent="0.3">
      <c r="A7891" s="10" t="str">
        <f>HYPERLINK("http://www.washoecounty.gov/assessor/cama/?parid=530-891-05&amp;CardNumber=1","530-891-05")</f>
        <v>530-891-05</v>
      </c>
      <c r="B7891" t="s">
        <v>4655</v>
      </c>
      <c r="C7891" t="s">
        <v>36500</v>
      </c>
      <c r="D7891" s="1">
        <v>40490</v>
      </c>
      <c r="E7891" s="2">
        <v>172000</v>
      </c>
      <c r="F7891" t="s">
        <v>4553</v>
      </c>
      <c r="G7891" s="17" t="str">
        <f>HYPERLINK("https://www.washoecounty.gov/assessor/cama/?command=sales&amp;parid=53089105","3940847")</f>
        <v>3940847</v>
      </c>
      <c r="H7891" t="s">
        <v>4330</v>
      </c>
      <c r="I7891">
        <v>2005</v>
      </c>
      <c r="J7891">
        <v>2005</v>
      </c>
      <c r="K7891" t="s">
        <v>4554</v>
      </c>
      <c r="L7891" t="s">
        <v>4555</v>
      </c>
      <c r="M7891" s="2">
        <v>1612</v>
      </c>
      <c r="N7891" t="s">
        <v>4048</v>
      </c>
      <c r="O7891">
        <v>3</v>
      </c>
      <c r="P7891">
        <v>2</v>
      </c>
      <c r="Q7891">
        <v>1</v>
      </c>
      <c r="R7891" t="s">
        <v>4557</v>
      </c>
      <c r="S7891" t="s">
        <v>4558</v>
      </c>
      <c r="T7891" t="s">
        <v>4559</v>
      </c>
      <c r="U7891" t="s">
        <v>4560</v>
      </c>
      <c r="V7891" s="2">
        <v>960</v>
      </c>
      <c r="W7891" t="s">
        <v>4655</v>
      </c>
      <c r="X7891" s="2">
        <v>0</v>
      </c>
      <c r="Y7891">
        <v>20</v>
      </c>
      <c r="Z7891" t="s">
        <v>5508</v>
      </c>
      <c r="AA7891" s="3">
        <v>0.275482088327408</v>
      </c>
      <c r="AB7891" t="s">
        <v>36501</v>
      </c>
      <c r="AC7891" t="s">
        <v>4562</v>
      </c>
      <c r="AD7891" t="s">
        <v>36502</v>
      </c>
      <c r="AE7891" t="s">
        <v>4655</v>
      </c>
      <c r="AF7891" t="s">
        <v>4809</v>
      </c>
      <c r="AG7891" t="s">
        <v>4564</v>
      </c>
      <c r="AH7891" t="s">
        <v>1350</v>
      </c>
      <c r="AI7891" t="s">
        <v>4503</v>
      </c>
      <c r="AJ7891" t="s">
        <v>2224</v>
      </c>
      <c r="AK7891" t="s">
        <v>36503</v>
      </c>
      <c r="AL7891" s="13" t="s">
        <v>1892</v>
      </c>
      <c r="AM7891">
        <v>1</v>
      </c>
      <c r="AN7891" s="15" t="s">
        <v>2504</v>
      </c>
    </row>
    <row r="7892" spans="1:40" x14ac:dyDescent="0.3">
      <c r="A7892" s="10" t="str">
        <f>HYPERLINK("http://www.washoecounty.gov/assessor/cama/?parid=530-891-10&amp;CardNumber=1","530-891-10")</f>
        <v>530-891-10</v>
      </c>
      <c r="B7892" t="s">
        <v>4655</v>
      </c>
      <c r="C7892" t="s">
        <v>36504</v>
      </c>
      <c r="D7892" s="1">
        <v>40296</v>
      </c>
      <c r="E7892" s="2">
        <v>150000</v>
      </c>
      <c r="F7892" t="s">
        <v>4567</v>
      </c>
      <c r="G7892" s="17" t="str">
        <f>HYPERLINK("https://www.washoecounty.gov/assessor/cama/?command=sales&amp;parid=53089110","3875721")</f>
        <v>3875721</v>
      </c>
      <c r="H7892" t="s">
        <v>2223</v>
      </c>
      <c r="I7892">
        <v>2005</v>
      </c>
      <c r="J7892">
        <v>2005</v>
      </c>
      <c r="K7892" t="s">
        <v>4554</v>
      </c>
      <c r="L7892" t="s">
        <v>4555</v>
      </c>
      <c r="M7892" s="2">
        <v>1353</v>
      </c>
      <c r="N7892" t="s">
        <v>4048</v>
      </c>
      <c r="O7892">
        <v>3</v>
      </c>
      <c r="P7892">
        <v>2</v>
      </c>
      <c r="Q7892">
        <v>0</v>
      </c>
      <c r="R7892" t="s">
        <v>5281</v>
      </c>
      <c r="S7892" t="s">
        <v>4558</v>
      </c>
      <c r="T7892" t="s">
        <v>4559</v>
      </c>
      <c r="U7892" t="s">
        <v>4560</v>
      </c>
      <c r="V7892" s="2">
        <v>440</v>
      </c>
      <c r="W7892" t="s">
        <v>4655</v>
      </c>
      <c r="X7892" s="2">
        <v>0</v>
      </c>
      <c r="Y7892">
        <v>20</v>
      </c>
      <c r="Z7892" t="s">
        <v>5508</v>
      </c>
      <c r="AA7892" s="3">
        <v>0.275482088327408</v>
      </c>
      <c r="AB7892" t="s">
        <v>36505</v>
      </c>
      <c r="AC7892" t="s">
        <v>4562</v>
      </c>
      <c r="AD7892" t="s">
        <v>36504</v>
      </c>
      <c r="AE7892" t="s">
        <v>4655</v>
      </c>
      <c r="AF7892" t="s">
        <v>5201</v>
      </c>
      <c r="AG7892" t="s">
        <v>4564</v>
      </c>
      <c r="AH7892" t="s">
        <v>1350</v>
      </c>
      <c r="AI7892" t="s">
        <v>36506</v>
      </c>
      <c r="AJ7892" t="s">
        <v>2224</v>
      </c>
      <c r="AK7892" t="s">
        <v>36507</v>
      </c>
      <c r="AL7892" s="13" t="s">
        <v>1892</v>
      </c>
      <c r="AM7892" s="14">
        <v>1</v>
      </c>
      <c r="AN7892" s="15" t="s">
        <v>2504</v>
      </c>
    </row>
    <row r="7893" spans="1:40" x14ac:dyDescent="0.3">
      <c r="A7893" s="10" t="str">
        <f>HYPERLINK("http://www.washoecounty.gov/assessor/cama/?parid=530-892-06&amp;CardNumber=1","530-892-06")</f>
        <v>530-892-06</v>
      </c>
      <c r="B7893" t="s">
        <v>4655</v>
      </c>
      <c r="C7893" t="s">
        <v>36508</v>
      </c>
      <c r="D7893" s="1">
        <v>40204</v>
      </c>
      <c r="E7893" s="2">
        <v>230000</v>
      </c>
      <c r="F7893" t="s">
        <v>4553</v>
      </c>
      <c r="G7893" s="17" t="str">
        <f>HYPERLINK("https://www.washoecounty.gov/assessor/cama/?command=sales&amp;parid=53089206","3842726")</f>
        <v>3842726</v>
      </c>
      <c r="H7893" t="s">
        <v>2223</v>
      </c>
      <c r="I7893">
        <v>2005</v>
      </c>
      <c r="J7893">
        <v>2005</v>
      </c>
      <c r="K7893" t="s">
        <v>4554</v>
      </c>
      <c r="L7893" t="s">
        <v>4555</v>
      </c>
      <c r="M7893" s="2">
        <v>2679</v>
      </c>
      <c r="N7893" t="s">
        <v>4048</v>
      </c>
      <c r="O7893">
        <v>5</v>
      </c>
      <c r="P7893">
        <v>3</v>
      </c>
      <c r="Q7893">
        <v>0</v>
      </c>
      <c r="R7893" t="s">
        <v>5281</v>
      </c>
      <c r="S7893" t="s">
        <v>4558</v>
      </c>
      <c r="T7893" t="s">
        <v>4559</v>
      </c>
      <c r="U7893" t="s">
        <v>4560</v>
      </c>
      <c r="V7893" s="2">
        <v>736</v>
      </c>
      <c r="W7893" t="s">
        <v>4655</v>
      </c>
      <c r="X7893" s="2">
        <v>0</v>
      </c>
      <c r="Y7893">
        <v>20</v>
      </c>
      <c r="Z7893" t="s">
        <v>5508</v>
      </c>
      <c r="AA7893" s="3">
        <v>0.54832416772842407</v>
      </c>
      <c r="AB7893" t="s">
        <v>36509</v>
      </c>
      <c r="AC7893" t="s">
        <v>4562</v>
      </c>
      <c r="AD7893" t="s">
        <v>36508</v>
      </c>
      <c r="AE7893" t="s">
        <v>4655</v>
      </c>
      <c r="AF7893" t="s">
        <v>5201</v>
      </c>
      <c r="AG7893" t="s">
        <v>4564</v>
      </c>
      <c r="AH7893" t="s">
        <v>1350</v>
      </c>
      <c r="AI7893" t="s">
        <v>36510</v>
      </c>
      <c r="AJ7893" t="s">
        <v>2224</v>
      </c>
      <c r="AK7893" t="s">
        <v>36511</v>
      </c>
      <c r="AL7893" s="13" t="s">
        <v>1892</v>
      </c>
      <c r="AM7893">
        <v>1</v>
      </c>
      <c r="AN7893" s="15" t="s">
        <v>2504</v>
      </c>
    </row>
    <row r="7894" spans="1:40" x14ac:dyDescent="0.3">
      <c r="A7894" s="10" t="str">
        <f>HYPERLINK("http://www.washoecounty.gov/assessor/cama/?parid=530-892-11&amp;CardNumber=1","530-892-11")</f>
        <v>530-892-11</v>
      </c>
      <c r="B7894" t="s">
        <v>4655</v>
      </c>
      <c r="C7894" t="s">
        <v>36512</v>
      </c>
      <c r="D7894" s="1">
        <v>40248</v>
      </c>
      <c r="E7894" s="2">
        <v>195000</v>
      </c>
      <c r="F7894" t="s">
        <v>4567</v>
      </c>
      <c r="G7894" s="17" t="str">
        <f>HYPERLINK("https://www.washoecounty.gov/assessor/cama/?command=sales&amp;parid=53089211","3858523")</f>
        <v>3858523</v>
      </c>
      <c r="H7894" t="s">
        <v>2223</v>
      </c>
      <c r="I7894">
        <v>2005</v>
      </c>
      <c r="J7894">
        <v>2005</v>
      </c>
      <c r="K7894" t="s">
        <v>4554</v>
      </c>
      <c r="L7894" t="s">
        <v>4555</v>
      </c>
      <c r="M7894" s="2">
        <v>1877</v>
      </c>
      <c r="N7894" t="s">
        <v>4048</v>
      </c>
      <c r="O7894">
        <v>3</v>
      </c>
      <c r="P7894">
        <v>2</v>
      </c>
      <c r="Q7894">
        <v>0</v>
      </c>
      <c r="R7894" t="s">
        <v>5281</v>
      </c>
      <c r="S7894" t="s">
        <v>4558</v>
      </c>
      <c r="T7894" t="s">
        <v>4559</v>
      </c>
      <c r="U7894" t="s">
        <v>4560</v>
      </c>
      <c r="V7894" s="2">
        <v>711</v>
      </c>
      <c r="W7894" t="s">
        <v>4655</v>
      </c>
      <c r="X7894" s="2">
        <v>0</v>
      </c>
      <c r="Y7894">
        <v>20</v>
      </c>
      <c r="Z7894" t="s">
        <v>5508</v>
      </c>
      <c r="AA7894" s="3">
        <v>0.48962351679801902</v>
      </c>
      <c r="AB7894" t="s">
        <v>36513</v>
      </c>
      <c r="AC7894" t="s">
        <v>4562</v>
      </c>
      <c r="AD7894" t="s">
        <v>36512</v>
      </c>
      <c r="AE7894" t="s">
        <v>4655</v>
      </c>
      <c r="AF7894" t="s">
        <v>5201</v>
      </c>
      <c r="AG7894" t="s">
        <v>4564</v>
      </c>
      <c r="AH7894" t="s">
        <v>1350</v>
      </c>
      <c r="AI7894" t="s">
        <v>36514</v>
      </c>
      <c r="AJ7894" t="s">
        <v>2224</v>
      </c>
      <c r="AK7894" t="s">
        <v>36515</v>
      </c>
      <c r="AL7894" s="13" t="s">
        <v>1892</v>
      </c>
      <c r="AM7894" s="14">
        <v>1</v>
      </c>
      <c r="AN7894" s="15" t="s">
        <v>2504</v>
      </c>
    </row>
    <row r="7895" spans="1:40" x14ac:dyDescent="0.3">
      <c r="A7895" s="10" t="str">
        <f>HYPERLINK("http://www.washoecounty.gov/assessor/cama/?parid=530-911-01&amp;CardNumber=1","530-911-01")</f>
        <v>530-911-01</v>
      </c>
      <c r="B7895" t="s">
        <v>4655</v>
      </c>
      <c r="C7895" t="s">
        <v>36516</v>
      </c>
      <c r="D7895" s="1">
        <v>40445</v>
      </c>
      <c r="E7895" s="2">
        <v>269000</v>
      </c>
      <c r="F7895" t="s">
        <v>4567</v>
      </c>
      <c r="G7895" s="17" t="str">
        <f>HYPERLINK("https://www.washoecounty.gov/assessor/cama/?command=sales&amp;parid=53091101","3926149")</f>
        <v>3926149</v>
      </c>
      <c r="H7895" t="s">
        <v>1830</v>
      </c>
      <c r="I7895">
        <v>2005</v>
      </c>
      <c r="J7895">
        <v>2005</v>
      </c>
      <c r="K7895" t="s">
        <v>4554</v>
      </c>
      <c r="L7895" t="s">
        <v>3974</v>
      </c>
      <c r="M7895" s="2">
        <v>3274</v>
      </c>
      <c r="N7895" t="s">
        <v>5280</v>
      </c>
      <c r="O7895">
        <v>5</v>
      </c>
      <c r="P7895">
        <v>4</v>
      </c>
      <c r="Q7895">
        <v>0</v>
      </c>
      <c r="R7895" t="s">
        <v>5281</v>
      </c>
      <c r="S7895" t="s">
        <v>4898</v>
      </c>
      <c r="T7895" t="s">
        <v>4559</v>
      </c>
      <c r="U7895" t="s">
        <v>5631</v>
      </c>
      <c r="V7895" s="2">
        <v>810</v>
      </c>
      <c r="W7895" t="s">
        <v>4655</v>
      </c>
      <c r="X7895" s="2">
        <v>0</v>
      </c>
      <c r="Y7895">
        <v>20</v>
      </c>
      <c r="Z7895" t="s">
        <v>5508</v>
      </c>
      <c r="AA7895" s="3">
        <v>0.38333332538604697</v>
      </c>
      <c r="AB7895" t="s">
        <v>36517</v>
      </c>
      <c r="AC7895" t="s">
        <v>4562</v>
      </c>
      <c r="AD7895" t="s">
        <v>36516</v>
      </c>
      <c r="AE7895" t="s">
        <v>4655</v>
      </c>
      <c r="AF7895" t="s">
        <v>5201</v>
      </c>
      <c r="AG7895" t="s">
        <v>4564</v>
      </c>
      <c r="AH7895" t="s">
        <v>1350</v>
      </c>
      <c r="AI7895" t="s">
        <v>36518</v>
      </c>
      <c r="AJ7895" t="s">
        <v>1831</v>
      </c>
      <c r="AK7895" t="s">
        <v>36519</v>
      </c>
      <c r="AL7895" s="13" t="s">
        <v>1892</v>
      </c>
      <c r="AM7895">
        <v>1</v>
      </c>
      <c r="AN7895" s="15" t="s">
        <v>1832</v>
      </c>
    </row>
    <row r="7896" spans="1:40" x14ac:dyDescent="0.3">
      <c r="A7896" s="10" t="str">
        <f>HYPERLINK("http://www.washoecounty.gov/assessor/cama/?parid=530-911-02&amp;CardNumber=1","530-911-02")</f>
        <v>530-911-02</v>
      </c>
      <c r="B7896" t="s">
        <v>4655</v>
      </c>
      <c r="C7896" t="s">
        <v>36520</v>
      </c>
      <c r="D7896" s="1">
        <v>40283</v>
      </c>
      <c r="E7896" s="2">
        <v>250000</v>
      </c>
      <c r="F7896" t="s">
        <v>4567</v>
      </c>
      <c r="G7896" s="17" t="str">
        <f>HYPERLINK("https://www.washoecounty.gov/assessor/cama/?command=sales&amp;parid=53091102","3871480")</f>
        <v>3871480</v>
      </c>
      <c r="H7896" t="s">
        <v>1830</v>
      </c>
      <c r="I7896">
        <v>2006</v>
      </c>
      <c r="J7896">
        <v>2006</v>
      </c>
      <c r="K7896" t="s">
        <v>4554</v>
      </c>
      <c r="L7896" t="s">
        <v>3974</v>
      </c>
      <c r="M7896" s="2">
        <v>2920</v>
      </c>
      <c r="N7896" t="s">
        <v>5280</v>
      </c>
      <c r="O7896">
        <v>4</v>
      </c>
      <c r="P7896">
        <v>3</v>
      </c>
      <c r="Q7896">
        <v>0</v>
      </c>
      <c r="R7896" t="s">
        <v>5281</v>
      </c>
      <c r="S7896" t="s">
        <v>4898</v>
      </c>
      <c r="T7896" t="s">
        <v>4559</v>
      </c>
      <c r="U7896" t="s">
        <v>5631</v>
      </c>
      <c r="V7896" s="2">
        <v>599</v>
      </c>
      <c r="W7896" t="s">
        <v>4655</v>
      </c>
      <c r="X7896" s="2">
        <v>0</v>
      </c>
      <c r="Y7896">
        <v>20</v>
      </c>
      <c r="Z7896" t="s">
        <v>5508</v>
      </c>
      <c r="AA7896" s="3">
        <v>0.53861337900161699</v>
      </c>
      <c r="AB7896" t="s">
        <v>36521</v>
      </c>
      <c r="AC7896" t="s">
        <v>4562</v>
      </c>
      <c r="AD7896" t="s">
        <v>36522</v>
      </c>
      <c r="AE7896" t="s">
        <v>4655</v>
      </c>
      <c r="AF7896" t="s">
        <v>4809</v>
      </c>
      <c r="AG7896" t="s">
        <v>4564</v>
      </c>
      <c r="AH7896" t="s">
        <v>1350</v>
      </c>
      <c r="AI7896" t="s">
        <v>36523</v>
      </c>
      <c r="AJ7896" t="s">
        <v>1831</v>
      </c>
      <c r="AK7896" t="s">
        <v>36524</v>
      </c>
      <c r="AL7896" s="13" t="s">
        <v>1892</v>
      </c>
      <c r="AM7896">
        <v>1</v>
      </c>
      <c r="AN7896" s="15" t="s">
        <v>1832</v>
      </c>
    </row>
    <row r="7897" spans="1:40" x14ac:dyDescent="0.3">
      <c r="A7897" s="10" t="str">
        <f>HYPERLINK("http://www.washoecounty.gov/assessor/cama/?parid=530-911-10&amp;CardNumber=1","530-911-10")</f>
        <v>530-911-10</v>
      </c>
      <c r="B7897" t="s">
        <v>4655</v>
      </c>
      <c r="C7897" t="s">
        <v>36525</v>
      </c>
      <c r="D7897" s="1">
        <v>40381</v>
      </c>
      <c r="E7897" s="2">
        <v>232000</v>
      </c>
      <c r="F7897" t="s">
        <v>4567</v>
      </c>
      <c r="G7897" s="17" t="str">
        <f>HYPERLINK("https://www.washoecounty.gov/assessor/cama/?command=sales&amp;parid=53091110","3904125")</f>
        <v>3904125</v>
      </c>
      <c r="H7897" t="s">
        <v>1830</v>
      </c>
      <c r="I7897">
        <v>2006</v>
      </c>
      <c r="J7897">
        <v>2006</v>
      </c>
      <c r="K7897" t="s">
        <v>4554</v>
      </c>
      <c r="L7897" t="s">
        <v>4555</v>
      </c>
      <c r="M7897" s="2">
        <v>2374</v>
      </c>
      <c r="N7897" t="s">
        <v>5280</v>
      </c>
      <c r="O7897">
        <v>4</v>
      </c>
      <c r="P7897">
        <v>2</v>
      </c>
      <c r="Q7897">
        <v>1</v>
      </c>
      <c r="R7897" t="s">
        <v>5281</v>
      </c>
      <c r="S7897" t="s">
        <v>4898</v>
      </c>
      <c r="T7897" t="s">
        <v>4559</v>
      </c>
      <c r="U7897" t="s">
        <v>4560</v>
      </c>
      <c r="V7897" s="2">
        <v>610</v>
      </c>
      <c r="W7897" t="s">
        <v>4655</v>
      </c>
      <c r="X7897" s="2">
        <v>0</v>
      </c>
      <c r="Y7897">
        <v>20</v>
      </c>
      <c r="Z7897" t="s">
        <v>5508</v>
      </c>
      <c r="AA7897" s="3">
        <v>0.30847108364105202</v>
      </c>
      <c r="AB7897" t="s">
        <v>36526</v>
      </c>
      <c r="AC7897" t="s">
        <v>4562</v>
      </c>
      <c r="AD7897" t="s">
        <v>36525</v>
      </c>
      <c r="AE7897" t="s">
        <v>4655</v>
      </c>
      <c r="AF7897" t="s">
        <v>5201</v>
      </c>
      <c r="AG7897" t="s">
        <v>4564</v>
      </c>
      <c r="AH7897" t="s">
        <v>1350</v>
      </c>
      <c r="AI7897" t="s">
        <v>36527</v>
      </c>
      <c r="AJ7897" t="s">
        <v>1831</v>
      </c>
      <c r="AK7897" t="s">
        <v>36528</v>
      </c>
      <c r="AL7897" s="13" t="s">
        <v>1892</v>
      </c>
      <c r="AM7897">
        <v>1</v>
      </c>
      <c r="AN7897" s="15" t="s">
        <v>1832</v>
      </c>
    </row>
    <row r="7898" spans="1:40" x14ac:dyDescent="0.3">
      <c r="A7898" s="10" t="str">
        <f>HYPERLINK("http://www.washoecounty.gov/assessor/cama/?parid=530-911-12&amp;CardNumber=1","530-911-12")</f>
        <v>530-911-12</v>
      </c>
      <c r="B7898" t="s">
        <v>4655</v>
      </c>
      <c r="C7898" t="s">
        <v>36529</v>
      </c>
      <c r="D7898" s="1">
        <v>40326</v>
      </c>
      <c r="E7898" s="2">
        <v>214000</v>
      </c>
      <c r="F7898" t="s">
        <v>4567</v>
      </c>
      <c r="G7898" s="17" t="str">
        <f>HYPERLINK("https://www.washoecounty.gov/assessor/cama/?command=sales&amp;parid=53091112","3886898")</f>
        <v>3886898</v>
      </c>
      <c r="H7898" t="s">
        <v>1830</v>
      </c>
      <c r="I7898">
        <v>2006</v>
      </c>
      <c r="J7898">
        <v>2006</v>
      </c>
      <c r="K7898" t="s">
        <v>4554</v>
      </c>
      <c r="L7898" t="s">
        <v>4555</v>
      </c>
      <c r="M7898" s="2">
        <v>2042</v>
      </c>
      <c r="N7898" t="s">
        <v>5280</v>
      </c>
      <c r="O7898">
        <v>3</v>
      </c>
      <c r="P7898">
        <v>2</v>
      </c>
      <c r="Q7898">
        <v>0</v>
      </c>
      <c r="R7898" t="s">
        <v>5281</v>
      </c>
      <c r="S7898" t="s">
        <v>4898</v>
      </c>
      <c r="T7898" t="s">
        <v>4559</v>
      </c>
      <c r="U7898" t="s">
        <v>4560</v>
      </c>
      <c r="V7898" s="2">
        <v>780</v>
      </c>
      <c r="W7898" t="s">
        <v>4655</v>
      </c>
      <c r="X7898" s="2">
        <v>0</v>
      </c>
      <c r="Y7898">
        <v>20</v>
      </c>
      <c r="Z7898" t="s">
        <v>5508</v>
      </c>
      <c r="AA7898" s="3">
        <v>0.30245637893676802</v>
      </c>
      <c r="AB7898" t="s">
        <v>36530</v>
      </c>
      <c r="AC7898" t="s">
        <v>4562</v>
      </c>
      <c r="AD7898" t="s">
        <v>36529</v>
      </c>
      <c r="AE7898" t="s">
        <v>4655</v>
      </c>
      <c r="AF7898" t="s">
        <v>5201</v>
      </c>
      <c r="AG7898" t="s">
        <v>4564</v>
      </c>
      <c r="AH7898" t="s">
        <v>1350</v>
      </c>
      <c r="AI7898" t="s">
        <v>36531</v>
      </c>
      <c r="AJ7898" t="s">
        <v>1831</v>
      </c>
      <c r="AK7898" t="s">
        <v>36532</v>
      </c>
      <c r="AL7898" s="13" t="s">
        <v>1892</v>
      </c>
      <c r="AM7898">
        <v>1</v>
      </c>
      <c r="AN7898" s="15" t="s">
        <v>1832</v>
      </c>
    </row>
    <row r="7899" spans="1:40" x14ac:dyDescent="0.3">
      <c r="A7899" s="10" t="str">
        <f>HYPERLINK("http://www.washoecounty.gov/assessor/cama/?parid=530-913-02&amp;CardNumber=1","530-913-02")</f>
        <v>530-913-02</v>
      </c>
      <c r="B7899" t="s">
        <v>4655</v>
      </c>
      <c r="C7899" t="s">
        <v>36533</v>
      </c>
      <c r="D7899" s="1">
        <v>40298</v>
      </c>
      <c r="E7899" s="2">
        <v>245000</v>
      </c>
      <c r="F7899" t="s">
        <v>4567</v>
      </c>
      <c r="G7899" s="17" t="str">
        <f>HYPERLINK("https://www.washoecounty.gov/assessor/cama/?command=sales&amp;parid=53091302","3876934")</f>
        <v>3876934</v>
      </c>
      <c r="H7899" t="s">
        <v>1830</v>
      </c>
      <c r="I7899">
        <v>2006</v>
      </c>
      <c r="J7899">
        <v>2006</v>
      </c>
      <c r="K7899" t="s">
        <v>4554</v>
      </c>
      <c r="L7899" t="s">
        <v>4555</v>
      </c>
      <c r="M7899" s="2">
        <v>2785</v>
      </c>
      <c r="N7899" t="s">
        <v>5280</v>
      </c>
      <c r="O7899">
        <v>3</v>
      </c>
      <c r="P7899">
        <v>2</v>
      </c>
      <c r="Q7899">
        <v>1</v>
      </c>
      <c r="R7899" t="s">
        <v>5281</v>
      </c>
      <c r="S7899" t="s">
        <v>4898</v>
      </c>
      <c r="T7899" t="s">
        <v>4559</v>
      </c>
      <c r="U7899" t="s">
        <v>4560</v>
      </c>
      <c r="V7899" s="2">
        <v>540</v>
      </c>
      <c r="W7899" t="s">
        <v>4655</v>
      </c>
      <c r="X7899" s="2">
        <v>0</v>
      </c>
      <c r="Y7899">
        <v>20</v>
      </c>
      <c r="Z7899" t="s">
        <v>5508</v>
      </c>
      <c r="AA7899" s="3">
        <v>0.33803948760032698</v>
      </c>
      <c r="AB7899" t="s">
        <v>36534</v>
      </c>
      <c r="AC7899" t="s">
        <v>4562</v>
      </c>
      <c r="AD7899" t="s">
        <v>36533</v>
      </c>
      <c r="AE7899" t="s">
        <v>4655</v>
      </c>
      <c r="AF7899" t="s">
        <v>5201</v>
      </c>
      <c r="AG7899" t="s">
        <v>4564</v>
      </c>
      <c r="AH7899" t="s">
        <v>1350</v>
      </c>
      <c r="AI7899" t="s">
        <v>36535</v>
      </c>
      <c r="AJ7899" t="s">
        <v>1831</v>
      </c>
      <c r="AK7899" t="s">
        <v>36536</v>
      </c>
      <c r="AL7899" s="13" t="s">
        <v>1892</v>
      </c>
      <c r="AM7899">
        <v>1</v>
      </c>
      <c r="AN7899" s="15" t="s">
        <v>1832</v>
      </c>
    </row>
    <row r="7900" spans="1:40" x14ac:dyDescent="0.3">
      <c r="A7900" s="10" t="str">
        <f>HYPERLINK("http://www.washoecounty.gov/assessor/cama/?parid=530-921-05&amp;CardNumber=1","530-921-05")</f>
        <v>530-921-05</v>
      </c>
      <c r="B7900" t="s">
        <v>4655</v>
      </c>
      <c r="C7900" t="s">
        <v>36537</v>
      </c>
      <c r="D7900" s="1">
        <v>40221</v>
      </c>
      <c r="E7900" s="2">
        <v>230000</v>
      </c>
      <c r="F7900" t="s">
        <v>4553</v>
      </c>
      <c r="G7900" s="17" t="str">
        <f>HYPERLINK("https://www.washoecounty.gov/assessor/cama/?command=sales&amp;parid=53092105","3848964")</f>
        <v>3848964</v>
      </c>
      <c r="H7900" t="s">
        <v>1830</v>
      </c>
      <c r="I7900">
        <v>2006</v>
      </c>
      <c r="J7900">
        <v>2006</v>
      </c>
      <c r="K7900" t="s">
        <v>4554</v>
      </c>
      <c r="L7900" t="s">
        <v>4555</v>
      </c>
      <c r="M7900" s="2">
        <v>2374</v>
      </c>
      <c r="N7900" t="s">
        <v>5280</v>
      </c>
      <c r="O7900">
        <v>4</v>
      </c>
      <c r="P7900">
        <v>2</v>
      </c>
      <c r="Q7900">
        <v>1</v>
      </c>
      <c r="R7900" t="s">
        <v>5281</v>
      </c>
      <c r="S7900" t="s">
        <v>4898</v>
      </c>
      <c r="T7900" t="s">
        <v>4559</v>
      </c>
      <c r="U7900" t="s">
        <v>4560</v>
      </c>
      <c r="V7900" s="2">
        <v>610</v>
      </c>
      <c r="W7900" t="s">
        <v>4655</v>
      </c>
      <c r="X7900" s="2">
        <v>0</v>
      </c>
      <c r="Y7900">
        <v>20</v>
      </c>
      <c r="Z7900" t="s">
        <v>5508</v>
      </c>
      <c r="AA7900" s="3">
        <v>0.31802111864089999</v>
      </c>
      <c r="AB7900" t="s">
        <v>36538</v>
      </c>
      <c r="AC7900" t="s">
        <v>4575</v>
      </c>
      <c r="AD7900" t="s">
        <v>36539</v>
      </c>
      <c r="AE7900" t="s">
        <v>4655</v>
      </c>
      <c r="AF7900" t="s">
        <v>36540</v>
      </c>
      <c r="AG7900" t="s">
        <v>1754</v>
      </c>
      <c r="AH7900" t="s">
        <v>36541</v>
      </c>
      <c r="AI7900" t="s">
        <v>36542</v>
      </c>
      <c r="AJ7900" t="s">
        <v>1831</v>
      </c>
      <c r="AK7900" t="s">
        <v>36543</v>
      </c>
      <c r="AL7900" s="13" t="s">
        <v>1892</v>
      </c>
      <c r="AM7900">
        <v>1</v>
      </c>
      <c r="AN7900" s="15" t="s">
        <v>1832</v>
      </c>
    </row>
    <row r="7901" spans="1:40" x14ac:dyDescent="0.3">
      <c r="A7901" s="10" t="str">
        <f>HYPERLINK("http://www.washoecounty.gov/assessor/cama/?parid=530-941-05&amp;CardNumber=1","530-941-05")</f>
        <v>530-941-05</v>
      </c>
      <c r="B7901" t="s">
        <v>4655</v>
      </c>
      <c r="C7901" t="s">
        <v>36544</v>
      </c>
      <c r="D7901" s="1">
        <v>40228</v>
      </c>
      <c r="E7901" s="2">
        <v>230000</v>
      </c>
      <c r="F7901" t="s">
        <v>4553</v>
      </c>
      <c r="G7901" s="17" t="str">
        <f>HYPERLINK("https://www.washoecounty.gov/assessor/cama/?command=sales&amp;parid=53094105","3851098")</f>
        <v>3851098</v>
      </c>
      <c r="H7901" t="s">
        <v>1944</v>
      </c>
      <c r="I7901">
        <v>2006</v>
      </c>
      <c r="J7901">
        <v>2006</v>
      </c>
      <c r="K7901" t="s">
        <v>4554</v>
      </c>
      <c r="L7901" t="s">
        <v>3974</v>
      </c>
      <c r="M7901" s="2">
        <v>2733</v>
      </c>
      <c r="N7901" t="s">
        <v>5280</v>
      </c>
      <c r="O7901">
        <v>4</v>
      </c>
      <c r="P7901">
        <v>3</v>
      </c>
      <c r="Q7901">
        <v>0</v>
      </c>
      <c r="R7901" t="s">
        <v>5281</v>
      </c>
      <c r="S7901" t="s">
        <v>4898</v>
      </c>
      <c r="T7901" t="s">
        <v>4559</v>
      </c>
      <c r="U7901" t="s">
        <v>5631</v>
      </c>
      <c r="V7901" s="2">
        <v>702</v>
      </c>
      <c r="W7901" t="s">
        <v>4655</v>
      </c>
      <c r="X7901" s="2">
        <v>0</v>
      </c>
      <c r="Y7901">
        <v>20</v>
      </c>
      <c r="Z7901" t="s">
        <v>5508</v>
      </c>
      <c r="AA7901" s="3">
        <v>0.41322314739227295</v>
      </c>
      <c r="AB7901" t="s">
        <v>36545</v>
      </c>
      <c r="AC7901" t="s">
        <v>4575</v>
      </c>
      <c r="AD7901" t="s">
        <v>36546</v>
      </c>
      <c r="AE7901" t="s">
        <v>36544</v>
      </c>
      <c r="AF7901" t="s">
        <v>5201</v>
      </c>
      <c r="AG7901" t="s">
        <v>4564</v>
      </c>
      <c r="AH7901" t="s">
        <v>1350</v>
      </c>
      <c r="AI7901" t="s">
        <v>17525</v>
      </c>
      <c r="AJ7901" t="s">
        <v>1945</v>
      </c>
      <c r="AK7901" t="s">
        <v>36547</v>
      </c>
      <c r="AL7901" s="13" t="s">
        <v>1892</v>
      </c>
      <c r="AM7901">
        <v>1</v>
      </c>
      <c r="AN7901" s="15" t="s">
        <v>1832</v>
      </c>
    </row>
    <row r="7902" spans="1:40" x14ac:dyDescent="0.3">
      <c r="A7902" s="10" t="str">
        <f>HYPERLINK("http://www.washoecounty.gov/assessor/cama/?parid=530-942-06&amp;CardNumber=1","530-942-06")</f>
        <v>530-942-06</v>
      </c>
      <c r="B7902" t="s">
        <v>4655</v>
      </c>
      <c r="C7902" t="s">
        <v>36548</v>
      </c>
      <c r="D7902" s="1">
        <v>40451</v>
      </c>
      <c r="E7902" s="2">
        <v>228150</v>
      </c>
      <c r="F7902" t="s">
        <v>4567</v>
      </c>
      <c r="G7902" s="17" t="str">
        <f>HYPERLINK("https://www.washoecounty.gov/assessor/cama/?command=sales&amp;parid=53094206","3928487")</f>
        <v>3928487</v>
      </c>
      <c r="H7902" t="s">
        <v>1944</v>
      </c>
      <c r="I7902">
        <v>2006</v>
      </c>
      <c r="J7902">
        <v>2006</v>
      </c>
      <c r="K7902" t="s">
        <v>4554</v>
      </c>
      <c r="L7902" t="s">
        <v>4555</v>
      </c>
      <c r="M7902" s="2">
        <v>2042</v>
      </c>
      <c r="N7902" t="s">
        <v>5280</v>
      </c>
      <c r="O7902">
        <v>3</v>
      </c>
      <c r="P7902">
        <v>2</v>
      </c>
      <c r="Q7902">
        <v>0</v>
      </c>
      <c r="R7902" t="s">
        <v>5281</v>
      </c>
      <c r="S7902" t="s">
        <v>4898</v>
      </c>
      <c r="T7902" t="s">
        <v>4559</v>
      </c>
      <c r="U7902" t="s">
        <v>4560</v>
      </c>
      <c r="V7902" s="2">
        <v>656</v>
      </c>
      <c r="W7902" t="s">
        <v>4655</v>
      </c>
      <c r="X7902" s="2">
        <v>0</v>
      </c>
      <c r="Y7902">
        <v>20</v>
      </c>
      <c r="Z7902" t="s">
        <v>5508</v>
      </c>
      <c r="AA7902" s="3">
        <v>0.30130854249000499</v>
      </c>
      <c r="AB7902" t="s">
        <v>36549</v>
      </c>
      <c r="AC7902" t="s">
        <v>4562</v>
      </c>
      <c r="AD7902" t="s">
        <v>36550</v>
      </c>
      <c r="AE7902" t="s">
        <v>4655</v>
      </c>
      <c r="AF7902" t="s">
        <v>4809</v>
      </c>
      <c r="AG7902" t="s">
        <v>4564</v>
      </c>
      <c r="AH7902" t="s">
        <v>1605</v>
      </c>
      <c r="AI7902" t="s">
        <v>36551</v>
      </c>
      <c r="AJ7902" t="s">
        <v>1945</v>
      </c>
      <c r="AK7902" t="s">
        <v>36552</v>
      </c>
      <c r="AL7902" s="13" t="s">
        <v>1892</v>
      </c>
      <c r="AM7902">
        <v>1</v>
      </c>
      <c r="AN7902" s="15" t="s">
        <v>1832</v>
      </c>
    </row>
    <row r="7903" spans="1:40" x14ac:dyDescent="0.3">
      <c r="A7903" s="10" t="str">
        <f>HYPERLINK("http://www.washoecounty.gov/assessor/cama/?parid=530-942-13&amp;CardNumber=1","530-942-13")</f>
        <v>530-942-13</v>
      </c>
      <c r="B7903" t="s">
        <v>4655</v>
      </c>
      <c r="C7903" t="s">
        <v>36553</v>
      </c>
      <c r="D7903" s="1">
        <v>40420</v>
      </c>
      <c r="E7903" s="2">
        <v>265000</v>
      </c>
      <c r="F7903" t="s">
        <v>4567</v>
      </c>
      <c r="G7903" s="17" t="str">
        <f>HYPERLINK("https://www.washoecounty.gov/assessor/cama/?command=sales&amp;parid=53094213","3917080")</f>
        <v>3917080</v>
      </c>
      <c r="H7903" t="s">
        <v>1944</v>
      </c>
      <c r="I7903">
        <v>2006</v>
      </c>
      <c r="J7903">
        <v>2006</v>
      </c>
      <c r="K7903" t="s">
        <v>4554</v>
      </c>
      <c r="L7903" t="s">
        <v>4555</v>
      </c>
      <c r="M7903" s="2">
        <v>2785</v>
      </c>
      <c r="N7903" t="s">
        <v>5280</v>
      </c>
      <c r="O7903">
        <v>4</v>
      </c>
      <c r="P7903">
        <v>2</v>
      </c>
      <c r="Q7903">
        <v>1</v>
      </c>
      <c r="R7903" t="s">
        <v>5281</v>
      </c>
      <c r="S7903" t="s">
        <v>4898</v>
      </c>
      <c r="T7903" t="s">
        <v>4559</v>
      </c>
      <c r="U7903" t="s">
        <v>4560</v>
      </c>
      <c r="V7903" s="2">
        <v>540</v>
      </c>
      <c r="W7903" t="s">
        <v>4655</v>
      </c>
      <c r="X7903" s="2">
        <v>0</v>
      </c>
      <c r="Y7903">
        <v>20</v>
      </c>
      <c r="Z7903" t="s">
        <v>5508</v>
      </c>
      <c r="AA7903" s="3">
        <v>0.37904039025306702</v>
      </c>
      <c r="AB7903" t="s">
        <v>36554</v>
      </c>
      <c r="AC7903" t="s">
        <v>4562</v>
      </c>
      <c r="AD7903" t="s">
        <v>36553</v>
      </c>
      <c r="AE7903" t="s">
        <v>4655</v>
      </c>
      <c r="AF7903" t="s">
        <v>5201</v>
      </c>
      <c r="AG7903" t="s">
        <v>4564</v>
      </c>
      <c r="AH7903" t="s">
        <v>1350</v>
      </c>
      <c r="AI7903" t="s">
        <v>36555</v>
      </c>
      <c r="AJ7903" t="s">
        <v>1945</v>
      </c>
      <c r="AK7903" t="s">
        <v>36556</v>
      </c>
      <c r="AL7903" s="13" t="s">
        <v>1892</v>
      </c>
      <c r="AM7903">
        <v>1</v>
      </c>
      <c r="AN7903" s="15" t="s">
        <v>1832</v>
      </c>
    </row>
    <row r="7904" spans="1:40" x14ac:dyDescent="0.3">
      <c r="A7904" s="10" t="str">
        <f>HYPERLINK("http://www.washoecounty.gov/assessor/cama/?parid=530-953-03&amp;CardNumber=1","530-953-03")</f>
        <v>530-953-03</v>
      </c>
      <c r="B7904" t="s">
        <v>4655</v>
      </c>
      <c r="C7904" t="s">
        <v>36557</v>
      </c>
      <c r="D7904" s="1">
        <v>40456</v>
      </c>
      <c r="E7904" s="2">
        <v>250000</v>
      </c>
      <c r="F7904" t="s">
        <v>4567</v>
      </c>
      <c r="G7904" s="17" t="str">
        <f>HYPERLINK("https://www.washoecounty.gov/assessor/cama/?command=sales&amp;parid=53095303","3929942")</f>
        <v>3929942</v>
      </c>
      <c r="H7904" t="s">
        <v>1944</v>
      </c>
      <c r="I7904">
        <v>2008</v>
      </c>
      <c r="J7904">
        <v>2008</v>
      </c>
      <c r="K7904" t="s">
        <v>4554</v>
      </c>
      <c r="L7904" t="s">
        <v>4555</v>
      </c>
      <c r="M7904" s="2">
        <v>2785</v>
      </c>
      <c r="N7904" t="s">
        <v>5280</v>
      </c>
      <c r="O7904">
        <v>3</v>
      </c>
      <c r="P7904">
        <v>2</v>
      </c>
      <c r="Q7904">
        <v>1</v>
      </c>
      <c r="R7904" t="s">
        <v>5281</v>
      </c>
      <c r="S7904" t="s">
        <v>4898</v>
      </c>
      <c r="T7904" t="s">
        <v>4559</v>
      </c>
      <c r="U7904" t="s">
        <v>4560</v>
      </c>
      <c r="V7904" s="2">
        <v>540</v>
      </c>
      <c r="W7904" t="s">
        <v>4655</v>
      </c>
      <c r="X7904" s="2">
        <v>0</v>
      </c>
      <c r="Y7904">
        <v>20</v>
      </c>
      <c r="Z7904" t="s">
        <v>5508</v>
      </c>
      <c r="AA7904" s="3">
        <v>0.35707071423530601</v>
      </c>
      <c r="AB7904" t="s">
        <v>36558</v>
      </c>
      <c r="AC7904" t="s">
        <v>4562</v>
      </c>
      <c r="AD7904" t="s">
        <v>36557</v>
      </c>
      <c r="AE7904" t="s">
        <v>4655</v>
      </c>
      <c r="AF7904" t="s">
        <v>5201</v>
      </c>
      <c r="AG7904" t="s">
        <v>4564</v>
      </c>
      <c r="AH7904" t="s">
        <v>1350</v>
      </c>
      <c r="AI7904" t="s">
        <v>36559</v>
      </c>
      <c r="AJ7904" t="s">
        <v>1945</v>
      </c>
      <c r="AK7904" t="s">
        <v>36560</v>
      </c>
      <c r="AL7904" s="13" t="s">
        <v>1892</v>
      </c>
      <c r="AM7904">
        <v>1</v>
      </c>
      <c r="AN7904" s="15" t="s">
        <v>1832</v>
      </c>
    </row>
    <row r="7905" spans="1:40" x14ac:dyDescent="0.3">
      <c r="A7905" s="10" t="str">
        <f>HYPERLINK("http://www.washoecounty.gov/assessor/cama/?parid=532-032-14&amp;CardNumber=1","532-032-14")</f>
        <v>532-032-14</v>
      </c>
      <c r="B7905" t="s">
        <v>4655</v>
      </c>
      <c r="C7905" t="s">
        <v>3140</v>
      </c>
      <c r="D7905" s="1">
        <v>40331</v>
      </c>
      <c r="E7905" s="2">
        <v>1604007</v>
      </c>
      <c r="F7905" t="s">
        <v>3512</v>
      </c>
      <c r="G7905" s="17" t="str">
        <f>HYPERLINK("https://www.washoecounty.gov/assessor/cama/?command=sales&amp;parid=53203214","3887610")</f>
        <v>3887610</v>
      </c>
      <c r="H7905" t="s">
        <v>4115</v>
      </c>
      <c r="I7905">
        <v>0</v>
      </c>
      <c r="J7905">
        <v>0</v>
      </c>
      <c r="K7905" t="s">
        <v>4655</v>
      </c>
      <c r="L7905" t="s">
        <v>4655</v>
      </c>
      <c r="M7905" s="2">
        <v>0</v>
      </c>
      <c r="N7905" t="s">
        <v>4655</v>
      </c>
      <c r="O7905">
        <v>0</v>
      </c>
      <c r="P7905">
        <v>0</v>
      </c>
      <c r="Q7905">
        <v>0</v>
      </c>
      <c r="R7905" t="s">
        <v>4655</v>
      </c>
      <c r="S7905" t="s">
        <v>4655</v>
      </c>
      <c r="T7905" t="s">
        <v>4655</v>
      </c>
      <c r="U7905" t="s">
        <v>4655</v>
      </c>
      <c r="V7905" s="2">
        <v>0</v>
      </c>
      <c r="W7905" t="s">
        <v>4655</v>
      </c>
      <c r="X7905" s="2">
        <v>0</v>
      </c>
      <c r="Y7905">
        <v>18</v>
      </c>
      <c r="Z7905" t="s">
        <v>4051</v>
      </c>
      <c r="AA7905" s="3">
        <v>1.9883149862289429</v>
      </c>
      <c r="AB7905" t="s">
        <v>36561</v>
      </c>
      <c r="AC7905" t="s">
        <v>4562</v>
      </c>
      <c r="AD7905" t="s">
        <v>36562</v>
      </c>
      <c r="AE7905" t="s">
        <v>4655</v>
      </c>
      <c r="AF7905" t="s">
        <v>36563</v>
      </c>
      <c r="AG7905" t="s">
        <v>4584</v>
      </c>
      <c r="AH7905">
        <v>90245</v>
      </c>
      <c r="AI7905" t="s">
        <v>36564</v>
      </c>
      <c r="AJ7905" t="s">
        <v>4116</v>
      </c>
      <c r="AK7905" t="s">
        <v>36565</v>
      </c>
      <c r="AL7905" s="13" t="s">
        <v>1892</v>
      </c>
      <c r="AM7905">
        <v>0</v>
      </c>
      <c r="AN7905" s="15" t="s">
        <v>3682</v>
      </c>
    </row>
    <row r="7906" spans="1:40" x14ac:dyDescent="0.3">
      <c r="A7906" s="10" t="str">
        <f>HYPERLINK("http://www.washoecounty.gov/assessor/cama/?parid=532-051-16&amp;CardNumber=1","532-051-16")</f>
        <v>532-051-16</v>
      </c>
      <c r="B7906" t="s">
        <v>4655</v>
      </c>
      <c r="C7906" t="s">
        <v>36566</v>
      </c>
      <c r="D7906" s="1">
        <v>40333</v>
      </c>
      <c r="E7906" s="2">
        <v>195700</v>
      </c>
      <c r="F7906" t="s">
        <v>4553</v>
      </c>
      <c r="G7906" s="17" t="str">
        <f>HYPERLINK("https://www.washoecounty.gov/assessor/cama/?command=sales&amp;parid=53205116","3888549")</f>
        <v>3888549</v>
      </c>
      <c r="H7906" t="s">
        <v>1833</v>
      </c>
      <c r="I7906">
        <v>2006</v>
      </c>
      <c r="J7906">
        <v>2006</v>
      </c>
      <c r="K7906" t="s">
        <v>4554</v>
      </c>
      <c r="L7906" t="s">
        <v>4555</v>
      </c>
      <c r="M7906" s="2">
        <v>1917</v>
      </c>
      <c r="N7906" t="s">
        <v>4048</v>
      </c>
      <c r="O7906">
        <v>3</v>
      </c>
      <c r="P7906">
        <v>2</v>
      </c>
      <c r="Q7906">
        <v>0</v>
      </c>
      <c r="R7906" t="s">
        <v>5281</v>
      </c>
      <c r="S7906" t="s">
        <v>4558</v>
      </c>
      <c r="T7906" t="s">
        <v>4559</v>
      </c>
      <c r="U7906" t="s">
        <v>4560</v>
      </c>
      <c r="V7906" s="2">
        <v>620</v>
      </c>
      <c r="W7906" t="s">
        <v>4655</v>
      </c>
      <c r="X7906" s="2">
        <v>0</v>
      </c>
      <c r="Y7906">
        <v>20</v>
      </c>
      <c r="Z7906" t="s">
        <v>5508</v>
      </c>
      <c r="AA7906" s="3">
        <v>0.33140495419502303</v>
      </c>
      <c r="AB7906" t="s">
        <v>36567</v>
      </c>
      <c r="AC7906" t="s">
        <v>4562</v>
      </c>
      <c r="AD7906" t="s">
        <v>36568</v>
      </c>
      <c r="AE7906" t="s">
        <v>4655</v>
      </c>
      <c r="AF7906" t="s">
        <v>4809</v>
      </c>
      <c r="AG7906" t="s">
        <v>4564</v>
      </c>
      <c r="AH7906" t="s">
        <v>3235</v>
      </c>
      <c r="AI7906" t="s">
        <v>4903</v>
      </c>
      <c r="AJ7906" t="s">
        <v>1834</v>
      </c>
      <c r="AK7906" t="s">
        <v>36569</v>
      </c>
      <c r="AL7906" s="13" t="s">
        <v>1892</v>
      </c>
      <c r="AM7906" s="14">
        <v>1</v>
      </c>
      <c r="AN7906" s="15" t="s">
        <v>2504</v>
      </c>
    </row>
    <row r="7907" spans="1:40" x14ac:dyDescent="0.3">
      <c r="A7907" s="10" t="str">
        <f>HYPERLINK("http://www.washoecounty.gov/assessor/cama/?parid=532-053-01&amp;CardNumber=1","532-053-01")</f>
        <v>532-053-01</v>
      </c>
      <c r="B7907" t="s">
        <v>4655</v>
      </c>
      <c r="C7907" t="s">
        <v>36570</v>
      </c>
      <c r="D7907" s="1">
        <v>40193</v>
      </c>
      <c r="E7907" s="2">
        <v>245000</v>
      </c>
      <c r="F7907" t="s">
        <v>4553</v>
      </c>
      <c r="G7907" s="17" t="str">
        <f>HYPERLINK("https://www.washoecounty.gov/assessor/cama/?command=sales&amp;parid=53205301","3840270")</f>
        <v>3840270</v>
      </c>
      <c r="H7907" t="s">
        <v>1833</v>
      </c>
      <c r="I7907">
        <v>2006</v>
      </c>
      <c r="J7907">
        <v>2006</v>
      </c>
      <c r="K7907" t="s">
        <v>4554</v>
      </c>
      <c r="L7907" t="s">
        <v>4555</v>
      </c>
      <c r="M7907" s="2">
        <v>2791</v>
      </c>
      <c r="N7907" t="s">
        <v>4048</v>
      </c>
      <c r="O7907">
        <v>5</v>
      </c>
      <c r="P7907">
        <v>3</v>
      </c>
      <c r="Q7907">
        <v>0</v>
      </c>
      <c r="R7907" t="s">
        <v>5281</v>
      </c>
      <c r="S7907" t="s">
        <v>4558</v>
      </c>
      <c r="T7907" t="s">
        <v>4559</v>
      </c>
      <c r="U7907" t="s">
        <v>4560</v>
      </c>
      <c r="V7907" s="2">
        <v>671</v>
      </c>
      <c r="W7907" t="s">
        <v>4655</v>
      </c>
      <c r="X7907" s="2">
        <v>0</v>
      </c>
      <c r="Y7907">
        <v>20</v>
      </c>
      <c r="Z7907" t="s">
        <v>5508</v>
      </c>
      <c r="AA7907" s="3">
        <v>0.51021581888198797</v>
      </c>
      <c r="AB7907" t="s">
        <v>36571</v>
      </c>
      <c r="AC7907" t="s">
        <v>4575</v>
      </c>
      <c r="AD7907" t="s">
        <v>36570</v>
      </c>
      <c r="AE7907" t="s">
        <v>4655</v>
      </c>
      <c r="AF7907" t="s">
        <v>5201</v>
      </c>
      <c r="AG7907" t="s">
        <v>4564</v>
      </c>
      <c r="AH7907">
        <v>89411</v>
      </c>
      <c r="AI7907" t="s">
        <v>36572</v>
      </c>
      <c r="AJ7907" t="s">
        <v>1834</v>
      </c>
      <c r="AK7907" t="s">
        <v>36573</v>
      </c>
      <c r="AL7907" s="13" t="s">
        <v>1892</v>
      </c>
      <c r="AM7907" s="14">
        <v>1</v>
      </c>
      <c r="AN7907" s="15" t="s">
        <v>2504</v>
      </c>
    </row>
    <row r="7908" spans="1:40" x14ac:dyDescent="0.3">
      <c r="A7908" s="10" t="str">
        <f>HYPERLINK("http://www.washoecounty.gov/assessor/cama/?parid=532-053-05&amp;CardNumber=1","532-053-05")</f>
        <v>532-053-05</v>
      </c>
      <c r="B7908" t="s">
        <v>4655</v>
      </c>
      <c r="C7908" t="s">
        <v>36574</v>
      </c>
      <c r="D7908" s="1">
        <v>40533</v>
      </c>
      <c r="E7908" s="2">
        <v>229900</v>
      </c>
      <c r="F7908" t="s">
        <v>4553</v>
      </c>
      <c r="G7908" s="17" t="str">
        <f>HYPERLINK("https://www.washoecounty.gov/assessor/cama/?command=sales&amp;parid=53205305","3955987")</f>
        <v>3955987</v>
      </c>
      <c r="H7908" t="s">
        <v>1833</v>
      </c>
      <c r="I7908">
        <v>2006</v>
      </c>
      <c r="J7908">
        <v>2006</v>
      </c>
      <c r="K7908" t="s">
        <v>4554</v>
      </c>
      <c r="L7908" t="s">
        <v>4555</v>
      </c>
      <c r="M7908" s="2">
        <v>2364</v>
      </c>
      <c r="N7908" t="s">
        <v>4048</v>
      </c>
      <c r="O7908">
        <v>4</v>
      </c>
      <c r="P7908">
        <v>3</v>
      </c>
      <c r="Q7908">
        <v>0</v>
      </c>
      <c r="R7908" t="s">
        <v>5281</v>
      </c>
      <c r="S7908" t="s">
        <v>4558</v>
      </c>
      <c r="T7908" t="s">
        <v>4559</v>
      </c>
      <c r="U7908" t="s">
        <v>4560</v>
      </c>
      <c r="V7908" s="2">
        <v>670</v>
      </c>
      <c r="W7908" t="s">
        <v>4655</v>
      </c>
      <c r="X7908" s="2">
        <v>0</v>
      </c>
      <c r="Y7908">
        <v>20</v>
      </c>
      <c r="Z7908" t="s">
        <v>5508</v>
      </c>
      <c r="AA7908" s="3">
        <v>0.366643697023392</v>
      </c>
      <c r="AB7908" t="s">
        <v>36575</v>
      </c>
      <c r="AC7908" t="s">
        <v>4562</v>
      </c>
      <c r="AD7908" t="s">
        <v>36574</v>
      </c>
      <c r="AE7908" t="s">
        <v>4655</v>
      </c>
      <c r="AF7908" t="s">
        <v>5201</v>
      </c>
      <c r="AG7908" t="s">
        <v>4564</v>
      </c>
      <c r="AH7908" t="s">
        <v>1605</v>
      </c>
      <c r="AI7908" t="s">
        <v>36576</v>
      </c>
      <c r="AJ7908" t="s">
        <v>1834</v>
      </c>
      <c r="AK7908" t="s">
        <v>36577</v>
      </c>
      <c r="AL7908" s="13" t="s">
        <v>1892</v>
      </c>
      <c r="AM7908" s="14">
        <v>1</v>
      </c>
      <c r="AN7908" s="15" t="s">
        <v>2504</v>
      </c>
    </row>
    <row r="7909" spans="1:40" x14ac:dyDescent="0.3">
      <c r="A7909" s="10" t="str">
        <f>HYPERLINK("http://www.washoecounty.gov/assessor/cama/?parid=532-053-07&amp;CardNumber=1","532-053-07")</f>
        <v>532-053-07</v>
      </c>
      <c r="B7909" t="s">
        <v>4655</v>
      </c>
      <c r="C7909" t="s">
        <v>36578</v>
      </c>
      <c r="D7909" s="1">
        <v>40394</v>
      </c>
      <c r="E7909" s="2">
        <v>195000</v>
      </c>
      <c r="F7909" t="s">
        <v>4567</v>
      </c>
      <c r="G7909" s="17" t="str">
        <f>HYPERLINK("https://www.washoecounty.gov/assessor/cama/?command=sales&amp;parid=53205307","3908630")</f>
        <v>3908630</v>
      </c>
      <c r="H7909" t="s">
        <v>1833</v>
      </c>
      <c r="I7909">
        <v>2006</v>
      </c>
      <c r="J7909">
        <v>2006</v>
      </c>
      <c r="K7909" t="s">
        <v>4554</v>
      </c>
      <c r="L7909" t="s">
        <v>4555</v>
      </c>
      <c r="M7909" s="2">
        <v>2232</v>
      </c>
      <c r="N7909" t="s">
        <v>4048</v>
      </c>
      <c r="O7909">
        <v>4</v>
      </c>
      <c r="P7909">
        <v>2</v>
      </c>
      <c r="Q7909">
        <v>0</v>
      </c>
      <c r="R7909" t="s">
        <v>4557</v>
      </c>
      <c r="S7909" t="s">
        <v>4558</v>
      </c>
      <c r="T7909" t="s">
        <v>4559</v>
      </c>
      <c r="U7909" t="s">
        <v>4560</v>
      </c>
      <c r="V7909" s="2">
        <v>728</v>
      </c>
      <c r="W7909" t="s">
        <v>4655</v>
      </c>
      <c r="X7909" s="2">
        <v>0</v>
      </c>
      <c r="Y7909">
        <v>20</v>
      </c>
      <c r="Z7909" t="s">
        <v>5508</v>
      </c>
      <c r="AA7909" s="3">
        <v>0.31016987562179599</v>
      </c>
      <c r="AB7909" t="s">
        <v>36579</v>
      </c>
      <c r="AC7909" t="s">
        <v>4562</v>
      </c>
      <c r="AD7909" t="s">
        <v>36580</v>
      </c>
      <c r="AE7909" t="s">
        <v>4655</v>
      </c>
      <c r="AF7909" t="s">
        <v>4809</v>
      </c>
      <c r="AG7909" t="s">
        <v>4564</v>
      </c>
      <c r="AH7909" t="s">
        <v>3609</v>
      </c>
      <c r="AI7909" t="s">
        <v>36581</v>
      </c>
      <c r="AJ7909" t="s">
        <v>1834</v>
      </c>
      <c r="AK7909" t="s">
        <v>36582</v>
      </c>
      <c r="AL7909" s="13" t="s">
        <v>1892</v>
      </c>
      <c r="AM7909" s="14">
        <v>1</v>
      </c>
      <c r="AN7909" s="15" t="s">
        <v>2504</v>
      </c>
    </row>
    <row r="7910" spans="1:40" x14ac:dyDescent="0.3">
      <c r="A7910" s="10" t="str">
        <f>HYPERLINK("http://www.washoecounty.gov/assessor/cama/?parid=532-062-01&amp;CardNumber=1","532-062-01")</f>
        <v>532-062-01</v>
      </c>
      <c r="B7910" t="s">
        <v>4655</v>
      </c>
      <c r="C7910" t="s">
        <v>36583</v>
      </c>
      <c r="D7910" s="1">
        <v>40274</v>
      </c>
      <c r="E7910" s="2">
        <v>240000</v>
      </c>
      <c r="F7910" t="s">
        <v>4567</v>
      </c>
      <c r="G7910" s="17" t="str">
        <f>HYPERLINK("https://www.washoecounty.gov/assessor/cama/?command=sales&amp;parid=53206201","3868103")</f>
        <v>3868103</v>
      </c>
      <c r="H7910" t="s">
        <v>1833</v>
      </c>
      <c r="I7910">
        <v>2006</v>
      </c>
      <c r="J7910">
        <v>2006</v>
      </c>
      <c r="K7910" t="s">
        <v>4554</v>
      </c>
      <c r="L7910" t="s">
        <v>4555</v>
      </c>
      <c r="M7910" s="2">
        <v>2791</v>
      </c>
      <c r="N7910" t="s">
        <v>4048</v>
      </c>
      <c r="O7910">
        <v>5</v>
      </c>
      <c r="P7910">
        <v>3</v>
      </c>
      <c r="Q7910">
        <v>0</v>
      </c>
      <c r="R7910" t="s">
        <v>5281</v>
      </c>
      <c r="S7910" t="s">
        <v>4558</v>
      </c>
      <c r="T7910" t="s">
        <v>4559</v>
      </c>
      <c r="U7910" t="s">
        <v>4560</v>
      </c>
      <c r="V7910" s="2">
        <v>671</v>
      </c>
      <c r="W7910" t="s">
        <v>4655</v>
      </c>
      <c r="X7910" s="2">
        <v>0</v>
      </c>
      <c r="Y7910">
        <v>20</v>
      </c>
      <c r="Z7910" t="s">
        <v>5508</v>
      </c>
      <c r="AA7910" s="3">
        <v>0.278282821178436</v>
      </c>
      <c r="AB7910" t="s">
        <v>36584</v>
      </c>
      <c r="AC7910" t="s">
        <v>4562</v>
      </c>
      <c r="AD7910" t="s">
        <v>36585</v>
      </c>
      <c r="AE7910" t="s">
        <v>4655</v>
      </c>
      <c r="AF7910" t="s">
        <v>5201</v>
      </c>
      <c r="AG7910" t="s">
        <v>4564</v>
      </c>
      <c r="AH7910" t="s">
        <v>1350</v>
      </c>
      <c r="AI7910" t="s">
        <v>36586</v>
      </c>
      <c r="AJ7910" t="s">
        <v>1834</v>
      </c>
      <c r="AK7910" t="s">
        <v>36587</v>
      </c>
      <c r="AL7910" s="13" t="s">
        <v>1892</v>
      </c>
      <c r="AM7910">
        <v>1</v>
      </c>
      <c r="AN7910" s="15" t="s">
        <v>2504</v>
      </c>
    </row>
    <row r="7911" spans="1:40" x14ac:dyDescent="0.3">
      <c r="A7911" s="10" t="str">
        <f>HYPERLINK("http://www.washoecounty.gov/assessor/cama/?parid=532-062-02&amp;CardNumber=1","532-062-02")</f>
        <v>532-062-02</v>
      </c>
      <c r="B7911" t="s">
        <v>4655</v>
      </c>
      <c r="C7911" t="s">
        <v>36588</v>
      </c>
      <c r="D7911" s="1">
        <v>40212</v>
      </c>
      <c r="E7911" s="2">
        <v>193000</v>
      </c>
      <c r="F7911" t="s">
        <v>4553</v>
      </c>
      <c r="G7911" s="17" t="str">
        <f>HYPERLINK("https://www.washoecounty.gov/assessor/cama/?command=sales&amp;parid=53206202","3845705")</f>
        <v>3845705</v>
      </c>
      <c r="H7911" t="s">
        <v>1833</v>
      </c>
      <c r="I7911">
        <v>2006</v>
      </c>
      <c r="J7911">
        <v>2006</v>
      </c>
      <c r="K7911" t="s">
        <v>4554</v>
      </c>
      <c r="L7911" t="s">
        <v>4555</v>
      </c>
      <c r="M7911" s="2">
        <v>1917</v>
      </c>
      <c r="N7911" t="s">
        <v>4048</v>
      </c>
      <c r="O7911">
        <v>3</v>
      </c>
      <c r="P7911">
        <v>2</v>
      </c>
      <c r="Q7911">
        <v>0</v>
      </c>
      <c r="R7911" t="s">
        <v>5281</v>
      </c>
      <c r="S7911" t="s">
        <v>4558</v>
      </c>
      <c r="T7911" t="s">
        <v>4559</v>
      </c>
      <c r="U7911" t="s">
        <v>4560</v>
      </c>
      <c r="V7911" s="2">
        <v>620</v>
      </c>
      <c r="W7911" t="s">
        <v>4655</v>
      </c>
      <c r="X7911" s="2">
        <v>0</v>
      </c>
      <c r="Y7911">
        <v>20</v>
      </c>
      <c r="Z7911" t="s">
        <v>5508</v>
      </c>
      <c r="AA7911" s="3">
        <v>0.27830579876899703</v>
      </c>
      <c r="AB7911" t="s">
        <v>36589</v>
      </c>
      <c r="AC7911" t="s">
        <v>4562</v>
      </c>
      <c r="AD7911" t="s">
        <v>36590</v>
      </c>
      <c r="AE7911" t="s">
        <v>4655</v>
      </c>
      <c r="AF7911" t="s">
        <v>4809</v>
      </c>
      <c r="AG7911" t="s">
        <v>4564</v>
      </c>
      <c r="AH7911" t="s">
        <v>1605</v>
      </c>
      <c r="AI7911" t="s">
        <v>4045</v>
      </c>
      <c r="AJ7911" t="s">
        <v>1834</v>
      </c>
      <c r="AK7911" t="s">
        <v>36591</v>
      </c>
      <c r="AL7911" s="13" t="s">
        <v>1892</v>
      </c>
      <c r="AM7911" s="14">
        <v>1</v>
      </c>
      <c r="AN7911" s="15" t="s">
        <v>2504</v>
      </c>
    </row>
    <row r="7912" spans="1:40" x14ac:dyDescent="0.3">
      <c r="A7912" s="10" t="str">
        <f>HYPERLINK("http://www.washoecounty.gov/assessor/cama/?parid=532-072-04&amp;CardNumber=1","532-072-04")</f>
        <v>532-072-04</v>
      </c>
      <c r="B7912" t="s">
        <v>4655</v>
      </c>
      <c r="C7912" t="s">
        <v>36592</v>
      </c>
      <c r="D7912" s="1">
        <v>40519</v>
      </c>
      <c r="E7912" s="2">
        <v>175000</v>
      </c>
      <c r="F7912" t="s">
        <v>4567</v>
      </c>
      <c r="G7912" s="17" t="str">
        <f>HYPERLINK("https://www.washoecounty.gov/assessor/cama/?command=sales&amp;parid=53207204","3950464")</f>
        <v>3950464</v>
      </c>
      <c r="H7912" t="s">
        <v>1833</v>
      </c>
      <c r="I7912">
        <v>2006</v>
      </c>
      <c r="J7912">
        <v>2006</v>
      </c>
      <c r="K7912" t="s">
        <v>4554</v>
      </c>
      <c r="L7912" t="s">
        <v>4555</v>
      </c>
      <c r="M7912" s="2">
        <v>1622</v>
      </c>
      <c r="N7912" t="s">
        <v>4048</v>
      </c>
      <c r="O7912">
        <v>3</v>
      </c>
      <c r="P7912">
        <v>2</v>
      </c>
      <c r="Q7912">
        <v>0</v>
      </c>
      <c r="R7912" t="s">
        <v>5281</v>
      </c>
      <c r="S7912" t="s">
        <v>4558</v>
      </c>
      <c r="T7912" t="s">
        <v>4559</v>
      </c>
      <c r="U7912" t="s">
        <v>4560</v>
      </c>
      <c r="V7912" s="2">
        <v>630</v>
      </c>
      <c r="W7912" t="s">
        <v>4655</v>
      </c>
      <c r="X7912" s="2">
        <v>0</v>
      </c>
      <c r="Y7912">
        <v>20</v>
      </c>
      <c r="Z7912" t="s">
        <v>5508</v>
      </c>
      <c r="AA7912" s="3">
        <v>0.30716252326965299</v>
      </c>
      <c r="AB7912" t="s">
        <v>36593</v>
      </c>
      <c r="AC7912" t="s">
        <v>4562</v>
      </c>
      <c r="AD7912" t="s">
        <v>36592</v>
      </c>
      <c r="AE7912" t="s">
        <v>4655</v>
      </c>
      <c r="AF7912" t="s">
        <v>5201</v>
      </c>
      <c r="AG7912" t="s">
        <v>4564</v>
      </c>
      <c r="AH7912" t="s">
        <v>1350</v>
      </c>
      <c r="AI7912" t="s">
        <v>36594</v>
      </c>
      <c r="AJ7912" t="s">
        <v>1834</v>
      </c>
      <c r="AK7912" t="s">
        <v>36595</v>
      </c>
      <c r="AL7912" s="13" t="s">
        <v>1892</v>
      </c>
      <c r="AM7912" s="14">
        <v>1</v>
      </c>
      <c r="AN7912" s="15" t="s">
        <v>2504</v>
      </c>
    </row>
    <row r="7913" spans="1:40" x14ac:dyDescent="0.3">
      <c r="A7913" s="10" t="str">
        <f>HYPERLINK("http://www.washoecounty.gov/assessor/cama/?parid=532-072-06&amp;CardNumber=1","532-072-06")</f>
        <v>532-072-06</v>
      </c>
      <c r="B7913" t="s">
        <v>4655</v>
      </c>
      <c r="C7913" t="s">
        <v>36596</v>
      </c>
      <c r="D7913" s="1">
        <v>40499</v>
      </c>
      <c r="E7913" s="2">
        <v>225000</v>
      </c>
      <c r="F7913" t="s">
        <v>4553</v>
      </c>
      <c r="G7913" s="17" t="str">
        <f>HYPERLINK("https://www.washoecounty.gov/assessor/cama/?command=sales&amp;parid=53207206","3943930")</f>
        <v>3943930</v>
      </c>
      <c r="H7913" t="s">
        <v>1833</v>
      </c>
      <c r="I7913">
        <v>2006</v>
      </c>
      <c r="J7913">
        <v>2006</v>
      </c>
      <c r="K7913" t="s">
        <v>4554</v>
      </c>
      <c r="L7913" t="s">
        <v>4555</v>
      </c>
      <c r="M7913" s="2">
        <v>2364</v>
      </c>
      <c r="N7913" t="s">
        <v>4048</v>
      </c>
      <c r="O7913">
        <v>4</v>
      </c>
      <c r="P7913">
        <v>3</v>
      </c>
      <c r="Q7913">
        <v>0</v>
      </c>
      <c r="R7913" t="s">
        <v>5281</v>
      </c>
      <c r="S7913" t="s">
        <v>4558</v>
      </c>
      <c r="T7913" t="s">
        <v>4559</v>
      </c>
      <c r="U7913" t="s">
        <v>4560</v>
      </c>
      <c r="V7913" s="2">
        <v>670</v>
      </c>
      <c r="W7913" t="s">
        <v>4655</v>
      </c>
      <c r="X7913" s="2">
        <v>0</v>
      </c>
      <c r="Y7913">
        <v>20</v>
      </c>
      <c r="Z7913" t="s">
        <v>5508</v>
      </c>
      <c r="AA7913" s="3">
        <v>0.475436180830002</v>
      </c>
      <c r="AB7913" t="s">
        <v>36597</v>
      </c>
      <c r="AC7913" t="s">
        <v>4562</v>
      </c>
      <c r="AD7913" t="s">
        <v>36596</v>
      </c>
      <c r="AE7913" t="s">
        <v>4655</v>
      </c>
      <c r="AF7913" t="s">
        <v>5201</v>
      </c>
      <c r="AG7913" t="s">
        <v>4564</v>
      </c>
      <c r="AH7913" t="s">
        <v>1350</v>
      </c>
      <c r="AI7913" t="s">
        <v>4903</v>
      </c>
      <c r="AJ7913" t="s">
        <v>1834</v>
      </c>
      <c r="AK7913" t="s">
        <v>36598</v>
      </c>
      <c r="AL7913" s="13" t="s">
        <v>1892</v>
      </c>
      <c r="AM7913">
        <v>1</v>
      </c>
      <c r="AN7913" s="15" t="s">
        <v>2504</v>
      </c>
    </row>
    <row r="7914" spans="1:40" x14ac:dyDescent="0.3">
      <c r="A7914" s="10" t="str">
        <f>HYPERLINK("http://www.washoecounty.gov/assessor/cama/?parid=532-072-09&amp;CardNumber=1","532-072-09")</f>
        <v>532-072-09</v>
      </c>
      <c r="B7914" t="s">
        <v>4655</v>
      </c>
      <c r="C7914" t="s">
        <v>36599</v>
      </c>
      <c r="D7914" s="1">
        <v>40263</v>
      </c>
      <c r="E7914" s="2">
        <v>240000</v>
      </c>
      <c r="F7914" t="s">
        <v>4567</v>
      </c>
      <c r="G7914" s="17" t="str">
        <f>HYPERLINK("https://www.washoecounty.gov/assessor/cama/?command=sales&amp;parid=53207209","3864624")</f>
        <v>3864624</v>
      </c>
      <c r="H7914" t="s">
        <v>1833</v>
      </c>
      <c r="I7914">
        <v>2006</v>
      </c>
      <c r="J7914">
        <v>2006</v>
      </c>
      <c r="K7914" t="s">
        <v>4554</v>
      </c>
      <c r="L7914" t="s">
        <v>4555</v>
      </c>
      <c r="M7914" s="2">
        <v>2791</v>
      </c>
      <c r="N7914" t="s">
        <v>4048</v>
      </c>
      <c r="O7914">
        <v>5</v>
      </c>
      <c r="P7914">
        <v>3</v>
      </c>
      <c r="Q7914">
        <v>0</v>
      </c>
      <c r="R7914" t="s">
        <v>5281</v>
      </c>
      <c r="S7914" t="s">
        <v>4558</v>
      </c>
      <c r="T7914" t="s">
        <v>4559</v>
      </c>
      <c r="U7914" t="s">
        <v>4560</v>
      </c>
      <c r="V7914" s="2">
        <v>671</v>
      </c>
      <c r="W7914" t="s">
        <v>4655</v>
      </c>
      <c r="X7914" s="2">
        <v>0</v>
      </c>
      <c r="Y7914">
        <v>20</v>
      </c>
      <c r="Z7914" t="s">
        <v>5508</v>
      </c>
      <c r="AA7914" s="3">
        <v>0.33957758545875549</v>
      </c>
      <c r="AB7914" t="s">
        <v>36600</v>
      </c>
      <c r="AC7914" t="s">
        <v>4562</v>
      </c>
      <c r="AD7914" t="s">
        <v>36599</v>
      </c>
      <c r="AE7914" t="s">
        <v>4655</v>
      </c>
      <c r="AF7914" t="s">
        <v>5201</v>
      </c>
      <c r="AG7914" t="s">
        <v>4564</v>
      </c>
      <c r="AH7914" t="s">
        <v>1605</v>
      </c>
      <c r="AI7914" t="s">
        <v>36601</v>
      </c>
      <c r="AJ7914" t="s">
        <v>1834</v>
      </c>
      <c r="AK7914" t="s">
        <v>36602</v>
      </c>
      <c r="AL7914" s="13" t="s">
        <v>1892</v>
      </c>
      <c r="AM7914" s="14">
        <v>1</v>
      </c>
      <c r="AN7914" s="15" t="s">
        <v>2504</v>
      </c>
    </row>
    <row r="7915" spans="1:40" x14ac:dyDescent="0.3">
      <c r="A7915" s="10" t="str">
        <f>HYPERLINK("http://www.washoecounty.gov/assessor/cama/?parid=532-082-04&amp;CardNumber=1","532-082-04")</f>
        <v>532-082-04</v>
      </c>
      <c r="B7915" t="s">
        <v>4655</v>
      </c>
      <c r="C7915" t="s">
        <v>36603</v>
      </c>
      <c r="D7915" s="1">
        <v>40393</v>
      </c>
      <c r="E7915" s="2">
        <v>212000</v>
      </c>
      <c r="F7915" t="s">
        <v>4567</v>
      </c>
      <c r="G7915" s="17" t="str">
        <f>HYPERLINK("https://www.washoecounty.gov/assessor/cama/?command=sales&amp;parid=53208204","3908403")</f>
        <v>3908403</v>
      </c>
      <c r="H7915" t="s">
        <v>1833</v>
      </c>
      <c r="I7915">
        <v>2006</v>
      </c>
      <c r="J7915">
        <v>2006</v>
      </c>
      <c r="K7915" t="s">
        <v>4554</v>
      </c>
      <c r="L7915" t="s">
        <v>4555</v>
      </c>
      <c r="M7915" s="2">
        <v>1917</v>
      </c>
      <c r="N7915" t="s">
        <v>4048</v>
      </c>
      <c r="O7915">
        <v>3</v>
      </c>
      <c r="P7915">
        <v>2</v>
      </c>
      <c r="Q7915">
        <v>0</v>
      </c>
      <c r="R7915" t="s">
        <v>4557</v>
      </c>
      <c r="S7915" t="s">
        <v>4558</v>
      </c>
      <c r="T7915" t="s">
        <v>4559</v>
      </c>
      <c r="U7915" t="s">
        <v>4560</v>
      </c>
      <c r="V7915" s="2">
        <v>620</v>
      </c>
      <c r="W7915" t="s">
        <v>4655</v>
      </c>
      <c r="X7915" s="2">
        <v>0</v>
      </c>
      <c r="Y7915">
        <v>20</v>
      </c>
      <c r="Z7915" t="s">
        <v>5508</v>
      </c>
      <c r="AA7915" s="3">
        <v>0.297336995601654</v>
      </c>
      <c r="AB7915" t="s">
        <v>36604</v>
      </c>
      <c r="AC7915" t="s">
        <v>4562</v>
      </c>
      <c r="AD7915" t="s">
        <v>36603</v>
      </c>
      <c r="AE7915" t="s">
        <v>4655</v>
      </c>
      <c r="AF7915" t="s">
        <v>5201</v>
      </c>
      <c r="AG7915" t="s">
        <v>4564</v>
      </c>
      <c r="AH7915" t="s">
        <v>1350</v>
      </c>
      <c r="AI7915" t="s">
        <v>36605</v>
      </c>
      <c r="AJ7915" t="s">
        <v>1834</v>
      </c>
      <c r="AK7915" t="s">
        <v>36606</v>
      </c>
      <c r="AL7915" s="13" t="s">
        <v>1892</v>
      </c>
      <c r="AM7915" s="14">
        <v>1</v>
      </c>
      <c r="AN7915" s="15" t="s">
        <v>2504</v>
      </c>
    </row>
    <row r="7916" spans="1:40" x14ac:dyDescent="0.3">
      <c r="A7916" s="10" t="str">
        <f>HYPERLINK("http://www.washoecounty.gov/assessor/cama/?parid=532-082-06&amp;CardNumber=1","532-082-06")</f>
        <v>532-082-06</v>
      </c>
      <c r="B7916" t="s">
        <v>4655</v>
      </c>
      <c r="C7916" t="s">
        <v>36607</v>
      </c>
      <c r="D7916" s="1">
        <v>40232</v>
      </c>
      <c r="E7916" s="2">
        <v>230000</v>
      </c>
      <c r="F7916" t="s">
        <v>4567</v>
      </c>
      <c r="G7916" s="17" t="str">
        <f>HYPERLINK("https://www.washoecounty.gov/assessor/cama/?command=sales&amp;parid=53208206","3851845")</f>
        <v>3851845</v>
      </c>
      <c r="H7916" t="s">
        <v>1833</v>
      </c>
      <c r="I7916">
        <v>2006</v>
      </c>
      <c r="J7916">
        <v>2006</v>
      </c>
      <c r="K7916" t="s">
        <v>4554</v>
      </c>
      <c r="L7916" t="s">
        <v>4555</v>
      </c>
      <c r="M7916" s="2">
        <v>2791</v>
      </c>
      <c r="N7916" t="s">
        <v>4048</v>
      </c>
      <c r="O7916">
        <v>5</v>
      </c>
      <c r="P7916">
        <v>3</v>
      </c>
      <c r="Q7916">
        <v>0</v>
      </c>
      <c r="R7916" t="s">
        <v>4557</v>
      </c>
      <c r="S7916" t="s">
        <v>4558</v>
      </c>
      <c r="T7916" t="s">
        <v>4559</v>
      </c>
      <c r="U7916" t="s">
        <v>4560</v>
      </c>
      <c r="V7916" s="2">
        <v>671</v>
      </c>
      <c r="W7916" t="s">
        <v>4655</v>
      </c>
      <c r="X7916" s="2">
        <v>0</v>
      </c>
      <c r="Y7916">
        <v>20</v>
      </c>
      <c r="Z7916" t="s">
        <v>5508</v>
      </c>
      <c r="AA7916" s="3">
        <v>0.36106520891189597</v>
      </c>
      <c r="AB7916" t="s">
        <v>36608</v>
      </c>
      <c r="AC7916" t="s">
        <v>4562</v>
      </c>
      <c r="AD7916" t="s">
        <v>36607</v>
      </c>
      <c r="AE7916" t="s">
        <v>4655</v>
      </c>
      <c r="AF7916" t="s">
        <v>5201</v>
      </c>
      <c r="AG7916" t="s">
        <v>4564</v>
      </c>
      <c r="AH7916" t="s">
        <v>1350</v>
      </c>
      <c r="AI7916" t="s">
        <v>36609</v>
      </c>
      <c r="AJ7916" t="s">
        <v>1834</v>
      </c>
      <c r="AK7916" t="s">
        <v>36610</v>
      </c>
      <c r="AL7916" s="13" t="s">
        <v>1892</v>
      </c>
      <c r="AM7916">
        <v>1</v>
      </c>
      <c r="AN7916" s="15" t="s">
        <v>2504</v>
      </c>
    </row>
    <row r="7917" spans="1:40" x14ac:dyDescent="0.3">
      <c r="A7917" s="10" t="str">
        <f>HYPERLINK("http://www.washoecounty.gov/assessor/cama/?parid=532-083-06&amp;CardNumber=1","532-083-06")</f>
        <v>532-083-06</v>
      </c>
      <c r="B7917" t="s">
        <v>4655</v>
      </c>
      <c r="C7917" t="s">
        <v>36611</v>
      </c>
      <c r="D7917" s="1">
        <v>40403</v>
      </c>
      <c r="E7917" s="2">
        <v>205000</v>
      </c>
      <c r="F7917" t="s">
        <v>4553</v>
      </c>
      <c r="G7917" s="17" t="str">
        <f>HYPERLINK("https://www.washoecounty.gov/assessor/cama/?command=sales&amp;parid=53208306","3911930")</f>
        <v>3911930</v>
      </c>
      <c r="H7917" t="s">
        <v>1833</v>
      </c>
      <c r="I7917">
        <v>2006</v>
      </c>
      <c r="J7917">
        <v>2006</v>
      </c>
      <c r="K7917" t="s">
        <v>4554</v>
      </c>
      <c r="L7917" t="s">
        <v>4555</v>
      </c>
      <c r="M7917" s="2">
        <v>2232</v>
      </c>
      <c r="N7917" t="s">
        <v>4048</v>
      </c>
      <c r="O7917">
        <v>4</v>
      </c>
      <c r="P7917">
        <v>2</v>
      </c>
      <c r="Q7917">
        <v>0</v>
      </c>
      <c r="R7917" t="s">
        <v>4557</v>
      </c>
      <c r="S7917" t="s">
        <v>4558</v>
      </c>
      <c r="T7917" t="s">
        <v>4559</v>
      </c>
      <c r="U7917" t="s">
        <v>4560</v>
      </c>
      <c r="V7917" s="2">
        <v>728</v>
      </c>
      <c r="W7917" t="s">
        <v>4655</v>
      </c>
      <c r="X7917" s="2">
        <v>0</v>
      </c>
      <c r="Y7917">
        <v>20</v>
      </c>
      <c r="Z7917" t="s">
        <v>5508</v>
      </c>
      <c r="AA7917" s="3">
        <v>0.30399447679519698</v>
      </c>
      <c r="AB7917" t="s">
        <v>36612</v>
      </c>
      <c r="AC7917" t="s">
        <v>4562</v>
      </c>
      <c r="AD7917" t="s">
        <v>36611</v>
      </c>
      <c r="AE7917" t="s">
        <v>4655</v>
      </c>
      <c r="AF7917" t="s">
        <v>5201</v>
      </c>
      <c r="AG7917" t="s">
        <v>4564</v>
      </c>
      <c r="AH7917" t="s">
        <v>1350</v>
      </c>
      <c r="AI7917" t="s">
        <v>4145</v>
      </c>
      <c r="AJ7917" t="s">
        <v>1834</v>
      </c>
      <c r="AK7917" t="s">
        <v>36613</v>
      </c>
      <c r="AL7917" s="13" t="s">
        <v>1892</v>
      </c>
      <c r="AM7917">
        <v>1</v>
      </c>
      <c r="AN7917" s="15" t="s">
        <v>2504</v>
      </c>
    </row>
    <row r="7918" spans="1:40" x14ac:dyDescent="0.3">
      <c r="A7918" s="10" t="str">
        <f>HYPERLINK("http://www.washoecounty.gov/assessor/cama/?parid=532-083-14&amp;CardNumber=1","532-083-14")</f>
        <v>532-083-14</v>
      </c>
      <c r="B7918" t="s">
        <v>4655</v>
      </c>
      <c r="C7918" t="s">
        <v>36614</v>
      </c>
      <c r="D7918" s="1">
        <v>40378</v>
      </c>
      <c r="E7918" s="2">
        <v>197000</v>
      </c>
      <c r="F7918" t="s">
        <v>4553</v>
      </c>
      <c r="G7918" s="17" t="str">
        <f>HYPERLINK("https://www.washoecounty.gov/assessor/cama/?command=sales&amp;parid=53208314","3902407")</f>
        <v>3902407</v>
      </c>
      <c r="H7918" t="s">
        <v>1833</v>
      </c>
      <c r="I7918">
        <v>2006</v>
      </c>
      <c r="J7918">
        <v>2006</v>
      </c>
      <c r="K7918" t="s">
        <v>4554</v>
      </c>
      <c r="L7918" t="s">
        <v>4555</v>
      </c>
      <c r="M7918" s="2">
        <v>1917</v>
      </c>
      <c r="N7918" t="s">
        <v>4048</v>
      </c>
      <c r="O7918">
        <v>3</v>
      </c>
      <c r="P7918">
        <v>2</v>
      </c>
      <c r="Q7918">
        <v>0</v>
      </c>
      <c r="R7918" t="s">
        <v>4557</v>
      </c>
      <c r="S7918" t="s">
        <v>4558</v>
      </c>
      <c r="T7918" t="s">
        <v>4559</v>
      </c>
      <c r="U7918" t="s">
        <v>4560</v>
      </c>
      <c r="V7918" s="2">
        <v>620</v>
      </c>
      <c r="W7918" t="s">
        <v>4655</v>
      </c>
      <c r="X7918" s="2">
        <v>0</v>
      </c>
      <c r="Y7918">
        <v>20</v>
      </c>
      <c r="Z7918" t="s">
        <v>5508</v>
      </c>
      <c r="AA7918" s="3">
        <v>0.28941690921783397</v>
      </c>
      <c r="AB7918" t="s">
        <v>36615</v>
      </c>
      <c r="AC7918" t="s">
        <v>4575</v>
      </c>
      <c r="AD7918" t="s">
        <v>36616</v>
      </c>
      <c r="AE7918" t="s">
        <v>4655</v>
      </c>
      <c r="AF7918" t="s">
        <v>5201</v>
      </c>
      <c r="AG7918" t="s">
        <v>4564</v>
      </c>
      <c r="AH7918" t="s">
        <v>3898</v>
      </c>
      <c r="AI7918" t="s">
        <v>3217</v>
      </c>
      <c r="AJ7918" t="s">
        <v>1834</v>
      </c>
      <c r="AK7918" t="s">
        <v>36617</v>
      </c>
      <c r="AL7918" s="13" t="s">
        <v>1892</v>
      </c>
      <c r="AM7918">
        <v>1</v>
      </c>
      <c r="AN7918" s="15" t="s">
        <v>2504</v>
      </c>
    </row>
    <row r="7919" spans="1:40" x14ac:dyDescent="0.3">
      <c r="A7919" s="10" t="str">
        <f>HYPERLINK("http://www.washoecounty.gov/assessor/cama/?parid=532-101-14&amp;CardNumber=1","532-101-14")</f>
        <v>532-101-14</v>
      </c>
      <c r="B7919" t="s">
        <v>4655</v>
      </c>
      <c r="C7919" t="s">
        <v>36618</v>
      </c>
      <c r="D7919" s="1">
        <v>40542</v>
      </c>
      <c r="E7919" s="2">
        <v>305748</v>
      </c>
      <c r="F7919" t="s">
        <v>4567</v>
      </c>
      <c r="G7919" s="17" t="str">
        <f>HYPERLINK("https://www.washoecounty.gov/assessor/cama/?command=sales&amp;parid=53210114","3959239")</f>
        <v>3959239</v>
      </c>
      <c r="H7919" t="s">
        <v>1349</v>
      </c>
      <c r="I7919">
        <v>2010</v>
      </c>
      <c r="J7919">
        <v>2010</v>
      </c>
      <c r="K7919" t="s">
        <v>4554</v>
      </c>
      <c r="L7919" t="s">
        <v>4555</v>
      </c>
      <c r="M7919" s="2">
        <v>2110</v>
      </c>
      <c r="N7919" t="s">
        <v>5280</v>
      </c>
      <c r="O7919">
        <v>4</v>
      </c>
      <c r="P7919">
        <v>2</v>
      </c>
      <c r="Q7919">
        <v>0</v>
      </c>
      <c r="R7919" t="s">
        <v>5281</v>
      </c>
      <c r="S7919" t="s">
        <v>4898</v>
      </c>
      <c r="T7919" t="s">
        <v>4559</v>
      </c>
      <c r="U7919" t="s">
        <v>162</v>
      </c>
      <c r="V7919" s="2">
        <v>1868</v>
      </c>
      <c r="W7919" t="s">
        <v>4655</v>
      </c>
      <c r="X7919" s="2">
        <v>0</v>
      </c>
      <c r="Y7919">
        <v>20</v>
      </c>
      <c r="Z7919" t="s">
        <v>5508</v>
      </c>
      <c r="AA7919" s="3">
        <v>0.50950413942337003</v>
      </c>
      <c r="AB7919" t="s">
        <v>36619</v>
      </c>
      <c r="AC7919" t="s">
        <v>4575</v>
      </c>
      <c r="AD7919" t="s">
        <v>36618</v>
      </c>
      <c r="AE7919" t="s">
        <v>4655</v>
      </c>
      <c r="AF7919" t="s">
        <v>5201</v>
      </c>
      <c r="AG7919" t="s">
        <v>4564</v>
      </c>
      <c r="AH7919" t="s">
        <v>1605</v>
      </c>
      <c r="AI7919" t="s">
        <v>18</v>
      </c>
      <c r="AJ7919" t="s">
        <v>1351</v>
      </c>
      <c r="AK7919" t="s">
        <v>36620</v>
      </c>
      <c r="AL7919" s="13" t="s">
        <v>1892</v>
      </c>
      <c r="AM7919">
        <v>1</v>
      </c>
      <c r="AN7919" s="15" t="s">
        <v>1352</v>
      </c>
    </row>
    <row r="7920" spans="1:40" x14ac:dyDescent="0.3">
      <c r="A7920" s="10" t="str">
        <f>HYPERLINK("http://www.washoecounty.gov/assessor/cama/?parid=532-102-03&amp;CardNumber=1","532-102-03")</f>
        <v>532-102-03</v>
      </c>
      <c r="B7920" t="s">
        <v>4655</v>
      </c>
      <c r="C7920" t="s">
        <v>36621</v>
      </c>
      <c r="D7920" s="1">
        <v>40522</v>
      </c>
      <c r="E7920" s="2">
        <v>237500</v>
      </c>
      <c r="F7920" t="s">
        <v>4567</v>
      </c>
      <c r="G7920" s="17" t="str">
        <f>HYPERLINK("https://www.washoecounty.gov/assessor/cama/?command=sales&amp;parid=53210203","3951981")</f>
        <v>3951981</v>
      </c>
      <c r="H7920" t="s">
        <v>1349</v>
      </c>
      <c r="I7920">
        <v>2010</v>
      </c>
      <c r="J7920">
        <v>2010</v>
      </c>
      <c r="K7920" t="s">
        <v>4554</v>
      </c>
      <c r="L7920" t="s">
        <v>4555</v>
      </c>
      <c r="M7920" s="2">
        <v>2110</v>
      </c>
      <c r="N7920" t="s">
        <v>5280</v>
      </c>
      <c r="O7920">
        <v>4</v>
      </c>
      <c r="P7920">
        <v>2</v>
      </c>
      <c r="Q7920">
        <v>0</v>
      </c>
      <c r="R7920" t="s">
        <v>5281</v>
      </c>
      <c r="S7920" t="s">
        <v>4898</v>
      </c>
      <c r="T7920" t="s">
        <v>4559</v>
      </c>
      <c r="U7920" t="s">
        <v>4560</v>
      </c>
      <c r="V7920" s="2">
        <v>668</v>
      </c>
      <c r="W7920" t="s">
        <v>4655</v>
      </c>
      <c r="X7920" s="2">
        <v>0</v>
      </c>
      <c r="Y7920">
        <v>20</v>
      </c>
      <c r="Z7920" t="s">
        <v>5508</v>
      </c>
      <c r="AA7920" s="3">
        <v>0.32541322708129899</v>
      </c>
      <c r="AB7920" t="s">
        <v>36622</v>
      </c>
      <c r="AC7920" t="s">
        <v>4562</v>
      </c>
      <c r="AD7920" t="s">
        <v>36623</v>
      </c>
      <c r="AE7920" t="s">
        <v>4655</v>
      </c>
      <c r="AF7920" t="s">
        <v>4809</v>
      </c>
      <c r="AG7920" t="s">
        <v>4564</v>
      </c>
      <c r="AH7920" t="s">
        <v>1350</v>
      </c>
      <c r="AI7920" t="s">
        <v>36624</v>
      </c>
      <c r="AJ7920" t="s">
        <v>1351</v>
      </c>
      <c r="AK7920" t="s">
        <v>36625</v>
      </c>
      <c r="AL7920" s="13" t="s">
        <v>1892</v>
      </c>
      <c r="AM7920" s="14">
        <v>1</v>
      </c>
      <c r="AN7920" s="15" t="s">
        <v>1352</v>
      </c>
    </row>
    <row r="7921" spans="1:40" x14ac:dyDescent="0.3">
      <c r="A7921" s="10" t="str">
        <f>HYPERLINK("http://www.washoecounty.gov/assessor/cama/?parid=532-102-08&amp;CardNumber=1","532-102-08")</f>
        <v>532-102-08</v>
      </c>
      <c r="B7921" t="s">
        <v>4655</v>
      </c>
      <c r="C7921" t="s">
        <v>36626</v>
      </c>
      <c r="D7921" s="1">
        <v>40182</v>
      </c>
      <c r="E7921" s="2">
        <v>218250</v>
      </c>
      <c r="F7921" t="s">
        <v>4567</v>
      </c>
      <c r="G7921" s="17" t="str">
        <f>HYPERLINK("https://www.washoecounty.gov/assessor/cama/?command=sales&amp;parid=53210208","3836008")</f>
        <v>3836008</v>
      </c>
      <c r="H7921" t="s">
        <v>1349</v>
      </c>
      <c r="I7921">
        <v>2007</v>
      </c>
      <c r="J7921">
        <v>2007</v>
      </c>
      <c r="K7921" t="s">
        <v>4554</v>
      </c>
      <c r="L7921" t="s">
        <v>4555</v>
      </c>
      <c r="M7921" s="2">
        <v>1812</v>
      </c>
      <c r="N7921" t="s">
        <v>5280</v>
      </c>
      <c r="O7921">
        <v>3</v>
      </c>
      <c r="P7921">
        <v>2</v>
      </c>
      <c r="Q7921">
        <v>0</v>
      </c>
      <c r="R7921" t="s">
        <v>4557</v>
      </c>
      <c r="S7921" t="s">
        <v>4898</v>
      </c>
      <c r="T7921" t="s">
        <v>4559</v>
      </c>
      <c r="U7921" t="s">
        <v>4560</v>
      </c>
      <c r="V7921" s="2">
        <v>726</v>
      </c>
      <c r="W7921" t="s">
        <v>4655</v>
      </c>
      <c r="X7921" s="2">
        <v>0</v>
      </c>
      <c r="Y7921">
        <v>20</v>
      </c>
      <c r="Z7921" t="s">
        <v>5508</v>
      </c>
      <c r="AA7921" s="3">
        <v>0.31462350487709001</v>
      </c>
      <c r="AB7921" t="s">
        <v>36627</v>
      </c>
      <c r="AC7921" t="s">
        <v>4562</v>
      </c>
      <c r="AD7921" t="s">
        <v>36626</v>
      </c>
      <c r="AE7921" t="s">
        <v>4655</v>
      </c>
      <c r="AF7921" t="s">
        <v>5201</v>
      </c>
      <c r="AG7921" t="s">
        <v>4564</v>
      </c>
      <c r="AH7921" t="s">
        <v>1350</v>
      </c>
      <c r="AI7921" t="s">
        <v>36624</v>
      </c>
      <c r="AJ7921" t="s">
        <v>1351</v>
      </c>
      <c r="AK7921" t="s">
        <v>36628</v>
      </c>
      <c r="AL7921" s="13" t="s">
        <v>1892</v>
      </c>
      <c r="AM7921">
        <v>1</v>
      </c>
      <c r="AN7921" s="15" t="s">
        <v>1352</v>
      </c>
    </row>
    <row r="7922" spans="1:40" x14ac:dyDescent="0.3">
      <c r="A7922" s="10" t="str">
        <f>HYPERLINK("http://www.washoecounty.gov/assessor/cama/?parid=532-102-09&amp;CardNumber=1","532-102-09")</f>
        <v>532-102-09</v>
      </c>
      <c r="B7922" t="s">
        <v>4655</v>
      </c>
      <c r="C7922" t="s">
        <v>36629</v>
      </c>
      <c r="D7922" s="1">
        <v>40326</v>
      </c>
      <c r="E7922" s="2">
        <v>240000</v>
      </c>
      <c r="F7922" t="s">
        <v>4567</v>
      </c>
      <c r="G7922" s="17" t="str">
        <f>HYPERLINK("https://www.washoecounty.gov/assessor/cama/?command=sales&amp;parid=53210209","3886380")</f>
        <v>3886380</v>
      </c>
      <c r="H7922" t="s">
        <v>1349</v>
      </c>
      <c r="I7922">
        <v>2007</v>
      </c>
      <c r="J7922">
        <v>2007</v>
      </c>
      <c r="K7922" t="s">
        <v>4554</v>
      </c>
      <c r="L7922" t="s">
        <v>4555</v>
      </c>
      <c r="M7922" s="2">
        <v>2110</v>
      </c>
      <c r="N7922" t="s">
        <v>5280</v>
      </c>
      <c r="O7922">
        <v>3</v>
      </c>
      <c r="P7922">
        <v>2</v>
      </c>
      <c r="Q7922">
        <v>0</v>
      </c>
      <c r="R7922" t="s">
        <v>5281</v>
      </c>
      <c r="S7922" t="s">
        <v>4898</v>
      </c>
      <c r="T7922" t="s">
        <v>4559</v>
      </c>
      <c r="U7922" t="s">
        <v>4560</v>
      </c>
      <c r="V7922" s="2">
        <v>668</v>
      </c>
      <c r="W7922" t="s">
        <v>4655</v>
      </c>
      <c r="X7922" s="2">
        <v>0</v>
      </c>
      <c r="Y7922">
        <v>20</v>
      </c>
      <c r="Z7922" t="s">
        <v>5508</v>
      </c>
      <c r="AA7922" s="3">
        <v>0.31462350487709001</v>
      </c>
      <c r="AB7922" t="s">
        <v>36630</v>
      </c>
      <c r="AC7922" t="s">
        <v>4562</v>
      </c>
      <c r="AD7922" t="s">
        <v>36629</v>
      </c>
      <c r="AE7922" t="s">
        <v>4655</v>
      </c>
      <c r="AF7922" t="s">
        <v>5201</v>
      </c>
      <c r="AG7922" t="s">
        <v>4564</v>
      </c>
      <c r="AH7922" t="s">
        <v>1350</v>
      </c>
      <c r="AI7922" t="s">
        <v>36624</v>
      </c>
      <c r="AJ7922" t="s">
        <v>1351</v>
      </c>
      <c r="AK7922" t="s">
        <v>36631</v>
      </c>
      <c r="AL7922" s="13" t="s">
        <v>1892</v>
      </c>
      <c r="AM7922" s="14">
        <v>1</v>
      </c>
      <c r="AN7922" s="15" t="s">
        <v>1352</v>
      </c>
    </row>
    <row r="7923" spans="1:40" x14ac:dyDescent="0.3">
      <c r="A7923" s="10" t="str">
        <f>HYPERLINK("http://www.washoecounty.gov/assessor/cama/?parid=532-102-10&amp;CardNumber=1","532-102-10")</f>
        <v>532-102-10</v>
      </c>
      <c r="B7923" t="s">
        <v>4655</v>
      </c>
      <c r="C7923" t="s">
        <v>36632</v>
      </c>
      <c r="D7923" s="1">
        <v>40302</v>
      </c>
      <c r="E7923" s="2">
        <v>224000</v>
      </c>
      <c r="F7923" t="s">
        <v>4567</v>
      </c>
      <c r="G7923" s="17" t="str">
        <f>HYPERLINK("https://www.washoecounty.gov/assessor/cama/?command=sales&amp;parid=53210210","3877919")</f>
        <v>3877919</v>
      </c>
      <c r="H7923" t="s">
        <v>1349</v>
      </c>
      <c r="I7923">
        <v>2007</v>
      </c>
      <c r="J7923">
        <v>2007</v>
      </c>
      <c r="K7923" t="s">
        <v>4554</v>
      </c>
      <c r="L7923" t="s">
        <v>4555</v>
      </c>
      <c r="M7923" s="2">
        <v>1812</v>
      </c>
      <c r="N7923" t="s">
        <v>5280</v>
      </c>
      <c r="O7923">
        <v>2</v>
      </c>
      <c r="P7923">
        <v>2</v>
      </c>
      <c r="Q7923">
        <v>0</v>
      </c>
      <c r="R7923" t="s">
        <v>5281</v>
      </c>
      <c r="S7923" t="s">
        <v>4898</v>
      </c>
      <c r="T7923" t="s">
        <v>4559</v>
      </c>
      <c r="U7923" t="s">
        <v>4560</v>
      </c>
      <c r="V7923" s="2">
        <v>726</v>
      </c>
      <c r="W7923" t="s">
        <v>4655</v>
      </c>
      <c r="X7923" s="2">
        <v>0</v>
      </c>
      <c r="Y7923">
        <v>20</v>
      </c>
      <c r="Z7923" t="s">
        <v>5508</v>
      </c>
      <c r="AA7923" s="3">
        <v>0.390794306993484</v>
      </c>
      <c r="AB7923" t="s">
        <v>36633</v>
      </c>
      <c r="AC7923" t="s">
        <v>4562</v>
      </c>
      <c r="AD7923" t="s">
        <v>36632</v>
      </c>
      <c r="AE7923" t="s">
        <v>4655</v>
      </c>
      <c r="AF7923" t="s">
        <v>5201</v>
      </c>
      <c r="AG7923" t="s">
        <v>4564</v>
      </c>
      <c r="AH7923" t="s">
        <v>1350</v>
      </c>
      <c r="AI7923" t="s">
        <v>36624</v>
      </c>
      <c r="AJ7923" t="s">
        <v>1351</v>
      </c>
      <c r="AK7923" t="s">
        <v>36634</v>
      </c>
      <c r="AL7923" s="13" t="s">
        <v>1892</v>
      </c>
      <c r="AM7923" s="14">
        <v>1</v>
      </c>
      <c r="AN7923" s="15" t="s">
        <v>1352</v>
      </c>
    </row>
    <row r="7924" spans="1:40" x14ac:dyDescent="0.3">
      <c r="A7924" s="10" t="str">
        <f>HYPERLINK("http://www.washoecounty.gov/assessor/cama/?parid=532-113-14&amp;CardNumber=1","532-113-14")</f>
        <v>532-113-14</v>
      </c>
      <c r="B7924" t="s">
        <v>4655</v>
      </c>
      <c r="C7924" t="s">
        <v>4117</v>
      </c>
      <c r="D7924" s="1">
        <v>40359</v>
      </c>
      <c r="E7924" s="2">
        <v>242000</v>
      </c>
      <c r="F7924" t="s">
        <v>4567</v>
      </c>
      <c r="G7924" s="17" t="str">
        <f>HYPERLINK("https://www.washoecounty.gov/assessor/cama/?command=sales&amp;parid=53211314","3897490")</f>
        <v>3897490</v>
      </c>
      <c r="H7924" t="s">
        <v>4118</v>
      </c>
      <c r="I7924">
        <v>2007</v>
      </c>
      <c r="J7924">
        <v>2007</v>
      </c>
      <c r="K7924" t="s">
        <v>4554</v>
      </c>
      <c r="L7924" t="s">
        <v>4555</v>
      </c>
      <c r="M7924" s="2">
        <v>2232</v>
      </c>
      <c r="N7924" t="s">
        <v>4048</v>
      </c>
      <c r="O7924">
        <v>4</v>
      </c>
      <c r="P7924">
        <v>2</v>
      </c>
      <c r="Q7924">
        <v>0</v>
      </c>
      <c r="R7924" t="s">
        <v>5281</v>
      </c>
      <c r="S7924" t="s">
        <v>4558</v>
      </c>
      <c r="T7924" t="s">
        <v>4559</v>
      </c>
      <c r="U7924" t="s">
        <v>4560</v>
      </c>
      <c r="V7924" s="2">
        <v>728</v>
      </c>
      <c r="W7924" t="s">
        <v>4655</v>
      </c>
      <c r="X7924" s="2">
        <v>0</v>
      </c>
      <c r="Y7924">
        <v>20</v>
      </c>
      <c r="Z7924" t="s">
        <v>5508</v>
      </c>
      <c r="AA7924" s="3">
        <v>0.291528940200806</v>
      </c>
      <c r="AB7924" t="s">
        <v>36635</v>
      </c>
      <c r="AC7924" t="s">
        <v>4562</v>
      </c>
      <c r="AD7924" t="s">
        <v>4117</v>
      </c>
      <c r="AE7924" t="s">
        <v>4655</v>
      </c>
      <c r="AF7924" t="s">
        <v>5201</v>
      </c>
      <c r="AG7924" t="s">
        <v>4564</v>
      </c>
      <c r="AH7924" t="s">
        <v>1350</v>
      </c>
      <c r="AI7924" t="s">
        <v>4655</v>
      </c>
      <c r="AJ7924" t="s">
        <v>4119</v>
      </c>
      <c r="AK7924" t="s">
        <v>36636</v>
      </c>
      <c r="AL7924" s="13" t="s">
        <v>1892</v>
      </c>
      <c r="AM7924" s="14">
        <v>1</v>
      </c>
      <c r="AN7924" s="15" t="s">
        <v>2504</v>
      </c>
    </row>
    <row r="7925" spans="1:40" x14ac:dyDescent="0.3">
      <c r="A7925" s="10" t="str">
        <f>HYPERLINK("http://www.washoecounty.gov/assessor/cama/?parid=534-021-06&amp;CardNumber=1","534-021-06")</f>
        <v>534-021-06</v>
      </c>
      <c r="B7925" t="s">
        <v>4655</v>
      </c>
      <c r="C7925" t="s">
        <v>36637</v>
      </c>
      <c r="D7925" s="1">
        <v>40448</v>
      </c>
      <c r="E7925" s="2">
        <v>315000</v>
      </c>
      <c r="F7925" t="s">
        <v>4553</v>
      </c>
      <c r="G7925" s="17" t="str">
        <f>HYPERLINK("https://www.washoecounty.gov/assessor/cama/?command=sales&amp;parid=53402106","3926300")</f>
        <v>3926300</v>
      </c>
      <c r="H7925" t="s">
        <v>2874</v>
      </c>
      <c r="I7925">
        <v>1995</v>
      </c>
      <c r="J7925">
        <v>1995</v>
      </c>
      <c r="K7925" t="s">
        <v>4554</v>
      </c>
      <c r="L7925" t="s">
        <v>4555</v>
      </c>
      <c r="M7925" s="2">
        <v>2111</v>
      </c>
      <c r="N7925" t="s">
        <v>5280</v>
      </c>
      <c r="O7925">
        <v>3</v>
      </c>
      <c r="P7925">
        <v>2</v>
      </c>
      <c r="Q7925">
        <v>0</v>
      </c>
      <c r="R7925" t="s">
        <v>5281</v>
      </c>
      <c r="S7925" t="s">
        <v>4558</v>
      </c>
      <c r="T7925" t="s">
        <v>4559</v>
      </c>
      <c r="U7925" t="s">
        <v>4560</v>
      </c>
      <c r="V7925" s="2">
        <v>781</v>
      </c>
      <c r="W7925" t="s">
        <v>4655</v>
      </c>
      <c r="X7925" s="2">
        <v>0</v>
      </c>
      <c r="Y7925">
        <v>20</v>
      </c>
      <c r="Z7925" t="s">
        <v>3884</v>
      </c>
      <c r="AA7925" s="3">
        <v>1.00199723243713</v>
      </c>
      <c r="AB7925" t="s">
        <v>36638</v>
      </c>
      <c r="AC7925" t="s">
        <v>4562</v>
      </c>
      <c r="AD7925" t="s">
        <v>36637</v>
      </c>
      <c r="AE7925" t="s">
        <v>4655</v>
      </c>
      <c r="AF7925" t="s">
        <v>5201</v>
      </c>
      <c r="AG7925" t="s">
        <v>4564</v>
      </c>
      <c r="AH7925" t="s">
        <v>1350</v>
      </c>
      <c r="AI7925" t="s">
        <v>4202</v>
      </c>
      <c r="AJ7925" t="s">
        <v>2875</v>
      </c>
      <c r="AK7925" t="s">
        <v>36639</v>
      </c>
      <c r="AL7925" s="13" t="s">
        <v>1892</v>
      </c>
      <c r="AM7925">
        <v>1</v>
      </c>
      <c r="AN7925" s="15" t="s">
        <v>3479</v>
      </c>
    </row>
    <row r="7926" spans="1:40" x14ac:dyDescent="0.3">
      <c r="A7926" s="10" t="str">
        <f>HYPERLINK("http://www.washoecounty.gov/assessor/cama/?parid=534-022-01&amp;CardNumber=1","534-022-01")</f>
        <v>534-022-01</v>
      </c>
      <c r="B7926" t="s">
        <v>4655</v>
      </c>
      <c r="C7926" t="s">
        <v>36640</v>
      </c>
      <c r="D7926" s="1">
        <v>40291</v>
      </c>
      <c r="E7926" s="2">
        <v>457000</v>
      </c>
      <c r="F7926" t="s">
        <v>4567</v>
      </c>
      <c r="G7926" s="17" t="str">
        <f>HYPERLINK("https://www.washoecounty.gov/assessor/cama/?command=sales&amp;parid=53402201","3874180")</f>
        <v>3874180</v>
      </c>
      <c r="H7926" t="s">
        <v>2874</v>
      </c>
      <c r="I7926">
        <v>1996</v>
      </c>
      <c r="J7926">
        <v>1996</v>
      </c>
      <c r="K7926" t="s">
        <v>4554</v>
      </c>
      <c r="L7926" t="s">
        <v>4555</v>
      </c>
      <c r="M7926" s="2">
        <v>2176</v>
      </c>
      <c r="N7926" t="s">
        <v>5280</v>
      </c>
      <c r="O7926">
        <v>3</v>
      </c>
      <c r="P7926">
        <v>2</v>
      </c>
      <c r="Q7926">
        <v>0</v>
      </c>
      <c r="R7926" t="s">
        <v>4557</v>
      </c>
      <c r="S7926" t="s">
        <v>4558</v>
      </c>
      <c r="T7926" t="s">
        <v>4559</v>
      </c>
      <c r="U7926" t="s">
        <v>162</v>
      </c>
      <c r="V7926" s="2">
        <v>3944</v>
      </c>
      <c r="W7926" t="s">
        <v>4655</v>
      </c>
      <c r="X7926" s="2">
        <v>0</v>
      </c>
      <c r="Y7926">
        <v>20</v>
      </c>
      <c r="Z7926" t="s">
        <v>3884</v>
      </c>
      <c r="AA7926" s="3">
        <v>1.4519972801208401</v>
      </c>
      <c r="AB7926" t="s">
        <v>36641</v>
      </c>
      <c r="AC7926" t="s">
        <v>4562</v>
      </c>
      <c r="AD7926" t="s">
        <v>36640</v>
      </c>
      <c r="AE7926" t="s">
        <v>4655</v>
      </c>
      <c r="AF7926" t="s">
        <v>5201</v>
      </c>
      <c r="AG7926" t="s">
        <v>4564</v>
      </c>
      <c r="AH7926" t="s">
        <v>1350</v>
      </c>
      <c r="AI7926" t="s">
        <v>36642</v>
      </c>
      <c r="AJ7926" t="s">
        <v>2875</v>
      </c>
      <c r="AK7926" t="s">
        <v>36643</v>
      </c>
      <c r="AL7926" s="13" t="s">
        <v>1892</v>
      </c>
      <c r="AM7926">
        <v>1</v>
      </c>
      <c r="AN7926" s="15" t="s">
        <v>3479</v>
      </c>
    </row>
    <row r="7927" spans="1:40" x14ac:dyDescent="0.3">
      <c r="A7927" s="10" t="str">
        <f>HYPERLINK("http://www.washoecounty.gov/assessor/cama/?parid=534-064-12&amp;CardNumber=1","534-064-12")</f>
        <v>534-064-12</v>
      </c>
      <c r="B7927" t="s">
        <v>4655</v>
      </c>
      <c r="C7927" t="s">
        <v>36644</v>
      </c>
      <c r="D7927" s="1">
        <v>40448</v>
      </c>
      <c r="E7927" s="2">
        <v>165000</v>
      </c>
      <c r="F7927" t="s">
        <v>4553</v>
      </c>
      <c r="G7927" s="17" t="str">
        <f>HYPERLINK("https://www.washoecounty.gov/assessor/cama/?command=sales&amp;parid=53406412","3926352")</f>
        <v>3926352</v>
      </c>
      <c r="H7927" t="s">
        <v>36645</v>
      </c>
      <c r="I7927">
        <v>1983</v>
      </c>
      <c r="J7927">
        <v>1983</v>
      </c>
      <c r="K7927" t="s">
        <v>4554</v>
      </c>
      <c r="L7927" t="s">
        <v>4555</v>
      </c>
      <c r="M7927" s="2">
        <v>1056</v>
      </c>
      <c r="N7927" t="s">
        <v>4556</v>
      </c>
      <c r="O7927">
        <v>2</v>
      </c>
      <c r="P7927">
        <v>2</v>
      </c>
      <c r="Q7927">
        <v>0</v>
      </c>
      <c r="R7927" t="s">
        <v>4557</v>
      </c>
      <c r="S7927" t="s">
        <v>3148</v>
      </c>
      <c r="T7927" t="s">
        <v>4559</v>
      </c>
      <c r="U7927" t="s">
        <v>4560</v>
      </c>
      <c r="V7927" s="2">
        <v>720</v>
      </c>
      <c r="W7927" t="s">
        <v>4655</v>
      </c>
      <c r="X7927" s="2">
        <v>0</v>
      </c>
      <c r="Y7927">
        <v>20</v>
      </c>
      <c r="Z7927" t="s">
        <v>3884</v>
      </c>
      <c r="AA7927" s="3">
        <v>1.00199723243713</v>
      </c>
      <c r="AB7927" t="s">
        <v>36646</v>
      </c>
      <c r="AC7927" t="s">
        <v>4562</v>
      </c>
      <c r="AD7927" t="s">
        <v>36644</v>
      </c>
      <c r="AE7927" t="s">
        <v>4655</v>
      </c>
      <c r="AF7927" t="s">
        <v>5201</v>
      </c>
      <c r="AG7927" t="s">
        <v>4564</v>
      </c>
      <c r="AH7927" t="s">
        <v>1350</v>
      </c>
      <c r="AI7927" t="s">
        <v>601</v>
      </c>
      <c r="AJ7927" t="s">
        <v>36647</v>
      </c>
      <c r="AK7927" t="s">
        <v>36648</v>
      </c>
      <c r="AL7927" s="13" t="s">
        <v>1892</v>
      </c>
      <c r="AM7927">
        <v>1</v>
      </c>
      <c r="AN7927" s="15" t="s">
        <v>1662</v>
      </c>
    </row>
    <row r="7928" spans="1:40" x14ac:dyDescent="0.3">
      <c r="A7928" s="10" t="str">
        <f>HYPERLINK("http://www.washoecounty.gov/assessor/cama/?parid=534-081-20&amp;CardNumber=1","534-081-20")</f>
        <v>534-081-20</v>
      </c>
      <c r="B7928" t="s">
        <v>4655</v>
      </c>
      <c r="C7928" t="s">
        <v>36649</v>
      </c>
      <c r="D7928" s="1">
        <v>40522</v>
      </c>
      <c r="E7928" s="2">
        <v>225000</v>
      </c>
      <c r="F7928" t="s">
        <v>4553</v>
      </c>
      <c r="G7928" s="17" t="str">
        <f>HYPERLINK("https://www.washoecounty.gov/assessor/cama/?command=sales&amp;parid=53408120","3952374")</f>
        <v>3952374</v>
      </c>
      <c r="H7928" t="s">
        <v>5463</v>
      </c>
      <c r="I7928">
        <v>1985</v>
      </c>
      <c r="J7928">
        <v>1985</v>
      </c>
      <c r="K7928" t="s">
        <v>4554</v>
      </c>
      <c r="L7928" t="s">
        <v>2170</v>
      </c>
      <c r="M7928" s="2">
        <v>2790</v>
      </c>
      <c r="N7928" t="s">
        <v>4048</v>
      </c>
      <c r="O7928">
        <v>3</v>
      </c>
      <c r="P7928">
        <v>3</v>
      </c>
      <c r="Q7928">
        <v>0</v>
      </c>
      <c r="R7928" t="s">
        <v>4557</v>
      </c>
      <c r="S7928" t="s">
        <v>4558</v>
      </c>
      <c r="T7928" t="s">
        <v>4559</v>
      </c>
      <c r="U7928" t="s">
        <v>4560</v>
      </c>
      <c r="V7928" s="2">
        <v>700</v>
      </c>
      <c r="W7928" t="s">
        <v>4655</v>
      </c>
      <c r="X7928" s="2">
        <v>0</v>
      </c>
      <c r="Y7928">
        <v>20</v>
      </c>
      <c r="Z7928" t="s">
        <v>3884</v>
      </c>
      <c r="AA7928" s="3">
        <v>1.48099172115325</v>
      </c>
      <c r="AB7928" t="s">
        <v>36650</v>
      </c>
      <c r="AC7928" t="s">
        <v>4562</v>
      </c>
      <c r="AD7928" t="s">
        <v>36649</v>
      </c>
      <c r="AE7928" t="s">
        <v>4655</v>
      </c>
      <c r="AF7928" t="s">
        <v>5201</v>
      </c>
      <c r="AG7928" t="s">
        <v>4564</v>
      </c>
      <c r="AH7928" t="s">
        <v>1350</v>
      </c>
      <c r="AI7928" t="s">
        <v>4655</v>
      </c>
      <c r="AJ7928" t="s">
        <v>36651</v>
      </c>
      <c r="AK7928" t="s">
        <v>36652</v>
      </c>
      <c r="AL7928" s="13" t="s">
        <v>1892</v>
      </c>
      <c r="AM7928">
        <v>1</v>
      </c>
      <c r="AN7928" s="15" t="s">
        <v>1662</v>
      </c>
    </row>
    <row r="7929" spans="1:40" x14ac:dyDescent="0.3">
      <c r="A7929" s="10" t="str">
        <f>HYPERLINK("http://www.washoecounty.gov/assessor/cama/?parid=534-102-03&amp;CardNumber=1","534-102-03")</f>
        <v>534-102-03</v>
      </c>
      <c r="B7929" t="s">
        <v>4655</v>
      </c>
      <c r="C7929" t="s">
        <v>36653</v>
      </c>
      <c r="D7929" s="1">
        <v>40501</v>
      </c>
      <c r="E7929" s="2">
        <v>197500</v>
      </c>
      <c r="F7929" t="s">
        <v>4567</v>
      </c>
      <c r="G7929" s="17" t="str">
        <f>HYPERLINK("https://www.washoecounty.gov/assessor/cama/?command=sales&amp;parid=53410203","3945273")</f>
        <v>3945273</v>
      </c>
      <c r="H7929" t="s">
        <v>544</v>
      </c>
      <c r="I7929">
        <v>1981</v>
      </c>
      <c r="J7929">
        <v>1981</v>
      </c>
      <c r="K7929" t="s">
        <v>4554</v>
      </c>
      <c r="L7929" t="s">
        <v>4555</v>
      </c>
      <c r="M7929" s="2">
        <v>1440</v>
      </c>
      <c r="N7929" t="s">
        <v>4556</v>
      </c>
      <c r="O7929">
        <v>3</v>
      </c>
      <c r="P7929">
        <v>2</v>
      </c>
      <c r="Q7929">
        <v>0</v>
      </c>
      <c r="R7929" t="s">
        <v>4557</v>
      </c>
      <c r="S7929" t="s">
        <v>3148</v>
      </c>
      <c r="T7929" t="s">
        <v>4559</v>
      </c>
      <c r="U7929" t="s">
        <v>162</v>
      </c>
      <c r="V7929" s="2">
        <v>952</v>
      </c>
      <c r="W7929" t="s">
        <v>4655</v>
      </c>
      <c r="X7929" s="2">
        <v>0</v>
      </c>
      <c r="Y7929">
        <v>20</v>
      </c>
      <c r="Z7929" t="s">
        <v>3884</v>
      </c>
      <c r="AA7929" s="3">
        <v>1.2250000238418499</v>
      </c>
      <c r="AB7929" t="s">
        <v>36654</v>
      </c>
      <c r="AC7929" t="s">
        <v>4562</v>
      </c>
      <c r="AD7929" t="s">
        <v>36655</v>
      </c>
      <c r="AE7929" t="s">
        <v>4655</v>
      </c>
      <c r="AF7929" t="s">
        <v>4809</v>
      </c>
      <c r="AG7929" t="s">
        <v>4564</v>
      </c>
      <c r="AH7929" t="s">
        <v>1605</v>
      </c>
      <c r="AI7929" t="s">
        <v>36656</v>
      </c>
      <c r="AJ7929" t="s">
        <v>36657</v>
      </c>
      <c r="AK7929" t="s">
        <v>36658</v>
      </c>
      <c r="AL7929" s="13" t="s">
        <v>1892</v>
      </c>
      <c r="AM7929" s="14">
        <v>1</v>
      </c>
      <c r="AN7929" s="15" t="s">
        <v>1662</v>
      </c>
    </row>
    <row r="7930" spans="1:40" x14ac:dyDescent="0.3">
      <c r="A7930" s="10" t="str">
        <f>HYPERLINK("http://www.washoecounty.gov/assessor/cama/?parid=534-102-06&amp;CardNumber=1","534-102-06")</f>
        <v>534-102-06</v>
      </c>
      <c r="B7930" t="s">
        <v>4655</v>
      </c>
      <c r="C7930" t="s">
        <v>36659</v>
      </c>
      <c r="D7930" s="1">
        <v>40303</v>
      </c>
      <c r="E7930" s="2">
        <v>272000</v>
      </c>
      <c r="F7930" t="s">
        <v>4567</v>
      </c>
      <c r="G7930" s="17" t="str">
        <f>HYPERLINK("https://www.washoecounty.gov/assessor/cama/?command=sales&amp;parid=53410206","3878256")</f>
        <v>3878256</v>
      </c>
      <c r="H7930" t="s">
        <v>544</v>
      </c>
      <c r="I7930">
        <v>1981</v>
      </c>
      <c r="J7930">
        <v>1981</v>
      </c>
      <c r="K7930" t="s">
        <v>4554</v>
      </c>
      <c r="L7930" t="s">
        <v>4555</v>
      </c>
      <c r="M7930" s="2">
        <v>1424</v>
      </c>
      <c r="N7930" t="s">
        <v>4556</v>
      </c>
      <c r="O7930">
        <v>3</v>
      </c>
      <c r="P7930">
        <v>2</v>
      </c>
      <c r="Q7930">
        <v>0</v>
      </c>
      <c r="R7930" t="s">
        <v>4557</v>
      </c>
      <c r="S7930" t="s">
        <v>3148</v>
      </c>
      <c r="T7930" t="s">
        <v>4143</v>
      </c>
      <c r="U7930" t="s">
        <v>162</v>
      </c>
      <c r="V7930" s="2">
        <v>2160</v>
      </c>
      <c r="W7930" t="s">
        <v>4655</v>
      </c>
      <c r="X7930" s="2">
        <v>0</v>
      </c>
      <c r="Y7930">
        <v>20</v>
      </c>
      <c r="Z7930" t="s">
        <v>3884</v>
      </c>
      <c r="AA7930" s="3">
        <v>1.2100092172622601</v>
      </c>
      <c r="AB7930" t="s">
        <v>36660</v>
      </c>
      <c r="AC7930" t="s">
        <v>4562</v>
      </c>
      <c r="AD7930" t="s">
        <v>36661</v>
      </c>
      <c r="AE7930" t="s">
        <v>4655</v>
      </c>
      <c r="AF7930" t="s">
        <v>5201</v>
      </c>
      <c r="AG7930" t="s">
        <v>4564</v>
      </c>
      <c r="AH7930" t="s">
        <v>3609</v>
      </c>
      <c r="AI7930" t="s">
        <v>36662</v>
      </c>
      <c r="AJ7930" t="s">
        <v>36663</v>
      </c>
      <c r="AK7930" t="s">
        <v>36664</v>
      </c>
      <c r="AL7930" s="13" t="s">
        <v>1892</v>
      </c>
      <c r="AM7930" s="14">
        <v>1</v>
      </c>
      <c r="AN7930" s="15" t="s">
        <v>1662</v>
      </c>
    </row>
    <row r="7931" spans="1:40" x14ac:dyDescent="0.3">
      <c r="A7931" s="10" t="str">
        <f>HYPERLINK("http://www.washoecounty.gov/assessor/cama/?parid=534-123-05&amp;CardNumber=1","534-123-05")</f>
        <v>534-123-05</v>
      </c>
      <c r="B7931" t="s">
        <v>4655</v>
      </c>
      <c r="C7931" t="s">
        <v>36665</v>
      </c>
      <c r="D7931" s="1">
        <v>40465</v>
      </c>
      <c r="E7931" s="2">
        <v>188500</v>
      </c>
      <c r="F7931" t="s">
        <v>4567</v>
      </c>
      <c r="G7931" s="17" t="str">
        <f>HYPERLINK("https://www.washoecounty.gov/assessor/cama/?command=sales&amp;parid=53412305","3932995")</f>
        <v>3932995</v>
      </c>
      <c r="H7931" t="s">
        <v>36645</v>
      </c>
      <c r="I7931">
        <v>1983</v>
      </c>
      <c r="J7931">
        <v>1983</v>
      </c>
      <c r="K7931" t="s">
        <v>4554</v>
      </c>
      <c r="L7931" t="s">
        <v>4555</v>
      </c>
      <c r="M7931" s="2">
        <v>1358</v>
      </c>
      <c r="N7931" t="s">
        <v>4556</v>
      </c>
      <c r="O7931">
        <v>3</v>
      </c>
      <c r="P7931">
        <v>2</v>
      </c>
      <c r="Q7931">
        <v>0</v>
      </c>
      <c r="R7931" t="s">
        <v>4557</v>
      </c>
      <c r="S7931" t="s">
        <v>3148</v>
      </c>
      <c r="T7931" t="s">
        <v>4143</v>
      </c>
      <c r="U7931" t="s">
        <v>4560</v>
      </c>
      <c r="V7931" s="2">
        <v>720</v>
      </c>
      <c r="W7931" t="s">
        <v>4655</v>
      </c>
      <c r="X7931" s="2">
        <v>0</v>
      </c>
      <c r="Y7931">
        <v>20</v>
      </c>
      <c r="Z7931" t="s">
        <v>3884</v>
      </c>
      <c r="AA7931" s="3">
        <v>1.2230027914047199</v>
      </c>
      <c r="AB7931" t="s">
        <v>36666</v>
      </c>
      <c r="AC7931" t="s">
        <v>4575</v>
      </c>
      <c r="AD7931" t="s">
        <v>36665</v>
      </c>
      <c r="AE7931" t="s">
        <v>4655</v>
      </c>
      <c r="AF7931" t="s">
        <v>5201</v>
      </c>
      <c r="AG7931" t="s">
        <v>4564</v>
      </c>
      <c r="AH7931" t="s">
        <v>1350</v>
      </c>
      <c r="AI7931" t="s">
        <v>14032</v>
      </c>
      <c r="AJ7931" t="s">
        <v>36667</v>
      </c>
      <c r="AK7931" t="s">
        <v>36668</v>
      </c>
      <c r="AL7931" s="13" t="s">
        <v>1892</v>
      </c>
      <c r="AM7931" s="14">
        <v>1</v>
      </c>
      <c r="AN7931" s="15" t="s">
        <v>1662</v>
      </c>
    </row>
    <row r="7932" spans="1:40" x14ac:dyDescent="0.3">
      <c r="A7932" s="10" t="str">
        <f>HYPERLINK("http://www.washoecounty.gov/assessor/cama/?parid=534-151-11&amp;CardNumber=1","534-151-11")</f>
        <v>534-151-11</v>
      </c>
      <c r="B7932" t="s">
        <v>4655</v>
      </c>
      <c r="C7932" t="s">
        <v>36669</v>
      </c>
      <c r="D7932" s="1">
        <v>40259</v>
      </c>
      <c r="E7932" s="2">
        <v>285000</v>
      </c>
      <c r="F7932" t="s">
        <v>4567</v>
      </c>
      <c r="G7932" s="17" t="str">
        <f>HYPERLINK("https://www.washoecounty.gov/assessor/cama/?command=sales&amp;parid=53415111","3862174")</f>
        <v>3862174</v>
      </c>
      <c r="H7932" t="s">
        <v>4876</v>
      </c>
      <c r="I7932">
        <v>1999</v>
      </c>
      <c r="J7932">
        <v>1999</v>
      </c>
      <c r="K7932" t="s">
        <v>4554</v>
      </c>
      <c r="L7932" t="s">
        <v>3974</v>
      </c>
      <c r="M7932" s="2">
        <v>2670</v>
      </c>
      <c r="N7932" t="s">
        <v>5280</v>
      </c>
      <c r="O7932">
        <v>4</v>
      </c>
      <c r="P7932">
        <v>2</v>
      </c>
      <c r="Q7932">
        <v>1</v>
      </c>
      <c r="R7932" t="s">
        <v>4557</v>
      </c>
      <c r="S7932" t="s">
        <v>4898</v>
      </c>
      <c r="T7932" t="s">
        <v>2704</v>
      </c>
      <c r="U7932" t="s">
        <v>5631</v>
      </c>
      <c r="V7932" s="2">
        <v>738</v>
      </c>
      <c r="W7932" t="s">
        <v>4655</v>
      </c>
      <c r="X7932" s="2">
        <v>0</v>
      </c>
      <c r="Y7932">
        <v>20</v>
      </c>
      <c r="Z7932" t="s">
        <v>3884</v>
      </c>
      <c r="AA7932" s="3">
        <v>2.5380001068115199</v>
      </c>
      <c r="AB7932" t="s">
        <v>36670</v>
      </c>
      <c r="AC7932" t="s">
        <v>4562</v>
      </c>
      <c r="AD7932" t="s">
        <v>36671</v>
      </c>
      <c r="AE7932" t="s">
        <v>4655</v>
      </c>
      <c r="AF7932" t="s">
        <v>4563</v>
      </c>
      <c r="AG7932" t="s">
        <v>4564</v>
      </c>
      <c r="AH7932">
        <v>89511</v>
      </c>
      <c r="AI7932" t="s">
        <v>36672</v>
      </c>
      <c r="AJ7932" t="s">
        <v>36673</v>
      </c>
      <c r="AK7932" t="s">
        <v>36674</v>
      </c>
      <c r="AL7932" s="13" t="s">
        <v>1892</v>
      </c>
      <c r="AM7932">
        <v>1</v>
      </c>
      <c r="AN7932" s="15" t="s">
        <v>1840</v>
      </c>
    </row>
    <row r="7933" spans="1:40" x14ac:dyDescent="0.3">
      <c r="A7933" s="10" t="str">
        <f>HYPERLINK("http://www.washoecounty.gov/assessor/cama/?parid=534-152-17&amp;CardNumber=1","534-152-17")</f>
        <v>534-152-17</v>
      </c>
      <c r="B7933" t="s">
        <v>4655</v>
      </c>
      <c r="C7933" t="s">
        <v>36675</v>
      </c>
      <c r="D7933" s="1">
        <v>40298</v>
      </c>
      <c r="E7933" s="2">
        <v>375000</v>
      </c>
      <c r="F7933" t="s">
        <v>4567</v>
      </c>
      <c r="G7933" s="17" t="str">
        <f>HYPERLINK("https://www.washoecounty.gov/assessor/cama/?command=sales&amp;parid=53415217","3876667")</f>
        <v>3876667</v>
      </c>
      <c r="H7933" t="s">
        <v>2425</v>
      </c>
      <c r="I7933">
        <v>1992</v>
      </c>
      <c r="J7933">
        <v>1992</v>
      </c>
      <c r="K7933" t="s">
        <v>4554</v>
      </c>
      <c r="L7933" t="s">
        <v>4555</v>
      </c>
      <c r="M7933" s="2">
        <v>2168</v>
      </c>
      <c r="N7933" t="s">
        <v>5280</v>
      </c>
      <c r="O7933">
        <v>3</v>
      </c>
      <c r="P7933">
        <v>2</v>
      </c>
      <c r="Q7933">
        <v>0</v>
      </c>
      <c r="R7933" t="s">
        <v>5281</v>
      </c>
      <c r="S7933" t="s">
        <v>4898</v>
      </c>
      <c r="T7933" t="s">
        <v>2704</v>
      </c>
      <c r="U7933" t="s">
        <v>162</v>
      </c>
      <c r="V7933" s="2">
        <v>1764</v>
      </c>
      <c r="W7933" t="s">
        <v>4655</v>
      </c>
      <c r="X7933" s="2">
        <v>0</v>
      </c>
      <c r="Y7933">
        <v>20</v>
      </c>
      <c r="Z7933" t="s">
        <v>3884</v>
      </c>
      <c r="AA7933" s="3">
        <v>1.2519972324371338</v>
      </c>
      <c r="AB7933" t="s">
        <v>2818</v>
      </c>
      <c r="AC7933" t="s">
        <v>4575</v>
      </c>
      <c r="AD7933" t="s">
        <v>36675</v>
      </c>
      <c r="AE7933" t="s">
        <v>4655</v>
      </c>
      <c r="AF7933" t="s">
        <v>5201</v>
      </c>
      <c r="AG7933" t="s">
        <v>4564</v>
      </c>
      <c r="AH7933" t="s">
        <v>1350</v>
      </c>
      <c r="AI7933" t="s">
        <v>36676</v>
      </c>
      <c r="AJ7933" t="s">
        <v>36677</v>
      </c>
      <c r="AK7933" t="s">
        <v>36678</v>
      </c>
      <c r="AL7933" s="13" t="s">
        <v>1892</v>
      </c>
      <c r="AM7933">
        <v>1</v>
      </c>
      <c r="AN7933" s="15" t="s">
        <v>1840</v>
      </c>
    </row>
    <row r="7934" spans="1:40" x14ac:dyDescent="0.3">
      <c r="A7934" s="10" t="str">
        <f>HYPERLINK("http://www.washoecounty.gov/assessor/cama/?parid=534-153-03&amp;CardNumber=1","534-153-03")</f>
        <v>534-153-03</v>
      </c>
      <c r="B7934" t="s">
        <v>4655</v>
      </c>
      <c r="C7934" t="s">
        <v>36679</v>
      </c>
      <c r="D7934" s="1">
        <v>40471</v>
      </c>
      <c r="E7934" s="2">
        <v>340000</v>
      </c>
      <c r="F7934" t="s">
        <v>4567</v>
      </c>
      <c r="G7934" s="17" t="str">
        <f>HYPERLINK("https://www.washoecounty.gov/assessor/cama/?command=sales&amp;parid=53415303","3934828")</f>
        <v>3934828</v>
      </c>
      <c r="H7934" t="s">
        <v>36680</v>
      </c>
      <c r="I7934">
        <v>1993</v>
      </c>
      <c r="J7934">
        <v>1993</v>
      </c>
      <c r="K7934" t="s">
        <v>4554</v>
      </c>
      <c r="L7934" t="s">
        <v>3974</v>
      </c>
      <c r="M7934" s="2">
        <v>2669</v>
      </c>
      <c r="N7934" t="s">
        <v>5280</v>
      </c>
      <c r="O7934">
        <v>4</v>
      </c>
      <c r="P7934">
        <v>2</v>
      </c>
      <c r="Q7934">
        <v>1</v>
      </c>
      <c r="R7934" t="s">
        <v>4557</v>
      </c>
      <c r="S7934" t="s">
        <v>4898</v>
      </c>
      <c r="T7934" t="s">
        <v>2704</v>
      </c>
      <c r="U7934" t="s">
        <v>4560</v>
      </c>
      <c r="V7934" s="2">
        <v>738</v>
      </c>
      <c r="W7934" t="s">
        <v>4655</v>
      </c>
      <c r="X7934" s="2">
        <v>0</v>
      </c>
      <c r="Y7934">
        <v>20</v>
      </c>
      <c r="Z7934" t="s">
        <v>3884</v>
      </c>
      <c r="AA7934" s="3">
        <v>1.4489898681640601</v>
      </c>
      <c r="AB7934" t="s">
        <v>36681</v>
      </c>
      <c r="AC7934" t="s">
        <v>4575</v>
      </c>
      <c r="AD7934" t="s">
        <v>36679</v>
      </c>
      <c r="AE7934" t="s">
        <v>4655</v>
      </c>
      <c r="AF7934" t="s">
        <v>5201</v>
      </c>
      <c r="AG7934" t="s">
        <v>4564</v>
      </c>
      <c r="AH7934" t="s">
        <v>1350</v>
      </c>
      <c r="AI7934" t="s">
        <v>36682</v>
      </c>
      <c r="AJ7934" t="s">
        <v>36683</v>
      </c>
      <c r="AK7934" t="s">
        <v>36684</v>
      </c>
      <c r="AL7934" s="13" t="s">
        <v>1892</v>
      </c>
      <c r="AM7934" s="14">
        <v>1</v>
      </c>
      <c r="AN7934" s="15" t="s">
        <v>1840</v>
      </c>
    </row>
    <row r="7935" spans="1:40" x14ac:dyDescent="0.3">
      <c r="A7935" s="10" t="str">
        <f>HYPERLINK("http://www.washoecounty.gov/assessor/cama/?parid=534-161-04&amp;CardNumber=1","534-161-04")</f>
        <v>534-161-04</v>
      </c>
      <c r="B7935" t="s">
        <v>4655</v>
      </c>
      <c r="C7935" t="s">
        <v>2939</v>
      </c>
      <c r="D7935" s="1">
        <v>40263</v>
      </c>
      <c r="E7935" s="2">
        <v>324895</v>
      </c>
      <c r="F7935" t="s">
        <v>4567</v>
      </c>
      <c r="G7935" s="17" t="str">
        <f>HYPERLINK("https://www.washoecounty.gov/assessor/cama/?command=sales&amp;parid=53416104","3864529")</f>
        <v>3864529</v>
      </c>
      <c r="H7935" t="s">
        <v>2940</v>
      </c>
      <c r="I7935">
        <v>1993</v>
      </c>
      <c r="J7935">
        <v>1993</v>
      </c>
      <c r="K7935" t="s">
        <v>4554</v>
      </c>
      <c r="L7935" t="s">
        <v>4555</v>
      </c>
      <c r="M7935" s="2">
        <v>2168</v>
      </c>
      <c r="N7935" t="s">
        <v>5280</v>
      </c>
      <c r="O7935">
        <v>3</v>
      </c>
      <c r="P7935">
        <v>2</v>
      </c>
      <c r="Q7935">
        <v>0</v>
      </c>
      <c r="R7935" t="s">
        <v>4557</v>
      </c>
      <c r="S7935" t="s">
        <v>4898</v>
      </c>
      <c r="T7935" t="s">
        <v>2704</v>
      </c>
      <c r="U7935" t="s">
        <v>4560</v>
      </c>
      <c r="V7935" s="2">
        <v>820</v>
      </c>
      <c r="W7935" t="s">
        <v>4655</v>
      </c>
      <c r="X7935" s="2">
        <v>0</v>
      </c>
      <c r="Y7935">
        <v>20</v>
      </c>
      <c r="Z7935" t="s">
        <v>3884</v>
      </c>
      <c r="AA7935" s="3">
        <v>1.1710054874420099</v>
      </c>
      <c r="AB7935" t="s">
        <v>5519</v>
      </c>
      <c r="AC7935" t="s">
        <v>4575</v>
      </c>
      <c r="AD7935" t="s">
        <v>2939</v>
      </c>
      <c r="AE7935" t="s">
        <v>4655</v>
      </c>
      <c r="AF7935" t="s">
        <v>5201</v>
      </c>
      <c r="AG7935" t="s">
        <v>4564</v>
      </c>
      <c r="AH7935" t="s">
        <v>1350</v>
      </c>
      <c r="AI7935" t="s">
        <v>5537</v>
      </c>
      <c r="AJ7935" t="s">
        <v>2941</v>
      </c>
      <c r="AK7935" t="s">
        <v>2942</v>
      </c>
      <c r="AL7935" s="13" t="s">
        <v>1892</v>
      </c>
      <c r="AM7935" s="14">
        <v>1</v>
      </c>
      <c r="AN7935" s="15" t="s">
        <v>1840</v>
      </c>
    </row>
    <row r="7936" spans="1:40" x14ac:dyDescent="0.3">
      <c r="A7936" s="10" t="str">
        <f>HYPERLINK("http://www.washoecounty.gov/assessor/cama/?parid=534-171-10&amp;CardNumber=1","534-171-10")</f>
        <v>534-171-10</v>
      </c>
      <c r="B7936" t="s">
        <v>4655</v>
      </c>
      <c r="C7936" t="s">
        <v>36685</v>
      </c>
      <c r="D7936" s="1">
        <v>40448</v>
      </c>
      <c r="E7936" s="2">
        <v>205000</v>
      </c>
      <c r="F7936" t="s">
        <v>4553</v>
      </c>
      <c r="G7936" s="17" t="str">
        <f>HYPERLINK("https://www.washoecounty.gov/assessor/cama/?command=sales&amp;parid=53417110","3926572")</f>
        <v>3926572</v>
      </c>
      <c r="H7936" t="s">
        <v>5558</v>
      </c>
      <c r="I7936">
        <v>1993</v>
      </c>
      <c r="J7936">
        <v>1993</v>
      </c>
      <c r="K7936" t="s">
        <v>4554</v>
      </c>
      <c r="L7936" t="s">
        <v>3886</v>
      </c>
      <c r="M7936" s="2">
        <v>1630</v>
      </c>
      <c r="N7936" t="s">
        <v>4048</v>
      </c>
      <c r="O7936">
        <v>3</v>
      </c>
      <c r="P7936">
        <v>3</v>
      </c>
      <c r="Q7936">
        <v>0</v>
      </c>
      <c r="R7936" t="s">
        <v>5281</v>
      </c>
      <c r="S7936" t="s">
        <v>4558</v>
      </c>
      <c r="T7936" t="s">
        <v>4559</v>
      </c>
      <c r="U7936" t="s">
        <v>4560</v>
      </c>
      <c r="V7936" s="2">
        <v>400</v>
      </c>
      <c r="W7936" t="s">
        <v>4655</v>
      </c>
      <c r="X7936" s="2">
        <v>0</v>
      </c>
      <c r="Y7936">
        <v>20</v>
      </c>
      <c r="Z7936" t="s">
        <v>3884</v>
      </c>
      <c r="AA7936" s="3">
        <v>1.8350092172622601</v>
      </c>
      <c r="AB7936" t="s">
        <v>36686</v>
      </c>
      <c r="AC7936" t="s">
        <v>4562</v>
      </c>
      <c r="AD7936" t="s">
        <v>36685</v>
      </c>
      <c r="AE7936" t="s">
        <v>4655</v>
      </c>
      <c r="AF7936" t="s">
        <v>5201</v>
      </c>
      <c r="AG7936" t="s">
        <v>4564</v>
      </c>
      <c r="AH7936" t="s">
        <v>4126</v>
      </c>
      <c r="AI7936" t="s">
        <v>36687</v>
      </c>
      <c r="AJ7936" t="s">
        <v>36688</v>
      </c>
      <c r="AK7936" t="s">
        <v>36689</v>
      </c>
      <c r="AL7936" s="13" t="s">
        <v>1892</v>
      </c>
      <c r="AM7936">
        <v>1</v>
      </c>
      <c r="AN7936" s="15" t="s">
        <v>1840</v>
      </c>
    </row>
    <row r="7937" spans="1:40" x14ac:dyDescent="0.3">
      <c r="A7937" s="10" t="str">
        <f>HYPERLINK("http://www.washoecounty.gov/assessor/cama/?parid=534-182-03&amp;CardNumber=1","534-182-03")</f>
        <v>534-182-03</v>
      </c>
      <c r="B7937" t="s">
        <v>4655</v>
      </c>
      <c r="C7937" t="s">
        <v>36690</v>
      </c>
      <c r="D7937" s="1">
        <v>40420</v>
      </c>
      <c r="E7937" s="2">
        <v>240000</v>
      </c>
      <c r="F7937" t="s">
        <v>4567</v>
      </c>
      <c r="G7937" s="17" t="str">
        <f>HYPERLINK("https://www.washoecounty.gov/assessor/cama/?command=sales&amp;parid=53418203","3917087")</f>
        <v>3917087</v>
      </c>
      <c r="H7937" t="s">
        <v>493</v>
      </c>
      <c r="I7937">
        <v>1993</v>
      </c>
      <c r="J7937">
        <v>1993</v>
      </c>
      <c r="K7937" t="s">
        <v>4554</v>
      </c>
      <c r="L7937" t="s">
        <v>3886</v>
      </c>
      <c r="M7937" s="2">
        <v>1870</v>
      </c>
      <c r="N7937" t="s">
        <v>4048</v>
      </c>
      <c r="O7937">
        <v>3</v>
      </c>
      <c r="P7937">
        <v>3</v>
      </c>
      <c r="Q7937">
        <v>0</v>
      </c>
      <c r="R7937" t="s">
        <v>4557</v>
      </c>
      <c r="S7937" t="s">
        <v>4558</v>
      </c>
      <c r="T7937" t="s">
        <v>4559</v>
      </c>
      <c r="U7937" t="s">
        <v>4560</v>
      </c>
      <c r="V7937" s="2">
        <v>400</v>
      </c>
      <c r="W7937" t="s">
        <v>4655</v>
      </c>
      <c r="X7937" s="2">
        <v>0</v>
      </c>
      <c r="Y7937">
        <v>20</v>
      </c>
      <c r="Z7937" t="s">
        <v>3884</v>
      </c>
      <c r="AA7937" s="3">
        <v>1.3350092172622601</v>
      </c>
      <c r="AB7937" t="s">
        <v>36691</v>
      </c>
      <c r="AC7937" t="s">
        <v>4562</v>
      </c>
      <c r="AD7937" t="s">
        <v>36690</v>
      </c>
      <c r="AE7937" t="s">
        <v>4655</v>
      </c>
      <c r="AF7937" t="s">
        <v>5201</v>
      </c>
      <c r="AG7937" t="s">
        <v>4564</v>
      </c>
      <c r="AH7937" t="s">
        <v>1350</v>
      </c>
      <c r="AI7937" t="s">
        <v>36692</v>
      </c>
      <c r="AJ7937" t="s">
        <v>36693</v>
      </c>
      <c r="AK7937" t="s">
        <v>36694</v>
      </c>
      <c r="AL7937" s="13" t="s">
        <v>1892</v>
      </c>
      <c r="AM7937" s="14">
        <v>1</v>
      </c>
      <c r="AN7937" s="15" t="s">
        <v>1840</v>
      </c>
    </row>
    <row r="7938" spans="1:40" x14ac:dyDescent="0.3">
      <c r="A7938" s="10" t="str">
        <f>HYPERLINK("http://www.washoecounty.gov/assessor/cama/?parid=534-183-06&amp;CardNumber=1","534-183-06")</f>
        <v>534-183-06</v>
      </c>
      <c r="B7938" t="s">
        <v>4655</v>
      </c>
      <c r="C7938" t="s">
        <v>36695</v>
      </c>
      <c r="D7938" s="1">
        <v>40186</v>
      </c>
      <c r="E7938" s="2">
        <v>233500</v>
      </c>
      <c r="F7938" t="s">
        <v>4567</v>
      </c>
      <c r="G7938" s="17" t="str">
        <f>HYPERLINK("https://www.washoecounty.gov/assessor/cama/?command=sales&amp;parid=53418306","3837697")</f>
        <v>3837697</v>
      </c>
      <c r="H7938" t="s">
        <v>36696</v>
      </c>
      <c r="I7938">
        <v>1993</v>
      </c>
      <c r="J7938">
        <v>1993</v>
      </c>
      <c r="K7938" t="s">
        <v>4554</v>
      </c>
      <c r="L7938" t="s">
        <v>4555</v>
      </c>
      <c r="M7938" s="2">
        <v>1773</v>
      </c>
      <c r="N7938" t="s">
        <v>4048</v>
      </c>
      <c r="O7938">
        <v>3</v>
      </c>
      <c r="P7938">
        <v>2</v>
      </c>
      <c r="Q7938">
        <v>0</v>
      </c>
      <c r="R7938" t="s">
        <v>4557</v>
      </c>
      <c r="S7938" t="s">
        <v>4558</v>
      </c>
      <c r="T7938" t="s">
        <v>4559</v>
      </c>
      <c r="U7938" t="s">
        <v>4560</v>
      </c>
      <c r="V7938" s="2">
        <v>740</v>
      </c>
      <c r="W7938" t="s">
        <v>4655</v>
      </c>
      <c r="X7938" s="2">
        <v>0</v>
      </c>
      <c r="Y7938">
        <v>20</v>
      </c>
      <c r="Z7938" t="s">
        <v>3884</v>
      </c>
      <c r="AA7938" s="3">
        <v>2.0090000629425</v>
      </c>
      <c r="AB7938" t="s">
        <v>36697</v>
      </c>
      <c r="AC7938" t="s">
        <v>4562</v>
      </c>
      <c r="AD7938" t="s">
        <v>36695</v>
      </c>
      <c r="AE7938" t="s">
        <v>4655</v>
      </c>
      <c r="AF7938" t="s">
        <v>5201</v>
      </c>
      <c r="AG7938" t="s">
        <v>4564</v>
      </c>
      <c r="AH7938" t="s">
        <v>1350</v>
      </c>
      <c r="AI7938" t="s">
        <v>1835</v>
      </c>
      <c r="AJ7938" t="s">
        <v>36698</v>
      </c>
      <c r="AK7938" t="s">
        <v>36699</v>
      </c>
      <c r="AL7938" s="13" t="s">
        <v>1892</v>
      </c>
      <c r="AM7938" s="14">
        <v>1</v>
      </c>
      <c r="AN7938" s="15" t="s">
        <v>1840</v>
      </c>
    </row>
    <row r="7939" spans="1:40" x14ac:dyDescent="0.3">
      <c r="A7939" s="10" t="str">
        <f>HYPERLINK("http://www.washoecounty.gov/assessor/cama/?parid=534-183-07&amp;CardNumber=1","534-183-07")</f>
        <v>534-183-07</v>
      </c>
      <c r="B7939" t="s">
        <v>4655</v>
      </c>
      <c r="C7939" t="s">
        <v>36700</v>
      </c>
      <c r="D7939" s="1">
        <v>40367</v>
      </c>
      <c r="E7939" s="2">
        <v>225000</v>
      </c>
      <c r="F7939" t="s">
        <v>4567</v>
      </c>
      <c r="G7939" s="17" t="str">
        <f>HYPERLINK("https://www.washoecounty.gov/assessor/cama/?command=sales&amp;parid=53418307","3899608")</f>
        <v>3899608</v>
      </c>
      <c r="H7939" t="s">
        <v>493</v>
      </c>
      <c r="I7939">
        <v>1993</v>
      </c>
      <c r="J7939">
        <v>1993</v>
      </c>
      <c r="K7939" t="s">
        <v>4554</v>
      </c>
      <c r="L7939" t="s">
        <v>3886</v>
      </c>
      <c r="M7939" s="2">
        <v>1870</v>
      </c>
      <c r="N7939" t="s">
        <v>4048</v>
      </c>
      <c r="O7939">
        <v>3</v>
      </c>
      <c r="P7939">
        <v>3</v>
      </c>
      <c r="Q7939">
        <v>0</v>
      </c>
      <c r="R7939" t="s">
        <v>4557</v>
      </c>
      <c r="S7939" t="s">
        <v>4558</v>
      </c>
      <c r="T7939" t="s">
        <v>4559</v>
      </c>
      <c r="U7939" t="s">
        <v>4560</v>
      </c>
      <c r="V7939" s="2">
        <v>400</v>
      </c>
      <c r="W7939" t="s">
        <v>4655</v>
      </c>
      <c r="X7939" s="2">
        <v>0</v>
      </c>
      <c r="Y7939">
        <v>20</v>
      </c>
      <c r="Z7939" t="s">
        <v>3884</v>
      </c>
      <c r="AA7939" s="3">
        <v>1.8239898681640601</v>
      </c>
      <c r="AB7939" t="s">
        <v>36701</v>
      </c>
      <c r="AC7939" t="s">
        <v>4562</v>
      </c>
      <c r="AD7939" t="s">
        <v>36702</v>
      </c>
      <c r="AE7939" t="s">
        <v>4655</v>
      </c>
      <c r="AF7939" t="s">
        <v>5201</v>
      </c>
      <c r="AG7939" t="s">
        <v>4564</v>
      </c>
      <c r="AH7939" t="s">
        <v>1605</v>
      </c>
      <c r="AI7939" t="s">
        <v>36703</v>
      </c>
      <c r="AJ7939" t="s">
        <v>36704</v>
      </c>
      <c r="AK7939" t="s">
        <v>36705</v>
      </c>
      <c r="AL7939" s="13" t="s">
        <v>1892</v>
      </c>
      <c r="AM7939" s="14">
        <v>1</v>
      </c>
      <c r="AN7939" s="15" t="s">
        <v>1840</v>
      </c>
    </row>
    <row r="7940" spans="1:40" x14ac:dyDescent="0.3">
      <c r="A7940" s="10" t="str">
        <f>HYPERLINK("http://www.washoecounty.gov/assessor/cama/?parid=534-191-01&amp;CardNumber=1","534-191-01")</f>
        <v>534-191-01</v>
      </c>
      <c r="B7940" t="s">
        <v>4655</v>
      </c>
      <c r="C7940" t="s">
        <v>36706</v>
      </c>
      <c r="D7940" s="1">
        <v>40479</v>
      </c>
      <c r="E7940" s="2">
        <v>198500</v>
      </c>
      <c r="F7940" t="s">
        <v>4567</v>
      </c>
      <c r="G7940" s="17" t="str">
        <f>HYPERLINK("https://www.washoecounty.gov/assessor/cama/?command=sales&amp;parid=53419101","3937691")</f>
        <v>3937691</v>
      </c>
      <c r="H7940" t="s">
        <v>36707</v>
      </c>
      <c r="I7940">
        <v>1994</v>
      </c>
      <c r="J7940">
        <v>1994</v>
      </c>
      <c r="K7940" t="s">
        <v>4554</v>
      </c>
      <c r="L7940" t="s">
        <v>4555</v>
      </c>
      <c r="M7940" s="2">
        <v>1348</v>
      </c>
      <c r="N7940" t="s">
        <v>5280</v>
      </c>
      <c r="O7940">
        <v>3</v>
      </c>
      <c r="P7940">
        <v>2</v>
      </c>
      <c r="Q7940">
        <v>0</v>
      </c>
      <c r="R7940" t="s">
        <v>5281</v>
      </c>
      <c r="S7940" t="s">
        <v>4898</v>
      </c>
      <c r="T7940" t="s">
        <v>2704</v>
      </c>
      <c r="U7940" t="s">
        <v>4560</v>
      </c>
      <c r="V7940" s="2">
        <v>436</v>
      </c>
      <c r="W7940" t="s">
        <v>4655</v>
      </c>
      <c r="X7940" s="2">
        <v>0</v>
      </c>
      <c r="Y7940">
        <v>20</v>
      </c>
      <c r="Z7940" t="s">
        <v>3884</v>
      </c>
      <c r="AA7940" s="3">
        <v>1.6620063781738199</v>
      </c>
      <c r="AB7940" t="s">
        <v>36708</v>
      </c>
      <c r="AC7940" t="s">
        <v>4562</v>
      </c>
      <c r="AD7940" t="s">
        <v>36706</v>
      </c>
      <c r="AE7940" t="s">
        <v>4655</v>
      </c>
      <c r="AF7940" t="s">
        <v>5201</v>
      </c>
      <c r="AG7940" t="s">
        <v>4564</v>
      </c>
      <c r="AH7940" t="s">
        <v>1350</v>
      </c>
      <c r="AI7940" t="s">
        <v>36709</v>
      </c>
      <c r="AJ7940" t="s">
        <v>36710</v>
      </c>
      <c r="AK7940" t="s">
        <v>36711</v>
      </c>
      <c r="AL7940" s="13" t="s">
        <v>1892</v>
      </c>
      <c r="AM7940">
        <v>1</v>
      </c>
      <c r="AN7940" s="15" t="s">
        <v>1840</v>
      </c>
    </row>
    <row r="7941" spans="1:40" x14ac:dyDescent="0.3">
      <c r="A7941" s="10" t="str">
        <f>HYPERLINK("http://www.washoecounty.gov/assessor/cama/?parid=534-193-04&amp;CardNumber=1","534-193-04")</f>
        <v>534-193-04</v>
      </c>
      <c r="B7941" t="s">
        <v>4655</v>
      </c>
      <c r="C7941" t="s">
        <v>36712</v>
      </c>
      <c r="D7941" s="1">
        <v>40357</v>
      </c>
      <c r="E7941" s="2">
        <v>232000</v>
      </c>
      <c r="F7941" t="s">
        <v>4567</v>
      </c>
      <c r="G7941" s="17" t="str">
        <f>HYPERLINK("https://www.washoecounty.gov/assessor/cama/?command=sales&amp;parid=53419304","3896018")</f>
        <v>3896018</v>
      </c>
      <c r="H7941" t="s">
        <v>36707</v>
      </c>
      <c r="I7941">
        <v>1994</v>
      </c>
      <c r="J7941">
        <v>1994</v>
      </c>
      <c r="K7941" t="s">
        <v>4554</v>
      </c>
      <c r="L7941" t="s">
        <v>4555</v>
      </c>
      <c r="M7941" s="2">
        <v>1773</v>
      </c>
      <c r="N7941" t="s">
        <v>5280</v>
      </c>
      <c r="O7941">
        <v>3</v>
      </c>
      <c r="P7941">
        <v>2</v>
      </c>
      <c r="Q7941">
        <v>0</v>
      </c>
      <c r="R7941" t="s">
        <v>4557</v>
      </c>
      <c r="S7941" t="s">
        <v>4898</v>
      </c>
      <c r="T7941" t="s">
        <v>2704</v>
      </c>
      <c r="U7941" t="s">
        <v>4560</v>
      </c>
      <c r="V7941" s="2">
        <v>560</v>
      </c>
      <c r="W7941" t="s">
        <v>4655</v>
      </c>
      <c r="X7941" s="2">
        <v>0</v>
      </c>
      <c r="Y7941">
        <v>20</v>
      </c>
      <c r="Z7941" t="s">
        <v>3884</v>
      </c>
      <c r="AA7941" s="3">
        <v>1.8949954509735101</v>
      </c>
      <c r="AB7941" t="s">
        <v>36713</v>
      </c>
      <c r="AC7941" t="s">
        <v>4562</v>
      </c>
      <c r="AD7941" t="s">
        <v>36712</v>
      </c>
      <c r="AE7941" t="s">
        <v>4655</v>
      </c>
      <c r="AF7941" t="s">
        <v>5201</v>
      </c>
      <c r="AG7941" t="s">
        <v>4564</v>
      </c>
      <c r="AH7941" t="s">
        <v>1350</v>
      </c>
      <c r="AI7941" t="s">
        <v>36714</v>
      </c>
      <c r="AJ7941" t="s">
        <v>36715</v>
      </c>
      <c r="AK7941" t="s">
        <v>36716</v>
      </c>
      <c r="AL7941" s="13" t="s">
        <v>1892</v>
      </c>
      <c r="AM7941" s="14">
        <v>1</v>
      </c>
      <c r="AN7941" s="15" t="s">
        <v>1840</v>
      </c>
    </row>
    <row r="7942" spans="1:40" x14ac:dyDescent="0.3">
      <c r="A7942" s="10" t="str">
        <f>HYPERLINK("http://www.washoecounty.gov/assessor/cama/?parid=534-201-03&amp;CardNumber=1","534-201-03")</f>
        <v>534-201-03</v>
      </c>
      <c r="B7942" t="s">
        <v>4655</v>
      </c>
      <c r="C7942" t="s">
        <v>36717</v>
      </c>
      <c r="D7942" s="1">
        <v>40256</v>
      </c>
      <c r="E7942" s="2">
        <v>325000</v>
      </c>
      <c r="F7942" t="s">
        <v>4567</v>
      </c>
      <c r="G7942" s="17" t="str">
        <f>HYPERLINK("https://www.washoecounty.gov/assessor/cama/?command=sales&amp;parid=53420103","3861503")</f>
        <v>3861503</v>
      </c>
      <c r="H7942" t="s">
        <v>36718</v>
      </c>
      <c r="I7942">
        <v>1993</v>
      </c>
      <c r="J7942">
        <v>1993</v>
      </c>
      <c r="K7942" t="s">
        <v>4554</v>
      </c>
      <c r="L7942" t="s">
        <v>4555</v>
      </c>
      <c r="M7942" s="2">
        <v>2320</v>
      </c>
      <c r="N7942" t="s">
        <v>4048</v>
      </c>
      <c r="O7942">
        <v>4</v>
      </c>
      <c r="P7942">
        <v>2</v>
      </c>
      <c r="Q7942">
        <v>1</v>
      </c>
      <c r="R7942" t="s">
        <v>5281</v>
      </c>
      <c r="S7942" t="s">
        <v>4558</v>
      </c>
      <c r="T7942" t="s">
        <v>4559</v>
      </c>
      <c r="U7942" t="s">
        <v>4560</v>
      </c>
      <c r="V7942" s="2">
        <v>802</v>
      </c>
      <c r="W7942" t="s">
        <v>4655</v>
      </c>
      <c r="X7942" s="2">
        <v>0</v>
      </c>
      <c r="Y7942">
        <v>20</v>
      </c>
      <c r="Z7942" t="s">
        <v>3884</v>
      </c>
      <c r="AA7942" s="3">
        <v>0.56000918149948098</v>
      </c>
      <c r="AB7942" t="s">
        <v>36719</v>
      </c>
      <c r="AC7942" t="s">
        <v>4562</v>
      </c>
      <c r="AD7942" t="s">
        <v>36717</v>
      </c>
      <c r="AE7942" t="s">
        <v>4655</v>
      </c>
      <c r="AF7942" t="s">
        <v>5201</v>
      </c>
      <c r="AG7942" t="s">
        <v>4564</v>
      </c>
      <c r="AH7942" t="s">
        <v>1350</v>
      </c>
      <c r="AI7942" t="s">
        <v>36720</v>
      </c>
      <c r="AJ7942" t="s">
        <v>36721</v>
      </c>
      <c r="AK7942" t="s">
        <v>36722</v>
      </c>
      <c r="AL7942" s="13" t="s">
        <v>1892</v>
      </c>
      <c r="AM7942" s="14">
        <v>1</v>
      </c>
      <c r="AN7942" s="15" t="s">
        <v>1840</v>
      </c>
    </row>
    <row r="7943" spans="1:40" x14ac:dyDescent="0.3">
      <c r="A7943" s="10" t="str">
        <f>HYPERLINK("http://www.washoecounty.gov/assessor/cama/?parid=534-211-02&amp;CardNumber=1","534-211-02")</f>
        <v>534-211-02</v>
      </c>
      <c r="B7943" t="s">
        <v>4655</v>
      </c>
      <c r="C7943" t="s">
        <v>36723</v>
      </c>
      <c r="D7943" s="1">
        <v>40512</v>
      </c>
      <c r="E7943" s="2">
        <v>250000</v>
      </c>
      <c r="F7943" t="s">
        <v>4553</v>
      </c>
      <c r="G7943" s="17" t="str">
        <f>HYPERLINK("https://www.washoecounty.gov/assessor/cama/?command=sales&amp;parid=53421102","3947785")</f>
        <v>3947785</v>
      </c>
      <c r="H7943" t="s">
        <v>2502</v>
      </c>
      <c r="I7943">
        <v>1993</v>
      </c>
      <c r="J7943">
        <v>1993</v>
      </c>
      <c r="K7943" t="s">
        <v>4554</v>
      </c>
      <c r="L7943" t="s">
        <v>4555</v>
      </c>
      <c r="M7943" s="2">
        <v>2465</v>
      </c>
      <c r="N7943" t="s">
        <v>5280</v>
      </c>
      <c r="O7943">
        <v>4</v>
      </c>
      <c r="P7943">
        <v>3</v>
      </c>
      <c r="Q7943">
        <v>0</v>
      </c>
      <c r="R7943" t="s">
        <v>5281</v>
      </c>
      <c r="S7943" t="s">
        <v>4558</v>
      </c>
      <c r="T7943" t="s">
        <v>4559</v>
      </c>
      <c r="U7943" t="s">
        <v>4560</v>
      </c>
      <c r="V7943" s="2">
        <v>768</v>
      </c>
      <c r="W7943" t="s">
        <v>4655</v>
      </c>
      <c r="X7943" s="2">
        <v>0</v>
      </c>
      <c r="Y7943">
        <v>20</v>
      </c>
      <c r="Z7943" t="s">
        <v>3884</v>
      </c>
      <c r="AA7943" s="3">
        <v>1.11299359798431</v>
      </c>
      <c r="AB7943" t="s">
        <v>36724</v>
      </c>
      <c r="AC7943" t="s">
        <v>4562</v>
      </c>
      <c r="AD7943" t="s">
        <v>36723</v>
      </c>
      <c r="AE7943" t="s">
        <v>4655</v>
      </c>
      <c r="AF7943" t="s">
        <v>5201</v>
      </c>
      <c r="AG7943" t="s">
        <v>4564</v>
      </c>
      <c r="AH7943" t="s">
        <v>1350</v>
      </c>
      <c r="AI7943" t="s">
        <v>4903</v>
      </c>
      <c r="AJ7943" t="s">
        <v>36725</v>
      </c>
      <c r="AK7943" t="s">
        <v>36726</v>
      </c>
      <c r="AL7943" s="13" t="s">
        <v>1892</v>
      </c>
      <c r="AM7943">
        <v>1</v>
      </c>
      <c r="AN7943" s="15" t="s">
        <v>3479</v>
      </c>
    </row>
    <row r="7944" spans="1:40" x14ac:dyDescent="0.3">
      <c r="A7944" s="10" t="str">
        <f>HYPERLINK("http://www.washoecounty.gov/assessor/cama/?parid=534-211-05&amp;CardNumber=1","534-211-05")</f>
        <v>534-211-05</v>
      </c>
      <c r="B7944" t="s">
        <v>4655</v>
      </c>
      <c r="C7944" t="s">
        <v>36727</v>
      </c>
      <c r="D7944" s="1">
        <v>40490</v>
      </c>
      <c r="E7944" s="2">
        <v>300000</v>
      </c>
      <c r="F7944" t="s">
        <v>4567</v>
      </c>
      <c r="G7944" s="17" t="str">
        <f>HYPERLINK("https://www.washoecounty.gov/assessor/cama/?command=sales&amp;parid=53421105","3940946")</f>
        <v>3940946</v>
      </c>
      <c r="H7944" t="s">
        <v>2502</v>
      </c>
      <c r="I7944">
        <v>1993</v>
      </c>
      <c r="J7944">
        <v>1993</v>
      </c>
      <c r="K7944" t="s">
        <v>4554</v>
      </c>
      <c r="L7944" t="s">
        <v>4555</v>
      </c>
      <c r="M7944" s="2">
        <v>2902</v>
      </c>
      <c r="N7944" t="s">
        <v>5280</v>
      </c>
      <c r="O7944">
        <v>4</v>
      </c>
      <c r="P7944">
        <v>3</v>
      </c>
      <c r="Q7944">
        <v>0</v>
      </c>
      <c r="R7944" t="s">
        <v>4557</v>
      </c>
      <c r="S7944" t="s">
        <v>4558</v>
      </c>
      <c r="T7944" t="s">
        <v>4559</v>
      </c>
      <c r="U7944" t="s">
        <v>4560</v>
      </c>
      <c r="V7944" s="2">
        <v>805</v>
      </c>
      <c r="W7944" t="s">
        <v>4655</v>
      </c>
      <c r="X7944" s="2">
        <v>0</v>
      </c>
      <c r="Y7944">
        <v>20</v>
      </c>
      <c r="Z7944" t="s">
        <v>3884</v>
      </c>
      <c r="AA7944" s="3">
        <v>1.3300045728683401</v>
      </c>
      <c r="AB7944" t="s">
        <v>1506</v>
      </c>
      <c r="AC7944" t="s">
        <v>4562</v>
      </c>
      <c r="AD7944" t="s">
        <v>1912</v>
      </c>
      <c r="AE7944" t="s">
        <v>4655</v>
      </c>
      <c r="AF7944" t="s">
        <v>4563</v>
      </c>
      <c r="AG7944" t="s">
        <v>4564</v>
      </c>
      <c r="AH7944">
        <v>89511</v>
      </c>
      <c r="AI7944" t="s">
        <v>36728</v>
      </c>
      <c r="AJ7944" t="s">
        <v>36729</v>
      </c>
      <c r="AK7944" t="s">
        <v>36730</v>
      </c>
      <c r="AL7944" s="13" t="s">
        <v>1892</v>
      </c>
      <c r="AM7944">
        <v>1</v>
      </c>
      <c r="AN7944" s="15" t="s">
        <v>3479</v>
      </c>
    </row>
    <row r="7945" spans="1:40" x14ac:dyDescent="0.3">
      <c r="A7945" s="10" t="str">
        <f>HYPERLINK("http://www.washoecounty.gov/assessor/cama/?parid=534-231-23&amp;CardNumber=1","534-231-23")</f>
        <v>534-231-23</v>
      </c>
      <c r="B7945" t="s">
        <v>4655</v>
      </c>
      <c r="C7945" t="s">
        <v>36731</v>
      </c>
      <c r="D7945" s="1">
        <v>40221</v>
      </c>
      <c r="E7945" s="2">
        <v>275000</v>
      </c>
      <c r="F7945" t="s">
        <v>4567</v>
      </c>
      <c r="G7945" s="17" t="str">
        <f>HYPERLINK("https://www.washoecounty.gov/assessor/cama/?command=sales&amp;parid=53423123","3848962")</f>
        <v>3848962</v>
      </c>
      <c r="H7945" t="s">
        <v>1841</v>
      </c>
      <c r="I7945">
        <v>1993</v>
      </c>
      <c r="J7945">
        <v>1993</v>
      </c>
      <c r="K7945" t="s">
        <v>4554</v>
      </c>
      <c r="L7945" t="s">
        <v>4555</v>
      </c>
      <c r="M7945" s="2">
        <v>2111</v>
      </c>
      <c r="N7945" t="s">
        <v>5280</v>
      </c>
      <c r="O7945">
        <v>3</v>
      </c>
      <c r="P7945">
        <v>2</v>
      </c>
      <c r="Q7945">
        <v>0</v>
      </c>
      <c r="R7945" t="s">
        <v>5281</v>
      </c>
      <c r="S7945" t="s">
        <v>4558</v>
      </c>
      <c r="T7945" t="s">
        <v>4559</v>
      </c>
      <c r="U7945" t="s">
        <v>4560</v>
      </c>
      <c r="V7945" s="2">
        <v>781</v>
      </c>
      <c r="W7945" t="s">
        <v>4655</v>
      </c>
      <c r="X7945" s="2">
        <v>0</v>
      </c>
      <c r="Y7945">
        <v>20</v>
      </c>
      <c r="Z7945" t="s">
        <v>3884</v>
      </c>
      <c r="AA7945" s="3">
        <v>1.01000916957855</v>
      </c>
      <c r="AB7945" t="s">
        <v>36732</v>
      </c>
      <c r="AC7945" t="s">
        <v>4562</v>
      </c>
      <c r="AD7945" t="s">
        <v>36731</v>
      </c>
      <c r="AE7945" t="s">
        <v>4655</v>
      </c>
      <c r="AF7945" t="s">
        <v>5201</v>
      </c>
      <c r="AG7945" t="s">
        <v>4564</v>
      </c>
      <c r="AH7945" t="s">
        <v>1350</v>
      </c>
      <c r="AI7945" t="s">
        <v>36733</v>
      </c>
      <c r="AJ7945" t="s">
        <v>36734</v>
      </c>
      <c r="AK7945" t="s">
        <v>36735</v>
      </c>
      <c r="AL7945" s="13" t="s">
        <v>1892</v>
      </c>
      <c r="AM7945">
        <v>1</v>
      </c>
      <c r="AN7945" s="15" t="s">
        <v>3479</v>
      </c>
    </row>
    <row r="7946" spans="1:40" x14ac:dyDescent="0.3">
      <c r="A7946" s="10" t="str">
        <f>HYPERLINK("http://www.washoecounty.gov/assessor/cama/?parid=534-232-08&amp;CardNumber=1","534-232-08")</f>
        <v>534-232-08</v>
      </c>
      <c r="B7946" t="s">
        <v>4655</v>
      </c>
      <c r="C7946" t="s">
        <v>36736</v>
      </c>
      <c r="D7946" s="1">
        <v>40388</v>
      </c>
      <c r="E7946" s="2">
        <v>309000</v>
      </c>
      <c r="F7946" t="s">
        <v>4567</v>
      </c>
      <c r="G7946" s="17" t="str">
        <f>HYPERLINK("https://www.washoecounty.gov/assessor/cama/?command=sales&amp;parid=53423208","3906660")</f>
        <v>3906660</v>
      </c>
      <c r="H7946" t="s">
        <v>36737</v>
      </c>
      <c r="I7946">
        <v>1993</v>
      </c>
      <c r="J7946">
        <v>1993</v>
      </c>
      <c r="K7946" t="s">
        <v>4554</v>
      </c>
      <c r="L7946" t="s">
        <v>4555</v>
      </c>
      <c r="M7946" s="2">
        <v>2465</v>
      </c>
      <c r="N7946" t="s">
        <v>5280</v>
      </c>
      <c r="O7946">
        <v>4</v>
      </c>
      <c r="P7946">
        <v>3</v>
      </c>
      <c r="Q7946">
        <v>0</v>
      </c>
      <c r="R7946" t="s">
        <v>5281</v>
      </c>
      <c r="S7946" t="s">
        <v>4558</v>
      </c>
      <c r="T7946" t="s">
        <v>4559</v>
      </c>
      <c r="U7946" t="s">
        <v>162</v>
      </c>
      <c r="V7946" s="2">
        <v>1968</v>
      </c>
      <c r="W7946" t="s">
        <v>4655</v>
      </c>
      <c r="X7946" s="2">
        <v>0</v>
      </c>
      <c r="Y7946">
        <v>20</v>
      </c>
      <c r="Z7946" t="s">
        <v>3884</v>
      </c>
      <c r="AA7946" s="3">
        <v>1.0300046205520601</v>
      </c>
      <c r="AB7946" t="s">
        <v>36738</v>
      </c>
      <c r="AC7946" t="s">
        <v>4562</v>
      </c>
      <c r="AD7946" t="s">
        <v>36739</v>
      </c>
      <c r="AE7946" t="s">
        <v>4655</v>
      </c>
      <c r="AF7946" t="s">
        <v>4563</v>
      </c>
      <c r="AG7946" t="s">
        <v>4564</v>
      </c>
      <c r="AH7946">
        <v>89502</v>
      </c>
      <c r="AI7946" t="s">
        <v>36740</v>
      </c>
      <c r="AJ7946" t="s">
        <v>36741</v>
      </c>
      <c r="AK7946" t="s">
        <v>36742</v>
      </c>
      <c r="AL7946" s="13" t="s">
        <v>1892</v>
      </c>
      <c r="AM7946" s="14">
        <v>1</v>
      </c>
      <c r="AN7946" s="15" t="s">
        <v>3479</v>
      </c>
    </row>
    <row r="7947" spans="1:40" x14ac:dyDescent="0.3">
      <c r="A7947" s="10" t="str">
        <f>HYPERLINK("http://www.washoecounty.gov/assessor/cama/?parid=534-232-12&amp;CardNumber=1","534-232-12")</f>
        <v>534-232-12</v>
      </c>
      <c r="B7947" t="s">
        <v>4655</v>
      </c>
      <c r="C7947" t="s">
        <v>4655</v>
      </c>
      <c r="D7947" s="1">
        <v>40528</v>
      </c>
      <c r="E7947" s="2">
        <v>302500</v>
      </c>
      <c r="F7947" t="s">
        <v>4567</v>
      </c>
      <c r="G7947" s="17" t="str">
        <f>HYPERLINK("https://www.washoecounty.gov/assessor/cama/?command=sales&amp;parid=53423212","NOT AVAILABLE ")</f>
        <v xml:space="preserve">NOT AVAILABLE </v>
      </c>
      <c r="H7947" t="s">
        <v>4655</v>
      </c>
      <c r="I7947">
        <v>1993</v>
      </c>
      <c r="J7947">
        <v>1993</v>
      </c>
      <c r="K7947" t="s">
        <v>4554</v>
      </c>
      <c r="L7947" t="s">
        <v>4555</v>
      </c>
      <c r="M7947" s="2">
        <v>2111</v>
      </c>
      <c r="N7947" t="s">
        <v>5280</v>
      </c>
      <c r="O7947">
        <v>3</v>
      </c>
      <c r="P7947">
        <v>2</v>
      </c>
      <c r="Q7947">
        <v>0</v>
      </c>
      <c r="R7947" t="s">
        <v>4557</v>
      </c>
      <c r="S7947" t="s">
        <v>4558</v>
      </c>
      <c r="T7947" t="s">
        <v>4559</v>
      </c>
      <c r="U7947" t="s">
        <v>4560</v>
      </c>
      <c r="V7947" s="2">
        <v>781</v>
      </c>
      <c r="W7947" t="s">
        <v>4655</v>
      </c>
      <c r="X7947" s="2">
        <v>0</v>
      </c>
      <c r="Y7947">
        <v>20</v>
      </c>
      <c r="Z7947" t="s">
        <v>3884</v>
      </c>
      <c r="AA7947" s="3">
        <v>1.6699954271316528</v>
      </c>
      <c r="AB7947" t="s">
        <v>282</v>
      </c>
      <c r="AC7947" t="s">
        <v>4562</v>
      </c>
      <c r="AD7947" t="s">
        <v>283</v>
      </c>
      <c r="AE7947" t="s">
        <v>4655</v>
      </c>
      <c r="AF7947" t="s">
        <v>283</v>
      </c>
      <c r="AG7947" t="s">
        <v>4564</v>
      </c>
      <c r="AH7947" t="s">
        <v>8417</v>
      </c>
      <c r="AI7947" t="s">
        <v>4655</v>
      </c>
      <c r="AJ7947" t="s">
        <v>36743</v>
      </c>
      <c r="AK7947" t="s">
        <v>4655</v>
      </c>
      <c r="AL7947" s="13" t="s">
        <v>1892</v>
      </c>
      <c r="AM7947">
        <v>1</v>
      </c>
      <c r="AN7947" s="15" t="s">
        <v>3479</v>
      </c>
    </row>
    <row r="7948" spans="1:40" x14ac:dyDescent="0.3">
      <c r="A7948" s="10" t="str">
        <f>HYPERLINK("http://www.washoecounty.gov/assessor/cama/?parid=534-241-02&amp;CardNumber=1","534-241-02")</f>
        <v>534-241-02</v>
      </c>
      <c r="B7948" t="s">
        <v>4655</v>
      </c>
      <c r="C7948" t="s">
        <v>36744</v>
      </c>
      <c r="D7948" s="1">
        <v>40479</v>
      </c>
      <c r="E7948" s="2">
        <v>280000</v>
      </c>
      <c r="F7948" t="s">
        <v>4567</v>
      </c>
      <c r="G7948" s="17" t="str">
        <f>HYPERLINK("https://www.washoecounty.gov/assessor/cama/?command=sales&amp;parid=53424102","3937927")</f>
        <v>3937927</v>
      </c>
      <c r="H7948" t="s">
        <v>2502</v>
      </c>
      <c r="I7948">
        <v>1993</v>
      </c>
      <c r="J7948">
        <v>1993</v>
      </c>
      <c r="K7948" t="s">
        <v>4554</v>
      </c>
      <c r="L7948" t="s">
        <v>4555</v>
      </c>
      <c r="M7948" s="2">
        <v>2111</v>
      </c>
      <c r="N7948" t="s">
        <v>5280</v>
      </c>
      <c r="O7948">
        <v>3</v>
      </c>
      <c r="P7948">
        <v>2</v>
      </c>
      <c r="Q7948">
        <v>0</v>
      </c>
      <c r="R7948" t="s">
        <v>4557</v>
      </c>
      <c r="S7948" t="s">
        <v>4558</v>
      </c>
      <c r="T7948" t="s">
        <v>4559</v>
      </c>
      <c r="U7948" t="s">
        <v>4560</v>
      </c>
      <c r="V7948" s="2">
        <v>781</v>
      </c>
      <c r="W7948" t="s">
        <v>4655</v>
      </c>
      <c r="X7948" s="2">
        <v>0</v>
      </c>
      <c r="Y7948">
        <v>20</v>
      </c>
      <c r="Z7948" t="s">
        <v>3884</v>
      </c>
      <c r="AA7948" s="3">
        <v>1.01000916957855</v>
      </c>
      <c r="AB7948" t="s">
        <v>36745</v>
      </c>
      <c r="AC7948" t="s">
        <v>4562</v>
      </c>
      <c r="AD7948" t="s">
        <v>36744</v>
      </c>
      <c r="AE7948" t="s">
        <v>4655</v>
      </c>
      <c r="AF7948" t="s">
        <v>5201</v>
      </c>
      <c r="AG7948" t="s">
        <v>4564</v>
      </c>
      <c r="AH7948" t="s">
        <v>1350</v>
      </c>
      <c r="AI7948" t="s">
        <v>36746</v>
      </c>
      <c r="AJ7948" t="s">
        <v>36747</v>
      </c>
      <c r="AK7948" t="s">
        <v>36748</v>
      </c>
      <c r="AL7948" s="13" t="s">
        <v>1892</v>
      </c>
      <c r="AM7948" s="14">
        <v>1</v>
      </c>
      <c r="AN7948" s="15" t="s">
        <v>3479</v>
      </c>
    </row>
    <row r="7949" spans="1:40" x14ac:dyDescent="0.3">
      <c r="A7949" s="10" t="str">
        <f>HYPERLINK("http://www.washoecounty.gov/assessor/cama/?parid=534-241-08&amp;CardNumber=1","534-241-08")</f>
        <v>534-241-08</v>
      </c>
      <c r="B7949" t="s">
        <v>4655</v>
      </c>
      <c r="C7949" t="s">
        <v>36749</v>
      </c>
      <c r="D7949" s="1">
        <v>40323</v>
      </c>
      <c r="E7949" s="2">
        <v>330000</v>
      </c>
      <c r="F7949" t="s">
        <v>4567</v>
      </c>
      <c r="G7949" s="17" t="str">
        <f>HYPERLINK("https://www.washoecounty.gov/assessor/cama/?command=sales&amp;parid=53424108","3884779")</f>
        <v>3884779</v>
      </c>
      <c r="H7949" t="s">
        <v>2502</v>
      </c>
      <c r="I7949">
        <v>1993</v>
      </c>
      <c r="J7949">
        <v>1993</v>
      </c>
      <c r="K7949" t="s">
        <v>4554</v>
      </c>
      <c r="L7949" t="s">
        <v>4555</v>
      </c>
      <c r="M7949" s="2">
        <v>2465</v>
      </c>
      <c r="N7949" t="s">
        <v>5280</v>
      </c>
      <c r="O7949">
        <v>4</v>
      </c>
      <c r="P7949">
        <v>3</v>
      </c>
      <c r="Q7949">
        <v>0</v>
      </c>
      <c r="R7949" t="s">
        <v>4557</v>
      </c>
      <c r="S7949" t="s">
        <v>4558</v>
      </c>
      <c r="T7949" t="s">
        <v>4559</v>
      </c>
      <c r="U7949" t="s">
        <v>4560</v>
      </c>
      <c r="V7949" s="2">
        <v>768</v>
      </c>
      <c r="W7949" t="s">
        <v>4655</v>
      </c>
      <c r="X7949" s="2">
        <v>0</v>
      </c>
      <c r="Y7949">
        <v>20</v>
      </c>
      <c r="Z7949" t="s">
        <v>3884</v>
      </c>
      <c r="AA7949" s="3">
        <v>1.3410009145736601</v>
      </c>
      <c r="AB7949" t="s">
        <v>36750</v>
      </c>
      <c r="AC7949" t="s">
        <v>4562</v>
      </c>
      <c r="AD7949" t="s">
        <v>36751</v>
      </c>
      <c r="AE7949" t="s">
        <v>4655</v>
      </c>
      <c r="AF7949" t="s">
        <v>5201</v>
      </c>
      <c r="AG7949" t="s">
        <v>4564</v>
      </c>
      <c r="AH7949" t="s">
        <v>1350</v>
      </c>
      <c r="AI7949" t="s">
        <v>36752</v>
      </c>
      <c r="AJ7949" t="s">
        <v>36753</v>
      </c>
      <c r="AK7949" t="s">
        <v>36754</v>
      </c>
      <c r="AL7949" s="13" t="s">
        <v>1892</v>
      </c>
      <c r="AM7949" s="14">
        <v>1</v>
      </c>
      <c r="AN7949" s="15" t="s">
        <v>3479</v>
      </c>
    </row>
    <row r="7950" spans="1:40" x14ac:dyDescent="0.3">
      <c r="A7950" s="10" t="str">
        <f>HYPERLINK("http://www.washoecounty.gov/assessor/cama/?parid=534-263-10&amp;CardNumber=1","534-263-10")</f>
        <v>534-263-10</v>
      </c>
      <c r="B7950" t="s">
        <v>4655</v>
      </c>
      <c r="C7950" t="s">
        <v>36755</v>
      </c>
      <c r="D7950" s="1">
        <v>40438</v>
      </c>
      <c r="E7950" s="2">
        <v>270000</v>
      </c>
      <c r="F7950" t="s">
        <v>4553</v>
      </c>
      <c r="G7950" s="17" t="str">
        <f>HYPERLINK("https://www.washoecounty.gov/assessor/cama/?command=sales&amp;parid=53426310","3923511")</f>
        <v>3923511</v>
      </c>
      <c r="H7950" t="s">
        <v>4692</v>
      </c>
      <c r="I7950">
        <v>1993</v>
      </c>
      <c r="J7950">
        <v>1993</v>
      </c>
      <c r="K7950" t="s">
        <v>4554</v>
      </c>
      <c r="L7950" t="s">
        <v>4555</v>
      </c>
      <c r="M7950" s="2">
        <v>2056</v>
      </c>
      <c r="N7950" t="s">
        <v>5280</v>
      </c>
      <c r="O7950">
        <v>3</v>
      </c>
      <c r="P7950">
        <v>2</v>
      </c>
      <c r="Q7950">
        <v>0</v>
      </c>
      <c r="R7950" t="s">
        <v>4557</v>
      </c>
      <c r="S7950" t="s">
        <v>4558</v>
      </c>
      <c r="T7950" t="s">
        <v>4559</v>
      </c>
      <c r="U7950" t="s">
        <v>4560</v>
      </c>
      <c r="V7950" s="2">
        <v>806</v>
      </c>
      <c r="W7950" t="s">
        <v>4655</v>
      </c>
      <c r="X7950" s="2">
        <v>0</v>
      </c>
      <c r="Y7950">
        <v>20</v>
      </c>
      <c r="Z7950" t="s">
        <v>3884</v>
      </c>
      <c r="AA7950" s="3">
        <v>1.25101006031036</v>
      </c>
      <c r="AB7950" t="s">
        <v>21997</v>
      </c>
      <c r="AC7950" t="s">
        <v>4562</v>
      </c>
      <c r="AD7950" t="s">
        <v>36755</v>
      </c>
      <c r="AE7950" t="s">
        <v>4655</v>
      </c>
      <c r="AF7950" t="s">
        <v>5201</v>
      </c>
      <c r="AG7950" t="s">
        <v>4564</v>
      </c>
      <c r="AH7950" t="s">
        <v>1350</v>
      </c>
      <c r="AI7950" t="s">
        <v>36756</v>
      </c>
      <c r="AJ7950" t="s">
        <v>36757</v>
      </c>
      <c r="AK7950" t="s">
        <v>36758</v>
      </c>
      <c r="AL7950" s="13" t="s">
        <v>1892</v>
      </c>
      <c r="AM7950">
        <v>1</v>
      </c>
      <c r="AN7950" s="15" t="s">
        <v>3479</v>
      </c>
    </row>
    <row r="7951" spans="1:40" x14ac:dyDescent="0.3">
      <c r="A7951" s="10" t="str">
        <f>HYPERLINK("http://www.washoecounty.gov/assessor/cama/?parid=534-272-06&amp;CardNumber=1","534-272-06")</f>
        <v>534-272-06</v>
      </c>
      <c r="B7951" t="s">
        <v>4655</v>
      </c>
      <c r="C7951" t="s">
        <v>36759</v>
      </c>
      <c r="D7951" s="1">
        <v>40541</v>
      </c>
      <c r="E7951" s="2">
        <v>210000</v>
      </c>
      <c r="F7951" t="s">
        <v>4553</v>
      </c>
      <c r="G7951" s="17" t="str">
        <f>HYPERLINK("https://www.washoecounty.gov/assessor/cama/?command=sales&amp;parid=53427206","3958562")</f>
        <v>3958562</v>
      </c>
      <c r="H7951" t="s">
        <v>4692</v>
      </c>
      <c r="I7951">
        <v>1994</v>
      </c>
      <c r="J7951">
        <v>1994</v>
      </c>
      <c r="K7951" t="s">
        <v>4554</v>
      </c>
      <c r="L7951" t="s">
        <v>4555</v>
      </c>
      <c r="M7951" s="2">
        <v>2056</v>
      </c>
      <c r="N7951" t="s">
        <v>5280</v>
      </c>
      <c r="O7951">
        <v>3</v>
      </c>
      <c r="P7951">
        <v>2</v>
      </c>
      <c r="Q7951">
        <v>0</v>
      </c>
      <c r="R7951" t="s">
        <v>5281</v>
      </c>
      <c r="S7951" t="s">
        <v>4558</v>
      </c>
      <c r="T7951" t="s">
        <v>4559</v>
      </c>
      <c r="U7951" t="s">
        <v>4560</v>
      </c>
      <c r="V7951" s="2">
        <v>806</v>
      </c>
      <c r="W7951" t="s">
        <v>4655</v>
      </c>
      <c r="X7951" s="2">
        <v>0</v>
      </c>
      <c r="Y7951">
        <v>20</v>
      </c>
      <c r="Z7951" t="s">
        <v>3884</v>
      </c>
      <c r="AA7951" s="3">
        <v>1.06900823116302</v>
      </c>
      <c r="AB7951" t="s">
        <v>36760</v>
      </c>
      <c r="AC7951" t="s">
        <v>4562</v>
      </c>
      <c r="AD7951" t="s">
        <v>16744</v>
      </c>
      <c r="AE7951" t="s">
        <v>4655</v>
      </c>
      <c r="AF7951" t="s">
        <v>4563</v>
      </c>
      <c r="AG7951" t="s">
        <v>4564</v>
      </c>
      <c r="AH7951">
        <v>89506</v>
      </c>
      <c r="AI7951" t="s">
        <v>4903</v>
      </c>
      <c r="AJ7951" t="s">
        <v>36761</v>
      </c>
      <c r="AK7951" t="s">
        <v>36762</v>
      </c>
      <c r="AL7951" s="13" t="s">
        <v>1892</v>
      </c>
      <c r="AM7951">
        <v>1</v>
      </c>
      <c r="AN7951" s="15" t="s">
        <v>3479</v>
      </c>
    </row>
    <row r="7952" spans="1:40" x14ac:dyDescent="0.3">
      <c r="A7952" s="10" t="str">
        <f>HYPERLINK("http://www.washoecounty.gov/assessor/cama/?parid=534-312-03&amp;CardNumber=1","534-312-03")</f>
        <v>534-312-03</v>
      </c>
      <c r="B7952" t="s">
        <v>4655</v>
      </c>
      <c r="C7952" t="s">
        <v>36763</v>
      </c>
      <c r="D7952" s="1">
        <v>40541</v>
      </c>
      <c r="E7952" s="2">
        <v>300000</v>
      </c>
      <c r="F7952" t="s">
        <v>4567</v>
      </c>
      <c r="G7952" s="17" t="str">
        <f>HYPERLINK("https://www.washoecounty.gov/assessor/cama/?command=sales&amp;parid=53431203","3958639")</f>
        <v>3958639</v>
      </c>
      <c r="H7952" t="s">
        <v>36764</v>
      </c>
      <c r="I7952">
        <v>1997</v>
      </c>
      <c r="J7952">
        <v>1997</v>
      </c>
      <c r="K7952" t="s">
        <v>4554</v>
      </c>
      <c r="L7952" t="s">
        <v>4555</v>
      </c>
      <c r="M7952" s="2">
        <v>2496</v>
      </c>
      <c r="N7952" t="s">
        <v>5280</v>
      </c>
      <c r="O7952">
        <v>3</v>
      </c>
      <c r="P7952">
        <v>2</v>
      </c>
      <c r="Q7952">
        <v>1</v>
      </c>
      <c r="R7952" t="s">
        <v>5281</v>
      </c>
      <c r="S7952" t="s">
        <v>4558</v>
      </c>
      <c r="T7952" t="s">
        <v>2704</v>
      </c>
      <c r="U7952" t="s">
        <v>4560</v>
      </c>
      <c r="V7952" s="2">
        <v>900</v>
      </c>
      <c r="W7952" t="s">
        <v>4655</v>
      </c>
      <c r="X7952" s="2">
        <v>0</v>
      </c>
      <c r="Y7952">
        <v>20</v>
      </c>
      <c r="Z7952" t="s">
        <v>3884</v>
      </c>
      <c r="AA7952" s="3">
        <v>1.1469926834106401</v>
      </c>
      <c r="AB7952" t="s">
        <v>18919</v>
      </c>
      <c r="AC7952" t="s">
        <v>4562</v>
      </c>
      <c r="AD7952" t="s">
        <v>36763</v>
      </c>
      <c r="AE7952" t="s">
        <v>4655</v>
      </c>
      <c r="AF7952" t="s">
        <v>5201</v>
      </c>
      <c r="AG7952" t="s">
        <v>4564</v>
      </c>
      <c r="AH7952" t="s">
        <v>1350</v>
      </c>
      <c r="AI7952" t="s">
        <v>36765</v>
      </c>
      <c r="AJ7952" t="s">
        <v>1050</v>
      </c>
      <c r="AK7952" t="s">
        <v>36766</v>
      </c>
      <c r="AL7952" s="13" t="s">
        <v>1892</v>
      </c>
      <c r="AM7952">
        <v>1</v>
      </c>
      <c r="AN7952" s="15" t="s">
        <v>1840</v>
      </c>
    </row>
    <row r="7953" spans="1:40" x14ac:dyDescent="0.3">
      <c r="A7953" s="10" t="str">
        <f>HYPERLINK("http://www.washoecounty.gov/assessor/cama/?parid=534-333-06&amp;CardNumber=1","534-333-06")</f>
        <v>534-333-06</v>
      </c>
      <c r="B7953" t="s">
        <v>4655</v>
      </c>
      <c r="C7953" t="s">
        <v>36767</v>
      </c>
      <c r="D7953" s="1">
        <v>40354</v>
      </c>
      <c r="E7953" s="2">
        <v>403000</v>
      </c>
      <c r="F7953" t="s">
        <v>4567</v>
      </c>
      <c r="G7953" s="17" t="str">
        <f>HYPERLINK("https://www.washoecounty.gov/assessor/cama/?command=sales&amp;parid=53433306","3895250")</f>
        <v>3895250</v>
      </c>
      <c r="H7953" t="s">
        <v>36768</v>
      </c>
      <c r="I7953">
        <v>1997</v>
      </c>
      <c r="J7953">
        <v>1997</v>
      </c>
      <c r="K7953" t="s">
        <v>4554</v>
      </c>
      <c r="L7953" t="s">
        <v>4555</v>
      </c>
      <c r="M7953" s="2">
        <v>3044</v>
      </c>
      <c r="N7953" t="s">
        <v>5280</v>
      </c>
      <c r="O7953">
        <v>4</v>
      </c>
      <c r="P7953">
        <v>3</v>
      </c>
      <c r="Q7953">
        <v>0</v>
      </c>
      <c r="R7953" t="s">
        <v>5281</v>
      </c>
      <c r="S7953" t="s">
        <v>4558</v>
      </c>
      <c r="T7953" t="s">
        <v>4559</v>
      </c>
      <c r="U7953" t="s">
        <v>4560</v>
      </c>
      <c r="V7953" s="2">
        <v>805</v>
      </c>
      <c r="W7953" t="s">
        <v>4655</v>
      </c>
      <c r="X7953" s="2">
        <v>0</v>
      </c>
      <c r="Y7953">
        <v>20</v>
      </c>
      <c r="Z7953" t="s">
        <v>3884</v>
      </c>
      <c r="AA7953" s="3">
        <v>5.0009999275207502</v>
      </c>
      <c r="AB7953" t="s">
        <v>36769</v>
      </c>
      <c r="AC7953" t="s">
        <v>4562</v>
      </c>
      <c r="AD7953" t="s">
        <v>36767</v>
      </c>
      <c r="AE7953" t="s">
        <v>4655</v>
      </c>
      <c r="AF7953" t="s">
        <v>5201</v>
      </c>
      <c r="AG7953" t="s">
        <v>4564</v>
      </c>
      <c r="AH7953" t="s">
        <v>1350</v>
      </c>
      <c r="AI7953" t="s">
        <v>36770</v>
      </c>
      <c r="AJ7953" t="s">
        <v>4988</v>
      </c>
      <c r="AK7953" t="s">
        <v>36771</v>
      </c>
      <c r="AL7953" s="13" t="s">
        <v>1892</v>
      </c>
      <c r="AM7953">
        <v>1</v>
      </c>
      <c r="AN7953" s="15" t="s">
        <v>3479</v>
      </c>
    </row>
    <row r="7954" spans="1:40" x14ac:dyDescent="0.3">
      <c r="A7954" s="10" t="str">
        <f>HYPERLINK("http://www.washoecounty.gov/assessor/cama/?parid=534-333-12&amp;CardNumber=1","534-333-12")</f>
        <v>534-333-12</v>
      </c>
      <c r="B7954" t="s">
        <v>4655</v>
      </c>
      <c r="C7954" t="s">
        <v>36772</v>
      </c>
      <c r="D7954" s="1">
        <v>40289</v>
      </c>
      <c r="E7954" s="2">
        <v>265000</v>
      </c>
      <c r="F7954" t="s">
        <v>4567</v>
      </c>
      <c r="G7954" s="17" t="str">
        <f>HYPERLINK("https://www.washoecounty.gov/assessor/cama/?command=sales&amp;parid=53433312","3873443")</f>
        <v>3873443</v>
      </c>
      <c r="H7954" t="s">
        <v>4150</v>
      </c>
      <c r="I7954">
        <v>1997</v>
      </c>
      <c r="J7954">
        <v>1997</v>
      </c>
      <c r="K7954" t="s">
        <v>4554</v>
      </c>
      <c r="L7954" t="s">
        <v>4555</v>
      </c>
      <c r="M7954" s="2">
        <v>2056</v>
      </c>
      <c r="N7954" t="s">
        <v>5280</v>
      </c>
      <c r="O7954">
        <v>3</v>
      </c>
      <c r="P7954">
        <v>2</v>
      </c>
      <c r="Q7954">
        <v>0</v>
      </c>
      <c r="R7954" t="s">
        <v>4557</v>
      </c>
      <c r="S7954" t="s">
        <v>4558</v>
      </c>
      <c r="T7954" t="s">
        <v>4559</v>
      </c>
      <c r="U7954" t="s">
        <v>4560</v>
      </c>
      <c r="V7954" s="2">
        <v>806</v>
      </c>
      <c r="W7954" t="s">
        <v>4655</v>
      </c>
      <c r="X7954" s="2">
        <v>0</v>
      </c>
      <c r="Y7954">
        <v>20</v>
      </c>
      <c r="Z7954" t="s">
        <v>3884</v>
      </c>
      <c r="AA7954" s="3">
        <v>1.23999083042144</v>
      </c>
      <c r="AB7954" t="s">
        <v>36773</v>
      </c>
      <c r="AC7954" t="s">
        <v>4562</v>
      </c>
      <c r="AD7954" t="s">
        <v>36774</v>
      </c>
      <c r="AE7954" t="s">
        <v>4655</v>
      </c>
      <c r="AF7954" t="s">
        <v>5499</v>
      </c>
      <c r="AG7954" t="s">
        <v>4564</v>
      </c>
      <c r="AH7954" t="s">
        <v>1350</v>
      </c>
      <c r="AI7954" t="s">
        <v>36775</v>
      </c>
      <c r="AJ7954" t="s">
        <v>4988</v>
      </c>
      <c r="AK7954" t="s">
        <v>36776</v>
      </c>
      <c r="AL7954" s="13" t="s">
        <v>1892</v>
      </c>
      <c r="AM7954" s="14">
        <v>1</v>
      </c>
      <c r="AN7954" s="15" t="s">
        <v>3479</v>
      </c>
    </row>
    <row r="7955" spans="1:40" x14ac:dyDescent="0.3">
      <c r="A7955" s="10" t="str">
        <f>HYPERLINK("http://www.washoecounty.gov/assessor/cama/?parid=534-352-06&amp;CardNumber=1","534-352-06")</f>
        <v>534-352-06</v>
      </c>
      <c r="B7955" t="s">
        <v>4655</v>
      </c>
      <c r="C7955" t="s">
        <v>36777</v>
      </c>
      <c r="D7955" s="1">
        <v>40344</v>
      </c>
      <c r="E7955" s="2">
        <v>235000</v>
      </c>
      <c r="F7955" t="s">
        <v>4567</v>
      </c>
      <c r="G7955" s="17" t="str">
        <f>HYPERLINK("https://www.washoecounty.gov/assessor/cama/?command=sales&amp;parid=53435206","3892106")</f>
        <v>3892106</v>
      </c>
      <c r="H7955" t="s">
        <v>2346</v>
      </c>
      <c r="I7955">
        <v>1997</v>
      </c>
      <c r="J7955">
        <v>1997</v>
      </c>
      <c r="K7955" t="s">
        <v>4554</v>
      </c>
      <c r="L7955" t="s">
        <v>4555</v>
      </c>
      <c r="M7955" s="2">
        <v>1570</v>
      </c>
      <c r="N7955" t="s">
        <v>5280</v>
      </c>
      <c r="O7955">
        <v>3</v>
      </c>
      <c r="P7955">
        <v>2</v>
      </c>
      <c r="Q7955">
        <v>0</v>
      </c>
      <c r="R7955" t="s">
        <v>5281</v>
      </c>
      <c r="S7955" t="s">
        <v>4558</v>
      </c>
      <c r="T7955" t="s">
        <v>2704</v>
      </c>
      <c r="U7955" t="s">
        <v>4560</v>
      </c>
      <c r="V7955" s="2">
        <v>736</v>
      </c>
      <c r="W7955" t="s">
        <v>4655</v>
      </c>
      <c r="X7955" s="2">
        <v>0</v>
      </c>
      <c r="Y7955">
        <v>20</v>
      </c>
      <c r="Z7955" t="s">
        <v>3884</v>
      </c>
      <c r="AA7955" s="3">
        <v>1.00199723243713</v>
      </c>
      <c r="AB7955" t="s">
        <v>36778</v>
      </c>
      <c r="AC7955" t="s">
        <v>4562</v>
      </c>
      <c r="AD7955" t="s">
        <v>36777</v>
      </c>
      <c r="AE7955" t="s">
        <v>4655</v>
      </c>
      <c r="AF7955" t="s">
        <v>5201</v>
      </c>
      <c r="AG7955" t="s">
        <v>4564</v>
      </c>
      <c r="AH7955" t="s">
        <v>1350</v>
      </c>
      <c r="AI7955" t="s">
        <v>36779</v>
      </c>
      <c r="AJ7955" t="s">
        <v>36780</v>
      </c>
      <c r="AK7955" t="s">
        <v>36781</v>
      </c>
      <c r="AL7955" s="13" t="s">
        <v>1892</v>
      </c>
      <c r="AM7955">
        <v>1</v>
      </c>
      <c r="AN7955" s="15" t="s">
        <v>1840</v>
      </c>
    </row>
    <row r="7956" spans="1:40" x14ac:dyDescent="0.3">
      <c r="A7956" s="10" t="str">
        <f>HYPERLINK("http://www.washoecounty.gov/assessor/cama/?parid=534-363-04&amp;CardNumber=1","534-363-04")</f>
        <v>534-363-04</v>
      </c>
      <c r="B7956" t="s">
        <v>4655</v>
      </c>
      <c r="C7956" t="s">
        <v>36782</v>
      </c>
      <c r="D7956" s="1">
        <v>40541</v>
      </c>
      <c r="E7956" s="2">
        <v>185700</v>
      </c>
      <c r="F7956" t="s">
        <v>4553</v>
      </c>
      <c r="G7956" s="17" t="str">
        <f>HYPERLINK("https://www.washoecounty.gov/assessor/cama/?command=sales&amp;parid=53436304","3958485")</f>
        <v>3958485</v>
      </c>
      <c r="H7956" t="s">
        <v>36783</v>
      </c>
      <c r="I7956">
        <v>1998</v>
      </c>
      <c r="J7956">
        <v>1998</v>
      </c>
      <c r="K7956" t="s">
        <v>4554</v>
      </c>
      <c r="L7956" t="s">
        <v>4555</v>
      </c>
      <c r="M7956" s="2">
        <v>1826</v>
      </c>
      <c r="N7956" t="s">
        <v>5280</v>
      </c>
      <c r="O7956">
        <v>3</v>
      </c>
      <c r="P7956">
        <v>2</v>
      </c>
      <c r="Q7956">
        <v>0</v>
      </c>
      <c r="R7956" t="s">
        <v>4557</v>
      </c>
      <c r="S7956" t="s">
        <v>4558</v>
      </c>
      <c r="T7956" t="s">
        <v>2704</v>
      </c>
      <c r="U7956" t="s">
        <v>4560</v>
      </c>
      <c r="V7956" s="2">
        <v>736</v>
      </c>
      <c r="W7956" t="s">
        <v>4655</v>
      </c>
      <c r="X7956" s="2">
        <v>0</v>
      </c>
      <c r="Y7956">
        <v>20</v>
      </c>
      <c r="Z7956" t="s">
        <v>3884</v>
      </c>
      <c r="AA7956" s="3">
        <v>1.1039944887161199</v>
      </c>
      <c r="AB7956" t="s">
        <v>36784</v>
      </c>
      <c r="AC7956" t="s">
        <v>4575</v>
      </c>
      <c r="AD7956" t="s">
        <v>36785</v>
      </c>
      <c r="AE7956" t="s">
        <v>4655</v>
      </c>
      <c r="AF7956" t="s">
        <v>5201</v>
      </c>
      <c r="AG7956" t="s">
        <v>4564</v>
      </c>
      <c r="AH7956" t="s">
        <v>1350</v>
      </c>
      <c r="AI7956" t="s">
        <v>2351</v>
      </c>
      <c r="AJ7956" t="s">
        <v>5060</v>
      </c>
      <c r="AK7956" t="s">
        <v>36786</v>
      </c>
      <c r="AL7956" s="13" t="s">
        <v>1892</v>
      </c>
      <c r="AM7956" s="14">
        <v>1</v>
      </c>
      <c r="AN7956" s="15" t="s">
        <v>1840</v>
      </c>
    </row>
    <row r="7957" spans="1:40" x14ac:dyDescent="0.3">
      <c r="A7957" s="10" t="str">
        <f>HYPERLINK("http://www.washoecounty.gov/assessor/cama/?parid=534-381-03&amp;CardNumber=1","534-381-03")</f>
        <v>534-381-03</v>
      </c>
      <c r="B7957" t="s">
        <v>4655</v>
      </c>
      <c r="C7957" t="s">
        <v>36787</v>
      </c>
      <c r="D7957" s="1">
        <v>40373</v>
      </c>
      <c r="E7957" s="2">
        <v>255000</v>
      </c>
      <c r="F7957" t="s">
        <v>4567</v>
      </c>
      <c r="G7957" s="17" t="str">
        <f>HYPERLINK("https://www.washoecounty.gov/assessor/cama/?command=sales&amp;parid=53438103","3901170")</f>
        <v>3901170</v>
      </c>
      <c r="H7957" t="s">
        <v>1946</v>
      </c>
      <c r="I7957">
        <v>2000</v>
      </c>
      <c r="J7957">
        <v>2000</v>
      </c>
      <c r="K7957" t="s">
        <v>4554</v>
      </c>
      <c r="L7957" t="s">
        <v>4555</v>
      </c>
      <c r="M7957" s="2">
        <v>2106</v>
      </c>
      <c r="N7957" t="s">
        <v>4048</v>
      </c>
      <c r="O7957">
        <v>4</v>
      </c>
      <c r="P7957">
        <v>2</v>
      </c>
      <c r="Q7957">
        <v>1</v>
      </c>
      <c r="R7957" t="s">
        <v>4557</v>
      </c>
      <c r="S7957" t="s">
        <v>4558</v>
      </c>
      <c r="T7957" t="s">
        <v>4559</v>
      </c>
      <c r="U7957" t="s">
        <v>4560</v>
      </c>
      <c r="V7957" s="2">
        <v>812</v>
      </c>
      <c r="W7957" t="s">
        <v>4655</v>
      </c>
      <c r="X7957" s="2">
        <v>0</v>
      </c>
      <c r="Y7957">
        <v>20</v>
      </c>
      <c r="Z7957" t="s">
        <v>3884</v>
      </c>
      <c r="AA7957" s="3">
        <v>0.54600548744201605</v>
      </c>
      <c r="AB7957" t="s">
        <v>36788</v>
      </c>
      <c r="AC7957" t="s">
        <v>4562</v>
      </c>
      <c r="AD7957" t="s">
        <v>36789</v>
      </c>
      <c r="AE7957" t="s">
        <v>4655</v>
      </c>
      <c r="AF7957" t="s">
        <v>36790</v>
      </c>
      <c r="AG7957" t="s">
        <v>4584</v>
      </c>
      <c r="AH7957" t="s">
        <v>36791</v>
      </c>
      <c r="AI7957" t="s">
        <v>36792</v>
      </c>
      <c r="AJ7957" t="s">
        <v>1947</v>
      </c>
      <c r="AK7957" t="s">
        <v>36793</v>
      </c>
      <c r="AL7957" s="13" t="s">
        <v>1892</v>
      </c>
      <c r="AM7957">
        <v>1</v>
      </c>
      <c r="AN7957" s="15" t="s">
        <v>1948</v>
      </c>
    </row>
    <row r="7958" spans="1:40" x14ac:dyDescent="0.3">
      <c r="A7958" s="10" t="str">
        <f>HYPERLINK("http://www.washoecounty.gov/assessor/cama/?parid=534-381-12&amp;CardNumber=1","534-381-12")</f>
        <v>534-381-12</v>
      </c>
      <c r="B7958" t="s">
        <v>4655</v>
      </c>
      <c r="C7958" t="s">
        <v>36794</v>
      </c>
      <c r="D7958" s="1">
        <v>40267</v>
      </c>
      <c r="E7958" s="2">
        <v>228900</v>
      </c>
      <c r="F7958" t="s">
        <v>4567</v>
      </c>
      <c r="G7958" s="17" t="str">
        <f>HYPERLINK("https://www.washoecounty.gov/assessor/cama/?command=sales&amp;parid=53438112","3865374")</f>
        <v>3865374</v>
      </c>
      <c r="H7958" t="s">
        <v>1946</v>
      </c>
      <c r="I7958">
        <v>2002</v>
      </c>
      <c r="J7958">
        <v>2002</v>
      </c>
      <c r="K7958" t="s">
        <v>4554</v>
      </c>
      <c r="L7958" t="s">
        <v>4555</v>
      </c>
      <c r="M7958" s="2">
        <v>2030</v>
      </c>
      <c r="N7958" t="s">
        <v>4048</v>
      </c>
      <c r="O7958">
        <v>4</v>
      </c>
      <c r="P7958">
        <v>2</v>
      </c>
      <c r="Q7958">
        <v>0</v>
      </c>
      <c r="R7958" t="s">
        <v>4557</v>
      </c>
      <c r="S7958" t="s">
        <v>4558</v>
      </c>
      <c r="T7958" t="s">
        <v>4559</v>
      </c>
      <c r="U7958" t="s">
        <v>4560</v>
      </c>
      <c r="V7958" s="2">
        <v>957</v>
      </c>
      <c r="W7958" t="s">
        <v>4655</v>
      </c>
      <c r="X7958" s="2">
        <v>0</v>
      </c>
      <c r="Y7958">
        <v>20</v>
      </c>
      <c r="Z7958" t="s">
        <v>3884</v>
      </c>
      <c r="AA7958" s="3">
        <v>0.50500458478927601</v>
      </c>
      <c r="AB7958" t="s">
        <v>36795</v>
      </c>
      <c r="AC7958" t="s">
        <v>4562</v>
      </c>
      <c r="AD7958" t="s">
        <v>36794</v>
      </c>
      <c r="AE7958" t="s">
        <v>4655</v>
      </c>
      <c r="AF7958" t="s">
        <v>5201</v>
      </c>
      <c r="AG7958" t="s">
        <v>4564</v>
      </c>
      <c r="AH7958" t="s">
        <v>1350</v>
      </c>
      <c r="AI7958" t="s">
        <v>4655</v>
      </c>
      <c r="AJ7958" t="s">
        <v>1947</v>
      </c>
      <c r="AK7958" t="s">
        <v>36796</v>
      </c>
      <c r="AL7958" s="13" t="s">
        <v>1892</v>
      </c>
      <c r="AM7958" s="14">
        <v>1</v>
      </c>
      <c r="AN7958" s="15" t="s">
        <v>1948</v>
      </c>
    </row>
    <row r="7959" spans="1:40" x14ac:dyDescent="0.3">
      <c r="A7959" s="10" t="str">
        <f>HYPERLINK("http://www.washoecounty.gov/assessor/cama/?parid=534-381-19&amp;CardNumber=1","534-381-19")</f>
        <v>534-381-19</v>
      </c>
      <c r="B7959" t="s">
        <v>4655</v>
      </c>
      <c r="C7959" t="s">
        <v>36797</v>
      </c>
      <c r="D7959" s="1">
        <v>40241</v>
      </c>
      <c r="E7959" s="2">
        <v>242550</v>
      </c>
      <c r="F7959" t="s">
        <v>4553</v>
      </c>
      <c r="G7959" s="17" t="str">
        <f>HYPERLINK("https://www.washoecounty.gov/assessor/cama/?command=sales&amp;parid=53438119","3855817")</f>
        <v>3855817</v>
      </c>
      <c r="H7959" t="s">
        <v>1946</v>
      </c>
      <c r="I7959">
        <v>2002</v>
      </c>
      <c r="J7959">
        <v>2002</v>
      </c>
      <c r="K7959" t="s">
        <v>4554</v>
      </c>
      <c r="L7959" t="s">
        <v>4555</v>
      </c>
      <c r="M7959" s="2">
        <v>2577</v>
      </c>
      <c r="N7959" t="s">
        <v>3147</v>
      </c>
      <c r="O7959">
        <v>4</v>
      </c>
      <c r="P7959">
        <v>2</v>
      </c>
      <c r="Q7959">
        <v>1</v>
      </c>
      <c r="R7959" t="s">
        <v>4557</v>
      </c>
      <c r="S7959" t="s">
        <v>4898</v>
      </c>
      <c r="T7959" t="s">
        <v>4559</v>
      </c>
      <c r="U7959" t="s">
        <v>4560</v>
      </c>
      <c r="V7959" s="2">
        <v>851</v>
      </c>
      <c r="W7959" t="s">
        <v>4655</v>
      </c>
      <c r="X7959" s="2">
        <v>0</v>
      </c>
      <c r="Y7959">
        <v>20</v>
      </c>
      <c r="Z7959" t="s">
        <v>3884</v>
      </c>
      <c r="AA7959" s="3">
        <v>0.50500458478927601</v>
      </c>
      <c r="AB7959" t="s">
        <v>36798</v>
      </c>
      <c r="AC7959" t="s">
        <v>4575</v>
      </c>
      <c r="AD7959" t="s">
        <v>36799</v>
      </c>
      <c r="AE7959" t="s">
        <v>4655</v>
      </c>
      <c r="AF7959" t="s">
        <v>4809</v>
      </c>
      <c r="AG7959" t="s">
        <v>4564</v>
      </c>
      <c r="AH7959" t="s">
        <v>1350</v>
      </c>
      <c r="AI7959" t="s">
        <v>687</v>
      </c>
      <c r="AJ7959" t="s">
        <v>1947</v>
      </c>
      <c r="AK7959" t="s">
        <v>36800</v>
      </c>
      <c r="AL7959" s="13" t="s">
        <v>1892</v>
      </c>
      <c r="AM7959" s="14">
        <v>1</v>
      </c>
      <c r="AN7959" s="15" t="s">
        <v>1948</v>
      </c>
    </row>
    <row r="7960" spans="1:40" x14ac:dyDescent="0.3">
      <c r="A7960" s="10" t="str">
        <f>HYPERLINK("http://www.washoecounty.gov/assessor/cama/?parid=534-392-03&amp;CardNumber=1","534-392-03")</f>
        <v>534-392-03</v>
      </c>
      <c r="B7960" t="s">
        <v>4655</v>
      </c>
      <c r="C7960" t="s">
        <v>36801</v>
      </c>
      <c r="D7960" s="1">
        <v>40319</v>
      </c>
      <c r="E7960" s="2">
        <v>235000</v>
      </c>
      <c r="F7960" t="s">
        <v>4567</v>
      </c>
      <c r="G7960" s="17" t="str">
        <f>HYPERLINK("https://www.washoecounty.gov/assessor/cama/?command=sales&amp;parid=53439203","3883920")</f>
        <v>3883920</v>
      </c>
      <c r="H7960" t="s">
        <v>2819</v>
      </c>
      <c r="I7960">
        <v>2003</v>
      </c>
      <c r="J7960">
        <v>2003</v>
      </c>
      <c r="K7960" t="s">
        <v>4554</v>
      </c>
      <c r="L7960" t="s">
        <v>4555</v>
      </c>
      <c r="M7960" s="2">
        <v>2107</v>
      </c>
      <c r="N7960" t="s">
        <v>4048</v>
      </c>
      <c r="O7960">
        <v>3</v>
      </c>
      <c r="P7960">
        <v>2</v>
      </c>
      <c r="Q7960">
        <v>1</v>
      </c>
      <c r="R7960" t="s">
        <v>5281</v>
      </c>
      <c r="S7960" t="s">
        <v>4558</v>
      </c>
      <c r="T7960" t="s">
        <v>4559</v>
      </c>
      <c r="U7960" t="s">
        <v>4560</v>
      </c>
      <c r="V7960" s="2">
        <v>812</v>
      </c>
      <c r="W7960" t="s">
        <v>4655</v>
      </c>
      <c r="X7960" s="2">
        <v>0</v>
      </c>
      <c r="Y7960">
        <v>20</v>
      </c>
      <c r="Z7960" t="s">
        <v>3884</v>
      </c>
      <c r="AA7960" s="3">
        <v>1.0059916973114</v>
      </c>
      <c r="AB7960" t="s">
        <v>36802</v>
      </c>
      <c r="AC7960" t="s">
        <v>4562</v>
      </c>
      <c r="AD7960" t="s">
        <v>36801</v>
      </c>
      <c r="AE7960" t="s">
        <v>4655</v>
      </c>
      <c r="AF7960" t="s">
        <v>5201</v>
      </c>
      <c r="AG7960" t="s">
        <v>4564</v>
      </c>
      <c r="AH7960" t="s">
        <v>1350</v>
      </c>
      <c r="AI7960" t="s">
        <v>36803</v>
      </c>
      <c r="AJ7960" t="s">
        <v>2820</v>
      </c>
      <c r="AK7960" t="s">
        <v>36804</v>
      </c>
      <c r="AL7960" s="13" t="s">
        <v>1892</v>
      </c>
      <c r="AM7960">
        <v>1</v>
      </c>
      <c r="AN7960" s="15" t="s">
        <v>1948</v>
      </c>
    </row>
    <row r="7961" spans="1:40" x14ac:dyDescent="0.3">
      <c r="A7961" s="10" t="str">
        <f>HYPERLINK("http://www.washoecounty.gov/assessor/cama/?parid=534-441-08&amp;CardNumber=1","534-441-08")</f>
        <v>534-441-08</v>
      </c>
      <c r="B7961" t="s">
        <v>4655</v>
      </c>
      <c r="C7961" t="s">
        <v>36805</v>
      </c>
      <c r="D7961" s="1">
        <v>40323</v>
      </c>
      <c r="E7961" s="2">
        <v>170000</v>
      </c>
      <c r="F7961" t="s">
        <v>4553</v>
      </c>
      <c r="G7961" s="17" t="str">
        <f>HYPERLINK("https://www.washoecounty.gov/assessor/cama/?command=sales&amp;parid=53444108","3884789")</f>
        <v>3884789</v>
      </c>
      <c r="H7961" t="s">
        <v>3392</v>
      </c>
      <c r="I7961">
        <v>2008</v>
      </c>
      <c r="J7961">
        <v>2008</v>
      </c>
      <c r="K7961" t="s">
        <v>4554</v>
      </c>
      <c r="L7961" t="s">
        <v>4555</v>
      </c>
      <c r="M7961" s="2">
        <v>2796</v>
      </c>
      <c r="N7961" t="s">
        <v>5280</v>
      </c>
      <c r="O7961">
        <v>4</v>
      </c>
      <c r="P7961">
        <v>3</v>
      </c>
      <c r="Q7961">
        <v>0</v>
      </c>
      <c r="R7961" t="s">
        <v>5281</v>
      </c>
      <c r="S7961" t="s">
        <v>4558</v>
      </c>
      <c r="T7961" t="s">
        <v>4559</v>
      </c>
      <c r="U7961" t="s">
        <v>162</v>
      </c>
      <c r="V7961" s="2">
        <v>2543</v>
      </c>
      <c r="W7961" t="s">
        <v>4655</v>
      </c>
      <c r="X7961" s="2">
        <v>0</v>
      </c>
      <c r="Y7961">
        <v>20</v>
      </c>
      <c r="Z7961" t="s">
        <v>3884</v>
      </c>
      <c r="AA7961" s="3">
        <v>0.842998147010803</v>
      </c>
      <c r="AB7961" t="s">
        <v>36806</v>
      </c>
      <c r="AC7961" t="s">
        <v>4562</v>
      </c>
      <c r="AD7961" t="s">
        <v>36807</v>
      </c>
      <c r="AE7961" t="s">
        <v>4655</v>
      </c>
      <c r="AF7961" t="s">
        <v>36808</v>
      </c>
      <c r="AG7961" t="s">
        <v>3674</v>
      </c>
      <c r="AH7961" t="s">
        <v>36809</v>
      </c>
      <c r="AI7961" t="s">
        <v>18</v>
      </c>
      <c r="AJ7961" t="s">
        <v>3393</v>
      </c>
      <c r="AK7961" t="s">
        <v>36810</v>
      </c>
      <c r="AL7961" s="13" t="s">
        <v>1892</v>
      </c>
      <c r="AM7961" s="14">
        <v>1</v>
      </c>
      <c r="AN7961" s="15" t="s">
        <v>3482</v>
      </c>
    </row>
    <row r="7962" spans="1:40" x14ac:dyDescent="0.3">
      <c r="A7962" s="10" t="str">
        <f>HYPERLINK("http://www.washoecounty.gov/assessor/cama/?parid=534-441-08&amp;CardNumber=1","534-441-08")</f>
        <v>534-441-08</v>
      </c>
      <c r="B7962" t="s">
        <v>4655</v>
      </c>
      <c r="C7962" t="s">
        <v>36805</v>
      </c>
      <c r="D7962" s="1">
        <v>40459</v>
      </c>
      <c r="E7962" s="2">
        <v>170000</v>
      </c>
      <c r="F7962" t="s">
        <v>4567</v>
      </c>
      <c r="G7962" s="17" t="str">
        <f>HYPERLINK("https://www.washoecounty.gov/assessor/cama/?command=sales&amp;parid=53444108","3931291")</f>
        <v>3931291</v>
      </c>
      <c r="H7962" t="s">
        <v>3392</v>
      </c>
      <c r="I7962">
        <v>2008</v>
      </c>
      <c r="J7962">
        <v>2008</v>
      </c>
      <c r="K7962" t="s">
        <v>4554</v>
      </c>
      <c r="L7962" t="s">
        <v>4555</v>
      </c>
      <c r="M7962" s="2">
        <v>2796</v>
      </c>
      <c r="N7962" t="s">
        <v>5280</v>
      </c>
      <c r="O7962">
        <v>4</v>
      </c>
      <c r="P7962">
        <v>3</v>
      </c>
      <c r="Q7962">
        <v>0</v>
      </c>
      <c r="R7962" t="s">
        <v>5281</v>
      </c>
      <c r="S7962" t="s">
        <v>4558</v>
      </c>
      <c r="T7962" t="s">
        <v>4559</v>
      </c>
      <c r="U7962" t="s">
        <v>162</v>
      </c>
      <c r="V7962" s="2">
        <v>2543</v>
      </c>
      <c r="W7962" t="s">
        <v>4655</v>
      </c>
      <c r="X7962" s="2">
        <v>0</v>
      </c>
      <c r="Y7962">
        <v>20</v>
      </c>
      <c r="Z7962" t="s">
        <v>3884</v>
      </c>
      <c r="AA7962" s="3">
        <v>0.842998147010803</v>
      </c>
      <c r="AB7962" t="s">
        <v>36806</v>
      </c>
      <c r="AC7962" t="s">
        <v>4562</v>
      </c>
      <c r="AD7962" t="s">
        <v>36807</v>
      </c>
      <c r="AE7962" t="s">
        <v>4655</v>
      </c>
      <c r="AF7962" t="s">
        <v>36808</v>
      </c>
      <c r="AG7962" t="s">
        <v>3674</v>
      </c>
      <c r="AH7962" t="s">
        <v>36809</v>
      </c>
      <c r="AI7962" t="s">
        <v>18</v>
      </c>
      <c r="AJ7962" t="s">
        <v>3393</v>
      </c>
      <c r="AK7962" t="s">
        <v>36810</v>
      </c>
      <c r="AL7962" s="13" t="s">
        <v>1892</v>
      </c>
      <c r="AM7962" s="14">
        <v>1</v>
      </c>
      <c r="AN7962" s="15" t="s">
        <v>3482</v>
      </c>
    </row>
    <row r="7963" spans="1:40" x14ac:dyDescent="0.3">
      <c r="A7963" s="10" t="str">
        <f>HYPERLINK("http://www.washoecounty.gov/assessor/cama/?parid=534-444-02&amp;CardNumber=1","534-444-02")</f>
        <v>534-444-02</v>
      </c>
      <c r="B7963" t="s">
        <v>4655</v>
      </c>
      <c r="C7963" t="s">
        <v>36811</v>
      </c>
      <c r="D7963" s="1">
        <v>40326</v>
      </c>
      <c r="E7963" s="2">
        <v>300000</v>
      </c>
      <c r="F7963" t="s">
        <v>4567</v>
      </c>
      <c r="G7963" s="17" t="str">
        <f>HYPERLINK("https://www.washoecounty.gov/assessor/cama/?command=sales&amp;parid=53444402","3886565")</f>
        <v>3886565</v>
      </c>
      <c r="H7963" t="s">
        <v>3392</v>
      </c>
      <c r="I7963">
        <v>2005</v>
      </c>
      <c r="J7963">
        <v>2005</v>
      </c>
      <c r="K7963" t="s">
        <v>4554</v>
      </c>
      <c r="L7963" t="s">
        <v>4555</v>
      </c>
      <c r="M7963" s="2">
        <v>2553</v>
      </c>
      <c r="N7963" t="s">
        <v>5280</v>
      </c>
      <c r="O7963">
        <v>4</v>
      </c>
      <c r="P7963">
        <v>2</v>
      </c>
      <c r="Q7963">
        <v>1</v>
      </c>
      <c r="R7963" t="s">
        <v>4557</v>
      </c>
      <c r="S7963" t="s">
        <v>4898</v>
      </c>
      <c r="T7963" t="s">
        <v>4559</v>
      </c>
      <c r="U7963" t="s">
        <v>4560</v>
      </c>
      <c r="V7963" s="2">
        <v>744</v>
      </c>
      <c r="W7963" t="s">
        <v>4655</v>
      </c>
      <c r="X7963" s="2">
        <v>0</v>
      </c>
      <c r="Y7963">
        <v>20</v>
      </c>
      <c r="Z7963" t="s">
        <v>3884</v>
      </c>
      <c r="AA7963" s="3">
        <v>0.50961893796920699</v>
      </c>
      <c r="AB7963" t="s">
        <v>36812</v>
      </c>
      <c r="AC7963" t="s">
        <v>4562</v>
      </c>
      <c r="AD7963" t="s">
        <v>36811</v>
      </c>
      <c r="AE7963" t="s">
        <v>4655</v>
      </c>
      <c r="AF7963" t="s">
        <v>5201</v>
      </c>
      <c r="AG7963" t="s">
        <v>4564</v>
      </c>
      <c r="AH7963" t="s">
        <v>1350</v>
      </c>
      <c r="AI7963" t="s">
        <v>36813</v>
      </c>
      <c r="AJ7963" t="s">
        <v>3393</v>
      </c>
      <c r="AK7963" t="s">
        <v>36814</v>
      </c>
      <c r="AL7963" s="13" t="s">
        <v>1892</v>
      </c>
      <c r="AM7963">
        <v>1</v>
      </c>
      <c r="AN7963" s="15" t="s">
        <v>3482</v>
      </c>
    </row>
    <row r="7964" spans="1:40" x14ac:dyDescent="0.3">
      <c r="A7964" s="10" t="str">
        <f>HYPERLINK("http://www.washoecounty.gov/assessor/cama/?parid=534-450-12&amp;CardNumber=1","534-450-12")</f>
        <v>534-450-12</v>
      </c>
      <c r="B7964" t="s">
        <v>4655</v>
      </c>
      <c r="C7964" t="s">
        <v>36815</v>
      </c>
      <c r="D7964" s="1">
        <v>40305</v>
      </c>
      <c r="E7964" s="2">
        <v>993200</v>
      </c>
      <c r="F7964" t="s">
        <v>4553</v>
      </c>
      <c r="G7964" s="17" t="str">
        <f>HYPERLINK("https://www.washoecounty.gov/assessor/cama/?command=sales&amp;parid=53445012","3879235")</f>
        <v>3879235</v>
      </c>
      <c r="H7964" t="s">
        <v>36816</v>
      </c>
      <c r="I7964">
        <v>0</v>
      </c>
      <c r="J7964">
        <v>0</v>
      </c>
      <c r="K7964" t="s">
        <v>4655</v>
      </c>
      <c r="L7964" t="s">
        <v>4655</v>
      </c>
      <c r="M7964" s="2">
        <v>0</v>
      </c>
      <c r="N7964" t="s">
        <v>4655</v>
      </c>
      <c r="O7964">
        <v>0</v>
      </c>
      <c r="P7964">
        <v>0</v>
      </c>
      <c r="Q7964">
        <v>0</v>
      </c>
      <c r="R7964" t="s">
        <v>4655</v>
      </c>
      <c r="S7964" t="s">
        <v>4655</v>
      </c>
      <c r="T7964" t="s">
        <v>4655</v>
      </c>
      <c r="U7964" t="s">
        <v>4655</v>
      </c>
      <c r="V7964" s="2">
        <v>0</v>
      </c>
      <c r="W7964" t="s">
        <v>4655</v>
      </c>
      <c r="X7964" s="2">
        <v>0</v>
      </c>
      <c r="Y7964">
        <v>11</v>
      </c>
      <c r="Z7964" t="s">
        <v>3884</v>
      </c>
      <c r="AA7964" s="3">
        <v>64.584999084472599</v>
      </c>
      <c r="AB7964" t="s">
        <v>36817</v>
      </c>
      <c r="AC7964" t="s">
        <v>4575</v>
      </c>
      <c r="AD7964" t="s">
        <v>36818</v>
      </c>
      <c r="AE7964" t="s">
        <v>36819</v>
      </c>
      <c r="AF7964" t="s">
        <v>3596</v>
      </c>
      <c r="AG7964" t="s">
        <v>4584</v>
      </c>
      <c r="AH7964" t="s">
        <v>8039</v>
      </c>
      <c r="AI7964" t="s">
        <v>2009</v>
      </c>
      <c r="AJ7964" t="s">
        <v>36820</v>
      </c>
      <c r="AK7964" t="s">
        <v>36821</v>
      </c>
      <c r="AL7964" s="13" t="s">
        <v>1892</v>
      </c>
      <c r="AM7964">
        <v>0</v>
      </c>
      <c r="AN7964" s="15" t="s">
        <v>2901</v>
      </c>
    </row>
    <row r="7965" spans="1:40" x14ac:dyDescent="0.3">
      <c r="A7965" s="10" t="str">
        <f>HYPERLINK("http://www.washoecounty.gov/assessor/cama/?parid=534-482-01&amp;CardNumber=1","534-482-01")</f>
        <v>534-482-01</v>
      </c>
      <c r="B7965" t="s">
        <v>4655</v>
      </c>
      <c r="C7965" t="s">
        <v>36822</v>
      </c>
      <c r="D7965" s="1">
        <v>40473</v>
      </c>
      <c r="E7965" s="2">
        <v>322700</v>
      </c>
      <c r="F7965" t="s">
        <v>4567</v>
      </c>
      <c r="G7965" s="17" t="str">
        <f>HYPERLINK("https://www.washoecounty.gov/assessor/cama/?command=sales&amp;parid=53448201","3935673")</f>
        <v>3935673</v>
      </c>
      <c r="H7965" t="s">
        <v>3480</v>
      </c>
      <c r="I7965">
        <v>2006</v>
      </c>
      <c r="J7965">
        <v>2006</v>
      </c>
      <c r="K7965" t="s">
        <v>4554</v>
      </c>
      <c r="L7965" t="s">
        <v>4555</v>
      </c>
      <c r="M7965" s="2">
        <v>2990</v>
      </c>
      <c r="N7965" t="s">
        <v>5280</v>
      </c>
      <c r="O7965">
        <v>4</v>
      </c>
      <c r="P7965">
        <v>2</v>
      </c>
      <c r="Q7965">
        <v>1</v>
      </c>
      <c r="R7965" t="s">
        <v>4557</v>
      </c>
      <c r="S7965" t="s">
        <v>4898</v>
      </c>
      <c r="T7965" t="s">
        <v>4559</v>
      </c>
      <c r="U7965" t="s">
        <v>4560</v>
      </c>
      <c r="V7965" s="2">
        <v>776</v>
      </c>
      <c r="W7965" t="s">
        <v>4655</v>
      </c>
      <c r="X7965" s="2">
        <v>0</v>
      </c>
      <c r="Y7965">
        <v>20</v>
      </c>
      <c r="Z7965" t="s">
        <v>3884</v>
      </c>
      <c r="AA7965" s="3">
        <v>0.50961893796920699</v>
      </c>
      <c r="AB7965" t="s">
        <v>18960</v>
      </c>
      <c r="AC7965" t="s">
        <v>4562</v>
      </c>
      <c r="AD7965" t="s">
        <v>36822</v>
      </c>
      <c r="AE7965" t="s">
        <v>4655</v>
      </c>
      <c r="AF7965" t="s">
        <v>5201</v>
      </c>
      <c r="AG7965" t="s">
        <v>4564</v>
      </c>
      <c r="AH7965" t="s">
        <v>1350</v>
      </c>
      <c r="AI7965" t="s">
        <v>36823</v>
      </c>
      <c r="AJ7965" t="s">
        <v>3481</v>
      </c>
      <c r="AK7965" t="s">
        <v>36824</v>
      </c>
      <c r="AL7965" s="13" t="s">
        <v>1892</v>
      </c>
      <c r="AM7965" s="14">
        <v>1</v>
      </c>
      <c r="AN7965" s="15" t="s">
        <v>3482</v>
      </c>
    </row>
    <row r="7966" spans="1:40" x14ac:dyDescent="0.3">
      <c r="A7966" s="10" t="str">
        <f>HYPERLINK("http://www.washoecounty.gov/assessor/cama/?parid=534-482-08&amp;CardNumber=1","534-482-08")</f>
        <v>534-482-08</v>
      </c>
      <c r="B7966" t="s">
        <v>4655</v>
      </c>
      <c r="C7966" t="s">
        <v>36825</v>
      </c>
      <c r="D7966" s="1">
        <v>40212</v>
      </c>
      <c r="E7966" s="2">
        <v>240260</v>
      </c>
      <c r="F7966" t="s">
        <v>4553</v>
      </c>
      <c r="G7966" s="17" t="str">
        <f>HYPERLINK("https://www.washoecounty.gov/assessor/cama/?command=sales&amp;parid=53448208","3845732")</f>
        <v>3845732</v>
      </c>
      <c r="H7966" t="s">
        <v>3480</v>
      </c>
      <c r="I7966">
        <v>2006</v>
      </c>
      <c r="J7966">
        <v>2006</v>
      </c>
      <c r="K7966" t="s">
        <v>4554</v>
      </c>
      <c r="L7966" t="s">
        <v>4555</v>
      </c>
      <c r="M7966" s="2">
        <v>2292</v>
      </c>
      <c r="N7966" t="s">
        <v>5280</v>
      </c>
      <c r="O7966">
        <v>3</v>
      </c>
      <c r="P7966">
        <v>2</v>
      </c>
      <c r="Q7966">
        <v>1</v>
      </c>
      <c r="R7966" t="s">
        <v>4557</v>
      </c>
      <c r="S7966" t="s">
        <v>4898</v>
      </c>
      <c r="T7966" t="s">
        <v>4559</v>
      </c>
      <c r="U7966" t="s">
        <v>4560</v>
      </c>
      <c r="V7966" s="2">
        <v>818</v>
      </c>
      <c r="W7966" t="s">
        <v>4655</v>
      </c>
      <c r="X7966" s="2">
        <v>0</v>
      </c>
      <c r="Y7966">
        <v>20</v>
      </c>
      <c r="Z7966" t="s">
        <v>3884</v>
      </c>
      <c r="AA7966" s="3">
        <v>0.51843434572219849</v>
      </c>
      <c r="AB7966" t="s">
        <v>36826</v>
      </c>
      <c r="AC7966" t="s">
        <v>4575</v>
      </c>
      <c r="AD7966" t="s">
        <v>36825</v>
      </c>
      <c r="AE7966" t="s">
        <v>4655</v>
      </c>
      <c r="AF7966" t="s">
        <v>5201</v>
      </c>
      <c r="AG7966" t="s">
        <v>5529</v>
      </c>
      <c r="AH7966" t="s">
        <v>1350</v>
      </c>
      <c r="AI7966" t="s">
        <v>36827</v>
      </c>
      <c r="AJ7966" t="s">
        <v>3481</v>
      </c>
      <c r="AK7966" t="s">
        <v>36828</v>
      </c>
      <c r="AL7966" s="13" t="s">
        <v>1892</v>
      </c>
      <c r="AM7966" s="14">
        <v>1</v>
      </c>
      <c r="AN7966" s="15" t="s">
        <v>3482</v>
      </c>
    </row>
    <row r="7967" spans="1:40" x14ac:dyDescent="0.3">
      <c r="A7967" s="10" t="str">
        <f>HYPERLINK("http://www.washoecounty.gov/assessor/cama/?parid=534-491-06&amp;CardNumber=1","534-491-06")</f>
        <v>534-491-06</v>
      </c>
      <c r="B7967" t="s">
        <v>4655</v>
      </c>
      <c r="C7967" t="s">
        <v>36829</v>
      </c>
      <c r="D7967" s="1">
        <v>40532</v>
      </c>
      <c r="E7967" s="2">
        <v>266000</v>
      </c>
      <c r="F7967" t="s">
        <v>4567</v>
      </c>
      <c r="G7967" s="17" t="str">
        <f>HYPERLINK("https://www.washoecounty.gov/assessor/cama/?command=sales&amp;parid=53449106","3955454")</f>
        <v>3955454</v>
      </c>
      <c r="H7967" t="s">
        <v>3480</v>
      </c>
      <c r="I7967">
        <v>2006</v>
      </c>
      <c r="J7967">
        <v>2006</v>
      </c>
      <c r="K7967" t="s">
        <v>4554</v>
      </c>
      <c r="L7967" t="s">
        <v>4555</v>
      </c>
      <c r="M7967" s="2">
        <v>2264</v>
      </c>
      <c r="N7967" t="s">
        <v>5280</v>
      </c>
      <c r="O7967">
        <v>4</v>
      </c>
      <c r="P7967">
        <v>2</v>
      </c>
      <c r="Q7967">
        <v>1</v>
      </c>
      <c r="R7967" t="s">
        <v>5281</v>
      </c>
      <c r="S7967" t="s">
        <v>4558</v>
      </c>
      <c r="T7967" t="s">
        <v>4559</v>
      </c>
      <c r="U7967" t="s">
        <v>162</v>
      </c>
      <c r="V7967" s="2">
        <v>1248</v>
      </c>
      <c r="W7967" t="s">
        <v>4655</v>
      </c>
      <c r="X7967" s="2">
        <v>0</v>
      </c>
      <c r="Y7967">
        <v>20</v>
      </c>
      <c r="Z7967" t="s">
        <v>3884</v>
      </c>
      <c r="AA7967" s="3">
        <v>0.67564278841018599</v>
      </c>
      <c r="AB7967" t="s">
        <v>36830</v>
      </c>
      <c r="AC7967" t="s">
        <v>4562</v>
      </c>
      <c r="AD7967" t="s">
        <v>36829</v>
      </c>
      <c r="AE7967" t="s">
        <v>4655</v>
      </c>
      <c r="AF7967" t="s">
        <v>5201</v>
      </c>
      <c r="AG7967" t="s">
        <v>4564</v>
      </c>
      <c r="AH7967" t="s">
        <v>1350</v>
      </c>
      <c r="AI7967" t="s">
        <v>36831</v>
      </c>
      <c r="AJ7967" t="s">
        <v>3481</v>
      </c>
      <c r="AK7967" t="s">
        <v>36832</v>
      </c>
      <c r="AL7967" s="13" t="s">
        <v>1892</v>
      </c>
      <c r="AM7967" s="14">
        <v>1</v>
      </c>
      <c r="AN7967" s="15" t="s">
        <v>3482</v>
      </c>
    </row>
    <row r="7968" spans="1:40" x14ac:dyDescent="0.3">
      <c r="A7968" s="10" t="str">
        <f>HYPERLINK("http://www.washoecounty.gov/assessor/cama/?parid=534-492-04&amp;CardNumber=1","534-492-04")</f>
        <v>534-492-04</v>
      </c>
      <c r="B7968" t="s">
        <v>4655</v>
      </c>
      <c r="C7968" t="s">
        <v>36833</v>
      </c>
      <c r="D7968" s="1">
        <v>40273</v>
      </c>
      <c r="E7968" s="2">
        <v>259000</v>
      </c>
      <c r="F7968" t="s">
        <v>4567</v>
      </c>
      <c r="G7968" s="17" t="str">
        <f>HYPERLINK("https://www.washoecounty.gov/assessor/cama/?command=sales&amp;parid=53449204","3867832")</f>
        <v>3867832</v>
      </c>
      <c r="H7968" t="s">
        <v>3480</v>
      </c>
      <c r="I7968">
        <v>2006</v>
      </c>
      <c r="J7968">
        <v>2006</v>
      </c>
      <c r="K7968" t="s">
        <v>4554</v>
      </c>
      <c r="L7968" t="s">
        <v>4555</v>
      </c>
      <c r="M7968" s="2">
        <v>2264</v>
      </c>
      <c r="N7968" t="s">
        <v>5280</v>
      </c>
      <c r="O7968">
        <v>4</v>
      </c>
      <c r="P7968">
        <v>3</v>
      </c>
      <c r="Q7968">
        <v>0</v>
      </c>
      <c r="R7968" t="s">
        <v>5281</v>
      </c>
      <c r="S7968" t="s">
        <v>4558</v>
      </c>
      <c r="T7968" t="s">
        <v>4559</v>
      </c>
      <c r="U7968" t="s">
        <v>4560</v>
      </c>
      <c r="V7968" s="2">
        <v>928</v>
      </c>
      <c r="W7968" t="s">
        <v>4655</v>
      </c>
      <c r="X7968" s="2">
        <v>0</v>
      </c>
      <c r="Y7968">
        <v>20</v>
      </c>
      <c r="Z7968" t="s">
        <v>3884</v>
      </c>
      <c r="AA7968" s="3">
        <v>1.0795224905014</v>
      </c>
      <c r="AB7968" t="s">
        <v>36834</v>
      </c>
      <c r="AC7968" t="s">
        <v>4562</v>
      </c>
      <c r="AD7968" t="s">
        <v>36835</v>
      </c>
      <c r="AE7968" t="s">
        <v>4655</v>
      </c>
      <c r="AF7968" t="s">
        <v>5201</v>
      </c>
      <c r="AG7968" t="s">
        <v>4564</v>
      </c>
      <c r="AH7968" t="s">
        <v>1350</v>
      </c>
      <c r="AI7968" t="s">
        <v>36836</v>
      </c>
      <c r="AJ7968" t="s">
        <v>3481</v>
      </c>
      <c r="AK7968" t="s">
        <v>36837</v>
      </c>
      <c r="AL7968" s="13" t="s">
        <v>1892</v>
      </c>
      <c r="AM7968" s="14">
        <v>1</v>
      </c>
      <c r="AN7968" s="15" t="s">
        <v>3482</v>
      </c>
    </row>
    <row r="7969" spans="1:40" x14ac:dyDescent="0.3">
      <c r="A7969" s="10" t="str">
        <f>HYPERLINK("http://www.washoecounty.gov/assessor/cama/?parid=534-504-01&amp;CardNumber=1","534-504-01")</f>
        <v>534-504-01</v>
      </c>
      <c r="B7969" t="s">
        <v>4655</v>
      </c>
      <c r="C7969" t="s">
        <v>5047</v>
      </c>
      <c r="D7969" s="1">
        <v>40492</v>
      </c>
      <c r="E7969" s="2">
        <v>232000</v>
      </c>
      <c r="F7969" t="s">
        <v>4553</v>
      </c>
      <c r="G7969" s="17" t="str">
        <f>HYPERLINK("https://www.washoecounty.gov/assessor/cama/?command=sales&amp;parid=53450401","3941625")</f>
        <v>3941625</v>
      </c>
      <c r="H7969" t="s">
        <v>4625</v>
      </c>
      <c r="I7969">
        <v>2007</v>
      </c>
      <c r="J7969">
        <v>2007</v>
      </c>
      <c r="K7969" t="s">
        <v>4554</v>
      </c>
      <c r="L7969" t="s">
        <v>4555</v>
      </c>
      <c r="M7969" s="2">
        <v>2762</v>
      </c>
      <c r="N7969" t="s">
        <v>3887</v>
      </c>
      <c r="O7969">
        <v>4</v>
      </c>
      <c r="P7969">
        <v>3</v>
      </c>
      <c r="Q7969">
        <v>0</v>
      </c>
      <c r="R7969" t="s">
        <v>5281</v>
      </c>
      <c r="S7969" t="s">
        <v>4898</v>
      </c>
      <c r="T7969" t="s">
        <v>4559</v>
      </c>
      <c r="U7969" t="s">
        <v>4560</v>
      </c>
      <c r="V7969" s="2">
        <v>792</v>
      </c>
      <c r="W7969" t="s">
        <v>4655</v>
      </c>
      <c r="X7969" s="2">
        <v>0</v>
      </c>
      <c r="Y7969">
        <v>20</v>
      </c>
      <c r="Z7969" t="s">
        <v>3884</v>
      </c>
      <c r="AA7969" s="3">
        <v>0.32433426380157498</v>
      </c>
      <c r="AB7969" t="s">
        <v>4626</v>
      </c>
      <c r="AC7969" t="s">
        <v>4562</v>
      </c>
      <c r="AD7969" t="s">
        <v>36838</v>
      </c>
      <c r="AE7969" t="s">
        <v>4655</v>
      </c>
      <c r="AF7969" t="s">
        <v>36839</v>
      </c>
      <c r="AG7969" t="s">
        <v>5535</v>
      </c>
      <c r="AH7969" t="s">
        <v>36840</v>
      </c>
      <c r="AI7969" t="s">
        <v>4903</v>
      </c>
      <c r="AJ7969" t="s">
        <v>4627</v>
      </c>
      <c r="AK7969" t="s">
        <v>4628</v>
      </c>
      <c r="AL7969" s="13" t="s">
        <v>1892</v>
      </c>
      <c r="AM7969" s="14">
        <v>1</v>
      </c>
      <c r="AN7969" s="15" t="s">
        <v>2901</v>
      </c>
    </row>
    <row r="7970" spans="1:40" x14ac:dyDescent="0.3">
      <c r="A7970" s="10" t="str">
        <f>HYPERLINK("http://www.washoecounty.gov/assessor/cama/?parid=534-531-01&amp;CardNumber=1","534-531-01")</f>
        <v>534-531-01</v>
      </c>
      <c r="B7970" t="s">
        <v>4655</v>
      </c>
      <c r="C7970" t="s">
        <v>36841</v>
      </c>
      <c r="D7970" s="1">
        <v>40207</v>
      </c>
      <c r="E7970" s="2">
        <v>235000</v>
      </c>
      <c r="F7970" t="s">
        <v>4553</v>
      </c>
      <c r="G7970" s="17" t="str">
        <f>HYPERLINK("https://www.washoecounty.gov/assessor/cama/?command=sales&amp;parid=53453101","3843963")</f>
        <v>3843963</v>
      </c>
      <c r="H7970" t="s">
        <v>3483</v>
      </c>
      <c r="I7970">
        <v>2007</v>
      </c>
      <c r="J7970">
        <v>2007</v>
      </c>
      <c r="K7970" t="s">
        <v>4554</v>
      </c>
      <c r="L7970" t="s">
        <v>4555</v>
      </c>
      <c r="M7970" s="2">
        <v>2502</v>
      </c>
      <c r="N7970" t="s">
        <v>5280</v>
      </c>
      <c r="O7970">
        <v>4</v>
      </c>
      <c r="P7970">
        <v>2</v>
      </c>
      <c r="Q7970">
        <v>1</v>
      </c>
      <c r="R7970" t="s">
        <v>5281</v>
      </c>
      <c r="S7970" t="s">
        <v>4558</v>
      </c>
      <c r="T7970" t="s">
        <v>4559</v>
      </c>
      <c r="U7970" t="s">
        <v>4560</v>
      </c>
      <c r="V7970" s="2">
        <v>690</v>
      </c>
      <c r="W7970" t="s">
        <v>4655</v>
      </c>
      <c r="X7970" s="2">
        <v>0</v>
      </c>
      <c r="Y7970">
        <v>20</v>
      </c>
      <c r="Z7970" t="s">
        <v>3884</v>
      </c>
      <c r="AA7970" s="3">
        <v>0.68438935279846191</v>
      </c>
      <c r="AB7970" t="s">
        <v>36842</v>
      </c>
      <c r="AC7970" t="s">
        <v>4562</v>
      </c>
      <c r="AD7970" t="s">
        <v>36843</v>
      </c>
      <c r="AE7970" t="s">
        <v>4655</v>
      </c>
      <c r="AF7970" t="s">
        <v>4809</v>
      </c>
      <c r="AG7970" t="s">
        <v>4564</v>
      </c>
      <c r="AH7970" t="s">
        <v>1605</v>
      </c>
      <c r="AI7970" t="s">
        <v>4655</v>
      </c>
      <c r="AJ7970" t="s">
        <v>3484</v>
      </c>
      <c r="AK7970" t="s">
        <v>36844</v>
      </c>
      <c r="AL7970" s="13" t="s">
        <v>1892</v>
      </c>
      <c r="AM7970" s="14">
        <v>1</v>
      </c>
      <c r="AN7970" s="15" t="s">
        <v>3482</v>
      </c>
    </row>
    <row r="7971" spans="1:40" x14ac:dyDescent="0.3">
      <c r="A7971" s="10" t="str">
        <f>HYPERLINK("http://www.washoecounty.gov/assessor/cama/?parid=534-531-01&amp;CardNumber=1","534-531-01")</f>
        <v>534-531-01</v>
      </c>
      <c r="B7971" t="s">
        <v>4655</v>
      </c>
      <c r="C7971" t="s">
        <v>36841</v>
      </c>
      <c r="D7971" s="1">
        <v>40207</v>
      </c>
      <c r="E7971" s="2">
        <v>3174</v>
      </c>
      <c r="F7971" t="s">
        <v>4553</v>
      </c>
      <c r="G7971" s="17" t="str">
        <f>HYPERLINK("https://www.washoecounty.gov/assessor/cama/?command=sales&amp;parid=53453101","3843962")</f>
        <v>3843962</v>
      </c>
      <c r="H7971" t="s">
        <v>3483</v>
      </c>
      <c r="I7971">
        <v>2007</v>
      </c>
      <c r="J7971">
        <v>2007</v>
      </c>
      <c r="K7971" t="s">
        <v>4554</v>
      </c>
      <c r="L7971" t="s">
        <v>4555</v>
      </c>
      <c r="M7971" s="2">
        <v>2502</v>
      </c>
      <c r="N7971" t="s">
        <v>5280</v>
      </c>
      <c r="O7971">
        <v>4</v>
      </c>
      <c r="P7971">
        <v>2</v>
      </c>
      <c r="Q7971">
        <v>1</v>
      </c>
      <c r="R7971" t="s">
        <v>5281</v>
      </c>
      <c r="S7971" t="s">
        <v>4558</v>
      </c>
      <c r="T7971" t="s">
        <v>4559</v>
      </c>
      <c r="U7971" t="s">
        <v>4560</v>
      </c>
      <c r="V7971" s="2">
        <v>690</v>
      </c>
      <c r="W7971" t="s">
        <v>4655</v>
      </c>
      <c r="X7971" s="2">
        <v>0</v>
      </c>
      <c r="Y7971">
        <v>20</v>
      </c>
      <c r="Z7971" t="s">
        <v>3884</v>
      </c>
      <c r="AA7971" s="3">
        <v>0.68438935279846191</v>
      </c>
      <c r="AB7971" t="s">
        <v>36842</v>
      </c>
      <c r="AC7971" t="s">
        <v>4562</v>
      </c>
      <c r="AD7971" t="s">
        <v>36843</v>
      </c>
      <c r="AE7971" t="s">
        <v>4655</v>
      </c>
      <c r="AF7971" t="s">
        <v>4809</v>
      </c>
      <c r="AG7971" t="s">
        <v>4564</v>
      </c>
      <c r="AH7971" t="s">
        <v>1605</v>
      </c>
      <c r="AI7971" t="s">
        <v>4655</v>
      </c>
      <c r="AJ7971" t="s">
        <v>3484</v>
      </c>
      <c r="AK7971" t="s">
        <v>36844</v>
      </c>
      <c r="AL7971" s="13" t="s">
        <v>1892</v>
      </c>
      <c r="AM7971">
        <v>1</v>
      </c>
      <c r="AN7971" s="15" t="s">
        <v>3482</v>
      </c>
    </row>
    <row r="7972" spans="1:40" x14ac:dyDescent="0.3">
      <c r="A7972" s="10" t="str">
        <f>HYPERLINK("http://www.washoecounty.gov/assessor/cama/?parid=534-531-13&amp;CardNumber=1","534-531-13")</f>
        <v>534-531-13</v>
      </c>
      <c r="B7972" t="s">
        <v>4655</v>
      </c>
      <c r="C7972" t="s">
        <v>36845</v>
      </c>
      <c r="D7972" s="1">
        <v>40269</v>
      </c>
      <c r="E7972" s="2">
        <v>286000</v>
      </c>
      <c r="F7972" t="s">
        <v>4553</v>
      </c>
      <c r="G7972" s="17" t="str">
        <f>HYPERLINK("https://www.washoecounty.gov/assessor/cama/?command=sales&amp;parid=53453113","3866925")</f>
        <v>3866925</v>
      </c>
      <c r="H7972" t="s">
        <v>3483</v>
      </c>
      <c r="I7972">
        <v>2008</v>
      </c>
      <c r="J7972">
        <v>2008</v>
      </c>
      <c r="K7972" t="s">
        <v>4554</v>
      </c>
      <c r="L7972" t="s">
        <v>4555</v>
      </c>
      <c r="M7972" s="2">
        <v>2264</v>
      </c>
      <c r="N7972" t="s">
        <v>5280</v>
      </c>
      <c r="O7972">
        <v>4</v>
      </c>
      <c r="P7972">
        <v>2</v>
      </c>
      <c r="Q7972">
        <v>1</v>
      </c>
      <c r="R7972" t="s">
        <v>5281</v>
      </c>
      <c r="S7972" t="s">
        <v>4558</v>
      </c>
      <c r="T7972" t="s">
        <v>4559</v>
      </c>
      <c r="U7972" t="s">
        <v>4560</v>
      </c>
      <c r="V7972" s="2">
        <v>928</v>
      </c>
      <c r="W7972" t="s">
        <v>4655</v>
      </c>
      <c r="X7972" s="2">
        <v>0</v>
      </c>
      <c r="Y7972">
        <v>20</v>
      </c>
      <c r="Z7972" t="s">
        <v>3884</v>
      </c>
      <c r="AA7972" s="3">
        <v>0.59260791540145796</v>
      </c>
      <c r="AB7972" t="s">
        <v>36846</v>
      </c>
      <c r="AC7972" t="s">
        <v>4575</v>
      </c>
      <c r="AD7972" t="s">
        <v>36847</v>
      </c>
      <c r="AE7972" t="s">
        <v>36848</v>
      </c>
      <c r="AF7972" t="s">
        <v>5201</v>
      </c>
      <c r="AG7972" t="s">
        <v>4564</v>
      </c>
      <c r="AH7972" t="s">
        <v>1350</v>
      </c>
      <c r="AI7972" t="s">
        <v>18</v>
      </c>
      <c r="AJ7972" t="s">
        <v>3484</v>
      </c>
      <c r="AK7972" t="s">
        <v>36849</v>
      </c>
      <c r="AL7972" s="13" t="s">
        <v>1892</v>
      </c>
      <c r="AM7972" s="14">
        <v>1</v>
      </c>
      <c r="AN7972" s="15" t="s">
        <v>3482</v>
      </c>
    </row>
    <row r="7973" spans="1:40" x14ac:dyDescent="0.3">
      <c r="A7973" s="10" t="str">
        <f>HYPERLINK("http://www.washoecounty.gov/assessor/cama/?parid=534-553-01&amp;CardNumber=1","534-553-01")</f>
        <v>534-553-01</v>
      </c>
      <c r="B7973" t="s">
        <v>4655</v>
      </c>
      <c r="C7973" t="s">
        <v>36850</v>
      </c>
      <c r="D7973" s="1">
        <v>40207</v>
      </c>
      <c r="E7973" s="2">
        <v>382500</v>
      </c>
      <c r="F7973" t="s">
        <v>4553</v>
      </c>
      <c r="G7973" s="17" t="str">
        <f>HYPERLINK("https://www.washoecounty.gov/assessor/cama/?command=sales&amp;parid=53455301","3844510")</f>
        <v>3844510</v>
      </c>
      <c r="H7973" t="s">
        <v>36851</v>
      </c>
      <c r="I7973">
        <v>2007</v>
      </c>
      <c r="J7973">
        <v>2007</v>
      </c>
      <c r="K7973" t="s">
        <v>4554</v>
      </c>
      <c r="L7973" t="s">
        <v>4555</v>
      </c>
      <c r="M7973" s="2">
        <v>3682</v>
      </c>
      <c r="N7973" t="s">
        <v>5280</v>
      </c>
      <c r="O7973">
        <v>5</v>
      </c>
      <c r="P7973">
        <v>4</v>
      </c>
      <c r="Q7973">
        <v>0</v>
      </c>
      <c r="R7973" t="s">
        <v>5281</v>
      </c>
      <c r="S7973" t="s">
        <v>4898</v>
      </c>
      <c r="T7973" t="s">
        <v>4559</v>
      </c>
      <c r="U7973" t="s">
        <v>162</v>
      </c>
      <c r="V7973" s="2">
        <v>1002</v>
      </c>
      <c r="W7973" t="s">
        <v>4655</v>
      </c>
      <c r="X7973" s="2">
        <v>0</v>
      </c>
      <c r="Y7973">
        <v>20</v>
      </c>
      <c r="Z7973" t="s">
        <v>3884</v>
      </c>
      <c r="AA7973" s="3">
        <v>0.74001377820968595</v>
      </c>
      <c r="AB7973" t="s">
        <v>36852</v>
      </c>
      <c r="AC7973" t="s">
        <v>4575</v>
      </c>
      <c r="AD7973" t="s">
        <v>36850</v>
      </c>
      <c r="AE7973" t="s">
        <v>4655</v>
      </c>
      <c r="AF7973" t="s">
        <v>5201</v>
      </c>
      <c r="AG7973" t="s">
        <v>4564</v>
      </c>
      <c r="AH7973" t="s">
        <v>1605</v>
      </c>
      <c r="AI7973" t="s">
        <v>36853</v>
      </c>
      <c r="AJ7973" t="s">
        <v>36854</v>
      </c>
      <c r="AK7973" t="s">
        <v>36855</v>
      </c>
      <c r="AL7973" s="13" t="s">
        <v>1892</v>
      </c>
      <c r="AM7973" s="14">
        <v>1</v>
      </c>
      <c r="AN7973" s="15" t="s">
        <v>3482</v>
      </c>
    </row>
    <row r="7974" spans="1:40" x14ac:dyDescent="0.3">
      <c r="A7974" s="10" t="str">
        <f>HYPERLINK("http://www.washoecounty.gov/assessor/cama/?parid=538-032-04&amp;CardNumber=1","538-032-04")</f>
        <v>538-032-04</v>
      </c>
      <c r="B7974" t="s">
        <v>4655</v>
      </c>
      <c r="C7974" t="s">
        <v>36856</v>
      </c>
      <c r="D7974" s="1">
        <v>40525</v>
      </c>
      <c r="E7974" s="2">
        <v>330000</v>
      </c>
      <c r="F7974" t="s">
        <v>4567</v>
      </c>
      <c r="G7974" s="17" t="str">
        <f>HYPERLINK("https://www.washoecounty.gov/assessor/cama/?command=sales&amp;parid=53803204","3952851")</f>
        <v>3952851</v>
      </c>
      <c r="H7974" t="s">
        <v>3614</v>
      </c>
      <c r="I7974">
        <v>2002</v>
      </c>
      <c r="J7974">
        <v>2002</v>
      </c>
      <c r="K7974" t="s">
        <v>4554</v>
      </c>
      <c r="L7974" t="s">
        <v>4555</v>
      </c>
      <c r="M7974" s="2">
        <v>2508</v>
      </c>
      <c r="N7974" t="s">
        <v>3887</v>
      </c>
      <c r="O7974">
        <v>4</v>
      </c>
      <c r="P7974">
        <v>2</v>
      </c>
      <c r="Q7974">
        <v>0</v>
      </c>
      <c r="R7974" t="s">
        <v>5281</v>
      </c>
      <c r="S7974" t="s">
        <v>4898</v>
      </c>
      <c r="T7974" t="s">
        <v>2704</v>
      </c>
      <c r="U7974" t="s">
        <v>4560</v>
      </c>
      <c r="V7974" s="2">
        <v>724</v>
      </c>
      <c r="W7974" t="s">
        <v>4655</v>
      </c>
      <c r="X7974" s="2">
        <v>0</v>
      </c>
      <c r="Y7974">
        <v>20</v>
      </c>
      <c r="Z7974" t="s">
        <v>3884</v>
      </c>
      <c r="AA7974" s="3">
        <v>0.920454561710357</v>
      </c>
      <c r="AB7974" t="s">
        <v>36857</v>
      </c>
      <c r="AC7974" t="s">
        <v>4575</v>
      </c>
      <c r="AD7974" t="s">
        <v>36858</v>
      </c>
      <c r="AE7974" t="s">
        <v>4655</v>
      </c>
      <c r="AF7974" t="s">
        <v>5201</v>
      </c>
      <c r="AG7974" t="s">
        <v>4564</v>
      </c>
      <c r="AH7974" t="s">
        <v>1350</v>
      </c>
      <c r="AI7974" t="s">
        <v>36859</v>
      </c>
      <c r="AJ7974" t="s">
        <v>3615</v>
      </c>
      <c r="AK7974" t="s">
        <v>36860</v>
      </c>
      <c r="AL7974" s="13" t="s">
        <v>1892</v>
      </c>
      <c r="AM7974" s="14">
        <v>1</v>
      </c>
      <c r="AN7974" s="15" t="s">
        <v>3616</v>
      </c>
    </row>
    <row r="7975" spans="1:40" x14ac:dyDescent="0.3">
      <c r="A7975" s="10" t="str">
        <f>HYPERLINK("http://www.washoecounty.gov/assessor/cama/?parid=538-033-14&amp;CardNumber=1","538-033-14")</f>
        <v>538-033-14</v>
      </c>
      <c r="B7975" t="s">
        <v>4655</v>
      </c>
      <c r="C7975" t="s">
        <v>36861</v>
      </c>
      <c r="D7975" s="1">
        <v>40235</v>
      </c>
      <c r="E7975" s="2">
        <v>300000</v>
      </c>
      <c r="F7975" t="s">
        <v>4567</v>
      </c>
      <c r="G7975" s="17" t="str">
        <f>HYPERLINK("https://www.washoecounty.gov/assessor/cama/?command=sales&amp;parid=53803314","3853348")</f>
        <v>3853348</v>
      </c>
      <c r="H7975" t="s">
        <v>3614</v>
      </c>
      <c r="I7975">
        <v>2003</v>
      </c>
      <c r="J7975">
        <v>2003</v>
      </c>
      <c r="K7975" t="s">
        <v>4554</v>
      </c>
      <c r="L7975" t="s">
        <v>4555</v>
      </c>
      <c r="M7975" s="2">
        <v>3023</v>
      </c>
      <c r="N7975" t="s">
        <v>3887</v>
      </c>
      <c r="O7975">
        <v>4</v>
      </c>
      <c r="P7975">
        <v>3</v>
      </c>
      <c r="Q7975">
        <v>0</v>
      </c>
      <c r="R7975" t="s">
        <v>4557</v>
      </c>
      <c r="S7975" t="s">
        <v>4898</v>
      </c>
      <c r="T7975" t="s">
        <v>2704</v>
      </c>
      <c r="U7975" t="s">
        <v>4560</v>
      </c>
      <c r="V7975" s="2">
        <v>724</v>
      </c>
      <c r="W7975" t="s">
        <v>4655</v>
      </c>
      <c r="X7975" s="2">
        <v>0</v>
      </c>
      <c r="Y7975">
        <v>20</v>
      </c>
      <c r="Z7975" t="s">
        <v>3884</v>
      </c>
      <c r="AA7975" s="3">
        <v>0.89632689952850297</v>
      </c>
      <c r="AB7975" t="s">
        <v>36862</v>
      </c>
      <c r="AC7975" t="s">
        <v>4562</v>
      </c>
      <c r="AD7975" t="s">
        <v>36861</v>
      </c>
      <c r="AE7975" t="s">
        <v>4655</v>
      </c>
      <c r="AF7975" t="s">
        <v>5201</v>
      </c>
      <c r="AG7975" t="s">
        <v>4564</v>
      </c>
      <c r="AH7975" t="s">
        <v>1605</v>
      </c>
      <c r="AI7975" t="s">
        <v>36863</v>
      </c>
      <c r="AJ7975" t="s">
        <v>3615</v>
      </c>
      <c r="AK7975" t="s">
        <v>36864</v>
      </c>
      <c r="AL7975" s="13" t="s">
        <v>1892</v>
      </c>
      <c r="AM7975">
        <v>1</v>
      </c>
      <c r="AN7975" s="15" t="s">
        <v>3616</v>
      </c>
    </row>
    <row r="7976" spans="1:40" x14ac:dyDescent="0.3">
      <c r="A7976" s="10" t="str">
        <f>HYPERLINK("http://www.washoecounty.gov/assessor/cama/?parid=538-042-10&amp;CardNumber=1","538-042-10")</f>
        <v>538-042-10</v>
      </c>
      <c r="B7976" t="s">
        <v>4655</v>
      </c>
      <c r="C7976" t="s">
        <v>36865</v>
      </c>
      <c r="D7976" s="1">
        <v>40221</v>
      </c>
      <c r="E7976" s="2">
        <v>368500</v>
      </c>
      <c r="F7976" t="s">
        <v>4567</v>
      </c>
      <c r="G7976" s="17" t="str">
        <f>HYPERLINK("https://www.washoecounty.gov/assessor/cama/?command=sales&amp;parid=53804210","3848976")</f>
        <v>3848976</v>
      </c>
      <c r="H7976" t="s">
        <v>3614</v>
      </c>
      <c r="I7976">
        <v>2003</v>
      </c>
      <c r="J7976">
        <v>2003</v>
      </c>
      <c r="K7976" t="s">
        <v>4554</v>
      </c>
      <c r="L7976" t="s">
        <v>4555</v>
      </c>
      <c r="M7976" s="2">
        <v>3488</v>
      </c>
      <c r="N7976" t="s">
        <v>3887</v>
      </c>
      <c r="O7976">
        <v>5</v>
      </c>
      <c r="P7976">
        <v>3</v>
      </c>
      <c r="Q7976">
        <v>0</v>
      </c>
      <c r="R7976" t="s">
        <v>5281</v>
      </c>
      <c r="S7976" t="s">
        <v>4898</v>
      </c>
      <c r="T7976" t="s">
        <v>2704</v>
      </c>
      <c r="U7976" t="s">
        <v>162</v>
      </c>
      <c r="V7976" s="2">
        <v>1108</v>
      </c>
      <c r="W7976" t="s">
        <v>4655</v>
      </c>
      <c r="X7976" s="2">
        <v>0</v>
      </c>
      <c r="Y7976">
        <v>20</v>
      </c>
      <c r="Z7976" t="s">
        <v>3884</v>
      </c>
      <c r="AA7976" s="3">
        <v>0.88521581888198853</v>
      </c>
      <c r="AB7976" t="s">
        <v>36866</v>
      </c>
      <c r="AC7976" t="s">
        <v>4575</v>
      </c>
      <c r="AD7976" t="s">
        <v>36865</v>
      </c>
      <c r="AE7976" t="s">
        <v>4655</v>
      </c>
      <c r="AF7976" t="s">
        <v>5201</v>
      </c>
      <c r="AG7976" t="s">
        <v>4564</v>
      </c>
      <c r="AH7976" t="s">
        <v>1350</v>
      </c>
      <c r="AI7976" t="s">
        <v>36867</v>
      </c>
      <c r="AJ7976" t="s">
        <v>3615</v>
      </c>
      <c r="AK7976" t="s">
        <v>36868</v>
      </c>
      <c r="AL7976" s="13" t="s">
        <v>1892</v>
      </c>
      <c r="AM7976">
        <v>1</v>
      </c>
      <c r="AN7976" s="15" t="s">
        <v>3616</v>
      </c>
    </row>
    <row r="7977" spans="1:40" x14ac:dyDescent="0.3">
      <c r="A7977" s="10" t="str">
        <f>HYPERLINK("http://www.washoecounty.gov/assessor/cama/?parid=538-051-04&amp;CardNumber=1","538-051-04")</f>
        <v>538-051-04</v>
      </c>
      <c r="B7977" t="s">
        <v>4655</v>
      </c>
      <c r="C7977" t="s">
        <v>36869</v>
      </c>
      <c r="D7977" s="1">
        <v>40297</v>
      </c>
      <c r="E7977" s="2">
        <v>464000</v>
      </c>
      <c r="F7977" t="s">
        <v>4567</v>
      </c>
      <c r="G7977" s="17" t="str">
        <f>HYPERLINK("https://www.washoecounty.gov/assessor/cama/?command=sales&amp;parid=53805104","3876141")</f>
        <v>3876141</v>
      </c>
      <c r="H7977" t="s">
        <v>1201</v>
      </c>
      <c r="I7977">
        <v>2003</v>
      </c>
      <c r="J7977">
        <v>2003</v>
      </c>
      <c r="K7977" t="s">
        <v>4554</v>
      </c>
      <c r="L7977" t="s">
        <v>4555</v>
      </c>
      <c r="M7977" s="2">
        <v>3335</v>
      </c>
      <c r="N7977" t="s">
        <v>3887</v>
      </c>
      <c r="O7977">
        <v>6</v>
      </c>
      <c r="P7977">
        <v>4</v>
      </c>
      <c r="Q7977">
        <v>0</v>
      </c>
      <c r="R7977" t="s">
        <v>5281</v>
      </c>
      <c r="S7977" t="s">
        <v>4898</v>
      </c>
      <c r="T7977" t="s">
        <v>2704</v>
      </c>
      <c r="U7977" t="s">
        <v>162</v>
      </c>
      <c r="V7977" s="2">
        <v>1490</v>
      </c>
      <c r="W7977" t="s">
        <v>4655</v>
      </c>
      <c r="X7977" s="2">
        <v>0</v>
      </c>
      <c r="Y7977">
        <v>20</v>
      </c>
      <c r="Z7977" t="s">
        <v>3884</v>
      </c>
      <c r="AA7977" s="3">
        <v>0.88211661577224698</v>
      </c>
      <c r="AB7977" t="s">
        <v>36870</v>
      </c>
      <c r="AC7977" t="s">
        <v>4562</v>
      </c>
      <c r="AD7977" t="s">
        <v>36869</v>
      </c>
      <c r="AE7977" t="s">
        <v>4655</v>
      </c>
      <c r="AF7977" t="s">
        <v>5201</v>
      </c>
      <c r="AG7977" t="s">
        <v>4564</v>
      </c>
      <c r="AH7977" t="s">
        <v>1350</v>
      </c>
      <c r="AI7977" t="s">
        <v>36871</v>
      </c>
      <c r="AJ7977" t="s">
        <v>1202</v>
      </c>
      <c r="AK7977" t="s">
        <v>36872</v>
      </c>
      <c r="AL7977" s="13" t="s">
        <v>1892</v>
      </c>
      <c r="AM7977">
        <v>1</v>
      </c>
      <c r="AN7977" s="15" t="s">
        <v>3616</v>
      </c>
    </row>
    <row r="7978" spans="1:40" x14ac:dyDescent="0.3">
      <c r="A7978" s="10" t="str">
        <f>HYPERLINK("http://www.washoecounty.gov/assessor/cama/?parid=538-052-04&amp;CardNumber=1","538-052-04")</f>
        <v>538-052-04</v>
      </c>
      <c r="B7978" t="s">
        <v>4655</v>
      </c>
      <c r="C7978" t="s">
        <v>36873</v>
      </c>
      <c r="D7978" s="1">
        <v>40389</v>
      </c>
      <c r="E7978" s="2">
        <v>450000</v>
      </c>
      <c r="F7978" t="s">
        <v>4553</v>
      </c>
      <c r="G7978" s="17" t="str">
        <f>HYPERLINK("https://www.washoecounty.gov/assessor/cama/?command=sales&amp;parid=53805204","3907123")</f>
        <v>3907123</v>
      </c>
      <c r="H7978" t="s">
        <v>1201</v>
      </c>
      <c r="I7978">
        <v>2004</v>
      </c>
      <c r="J7978">
        <v>2004</v>
      </c>
      <c r="K7978" t="s">
        <v>4554</v>
      </c>
      <c r="L7978" t="s">
        <v>4555</v>
      </c>
      <c r="M7978" s="2">
        <v>4288</v>
      </c>
      <c r="N7978" t="s">
        <v>3887</v>
      </c>
      <c r="O7978">
        <v>5</v>
      </c>
      <c r="P7978">
        <v>3</v>
      </c>
      <c r="Q7978">
        <v>1</v>
      </c>
      <c r="R7978" t="s">
        <v>5281</v>
      </c>
      <c r="S7978" t="s">
        <v>4898</v>
      </c>
      <c r="T7978" t="s">
        <v>2704</v>
      </c>
      <c r="U7978" t="s">
        <v>162</v>
      </c>
      <c r="V7978" s="2">
        <v>1520</v>
      </c>
      <c r="W7978" t="s">
        <v>4655</v>
      </c>
      <c r="X7978" s="2">
        <v>0</v>
      </c>
      <c r="Y7978">
        <v>20</v>
      </c>
      <c r="Z7978" t="s">
        <v>3884</v>
      </c>
      <c r="AA7978" s="3">
        <v>0.89001375436782804</v>
      </c>
      <c r="AB7978" t="s">
        <v>36874</v>
      </c>
      <c r="AC7978" t="s">
        <v>4562</v>
      </c>
      <c r="AD7978" t="s">
        <v>36873</v>
      </c>
      <c r="AE7978" t="s">
        <v>4655</v>
      </c>
      <c r="AF7978" t="s">
        <v>4809</v>
      </c>
      <c r="AG7978" t="s">
        <v>4564</v>
      </c>
      <c r="AH7978" t="s">
        <v>1350</v>
      </c>
      <c r="AI7978" t="s">
        <v>4045</v>
      </c>
      <c r="AJ7978" t="s">
        <v>1202</v>
      </c>
      <c r="AK7978" t="s">
        <v>36875</v>
      </c>
      <c r="AL7978" s="13" t="s">
        <v>1892</v>
      </c>
      <c r="AM7978" s="14">
        <v>1</v>
      </c>
      <c r="AN7978" s="15" t="s">
        <v>3616</v>
      </c>
    </row>
    <row r="7979" spans="1:40" x14ac:dyDescent="0.3">
      <c r="A7979" s="10" t="str">
        <f>HYPERLINK("http://www.washoecounty.gov/assessor/cama/?parid=538-052-10&amp;CardNumber=1","538-052-10")</f>
        <v>538-052-10</v>
      </c>
      <c r="B7979" t="s">
        <v>4655</v>
      </c>
      <c r="C7979" t="s">
        <v>36876</v>
      </c>
      <c r="D7979" s="1">
        <v>40351</v>
      </c>
      <c r="E7979" s="2">
        <v>380000</v>
      </c>
      <c r="F7979" t="s">
        <v>4567</v>
      </c>
      <c r="G7979" s="17" t="str">
        <f>HYPERLINK("https://www.washoecounty.gov/assessor/cama/?command=sales&amp;parid=53805210","3894264")</f>
        <v>3894264</v>
      </c>
      <c r="H7979" t="s">
        <v>1201</v>
      </c>
      <c r="I7979">
        <v>2004</v>
      </c>
      <c r="J7979">
        <v>2004</v>
      </c>
      <c r="K7979" t="s">
        <v>4554</v>
      </c>
      <c r="L7979" t="s">
        <v>4555</v>
      </c>
      <c r="M7979" s="2">
        <v>3023</v>
      </c>
      <c r="N7979" t="s">
        <v>3887</v>
      </c>
      <c r="O7979">
        <v>4</v>
      </c>
      <c r="P7979">
        <v>3</v>
      </c>
      <c r="Q7979">
        <v>0</v>
      </c>
      <c r="R7979" t="s">
        <v>5281</v>
      </c>
      <c r="S7979" t="s">
        <v>4898</v>
      </c>
      <c r="T7979" t="s">
        <v>2704</v>
      </c>
      <c r="U7979" t="s">
        <v>4560</v>
      </c>
      <c r="V7979" s="2">
        <v>724</v>
      </c>
      <c r="W7979" t="s">
        <v>4655</v>
      </c>
      <c r="X7979" s="2">
        <v>0</v>
      </c>
      <c r="Y7979">
        <v>20</v>
      </c>
      <c r="Z7979" t="s">
        <v>3884</v>
      </c>
      <c r="AA7979" s="3">
        <v>0.93921029567718495</v>
      </c>
      <c r="AB7979" t="s">
        <v>36877</v>
      </c>
      <c r="AC7979" t="s">
        <v>4562</v>
      </c>
      <c r="AD7979" t="s">
        <v>36878</v>
      </c>
      <c r="AE7979" t="s">
        <v>4655</v>
      </c>
      <c r="AF7979" t="s">
        <v>4809</v>
      </c>
      <c r="AG7979" t="s">
        <v>4564</v>
      </c>
      <c r="AH7979" t="s">
        <v>1350</v>
      </c>
      <c r="AI7979" t="s">
        <v>36879</v>
      </c>
      <c r="AJ7979" t="s">
        <v>1202</v>
      </c>
      <c r="AK7979" t="s">
        <v>36880</v>
      </c>
      <c r="AL7979" s="13" t="s">
        <v>1892</v>
      </c>
      <c r="AM7979">
        <v>1</v>
      </c>
      <c r="AN7979" s="15" t="s">
        <v>3616</v>
      </c>
    </row>
    <row r="7980" spans="1:40" x14ac:dyDescent="0.3">
      <c r="A7980" s="10" t="str">
        <f>HYPERLINK("http://www.washoecounty.gov/assessor/cama/?parid=538-066-02&amp;CardNumber=1","538-066-02")</f>
        <v>538-066-02</v>
      </c>
      <c r="B7980" t="s">
        <v>4655</v>
      </c>
      <c r="C7980" t="s">
        <v>36881</v>
      </c>
      <c r="D7980" s="1">
        <v>40308</v>
      </c>
      <c r="E7980" s="2">
        <v>437000</v>
      </c>
      <c r="F7980" t="s">
        <v>4567</v>
      </c>
      <c r="G7980" s="17" t="str">
        <f>HYPERLINK("https://www.washoecounty.gov/assessor/cama/?command=sales&amp;parid=53806602","3879867")</f>
        <v>3879867</v>
      </c>
      <c r="H7980" t="s">
        <v>2902</v>
      </c>
      <c r="I7980">
        <v>2005</v>
      </c>
      <c r="J7980">
        <v>2005</v>
      </c>
      <c r="K7980" t="s">
        <v>4554</v>
      </c>
      <c r="L7980" t="s">
        <v>4555</v>
      </c>
      <c r="M7980" s="2">
        <v>3541</v>
      </c>
      <c r="N7980" t="s">
        <v>3887</v>
      </c>
      <c r="O7980">
        <v>5</v>
      </c>
      <c r="P7980">
        <v>4</v>
      </c>
      <c r="Q7980">
        <v>0</v>
      </c>
      <c r="R7980" t="s">
        <v>5281</v>
      </c>
      <c r="S7980" t="s">
        <v>4898</v>
      </c>
      <c r="T7980" t="s">
        <v>2704</v>
      </c>
      <c r="U7980" t="s">
        <v>162</v>
      </c>
      <c r="V7980" s="2">
        <v>1936</v>
      </c>
      <c r="W7980" t="s">
        <v>4655</v>
      </c>
      <c r="X7980" s="2">
        <v>0</v>
      </c>
      <c r="Y7980">
        <v>20</v>
      </c>
      <c r="Z7980" t="s">
        <v>3884</v>
      </c>
      <c r="AA7980" s="3">
        <v>0.91421025991439797</v>
      </c>
      <c r="AB7980" t="s">
        <v>36882</v>
      </c>
      <c r="AC7980" t="s">
        <v>4562</v>
      </c>
      <c r="AD7980" t="s">
        <v>36881</v>
      </c>
      <c r="AE7980" t="s">
        <v>4655</v>
      </c>
      <c r="AF7980" t="s">
        <v>5201</v>
      </c>
      <c r="AG7980" t="s">
        <v>4564</v>
      </c>
      <c r="AH7980" t="s">
        <v>1350</v>
      </c>
      <c r="AI7980" t="s">
        <v>36883</v>
      </c>
      <c r="AJ7980" t="s">
        <v>2903</v>
      </c>
      <c r="AK7980" t="s">
        <v>36884</v>
      </c>
      <c r="AL7980" s="13" t="s">
        <v>1892</v>
      </c>
      <c r="AM7980" s="14">
        <v>1</v>
      </c>
      <c r="AN7980" s="15" t="s">
        <v>3616</v>
      </c>
    </row>
    <row r="7981" spans="1:40" x14ac:dyDescent="0.3">
      <c r="A7981" s="10" t="str">
        <f>HYPERLINK("http://www.washoecounty.gov/assessor/cama/?parid=538-071-02&amp;CardNumber=1","538-071-02")</f>
        <v>538-071-02</v>
      </c>
      <c r="B7981" t="s">
        <v>4655</v>
      </c>
      <c r="C7981" t="s">
        <v>36885</v>
      </c>
      <c r="D7981" s="1">
        <v>40501</v>
      </c>
      <c r="E7981" s="2">
        <v>411000</v>
      </c>
      <c r="F7981" t="s">
        <v>4567</v>
      </c>
      <c r="G7981" s="17" t="str">
        <f>HYPERLINK("https://www.washoecounty.gov/assessor/cama/?command=sales&amp;parid=53807102","3945204")</f>
        <v>3945204</v>
      </c>
      <c r="H7981" t="s">
        <v>552</v>
      </c>
      <c r="I7981">
        <v>2006</v>
      </c>
      <c r="J7981">
        <v>2006</v>
      </c>
      <c r="K7981" t="s">
        <v>4554</v>
      </c>
      <c r="L7981" t="s">
        <v>4555</v>
      </c>
      <c r="M7981" s="2">
        <v>4288</v>
      </c>
      <c r="N7981" t="s">
        <v>3887</v>
      </c>
      <c r="O7981">
        <v>5</v>
      </c>
      <c r="P7981">
        <v>3</v>
      </c>
      <c r="Q7981">
        <v>1</v>
      </c>
      <c r="R7981" t="s">
        <v>5281</v>
      </c>
      <c r="S7981" t="s">
        <v>4898</v>
      </c>
      <c r="T7981" t="s">
        <v>2704</v>
      </c>
      <c r="U7981" t="s">
        <v>4560</v>
      </c>
      <c r="V7981" s="2">
        <v>754</v>
      </c>
      <c r="W7981" t="s">
        <v>4655</v>
      </c>
      <c r="X7981" s="2">
        <v>0</v>
      </c>
      <c r="Y7981">
        <v>20</v>
      </c>
      <c r="Z7981" t="s">
        <v>3884</v>
      </c>
      <c r="AA7981" s="3">
        <v>1.0439623594284</v>
      </c>
      <c r="AB7981" t="s">
        <v>36886</v>
      </c>
      <c r="AC7981" t="s">
        <v>4562</v>
      </c>
      <c r="AD7981" t="s">
        <v>36885</v>
      </c>
      <c r="AE7981" t="s">
        <v>4655</v>
      </c>
      <c r="AF7981" t="s">
        <v>5201</v>
      </c>
      <c r="AG7981" t="s">
        <v>4564</v>
      </c>
      <c r="AH7981" t="s">
        <v>1350</v>
      </c>
      <c r="AI7981" t="s">
        <v>36887</v>
      </c>
      <c r="AJ7981" t="s">
        <v>553</v>
      </c>
      <c r="AK7981" t="s">
        <v>36888</v>
      </c>
      <c r="AL7981" s="13" t="s">
        <v>1892</v>
      </c>
      <c r="AM7981">
        <v>1</v>
      </c>
      <c r="AN7981" s="15" t="s">
        <v>3616</v>
      </c>
    </row>
    <row r="7982" spans="1:40" x14ac:dyDescent="0.3">
      <c r="A7982" s="10" t="str">
        <f>HYPERLINK("http://www.washoecounty.gov/assessor/cama/?parid=538-072-07&amp;CardNumber=1","538-072-07")</f>
        <v>538-072-07</v>
      </c>
      <c r="B7982" t="s">
        <v>4655</v>
      </c>
      <c r="C7982" t="s">
        <v>36889</v>
      </c>
      <c r="D7982" s="1">
        <v>40417</v>
      </c>
      <c r="E7982" s="2">
        <v>402000</v>
      </c>
      <c r="F7982" t="s">
        <v>4567</v>
      </c>
      <c r="G7982" s="17" t="str">
        <f>HYPERLINK("https://www.washoecounty.gov/assessor/cama/?command=sales&amp;parid=53807207","3916388")</f>
        <v>3916388</v>
      </c>
      <c r="H7982" t="s">
        <v>552</v>
      </c>
      <c r="I7982">
        <v>2006</v>
      </c>
      <c r="J7982">
        <v>2006</v>
      </c>
      <c r="K7982" t="s">
        <v>4554</v>
      </c>
      <c r="L7982" t="s">
        <v>4555</v>
      </c>
      <c r="M7982" s="2">
        <v>3023</v>
      </c>
      <c r="N7982" t="s">
        <v>3887</v>
      </c>
      <c r="O7982">
        <v>4</v>
      </c>
      <c r="P7982">
        <v>3</v>
      </c>
      <c r="Q7982">
        <v>0</v>
      </c>
      <c r="R7982" t="s">
        <v>5281</v>
      </c>
      <c r="S7982" t="s">
        <v>4898</v>
      </c>
      <c r="T7982" t="s">
        <v>2704</v>
      </c>
      <c r="U7982" t="s">
        <v>162</v>
      </c>
      <c r="V7982" s="2">
        <v>1490</v>
      </c>
      <c r="W7982" t="s">
        <v>4655</v>
      </c>
      <c r="X7982" s="2">
        <v>0</v>
      </c>
      <c r="Y7982">
        <v>20</v>
      </c>
      <c r="Z7982" t="s">
        <v>3884</v>
      </c>
      <c r="AA7982" s="3">
        <v>1.1723599433898926</v>
      </c>
      <c r="AB7982" t="s">
        <v>36890</v>
      </c>
      <c r="AC7982" t="s">
        <v>4575</v>
      </c>
      <c r="AD7982" t="s">
        <v>36889</v>
      </c>
      <c r="AE7982" t="s">
        <v>4655</v>
      </c>
      <c r="AF7982" t="s">
        <v>5201</v>
      </c>
      <c r="AG7982" t="s">
        <v>4564</v>
      </c>
      <c r="AH7982" t="s">
        <v>1350</v>
      </c>
      <c r="AI7982" t="s">
        <v>36891</v>
      </c>
      <c r="AJ7982" t="s">
        <v>553</v>
      </c>
      <c r="AK7982" t="s">
        <v>36892</v>
      </c>
      <c r="AL7982" s="13" t="s">
        <v>1892</v>
      </c>
      <c r="AM7982">
        <v>1</v>
      </c>
      <c r="AN7982" s="15" t="s">
        <v>3616</v>
      </c>
    </row>
    <row r="7983" spans="1:40" x14ac:dyDescent="0.3">
      <c r="A7983" s="10" t="str">
        <f>HYPERLINK("http://www.washoecounty.gov/assessor/cama/?parid=538-081-07&amp;CardNumber=1","538-081-07")</f>
        <v>538-081-07</v>
      </c>
      <c r="B7983" t="s">
        <v>4655</v>
      </c>
      <c r="C7983" t="s">
        <v>36893</v>
      </c>
      <c r="D7983" s="1">
        <v>40388</v>
      </c>
      <c r="E7983" s="2">
        <v>429900</v>
      </c>
      <c r="F7983" t="s">
        <v>4553</v>
      </c>
      <c r="G7983" s="17" t="str">
        <f>HYPERLINK("https://www.washoecounty.gov/assessor/cama/?command=sales&amp;parid=53808107","3906816")</f>
        <v>3906816</v>
      </c>
      <c r="H7983" t="s">
        <v>552</v>
      </c>
      <c r="I7983">
        <v>2006</v>
      </c>
      <c r="J7983">
        <v>2006</v>
      </c>
      <c r="K7983" t="s">
        <v>4554</v>
      </c>
      <c r="L7983" t="s">
        <v>4555</v>
      </c>
      <c r="M7983" s="2">
        <v>3488</v>
      </c>
      <c r="N7983" t="s">
        <v>3887</v>
      </c>
      <c r="O7983">
        <v>5</v>
      </c>
      <c r="P7983">
        <v>3</v>
      </c>
      <c r="Q7983">
        <v>0</v>
      </c>
      <c r="R7983" t="s">
        <v>5281</v>
      </c>
      <c r="S7983" t="s">
        <v>4898</v>
      </c>
      <c r="T7983" t="s">
        <v>2704</v>
      </c>
      <c r="U7983" t="s">
        <v>4560</v>
      </c>
      <c r="V7983" s="2">
        <v>796</v>
      </c>
      <c r="W7983" t="s">
        <v>4655</v>
      </c>
      <c r="X7983" s="2">
        <v>0</v>
      </c>
      <c r="Y7983">
        <v>20</v>
      </c>
      <c r="Z7983" t="s">
        <v>3884</v>
      </c>
      <c r="AA7983" s="3">
        <v>0.83494031429290705</v>
      </c>
      <c r="AB7983" t="s">
        <v>36894</v>
      </c>
      <c r="AC7983" t="s">
        <v>4562</v>
      </c>
      <c r="AD7983" t="s">
        <v>36895</v>
      </c>
      <c r="AE7983" t="s">
        <v>4655</v>
      </c>
      <c r="AF7983" t="s">
        <v>4809</v>
      </c>
      <c r="AG7983" t="s">
        <v>4564</v>
      </c>
      <c r="AH7983" t="s">
        <v>1350</v>
      </c>
      <c r="AI7983" t="s">
        <v>4655</v>
      </c>
      <c r="AJ7983" t="s">
        <v>553</v>
      </c>
      <c r="AK7983" t="s">
        <v>36896</v>
      </c>
      <c r="AL7983" s="13" t="s">
        <v>1892</v>
      </c>
      <c r="AM7983">
        <v>1</v>
      </c>
      <c r="AN7983" s="15" t="s">
        <v>3616</v>
      </c>
    </row>
    <row r="7984" spans="1:40" x14ac:dyDescent="0.3">
      <c r="A7984" s="10" t="str">
        <f>HYPERLINK("http://www.washoecounty.gov/assessor/cama/?parid=538-093-07&amp;CardNumber=1","538-093-07")</f>
        <v>538-093-07</v>
      </c>
      <c r="B7984" t="s">
        <v>4655</v>
      </c>
      <c r="C7984" t="s">
        <v>36897</v>
      </c>
      <c r="D7984" s="1">
        <v>40297</v>
      </c>
      <c r="E7984" s="2">
        <v>535000</v>
      </c>
      <c r="F7984" t="s">
        <v>4567</v>
      </c>
      <c r="G7984" s="17" t="str">
        <f>HYPERLINK("https://www.washoecounty.gov/assessor/cama/?command=sales&amp;parid=53809307","3876176")</f>
        <v>3876176</v>
      </c>
      <c r="H7984" t="s">
        <v>1568</v>
      </c>
      <c r="I7984">
        <v>2007</v>
      </c>
      <c r="J7984">
        <v>2007</v>
      </c>
      <c r="K7984" t="s">
        <v>4554</v>
      </c>
      <c r="L7984" t="s">
        <v>4555</v>
      </c>
      <c r="M7984" s="2">
        <v>3488</v>
      </c>
      <c r="N7984" t="s">
        <v>3887</v>
      </c>
      <c r="O7984">
        <v>5</v>
      </c>
      <c r="P7984">
        <v>3</v>
      </c>
      <c r="Q7984">
        <v>0</v>
      </c>
      <c r="R7984" t="s">
        <v>5281</v>
      </c>
      <c r="S7984" t="s">
        <v>4898</v>
      </c>
      <c r="T7984" t="s">
        <v>2704</v>
      </c>
      <c r="U7984" t="s">
        <v>162</v>
      </c>
      <c r="V7984" s="2">
        <v>1562</v>
      </c>
      <c r="W7984" t="s">
        <v>4655</v>
      </c>
      <c r="X7984" s="2">
        <v>0</v>
      </c>
      <c r="Y7984">
        <v>20</v>
      </c>
      <c r="Z7984" t="s">
        <v>3884</v>
      </c>
      <c r="AA7984" s="3">
        <v>1.05746102333068</v>
      </c>
      <c r="AB7984" t="s">
        <v>36898</v>
      </c>
      <c r="AC7984" t="s">
        <v>4562</v>
      </c>
      <c r="AD7984" t="s">
        <v>36897</v>
      </c>
      <c r="AE7984" t="s">
        <v>4655</v>
      </c>
      <c r="AF7984" t="s">
        <v>5201</v>
      </c>
      <c r="AG7984" t="s">
        <v>4564</v>
      </c>
      <c r="AH7984" t="s">
        <v>1350</v>
      </c>
      <c r="AI7984" t="s">
        <v>36899</v>
      </c>
      <c r="AJ7984" t="s">
        <v>2110</v>
      </c>
      <c r="AK7984" t="s">
        <v>36900</v>
      </c>
      <c r="AL7984" s="13" t="s">
        <v>1892</v>
      </c>
      <c r="AM7984">
        <v>1</v>
      </c>
      <c r="AN7984" s="15" t="s">
        <v>3616</v>
      </c>
    </row>
    <row r="7985" spans="1:40" x14ac:dyDescent="0.3">
      <c r="A7985" s="10" t="str">
        <f>HYPERLINK("http://www.washoecounty.gov/assessor/cama/?parid=538-131-12&amp;CardNumber=1","538-131-12")</f>
        <v>538-131-12</v>
      </c>
      <c r="B7985" t="s">
        <v>4655</v>
      </c>
      <c r="C7985" t="s">
        <v>36901</v>
      </c>
      <c r="D7985" s="1">
        <v>40542</v>
      </c>
      <c r="E7985" s="2">
        <v>2500000</v>
      </c>
      <c r="F7985" t="s">
        <v>4201</v>
      </c>
      <c r="G7985" s="17" t="str">
        <f>HYPERLINK("https://www.washoecounty.gov/assessor/cama/?command=sales&amp;parid=53813112","3958883")</f>
        <v>3958883</v>
      </c>
      <c r="H7985" t="s">
        <v>36902</v>
      </c>
      <c r="I7985">
        <v>0</v>
      </c>
      <c r="J7985">
        <v>0</v>
      </c>
      <c r="K7985" t="s">
        <v>4655</v>
      </c>
      <c r="L7985" t="s">
        <v>4655</v>
      </c>
      <c r="M7985" s="2">
        <v>0</v>
      </c>
      <c r="N7985" t="s">
        <v>4655</v>
      </c>
      <c r="O7985">
        <v>0</v>
      </c>
      <c r="P7985">
        <v>0</v>
      </c>
      <c r="Q7985">
        <v>0</v>
      </c>
      <c r="R7985" t="s">
        <v>4655</v>
      </c>
      <c r="S7985" t="s">
        <v>4655</v>
      </c>
      <c r="T7985" t="s">
        <v>4655</v>
      </c>
      <c r="U7985" t="s">
        <v>4655</v>
      </c>
      <c r="V7985" s="2">
        <v>0</v>
      </c>
      <c r="W7985" t="s">
        <v>4655</v>
      </c>
      <c r="X7985" s="2">
        <v>0</v>
      </c>
      <c r="Y7985">
        <v>15</v>
      </c>
      <c r="Z7985" t="s">
        <v>4843</v>
      </c>
      <c r="AA7985" s="3">
        <v>1.78978419303894</v>
      </c>
      <c r="AB7985" t="s">
        <v>36903</v>
      </c>
      <c r="AC7985" t="s">
        <v>4562</v>
      </c>
      <c r="AD7985" t="s">
        <v>36904</v>
      </c>
      <c r="AE7985" t="s">
        <v>36905</v>
      </c>
      <c r="AF7985" t="s">
        <v>36906</v>
      </c>
      <c r="AG7985" t="s">
        <v>4564</v>
      </c>
      <c r="AH7985">
        <v>89119</v>
      </c>
      <c r="AI7985" t="s">
        <v>36907</v>
      </c>
      <c r="AJ7985" t="s">
        <v>36908</v>
      </c>
      <c r="AK7985" t="s">
        <v>36909</v>
      </c>
      <c r="AL7985" s="13" t="s">
        <v>1892</v>
      </c>
      <c r="AM7985">
        <v>0</v>
      </c>
      <c r="AN7985" s="15" t="s">
        <v>36264</v>
      </c>
    </row>
    <row r="7986" spans="1:40" x14ac:dyDescent="0.3">
      <c r="A7986" s="10" t="str">
        <f>HYPERLINK("http://www.washoecounty.gov/assessor/cama/?parid=538-161-02&amp;CardNumber=1","538-161-02")</f>
        <v>538-161-02</v>
      </c>
      <c r="B7986" t="s">
        <v>4655</v>
      </c>
      <c r="C7986" t="s">
        <v>36910</v>
      </c>
      <c r="D7986" s="1">
        <v>40542</v>
      </c>
      <c r="E7986" s="2">
        <v>224000</v>
      </c>
      <c r="F7986" t="s">
        <v>4201</v>
      </c>
      <c r="G7986" s="17" t="str">
        <f>HYPERLINK("https://www.washoecounty.gov/assessor/cama/?command=sales&amp;parid=53816102","3959289")</f>
        <v>3959289</v>
      </c>
      <c r="H7986" t="s">
        <v>36911</v>
      </c>
      <c r="I7986">
        <v>0</v>
      </c>
      <c r="J7986">
        <v>0</v>
      </c>
      <c r="K7986" t="s">
        <v>4655</v>
      </c>
      <c r="L7986" t="s">
        <v>4655</v>
      </c>
      <c r="M7986" s="2">
        <v>0</v>
      </c>
      <c r="N7986" t="s">
        <v>4655</v>
      </c>
      <c r="O7986">
        <v>0</v>
      </c>
      <c r="P7986">
        <v>0</v>
      </c>
      <c r="Q7986">
        <v>0</v>
      </c>
      <c r="R7986" t="s">
        <v>4655</v>
      </c>
      <c r="S7986" t="s">
        <v>4655</v>
      </c>
      <c r="T7986" t="s">
        <v>4655</v>
      </c>
      <c r="U7986" t="s">
        <v>4655</v>
      </c>
      <c r="V7986" s="2">
        <v>0</v>
      </c>
      <c r="W7986" t="s">
        <v>4655</v>
      </c>
      <c r="X7986" s="2">
        <v>0</v>
      </c>
      <c r="Y7986">
        <v>15</v>
      </c>
      <c r="Z7986" t="s">
        <v>4843</v>
      </c>
      <c r="AA7986" s="3">
        <v>0.53050965070724398</v>
      </c>
      <c r="AB7986" t="s">
        <v>36912</v>
      </c>
      <c r="AC7986" t="s">
        <v>4562</v>
      </c>
      <c r="AD7986" t="s">
        <v>32442</v>
      </c>
      <c r="AE7986" t="s">
        <v>4655</v>
      </c>
      <c r="AF7986" t="s">
        <v>5201</v>
      </c>
      <c r="AG7986" t="s">
        <v>4564</v>
      </c>
      <c r="AH7986" t="s">
        <v>3898</v>
      </c>
      <c r="AI7986" t="s">
        <v>36913</v>
      </c>
      <c r="AJ7986" t="s">
        <v>36914</v>
      </c>
      <c r="AK7986" t="s">
        <v>36915</v>
      </c>
      <c r="AL7986" s="13" t="s">
        <v>1892</v>
      </c>
      <c r="AM7986" s="14">
        <v>0</v>
      </c>
      <c r="AN7986" s="15" t="s">
        <v>36264</v>
      </c>
    </row>
    <row r="7987" spans="1:40" x14ac:dyDescent="0.3">
      <c r="A7987" s="10" t="str">
        <f>HYPERLINK("http://www.washoecounty.gov/assessor/cama/?parid=550-071-14&amp;CardNumber=1","550-071-14")</f>
        <v>550-071-14</v>
      </c>
      <c r="B7987" t="s">
        <v>4655</v>
      </c>
      <c r="C7987" t="s">
        <v>36916</v>
      </c>
      <c r="D7987" s="1">
        <v>40311</v>
      </c>
      <c r="E7987" s="2">
        <v>170500</v>
      </c>
      <c r="F7987" t="s">
        <v>4553</v>
      </c>
      <c r="G7987" s="17" t="str">
        <f>HYPERLINK("https://www.washoecounty.gov/assessor/cama/?command=sales&amp;parid=55007114","3881292")</f>
        <v>3881292</v>
      </c>
      <c r="H7987" t="s">
        <v>3904</v>
      </c>
      <c r="I7987">
        <v>1997</v>
      </c>
      <c r="J7987">
        <v>1997</v>
      </c>
      <c r="K7987" t="s">
        <v>4554</v>
      </c>
      <c r="L7987" t="s">
        <v>3974</v>
      </c>
      <c r="M7987" s="2">
        <v>2278</v>
      </c>
      <c r="N7987" t="s">
        <v>4048</v>
      </c>
      <c r="O7987">
        <v>3</v>
      </c>
      <c r="P7987">
        <v>3</v>
      </c>
      <c r="Q7987">
        <v>0</v>
      </c>
      <c r="R7987" t="s">
        <v>5281</v>
      </c>
      <c r="S7987" t="s">
        <v>4558</v>
      </c>
      <c r="T7987" t="s">
        <v>4559</v>
      </c>
      <c r="U7987" t="s">
        <v>5631</v>
      </c>
      <c r="V7987" s="2">
        <v>550</v>
      </c>
      <c r="W7987" t="s">
        <v>4655</v>
      </c>
      <c r="X7987" s="2">
        <v>0</v>
      </c>
      <c r="Y7987">
        <v>20</v>
      </c>
      <c r="Z7987" t="s">
        <v>1491</v>
      </c>
      <c r="AA7987" s="3">
        <v>0.14898990094661699</v>
      </c>
      <c r="AB7987" t="s">
        <v>36917</v>
      </c>
      <c r="AC7987" t="s">
        <v>4562</v>
      </c>
      <c r="AD7987" t="s">
        <v>36916</v>
      </c>
      <c r="AE7987" t="s">
        <v>4655</v>
      </c>
      <c r="AF7987" t="s">
        <v>4563</v>
      </c>
      <c r="AG7987" t="s">
        <v>4564</v>
      </c>
      <c r="AH7987">
        <v>89506</v>
      </c>
      <c r="AI7987" t="s">
        <v>26553</v>
      </c>
      <c r="AJ7987" t="s">
        <v>3905</v>
      </c>
      <c r="AK7987" t="s">
        <v>36918</v>
      </c>
      <c r="AL7987" s="13" t="s">
        <v>1901</v>
      </c>
      <c r="AM7987">
        <v>1</v>
      </c>
      <c r="AN7987" s="15" t="s">
        <v>1346</v>
      </c>
    </row>
    <row r="7988" spans="1:40" x14ac:dyDescent="0.3">
      <c r="A7988" s="10" t="str">
        <f>HYPERLINK("http://www.washoecounty.gov/assessor/cama/?parid=550-071-19&amp;CardNumber=1","550-071-19")</f>
        <v>550-071-19</v>
      </c>
      <c r="B7988" t="s">
        <v>4655</v>
      </c>
      <c r="C7988" t="s">
        <v>36919</v>
      </c>
      <c r="D7988" s="1">
        <v>40234</v>
      </c>
      <c r="E7988" s="2">
        <v>110000</v>
      </c>
      <c r="F7988" t="s">
        <v>4567</v>
      </c>
      <c r="G7988" s="17" t="str">
        <f>HYPERLINK("https://www.washoecounty.gov/assessor/cama/?command=sales&amp;parid=55007119","3852694")</f>
        <v>3852694</v>
      </c>
      <c r="H7988" t="s">
        <v>3904</v>
      </c>
      <c r="I7988">
        <v>1997</v>
      </c>
      <c r="J7988">
        <v>1997</v>
      </c>
      <c r="K7988" t="s">
        <v>4554</v>
      </c>
      <c r="L7988" t="s">
        <v>4555</v>
      </c>
      <c r="M7988" s="2">
        <v>1440</v>
      </c>
      <c r="N7988" t="s">
        <v>4048</v>
      </c>
      <c r="O7988">
        <v>3</v>
      </c>
      <c r="P7988">
        <v>2</v>
      </c>
      <c r="Q7988">
        <v>0</v>
      </c>
      <c r="R7988" t="s">
        <v>5281</v>
      </c>
      <c r="S7988" t="s">
        <v>4558</v>
      </c>
      <c r="T7988" t="s">
        <v>4559</v>
      </c>
      <c r="U7988" t="s">
        <v>4560</v>
      </c>
      <c r="V7988" s="2">
        <v>420</v>
      </c>
      <c r="W7988" t="s">
        <v>4655</v>
      </c>
      <c r="X7988" s="2">
        <v>0</v>
      </c>
      <c r="Y7988">
        <v>20</v>
      </c>
      <c r="Z7988" t="s">
        <v>1491</v>
      </c>
      <c r="AA7988" s="3">
        <v>0.148002758622169</v>
      </c>
      <c r="AB7988" t="s">
        <v>36920</v>
      </c>
      <c r="AC7988" t="s">
        <v>4562</v>
      </c>
      <c r="AD7988" t="s">
        <v>36919</v>
      </c>
      <c r="AE7988" t="s">
        <v>4655</v>
      </c>
      <c r="AF7988" t="s">
        <v>4563</v>
      </c>
      <c r="AG7988" t="s">
        <v>4564</v>
      </c>
      <c r="AH7988">
        <v>89506</v>
      </c>
      <c r="AI7988" t="s">
        <v>36921</v>
      </c>
      <c r="AJ7988" t="s">
        <v>3905</v>
      </c>
      <c r="AK7988" t="s">
        <v>36922</v>
      </c>
      <c r="AL7988" s="13" t="s">
        <v>1901</v>
      </c>
      <c r="AM7988" s="14">
        <v>1</v>
      </c>
      <c r="AN7988" s="15" t="s">
        <v>1346</v>
      </c>
    </row>
    <row r="7989" spans="1:40" x14ac:dyDescent="0.3">
      <c r="A7989" s="10" t="str">
        <f>HYPERLINK("http://www.washoecounty.gov/assessor/cama/?parid=550-072-05&amp;CardNumber=1","550-072-05")</f>
        <v>550-072-05</v>
      </c>
      <c r="B7989" t="s">
        <v>4655</v>
      </c>
      <c r="C7989" t="s">
        <v>36923</v>
      </c>
      <c r="D7989" s="1">
        <v>40406</v>
      </c>
      <c r="E7989" s="2">
        <v>110000</v>
      </c>
      <c r="F7989" t="s">
        <v>4553</v>
      </c>
      <c r="G7989" s="17" t="str">
        <f>HYPERLINK("https://www.washoecounty.gov/assessor/cama/?command=sales&amp;parid=55007205","3912087")</f>
        <v>3912087</v>
      </c>
      <c r="H7989" t="s">
        <v>3904</v>
      </c>
      <c r="I7989">
        <v>1997</v>
      </c>
      <c r="J7989">
        <v>1997</v>
      </c>
      <c r="K7989" t="s">
        <v>4554</v>
      </c>
      <c r="L7989" t="s">
        <v>4555</v>
      </c>
      <c r="M7989" s="2">
        <v>1440</v>
      </c>
      <c r="N7989" t="s">
        <v>4048</v>
      </c>
      <c r="O7989">
        <v>3</v>
      </c>
      <c r="P7989">
        <v>2</v>
      </c>
      <c r="Q7989">
        <v>0</v>
      </c>
      <c r="R7989" t="s">
        <v>5281</v>
      </c>
      <c r="S7989" t="s">
        <v>4558</v>
      </c>
      <c r="T7989" t="s">
        <v>4559</v>
      </c>
      <c r="U7989" t="s">
        <v>4560</v>
      </c>
      <c r="V7989" s="2">
        <v>420</v>
      </c>
      <c r="W7989" t="s">
        <v>4655</v>
      </c>
      <c r="X7989" s="2">
        <v>0</v>
      </c>
      <c r="Y7989">
        <v>20</v>
      </c>
      <c r="Z7989" t="s">
        <v>1491</v>
      </c>
      <c r="AA7989" s="3">
        <v>0.18500918149948101</v>
      </c>
      <c r="AB7989" t="s">
        <v>36924</v>
      </c>
      <c r="AC7989" t="s">
        <v>4562</v>
      </c>
      <c r="AD7989" t="s">
        <v>36923</v>
      </c>
      <c r="AE7989" t="s">
        <v>4655</v>
      </c>
      <c r="AF7989" t="s">
        <v>4563</v>
      </c>
      <c r="AG7989" t="s">
        <v>4564</v>
      </c>
      <c r="AH7989">
        <v>89506</v>
      </c>
      <c r="AI7989" t="s">
        <v>4655</v>
      </c>
      <c r="AJ7989" t="s">
        <v>3905</v>
      </c>
      <c r="AK7989" t="s">
        <v>36925</v>
      </c>
      <c r="AL7989" s="13" t="s">
        <v>1901</v>
      </c>
      <c r="AM7989" s="14">
        <v>1</v>
      </c>
      <c r="AN7989" s="15" t="s">
        <v>1346</v>
      </c>
    </row>
    <row r="7990" spans="1:40" x14ac:dyDescent="0.3">
      <c r="A7990" s="10" t="str">
        <f>HYPERLINK("http://www.washoecounty.gov/assessor/cama/?parid=550-073-03&amp;CardNumber=1","550-073-03")</f>
        <v>550-073-03</v>
      </c>
      <c r="B7990" t="s">
        <v>4655</v>
      </c>
      <c r="C7990" t="s">
        <v>36926</v>
      </c>
      <c r="D7990" s="1">
        <v>40268</v>
      </c>
      <c r="E7990" s="2">
        <v>120000</v>
      </c>
      <c r="F7990" t="s">
        <v>4567</v>
      </c>
      <c r="G7990" s="17" t="str">
        <f>HYPERLINK("https://www.washoecounty.gov/assessor/cama/?command=sales&amp;parid=55007303","3866595")</f>
        <v>3866595</v>
      </c>
      <c r="H7990" t="s">
        <v>3904</v>
      </c>
      <c r="I7990">
        <v>1997</v>
      </c>
      <c r="J7990">
        <v>1997</v>
      </c>
      <c r="K7990" t="s">
        <v>4554</v>
      </c>
      <c r="L7990" t="s">
        <v>4555</v>
      </c>
      <c r="M7990" s="2">
        <v>1440</v>
      </c>
      <c r="N7990" t="s">
        <v>4048</v>
      </c>
      <c r="O7990">
        <v>4</v>
      </c>
      <c r="P7990">
        <v>2</v>
      </c>
      <c r="Q7990">
        <v>0</v>
      </c>
      <c r="R7990" t="s">
        <v>4557</v>
      </c>
      <c r="S7990" t="s">
        <v>4558</v>
      </c>
      <c r="T7990" t="s">
        <v>4559</v>
      </c>
      <c r="U7990" t="s">
        <v>4560</v>
      </c>
      <c r="V7990" s="2">
        <v>420</v>
      </c>
      <c r="W7990" t="s">
        <v>4655</v>
      </c>
      <c r="X7990" s="2">
        <v>0</v>
      </c>
      <c r="Y7990">
        <v>20</v>
      </c>
      <c r="Z7990" t="s">
        <v>1491</v>
      </c>
      <c r="AA7990" s="3">
        <v>0.14600551128387501</v>
      </c>
      <c r="AB7990" t="s">
        <v>36927</v>
      </c>
      <c r="AC7990" t="s">
        <v>4562</v>
      </c>
      <c r="AD7990" t="s">
        <v>36926</v>
      </c>
      <c r="AE7990" t="s">
        <v>4655</v>
      </c>
      <c r="AF7990" t="s">
        <v>4563</v>
      </c>
      <c r="AG7990" t="s">
        <v>4564</v>
      </c>
      <c r="AH7990">
        <v>89506</v>
      </c>
      <c r="AI7990" t="s">
        <v>4655</v>
      </c>
      <c r="AJ7990" t="s">
        <v>3905</v>
      </c>
      <c r="AK7990" t="s">
        <v>36928</v>
      </c>
      <c r="AL7990" s="13" t="s">
        <v>1901</v>
      </c>
      <c r="AM7990">
        <v>1</v>
      </c>
      <c r="AN7990" s="15" t="s">
        <v>1346</v>
      </c>
    </row>
    <row r="7991" spans="1:40" x14ac:dyDescent="0.3">
      <c r="A7991" s="10" t="str">
        <f>HYPERLINK("http://www.washoecounty.gov/assessor/cama/?parid=550-081-03&amp;CardNumber=1","550-081-03")</f>
        <v>550-081-03</v>
      </c>
      <c r="B7991" t="s">
        <v>4655</v>
      </c>
      <c r="C7991" t="s">
        <v>36929</v>
      </c>
      <c r="D7991" s="1">
        <v>40476</v>
      </c>
      <c r="E7991" s="2">
        <v>160500</v>
      </c>
      <c r="F7991" t="s">
        <v>4553</v>
      </c>
      <c r="G7991" s="17" t="str">
        <f>HYPERLINK("https://www.washoecounty.gov/assessor/cama/?command=sales&amp;parid=55008103","3936296")</f>
        <v>3936296</v>
      </c>
      <c r="H7991" t="s">
        <v>1663</v>
      </c>
      <c r="I7991">
        <v>1997</v>
      </c>
      <c r="J7991">
        <v>1997</v>
      </c>
      <c r="K7991" t="s">
        <v>4554</v>
      </c>
      <c r="L7991" t="s">
        <v>3974</v>
      </c>
      <c r="M7991" s="2">
        <v>1782</v>
      </c>
      <c r="N7991" t="s">
        <v>4048</v>
      </c>
      <c r="O7991">
        <v>2</v>
      </c>
      <c r="P7991">
        <v>2</v>
      </c>
      <c r="Q7991">
        <v>1</v>
      </c>
      <c r="R7991" t="s">
        <v>5281</v>
      </c>
      <c r="S7991" t="s">
        <v>4558</v>
      </c>
      <c r="T7991" t="s">
        <v>4559</v>
      </c>
      <c r="U7991" t="s">
        <v>4560</v>
      </c>
      <c r="V7991" s="2">
        <v>608</v>
      </c>
      <c r="W7991" t="s">
        <v>4655</v>
      </c>
      <c r="X7991" s="2">
        <v>0</v>
      </c>
      <c r="Y7991">
        <v>20</v>
      </c>
      <c r="Z7991" t="s">
        <v>1491</v>
      </c>
      <c r="AA7991" s="3">
        <v>0.25500458478927601</v>
      </c>
      <c r="AB7991" t="s">
        <v>36930</v>
      </c>
      <c r="AC7991" t="s">
        <v>4575</v>
      </c>
      <c r="AD7991" t="s">
        <v>36929</v>
      </c>
      <c r="AE7991" t="s">
        <v>4655</v>
      </c>
      <c r="AF7991" t="s">
        <v>4563</v>
      </c>
      <c r="AG7991" t="s">
        <v>4564</v>
      </c>
      <c r="AH7991">
        <v>89506</v>
      </c>
      <c r="AI7991" t="s">
        <v>11748</v>
      </c>
      <c r="AJ7991" t="s">
        <v>2080</v>
      </c>
      <c r="AK7991" t="s">
        <v>36931</v>
      </c>
      <c r="AL7991" s="13" t="s">
        <v>1901</v>
      </c>
      <c r="AM7991" s="14">
        <v>1</v>
      </c>
      <c r="AN7991" s="15" t="s">
        <v>1346</v>
      </c>
    </row>
    <row r="7992" spans="1:40" x14ac:dyDescent="0.3">
      <c r="A7992" s="10" t="str">
        <f>HYPERLINK("http://www.washoecounty.gov/assessor/cama/?parid=550-082-02&amp;CardNumber=1","550-082-02")</f>
        <v>550-082-02</v>
      </c>
      <c r="B7992" t="s">
        <v>4655</v>
      </c>
      <c r="C7992" t="s">
        <v>36932</v>
      </c>
      <c r="D7992" s="1">
        <v>40409</v>
      </c>
      <c r="E7992" s="2">
        <v>129900</v>
      </c>
      <c r="F7992" t="s">
        <v>4553</v>
      </c>
      <c r="G7992" s="17" t="str">
        <f>HYPERLINK("https://www.washoecounty.gov/assessor/cama/?command=sales&amp;parid=55008202","3913681")</f>
        <v>3913681</v>
      </c>
      <c r="H7992" t="s">
        <v>1663</v>
      </c>
      <c r="I7992">
        <v>1997</v>
      </c>
      <c r="J7992">
        <v>1997</v>
      </c>
      <c r="K7992" t="s">
        <v>4554</v>
      </c>
      <c r="L7992" t="s">
        <v>4555</v>
      </c>
      <c r="M7992" s="2">
        <v>1419</v>
      </c>
      <c r="N7992" t="s">
        <v>4048</v>
      </c>
      <c r="O7992">
        <v>3</v>
      </c>
      <c r="P7992">
        <v>2</v>
      </c>
      <c r="Q7992">
        <v>0</v>
      </c>
      <c r="R7992" t="s">
        <v>5281</v>
      </c>
      <c r="S7992" t="s">
        <v>4558</v>
      </c>
      <c r="T7992" t="s">
        <v>4559</v>
      </c>
      <c r="U7992" t="s">
        <v>4560</v>
      </c>
      <c r="V7992" s="2">
        <v>682</v>
      </c>
      <c r="W7992" t="s">
        <v>4655</v>
      </c>
      <c r="X7992" s="2">
        <v>0</v>
      </c>
      <c r="Y7992">
        <v>20</v>
      </c>
      <c r="Z7992" t="s">
        <v>1491</v>
      </c>
      <c r="AA7992" s="3">
        <v>0.14499540627002699</v>
      </c>
      <c r="AB7992" t="s">
        <v>4673</v>
      </c>
      <c r="AC7992" t="s">
        <v>4562</v>
      </c>
      <c r="AD7992" t="s">
        <v>3093</v>
      </c>
      <c r="AE7992" t="s">
        <v>4655</v>
      </c>
      <c r="AF7992" t="s">
        <v>4563</v>
      </c>
      <c r="AG7992" t="s">
        <v>4564</v>
      </c>
      <c r="AH7992">
        <v>89512</v>
      </c>
      <c r="AI7992" t="s">
        <v>4565</v>
      </c>
      <c r="AJ7992" t="s">
        <v>2080</v>
      </c>
      <c r="AK7992" t="s">
        <v>36933</v>
      </c>
      <c r="AL7992" s="13" t="s">
        <v>1901</v>
      </c>
      <c r="AM7992">
        <v>1</v>
      </c>
      <c r="AN7992" s="15" t="s">
        <v>1346</v>
      </c>
    </row>
    <row r="7993" spans="1:40" x14ac:dyDescent="0.3">
      <c r="A7993" s="10" t="str">
        <f>HYPERLINK("http://www.washoecounty.gov/assessor/cama/?parid=550-082-05&amp;CardNumber=1","550-082-05")</f>
        <v>550-082-05</v>
      </c>
      <c r="B7993" t="s">
        <v>4655</v>
      </c>
      <c r="C7993" t="s">
        <v>36934</v>
      </c>
      <c r="D7993" s="1">
        <v>40312</v>
      </c>
      <c r="E7993" s="2">
        <v>155000</v>
      </c>
      <c r="F7993" t="s">
        <v>4567</v>
      </c>
      <c r="G7993" s="17" t="str">
        <f>HYPERLINK("https://www.washoecounty.gov/assessor/cama/?command=sales&amp;parid=55008205","3881703")</f>
        <v>3881703</v>
      </c>
      <c r="H7993" t="s">
        <v>1663</v>
      </c>
      <c r="I7993">
        <v>1997</v>
      </c>
      <c r="J7993">
        <v>1997</v>
      </c>
      <c r="K7993" t="s">
        <v>4554</v>
      </c>
      <c r="L7993" t="s">
        <v>4555</v>
      </c>
      <c r="M7993" s="2">
        <v>1574</v>
      </c>
      <c r="N7993" t="s">
        <v>4048</v>
      </c>
      <c r="O7993">
        <v>3</v>
      </c>
      <c r="P7993">
        <v>2</v>
      </c>
      <c r="Q7993">
        <v>0</v>
      </c>
      <c r="R7993" t="s">
        <v>4557</v>
      </c>
      <c r="S7993" t="s">
        <v>4558</v>
      </c>
      <c r="T7993" t="s">
        <v>4559</v>
      </c>
      <c r="U7993" t="s">
        <v>4560</v>
      </c>
      <c r="V7993" s="2">
        <v>526</v>
      </c>
      <c r="W7993" t="s">
        <v>4655</v>
      </c>
      <c r="X7993" s="2">
        <v>0</v>
      </c>
      <c r="Y7993">
        <v>20</v>
      </c>
      <c r="Z7993" t="s">
        <v>1491</v>
      </c>
      <c r="AA7993" s="3">
        <v>0.28799358010292098</v>
      </c>
      <c r="AB7993" t="s">
        <v>36935</v>
      </c>
      <c r="AC7993" t="s">
        <v>4562</v>
      </c>
      <c r="AD7993" t="s">
        <v>36934</v>
      </c>
      <c r="AE7993" t="s">
        <v>4655</v>
      </c>
      <c r="AF7993" t="s">
        <v>4563</v>
      </c>
      <c r="AG7993" t="s">
        <v>4564</v>
      </c>
      <c r="AH7993">
        <v>89506</v>
      </c>
      <c r="AI7993" t="s">
        <v>36936</v>
      </c>
      <c r="AJ7993" t="s">
        <v>2080</v>
      </c>
      <c r="AK7993" t="s">
        <v>36937</v>
      </c>
      <c r="AL7993" s="13" t="s">
        <v>1901</v>
      </c>
      <c r="AM7993">
        <v>1</v>
      </c>
      <c r="AN7993" s="15" t="s">
        <v>1346</v>
      </c>
    </row>
    <row r="7994" spans="1:40" x14ac:dyDescent="0.3">
      <c r="A7994" s="10" t="str">
        <f>HYPERLINK("http://www.washoecounty.gov/assessor/cama/?parid=550-082-11&amp;CardNumber=1","550-082-11")</f>
        <v>550-082-11</v>
      </c>
      <c r="B7994" t="s">
        <v>4655</v>
      </c>
      <c r="C7994" t="s">
        <v>36938</v>
      </c>
      <c r="D7994" s="1">
        <v>40357</v>
      </c>
      <c r="E7994" s="2">
        <v>128000</v>
      </c>
      <c r="F7994" t="s">
        <v>4567</v>
      </c>
      <c r="G7994" s="17" t="str">
        <f>HYPERLINK("https://www.washoecounty.gov/assessor/cama/?command=sales&amp;parid=55008211","3896078")</f>
        <v>3896078</v>
      </c>
      <c r="H7994" t="s">
        <v>1663</v>
      </c>
      <c r="I7994">
        <v>1997</v>
      </c>
      <c r="J7994">
        <v>1997</v>
      </c>
      <c r="K7994" t="s">
        <v>4554</v>
      </c>
      <c r="L7994" t="s">
        <v>4555</v>
      </c>
      <c r="M7994" s="2">
        <v>1384</v>
      </c>
      <c r="N7994" t="s">
        <v>4048</v>
      </c>
      <c r="O7994">
        <v>3</v>
      </c>
      <c r="P7994">
        <v>2</v>
      </c>
      <c r="Q7994">
        <v>0</v>
      </c>
      <c r="R7994" t="s">
        <v>5281</v>
      </c>
      <c r="S7994" t="s">
        <v>4558</v>
      </c>
      <c r="T7994" t="s">
        <v>4559</v>
      </c>
      <c r="U7994" t="s">
        <v>4560</v>
      </c>
      <c r="V7994" s="2">
        <v>550</v>
      </c>
      <c r="W7994" t="s">
        <v>4655</v>
      </c>
      <c r="X7994" s="2">
        <v>0</v>
      </c>
      <c r="Y7994">
        <v>20</v>
      </c>
      <c r="Z7994" t="s">
        <v>1491</v>
      </c>
      <c r="AA7994" s="3">
        <v>0.27601009607315102</v>
      </c>
      <c r="AB7994" t="s">
        <v>36939</v>
      </c>
      <c r="AC7994" t="s">
        <v>4562</v>
      </c>
      <c r="AD7994" t="s">
        <v>36940</v>
      </c>
      <c r="AE7994" t="s">
        <v>4655</v>
      </c>
      <c r="AF7994" t="s">
        <v>4563</v>
      </c>
      <c r="AG7994" t="s">
        <v>4564</v>
      </c>
      <c r="AH7994">
        <v>89506</v>
      </c>
      <c r="AI7994" t="s">
        <v>36941</v>
      </c>
      <c r="AJ7994" t="s">
        <v>2080</v>
      </c>
      <c r="AK7994" t="s">
        <v>36942</v>
      </c>
      <c r="AL7994" s="13" t="s">
        <v>1901</v>
      </c>
      <c r="AM7994">
        <v>1</v>
      </c>
      <c r="AN7994" s="15" t="s">
        <v>1346</v>
      </c>
    </row>
    <row r="7995" spans="1:40" x14ac:dyDescent="0.3">
      <c r="A7995" s="10" t="str">
        <f>HYPERLINK("http://www.washoecounty.gov/assessor/cama/?parid=550-082-12&amp;CardNumber=1","550-082-12")</f>
        <v>550-082-12</v>
      </c>
      <c r="B7995" t="s">
        <v>4655</v>
      </c>
      <c r="C7995" t="s">
        <v>36943</v>
      </c>
      <c r="D7995" s="1">
        <v>40456</v>
      </c>
      <c r="E7995" s="2">
        <v>142000</v>
      </c>
      <c r="F7995" t="s">
        <v>4567</v>
      </c>
      <c r="G7995" s="17" t="str">
        <f>HYPERLINK("https://www.washoecounty.gov/assessor/cama/?command=sales&amp;parid=55008212","3929879")</f>
        <v>3929879</v>
      </c>
      <c r="H7995" t="s">
        <v>1663</v>
      </c>
      <c r="I7995">
        <v>1997</v>
      </c>
      <c r="J7995">
        <v>1997</v>
      </c>
      <c r="K7995" t="s">
        <v>4554</v>
      </c>
      <c r="L7995" t="s">
        <v>4555</v>
      </c>
      <c r="M7995" s="2">
        <v>1551</v>
      </c>
      <c r="N7995" t="s">
        <v>4048</v>
      </c>
      <c r="O7995">
        <v>3</v>
      </c>
      <c r="P7995">
        <v>2</v>
      </c>
      <c r="Q7995">
        <v>0</v>
      </c>
      <c r="R7995" t="s">
        <v>5281</v>
      </c>
      <c r="S7995" t="s">
        <v>4558</v>
      </c>
      <c r="T7995" t="s">
        <v>4559</v>
      </c>
      <c r="U7995" t="s">
        <v>4560</v>
      </c>
      <c r="V7995" s="2">
        <v>550</v>
      </c>
      <c r="W7995" t="s">
        <v>4655</v>
      </c>
      <c r="X7995" s="2">
        <v>0</v>
      </c>
      <c r="Y7995">
        <v>20</v>
      </c>
      <c r="Z7995" t="s">
        <v>1491</v>
      </c>
      <c r="AA7995" s="3">
        <v>0.24699264764785767</v>
      </c>
      <c r="AB7995" t="s">
        <v>36944</v>
      </c>
      <c r="AC7995" t="s">
        <v>4562</v>
      </c>
      <c r="AD7995" t="s">
        <v>36943</v>
      </c>
      <c r="AE7995" t="s">
        <v>4655</v>
      </c>
      <c r="AF7995" t="s">
        <v>4563</v>
      </c>
      <c r="AG7995" t="s">
        <v>4564</v>
      </c>
      <c r="AH7995">
        <v>89506</v>
      </c>
      <c r="AI7995" t="s">
        <v>36945</v>
      </c>
      <c r="AJ7995" t="s">
        <v>2080</v>
      </c>
      <c r="AK7995" t="s">
        <v>36946</v>
      </c>
      <c r="AL7995" s="13" t="s">
        <v>1901</v>
      </c>
      <c r="AM7995">
        <v>1</v>
      </c>
      <c r="AN7995" s="15" t="s">
        <v>1346</v>
      </c>
    </row>
    <row r="7996" spans="1:40" x14ac:dyDescent="0.3">
      <c r="A7996" s="10" t="str">
        <f>HYPERLINK("http://www.washoecounty.gov/assessor/cama/?parid=550-082-29&amp;CardNumber=1","550-082-29")</f>
        <v>550-082-29</v>
      </c>
      <c r="B7996" t="s">
        <v>4655</v>
      </c>
      <c r="C7996" t="s">
        <v>36947</v>
      </c>
      <c r="D7996" s="1">
        <v>40303</v>
      </c>
      <c r="E7996" s="2">
        <v>134000</v>
      </c>
      <c r="F7996" t="s">
        <v>4553</v>
      </c>
      <c r="G7996" s="17" t="str">
        <f>HYPERLINK("https://www.washoecounty.gov/assessor/cama/?command=sales&amp;parid=55008229","3878479")</f>
        <v>3878479</v>
      </c>
      <c r="H7996" t="s">
        <v>1663</v>
      </c>
      <c r="I7996">
        <v>1998</v>
      </c>
      <c r="J7996">
        <v>1998</v>
      </c>
      <c r="K7996" t="s">
        <v>4554</v>
      </c>
      <c r="L7996" t="s">
        <v>4555</v>
      </c>
      <c r="M7996" s="2">
        <v>1419</v>
      </c>
      <c r="N7996" t="s">
        <v>4048</v>
      </c>
      <c r="O7996">
        <v>3</v>
      </c>
      <c r="P7996">
        <v>2</v>
      </c>
      <c r="Q7996">
        <v>0</v>
      </c>
      <c r="R7996" t="s">
        <v>4557</v>
      </c>
      <c r="S7996" t="s">
        <v>4558</v>
      </c>
      <c r="T7996" t="s">
        <v>4559</v>
      </c>
      <c r="U7996" t="s">
        <v>4560</v>
      </c>
      <c r="V7996" s="2">
        <v>682</v>
      </c>
      <c r="W7996" t="s">
        <v>4655</v>
      </c>
      <c r="X7996" s="2">
        <v>0</v>
      </c>
      <c r="Y7996">
        <v>20</v>
      </c>
      <c r="Z7996" t="s">
        <v>1491</v>
      </c>
      <c r="AA7996" s="3">
        <v>0.15500459074974099</v>
      </c>
      <c r="AB7996" t="s">
        <v>36948</v>
      </c>
      <c r="AC7996" t="s">
        <v>4575</v>
      </c>
      <c r="AD7996" t="s">
        <v>36947</v>
      </c>
      <c r="AE7996" t="s">
        <v>4655</v>
      </c>
      <c r="AF7996" t="s">
        <v>4563</v>
      </c>
      <c r="AG7996" t="s">
        <v>4564</v>
      </c>
      <c r="AH7996">
        <v>89506</v>
      </c>
      <c r="AI7996" t="s">
        <v>4848</v>
      </c>
      <c r="AJ7996" t="s">
        <v>2080</v>
      </c>
      <c r="AK7996" t="s">
        <v>36949</v>
      </c>
      <c r="AL7996" s="13" t="s">
        <v>1901</v>
      </c>
      <c r="AM7996" s="14">
        <v>1</v>
      </c>
      <c r="AN7996" s="15" t="s">
        <v>1346</v>
      </c>
    </row>
    <row r="7997" spans="1:40" x14ac:dyDescent="0.3">
      <c r="A7997" s="10" t="str">
        <f>HYPERLINK("http://www.washoecounty.gov/assessor/cama/?parid=550-083-09&amp;CardNumber=1","550-083-09")</f>
        <v>550-083-09</v>
      </c>
      <c r="B7997" t="s">
        <v>4655</v>
      </c>
      <c r="C7997" t="s">
        <v>36950</v>
      </c>
      <c r="D7997" s="1">
        <v>40330</v>
      </c>
      <c r="E7997" s="2">
        <v>140000</v>
      </c>
      <c r="F7997" t="s">
        <v>4553</v>
      </c>
      <c r="G7997" s="17" t="str">
        <f>HYPERLINK("https://www.washoecounty.gov/assessor/cama/?command=sales&amp;parid=55008309","3887214")</f>
        <v>3887214</v>
      </c>
      <c r="H7997" t="s">
        <v>1663</v>
      </c>
      <c r="I7997">
        <v>1997</v>
      </c>
      <c r="J7997">
        <v>1997</v>
      </c>
      <c r="K7997" t="s">
        <v>4554</v>
      </c>
      <c r="L7997" t="s">
        <v>3974</v>
      </c>
      <c r="M7997" s="2">
        <v>2183</v>
      </c>
      <c r="N7997" t="s">
        <v>4048</v>
      </c>
      <c r="O7997">
        <v>4</v>
      </c>
      <c r="P7997">
        <v>3</v>
      </c>
      <c r="Q7997">
        <v>0</v>
      </c>
      <c r="R7997" t="s">
        <v>4557</v>
      </c>
      <c r="S7997" t="s">
        <v>4558</v>
      </c>
      <c r="T7997" t="s">
        <v>4559</v>
      </c>
      <c r="U7997" t="s">
        <v>4560</v>
      </c>
      <c r="V7997" s="2">
        <v>562</v>
      </c>
      <c r="W7997" t="s">
        <v>4655</v>
      </c>
      <c r="X7997" s="2">
        <v>0</v>
      </c>
      <c r="Y7997">
        <v>20</v>
      </c>
      <c r="Z7997" t="s">
        <v>1491</v>
      </c>
      <c r="AA7997" s="3">
        <v>0.14600551128387501</v>
      </c>
      <c r="AB7997" t="s">
        <v>36951</v>
      </c>
      <c r="AC7997" t="s">
        <v>4562</v>
      </c>
      <c r="AD7997" t="s">
        <v>36952</v>
      </c>
      <c r="AE7997" t="s">
        <v>4655</v>
      </c>
      <c r="AF7997" t="s">
        <v>4563</v>
      </c>
      <c r="AG7997" t="s">
        <v>4564</v>
      </c>
      <c r="AH7997">
        <v>89506</v>
      </c>
      <c r="AI7997" t="s">
        <v>4848</v>
      </c>
      <c r="AJ7997" t="s">
        <v>2080</v>
      </c>
      <c r="AK7997" t="s">
        <v>36953</v>
      </c>
      <c r="AL7997" s="13" t="s">
        <v>1901</v>
      </c>
      <c r="AM7997">
        <v>1</v>
      </c>
      <c r="AN7997" s="15" t="s">
        <v>1346</v>
      </c>
    </row>
    <row r="7998" spans="1:40" x14ac:dyDescent="0.3">
      <c r="A7998" s="10" t="str">
        <f>HYPERLINK("http://www.washoecounty.gov/assessor/cama/?parid=550-101-03&amp;CardNumber=1","550-101-03")</f>
        <v>550-101-03</v>
      </c>
      <c r="B7998" t="s">
        <v>4655</v>
      </c>
      <c r="C7998" t="s">
        <v>36954</v>
      </c>
      <c r="D7998" s="1">
        <v>40225</v>
      </c>
      <c r="E7998" s="2">
        <v>126000</v>
      </c>
      <c r="F7998" t="s">
        <v>4553</v>
      </c>
      <c r="G7998" s="17" t="str">
        <f>HYPERLINK("https://www.washoecounty.gov/assessor/cama/?command=sales&amp;parid=55010103","3849475")</f>
        <v>3849475</v>
      </c>
      <c r="H7998" t="s">
        <v>3617</v>
      </c>
      <c r="I7998">
        <v>1999</v>
      </c>
      <c r="J7998">
        <v>1999</v>
      </c>
      <c r="K7998" t="s">
        <v>4554</v>
      </c>
      <c r="L7998" t="s">
        <v>4555</v>
      </c>
      <c r="M7998" s="2">
        <v>1361</v>
      </c>
      <c r="N7998" t="s">
        <v>4048</v>
      </c>
      <c r="O7998">
        <v>3</v>
      </c>
      <c r="P7998">
        <v>2</v>
      </c>
      <c r="Q7998">
        <v>0</v>
      </c>
      <c r="R7998" t="s">
        <v>4557</v>
      </c>
      <c r="S7998" t="s">
        <v>4558</v>
      </c>
      <c r="T7998" t="s">
        <v>4559</v>
      </c>
      <c r="U7998" t="s">
        <v>4560</v>
      </c>
      <c r="V7998" s="2">
        <v>616</v>
      </c>
      <c r="W7998" t="s">
        <v>4655</v>
      </c>
      <c r="X7998" s="2">
        <v>0</v>
      </c>
      <c r="Y7998">
        <v>20</v>
      </c>
      <c r="Z7998" t="s">
        <v>1491</v>
      </c>
      <c r="AA7998" s="3">
        <v>0.22699724137783051</v>
      </c>
      <c r="AB7998" t="s">
        <v>4673</v>
      </c>
      <c r="AC7998" t="s">
        <v>4562</v>
      </c>
      <c r="AD7998" t="s">
        <v>3093</v>
      </c>
      <c r="AE7998" t="s">
        <v>4655</v>
      </c>
      <c r="AF7998" t="s">
        <v>4563</v>
      </c>
      <c r="AG7998" t="s">
        <v>4564</v>
      </c>
      <c r="AH7998">
        <v>89512</v>
      </c>
      <c r="AI7998" t="s">
        <v>796</v>
      </c>
      <c r="AJ7998" t="s">
        <v>3618</v>
      </c>
      <c r="AK7998" t="s">
        <v>36955</v>
      </c>
      <c r="AL7998" s="13" t="s">
        <v>1901</v>
      </c>
      <c r="AM7998" s="14">
        <v>1</v>
      </c>
      <c r="AN7998" s="15" t="s">
        <v>1346</v>
      </c>
    </row>
    <row r="7999" spans="1:40" x14ac:dyDescent="0.3">
      <c r="A7999" s="10" t="str">
        <f>HYPERLINK("http://www.washoecounty.gov/assessor/cama/?parid=550-112-01&amp;CardNumber=1","550-112-01")</f>
        <v>550-112-01</v>
      </c>
      <c r="B7999" t="s">
        <v>4655</v>
      </c>
      <c r="C7999" t="s">
        <v>36956</v>
      </c>
      <c r="D7999" s="1">
        <v>40528</v>
      </c>
      <c r="E7999" s="2">
        <v>128000</v>
      </c>
      <c r="F7999" t="s">
        <v>4567</v>
      </c>
      <c r="G7999" s="17" t="str">
        <f>HYPERLINK("https://www.washoecounty.gov/assessor/cama/?command=sales&amp;parid=55011201","3953955")</f>
        <v>3953955</v>
      </c>
      <c r="H7999" t="s">
        <v>3617</v>
      </c>
      <c r="I7999">
        <v>1998</v>
      </c>
      <c r="J7999">
        <v>1998</v>
      </c>
      <c r="K7999" t="s">
        <v>4554</v>
      </c>
      <c r="L7999" t="s">
        <v>4555</v>
      </c>
      <c r="M7999" s="2">
        <v>1569</v>
      </c>
      <c r="N7999" t="s">
        <v>4048</v>
      </c>
      <c r="O7999">
        <v>3</v>
      </c>
      <c r="P7999">
        <v>2</v>
      </c>
      <c r="Q7999">
        <v>0</v>
      </c>
      <c r="R7999" t="s">
        <v>5281</v>
      </c>
      <c r="S7999" t="s">
        <v>4558</v>
      </c>
      <c r="T7999" t="s">
        <v>4559</v>
      </c>
      <c r="U7999" t="s">
        <v>4560</v>
      </c>
      <c r="V7999" s="2">
        <v>616</v>
      </c>
      <c r="W7999" t="s">
        <v>4655</v>
      </c>
      <c r="X7999" s="2">
        <v>0</v>
      </c>
      <c r="Y7999">
        <v>20</v>
      </c>
      <c r="Z7999" t="s">
        <v>1491</v>
      </c>
      <c r="AA7999" s="3">
        <v>0.223989903926849</v>
      </c>
      <c r="AB7999" t="s">
        <v>4673</v>
      </c>
      <c r="AC7999" t="s">
        <v>4562</v>
      </c>
      <c r="AD7999" t="s">
        <v>3093</v>
      </c>
      <c r="AE7999" t="s">
        <v>4655</v>
      </c>
      <c r="AF7999" t="s">
        <v>4563</v>
      </c>
      <c r="AG7999" t="s">
        <v>4564</v>
      </c>
      <c r="AH7999">
        <v>89512</v>
      </c>
      <c r="AI7999" t="s">
        <v>36957</v>
      </c>
      <c r="AJ7999" t="s">
        <v>3618</v>
      </c>
      <c r="AK7999" t="s">
        <v>36958</v>
      </c>
      <c r="AL7999" s="13" t="s">
        <v>1901</v>
      </c>
      <c r="AM7999">
        <v>1</v>
      </c>
      <c r="AN7999" s="15" t="s">
        <v>1346</v>
      </c>
    </row>
    <row r="8000" spans="1:40" x14ac:dyDescent="0.3">
      <c r="A8000" s="10" t="str">
        <f>HYPERLINK("http://www.washoecounty.gov/assessor/cama/?parid=550-112-03&amp;CardNumber=1","550-112-03")</f>
        <v>550-112-03</v>
      </c>
      <c r="B8000" t="s">
        <v>4655</v>
      </c>
      <c r="C8000" t="s">
        <v>36959</v>
      </c>
      <c r="D8000" s="1">
        <v>40332</v>
      </c>
      <c r="E8000" s="2">
        <v>144000</v>
      </c>
      <c r="F8000" t="s">
        <v>4567</v>
      </c>
      <c r="G8000" s="17" t="str">
        <f>HYPERLINK("https://www.washoecounty.gov/assessor/cama/?command=sales&amp;parid=55011203","3888254")</f>
        <v>3888254</v>
      </c>
      <c r="H8000" t="s">
        <v>3617</v>
      </c>
      <c r="I8000">
        <v>1999</v>
      </c>
      <c r="J8000">
        <v>1999</v>
      </c>
      <c r="K8000" t="s">
        <v>4554</v>
      </c>
      <c r="L8000" t="s">
        <v>4555</v>
      </c>
      <c r="M8000" s="2">
        <v>1702</v>
      </c>
      <c r="N8000" t="s">
        <v>4048</v>
      </c>
      <c r="O8000">
        <v>3</v>
      </c>
      <c r="P8000">
        <v>2</v>
      </c>
      <c r="Q8000">
        <v>0</v>
      </c>
      <c r="R8000" t="s">
        <v>4557</v>
      </c>
      <c r="S8000" t="s">
        <v>4558</v>
      </c>
      <c r="T8000" t="s">
        <v>4559</v>
      </c>
      <c r="U8000" t="s">
        <v>4560</v>
      </c>
      <c r="V8000" s="2">
        <v>604</v>
      </c>
      <c r="W8000" t="s">
        <v>4655</v>
      </c>
      <c r="X8000" s="2">
        <v>0</v>
      </c>
      <c r="Y8000">
        <v>20</v>
      </c>
      <c r="Z8000" t="s">
        <v>1491</v>
      </c>
      <c r="AA8000" s="3">
        <v>0.21999540925025901</v>
      </c>
      <c r="AB8000" t="s">
        <v>21566</v>
      </c>
      <c r="AC8000" t="s">
        <v>4575</v>
      </c>
      <c r="AD8000" t="s">
        <v>36959</v>
      </c>
      <c r="AE8000" t="s">
        <v>4655</v>
      </c>
      <c r="AF8000" t="s">
        <v>4563</v>
      </c>
      <c r="AG8000" t="s">
        <v>4564</v>
      </c>
      <c r="AH8000">
        <v>89506</v>
      </c>
      <c r="AI8000" t="s">
        <v>36960</v>
      </c>
      <c r="AJ8000" t="s">
        <v>3618</v>
      </c>
      <c r="AK8000" t="s">
        <v>36961</v>
      </c>
      <c r="AL8000" s="13" t="s">
        <v>1901</v>
      </c>
      <c r="AM8000">
        <v>1</v>
      </c>
      <c r="AN8000" s="15" t="s">
        <v>1346</v>
      </c>
    </row>
    <row r="8001" spans="1:40" x14ac:dyDescent="0.3">
      <c r="A8001" s="10" t="str">
        <f>HYPERLINK("http://www.washoecounty.gov/assessor/cama/?parid=550-113-05&amp;CardNumber=1","550-113-05")</f>
        <v>550-113-05</v>
      </c>
      <c r="B8001" t="s">
        <v>4655</v>
      </c>
      <c r="C8001" t="s">
        <v>36962</v>
      </c>
      <c r="D8001" s="1">
        <v>40515</v>
      </c>
      <c r="E8001" s="2">
        <v>114000</v>
      </c>
      <c r="F8001" t="s">
        <v>4553</v>
      </c>
      <c r="G8001" s="17" t="str">
        <f>HYPERLINK("https://www.washoecounty.gov/assessor/cama/?command=sales&amp;parid=55011305","3949042")</f>
        <v>3949042</v>
      </c>
      <c r="H8001" t="s">
        <v>3617</v>
      </c>
      <c r="I8001">
        <v>1998</v>
      </c>
      <c r="J8001">
        <v>1998</v>
      </c>
      <c r="K8001" t="s">
        <v>4554</v>
      </c>
      <c r="L8001" t="s">
        <v>4555</v>
      </c>
      <c r="M8001" s="2">
        <v>1702</v>
      </c>
      <c r="N8001" t="s">
        <v>4048</v>
      </c>
      <c r="O8001">
        <v>3</v>
      </c>
      <c r="P8001">
        <v>2</v>
      </c>
      <c r="Q8001">
        <v>0</v>
      </c>
      <c r="R8001" t="s">
        <v>5281</v>
      </c>
      <c r="S8001" t="s">
        <v>4558</v>
      </c>
      <c r="T8001" t="s">
        <v>4559</v>
      </c>
      <c r="U8001" t="s">
        <v>4560</v>
      </c>
      <c r="V8001" s="2">
        <v>604</v>
      </c>
      <c r="W8001" t="s">
        <v>4655</v>
      </c>
      <c r="X8001" s="2">
        <v>0</v>
      </c>
      <c r="Y8001">
        <v>20</v>
      </c>
      <c r="Z8001" t="s">
        <v>1491</v>
      </c>
      <c r="AA8001" s="3">
        <v>0.18599632382392883</v>
      </c>
      <c r="AB8001" t="s">
        <v>36963</v>
      </c>
      <c r="AC8001" t="s">
        <v>4562</v>
      </c>
      <c r="AD8001" t="s">
        <v>36962</v>
      </c>
      <c r="AE8001" t="s">
        <v>4655</v>
      </c>
      <c r="AF8001" t="s">
        <v>4563</v>
      </c>
      <c r="AG8001" t="s">
        <v>4564</v>
      </c>
      <c r="AH8001">
        <v>89506</v>
      </c>
      <c r="AI8001" t="s">
        <v>36964</v>
      </c>
      <c r="AJ8001" t="s">
        <v>3618</v>
      </c>
      <c r="AK8001" t="s">
        <v>36965</v>
      </c>
      <c r="AL8001" s="13" t="s">
        <v>1901</v>
      </c>
      <c r="AM8001">
        <v>1</v>
      </c>
      <c r="AN8001" s="15" t="s">
        <v>1346</v>
      </c>
    </row>
    <row r="8002" spans="1:40" x14ac:dyDescent="0.3">
      <c r="A8002" s="10" t="str">
        <f>HYPERLINK("http://www.washoecounty.gov/assessor/cama/?parid=550-131-06&amp;CardNumber=1","550-131-06")</f>
        <v>550-131-06</v>
      </c>
      <c r="B8002" t="s">
        <v>4655</v>
      </c>
      <c r="C8002" t="s">
        <v>36966</v>
      </c>
      <c r="D8002" s="1">
        <v>40533</v>
      </c>
      <c r="E8002" s="2">
        <v>141000</v>
      </c>
      <c r="F8002" t="s">
        <v>4553</v>
      </c>
      <c r="G8002" s="17" t="str">
        <f>HYPERLINK("https://www.washoecounty.gov/assessor/cama/?command=sales&amp;parid=55013106","3955956")</f>
        <v>3955956</v>
      </c>
      <c r="H8002" t="s">
        <v>2361</v>
      </c>
      <c r="I8002">
        <v>1999</v>
      </c>
      <c r="J8002">
        <v>1999</v>
      </c>
      <c r="K8002" t="s">
        <v>4554</v>
      </c>
      <c r="L8002" t="s">
        <v>3974</v>
      </c>
      <c r="M8002" s="2">
        <v>1782</v>
      </c>
      <c r="N8002" t="s">
        <v>4048</v>
      </c>
      <c r="O8002">
        <v>3</v>
      </c>
      <c r="P8002">
        <v>2</v>
      </c>
      <c r="Q8002">
        <v>1</v>
      </c>
      <c r="R8002" t="s">
        <v>5281</v>
      </c>
      <c r="S8002" t="s">
        <v>4898</v>
      </c>
      <c r="T8002" t="s">
        <v>4559</v>
      </c>
      <c r="U8002" t="s">
        <v>4560</v>
      </c>
      <c r="V8002" s="2">
        <v>608</v>
      </c>
      <c r="W8002" t="s">
        <v>4655</v>
      </c>
      <c r="X8002" s="2">
        <v>0</v>
      </c>
      <c r="Y8002">
        <v>20</v>
      </c>
      <c r="Z8002" t="s">
        <v>1491</v>
      </c>
      <c r="AA8002" s="3">
        <v>0.20101010799408001</v>
      </c>
      <c r="AB8002" t="s">
        <v>36967</v>
      </c>
      <c r="AC8002" t="s">
        <v>4562</v>
      </c>
      <c r="AD8002" t="s">
        <v>36966</v>
      </c>
      <c r="AE8002" t="s">
        <v>4655</v>
      </c>
      <c r="AF8002" t="s">
        <v>4563</v>
      </c>
      <c r="AG8002" t="s">
        <v>4564</v>
      </c>
      <c r="AH8002">
        <v>89506</v>
      </c>
      <c r="AI8002" t="s">
        <v>36968</v>
      </c>
      <c r="AJ8002" t="s">
        <v>2003</v>
      </c>
      <c r="AK8002" t="s">
        <v>36969</v>
      </c>
      <c r="AL8002" s="13" t="s">
        <v>1901</v>
      </c>
      <c r="AM8002">
        <v>1</v>
      </c>
      <c r="AN8002" s="15" t="s">
        <v>1346</v>
      </c>
    </row>
    <row r="8003" spans="1:40" x14ac:dyDescent="0.3">
      <c r="A8003" s="10" t="str">
        <f>HYPERLINK("http://www.washoecounty.gov/assessor/cama/?parid=550-133-05&amp;CardNumber=1","550-133-05")</f>
        <v>550-133-05</v>
      </c>
      <c r="B8003" t="s">
        <v>4655</v>
      </c>
      <c r="C8003" t="s">
        <v>36970</v>
      </c>
      <c r="D8003" s="1">
        <v>40339</v>
      </c>
      <c r="E8003" s="2">
        <v>148000</v>
      </c>
      <c r="F8003" t="s">
        <v>4567</v>
      </c>
      <c r="G8003" s="17" t="str">
        <f>HYPERLINK("https://www.washoecounty.gov/assessor/cama/?command=sales&amp;parid=55013305","3890058")</f>
        <v>3890058</v>
      </c>
      <c r="H8003" t="s">
        <v>2361</v>
      </c>
      <c r="I8003">
        <v>1999</v>
      </c>
      <c r="J8003">
        <v>1999</v>
      </c>
      <c r="K8003" t="s">
        <v>4554</v>
      </c>
      <c r="L8003" t="s">
        <v>3974</v>
      </c>
      <c r="M8003" s="2">
        <v>1782</v>
      </c>
      <c r="N8003" t="s">
        <v>4048</v>
      </c>
      <c r="O8003">
        <v>4</v>
      </c>
      <c r="P8003">
        <v>2</v>
      </c>
      <c r="Q8003">
        <v>1</v>
      </c>
      <c r="R8003" t="s">
        <v>4557</v>
      </c>
      <c r="S8003" t="s">
        <v>4558</v>
      </c>
      <c r="T8003" t="s">
        <v>4559</v>
      </c>
      <c r="U8003" t="s">
        <v>4560</v>
      </c>
      <c r="V8003" s="2">
        <v>608</v>
      </c>
      <c r="W8003" t="s">
        <v>4655</v>
      </c>
      <c r="X8003" s="2">
        <v>0</v>
      </c>
      <c r="Y8003">
        <v>20</v>
      </c>
      <c r="Z8003" t="s">
        <v>1491</v>
      </c>
      <c r="AA8003" s="3">
        <v>0.223989903926849</v>
      </c>
      <c r="AB8003" t="s">
        <v>36971</v>
      </c>
      <c r="AC8003" t="s">
        <v>4562</v>
      </c>
      <c r="AD8003" t="s">
        <v>36970</v>
      </c>
      <c r="AE8003" t="s">
        <v>4655</v>
      </c>
      <c r="AF8003" t="s">
        <v>4563</v>
      </c>
      <c r="AG8003" t="s">
        <v>4564</v>
      </c>
      <c r="AH8003">
        <v>89506</v>
      </c>
      <c r="AI8003" t="s">
        <v>36972</v>
      </c>
      <c r="AJ8003" t="s">
        <v>2003</v>
      </c>
      <c r="AK8003" t="s">
        <v>36973</v>
      </c>
      <c r="AL8003" s="13" t="s">
        <v>1901</v>
      </c>
      <c r="AM8003">
        <v>1</v>
      </c>
      <c r="AN8003" s="15" t="s">
        <v>1346</v>
      </c>
    </row>
    <row r="8004" spans="1:40" x14ac:dyDescent="0.3">
      <c r="A8004" s="10" t="str">
        <f>HYPERLINK("http://www.washoecounty.gov/assessor/cama/?parid=550-133-07&amp;CardNumber=1","550-133-07")</f>
        <v>550-133-07</v>
      </c>
      <c r="B8004" t="s">
        <v>4655</v>
      </c>
      <c r="C8004" t="s">
        <v>36974</v>
      </c>
      <c r="D8004" s="1">
        <v>40245</v>
      </c>
      <c r="E8004" s="2">
        <v>80000</v>
      </c>
      <c r="F8004" t="s">
        <v>4567</v>
      </c>
      <c r="G8004" s="17" t="str">
        <f>HYPERLINK("https://www.washoecounty.gov/assessor/cama/?command=sales&amp;parid=55013307","3856716")</f>
        <v>3856716</v>
      </c>
      <c r="H8004" t="s">
        <v>2361</v>
      </c>
      <c r="I8004">
        <v>1999</v>
      </c>
      <c r="J8004">
        <v>1999</v>
      </c>
      <c r="K8004" t="s">
        <v>4554</v>
      </c>
      <c r="L8004" t="s">
        <v>4555</v>
      </c>
      <c r="M8004" s="2">
        <v>1419</v>
      </c>
      <c r="N8004" t="s">
        <v>4048</v>
      </c>
      <c r="O8004">
        <v>3</v>
      </c>
      <c r="P8004">
        <v>2</v>
      </c>
      <c r="Q8004">
        <v>0</v>
      </c>
      <c r="R8004" t="s">
        <v>4557</v>
      </c>
      <c r="S8004" t="s">
        <v>4558</v>
      </c>
      <c r="T8004" t="s">
        <v>4559</v>
      </c>
      <c r="U8004" t="s">
        <v>4560</v>
      </c>
      <c r="V8004" s="2">
        <v>538</v>
      </c>
      <c r="W8004" t="s">
        <v>4655</v>
      </c>
      <c r="X8004" s="2">
        <v>0</v>
      </c>
      <c r="Y8004">
        <v>20</v>
      </c>
      <c r="Z8004" t="s">
        <v>1491</v>
      </c>
      <c r="AA8004" s="3">
        <v>0.19299817085266099</v>
      </c>
      <c r="AB8004" t="s">
        <v>34506</v>
      </c>
      <c r="AC8004" t="s">
        <v>4562</v>
      </c>
      <c r="AD8004" t="s">
        <v>34507</v>
      </c>
      <c r="AE8004" t="s">
        <v>4655</v>
      </c>
      <c r="AF8004" t="s">
        <v>4563</v>
      </c>
      <c r="AG8004" t="s">
        <v>4564</v>
      </c>
      <c r="AH8004">
        <v>89501</v>
      </c>
      <c r="AI8004" t="s">
        <v>36975</v>
      </c>
      <c r="AJ8004" t="s">
        <v>2003</v>
      </c>
      <c r="AK8004" t="s">
        <v>36976</v>
      </c>
      <c r="AL8004" s="13" t="s">
        <v>1901</v>
      </c>
      <c r="AM8004">
        <v>1</v>
      </c>
      <c r="AN8004" s="15" t="s">
        <v>1346</v>
      </c>
    </row>
    <row r="8005" spans="1:40" x14ac:dyDescent="0.3">
      <c r="A8005" s="10" t="str">
        <f>HYPERLINK("http://www.washoecounty.gov/assessor/cama/?parid=550-133-07&amp;CardNumber=1","550-133-07")</f>
        <v>550-133-07</v>
      </c>
      <c r="B8005" t="s">
        <v>4655</v>
      </c>
      <c r="C8005" t="s">
        <v>36974</v>
      </c>
      <c r="D8005" s="1">
        <v>40246</v>
      </c>
      <c r="E8005" s="2">
        <v>120000</v>
      </c>
      <c r="F8005" t="s">
        <v>4567</v>
      </c>
      <c r="G8005" s="17" t="str">
        <f>HYPERLINK("https://www.washoecounty.gov/assessor/cama/?command=sales&amp;parid=55013307","3857724")</f>
        <v>3857724</v>
      </c>
      <c r="H8005" t="s">
        <v>2361</v>
      </c>
      <c r="I8005">
        <v>1999</v>
      </c>
      <c r="J8005">
        <v>1999</v>
      </c>
      <c r="K8005" t="s">
        <v>4554</v>
      </c>
      <c r="L8005" t="s">
        <v>4555</v>
      </c>
      <c r="M8005" s="2">
        <v>1419</v>
      </c>
      <c r="N8005" t="s">
        <v>4048</v>
      </c>
      <c r="O8005">
        <v>3</v>
      </c>
      <c r="P8005">
        <v>2</v>
      </c>
      <c r="Q8005">
        <v>0</v>
      </c>
      <c r="R8005" t="s">
        <v>4557</v>
      </c>
      <c r="S8005" t="s">
        <v>4558</v>
      </c>
      <c r="T8005" t="s">
        <v>4559</v>
      </c>
      <c r="U8005" t="s">
        <v>4560</v>
      </c>
      <c r="V8005" s="2">
        <v>538</v>
      </c>
      <c r="W8005" t="s">
        <v>4655</v>
      </c>
      <c r="X8005" s="2">
        <v>0</v>
      </c>
      <c r="Y8005">
        <v>20</v>
      </c>
      <c r="Z8005" t="s">
        <v>1491</v>
      </c>
      <c r="AA8005" s="3">
        <v>0.19299817085266099</v>
      </c>
      <c r="AB8005" t="s">
        <v>34506</v>
      </c>
      <c r="AC8005" t="s">
        <v>4562</v>
      </c>
      <c r="AD8005" t="s">
        <v>34507</v>
      </c>
      <c r="AE8005" t="s">
        <v>4655</v>
      </c>
      <c r="AF8005" t="s">
        <v>4563</v>
      </c>
      <c r="AG8005" t="s">
        <v>4564</v>
      </c>
      <c r="AH8005">
        <v>89501</v>
      </c>
      <c r="AI8005" t="s">
        <v>36975</v>
      </c>
      <c r="AJ8005" t="s">
        <v>2003</v>
      </c>
      <c r="AK8005" t="s">
        <v>36976</v>
      </c>
      <c r="AL8005" s="13" t="s">
        <v>1901</v>
      </c>
      <c r="AM8005" s="14">
        <v>1</v>
      </c>
      <c r="AN8005" s="15" t="s">
        <v>1346</v>
      </c>
    </row>
    <row r="8006" spans="1:40" x14ac:dyDescent="0.3">
      <c r="A8006" s="10" t="str">
        <f>HYPERLINK("http://www.washoecounty.gov/assessor/cama/?parid=550-133-09&amp;CardNumber=1","550-133-09")</f>
        <v>550-133-09</v>
      </c>
      <c r="B8006" t="s">
        <v>4655</v>
      </c>
      <c r="C8006" t="s">
        <v>36977</v>
      </c>
      <c r="D8006" s="1">
        <v>40437</v>
      </c>
      <c r="E8006" s="2">
        <v>103500</v>
      </c>
      <c r="F8006" t="s">
        <v>4567</v>
      </c>
      <c r="G8006" s="17" t="str">
        <f>HYPERLINK("https://www.washoecounty.gov/assessor/cama/?command=sales&amp;parid=55013309","3922964")</f>
        <v>3922964</v>
      </c>
      <c r="H8006" t="s">
        <v>2361</v>
      </c>
      <c r="I8006">
        <v>1999</v>
      </c>
      <c r="J8006">
        <v>1999</v>
      </c>
      <c r="K8006" t="s">
        <v>4554</v>
      </c>
      <c r="L8006" t="s">
        <v>4555</v>
      </c>
      <c r="M8006" s="2">
        <v>1197</v>
      </c>
      <c r="N8006" t="s">
        <v>4048</v>
      </c>
      <c r="O8006">
        <v>4</v>
      </c>
      <c r="P8006">
        <v>2</v>
      </c>
      <c r="Q8006">
        <v>0</v>
      </c>
      <c r="R8006" t="s">
        <v>4557</v>
      </c>
      <c r="S8006" t="s">
        <v>4558</v>
      </c>
      <c r="T8006" t="s">
        <v>4559</v>
      </c>
      <c r="U8006" t="s">
        <v>4560</v>
      </c>
      <c r="V8006" s="2">
        <v>440</v>
      </c>
      <c r="W8006" t="s">
        <v>4655</v>
      </c>
      <c r="X8006" s="2">
        <v>0</v>
      </c>
      <c r="Y8006">
        <v>20</v>
      </c>
      <c r="Z8006" t="s">
        <v>1491</v>
      </c>
      <c r="AA8006" s="3">
        <v>0.201997250318527</v>
      </c>
      <c r="AB8006" t="s">
        <v>36978</v>
      </c>
      <c r="AC8006" t="s">
        <v>4575</v>
      </c>
      <c r="AD8006" t="s">
        <v>36979</v>
      </c>
      <c r="AE8006" t="s">
        <v>4655</v>
      </c>
      <c r="AF8006" t="s">
        <v>4563</v>
      </c>
      <c r="AG8006" t="s">
        <v>4564</v>
      </c>
      <c r="AH8006">
        <v>89506</v>
      </c>
      <c r="AI8006" t="s">
        <v>4655</v>
      </c>
      <c r="AJ8006" t="s">
        <v>2003</v>
      </c>
      <c r="AK8006" t="s">
        <v>36980</v>
      </c>
      <c r="AL8006" s="13" t="s">
        <v>1901</v>
      </c>
      <c r="AM8006" s="14">
        <v>1</v>
      </c>
      <c r="AN8006" s="15" t="s">
        <v>1346</v>
      </c>
    </row>
    <row r="8007" spans="1:40" x14ac:dyDescent="0.3">
      <c r="A8007" s="10" t="str">
        <f>HYPERLINK("http://www.washoecounty.gov/assessor/cama/?parid=550-161-02&amp;CardNumber=1","550-161-02")</f>
        <v>550-161-02</v>
      </c>
      <c r="B8007" t="s">
        <v>4655</v>
      </c>
      <c r="C8007" t="s">
        <v>36981</v>
      </c>
      <c r="D8007" s="1">
        <v>40291</v>
      </c>
      <c r="E8007" s="2">
        <v>155000</v>
      </c>
      <c r="F8007" t="s">
        <v>4553</v>
      </c>
      <c r="G8007" s="17" t="str">
        <f>HYPERLINK("https://www.washoecounty.gov/assessor/cama/?command=sales&amp;parid=55016102","3874009")</f>
        <v>3874009</v>
      </c>
      <c r="H8007" t="s">
        <v>200</v>
      </c>
      <c r="I8007">
        <v>1999</v>
      </c>
      <c r="J8007">
        <v>1999</v>
      </c>
      <c r="K8007" t="s">
        <v>4554</v>
      </c>
      <c r="L8007" t="s">
        <v>4555</v>
      </c>
      <c r="M8007" s="2">
        <v>1804</v>
      </c>
      <c r="N8007" t="s">
        <v>4048</v>
      </c>
      <c r="O8007">
        <v>4</v>
      </c>
      <c r="P8007">
        <v>2</v>
      </c>
      <c r="Q8007">
        <v>0</v>
      </c>
      <c r="R8007" t="s">
        <v>4557</v>
      </c>
      <c r="S8007" t="s">
        <v>4558</v>
      </c>
      <c r="T8007" t="s">
        <v>4559</v>
      </c>
      <c r="U8007" t="s">
        <v>4560</v>
      </c>
      <c r="V8007" s="2">
        <v>552</v>
      </c>
      <c r="W8007" t="s">
        <v>4655</v>
      </c>
      <c r="X8007" s="2">
        <v>0</v>
      </c>
      <c r="Y8007">
        <v>20</v>
      </c>
      <c r="Z8007" t="s">
        <v>1491</v>
      </c>
      <c r="AA8007" s="3">
        <v>0.26701101660728499</v>
      </c>
      <c r="AB8007" t="s">
        <v>36982</v>
      </c>
      <c r="AC8007" t="s">
        <v>4562</v>
      </c>
      <c r="AD8007" t="s">
        <v>36981</v>
      </c>
      <c r="AE8007" t="s">
        <v>4655</v>
      </c>
      <c r="AF8007" t="s">
        <v>4563</v>
      </c>
      <c r="AG8007" t="s">
        <v>4564</v>
      </c>
      <c r="AH8007">
        <v>89506</v>
      </c>
      <c r="AI8007" t="s">
        <v>4903</v>
      </c>
      <c r="AJ8007" t="s">
        <v>202</v>
      </c>
      <c r="AK8007" t="s">
        <v>36983</v>
      </c>
      <c r="AL8007" s="13" t="s">
        <v>1901</v>
      </c>
      <c r="AM8007">
        <v>1</v>
      </c>
      <c r="AN8007" s="15" t="s">
        <v>1346</v>
      </c>
    </row>
    <row r="8008" spans="1:40" x14ac:dyDescent="0.3">
      <c r="A8008" s="10" t="str">
        <f>HYPERLINK("http://www.washoecounty.gov/assessor/cama/?parid=550-161-13&amp;CardNumber=1","550-161-13")</f>
        <v>550-161-13</v>
      </c>
      <c r="B8008" t="s">
        <v>4655</v>
      </c>
      <c r="C8008" t="s">
        <v>36984</v>
      </c>
      <c r="D8008" s="1">
        <v>40471</v>
      </c>
      <c r="E8008" s="2">
        <v>119000</v>
      </c>
      <c r="F8008" t="s">
        <v>4567</v>
      </c>
      <c r="G8008" s="17" t="str">
        <f>HYPERLINK("https://www.washoecounty.gov/assessor/cama/?command=sales&amp;parid=55016113","3935103")</f>
        <v>3935103</v>
      </c>
      <c r="H8008" t="s">
        <v>200</v>
      </c>
      <c r="I8008">
        <v>1999</v>
      </c>
      <c r="J8008">
        <v>1999</v>
      </c>
      <c r="K8008" t="s">
        <v>4554</v>
      </c>
      <c r="L8008" t="s">
        <v>4555</v>
      </c>
      <c r="M8008" s="2">
        <v>1425</v>
      </c>
      <c r="N8008" t="s">
        <v>4048</v>
      </c>
      <c r="O8008">
        <v>3</v>
      </c>
      <c r="P8008">
        <v>2</v>
      </c>
      <c r="Q8008">
        <v>0</v>
      </c>
      <c r="R8008" t="s">
        <v>4557</v>
      </c>
      <c r="S8008" t="s">
        <v>4558</v>
      </c>
      <c r="T8008" t="s">
        <v>4559</v>
      </c>
      <c r="U8008" t="s">
        <v>4560</v>
      </c>
      <c r="V8008" s="2">
        <v>616</v>
      </c>
      <c r="W8008" t="s">
        <v>4655</v>
      </c>
      <c r="X8008" s="2">
        <v>0</v>
      </c>
      <c r="Y8008">
        <v>20</v>
      </c>
      <c r="Z8008" t="s">
        <v>1491</v>
      </c>
      <c r="AA8008" s="3">
        <v>0.14898990094661699</v>
      </c>
      <c r="AB8008" t="s">
        <v>36985</v>
      </c>
      <c r="AC8008" t="s">
        <v>4562</v>
      </c>
      <c r="AD8008" t="s">
        <v>36984</v>
      </c>
      <c r="AE8008" t="s">
        <v>4655</v>
      </c>
      <c r="AF8008" t="s">
        <v>4563</v>
      </c>
      <c r="AG8008" t="s">
        <v>4564</v>
      </c>
      <c r="AH8008">
        <v>89506</v>
      </c>
      <c r="AI8008" t="s">
        <v>36986</v>
      </c>
      <c r="AJ8008" t="s">
        <v>202</v>
      </c>
      <c r="AK8008" t="s">
        <v>36987</v>
      </c>
      <c r="AL8008" s="13" t="s">
        <v>1901</v>
      </c>
      <c r="AM8008" s="14">
        <v>1</v>
      </c>
      <c r="AN8008" s="15" t="s">
        <v>1346</v>
      </c>
    </row>
    <row r="8009" spans="1:40" x14ac:dyDescent="0.3">
      <c r="A8009" s="10" t="str">
        <f>HYPERLINK("http://www.washoecounty.gov/assessor/cama/?parid=550-163-10&amp;CardNumber=1","550-163-10")</f>
        <v>550-163-10</v>
      </c>
      <c r="B8009" t="s">
        <v>4655</v>
      </c>
      <c r="C8009" t="s">
        <v>36988</v>
      </c>
      <c r="D8009" s="1">
        <v>40290</v>
      </c>
      <c r="E8009" s="2">
        <v>122000</v>
      </c>
      <c r="F8009" t="s">
        <v>4567</v>
      </c>
      <c r="G8009" s="17" t="str">
        <f>HYPERLINK("https://www.washoecounty.gov/assessor/cama/?command=sales&amp;parid=55016310","3873617")</f>
        <v>3873617</v>
      </c>
      <c r="H8009" t="s">
        <v>200</v>
      </c>
      <c r="I8009">
        <v>1999</v>
      </c>
      <c r="J8009">
        <v>1999</v>
      </c>
      <c r="K8009" t="s">
        <v>4554</v>
      </c>
      <c r="L8009" t="s">
        <v>4555</v>
      </c>
      <c r="M8009" s="2">
        <v>1440</v>
      </c>
      <c r="N8009" t="s">
        <v>4048</v>
      </c>
      <c r="O8009">
        <v>3</v>
      </c>
      <c r="P8009">
        <v>2</v>
      </c>
      <c r="Q8009">
        <v>0</v>
      </c>
      <c r="R8009" t="s">
        <v>4557</v>
      </c>
      <c r="S8009" t="s">
        <v>4558</v>
      </c>
      <c r="T8009" t="s">
        <v>4559</v>
      </c>
      <c r="U8009" t="s">
        <v>4560</v>
      </c>
      <c r="V8009" s="2">
        <v>440</v>
      </c>
      <c r="W8009" t="s">
        <v>4655</v>
      </c>
      <c r="X8009" s="2">
        <v>0</v>
      </c>
      <c r="Y8009">
        <v>20</v>
      </c>
      <c r="Z8009" t="s">
        <v>1491</v>
      </c>
      <c r="AA8009" s="3">
        <v>0.15300734341144601</v>
      </c>
      <c r="AB8009" t="s">
        <v>36989</v>
      </c>
      <c r="AC8009" t="s">
        <v>4562</v>
      </c>
      <c r="AD8009" t="s">
        <v>36988</v>
      </c>
      <c r="AE8009" t="s">
        <v>4655</v>
      </c>
      <c r="AF8009" t="s">
        <v>4563</v>
      </c>
      <c r="AG8009" t="s">
        <v>4564</v>
      </c>
      <c r="AH8009">
        <v>89506</v>
      </c>
      <c r="AI8009" t="s">
        <v>36990</v>
      </c>
      <c r="AJ8009" t="s">
        <v>202</v>
      </c>
      <c r="AK8009" t="s">
        <v>36991</v>
      </c>
      <c r="AL8009" s="13" t="s">
        <v>1901</v>
      </c>
      <c r="AM8009" s="14">
        <v>1</v>
      </c>
      <c r="AN8009" s="15" t="s">
        <v>1346</v>
      </c>
    </row>
    <row r="8010" spans="1:40" x14ac:dyDescent="0.3">
      <c r="A8010" s="10" t="str">
        <f>HYPERLINK("http://www.washoecounty.gov/assessor/cama/?parid=550-163-14&amp;CardNumber=1","550-163-14")</f>
        <v>550-163-14</v>
      </c>
      <c r="B8010" t="s">
        <v>4655</v>
      </c>
      <c r="C8010" t="s">
        <v>36992</v>
      </c>
      <c r="D8010" s="1">
        <v>40297</v>
      </c>
      <c r="E8010" s="2">
        <v>100100</v>
      </c>
      <c r="F8010" t="s">
        <v>4567</v>
      </c>
      <c r="G8010" s="17" t="str">
        <f>HYPERLINK("https://www.washoecounty.gov/assessor/cama/?command=sales&amp;parid=55016314","3876209")</f>
        <v>3876209</v>
      </c>
      <c r="H8010" t="s">
        <v>200</v>
      </c>
      <c r="I8010">
        <v>2000</v>
      </c>
      <c r="J8010">
        <v>2000</v>
      </c>
      <c r="K8010" t="s">
        <v>4554</v>
      </c>
      <c r="L8010" t="s">
        <v>4555</v>
      </c>
      <c r="M8010" s="2">
        <v>1292</v>
      </c>
      <c r="N8010" t="s">
        <v>4048</v>
      </c>
      <c r="O8010">
        <v>3</v>
      </c>
      <c r="P8010">
        <v>2</v>
      </c>
      <c r="Q8010">
        <v>0</v>
      </c>
      <c r="R8010" t="s">
        <v>4557</v>
      </c>
      <c r="S8010" t="s">
        <v>4558</v>
      </c>
      <c r="T8010" t="s">
        <v>4559</v>
      </c>
      <c r="U8010" t="s">
        <v>4560</v>
      </c>
      <c r="V8010" s="2">
        <v>440</v>
      </c>
      <c r="W8010" t="s">
        <v>4655</v>
      </c>
      <c r="X8010" s="2">
        <v>0</v>
      </c>
      <c r="Y8010">
        <v>20</v>
      </c>
      <c r="Z8010" t="s">
        <v>1491</v>
      </c>
      <c r="AA8010" s="3">
        <v>0.167011022567749</v>
      </c>
      <c r="AB8010" t="s">
        <v>19642</v>
      </c>
      <c r="AC8010" t="s">
        <v>4562</v>
      </c>
      <c r="AD8010" t="s">
        <v>19643</v>
      </c>
      <c r="AE8010" t="s">
        <v>4655</v>
      </c>
      <c r="AF8010" t="s">
        <v>4563</v>
      </c>
      <c r="AG8010" t="s">
        <v>4564</v>
      </c>
      <c r="AH8010">
        <v>89507</v>
      </c>
      <c r="AI8010" t="s">
        <v>22196</v>
      </c>
      <c r="AJ8010" t="s">
        <v>202</v>
      </c>
      <c r="AK8010" t="s">
        <v>36993</v>
      </c>
      <c r="AL8010" s="13" t="s">
        <v>1901</v>
      </c>
      <c r="AM8010">
        <v>1</v>
      </c>
      <c r="AN8010" s="15" t="s">
        <v>1346</v>
      </c>
    </row>
    <row r="8011" spans="1:40" x14ac:dyDescent="0.3">
      <c r="A8011" s="10" t="str">
        <f>HYPERLINK("http://www.washoecounty.gov/assessor/cama/?parid=550-163-15&amp;CardNumber=1","550-163-15")</f>
        <v>550-163-15</v>
      </c>
      <c r="B8011" t="s">
        <v>4655</v>
      </c>
      <c r="C8011" t="s">
        <v>36994</v>
      </c>
      <c r="D8011" s="1">
        <v>40421</v>
      </c>
      <c r="E8011" s="2">
        <v>100000</v>
      </c>
      <c r="F8011" t="s">
        <v>4567</v>
      </c>
      <c r="G8011" s="17" t="str">
        <f>HYPERLINK("https://www.washoecounty.gov/assessor/cama/?command=sales&amp;parid=55016315","3917504")</f>
        <v>3917504</v>
      </c>
      <c r="H8011" t="s">
        <v>200</v>
      </c>
      <c r="I8011">
        <v>1999</v>
      </c>
      <c r="J8011">
        <v>1999</v>
      </c>
      <c r="K8011" t="s">
        <v>4554</v>
      </c>
      <c r="L8011" t="s">
        <v>4555</v>
      </c>
      <c r="M8011" s="2">
        <v>1440</v>
      </c>
      <c r="N8011" t="s">
        <v>4048</v>
      </c>
      <c r="O8011">
        <v>3</v>
      </c>
      <c r="P8011">
        <v>2</v>
      </c>
      <c r="Q8011">
        <v>0</v>
      </c>
      <c r="R8011" t="s">
        <v>4557</v>
      </c>
      <c r="S8011" t="s">
        <v>4558</v>
      </c>
      <c r="T8011" t="s">
        <v>4559</v>
      </c>
      <c r="U8011" t="s">
        <v>4560</v>
      </c>
      <c r="V8011" s="2">
        <v>440</v>
      </c>
      <c r="W8011" t="s">
        <v>4655</v>
      </c>
      <c r="X8011" s="2">
        <v>0</v>
      </c>
      <c r="Y8011">
        <v>20</v>
      </c>
      <c r="Z8011" t="s">
        <v>1491</v>
      </c>
      <c r="AA8011" s="3">
        <v>0.13799357414245605</v>
      </c>
      <c r="AB8011" t="s">
        <v>36995</v>
      </c>
      <c r="AC8011" t="s">
        <v>4562</v>
      </c>
      <c r="AD8011" t="s">
        <v>36994</v>
      </c>
      <c r="AE8011" t="s">
        <v>4655</v>
      </c>
      <c r="AF8011" t="s">
        <v>4563</v>
      </c>
      <c r="AG8011" t="s">
        <v>4564</v>
      </c>
      <c r="AH8011">
        <v>89506</v>
      </c>
      <c r="AI8011" t="s">
        <v>36996</v>
      </c>
      <c r="AJ8011" t="s">
        <v>202</v>
      </c>
      <c r="AK8011" t="s">
        <v>36997</v>
      </c>
      <c r="AL8011" s="13" t="s">
        <v>1901</v>
      </c>
      <c r="AM8011">
        <v>1</v>
      </c>
      <c r="AN8011" s="15" t="s">
        <v>1346</v>
      </c>
    </row>
    <row r="8012" spans="1:40" x14ac:dyDescent="0.3">
      <c r="A8012" s="10" t="str">
        <f>HYPERLINK("http://www.washoecounty.gov/assessor/cama/?parid=550-163-28&amp;CardNumber=1","550-163-28")</f>
        <v>550-163-28</v>
      </c>
      <c r="B8012" t="s">
        <v>4655</v>
      </c>
      <c r="C8012" t="s">
        <v>36998</v>
      </c>
      <c r="D8012" s="1">
        <v>40249</v>
      </c>
      <c r="E8012" s="2">
        <v>125000</v>
      </c>
      <c r="F8012" t="s">
        <v>4567</v>
      </c>
      <c r="G8012" s="17" t="str">
        <f>HYPERLINK("https://www.washoecounty.gov/assessor/cama/?command=sales&amp;parid=55016328","3859050")</f>
        <v>3859050</v>
      </c>
      <c r="H8012" t="s">
        <v>200</v>
      </c>
      <c r="I8012">
        <v>1999</v>
      </c>
      <c r="J8012">
        <v>1999</v>
      </c>
      <c r="K8012" t="s">
        <v>4554</v>
      </c>
      <c r="L8012" t="s">
        <v>4555</v>
      </c>
      <c r="M8012" s="2">
        <v>1292</v>
      </c>
      <c r="N8012" t="s">
        <v>4048</v>
      </c>
      <c r="O8012">
        <v>3</v>
      </c>
      <c r="P8012">
        <v>2</v>
      </c>
      <c r="Q8012">
        <v>0</v>
      </c>
      <c r="R8012" t="s">
        <v>4557</v>
      </c>
      <c r="S8012" t="s">
        <v>4558</v>
      </c>
      <c r="T8012" t="s">
        <v>4559</v>
      </c>
      <c r="U8012" t="s">
        <v>4560</v>
      </c>
      <c r="V8012" s="2">
        <v>440</v>
      </c>
      <c r="W8012" t="s">
        <v>4655</v>
      </c>
      <c r="X8012" s="2">
        <v>0</v>
      </c>
      <c r="Y8012">
        <v>20</v>
      </c>
      <c r="Z8012" t="s">
        <v>1491</v>
      </c>
      <c r="AA8012" s="3">
        <v>0.21600091457366899</v>
      </c>
      <c r="AB8012" t="s">
        <v>36999</v>
      </c>
      <c r="AC8012" t="s">
        <v>4562</v>
      </c>
      <c r="AD8012" t="s">
        <v>36998</v>
      </c>
      <c r="AE8012" t="s">
        <v>4655</v>
      </c>
      <c r="AF8012" t="s">
        <v>4563</v>
      </c>
      <c r="AG8012" t="s">
        <v>4564</v>
      </c>
      <c r="AH8012">
        <v>89506</v>
      </c>
      <c r="AI8012" t="s">
        <v>201</v>
      </c>
      <c r="AJ8012" t="s">
        <v>202</v>
      </c>
      <c r="AK8012" t="s">
        <v>37000</v>
      </c>
      <c r="AL8012" s="13" t="s">
        <v>1901</v>
      </c>
      <c r="AM8012">
        <v>1</v>
      </c>
      <c r="AN8012" s="15" t="s">
        <v>1346</v>
      </c>
    </row>
    <row r="8013" spans="1:40" x14ac:dyDescent="0.3">
      <c r="A8013" s="10" t="str">
        <f>HYPERLINK("http://www.washoecounty.gov/assessor/cama/?parid=550-191-02&amp;CardNumber=1","550-191-02")</f>
        <v>550-191-02</v>
      </c>
      <c r="B8013" t="s">
        <v>4655</v>
      </c>
      <c r="C8013" t="s">
        <v>37001</v>
      </c>
      <c r="D8013" s="1">
        <v>40469</v>
      </c>
      <c r="E8013" s="2">
        <v>102900</v>
      </c>
      <c r="F8013" t="s">
        <v>4553</v>
      </c>
      <c r="G8013" s="17" t="str">
        <f>HYPERLINK("https://www.washoecounty.gov/assessor/cama/?command=sales&amp;parid=55019102","3934194")</f>
        <v>3934194</v>
      </c>
      <c r="H8013" t="s">
        <v>4490</v>
      </c>
      <c r="I8013">
        <v>1999</v>
      </c>
      <c r="J8013">
        <v>1999</v>
      </c>
      <c r="K8013" t="s">
        <v>4554</v>
      </c>
      <c r="L8013" t="s">
        <v>4555</v>
      </c>
      <c r="M8013" s="2">
        <v>1394</v>
      </c>
      <c r="N8013" t="s">
        <v>4048</v>
      </c>
      <c r="O8013">
        <v>3</v>
      </c>
      <c r="P8013">
        <v>2</v>
      </c>
      <c r="Q8013">
        <v>0</v>
      </c>
      <c r="R8013" t="s">
        <v>4557</v>
      </c>
      <c r="S8013" t="s">
        <v>4558</v>
      </c>
      <c r="T8013" t="s">
        <v>4559</v>
      </c>
      <c r="U8013" t="s">
        <v>4560</v>
      </c>
      <c r="V8013" s="2">
        <v>432</v>
      </c>
      <c r="W8013" t="s">
        <v>4655</v>
      </c>
      <c r="X8013" s="2">
        <v>0</v>
      </c>
      <c r="Y8013">
        <v>20</v>
      </c>
      <c r="Z8013" t="s">
        <v>1491</v>
      </c>
      <c r="AA8013" s="3">
        <v>0.18298898637294769</v>
      </c>
      <c r="AB8013" t="s">
        <v>37002</v>
      </c>
      <c r="AC8013" t="s">
        <v>4575</v>
      </c>
      <c r="AD8013" t="s">
        <v>37003</v>
      </c>
      <c r="AE8013" t="s">
        <v>4655</v>
      </c>
      <c r="AF8013" t="s">
        <v>4839</v>
      </c>
      <c r="AG8013" t="s">
        <v>4584</v>
      </c>
      <c r="AH8013">
        <v>95037</v>
      </c>
      <c r="AI8013" t="s">
        <v>4503</v>
      </c>
      <c r="AJ8013" t="s">
        <v>4114</v>
      </c>
      <c r="AK8013" t="s">
        <v>37004</v>
      </c>
      <c r="AL8013" s="13" t="s">
        <v>1901</v>
      </c>
      <c r="AM8013">
        <v>1</v>
      </c>
      <c r="AN8013" s="15" t="s">
        <v>1346</v>
      </c>
    </row>
    <row r="8014" spans="1:40" x14ac:dyDescent="0.3">
      <c r="A8014" s="10" t="str">
        <f>HYPERLINK("http://www.washoecounty.gov/assessor/cama/?parid=550-191-05&amp;CardNumber=1","550-191-05")</f>
        <v>550-191-05</v>
      </c>
      <c r="B8014" t="s">
        <v>4655</v>
      </c>
      <c r="C8014" t="s">
        <v>37005</v>
      </c>
      <c r="D8014" s="1">
        <v>40247</v>
      </c>
      <c r="E8014" s="2">
        <v>149000</v>
      </c>
      <c r="F8014" t="s">
        <v>4553</v>
      </c>
      <c r="G8014" s="17" t="str">
        <f>HYPERLINK("https://www.washoecounty.gov/assessor/cama/?command=sales&amp;parid=55019105","3858348")</f>
        <v>3858348</v>
      </c>
      <c r="H8014" t="s">
        <v>4490</v>
      </c>
      <c r="I8014">
        <v>1999</v>
      </c>
      <c r="J8014">
        <v>1999</v>
      </c>
      <c r="K8014" t="s">
        <v>4554</v>
      </c>
      <c r="L8014" t="s">
        <v>3974</v>
      </c>
      <c r="M8014" s="2">
        <v>1742</v>
      </c>
      <c r="N8014" t="s">
        <v>4048</v>
      </c>
      <c r="O8014">
        <v>3</v>
      </c>
      <c r="P8014">
        <v>2</v>
      </c>
      <c r="Q8014">
        <v>1</v>
      </c>
      <c r="R8014" t="s">
        <v>5281</v>
      </c>
      <c r="S8014" t="s">
        <v>4558</v>
      </c>
      <c r="T8014" t="s">
        <v>4559</v>
      </c>
      <c r="U8014" t="s">
        <v>5631</v>
      </c>
      <c r="V8014" s="2">
        <v>414</v>
      </c>
      <c r="W8014" t="s">
        <v>4655</v>
      </c>
      <c r="X8014" s="2">
        <v>0</v>
      </c>
      <c r="Y8014">
        <v>20</v>
      </c>
      <c r="Z8014" t="s">
        <v>1491</v>
      </c>
      <c r="AA8014" s="3">
        <v>0.21999540925025901</v>
      </c>
      <c r="AB8014" t="s">
        <v>37006</v>
      </c>
      <c r="AC8014" t="s">
        <v>4562</v>
      </c>
      <c r="AD8014" t="s">
        <v>37007</v>
      </c>
      <c r="AE8014" t="s">
        <v>4655</v>
      </c>
      <c r="AF8014" t="s">
        <v>4563</v>
      </c>
      <c r="AG8014" t="s">
        <v>4564</v>
      </c>
      <c r="AH8014">
        <v>89506</v>
      </c>
      <c r="AI8014" t="s">
        <v>4655</v>
      </c>
      <c r="AJ8014" t="s">
        <v>4114</v>
      </c>
      <c r="AK8014" t="s">
        <v>37008</v>
      </c>
      <c r="AL8014" s="13" t="s">
        <v>1901</v>
      </c>
      <c r="AM8014">
        <v>1</v>
      </c>
      <c r="AN8014" s="15" t="s">
        <v>1346</v>
      </c>
    </row>
    <row r="8015" spans="1:40" x14ac:dyDescent="0.3">
      <c r="A8015" s="10" t="str">
        <f>HYPERLINK("http://www.washoecounty.gov/assessor/cama/?parid=550-191-10&amp;CardNumber=1","550-191-10")</f>
        <v>550-191-10</v>
      </c>
      <c r="B8015" t="s">
        <v>4655</v>
      </c>
      <c r="C8015" t="s">
        <v>37009</v>
      </c>
      <c r="D8015" s="1">
        <v>40217</v>
      </c>
      <c r="E8015" s="2">
        <v>135000</v>
      </c>
      <c r="F8015" t="s">
        <v>4553</v>
      </c>
      <c r="G8015" s="17" t="str">
        <f>HYPERLINK("https://www.washoecounty.gov/assessor/cama/?command=sales&amp;parid=55019110","3847048")</f>
        <v>3847048</v>
      </c>
      <c r="H8015" t="s">
        <v>4490</v>
      </c>
      <c r="I8015">
        <v>1999</v>
      </c>
      <c r="J8015">
        <v>1999</v>
      </c>
      <c r="K8015" t="s">
        <v>4554</v>
      </c>
      <c r="L8015" t="s">
        <v>3974</v>
      </c>
      <c r="M8015" s="2">
        <v>1742</v>
      </c>
      <c r="N8015" t="s">
        <v>4048</v>
      </c>
      <c r="O8015">
        <v>3</v>
      </c>
      <c r="P8015">
        <v>2</v>
      </c>
      <c r="Q8015">
        <v>1</v>
      </c>
      <c r="R8015" t="s">
        <v>4557</v>
      </c>
      <c r="S8015" t="s">
        <v>4558</v>
      </c>
      <c r="T8015" t="s">
        <v>4559</v>
      </c>
      <c r="U8015" t="s">
        <v>5631</v>
      </c>
      <c r="V8015" s="2">
        <v>414</v>
      </c>
      <c r="W8015" t="s">
        <v>4655</v>
      </c>
      <c r="X8015" s="2">
        <v>0</v>
      </c>
      <c r="Y8015">
        <v>20</v>
      </c>
      <c r="Z8015" t="s">
        <v>1491</v>
      </c>
      <c r="AA8015" s="3">
        <v>0.13999082148075101</v>
      </c>
      <c r="AB8015" t="s">
        <v>37010</v>
      </c>
      <c r="AC8015" t="s">
        <v>4562</v>
      </c>
      <c r="AD8015" t="s">
        <v>37009</v>
      </c>
      <c r="AE8015" t="s">
        <v>4655</v>
      </c>
      <c r="AF8015" t="s">
        <v>4563</v>
      </c>
      <c r="AG8015" t="s">
        <v>4564</v>
      </c>
      <c r="AH8015">
        <v>89506</v>
      </c>
      <c r="AI8015" t="s">
        <v>37011</v>
      </c>
      <c r="AJ8015" t="s">
        <v>4114</v>
      </c>
      <c r="AK8015" t="s">
        <v>37012</v>
      </c>
      <c r="AL8015" s="13" t="s">
        <v>1901</v>
      </c>
      <c r="AM8015">
        <v>1</v>
      </c>
      <c r="AN8015" s="15" t="s">
        <v>1346</v>
      </c>
    </row>
    <row r="8016" spans="1:40" x14ac:dyDescent="0.3">
      <c r="A8016" s="10" t="str">
        <f>HYPERLINK("http://www.washoecounty.gov/assessor/cama/?parid=550-192-01&amp;CardNumber=1","550-192-01")</f>
        <v>550-192-01</v>
      </c>
      <c r="B8016" t="s">
        <v>4655</v>
      </c>
      <c r="C8016" t="s">
        <v>37013</v>
      </c>
      <c r="D8016" s="1">
        <v>40410</v>
      </c>
      <c r="E8016" s="2">
        <v>122250</v>
      </c>
      <c r="F8016" t="s">
        <v>4567</v>
      </c>
      <c r="G8016" s="17" t="str">
        <f>HYPERLINK("https://www.washoecounty.gov/assessor/cama/?command=sales&amp;parid=55019201","3914228")</f>
        <v>3914228</v>
      </c>
      <c r="H8016" t="s">
        <v>4490</v>
      </c>
      <c r="I8016">
        <v>1999</v>
      </c>
      <c r="J8016">
        <v>1999</v>
      </c>
      <c r="K8016" t="s">
        <v>4554</v>
      </c>
      <c r="L8016" t="s">
        <v>4555</v>
      </c>
      <c r="M8016" s="2">
        <v>1394</v>
      </c>
      <c r="N8016" t="s">
        <v>4048</v>
      </c>
      <c r="O8016">
        <v>3</v>
      </c>
      <c r="P8016">
        <v>2</v>
      </c>
      <c r="Q8016">
        <v>0</v>
      </c>
      <c r="R8016" t="s">
        <v>4557</v>
      </c>
      <c r="S8016" t="s">
        <v>4558</v>
      </c>
      <c r="T8016" t="s">
        <v>4559</v>
      </c>
      <c r="U8016" t="s">
        <v>4560</v>
      </c>
      <c r="V8016" s="2">
        <v>432</v>
      </c>
      <c r="W8016" t="s">
        <v>4655</v>
      </c>
      <c r="X8016" s="2">
        <v>0</v>
      </c>
      <c r="Y8016">
        <v>20</v>
      </c>
      <c r="Z8016" t="s">
        <v>1491</v>
      </c>
      <c r="AA8016" s="3">
        <v>0.157001838088036</v>
      </c>
      <c r="AB8016" t="s">
        <v>37014</v>
      </c>
      <c r="AC8016" t="s">
        <v>4562</v>
      </c>
      <c r="AD8016" t="s">
        <v>37013</v>
      </c>
      <c r="AE8016" t="s">
        <v>4655</v>
      </c>
      <c r="AF8016" t="s">
        <v>4563</v>
      </c>
      <c r="AG8016" t="s">
        <v>4564</v>
      </c>
      <c r="AH8016">
        <v>89506</v>
      </c>
      <c r="AI8016" t="s">
        <v>37015</v>
      </c>
      <c r="AJ8016" t="s">
        <v>4114</v>
      </c>
      <c r="AK8016" t="s">
        <v>37016</v>
      </c>
      <c r="AL8016" s="13" t="s">
        <v>1901</v>
      </c>
      <c r="AM8016">
        <v>1</v>
      </c>
      <c r="AN8016" s="15" t="s">
        <v>1346</v>
      </c>
    </row>
    <row r="8017" spans="1:40" x14ac:dyDescent="0.3">
      <c r="A8017" s="10" t="str">
        <f>HYPERLINK("http://www.washoecounty.gov/assessor/cama/?parid=550-193-08&amp;CardNumber=1","550-193-08")</f>
        <v>550-193-08</v>
      </c>
      <c r="B8017" t="s">
        <v>4655</v>
      </c>
      <c r="C8017" t="s">
        <v>37017</v>
      </c>
      <c r="D8017" s="1">
        <v>40368</v>
      </c>
      <c r="E8017" s="2">
        <v>145000</v>
      </c>
      <c r="F8017" t="s">
        <v>4553</v>
      </c>
      <c r="G8017" s="17" t="str">
        <f>HYPERLINK("https://www.washoecounty.gov/assessor/cama/?command=sales&amp;parid=55019308","3899853")</f>
        <v>3899853</v>
      </c>
      <c r="H8017" t="s">
        <v>4490</v>
      </c>
      <c r="I8017">
        <v>1999</v>
      </c>
      <c r="J8017">
        <v>1999</v>
      </c>
      <c r="K8017" t="s">
        <v>4554</v>
      </c>
      <c r="L8017" t="s">
        <v>4555</v>
      </c>
      <c r="M8017" s="2">
        <v>1600</v>
      </c>
      <c r="N8017" t="s">
        <v>4048</v>
      </c>
      <c r="O8017">
        <v>4</v>
      </c>
      <c r="P8017">
        <v>2</v>
      </c>
      <c r="Q8017">
        <v>0</v>
      </c>
      <c r="R8017" t="s">
        <v>4557</v>
      </c>
      <c r="S8017" t="s">
        <v>4558</v>
      </c>
      <c r="T8017" t="s">
        <v>4559</v>
      </c>
      <c r="U8017" t="s">
        <v>4560</v>
      </c>
      <c r="V8017" s="2">
        <v>420</v>
      </c>
      <c r="W8017" t="s">
        <v>4655</v>
      </c>
      <c r="X8017" s="2">
        <v>0</v>
      </c>
      <c r="Y8017">
        <v>20</v>
      </c>
      <c r="Z8017" t="s">
        <v>1491</v>
      </c>
      <c r="AA8017" s="3">
        <v>0.16400367021560699</v>
      </c>
      <c r="AB8017" t="s">
        <v>37018</v>
      </c>
      <c r="AC8017" t="s">
        <v>4562</v>
      </c>
      <c r="AD8017" t="s">
        <v>37017</v>
      </c>
      <c r="AE8017" t="s">
        <v>4655</v>
      </c>
      <c r="AF8017" t="s">
        <v>4563</v>
      </c>
      <c r="AG8017" t="s">
        <v>4564</v>
      </c>
      <c r="AH8017">
        <v>89506</v>
      </c>
      <c r="AI8017" t="s">
        <v>2619</v>
      </c>
      <c r="AJ8017" t="s">
        <v>4114</v>
      </c>
      <c r="AK8017" t="s">
        <v>37019</v>
      </c>
      <c r="AL8017" s="13" t="s">
        <v>1901</v>
      </c>
      <c r="AM8017">
        <v>1</v>
      </c>
      <c r="AN8017" s="15" t="s">
        <v>1346</v>
      </c>
    </row>
    <row r="8018" spans="1:40" x14ac:dyDescent="0.3">
      <c r="A8018" s="10" t="str">
        <f>HYPERLINK("http://www.washoecounty.gov/assessor/cama/?parid=550-201-03&amp;CardNumber=1","550-201-03")</f>
        <v>550-201-03</v>
      </c>
      <c r="B8018" t="s">
        <v>4655</v>
      </c>
      <c r="C8018" t="s">
        <v>37020</v>
      </c>
      <c r="D8018" s="1">
        <v>40338</v>
      </c>
      <c r="E8018" s="2">
        <v>147000</v>
      </c>
      <c r="F8018" t="s">
        <v>4553</v>
      </c>
      <c r="G8018" s="17" t="str">
        <f>HYPERLINK("https://www.washoecounty.gov/assessor/cama/?command=sales&amp;parid=55020103","3889513")</f>
        <v>3889513</v>
      </c>
      <c r="H8018" t="s">
        <v>2643</v>
      </c>
      <c r="I8018">
        <v>1998</v>
      </c>
      <c r="J8018">
        <v>1998</v>
      </c>
      <c r="K8018" t="s">
        <v>4554</v>
      </c>
      <c r="L8018" t="s">
        <v>3974</v>
      </c>
      <c r="M8018" s="2">
        <v>1745</v>
      </c>
      <c r="N8018" t="s">
        <v>4048</v>
      </c>
      <c r="O8018">
        <v>3</v>
      </c>
      <c r="P8018">
        <v>2</v>
      </c>
      <c r="Q8018">
        <v>1</v>
      </c>
      <c r="R8018" t="s">
        <v>5281</v>
      </c>
      <c r="S8018" t="s">
        <v>4898</v>
      </c>
      <c r="T8018" t="s">
        <v>4559</v>
      </c>
      <c r="U8018" t="s">
        <v>5631</v>
      </c>
      <c r="V8018" s="2">
        <v>434</v>
      </c>
      <c r="W8018" t="s">
        <v>4655</v>
      </c>
      <c r="X8018" s="2">
        <v>0</v>
      </c>
      <c r="Y8018">
        <v>20</v>
      </c>
      <c r="Z8018" t="s">
        <v>1491</v>
      </c>
      <c r="AA8018" s="3">
        <v>0.12699724733829501</v>
      </c>
      <c r="AB8018" t="s">
        <v>37021</v>
      </c>
      <c r="AC8018" t="s">
        <v>4562</v>
      </c>
      <c r="AD8018" t="s">
        <v>37022</v>
      </c>
      <c r="AE8018" t="s">
        <v>4655</v>
      </c>
      <c r="AF8018" t="s">
        <v>4563</v>
      </c>
      <c r="AG8018" t="s">
        <v>4564</v>
      </c>
      <c r="AH8018">
        <v>89506</v>
      </c>
      <c r="AI8018" t="s">
        <v>1602</v>
      </c>
      <c r="AJ8018" t="s">
        <v>4114</v>
      </c>
      <c r="AK8018" t="s">
        <v>37023</v>
      </c>
      <c r="AL8018" s="13" t="s">
        <v>1901</v>
      </c>
      <c r="AM8018">
        <v>1</v>
      </c>
      <c r="AN8018" s="15" t="s">
        <v>1346</v>
      </c>
    </row>
    <row r="8019" spans="1:40" x14ac:dyDescent="0.3">
      <c r="A8019" s="10" t="str">
        <f>HYPERLINK("http://www.washoecounty.gov/assessor/cama/?parid=550-202-01&amp;CardNumber=1","550-202-01")</f>
        <v>550-202-01</v>
      </c>
      <c r="B8019" t="s">
        <v>4655</v>
      </c>
      <c r="C8019" t="s">
        <v>37024</v>
      </c>
      <c r="D8019" s="1">
        <v>40238</v>
      </c>
      <c r="E8019" s="2">
        <v>125000</v>
      </c>
      <c r="F8019" t="s">
        <v>4553</v>
      </c>
      <c r="G8019" s="17" t="str">
        <f>HYPERLINK("https://www.washoecounty.gov/assessor/cama/?command=sales&amp;parid=55020201","3853842")</f>
        <v>3853842</v>
      </c>
      <c r="H8019" t="s">
        <v>4490</v>
      </c>
      <c r="I8019">
        <v>1999</v>
      </c>
      <c r="J8019">
        <v>1999</v>
      </c>
      <c r="K8019" t="s">
        <v>4554</v>
      </c>
      <c r="L8019" t="s">
        <v>3974</v>
      </c>
      <c r="M8019" s="2">
        <v>1745</v>
      </c>
      <c r="N8019" t="s">
        <v>4048</v>
      </c>
      <c r="O8019">
        <v>3</v>
      </c>
      <c r="P8019">
        <v>2</v>
      </c>
      <c r="Q8019">
        <v>1</v>
      </c>
      <c r="R8019" t="s">
        <v>5281</v>
      </c>
      <c r="S8019" t="s">
        <v>4558</v>
      </c>
      <c r="T8019" t="s">
        <v>4559</v>
      </c>
      <c r="U8019" t="s">
        <v>5631</v>
      </c>
      <c r="V8019" s="2">
        <v>434</v>
      </c>
      <c r="W8019" t="s">
        <v>4655</v>
      </c>
      <c r="X8019" s="2">
        <v>0</v>
      </c>
      <c r="Y8019">
        <v>20</v>
      </c>
      <c r="Z8019" t="s">
        <v>1491</v>
      </c>
      <c r="AA8019" s="3">
        <v>0.14201101660728499</v>
      </c>
      <c r="AB8019" t="s">
        <v>37025</v>
      </c>
      <c r="AC8019" t="s">
        <v>4562</v>
      </c>
      <c r="AD8019" t="s">
        <v>37026</v>
      </c>
      <c r="AE8019" t="s">
        <v>4655</v>
      </c>
      <c r="AF8019" t="s">
        <v>4563</v>
      </c>
      <c r="AG8019" t="s">
        <v>4564</v>
      </c>
      <c r="AH8019">
        <v>89506</v>
      </c>
      <c r="AI8019" t="s">
        <v>37027</v>
      </c>
      <c r="AJ8019" t="s">
        <v>4114</v>
      </c>
      <c r="AK8019" t="s">
        <v>37028</v>
      </c>
      <c r="AL8019" s="13" t="s">
        <v>1901</v>
      </c>
      <c r="AM8019">
        <v>1</v>
      </c>
      <c r="AN8019" s="15" t="s">
        <v>1346</v>
      </c>
    </row>
    <row r="8020" spans="1:40" x14ac:dyDescent="0.3">
      <c r="A8020" s="10" t="str">
        <f>HYPERLINK("http://www.washoecounty.gov/assessor/cama/?parid=550-202-06&amp;CardNumber=1","550-202-06")</f>
        <v>550-202-06</v>
      </c>
      <c r="B8020" t="s">
        <v>4655</v>
      </c>
      <c r="C8020" t="s">
        <v>37029</v>
      </c>
      <c r="D8020" s="1">
        <v>40191</v>
      </c>
      <c r="E8020" s="2">
        <v>144900</v>
      </c>
      <c r="F8020" t="s">
        <v>4553</v>
      </c>
      <c r="G8020" s="17" t="str">
        <f>HYPERLINK("https://www.washoecounty.gov/assessor/cama/?command=sales&amp;parid=55020206","3838951")</f>
        <v>3838951</v>
      </c>
      <c r="H8020" t="s">
        <v>4490</v>
      </c>
      <c r="I8020">
        <v>1999</v>
      </c>
      <c r="J8020">
        <v>1999</v>
      </c>
      <c r="K8020" t="s">
        <v>4554</v>
      </c>
      <c r="L8020" t="s">
        <v>3974</v>
      </c>
      <c r="M8020" s="2">
        <v>1745</v>
      </c>
      <c r="N8020" t="s">
        <v>4048</v>
      </c>
      <c r="O8020">
        <v>3</v>
      </c>
      <c r="P8020">
        <v>2</v>
      </c>
      <c r="Q8020">
        <v>1</v>
      </c>
      <c r="R8020" t="s">
        <v>4557</v>
      </c>
      <c r="S8020" t="s">
        <v>4558</v>
      </c>
      <c r="T8020" t="s">
        <v>4559</v>
      </c>
      <c r="U8020" t="s">
        <v>5631</v>
      </c>
      <c r="V8020" s="2">
        <v>434</v>
      </c>
      <c r="W8020" t="s">
        <v>4655</v>
      </c>
      <c r="X8020" s="2">
        <v>0</v>
      </c>
      <c r="Y8020">
        <v>20</v>
      </c>
      <c r="Z8020" t="s">
        <v>1491</v>
      </c>
      <c r="AA8020" s="3">
        <v>0.12601010501384699</v>
      </c>
      <c r="AB8020" t="s">
        <v>37030</v>
      </c>
      <c r="AC8020" t="s">
        <v>4562</v>
      </c>
      <c r="AD8020" t="s">
        <v>3222</v>
      </c>
      <c r="AE8020" t="s">
        <v>4655</v>
      </c>
      <c r="AF8020" t="s">
        <v>2251</v>
      </c>
      <c r="AG8020" t="s">
        <v>3370</v>
      </c>
      <c r="AH8020" t="s">
        <v>2252</v>
      </c>
      <c r="AI8020" t="s">
        <v>37030</v>
      </c>
      <c r="AJ8020" t="s">
        <v>4114</v>
      </c>
      <c r="AK8020" t="s">
        <v>37031</v>
      </c>
      <c r="AL8020" s="13" t="s">
        <v>1901</v>
      </c>
      <c r="AM8020" s="14">
        <v>1</v>
      </c>
      <c r="AN8020" s="15" t="s">
        <v>1346</v>
      </c>
    </row>
    <row r="8021" spans="1:40" x14ac:dyDescent="0.3">
      <c r="A8021" s="10" t="str">
        <f>HYPERLINK("http://www.washoecounty.gov/assessor/cama/?parid=550-202-08&amp;CardNumber=1","550-202-08")</f>
        <v>550-202-08</v>
      </c>
      <c r="B8021" t="s">
        <v>4655</v>
      </c>
      <c r="C8021" t="s">
        <v>37032</v>
      </c>
      <c r="D8021" s="1">
        <v>40210</v>
      </c>
      <c r="E8021" s="2">
        <v>135000</v>
      </c>
      <c r="F8021" t="s">
        <v>4567</v>
      </c>
      <c r="G8021" s="17" t="str">
        <f>HYPERLINK("https://www.washoecounty.gov/assessor/cama/?command=sales&amp;parid=55020208","3844903")</f>
        <v>3844903</v>
      </c>
      <c r="H8021" t="s">
        <v>3223</v>
      </c>
      <c r="I8021">
        <v>1999</v>
      </c>
      <c r="J8021">
        <v>1999</v>
      </c>
      <c r="K8021" t="s">
        <v>4554</v>
      </c>
      <c r="L8021" t="s">
        <v>3974</v>
      </c>
      <c r="M8021" s="2">
        <v>1902</v>
      </c>
      <c r="N8021" t="s">
        <v>4048</v>
      </c>
      <c r="O8021">
        <v>3</v>
      </c>
      <c r="P8021">
        <v>2</v>
      </c>
      <c r="Q8021">
        <v>1</v>
      </c>
      <c r="R8021" t="s">
        <v>5281</v>
      </c>
      <c r="S8021" t="s">
        <v>4558</v>
      </c>
      <c r="T8021" t="s">
        <v>4559</v>
      </c>
      <c r="U8021" t="s">
        <v>4560</v>
      </c>
      <c r="V8021" s="2">
        <v>480</v>
      </c>
      <c r="W8021" t="s">
        <v>4655</v>
      </c>
      <c r="X8021" s="2">
        <v>0</v>
      </c>
      <c r="Y8021">
        <v>20</v>
      </c>
      <c r="Z8021" t="s">
        <v>1491</v>
      </c>
      <c r="AA8021" s="3">
        <v>0.26999542117118802</v>
      </c>
      <c r="AB8021" t="s">
        <v>37033</v>
      </c>
      <c r="AC8021" t="s">
        <v>4562</v>
      </c>
      <c r="AD8021" t="s">
        <v>37034</v>
      </c>
      <c r="AE8021" t="s">
        <v>4655</v>
      </c>
      <c r="AF8021" t="s">
        <v>3114</v>
      </c>
      <c r="AG8021" t="s">
        <v>4564</v>
      </c>
      <c r="AH8021">
        <v>89506</v>
      </c>
      <c r="AI8021" t="s">
        <v>37035</v>
      </c>
      <c r="AJ8021" t="s">
        <v>4114</v>
      </c>
      <c r="AK8021" t="s">
        <v>37036</v>
      </c>
      <c r="AL8021" s="13" t="s">
        <v>1901</v>
      </c>
      <c r="AM8021">
        <v>1</v>
      </c>
      <c r="AN8021" s="15" t="s">
        <v>1346</v>
      </c>
    </row>
    <row r="8022" spans="1:40" x14ac:dyDescent="0.3">
      <c r="A8022" s="10" t="str">
        <f>HYPERLINK("http://www.washoecounty.gov/assessor/cama/?parid=550-211-07&amp;CardNumber=1","550-211-07")</f>
        <v>550-211-07</v>
      </c>
      <c r="B8022" t="s">
        <v>4655</v>
      </c>
      <c r="C8022" t="s">
        <v>37037</v>
      </c>
      <c r="D8022" s="1">
        <v>40535</v>
      </c>
      <c r="E8022" s="2">
        <v>115000</v>
      </c>
      <c r="F8022" t="s">
        <v>4567</v>
      </c>
      <c r="G8022" s="17" t="str">
        <f>HYPERLINK("https://www.washoecounty.gov/assessor/cama/?command=sales&amp;parid=55021107","3956912")</f>
        <v>3956912</v>
      </c>
      <c r="H8022" t="s">
        <v>3605</v>
      </c>
      <c r="I8022">
        <v>2000</v>
      </c>
      <c r="J8022">
        <v>2000</v>
      </c>
      <c r="K8022" t="s">
        <v>4554</v>
      </c>
      <c r="L8022" t="s">
        <v>4555</v>
      </c>
      <c r="M8022" s="2">
        <v>1359</v>
      </c>
      <c r="N8022" t="s">
        <v>4048</v>
      </c>
      <c r="O8022">
        <v>3</v>
      </c>
      <c r="P8022">
        <v>2</v>
      </c>
      <c r="Q8022">
        <v>0</v>
      </c>
      <c r="R8022" t="s">
        <v>5281</v>
      </c>
      <c r="S8022" t="s">
        <v>4558</v>
      </c>
      <c r="T8022" t="s">
        <v>4559</v>
      </c>
      <c r="U8022" t="s">
        <v>4560</v>
      </c>
      <c r="V8022" s="2">
        <v>425</v>
      </c>
      <c r="W8022" t="s">
        <v>4655</v>
      </c>
      <c r="X8022" s="2">
        <v>0</v>
      </c>
      <c r="Y8022">
        <v>20</v>
      </c>
      <c r="Z8022" t="s">
        <v>1491</v>
      </c>
      <c r="AA8022" s="3">
        <v>0.103007346391678</v>
      </c>
      <c r="AB8022" t="s">
        <v>4673</v>
      </c>
      <c r="AC8022" t="s">
        <v>4562</v>
      </c>
      <c r="AD8022" t="s">
        <v>3093</v>
      </c>
      <c r="AE8022" t="s">
        <v>4655</v>
      </c>
      <c r="AF8022" t="s">
        <v>4563</v>
      </c>
      <c r="AG8022" t="s">
        <v>4564</v>
      </c>
      <c r="AH8022">
        <v>89512</v>
      </c>
      <c r="AI8022" t="s">
        <v>37038</v>
      </c>
      <c r="AJ8022" t="s">
        <v>3606</v>
      </c>
      <c r="AK8022" t="s">
        <v>37039</v>
      </c>
      <c r="AL8022" s="13" t="s">
        <v>1901</v>
      </c>
      <c r="AM8022" s="14">
        <v>1</v>
      </c>
      <c r="AN8022" s="15" t="s">
        <v>1346</v>
      </c>
    </row>
    <row r="8023" spans="1:40" x14ac:dyDescent="0.3">
      <c r="A8023" s="10" t="str">
        <f>HYPERLINK("http://www.washoecounty.gov/assessor/cama/?parid=550-214-06&amp;CardNumber=1","550-214-06")</f>
        <v>550-214-06</v>
      </c>
      <c r="B8023" t="s">
        <v>4655</v>
      </c>
      <c r="C8023" t="s">
        <v>37040</v>
      </c>
      <c r="D8023" s="1">
        <v>40350</v>
      </c>
      <c r="E8023" s="2">
        <v>135000</v>
      </c>
      <c r="F8023" t="s">
        <v>4567</v>
      </c>
      <c r="G8023" s="17" t="str">
        <f>HYPERLINK("https://www.washoecounty.gov/assessor/cama/?command=sales&amp;parid=55021406","3893938")</f>
        <v>3893938</v>
      </c>
      <c r="H8023" t="s">
        <v>3605</v>
      </c>
      <c r="I8023">
        <v>2000</v>
      </c>
      <c r="J8023">
        <v>2000</v>
      </c>
      <c r="K8023" t="s">
        <v>4554</v>
      </c>
      <c r="L8023" t="s">
        <v>3974</v>
      </c>
      <c r="M8023" s="2">
        <v>1783</v>
      </c>
      <c r="N8023" t="s">
        <v>4048</v>
      </c>
      <c r="O8023">
        <v>4</v>
      </c>
      <c r="P8023">
        <v>2</v>
      </c>
      <c r="Q8023">
        <v>1</v>
      </c>
      <c r="R8023" t="s">
        <v>4557</v>
      </c>
      <c r="S8023" t="s">
        <v>4558</v>
      </c>
      <c r="T8023" t="s">
        <v>4559</v>
      </c>
      <c r="U8023" t="s">
        <v>5631</v>
      </c>
      <c r="V8023" s="2">
        <v>456</v>
      </c>
      <c r="W8023" t="s">
        <v>4655</v>
      </c>
      <c r="X8023" s="2">
        <v>0</v>
      </c>
      <c r="Y8023">
        <v>20</v>
      </c>
      <c r="Z8023" t="s">
        <v>1491</v>
      </c>
      <c r="AA8023" s="3">
        <v>0.12699724733829501</v>
      </c>
      <c r="AB8023" t="s">
        <v>37041</v>
      </c>
      <c r="AC8023" t="s">
        <v>4562</v>
      </c>
      <c r="AD8023" t="s">
        <v>37040</v>
      </c>
      <c r="AE8023" t="s">
        <v>4655</v>
      </c>
      <c r="AF8023" t="s">
        <v>4563</v>
      </c>
      <c r="AG8023" t="s">
        <v>4564</v>
      </c>
      <c r="AH8023">
        <v>89506</v>
      </c>
      <c r="AI8023" t="s">
        <v>37042</v>
      </c>
      <c r="AJ8023" t="s">
        <v>3606</v>
      </c>
      <c r="AK8023" t="s">
        <v>37043</v>
      </c>
      <c r="AL8023" s="13" t="s">
        <v>1901</v>
      </c>
      <c r="AM8023" s="14">
        <v>1</v>
      </c>
      <c r="AN8023" s="15" t="s">
        <v>1346</v>
      </c>
    </row>
    <row r="8024" spans="1:40" x14ac:dyDescent="0.3">
      <c r="A8024" s="10" t="str">
        <f>HYPERLINK("http://www.washoecounty.gov/assessor/cama/?parid=550-222-06&amp;CardNumber=1","550-222-06")</f>
        <v>550-222-06</v>
      </c>
      <c r="B8024" t="s">
        <v>4655</v>
      </c>
      <c r="C8024" t="s">
        <v>37044</v>
      </c>
      <c r="D8024" s="1">
        <v>40232</v>
      </c>
      <c r="E8024" s="2">
        <v>130000</v>
      </c>
      <c r="F8024" t="s">
        <v>4567</v>
      </c>
      <c r="G8024" s="17" t="str">
        <f>HYPERLINK("https://www.washoecounty.gov/assessor/cama/?command=sales&amp;parid=55022206","3851862")</f>
        <v>3851862</v>
      </c>
      <c r="H8024" t="s">
        <v>3605</v>
      </c>
      <c r="I8024">
        <v>1999</v>
      </c>
      <c r="J8024">
        <v>1999</v>
      </c>
      <c r="K8024" t="s">
        <v>4554</v>
      </c>
      <c r="L8024" t="s">
        <v>4555</v>
      </c>
      <c r="M8024" s="2">
        <v>1359</v>
      </c>
      <c r="N8024" t="s">
        <v>4048</v>
      </c>
      <c r="O8024">
        <v>3</v>
      </c>
      <c r="P8024">
        <v>2</v>
      </c>
      <c r="Q8024">
        <v>0</v>
      </c>
      <c r="R8024" t="s">
        <v>4557</v>
      </c>
      <c r="S8024" t="s">
        <v>4558</v>
      </c>
      <c r="T8024" t="s">
        <v>4559</v>
      </c>
      <c r="U8024" t="s">
        <v>4560</v>
      </c>
      <c r="V8024" s="2">
        <v>425</v>
      </c>
      <c r="W8024" t="s">
        <v>4655</v>
      </c>
      <c r="X8024" s="2">
        <v>0</v>
      </c>
      <c r="Y8024">
        <v>20</v>
      </c>
      <c r="Z8024" t="s">
        <v>1491</v>
      </c>
      <c r="AA8024" s="3">
        <v>0.119008265435696</v>
      </c>
      <c r="AB8024" t="s">
        <v>37045</v>
      </c>
      <c r="AC8024" t="s">
        <v>4575</v>
      </c>
      <c r="AD8024" t="s">
        <v>37044</v>
      </c>
      <c r="AE8024" t="s">
        <v>4655</v>
      </c>
      <c r="AF8024" t="s">
        <v>4563</v>
      </c>
      <c r="AG8024" t="s">
        <v>4564</v>
      </c>
      <c r="AH8024">
        <v>89506</v>
      </c>
      <c r="AI8024" t="s">
        <v>6293</v>
      </c>
      <c r="AJ8024" t="s">
        <v>3606</v>
      </c>
      <c r="AK8024" t="s">
        <v>37046</v>
      </c>
      <c r="AL8024" s="13" t="s">
        <v>1901</v>
      </c>
      <c r="AM8024" s="14">
        <v>1</v>
      </c>
      <c r="AN8024" s="15" t="s">
        <v>1346</v>
      </c>
    </row>
    <row r="8025" spans="1:40" x14ac:dyDescent="0.3">
      <c r="A8025" s="10" t="str">
        <f>HYPERLINK("http://www.washoecounty.gov/assessor/cama/?parid=550-222-09&amp;CardNumber=1","550-222-09")</f>
        <v>550-222-09</v>
      </c>
      <c r="B8025" t="s">
        <v>4655</v>
      </c>
      <c r="C8025" t="s">
        <v>37047</v>
      </c>
      <c r="D8025" s="1">
        <v>40273</v>
      </c>
      <c r="E8025" s="2">
        <v>106000</v>
      </c>
      <c r="F8025" t="s">
        <v>4567</v>
      </c>
      <c r="G8025" s="17" t="str">
        <f>HYPERLINK("https://www.washoecounty.gov/assessor/cama/?command=sales&amp;parid=55022209","3867480")</f>
        <v>3867480</v>
      </c>
      <c r="H8025" t="s">
        <v>3605</v>
      </c>
      <c r="I8025">
        <v>1999</v>
      </c>
      <c r="J8025">
        <v>1999</v>
      </c>
      <c r="K8025" t="s">
        <v>4554</v>
      </c>
      <c r="L8025" t="s">
        <v>4555</v>
      </c>
      <c r="M8025" s="2">
        <v>1173</v>
      </c>
      <c r="N8025" t="s">
        <v>4048</v>
      </c>
      <c r="O8025">
        <v>3</v>
      </c>
      <c r="P8025">
        <v>2</v>
      </c>
      <c r="Q8025">
        <v>0</v>
      </c>
      <c r="R8025" t="s">
        <v>4557</v>
      </c>
      <c r="S8025" t="s">
        <v>4558</v>
      </c>
      <c r="T8025" t="s">
        <v>4559</v>
      </c>
      <c r="U8025" t="s">
        <v>4560</v>
      </c>
      <c r="V8025" s="2">
        <v>406</v>
      </c>
      <c r="W8025" t="s">
        <v>4655</v>
      </c>
      <c r="X8025" s="2">
        <v>0</v>
      </c>
      <c r="Y8025">
        <v>20</v>
      </c>
      <c r="Z8025" t="s">
        <v>1491</v>
      </c>
      <c r="AA8025" s="3">
        <v>0.13200183212757099</v>
      </c>
      <c r="AB8025" t="s">
        <v>37048</v>
      </c>
      <c r="AC8025" t="s">
        <v>4562</v>
      </c>
      <c r="AD8025" t="s">
        <v>37047</v>
      </c>
      <c r="AE8025" t="s">
        <v>4655</v>
      </c>
      <c r="AF8025" t="s">
        <v>4563</v>
      </c>
      <c r="AG8025" t="s">
        <v>4564</v>
      </c>
      <c r="AH8025">
        <v>89506</v>
      </c>
      <c r="AI8025" t="s">
        <v>4655</v>
      </c>
      <c r="AJ8025" t="s">
        <v>3606</v>
      </c>
      <c r="AK8025" t="s">
        <v>37049</v>
      </c>
      <c r="AL8025" s="13" t="s">
        <v>1901</v>
      </c>
      <c r="AM8025">
        <v>1</v>
      </c>
      <c r="AN8025" s="15" t="s">
        <v>1346</v>
      </c>
    </row>
    <row r="8026" spans="1:40" x14ac:dyDescent="0.3">
      <c r="A8026" s="10" t="str">
        <f>HYPERLINK("http://www.washoecounty.gov/assessor/cama/?parid=550-223-03&amp;CardNumber=1","550-223-03")</f>
        <v>550-223-03</v>
      </c>
      <c r="B8026" t="s">
        <v>4655</v>
      </c>
      <c r="C8026" t="s">
        <v>37050</v>
      </c>
      <c r="D8026" s="1">
        <v>40241</v>
      </c>
      <c r="E8026" s="2">
        <v>162000</v>
      </c>
      <c r="F8026" t="s">
        <v>4567</v>
      </c>
      <c r="G8026" s="17" t="str">
        <f>HYPERLINK("https://www.washoecounty.gov/assessor/cama/?command=sales&amp;parid=55022303","3855805")</f>
        <v>3855805</v>
      </c>
      <c r="H8026" t="s">
        <v>3605</v>
      </c>
      <c r="I8026">
        <v>1999</v>
      </c>
      <c r="J8026">
        <v>1999</v>
      </c>
      <c r="K8026" t="s">
        <v>4554</v>
      </c>
      <c r="L8026" t="s">
        <v>3974</v>
      </c>
      <c r="M8026" s="2">
        <v>2512</v>
      </c>
      <c r="N8026" t="s">
        <v>4048</v>
      </c>
      <c r="O8026">
        <v>4</v>
      </c>
      <c r="P8026">
        <v>2</v>
      </c>
      <c r="Q8026">
        <v>1</v>
      </c>
      <c r="R8026" t="s">
        <v>4557</v>
      </c>
      <c r="S8026" t="s">
        <v>4558</v>
      </c>
      <c r="T8026" t="s">
        <v>4559</v>
      </c>
      <c r="U8026" t="s">
        <v>5631</v>
      </c>
      <c r="V8026" s="2">
        <v>574</v>
      </c>
      <c r="W8026" t="s">
        <v>4655</v>
      </c>
      <c r="X8026" s="2">
        <v>0</v>
      </c>
      <c r="Y8026">
        <v>20</v>
      </c>
      <c r="Z8026" t="s">
        <v>1491</v>
      </c>
      <c r="AA8026" s="3">
        <v>0.13000458478927601</v>
      </c>
      <c r="AB8026" t="s">
        <v>37051</v>
      </c>
      <c r="AC8026" t="s">
        <v>4575</v>
      </c>
      <c r="AD8026" t="s">
        <v>37052</v>
      </c>
      <c r="AE8026" t="s">
        <v>4655</v>
      </c>
      <c r="AF8026" t="s">
        <v>4563</v>
      </c>
      <c r="AG8026" t="s">
        <v>4564</v>
      </c>
      <c r="AH8026">
        <v>89506</v>
      </c>
      <c r="AI8026" t="s">
        <v>37053</v>
      </c>
      <c r="AJ8026" t="s">
        <v>3606</v>
      </c>
      <c r="AK8026" t="s">
        <v>37054</v>
      </c>
      <c r="AL8026" s="13" t="s">
        <v>1901</v>
      </c>
      <c r="AM8026">
        <v>1</v>
      </c>
      <c r="AN8026" s="15" t="s">
        <v>1346</v>
      </c>
    </row>
    <row r="8027" spans="1:40" x14ac:dyDescent="0.3">
      <c r="A8027" s="10" t="str">
        <f>HYPERLINK("http://www.washoecounty.gov/assessor/cama/?parid=550-224-11&amp;CardNumber=1","550-224-11")</f>
        <v>550-224-11</v>
      </c>
      <c r="B8027" t="s">
        <v>4655</v>
      </c>
      <c r="C8027" t="s">
        <v>37055</v>
      </c>
      <c r="D8027" s="1">
        <v>40515</v>
      </c>
      <c r="E8027" s="2">
        <v>95000</v>
      </c>
      <c r="F8027" t="s">
        <v>4553</v>
      </c>
      <c r="G8027" s="17" t="str">
        <f>HYPERLINK("https://www.washoecounty.gov/assessor/cama/?command=sales&amp;parid=55022411","3949269")</f>
        <v>3949269</v>
      </c>
      <c r="H8027" t="s">
        <v>37056</v>
      </c>
      <c r="I8027">
        <v>1999</v>
      </c>
      <c r="J8027">
        <v>1999</v>
      </c>
      <c r="K8027" t="s">
        <v>4554</v>
      </c>
      <c r="L8027" t="s">
        <v>4555</v>
      </c>
      <c r="M8027" s="2">
        <v>1173</v>
      </c>
      <c r="N8027" t="s">
        <v>4048</v>
      </c>
      <c r="O8027">
        <v>3</v>
      </c>
      <c r="P8027">
        <v>2</v>
      </c>
      <c r="Q8027">
        <v>0</v>
      </c>
      <c r="R8027" t="s">
        <v>4557</v>
      </c>
      <c r="S8027" t="s">
        <v>4558</v>
      </c>
      <c r="T8027" t="s">
        <v>4559</v>
      </c>
      <c r="U8027" t="s">
        <v>4560</v>
      </c>
      <c r="V8027" s="2">
        <v>406</v>
      </c>
      <c r="W8027" t="s">
        <v>4655</v>
      </c>
      <c r="X8027" s="2">
        <v>0</v>
      </c>
      <c r="Y8027">
        <v>20</v>
      </c>
      <c r="Z8027" t="s">
        <v>1491</v>
      </c>
      <c r="AA8027" s="3">
        <v>0.103994488716125</v>
      </c>
      <c r="AB8027" t="s">
        <v>4673</v>
      </c>
      <c r="AC8027" t="s">
        <v>4562</v>
      </c>
      <c r="AD8027" t="s">
        <v>3093</v>
      </c>
      <c r="AE8027" t="s">
        <v>4655</v>
      </c>
      <c r="AF8027" t="s">
        <v>4563</v>
      </c>
      <c r="AG8027" t="s">
        <v>4564</v>
      </c>
      <c r="AH8027">
        <v>89512</v>
      </c>
      <c r="AI8027" t="s">
        <v>4145</v>
      </c>
      <c r="AJ8027" t="s">
        <v>3606</v>
      </c>
      <c r="AK8027" t="s">
        <v>37057</v>
      </c>
      <c r="AL8027" s="13" t="s">
        <v>1901</v>
      </c>
      <c r="AM8027" s="14">
        <v>1</v>
      </c>
      <c r="AN8027" s="15" t="s">
        <v>1346</v>
      </c>
    </row>
    <row r="8028" spans="1:40" x14ac:dyDescent="0.3">
      <c r="A8028" s="10" t="str">
        <f>HYPERLINK("http://www.washoecounty.gov/assessor/cama/?parid=550-224-16&amp;CardNumber=1","550-224-16")</f>
        <v>550-224-16</v>
      </c>
      <c r="B8028" t="s">
        <v>4655</v>
      </c>
      <c r="C8028" t="s">
        <v>37058</v>
      </c>
      <c r="D8028" s="1">
        <v>40473</v>
      </c>
      <c r="E8028" s="2">
        <v>118000</v>
      </c>
      <c r="F8028" t="s">
        <v>4567</v>
      </c>
      <c r="G8028" s="17" t="str">
        <f>HYPERLINK("https://www.washoecounty.gov/assessor/cama/?command=sales&amp;parid=55022416","3935831")</f>
        <v>3935831</v>
      </c>
      <c r="H8028" t="s">
        <v>3605</v>
      </c>
      <c r="I8028">
        <v>1999</v>
      </c>
      <c r="J8028">
        <v>1999</v>
      </c>
      <c r="K8028" t="s">
        <v>4554</v>
      </c>
      <c r="L8028" t="s">
        <v>4555</v>
      </c>
      <c r="M8028" s="2">
        <v>1476</v>
      </c>
      <c r="N8028" t="s">
        <v>4048</v>
      </c>
      <c r="O8028">
        <v>3</v>
      </c>
      <c r="P8028">
        <v>2</v>
      </c>
      <c r="Q8028">
        <v>0</v>
      </c>
      <c r="R8028" t="s">
        <v>4557</v>
      </c>
      <c r="S8028" t="s">
        <v>4558</v>
      </c>
      <c r="T8028" t="s">
        <v>4559</v>
      </c>
      <c r="U8028" t="s">
        <v>4560</v>
      </c>
      <c r="V8028" s="2">
        <v>399</v>
      </c>
      <c r="W8028" t="s">
        <v>4655</v>
      </c>
      <c r="X8028" s="2">
        <v>0</v>
      </c>
      <c r="Y8028">
        <v>20</v>
      </c>
      <c r="Z8028" t="s">
        <v>1491</v>
      </c>
      <c r="AA8028" s="3">
        <v>0.19699265062808999</v>
      </c>
      <c r="AB8028" t="s">
        <v>37059</v>
      </c>
      <c r="AC8028" t="s">
        <v>4575</v>
      </c>
      <c r="AD8028" t="s">
        <v>37058</v>
      </c>
      <c r="AE8028" t="s">
        <v>4655</v>
      </c>
      <c r="AF8028" t="s">
        <v>4563</v>
      </c>
      <c r="AG8028" t="s">
        <v>4564</v>
      </c>
      <c r="AH8028">
        <v>89506</v>
      </c>
      <c r="AI8028" t="s">
        <v>37060</v>
      </c>
      <c r="AJ8028" t="s">
        <v>3606</v>
      </c>
      <c r="AK8028" t="s">
        <v>37061</v>
      </c>
      <c r="AL8028" s="13" t="s">
        <v>1901</v>
      </c>
      <c r="AM8028" s="14">
        <v>1</v>
      </c>
      <c r="AN8028" s="15" t="s">
        <v>1346</v>
      </c>
    </row>
    <row r="8029" spans="1:40" x14ac:dyDescent="0.3">
      <c r="A8029" s="10" t="str">
        <f>HYPERLINK("http://www.washoecounty.gov/assessor/cama/?parid=550-224-20&amp;CardNumber=1","550-224-20")</f>
        <v>550-224-20</v>
      </c>
      <c r="B8029" t="s">
        <v>4655</v>
      </c>
      <c r="C8029" t="s">
        <v>37062</v>
      </c>
      <c r="D8029" s="1">
        <v>40389</v>
      </c>
      <c r="E8029" s="2">
        <v>110000</v>
      </c>
      <c r="F8029" t="s">
        <v>4553</v>
      </c>
      <c r="G8029" s="17" t="str">
        <f>HYPERLINK("https://www.washoecounty.gov/assessor/cama/?command=sales&amp;parid=55022420","3907275")</f>
        <v>3907275</v>
      </c>
      <c r="H8029" t="s">
        <v>3605</v>
      </c>
      <c r="I8029">
        <v>1999</v>
      </c>
      <c r="J8029">
        <v>1999</v>
      </c>
      <c r="K8029" t="s">
        <v>4554</v>
      </c>
      <c r="L8029" t="s">
        <v>4555</v>
      </c>
      <c r="M8029" s="2">
        <v>1173</v>
      </c>
      <c r="N8029" t="s">
        <v>4048</v>
      </c>
      <c r="O8029">
        <v>3</v>
      </c>
      <c r="P8029">
        <v>2</v>
      </c>
      <c r="Q8029">
        <v>0</v>
      </c>
      <c r="R8029" t="s">
        <v>5281</v>
      </c>
      <c r="S8029" t="s">
        <v>4558</v>
      </c>
      <c r="T8029" t="s">
        <v>4559</v>
      </c>
      <c r="U8029" t="s">
        <v>4560</v>
      </c>
      <c r="V8029" s="2">
        <v>406</v>
      </c>
      <c r="W8029" t="s">
        <v>4655</v>
      </c>
      <c r="X8029" s="2">
        <v>0</v>
      </c>
      <c r="Y8029">
        <v>20</v>
      </c>
      <c r="Z8029" t="s">
        <v>1491</v>
      </c>
      <c r="AA8029" s="3">
        <v>0.17800734937191001</v>
      </c>
      <c r="AB8029" t="s">
        <v>37063</v>
      </c>
      <c r="AC8029" t="s">
        <v>4562</v>
      </c>
      <c r="AD8029" t="s">
        <v>37062</v>
      </c>
      <c r="AE8029" t="s">
        <v>4655</v>
      </c>
      <c r="AF8029" t="s">
        <v>3114</v>
      </c>
      <c r="AG8029" t="s">
        <v>4564</v>
      </c>
      <c r="AH8029">
        <v>89506</v>
      </c>
      <c r="AI8029" t="s">
        <v>4565</v>
      </c>
      <c r="AJ8029" t="s">
        <v>3606</v>
      </c>
      <c r="AK8029" t="s">
        <v>37064</v>
      </c>
      <c r="AL8029" s="13" t="s">
        <v>1901</v>
      </c>
      <c r="AM8029">
        <v>1</v>
      </c>
      <c r="AN8029" s="15" t="s">
        <v>1346</v>
      </c>
    </row>
    <row r="8030" spans="1:40" x14ac:dyDescent="0.3">
      <c r="A8030" s="10" t="str">
        <f>HYPERLINK("http://www.washoecounty.gov/assessor/cama/?parid=550-232-12&amp;CardNumber=1","550-232-12")</f>
        <v>550-232-12</v>
      </c>
      <c r="B8030" t="s">
        <v>4655</v>
      </c>
      <c r="C8030" t="s">
        <v>37065</v>
      </c>
      <c r="D8030" s="1">
        <v>40326</v>
      </c>
      <c r="E8030" s="2">
        <v>134000</v>
      </c>
      <c r="F8030" t="s">
        <v>4567</v>
      </c>
      <c r="G8030" s="17" t="str">
        <f>HYPERLINK("https://www.washoecounty.gov/assessor/cama/?command=sales&amp;parid=55023212","3886837")</f>
        <v>3886837</v>
      </c>
      <c r="H8030" t="s">
        <v>3236</v>
      </c>
      <c r="I8030">
        <v>1999</v>
      </c>
      <c r="J8030">
        <v>1999</v>
      </c>
      <c r="K8030" t="s">
        <v>4554</v>
      </c>
      <c r="L8030" t="s">
        <v>4555</v>
      </c>
      <c r="M8030" s="2">
        <v>1313</v>
      </c>
      <c r="N8030" t="s">
        <v>4048</v>
      </c>
      <c r="O8030">
        <v>3</v>
      </c>
      <c r="P8030">
        <v>2</v>
      </c>
      <c r="Q8030">
        <v>0</v>
      </c>
      <c r="R8030" t="s">
        <v>4557</v>
      </c>
      <c r="S8030" t="s">
        <v>4558</v>
      </c>
      <c r="T8030" t="s">
        <v>4559</v>
      </c>
      <c r="U8030" t="s">
        <v>4560</v>
      </c>
      <c r="V8030" s="2">
        <v>507</v>
      </c>
      <c r="W8030" t="s">
        <v>4655</v>
      </c>
      <c r="X8030" s="2">
        <v>0</v>
      </c>
      <c r="Y8030">
        <v>20</v>
      </c>
      <c r="Z8030" t="s">
        <v>1491</v>
      </c>
      <c r="AA8030" s="3">
        <v>0.17100550234317799</v>
      </c>
      <c r="AB8030" t="s">
        <v>37066</v>
      </c>
      <c r="AC8030" t="s">
        <v>4562</v>
      </c>
      <c r="AD8030" t="s">
        <v>37067</v>
      </c>
      <c r="AE8030" t="s">
        <v>4655</v>
      </c>
      <c r="AF8030" t="s">
        <v>4563</v>
      </c>
      <c r="AG8030" t="s">
        <v>4564</v>
      </c>
      <c r="AH8030" t="s">
        <v>5197</v>
      </c>
      <c r="AI8030" t="s">
        <v>37068</v>
      </c>
      <c r="AJ8030" t="s">
        <v>4124</v>
      </c>
      <c r="AK8030" t="s">
        <v>37069</v>
      </c>
      <c r="AL8030" s="13" t="s">
        <v>1901</v>
      </c>
      <c r="AM8030">
        <v>1</v>
      </c>
      <c r="AN8030" s="15" t="s">
        <v>1346</v>
      </c>
    </row>
    <row r="8031" spans="1:40" x14ac:dyDescent="0.3">
      <c r="A8031" s="10" t="str">
        <f>HYPERLINK("http://www.washoecounty.gov/assessor/cama/?parid=550-232-19&amp;CardNumber=1","550-232-19")</f>
        <v>550-232-19</v>
      </c>
      <c r="B8031" t="s">
        <v>4655</v>
      </c>
      <c r="C8031" t="s">
        <v>37070</v>
      </c>
      <c r="D8031" s="1">
        <v>40469</v>
      </c>
      <c r="E8031" s="2">
        <v>125000</v>
      </c>
      <c r="F8031" t="s">
        <v>4553</v>
      </c>
      <c r="G8031" s="17" t="str">
        <f>HYPERLINK("https://www.washoecounty.gov/assessor/cama/?command=sales&amp;parid=55023219","3934202")</f>
        <v>3934202</v>
      </c>
      <c r="H8031" t="s">
        <v>3236</v>
      </c>
      <c r="I8031">
        <v>2000</v>
      </c>
      <c r="J8031">
        <v>2000</v>
      </c>
      <c r="K8031" t="s">
        <v>4554</v>
      </c>
      <c r="L8031" t="s">
        <v>4555</v>
      </c>
      <c r="M8031" s="2">
        <v>1313</v>
      </c>
      <c r="N8031" t="s">
        <v>4048</v>
      </c>
      <c r="O8031">
        <v>3</v>
      </c>
      <c r="P8031">
        <v>2</v>
      </c>
      <c r="Q8031">
        <v>0</v>
      </c>
      <c r="R8031" t="s">
        <v>5281</v>
      </c>
      <c r="S8031" t="s">
        <v>4558</v>
      </c>
      <c r="T8031" t="s">
        <v>4559</v>
      </c>
      <c r="U8031" t="s">
        <v>4560</v>
      </c>
      <c r="V8031" s="2">
        <v>482</v>
      </c>
      <c r="W8031" t="s">
        <v>4655</v>
      </c>
      <c r="X8031" s="2">
        <v>0</v>
      </c>
      <c r="Y8031">
        <v>20</v>
      </c>
      <c r="Z8031" t="s">
        <v>1491</v>
      </c>
      <c r="AA8031" s="3">
        <v>0.18799357116222401</v>
      </c>
      <c r="AB8031" t="s">
        <v>37071</v>
      </c>
      <c r="AC8031" t="s">
        <v>4562</v>
      </c>
      <c r="AD8031" t="s">
        <v>37070</v>
      </c>
      <c r="AE8031" t="s">
        <v>4655</v>
      </c>
      <c r="AF8031" t="s">
        <v>4563</v>
      </c>
      <c r="AG8031" t="s">
        <v>4564</v>
      </c>
      <c r="AH8031">
        <v>89506</v>
      </c>
      <c r="AI8031" t="s">
        <v>4524</v>
      </c>
      <c r="AJ8031" t="s">
        <v>4124</v>
      </c>
      <c r="AK8031" t="s">
        <v>37072</v>
      </c>
      <c r="AL8031" s="13" t="s">
        <v>1901</v>
      </c>
      <c r="AM8031" s="14">
        <v>1</v>
      </c>
      <c r="AN8031" s="15" t="s">
        <v>1346</v>
      </c>
    </row>
    <row r="8032" spans="1:40" x14ac:dyDescent="0.3">
      <c r="A8032" s="10" t="str">
        <f>HYPERLINK("http://www.washoecounty.gov/assessor/cama/?parid=550-241-10&amp;CardNumber=1","550-241-10")</f>
        <v>550-241-10</v>
      </c>
      <c r="B8032" t="s">
        <v>4655</v>
      </c>
      <c r="C8032" t="s">
        <v>37073</v>
      </c>
      <c r="D8032" s="1">
        <v>40317</v>
      </c>
      <c r="E8032" s="2">
        <v>165000</v>
      </c>
      <c r="F8032" t="s">
        <v>4567</v>
      </c>
      <c r="G8032" s="17" t="str">
        <f>HYPERLINK("https://www.washoecounty.gov/assessor/cama/?command=sales&amp;parid=55024110","3883218")</f>
        <v>3883218</v>
      </c>
      <c r="H8032" t="s">
        <v>4178</v>
      </c>
      <c r="I8032">
        <v>1999</v>
      </c>
      <c r="J8032">
        <v>1999</v>
      </c>
      <c r="K8032" t="s">
        <v>4554</v>
      </c>
      <c r="L8032" t="s">
        <v>3974</v>
      </c>
      <c r="M8032" s="2">
        <v>2088</v>
      </c>
      <c r="N8032" t="s">
        <v>4048</v>
      </c>
      <c r="O8032">
        <v>3</v>
      </c>
      <c r="P8032">
        <v>3</v>
      </c>
      <c r="Q8032">
        <v>0</v>
      </c>
      <c r="R8032" t="s">
        <v>5281</v>
      </c>
      <c r="S8032" t="s">
        <v>4558</v>
      </c>
      <c r="T8032" t="s">
        <v>4559</v>
      </c>
      <c r="U8032" t="s">
        <v>4560</v>
      </c>
      <c r="V8032" s="2">
        <v>562</v>
      </c>
      <c r="W8032" t="s">
        <v>4655</v>
      </c>
      <c r="X8032" s="2">
        <v>0</v>
      </c>
      <c r="Y8032">
        <v>20</v>
      </c>
      <c r="Z8032" t="s">
        <v>1491</v>
      </c>
      <c r="AA8032" s="3">
        <v>0.18999081850051899</v>
      </c>
      <c r="AB8032" t="s">
        <v>37074</v>
      </c>
      <c r="AC8032" t="s">
        <v>4575</v>
      </c>
      <c r="AD8032" t="s">
        <v>37073</v>
      </c>
      <c r="AE8032" t="s">
        <v>4655</v>
      </c>
      <c r="AF8032" t="s">
        <v>4563</v>
      </c>
      <c r="AG8032" t="s">
        <v>4564</v>
      </c>
      <c r="AH8032">
        <v>89508</v>
      </c>
      <c r="AI8032" t="s">
        <v>37075</v>
      </c>
      <c r="AJ8032" t="s">
        <v>3701</v>
      </c>
      <c r="AK8032" t="s">
        <v>37076</v>
      </c>
      <c r="AL8032" s="13" t="s">
        <v>1901</v>
      </c>
      <c r="AM8032" s="14">
        <v>1</v>
      </c>
      <c r="AN8032" s="15" t="s">
        <v>1346</v>
      </c>
    </row>
    <row r="8033" spans="1:40" x14ac:dyDescent="0.3">
      <c r="A8033" s="10" t="str">
        <f>HYPERLINK("http://www.washoecounty.gov/assessor/cama/?parid=550-251-12&amp;CardNumber=1","550-251-12")</f>
        <v>550-251-12</v>
      </c>
      <c r="B8033" t="s">
        <v>4655</v>
      </c>
      <c r="C8033" t="s">
        <v>37077</v>
      </c>
      <c r="D8033" s="1">
        <v>40374</v>
      </c>
      <c r="E8033" s="2">
        <v>135000</v>
      </c>
      <c r="F8033" t="s">
        <v>4567</v>
      </c>
      <c r="G8033" s="17" t="str">
        <f>HYPERLINK("https://www.washoecounty.gov/assessor/cama/?command=sales&amp;parid=55025112","3901731")</f>
        <v>3901731</v>
      </c>
      <c r="H8033" t="s">
        <v>4178</v>
      </c>
      <c r="I8033">
        <v>2001</v>
      </c>
      <c r="J8033">
        <v>2001</v>
      </c>
      <c r="K8033" t="s">
        <v>4554</v>
      </c>
      <c r="L8033" t="s">
        <v>4555</v>
      </c>
      <c r="M8033" s="2">
        <v>1476</v>
      </c>
      <c r="N8033" t="s">
        <v>4048</v>
      </c>
      <c r="O8033">
        <v>3</v>
      </c>
      <c r="P8033">
        <v>2</v>
      </c>
      <c r="Q8033">
        <v>0</v>
      </c>
      <c r="R8033" t="s">
        <v>4557</v>
      </c>
      <c r="S8033" t="s">
        <v>4558</v>
      </c>
      <c r="T8033" t="s">
        <v>4559</v>
      </c>
      <c r="U8033" t="s">
        <v>4560</v>
      </c>
      <c r="V8033" s="2">
        <v>418</v>
      </c>
      <c r="W8033" t="s">
        <v>4655</v>
      </c>
      <c r="X8033" s="2">
        <v>0</v>
      </c>
      <c r="Y8033">
        <v>20</v>
      </c>
      <c r="Z8033" t="s">
        <v>1491</v>
      </c>
      <c r="AA8033" s="3">
        <v>0.21099632978439301</v>
      </c>
      <c r="AB8033" t="s">
        <v>37078</v>
      </c>
      <c r="AC8033" t="s">
        <v>4562</v>
      </c>
      <c r="AD8033" t="s">
        <v>37077</v>
      </c>
      <c r="AE8033" t="s">
        <v>4655</v>
      </c>
      <c r="AF8033" t="s">
        <v>4563</v>
      </c>
      <c r="AG8033" t="s">
        <v>4564</v>
      </c>
      <c r="AH8033">
        <v>89506</v>
      </c>
      <c r="AI8033" t="s">
        <v>37079</v>
      </c>
      <c r="AJ8033" t="s">
        <v>3701</v>
      </c>
      <c r="AK8033" t="s">
        <v>37080</v>
      </c>
      <c r="AL8033" s="13" t="s">
        <v>1901</v>
      </c>
      <c r="AM8033" s="14">
        <v>1</v>
      </c>
      <c r="AN8033" s="15" t="s">
        <v>1346</v>
      </c>
    </row>
    <row r="8034" spans="1:40" x14ac:dyDescent="0.3">
      <c r="A8034" s="10" t="str">
        <f>HYPERLINK("http://www.washoecounty.gov/assessor/cama/?parid=550-251-16&amp;CardNumber=1","550-251-16")</f>
        <v>550-251-16</v>
      </c>
      <c r="B8034" t="s">
        <v>4655</v>
      </c>
      <c r="C8034" t="s">
        <v>37081</v>
      </c>
      <c r="D8034" s="1">
        <v>40463</v>
      </c>
      <c r="E8034" s="2">
        <v>142900</v>
      </c>
      <c r="F8034" t="s">
        <v>4553</v>
      </c>
      <c r="G8034" s="17" t="str">
        <f>HYPERLINK("https://www.washoecounty.gov/assessor/cama/?command=sales&amp;parid=55025116","3931789")</f>
        <v>3931789</v>
      </c>
      <c r="H8034" t="s">
        <v>4178</v>
      </c>
      <c r="I8034">
        <v>2002</v>
      </c>
      <c r="J8034">
        <v>2002</v>
      </c>
      <c r="K8034" t="s">
        <v>4554</v>
      </c>
      <c r="L8034" t="s">
        <v>3974</v>
      </c>
      <c r="M8034" s="2">
        <v>1932</v>
      </c>
      <c r="N8034" t="s">
        <v>4048</v>
      </c>
      <c r="O8034">
        <v>3</v>
      </c>
      <c r="P8034">
        <v>2</v>
      </c>
      <c r="Q8034">
        <v>1</v>
      </c>
      <c r="R8034" t="s">
        <v>4557</v>
      </c>
      <c r="S8034" t="s">
        <v>4558</v>
      </c>
      <c r="T8034" t="s">
        <v>4559</v>
      </c>
      <c r="U8034" t="s">
        <v>4560</v>
      </c>
      <c r="V8034" s="2">
        <v>440</v>
      </c>
      <c r="W8034" t="s">
        <v>4655</v>
      </c>
      <c r="X8034" s="2">
        <v>0</v>
      </c>
      <c r="Y8034">
        <v>20</v>
      </c>
      <c r="Z8034" t="s">
        <v>1491</v>
      </c>
      <c r="AA8034" s="3">
        <v>0.223989903926849</v>
      </c>
      <c r="AB8034" t="s">
        <v>37082</v>
      </c>
      <c r="AC8034" t="s">
        <v>4562</v>
      </c>
      <c r="AD8034" t="s">
        <v>37081</v>
      </c>
      <c r="AE8034" t="s">
        <v>4655</v>
      </c>
      <c r="AF8034" t="s">
        <v>4563</v>
      </c>
      <c r="AG8034" t="s">
        <v>4564</v>
      </c>
      <c r="AH8034">
        <v>89506</v>
      </c>
      <c r="AI8034" t="s">
        <v>4903</v>
      </c>
      <c r="AJ8034" t="s">
        <v>3701</v>
      </c>
      <c r="AK8034" t="s">
        <v>37083</v>
      </c>
      <c r="AL8034" s="13" t="s">
        <v>1901</v>
      </c>
      <c r="AM8034" s="14">
        <v>1</v>
      </c>
      <c r="AN8034" s="15" t="s">
        <v>1346</v>
      </c>
    </row>
    <row r="8035" spans="1:40" x14ac:dyDescent="0.3">
      <c r="A8035" s="10" t="str">
        <f>HYPERLINK("http://www.washoecounty.gov/assessor/cama/?parid=550-271-09&amp;CardNumber=1","550-271-09")</f>
        <v>550-271-09</v>
      </c>
      <c r="B8035" t="s">
        <v>4655</v>
      </c>
      <c r="C8035" t="s">
        <v>37084</v>
      </c>
      <c r="D8035" s="1">
        <v>40465</v>
      </c>
      <c r="E8035" s="2">
        <v>170500</v>
      </c>
      <c r="F8035" t="s">
        <v>4553</v>
      </c>
      <c r="G8035" s="17" t="str">
        <f>HYPERLINK("https://www.washoecounty.gov/assessor/cama/?command=sales&amp;parid=55027109","3933101")</f>
        <v>3933101</v>
      </c>
      <c r="H8035" t="s">
        <v>3702</v>
      </c>
      <c r="I8035">
        <v>2001</v>
      </c>
      <c r="J8035">
        <v>2001</v>
      </c>
      <c r="K8035" t="s">
        <v>4554</v>
      </c>
      <c r="L8035" t="s">
        <v>3974</v>
      </c>
      <c r="M8035" s="2">
        <v>2518</v>
      </c>
      <c r="N8035" t="s">
        <v>4048</v>
      </c>
      <c r="O8035">
        <v>4</v>
      </c>
      <c r="P8035">
        <v>3</v>
      </c>
      <c r="Q8035">
        <v>0</v>
      </c>
      <c r="R8035" t="s">
        <v>5281</v>
      </c>
      <c r="S8035" t="s">
        <v>4558</v>
      </c>
      <c r="T8035" t="s">
        <v>4559</v>
      </c>
      <c r="U8035" t="s">
        <v>5631</v>
      </c>
      <c r="V8035" s="2">
        <v>441</v>
      </c>
      <c r="W8035" t="s">
        <v>4655</v>
      </c>
      <c r="X8035" s="2">
        <v>0</v>
      </c>
      <c r="Y8035">
        <v>20</v>
      </c>
      <c r="Z8035" t="s">
        <v>1491</v>
      </c>
      <c r="AA8035" s="3">
        <v>0.21299357712268799</v>
      </c>
      <c r="AB8035" t="s">
        <v>37085</v>
      </c>
      <c r="AC8035" t="s">
        <v>4562</v>
      </c>
      <c r="AD8035" t="s">
        <v>37086</v>
      </c>
      <c r="AE8035" t="s">
        <v>4655</v>
      </c>
      <c r="AF8035" t="s">
        <v>4563</v>
      </c>
      <c r="AG8035" t="s">
        <v>4564</v>
      </c>
      <c r="AH8035">
        <v>89506</v>
      </c>
      <c r="AI8035" t="s">
        <v>2399</v>
      </c>
      <c r="AJ8035" t="s">
        <v>3703</v>
      </c>
      <c r="AK8035" t="s">
        <v>37087</v>
      </c>
      <c r="AL8035" s="13" t="s">
        <v>1901</v>
      </c>
      <c r="AM8035" s="14">
        <v>1</v>
      </c>
      <c r="AN8035" s="15" t="s">
        <v>1346</v>
      </c>
    </row>
    <row r="8036" spans="1:40" x14ac:dyDescent="0.3">
      <c r="A8036" s="10" t="str">
        <f>HYPERLINK("http://www.washoecounty.gov/assessor/cama/?parid=550-273-09&amp;CardNumber=1","550-273-09")</f>
        <v>550-273-09</v>
      </c>
      <c r="B8036" t="s">
        <v>4655</v>
      </c>
      <c r="C8036" t="s">
        <v>37088</v>
      </c>
      <c r="D8036" s="1">
        <v>40354</v>
      </c>
      <c r="E8036" s="2">
        <v>130000</v>
      </c>
      <c r="F8036" t="s">
        <v>4553</v>
      </c>
      <c r="G8036" s="17" t="str">
        <f>HYPERLINK("https://www.washoecounty.gov/assessor/cama/?command=sales&amp;parid=55027309","3895236")</f>
        <v>3895236</v>
      </c>
      <c r="H8036" t="s">
        <v>3702</v>
      </c>
      <c r="I8036">
        <v>2000</v>
      </c>
      <c r="J8036">
        <v>2000</v>
      </c>
      <c r="K8036" t="s">
        <v>4554</v>
      </c>
      <c r="L8036" t="s">
        <v>4555</v>
      </c>
      <c r="M8036" s="2">
        <v>1485</v>
      </c>
      <c r="N8036" t="s">
        <v>4048</v>
      </c>
      <c r="O8036">
        <v>4</v>
      </c>
      <c r="P8036">
        <v>2</v>
      </c>
      <c r="Q8036">
        <v>0</v>
      </c>
      <c r="R8036" t="s">
        <v>4557</v>
      </c>
      <c r="S8036" t="s">
        <v>4558</v>
      </c>
      <c r="T8036" t="s">
        <v>4559</v>
      </c>
      <c r="U8036" t="s">
        <v>4560</v>
      </c>
      <c r="V8036" s="2">
        <v>440</v>
      </c>
      <c r="W8036" t="s">
        <v>4655</v>
      </c>
      <c r="X8036" s="2">
        <v>0</v>
      </c>
      <c r="Y8036">
        <v>20</v>
      </c>
      <c r="Z8036" t="s">
        <v>1491</v>
      </c>
      <c r="AA8036" s="3">
        <v>0.20101010799408001</v>
      </c>
      <c r="AB8036" t="s">
        <v>4673</v>
      </c>
      <c r="AC8036" t="s">
        <v>4562</v>
      </c>
      <c r="AD8036" t="s">
        <v>3093</v>
      </c>
      <c r="AE8036" t="s">
        <v>4655</v>
      </c>
      <c r="AF8036" t="s">
        <v>4563</v>
      </c>
      <c r="AG8036" t="s">
        <v>4564</v>
      </c>
      <c r="AH8036">
        <v>89512</v>
      </c>
      <c r="AI8036" t="s">
        <v>4903</v>
      </c>
      <c r="AJ8036" t="s">
        <v>3703</v>
      </c>
      <c r="AK8036" t="s">
        <v>37089</v>
      </c>
      <c r="AL8036" s="13" t="s">
        <v>1901</v>
      </c>
      <c r="AM8036" s="14">
        <v>1</v>
      </c>
      <c r="AN8036" s="15" t="s">
        <v>1346</v>
      </c>
    </row>
    <row r="8037" spans="1:40" x14ac:dyDescent="0.3">
      <c r="A8037" s="10" t="str">
        <f>HYPERLINK("http://www.washoecounty.gov/assessor/cama/?parid=550-281-17&amp;CardNumber=1","550-281-17")</f>
        <v>550-281-17</v>
      </c>
      <c r="B8037" t="s">
        <v>4655</v>
      </c>
      <c r="C8037" t="s">
        <v>37090</v>
      </c>
      <c r="D8037" s="1">
        <v>40336</v>
      </c>
      <c r="E8037" s="2">
        <v>127000</v>
      </c>
      <c r="F8037" t="s">
        <v>4567</v>
      </c>
      <c r="G8037" s="17" t="str">
        <f>HYPERLINK("https://www.washoecounty.gov/assessor/cama/?command=sales&amp;parid=55028117","3888971")</f>
        <v>3888971</v>
      </c>
      <c r="H8037" t="s">
        <v>3702</v>
      </c>
      <c r="I8037">
        <v>2000</v>
      </c>
      <c r="J8037">
        <v>2000</v>
      </c>
      <c r="K8037" t="s">
        <v>4554</v>
      </c>
      <c r="L8037" t="s">
        <v>4555</v>
      </c>
      <c r="M8037" s="2">
        <v>1292</v>
      </c>
      <c r="N8037" t="s">
        <v>4048</v>
      </c>
      <c r="O8037">
        <v>3</v>
      </c>
      <c r="P8037">
        <v>2</v>
      </c>
      <c r="Q8037">
        <v>0</v>
      </c>
      <c r="R8037" t="s">
        <v>5281</v>
      </c>
      <c r="S8037" t="s">
        <v>4558</v>
      </c>
      <c r="T8037" t="s">
        <v>4559</v>
      </c>
      <c r="U8037" t="s">
        <v>4560</v>
      </c>
      <c r="V8037" s="2">
        <v>440</v>
      </c>
      <c r="W8037" t="s">
        <v>4655</v>
      </c>
      <c r="X8037" s="2">
        <v>0</v>
      </c>
      <c r="Y8037">
        <v>20</v>
      </c>
      <c r="Z8037" t="s">
        <v>1491</v>
      </c>
      <c r="AA8037" s="3">
        <v>0.17100550234317799</v>
      </c>
      <c r="AB8037" t="s">
        <v>37091</v>
      </c>
      <c r="AC8037" t="s">
        <v>4562</v>
      </c>
      <c r="AD8037" t="s">
        <v>37090</v>
      </c>
      <c r="AE8037" t="s">
        <v>4655</v>
      </c>
      <c r="AF8037" t="s">
        <v>4563</v>
      </c>
      <c r="AG8037" t="s">
        <v>4564</v>
      </c>
      <c r="AH8037">
        <v>89506</v>
      </c>
      <c r="AI8037" t="s">
        <v>37092</v>
      </c>
      <c r="AJ8037" t="s">
        <v>3703</v>
      </c>
      <c r="AK8037" t="s">
        <v>37093</v>
      </c>
      <c r="AL8037" s="13" t="s">
        <v>1901</v>
      </c>
      <c r="AM8037">
        <v>1</v>
      </c>
      <c r="AN8037" s="15" t="s">
        <v>1346</v>
      </c>
    </row>
    <row r="8038" spans="1:40" x14ac:dyDescent="0.3">
      <c r="A8038" s="10" t="str">
        <f>HYPERLINK("http://www.washoecounty.gov/assessor/cama/?parid=550-291-09&amp;CardNumber=1","550-291-09")</f>
        <v>550-291-09</v>
      </c>
      <c r="B8038" t="s">
        <v>4655</v>
      </c>
      <c r="C8038" t="s">
        <v>37094</v>
      </c>
      <c r="D8038" s="1">
        <v>40354</v>
      </c>
      <c r="E8038" s="2">
        <v>170500</v>
      </c>
      <c r="F8038" t="s">
        <v>4553</v>
      </c>
      <c r="G8038" s="17" t="str">
        <f>HYPERLINK("https://www.washoecounty.gov/assessor/cama/?command=sales&amp;parid=55029109","3895540")</f>
        <v>3895540</v>
      </c>
      <c r="H8038" t="s">
        <v>4109</v>
      </c>
      <c r="I8038">
        <v>2000</v>
      </c>
      <c r="J8038">
        <v>2000</v>
      </c>
      <c r="K8038" t="s">
        <v>4554</v>
      </c>
      <c r="L8038" t="s">
        <v>3974</v>
      </c>
      <c r="M8038" s="2">
        <v>2190</v>
      </c>
      <c r="N8038" t="s">
        <v>4048</v>
      </c>
      <c r="O8038">
        <v>4</v>
      </c>
      <c r="P8038">
        <v>2</v>
      </c>
      <c r="Q8038">
        <v>1</v>
      </c>
      <c r="R8038" t="s">
        <v>5281</v>
      </c>
      <c r="S8038" t="s">
        <v>4558</v>
      </c>
      <c r="T8038" t="s">
        <v>4559</v>
      </c>
      <c r="U8038" t="s">
        <v>5631</v>
      </c>
      <c r="V8038" s="2">
        <v>420</v>
      </c>
      <c r="W8038" t="s">
        <v>4655</v>
      </c>
      <c r="X8038" s="2">
        <v>0</v>
      </c>
      <c r="Y8038">
        <v>20</v>
      </c>
      <c r="Z8038" t="s">
        <v>1491</v>
      </c>
      <c r="AA8038" s="3">
        <v>0.13900367915630299</v>
      </c>
      <c r="AB8038" t="s">
        <v>37095</v>
      </c>
      <c r="AC8038" t="s">
        <v>4575</v>
      </c>
      <c r="AD8038" t="s">
        <v>37096</v>
      </c>
      <c r="AE8038" t="s">
        <v>4655</v>
      </c>
      <c r="AF8038" t="s">
        <v>4563</v>
      </c>
      <c r="AG8038" t="s">
        <v>4564</v>
      </c>
      <c r="AH8038">
        <v>89506</v>
      </c>
      <c r="AI8038" t="s">
        <v>4655</v>
      </c>
      <c r="AJ8038" t="s">
        <v>3679</v>
      </c>
      <c r="AK8038" t="s">
        <v>37097</v>
      </c>
      <c r="AL8038" s="13" t="s">
        <v>1901</v>
      </c>
      <c r="AM8038" s="14">
        <v>1</v>
      </c>
      <c r="AN8038" s="15" t="s">
        <v>1346</v>
      </c>
    </row>
    <row r="8039" spans="1:40" x14ac:dyDescent="0.3">
      <c r="A8039" s="10" t="str">
        <f>HYPERLINK("http://www.washoecounty.gov/assessor/cama/?parid=550-291-10&amp;CardNumber=1","550-291-10")</f>
        <v>550-291-10</v>
      </c>
      <c r="B8039" t="s">
        <v>4655</v>
      </c>
      <c r="C8039" t="s">
        <v>37098</v>
      </c>
      <c r="D8039" s="1">
        <v>40193</v>
      </c>
      <c r="E8039" s="2">
        <v>158900</v>
      </c>
      <c r="F8039" t="s">
        <v>4553</v>
      </c>
      <c r="G8039" s="17" t="str">
        <f>HYPERLINK("https://www.washoecounty.gov/assessor/cama/?command=sales&amp;parid=55029110","3840231")</f>
        <v>3840231</v>
      </c>
      <c r="H8039" t="s">
        <v>4109</v>
      </c>
      <c r="I8039">
        <v>2000</v>
      </c>
      <c r="J8039">
        <v>2000</v>
      </c>
      <c r="K8039" t="s">
        <v>4554</v>
      </c>
      <c r="L8039" t="s">
        <v>3974</v>
      </c>
      <c r="M8039" s="2">
        <v>2080</v>
      </c>
      <c r="N8039" t="s">
        <v>4048</v>
      </c>
      <c r="O8039">
        <v>3</v>
      </c>
      <c r="P8039">
        <v>2</v>
      </c>
      <c r="Q8039">
        <v>1</v>
      </c>
      <c r="R8039" t="s">
        <v>5281</v>
      </c>
      <c r="S8039" t="s">
        <v>4558</v>
      </c>
      <c r="T8039" t="s">
        <v>4559</v>
      </c>
      <c r="U8039" t="s">
        <v>4560</v>
      </c>
      <c r="V8039" s="2">
        <v>380</v>
      </c>
      <c r="W8039" t="s">
        <v>4655</v>
      </c>
      <c r="X8039" s="2">
        <v>0</v>
      </c>
      <c r="Y8039">
        <v>20</v>
      </c>
      <c r="Z8039" t="s">
        <v>1491</v>
      </c>
      <c r="AA8039" s="3">
        <v>0.16499081254005399</v>
      </c>
      <c r="AB8039" t="s">
        <v>3678</v>
      </c>
      <c r="AC8039" t="s">
        <v>4562</v>
      </c>
      <c r="AD8039" t="s">
        <v>3222</v>
      </c>
      <c r="AE8039" t="s">
        <v>4655</v>
      </c>
      <c r="AF8039" t="s">
        <v>2251</v>
      </c>
      <c r="AG8039" t="s">
        <v>3370</v>
      </c>
      <c r="AH8039" t="s">
        <v>2252</v>
      </c>
      <c r="AI8039" t="s">
        <v>3678</v>
      </c>
      <c r="AJ8039" t="s">
        <v>3679</v>
      </c>
      <c r="AK8039" t="s">
        <v>37099</v>
      </c>
      <c r="AL8039" s="13" t="s">
        <v>1901</v>
      </c>
      <c r="AM8039">
        <v>1</v>
      </c>
      <c r="AN8039" s="15" t="s">
        <v>1346</v>
      </c>
    </row>
    <row r="8040" spans="1:40" x14ac:dyDescent="0.3">
      <c r="A8040" s="10" t="str">
        <f>HYPERLINK("http://www.washoecounty.gov/assessor/cama/?parid=550-291-12&amp;CardNumber=1","550-291-12")</f>
        <v>550-291-12</v>
      </c>
      <c r="B8040" t="s">
        <v>4655</v>
      </c>
      <c r="C8040" t="s">
        <v>37100</v>
      </c>
      <c r="D8040" s="1">
        <v>40344</v>
      </c>
      <c r="E8040" s="2">
        <v>152000</v>
      </c>
      <c r="F8040" t="s">
        <v>4567</v>
      </c>
      <c r="G8040" s="17" t="str">
        <f>HYPERLINK("https://www.washoecounty.gov/assessor/cama/?command=sales&amp;parid=55029112","3892051")</f>
        <v>3892051</v>
      </c>
      <c r="H8040" t="s">
        <v>4109</v>
      </c>
      <c r="I8040">
        <v>2000</v>
      </c>
      <c r="J8040">
        <v>2000</v>
      </c>
      <c r="K8040" t="s">
        <v>4554</v>
      </c>
      <c r="L8040" t="s">
        <v>3974</v>
      </c>
      <c r="M8040" s="2">
        <v>2080</v>
      </c>
      <c r="N8040" t="s">
        <v>4048</v>
      </c>
      <c r="O8040">
        <v>3</v>
      </c>
      <c r="P8040">
        <v>2</v>
      </c>
      <c r="Q8040">
        <v>1</v>
      </c>
      <c r="R8040" t="s">
        <v>4557</v>
      </c>
      <c r="S8040" t="s">
        <v>4558</v>
      </c>
      <c r="T8040" t="s">
        <v>4559</v>
      </c>
      <c r="U8040" t="s">
        <v>4560</v>
      </c>
      <c r="V8040" s="2">
        <v>380</v>
      </c>
      <c r="W8040" t="s">
        <v>4655</v>
      </c>
      <c r="X8040" s="2">
        <v>0</v>
      </c>
      <c r="Y8040">
        <v>20</v>
      </c>
      <c r="Z8040" t="s">
        <v>1491</v>
      </c>
      <c r="AA8040" s="3">
        <v>0.15000000596046401</v>
      </c>
      <c r="AB8040" t="s">
        <v>37101</v>
      </c>
      <c r="AC8040" t="s">
        <v>4562</v>
      </c>
      <c r="AD8040" t="s">
        <v>37102</v>
      </c>
      <c r="AE8040" t="s">
        <v>4655</v>
      </c>
      <c r="AF8040" t="s">
        <v>4563</v>
      </c>
      <c r="AG8040" t="s">
        <v>4564</v>
      </c>
      <c r="AH8040">
        <v>89506</v>
      </c>
      <c r="AI8040" t="s">
        <v>37103</v>
      </c>
      <c r="AJ8040" t="s">
        <v>4655</v>
      </c>
      <c r="AK8040" t="s">
        <v>37104</v>
      </c>
      <c r="AL8040" s="13" t="s">
        <v>1901</v>
      </c>
      <c r="AM8040" s="14">
        <v>1</v>
      </c>
      <c r="AN8040" s="15" t="s">
        <v>1346</v>
      </c>
    </row>
    <row r="8041" spans="1:40" x14ac:dyDescent="0.3">
      <c r="A8041" s="10" t="str">
        <f>HYPERLINK("http://www.washoecounty.gov/assessor/cama/?parid=550-292-07&amp;CardNumber=1","550-292-07")</f>
        <v>550-292-07</v>
      </c>
      <c r="B8041" t="s">
        <v>4655</v>
      </c>
      <c r="C8041" t="s">
        <v>37105</v>
      </c>
      <c r="D8041" s="1">
        <v>40291</v>
      </c>
      <c r="E8041" s="2">
        <v>142000</v>
      </c>
      <c r="F8041" t="s">
        <v>4553</v>
      </c>
      <c r="G8041" s="17" t="str">
        <f>HYPERLINK("https://www.washoecounty.gov/assessor/cama/?command=sales&amp;parid=55029207","3874265")</f>
        <v>3874265</v>
      </c>
      <c r="H8041" t="s">
        <v>4109</v>
      </c>
      <c r="I8041">
        <v>2001</v>
      </c>
      <c r="J8041">
        <v>2001</v>
      </c>
      <c r="K8041" t="s">
        <v>4554</v>
      </c>
      <c r="L8041" t="s">
        <v>3974</v>
      </c>
      <c r="M8041" s="2">
        <v>2190</v>
      </c>
      <c r="N8041" t="s">
        <v>4048</v>
      </c>
      <c r="O8041">
        <v>3</v>
      </c>
      <c r="P8041">
        <v>2</v>
      </c>
      <c r="Q8041">
        <v>0</v>
      </c>
      <c r="R8041" t="s">
        <v>5281</v>
      </c>
      <c r="S8041" t="s">
        <v>4558</v>
      </c>
      <c r="T8041" t="s">
        <v>4559</v>
      </c>
      <c r="U8041" t="s">
        <v>5631</v>
      </c>
      <c r="V8041" s="2">
        <v>420</v>
      </c>
      <c r="W8041" t="s">
        <v>4655</v>
      </c>
      <c r="X8041" s="2">
        <v>0</v>
      </c>
      <c r="Y8041">
        <v>20</v>
      </c>
      <c r="Z8041" t="s">
        <v>1491</v>
      </c>
      <c r="AA8041" s="3">
        <v>0.107001833617687</v>
      </c>
      <c r="AB8041" t="s">
        <v>37106</v>
      </c>
      <c r="AC8041" t="s">
        <v>4575</v>
      </c>
      <c r="AD8041" t="s">
        <v>37107</v>
      </c>
      <c r="AE8041" t="s">
        <v>37105</v>
      </c>
      <c r="AF8041" t="s">
        <v>4563</v>
      </c>
      <c r="AG8041" t="s">
        <v>4564</v>
      </c>
      <c r="AH8041">
        <v>89506</v>
      </c>
      <c r="AI8041" t="s">
        <v>4565</v>
      </c>
      <c r="AJ8041" t="s">
        <v>3679</v>
      </c>
      <c r="AK8041" t="s">
        <v>37108</v>
      </c>
      <c r="AL8041" s="13" t="s">
        <v>1901</v>
      </c>
      <c r="AM8041">
        <v>1</v>
      </c>
      <c r="AN8041" s="15" t="s">
        <v>1346</v>
      </c>
    </row>
    <row r="8042" spans="1:40" x14ac:dyDescent="0.3">
      <c r="A8042" s="10" t="str">
        <f>HYPERLINK("http://www.washoecounty.gov/assessor/cama/?parid=550-293-04&amp;CardNumber=1","550-293-04")</f>
        <v>550-293-04</v>
      </c>
      <c r="B8042" t="s">
        <v>4655</v>
      </c>
      <c r="C8042" t="s">
        <v>37109</v>
      </c>
      <c r="D8042" s="1">
        <v>40449</v>
      </c>
      <c r="E8042" s="2">
        <v>128500</v>
      </c>
      <c r="F8042" t="s">
        <v>4567</v>
      </c>
      <c r="G8042" s="17" t="str">
        <f>HYPERLINK("https://www.washoecounty.gov/assessor/cama/?command=sales&amp;parid=55029304","3927125")</f>
        <v>3927125</v>
      </c>
      <c r="H8042" t="s">
        <v>4109</v>
      </c>
      <c r="I8042">
        <v>2000</v>
      </c>
      <c r="J8042">
        <v>2000</v>
      </c>
      <c r="K8042" t="s">
        <v>4554</v>
      </c>
      <c r="L8042" t="s">
        <v>3974</v>
      </c>
      <c r="M8042" s="2">
        <v>2190</v>
      </c>
      <c r="N8042" t="s">
        <v>4048</v>
      </c>
      <c r="O8042">
        <v>4</v>
      </c>
      <c r="P8042">
        <v>2</v>
      </c>
      <c r="Q8042">
        <v>1</v>
      </c>
      <c r="R8042" t="s">
        <v>5281</v>
      </c>
      <c r="S8042" t="s">
        <v>4558</v>
      </c>
      <c r="T8042" t="s">
        <v>4559</v>
      </c>
      <c r="U8042" t="s">
        <v>5631</v>
      </c>
      <c r="V8042" s="2">
        <v>420</v>
      </c>
      <c r="W8042" t="s">
        <v>4655</v>
      </c>
      <c r="X8042" s="2">
        <v>0</v>
      </c>
      <c r="Y8042">
        <v>20</v>
      </c>
      <c r="Z8042" t="s">
        <v>1491</v>
      </c>
      <c r="AA8042" s="3">
        <v>0.119008265435696</v>
      </c>
      <c r="AB8042" t="s">
        <v>37110</v>
      </c>
      <c r="AC8042" t="s">
        <v>4575</v>
      </c>
      <c r="AD8042" t="s">
        <v>37111</v>
      </c>
      <c r="AE8042" t="s">
        <v>4655</v>
      </c>
      <c r="AF8042" t="s">
        <v>4563</v>
      </c>
      <c r="AG8042" t="s">
        <v>4564</v>
      </c>
      <c r="AH8042" t="s">
        <v>1147</v>
      </c>
      <c r="AI8042" t="s">
        <v>37112</v>
      </c>
      <c r="AJ8042" t="s">
        <v>3679</v>
      </c>
      <c r="AK8042" t="s">
        <v>37113</v>
      </c>
      <c r="AL8042" s="13" t="s">
        <v>1901</v>
      </c>
      <c r="AM8042">
        <v>1</v>
      </c>
      <c r="AN8042" s="15" t="s">
        <v>1346</v>
      </c>
    </row>
    <row r="8043" spans="1:40" x14ac:dyDescent="0.3">
      <c r="A8043" s="10" t="str">
        <f>HYPERLINK("http://www.washoecounty.gov/assessor/cama/?parid=550-301-06&amp;CardNumber=1","550-301-06")</f>
        <v>550-301-06</v>
      </c>
      <c r="B8043" t="s">
        <v>4655</v>
      </c>
      <c r="C8043" t="s">
        <v>37114</v>
      </c>
      <c r="D8043" s="1">
        <v>40437</v>
      </c>
      <c r="E8043" s="2">
        <v>131000</v>
      </c>
      <c r="F8043" t="s">
        <v>4553</v>
      </c>
      <c r="G8043" s="17" t="str">
        <f>HYPERLINK("https://www.washoecounty.gov/assessor/cama/?command=sales&amp;parid=55030106","3922848")</f>
        <v>3922848</v>
      </c>
      <c r="H8043" t="s">
        <v>37115</v>
      </c>
      <c r="I8043">
        <v>2000</v>
      </c>
      <c r="J8043">
        <v>2000</v>
      </c>
      <c r="K8043" t="s">
        <v>4554</v>
      </c>
      <c r="L8043" t="s">
        <v>4555</v>
      </c>
      <c r="M8043" s="2">
        <v>1600</v>
      </c>
      <c r="N8043" t="s">
        <v>4048</v>
      </c>
      <c r="O8043">
        <v>3</v>
      </c>
      <c r="P8043">
        <v>2</v>
      </c>
      <c r="Q8043">
        <v>0</v>
      </c>
      <c r="R8043" t="s">
        <v>4557</v>
      </c>
      <c r="S8043" t="s">
        <v>4558</v>
      </c>
      <c r="T8043" t="s">
        <v>4559</v>
      </c>
      <c r="U8043" t="s">
        <v>4560</v>
      </c>
      <c r="V8043" s="2">
        <v>420</v>
      </c>
      <c r="W8043" t="s">
        <v>4655</v>
      </c>
      <c r="X8043" s="2">
        <v>0</v>
      </c>
      <c r="Y8043">
        <v>20</v>
      </c>
      <c r="Z8043" t="s">
        <v>1491</v>
      </c>
      <c r="AA8043" s="3">
        <v>0.16499081254005399</v>
      </c>
      <c r="AB8043" t="s">
        <v>4673</v>
      </c>
      <c r="AC8043" t="s">
        <v>4562</v>
      </c>
      <c r="AD8043" t="s">
        <v>3093</v>
      </c>
      <c r="AE8043" t="s">
        <v>4655</v>
      </c>
      <c r="AF8043" t="s">
        <v>4563</v>
      </c>
      <c r="AG8043" t="s">
        <v>4564</v>
      </c>
      <c r="AH8043">
        <v>89512</v>
      </c>
      <c r="AI8043" t="s">
        <v>4585</v>
      </c>
      <c r="AJ8043" t="s">
        <v>37116</v>
      </c>
      <c r="AK8043" t="s">
        <v>37117</v>
      </c>
      <c r="AL8043" s="13" t="s">
        <v>1901</v>
      </c>
      <c r="AM8043">
        <v>1</v>
      </c>
      <c r="AN8043" s="15" t="s">
        <v>1346</v>
      </c>
    </row>
    <row r="8044" spans="1:40" x14ac:dyDescent="0.3">
      <c r="A8044" s="10" t="str">
        <f>HYPERLINK("http://www.washoecounty.gov/assessor/cama/?parid=550-302-23&amp;CardNumber=1","550-302-23")</f>
        <v>550-302-23</v>
      </c>
      <c r="B8044" t="s">
        <v>4655</v>
      </c>
      <c r="C8044" t="s">
        <v>37118</v>
      </c>
      <c r="D8044" s="1">
        <v>40361</v>
      </c>
      <c r="E8044" s="2">
        <v>135000</v>
      </c>
      <c r="F8044" t="s">
        <v>4567</v>
      </c>
      <c r="G8044" s="17" t="str">
        <f>HYPERLINK("https://www.washoecounty.gov/assessor/cama/?command=sales&amp;parid=55030223","3898066")</f>
        <v>3898066</v>
      </c>
      <c r="H8044" t="s">
        <v>1664</v>
      </c>
      <c r="I8044">
        <v>2000</v>
      </c>
      <c r="J8044">
        <v>2000</v>
      </c>
      <c r="K8044" t="s">
        <v>4554</v>
      </c>
      <c r="L8044" t="s">
        <v>3974</v>
      </c>
      <c r="M8044" s="2">
        <v>1742</v>
      </c>
      <c r="N8044" t="s">
        <v>4048</v>
      </c>
      <c r="O8044">
        <v>3</v>
      </c>
      <c r="P8044">
        <v>2</v>
      </c>
      <c r="Q8044">
        <v>1</v>
      </c>
      <c r="R8044" t="s">
        <v>5281</v>
      </c>
      <c r="S8044" t="s">
        <v>4898</v>
      </c>
      <c r="T8044" t="s">
        <v>4559</v>
      </c>
      <c r="U8044" t="s">
        <v>5631</v>
      </c>
      <c r="V8044" s="2">
        <v>414</v>
      </c>
      <c r="W8044" t="s">
        <v>4655</v>
      </c>
      <c r="X8044" s="2">
        <v>0</v>
      </c>
      <c r="Y8044">
        <v>20</v>
      </c>
      <c r="Z8044" t="s">
        <v>1491</v>
      </c>
      <c r="AA8044" s="3">
        <v>0.15000000596046401</v>
      </c>
      <c r="AB8044" t="s">
        <v>37119</v>
      </c>
      <c r="AC8044" t="s">
        <v>4562</v>
      </c>
      <c r="AD8044" t="s">
        <v>37118</v>
      </c>
      <c r="AE8044" t="s">
        <v>4655</v>
      </c>
      <c r="AF8044" t="s">
        <v>4563</v>
      </c>
      <c r="AG8044" t="s">
        <v>4564</v>
      </c>
      <c r="AH8044">
        <v>89506</v>
      </c>
      <c r="AI8044" t="s">
        <v>37120</v>
      </c>
      <c r="AJ8044" t="s">
        <v>37121</v>
      </c>
      <c r="AK8044" t="s">
        <v>37122</v>
      </c>
      <c r="AL8044" s="13" t="s">
        <v>1901</v>
      </c>
      <c r="AM8044">
        <v>1</v>
      </c>
      <c r="AN8044" s="15" t="s">
        <v>1346</v>
      </c>
    </row>
    <row r="8045" spans="1:40" x14ac:dyDescent="0.3">
      <c r="A8045" s="10" t="str">
        <f>HYPERLINK("http://www.washoecounty.gov/assessor/cama/?parid=550-303-10&amp;CardNumber=1","550-303-10")</f>
        <v>550-303-10</v>
      </c>
      <c r="B8045" t="s">
        <v>4655</v>
      </c>
      <c r="C8045" t="s">
        <v>37123</v>
      </c>
      <c r="D8045" s="1">
        <v>40359</v>
      </c>
      <c r="E8045" s="2">
        <v>139000</v>
      </c>
      <c r="F8045" t="s">
        <v>4567</v>
      </c>
      <c r="G8045" s="17" t="str">
        <f>HYPERLINK("https://www.washoecounty.gov/assessor/cama/?command=sales&amp;parid=55030310","3897529")</f>
        <v>3897529</v>
      </c>
      <c r="H8045" t="s">
        <v>1353</v>
      </c>
      <c r="I8045">
        <v>2001</v>
      </c>
      <c r="J8045">
        <v>2001</v>
      </c>
      <c r="K8045" t="s">
        <v>4554</v>
      </c>
      <c r="L8045" t="s">
        <v>3974</v>
      </c>
      <c r="M8045" s="2">
        <v>1902</v>
      </c>
      <c r="N8045" t="s">
        <v>4048</v>
      </c>
      <c r="O8045">
        <v>3</v>
      </c>
      <c r="P8045">
        <v>2</v>
      </c>
      <c r="Q8045">
        <v>1</v>
      </c>
      <c r="R8045" t="s">
        <v>4557</v>
      </c>
      <c r="S8045" t="s">
        <v>4558</v>
      </c>
      <c r="T8045" t="s">
        <v>4559</v>
      </c>
      <c r="U8045" t="s">
        <v>5631</v>
      </c>
      <c r="V8045" s="2">
        <v>504</v>
      </c>
      <c r="W8045" t="s">
        <v>4655</v>
      </c>
      <c r="X8045" s="2">
        <v>0</v>
      </c>
      <c r="Y8045">
        <v>20</v>
      </c>
      <c r="Z8045" t="s">
        <v>1491</v>
      </c>
      <c r="AA8045" s="3">
        <v>0.11600092053413399</v>
      </c>
      <c r="AB8045" t="s">
        <v>37124</v>
      </c>
      <c r="AC8045" t="s">
        <v>4562</v>
      </c>
      <c r="AD8045" t="s">
        <v>37123</v>
      </c>
      <c r="AE8045" t="s">
        <v>4655</v>
      </c>
      <c r="AF8045" t="s">
        <v>4563</v>
      </c>
      <c r="AG8045" t="s">
        <v>4564</v>
      </c>
      <c r="AH8045">
        <v>89506</v>
      </c>
      <c r="AI8045" t="s">
        <v>4655</v>
      </c>
      <c r="AJ8045" t="s">
        <v>1379</v>
      </c>
      <c r="AK8045" t="s">
        <v>37125</v>
      </c>
      <c r="AL8045" s="13" t="s">
        <v>1901</v>
      </c>
      <c r="AM8045">
        <v>1</v>
      </c>
      <c r="AN8045" s="15" t="s">
        <v>1346</v>
      </c>
    </row>
    <row r="8046" spans="1:40" x14ac:dyDescent="0.3">
      <c r="A8046" s="10" t="str">
        <f>HYPERLINK("http://www.washoecounty.gov/assessor/cama/?parid=550-303-14&amp;CardNumber=1","550-303-14")</f>
        <v>550-303-14</v>
      </c>
      <c r="B8046" t="s">
        <v>4655</v>
      </c>
      <c r="C8046" t="s">
        <v>37126</v>
      </c>
      <c r="D8046" s="1">
        <v>40185</v>
      </c>
      <c r="E8046" s="2">
        <v>125000</v>
      </c>
      <c r="F8046" t="s">
        <v>4567</v>
      </c>
      <c r="G8046" s="17" t="str">
        <f>HYPERLINK("https://www.washoecounty.gov/assessor/cama/?command=sales&amp;parid=55030314","3837240")</f>
        <v>3837240</v>
      </c>
      <c r="H8046" t="s">
        <v>1353</v>
      </c>
      <c r="I8046">
        <v>2000</v>
      </c>
      <c r="J8046">
        <v>2000</v>
      </c>
      <c r="K8046" t="s">
        <v>4554</v>
      </c>
      <c r="L8046" t="s">
        <v>4555</v>
      </c>
      <c r="M8046" s="2">
        <v>1600</v>
      </c>
      <c r="N8046" t="s">
        <v>4048</v>
      </c>
      <c r="O8046">
        <v>4</v>
      </c>
      <c r="P8046">
        <v>2</v>
      </c>
      <c r="Q8046">
        <v>0</v>
      </c>
      <c r="R8046" t="s">
        <v>4557</v>
      </c>
      <c r="S8046" t="s">
        <v>4558</v>
      </c>
      <c r="T8046" t="s">
        <v>4559</v>
      </c>
      <c r="U8046" t="s">
        <v>4560</v>
      </c>
      <c r="V8046" s="2">
        <v>420</v>
      </c>
      <c r="W8046" t="s">
        <v>4655</v>
      </c>
      <c r="X8046" s="2">
        <v>0</v>
      </c>
      <c r="Y8046">
        <v>20</v>
      </c>
      <c r="Z8046" t="s">
        <v>1491</v>
      </c>
      <c r="AA8046" s="3">
        <v>0.160009175539017</v>
      </c>
      <c r="AB8046" t="s">
        <v>37127</v>
      </c>
      <c r="AC8046" t="s">
        <v>4562</v>
      </c>
      <c r="AD8046" t="s">
        <v>37126</v>
      </c>
      <c r="AE8046" t="s">
        <v>4655</v>
      </c>
      <c r="AF8046" t="s">
        <v>4563</v>
      </c>
      <c r="AG8046" t="s">
        <v>4564</v>
      </c>
      <c r="AH8046">
        <v>89506</v>
      </c>
      <c r="AI8046" t="s">
        <v>37128</v>
      </c>
      <c r="AJ8046" t="s">
        <v>1379</v>
      </c>
      <c r="AK8046" t="s">
        <v>37129</v>
      </c>
      <c r="AL8046" s="13" t="s">
        <v>1901</v>
      </c>
      <c r="AM8046" s="14">
        <v>1</v>
      </c>
      <c r="AN8046" s="15" t="s">
        <v>1346</v>
      </c>
    </row>
    <row r="8047" spans="1:40" x14ac:dyDescent="0.3">
      <c r="A8047" s="10" t="str">
        <f>HYPERLINK("http://www.washoecounty.gov/assessor/cama/?parid=550-303-18&amp;CardNumber=1","550-303-18")</f>
        <v>550-303-18</v>
      </c>
      <c r="B8047" t="s">
        <v>4655</v>
      </c>
      <c r="C8047" t="s">
        <v>37130</v>
      </c>
      <c r="D8047" s="1">
        <v>40193</v>
      </c>
      <c r="E8047" s="2">
        <v>140000</v>
      </c>
      <c r="F8047" t="s">
        <v>4567</v>
      </c>
      <c r="G8047" s="17" t="str">
        <f>HYPERLINK("https://www.washoecounty.gov/assessor/cama/?command=sales&amp;parid=55030318","3839415")</f>
        <v>3839415</v>
      </c>
      <c r="H8047" t="s">
        <v>1353</v>
      </c>
      <c r="I8047">
        <v>2000</v>
      </c>
      <c r="J8047">
        <v>2000</v>
      </c>
      <c r="K8047" t="s">
        <v>4554</v>
      </c>
      <c r="L8047" t="s">
        <v>3974</v>
      </c>
      <c r="M8047" s="2">
        <v>1742</v>
      </c>
      <c r="N8047" t="s">
        <v>4048</v>
      </c>
      <c r="O8047">
        <v>3</v>
      </c>
      <c r="P8047">
        <v>2</v>
      </c>
      <c r="Q8047">
        <v>1</v>
      </c>
      <c r="R8047" t="s">
        <v>5281</v>
      </c>
      <c r="S8047" t="s">
        <v>4558</v>
      </c>
      <c r="T8047" t="s">
        <v>4559</v>
      </c>
      <c r="U8047" t="s">
        <v>5631</v>
      </c>
      <c r="V8047" s="2">
        <v>414</v>
      </c>
      <c r="W8047" t="s">
        <v>4655</v>
      </c>
      <c r="X8047" s="2">
        <v>0</v>
      </c>
      <c r="Y8047">
        <v>20</v>
      </c>
      <c r="Z8047" t="s">
        <v>1491</v>
      </c>
      <c r="AA8047" s="3">
        <v>0.221005514264107</v>
      </c>
      <c r="AB8047" t="s">
        <v>37131</v>
      </c>
      <c r="AC8047" t="s">
        <v>4575</v>
      </c>
      <c r="AD8047" t="s">
        <v>37132</v>
      </c>
      <c r="AE8047" t="s">
        <v>37130</v>
      </c>
      <c r="AF8047" t="s">
        <v>4563</v>
      </c>
      <c r="AG8047" t="s">
        <v>4564</v>
      </c>
      <c r="AH8047">
        <v>89506</v>
      </c>
      <c r="AI8047" t="s">
        <v>37133</v>
      </c>
      <c r="AJ8047" t="s">
        <v>1379</v>
      </c>
      <c r="AK8047" t="s">
        <v>37134</v>
      </c>
      <c r="AL8047" s="13" t="s">
        <v>1901</v>
      </c>
      <c r="AM8047" s="14">
        <v>1</v>
      </c>
      <c r="AN8047" s="15" t="s">
        <v>1346</v>
      </c>
    </row>
    <row r="8048" spans="1:40" x14ac:dyDescent="0.3">
      <c r="A8048" s="10" t="str">
        <f>HYPERLINK("http://www.washoecounty.gov/assessor/cama/?parid=550-303-22&amp;CardNumber=1","550-303-22")</f>
        <v>550-303-22</v>
      </c>
      <c r="B8048" t="s">
        <v>4655</v>
      </c>
      <c r="C8048" t="s">
        <v>37135</v>
      </c>
      <c r="D8048" s="1">
        <v>40449</v>
      </c>
      <c r="E8048" s="2">
        <v>150000</v>
      </c>
      <c r="F8048" t="s">
        <v>4553</v>
      </c>
      <c r="G8048" s="17" t="str">
        <f>HYPERLINK("https://www.washoecounty.gov/assessor/cama/?command=sales&amp;parid=55030322","3927020")</f>
        <v>3927020</v>
      </c>
      <c r="H8048" t="s">
        <v>1353</v>
      </c>
      <c r="I8048">
        <v>2000</v>
      </c>
      <c r="J8048">
        <v>2000</v>
      </c>
      <c r="K8048" t="s">
        <v>4554</v>
      </c>
      <c r="L8048" t="s">
        <v>3974</v>
      </c>
      <c r="M8048" s="2">
        <v>1902</v>
      </c>
      <c r="N8048" t="s">
        <v>4048</v>
      </c>
      <c r="O8048">
        <v>4</v>
      </c>
      <c r="P8048">
        <v>3</v>
      </c>
      <c r="Q8048">
        <v>0</v>
      </c>
      <c r="R8048" t="s">
        <v>5281</v>
      </c>
      <c r="S8048" t="s">
        <v>4558</v>
      </c>
      <c r="T8048" t="s">
        <v>4559</v>
      </c>
      <c r="U8048" t="s">
        <v>5631</v>
      </c>
      <c r="V8048" s="2">
        <v>492</v>
      </c>
      <c r="W8048" t="s">
        <v>4655</v>
      </c>
      <c r="X8048" s="2">
        <v>0</v>
      </c>
      <c r="Y8048">
        <v>20</v>
      </c>
      <c r="Z8048" t="s">
        <v>1491</v>
      </c>
      <c r="AA8048" s="3">
        <v>0.18200182914733901</v>
      </c>
      <c r="AB8048" t="s">
        <v>37136</v>
      </c>
      <c r="AC8048" t="s">
        <v>4575</v>
      </c>
      <c r="AD8048" t="s">
        <v>37137</v>
      </c>
      <c r="AE8048" t="s">
        <v>37138</v>
      </c>
      <c r="AF8048" t="s">
        <v>4563</v>
      </c>
      <c r="AG8048" t="s">
        <v>4564</v>
      </c>
      <c r="AH8048">
        <v>89506</v>
      </c>
      <c r="AI8048" t="s">
        <v>4903</v>
      </c>
      <c r="AJ8048" t="s">
        <v>1379</v>
      </c>
      <c r="AK8048" t="s">
        <v>37139</v>
      </c>
      <c r="AL8048" s="13" t="s">
        <v>1901</v>
      </c>
      <c r="AM8048">
        <v>1</v>
      </c>
      <c r="AN8048" s="15" t="s">
        <v>1346</v>
      </c>
    </row>
    <row r="8049" spans="1:40" x14ac:dyDescent="0.3">
      <c r="A8049" s="10" t="str">
        <f>HYPERLINK("http://www.washoecounty.gov/assessor/cama/?parid=550-311-06&amp;CardNumber=1","550-311-06")</f>
        <v>550-311-06</v>
      </c>
      <c r="B8049" t="s">
        <v>4655</v>
      </c>
      <c r="C8049" t="s">
        <v>37140</v>
      </c>
      <c r="D8049" s="1">
        <v>40535</v>
      </c>
      <c r="E8049" s="2">
        <v>99000</v>
      </c>
      <c r="F8049" t="s">
        <v>4567</v>
      </c>
      <c r="G8049" s="17" t="str">
        <f>HYPERLINK("https://www.washoecounty.gov/assessor/cama/?command=sales&amp;parid=55031106","3956756")</f>
        <v>3956756</v>
      </c>
      <c r="H8049" t="s">
        <v>2727</v>
      </c>
      <c r="I8049">
        <v>2000</v>
      </c>
      <c r="J8049">
        <v>2000</v>
      </c>
      <c r="K8049" t="s">
        <v>4554</v>
      </c>
      <c r="L8049" t="s">
        <v>4555</v>
      </c>
      <c r="M8049" s="2">
        <v>1173</v>
      </c>
      <c r="N8049" t="s">
        <v>4048</v>
      </c>
      <c r="O8049">
        <v>3</v>
      </c>
      <c r="P8049">
        <v>2</v>
      </c>
      <c r="Q8049">
        <v>0</v>
      </c>
      <c r="R8049" t="s">
        <v>5281</v>
      </c>
      <c r="S8049" t="s">
        <v>4558</v>
      </c>
      <c r="T8049" t="s">
        <v>4559</v>
      </c>
      <c r="U8049" t="s">
        <v>4560</v>
      </c>
      <c r="V8049" s="2">
        <v>406</v>
      </c>
      <c r="W8049" t="s">
        <v>4655</v>
      </c>
      <c r="X8049" s="2">
        <v>0</v>
      </c>
      <c r="Y8049">
        <v>20</v>
      </c>
      <c r="Z8049" t="s">
        <v>1491</v>
      </c>
      <c r="AA8049" s="3">
        <v>0.119008265435696</v>
      </c>
      <c r="AB8049" t="s">
        <v>37141</v>
      </c>
      <c r="AC8049" t="s">
        <v>4562</v>
      </c>
      <c r="AD8049" t="s">
        <v>37140</v>
      </c>
      <c r="AE8049" t="s">
        <v>4655</v>
      </c>
      <c r="AF8049" t="s">
        <v>4563</v>
      </c>
      <c r="AG8049" t="s">
        <v>4564</v>
      </c>
      <c r="AH8049">
        <v>89506</v>
      </c>
      <c r="AI8049" t="s">
        <v>4655</v>
      </c>
      <c r="AJ8049" t="s">
        <v>4500</v>
      </c>
      <c r="AK8049" t="s">
        <v>37142</v>
      </c>
      <c r="AL8049" s="13" t="s">
        <v>1901</v>
      </c>
      <c r="AM8049">
        <v>1</v>
      </c>
      <c r="AN8049" s="15" t="s">
        <v>1346</v>
      </c>
    </row>
    <row r="8050" spans="1:40" x14ac:dyDescent="0.3">
      <c r="A8050" s="10" t="str">
        <f>HYPERLINK("http://www.washoecounty.gov/assessor/cama/?parid=550-311-11&amp;CardNumber=1","550-311-11")</f>
        <v>550-311-11</v>
      </c>
      <c r="B8050" t="s">
        <v>4655</v>
      </c>
      <c r="C8050" t="s">
        <v>37143</v>
      </c>
      <c r="D8050" s="1">
        <v>40312</v>
      </c>
      <c r="E8050" s="2">
        <v>111700</v>
      </c>
      <c r="F8050" t="s">
        <v>4567</v>
      </c>
      <c r="G8050" s="17" t="str">
        <f>HYPERLINK("https://www.washoecounty.gov/assessor/cama/?command=sales&amp;parid=55031111","3881793")</f>
        <v>3881793</v>
      </c>
      <c r="H8050" t="s">
        <v>2727</v>
      </c>
      <c r="I8050">
        <v>2000</v>
      </c>
      <c r="J8050">
        <v>2000</v>
      </c>
      <c r="K8050" t="s">
        <v>4554</v>
      </c>
      <c r="L8050" t="s">
        <v>4555</v>
      </c>
      <c r="M8050" s="2">
        <v>1359</v>
      </c>
      <c r="N8050" t="s">
        <v>4048</v>
      </c>
      <c r="O8050">
        <v>3</v>
      </c>
      <c r="P8050">
        <v>2</v>
      </c>
      <c r="Q8050">
        <v>0</v>
      </c>
      <c r="R8050" t="s">
        <v>5281</v>
      </c>
      <c r="S8050" t="s">
        <v>4558</v>
      </c>
      <c r="T8050" t="s">
        <v>4559</v>
      </c>
      <c r="U8050" t="s">
        <v>4560</v>
      </c>
      <c r="V8050" s="2">
        <v>425</v>
      </c>
      <c r="W8050" t="s">
        <v>4655</v>
      </c>
      <c r="X8050" s="2">
        <v>0</v>
      </c>
      <c r="Y8050">
        <v>20</v>
      </c>
      <c r="Z8050" t="s">
        <v>1491</v>
      </c>
      <c r="AA8050" s="3">
        <v>0.11000918596983</v>
      </c>
      <c r="AB8050" t="s">
        <v>4673</v>
      </c>
      <c r="AC8050" t="s">
        <v>4562</v>
      </c>
      <c r="AD8050" t="s">
        <v>3093</v>
      </c>
      <c r="AE8050" t="s">
        <v>4655</v>
      </c>
      <c r="AF8050" t="s">
        <v>4563</v>
      </c>
      <c r="AG8050" t="s">
        <v>4564</v>
      </c>
      <c r="AH8050">
        <v>89512</v>
      </c>
      <c r="AI8050" t="s">
        <v>37144</v>
      </c>
      <c r="AJ8050" t="s">
        <v>4500</v>
      </c>
      <c r="AK8050" t="s">
        <v>37145</v>
      </c>
      <c r="AL8050" s="13" t="s">
        <v>1901</v>
      </c>
      <c r="AM8050">
        <v>1</v>
      </c>
      <c r="AN8050" s="15" t="s">
        <v>1346</v>
      </c>
    </row>
    <row r="8051" spans="1:40" x14ac:dyDescent="0.3">
      <c r="A8051" s="10" t="str">
        <f>HYPERLINK("http://www.washoecounty.gov/assessor/cama/?parid=550-311-13&amp;CardNumber=1","550-311-13")</f>
        <v>550-311-13</v>
      </c>
      <c r="B8051" t="s">
        <v>4655</v>
      </c>
      <c r="C8051" t="s">
        <v>37146</v>
      </c>
      <c r="D8051" s="1">
        <v>40326</v>
      </c>
      <c r="E8051" s="2">
        <v>120000</v>
      </c>
      <c r="F8051" t="s">
        <v>4567</v>
      </c>
      <c r="G8051" s="17" t="str">
        <f>HYPERLINK("https://www.washoecounty.gov/assessor/cama/?command=sales&amp;parid=55031113","3886860")</f>
        <v>3886860</v>
      </c>
      <c r="H8051" t="s">
        <v>2727</v>
      </c>
      <c r="I8051">
        <v>2001</v>
      </c>
      <c r="J8051">
        <v>2001</v>
      </c>
      <c r="K8051" t="s">
        <v>4554</v>
      </c>
      <c r="L8051" t="s">
        <v>4555</v>
      </c>
      <c r="M8051" s="2">
        <v>1359</v>
      </c>
      <c r="N8051" t="s">
        <v>4048</v>
      </c>
      <c r="O8051">
        <v>3</v>
      </c>
      <c r="P8051">
        <v>2</v>
      </c>
      <c r="Q8051">
        <v>0</v>
      </c>
      <c r="R8051" t="s">
        <v>4557</v>
      </c>
      <c r="S8051" t="s">
        <v>4558</v>
      </c>
      <c r="T8051" t="s">
        <v>4559</v>
      </c>
      <c r="U8051" t="s">
        <v>4560</v>
      </c>
      <c r="V8051" s="2">
        <v>425</v>
      </c>
      <c r="W8051" t="s">
        <v>4655</v>
      </c>
      <c r="X8051" s="2">
        <v>0</v>
      </c>
      <c r="Y8051">
        <v>20</v>
      </c>
      <c r="Z8051" t="s">
        <v>1491</v>
      </c>
      <c r="AA8051" s="3">
        <v>0.10599173605442</v>
      </c>
      <c r="AB8051" t="s">
        <v>37147</v>
      </c>
      <c r="AC8051" t="s">
        <v>4562</v>
      </c>
      <c r="AD8051" t="s">
        <v>37146</v>
      </c>
      <c r="AE8051" t="s">
        <v>4655</v>
      </c>
      <c r="AF8051" t="s">
        <v>4563</v>
      </c>
      <c r="AG8051" t="s">
        <v>4564</v>
      </c>
      <c r="AH8051">
        <v>89506</v>
      </c>
      <c r="AI8051" t="s">
        <v>37148</v>
      </c>
      <c r="AJ8051" t="s">
        <v>4500</v>
      </c>
      <c r="AK8051" t="s">
        <v>37149</v>
      </c>
      <c r="AL8051" s="13" t="s">
        <v>1901</v>
      </c>
      <c r="AM8051">
        <v>1</v>
      </c>
      <c r="AN8051" s="15" t="s">
        <v>1346</v>
      </c>
    </row>
    <row r="8052" spans="1:40" x14ac:dyDescent="0.3">
      <c r="A8052" s="10" t="str">
        <f>HYPERLINK("http://www.washoecounty.gov/assessor/cama/?parid=550-312-07&amp;CardNumber=1","550-312-07")</f>
        <v>550-312-07</v>
      </c>
      <c r="B8052" t="s">
        <v>4655</v>
      </c>
      <c r="C8052" t="s">
        <v>37150</v>
      </c>
      <c r="D8052" s="1">
        <v>40231</v>
      </c>
      <c r="E8052" s="2">
        <v>129000</v>
      </c>
      <c r="F8052" t="s">
        <v>4567</v>
      </c>
      <c r="G8052" s="17" t="str">
        <f>HYPERLINK("https://www.washoecounty.gov/assessor/cama/?command=sales&amp;parid=55031207","3851520")</f>
        <v>3851520</v>
      </c>
      <c r="H8052" t="s">
        <v>2727</v>
      </c>
      <c r="I8052">
        <v>2001</v>
      </c>
      <c r="J8052">
        <v>2001</v>
      </c>
      <c r="K8052" t="s">
        <v>4554</v>
      </c>
      <c r="L8052" t="s">
        <v>4555</v>
      </c>
      <c r="M8052" s="2">
        <v>1476</v>
      </c>
      <c r="N8052" t="s">
        <v>4048</v>
      </c>
      <c r="O8052">
        <v>3</v>
      </c>
      <c r="P8052">
        <v>2</v>
      </c>
      <c r="Q8052">
        <v>0</v>
      </c>
      <c r="R8052" t="s">
        <v>5281</v>
      </c>
      <c r="S8052" t="s">
        <v>4558</v>
      </c>
      <c r="T8052" t="s">
        <v>4559</v>
      </c>
      <c r="U8052" t="s">
        <v>4560</v>
      </c>
      <c r="V8052" s="2">
        <v>399</v>
      </c>
      <c r="W8052" t="s">
        <v>4655</v>
      </c>
      <c r="X8052" s="2">
        <v>0</v>
      </c>
      <c r="Y8052">
        <v>20</v>
      </c>
      <c r="Z8052" t="s">
        <v>1491</v>
      </c>
      <c r="AA8052" s="3">
        <v>0.13737373054027599</v>
      </c>
      <c r="AB8052" t="s">
        <v>37151</v>
      </c>
      <c r="AC8052" t="s">
        <v>4562</v>
      </c>
      <c r="AD8052" t="s">
        <v>37150</v>
      </c>
      <c r="AE8052" t="s">
        <v>4655</v>
      </c>
      <c r="AF8052" t="s">
        <v>4563</v>
      </c>
      <c r="AG8052" t="s">
        <v>4564</v>
      </c>
      <c r="AH8052">
        <v>89506</v>
      </c>
      <c r="AI8052" t="s">
        <v>37152</v>
      </c>
      <c r="AJ8052" t="s">
        <v>4500</v>
      </c>
      <c r="AK8052" t="s">
        <v>37153</v>
      </c>
      <c r="AL8052" s="13" t="s">
        <v>1901</v>
      </c>
      <c r="AM8052">
        <v>1</v>
      </c>
      <c r="AN8052" s="15" t="s">
        <v>1346</v>
      </c>
    </row>
    <row r="8053" spans="1:40" x14ac:dyDescent="0.3">
      <c r="A8053" s="10" t="str">
        <f>HYPERLINK("http://www.washoecounty.gov/assessor/cama/?parid=550-312-12&amp;CardNumber=1","550-312-12")</f>
        <v>550-312-12</v>
      </c>
      <c r="B8053" t="s">
        <v>4655</v>
      </c>
      <c r="C8053" t="s">
        <v>37154</v>
      </c>
      <c r="D8053" s="1">
        <v>40375</v>
      </c>
      <c r="E8053" s="2">
        <v>135000</v>
      </c>
      <c r="F8053" t="s">
        <v>4553</v>
      </c>
      <c r="G8053" s="17" t="str">
        <f>HYPERLINK("https://www.washoecounty.gov/assessor/cama/?command=sales&amp;parid=55031212","3902248")</f>
        <v>3902248</v>
      </c>
      <c r="H8053" t="s">
        <v>1566</v>
      </c>
      <c r="I8053">
        <v>2001</v>
      </c>
      <c r="J8053">
        <v>2001</v>
      </c>
      <c r="K8053" t="s">
        <v>4554</v>
      </c>
      <c r="L8053" t="s">
        <v>4555</v>
      </c>
      <c r="M8053" s="2">
        <v>1359</v>
      </c>
      <c r="N8053" t="s">
        <v>4048</v>
      </c>
      <c r="O8053">
        <v>3</v>
      </c>
      <c r="P8053">
        <v>2</v>
      </c>
      <c r="Q8053">
        <v>0</v>
      </c>
      <c r="R8053" t="s">
        <v>5281</v>
      </c>
      <c r="S8053" t="s">
        <v>4558</v>
      </c>
      <c r="T8053" t="s">
        <v>4559</v>
      </c>
      <c r="U8053" t="s">
        <v>4560</v>
      </c>
      <c r="V8053" s="2">
        <v>425</v>
      </c>
      <c r="W8053" t="s">
        <v>4655</v>
      </c>
      <c r="X8053" s="2">
        <v>0</v>
      </c>
      <c r="Y8053">
        <v>20</v>
      </c>
      <c r="Z8053" t="s">
        <v>1491</v>
      </c>
      <c r="AA8053" s="3">
        <v>0.15399448573589325</v>
      </c>
      <c r="AB8053" t="s">
        <v>37155</v>
      </c>
      <c r="AC8053" t="s">
        <v>4562</v>
      </c>
      <c r="AD8053" t="s">
        <v>37154</v>
      </c>
      <c r="AE8053" t="s">
        <v>4655</v>
      </c>
      <c r="AF8053" t="s">
        <v>4563</v>
      </c>
      <c r="AG8053" t="s">
        <v>4564</v>
      </c>
      <c r="AH8053">
        <v>89506</v>
      </c>
      <c r="AI8053" t="s">
        <v>4565</v>
      </c>
      <c r="AJ8053" t="s">
        <v>4500</v>
      </c>
      <c r="AK8053" t="s">
        <v>37156</v>
      </c>
      <c r="AL8053" s="13" t="s">
        <v>1901</v>
      </c>
      <c r="AM8053" s="14">
        <v>1</v>
      </c>
      <c r="AN8053" s="15" t="s">
        <v>1346</v>
      </c>
    </row>
    <row r="8054" spans="1:40" x14ac:dyDescent="0.3">
      <c r="A8054" s="10" t="str">
        <f>HYPERLINK("http://www.washoecounty.gov/assessor/cama/?parid=550-312-22&amp;CardNumber=1","550-312-22")</f>
        <v>550-312-22</v>
      </c>
      <c r="B8054" t="s">
        <v>4655</v>
      </c>
      <c r="C8054" t="s">
        <v>37157</v>
      </c>
      <c r="D8054" s="1">
        <v>40182</v>
      </c>
      <c r="E8054" s="2">
        <v>118900</v>
      </c>
      <c r="F8054" t="s">
        <v>4567</v>
      </c>
      <c r="G8054" s="17" t="str">
        <f>HYPERLINK("https://www.washoecounty.gov/assessor/cama/?command=sales&amp;parid=55031222","3836124")</f>
        <v>3836124</v>
      </c>
      <c r="H8054" t="s">
        <v>2727</v>
      </c>
      <c r="I8054">
        <v>2000</v>
      </c>
      <c r="J8054">
        <v>2000</v>
      </c>
      <c r="K8054" t="s">
        <v>4554</v>
      </c>
      <c r="L8054" t="s">
        <v>4555</v>
      </c>
      <c r="M8054" s="2">
        <v>1359</v>
      </c>
      <c r="N8054" t="s">
        <v>4048</v>
      </c>
      <c r="O8054">
        <v>3</v>
      </c>
      <c r="P8054">
        <v>2</v>
      </c>
      <c r="Q8054">
        <v>0</v>
      </c>
      <c r="R8054" t="s">
        <v>4557</v>
      </c>
      <c r="S8054" t="s">
        <v>4558</v>
      </c>
      <c r="T8054" t="s">
        <v>4559</v>
      </c>
      <c r="U8054" t="s">
        <v>4560</v>
      </c>
      <c r="V8054" s="2">
        <v>425</v>
      </c>
      <c r="W8054" t="s">
        <v>4655</v>
      </c>
      <c r="X8054" s="2">
        <v>0</v>
      </c>
      <c r="Y8054">
        <v>20</v>
      </c>
      <c r="Z8054" t="s">
        <v>1491</v>
      </c>
      <c r="AA8054" s="3">
        <v>0.107988983392715</v>
      </c>
      <c r="AB8054" t="s">
        <v>37158</v>
      </c>
      <c r="AC8054" t="s">
        <v>4562</v>
      </c>
      <c r="AD8054" t="s">
        <v>37157</v>
      </c>
      <c r="AE8054" t="s">
        <v>4655</v>
      </c>
      <c r="AF8054" t="s">
        <v>4563</v>
      </c>
      <c r="AG8054" t="s">
        <v>4564</v>
      </c>
      <c r="AH8054">
        <v>89506</v>
      </c>
      <c r="AI8054" t="s">
        <v>37159</v>
      </c>
      <c r="AJ8054" t="s">
        <v>4500</v>
      </c>
      <c r="AK8054" t="s">
        <v>37160</v>
      </c>
      <c r="AL8054" s="13" t="s">
        <v>1901</v>
      </c>
      <c r="AM8054" s="14">
        <v>1</v>
      </c>
      <c r="AN8054" s="15" t="s">
        <v>1346</v>
      </c>
    </row>
    <row r="8055" spans="1:40" x14ac:dyDescent="0.3">
      <c r="A8055" s="10" t="str">
        <f>HYPERLINK("http://www.washoecounty.gov/assessor/cama/?parid=550-312-27&amp;CardNumber=1","550-312-27")</f>
        <v>550-312-27</v>
      </c>
      <c r="B8055" t="s">
        <v>4655</v>
      </c>
      <c r="C8055" t="s">
        <v>37161</v>
      </c>
      <c r="D8055" s="1">
        <v>40203</v>
      </c>
      <c r="E8055" s="2">
        <v>145000</v>
      </c>
      <c r="F8055" t="s">
        <v>4553</v>
      </c>
      <c r="G8055" s="17" t="str">
        <f>HYPERLINK("https://www.washoecounty.gov/assessor/cama/?command=sales&amp;parid=55031227","3842551")</f>
        <v>3842551</v>
      </c>
      <c r="H8055" t="s">
        <v>2727</v>
      </c>
      <c r="I8055">
        <v>2000</v>
      </c>
      <c r="J8055">
        <v>2000</v>
      </c>
      <c r="K8055" t="s">
        <v>4554</v>
      </c>
      <c r="L8055" t="s">
        <v>3974</v>
      </c>
      <c r="M8055" s="2">
        <v>1783</v>
      </c>
      <c r="N8055" t="s">
        <v>4048</v>
      </c>
      <c r="O8055">
        <v>4</v>
      </c>
      <c r="P8055">
        <v>2</v>
      </c>
      <c r="Q8055">
        <v>1</v>
      </c>
      <c r="R8055" t="s">
        <v>4557</v>
      </c>
      <c r="S8055" t="s">
        <v>4558</v>
      </c>
      <c r="T8055" t="s">
        <v>4559</v>
      </c>
      <c r="U8055" t="s">
        <v>5631</v>
      </c>
      <c r="V8055" s="2">
        <v>456</v>
      </c>
      <c r="W8055" t="s">
        <v>4655</v>
      </c>
      <c r="X8055" s="2">
        <v>0</v>
      </c>
      <c r="Y8055">
        <v>20</v>
      </c>
      <c r="Z8055" t="s">
        <v>1491</v>
      </c>
      <c r="AA8055" s="3">
        <v>0.11600092053413399</v>
      </c>
      <c r="AB8055" t="s">
        <v>37162</v>
      </c>
      <c r="AC8055" t="s">
        <v>4575</v>
      </c>
      <c r="AD8055" t="s">
        <v>37163</v>
      </c>
      <c r="AE8055" t="s">
        <v>4655</v>
      </c>
      <c r="AF8055" t="s">
        <v>4563</v>
      </c>
      <c r="AG8055" t="s">
        <v>4564</v>
      </c>
      <c r="AH8055">
        <v>89506</v>
      </c>
      <c r="AI8055" t="s">
        <v>4503</v>
      </c>
      <c r="AJ8055" t="s">
        <v>4500</v>
      </c>
      <c r="AK8055" t="s">
        <v>37164</v>
      </c>
      <c r="AL8055" s="13" t="s">
        <v>1901</v>
      </c>
      <c r="AM8055" s="14">
        <v>1</v>
      </c>
      <c r="AN8055" s="15" t="s">
        <v>1346</v>
      </c>
    </row>
    <row r="8056" spans="1:40" x14ac:dyDescent="0.3">
      <c r="A8056" s="10" t="str">
        <f>HYPERLINK("http://www.washoecounty.gov/assessor/cama/?parid=550-323-10&amp;CardNumber=1","550-323-10")</f>
        <v>550-323-10</v>
      </c>
      <c r="B8056" t="s">
        <v>4655</v>
      </c>
      <c r="C8056" t="s">
        <v>37165</v>
      </c>
      <c r="D8056" s="1">
        <v>40305</v>
      </c>
      <c r="E8056" s="2">
        <v>128700</v>
      </c>
      <c r="F8056" t="s">
        <v>4553</v>
      </c>
      <c r="G8056" s="17" t="str">
        <f>HYPERLINK("https://www.washoecounty.gov/assessor/cama/?command=sales&amp;parid=55032310","3879108")</f>
        <v>3879108</v>
      </c>
      <c r="H8056" t="s">
        <v>3833</v>
      </c>
      <c r="I8056">
        <v>2001</v>
      </c>
      <c r="J8056">
        <v>2001</v>
      </c>
      <c r="K8056" t="s">
        <v>4554</v>
      </c>
      <c r="L8056" t="s">
        <v>4555</v>
      </c>
      <c r="M8056" s="2">
        <v>1476</v>
      </c>
      <c r="N8056" t="s">
        <v>4048</v>
      </c>
      <c r="O8056">
        <v>3</v>
      </c>
      <c r="P8056">
        <v>2</v>
      </c>
      <c r="Q8056">
        <v>0</v>
      </c>
      <c r="R8056" t="s">
        <v>5281</v>
      </c>
      <c r="S8056" t="s">
        <v>4558</v>
      </c>
      <c r="T8056" t="s">
        <v>4559</v>
      </c>
      <c r="U8056" t="s">
        <v>4560</v>
      </c>
      <c r="V8056" s="2">
        <v>399</v>
      </c>
      <c r="W8056" t="s">
        <v>4655</v>
      </c>
      <c r="X8056" s="2">
        <v>0</v>
      </c>
      <c r="Y8056">
        <v>20</v>
      </c>
      <c r="Z8056" t="s">
        <v>1491</v>
      </c>
      <c r="AA8056" s="3">
        <v>0.23500917851924899</v>
      </c>
      <c r="AB8056" t="s">
        <v>4673</v>
      </c>
      <c r="AC8056" t="s">
        <v>4562</v>
      </c>
      <c r="AD8056" t="s">
        <v>3093</v>
      </c>
      <c r="AE8056" t="s">
        <v>4655</v>
      </c>
      <c r="AF8056" t="s">
        <v>4563</v>
      </c>
      <c r="AG8056" t="s">
        <v>4564</v>
      </c>
      <c r="AH8056">
        <v>89512</v>
      </c>
      <c r="AI8056" t="s">
        <v>1267</v>
      </c>
      <c r="AJ8056" t="s">
        <v>3834</v>
      </c>
      <c r="AK8056" t="s">
        <v>37166</v>
      </c>
      <c r="AL8056" s="13" t="s">
        <v>1901</v>
      </c>
      <c r="AM8056" s="14">
        <v>1</v>
      </c>
      <c r="AN8056" s="15" t="s">
        <v>1346</v>
      </c>
    </row>
    <row r="8057" spans="1:40" x14ac:dyDescent="0.3">
      <c r="A8057" s="10" t="str">
        <f>HYPERLINK("http://www.washoecounty.gov/assessor/cama/?parid=550-333-01&amp;CardNumber=1","550-333-01")</f>
        <v>550-333-01</v>
      </c>
      <c r="B8057" t="s">
        <v>4655</v>
      </c>
      <c r="C8057" t="s">
        <v>37167</v>
      </c>
      <c r="D8057" s="1">
        <v>40210</v>
      </c>
      <c r="E8057" s="2">
        <v>133650</v>
      </c>
      <c r="F8057" t="s">
        <v>4553</v>
      </c>
      <c r="G8057" s="17" t="str">
        <f>HYPERLINK("https://www.washoecounty.gov/assessor/cama/?command=sales&amp;parid=55033301","3844926")</f>
        <v>3844926</v>
      </c>
      <c r="H8057" t="s">
        <v>2577</v>
      </c>
      <c r="I8057">
        <v>2001</v>
      </c>
      <c r="J8057">
        <v>2001</v>
      </c>
      <c r="K8057" t="s">
        <v>4554</v>
      </c>
      <c r="L8057" t="s">
        <v>3974</v>
      </c>
      <c r="M8057" s="2">
        <v>2190</v>
      </c>
      <c r="N8057" t="s">
        <v>4048</v>
      </c>
      <c r="O8057">
        <v>3</v>
      </c>
      <c r="P8057">
        <v>2</v>
      </c>
      <c r="Q8057">
        <v>1</v>
      </c>
      <c r="R8057" t="s">
        <v>5281</v>
      </c>
      <c r="S8057" t="s">
        <v>4558</v>
      </c>
      <c r="T8057" t="s">
        <v>4559</v>
      </c>
      <c r="U8057" t="s">
        <v>5631</v>
      </c>
      <c r="V8057" s="2">
        <v>420</v>
      </c>
      <c r="W8057" t="s">
        <v>4655</v>
      </c>
      <c r="X8057" s="2">
        <v>0</v>
      </c>
      <c r="Y8057">
        <v>20</v>
      </c>
      <c r="Z8057" t="s">
        <v>1491</v>
      </c>
      <c r="AA8057" s="3">
        <v>0.11299357563257199</v>
      </c>
      <c r="AB8057" t="s">
        <v>4673</v>
      </c>
      <c r="AC8057" t="s">
        <v>4562</v>
      </c>
      <c r="AD8057" t="s">
        <v>3093</v>
      </c>
      <c r="AE8057" t="s">
        <v>4655</v>
      </c>
      <c r="AF8057" t="s">
        <v>4563</v>
      </c>
      <c r="AG8057" t="s">
        <v>4564</v>
      </c>
      <c r="AH8057">
        <v>89512</v>
      </c>
      <c r="AI8057" t="s">
        <v>4848</v>
      </c>
      <c r="AJ8057" t="s">
        <v>2578</v>
      </c>
      <c r="AK8057" t="s">
        <v>37168</v>
      </c>
      <c r="AL8057" s="13" t="s">
        <v>1901</v>
      </c>
      <c r="AM8057">
        <v>1</v>
      </c>
      <c r="AN8057" s="15" t="s">
        <v>1346</v>
      </c>
    </row>
    <row r="8058" spans="1:40" x14ac:dyDescent="0.3">
      <c r="A8058" s="10" t="str">
        <f>HYPERLINK("http://www.washoecounty.gov/assessor/cama/?parid=550-333-03&amp;CardNumber=1","550-333-03")</f>
        <v>550-333-03</v>
      </c>
      <c r="B8058" t="s">
        <v>4655</v>
      </c>
      <c r="C8058" t="s">
        <v>37169</v>
      </c>
      <c r="D8058" s="1">
        <v>40245</v>
      </c>
      <c r="E8058" s="2">
        <v>117500</v>
      </c>
      <c r="F8058" t="s">
        <v>4553</v>
      </c>
      <c r="G8058" s="17" t="str">
        <f>HYPERLINK("https://www.washoecounty.gov/assessor/cama/?command=sales&amp;parid=55033303","3856910")</f>
        <v>3856910</v>
      </c>
      <c r="H8058" t="s">
        <v>2577</v>
      </c>
      <c r="I8058">
        <v>2001</v>
      </c>
      <c r="J8058">
        <v>2001</v>
      </c>
      <c r="K8058" t="s">
        <v>4554</v>
      </c>
      <c r="L8058" t="s">
        <v>4555</v>
      </c>
      <c r="M8058" s="2">
        <v>1394</v>
      </c>
      <c r="N8058" t="s">
        <v>4048</v>
      </c>
      <c r="O8058">
        <v>3</v>
      </c>
      <c r="P8058">
        <v>2</v>
      </c>
      <c r="Q8058">
        <v>0</v>
      </c>
      <c r="R8058" t="s">
        <v>5281</v>
      </c>
      <c r="S8058" t="s">
        <v>4558</v>
      </c>
      <c r="T8058" t="s">
        <v>4559</v>
      </c>
      <c r="U8058" t="s">
        <v>4560</v>
      </c>
      <c r="V8058" s="2">
        <v>432</v>
      </c>
      <c r="W8058" t="s">
        <v>4655</v>
      </c>
      <c r="X8058" s="2">
        <v>0</v>
      </c>
      <c r="Y8058">
        <v>20</v>
      </c>
      <c r="Z8058" t="s">
        <v>1491</v>
      </c>
      <c r="AA8058" s="3">
        <v>0.11299357563257199</v>
      </c>
      <c r="AB8058" t="s">
        <v>37170</v>
      </c>
      <c r="AC8058" t="s">
        <v>4575</v>
      </c>
      <c r="AD8058" t="s">
        <v>37171</v>
      </c>
      <c r="AE8058" t="s">
        <v>37172</v>
      </c>
      <c r="AF8058" t="s">
        <v>5201</v>
      </c>
      <c r="AG8058" t="s">
        <v>4564</v>
      </c>
      <c r="AH8058" t="s">
        <v>5202</v>
      </c>
      <c r="AI8058" t="s">
        <v>4655</v>
      </c>
      <c r="AJ8058" t="s">
        <v>2578</v>
      </c>
      <c r="AK8058" t="s">
        <v>37173</v>
      </c>
      <c r="AL8058" s="13" t="s">
        <v>1901</v>
      </c>
      <c r="AM8058" s="14">
        <v>1</v>
      </c>
      <c r="AN8058" s="15" t="s">
        <v>1346</v>
      </c>
    </row>
    <row r="8059" spans="1:40" x14ac:dyDescent="0.3">
      <c r="A8059" s="10" t="str">
        <f>HYPERLINK("http://www.washoecounty.gov/assessor/cama/?parid=550-333-15&amp;CardNumber=1","550-333-15")</f>
        <v>550-333-15</v>
      </c>
      <c r="B8059" t="s">
        <v>4655</v>
      </c>
      <c r="C8059" t="s">
        <v>37174</v>
      </c>
      <c r="D8059" s="1">
        <v>40183</v>
      </c>
      <c r="E8059" s="2">
        <v>141000</v>
      </c>
      <c r="F8059" t="s">
        <v>4553</v>
      </c>
      <c r="G8059" s="17" t="str">
        <f>HYPERLINK("https://www.washoecounty.gov/assessor/cama/?command=sales&amp;parid=55033315","3836535")</f>
        <v>3836535</v>
      </c>
      <c r="H8059" t="s">
        <v>2577</v>
      </c>
      <c r="I8059">
        <v>2002</v>
      </c>
      <c r="J8059">
        <v>2002</v>
      </c>
      <c r="K8059" t="s">
        <v>4554</v>
      </c>
      <c r="L8059" t="s">
        <v>4555</v>
      </c>
      <c r="M8059" s="2">
        <v>1642</v>
      </c>
      <c r="N8059" t="s">
        <v>4048</v>
      </c>
      <c r="O8059">
        <v>3</v>
      </c>
      <c r="P8059">
        <v>2</v>
      </c>
      <c r="Q8059">
        <v>0</v>
      </c>
      <c r="R8059" t="s">
        <v>5281</v>
      </c>
      <c r="S8059" t="s">
        <v>4558</v>
      </c>
      <c r="T8059" t="s">
        <v>4559</v>
      </c>
      <c r="U8059" t="s">
        <v>4560</v>
      </c>
      <c r="V8059" s="2">
        <v>380</v>
      </c>
      <c r="W8059" t="s">
        <v>4655</v>
      </c>
      <c r="X8059" s="2">
        <v>0</v>
      </c>
      <c r="Y8059">
        <v>20</v>
      </c>
      <c r="Z8059" t="s">
        <v>1491</v>
      </c>
      <c r="AA8059" s="3">
        <v>0.114990815520287</v>
      </c>
      <c r="AB8059" t="s">
        <v>37175</v>
      </c>
      <c r="AC8059" t="s">
        <v>4575</v>
      </c>
      <c r="AD8059" t="s">
        <v>37174</v>
      </c>
      <c r="AE8059" t="s">
        <v>4655</v>
      </c>
      <c r="AF8059" t="s">
        <v>4563</v>
      </c>
      <c r="AG8059" t="s">
        <v>4564</v>
      </c>
      <c r="AH8059">
        <v>89506</v>
      </c>
      <c r="AI8059" t="s">
        <v>4655</v>
      </c>
      <c r="AJ8059" t="s">
        <v>2578</v>
      </c>
      <c r="AK8059" t="s">
        <v>37176</v>
      </c>
      <c r="AL8059" s="13" t="s">
        <v>1901</v>
      </c>
      <c r="AM8059">
        <v>1</v>
      </c>
      <c r="AN8059" s="15" t="s">
        <v>1346</v>
      </c>
    </row>
    <row r="8060" spans="1:40" x14ac:dyDescent="0.3">
      <c r="A8060" s="10" t="str">
        <f>HYPERLINK("http://www.washoecounty.gov/assessor/cama/?parid=550-333-16&amp;CardNumber=1","550-333-16")</f>
        <v>550-333-16</v>
      </c>
      <c r="B8060" t="s">
        <v>4655</v>
      </c>
      <c r="C8060" t="s">
        <v>37177</v>
      </c>
      <c r="D8060" s="1">
        <v>40288</v>
      </c>
      <c r="E8060" s="2">
        <v>148000</v>
      </c>
      <c r="F8060" t="s">
        <v>4567</v>
      </c>
      <c r="G8060" s="17" t="str">
        <f>HYPERLINK("https://www.washoecounty.gov/assessor/cama/?command=sales&amp;parid=55033316","3873022")</f>
        <v>3873022</v>
      </c>
      <c r="H8060" t="s">
        <v>2577</v>
      </c>
      <c r="I8060">
        <v>2002</v>
      </c>
      <c r="J8060">
        <v>2002</v>
      </c>
      <c r="K8060" t="s">
        <v>4554</v>
      </c>
      <c r="L8060" t="s">
        <v>3974</v>
      </c>
      <c r="M8060" s="2">
        <v>2190</v>
      </c>
      <c r="N8060" t="s">
        <v>4048</v>
      </c>
      <c r="O8060">
        <v>3</v>
      </c>
      <c r="P8060">
        <v>2</v>
      </c>
      <c r="Q8060">
        <v>1</v>
      </c>
      <c r="R8060" t="s">
        <v>5281</v>
      </c>
      <c r="S8060" t="s">
        <v>4558</v>
      </c>
      <c r="T8060" t="s">
        <v>4559</v>
      </c>
      <c r="U8060" t="s">
        <v>5631</v>
      </c>
      <c r="V8060" s="2">
        <v>420</v>
      </c>
      <c r="W8060" t="s">
        <v>4655</v>
      </c>
      <c r="X8060" s="2">
        <v>0</v>
      </c>
      <c r="Y8060">
        <v>20</v>
      </c>
      <c r="Z8060" t="s">
        <v>1491</v>
      </c>
      <c r="AA8060" s="3">
        <v>0.11600092053413399</v>
      </c>
      <c r="AB8060" t="s">
        <v>37178</v>
      </c>
      <c r="AC8060" t="s">
        <v>4575</v>
      </c>
      <c r="AD8060" t="s">
        <v>37179</v>
      </c>
      <c r="AE8060" t="s">
        <v>37180</v>
      </c>
      <c r="AF8060" t="s">
        <v>4563</v>
      </c>
      <c r="AG8060" t="s">
        <v>4564</v>
      </c>
      <c r="AH8060">
        <v>89506</v>
      </c>
      <c r="AI8060" t="s">
        <v>37181</v>
      </c>
      <c r="AJ8060" t="s">
        <v>2578</v>
      </c>
      <c r="AK8060" t="s">
        <v>37182</v>
      </c>
      <c r="AL8060" s="13" t="s">
        <v>1901</v>
      </c>
      <c r="AM8060">
        <v>1</v>
      </c>
      <c r="AN8060" s="15" t="s">
        <v>1346</v>
      </c>
    </row>
    <row r="8061" spans="1:40" x14ac:dyDescent="0.3">
      <c r="A8061" s="10" t="str">
        <f>HYPERLINK("http://www.washoecounty.gov/assessor/cama/?parid=550-341-04&amp;CardNumber=1","550-341-04")</f>
        <v>550-341-04</v>
      </c>
      <c r="B8061" t="s">
        <v>4655</v>
      </c>
      <c r="C8061" t="s">
        <v>37183</v>
      </c>
      <c r="D8061" s="1">
        <v>40463</v>
      </c>
      <c r="E8061" s="2">
        <v>129900</v>
      </c>
      <c r="F8061" t="s">
        <v>4553</v>
      </c>
      <c r="G8061" s="17" t="str">
        <f>HYPERLINK("https://www.washoecounty.gov/assessor/cama/?command=sales&amp;parid=55034104","3931885")</f>
        <v>3931885</v>
      </c>
      <c r="H8061" t="s">
        <v>2577</v>
      </c>
      <c r="I8061">
        <v>2001</v>
      </c>
      <c r="J8061">
        <v>2001</v>
      </c>
      <c r="K8061" t="s">
        <v>4554</v>
      </c>
      <c r="L8061" t="s">
        <v>3974</v>
      </c>
      <c r="M8061" s="2">
        <v>2190</v>
      </c>
      <c r="N8061" t="s">
        <v>4048</v>
      </c>
      <c r="O8061">
        <v>3</v>
      </c>
      <c r="P8061">
        <v>2</v>
      </c>
      <c r="Q8061">
        <v>1</v>
      </c>
      <c r="R8061" t="s">
        <v>5281</v>
      </c>
      <c r="S8061" t="s">
        <v>4558</v>
      </c>
      <c r="T8061" t="s">
        <v>4559</v>
      </c>
      <c r="U8061" t="s">
        <v>5631</v>
      </c>
      <c r="V8061" s="2">
        <v>420</v>
      </c>
      <c r="W8061" t="s">
        <v>4655</v>
      </c>
      <c r="X8061" s="2">
        <v>0</v>
      </c>
      <c r="Y8061">
        <v>20</v>
      </c>
      <c r="Z8061" t="s">
        <v>1491</v>
      </c>
      <c r="AA8061" s="3">
        <v>0.121992655098438</v>
      </c>
      <c r="AB8061" t="s">
        <v>37184</v>
      </c>
      <c r="AC8061" t="s">
        <v>4562</v>
      </c>
      <c r="AD8061" t="s">
        <v>37183</v>
      </c>
      <c r="AE8061" t="s">
        <v>4655</v>
      </c>
      <c r="AF8061" t="s">
        <v>4563</v>
      </c>
      <c r="AG8061" t="s">
        <v>4564</v>
      </c>
      <c r="AH8061">
        <v>89506</v>
      </c>
      <c r="AI8061" t="s">
        <v>4585</v>
      </c>
      <c r="AJ8061" t="s">
        <v>2578</v>
      </c>
      <c r="AK8061" t="s">
        <v>37185</v>
      </c>
      <c r="AL8061" s="13" t="s">
        <v>1901</v>
      </c>
      <c r="AM8061">
        <v>1</v>
      </c>
      <c r="AN8061" s="15" t="s">
        <v>1346</v>
      </c>
    </row>
    <row r="8062" spans="1:40" x14ac:dyDescent="0.3">
      <c r="A8062" s="10" t="str">
        <f>HYPERLINK("http://www.washoecounty.gov/assessor/cama/?parid=550-341-11&amp;CardNumber=1","550-341-11")</f>
        <v>550-341-11</v>
      </c>
      <c r="B8062" t="s">
        <v>4655</v>
      </c>
      <c r="C8062" t="s">
        <v>37186</v>
      </c>
      <c r="D8062" s="1">
        <v>40478</v>
      </c>
      <c r="E8062" s="2">
        <v>144500</v>
      </c>
      <c r="F8062" t="s">
        <v>4567</v>
      </c>
      <c r="G8062" s="17" t="str">
        <f>HYPERLINK("https://www.washoecounty.gov/assessor/cama/?command=sales&amp;parid=55034111","3937044")</f>
        <v>3937044</v>
      </c>
      <c r="H8062" t="s">
        <v>2577</v>
      </c>
      <c r="I8062">
        <v>2001</v>
      </c>
      <c r="J8062">
        <v>2001</v>
      </c>
      <c r="K8062" t="s">
        <v>4554</v>
      </c>
      <c r="L8062" t="s">
        <v>3974</v>
      </c>
      <c r="M8062" s="2">
        <v>2080</v>
      </c>
      <c r="N8062" t="s">
        <v>4048</v>
      </c>
      <c r="O8062">
        <v>3</v>
      </c>
      <c r="P8062">
        <v>2</v>
      </c>
      <c r="Q8062">
        <v>0</v>
      </c>
      <c r="R8062" t="s">
        <v>4557</v>
      </c>
      <c r="S8062" t="s">
        <v>4558</v>
      </c>
      <c r="T8062" t="s">
        <v>4559</v>
      </c>
      <c r="U8062" t="s">
        <v>4560</v>
      </c>
      <c r="V8062" s="2">
        <v>380</v>
      </c>
      <c r="W8062" t="s">
        <v>4655</v>
      </c>
      <c r="X8062" s="2">
        <v>0</v>
      </c>
      <c r="Y8062">
        <v>20</v>
      </c>
      <c r="Z8062" t="s">
        <v>1491</v>
      </c>
      <c r="AA8062" s="3">
        <v>0.10199724882841101</v>
      </c>
      <c r="AB8062" t="s">
        <v>37187</v>
      </c>
      <c r="AC8062" t="s">
        <v>4562</v>
      </c>
      <c r="AD8062" t="s">
        <v>37186</v>
      </c>
      <c r="AE8062" t="s">
        <v>4655</v>
      </c>
      <c r="AF8062" t="s">
        <v>4563</v>
      </c>
      <c r="AG8062" t="s">
        <v>4564</v>
      </c>
      <c r="AH8062">
        <v>89506</v>
      </c>
      <c r="AI8062" t="s">
        <v>37188</v>
      </c>
      <c r="AJ8062" t="s">
        <v>2578</v>
      </c>
      <c r="AK8062" t="s">
        <v>37189</v>
      </c>
      <c r="AL8062" s="13" t="s">
        <v>1901</v>
      </c>
      <c r="AM8062" s="14">
        <v>1</v>
      </c>
      <c r="AN8062" s="15" t="s">
        <v>1346</v>
      </c>
    </row>
    <row r="8063" spans="1:40" x14ac:dyDescent="0.3">
      <c r="A8063" s="10" t="str">
        <f>HYPERLINK("http://www.washoecounty.gov/assessor/cama/?parid=550-341-13&amp;CardNumber=1","550-341-13")</f>
        <v>550-341-13</v>
      </c>
      <c r="B8063" t="s">
        <v>4655</v>
      </c>
      <c r="C8063" t="s">
        <v>37190</v>
      </c>
      <c r="D8063" s="1">
        <v>40338</v>
      </c>
      <c r="E8063" s="2">
        <v>143000</v>
      </c>
      <c r="F8063" t="s">
        <v>4567</v>
      </c>
      <c r="G8063" s="17" t="str">
        <f>HYPERLINK("https://www.washoecounty.gov/assessor/cama/?command=sales&amp;parid=55034113","3889821")</f>
        <v>3889821</v>
      </c>
      <c r="H8063" t="s">
        <v>2577</v>
      </c>
      <c r="I8063">
        <v>2001</v>
      </c>
      <c r="J8063">
        <v>2001</v>
      </c>
      <c r="K8063" t="s">
        <v>4554</v>
      </c>
      <c r="L8063" t="s">
        <v>3974</v>
      </c>
      <c r="M8063" s="2">
        <v>2080</v>
      </c>
      <c r="N8063" t="s">
        <v>4048</v>
      </c>
      <c r="O8063">
        <v>3</v>
      </c>
      <c r="P8063">
        <v>2</v>
      </c>
      <c r="Q8063">
        <v>0</v>
      </c>
      <c r="R8063" t="s">
        <v>5281</v>
      </c>
      <c r="S8063" t="s">
        <v>4558</v>
      </c>
      <c r="T8063" t="s">
        <v>4559</v>
      </c>
      <c r="U8063" t="s">
        <v>4560</v>
      </c>
      <c r="V8063" s="2">
        <v>380</v>
      </c>
      <c r="W8063" t="s">
        <v>4655</v>
      </c>
      <c r="X8063" s="2">
        <v>0</v>
      </c>
      <c r="Y8063">
        <v>20</v>
      </c>
      <c r="Z8063" t="s">
        <v>1491</v>
      </c>
      <c r="AA8063" s="3">
        <v>9.8002754151821095E-2</v>
      </c>
      <c r="AB8063" t="s">
        <v>37191</v>
      </c>
      <c r="AC8063" t="s">
        <v>4562</v>
      </c>
      <c r="AD8063" t="s">
        <v>37190</v>
      </c>
      <c r="AE8063" t="s">
        <v>4655</v>
      </c>
      <c r="AF8063" t="s">
        <v>4563</v>
      </c>
      <c r="AG8063" t="s">
        <v>4564</v>
      </c>
      <c r="AH8063">
        <v>89506</v>
      </c>
      <c r="AI8063" t="s">
        <v>37192</v>
      </c>
      <c r="AJ8063" t="s">
        <v>2578</v>
      </c>
      <c r="AK8063" t="s">
        <v>37193</v>
      </c>
      <c r="AL8063" s="13" t="s">
        <v>1901</v>
      </c>
      <c r="AM8063" s="14">
        <v>1</v>
      </c>
      <c r="AN8063" s="15" t="s">
        <v>1346</v>
      </c>
    </row>
    <row r="8064" spans="1:40" x14ac:dyDescent="0.3">
      <c r="A8064" s="10" t="str">
        <f>HYPERLINK("http://www.washoecounty.gov/assessor/cama/?parid=550-342-06&amp;CardNumber=1","550-342-06")</f>
        <v>550-342-06</v>
      </c>
      <c r="B8064" t="s">
        <v>4655</v>
      </c>
      <c r="C8064" t="s">
        <v>37194</v>
      </c>
      <c r="D8064" s="1">
        <v>40372</v>
      </c>
      <c r="E8064" s="2">
        <v>141500</v>
      </c>
      <c r="F8064" t="s">
        <v>4567</v>
      </c>
      <c r="G8064" s="17" t="str">
        <f>HYPERLINK("https://www.washoecounty.gov/assessor/cama/?command=sales&amp;parid=55034206","3900759")</f>
        <v>3900759</v>
      </c>
      <c r="H8064" t="s">
        <v>2577</v>
      </c>
      <c r="I8064">
        <v>2001</v>
      </c>
      <c r="J8064">
        <v>2001</v>
      </c>
      <c r="K8064" t="s">
        <v>4554</v>
      </c>
      <c r="L8064" t="s">
        <v>3974</v>
      </c>
      <c r="M8064" s="2">
        <v>2080</v>
      </c>
      <c r="N8064" t="s">
        <v>4048</v>
      </c>
      <c r="O8064">
        <v>3</v>
      </c>
      <c r="P8064">
        <v>2</v>
      </c>
      <c r="Q8064">
        <v>0</v>
      </c>
      <c r="R8064" t="s">
        <v>5281</v>
      </c>
      <c r="S8064" t="s">
        <v>4558</v>
      </c>
      <c r="T8064" t="s">
        <v>4559</v>
      </c>
      <c r="U8064" t="s">
        <v>4560</v>
      </c>
      <c r="V8064" s="2">
        <v>380</v>
      </c>
      <c r="W8064" t="s">
        <v>4655</v>
      </c>
      <c r="X8064" s="2">
        <v>0</v>
      </c>
      <c r="Y8064">
        <v>20</v>
      </c>
      <c r="Z8064" t="s">
        <v>1491</v>
      </c>
      <c r="AA8064" s="3">
        <v>0.114990815520287</v>
      </c>
      <c r="AB8064" t="s">
        <v>37195</v>
      </c>
      <c r="AC8064" t="s">
        <v>4562</v>
      </c>
      <c r="AD8064" t="s">
        <v>37196</v>
      </c>
      <c r="AE8064" t="s">
        <v>37197</v>
      </c>
      <c r="AF8064" t="s">
        <v>4563</v>
      </c>
      <c r="AG8064" t="s">
        <v>4564</v>
      </c>
      <c r="AH8064">
        <v>89506</v>
      </c>
      <c r="AI8064" t="s">
        <v>4655</v>
      </c>
      <c r="AJ8064" t="s">
        <v>2578</v>
      </c>
      <c r="AK8064" t="s">
        <v>37198</v>
      </c>
      <c r="AL8064" s="13" t="s">
        <v>1901</v>
      </c>
      <c r="AM8064" s="14">
        <v>1</v>
      </c>
      <c r="AN8064" s="15" t="s">
        <v>1346</v>
      </c>
    </row>
    <row r="8065" spans="1:40" x14ac:dyDescent="0.3">
      <c r="A8065" s="10" t="str">
        <f>HYPERLINK("http://www.washoecounty.gov/assessor/cama/?parid=550-342-11&amp;CardNumber=1","550-342-11")</f>
        <v>550-342-11</v>
      </c>
      <c r="B8065" t="s">
        <v>4655</v>
      </c>
      <c r="C8065" t="s">
        <v>37199</v>
      </c>
      <c r="D8065" s="1">
        <v>40500</v>
      </c>
      <c r="E8065" s="2">
        <v>123000</v>
      </c>
      <c r="F8065" t="s">
        <v>4567</v>
      </c>
      <c r="G8065" s="17" t="str">
        <f>HYPERLINK("https://www.washoecounty.gov/assessor/cama/?command=sales&amp;parid=55034211","3944666")</f>
        <v>3944666</v>
      </c>
      <c r="H8065" t="s">
        <v>2577</v>
      </c>
      <c r="I8065">
        <v>2001</v>
      </c>
      <c r="J8065">
        <v>2001</v>
      </c>
      <c r="K8065" t="s">
        <v>4554</v>
      </c>
      <c r="L8065" t="s">
        <v>4555</v>
      </c>
      <c r="M8065" s="2">
        <v>1394</v>
      </c>
      <c r="N8065" t="s">
        <v>4048</v>
      </c>
      <c r="O8065">
        <v>3</v>
      </c>
      <c r="P8065">
        <v>2</v>
      </c>
      <c r="Q8065">
        <v>0</v>
      </c>
      <c r="R8065" t="s">
        <v>4557</v>
      </c>
      <c r="S8065" t="s">
        <v>4558</v>
      </c>
      <c r="T8065" t="s">
        <v>4559</v>
      </c>
      <c r="U8065" t="s">
        <v>4560</v>
      </c>
      <c r="V8065" s="2">
        <v>433</v>
      </c>
      <c r="W8065" t="s">
        <v>4655</v>
      </c>
      <c r="X8065" s="2">
        <v>0</v>
      </c>
      <c r="Y8065">
        <v>20</v>
      </c>
      <c r="Z8065" t="s">
        <v>1491</v>
      </c>
      <c r="AA8065" s="3">
        <v>0.110996328294277</v>
      </c>
      <c r="AB8065" t="s">
        <v>37200</v>
      </c>
      <c r="AC8065" t="s">
        <v>4562</v>
      </c>
      <c r="AD8065" t="s">
        <v>37199</v>
      </c>
      <c r="AE8065" t="s">
        <v>4655</v>
      </c>
      <c r="AF8065" t="s">
        <v>4563</v>
      </c>
      <c r="AG8065" t="s">
        <v>4564</v>
      </c>
      <c r="AH8065">
        <v>89506</v>
      </c>
      <c r="AI8065" t="s">
        <v>37201</v>
      </c>
      <c r="AJ8065" t="s">
        <v>2578</v>
      </c>
      <c r="AK8065" t="s">
        <v>37202</v>
      </c>
      <c r="AL8065" s="13" t="s">
        <v>1901</v>
      </c>
      <c r="AM8065">
        <v>1</v>
      </c>
      <c r="AN8065" s="15" t="s">
        <v>1346</v>
      </c>
    </row>
    <row r="8066" spans="1:40" x14ac:dyDescent="0.3">
      <c r="A8066" s="10" t="str">
        <f>HYPERLINK("http://www.washoecounty.gov/assessor/cama/?parid=550-351-13&amp;CardNumber=1","550-351-13")</f>
        <v>550-351-13</v>
      </c>
      <c r="B8066" t="s">
        <v>4655</v>
      </c>
      <c r="C8066" t="s">
        <v>37203</v>
      </c>
      <c r="D8066" s="1">
        <v>40359</v>
      </c>
      <c r="E8066" s="2">
        <v>165000</v>
      </c>
      <c r="F8066" t="s">
        <v>4567</v>
      </c>
      <c r="G8066" s="17" t="str">
        <f>HYPERLINK("https://www.washoecounty.gov/assessor/cama/?command=sales&amp;parid=55035113","3897436")</f>
        <v>3897436</v>
      </c>
      <c r="H8066" t="s">
        <v>3835</v>
      </c>
      <c r="I8066">
        <v>2001</v>
      </c>
      <c r="J8066">
        <v>2001</v>
      </c>
      <c r="K8066" t="s">
        <v>4554</v>
      </c>
      <c r="L8066" t="s">
        <v>3974</v>
      </c>
      <c r="M8066" s="2">
        <v>2639</v>
      </c>
      <c r="N8066" t="s">
        <v>4048</v>
      </c>
      <c r="O8066">
        <v>3</v>
      </c>
      <c r="P8066">
        <v>2</v>
      </c>
      <c r="Q8066">
        <v>1</v>
      </c>
      <c r="R8066" t="s">
        <v>5281</v>
      </c>
      <c r="S8066" t="s">
        <v>4558</v>
      </c>
      <c r="T8066" t="s">
        <v>4559</v>
      </c>
      <c r="U8066" t="s">
        <v>4560</v>
      </c>
      <c r="V8066" s="2">
        <v>642</v>
      </c>
      <c r="W8066" t="s">
        <v>4655</v>
      </c>
      <c r="X8066" s="2">
        <v>0</v>
      </c>
      <c r="Y8066">
        <v>20</v>
      </c>
      <c r="Z8066" t="s">
        <v>1491</v>
      </c>
      <c r="AA8066" s="3">
        <v>0.14499540627002699</v>
      </c>
      <c r="AB8066" t="s">
        <v>37204</v>
      </c>
      <c r="AC8066" t="s">
        <v>4562</v>
      </c>
      <c r="AD8066" t="s">
        <v>37203</v>
      </c>
      <c r="AE8066" t="s">
        <v>4655</v>
      </c>
      <c r="AF8066" t="s">
        <v>4563</v>
      </c>
      <c r="AG8066" t="s">
        <v>4564</v>
      </c>
      <c r="AH8066">
        <v>89506</v>
      </c>
      <c r="AI8066" t="s">
        <v>36605</v>
      </c>
      <c r="AJ8066" t="s">
        <v>3836</v>
      </c>
      <c r="AK8066" t="s">
        <v>37205</v>
      </c>
      <c r="AL8066" s="13" t="s">
        <v>1901</v>
      </c>
      <c r="AM8066" s="14">
        <v>1</v>
      </c>
      <c r="AN8066" s="15" t="s">
        <v>1346</v>
      </c>
    </row>
    <row r="8067" spans="1:40" x14ac:dyDescent="0.3">
      <c r="A8067" s="10" t="str">
        <f>HYPERLINK("http://www.washoecounty.gov/assessor/cama/?parid=550-351-17&amp;CardNumber=1","550-351-17")</f>
        <v>550-351-17</v>
      </c>
      <c r="B8067" t="s">
        <v>4655</v>
      </c>
      <c r="C8067" t="s">
        <v>37206</v>
      </c>
      <c r="D8067" s="1">
        <v>40298</v>
      </c>
      <c r="E8067" s="2">
        <v>182500</v>
      </c>
      <c r="F8067" t="s">
        <v>4553</v>
      </c>
      <c r="G8067" s="17" t="str">
        <f>HYPERLINK("https://www.washoecounty.gov/assessor/cama/?command=sales&amp;parid=55035117","3876708")</f>
        <v>3876708</v>
      </c>
      <c r="H8067" t="s">
        <v>3835</v>
      </c>
      <c r="I8067">
        <v>2002</v>
      </c>
      <c r="J8067">
        <v>2002</v>
      </c>
      <c r="K8067" t="s">
        <v>4554</v>
      </c>
      <c r="L8067" t="s">
        <v>3974</v>
      </c>
      <c r="M8067" s="2">
        <v>2639</v>
      </c>
      <c r="N8067" t="s">
        <v>4048</v>
      </c>
      <c r="O8067">
        <v>3</v>
      </c>
      <c r="P8067">
        <v>2</v>
      </c>
      <c r="Q8067">
        <v>1</v>
      </c>
      <c r="R8067" t="s">
        <v>5281</v>
      </c>
      <c r="S8067" t="s">
        <v>4558</v>
      </c>
      <c r="T8067" t="s">
        <v>4559</v>
      </c>
      <c r="U8067" t="s">
        <v>4560</v>
      </c>
      <c r="V8067" s="2">
        <v>642</v>
      </c>
      <c r="W8067" t="s">
        <v>4655</v>
      </c>
      <c r="X8067" s="2">
        <v>0</v>
      </c>
      <c r="Y8067">
        <v>20</v>
      </c>
      <c r="Z8067" t="s">
        <v>1491</v>
      </c>
      <c r="AA8067" s="3">
        <v>0.148002758622169</v>
      </c>
      <c r="AB8067" t="s">
        <v>37207</v>
      </c>
      <c r="AC8067" t="s">
        <v>4562</v>
      </c>
      <c r="AD8067" t="s">
        <v>37206</v>
      </c>
      <c r="AE8067" t="s">
        <v>4655</v>
      </c>
      <c r="AF8067" t="s">
        <v>4563</v>
      </c>
      <c r="AG8067" t="s">
        <v>4564</v>
      </c>
      <c r="AH8067">
        <v>89506</v>
      </c>
      <c r="AI8067" t="s">
        <v>2399</v>
      </c>
      <c r="AJ8067" t="s">
        <v>3836</v>
      </c>
      <c r="AK8067" t="s">
        <v>37208</v>
      </c>
      <c r="AL8067" s="13" t="s">
        <v>1901</v>
      </c>
      <c r="AM8067" s="14">
        <v>1</v>
      </c>
      <c r="AN8067" s="15" t="s">
        <v>1346</v>
      </c>
    </row>
    <row r="8068" spans="1:40" x14ac:dyDescent="0.3">
      <c r="A8068" s="10" t="str">
        <f>HYPERLINK("http://www.washoecounty.gov/assessor/cama/?parid=550-353-03&amp;CardNumber=1","550-353-03")</f>
        <v>550-353-03</v>
      </c>
      <c r="B8068" t="s">
        <v>4655</v>
      </c>
      <c r="C8068" t="s">
        <v>37209</v>
      </c>
      <c r="D8068" s="1">
        <v>40389</v>
      </c>
      <c r="E8068" s="2">
        <v>149000</v>
      </c>
      <c r="F8068" t="s">
        <v>4567</v>
      </c>
      <c r="G8068" s="17" t="str">
        <f>HYPERLINK("https://www.washoecounty.gov/assessor/cama/?command=sales&amp;parid=55035303","3907473")</f>
        <v>3907473</v>
      </c>
      <c r="H8068" t="s">
        <v>3835</v>
      </c>
      <c r="I8068">
        <v>2002</v>
      </c>
      <c r="J8068">
        <v>2002</v>
      </c>
      <c r="K8068" t="s">
        <v>4554</v>
      </c>
      <c r="L8068" t="s">
        <v>4555</v>
      </c>
      <c r="M8068" s="2">
        <v>1804</v>
      </c>
      <c r="N8068" t="s">
        <v>4048</v>
      </c>
      <c r="O8068">
        <v>4</v>
      </c>
      <c r="P8068">
        <v>2</v>
      </c>
      <c r="Q8068">
        <v>0</v>
      </c>
      <c r="R8068" t="s">
        <v>5281</v>
      </c>
      <c r="S8068" t="s">
        <v>4558</v>
      </c>
      <c r="T8068" t="s">
        <v>4559</v>
      </c>
      <c r="U8068" t="s">
        <v>4560</v>
      </c>
      <c r="V8068" s="2">
        <v>727</v>
      </c>
      <c r="W8068" t="s">
        <v>4655</v>
      </c>
      <c r="X8068" s="2">
        <v>0</v>
      </c>
      <c r="Y8068">
        <v>20</v>
      </c>
      <c r="Z8068" t="s">
        <v>1491</v>
      </c>
      <c r="AA8068" s="3">
        <v>0.19100092351436601</v>
      </c>
      <c r="AB8068" t="s">
        <v>37210</v>
      </c>
      <c r="AC8068" t="s">
        <v>4562</v>
      </c>
      <c r="AD8068" t="s">
        <v>37209</v>
      </c>
      <c r="AE8068" t="s">
        <v>4655</v>
      </c>
      <c r="AF8068" t="s">
        <v>4563</v>
      </c>
      <c r="AG8068" t="s">
        <v>4564</v>
      </c>
      <c r="AH8068">
        <v>89506</v>
      </c>
      <c r="AI8068" t="s">
        <v>37211</v>
      </c>
      <c r="AJ8068" t="s">
        <v>3836</v>
      </c>
      <c r="AK8068" t="s">
        <v>37212</v>
      </c>
      <c r="AL8068" s="13" t="s">
        <v>1901</v>
      </c>
      <c r="AM8068">
        <v>1</v>
      </c>
      <c r="AN8068" s="15" t="s">
        <v>1346</v>
      </c>
    </row>
    <row r="8069" spans="1:40" x14ac:dyDescent="0.3">
      <c r="A8069" s="10" t="str">
        <f>HYPERLINK("http://www.washoecounty.gov/assessor/cama/?parid=550-361-03&amp;CardNumber=1","550-361-03")</f>
        <v>550-361-03</v>
      </c>
      <c r="B8069" t="s">
        <v>4655</v>
      </c>
      <c r="C8069" s="20" t="s">
        <v>283</v>
      </c>
      <c r="D8069" s="1">
        <v>40526</v>
      </c>
      <c r="E8069" s="2">
        <v>159000</v>
      </c>
      <c r="F8069" t="s">
        <v>4567</v>
      </c>
      <c r="G8069" s="20" t="s">
        <v>282</v>
      </c>
      <c r="H8069" t="s">
        <v>3003</v>
      </c>
      <c r="I8069">
        <v>2000</v>
      </c>
      <c r="J8069">
        <v>2000</v>
      </c>
      <c r="K8069" t="s">
        <v>4554</v>
      </c>
      <c r="L8069" t="s">
        <v>4555</v>
      </c>
      <c r="M8069" s="2">
        <v>1780</v>
      </c>
      <c r="N8069" t="s">
        <v>4048</v>
      </c>
      <c r="O8069">
        <v>4</v>
      </c>
      <c r="P8069">
        <v>2</v>
      </c>
      <c r="Q8069">
        <v>0</v>
      </c>
      <c r="R8069" t="s">
        <v>5281</v>
      </c>
      <c r="S8069" t="s">
        <v>4558</v>
      </c>
      <c r="T8069" t="s">
        <v>4559</v>
      </c>
      <c r="U8069" t="s">
        <v>4560</v>
      </c>
      <c r="V8069" s="2">
        <v>588</v>
      </c>
      <c r="W8069" t="s">
        <v>4655</v>
      </c>
      <c r="X8069" s="2">
        <v>0</v>
      </c>
      <c r="Y8069">
        <v>20</v>
      </c>
      <c r="Z8069" t="s">
        <v>1491</v>
      </c>
      <c r="AA8069" s="3">
        <v>0.16499081254005399</v>
      </c>
      <c r="AB8069" s="20" t="s">
        <v>8865</v>
      </c>
      <c r="AD8069" t="s">
        <v>283</v>
      </c>
      <c r="AE8069" t="s">
        <v>283</v>
      </c>
      <c r="AF8069" t="s">
        <v>283</v>
      </c>
      <c r="AG8069" t="s">
        <v>4564</v>
      </c>
      <c r="AH8069" t="s">
        <v>3101</v>
      </c>
      <c r="AI8069" t="s">
        <v>8865</v>
      </c>
      <c r="AJ8069" t="s">
        <v>3004</v>
      </c>
      <c r="AK8069" t="s">
        <v>37213</v>
      </c>
      <c r="AL8069" s="13" t="s">
        <v>1901</v>
      </c>
      <c r="AM8069" s="14">
        <v>1</v>
      </c>
      <c r="AN8069" s="15" t="s">
        <v>1346</v>
      </c>
    </row>
    <row r="8070" spans="1:40" x14ac:dyDescent="0.3">
      <c r="A8070" s="10" t="str">
        <f>HYPERLINK("http://www.washoecounty.gov/assessor/cama/?parid=550-363-03&amp;CardNumber=1","550-363-03")</f>
        <v>550-363-03</v>
      </c>
      <c r="B8070" t="s">
        <v>4655</v>
      </c>
      <c r="C8070" t="s">
        <v>37214</v>
      </c>
      <c r="D8070" s="1">
        <v>40291</v>
      </c>
      <c r="E8070" s="2">
        <v>114500</v>
      </c>
      <c r="F8070" t="s">
        <v>4553</v>
      </c>
      <c r="G8070" s="17" t="str">
        <f>HYPERLINK("https://www.washoecounty.gov/assessor/cama/?command=sales&amp;parid=55036303","3874260")</f>
        <v>3874260</v>
      </c>
      <c r="H8070" t="s">
        <v>3003</v>
      </c>
      <c r="I8070">
        <v>2001</v>
      </c>
      <c r="J8070">
        <v>2001</v>
      </c>
      <c r="K8070" t="s">
        <v>4554</v>
      </c>
      <c r="L8070" t="s">
        <v>4555</v>
      </c>
      <c r="M8070" s="2">
        <v>1215</v>
      </c>
      <c r="N8070" t="s">
        <v>4048</v>
      </c>
      <c r="O8070">
        <v>3</v>
      </c>
      <c r="P8070">
        <v>2</v>
      </c>
      <c r="Q8070">
        <v>0</v>
      </c>
      <c r="R8070" t="s">
        <v>4557</v>
      </c>
      <c r="S8070" t="s">
        <v>4558</v>
      </c>
      <c r="T8070" t="s">
        <v>4559</v>
      </c>
      <c r="U8070" t="s">
        <v>4560</v>
      </c>
      <c r="V8070" s="2">
        <v>480</v>
      </c>
      <c r="W8070" t="s">
        <v>4655</v>
      </c>
      <c r="X8070" s="2">
        <v>0</v>
      </c>
      <c r="Y8070">
        <v>20</v>
      </c>
      <c r="Z8070" t="s">
        <v>1491</v>
      </c>
      <c r="AA8070" s="3">
        <v>0.14600551128387501</v>
      </c>
      <c r="AB8070" t="s">
        <v>37215</v>
      </c>
      <c r="AC8070" t="s">
        <v>4562</v>
      </c>
      <c r="AD8070" t="s">
        <v>37216</v>
      </c>
      <c r="AE8070" t="s">
        <v>4655</v>
      </c>
      <c r="AF8070" t="s">
        <v>3114</v>
      </c>
      <c r="AG8070" t="s">
        <v>4564</v>
      </c>
      <c r="AH8070">
        <v>89506</v>
      </c>
      <c r="AI8070" t="s">
        <v>1267</v>
      </c>
      <c r="AJ8070" t="s">
        <v>3004</v>
      </c>
      <c r="AK8070" t="s">
        <v>37217</v>
      </c>
      <c r="AL8070" s="13" t="s">
        <v>1901</v>
      </c>
      <c r="AM8070" s="14">
        <v>1</v>
      </c>
      <c r="AN8070" s="15" t="s">
        <v>1346</v>
      </c>
    </row>
    <row r="8071" spans="1:40" x14ac:dyDescent="0.3">
      <c r="A8071" s="10" t="str">
        <f>HYPERLINK("http://www.washoecounty.gov/assessor/cama/?parid=550-364-06&amp;CardNumber=1","550-364-06")</f>
        <v>550-364-06</v>
      </c>
      <c r="B8071" t="s">
        <v>4655</v>
      </c>
      <c r="C8071" t="s">
        <v>37218</v>
      </c>
      <c r="D8071" s="1">
        <v>40424</v>
      </c>
      <c r="E8071" s="2">
        <v>160000</v>
      </c>
      <c r="F8071" t="s">
        <v>4553</v>
      </c>
      <c r="G8071" s="17" t="str">
        <f>HYPERLINK("https://www.washoecounty.gov/assessor/cama/?command=sales&amp;parid=55036406","3918690")</f>
        <v>3918690</v>
      </c>
      <c r="H8071" t="s">
        <v>3003</v>
      </c>
      <c r="I8071">
        <v>2001</v>
      </c>
      <c r="J8071">
        <v>2001</v>
      </c>
      <c r="K8071" t="s">
        <v>4554</v>
      </c>
      <c r="L8071" t="s">
        <v>3974</v>
      </c>
      <c r="M8071" s="2">
        <v>2122</v>
      </c>
      <c r="N8071" t="s">
        <v>4048</v>
      </c>
      <c r="O8071">
        <v>4</v>
      </c>
      <c r="P8071">
        <v>2</v>
      </c>
      <c r="Q8071">
        <v>1</v>
      </c>
      <c r="R8071" t="s">
        <v>5281</v>
      </c>
      <c r="S8071" t="s">
        <v>4558</v>
      </c>
      <c r="T8071" t="s">
        <v>4559</v>
      </c>
      <c r="U8071" t="s">
        <v>5631</v>
      </c>
      <c r="V8071" s="2">
        <v>852</v>
      </c>
      <c r="W8071" t="s">
        <v>4655</v>
      </c>
      <c r="X8071" s="2">
        <v>0</v>
      </c>
      <c r="Y8071">
        <v>20</v>
      </c>
      <c r="Z8071" t="s">
        <v>1491</v>
      </c>
      <c r="AA8071" s="3">
        <v>0.17199265956878662</v>
      </c>
      <c r="AB8071" t="s">
        <v>37219</v>
      </c>
      <c r="AC8071" t="s">
        <v>4562</v>
      </c>
      <c r="AD8071" t="s">
        <v>37220</v>
      </c>
      <c r="AE8071" t="s">
        <v>4655</v>
      </c>
      <c r="AF8071" t="s">
        <v>4563</v>
      </c>
      <c r="AG8071" t="s">
        <v>4564</v>
      </c>
      <c r="AH8071">
        <v>89506</v>
      </c>
      <c r="AI8071" t="s">
        <v>4565</v>
      </c>
      <c r="AJ8071" t="s">
        <v>3004</v>
      </c>
      <c r="AK8071" t="s">
        <v>37221</v>
      </c>
      <c r="AL8071" s="13" t="s">
        <v>1901</v>
      </c>
      <c r="AM8071">
        <v>1</v>
      </c>
      <c r="AN8071" s="15" t="s">
        <v>1346</v>
      </c>
    </row>
    <row r="8072" spans="1:40" x14ac:dyDescent="0.3">
      <c r="A8072" s="10" t="str">
        <f>HYPERLINK("http://www.washoecounty.gov/assessor/cama/?parid=550-371-02&amp;CardNumber=1","550-371-02")</f>
        <v>550-371-02</v>
      </c>
      <c r="B8072" t="s">
        <v>4655</v>
      </c>
      <c r="C8072" t="s">
        <v>37222</v>
      </c>
      <c r="D8072" s="1">
        <v>40312</v>
      </c>
      <c r="E8072" s="2">
        <v>129000</v>
      </c>
      <c r="F8072" t="s">
        <v>4567</v>
      </c>
      <c r="G8072" s="17" t="str">
        <f>HYPERLINK("https://www.washoecounty.gov/assessor/cama/?command=sales&amp;parid=55037102","3881307")</f>
        <v>3881307</v>
      </c>
      <c r="H8072" t="s">
        <v>1198</v>
      </c>
      <c r="I8072">
        <v>2004</v>
      </c>
      <c r="J8072">
        <v>2004</v>
      </c>
      <c r="K8072" t="s">
        <v>4554</v>
      </c>
      <c r="L8072" t="s">
        <v>4555</v>
      </c>
      <c r="M8072" s="2">
        <v>1530</v>
      </c>
      <c r="N8072" t="s">
        <v>4048</v>
      </c>
      <c r="O8072">
        <v>4</v>
      </c>
      <c r="P8072">
        <v>2</v>
      </c>
      <c r="Q8072">
        <v>0</v>
      </c>
      <c r="R8072" t="s">
        <v>5281</v>
      </c>
      <c r="S8072" t="s">
        <v>4558</v>
      </c>
      <c r="T8072" t="s">
        <v>4559</v>
      </c>
      <c r="U8072" t="s">
        <v>4560</v>
      </c>
      <c r="V8072" s="2">
        <v>412</v>
      </c>
      <c r="W8072" t="s">
        <v>4655</v>
      </c>
      <c r="X8072" s="2">
        <v>0</v>
      </c>
      <c r="Y8072">
        <v>20</v>
      </c>
      <c r="Z8072" t="s">
        <v>1491</v>
      </c>
      <c r="AA8072" s="3">
        <v>0.15339761972427368</v>
      </c>
      <c r="AB8072" t="s">
        <v>37223</v>
      </c>
      <c r="AC8072" t="s">
        <v>4562</v>
      </c>
      <c r="AD8072" t="s">
        <v>37222</v>
      </c>
      <c r="AE8072" t="s">
        <v>4655</v>
      </c>
      <c r="AF8072" t="s">
        <v>4563</v>
      </c>
      <c r="AG8072" t="s">
        <v>4564</v>
      </c>
      <c r="AH8072">
        <v>89506</v>
      </c>
      <c r="AI8072" t="s">
        <v>4655</v>
      </c>
      <c r="AJ8072" t="s">
        <v>1199</v>
      </c>
      <c r="AK8072" t="s">
        <v>37224</v>
      </c>
      <c r="AL8072" s="13" t="s">
        <v>1901</v>
      </c>
      <c r="AM8072">
        <v>1</v>
      </c>
      <c r="AN8072" s="15" t="s">
        <v>1346</v>
      </c>
    </row>
    <row r="8073" spans="1:40" x14ac:dyDescent="0.3">
      <c r="A8073" s="10" t="str">
        <f>HYPERLINK("http://www.washoecounty.gov/assessor/cama/?parid=550-371-10&amp;CardNumber=1","550-371-10")</f>
        <v>550-371-10</v>
      </c>
      <c r="B8073" t="s">
        <v>4655</v>
      </c>
      <c r="C8073" t="s">
        <v>37225</v>
      </c>
      <c r="D8073" s="1">
        <v>40316</v>
      </c>
      <c r="E8073" s="2">
        <v>143000</v>
      </c>
      <c r="F8073" t="s">
        <v>4567</v>
      </c>
      <c r="G8073" s="17" t="str">
        <f>HYPERLINK("https://www.washoecounty.gov/assessor/cama/?command=sales&amp;parid=55037110","3882530")</f>
        <v>3882530</v>
      </c>
      <c r="H8073" t="s">
        <v>1198</v>
      </c>
      <c r="I8073">
        <v>2002</v>
      </c>
      <c r="J8073">
        <v>2002</v>
      </c>
      <c r="K8073" t="s">
        <v>4554</v>
      </c>
      <c r="L8073" t="s">
        <v>4555</v>
      </c>
      <c r="M8073" s="2">
        <v>1648</v>
      </c>
      <c r="N8073" t="s">
        <v>4048</v>
      </c>
      <c r="O8073">
        <v>3</v>
      </c>
      <c r="P8073">
        <v>2</v>
      </c>
      <c r="Q8073">
        <v>0</v>
      </c>
      <c r="R8073" t="s">
        <v>5281</v>
      </c>
      <c r="S8073" t="s">
        <v>4558</v>
      </c>
      <c r="T8073" t="s">
        <v>4559</v>
      </c>
      <c r="U8073" t="s">
        <v>4560</v>
      </c>
      <c r="V8073" s="2">
        <v>616</v>
      </c>
      <c r="W8073" t="s">
        <v>4655</v>
      </c>
      <c r="X8073" s="2">
        <v>0</v>
      </c>
      <c r="Y8073">
        <v>20</v>
      </c>
      <c r="Z8073" t="s">
        <v>1491</v>
      </c>
      <c r="AA8073" s="3">
        <v>0.20443066954612699</v>
      </c>
      <c r="AB8073" t="s">
        <v>37226</v>
      </c>
      <c r="AC8073" t="s">
        <v>4562</v>
      </c>
      <c r="AD8073" t="s">
        <v>37225</v>
      </c>
      <c r="AE8073" t="s">
        <v>4655</v>
      </c>
      <c r="AF8073" t="s">
        <v>4563</v>
      </c>
      <c r="AG8073" t="s">
        <v>4564</v>
      </c>
      <c r="AH8073">
        <v>89506</v>
      </c>
      <c r="AI8073" t="s">
        <v>37227</v>
      </c>
      <c r="AJ8073" t="s">
        <v>1199</v>
      </c>
      <c r="AK8073" t="s">
        <v>37228</v>
      </c>
      <c r="AL8073" s="13" t="s">
        <v>1901</v>
      </c>
      <c r="AM8073" s="14">
        <v>1</v>
      </c>
      <c r="AN8073" s="15" t="s">
        <v>1346</v>
      </c>
    </row>
    <row r="8074" spans="1:40" x14ac:dyDescent="0.3">
      <c r="A8074" s="10" t="str">
        <f>HYPERLINK("http://www.washoecounty.gov/assessor/cama/?parid=550-371-11&amp;CardNumber=1","550-371-11")</f>
        <v>550-371-11</v>
      </c>
      <c r="B8074" t="s">
        <v>4655</v>
      </c>
      <c r="C8074" t="s">
        <v>37229</v>
      </c>
      <c r="D8074" s="1">
        <v>40233</v>
      </c>
      <c r="E8074" s="2">
        <v>150500</v>
      </c>
      <c r="F8074" t="s">
        <v>4553</v>
      </c>
      <c r="G8074" s="17" t="str">
        <f>HYPERLINK("https://www.washoecounty.gov/assessor/cama/?command=sales&amp;parid=55037111","3852221")</f>
        <v>3852221</v>
      </c>
      <c r="H8074" t="s">
        <v>1198</v>
      </c>
      <c r="I8074">
        <v>2002</v>
      </c>
      <c r="J8074">
        <v>2002</v>
      </c>
      <c r="K8074" t="s">
        <v>4554</v>
      </c>
      <c r="L8074" t="s">
        <v>4555</v>
      </c>
      <c r="M8074" s="2">
        <v>1530</v>
      </c>
      <c r="N8074" t="s">
        <v>4048</v>
      </c>
      <c r="O8074">
        <v>4</v>
      </c>
      <c r="P8074">
        <v>2</v>
      </c>
      <c r="Q8074">
        <v>0</v>
      </c>
      <c r="R8074" t="s">
        <v>5281</v>
      </c>
      <c r="S8074" t="s">
        <v>4558</v>
      </c>
      <c r="T8074" t="s">
        <v>4559</v>
      </c>
      <c r="U8074" t="s">
        <v>4560</v>
      </c>
      <c r="V8074" s="2">
        <v>412</v>
      </c>
      <c r="W8074" t="s">
        <v>4655</v>
      </c>
      <c r="X8074" s="2">
        <v>0</v>
      </c>
      <c r="Y8074">
        <v>20</v>
      </c>
      <c r="Z8074" t="s">
        <v>1491</v>
      </c>
      <c r="AA8074" s="3">
        <v>0.154889807105064</v>
      </c>
      <c r="AB8074" t="s">
        <v>37230</v>
      </c>
      <c r="AC8074" t="s">
        <v>4562</v>
      </c>
      <c r="AD8074" t="s">
        <v>37229</v>
      </c>
      <c r="AE8074" t="s">
        <v>4655</v>
      </c>
      <c r="AF8074" t="s">
        <v>4563</v>
      </c>
      <c r="AG8074" t="s">
        <v>4564</v>
      </c>
      <c r="AH8074">
        <v>89506</v>
      </c>
      <c r="AI8074" t="s">
        <v>4903</v>
      </c>
      <c r="AJ8074" t="s">
        <v>1199</v>
      </c>
      <c r="AK8074" t="s">
        <v>37231</v>
      </c>
      <c r="AL8074" s="13" t="s">
        <v>1901</v>
      </c>
      <c r="AM8074">
        <v>1</v>
      </c>
      <c r="AN8074" s="15" t="s">
        <v>1346</v>
      </c>
    </row>
    <row r="8075" spans="1:40" x14ac:dyDescent="0.3">
      <c r="A8075" s="10" t="str">
        <f>HYPERLINK("http://www.washoecounty.gov/assessor/cama/?parid=550-371-12&amp;CardNumber=1","550-371-12")</f>
        <v>550-371-12</v>
      </c>
      <c r="B8075" t="s">
        <v>4655</v>
      </c>
      <c r="C8075" t="s">
        <v>37232</v>
      </c>
      <c r="D8075" s="1">
        <v>40266</v>
      </c>
      <c r="E8075" s="2">
        <v>180000</v>
      </c>
      <c r="F8075" t="s">
        <v>4553</v>
      </c>
      <c r="G8075" s="17" t="str">
        <f>HYPERLINK("https://www.washoecounty.gov/assessor/cama/?command=sales&amp;parid=55037112","3864860")</f>
        <v>3864860</v>
      </c>
      <c r="H8075" t="s">
        <v>1198</v>
      </c>
      <c r="I8075">
        <v>2002</v>
      </c>
      <c r="J8075">
        <v>2002</v>
      </c>
      <c r="K8075" t="s">
        <v>4554</v>
      </c>
      <c r="L8075" t="s">
        <v>3974</v>
      </c>
      <c r="M8075" s="2">
        <v>2699</v>
      </c>
      <c r="N8075" t="s">
        <v>4048</v>
      </c>
      <c r="O8075">
        <v>4</v>
      </c>
      <c r="P8075">
        <v>2</v>
      </c>
      <c r="Q8075">
        <v>1</v>
      </c>
      <c r="R8075" t="s">
        <v>5281</v>
      </c>
      <c r="S8075" t="s">
        <v>4558</v>
      </c>
      <c r="T8075" t="s">
        <v>4559</v>
      </c>
      <c r="U8075" t="s">
        <v>5631</v>
      </c>
      <c r="V8075" s="2">
        <v>719</v>
      </c>
      <c r="W8075" t="s">
        <v>4655</v>
      </c>
      <c r="X8075" s="2">
        <v>0</v>
      </c>
      <c r="Y8075">
        <v>20</v>
      </c>
      <c r="Z8075" t="s">
        <v>1491</v>
      </c>
      <c r="AA8075" s="3">
        <v>0.14926537871360801</v>
      </c>
      <c r="AB8075" t="s">
        <v>37233</v>
      </c>
      <c r="AC8075" t="s">
        <v>4562</v>
      </c>
      <c r="AD8075" t="s">
        <v>37234</v>
      </c>
      <c r="AE8075" t="s">
        <v>4655</v>
      </c>
      <c r="AF8075" t="s">
        <v>4563</v>
      </c>
      <c r="AG8075" t="s">
        <v>4564</v>
      </c>
      <c r="AH8075">
        <v>89506</v>
      </c>
      <c r="AI8075" t="s">
        <v>1602</v>
      </c>
      <c r="AJ8075" t="s">
        <v>1199</v>
      </c>
      <c r="AK8075" t="s">
        <v>37235</v>
      </c>
      <c r="AL8075" s="13" t="s">
        <v>1901</v>
      </c>
      <c r="AM8075">
        <v>1</v>
      </c>
      <c r="AN8075" s="15" t="s">
        <v>1346</v>
      </c>
    </row>
    <row r="8076" spans="1:40" x14ac:dyDescent="0.3">
      <c r="A8076" s="10" t="str">
        <f>HYPERLINK("http://www.washoecounty.gov/assessor/cama/?parid=550-373-15&amp;CardNumber=1","550-373-15")</f>
        <v>550-373-15</v>
      </c>
      <c r="B8076" t="s">
        <v>4655</v>
      </c>
      <c r="C8076" t="s">
        <v>37236</v>
      </c>
      <c r="D8076" s="1">
        <v>40318</v>
      </c>
      <c r="E8076" s="2">
        <v>167500</v>
      </c>
      <c r="F8076" t="s">
        <v>4553</v>
      </c>
      <c r="G8076" s="17" t="str">
        <f>HYPERLINK("https://www.washoecounty.gov/assessor/cama/?command=sales&amp;parid=55037315","3883442")</f>
        <v>3883442</v>
      </c>
      <c r="H8076" t="s">
        <v>1198</v>
      </c>
      <c r="I8076">
        <v>2002</v>
      </c>
      <c r="J8076">
        <v>2002</v>
      </c>
      <c r="K8076" t="s">
        <v>4554</v>
      </c>
      <c r="L8076" t="s">
        <v>4555</v>
      </c>
      <c r="M8076" s="2">
        <v>1648</v>
      </c>
      <c r="N8076" t="s">
        <v>4048</v>
      </c>
      <c r="O8076">
        <v>3</v>
      </c>
      <c r="P8076">
        <v>2</v>
      </c>
      <c r="Q8076">
        <v>0</v>
      </c>
      <c r="R8076" t="s">
        <v>5281</v>
      </c>
      <c r="S8076" t="s">
        <v>4558</v>
      </c>
      <c r="T8076" t="s">
        <v>4559</v>
      </c>
      <c r="U8076" t="s">
        <v>4560</v>
      </c>
      <c r="V8076" s="2">
        <v>616</v>
      </c>
      <c r="W8076" t="s">
        <v>4655</v>
      </c>
      <c r="X8076" s="2">
        <v>0</v>
      </c>
      <c r="Y8076">
        <v>20</v>
      </c>
      <c r="Z8076" t="s">
        <v>1491</v>
      </c>
      <c r="AA8076" s="3">
        <v>0.159067958593369</v>
      </c>
      <c r="AB8076" t="s">
        <v>37237</v>
      </c>
      <c r="AC8076" t="s">
        <v>4562</v>
      </c>
      <c r="AD8076" t="s">
        <v>37236</v>
      </c>
      <c r="AE8076" t="s">
        <v>4655</v>
      </c>
      <c r="AF8076" t="s">
        <v>4563</v>
      </c>
      <c r="AG8076" t="s">
        <v>4564</v>
      </c>
      <c r="AH8076">
        <v>89506</v>
      </c>
      <c r="AI8076" t="s">
        <v>3625</v>
      </c>
      <c r="AJ8076" t="s">
        <v>1199</v>
      </c>
      <c r="AK8076" t="s">
        <v>37238</v>
      </c>
      <c r="AL8076" s="13" t="s">
        <v>1901</v>
      </c>
      <c r="AM8076" s="14">
        <v>1</v>
      </c>
      <c r="AN8076" s="15" t="s">
        <v>1346</v>
      </c>
    </row>
    <row r="8077" spans="1:40" x14ac:dyDescent="0.3">
      <c r="A8077" s="10" t="str">
        <f>HYPERLINK("http://www.washoecounty.gov/assessor/cama/?parid=550-373-25&amp;CardNumber=1","550-373-25")</f>
        <v>550-373-25</v>
      </c>
      <c r="B8077" t="s">
        <v>4655</v>
      </c>
      <c r="C8077" t="s">
        <v>37239</v>
      </c>
      <c r="D8077" s="1">
        <v>40268</v>
      </c>
      <c r="E8077" s="2">
        <v>180000</v>
      </c>
      <c r="F8077" t="s">
        <v>4567</v>
      </c>
      <c r="G8077" s="17" t="str">
        <f>HYPERLINK("https://www.washoecounty.gov/assessor/cama/?command=sales&amp;parid=55037325","3866396")</f>
        <v>3866396</v>
      </c>
      <c r="H8077" t="s">
        <v>1198</v>
      </c>
      <c r="I8077">
        <v>2002</v>
      </c>
      <c r="J8077">
        <v>2002</v>
      </c>
      <c r="K8077" t="s">
        <v>4554</v>
      </c>
      <c r="L8077" t="s">
        <v>3974</v>
      </c>
      <c r="M8077" s="2">
        <v>2699</v>
      </c>
      <c r="N8077" t="s">
        <v>4048</v>
      </c>
      <c r="O8077">
        <v>4</v>
      </c>
      <c r="P8077">
        <v>2</v>
      </c>
      <c r="Q8077">
        <v>1</v>
      </c>
      <c r="R8077" t="s">
        <v>5281</v>
      </c>
      <c r="S8077" t="s">
        <v>4558</v>
      </c>
      <c r="T8077" t="s">
        <v>4559</v>
      </c>
      <c r="U8077" t="s">
        <v>5631</v>
      </c>
      <c r="V8077" s="2">
        <v>719</v>
      </c>
      <c r="W8077" t="s">
        <v>4655</v>
      </c>
      <c r="X8077" s="2">
        <v>0</v>
      </c>
      <c r="Y8077">
        <v>20</v>
      </c>
      <c r="Z8077" t="s">
        <v>1491</v>
      </c>
      <c r="AA8077" s="3">
        <v>0.17171716690063499</v>
      </c>
      <c r="AB8077" t="s">
        <v>37240</v>
      </c>
      <c r="AC8077" t="s">
        <v>4562</v>
      </c>
      <c r="AD8077" t="s">
        <v>37241</v>
      </c>
      <c r="AE8077" t="s">
        <v>4655</v>
      </c>
      <c r="AF8077" t="s">
        <v>4563</v>
      </c>
      <c r="AG8077" t="s">
        <v>4564</v>
      </c>
      <c r="AH8077">
        <v>89506</v>
      </c>
      <c r="AI8077" t="s">
        <v>37242</v>
      </c>
      <c r="AJ8077" t="s">
        <v>1199</v>
      </c>
      <c r="AK8077" t="s">
        <v>37243</v>
      </c>
      <c r="AL8077" s="13" t="s">
        <v>1901</v>
      </c>
      <c r="AM8077" s="14">
        <v>1</v>
      </c>
      <c r="AN8077" s="15" t="s">
        <v>1346</v>
      </c>
    </row>
    <row r="8078" spans="1:40" x14ac:dyDescent="0.3">
      <c r="A8078" s="10" t="str">
        <f>HYPERLINK("http://www.washoecounty.gov/assessor/cama/?parid=550-401-08&amp;CardNumber=1","550-401-08")</f>
        <v>550-401-08</v>
      </c>
      <c r="B8078" t="s">
        <v>4655</v>
      </c>
      <c r="C8078" t="s">
        <v>37244</v>
      </c>
      <c r="D8078" s="1">
        <v>40207</v>
      </c>
      <c r="E8078" s="2">
        <v>150000</v>
      </c>
      <c r="F8078" t="s">
        <v>4553</v>
      </c>
      <c r="G8078" s="17" t="str">
        <f>HYPERLINK("https://www.washoecounty.gov/assessor/cama/?command=sales&amp;parid=55040108","3844383")</f>
        <v>3844383</v>
      </c>
      <c r="H8078" t="s">
        <v>2579</v>
      </c>
      <c r="I8078">
        <v>2001</v>
      </c>
      <c r="J8078">
        <v>2001</v>
      </c>
      <c r="K8078" t="s">
        <v>4554</v>
      </c>
      <c r="L8078" t="s">
        <v>3974</v>
      </c>
      <c r="M8078" s="2">
        <v>2122</v>
      </c>
      <c r="N8078" t="s">
        <v>4048</v>
      </c>
      <c r="O8078">
        <v>4</v>
      </c>
      <c r="P8078">
        <v>2</v>
      </c>
      <c r="Q8078">
        <v>1</v>
      </c>
      <c r="R8078" t="s">
        <v>5281</v>
      </c>
      <c r="S8078" t="s">
        <v>4558</v>
      </c>
      <c r="T8078" t="s">
        <v>4559</v>
      </c>
      <c r="U8078" t="s">
        <v>5631</v>
      </c>
      <c r="V8078" s="2">
        <v>588</v>
      </c>
      <c r="W8078" t="s">
        <v>4655</v>
      </c>
      <c r="X8078" s="2">
        <v>0</v>
      </c>
      <c r="Y8078">
        <v>20</v>
      </c>
      <c r="Z8078" t="s">
        <v>1491</v>
      </c>
      <c r="AA8078" s="3">
        <v>0.18590450286865201</v>
      </c>
      <c r="AB8078" t="s">
        <v>37245</v>
      </c>
      <c r="AC8078" t="s">
        <v>4562</v>
      </c>
      <c r="AD8078" t="s">
        <v>37246</v>
      </c>
      <c r="AE8078" t="s">
        <v>4655</v>
      </c>
      <c r="AF8078" t="s">
        <v>4563</v>
      </c>
      <c r="AG8078" t="s">
        <v>4564</v>
      </c>
      <c r="AH8078">
        <v>89506</v>
      </c>
      <c r="AI8078" t="s">
        <v>4848</v>
      </c>
      <c r="AJ8078" t="s">
        <v>1858</v>
      </c>
      <c r="AK8078" t="s">
        <v>37247</v>
      </c>
      <c r="AL8078" s="13" t="s">
        <v>1901</v>
      </c>
      <c r="AM8078">
        <v>1</v>
      </c>
      <c r="AN8078" s="15" t="s">
        <v>1346</v>
      </c>
    </row>
    <row r="8079" spans="1:40" x14ac:dyDescent="0.3">
      <c r="A8079" s="10" t="str">
        <f>HYPERLINK("http://www.washoecounty.gov/assessor/cama/?parid=550-401-12&amp;CardNumber=1","550-401-12")</f>
        <v>550-401-12</v>
      </c>
      <c r="B8079" t="s">
        <v>4655</v>
      </c>
      <c r="C8079" t="s">
        <v>37248</v>
      </c>
      <c r="D8079" s="1">
        <v>40235</v>
      </c>
      <c r="E8079" s="2">
        <v>145000</v>
      </c>
      <c r="F8079" t="s">
        <v>4553</v>
      </c>
      <c r="G8079" s="17" t="str">
        <f>HYPERLINK("https://www.washoecounty.gov/assessor/cama/?command=sales&amp;parid=55040112","3853302")</f>
        <v>3853302</v>
      </c>
      <c r="H8079" t="s">
        <v>2579</v>
      </c>
      <c r="I8079">
        <v>2001</v>
      </c>
      <c r="J8079">
        <v>2001</v>
      </c>
      <c r="K8079" t="s">
        <v>4554</v>
      </c>
      <c r="L8079" t="s">
        <v>4555</v>
      </c>
      <c r="M8079" s="2">
        <v>1780</v>
      </c>
      <c r="N8079" t="s">
        <v>4048</v>
      </c>
      <c r="O8079">
        <v>4</v>
      </c>
      <c r="P8079">
        <v>2</v>
      </c>
      <c r="Q8079">
        <v>0</v>
      </c>
      <c r="R8079" t="s">
        <v>5281</v>
      </c>
      <c r="S8079" t="s">
        <v>4558</v>
      </c>
      <c r="T8079" t="s">
        <v>4559</v>
      </c>
      <c r="U8079" t="s">
        <v>4560</v>
      </c>
      <c r="V8079" s="2">
        <v>588</v>
      </c>
      <c r="W8079" t="s">
        <v>4655</v>
      </c>
      <c r="X8079" s="2">
        <v>0</v>
      </c>
      <c r="Y8079">
        <v>20</v>
      </c>
      <c r="Z8079" t="s">
        <v>1491</v>
      </c>
      <c r="AA8079" s="3">
        <v>0.14462809264659901</v>
      </c>
      <c r="AB8079" t="s">
        <v>37249</v>
      </c>
      <c r="AC8079" t="s">
        <v>4562</v>
      </c>
      <c r="AD8079" t="s">
        <v>37248</v>
      </c>
      <c r="AE8079" t="s">
        <v>4655</v>
      </c>
      <c r="AF8079" t="s">
        <v>4563</v>
      </c>
      <c r="AG8079" t="s">
        <v>4564</v>
      </c>
      <c r="AH8079">
        <v>89506</v>
      </c>
      <c r="AI8079" t="s">
        <v>4903</v>
      </c>
      <c r="AJ8079" t="s">
        <v>1858</v>
      </c>
      <c r="AK8079" t="s">
        <v>37250</v>
      </c>
      <c r="AL8079" s="13" t="s">
        <v>1901</v>
      </c>
      <c r="AM8079">
        <v>1</v>
      </c>
      <c r="AN8079" s="15" t="s">
        <v>1346</v>
      </c>
    </row>
    <row r="8080" spans="1:40" x14ac:dyDescent="0.3">
      <c r="A8080" s="10" t="str">
        <f>HYPERLINK("http://www.washoecounty.gov/assessor/cama/?parid=550-412-13&amp;CardNumber=1","550-412-13")</f>
        <v>550-412-13</v>
      </c>
      <c r="B8080" t="s">
        <v>4655</v>
      </c>
      <c r="C8080" t="s">
        <v>37251</v>
      </c>
      <c r="D8080" s="1">
        <v>40239</v>
      </c>
      <c r="E8080" s="2">
        <v>140000</v>
      </c>
      <c r="F8080" t="s">
        <v>4567</v>
      </c>
      <c r="G8080" s="17" t="str">
        <f>HYPERLINK("https://www.washoecounty.gov/assessor/cama/?command=sales&amp;parid=55041213","3854658")</f>
        <v>3854658</v>
      </c>
      <c r="H8080" t="s">
        <v>3607</v>
      </c>
      <c r="I8080">
        <v>2002</v>
      </c>
      <c r="J8080">
        <v>2002</v>
      </c>
      <c r="K8080" t="s">
        <v>4554</v>
      </c>
      <c r="L8080" t="s">
        <v>4555</v>
      </c>
      <c r="M8080" s="2">
        <v>1642</v>
      </c>
      <c r="N8080" t="s">
        <v>4048</v>
      </c>
      <c r="O8080">
        <v>4</v>
      </c>
      <c r="P8080">
        <v>2</v>
      </c>
      <c r="Q8080">
        <v>0</v>
      </c>
      <c r="R8080" t="s">
        <v>5281</v>
      </c>
      <c r="S8080" t="s">
        <v>4558</v>
      </c>
      <c r="T8080" t="s">
        <v>4559</v>
      </c>
      <c r="U8080" t="s">
        <v>4560</v>
      </c>
      <c r="V8080" s="2">
        <v>380</v>
      </c>
      <c r="W8080" t="s">
        <v>4655</v>
      </c>
      <c r="X8080" s="2">
        <v>0</v>
      </c>
      <c r="Y8080">
        <v>20</v>
      </c>
      <c r="Z8080" t="s">
        <v>1491</v>
      </c>
      <c r="AA8080" s="3">
        <v>0.118411384522915</v>
      </c>
      <c r="AB8080" t="s">
        <v>37252</v>
      </c>
      <c r="AC8080" t="s">
        <v>4562</v>
      </c>
      <c r="AD8080" t="s">
        <v>37251</v>
      </c>
      <c r="AE8080" t="s">
        <v>4655</v>
      </c>
      <c r="AF8080" t="s">
        <v>4563</v>
      </c>
      <c r="AG8080" t="s">
        <v>4564</v>
      </c>
      <c r="AH8080">
        <v>89506</v>
      </c>
      <c r="AI8080" t="s">
        <v>37253</v>
      </c>
      <c r="AJ8080" t="s">
        <v>3608</v>
      </c>
      <c r="AK8080" t="s">
        <v>37254</v>
      </c>
      <c r="AL8080" s="13" t="s">
        <v>1901</v>
      </c>
      <c r="AM8080" s="14">
        <v>1</v>
      </c>
      <c r="AN8080" s="15" t="s">
        <v>1346</v>
      </c>
    </row>
    <row r="8081" spans="1:40" x14ac:dyDescent="0.3">
      <c r="A8081" s="10" t="str">
        <f>HYPERLINK("http://www.washoecounty.gov/assessor/cama/?parid=550-422-04&amp;CardNumber=1","550-422-04")</f>
        <v>550-422-04</v>
      </c>
      <c r="B8081" t="s">
        <v>4655</v>
      </c>
      <c r="C8081" t="s">
        <v>37255</v>
      </c>
      <c r="D8081" s="1">
        <v>40239</v>
      </c>
      <c r="E8081" s="2">
        <v>133000</v>
      </c>
      <c r="F8081" t="s">
        <v>4567</v>
      </c>
      <c r="G8081" s="17" t="str">
        <f>HYPERLINK("https://www.washoecounty.gov/assessor/cama/?command=sales&amp;parid=55042204","3854480")</f>
        <v>3854480</v>
      </c>
      <c r="H8081" t="s">
        <v>3607</v>
      </c>
      <c r="I8081">
        <v>2003</v>
      </c>
      <c r="J8081">
        <v>2003</v>
      </c>
      <c r="K8081" t="s">
        <v>4554</v>
      </c>
      <c r="L8081" t="s">
        <v>4555</v>
      </c>
      <c r="M8081" s="2">
        <v>1642</v>
      </c>
      <c r="N8081" t="s">
        <v>4048</v>
      </c>
      <c r="O8081">
        <v>4</v>
      </c>
      <c r="P8081">
        <v>2</v>
      </c>
      <c r="Q8081">
        <v>0</v>
      </c>
      <c r="R8081" t="s">
        <v>5281</v>
      </c>
      <c r="S8081" t="s">
        <v>4558</v>
      </c>
      <c r="T8081" t="s">
        <v>4559</v>
      </c>
      <c r="U8081" t="s">
        <v>4560</v>
      </c>
      <c r="V8081" s="2">
        <v>380</v>
      </c>
      <c r="W8081" t="s">
        <v>4655</v>
      </c>
      <c r="X8081" s="2">
        <v>0</v>
      </c>
      <c r="Y8081">
        <v>20</v>
      </c>
      <c r="Z8081" t="s">
        <v>1491</v>
      </c>
      <c r="AA8081" s="3">
        <v>0.12759412825107599</v>
      </c>
      <c r="AB8081" t="s">
        <v>37256</v>
      </c>
      <c r="AC8081" t="s">
        <v>4562</v>
      </c>
      <c r="AD8081" t="s">
        <v>37255</v>
      </c>
      <c r="AE8081" t="s">
        <v>4655</v>
      </c>
      <c r="AF8081" t="s">
        <v>4563</v>
      </c>
      <c r="AG8081" t="s">
        <v>4564</v>
      </c>
      <c r="AH8081">
        <v>89506</v>
      </c>
      <c r="AI8081" t="s">
        <v>37257</v>
      </c>
      <c r="AJ8081" t="s">
        <v>3608</v>
      </c>
      <c r="AK8081" t="s">
        <v>37258</v>
      </c>
      <c r="AL8081" s="13" t="s">
        <v>1901</v>
      </c>
      <c r="AM8081" s="14">
        <v>1</v>
      </c>
      <c r="AN8081" s="15" t="s">
        <v>1346</v>
      </c>
    </row>
    <row r="8082" spans="1:40" x14ac:dyDescent="0.3">
      <c r="A8082" s="10" t="str">
        <f>HYPERLINK("http://www.washoecounty.gov/assessor/cama/?parid=550-431-05&amp;CardNumber=1","550-431-05")</f>
        <v>550-431-05</v>
      </c>
      <c r="B8082" t="s">
        <v>4655</v>
      </c>
      <c r="C8082" t="s">
        <v>37259</v>
      </c>
      <c r="D8082" s="1">
        <v>40459</v>
      </c>
      <c r="E8082" s="2">
        <v>145000</v>
      </c>
      <c r="F8082" t="s">
        <v>4553</v>
      </c>
      <c r="G8082" s="17" t="str">
        <f>HYPERLINK("https://www.washoecounty.gov/assessor/cama/?command=sales&amp;parid=55043105","3931028")</f>
        <v>3931028</v>
      </c>
      <c r="H8082" t="s">
        <v>2084</v>
      </c>
      <c r="I8082">
        <v>2002</v>
      </c>
      <c r="J8082">
        <v>2002</v>
      </c>
      <c r="K8082" t="s">
        <v>4554</v>
      </c>
      <c r="L8082" t="s">
        <v>3974</v>
      </c>
      <c r="M8082" s="2">
        <v>2122</v>
      </c>
      <c r="N8082" t="s">
        <v>4048</v>
      </c>
      <c r="O8082">
        <v>4</v>
      </c>
      <c r="P8082">
        <v>2</v>
      </c>
      <c r="Q8082">
        <v>1</v>
      </c>
      <c r="R8082" t="s">
        <v>5281</v>
      </c>
      <c r="S8082" t="s">
        <v>4558</v>
      </c>
      <c r="T8082" t="s">
        <v>4559</v>
      </c>
      <c r="U8082" t="s">
        <v>5631</v>
      </c>
      <c r="V8082" s="2">
        <v>852</v>
      </c>
      <c r="W8082" t="s">
        <v>4655</v>
      </c>
      <c r="X8082" s="2">
        <v>0</v>
      </c>
      <c r="Y8082">
        <v>20</v>
      </c>
      <c r="Z8082" t="s">
        <v>1491</v>
      </c>
      <c r="AA8082" s="3">
        <v>0.18044076859951</v>
      </c>
      <c r="AB8082" t="s">
        <v>37260</v>
      </c>
      <c r="AC8082" t="s">
        <v>4562</v>
      </c>
      <c r="AD8082" t="s">
        <v>37259</v>
      </c>
      <c r="AE8082" t="s">
        <v>4655</v>
      </c>
      <c r="AF8082" t="s">
        <v>4563</v>
      </c>
      <c r="AG8082" t="s">
        <v>4564</v>
      </c>
      <c r="AH8082">
        <v>89506</v>
      </c>
      <c r="AI8082" t="s">
        <v>4045</v>
      </c>
      <c r="AJ8082" t="s">
        <v>1195</v>
      </c>
      <c r="AK8082" t="s">
        <v>37261</v>
      </c>
      <c r="AL8082" s="13" t="s">
        <v>1901</v>
      </c>
      <c r="AM8082">
        <v>1</v>
      </c>
      <c r="AN8082" s="15" t="s">
        <v>1346</v>
      </c>
    </row>
    <row r="8083" spans="1:40" x14ac:dyDescent="0.3">
      <c r="A8083" s="10" t="str">
        <f>HYPERLINK("http://www.washoecounty.gov/assessor/cama/?parid=550-431-06&amp;CardNumber=1","550-431-06")</f>
        <v>550-431-06</v>
      </c>
      <c r="B8083" t="s">
        <v>4655</v>
      </c>
      <c r="C8083" t="s">
        <v>37262</v>
      </c>
      <c r="D8083" s="1">
        <v>40325</v>
      </c>
      <c r="E8083" s="2">
        <v>125900</v>
      </c>
      <c r="F8083" t="s">
        <v>4567</v>
      </c>
      <c r="G8083" s="17" t="str">
        <f>HYPERLINK("https://www.washoecounty.gov/assessor/cama/?command=sales&amp;parid=55043106","3886120")</f>
        <v>3886120</v>
      </c>
      <c r="H8083" t="s">
        <v>2084</v>
      </c>
      <c r="I8083">
        <v>2002</v>
      </c>
      <c r="J8083">
        <v>2002</v>
      </c>
      <c r="K8083" t="s">
        <v>4554</v>
      </c>
      <c r="L8083" t="s">
        <v>4555</v>
      </c>
      <c r="M8083" s="2">
        <v>1468</v>
      </c>
      <c r="N8083" t="s">
        <v>4048</v>
      </c>
      <c r="O8083">
        <v>3</v>
      </c>
      <c r="P8083">
        <v>2</v>
      </c>
      <c r="Q8083">
        <v>0</v>
      </c>
      <c r="R8083" t="s">
        <v>4557</v>
      </c>
      <c r="S8083" t="s">
        <v>4558</v>
      </c>
      <c r="T8083" t="s">
        <v>4559</v>
      </c>
      <c r="U8083" t="s">
        <v>4560</v>
      </c>
      <c r="V8083" s="2">
        <v>480</v>
      </c>
      <c r="W8083" t="s">
        <v>4655</v>
      </c>
      <c r="X8083" s="2">
        <v>0</v>
      </c>
      <c r="Y8083">
        <v>20</v>
      </c>
      <c r="Z8083" t="s">
        <v>1491</v>
      </c>
      <c r="AA8083" s="3">
        <v>0.14462809264659901</v>
      </c>
      <c r="AB8083" t="s">
        <v>37263</v>
      </c>
      <c r="AC8083" t="s">
        <v>4562</v>
      </c>
      <c r="AD8083" t="s">
        <v>37262</v>
      </c>
      <c r="AE8083" t="s">
        <v>4655</v>
      </c>
      <c r="AF8083" t="s">
        <v>4563</v>
      </c>
      <c r="AG8083" t="s">
        <v>4564</v>
      </c>
      <c r="AH8083">
        <v>89506</v>
      </c>
      <c r="AI8083" t="s">
        <v>37264</v>
      </c>
      <c r="AJ8083" t="s">
        <v>1195</v>
      </c>
      <c r="AK8083" t="s">
        <v>37265</v>
      </c>
      <c r="AL8083" s="13" t="s">
        <v>1901</v>
      </c>
      <c r="AM8083" s="14">
        <v>1</v>
      </c>
      <c r="AN8083" s="15" t="s">
        <v>1346</v>
      </c>
    </row>
    <row r="8084" spans="1:40" x14ac:dyDescent="0.3">
      <c r="A8084" s="10" t="str">
        <f>HYPERLINK("http://www.washoecounty.gov/assessor/cama/?parid=550-432-03&amp;CardNumber=1","550-432-03")</f>
        <v>550-432-03</v>
      </c>
      <c r="B8084" t="s">
        <v>4655</v>
      </c>
      <c r="C8084" t="s">
        <v>37266</v>
      </c>
      <c r="D8084" s="1">
        <v>40234</v>
      </c>
      <c r="E8084" s="2">
        <v>147000</v>
      </c>
      <c r="F8084" t="s">
        <v>4553</v>
      </c>
      <c r="G8084" s="17" t="str">
        <f>HYPERLINK("https://www.washoecounty.gov/assessor/cama/?command=sales&amp;parid=55043203","3852639")</f>
        <v>3852639</v>
      </c>
      <c r="H8084" t="s">
        <v>2084</v>
      </c>
      <c r="I8084">
        <v>2002</v>
      </c>
      <c r="J8084">
        <v>2002</v>
      </c>
      <c r="K8084" t="s">
        <v>4554</v>
      </c>
      <c r="L8084" t="s">
        <v>4555</v>
      </c>
      <c r="M8084" s="2">
        <v>1468</v>
      </c>
      <c r="N8084" t="s">
        <v>4048</v>
      </c>
      <c r="O8084">
        <v>3</v>
      </c>
      <c r="P8084">
        <v>2</v>
      </c>
      <c r="Q8084">
        <v>0</v>
      </c>
      <c r="R8084" t="s">
        <v>5281</v>
      </c>
      <c r="S8084" t="s">
        <v>4558</v>
      </c>
      <c r="T8084" t="s">
        <v>4559</v>
      </c>
      <c r="U8084" t="s">
        <v>4560</v>
      </c>
      <c r="V8084" s="2">
        <v>480</v>
      </c>
      <c r="W8084" t="s">
        <v>4655</v>
      </c>
      <c r="X8084" s="2">
        <v>0</v>
      </c>
      <c r="Y8084">
        <v>20</v>
      </c>
      <c r="Z8084" t="s">
        <v>1491</v>
      </c>
      <c r="AA8084" s="3">
        <v>0.14738291501998901</v>
      </c>
      <c r="AB8084" t="s">
        <v>37267</v>
      </c>
      <c r="AC8084" t="s">
        <v>4562</v>
      </c>
      <c r="AD8084" t="s">
        <v>37266</v>
      </c>
      <c r="AE8084" t="s">
        <v>4655</v>
      </c>
      <c r="AF8084" t="s">
        <v>4563</v>
      </c>
      <c r="AG8084" t="s">
        <v>4564</v>
      </c>
      <c r="AH8084">
        <v>89506</v>
      </c>
      <c r="AI8084" t="s">
        <v>4565</v>
      </c>
      <c r="AJ8084" t="s">
        <v>1195</v>
      </c>
      <c r="AK8084" t="s">
        <v>37268</v>
      </c>
      <c r="AL8084" s="13" t="s">
        <v>1901</v>
      </c>
      <c r="AM8084">
        <v>1</v>
      </c>
      <c r="AN8084" s="15" t="s">
        <v>1346</v>
      </c>
    </row>
    <row r="8085" spans="1:40" x14ac:dyDescent="0.3">
      <c r="A8085" s="10" t="str">
        <f>HYPERLINK("http://www.washoecounty.gov/assessor/cama/?parid=550-441-05&amp;CardNumber=1","550-441-05")</f>
        <v>550-441-05</v>
      </c>
      <c r="B8085" t="s">
        <v>4655</v>
      </c>
      <c r="C8085" t="s">
        <v>37269</v>
      </c>
      <c r="D8085" s="1">
        <v>40487</v>
      </c>
      <c r="E8085" s="2">
        <v>136000</v>
      </c>
      <c r="F8085" t="s">
        <v>4567</v>
      </c>
      <c r="G8085" s="17" t="str">
        <f>HYPERLINK("https://www.washoecounty.gov/assessor/cama/?command=sales&amp;parid=55044105","3940663")</f>
        <v>3940663</v>
      </c>
      <c r="H8085" t="s">
        <v>37270</v>
      </c>
      <c r="I8085">
        <v>2002</v>
      </c>
      <c r="J8085">
        <v>2002</v>
      </c>
      <c r="K8085" t="s">
        <v>4554</v>
      </c>
      <c r="L8085" t="s">
        <v>4555</v>
      </c>
      <c r="M8085" s="2">
        <v>1804</v>
      </c>
      <c r="N8085" t="s">
        <v>4048</v>
      </c>
      <c r="O8085">
        <v>3</v>
      </c>
      <c r="P8085">
        <v>2</v>
      </c>
      <c r="Q8085">
        <v>0</v>
      </c>
      <c r="R8085" t="s">
        <v>4557</v>
      </c>
      <c r="S8085" t="s">
        <v>4558</v>
      </c>
      <c r="T8085" t="s">
        <v>4559</v>
      </c>
      <c r="U8085" t="s">
        <v>4560</v>
      </c>
      <c r="V8085" s="2">
        <v>727</v>
      </c>
      <c r="W8085" t="s">
        <v>4655</v>
      </c>
      <c r="X8085" s="2">
        <v>0</v>
      </c>
      <c r="Y8085">
        <v>20</v>
      </c>
      <c r="Z8085" t="s">
        <v>1491</v>
      </c>
      <c r="AA8085" s="3">
        <v>0.17598713934421539</v>
      </c>
      <c r="AB8085" t="s">
        <v>37271</v>
      </c>
      <c r="AC8085" t="s">
        <v>4562</v>
      </c>
      <c r="AD8085" t="s">
        <v>37272</v>
      </c>
      <c r="AE8085" t="s">
        <v>4655</v>
      </c>
      <c r="AF8085" t="s">
        <v>5609</v>
      </c>
      <c r="AG8085" t="s">
        <v>4564</v>
      </c>
      <c r="AH8085">
        <v>89010</v>
      </c>
      <c r="AI8085" t="s">
        <v>37273</v>
      </c>
      <c r="AJ8085" t="s">
        <v>1860</v>
      </c>
      <c r="AK8085" t="s">
        <v>37274</v>
      </c>
      <c r="AL8085" s="13" t="s">
        <v>1901</v>
      </c>
      <c r="AM8085">
        <v>1</v>
      </c>
      <c r="AN8085" s="15" t="s">
        <v>1346</v>
      </c>
    </row>
    <row r="8086" spans="1:40" x14ac:dyDescent="0.3">
      <c r="A8086" s="10" t="str">
        <f>HYPERLINK("http://www.washoecounty.gov/assessor/cama/?parid=550-442-01&amp;CardNumber=1","550-442-01")</f>
        <v>550-442-01</v>
      </c>
      <c r="B8086" t="s">
        <v>4655</v>
      </c>
      <c r="C8086" t="s">
        <v>37275</v>
      </c>
      <c r="D8086" s="1">
        <v>40262</v>
      </c>
      <c r="E8086" s="2">
        <v>165000</v>
      </c>
      <c r="F8086" t="s">
        <v>4567</v>
      </c>
      <c r="G8086" s="17" t="str">
        <f>HYPERLINK("https://www.washoecounty.gov/assessor/cama/?command=sales&amp;parid=55044201","3863803")</f>
        <v>3863803</v>
      </c>
      <c r="H8086" t="s">
        <v>1859</v>
      </c>
      <c r="I8086">
        <v>2002</v>
      </c>
      <c r="J8086">
        <v>2002</v>
      </c>
      <c r="K8086" t="s">
        <v>4554</v>
      </c>
      <c r="L8086" t="s">
        <v>3974</v>
      </c>
      <c r="M8086" s="2">
        <v>2355</v>
      </c>
      <c r="N8086" t="s">
        <v>4048</v>
      </c>
      <c r="O8086">
        <v>3</v>
      </c>
      <c r="P8086">
        <v>2</v>
      </c>
      <c r="Q8086">
        <v>1</v>
      </c>
      <c r="R8086" t="s">
        <v>5281</v>
      </c>
      <c r="S8086" t="s">
        <v>4558</v>
      </c>
      <c r="T8086" t="s">
        <v>4559</v>
      </c>
      <c r="U8086" t="s">
        <v>4560</v>
      </c>
      <c r="V8086" s="2">
        <v>642</v>
      </c>
      <c r="W8086" t="s">
        <v>4655</v>
      </c>
      <c r="X8086" s="2">
        <v>0</v>
      </c>
      <c r="Y8086">
        <v>20</v>
      </c>
      <c r="Z8086" t="s">
        <v>1491</v>
      </c>
      <c r="AA8086" s="3">
        <v>0.14990817010402699</v>
      </c>
      <c r="AB8086" t="s">
        <v>37276</v>
      </c>
      <c r="AC8086" t="s">
        <v>4562</v>
      </c>
      <c r="AD8086" t="s">
        <v>37275</v>
      </c>
      <c r="AE8086" t="s">
        <v>4655</v>
      </c>
      <c r="AF8086" t="s">
        <v>4563</v>
      </c>
      <c r="AG8086" t="s">
        <v>4564</v>
      </c>
      <c r="AH8086">
        <v>89506</v>
      </c>
      <c r="AI8086" t="s">
        <v>37277</v>
      </c>
      <c r="AJ8086" t="s">
        <v>1860</v>
      </c>
      <c r="AK8086" t="s">
        <v>37278</v>
      </c>
      <c r="AL8086" s="13" t="s">
        <v>1901</v>
      </c>
      <c r="AM8086" s="14">
        <v>1</v>
      </c>
      <c r="AN8086" s="15" t="s">
        <v>1346</v>
      </c>
    </row>
    <row r="8087" spans="1:40" x14ac:dyDescent="0.3">
      <c r="A8087" s="10" t="str">
        <f>HYPERLINK("http://www.washoecounty.gov/assessor/cama/?parid=550-442-08&amp;CardNumber=1","550-442-08")</f>
        <v>550-442-08</v>
      </c>
      <c r="B8087" t="s">
        <v>4655</v>
      </c>
      <c r="C8087" t="s">
        <v>37279</v>
      </c>
      <c r="D8087" s="1">
        <v>40359</v>
      </c>
      <c r="E8087" s="2">
        <v>160000</v>
      </c>
      <c r="F8087" t="s">
        <v>4567</v>
      </c>
      <c r="G8087" s="17" t="str">
        <f>HYPERLINK("https://www.washoecounty.gov/assessor/cama/?command=sales&amp;parid=55044208","3897392")</f>
        <v>3897392</v>
      </c>
      <c r="H8087" t="s">
        <v>1859</v>
      </c>
      <c r="I8087">
        <v>2002</v>
      </c>
      <c r="J8087">
        <v>2002</v>
      </c>
      <c r="K8087" t="s">
        <v>4554</v>
      </c>
      <c r="L8087" t="s">
        <v>4555</v>
      </c>
      <c r="M8087" s="2">
        <v>1804</v>
      </c>
      <c r="N8087" t="s">
        <v>4048</v>
      </c>
      <c r="O8087">
        <v>3</v>
      </c>
      <c r="P8087">
        <v>2</v>
      </c>
      <c r="Q8087">
        <v>0</v>
      </c>
      <c r="R8087" t="s">
        <v>5281</v>
      </c>
      <c r="S8087" t="s">
        <v>4558</v>
      </c>
      <c r="T8087" t="s">
        <v>4559</v>
      </c>
      <c r="U8087" t="s">
        <v>4560</v>
      </c>
      <c r="V8087" s="2">
        <v>727</v>
      </c>
      <c r="W8087" t="s">
        <v>4655</v>
      </c>
      <c r="X8087" s="2">
        <v>0</v>
      </c>
      <c r="Y8087">
        <v>20</v>
      </c>
      <c r="Z8087" t="s">
        <v>1491</v>
      </c>
      <c r="AA8087" s="3">
        <v>0.14807163178920699</v>
      </c>
      <c r="AB8087" t="s">
        <v>37280</v>
      </c>
      <c r="AC8087" t="s">
        <v>4562</v>
      </c>
      <c r="AD8087" t="s">
        <v>37279</v>
      </c>
      <c r="AE8087" t="s">
        <v>4655</v>
      </c>
      <c r="AF8087" t="s">
        <v>4563</v>
      </c>
      <c r="AG8087" t="s">
        <v>4564</v>
      </c>
      <c r="AH8087">
        <v>89506</v>
      </c>
      <c r="AI8087" t="s">
        <v>37281</v>
      </c>
      <c r="AJ8087" t="s">
        <v>1860</v>
      </c>
      <c r="AK8087" t="s">
        <v>37282</v>
      </c>
      <c r="AL8087" s="13" t="s">
        <v>1901</v>
      </c>
      <c r="AM8087" s="14">
        <v>1</v>
      </c>
      <c r="AN8087" s="15" t="s">
        <v>1346</v>
      </c>
    </row>
    <row r="8088" spans="1:40" x14ac:dyDescent="0.3">
      <c r="A8088" s="10" t="str">
        <f>HYPERLINK("http://www.washoecounty.gov/assessor/cama/?parid=550-443-03&amp;CardNumber=1","550-443-03")</f>
        <v>550-443-03</v>
      </c>
      <c r="B8088" t="s">
        <v>4655</v>
      </c>
      <c r="C8088" t="s">
        <v>37283</v>
      </c>
      <c r="D8088" s="1">
        <v>40197</v>
      </c>
      <c r="E8088" s="2">
        <v>165000</v>
      </c>
      <c r="F8088" t="s">
        <v>4553</v>
      </c>
      <c r="G8088" s="17" t="str">
        <f>HYPERLINK("https://www.washoecounty.gov/assessor/cama/?command=sales&amp;parid=55044303","3840623")</f>
        <v>3840623</v>
      </c>
      <c r="H8088" t="s">
        <v>1859</v>
      </c>
      <c r="I8088">
        <v>2002</v>
      </c>
      <c r="J8088">
        <v>2002</v>
      </c>
      <c r="K8088" t="s">
        <v>4554</v>
      </c>
      <c r="L8088" t="s">
        <v>3974</v>
      </c>
      <c r="M8088" s="2">
        <v>2639</v>
      </c>
      <c r="N8088" t="s">
        <v>4048</v>
      </c>
      <c r="O8088">
        <v>4</v>
      </c>
      <c r="P8088">
        <v>2</v>
      </c>
      <c r="Q8088">
        <v>1</v>
      </c>
      <c r="R8088" t="s">
        <v>4557</v>
      </c>
      <c r="S8088" t="s">
        <v>4558</v>
      </c>
      <c r="T8088" t="s">
        <v>4559</v>
      </c>
      <c r="U8088" t="s">
        <v>4560</v>
      </c>
      <c r="V8088" s="2">
        <v>642</v>
      </c>
      <c r="W8088" t="s">
        <v>4655</v>
      </c>
      <c r="X8088" s="2">
        <v>0</v>
      </c>
      <c r="Y8088">
        <v>20</v>
      </c>
      <c r="Z8088" t="s">
        <v>1491</v>
      </c>
      <c r="AA8088" s="3">
        <v>0.142837464809418</v>
      </c>
      <c r="AB8088" t="s">
        <v>37284</v>
      </c>
      <c r="AC8088" t="s">
        <v>4562</v>
      </c>
      <c r="AD8088" t="s">
        <v>37285</v>
      </c>
      <c r="AE8088" t="s">
        <v>4655</v>
      </c>
      <c r="AF8088" t="s">
        <v>4563</v>
      </c>
      <c r="AG8088" t="s">
        <v>4564</v>
      </c>
      <c r="AH8088">
        <v>89506</v>
      </c>
      <c r="AI8088" t="s">
        <v>4655</v>
      </c>
      <c r="AJ8088" t="s">
        <v>1860</v>
      </c>
      <c r="AK8088" t="s">
        <v>37286</v>
      </c>
      <c r="AL8088" s="13" t="s">
        <v>1901</v>
      </c>
      <c r="AM8088">
        <v>1</v>
      </c>
      <c r="AN8088" s="15" t="s">
        <v>1346</v>
      </c>
    </row>
    <row r="8089" spans="1:40" x14ac:dyDescent="0.3">
      <c r="A8089" s="10" t="str">
        <f>HYPERLINK("http://www.washoecounty.gov/assessor/cama/?parid=550-443-22&amp;CardNumber=1","550-443-22")</f>
        <v>550-443-22</v>
      </c>
      <c r="B8089" t="s">
        <v>4655</v>
      </c>
      <c r="C8089" t="s">
        <v>37287</v>
      </c>
      <c r="D8089" s="1">
        <v>40339</v>
      </c>
      <c r="E8089" s="2">
        <v>165000</v>
      </c>
      <c r="F8089" t="s">
        <v>4567</v>
      </c>
      <c r="G8089" s="17" t="str">
        <f>HYPERLINK("https://www.washoecounty.gov/assessor/cama/?command=sales&amp;parid=55044322","3890687")</f>
        <v>3890687</v>
      </c>
      <c r="H8089" t="s">
        <v>1859</v>
      </c>
      <c r="I8089">
        <v>2002</v>
      </c>
      <c r="J8089">
        <v>2002</v>
      </c>
      <c r="K8089" t="s">
        <v>4554</v>
      </c>
      <c r="L8089" t="s">
        <v>3974</v>
      </c>
      <c r="M8089" s="2">
        <v>2639</v>
      </c>
      <c r="N8089" t="s">
        <v>4048</v>
      </c>
      <c r="O8089">
        <v>4</v>
      </c>
      <c r="P8089">
        <v>2</v>
      </c>
      <c r="Q8089">
        <v>1</v>
      </c>
      <c r="R8089" t="s">
        <v>5281</v>
      </c>
      <c r="S8089" t="s">
        <v>4558</v>
      </c>
      <c r="T8089" t="s">
        <v>4559</v>
      </c>
      <c r="U8089" t="s">
        <v>4560</v>
      </c>
      <c r="V8089" s="2">
        <v>642</v>
      </c>
      <c r="W8089" t="s">
        <v>4655</v>
      </c>
      <c r="X8089" s="2">
        <v>0</v>
      </c>
      <c r="Y8089">
        <v>20</v>
      </c>
      <c r="Z8089" t="s">
        <v>1491</v>
      </c>
      <c r="AA8089" s="3">
        <v>0.144237831234932</v>
      </c>
      <c r="AB8089" t="s">
        <v>37288</v>
      </c>
      <c r="AC8089" t="s">
        <v>4575</v>
      </c>
      <c r="AD8089" t="s">
        <v>37289</v>
      </c>
      <c r="AE8089" t="s">
        <v>37290</v>
      </c>
      <c r="AF8089" t="s">
        <v>4563</v>
      </c>
      <c r="AG8089" t="s">
        <v>4564</v>
      </c>
      <c r="AH8089">
        <v>89509</v>
      </c>
      <c r="AI8089" t="s">
        <v>37291</v>
      </c>
      <c r="AJ8089" t="s">
        <v>1860</v>
      </c>
      <c r="AK8089" t="s">
        <v>37292</v>
      </c>
      <c r="AL8089" s="13" t="s">
        <v>1901</v>
      </c>
      <c r="AM8089">
        <v>1</v>
      </c>
      <c r="AN8089" s="15" t="s">
        <v>1346</v>
      </c>
    </row>
    <row r="8090" spans="1:40" x14ac:dyDescent="0.3">
      <c r="A8090" s="10" t="str">
        <f>HYPERLINK("http://www.washoecounty.gov/assessor/cama/?parid=550-471-06&amp;CardNumber=1","550-471-06")</f>
        <v>550-471-06</v>
      </c>
      <c r="B8090" t="s">
        <v>4655</v>
      </c>
      <c r="C8090" t="s">
        <v>37293</v>
      </c>
      <c r="D8090" s="1">
        <v>40338</v>
      </c>
      <c r="E8090" s="2">
        <v>146000</v>
      </c>
      <c r="F8090" t="s">
        <v>4567</v>
      </c>
      <c r="G8090" s="17" t="str">
        <f>HYPERLINK("https://www.washoecounty.gov/assessor/cama/?command=sales&amp;parid=55047106","3889971")</f>
        <v>3889971</v>
      </c>
      <c r="H8090" t="s">
        <v>1861</v>
      </c>
      <c r="I8090">
        <v>2003</v>
      </c>
      <c r="J8090">
        <v>2003</v>
      </c>
      <c r="K8090" t="s">
        <v>4554</v>
      </c>
      <c r="L8090" t="s">
        <v>4555</v>
      </c>
      <c r="M8090" s="2">
        <v>1780</v>
      </c>
      <c r="N8090" t="s">
        <v>4048</v>
      </c>
      <c r="O8090">
        <v>4</v>
      </c>
      <c r="P8090">
        <v>2</v>
      </c>
      <c r="Q8090">
        <v>0</v>
      </c>
      <c r="R8090" t="s">
        <v>4557</v>
      </c>
      <c r="S8090" t="s">
        <v>4558</v>
      </c>
      <c r="T8090" t="s">
        <v>4559</v>
      </c>
      <c r="U8090" t="s">
        <v>4560</v>
      </c>
      <c r="V8090" s="2">
        <v>736</v>
      </c>
      <c r="W8090" t="s">
        <v>4655</v>
      </c>
      <c r="X8090" s="2">
        <v>0</v>
      </c>
      <c r="Y8090">
        <v>20</v>
      </c>
      <c r="Z8090" t="s">
        <v>1491</v>
      </c>
      <c r="AA8090" s="3">
        <v>0.235399454832077</v>
      </c>
      <c r="AB8090" t="s">
        <v>37294</v>
      </c>
      <c r="AC8090" t="s">
        <v>4562</v>
      </c>
      <c r="AD8090" t="s">
        <v>37293</v>
      </c>
      <c r="AE8090" t="s">
        <v>4655</v>
      </c>
      <c r="AF8090" t="s">
        <v>4563</v>
      </c>
      <c r="AG8090" t="s">
        <v>4564</v>
      </c>
      <c r="AH8090">
        <v>89508</v>
      </c>
      <c r="AI8090" t="s">
        <v>37295</v>
      </c>
      <c r="AJ8090" t="s">
        <v>1862</v>
      </c>
      <c r="AK8090" t="s">
        <v>37296</v>
      </c>
      <c r="AL8090" s="13" t="s">
        <v>1901</v>
      </c>
      <c r="AM8090" s="14">
        <v>1</v>
      </c>
      <c r="AN8090" s="15" t="s">
        <v>1346</v>
      </c>
    </row>
    <row r="8091" spans="1:40" x14ac:dyDescent="0.3">
      <c r="A8091" s="10" t="str">
        <f>HYPERLINK("http://www.washoecounty.gov/assessor/cama/?parid=550-471-07&amp;CardNumber=1","550-471-07")</f>
        <v>550-471-07</v>
      </c>
      <c r="B8091" t="s">
        <v>4655</v>
      </c>
      <c r="C8091" t="s">
        <v>37297</v>
      </c>
      <c r="D8091" s="1">
        <v>40233</v>
      </c>
      <c r="E8091" s="2">
        <v>149900</v>
      </c>
      <c r="F8091" t="s">
        <v>4567</v>
      </c>
      <c r="G8091" s="17" t="str">
        <f>HYPERLINK("https://www.washoecounty.gov/assessor/cama/?command=sales&amp;parid=55047107","3852290")</f>
        <v>3852290</v>
      </c>
      <c r="H8091" t="s">
        <v>1861</v>
      </c>
      <c r="I8091">
        <v>2003</v>
      </c>
      <c r="J8091">
        <v>2003</v>
      </c>
      <c r="K8091" t="s">
        <v>4554</v>
      </c>
      <c r="L8091" t="s">
        <v>4555</v>
      </c>
      <c r="M8091" s="2">
        <v>1780</v>
      </c>
      <c r="N8091" t="s">
        <v>4048</v>
      </c>
      <c r="O8091">
        <v>4</v>
      </c>
      <c r="P8091">
        <v>2</v>
      </c>
      <c r="Q8091">
        <v>0</v>
      </c>
      <c r="R8091" t="s">
        <v>5281</v>
      </c>
      <c r="S8091" t="s">
        <v>4558</v>
      </c>
      <c r="T8091" t="s">
        <v>4559</v>
      </c>
      <c r="U8091" t="s">
        <v>4560</v>
      </c>
      <c r="V8091" s="2">
        <v>598</v>
      </c>
      <c r="W8091" t="s">
        <v>4655</v>
      </c>
      <c r="X8091" s="2">
        <v>0</v>
      </c>
      <c r="Y8091">
        <v>20</v>
      </c>
      <c r="Z8091" t="s">
        <v>1491</v>
      </c>
      <c r="AA8091" s="3">
        <v>0.21384297311306</v>
      </c>
      <c r="AB8091" t="s">
        <v>37298</v>
      </c>
      <c r="AC8091" t="s">
        <v>4562</v>
      </c>
      <c r="AD8091" t="s">
        <v>37299</v>
      </c>
      <c r="AE8091" t="s">
        <v>4655</v>
      </c>
      <c r="AF8091" t="s">
        <v>4563</v>
      </c>
      <c r="AG8091" t="s">
        <v>4564</v>
      </c>
      <c r="AH8091">
        <v>89506</v>
      </c>
      <c r="AI8091" t="s">
        <v>37300</v>
      </c>
      <c r="AJ8091" t="s">
        <v>1862</v>
      </c>
      <c r="AK8091" t="s">
        <v>37301</v>
      </c>
      <c r="AL8091" s="13" t="s">
        <v>1901</v>
      </c>
      <c r="AM8091" s="14">
        <v>1</v>
      </c>
      <c r="AN8091" s="15" t="s">
        <v>1346</v>
      </c>
    </row>
    <row r="8092" spans="1:40" x14ac:dyDescent="0.3">
      <c r="A8092" s="10" t="str">
        <f>HYPERLINK("http://www.washoecounty.gov/assessor/cama/?parid=550-472-08&amp;CardNumber=1","550-472-08")</f>
        <v>550-472-08</v>
      </c>
      <c r="B8092" t="s">
        <v>4655</v>
      </c>
      <c r="C8092" t="s">
        <v>37302</v>
      </c>
      <c r="D8092" s="1">
        <v>40359</v>
      </c>
      <c r="E8092" s="2">
        <v>145000</v>
      </c>
      <c r="F8092" t="s">
        <v>4567</v>
      </c>
      <c r="G8092" s="17" t="str">
        <f>HYPERLINK("https://www.washoecounty.gov/assessor/cama/?command=sales&amp;parid=55047208","3897079")</f>
        <v>3897079</v>
      </c>
      <c r="H8092" t="s">
        <v>1861</v>
      </c>
      <c r="I8092">
        <v>2003</v>
      </c>
      <c r="J8092">
        <v>2003</v>
      </c>
      <c r="K8092" t="s">
        <v>4554</v>
      </c>
      <c r="L8092" t="s">
        <v>4555</v>
      </c>
      <c r="M8092" s="2">
        <v>1780</v>
      </c>
      <c r="N8092" t="s">
        <v>4048</v>
      </c>
      <c r="O8092">
        <v>4</v>
      </c>
      <c r="P8092">
        <v>2</v>
      </c>
      <c r="Q8092">
        <v>0</v>
      </c>
      <c r="R8092" t="s">
        <v>5281</v>
      </c>
      <c r="S8092" t="s">
        <v>4558</v>
      </c>
      <c r="T8092" t="s">
        <v>4559</v>
      </c>
      <c r="U8092" t="s">
        <v>4560</v>
      </c>
      <c r="V8092" s="2">
        <v>736</v>
      </c>
      <c r="W8092" t="s">
        <v>4655</v>
      </c>
      <c r="X8092" s="2">
        <v>0</v>
      </c>
      <c r="Y8092">
        <v>20</v>
      </c>
      <c r="Z8092" t="s">
        <v>1491</v>
      </c>
      <c r="AA8092" s="3">
        <v>0.243732780218124</v>
      </c>
      <c r="AB8092" t="s">
        <v>37303</v>
      </c>
      <c r="AC8092" t="s">
        <v>4562</v>
      </c>
      <c r="AD8092" t="s">
        <v>37304</v>
      </c>
      <c r="AE8092" t="s">
        <v>4655</v>
      </c>
      <c r="AF8092" t="s">
        <v>5362</v>
      </c>
      <c r="AG8092" t="s">
        <v>4584</v>
      </c>
      <c r="AH8092">
        <v>93035</v>
      </c>
      <c r="AI8092" t="s">
        <v>4655</v>
      </c>
      <c r="AJ8092" t="s">
        <v>1862</v>
      </c>
      <c r="AK8092" t="s">
        <v>37305</v>
      </c>
      <c r="AL8092" s="13" t="s">
        <v>1901</v>
      </c>
      <c r="AM8092">
        <v>1</v>
      </c>
      <c r="AN8092" s="15" t="s">
        <v>1346</v>
      </c>
    </row>
    <row r="8093" spans="1:40" x14ac:dyDescent="0.3">
      <c r="A8093" s="10" t="str">
        <f>HYPERLINK("http://www.washoecounty.gov/assessor/cama/?parid=550-472-09&amp;CardNumber=1","550-472-09")</f>
        <v>550-472-09</v>
      </c>
      <c r="B8093" t="s">
        <v>4655</v>
      </c>
      <c r="C8093" t="s">
        <v>37306</v>
      </c>
      <c r="D8093" s="1">
        <v>40352</v>
      </c>
      <c r="E8093" s="2">
        <v>147000</v>
      </c>
      <c r="F8093" t="s">
        <v>4553</v>
      </c>
      <c r="G8093" s="17" t="str">
        <f>HYPERLINK("https://www.washoecounty.gov/assessor/cama/?command=sales&amp;parid=55047209","3894792")</f>
        <v>3894792</v>
      </c>
      <c r="H8093" t="s">
        <v>1861</v>
      </c>
      <c r="I8093">
        <v>2003</v>
      </c>
      <c r="J8093">
        <v>2003</v>
      </c>
      <c r="K8093" t="s">
        <v>4554</v>
      </c>
      <c r="L8093" t="s">
        <v>4555</v>
      </c>
      <c r="M8093" s="2">
        <v>1780</v>
      </c>
      <c r="N8093" t="s">
        <v>4048</v>
      </c>
      <c r="O8093">
        <v>4</v>
      </c>
      <c r="P8093">
        <v>2</v>
      </c>
      <c r="Q8093">
        <v>0</v>
      </c>
      <c r="R8093" t="s">
        <v>4557</v>
      </c>
      <c r="S8093" t="s">
        <v>4558</v>
      </c>
      <c r="T8093" t="s">
        <v>4559</v>
      </c>
      <c r="U8093" t="s">
        <v>4560</v>
      </c>
      <c r="V8093" s="2">
        <v>598</v>
      </c>
      <c r="W8093" t="s">
        <v>4655</v>
      </c>
      <c r="X8093" s="2">
        <v>0</v>
      </c>
      <c r="Y8093">
        <v>20</v>
      </c>
      <c r="Z8093" t="s">
        <v>1491</v>
      </c>
      <c r="AA8093" s="3">
        <v>0.19988521933555603</v>
      </c>
      <c r="AB8093" t="s">
        <v>37307</v>
      </c>
      <c r="AC8093" t="s">
        <v>4575</v>
      </c>
      <c r="AD8093" t="s">
        <v>37308</v>
      </c>
      <c r="AE8093" t="s">
        <v>4655</v>
      </c>
      <c r="AF8093" t="s">
        <v>4563</v>
      </c>
      <c r="AG8093" t="s">
        <v>4564</v>
      </c>
      <c r="AH8093">
        <v>89506</v>
      </c>
      <c r="AI8093" t="s">
        <v>4655</v>
      </c>
      <c r="AJ8093" t="s">
        <v>1862</v>
      </c>
      <c r="AK8093" t="s">
        <v>37309</v>
      </c>
      <c r="AL8093" s="13" t="s">
        <v>1901</v>
      </c>
      <c r="AM8093" s="14">
        <v>1</v>
      </c>
      <c r="AN8093" s="15" t="s">
        <v>1346</v>
      </c>
    </row>
    <row r="8094" spans="1:40" x14ac:dyDescent="0.3">
      <c r="A8094" s="10" t="str">
        <f>HYPERLINK("http://www.washoecounty.gov/assessor/cama/?parid=550-482-04&amp;CardNumber=1","550-482-04")</f>
        <v>550-482-04</v>
      </c>
      <c r="B8094" t="s">
        <v>4655</v>
      </c>
      <c r="C8094" t="s">
        <v>37310</v>
      </c>
      <c r="D8094" s="1">
        <v>40253</v>
      </c>
      <c r="E8094" s="2">
        <v>172500</v>
      </c>
      <c r="F8094" t="s">
        <v>4567</v>
      </c>
      <c r="G8094" s="17" t="str">
        <f>HYPERLINK("https://www.washoecounty.gov/assessor/cama/?command=sales&amp;parid=55048204","3860215")</f>
        <v>3860215</v>
      </c>
      <c r="H8094" t="s">
        <v>1861</v>
      </c>
      <c r="I8094">
        <v>2002</v>
      </c>
      <c r="J8094">
        <v>2002</v>
      </c>
      <c r="K8094" t="s">
        <v>4554</v>
      </c>
      <c r="L8094" t="s">
        <v>3974</v>
      </c>
      <c r="M8094" s="2">
        <v>2122</v>
      </c>
      <c r="N8094" t="s">
        <v>4048</v>
      </c>
      <c r="O8094">
        <v>4</v>
      </c>
      <c r="P8094">
        <v>2</v>
      </c>
      <c r="Q8094">
        <v>1</v>
      </c>
      <c r="R8094" t="s">
        <v>5281</v>
      </c>
      <c r="S8094" t="s">
        <v>4558</v>
      </c>
      <c r="T8094" t="s">
        <v>4559</v>
      </c>
      <c r="U8094" t="s">
        <v>5631</v>
      </c>
      <c r="V8094" s="2">
        <v>588</v>
      </c>
      <c r="W8094" t="s">
        <v>4655</v>
      </c>
      <c r="X8094" s="2">
        <v>0</v>
      </c>
      <c r="Y8094">
        <v>20</v>
      </c>
      <c r="Z8094" t="s">
        <v>1491</v>
      </c>
      <c r="AA8094" s="3">
        <v>0.30872359871864302</v>
      </c>
      <c r="AB8094" t="s">
        <v>37311</v>
      </c>
      <c r="AC8094" t="s">
        <v>4562</v>
      </c>
      <c r="AD8094" t="s">
        <v>37310</v>
      </c>
      <c r="AE8094" t="s">
        <v>4655</v>
      </c>
      <c r="AF8094" t="s">
        <v>4563</v>
      </c>
      <c r="AG8094" t="s">
        <v>4564</v>
      </c>
      <c r="AH8094">
        <v>89508</v>
      </c>
      <c r="AI8094" t="s">
        <v>37312</v>
      </c>
      <c r="AJ8094" t="s">
        <v>1862</v>
      </c>
      <c r="AK8094" t="s">
        <v>37313</v>
      </c>
      <c r="AL8094" s="13" t="s">
        <v>1901</v>
      </c>
      <c r="AM8094" s="14">
        <v>1</v>
      </c>
      <c r="AN8094" s="15" t="s">
        <v>1346</v>
      </c>
    </row>
    <row r="8095" spans="1:40" x14ac:dyDescent="0.3">
      <c r="A8095" s="10" t="str">
        <f>HYPERLINK("http://www.washoecounty.gov/assessor/cama/?parid=550-482-09&amp;CardNumber=1","550-482-09")</f>
        <v>550-482-09</v>
      </c>
      <c r="B8095" t="s">
        <v>4655</v>
      </c>
      <c r="C8095" t="s">
        <v>37314</v>
      </c>
      <c r="D8095" s="1">
        <v>40273</v>
      </c>
      <c r="E8095" s="2">
        <v>161000</v>
      </c>
      <c r="F8095" t="s">
        <v>4553</v>
      </c>
      <c r="G8095" s="17" t="str">
        <f>HYPERLINK("https://www.washoecounty.gov/assessor/cama/?command=sales&amp;parid=55048209","3867767")</f>
        <v>3867767</v>
      </c>
      <c r="H8095" t="s">
        <v>1861</v>
      </c>
      <c r="I8095">
        <v>2002</v>
      </c>
      <c r="J8095">
        <v>2002</v>
      </c>
      <c r="K8095" t="s">
        <v>4554</v>
      </c>
      <c r="L8095" t="s">
        <v>3974</v>
      </c>
      <c r="M8095" s="2">
        <v>2122</v>
      </c>
      <c r="N8095" t="s">
        <v>4048</v>
      </c>
      <c r="O8095">
        <v>4</v>
      </c>
      <c r="P8095">
        <v>2</v>
      </c>
      <c r="Q8095">
        <v>1</v>
      </c>
      <c r="R8095" t="s">
        <v>5281</v>
      </c>
      <c r="S8095" t="s">
        <v>4558</v>
      </c>
      <c r="T8095" t="s">
        <v>4559</v>
      </c>
      <c r="U8095" t="s">
        <v>5631</v>
      </c>
      <c r="V8095" s="2">
        <v>852</v>
      </c>
      <c r="W8095" t="s">
        <v>4655</v>
      </c>
      <c r="X8095" s="2">
        <v>0</v>
      </c>
      <c r="Y8095">
        <v>20</v>
      </c>
      <c r="Z8095" t="s">
        <v>1491</v>
      </c>
      <c r="AA8095" s="3">
        <v>0.23039485514163999</v>
      </c>
      <c r="AB8095" t="s">
        <v>37315</v>
      </c>
      <c r="AC8095" t="s">
        <v>4562</v>
      </c>
      <c r="AD8095" t="s">
        <v>37314</v>
      </c>
      <c r="AE8095" t="s">
        <v>4655</v>
      </c>
      <c r="AF8095" t="s">
        <v>4563</v>
      </c>
      <c r="AG8095" t="s">
        <v>4564</v>
      </c>
      <c r="AH8095">
        <v>89506</v>
      </c>
      <c r="AI8095" t="s">
        <v>4903</v>
      </c>
      <c r="AJ8095" t="s">
        <v>1862</v>
      </c>
      <c r="AK8095" t="s">
        <v>37316</v>
      </c>
      <c r="AL8095" s="13" t="s">
        <v>1901</v>
      </c>
      <c r="AM8095" s="14">
        <v>1</v>
      </c>
      <c r="AN8095" s="15" t="s">
        <v>1346</v>
      </c>
    </row>
    <row r="8096" spans="1:40" x14ac:dyDescent="0.3">
      <c r="A8096" s="10" t="str">
        <f>HYPERLINK("http://www.washoecounty.gov/assessor/cama/?parid=550-482-12&amp;CardNumber=1","550-482-12")</f>
        <v>550-482-12</v>
      </c>
      <c r="B8096" t="s">
        <v>4655</v>
      </c>
      <c r="C8096" t="s">
        <v>37317</v>
      </c>
      <c r="D8096" s="1">
        <v>40214</v>
      </c>
      <c r="E8096" s="2">
        <v>120000</v>
      </c>
      <c r="F8096" t="s">
        <v>4553</v>
      </c>
      <c r="G8096" s="17" t="str">
        <f>HYPERLINK("https://www.washoecounty.gov/assessor/cama/?command=sales&amp;parid=55048212","3846665")</f>
        <v>3846665</v>
      </c>
      <c r="H8096" t="s">
        <v>1861</v>
      </c>
      <c r="I8096">
        <v>2002</v>
      </c>
      <c r="J8096">
        <v>2002</v>
      </c>
      <c r="K8096" t="s">
        <v>4554</v>
      </c>
      <c r="L8096" t="s">
        <v>3974</v>
      </c>
      <c r="M8096" s="2">
        <v>2122</v>
      </c>
      <c r="N8096" t="s">
        <v>4048</v>
      </c>
      <c r="O8096">
        <v>4</v>
      </c>
      <c r="P8096">
        <v>2</v>
      </c>
      <c r="Q8096">
        <v>1</v>
      </c>
      <c r="R8096" t="s">
        <v>5281</v>
      </c>
      <c r="S8096" t="s">
        <v>4558</v>
      </c>
      <c r="T8096" t="s">
        <v>4559</v>
      </c>
      <c r="U8096" t="s">
        <v>5631</v>
      </c>
      <c r="V8096" s="2">
        <v>588</v>
      </c>
      <c r="W8096" t="s">
        <v>4655</v>
      </c>
      <c r="X8096" s="2">
        <v>0</v>
      </c>
      <c r="Y8096">
        <v>20</v>
      </c>
      <c r="Z8096" t="s">
        <v>1491</v>
      </c>
      <c r="AA8096" s="3">
        <v>0.18422864377498627</v>
      </c>
      <c r="AB8096" t="s">
        <v>4673</v>
      </c>
      <c r="AC8096" t="s">
        <v>4562</v>
      </c>
      <c r="AD8096" t="s">
        <v>3093</v>
      </c>
      <c r="AE8096" t="s">
        <v>4655</v>
      </c>
      <c r="AF8096" t="s">
        <v>4563</v>
      </c>
      <c r="AG8096" t="s">
        <v>4564</v>
      </c>
      <c r="AH8096">
        <v>89512</v>
      </c>
      <c r="AI8096" t="s">
        <v>1602</v>
      </c>
      <c r="AJ8096" t="s">
        <v>1862</v>
      </c>
      <c r="AK8096" t="s">
        <v>37318</v>
      </c>
      <c r="AL8096" s="13" t="s">
        <v>1901</v>
      </c>
      <c r="AM8096" s="14">
        <v>1</v>
      </c>
      <c r="AN8096" s="15" t="s">
        <v>1346</v>
      </c>
    </row>
    <row r="8097" spans="1:40" x14ac:dyDescent="0.3">
      <c r="A8097" s="10" t="str">
        <f>HYPERLINK("http://www.washoecounty.gov/assessor/cama/?parid=550-483-11&amp;CardNumber=1","550-483-11")</f>
        <v>550-483-11</v>
      </c>
      <c r="B8097" t="s">
        <v>4655</v>
      </c>
      <c r="C8097" t="s">
        <v>37319</v>
      </c>
      <c r="D8097" s="1">
        <v>40532</v>
      </c>
      <c r="E8097" s="2">
        <v>144000</v>
      </c>
      <c r="F8097" t="s">
        <v>4567</v>
      </c>
      <c r="G8097" s="17" t="str">
        <f>HYPERLINK("https://www.washoecounty.gov/assessor/cama/?command=sales&amp;parid=55048311","3955476")</f>
        <v>3955476</v>
      </c>
      <c r="H8097" t="s">
        <v>1861</v>
      </c>
      <c r="I8097">
        <v>2002</v>
      </c>
      <c r="J8097">
        <v>2002</v>
      </c>
      <c r="K8097" t="s">
        <v>4554</v>
      </c>
      <c r="L8097" t="s">
        <v>3974</v>
      </c>
      <c r="M8097" s="2">
        <v>2122</v>
      </c>
      <c r="N8097" t="s">
        <v>4048</v>
      </c>
      <c r="O8097">
        <v>4</v>
      </c>
      <c r="P8097">
        <v>2</v>
      </c>
      <c r="Q8097">
        <v>1</v>
      </c>
      <c r="R8097" t="s">
        <v>5281</v>
      </c>
      <c r="S8097" t="s">
        <v>4558</v>
      </c>
      <c r="T8097" t="s">
        <v>4559</v>
      </c>
      <c r="U8097" t="s">
        <v>5631</v>
      </c>
      <c r="V8097" s="2">
        <v>588</v>
      </c>
      <c r="W8097" t="s">
        <v>4655</v>
      </c>
      <c r="X8097" s="2">
        <v>0</v>
      </c>
      <c r="Y8097">
        <v>20</v>
      </c>
      <c r="Z8097" t="s">
        <v>1491</v>
      </c>
      <c r="AA8097" s="3">
        <v>0.19325068593025199</v>
      </c>
      <c r="AB8097" t="s">
        <v>37320</v>
      </c>
      <c r="AC8097" t="s">
        <v>4562</v>
      </c>
      <c r="AD8097" t="s">
        <v>37321</v>
      </c>
      <c r="AE8097" t="s">
        <v>4655</v>
      </c>
      <c r="AF8097" t="s">
        <v>4563</v>
      </c>
      <c r="AG8097" t="s">
        <v>4564</v>
      </c>
      <c r="AH8097">
        <v>89506</v>
      </c>
      <c r="AI8097" t="s">
        <v>37322</v>
      </c>
      <c r="AJ8097" t="s">
        <v>1862</v>
      </c>
      <c r="AK8097" t="s">
        <v>37323</v>
      </c>
      <c r="AL8097" s="13" t="s">
        <v>1901</v>
      </c>
      <c r="AM8097">
        <v>1</v>
      </c>
      <c r="AN8097" s="15" t="s">
        <v>1346</v>
      </c>
    </row>
    <row r="8098" spans="1:40" x14ac:dyDescent="0.3">
      <c r="A8098" s="10" t="str">
        <f>HYPERLINK("http://www.washoecounty.gov/assessor/cama/?parid=550-492-05&amp;CardNumber=1","550-492-05")</f>
        <v>550-492-05</v>
      </c>
      <c r="B8098" t="s">
        <v>4655</v>
      </c>
      <c r="C8098" t="s">
        <v>37324</v>
      </c>
      <c r="D8098" s="1">
        <v>40347</v>
      </c>
      <c r="E8098" s="2">
        <v>140000</v>
      </c>
      <c r="F8098" t="s">
        <v>4553</v>
      </c>
      <c r="G8098" s="17" t="str">
        <f>HYPERLINK("https://www.washoecounty.gov/assessor/cama/?command=sales&amp;parid=55049205","3893546")</f>
        <v>3893546</v>
      </c>
      <c r="H8098" t="s">
        <v>4179</v>
      </c>
      <c r="I8098">
        <v>2002</v>
      </c>
      <c r="J8098">
        <v>2002</v>
      </c>
      <c r="K8098" t="s">
        <v>4554</v>
      </c>
      <c r="L8098" t="s">
        <v>4555</v>
      </c>
      <c r="M8098" s="2">
        <v>1530</v>
      </c>
      <c r="N8098" t="s">
        <v>4048</v>
      </c>
      <c r="O8098">
        <v>3</v>
      </c>
      <c r="P8098">
        <v>2</v>
      </c>
      <c r="Q8098">
        <v>0</v>
      </c>
      <c r="R8098" t="s">
        <v>5281</v>
      </c>
      <c r="S8098" t="s">
        <v>4558</v>
      </c>
      <c r="T8098" t="s">
        <v>4559</v>
      </c>
      <c r="U8098" t="s">
        <v>4560</v>
      </c>
      <c r="V8098" s="2">
        <v>412</v>
      </c>
      <c r="W8098" t="s">
        <v>4655</v>
      </c>
      <c r="X8098" s="2">
        <v>0</v>
      </c>
      <c r="Y8098">
        <v>20</v>
      </c>
      <c r="Z8098" t="s">
        <v>1604</v>
      </c>
      <c r="AA8098" s="3">
        <v>0.19706152379512801</v>
      </c>
      <c r="AB8098" t="s">
        <v>37325</v>
      </c>
      <c r="AC8098" t="s">
        <v>4562</v>
      </c>
      <c r="AD8098" t="s">
        <v>37324</v>
      </c>
      <c r="AE8098" t="s">
        <v>4655</v>
      </c>
      <c r="AF8098" t="s">
        <v>4563</v>
      </c>
      <c r="AG8098" t="s">
        <v>4564</v>
      </c>
      <c r="AH8098">
        <v>89604</v>
      </c>
      <c r="AI8098" t="s">
        <v>4202</v>
      </c>
      <c r="AJ8098" t="s">
        <v>4180</v>
      </c>
      <c r="AK8098" t="s">
        <v>37326</v>
      </c>
      <c r="AL8098" s="13" t="s">
        <v>1901</v>
      </c>
      <c r="AM8098">
        <v>1</v>
      </c>
      <c r="AN8098" s="15" t="s">
        <v>1346</v>
      </c>
    </row>
    <row r="8099" spans="1:40" x14ac:dyDescent="0.3">
      <c r="A8099" s="10" t="str">
        <f>HYPERLINK("http://www.washoecounty.gov/assessor/cama/?parid=550-492-09&amp;CardNumber=1","550-492-09")</f>
        <v>550-492-09</v>
      </c>
      <c r="B8099" t="s">
        <v>4655</v>
      </c>
      <c r="C8099" t="s">
        <v>37327</v>
      </c>
      <c r="D8099" s="1">
        <v>40500</v>
      </c>
      <c r="E8099" s="2">
        <v>140000</v>
      </c>
      <c r="F8099" t="s">
        <v>4567</v>
      </c>
      <c r="G8099" s="17" t="str">
        <f>HYPERLINK("https://www.washoecounty.gov/assessor/cama/?command=sales&amp;parid=55049209","3944637")</f>
        <v>3944637</v>
      </c>
      <c r="H8099" t="s">
        <v>4179</v>
      </c>
      <c r="I8099">
        <v>2002</v>
      </c>
      <c r="J8099">
        <v>2002</v>
      </c>
      <c r="K8099" t="s">
        <v>4554</v>
      </c>
      <c r="L8099" t="s">
        <v>4555</v>
      </c>
      <c r="M8099" s="2">
        <v>1648</v>
      </c>
      <c r="N8099" t="s">
        <v>4048</v>
      </c>
      <c r="O8099">
        <v>3</v>
      </c>
      <c r="P8099">
        <v>2</v>
      </c>
      <c r="Q8099">
        <v>0</v>
      </c>
      <c r="R8099" t="s">
        <v>4557</v>
      </c>
      <c r="S8099" t="s">
        <v>4558</v>
      </c>
      <c r="T8099" t="s">
        <v>4559</v>
      </c>
      <c r="U8099" t="s">
        <v>4560</v>
      </c>
      <c r="V8099" s="2">
        <v>616</v>
      </c>
      <c r="W8099" t="s">
        <v>4655</v>
      </c>
      <c r="X8099" s="2">
        <v>0</v>
      </c>
      <c r="Y8099">
        <v>20</v>
      </c>
      <c r="Z8099" t="s">
        <v>1604</v>
      </c>
      <c r="AA8099" s="3">
        <v>0.189049586653709</v>
      </c>
      <c r="AB8099" t="s">
        <v>37328</v>
      </c>
      <c r="AC8099" t="s">
        <v>4562</v>
      </c>
      <c r="AD8099" t="s">
        <v>37327</v>
      </c>
      <c r="AE8099" t="s">
        <v>4655</v>
      </c>
      <c r="AF8099" t="s">
        <v>4563</v>
      </c>
      <c r="AG8099" t="s">
        <v>4564</v>
      </c>
      <c r="AH8099">
        <v>89506</v>
      </c>
      <c r="AI8099" t="s">
        <v>37329</v>
      </c>
      <c r="AJ8099" t="s">
        <v>4180</v>
      </c>
      <c r="AK8099" t="s">
        <v>37330</v>
      </c>
      <c r="AL8099" s="13" t="s">
        <v>1901</v>
      </c>
      <c r="AM8099">
        <v>1</v>
      </c>
      <c r="AN8099" s="15" t="s">
        <v>1346</v>
      </c>
    </row>
    <row r="8100" spans="1:40" x14ac:dyDescent="0.3">
      <c r="A8100" s="10" t="str">
        <f>HYPERLINK("http://www.washoecounty.gov/assessor/cama/?parid=550-492-22&amp;CardNumber=1","550-492-22")</f>
        <v>550-492-22</v>
      </c>
      <c r="B8100" t="s">
        <v>4655</v>
      </c>
      <c r="C8100" t="s">
        <v>37331</v>
      </c>
      <c r="D8100" s="1">
        <v>40421</v>
      </c>
      <c r="E8100" s="2">
        <v>143000</v>
      </c>
      <c r="F8100" t="s">
        <v>4567</v>
      </c>
      <c r="G8100" s="17" t="str">
        <f>HYPERLINK("https://www.washoecounty.gov/assessor/cama/?command=sales&amp;parid=55049222","3917377")</f>
        <v>3917377</v>
      </c>
      <c r="H8100" t="s">
        <v>4179</v>
      </c>
      <c r="I8100">
        <v>2003</v>
      </c>
      <c r="J8100">
        <v>2003</v>
      </c>
      <c r="K8100" t="s">
        <v>4554</v>
      </c>
      <c r="L8100" t="s">
        <v>4555</v>
      </c>
      <c r="M8100" s="2">
        <v>1648</v>
      </c>
      <c r="N8100" t="s">
        <v>4048</v>
      </c>
      <c r="O8100">
        <v>4</v>
      </c>
      <c r="P8100">
        <v>2</v>
      </c>
      <c r="Q8100">
        <v>0</v>
      </c>
      <c r="R8100" t="s">
        <v>5281</v>
      </c>
      <c r="S8100" t="s">
        <v>4558</v>
      </c>
      <c r="T8100" t="s">
        <v>4559</v>
      </c>
      <c r="U8100" t="s">
        <v>4560</v>
      </c>
      <c r="V8100" s="2">
        <v>616</v>
      </c>
      <c r="W8100" t="s">
        <v>4655</v>
      </c>
      <c r="X8100" s="2">
        <v>0</v>
      </c>
      <c r="Y8100">
        <v>20</v>
      </c>
      <c r="Z8100" t="s">
        <v>1604</v>
      </c>
      <c r="AA8100" s="3">
        <v>0.15601469576358801</v>
      </c>
      <c r="AB8100" t="s">
        <v>37332</v>
      </c>
      <c r="AC8100" t="s">
        <v>4562</v>
      </c>
      <c r="AD8100" t="s">
        <v>37331</v>
      </c>
      <c r="AE8100" t="s">
        <v>4655</v>
      </c>
      <c r="AF8100" t="s">
        <v>4563</v>
      </c>
      <c r="AG8100" t="s">
        <v>4564</v>
      </c>
      <c r="AH8100">
        <v>89506</v>
      </c>
      <c r="AI8100" t="s">
        <v>37333</v>
      </c>
      <c r="AJ8100" t="s">
        <v>4180</v>
      </c>
      <c r="AK8100" t="s">
        <v>37334</v>
      </c>
      <c r="AL8100" s="13" t="s">
        <v>1901</v>
      </c>
      <c r="AM8100">
        <v>1</v>
      </c>
      <c r="AN8100" s="15" t="s">
        <v>1346</v>
      </c>
    </row>
    <row r="8101" spans="1:40" x14ac:dyDescent="0.3">
      <c r="A8101" s="10" t="str">
        <f>HYPERLINK("http://www.washoecounty.gov/assessor/cama/?parid=550-492-28&amp;CardNumber=1","550-492-28")</f>
        <v>550-492-28</v>
      </c>
      <c r="B8101" t="s">
        <v>4655</v>
      </c>
      <c r="C8101" t="s">
        <v>37335</v>
      </c>
      <c r="D8101" s="1">
        <v>40326</v>
      </c>
      <c r="E8101" s="2">
        <v>145000</v>
      </c>
      <c r="F8101" t="s">
        <v>4553</v>
      </c>
      <c r="G8101" s="17" t="str">
        <f>HYPERLINK("https://www.washoecounty.gov/assessor/cama/?command=sales&amp;parid=55049228","3886595")</f>
        <v>3886595</v>
      </c>
      <c r="H8101" t="s">
        <v>4179</v>
      </c>
      <c r="I8101">
        <v>2003</v>
      </c>
      <c r="J8101">
        <v>2003</v>
      </c>
      <c r="K8101" t="s">
        <v>4554</v>
      </c>
      <c r="L8101" t="s">
        <v>4555</v>
      </c>
      <c r="M8101" s="2">
        <v>1530</v>
      </c>
      <c r="N8101" t="s">
        <v>4048</v>
      </c>
      <c r="O8101">
        <v>3</v>
      </c>
      <c r="P8101">
        <v>2</v>
      </c>
      <c r="Q8101">
        <v>0</v>
      </c>
      <c r="R8101" t="s">
        <v>5281</v>
      </c>
      <c r="S8101" t="s">
        <v>4558</v>
      </c>
      <c r="T8101" t="s">
        <v>4559</v>
      </c>
      <c r="U8101" t="s">
        <v>4560</v>
      </c>
      <c r="V8101" s="2">
        <v>412</v>
      </c>
      <c r="W8101" t="s">
        <v>4655</v>
      </c>
      <c r="X8101" s="2">
        <v>0</v>
      </c>
      <c r="Y8101">
        <v>20</v>
      </c>
      <c r="Z8101" t="s">
        <v>1604</v>
      </c>
      <c r="AA8101" s="3">
        <v>0.15436179935932159</v>
      </c>
      <c r="AB8101" t="s">
        <v>37336</v>
      </c>
      <c r="AC8101" t="s">
        <v>4562</v>
      </c>
      <c r="AD8101" t="s">
        <v>37335</v>
      </c>
      <c r="AE8101" t="s">
        <v>4655</v>
      </c>
      <c r="AF8101" t="s">
        <v>4563</v>
      </c>
      <c r="AG8101" t="s">
        <v>4564</v>
      </c>
      <c r="AH8101">
        <v>89506</v>
      </c>
      <c r="AI8101" t="s">
        <v>4202</v>
      </c>
      <c r="AJ8101" t="s">
        <v>4180</v>
      </c>
      <c r="AK8101" t="s">
        <v>37337</v>
      </c>
      <c r="AL8101" s="13" t="s">
        <v>1901</v>
      </c>
      <c r="AM8101" s="14">
        <v>1</v>
      </c>
      <c r="AN8101" s="15" t="s">
        <v>1346</v>
      </c>
    </row>
    <row r="8102" spans="1:40" x14ac:dyDescent="0.3">
      <c r="A8102" s="10" t="str">
        <f>HYPERLINK("http://www.washoecounty.gov/assessor/cama/?parid=550-502-05&amp;CardNumber=1","550-502-05")</f>
        <v>550-502-05</v>
      </c>
      <c r="B8102" t="s">
        <v>4655</v>
      </c>
      <c r="C8102" t="s">
        <v>37338</v>
      </c>
      <c r="D8102" s="1">
        <v>40519</v>
      </c>
      <c r="E8102" s="2">
        <v>170000</v>
      </c>
      <c r="F8102" t="s">
        <v>4567</v>
      </c>
      <c r="G8102" s="17" t="str">
        <f>HYPERLINK("https://www.washoecounty.gov/assessor/cama/?command=sales&amp;parid=55050205","3950484")</f>
        <v>3950484</v>
      </c>
      <c r="H8102" t="s">
        <v>1254</v>
      </c>
      <c r="I8102">
        <v>2003</v>
      </c>
      <c r="J8102">
        <v>2003</v>
      </c>
      <c r="K8102" t="s">
        <v>4554</v>
      </c>
      <c r="L8102" t="s">
        <v>3974</v>
      </c>
      <c r="M8102" s="2">
        <v>2699</v>
      </c>
      <c r="N8102" t="s">
        <v>4048</v>
      </c>
      <c r="O8102">
        <v>4</v>
      </c>
      <c r="P8102">
        <v>2</v>
      </c>
      <c r="Q8102">
        <v>1</v>
      </c>
      <c r="R8102" t="s">
        <v>5281</v>
      </c>
      <c r="S8102" t="s">
        <v>4558</v>
      </c>
      <c r="T8102" t="s">
        <v>4559</v>
      </c>
      <c r="U8102" t="s">
        <v>5631</v>
      </c>
      <c r="V8102" s="2">
        <v>719</v>
      </c>
      <c r="W8102" t="s">
        <v>4655</v>
      </c>
      <c r="X8102" s="2">
        <v>0</v>
      </c>
      <c r="Y8102">
        <v>20</v>
      </c>
      <c r="Z8102" t="s">
        <v>1491</v>
      </c>
      <c r="AA8102" s="3">
        <v>0.158195585012436</v>
      </c>
      <c r="AB8102" t="s">
        <v>4075</v>
      </c>
      <c r="AC8102" t="s">
        <v>4575</v>
      </c>
      <c r="AD8102" t="s">
        <v>3269</v>
      </c>
      <c r="AE8102" t="s">
        <v>4655</v>
      </c>
      <c r="AF8102" t="s">
        <v>4563</v>
      </c>
      <c r="AG8102" t="s">
        <v>4564</v>
      </c>
      <c r="AH8102">
        <v>89511</v>
      </c>
      <c r="AI8102" t="s">
        <v>4655</v>
      </c>
      <c r="AJ8102" t="s">
        <v>1255</v>
      </c>
      <c r="AK8102" t="s">
        <v>37339</v>
      </c>
      <c r="AL8102" s="13" t="s">
        <v>1901</v>
      </c>
      <c r="AM8102">
        <v>1</v>
      </c>
      <c r="AN8102" s="15" t="s">
        <v>1346</v>
      </c>
    </row>
    <row r="8103" spans="1:40" x14ac:dyDescent="0.3">
      <c r="A8103" s="10" t="str">
        <f>HYPERLINK("http://www.washoecounty.gov/assessor/cama/?parid=550-502-12&amp;CardNumber=1","550-502-12")</f>
        <v>550-502-12</v>
      </c>
      <c r="B8103" t="s">
        <v>4655</v>
      </c>
      <c r="C8103" t="s">
        <v>37340</v>
      </c>
      <c r="D8103" s="1">
        <v>40233</v>
      </c>
      <c r="E8103" s="2">
        <v>140000</v>
      </c>
      <c r="F8103" t="s">
        <v>4567</v>
      </c>
      <c r="G8103" s="17" t="str">
        <f>HYPERLINK("https://www.washoecounty.gov/assessor/cama/?command=sales&amp;parid=55050212","3852348")</f>
        <v>3852348</v>
      </c>
      <c r="H8103" t="s">
        <v>1254</v>
      </c>
      <c r="I8103">
        <v>2004</v>
      </c>
      <c r="J8103">
        <v>2004</v>
      </c>
      <c r="K8103" t="s">
        <v>4554</v>
      </c>
      <c r="L8103" t="s">
        <v>4555</v>
      </c>
      <c r="M8103" s="2">
        <v>1648</v>
      </c>
      <c r="N8103" t="s">
        <v>4048</v>
      </c>
      <c r="O8103">
        <v>3</v>
      </c>
      <c r="P8103">
        <v>2</v>
      </c>
      <c r="Q8103">
        <v>0</v>
      </c>
      <c r="R8103" t="s">
        <v>5281</v>
      </c>
      <c r="S8103" t="s">
        <v>4558</v>
      </c>
      <c r="T8103" t="s">
        <v>4559</v>
      </c>
      <c r="U8103" t="s">
        <v>4560</v>
      </c>
      <c r="V8103" s="2">
        <v>616</v>
      </c>
      <c r="W8103" t="s">
        <v>4655</v>
      </c>
      <c r="X8103" s="2">
        <v>0</v>
      </c>
      <c r="Y8103">
        <v>20</v>
      </c>
      <c r="Z8103" t="s">
        <v>1491</v>
      </c>
      <c r="AA8103" s="3">
        <v>0.143342509865761</v>
      </c>
      <c r="AB8103" t="s">
        <v>37341</v>
      </c>
      <c r="AC8103" t="s">
        <v>4575</v>
      </c>
      <c r="AD8103" t="s">
        <v>37342</v>
      </c>
      <c r="AE8103" t="s">
        <v>4655</v>
      </c>
      <c r="AF8103" t="s">
        <v>4563</v>
      </c>
      <c r="AG8103" t="s">
        <v>4564</v>
      </c>
      <c r="AH8103">
        <v>89506</v>
      </c>
      <c r="AI8103" t="s">
        <v>37343</v>
      </c>
      <c r="AJ8103" t="s">
        <v>1255</v>
      </c>
      <c r="AK8103" t="s">
        <v>37344</v>
      </c>
      <c r="AL8103" s="13" t="s">
        <v>1901</v>
      </c>
      <c r="AM8103">
        <v>1</v>
      </c>
      <c r="AN8103" s="15" t="s">
        <v>1346</v>
      </c>
    </row>
    <row r="8104" spans="1:40" x14ac:dyDescent="0.3">
      <c r="A8104" s="10" t="str">
        <f>HYPERLINK("http://www.washoecounty.gov/assessor/cama/?parid=550-502-17&amp;CardNumber=1","550-502-17")</f>
        <v>550-502-17</v>
      </c>
      <c r="B8104" t="s">
        <v>4655</v>
      </c>
      <c r="C8104" t="s">
        <v>37345</v>
      </c>
      <c r="D8104" s="1">
        <v>40242</v>
      </c>
      <c r="E8104" s="2">
        <v>165000</v>
      </c>
      <c r="F8104" t="s">
        <v>4553</v>
      </c>
      <c r="G8104" s="17" t="str">
        <f>HYPERLINK("https://www.washoecounty.gov/assessor/cama/?command=sales&amp;parid=55050217","3856435")</f>
        <v>3856435</v>
      </c>
      <c r="H8104" t="s">
        <v>1254</v>
      </c>
      <c r="I8104">
        <v>2004</v>
      </c>
      <c r="J8104">
        <v>2004</v>
      </c>
      <c r="K8104" t="s">
        <v>4554</v>
      </c>
      <c r="L8104" t="s">
        <v>3974</v>
      </c>
      <c r="M8104" s="2">
        <v>2699</v>
      </c>
      <c r="N8104" t="s">
        <v>4048</v>
      </c>
      <c r="O8104">
        <v>4</v>
      </c>
      <c r="P8104">
        <v>2</v>
      </c>
      <c r="Q8104">
        <v>1</v>
      </c>
      <c r="R8104" t="s">
        <v>4557</v>
      </c>
      <c r="S8104" t="s">
        <v>4558</v>
      </c>
      <c r="T8104" t="s">
        <v>4559</v>
      </c>
      <c r="U8104" t="s">
        <v>5631</v>
      </c>
      <c r="V8104" s="2">
        <v>719</v>
      </c>
      <c r="W8104" t="s">
        <v>4655</v>
      </c>
      <c r="X8104" s="2">
        <v>0</v>
      </c>
      <c r="Y8104">
        <v>20</v>
      </c>
      <c r="Z8104" t="s">
        <v>1491</v>
      </c>
      <c r="AA8104" s="3">
        <v>0.21967400610446899</v>
      </c>
      <c r="AB8104" t="s">
        <v>37346</v>
      </c>
      <c r="AC8104" t="s">
        <v>4562</v>
      </c>
      <c r="AD8104" t="s">
        <v>37345</v>
      </c>
      <c r="AE8104" t="s">
        <v>4655</v>
      </c>
      <c r="AF8104" t="s">
        <v>4563</v>
      </c>
      <c r="AG8104" t="s">
        <v>4564</v>
      </c>
      <c r="AH8104">
        <v>89506</v>
      </c>
      <c r="AI8104" t="s">
        <v>2177</v>
      </c>
      <c r="AJ8104" t="s">
        <v>4571</v>
      </c>
      <c r="AK8104" t="s">
        <v>37347</v>
      </c>
      <c r="AL8104" s="13" t="s">
        <v>1901</v>
      </c>
      <c r="AM8104">
        <v>1</v>
      </c>
      <c r="AN8104" s="15" t="s">
        <v>1346</v>
      </c>
    </row>
    <row r="8105" spans="1:40" x14ac:dyDescent="0.3">
      <c r="A8105" s="10" t="str">
        <f>HYPERLINK("http://www.washoecounty.gov/assessor/cama/?parid=550-503-15&amp;CardNumber=1","550-503-15")</f>
        <v>550-503-15</v>
      </c>
      <c r="B8105" t="s">
        <v>4655</v>
      </c>
      <c r="C8105" t="s">
        <v>37348</v>
      </c>
      <c r="D8105" s="1">
        <v>40382</v>
      </c>
      <c r="E8105" s="2">
        <v>135000</v>
      </c>
      <c r="F8105" t="s">
        <v>4553</v>
      </c>
      <c r="G8105" s="17" t="str">
        <f>HYPERLINK("https://www.washoecounty.gov/assessor/cama/?command=sales&amp;parid=55050315","3904454")</f>
        <v>3904454</v>
      </c>
      <c r="H8105" t="s">
        <v>1254</v>
      </c>
      <c r="I8105">
        <v>2003</v>
      </c>
      <c r="J8105">
        <v>2003</v>
      </c>
      <c r="K8105" t="s">
        <v>4554</v>
      </c>
      <c r="L8105" t="s">
        <v>4555</v>
      </c>
      <c r="M8105" s="2">
        <v>1844</v>
      </c>
      <c r="N8105" t="s">
        <v>4048</v>
      </c>
      <c r="O8105">
        <v>4</v>
      </c>
      <c r="P8105">
        <v>2</v>
      </c>
      <c r="Q8105">
        <v>0</v>
      </c>
      <c r="R8105" t="s">
        <v>5281</v>
      </c>
      <c r="S8105" t="s">
        <v>4558</v>
      </c>
      <c r="T8105" t="s">
        <v>4559</v>
      </c>
      <c r="U8105" t="s">
        <v>4560</v>
      </c>
      <c r="V8105" s="2">
        <v>420</v>
      </c>
      <c r="W8105" t="s">
        <v>4655</v>
      </c>
      <c r="X8105" s="2">
        <v>0</v>
      </c>
      <c r="Y8105">
        <v>20</v>
      </c>
      <c r="Z8105" t="s">
        <v>1491</v>
      </c>
      <c r="AA8105" s="3">
        <v>0.17490817606449099</v>
      </c>
      <c r="AB8105" t="s">
        <v>37349</v>
      </c>
      <c r="AC8105" t="s">
        <v>4562</v>
      </c>
      <c r="AD8105" t="s">
        <v>37348</v>
      </c>
      <c r="AE8105" t="s">
        <v>4655</v>
      </c>
      <c r="AF8105" t="s">
        <v>4563</v>
      </c>
      <c r="AG8105" t="s">
        <v>4564</v>
      </c>
      <c r="AH8105">
        <v>89506</v>
      </c>
      <c r="AI8105" t="s">
        <v>4503</v>
      </c>
      <c r="AJ8105" t="s">
        <v>1255</v>
      </c>
      <c r="AK8105" t="s">
        <v>37350</v>
      </c>
      <c r="AL8105" s="13" t="s">
        <v>1901</v>
      </c>
      <c r="AM8105">
        <v>1</v>
      </c>
      <c r="AN8105" s="15" t="s">
        <v>1346</v>
      </c>
    </row>
    <row r="8106" spans="1:40" x14ac:dyDescent="0.3">
      <c r="A8106" s="10" t="str">
        <f>HYPERLINK("http://www.washoecounty.gov/assessor/cama/?parid=550-511-07&amp;CardNumber=1","550-511-07")</f>
        <v>550-511-07</v>
      </c>
      <c r="B8106" t="s">
        <v>4655</v>
      </c>
      <c r="C8106" t="s">
        <v>37351</v>
      </c>
      <c r="D8106" s="1">
        <v>40326</v>
      </c>
      <c r="E8106" s="2">
        <v>157000</v>
      </c>
      <c r="F8106" t="s">
        <v>4553</v>
      </c>
      <c r="G8106" s="17" t="str">
        <f>HYPERLINK("https://www.washoecounty.gov/assessor/cama/?command=sales&amp;parid=55051107","3886733")</f>
        <v>3886733</v>
      </c>
      <c r="H8106" t="s">
        <v>4107</v>
      </c>
      <c r="I8106">
        <v>2004</v>
      </c>
      <c r="J8106">
        <v>2004</v>
      </c>
      <c r="K8106" t="s">
        <v>4554</v>
      </c>
      <c r="L8106" t="s">
        <v>4555</v>
      </c>
      <c r="M8106" s="2">
        <v>1844</v>
      </c>
      <c r="N8106" t="s">
        <v>4048</v>
      </c>
      <c r="O8106">
        <v>4</v>
      </c>
      <c r="P8106">
        <v>2</v>
      </c>
      <c r="Q8106">
        <v>0</v>
      </c>
      <c r="R8106" t="s">
        <v>5281</v>
      </c>
      <c r="S8106" t="s">
        <v>4558</v>
      </c>
      <c r="T8106" t="s">
        <v>4559</v>
      </c>
      <c r="U8106" t="s">
        <v>4560</v>
      </c>
      <c r="V8106" s="2">
        <v>420</v>
      </c>
      <c r="W8106" t="s">
        <v>4655</v>
      </c>
      <c r="X8106" s="2">
        <v>0</v>
      </c>
      <c r="Y8106">
        <v>20</v>
      </c>
      <c r="Z8106" t="s">
        <v>1491</v>
      </c>
      <c r="AA8106" s="3">
        <v>0.17566575109958599</v>
      </c>
      <c r="AB8106" t="s">
        <v>37352</v>
      </c>
      <c r="AC8106" t="s">
        <v>4562</v>
      </c>
      <c r="AD8106" t="s">
        <v>37353</v>
      </c>
      <c r="AE8106" t="s">
        <v>4655</v>
      </c>
      <c r="AF8106" t="s">
        <v>4563</v>
      </c>
      <c r="AG8106" t="s">
        <v>4564</v>
      </c>
      <c r="AH8106">
        <v>89506</v>
      </c>
      <c r="AI8106" t="s">
        <v>4503</v>
      </c>
      <c r="AJ8106" t="s">
        <v>1930</v>
      </c>
      <c r="AK8106" t="s">
        <v>37354</v>
      </c>
      <c r="AL8106" s="13" t="s">
        <v>1901</v>
      </c>
      <c r="AM8106" s="14">
        <v>1</v>
      </c>
      <c r="AN8106" s="15" t="s">
        <v>1346</v>
      </c>
    </row>
    <row r="8107" spans="1:40" x14ac:dyDescent="0.3">
      <c r="A8107" s="10" t="str">
        <f>HYPERLINK("http://www.washoecounty.gov/assessor/cama/?parid=550-512-13&amp;CardNumber=1","550-512-13")</f>
        <v>550-512-13</v>
      </c>
      <c r="B8107" t="s">
        <v>4655</v>
      </c>
      <c r="C8107" t="s">
        <v>37355</v>
      </c>
      <c r="D8107" s="1">
        <v>40477</v>
      </c>
      <c r="E8107" s="2">
        <v>129900</v>
      </c>
      <c r="F8107" t="s">
        <v>4567</v>
      </c>
      <c r="G8107" s="17" t="str">
        <f>HYPERLINK("https://www.washoecounty.gov/assessor/cama/?command=sales&amp;parid=55051213","3936484")</f>
        <v>3936484</v>
      </c>
      <c r="H8107" t="s">
        <v>4107</v>
      </c>
      <c r="I8107">
        <v>2004</v>
      </c>
      <c r="J8107">
        <v>2004</v>
      </c>
      <c r="K8107" t="s">
        <v>4554</v>
      </c>
      <c r="L8107" t="s">
        <v>4555</v>
      </c>
      <c r="M8107" s="2">
        <v>1530</v>
      </c>
      <c r="N8107" t="s">
        <v>4048</v>
      </c>
      <c r="O8107">
        <v>4</v>
      </c>
      <c r="P8107">
        <v>2</v>
      </c>
      <c r="Q8107">
        <v>0</v>
      </c>
      <c r="R8107" t="s">
        <v>5281</v>
      </c>
      <c r="S8107" t="s">
        <v>4558</v>
      </c>
      <c r="T8107" t="s">
        <v>4559</v>
      </c>
      <c r="U8107" t="s">
        <v>4560</v>
      </c>
      <c r="V8107" s="2">
        <v>412</v>
      </c>
      <c r="W8107" t="s">
        <v>4655</v>
      </c>
      <c r="X8107" s="2">
        <v>0</v>
      </c>
      <c r="Y8107">
        <v>20</v>
      </c>
      <c r="Z8107" t="s">
        <v>1491</v>
      </c>
      <c r="AA8107" s="3">
        <v>0.17837466299533844</v>
      </c>
      <c r="AB8107" t="s">
        <v>4673</v>
      </c>
      <c r="AC8107" t="s">
        <v>4562</v>
      </c>
      <c r="AD8107" t="s">
        <v>3093</v>
      </c>
      <c r="AE8107" t="s">
        <v>4655</v>
      </c>
      <c r="AF8107" t="s">
        <v>4563</v>
      </c>
      <c r="AG8107" t="s">
        <v>4564</v>
      </c>
      <c r="AH8107">
        <v>89512</v>
      </c>
      <c r="AI8107" t="s">
        <v>37356</v>
      </c>
      <c r="AJ8107" t="s">
        <v>1930</v>
      </c>
      <c r="AK8107" t="s">
        <v>37357</v>
      </c>
      <c r="AL8107" s="13" t="s">
        <v>1901</v>
      </c>
      <c r="AM8107">
        <v>1</v>
      </c>
      <c r="AN8107" s="15" t="s">
        <v>1346</v>
      </c>
    </row>
    <row r="8108" spans="1:40" x14ac:dyDescent="0.3">
      <c r="A8108" s="10" t="str">
        <f>HYPERLINK("http://www.washoecounty.gov/assessor/cama/?parid=550-512-19&amp;CardNumber=1","550-512-19")</f>
        <v>550-512-19</v>
      </c>
      <c r="B8108" t="s">
        <v>4655</v>
      </c>
      <c r="C8108" t="s">
        <v>37358</v>
      </c>
      <c r="D8108" s="1">
        <v>40358</v>
      </c>
      <c r="E8108" s="2">
        <v>170000</v>
      </c>
      <c r="F8108" t="s">
        <v>4567</v>
      </c>
      <c r="G8108" s="17" t="str">
        <f>HYPERLINK("https://www.washoecounty.gov/assessor/cama/?command=sales&amp;parid=55051219","3896815")</f>
        <v>3896815</v>
      </c>
      <c r="H8108" t="s">
        <v>4107</v>
      </c>
      <c r="I8108">
        <v>2004</v>
      </c>
      <c r="J8108">
        <v>2004</v>
      </c>
      <c r="K8108" t="s">
        <v>4554</v>
      </c>
      <c r="L8108" t="s">
        <v>4555</v>
      </c>
      <c r="M8108" s="2">
        <v>1648</v>
      </c>
      <c r="N8108" t="s">
        <v>4048</v>
      </c>
      <c r="O8108">
        <v>3</v>
      </c>
      <c r="P8108">
        <v>2</v>
      </c>
      <c r="Q8108">
        <v>0</v>
      </c>
      <c r="R8108" t="s">
        <v>5281</v>
      </c>
      <c r="S8108" t="s">
        <v>4558</v>
      </c>
      <c r="T8108" t="s">
        <v>4559</v>
      </c>
      <c r="U8108" t="s">
        <v>4560</v>
      </c>
      <c r="V8108" s="2">
        <v>616</v>
      </c>
      <c r="W8108" t="s">
        <v>4655</v>
      </c>
      <c r="X8108" s="2">
        <v>0</v>
      </c>
      <c r="Y8108">
        <v>20</v>
      </c>
      <c r="Z8108" t="s">
        <v>1491</v>
      </c>
      <c r="AA8108" s="3">
        <v>0.14901284873485601</v>
      </c>
      <c r="AB8108" t="s">
        <v>37359</v>
      </c>
      <c r="AC8108" t="s">
        <v>4562</v>
      </c>
      <c r="AD8108" t="s">
        <v>37358</v>
      </c>
      <c r="AE8108" t="s">
        <v>4655</v>
      </c>
      <c r="AF8108" t="s">
        <v>4563</v>
      </c>
      <c r="AG8108" t="s">
        <v>4564</v>
      </c>
      <c r="AH8108">
        <v>89506</v>
      </c>
      <c r="AI8108" t="s">
        <v>4655</v>
      </c>
      <c r="AJ8108" t="s">
        <v>1930</v>
      </c>
      <c r="AK8108" t="s">
        <v>37360</v>
      </c>
      <c r="AL8108" s="13" t="s">
        <v>1901</v>
      </c>
      <c r="AM8108">
        <v>1</v>
      </c>
      <c r="AN8108" s="15" t="s">
        <v>1346</v>
      </c>
    </row>
    <row r="8109" spans="1:40" x14ac:dyDescent="0.3">
      <c r="A8109" s="10" t="str">
        <f>HYPERLINK("http://www.washoecounty.gov/assessor/cama/?parid=550-523-04&amp;CardNumber=1","550-523-04")</f>
        <v>550-523-04</v>
      </c>
      <c r="B8109" t="s">
        <v>4655</v>
      </c>
      <c r="C8109" t="s">
        <v>37361</v>
      </c>
      <c r="D8109" s="1">
        <v>40284</v>
      </c>
      <c r="E8109" s="2">
        <v>105000</v>
      </c>
      <c r="F8109" t="s">
        <v>4567</v>
      </c>
      <c r="G8109" s="17" t="str">
        <f>HYPERLINK("https://www.washoecounty.gov/assessor/cama/?command=sales&amp;parid=55052304","3871931")</f>
        <v>3871931</v>
      </c>
      <c r="H8109" t="s">
        <v>1792</v>
      </c>
      <c r="I8109">
        <v>2004</v>
      </c>
      <c r="J8109">
        <v>2004</v>
      </c>
      <c r="K8109" t="s">
        <v>4897</v>
      </c>
      <c r="L8109" t="s">
        <v>3974</v>
      </c>
      <c r="M8109" s="2">
        <v>1392</v>
      </c>
      <c r="N8109" t="s">
        <v>4048</v>
      </c>
      <c r="O8109">
        <v>3</v>
      </c>
      <c r="P8109">
        <v>2</v>
      </c>
      <c r="Q8109">
        <v>1</v>
      </c>
      <c r="R8109" t="s">
        <v>4557</v>
      </c>
      <c r="S8109" t="s">
        <v>4558</v>
      </c>
      <c r="T8109" t="s">
        <v>4559</v>
      </c>
      <c r="U8109" t="s">
        <v>5631</v>
      </c>
      <c r="V8109" s="2">
        <v>420</v>
      </c>
      <c r="W8109" t="s">
        <v>4655</v>
      </c>
      <c r="X8109" s="2">
        <v>0</v>
      </c>
      <c r="Y8109">
        <v>20</v>
      </c>
      <c r="Z8109" t="s">
        <v>1491</v>
      </c>
      <c r="AA8109" s="3">
        <v>5.6198347359895699E-2</v>
      </c>
      <c r="AB8109" t="s">
        <v>37362</v>
      </c>
      <c r="AC8109" t="s">
        <v>4562</v>
      </c>
      <c r="AD8109" t="s">
        <v>37363</v>
      </c>
      <c r="AE8109" t="s">
        <v>4655</v>
      </c>
      <c r="AF8109" t="s">
        <v>4563</v>
      </c>
      <c r="AG8109" t="s">
        <v>4564</v>
      </c>
      <c r="AH8109">
        <v>89506</v>
      </c>
      <c r="AI8109" t="s">
        <v>37364</v>
      </c>
      <c r="AJ8109" t="s">
        <v>1793</v>
      </c>
      <c r="AK8109" t="s">
        <v>37365</v>
      </c>
      <c r="AL8109" s="13" t="s">
        <v>1901</v>
      </c>
      <c r="AM8109">
        <v>1</v>
      </c>
      <c r="AN8109" s="15" t="s">
        <v>3852</v>
      </c>
    </row>
    <row r="8110" spans="1:40" x14ac:dyDescent="0.3">
      <c r="A8110" s="10" t="str">
        <f>HYPERLINK("http://www.washoecounty.gov/assessor/cama/?parid=550-523-06&amp;CardNumber=1","550-523-06")</f>
        <v>550-523-06</v>
      </c>
      <c r="B8110" t="s">
        <v>4655</v>
      </c>
      <c r="C8110" t="s">
        <v>37366</v>
      </c>
      <c r="D8110" s="1">
        <v>40358</v>
      </c>
      <c r="E8110" s="2">
        <v>89000</v>
      </c>
      <c r="F8110" t="s">
        <v>4553</v>
      </c>
      <c r="G8110" s="17" t="str">
        <f>HYPERLINK("https://www.washoecounty.gov/assessor/cama/?command=sales&amp;parid=55052306","3896716")</f>
        <v>3896716</v>
      </c>
      <c r="H8110" t="s">
        <v>1792</v>
      </c>
      <c r="I8110">
        <v>2004</v>
      </c>
      <c r="J8110">
        <v>2004</v>
      </c>
      <c r="K8110" t="s">
        <v>4897</v>
      </c>
      <c r="L8110" t="s">
        <v>3974</v>
      </c>
      <c r="M8110" s="2">
        <v>1226</v>
      </c>
      <c r="N8110" t="s">
        <v>4048</v>
      </c>
      <c r="O8110">
        <v>3</v>
      </c>
      <c r="P8110">
        <v>2</v>
      </c>
      <c r="Q8110">
        <v>1</v>
      </c>
      <c r="R8110" t="s">
        <v>4557</v>
      </c>
      <c r="S8110" t="s">
        <v>4558</v>
      </c>
      <c r="T8110" t="s">
        <v>4559</v>
      </c>
      <c r="U8110" t="s">
        <v>5631</v>
      </c>
      <c r="V8110" s="2">
        <v>425</v>
      </c>
      <c r="W8110" t="s">
        <v>4655</v>
      </c>
      <c r="X8110" s="2">
        <v>0</v>
      </c>
      <c r="Y8110">
        <v>20</v>
      </c>
      <c r="Z8110" t="s">
        <v>1491</v>
      </c>
      <c r="AA8110" s="3">
        <v>8.9416898787021595E-2</v>
      </c>
      <c r="AB8110" t="s">
        <v>37367</v>
      </c>
      <c r="AC8110" t="s">
        <v>4562</v>
      </c>
      <c r="AD8110" t="s">
        <v>37366</v>
      </c>
      <c r="AE8110" t="s">
        <v>4655</v>
      </c>
      <c r="AF8110" t="s">
        <v>4563</v>
      </c>
      <c r="AG8110" t="s">
        <v>4564</v>
      </c>
      <c r="AH8110">
        <v>89506</v>
      </c>
      <c r="AI8110" t="s">
        <v>4848</v>
      </c>
      <c r="AJ8110" t="s">
        <v>1793</v>
      </c>
      <c r="AK8110" t="s">
        <v>37368</v>
      </c>
      <c r="AL8110" s="13" t="s">
        <v>1901</v>
      </c>
      <c r="AM8110">
        <v>1</v>
      </c>
      <c r="AN8110" s="15" t="s">
        <v>3852</v>
      </c>
    </row>
    <row r="8111" spans="1:40" x14ac:dyDescent="0.3">
      <c r="A8111" s="10" t="str">
        <f>HYPERLINK("http://www.washoecounty.gov/assessor/cama/?parid=550-523-09&amp;CardNumber=1","550-523-09")</f>
        <v>550-523-09</v>
      </c>
      <c r="B8111" t="s">
        <v>4655</v>
      </c>
      <c r="C8111" t="s">
        <v>37369</v>
      </c>
      <c r="D8111" s="1">
        <v>40408</v>
      </c>
      <c r="E8111" s="2">
        <v>87500</v>
      </c>
      <c r="F8111" t="s">
        <v>4567</v>
      </c>
      <c r="G8111" s="17" t="str">
        <f>HYPERLINK("https://www.washoecounty.gov/assessor/cama/?command=sales&amp;parid=55052309","3913121")</f>
        <v>3913121</v>
      </c>
      <c r="H8111" t="s">
        <v>1792</v>
      </c>
      <c r="I8111">
        <v>2004</v>
      </c>
      <c r="J8111">
        <v>2004</v>
      </c>
      <c r="K8111" t="s">
        <v>4897</v>
      </c>
      <c r="L8111" t="s">
        <v>3974</v>
      </c>
      <c r="M8111" s="2">
        <v>1120</v>
      </c>
      <c r="N8111" t="s">
        <v>4048</v>
      </c>
      <c r="O8111">
        <v>2</v>
      </c>
      <c r="P8111">
        <v>1</v>
      </c>
      <c r="Q8111">
        <v>1</v>
      </c>
      <c r="R8111" t="s">
        <v>4557</v>
      </c>
      <c r="S8111" t="s">
        <v>4558</v>
      </c>
      <c r="T8111" t="s">
        <v>4559</v>
      </c>
      <c r="U8111" t="s">
        <v>5631</v>
      </c>
      <c r="V8111" s="2">
        <v>231</v>
      </c>
      <c r="W8111" t="s">
        <v>4655</v>
      </c>
      <c r="X8111" s="2">
        <v>0</v>
      </c>
      <c r="Y8111">
        <v>20</v>
      </c>
      <c r="Z8111" t="s">
        <v>1491</v>
      </c>
      <c r="AA8111" s="3">
        <v>6.3774101436138195E-2</v>
      </c>
      <c r="AB8111" t="s">
        <v>37370</v>
      </c>
      <c r="AC8111" t="s">
        <v>4562</v>
      </c>
      <c r="AD8111" t="s">
        <v>37369</v>
      </c>
      <c r="AE8111" t="s">
        <v>4655</v>
      </c>
      <c r="AF8111" t="s">
        <v>4563</v>
      </c>
      <c r="AG8111" t="s">
        <v>4564</v>
      </c>
      <c r="AH8111">
        <v>89506</v>
      </c>
      <c r="AI8111" t="s">
        <v>37371</v>
      </c>
      <c r="AJ8111" t="s">
        <v>1793</v>
      </c>
      <c r="AK8111" t="s">
        <v>37372</v>
      </c>
      <c r="AL8111" s="13" t="s">
        <v>1901</v>
      </c>
      <c r="AM8111">
        <v>1</v>
      </c>
      <c r="AN8111" s="15" t="s">
        <v>3852</v>
      </c>
    </row>
    <row r="8112" spans="1:40" x14ac:dyDescent="0.3">
      <c r="A8112" s="10" t="str">
        <f>HYPERLINK("http://www.washoecounty.gov/assessor/cama/?parid=550-531-06&amp;CardNumber=1","550-531-06")</f>
        <v>550-531-06</v>
      </c>
      <c r="B8112" t="s">
        <v>4655</v>
      </c>
      <c r="C8112" t="s">
        <v>37373</v>
      </c>
      <c r="D8112" s="1">
        <v>40200</v>
      </c>
      <c r="E8112" s="2">
        <v>105000</v>
      </c>
      <c r="F8112" t="s">
        <v>4567</v>
      </c>
      <c r="G8112" s="17" t="str">
        <f>HYPERLINK("https://www.washoecounty.gov/assessor/cama/?command=sales&amp;parid=55053106","3841862")</f>
        <v>3841862</v>
      </c>
      <c r="H8112" t="s">
        <v>1792</v>
      </c>
      <c r="I8112">
        <v>2004</v>
      </c>
      <c r="J8112">
        <v>2004</v>
      </c>
      <c r="K8112" t="s">
        <v>4897</v>
      </c>
      <c r="L8112" t="s">
        <v>3974</v>
      </c>
      <c r="M8112" s="2">
        <v>1392</v>
      </c>
      <c r="N8112" t="s">
        <v>4048</v>
      </c>
      <c r="O8112">
        <v>3</v>
      </c>
      <c r="P8112">
        <v>2</v>
      </c>
      <c r="Q8112">
        <v>1</v>
      </c>
      <c r="R8112" t="s">
        <v>4557</v>
      </c>
      <c r="S8112" t="s">
        <v>4558</v>
      </c>
      <c r="T8112" t="s">
        <v>4559</v>
      </c>
      <c r="U8112" t="s">
        <v>5631</v>
      </c>
      <c r="V8112" s="2">
        <v>420</v>
      </c>
      <c r="W8112" t="s">
        <v>4655</v>
      </c>
      <c r="X8112" s="2">
        <v>0</v>
      </c>
      <c r="Y8112">
        <v>20</v>
      </c>
      <c r="Z8112" t="s">
        <v>1491</v>
      </c>
      <c r="AA8112" s="3">
        <v>6.4370982348918901E-2</v>
      </c>
      <c r="AB8112" t="s">
        <v>37374</v>
      </c>
      <c r="AC8112" t="s">
        <v>4562</v>
      </c>
      <c r="AD8112" t="s">
        <v>37373</v>
      </c>
      <c r="AE8112" t="s">
        <v>4655</v>
      </c>
      <c r="AF8112" t="s">
        <v>4563</v>
      </c>
      <c r="AG8112" t="s">
        <v>4564</v>
      </c>
      <c r="AH8112">
        <v>89506</v>
      </c>
      <c r="AI8112" t="s">
        <v>37375</v>
      </c>
      <c r="AJ8112" t="s">
        <v>1793</v>
      </c>
      <c r="AK8112" t="s">
        <v>37376</v>
      </c>
      <c r="AL8112" s="13" t="s">
        <v>1901</v>
      </c>
      <c r="AM8112" s="14">
        <v>1</v>
      </c>
      <c r="AN8112" s="15" t="s">
        <v>3852</v>
      </c>
    </row>
    <row r="8113" spans="1:40" x14ac:dyDescent="0.3">
      <c r="A8113" s="10" t="str">
        <f>HYPERLINK("http://www.washoecounty.gov/assessor/cama/?parid=550-531-11&amp;CardNumber=1","550-531-11")</f>
        <v>550-531-11</v>
      </c>
      <c r="B8113" t="s">
        <v>4655</v>
      </c>
      <c r="C8113" t="s">
        <v>37377</v>
      </c>
      <c r="D8113" s="1">
        <v>40532</v>
      </c>
      <c r="E8113" s="2">
        <v>90000</v>
      </c>
      <c r="F8113" t="s">
        <v>4567</v>
      </c>
      <c r="G8113" s="17" t="str">
        <f>HYPERLINK("https://www.washoecounty.gov/assessor/cama/?command=sales&amp;parid=55053111","3955582")</f>
        <v>3955582</v>
      </c>
      <c r="H8113" t="s">
        <v>716</v>
      </c>
      <c r="I8113">
        <v>2004</v>
      </c>
      <c r="J8113">
        <v>2004</v>
      </c>
      <c r="K8113" t="s">
        <v>4897</v>
      </c>
      <c r="L8113" t="s">
        <v>3974</v>
      </c>
      <c r="M8113" s="2">
        <v>1226</v>
      </c>
      <c r="N8113" t="s">
        <v>4048</v>
      </c>
      <c r="O8113">
        <v>3</v>
      </c>
      <c r="P8113">
        <v>2</v>
      </c>
      <c r="Q8113">
        <v>1</v>
      </c>
      <c r="R8113" t="s">
        <v>4557</v>
      </c>
      <c r="S8113" t="s">
        <v>4558</v>
      </c>
      <c r="T8113" t="s">
        <v>4559</v>
      </c>
      <c r="U8113" t="s">
        <v>5631</v>
      </c>
      <c r="V8113" s="2">
        <v>425</v>
      </c>
      <c r="W8113" t="s">
        <v>4655</v>
      </c>
      <c r="X8113" s="2">
        <v>0</v>
      </c>
      <c r="Y8113">
        <v>20</v>
      </c>
      <c r="Z8113" t="s">
        <v>1491</v>
      </c>
      <c r="AA8113" s="3">
        <v>5.3971532732248299E-2</v>
      </c>
      <c r="AB8113" t="s">
        <v>37378</v>
      </c>
      <c r="AC8113" t="s">
        <v>4575</v>
      </c>
      <c r="AD8113" t="s">
        <v>37377</v>
      </c>
      <c r="AE8113" t="s">
        <v>4655</v>
      </c>
      <c r="AF8113" t="s">
        <v>4563</v>
      </c>
      <c r="AG8113" t="s">
        <v>4564</v>
      </c>
      <c r="AH8113">
        <v>89506</v>
      </c>
      <c r="AI8113" t="s">
        <v>37379</v>
      </c>
      <c r="AJ8113" t="s">
        <v>1793</v>
      </c>
      <c r="AK8113" t="s">
        <v>37380</v>
      </c>
      <c r="AL8113" s="13" t="s">
        <v>1901</v>
      </c>
      <c r="AM8113">
        <v>1</v>
      </c>
      <c r="AN8113" s="15" t="s">
        <v>3852</v>
      </c>
    </row>
    <row r="8114" spans="1:40" x14ac:dyDescent="0.3">
      <c r="A8114" s="10" t="str">
        <f>HYPERLINK("http://www.washoecounty.gov/assessor/cama/?parid=550-531-14&amp;CardNumber=1","550-531-14")</f>
        <v>550-531-14</v>
      </c>
      <c r="B8114" t="s">
        <v>4655</v>
      </c>
      <c r="C8114" t="s">
        <v>37381</v>
      </c>
      <c r="D8114" s="1">
        <v>40396</v>
      </c>
      <c r="E8114" s="2">
        <v>104000</v>
      </c>
      <c r="F8114" t="s">
        <v>4553</v>
      </c>
      <c r="G8114" s="17" t="str">
        <f>HYPERLINK("https://www.washoecounty.gov/assessor/cama/?command=sales&amp;parid=55053114","3909618")</f>
        <v>3909618</v>
      </c>
      <c r="H8114" t="s">
        <v>1792</v>
      </c>
      <c r="I8114">
        <v>2004</v>
      </c>
      <c r="J8114">
        <v>2004</v>
      </c>
      <c r="K8114" t="s">
        <v>4897</v>
      </c>
      <c r="L8114" t="s">
        <v>3974</v>
      </c>
      <c r="M8114" s="2">
        <v>1392</v>
      </c>
      <c r="N8114" t="s">
        <v>4048</v>
      </c>
      <c r="O8114">
        <v>3</v>
      </c>
      <c r="P8114">
        <v>2</v>
      </c>
      <c r="Q8114">
        <v>1</v>
      </c>
      <c r="R8114" t="s">
        <v>4557</v>
      </c>
      <c r="S8114" t="s">
        <v>4558</v>
      </c>
      <c r="T8114" t="s">
        <v>4559</v>
      </c>
      <c r="U8114" t="s">
        <v>5631</v>
      </c>
      <c r="V8114" s="2">
        <v>420</v>
      </c>
      <c r="W8114" t="s">
        <v>4655</v>
      </c>
      <c r="X8114" s="2">
        <v>0</v>
      </c>
      <c r="Y8114">
        <v>20</v>
      </c>
      <c r="Z8114" t="s">
        <v>1491</v>
      </c>
      <c r="AA8114" s="3">
        <v>6.3383840024471297E-2</v>
      </c>
      <c r="AB8114" t="s">
        <v>37382</v>
      </c>
      <c r="AC8114" t="s">
        <v>4562</v>
      </c>
      <c r="AD8114" t="s">
        <v>37381</v>
      </c>
      <c r="AE8114" t="s">
        <v>4655</v>
      </c>
      <c r="AF8114" t="s">
        <v>4563</v>
      </c>
      <c r="AG8114" t="s">
        <v>4564</v>
      </c>
      <c r="AH8114">
        <v>89506</v>
      </c>
      <c r="AI8114" t="s">
        <v>4655</v>
      </c>
      <c r="AJ8114" t="s">
        <v>1793</v>
      </c>
      <c r="AK8114" t="s">
        <v>37383</v>
      </c>
      <c r="AL8114" s="13" t="s">
        <v>1901</v>
      </c>
      <c r="AM8114">
        <v>1</v>
      </c>
      <c r="AN8114" s="15" t="s">
        <v>3852</v>
      </c>
    </row>
    <row r="8115" spans="1:40" x14ac:dyDescent="0.3">
      <c r="A8115" s="10" t="str">
        <f>HYPERLINK("http://www.washoecounty.gov/assessor/cama/?parid=550-531-15&amp;CardNumber=1","550-531-15")</f>
        <v>550-531-15</v>
      </c>
      <c r="B8115" t="s">
        <v>4655</v>
      </c>
      <c r="C8115" t="s">
        <v>37384</v>
      </c>
      <c r="D8115" s="1">
        <v>40514</v>
      </c>
      <c r="E8115" s="2">
        <v>83200</v>
      </c>
      <c r="F8115" t="s">
        <v>4553</v>
      </c>
      <c r="G8115" s="17" t="str">
        <f>HYPERLINK("https://www.washoecounty.gov/assessor/cama/?command=sales&amp;parid=55053115","3948727")</f>
        <v>3948727</v>
      </c>
      <c r="H8115" t="s">
        <v>716</v>
      </c>
      <c r="I8115">
        <v>2004</v>
      </c>
      <c r="J8115">
        <v>2004</v>
      </c>
      <c r="K8115" t="s">
        <v>4897</v>
      </c>
      <c r="L8115" t="s">
        <v>3974</v>
      </c>
      <c r="M8115" s="2">
        <v>1120</v>
      </c>
      <c r="N8115" t="s">
        <v>4048</v>
      </c>
      <c r="O8115">
        <v>2</v>
      </c>
      <c r="P8115">
        <v>1</v>
      </c>
      <c r="Q8115">
        <v>1</v>
      </c>
      <c r="R8115" t="s">
        <v>4557</v>
      </c>
      <c r="S8115" t="s">
        <v>4558</v>
      </c>
      <c r="T8115" t="s">
        <v>4559</v>
      </c>
      <c r="U8115" t="s">
        <v>5631</v>
      </c>
      <c r="V8115" s="2">
        <v>231</v>
      </c>
      <c r="W8115" t="s">
        <v>4655</v>
      </c>
      <c r="X8115" s="2">
        <v>0</v>
      </c>
      <c r="Y8115">
        <v>20</v>
      </c>
      <c r="Z8115" t="s">
        <v>1491</v>
      </c>
      <c r="AA8115" s="3">
        <v>5.7736456394195598E-2</v>
      </c>
      <c r="AB8115" t="s">
        <v>37385</v>
      </c>
      <c r="AC8115" t="s">
        <v>4562</v>
      </c>
      <c r="AD8115" t="s">
        <v>37386</v>
      </c>
      <c r="AE8115" t="s">
        <v>4655</v>
      </c>
      <c r="AF8115" t="s">
        <v>37387</v>
      </c>
      <c r="AG8115" t="s">
        <v>4584</v>
      </c>
      <c r="AH8115" t="s">
        <v>37388</v>
      </c>
      <c r="AI8115" t="s">
        <v>4045</v>
      </c>
      <c r="AJ8115" t="s">
        <v>1793</v>
      </c>
      <c r="AK8115" t="s">
        <v>37389</v>
      </c>
      <c r="AL8115" s="13" t="s">
        <v>1901</v>
      </c>
      <c r="AM8115">
        <v>1</v>
      </c>
      <c r="AN8115" s="15" t="s">
        <v>3852</v>
      </c>
    </row>
    <row r="8116" spans="1:40" x14ac:dyDescent="0.3">
      <c r="A8116" s="10" t="str">
        <f>HYPERLINK("http://www.washoecounty.gov/assessor/cama/?parid=550-552-03&amp;CardNumber=1","550-552-03")</f>
        <v>550-552-03</v>
      </c>
      <c r="B8116" t="s">
        <v>4655</v>
      </c>
      <c r="C8116" t="s">
        <v>37390</v>
      </c>
      <c r="D8116" s="1">
        <v>40185</v>
      </c>
      <c r="E8116" s="2">
        <v>85000</v>
      </c>
      <c r="F8116" t="s">
        <v>4567</v>
      </c>
      <c r="G8116" s="17" t="str">
        <f>HYPERLINK("https://www.washoecounty.gov/assessor/cama/?command=sales&amp;parid=55055203","3837278")</f>
        <v>3837278</v>
      </c>
      <c r="H8116" t="s">
        <v>4501</v>
      </c>
      <c r="I8116">
        <v>2005</v>
      </c>
      <c r="J8116">
        <v>2005</v>
      </c>
      <c r="K8116" t="s">
        <v>4897</v>
      </c>
      <c r="L8116" t="s">
        <v>3974</v>
      </c>
      <c r="M8116" s="2">
        <v>1120</v>
      </c>
      <c r="N8116" t="s">
        <v>4048</v>
      </c>
      <c r="O8116">
        <v>2</v>
      </c>
      <c r="P8116">
        <v>1</v>
      </c>
      <c r="Q8116">
        <v>1</v>
      </c>
      <c r="R8116" t="s">
        <v>5281</v>
      </c>
      <c r="S8116" t="s">
        <v>4558</v>
      </c>
      <c r="T8116" t="s">
        <v>4559</v>
      </c>
      <c r="U8116" t="s">
        <v>5631</v>
      </c>
      <c r="V8116" s="2">
        <v>231</v>
      </c>
      <c r="W8116" t="s">
        <v>4655</v>
      </c>
      <c r="X8116" s="2">
        <v>0</v>
      </c>
      <c r="Y8116">
        <v>20</v>
      </c>
      <c r="Z8116" t="s">
        <v>1491</v>
      </c>
      <c r="AA8116" s="3">
        <v>5.5096417665481602E-2</v>
      </c>
      <c r="AB8116" t="s">
        <v>37391</v>
      </c>
      <c r="AC8116" t="s">
        <v>4562</v>
      </c>
      <c r="AD8116" t="s">
        <v>37390</v>
      </c>
      <c r="AE8116" t="s">
        <v>4655</v>
      </c>
      <c r="AF8116" t="s">
        <v>4563</v>
      </c>
      <c r="AG8116" t="s">
        <v>4564</v>
      </c>
      <c r="AH8116">
        <v>89506</v>
      </c>
      <c r="AI8116" t="s">
        <v>37392</v>
      </c>
      <c r="AJ8116" t="s">
        <v>4502</v>
      </c>
      <c r="AK8116" t="s">
        <v>37393</v>
      </c>
      <c r="AL8116" s="13" t="s">
        <v>1901</v>
      </c>
      <c r="AM8116">
        <v>1</v>
      </c>
      <c r="AN8116" s="15" t="s">
        <v>3852</v>
      </c>
    </row>
    <row r="8117" spans="1:40" x14ac:dyDescent="0.3">
      <c r="A8117" s="10" t="str">
        <f>HYPERLINK("http://www.washoecounty.gov/assessor/cama/?parid=550-553-01&amp;CardNumber=1","550-553-01")</f>
        <v>550-553-01</v>
      </c>
      <c r="B8117" t="s">
        <v>4655</v>
      </c>
      <c r="C8117" t="s">
        <v>37394</v>
      </c>
      <c r="D8117" s="1">
        <v>40305</v>
      </c>
      <c r="E8117" s="2">
        <v>95000</v>
      </c>
      <c r="F8117" t="s">
        <v>4553</v>
      </c>
      <c r="G8117" s="17" t="str">
        <f>HYPERLINK("https://www.washoecounty.gov/assessor/cama/?command=sales&amp;parid=55055301","3879426")</f>
        <v>3879426</v>
      </c>
      <c r="H8117" t="s">
        <v>4501</v>
      </c>
      <c r="I8117">
        <v>2005</v>
      </c>
      <c r="J8117">
        <v>2005</v>
      </c>
      <c r="K8117" t="s">
        <v>4897</v>
      </c>
      <c r="L8117" t="s">
        <v>3974</v>
      </c>
      <c r="M8117" s="2">
        <v>1120</v>
      </c>
      <c r="N8117" t="s">
        <v>4048</v>
      </c>
      <c r="O8117">
        <v>2</v>
      </c>
      <c r="P8117">
        <v>1</v>
      </c>
      <c r="Q8117">
        <v>1</v>
      </c>
      <c r="R8117" t="s">
        <v>4557</v>
      </c>
      <c r="S8117" t="s">
        <v>4558</v>
      </c>
      <c r="T8117" t="s">
        <v>4559</v>
      </c>
      <c r="U8117" t="s">
        <v>5631</v>
      </c>
      <c r="V8117" s="2">
        <v>231</v>
      </c>
      <c r="W8117" t="s">
        <v>4655</v>
      </c>
      <c r="X8117" s="2">
        <v>0</v>
      </c>
      <c r="Y8117">
        <v>20</v>
      </c>
      <c r="Z8117" t="s">
        <v>1491</v>
      </c>
      <c r="AA8117" s="3">
        <v>5.56244254112244E-2</v>
      </c>
      <c r="AB8117" t="s">
        <v>37395</v>
      </c>
      <c r="AC8117" t="s">
        <v>4575</v>
      </c>
      <c r="AD8117" t="s">
        <v>37396</v>
      </c>
      <c r="AE8117" t="s">
        <v>4655</v>
      </c>
      <c r="AF8117" t="s">
        <v>4563</v>
      </c>
      <c r="AG8117" t="s">
        <v>4564</v>
      </c>
      <c r="AH8117">
        <v>89506</v>
      </c>
      <c r="AI8117" t="s">
        <v>4903</v>
      </c>
      <c r="AJ8117" t="s">
        <v>4502</v>
      </c>
      <c r="AK8117" t="s">
        <v>37397</v>
      </c>
      <c r="AL8117" s="13" t="s">
        <v>1901</v>
      </c>
      <c r="AM8117" s="14">
        <v>1</v>
      </c>
      <c r="AN8117" s="15" t="s">
        <v>3852</v>
      </c>
    </row>
    <row r="8118" spans="1:40" x14ac:dyDescent="0.3">
      <c r="A8118" s="10" t="str">
        <f>HYPERLINK("http://www.washoecounty.gov/assessor/cama/?parid=550-553-08&amp;CardNumber=1","550-553-08")</f>
        <v>550-553-08</v>
      </c>
      <c r="B8118" t="s">
        <v>4655</v>
      </c>
      <c r="C8118" t="s">
        <v>37398</v>
      </c>
      <c r="D8118" s="1">
        <v>40210</v>
      </c>
      <c r="E8118" s="2">
        <v>90000</v>
      </c>
      <c r="F8118" t="s">
        <v>4567</v>
      </c>
      <c r="G8118" s="17" t="str">
        <f>HYPERLINK("https://www.washoecounty.gov/assessor/cama/?command=sales&amp;parid=55055308","3844566")</f>
        <v>3844566</v>
      </c>
      <c r="H8118" t="s">
        <v>4501</v>
      </c>
      <c r="I8118">
        <v>2005</v>
      </c>
      <c r="J8118">
        <v>2005</v>
      </c>
      <c r="K8118" t="s">
        <v>4897</v>
      </c>
      <c r="L8118" t="s">
        <v>3974</v>
      </c>
      <c r="M8118" s="2">
        <v>1120</v>
      </c>
      <c r="N8118" t="s">
        <v>4048</v>
      </c>
      <c r="O8118">
        <v>2</v>
      </c>
      <c r="P8118">
        <v>1</v>
      </c>
      <c r="Q8118">
        <v>1</v>
      </c>
      <c r="R8118" t="s">
        <v>4557</v>
      </c>
      <c r="S8118" t="s">
        <v>4558</v>
      </c>
      <c r="T8118" t="s">
        <v>4559</v>
      </c>
      <c r="U8118" t="s">
        <v>5631</v>
      </c>
      <c r="V8118" s="2">
        <v>231</v>
      </c>
      <c r="W8118" t="s">
        <v>4655</v>
      </c>
      <c r="X8118" s="2">
        <v>0</v>
      </c>
      <c r="Y8118">
        <v>20</v>
      </c>
      <c r="Z8118" t="s">
        <v>1491</v>
      </c>
      <c r="AA8118" s="3">
        <v>7.0615246891975403E-2</v>
      </c>
      <c r="AB8118" t="s">
        <v>37399</v>
      </c>
      <c r="AC8118" t="s">
        <v>4562</v>
      </c>
      <c r="AD8118" t="s">
        <v>37400</v>
      </c>
      <c r="AE8118" t="s">
        <v>4655</v>
      </c>
      <c r="AF8118" t="s">
        <v>4563</v>
      </c>
      <c r="AG8118" t="s">
        <v>4564</v>
      </c>
      <c r="AH8118">
        <v>89511</v>
      </c>
      <c r="AI8118" t="s">
        <v>4655</v>
      </c>
      <c r="AJ8118" t="s">
        <v>4502</v>
      </c>
      <c r="AK8118" t="s">
        <v>37401</v>
      </c>
      <c r="AL8118" s="13" t="s">
        <v>1901</v>
      </c>
      <c r="AM8118" s="14">
        <v>1</v>
      </c>
      <c r="AN8118" s="15" t="s">
        <v>3852</v>
      </c>
    </row>
    <row r="8119" spans="1:40" x14ac:dyDescent="0.3">
      <c r="A8119" s="10" t="str">
        <f>HYPERLINK("http://www.washoecounty.gov/assessor/cama/?parid=552-040-39&amp;CardNumber=1","552-040-39")</f>
        <v>552-040-39</v>
      </c>
      <c r="B8119" t="s">
        <v>4655</v>
      </c>
      <c r="C8119" t="s">
        <v>37402</v>
      </c>
      <c r="D8119" s="1">
        <v>40343</v>
      </c>
      <c r="E8119" s="2">
        <v>220000</v>
      </c>
      <c r="F8119" t="s">
        <v>4567</v>
      </c>
      <c r="G8119" s="17" t="str">
        <f>HYPERLINK("https://www.washoecounty.gov/assessor/cama/?command=sales&amp;parid=55204039","3891534")</f>
        <v>3891534</v>
      </c>
      <c r="H8119" t="s">
        <v>5279</v>
      </c>
      <c r="I8119">
        <v>1973</v>
      </c>
      <c r="J8119">
        <v>1973</v>
      </c>
      <c r="K8119" t="s">
        <v>4554</v>
      </c>
      <c r="L8119" t="s">
        <v>4555</v>
      </c>
      <c r="M8119" s="2">
        <v>2216</v>
      </c>
      <c r="N8119" t="s">
        <v>4048</v>
      </c>
      <c r="O8119">
        <v>3</v>
      </c>
      <c r="P8119">
        <v>2</v>
      </c>
      <c r="Q8119">
        <v>0</v>
      </c>
      <c r="R8119" t="s">
        <v>4557</v>
      </c>
      <c r="S8119" t="s">
        <v>4135</v>
      </c>
      <c r="T8119" t="s">
        <v>4559</v>
      </c>
      <c r="U8119" t="s">
        <v>4560</v>
      </c>
      <c r="V8119" s="2">
        <v>506</v>
      </c>
      <c r="W8119" t="s">
        <v>4655</v>
      </c>
      <c r="X8119" s="2">
        <v>0</v>
      </c>
      <c r="Y8119">
        <v>20</v>
      </c>
      <c r="Z8119" t="s">
        <v>3884</v>
      </c>
      <c r="AA8119" s="3">
        <v>1.25</v>
      </c>
      <c r="AB8119" t="s">
        <v>37403</v>
      </c>
      <c r="AC8119" t="s">
        <v>4562</v>
      </c>
      <c r="AD8119" t="s">
        <v>37402</v>
      </c>
      <c r="AE8119" t="s">
        <v>4655</v>
      </c>
      <c r="AF8119" t="s">
        <v>4563</v>
      </c>
      <c r="AG8119" t="s">
        <v>4564</v>
      </c>
      <c r="AH8119">
        <v>89506</v>
      </c>
      <c r="AI8119" t="s">
        <v>37404</v>
      </c>
      <c r="AJ8119" t="s">
        <v>37405</v>
      </c>
      <c r="AK8119" t="s">
        <v>37406</v>
      </c>
      <c r="AL8119" s="13" t="s">
        <v>1902</v>
      </c>
      <c r="AM8119">
        <v>1</v>
      </c>
      <c r="AN8119" s="15" t="s">
        <v>4349</v>
      </c>
    </row>
    <row r="8120" spans="1:40" x14ac:dyDescent="0.3">
      <c r="A8120" s="10" t="str">
        <f>HYPERLINK("http://www.washoecounty.gov/assessor/cama/?parid=552-040-45&amp;CardNumber=1","552-040-45")</f>
        <v>552-040-45</v>
      </c>
      <c r="B8120" t="s">
        <v>4655</v>
      </c>
      <c r="C8120" t="s">
        <v>37407</v>
      </c>
      <c r="D8120" s="1">
        <v>40249</v>
      </c>
      <c r="E8120" s="2">
        <v>173000</v>
      </c>
      <c r="F8120" t="s">
        <v>4553</v>
      </c>
      <c r="G8120" s="17" t="str">
        <f>HYPERLINK("https://www.washoecounty.gov/assessor/cama/?command=sales&amp;parid=55204045","3858899")</f>
        <v>3858899</v>
      </c>
      <c r="H8120" t="s">
        <v>643</v>
      </c>
      <c r="I8120">
        <v>1987</v>
      </c>
      <c r="J8120">
        <v>1990</v>
      </c>
      <c r="K8120" t="s">
        <v>4554</v>
      </c>
      <c r="L8120" t="s">
        <v>3886</v>
      </c>
      <c r="M8120" s="2">
        <v>2647</v>
      </c>
      <c r="N8120" t="s">
        <v>5280</v>
      </c>
      <c r="O8120">
        <v>3</v>
      </c>
      <c r="P8120">
        <v>2</v>
      </c>
      <c r="Q8120">
        <v>1</v>
      </c>
      <c r="R8120" t="s">
        <v>4557</v>
      </c>
      <c r="S8120" t="s">
        <v>4558</v>
      </c>
      <c r="T8120" t="s">
        <v>4143</v>
      </c>
      <c r="U8120" t="s">
        <v>4560</v>
      </c>
      <c r="V8120" s="2">
        <v>952</v>
      </c>
      <c r="W8120" t="s">
        <v>4655</v>
      </c>
      <c r="X8120" s="2">
        <v>0</v>
      </c>
      <c r="Y8120">
        <v>20</v>
      </c>
      <c r="Z8120" t="s">
        <v>3884</v>
      </c>
      <c r="AA8120" s="3">
        <v>2.4990000724792401</v>
      </c>
      <c r="AB8120" t="s">
        <v>37408</v>
      </c>
      <c r="AC8120" t="s">
        <v>4562</v>
      </c>
      <c r="AD8120" t="s">
        <v>37409</v>
      </c>
      <c r="AE8120" t="s">
        <v>4655</v>
      </c>
      <c r="AF8120" t="s">
        <v>4563</v>
      </c>
      <c r="AG8120" t="s">
        <v>4564</v>
      </c>
      <c r="AH8120">
        <v>89506</v>
      </c>
      <c r="AI8120" t="s">
        <v>4503</v>
      </c>
      <c r="AJ8120" t="s">
        <v>37410</v>
      </c>
      <c r="AK8120" t="s">
        <v>37411</v>
      </c>
      <c r="AL8120" s="13" t="s">
        <v>1902</v>
      </c>
      <c r="AM8120" s="14">
        <v>1</v>
      </c>
      <c r="AN8120" s="15" t="s">
        <v>4349</v>
      </c>
    </row>
    <row r="8121" spans="1:40" x14ac:dyDescent="0.3">
      <c r="A8121" s="10" t="str">
        <f>HYPERLINK("http://www.washoecounty.gov/assessor/cama/?parid=552-040-66&amp;CardNumber=1","552-040-66")</f>
        <v>552-040-66</v>
      </c>
      <c r="B8121" t="s">
        <v>4655</v>
      </c>
      <c r="C8121" t="s">
        <v>37412</v>
      </c>
      <c r="D8121" s="1">
        <v>40429</v>
      </c>
      <c r="E8121" s="2">
        <v>115500</v>
      </c>
      <c r="F8121" t="s">
        <v>4553</v>
      </c>
      <c r="G8121" s="17" t="str">
        <f>HYPERLINK("https://www.washoecounty.gov/assessor/cama/?command=sales&amp;parid=55204066","3919735")</f>
        <v>3919735</v>
      </c>
      <c r="H8121" t="s">
        <v>3471</v>
      </c>
      <c r="I8121">
        <v>1973</v>
      </c>
      <c r="J8121">
        <v>1973</v>
      </c>
      <c r="K8121" t="s">
        <v>4554</v>
      </c>
      <c r="L8121" t="s">
        <v>4555</v>
      </c>
      <c r="M8121" s="2">
        <v>1980</v>
      </c>
      <c r="N8121" t="s">
        <v>4048</v>
      </c>
      <c r="O8121">
        <v>4</v>
      </c>
      <c r="P8121">
        <v>2</v>
      </c>
      <c r="Q8121">
        <v>0</v>
      </c>
      <c r="R8121" t="s">
        <v>4557</v>
      </c>
      <c r="S8121" t="s">
        <v>4558</v>
      </c>
      <c r="T8121" t="s">
        <v>4559</v>
      </c>
      <c r="U8121" t="s">
        <v>4560</v>
      </c>
      <c r="V8121" s="2">
        <v>448</v>
      </c>
      <c r="W8121" t="s">
        <v>4655</v>
      </c>
      <c r="X8121" s="2">
        <v>0</v>
      </c>
      <c r="Y8121">
        <v>20</v>
      </c>
      <c r="Z8121" t="s">
        <v>3884</v>
      </c>
      <c r="AA8121" s="3">
        <v>1.15172171592712</v>
      </c>
      <c r="AB8121" t="s">
        <v>37413</v>
      </c>
      <c r="AC8121" t="s">
        <v>4562</v>
      </c>
      <c r="AD8121" t="s">
        <v>37414</v>
      </c>
      <c r="AE8121" t="s">
        <v>4655</v>
      </c>
      <c r="AF8121" t="s">
        <v>4752</v>
      </c>
      <c r="AG8121" t="s">
        <v>4564</v>
      </c>
      <c r="AH8121">
        <v>89506</v>
      </c>
      <c r="AI8121" t="s">
        <v>4903</v>
      </c>
      <c r="AJ8121" t="s">
        <v>37415</v>
      </c>
      <c r="AK8121" t="s">
        <v>37416</v>
      </c>
      <c r="AL8121" s="13" t="s">
        <v>1902</v>
      </c>
      <c r="AM8121" s="14">
        <v>1</v>
      </c>
      <c r="AN8121" s="15" t="s">
        <v>4349</v>
      </c>
    </row>
    <row r="8122" spans="1:40" x14ac:dyDescent="0.3">
      <c r="A8122" s="10" t="str">
        <f>HYPERLINK("http://www.washoecounty.gov/assessor/cama/?parid=552-060-02&amp;CardNumber=1","552-060-02")</f>
        <v>552-060-02</v>
      </c>
      <c r="B8122" t="s">
        <v>4655</v>
      </c>
      <c r="C8122" t="s">
        <v>37417</v>
      </c>
      <c r="D8122" s="1">
        <v>40498</v>
      </c>
      <c r="E8122" s="2">
        <v>215000</v>
      </c>
      <c r="F8122" t="s">
        <v>4567</v>
      </c>
      <c r="G8122" s="17" t="str">
        <f>HYPERLINK("https://www.washoecounty.gov/assessor/cama/?command=sales&amp;parid=55206002","3943637")</f>
        <v>3943637</v>
      </c>
      <c r="H8122" t="s">
        <v>5164</v>
      </c>
      <c r="I8122">
        <v>1976</v>
      </c>
      <c r="J8122">
        <v>1976</v>
      </c>
      <c r="K8122" t="s">
        <v>4554</v>
      </c>
      <c r="L8122" t="s">
        <v>4555</v>
      </c>
      <c r="M8122" s="2">
        <v>2945</v>
      </c>
      <c r="N8122" t="s">
        <v>4048</v>
      </c>
      <c r="O8122">
        <v>5</v>
      </c>
      <c r="P8122">
        <v>3</v>
      </c>
      <c r="Q8122">
        <v>0</v>
      </c>
      <c r="R8122" t="s">
        <v>4557</v>
      </c>
      <c r="S8122" t="s">
        <v>4682</v>
      </c>
      <c r="T8122" t="s">
        <v>4559</v>
      </c>
      <c r="U8122" t="s">
        <v>4560</v>
      </c>
      <c r="V8122" s="2">
        <v>506</v>
      </c>
      <c r="W8122" t="s">
        <v>4655</v>
      </c>
      <c r="X8122" s="2">
        <v>0</v>
      </c>
      <c r="Y8122">
        <v>20</v>
      </c>
      <c r="Z8122" t="s">
        <v>3884</v>
      </c>
      <c r="AA8122" s="3">
        <v>1.00101006031036</v>
      </c>
      <c r="AB8122" t="s">
        <v>37418</v>
      </c>
      <c r="AC8122" t="s">
        <v>4562</v>
      </c>
      <c r="AD8122" t="s">
        <v>37417</v>
      </c>
      <c r="AE8122" t="s">
        <v>4655</v>
      </c>
      <c r="AF8122" t="s">
        <v>4563</v>
      </c>
      <c r="AG8122" t="s">
        <v>4564</v>
      </c>
      <c r="AH8122">
        <v>89506</v>
      </c>
      <c r="AI8122" t="s">
        <v>37419</v>
      </c>
      <c r="AJ8122" t="s">
        <v>37420</v>
      </c>
      <c r="AK8122" t="s">
        <v>37421</v>
      </c>
      <c r="AL8122" s="13" t="s">
        <v>1902</v>
      </c>
      <c r="AM8122">
        <v>1</v>
      </c>
      <c r="AN8122" s="15" t="s">
        <v>4349</v>
      </c>
    </row>
    <row r="8123" spans="1:40" x14ac:dyDescent="0.3">
      <c r="A8123" s="10" t="str">
        <f>HYPERLINK("http://www.washoecounty.gov/assessor/cama/?parid=552-074-01&amp;CardNumber=1","552-074-01")</f>
        <v>552-074-01</v>
      </c>
      <c r="B8123" t="s">
        <v>4655</v>
      </c>
      <c r="C8123" t="s">
        <v>37422</v>
      </c>
      <c r="D8123" s="1">
        <v>40529</v>
      </c>
      <c r="E8123" s="2">
        <v>164900</v>
      </c>
      <c r="F8123" t="s">
        <v>4553</v>
      </c>
      <c r="G8123" s="17" t="str">
        <f>HYPERLINK("https://www.washoecounty.gov/assessor/cama/?command=sales&amp;parid=55207401","3954992")</f>
        <v>3954992</v>
      </c>
      <c r="H8123" t="s">
        <v>3837</v>
      </c>
      <c r="I8123">
        <v>1972</v>
      </c>
      <c r="J8123">
        <v>1972</v>
      </c>
      <c r="K8123" t="s">
        <v>4554</v>
      </c>
      <c r="L8123" t="s">
        <v>4555</v>
      </c>
      <c r="M8123" s="2">
        <v>1506</v>
      </c>
      <c r="N8123" t="s">
        <v>4048</v>
      </c>
      <c r="O8123">
        <v>3</v>
      </c>
      <c r="P8123">
        <v>2</v>
      </c>
      <c r="Q8123">
        <v>0</v>
      </c>
      <c r="R8123" t="s">
        <v>4676</v>
      </c>
      <c r="S8123" t="s">
        <v>4558</v>
      </c>
      <c r="T8123" t="s">
        <v>4143</v>
      </c>
      <c r="U8123" t="s">
        <v>4560</v>
      </c>
      <c r="V8123" s="2">
        <v>440</v>
      </c>
      <c r="W8123" t="s">
        <v>4655</v>
      </c>
      <c r="X8123" s="2">
        <v>0</v>
      </c>
      <c r="Y8123">
        <v>20</v>
      </c>
      <c r="Z8123" t="s">
        <v>3884</v>
      </c>
      <c r="AA8123" s="3">
        <v>0.92500001192092796</v>
      </c>
      <c r="AB8123" t="s">
        <v>37423</v>
      </c>
      <c r="AC8123" t="s">
        <v>4562</v>
      </c>
      <c r="AD8123" t="s">
        <v>37424</v>
      </c>
      <c r="AE8123" t="s">
        <v>4655</v>
      </c>
      <c r="AF8123" t="s">
        <v>4563</v>
      </c>
      <c r="AG8123" t="s">
        <v>4564</v>
      </c>
      <c r="AH8123">
        <v>89506</v>
      </c>
      <c r="AI8123" t="s">
        <v>4903</v>
      </c>
      <c r="AJ8123" t="s">
        <v>37425</v>
      </c>
      <c r="AK8123" t="s">
        <v>37426</v>
      </c>
      <c r="AL8123" s="13" t="s">
        <v>1902</v>
      </c>
      <c r="AM8123" s="14">
        <v>1</v>
      </c>
      <c r="AN8123" s="15" t="s">
        <v>4349</v>
      </c>
    </row>
    <row r="8124" spans="1:40" x14ac:dyDescent="0.3">
      <c r="A8124" s="10" t="str">
        <f>HYPERLINK("http://www.washoecounty.gov/assessor/cama/?parid=552-076-09&amp;CardNumber=1","552-076-09")</f>
        <v>552-076-09</v>
      </c>
      <c r="B8124" t="s">
        <v>4655</v>
      </c>
      <c r="C8124" t="s">
        <v>37427</v>
      </c>
      <c r="D8124" s="1">
        <v>40296</v>
      </c>
      <c r="E8124" s="2">
        <v>220000</v>
      </c>
      <c r="F8124" t="s">
        <v>4567</v>
      </c>
      <c r="G8124" s="17" t="str">
        <f>HYPERLINK("https://www.washoecounty.gov/assessor/cama/?command=sales&amp;parid=55207609","3875835")</f>
        <v>3875835</v>
      </c>
      <c r="H8124" t="s">
        <v>3837</v>
      </c>
      <c r="I8124">
        <v>1968</v>
      </c>
      <c r="J8124">
        <v>1972</v>
      </c>
      <c r="K8124" t="s">
        <v>4554</v>
      </c>
      <c r="L8124" t="s">
        <v>4555</v>
      </c>
      <c r="M8124" s="2">
        <v>1989</v>
      </c>
      <c r="N8124" t="s">
        <v>4048</v>
      </c>
      <c r="O8124">
        <v>3</v>
      </c>
      <c r="P8124">
        <v>2</v>
      </c>
      <c r="Q8124">
        <v>0</v>
      </c>
      <c r="R8124" t="s">
        <v>5281</v>
      </c>
      <c r="S8124" t="s">
        <v>4558</v>
      </c>
      <c r="T8124" t="s">
        <v>4559</v>
      </c>
      <c r="U8124" t="s">
        <v>162</v>
      </c>
      <c r="V8124" s="2">
        <v>1464</v>
      </c>
      <c r="W8124" t="s">
        <v>3149</v>
      </c>
      <c r="X8124" s="2">
        <v>194</v>
      </c>
      <c r="Y8124">
        <v>20</v>
      </c>
      <c r="Z8124" t="s">
        <v>3884</v>
      </c>
      <c r="AA8124" s="3">
        <v>0.96999537944793701</v>
      </c>
      <c r="AB8124" t="s">
        <v>37428</v>
      </c>
      <c r="AC8124" t="s">
        <v>4562</v>
      </c>
      <c r="AD8124" t="s">
        <v>37427</v>
      </c>
      <c r="AE8124" t="s">
        <v>4655</v>
      </c>
      <c r="AF8124" t="s">
        <v>4563</v>
      </c>
      <c r="AG8124" t="s">
        <v>4564</v>
      </c>
      <c r="AH8124">
        <v>89506</v>
      </c>
      <c r="AI8124" t="s">
        <v>37429</v>
      </c>
      <c r="AJ8124" t="s">
        <v>37430</v>
      </c>
      <c r="AK8124" t="s">
        <v>37431</v>
      </c>
      <c r="AL8124" s="13" t="s">
        <v>1902</v>
      </c>
      <c r="AM8124" s="14">
        <v>1</v>
      </c>
      <c r="AN8124" s="15" t="s">
        <v>4349</v>
      </c>
    </row>
    <row r="8125" spans="1:40" x14ac:dyDescent="0.3">
      <c r="A8125" s="10" t="str">
        <f>HYPERLINK("http://www.washoecounty.gov/assessor/cama/?parid=552-081-10&amp;CardNumber=1","552-081-10")</f>
        <v>552-081-10</v>
      </c>
      <c r="B8125" t="s">
        <v>4655</v>
      </c>
      <c r="C8125" t="s">
        <v>37432</v>
      </c>
      <c r="D8125" s="1">
        <v>40375</v>
      </c>
      <c r="E8125" s="2">
        <v>115000</v>
      </c>
      <c r="F8125" t="s">
        <v>4567</v>
      </c>
      <c r="G8125" s="17" t="str">
        <f>HYPERLINK("https://www.washoecounty.gov/assessor/cama/?command=sales&amp;parid=55208110","3902371")</f>
        <v>3902371</v>
      </c>
      <c r="H8125" t="s">
        <v>37433</v>
      </c>
      <c r="I8125">
        <v>1977</v>
      </c>
      <c r="J8125">
        <v>1977</v>
      </c>
      <c r="K8125" t="s">
        <v>4554</v>
      </c>
      <c r="L8125" t="s">
        <v>4555</v>
      </c>
      <c r="M8125" s="2">
        <v>1248</v>
      </c>
      <c r="N8125" t="s">
        <v>4048</v>
      </c>
      <c r="O8125">
        <v>3</v>
      </c>
      <c r="P8125">
        <v>2</v>
      </c>
      <c r="Q8125">
        <v>0</v>
      </c>
      <c r="R8125" t="s">
        <v>4557</v>
      </c>
      <c r="S8125" t="s">
        <v>4558</v>
      </c>
      <c r="T8125" t="s">
        <v>4559</v>
      </c>
      <c r="U8125" t="s">
        <v>4560</v>
      </c>
      <c r="V8125" s="2">
        <v>400</v>
      </c>
      <c r="W8125" t="s">
        <v>4655</v>
      </c>
      <c r="X8125" s="2">
        <v>0</v>
      </c>
      <c r="Y8125">
        <v>20</v>
      </c>
      <c r="Z8125" t="s">
        <v>3884</v>
      </c>
      <c r="AA8125" s="3">
        <v>1.00798892974853</v>
      </c>
      <c r="AB8125" t="s">
        <v>37434</v>
      </c>
      <c r="AC8125" t="s">
        <v>4562</v>
      </c>
      <c r="AD8125" t="s">
        <v>37432</v>
      </c>
      <c r="AE8125" t="s">
        <v>4655</v>
      </c>
      <c r="AF8125" t="s">
        <v>4563</v>
      </c>
      <c r="AG8125" t="s">
        <v>4564</v>
      </c>
      <c r="AH8125">
        <v>89506</v>
      </c>
      <c r="AI8125" t="s">
        <v>4655</v>
      </c>
      <c r="AJ8125" t="s">
        <v>37435</v>
      </c>
      <c r="AK8125" t="s">
        <v>37436</v>
      </c>
      <c r="AL8125" s="13" t="s">
        <v>1902</v>
      </c>
      <c r="AM8125">
        <v>1</v>
      </c>
      <c r="AN8125" s="15" t="s">
        <v>4349</v>
      </c>
    </row>
    <row r="8126" spans="1:40" x14ac:dyDescent="0.3">
      <c r="A8126" s="10" t="str">
        <f>HYPERLINK("http://www.washoecounty.gov/assessor/cama/?parid=552-081-20&amp;CardNumber=1","552-081-20")</f>
        <v>552-081-20</v>
      </c>
      <c r="B8126" t="s">
        <v>4655</v>
      </c>
      <c r="C8126" t="s">
        <v>37437</v>
      </c>
      <c r="D8126" s="1">
        <v>40366</v>
      </c>
      <c r="E8126" s="2">
        <v>190000</v>
      </c>
      <c r="F8126" t="s">
        <v>4567</v>
      </c>
      <c r="G8126" s="17" t="str">
        <f>HYPERLINK("https://www.washoecounty.gov/assessor/cama/?command=sales&amp;parid=55208120","3899129")</f>
        <v>3899129</v>
      </c>
      <c r="H8126" t="s">
        <v>37433</v>
      </c>
      <c r="I8126">
        <v>1988</v>
      </c>
      <c r="J8126">
        <v>1988</v>
      </c>
      <c r="K8126" t="s">
        <v>4554</v>
      </c>
      <c r="L8126" t="s">
        <v>4555</v>
      </c>
      <c r="M8126" s="2">
        <v>1808</v>
      </c>
      <c r="N8126" t="s">
        <v>4048</v>
      </c>
      <c r="O8126">
        <v>3</v>
      </c>
      <c r="P8126">
        <v>2</v>
      </c>
      <c r="Q8126">
        <v>0</v>
      </c>
      <c r="R8126" t="s">
        <v>4557</v>
      </c>
      <c r="S8126" t="s">
        <v>4558</v>
      </c>
      <c r="T8126" t="s">
        <v>4143</v>
      </c>
      <c r="U8126" t="s">
        <v>4560</v>
      </c>
      <c r="V8126" s="2">
        <v>824</v>
      </c>
      <c r="W8126" t="s">
        <v>4655</v>
      </c>
      <c r="X8126" s="2">
        <v>0</v>
      </c>
      <c r="Y8126">
        <v>20</v>
      </c>
      <c r="Z8126" t="s">
        <v>3884</v>
      </c>
      <c r="AA8126" s="3">
        <v>0.94999998807907104</v>
      </c>
      <c r="AB8126" t="s">
        <v>37438</v>
      </c>
      <c r="AC8126" t="s">
        <v>4575</v>
      </c>
      <c r="AD8126" t="s">
        <v>37439</v>
      </c>
      <c r="AE8126" t="s">
        <v>4655</v>
      </c>
      <c r="AF8126" t="s">
        <v>4563</v>
      </c>
      <c r="AG8126" t="s">
        <v>4564</v>
      </c>
      <c r="AH8126">
        <v>89508</v>
      </c>
      <c r="AI8126" t="s">
        <v>37440</v>
      </c>
      <c r="AJ8126" t="s">
        <v>37441</v>
      </c>
      <c r="AK8126" t="s">
        <v>37442</v>
      </c>
      <c r="AL8126" s="13" t="s">
        <v>1902</v>
      </c>
      <c r="AM8126" s="14">
        <v>1</v>
      </c>
      <c r="AN8126" s="15" t="s">
        <v>4349</v>
      </c>
    </row>
    <row r="8127" spans="1:40" x14ac:dyDescent="0.3">
      <c r="A8127" s="10" t="str">
        <f>HYPERLINK("http://www.washoecounty.gov/assessor/cama/?parid=552-084-13&amp;CardNumber=1","552-084-13")</f>
        <v>552-084-13</v>
      </c>
      <c r="B8127" t="s">
        <v>4655</v>
      </c>
      <c r="C8127" t="s">
        <v>37443</v>
      </c>
      <c r="D8127" s="1">
        <v>40248</v>
      </c>
      <c r="E8127" s="2">
        <v>179900</v>
      </c>
      <c r="F8127" t="s">
        <v>4553</v>
      </c>
      <c r="G8127" s="17" t="str">
        <f>HYPERLINK("https://www.washoecounty.gov/assessor/cama/?command=sales&amp;parid=55208413","3858520")</f>
        <v>3858520</v>
      </c>
      <c r="H8127" t="s">
        <v>4736</v>
      </c>
      <c r="I8127">
        <v>1996</v>
      </c>
      <c r="J8127">
        <v>1996</v>
      </c>
      <c r="K8127" t="s">
        <v>4554</v>
      </c>
      <c r="L8127" t="s">
        <v>4569</v>
      </c>
      <c r="M8127" s="2">
        <v>1220</v>
      </c>
      <c r="N8127" t="s">
        <v>4048</v>
      </c>
      <c r="O8127">
        <v>4</v>
      </c>
      <c r="P8127">
        <v>3</v>
      </c>
      <c r="Q8127">
        <v>0</v>
      </c>
      <c r="R8127" t="s">
        <v>4557</v>
      </c>
      <c r="S8127" t="s">
        <v>4558</v>
      </c>
      <c r="T8127" t="s">
        <v>4559</v>
      </c>
      <c r="U8127" t="s">
        <v>4560</v>
      </c>
      <c r="V8127" s="2">
        <v>528</v>
      </c>
      <c r="W8127" t="s">
        <v>3201</v>
      </c>
      <c r="X8127" s="2">
        <v>1135</v>
      </c>
      <c r="Y8127">
        <v>20</v>
      </c>
      <c r="Z8127" t="s">
        <v>3884</v>
      </c>
      <c r="AA8127" s="3">
        <v>2.0169999599456698</v>
      </c>
      <c r="AB8127" t="s">
        <v>37444</v>
      </c>
      <c r="AC8127" t="s">
        <v>4562</v>
      </c>
      <c r="AD8127" t="s">
        <v>37443</v>
      </c>
      <c r="AE8127" t="s">
        <v>4655</v>
      </c>
      <c r="AF8127" t="s">
        <v>4563</v>
      </c>
      <c r="AG8127" t="s">
        <v>4564</v>
      </c>
      <c r="AH8127">
        <v>89506</v>
      </c>
      <c r="AI8127" t="s">
        <v>4903</v>
      </c>
      <c r="AJ8127" t="s">
        <v>37445</v>
      </c>
      <c r="AK8127" t="s">
        <v>37446</v>
      </c>
      <c r="AL8127" s="13" t="s">
        <v>1902</v>
      </c>
      <c r="AM8127">
        <v>1</v>
      </c>
      <c r="AN8127" s="15" t="s">
        <v>4349</v>
      </c>
    </row>
    <row r="8128" spans="1:40" x14ac:dyDescent="0.3">
      <c r="A8128" s="10" t="str">
        <f>HYPERLINK("http://www.washoecounty.gov/assessor/cama/?parid=552-084-15&amp;CardNumber=1","552-084-15")</f>
        <v>552-084-15</v>
      </c>
      <c r="B8128" t="s">
        <v>4655</v>
      </c>
      <c r="C8128" t="s">
        <v>37447</v>
      </c>
      <c r="D8128" s="1">
        <v>40182</v>
      </c>
      <c r="E8128" s="2">
        <v>170000</v>
      </c>
      <c r="F8128" t="s">
        <v>4553</v>
      </c>
      <c r="G8128" s="17" t="str">
        <f>HYPERLINK("https://www.washoecounty.gov/assessor/cama/?command=sales&amp;parid=55208415","3836251")</f>
        <v>3836251</v>
      </c>
      <c r="H8128" t="s">
        <v>4736</v>
      </c>
      <c r="I8128">
        <v>1990</v>
      </c>
      <c r="J8128">
        <v>1990</v>
      </c>
      <c r="K8128" t="s">
        <v>4554</v>
      </c>
      <c r="L8128" t="s">
        <v>4555</v>
      </c>
      <c r="M8128" s="2">
        <v>1476</v>
      </c>
      <c r="N8128" t="s">
        <v>4048</v>
      </c>
      <c r="O8128">
        <v>3</v>
      </c>
      <c r="P8128">
        <v>2</v>
      </c>
      <c r="Q8128">
        <v>0</v>
      </c>
      <c r="R8128" t="s">
        <v>4557</v>
      </c>
      <c r="S8128" t="s">
        <v>4898</v>
      </c>
      <c r="T8128" t="s">
        <v>4559</v>
      </c>
      <c r="U8128" t="s">
        <v>4560</v>
      </c>
      <c r="V8128" s="2">
        <v>624</v>
      </c>
      <c r="W8128" t="s">
        <v>4655</v>
      </c>
      <c r="X8128" s="2">
        <v>0</v>
      </c>
      <c r="Y8128">
        <v>20</v>
      </c>
      <c r="Z8128" t="s">
        <v>3884</v>
      </c>
      <c r="AA8128" s="3">
        <v>1.0609962940216</v>
      </c>
      <c r="AB8128" t="s">
        <v>37448</v>
      </c>
      <c r="AC8128" t="s">
        <v>4562</v>
      </c>
      <c r="AD8128" t="s">
        <v>37447</v>
      </c>
      <c r="AE8128" t="s">
        <v>4655</v>
      </c>
      <c r="AF8128" t="s">
        <v>4563</v>
      </c>
      <c r="AG8128" t="s">
        <v>4564</v>
      </c>
      <c r="AH8128">
        <v>89506</v>
      </c>
      <c r="AI8128" t="s">
        <v>37449</v>
      </c>
      <c r="AJ8128" t="s">
        <v>37450</v>
      </c>
      <c r="AK8128" t="s">
        <v>37446</v>
      </c>
      <c r="AL8128" s="13" t="s">
        <v>1902</v>
      </c>
      <c r="AM8128">
        <v>1</v>
      </c>
      <c r="AN8128" s="15" t="s">
        <v>4349</v>
      </c>
    </row>
    <row r="8129" spans="1:40" x14ac:dyDescent="0.3">
      <c r="A8129" s="10" t="str">
        <f>HYPERLINK("http://www.washoecounty.gov/assessor/cama/?parid=552-112-05&amp;CardNumber=1","552-112-05")</f>
        <v>552-112-05</v>
      </c>
      <c r="B8129" t="s">
        <v>4655</v>
      </c>
      <c r="C8129" t="s">
        <v>37451</v>
      </c>
      <c r="D8129" s="1">
        <v>40533</v>
      </c>
      <c r="E8129" s="2">
        <v>120000</v>
      </c>
      <c r="F8129" t="s">
        <v>4567</v>
      </c>
      <c r="G8129" s="17" t="str">
        <f>HYPERLINK("https://www.washoecounty.gov/assessor/cama/?command=sales&amp;parid=55211205","3955949")</f>
        <v>3955949</v>
      </c>
      <c r="H8129" t="s">
        <v>2767</v>
      </c>
      <c r="I8129">
        <v>1977</v>
      </c>
      <c r="J8129">
        <v>1977</v>
      </c>
      <c r="K8129" t="s">
        <v>4554</v>
      </c>
      <c r="L8129" t="s">
        <v>4555</v>
      </c>
      <c r="M8129" s="2">
        <v>1428</v>
      </c>
      <c r="N8129" t="s">
        <v>4048</v>
      </c>
      <c r="O8129">
        <v>3</v>
      </c>
      <c r="P8129">
        <v>2</v>
      </c>
      <c r="Q8129">
        <v>0</v>
      </c>
      <c r="R8129" t="s">
        <v>4557</v>
      </c>
      <c r="S8129" t="s">
        <v>4558</v>
      </c>
      <c r="T8129" t="s">
        <v>4559</v>
      </c>
      <c r="U8129" t="s">
        <v>4560</v>
      </c>
      <c r="V8129" s="2">
        <v>606</v>
      </c>
      <c r="W8129" t="s">
        <v>4655</v>
      </c>
      <c r="X8129" s="2">
        <v>0</v>
      </c>
      <c r="Y8129">
        <v>20</v>
      </c>
      <c r="Z8129" t="s">
        <v>3884</v>
      </c>
      <c r="AA8129" s="3">
        <v>0.96400368213653498</v>
      </c>
      <c r="AB8129" t="s">
        <v>37452</v>
      </c>
      <c r="AC8129" t="s">
        <v>4562</v>
      </c>
      <c r="AD8129" t="s">
        <v>37453</v>
      </c>
      <c r="AE8129" t="s">
        <v>4655</v>
      </c>
      <c r="AF8129" t="s">
        <v>37454</v>
      </c>
      <c r="AG8129" t="s">
        <v>4564</v>
      </c>
      <c r="AH8129" t="s">
        <v>37455</v>
      </c>
      <c r="AI8129" t="s">
        <v>37456</v>
      </c>
      <c r="AJ8129" t="s">
        <v>37457</v>
      </c>
      <c r="AK8129" t="s">
        <v>37458</v>
      </c>
      <c r="AL8129" s="13" t="s">
        <v>1902</v>
      </c>
      <c r="AM8129">
        <v>1</v>
      </c>
      <c r="AN8129" s="15" t="s">
        <v>4349</v>
      </c>
    </row>
    <row r="8130" spans="1:40" x14ac:dyDescent="0.3">
      <c r="A8130" s="10" t="str">
        <f>HYPERLINK("http://www.washoecounty.gov/assessor/cama/?parid=552-113-04&amp;CardNumber=1","552-113-04")</f>
        <v>552-113-04</v>
      </c>
      <c r="B8130" t="s">
        <v>4655</v>
      </c>
      <c r="C8130" t="s">
        <v>37459</v>
      </c>
      <c r="D8130" s="1">
        <v>40501</v>
      </c>
      <c r="E8130" s="2">
        <v>115000</v>
      </c>
      <c r="F8130" t="s">
        <v>4567</v>
      </c>
      <c r="G8130" s="17" t="str">
        <f>HYPERLINK("https://www.washoecounty.gov/assessor/cama/?command=sales&amp;parid=55211304","3945229")</f>
        <v>3945229</v>
      </c>
      <c r="H8130" t="s">
        <v>2767</v>
      </c>
      <c r="I8130">
        <v>1978</v>
      </c>
      <c r="J8130">
        <v>1978</v>
      </c>
      <c r="K8130" t="s">
        <v>4554</v>
      </c>
      <c r="L8130" t="s">
        <v>4555</v>
      </c>
      <c r="M8130" s="2">
        <v>1744</v>
      </c>
      <c r="N8130" t="s">
        <v>4048</v>
      </c>
      <c r="O8130">
        <v>3</v>
      </c>
      <c r="P8130">
        <v>2</v>
      </c>
      <c r="Q8130">
        <v>0</v>
      </c>
      <c r="R8130" t="s">
        <v>4557</v>
      </c>
      <c r="S8130" t="s">
        <v>4558</v>
      </c>
      <c r="T8130" t="s">
        <v>4559</v>
      </c>
      <c r="U8130" t="s">
        <v>4655</v>
      </c>
      <c r="V8130" s="2">
        <v>0</v>
      </c>
      <c r="W8130" t="s">
        <v>4655</v>
      </c>
      <c r="X8130" s="2">
        <v>0</v>
      </c>
      <c r="Y8130">
        <v>20</v>
      </c>
      <c r="Z8130" t="s">
        <v>3884</v>
      </c>
      <c r="AA8130" s="3">
        <v>0.96400368213653498</v>
      </c>
      <c r="AB8130" t="s">
        <v>37460</v>
      </c>
      <c r="AC8130" t="s">
        <v>4562</v>
      </c>
      <c r="AD8130" t="s">
        <v>37461</v>
      </c>
      <c r="AE8130" t="s">
        <v>4655</v>
      </c>
      <c r="AF8130" t="s">
        <v>4563</v>
      </c>
      <c r="AG8130" t="s">
        <v>4564</v>
      </c>
      <c r="AH8130">
        <v>89506</v>
      </c>
      <c r="AI8130" t="s">
        <v>12938</v>
      </c>
      <c r="AJ8130" t="s">
        <v>37462</v>
      </c>
      <c r="AK8130" t="s">
        <v>37463</v>
      </c>
      <c r="AL8130" s="13" t="s">
        <v>1902</v>
      </c>
      <c r="AM8130">
        <v>1</v>
      </c>
      <c r="AN8130" s="15" t="s">
        <v>4349</v>
      </c>
    </row>
    <row r="8131" spans="1:40" x14ac:dyDescent="0.3">
      <c r="A8131" s="10" t="str">
        <f>HYPERLINK("http://www.washoecounty.gov/assessor/cama/?parid=552-114-04&amp;CardNumber=1","552-114-04")</f>
        <v>552-114-04</v>
      </c>
      <c r="B8131" t="s">
        <v>4655</v>
      </c>
      <c r="C8131" t="s">
        <v>37464</v>
      </c>
      <c r="D8131" s="1">
        <v>40316</v>
      </c>
      <c r="E8131" s="2">
        <v>284000</v>
      </c>
      <c r="F8131" t="s">
        <v>4567</v>
      </c>
      <c r="G8131" s="17" t="str">
        <f>HYPERLINK("https://www.washoecounty.gov/assessor/cama/?command=sales&amp;parid=55211404","3882652")</f>
        <v>3882652</v>
      </c>
      <c r="H8131" t="s">
        <v>2767</v>
      </c>
      <c r="I8131">
        <v>1990</v>
      </c>
      <c r="J8131">
        <v>1990</v>
      </c>
      <c r="K8131" t="s">
        <v>4554</v>
      </c>
      <c r="L8131" t="s">
        <v>4555</v>
      </c>
      <c r="M8131" s="2">
        <v>2403</v>
      </c>
      <c r="N8131" t="s">
        <v>3147</v>
      </c>
      <c r="O8131">
        <v>3</v>
      </c>
      <c r="P8131">
        <v>2</v>
      </c>
      <c r="Q8131">
        <v>0</v>
      </c>
      <c r="R8131" t="s">
        <v>5281</v>
      </c>
      <c r="S8131" t="s">
        <v>4558</v>
      </c>
      <c r="T8131" t="s">
        <v>4559</v>
      </c>
      <c r="U8131" t="s">
        <v>162</v>
      </c>
      <c r="V8131" s="2">
        <v>1920</v>
      </c>
      <c r="W8131" t="s">
        <v>4655</v>
      </c>
      <c r="X8131" s="2">
        <v>0</v>
      </c>
      <c r="Y8131">
        <v>20</v>
      </c>
      <c r="Z8131" t="s">
        <v>3884</v>
      </c>
      <c r="AA8131" s="3">
        <v>0.96200644969940097</v>
      </c>
      <c r="AB8131" t="s">
        <v>37465</v>
      </c>
      <c r="AC8131" t="s">
        <v>4575</v>
      </c>
      <c r="AD8131" t="s">
        <v>37466</v>
      </c>
      <c r="AE8131" t="s">
        <v>4655</v>
      </c>
      <c r="AF8131" t="s">
        <v>4563</v>
      </c>
      <c r="AG8131" t="s">
        <v>4564</v>
      </c>
      <c r="AH8131">
        <v>89506</v>
      </c>
      <c r="AI8131" t="s">
        <v>37467</v>
      </c>
      <c r="AJ8131" t="s">
        <v>37468</v>
      </c>
      <c r="AK8131" t="s">
        <v>37469</v>
      </c>
      <c r="AL8131" s="13" t="s">
        <v>1902</v>
      </c>
      <c r="AM8131">
        <v>1</v>
      </c>
      <c r="AN8131" s="15" t="s">
        <v>4349</v>
      </c>
    </row>
    <row r="8132" spans="1:40" x14ac:dyDescent="0.3">
      <c r="A8132" s="10" t="str">
        <f>HYPERLINK("http://www.washoecounty.gov/assessor/cama/?parid=552-158-02&amp;CardNumber=1","552-158-02")</f>
        <v>552-158-02</v>
      </c>
      <c r="B8132" t="s">
        <v>4655</v>
      </c>
      <c r="C8132" t="s">
        <v>37470</v>
      </c>
      <c r="D8132" s="1">
        <v>40386</v>
      </c>
      <c r="E8132" s="2">
        <v>286000</v>
      </c>
      <c r="F8132" t="s">
        <v>4567</v>
      </c>
      <c r="G8132" s="17" t="str">
        <f>HYPERLINK("https://www.washoecounty.gov/assessor/cama/?command=sales&amp;parid=55215802","3905393")</f>
        <v>3905393</v>
      </c>
      <c r="H8132" t="s">
        <v>509</v>
      </c>
      <c r="I8132">
        <v>1988</v>
      </c>
      <c r="J8132">
        <v>1988</v>
      </c>
      <c r="K8132" t="s">
        <v>4554</v>
      </c>
      <c r="L8132" t="s">
        <v>4555</v>
      </c>
      <c r="M8132" s="2">
        <v>1838</v>
      </c>
      <c r="N8132" t="s">
        <v>5280</v>
      </c>
      <c r="O8132">
        <v>3</v>
      </c>
      <c r="P8132">
        <v>2</v>
      </c>
      <c r="Q8132">
        <v>0</v>
      </c>
      <c r="R8132" t="s">
        <v>4557</v>
      </c>
      <c r="S8132" t="s">
        <v>4558</v>
      </c>
      <c r="T8132" t="s">
        <v>4559</v>
      </c>
      <c r="U8132" t="s">
        <v>4560</v>
      </c>
      <c r="V8132" s="2">
        <v>840</v>
      </c>
      <c r="W8132" t="s">
        <v>4655</v>
      </c>
      <c r="X8132" s="2">
        <v>0</v>
      </c>
      <c r="Y8132">
        <v>20</v>
      </c>
      <c r="Z8132" t="s">
        <v>3884</v>
      </c>
      <c r="AA8132" s="3">
        <v>0.89600551128387396</v>
      </c>
      <c r="AB8132" t="s">
        <v>37471</v>
      </c>
      <c r="AC8132" t="s">
        <v>4562</v>
      </c>
      <c r="AD8132" t="s">
        <v>37472</v>
      </c>
      <c r="AE8132" t="s">
        <v>4655</v>
      </c>
      <c r="AF8132" t="s">
        <v>4563</v>
      </c>
      <c r="AG8132" t="s">
        <v>4564</v>
      </c>
      <c r="AH8132">
        <v>89506</v>
      </c>
      <c r="AI8132" t="s">
        <v>37473</v>
      </c>
      <c r="AJ8132" t="s">
        <v>37474</v>
      </c>
      <c r="AK8132" t="s">
        <v>37475</v>
      </c>
      <c r="AL8132" s="13" t="s">
        <v>1902</v>
      </c>
      <c r="AM8132">
        <v>1</v>
      </c>
      <c r="AN8132" s="15" t="s">
        <v>4349</v>
      </c>
    </row>
    <row r="8133" spans="1:40" x14ac:dyDescent="0.3">
      <c r="A8133" s="10" t="str">
        <f>HYPERLINK("http://www.washoecounty.gov/assessor/cama/?parid=552-174-05&amp;CardNumber=1","552-174-05")</f>
        <v>552-174-05</v>
      </c>
      <c r="B8133" t="s">
        <v>4655</v>
      </c>
      <c r="C8133" t="s">
        <v>37476</v>
      </c>
      <c r="D8133" s="1">
        <v>40388</v>
      </c>
      <c r="E8133" s="2">
        <v>130000</v>
      </c>
      <c r="F8133" t="s">
        <v>4553</v>
      </c>
      <c r="G8133" s="17" t="str">
        <f>HYPERLINK("https://www.washoecounty.gov/assessor/cama/?command=sales&amp;parid=55217405","3906795")</f>
        <v>3906795</v>
      </c>
      <c r="H8133" t="s">
        <v>3601</v>
      </c>
      <c r="I8133">
        <v>1978</v>
      </c>
      <c r="J8133">
        <v>1982</v>
      </c>
      <c r="K8133" t="s">
        <v>4554</v>
      </c>
      <c r="L8133" t="s">
        <v>4555</v>
      </c>
      <c r="M8133" s="2">
        <v>2296</v>
      </c>
      <c r="N8133" t="s">
        <v>4048</v>
      </c>
      <c r="O8133">
        <v>4</v>
      </c>
      <c r="P8133">
        <v>3</v>
      </c>
      <c r="Q8133">
        <v>0</v>
      </c>
      <c r="R8133" t="s">
        <v>4557</v>
      </c>
      <c r="S8133" t="s">
        <v>4558</v>
      </c>
      <c r="T8133" t="s">
        <v>4559</v>
      </c>
      <c r="U8133" t="s">
        <v>4560</v>
      </c>
      <c r="V8133" s="2">
        <v>484</v>
      </c>
      <c r="W8133" t="s">
        <v>4655</v>
      </c>
      <c r="X8133" s="2">
        <v>0</v>
      </c>
      <c r="Y8133">
        <v>20</v>
      </c>
      <c r="Z8133" t="s">
        <v>3884</v>
      </c>
      <c r="AA8133" s="3">
        <v>0.97199267148971558</v>
      </c>
      <c r="AB8133" t="s">
        <v>37477</v>
      </c>
      <c r="AC8133" t="s">
        <v>4562</v>
      </c>
      <c r="AD8133" t="s">
        <v>37478</v>
      </c>
      <c r="AE8133" t="s">
        <v>4655</v>
      </c>
      <c r="AF8133" t="s">
        <v>4563</v>
      </c>
      <c r="AG8133" t="s">
        <v>4564</v>
      </c>
      <c r="AH8133">
        <v>89506</v>
      </c>
      <c r="AI8133" t="s">
        <v>4503</v>
      </c>
      <c r="AJ8133" t="s">
        <v>37479</v>
      </c>
      <c r="AK8133" t="s">
        <v>37480</v>
      </c>
      <c r="AL8133" s="13" t="s">
        <v>1902</v>
      </c>
      <c r="AM8133">
        <v>1</v>
      </c>
      <c r="AN8133" s="15" t="s">
        <v>4349</v>
      </c>
    </row>
    <row r="8134" spans="1:40" x14ac:dyDescent="0.3">
      <c r="A8134" s="10" t="str">
        <f>HYPERLINK("http://www.washoecounty.gov/assessor/cama/?parid=552-174-09&amp;CardNumber=1","552-174-09")</f>
        <v>552-174-09</v>
      </c>
      <c r="B8134" t="s">
        <v>4655</v>
      </c>
      <c r="C8134" t="s">
        <v>37481</v>
      </c>
      <c r="D8134" s="1">
        <v>40529</v>
      </c>
      <c r="E8134" s="2">
        <v>240200</v>
      </c>
      <c r="F8134" t="s">
        <v>4553</v>
      </c>
      <c r="G8134" s="17" t="str">
        <f>HYPERLINK("https://www.washoecounty.gov/assessor/cama/?command=sales&amp;parid=55217409","3954707")</f>
        <v>3954707</v>
      </c>
      <c r="H8134" t="s">
        <v>37482</v>
      </c>
      <c r="I8134">
        <v>1977</v>
      </c>
      <c r="J8134">
        <v>1977</v>
      </c>
      <c r="K8134" t="s">
        <v>4554</v>
      </c>
      <c r="L8134" t="s">
        <v>3886</v>
      </c>
      <c r="M8134" s="2">
        <v>2283</v>
      </c>
      <c r="N8134" t="s">
        <v>5280</v>
      </c>
      <c r="O8134">
        <v>3</v>
      </c>
      <c r="P8134">
        <v>3</v>
      </c>
      <c r="Q8134">
        <v>0</v>
      </c>
      <c r="R8134" t="s">
        <v>5205</v>
      </c>
      <c r="S8134" t="s">
        <v>4558</v>
      </c>
      <c r="T8134" t="s">
        <v>4559</v>
      </c>
      <c r="U8134" t="s">
        <v>4560</v>
      </c>
      <c r="V8134" s="2">
        <v>484</v>
      </c>
      <c r="W8134" t="s">
        <v>4655</v>
      </c>
      <c r="X8134" s="2">
        <v>0</v>
      </c>
      <c r="Y8134">
        <v>20</v>
      </c>
      <c r="Z8134" t="s">
        <v>3884</v>
      </c>
      <c r="AA8134" s="3">
        <v>1.0519973039627</v>
      </c>
      <c r="AB8134" t="s">
        <v>37483</v>
      </c>
      <c r="AC8134" t="s">
        <v>4562</v>
      </c>
      <c r="AD8134" t="s">
        <v>37481</v>
      </c>
      <c r="AE8134" t="s">
        <v>4655</v>
      </c>
      <c r="AF8134" t="s">
        <v>4563</v>
      </c>
      <c r="AG8134" t="s">
        <v>4564</v>
      </c>
      <c r="AH8134">
        <v>89506</v>
      </c>
      <c r="AI8134" t="s">
        <v>4903</v>
      </c>
      <c r="AJ8134" t="s">
        <v>37484</v>
      </c>
      <c r="AK8134" t="s">
        <v>37485</v>
      </c>
      <c r="AL8134" s="13" t="s">
        <v>1902</v>
      </c>
      <c r="AM8134" s="14">
        <v>1</v>
      </c>
      <c r="AN8134" s="15" t="s">
        <v>4349</v>
      </c>
    </row>
    <row r="8135" spans="1:40" x14ac:dyDescent="0.3">
      <c r="A8135" s="10" t="str">
        <f>HYPERLINK("http://www.washoecounty.gov/assessor/cama/?parid=552-175-09&amp;CardNumber=1","552-175-09")</f>
        <v>552-175-09</v>
      </c>
      <c r="B8135" t="s">
        <v>4655</v>
      </c>
      <c r="C8135" t="s">
        <v>37486</v>
      </c>
      <c r="D8135" s="1">
        <v>40347</v>
      </c>
      <c r="E8135" s="2">
        <v>170000</v>
      </c>
      <c r="F8135" t="s">
        <v>4567</v>
      </c>
      <c r="G8135" s="17" t="str">
        <f>HYPERLINK("https://www.washoecounty.gov/assessor/cama/?command=sales&amp;parid=55217509","3893406")</f>
        <v>3893406</v>
      </c>
      <c r="H8135" t="s">
        <v>3601</v>
      </c>
      <c r="I8135">
        <v>1973</v>
      </c>
      <c r="J8135">
        <v>1973</v>
      </c>
      <c r="K8135" t="s">
        <v>4554</v>
      </c>
      <c r="L8135" t="s">
        <v>4555</v>
      </c>
      <c r="M8135" s="2">
        <v>1423</v>
      </c>
      <c r="N8135" t="s">
        <v>4048</v>
      </c>
      <c r="O8135">
        <v>3</v>
      </c>
      <c r="P8135">
        <v>2</v>
      </c>
      <c r="Q8135">
        <v>0</v>
      </c>
      <c r="R8135" t="s">
        <v>4557</v>
      </c>
      <c r="S8135" t="s">
        <v>3148</v>
      </c>
      <c r="T8135" t="s">
        <v>4559</v>
      </c>
      <c r="U8135" t="s">
        <v>4560</v>
      </c>
      <c r="V8135" s="2">
        <v>520</v>
      </c>
      <c r="W8135" t="s">
        <v>4655</v>
      </c>
      <c r="X8135" s="2">
        <v>0</v>
      </c>
      <c r="Y8135">
        <v>20</v>
      </c>
      <c r="Z8135" t="s">
        <v>3884</v>
      </c>
      <c r="AA8135" s="3">
        <v>1.1769973039627</v>
      </c>
      <c r="AB8135" t="s">
        <v>37487</v>
      </c>
      <c r="AC8135" t="s">
        <v>4562</v>
      </c>
      <c r="AD8135" t="s">
        <v>37486</v>
      </c>
      <c r="AE8135" t="s">
        <v>4655</v>
      </c>
      <c r="AF8135" t="s">
        <v>4563</v>
      </c>
      <c r="AG8135" t="s">
        <v>4564</v>
      </c>
      <c r="AH8135">
        <v>89506</v>
      </c>
      <c r="AI8135" t="s">
        <v>37488</v>
      </c>
      <c r="AJ8135" t="s">
        <v>37489</v>
      </c>
      <c r="AK8135" t="s">
        <v>37490</v>
      </c>
      <c r="AL8135" s="13" t="s">
        <v>1902</v>
      </c>
      <c r="AM8135">
        <v>1</v>
      </c>
      <c r="AN8135" s="15" t="s">
        <v>4349</v>
      </c>
    </row>
    <row r="8136" spans="1:40" x14ac:dyDescent="0.3">
      <c r="A8136" s="10" t="str">
        <f>HYPERLINK("http://www.washoecounty.gov/assessor/cama/?parid=552-181-09&amp;CardNumber=1","552-181-09")</f>
        <v>552-181-09</v>
      </c>
      <c r="B8136" t="s">
        <v>4655</v>
      </c>
      <c r="C8136" t="s">
        <v>352</v>
      </c>
      <c r="D8136" s="1">
        <v>40228</v>
      </c>
      <c r="E8136" s="2">
        <v>120000</v>
      </c>
      <c r="F8136" t="s">
        <v>4553</v>
      </c>
      <c r="G8136" s="17" t="str">
        <f>HYPERLINK("https://www.washoecounty.gov/assessor/cama/?command=sales&amp;parid=55218109","3851255")</f>
        <v>3851255</v>
      </c>
      <c r="H8136" t="s">
        <v>353</v>
      </c>
      <c r="I8136">
        <v>1977</v>
      </c>
      <c r="J8136">
        <v>1977</v>
      </c>
      <c r="K8136" t="s">
        <v>4554</v>
      </c>
      <c r="L8136" t="s">
        <v>4555</v>
      </c>
      <c r="M8136" s="2">
        <v>1782</v>
      </c>
      <c r="N8136" t="s">
        <v>4048</v>
      </c>
      <c r="O8136">
        <v>3</v>
      </c>
      <c r="P8136">
        <v>2</v>
      </c>
      <c r="Q8136">
        <v>0</v>
      </c>
      <c r="R8136" t="s">
        <v>4557</v>
      </c>
      <c r="S8136" t="s">
        <v>3148</v>
      </c>
      <c r="T8136" t="s">
        <v>4143</v>
      </c>
      <c r="U8136" t="s">
        <v>4560</v>
      </c>
      <c r="V8136" s="2">
        <v>525</v>
      </c>
      <c r="W8136" t="s">
        <v>4655</v>
      </c>
      <c r="X8136" s="2">
        <v>0</v>
      </c>
      <c r="Y8136">
        <v>20</v>
      </c>
      <c r="Z8136" t="s">
        <v>3884</v>
      </c>
      <c r="AA8136" s="3">
        <v>1.0870064496994001</v>
      </c>
      <c r="AB8136" t="s">
        <v>37491</v>
      </c>
      <c r="AC8136" t="s">
        <v>4562</v>
      </c>
      <c r="AD8136" t="s">
        <v>37492</v>
      </c>
      <c r="AE8136" t="s">
        <v>4655</v>
      </c>
      <c r="AF8136" t="s">
        <v>4563</v>
      </c>
      <c r="AG8136" t="s">
        <v>4564</v>
      </c>
      <c r="AH8136">
        <v>89508</v>
      </c>
      <c r="AI8136" t="s">
        <v>37493</v>
      </c>
      <c r="AJ8136" t="s">
        <v>37494</v>
      </c>
      <c r="AK8136" t="s">
        <v>354</v>
      </c>
      <c r="AL8136" s="13" t="s">
        <v>1902</v>
      </c>
      <c r="AM8136">
        <v>1</v>
      </c>
      <c r="AN8136" s="15" t="s">
        <v>4349</v>
      </c>
    </row>
    <row r="8137" spans="1:40" x14ac:dyDescent="0.3">
      <c r="A8137" s="10" t="str">
        <f>HYPERLINK("http://www.washoecounty.gov/assessor/cama/?parid=552-201-15&amp;CardNumber=1","552-201-15")</f>
        <v>552-201-15</v>
      </c>
      <c r="B8137" t="s">
        <v>4655</v>
      </c>
      <c r="C8137" t="s">
        <v>37495</v>
      </c>
      <c r="D8137" s="1">
        <v>40340</v>
      </c>
      <c r="E8137" s="2">
        <v>160000</v>
      </c>
      <c r="F8137" t="s">
        <v>4553</v>
      </c>
      <c r="G8137" s="17" t="str">
        <f>HYPERLINK("https://www.washoecounty.gov/assessor/cama/?command=sales&amp;parid=55220115","3891082")</f>
        <v>3891082</v>
      </c>
      <c r="H8137" t="s">
        <v>37496</v>
      </c>
      <c r="I8137">
        <v>1971</v>
      </c>
      <c r="J8137">
        <v>1973</v>
      </c>
      <c r="K8137" t="s">
        <v>4554</v>
      </c>
      <c r="L8137" t="s">
        <v>4555</v>
      </c>
      <c r="M8137" s="2">
        <v>2008</v>
      </c>
      <c r="N8137" t="s">
        <v>4048</v>
      </c>
      <c r="O8137">
        <v>3</v>
      </c>
      <c r="P8137">
        <v>2</v>
      </c>
      <c r="Q8137">
        <v>0</v>
      </c>
      <c r="R8137" t="s">
        <v>4557</v>
      </c>
      <c r="S8137" t="s">
        <v>4898</v>
      </c>
      <c r="T8137" t="s">
        <v>4559</v>
      </c>
      <c r="U8137" t="s">
        <v>4655</v>
      </c>
      <c r="V8137" s="2">
        <v>0</v>
      </c>
      <c r="W8137" t="s">
        <v>4655</v>
      </c>
      <c r="X8137" s="2">
        <v>0</v>
      </c>
      <c r="Y8137">
        <v>20</v>
      </c>
      <c r="Z8137" t="s">
        <v>3884</v>
      </c>
      <c r="AA8137" s="3">
        <v>1.0579890012741</v>
      </c>
      <c r="AB8137" t="s">
        <v>37497</v>
      </c>
      <c r="AC8137" t="s">
        <v>4562</v>
      </c>
      <c r="AD8137" t="s">
        <v>37498</v>
      </c>
      <c r="AE8137" t="s">
        <v>4655</v>
      </c>
      <c r="AF8137" t="s">
        <v>4563</v>
      </c>
      <c r="AG8137" t="s">
        <v>4564</v>
      </c>
      <c r="AH8137">
        <v>89506</v>
      </c>
      <c r="AI8137" t="s">
        <v>4503</v>
      </c>
      <c r="AJ8137" t="s">
        <v>37499</v>
      </c>
      <c r="AK8137" t="s">
        <v>37500</v>
      </c>
      <c r="AL8137" s="13" t="s">
        <v>1902</v>
      </c>
      <c r="AM8137">
        <v>1</v>
      </c>
      <c r="AN8137" s="15" t="s">
        <v>4349</v>
      </c>
    </row>
    <row r="8138" spans="1:40" x14ac:dyDescent="0.3">
      <c r="A8138" s="10" t="str">
        <f>HYPERLINK("http://www.washoecounty.gov/assessor/cama/?parid=552-201-18&amp;CardNumber=1","552-201-18")</f>
        <v>552-201-18</v>
      </c>
      <c r="B8138" t="s">
        <v>4655</v>
      </c>
      <c r="C8138" t="s">
        <v>37501</v>
      </c>
      <c r="D8138" s="1">
        <v>40448</v>
      </c>
      <c r="E8138" s="2">
        <v>161000</v>
      </c>
      <c r="F8138" t="s">
        <v>4553</v>
      </c>
      <c r="G8138" s="17" t="str">
        <f>HYPERLINK("https://www.washoecounty.gov/assessor/cama/?command=sales&amp;parid=55220118","3926658")</f>
        <v>3926658</v>
      </c>
      <c r="H8138" t="s">
        <v>37496</v>
      </c>
      <c r="I8138">
        <v>1971</v>
      </c>
      <c r="J8138">
        <v>1971</v>
      </c>
      <c r="K8138" t="s">
        <v>4554</v>
      </c>
      <c r="L8138" t="s">
        <v>4555</v>
      </c>
      <c r="M8138" s="2">
        <v>1637</v>
      </c>
      <c r="N8138" t="s">
        <v>5280</v>
      </c>
      <c r="O8138">
        <v>3</v>
      </c>
      <c r="P8138">
        <v>2</v>
      </c>
      <c r="Q8138">
        <v>0</v>
      </c>
      <c r="R8138" t="s">
        <v>4557</v>
      </c>
      <c r="S8138" t="s">
        <v>3148</v>
      </c>
      <c r="T8138" t="s">
        <v>4559</v>
      </c>
      <c r="U8138" t="s">
        <v>4560</v>
      </c>
      <c r="V8138" s="2">
        <v>1720</v>
      </c>
      <c r="W8138" t="s">
        <v>4655</v>
      </c>
      <c r="X8138" s="2">
        <v>0</v>
      </c>
      <c r="Y8138">
        <v>20</v>
      </c>
      <c r="Z8138" t="s">
        <v>3884</v>
      </c>
      <c r="AA8138" s="3">
        <v>1.00700187683105</v>
      </c>
      <c r="AB8138" t="s">
        <v>37502</v>
      </c>
      <c r="AC8138" t="s">
        <v>4562</v>
      </c>
      <c r="AD8138" t="s">
        <v>37503</v>
      </c>
      <c r="AE8138" t="s">
        <v>4655</v>
      </c>
      <c r="AF8138" t="s">
        <v>5310</v>
      </c>
      <c r="AG8138" t="s">
        <v>4584</v>
      </c>
      <c r="AH8138">
        <v>94509</v>
      </c>
      <c r="AI8138" t="s">
        <v>4903</v>
      </c>
      <c r="AJ8138" t="s">
        <v>37504</v>
      </c>
      <c r="AK8138" t="s">
        <v>37505</v>
      </c>
      <c r="AL8138" s="13" t="s">
        <v>1902</v>
      </c>
      <c r="AM8138" s="14">
        <v>1</v>
      </c>
      <c r="AN8138" s="15" t="s">
        <v>4349</v>
      </c>
    </row>
    <row r="8139" spans="1:40" x14ac:dyDescent="0.3">
      <c r="A8139" s="10" t="str">
        <f>HYPERLINK("http://www.washoecounty.gov/assessor/cama/?parid=552-202-20&amp;CardNumber=1","552-202-20")</f>
        <v>552-202-20</v>
      </c>
      <c r="B8139" t="s">
        <v>4655</v>
      </c>
      <c r="C8139" t="s">
        <v>37506</v>
      </c>
      <c r="D8139" s="1">
        <v>40388</v>
      </c>
      <c r="E8139" s="2">
        <v>170000</v>
      </c>
      <c r="F8139" t="s">
        <v>4567</v>
      </c>
      <c r="G8139" s="17" t="str">
        <f>HYPERLINK("https://www.washoecounty.gov/assessor/cama/?command=sales&amp;parid=55220220","3906718")</f>
        <v>3906718</v>
      </c>
      <c r="H8139" t="s">
        <v>37496</v>
      </c>
      <c r="I8139">
        <v>1979</v>
      </c>
      <c r="J8139">
        <v>1979</v>
      </c>
      <c r="K8139" t="s">
        <v>4554</v>
      </c>
      <c r="L8139" t="s">
        <v>4569</v>
      </c>
      <c r="M8139" s="2">
        <v>1056</v>
      </c>
      <c r="N8139" t="s">
        <v>4048</v>
      </c>
      <c r="O8139">
        <v>3</v>
      </c>
      <c r="P8139">
        <v>2</v>
      </c>
      <c r="Q8139">
        <v>0</v>
      </c>
      <c r="R8139" t="s">
        <v>4557</v>
      </c>
      <c r="S8139" t="s">
        <v>4558</v>
      </c>
      <c r="T8139" t="s">
        <v>4559</v>
      </c>
      <c r="U8139" t="s">
        <v>4560</v>
      </c>
      <c r="V8139" s="2">
        <v>528</v>
      </c>
      <c r="W8139" t="s">
        <v>3201</v>
      </c>
      <c r="X8139" s="2">
        <v>1056</v>
      </c>
      <c r="Y8139">
        <v>20</v>
      </c>
      <c r="Z8139" t="s">
        <v>3884</v>
      </c>
      <c r="AA8139" s="3">
        <v>1.11999535560607</v>
      </c>
      <c r="AB8139" t="s">
        <v>37507</v>
      </c>
      <c r="AC8139" t="s">
        <v>4562</v>
      </c>
      <c r="AD8139" t="s">
        <v>37506</v>
      </c>
      <c r="AE8139" t="s">
        <v>4655</v>
      </c>
      <c r="AF8139" t="s">
        <v>4563</v>
      </c>
      <c r="AG8139" t="s">
        <v>4564</v>
      </c>
      <c r="AH8139">
        <v>89506</v>
      </c>
      <c r="AI8139" t="s">
        <v>37508</v>
      </c>
      <c r="AJ8139" t="s">
        <v>37509</v>
      </c>
      <c r="AK8139" t="s">
        <v>37510</v>
      </c>
      <c r="AL8139" s="13" t="s">
        <v>1902</v>
      </c>
      <c r="AM8139">
        <v>1</v>
      </c>
      <c r="AN8139" s="15" t="s">
        <v>4349</v>
      </c>
    </row>
    <row r="8140" spans="1:40" x14ac:dyDescent="0.3">
      <c r="A8140" s="10" t="str">
        <f>HYPERLINK("http://www.washoecounty.gov/assessor/cama/?parid=552-203-01&amp;CardNumber=1","552-203-01")</f>
        <v>552-203-01</v>
      </c>
      <c r="B8140" t="s">
        <v>4655</v>
      </c>
      <c r="C8140" t="s">
        <v>37511</v>
      </c>
      <c r="D8140" s="1">
        <v>40263</v>
      </c>
      <c r="E8140" s="2">
        <v>230000</v>
      </c>
      <c r="F8140" t="s">
        <v>4553</v>
      </c>
      <c r="G8140" s="17" t="str">
        <f>HYPERLINK("https://www.washoecounty.gov/assessor/cama/?command=sales&amp;parid=55220301","3864331")</f>
        <v>3864331</v>
      </c>
      <c r="H8140" t="s">
        <v>1196</v>
      </c>
      <c r="I8140">
        <v>1981</v>
      </c>
      <c r="J8140">
        <v>1981</v>
      </c>
      <c r="K8140" t="s">
        <v>4554</v>
      </c>
      <c r="L8140" t="s">
        <v>4555</v>
      </c>
      <c r="M8140" s="2">
        <v>2504</v>
      </c>
      <c r="N8140" t="s">
        <v>3887</v>
      </c>
      <c r="O8140">
        <v>3</v>
      </c>
      <c r="P8140">
        <v>2</v>
      </c>
      <c r="Q8140">
        <v>0</v>
      </c>
      <c r="R8140" t="s">
        <v>4557</v>
      </c>
      <c r="S8140" t="s">
        <v>4135</v>
      </c>
      <c r="T8140" t="s">
        <v>2704</v>
      </c>
      <c r="U8140" t="s">
        <v>4560</v>
      </c>
      <c r="V8140" s="2">
        <v>1008</v>
      </c>
      <c r="W8140" t="s">
        <v>4655</v>
      </c>
      <c r="X8140" s="2">
        <v>0</v>
      </c>
      <c r="Y8140">
        <v>20</v>
      </c>
      <c r="Z8140" t="s">
        <v>3884</v>
      </c>
      <c r="AA8140" s="3">
        <v>1.00899910926818</v>
      </c>
      <c r="AB8140" t="s">
        <v>37512</v>
      </c>
      <c r="AC8140" t="s">
        <v>4562</v>
      </c>
      <c r="AD8140" t="s">
        <v>37511</v>
      </c>
      <c r="AE8140" t="s">
        <v>4655</v>
      </c>
      <c r="AF8140" t="s">
        <v>4563</v>
      </c>
      <c r="AG8140" t="s">
        <v>4564</v>
      </c>
      <c r="AH8140">
        <v>89506</v>
      </c>
      <c r="AI8140" t="s">
        <v>4903</v>
      </c>
      <c r="AJ8140" t="s">
        <v>37513</v>
      </c>
      <c r="AK8140" t="s">
        <v>37514</v>
      </c>
      <c r="AL8140" s="13" t="s">
        <v>1902</v>
      </c>
      <c r="AM8140" s="14">
        <v>1</v>
      </c>
      <c r="AN8140" s="15" t="s">
        <v>4349</v>
      </c>
    </row>
    <row r="8141" spans="1:40" x14ac:dyDescent="0.3">
      <c r="A8141" s="10" t="str">
        <f>HYPERLINK("http://www.washoecounty.gov/assessor/cama/?parid=552-221-08&amp;CardNumber=1","552-221-08")</f>
        <v>552-221-08</v>
      </c>
      <c r="B8141" t="s">
        <v>4655</v>
      </c>
      <c r="C8141" t="s">
        <v>37515</v>
      </c>
      <c r="D8141" s="1">
        <v>40256</v>
      </c>
      <c r="E8141" s="2">
        <v>77500</v>
      </c>
      <c r="F8141" t="s">
        <v>4567</v>
      </c>
      <c r="G8141" s="17" t="str">
        <f>HYPERLINK("https://www.washoecounty.gov/assessor/cama/?command=sales&amp;parid=55222108","3861569")</f>
        <v>3861569</v>
      </c>
      <c r="H8141" t="s">
        <v>2566</v>
      </c>
      <c r="I8141">
        <v>1970</v>
      </c>
      <c r="J8141">
        <v>1970</v>
      </c>
      <c r="K8141" t="s">
        <v>4554</v>
      </c>
      <c r="L8141" t="s">
        <v>4555</v>
      </c>
      <c r="M8141" s="2">
        <v>1143</v>
      </c>
      <c r="N8141" t="s">
        <v>4556</v>
      </c>
      <c r="O8141">
        <v>4</v>
      </c>
      <c r="P8141">
        <v>2</v>
      </c>
      <c r="Q8141">
        <v>0</v>
      </c>
      <c r="R8141" t="s">
        <v>4557</v>
      </c>
      <c r="S8141" t="s">
        <v>4558</v>
      </c>
      <c r="T8141" t="s">
        <v>4559</v>
      </c>
      <c r="U8141" t="s">
        <v>4560</v>
      </c>
      <c r="V8141" s="2">
        <v>288</v>
      </c>
      <c r="W8141" t="s">
        <v>4655</v>
      </c>
      <c r="X8141" s="2">
        <v>0</v>
      </c>
      <c r="Y8141">
        <v>20</v>
      </c>
      <c r="Z8141" t="s">
        <v>5508</v>
      </c>
      <c r="AA8141" s="3">
        <v>0.4629935622215271</v>
      </c>
      <c r="AB8141" t="s">
        <v>37516</v>
      </c>
      <c r="AC8141" t="s">
        <v>4562</v>
      </c>
      <c r="AD8141" t="s">
        <v>37515</v>
      </c>
      <c r="AE8141" t="s">
        <v>4655</v>
      </c>
      <c r="AF8141" t="s">
        <v>4563</v>
      </c>
      <c r="AG8141" t="s">
        <v>4564</v>
      </c>
      <c r="AH8141">
        <v>89506</v>
      </c>
      <c r="AI8141" t="s">
        <v>37517</v>
      </c>
      <c r="AJ8141" t="s">
        <v>37518</v>
      </c>
      <c r="AK8141" t="s">
        <v>37519</v>
      </c>
      <c r="AL8141" s="13" t="s">
        <v>1902</v>
      </c>
      <c r="AM8141">
        <v>1</v>
      </c>
      <c r="AN8141" s="15" t="s">
        <v>1794</v>
      </c>
    </row>
    <row r="8142" spans="1:40" x14ac:dyDescent="0.3">
      <c r="A8142" s="10" t="str">
        <f>HYPERLINK("http://www.washoecounty.gov/assessor/cama/?parid=552-224-12&amp;CardNumber=1","552-224-12")</f>
        <v>552-224-12</v>
      </c>
      <c r="B8142" t="s">
        <v>4655</v>
      </c>
      <c r="C8142" t="s">
        <v>37520</v>
      </c>
      <c r="D8142" s="1">
        <v>40322</v>
      </c>
      <c r="E8142" s="2">
        <v>105000</v>
      </c>
      <c r="F8142" t="s">
        <v>4567</v>
      </c>
      <c r="G8142" s="17" t="str">
        <f>HYPERLINK("https://www.washoecounty.gov/assessor/cama/?command=sales&amp;parid=55222412","3884288")</f>
        <v>3884288</v>
      </c>
      <c r="H8142" t="s">
        <v>2768</v>
      </c>
      <c r="I8142">
        <v>1964</v>
      </c>
      <c r="J8142">
        <v>1964</v>
      </c>
      <c r="K8142" t="s">
        <v>4554</v>
      </c>
      <c r="L8142" t="s">
        <v>4569</v>
      </c>
      <c r="M8142" s="2">
        <v>992</v>
      </c>
      <c r="N8142" t="s">
        <v>4556</v>
      </c>
      <c r="O8142">
        <v>4</v>
      </c>
      <c r="P8142">
        <v>2</v>
      </c>
      <c r="Q8142">
        <v>0</v>
      </c>
      <c r="R8142" t="s">
        <v>4557</v>
      </c>
      <c r="S8142" t="s">
        <v>4558</v>
      </c>
      <c r="T8142" t="s">
        <v>4559</v>
      </c>
      <c r="U8142" t="s">
        <v>4655</v>
      </c>
      <c r="V8142" s="2">
        <v>0</v>
      </c>
      <c r="W8142" t="s">
        <v>3149</v>
      </c>
      <c r="X8142" s="2">
        <v>960</v>
      </c>
      <c r="Y8142">
        <v>20</v>
      </c>
      <c r="Z8142" t="s">
        <v>5508</v>
      </c>
      <c r="AA8142" s="3">
        <v>0.42500001192092901</v>
      </c>
      <c r="AB8142" t="s">
        <v>37521</v>
      </c>
      <c r="AC8142" t="s">
        <v>4562</v>
      </c>
      <c r="AD8142" t="s">
        <v>37522</v>
      </c>
      <c r="AE8142" t="s">
        <v>4655</v>
      </c>
      <c r="AF8142" t="s">
        <v>4563</v>
      </c>
      <c r="AG8142" t="s">
        <v>4564</v>
      </c>
      <c r="AH8142">
        <v>89506</v>
      </c>
      <c r="AI8142" t="s">
        <v>37523</v>
      </c>
      <c r="AJ8142" t="s">
        <v>37524</v>
      </c>
      <c r="AK8142" t="s">
        <v>37525</v>
      </c>
      <c r="AL8142" s="13" t="s">
        <v>1902</v>
      </c>
      <c r="AM8142" s="14">
        <v>1</v>
      </c>
      <c r="AN8142" s="15" t="s">
        <v>1794</v>
      </c>
    </row>
    <row r="8143" spans="1:40" x14ac:dyDescent="0.3">
      <c r="A8143" s="10" t="str">
        <f>HYPERLINK("http://www.washoecounty.gov/assessor/cama/?parid=552-227-01&amp;CardNumber=1","552-227-01")</f>
        <v>552-227-01</v>
      </c>
      <c r="B8143" t="s">
        <v>4655</v>
      </c>
      <c r="C8143" t="s">
        <v>37526</v>
      </c>
      <c r="D8143" s="1">
        <v>40512</v>
      </c>
      <c r="E8143" s="2">
        <v>125000</v>
      </c>
      <c r="F8143" t="s">
        <v>4567</v>
      </c>
      <c r="G8143" s="17" t="str">
        <f>HYPERLINK("https://www.washoecounty.gov/assessor/cama/?command=sales&amp;parid=55222701","3948021")</f>
        <v>3948021</v>
      </c>
      <c r="H8143" t="s">
        <v>2566</v>
      </c>
      <c r="I8143">
        <v>1970</v>
      </c>
      <c r="J8143">
        <v>1970</v>
      </c>
      <c r="K8143" t="s">
        <v>4554</v>
      </c>
      <c r="L8143" t="s">
        <v>4555</v>
      </c>
      <c r="M8143" s="2">
        <v>961</v>
      </c>
      <c r="N8143" t="s">
        <v>4556</v>
      </c>
      <c r="O8143">
        <v>3</v>
      </c>
      <c r="P8143">
        <v>1</v>
      </c>
      <c r="Q8143">
        <v>0</v>
      </c>
      <c r="R8143" t="s">
        <v>4557</v>
      </c>
      <c r="S8143" t="s">
        <v>4558</v>
      </c>
      <c r="T8143" t="s">
        <v>4559</v>
      </c>
      <c r="U8143" t="s">
        <v>4655</v>
      </c>
      <c r="V8143" s="2">
        <v>0</v>
      </c>
      <c r="W8143" t="s">
        <v>4655</v>
      </c>
      <c r="X8143" s="2">
        <v>0</v>
      </c>
      <c r="Y8143">
        <v>20</v>
      </c>
      <c r="Z8143" t="s">
        <v>5508</v>
      </c>
      <c r="AA8143" s="3">
        <v>0.45300734043121299</v>
      </c>
      <c r="AB8143" t="s">
        <v>36382</v>
      </c>
      <c r="AC8143" t="s">
        <v>4562</v>
      </c>
      <c r="AD8143" t="s">
        <v>37526</v>
      </c>
      <c r="AE8143" t="s">
        <v>4655</v>
      </c>
      <c r="AF8143" t="s">
        <v>4563</v>
      </c>
      <c r="AG8143" t="s">
        <v>4564</v>
      </c>
      <c r="AH8143">
        <v>89506</v>
      </c>
      <c r="AI8143" t="s">
        <v>37527</v>
      </c>
      <c r="AJ8143" t="s">
        <v>37528</v>
      </c>
      <c r="AK8143" t="s">
        <v>37529</v>
      </c>
      <c r="AL8143" s="13" t="s">
        <v>1902</v>
      </c>
      <c r="AM8143">
        <v>1</v>
      </c>
      <c r="AN8143" s="15" t="s">
        <v>1794</v>
      </c>
    </row>
    <row r="8144" spans="1:40" x14ac:dyDescent="0.3">
      <c r="A8144" s="10" t="str">
        <f>HYPERLINK("http://www.washoecounty.gov/assessor/cama/?parid=552-233-12&amp;CardNumber=1","552-233-12")</f>
        <v>552-233-12</v>
      </c>
      <c r="B8144" t="s">
        <v>4655</v>
      </c>
      <c r="C8144" t="s">
        <v>37530</v>
      </c>
      <c r="D8144" s="1">
        <v>40217</v>
      </c>
      <c r="E8144" s="2">
        <v>120536</v>
      </c>
      <c r="F8144" t="s">
        <v>4553</v>
      </c>
      <c r="G8144" s="17" t="str">
        <f>HYPERLINK("https://www.washoecounty.gov/assessor/cama/?command=sales&amp;parid=55223312","3846777")</f>
        <v>3846777</v>
      </c>
      <c r="H8144" t="s">
        <v>37531</v>
      </c>
      <c r="I8144">
        <v>1979</v>
      </c>
      <c r="J8144">
        <v>1979</v>
      </c>
      <c r="K8144" t="s">
        <v>4554</v>
      </c>
      <c r="L8144" t="s">
        <v>2170</v>
      </c>
      <c r="M8144" s="2">
        <v>1698</v>
      </c>
      <c r="N8144" t="s">
        <v>4048</v>
      </c>
      <c r="O8144">
        <v>3</v>
      </c>
      <c r="P8144">
        <v>2</v>
      </c>
      <c r="Q8144">
        <v>0</v>
      </c>
      <c r="R8144" t="s">
        <v>4557</v>
      </c>
      <c r="S8144" t="s">
        <v>4558</v>
      </c>
      <c r="T8144" t="s">
        <v>4559</v>
      </c>
      <c r="U8144" t="s">
        <v>4560</v>
      </c>
      <c r="V8144" s="2">
        <v>756</v>
      </c>
      <c r="W8144" t="s">
        <v>4655</v>
      </c>
      <c r="X8144" s="2">
        <v>0</v>
      </c>
      <c r="Y8144">
        <v>20</v>
      </c>
      <c r="Z8144" t="s">
        <v>5508</v>
      </c>
      <c r="AA8144" s="3">
        <v>0.59609735012054399</v>
      </c>
      <c r="AB8144" t="s">
        <v>37532</v>
      </c>
      <c r="AC8144" t="s">
        <v>4562</v>
      </c>
      <c r="AD8144" t="s">
        <v>37530</v>
      </c>
      <c r="AE8144" t="s">
        <v>4655</v>
      </c>
      <c r="AF8144" t="s">
        <v>4563</v>
      </c>
      <c r="AG8144" t="s">
        <v>4564</v>
      </c>
      <c r="AH8144">
        <v>89506</v>
      </c>
      <c r="AI8144" t="s">
        <v>4903</v>
      </c>
      <c r="AJ8144" t="s">
        <v>37533</v>
      </c>
      <c r="AK8144" t="s">
        <v>37534</v>
      </c>
      <c r="AL8144" s="13" t="s">
        <v>1902</v>
      </c>
      <c r="AM8144">
        <v>1</v>
      </c>
      <c r="AN8144" s="15" t="s">
        <v>1794</v>
      </c>
    </row>
    <row r="8145" spans="1:40" x14ac:dyDescent="0.3">
      <c r="A8145" s="10" t="str">
        <f>HYPERLINK("http://www.washoecounty.gov/assessor/cama/?parid=552-241-13&amp;CardNumber=1","552-241-13")</f>
        <v>552-241-13</v>
      </c>
      <c r="B8145" t="s">
        <v>4655</v>
      </c>
      <c r="C8145" t="s">
        <v>37535</v>
      </c>
      <c r="D8145" s="1">
        <v>40442</v>
      </c>
      <c r="E8145" s="2">
        <v>90000</v>
      </c>
      <c r="F8145" t="s">
        <v>4567</v>
      </c>
      <c r="G8145" s="17" t="str">
        <f>HYPERLINK("https://www.washoecounty.gov/assessor/cama/?command=sales&amp;parid=55224113","3924658")</f>
        <v>3924658</v>
      </c>
      <c r="H8145" t="s">
        <v>37536</v>
      </c>
      <c r="I8145">
        <v>1972</v>
      </c>
      <c r="J8145">
        <v>1972</v>
      </c>
      <c r="K8145" t="s">
        <v>4554</v>
      </c>
      <c r="L8145" t="s">
        <v>4555</v>
      </c>
      <c r="M8145" s="2">
        <v>1056</v>
      </c>
      <c r="N8145" t="s">
        <v>4556</v>
      </c>
      <c r="O8145">
        <v>3</v>
      </c>
      <c r="P8145">
        <v>2</v>
      </c>
      <c r="Q8145">
        <v>0</v>
      </c>
      <c r="R8145" t="s">
        <v>4557</v>
      </c>
      <c r="S8145" t="s">
        <v>4135</v>
      </c>
      <c r="T8145" t="s">
        <v>4559</v>
      </c>
      <c r="U8145" t="s">
        <v>4560</v>
      </c>
      <c r="V8145" s="2">
        <v>384</v>
      </c>
      <c r="W8145" t="s">
        <v>4655</v>
      </c>
      <c r="X8145" s="2">
        <v>0</v>
      </c>
      <c r="Y8145">
        <v>20</v>
      </c>
      <c r="Z8145" t="s">
        <v>5508</v>
      </c>
      <c r="AA8145" s="3">
        <v>0.41200643777847301</v>
      </c>
      <c r="AB8145" t="s">
        <v>37537</v>
      </c>
      <c r="AC8145" t="s">
        <v>4562</v>
      </c>
      <c r="AD8145" t="s">
        <v>37535</v>
      </c>
      <c r="AE8145" t="s">
        <v>4655</v>
      </c>
      <c r="AF8145" t="s">
        <v>4563</v>
      </c>
      <c r="AG8145" t="s">
        <v>4564</v>
      </c>
      <c r="AH8145">
        <v>89506</v>
      </c>
      <c r="AI8145" t="s">
        <v>37538</v>
      </c>
      <c r="AJ8145" t="s">
        <v>37539</v>
      </c>
      <c r="AK8145" t="s">
        <v>37540</v>
      </c>
      <c r="AL8145" s="13" t="s">
        <v>1902</v>
      </c>
      <c r="AM8145" s="14">
        <v>1</v>
      </c>
      <c r="AN8145" s="15" t="s">
        <v>1794</v>
      </c>
    </row>
    <row r="8146" spans="1:40" x14ac:dyDescent="0.3">
      <c r="A8146" s="10" t="str">
        <f>HYPERLINK("http://www.washoecounty.gov/assessor/cama/?parid=552-241-29&amp;CardNumber=1","552-241-29")</f>
        <v>552-241-29</v>
      </c>
      <c r="B8146" t="s">
        <v>4655</v>
      </c>
      <c r="C8146" t="s">
        <v>37541</v>
      </c>
      <c r="D8146" s="1">
        <v>40464</v>
      </c>
      <c r="E8146" s="2">
        <v>79000</v>
      </c>
      <c r="F8146" t="s">
        <v>4553</v>
      </c>
      <c r="G8146" s="17" t="str">
        <f>HYPERLINK("https://www.washoecounty.gov/assessor/cama/?command=sales&amp;parid=55224129","3932222")</f>
        <v>3932222</v>
      </c>
      <c r="H8146" t="s">
        <v>37542</v>
      </c>
      <c r="I8146">
        <v>1972</v>
      </c>
      <c r="J8146">
        <v>1972</v>
      </c>
      <c r="K8146" t="s">
        <v>4554</v>
      </c>
      <c r="L8146" t="s">
        <v>4555</v>
      </c>
      <c r="M8146" s="2">
        <v>1056</v>
      </c>
      <c r="N8146" t="s">
        <v>4556</v>
      </c>
      <c r="O8146">
        <v>3</v>
      </c>
      <c r="P8146">
        <v>2</v>
      </c>
      <c r="Q8146">
        <v>0</v>
      </c>
      <c r="R8146" t="s">
        <v>4557</v>
      </c>
      <c r="S8146" t="s">
        <v>4558</v>
      </c>
      <c r="T8146" t="s">
        <v>4559</v>
      </c>
      <c r="U8146" t="s">
        <v>162</v>
      </c>
      <c r="V8146" s="2">
        <v>1288</v>
      </c>
      <c r="W8146" t="s">
        <v>4655</v>
      </c>
      <c r="X8146" s="2">
        <v>0</v>
      </c>
      <c r="Y8146">
        <v>20</v>
      </c>
      <c r="Z8146" t="s">
        <v>5508</v>
      </c>
      <c r="AA8146" s="3">
        <v>0.38399907946586598</v>
      </c>
      <c r="AB8146" t="s">
        <v>22203</v>
      </c>
      <c r="AC8146" t="s">
        <v>4562</v>
      </c>
      <c r="AD8146" t="s">
        <v>37543</v>
      </c>
      <c r="AE8146" t="s">
        <v>4655</v>
      </c>
      <c r="AF8146" t="s">
        <v>4563</v>
      </c>
      <c r="AG8146" t="s">
        <v>4564</v>
      </c>
      <c r="AH8146" t="s">
        <v>1147</v>
      </c>
      <c r="AI8146" t="s">
        <v>4045</v>
      </c>
      <c r="AJ8146" t="s">
        <v>37544</v>
      </c>
      <c r="AK8146" t="s">
        <v>37545</v>
      </c>
      <c r="AL8146" s="13" t="s">
        <v>1902</v>
      </c>
      <c r="AM8146" s="14">
        <v>1</v>
      </c>
      <c r="AN8146" s="15" t="s">
        <v>1794</v>
      </c>
    </row>
    <row r="8147" spans="1:40" x14ac:dyDescent="0.3">
      <c r="A8147" s="10" t="str">
        <f>HYPERLINK("http://www.washoecounty.gov/assessor/cama/?parid=552-271-08&amp;CardNumber=1","552-271-08")</f>
        <v>552-271-08</v>
      </c>
      <c r="B8147" t="s">
        <v>4655</v>
      </c>
      <c r="C8147" t="s">
        <v>37546</v>
      </c>
      <c r="D8147" s="1">
        <v>40210</v>
      </c>
      <c r="E8147" s="2">
        <v>160000</v>
      </c>
      <c r="F8147" t="s">
        <v>4553</v>
      </c>
      <c r="G8147" s="17" t="str">
        <f>HYPERLINK("https://www.washoecounty.gov/assessor/cama/?command=sales&amp;parid=55227108","3844809")</f>
        <v>3844809</v>
      </c>
      <c r="H8147" t="s">
        <v>1795</v>
      </c>
      <c r="I8147">
        <v>2006</v>
      </c>
      <c r="J8147">
        <v>2006</v>
      </c>
      <c r="K8147" t="s">
        <v>4554</v>
      </c>
      <c r="L8147" t="s">
        <v>4555</v>
      </c>
      <c r="M8147" s="2">
        <v>1592</v>
      </c>
      <c r="N8147" t="s">
        <v>5280</v>
      </c>
      <c r="O8147">
        <v>3</v>
      </c>
      <c r="P8147">
        <v>2</v>
      </c>
      <c r="Q8147">
        <v>0</v>
      </c>
      <c r="R8147" t="s">
        <v>5281</v>
      </c>
      <c r="S8147" t="s">
        <v>4898</v>
      </c>
      <c r="T8147" t="s">
        <v>2704</v>
      </c>
      <c r="U8147" t="s">
        <v>4560</v>
      </c>
      <c r="V8147" s="2">
        <v>400</v>
      </c>
      <c r="W8147" t="s">
        <v>4655</v>
      </c>
      <c r="X8147" s="2">
        <v>0</v>
      </c>
      <c r="Y8147">
        <v>20</v>
      </c>
      <c r="Z8147" t="s">
        <v>642</v>
      </c>
      <c r="AA8147" s="3">
        <v>0.149127647280693</v>
      </c>
      <c r="AB8147" t="s">
        <v>37547</v>
      </c>
      <c r="AC8147" t="s">
        <v>4575</v>
      </c>
      <c r="AD8147" t="s">
        <v>37548</v>
      </c>
      <c r="AE8147" t="s">
        <v>4655</v>
      </c>
      <c r="AF8147" t="s">
        <v>3114</v>
      </c>
      <c r="AG8147" t="s">
        <v>4564</v>
      </c>
      <c r="AH8147">
        <v>89506</v>
      </c>
      <c r="AI8147" t="s">
        <v>1796</v>
      </c>
      <c r="AJ8147" t="s">
        <v>1797</v>
      </c>
      <c r="AK8147" t="s">
        <v>37549</v>
      </c>
      <c r="AL8147" s="13" t="s">
        <v>1901</v>
      </c>
      <c r="AM8147">
        <v>1</v>
      </c>
      <c r="AN8147" s="15" t="s">
        <v>2163</v>
      </c>
    </row>
    <row r="8148" spans="1:40" x14ac:dyDescent="0.3">
      <c r="A8148" s="10" t="str">
        <f>HYPERLINK("http://www.washoecounty.gov/assessor/cama/?parid=552-271-12&amp;CardNumber=1","552-271-12")</f>
        <v>552-271-12</v>
      </c>
      <c r="B8148" t="s">
        <v>4655</v>
      </c>
      <c r="C8148" t="s">
        <v>37550</v>
      </c>
      <c r="D8148" s="1">
        <v>40449</v>
      </c>
      <c r="E8148" s="2">
        <v>180500</v>
      </c>
      <c r="F8148" t="s">
        <v>4567</v>
      </c>
      <c r="G8148" s="17" t="str">
        <f>HYPERLINK("https://www.washoecounty.gov/assessor/cama/?command=sales&amp;parid=55227112","3927123")</f>
        <v>3927123</v>
      </c>
      <c r="H8148" t="s">
        <v>1795</v>
      </c>
      <c r="I8148">
        <v>2006</v>
      </c>
      <c r="J8148">
        <v>2006</v>
      </c>
      <c r="K8148" t="s">
        <v>4554</v>
      </c>
      <c r="L8148" t="s">
        <v>3974</v>
      </c>
      <c r="M8148" s="2">
        <v>2163</v>
      </c>
      <c r="N8148" t="s">
        <v>5280</v>
      </c>
      <c r="O8148">
        <v>3</v>
      </c>
      <c r="P8148">
        <v>2</v>
      </c>
      <c r="Q8148">
        <v>1</v>
      </c>
      <c r="R8148" t="s">
        <v>5281</v>
      </c>
      <c r="S8148" t="s">
        <v>4898</v>
      </c>
      <c r="T8148" t="s">
        <v>2704</v>
      </c>
      <c r="U8148" t="s">
        <v>5631</v>
      </c>
      <c r="V8148" s="2">
        <v>407</v>
      </c>
      <c r="W8148" t="s">
        <v>4655</v>
      </c>
      <c r="X8148" s="2">
        <v>0</v>
      </c>
      <c r="Y8148">
        <v>20</v>
      </c>
      <c r="Z8148" t="s">
        <v>642</v>
      </c>
      <c r="AA8148" s="3">
        <v>0.15693296492099801</v>
      </c>
      <c r="AB8148" t="s">
        <v>37551</v>
      </c>
      <c r="AC8148" t="s">
        <v>4562</v>
      </c>
      <c r="AD8148" t="s">
        <v>37550</v>
      </c>
      <c r="AE8148" t="s">
        <v>4655</v>
      </c>
      <c r="AF8148" t="s">
        <v>4563</v>
      </c>
      <c r="AG8148" t="s">
        <v>4564</v>
      </c>
      <c r="AH8148">
        <v>89508</v>
      </c>
      <c r="AI8148" t="s">
        <v>37552</v>
      </c>
      <c r="AJ8148" t="s">
        <v>1797</v>
      </c>
      <c r="AK8148" t="s">
        <v>37553</v>
      </c>
      <c r="AL8148" s="13" t="s">
        <v>1901</v>
      </c>
      <c r="AM8148" s="14">
        <v>1</v>
      </c>
      <c r="AN8148" s="15" t="s">
        <v>2163</v>
      </c>
    </row>
    <row r="8149" spans="1:40" x14ac:dyDescent="0.3">
      <c r="A8149" s="10" t="str">
        <f>HYPERLINK("http://www.washoecounty.gov/assessor/cama/?parid=552-272-01&amp;CardNumber=1","552-272-01")</f>
        <v>552-272-01</v>
      </c>
      <c r="B8149" t="s">
        <v>4655</v>
      </c>
      <c r="C8149" t="s">
        <v>37554</v>
      </c>
      <c r="D8149" s="1">
        <v>40501</v>
      </c>
      <c r="E8149" s="2">
        <v>144000</v>
      </c>
      <c r="F8149" t="s">
        <v>4567</v>
      </c>
      <c r="G8149" s="17" t="str">
        <f>HYPERLINK("https://www.washoecounty.gov/assessor/cama/?command=sales&amp;parid=55227201","3944828")</f>
        <v>3944828</v>
      </c>
      <c r="H8149" t="s">
        <v>1795</v>
      </c>
      <c r="I8149">
        <v>2006</v>
      </c>
      <c r="J8149">
        <v>2006</v>
      </c>
      <c r="K8149" t="s">
        <v>4554</v>
      </c>
      <c r="L8149" t="s">
        <v>4555</v>
      </c>
      <c r="M8149" s="2">
        <v>1592</v>
      </c>
      <c r="N8149" t="s">
        <v>5280</v>
      </c>
      <c r="O8149">
        <v>3</v>
      </c>
      <c r="P8149">
        <v>2</v>
      </c>
      <c r="Q8149">
        <v>0</v>
      </c>
      <c r="R8149" t="s">
        <v>5281</v>
      </c>
      <c r="S8149" t="s">
        <v>4898</v>
      </c>
      <c r="T8149" t="s">
        <v>2704</v>
      </c>
      <c r="U8149" t="s">
        <v>4560</v>
      </c>
      <c r="V8149" s="2">
        <v>400</v>
      </c>
      <c r="W8149" t="s">
        <v>4655</v>
      </c>
      <c r="X8149" s="2">
        <v>0</v>
      </c>
      <c r="Y8149">
        <v>20</v>
      </c>
      <c r="Z8149" t="s">
        <v>642</v>
      </c>
      <c r="AA8149" s="3">
        <v>0.16062901914119701</v>
      </c>
      <c r="AB8149" t="s">
        <v>37555</v>
      </c>
      <c r="AC8149" t="s">
        <v>4562</v>
      </c>
      <c r="AD8149" t="s">
        <v>37554</v>
      </c>
      <c r="AE8149" t="s">
        <v>4655</v>
      </c>
      <c r="AF8149" t="s">
        <v>4563</v>
      </c>
      <c r="AG8149" t="s">
        <v>4564</v>
      </c>
      <c r="AH8149">
        <v>89506</v>
      </c>
      <c r="AI8149" t="s">
        <v>37556</v>
      </c>
      <c r="AJ8149" t="s">
        <v>1797</v>
      </c>
      <c r="AK8149" t="s">
        <v>37557</v>
      </c>
      <c r="AL8149" s="13" t="s">
        <v>1901</v>
      </c>
      <c r="AM8149" s="14">
        <v>1</v>
      </c>
      <c r="AN8149" s="15" t="s">
        <v>2163</v>
      </c>
    </row>
    <row r="8150" spans="1:40" x14ac:dyDescent="0.3">
      <c r="A8150" s="10" t="str">
        <f>HYPERLINK("http://www.washoecounty.gov/assessor/cama/?parid=552-272-02&amp;CardNumber=1","552-272-02")</f>
        <v>552-272-02</v>
      </c>
      <c r="B8150" t="s">
        <v>4655</v>
      </c>
      <c r="C8150" t="s">
        <v>37558</v>
      </c>
      <c r="D8150" s="1">
        <v>40288</v>
      </c>
      <c r="E8150" s="2">
        <v>180000</v>
      </c>
      <c r="F8150" t="s">
        <v>4553</v>
      </c>
      <c r="G8150" s="17" t="str">
        <f>HYPERLINK("https://www.washoecounty.gov/assessor/cama/?command=sales&amp;parid=55227202","3872888")</f>
        <v>3872888</v>
      </c>
      <c r="H8150" t="s">
        <v>1795</v>
      </c>
      <c r="I8150">
        <v>2006</v>
      </c>
      <c r="J8150">
        <v>2006</v>
      </c>
      <c r="K8150" t="s">
        <v>4554</v>
      </c>
      <c r="L8150" t="s">
        <v>3974</v>
      </c>
      <c r="M8150" s="2">
        <v>1985</v>
      </c>
      <c r="N8150" t="s">
        <v>5280</v>
      </c>
      <c r="O8150">
        <v>4</v>
      </c>
      <c r="P8150">
        <v>2</v>
      </c>
      <c r="Q8150">
        <v>1</v>
      </c>
      <c r="R8150" t="s">
        <v>5281</v>
      </c>
      <c r="S8150" t="s">
        <v>4898</v>
      </c>
      <c r="T8150" t="s">
        <v>2704</v>
      </c>
      <c r="U8150" t="s">
        <v>5631</v>
      </c>
      <c r="V8150" s="2">
        <v>462</v>
      </c>
      <c r="W8150" t="s">
        <v>4655</v>
      </c>
      <c r="X8150" s="2">
        <v>0</v>
      </c>
      <c r="Y8150">
        <v>20</v>
      </c>
      <c r="Z8150" t="s">
        <v>642</v>
      </c>
      <c r="AA8150" s="3">
        <v>0.14058770239353199</v>
      </c>
      <c r="AB8150" t="s">
        <v>37559</v>
      </c>
      <c r="AC8150" t="s">
        <v>4575</v>
      </c>
      <c r="AD8150" t="s">
        <v>37560</v>
      </c>
      <c r="AE8150" t="s">
        <v>4655</v>
      </c>
      <c r="AF8150" t="s">
        <v>4563</v>
      </c>
      <c r="AG8150" t="s">
        <v>4564</v>
      </c>
      <c r="AH8150">
        <v>89506</v>
      </c>
      <c r="AI8150" t="s">
        <v>4903</v>
      </c>
      <c r="AJ8150" t="s">
        <v>1797</v>
      </c>
      <c r="AK8150" t="s">
        <v>37561</v>
      </c>
      <c r="AL8150" s="13" t="s">
        <v>1901</v>
      </c>
      <c r="AM8150">
        <v>1</v>
      </c>
      <c r="AN8150" s="15" t="s">
        <v>2163</v>
      </c>
    </row>
    <row r="8151" spans="1:40" x14ac:dyDescent="0.3">
      <c r="A8151" s="10" t="str">
        <f>HYPERLINK("http://www.washoecounty.gov/assessor/cama/?parid=552-272-08&amp;CardNumber=1","552-272-08")</f>
        <v>552-272-08</v>
      </c>
      <c r="B8151" t="s">
        <v>4655</v>
      </c>
      <c r="C8151" t="s">
        <v>37562</v>
      </c>
      <c r="D8151" s="1">
        <v>40298</v>
      </c>
      <c r="E8151" s="2">
        <v>179900</v>
      </c>
      <c r="F8151" t="s">
        <v>4553</v>
      </c>
      <c r="G8151" s="17" t="str">
        <f>HYPERLINK("https://www.washoecounty.gov/assessor/cama/?command=sales&amp;parid=55227208","3877092")</f>
        <v>3877092</v>
      </c>
      <c r="H8151" t="s">
        <v>1795</v>
      </c>
      <c r="I8151">
        <v>2006</v>
      </c>
      <c r="J8151">
        <v>2006</v>
      </c>
      <c r="K8151" t="s">
        <v>4554</v>
      </c>
      <c r="L8151" t="s">
        <v>3974</v>
      </c>
      <c r="M8151" s="2">
        <v>1985</v>
      </c>
      <c r="N8151" t="s">
        <v>5280</v>
      </c>
      <c r="O8151">
        <v>4</v>
      </c>
      <c r="P8151">
        <v>2</v>
      </c>
      <c r="Q8151">
        <v>1</v>
      </c>
      <c r="R8151" t="s">
        <v>5281</v>
      </c>
      <c r="S8151" t="s">
        <v>4898</v>
      </c>
      <c r="T8151" t="s">
        <v>2704</v>
      </c>
      <c r="U8151" t="s">
        <v>5631</v>
      </c>
      <c r="V8151" s="2">
        <v>462</v>
      </c>
      <c r="W8151" t="s">
        <v>4655</v>
      </c>
      <c r="X8151" s="2">
        <v>0</v>
      </c>
      <c r="Y8151">
        <v>20</v>
      </c>
      <c r="Z8151" t="s">
        <v>642</v>
      </c>
      <c r="AA8151" s="3">
        <v>0.14713039994239799</v>
      </c>
      <c r="AB8151" t="s">
        <v>37563</v>
      </c>
      <c r="AC8151" t="s">
        <v>4562</v>
      </c>
      <c r="AD8151" t="s">
        <v>37562</v>
      </c>
      <c r="AE8151" t="s">
        <v>4655</v>
      </c>
      <c r="AF8151" t="s">
        <v>4563</v>
      </c>
      <c r="AG8151" t="s">
        <v>4564</v>
      </c>
      <c r="AH8151">
        <v>89506</v>
      </c>
      <c r="AI8151" t="s">
        <v>1673</v>
      </c>
      <c r="AJ8151" t="s">
        <v>1797</v>
      </c>
      <c r="AK8151" t="s">
        <v>37564</v>
      </c>
      <c r="AL8151" s="13" t="s">
        <v>1901</v>
      </c>
      <c r="AM8151">
        <v>1</v>
      </c>
      <c r="AN8151" s="15" t="s">
        <v>2163</v>
      </c>
    </row>
    <row r="8152" spans="1:40" x14ac:dyDescent="0.3">
      <c r="A8152" s="10" t="str">
        <f>HYPERLINK("http://www.washoecounty.gov/assessor/cama/?parid=552-272-23&amp;CardNumber=1","552-272-23")</f>
        <v>552-272-23</v>
      </c>
      <c r="B8152" t="s">
        <v>4655</v>
      </c>
      <c r="C8152" t="s">
        <v>37565</v>
      </c>
      <c r="D8152" s="1">
        <v>40403</v>
      </c>
      <c r="E8152" s="2">
        <v>195536</v>
      </c>
      <c r="F8152" t="s">
        <v>4567</v>
      </c>
      <c r="G8152" s="17" t="str">
        <f>HYPERLINK("https://www.washoecounty.gov/assessor/cama/?command=sales&amp;parid=55227223","3911766")</f>
        <v>3911766</v>
      </c>
      <c r="H8152" t="s">
        <v>1795</v>
      </c>
      <c r="I8152">
        <v>2010</v>
      </c>
      <c r="J8152">
        <v>2010</v>
      </c>
      <c r="K8152" t="s">
        <v>4554</v>
      </c>
      <c r="L8152" t="s">
        <v>4555</v>
      </c>
      <c r="M8152" s="2">
        <v>1592</v>
      </c>
      <c r="N8152" t="s">
        <v>5280</v>
      </c>
      <c r="O8152">
        <v>3</v>
      </c>
      <c r="P8152">
        <v>2</v>
      </c>
      <c r="Q8152">
        <v>0</v>
      </c>
      <c r="R8152" t="s">
        <v>5281</v>
      </c>
      <c r="S8152" t="s">
        <v>4898</v>
      </c>
      <c r="T8152" t="s">
        <v>2704</v>
      </c>
      <c r="U8152" t="s">
        <v>4560</v>
      </c>
      <c r="V8152" s="2">
        <v>400</v>
      </c>
      <c r="W8152" t="s">
        <v>4655</v>
      </c>
      <c r="X8152" s="2">
        <v>0</v>
      </c>
      <c r="Y8152">
        <v>20</v>
      </c>
      <c r="Z8152" t="s">
        <v>642</v>
      </c>
      <c r="AA8152" s="3">
        <v>0.190633609890938</v>
      </c>
      <c r="AB8152" t="s">
        <v>37566</v>
      </c>
      <c r="AC8152" t="s">
        <v>4562</v>
      </c>
      <c r="AD8152" t="s">
        <v>37565</v>
      </c>
      <c r="AE8152" t="s">
        <v>4655</v>
      </c>
      <c r="AF8152" t="s">
        <v>4563</v>
      </c>
      <c r="AG8152" t="s">
        <v>4564</v>
      </c>
      <c r="AH8152">
        <v>89506</v>
      </c>
      <c r="AI8152" t="s">
        <v>2409</v>
      </c>
      <c r="AJ8152" t="s">
        <v>1797</v>
      </c>
      <c r="AK8152" t="s">
        <v>37567</v>
      </c>
      <c r="AL8152" s="13" t="s">
        <v>1901</v>
      </c>
      <c r="AM8152">
        <v>1</v>
      </c>
      <c r="AN8152" s="15" t="s">
        <v>2163</v>
      </c>
    </row>
    <row r="8153" spans="1:40" x14ac:dyDescent="0.3">
      <c r="A8153" s="10" t="str">
        <f>HYPERLINK("http://www.washoecounty.gov/assessor/cama/?parid=552-272-27&amp;CardNumber=1","552-272-27")</f>
        <v>552-272-27</v>
      </c>
      <c r="B8153" t="s">
        <v>4655</v>
      </c>
      <c r="C8153" t="s">
        <v>37568</v>
      </c>
      <c r="D8153" s="1">
        <v>40343</v>
      </c>
      <c r="E8153" s="2">
        <v>213000</v>
      </c>
      <c r="F8153" t="s">
        <v>4567</v>
      </c>
      <c r="G8153" s="17" t="str">
        <f>HYPERLINK("https://www.washoecounty.gov/assessor/cama/?command=sales&amp;parid=55227227","3891436")</f>
        <v>3891436</v>
      </c>
      <c r="H8153" t="s">
        <v>1795</v>
      </c>
      <c r="I8153">
        <v>2010</v>
      </c>
      <c r="J8153">
        <v>2010</v>
      </c>
      <c r="K8153" t="s">
        <v>4554</v>
      </c>
      <c r="L8153" t="s">
        <v>3974</v>
      </c>
      <c r="M8153" s="2">
        <v>2163</v>
      </c>
      <c r="N8153" t="s">
        <v>5280</v>
      </c>
      <c r="O8153">
        <v>4</v>
      </c>
      <c r="P8153">
        <v>2</v>
      </c>
      <c r="Q8153">
        <v>1</v>
      </c>
      <c r="R8153" t="s">
        <v>5281</v>
      </c>
      <c r="S8153" t="s">
        <v>4898</v>
      </c>
      <c r="T8153" t="s">
        <v>2704</v>
      </c>
      <c r="U8153" t="s">
        <v>5631</v>
      </c>
      <c r="V8153" s="2">
        <v>407</v>
      </c>
      <c r="W8153" t="s">
        <v>4655</v>
      </c>
      <c r="X8153" s="2">
        <v>0</v>
      </c>
      <c r="Y8153">
        <v>20</v>
      </c>
      <c r="Z8153" t="s">
        <v>642</v>
      </c>
      <c r="AA8153" s="3">
        <v>0.195477500557899</v>
      </c>
      <c r="AB8153" t="s">
        <v>37569</v>
      </c>
      <c r="AC8153" t="s">
        <v>4562</v>
      </c>
      <c r="AD8153" t="s">
        <v>37570</v>
      </c>
      <c r="AE8153" t="s">
        <v>4655</v>
      </c>
      <c r="AF8153" t="s">
        <v>4563</v>
      </c>
      <c r="AG8153" t="s">
        <v>4564</v>
      </c>
      <c r="AH8153">
        <v>89506</v>
      </c>
      <c r="AI8153" t="s">
        <v>4655</v>
      </c>
      <c r="AJ8153" t="s">
        <v>1797</v>
      </c>
      <c r="AK8153" t="s">
        <v>37571</v>
      </c>
      <c r="AL8153" s="13" t="s">
        <v>1901</v>
      </c>
      <c r="AM8153">
        <v>1</v>
      </c>
      <c r="AN8153" s="15" t="s">
        <v>2163</v>
      </c>
    </row>
    <row r="8154" spans="1:40" x14ac:dyDescent="0.3">
      <c r="A8154" s="10" t="str">
        <f>HYPERLINK("http://www.washoecounty.gov/assessor/cama/?parid=552-272-33&amp;CardNumber=1","552-272-33")</f>
        <v>552-272-33</v>
      </c>
      <c r="B8154" t="s">
        <v>4655</v>
      </c>
      <c r="C8154" t="s">
        <v>37572</v>
      </c>
      <c r="D8154" s="1">
        <v>40352</v>
      </c>
      <c r="E8154" s="2">
        <v>216322</v>
      </c>
      <c r="F8154" t="s">
        <v>4567</v>
      </c>
      <c r="G8154" s="17" t="str">
        <f>HYPERLINK("https://www.washoecounty.gov/assessor/cama/?command=sales&amp;parid=55227233","3894559")</f>
        <v>3894559</v>
      </c>
      <c r="H8154" t="s">
        <v>1795</v>
      </c>
      <c r="I8154">
        <v>2010</v>
      </c>
      <c r="J8154">
        <v>2010</v>
      </c>
      <c r="K8154" t="s">
        <v>4554</v>
      </c>
      <c r="L8154" t="s">
        <v>4555</v>
      </c>
      <c r="M8154" s="2">
        <v>1747</v>
      </c>
      <c r="N8154" t="s">
        <v>5280</v>
      </c>
      <c r="O8154">
        <v>3</v>
      </c>
      <c r="P8154">
        <v>2</v>
      </c>
      <c r="Q8154">
        <v>0</v>
      </c>
      <c r="R8154" t="s">
        <v>5281</v>
      </c>
      <c r="S8154" t="s">
        <v>4898</v>
      </c>
      <c r="T8154" t="s">
        <v>2704</v>
      </c>
      <c r="U8154" t="s">
        <v>4560</v>
      </c>
      <c r="V8154" s="2">
        <v>422</v>
      </c>
      <c r="W8154" t="s">
        <v>4655</v>
      </c>
      <c r="X8154" s="2">
        <v>0</v>
      </c>
      <c r="Y8154">
        <v>20</v>
      </c>
      <c r="Z8154" t="s">
        <v>642</v>
      </c>
      <c r="AA8154" s="3">
        <v>0.21758493781089799</v>
      </c>
      <c r="AB8154" t="s">
        <v>37573</v>
      </c>
      <c r="AC8154" t="s">
        <v>4562</v>
      </c>
      <c r="AD8154" t="s">
        <v>37572</v>
      </c>
      <c r="AE8154" t="s">
        <v>4655</v>
      </c>
      <c r="AF8154" t="s">
        <v>3114</v>
      </c>
      <c r="AG8154" t="s">
        <v>4564</v>
      </c>
      <c r="AH8154">
        <v>89506</v>
      </c>
      <c r="AI8154" t="s">
        <v>2409</v>
      </c>
      <c r="AJ8154" t="s">
        <v>1797</v>
      </c>
      <c r="AK8154" t="s">
        <v>37574</v>
      </c>
      <c r="AL8154" s="13" t="s">
        <v>1901</v>
      </c>
      <c r="AM8154" s="14">
        <v>1</v>
      </c>
      <c r="AN8154" s="15" t="s">
        <v>2163</v>
      </c>
    </row>
    <row r="8155" spans="1:40" x14ac:dyDescent="0.3">
      <c r="A8155" s="10" t="str">
        <f>HYPERLINK("http://www.washoecounty.gov/assessor/cama/?parid=552-272-37&amp;CardNumber=1","552-272-37")</f>
        <v>552-272-37</v>
      </c>
      <c r="B8155" t="s">
        <v>4655</v>
      </c>
      <c r="C8155" t="s">
        <v>37575</v>
      </c>
      <c r="D8155" s="1">
        <v>40282</v>
      </c>
      <c r="E8155" s="2">
        <v>212188</v>
      </c>
      <c r="F8155" t="s">
        <v>4567</v>
      </c>
      <c r="G8155" s="17" t="str">
        <f>HYPERLINK("https://www.washoecounty.gov/assessor/cama/?command=sales&amp;parid=55227237","3870734")</f>
        <v>3870734</v>
      </c>
      <c r="H8155" t="s">
        <v>1795</v>
      </c>
      <c r="I8155">
        <v>2010</v>
      </c>
      <c r="J8155">
        <v>2010</v>
      </c>
      <c r="K8155" t="s">
        <v>4554</v>
      </c>
      <c r="L8155" t="s">
        <v>4555</v>
      </c>
      <c r="M8155" s="2">
        <v>1747</v>
      </c>
      <c r="N8155" t="s">
        <v>5280</v>
      </c>
      <c r="O8155">
        <v>3</v>
      </c>
      <c r="P8155">
        <v>2</v>
      </c>
      <c r="Q8155">
        <v>0</v>
      </c>
      <c r="R8155" t="s">
        <v>5281</v>
      </c>
      <c r="S8155" t="s">
        <v>4898</v>
      </c>
      <c r="T8155" t="s">
        <v>2704</v>
      </c>
      <c r="U8155" t="s">
        <v>4560</v>
      </c>
      <c r="V8155" s="2">
        <v>422</v>
      </c>
      <c r="W8155" t="s">
        <v>4655</v>
      </c>
      <c r="X8155" s="2">
        <v>0</v>
      </c>
      <c r="Y8155">
        <v>20</v>
      </c>
      <c r="Z8155" t="s">
        <v>642</v>
      </c>
      <c r="AA8155" s="3">
        <v>0.183907255530357</v>
      </c>
      <c r="AB8155" t="s">
        <v>37576</v>
      </c>
      <c r="AC8155" t="s">
        <v>4575</v>
      </c>
      <c r="AD8155" t="s">
        <v>37577</v>
      </c>
      <c r="AE8155" t="s">
        <v>4655</v>
      </c>
      <c r="AF8155" t="s">
        <v>4563</v>
      </c>
      <c r="AG8155" t="s">
        <v>4564</v>
      </c>
      <c r="AH8155">
        <v>89506</v>
      </c>
      <c r="AI8155" t="s">
        <v>2409</v>
      </c>
      <c r="AJ8155" t="s">
        <v>1797</v>
      </c>
      <c r="AK8155" t="s">
        <v>37578</v>
      </c>
      <c r="AL8155" s="13" t="s">
        <v>1901</v>
      </c>
      <c r="AM8155">
        <v>1</v>
      </c>
      <c r="AN8155" s="15" t="s">
        <v>2163</v>
      </c>
    </row>
    <row r="8156" spans="1:40" x14ac:dyDescent="0.3">
      <c r="A8156" s="10" t="str">
        <f>HYPERLINK("http://www.washoecounty.gov/assessor/cama/?parid=552-272-38&amp;CardNumber=1","552-272-38")</f>
        <v>552-272-38</v>
      </c>
      <c r="B8156" t="s">
        <v>4655</v>
      </c>
      <c r="C8156" t="s">
        <v>37579</v>
      </c>
      <c r="D8156" s="1">
        <v>40494</v>
      </c>
      <c r="E8156" s="2">
        <v>200827</v>
      </c>
      <c r="F8156" t="s">
        <v>4567</v>
      </c>
      <c r="G8156" s="17" t="str">
        <f>HYPERLINK("https://www.washoecounty.gov/assessor/cama/?command=sales&amp;parid=55227238","3942456")</f>
        <v>3942456</v>
      </c>
      <c r="H8156" t="s">
        <v>1795</v>
      </c>
      <c r="I8156">
        <v>2010</v>
      </c>
      <c r="J8156">
        <v>2010</v>
      </c>
      <c r="K8156" t="s">
        <v>4554</v>
      </c>
      <c r="L8156" t="s">
        <v>4555</v>
      </c>
      <c r="M8156" s="2">
        <v>1592</v>
      </c>
      <c r="N8156" t="s">
        <v>5280</v>
      </c>
      <c r="O8156">
        <v>3</v>
      </c>
      <c r="P8156">
        <v>2</v>
      </c>
      <c r="Q8156">
        <v>0</v>
      </c>
      <c r="R8156" t="s">
        <v>5281</v>
      </c>
      <c r="S8156" t="s">
        <v>4898</v>
      </c>
      <c r="T8156" t="s">
        <v>2704</v>
      </c>
      <c r="U8156" t="s">
        <v>4560</v>
      </c>
      <c r="V8156" s="2">
        <v>400</v>
      </c>
      <c r="W8156" t="s">
        <v>4655</v>
      </c>
      <c r="X8156" s="2">
        <v>0</v>
      </c>
      <c r="Y8156">
        <v>20</v>
      </c>
      <c r="Z8156" t="s">
        <v>642</v>
      </c>
      <c r="AA8156" s="3">
        <v>0.15399448573589325</v>
      </c>
      <c r="AB8156" t="s">
        <v>37580</v>
      </c>
      <c r="AC8156" t="s">
        <v>4562</v>
      </c>
      <c r="AD8156" t="s">
        <v>37581</v>
      </c>
      <c r="AE8156" t="s">
        <v>4655</v>
      </c>
      <c r="AF8156" t="s">
        <v>4563</v>
      </c>
      <c r="AG8156" t="s">
        <v>4564</v>
      </c>
      <c r="AH8156">
        <v>89506</v>
      </c>
      <c r="AI8156" t="s">
        <v>2409</v>
      </c>
      <c r="AJ8156" t="s">
        <v>1797</v>
      </c>
      <c r="AK8156" t="s">
        <v>37582</v>
      </c>
      <c r="AL8156" s="13" t="s">
        <v>1901</v>
      </c>
      <c r="AM8156">
        <v>1</v>
      </c>
      <c r="AN8156" s="15" t="s">
        <v>2163</v>
      </c>
    </row>
    <row r="8157" spans="1:40" x14ac:dyDescent="0.3">
      <c r="A8157" s="10" t="str">
        <f>HYPERLINK("http://www.washoecounty.gov/assessor/cama/?parid=552-273-01&amp;CardNumber=1","552-273-01")</f>
        <v>552-273-01</v>
      </c>
      <c r="B8157" t="s">
        <v>4655</v>
      </c>
      <c r="C8157" t="s">
        <v>37583</v>
      </c>
      <c r="D8157" s="1">
        <v>40269</v>
      </c>
      <c r="E8157" s="2">
        <v>210443</v>
      </c>
      <c r="F8157" t="s">
        <v>4567</v>
      </c>
      <c r="G8157" s="17" t="str">
        <f>HYPERLINK("https://www.washoecounty.gov/assessor/cama/?command=sales&amp;parid=55227301","3866978")</f>
        <v>3866978</v>
      </c>
      <c r="H8157" t="s">
        <v>1795</v>
      </c>
      <c r="I8157">
        <v>2010</v>
      </c>
      <c r="J8157">
        <v>2010</v>
      </c>
      <c r="K8157" t="s">
        <v>4554</v>
      </c>
      <c r="L8157" t="s">
        <v>4555</v>
      </c>
      <c r="M8157" s="2">
        <v>1747</v>
      </c>
      <c r="N8157" t="s">
        <v>5280</v>
      </c>
      <c r="O8157">
        <v>3</v>
      </c>
      <c r="P8157">
        <v>2</v>
      </c>
      <c r="Q8157">
        <v>0</v>
      </c>
      <c r="R8157" t="s">
        <v>5281</v>
      </c>
      <c r="S8157" t="s">
        <v>4898</v>
      </c>
      <c r="T8157" t="s">
        <v>2704</v>
      </c>
      <c r="U8157" t="s">
        <v>4560</v>
      </c>
      <c r="V8157" s="2">
        <v>422</v>
      </c>
      <c r="W8157" t="s">
        <v>4655</v>
      </c>
      <c r="X8157" s="2">
        <v>0</v>
      </c>
      <c r="Y8157">
        <v>20</v>
      </c>
      <c r="Z8157" t="s">
        <v>642</v>
      </c>
      <c r="AA8157" s="3">
        <v>0.28560605645179699</v>
      </c>
      <c r="AB8157" t="s">
        <v>37584</v>
      </c>
      <c r="AC8157" t="s">
        <v>4562</v>
      </c>
      <c r="AD8157" t="s">
        <v>37585</v>
      </c>
      <c r="AE8157" t="s">
        <v>4655</v>
      </c>
      <c r="AF8157" t="s">
        <v>4563</v>
      </c>
      <c r="AG8157" t="s">
        <v>4564</v>
      </c>
      <c r="AH8157">
        <v>89506</v>
      </c>
      <c r="AI8157" t="s">
        <v>2409</v>
      </c>
      <c r="AJ8157" t="s">
        <v>1797</v>
      </c>
      <c r="AK8157" t="s">
        <v>37586</v>
      </c>
      <c r="AL8157" s="13" t="s">
        <v>1901</v>
      </c>
      <c r="AM8157">
        <v>1</v>
      </c>
      <c r="AN8157" s="15" t="s">
        <v>2163</v>
      </c>
    </row>
    <row r="8158" spans="1:40" x14ac:dyDescent="0.3">
      <c r="A8158" s="10" t="str">
        <f>HYPERLINK("http://www.washoecounty.gov/assessor/cama/?parid=552-273-02&amp;CardNumber=1","552-273-02")</f>
        <v>552-273-02</v>
      </c>
      <c r="B8158" t="s">
        <v>4655</v>
      </c>
      <c r="C8158" t="s">
        <v>37587</v>
      </c>
      <c r="D8158" s="1">
        <v>40487</v>
      </c>
      <c r="E8158" s="2">
        <v>205050</v>
      </c>
      <c r="F8158" t="s">
        <v>4567</v>
      </c>
      <c r="G8158" s="17" t="str">
        <f>HYPERLINK("https://www.washoecounty.gov/assessor/cama/?command=sales&amp;parid=55227302","3940399")</f>
        <v>3940399</v>
      </c>
      <c r="H8158" t="s">
        <v>1795</v>
      </c>
      <c r="I8158">
        <v>2010</v>
      </c>
      <c r="J8158">
        <v>2010</v>
      </c>
      <c r="K8158" t="s">
        <v>4554</v>
      </c>
      <c r="L8158" t="s">
        <v>4555</v>
      </c>
      <c r="M8158" s="2">
        <v>1747</v>
      </c>
      <c r="N8158" t="s">
        <v>5280</v>
      </c>
      <c r="O8158">
        <v>3</v>
      </c>
      <c r="P8158">
        <v>2</v>
      </c>
      <c r="Q8158">
        <v>0</v>
      </c>
      <c r="R8158" t="s">
        <v>5281</v>
      </c>
      <c r="S8158" t="s">
        <v>4898</v>
      </c>
      <c r="T8158" t="s">
        <v>2704</v>
      </c>
      <c r="U8158" t="s">
        <v>4560</v>
      </c>
      <c r="V8158" s="2">
        <v>422</v>
      </c>
      <c r="W8158" t="s">
        <v>4655</v>
      </c>
      <c r="X8158" s="2">
        <v>0</v>
      </c>
      <c r="Y8158">
        <v>20</v>
      </c>
      <c r="Z8158" t="s">
        <v>642</v>
      </c>
      <c r="AA8158" s="3">
        <v>0.27982094883918801</v>
      </c>
      <c r="AB8158" t="s">
        <v>37588</v>
      </c>
      <c r="AC8158" t="s">
        <v>4562</v>
      </c>
      <c r="AD8158" t="s">
        <v>37587</v>
      </c>
      <c r="AE8158" t="s">
        <v>4655</v>
      </c>
      <c r="AF8158" t="s">
        <v>4563</v>
      </c>
      <c r="AG8158" t="s">
        <v>4564</v>
      </c>
      <c r="AH8158">
        <v>89506</v>
      </c>
      <c r="AI8158" t="s">
        <v>4655</v>
      </c>
      <c r="AJ8158" t="s">
        <v>1797</v>
      </c>
      <c r="AK8158" t="s">
        <v>37589</v>
      </c>
      <c r="AL8158" s="13" t="s">
        <v>1901</v>
      </c>
      <c r="AM8158" s="14">
        <v>1</v>
      </c>
      <c r="AN8158" s="15" t="s">
        <v>2163</v>
      </c>
    </row>
    <row r="8159" spans="1:40" x14ac:dyDescent="0.3">
      <c r="A8159" s="10" t="str">
        <f>HYPERLINK("http://www.washoecounty.gov/assessor/cama/?parid=552-273-06&amp;CardNumber=1","552-273-06")</f>
        <v>552-273-06</v>
      </c>
      <c r="B8159" t="s">
        <v>4655</v>
      </c>
      <c r="C8159" t="s">
        <v>37590</v>
      </c>
      <c r="D8159" s="1">
        <v>40466</v>
      </c>
      <c r="E8159" s="2">
        <v>233400</v>
      </c>
      <c r="F8159" t="s">
        <v>4567</v>
      </c>
      <c r="G8159" s="17" t="str">
        <f>HYPERLINK("https://www.washoecounty.gov/assessor/cama/?command=sales&amp;parid=55227306","3933450")</f>
        <v>3933450</v>
      </c>
      <c r="H8159" t="s">
        <v>1795</v>
      </c>
      <c r="I8159">
        <v>2010</v>
      </c>
      <c r="J8159">
        <v>2010</v>
      </c>
      <c r="K8159" t="s">
        <v>4554</v>
      </c>
      <c r="L8159" t="s">
        <v>3974</v>
      </c>
      <c r="M8159" s="2">
        <v>2163</v>
      </c>
      <c r="N8159" t="s">
        <v>5280</v>
      </c>
      <c r="O8159">
        <v>4</v>
      </c>
      <c r="P8159">
        <v>2</v>
      </c>
      <c r="Q8159">
        <v>1</v>
      </c>
      <c r="R8159" t="s">
        <v>5281</v>
      </c>
      <c r="S8159" t="s">
        <v>4898</v>
      </c>
      <c r="T8159" t="s">
        <v>2704</v>
      </c>
      <c r="U8159" t="s">
        <v>5631</v>
      </c>
      <c r="V8159" s="2">
        <v>407</v>
      </c>
      <c r="W8159" t="s">
        <v>4655</v>
      </c>
      <c r="X8159" s="2">
        <v>0</v>
      </c>
      <c r="Y8159">
        <v>20</v>
      </c>
      <c r="Z8159" t="s">
        <v>642</v>
      </c>
      <c r="AA8159" s="3">
        <v>0.28071624040603599</v>
      </c>
      <c r="AB8159" t="s">
        <v>37591</v>
      </c>
      <c r="AC8159" t="s">
        <v>4562</v>
      </c>
      <c r="AD8159" t="s">
        <v>37592</v>
      </c>
      <c r="AE8159" t="s">
        <v>4655</v>
      </c>
      <c r="AF8159" t="s">
        <v>4563</v>
      </c>
      <c r="AG8159" t="s">
        <v>4564</v>
      </c>
      <c r="AH8159">
        <v>89506</v>
      </c>
      <c r="AI8159" t="s">
        <v>2409</v>
      </c>
      <c r="AJ8159" t="s">
        <v>1797</v>
      </c>
      <c r="AK8159" t="s">
        <v>37593</v>
      </c>
      <c r="AL8159" s="13" t="s">
        <v>1901</v>
      </c>
      <c r="AM8159" s="14">
        <v>1</v>
      </c>
      <c r="AN8159" s="15" t="s">
        <v>2163</v>
      </c>
    </row>
    <row r="8160" spans="1:40" x14ac:dyDescent="0.3">
      <c r="A8160" s="10" t="str">
        <f>HYPERLINK("http://www.washoecounty.gov/assessor/cama/?parid=552-273-10&amp;CardNumber=1","552-273-10")</f>
        <v>552-273-10</v>
      </c>
      <c r="B8160" t="s">
        <v>4655</v>
      </c>
      <c r="C8160" t="s">
        <v>37594</v>
      </c>
      <c r="D8160" s="1">
        <v>40330</v>
      </c>
      <c r="E8160" s="2">
        <v>193900</v>
      </c>
      <c r="F8160" t="s">
        <v>4567</v>
      </c>
      <c r="G8160" s="17" t="str">
        <f>HYPERLINK("https://www.washoecounty.gov/assessor/cama/?command=sales&amp;parid=55227310","3887272")</f>
        <v>3887272</v>
      </c>
      <c r="H8160" t="s">
        <v>1795</v>
      </c>
      <c r="I8160">
        <v>2010</v>
      </c>
      <c r="J8160">
        <v>2010</v>
      </c>
      <c r="K8160" t="s">
        <v>4554</v>
      </c>
      <c r="L8160" t="s">
        <v>4555</v>
      </c>
      <c r="M8160" s="2">
        <v>1592</v>
      </c>
      <c r="N8160" t="s">
        <v>5280</v>
      </c>
      <c r="O8160">
        <v>3</v>
      </c>
      <c r="P8160">
        <v>2</v>
      </c>
      <c r="Q8160">
        <v>0</v>
      </c>
      <c r="R8160" t="s">
        <v>5281</v>
      </c>
      <c r="S8160" t="s">
        <v>4898</v>
      </c>
      <c r="T8160" t="s">
        <v>2704</v>
      </c>
      <c r="U8160" t="s">
        <v>4560</v>
      </c>
      <c r="V8160" s="2">
        <v>400</v>
      </c>
      <c r="W8160" t="s">
        <v>4655</v>
      </c>
      <c r="X8160" s="2">
        <v>0</v>
      </c>
      <c r="Y8160">
        <v>20</v>
      </c>
      <c r="Z8160" t="s">
        <v>642</v>
      </c>
      <c r="AA8160" s="3">
        <v>0.20814967155456501</v>
      </c>
      <c r="AB8160" t="s">
        <v>37595</v>
      </c>
      <c r="AC8160" t="s">
        <v>4575</v>
      </c>
      <c r="AD8160" t="s">
        <v>37596</v>
      </c>
      <c r="AE8160" t="s">
        <v>4655</v>
      </c>
      <c r="AF8160" t="s">
        <v>4563</v>
      </c>
      <c r="AG8160" t="s">
        <v>4564</v>
      </c>
      <c r="AH8160">
        <v>89506</v>
      </c>
      <c r="AI8160" t="s">
        <v>2409</v>
      </c>
      <c r="AJ8160" t="s">
        <v>1797</v>
      </c>
      <c r="AK8160" t="s">
        <v>37597</v>
      </c>
      <c r="AL8160" s="13" t="s">
        <v>1901</v>
      </c>
      <c r="AM8160" s="14">
        <v>1</v>
      </c>
      <c r="AN8160" s="15" t="s">
        <v>2163</v>
      </c>
    </row>
    <row r="8161" spans="1:40" x14ac:dyDescent="0.3">
      <c r="A8161" s="10" t="str">
        <f>HYPERLINK("http://www.washoecounty.gov/assessor/cama/?parid=552-273-11&amp;CardNumber=1","552-273-11")</f>
        <v>552-273-11</v>
      </c>
      <c r="B8161" t="s">
        <v>4655</v>
      </c>
      <c r="C8161" t="s">
        <v>37598</v>
      </c>
      <c r="D8161" s="1">
        <v>40248</v>
      </c>
      <c r="E8161" s="2">
        <v>196005</v>
      </c>
      <c r="F8161" t="s">
        <v>4567</v>
      </c>
      <c r="G8161" s="17" t="str">
        <f>HYPERLINK("https://www.washoecounty.gov/assessor/cama/?command=sales&amp;parid=55227311","3858793")</f>
        <v>3858793</v>
      </c>
      <c r="H8161" t="s">
        <v>1795</v>
      </c>
      <c r="I8161">
        <v>2009</v>
      </c>
      <c r="J8161">
        <v>2009</v>
      </c>
      <c r="K8161" t="s">
        <v>4554</v>
      </c>
      <c r="L8161" t="s">
        <v>4555</v>
      </c>
      <c r="M8161" s="2">
        <v>1592</v>
      </c>
      <c r="N8161" t="s">
        <v>5280</v>
      </c>
      <c r="O8161">
        <v>3</v>
      </c>
      <c r="P8161">
        <v>2</v>
      </c>
      <c r="Q8161">
        <v>0</v>
      </c>
      <c r="R8161" t="s">
        <v>5281</v>
      </c>
      <c r="S8161" t="s">
        <v>4898</v>
      </c>
      <c r="T8161" t="s">
        <v>2704</v>
      </c>
      <c r="U8161" t="s">
        <v>4560</v>
      </c>
      <c r="V8161" s="2">
        <v>400</v>
      </c>
      <c r="W8161" t="s">
        <v>4655</v>
      </c>
      <c r="X8161" s="2">
        <v>0</v>
      </c>
      <c r="Y8161">
        <v>20</v>
      </c>
      <c r="Z8161" t="s">
        <v>642</v>
      </c>
      <c r="AA8161" s="3">
        <v>0.31046831607818598</v>
      </c>
      <c r="AB8161" t="s">
        <v>37599</v>
      </c>
      <c r="AC8161" t="s">
        <v>4562</v>
      </c>
      <c r="AD8161" t="s">
        <v>37598</v>
      </c>
      <c r="AE8161" t="s">
        <v>4655</v>
      </c>
      <c r="AF8161" t="s">
        <v>4563</v>
      </c>
      <c r="AG8161" t="s">
        <v>4564</v>
      </c>
      <c r="AH8161">
        <v>89506</v>
      </c>
      <c r="AI8161" t="s">
        <v>2409</v>
      </c>
      <c r="AJ8161" t="s">
        <v>1797</v>
      </c>
      <c r="AK8161" t="s">
        <v>37600</v>
      </c>
      <c r="AL8161" s="13" t="s">
        <v>1901</v>
      </c>
      <c r="AM8161" s="14">
        <v>1</v>
      </c>
      <c r="AN8161" s="15" t="s">
        <v>2163</v>
      </c>
    </row>
    <row r="8162" spans="1:40" x14ac:dyDescent="0.3">
      <c r="A8162" s="10" t="str">
        <f>HYPERLINK("http://www.washoecounty.gov/assessor/cama/?parid=552-281-02&amp;CardNumber=1","552-281-02")</f>
        <v>552-281-02</v>
      </c>
      <c r="B8162" t="s">
        <v>4655</v>
      </c>
      <c r="C8162" t="s">
        <v>37601</v>
      </c>
      <c r="D8162" s="1">
        <v>40486</v>
      </c>
      <c r="E8162" s="2">
        <v>144000</v>
      </c>
      <c r="F8162" t="s">
        <v>4567</v>
      </c>
      <c r="G8162" s="17" t="str">
        <f>HYPERLINK("https://www.washoecounty.gov/assessor/cama/?command=sales&amp;parid=55228102","3940107")</f>
        <v>3940107</v>
      </c>
      <c r="H8162" t="s">
        <v>1795</v>
      </c>
      <c r="I8162">
        <v>2006</v>
      </c>
      <c r="J8162">
        <v>2006</v>
      </c>
      <c r="K8162" t="s">
        <v>4554</v>
      </c>
      <c r="L8162" t="s">
        <v>4555</v>
      </c>
      <c r="M8162" s="2">
        <v>1592</v>
      </c>
      <c r="N8162" t="s">
        <v>5280</v>
      </c>
      <c r="O8162">
        <v>3</v>
      </c>
      <c r="P8162">
        <v>2</v>
      </c>
      <c r="Q8162">
        <v>0</v>
      </c>
      <c r="R8162" t="s">
        <v>5281</v>
      </c>
      <c r="S8162" t="s">
        <v>4898</v>
      </c>
      <c r="T8162" t="s">
        <v>2704</v>
      </c>
      <c r="U8162" t="s">
        <v>4560</v>
      </c>
      <c r="V8162" s="2">
        <v>400</v>
      </c>
      <c r="W8162" t="s">
        <v>4655</v>
      </c>
      <c r="X8162" s="2">
        <v>0</v>
      </c>
      <c r="Y8162">
        <v>20</v>
      </c>
      <c r="Z8162" t="s">
        <v>642</v>
      </c>
      <c r="AA8162" s="3">
        <v>0.14862258732318878</v>
      </c>
      <c r="AB8162" t="s">
        <v>37602</v>
      </c>
      <c r="AC8162" t="s">
        <v>4562</v>
      </c>
      <c r="AD8162" t="s">
        <v>37601</v>
      </c>
      <c r="AE8162" t="s">
        <v>4655</v>
      </c>
      <c r="AF8162" t="s">
        <v>4563</v>
      </c>
      <c r="AG8162" t="s">
        <v>4564</v>
      </c>
      <c r="AH8162">
        <v>89508</v>
      </c>
      <c r="AI8162" t="s">
        <v>37603</v>
      </c>
      <c r="AJ8162" t="s">
        <v>1797</v>
      </c>
      <c r="AK8162" t="s">
        <v>37604</v>
      </c>
      <c r="AL8162" s="13" t="s">
        <v>1901</v>
      </c>
      <c r="AM8162">
        <v>1</v>
      </c>
      <c r="AN8162" s="15" t="s">
        <v>2163</v>
      </c>
    </row>
    <row r="8163" spans="1:40" x14ac:dyDescent="0.3">
      <c r="A8163" s="10" t="str">
        <f>HYPERLINK("http://www.washoecounty.gov/assessor/cama/?parid=552-281-09&amp;CardNumber=1","552-281-09")</f>
        <v>552-281-09</v>
      </c>
      <c r="B8163" t="s">
        <v>4655</v>
      </c>
      <c r="C8163" t="s">
        <v>37605</v>
      </c>
      <c r="D8163" s="1">
        <v>40220</v>
      </c>
      <c r="E8163" s="2">
        <v>170000</v>
      </c>
      <c r="F8163" t="s">
        <v>4567</v>
      </c>
      <c r="G8163" s="17" t="str">
        <f>HYPERLINK("https://www.washoecounty.gov/assessor/cama/?command=sales&amp;parid=55228109","3848290")</f>
        <v>3848290</v>
      </c>
      <c r="H8163" t="s">
        <v>1795</v>
      </c>
      <c r="I8163">
        <v>2007</v>
      </c>
      <c r="J8163">
        <v>2007</v>
      </c>
      <c r="K8163" t="s">
        <v>4554</v>
      </c>
      <c r="L8163" t="s">
        <v>4555</v>
      </c>
      <c r="M8163" s="2">
        <v>1592</v>
      </c>
      <c r="N8163" t="s">
        <v>5280</v>
      </c>
      <c r="O8163">
        <v>3</v>
      </c>
      <c r="P8163">
        <v>2</v>
      </c>
      <c r="Q8163">
        <v>0</v>
      </c>
      <c r="R8163" t="s">
        <v>5281</v>
      </c>
      <c r="S8163" t="s">
        <v>4898</v>
      </c>
      <c r="T8163" t="s">
        <v>2704</v>
      </c>
      <c r="U8163" t="s">
        <v>4560</v>
      </c>
      <c r="V8163" s="2">
        <v>400</v>
      </c>
      <c r="W8163" t="s">
        <v>4655</v>
      </c>
      <c r="X8163" s="2">
        <v>0</v>
      </c>
      <c r="Y8163">
        <v>20</v>
      </c>
      <c r="Z8163" t="s">
        <v>642</v>
      </c>
      <c r="AA8163" s="3">
        <v>0.14205692708492301</v>
      </c>
      <c r="AB8163" t="s">
        <v>37606</v>
      </c>
      <c r="AC8163" t="s">
        <v>4575</v>
      </c>
      <c r="AD8163" t="s">
        <v>37607</v>
      </c>
      <c r="AE8163" t="s">
        <v>4655</v>
      </c>
      <c r="AF8163" t="s">
        <v>4563</v>
      </c>
      <c r="AG8163" t="s">
        <v>4564</v>
      </c>
      <c r="AH8163">
        <v>89506</v>
      </c>
      <c r="AI8163" t="s">
        <v>37608</v>
      </c>
      <c r="AJ8163" t="s">
        <v>1797</v>
      </c>
      <c r="AK8163" t="s">
        <v>37609</v>
      </c>
      <c r="AL8163" s="13" t="s">
        <v>1901</v>
      </c>
      <c r="AM8163" s="14">
        <v>1</v>
      </c>
      <c r="AN8163" s="15" t="s">
        <v>2163</v>
      </c>
    </row>
    <row r="8164" spans="1:40" x14ac:dyDescent="0.3">
      <c r="A8164" s="10" t="str">
        <f>HYPERLINK("http://www.washoecounty.gov/assessor/cama/?parid=552-291-03&amp;CardNumber=1","552-291-03")</f>
        <v>552-291-03</v>
      </c>
      <c r="B8164" t="s">
        <v>4655</v>
      </c>
      <c r="C8164" t="s">
        <v>37610</v>
      </c>
      <c r="D8164" s="1">
        <v>40337</v>
      </c>
      <c r="E8164" s="2">
        <v>258000</v>
      </c>
      <c r="F8164" t="s">
        <v>4567</v>
      </c>
      <c r="G8164" s="17" t="str">
        <f>HYPERLINK("https://www.washoecounty.gov/assessor/cama/?command=sales&amp;parid=55229103","3889194")</f>
        <v>3889194</v>
      </c>
      <c r="H8164" t="s">
        <v>2518</v>
      </c>
      <c r="I8164">
        <v>2006</v>
      </c>
      <c r="J8164">
        <v>2006</v>
      </c>
      <c r="K8164" t="s">
        <v>4554</v>
      </c>
      <c r="L8164" t="s">
        <v>3974</v>
      </c>
      <c r="M8164" s="2">
        <v>2626</v>
      </c>
      <c r="N8164" t="s">
        <v>5280</v>
      </c>
      <c r="O8164">
        <v>4</v>
      </c>
      <c r="P8164">
        <v>2</v>
      </c>
      <c r="Q8164">
        <v>1</v>
      </c>
      <c r="R8164" t="s">
        <v>5281</v>
      </c>
      <c r="S8164" t="s">
        <v>4898</v>
      </c>
      <c r="T8164" t="s">
        <v>2704</v>
      </c>
      <c r="U8164" t="s">
        <v>5631</v>
      </c>
      <c r="V8164" s="2">
        <v>736</v>
      </c>
      <c r="W8164" t="s">
        <v>4655</v>
      </c>
      <c r="X8164" s="2">
        <v>0</v>
      </c>
      <c r="Y8164">
        <v>20</v>
      </c>
      <c r="Z8164" t="s">
        <v>642</v>
      </c>
      <c r="AA8164" s="3">
        <v>0.23914141952991486</v>
      </c>
      <c r="AB8164" t="s">
        <v>37611</v>
      </c>
      <c r="AC8164" t="s">
        <v>4562</v>
      </c>
      <c r="AD8164" t="s">
        <v>37610</v>
      </c>
      <c r="AE8164" t="s">
        <v>4655</v>
      </c>
      <c r="AF8164" t="s">
        <v>4563</v>
      </c>
      <c r="AG8164" t="s">
        <v>4564</v>
      </c>
      <c r="AH8164">
        <v>89506</v>
      </c>
      <c r="AI8164" t="s">
        <v>37612</v>
      </c>
      <c r="AJ8164" t="s">
        <v>2512</v>
      </c>
      <c r="AK8164" t="s">
        <v>37613</v>
      </c>
      <c r="AL8164" s="13" t="s">
        <v>1901</v>
      </c>
      <c r="AM8164">
        <v>1</v>
      </c>
      <c r="AN8164" s="15" t="s">
        <v>2513</v>
      </c>
    </row>
    <row r="8165" spans="1:40" x14ac:dyDescent="0.3">
      <c r="A8165" s="10" t="str">
        <f>HYPERLINK("http://www.washoecounty.gov/assessor/cama/?parid=552-292-01&amp;CardNumber=1","552-292-01")</f>
        <v>552-292-01</v>
      </c>
      <c r="B8165" t="s">
        <v>4655</v>
      </c>
      <c r="C8165" t="s">
        <v>37614</v>
      </c>
      <c r="D8165" s="1">
        <v>40238</v>
      </c>
      <c r="E8165" s="2">
        <v>275000</v>
      </c>
      <c r="F8165" t="s">
        <v>4567</v>
      </c>
      <c r="G8165" s="17" t="str">
        <f>HYPERLINK("https://www.washoecounty.gov/assessor/cama/?command=sales&amp;parid=55229201","3853943")</f>
        <v>3853943</v>
      </c>
      <c r="H8165" t="s">
        <v>2518</v>
      </c>
      <c r="I8165">
        <v>2006</v>
      </c>
      <c r="J8165">
        <v>2006</v>
      </c>
      <c r="K8165" t="s">
        <v>4554</v>
      </c>
      <c r="L8165" t="s">
        <v>3974</v>
      </c>
      <c r="M8165" s="2">
        <v>2626</v>
      </c>
      <c r="N8165" t="s">
        <v>5280</v>
      </c>
      <c r="O8165">
        <v>4</v>
      </c>
      <c r="P8165">
        <v>2</v>
      </c>
      <c r="Q8165">
        <v>1</v>
      </c>
      <c r="R8165" t="s">
        <v>5281</v>
      </c>
      <c r="S8165" t="s">
        <v>4898</v>
      </c>
      <c r="T8165" t="s">
        <v>2704</v>
      </c>
      <c r="U8165" t="s">
        <v>5631</v>
      </c>
      <c r="V8165" s="2">
        <v>736</v>
      </c>
      <c r="W8165" t="s">
        <v>4655</v>
      </c>
      <c r="X8165" s="2">
        <v>0</v>
      </c>
      <c r="Y8165">
        <v>20</v>
      </c>
      <c r="Z8165" t="s">
        <v>642</v>
      </c>
      <c r="AA8165" s="3">
        <v>0.21747015416622201</v>
      </c>
      <c r="AB8165" t="s">
        <v>37615</v>
      </c>
      <c r="AC8165" t="s">
        <v>4562</v>
      </c>
      <c r="AD8165" t="s">
        <v>37616</v>
      </c>
      <c r="AE8165" t="s">
        <v>4655</v>
      </c>
      <c r="AF8165" t="s">
        <v>4563</v>
      </c>
      <c r="AG8165" t="s">
        <v>4564</v>
      </c>
      <c r="AH8165">
        <v>89506</v>
      </c>
      <c r="AI8165" t="s">
        <v>37612</v>
      </c>
      <c r="AJ8165" t="s">
        <v>2512</v>
      </c>
      <c r="AK8165" t="s">
        <v>37617</v>
      </c>
      <c r="AL8165" s="13" t="s">
        <v>1901</v>
      </c>
      <c r="AM8165">
        <v>1</v>
      </c>
      <c r="AN8165" s="15" t="s">
        <v>2513</v>
      </c>
    </row>
    <row r="8166" spans="1:40" x14ac:dyDescent="0.3">
      <c r="A8166" s="10" t="str">
        <f>HYPERLINK("http://www.washoecounty.gov/assessor/cama/?parid=552-292-08&amp;CardNumber=1","552-292-08")</f>
        <v>552-292-08</v>
      </c>
      <c r="B8166" t="s">
        <v>4655</v>
      </c>
      <c r="C8166" t="s">
        <v>37618</v>
      </c>
      <c r="D8166" s="1">
        <v>40459</v>
      </c>
      <c r="E8166" s="2">
        <v>178500</v>
      </c>
      <c r="F8166" t="s">
        <v>4567</v>
      </c>
      <c r="G8166" s="17" t="str">
        <f>HYPERLINK("https://www.washoecounty.gov/assessor/cama/?command=sales&amp;parid=55229208","3931097")</f>
        <v>3931097</v>
      </c>
      <c r="H8166" t="s">
        <v>2518</v>
      </c>
      <c r="I8166">
        <v>2006</v>
      </c>
      <c r="J8166">
        <v>2006</v>
      </c>
      <c r="K8166" t="s">
        <v>4554</v>
      </c>
      <c r="L8166" t="s">
        <v>4555</v>
      </c>
      <c r="M8166" s="2">
        <v>1892</v>
      </c>
      <c r="N8166" t="s">
        <v>5280</v>
      </c>
      <c r="O8166">
        <v>3</v>
      </c>
      <c r="P8166">
        <v>2</v>
      </c>
      <c r="Q8166">
        <v>0</v>
      </c>
      <c r="R8166" t="s">
        <v>5281</v>
      </c>
      <c r="S8166" t="s">
        <v>4898</v>
      </c>
      <c r="T8166" t="s">
        <v>2704</v>
      </c>
      <c r="U8166" t="s">
        <v>4560</v>
      </c>
      <c r="V8166" s="2">
        <v>652</v>
      </c>
      <c r="W8166" t="s">
        <v>4655</v>
      </c>
      <c r="X8166" s="2">
        <v>0</v>
      </c>
      <c r="Y8166">
        <v>20</v>
      </c>
      <c r="Z8166" t="s">
        <v>642</v>
      </c>
      <c r="AA8166" s="3">
        <v>0.310789704322815</v>
      </c>
      <c r="AB8166" t="s">
        <v>37619</v>
      </c>
      <c r="AC8166" t="s">
        <v>4562</v>
      </c>
      <c r="AD8166" t="s">
        <v>37618</v>
      </c>
      <c r="AE8166" t="s">
        <v>4655</v>
      </c>
      <c r="AF8166" t="s">
        <v>4563</v>
      </c>
      <c r="AG8166" t="s">
        <v>4564</v>
      </c>
      <c r="AH8166">
        <v>89506</v>
      </c>
      <c r="AI8166" t="s">
        <v>37620</v>
      </c>
      <c r="AJ8166" t="s">
        <v>2512</v>
      </c>
      <c r="AK8166" t="s">
        <v>37621</v>
      </c>
      <c r="AL8166" s="13" t="s">
        <v>1901</v>
      </c>
      <c r="AM8166">
        <v>1</v>
      </c>
      <c r="AN8166" s="15" t="s">
        <v>2513</v>
      </c>
    </row>
    <row r="8167" spans="1:40" x14ac:dyDescent="0.3">
      <c r="A8167" s="10" t="str">
        <f>HYPERLINK("http://www.washoecounty.gov/assessor/cama/?parid=552-292-15&amp;CardNumber=1","552-292-15")</f>
        <v>552-292-15</v>
      </c>
      <c r="B8167" t="s">
        <v>4655</v>
      </c>
      <c r="C8167" t="s">
        <v>37622</v>
      </c>
      <c r="D8167" s="1">
        <v>40484</v>
      </c>
      <c r="E8167" s="2">
        <v>143500</v>
      </c>
      <c r="F8167" t="s">
        <v>4567</v>
      </c>
      <c r="G8167" s="17" t="str">
        <f>HYPERLINK("https://www.washoecounty.gov/assessor/cama/?command=sales&amp;parid=55229215","3939202")</f>
        <v>3939202</v>
      </c>
      <c r="H8167" t="s">
        <v>2518</v>
      </c>
      <c r="I8167">
        <v>2006</v>
      </c>
      <c r="J8167">
        <v>2006</v>
      </c>
      <c r="K8167" t="s">
        <v>4554</v>
      </c>
      <c r="L8167" t="s">
        <v>4555</v>
      </c>
      <c r="M8167" s="2">
        <v>1631</v>
      </c>
      <c r="N8167" t="s">
        <v>5280</v>
      </c>
      <c r="O8167">
        <v>3</v>
      </c>
      <c r="P8167">
        <v>2</v>
      </c>
      <c r="Q8167">
        <v>0</v>
      </c>
      <c r="R8167" t="s">
        <v>5281</v>
      </c>
      <c r="S8167" t="s">
        <v>4898</v>
      </c>
      <c r="T8167" t="s">
        <v>2704</v>
      </c>
      <c r="U8167" t="s">
        <v>4560</v>
      </c>
      <c r="V8167" s="2">
        <v>735</v>
      </c>
      <c r="W8167" t="s">
        <v>4655</v>
      </c>
      <c r="X8167" s="2">
        <v>0</v>
      </c>
      <c r="Y8167">
        <v>20</v>
      </c>
      <c r="Z8167" t="s">
        <v>642</v>
      </c>
      <c r="AA8167" s="3">
        <v>0.23278236389160201</v>
      </c>
      <c r="AB8167" t="s">
        <v>37623</v>
      </c>
      <c r="AC8167" t="s">
        <v>4562</v>
      </c>
      <c r="AD8167" t="s">
        <v>37624</v>
      </c>
      <c r="AE8167" t="s">
        <v>4655</v>
      </c>
      <c r="AF8167" t="s">
        <v>4563</v>
      </c>
      <c r="AG8167" t="s">
        <v>4564</v>
      </c>
      <c r="AH8167">
        <v>89506</v>
      </c>
      <c r="AI8167" t="s">
        <v>37625</v>
      </c>
      <c r="AJ8167" t="s">
        <v>2512</v>
      </c>
      <c r="AK8167" t="s">
        <v>37626</v>
      </c>
      <c r="AL8167" s="13" t="s">
        <v>1901</v>
      </c>
      <c r="AM8167">
        <v>1</v>
      </c>
      <c r="AN8167" s="15" t="s">
        <v>2513</v>
      </c>
    </row>
    <row r="8168" spans="1:40" x14ac:dyDescent="0.3">
      <c r="A8168" s="10" t="str">
        <f>HYPERLINK("http://www.washoecounty.gov/assessor/cama/?parid=552-293-01&amp;CardNumber=1","552-293-01")</f>
        <v>552-293-01</v>
      </c>
      <c r="B8168" t="s">
        <v>4655</v>
      </c>
      <c r="C8168" t="s">
        <v>37627</v>
      </c>
      <c r="D8168" s="1">
        <v>40252</v>
      </c>
      <c r="E8168" s="2">
        <v>242500</v>
      </c>
      <c r="F8168" t="s">
        <v>4567</v>
      </c>
      <c r="G8168" s="17" t="str">
        <f>HYPERLINK("https://www.washoecounty.gov/assessor/cama/?command=sales&amp;parid=55229301","3859794")</f>
        <v>3859794</v>
      </c>
      <c r="H8168" t="s">
        <v>2518</v>
      </c>
      <c r="I8168">
        <v>2007</v>
      </c>
      <c r="J8168">
        <v>2007</v>
      </c>
      <c r="K8168" t="s">
        <v>4554</v>
      </c>
      <c r="L8168" t="s">
        <v>3974</v>
      </c>
      <c r="M8168" s="2">
        <v>3117</v>
      </c>
      <c r="N8168" t="s">
        <v>5280</v>
      </c>
      <c r="O8168">
        <v>4</v>
      </c>
      <c r="P8168">
        <v>3</v>
      </c>
      <c r="Q8168">
        <v>0</v>
      </c>
      <c r="R8168" t="s">
        <v>5281</v>
      </c>
      <c r="S8168" t="s">
        <v>4898</v>
      </c>
      <c r="T8168" t="s">
        <v>2704</v>
      </c>
      <c r="U8168" t="s">
        <v>5631</v>
      </c>
      <c r="V8168" s="2">
        <v>781</v>
      </c>
      <c r="W8168" t="s">
        <v>4655</v>
      </c>
      <c r="X8168" s="2">
        <v>0</v>
      </c>
      <c r="Y8168">
        <v>20</v>
      </c>
      <c r="Z8168" t="s">
        <v>642</v>
      </c>
      <c r="AA8168" s="3">
        <v>0.31042242050170898</v>
      </c>
      <c r="AB8168" t="s">
        <v>37628</v>
      </c>
      <c r="AC8168" t="s">
        <v>4575</v>
      </c>
      <c r="AD8168" t="s">
        <v>37627</v>
      </c>
      <c r="AE8168" t="s">
        <v>4655</v>
      </c>
      <c r="AF8168" t="s">
        <v>4563</v>
      </c>
      <c r="AG8168" t="s">
        <v>4564</v>
      </c>
      <c r="AH8168">
        <v>89506</v>
      </c>
      <c r="AI8168" t="s">
        <v>37629</v>
      </c>
      <c r="AJ8168" t="s">
        <v>2512</v>
      </c>
      <c r="AK8168" t="s">
        <v>37630</v>
      </c>
      <c r="AL8168" s="13" t="s">
        <v>1901</v>
      </c>
      <c r="AM8168">
        <v>1</v>
      </c>
      <c r="AN8168" s="15" t="s">
        <v>2513</v>
      </c>
    </row>
    <row r="8169" spans="1:40" x14ac:dyDescent="0.3">
      <c r="A8169" s="10" t="str">
        <f>HYPERLINK("http://www.washoecounty.gov/assessor/cama/?parid=552-293-02&amp;CardNumber=1","552-293-02")</f>
        <v>552-293-02</v>
      </c>
      <c r="B8169" t="s">
        <v>4655</v>
      </c>
      <c r="C8169" t="s">
        <v>37631</v>
      </c>
      <c r="D8169" s="1">
        <v>40345</v>
      </c>
      <c r="E8169" s="2">
        <v>286634</v>
      </c>
      <c r="F8169" t="s">
        <v>4567</v>
      </c>
      <c r="G8169" s="17" t="str">
        <f>HYPERLINK("https://www.washoecounty.gov/assessor/cama/?command=sales&amp;parid=55229302","3892426")</f>
        <v>3892426</v>
      </c>
      <c r="H8169" t="s">
        <v>37632</v>
      </c>
      <c r="I8169">
        <v>2007</v>
      </c>
      <c r="J8169">
        <v>2007</v>
      </c>
      <c r="K8169" t="s">
        <v>4554</v>
      </c>
      <c r="L8169" t="s">
        <v>3974</v>
      </c>
      <c r="M8169" s="2">
        <v>2854</v>
      </c>
      <c r="N8169" t="s">
        <v>5280</v>
      </c>
      <c r="O8169">
        <v>4</v>
      </c>
      <c r="P8169">
        <v>2</v>
      </c>
      <c r="Q8169">
        <v>1</v>
      </c>
      <c r="R8169" t="s">
        <v>5281</v>
      </c>
      <c r="S8169" t="s">
        <v>4898</v>
      </c>
      <c r="T8169" t="s">
        <v>2704</v>
      </c>
      <c r="U8169" t="s">
        <v>5631</v>
      </c>
      <c r="V8169" s="2">
        <v>508</v>
      </c>
      <c r="W8169" t="s">
        <v>4655</v>
      </c>
      <c r="X8169" s="2">
        <v>0</v>
      </c>
      <c r="Y8169">
        <v>20</v>
      </c>
      <c r="Z8169" t="s">
        <v>642</v>
      </c>
      <c r="AA8169" s="3">
        <v>0.54646462202072099</v>
      </c>
      <c r="AB8169" t="s">
        <v>37633</v>
      </c>
      <c r="AC8169" t="s">
        <v>4562</v>
      </c>
      <c r="AD8169" t="s">
        <v>37631</v>
      </c>
      <c r="AE8169" t="s">
        <v>4655</v>
      </c>
      <c r="AF8169" t="s">
        <v>4563</v>
      </c>
      <c r="AG8169" t="s">
        <v>4564</v>
      </c>
      <c r="AH8169">
        <v>89506</v>
      </c>
      <c r="AI8169" t="s">
        <v>37634</v>
      </c>
      <c r="AJ8169" t="s">
        <v>2512</v>
      </c>
      <c r="AK8169" t="s">
        <v>37635</v>
      </c>
      <c r="AL8169" s="13" t="s">
        <v>1901</v>
      </c>
      <c r="AM8169">
        <v>1</v>
      </c>
      <c r="AN8169" s="15" t="s">
        <v>2513</v>
      </c>
    </row>
    <row r="8170" spans="1:40" x14ac:dyDescent="0.3">
      <c r="A8170" s="10" t="str">
        <f>HYPERLINK("http://www.washoecounty.gov/assessor/cama/?parid=552-293-06&amp;CardNumber=1","552-293-06")</f>
        <v>552-293-06</v>
      </c>
      <c r="B8170" t="s">
        <v>4655</v>
      </c>
      <c r="C8170" t="s">
        <v>37636</v>
      </c>
      <c r="D8170" s="1">
        <v>40273</v>
      </c>
      <c r="E8170" s="2">
        <v>320000</v>
      </c>
      <c r="F8170" t="s">
        <v>4567</v>
      </c>
      <c r="G8170" s="17" t="str">
        <f>HYPERLINK("https://www.washoecounty.gov/assessor/cama/?command=sales&amp;parid=55229306","3867645")</f>
        <v>3867645</v>
      </c>
      <c r="H8170" t="s">
        <v>2518</v>
      </c>
      <c r="I8170">
        <v>2006</v>
      </c>
      <c r="J8170">
        <v>2006</v>
      </c>
      <c r="K8170" t="s">
        <v>4554</v>
      </c>
      <c r="L8170" t="s">
        <v>3974</v>
      </c>
      <c r="M8170" s="2">
        <v>3117</v>
      </c>
      <c r="N8170" t="s">
        <v>5280</v>
      </c>
      <c r="O8170">
        <v>5</v>
      </c>
      <c r="P8170">
        <v>4</v>
      </c>
      <c r="Q8170">
        <v>0</v>
      </c>
      <c r="R8170" t="s">
        <v>5281</v>
      </c>
      <c r="S8170" t="s">
        <v>4898</v>
      </c>
      <c r="T8170" t="s">
        <v>2704</v>
      </c>
      <c r="U8170" t="s">
        <v>5631</v>
      </c>
      <c r="V8170" s="2">
        <v>781</v>
      </c>
      <c r="W8170" t="s">
        <v>4655</v>
      </c>
      <c r="X8170" s="2">
        <v>0</v>
      </c>
      <c r="Y8170">
        <v>20</v>
      </c>
      <c r="Z8170" t="s">
        <v>642</v>
      </c>
      <c r="AA8170" s="3">
        <v>0.32828283309936501</v>
      </c>
      <c r="AB8170" t="s">
        <v>37637</v>
      </c>
      <c r="AC8170" t="s">
        <v>4575</v>
      </c>
      <c r="AD8170" t="s">
        <v>37636</v>
      </c>
      <c r="AE8170" t="s">
        <v>4655</v>
      </c>
      <c r="AF8170" t="s">
        <v>4563</v>
      </c>
      <c r="AG8170" t="s">
        <v>4564</v>
      </c>
      <c r="AH8170">
        <v>89506</v>
      </c>
      <c r="AI8170" t="s">
        <v>37612</v>
      </c>
      <c r="AJ8170" t="s">
        <v>2512</v>
      </c>
      <c r="AK8170" t="s">
        <v>37638</v>
      </c>
      <c r="AL8170" s="13" t="s">
        <v>1901</v>
      </c>
      <c r="AM8170" s="14">
        <v>1</v>
      </c>
      <c r="AN8170" s="15" t="s">
        <v>2513</v>
      </c>
    </row>
    <row r="8171" spans="1:40" x14ac:dyDescent="0.3">
      <c r="A8171" s="10" t="str">
        <f>HYPERLINK("http://www.washoecounty.gov/assessor/cama/?parid=552-293-07&amp;CardNumber=1","552-293-07")</f>
        <v>552-293-07</v>
      </c>
      <c r="B8171" t="s">
        <v>4655</v>
      </c>
      <c r="C8171" t="s">
        <v>749</v>
      </c>
      <c r="D8171" s="1">
        <v>40359</v>
      </c>
      <c r="E8171" s="2">
        <v>320000</v>
      </c>
      <c r="F8171" t="s">
        <v>4567</v>
      </c>
      <c r="G8171" s="17" t="str">
        <f>HYPERLINK("https://www.washoecounty.gov/assessor/cama/?command=sales&amp;parid=55229307","3897070")</f>
        <v>3897070</v>
      </c>
      <c r="H8171" t="s">
        <v>2518</v>
      </c>
      <c r="I8171">
        <v>2006</v>
      </c>
      <c r="J8171">
        <v>2006</v>
      </c>
      <c r="K8171" t="s">
        <v>4554</v>
      </c>
      <c r="L8171" t="s">
        <v>3974</v>
      </c>
      <c r="M8171" s="2">
        <v>2975</v>
      </c>
      <c r="N8171" t="s">
        <v>5280</v>
      </c>
      <c r="O8171">
        <v>4</v>
      </c>
      <c r="P8171">
        <v>2</v>
      </c>
      <c r="Q8171">
        <v>1</v>
      </c>
      <c r="R8171" t="s">
        <v>5281</v>
      </c>
      <c r="S8171" t="s">
        <v>4898</v>
      </c>
      <c r="T8171" t="s">
        <v>2704</v>
      </c>
      <c r="U8171" t="s">
        <v>5631</v>
      </c>
      <c r="V8171" s="2">
        <v>693</v>
      </c>
      <c r="W8171" t="s">
        <v>4655</v>
      </c>
      <c r="X8171" s="2">
        <v>0</v>
      </c>
      <c r="Y8171">
        <v>20</v>
      </c>
      <c r="Z8171" t="s">
        <v>642</v>
      </c>
      <c r="AA8171" s="3">
        <v>0.27474746108055098</v>
      </c>
      <c r="AB8171" t="s">
        <v>37639</v>
      </c>
      <c r="AC8171" t="s">
        <v>4562</v>
      </c>
      <c r="AD8171" t="s">
        <v>749</v>
      </c>
      <c r="AE8171" t="s">
        <v>4655</v>
      </c>
      <c r="AF8171" t="s">
        <v>4563</v>
      </c>
      <c r="AG8171" t="s">
        <v>4564</v>
      </c>
      <c r="AH8171">
        <v>89506</v>
      </c>
      <c r="AI8171" t="s">
        <v>4655</v>
      </c>
      <c r="AJ8171" t="s">
        <v>2512</v>
      </c>
      <c r="AK8171" t="s">
        <v>750</v>
      </c>
      <c r="AL8171" s="13" t="s">
        <v>1901</v>
      </c>
      <c r="AM8171">
        <v>1</v>
      </c>
      <c r="AN8171" s="15" t="s">
        <v>2513</v>
      </c>
    </row>
    <row r="8172" spans="1:40" x14ac:dyDescent="0.3">
      <c r="A8172" s="10" t="str">
        <f>HYPERLINK("http://www.washoecounty.gov/assessor/cama/?parid=552-302-04&amp;CardNumber=1","552-302-04")</f>
        <v>552-302-04</v>
      </c>
      <c r="B8172" t="s">
        <v>4655</v>
      </c>
      <c r="C8172" t="s">
        <v>37640</v>
      </c>
      <c r="D8172" s="1">
        <v>40444</v>
      </c>
      <c r="E8172" s="2">
        <v>185000</v>
      </c>
      <c r="F8172" t="s">
        <v>4567</v>
      </c>
      <c r="G8172" s="17" t="str">
        <f>HYPERLINK("https://www.washoecounty.gov/assessor/cama/?command=sales&amp;parid=55230204","3925577")</f>
        <v>3925577</v>
      </c>
      <c r="H8172" t="s">
        <v>2518</v>
      </c>
      <c r="I8172">
        <v>2007</v>
      </c>
      <c r="J8172">
        <v>2007</v>
      </c>
      <c r="K8172" t="s">
        <v>4554</v>
      </c>
      <c r="L8172" t="s">
        <v>4555</v>
      </c>
      <c r="M8172" s="2">
        <v>1631</v>
      </c>
      <c r="N8172" t="s">
        <v>5280</v>
      </c>
      <c r="O8172">
        <v>3</v>
      </c>
      <c r="P8172">
        <v>2</v>
      </c>
      <c r="Q8172">
        <v>0</v>
      </c>
      <c r="R8172" t="s">
        <v>5281</v>
      </c>
      <c r="S8172" t="s">
        <v>4898</v>
      </c>
      <c r="T8172" t="s">
        <v>2704</v>
      </c>
      <c r="U8172" t="s">
        <v>4560</v>
      </c>
      <c r="V8172" s="2">
        <v>735</v>
      </c>
      <c r="W8172" t="s">
        <v>4655</v>
      </c>
      <c r="X8172" s="2">
        <v>0</v>
      </c>
      <c r="Y8172">
        <v>20</v>
      </c>
      <c r="Z8172" t="s">
        <v>642</v>
      </c>
      <c r="AA8172" s="3">
        <v>0.206634521484375</v>
      </c>
      <c r="AB8172" t="s">
        <v>37641</v>
      </c>
      <c r="AC8172" t="s">
        <v>4575</v>
      </c>
      <c r="AD8172" t="s">
        <v>37642</v>
      </c>
      <c r="AE8172" t="s">
        <v>4655</v>
      </c>
      <c r="AF8172" t="s">
        <v>1719</v>
      </c>
      <c r="AG8172" t="s">
        <v>4564</v>
      </c>
      <c r="AH8172" t="s">
        <v>1720</v>
      </c>
      <c r="AI8172" t="s">
        <v>37643</v>
      </c>
      <c r="AJ8172" t="s">
        <v>2512</v>
      </c>
      <c r="AK8172" t="s">
        <v>37644</v>
      </c>
      <c r="AL8172" s="13" t="s">
        <v>1901</v>
      </c>
      <c r="AM8172" s="14">
        <v>1</v>
      </c>
      <c r="AN8172" s="15" t="s">
        <v>2513</v>
      </c>
    </row>
    <row r="8173" spans="1:40" x14ac:dyDescent="0.3">
      <c r="A8173" s="10" t="str">
        <f>HYPERLINK("http://www.washoecounty.gov/assessor/cama/?parid=552-302-05&amp;CardNumber=1","552-302-05")</f>
        <v>552-302-05</v>
      </c>
      <c r="B8173" t="s">
        <v>4655</v>
      </c>
      <c r="C8173" t="s">
        <v>37645</v>
      </c>
      <c r="D8173" s="1">
        <v>40368</v>
      </c>
      <c r="E8173" s="2">
        <v>279800</v>
      </c>
      <c r="F8173" t="s">
        <v>4567</v>
      </c>
      <c r="G8173" s="17" t="str">
        <f>HYPERLINK("https://www.washoecounty.gov/assessor/cama/?command=sales&amp;parid=55230205","3900000")</f>
        <v>3900000</v>
      </c>
      <c r="H8173" t="s">
        <v>2518</v>
      </c>
      <c r="I8173">
        <v>2007</v>
      </c>
      <c r="J8173">
        <v>2007</v>
      </c>
      <c r="K8173" t="s">
        <v>4554</v>
      </c>
      <c r="L8173" t="s">
        <v>3974</v>
      </c>
      <c r="M8173" s="2">
        <v>2975</v>
      </c>
      <c r="N8173" t="s">
        <v>5280</v>
      </c>
      <c r="O8173">
        <v>4</v>
      </c>
      <c r="P8173">
        <v>2</v>
      </c>
      <c r="Q8173">
        <v>1</v>
      </c>
      <c r="R8173" t="s">
        <v>5281</v>
      </c>
      <c r="S8173" t="s">
        <v>4898</v>
      </c>
      <c r="T8173" t="s">
        <v>2704</v>
      </c>
      <c r="U8173" t="s">
        <v>5631</v>
      </c>
      <c r="V8173" s="2">
        <v>693</v>
      </c>
      <c r="W8173" t="s">
        <v>4655</v>
      </c>
      <c r="X8173" s="2">
        <v>0</v>
      </c>
      <c r="Y8173">
        <v>20</v>
      </c>
      <c r="Z8173" t="s">
        <v>642</v>
      </c>
      <c r="AA8173" s="3">
        <v>0.324403136968613</v>
      </c>
      <c r="AB8173" t="s">
        <v>37646</v>
      </c>
      <c r="AC8173" t="s">
        <v>4562</v>
      </c>
      <c r="AD8173" t="s">
        <v>37647</v>
      </c>
      <c r="AE8173" t="s">
        <v>4655</v>
      </c>
      <c r="AF8173" t="s">
        <v>4563</v>
      </c>
      <c r="AG8173" t="s">
        <v>4564</v>
      </c>
      <c r="AH8173">
        <v>89506</v>
      </c>
      <c r="AI8173" t="s">
        <v>37612</v>
      </c>
      <c r="AJ8173" t="s">
        <v>2512</v>
      </c>
      <c r="AK8173" t="s">
        <v>37648</v>
      </c>
      <c r="AL8173" s="13" t="s">
        <v>1901</v>
      </c>
      <c r="AM8173" s="14">
        <v>1</v>
      </c>
      <c r="AN8173" s="15" t="s">
        <v>2513</v>
      </c>
    </row>
    <row r="8174" spans="1:40" x14ac:dyDescent="0.3">
      <c r="A8174" s="10" t="str">
        <f>HYPERLINK("http://www.washoecounty.gov/assessor/cama/?parid=554-043-03&amp;CardNumber=1","554-043-03")</f>
        <v>554-043-03</v>
      </c>
      <c r="B8174" t="s">
        <v>4655</v>
      </c>
      <c r="C8174" t="s">
        <v>37649</v>
      </c>
      <c r="D8174" s="1">
        <v>40206</v>
      </c>
      <c r="E8174" s="2">
        <v>50000</v>
      </c>
      <c r="F8174" t="s">
        <v>4553</v>
      </c>
      <c r="G8174" s="17" t="str">
        <f>HYPERLINK("https://www.washoecounty.gov/assessor/cama/?command=sales&amp;parid=55404303","3843876")</f>
        <v>3843876</v>
      </c>
      <c r="H8174" t="s">
        <v>2228</v>
      </c>
      <c r="I8174">
        <v>1978</v>
      </c>
      <c r="J8174">
        <v>1978</v>
      </c>
      <c r="K8174" t="s">
        <v>4897</v>
      </c>
      <c r="L8174" t="s">
        <v>4555</v>
      </c>
      <c r="M8174" s="2">
        <v>915</v>
      </c>
      <c r="N8174" t="s">
        <v>4556</v>
      </c>
      <c r="O8174">
        <v>2</v>
      </c>
      <c r="P8174">
        <v>1</v>
      </c>
      <c r="Q8174">
        <v>1</v>
      </c>
      <c r="R8174" t="s">
        <v>4557</v>
      </c>
      <c r="S8174" t="s">
        <v>4558</v>
      </c>
      <c r="T8174" t="s">
        <v>4559</v>
      </c>
      <c r="U8174" t="s">
        <v>4560</v>
      </c>
      <c r="V8174" s="2">
        <v>462</v>
      </c>
      <c r="W8174" t="s">
        <v>4655</v>
      </c>
      <c r="X8174" s="2">
        <v>0</v>
      </c>
      <c r="Y8174">
        <v>21</v>
      </c>
      <c r="Z8174" t="s">
        <v>4351</v>
      </c>
      <c r="AA8174" s="3">
        <v>8.7006427347660106E-2</v>
      </c>
      <c r="AB8174" t="s">
        <v>765</v>
      </c>
      <c r="AC8174" t="s">
        <v>4562</v>
      </c>
      <c r="AD8174" t="s">
        <v>16413</v>
      </c>
      <c r="AE8174" t="s">
        <v>4655</v>
      </c>
      <c r="AF8174" t="s">
        <v>4563</v>
      </c>
      <c r="AG8174" t="s">
        <v>4564</v>
      </c>
      <c r="AH8174">
        <v>89510</v>
      </c>
      <c r="AI8174" t="s">
        <v>4565</v>
      </c>
      <c r="AJ8174" t="s">
        <v>37650</v>
      </c>
      <c r="AK8174" t="s">
        <v>37651</v>
      </c>
      <c r="AL8174" s="13" t="s">
        <v>1901</v>
      </c>
      <c r="AM8174" s="14">
        <v>1</v>
      </c>
      <c r="AN8174" s="15" t="s">
        <v>1532</v>
      </c>
    </row>
    <row r="8175" spans="1:40" x14ac:dyDescent="0.3">
      <c r="A8175" s="10" t="str">
        <f>HYPERLINK("http://www.washoecounty.gov/assessor/cama/?parid=554-043-21&amp;CardNumber=1","554-043-21")</f>
        <v>554-043-21</v>
      </c>
      <c r="B8175" t="s">
        <v>4655</v>
      </c>
      <c r="C8175" t="s">
        <v>37652</v>
      </c>
      <c r="D8175" s="1">
        <v>40457</v>
      </c>
      <c r="E8175" s="2">
        <v>50000</v>
      </c>
      <c r="F8175" t="s">
        <v>4567</v>
      </c>
      <c r="G8175" s="17" t="str">
        <f>HYPERLINK("https://www.washoecounty.gov/assessor/cama/?command=sales&amp;parid=55404321","3930307")</f>
        <v>3930307</v>
      </c>
      <c r="H8175" t="s">
        <v>37653</v>
      </c>
      <c r="I8175">
        <v>1978</v>
      </c>
      <c r="J8175">
        <v>1978</v>
      </c>
      <c r="K8175" t="s">
        <v>4897</v>
      </c>
      <c r="L8175" t="s">
        <v>4555</v>
      </c>
      <c r="M8175" s="2">
        <v>915</v>
      </c>
      <c r="N8175" t="s">
        <v>4556</v>
      </c>
      <c r="O8175">
        <v>2</v>
      </c>
      <c r="P8175">
        <v>2</v>
      </c>
      <c r="Q8175">
        <v>0</v>
      </c>
      <c r="R8175" t="s">
        <v>4557</v>
      </c>
      <c r="S8175" t="s">
        <v>4558</v>
      </c>
      <c r="T8175" t="s">
        <v>4559</v>
      </c>
      <c r="U8175" t="s">
        <v>4560</v>
      </c>
      <c r="V8175" s="2">
        <v>462</v>
      </c>
      <c r="W8175" t="s">
        <v>4655</v>
      </c>
      <c r="X8175" s="2">
        <v>0</v>
      </c>
      <c r="Y8175">
        <v>21</v>
      </c>
      <c r="Z8175" t="s">
        <v>4351</v>
      </c>
      <c r="AA8175" s="3">
        <v>0.11299357563257199</v>
      </c>
      <c r="AB8175" t="s">
        <v>37654</v>
      </c>
      <c r="AC8175" t="s">
        <v>4562</v>
      </c>
      <c r="AD8175" t="s">
        <v>37655</v>
      </c>
      <c r="AE8175" t="s">
        <v>4655</v>
      </c>
      <c r="AF8175" t="s">
        <v>5201</v>
      </c>
      <c r="AG8175" t="s">
        <v>4564</v>
      </c>
      <c r="AH8175" t="s">
        <v>1605</v>
      </c>
      <c r="AI8175" t="s">
        <v>37656</v>
      </c>
      <c r="AJ8175" t="s">
        <v>37657</v>
      </c>
      <c r="AK8175" t="s">
        <v>37658</v>
      </c>
      <c r="AL8175" s="13" t="s">
        <v>1901</v>
      </c>
      <c r="AM8175" s="14">
        <v>1</v>
      </c>
      <c r="AN8175" s="15" t="s">
        <v>1532</v>
      </c>
    </row>
    <row r="8176" spans="1:40" x14ac:dyDescent="0.3">
      <c r="A8176" s="10" t="str">
        <f>HYPERLINK("http://www.washoecounty.gov/assessor/cama/?parid=554-046-01&amp;CardNumber=1","554-046-01")</f>
        <v>554-046-01</v>
      </c>
      <c r="B8176" t="s">
        <v>4655</v>
      </c>
      <c r="C8176" t="s">
        <v>37659</v>
      </c>
      <c r="D8176" s="1">
        <v>40193</v>
      </c>
      <c r="E8176" s="2">
        <v>78912</v>
      </c>
      <c r="F8176" t="s">
        <v>4553</v>
      </c>
      <c r="G8176" s="17" t="str">
        <f>HYPERLINK("https://www.washoecounty.gov/assessor/cama/?command=sales&amp;parid=55404601","3840278")</f>
        <v>3840278</v>
      </c>
      <c r="H8176" t="s">
        <v>2228</v>
      </c>
      <c r="I8176">
        <v>1978</v>
      </c>
      <c r="J8176">
        <v>1978</v>
      </c>
      <c r="K8176" t="s">
        <v>4897</v>
      </c>
      <c r="L8176" t="s">
        <v>4555</v>
      </c>
      <c r="M8176" s="2">
        <v>1080</v>
      </c>
      <c r="N8176" t="s">
        <v>4556</v>
      </c>
      <c r="O8176">
        <v>3</v>
      </c>
      <c r="P8176">
        <v>2</v>
      </c>
      <c r="Q8176">
        <v>0</v>
      </c>
      <c r="R8176" t="s">
        <v>4557</v>
      </c>
      <c r="S8176" t="s">
        <v>4558</v>
      </c>
      <c r="T8176" t="s">
        <v>4559</v>
      </c>
      <c r="U8176" t="s">
        <v>4560</v>
      </c>
      <c r="V8176" s="2">
        <v>437</v>
      </c>
      <c r="W8176" t="s">
        <v>4655</v>
      </c>
      <c r="X8176" s="2">
        <v>0</v>
      </c>
      <c r="Y8176">
        <v>21</v>
      </c>
      <c r="Z8176" t="s">
        <v>4351</v>
      </c>
      <c r="AA8176" s="3">
        <v>8.7006427347660106E-2</v>
      </c>
      <c r="AB8176" t="s">
        <v>37660</v>
      </c>
      <c r="AC8176" t="s">
        <v>4562</v>
      </c>
      <c r="AD8176" t="s">
        <v>37661</v>
      </c>
      <c r="AE8176" t="s">
        <v>4655</v>
      </c>
      <c r="AF8176" t="s">
        <v>2229</v>
      </c>
      <c r="AG8176" t="s">
        <v>4564</v>
      </c>
      <c r="AH8176">
        <v>89403</v>
      </c>
      <c r="AI8176" t="s">
        <v>4655</v>
      </c>
      <c r="AJ8176" t="s">
        <v>37662</v>
      </c>
      <c r="AK8176" t="s">
        <v>37663</v>
      </c>
      <c r="AL8176" s="13" t="s">
        <v>1901</v>
      </c>
      <c r="AM8176" s="14">
        <v>1</v>
      </c>
      <c r="AN8176" s="15" t="s">
        <v>1532</v>
      </c>
    </row>
    <row r="8177" spans="1:40" x14ac:dyDescent="0.3">
      <c r="A8177" s="10" t="str">
        <f>HYPERLINK("http://www.washoecounty.gov/assessor/cama/?parid=554-051-09&amp;CardNumber=1","554-051-09")</f>
        <v>554-051-09</v>
      </c>
      <c r="B8177" t="s">
        <v>4655</v>
      </c>
      <c r="C8177" t="s">
        <v>37664</v>
      </c>
      <c r="D8177" s="1">
        <v>40339</v>
      </c>
      <c r="E8177" s="2">
        <v>80000</v>
      </c>
      <c r="F8177" t="s">
        <v>4553</v>
      </c>
      <c r="G8177" s="17" t="str">
        <f>HYPERLINK("https://www.washoecounty.gov/assessor/cama/?command=sales&amp;parid=55405109","3890076")</f>
        <v>3890076</v>
      </c>
      <c r="H8177" t="s">
        <v>2230</v>
      </c>
      <c r="I8177">
        <v>1978</v>
      </c>
      <c r="J8177">
        <v>1978</v>
      </c>
      <c r="K8177" t="s">
        <v>4897</v>
      </c>
      <c r="L8177" t="s">
        <v>4555</v>
      </c>
      <c r="M8177" s="2">
        <v>1080</v>
      </c>
      <c r="N8177" t="s">
        <v>4556</v>
      </c>
      <c r="O8177">
        <v>3</v>
      </c>
      <c r="P8177">
        <v>2</v>
      </c>
      <c r="Q8177">
        <v>0</v>
      </c>
      <c r="R8177" t="s">
        <v>4557</v>
      </c>
      <c r="S8177" t="s">
        <v>4558</v>
      </c>
      <c r="T8177" t="s">
        <v>4559</v>
      </c>
      <c r="U8177" t="s">
        <v>4560</v>
      </c>
      <c r="V8177" s="2">
        <v>456</v>
      </c>
      <c r="W8177" t="s">
        <v>4655</v>
      </c>
      <c r="X8177" s="2">
        <v>0</v>
      </c>
      <c r="Y8177">
        <v>21</v>
      </c>
      <c r="Z8177" t="s">
        <v>4351</v>
      </c>
      <c r="AA8177" s="3">
        <v>8.7006427347660106E-2</v>
      </c>
      <c r="AB8177" t="s">
        <v>37665</v>
      </c>
      <c r="AC8177" t="s">
        <v>4562</v>
      </c>
      <c r="AD8177" t="s">
        <v>37666</v>
      </c>
      <c r="AE8177" t="s">
        <v>4655</v>
      </c>
      <c r="AF8177" t="s">
        <v>4563</v>
      </c>
      <c r="AG8177" t="s">
        <v>4564</v>
      </c>
      <c r="AH8177">
        <v>89506</v>
      </c>
      <c r="AI8177" t="s">
        <v>5359</v>
      </c>
      <c r="AJ8177" t="s">
        <v>37667</v>
      </c>
      <c r="AK8177" t="s">
        <v>37668</v>
      </c>
      <c r="AL8177" s="13" t="s">
        <v>1901</v>
      </c>
      <c r="AM8177" s="14">
        <v>1</v>
      </c>
      <c r="AN8177" s="15" t="s">
        <v>1532</v>
      </c>
    </row>
    <row r="8178" spans="1:40" x14ac:dyDescent="0.3">
      <c r="A8178" s="10" t="str">
        <f>HYPERLINK("http://www.washoecounty.gov/assessor/cama/?parid=554-054-17&amp;CardNumber=1","554-054-17")</f>
        <v>554-054-17</v>
      </c>
      <c r="B8178" t="s">
        <v>4655</v>
      </c>
      <c r="C8178" t="s">
        <v>37669</v>
      </c>
      <c r="D8178" s="1">
        <v>40436</v>
      </c>
      <c r="E8178" s="2">
        <v>47900</v>
      </c>
      <c r="F8178" t="s">
        <v>4553</v>
      </c>
      <c r="G8178" s="17" t="str">
        <f>HYPERLINK("https://www.washoecounty.gov/assessor/cama/?command=sales&amp;parid=55405417","3922532")</f>
        <v>3922532</v>
      </c>
      <c r="H8178" t="s">
        <v>2230</v>
      </c>
      <c r="I8178">
        <v>1978</v>
      </c>
      <c r="J8178">
        <v>1978</v>
      </c>
      <c r="K8178" t="s">
        <v>4897</v>
      </c>
      <c r="L8178" t="s">
        <v>4555</v>
      </c>
      <c r="M8178" s="2">
        <v>1080</v>
      </c>
      <c r="N8178" t="s">
        <v>4556</v>
      </c>
      <c r="O8178">
        <v>3</v>
      </c>
      <c r="P8178">
        <v>2</v>
      </c>
      <c r="Q8178">
        <v>0</v>
      </c>
      <c r="R8178" t="s">
        <v>4557</v>
      </c>
      <c r="S8178" t="s">
        <v>4558</v>
      </c>
      <c r="T8178" t="s">
        <v>4559</v>
      </c>
      <c r="U8178" t="s">
        <v>4560</v>
      </c>
      <c r="V8178" s="2">
        <v>456</v>
      </c>
      <c r="W8178" t="s">
        <v>4655</v>
      </c>
      <c r="X8178" s="2">
        <v>0</v>
      </c>
      <c r="Y8178">
        <v>21</v>
      </c>
      <c r="Z8178" t="s">
        <v>4351</v>
      </c>
      <c r="AA8178" s="3">
        <v>0.103007346391678</v>
      </c>
      <c r="AB8178" t="s">
        <v>765</v>
      </c>
      <c r="AC8178" t="s">
        <v>4562</v>
      </c>
      <c r="AD8178" t="s">
        <v>4824</v>
      </c>
      <c r="AE8178" t="s">
        <v>4655</v>
      </c>
      <c r="AF8178" t="s">
        <v>4563</v>
      </c>
      <c r="AG8178" t="s">
        <v>4564</v>
      </c>
      <c r="AH8178">
        <v>89510</v>
      </c>
      <c r="AI8178" t="s">
        <v>1602</v>
      </c>
      <c r="AJ8178" t="s">
        <v>37670</v>
      </c>
      <c r="AK8178" t="s">
        <v>37671</v>
      </c>
      <c r="AL8178" s="13" t="s">
        <v>1901</v>
      </c>
      <c r="AM8178">
        <v>1</v>
      </c>
      <c r="AN8178" s="15" t="s">
        <v>1532</v>
      </c>
    </row>
    <row r="8179" spans="1:40" x14ac:dyDescent="0.3">
      <c r="A8179" s="10" t="str">
        <f>HYPERLINK("http://www.washoecounty.gov/assessor/cama/?parid=554-056-06&amp;CardNumber=1","554-056-06")</f>
        <v>554-056-06</v>
      </c>
      <c r="B8179" t="s">
        <v>4655</v>
      </c>
      <c r="C8179" t="s">
        <v>37672</v>
      </c>
      <c r="D8179" s="1">
        <v>40260</v>
      </c>
      <c r="E8179" s="2">
        <v>60000</v>
      </c>
      <c r="F8179" t="s">
        <v>4553</v>
      </c>
      <c r="G8179" s="17" t="str">
        <f>HYPERLINK("https://www.washoecounty.gov/assessor/cama/?command=sales&amp;parid=55405606","3862831")</f>
        <v>3862831</v>
      </c>
      <c r="H8179" t="s">
        <v>2230</v>
      </c>
      <c r="I8179">
        <v>1978</v>
      </c>
      <c r="J8179">
        <v>1978</v>
      </c>
      <c r="K8179" t="s">
        <v>4897</v>
      </c>
      <c r="L8179" t="s">
        <v>4555</v>
      </c>
      <c r="M8179" s="2">
        <v>1080</v>
      </c>
      <c r="N8179" t="s">
        <v>4556</v>
      </c>
      <c r="O8179">
        <v>3</v>
      </c>
      <c r="P8179">
        <v>2</v>
      </c>
      <c r="Q8179">
        <v>0</v>
      </c>
      <c r="R8179" t="s">
        <v>4557</v>
      </c>
      <c r="S8179" t="s">
        <v>4558</v>
      </c>
      <c r="T8179" t="s">
        <v>4559</v>
      </c>
      <c r="U8179" t="s">
        <v>4560</v>
      </c>
      <c r="V8179" s="2">
        <v>456</v>
      </c>
      <c r="W8179" t="s">
        <v>4655</v>
      </c>
      <c r="X8179" s="2">
        <v>0</v>
      </c>
      <c r="Y8179">
        <v>21</v>
      </c>
      <c r="Z8179" t="s">
        <v>4351</v>
      </c>
      <c r="AA8179" s="3">
        <v>0.108999080955982</v>
      </c>
      <c r="AB8179" t="s">
        <v>1080</v>
      </c>
      <c r="AC8179" t="s">
        <v>4562</v>
      </c>
      <c r="AD8179" t="s">
        <v>37673</v>
      </c>
      <c r="AE8179" t="s">
        <v>4655</v>
      </c>
      <c r="AF8179" t="s">
        <v>4563</v>
      </c>
      <c r="AG8179" t="s">
        <v>4564</v>
      </c>
      <c r="AH8179">
        <v>89506</v>
      </c>
      <c r="AI8179" t="s">
        <v>1081</v>
      </c>
      <c r="AJ8179" t="s">
        <v>37674</v>
      </c>
      <c r="AK8179" t="s">
        <v>37675</v>
      </c>
      <c r="AL8179" s="13" t="s">
        <v>1901</v>
      </c>
      <c r="AM8179">
        <v>1</v>
      </c>
      <c r="AN8179" s="15" t="s">
        <v>1532</v>
      </c>
    </row>
    <row r="8180" spans="1:40" x14ac:dyDescent="0.3">
      <c r="A8180" s="10" t="str">
        <f>HYPERLINK("http://www.washoecounty.gov/assessor/cama/?parid=554-056-11&amp;CardNumber=1","554-056-11")</f>
        <v>554-056-11</v>
      </c>
      <c r="B8180" t="s">
        <v>4655</v>
      </c>
      <c r="C8180" t="s">
        <v>37676</v>
      </c>
      <c r="D8180" s="1">
        <v>40206</v>
      </c>
      <c r="E8180" s="2">
        <v>75000</v>
      </c>
      <c r="F8180" t="s">
        <v>4553</v>
      </c>
      <c r="G8180" s="17" t="str">
        <f>HYPERLINK("https://www.washoecounty.gov/assessor/cama/?command=sales&amp;parid=55405611","3843700")</f>
        <v>3843700</v>
      </c>
      <c r="H8180" t="s">
        <v>2230</v>
      </c>
      <c r="I8180">
        <v>1978</v>
      </c>
      <c r="J8180">
        <v>1978</v>
      </c>
      <c r="K8180" t="s">
        <v>4897</v>
      </c>
      <c r="L8180" t="s">
        <v>4555</v>
      </c>
      <c r="M8180" s="2">
        <v>1080</v>
      </c>
      <c r="N8180" t="s">
        <v>4556</v>
      </c>
      <c r="O8180">
        <v>3</v>
      </c>
      <c r="P8180">
        <v>2</v>
      </c>
      <c r="Q8180">
        <v>0</v>
      </c>
      <c r="R8180" t="s">
        <v>4557</v>
      </c>
      <c r="S8180" t="s">
        <v>4558</v>
      </c>
      <c r="T8180" t="s">
        <v>4559</v>
      </c>
      <c r="U8180" t="s">
        <v>4560</v>
      </c>
      <c r="V8180" s="2">
        <v>456</v>
      </c>
      <c r="W8180" t="s">
        <v>4655</v>
      </c>
      <c r="X8180" s="2">
        <v>0</v>
      </c>
      <c r="Y8180">
        <v>21</v>
      </c>
      <c r="Z8180" t="s">
        <v>4351</v>
      </c>
      <c r="AA8180" s="3">
        <v>0.123989902436733</v>
      </c>
      <c r="AB8180" t="s">
        <v>37677</v>
      </c>
      <c r="AC8180" t="s">
        <v>4562</v>
      </c>
      <c r="AD8180" t="s">
        <v>37676</v>
      </c>
      <c r="AE8180" t="s">
        <v>4655</v>
      </c>
      <c r="AF8180" t="s">
        <v>4563</v>
      </c>
      <c r="AG8180" t="s">
        <v>4564</v>
      </c>
      <c r="AH8180">
        <v>89506</v>
      </c>
      <c r="AI8180" t="s">
        <v>4903</v>
      </c>
      <c r="AJ8180" t="s">
        <v>37678</v>
      </c>
      <c r="AK8180" t="s">
        <v>37679</v>
      </c>
      <c r="AL8180" s="13" t="s">
        <v>1901</v>
      </c>
      <c r="AM8180" s="14">
        <v>1</v>
      </c>
      <c r="AN8180" s="15" t="s">
        <v>1532</v>
      </c>
    </row>
    <row r="8181" spans="1:40" x14ac:dyDescent="0.3">
      <c r="A8181" s="10" t="str">
        <f>HYPERLINK("http://www.washoecounty.gov/assessor/cama/?parid=554-056-19&amp;CardNumber=1","554-056-19")</f>
        <v>554-056-19</v>
      </c>
      <c r="B8181" t="s">
        <v>4655</v>
      </c>
      <c r="C8181" t="s">
        <v>37680</v>
      </c>
      <c r="D8181" s="1">
        <v>40424</v>
      </c>
      <c r="E8181" s="2">
        <v>56000</v>
      </c>
      <c r="F8181" t="s">
        <v>4553</v>
      </c>
      <c r="G8181" s="17" t="str">
        <f>HYPERLINK("https://www.washoecounty.gov/assessor/cama/?command=sales&amp;parid=55405619","3918967")</f>
        <v>3918967</v>
      </c>
      <c r="H8181" t="s">
        <v>2230</v>
      </c>
      <c r="I8181">
        <v>1978</v>
      </c>
      <c r="J8181">
        <v>1978</v>
      </c>
      <c r="K8181" t="s">
        <v>4897</v>
      </c>
      <c r="L8181" t="s">
        <v>4555</v>
      </c>
      <c r="M8181" s="2">
        <v>1080</v>
      </c>
      <c r="N8181" t="s">
        <v>4556</v>
      </c>
      <c r="O8181">
        <v>3</v>
      </c>
      <c r="P8181">
        <v>2</v>
      </c>
      <c r="Q8181">
        <v>0</v>
      </c>
      <c r="R8181" t="s">
        <v>4557</v>
      </c>
      <c r="S8181" t="s">
        <v>4558</v>
      </c>
      <c r="T8181" t="s">
        <v>4559</v>
      </c>
      <c r="U8181" t="s">
        <v>4560</v>
      </c>
      <c r="V8181" s="2">
        <v>456</v>
      </c>
      <c r="W8181" t="s">
        <v>4655</v>
      </c>
      <c r="X8181" s="2">
        <v>0</v>
      </c>
      <c r="Y8181">
        <v>21</v>
      </c>
      <c r="Z8181" t="s">
        <v>4351</v>
      </c>
      <c r="AA8181" s="3">
        <v>0.10000000149011599</v>
      </c>
      <c r="AB8181" t="s">
        <v>37681</v>
      </c>
      <c r="AC8181" t="s">
        <v>4562</v>
      </c>
      <c r="AD8181" t="s">
        <v>37682</v>
      </c>
      <c r="AE8181" t="s">
        <v>4655</v>
      </c>
      <c r="AF8181" t="s">
        <v>4563</v>
      </c>
      <c r="AG8181" t="s">
        <v>4564</v>
      </c>
      <c r="AH8181">
        <v>89506</v>
      </c>
      <c r="AI8181" t="s">
        <v>4655</v>
      </c>
      <c r="AJ8181" t="s">
        <v>37683</v>
      </c>
      <c r="AK8181" t="s">
        <v>37684</v>
      </c>
      <c r="AL8181" s="13" t="s">
        <v>1901</v>
      </c>
      <c r="AM8181">
        <v>1</v>
      </c>
      <c r="AN8181" s="15" t="s">
        <v>1532</v>
      </c>
    </row>
    <row r="8182" spans="1:40" x14ac:dyDescent="0.3">
      <c r="A8182" s="10" t="str">
        <f>HYPERLINK("http://www.washoecounty.gov/assessor/cama/?parid=554-056-20&amp;CardNumber=1","554-056-20")</f>
        <v>554-056-20</v>
      </c>
      <c r="B8182" t="s">
        <v>4655</v>
      </c>
      <c r="C8182" t="s">
        <v>37685</v>
      </c>
      <c r="D8182" s="1">
        <v>40527</v>
      </c>
      <c r="E8182" s="2">
        <v>48000</v>
      </c>
      <c r="F8182" t="s">
        <v>4567</v>
      </c>
      <c r="G8182" s="17" t="str">
        <f>HYPERLINK("https://www.washoecounty.gov/assessor/cama/?command=sales&amp;parid=55405620","3953523")</f>
        <v>3953523</v>
      </c>
      <c r="H8182" t="s">
        <v>2230</v>
      </c>
      <c r="I8182">
        <v>1978</v>
      </c>
      <c r="J8182">
        <v>1978</v>
      </c>
      <c r="K8182" t="s">
        <v>4897</v>
      </c>
      <c r="L8182" t="s">
        <v>4555</v>
      </c>
      <c r="M8182" s="2">
        <v>1080</v>
      </c>
      <c r="N8182" t="s">
        <v>4556</v>
      </c>
      <c r="O8182">
        <v>3</v>
      </c>
      <c r="P8182">
        <v>2</v>
      </c>
      <c r="Q8182">
        <v>0</v>
      </c>
      <c r="R8182" t="s">
        <v>5281</v>
      </c>
      <c r="S8182" t="s">
        <v>4558</v>
      </c>
      <c r="T8182" t="s">
        <v>4559</v>
      </c>
      <c r="U8182" t="s">
        <v>4560</v>
      </c>
      <c r="V8182" s="2">
        <v>456</v>
      </c>
      <c r="W8182" t="s">
        <v>4655</v>
      </c>
      <c r="X8182" s="2">
        <v>0</v>
      </c>
      <c r="Y8182">
        <v>21</v>
      </c>
      <c r="Z8182" t="s">
        <v>4351</v>
      </c>
      <c r="AA8182" s="3">
        <v>9.4008266925811795E-2</v>
      </c>
      <c r="AB8182" t="s">
        <v>37686</v>
      </c>
      <c r="AC8182" t="s">
        <v>4562</v>
      </c>
      <c r="AD8182" t="s">
        <v>37687</v>
      </c>
      <c r="AE8182" t="s">
        <v>4655</v>
      </c>
      <c r="AF8182" t="s">
        <v>4563</v>
      </c>
      <c r="AG8182" t="s">
        <v>4564</v>
      </c>
      <c r="AH8182">
        <v>89506</v>
      </c>
      <c r="AI8182" t="s">
        <v>37688</v>
      </c>
      <c r="AJ8182" t="s">
        <v>37689</v>
      </c>
      <c r="AK8182" t="s">
        <v>37690</v>
      </c>
      <c r="AL8182" s="13" t="s">
        <v>1901</v>
      </c>
      <c r="AM8182">
        <v>1</v>
      </c>
      <c r="AN8182" s="15" t="s">
        <v>1532</v>
      </c>
    </row>
    <row r="8183" spans="1:40" x14ac:dyDescent="0.3">
      <c r="A8183" s="10" t="str">
        <f>HYPERLINK("http://www.washoecounty.gov/assessor/cama/?parid=554-057-10&amp;CardNumber=1","554-057-10")</f>
        <v>554-057-10</v>
      </c>
      <c r="B8183" t="s">
        <v>4655</v>
      </c>
      <c r="C8183" t="s">
        <v>37691</v>
      </c>
      <c r="D8183" s="1">
        <v>40353</v>
      </c>
      <c r="E8183" s="2">
        <v>62000</v>
      </c>
      <c r="F8183" t="s">
        <v>4567</v>
      </c>
      <c r="G8183" s="17" t="str">
        <f>HYPERLINK("https://www.washoecounty.gov/assessor/cama/?command=sales&amp;parid=55405710","3894960")</f>
        <v>3894960</v>
      </c>
      <c r="H8183" t="s">
        <v>2230</v>
      </c>
      <c r="I8183">
        <v>1978</v>
      </c>
      <c r="J8183">
        <v>1978</v>
      </c>
      <c r="K8183" t="s">
        <v>4897</v>
      </c>
      <c r="L8183" t="s">
        <v>4555</v>
      </c>
      <c r="M8183" s="2">
        <v>1080</v>
      </c>
      <c r="N8183" t="s">
        <v>4556</v>
      </c>
      <c r="O8183">
        <v>3</v>
      </c>
      <c r="P8183">
        <v>2</v>
      </c>
      <c r="Q8183">
        <v>0</v>
      </c>
      <c r="R8183" t="s">
        <v>4557</v>
      </c>
      <c r="S8183" t="s">
        <v>4558</v>
      </c>
      <c r="T8183" t="s">
        <v>4559</v>
      </c>
      <c r="U8183" t="s">
        <v>4560</v>
      </c>
      <c r="V8183" s="2">
        <v>456</v>
      </c>
      <c r="W8183" t="s">
        <v>4655</v>
      </c>
      <c r="X8183" s="2">
        <v>0</v>
      </c>
      <c r="Y8183">
        <v>21</v>
      </c>
      <c r="Z8183" t="s">
        <v>4351</v>
      </c>
      <c r="AA8183" s="3">
        <v>8.9003674685955006E-2</v>
      </c>
      <c r="AB8183" t="s">
        <v>2231</v>
      </c>
      <c r="AC8183" t="s">
        <v>4562</v>
      </c>
      <c r="AD8183" t="s">
        <v>2232</v>
      </c>
      <c r="AE8183" t="s">
        <v>4655</v>
      </c>
      <c r="AF8183" t="s">
        <v>4563</v>
      </c>
      <c r="AG8183" t="s">
        <v>4564</v>
      </c>
      <c r="AH8183" t="s">
        <v>2330</v>
      </c>
      <c r="AI8183" t="s">
        <v>37692</v>
      </c>
      <c r="AJ8183" t="s">
        <v>37693</v>
      </c>
      <c r="AK8183" t="s">
        <v>37694</v>
      </c>
      <c r="AL8183" s="13" t="s">
        <v>1901</v>
      </c>
      <c r="AM8183" s="14">
        <v>1</v>
      </c>
      <c r="AN8183" s="15" t="s">
        <v>1532</v>
      </c>
    </row>
    <row r="8184" spans="1:40" x14ac:dyDescent="0.3">
      <c r="A8184" s="10" t="str">
        <f>HYPERLINK("http://www.washoecounty.gov/assessor/cama/?parid=554-057-12&amp;CardNumber=1","554-057-12")</f>
        <v>554-057-12</v>
      </c>
      <c r="B8184" t="s">
        <v>4655</v>
      </c>
      <c r="C8184" t="s">
        <v>37695</v>
      </c>
      <c r="D8184" s="1">
        <v>40479</v>
      </c>
      <c r="E8184" s="2">
        <v>55000</v>
      </c>
      <c r="F8184" t="s">
        <v>4567</v>
      </c>
      <c r="G8184" s="17" t="str">
        <f>HYPERLINK("https://www.washoecounty.gov/assessor/cama/?command=sales&amp;parid=55405712","3937944")</f>
        <v>3937944</v>
      </c>
      <c r="H8184" t="s">
        <v>2230</v>
      </c>
      <c r="I8184">
        <v>1978</v>
      </c>
      <c r="J8184">
        <v>1978</v>
      </c>
      <c r="K8184" t="s">
        <v>4897</v>
      </c>
      <c r="L8184" t="s">
        <v>4555</v>
      </c>
      <c r="M8184" s="2">
        <v>1080</v>
      </c>
      <c r="N8184" t="s">
        <v>4556</v>
      </c>
      <c r="O8184">
        <v>3</v>
      </c>
      <c r="P8184">
        <v>2</v>
      </c>
      <c r="Q8184">
        <v>0</v>
      </c>
      <c r="R8184" t="s">
        <v>4557</v>
      </c>
      <c r="S8184" t="s">
        <v>4558</v>
      </c>
      <c r="T8184" t="s">
        <v>4559</v>
      </c>
      <c r="U8184" t="s">
        <v>4560</v>
      </c>
      <c r="V8184" s="2">
        <v>456</v>
      </c>
      <c r="W8184" t="s">
        <v>4655</v>
      </c>
      <c r="X8184" s="2">
        <v>0</v>
      </c>
      <c r="Y8184">
        <v>21</v>
      </c>
      <c r="Z8184" t="s">
        <v>4351</v>
      </c>
      <c r="AA8184" s="3">
        <v>0.10000000149011599</v>
      </c>
      <c r="AB8184" t="s">
        <v>2231</v>
      </c>
      <c r="AC8184" t="s">
        <v>4562</v>
      </c>
      <c r="AD8184" t="s">
        <v>2232</v>
      </c>
      <c r="AE8184" t="s">
        <v>4655</v>
      </c>
      <c r="AF8184" t="s">
        <v>4563</v>
      </c>
      <c r="AG8184" t="s">
        <v>4564</v>
      </c>
      <c r="AH8184" t="s">
        <v>2330</v>
      </c>
      <c r="AI8184" t="s">
        <v>37696</v>
      </c>
      <c r="AJ8184" t="s">
        <v>37697</v>
      </c>
      <c r="AK8184" t="s">
        <v>37698</v>
      </c>
      <c r="AL8184" s="13" t="s">
        <v>1901</v>
      </c>
      <c r="AM8184">
        <v>1</v>
      </c>
      <c r="AN8184" s="15" t="s">
        <v>1532</v>
      </c>
    </row>
    <row r="8185" spans="1:40" x14ac:dyDescent="0.3">
      <c r="A8185" s="10" t="str">
        <f>HYPERLINK("http://www.washoecounty.gov/assessor/cama/?parid=554-062-05&amp;CardNumber=1","554-062-05")</f>
        <v>554-062-05</v>
      </c>
      <c r="B8185" t="s">
        <v>4655</v>
      </c>
      <c r="C8185" t="s">
        <v>37699</v>
      </c>
      <c r="D8185" s="1">
        <v>40235</v>
      </c>
      <c r="E8185" s="2">
        <v>73000</v>
      </c>
      <c r="F8185" t="s">
        <v>4567</v>
      </c>
      <c r="G8185" s="17" t="str">
        <f>HYPERLINK("https://www.washoecounty.gov/assessor/cama/?command=sales&amp;parid=55406205","3853437")</f>
        <v>3853437</v>
      </c>
      <c r="H8185" t="s">
        <v>2019</v>
      </c>
      <c r="I8185">
        <v>1979</v>
      </c>
      <c r="J8185">
        <v>1985</v>
      </c>
      <c r="K8185" t="s">
        <v>4897</v>
      </c>
      <c r="L8185" t="s">
        <v>4555</v>
      </c>
      <c r="M8185" s="2">
        <v>1360</v>
      </c>
      <c r="N8185" t="s">
        <v>4556</v>
      </c>
      <c r="O8185">
        <v>3</v>
      </c>
      <c r="P8185">
        <v>2</v>
      </c>
      <c r="Q8185">
        <v>0</v>
      </c>
      <c r="R8185" t="s">
        <v>4557</v>
      </c>
      <c r="S8185" t="s">
        <v>4558</v>
      </c>
      <c r="T8185" t="s">
        <v>4559</v>
      </c>
      <c r="U8185" t="s">
        <v>4560</v>
      </c>
      <c r="V8185" s="2">
        <v>437</v>
      </c>
      <c r="W8185" t="s">
        <v>4655</v>
      </c>
      <c r="X8185" s="2">
        <v>0</v>
      </c>
      <c r="Y8185">
        <v>21</v>
      </c>
      <c r="Z8185" t="s">
        <v>4351</v>
      </c>
      <c r="AA8185" s="3">
        <v>0.196005508303642</v>
      </c>
      <c r="AB8185" t="s">
        <v>37700</v>
      </c>
      <c r="AC8185" t="s">
        <v>4562</v>
      </c>
      <c r="AD8185" t="s">
        <v>37699</v>
      </c>
      <c r="AE8185" t="s">
        <v>4655</v>
      </c>
      <c r="AF8185" t="s">
        <v>4563</v>
      </c>
      <c r="AG8185" t="s">
        <v>4564</v>
      </c>
      <c r="AH8185">
        <v>89506</v>
      </c>
      <c r="AI8185" t="s">
        <v>37701</v>
      </c>
      <c r="AJ8185" t="s">
        <v>37702</v>
      </c>
      <c r="AK8185" t="s">
        <v>37703</v>
      </c>
      <c r="AL8185" s="13" t="s">
        <v>1901</v>
      </c>
      <c r="AM8185" s="14">
        <v>1</v>
      </c>
      <c r="AN8185" s="15" t="s">
        <v>1532</v>
      </c>
    </row>
    <row r="8186" spans="1:40" x14ac:dyDescent="0.3">
      <c r="A8186" s="10" t="str">
        <f>HYPERLINK("http://www.washoecounty.gov/assessor/cama/?parid=554-062-10&amp;CardNumber=1","554-062-10")</f>
        <v>554-062-10</v>
      </c>
      <c r="B8186" t="s">
        <v>4655</v>
      </c>
      <c r="C8186" t="s">
        <v>37704</v>
      </c>
      <c r="D8186" s="1">
        <v>40200</v>
      </c>
      <c r="E8186" s="2">
        <v>60000</v>
      </c>
      <c r="F8186" t="s">
        <v>4567</v>
      </c>
      <c r="G8186" s="17" t="str">
        <f>HYPERLINK("https://www.washoecounty.gov/assessor/cama/?command=sales&amp;parid=55406210","3841927")</f>
        <v>3841927</v>
      </c>
      <c r="H8186" t="s">
        <v>4350</v>
      </c>
      <c r="I8186">
        <v>1979</v>
      </c>
      <c r="J8186">
        <v>1979</v>
      </c>
      <c r="K8186" t="s">
        <v>4897</v>
      </c>
      <c r="L8186" t="s">
        <v>4555</v>
      </c>
      <c r="M8186" s="2">
        <v>1080</v>
      </c>
      <c r="N8186" t="s">
        <v>4556</v>
      </c>
      <c r="O8186">
        <v>3</v>
      </c>
      <c r="P8186">
        <v>2</v>
      </c>
      <c r="Q8186">
        <v>0</v>
      </c>
      <c r="R8186" t="s">
        <v>4557</v>
      </c>
      <c r="S8186" t="s">
        <v>4558</v>
      </c>
      <c r="T8186" t="s">
        <v>4559</v>
      </c>
      <c r="U8186" t="s">
        <v>4560</v>
      </c>
      <c r="V8186" s="2">
        <v>437</v>
      </c>
      <c r="W8186" t="s">
        <v>4655</v>
      </c>
      <c r="X8186" s="2">
        <v>0</v>
      </c>
      <c r="Y8186">
        <v>21</v>
      </c>
      <c r="Z8186" t="s">
        <v>4351</v>
      </c>
      <c r="AA8186" s="3">
        <v>0.108999080955982</v>
      </c>
      <c r="AB8186" t="s">
        <v>2231</v>
      </c>
      <c r="AC8186" t="s">
        <v>4562</v>
      </c>
      <c r="AD8186" t="s">
        <v>2232</v>
      </c>
      <c r="AE8186" t="s">
        <v>4655</v>
      </c>
      <c r="AF8186" t="s">
        <v>4563</v>
      </c>
      <c r="AG8186" t="s">
        <v>4564</v>
      </c>
      <c r="AH8186" t="s">
        <v>2330</v>
      </c>
      <c r="AI8186" t="s">
        <v>37705</v>
      </c>
      <c r="AJ8186" t="s">
        <v>37706</v>
      </c>
      <c r="AK8186" t="s">
        <v>37707</v>
      </c>
      <c r="AL8186" s="13" t="s">
        <v>1901</v>
      </c>
      <c r="AM8186" s="14">
        <v>1</v>
      </c>
      <c r="AN8186" s="15" t="s">
        <v>1532</v>
      </c>
    </row>
    <row r="8187" spans="1:40" x14ac:dyDescent="0.3">
      <c r="A8187" s="10" t="str">
        <f>HYPERLINK("http://www.washoecounty.gov/assessor/cama/?parid=554-063-06&amp;CardNumber=1","554-063-06")</f>
        <v>554-063-06</v>
      </c>
      <c r="B8187" t="s">
        <v>4655</v>
      </c>
      <c r="C8187" t="s">
        <v>37708</v>
      </c>
      <c r="D8187" s="1">
        <v>40288</v>
      </c>
      <c r="E8187" s="2">
        <v>83000</v>
      </c>
      <c r="F8187" t="s">
        <v>4553</v>
      </c>
      <c r="G8187" s="17" t="str">
        <f>HYPERLINK("https://www.washoecounty.gov/assessor/cama/?command=sales&amp;parid=55406306","3872928")</f>
        <v>3872928</v>
      </c>
      <c r="H8187" t="s">
        <v>4350</v>
      </c>
      <c r="I8187">
        <v>1979</v>
      </c>
      <c r="J8187">
        <v>1979</v>
      </c>
      <c r="K8187" t="s">
        <v>4897</v>
      </c>
      <c r="L8187" t="s">
        <v>4555</v>
      </c>
      <c r="M8187" s="2">
        <v>1080</v>
      </c>
      <c r="N8187" t="s">
        <v>4556</v>
      </c>
      <c r="O8187">
        <v>3</v>
      </c>
      <c r="P8187">
        <v>2</v>
      </c>
      <c r="Q8187">
        <v>0</v>
      </c>
      <c r="R8187" t="s">
        <v>4557</v>
      </c>
      <c r="S8187" t="s">
        <v>4558</v>
      </c>
      <c r="T8187" t="s">
        <v>4559</v>
      </c>
      <c r="U8187" t="s">
        <v>4560</v>
      </c>
      <c r="V8187" s="2">
        <v>437</v>
      </c>
      <c r="W8187" t="s">
        <v>4655</v>
      </c>
      <c r="X8187" s="2">
        <v>0</v>
      </c>
      <c r="Y8187">
        <v>21</v>
      </c>
      <c r="Z8187" t="s">
        <v>4351</v>
      </c>
      <c r="AA8187" s="3">
        <v>0.11000918596983</v>
      </c>
      <c r="AB8187" t="s">
        <v>37709</v>
      </c>
      <c r="AC8187" t="s">
        <v>4562</v>
      </c>
      <c r="AD8187" t="s">
        <v>37710</v>
      </c>
      <c r="AE8187" t="s">
        <v>4655</v>
      </c>
      <c r="AF8187" t="s">
        <v>4563</v>
      </c>
      <c r="AG8187" t="s">
        <v>4564</v>
      </c>
      <c r="AH8187">
        <v>89506</v>
      </c>
      <c r="AI8187" t="s">
        <v>37711</v>
      </c>
      <c r="AJ8187" t="s">
        <v>37712</v>
      </c>
      <c r="AK8187" t="s">
        <v>37713</v>
      </c>
      <c r="AL8187" s="13" t="s">
        <v>1901</v>
      </c>
      <c r="AM8187">
        <v>1</v>
      </c>
      <c r="AN8187" s="15" t="s">
        <v>1532</v>
      </c>
    </row>
    <row r="8188" spans="1:40" x14ac:dyDescent="0.3">
      <c r="A8188" s="10" t="str">
        <f>HYPERLINK("http://www.washoecounty.gov/assessor/cama/?parid=554-063-17&amp;CardNumber=1","554-063-17")</f>
        <v>554-063-17</v>
      </c>
      <c r="B8188" t="s">
        <v>4655</v>
      </c>
      <c r="C8188" t="s">
        <v>37714</v>
      </c>
      <c r="D8188" s="1">
        <v>40351</v>
      </c>
      <c r="E8188" s="2">
        <v>159000</v>
      </c>
      <c r="F8188" t="s">
        <v>4567</v>
      </c>
      <c r="G8188" s="17" t="str">
        <f>HYPERLINK("https://www.washoecounty.gov/assessor/cama/?command=sales&amp;parid=55406317","3894441")</f>
        <v>3894441</v>
      </c>
      <c r="H8188" t="s">
        <v>4350</v>
      </c>
      <c r="I8188">
        <v>1979</v>
      </c>
      <c r="J8188">
        <v>1979</v>
      </c>
      <c r="K8188" t="s">
        <v>4897</v>
      </c>
      <c r="L8188" t="s">
        <v>4555</v>
      </c>
      <c r="M8188" s="2">
        <v>1080</v>
      </c>
      <c r="N8188" t="s">
        <v>4556</v>
      </c>
      <c r="O8188">
        <v>3</v>
      </c>
      <c r="P8188">
        <v>2</v>
      </c>
      <c r="Q8188">
        <v>0</v>
      </c>
      <c r="R8188" t="s">
        <v>4557</v>
      </c>
      <c r="S8188" t="s">
        <v>4558</v>
      </c>
      <c r="T8188" t="s">
        <v>4559</v>
      </c>
      <c r="U8188" t="s">
        <v>4560</v>
      </c>
      <c r="V8188" s="2">
        <v>437</v>
      </c>
      <c r="W8188" t="s">
        <v>4655</v>
      </c>
      <c r="X8188" s="2">
        <v>0</v>
      </c>
      <c r="Y8188">
        <v>21</v>
      </c>
      <c r="Z8188" t="s">
        <v>4351</v>
      </c>
      <c r="AA8188" s="3">
        <v>9.2011019587516799E-2</v>
      </c>
      <c r="AB8188" t="s">
        <v>37715</v>
      </c>
      <c r="AC8188" t="s">
        <v>4562</v>
      </c>
      <c r="AD8188" t="s">
        <v>37716</v>
      </c>
      <c r="AE8188" t="s">
        <v>4655</v>
      </c>
      <c r="AF8188" t="s">
        <v>4563</v>
      </c>
      <c r="AG8188" t="s">
        <v>4564</v>
      </c>
      <c r="AH8188">
        <v>89506</v>
      </c>
      <c r="AI8188" t="s">
        <v>3602</v>
      </c>
      <c r="AJ8188" t="s">
        <v>37717</v>
      </c>
      <c r="AK8188" t="s">
        <v>37718</v>
      </c>
      <c r="AL8188" s="13" t="s">
        <v>1901</v>
      </c>
      <c r="AM8188">
        <v>1</v>
      </c>
      <c r="AN8188" s="15" t="s">
        <v>1532</v>
      </c>
    </row>
    <row r="8189" spans="1:40" x14ac:dyDescent="0.3">
      <c r="A8189" s="10" t="str">
        <f>HYPERLINK("http://www.washoecounty.gov/assessor/cama/?parid=554-063-21&amp;CardNumber=1","554-063-21")</f>
        <v>554-063-21</v>
      </c>
      <c r="B8189" t="s">
        <v>4655</v>
      </c>
      <c r="C8189" t="s">
        <v>37719</v>
      </c>
      <c r="D8189" s="1">
        <v>40274</v>
      </c>
      <c r="E8189" s="2">
        <v>60000</v>
      </c>
      <c r="F8189" t="s">
        <v>4567</v>
      </c>
      <c r="G8189" s="17" t="str">
        <f>HYPERLINK("https://www.washoecounty.gov/assessor/cama/?command=sales&amp;parid=55406321","3868112")</f>
        <v>3868112</v>
      </c>
      <c r="H8189" t="s">
        <v>4350</v>
      </c>
      <c r="I8189">
        <v>1979</v>
      </c>
      <c r="J8189">
        <v>1979</v>
      </c>
      <c r="K8189" t="s">
        <v>4897</v>
      </c>
      <c r="L8189" t="s">
        <v>4555</v>
      </c>
      <c r="M8189" s="2">
        <v>1080</v>
      </c>
      <c r="N8189" t="s">
        <v>4556</v>
      </c>
      <c r="O8189">
        <v>3</v>
      </c>
      <c r="P8189">
        <v>2</v>
      </c>
      <c r="Q8189">
        <v>0</v>
      </c>
      <c r="R8189" t="s">
        <v>4557</v>
      </c>
      <c r="S8189" t="s">
        <v>4558</v>
      </c>
      <c r="T8189" t="s">
        <v>4559</v>
      </c>
      <c r="U8189" t="s">
        <v>4560</v>
      </c>
      <c r="V8189" s="2">
        <v>437</v>
      </c>
      <c r="W8189" t="s">
        <v>4655</v>
      </c>
      <c r="X8189" s="2">
        <v>0</v>
      </c>
      <c r="Y8189">
        <v>21</v>
      </c>
      <c r="Z8189" t="s">
        <v>4351</v>
      </c>
      <c r="AA8189" s="3">
        <v>9.4995409250259399E-2</v>
      </c>
      <c r="AB8189" t="s">
        <v>21101</v>
      </c>
      <c r="AC8189" t="s">
        <v>4575</v>
      </c>
      <c r="AD8189" t="s">
        <v>21102</v>
      </c>
      <c r="AE8189" t="s">
        <v>4655</v>
      </c>
      <c r="AF8189" t="s">
        <v>10063</v>
      </c>
      <c r="AG8189" t="s">
        <v>4584</v>
      </c>
      <c r="AH8189">
        <v>94043</v>
      </c>
      <c r="AI8189" t="s">
        <v>37720</v>
      </c>
      <c r="AJ8189" t="s">
        <v>37721</v>
      </c>
      <c r="AK8189" t="s">
        <v>37722</v>
      </c>
      <c r="AL8189" s="13" t="s">
        <v>1901</v>
      </c>
      <c r="AM8189">
        <v>1</v>
      </c>
      <c r="AN8189" s="15" t="s">
        <v>1532</v>
      </c>
    </row>
    <row r="8190" spans="1:40" x14ac:dyDescent="0.3">
      <c r="A8190" s="10" t="str">
        <f>HYPERLINK("http://www.washoecounty.gov/assessor/cama/?parid=554-063-24&amp;CardNumber=1","554-063-24")</f>
        <v>554-063-24</v>
      </c>
      <c r="B8190" t="s">
        <v>4655</v>
      </c>
      <c r="C8190" t="s">
        <v>37723</v>
      </c>
      <c r="D8190" s="1">
        <v>40184</v>
      </c>
      <c r="E8190" s="2">
        <v>70000</v>
      </c>
      <c r="F8190" t="s">
        <v>4553</v>
      </c>
      <c r="G8190" s="17" t="str">
        <f>HYPERLINK("https://www.washoecounty.gov/assessor/cama/?command=sales&amp;parid=55406324","3837016")</f>
        <v>3837016</v>
      </c>
      <c r="H8190" t="s">
        <v>4350</v>
      </c>
      <c r="I8190">
        <v>1979</v>
      </c>
      <c r="J8190">
        <v>1979</v>
      </c>
      <c r="K8190" t="s">
        <v>4897</v>
      </c>
      <c r="L8190" t="s">
        <v>4555</v>
      </c>
      <c r="M8190" s="2">
        <v>1080</v>
      </c>
      <c r="N8190" t="s">
        <v>4556</v>
      </c>
      <c r="O8190">
        <v>3</v>
      </c>
      <c r="P8190">
        <v>2</v>
      </c>
      <c r="Q8190">
        <v>0</v>
      </c>
      <c r="R8190" t="s">
        <v>4557</v>
      </c>
      <c r="S8190" t="s">
        <v>4558</v>
      </c>
      <c r="T8190" t="s">
        <v>4559</v>
      </c>
      <c r="U8190" t="s">
        <v>4560</v>
      </c>
      <c r="V8190" s="2">
        <v>437</v>
      </c>
      <c r="W8190" t="s">
        <v>4655</v>
      </c>
      <c r="X8190" s="2">
        <v>0</v>
      </c>
      <c r="Y8190">
        <v>21</v>
      </c>
      <c r="Z8190" t="s">
        <v>4351</v>
      </c>
      <c r="AA8190" s="3">
        <v>0.146992653608322</v>
      </c>
      <c r="AB8190" t="s">
        <v>37724</v>
      </c>
      <c r="AC8190" t="s">
        <v>4562</v>
      </c>
      <c r="AD8190" t="s">
        <v>37725</v>
      </c>
      <c r="AE8190" t="s">
        <v>4655</v>
      </c>
      <c r="AF8190" t="s">
        <v>4563</v>
      </c>
      <c r="AG8190" t="s">
        <v>4564</v>
      </c>
      <c r="AH8190">
        <v>89504</v>
      </c>
      <c r="AI8190" t="s">
        <v>9914</v>
      </c>
      <c r="AJ8190" t="s">
        <v>37726</v>
      </c>
      <c r="AK8190" t="s">
        <v>37727</v>
      </c>
      <c r="AL8190" s="13" t="s">
        <v>1901</v>
      </c>
      <c r="AM8190">
        <v>1</v>
      </c>
      <c r="AN8190" s="15" t="s">
        <v>1532</v>
      </c>
    </row>
    <row r="8191" spans="1:40" x14ac:dyDescent="0.3">
      <c r="A8191" s="10" t="str">
        <f>HYPERLINK("http://www.washoecounty.gov/assessor/cama/?parid=554-071-05&amp;CardNumber=1","554-071-05")</f>
        <v>554-071-05</v>
      </c>
      <c r="B8191" t="s">
        <v>4655</v>
      </c>
      <c r="C8191" t="s">
        <v>37728</v>
      </c>
      <c r="D8191" s="1">
        <v>40283</v>
      </c>
      <c r="E8191" s="2">
        <v>67000</v>
      </c>
      <c r="F8191" t="s">
        <v>4567</v>
      </c>
      <c r="G8191" s="17" t="str">
        <f>HYPERLINK("https://www.washoecounty.gov/assessor/cama/?command=sales&amp;parid=55407105","3871165")</f>
        <v>3871165</v>
      </c>
      <c r="H8191" t="s">
        <v>4350</v>
      </c>
      <c r="I8191">
        <v>1979</v>
      </c>
      <c r="J8191">
        <v>1979</v>
      </c>
      <c r="K8191" t="s">
        <v>4897</v>
      </c>
      <c r="L8191" t="s">
        <v>4555</v>
      </c>
      <c r="M8191" s="2">
        <v>1080</v>
      </c>
      <c r="N8191" t="s">
        <v>4556</v>
      </c>
      <c r="O8191">
        <v>3</v>
      </c>
      <c r="P8191">
        <v>2</v>
      </c>
      <c r="Q8191">
        <v>0</v>
      </c>
      <c r="R8191" t="s">
        <v>4557</v>
      </c>
      <c r="S8191" t="s">
        <v>4558</v>
      </c>
      <c r="T8191" t="s">
        <v>4559</v>
      </c>
      <c r="U8191" t="s">
        <v>4560</v>
      </c>
      <c r="V8191" s="2">
        <v>437</v>
      </c>
      <c r="W8191" t="s">
        <v>4655</v>
      </c>
      <c r="X8191" s="2">
        <v>0</v>
      </c>
      <c r="Y8191">
        <v>21</v>
      </c>
      <c r="Z8191" t="s">
        <v>4351</v>
      </c>
      <c r="AA8191" s="3">
        <v>8.7006427347660106E-2</v>
      </c>
      <c r="AB8191" t="s">
        <v>37729</v>
      </c>
      <c r="AC8191" t="s">
        <v>4562</v>
      </c>
      <c r="AD8191" t="s">
        <v>37728</v>
      </c>
      <c r="AE8191" t="s">
        <v>4655</v>
      </c>
      <c r="AF8191" t="s">
        <v>4563</v>
      </c>
      <c r="AG8191" t="s">
        <v>4564</v>
      </c>
      <c r="AH8191">
        <v>89506</v>
      </c>
      <c r="AI8191" t="s">
        <v>37730</v>
      </c>
      <c r="AJ8191" t="s">
        <v>37731</v>
      </c>
      <c r="AK8191" t="s">
        <v>37732</v>
      </c>
      <c r="AL8191" s="13" t="s">
        <v>1901</v>
      </c>
      <c r="AM8191">
        <v>1</v>
      </c>
      <c r="AN8191" s="15" t="s">
        <v>1532</v>
      </c>
    </row>
    <row r="8192" spans="1:40" x14ac:dyDescent="0.3">
      <c r="A8192" s="10" t="str">
        <f>HYPERLINK("http://www.washoecounty.gov/assessor/cama/?parid=554-074-10&amp;CardNumber=1","554-074-10")</f>
        <v>554-074-10</v>
      </c>
      <c r="B8192" t="s">
        <v>4655</v>
      </c>
      <c r="C8192" t="s">
        <v>37733</v>
      </c>
      <c r="D8192" s="1">
        <v>40408</v>
      </c>
      <c r="E8192" s="2">
        <v>58000</v>
      </c>
      <c r="F8192" t="s">
        <v>4553</v>
      </c>
      <c r="G8192" s="17" t="str">
        <f>HYPERLINK("https://www.washoecounty.gov/assessor/cama/?command=sales&amp;parid=55407410","3913337")</f>
        <v>3913337</v>
      </c>
      <c r="H8192" t="s">
        <v>4350</v>
      </c>
      <c r="I8192">
        <v>1979</v>
      </c>
      <c r="J8192">
        <v>1979</v>
      </c>
      <c r="K8192" t="s">
        <v>4897</v>
      </c>
      <c r="L8192" t="s">
        <v>4555</v>
      </c>
      <c r="M8192" s="2">
        <v>1080</v>
      </c>
      <c r="N8192" t="s">
        <v>4556</v>
      </c>
      <c r="O8192">
        <v>3</v>
      </c>
      <c r="P8192">
        <v>2</v>
      </c>
      <c r="Q8192">
        <v>0</v>
      </c>
      <c r="R8192" t="s">
        <v>4557</v>
      </c>
      <c r="S8192" t="s">
        <v>4558</v>
      </c>
      <c r="T8192" t="s">
        <v>4559</v>
      </c>
      <c r="U8192" t="s">
        <v>4560</v>
      </c>
      <c r="V8192" s="2">
        <v>437</v>
      </c>
      <c r="W8192" t="s">
        <v>4655</v>
      </c>
      <c r="X8192" s="2">
        <v>0</v>
      </c>
      <c r="Y8192">
        <v>21</v>
      </c>
      <c r="Z8192" t="s">
        <v>4351</v>
      </c>
      <c r="AA8192" s="3">
        <v>9.1000914573669406E-2</v>
      </c>
      <c r="AB8192" t="s">
        <v>37734</v>
      </c>
      <c r="AC8192" t="s">
        <v>4562</v>
      </c>
      <c r="AD8192" t="s">
        <v>37735</v>
      </c>
      <c r="AE8192" t="s">
        <v>4655</v>
      </c>
      <c r="AF8192" t="s">
        <v>4563</v>
      </c>
      <c r="AG8192" t="s">
        <v>4564</v>
      </c>
      <c r="AH8192">
        <v>89506</v>
      </c>
      <c r="AI8192" t="s">
        <v>4655</v>
      </c>
      <c r="AJ8192" t="s">
        <v>37736</v>
      </c>
      <c r="AK8192" t="s">
        <v>37737</v>
      </c>
      <c r="AL8192" s="13" t="s">
        <v>1901</v>
      </c>
      <c r="AM8192">
        <v>1</v>
      </c>
      <c r="AN8192" s="15" t="s">
        <v>1532</v>
      </c>
    </row>
    <row r="8193" spans="1:40" x14ac:dyDescent="0.3">
      <c r="A8193" s="10" t="str">
        <f>HYPERLINK("http://www.washoecounty.gov/assessor/cama/?parid=554-082-06&amp;CardNumber=1","554-082-06")</f>
        <v>554-082-06</v>
      </c>
      <c r="B8193" t="s">
        <v>4655</v>
      </c>
      <c r="C8193" t="s">
        <v>37738</v>
      </c>
      <c r="D8193" s="1">
        <v>40248</v>
      </c>
      <c r="E8193" s="2">
        <v>72600</v>
      </c>
      <c r="F8193" t="s">
        <v>4553</v>
      </c>
      <c r="G8193" s="17" t="str">
        <f>HYPERLINK("https://www.washoecounty.gov/assessor/cama/?command=sales&amp;parid=55408206","3858910")</f>
        <v>3858910</v>
      </c>
      <c r="H8193" t="s">
        <v>2019</v>
      </c>
      <c r="I8193">
        <v>1991</v>
      </c>
      <c r="J8193">
        <v>1991</v>
      </c>
      <c r="K8193" t="s">
        <v>4554</v>
      </c>
      <c r="L8193" t="s">
        <v>4555</v>
      </c>
      <c r="M8193" s="2">
        <v>1048</v>
      </c>
      <c r="N8193" t="s">
        <v>4048</v>
      </c>
      <c r="O8193">
        <v>3</v>
      </c>
      <c r="P8193">
        <v>2</v>
      </c>
      <c r="Q8193">
        <v>0</v>
      </c>
      <c r="R8193" t="s">
        <v>4557</v>
      </c>
      <c r="S8193" t="s">
        <v>4558</v>
      </c>
      <c r="T8193" t="s">
        <v>2704</v>
      </c>
      <c r="U8193" t="s">
        <v>4560</v>
      </c>
      <c r="V8193" s="2">
        <v>438</v>
      </c>
      <c r="W8193" t="s">
        <v>4655</v>
      </c>
      <c r="X8193" s="2">
        <v>0</v>
      </c>
      <c r="Y8193">
        <v>20</v>
      </c>
      <c r="Z8193" t="s">
        <v>4351</v>
      </c>
      <c r="AA8193" s="3">
        <v>8.7006427347660106E-2</v>
      </c>
      <c r="AB8193" t="s">
        <v>37739</v>
      </c>
      <c r="AC8193" t="s">
        <v>4575</v>
      </c>
      <c r="AD8193" t="s">
        <v>37738</v>
      </c>
      <c r="AE8193" t="s">
        <v>4655</v>
      </c>
      <c r="AF8193" t="s">
        <v>4563</v>
      </c>
      <c r="AG8193" t="s">
        <v>4564</v>
      </c>
      <c r="AH8193">
        <v>89506</v>
      </c>
      <c r="AI8193" t="s">
        <v>37740</v>
      </c>
      <c r="AJ8193" t="s">
        <v>37741</v>
      </c>
      <c r="AK8193" t="s">
        <v>37742</v>
      </c>
      <c r="AL8193" s="13" t="s">
        <v>1901</v>
      </c>
      <c r="AM8193">
        <v>1</v>
      </c>
      <c r="AN8193" s="15" t="s">
        <v>2020</v>
      </c>
    </row>
    <row r="8194" spans="1:40" x14ac:dyDescent="0.3">
      <c r="A8194" s="10" t="str">
        <f>HYPERLINK("http://www.washoecounty.gov/assessor/cama/?parid=554-082-06&amp;CardNumber=1","554-082-06")</f>
        <v>554-082-06</v>
      </c>
      <c r="B8194" t="s">
        <v>4655</v>
      </c>
      <c r="C8194" t="s">
        <v>37738</v>
      </c>
      <c r="D8194" s="1">
        <v>40326</v>
      </c>
      <c r="E8194" s="2">
        <v>103000</v>
      </c>
      <c r="F8194" t="s">
        <v>4567</v>
      </c>
      <c r="G8194" s="17" t="str">
        <f>HYPERLINK("https://www.washoecounty.gov/assessor/cama/?command=sales&amp;parid=55408206","3886849")</f>
        <v>3886849</v>
      </c>
      <c r="H8194" t="s">
        <v>2019</v>
      </c>
      <c r="I8194">
        <v>1991</v>
      </c>
      <c r="J8194">
        <v>1991</v>
      </c>
      <c r="K8194" t="s">
        <v>4554</v>
      </c>
      <c r="L8194" t="s">
        <v>4555</v>
      </c>
      <c r="M8194" s="2">
        <v>1048</v>
      </c>
      <c r="N8194" t="s">
        <v>4048</v>
      </c>
      <c r="O8194">
        <v>3</v>
      </c>
      <c r="P8194">
        <v>2</v>
      </c>
      <c r="Q8194">
        <v>0</v>
      </c>
      <c r="R8194" t="s">
        <v>4557</v>
      </c>
      <c r="S8194" t="s">
        <v>4558</v>
      </c>
      <c r="T8194" t="s">
        <v>2704</v>
      </c>
      <c r="U8194" t="s">
        <v>4560</v>
      </c>
      <c r="V8194" s="2">
        <v>438</v>
      </c>
      <c r="W8194" t="s">
        <v>4655</v>
      </c>
      <c r="X8194" s="2">
        <v>0</v>
      </c>
      <c r="Y8194">
        <v>20</v>
      </c>
      <c r="Z8194" t="s">
        <v>4351</v>
      </c>
      <c r="AA8194" s="3">
        <v>8.7006427347660106E-2</v>
      </c>
      <c r="AB8194" t="s">
        <v>37739</v>
      </c>
      <c r="AC8194" t="s">
        <v>4575</v>
      </c>
      <c r="AD8194" t="s">
        <v>37738</v>
      </c>
      <c r="AE8194" t="s">
        <v>4655</v>
      </c>
      <c r="AF8194" t="s">
        <v>4563</v>
      </c>
      <c r="AG8194" t="s">
        <v>4564</v>
      </c>
      <c r="AH8194">
        <v>89506</v>
      </c>
      <c r="AI8194" t="s">
        <v>37740</v>
      </c>
      <c r="AJ8194" t="s">
        <v>37741</v>
      </c>
      <c r="AK8194" t="s">
        <v>37742</v>
      </c>
      <c r="AL8194" s="13" t="s">
        <v>1901</v>
      </c>
      <c r="AM8194">
        <v>1</v>
      </c>
      <c r="AN8194" s="15" t="s">
        <v>2020</v>
      </c>
    </row>
    <row r="8195" spans="1:40" x14ac:dyDescent="0.3">
      <c r="A8195" s="10" t="str">
        <f>HYPERLINK("http://www.washoecounty.gov/assessor/cama/?parid=554-082-14&amp;CardNumber=1","554-082-14")</f>
        <v>554-082-14</v>
      </c>
      <c r="B8195" t="s">
        <v>4655</v>
      </c>
      <c r="C8195" t="s">
        <v>1721</v>
      </c>
      <c r="D8195" s="1">
        <v>40463</v>
      </c>
      <c r="E8195" s="2">
        <v>78000</v>
      </c>
      <c r="F8195" t="s">
        <v>4553</v>
      </c>
      <c r="G8195" s="17" t="str">
        <f>HYPERLINK("https://www.washoecounty.gov/assessor/cama/?command=sales&amp;parid=55408214","3932017")</f>
        <v>3932017</v>
      </c>
      <c r="H8195" t="s">
        <v>2019</v>
      </c>
      <c r="I8195">
        <v>1985</v>
      </c>
      <c r="J8195">
        <v>1985</v>
      </c>
      <c r="K8195" t="s">
        <v>4554</v>
      </c>
      <c r="L8195" t="s">
        <v>4555</v>
      </c>
      <c r="M8195" s="2">
        <v>1048</v>
      </c>
      <c r="N8195" t="s">
        <v>4048</v>
      </c>
      <c r="O8195">
        <v>3</v>
      </c>
      <c r="P8195">
        <v>2</v>
      </c>
      <c r="Q8195">
        <v>1</v>
      </c>
      <c r="R8195" t="s">
        <v>4557</v>
      </c>
      <c r="S8195" t="s">
        <v>4558</v>
      </c>
      <c r="T8195" t="s">
        <v>2704</v>
      </c>
      <c r="U8195" t="s">
        <v>4560</v>
      </c>
      <c r="V8195" s="2">
        <v>438</v>
      </c>
      <c r="W8195" t="s">
        <v>4655</v>
      </c>
      <c r="X8195" s="2">
        <v>0</v>
      </c>
      <c r="Y8195">
        <v>20</v>
      </c>
      <c r="Z8195" t="s">
        <v>4351</v>
      </c>
      <c r="AA8195" s="3">
        <v>9.8002754151821095E-2</v>
      </c>
      <c r="AB8195" t="s">
        <v>5732</v>
      </c>
      <c r="AC8195" t="s">
        <v>4562</v>
      </c>
      <c r="AD8195" t="s">
        <v>1721</v>
      </c>
      <c r="AE8195" t="s">
        <v>4655</v>
      </c>
      <c r="AF8195" t="s">
        <v>4563</v>
      </c>
      <c r="AG8195" t="s">
        <v>4564</v>
      </c>
      <c r="AH8195">
        <v>89506</v>
      </c>
      <c r="AI8195" t="s">
        <v>1722</v>
      </c>
      <c r="AJ8195" t="s">
        <v>2120</v>
      </c>
      <c r="AK8195" t="s">
        <v>2121</v>
      </c>
      <c r="AL8195" s="13" t="s">
        <v>1901</v>
      </c>
      <c r="AM8195">
        <v>1</v>
      </c>
      <c r="AN8195" s="15" t="s">
        <v>2020</v>
      </c>
    </row>
    <row r="8196" spans="1:40" x14ac:dyDescent="0.3">
      <c r="A8196" s="10" t="str">
        <f>HYPERLINK("http://www.washoecounty.gov/assessor/cama/?parid=554-082-31&amp;CardNumber=1","554-082-31")</f>
        <v>554-082-31</v>
      </c>
      <c r="B8196" t="s">
        <v>4655</v>
      </c>
      <c r="C8196" t="s">
        <v>37743</v>
      </c>
      <c r="D8196" s="1">
        <v>40498</v>
      </c>
      <c r="E8196" s="2">
        <v>103000</v>
      </c>
      <c r="F8196" t="s">
        <v>4567</v>
      </c>
      <c r="G8196" s="17" t="str">
        <f>HYPERLINK("https://www.washoecounty.gov/assessor/cama/?command=sales&amp;parid=55408231","3943191")</f>
        <v>3943191</v>
      </c>
      <c r="H8196" t="s">
        <v>2019</v>
      </c>
      <c r="I8196">
        <v>1989</v>
      </c>
      <c r="J8196">
        <v>1989</v>
      </c>
      <c r="K8196" t="s">
        <v>4554</v>
      </c>
      <c r="L8196" t="s">
        <v>3974</v>
      </c>
      <c r="M8196" s="2">
        <v>1542</v>
      </c>
      <c r="N8196" t="s">
        <v>4048</v>
      </c>
      <c r="O8196">
        <v>3</v>
      </c>
      <c r="P8196">
        <v>2</v>
      </c>
      <c r="Q8196">
        <v>1</v>
      </c>
      <c r="R8196" t="s">
        <v>4557</v>
      </c>
      <c r="S8196" t="s">
        <v>4898</v>
      </c>
      <c r="T8196" t="s">
        <v>2704</v>
      </c>
      <c r="U8196" t="s">
        <v>4560</v>
      </c>
      <c r="V8196" s="2">
        <v>463</v>
      </c>
      <c r="W8196" t="s">
        <v>4655</v>
      </c>
      <c r="X8196" s="2">
        <v>0</v>
      </c>
      <c r="Y8196">
        <v>20</v>
      </c>
      <c r="Z8196" t="s">
        <v>4351</v>
      </c>
      <c r="AA8196" s="3">
        <v>8.7006427347660106E-2</v>
      </c>
      <c r="AB8196" t="s">
        <v>37744</v>
      </c>
      <c r="AC8196" t="s">
        <v>4562</v>
      </c>
      <c r="AD8196" t="s">
        <v>37743</v>
      </c>
      <c r="AE8196" t="s">
        <v>4655</v>
      </c>
      <c r="AF8196" t="s">
        <v>4563</v>
      </c>
      <c r="AG8196" t="s">
        <v>4564</v>
      </c>
      <c r="AH8196">
        <v>89506</v>
      </c>
      <c r="AI8196" t="s">
        <v>4655</v>
      </c>
      <c r="AJ8196" t="s">
        <v>37745</v>
      </c>
      <c r="AK8196" t="s">
        <v>37746</v>
      </c>
      <c r="AL8196" s="13" t="s">
        <v>1901</v>
      </c>
      <c r="AM8196">
        <v>1</v>
      </c>
      <c r="AN8196" s="15" t="s">
        <v>2020</v>
      </c>
    </row>
    <row r="8197" spans="1:40" x14ac:dyDescent="0.3">
      <c r="A8197" s="10" t="str">
        <f>HYPERLINK("http://www.washoecounty.gov/assessor/cama/?parid=554-091-03&amp;CardNumber=1","554-091-03")</f>
        <v>554-091-03</v>
      </c>
      <c r="B8197" t="s">
        <v>4655</v>
      </c>
      <c r="C8197" t="s">
        <v>37747</v>
      </c>
      <c r="D8197" s="1">
        <v>40535</v>
      </c>
      <c r="E8197" s="2">
        <v>68287</v>
      </c>
      <c r="F8197" t="s">
        <v>4567</v>
      </c>
      <c r="G8197" s="17" t="str">
        <f>HYPERLINK("https://www.washoecounty.gov/assessor/cama/?command=sales&amp;parid=55409103","3957063")</f>
        <v>3957063</v>
      </c>
      <c r="H8197" t="s">
        <v>2019</v>
      </c>
      <c r="I8197">
        <v>1985</v>
      </c>
      <c r="J8197">
        <v>1985</v>
      </c>
      <c r="K8197" t="s">
        <v>4554</v>
      </c>
      <c r="L8197" t="s">
        <v>3974</v>
      </c>
      <c r="M8197" s="2">
        <v>1314</v>
      </c>
      <c r="N8197" t="s">
        <v>4048</v>
      </c>
      <c r="O8197">
        <v>3</v>
      </c>
      <c r="P8197">
        <v>2</v>
      </c>
      <c r="Q8197">
        <v>1</v>
      </c>
      <c r="R8197" t="s">
        <v>4557</v>
      </c>
      <c r="S8197" t="s">
        <v>4558</v>
      </c>
      <c r="T8197" t="s">
        <v>2704</v>
      </c>
      <c r="U8197" t="s">
        <v>4560</v>
      </c>
      <c r="V8197" s="2">
        <v>440</v>
      </c>
      <c r="W8197" t="s">
        <v>4655</v>
      </c>
      <c r="X8197" s="2">
        <v>0</v>
      </c>
      <c r="Y8197">
        <v>20</v>
      </c>
      <c r="Z8197" t="s">
        <v>4351</v>
      </c>
      <c r="AA8197" s="3">
        <v>8.7993569672107697E-2</v>
      </c>
      <c r="AB8197" t="s">
        <v>37748</v>
      </c>
      <c r="AC8197" t="s">
        <v>4562</v>
      </c>
      <c r="AD8197" t="s">
        <v>37749</v>
      </c>
      <c r="AE8197" t="s">
        <v>4655</v>
      </c>
      <c r="AF8197" t="s">
        <v>4563</v>
      </c>
      <c r="AG8197" t="s">
        <v>4564</v>
      </c>
      <c r="AH8197">
        <v>89506</v>
      </c>
      <c r="AI8197" t="s">
        <v>37750</v>
      </c>
      <c r="AJ8197" t="s">
        <v>37751</v>
      </c>
      <c r="AK8197" t="s">
        <v>37752</v>
      </c>
      <c r="AL8197" s="13" t="s">
        <v>1901</v>
      </c>
      <c r="AM8197">
        <v>1</v>
      </c>
      <c r="AN8197" s="15" t="s">
        <v>2020</v>
      </c>
    </row>
    <row r="8198" spans="1:40" x14ac:dyDescent="0.3">
      <c r="A8198" s="10" t="str">
        <f>HYPERLINK("http://www.washoecounty.gov/assessor/cama/?parid=554-091-06&amp;CardNumber=1","554-091-06")</f>
        <v>554-091-06</v>
      </c>
      <c r="B8198" t="s">
        <v>4655</v>
      </c>
      <c r="C8198" t="s">
        <v>37753</v>
      </c>
      <c r="D8198" s="1">
        <v>40359</v>
      </c>
      <c r="E8198" s="2">
        <v>112000</v>
      </c>
      <c r="F8198" t="s">
        <v>4567</v>
      </c>
      <c r="G8198" s="17" t="str">
        <f>HYPERLINK("https://www.washoecounty.gov/assessor/cama/?command=sales&amp;parid=55409106","3897438")</f>
        <v>3897438</v>
      </c>
      <c r="H8198" t="s">
        <v>2019</v>
      </c>
      <c r="I8198">
        <v>1985</v>
      </c>
      <c r="J8198">
        <v>1985</v>
      </c>
      <c r="K8198" t="s">
        <v>4554</v>
      </c>
      <c r="L8198" t="s">
        <v>3974</v>
      </c>
      <c r="M8198" s="2">
        <v>1568</v>
      </c>
      <c r="N8198" t="s">
        <v>4048</v>
      </c>
      <c r="O8198">
        <v>3</v>
      </c>
      <c r="P8198">
        <v>2</v>
      </c>
      <c r="Q8198">
        <v>1</v>
      </c>
      <c r="R8198" t="s">
        <v>4557</v>
      </c>
      <c r="S8198" t="s">
        <v>4558</v>
      </c>
      <c r="T8198" t="s">
        <v>2704</v>
      </c>
      <c r="U8198" t="s">
        <v>4560</v>
      </c>
      <c r="V8198" s="2">
        <v>399</v>
      </c>
      <c r="W8198" t="s">
        <v>4655</v>
      </c>
      <c r="X8198" s="2">
        <v>0</v>
      </c>
      <c r="Y8198">
        <v>20</v>
      </c>
      <c r="Z8198" t="s">
        <v>4351</v>
      </c>
      <c r="AA8198" s="3">
        <v>8.7006427347660106E-2</v>
      </c>
      <c r="AB8198" t="s">
        <v>37754</v>
      </c>
      <c r="AC8198" t="s">
        <v>4562</v>
      </c>
      <c r="AD8198" t="s">
        <v>37753</v>
      </c>
      <c r="AE8198" t="s">
        <v>4655</v>
      </c>
      <c r="AF8198" t="s">
        <v>4563</v>
      </c>
      <c r="AG8198" t="s">
        <v>4564</v>
      </c>
      <c r="AH8198">
        <v>89506</v>
      </c>
      <c r="AI8198" t="s">
        <v>37755</v>
      </c>
      <c r="AJ8198" t="s">
        <v>37756</v>
      </c>
      <c r="AK8198" t="s">
        <v>37757</v>
      </c>
      <c r="AL8198" s="13" t="s">
        <v>1901</v>
      </c>
      <c r="AM8198">
        <v>1</v>
      </c>
      <c r="AN8198" s="15" t="s">
        <v>2020</v>
      </c>
    </row>
    <row r="8199" spans="1:40" x14ac:dyDescent="0.3">
      <c r="A8199" s="10" t="str">
        <f>HYPERLINK("http://www.washoecounty.gov/assessor/cama/?parid=554-091-08&amp;CardNumber=1","554-091-08")</f>
        <v>554-091-08</v>
      </c>
      <c r="B8199" t="s">
        <v>4655</v>
      </c>
      <c r="C8199" t="s">
        <v>37758</v>
      </c>
      <c r="D8199" s="1">
        <v>40492</v>
      </c>
      <c r="E8199" s="2">
        <v>91900</v>
      </c>
      <c r="F8199" t="s">
        <v>4553</v>
      </c>
      <c r="G8199" s="17" t="str">
        <f>HYPERLINK("https://www.washoecounty.gov/assessor/cama/?command=sales&amp;parid=55409108","3941854")</f>
        <v>3941854</v>
      </c>
      <c r="H8199" t="s">
        <v>2019</v>
      </c>
      <c r="I8199">
        <v>1990</v>
      </c>
      <c r="J8199">
        <v>1990</v>
      </c>
      <c r="K8199" t="s">
        <v>4554</v>
      </c>
      <c r="L8199" t="s">
        <v>4555</v>
      </c>
      <c r="M8199" s="2">
        <v>1048</v>
      </c>
      <c r="N8199" t="s">
        <v>4048</v>
      </c>
      <c r="O8199">
        <v>3</v>
      </c>
      <c r="P8199">
        <v>2</v>
      </c>
      <c r="Q8199">
        <v>0</v>
      </c>
      <c r="R8199" t="s">
        <v>4557</v>
      </c>
      <c r="S8199" t="s">
        <v>4558</v>
      </c>
      <c r="T8199" t="s">
        <v>2704</v>
      </c>
      <c r="U8199" t="s">
        <v>4560</v>
      </c>
      <c r="V8199" s="2">
        <v>438</v>
      </c>
      <c r="W8199" t="s">
        <v>4655</v>
      </c>
      <c r="X8199" s="2">
        <v>0</v>
      </c>
      <c r="Y8199">
        <v>20</v>
      </c>
      <c r="Z8199" t="s">
        <v>4351</v>
      </c>
      <c r="AA8199" s="3">
        <v>8.7006427347660106E-2</v>
      </c>
      <c r="AB8199" t="s">
        <v>37759</v>
      </c>
      <c r="AC8199" t="s">
        <v>4562</v>
      </c>
      <c r="AD8199" t="s">
        <v>37760</v>
      </c>
      <c r="AE8199" t="s">
        <v>4655</v>
      </c>
      <c r="AF8199" t="s">
        <v>4563</v>
      </c>
      <c r="AG8199" t="s">
        <v>4564</v>
      </c>
      <c r="AH8199">
        <v>89506</v>
      </c>
      <c r="AI8199" t="s">
        <v>4565</v>
      </c>
      <c r="AJ8199" t="s">
        <v>37761</v>
      </c>
      <c r="AK8199" t="s">
        <v>37762</v>
      </c>
      <c r="AL8199" s="13" t="s">
        <v>1901</v>
      </c>
      <c r="AM8199">
        <v>1</v>
      </c>
      <c r="AN8199" s="15" t="s">
        <v>2020</v>
      </c>
    </row>
    <row r="8200" spans="1:40" x14ac:dyDescent="0.3">
      <c r="A8200" s="10" t="str">
        <f>HYPERLINK("http://www.washoecounty.gov/assessor/cama/?parid=554-091-12&amp;CardNumber=1","554-091-12")</f>
        <v>554-091-12</v>
      </c>
      <c r="B8200" t="s">
        <v>4655</v>
      </c>
      <c r="C8200" t="s">
        <v>37763</v>
      </c>
      <c r="D8200" s="1">
        <v>40464</v>
      </c>
      <c r="E8200" s="2">
        <v>107900</v>
      </c>
      <c r="F8200" t="s">
        <v>4553</v>
      </c>
      <c r="G8200" s="17" t="str">
        <f>HYPERLINK("https://www.washoecounty.gov/assessor/cama/?command=sales&amp;parid=55409112","3932455")</f>
        <v>3932455</v>
      </c>
      <c r="H8200" t="s">
        <v>2019</v>
      </c>
      <c r="I8200">
        <v>1991</v>
      </c>
      <c r="J8200">
        <v>1991</v>
      </c>
      <c r="K8200" t="s">
        <v>4554</v>
      </c>
      <c r="L8200" t="s">
        <v>3974</v>
      </c>
      <c r="M8200" s="2">
        <v>1244</v>
      </c>
      <c r="N8200" t="s">
        <v>4048</v>
      </c>
      <c r="O8200">
        <v>4</v>
      </c>
      <c r="P8200">
        <v>2</v>
      </c>
      <c r="Q8200">
        <v>1</v>
      </c>
      <c r="R8200" t="s">
        <v>4557</v>
      </c>
      <c r="S8200" t="s">
        <v>4558</v>
      </c>
      <c r="T8200" t="s">
        <v>2704</v>
      </c>
      <c r="U8200" t="s">
        <v>4560</v>
      </c>
      <c r="V8200" s="2">
        <v>440</v>
      </c>
      <c r="W8200" t="s">
        <v>4655</v>
      </c>
      <c r="X8200" s="2">
        <v>0</v>
      </c>
      <c r="Y8200">
        <v>20</v>
      </c>
      <c r="Z8200" t="s">
        <v>4351</v>
      </c>
      <c r="AA8200" s="3">
        <v>8.7006427347660106E-2</v>
      </c>
      <c r="AB8200" t="s">
        <v>37764</v>
      </c>
      <c r="AC8200" t="s">
        <v>4562</v>
      </c>
      <c r="AD8200" t="s">
        <v>37763</v>
      </c>
      <c r="AE8200" t="s">
        <v>4655</v>
      </c>
      <c r="AF8200" t="s">
        <v>3114</v>
      </c>
      <c r="AG8200" t="s">
        <v>4564</v>
      </c>
      <c r="AH8200">
        <v>89506</v>
      </c>
      <c r="AI8200" t="s">
        <v>4903</v>
      </c>
      <c r="AJ8200" t="s">
        <v>37765</v>
      </c>
      <c r="AK8200" t="s">
        <v>37766</v>
      </c>
      <c r="AL8200" s="13" t="s">
        <v>1901</v>
      </c>
      <c r="AM8200">
        <v>1</v>
      </c>
      <c r="AN8200" s="15" t="s">
        <v>2020</v>
      </c>
    </row>
    <row r="8201" spans="1:40" x14ac:dyDescent="0.3">
      <c r="A8201" s="10" t="str">
        <f>HYPERLINK("http://www.washoecounty.gov/assessor/cama/?parid=554-091-15&amp;CardNumber=1","554-091-15")</f>
        <v>554-091-15</v>
      </c>
      <c r="B8201" t="s">
        <v>4655</v>
      </c>
      <c r="C8201" t="s">
        <v>37767</v>
      </c>
      <c r="D8201" s="1">
        <v>40359</v>
      </c>
      <c r="E8201" s="2">
        <v>88900</v>
      </c>
      <c r="F8201" t="s">
        <v>4553</v>
      </c>
      <c r="G8201" s="17" t="str">
        <f>HYPERLINK("https://www.washoecounty.gov/assessor/cama/?command=sales&amp;parid=55409115","3897368")</f>
        <v>3897368</v>
      </c>
      <c r="H8201" t="s">
        <v>2019</v>
      </c>
      <c r="I8201">
        <v>1991</v>
      </c>
      <c r="J8201">
        <v>1991</v>
      </c>
      <c r="K8201" t="s">
        <v>4554</v>
      </c>
      <c r="L8201" t="s">
        <v>4555</v>
      </c>
      <c r="M8201" s="2">
        <v>1074</v>
      </c>
      <c r="N8201" t="s">
        <v>4556</v>
      </c>
      <c r="O8201">
        <v>3</v>
      </c>
      <c r="P8201">
        <v>2</v>
      </c>
      <c r="Q8201">
        <v>0</v>
      </c>
      <c r="R8201" t="s">
        <v>4557</v>
      </c>
      <c r="S8201" t="s">
        <v>4558</v>
      </c>
      <c r="T8201" t="s">
        <v>2704</v>
      </c>
      <c r="U8201" t="s">
        <v>4560</v>
      </c>
      <c r="V8201" s="2">
        <v>422</v>
      </c>
      <c r="W8201" t="s">
        <v>4655</v>
      </c>
      <c r="X8201" s="2">
        <v>0</v>
      </c>
      <c r="Y8201">
        <v>20</v>
      </c>
      <c r="Z8201" t="s">
        <v>4351</v>
      </c>
      <c r="AA8201" s="3">
        <v>0.107001833617687</v>
      </c>
      <c r="AB8201" t="s">
        <v>37768</v>
      </c>
      <c r="AC8201" t="s">
        <v>4562</v>
      </c>
      <c r="AD8201" t="s">
        <v>37767</v>
      </c>
      <c r="AE8201" t="s">
        <v>4655</v>
      </c>
      <c r="AF8201" t="s">
        <v>4563</v>
      </c>
      <c r="AG8201" t="s">
        <v>4564</v>
      </c>
      <c r="AH8201">
        <v>89506</v>
      </c>
      <c r="AI8201" t="s">
        <v>4565</v>
      </c>
      <c r="AJ8201" t="s">
        <v>37769</v>
      </c>
      <c r="AK8201" t="s">
        <v>37770</v>
      </c>
      <c r="AL8201" s="13" t="s">
        <v>1901</v>
      </c>
      <c r="AM8201" s="14">
        <v>1</v>
      </c>
      <c r="AN8201" s="15" t="s">
        <v>2020</v>
      </c>
    </row>
    <row r="8202" spans="1:40" x14ac:dyDescent="0.3">
      <c r="A8202" s="10" t="str">
        <f>HYPERLINK("http://www.washoecounty.gov/assessor/cama/?parid=554-091-22&amp;CardNumber=1","554-091-22")</f>
        <v>554-091-22</v>
      </c>
      <c r="B8202" t="s">
        <v>4655</v>
      </c>
      <c r="C8202" t="s">
        <v>2373</v>
      </c>
      <c r="D8202" s="1">
        <v>40476</v>
      </c>
      <c r="E8202" s="2">
        <v>75000</v>
      </c>
      <c r="F8202" t="s">
        <v>4553</v>
      </c>
      <c r="G8202" s="17" t="str">
        <f>HYPERLINK("https://www.washoecounty.gov/assessor/cama/?command=sales&amp;parid=55409122","3936005")</f>
        <v>3936005</v>
      </c>
      <c r="H8202" t="s">
        <v>2019</v>
      </c>
      <c r="I8202">
        <v>1987</v>
      </c>
      <c r="J8202">
        <v>1987</v>
      </c>
      <c r="K8202" t="s">
        <v>4554</v>
      </c>
      <c r="L8202" t="s">
        <v>3974</v>
      </c>
      <c r="M8202" s="2">
        <v>1568</v>
      </c>
      <c r="N8202" t="s">
        <v>4048</v>
      </c>
      <c r="O8202">
        <v>3</v>
      </c>
      <c r="P8202">
        <v>2</v>
      </c>
      <c r="Q8202">
        <v>1</v>
      </c>
      <c r="R8202" t="s">
        <v>4557</v>
      </c>
      <c r="S8202" t="s">
        <v>4558</v>
      </c>
      <c r="T8202" t="s">
        <v>2704</v>
      </c>
      <c r="U8202" t="s">
        <v>4560</v>
      </c>
      <c r="V8202" s="2">
        <v>399</v>
      </c>
      <c r="W8202" t="s">
        <v>4655</v>
      </c>
      <c r="X8202" s="2">
        <v>0</v>
      </c>
      <c r="Y8202">
        <v>20</v>
      </c>
      <c r="Z8202" t="s">
        <v>4351</v>
      </c>
      <c r="AA8202" s="3">
        <v>0.117011018097401</v>
      </c>
      <c r="AB8202" t="s">
        <v>2374</v>
      </c>
      <c r="AC8202" t="s">
        <v>4562</v>
      </c>
      <c r="AD8202" t="s">
        <v>37771</v>
      </c>
      <c r="AE8202" t="s">
        <v>4655</v>
      </c>
      <c r="AF8202" t="s">
        <v>4563</v>
      </c>
      <c r="AG8202" t="s">
        <v>4564</v>
      </c>
      <c r="AH8202">
        <v>89511</v>
      </c>
      <c r="AI8202" t="s">
        <v>4655</v>
      </c>
      <c r="AJ8202" t="s">
        <v>2375</v>
      </c>
      <c r="AK8202" t="s">
        <v>2376</v>
      </c>
      <c r="AL8202" s="13" t="s">
        <v>1901</v>
      </c>
      <c r="AM8202" s="14">
        <v>1</v>
      </c>
      <c r="AN8202" s="15" t="s">
        <v>2020</v>
      </c>
    </row>
    <row r="8203" spans="1:40" x14ac:dyDescent="0.3">
      <c r="A8203" s="10" t="str">
        <f>HYPERLINK("http://www.washoecounty.gov/assessor/cama/?parid=554-092-04&amp;CardNumber=1","554-092-04")</f>
        <v>554-092-04</v>
      </c>
      <c r="B8203" t="s">
        <v>4655</v>
      </c>
      <c r="C8203" t="s">
        <v>37772</v>
      </c>
      <c r="D8203" s="1">
        <v>40199</v>
      </c>
      <c r="E8203" s="2">
        <v>55000</v>
      </c>
      <c r="F8203" t="s">
        <v>4567</v>
      </c>
      <c r="G8203" s="17" t="str">
        <f>HYPERLINK("https://www.washoecounty.gov/assessor/cama/?command=sales&amp;parid=55409204","3841362")</f>
        <v>3841362</v>
      </c>
      <c r="H8203" t="s">
        <v>2019</v>
      </c>
      <c r="I8203">
        <v>1990</v>
      </c>
      <c r="J8203">
        <v>1990</v>
      </c>
      <c r="K8203" t="s">
        <v>4554</v>
      </c>
      <c r="L8203" t="s">
        <v>3974</v>
      </c>
      <c r="M8203" s="2">
        <v>1376</v>
      </c>
      <c r="N8203" t="s">
        <v>4048</v>
      </c>
      <c r="O8203">
        <v>3</v>
      </c>
      <c r="P8203">
        <v>2</v>
      </c>
      <c r="Q8203">
        <v>1</v>
      </c>
      <c r="R8203" t="s">
        <v>4557</v>
      </c>
      <c r="S8203" t="s">
        <v>4558</v>
      </c>
      <c r="T8203" t="s">
        <v>2704</v>
      </c>
      <c r="U8203" t="s">
        <v>5631</v>
      </c>
      <c r="V8203" s="2">
        <v>420</v>
      </c>
      <c r="W8203" t="s">
        <v>4655</v>
      </c>
      <c r="X8203" s="2">
        <v>0</v>
      </c>
      <c r="Y8203">
        <v>20</v>
      </c>
      <c r="Z8203" t="s">
        <v>4351</v>
      </c>
      <c r="AA8203" s="3">
        <v>9.6005506813526195E-2</v>
      </c>
      <c r="AB8203" t="s">
        <v>37773</v>
      </c>
      <c r="AC8203" t="s">
        <v>4562</v>
      </c>
      <c r="AD8203" t="s">
        <v>37772</v>
      </c>
      <c r="AE8203" t="s">
        <v>4655</v>
      </c>
      <c r="AF8203" t="s">
        <v>4563</v>
      </c>
      <c r="AG8203" t="s">
        <v>4564</v>
      </c>
      <c r="AH8203">
        <v>89506</v>
      </c>
      <c r="AI8203" t="s">
        <v>37774</v>
      </c>
      <c r="AJ8203" t="s">
        <v>37775</v>
      </c>
      <c r="AK8203" t="s">
        <v>37776</v>
      </c>
      <c r="AL8203" s="13" t="s">
        <v>1901</v>
      </c>
      <c r="AM8203">
        <v>1</v>
      </c>
      <c r="AN8203" s="15" t="s">
        <v>2020</v>
      </c>
    </row>
    <row r="8204" spans="1:40" x14ac:dyDescent="0.3">
      <c r="A8204" s="10" t="str">
        <f>HYPERLINK("http://www.washoecounty.gov/assessor/cama/?parid=554-092-04&amp;CardNumber=1","554-092-04")</f>
        <v>554-092-04</v>
      </c>
      <c r="B8204" t="s">
        <v>4655</v>
      </c>
      <c r="C8204" t="s">
        <v>37772</v>
      </c>
      <c r="D8204" s="1">
        <v>40312</v>
      </c>
      <c r="E8204" s="2">
        <v>117500</v>
      </c>
      <c r="F8204" t="s">
        <v>4567</v>
      </c>
      <c r="G8204" s="17" t="str">
        <f>HYPERLINK("https://www.washoecounty.gov/assessor/cama/?command=sales&amp;parid=55409204","3881731")</f>
        <v>3881731</v>
      </c>
      <c r="H8204" t="s">
        <v>2019</v>
      </c>
      <c r="I8204">
        <v>1990</v>
      </c>
      <c r="J8204">
        <v>1990</v>
      </c>
      <c r="K8204" t="s">
        <v>4554</v>
      </c>
      <c r="L8204" t="s">
        <v>3974</v>
      </c>
      <c r="M8204" s="2">
        <v>1376</v>
      </c>
      <c r="N8204" t="s">
        <v>4048</v>
      </c>
      <c r="O8204">
        <v>3</v>
      </c>
      <c r="P8204">
        <v>2</v>
      </c>
      <c r="Q8204">
        <v>1</v>
      </c>
      <c r="R8204" t="s">
        <v>4557</v>
      </c>
      <c r="S8204" t="s">
        <v>4558</v>
      </c>
      <c r="T8204" t="s">
        <v>2704</v>
      </c>
      <c r="U8204" t="s">
        <v>5631</v>
      </c>
      <c r="V8204" s="2">
        <v>420</v>
      </c>
      <c r="W8204" t="s">
        <v>4655</v>
      </c>
      <c r="X8204" s="2">
        <v>0</v>
      </c>
      <c r="Y8204">
        <v>20</v>
      </c>
      <c r="Z8204" t="s">
        <v>4351</v>
      </c>
      <c r="AA8204" s="3">
        <v>9.6005506813526195E-2</v>
      </c>
      <c r="AB8204" t="s">
        <v>37773</v>
      </c>
      <c r="AC8204" t="s">
        <v>4562</v>
      </c>
      <c r="AD8204" t="s">
        <v>37772</v>
      </c>
      <c r="AE8204" t="s">
        <v>4655</v>
      </c>
      <c r="AF8204" t="s">
        <v>4563</v>
      </c>
      <c r="AG8204" t="s">
        <v>4564</v>
      </c>
      <c r="AH8204">
        <v>89506</v>
      </c>
      <c r="AI8204" t="s">
        <v>37774</v>
      </c>
      <c r="AJ8204" t="s">
        <v>37775</v>
      </c>
      <c r="AK8204" t="s">
        <v>37776</v>
      </c>
      <c r="AL8204" s="13" t="s">
        <v>1901</v>
      </c>
      <c r="AM8204" s="14">
        <v>1</v>
      </c>
      <c r="AN8204" s="15" t="s">
        <v>2020</v>
      </c>
    </row>
    <row r="8205" spans="1:40" x14ac:dyDescent="0.3">
      <c r="A8205" s="10" t="str">
        <f>HYPERLINK("http://www.washoecounty.gov/assessor/cama/?parid=554-092-31&amp;CardNumber=1","554-092-31")</f>
        <v>554-092-31</v>
      </c>
      <c r="B8205" t="s">
        <v>4655</v>
      </c>
      <c r="C8205" t="s">
        <v>37777</v>
      </c>
      <c r="D8205" s="1">
        <v>40315</v>
      </c>
      <c r="E8205" s="2">
        <v>119000</v>
      </c>
      <c r="F8205" t="s">
        <v>4567</v>
      </c>
      <c r="G8205" s="17" t="str">
        <f>HYPERLINK("https://www.washoecounty.gov/assessor/cama/?command=sales&amp;parid=55409231","3881919")</f>
        <v>3881919</v>
      </c>
      <c r="H8205" t="s">
        <v>37778</v>
      </c>
      <c r="I8205">
        <v>1992</v>
      </c>
      <c r="J8205">
        <v>1992</v>
      </c>
      <c r="K8205" t="s">
        <v>4554</v>
      </c>
      <c r="L8205" t="s">
        <v>3974</v>
      </c>
      <c r="M8205" s="2">
        <v>1595</v>
      </c>
      <c r="N8205" t="s">
        <v>4048</v>
      </c>
      <c r="O8205">
        <v>4</v>
      </c>
      <c r="P8205">
        <v>2</v>
      </c>
      <c r="Q8205">
        <v>1</v>
      </c>
      <c r="R8205" t="s">
        <v>4557</v>
      </c>
      <c r="S8205" t="s">
        <v>4558</v>
      </c>
      <c r="T8205" t="s">
        <v>2704</v>
      </c>
      <c r="U8205" t="s">
        <v>5631</v>
      </c>
      <c r="V8205" s="2">
        <v>428</v>
      </c>
      <c r="W8205" t="s">
        <v>4655</v>
      </c>
      <c r="X8205" s="2">
        <v>0</v>
      </c>
      <c r="Y8205">
        <v>20</v>
      </c>
      <c r="Z8205" t="s">
        <v>4351</v>
      </c>
      <c r="AA8205" s="3">
        <v>9.6992656588554396E-2</v>
      </c>
      <c r="AB8205" t="s">
        <v>37779</v>
      </c>
      <c r="AC8205" t="s">
        <v>4562</v>
      </c>
      <c r="AD8205" t="s">
        <v>37777</v>
      </c>
      <c r="AE8205" t="s">
        <v>4655</v>
      </c>
      <c r="AF8205" t="s">
        <v>4563</v>
      </c>
      <c r="AG8205" t="s">
        <v>4564</v>
      </c>
      <c r="AH8205">
        <v>89506</v>
      </c>
      <c r="AI8205" t="s">
        <v>37780</v>
      </c>
      <c r="AJ8205" t="s">
        <v>37781</v>
      </c>
      <c r="AK8205" t="s">
        <v>37782</v>
      </c>
      <c r="AL8205" s="13" t="s">
        <v>1901</v>
      </c>
      <c r="AM8205">
        <v>1</v>
      </c>
      <c r="AN8205" s="15" t="s">
        <v>2020</v>
      </c>
    </row>
    <row r="8206" spans="1:40" x14ac:dyDescent="0.3">
      <c r="A8206" s="10" t="str">
        <f>HYPERLINK("http://www.washoecounty.gov/assessor/cama/?parid=554-101-04&amp;CardNumber=1","554-101-04")</f>
        <v>554-101-04</v>
      </c>
      <c r="B8206" t="s">
        <v>4655</v>
      </c>
      <c r="C8206" t="s">
        <v>37783</v>
      </c>
      <c r="D8206" s="1">
        <v>40310</v>
      </c>
      <c r="E8206" s="2">
        <v>60000</v>
      </c>
      <c r="F8206" t="s">
        <v>4567</v>
      </c>
      <c r="G8206" s="17" t="str">
        <f>HYPERLINK("https://www.washoecounty.gov/assessor/cama/?command=sales&amp;parid=55410104","3880790")</f>
        <v>3880790</v>
      </c>
      <c r="H8206" t="s">
        <v>2019</v>
      </c>
      <c r="I8206">
        <v>1984</v>
      </c>
      <c r="J8206">
        <v>1984</v>
      </c>
      <c r="K8206" t="s">
        <v>4897</v>
      </c>
      <c r="L8206" t="s">
        <v>4555</v>
      </c>
      <c r="M8206" s="2">
        <v>1064</v>
      </c>
      <c r="N8206" t="s">
        <v>4556</v>
      </c>
      <c r="O8206">
        <v>3</v>
      </c>
      <c r="P8206">
        <v>2</v>
      </c>
      <c r="Q8206">
        <v>0</v>
      </c>
      <c r="R8206" t="s">
        <v>4557</v>
      </c>
      <c r="S8206" t="s">
        <v>4558</v>
      </c>
      <c r="T8206" t="s">
        <v>4559</v>
      </c>
      <c r="U8206" t="s">
        <v>4560</v>
      </c>
      <c r="V8206" s="2">
        <v>280</v>
      </c>
      <c r="W8206" t="s">
        <v>4655</v>
      </c>
      <c r="X8206" s="2">
        <v>0</v>
      </c>
      <c r="Y8206">
        <v>21</v>
      </c>
      <c r="Z8206" t="s">
        <v>4351</v>
      </c>
      <c r="AA8206" s="3">
        <v>8.7006427347660106E-2</v>
      </c>
      <c r="AB8206" t="s">
        <v>37784</v>
      </c>
      <c r="AC8206" t="s">
        <v>4562</v>
      </c>
      <c r="AD8206" t="s">
        <v>37785</v>
      </c>
      <c r="AE8206" t="s">
        <v>4655</v>
      </c>
      <c r="AF8206" t="s">
        <v>4809</v>
      </c>
      <c r="AG8206" t="s">
        <v>4564</v>
      </c>
      <c r="AH8206" t="s">
        <v>3609</v>
      </c>
      <c r="AI8206" t="s">
        <v>37786</v>
      </c>
      <c r="AJ8206" t="s">
        <v>37787</v>
      </c>
      <c r="AK8206" t="s">
        <v>37788</v>
      </c>
      <c r="AL8206" s="13" t="s">
        <v>1901</v>
      </c>
      <c r="AM8206">
        <v>1</v>
      </c>
      <c r="AN8206" s="15" t="s">
        <v>1532</v>
      </c>
    </row>
    <row r="8207" spans="1:40" x14ac:dyDescent="0.3">
      <c r="A8207" s="10" t="str">
        <f>HYPERLINK("http://www.washoecounty.gov/assessor/cama/?parid=554-104-07&amp;CardNumber=1","554-104-07")</f>
        <v>554-104-07</v>
      </c>
      <c r="B8207" t="s">
        <v>4655</v>
      </c>
      <c r="C8207" t="s">
        <v>37789</v>
      </c>
      <c r="D8207" s="1">
        <v>40326</v>
      </c>
      <c r="E8207" s="2">
        <v>82000</v>
      </c>
      <c r="F8207" t="s">
        <v>4567</v>
      </c>
      <c r="G8207" s="17" t="str">
        <f>HYPERLINK("https://www.washoecounty.gov/assessor/cama/?command=sales&amp;parid=55410407","3886434")</f>
        <v>3886434</v>
      </c>
      <c r="H8207" t="s">
        <v>2019</v>
      </c>
      <c r="I8207">
        <v>1985</v>
      </c>
      <c r="J8207">
        <v>1985</v>
      </c>
      <c r="K8207" t="s">
        <v>4554</v>
      </c>
      <c r="L8207" t="s">
        <v>4555</v>
      </c>
      <c r="M8207" s="2">
        <v>1048</v>
      </c>
      <c r="N8207" t="s">
        <v>4048</v>
      </c>
      <c r="O8207">
        <v>3</v>
      </c>
      <c r="P8207">
        <v>2</v>
      </c>
      <c r="Q8207">
        <v>0</v>
      </c>
      <c r="R8207" t="s">
        <v>4557</v>
      </c>
      <c r="S8207" t="s">
        <v>4558</v>
      </c>
      <c r="T8207" t="s">
        <v>2704</v>
      </c>
      <c r="U8207" t="s">
        <v>4560</v>
      </c>
      <c r="V8207" s="2">
        <v>438</v>
      </c>
      <c r="W8207" t="s">
        <v>4655</v>
      </c>
      <c r="X8207" s="2">
        <v>0</v>
      </c>
      <c r="Y8207">
        <v>20</v>
      </c>
      <c r="Z8207" t="s">
        <v>4351</v>
      </c>
      <c r="AA8207" s="3">
        <v>8.7006427347660106E-2</v>
      </c>
      <c r="AB8207" t="s">
        <v>37790</v>
      </c>
      <c r="AC8207" t="s">
        <v>4562</v>
      </c>
      <c r="AD8207" t="s">
        <v>37789</v>
      </c>
      <c r="AE8207" t="s">
        <v>4655</v>
      </c>
      <c r="AF8207" t="s">
        <v>4563</v>
      </c>
      <c r="AG8207" t="s">
        <v>4564</v>
      </c>
      <c r="AH8207">
        <v>89506</v>
      </c>
      <c r="AI8207" t="s">
        <v>37791</v>
      </c>
      <c r="AJ8207" t="s">
        <v>37792</v>
      </c>
      <c r="AK8207" t="s">
        <v>37793</v>
      </c>
      <c r="AL8207" s="13" t="s">
        <v>1901</v>
      </c>
      <c r="AM8207">
        <v>1</v>
      </c>
      <c r="AN8207" s="15" t="s">
        <v>2020</v>
      </c>
    </row>
    <row r="8208" spans="1:40" x14ac:dyDescent="0.3">
      <c r="A8208" s="10" t="str">
        <f>HYPERLINK("http://www.washoecounty.gov/assessor/cama/?parid=554-104-15&amp;CardNumber=1","554-104-15")</f>
        <v>554-104-15</v>
      </c>
      <c r="B8208" t="s">
        <v>4655</v>
      </c>
      <c r="C8208" t="s">
        <v>37794</v>
      </c>
      <c r="D8208" s="1">
        <v>40273</v>
      </c>
      <c r="E8208" s="2">
        <v>100000</v>
      </c>
      <c r="F8208" t="s">
        <v>4553</v>
      </c>
      <c r="G8208" s="17" t="str">
        <f>HYPERLINK("https://www.washoecounty.gov/assessor/cama/?command=sales&amp;parid=55410415","3867671")</f>
        <v>3867671</v>
      </c>
      <c r="H8208" t="s">
        <v>2019</v>
      </c>
      <c r="I8208">
        <v>1991</v>
      </c>
      <c r="J8208">
        <v>1991</v>
      </c>
      <c r="K8208" t="s">
        <v>4554</v>
      </c>
      <c r="L8208" t="s">
        <v>4555</v>
      </c>
      <c r="M8208" s="2">
        <v>1190</v>
      </c>
      <c r="N8208" t="s">
        <v>4048</v>
      </c>
      <c r="O8208">
        <v>3</v>
      </c>
      <c r="P8208">
        <v>2</v>
      </c>
      <c r="Q8208">
        <v>0</v>
      </c>
      <c r="R8208" t="s">
        <v>4557</v>
      </c>
      <c r="S8208" t="s">
        <v>4558</v>
      </c>
      <c r="T8208" t="s">
        <v>2704</v>
      </c>
      <c r="U8208" t="s">
        <v>4560</v>
      </c>
      <c r="V8208" s="2">
        <v>430</v>
      </c>
      <c r="W8208" t="s">
        <v>4655</v>
      </c>
      <c r="X8208" s="2">
        <v>0</v>
      </c>
      <c r="Y8208">
        <v>20</v>
      </c>
      <c r="Z8208" t="s">
        <v>4351</v>
      </c>
      <c r="AA8208" s="3">
        <v>8.7006427347660106E-2</v>
      </c>
      <c r="AB8208" t="s">
        <v>37795</v>
      </c>
      <c r="AC8208" t="s">
        <v>4562</v>
      </c>
      <c r="AD8208" t="s">
        <v>37794</v>
      </c>
      <c r="AE8208" t="s">
        <v>4655</v>
      </c>
      <c r="AF8208" t="s">
        <v>4563</v>
      </c>
      <c r="AG8208" t="s">
        <v>4564</v>
      </c>
      <c r="AH8208">
        <v>89506</v>
      </c>
      <c r="AI8208" t="s">
        <v>73</v>
      </c>
      <c r="AJ8208" t="s">
        <v>37796</v>
      </c>
      <c r="AK8208" t="s">
        <v>37797</v>
      </c>
      <c r="AL8208" s="13" t="s">
        <v>1901</v>
      </c>
      <c r="AM8208" s="14">
        <v>1</v>
      </c>
      <c r="AN8208" s="15" t="s">
        <v>2020</v>
      </c>
    </row>
    <row r="8209" spans="1:40" x14ac:dyDescent="0.3">
      <c r="A8209" s="10" t="str">
        <f>HYPERLINK("http://www.washoecounty.gov/assessor/cama/?parid=554-111-05&amp;CardNumber=1","554-111-05")</f>
        <v>554-111-05</v>
      </c>
      <c r="B8209" t="s">
        <v>4655</v>
      </c>
      <c r="C8209" t="s">
        <v>37798</v>
      </c>
      <c r="D8209" s="1">
        <v>40466</v>
      </c>
      <c r="E8209" s="2">
        <v>110000</v>
      </c>
      <c r="F8209" t="s">
        <v>4553</v>
      </c>
      <c r="G8209" s="17" t="str">
        <f>HYPERLINK("https://www.washoecounty.gov/assessor/cama/?command=sales&amp;parid=55411105","3933644")</f>
        <v>3933644</v>
      </c>
      <c r="H8209" t="s">
        <v>2018</v>
      </c>
      <c r="I8209">
        <v>2002</v>
      </c>
      <c r="J8209">
        <v>2002</v>
      </c>
      <c r="K8209" t="s">
        <v>4554</v>
      </c>
      <c r="L8209" t="s">
        <v>3974</v>
      </c>
      <c r="M8209" s="2">
        <v>1723</v>
      </c>
      <c r="N8209" t="s">
        <v>4048</v>
      </c>
      <c r="O8209">
        <v>3</v>
      </c>
      <c r="P8209">
        <v>2</v>
      </c>
      <c r="Q8209">
        <v>0</v>
      </c>
      <c r="R8209" t="s">
        <v>4557</v>
      </c>
      <c r="S8209" t="s">
        <v>4558</v>
      </c>
      <c r="T8209" t="s">
        <v>4559</v>
      </c>
      <c r="U8209" t="s">
        <v>5631</v>
      </c>
      <c r="V8209" s="2">
        <v>438</v>
      </c>
      <c r="W8209" t="s">
        <v>4655</v>
      </c>
      <c r="X8209" s="2">
        <v>0</v>
      </c>
      <c r="Y8209">
        <v>20</v>
      </c>
      <c r="Z8209" t="s">
        <v>4351</v>
      </c>
      <c r="AA8209" s="3">
        <v>9.6074379980564104E-2</v>
      </c>
      <c r="AB8209" t="s">
        <v>37799</v>
      </c>
      <c r="AC8209" t="s">
        <v>4562</v>
      </c>
      <c r="AD8209" t="s">
        <v>37800</v>
      </c>
      <c r="AE8209" t="s">
        <v>4655</v>
      </c>
      <c r="AF8209" t="s">
        <v>4563</v>
      </c>
      <c r="AG8209" t="s">
        <v>4564</v>
      </c>
      <c r="AH8209">
        <v>89506</v>
      </c>
      <c r="AI8209" t="s">
        <v>37801</v>
      </c>
      <c r="AJ8209" t="s">
        <v>2277</v>
      </c>
      <c r="AK8209" t="s">
        <v>37802</v>
      </c>
      <c r="AL8209" s="13" t="s">
        <v>1901</v>
      </c>
      <c r="AM8209" s="14">
        <v>1</v>
      </c>
      <c r="AN8209" s="15" t="s">
        <v>1448</v>
      </c>
    </row>
    <row r="8210" spans="1:40" x14ac:dyDescent="0.3">
      <c r="A8210" s="10" t="str">
        <f>HYPERLINK("http://www.washoecounty.gov/assessor/cama/?parid=554-112-02&amp;CardNumber=1","554-112-02")</f>
        <v>554-112-02</v>
      </c>
      <c r="B8210" t="s">
        <v>4655</v>
      </c>
      <c r="C8210" t="s">
        <v>37803</v>
      </c>
      <c r="D8210" s="1">
        <v>40326</v>
      </c>
      <c r="E8210" s="2">
        <v>120000</v>
      </c>
      <c r="F8210" t="s">
        <v>4553</v>
      </c>
      <c r="G8210" s="17" t="str">
        <f>HYPERLINK("https://www.washoecounty.gov/assessor/cama/?command=sales&amp;parid=55411202","3886728")</f>
        <v>3886728</v>
      </c>
      <c r="H8210" t="s">
        <v>2018</v>
      </c>
      <c r="I8210">
        <v>2002</v>
      </c>
      <c r="J8210">
        <v>2002</v>
      </c>
      <c r="K8210" t="s">
        <v>4554</v>
      </c>
      <c r="L8210" t="s">
        <v>3974</v>
      </c>
      <c r="M8210" s="2">
        <v>1580</v>
      </c>
      <c r="N8210" t="s">
        <v>4048</v>
      </c>
      <c r="O8210">
        <v>3</v>
      </c>
      <c r="P8210">
        <v>2</v>
      </c>
      <c r="Q8210">
        <v>0</v>
      </c>
      <c r="R8210" t="s">
        <v>4557</v>
      </c>
      <c r="S8210" t="s">
        <v>4558</v>
      </c>
      <c r="T8210" t="s">
        <v>4559</v>
      </c>
      <c r="U8210" t="s">
        <v>4560</v>
      </c>
      <c r="V8210" s="2">
        <v>462</v>
      </c>
      <c r="W8210" t="s">
        <v>4655</v>
      </c>
      <c r="X8210" s="2">
        <v>0</v>
      </c>
      <c r="Y8210">
        <v>20</v>
      </c>
      <c r="Z8210" t="s">
        <v>4351</v>
      </c>
      <c r="AA8210" s="3">
        <v>9.2975206673145294E-2</v>
      </c>
      <c r="AB8210" t="s">
        <v>37804</v>
      </c>
      <c r="AC8210" t="s">
        <v>4575</v>
      </c>
      <c r="AD8210" t="s">
        <v>37805</v>
      </c>
      <c r="AE8210" t="s">
        <v>4655</v>
      </c>
      <c r="AF8210" t="s">
        <v>4563</v>
      </c>
      <c r="AG8210" t="s">
        <v>4564</v>
      </c>
      <c r="AH8210">
        <v>89506</v>
      </c>
      <c r="AI8210" t="s">
        <v>4903</v>
      </c>
      <c r="AJ8210" t="s">
        <v>2277</v>
      </c>
      <c r="AK8210" t="s">
        <v>37806</v>
      </c>
      <c r="AL8210" s="13" t="s">
        <v>1901</v>
      </c>
      <c r="AM8210" s="14">
        <v>1</v>
      </c>
      <c r="AN8210" s="15" t="s">
        <v>1448</v>
      </c>
    </row>
    <row r="8211" spans="1:40" x14ac:dyDescent="0.3">
      <c r="A8211" s="10" t="str">
        <f>HYPERLINK("http://www.washoecounty.gov/assessor/cama/?parid=554-112-10&amp;CardNumber=1","554-112-10")</f>
        <v>554-112-10</v>
      </c>
      <c r="B8211" t="s">
        <v>4655</v>
      </c>
      <c r="C8211" t="s">
        <v>37807</v>
      </c>
      <c r="D8211" s="1">
        <v>40382</v>
      </c>
      <c r="E8211" s="2">
        <v>92000</v>
      </c>
      <c r="F8211" t="s">
        <v>4567</v>
      </c>
      <c r="G8211" s="17" t="str">
        <f>HYPERLINK("https://www.washoecounty.gov/assessor/cama/?command=sales&amp;parid=55411210","3904180")</f>
        <v>3904180</v>
      </c>
      <c r="H8211" t="s">
        <v>2018</v>
      </c>
      <c r="I8211">
        <v>2002</v>
      </c>
      <c r="J8211">
        <v>2002</v>
      </c>
      <c r="K8211" t="s">
        <v>4554</v>
      </c>
      <c r="L8211" t="s">
        <v>4555</v>
      </c>
      <c r="M8211" s="2">
        <v>1082</v>
      </c>
      <c r="N8211" t="s">
        <v>4048</v>
      </c>
      <c r="O8211">
        <v>2</v>
      </c>
      <c r="P8211">
        <v>2</v>
      </c>
      <c r="Q8211">
        <v>0</v>
      </c>
      <c r="R8211" t="s">
        <v>4557</v>
      </c>
      <c r="S8211" t="s">
        <v>4558</v>
      </c>
      <c r="T8211" t="s">
        <v>4559</v>
      </c>
      <c r="U8211" t="s">
        <v>4560</v>
      </c>
      <c r="V8211" s="2">
        <v>380</v>
      </c>
      <c r="W8211" t="s">
        <v>4655</v>
      </c>
      <c r="X8211" s="2">
        <v>0</v>
      </c>
      <c r="Y8211">
        <v>20</v>
      </c>
      <c r="Z8211" t="s">
        <v>4351</v>
      </c>
      <c r="AA8211" s="3">
        <v>9.9173553287982899E-2</v>
      </c>
      <c r="AB8211" t="s">
        <v>37808</v>
      </c>
      <c r="AC8211" t="s">
        <v>4562</v>
      </c>
      <c r="AD8211" t="s">
        <v>37807</v>
      </c>
      <c r="AE8211" t="s">
        <v>4655</v>
      </c>
      <c r="AF8211" t="s">
        <v>4563</v>
      </c>
      <c r="AG8211" t="s">
        <v>4564</v>
      </c>
      <c r="AH8211">
        <v>89506</v>
      </c>
      <c r="AI8211" t="s">
        <v>4655</v>
      </c>
      <c r="AJ8211" t="s">
        <v>2277</v>
      </c>
      <c r="AK8211" t="s">
        <v>37809</v>
      </c>
      <c r="AL8211" s="13" t="s">
        <v>1901</v>
      </c>
      <c r="AM8211">
        <v>1</v>
      </c>
      <c r="AN8211" s="15" t="s">
        <v>1448</v>
      </c>
    </row>
    <row r="8212" spans="1:40" x14ac:dyDescent="0.3">
      <c r="A8212" s="10" t="str">
        <f>HYPERLINK("http://www.washoecounty.gov/assessor/cama/?parid=554-112-16&amp;CardNumber=1","554-112-16")</f>
        <v>554-112-16</v>
      </c>
      <c r="B8212" t="s">
        <v>4655</v>
      </c>
      <c r="C8212" t="s">
        <v>37810</v>
      </c>
      <c r="D8212" s="1">
        <v>40305</v>
      </c>
      <c r="E8212" s="2">
        <v>122000</v>
      </c>
      <c r="F8212" t="s">
        <v>4553</v>
      </c>
      <c r="G8212" s="17" t="str">
        <f>HYPERLINK("https://www.washoecounty.gov/assessor/cama/?command=sales&amp;parid=55411216","3879000")</f>
        <v>3879000</v>
      </c>
      <c r="H8212" t="s">
        <v>2018</v>
      </c>
      <c r="I8212">
        <v>2001</v>
      </c>
      <c r="J8212">
        <v>2001</v>
      </c>
      <c r="K8212" t="s">
        <v>4554</v>
      </c>
      <c r="L8212" t="s">
        <v>4555</v>
      </c>
      <c r="M8212" s="2">
        <v>1389</v>
      </c>
      <c r="N8212" t="s">
        <v>4048</v>
      </c>
      <c r="O8212">
        <v>3</v>
      </c>
      <c r="P8212">
        <v>2</v>
      </c>
      <c r="Q8212">
        <v>0</v>
      </c>
      <c r="R8212" t="s">
        <v>4557</v>
      </c>
      <c r="S8212" t="s">
        <v>4558</v>
      </c>
      <c r="T8212" t="s">
        <v>4559</v>
      </c>
      <c r="U8212" t="s">
        <v>4560</v>
      </c>
      <c r="V8212" s="2">
        <v>380</v>
      </c>
      <c r="W8212" t="s">
        <v>4655</v>
      </c>
      <c r="X8212" s="2">
        <v>0</v>
      </c>
      <c r="Y8212">
        <v>20</v>
      </c>
      <c r="Z8212" t="s">
        <v>4351</v>
      </c>
      <c r="AA8212" s="3">
        <v>9.8484851419925704E-2</v>
      </c>
      <c r="AB8212" t="s">
        <v>37811</v>
      </c>
      <c r="AC8212" t="s">
        <v>4575</v>
      </c>
      <c r="AD8212" t="s">
        <v>37812</v>
      </c>
      <c r="AE8212" t="s">
        <v>4655</v>
      </c>
      <c r="AF8212" t="s">
        <v>4563</v>
      </c>
      <c r="AG8212" t="s">
        <v>4564</v>
      </c>
      <c r="AH8212">
        <v>89506</v>
      </c>
      <c r="AI8212" t="s">
        <v>2351</v>
      </c>
      <c r="AJ8212" t="s">
        <v>2277</v>
      </c>
      <c r="AK8212" t="s">
        <v>37813</v>
      </c>
      <c r="AL8212" s="13" t="s">
        <v>1901</v>
      </c>
      <c r="AM8212">
        <v>1</v>
      </c>
      <c r="AN8212" s="15" t="s">
        <v>1448</v>
      </c>
    </row>
    <row r="8213" spans="1:40" x14ac:dyDescent="0.3">
      <c r="A8213" s="10" t="str">
        <f>HYPERLINK("http://www.washoecounty.gov/assessor/cama/?parid=554-113-05&amp;CardNumber=1","554-113-05")</f>
        <v>554-113-05</v>
      </c>
      <c r="B8213" t="s">
        <v>4655</v>
      </c>
      <c r="C8213" t="s">
        <v>37814</v>
      </c>
      <c r="D8213" s="1">
        <v>40504</v>
      </c>
      <c r="E8213" s="2">
        <v>85000</v>
      </c>
      <c r="F8213" t="s">
        <v>4553</v>
      </c>
      <c r="G8213" s="17" t="str">
        <f>HYPERLINK("https://www.washoecounty.gov/assessor/cama/?command=sales&amp;parid=55411305","3945688")</f>
        <v>3945688</v>
      </c>
      <c r="H8213" t="s">
        <v>2018</v>
      </c>
      <c r="I8213">
        <v>2001</v>
      </c>
      <c r="J8213">
        <v>2001</v>
      </c>
      <c r="K8213" t="s">
        <v>4554</v>
      </c>
      <c r="L8213" t="s">
        <v>4555</v>
      </c>
      <c r="M8213" s="2">
        <v>1082</v>
      </c>
      <c r="N8213" t="s">
        <v>4048</v>
      </c>
      <c r="O8213">
        <v>2</v>
      </c>
      <c r="P8213">
        <v>2</v>
      </c>
      <c r="Q8213">
        <v>0</v>
      </c>
      <c r="R8213" t="s">
        <v>5281</v>
      </c>
      <c r="S8213" t="s">
        <v>4558</v>
      </c>
      <c r="T8213" t="s">
        <v>4559</v>
      </c>
      <c r="U8213" t="s">
        <v>4560</v>
      </c>
      <c r="V8213" s="2">
        <v>380</v>
      </c>
      <c r="W8213" t="s">
        <v>4655</v>
      </c>
      <c r="X8213" s="2">
        <v>0</v>
      </c>
      <c r="Y8213">
        <v>20</v>
      </c>
      <c r="Z8213" t="s">
        <v>4351</v>
      </c>
      <c r="AA8213" s="3">
        <v>9.6418730914592701E-2</v>
      </c>
      <c r="AB8213" t="s">
        <v>37815</v>
      </c>
      <c r="AC8213" t="s">
        <v>4575</v>
      </c>
      <c r="AD8213" t="s">
        <v>37814</v>
      </c>
      <c r="AE8213" t="s">
        <v>4655</v>
      </c>
      <c r="AF8213" t="s">
        <v>4563</v>
      </c>
      <c r="AG8213" t="s">
        <v>4564</v>
      </c>
      <c r="AH8213">
        <v>89506</v>
      </c>
      <c r="AI8213" t="s">
        <v>4903</v>
      </c>
      <c r="AJ8213" t="s">
        <v>2277</v>
      </c>
      <c r="AK8213" t="s">
        <v>37816</v>
      </c>
      <c r="AL8213" s="13" t="s">
        <v>1901</v>
      </c>
      <c r="AM8213">
        <v>1</v>
      </c>
      <c r="AN8213" s="15" t="s">
        <v>1448</v>
      </c>
    </row>
    <row r="8214" spans="1:40" x14ac:dyDescent="0.3">
      <c r="A8214" s="10" t="str">
        <f>HYPERLINK("http://www.washoecounty.gov/assessor/cama/?parid=554-113-09&amp;CardNumber=1","554-113-09")</f>
        <v>554-113-09</v>
      </c>
      <c r="B8214" t="s">
        <v>4655</v>
      </c>
      <c r="C8214" t="s">
        <v>37817</v>
      </c>
      <c r="D8214" s="1">
        <v>40407</v>
      </c>
      <c r="E8214" s="2">
        <v>100000</v>
      </c>
      <c r="F8214" t="s">
        <v>4553</v>
      </c>
      <c r="G8214" s="17" t="str">
        <f>HYPERLINK("https://www.washoecounty.gov/assessor/cama/?command=sales&amp;parid=55411309","3913021")</f>
        <v>3913021</v>
      </c>
      <c r="H8214" t="s">
        <v>2018</v>
      </c>
      <c r="I8214">
        <v>2001</v>
      </c>
      <c r="J8214">
        <v>2001</v>
      </c>
      <c r="K8214" t="s">
        <v>4554</v>
      </c>
      <c r="L8214" t="s">
        <v>3974</v>
      </c>
      <c r="M8214" s="2">
        <v>1580</v>
      </c>
      <c r="N8214" t="s">
        <v>4048</v>
      </c>
      <c r="O8214">
        <v>3</v>
      </c>
      <c r="P8214">
        <v>2</v>
      </c>
      <c r="Q8214">
        <v>0</v>
      </c>
      <c r="R8214" t="s">
        <v>4557</v>
      </c>
      <c r="S8214" t="s">
        <v>4558</v>
      </c>
      <c r="T8214" t="s">
        <v>4559</v>
      </c>
      <c r="U8214" t="s">
        <v>4560</v>
      </c>
      <c r="V8214" s="2">
        <v>462</v>
      </c>
      <c r="W8214" t="s">
        <v>4655</v>
      </c>
      <c r="X8214" s="2">
        <v>0</v>
      </c>
      <c r="Y8214">
        <v>20</v>
      </c>
      <c r="Z8214" t="s">
        <v>4351</v>
      </c>
      <c r="AA8214" s="3">
        <v>9.6418730914592701E-2</v>
      </c>
      <c r="AB8214" t="s">
        <v>1506</v>
      </c>
      <c r="AC8214" t="s">
        <v>4562</v>
      </c>
      <c r="AD8214" t="s">
        <v>1912</v>
      </c>
      <c r="AE8214" t="s">
        <v>4655</v>
      </c>
      <c r="AF8214" t="s">
        <v>4563</v>
      </c>
      <c r="AG8214" t="s">
        <v>4564</v>
      </c>
      <c r="AH8214">
        <v>89511</v>
      </c>
      <c r="AI8214" t="s">
        <v>4145</v>
      </c>
      <c r="AJ8214" t="s">
        <v>2277</v>
      </c>
      <c r="AK8214" t="s">
        <v>37818</v>
      </c>
      <c r="AL8214" s="13" t="s">
        <v>1901</v>
      </c>
      <c r="AM8214">
        <v>1</v>
      </c>
      <c r="AN8214" s="15" t="s">
        <v>1448</v>
      </c>
    </row>
    <row r="8215" spans="1:40" x14ac:dyDescent="0.3">
      <c r="A8215" s="10" t="str">
        <f>HYPERLINK("http://www.washoecounty.gov/assessor/cama/?parid=554-113-16&amp;CardNumber=1","554-113-16")</f>
        <v>554-113-16</v>
      </c>
      <c r="B8215" t="s">
        <v>4655</v>
      </c>
      <c r="C8215" t="s">
        <v>37819</v>
      </c>
      <c r="D8215" s="1">
        <v>40403</v>
      </c>
      <c r="E8215" s="2">
        <v>105000</v>
      </c>
      <c r="F8215" t="s">
        <v>4553</v>
      </c>
      <c r="G8215" s="17" t="str">
        <f>HYPERLINK("https://www.washoecounty.gov/assessor/cama/?command=sales&amp;parid=55411316","3911775")</f>
        <v>3911775</v>
      </c>
      <c r="H8215" t="s">
        <v>2018</v>
      </c>
      <c r="I8215">
        <v>2001</v>
      </c>
      <c r="J8215">
        <v>2001</v>
      </c>
      <c r="K8215" t="s">
        <v>4554</v>
      </c>
      <c r="L8215" t="s">
        <v>3974</v>
      </c>
      <c r="M8215" s="2">
        <v>1580</v>
      </c>
      <c r="N8215" t="s">
        <v>4048</v>
      </c>
      <c r="O8215">
        <v>3</v>
      </c>
      <c r="P8215">
        <v>2</v>
      </c>
      <c r="Q8215">
        <v>0</v>
      </c>
      <c r="R8215" t="s">
        <v>5281</v>
      </c>
      <c r="S8215" t="s">
        <v>4558</v>
      </c>
      <c r="T8215" t="s">
        <v>4559</v>
      </c>
      <c r="U8215" t="s">
        <v>4560</v>
      </c>
      <c r="V8215" s="2">
        <v>462</v>
      </c>
      <c r="W8215" t="s">
        <v>4655</v>
      </c>
      <c r="X8215" s="2">
        <v>0</v>
      </c>
      <c r="Y8215">
        <v>20</v>
      </c>
      <c r="Z8215" t="s">
        <v>4351</v>
      </c>
      <c r="AA8215" s="3">
        <v>9.7107440233230605E-2</v>
      </c>
      <c r="AB8215" t="s">
        <v>37820</v>
      </c>
      <c r="AC8215" t="s">
        <v>4575</v>
      </c>
      <c r="AD8215" t="s">
        <v>37819</v>
      </c>
      <c r="AE8215" t="s">
        <v>4655</v>
      </c>
      <c r="AF8215" t="s">
        <v>4563</v>
      </c>
      <c r="AG8215" t="s">
        <v>4564</v>
      </c>
      <c r="AH8215">
        <v>89506</v>
      </c>
      <c r="AI8215" t="s">
        <v>5203</v>
      </c>
      <c r="AJ8215" t="s">
        <v>2277</v>
      </c>
      <c r="AK8215" t="s">
        <v>37821</v>
      </c>
      <c r="AL8215" s="13" t="s">
        <v>1901</v>
      </c>
      <c r="AM8215" s="14">
        <v>1</v>
      </c>
      <c r="AN8215" s="15" t="s">
        <v>1448</v>
      </c>
    </row>
    <row r="8216" spans="1:40" x14ac:dyDescent="0.3">
      <c r="A8216" s="10" t="str">
        <f>HYPERLINK("http://www.washoecounty.gov/assessor/cama/?parid=554-113-17&amp;CardNumber=1","554-113-17")</f>
        <v>554-113-17</v>
      </c>
      <c r="B8216" t="s">
        <v>4655</v>
      </c>
      <c r="C8216" t="s">
        <v>37822</v>
      </c>
      <c r="D8216" s="1">
        <v>40219</v>
      </c>
      <c r="E8216" s="2">
        <v>94900</v>
      </c>
      <c r="F8216" t="s">
        <v>4567</v>
      </c>
      <c r="G8216" s="17" t="str">
        <f>HYPERLINK("https://www.washoecounty.gov/assessor/cama/?command=sales&amp;parid=55411317","3847805")</f>
        <v>3847805</v>
      </c>
      <c r="H8216" t="s">
        <v>2018</v>
      </c>
      <c r="I8216">
        <v>2001</v>
      </c>
      <c r="J8216">
        <v>2001</v>
      </c>
      <c r="K8216" t="s">
        <v>4554</v>
      </c>
      <c r="L8216" t="s">
        <v>4555</v>
      </c>
      <c r="M8216" s="2">
        <v>1082</v>
      </c>
      <c r="N8216" t="s">
        <v>4048</v>
      </c>
      <c r="O8216">
        <v>2</v>
      </c>
      <c r="P8216">
        <v>2</v>
      </c>
      <c r="Q8216">
        <v>0</v>
      </c>
      <c r="R8216" t="s">
        <v>4557</v>
      </c>
      <c r="S8216" t="s">
        <v>4558</v>
      </c>
      <c r="T8216" t="s">
        <v>4559</v>
      </c>
      <c r="U8216" t="s">
        <v>4560</v>
      </c>
      <c r="V8216" s="2">
        <v>380</v>
      </c>
      <c r="W8216" t="s">
        <v>4655</v>
      </c>
      <c r="X8216" s="2">
        <v>0</v>
      </c>
      <c r="Y8216">
        <v>20</v>
      </c>
      <c r="Z8216" t="s">
        <v>4351</v>
      </c>
      <c r="AA8216" s="3">
        <v>9.7107440233230605E-2</v>
      </c>
      <c r="AB8216" t="s">
        <v>37823</v>
      </c>
      <c r="AC8216" t="s">
        <v>4562</v>
      </c>
      <c r="AD8216" t="s">
        <v>37822</v>
      </c>
      <c r="AE8216" t="s">
        <v>4655</v>
      </c>
      <c r="AF8216" t="s">
        <v>4563</v>
      </c>
      <c r="AG8216" t="s">
        <v>4564</v>
      </c>
      <c r="AH8216">
        <v>89506</v>
      </c>
      <c r="AI8216" t="s">
        <v>37824</v>
      </c>
      <c r="AJ8216" t="s">
        <v>2277</v>
      </c>
      <c r="AK8216" t="s">
        <v>37825</v>
      </c>
      <c r="AL8216" s="13" t="s">
        <v>1901</v>
      </c>
      <c r="AM8216" s="14">
        <v>1</v>
      </c>
      <c r="AN8216" s="15" t="s">
        <v>1448</v>
      </c>
    </row>
    <row r="8217" spans="1:40" x14ac:dyDescent="0.3">
      <c r="A8217" s="10" t="str">
        <f>HYPERLINK("http://www.washoecounty.gov/assessor/cama/?parid=554-114-11&amp;CardNumber=1","554-114-11")</f>
        <v>554-114-11</v>
      </c>
      <c r="B8217" t="s">
        <v>4655</v>
      </c>
      <c r="C8217" t="s">
        <v>37826</v>
      </c>
      <c r="D8217" s="1">
        <v>40211</v>
      </c>
      <c r="E8217" s="2">
        <v>119000</v>
      </c>
      <c r="F8217" t="s">
        <v>4567</v>
      </c>
      <c r="G8217" s="17" t="str">
        <f>HYPERLINK("https://www.washoecounty.gov/assessor/cama/?command=sales&amp;parid=55411411","3845396")</f>
        <v>3845396</v>
      </c>
      <c r="H8217" t="s">
        <v>2018</v>
      </c>
      <c r="I8217">
        <v>2001</v>
      </c>
      <c r="J8217">
        <v>2001</v>
      </c>
      <c r="K8217" t="s">
        <v>4554</v>
      </c>
      <c r="L8217" t="s">
        <v>3974</v>
      </c>
      <c r="M8217" s="2">
        <v>1723</v>
      </c>
      <c r="N8217" t="s">
        <v>4048</v>
      </c>
      <c r="O8217">
        <v>3</v>
      </c>
      <c r="P8217">
        <v>2</v>
      </c>
      <c r="Q8217">
        <v>0</v>
      </c>
      <c r="R8217" t="s">
        <v>4557</v>
      </c>
      <c r="S8217" t="s">
        <v>4558</v>
      </c>
      <c r="T8217" t="s">
        <v>4559</v>
      </c>
      <c r="U8217" t="s">
        <v>5631</v>
      </c>
      <c r="V8217" s="2">
        <v>438</v>
      </c>
      <c r="W8217" t="s">
        <v>4655</v>
      </c>
      <c r="X8217" s="2">
        <v>0</v>
      </c>
      <c r="Y8217">
        <v>20</v>
      </c>
      <c r="Z8217" t="s">
        <v>4351</v>
      </c>
      <c r="AA8217" s="3">
        <v>0.17001836001873</v>
      </c>
      <c r="AB8217" t="s">
        <v>37827</v>
      </c>
      <c r="AC8217" t="s">
        <v>4562</v>
      </c>
      <c r="AD8217" t="s">
        <v>37826</v>
      </c>
      <c r="AE8217" t="s">
        <v>4655</v>
      </c>
      <c r="AF8217" t="s">
        <v>4563</v>
      </c>
      <c r="AG8217" t="s">
        <v>4564</v>
      </c>
      <c r="AH8217">
        <v>89506</v>
      </c>
      <c r="AI8217" t="s">
        <v>37828</v>
      </c>
      <c r="AJ8217" t="s">
        <v>2277</v>
      </c>
      <c r="AK8217" t="s">
        <v>37829</v>
      </c>
      <c r="AL8217" s="13" t="s">
        <v>1901</v>
      </c>
      <c r="AM8217" s="14">
        <v>1</v>
      </c>
      <c r="AN8217" s="15" t="s">
        <v>1448</v>
      </c>
    </row>
    <row r="8218" spans="1:40" x14ac:dyDescent="0.3">
      <c r="A8218" s="10" t="str">
        <f>HYPERLINK("http://www.washoecounty.gov/assessor/cama/?parid=554-114-19&amp;CardNumber=1","554-114-19")</f>
        <v>554-114-19</v>
      </c>
      <c r="B8218" t="s">
        <v>4655</v>
      </c>
      <c r="C8218" t="s">
        <v>37830</v>
      </c>
      <c r="D8218" s="1">
        <v>40318</v>
      </c>
      <c r="E8218" s="2">
        <v>114500</v>
      </c>
      <c r="F8218" t="s">
        <v>4567</v>
      </c>
      <c r="G8218" s="17" t="str">
        <f>HYPERLINK("https://www.washoecounty.gov/assessor/cama/?command=sales&amp;parid=55411419","3883570")</f>
        <v>3883570</v>
      </c>
      <c r="H8218" t="s">
        <v>2018</v>
      </c>
      <c r="I8218">
        <v>2001</v>
      </c>
      <c r="J8218">
        <v>2001</v>
      </c>
      <c r="K8218" t="s">
        <v>4554</v>
      </c>
      <c r="L8218" t="s">
        <v>4555</v>
      </c>
      <c r="M8218" s="2">
        <v>1261</v>
      </c>
      <c r="N8218" t="s">
        <v>4048</v>
      </c>
      <c r="O8218">
        <v>3</v>
      </c>
      <c r="P8218">
        <v>2</v>
      </c>
      <c r="Q8218">
        <v>0</v>
      </c>
      <c r="R8218" t="s">
        <v>4557</v>
      </c>
      <c r="S8218" t="s">
        <v>4558</v>
      </c>
      <c r="T8218" t="s">
        <v>4559</v>
      </c>
      <c r="U8218" t="s">
        <v>4560</v>
      </c>
      <c r="V8218" s="2">
        <v>380</v>
      </c>
      <c r="W8218" t="s">
        <v>4655</v>
      </c>
      <c r="X8218" s="2">
        <v>0</v>
      </c>
      <c r="Y8218">
        <v>20</v>
      </c>
      <c r="Z8218" t="s">
        <v>4351</v>
      </c>
      <c r="AA8218" s="3">
        <v>0.12029384821653399</v>
      </c>
      <c r="AB8218" t="s">
        <v>37831</v>
      </c>
      <c r="AC8218" t="s">
        <v>4562</v>
      </c>
      <c r="AD8218" t="s">
        <v>37830</v>
      </c>
      <c r="AE8218" t="s">
        <v>4655</v>
      </c>
      <c r="AF8218" t="s">
        <v>4563</v>
      </c>
      <c r="AG8218" t="s">
        <v>4564</v>
      </c>
      <c r="AH8218">
        <v>89506</v>
      </c>
      <c r="AI8218" t="s">
        <v>37832</v>
      </c>
      <c r="AJ8218" t="s">
        <v>2277</v>
      </c>
      <c r="AK8218" t="s">
        <v>37833</v>
      </c>
      <c r="AL8218" s="13" t="s">
        <v>1901</v>
      </c>
      <c r="AM8218">
        <v>1</v>
      </c>
      <c r="AN8218" s="15" t="s">
        <v>1448</v>
      </c>
    </row>
    <row r="8219" spans="1:40" x14ac:dyDescent="0.3">
      <c r="A8219" s="10" t="str">
        <f>HYPERLINK("http://www.washoecounty.gov/assessor/cama/?parid=554-131-01&amp;CardNumber=1","554-131-01")</f>
        <v>554-131-01</v>
      </c>
      <c r="B8219" t="s">
        <v>4655</v>
      </c>
      <c r="C8219" t="s">
        <v>37834</v>
      </c>
      <c r="D8219" s="1">
        <v>40520</v>
      </c>
      <c r="E8219" s="2">
        <v>68250</v>
      </c>
      <c r="F8219" t="s">
        <v>4553</v>
      </c>
      <c r="G8219" s="17" t="str">
        <f>HYPERLINK("https://www.washoecounty.gov/assessor/cama/?command=sales&amp;parid=55413101","3951029")</f>
        <v>3951029</v>
      </c>
      <c r="H8219" t="s">
        <v>37835</v>
      </c>
      <c r="I8219">
        <v>2002</v>
      </c>
      <c r="J8219">
        <v>2002</v>
      </c>
      <c r="K8219" t="s">
        <v>4554</v>
      </c>
      <c r="L8219" t="s">
        <v>4555</v>
      </c>
      <c r="M8219" s="2">
        <v>1261</v>
      </c>
      <c r="N8219" t="s">
        <v>4048</v>
      </c>
      <c r="O8219">
        <v>3</v>
      </c>
      <c r="P8219">
        <v>2</v>
      </c>
      <c r="Q8219">
        <v>0</v>
      </c>
      <c r="R8219" t="s">
        <v>4557</v>
      </c>
      <c r="S8219" t="s">
        <v>4558</v>
      </c>
      <c r="T8219" t="s">
        <v>4559</v>
      </c>
      <c r="U8219" t="s">
        <v>4560</v>
      </c>
      <c r="V8219" s="2">
        <v>380</v>
      </c>
      <c r="W8219" t="s">
        <v>4655</v>
      </c>
      <c r="X8219" s="2">
        <v>0</v>
      </c>
      <c r="Y8219">
        <v>20</v>
      </c>
      <c r="Z8219" t="s">
        <v>4351</v>
      </c>
      <c r="AA8219" s="3">
        <v>0.15573920309543601</v>
      </c>
      <c r="AB8219" t="s">
        <v>409</v>
      </c>
      <c r="AC8219" t="s">
        <v>4562</v>
      </c>
      <c r="AD8219" t="s">
        <v>410</v>
      </c>
      <c r="AE8219" t="s">
        <v>4655</v>
      </c>
      <c r="AF8219" t="s">
        <v>4563</v>
      </c>
      <c r="AG8219" t="s">
        <v>4564</v>
      </c>
      <c r="AH8219" t="s">
        <v>5197</v>
      </c>
      <c r="AI8219" t="s">
        <v>5382</v>
      </c>
      <c r="AJ8219" t="s">
        <v>37836</v>
      </c>
      <c r="AK8219" t="s">
        <v>37837</v>
      </c>
      <c r="AL8219" s="13" t="s">
        <v>1901</v>
      </c>
      <c r="AM8219" s="14">
        <v>1</v>
      </c>
      <c r="AN8219" s="15" t="s">
        <v>1448</v>
      </c>
    </row>
    <row r="8220" spans="1:40" x14ac:dyDescent="0.3">
      <c r="A8220" s="10" t="str">
        <f>HYPERLINK("http://www.washoecounty.gov/assessor/cama/?parid=554-131-02&amp;CardNumber=1","554-131-02")</f>
        <v>554-131-02</v>
      </c>
      <c r="B8220" t="s">
        <v>4655</v>
      </c>
      <c r="C8220" t="s">
        <v>37838</v>
      </c>
      <c r="D8220" s="1">
        <v>40466</v>
      </c>
      <c r="E8220" s="2">
        <v>120000</v>
      </c>
      <c r="F8220" t="s">
        <v>4567</v>
      </c>
      <c r="G8220" s="17" t="str">
        <f>HYPERLINK("https://www.washoecounty.gov/assessor/cama/?command=sales&amp;parid=55413102","3933699")</f>
        <v>3933699</v>
      </c>
      <c r="H8220" t="s">
        <v>37835</v>
      </c>
      <c r="I8220">
        <v>2002</v>
      </c>
      <c r="J8220">
        <v>2002</v>
      </c>
      <c r="K8220" t="s">
        <v>4554</v>
      </c>
      <c r="L8220" t="s">
        <v>3974</v>
      </c>
      <c r="M8220" s="2">
        <v>1580</v>
      </c>
      <c r="N8220" t="s">
        <v>4048</v>
      </c>
      <c r="O8220">
        <v>3</v>
      </c>
      <c r="P8220">
        <v>2</v>
      </c>
      <c r="Q8220">
        <v>1</v>
      </c>
      <c r="R8220" t="s">
        <v>4557</v>
      </c>
      <c r="S8220" t="s">
        <v>4558</v>
      </c>
      <c r="T8220" t="s">
        <v>4559</v>
      </c>
      <c r="U8220" t="s">
        <v>4560</v>
      </c>
      <c r="V8220" s="2">
        <v>462</v>
      </c>
      <c r="W8220" t="s">
        <v>4655</v>
      </c>
      <c r="X8220" s="2">
        <v>0</v>
      </c>
      <c r="Y8220">
        <v>20</v>
      </c>
      <c r="Z8220" t="s">
        <v>4351</v>
      </c>
      <c r="AA8220" s="3">
        <v>0.121441692113876</v>
      </c>
      <c r="AB8220" t="s">
        <v>37839</v>
      </c>
      <c r="AC8220" t="s">
        <v>4562</v>
      </c>
      <c r="AD8220" t="s">
        <v>37838</v>
      </c>
      <c r="AE8220" t="s">
        <v>4655</v>
      </c>
      <c r="AF8220" t="s">
        <v>4563</v>
      </c>
      <c r="AG8220" t="s">
        <v>4564</v>
      </c>
      <c r="AH8220">
        <v>89506</v>
      </c>
      <c r="AI8220" t="s">
        <v>4655</v>
      </c>
      <c r="AJ8220" t="s">
        <v>37836</v>
      </c>
      <c r="AK8220" t="s">
        <v>37840</v>
      </c>
      <c r="AL8220" s="13" t="s">
        <v>1901</v>
      </c>
      <c r="AM8220">
        <v>1</v>
      </c>
      <c r="AN8220" s="15" t="s">
        <v>1448</v>
      </c>
    </row>
    <row r="8221" spans="1:40" x14ac:dyDescent="0.3">
      <c r="A8221" s="10" t="str">
        <f>HYPERLINK("http://www.washoecounty.gov/assessor/cama/?parid=554-131-11&amp;CardNumber=1","554-131-11")</f>
        <v>554-131-11</v>
      </c>
      <c r="B8221" t="s">
        <v>4655</v>
      </c>
      <c r="C8221" t="s">
        <v>37841</v>
      </c>
      <c r="D8221" s="1">
        <v>40463</v>
      </c>
      <c r="E8221" s="2">
        <v>115000</v>
      </c>
      <c r="F8221" t="s">
        <v>4553</v>
      </c>
      <c r="G8221" s="17" t="str">
        <f>HYPERLINK("https://www.washoecounty.gov/assessor/cama/?command=sales&amp;parid=55413111","3931897")</f>
        <v>3931897</v>
      </c>
      <c r="H8221" t="s">
        <v>37835</v>
      </c>
      <c r="I8221">
        <v>2002</v>
      </c>
      <c r="J8221">
        <v>2002</v>
      </c>
      <c r="K8221" t="s">
        <v>4554</v>
      </c>
      <c r="L8221" t="s">
        <v>4555</v>
      </c>
      <c r="M8221" s="2">
        <v>1390</v>
      </c>
      <c r="N8221" t="s">
        <v>4048</v>
      </c>
      <c r="O8221">
        <v>3</v>
      </c>
      <c r="P8221">
        <v>2</v>
      </c>
      <c r="Q8221">
        <v>0</v>
      </c>
      <c r="R8221" t="s">
        <v>4557</v>
      </c>
      <c r="S8221" t="s">
        <v>4558</v>
      </c>
      <c r="T8221" t="s">
        <v>4559</v>
      </c>
      <c r="U8221" t="s">
        <v>4560</v>
      </c>
      <c r="V8221" s="2">
        <v>399</v>
      </c>
      <c r="W8221" t="s">
        <v>4655</v>
      </c>
      <c r="X8221" s="2">
        <v>0</v>
      </c>
      <c r="Y8221">
        <v>20</v>
      </c>
      <c r="Z8221" t="s">
        <v>4351</v>
      </c>
      <c r="AA8221" s="3">
        <v>0.10998622328043001</v>
      </c>
      <c r="AB8221" t="s">
        <v>37842</v>
      </c>
      <c r="AC8221" t="s">
        <v>4562</v>
      </c>
      <c r="AD8221" t="s">
        <v>37843</v>
      </c>
      <c r="AE8221" t="s">
        <v>4655</v>
      </c>
      <c r="AF8221" t="s">
        <v>5201</v>
      </c>
      <c r="AG8221" t="s">
        <v>4564</v>
      </c>
      <c r="AH8221" t="s">
        <v>1350</v>
      </c>
      <c r="AI8221" t="s">
        <v>2555</v>
      </c>
      <c r="AJ8221" t="s">
        <v>37836</v>
      </c>
      <c r="AK8221" t="s">
        <v>37844</v>
      </c>
      <c r="AL8221" s="13" t="s">
        <v>1901</v>
      </c>
      <c r="AM8221">
        <v>1</v>
      </c>
      <c r="AN8221" s="15" t="s">
        <v>1448</v>
      </c>
    </row>
    <row r="8222" spans="1:40" x14ac:dyDescent="0.3">
      <c r="A8222" s="10" t="str">
        <f>HYPERLINK("http://www.washoecounty.gov/assessor/cama/?parid=554-132-01&amp;CardNumber=1","554-132-01")</f>
        <v>554-132-01</v>
      </c>
      <c r="B8222" t="s">
        <v>4655</v>
      </c>
      <c r="C8222" t="s">
        <v>37845</v>
      </c>
      <c r="D8222" s="1">
        <v>40259</v>
      </c>
      <c r="E8222" s="2">
        <v>120000</v>
      </c>
      <c r="F8222" t="s">
        <v>4567</v>
      </c>
      <c r="G8222" s="17" t="str">
        <f>HYPERLINK("https://www.washoecounty.gov/assessor/cama/?command=sales&amp;parid=55413201","3862242")</f>
        <v>3862242</v>
      </c>
      <c r="H8222" t="s">
        <v>37835</v>
      </c>
      <c r="I8222">
        <v>2002</v>
      </c>
      <c r="J8222">
        <v>2002</v>
      </c>
      <c r="K8222" t="s">
        <v>4554</v>
      </c>
      <c r="L8222" t="s">
        <v>4555</v>
      </c>
      <c r="M8222" s="2">
        <v>1390</v>
      </c>
      <c r="N8222" t="s">
        <v>4048</v>
      </c>
      <c r="O8222">
        <v>3</v>
      </c>
      <c r="P8222">
        <v>2</v>
      </c>
      <c r="Q8222">
        <v>0</v>
      </c>
      <c r="R8222" t="s">
        <v>4557</v>
      </c>
      <c r="S8222" t="s">
        <v>4558</v>
      </c>
      <c r="T8222" t="s">
        <v>4559</v>
      </c>
      <c r="U8222" t="s">
        <v>4560</v>
      </c>
      <c r="V8222" s="2">
        <v>399</v>
      </c>
      <c r="W8222" t="s">
        <v>4655</v>
      </c>
      <c r="X8222" s="2">
        <v>0</v>
      </c>
      <c r="Y8222">
        <v>20</v>
      </c>
      <c r="Z8222" t="s">
        <v>4351</v>
      </c>
      <c r="AA8222" s="3">
        <v>0.131290167570114</v>
      </c>
      <c r="AB8222" t="s">
        <v>37846</v>
      </c>
      <c r="AC8222" t="s">
        <v>4562</v>
      </c>
      <c r="AD8222" t="s">
        <v>37845</v>
      </c>
      <c r="AE8222" t="s">
        <v>4655</v>
      </c>
      <c r="AF8222" t="s">
        <v>4563</v>
      </c>
      <c r="AG8222" t="s">
        <v>4564</v>
      </c>
      <c r="AH8222">
        <v>89506</v>
      </c>
      <c r="AI8222" t="s">
        <v>37847</v>
      </c>
      <c r="AJ8222" t="s">
        <v>37836</v>
      </c>
      <c r="AK8222" t="s">
        <v>37848</v>
      </c>
      <c r="AL8222" s="13" t="s">
        <v>1901</v>
      </c>
      <c r="AM8222">
        <v>1</v>
      </c>
      <c r="AN8222" s="15" t="s">
        <v>1448</v>
      </c>
    </row>
    <row r="8223" spans="1:40" x14ac:dyDescent="0.3">
      <c r="A8223" s="10" t="str">
        <f>HYPERLINK("http://www.washoecounty.gov/assessor/cama/?parid=554-132-06&amp;CardNumber=1","554-132-06")</f>
        <v>554-132-06</v>
      </c>
      <c r="B8223" t="s">
        <v>4655</v>
      </c>
      <c r="C8223" t="s">
        <v>37849</v>
      </c>
      <c r="D8223" s="1">
        <v>40297</v>
      </c>
      <c r="E8223" s="2">
        <v>102000</v>
      </c>
      <c r="F8223" t="s">
        <v>4567</v>
      </c>
      <c r="G8223" s="17" t="str">
        <f>HYPERLINK("https://www.washoecounty.gov/assessor/cama/?command=sales&amp;parid=55413206","3875979")</f>
        <v>3875979</v>
      </c>
      <c r="H8223" t="s">
        <v>37835</v>
      </c>
      <c r="I8223">
        <v>2002</v>
      </c>
      <c r="J8223">
        <v>2002</v>
      </c>
      <c r="K8223" t="s">
        <v>4554</v>
      </c>
      <c r="L8223" t="s">
        <v>4555</v>
      </c>
      <c r="M8223" s="2">
        <v>1082</v>
      </c>
      <c r="N8223" t="s">
        <v>4048</v>
      </c>
      <c r="O8223">
        <v>2</v>
      </c>
      <c r="P8223">
        <v>2</v>
      </c>
      <c r="Q8223">
        <v>0</v>
      </c>
      <c r="R8223" t="s">
        <v>5281</v>
      </c>
      <c r="S8223" t="s">
        <v>4558</v>
      </c>
      <c r="T8223" t="s">
        <v>4559</v>
      </c>
      <c r="U8223" t="s">
        <v>4560</v>
      </c>
      <c r="V8223" s="2">
        <v>380</v>
      </c>
      <c r="W8223" t="s">
        <v>4655</v>
      </c>
      <c r="X8223" s="2">
        <v>0</v>
      </c>
      <c r="Y8223">
        <v>20</v>
      </c>
      <c r="Z8223" t="s">
        <v>4351</v>
      </c>
      <c r="AA8223" s="3">
        <v>0.10950413346290599</v>
      </c>
      <c r="AB8223" t="s">
        <v>37850</v>
      </c>
      <c r="AC8223" t="s">
        <v>4562</v>
      </c>
      <c r="AD8223" t="s">
        <v>37851</v>
      </c>
      <c r="AE8223" t="s">
        <v>4655</v>
      </c>
      <c r="AF8223" t="s">
        <v>4563</v>
      </c>
      <c r="AG8223" t="s">
        <v>4564</v>
      </c>
      <c r="AH8223">
        <v>89506</v>
      </c>
      <c r="AI8223" t="s">
        <v>37852</v>
      </c>
      <c r="AJ8223" t="s">
        <v>37836</v>
      </c>
      <c r="AK8223" t="s">
        <v>37853</v>
      </c>
      <c r="AL8223" s="13" t="s">
        <v>1901</v>
      </c>
      <c r="AM8223">
        <v>1</v>
      </c>
      <c r="AN8223" s="15" t="s">
        <v>1448</v>
      </c>
    </row>
    <row r="8224" spans="1:40" x14ac:dyDescent="0.3">
      <c r="A8224" s="10" t="str">
        <f>HYPERLINK("http://www.washoecounty.gov/assessor/cama/?parid=554-132-07&amp;CardNumber=1","554-132-07")</f>
        <v>554-132-07</v>
      </c>
      <c r="B8224" t="s">
        <v>4655</v>
      </c>
      <c r="C8224" t="s">
        <v>37854</v>
      </c>
      <c r="D8224" s="1">
        <v>40232</v>
      </c>
      <c r="E8224" s="2">
        <v>120000</v>
      </c>
      <c r="F8224" t="s">
        <v>4553</v>
      </c>
      <c r="G8224" s="17" t="str">
        <f>HYPERLINK("https://www.washoecounty.gov/assessor/cama/?command=sales&amp;parid=55413207","3851984")</f>
        <v>3851984</v>
      </c>
      <c r="H8224" t="s">
        <v>37835</v>
      </c>
      <c r="I8224">
        <v>2002</v>
      </c>
      <c r="J8224">
        <v>2002</v>
      </c>
      <c r="K8224" t="s">
        <v>4554</v>
      </c>
      <c r="L8224" t="s">
        <v>4555</v>
      </c>
      <c r="M8224" s="2">
        <v>1261</v>
      </c>
      <c r="N8224" t="s">
        <v>4048</v>
      </c>
      <c r="O8224">
        <v>3</v>
      </c>
      <c r="P8224">
        <v>2</v>
      </c>
      <c r="Q8224">
        <v>0</v>
      </c>
      <c r="R8224" t="s">
        <v>4557</v>
      </c>
      <c r="S8224" t="s">
        <v>4558</v>
      </c>
      <c r="T8224" t="s">
        <v>4559</v>
      </c>
      <c r="U8224" t="s">
        <v>4560</v>
      </c>
      <c r="V8224" s="2">
        <v>380</v>
      </c>
      <c r="W8224" t="s">
        <v>4655</v>
      </c>
      <c r="X8224" s="2">
        <v>0</v>
      </c>
      <c r="Y8224">
        <v>20</v>
      </c>
      <c r="Z8224" t="s">
        <v>4351</v>
      </c>
      <c r="AA8224" s="3">
        <v>9.6349865198135404E-2</v>
      </c>
      <c r="AB8224" t="s">
        <v>37855</v>
      </c>
      <c r="AC8224" t="s">
        <v>4562</v>
      </c>
      <c r="AD8224" t="s">
        <v>37854</v>
      </c>
      <c r="AE8224" t="s">
        <v>4655</v>
      </c>
      <c r="AF8224" t="s">
        <v>4563</v>
      </c>
      <c r="AG8224" t="s">
        <v>4564</v>
      </c>
      <c r="AH8224">
        <v>89506</v>
      </c>
      <c r="AI8224" t="s">
        <v>4655</v>
      </c>
      <c r="AJ8224" t="s">
        <v>37836</v>
      </c>
      <c r="AK8224" t="s">
        <v>37856</v>
      </c>
      <c r="AL8224" s="13" t="s">
        <v>1901</v>
      </c>
      <c r="AM8224">
        <v>1</v>
      </c>
      <c r="AN8224" s="15" t="s">
        <v>1448</v>
      </c>
    </row>
    <row r="8225" spans="1:40" x14ac:dyDescent="0.3">
      <c r="A8225" s="10" t="str">
        <f>HYPERLINK("http://www.washoecounty.gov/assessor/cama/?parid=554-132-11&amp;CardNumber=1","554-132-11")</f>
        <v>554-132-11</v>
      </c>
      <c r="B8225" t="s">
        <v>4655</v>
      </c>
      <c r="C8225" t="s">
        <v>37857</v>
      </c>
      <c r="D8225" s="1">
        <v>40261</v>
      </c>
      <c r="E8225" s="2">
        <v>120000</v>
      </c>
      <c r="F8225" t="s">
        <v>4567</v>
      </c>
      <c r="G8225" s="17" t="str">
        <f>HYPERLINK("https://www.washoecounty.gov/assessor/cama/?command=sales&amp;parid=55413211","3863507")</f>
        <v>3863507</v>
      </c>
      <c r="H8225" t="s">
        <v>37835</v>
      </c>
      <c r="I8225">
        <v>2002</v>
      </c>
      <c r="J8225">
        <v>2002</v>
      </c>
      <c r="K8225" t="s">
        <v>4554</v>
      </c>
      <c r="L8225" t="s">
        <v>4555</v>
      </c>
      <c r="M8225" s="2">
        <v>1390</v>
      </c>
      <c r="N8225" t="s">
        <v>4048</v>
      </c>
      <c r="O8225">
        <v>3</v>
      </c>
      <c r="P8225">
        <v>2</v>
      </c>
      <c r="Q8225">
        <v>0</v>
      </c>
      <c r="R8225" t="s">
        <v>4557</v>
      </c>
      <c r="S8225" t="s">
        <v>4558</v>
      </c>
      <c r="T8225" t="s">
        <v>4559</v>
      </c>
      <c r="U8225" t="s">
        <v>4560</v>
      </c>
      <c r="V8225" s="2">
        <v>399</v>
      </c>
      <c r="W8225" t="s">
        <v>4655</v>
      </c>
      <c r="X8225" s="2">
        <v>0</v>
      </c>
      <c r="Y8225">
        <v>20</v>
      </c>
      <c r="Z8225" t="s">
        <v>4351</v>
      </c>
      <c r="AA8225" s="3">
        <v>9.5041319727897602E-2</v>
      </c>
      <c r="AB8225" t="s">
        <v>37858</v>
      </c>
      <c r="AC8225" t="s">
        <v>4562</v>
      </c>
      <c r="AD8225" t="s">
        <v>37857</v>
      </c>
      <c r="AE8225" t="s">
        <v>4655</v>
      </c>
      <c r="AF8225" t="s">
        <v>4563</v>
      </c>
      <c r="AG8225" t="s">
        <v>4564</v>
      </c>
      <c r="AH8225">
        <v>89506</v>
      </c>
      <c r="AI8225" t="s">
        <v>37859</v>
      </c>
      <c r="AJ8225" t="s">
        <v>37836</v>
      </c>
      <c r="AK8225" t="s">
        <v>37860</v>
      </c>
      <c r="AL8225" s="13" t="s">
        <v>1901</v>
      </c>
      <c r="AM8225">
        <v>1</v>
      </c>
      <c r="AN8225" s="15" t="s">
        <v>1448</v>
      </c>
    </row>
    <row r="8226" spans="1:40" x14ac:dyDescent="0.3">
      <c r="A8226" s="10" t="str">
        <f>HYPERLINK("http://www.washoecounty.gov/assessor/cama/?parid=554-132-13&amp;CardNumber=1","554-132-13")</f>
        <v>554-132-13</v>
      </c>
      <c r="B8226" t="s">
        <v>4655</v>
      </c>
      <c r="C8226" t="s">
        <v>37861</v>
      </c>
      <c r="D8226" s="1">
        <v>40438</v>
      </c>
      <c r="E8226" s="2">
        <v>115000</v>
      </c>
      <c r="F8226" t="s">
        <v>4553</v>
      </c>
      <c r="G8226" s="17" t="str">
        <f>HYPERLINK("https://www.washoecounty.gov/assessor/cama/?command=sales&amp;parid=55413213","3923611")</f>
        <v>3923611</v>
      </c>
      <c r="H8226" t="s">
        <v>37835</v>
      </c>
      <c r="I8226">
        <v>2002</v>
      </c>
      <c r="J8226">
        <v>2002</v>
      </c>
      <c r="K8226" t="s">
        <v>4554</v>
      </c>
      <c r="L8226" t="s">
        <v>3974</v>
      </c>
      <c r="M8226" s="2">
        <v>1723</v>
      </c>
      <c r="N8226" t="s">
        <v>4048</v>
      </c>
      <c r="O8226">
        <v>3</v>
      </c>
      <c r="P8226">
        <v>2</v>
      </c>
      <c r="Q8226">
        <v>1</v>
      </c>
      <c r="R8226" t="s">
        <v>4557</v>
      </c>
      <c r="S8226" t="s">
        <v>4558</v>
      </c>
      <c r="T8226" t="s">
        <v>4559</v>
      </c>
      <c r="U8226" t="s">
        <v>5631</v>
      </c>
      <c r="V8226" s="2">
        <v>438</v>
      </c>
      <c r="W8226" t="s">
        <v>4655</v>
      </c>
      <c r="X8226" s="2">
        <v>0</v>
      </c>
      <c r="Y8226">
        <v>20</v>
      </c>
      <c r="Z8226" t="s">
        <v>4351</v>
      </c>
      <c r="AA8226" s="3">
        <v>9.5041319727897602E-2</v>
      </c>
      <c r="AB8226" t="s">
        <v>37862</v>
      </c>
      <c r="AC8226" t="s">
        <v>4562</v>
      </c>
      <c r="AD8226" t="s">
        <v>37861</v>
      </c>
      <c r="AE8226" t="s">
        <v>4655</v>
      </c>
      <c r="AF8226" t="s">
        <v>4563</v>
      </c>
      <c r="AG8226" t="s">
        <v>4564</v>
      </c>
      <c r="AH8226">
        <v>89506</v>
      </c>
      <c r="AI8226" t="s">
        <v>4848</v>
      </c>
      <c r="AJ8226" t="s">
        <v>37836</v>
      </c>
      <c r="AK8226" t="s">
        <v>37863</v>
      </c>
      <c r="AL8226" s="13" t="s">
        <v>1901</v>
      </c>
      <c r="AM8226">
        <v>1</v>
      </c>
      <c r="AN8226" s="15" t="s">
        <v>1448</v>
      </c>
    </row>
    <row r="8227" spans="1:40" x14ac:dyDescent="0.3">
      <c r="A8227" s="10" t="str">
        <f>HYPERLINK("http://www.washoecounty.gov/assessor/cama/?parid=554-132-19&amp;CardNumber=1","554-132-19")</f>
        <v>554-132-19</v>
      </c>
      <c r="B8227" t="s">
        <v>4655</v>
      </c>
      <c r="C8227" t="s">
        <v>37864</v>
      </c>
      <c r="D8227" s="1">
        <v>40352</v>
      </c>
      <c r="E8227" s="2">
        <v>124000</v>
      </c>
      <c r="F8227" t="s">
        <v>4567</v>
      </c>
      <c r="G8227" s="17" t="str">
        <f>HYPERLINK("https://www.washoecounty.gov/assessor/cama/?command=sales&amp;parid=55413219","3894816")</f>
        <v>3894816</v>
      </c>
      <c r="H8227" t="s">
        <v>37835</v>
      </c>
      <c r="I8227">
        <v>2002</v>
      </c>
      <c r="J8227">
        <v>2002</v>
      </c>
      <c r="K8227" t="s">
        <v>4554</v>
      </c>
      <c r="L8227" t="s">
        <v>3974</v>
      </c>
      <c r="M8227" s="2">
        <v>1580</v>
      </c>
      <c r="N8227" t="s">
        <v>4048</v>
      </c>
      <c r="O8227">
        <v>3</v>
      </c>
      <c r="P8227">
        <v>2</v>
      </c>
      <c r="Q8227">
        <v>1</v>
      </c>
      <c r="R8227" t="s">
        <v>4557</v>
      </c>
      <c r="S8227" t="s">
        <v>4558</v>
      </c>
      <c r="T8227" t="s">
        <v>4559</v>
      </c>
      <c r="U8227" t="s">
        <v>4560</v>
      </c>
      <c r="V8227" s="2">
        <v>462</v>
      </c>
      <c r="W8227" t="s">
        <v>4655</v>
      </c>
      <c r="X8227" s="2">
        <v>0</v>
      </c>
      <c r="Y8227">
        <v>20</v>
      </c>
      <c r="Z8227" t="s">
        <v>4351</v>
      </c>
      <c r="AA8227" s="3">
        <v>0.12332414835691501</v>
      </c>
      <c r="AB8227" t="s">
        <v>37865</v>
      </c>
      <c r="AC8227" t="s">
        <v>4575</v>
      </c>
      <c r="AD8227" t="s">
        <v>37866</v>
      </c>
      <c r="AE8227" t="s">
        <v>4655</v>
      </c>
      <c r="AF8227" t="s">
        <v>4563</v>
      </c>
      <c r="AG8227" t="s">
        <v>4564</v>
      </c>
      <c r="AH8227">
        <v>89506</v>
      </c>
      <c r="AI8227" t="s">
        <v>37867</v>
      </c>
      <c r="AJ8227" t="s">
        <v>37836</v>
      </c>
      <c r="AK8227" t="s">
        <v>37868</v>
      </c>
      <c r="AL8227" s="13" t="s">
        <v>1901</v>
      </c>
      <c r="AM8227" s="14">
        <v>1</v>
      </c>
      <c r="AN8227" s="15" t="s">
        <v>1448</v>
      </c>
    </row>
    <row r="8228" spans="1:40" x14ac:dyDescent="0.3">
      <c r="A8228" s="10" t="str">
        <f>HYPERLINK("http://www.washoecounty.gov/assessor/cama/?parid=554-132-20&amp;CardNumber=1","554-132-20")</f>
        <v>554-132-20</v>
      </c>
      <c r="B8228" t="s">
        <v>4655</v>
      </c>
      <c r="C8228" t="s">
        <v>37869</v>
      </c>
      <c r="D8228" s="1">
        <v>40431</v>
      </c>
      <c r="E8228" s="2">
        <v>80000</v>
      </c>
      <c r="F8228" t="s">
        <v>4553</v>
      </c>
      <c r="G8228" s="17" t="str">
        <f>HYPERLINK("https://www.washoecounty.gov/assessor/cama/?command=sales&amp;parid=55413220","3921053")</f>
        <v>3921053</v>
      </c>
      <c r="H8228" t="s">
        <v>37835</v>
      </c>
      <c r="I8228">
        <v>2002</v>
      </c>
      <c r="J8228">
        <v>2002</v>
      </c>
      <c r="K8228" t="s">
        <v>4554</v>
      </c>
      <c r="L8228" t="s">
        <v>3974</v>
      </c>
      <c r="M8228" s="2">
        <v>1723</v>
      </c>
      <c r="N8228" t="s">
        <v>4048</v>
      </c>
      <c r="O8228">
        <v>3</v>
      </c>
      <c r="P8228">
        <v>2</v>
      </c>
      <c r="Q8228">
        <v>1</v>
      </c>
      <c r="R8228" t="s">
        <v>5281</v>
      </c>
      <c r="S8228" t="s">
        <v>4558</v>
      </c>
      <c r="T8228" t="s">
        <v>4559</v>
      </c>
      <c r="U8228" t="s">
        <v>5631</v>
      </c>
      <c r="V8228" s="2">
        <v>438</v>
      </c>
      <c r="W8228" t="s">
        <v>4655</v>
      </c>
      <c r="X8228" s="2">
        <v>0</v>
      </c>
      <c r="Y8228">
        <v>20</v>
      </c>
      <c r="Z8228" t="s">
        <v>4351</v>
      </c>
      <c r="AA8228" s="3">
        <v>0.10254821181297299</v>
      </c>
      <c r="AB8228" t="s">
        <v>4031</v>
      </c>
      <c r="AC8228" t="s">
        <v>4562</v>
      </c>
      <c r="AD8228" t="s">
        <v>37870</v>
      </c>
      <c r="AE8228" t="s">
        <v>4655</v>
      </c>
      <c r="AF8228" t="s">
        <v>4563</v>
      </c>
      <c r="AG8228" t="s">
        <v>4564</v>
      </c>
      <c r="AH8228" t="s">
        <v>5197</v>
      </c>
      <c r="AI8228" t="s">
        <v>4565</v>
      </c>
      <c r="AJ8228" t="s">
        <v>37836</v>
      </c>
      <c r="AK8228" t="s">
        <v>37871</v>
      </c>
      <c r="AL8228" s="13" t="s">
        <v>1901</v>
      </c>
      <c r="AM8228" s="14">
        <v>1</v>
      </c>
      <c r="AN8228" s="15" t="s">
        <v>1448</v>
      </c>
    </row>
    <row r="8229" spans="1:40" x14ac:dyDescent="0.3">
      <c r="A8229" s="10" t="str">
        <f>HYPERLINK("http://www.washoecounty.gov/assessor/cama/?parid=554-132-41&amp;CardNumber=1","554-132-41")</f>
        <v>554-132-41</v>
      </c>
      <c r="B8229" t="s">
        <v>4655</v>
      </c>
      <c r="C8229" t="s">
        <v>37872</v>
      </c>
      <c r="D8229" s="1">
        <v>40260</v>
      </c>
      <c r="E8229" s="2">
        <v>118000</v>
      </c>
      <c r="F8229" t="s">
        <v>4553</v>
      </c>
      <c r="G8229" s="17" t="str">
        <f>HYPERLINK("https://www.washoecounty.gov/assessor/cama/?command=sales&amp;parid=55413241","3862929")</f>
        <v>3862929</v>
      </c>
      <c r="H8229" t="s">
        <v>37835</v>
      </c>
      <c r="I8229">
        <v>2002</v>
      </c>
      <c r="J8229">
        <v>2002</v>
      </c>
      <c r="K8229" t="s">
        <v>4554</v>
      </c>
      <c r="L8229" t="s">
        <v>3974</v>
      </c>
      <c r="M8229" s="2">
        <v>1723</v>
      </c>
      <c r="N8229" t="s">
        <v>4048</v>
      </c>
      <c r="O8229">
        <v>3</v>
      </c>
      <c r="P8229">
        <v>2</v>
      </c>
      <c r="Q8229">
        <v>1</v>
      </c>
      <c r="R8229" t="s">
        <v>4557</v>
      </c>
      <c r="S8229" t="s">
        <v>4558</v>
      </c>
      <c r="T8229" t="s">
        <v>4559</v>
      </c>
      <c r="U8229" t="s">
        <v>5631</v>
      </c>
      <c r="V8229" s="2">
        <v>438</v>
      </c>
      <c r="W8229" t="s">
        <v>4655</v>
      </c>
      <c r="X8229" s="2">
        <v>0</v>
      </c>
      <c r="Y8229">
        <v>20</v>
      </c>
      <c r="Z8229" t="s">
        <v>4351</v>
      </c>
      <c r="AA8229" s="3">
        <v>9.9242426455020905E-2</v>
      </c>
      <c r="AB8229" t="s">
        <v>37873</v>
      </c>
      <c r="AC8229" t="s">
        <v>4562</v>
      </c>
      <c r="AD8229" t="s">
        <v>37874</v>
      </c>
      <c r="AE8229" t="s">
        <v>4655</v>
      </c>
      <c r="AF8229" t="s">
        <v>4563</v>
      </c>
      <c r="AG8229" t="s">
        <v>4564</v>
      </c>
      <c r="AH8229">
        <v>89506</v>
      </c>
      <c r="AI8229" t="s">
        <v>4848</v>
      </c>
      <c r="AJ8229" t="s">
        <v>37836</v>
      </c>
      <c r="AK8229" t="s">
        <v>37875</v>
      </c>
      <c r="AL8229" s="13" t="s">
        <v>1901</v>
      </c>
      <c r="AM8229" s="14">
        <v>1</v>
      </c>
      <c r="AN8229" s="15" t="s">
        <v>1448</v>
      </c>
    </row>
    <row r="8230" spans="1:40" x14ac:dyDescent="0.3">
      <c r="A8230" s="10" t="str">
        <f>HYPERLINK("http://www.washoecounty.gov/assessor/cama/?parid=554-151-04&amp;CardNumber=1","554-151-04")</f>
        <v>554-151-04</v>
      </c>
      <c r="B8230" t="s">
        <v>4655</v>
      </c>
      <c r="C8230" t="s">
        <v>37876</v>
      </c>
      <c r="D8230" s="1">
        <v>40534</v>
      </c>
      <c r="E8230" s="2">
        <v>100000</v>
      </c>
      <c r="F8230" t="s">
        <v>4553</v>
      </c>
      <c r="G8230" s="17" t="str">
        <f>HYPERLINK("https://www.washoecounty.gov/assessor/cama/?command=sales&amp;parid=55415104","3956204")</f>
        <v>3956204</v>
      </c>
      <c r="H8230" t="s">
        <v>1494</v>
      </c>
      <c r="I8230">
        <v>2002</v>
      </c>
      <c r="J8230">
        <v>2002</v>
      </c>
      <c r="K8230" t="s">
        <v>4554</v>
      </c>
      <c r="L8230" t="s">
        <v>4555</v>
      </c>
      <c r="M8230" s="2">
        <v>1261</v>
      </c>
      <c r="N8230" t="s">
        <v>4048</v>
      </c>
      <c r="O8230">
        <v>3</v>
      </c>
      <c r="P8230">
        <v>2</v>
      </c>
      <c r="Q8230">
        <v>0</v>
      </c>
      <c r="R8230" t="s">
        <v>5281</v>
      </c>
      <c r="S8230" t="s">
        <v>4558</v>
      </c>
      <c r="T8230" t="s">
        <v>4559</v>
      </c>
      <c r="U8230" t="s">
        <v>4560</v>
      </c>
      <c r="V8230" s="2">
        <v>380</v>
      </c>
      <c r="W8230" t="s">
        <v>4655</v>
      </c>
      <c r="X8230" s="2">
        <v>0</v>
      </c>
      <c r="Y8230">
        <v>20</v>
      </c>
      <c r="Z8230" t="s">
        <v>4351</v>
      </c>
      <c r="AA8230" s="3">
        <v>0.120362721383572</v>
      </c>
      <c r="AB8230" t="s">
        <v>37877</v>
      </c>
      <c r="AC8230" t="s">
        <v>4562</v>
      </c>
      <c r="AD8230" t="s">
        <v>37878</v>
      </c>
      <c r="AE8230" t="s">
        <v>4655</v>
      </c>
      <c r="AF8230" t="s">
        <v>4563</v>
      </c>
      <c r="AG8230" t="s">
        <v>4564</v>
      </c>
      <c r="AH8230">
        <v>89506</v>
      </c>
      <c r="AI8230" t="s">
        <v>4565</v>
      </c>
      <c r="AJ8230" t="s">
        <v>1495</v>
      </c>
      <c r="AK8230" t="s">
        <v>37879</v>
      </c>
      <c r="AL8230" s="13" t="s">
        <v>1901</v>
      </c>
      <c r="AM8230">
        <v>1</v>
      </c>
      <c r="AN8230" s="15" t="s">
        <v>1448</v>
      </c>
    </row>
    <row r="8231" spans="1:40" x14ac:dyDescent="0.3">
      <c r="A8231" s="10" t="str">
        <f>HYPERLINK("http://www.washoecounty.gov/assessor/cama/?parid=554-153-05&amp;CardNumber=1","554-153-05")</f>
        <v>554-153-05</v>
      </c>
      <c r="B8231" t="s">
        <v>4655</v>
      </c>
      <c r="C8231" t="s">
        <v>37880</v>
      </c>
      <c r="D8231" s="1">
        <v>40450</v>
      </c>
      <c r="E8231" s="2">
        <v>140000</v>
      </c>
      <c r="F8231" t="s">
        <v>4553</v>
      </c>
      <c r="G8231" s="17" t="str">
        <f>HYPERLINK("https://www.washoecounty.gov/assessor/cama/?command=sales&amp;parid=55415305","3927556")</f>
        <v>3927556</v>
      </c>
      <c r="H8231" t="s">
        <v>1494</v>
      </c>
      <c r="I8231">
        <v>2003</v>
      </c>
      <c r="J8231">
        <v>2003</v>
      </c>
      <c r="K8231" t="s">
        <v>4554</v>
      </c>
      <c r="L8231" t="s">
        <v>3974</v>
      </c>
      <c r="M8231" s="2">
        <v>1723</v>
      </c>
      <c r="N8231" t="s">
        <v>4048</v>
      </c>
      <c r="O8231">
        <v>3</v>
      </c>
      <c r="P8231">
        <v>2</v>
      </c>
      <c r="Q8231">
        <v>1</v>
      </c>
      <c r="R8231" t="s">
        <v>5281</v>
      </c>
      <c r="S8231" t="s">
        <v>4558</v>
      </c>
      <c r="T8231" t="s">
        <v>4559</v>
      </c>
      <c r="U8231" t="s">
        <v>5631</v>
      </c>
      <c r="V8231" s="2">
        <v>438</v>
      </c>
      <c r="W8231" t="s">
        <v>4655</v>
      </c>
      <c r="X8231" s="2">
        <v>0</v>
      </c>
      <c r="Y8231">
        <v>20</v>
      </c>
      <c r="Z8231" t="s">
        <v>4351</v>
      </c>
      <c r="AA8231" s="3">
        <v>0.11136363446712499</v>
      </c>
      <c r="AB8231" t="s">
        <v>37881</v>
      </c>
      <c r="AC8231" t="s">
        <v>4575</v>
      </c>
      <c r="AD8231" t="s">
        <v>37880</v>
      </c>
      <c r="AE8231" t="s">
        <v>4655</v>
      </c>
      <c r="AF8231" t="s">
        <v>4563</v>
      </c>
      <c r="AG8231" t="s">
        <v>4564</v>
      </c>
      <c r="AH8231">
        <v>89506</v>
      </c>
      <c r="AI8231" t="s">
        <v>4565</v>
      </c>
      <c r="AJ8231" t="s">
        <v>1495</v>
      </c>
      <c r="AK8231" t="s">
        <v>37882</v>
      </c>
      <c r="AL8231" s="13" t="s">
        <v>1901</v>
      </c>
      <c r="AM8231">
        <v>1</v>
      </c>
      <c r="AN8231" s="15" t="s">
        <v>1448</v>
      </c>
    </row>
    <row r="8232" spans="1:40" x14ac:dyDescent="0.3">
      <c r="A8232" s="10" t="str">
        <f>HYPERLINK("http://www.washoecounty.gov/assessor/cama/?parid=554-161-08&amp;CardNumber=1","554-161-08")</f>
        <v>554-161-08</v>
      </c>
      <c r="B8232" t="s">
        <v>4655</v>
      </c>
      <c r="C8232" t="s">
        <v>37883</v>
      </c>
      <c r="D8232" s="1">
        <v>40452</v>
      </c>
      <c r="E8232" s="2">
        <v>107500</v>
      </c>
      <c r="F8232" t="s">
        <v>4567</v>
      </c>
      <c r="G8232" s="17" t="str">
        <f>HYPERLINK("https://www.washoecounty.gov/assessor/cama/?command=sales&amp;parid=55416108","3928946")</f>
        <v>3928946</v>
      </c>
      <c r="H8232" t="s">
        <v>4332</v>
      </c>
      <c r="I8232">
        <v>2003</v>
      </c>
      <c r="J8232">
        <v>2003</v>
      </c>
      <c r="K8232" t="s">
        <v>4554</v>
      </c>
      <c r="L8232" t="s">
        <v>4555</v>
      </c>
      <c r="M8232" s="2">
        <v>1389</v>
      </c>
      <c r="N8232" t="s">
        <v>4048</v>
      </c>
      <c r="O8232">
        <v>3</v>
      </c>
      <c r="P8232">
        <v>2</v>
      </c>
      <c r="Q8232">
        <v>0</v>
      </c>
      <c r="R8232" t="s">
        <v>5281</v>
      </c>
      <c r="S8232" t="s">
        <v>4558</v>
      </c>
      <c r="T8232" t="s">
        <v>4559</v>
      </c>
      <c r="U8232" t="s">
        <v>4560</v>
      </c>
      <c r="V8232" s="2">
        <v>380</v>
      </c>
      <c r="W8232" t="s">
        <v>4655</v>
      </c>
      <c r="X8232" s="2">
        <v>0</v>
      </c>
      <c r="Y8232">
        <v>20</v>
      </c>
      <c r="Z8232" t="s">
        <v>1604</v>
      </c>
      <c r="AA8232" s="3">
        <v>0.13436639308929399</v>
      </c>
      <c r="AB8232" t="s">
        <v>37884</v>
      </c>
      <c r="AC8232" t="s">
        <v>4575</v>
      </c>
      <c r="AD8232" t="s">
        <v>37883</v>
      </c>
      <c r="AE8232" t="s">
        <v>4655</v>
      </c>
      <c r="AF8232" t="s">
        <v>4563</v>
      </c>
      <c r="AG8232" t="s">
        <v>4564</v>
      </c>
      <c r="AH8232">
        <v>89506</v>
      </c>
      <c r="AI8232" t="s">
        <v>37885</v>
      </c>
      <c r="AJ8232" t="s">
        <v>4333</v>
      </c>
      <c r="AK8232" t="s">
        <v>37886</v>
      </c>
      <c r="AL8232" s="13" t="s">
        <v>1901</v>
      </c>
      <c r="AM8232">
        <v>1</v>
      </c>
      <c r="AN8232" s="15" t="s">
        <v>1448</v>
      </c>
    </row>
    <row r="8233" spans="1:40" x14ac:dyDescent="0.3">
      <c r="A8233" s="10" t="str">
        <f>HYPERLINK("http://www.washoecounty.gov/assessor/cama/?parid=554-162-11&amp;CardNumber=1","554-162-11")</f>
        <v>554-162-11</v>
      </c>
      <c r="B8233" t="s">
        <v>4655</v>
      </c>
      <c r="C8233" t="s">
        <v>807</v>
      </c>
      <c r="D8233" s="1">
        <v>40479</v>
      </c>
      <c r="E8233" s="2">
        <v>83000</v>
      </c>
      <c r="F8233" t="s">
        <v>4567</v>
      </c>
      <c r="G8233" s="17" t="str">
        <f>HYPERLINK("https://www.washoecounty.gov/assessor/cama/?command=sales&amp;parid=55416211","3937748")</f>
        <v>3937748</v>
      </c>
      <c r="H8233" t="s">
        <v>4332</v>
      </c>
      <c r="I8233">
        <v>2003</v>
      </c>
      <c r="J8233">
        <v>2003</v>
      </c>
      <c r="K8233" t="s">
        <v>4554</v>
      </c>
      <c r="L8233" t="s">
        <v>3974</v>
      </c>
      <c r="M8233" s="2">
        <v>1580</v>
      </c>
      <c r="N8233" t="s">
        <v>4048</v>
      </c>
      <c r="O8233">
        <v>3</v>
      </c>
      <c r="P8233">
        <v>2</v>
      </c>
      <c r="Q8233">
        <v>1</v>
      </c>
      <c r="R8233" t="s">
        <v>5281</v>
      </c>
      <c r="S8233" t="s">
        <v>4558</v>
      </c>
      <c r="T8233" t="s">
        <v>4559</v>
      </c>
      <c r="U8233" t="s">
        <v>4560</v>
      </c>
      <c r="V8233" s="2">
        <v>462</v>
      </c>
      <c r="W8233" t="s">
        <v>4655</v>
      </c>
      <c r="X8233" s="2">
        <v>0</v>
      </c>
      <c r="Y8233">
        <v>20</v>
      </c>
      <c r="Z8233" t="s">
        <v>1604</v>
      </c>
      <c r="AA8233" s="3">
        <v>0.100206613540649</v>
      </c>
      <c r="AB8233" t="s">
        <v>808</v>
      </c>
      <c r="AC8233" t="s">
        <v>4562</v>
      </c>
      <c r="AD8233" t="s">
        <v>809</v>
      </c>
      <c r="AE8233" t="s">
        <v>4655</v>
      </c>
      <c r="AF8233" t="s">
        <v>4563</v>
      </c>
      <c r="AG8233" t="s">
        <v>4564</v>
      </c>
      <c r="AH8233">
        <v>89506</v>
      </c>
      <c r="AI8233" t="s">
        <v>4655</v>
      </c>
      <c r="AJ8233" t="s">
        <v>4333</v>
      </c>
      <c r="AK8233" t="s">
        <v>810</v>
      </c>
      <c r="AL8233" s="13" t="s">
        <v>1901</v>
      </c>
      <c r="AM8233" s="14">
        <v>1</v>
      </c>
      <c r="AN8233" s="15" t="s">
        <v>1448</v>
      </c>
    </row>
    <row r="8234" spans="1:40" x14ac:dyDescent="0.3">
      <c r="A8234" s="10" t="str">
        <f>HYPERLINK("http://www.washoecounty.gov/assessor/cama/?parid=554-162-15&amp;CardNumber=1","554-162-15")</f>
        <v>554-162-15</v>
      </c>
      <c r="B8234" t="s">
        <v>4655</v>
      </c>
      <c r="C8234" t="s">
        <v>37887</v>
      </c>
      <c r="D8234" s="1">
        <v>40512</v>
      </c>
      <c r="E8234" s="2">
        <v>70875</v>
      </c>
      <c r="F8234" t="s">
        <v>4553</v>
      </c>
      <c r="G8234" s="17" t="str">
        <f>HYPERLINK("https://www.washoecounty.gov/assessor/cama/?command=sales&amp;parid=55416215","3947884")</f>
        <v>3947884</v>
      </c>
      <c r="H8234" t="s">
        <v>4332</v>
      </c>
      <c r="I8234">
        <v>2003</v>
      </c>
      <c r="J8234">
        <v>2003</v>
      </c>
      <c r="K8234" t="s">
        <v>4554</v>
      </c>
      <c r="L8234" t="s">
        <v>4555</v>
      </c>
      <c r="M8234" s="2">
        <v>1389</v>
      </c>
      <c r="N8234" t="s">
        <v>4048</v>
      </c>
      <c r="O8234">
        <v>3</v>
      </c>
      <c r="P8234">
        <v>2</v>
      </c>
      <c r="Q8234">
        <v>0</v>
      </c>
      <c r="R8234" t="s">
        <v>5281</v>
      </c>
      <c r="S8234" t="s">
        <v>4558</v>
      </c>
      <c r="T8234" t="s">
        <v>4559</v>
      </c>
      <c r="U8234" t="s">
        <v>4560</v>
      </c>
      <c r="V8234" s="2">
        <v>380</v>
      </c>
      <c r="W8234" t="s">
        <v>4655</v>
      </c>
      <c r="X8234" s="2">
        <v>0</v>
      </c>
      <c r="Y8234">
        <v>20</v>
      </c>
      <c r="Z8234" t="s">
        <v>1604</v>
      </c>
      <c r="AA8234" s="3">
        <v>0.119123049080372</v>
      </c>
      <c r="AB8234" t="s">
        <v>409</v>
      </c>
      <c r="AC8234" t="s">
        <v>4562</v>
      </c>
      <c r="AD8234" t="s">
        <v>410</v>
      </c>
      <c r="AE8234" t="s">
        <v>4655</v>
      </c>
      <c r="AF8234" t="s">
        <v>4563</v>
      </c>
      <c r="AG8234" t="s">
        <v>4564</v>
      </c>
      <c r="AH8234" t="s">
        <v>5197</v>
      </c>
      <c r="AI8234" t="s">
        <v>5382</v>
      </c>
      <c r="AJ8234" t="s">
        <v>4333</v>
      </c>
      <c r="AK8234" t="s">
        <v>37888</v>
      </c>
      <c r="AL8234" s="13" t="s">
        <v>1901</v>
      </c>
      <c r="AM8234" s="14">
        <v>1</v>
      </c>
      <c r="AN8234" s="15" t="s">
        <v>1448</v>
      </c>
    </row>
    <row r="8235" spans="1:40" x14ac:dyDescent="0.3">
      <c r="A8235" s="10" t="str">
        <f>HYPERLINK("http://www.washoecounty.gov/assessor/cama/?parid=554-163-02&amp;CardNumber=1","554-163-02")</f>
        <v>554-163-02</v>
      </c>
      <c r="B8235" t="s">
        <v>4655</v>
      </c>
      <c r="C8235" t="s">
        <v>37889</v>
      </c>
      <c r="D8235" s="1">
        <v>40477</v>
      </c>
      <c r="E8235" s="2">
        <v>104000</v>
      </c>
      <c r="F8235" t="s">
        <v>4567</v>
      </c>
      <c r="G8235" s="17" t="str">
        <f>HYPERLINK("https://www.washoecounty.gov/assessor/cama/?command=sales&amp;parid=55416302","3936358")</f>
        <v>3936358</v>
      </c>
      <c r="H8235" t="s">
        <v>4332</v>
      </c>
      <c r="I8235">
        <v>2003</v>
      </c>
      <c r="J8235">
        <v>2003</v>
      </c>
      <c r="K8235" t="s">
        <v>4554</v>
      </c>
      <c r="L8235" t="s">
        <v>3974</v>
      </c>
      <c r="M8235" s="2">
        <v>1580</v>
      </c>
      <c r="N8235" t="s">
        <v>4048</v>
      </c>
      <c r="O8235">
        <v>3</v>
      </c>
      <c r="P8235">
        <v>2</v>
      </c>
      <c r="Q8235">
        <v>1</v>
      </c>
      <c r="R8235" t="s">
        <v>5281</v>
      </c>
      <c r="S8235" t="s">
        <v>4558</v>
      </c>
      <c r="T8235" t="s">
        <v>4559</v>
      </c>
      <c r="U8235" t="s">
        <v>4560</v>
      </c>
      <c r="V8235" s="2">
        <v>462</v>
      </c>
      <c r="W8235" t="s">
        <v>4655</v>
      </c>
      <c r="X8235" s="2">
        <v>0</v>
      </c>
      <c r="Y8235">
        <v>20</v>
      </c>
      <c r="Z8235" t="s">
        <v>1604</v>
      </c>
      <c r="AA8235" s="3">
        <v>0.12626262009143799</v>
      </c>
      <c r="AB8235" t="s">
        <v>37890</v>
      </c>
      <c r="AC8235" t="s">
        <v>4562</v>
      </c>
      <c r="AD8235" t="s">
        <v>37891</v>
      </c>
      <c r="AE8235" t="s">
        <v>4655</v>
      </c>
      <c r="AF8235" t="s">
        <v>4710</v>
      </c>
      <c r="AG8235" t="s">
        <v>4584</v>
      </c>
      <c r="AH8235">
        <v>96122</v>
      </c>
      <c r="AI8235" t="s">
        <v>37892</v>
      </c>
      <c r="AJ8235" t="s">
        <v>4333</v>
      </c>
      <c r="AK8235" t="s">
        <v>37893</v>
      </c>
      <c r="AL8235" s="13" t="s">
        <v>1901</v>
      </c>
      <c r="AM8235">
        <v>1</v>
      </c>
      <c r="AN8235" s="15" t="s">
        <v>1448</v>
      </c>
    </row>
    <row r="8236" spans="1:40" x14ac:dyDescent="0.3">
      <c r="A8236" s="10" t="str">
        <f>HYPERLINK("http://www.washoecounty.gov/assessor/cama/?parid=554-163-12&amp;CardNumber=1","554-163-12")</f>
        <v>554-163-12</v>
      </c>
      <c r="B8236" t="s">
        <v>4655</v>
      </c>
      <c r="C8236" t="s">
        <v>37894</v>
      </c>
      <c r="D8236" s="1">
        <v>40276</v>
      </c>
      <c r="E8236" s="2">
        <v>120000</v>
      </c>
      <c r="F8236" t="s">
        <v>4567</v>
      </c>
      <c r="G8236" s="17" t="str">
        <f>HYPERLINK("https://www.washoecounty.gov/assessor/cama/?command=sales&amp;parid=55416312","3868976")</f>
        <v>3868976</v>
      </c>
      <c r="H8236" t="s">
        <v>4332</v>
      </c>
      <c r="I8236">
        <v>2003</v>
      </c>
      <c r="J8236">
        <v>2003</v>
      </c>
      <c r="K8236" t="s">
        <v>4554</v>
      </c>
      <c r="L8236" t="s">
        <v>4555</v>
      </c>
      <c r="M8236" s="2">
        <v>1389</v>
      </c>
      <c r="N8236" t="s">
        <v>4048</v>
      </c>
      <c r="O8236">
        <v>3</v>
      </c>
      <c r="P8236">
        <v>2</v>
      </c>
      <c r="Q8236">
        <v>0</v>
      </c>
      <c r="R8236" t="s">
        <v>5281</v>
      </c>
      <c r="S8236" t="s">
        <v>4558</v>
      </c>
      <c r="T8236" t="s">
        <v>4559</v>
      </c>
      <c r="U8236" t="s">
        <v>4560</v>
      </c>
      <c r="V8236" s="2">
        <v>380</v>
      </c>
      <c r="W8236" t="s">
        <v>4655</v>
      </c>
      <c r="X8236" s="2">
        <v>0</v>
      </c>
      <c r="Y8236">
        <v>20</v>
      </c>
      <c r="Z8236" t="s">
        <v>1604</v>
      </c>
      <c r="AA8236" s="3">
        <v>0.106657482683659</v>
      </c>
      <c r="AB8236" t="s">
        <v>37895</v>
      </c>
      <c r="AC8236" t="s">
        <v>4562</v>
      </c>
      <c r="AD8236" t="s">
        <v>37894</v>
      </c>
      <c r="AE8236" t="s">
        <v>4655</v>
      </c>
      <c r="AF8236" t="s">
        <v>4563</v>
      </c>
      <c r="AG8236" t="s">
        <v>4564</v>
      </c>
      <c r="AH8236">
        <v>89506</v>
      </c>
      <c r="AI8236" t="s">
        <v>37896</v>
      </c>
      <c r="AJ8236" t="s">
        <v>4333</v>
      </c>
      <c r="AK8236" t="s">
        <v>37897</v>
      </c>
      <c r="AL8236" s="13" t="s">
        <v>1901</v>
      </c>
      <c r="AM8236" s="14">
        <v>1</v>
      </c>
      <c r="AN8236" s="15" t="s">
        <v>1448</v>
      </c>
    </row>
    <row r="8237" spans="1:40" x14ac:dyDescent="0.3">
      <c r="A8237" s="10" t="str">
        <f>HYPERLINK("http://www.washoecounty.gov/assessor/cama/?parid=554-163-13&amp;CardNumber=1","554-163-13")</f>
        <v>554-163-13</v>
      </c>
      <c r="B8237" t="s">
        <v>4655</v>
      </c>
      <c r="C8237" t="s">
        <v>37898</v>
      </c>
      <c r="D8237" s="1">
        <v>40498</v>
      </c>
      <c r="E8237" s="2">
        <v>118800</v>
      </c>
      <c r="F8237" t="s">
        <v>4567</v>
      </c>
      <c r="G8237" s="17" t="str">
        <f>HYPERLINK("https://www.washoecounty.gov/assessor/cama/?command=sales&amp;parid=55416313","3943568")</f>
        <v>3943568</v>
      </c>
      <c r="H8237" t="s">
        <v>4332</v>
      </c>
      <c r="I8237">
        <v>2003</v>
      </c>
      <c r="J8237">
        <v>2003</v>
      </c>
      <c r="K8237" t="s">
        <v>4554</v>
      </c>
      <c r="L8237" t="s">
        <v>3974</v>
      </c>
      <c r="M8237" s="2">
        <v>1723</v>
      </c>
      <c r="N8237" t="s">
        <v>4048</v>
      </c>
      <c r="O8237">
        <v>3</v>
      </c>
      <c r="P8237">
        <v>2</v>
      </c>
      <c r="Q8237">
        <v>1</v>
      </c>
      <c r="R8237" t="s">
        <v>4557</v>
      </c>
      <c r="S8237" t="s">
        <v>4558</v>
      </c>
      <c r="T8237" t="s">
        <v>4559</v>
      </c>
      <c r="U8237" t="s">
        <v>5631</v>
      </c>
      <c r="V8237" s="2">
        <v>438</v>
      </c>
      <c r="W8237" t="s">
        <v>4655</v>
      </c>
      <c r="X8237" s="2">
        <v>0</v>
      </c>
      <c r="Y8237">
        <v>20</v>
      </c>
      <c r="Z8237" t="s">
        <v>1604</v>
      </c>
      <c r="AA8237" s="3">
        <v>0.106657482683659</v>
      </c>
      <c r="AB8237" t="s">
        <v>837</v>
      </c>
      <c r="AC8237" t="s">
        <v>4562</v>
      </c>
      <c r="AD8237" t="s">
        <v>37899</v>
      </c>
      <c r="AE8237" t="s">
        <v>4655</v>
      </c>
      <c r="AF8237" t="s">
        <v>4563</v>
      </c>
      <c r="AG8237" t="s">
        <v>4564</v>
      </c>
      <c r="AH8237" t="s">
        <v>1147</v>
      </c>
      <c r="AI8237" t="s">
        <v>37900</v>
      </c>
      <c r="AJ8237" t="s">
        <v>4333</v>
      </c>
      <c r="AK8237" t="s">
        <v>37901</v>
      </c>
      <c r="AL8237" s="13" t="s">
        <v>1901</v>
      </c>
      <c r="AM8237">
        <v>1</v>
      </c>
      <c r="AN8237" s="15" t="s">
        <v>1448</v>
      </c>
    </row>
    <row r="8238" spans="1:40" x14ac:dyDescent="0.3">
      <c r="A8238" s="10" t="str">
        <f>HYPERLINK("http://www.washoecounty.gov/assessor/cama/?parid=554-163-19&amp;CardNumber=1","554-163-19")</f>
        <v>554-163-19</v>
      </c>
      <c r="B8238" t="s">
        <v>4655</v>
      </c>
      <c r="C8238" t="s">
        <v>37902</v>
      </c>
      <c r="D8238" s="1">
        <v>40421</v>
      </c>
      <c r="E8238" s="2">
        <v>120000</v>
      </c>
      <c r="F8238" t="s">
        <v>4553</v>
      </c>
      <c r="G8238" s="17" t="str">
        <f>HYPERLINK("https://www.washoecounty.gov/assessor/cama/?command=sales&amp;parid=55416319","3917576")</f>
        <v>3917576</v>
      </c>
      <c r="H8238" t="s">
        <v>4332</v>
      </c>
      <c r="I8238">
        <v>2003</v>
      </c>
      <c r="J8238">
        <v>2003</v>
      </c>
      <c r="K8238" t="s">
        <v>4554</v>
      </c>
      <c r="L8238" t="s">
        <v>4555</v>
      </c>
      <c r="M8238" s="2">
        <v>1390</v>
      </c>
      <c r="N8238" t="s">
        <v>4048</v>
      </c>
      <c r="O8238">
        <v>3</v>
      </c>
      <c r="P8238">
        <v>2</v>
      </c>
      <c r="Q8238">
        <v>0</v>
      </c>
      <c r="R8238" t="s">
        <v>5281</v>
      </c>
      <c r="S8238" t="s">
        <v>4558</v>
      </c>
      <c r="T8238" t="s">
        <v>4559</v>
      </c>
      <c r="U8238" t="s">
        <v>4560</v>
      </c>
      <c r="V8238" s="2">
        <v>399</v>
      </c>
      <c r="W8238" t="s">
        <v>4655</v>
      </c>
      <c r="X8238" s="2">
        <v>0</v>
      </c>
      <c r="Y8238">
        <v>20</v>
      </c>
      <c r="Z8238" t="s">
        <v>1604</v>
      </c>
      <c r="AA8238" s="3">
        <v>0.115840218961239</v>
      </c>
      <c r="AB8238" t="s">
        <v>37903</v>
      </c>
      <c r="AC8238" t="s">
        <v>4562</v>
      </c>
      <c r="AD8238" t="s">
        <v>37902</v>
      </c>
      <c r="AE8238" t="s">
        <v>4655</v>
      </c>
      <c r="AF8238" t="s">
        <v>4563</v>
      </c>
      <c r="AG8238" t="s">
        <v>4564</v>
      </c>
      <c r="AH8238">
        <v>89506</v>
      </c>
      <c r="AI8238" t="s">
        <v>4655</v>
      </c>
      <c r="AJ8238" t="s">
        <v>4333</v>
      </c>
      <c r="AK8238" t="s">
        <v>37904</v>
      </c>
      <c r="AL8238" s="13" t="s">
        <v>1901</v>
      </c>
      <c r="AM8238" s="14">
        <v>1</v>
      </c>
      <c r="AN8238" s="15" t="s">
        <v>1448</v>
      </c>
    </row>
    <row r="8239" spans="1:40" x14ac:dyDescent="0.3">
      <c r="A8239" s="10" t="str">
        <f>HYPERLINK("http://www.washoecounty.gov/assessor/cama/?parid=554-163-23&amp;CardNumber=1","554-163-23")</f>
        <v>554-163-23</v>
      </c>
      <c r="B8239" t="s">
        <v>4655</v>
      </c>
      <c r="C8239" t="s">
        <v>37905</v>
      </c>
      <c r="D8239" s="1">
        <v>40539</v>
      </c>
      <c r="E8239" s="2">
        <v>99000</v>
      </c>
      <c r="F8239" t="s">
        <v>4567</v>
      </c>
      <c r="G8239" s="17" t="str">
        <f>HYPERLINK("https://www.washoecounty.gov/assessor/cama/?command=sales&amp;parid=55416323","3957562")</f>
        <v>3957562</v>
      </c>
      <c r="H8239" t="s">
        <v>4332</v>
      </c>
      <c r="I8239">
        <v>2003</v>
      </c>
      <c r="J8239">
        <v>2003</v>
      </c>
      <c r="K8239" t="s">
        <v>4554</v>
      </c>
      <c r="L8239" t="s">
        <v>4555</v>
      </c>
      <c r="M8239" s="2">
        <v>1390</v>
      </c>
      <c r="N8239" t="s">
        <v>4048</v>
      </c>
      <c r="O8239">
        <v>3</v>
      </c>
      <c r="P8239">
        <v>2</v>
      </c>
      <c r="Q8239">
        <v>0</v>
      </c>
      <c r="R8239" t="s">
        <v>5281</v>
      </c>
      <c r="S8239" t="s">
        <v>4558</v>
      </c>
      <c r="T8239" t="s">
        <v>4559</v>
      </c>
      <c r="U8239" t="s">
        <v>4560</v>
      </c>
      <c r="V8239" s="2">
        <v>399</v>
      </c>
      <c r="W8239" t="s">
        <v>4655</v>
      </c>
      <c r="X8239" s="2">
        <v>0</v>
      </c>
      <c r="Y8239">
        <v>20</v>
      </c>
      <c r="Z8239" t="s">
        <v>1604</v>
      </c>
      <c r="AA8239" s="3">
        <v>0.15061983466148399</v>
      </c>
      <c r="AB8239" t="s">
        <v>37906</v>
      </c>
      <c r="AC8239" t="s">
        <v>4562</v>
      </c>
      <c r="AD8239" t="s">
        <v>37905</v>
      </c>
      <c r="AE8239" t="s">
        <v>4655</v>
      </c>
      <c r="AF8239" t="s">
        <v>4563</v>
      </c>
      <c r="AG8239" t="s">
        <v>4564</v>
      </c>
      <c r="AH8239">
        <v>89506</v>
      </c>
      <c r="AI8239" t="s">
        <v>37907</v>
      </c>
      <c r="AJ8239" t="s">
        <v>4333</v>
      </c>
      <c r="AK8239" t="s">
        <v>37908</v>
      </c>
      <c r="AL8239" s="13" t="s">
        <v>1901</v>
      </c>
      <c r="AM8239">
        <v>1</v>
      </c>
      <c r="AN8239" s="15" t="s">
        <v>1448</v>
      </c>
    </row>
    <row r="8240" spans="1:40" x14ac:dyDescent="0.3">
      <c r="A8240" s="10" t="str">
        <f>HYPERLINK("http://www.washoecounty.gov/assessor/cama/?parid=554-163-26&amp;CardNumber=1","554-163-26")</f>
        <v>554-163-26</v>
      </c>
      <c r="B8240" t="s">
        <v>4655</v>
      </c>
      <c r="C8240" t="s">
        <v>37909</v>
      </c>
      <c r="D8240" s="1">
        <v>40406</v>
      </c>
      <c r="E8240" s="2">
        <v>114500</v>
      </c>
      <c r="F8240" t="s">
        <v>4567</v>
      </c>
      <c r="G8240" s="17" t="str">
        <f>HYPERLINK("https://www.washoecounty.gov/assessor/cama/?command=sales&amp;parid=55416326","3912163")</f>
        <v>3912163</v>
      </c>
      <c r="H8240" t="s">
        <v>4332</v>
      </c>
      <c r="I8240">
        <v>2003</v>
      </c>
      <c r="J8240">
        <v>2003</v>
      </c>
      <c r="K8240" t="s">
        <v>4554</v>
      </c>
      <c r="L8240" t="s">
        <v>4555</v>
      </c>
      <c r="M8240" s="2">
        <v>1082</v>
      </c>
      <c r="N8240" t="s">
        <v>4048</v>
      </c>
      <c r="O8240">
        <v>2</v>
      </c>
      <c r="P8240">
        <v>2</v>
      </c>
      <c r="Q8240">
        <v>0</v>
      </c>
      <c r="R8240" t="s">
        <v>5281</v>
      </c>
      <c r="S8240" t="s">
        <v>4558</v>
      </c>
      <c r="T8240" t="s">
        <v>4559</v>
      </c>
      <c r="U8240" t="s">
        <v>4560</v>
      </c>
      <c r="V8240" s="2">
        <v>380</v>
      </c>
      <c r="W8240" t="s">
        <v>4655</v>
      </c>
      <c r="X8240" s="2">
        <v>0</v>
      </c>
      <c r="Y8240">
        <v>20</v>
      </c>
      <c r="Z8240" t="s">
        <v>1604</v>
      </c>
      <c r="AA8240" s="3">
        <v>0.12008723616600001</v>
      </c>
      <c r="AB8240" t="s">
        <v>37910</v>
      </c>
      <c r="AC8240" t="s">
        <v>4562</v>
      </c>
      <c r="AD8240" t="s">
        <v>37909</v>
      </c>
      <c r="AE8240" t="s">
        <v>4655</v>
      </c>
      <c r="AF8240" t="s">
        <v>4563</v>
      </c>
      <c r="AG8240" t="s">
        <v>4564</v>
      </c>
      <c r="AH8240">
        <v>89506</v>
      </c>
      <c r="AI8240" t="s">
        <v>37911</v>
      </c>
      <c r="AJ8240" t="s">
        <v>4333</v>
      </c>
      <c r="AK8240" t="s">
        <v>37912</v>
      </c>
      <c r="AL8240" s="13" t="s">
        <v>1901</v>
      </c>
      <c r="AM8240" s="14">
        <v>1</v>
      </c>
      <c r="AN8240" s="15" t="s">
        <v>1448</v>
      </c>
    </row>
    <row r="8241" spans="1:40" x14ac:dyDescent="0.3">
      <c r="A8241" s="10" t="str">
        <f>HYPERLINK("http://www.washoecounty.gov/assessor/cama/?parid=554-181-06&amp;CardNumber=1","554-181-06")</f>
        <v>554-181-06</v>
      </c>
      <c r="B8241" t="s">
        <v>4655</v>
      </c>
      <c r="C8241" t="s">
        <v>37913</v>
      </c>
      <c r="D8241" s="1">
        <v>40253</v>
      </c>
      <c r="E8241" s="2">
        <v>99000</v>
      </c>
      <c r="F8241" t="s">
        <v>4567</v>
      </c>
      <c r="G8241" s="17" t="str">
        <f>HYPERLINK("https://www.washoecounty.gov/assessor/cama/?command=sales&amp;parid=55418106","3860547")</f>
        <v>3860547</v>
      </c>
      <c r="H8241" t="s">
        <v>1533</v>
      </c>
      <c r="I8241">
        <v>2004</v>
      </c>
      <c r="J8241">
        <v>2004</v>
      </c>
      <c r="K8241" t="s">
        <v>4897</v>
      </c>
      <c r="L8241" t="s">
        <v>4555</v>
      </c>
      <c r="M8241" s="2">
        <v>1111</v>
      </c>
      <c r="N8241" t="s">
        <v>4048</v>
      </c>
      <c r="O8241">
        <v>2</v>
      </c>
      <c r="P8241">
        <v>2</v>
      </c>
      <c r="Q8241">
        <v>0</v>
      </c>
      <c r="R8241" t="s">
        <v>5281</v>
      </c>
      <c r="S8241" t="s">
        <v>4558</v>
      </c>
      <c r="T8241" t="s">
        <v>4559</v>
      </c>
      <c r="U8241" t="s">
        <v>4560</v>
      </c>
      <c r="V8241" s="2">
        <v>418</v>
      </c>
      <c r="W8241" t="s">
        <v>4655</v>
      </c>
      <c r="X8241" s="2">
        <v>0</v>
      </c>
      <c r="Y8241">
        <v>20</v>
      </c>
      <c r="Z8241" t="s">
        <v>4144</v>
      </c>
      <c r="AA8241" s="3">
        <v>0.12552800774574299</v>
      </c>
      <c r="AB8241" t="s">
        <v>37914</v>
      </c>
      <c r="AC8241" t="s">
        <v>4562</v>
      </c>
      <c r="AD8241" t="s">
        <v>37913</v>
      </c>
      <c r="AE8241" t="s">
        <v>4655</v>
      </c>
      <c r="AF8241" t="s">
        <v>4563</v>
      </c>
      <c r="AG8241" t="s">
        <v>4564</v>
      </c>
      <c r="AH8241">
        <v>89506</v>
      </c>
      <c r="AI8241" t="s">
        <v>4655</v>
      </c>
      <c r="AJ8241" t="s">
        <v>1534</v>
      </c>
      <c r="AK8241" t="s">
        <v>37915</v>
      </c>
      <c r="AL8241" s="13" t="s">
        <v>1901</v>
      </c>
      <c r="AM8241">
        <v>1</v>
      </c>
      <c r="AN8241" s="15" t="s">
        <v>1535</v>
      </c>
    </row>
    <row r="8242" spans="1:40" x14ac:dyDescent="0.3">
      <c r="A8242" s="10" t="str">
        <f>HYPERLINK("http://www.washoecounty.gov/assessor/cama/?parid=554-182-06&amp;CardNumber=1","554-182-06")</f>
        <v>554-182-06</v>
      </c>
      <c r="B8242" t="s">
        <v>4655</v>
      </c>
      <c r="C8242" t="s">
        <v>37916</v>
      </c>
      <c r="D8242" s="1">
        <v>40247</v>
      </c>
      <c r="E8242" s="2">
        <v>86000</v>
      </c>
      <c r="F8242" t="s">
        <v>4567</v>
      </c>
      <c r="G8242" s="17" t="str">
        <f>HYPERLINK("https://www.washoecounty.gov/assessor/cama/?command=sales&amp;parid=55418206","3858188")</f>
        <v>3858188</v>
      </c>
      <c r="H8242" t="s">
        <v>1533</v>
      </c>
      <c r="I8242">
        <v>2004</v>
      </c>
      <c r="J8242">
        <v>2004</v>
      </c>
      <c r="K8242" t="s">
        <v>4897</v>
      </c>
      <c r="L8242" t="s">
        <v>3974</v>
      </c>
      <c r="M8242" s="2">
        <v>1350</v>
      </c>
      <c r="N8242" t="s">
        <v>4048</v>
      </c>
      <c r="O8242">
        <v>3</v>
      </c>
      <c r="P8242">
        <v>2</v>
      </c>
      <c r="Q8242">
        <v>1</v>
      </c>
      <c r="R8242" t="s">
        <v>5281</v>
      </c>
      <c r="S8242" t="s">
        <v>4558</v>
      </c>
      <c r="T8242" t="s">
        <v>4559</v>
      </c>
      <c r="U8242" t="s">
        <v>4560</v>
      </c>
      <c r="V8242" s="2">
        <v>438</v>
      </c>
      <c r="W8242" t="s">
        <v>4655</v>
      </c>
      <c r="X8242" s="2">
        <v>0</v>
      </c>
      <c r="Y8242">
        <v>20</v>
      </c>
      <c r="Z8242" t="s">
        <v>4144</v>
      </c>
      <c r="AA8242" s="3">
        <v>8.9761249721050304E-2</v>
      </c>
      <c r="AB8242" t="s">
        <v>37917</v>
      </c>
      <c r="AC8242" t="s">
        <v>4562</v>
      </c>
      <c r="AD8242" t="s">
        <v>37916</v>
      </c>
      <c r="AE8242" t="s">
        <v>4655</v>
      </c>
      <c r="AF8242" t="s">
        <v>4563</v>
      </c>
      <c r="AG8242" t="s">
        <v>4564</v>
      </c>
      <c r="AH8242">
        <v>89506</v>
      </c>
      <c r="AI8242" t="s">
        <v>4655</v>
      </c>
      <c r="AJ8242" t="s">
        <v>1534</v>
      </c>
      <c r="AK8242" t="s">
        <v>37918</v>
      </c>
      <c r="AL8242" s="13" t="s">
        <v>1901</v>
      </c>
      <c r="AM8242" s="14">
        <v>1</v>
      </c>
      <c r="AN8242" s="15" t="s">
        <v>1535</v>
      </c>
    </row>
    <row r="8243" spans="1:40" x14ac:dyDescent="0.3">
      <c r="A8243" s="10" t="str">
        <f>HYPERLINK("http://www.washoecounty.gov/assessor/cama/?parid=554-182-10&amp;CardNumber=1","554-182-10")</f>
        <v>554-182-10</v>
      </c>
      <c r="B8243" t="s">
        <v>4655</v>
      </c>
      <c r="C8243" t="s">
        <v>37919</v>
      </c>
      <c r="D8243" s="1">
        <v>40466</v>
      </c>
      <c r="E8243" s="2">
        <v>105000</v>
      </c>
      <c r="F8243" t="s">
        <v>4567</v>
      </c>
      <c r="G8243" s="17" t="str">
        <f>HYPERLINK("https://www.washoecounty.gov/assessor/cama/?command=sales&amp;parid=55418210","3933463")</f>
        <v>3933463</v>
      </c>
      <c r="H8243" t="s">
        <v>1533</v>
      </c>
      <c r="I8243">
        <v>2004</v>
      </c>
      <c r="J8243">
        <v>2004</v>
      </c>
      <c r="K8243" t="s">
        <v>4897</v>
      </c>
      <c r="L8243" t="s">
        <v>3974</v>
      </c>
      <c r="M8243" s="2">
        <v>1350</v>
      </c>
      <c r="N8243" t="s">
        <v>4048</v>
      </c>
      <c r="O8243">
        <v>3</v>
      </c>
      <c r="P8243">
        <v>2</v>
      </c>
      <c r="Q8243">
        <v>1</v>
      </c>
      <c r="R8243" t="s">
        <v>5281</v>
      </c>
      <c r="S8243" t="s">
        <v>4558</v>
      </c>
      <c r="T8243" t="s">
        <v>4559</v>
      </c>
      <c r="U8243" t="s">
        <v>4560</v>
      </c>
      <c r="V8243" s="2">
        <v>438</v>
      </c>
      <c r="W8243" t="s">
        <v>4655</v>
      </c>
      <c r="X8243" s="2">
        <v>0</v>
      </c>
      <c r="Y8243">
        <v>20</v>
      </c>
      <c r="Z8243" t="s">
        <v>4144</v>
      </c>
      <c r="AA8243" s="3">
        <v>8.7603308260440799E-2</v>
      </c>
      <c r="AB8243" t="s">
        <v>37920</v>
      </c>
      <c r="AC8243" t="s">
        <v>4562</v>
      </c>
      <c r="AD8243" t="s">
        <v>37919</v>
      </c>
      <c r="AE8243" t="s">
        <v>4655</v>
      </c>
      <c r="AF8243" t="s">
        <v>4563</v>
      </c>
      <c r="AG8243" t="s">
        <v>4564</v>
      </c>
      <c r="AH8243">
        <v>89506</v>
      </c>
      <c r="AI8243" t="s">
        <v>37921</v>
      </c>
      <c r="AJ8243" t="s">
        <v>1534</v>
      </c>
      <c r="AK8243" t="s">
        <v>37922</v>
      </c>
      <c r="AL8243" s="13" t="s">
        <v>1901</v>
      </c>
      <c r="AM8243" s="14">
        <v>1</v>
      </c>
      <c r="AN8243" s="15" t="s">
        <v>1535</v>
      </c>
    </row>
    <row r="8244" spans="1:40" x14ac:dyDescent="0.3">
      <c r="A8244" s="10" t="str">
        <f>HYPERLINK("http://www.washoecounty.gov/assessor/cama/?parid=554-182-17&amp;CardNumber=1","554-182-17")</f>
        <v>554-182-17</v>
      </c>
      <c r="B8244" t="s">
        <v>4655</v>
      </c>
      <c r="C8244" t="s">
        <v>37923</v>
      </c>
      <c r="D8244" s="1">
        <v>40478</v>
      </c>
      <c r="E8244" s="2">
        <v>100000</v>
      </c>
      <c r="F8244" t="s">
        <v>4553</v>
      </c>
      <c r="G8244" s="17" t="str">
        <f>HYPERLINK("https://www.washoecounty.gov/assessor/cama/?command=sales&amp;parid=55418217","3937157")</f>
        <v>3937157</v>
      </c>
      <c r="H8244" t="s">
        <v>1533</v>
      </c>
      <c r="I8244">
        <v>2005</v>
      </c>
      <c r="J8244">
        <v>2005</v>
      </c>
      <c r="K8244" t="s">
        <v>4897</v>
      </c>
      <c r="L8244" t="s">
        <v>3974</v>
      </c>
      <c r="M8244" s="2">
        <v>1528</v>
      </c>
      <c r="N8244" t="s">
        <v>4048</v>
      </c>
      <c r="O8244">
        <v>3</v>
      </c>
      <c r="P8244">
        <v>2</v>
      </c>
      <c r="Q8244">
        <v>1</v>
      </c>
      <c r="R8244" t="s">
        <v>4557</v>
      </c>
      <c r="S8244" t="s">
        <v>4558</v>
      </c>
      <c r="T8244" t="s">
        <v>4559</v>
      </c>
      <c r="U8244" t="s">
        <v>4560</v>
      </c>
      <c r="V8244" s="2">
        <v>436</v>
      </c>
      <c r="W8244" t="s">
        <v>4655</v>
      </c>
      <c r="X8244" s="2">
        <v>0</v>
      </c>
      <c r="Y8244">
        <v>20</v>
      </c>
      <c r="Z8244" t="s">
        <v>4144</v>
      </c>
      <c r="AA8244" s="3">
        <v>0.14141413569450401</v>
      </c>
      <c r="AB8244" t="s">
        <v>37924</v>
      </c>
      <c r="AC8244" t="s">
        <v>4562</v>
      </c>
      <c r="AD8244" t="s">
        <v>37923</v>
      </c>
      <c r="AE8244" t="s">
        <v>4655</v>
      </c>
      <c r="AF8244" t="s">
        <v>4563</v>
      </c>
      <c r="AG8244" t="s">
        <v>4564</v>
      </c>
      <c r="AH8244">
        <v>89506</v>
      </c>
      <c r="AI8244" t="s">
        <v>1602</v>
      </c>
      <c r="AJ8244" t="s">
        <v>1534</v>
      </c>
      <c r="AK8244" t="s">
        <v>37925</v>
      </c>
      <c r="AL8244" s="13" t="s">
        <v>1901</v>
      </c>
      <c r="AM8244">
        <v>1</v>
      </c>
      <c r="AN8244" s="15" t="s">
        <v>1535</v>
      </c>
    </row>
    <row r="8245" spans="1:40" x14ac:dyDescent="0.3">
      <c r="A8245" s="10" t="str">
        <f>HYPERLINK("http://www.washoecounty.gov/assessor/cama/?parid=554-183-07&amp;CardNumber=1","554-183-07")</f>
        <v>554-183-07</v>
      </c>
      <c r="B8245" t="s">
        <v>4655</v>
      </c>
      <c r="C8245" t="s">
        <v>37926</v>
      </c>
      <c r="D8245" s="1">
        <v>40326</v>
      </c>
      <c r="E8245" s="2">
        <v>96500</v>
      </c>
      <c r="F8245" t="s">
        <v>4567</v>
      </c>
      <c r="G8245" s="17" t="str">
        <f>HYPERLINK("https://www.washoecounty.gov/assessor/cama/?command=sales&amp;parid=55418307","3886663")</f>
        <v>3886663</v>
      </c>
      <c r="H8245" t="s">
        <v>1533</v>
      </c>
      <c r="I8245">
        <v>2004</v>
      </c>
      <c r="J8245">
        <v>2004</v>
      </c>
      <c r="K8245" t="s">
        <v>4897</v>
      </c>
      <c r="L8245" t="s">
        <v>4555</v>
      </c>
      <c r="M8245" s="2">
        <v>1111</v>
      </c>
      <c r="N8245" t="s">
        <v>4048</v>
      </c>
      <c r="O8245">
        <v>2</v>
      </c>
      <c r="P8245">
        <v>2</v>
      </c>
      <c r="Q8245">
        <v>0</v>
      </c>
      <c r="R8245" t="s">
        <v>5281</v>
      </c>
      <c r="S8245" t="s">
        <v>4558</v>
      </c>
      <c r="T8245" t="s">
        <v>4559</v>
      </c>
      <c r="U8245" t="s">
        <v>4560</v>
      </c>
      <c r="V8245" s="2">
        <v>418</v>
      </c>
      <c r="W8245" t="s">
        <v>4655</v>
      </c>
      <c r="X8245" s="2">
        <v>0</v>
      </c>
      <c r="Y8245">
        <v>20</v>
      </c>
      <c r="Z8245" t="s">
        <v>4144</v>
      </c>
      <c r="AA8245" s="3">
        <v>0.13353994488716125</v>
      </c>
      <c r="AB8245" t="s">
        <v>37927</v>
      </c>
      <c r="AC8245" t="s">
        <v>4562</v>
      </c>
      <c r="AD8245" t="s">
        <v>37928</v>
      </c>
      <c r="AE8245" t="s">
        <v>4655</v>
      </c>
      <c r="AF8245" t="s">
        <v>37929</v>
      </c>
      <c r="AG8245" t="s">
        <v>1539</v>
      </c>
      <c r="AH8245" t="s">
        <v>37930</v>
      </c>
      <c r="AI8245" t="s">
        <v>37931</v>
      </c>
      <c r="AJ8245" t="s">
        <v>1534</v>
      </c>
      <c r="AK8245" t="s">
        <v>37932</v>
      </c>
      <c r="AL8245" s="13" t="s">
        <v>1901</v>
      </c>
      <c r="AM8245">
        <v>1</v>
      </c>
      <c r="AN8245" s="15" t="s">
        <v>1535</v>
      </c>
    </row>
    <row r="8246" spans="1:40" x14ac:dyDescent="0.3">
      <c r="A8246" s="10" t="str">
        <f>HYPERLINK("http://www.washoecounty.gov/assessor/cama/?parid=554-183-08&amp;CardNumber=1","554-183-08")</f>
        <v>554-183-08</v>
      </c>
      <c r="B8246" t="s">
        <v>4655</v>
      </c>
      <c r="C8246" t="s">
        <v>37933</v>
      </c>
      <c r="D8246" s="1">
        <v>40213</v>
      </c>
      <c r="E8246" s="2">
        <v>75000</v>
      </c>
      <c r="F8246" t="s">
        <v>4553</v>
      </c>
      <c r="G8246" s="17" t="str">
        <f>HYPERLINK("https://www.washoecounty.gov/assessor/cama/?command=sales&amp;parid=55418308","3845982")</f>
        <v>3845982</v>
      </c>
      <c r="H8246" t="s">
        <v>1533</v>
      </c>
      <c r="I8246">
        <v>2004</v>
      </c>
      <c r="J8246">
        <v>2004</v>
      </c>
      <c r="K8246" t="s">
        <v>4897</v>
      </c>
      <c r="L8246" t="s">
        <v>4555</v>
      </c>
      <c r="M8246" s="2">
        <v>1111</v>
      </c>
      <c r="N8246" t="s">
        <v>4048</v>
      </c>
      <c r="O8246">
        <v>2</v>
      </c>
      <c r="P8246">
        <v>2</v>
      </c>
      <c r="Q8246">
        <v>0</v>
      </c>
      <c r="R8246" t="s">
        <v>5281</v>
      </c>
      <c r="S8246" t="s">
        <v>4558</v>
      </c>
      <c r="T8246" t="s">
        <v>4559</v>
      </c>
      <c r="U8246" t="s">
        <v>4560</v>
      </c>
      <c r="V8246" s="2">
        <v>418</v>
      </c>
      <c r="W8246" t="s">
        <v>4655</v>
      </c>
      <c r="X8246" s="2">
        <v>0</v>
      </c>
      <c r="Y8246">
        <v>20</v>
      </c>
      <c r="Z8246" t="s">
        <v>4144</v>
      </c>
      <c r="AA8246" s="3">
        <v>0.13353994488716125</v>
      </c>
      <c r="AB8246" t="s">
        <v>37934</v>
      </c>
      <c r="AC8246" t="s">
        <v>4562</v>
      </c>
      <c r="AD8246" t="s">
        <v>37933</v>
      </c>
      <c r="AE8246" t="s">
        <v>4655</v>
      </c>
      <c r="AF8246" t="s">
        <v>4563</v>
      </c>
      <c r="AG8246" t="s">
        <v>4564</v>
      </c>
      <c r="AH8246">
        <v>89506</v>
      </c>
      <c r="AI8246" t="s">
        <v>4848</v>
      </c>
      <c r="AJ8246" t="s">
        <v>1534</v>
      </c>
      <c r="AK8246" t="s">
        <v>37935</v>
      </c>
      <c r="AL8246" s="13" t="s">
        <v>1901</v>
      </c>
      <c r="AM8246">
        <v>1</v>
      </c>
      <c r="AN8246" s="15" t="s">
        <v>1535</v>
      </c>
    </row>
    <row r="8247" spans="1:40" x14ac:dyDescent="0.3">
      <c r="A8247" s="10" t="str">
        <f>HYPERLINK("http://www.washoecounty.gov/assessor/cama/?parid=554-184-01&amp;CardNumber=1","554-184-01")</f>
        <v>554-184-01</v>
      </c>
      <c r="B8247" t="s">
        <v>4655</v>
      </c>
      <c r="C8247" t="s">
        <v>37936</v>
      </c>
      <c r="D8247" s="1">
        <v>40360</v>
      </c>
      <c r="E8247" s="2">
        <v>100000</v>
      </c>
      <c r="F8247" t="s">
        <v>4567</v>
      </c>
      <c r="G8247" s="17" t="str">
        <f>HYPERLINK("https://www.washoecounty.gov/assessor/cama/?command=sales&amp;parid=55418401","3897936")</f>
        <v>3897936</v>
      </c>
      <c r="H8247" t="s">
        <v>1533</v>
      </c>
      <c r="I8247">
        <v>2005</v>
      </c>
      <c r="J8247">
        <v>2005</v>
      </c>
      <c r="K8247" t="s">
        <v>4897</v>
      </c>
      <c r="L8247" t="s">
        <v>3974</v>
      </c>
      <c r="M8247" s="2">
        <v>1350</v>
      </c>
      <c r="N8247" t="s">
        <v>4048</v>
      </c>
      <c r="O8247">
        <v>3</v>
      </c>
      <c r="P8247">
        <v>2</v>
      </c>
      <c r="Q8247">
        <v>1</v>
      </c>
      <c r="R8247" t="s">
        <v>4557</v>
      </c>
      <c r="S8247" t="s">
        <v>4558</v>
      </c>
      <c r="T8247" t="s">
        <v>4559</v>
      </c>
      <c r="U8247" t="s">
        <v>4560</v>
      </c>
      <c r="V8247" s="2">
        <v>438</v>
      </c>
      <c r="W8247" t="s">
        <v>4655</v>
      </c>
      <c r="X8247" s="2">
        <v>0</v>
      </c>
      <c r="Y8247">
        <v>20</v>
      </c>
      <c r="Z8247" t="s">
        <v>4144</v>
      </c>
      <c r="AA8247" s="3">
        <v>0.17587235569953918</v>
      </c>
      <c r="AB8247" t="s">
        <v>37937</v>
      </c>
      <c r="AC8247" t="s">
        <v>4562</v>
      </c>
      <c r="AD8247" t="s">
        <v>14751</v>
      </c>
      <c r="AE8247" t="s">
        <v>4655</v>
      </c>
      <c r="AF8247" t="s">
        <v>4563</v>
      </c>
      <c r="AG8247" t="s">
        <v>4564</v>
      </c>
      <c r="AH8247" t="s">
        <v>5197</v>
      </c>
      <c r="AI8247" t="s">
        <v>37938</v>
      </c>
      <c r="AJ8247" t="s">
        <v>1534</v>
      </c>
      <c r="AK8247" t="s">
        <v>37939</v>
      </c>
      <c r="AL8247" s="13" t="s">
        <v>1901</v>
      </c>
      <c r="AM8247">
        <v>1</v>
      </c>
      <c r="AN8247" s="15" t="s">
        <v>1535</v>
      </c>
    </row>
    <row r="8248" spans="1:40" x14ac:dyDescent="0.3">
      <c r="A8248" s="10" t="str">
        <f>HYPERLINK("http://www.washoecounty.gov/assessor/cama/?parid=554-184-03&amp;CardNumber=1","554-184-03")</f>
        <v>554-184-03</v>
      </c>
      <c r="B8248" t="s">
        <v>4655</v>
      </c>
      <c r="C8248" t="s">
        <v>37940</v>
      </c>
      <c r="D8248" s="1">
        <v>40542</v>
      </c>
      <c r="E8248" s="2">
        <v>77175</v>
      </c>
      <c r="F8248" t="s">
        <v>4553</v>
      </c>
      <c r="G8248" s="17" t="str">
        <f>HYPERLINK("https://www.washoecounty.gov/assessor/cama/?command=sales&amp;parid=55418403","3958867")</f>
        <v>3958867</v>
      </c>
      <c r="H8248" t="s">
        <v>1533</v>
      </c>
      <c r="I8248">
        <v>2005</v>
      </c>
      <c r="J8248">
        <v>2005</v>
      </c>
      <c r="K8248" t="s">
        <v>4897</v>
      </c>
      <c r="L8248" t="s">
        <v>4555</v>
      </c>
      <c r="M8248" s="2">
        <v>1111</v>
      </c>
      <c r="N8248" t="s">
        <v>4048</v>
      </c>
      <c r="O8248">
        <v>2</v>
      </c>
      <c r="P8248">
        <v>2</v>
      </c>
      <c r="Q8248">
        <v>0</v>
      </c>
      <c r="R8248" t="s">
        <v>4557</v>
      </c>
      <c r="S8248" t="s">
        <v>4558</v>
      </c>
      <c r="T8248" t="s">
        <v>4559</v>
      </c>
      <c r="U8248" t="s">
        <v>4560</v>
      </c>
      <c r="V8248" s="2">
        <v>418</v>
      </c>
      <c r="W8248" t="s">
        <v>4655</v>
      </c>
      <c r="X8248" s="2">
        <v>0</v>
      </c>
      <c r="Y8248">
        <v>20</v>
      </c>
      <c r="Z8248" t="s">
        <v>4144</v>
      </c>
      <c r="AA8248" s="3">
        <v>0.110812671482563</v>
      </c>
      <c r="AB8248" t="s">
        <v>37941</v>
      </c>
      <c r="AC8248" t="s">
        <v>4575</v>
      </c>
      <c r="AD8248" t="s">
        <v>37940</v>
      </c>
      <c r="AE8248" t="s">
        <v>4655</v>
      </c>
      <c r="AF8248" t="s">
        <v>3114</v>
      </c>
      <c r="AG8248" t="s">
        <v>4564</v>
      </c>
      <c r="AH8248">
        <v>89506</v>
      </c>
      <c r="AI8248" t="s">
        <v>4903</v>
      </c>
      <c r="AJ8248" t="s">
        <v>1534</v>
      </c>
      <c r="AK8248" t="s">
        <v>37942</v>
      </c>
      <c r="AL8248" s="13" t="s">
        <v>1901</v>
      </c>
      <c r="AM8248" s="14">
        <v>1</v>
      </c>
      <c r="AN8248" s="15" t="s">
        <v>1535</v>
      </c>
    </row>
    <row r="8249" spans="1:40" x14ac:dyDescent="0.3">
      <c r="A8249" s="10" t="str">
        <f>HYPERLINK("http://www.washoecounty.gov/assessor/cama/?parid=554-184-04&amp;CardNumber=1","554-184-04")</f>
        <v>554-184-04</v>
      </c>
      <c r="B8249" t="s">
        <v>4655</v>
      </c>
      <c r="C8249" t="s">
        <v>37943</v>
      </c>
      <c r="D8249" s="1">
        <v>40184</v>
      </c>
      <c r="E8249" s="2">
        <v>90000</v>
      </c>
      <c r="F8249" t="s">
        <v>4567</v>
      </c>
      <c r="G8249" s="17" t="str">
        <f>HYPERLINK("https://www.washoecounty.gov/assessor/cama/?command=sales&amp;parid=55418404","3836843")</f>
        <v>3836843</v>
      </c>
      <c r="H8249" t="s">
        <v>1533</v>
      </c>
      <c r="I8249">
        <v>2005</v>
      </c>
      <c r="J8249">
        <v>2005</v>
      </c>
      <c r="K8249" t="s">
        <v>4897</v>
      </c>
      <c r="L8249" t="s">
        <v>4555</v>
      </c>
      <c r="M8249" s="2">
        <v>1111</v>
      </c>
      <c r="N8249" t="s">
        <v>4048</v>
      </c>
      <c r="O8249">
        <v>2</v>
      </c>
      <c r="P8249">
        <v>2</v>
      </c>
      <c r="Q8249">
        <v>0</v>
      </c>
      <c r="R8249" t="s">
        <v>4557</v>
      </c>
      <c r="S8249" t="s">
        <v>4558</v>
      </c>
      <c r="T8249" t="s">
        <v>4559</v>
      </c>
      <c r="U8249" t="s">
        <v>4560</v>
      </c>
      <c r="V8249" s="2">
        <v>418</v>
      </c>
      <c r="W8249" t="s">
        <v>4655</v>
      </c>
      <c r="X8249" s="2">
        <v>0</v>
      </c>
      <c r="Y8249">
        <v>20</v>
      </c>
      <c r="Z8249" t="s">
        <v>4144</v>
      </c>
      <c r="AA8249" s="3">
        <v>0.126147836446762</v>
      </c>
      <c r="AB8249" t="s">
        <v>37944</v>
      </c>
      <c r="AC8249" t="s">
        <v>4562</v>
      </c>
      <c r="AD8249" t="s">
        <v>37943</v>
      </c>
      <c r="AE8249" t="s">
        <v>4655</v>
      </c>
      <c r="AF8249" t="s">
        <v>4563</v>
      </c>
      <c r="AG8249" t="s">
        <v>4564</v>
      </c>
      <c r="AH8249">
        <v>89506</v>
      </c>
      <c r="AI8249" t="s">
        <v>37945</v>
      </c>
      <c r="AJ8249" t="s">
        <v>1534</v>
      </c>
      <c r="AK8249" t="s">
        <v>37946</v>
      </c>
      <c r="AL8249" s="13" t="s">
        <v>1901</v>
      </c>
      <c r="AM8249">
        <v>1</v>
      </c>
      <c r="AN8249" s="15" t="s">
        <v>1535</v>
      </c>
    </row>
    <row r="8250" spans="1:40" x14ac:dyDescent="0.3">
      <c r="A8250" s="10" t="str">
        <f>HYPERLINK("http://www.washoecounty.gov/assessor/cama/?parid=554-191-03&amp;CardNumber=1","554-191-03")</f>
        <v>554-191-03</v>
      </c>
      <c r="B8250" t="s">
        <v>4655</v>
      </c>
      <c r="C8250" t="s">
        <v>37947</v>
      </c>
      <c r="D8250" s="1">
        <v>40192</v>
      </c>
      <c r="E8250" s="2">
        <v>105000</v>
      </c>
      <c r="F8250" t="s">
        <v>4567</v>
      </c>
      <c r="G8250" s="17" t="str">
        <f>HYPERLINK("https://www.washoecounty.gov/assessor/cama/?command=sales&amp;parid=55419103","3839378")</f>
        <v>3839378</v>
      </c>
      <c r="H8250" t="s">
        <v>1533</v>
      </c>
      <c r="I8250">
        <v>2004</v>
      </c>
      <c r="J8250">
        <v>2004</v>
      </c>
      <c r="K8250" t="s">
        <v>4897</v>
      </c>
      <c r="L8250" t="s">
        <v>3974</v>
      </c>
      <c r="M8250" s="2">
        <v>1350</v>
      </c>
      <c r="N8250" t="s">
        <v>4048</v>
      </c>
      <c r="O8250">
        <v>3</v>
      </c>
      <c r="P8250">
        <v>2</v>
      </c>
      <c r="Q8250">
        <v>1</v>
      </c>
      <c r="R8250" t="s">
        <v>4557</v>
      </c>
      <c r="S8250" t="s">
        <v>4558</v>
      </c>
      <c r="T8250" t="s">
        <v>4559</v>
      </c>
      <c r="U8250" t="s">
        <v>4560</v>
      </c>
      <c r="V8250" s="2">
        <v>438</v>
      </c>
      <c r="W8250" t="s">
        <v>4655</v>
      </c>
      <c r="X8250" s="2">
        <v>0</v>
      </c>
      <c r="Y8250">
        <v>20</v>
      </c>
      <c r="Z8250" t="s">
        <v>4144</v>
      </c>
      <c r="AA8250" s="3">
        <v>0.204063355922699</v>
      </c>
      <c r="AB8250" t="s">
        <v>37948</v>
      </c>
      <c r="AC8250" t="s">
        <v>4562</v>
      </c>
      <c r="AD8250" t="s">
        <v>37947</v>
      </c>
      <c r="AE8250" t="s">
        <v>4655</v>
      </c>
      <c r="AF8250" t="s">
        <v>4563</v>
      </c>
      <c r="AG8250" t="s">
        <v>4564</v>
      </c>
      <c r="AH8250">
        <v>89506</v>
      </c>
      <c r="AI8250" t="s">
        <v>37948</v>
      </c>
      <c r="AJ8250" t="s">
        <v>1534</v>
      </c>
      <c r="AK8250" t="s">
        <v>37949</v>
      </c>
      <c r="AL8250" s="13" t="s">
        <v>1901</v>
      </c>
      <c r="AM8250" s="14">
        <v>1</v>
      </c>
      <c r="AN8250" s="15" t="s">
        <v>1535</v>
      </c>
    </row>
    <row r="8251" spans="1:40" x14ac:dyDescent="0.3">
      <c r="A8251" s="10" t="str">
        <f>HYPERLINK("http://www.washoecounty.gov/assessor/cama/?parid=554-191-14&amp;CardNumber=1","554-191-14")</f>
        <v>554-191-14</v>
      </c>
      <c r="B8251" t="s">
        <v>4655</v>
      </c>
      <c r="C8251" t="s">
        <v>37950</v>
      </c>
      <c r="D8251" s="1">
        <v>40470</v>
      </c>
      <c r="E8251" s="2">
        <v>109900</v>
      </c>
      <c r="F8251" t="s">
        <v>4553</v>
      </c>
      <c r="G8251" s="17" t="str">
        <f>HYPERLINK("https://www.washoecounty.gov/assessor/cama/?command=sales&amp;parid=55419114","3934331")</f>
        <v>3934331</v>
      </c>
      <c r="H8251" t="s">
        <v>1533</v>
      </c>
      <c r="I8251">
        <v>2005</v>
      </c>
      <c r="J8251">
        <v>2005</v>
      </c>
      <c r="K8251" t="s">
        <v>4897</v>
      </c>
      <c r="L8251" t="s">
        <v>3974</v>
      </c>
      <c r="M8251" s="2">
        <v>1528</v>
      </c>
      <c r="N8251" t="s">
        <v>4048</v>
      </c>
      <c r="O8251">
        <v>3</v>
      </c>
      <c r="P8251">
        <v>2</v>
      </c>
      <c r="Q8251">
        <v>1</v>
      </c>
      <c r="R8251" t="s">
        <v>5281</v>
      </c>
      <c r="S8251" t="s">
        <v>4558</v>
      </c>
      <c r="T8251" t="s">
        <v>4559</v>
      </c>
      <c r="U8251" t="s">
        <v>4560</v>
      </c>
      <c r="V8251" s="2">
        <v>436</v>
      </c>
      <c r="W8251" t="s">
        <v>4655</v>
      </c>
      <c r="X8251" s="2">
        <v>0</v>
      </c>
      <c r="Y8251">
        <v>20</v>
      </c>
      <c r="Z8251" t="s">
        <v>4144</v>
      </c>
      <c r="AA8251" s="3">
        <v>0.13553719222545624</v>
      </c>
      <c r="AB8251" t="s">
        <v>37951</v>
      </c>
      <c r="AC8251" t="s">
        <v>4562</v>
      </c>
      <c r="AD8251" t="s">
        <v>37950</v>
      </c>
      <c r="AE8251" t="s">
        <v>4655</v>
      </c>
      <c r="AF8251" t="s">
        <v>4563</v>
      </c>
      <c r="AG8251" t="s">
        <v>4564</v>
      </c>
      <c r="AH8251">
        <v>89506</v>
      </c>
      <c r="AI8251" t="s">
        <v>4903</v>
      </c>
      <c r="AJ8251" t="s">
        <v>1534</v>
      </c>
      <c r="AK8251" t="s">
        <v>37952</v>
      </c>
      <c r="AL8251" s="13" t="s">
        <v>1901</v>
      </c>
      <c r="AM8251" s="14">
        <v>1</v>
      </c>
      <c r="AN8251" s="15" t="s">
        <v>1535</v>
      </c>
    </row>
    <row r="8252" spans="1:40" x14ac:dyDescent="0.3">
      <c r="A8252" s="10" t="str">
        <f>HYPERLINK("http://www.washoecounty.gov/assessor/cama/?parid=554-191-21&amp;CardNumber=1","554-191-21")</f>
        <v>554-191-21</v>
      </c>
      <c r="B8252" t="s">
        <v>4655</v>
      </c>
      <c r="C8252" t="s">
        <v>37953</v>
      </c>
      <c r="D8252" s="1">
        <v>40466</v>
      </c>
      <c r="E8252" s="2">
        <v>85000</v>
      </c>
      <c r="F8252" t="s">
        <v>4553</v>
      </c>
      <c r="G8252" s="17" t="str">
        <f>HYPERLINK("https://www.washoecounty.gov/assessor/cama/?command=sales&amp;parid=55419121","3933738")</f>
        <v>3933738</v>
      </c>
      <c r="H8252" t="s">
        <v>1533</v>
      </c>
      <c r="I8252">
        <v>2005</v>
      </c>
      <c r="J8252">
        <v>2005</v>
      </c>
      <c r="K8252" t="s">
        <v>4897</v>
      </c>
      <c r="L8252" t="s">
        <v>3974</v>
      </c>
      <c r="M8252" s="2">
        <v>1350</v>
      </c>
      <c r="N8252" t="s">
        <v>4048</v>
      </c>
      <c r="O8252">
        <v>3</v>
      </c>
      <c r="P8252">
        <v>2</v>
      </c>
      <c r="Q8252">
        <v>1</v>
      </c>
      <c r="R8252" t="s">
        <v>5281</v>
      </c>
      <c r="S8252" t="s">
        <v>4558</v>
      </c>
      <c r="T8252" t="s">
        <v>4559</v>
      </c>
      <c r="U8252" t="s">
        <v>4560</v>
      </c>
      <c r="V8252" s="2">
        <v>438</v>
      </c>
      <c r="W8252" t="s">
        <v>4655</v>
      </c>
      <c r="X8252" s="2">
        <v>0</v>
      </c>
      <c r="Y8252">
        <v>20</v>
      </c>
      <c r="Z8252" t="s">
        <v>4144</v>
      </c>
      <c r="AA8252" s="3">
        <v>0.217079892754555</v>
      </c>
      <c r="AB8252" t="s">
        <v>37954</v>
      </c>
      <c r="AC8252" t="s">
        <v>4562</v>
      </c>
      <c r="AD8252" t="s">
        <v>37955</v>
      </c>
      <c r="AE8252" t="s">
        <v>4655</v>
      </c>
      <c r="AF8252" t="s">
        <v>4563</v>
      </c>
      <c r="AG8252" t="s">
        <v>4564</v>
      </c>
      <c r="AH8252">
        <v>89506</v>
      </c>
      <c r="AI8252" t="s">
        <v>4655</v>
      </c>
      <c r="AJ8252" t="s">
        <v>1534</v>
      </c>
      <c r="AK8252" t="s">
        <v>37956</v>
      </c>
      <c r="AL8252" s="13" t="s">
        <v>1901</v>
      </c>
      <c r="AM8252">
        <v>1</v>
      </c>
      <c r="AN8252" s="15" t="s">
        <v>1535</v>
      </c>
    </row>
    <row r="8253" spans="1:40" x14ac:dyDescent="0.3">
      <c r="A8253" s="10" t="str">
        <f>HYPERLINK("http://www.washoecounty.gov/assessor/cama/?parid=554-192-03&amp;CardNumber=1","554-192-03")</f>
        <v>554-192-03</v>
      </c>
      <c r="B8253" t="s">
        <v>4655</v>
      </c>
      <c r="C8253" t="s">
        <v>37957</v>
      </c>
      <c r="D8253" s="1">
        <v>40254</v>
      </c>
      <c r="E8253" s="2">
        <v>105000</v>
      </c>
      <c r="F8253" t="s">
        <v>4567</v>
      </c>
      <c r="G8253" s="17" t="str">
        <f>HYPERLINK("https://www.washoecounty.gov/assessor/cama/?command=sales&amp;parid=55419203","3860677")</f>
        <v>3860677</v>
      </c>
      <c r="H8253" t="s">
        <v>1533</v>
      </c>
      <c r="I8253">
        <v>2005</v>
      </c>
      <c r="J8253">
        <v>2005</v>
      </c>
      <c r="K8253" t="s">
        <v>4897</v>
      </c>
      <c r="L8253" t="s">
        <v>3974</v>
      </c>
      <c r="M8253" s="2">
        <v>1350</v>
      </c>
      <c r="N8253" t="s">
        <v>4048</v>
      </c>
      <c r="O8253">
        <v>3</v>
      </c>
      <c r="P8253">
        <v>2</v>
      </c>
      <c r="Q8253">
        <v>1</v>
      </c>
      <c r="R8253" t="s">
        <v>5281</v>
      </c>
      <c r="S8253" t="s">
        <v>4558</v>
      </c>
      <c r="T8253" t="s">
        <v>4559</v>
      </c>
      <c r="U8253" t="s">
        <v>4560</v>
      </c>
      <c r="V8253" s="2">
        <v>438</v>
      </c>
      <c r="W8253" t="s">
        <v>4655</v>
      </c>
      <c r="X8253" s="2">
        <v>0</v>
      </c>
      <c r="Y8253">
        <v>20</v>
      </c>
      <c r="Z8253" t="s">
        <v>4144</v>
      </c>
      <c r="AA8253" s="3">
        <v>9.8370067775249495E-2</v>
      </c>
      <c r="AB8253" t="s">
        <v>37958</v>
      </c>
      <c r="AC8253" t="s">
        <v>4562</v>
      </c>
      <c r="AD8253" t="s">
        <v>37957</v>
      </c>
      <c r="AE8253" t="s">
        <v>4655</v>
      </c>
      <c r="AF8253" t="s">
        <v>4563</v>
      </c>
      <c r="AG8253" t="s">
        <v>4564</v>
      </c>
      <c r="AH8253">
        <v>89506</v>
      </c>
      <c r="AI8253" t="s">
        <v>37959</v>
      </c>
      <c r="AJ8253" t="s">
        <v>1534</v>
      </c>
      <c r="AK8253" t="s">
        <v>37960</v>
      </c>
      <c r="AL8253" s="13" t="s">
        <v>1901</v>
      </c>
      <c r="AM8253">
        <v>1</v>
      </c>
      <c r="AN8253" s="15" t="s">
        <v>1535</v>
      </c>
    </row>
    <row r="8254" spans="1:40" x14ac:dyDescent="0.3">
      <c r="A8254" s="10" t="str">
        <f>HYPERLINK("http://www.washoecounty.gov/assessor/cama/?parid=554-192-14&amp;CardNumber=1","554-192-14")</f>
        <v>554-192-14</v>
      </c>
      <c r="B8254" t="s">
        <v>4655</v>
      </c>
      <c r="C8254" t="s">
        <v>37961</v>
      </c>
      <c r="D8254" s="1">
        <v>40500</v>
      </c>
      <c r="E8254" s="2">
        <v>97500</v>
      </c>
      <c r="F8254" t="s">
        <v>4553</v>
      </c>
      <c r="G8254" s="17" t="str">
        <f>HYPERLINK("https://www.washoecounty.gov/assessor/cama/?command=sales&amp;parid=55419214","3944630")</f>
        <v>3944630</v>
      </c>
      <c r="H8254" t="s">
        <v>1533</v>
      </c>
      <c r="I8254">
        <v>2005</v>
      </c>
      <c r="J8254">
        <v>2005</v>
      </c>
      <c r="K8254" t="s">
        <v>4897</v>
      </c>
      <c r="L8254" t="s">
        <v>3974</v>
      </c>
      <c r="M8254" s="2">
        <v>1528</v>
      </c>
      <c r="N8254" t="s">
        <v>4048</v>
      </c>
      <c r="O8254">
        <v>3</v>
      </c>
      <c r="P8254">
        <v>2</v>
      </c>
      <c r="Q8254">
        <v>1</v>
      </c>
      <c r="R8254" t="s">
        <v>5281</v>
      </c>
      <c r="S8254" t="s">
        <v>4558</v>
      </c>
      <c r="T8254" t="s">
        <v>4559</v>
      </c>
      <c r="U8254" t="s">
        <v>4560</v>
      </c>
      <c r="V8254" s="2">
        <v>436</v>
      </c>
      <c r="W8254" t="s">
        <v>4655</v>
      </c>
      <c r="X8254" s="2">
        <v>0</v>
      </c>
      <c r="Y8254">
        <v>20</v>
      </c>
      <c r="Z8254" t="s">
        <v>4144</v>
      </c>
      <c r="AA8254" s="3">
        <v>0.12805326282978099</v>
      </c>
      <c r="AB8254" t="s">
        <v>37962</v>
      </c>
      <c r="AC8254" t="s">
        <v>4562</v>
      </c>
      <c r="AD8254" t="s">
        <v>37963</v>
      </c>
      <c r="AE8254" t="s">
        <v>4655</v>
      </c>
      <c r="AF8254" t="s">
        <v>4563</v>
      </c>
      <c r="AG8254" t="s">
        <v>4564</v>
      </c>
      <c r="AH8254">
        <v>89506</v>
      </c>
      <c r="AI8254" t="s">
        <v>1602</v>
      </c>
      <c r="AJ8254" t="s">
        <v>1534</v>
      </c>
      <c r="AK8254" t="s">
        <v>37964</v>
      </c>
      <c r="AL8254" s="13" t="s">
        <v>1901</v>
      </c>
      <c r="AM8254">
        <v>1</v>
      </c>
      <c r="AN8254" s="15" t="s">
        <v>1535</v>
      </c>
    </row>
    <row r="8255" spans="1:40" x14ac:dyDescent="0.3">
      <c r="A8255" s="10" t="str">
        <f>HYPERLINK("http://www.washoecounty.gov/assessor/cama/?parid=554-193-03&amp;CardNumber=1","554-193-03")</f>
        <v>554-193-03</v>
      </c>
      <c r="B8255" t="s">
        <v>4655</v>
      </c>
      <c r="C8255" t="s">
        <v>37965</v>
      </c>
      <c r="D8255" s="1">
        <v>40358</v>
      </c>
      <c r="E8255" s="2">
        <v>105000</v>
      </c>
      <c r="F8255" t="s">
        <v>4567</v>
      </c>
      <c r="G8255" s="17" t="str">
        <f>HYPERLINK("https://www.washoecounty.gov/assessor/cama/?command=sales&amp;parid=55419303","3896720")</f>
        <v>3896720</v>
      </c>
      <c r="H8255" t="s">
        <v>1533</v>
      </c>
      <c r="I8255">
        <v>2005</v>
      </c>
      <c r="J8255">
        <v>2005</v>
      </c>
      <c r="K8255" t="s">
        <v>4897</v>
      </c>
      <c r="L8255" t="s">
        <v>3974</v>
      </c>
      <c r="M8255" s="2">
        <v>1528</v>
      </c>
      <c r="N8255" t="s">
        <v>4048</v>
      </c>
      <c r="O8255">
        <v>3</v>
      </c>
      <c r="P8255">
        <v>2</v>
      </c>
      <c r="Q8255">
        <v>1</v>
      </c>
      <c r="R8255" t="s">
        <v>5281</v>
      </c>
      <c r="S8255" t="s">
        <v>4558</v>
      </c>
      <c r="T8255" t="s">
        <v>4559</v>
      </c>
      <c r="U8255" t="s">
        <v>4560</v>
      </c>
      <c r="V8255" s="2">
        <v>436</v>
      </c>
      <c r="W8255" t="s">
        <v>4655</v>
      </c>
      <c r="X8255" s="2">
        <v>0</v>
      </c>
      <c r="Y8255">
        <v>20</v>
      </c>
      <c r="Z8255" t="s">
        <v>4144</v>
      </c>
      <c r="AA8255" s="3">
        <v>0.144513309001923</v>
      </c>
      <c r="AB8255" t="s">
        <v>37966</v>
      </c>
      <c r="AC8255" t="s">
        <v>4575</v>
      </c>
      <c r="AD8255" t="s">
        <v>37965</v>
      </c>
      <c r="AE8255" t="s">
        <v>4655</v>
      </c>
      <c r="AF8255" t="s">
        <v>4563</v>
      </c>
      <c r="AG8255" t="s">
        <v>4564</v>
      </c>
      <c r="AH8255">
        <v>89506</v>
      </c>
      <c r="AI8255" t="s">
        <v>37967</v>
      </c>
      <c r="AJ8255" t="s">
        <v>1534</v>
      </c>
      <c r="AK8255" t="s">
        <v>37968</v>
      </c>
      <c r="AL8255" s="13" t="s">
        <v>1901</v>
      </c>
      <c r="AM8255">
        <v>1</v>
      </c>
      <c r="AN8255" s="15" t="s">
        <v>1535</v>
      </c>
    </row>
    <row r="8256" spans="1:40" x14ac:dyDescent="0.3">
      <c r="A8256" s="10" t="str">
        <f>HYPERLINK("http://www.washoecounty.gov/assessor/cama/?parid=554-201-01&amp;CardNumber=1","554-201-01")</f>
        <v>554-201-01</v>
      </c>
      <c r="B8256" t="s">
        <v>4655</v>
      </c>
      <c r="C8256" t="s">
        <v>37969</v>
      </c>
      <c r="D8256" s="1">
        <v>40347</v>
      </c>
      <c r="E8256" s="2">
        <v>114000</v>
      </c>
      <c r="F8256" t="s">
        <v>4567</v>
      </c>
      <c r="G8256" s="17" t="str">
        <f>HYPERLINK("https://www.washoecounty.gov/assessor/cama/?command=sales&amp;parid=55420101","3893277")</f>
        <v>3893277</v>
      </c>
      <c r="H8256" t="s">
        <v>1533</v>
      </c>
      <c r="I8256">
        <v>2005</v>
      </c>
      <c r="J8256">
        <v>2005</v>
      </c>
      <c r="K8256" t="s">
        <v>4897</v>
      </c>
      <c r="L8256" t="s">
        <v>3974</v>
      </c>
      <c r="M8256" s="2">
        <v>1528</v>
      </c>
      <c r="N8256" t="s">
        <v>4048</v>
      </c>
      <c r="O8256">
        <v>3</v>
      </c>
      <c r="P8256">
        <v>2</v>
      </c>
      <c r="Q8256">
        <v>1</v>
      </c>
      <c r="R8256" t="s">
        <v>4557</v>
      </c>
      <c r="S8256" t="s">
        <v>4558</v>
      </c>
      <c r="T8256" t="s">
        <v>4559</v>
      </c>
      <c r="U8256" t="s">
        <v>4560</v>
      </c>
      <c r="V8256" s="2">
        <v>436</v>
      </c>
      <c r="W8256" t="s">
        <v>4655</v>
      </c>
      <c r="X8256" s="2">
        <v>0</v>
      </c>
      <c r="Y8256">
        <v>20</v>
      </c>
      <c r="Z8256" t="s">
        <v>4144</v>
      </c>
      <c r="AA8256" s="3">
        <v>0.105280071496964</v>
      </c>
      <c r="AB8256" t="s">
        <v>37970</v>
      </c>
      <c r="AC8256" t="s">
        <v>4562</v>
      </c>
      <c r="AD8256" t="s">
        <v>37969</v>
      </c>
      <c r="AE8256" t="s">
        <v>4655</v>
      </c>
      <c r="AF8256" t="s">
        <v>4563</v>
      </c>
      <c r="AG8256" t="s">
        <v>4564</v>
      </c>
      <c r="AH8256">
        <v>89506</v>
      </c>
      <c r="AI8256" t="s">
        <v>37971</v>
      </c>
      <c r="AJ8256" t="s">
        <v>1534</v>
      </c>
      <c r="AK8256" t="s">
        <v>37972</v>
      </c>
      <c r="AL8256" s="13" t="s">
        <v>1901</v>
      </c>
      <c r="AM8256">
        <v>1</v>
      </c>
      <c r="AN8256" s="15" t="s">
        <v>1535</v>
      </c>
    </row>
    <row r="8257" spans="1:40" x14ac:dyDescent="0.3">
      <c r="A8257" s="10" t="str">
        <f>HYPERLINK("http://www.washoecounty.gov/assessor/cama/?parid=554-201-28&amp;CardNumber=1","554-201-28")</f>
        <v>554-201-28</v>
      </c>
      <c r="B8257" t="s">
        <v>4655</v>
      </c>
      <c r="C8257" t="s">
        <v>37973</v>
      </c>
      <c r="D8257" s="1">
        <v>40266</v>
      </c>
      <c r="E8257" s="2">
        <v>102000</v>
      </c>
      <c r="F8257" t="s">
        <v>4553</v>
      </c>
      <c r="G8257" s="17" t="str">
        <f>HYPERLINK("https://www.washoecounty.gov/assessor/cama/?command=sales&amp;parid=55420128","3865178")</f>
        <v>3865178</v>
      </c>
      <c r="H8257" t="s">
        <v>1533</v>
      </c>
      <c r="I8257">
        <v>2005</v>
      </c>
      <c r="J8257">
        <v>2005</v>
      </c>
      <c r="K8257" t="s">
        <v>4897</v>
      </c>
      <c r="L8257" t="s">
        <v>3974</v>
      </c>
      <c r="M8257" s="2">
        <v>1528</v>
      </c>
      <c r="N8257" t="s">
        <v>4048</v>
      </c>
      <c r="O8257">
        <v>3</v>
      </c>
      <c r="P8257">
        <v>2</v>
      </c>
      <c r="Q8257">
        <v>1</v>
      </c>
      <c r="R8257" t="s">
        <v>4557</v>
      </c>
      <c r="S8257" t="s">
        <v>4558</v>
      </c>
      <c r="T8257" t="s">
        <v>4559</v>
      </c>
      <c r="U8257" t="s">
        <v>4560</v>
      </c>
      <c r="V8257" s="2">
        <v>436</v>
      </c>
      <c r="W8257" t="s">
        <v>4655</v>
      </c>
      <c r="X8257" s="2">
        <v>0</v>
      </c>
      <c r="Y8257">
        <v>20</v>
      </c>
      <c r="Z8257" t="s">
        <v>4144</v>
      </c>
      <c r="AA8257" s="3">
        <v>0.104843892157078</v>
      </c>
      <c r="AB8257" t="s">
        <v>37974</v>
      </c>
      <c r="AC8257" t="s">
        <v>4562</v>
      </c>
      <c r="AD8257" t="s">
        <v>37973</v>
      </c>
      <c r="AE8257" t="s">
        <v>4655</v>
      </c>
      <c r="AF8257" t="s">
        <v>4563</v>
      </c>
      <c r="AG8257" t="s">
        <v>4564</v>
      </c>
      <c r="AH8257">
        <v>89506</v>
      </c>
      <c r="AI8257" t="s">
        <v>4903</v>
      </c>
      <c r="AJ8257" t="s">
        <v>1534</v>
      </c>
      <c r="AK8257" t="s">
        <v>37975</v>
      </c>
      <c r="AL8257" s="13" t="s">
        <v>1901</v>
      </c>
      <c r="AM8257" s="14">
        <v>1</v>
      </c>
      <c r="AN8257" s="15" t="s">
        <v>1535</v>
      </c>
    </row>
    <row r="8258" spans="1:40" x14ac:dyDescent="0.3">
      <c r="A8258" s="10" t="str">
        <f>HYPERLINK("http://www.washoecounty.gov/assessor/cama/?parid=554-221-04&amp;CardNumber=1","554-221-04")</f>
        <v>554-221-04</v>
      </c>
      <c r="B8258" t="s">
        <v>4655</v>
      </c>
      <c r="C8258" t="s">
        <v>37976</v>
      </c>
      <c r="D8258" s="1">
        <v>40242</v>
      </c>
      <c r="E8258" s="2">
        <v>155000</v>
      </c>
      <c r="F8258" t="s">
        <v>4567</v>
      </c>
      <c r="G8258" s="17" t="str">
        <f>HYPERLINK("https://www.washoecounty.gov/assessor/cama/?command=sales&amp;parid=55422104","3856514")</f>
        <v>3856514</v>
      </c>
      <c r="H8258" t="s">
        <v>2278</v>
      </c>
      <c r="I8258">
        <v>2005</v>
      </c>
      <c r="J8258">
        <v>2005</v>
      </c>
      <c r="K8258" t="s">
        <v>4554</v>
      </c>
      <c r="L8258" t="s">
        <v>3974</v>
      </c>
      <c r="M8258" s="2">
        <v>2130</v>
      </c>
      <c r="N8258" t="s">
        <v>4048</v>
      </c>
      <c r="O8258">
        <v>4</v>
      </c>
      <c r="P8258">
        <v>2</v>
      </c>
      <c r="Q8258">
        <v>1</v>
      </c>
      <c r="R8258" t="s">
        <v>5281</v>
      </c>
      <c r="S8258" t="s">
        <v>4898</v>
      </c>
      <c r="T8258" t="s">
        <v>4559</v>
      </c>
      <c r="U8258" t="s">
        <v>5631</v>
      </c>
      <c r="V8258" s="2">
        <v>380</v>
      </c>
      <c r="W8258" t="s">
        <v>4655</v>
      </c>
      <c r="X8258" s="2">
        <v>0</v>
      </c>
      <c r="Y8258">
        <v>20</v>
      </c>
      <c r="Z8258" t="s">
        <v>4351</v>
      </c>
      <c r="AA8258" s="3">
        <v>0.11306244134903</v>
      </c>
      <c r="AB8258" t="s">
        <v>37977</v>
      </c>
      <c r="AC8258" t="s">
        <v>4562</v>
      </c>
      <c r="AD8258" t="s">
        <v>37976</v>
      </c>
      <c r="AE8258" t="s">
        <v>4655</v>
      </c>
      <c r="AF8258" t="s">
        <v>4563</v>
      </c>
      <c r="AG8258" t="s">
        <v>4564</v>
      </c>
      <c r="AH8258">
        <v>89506</v>
      </c>
      <c r="AI8258" t="s">
        <v>4655</v>
      </c>
      <c r="AJ8258" t="s">
        <v>2688</v>
      </c>
      <c r="AK8258" t="s">
        <v>37978</v>
      </c>
      <c r="AL8258" s="13" t="s">
        <v>1901</v>
      </c>
      <c r="AM8258">
        <v>1</v>
      </c>
      <c r="AN8258" s="15" t="s">
        <v>1448</v>
      </c>
    </row>
    <row r="8259" spans="1:40" x14ac:dyDescent="0.3">
      <c r="A8259" s="10" t="str">
        <f>HYPERLINK("http://www.washoecounty.gov/assessor/cama/?parid=554-222-10&amp;CardNumber=1","554-222-10")</f>
        <v>554-222-10</v>
      </c>
      <c r="B8259" t="s">
        <v>4655</v>
      </c>
      <c r="C8259" t="s">
        <v>37979</v>
      </c>
      <c r="D8259" s="1">
        <v>40235</v>
      </c>
      <c r="E8259" s="2">
        <v>143000</v>
      </c>
      <c r="F8259" t="s">
        <v>4567</v>
      </c>
      <c r="G8259" s="17" t="str">
        <f>HYPERLINK("https://www.washoecounty.gov/assessor/cama/?command=sales&amp;parid=55422210","3853211")</f>
        <v>3853211</v>
      </c>
      <c r="H8259" t="s">
        <v>2278</v>
      </c>
      <c r="I8259">
        <v>2005</v>
      </c>
      <c r="J8259">
        <v>2005</v>
      </c>
      <c r="K8259" t="s">
        <v>4554</v>
      </c>
      <c r="L8259" t="s">
        <v>3974</v>
      </c>
      <c r="M8259" s="2">
        <v>2040</v>
      </c>
      <c r="N8259" t="s">
        <v>4048</v>
      </c>
      <c r="O8259">
        <v>3</v>
      </c>
      <c r="P8259">
        <v>2</v>
      </c>
      <c r="Q8259">
        <v>1</v>
      </c>
      <c r="R8259" t="s">
        <v>4557</v>
      </c>
      <c r="S8259" t="s">
        <v>4898</v>
      </c>
      <c r="T8259" t="s">
        <v>4559</v>
      </c>
      <c r="U8259" t="s">
        <v>5631</v>
      </c>
      <c r="V8259" s="2">
        <v>380</v>
      </c>
      <c r="W8259" t="s">
        <v>4655</v>
      </c>
      <c r="X8259" s="2">
        <v>0</v>
      </c>
      <c r="Y8259">
        <v>20</v>
      </c>
      <c r="Z8259" t="s">
        <v>4351</v>
      </c>
      <c r="AA8259" s="3">
        <v>0.11579430848360101</v>
      </c>
      <c r="AB8259" t="s">
        <v>37980</v>
      </c>
      <c r="AC8259" t="s">
        <v>4562</v>
      </c>
      <c r="AD8259" t="s">
        <v>37979</v>
      </c>
      <c r="AE8259" t="s">
        <v>4655</v>
      </c>
      <c r="AF8259" t="s">
        <v>4563</v>
      </c>
      <c r="AG8259" t="s">
        <v>4564</v>
      </c>
      <c r="AH8259">
        <v>89506</v>
      </c>
      <c r="AI8259" t="s">
        <v>37981</v>
      </c>
      <c r="AJ8259" t="s">
        <v>2688</v>
      </c>
      <c r="AK8259" t="s">
        <v>37982</v>
      </c>
      <c r="AL8259" s="13" t="s">
        <v>1901</v>
      </c>
      <c r="AM8259">
        <v>1</v>
      </c>
      <c r="AN8259" s="15" t="s">
        <v>1448</v>
      </c>
    </row>
    <row r="8260" spans="1:40" x14ac:dyDescent="0.3">
      <c r="A8260" s="10" t="str">
        <f>HYPERLINK("http://www.washoecounty.gov/assessor/cama/?parid=554-222-15&amp;CardNumber=1","554-222-15")</f>
        <v>554-222-15</v>
      </c>
      <c r="B8260" t="s">
        <v>4655</v>
      </c>
      <c r="C8260" t="s">
        <v>37983</v>
      </c>
      <c r="D8260" s="1">
        <v>40539</v>
      </c>
      <c r="E8260" s="2">
        <v>117000</v>
      </c>
      <c r="F8260" t="s">
        <v>4567</v>
      </c>
      <c r="G8260" s="17" t="str">
        <f>HYPERLINK("https://www.washoecounty.gov/assessor/cama/?command=sales&amp;parid=55422215","3957260")</f>
        <v>3957260</v>
      </c>
      <c r="H8260" t="s">
        <v>2278</v>
      </c>
      <c r="I8260">
        <v>2005</v>
      </c>
      <c r="J8260">
        <v>2005</v>
      </c>
      <c r="K8260" t="s">
        <v>4554</v>
      </c>
      <c r="L8260" t="s">
        <v>4555</v>
      </c>
      <c r="M8260" s="2">
        <v>1246</v>
      </c>
      <c r="N8260" t="s">
        <v>4048</v>
      </c>
      <c r="O8260">
        <v>3</v>
      </c>
      <c r="P8260">
        <v>2</v>
      </c>
      <c r="Q8260">
        <v>0</v>
      </c>
      <c r="R8260" t="s">
        <v>4557</v>
      </c>
      <c r="S8260" t="s">
        <v>4898</v>
      </c>
      <c r="T8260" t="s">
        <v>4559</v>
      </c>
      <c r="U8260" t="s">
        <v>4560</v>
      </c>
      <c r="V8260" s="2">
        <v>380</v>
      </c>
      <c r="W8260" t="s">
        <v>4655</v>
      </c>
      <c r="X8260" s="2">
        <v>0</v>
      </c>
      <c r="Y8260">
        <v>20</v>
      </c>
      <c r="Z8260" t="s">
        <v>4351</v>
      </c>
      <c r="AA8260" s="3">
        <v>0.16035354137420699</v>
      </c>
      <c r="AB8260" t="s">
        <v>37984</v>
      </c>
      <c r="AC8260" t="s">
        <v>4562</v>
      </c>
      <c r="AD8260" t="s">
        <v>37985</v>
      </c>
      <c r="AE8260" t="s">
        <v>4655</v>
      </c>
      <c r="AF8260" t="s">
        <v>4563</v>
      </c>
      <c r="AG8260" t="s">
        <v>4564</v>
      </c>
      <c r="AH8260">
        <v>89511</v>
      </c>
      <c r="AI8260" t="s">
        <v>37986</v>
      </c>
      <c r="AJ8260" t="s">
        <v>2688</v>
      </c>
      <c r="AK8260" t="s">
        <v>37987</v>
      </c>
      <c r="AL8260" s="13" t="s">
        <v>1901</v>
      </c>
      <c r="AM8260">
        <v>1</v>
      </c>
      <c r="AN8260" s="15" t="s">
        <v>1448</v>
      </c>
    </row>
    <row r="8261" spans="1:40" x14ac:dyDescent="0.3">
      <c r="A8261" s="10" t="str">
        <f>HYPERLINK("http://www.washoecounty.gov/assessor/cama/?parid=554-231-04&amp;CardNumber=1","554-231-04")</f>
        <v>554-231-04</v>
      </c>
      <c r="B8261" t="s">
        <v>4655</v>
      </c>
      <c r="C8261" t="s">
        <v>37988</v>
      </c>
      <c r="D8261" s="1">
        <v>40473</v>
      </c>
      <c r="E8261" s="2">
        <v>119000</v>
      </c>
      <c r="F8261" t="s">
        <v>4553</v>
      </c>
      <c r="G8261" s="17" t="str">
        <f>HYPERLINK("https://www.washoecounty.gov/assessor/cama/?command=sales&amp;parid=55423104","3935417")</f>
        <v>3935417</v>
      </c>
      <c r="H8261" t="s">
        <v>2278</v>
      </c>
      <c r="I8261">
        <v>2005</v>
      </c>
      <c r="J8261">
        <v>2005</v>
      </c>
      <c r="K8261" t="s">
        <v>4554</v>
      </c>
      <c r="L8261" t="s">
        <v>4555</v>
      </c>
      <c r="M8261" s="2">
        <v>1247</v>
      </c>
      <c r="N8261" t="s">
        <v>4048</v>
      </c>
      <c r="O8261">
        <v>3</v>
      </c>
      <c r="P8261">
        <v>2</v>
      </c>
      <c r="Q8261">
        <v>0</v>
      </c>
      <c r="R8261" t="s">
        <v>4557</v>
      </c>
      <c r="S8261" t="s">
        <v>4898</v>
      </c>
      <c r="T8261" t="s">
        <v>4559</v>
      </c>
      <c r="U8261" t="s">
        <v>4560</v>
      </c>
      <c r="V8261" s="2">
        <v>380</v>
      </c>
      <c r="W8261" t="s">
        <v>4655</v>
      </c>
      <c r="X8261" s="2">
        <v>0</v>
      </c>
      <c r="Y8261">
        <v>20</v>
      </c>
      <c r="Z8261" t="s">
        <v>4351</v>
      </c>
      <c r="AA8261" s="3">
        <v>0.11370523273944901</v>
      </c>
      <c r="AB8261" t="s">
        <v>37989</v>
      </c>
      <c r="AC8261" t="s">
        <v>4562</v>
      </c>
      <c r="AD8261" t="s">
        <v>37988</v>
      </c>
      <c r="AE8261" t="s">
        <v>4655</v>
      </c>
      <c r="AF8261" t="s">
        <v>4563</v>
      </c>
      <c r="AG8261" t="s">
        <v>4564</v>
      </c>
      <c r="AH8261">
        <v>89506</v>
      </c>
      <c r="AI8261" t="s">
        <v>37990</v>
      </c>
      <c r="AJ8261" t="s">
        <v>2688</v>
      </c>
      <c r="AK8261" t="s">
        <v>37991</v>
      </c>
      <c r="AL8261" s="13" t="s">
        <v>1901</v>
      </c>
      <c r="AM8261">
        <v>1</v>
      </c>
      <c r="AN8261" s="15" t="s">
        <v>1448</v>
      </c>
    </row>
    <row r="8262" spans="1:40" x14ac:dyDescent="0.3">
      <c r="A8262" s="10" t="str">
        <f>HYPERLINK("http://www.washoecounty.gov/assessor/cama/?parid=554-232-05&amp;CardNumber=1","554-232-05")</f>
        <v>554-232-05</v>
      </c>
      <c r="B8262" t="s">
        <v>4655</v>
      </c>
      <c r="C8262" t="s">
        <v>37992</v>
      </c>
      <c r="D8262" s="1">
        <v>40199</v>
      </c>
      <c r="E8262" s="2">
        <v>110000</v>
      </c>
      <c r="F8262" t="s">
        <v>4567</v>
      </c>
      <c r="G8262" s="17" t="str">
        <f>HYPERLINK("https://www.washoecounty.gov/assessor/cama/?command=sales&amp;parid=55423205","3841606")</f>
        <v>3841606</v>
      </c>
      <c r="H8262" t="s">
        <v>2278</v>
      </c>
      <c r="I8262">
        <v>2005</v>
      </c>
      <c r="J8262">
        <v>2005</v>
      </c>
      <c r="K8262" t="s">
        <v>4554</v>
      </c>
      <c r="L8262" t="s">
        <v>4555</v>
      </c>
      <c r="M8262" s="2">
        <v>1246</v>
      </c>
      <c r="N8262" t="s">
        <v>4048</v>
      </c>
      <c r="O8262">
        <v>3</v>
      </c>
      <c r="P8262">
        <v>2</v>
      </c>
      <c r="Q8262">
        <v>0</v>
      </c>
      <c r="R8262" t="s">
        <v>5281</v>
      </c>
      <c r="S8262" t="s">
        <v>4898</v>
      </c>
      <c r="T8262" t="s">
        <v>4559</v>
      </c>
      <c r="U8262" t="s">
        <v>4560</v>
      </c>
      <c r="V8262" s="2">
        <v>380</v>
      </c>
      <c r="W8262" t="s">
        <v>4655</v>
      </c>
      <c r="X8262" s="2">
        <v>0</v>
      </c>
      <c r="Y8262">
        <v>20</v>
      </c>
      <c r="Z8262" t="s">
        <v>4351</v>
      </c>
      <c r="AA8262" s="3">
        <v>0.117102846503258</v>
      </c>
      <c r="AB8262" t="s">
        <v>37993</v>
      </c>
      <c r="AC8262" t="s">
        <v>4562</v>
      </c>
      <c r="AD8262" t="s">
        <v>37994</v>
      </c>
      <c r="AE8262" t="s">
        <v>4655</v>
      </c>
      <c r="AF8262" t="s">
        <v>3170</v>
      </c>
      <c r="AG8262" t="s">
        <v>4584</v>
      </c>
      <c r="AH8262">
        <v>95070</v>
      </c>
      <c r="AI8262" t="s">
        <v>37995</v>
      </c>
      <c r="AJ8262" t="s">
        <v>2688</v>
      </c>
      <c r="AK8262" t="s">
        <v>37996</v>
      </c>
      <c r="AL8262" s="13" t="s">
        <v>1901</v>
      </c>
      <c r="AM8262">
        <v>1</v>
      </c>
      <c r="AN8262" s="15" t="s">
        <v>1448</v>
      </c>
    </row>
    <row r="8263" spans="1:40" x14ac:dyDescent="0.3">
      <c r="A8263" s="10" t="str">
        <f>HYPERLINK("http://www.washoecounty.gov/assessor/cama/?parid=554-232-10&amp;CardNumber=1","554-232-10")</f>
        <v>554-232-10</v>
      </c>
      <c r="B8263" t="s">
        <v>4655</v>
      </c>
      <c r="C8263" t="s">
        <v>37997</v>
      </c>
      <c r="D8263" s="1">
        <v>40505</v>
      </c>
      <c r="E8263" s="2">
        <v>117000</v>
      </c>
      <c r="F8263" t="s">
        <v>4553</v>
      </c>
      <c r="G8263" s="17" t="str">
        <f>HYPERLINK("https://www.washoecounty.gov/assessor/cama/?command=sales&amp;parid=55423210","3946205")</f>
        <v>3946205</v>
      </c>
      <c r="H8263" t="s">
        <v>2278</v>
      </c>
      <c r="I8263">
        <v>2005</v>
      </c>
      <c r="J8263">
        <v>2005</v>
      </c>
      <c r="K8263" t="s">
        <v>4554</v>
      </c>
      <c r="L8263" t="s">
        <v>4555</v>
      </c>
      <c r="M8263" s="2">
        <v>1246</v>
      </c>
      <c r="N8263" t="s">
        <v>4048</v>
      </c>
      <c r="O8263">
        <v>3</v>
      </c>
      <c r="P8263">
        <v>2</v>
      </c>
      <c r="Q8263">
        <v>0</v>
      </c>
      <c r="R8263" t="s">
        <v>5281</v>
      </c>
      <c r="S8263" t="s">
        <v>4898</v>
      </c>
      <c r="T8263" t="s">
        <v>4559</v>
      </c>
      <c r="U8263" t="s">
        <v>4560</v>
      </c>
      <c r="V8263" s="2">
        <v>380</v>
      </c>
      <c r="W8263" t="s">
        <v>4655</v>
      </c>
      <c r="X8263" s="2">
        <v>0</v>
      </c>
      <c r="Y8263">
        <v>20</v>
      </c>
      <c r="Z8263" t="s">
        <v>4351</v>
      </c>
      <c r="AA8263" s="3">
        <v>0.15385675430297899</v>
      </c>
      <c r="AB8263" t="s">
        <v>37998</v>
      </c>
      <c r="AC8263" t="s">
        <v>4575</v>
      </c>
      <c r="AD8263" t="s">
        <v>37997</v>
      </c>
      <c r="AE8263" t="s">
        <v>4655</v>
      </c>
      <c r="AF8263" t="s">
        <v>4563</v>
      </c>
      <c r="AG8263" t="s">
        <v>4564</v>
      </c>
      <c r="AH8263">
        <v>89506</v>
      </c>
      <c r="AI8263" t="s">
        <v>4565</v>
      </c>
      <c r="AJ8263" t="s">
        <v>2688</v>
      </c>
      <c r="AK8263" t="s">
        <v>37999</v>
      </c>
      <c r="AL8263" s="13" t="s">
        <v>1901</v>
      </c>
      <c r="AM8263" s="14">
        <v>1</v>
      </c>
      <c r="AN8263" s="15" t="s">
        <v>1448</v>
      </c>
    </row>
    <row r="8264" spans="1:40" x14ac:dyDescent="0.3">
      <c r="A8264" s="10" t="str">
        <f>HYPERLINK("http://www.washoecounty.gov/assessor/cama/?parid=554-232-12&amp;CardNumber=1","554-232-12")</f>
        <v>554-232-12</v>
      </c>
      <c r="B8264" t="s">
        <v>4655</v>
      </c>
      <c r="C8264" t="s">
        <v>38000</v>
      </c>
      <c r="D8264" s="1">
        <v>40450</v>
      </c>
      <c r="E8264" s="2">
        <v>130000</v>
      </c>
      <c r="F8264" t="s">
        <v>4567</v>
      </c>
      <c r="G8264" s="17" t="str">
        <f>HYPERLINK("https://www.washoecounty.gov/assessor/cama/?command=sales&amp;parid=55423212","3927485")</f>
        <v>3927485</v>
      </c>
      <c r="H8264" t="s">
        <v>2278</v>
      </c>
      <c r="I8264">
        <v>2005</v>
      </c>
      <c r="J8264">
        <v>2005</v>
      </c>
      <c r="K8264" t="s">
        <v>4554</v>
      </c>
      <c r="L8264" t="s">
        <v>3974</v>
      </c>
      <c r="M8264" s="2">
        <v>1727</v>
      </c>
      <c r="N8264" t="s">
        <v>4048</v>
      </c>
      <c r="O8264">
        <v>3</v>
      </c>
      <c r="P8264">
        <v>2</v>
      </c>
      <c r="Q8264">
        <v>1</v>
      </c>
      <c r="R8264" t="s">
        <v>4557</v>
      </c>
      <c r="S8264" t="s">
        <v>4898</v>
      </c>
      <c r="T8264" t="s">
        <v>4559</v>
      </c>
      <c r="U8264" t="s">
        <v>5631</v>
      </c>
      <c r="V8264" s="2">
        <v>361</v>
      </c>
      <c r="W8264" t="s">
        <v>4655</v>
      </c>
      <c r="X8264" s="2">
        <v>0</v>
      </c>
      <c r="Y8264">
        <v>20</v>
      </c>
      <c r="Z8264" t="s">
        <v>4351</v>
      </c>
      <c r="AA8264" s="3">
        <v>0.13048668205738101</v>
      </c>
      <c r="AB8264" t="s">
        <v>38001</v>
      </c>
      <c r="AC8264" t="s">
        <v>4562</v>
      </c>
      <c r="AD8264" t="s">
        <v>38000</v>
      </c>
      <c r="AE8264" t="s">
        <v>4655</v>
      </c>
      <c r="AF8264" t="s">
        <v>4563</v>
      </c>
      <c r="AG8264" t="s">
        <v>4564</v>
      </c>
      <c r="AH8264">
        <v>89506</v>
      </c>
      <c r="AI8264" t="s">
        <v>38002</v>
      </c>
      <c r="AJ8264" t="s">
        <v>2688</v>
      </c>
      <c r="AK8264" t="s">
        <v>38003</v>
      </c>
      <c r="AL8264" s="13" t="s">
        <v>1901</v>
      </c>
      <c r="AM8264">
        <v>1</v>
      </c>
      <c r="AN8264" s="15" t="s">
        <v>1448</v>
      </c>
    </row>
    <row r="8265" spans="1:40" x14ac:dyDescent="0.3">
      <c r="A8265" s="10" t="str">
        <f>HYPERLINK("http://www.washoecounty.gov/assessor/cama/?parid=554-232-18&amp;CardNumber=1","554-232-18")</f>
        <v>554-232-18</v>
      </c>
      <c r="B8265" t="s">
        <v>4655</v>
      </c>
      <c r="C8265" t="s">
        <v>38004</v>
      </c>
      <c r="D8265" s="1">
        <v>40261</v>
      </c>
      <c r="E8265" s="2">
        <v>120000</v>
      </c>
      <c r="F8265" t="s">
        <v>4567</v>
      </c>
      <c r="G8265" s="17" t="str">
        <f>HYPERLINK("https://www.washoecounty.gov/assessor/cama/?command=sales&amp;parid=55423218","3863595")</f>
        <v>3863595</v>
      </c>
      <c r="H8265" t="s">
        <v>2278</v>
      </c>
      <c r="I8265">
        <v>2005</v>
      </c>
      <c r="J8265">
        <v>2005</v>
      </c>
      <c r="K8265" t="s">
        <v>4554</v>
      </c>
      <c r="L8265" t="s">
        <v>4555</v>
      </c>
      <c r="M8265" s="2">
        <v>1247</v>
      </c>
      <c r="N8265" t="s">
        <v>4048</v>
      </c>
      <c r="O8265">
        <v>3</v>
      </c>
      <c r="P8265">
        <v>2</v>
      </c>
      <c r="Q8265">
        <v>0</v>
      </c>
      <c r="R8265" t="s">
        <v>4557</v>
      </c>
      <c r="S8265" t="s">
        <v>4898</v>
      </c>
      <c r="T8265" t="s">
        <v>4559</v>
      </c>
      <c r="U8265" t="s">
        <v>4560</v>
      </c>
      <c r="V8265" s="2">
        <v>380</v>
      </c>
      <c r="W8265" t="s">
        <v>4655</v>
      </c>
      <c r="X8265" s="2">
        <v>0</v>
      </c>
      <c r="Y8265">
        <v>20</v>
      </c>
      <c r="Z8265" t="s">
        <v>4351</v>
      </c>
      <c r="AA8265" s="3">
        <v>0.17194673418998718</v>
      </c>
      <c r="AB8265" t="s">
        <v>38005</v>
      </c>
      <c r="AC8265" t="s">
        <v>4575</v>
      </c>
      <c r="AD8265" t="s">
        <v>38006</v>
      </c>
      <c r="AE8265" t="s">
        <v>4655</v>
      </c>
      <c r="AF8265" t="s">
        <v>4563</v>
      </c>
      <c r="AG8265" t="s">
        <v>4564</v>
      </c>
      <c r="AH8265">
        <v>89506</v>
      </c>
      <c r="AI8265" t="s">
        <v>4655</v>
      </c>
      <c r="AJ8265" t="s">
        <v>2688</v>
      </c>
      <c r="AK8265" t="s">
        <v>38007</v>
      </c>
      <c r="AL8265" s="13" t="s">
        <v>1901</v>
      </c>
      <c r="AM8265" s="14">
        <v>1</v>
      </c>
      <c r="AN8265" s="15" t="s">
        <v>1448</v>
      </c>
    </row>
    <row r="8266" spans="1:40" x14ac:dyDescent="0.3">
      <c r="A8266" s="10" t="str">
        <f>HYPERLINK("http://www.washoecounty.gov/assessor/cama/?parid=554-241-13&amp;CardNumber=1","554-241-13")</f>
        <v>554-241-13</v>
      </c>
      <c r="B8266" t="s">
        <v>4655</v>
      </c>
      <c r="C8266" t="s">
        <v>2390</v>
      </c>
      <c r="D8266" s="1">
        <v>40310</v>
      </c>
      <c r="E8266" s="2">
        <v>100000</v>
      </c>
      <c r="F8266" t="s">
        <v>4567</v>
      </c>
      <c r="G8266" s="17" t="str">
        <f>HYPERLINK("https://www.washoecounty.gov/assessor/cama/?command=sales&amp;parid=55424113","3880937")</f>
        <v>3880937</v>
      </c>
      <c r="H8266" t="s">
        <v>2689</v>
      </c>
      <c r="I8266">
        <v>2006</v>
      </c>
      <c r="J8266">
        <v>2006</v>
      </c>
      <c r="K8266" t="s">
        <v>4554</v>
      </c>
      <c r="L8266" t="s">
        <v>3974</v>
      </c>
      <c r="M8266" s="2">
        <v>1727</v>
      </c>
      <c r="N8266" t="s">
        <v>4048</v>
      </c>
      <c r="O8266">
        <v>3</v>
      </c>
      <c r="P8266">
        <v>2</v>
      </c>
      <c r="Q8266">
        <v>1</v>
      </c>
      <c r="R8266" t="s">
        <v>4557</v>
      </c>
      <c r="S8266" t="s">
        <v>4898</v>
      </c>
      <c r="T8266" t="s">
        <v>4559</v>
      </c>
      <c r="U8266" t="s">
        <v>5631</v>
      </c>
      <c r="V8266" s="2">
        <v>361</v>
      </c>
      <c r="W8266" t="s">
        <v>4655</v>
      </c>
      <c r="X8266" s="2">
        <v>0</v>
      </c>
      <c r="Y8266">
        <v>20</v>
      </c>
      <c r="Z8266" t="s">
        <v>4351</v>
      </c>
      <c r="AA8266" s="3">
        <v>0.12472451478242901</v>
      </c>
      <c r="AB8266" t="s">
        <v>2391</v>
      </c>
      <c r="AC8266" t="s">
        <v>4562</v>
      </c>
      <c r="AD8266" t="s">
        <v>38008</v>
      </c>
      <c r="AE8266" t="s">
        <v>4655</v>
      </c>
      <c r="AF8266" t="s">
        <v>4563</v>
      </c>
      <c r="AG8266" t="s">
        <v>4564</v>
      </c>
      <c r="AH8266">
        <v>89506</v>
      </c>
      <c r="AI8266" t="s">
        <v>38009</v>
      </c>
      <c r="AJ8266" t="s">
        <v>2691</v>
      </c>
      <c r="AK8266" t="s">
        <v>2392</v>
      </c>
      <c r="AL8266" s="13" t="s">
        <v>1901</v>
      </c>
      <c r="AM8266" s="14">
        <v>1</v>
      </c>
      <c r="AN8266" s="15" t="s">
        <v>1448</v>
      </c>
    </row>
    <row r="8267" spans="1:40" x14ac:dyDescent="0.3">
      <c r="A8267" s="10" t="str">
        <f>HYPERLINK("http://www.washoecounty.gov/assessor/cama/?parid=554-241-16&amp;CardNumber=1","554-241-16")</f>
        <v>554-241-16</v>
      </c>
      <c r="B8267" t="s">
        <v>4655</v>
      </c>
      <c r="C8267" t="s">
        <v>38010</v>
      </c>
      <c r="D8267" s="1">
        <v>40207</v>
      </c>
      <c r="E8267" s="2">
        <v>143000</v>
      </c>
      <c r="F8267" t="s">
        <v>4553</v>
      </c>
      <c r="G8267" s="17" t="str">
        <f>HYPERLINK("https://www.washoecounty.gov/assessor/cama/?command=sales&amp;parid=55424116","3844377")</f>
        <v>3844377</v>
      </c>
      <c r="H8267" t="s">
        <v>2689</v>
      </c>
      <c r="I8267">
        <v>2006</v>
      </c>
      <c r="J8267">
        <v>2006</v>
      </c>
      <c r="K8267" t="s">
        <v>4554</v>
      </c>
      <c r="L8267" t="s">
        <v>3974</v>
      </c>
      <c r="M8267" s="2">
        <v>2040</v>
      </c>
      <c r="N8267" t="s">
        <v>4048</v>
      </c>
      <c r="O8267">
        <v>3</v>
      </c>
      <c r="P8267">
        <v>2</v>
      </c>
      <c r="Q8267">
        <v>1</v>
      </c>
      <c r="R8267" t="s">
        <v>4557</v>
      </c>
      <c r="S8267" t="s">
        <v>4898</v>
      </c>
      <c r="T8267" t="s">
        <v>4559</v>
      </c>
      <c r="U8267" t="s">
        <v>5631</v>
      </c>
      <c r="V8267" s="2">
        <v>380</v>
      </c>
      <c r="W8267" t="s">
        <v>4655</v>
      </c>
      <c r="X8267" s="2">
        <v>0</v>
      </c>
      <c r="Y8267">
        <v>20</v>
      </c>
      <c r="Z8267" t="s">
        <v>4351</v>
      </c>
      <c r="AA8267" s="3">
        <v>0.13301193714141801</v>
      </c>
      <c r="AB8267" t="s">
        <v>38011</v>
      </c>
      <c r="AC8267" t="s">
        <v>4575</v>
      </c>
      <c r="AD8267" t="s">
        <v>38012</v>
      </c>
      <c r="AE8267" t="s">
        <v>38013</v>
      </c>
      <c r="AF8267" t="s">
        <v>4563</v>
      </c>
      <c r="AG8267" t="s">
        <v>4564</v>
      </c>
      <c r="AH8267">
        <v>89506</v>
      </c>
      <c r="AI8267" t="s">
        <v>6198</v>
      </c>
      <c r="AJ8267" t="s">
        <v>2691</v>
      </c>
      <c r="AK8267" t="s">
        <v>38014</v>
      </c>
      <c r="AL8267" s="13" t="s">
        <v>1901</v>
      </c>
      <c r="AM8267">
        <v>1</v>
      </c>
      <c r="AN8267" s="15" t="s">
        <v>1448</v>
      </c>
    </row>
    <row r="8268" spans="1:40" x14ac:dyDescent="0.3">
      <c r="A8268" s="10" t="str">
        <f>HYPERLINK("http://www.washoecounty.gov/assessor/cama/?parid=554-242-12&amp;CardNumber=1","554-242-12")</f>
        <v>554-242-12</v>
      </c>
      <c r="B8268" t="s">
        <v>4655</v>
      </c>
      <c r="C8268" t="s">
        <v>38015</v>
      </c>
      <c r="D8268" s="1">
        <v>40410</v>
      </c>
      <c r="E8268" s="2">
        <v>118000</v>
      </c>
      <c r="F8268" t="s">
        <v>4553</v>
      </c>
      <c r="G8268" s="17" t="str">
        <f>HYPERLINK("https://www.washoecounty.gov/assessor/cama/?command=sales&amp;parid=55424212","3914161")</f>
        <v>3914161</v>
      </c>
      <c r="H8268" t="s">
        <v>2689</v>
      </c>
      <c r="I8268">
        <v>2005</v>
      </c>
      <c r="J8268">
        <v>2005</v>
      </c>
      <c r="K8268" t="s">
        <v>4554</v>
      </c>
      <c r="L8268" t="s">
        <v>4555</v>
      </c>
      <c r="M8268" s="2">
        <v>1246</v>
      </c>
      <c r="N8268" t="s">
        <v>4048</v>
      </c>
      <c r="O8268">
        <v>3</v>
      </c>
      <c r="P8268">
        <v>2</v>
      </c>
      <c r="Q8268">
        <v>0</v>
      </c>
      <c r="R8268" t="s">
        <v>4557</v>
      </c>
      <c r="S8268" t="s">
        <v>4898</v>
      </c>
      <c r="T8268" t="s">
        <v>4559</v>
      </c>
      <c r="U8268" t="s">
        <v>4560</v>
      </c>
      <c r="V8268" s="2">
        <v>380</v>
      </c>
      <c r="W8268" t="s">
        <v>4655</v>
      </c>
      <c r="X8268" s="2">
        <v>0</v>
      </c>
      <c r="Y8268">
        <v>20</v>
      </c>
      <c r="Z8268" t="s">
        <v>4351</v>
      </c>
      <c r="AA8268" s="3">
        <v>0.142837464809418</v>
      </c>
      <c r="AB8268" t="s">
        <v>38016</v>
      </c>
      <c r="AC8268" t="s">
        <v>4562</v>
      </c>
      <c r="AD8268" t="s">
        <v>38017</v>
      </c>
      <c r="AE8268" t="s">
        <v>4655</v>
      </c>
      <c r="AF8268" t="s">
        <v>4563</v>
      </c>
      <c r="AG8268" t="s">
        <v>4564</v>
      </c>
      <c r="AH8268">
        <v>89506</v>
      </c>
      <c r="AI8268" t="s">
        <v>4848</v>
      </c>
      <c r="AJ8268" t="s">
        <v>2691</v>
      </c>
      <c r="AK8268" t="s">
        <v>38018</v>
      </c>
      <c r="AL8268" s="13" t="s">
        <v>1901</v>
      </c>
      <c r="AM8268" s="14">
        <v>1</v>
      </c>
      <c r="AN8268" s="15" t="s">
        <v>1448</v>
      </c>
    </row>
    <row r="8269" spans="1:40" x14ac:dyDescent="0.3">
      <c r="A8269" s="10" t="str">
        <f>HYPERLINK("http://www.washoecounty.gov/assessor/cama/?parid=554-242-19&amp;CardNumber=1","554-242-19")</f>
        <v>554-242-19</v>
      </c>
      <c r="B8269" t="s">
        <v>4655</v>
      </c>
      <c r="C8269" t="s">
        <v>38019</v>
      </c>
      <c r="D8269" s="1">
        <v>40463</v>
      </c>
      <c r="E8269" s="2">
        <v>141000</v>
      </c>
      <c r="F8269" t="s">
        <v>4567</v>
      </c>
      <c r="G8269" s="17" t="str">
        <f>HYPERLINK("https://www.washoecounty.gov/assessor/cama/?command=sales&amp;parid=55424219","3932088")</f>
        <v>3932088</v>
      </c>
      <c r="H8269" t="s">
        <v>2689</v>
      </c>
      <c r="I8269">
        <v>2006</v>
      </c>
      <c r="J8269">
        <v>2006</v>
      </c>
      <c r="K8269" t="s">
        <v>4554</v>
      </c>
      <c r="L8269" t="s">
        <v>3974</v>
      </c>
      <c r="M8269" s="2">
        <v>1727</v>
      </c>
      <c r="N8269" t="s">
        <v>4048</v>
      </c>
      <c r="O8269">
        <v>3</v>
      </c>
      <c r="P8269">
        <v>2</v>
      </c>
      <c r="Q8269">
        <v>1</v>
      </c>
      <c r="R8269" t="s">
        <v>4557</v>
      </c>
      <c r="S8269" t="s">
        <v>4898</v>
      </c>
      <c r="T8269" t="s">
        <v>4559</v>
      </c>
      <c r="U8269" t="s">
        <v>5631</v>
      </c>
      <c r="V8269" s="2">
        <v>361</v>
      </c>
      <c r="W8269" t="s">
        <v>4655</v>
      </c>
      <c r="X8269" s="2">
        <v>0</v>
      </c>
      <c r="Y8269">
        <v>20</v>
      </c>
      <c r="Z8269" t="s">
        <v>4351</v>
      </c>
      <c r="AA8269" s="3">
        <v>0.115702480077744</v>
      </c>
      <c r="AB8269" t="s">
        <v>38020</v>
      </c>
      <c r="AC8269" t="s">
        <v>4562</v>
      </c>
      <c r="AD8269" t="s">
        <v>38019</v>
      </c>
      <c r="AE8269" t="s">
        <v>4655</v>
      </c>
      <c r="AF8269" t="s">
        <v>4563</v>
      </c>
      <c r="AG8269" t="s">
        <v>4564</v>
      </c>
      <c r="AH8269">
        <v>89506</v>
      </c>
      <c r="AI8269" t="s">
        <v>38021</v>
      </c>
      <c r="AJ8269" t="s">
        <v>2691</v>
      </c>
      <c r="AK8269" t="s">
        <v>38022</v>
      </c>
      <c r="AL8269" s="13" t="s">
        <v>1901</v>
      </c>
      <c r="AM8269">
        <v>1</v>
      </c>
      <c r="AN8269" s="15" t="s">
        <v>1448</v>
      </c>
    </row>
    <row r="8270" spans="1:40" x14ac:dyDescent="0.3">
      <c r="A8270" s="10" t="str">
        <f>HYPERLINK("http://www.washoecounty.gov/assessor/cama/?parid=554-243-09&amp;CardNumber=1","554-243-09")</f>
        <v>554-243-09</v>
      </c>
      <c r="B8270" t="s">
        <v>4655</v>
      </c>
      <c r="C8270" t="s">
        <v>38023</v>
      </c>
      <c r="D8270" s="1">
        <v>40351</v>
      </c>
      <c r="E8270" s="2">
        <v>149900</v>
      </c>
      <c r="F8270" t="s">
        <v>4553</v>
      </c>
      <c r="G8270" s="17" t="str">
        <f>HYPERLINK("https://www.washoecounty.gov/assessor/cama/?command=sales&amp;parid=55424309","3894100")</f>
        <v>3894100</v>
      </c>
      <c r="H8270" t="s">
        <v>2689</v>
      </c>
      <c r="I8270">
        <v>2005</v>
      </c>
      <c r="J8270">
        <v>2005</v>
      </c>
      <c r="K8270" t="s">
        <v>4554</v>
      </c>
      <c r="L8270" t="s">
        <v>3974</v>
      </c>
      <c r="M8270" s="2">
        <v>2040</v>
      </c>
      <c r="N8270" t="s">
        <v>4048</v>
      </c>
      <c r="O8270">
        <v>3</v>
      </c>
      <c r="P8270">
        <v>2</v>
      </c>
      <c r="Q8270">
        <v>1</v>
      </c>
      <c r="R8270" t="s">
        <v>4557</v>
      </c>
      <c r="S8270" t="s">
        <v>4898</v>
      </c>
      <c r="T8270" t="s">
        <v>4559</v>
      </c>
      <c r="U8270" t="s">
        <v>5631</v>
      </c>
      <c r="V8270" s="2">
        <v>380</v>
      </c>
      <c r="W8270" t="s">
        <v>4655</v>
      </c>
      <c r="X8270" s="2">
        <v>0</v>
      </c>
      <c r="Y8270">
        <v>20</v>
      </c>
      <c r="Z8270" t="s">
        <v>4351</v>
      </c>
      <c r="AA8270" s="3">
        <v>0.142860427498817</v>
      </c>
      <c r="AB8270" t="s">
        <v>38024</v>
      </c>
      <c r="AC8270" t="s">
        <v>4562</v>
      </c>
      <c r="AD8270" t="s">
        <v>38025</v>
      </c>
      <c r="AE8270" t="s">
        <v>4655</v>
      </c>
      <c r="AF8270" t="s">
        <v>38026</v>
      </c>
      <c r="AG8270" t="s">
        <v>4203</v>
      </c>
      <c r="AH8270">
        <v>83401</v>
      </c>
      <c r="AI8270" t="s">
        <v>4903</v>
      </c>
      <c r="AJ8270" t="s">
        <v>2691</v>
      </c>
      <c r="AK8270" t="s">
        <v>38027</v>
      </c>
      <c r="AL8270" s="13" t="s">
        <v>1901</v>
      </c>
      <c r="AM8270" s="14">
        <v>1</v>
      </c>
      <c r="AN8270" s="15" t="s">
        <v>1448</v>
      </c>
    </row>
    <row r="8271" spans="1:40" x14ac:dyDescent="0.3">
      <c r="A8271" s="10" t="str">
        <f>HYPERLINK("http://www.washoecounty.gov/assessor/cama/?parid=554-251-04&amp;CardNumber=1","554-251-04")</f>
        <v>554-251-04</v>
      </c>
      <c r="B8271" t="s">
        <v>4655</v>
      </c>
      <c r="C8271" t="s">
        <v>38028</v>
      </c>
      <c r="D8271" s="1">
        <v>40435</v>
      </c>
      <c r="E8271" s="2">
        <v>115000</v>
      </c>
      <c r="F8271" t="s">
        <v>4553</v>
      </c>
      <c r="G8271" s="17" t="str">
        <f>HYPERLINK("https://www.washoecounty.gov/assessor/cama/?command=sales&amp;parid=55425104","3922142")</f>
        <v>3922142</v>
      </c>
      <c r="H8271" t="s">
        <v>2689</v>
      </c>
      <c r="I8271">
        <v>2006</v>
      </c>
      <c r="J8271">
        <v>2006</v>
      </c>
      <c r="K8271" t="s">
        <v>4554</v>
      </c>
      <c r="L8271" t="s">
        <v>4555</v>
      </c>
      <c r="M8271" s="2">
        <v>1247</v>
      </c>
      <c r="N8271" t="s">
        <v>4048</v>
      </c>
      <c r="O8271">
        <v>3</v>
      </c>
      <c r="P8271">
        <v>2</v>
      </c>
      <c r="Q8271">
        <v>0</v>
      </c>
      <c r="R8271" t="s">
        <v>4557</v>
      </c>
      <c r="S8271" t="s">
        <v>4898</v>
      </c>
      <c r="T8271" t="s">
        <v>4559</v>
      </c>
      <c r="U8271" t="s">
        <v>4560</v>
      </c>
      <c r="V8271" s="2">
        <v>380</v>
      </c>
      <c r="W8271" t="s">
        <v>4655</v>
      </c>
      <c r="X8271" s="2">
        <v>0</v>
      </c>
      <c r="Y8271">
        <v>20</v>
      </c>
      <c r="Z8271" t="s">
        <v>4351</v>
      </c>
      <c r="AA8271" s="3">
        <v>0.138016521930695</v>
      </c>
      <c r="AB8271" t="s">
        <v>38029</v>
      </c>
      <c r="AC8271" t="s">
        <v>4562</v>
      </c>
      <c r="AD8271" t="s">
        <v>38030</v>
      </c>
      <c r="AE8271" t="s">
        <v>38031</v>
      </c>
      <c r="AF8271" t="s">
        <v>4563</v>
      </c>
      <c r="AG8271" t="s">
        <v>4564</v>
      </c>
      <c r="AH8271">
        <v>89510</v>
      </c>
      <c r="AI8271" t="s">
        <v>38032</v>
      </c>
      <c r="AJ8271" t="s">
        <v>2691</v>
      </c>
      <c r="AK8271" t="s">
        <v>38033</v>
      </c>
      <c r="AL8271" s="13" t="s">
        <v>1901</v>
      </c>
      <c r="AM8271" s="14">
        <v>1</v>
      </c>
      <c r="AN8271" s="15" t="s">
        <v>1448</v>
      </c>
    </row>
    <row r="8272" spans="1:40" x14ac:dyDescent="0.3">
      <c r="A8272" s="10" t="str">
        <f>HYPERLINK("http://www.washoecounty.gov/assessor/cama/?parid=554-251-08&amp;CardNumber=1","554-251-08")</f>
        <v>554-251-08</v>
      </c>
      <c r="B8272" t="s">
        <v>4655</v>
      </c>
      <c r="C8272" t="s">
        <v>38034</v>
      </c>
      <c r="D8272" s="1">
        <v>40373</v>
      </c>
      <c r="E8272" s="2">
        <v>120000</v>
      </c>
      <c r="F8272" t="s">
        <v>4567</v>
      </c>
      <c r="G8272" s="17" t="str">
        <f>HYPERLINK("https://www.washoecounty.gov/assessor/cama/?command=sales&amp;parid=55425108","3901240")</f>
        <v>3901240</v>
      </c>
      <c r="H8272" t="s">
        <v>2689</v>
      </c>
      <c r="I8272">
        <v>2006</v>
      </c>
      <c r="J8272">
        <v>2006</v>
      </c>
      <c r="K8272" t="s">
        <v>4554</v>
      </c>
      <c r="L8272" t="s">
        <v>4555</v>
      </c>
      <c r="M8272" s="2">
        <v>1246</v>
      </c>
      <c r="N8272" t="s">
        <v>4048</v>
      </c>
      <c r="O8272">
        <v>3</v>
      </c>
      <c r="P8272">
        <v>2</v>
      </c>
      <c r="Q8272">
        <v>0</v>
      </c>
      <c r="R8272" t="s">
        <v>4557</v>
      </c>
      <c r="S8272" t="s">
        <v>4898</v>
      </c>
      <c r="T8272" t="s">
        <v>4559</v>
      </c>
      <c r="U8272" t="s">
        <v>4560</v>
      </c>
      <c r="V8272" s="2">
        <v>380</v>
      </c>
      <c r="W8272" t="s">
        <v>4655</v>
      </c>
      <c r="X8272" s="2">
        <v>0</v>
      </c>
      <c r="Y8272">
        <v>20</v>
      </c>
      <c r="Z8272" t="s">
        <v>4351</v>
      </c>
      <c r="AA8272" s="3">
        <v>0.1881083548069</v>
      </c>
      <c r="AB8272" t="s">
        <v>38035</v>
      </c>
      <c r="AC8272" t="s">
        <v>4562</v>
      </c>
      <c r="AD8272" t="s">
        <v>38034</v>
      </c>
      <c r="AE8272" t="s">
        <v>4655</v>
      </c>
      <c r="AF8272" t="s">
        <v>4563</v>
      </c>
      <c r="AG8272" t="s">
        <v>4564</v>
      </c>
      <c r="AH8272">
        <v>89506</v>
      </c>
      <c r="AI8272" t="s">
        <v>38036</v>
      </c>
      <c r="AJ8272" t="s">
        <v>2691</v>
      </c>
      <c r="AK8272" t="s">
        <v>38037</v>
      </c>
      <c r="AL8272" s="13" t="s">
        <v>1901</v>
      </c>
      <c r="AM8272" s="14">
        <v>1</v>
      </c>
      <c r="AN8272" s="15" t="s">
        <v>1448</v>
      </c>
    </row>
    <row r="8273" spans="1:40" x14ac:dyDescent="0.3">
      <c r="A8273" s="10" t="str">
        <f>HYPERLINK("http://www.washoecounty.gov/assessor/cama/?parid=554-251-11&amp;CardNumber=1","554-251-11")</f>
        <v>554-251-11</v>
      </c>
      <c r="B8273" t="s">
        <v>4655</v>
      </c>
      <c r="C8273" t="s">
        <v>38038</v>
      </c>
      <c r="D8273" s="1">
        <v>40235</v>
      </c>
      <c r="E8273" s="2">
        <v>114801</v>
      </c>
      <c r="F8273" t="s">
        <v>4553</v>
      </c>
      <c r="G8273" s="17" t="str">
        <f>HYPERLINK("https://www.washoecounty.gov/assessor/cama/?command=sales&amp;parid=55425111","3853532")</f>
        <v>3853532</v>
      </c>
      <c r="H8273" t="s">
        <v>2689</v>
      </c>
      <c r="I8273">
        <v>2006</v>
      </c>
      <c r="J8273">
        <v>2006</v>
      </c>
      <c r="K8273" t="s">
        <v>4554</v>
      </c>
      <c r="L8273" t="s">
        <v>3974</v>
      </c>
      <c r="M8273" s="2">
        <v>1727</v>
      </c>
      <c r="N8273" t="s">
        <v>4048</v>
      </c>
      <c r="O8273">
        <v>3</v>
      </c>
      <c r="P8273">
        <v>2</v>
      </c>
      <c r="Q8273">
        <v>1</v>
      </c>
      <c r="R8273" t="s">
        <v>4557</v>
      </c>
      <c r="S8273" t="s">
        <v>4898</v>
      </c>
      <c r="T8273" t="s">
        <v>4559</v>
      </c>
      <c r="U8273" t="s">
        <v>5631</v>
      </c>
      <c r="V8273" s="2">
        <v>361</v>
      </c>
      <c r="W8273" t="s">
        <v>4655</v>
      </c>
      <c r="X8273" s="2">
        <v>0</v>
      </c>
      <c r="Y8273">
        <v>20</v>
      </c>
      <c r="Z8273" t="s">
        <v>4351</v>
      </c>
      <c r="AA8273" s="3">
        <v>0.33133608102798501</v>
      </c>
      <c r="AB8273" t="s">
        <v>38039</v>
      </c>
      <c r="AC8273" t="s">
        <v>4575</v>
      </c>
      <c r="AD8273" t="s">
        <v>19511</v>
      </c>
      <c r="AE8273" t="s">
        <v>4655</v>
      </c>
      <c r="AF8273" t="s">
        <v>4563</v>
      </c>
      <c r="AG8273" t="s">
        <v>4564</v>
      </c>
      <c r="AH8273">
        <v>89509</v>
      </c>
      <c r="AI8273" t="s">
        <v>4848</v>
      </c>
      <c r="AJ8273" t="s">
        <v>2691</v>
      </c>
      <c r="AK8273" t="s">
        <v>38040</v>
      </c>
      <c r="AL8273" s="13" t="s">
        <v>1901</v>
      </c>
      <c r="AM8273">
        <v>1</v>
      </c>
      <c r="AN8273" s="15" t="s">
        <v>1448</v>
      </c>
    </row>
    <row r="8274" spans="1:40" x14ac:dyDescent="0.3">
      <c r="A8274" s="10" t="str">
        <f>HYPERLINK("http://www.washoecounty.gov/assessor/cama/?parid=554-251-12&amp;CardNumber=1","554-251-12")</f>
        <v>554-251-12</v>
      </c>
      <c r="B8274" t="s">
        <v>4655</v>
      </c>
      <c r="C8274" t="s">
        <v>38041</v>
      </c>
      <c r="D8274" s="1">
        <v>40262</v>
      </c>
      <c r="E8274" s="2">
        <v>160000</v>
      </c>
      <c r="F8274" t="s">
        <v>4567</v>
      </c>
      <c r="G8274" s="17" t="str">
        <f>HYPERLINK("https://www.washoecounty.gov/assessor/cama/?command=sales&amp;parid=55425112","3863915")</f>
        <v>3863915</v>
      </c>
      <c r="H8274" t="s">
        <v>2689</v>
      </c>
      <c r="I8274">
        <v>2006</v>
      </c>
      <c r="J8274">
        <v>2006</v>
      </c>
      <c r="K8274" t="s">
        <v>4554</v>
      </c>
      <c r="L8274" t="s">
        <v>3974</v>
      </c>
      <c r="M8274" s="2">
        <v>2130</v>
      </c>
      <c r="N8274" t="s">
        <v>4048</v>
      </c>
      <c r="O8274">
        <v>4</v>
      </c>
      <c r="P8274">
        <v>2</v>
      </c>
      <c r="Q8274">
        <v>1</v>
      </c>
      <c r="R8274" t="s">
        <v>4557</v>
      </c>
      <c r="S8274" t="s">
        <v>4898</v>
      </c>
      <c r="T8274" t="s">
        <v>4559</v>
      </c>
      <c r="U8274" t="s">
        <v>5631</v>
      </c>
      <c r="V8274" s="2">
        <v>380</v>
      </c>
      <c r="W8274" t="s">
        <v>4655</v>
      </c>
      <c r="X8274" s="2">
        <v>0</v>
      </c>
      <c r="Y8274">
        <v>20</v>
      </c>
      <c r="Z8274" t="s">
        <v>4351</v>
      </c>
      <c r="AA8274" s="3">
        <v>0.15984848141670199</v>
      </c>
      <c r="AB8274" t="s">
        <v>38042</v>
      </c>
      <c r="AC8274" t="s">
        <v>4562</v>
      </c>
      <c r="AD8274" t="s">
        <v>38041</v>
      </c>
      <c r="AE8274" t="s">
        <v>4655</v>
      </c>
      <c r="AF8274" t="s">
        <v>4563</v>
      </c>
      <c r="AG8274" t="s">
        <v>4564</v>
      </c>
      <c r="AH8274">
        <v>89506</v>
      </c>
      <c r="AI8274" t="s">
        <v>6293</v>
      </c>
      <c r="AJ8274" t="s">
        <v>2691</v>
      </c>
      <c r="AK8274" t="s">
        <v>38043</v>
      </c>
      <c r="AL8274" s="13" t="s">
        <v>1901</v>
      </c>
      <c r="AM8274">
        <v>1</v>
      </c>
      <c r="AN8274" s="15" t="s">
        <v>1448</v>
      </c>
    </row>
    <row r="8275" spans="1:40" x14ac:dyDescent="0.3">
      <c r="A8275" s="10" t="str">
        <f>HYPERLINK("http://www.washoecounty.gov/assessor/cama/?parid=554-251-14&amp;CardNumber=1","554-251-14")</f>
        <v>554-251-14</v>
      </c>
      <c r="B8275" t="s">
        <v>4655</v>
      </c>
      <c r="C8275" t="s">
        <v>38044</v>
      </c>
      <c r="D8275" s="1">
        <v>40259</v>
      </c>
      <c r="E8275" s="2">
        <v>120000</v>
      </c>
      <c r="F8275" t="s">
        <v>4567</v>
      </c>
      <c r="G8275" s="17" t="str">
        <f>HYPERLINK("https://www.washoecounty.gov/assessor/cama/?command=sales&amp;parid=55425114","3862265")</f>
        <v>3862265</v>
      </c>
      <c r="H8275" t="s">
        <v>2689</v>
      </c>
      <c r="I8275">
        <v>2006</v>
      </c>
      <c r="J8275">
        <v>2006</v>
      </c>
      <c r="K8275" t="s">
        <v>4554</v>
      </c>
      <c r="L8275" t="s">
        <v>4555</v>
      </c>
      <c r="M8275" s="2">
        <v>1247</v>
      </c>
      <c r="N8275" t="s">
        <v>4048</v>
      </c>
      <c r="O8275">
        <v>3</v>
      </c>
      <c r="P8275">
        <v>2</v>
      </c>
      <c r="Q8275">
        <v>0</v>
      </c>
      <c r="R8275" t="s">
        <v>4557</v>
      </c>
      <c r="S8275" t="s">
        <v>4898</v>
      </c>
      <c r="T8275" t="s">
        <v>4559</v>
      </c>
      <c r="U8275" t="s">
        <v>4560</v>
      </c>
      <c r="V8275" s="2">
        <v>380</v>
      </c>
      <c r="W8275" t="s">
        <v>4655</v>
      </c>
      <c r="X8275" s="2">
        <v>0</v>
      </c>
      <c r="Y8275">
        <v>20</v>
      </c>
      <c r="Z8275" t="s">
        <v>4351</v>
      </c>
      <c r="AA8275" s="3">
        <v>0.13638658821582794</v>
      </c>
      <c r="AB8275" t="s">
        <v>38045</v>
      </c>
      <c r="AC8275" t="s">
        <v>4562</v>
      </c>
      <c r="AD8275" t="s">
        <v>38044</v>
      </c>
      <c r="AE8275" t="s">
        <v>4655</v>
      </c>
      <c r="AF8275" t="s">
        <v>4563</v>
      </c>
      <c r="AG8275" t="s">
        <v>4564</v>
      </c>
      <c r="AH8275">
        <v>89506</v>
      </c>
      <c r="AI8275" t="s">
        <v>38046</v>
      </c>
      <c r="AJ8275" t="s">
        <v>2691</v>
      </c>
      <c r="AK8275" t="s">
        <v>38047</v>
      </c>
      <c r="AL8275" s="13" t="s">
        <v>1901</v>
      </c>
      <c r="AM8275">
        <v>1</v>
      </c>
      <c r="AN8275" s="15" t="s">
        <v>1448</v>
      </c>
    </row>
    <row r="8276" spans="1:40" x14ac:dyDescent="0.3">
      <c r="A8276" s="10" t="str">
        <f>HYPERLINK("http://www.washoecounty.gov/assessor/cama/?parid=554-253-02&amp;CardNumber=1","554-253-02")</f>
        <v>554-253-02</v>
      </c>
      <c r="B8276" t="s">
        <v>4655</v>
      </c>
      <c r="C8276" t="s">
        <v>38048</v>
      </c>
      <c r="D8276" s="1">
        <v>40261</v>
      </c>
      <c r="E8276" s="2">
        <v>124000</v>
      </c>
      <c r="F8276" t="s">
        <v>4567</v>
      </c>
      <c r="G8276" s="17" t="str">
        <f>HYPERLINK("https://www.washoecounty.gov/assessor/cama/?command=sales&amp;parid=55425302","3863685")</f>
        <v>3863685</v>
      </c>
      <c r="H8276" t="s">
        <v>2689</v>
      </c>
      <c r="I8276">
        <v>2006</v>
      </c>
      <c r="J8276">
        <v>2006</v>
      </c>
      <c r="K8276" t="s">
        <v>4554</v>
      </c>
      <c r="L8276" t="s">
        <v>4555</v>
      </c>
      <c r="M8276" s="2">
        <v>1247</v>
      </c>
      <c r="N8276" t="s">
        <v>4048</v>
      </c>
      <c r="O8276">
        <v>3</v>
      </c>
      <c r="P8276">
        <v>2</v>
      </c>
      <c r="Q8276">
        <v>0</v>
      </c>
      <c r="R8276" t="s">
        <v>4557</v>
      </c>
      <c r="S8276" t="s">
        <v>4898</v>
      </c>
      <c r="T8276" t="s">
        <v>4559</v>
      </c>
      <c r="U8276" t="s">
        <v>4560</v>
      </c>
      <c r="V8276" s="2">
        <v>380</v>
      </c>
      <c r="W8276" t="s">
        <v>4655</v>
      </c>
      <c r="X8276" s="2">
        <v>0</v>
      </c>
      <c r="Y8276">
        <v>20</v>
      </c>
      <c r="Z8276" t="s">
        <v>4351</v>
      </c>
      <c r="AA8276" s="3">
        <v>0.16551882028579701</v>
      </c>
      <c r="AB8276" t="s">
        <v>38049</v>
      </c>
      <c r="AC8276" t="s">
        <v>4562</v>
      </c>
      <c r="AD8276" t="s">
        <v>38050</v>
      </c>
      <c r="AE8276" t="s">
        <v>4655</v>
      </c>
      <c r="AF8276" t="s">
        <v>4563</v>
      </c>
      <c r="AG8276" t="s">
        <v>4564</v>
      </c>
      <c r="AH8276">
        <v>89506</v>
      </c>
      <c r="AI8276" t="s">
        <v>4655</v>
      </c>
      <c r="AJ8276" t="s">
        <v>2691</v>
      </c>
      <c r="AK8276" t="s">
        <v>38051</v>
      </c>
      <c r="AL8276" s="13" t="s">
        <v>1901</v>
      </c>
      <c r="AM8276">
        <v>1</v>
      </c>
      <c r="AN8276" s="15" t="s">
        <v>1448</v>
      </c>
    </row>
    <row r="8277" spans="1:40" x14ac:dyDescent="0.3">
      <c r="A8277" s="10" t="str">
        <f>HYPERLINK("http://www.washoecounty.gov/assessor/cama/?parid=554-253-08&amp;CardNumber=1","554-253-08")</f>
        <v>554-253-08</v>
      </c>
      <c r="B8277" t="s">
        <v>4655</v>
      </c>
      <c r="C8277" t="s">
        <v>38052</v>
      </c>
      <c r="D8277" s="1">
        <v>40240</v>
      </c>
      <c r="E8277" s="2">
        <v>130000</v>
      </c>
      <c r="F8277" t="s">
        <v>4567</v>
      </c>
      <c r="G8277" s="17" t="str">
        <f>HYPERLINK("https://www.washoecounty.gov/assessor/cama/?command=sales&amp;parid=55425308","3855114")</f>
        <v>3855114</v>
      </c>
      <c r="H8277" t="s">
        <v>2689</v>
      </c>
      <c r="I8277">
        <v>2006</v>
      </c>
      <c r="J8277">
        <v>2006</v>
      </c>
      <c r="K8277" t="s">
        <v>4554</v>
      </c>
      <c r="L8277" t="s">
        <v>3974</v>
      </c>
      <c r="M8277" s="2">
        <v>1727</v>
      </c>
      <c r="N8277" t="s">
        <v>4048</v>
      </c>
      <c r="O8277">
        <v>3</v>
      </c>
      <c r="P8277">
        <v>2</v>
      </c>
      <c r="Q8277">
        <v>1</v>
      </c>
      <c r="R8277" t="s">
        <v>4557</v>
      </c>
      <c r="S8277" t="s">
        <v>4898</v>
      </c>
      <c r="T8277" t="s">
        <v>4559</v>
      </c>
      <c r="U8277" t="s">
        <v>5631</v>
      </c>
      <c r="V8277" s="2">
        <v>361</v>
      </c>
      <c r="W8277" t="s">
        <v>4655</v>
      </c>
      <c r="X8277" s="2">
        <v>0</v>
      </c>
      <c r="Y8277">
        <v>20</v>
      </c>
      <c r="Z8277" t="s">
        <v>4351</v>
      </c>
      <c r="AA8277" s="3">
        <v>0.10904499888420099</v>
      </c>
      <c r="AB8277" t="s">
        <v>38053</v>
      </c>
      <c r="AC8277" t="s">
        <v>4575</v>
      </c>
      <c r="AD8277" t="s">
        <v>38054</v>
      </c>
      <c r="AE8277" t="s">
        <v>4655</v>
      </c>
      <c r="AF8277" t="s">
        <v>2849</v>
      </c>
      <c r="AG8277" t="s">
        <v>4584</v>
      </c>
      <c r="AH8277" t="s">
        <v>2178</v>
      </c>
      <c r="AI8277" t="s">
        <v>38055</v>
      </c>
      <c r="AJ8277" t="s">
        <v>2691</v>
      </c>
      <c r="AK8277" t="s">
        <v>38056</v>
      </c>
      <c r="AL8277" s="13" t="s">
        <v>1901</v>
      </c>
      <c r="AM8277">
        <v>1</v>
      </c>
      <c r="AN8277" s="15" t="s">
        <v>1448</v>
      </c>
    </row>
    <row r="8278" spans="1:40" x14ac:dyDescent="0.3">
      <c r="A8278" s="10" t="str">
        <f>HYPERLINK("http://www.washoecounty.gov/assessor/cama/?parid=554-253-20&amp;CardNumber=1","554-253-20")</f>
        <v>554-253-20</v>
      </c>
      <c r="B8278" t="s">
        <v>4655</v>
      </c>
      <c r="C8278" t="s">
        <v>38057</v>
      </c>
      <c r="D8278" s="1">
        <v>40345</v>
      </c>
      <c r="E8278" s="2">
        <v>150000</v>
      </c>
      <c r="F8278" t="s">
        <v>4567</v>
      </c>
      <c r="G8278" s="17" t="str">
        <f>HYPERLINK("https://www.washoecounty.gov/assessor/cama/?command=sales&amp;parid=55425320","3892314")</f>
        <v>3892314</v>
      </c>
      <c r="H8278" t="s">
        <v>2689</v>
      </c>
      <c r="I8278">
        <v>2006</v>
      </c>
      <c r="J8278">
        <v>2006</v>
      </c>
      <c r="K8278" t="s">
        <v>4554</v>
      </c>
      <c r="L8278" t="s">
        <v>3974</v>
      </c>
      <c r="M8278" s="2">
        <v>2040</v>
      </c>
      <c r="N8278" t="s">
        <v>4048</v>
      </c>
      <c r="O8278">
        <v>3</v>
      </c>
      <c r="P8278">
        <v>2</v>
      </c>
      <c r="Q8278">
        <v>1</v>
      </c>
      <c r="R8278" t="s">
        <v>4557</v>
      </c>
      <c r="S8278" t="s">
        <v>4898</v>
      </c>
      <c r="T8278" t="s">
        <v>4559</v>
      </c>
      <c r="U8278" t="s">
        <v>5631</v>
      </c>
      <c r="V8278" s="2">
        <v>380</v>
      </c>
      <c r="W8278" t="s">
        <v>4655</v>
      </c>
      <c r="X8278" s="2">
        <v>0</v>
      </c>
      <c r="Y8278">
        <v>20</v>
      </c>
      <c r="Z8278" t="s">
        <v>4351</v>
      </c>
      <c r="AA8278" s="3">
        <v>0.122704312205315</v>
      </c>
      <c r="AB8278" t="s">
        <v>38058</v>
      </c>
      <c r="AC8278" t="s">
        <v>4562</v>
      </c>
      <c r="AD8278" t="s">
        <v>38057</v>
      </c>
      <c r="AE8278" t="s">
        <v>4655</v>
      </c>
      <c r="AF8278" t="s">
        <v>4563</v>
      </c>
      <c r="AG8278" t="s">
        <v>4564</v>
      </c>
      <c r="AH8278">
        <v>89506</v>
      </c>
      <c r="AI8278" t="s">
        <v>38059</v>
      </c>
      <c r="AJ8278" t="s">
        <v>2691</v>
      </c>
      <c r="AK8278" t="s">
        <v>38060</v>
      </c>
      <c r="AL8278" s="13" t="s">
        <v>1901</v>
      </c>
      <c r="AM8278">
        <v>1</v>
      </c>
      <c r="AN8278" s="15" t="s">
        <v>1448</v>
      </c>
    </row>
    <row r="8279" spans="1:40" x14ac:dyDescent="0.3">
      <c r="A8279" s="10" t="str">
        <f>HYPERLINK("http://www.washoecounty.gov/assessor/cama/?parid=556-041-02&amp;CardNumber=1","556-041-02")</f>
        <v>556-041-02</v>
      </c>
      <c r="B8279" t="s">
        <v>4655</v>
      </c>
      <c r="C8279" t="s">
        <v>38061</v>
      </c>
      <c r="D8279" s="1">
        <v>40505</v>
      </c>
      <c r="E8279" s="2">
        <v>108000</v>
      </c>
      <c r="F8279" t="s">
        <v>4567</v>
      </c>
      <c r="G8279" s="17" t="str">
        <f>HYPERLINK("https://www.washoecounty.gov/assessor/cama/?command=sales&amp;parid=55604102","3945981")</f>
        <v>3945981</v>
      </c>
      <c r="H8279" t="s">
        <v>2692</v>
      </c>
      <c r="I8279">
        <v>1998</v>
      </c>
      <c r="J8279">
        <v>1998</v>
      </c>
      <c r="K8279" t="s">
        <v>4554</v>
      </c>
      <c r="L8279" t="s">
        <v>4555</v>
      </c>
      <c r="M8279" s="2">
        <v>1170</v>
      </c>
      <c r="N8279" t="s">
        <v>4048</v>
      </c>
      <c r="O8279">
        <v>3</v>
      </c>
      <c r="P8279">
        <v>2</v>
      </c>
      <c r="Q8279">
        <v>0</v>
      </c>
      <c r="R8279" t="s">
        <v>5281</v>
      </c>
      <c r="S8279" t="s">
        <v>4898</v>
      </c>
      <c r="T8279" t="s">
        <v>4559</v>
      </c>
      <c r="U8279" t="s">
        <v>4560</v>
      </c>
      <c r="V8279" s="2">
        <v>528</v>
      </c>
      <c r="W8279" t="s">
        <v>4655</v>
      </c>
      <c r="X8279" s="2">
        <v>0</v>
      </c>
      <c r="Y8279">
        <v>20</v>
      </c>
      <c r="Z8279" t="s">
        <v>5508</v>
      </c>
      <c r="AA8279" s="3">
        <v>0.37601009011268599</v>
      </c>
      <c r="AB8279" t="s">
        <v>38062</v>
      </c>
      <c r="AC8279" t="s">
        <v>4562</v>
      </c>
      <c r="AD8279" t="s">
        <v>38061</v>
      </c>
      <c r="AE8279" t="s">
        <v>4655</v>
      </c>
      <c r="AF8279" t="s">
        <v>4563</v>
      </c>
      <c r="AG8279" t="s">
        <v>4564</v>
      </c>
      <c r="AH8279">
        <v>89508</v>
      </c>
      <c r="AI8279" t="s">
        <v>4655</v>
      </c>
      <c r="AJ8279" t="s">
        <v>2693</v>
      </c>
      <c r="AK8279" t="s">
        <v>38063</v>
      </c>
      <c r="AL8279" s="13" t="s">
        <v>1892</v>
      </c>
      <c r="AM8279">
        <v>1</v>
      </c>
      <c r="AN8279" s="15" t="s">
        <v>2694</v>
      </c>
    </row>
    <row r="8280" spans="1:40" x14ac:dyDescent="0.3">
      <c r="A8280" s="10" t="str">
        <f>HYPERLINK("http://www.washoecounty.gov/assessor/cama/?parid=556-041-07&amp;CardNumber=1","556-041-07")</f>
        <v>556-041-07</v>
      </c>
      <c r="B8280" t="s">
        <v>4655</v>
      </c>
      <c r="C8280" t="s">
        <v>38064</v>
      </c>
      <c r="D8280" s="1">
        <v>40422</v>
      </c>
      <c r="E8280" s="2">
        <v>154900</v>
      </c>
      <c r="F8280" t="s">
        <v>4553</v>
      </c>
      <c r="G8280" s="17" t="str">
        <f>HYPERLINK("https://www.washoecounty.gov/assessor/cama/?command=sales&amp;parid=55604107","3917947")</f>
        <v>3917947</v>
      </c>
      <c r="H8280" t="s">
        <v>2692</v>
      </c>
      <c r="I8280">
        <v>1998</v>
      </c>
      <c r="J8280">
        <v>1998</v>
      </c>
      <c r="K8280" t="s">
        <v>4554</v>
      </c>
      <c r="L8280" t="s">
        <v>4555</v>
      </c>
      <c r="M8280" s="2">
        <v>1702</v>
      </c>
      <c r="N8280" t="s">
        <v>4048</v>
      </c>
      <c r="O8280">
        <v>4</v>
      </c>
      <c r="P8280">
        <v>2</v>
      </c>
      <c r="Q8280">
        <v>0</v>
      </c>
      <c r="R8280" t="s">
        <v>4557</v>
      </c>
      <c r="S8280" t="s">
        <v>4898</v>
      </c>
      <c r="T8280" t="s">
        <v>4559</v>
      </c>
      <c r="U8280" t="s">
        <v>4560</v>
      </c>
      <c r="V8280" s="2">
        <v>528</v>
      </c>
      <c r="W8280" t="s">
        <v>4655</v>
      </c>
      <c r="X8280" s="2">
        <v>0</v>
      </c>
      <c r="Y8280">
        <v>20</v>
      </c>
      <c r="Z8280" t="s">
        <v>5508</v>
      </c>
      <c r="AA8280" s="3">
        <v>0.28599631786346436</v>
      </c>
      <c r="AB8280" t="s">
        <v>38065</v>
      </c>
      <c r="AC8280" t="s">
        <v>4562</v>
      </c>
      <c r="AD8280" t="s">
        <v>38064</v>
      </c>
      <c r="AE8280" t="s">
        <v>4655</v>
      </c>
      <c r="AF8280" t="s">
        <v>4563</v>
      </c>
      <c r="AG8280" t="s">
        <v>4564</v>
      </c>
      <c r="AH8280">
        <v>89508</v>
      </c>
      <c r="AI8280" t="s">
        <v>3081</v>
      </c>
      <c r="AJ8280" t="s">
        <v>2693</v>
      </c>
      <c r="AK8280" t="s">
        <v>38066</v>
      </c>
      <c r="AL8280" s="13" t="s">
        <v>1892</v>
      </c>
      <c r="AM8280">
        <v>1</v>
      </c>
      <c r="AN8280" s="15" t="s">
        <v>2694</v>
      </c>
    </row>
    <row r="8281" spans="1:40" x14ac:dyDescent="0.3">
      <c r="A8281" s="10" t="str">
        <f>HYPERLINK("http://www.washoecounty.gov/assessor/cama/?parid=556-051-18&amp;CardNumber=1","556-051-18")</f>
        <v>556-051-18</v>
      </c>
      <c r="B8281" t="s">
        <v>4655</v>
      </c>
      <c r="C8281" t="s">
        <v>38067</v>
      </c>
      <c r="D8281" s="1">
        <v>40297</v>
      </c>
      <c r="E8281" s="2">
        <v>142500</v>
      </c>
      <c r="F8281" t="s">
        <v>4553</v>
      </c>
      <c r="G8281" s="17" t="str">
        <f>HYPERLINK("https://www.washoecounty.gov/assessor/cama/?command=sales&amp;parid=55605118","3875971")</f>
        <v>3875971</v>
      </c>
      <c r="H8281" t="s">
        <v>2692</v>
      </c>
      <c r="I8281">
        <v>1998</v>
      </c>
      <c r="J8281">
        <v>1998</v>
      </c>
      <c r="K8281" t="s">
        <v>4554</v>
      </c>
      <c r="L8281" t="s">
        <v>4555</v>
      </c>
      <c r="M8281" s="2">
        <v>1957</v>
      </c>
      <c r="N8281" t="s">
        <v>4048</v>
      </c>
      <c r="O8281">
        <v>4</v>
      </c>
      <c r="P8281">
        <v>2</v>
      </c>
      <c r="Q8281">
        <v>0</v>
      </c>
      <c r="R8281" t="s">
        <v>4557</v>
      </c>
      <c r="S8281" t="s">
        <v>4898</v>
      </c>
      <c r="T8281" t="s">
        <v>4559</v>
      </c>
      <c r="U8281" t="s">
        <v>4560</v>
      </c>
      <c r="V8281" s="2">
        <v>832</v>
      </c>
      <c r="W8281" t="s">
        <v>4655</v>
      </c>
      <c r="X8281" s="2">
        <v>0</v>
      </c>
      <c r="Y8281">
        <v>20</v>
      </c>
      <c r="Z8281" t="s">
        <v>5508</v>
      </c>
      <c r="AA8281" s="3">
        <v>0.30300733447074901</v>
      </c>
      <c r="AB8281" t="s">
        <v>38068</v>
      </c>
      <c r="AC8281" t="s">
        <v>4562</v>
      </c>
      <c r="AD8281" t="s">
        <v>38069</v>
      </c>
      <c r="AE8281" t="s">
        <v>4655</v>
      </c>
      <c r="AF8281" t="s">
        <v>4563</v>
      </c>
      <c r="AG8281" t="s">
        <v>4564</v>
      </c>
      <c r="AH8281">
        <v>89511</v>
      </c>
      <c r="AI8281" t="s">
        <v>1602</v>
      </c>
      <c r="AJ8281" t="s">
        <v>2693</v>
      </c>
      <c r="AK8281" t="s">
        <v>38070</v>
      </c>
      <c r="AL8281" s="13" t="s">
        <v>1892</v>
      </c>
      <c r="AM8281">
        <v>1</v>
      </c>
      <c r="AN8281" s="15" t="s">
        <v>2694</v>
      </c>
    </row>
    <row r="8282" spans="1:40" x14ac:dyDescent="0.3">
      <c r="A8282" s="10" t="str">
        <f>HYPERLINK("http://www.washoecounty.gov/assessor/cama/?parid=556-051-20&amp;CardNumber=1","556-051-20")</f>
        <v>556-051-20</v>
      </c>
      <c r="B8282" t="s">
        <v>4655</v>
      </c>
      <c r="C8282" t="s">
        <v>38071</v>
      </c>
      <c r="D8282" s="1">
        <v>40402</v>
      </c>
      <c r="E8282" s="2">
        <v>210000</v>
      </c>
      <c r="F8282" t="s">
        <v>4567</v>
      </c>
      <c r="G8282" s="17" t="str">
        <f>HYPERLINK("https://www.washoecounty.gov/assessor/cama/?command=sales&amp;parid=55605120","3911251")</f>
        <v>3911251</v>
      </c>
      <c r="H8282" t="s">
        <v>2692</v>
      </c>
      <c r="I8282">
        <v>1998</v>
      </c>
      <c r="J8282">
        <v>1998</v>
      </c>
      <c r="K8282" t="s">
        <v>4554</v>
      </c>
      <c r="L8282" t="s">
        <v>3974</v>
      </c>
      <c r="M8282" s="2">
        <v>2918</v>
      </c>
      <c r="N8282" t="s">
        <v>4048</v>
      </c>
      <c r="O8282">
        <v>6</v>
      </c>
      <c r="P8282">
        <v>2</v>
      </c>
      <c r="Q8282">
        <v>1</v>
      </c>
      <c r="R8282" t="s">
        <v>4557</v>
      </c>
      <c r="S8282" t="s">
        <v>4898</v>
      </c>
      <c r="T8282" t="s">
        <v>4559</v>
      </c>
      <c r="U8282" t="s">
        <v>5631</v>
      </c>
      <c r="V8282" s="2">
        <v>776</v>
      </c>
      <c r="W8282" t="s">
        <v>4655</v>
      </c>
      <c r="X8282" s="2">
        <v>0</v>
      </c>
      <c r="Y8282">
        <v>20</v>
      </c>
      <c r="Z8282" t="s">
        <v>5508</v>
      </c>
      <c r="AA8282" s="3">
        <v>0.37398990988731401</v>
      </c>
      <c r="AB8282" t="s">
        <v>38072</v>
      </c>
      <c r="AC8282" t="s">
        <v>4562</v>
      </c>
      <c r="AD8282" t="s">
        <v>38071</v>
      </c>
      <c r="AE8282" t="s">
        <v>4655</v>
      </c>
      <c r="AF8282" t="s">
        <v>4563</v>
      </c>
      <c r="AG8282" t="s">
        <v>4564</v>
      </c>
      <c r="AH8282">
        <v>89508</v>
      </c>
      <c r="AI8282" t="s">
        <v>38073</v>
      </c>
      <c r="AJ8282" t="s">
        <v>2693</v>
      </c>
      <c r="AK8282" t="s">
        <v>38074</v>
      </c>
      <c r="AL8282" s="13" t="s">
        <v>1892</v>
      </c>
      <c r="AM8282" s="14">
        <v>1</v>
      </c>
      <c r="AN8282" s="15" t="s">
        <v>2694</v>
      </c>
    </row>
    <row r="8283" spans="1:40" x14ac:dyDescent="0.3">
      <c r="A8283" s="10" t="str">
        <f>HYPERLINK("http://www.washoecounty.gov/assessor/cama/?parid=556-053-04&amp;CardNumber=1","556-053-04")</f>
        <v>556-053-04</v>
      </c>
      <c r="B8283" t="s">
        <v>4655</v>
      </c>
      <c r="C8283" t="s">
        <v>38075</v>
      </c>
      <c r="D8283" s="1">
        <v>40227</v>
      </c>
      <c r="E8283" s="2">
        <v>123000</v>
      </c>
      <c r="F8283" t="s">
        <v>4553</v>
      </c>
      <c r="G8283" s="17" t="str">
        <f>HYPERLINK("https://www.washoecounty.gov/assessor/cama/?command=sales&amp;parid=55605304","3850514")</f>
        <v>3850514</v>
      </c>
      <c r="H8283" t="s">
        <v>2692</v>
      </c>
      <c r="I8283">
        <v>1999</v>
      </c>
      <c r="J8283">
        <v>1999</v>
      </c>
      <c r="K8283" t="s">
        <v>4554</v>
      </c>
      <c r="L8283" t="s">
        <v>4555</v>
      </c>
      <c r="M8283" s="2">
        <v>1487</v>
      </c>
      <c r="N8283" t="s">
        <v>4048</v>
      </c>
      <c r="O8283">
        <v>4</v>
      </c>
      <c r="P8283">
        <v>2</v>
      </c>
      <c r="Q8283">
        <v>0</v>
      </c>
      <c r="R8283" t="s">
        <v>5281</v>
      </c>
      <c r="S8283" t="s">
        <v>4898</v>
      </c>
      <c r="T8283" t="s">
        <v>4559</v>
      </c>
      <c r="U8283" t="s">
        <v>4560</v>
      </c>
      <c r="V8283" s="2">
        <v>528</v>
      </c>
      <c r="W8283" t="s">
        <v>4655</v>
      </c>
      <c r="X8283" s="2">
        <v>0</v>
      </c>
      <c r="Y8283">
        <v>20</v>
      </c>
      <c r="Z8283" t="s">
        <v>5508</v>
      </c>
      <c r="AA8283" s="3">
        <v>0.26999542117118802</v>
      </c>
      <c r="AB8283" t="s">
        <v>38076</v>
      </c>
      <c r="AC8283" t="s">
        <v>4562</v>
      </c>
      <c r="AD8283" t="s">
        <v>38077</v>
      </c>
      <c r="AE8283" t="s">
        <v>4655</v>
      </c>
      <c r="AF8283" t="s">
        <v>4563</v>
      </c>
      <c r="AG8283" t="s">
        <v>4564</v>
      </c>
      <c r="AH8283">
        <v>89508</v>
      </c>
      <c r="AI8283" t="s">
        <v>4903</v>
      </c>
      <c r="AJ8283" t="s">
        <v>2693</v>
      </c>
      <c r="AK8283" t="s">
        <v>38078</v>
      </c>
      <c r="AL8283" s="13" t="s">
        <v>1892</v>
      </c>
      <c r="AM8283">
        <v>1</v>
      </c>
      <c r="AN8283" s="15" t="s">
        <v>2694</v>
      </c>
    </row>
    <row r="8284" spans="1:40" x14ac:dyDescent="0.3">
      <c r="A8284" s="10" t="str">
        <f>HYPERLINK("http://www.washoecounty.gov/assessor/cama/?parid=556-053-05&amp;CardNumber=1","556-053-05")</f>
        <v>556-053-05</v>
      </c>
      <c r="B8284" t="s">
        <v>4655</v>
      </c>
      <c r="C8284" t="s">
        <v>38079</v>
      </c>
      <c r="D8284" s="1">
        <v>40501</v>
      </c>
      <c r="E8284" s="2">
        <v>107400</v>
      </c>
      <c r="F8284" t="s">
        <v>4553</v>
      </c>
      <c r="G8284" s="17" t="str">
        <f>HYPERLINK("https://www.washoecounty.gov/assessor/cama/?command=sales&amp;parid=55605305","3945211")</f>
        <v>3945211</v>
      </c>
      <c r="H8284" t="s">
        <v>2692</v>
      </c>
      <c r="I8284">
        <v>1998</v>
      </c>
      <c r="J8284">
        <v>1998</v>
      </c>
      <c r="K8284" t="s">
        <v>4554</v>
      </c>
      <c r="L8284" t="s">
        <v>4555</v>
      </c>
      <c r="M8284" s="2">
        <v>1170</v>
      </c>
      <c r="N8284" t="s">
        <v>4048</v>
      </c>
      <c r="O8284">
        <v>3</v>
      </c>
      <c r="P8284">
        <v>2</v>
      </c>
      <c r="Q8284">
        <v>0</v>
      </c>
      <c r="R8284" t="s">
        <v>4557</v>
      </c>
      <c r="S8284" t="s">
        <v>4898</v>
      </c>
      <c r="T8284" t="s">
        <v>4559</v>
      </c>
      <c r="U8284" t="s">
        <v>4560</v>
      </c>
      <c r="V8284" s="2">
        <v>528</v>
      </c>
      <c r="W8284" t="s">
        <v>4655</v>
      </c>
      <c r="X8284" s="2">
        <v>0</v>
      </c>
      <c r="Y8284">
        <v>20</v>
      </c>
      <c r="Z8284" t="s">
        <v>5508</v>
      </c>
      <c r="AA8284" s="3">
        <v>0.25101009011268599</v>
      </c>
      <c r="AB8284" t="s">
        <v>38080</v>
      </c>
      <c r="AC8284" t="s">
        <v>4562</v>
      </c>
      <c r="AD8284" t="s">
        <v>38081</v>
      </c>
      <c r="AE8284" t="s">
        <v>4655</v>
      </c>
      <c r="AF8284" t="s">
        <v>4563</v>
      </c>
      <c r="AG8284" t="s">
        <v>4564</v>
      </c>
      <c r="AH8284">
        <v>89506</v>
      </c>
      <c r="AI8284" t="s">
        <v>5359</v>
      </c>
      <c r="AJ8284" t="s">
        <v>2693</v>
      </c>
      <c r="AK8284" t="s">
        <v>38082</v>
      </c>
      <c r="AL8284" s="13" t="s">
        <v>1892</v>
      </c>
      <c r="AM8284">
        <v>1</v>
      </c>
      <c r="AN8284" s="15" t="s">
        <v>2694</v>
      </c>
    </row>
    <row r="8285" spans="1:40" x14ac:dyDescent="0.3">
      <c r="A8285" s="10" t="str">
        <f>HYPERLINK("http://www.washoecounty.gov/assessor/cama/?parid=556-063-02&amp;CardNumber=1","556-063-02")</f>
        <v>556-063-02</v>
      </c>
      <c r="B8285" t="s">
        <v>4655</v>
      </c>
      <c r="C8285" t="s">
        <v>38083</v>
      </c>
      <c r="D8285" s="1">
        <v>40479</v>
      </c>
      <c r="E8285" s="2">
        <v>135000</v>
      </c>
      <c r="F8285" t="s">
        <v>4567</v>
      </c>
      <c r="G8285" s="17" t="str">
        <f>HYPERLINK("https://www.washoecounty.gov/assessor/cama/?command=sales&amp;parid=55606302","3937720")</f>
        <v>3937720</v>
      </c>
      <c r="H8285" t="s">
        <v>109</v>
      </c>
      <c r="I8285">
        <v>2000</v>
      </c>
      <c r="J8285">
        <v>2000</v>
      </c>
      <c r="K8285" t="s">
        <v>4554</v>
      </c>
      <c r="L8285" t="s">
        <v>4555</v>
      </c>
      <c r="M8285" s="2">
        <v>1487</v>
      </c>
      <c r="N8285" t="s">
        <v>4048</v>
      </c>
      <c r="O8285">
        <v>3</v>
      </c>
      <c r="P8285">
        <v>2</v>
      </c>
      <c r="Q8285">
        <v>0</v>
      </c>
      <c r="R8285" t="s">
        <v>4557</v>
      </c>
      <c r="S8285" t="s">
        <v>4898</v>
      </c>
      <c r="T8285" t="s">
        <v>4559</v>
      </c>
      <c r="U8285" t="s">
        <v>4560</v>
      </c>
      <c r="V8285" s="2">
        <v>528</v>
      </c>
      <c r="W8285" t="s">
        <v>4655</v>
      </c>
      <c r="X8285" s="2">
        <v>0</v>
      </c>
      <c r="Y8285">
        <v>20</v>
      </c>
      <c r="Z8285" t="s">
        <v>5508</v>
      </c>
      <c r="AA8285" s="3">
        <v>0.244008257985115</v>
      </c>
      <c r="AB8285" t="s">
        <v>38084</v>
      </c>
      <c r="AC8285" t="s">
        <v>4562</v>
      </c>
      <c r="AD8285" t="s">
        <v>38083</v>
      </c>
      <c r="AE8285" t="s">
        <v>4655</v>
      </c>
      <c r="AF8285" t="s">
        <v>4563</v>
      </c>
      <c r="AG8285" t="s">
        <v>4564</v>
      </c>
      <c r="AH8285">
        <v>89508</v>
      </c>
      <c r="AI8285" t="s">
        <v>38085</v>
      </c>
      <c r="AJ8285" t="s">
        <v>1555</v>
      </c>
      <c r="AK8285" t="s">
        <v>38086</v>
      </c>
      <c r="AL8285" s="13" t="s">
        <v>1892</v>
      </c>
      <c r="AM8285">
        <v>1</v>
      </c>
      <c r="AN8285" s="15" t="s">
        <v>2694</v>
      </c>
    </row>
    <row r="8286" spans="1:40" x14ac:dyDescent="0.3">
      <c r="A8286" s="10" t="str">
        <f>HYPERLINK("http://www.washoecounty.gov/assessor/cama/?parid=556-071-14&amp;CardNumber=1","556-071-14")</f>
        <v>556-071-14</v>
      </c>
      <c r="B8286" t="s">
        <v>4655</v>
      </c>
      <c r="C8286" t="s">
        <v>38087</v>
      </c>
      <c r="D8286" s="1">
        <v>40371</v>
      </c>
      <c r="E8286" s="2">
        <v>140000</v>
      </c>
      <c r="F8286" t="s">
        <v>4567</v>
      </c>
      <c r="G8286" s="17" t="str">
        <f>HYPERLINK("https://www.washoecounty.gov/assessor/cama/?command=sales&amp;parid=55607114","3900390")</f>
        <v>3900390</v>
      </c>
      <c r="H8286" t="s">
        <v>38088</v>
      </c>
      <c r="I8286">
        <v>1999</v>
      </c>
      <c r="J8286">
        <v>1999</v>
      </c>
      <c r="K8286" t="s">
        <v>4554</v>
      </c>
      <c r="L8286" t="s">
        <v>4555</v>
      </c>
      <c r="M8286" s="2">
        <v>1876</v>
      </c>
      <c r="N8286" t="s">
        <v>4048</v>
      </c>
      <c r="O8286">
        <v>5</v>
      </c>
      <c r="P8286">
        <v>2</v>
      </c>
      <c r="Q8286">
        <v>0</v>
      </c>
      <c r="R8286" t="s">
        <v>4557</v>
      </c>
      <c r="S8286" t="s">
        <v>4898</v>
      </c>
      <c r="T8286" t="s">
        <v>4559</v>
      </c>
      <c r="U8286" t="s">
        <v>4560</v>
      </c>
      <c r="V8286" s="2">
        <v>480</v>
      </c>
      <c r="W8286" t="s">
        <v>4655</v>
      </c>
      <c r="X8286" s="2">
        <v>0</v>
      </c>
      <c r="Y8286">
        <v>20</v>
      </c>
      <c r="Z8286" t="s">
        <v>5508</v>
      </c>
      <c r="AA8286" s="3">
        <v>0.23200184106826799</v>
      </c>
      <c r="AB8286" t="s">
        <v>38089</v>
      </c>
      <c r="AC8286" t="s">
        <v>4575</v>
      </c>
      <c r="AD8286" t="s">
        <v>38090</v>
      </c>
      <c r="AE8286" t="s">
        <v>4655</v>
      </c>
      <c r="AF8286" t="s">
        <v>3352</v>
      </c>
      <c r="AG8286" t="s">
        <v>4564</v>
      </c>
      <c r="AH8286" t="s">
        <v>3353</v>
      </c>
      <c r="AI8286" t="s">
        <v>38091</v>
      </c>
      <c r="AJ8286" t="s">
        <v>1555</v>
      </c>
      <c r="AK8286" t="s">
        <v>38092</v>
      </c>
      <c r="AL8286" s="13" t="s">
        <v>1892</v>
      </c>
      <c r="AM8286">
        <v>1</v>
      </c>
      <c r="AN8286" s="15" t="s">
        <v>2694</v>
      </c>
    </row>
    <row r="8287" spans="1:40" x14ac:dyDescent="0.3">
      <c r="A8287" s="10" t="str">
        <f>HYPERLINK("http://www.washoecounty.gov/assessor/cama/?parid=556-071-22&amp;CardNumber=1","556-071-22")</f>
        <v>556-071-22</v>
      </c>
      <c r="B8287" t="s">
        <v>4655</v>
      </c>
      <c r="C8287" t="s">
        <v>38093</v>
      </c>
      <c r="D8287" s="1">
        <v>40529</v>
      </c>
      <c r="E8287" s="2">
        <v>152700</v>
      </c>
      <c r="F8287" t="s">
        <v>4553</v>
      </c>
      <c r="G8287" s="17" t="str">
        <f>HYPERLINK("https://www.washoecounty.gov/assessor/cama/?command=sales&amp;parid=55607122","3955112")</f>
        <v>3955112</v>
      </c>
      <c r="H8287" t="s">
        <v>109</v>
      </c>
      <c r="I8287">
        <v>1999</v>
      </c>
      <c r="J8287">
        <v>1999</v>
      </c>
      <c r="K8287" t="s">
        <v>4554</v>
      </c>
      <c r="L8287" t="s">
        <v>4555</v>
      </c>
      <c r="M8287" s="2">
        <v>2254</v>
      </c>
      <c r="N8287" t="s">
        <v>4048</v>
      </c>
      <c r="O8287">
        <v>4</v>
      </c>
      <c r="P8287">
        <v>2</v>
      </c>
      <c r="Q8287">
        <v>0</v>
      </c>
      <c r="R8287" t="s">
        <v>4557</v>
      </c>
      <c r="S8287" t="s">
        <v>4898</v>
      </c>
      <c r="T8287" t="s">
        <v>4559</v>
      </c>
      <c r="U8287" t="s">
        <v>4560</v>
      </c>
      <c r="V8287" s="2">
        <v>536</v>
      </c>
      <c r="W8287" t="s">
        <v>4655</v>
      </c>
      <c r="X8287" s="2">
        <v>0</v>
      </c>
      <c r="Y8287">
        <v>20</v>
      </c>
      <c r="Z8287" t="s">
        <v>5508</v>
      </c>
      <c r="AA8287" s="3">
        <v>0.23200184106826799</v>
      </c>
      <c r="AB8287" t="s">
        <v>38094</v>
      </c>
      <c r="AC8287" t="s">
        <v>4562</v>
      </c>
      <c r="AD8287" t="s">
        <v>38093</v>
      </c>
      <c r="AE8287" t="s">
        <v>4655</v>
      </c>
      <c r="AF8287" t="s">
        <v>4563</v>
      </c>
      <c r="AG8287" t="s">
        <v>4564</v>
      </c>
      <c r="AH8287">
        <v>89508</v>
      </c>
      <c r="AI8287" t="s">
        <v>4565</v>
      </c>
      <c r="AJ8287" t="s">
        <v>1555</v>
      </c>
      <c r="AK8287" t="s">
        <v>38095</v>
      </c>
      <c r="AL8287" s="13" t="s">
        <v>1892</v>
      </c>
      <c r="AM8287">
        <v>1</v>
      </c>
      <c r="AN8287" s="15" t="s">
        <v>2694</v>
      </c>
    </row>
    <row r="8288" spans="1:40" x14ac:dyDescent="0.3">
      <c r="A8288" s="10" t="str">
        <f>HYPERLINK("http://www.washoecounty.gov/assessor/cama/?parid=556-081-06&amp;CardNumber=1","556-081-06")</f>
        <v>556-081-06</v>
      </c>
      <c r="B8288" t="s">
        <v>4655</v>
      </c>
      <c r="C8288" t="s">
        <v>38096</v>
      </c>
      <c r="D8288" s="1">
        <v>40213</v>
      </c>
      <c r="E8288" s="2">
        <v>135000</v>
      </c>
      <c r="F8288" t="s">
        <v>4553</v>
      </c>
      <c r="G8288" s="17" t="str">
        <f>HYPERLINK("https://www.washoecounty.gov/assessor/cama/?command=sales&amp;parid=55608106","3846101")</f>
        <v>3846101</v>
      </c>
      <c r="H8288" t="s">
        <v>2783</v>
      </c>
      <c r="I8288">
        <v>2000</v>
      </c>
      <c r="J8288">
        <v>2000</v>
      </c>
      <c r="K8288" t="s">
        <v>4554</v>
      </c>
      <c r="L8288" t="s">
        <v>4555</v>
      </c>
      <c r="M8288" s="2">
        <v>1287</v>
      </c>
      <c r="N8288" t="s">
        <v>4048</v>
      </c>
      <c r="O8288">
        <v>3</v>
      </c>
      <c r="P8288">
        <v>2</v>
      </c>
      <c r="Q8288">
        <v>0</v>
      </c>
      <c r="R8288" t="s">
        <v>4557</v>
      </c>
      <c r="S8288" t="s">
        <v>4898</v>
      </c>
      <c r="T8288" t="s">
        <v>4559</v>
      </c>
      <c r="U8288" t="s">
        <v>4560</v>
      </c>
      <c r="V8288" s="2">
        <v>788</v>
      </c>
      <c r="W8288" t="s">
        <v>4655</v>
      </c>
      <c r="X8288" s="2">
        <v>0</v>
      </c>
      <c r="Y8288">
        <v>20</v>
      </c>
      <c r="Z8288" t="s">
        <v>5508</v>
      </c>
      <c r="AA8288" s="3">
        <v>0.36000919342040999</v>
      </c>
      <c r="AB8288" t="s">
        <v>38097</v>
      </c>
      <c r="AC8288" t="s">
        <v>4562</v>
      </c>
      <c r="AD8288" t="s">
        <v>38098</v>
      </c>
      <c r="AE8288" t="s">
        <v>4655</v>
      </c>
      <c r="AF8288" t="s">
        <v>4563</v>
      </c>
      <c r="AG8288" t="s">
        <v>4564</v>
      </c>
      <c r="AH8288">
        <v>89506</v>
      </c>
      <c r="AI8288" t="s">
        <v>4503</v>
      </c>
      <c r="AJ8288" t="s">
        <v>2784</v>
      </c>
      <c r="AK8288" t="s">
        <v>38099</v>
      </c>
      <c r="AL8288" s="13" t="s">
        <v>1892</v>
      </c>
      <c r="AM8288">
        <v>1</v>
      </c>
      <c r="AN8288" s="15" t="s">
        <v>2694</v>
      </c>
    </row>
    <row r="8289" spans="1:40" x14ac:dyDescent="0.3">
      <c r="A8289" s="10" t="str">
        <f>HYPERLINK("http://www.washoecounty.gov/assessor/cama/?parid=556-081-17&amp;CardNumber=1","556-081-17")</f>
        <v>556-081-17</v>
      </c>
      <c r="B8289" t="s">
        <v>4655</v>
      </c>
      <c r="C8289" t="s">
        <v>38100</v>
      </c>
      <c r="D8289" s="1">
        <v>40310</v>
      </c>
      <c r="E8289" s="2">
        <v>114000</v>
      </c>
      <c r="F8289" t="s">
        <v>4567</v>
      </c>
      <c r="G8289" s="17" t="str">
        <f>HYPERLINK("https://www.washoecounty.gov/assessor/cama/?command=sales&amp;parid=55608117","3880659")</f>
        <v>3880659</v>
      </c>
      <c r="H8289" t="s">
        <v>2783</v>
      </c>
      <c r="I8289">
        <v>2001</v>
      </c>
      <c r="J8289">
        <v>2001</v>
      </c>
      <c r="K8289" t="s">
        <v>4554</v>
      </c>
      <c r="L8289" t="s">
        <v>4555</v>
      </c>
      <c r="M8289" s="2">
        <v>1171</v>
      </c>
      <c r="N8289" t="s">
        <v>4048</v>
      </c>
      <c r="O8289">
        <v>3</v>
      </c>
      <c r="P8289">
        <v>2</v>
      </c>
      <c r="Q8289">
        <v>0</v>
      </c>
      <c r="R8289" t="s">
        <v>4557</v>
      </c>
      <c r="S8289" t="s">
        <v>4898</v>
      </c>
      <c r="T8289" t="s">
        <v>4559</v>
      </c>
      <c r="U8289" t="s">
        <v>4560</v>
      </c>
      <c r="V8289" s="2">
        <v>528</v>
      </c>
      <c r="W8289" t="s">
        <v>4655</v>
      </c>
      <c r="X8289" s="2">
        <v>0</v>
      </c>
      <c r="Y8289">
        <v>20</v>
      </c>
      <c r="Z8289" t="s">
        <v>5508</v>
      </c>
      <c r="AA8289" s="3">
        <v>0.29699265956878662</v>
      </c>
      <c r="AB8289" t="s">
        <v>38101</v>
      </c>
      <c r="AC8289" t="s">
        <v>4562</v>
      </c>
      <c r="AD8289" t="s">
        <v>38100</v>
      </c>
      <c r="AE8289" t="s">
        <v>4655</v>
      </c>
      <c r="AF8289" t="s">
        <v>4563</v>
      </c>
      <c r="AG8289" t="s">
        <v>4564</v>
      </c>
      <c r="AH8289">
        <v>89508</v>
      </c>
      <c r="AI8289" t="s">
        <v>38102</v>
      </c>
      <c r="AJ8289" t="s">
        <v>2784</v>
      </c>
      <c r="AK8289" t="s">
        <v>38103</v>
      </c>
      <c r="AL8289" s="13" t="s">
        <v>1892</v>
      </c>
      <c r="AM8289">
        <v>1</v>
      </c>
      <c r="AN8289" s="15" t="s">
        <v>2694</v>
      </c>
    </row>
    <row r="8290" spans="1:40" x14ac:dyDescent="0.3">
      <c r="A8290" s="10" t="str">
        <f>HYPERLINK("http://www.washoecounty.gov/assessor/cama/?parid=556-101-07&amp;CardNumber=1","556-101-07")</f>
        <v>556-101-07</v>
      </c>
      <c r="B8290" t="s">
        <v>4655</v>
      </c>
      <c r="C8290" t="s">
        <v>38104</v>
      </c>
      <c r="D8290" s="1">
        <v>40354</v>
      </c>
      <c r="E8290" s="2">
        <v>162900</v>
      </c>
      <c r="F8290" t="s">
        <v>4553</v>
      </c>
      <c r="G8290" s="17" t="str">
        <f>HYPERLINK("https://www.washoecounty.gov/assessor/cama/?command=sales&amp;parid=55610107","3895327")</f>
        <v>3895327</v>
      </c>
      <c r="H8290" t="s">
        <v>2785</v>
      </c>
      <c r="I8290">
        <v>2003</v>
      </c>
      <c r="J8290">
        <v>2003</v>
      </c>
      <c r="K8290" t="s">
        <v>4554</v>
      </c>
      <c r="L8290" t="s">
        <v>4555</v>
      </c>
      <c r="M8290" s="2">
        <v>1780</v>
      </c>
      <c r="N8290" t="s">
        <v>4048</v>
      </c>
      <c r="O8290">
        <v>4</v>
      </c>
      <c r="P8290">
        <v>2</v>
      </c>
      <c r="Q8290">
        <v>0</v>
      </c>
      <c r="R8290" t="s">
        <v>4557</v>
      </c>
      <c r="S8290" t="s">
        <v>4558</v>
      </c>
      <c r="T8290" t="s">
        <v>4559</v>
      </c>
      <c r="U8290" t="s">
        <v>4560</v>
      </c>
      <c r="V8290" s="2">
        <v>693</v>
      </c>
      <c r="W8290" t="s">
        <v>4655</v>
      </c>
      <c r="X8290" s="2">
        <v>0</v>
      </c>
      <c r="Y8290">
        <v>20</v>
      </c>
      <c r="Z8290" t="s">
        <v>5508</v>
      </c>
      <c r="AA8290" s="3">
        <v>0.28301194310188299</v>
      </c>
      <c r="AB8290" t="s">
        <v>38105</v>
      </c>
      <c r="AC8290" t="s">
        <v>4562</v>
      </c>
      <c r="AD8290" t="s">
        <v>38106</v>
      </c>
      <c r="AE8290" t="s">
        <v>4655</v>
      </c>
      <c r="AF8290" t="s">
        <v>4563</v>
      </c>
      <c r="AG8290" t="s">
        <v>4564</v>
      </c>
      <c r="AH8290">
        <v>89508</v>
      </c>
      <c r="AI8290" t="s">
        <v>4655</v>
      </c>
      <c r="AJ8290" t="s">
        <v>2787</v>
      </c>
      <c r="AK8290" t="s">
        <v>38107</v>
      </c>
      <c r="AL8290" s="13" t="s">
        <v>1892</v>
      </c>
      <c r="AM8290">
        <v>1</v>
      </c>
      <c r="AN8290" s="15" t="s">
        <v>2694</v>
      </c>
    </row>
    <row r="8291" spans="1:40" x14ac:dyDescent="0.3">
      <c r="A8291" s="10" t="str">
        <f>HYPERLINK("http://www.washoecounty.gov/assessor/cama/?parid=556-102-10&amp;CardNumber=1","556-102-10")</f>
        <v>556-102-10</v>
      </c>
      <c r="B8291" t="s">
        <v>4655</v>
      </c>
      <c r="C8291" t="s">
        <v>38108</v>
      </c>
      <c r="D8291" s="1">
        <v>40323</v>
      </c>
      <c r="E8291" s="2">
        <v>160000</v>
      </c>
      <c r="F8291" t="s">
        <v>4567</v>
      </c>
      <c r="G8291" s="17" t="str">
        <f>HYPERLINK("https://www.washoecounty.gov/assessor/cama/?command=sales&amp;parid=55610210","3884796")</f>
        <v>3884796</v>
      </c>
      <c r="H8291" t="s">
        <v>2785</v>
      </c>
      <c r="I8291">
        <v>2003</v>
      </c>
      <c r="J8291">
        <v>2003</v>
      </c>
      <c r="K8291" t="s">
        <v>4554</v>
      </c>
      <c r="L8291" t="s">
        <v>4555</v>
      </c>
      <c r="M8291" s="2">
        <v>1780</v>
      </c>
      <c r="N8291" t="s">
        <v>4048</v>
      </c>
      <c r="O8291">
        <v>4</v>
      </c>
      <c r="P8291">
        <v>2</v>
      </c>
      <c r="Q8291">
        <v>0</v>
      </c>
      <c r="R8291" t="s">
        <v>4557</v>
      </c>
      <c r="S8291" t="s">
        <v>4558</v>
      </c>
      <c r="T8291" t="s">
        <v>4559</v>
      </c>
      <c r="U8291" t="s">
        <v>4560</v>
      </c>
      <c r="V8291" s="2">
        <v>483</v>
      </c>
      <c r="W8291" t="s">
        <v>4655</v>
      </c>
      <c r="X8291" s="2">
        <v>0</v>
      </c>
      <c r="Y8291">
        <v>20</v>
      </c>
      <c r="Z8291" t="s">
        <v>5508</v>
      </c>
      <c r="AA8291" s="3">
        <v>0.23087695240974401</v>
      </c>
      <c r="AB8291" t="s">
        <v>38109</v>
      </c>
      <c r="AC8291" t="s">
        <v>4562</v>
      </c>
      <c r="AD8291" t="s">
        <v>38108</v>
      </c>
      <c r="AE8291" t="s">
        <v>4655</v>
      </c>
      <c r="AF8291" t="s">
        <v>4563</v>
      </c>
      <c r="AG8291" t="s">
        <v>4564</v>
      </c>
      <c r="AH8291">
        <v>89508</v>
      </c>
      <c r="AI8291" t="s">
        <v>38110</v>
      </c>
      <c r="AJ8291" t="s">
        <v>2787</v>
      </c>
      <c r="AK8291" t="s">
        <v>38111</v>
      </c>
      <c r="AL8291" s="13" t="s">
        <v>1892</v>
      </c>
      <c r="AM8291">
        <v>1</v>
      </c>
      <c r="AN8291" s="15" t="s">
        <v>2694</v>
      </c>
    </row>
    <row r="8292" spans="1:40" x14ac:dyDescent="0.3">
      <c r="A8292" s="10" t="str">
        <f>HYPERLINK("http://www.washoecounty.gov/assessor/cama/?parid=556-111-01&amp;CardNumber=1","556-111-01")</f>
        <v>556-111-01</v>
      </c>
      <c r="B8292" t="s">
        <v>4655</v>
      </c>
      <c r="C8292" t="s">
        <v>38112</v>
      </c>
      <c r="D8292" s="1">
        <v>40521</v>
      </c>
      <c r="E8292" s="2">
        <v>152000</v>
      </c>
      <c r="F8292" t="s">
        <v>4567</v>
      </c>
      <c r="G8292" s="17" t="str">
        <f>HYPERLINK("https://www.washoecounty.gov/assessor/cama/?command=sales&amp;parid=55611101","3951616")</f>
        <v>3951616</v>
      </c>
      <c r="H8292" t="s">
        <v>2785</v>
      </c>
      <c r="I8292">
        <v>2003</v>
      </c>
      <c r="J8292">
        <v>2003</v>
      </c>
      <c r="K8292" t="s">
        <v>4554</v>
      </c>
      <c r="L8292" t="s">
        <v>3974</v>
      </c>
      <c r="M8292" s="2">
        <v>2122</v>
      </c>
      <c r="N8292" t="s">
        <v>4048</v>
      </c>
      <c r="O8292">
        <v>4</v>
      </c>
      <c r="P8292">
        <v>2</v>
      </c>
      <c r="Q8292">
        <v>1</v>
      </c>
      <c r="R8292" t="s">
        <v>4557</v>
      </c>
      <c r="S8292" t="s">
        <v>4558</v>
      </c>
      <c r="T8292" t="s">
        <v>4559</v>
      </c>
      <c r="U8292" t="s">
        <v>5631</v>
      </c>
      <c r="V8292" s="2">
        <v>852</v>
      </c>
      <c r="W8292" t="s">
        <v>4655</v>
      </c>
      <c r="X8292" s="2">
        <v>0</v>
      </c>
      <c r="Y8292">
        <v>20</v>
      </c>
      <c r="Z8292" t="s">
        <v>5508</v>
      </c>
      <c r="AA8292" s="3">
        <v>0.31455463171005199</v>
      </c>
      <c r="AB8292" t="s">
        <v>38113</v>
      </c>
      <c r="AC8292" t="s">
        <v>4562</v>
      </c>
      <c r="AD8292" t="s">
        <v>38114</v>
      </c>
      <c r="AE8292" t="s">
        <v>4655</v>
      </c>
      <c r="AF8292" t="s">
        <v>4752</v>
      </c>
      <c r="AG8292" t="s">
        <v>4564</v>
      </c>
      <c r="AH8292">
        <v>89508</v>
      </c>
      <c r="AI8292" t="s">
        <v>38115</v>
      </c>
      <c r="AJ8292" t="s">
        <v>2787</v>
      </c>
      <c r="AK8292" t="s">
        <v>38116</v>
      </c>
      <c r="AL8292" s="13" t="s">
        <v>1892</v>
      </c>
      <c r="AM8292">
        <v>1</v>
      </c>
      <c r="AN8292" s="15" t="s">
        <v>2694</v>
      </c>
    </row>
    <row r="8293" spans="1:40" x14ac:dyDescent="0.3">
      <c r="A8293" s="10" t="str">
        <f>HYPERLINK("http://www.washoecounty.gov/assessor/cama/?parid=556-111-04&amp;CardNumber=1","556-111-04")</f>
        <v>556-111-04</v>
      </c>
      <c r="B8293" t="s">
        <v>4655</v>
      </c>
      <c r="C8293" t="s">
        <v>38117</v>
      </c>
      <c r="D8293" s="1">
        <v>40193</v>
      </c>
      <c r="E8293" s="2">
        <v>116000</v>
      </c>
      <c r="F8293" t="s">
        <v>4553</v>
      </c>
      <c r="G8293" s="17" t="str">
        <f>HYPERLINK("https://www.washoecounty.gov/assessor/cama/?command=sales&amp;parid=55611104","3840103")</f>
        <v>3840103</v>
      </c>
      <c r="H8293" t="s">
        <v>2785</v>
      </c>
      <c r="I8293">
        <v>2003</v>
      </c>
      <c r="J8293">
        <v>2003</v>
      </c>
      <c r="K8293" t="s">
        <v>4554</v>
      </c>
      <c r="L8293" t="s">
        <v>4555</v>
      </c>
      <c r="M8293" s="2">
        <v>1468</v>
      </c>
      <c r="N8293" t="s">
        <v>4048</v>
      </c>
      <c r="O8293">
        <v>3</v>
      </c>
      <c r="P8293">
        <v>2</v>
      </c>
      <c r="Q8293">
        <v>0</v>
      </c>
      <c r="R8293" t="s">
        <v>4557</v>
      </c>
      <c r="S8293" t="s">
        <v>4558</v>
      </c>
      <c r="T8293" t="s">
        <v>4559</v>
      </c>
      <c r="U8293" t="s">
        <v>4560</v>
      </c>
      <c r="V8293" s="2">
        <v>585</v>
      </c>
      <c r="W8293" t="s">
        <v>4655</v>
      </c>
      <c r="X8293" s="2">
        <v>0</v>
      </c>
      <c r="Y8293">
        <v>20</v>
      </c>
      <c r="Z8293" t="s">
        <v>5508</v>
      </c>
      <c r="AA8293" s="3">
        <v>0.25851699709892301</v>
      </c>
      <c r="AB8293" t="s">
        <v>38118</v>
      </c>
      <c r="AC8293" t="s">
        <v>4575</v>
      </c>
      <c r="AD8293" t="s">
        <v>2786</v>
      </c>
      <c r="AE8293" t="s">
        <v>4655</v>
      </c>
      <c r="AF8293" t="s">
        <v>4606</v>
      </c>
      <c r="AG8293" t="s">
        <v>4584</v>
      </c>
      <c r="AH8293">
        <v>96114</v>
      </c>
      <c r="AI8293" t="s">
        <v>38119</v>
      </c>
      <c r="AJ8293" t="s">
        <v>2787</v>
      </c>
      <c r="AK8293" t="s">
        <v>38120</v>
      </c>
      <c r="AL8293" s="13" t="s">
        <v>1892</v>
      </c>
      <c r="AM8293" s="14">
        <v>1</v>
      </c>
      <c r="AN8293" s="15" t="s">
        <v>2694</v>
      </c>
    </row>
    <row r="8294" spans="1:40" x14ac:dyDescent="0.3">
      <c r="A8294" s="10" t="str">
        <f>HYPERLINK("http://www.washoecounty.gov/assessor/cama/?parid=556-112-03&amp;CardNumber=1","556-112-03")</f>
        <v>556-112-03</v>
      </c>
      <c r="B8294" t="s">
        <v>4655</v>
      </c>
      <c r="C8294" t="s">
        <v>38121</v>
      </c>
      <c r="D8294" s="1">
        <v>40455</v>
      </c>
      <c r="E8294" s="2">
        <v>125000</v>
      </c>
      <c r="F8294" t="s">
        <v>4553</v>
      </c>
      <c r="G8294" s="17" t="str">
        <f>HYPERLINK("https://www.washoecounty.gov/assessor/cama/?command=sales&amp;parid=55611203","3929338")</f>
        <v>3929338</v>
      </c>
      <c r="H8294" t="s">
        <v>2785</v>
      </c>
      <c r="I8294">
        <v>2003</v>
      </c>
      <c r="J8294">
        <v>2003</v>
      </c>
      <c r="K8294" t="s">
        <v>4554</v>
      </c>
      <c r="L8294" t="s">
        <v>4555</v>
      </c>
      <c r="M8294" s="2">
        <v>1468</v>
      </c>
      <c r="N8294" t="s">
        <v>4048</v>
      </c>
      <c r="O8294">
        <v>3</v>
      </c>
      <c r="P8294">
        <v>2</v>
      </c>
      <c r="Q8294">
        <v>0</v>
      </c>
      <c r="R8294" t="s">
        <v>4557</v>
      </c>
      <c r="S8294" t="s">
        <v>4558</v>
      </c>
      <c r="T8294" t="s">
        <v>4559</v>
      </c>
      <c r="U8294" t="s">
        <v>4560</v>
      </c>
      <c r="V8294" s="2">
        <v>480</v>
      </c>
      <c r="W8294" t="s">
        <v>4655</v>
      </c>
      <c r="X8294" s="2">
        <v>0</v>
      </c>
      <c r="Y8294">
        <v>20</v>
      </c>
      <c r="Z8294" t="s">
        <v>5508</v>
      </c>
      <c r="AA8294" s="3">
        <v>0.229637280106544</v>
      </c>
      <c r="AB8294" t="s">
        <v>38122</v>
      </c>
      <c r="AC8294" t="s">
        <v>4575</v>
      </c>
      <c r="AD8294" t="s">
        <v>38123</v>
      </c>
      <c r="AE8294" t="s">
        <v>38124</v>
      </c>
      <c r="AF8294" t="s">
        <v>38125</v>
      </c>
      <c r="AG8294" t="s">
        <v>762</v>
      </c>
      <c r="AH8294" t="s">
        <v>38126</v>
      </c>
      <c r="AI8294" t="s">
        <v>38127</v>
      </c>
      <c r="AJ8294" t="s">
        <v>2787</v>
      </c>
      <c r="AK8294" t="s">
        <v>38128</v>
      </c>
      <c r="AL8294" s="13" t="s">
        <v>1892</v>
      </c>
      <c r="AM8294" s="14">
        <v>1</v>
      </c>
      <c r="AN8294" s="15" t="s">
        <v>2694</v>
      </c>
    </row>
    <row r="8295" spans="1:40" x14ac:dyDescent="0.3">
      <c r="A8295" s="10" t="str">
        <f>HYPERLINK("http://www.washoecounty.gov/assessor/cama/?parid=556-112-06&amp;CardNumber=1","556-112-06")</f>
        <v>556-112-06</v>
      </c>
      <c r="B8295" t="s">
        <v>4655</v>
      </c>
      <c r="C8295" t="s">
        <v>38129</v>
      </c>
      <c r="D8295" s="1">
        <v>40234</v>
      </c>
      <c r="E8295" s="2">
        <v>162900</v>
      </c>
      <c r="F8295" t="s">
        <v>4553</v>
      </c>
      <c r="G8295" s="17" t="str">
        <f>HYPERLINK("https://www.washoecounty.gov/assessor/cama/?command=sales&amp;parid=55611206","3852697")</f>
        <v>3852697</v>
      </c>
      <c r="H8295" t="s">
        <v>2785</v>
      </c>
      <c r="I8295">
        <v>2003</v>
      </c>
      <c r="J8295">
        <v>2003</v>
      </c>
      <c r="K8295" t="s">
        <v>4554</v>
      </c>
      <c r="L8295" t="s">
        <v>3974</v>
      </c>
      <c r="M8295" s="2">
        <v>2122</v>
      </c>
      <c r="N8295" t="s">
        <v>4048</v>
      </c>
      <c r="O8295">
        <v>4</v>
      </c>
      <c r="P8295">
        <v>2</v>
      </c>
      <c r="Q8295">
        <v>1</v>
      </c>
      <c r="R8295" t="s">
        <v>4557</v>
      </c>
      <c r="S8295" t="s">
        <v>4558</v>
      </c>
      <c r="T8295" t="s">
        <v>4559</v>
      </c>
      <c r="U8295" t="s">
        <v>5631</v>
      </c>
      <c r="V8295" s="2">
        <v>852</v>
      </c>
      <c r="W8295" t="s">
        <v>4655</v>
      </c>
      <c r="X8295" s="2">
        <v>0</v>
      </c>
      <c r="Y8295">
        <v>20</v>
      </c>
      <c r="Z8295" t="s">
        <v>5508</v>
      </c>
      <c r="AA8295" s="3">
        <v>0.28471073508262601</v>
      </c>
      <c r="AB8295" t="s">
        <v>38130</v>
      </c>
      <c r="AC8295" t="s">
        <v>4562</v>
      </c>
      <c r="AD8295" t="s">
        <v>38131</v>
      </c>
      <c r="AE8295" t="s">
        <v>4655</v>
      </c>
      <c r="AF8295" t="s">
        <v>4727</v>
      </c>
      <c r="AG8295" t="s">
        <v>4584</v>
      </c>
      <c r="AH8295" t="s">
        <v>4728</v>
      </c>
      <c r="AI8295" t="s">
        <v>1602</v>
      </c>
      <c r="AJ8295" t="s">
        <v>2787</v>
      </c>
      <c r="AK8295" t="s">
        <v>38132</v>
      </c>
      <c r="AL8295" s="13" t="s">
        <v>1892</v>
      </c>
      <c r="AM8295">
        <v>1</v>
      </c>
      <c r="AN8295" s="15" t="s">
        <v>2694</v>
      </c>
    </row>
    <row r="8296" spans="1:40" x14ac:dyDescent="0.3">
      <c r="A8296" s="10" t="str">
        <f>HYPERLINK("http://www.washoecounty.gov/assessor/cama/?parid=556-132-14&amp;CardNumber=1","556-132-14")</f>
        <v>556-132-14</v>
      </c>
      <c r="B8296" t="s">
        <v>4655</v>
      </c>
      <c r="C8296" t="s">
        <v>38133</v>
      </c>
      <c r="D8296" s="1">
        <v>40253</v>
      </c>
      <c r="E8296" s="2">
        <v>143000</v>
      </c>
      <c r="F8296" t="s">
        <v>4553</v>
      </c>
      <c r="G8296" s="17" t="str">
        <f>HYPERLINK("https://www.washoecounty.gov/assessor/cama/?command=sales&amp;parid=55613214","3860225")</f>
        <v>3860225</v>
      </c>
      <c r="H8296" t="s">
        <v>1357</v>
      </c>
      <c r="I8296">
        <v>2002</v>
      </c>
      <c r="J8296">
        <v>2002</v>
      </c>
      <c r="K8296" t="s">
        <v>4554</v>
      </c>
      <c r="L8296" t="s">
        <v>4555</v>
      </c>
      <c r="M8296" s="2">
        <v>1632</v>
      </c>
      <c r="N8296" t="s">
        <v>4556</v>
      </c>
      <c r="O8296">
        <v>3</v>
      </c>
      <c r="P8296">
        <v>2</v>
      </c>
      <c r="Q8296">
        <v>0</v>
      </c>
      <c r="R8296" t="s">
        <v>5281</v>
      </c>
      <c r="S8296" t="s">
        <v>4558</v>
      </c>
      <c r="T8296" t="s">
        <v>4559</v>
      </c>
      <c r="U8296" t="s">
        <v>4560</v>
      </c>
      <c r="V8296" s="2">
        <v>480</v>
      </c>
      <c r="W8296" t="s">
        <v>4655</v>
      </c>
      <c r="X8296" s="2">
        <v>0</v>
      </c>
      <c r="Y8296">
        <v>20</v>
      </c>
      <c r="Z8296" t="s">
        <v>5508</v>
      </c>
      <c r="AA8296" s="3">
        <v>0.157231405377388</v>
      </c>
      <c r="AB8296" t="s">
        <v>38134</v>
      </c>
      <c r="AC8296" t="s">
        <v>4562</v>
      </c>
      <c r="AD8296" t="s">
        <v>38133</v>
      </c>
      <c r="AE8296" t="s">
        <v>4655</v>
      </c>
      <c r="AF8296" t="s">
        <v>4563</v>
      </c>
      <c r="AG8296" t="s">
        <v>4564</v>
      </c>
      <c r="AH8296">
        <v>89508</v>
      </c>
      <c r="AI8296" t="s">
        <v>4903</v>
      </c>
      <c r="AJ8296" t="s">
        <v>1012</v>
      </c>
      <c r="AK8296" t="s">
        <v>38135</v>
      </c>
      <c r="AL8296" s="13" t="s">
        <v>1892</v>
      </c>
      <c r="AM8296">
        <v>1</v>
      </c>
      <c r="AN8296" s="15" t="s">
        <v>2051</v>
      </c>
    </row>
    <row r="8297" spans="1:40" x14ac:dyDescent="0.3">
      <c r="A8297" s="10" t="str">
        <f>HYPERLINK("http://www.washoecounty.gov/assessor/cama/?parid=556-143-06&amp;CardNumber=1","556-143-06")</f>
        <v>556-143-06</v>
      </c>
      <c r="B8297" t="s">
        <v>4655</v>
      </c>
      <c r="C8297" t="s">
        <v>38136</v>
      </c>
      <c r="D8297" s="1">
        <v>40485</v>
      </c>
      <c r="E8297" s="2">
        <v>103000</v>
      </c>
      <c r="F8297" t="s">
        <v>4567</v>
      </c>
      <c r="G8297" s="17" t="str">
        <f>HYPERLINK("https://www.washoecounty.gov/assessor/cama/?command=sales&amp;parid=55614306","3939289")</f>
        <v>3939289</v>
      </c>
      <c r="H8297" t="s">
        <v>1357</v>
      </c>
      <c r="I8297">
        <v>2002</v>
      </c>
      <c r="J8297">
        <v>2002</v>
      </c>
      <c r="K8297" t="s">
        <v>4554</v>
      </c>
      <c r="L8297" t="s">
        <v>4555</v>
      </c>
      <c r="M8297" s="2">
        <v>1040</v>
      </c>
      <c r="N8297" t="s">
        <v>4556</v>
      </c>
      <c r="O8297">
        <v>3</v>
      </c>
      <c r="P8297">
        <v>2</v>
      </c>
      <c r="Q8297">
        <v>0</v>
      </c>
      <c r="R8297" t="s">
        <v>5281</v>
      </c>
      <c r="S8297" t="s">
        <v>4558</v>
      </c>
      <c r="T8297" t="s">
        <v>4559</v>
      </c>
      <c r="U8297" t="s">
        <v>4560</v>
      </c>
      <c r="V8297" s="2">
        <v>400</v>
      </c>
      <c r="W8297" t="s">
        <v>4655</v>
      </c>
      <c r="X8297" s="2">
        <v>0</v>
      </c>
      <c r="Y8297">
        <v>20</v>
      </c>
      <c r="Z8297" t="s">
        <v>5508</v>
      </c>
      <c r="AA8297" s="3">
        <v>0.17162534594535828</v>
      </c>
      <c r="AB8297" t="s">
        <v>38137</v>
      </c>
      <c r="AC8297" t="s">
        <v>4562</v>
      </c>
      <c r="AD8297" t="s">
        <v>38138</v>
      </c>
      <c r="AE8297" t="s">
        <v>4655</v>
      </c>
      <c r="AF8297" t="s">
        <v>3815</v>
      </c>
      <c r="AG8297" t="s">
        <v>4564</v>
      </c>
      <c r="AH8297" t="s">
        <v>3816</v>
      </c>
      <c r="AI8297" t="s">
        <v>38139</v>
      </c>
      <c r="AJ8297" t="s">
        <v>1012</v>
      </c>
      <c r="AK8297" t="s">
        <v>38140</v>
      </c>
      <c r="AL8297" s="13" t="s">
        <v>1892</v>
      </c>
      <c r="AM8297">
        <v>1</v>
      </c>
      <c r="AN8297" s="15" t="s">
        <v>2051</v>
      </c>
    </row>
    <row r="8298" spans="1:40" x14ac:dyDescent="0.3">
      <c r="A8298" s="10" t="str">
        <f>HYPERLINK("http://www.washoecounty.gov/assessor/cama/?parid=556-161-03&amp;CardNumber=1","556-161-03")</f>
        <v>556-161-03</v>
      </c>
      <c r="B8298" t="s">
        <v>4655</v>
      </c>
      <c r="C8298" t="s">
        <v>38141</v>
      </c>
      <c r="D8298" s="1">
        <v>40513</v>
      </c>
      <c r="E8298" s="2">
        <v>125000</v>
      </c>
      <c r="F8298" t="s">
        <v>4567</v>
      </c>
      <c r="G8298" s="17" t="str">
        <f>HYPERLINK("https://www.washoecounty.gov/assessor/cama/?command=sales&amp;parid=55616103","3948408")</f>
        <v>3948408</v>
      </c>
      <c r="H8298" t="s">
        <v>2788</v>
      </c>
      <c r="I8298">
        <v>2002</v>
      </c>
      <c r="J8298">
        <v>2002</v>
      </c>
      <c r="K8298" t="s">
        <v>4554</v>
      </c>
      <c r="L8298" t="s">
        <v>4555</v>
      </c>
      <c r="M8298" s="2">
        <v>1632</v>
      </c>
      <c r="N8298" t="s">
        <v>4556</v>
      </c>
      <c r="O8298">
        <v>3</v>
      </c>
      <c r="P8298">
        <v>2</v>
      </c>
      <c r="Q8298">
        <v>0</v>
      </c>
      <c r="R8298" t="s">
        <v>5281</v>
      </c>
      <c r="S8298" t="s">
        <v>4558</v>
      </c>
      <c r="T8298" t="s">
        <v>4559</v>
      </c>
      <c r="U8298" t="s">
        <v>4560</v>
      </c>
      <c r="V8298" s="2">
        <v>480</v>
      </c>
      <c r="W8298" t="s">
        <v>4655</v>
      </c>
      <c r="X8298" s="2">
        <v>0</v>
      </c>
      <c r="Y8298">
        <v>20</v>
      </c>
      <c r="Z8298" t="s">
        <v>5508</v>
      </c>
      <c r="AA8298" s="3">
        <v>0.22564278542995453</v>
      </c>
      <c r="AB8298" t="s">
        <v>38142</v>
      </c>
      <c r="AC8298" t="s">
        <v>4562</v>
      </c>
      <c r="AD8298" t="s">
        <v>38141</v>
      </c>
      <c r="AE8298" t="s">
        <v>4655</v>
      </c>
      <c r="AF8298" t="s">
        <v>4563</v>
      </c>
      <c r="AG8298" t="s">
        <v>4564</v>
      </c>
      <c r="AH8298">
        <v>89508</v>
      </c>
      <c r="AI8298" t="s">
        <v>38143</v>
      </c>
      <c r="AJ8298" t="s">
        <v>2789</v>
      </c>
      <c r="AK8298" t="s">
        <v>38144</v>
      </c>
      <c r="AL8298" s="13" t="s">
        <v>1892</v>
      </c>
      <c r="AM8298">
        <v>1</v>
      </c>
      <c r="AN8298" s="15" t="s">
        <v>2051</v>
      </c>
    </row>
    <row r="8299" spans="1:40" x14ac:dyDescent="0.3">
      <c r="A8299" s="10" t="str">
        <f>HYPERLINK("http://www.washoecounty.gov/assessor/cama/?parid=556-162-07&amp;CardNumber=1","556-162-07")</f>
        <v>556-162-07</v>
      </c>
      <c r="B8299" t="s">
        <v>4655</v>
      </c>
      <c r="C8299" t="s">
        <v>38145</v>
      </c>
      <c r="D8299" s="1">
        <v>40539</v>
      </c>
      <c r="E8299" s="2">
        <v>119400</v>
      </c>
      <c r="F8299" t="s">
        <v>4553</v>
      </c>
      <c r="G8299" s="17" t="str">
        <f>HYPERLINK("https://www.washoecounty.gov/assessor/cama/?command=sales&amp;parid=55616207","3957530")</f>
        <v>3957530</v>
      </c>
      <c r="H8299" t="s">
        <v>2788</v>
      </c>
      <c r="I8299">
        <v>2002</v>
      </c>
      <c r="J8299">
        <v>2002</v>
      </c>
      <c r="K8299" t="s">
        <v>4554</v>
      </c>
      <c r="L8299" t="s">
        <v>4555</v>
      </c>
      <c r="M8299" s="2">
        <v>1632</v>
      </c>
      <c r="N8299" t="s">
        <v>4556</v>
      </c>
      <c r="O8299">
        <v>3</v>
      </c>
      <c r="P8299">
        <v>2</v>
      </c>
      <c r="Q8299">
        <v>0</v>
      </c>
      <c r="R8299" t="s">
        <v>4557</v>
      </c>
      <c r="S8299" t="s">
        <v>4558</v>
      </c>
      <c r="T8299" t="s">
        <v>4559</v>
      </c>
      <c r="U8299" t="s">
        <v>4560</v>
      </c>
      <c r="V8299" s="2">
        <v>480</v>
      </c>
      <c r="W8299" t="s">
        <v>4655</v>
      </c>
      <c r="X8299" s="2">
        <v>0</v>
      </c>
      <c r="Y8299">
        <v>20</v>
      </c>
      <c r="Z8299" t="s">
        <v>5508</v>
      </c>
      <c r="AA8299" s="3">
        <v>0.172084480524063</v>
      </c>
      <c r="AB8299" t="s">
        <v>38146</v>
      </c>
      <c r="AC8299" t="s">
        <v>4562</v>
      </c>
      <c r="AD8299" t="s">
        <v>38145</v>
      </c>
      <c r="AE8299" t="s">
        <v>4655</v>
      </c>
      <c r="AF8299" t="s">
        <v>4563</v>
      </c>
      <c r="AG8299" t="s">
        <v>4564</v>
      </c>
      <c r="AH8299">
        <v>89508</v>
      </c>
      <c r="AI8299" t="s">
        <v>4655</v>
      </c>
      <c r="AJ8299" t="s">
        <v>2789</v>
      </c>
      <c r="AK8299" t="s">
        <v>38147</v>
      </c>
      <c r="AL8299" s="13" t="s">
        <v>1892</v>
      </c>
      <c r="AM8299" s="14">
        <v>1</v>
      </c>
      <c r="AN8299" s="15" t="s">
        <v>2051</v>
      </c>
    </row>
    <row r="8300" spans="1:40" x14ac:dyDescent="0.3">
      <c r="A8300" s="10" t="str">
        <f>HYPERLINK("http://www.washoecounty.gov/assessor/cama/?parid=556-162-10&amp;CardNumber=1","556-162-10")</f>
        <v>556-162-10</v>
      </c>
      <c r="B8300" t="s">
        <v>4655</v>
      </c>
      <c r="C8300" t="s">
        <v>38148</v>
      </c>
      <c r="D8300" s="1">
        <v>40528</v>
      </c>
      <c r="E8300" s="2">
        <v>117650</v>
      </c>
      <c r="F8300" t="s">
        <v>4553</v>
      </c>
      <c r="G8300" s="17" t="str">
        <f>HYPERLINK("https://www.washoecounty.gov/assessor/cama/?command=sales&amp;parid=55616210","3953949")</f>
        <v>3953949</v>
      </c>
      <c r="H8300" t="s">
        <v>2788</v>
      </c>
      <c r="I8300">
        <v>2002</v>
      </c>
      <c r="J8300">
        <v>2002</v>
      </c>
      <c r="K8300" t="s">
        <v>4554</v>
      </c>
      <c r="L8300" t="s">
        <v>4555</v>
      </c>
      <c r="M8300" s="2">
        <v>1696</v>
      </c>
      <c r="N8300" t="s">
        <v>4556</v>
      </c>
      <c r="O8300">
        <v>3</v>
      </c>
      <c r="P8300">
        <v>2</v>
      </c>
      <c r="Q8300">
        <v>0</v>
      </c>
      <c r="R8300" t="s">
        <v>4557</v>
      </c>
      <c r="S8300" t="s">
        <v>4558</v>
      </c>
      <c r="T8300" t="s">
        <v>4559</v>
      </c>
      <c r="U8300" t="s">
        <v>4560</v>
      </c>
      <c r="V8300" s="2">
        <v>576</v>
      </c>
      <c r="W8300" t="s">
        <v>4655</v>
      </c>
      <c r="X8300" s="2">
        <v>0</v>
      </c>
      <c r="Y8300">
        <v>20</v>
      </c>
      <c r="Z8300" t="s">
        <v>5508</v>
      </c>
      <c r="AA8300" s="3">
        <v>0.16675849258899689</v>
      </c>
      <c r="AB8300" t="s">
        <v>38149</v>
      </c>
      <c r="AC8300" t="s">
        <v>4562</v>
      </c>
      <c r="AD8300" t="s">
        <v>38150</v>
      </c>
      <c r="AE8300" t="s">
        <v>4655</v>
      </c>
      <c r="AF8300" t="s">
        <v>4563</v>
      </c>
      <c r="AG8300" t="s">
        <v>4564</v>
      </c>
      <c r="AH8300">
        <v>89503</v>
      </c>
      <c r="AI8300" t="s">
        <v>1602</v>
      </c>
      <c r="AJ8300" t="s">
        <v>2789</v>
      </c>
      <c r="AK8300" t="s">
        <v>38151</v>
      </c>
      <c r="AL8300" s="13" t="s">
        <v>1892</v>
      </c>
      <c r="AM8300">
        <v>1</v>
      </c>
      <c r="AN8300" s="15" t="s">
        <v>2051</v>
      </c>
    </row>
    <row r="8301" spans="1:40" x14ac:dyDescent="0.3">
      <c r="A8301" s="10" t="str">
        <f>HYPERLINK("http://www.washoecounty.gov/assessor/cama/?parid=556-162-19&amp;CardNumber=1","556-162-19")</f>
        <v>556-162-19</v>
      </c>
      <c r="B8301" t="s">
        <v>4655</v>
      </c>
      <c r="C8301" t="s">
        <v>38152</v>
      </c>
      <c r="D8301" s="1">
        <v>40203</v>
      </c>
      <c r="E8301" s="2">
        <v>115000</v>
      </c>
      <c r="F8301" t="s">
        <v>4567</v>
      </c>
      <c r="G8301" s="17" t="str">
        <f>HYPERLINK("https://www.washoecounty.gov/assessor/cama/?command=sales&amp;parid=55616219","3842474")</f>
        <v>3842474</v>
      </c>
      <c r="H8301" t="s">
        <v>2788</v>
      </c>
      <c r="I8301">
        <v>2002</v>
      </c>
      <c r="J8301">
        <v>2002</v>
      </c>
      <c r="K8301" t="s">
        <v>4554</v>
      </c>
      <c r="L8301" t="s">
        <v>4555</v>
      </c>
      <c r="M8301" s="2">
        <v>1632</v>
      </c>
      <c r="N8301" t="s">
        <v>4556</v>
      </c>
      <c r="O8301">
        <v>3</v>
      </c>
      <c r="P8301">
        <v>2</v>
      </c>
      <c r="Q8301">
        <v>0</v>
      </c>
      <c r="R8301" t="s">
        <v>5281</v>
      </c>
      <c r="S8301" t="s">
        <v>4558</v>
      </c>
      <c r="T8301" t="s">
        <v>4559</v>
      </c>
      <c r="U8301" t="s">
        <v>4560</v>
      </c>
      <c r="V8301" s="2">
        <v>480</v>
      </c>
      <c r="W8301" t="s">
        <v>4655</v>
      </c>
      <c r="X8301" s="2">
        <v>0</v>
      </c>
      <c r="Y8301">
        <v>20</v>
      </c>
      <c r="Z8301" t="s">
        <v>5508</v>
      </c>
      <c r="AA8301" s="3">
        <v>0.18326446413993835</v>
      </c>
      <c r="AB8301" t="s">
        <v>38153</v>
      </c>
      <c r="AC8301" t="s">
        <v>4562</v>
      </c>
      <c r="AD8301" t="s">
        <v>38152</v>
      </c>
      <c r="AE8301" t="s">
        <v>4655</v>
      </c>
      <c r="AF8301" t="s">
        <v>4563</v>
      </c>
      <c r="AG8301" t="s">
        <v>4564</v>
      </c>
      <c r="AH8301">
        <v>89508</v>
      </c>
      <c r="AI8301" t="s">
        <v>38154</v>
      </c>
      <c r="AJ8301" t="s">
        <v>2789</v>
      </c>
      <c r="AK8301" t="s">
        <v>38155</v>
      </c>
      <c r="AL8301" s="13" t="s">
        <v>1892</v>
      </c>
      <c r="AM8301" s="14">
        <v>1</v>
      </c>
      <c r="AN8301" s="15" t="s">
        <v>2051</v>
      </c>
    </row>
    <row r="8302" spans="1:40" x14ac:dyDescent="0.3">
      <c r="A8302" s="10" t="str">
        <f>HYPERLINK("http://www.washoecounty.gov/assessor/cama/?parid=556-171-16&amp;CardNumber=1","556-171-16")</f>
        <v>556-171-16</v>
      </c>
      <c r="B8302" t="s">
        <v>4655</v>
      </c>
      <c r="C8302" t="s">
        <v>38156</v>
      </c>
      <c r="D8302" s="1">
        <v>40413</v>
      </c>
      <c r="E8302" s="2">
        <v>112450</v>
      </c>
      <c r="F8302" t="s">
        <v>4567</v>
      </c>
      <c r="G8302" s="17" t="str">
        <f>HYPERLINK("https://www.washoecounty.gov/assessor/cama/?command=sales&amp;parid=55617116","3914630")</f>
        <v>3914630</v>
      </c>
      <c r="H8302" t="s">
        <v>2788</v>
      </c>
      <c r="I8302">
        <v>2002</v>
      </c>
      <c r="J8302">
        <v>2002</v>
      </c>
      <c r="K8302" t="s">
        <v>4554</v>
      </c>
      <c r="L8302" t="s">
        <v>4555</v>
      </c>
      <c r="M8302" s="2">
        <v>1040</v>
      </c>
      <c r="N8302" t="s">
        <v>4556</v>
      </c>
      <c r="O8302">
        <v>3</v>
      </c>
      <c r="P8302">
        <v>2</v>
      </c>
      <c r="Q8302">
        <v>0</v>
      </c>
      <c r="R8302" t="s">
        <v>5281</v>
      </c>
      <c r="S8302" t="s">
        <v>4558</v>
      </c>
      <c r="T8302" t="s">
        <v>4559</v>
      </c>
      <c r="U8302" t="s">
        <v>4560</v>
      </c>
      <c r="V8302" s="2">
        <v>400</v>
      </c>
      <c r="W8302" t="s">
        <v>4655</v>
      </c>
      <c r="X8302" s="2">
        <v>0</v>
      </c>
      <c r="Y8302">
        <v>20</v>
      </c>
      <c r="Z8302" t="s">
        <v>5508</v>
      </c>
      <c r="AA8302" s="3">
        <v>0.19359503686428101</v>
      </c>
      <c r="AB8302" t="s">
        <v>38157</v>
      </c>
      <c r="AC8302" t="s">
        <v>4562</v>
      </c>
      <c r="AD8302" t="s">
        <v>38158</v>
      </c>
      <c r="AE8302" t="s">
        <v>4655</v>
      </c>
      <c r="AF8302" t="s">
        <v>4752</v>
      </c>
      <c r="AG8302" t="s">
        <v>4564</v>
      </c>
      <c r="AH8302">
        <v>89508</v>
      </c>
      <c r="AI8302" t="s">
        <v>38159</v>
      </c>
      <c r="AJ8302" t="s">
        <v>2789</v>
      </c>
      <c r="AK8302" t="s">
        <v>38160</v>
      </c>
      <c r="AL8302" s="13" t="s">
        <v>1892</v>
      </c>
      <c r="AM8302">
        <v>1</v>
      </c>
      <c r="AN8302" s="15" t="s">
        <v>2051</v>
      </c>
    </row>
    <row r="8303" spans="1:40" x14ac:dyDescent="0.3">
      <c r="A8303" s="10" t="str">
        <f>HYPERLINK("http://www.washoecounty.gov/assessor/cama/?parid=556-171-18&amp;CardNumber=1","556-171-18")</f>
        <v>556-171-18</v>
      </c>
      <c r="B8303" t="s">
        <v>4655</v>
      </c>
      <c r="C8303" t="s">
        <v>38161</v>
      </c>
      <c r="D8303" s="1">
        <v>40190</v>
      </c>
      <c r="E8303" s="2">
        <v>115000</v>
      </c>
      <c r="F8303" t="s">
        <v>4567</v>
      </c>
      <c r="G8303" s="17" t="str">
        <f>HYPERLINK("https://www.washoecounty.gov/assessor/cama/?command=sales&amp;parid=55617118","3838468")</f>
        <v>3838468</v>
      </c>
      <c r="H8303" t="s">
        <v>2788</v>
      </c>
      <c r="I8303">
        <v>2002</v>
      </c>
      <c r="J8303">
        <v>2002</v>
      </c>
      <c r="K8303" t="s">
        <v>4554</v>
      </c>
      <c r="L8303" t="s">
        <v>4555</v>
      </c>
      <c r="M8303" s="2">
        <v>1568</v>
      </c>
      <c r="N8303" t="s">
        <v>4556</v>
      </c>
      <c r="O8303">
        <v>4</v>
      </c>
      <c r="P8303">
        <v>2</v>
      </c>
      <c r="Q8303">
        <v>0</v>
      </c>
      <c r="R8303" t="s">
        <v>5281</v>
      </c>
      <c r="S8303" t="s">
        <v>4558</v>
      </c>
      <c r="T8303" t="s">
        <v>4559</v>
      </c>
      <c r="U8303" t="s">
        <v>4560</v>
      </c>
      <c r="V8303" s="2">
        <v>480</v>
      </c>
      <c r="W8303" t="s">
        <v>4655</v>
      </c>
      <c r="X8303" s="2">
        <v>0</v>
      </c>
      <c r="Y8303">
        <v>20</v>
      </c>
      <c r="Z8303" t="s">
        <v>5508</v>
      </c>
      <c r="AA8303" s="3">
        <v>0.201515153050423</v>
      </c>
      <c r="AB8303" t="s">
        <v>38162</v>
      </c>
      <c r="AC8303" t="s">
        <v>4562</v>
      </c>
      <c r="AD8303" t="s">
        <v>38161</v>
      </c>
      <c r="AE8303" t="s">
        <v>4655</v>
      </c>
      <c r="AF8303" t="s">
        <v>4563</v>
      </c>
      <c r="AG8303" t="s">
        <v>4564</v>
      </c>
      <c r="AH8303">
        <v>89508</v>
      </c>
      <c r="AI8303" t="s">
        <v>38163</v>
      </c>
      <c r="AJ8303" t="s">
        <v>2789</v>
      </c>
      <c r="AK8303" t="s">
        <v>38164</v>
      </c>
      <c r="AL8303" s="13" t="s">
        <v>1892</v>
      </c>
      <c r="AM8303">
        <v>1</v>
      </c>
      <c r="AN8303" s="15" t="s">
        <v>2051</v>
      </c>
    </row>
    <row r="8304" spans="1:40" x14ac:dyDescent="0.3">
      <c r="A8304" s="10" t="str">
        <f>HYPERLINK("http://www.washoecounty.gov/assessor/cama/?parid=556-171-21&amp;CardNumber=1","556-171-21")</f>
        <v>556-171-21</v>
      </c>
      <c r="B8304" t="s">
        <v>4655</v>
      </c>
      <c r="C8304" t="s">
        <v>38165</v>
      </c>
      <c r="D8304" s="1">
        <v>40396</v>
      </c>
      <c r="E8304" s="2">
        <v>125000</v>
      </c>
      <c r="F8304" t="s">
        <v>4567</v>
      </c>
      <c r="G8304" s="17" t="str">
        <f>HYPERLINK("https://www.washoecounty.gov/assessor/cama/?command=sales&amp;parid=55617121","3909365")</f>
        <v>3909365</v>
      </c>
      <c r="H8304" t="s">
        <v>2788</v>
      </c>
      <c r="I8304">
        <v>2002</v>
      </c>
      <c r="J8304">
        <v>2002</v>
      </c>
      <c r="K8304" t="s">
        <v>4554</v>
      </c>
      <c r="L8304" t="s">
        <v>4555</v>
      </c>
      <c r="M8304" s="2">
        <v>1792</v>
      </c>
      <c r="N8304" t="s">
        <v>4556</v>
      </c>
      <c r="O8304">
        <v>4</v>
      </c>
      <c r="P8304">
        <v>2</v>
      </c>
      <c r="Q8304">
        <v>0</v>
      </c>
      <c r="R8304" t="s">
        <v>5281</v>
      </c>
      <c r="S8304" t="s">
        <v>4558</v>
      </c>
      <c r="T8304" t="s">
        <v>4559</v>
      </c>
      <c r="U8304" t="s">
        <v>4560</v>
      </c>
      <c r="V8304" s="2">
        <v>480</v>
      </c>
      <c r="W8304" t="s">
        <v>4655</v>
      </c>
      <c r="X8304" s="2">
        <v>0</v>
      </c>
      <c r="Y8304">
        <v>20</v>
      </c>
      <c r="Z8304" t="s">
        <v>5508</v>
      </c>
      <c r="AA8304" s="3">
        <v>0.19497245550155601</v>
      </c>
      <c r="AB8304" t="s">
        <v>38166</v>
      </c>
      <c r="AC8304" t="s">
        <v>4562</v>
      </c>
      <c r="AD8304" t="s">
        <v>38165</v>
      </c>
      <c r="AE8304" t="s">
        <v>4655</v>
      </c>
      <c r="AF8304" t="s">
        <v>4563</v>
      </c>
      <c r="AG8304" t="s">
        <v>4564</v>
      </c>
      <c r="AH8304">
        <v>89508</v>
      </c>
      <c r="AI8304" t="s">
        <v>4655</v>
      </c>
      <c r="AJ8304" t="s">
        <v>2789</v>
      </c>
      <c r="AK8304" t="s">
        <v>38167</v>
      </c>
      <c r="AL8304" s="13" t="s">
        <v>1892</v>
      </c>
      <c r="AM8304">
        <v>1</v>
      </c>
      <c r="AN8304" s="15" t="s">
        <v>2051</v>
      </c>
    </row>
    <row r="8305" spans="1:40" x14ac:dyDescent="0.3">
      <c r="A8305" s="10" t="str">
        <f>HYPERLINK("http://www.washoecounty.gov/assessor/cama/?parid=556-171-22&amp;CardNumber=1","556-171-22")</f>
        <v>556-171-22</v>
      </c>
      <c r="B8305" t="s">
        <v>4655</v>
      </c>
      <c r="C8305" t="s">
        <v>38168</v>
      </c>
      <c r="D8305" s="1">
        <v>40492</v>
      </c>
      <c r="E8305" s="2">
        <v>119900</v>
      </c>
      <c r="F8305" t="s">
        <v>4553</v>
      </c>
      <c r="G8305" s="17" t="str">
        <f>HYPERLINK("https://www.washoecounty.gov/assessor/cama/?command=sales&amp;parid=55617122","3941713")</f>
        <v>3941713</v>
      </c>
      <c r="H8305" t="s">
        <v>2788</v>
      </c>
      <c r="I8305">
        <v>2002</v>
      </c>
      <c r="J8305">
        <v>2002</v>
      </c>
      <c r="K8305" t="s">
        <v>4554</v>
      </c>
      <c r="L8305" t="s">
        <v>4555</v>
      </c>
      <c r="M8305" s="2">
        <v>1505</v>
      </c>
      <c r="N8305" t="s">
        <v>4556</v>
      </c>
      <c r="O8305">
        <v>3</v>
      </c>
      <c r="P8305">
        <v>2</v>
      </c>
      <c r="Q8305">
        <v>0</v>
      </c>
      <c r="R8305" t="s">
        <v>5281</v>
      </c>
      <c r="S8305" t="s">
        <v>4558</v>
      </c>
      <c r="T8305" t="s">
        <v>4559</v>
      </c>
      <c r="U8305" t="s">
        <v>4560</v>
      </c>
      <c r="V8305" s="2">
        <v>415</v>
      </c>
      <c r="W8305" t="s">
        <v>4655</v>
      </c>
      <c r="X8305" s="2">
        <v>0</v>
      </c>
      <c r="Y8305">
        <v>20</v>
      </c>
      <c r="Z8305" t="s">
        <v>5508</v>
      </c>
      <c r="AA8305" s="3">
        <v>0.19903580844402299</v>
      </c>
      <c r="AB8305" t="s">
        <v>38169</v>
      </c>
      <c r="AC8305" t="s">
        <v>4575</v>
      </c>
      <c r="AD8305" t="s">
        <v>38168</v>
      </c>
      <c r="AE8305" t="s">
        <v>4655</v>
      </c>
      <c r="AF8305" t="s">
        <v>38170</v>
      </c>
      <c r="AG8305" t="s">
        <v>4564</v>
      </c>
      <c r="AH8305">
        <v>89508</v>
      </c>
      <c r="AI8305" t="s">
        <v>4903</v>
      </c>
      <c r="AJ8305" t="s">
        <v>2789</v>
      </c>
      <c r="AK8305" t="s">
        <v>38171</v>
      </c>
      <c r="AL8305" s="13" t="s">
        <v>1892</v>
      </c>
      <c r="AM8305">
        <v>1</v>
      </c>
      <c r="AN8305" s="15" t="s">
        <v>2051</v>
      </c>
    </row>
    <row r="8306" spans="1:40" x14ac:dyDescent="0.3">
      <c r="A8306" s="10" t="str">
        <f>HYPERLINK("http://www.washoecounty.gov/assessor/cama/?parid=556-171-47&amp;CardNumber=1","556-171-47")</f>
        <v>556-171-47</v>
      </c>
      <c r="B8306" t="s">
        <v>4655</v>
      </c>
      <c r="C8306" t="s">
        <v>38172</v>
      </c>
      <c r="D8306" s="1">
        <v>40186</v>
      </c>
      <c r="E8306" s="2">
        <v>112000</v>
      </c>
      <c r="F8306" t="s">
        <v>4567</v>
      </c>
      <c r="G8306" s="17" t="str">
        <f>HYPERLINK("https://www.washoecounty.gov/assessor/cama/?command=sales&amp;parid=55617147","3837614")</f>
        <v>3837614</v>
      </c>
      <c r="H8306" t="s">
        <v>2788</v>
      </c>
      <c r="I8306">
        <v>2002</v>
      </c>
      <c r="J8306">
        <v>2002</v>
      </c>
      <c r="K8306" t="s">
        <v>4554</v>
      </c>
      <c r="L8306" t="s">
        <v>4555</v>
      </c>
      <c r="M8306" s="2">
        <v>1568</v>
      </c>
      <c r="N8306" t="s">
        <v>4556</v>
      </c>
      <c r="O8306">
        <v>4</v>
      </c>
      <c r="P8306">
        <v>2</v>
      </c>
      <c r="Q8306">
        <v>0</v>
      </c>
      <c r="R8306" t="s">
        <v>4557</v>
      </c>
      <c r="S8306" t="s">
        <v>4558</v>
      </c>
      <c r="T8306" t="s">
        <v>4559</v>
      </c>
      <c r="U8306" t="s">
        <v>4560</v>
      </c>
      <c r="V8306" s="2">
        <v>480</v>
      </c>
      <c r="W8306" t="s">
        <v>4655</v>
      </c>
      <c r="X8306" s="2">
        <v>0</v>
      </c>
      <c r="Y8306">
        <v>20</v>
      </c>
      <c r="Z8306" t="s">
        <v>5508</v>
      </c>
      <c r="AA8306" s="3">
        <v>0.176056012511253</v>
      </c>
      <c r="AB8306" t="s">
        <v>38173</v>
      </c>
      <c r="AC8306" t="s">
        <v>4562</v>
      </c>
      <c r="AD8306" t="s">
        <v>38172</v>
      </c>
      <c r="AE8306" t="s">
        <v>4655</v>
      </c>
      <c r="AF8306" t="s">
        <v>4563</v>
      </c>
      <c r="AG8306" t="s">
        <v>4564</v>
      </c>
      <c r="AH8306">
        <v>89508</v>
      </c>
      <c r="AI8306" t="s">
        <v>38174</v>
      </c>
      <c r="AJ8306" t="s">
        <v>2789</v>
      </c>
      <c r="AK8306" t="s">
        <v>38175</v>
      </c>
      <c r="AL8306" s="13" t="s">
        <v>1892</v>
      </c>
      <c r="AM8306" s="14">
        <v>1</v>
      </c>
      <c r="AN8306" s="15" t="s">
        <v>2051</v>
      </c>
    </row>
    <row r="8307" spans="1:40" x14ac:dyDescent="0.3">
      <c r="A8307" s="10" t="str">
        <f>HYPERLINK("http://www.washoecounty.gov/assessor/cama/?parid=556-192-01&amp;CardNumber=1","556-192-01")</f>
        <v>556-192-01</v>
      </c>
      <c r="B8307" t="s">
        <v>4655</v>
      </c>
      <c r="C8307" t="s">
        <v>38176</v>
      </c>
      <c r="D8307" s="1">
        <v>40277</v>
      </c>
      <c r="E8307" s="2">
        <v>130000</v>
      </c>
      <c r="F8307" t="s">
        <v>4567</v>
      </c>
      <c r="G8307" s="17" t="str">
        <f>HYPERLINK("https://www.washoecounty.gov/assessor/cama/?command=sales&amp;parid=55619201","3869632")</f>
        <v>3869632</v>
      </c>
      <c r="H8307" t="s">
        <v>2790</v>
      </c>
      <c r="I8307">
        <v>2003</v>
      </c>
      <c r="J8307">
        <v>2003</v>
      </c>
      <c r="K8307" t="s">
        <v>4554</v>
      </c>
      <c r="L8307" t="s">
        <v>4555</v>
      </c>
      <c r="M8307" s="2">
        <v>1660</v>
      </c>
      <c r="N8307" t="s">
        <v>4556</v>
      </c>
      <c r="O8307">
        <v>3</v>
      </c>
      <c r="P8307">
        <v>2</v>
      </c>
      <c r="Q8307">
        <v>0</v>
      </c>
      <c r="R8307" t="s">
        <v>4557</v>
      </c>
      <c r="S8307" t="s">
        <v>4558</v>
      </c>
      <c r="T8307" t="s">
        <v>4559</v>
      </c>
      <c r="U8307" t="s">
        <v>4560</v>
      </c>
      <c r="V8307" s="2">
        <v>440</v>
      </c>
      <c r="W8307" t="s">
        <v>4655</v>
      </c>
      <c r="X8307" s="2">
        <v>0</v>
      </c>
      <c r="Y8307">
        <v>20</v>
      </c>
      <c r="Z8307" t="s">
        <v>5508</v>
      </c>
      <c r="AA8307" s="3">
        <v>0.19345730543136599</v>
      </c>
      <c r="AB8307" t="s">
        <v>38177</v>
      </c>
      <c r="AC8307" t="s">
        <v>4562</v>
      </c>
      <c r="AD8307" t="s">
        <v>38176</v>
      </c>
      <c r="AE8307" t="s">
        <v>4655</v>
      </c>
      <c r="AF8307" t="s">
        <v>4563</v>
      </c>
      <c r="AG8307" t="s">
        <v>4564</v>
      </c>
      <c r="AH8307">
        <v>89508</v>
      </c>
      <c r="AI8307" t="s">
        <v>38178</v>
      </c>
      <c r="AJ8307" t="s">
        <v>2791</v>
      </c>
      <c r="AK8307" t="s">
        <v>38179</v>
      </c>
      <c r="AL8307" s="13" t="s">
        <v>1892</v>
      </c>
      <c r="AM8307">
        <v>1</v>
      </c>
      <c r="AN8307" s="15" t="s">
        <v>2051</v>
      </c>
    </row>
    <row r="8308" spans="1:40" x14ac:dyDescent="0.3">
      <c r="A8308" s="10" t="str">
        <f>HYPERLINK("http://www.washoecounty.gov/assessor/cama/?parid=556-193-08&amp;CardNumber=1","556-193-08")</f>
        <v>556-193-08</v>
      </c>
      <c r="B8308" t="s">
        <v>4655</v>
      </c>
      <c r="C8308" t="s">
        <v>38180</v>
      </c>
      <c r="D8308" s="1">
        <v>40346</v>
      </c>
      <c r="E8308" s="2">
        <v>120000</v>
      </c>
      <c r="F8308" t="s">
        <v>4567</v>
      </c>
      <c r="G8308" s="17" t="str">
        <f>HYPERLINK("https://www.washoecounty.gov/assessor/cama/?command=sales&amp;parid=55619308","3892873")</f>
        <v>3892873</v>
      </c>
      <c r="H8308" t="s">
        <v>2790</v>
      </c>
      <c r="I8308">
        <v>2003</v>
      </c>
      <c r="J8308">
        <v>2003</v>
      </c>
      <c r="K8308" t="s">
        <v>4554</v>
      </c>
      <c r="L8308" t="s">
        <v>4555</v>
      </c>
      <c r="M8308" s="2">
        <v>1568</v>
      </c>
      <c r="N8308" t="s">
        <v>4556</v>
      </c>
      <c r="O8308">
        <v>4</v>
      </c>
      <c r="P8308">
        <v>2</v>
      </c>
      <c r="Q8308">
        <v>0</v>
      </c>
      <c r="R8308" t="s">
        <v>4557</v>
      </c>
      <c r="S8308" t="s">
        <v>4558</v>
      </c>
      <c r="T8308" t="s">
        <v>4559</v>
      </c>
      <c r="U8308" t="s">
        <v>4560</v>
      </c>
      <c r="V8308" s="2">
        <v>480</v>
      </c>
      <c r="W8308" t="s">
        <v>4655</v>
      </c>
      <c r="X8308" s="2">
        <v>0</v>
      </c>
      <c r="Y8308">
        <v>20</v>
      </c>
      <c r="Z8308" t="s">
        <v>5508</v>
      </c>
      <c r="AA8308" s="3">
        <v>0.23505508899688701</v>
      </c>
      <c r="AB8308" t="s">
        <v>38181</v>
      </c>
      <c r="AC8308" t="s">
        <v>4562</v>
      </c>
      <c r="AD8308" t="s">
        <v>38180</v>
      </c>
      <c r="AE8308" t="s">
        <v>4655</v>
      </c>
      <c r="AF8308" t="s">
        <v>4563</v>
      </c>
      <c r="AG8308" t="s">
        <v>4564</v>
      </c>
      <c r="AH8308">
        <v>89508</v>
      </c>
      <c r="AI8308" t="s">
        <v>38182</v>
      </c>
      <c r="AJ8308" t="s">
        <v>2791</v>
      </c>
      <c r="AK8308" t="s">
        <v>38183</v>
      </c>
      <c r="AL8308" s="13" t="s">
        <v>1892</v>
      </c>
      <c r="AM8308">
        <v>1</v>
      </c>
      <c r="AN8308" s="15" t="s">
        <v>2051</v>
      </c>
    </row>
    <row r="8309" spans="1:40" x14ac:dyDescent="0.3">
      <c r="A8309" s="10" t="str">
        <f>HYPERLINK("http://www.washoecounty.gov/assessor/cama/?parid=556-193-13&amp;CardNumber=1","556-193-13")</f>
        <v>556-193-13</v>
      </c>
      <c r="B8309" t="s">
        <v>4655</v>
      </c>
      <c r="C8309" t="s">
        <v>38184</v>
      </c>
      <c r="D8309" s="1">
        <v>40268</v>
      </c>
      <c r="E8309" s="2">
        <v>156000</v>
      </c>
      <c r="F8309" t="s">
        <v>4567</v>
      </c>
      <c r="G8309" s="17" t="str">
        <f>HYPERLINK("https://www.washoecounty.gov/assessor/cama/?command=sales&amp;parid=55619313","3866543")</f>
        <v>3866543</v>
      </c>
      <c r="H8309" t="s">
        <v>2790</v>
      </c>
      <c r="I8309">
        <v>2003</v>
      </c>
      <c r="J8309">
        <v>2003</v>
      </c>
      <c r="K8309" t="s">
        <v>4554</v>
      </c>
      <c r="L8309" t="s">
        <v>4555</v>
      </c>
      <c r="M8309" s="2">
        <v>1696</v>
      </c>
      <c r="N8309" t="s">
        <v>4556</v>
      </c>
      <c r="O8309">
        <v>3</v>
      </c>
      <c r="P8309">
        <v>2</v>
      </c>
      <c r="Q8309">
        <v>0</v>
      </c>
      <c r="R8309" t="s">
        <v>4557</v>
      </c>
      <c r="S8309" t="s">
        <v>4558</v>
      </c>
      <c r="T8309" t="s">
        <v>4559</v>
      </c>
      <c r="U8309" t="s">
        <v>4560</v>
      </c>
      <c r="V8309" s="2">
        <v>576</v>
      </c>
      <c r="W8309" t="s">
        <v>4655</v>
      </c>
      <c r="X8309" s="2">
        <v>0</v>
      </c>
      <c r="Y8309">
        <v>20</v>
      </c>
      <c r="Z8309" t="s">
        <v>5508</v>
      </c>
      <c r="AA8309" s="3">
        <v>0.173921033740044</v>
      </c>
      <c r="AB8309" t="s">
        <v>38185</v>
      </c>
      <c r="AC8309" t="s">
        <v>4562</v>
      </c>
      <c r="AD8309" t="s">
        <v>38184</v>
      </c>
      <c r="AE8309" t="s">
        <v>4655</v>
      </c>
      <c r="AF8309" t="s">
        <v>4563</v>
      </c>
      <c r="AG8309" t="s">
        <v>4564</v>
      </c>
      <c r="AH8309">
        <v>89508</v>
      </c>
      <c r="AI8309" t="s">
        <v>4655</v>
      </c>
      <c r="AJ8309" t="s">
        <v>2791</v>
      </c>
      <c r="AK8309" t="s">
        <v>38186</v>
      </c>
      <c r="AL8309" s="13" t="s">
        <v>1892</v>
      </c>
      <c r="AM8309">
        <v>1</v>
      </c>
      <c r="AN8309" s="15" t="s">
        <v>2051</v>
      </c>
    </row>
    <row r="8310" spans="1:40" x14ac:dyDescent="0.3">
      <c r="A8310" s="10" t="str">
        <f>HYPERLINK("http://www.washoecounty.gov/assessor/cama/?parid=556-194-01&amp;CardNumber=1","556-194-01")</f>
        <v>556-194-01</v>
      </c>
      <c r="B8310" t="s">
        <v>4655</v>
      </c>
      <c r="C8310" t="s">
        <v>38187</v>
      </c>
      <c r="D8310" s="1">
        <v>40217</v>
      </c>
      <c r="E8310" s="2">
        <v>138000</v>
      </c>
      <c r="F8310" t="s">
        <v>4567</v>
      </c>
      <c r="G8310" s="17" t="str">
        <f>HYPERLINK("https://www.washoecounty.gov/assessor/cama/?command=sales&amp;parid=55619401","3846838")</f>
        <v>3846838</v>
      </c>
      <c r="H8310" t="s">
        <v>2790</v>
      </c>
      <c r="I8310">
        <v>2003</v>
      </c>
      <c r="J8310">
        <v>2003</v>
      </c>
      <c r="K8310" t="s">
        <v>4554</v>
      </c>
      <c r="L8310" t="s">
        <v>3974</v>
      </c>
      <c r="M8310" s="2">
        <v>1624</v>
      </c>
      <c r="N8310" t="s">
        <v>4556</v>
      </c>
      <c r="O8310">
        <v>3</v>
      </c>
      <c r="P8310">
        <v>2</v>
      </c>
      <c r="Q8310">
        <v>1</v>
      </c>
      <c r="R8310" t="s">
        <v>4557</v>
      </c>
      <c r="S8310" t="s">
        <v>4558</v>
      </c>
      <c r="T8310" t="s">
        <v>4559</v>
      </c>
      <c r="U8310" t="s">
        <v>4560</v>
      </c>
      <c r="V8310" s="2">
        <v>400</v>
      </c>
      <c r="W8310" t="s">
        <v>4655</v>
      </c>
      <c r="X8310" s="2">
        <v>0</v>
      </c>
      <c r="Y8310">
        <v>20</v>
      </c>
      <c r="Z8310" t="s">
        <v>5508</v>
      </c>
      <c r="AA8310" s="3">
        <v>0.15197429060935999</v>
      </c>
      <c r="AB8310" t="s">
        <v>38188</v>
      </c>
      <c r="AC8310" t="s">
        <v>4562</v>
      </c>
      <c r="AD8310" t="s">
        <v>38187</v>
      </c>
      <c r="AE8310" t="s">
        <v>4655</v>
      </c>
      <c r="AF8310" t="s">
        <v>4563</v>
      </c>
      <c r="AG8310" t="s">
        <v>4564</v>
      </c>
      <c r="AH8310">
        <v>89508</v>
      </c>
      <c r="AI8310" t="s">
        <v>38189</v>
      </c>
      <c r="AJ8310" t="s">
        <v>2791</v>
      </c>
      <c r="AK8310" t="s">
        <v>38190</v>
      </c>
      <c r="AL8310" s="13" t="s">
        <v>1892</v>
      </c>
      <c r="AM8310" s="14">
        <v>1</v>
      </c>
      <c r="AN8310" s="15" t="s">
        <v>2051</v>
      </c>
    </row>
    <row r="8311" spans="1:40" x14ac:dyDescent="0.3">
      <c r="A8311" s="10" t="str">
        <f>HYPERLINK("http://www.washoecounty.gov/assessor/cama/?parid=556-194-08&amp;CardNumber=1","556-194-08")</f>
        <v>556-194-08</v>
      </c>
      <c r="B8311" t="s">
        <v>4655</v>
      </c>
      <c r="C8311" t="s">
        <v>38191</v>
      </c>
      <c r="D8311" s="1">
        <v>40431</v>
      </c>
      <c r="E8311" s="2">
        <v>160000</v>
      </c>
      <c r="F8311" t="s">
        <v>4567</v>
      </c>
      <c r="G8311" s="17" t="str">
        <f>HYPERLINK("https://www.washoecounty.gov/assessor/cama/?command=sales&amp;parid=55619408","3920978")</f>
        <v>3920978</v>
      </c>
      <c r="H8311" t="s">
        <v>2790</v>
      </c>
      <c r="I8311">
        <v>2003</v>
      </c>
      <c r="J8311">
        <v>2003</v>
      </c>
      <c r="K8311" t="s">
        <v>4554</v>
      </c>
      <c r="L8311" t="s">
        <v>3974</v>
      </c>
      <c r="M8311" s="2">
        <v>2320</v>
      </c>
      <c r="N8311" t="s">
        <v>4556</v>
      </c>
      <c r="O8311">
        <v>4</v>
      </c>
      <c r="P8311">
        <v>2</v>
      </c>
      <c r="Q8311">
        <v>1</v>
      </c>
      <c r="R8311" t="s">
        <v>4557</v>
      </c>
      <c r="S8311" t="s">
        <v>4558</v>
      </c>
      <c r="T8311" t="s">
        <v>4559</v>
      </c>
      <c r="U8311" t="s">
        <v>5631</v>
      </c>
      <c r="V8311" s="2">
        <v>480</v>
      </c>
      <c r="W8311" t="s">
        <v>4655</v>
      </c>
      <c r="X8311" s="2">
        <v>0</v>
      </c>
      <c r="Y8311">
        <v>20</v>
      </c>
      <c r="Z8311" t="s">
        <v>5508</v>
      </c>
      <c r="AA8311" s="3">
        <v>0.23195591568946838</v>
      </c>
      <c r="AB8311" t="s">
        <v>38192</v>
      </c>
      <c r="AC8311" t="s">
        <v>4562</v>
      </c>
      <c r="AD8311" t="s">
        <v>38191</v>
      </c>
      <c r="AE8311" t="s">
        <v>4655</v>
      </c>
      <c r="AF8311" t="s">
        <v>4563</v>
      </c>
      <c r="AG8311" t="s">
        <v>4564</v>
      </c>
      <c r="AH8311">
        <v>89506</v>
      </c>
      <c r="AI8311" t="s">
        <v>38193</v>
      </c>
      <c r="AJ8311" t="s">
        <v>2791</v>
      </c>
      <c r="AK8311" t="s">
        <v>38194</v>
      </c>
      <c r="AL8311" s="13" t="s">
        <v>1892</v>
      </c>
      <c r="AM8311">
        <v>1</v>
      </c>
      <c r="AN8311" s="15" t="s">
        <v>2051</v>
      </c>
    </row>
    <row r="8312" spans="1:40" x14ac:dyDescent="0.3">
      <c r="A8312" s="10" t="str">
        <f>HYPERLINK("http://www.washoecounty.gov/assessor/cama/?parid=556-201-05&amp;CardNumber=1","556-201-05")</f>
        <v>556-201-05</v>
      </c>
      <c r="B8312" t="s">
        <v>4655</v>
      </c>
      <c r="C8312" t="s">
        <v>38195</v>
      </c>
      <c r="D8312" s="1">
        <v>40441</v>
      </c>
      <c r="E8312" s="2">
        <v>132100</v>
      </c>
      <c r="F8312" t="s">
        <v>4553</v>
      </c>
      <c r="G8312" s="17" t="str">
        <f>HYPERLINK("https://www.washoecounty.gov/assessor/cama/?command=sales&amp;parid=55620105","3924088")</f>
        <v>3924088</v>
      </c>
      <c r="H8312" t="s">
        <v>2790</v>
      </c>
      <c r="I8312">
        <v>2003</v>
      </c>
      <c r="J8312">
        <v>2003</v>
      </c>
      <c r="K8312" t="s">
        <v>4554</v>
      </c>
      <c r="L8312" t="s">
        <v>3974</v>
      </c>
      <c r="M8312" s="2">
        <v>2016</v>
      </c>
      <c r="N8312" t="s">
        <v>4556</v>
      </c>
      <c r="O8312">
        <v>5</v>
      </c>
      <c r="P8312">
        <v>2</v>
      </c>
      <c r="Q8312">
        <v>1</v>
      </c>
      <c r="R8312" t="s">
        <v>4557</v>
      </c>
      <c r="S8312" t="s">
        <v>4558</v>
      </c>
      <c r="T8312" t="s">
        <v>4559</v>
      </c>
      <c r="U8312" t="s">
        <v>5631</v>
      </c>
      <c r="V8312" s="2">
        <v>480</v>
      </c>
      <c r="W8312" t="s">
        <v>4655</v>
      </c>
      <c r="X8312" s="2">
        <v>0</v>
      </c>
      <c r="Y8312">
        <v>20</v>
      </c>
      <c r="Z8312" t="s">
        <v>5508</v>
      </c>
      <c r="AA8312" s="3">
        <v>0.188797056674957</v>
      </c>
      <c r="AB8312" t="s">
        <v>38089</v>
      </c>
      <c r="AC8312" t="s">
        <v>4575</v>
      </c>
      <c r="AD8312" t="s">
        <v>38090</v>
      </c>
      <c r="AE8312" t="s">
        <v>4655</v>
      </c>
      <c r="AF8312" t="s">
        <v>3352</v>
      </c>
      <c r="AG8312" t="s">
        <v>4564</v>
      </c>
      <c r="AH8312" t="s">
        <v>3353</v>
      </c>
      <c r="AI8312" t="s">
        <v>38091</v>
      </c>
      <c r="AJ8312" t="s">
        <v>2791</v>
      </c>
      <c r="AK8312" t="s">
        <v>38196</v>
      </c>
      <c r="AL8312" s="13" t="s">
        <v>1892</v>
      </c>
      <c r="AM8312" s="14">
        <v>1</v>
      </c>
      <c r="AN8312" s="15" t="s">
        <v>2051</v>
      </c>
    </row>
    <row r="8313" spans="1:40" x14ac:dyDescent="0.3">
      <c r="A8313" s="10" t="str">
        <f>HYPERLINK("http://www.washoecounty.gov/assessor/cama/?parid=556-203-06&amp;CardNumber=1","556-203-06")</f>
        <v>556-203-06</v>
      </c>
      <c r="B8313" t="s">
        <v>4655</v>
      </c>
      <c r="C8313" t="s">
        <v>38197</v>
      </c>
      <c r="D8313" s="1">
        <v>40232</v>
      </c>
      <c r="E8313" s="2">
        <v>124300</v>
      </c>
      <c r="F8313" t="s">
        <v>4553</v>
      </c>
      <c r="G8313" s="17" t="str">
        <f>HYPERLINK("https://www.washoecounty.gov/assessor/cama/?command=sales&amp;parid=55620306","3851869")</f>
        <v>3851869</v>
      </c>
      <c r="H8313" t="s">
        <v>2790</v>
      </c>
      <c r="I8313">
        <v>2003</v>
      </c>
      <c r="J8313">
        <v>2003</v>
      </c>
      <c r="K8313" t="s">
        <v>4554</v>
      </c>
      <c r="L8313" t="s">
        <v>4555</v>
      </c>
      <c r="M8313" s="2">
        <v>1632</v>
      </c>
      <c r="N8313" t="s">
        <v>4556</v>
      </c>
      <c r="O8313">
        <v>3</v>
      </c>
      <c r="P8313">
        <v>2</v>
      </c>
      <c r="Q8313">
        <v>0</v>
      </c>
      <c r="R8313" t="s">
        <v>4557</v>
      </c>
      <c r="S8313" t="s">
        <v>4558</v>
      </c>
      <c r="T8313" t="s">
        <v>4559</v>
      </c>
      <c r="U8313" t="s">
        <v>4560</v>
      </c>
      <c r="V8313" s="2">
        <v>480</v>
      </c>
      <c r="W8313" t="s">
        <v>4655</v>
      </c>
      <c r="X8313" s="2">
        <v>0</v>
      </c>
      <c r="Y8313">
        <v>20</v>
      </c>
      <c r="Z8313" t="s">
        <v>5508</v>
      </c>
      <c r="AA8313" s="3">
        <v>0.195730030536652</v>
      </c>
      <c r="AB8313" t="s">
        <v>38198</v>
      </c>
      <c r="AC8313" t="s">
        <v>4562</v>
      </c>
      <c r="AD8313" t="s">
        <v>38197</v>
      </c>
      <c r="AE8313" t="s">
        <v>4655</v>
      </c>
      <c r="AF8313" t="s">
        <v>4563</v>
      </c>
      <c r="AG8313" t="s">
        <v>4564</v>
      </c>
      <c r="AH8313">
        <v>89508</v>
      </c>
      <c r="AI8313" t="s">
        <v>2009</v>
      </c>
      <c r="AJ8313" t="s">
        <v>2791</v>
      </c>
      <c r="AK8313" t="s">
        <v>38199</v>
      </c>
      <c r="AL8313" s="13" t="s">
        <v>1892</v>
      </c>
      <c r="AM8313">
        <v>1</v>
      </c>
      <c r="AN8313" s="15" t="s">
        <v>2051</v>
      </c>
    </row>
    <row r="8314" spans="1:40" x14ac:dyDescent="0.3">
      <c r="A8314" s="10" t="str">
        <f>HYPERLINK("http://www.washoecounty.gov/assessor/cama/?parid=556-211-21&amp;CardNumber=1","556-211-21")</f>
        <v>556-211-21</v>
      </c>
      <c r="B8314" t="s">
        <v>4655</v>
      </c>
      <c r="C8314" t="s">
        <v>38200</v>
      </c>
      <c r="D8314" s="1">
        <v>40359</v>
      </c>
      <c r="E8314" s="2">
        <v>149900</v>
      </c>
      <c r="F8314" t="s">
        <v>4553</v>
      </c>
      <c r="G8314" s="17" t="str">
        <f>HYPERLINK("https://www.washoecounty.gov/assessor/cama/?command=sales&amp;parid=55621121","3897191")</f>
        <v>3897191</v>
      </c>
      <c r="H8314" t="s">
        <v>3249</v>
      </c>
      <c r="I8314">
        <v>2003</v>
      </c>
      <c r="J8314">
        <v>2003</v>
      </c>
      <c r="K8314" t="s">
        <v>4554</v>
      </c>
      <c r="L8314" t="s">
        <v>3974</v>
      </c>
      <c r="M8314" s="2">
        <v>1624</v>
      </c>
      <c r="N8314" t="s">
        <v>4556</v>
      </c>
      <c r="O8314">
        <v>3</v>
      </c>
      <c r="P8314">
        <v>2</v>
      </c>
      <c r="Q8314">
        <v>1</v>
      </c>
      <c r="R8314" t="s">
        <v>5281</v>
      </c>
      <c r="S8314" t="s">
        <v>4558</v>
      </c>
      <c r="T8314" t="s">
        <v>4559</v>
      </c>
      <c r="U8314" t="s">
        <v>4560</v>
      </c>
      <c r="V8314" s="2">
        <v>400</v>
      </c>
      <c r="W8314" t="s">
        <v>4655</v>
      </c>
      <c r="X8314" s="2">
        <v>0</v>
      </c>
      <c r="Y8314">
        <v>20</v>
      </c>
      <c r="Z8314" t="s">
        <v>5508</v>
      </c>
      <c r="AA8314" s="3">
        <v>0.24848484992980957</v>
      </c>
      <c r="AB8314" t="s">
        <v>38201</v>
      </c>
      <c r="AC8314" t="s">
        <v>4562</v>
      </c>
      <c r="AD8314" t="s">
        <v>38200</v>
      </c>
      <c r="AE8314" t="s">
        <v>4655</v>
      </c>
      <c r="AF8314" t="s">
        <v>4563</v>
      </c>
      <c r="AG8314" t="s">
        <v>4564</v>
      </c>
      <c r="AH8314">
        <v>89508</v>
      </c>
      <c r="AI8314" t="s">
        <v>3625</v>
      </c>
      <c r="AJ8314" t="s">
        <v>38202</v>
      </c>
      <c r="AK8314" t="s">
        <v>38203</v>
      </c>
      <c r="AL8314" s="13" t="s">
        <v>1892</v>
      </c>
      <c r="AM8314">
        <v>1</v>
      </c>
      <c r="AN8314" s="15" t="s">
        <v>2051</v>
      </c>
    </row>
    <row r="8315" spans="1:40" x14ac:dyDescent="0.3">
      <c r="A8315" s="10" t="str">
        <f>HYPERLINK("http://www.washoecounty.gov/assessor/cama/?parid=556-211-22&amp;CardNumber=1","556-211-22")</f>
        <v>556-211-22</v>
      </c>
      <c r="B8315" t="s">
        <v>4655</v>
      </c>
      <c r="C8315" t="s">
        <v>38204</v>
      </c>
      <c r="D8315" s="1">
        <v>40340</v>
      </c>
      <c r="E8315" s="2">
        <v>150000</v>
      </c>
      <c r="F8315" t="s">
        <v>4567</v>
      </c>
      <c r="G8315" s="17" t="str">
        <f>HYPERLINK("https://www.washoecounty.gov/assessor/cama/?command=sales&amp;parid=55621122","3890958")</f>
        <v>3890958</v>
      </c>
      <c r="H8315" t="s">
        <v>3249</v>
      </c>
      <c r="I8315">
        <v>2003</v>
      </c>
      <c r="J8315">
        <v>2003</v>
      </c>
      <c r="K8315" t="s">
        <v>4554</v>
      </c>
      <c r="L8315" t="s">
        <v>4555</v>
      </c>
      <c r="M8315" s="2">
        <v>1777</v>
      </c>
      <c r="N8315" t="s">
        <v>4556</v>
      </c>
      <c r="O8315">
        <v>3</v>
      </c>
      <c r="P8315">
        <v>2</v>
      </c>
      <c r="Q8315">
        <v>0</v>
      </c>
      <c r="R8315" t="s">
        <v>5281</v>
      </c>
      <c r="S8315" t="s">
        <v>4558</v>
      </c>
      <c r="T8315" t="s">
        <v>4559</v>
      </c>
      <c r="U8315" t="s">
        <v>4560</v>
      </c>
      <c r="V8315" s="2">
        <v>783</v>
      </c>
      <c r="W8315" t="s">
        <v>4655</v>
      </c>
      <c r="X8315" s="2">
        <v>0</v>
      </c>
      <c r="Y8315">
        <v>20</v>
      </c>
      <c r="Z8315" t="s">
        <v>5508</v>
      </c>
      <c r="AA8315" s="3">
        <v>0.233746558427811</v>
      </c>
      <c r="AB8315" t="s">
        <v>38205</v>
      </c>
      <c r="AC8315" t="s">
        <v>4562</v>
      </c>
      <c r="AD8315" t="s">
        <v>38204</v>
      </c>
      <c r="AE8315" t="s">
        <v>4655</v>
      </c>
      <c r="AF8315" t="s">
        <v>4563</v>
      </c>
      <c r="AG8315" t="s">
        <v>4564</v>
      </c>
      <c r="AH8315">
        <v>89508</v>
      </c>
      <c r="AI8315" t="s">
        <v>38206</v>
      </c>
      <c r="AJ8315" t="s">
        <v>38207</v>
      </c>
      <c r="AK8315" t="s">
        <v>38208</v>
      </c>
      <c r="AL8315" s="13" t="s">
        <v>1892</v>
      </c>
      <c r="AM8315">
        <v>1</v>
      </c>
      <c r="AN8315" s="15" t="s">
        <v>2051</v>
      </c>
    </row>
    <row r="8316" spans="1:40" x14ac:dyDescent="0.3">
      <c r="A8316" s="10" t="str">
        <f>HYPERLINK("http://www.washoecounty.gov/assessor/cama/?parid=556-221-04&amp;CardNumber=1","556-221-04")</f>
        <v>556-221-04</v>
      </c>
      <c r="B8316" t="s">
        <v>4655</v>
      </c>
      <c r="C8316" t="s">
        <v>38209</v>
      </c>
      <c r="D8316" s="1">
        <v>40361</v>
      </c>
      <c r="E8316" s="2">
        <v>140000</v>
      </c>
      <c r="F8316" t="s">
        <v>4553</v>
      </c>
      <c r="G8316" s="17" t="str">
        <f>HYPERLINK("https://www.washoecounty.gov/assessor/cama/?command=sales&amp;parid=55622104","3898178")</f>
        <v>3898178</v>
      </c>
      <c r="H8316" t="s">
        <v>3354</v>
      </c>
      <c r="I8316">
        <v>2004</v>
      </c>
      <c r="J8316">
        <v>2004</v>
      </c>
      <c r="K8316" t="s">
        <v>4554</v>
      </c>
      <c r="L8316" t="s">
        <v>4555</v>
      </c>
      <c r="M8316" s="2">
        <v>1656</v>
      </c>
      <c r="N8316" t="s">
        <v>4048</v>
      </c>
      <c r="O8316">
        <v>3</v>
      </c>
      <c r="P8316">
        <v>2</v>
      </c>
      <c r="Q8316">
        <v>0</v>
      </c>
      <c r="R8316" t="s">
        <v>4557</v>
      </c>
      <c r="S8316" t="s">
        <v>4898</v>
      </c>
      <c r="T8316" t="s">
        <v>4559</v>
      </c>
      <c r="U8316" t="s">
        <v>4560</v>
      </c>
      <c r="V8316" s="2">
        <v>711</v>
      </c>
      <c r="W8316" t="s">
        <v>4655</v>
      </c>
      <c r="X8316" s="2">
        <v>0</v>
      </c>
      <c r="Y8316">
        <v>20</v>
      </c>
      <c r="Z8316" t="s">
        <v>5508</v>
      </c>
      <c r="AA8316" s="3">
        <v>0.23016528785228699</v>
      </c>
      <c r="AB8316" t="s">
        <v>38210</v>
      </c>
      <c r="AC8316" t="s">
        <v>4575</v>
      </c>
      <c r="AD8316" t="s">
        <v>38211</v>
      </c>
      <c r="AE8316" t="s">
        <v>38212</v>
      </c>
      <c r="AF8316" t="s">
        <v>5201</v>
      </c>
      <c r="AG8316" t="s">
        <v>4564</v>
      </c>
      <c r="AH8316" t="s">
        <v>3898</v>
      </c>
      <c r="AI8316" t="s">
        <v>4565</v>
      </c>
      <c r="AJ8316" t="s">
        <v>3355</v>
      </c>
      <c r="AK8316" t="s">
        <v>38213</v>
      </c>
      <c r="AL8316" s="13" t="s">
        <v>1892</v>
      </c>
      <c r="AM8316">
        <v>1</v>
      </c>
      <c r="AN8316" s="15" t="s">
        <v>2694</v>
      </c>
    </row>
    <row r="8317" spans="1:40" x14ac:dyDescent="0.3">
      <c r="A8317" s="10" t="str">
        <f>HYPERLINK("http://www.washoecounty.gov/assessor/cama/?parid=556-224-05&amp;CardNumber=1","556-224-05")</f>
        <v>556-224-05</v>
      </c>
      <c r="B8317" t="s">
        <v>4655</v>
      </c>
      <c r="C8317" t="s">
        <v>38214</v>
      </c>
      <c r="D8317" s="1">
        <v>40471</v>
      </c>
      <c r="E8317" s="2">
        <v>120000</v>
      </c>
      <c r="F8317" t="s">
        <v>4553</v>
      </c>
      <c r="G8317" s="17" t="str">
        <f>HYPERLINK("https://www.washoecounty.gov/assessor/cama/?command=sales&amp;parid=55622405","3935081")</f>
        <v>3935081</v>
      </c>
      <c r="H8317" t="s">
        <v>3354</v>
      </c>
      <c r="I8317">
        <v>2004</v>
      </c>
      <c r="J8317">
        <v>2004</v>
      </c>
      <c r="K8317" t="s">
        <v>4554</v>
      </c>
      <c r="L8317" t="s">
        <v>4555</v>
      </c>
      <c r="M8317" s="2">
        <v>1656</v>
      </c>
      <c r="N8317" t="s">
        <v>4048</v>
      </c>
      <c r="O8317">
        <v>3</v>
      </c>
      <c r="P8317">
        <v>2</v>
      </c>
      <c r="Q8317">
        <v>0</v>
      </c>
      <c r="R8317" t="s">
        <v>4557</v>
      </c>
      <c r="S8317" t="s">
        <v>4898</v>
      </c>
      <c r="T8317" t="s">
        <v>4559</v>
      </c>
      <c r="U8317" t="s">
        <v>4560</v>
      </c>
      <c r="V8317" s="2">
        <v>480</v>
      </c>
      <c r="W8317" t="s">
        <v>4655</v>
      </c>
      <c r="X8317" s="2">
        <v>0</v>
      </c>
      <c r="Y8317">
        <v>20</v>
      </c>
      <c r="Z8317" t="s">
        <v>5508</v>
      </c>
      <c r="AA8317" s="3">
        <v>0.233310371637344</v>
      </c>
      <c r="AB8317" t="s">
        <v>38215</v>
      </c>
      <c r="AC8317" t="s">
        <v>4575</v>
      </c>
      <c r="AD8317" t="s">
        <v>38216</v>
      </c>
      <c r="AE8317" t="s">
        <v>4655</v>
      </c>
      <c r="AF8317" t="s">
        <v>4563</v>
      </c>
      <c r="AG8317" t="s">
        <v>4564</v>
      </c>
      <c r="AH8317">
        <v>89508</v>
      </c>
      <c r="AI8317" t="s">
        <v>2351</v>
      </c>
      <c r="AJ8317" t="s">
        <v>3355</v>
      </c>
      <c r="AK8317" t="s">
        <v>38217</v>
      </c>
      <c r="AL8317" s="13" t="s">
        <v>1892</v>
      </c>
      <c r="AM8317" s="14">
        <v>1</v>
      </c>
      <c r="AN8317" s="15" t="s">
        <v>2694</v>
      </c>
    </row>
    <row r="8318" spans="1:40" x14ac:dyDescent="0.3">
      <c r="A8318" s="10" t="str">
        <f>HYPERLINK("http://www.washoecounty.gov/assessor/cama/?parid=556-232-05&amp;CardNumber=1","556-232-05")</f>
        <v>556-232-05</v>
      </c>
      <c r="B8318" t="s">
        <v>4655</v>
      </c>
      <c r="C8318" t="s">
        <v>38218</v>
      </c>
      <c r="D8318" s="1">
        <v>40255</v>
      </c>
      <c r="E8318" s="2">
        <v>189000</v>
      </c>
      <c r="F8318" t="s">
        <v>4567</v>
      </c>
      <c r="G8318" s="17" t="str">
        <f>HYPERLINK("https://www.washoecounty.gov/assessor/cama/?command=sales&amp;parid=55623205","3861290")</f>
        <v>3861290</v>
      </c>
      <c r="H8318" t="s">
        <v>3354</v>
      </c>
      <c r="I8318">
        <v>2004</v>
      </c>
      <c r="J8318">
        <v>2004</v>
      </c>
      <c r="K8318" t="s">
        <v>4554</v>
      </c>
      <c r="L8318" t="s">
        <v>4555</v>
      </c>
      <c r="M8318" s="2">
        <v>2312</v>
      </c>
      <c r="N8318" t="s">
        <v>4048</v>
      </c>
      <c r="O8318">
        <v>4</v>
      </c>
      <c r="P8318">
        <v>2</v>
      </c>
      <c r="Q8318">
        <v>0</v>
      </c>
      <c r="R8318" t="s">
        <v>4557</v>
      </c>
      <c r="S8318" t="s">
        <v>4898</v>
      </c>
      <c r="T8318" t="s">
        <v>4559</v>
      </c>
      <c r="U8318" t="s">
        <v>4560</v>
      </c>
      <c r="V8318" s="2">
        <v>657</v>
      </c>
      <c r="W8318" t="s">
        <v>4655</v>
      </c>
      <c r="X8318" s="2">
        <v>0</v>
      </c>
      <c r="Y8318">
        <v>20</v>
      </c>
      <c r="Z8318" t="s">
        <v>5508</v>
      </c>
      <c r="AA8318" s="3">
        <v>0.63907253742217995</v>
      </c>
      <c r="AB8318" t="s">
        <v>38219</v>
      </c>
      <c r="AC8318" t="s">
        <v>4562</v>
      </c>
      <c r="AD8318" t="s">
        <v>38220</v>
      </c>
      <c r="AE8318" t="s">
        <v>4655</v>
      </c>
      <c r="AF8318" t="s">
        <v>38221</v>
      </c>
      <c r="AG8318" t="s">
        <v>4584</v>
      </c>
      <c r="AH8318">
        <v>92503</v>
      </c>
      <c r="AI8318" t="s">
        <v>38222</v>
      </c>
      <c r="AJ8318" t="s">
        <v>3355</v>
      </c>
      <c r="AK8318" t="s">
        <v>38223</v>
      </c>
      <c r="AL8318" s="13" t="s">
        <v>1892</v>
      </c>
      <c r="AM8318" s="14">
        <v>1</v>
      </c>
      <c r="AN8318" s="15" t="s">
        <v>2694</v>
      </c>
    </row>
    <row r="8319" spans="1:40" x14ac:dyDescent="0.3">
      <c r="A8319" s="10" t="str">
        <f>HYPERLINK("http://www.washoecounty.gov/assessor/cama/?parid=556-251-14&amp;CardNumber=1","556-251-14")</f>
        <v>556-251-14</v>
      </c>
      <c r="B8319" t="s">
        <v>4655</v>
      </c>
      <c r="C8319" t="s">
        <v>38224</v>
      </c>
      <c r="D8319" s="1">
        <v>40372</v>
      </c>
      <c r="E8319" s="2">
        <v>114000</v>
      </c>
      <c r="F8319" t="s">
        <v>4567</v>
      </c>
      <c r="G8319" s="17" t="str">
        <f>HYPERLINK("https://www.washoecounty.gov/assessor/cama/?command=sales&amp;parid=55625114","3900742")</f>
        <v>3900742</v>
      </c>
      <c r="H8319" t="s">
        <v>2616</v>
      </c>
      <c r="I8319">
        <v>2003</v>
      </c>
      <c r="J8319">
        <v>2003</v>
      </c>
      <c r="K8319" t="s">
        <v>4554</v>
      </c>
      <c r="L8319" t="s">
        <v>4555</v>
      </c>
      <c r="M8319" s="2">
        <v>1568</v>
      </c>
      <c r="N8319" t="s">
        <v>4556</v>
      </c>
      <c r="O8319">
        <v>4</v>
      </c>
      <c r="P8319">
        <v>2</v>
      </c>
      <c r="Q8319">
        <v>0</v>
      </c>
      <c r="R8319" t="s">
        <v>4557</v>
      </c>
      <c r="S8319" t="s">
        <v>4558</v>
      </c>
      <c r="T8319" t="s">
        <v>4559</v>
      </c>
      <c r="U8319" t="s">
        <v>4560</v>
      </c>
      <c r="V8319" s="2">
        <v>480</v>
      </c>
      <c r="W8319" t="s">
        <v>4655</v>
      </c>
      <c r="X8319" s="2">
        <v>0</v>
      </c>
      <c r="Y8319">
        <v>20</v>
      </c>
      <c r="Z8319" t="s">
        <v>5508</v>
      </c>
      <c r="AA8319" s="3">
        <v>0.15426997840404499</v>
      </c>
      <c r="AB8319" t="s">
        <v>38225</v>
      </c>
      <c r="AC8319" t="s">
        <v>4562</v>
      </c>
      <c r="AD8319" t="s">
        <v>38226</v>
      </c>
      <c r="AE8319" t="s">
        <v>4655</v>
      </c>
      <c r="AF8319" t="s">
        <v>4563</v>
      </c>
      <c r="AG8319" t="s">
        <v>4564</v>
      </c>
      <c r="AH8319">
        <v>89508</v>
      </c>
      <c r="AI8319" t="s">
        <v>38227</v>
      </c>
      <c r="AJ8319" t="s">
        <v>2617</v>
      </c>
      <c r="AK8319" t="s">
        <v>38228</v>
      </c>
      <c r="AL8319" s="13" t="s">
        <v>1892</v>
      </c>
      <c r="AM8319">
        <v>1</v>
      </c>
      <c r="AN8319" s="15" t="s">
        <v>2051</v>
      </c>
    </row>
    <row r="8320" spans="1:40" x14ac:dyDescent="0.3">
      <c r="A8320" s="10" t="str">
        <f>HYPERLINK("http://www.washoecounty.gov/assessor/cama/?parid=556-252-19&amp;CardNumber=1","556-252-19")</f>
        <v>556-252-19</v>
      </c>
      <c r="B8320" t="s">
        <v>4655</v>
      </c>
      <c r="C8320" t="s">
        <v>38229</v>
      </c>
      <c r="D8320" s="1">
        <v>40422</v>
      </c>
      <c r="E8320" s="2">
        <v>132599</v>
      </c>
      <c r="F8320" t="s">
        <v>4553</v>
      </c>
      <c r="G8320" s="17" t="str">
        <f>HYPERLINK("https://www.washoecounty.gov/assessor/cama/?command=sales&amp;parid=55625219","3917749")</f>
        <v>3917749</v>
      </c>
      <c r="H8320" t="s">
        <v>2616</v>
      </c>
      <c r="I8320">
        <v>2003</v>
      </c>
      <c r="J8320">
        <v>2003</v>
      </c>
      <c r="K8320" t="s">
        <v>4554</v>
      </c>
      <c r="L8320" t="s">
        <v>3974</v>
      </c>
      <c r="M8320" s="2">
        <v>2273</v>
      </c>
      <c r="N8320" t="s">
        <v>4556</v>
      </c>
      <c r="O8320">
        <v>6</v>
      </c>
      <c r="P8320">
        <v>3</v>
      </c>
      <c r="Q8320">
        <v>0</v>
      </c>
      <c r="R8320" t="s">
        <v>4557</v>
      </c>
      <c r="S8320" t="s">
        <v>4558</v>
      </c>
      <c r="T8320" t="s">
        <v>4559</v>
      </c>
      <c r="U8320" t="s">
        <v>5631</v>
      </c>
      <c r="V8320" s="2">
        <v>495</v>
      </c>
      <c r="W8320" t="s">
        <v>4655</v>
      </c>
      <c r="X8320" s="2">
        <v>0</v>
      </c>
      <c r="Y8320">
        <v>20</v>
      </c>
      <c r="Z8320" t="s">
        <v>5508</v>
      </c>
      <c r="AA8320" s="3">
        <v>0.16439394652843475</v>
      </c>
      <c r="AB8320" t="s">
        <v>38230</v>
      </c>
      <c r="AC8320" t="s">
        <v>4562</v>
      </c>
      <c r="AD8320" t="s">
        <v>38229</v>
      </c>
      <c r="AE8320" t="s">
        <v>4655</v>
      </c>
      <c r="AF8320" t="s">
        <v>4563</v>
      </c>
      <c r="AG8320" t="s">
        <v>4564</v>
      </c>
      <c r="AH8320">
        <v>89508</v>
      </c>
      <c r="AI8320" t="s">
        <v>4903</v>
      </c>
      <c r="AJ8320" t="s">
        <v>2617</v>
      </c>
      <c r="AK8320" t="s">
        <v>38231</v>
      </c>
      <c r="AL8320" s="13" t="s">
        <v>1892</v>
      </c>
      <c r="AM8320" s="14">
        <v>1</v>
      </c>
      <c r="AN8320" s="15" t="s">
        <v>2051</v>
      </c>
    </row>
    <row r="8321" spans="1:40" x14ac:dyDescent="0.3">
      <c r="A8321" s="10" t="str">
        <f>HYPERLINK("http://www.washoecounty.gov/assessor/cama/?parid=556-261-05&amp;CardNumber=1","556-261-05")</f>
        <v>556-261-05</v>
      </c>
      <c r="B8321" t="s">
        <v>4655</v>
      </c>
      <c r="C8321" t="s">
        <v>38232</v>
      </c>
      <c r="D8321" s="1">
        <v>40445</v>
      </c>
      <c r="E8321" s="2">
        <v>104900</v>
      </c>
      <c r="F8321" t="s">
        <v>4553</v>
      </c>
      <c r="G8321" s="17" t="str">
        <f>HYPERLINK("https://www.washoecounty.gov/assessor/cama/?command=sales&amp;parid=55626105","3926109")</f>
        <v>3926109</v>
      </c>
      <c r="H8321" t="s">
        <v>2616</v>
      </c>
      <c r="I8321">
        <v>2003</v>
      </c>
      <c r="J8321">
        <v>2003</v>
      </c>
      <c r="K8321" t="s">
        <v>4554</v>
      </c>
      <c r="L8321" t="s">
        <v>4555</v>
      </c>
      <c r="M8321" s="2">
        <v>1040</v>
      </c>
      <c r="N8321" t="s">
        <v>4556</v>
      </c>
      <c r="O8321">
        <v>3</v>
      </c>
      <c r="P8321">
        <v>2</v>
      </c>
      <c r="Q8321">
        <v>0</v>
      </c>
      <c r="R8321" t="s">
        <v>4557</v>
      </c>
      <c r="S8321" t="s">
        <v>4558</v>
      </c>
      <c r="T8321" t="s">
        <v>4559</v>
      </c>
      <c r="U8321" t="s">
        <v>4560</v>
      </c>
      <c r="V8321" s="2">
        <v>400</v>
      </c>
      <c r="W8321" t="s">
        <v>4655</v>
      </c>
      <c r="X8321" s="2">
        <v>0</v>
      </c>
      <c r="Y8321">
        <v>20</v>
      </c>
      <c r="Z8321" t="s">
        <v>5508</v>
      </c>
      <c r="AA8321" s="3">
        <v>0.15782828629016901</v>
      </c>
      <c r="AB8321" t="s">
        <v>38233</v>
      </c>
      <c r="AC8321" t="s">
        <v>4562</v>
      </c>
      <c r="AD8321" t="s">
        <v>38234</v>
      </c>
      <c r="AE8321" t="s">
        <v>4655</v>
      </c>
      <c r="AF8321" t="s">
        <v>4563</v>
      </c>
      <c r="AG8321" t="s">
        <v>4564</v>
      </c>
      <c r="AH8321" t="s">
        <v>1147</v>
      </c>
      <c r="AI8321" t="s">
        <v>4503</v>
      </c>
      <c r="AJ8321" t="s">
        <v>2617</v>
      </c>
      <c r="AK8321" t="s">
        <v>38235</v>
      </c>
      <c r="AL8321" s="13" t="s">
        <v>1892</v>
      </c>
      <c r="AM8321" s="14">
        <v>1</v>
      </c>
      <c r="AN8321" s="15" t="s">
        <v>2051</v>
      </c>
    </row>
    <row r="8322" spans="1:40" x14ac:dyDescent="0.3">
      <c r="A8322" s="10" t="str">
        <f>HYPERLINK("http://www.washoecounty.gov/assessor/cama/?parid=556-261-13&amp;CardNumber=1","556-261-13")</f>
        <v>556-261-13</v>
      </c>
      <c r="B8322" t="s">
        <v>4655</v>
      </c>
      <c r="C8322" t="s">
        <v>38236</v>
      </c>
      <c r="D8322" s="1">
        <v>40490</v>
      </c>
      <c r="E8322" s="2">
        <v>119900</v>
      </c>
      <c r="F8322" t="s">
        <v>4553</v>
      </c>
      <c r="G8322" s="17" t="str">
        <f>HYPERLINK("https://www.washoecounty.gov/assessor/cama/?command=sales&amp;parid=55626113","3940675")</f>
        <v>3940675</v>
      </c>
      <c r="H8322" t="s">
        <v>2616</v>
      </c>
      <c r="I8322">
        <v>2003</v>
      </c>
      <c r="J8322">
        <v>2003</v>
      </c>
      <c r="K8322" t="s">
        <v>4554</v>
      </c>
      <c r="L8322" t="s">
        <v>3974</v>
      </c>
      <c r="M8322" s="2">
        <v>1624</v>
      </c>
      <c r="N8322" t="s">
        <v>4556</v>
      </c>
      <c r="O8322">
        <v>3</v>
      </c>
      <c r="P8322">
        <v>2</v>
      </c>
      <c r="Q8322">
        <v>1</v>
      </c>
      <c r="R8322" t="s">
        <v>4557</v>
      </c>
      <c r="S8322" t="s">
        <v>4558</v>
      </c>
      <c r="T8322" t="s">
        <v>4559</v>
      </c>
      <c r="U8322" t="s">
        <v>4560</v>
      </c>
      <c r="V8322" s="2">
        <v>400</v>
      </c>
      <c r="W8322" t="s">
        <v>4655</v>
      </c>
      <c r="X8322" s="2">
        <v>0</v>
      </c>
      <c r="Y8322">
        <v>20</v>
      </c>
      <c r="Z8322" t="s">
        <v>5508</v>
      </c>
      <c r="AA8322" s="3">
        <v>0.18762625753879547</v>
      </c>
      <c r="AB8322" t="s">
        <v>38237</v>
      </c>
      <c r="AC8322" t="s">
        <v>4562</v>
      </c>
      <c r="AD8322" t="s">
        <v>38238</v>
      </c>
      <c r="AE8322" t="s">
        <v>4655</v>
      </c>
      <c r="AF8322" t="s">
        <v>4563</v>
      </c>
      <c r="AG8322" t="s">
        <v>4564</v>
      </c>
      <c r="AH8322">
        <v>89508</v>
      </c>
      <c r="AI8322" t="s">
        <v>4903</v>
      </c>
      <c r="AJ8322" t="s">
        <v>2617</v>
      </c>
      <c r="AK8322" t="s">
        <v>38239</v>
      </c>
      <c r="AL8322" s="13" t="s">
        <v>1892</v>
      </c>
      <c r="AM8322">
        <v>1</v>
      </c>
      <c r="AN8322" s="15" t="s">
        <v>2051</v>
      </c>
    </row>
    <row r="8323" spans="1:40" x14ac:dyDescent="0.3">
      <c r="A8323" s="10" t="str">
        <f>HYPERLINK("http://www.washoecounty.gov/assessor/cama/?parid=556-262-16&amp;CardNumber=1","556-262-16")</f>
        <v>556-262-16</v>
      </c>
      <c r="B8323" t="s">
        <v>4655</v>
      </c>
      <c r="C8323" t="s">
        <v>38240</v>
      </c>
      <c r="D8323" s="1">
        <v>40511</v>
      </c>
      <c r="E8323" s="2">
        <v>145000</v>
      </c>
      <c r="F8323" t="s">
        <v>4567</v>
      </c>
      <c r="G8323" s="17" t="str">
        <f>HYPERLINK("https://www.washoecounty.gov/assessor/cama/?command=sales&amp;parid=55626216","3947235")</f>
        <v>3947235</v>
      </c>
      <c r="H8323" t="s">
        <v>2616</v>
      </c>
      <c r="I8323">
        <v>2003</v>
      </c>
      <c r="J8323">
        <v>2003</v>
      </c>
      <c r="K8323" t="s">
        <v>4554</v>
      </c>
      <c r="L8323" t="s">
        <v>4555</v>
      </c>
      <c r="M8323" s="2">
        <v>1568</v>
      </c>
      <c r="N8323" t="s">
        <v>4556</v>
      </c>
      <c r="O8323">
        <v>4</v>
      </c>
      <c r="P8323">
        <v>2</v>
      </c>
      <c r="Q8323">
        <v>0</v>
      </c>
      <c r="R8323" t="s">
        <v>5281</v>
      </c>
      <c r="S8323" t="s">
        <v>4558</v>
      </c>
      <c r="T8323" t="s">
        <v>4559</v>
      </c>
      <c r="U8323" t="s">
        <v>4560</v>
      </c>
      <c r="V8323" s="2">
        <v>480</v>
      </c>
      <c r="W8323" t="s">
        <v>4655</v>
      </c>
      <c r="X8323" s="2">
        <v>0</v>
      </c>
      <c r="Y8323">
        <v>20</v>
      </c>
      <c r="Z8323" t="s">
        <v>5508</v>
      </c>
      <c r="AA8323" s="3">
        <v>0.16691918671131101</v>
      </c>
      <c r="AB8323" t="s">
        <v>38241</v>
      </c>
      <c r="AC8323" t="s">
        <v>4562</v>
      </c>
      <c r="AD8323" t="s">
        <v>38240</v>
      </c>
      <c r="AE8323" t="s">
        <v>4655</v>
      </c>
      <c r="AF8323" t="s">
        <v>4563</v>
      </c>
      <c r="AG8323" t="s">
        <v>4564</v>
      </c>
      <c r="AH8323">
        <v>89508</v>
      </c>
      <c r="AI8323" t="s">
        <v>38242</v>
      </c>
      <c r="AJ8323" t="s">
        <v>2617</v>
      </c>
      <c r="AK8323" t="s">
        <v>38243</v>
      </c>
      <c r="AL8323" s="13" t="s">
        <v>1892</v>
      </c>
      <c r="AM8323" s="14">
        <v>1</v>
      </c>
      <c r="AN8323" s="15" t="s">
        <v>2051</v>
      </c>
    </row>
    <row r="8324" spans="1:40" x14ac:dyDescent="0.3">
      <c r="A8324" s="10" t="str">
        <f>HYPERLINK("http://www.washoecounty.gov/assessor/cama/?parid=556-262-20&amp;CardNumber=1","556-262-20")</f>
        <v>556-262-20</v>
      </c>
      <c r="B8324" t="s">
        <v>4655</v>
      </c>
      <c r="C8324" t="s">
        <v>38244</v>
      </c>
      <c r="D8324" s="1">
        <v>40417</v>
      </c>
      <c r="E8324" s="2">
        <v>165000</v>
      </c>
      <c r="F8324" t="s">
        <v>4553</v>
      </c>
      <c r="G8324" s="17" t="str">
        <f>HYPERLINK("https://www.washoecounty.gov/assessor/cama/?command=sales&amp;parid=55626220","3916446")</f>
        <v>3916446</v>
      </c>
      <c r="H8324" t="s">
        <v>2616</v>
      </c>
      <c r="I8324">
        <v>2003</v>
      </c>
      <c r="J8324">
        <v>2003</v>
      </c>
      <c r="K8324" t="s">
        <v>4554</v>
      </c>
      <c r="L8324" t="s">
        <v>3974</v>
      </c>
      <c r="M8324" s="2">
        <v>2273</v>
      </c>
      <c r="N8324" t="s">
        <v>4556</v>
      </c>
      <c r="O8324">
        <v>4</v>
      </c>
      <c r="P8324">
        <v>2</v>
      </c>
      <c r="Q8324">
        <v>1</v>
      </c>
      <c r="R8324" t="s">
        <v>5281</v>
      </c>
      <c r="S8324" t="s">
        <v>4558</v>
      </c>
      <c r="T8324" t="s">
        <v>4559</v>
      </c>
      <c r="U8324" t="s">
        <v>5631</v>
      </c>
      <c r="V8324" s="2">
        <v>495</v>
      </c>
      <c r="W8324" t="s">
        <v>4655</v>
      </c>
      <c r="X8324" s="2">
        <v>0</v>
      </c>
      <c r="Y8324">
        <v>20</v>
      </c>
      <c r="Z8324" t="s">
        <v>5508</v>
      </c>
      <c r="AA8324" s="3">
        <v>0.17176309227943401</v>
      </c>
      <c r="AB8324" t="s">
        <v>38245</v>
      </c>
      <c r="AC8324" t="s">
        <v>4562</v>
      </c>
      <c r="AD8324" t="s">
        <v>38244</v>
      </c>
      <c r="AE8324" t="s">
        <v>4655</v>
      </c>
      <c r="AF8324" t="s">
        <v>4563</v>
      </c>
      <c r="AG8324" t="s">
        <v>4564</v>
      </c>
      <c r="AH8324">
        <v>89508</v>
      </c>
      <c r="AI8324" t="s">
        <v>2555</v>
      </c>
      <c r="AJ8324" t="s">
        <v>2617</v>
      </c>
      <c r="AK8324" t="s">
        <v>38246</v>
      </c>
      <c r="AL8324" s="13" t="s">
        <v>1892</v>
      </c>
      <c r="AM8324" s="14">
        <v>1</v>
      </c>
      <c r="AN8324" s="15" t="s">
        <v>2051</v>
      </c>
    </row>
    <row r="8325" spans="1:40" x14ac:dyDescent="0.3">
      <c r="A8325" s="10" t="str">
        <f>HYPERLINK("http://www.washoecounty.gov/assessor/cama/?parid=556-271-11&amp;CardNumber=1","556-271-11")</f>
        <v>556-271-11</v>
      </c>
      <c r="B8325" t="s">
        <v>4655</v>
      </c>
      <c r="C8325" t="s">
        <v>38247</v>
      </c>
      <c r="D8325" s="1">
        <v>40389</v>
      </c>
      <c r="E8325" s="2">
        <v>192000</v>
      </c>
      <c r="F8325" t="s">
        <v>4553</v>
      </c>
      <c r="G8325" s="17" t="str">
        <f>HYPERLINK("https://www.washoecounty.gov/assessor/cama/?command=sales&amp;parid=55627111","3907395")</f>
        <v>3907395</v>
      </c>
      <c r="H8325" t="s">
        <v>448</v>
      </c>
      <c r="I8325">
        <v>2004</v>
      </c>
      <c r="J8325">
        <v>2004</v>
      </c>
      <c r="K8325" t="s">
        <v>4554</v>
      </c>
      <c r="L8325" t="s">
        <v>3974</v>
      </c>
      <c r="M8325" s="2">
        <v>2712</v>
      </c>
      <c r="N8325" t="s">
        <v>4556</v>
      </c>
      <c r="O8325">
        <v>5</v>
      </c>
      <c r="P8325">
        <v>2</v>
      </c>
      <c r="Q8325">
        <v>1</v>
      </c>
      <c r="R8325" t="s">
        <v>5281</v>
      </c>
      <c r="S8325" t="s">
        <v>4558</v>
      </c>
      <c r="T8325" t="s">
        <v>4559</v>
      </c>
      <c r="U8325" t="s">
        <v>5631</v>
      </c>
      <c r="V8325" s="2">
        <v>720</v>
      </c>
      <c r="W8325" t="s">
        <v>4655</v>
      </c>
      <c r="X8325" s="2">
        <v>0</v>
      </c>
      <c r="Y8325">
        <v>20</v>
      </c>
      <c r="Z8325" t="s">
        <v>5508</v>
      </c>
      <c r="AA8325" s="3">
        <v>0.26368227601051297</v>
      </c>
      <c r="AB8325" t="s">
        <v>38248</v>
      </c>
      <c r="AC8325" t="s">
        <v>4562</v>
      </c>
      <c r="AD8325" t="s">
        <v>38249</v>
      </c>
      <c r="AE8325" t="s">
        <v>4655</v>
      </c>
      <c r="AF8325" t="s">
        <v>4563</v>
      </c>
      <c r="AG8325" t="s">
        <v>4564</v>
      </c>
      <c r="AH8325">
        <v>89506</v>
      </c>
      <c r="AI8325" t="s">
        <v>4655</v>
      </c>
      <c r="AJ8325" t="s">
        <v>449</v>
      </c>
      <c r="AK8325" t="s">
        <v>38250</v>
      </c>
      <c r="AL8325" s="13" t="s">
        <v>1892</v>
      </c>
      <c r="AM8325" s="14">
        <v>1</v>
      </c>
      <c r="AN8325" s="15" t="s">
        <v>2051</v>
      </c>
    </row>
    <row r="8326" spans="1:40" x14ac:dyDescent="0.3">
      <c r="A8326" s="10" t="str">
        <f>HYPERLINK("http://www.washoecounty.gov/assessor/cama/?parid=556-272-12&amp;CardNumber=1","556-272-12")</f>
        <v>556-272-12</v>
      </c>
      <c r="B8326" t="s">
        <v>4655</v>
      </c>
      <c r="C8326" t="s">
        <v>38251</v>
      </c>
      <c r="D8326" s="1">
        <v>40303</v>
      </c>
      <c r="E8326" s="2">
        <v>155000</v>
      </c>
      <c r="F8326" t="s">
        <v>4567</v>
      </c>
      <c r="G8326" s="17" t="str">
        <f>HYPERLINK("https://www.washoecounty.gov/assessor/cama/?command=sales&amp;parid=55627212","3878416")</f>
        <v>3878416</v>
      </c>
      <c r="H8326" t="s">
        <v>448</v>
      </c>
      <c r="I8326">
        <v>2004</v>
      </c>
      <c r="J8326">
        <v>2004</v>
      </c>
      <c r="K8326" t="s">
        <v>4554</v>
      </c>
      <c r="L8326" t="s">
        <v>3974</v>
      </c>
      <c r="M8326" s="2">
        <v>2016</v>
      </c>
      <c r="N8326" t="s">
        <v>4556</v>
      </c>
      <c r="O8326">
        <v>5</v>
      </c>
      <c r="P8326">
        <v>2</v>
      </c>
      <c r="Q8326">
        <v>1</v>
      </c>
      <c r="R8326" t="s">
        <v>5281</v>
      </c>
      <c r="S8326" t="s">
        <v>4558</v>
      </c>
      <c r="T8326" t="s">
        <v>4559</v>
      </c>
      <c r="U8326" t="s">
        <v>5631</v>
      </c>
      <c r="V8326" s="2">
        <v>480</v>
      </c>
      <c r="W8326" t="s">
        <v>4655</v>
      </c>
      <c r="X8326" s="2">
        <v>0</v>
      </c>
      <c r="Y8326">
        <v>20</v>
      </c>
      <c r="Z8326" t="s">
        <v>5508</v>
      </c>
      <c r="AA8326" s="3">
        <v>0.19139118492603299</v>
      </c>
      <c r="AB8326" t="s">
        <v>38252</v>
      </c>
      <c r="AC8326" t="s">
        <v>4562</v>
      </c>
      <c r="AD8326" t="s">
        <v>38251</v>
      </c>
      <c r="AE8326" t="s">
        <v>4655</v>
      </c>
      <c r="AF8326" t="s">
        <v>4563</v>
      </c>
      <c r="AG8326" t="s">
        <v>4564</v>
      </c>
      <c r="AH8326">
        <v>89508</v>
      </c>
      <c r="AI8326" t="s">
        <v>38253</v>
      </c>
      <c r="AJ8326" t="s">
        <v>449</v>
      </c>
      <c r="AK8326" t="s">
        <v>38254</v>
      </c>
      <c r="AL8326" s="13" t="s">
        <v>1892</v>
      </c>
      <c r="AM8326">
        <v>1</v>
      </c>
      <c r="AN8326" s="15" t="s">
        <v>2051</v>
      </c>
    </row>
    <row r="8327" spans="1:40" x14ac:dyDescent="0.3">
      <c r="A8327" s="10" t="str">
        <f>HYPERLINK("http://www.washoecounty.gov/assessor/cama/?parid=556-273-01&amp;CardNumber=1","556-273-01")</f>
        <v>556-273-01</v>
      </c>
      <c r="B8327" t="s">
        <v>4655</v>
      </c>
      <c r="C8327" t="s">
        <v>38255</v>
      </c>
      <c r="D8327" s="1">
        <v>40375</v>
      </c>
      <c r="E8327" s="2">
        <v>124900</v>
      </c>
      <c r="F8327" t="s">
        <v>4553</v>
      </c>
      <c r="G8327" s="17" t="str">
        <f>HYPERLINK("https://www.washoecounty.gov/assessor/cama/?command=sales&amp;parid=55627301","3902159")</f>
        <v>3902159</v>
      </c>
      <c r="H8327" t="s">
        <v>448</v>
      </c>
      <c r="I8327">
        <v>2004</v>
      </c>
      <c r="J8327">
        <v>2004</v>
      </c>
      <c r="K8327" t="s">
        <v>4554</v>
      </c>
      <c r="L8327" t="s">
        <v>4555</v>
      </c>
      <c r="M8327" s="2">
        <v>1568</v>
      </c>
      <c r="N8327" t="s">
        <v>4556</v>
      </c>
      <c r="O8327">
        <v>4</v>
      </c>
      <c r="P8327">
        <v>2</v>
      </c>
      <c r="Q8327">
        <v>0</v>
      </c>
      <c r="R8327" t="s">
        <v>4557</v>
      </c>
      <c r="S8327" t="s">
        <v>4558</v>
      </c>
      <c r="T8327" t="s">
        <v>4559</v>
      </c>
      <c r="U8327" t="s">
        <v>4560</v>
      </c>
      <c r="V8327" s="2">
        <v>480</v>
      </c>
      <c r="W8327" t="s">
        <v>4655</v>
      </c>
      <c r="X8327" s="2">
        <v>0</v>
      </c>
      <c r="Y8327">
        <v>20</v>
      </c>
      <c r="Z8327" t="s">
        <v>5508</v>
      </c>
      <c r="AA8327" s="3">
        <v>0.17685949802398701</v>
      </c>
      <c r="AB8327" t="s">
        <v>38256</v>
      </c>
      <c r="AC8327" t="s">
        <v>4562</v>
      </c>
      <c r="AD8327" t="s">
        <v>38255</v>
      </c>
      <c r="AE8327" t="s">
        <v>4655</v>
      </c>
      <c r="AF8327" t="s">
        <v>4563</v>
      </c>
      <c r="AG8327" t="s">
        <v>4564</v>
      </c>
      <c r="AH8327">
        <v>89508</v>
      </c>
      <c r="AI8327" t="s">
        <v>4655</v>
      </c>
      <c r="AJ8327" t="s">
        <v>449</v>
      </c>
      <c r="AK8327" t="s">
        <v>38257</v>
      </c>
      <c r="AL8327" s="13" t="s">
        <v>1892</v>
      </c>
      <c r="AM8327">
        <v>1</v>
      </c>
      <c r="AN8327" s="15" t="s">
        <v>2051</v>
      </c>
    </row>
    <row r="8328" spans="1:40" x14ac:dyDescent="0.3">
      <c r="A8328" s="10" t="str">
        <f>HYPERLINK("http://www.washoecounty.gov/assessor/cama/?parid=556-273-09&amp;CardNumber=1","556-273-09")</f>
        <v>556-273-09</v>
      </c>
      <c r="B8328" t="s">
        <v>4655</v>
      </c>
      <c r="C8328" t="s">
        <v>38258</v>
      </c>
      <c r="D8328" s="1">
        <v>40192</v>
      </c>
      <c r="E8328" s="2">
        <v>162500</v>
      </c>
      <c r="F8328" t="s">
        <v>4567</v>
      </c>
      <c r="G8328" s="17" t="str">
        <f>HYPERLINK("https://www.washoecounty.gov/assessor/cama/?command=sales&amp;parid=55627309","3839179")</f>
        <v>3839179</v>
      </c>
      <c r="H8328" t="s">
        <v>448</v>
      </c>
      <c r="I8328">
        <v>2004</v>
      </c>
      <c r="J8328">
        <v>2004</v>
      </c>
      <c r="K8328" t="s">
        <v>4554</v>
      </c>
      <c r="L8328" t="s">
        <v>3974</v>
      </c>
      <c r="M8328" s="2">
        <v>2320</v>
      </c>
      <c r="N8328" t="s">
        <v>4556</v>
      </c>
      <c r="O8328">
        <v>4</v>
      </c>
      <c r="P8328">
        <v>2</v>
      </c>
      <c r="Q8328">
        <v>1</v>
      </c>
      <c r="R8328" t="s">
        <v>4557</v>
      </c>
      <c r="S8328" t="s">
        <v>4558</v>
      </c>
      <c r="T8328" t="s">
        <v>4559</v>
      </c>
      <c r="U8328" t="s">
        <v>5631</v>
      </c>
      <c r="V8328" s="2">
        <v>480</v>
      </c>
      <c r="W8328" t="s">
        <v>4655</v>
      </c>
      <c r="X8328" s="2">
        <v>0</v>
      </c>
      <c r="Y8328">
        <v>20</v>
      </c>
      <c r="Z8328" t="s">
        <v>5508</v>
      </c>
      <c r="AA8328" s="3">
        <v>0.20773646235466001</v>
      </c>
      <c r="AB8328" t="s">
        <v>38259</v>
      </c>
      <c r="AC8328" t="s">
        <v>4562</v>
      </c>
      <c r="AD8328" t="s">
        <v>38260</v>
      </c>
      <c r="AE8328" t="s">
        <v>4655</v>
      </c>
      <c r="AF8328" t="s">
        <v>4563</v>
      </c>
      <c r="AG8328" t="s">
        <v>4564</v>
      </c>
      <c r="AH8328">
        <v>89508</v>
      </c>
      <c r="AI8328" t="s">
        <v>38261</v>
      </c>
      <c r="AJ8328" t="s">
        <v>449</v>
      </c>
      <c r="AK8328" t="s">
        <v>38262</v>
      </c>
      <c r="AL8328" s="13" t="s">
        <v>1892</v>
      </c>
      <c r="AM8328" s="14">
        <v>1</v>
      </c>
      <c r="AN8328" s="15" t="s">
        <v>2051</v>
      </c>
    </row>
    <row r="8329" spans="1:40" x14ac:dyDescent="0.3">
      <c r="A8329" s="10" t="str">
        <f>HYPERLINK("http://www.washoecounty.gov/assessor/cama/?parid=556-280-13&amp;CardNumber=1","556-280-13")</f>
        <v>556-280-13</v>
      </c>
      <c r="B8329" t="s">
        <v>4655</v>
      </c>
      <c r="C8329" t="s">
        <v>38263</v>
      </c>
      <c r="D8329" s="1">
        <v>40267</v>
      </c>
      <c r="E8329" s="2">
        <v>147200</v>
      </c>
      <c r="F8329" t="s">
        <v>4553</v>
      </c>
      <c r="G8329" s="17" t="str">
        <f>HYPERLINK("https://www.washoecounty.gov/assessor/cama/?command=sales&amp;parid=55628013","3865573")</f>
        <v>3865573</v>
      </c>
      <c r="H8329" t="s">
        <v>448</v>
      </c>
      <c r="I8329">
        <v>2004</v>
      </c>
      <c r="J8329">
        <v>2004</v>
      </c>
      <c r="K8329" t="s">
        <v>4554</v>
      </c>
      <c r="L8329" t="s">
        <v>4555</v>
      </c>
      <c r="M8329" s="2">
        <v>1777</v>
      </c>
      <c r="N8329" t="s">
        <v>4556</v>
      </c>
      <c r="O8329">
        <v>3</v>
      </c>
      <c r="P8329">
        <v>2</v>
      </c>
      <c r="Q8329">
        <v>0</v>
      </c>
      <c r="R8329" t="s">
        <v>5281</v>
      </c>
      <c r="S8329" t="s">
        <v>4558</v>
      </c>
      <c r="T8329" t="s">
        <v>4559</v>
      </c>
      <c r="U8329" t="s">
        <v>4560</v>
      </c>
      <c r="V8329" s="2">
        <v>783</v>
      </c>
      <c r="W8329" t="s">
        <v>4655</v>
      </c>
      <c r="X8329" s="2">
        <v>0</v>
      </c>
      <c r="Y8329">
        <v>20</v>
      </c>
      <c r="Z8329" t="s">
        <v>5508</v>
      </c>
      <c r="AA8329" s="3">
        <v>0.18714417517185211</v>
      </c>
      <c r="AB8329" t="s">
        <v>38264</v>
      </c>
      <c r="AC8329" t="s">
        <v>4562</v>
      </c>
      <c r="AD8329" t="s">
        <v>38265</v>
      </c>
      <c r="AE8329" t="s">
        <v>4655</v>
      </c>
      <c r="AF8329" t="s">
        <v>4958</v>
      </c>
      <c r="AG8329" t="s">
        <v>4584</v>
      </c>
      <c r="AH8329">
        <v>90808</v>
      </c>
      <c r="AI8329" t="s">
        <v>377</v>
      </c>
      <c r="AJ8329" t="s">
        <v>449</v>
      </c>
      <c r="AK8329" t="s">
        <v>38266</v>
      </c>
      <c r="AL8329" s="13" t="s">
        <v>1892</v>
      </c>
      <c r="AM8329">
        <v>1</v>
      </c>
      <c r="AN8329" s="15" t="s">
        <v>2051</v>
      </c>
    </row>
    <row r="8330" spans="1:40" x14ac:dyDescent="0.3">
      <c r="A8330" s="10" t="str">
        <f>HYPERLINK("http://www.washoecounty.gov/assessor/cama/?parid=556-280-16&amp;CardNumber=1","556-280-16")</f>
        <v>556-280-16</v>
      </c>
      <c r="B8330" t="s">
        <v>4655</v>
      </c>
      <c r="C8330" t="s">
        <v>38267</v>
      </c>
      <c r="D8330" s="1">
        <v>40186</v>
      </c>
      <c r="E8330" s="2">
        <v>190000</v>
      </c>
      <c r="F8330" t="s">
        <v>4567</v>
      </c>
      <c r="G8330" s="17" t="str">
        <f>HYPERLINK("https://www.washoecounty.gov/assessor/cama/?command=sales&amp;parid=55628016","3837570")</f>
        <v>3837570</v>
      </c>
      <c r="H8330" t="s">
        <v>448</v>
      </c>
      <c r="I8330">
        <v>2004</v>
      </c>
      <c r="J8330">
        <v>2004</v>
      </c>
      <c r="K8330" t="s">
        <v>4554</v>
      </c>
      <c r="L8330" t="s">
        <v>3974</v>
      </c>
      <c r="M8330" s="2">
        <v>2712</v>
      </c>
      <c r="N8330" t="s">
        <v>4556</v>
      </c>
      <c r="O8330">
        <v>5</v>
      </c>
      <c r="P8330">
        <v>2</v>
      </c>
      <c r="Q8330">
        <v>1</v>
      </c>
      <c r="R8330" t="s">
        <v>5281</v>
      </c>
      <c r="S8330" t="s">
        <v>4558</v>
      </c>
      <c r="T8330" t="s">
        <v>4559</v>
      </c>
      <c r="U8330" t="s">
        <v>5631</v>
      </c>
      <c r="V8330" s="2">
        <v>720</v>
      </c>
      <c r="W8330" t="s">
        <v>4655</v>
      </c>
      <c r="X8330" s="2">
        <v>0</v>
      </c>
      <c r="Y8330">
        <v>20</v>
      </c>
      <c r="Z8330" t="s">
        <v>5508</v>
      </c>
      <c r="AA8330" s="3">
        <v>0.239348024129868</v>
      </c>
      <c r="AB8330" t="s">
        <v>38268</v>
      </c>
      <c r="AC8330" t="s">
        <v>4562</v>
      </c>
      <c r="AD8330" t="s">
        <v>38267</v>
      </c>
      <c r="AE8330" t="s">
        <v>4655</v>
      </c>
      <c r="AF8330" t="s">
        <v>4563</v>
      </c>
      <c r="AG8330" t="s">
        <v>4564</v>
      </c>
      <c r="AH8330">
        <v>89508</v>
      </c>
      <c r="AI8330" t="s">
        <v>38269</v>
      </c>
      <c r="AJ8330" t="s">
        <v>449</v>
      </c>
      <c r="AK8330" t="s">
        <v>38270</v>
      </c>
      <c r="AL8330" s="13" t="s">
        <v>1892</v>
      </c>
      <c r="AM8330" s="14">
        <v>1</v>
      </c>
      <c r="AN8330" s="15" t="s">
        <v>2051</v>
      </c>
    </row>
    <row r="8331" spans="1:40" x14ac:dyDescent="0.3">
      <c r="A8331" s="10" t="str">
        <f>HYPERLINK("http://www.washoecounty.gov/assessor/cama/?parid=556-311-02&amp;CardNumber=1","556-311-02")</f>
        <v>556-311-02</v>
      </c>
      <c r="B8331" t="s">
        <v>4655</v>
      </c>
      <c r="C8331" t="s">
        <v>38271</v>
      </c>
      <c r="D8331" s="1">
        <v>40310</v>
      </c>
      <c r="E8331" s="2">
        <v>215000</v>
      </c>
      <c r="F8331" t="s">
        <v>4567</v>
      </c>
      <c r="G8331" s="17" t="str">
        <f>HYPERLINK("https://www.washoecounty.gov/assessor/cama/?command=sales&amp;parid=55631102","3880916")</f>
        <v>3880916</v>
      </c>
      <c r="H8331" t="s">
        <v>5385</v>
      </c>
      <c r="I8331">
        <v>2004</v>
      </c>
      <c r="J8331">
        <v>2004</v>
      </c>
      <c r="K8331" t="s">
        <v>4554</v>
      </c>
      <c r="L8331" t="s">
        <v>4555</v>
      </c>
      <c r="M8331" s="2">
        <v>2312</v>
      </c>
      <c r="N8331" t="s">
        <v>4048</v>
      </c>
      <c r="O8331">
        <v>4</v>
      </c>
      <c r="P8331">
        <v>2</v>
      </c>
      <c r="Q8331">
        <v>0</v>
      </c>
      <c r="R8331" t="s">
        <v>4557</v>
      </c>
      <c r="S8331" t="s">
        <v>4898</v>
      </c>
      <c r="T8331" t="s">
        <v>4559</v>
      </c>
      <c r="U8331" t="s">
        <v>4560</v>
      </c>
      <c r="V8331" s="2">
        <v>849</v>
      </c>
      <c r="W8331" t="s">
        <v>4655</v>
      </c>
      <c r="X8331" s="2">
        <v>0</v>
      </c>
      <c r="Y8331">
        <v>20</v>
      </c>
      <c r="Z8331" t="s">
        <v>5508</v>
      </c>
      <c r="AA8331" s="3">
        <v>0.34260788559913602</v>
      </c>
      <c r="AB8331" t="s">
        <v>38272</v>
      </c>
      <c r="AC8331" t="s">
        <v>4562</v>
      </c>
      <c r="AD8331" t="s">
        <v>38271</v>
      </c>
      <c r="AE8331" t="s">
        <v>4655</v>
      </c>
      <c r="AF8331" t="s">
        <v>4563</v>
      </c>
      <c r="AG8331" t="s">
        <v>4564</v>
      </c>
      <c r="AH8331">
        <v>89508</v>
      </c>
      <c r="AI8331" t="s">
        <v>38273</v>
      </c>
      <c r="AJ8331" t="s">
        <v>5386</v>
      </c>
      <c r="AK8331" t="s">
        <v>38274</v>
      </c>
      <c r="AL8331" s="13" t="s">
        <v>1892</v>
      </c>
      <c r="AM8331">
        <v>1</v>
      </c>
      <c r="AN8331" s="15" t="s">
        <v>2694</v>
      </c>
    </row>
    <row r="8332" spans="1:40" x14ac:dyDescent="0.3">
      <c r="A8332" s="10" t="str">
        <f>HYPERLINK("http://www.washoecounty.gov/assessor/cama/?parid=556-321-07&amp;CardNumber=1","556-321-07")</f>
        <v>556-321-07</v>
      </c>
      <c r="B8332" t="s">
        <v>4655</v>
      </c>
      <c r="C8332" t="s">
        <v>38275</v>
      </c>
      <c r="D8332" s="1">
        <v>40259</v>
      </c>
      <c r="E8332" s="2">
        <v>190000</v>
      </c>
      <c r="F8332" t="s">
        <v>4567</v>
      </c>
      <c r="G8332" s="17" t="str">
        <f>HYPERLINK("https://www.washoecounty.gov/assessor/cama/?command=sales&amp;parid=55632107","3862049")</f>
        <v>3862049</v>
      </c>
      <c r="H8332" t="s">
        <v>5385</v>
      </c>
      <c r="I8332">
        <v>2004</v>
      </c>
      <c r="J8332">
        <v>2004</v>
      </c>
      <c r="K8332" t="s">
        <v>4554</v>
      </c>
      <c r="L8332" t="s">
        <v>4555</v>
      </c>
      <c r="M8332" s="2">
        <v>2312</v>
      </c>
      <c r="N8332" t="s">
        <v>4048</v>
      </c>
      <c r="O8332">
        <v>4</v>
      </c>
      <c r="P8332">
        <v>2</v>
      </c>
      <c r="Q8332">
        <v>0</v>
      </c>
      <c r="R8332" t="s">
        <v>5281</v>
      </c>
      <c r="S8332" t="s">
        <v>4898</v>
      </c>
      <c r="T8332" t="s">
        <v>4559</v>
      </c>
      <c r="U8332" t="s">
        <v>4560</v>
      </c>
      <c r="V8332" s="2">
        <v>783</v>
      </c>
      <c r="W8332" t="s">
        <v>4655</v>
      </c>
      <c r="X8332" s="2">
        <v>0</v>
      </c>
      <c r="Y8332">
        <v>20</v>
      </c>
      <c r="Z8332" t="s">
        <v>5508</v>
      </c>
      <c r="AA8332" s="3">
        <v>0.70422405004501298</v>
      </c>
      <c r="AB8332" t="s">
        <v>38276</v>
      </c>
      <c r="AC8332" t="s">
        <v>4562</v>
      </c>
      <c r="AD8332" t="s">
        <v>38275</v>
      </c>
      <c r="AE8332" t="s">
        <v>4655</v>
      </c>
      <c r="AF8332" t="s">
        <v>4563</v>
      </c>
      <c r="AG8332" t="s">
        <v>4564</v>
      </c>
      <c r="AH8332">
        <v>89508</v>
      </c>
      <c r="AI8332" t="s">
        <v>38277</v>
      </c>
      <c r="AJ8332" t="s">
        <v>5386</v>
      </c>
      <c r="AK8332" t="s">
        <v>38278</v>
      </c>
      <c r="AL8332" s="13" t="s">
        <v>1892</v>
      </c>
      <c r="AM8332">
        <v>1</v>
      </c>
      <c r="AN8332" s="15" t="s">
        <v>2694</v>
      </c>
    </row>
    <row r="8333" spans="1:40" x14ac:dyDescent="0.3">
      <c r="A8333" s="10" t="str">
        <f>HYPERLINK("http://www.washoecounty.gov/assessor/cama/?parid=556-321-22&amp;CardNumber=1","556-321-22")</f>
        <v>556-321-22</v>
      </c>
      <c r="B8333" t="s">
        <v>4655</v>
      </c>
      <c r="C8333" t="s">
        <v>38279</v>
      </c>
      <c r="D8333" s="1">
        <v>40438</v>
      </c>
      <c r="E8333" s="2">
        <v>183500</v>
      </c>
      <c r="F8333" t="s">
        <v>4553</v>
      </c>
      <c r="G8333" s="17" t="str">
        <f>HYPERLINK("https://www.washoecounty.gov/assessor/cama/?command=sales&amp;parid=55632122","3923669")</f>
        <v>3923669</v>
      </c>
      <c r="H8333" t="s">
        <v>5385</v>
      </c>
      <c r="I8333">
        <v>2005</v>
      </c>
      <c r="J8333">
        <v>2005</v>
      </c>
      <c r="K8333" t="s">
        <v>4554</v>
      </c>
      <c r="L8333" t="s">
        <v>4555</v>
      </c>
      <c r="M8333" s="2">
        <v>2312</v>
      </c>
      <c r="N8333" t="s">
        <v>4048</v>
      </c>
      <c r="O8333">
        <v>4</v>
      </c>
      <c r="P8333">
        <v>2</v>
      </c>
      <c r="Q8333">
        <v>0</v>
      </c>
      <c r="R8333" t="s">
        <v>5281</v>
      </c>
      <c r="S8333" t="s">
        <v>4898</v>
      </c>
      <c r="T8333" t="s">
        <v>4559</v>
      </c>
      <c r="U8333" t="s">
        <v>4560</v>
      </c>
      <c r="V8333" s="2">
        <v>552</v>
      </c>
      <c r="W8333" t="s">
        <v>4655</v>
      </c>
      <c r="X8333" s="2">
        <v>0</v>
      </c>
      <c r="Y8333">
        <v>20</v>
      </c>
      <c r="Z8333" t="s">
        <v>5508</v>
      </c>
      <c r="AA8333" s="3">
        <v>0.405165284872055</v>
      </c>
      <c r="AB8333" t="s">
        <v>38280</v>
      </c>
      <c r="AC8333" t="s">
        <v>4575</v>
      </c>
      <c r="AD8333" t="s">
        <v>38281</v>
      </c>
      <c r="AE8333" t="s">
        <v>38279</v>
      </c>
      <c r="AF8333" t="s">
        <v>4563</v>
      </c>
      <c r="AG8333" t="s">
        <v>4564</v>
      </c>
      <c r="AH8333">
        <v>89508</v>
      </c>
      <c r="AI8333" t="s">
        <v>38282</v>
      </c>
      <c r="AJ8333" t="s">
        <v>5386</v>
      </c>
      <c r="AK8333" t="s">
        <v>38283</v>
      </c>
      <c r="AL8333" s="13" t="s">
        <v>1892</v>
      </c>
      <c r="AM8333">
        <v>1</v>
      </c>
      <c r="AN8333" s="15" t="s">
        <v>2694</v>
      </c>
    </row>
    <row r="8334" spans="1:40" x14ac:dyDescent="0.3">
      <c r="A8334" s="10" t="str">
        <f>HYPERLINK("http://www.washoecounty.gov/assessor/cama/?parid=556-321-24&amp;CardNumber=1","556-321-24")</f>
        <v>556-321-24</v>
      </c>
      <c r="B8334" t="s">
        <v>4655</v>
      </c>
      <c r="C8334" t="s">
        <v>38284</v>
      </c>
      <c r="D8334" s="1">
        <v>40512</v>
      </c>
      <c r="E8334" s="2">
        <v>169000</v>
      </c>
      <c r="F8334" t="s">
        <v>4567</v>
      </c>
      <c r="G8334" s="17" t="str">
        <f>HYPERLINK("https://www.washoecounty.gov/assessor/cama/?command=sales&amp;parid=55632124","3947538")</f>
        <v>3947538</v>
      </c>
      <c r="H8334" t="s">
        <v>5385</v>
      </c>
      <c r="I8334">
        <v>2005</v>
      </c>
      <c r="J8334">
        <v>2005</v>
      </c>
      <c r="K8334" t="s">
        <v>4554</v>
      </c>
      <c r="L8334" t="s">
        <v>4555</v>
      </c>
      <c r="M8334" s="2">
        <v>2312</v>
      </c>
      <c r="N8334" t="s">
        <v>4048</v>
      </c>
      <c r="O8334">
        <v>4</v>
      </c>
      <c r="P8334">
        <v>2</v>
      </c>
      <c r="Q8334">
        <v>0</v>
      </c>
      <c r="R8334" t="s">
        <v>5281</v>
      </c>
      <c r="S8334" t="s">
        <v>4898</v>
      </c>
      <c r="T8334" t="s">
        <v>4559</v>
      </c>
      <c r="U8334" t="s">
        <v>4560</v>
      </c>
      <c r="V8334" s="2">
        <v>552</v>
      </c>
      <c r="W8334" t="s">
        <v>4655</v>
      </c>
      <c r="X8334" s="2">
        <v>0</v>
      </c>
      <c r="Y8334">
        <v>20</v>
      </c>
      <c r="Z8334" t="s">
        <v>5508</v>
      </c>
      <c r="AA8334" s="3">
        <v>0.70661157369613603</v>
      </c>
      <c r="AB8334" t="s">
        <v>38285</v>
      </c>
      <c r="AC8334" t="s">
        <v>4562</v>
      </c>
      <c r="AD8334" t="s">
        <v>38284</v>
      </c>
      <c r="AE8334" t="s">
        <v>4655</v>
      </c>
      <c r="AF8334" t="s">
        <v>4563</v>
      </c>
      <c r="AG8334" t="s">
        <v>4564</v>
      </c>
      <c r="AH8334">
        <v>89506</v>
      </c>
      <c r="AI8334" t="s">
        <v>5621</v>
      </c>
      <c r="AJ8334" t="s">
        <v>5386</v>
      </c>
      <c r="AK8334" t="s">
        <v>38286</v>
      </c>
      <c r="AL8334" s="13" t="s">
        <v>1892</v>
      </c>
      <c r="AM8334">
        <v>1</v>
      </c>
      <c r="AN8334" s="15" t="s">
        <v>2694</v>
      </c>
    </row>
    <row r="8335" spans="1:40" x14ac:dyDescent="0.3">
      <c r="A8335" s="10" t="str">
        <f>HYPERLINK("http://www.washoecounty.gov/assessor/cama/?parid=556-322-01&amp;CardNumber=1","556-322-01")</f>
        <v>556-322-01</v>
      </c>
      <c r="B8335" t="s">
        <v>4655</v>
      </c>
      <c r="C8335" t="s">
        <v>38287</v>
      </c>
      <c r="D8335" s="1">
        <v>40529</v>
      </c>
      <c r="E8335" s="2">
        <v>137000</v>
      </c>
      <c r="F8335" t="s">
        <v>4553</v>
      </c>
      <c r="G8335" s="17" t="str">
        <f>HYPERLINK("https://www.washoecounty.gov/assessor/cama/?command=sales&amp;parid=55632201","3954924")</f>
        <v>3954924</v>
      </c>
      <c r="H8335" t="s">
        <v>5385</v>
      </c>
      <c r="I8335">
        <v>2004</v>
      </c>
      <c r="J8335">
        <v>2004</v>
      </c>
      <c r="K8335" t="s">
        <v>4554</v>
      </c>
      <c r="L8335" t="s">
        <v>4555</v>
      </c>
      <c r="M8335" s="2">
        <v>1926</v>
      </c>
      <c r="N8335" t="s">
        <v>4048</v>
      </c>
      <c r="O8335">
        <v>3</v>
      </c>
      <c r="P8335">
        <v>2</v>
      </c>
      <c r="Q8335">
        <v>0</v>
      </c>
      <c r="R8335" t="s">
        <v>4557</v>
      </c>
      <c r="S8335" t="s">
        <v>4898</v>
      </c>
      <c r="T8335" t="s">
        <v>4559</v>
      </c>
      <c r="U8335" t="s">
        <v>4560</v>
      </c>
      <c r="V8335" s="2">
        <v>735</v>
      </c>
      <c r="W8335" t="s">
        <v>4655</v>
      </c>
      <c r="X8335" s="2">
        <v>0</v>
      </c>
      <c r="Y8335">
        <v>20</v>
      </c>
      <c r="Z8335" t="s">
        <v>5508</v>
      </c>
      <c r="AA8335" s="3">
        <v>0.30112487077713002</v>
      </c>
      <c r="AB8335" t="s">
        <v>38288</v>
      </c>
      <c r="AC8335" t="s">
        <v>4575</v>
      </c>
      <c r="AD8335" t="s">
        <v>38289</v>
      </c>
      <c r="AE8335" t="s">
        <v>4655</v>
      </c>
      <c r="AF8335" t="s">
        <v>38290</v>
      </c>
      <c r="AG8335" t="s">
        <v>4584</v>
      </c>
      <c r="AH8335">
        <v>93402</v>
      </c>
      <c r="AI8335" t="s">
        <v>4503</v>
      </c>
      <c r="AJ8335" t="s">
        <v>5386</v>
      </c>
      <c r="AK8335" t="s">
        <v>38291</v>
      </c>
      <c r="AL8335" s="13" t="s">
        <v>1892</v>
      </c>
      <c r="AM8335">
        <v>1</v>
      </c>
      <c r="AN8335" s="15" t="s">
        <v>2694</v>
      </c>
    </row>
    <row r="8336" spans="1:40" x14ac:dyDescent="0.3">
      <c r="A8336" s="10" t="str">
        <f>HYPERLINK("http://www.washoecounty.gov/assessor/cama/?parid=556-331-02&amp;CardNumber=1","556-331-02")</f>
        <v>556-331-02</v>
      </c>
      <c r="B8336" t="s">
        <v>4655</v>
      </c>
      <c r="C8336" t="s">
        <v>38292</v>
      </c>
      <c r="D8336" s="1">
        <v>40270</v>
      </c>
      <c r="E8336" s="2">
        <v>165000</v>
      </c>
      <c r="F8336" t="s">
        <v>4553</v>
      </c>
      <c r="G8336" s="17" t="str">
        <f>HYPERLINK("https://www.washoecounty.gov/assessor/cama/?command=sales&amp;parid=55633102","3867362")</f>
        <v>3867362</v>
      </c>
      <c r="H8336" t="s">
        <v>775</v>
      </c>
      <c r="I8336">
        <v>2004</v>
      </c>
      <c r="J8336">
        <v>2004</v>
      </c>
      <c r="K8336" t="s">
        <v>4554</v>
      </c>
      <c r="L8336" t="s">
        <v>3974</v>
      </c>
      <c r="M8336" s="2">
        <v>2320</v>
      </c>
      <c r="N8336" t="s">
        <v>4556</v>
      </c>
      <c r="O8336">
        <v>4</v>
      </c>
      <c r="P8336">
        <v>2</v>
      </c>
      <c r="Q8336">
        <v>1</v>
      </c>
      <c r="R8336" t="s">
        <v>5281</v>
      </c>
      <c r="S8336" t="s">
        <v>4558</v>
      </c>
      <c r="T8336" t="s">
        <v>4559</v>
      </c>
      <c r="U8336" t="s">
        <v>5631</v>
      </c>
      <c r="V8336" s="2">
        <v>480</v>
      </c>
      <c r="W8336" t="s">
        <v>4655</v>
      </c>
      <c r="X8336" s="2">
        <v>0</v>
      </c>
      <c r="Y8336">
        <v>20</v>
      </c>
      <c r="Z8336" t="s">
        <v>5508</v>
      </c>
      <c r="AA8336" s="3">
        <v>0.16965106129646301</v>
      </c>
      <c r="AB8336" t="s">
        <v>38293</v>
      </c>
      <c r="AC8336" t="s">
        <v>4562</v>
      </c>
      <c r="AD8336" t="s">
        <v>38292</v>
      </c>
      <c r="AE8336" t="s">
        <v>4655</v>
      </c>
      <c r="AF8336" t="s">
        <v>4563</v>
      </c>
      <c r="AG8336" t="s">
        <v>4564</v>
      </c>
      <c r="AH8336">
        <v>89506</v>
      </c>
      <c r="AI8336" t="s">
        <v>4655</v>
      </c>
      <c r="AJ8336" t="s">
        <v>2050</v>
      </c>
      <c r="AK8336" t="s">
        <v>38294</v>
      </c>
      <c r="AL8336" s="13" t="s">
        <v>1892</v>
      </c>
      <c r="AM8336">
        <v>1</v>
      </c>
      <c r="AN8336" s="15" t="s">
        <v>2051</v>
      </c>
    </row>
    <row r="8337" spans="1:40" x14ac:dyDescent="0.3">
      <c r="A8337" s="10" t="str">
        <f>HYPERLINK("http://www.washoecounty.gov/assessor/cama/?parid=556-332-12&amp;CardNumber=1","556-332-12")</f>
        <v>556-332-12</v>
      </c>
      <c r="B8337" t="s">
        <v>4655</v>
      </c>
      <c r="C8337" t="s">
        <v>38295</v>
      </c>
      <c r="D8337" s="1">
        <v>40476</v>
      </c>
      <c r="E8337" s="2">
        <v>113815</v>
      </c>
      <c r="F8337" t="s">
        <v>4553</v>
      </c>
      <c r="G8337" s="17" t="str">
        <f>HYPERLINK("https://www.washoecounty.gov/assessor/cama/?command=sales&amp;parid=55633212","3936036")</f>
        <v>3936036</v>
      </c>
      <c r="H8337" t="s">
        <v>775</v>
      </c>
      <c r="I8337">
        <v>2004</v>
      </c>
      <c r="J8337">
        <v>2004</v>
      </c>
      <c r="K8337" t="s">
        <v>4554</v>
      </c>
      <c r="L8337" t="s">
        <v>4555</v>
      </c>
      <c r="M8337" s="2">
        <v>1457</v>
      </c>
      <c r="N8337" t="s">
        <v>4556</v>
      </c>
      <c r="O8337">
        <v>3</v>
      </c>
      <c r="P8337">
        <v>2</v>
      </c>
      <c r="Q8337">
        <v>0</v>
      </c>
      <c r="R8337" t="s">
        <v>5281</v>
      </c>
      <c r="S8337" t="s">
        <v>4558</v>
      </c>
      <c r="T8337" t="s">
        <v>4559</v>
      </c>
      <c r="U8337" t="s">
        <v>4560</v>
      </c>
      <c r="V8337" s="2">
        <v>495</v>
      </c>
      <c r="W8337" t="s">
        <v>4655</v>
      </c>
      <c r="X8337" s="2">
        <v>0</v>
      </c>
      <c r="Y8337">
        <v>20</v>
      </c>
      <c r="Z8337" t="s">
        <v>5508</v>
      </c>
      <c r="AA8337" s="3">
        <v>0.19586776196956635</v>
      </c>
      <c r="AB8337" t="s">
        <v>38296</v>
      </c>
      <c r="AC8337" t="s">
        <v>4562</v>
      </c>
      <c r="AD8337" t="s">
        <v>38295</v>
      </c>
      <c r="AE8337" t="s">
        <v>4655</v>
      </c>
      <c r="AF8337" t="s">
        <v>4563</v>
      </c>
      <c r="AG8337" t="s">
        <v>4564</v>
      </c>
      <c r="AH8337">
        <v>89508</v>
      </c>
      <c r="AI8337" t="s">
        <v>4503</v>
      </c>
      <c r="AJ8337" t="s">
        <v>2050</v>
      </c>
      <c r="AK8337" t="s">
        <v>38297</v>
      </c>
      <c r="AL8337" s="13" t="s">
        <v>1892</v>
      </c>
      <c r="AM8337" s="14">
        <v>1</v>
      </c>
      <c r="AN8337" s="15" t="s">
        <v>2051</v>
      </c>
    </row>
    <row r="8338" spans="1:40" x14ac:dyDescent="0.3">
      <c r="A8338" s="10" t="str">
        <f>HYPERLINK("http://www.washoecounty.gov/assessor/cama/?parid=556-332-14&amp;CardNumber=1","556-332-14")</f>
        <v>556-332-14</v>
      </c>
      <c r="B8338" t="s">
        <v>4655</v>
      </c>
      <c r="C8338" t="s">
        <v>38298</v>
      </c>
      <c r="D8338" s="1">
        <v>40414</v>
      </c>
      <c r="E8338" s="2">
        <v>126000</v>
      </c>
      <c r="F8338" t="s">
        <v>4567</v>
      </c>
      <c r="G8338" s="17" t="str">
        <f>HYPERLINK("https://www.washoecounty.gov/assessor/cama/?command=sales&amp;parid=55633214","3915249")</f>
        <v>3915249</v>
      </c>
      <c r="H8338" t="s">
        <v>775</v>
      </c>
      <c r="I8338">
        <v>2004</v>
      </c>
      <c r="J8338">
        <v>2004</v>
      </c>
      <c r="K8338" t="s">
        <v>4554</v>
      </c>
      <c r="L8338" t="s">
        <v>3974</v>
      </c>
      <c r="M8338" s="2">
        <v>1624</v>
      </c>
      <c r="N8338" t="s">
        <v>4556</v>
      </c>
      <c r="O8338">
        <v>3</v>
      </c>
      <c r="P8338">
        <v>2</v>
      </c>
      <c r="Q8338">
        <v>1</v>
      </c>
      <c r="R8338" t="s">
        <v>5281</v>
      </c>
      <c r="S8338" t="s">
        <v>4558</v>
      </c>
      <c r="T8338" t="s">
        <v>4559</v>
      </c>
      <c r="U8338" t="s">
        <v>4560</v>
      </c>
      <c r="V8338" s="2">
        <v>400</v>
      </c>
      <c r="W8338" t="s">
        <v>4655</v>
      </c>
      <c r="X8338" s="2">
        <v>0</v>
      </c>
      <c r="Y8338">
        <v>20</v>
      </c>
      <c r="Z8338" t="s">
        <v>5508</v>
      </c>
      <c r="AA8338" s="3">
        <v>0.195477500557899</v>
      </c>
      <c r="AB8338" t="s">
        <v>38299</v>
      </c>
      <c r="AC8338" t="s">
        <v>4562</v>
      </c>
      <c r="AD8338" t="s">
        <v>38298</v>
      </c>
      <c r="AE8338" t="s">
        <v>4655</v>
      </c>
      <c r="AF8338" t="s">
        <v>4563</v>
      </c>
      <c r="AG8338" t="s">
        <v>4564</v>
      </c>
      <c r="AH8338">
        <v>89508</v>
      </c>
      <c r="AI8338" t="s">
        <v>38300</v>
      </c>
      <c r="AJ8338" t="s">
        <v>2050</v>
      </c>
      <c r="AK8338" t="s">
        <v>38301</v>
      </c>
      <c r="AL8338" s="13" t="s">
        <v>1892</v>
      </c>
      <c r="AM8338">
        <v>1</v>
      </c>
      <c r="AN8338" s="15" t="s">
        <v>2051</v>
      </c>
    </row>
    <row r="8339" spans="1:40" x14ac:dyDescent="0.3">
      <c r="A8339" s="10" t="str">
        <f>HYPERLINK("http://www.washoecounty.gov/assessor/cama/?parid=556-351-14&amp;CardNumber=1","556-351-14")</f>
        <v>556-351-14</v>
      </c>
      <c r="B8339" t="s">
        <v>4655</v>
      </c>
      <c r="C8339" t="s">
        <v>38302</v>
      </c>
      <c r="D8339" s="1">
        <v>40182</v>
      </c>
      <c r="E8339" s="2">
        <v>155000</v>
      </c>
      <c r="F8339" t="s">
        <v>4567</v>
      </c>
      <c r="G8339" s="17" t="str">
        <f>HYPERLINK("https://www.washoecounty.gov/assessor/cama/?command=sales&amp;parid=55635114","3836153")</f>
        <v>3836153</v>
      </c>
      <c r="H8339" t="s">
        <v>775</v>
      </c>
      <c r="I8339">
        <v>2005</v>
      </c>
      <c r="J8339">
        <v>2005</v>
      </c>
      <c r="K8339" t="s">
        <v>4554</v>
      </c>
      <c r="L8339" t="s">
        <v>3974</v>
      </c>
      <c r="M8339" s="2">
        <v>2320</v>
      </c>
      <c r="N8339" t="s">
        <v>4556</v>
      </c>
      <c r="O8339">
        <v>4</v>
      </c>
      <c r="P8339">
        <v>2</v>
      </c>
      <c r="Q8339">
        <v>1</v>
      </c>
      <c r="R8339" t="s">
        <v>5281</v>
      </c>
      <c r="S8339" t="s">
        <v>4558</v>
      </c>
      <c r="T8339" t="s">
        <v>4559</v>
      </c>
      <c r="U8339" t="s">
        <v>5631</v>
      </c>
      <c r="V8339" s="2">
        <v>480</v>
      </c>
      <c r="W8339" t="s">
        <v>4655</v>
      </c>
      <c r="X8339" s="2">
        <v>0</v>
      </c>
      <c r="Y8339">
        <v>20</v>
      </c>
      <c r="Z8339" t="s">
        <v>5508</v>
      </c>
      <c r="AA8339" s="3">
        <v>0.192676767706871</v>
      </c>
      <c r="AB8339" t="s">
        <v>38303</v>
      </c>
      <c r="AC8339" t="s">
        <v>4562</v>
      </c>
      <c r="AD8339" t="s">
        <v>38304</v>
      </c>
      <c r="AE8339" t="s">
        <v>4655</v>
      </c>
      <c r="AF8339" t="s">
        <v>4563</v>
      </c>
      <c r="AG8339" t="s">
        <v>4564</v>
      </c>
      <c r="AH8339">
        <v>89506</v>
      </c>
      <c r="AI8339" t="s">
        <v>38305</v>
      </c>
      <c r="AJ8339" t="s">
        <v>2050</v>
      </c>
      <c r="AK8339" t="s">
        <v>38306</v>
      </c>
      <c r="AL8339" s="13" t="s">
        <v>1892</v>
      </c>
      <c r="AM8339">
        <v>1</v>
      </c>
      <c r="AN8339" s="15" t="s">
        <v>2051</v>
      </c>
    </row>
    <row r="8340" spans="1:40" x14ac:dyDescent="0.3">
      <c r="A8340" s="10" t="str">
        <f>HYPERLINK("http://www.washoecounty.gov/assessor/cama/?parid=556-351-20&amp;CardNumber=1","556-351-20")</f>
        <v>556-351-20</v>
      </c>
      <c r="B8340" t="s">
        <v>4655</v>
      </c>
      <c r="C8340" t="s">
        <v>38307</v>
      </c>
      <c r="D8340" s="1">
        <v>40501</v>
      </c>
      <c r="E8340" s="2">
        <v>104000</v>
      </c>
      <c r="F8340" t="s">
        <v>4567</v>
      </c>
      <c r="G8340" s="17" t="str">
        <f>HYPERLINK("https://www.washoecounty.gov/assessor/cama/?command=sales&amp;parid=55635120","3945049")</f>
        <v>3945049</v>
      </c>
      <c r="H8340" t="s">
        <v>775</v>
      </c>
      <c r="I8340">
        <v>2005</v>
      </c>
      <c r="J8340">
        <v>2005</v>
      </c>
      <c r="K8340" t="s">
        <v>4554</v>
      </c>
      <c r="L8340" t="s">
        <v>4555</v>
      </c>
      <c r="M8340" s="2">
        <v>1161</v>
      </c>
      <c r="N8340" t="s">
        <v>4556</v>
      </c>
      <c r="O8340">
        <v>3</v>
      </c>
      <c r="P8340">
        <v>2</v>
      </c>
      <c r="Q8340">
        <v>0</v>
      </c>
      <c r="R8340" t="s">
        <v>5281</v>
      </c>
      <c r="S8340" t="s">
        <v>4558</v>
      </c>
      <c r="T8340" t="s">
        <v>4559</v>
      </c>
      <c r="U8340" t="s">
        <v>4560</v>
      </c>
      <c r="V8340" s="2">
        <v>534</v>
      </c>
      <c r="W8340" t="s">
        <v>4655</v>
      </c>
      <c r="X8340" s="2">
        <v>0</v>
      </c>
      <c r="Y8340">
        <v>20</v>
      </c>
      <c r="Z8340" t="s">
        <v>5508</v>
      </c>
      <c r="AA8340" s="3">
        <v>0.192470163106918</v>
      </c>
      <c r="AB8340" t="s">
        <v>38308</v>
      </c>
      <c r="AC8340" t="s">
        <v>4562</v>
      </c>
      <c r="AD8340" t="s">
        <v>38307</v>
      </c>
      <c r="AE8340" t="s">
        <v>4655</v>
      </c>
      <c r="AF8340" t="s">
        <v>4563</v>
      </c>
      <c r="AG8340" t="s">
        <v>4564</v>
      </c>
      <c r="AH8340">
        <v>89508</v>
      </c>
      <c r="AI8340" t="s">
        <v>38309</v>
      </c>
      <c r="AJ8340" t="s">
        <v>2050</v>
      </c>
      <c r="AK8340" t="s">
        <v>38310</v>
      </c>
      <c r="AL8340" s="13" t="s">
        <v>1892</v>
      </c>
      <c r="AM8340">
        <v>1</v>
      </c>
      <c r="AN8340" s="15" t="s">
        <v>2051</v>
      </c>
    </row>
    <row r="8341" spans="1:40" x14ac:dyDescent="0.3">
      <c r="A8341" s="10" t="str">
        <f>HYPERLINK("http://www.washoecounty.gov/assessor/cama/?parid=556-351-27&amp;CardNumber=1","556-351-27")</f>
        <v>556-351-27</v>
      </c>
      <c r="B8341" t="s">
        <v>4655</v>
      </c>
      <c r="C8341" t="s">
        <v>38311</v>
      </c>
      <c r="D8341" s="1">
        <v>40359</v>
      </c>
      <c r="E8341" s="2">
        <v>144500</v>
      </c>
      <c r="F8341" t="s">
        <v>4567</v>
      </c>
      <c r="G8341" s="17" t="str">
        <f>HYPERLINK("https://www.washoecounty.gov/assessor/cama/?command=sales&amp;parid=55635127","3897143")</f>
        <v>3897143</v>
      </c>
      <c r="H8341" t="s">
        <v>775</v>
      </c>
      <c r="I8341">
        <v>2005</v>
      </c>
      <c r="J8341">
        <v>2005</v>
      </c>
      <c r="K8341" t="s">
        <v>4554</v>
      </c>
      <c r="L8341" t="s">
        <v>4555</v>
      </c>
      <c r="M8341" s="2">
        <v>1777</v>
      </c>
      <c r="N8341" t="s">
        <v>4556</v>
      </c>
      <c r="O8341">
        <v>3</v>
      </c>
      <c r="P8341">
        <v>2</v>
      </c>
      <c r="Q8341">
        <v>0</v>
      </c>
      <c r="R8341" t="s">
        <v>5281</v>
      </c>
      <c r="S8341" t="s">
        <v>4558</v>
      </c>
      <c r="T8341" t="s">
        <v>4559</v>
      </c>
      <c r="U8341" t="s">
        <v>4560</v>
      </c>
      <c r="V8341" s="2">
        <v>783</v>
      </c>
      <c r="W8341" t="s">
        <v>4655</v>
      </c>
      <c r="X8341" s="2">
        <v>0</v>
      </c>
      <c r="Y8341">
        <v>20</v>
      </c>
      <c r="Z8341" t="s">
        <v>5508</v>
      </c>
      <c r="AA8341" s="3">
        <v>0.157277315855026</v>
      </c>
      <c r="AB8341" t="s">
        <v>38312</v>
      </c>
      <c r="AC8341" t="s">
        <v>4562</v>
      </c>
      <c r="AD8341" t="s">
        <v>38311</v>
      </c>
      <c r="AE8341" t="s">
        <v>4655</v>
      </c>
      <c r="AF8341" t="s">
        <v>4563</v>
      </c>
      <c r="AG8341" t="s">
        <v>4564</v>
      </c>
      <c r="AH8341">
        <v>89508</v>
      </c>
      <c r="AI8341" t="s">
        <v>4655</v>
      </c>
      <c r="AJ8341" t="s">
        <v>2050</v>
      </c>
      <c r="AK8341" t="s">
        <v>38313</v>
      </c>
      <c r="AL8341" s="13" t="s">
        <v>1892</v>
      </c>
      <c r="AM8341">
        <v>1</v>
      </c>
      <c r="AN8341" s="15" t="s">
        <v>2051</v>
      </c>
    </row>
    <row r="8342" spans="1:40" x14ac:dyDescent="0.3">
      <c r="A8342" s="10" t="str">
        <f>HYPERLINK("http://www.washoecounty.gov/assessor/cama/?parid=556-351-30&amp;CardNumber=1","556-351-30")</f>
        <v>556-351-30</v>
      </c>
      <c r="B8342" t="s">
        <v>4655</v>
      </c>
      <c r="C8342" t="s">
        <v>38314</v>
      </c>
      <c r="D8342" s="1">
        <v>40359</v>
      </c>
      <c r="E8342" s="2">
        <v>129627</v>
      </c>
      <c r="F8342" t="s">
        <v>4553</v>
      </c>
      <c r="G8342" s="17" t="str">
        <f>HYPERLINK("https://www.washoecounty.gov/assessor/cama/?command=sales&amp;parid=55635130","3897455")</f>
        <v>3897455</v>
      </c>
      <c r="H8342" t="s">
        <v>775</v>
      </c>
      <c r="I8342">
        <v>2005</v>
      </c>
      <c r="J8342">
        <v>2005</v>
      </c>
      <c r="K8342" t="s">
        <v>4554</v>
      </c>
      <c r="L8342" t="s">
        <v>4555</v>
      </c>
      <c r="M8342" s="2">
        <v>1696</v>
      </c>
      <c r="N8342" t="s">
        <v>4556</v>
      </c>
      <c r="O8342">
        <v>3</v>
      </c>
      <c r="P8342">
        <v>2</v>
      </c>
      <c r="Q8342">
        <v>0</v>
      </c>
      <c r="R8342" t="s">
        <v>5281</v>
      </c>
      <c r="S8342" t="s">
        <v>4558</v>
      </c>
      <c r="T8342" t="s">
        <v>4559</v>
      </c>
      <c r="U8342" t="s">
        <v>4560</v>
      </c>
      <c r="V8342" s="2">
        <v>576</v>
      </c>
      <c r="W8342" t="s">
        <v>4655</v>
      </c>
      <c r="X8342" s="2">
        <v>0</v>
      </c>
      <c r="Y8342">
        <v>20</v>
      </c>
      <c r="Z8342" t="s">
        <v>5508</v>
      </c>
      <c r="AA8342" s="3">
        <v>0.18312671780586201</v>
      </c>
      <c r="AB8342" t="s">
        <v>38315</v>
      </c>
      <c r="AC8342" t="s">
        <v>4562</v>
      </c>
      <c r="AD8342" t="s">
        <v>38314</v>
      </c>
      <c r="AE8342" t="s">
        <v>4655</v>
      </c>
      <c r="AF8342" t="s">
        <v>4563</v>
      </c>
      <c r="AG8342" t="s">
        <v>4564</v>
      </c>
      <c r="AH8342">
        <v>89508</v>
      </c>
      <c r="AI8342" t="s">
        <v>4848</v>
      </c>
      <c r="AJ8342" t="s">
        <v>2050</v>
      </c>
      <c r="AK8342" t="s">
        <v>38316</v>
      </c>
      <c r="AL8342" s="13" t="s">
        <v>1892</v>
      </c>
      <c r="AM8342">
        <v>1</v>
      </c>
      <c r="AN8342" s="15" t="s">
        <v>2051</v>
      </c>
    </row>
    <row r="8343" spans="1:40" x14ac:dyDescent="0.3">
      <c r="A8343" s="10" t="str">
        <f>HYPERLINK("http://www.washoecounty.gov/assessor/cama/?parid=556-352-01&amp;CardNumber=1","556-352-01")</f>
        <v>556-352-01</v>
      </c>
      <c r="B8343" t="s">
        <v>4655</v>
      </c>
      <c r="C8343" t="s">
        <v>38317</v>
      </c>
      <c r="D8343" s="1">
        <v>40245</v>
      </c>
      <c r="E8343" s="2">
        <v>120000</v>
      </c>
      <c r="F8343" t="s">
        <v>4567</v>
      </c>
      <c r="G8343" s="17" t="str">
        <f>HYPERLINK("https://www.washoecounty.gov/assessor/cama/?command=sales&amp;parid=55635201","3856942")</f>
        <v>3856942</v>
      </c>
      <c r="H8343" t="s">
        <v>775</v>
      </c>
      <c r="I8343">
        <v>2005</v>
      </c>
      <c r="J8343">
        <v>2005</v>
      </c>
      <c r="K8343" t="s">
        <v>4554</v>
      </c>
      <c r="L8343" t="s">
        <v>4555</v>
      </c>
      <c r="M8343" s="2">
        <v>1568</v>
      </c>
      <c r="N8343" t="s">
        <v>4556</v>
      </c>
      <c r="O8343">
        <v>4</v>
      </c>
      <c r="P8343">
        <v>2</v>
      </c>
      <c r="Q8343">
        <v>0</v>
      </c>
      <c r="R8343" t="s">
        <v>5281</v>
      </c>
      <c r="S8343" t="s">
        <v>4558</v>
      </c>
      <c r="T8343" t="s">
        <v>4559</v>
      </c>
      <c r="U8343" t="s">
        <v>4560</v>
      </c>
      <c r="V8343" s="2">
        <v>480</v>
      </c>
      <c r="W8343" t="s">
        <v>4655</v>
      </c>
      <c r="X8343" s="2">
        <v>0</v>
      </c>
      <c r="Y8343">
        <v>20</v>
      </c>
      <c r="Z8343" t="s">
        <v>5508</v>
      </c>
      <c r="AA8343" s="3">
        <v>0.1783057898283</v>
      </c>
      <c r="AB8343" t="s">
        <v>38318</v>
      </c>
      <c r="AC8343" t="s">
        <v>4562</v>
      </c>
      <c r="AD8343" t="s">
        <v>38317</v>
      </c>
      <c r="AE8343" t="s">
        <v>4655</v>
      </c>
      <c r="AF8343" t="s">
        <v>4563</v>
      </c>
      <c r="AG8343" t="s">
        <v>4564</v>
      </c>
      <c r="AH8343">
        <v>89508</v>
      </c>
      <c r="AI8343" t="s">
        <v>38319</v>
      </c>
      <c r="AJ8343" t="s">
        <v>2050</v>
      </c>
      <c r="AK8343" t="s">
        <v>38320</v>
      </c>
      <c r="AL8343" s="13" t="s">
        <v>1892</v>
      </c>
      <c r="AM8343" s="14">
        <v>1</v>
      </c>
      <c r="AN8343" s="15" t="s">
        <v>2051</v>
      </c>
    </row>
    <row r="8344" spans="1:40" x14ac:dyDescent="0.3">
      <c r="A8344" s="10" t="str">
        <f>HYPERLINK("http://www.washoecounty.gov/assessor/cama/?parid=556-362-02&amp;CardNumber=1","556-362-02")</f>
        <v>556-362-02</v>
      </c>
      <c r="B8344" t="s">
        <v>4655</v>
      </c>
      <c r="C8344" t="s">
        <v>38321</v>
      </c>
      <c r="D8344" s="1">
        <v>40499</v>
      </c>
      <c r="E8344" s="2">
        <v>130000</v>
      </c>
      <c r="F8344" t="s">
        <v>4553</v>
      </c>
      <c r="G8344" s="17" t="str">
        <f>HYPERLINK("https://www.washoecounty.gov/assessor/cama/?command=sales&amp;parid=55636202","3943909")</f>
        <v>3943909</v>
      </c>
      <c r="H8344" t="s">
        <v>775</v>
      </c>
      <c r="I8344">
        <v>2005</v>
      </c>
      <c r="J8344">
        <v>2005</v>
      </c>
      <c r="K8344" t="s">
        <v>4554</v>
      </c>
      <c r="L8344" t="s">
        <v>4555</v>
      </c>
      <c r="M8344" s="2">
        <v>1696</v>
      </c>
      <c r="N8344" t="s">
        <v>4556</v>
      </c>
      <c r="O8344">
        <v>3</v>
      </c>
      <c r="P8344">
        <v>2</v>
      </c>
      <c r="Q8344">
        <v>0</v>
      </c>
      <c r="R8344" t="s">
        <v>5281</v>
      </c>
      <c r="S8344" t="s">
        <v>4558</v>
      </c>
      <c r="T8344" t="s">
        <v>4559</v>
      </c>
      <c r="U8344" t="s">
        <v>4560</v>
      </c>
      <c r="V8344" s="2">
        <v>576</v>
      </c>
      <c r="W8344" t="s">
        <v>4655</v>
      </c>
      <c r="X8344" s="2">
        <v>0</v>
      </c>
      <c r="Y8344">
        <v>20</v>
      </c>
      <c r="Z8344" t="s">
        <v>5508</v>
      </c>
      <c r="AA8344" s="3">
        <v>0.17623966932296753</v>
      </c>
      <c r="AB8344" t="s">
        <v>38322</v>
      </c>
      <c r="AC8344" t="s">
        <v>4562</v>
      </c>
      <c r="AD8344" t="s">
        <v>38321</v>
      </c>
      <c r="AE8344" t="s">
        <v>4655</v>
      </c>
      <c r="AF8344" t="s">
        <v>4563</v>
      </c>
      <c r="AG8344" t="s">
        <v>4564</v>
      </c>
      <c r="AH8344">
        <v>89508</v>
      </c>
      <c r="AI8344" t="s">
        <v>1602</v>
      </c>
      <c r="AJ8344" t="s">
        <v>2050</v>
      </c>
      <c r="AK8344" t="s">
        <v>38323</v>
      </c>
      <c r="AL8344" s="13" t="s">
        <v>1892</v>
      </c>
      <c r="AM8344">
        <v>1</v>
      </c>
      <c r="AN8344" s="15" t="s">
        <v>2051</v>
      </c>
    </row>
    <row r="8345" spans="1:40" x14ac:dyDescent="0.3">
      <c r="A8345" s="10" t="str">
        <f>HYPERLINK("http://www.washoecounty.gov/assessor/cama/?parid=556-362-13&amp;CardNumber=1","556-362-13")</f>
        <v>556-362-13</v>
      </c>
      <c r="B8345" t="s">
        <v>4655</v>
      </c>
      <c r="C8345" t="s">
        <v>38324</v>
      </c>
      <c r="D8345" s="1">
        <v>40225</v>
      </c>
      <c r="E8345" s="2">
        <v>130000</v>
      </c>
      <c r="F8345" t="s">
        <v>4567</v>
      </c>
      <c r="G8345" s="17" t="str">
        <f>HYPERLINK("https://www.washoecounty.gov/assessor/cama/?command=sales&amp;parid=55636213","3849490")</f>
        <v>3849490</v>
      </c>
      <c r="H8345" t="s">
        <v>775</v>
      </c>
      <c r="I8345">
        <v>2005</v>
      </c>
      <c r="J8345">
        <v>2005</v>
      </c>
      <c r="K8345" t="s">
        <v>4554</v>
      </c>
      <c r="L8345" t="s">
        <v>4555</v>
      </c>
      <c r="M8345" s="2">
        <v>1792</v>
      </c>
      <c r="N8345" t="s">
        <v>4556</v>
      </c>
      <c r="O8345">
        <v>4</v>
      </c>
      <c r="P8345">
        <v>2</v>
      </c>
      <c r="Q8345">
        <v>0</v>
      </c>
      <c r="R8345" t="s">
        <v>5281</v>
      </c>
      <c r="S8345" t="s">
        <v>4558</v>
      </c>
      <c r="T8345" t="s">
        <v>4559</v>
      </c>
      <c r="U8345" t="s">
        <v>4560</v>
      </c>
      <c r="V8345" s="2">
        <v>480</v>
      </c>
      <c r="W8345" t="s">
        <v>4655</v>
      </c>
      <c r="X8345" s="2">
        <v>0</v>
      </c>
      <c r="Y8345">
        <v>20</v>
      </c>
      <c r="Z8345" t="s">
        <v>5508</v>
      </c>
      <c r="AA8345" s="3">
        <v>0.19680899381637601</v>
      </c>
      <c r="AB8345" t="s">
        <v>38325</v>
      </c>
      <c r="AC8345" t="s">
        <v>4562</v>
      </c>
      <c r="AD8345" t="s">
        <v>38324</v>
      </c>
      <c r="AE8345" t="s">
        <v>4655</v>
      </c>
      <c r="AF8345" t="s">
        <v>4563</v>
      </c>
      <c r="AG8345" t="s">
        <v>4564</v>
      </c>
      <c r="AH8345">
        <v>89508</v>
      </c>
      <c r="AI8345" t="s">
        <v>38326</v>
      </c>
      <c r="AJ8345" t="s">
        <v>2050</v>
      </c>
      <c r="AK8345" t="s">
        <v>38327</v>
      </c>
      <c r="AL8345" s="13" t="s">
        <v>1892</v>
      </c>
      <c r="AM8345">
        <v>1</v>
      </c>
      <c r="AN8345" s="15" t="s">
        <v>2051</v>
      </c>
    </row>
    <row r="8346" spans="1:40" x14ac:dyDescent="0.3">
      <c r="A8346" s="10" t="str">
        <f>HYPERLINK("http://www.washoecounty.gov/assessor/cama/?parid=556-362-17&amp;CardNumber=1","556-362-17")</f>
        <v>556-362-17</v>
      </c>
      <c r="B8346" t="s">
        <v>4655</v>
      </c>
      <c r="C8346" t="s">
        <v>38328</v>
      </c>
      <c r="D8346" s="1">
        <v>40248</v>
      </c>
      <c r="E8346" s="2">
        <v>143250</v>
      </c>
      <c r="F8346" t="s">
        <v>4567</v>
      </c>
      <c r="G8346" s="17" t="str">
        <f>HYPERLINK("https://www.washoecounty.gov/assessor/cama/?command=sales&amp;parid=55636217","3858517")</f>
        <v>3858517</v>
      </c>
      <c r="H8346" t="s">
        <v>775</v>
      </c>
      <c r="I8346">
        <v>2004</v>
      </c>
      <c r="J8346">
        <v>2004</v>
      </c>
      <c r="K8346" t="s">
        <v>4554</v>
      </c>
      <c r="L8346" t="s">
        <v>3974</v>
      </c>
      <c r="M8346" s="2">
        <v>2712</v>
      </c>
      <c r="N8346" t="s">
        <v>4556</v>
      </c>
      <c r="O8346">
        <v>5</v>
      </c>
      <c r="P8346">
        <v>2</v>
      </c>
      <c r="Q8346">
        <v>1</v>
      </c>
      <c r="R8346" t="s">
        <v>5281</v>
      </c>
      <c r="S8346" t="s">
        <v>4558</v>
      </c>
      <c r="T8346" t="s">
        <v>4559</v>
      </c>
      <c r="U8346" t="s">
        <v>5631</v>
      </c>
      <c r="V8346" s="2">
        <v>720</v>
      </c>
      <c r="W8346" t="s">
        <v>4655</v>
      </c>
      <c r="X8346" s="2">
        <v>0</v>
      </c>
      <c r="Y8346">
        <v>20</v>
      </c>
      <c r="Z8346" t="s">
        <v>5508</v>
      </c>
      <c r="AA8346" s="3">
        <v>0.26531222462654103</v>
      </c>
      <c r="AB8346" t="s">
        <v>38329</v>
      </c>
      <c r="AC8346" t="s">
        <v>4562</v>
      </c>
      <c r="AD8346" t="s">
        <v>38328</v>
      </c>
      <c r="AE8346" t="s">
        <v>4655</v>
      </c>
      <c r="AF8346" t="s">
        <v>4563</v>
      </c>
      <c r="AG8346" t="s">
        <v>4564</v>
      </c>
      <c r="AH8346">
        <v>89508</v>
      </c>
      <c r="AI8346" t="s">
        <v>38330</v>
      </c>
      <c r="AJ8346" t="s">
        <v>2050</v>
      </c>
      <c r="AK8346" t="s">
        <v>38331</v>
      </c>
      <c r="AL8346" s="13" t="s">
        <v>1892</v>
      </c>
      <c r="AM8346">
        <v>1</v>
      </c>
      <c r="AN8346" s="15" t="s">
        <v>2051</v>
      </c>
    </row>
    <row r="8347" spans="1:40" x14ac:dyDescent="0.3">
      <c r="A8347" s="10" t="str">
        <f>HYPERLINK("http://www.washoecounty.gov/assessor/cama/?parid=556-362-21&amp;CardNumber=1","556-362-21")</f>
        <v>556-362-21</v>
      </c>
      <c r="B8347" t="s">
        <v>4655</v>
      </c>
      <c r="C8347" t="s">
        <v>38332</v>
      </c>
      <c r="D8347" s="1">
        <v>40284</v>
      </c>
      <c r="E8347" s="2">
        <v>145900</v>
      </c>
      <c r="F8347" t="s">
        <v>4553</v>
      </c>
      <c r="G8347" s="17" t="str">
        <f>HYPERLINK("https://www.washoecounty.gov/assessor/cama/?command=sales&amp;parid=55636221","3871812")</f>
        <v>3871812</v>
      </c>
      <c r="H8347" t="s">
        <v>775</v>
      </c>
      <c r="I8347">
        <v>2005</v>
      </c>
      <c r="J8347">
        <v>2005</v>
      </c>
      <c r="K8347" t="s">
        <v>4554</v>
      </c>
      <c r="L8347" t="s">
        <v>4555</v>
      </c>
      <c r="M8347" s="2">
        <v>1792</v>
      </c>
      <c r="N8347" t="s">
        <v>4556</v>
      </c>
      <c r="O8347">
        <v>4</v>
      </c>
      <c r="P8347">
        <v>2</v>
      </c>
      <c r="Q8347">
        <v>0</v>
      </c>
      <c r="R8347" t="s">
        <v>4557</v>
      </c>
      <c r="S8347" t="s">
        <v>4558</v>
      </c>
      <c r="T8347" t="s">
        <v>4559</v>
      </c>
      <c r="U8347" t="s">
        <v>4560</v>
      </c>
      <c r="V8347" s="2">
        <v>480</v>
      </c>
      <c r="W8347" t="s">
        <v>4655</v>
      </c>
      <c r="X8347" s="2">
        <v>0</v>
      </c>
      <c r="Y8347">
        <v>20</v>
      </c>
      <c r="Z8347" t="s">
        <v>5508</v>
      </c>
      <c r="AA8347" s="3">
        <v>0.19361799955368042</v>
      </c>
      <c r="AB8347" t="s">
        <v>38333</v>
      </c>
      <c r="AC8347" t="s">
        <v>4562</v>
      </c>
      <c r="AD8347" t="s">
        <v>38334</v>
      </c>
      <c r="AE8347" t="s">
        <v>4655</v>
      </c>
      <c r="AF8347" t="s">
        <v>3114</v>
      </c>
      <c r="AG8347" t="s">
        <v>4564</v>
      </c>
      <c r="AH8347" t="s">
        <v>2330</v>
      </c>
      <c r="AI8347" t="s">
        <v>4903</v>
      </c>
      <c r="AJ8347" t="s">
        <v>2050</v>
      </c>
      <c r="AK8347" t="s">
        <v>38335</v>
      </c>
      <c r="AL8347" s="13" t="s">
        <v>1892</v>
      </c>
      <c r="AM8347">
        <v>1</v>
      </c>
      <c r="AN8347" s="15" t="s">
        <v>2051</v>
      </c>
    </row>
    <row r="8348" spans="1:40" x14ac:dyDescent="0.3">
      <c r="A8348" s="10" t="str">
        <f>HYPERLINK("http://www.washoecounty.gov/assessor/cama/?parid=556-370-15&amp;CardNumber=1","556-370-15")</f>
        <v>556-370-15</v>
      </c>
      <c r="B8348" t="s">
        <v>4655</v>
      </c>
      <c r="C8348" t="s">
        <v>38336</v>
      </c>
      <c r="D8348" s="1">
        <v>40219</v>
      </c>
      <c r="E8348" s="2">
        <v>143000</v>
      </c>
      <c r="F8348" t="s">
        <v>4567</v>
      </c>
      <c r="G8348" s="17" t="str">
        <f>HYPERLINK("https://www.washoecounty.gov/assessor/cama/?command=sales&amp;parid=55637015","3847783")</f>
        <v>3847783</v>
      </c>
      <c r="H8348" t="s">
        <v>775</v>
      </c>
      <c r="I8348">
        <v>2005</v>
      </c>
      <c r="J8348">
        <v>2005</v>
      </c>
      <c r="K8348" t="s">
        <v>4554</v>
      </c>
      <c r="L8348" t="s">
        <v>4555</v>
      </c>
      <c r="M8348" s="2">
        <v>1777</v>
      </c>
      <c r="N8348" t="s">
        <v>4556</v>
      </c>
      <c r="O8348">
        <v>3</v>
      </c>
      <c r="P8348">
        <v>2</v>
      </c>
      <c r="Q8348">
        <v>0</v>
      </c>
      <c r="R8348" t="s">
        <v>5281</v>
      </c>
      <c r="S8348" t="s">
        <v>4558</v>
      </c>
      <c r="T8348" t="s">
        <v>4559</v>
      </c>
      <c r="U8348" t="s">
        <v>4560</v>
      </c>
      <c r="V8348" s="2">
        <v>783</v>
      </c>
      <c r="W8348" t="s">
        <v>4655</v>
      </c>
      <c r="X8348" s="2">
        <v>0</v>
      </c>
      <c r="Y8348">
        <v>20</v>
      </c>
      <c r="Z8348" t="s">
        <v>5508</v>
      </c>
      <c r="AA8348" s="3">
        <v>0.42688247561454773</v>
      </c>
      <c r="AB8348" t="s">
        <v>38337</v>
      </c>
      <c r="AC8348" t="s">
        <v>4562</v>
      </c>
      <c r="AD8348" t="s">
        <v>38338</v>
      </c>
      <c r="AE8348" t="s">
        <v>4655</v>
      </c>
      <c r="AF8348" t="s">
        <v>38339</v>
      </c>
      <c r="AG8348" t="s">
        <v>1539</v>
      </c>
      <c r="AH8348" t="s">
        <v>38340</v>
      </c>
      <c r="AI8348" t="s">
        <v>38341</v>
      </c>
      <c r="AJ8348" t="s">
        <v>2050</v>
      </c>
      <c r="AK8348" t="s">
        <v>38342</v>
      </c>
      <c r="AL8348" s="13" t="s">
        <v>1892</v>
      </c>
      <c r="AM8348" s="14">
        <v>1</v>
      </c>
      <c r="AN8348" s="15" t="s">
        <v>2051</v>
      </c>
    </row>
    <row r="8349" spans="1:40" x14ac:dyDescent="0.3">
      <c r="A8349" s="10" t="str">
        <f>HYPERLINK("http://www.washoecounty.gov/assessor/cama/?parid=556-370-17&amp;CardNumber=1","556-370-17")</f>
        <v>556-370-17</v>
      </c>
      <c r="B8349" t="s">
        <v>4655</v>
      </c>
      <c r="C8349" t="s">
        <v>38343</v>
      </c>
      <c r="D8349" s="1">
        <v>40431</v>
      </c>
      <c r="E8349" s="2">
        <v>125000</v>
      </c>
      <c r="F8349" t="s">
        <v>4567</v>
      </c>
      <c r="G8349" s="17" t="str">
        <f>HYPERLINK("https://www.washoecounty.gov/assessor/cama/?command=sales&amp;parid=55637017","3921158")</f>
        <v>3921158</v>
      </c>
      <c r="H8349" t="s">
        <v>775</v>
      </c>
      <c r="I8349">
        <v>2005</v>
      </c>
      <c r="J8349">
        <v>2005</v>
      </c>
      <c r="K8349" t="s">
        <v>4554</v>
      </c>
      <c r="L8349" t="s">
        <v>4555</v>
      </c>
      <c r="M8349" s="2">
        <v>1568</v>
      </c>
      <c r="N8349" t="s">
        <v>4556</v>
      </c>
      <c r="O8349">
        <v>4</v>
      </c>
      <c r="P8349">
        <v>2</v>
      </c>
      <c r="Q8349">
        <v>0</v>
      </c>
      <c r="R8349" t="s">
        <v>4557</v>
      </c>
      <c r="S8349" t="s">
        <v>4558</v>
      </c>
      <c r="T8349" t="s">
        <v>4559</v>
      </c>
      <c r="U8349" t="s">
        <v>4560</v>
      </c>
      <c r="V8349" s="2">
        <v>480</v>
      </c>
      <c r="W8349" t="s">
        <v>4655</v>
      </c>
      <c r="X8349" s="2">
        <v>0</v>
      </c>
      <c r="Y8349">
        <v>20</v>
      </c>
      <c r="Z8349" t="s">
        <v>5508</v>
      </c>
      <c r="AA8349" s="3">
        <v>0.18358585238456726</v>
      </c>
      <c r="AB8349" t="s">
        <v>38344</v>
      </c>
      <c r="AC8349" t="s">
        <v>4562</v>
      </c>
      <c r="AD8349" t="s">
        <v>38343</v>
      </c>
      <c r="AE8349" t="s">
        <v>4655</v>
      </c>
      <c r="AF8349" t="s">
        <v>4563</v>
      </c>
      <c r="AG8349" t="s">
        <v>4564</v>
      </c>
      <c r="AH8349">
        <v>89508</v>
      </c>
      <c r="AI8349" t="s">
        <v>38345</v>
      </c>
      <c r="AJ8349" t="s">
        <v>2050</v>
      </c>
      <c r="AK8349" t="s">
        <v>38346</v>
      </c>
      <c r="AL8349" s="13" t="s">
        <v>1892</v>
      </c>
      <c r="AM8349" s="14">
        <v>1</v>
      </c>
      <c r="AN8349" s="15" t="s">
        <v>2051</v>
      </c>
    </row>
    <row r="8350" spans="1:40" x14ac:dyDescent="0.3">
      <c r="A8350" s="10" t="str">
        <f>HYPERLINK("http://www.washoecounty.gov/assessor/cama/?parid=556-401-11&amp;CardNumber=1","556-401-11")</f>
        <v>556-401-11</v>
      </c>
      <c r="B8350" t="s">
        <v>4655</v>
      </c>
      <c r="C8350" t="s">
        <v>38347</v>
      </c>
      <c r="D8350" s="1">
        <v>40263</v>
      </c>
      <c r="E8350" s="2">
        <v>145000</v>
      </c>
      <c r="F8350" t="s">
        <v>4553</v>
      </c>
      <c r="G8350" s="17" t="str">
        <f>HYPERLINK("https://www.washoecounty.gov/assessor/cama/?command=sales&amp;parid=55640111","3864242")</f>
        <v>3864242</v>
      </c>
      <c r="H8350" t="s">
        <v>652</v>
      </c>
      <c r="I8350">
        <v>2006</v>
      </c>
      <c r="J8350">
        <v>2006</v>
      </c>
      <c r="K8350" t="s">
        <v>4554</v>
      </c>
      <c r="L8350" t="s">
        <v>4555</v>
      </c>
      <c r="M8350" s="2">
        <v>1792</v>
      </c>
      <c r="N8350" t="s">
        <v>4556</v>
      </c>
      <c r="O8350">
        <v>4</v>
      </c>
      <c r="P8350">
        <v>2</v>
      </c>
      <c r="Q8350">
        <v>0</v>
      </c>
      <c r="R8350" t="s">
        <v>4557</v>
      </c>
      <c r="S8350" t="s">
        <v>4558</v>
      </c>
      <c r="T8350" t="s">
        <v>4559</v>
      </c>
      <c r="U8350" t="s">
        <v>4560</v>
      </c>
      <c r="V8350" s="2">
        <v>480</v>
      </c>
      <c r="W8350" t="s">
        <v>4655</v>
      </c>
      <c r="X8350" s="2">
        <v>0</v>
      </c>
      <c r="Y8350">
        <v>20</v>
      </c>
      <c r="Z8350" t="s">
        <v>5508</v>
      </c>
      <c r="AA8350" s="3">
        <v>0.162557393312454</v>
      </c>
      <c r="AB8350" t="s">
        <v>38348</v>
      </c>
      <c r="AC8350" t="s">
        <v>4562</v>
      </c>
      <c r="AD8350" t="s">
        <v>38347</v>
      </c>
      <c r="AE8350" t="s">
        <v>4655</v>
      </c>
      <c r="AF8350" t="s">
        <v>4563</v>
      </c>
      <c r="AG8350" t="s">
        <v>4564</v>
      </c>
      <c r="AH8350">
        <v>89508</v>
      </c>
      <c r="AI8350" t="s">
        <v>6198</v>
      </c>
      <c r="AJ8350" t="s">
        <v>653</v>
      </c>
      <c r="AK8350" t="s">
        <v>38349</v>
      </c>
      <c r="AL8350" s="13" t="s">
        <v>1892</v>
      </c>
      <c r="AM8350">
        <v>1</v>
      </c>
      <c r="AN8350" s="15" t="s">
        <v>2051</v>
      </c>
    </row>
    <row r="8351" spans="1:40" x14ac:dyDescent="0.3">
      <c r="A8351" s="10" t="str">
        <f>HYPERLINK("http://www.washoecounty.gov/assessor/cama/?parid=556-401-12&amp;CardNumber=1","556-401-12")</f>
        <v>556-401-12</v>
      </c>
      <c r="B8351" t="s">
        <v>4655</v>
      </c>
      <c r="C8351" t="s">
        <v>38350</v>
      </c>
      <c r="D8351" s="1">
        <v>40512</v>
      </c>
      <c r="E8351" s="2">
        <v>127000</v>
      </c>
      <c r="F8351" t="s">
        <v>4567</v>
      </c>
      <c r="G8351" s="17" t="str">
        <f>HYPERLINK("https://www.washoecounty.gov/assessor/cama/?command=sales&amp;parid=55640112","3947839")</f>
        <v>3947839</v>
      </c>
      <c r="H8351" t="s">
        <v>652</v>
      </c>
      <c r="I8351">
        <v>2006</v>
      </c>
      <c r="J8351">
        <v>2006</v>
      </c>
      <c r="K8351" t="s">
        <v>4554</v>
      </c>
      <c r="L8351" t="s">
        <v>4555</v>
      </c>
      <c r="M8351" s="2">
        <v>1696</v>
      </c>
      <c r="N8351" t="s">
        <v>4556</v>
      </c>
      <c r="O8351">
        <v>3</v>
      </c>
      <c r="P8351">
        <v>2</v>
      </c>
      <c r="Q8351">
        <v>0</v>
      </c>
      <c r="R8351" t="s">
        <v>4557</v>
      </c>
      <c r="S8351" t="s">
        <v>4558</v>
      </c>
      <c r="T8351" t="s">
        <v>4559</v>
      </c>
      <c r="U8351" t="s">
        <v>4560</v>
      </c>
      <c r="V8351" s="2">
        <v>576</v>
      </c>
      <c r="W8351" t="s">
        <v>4655</v>
      </c>
      <c r="X8351" s="2">
        <v>0</v>
      </c>
      <c r="Y8351">
        <v>20</v>
      </c>
      <c r="Z8351" t="s">
        <v>5508</v>
      </c>
      <c r="AA8351" s="3">
        <v>0.18774104118347201</v>
      </c>
      <c r="AB8351" t="s">
        <v>38351</v>
      </c>
      <c r="AC8351" t="s">
        <v>4562</v>
      </c>
      <c r="AD8351" t="s">
        <v>38350</v>
      </c>
      <c r="AE8351" t="s">
        <v>4655</v>
      </c>
      <c r="AF8351" t="s">
        <v>4563</v>
      </c>
      <c r="AG8351" t="s">
        <v>4564</v>
      </c>
      <c r="AH8351">
        <v>89508</v>
      </c>
      <c r="AI8351" t="s">
        <v>38352</v>
      </c>
      <c r="AJ8351" t="s">
        <v>653</v>
      </c>
      <c r="AK8351" t="s">
        <v>38353</v>
      </c>
      <c r="AL8351" s="13" t="s">
        <v>1892</v>
      </c>
      <c r="AM8351" s="14">
        <v>1</v>
      </c>
      <c r="AN8351" s="15" t="s">
        <v>2051</v>
      </c>
    </row>
    <row r="8352" spans="1:40" x14ac:dyDescent="0.3">
      <c r="A8352" s="10" t="str">
        <f>HYPERLINK("http://www.washoecounty.gov/assessor/cama/?parid=556-411-21&amp;CardNumber=1","556-411-21")</f>
        <v>556-411-21</v>
      </c>
      <c r="B8352" t="s">
        <v>4655</v>
      </c>
      <c r="C8352" t="s">
        <v>38354</v>
      </c>
      <c r="D8352" s="1">
        <v>40323</v>
      </c>
      <c r="E8352" s="2">
        <v>145000</v>
      </c>
      <c r="F8352" t="s">
        <v>4553</v>
      </c>
      <c r="G8352" s="17" t="str">
        <f>HYPERLINK("https://www.washoecounty.gov/assessor/cama/?command=sales&amp;parid=55641121","3884894")</f>
        <v>3884894</v>
      </c>
      <c r="H8352" t="s">
        <v>652</v>
      </c>
      <c r="I8352">
        <v>2005</v>
      </c>
      <c r="J8352">
        <v>2005</v>
      </c>
      <c r="K8352" t="s">
        <v>4554</v>
      </c>
      <c r="L8352" t="s">
        <v>4555</v>
      </c>
      <c r="M8352" s="2">
        <v>1777</v>
      </c>
      <c r="N8352" t="s">
        <v>4556</v>
      </c>
      <c r="O8352">
        <v>3</v>
      </c>
      <c r="P8352">
        <v>2</v>
      </c>
      <c r="Q8352">
        <v>0</v>
      </c>
      <c r="R8352" t="s">
        <v>5281</v>
      </c>
      <c r="S8352" t="s">
        <v>4558</v>
      </c>
      <c r="T8352" t="s">
        <v>4559</v>
      </c>
      <c r="U8352" t="s">
        <v>4560</v>
      </c>
      <c r="V8352" s="2">
        <v>783</v>
      </c>
      <c r="W8352" t="s">
        <v>4655</v>
      </c>
      <c r="X8352" s="2">
        <v>0</v>
      </c>
      <c r="Y8352">
        <v>20</v>
      </c>
      <c r="Z8352" t="s">
        <v>5508</v>
      </c>
      <c r="AA8352" s="3">
        <v>0.157254368066788</v>
      </c>
      <c r="AB8352" t="s">
        <v>38355</v>
      </c>
      <c r="AC8352" t="s">
        <v>4562</v>
      </c>
      <c r="AD8352" t="s">
        <v>38356</v>
      </c>
      <c r="AE8352" t="s">
        <v>4655</v>
      </c>
      <c r="AF8352" t="s">
        <v>4563</v>
      </c>
      <c r="AG8352" t="s">
        <v>4564</v>
      </c>
      <c r="AH8352">
        <v>89508</v>
      </c>
      <c r="AI8352" t="s">
        <v>4145</v>
      </c>
      <c r="AJ8352" t="s">
        <v>653</v>
      </c>
      <c r="AK8352" t="s">
        <v>38357</v>
      </c>
      <c r="AL8352" s="13" t="s">
        <v>1892</v>
      </c>
      <c r="AM8352">
        <v>1</v>
      </c>
      <c r="AN8352" s="15" t="s">
        <v>2051</v>
      </c>
    </row>
    <row r="8353" spans="1:40" x14ac:dyDescent="0.3">
      <c r="A8353" s="10" t="str">
        <f>HYPERLINK("http://www.washoecounty.gov/assessor/cama/?parid=556-411-23&amp;CardNumber=1","556-411-23")</f>
        <v>556-411-23</v>
      </c>
      <c r="B8353" t="s">
        <v>4655</v>
      </c>
      <c r="C8353" t="s">
        <v>38358</v>
      </c>
      <c r="D8353" s="1">
        <v>40347</v>
      </c>
      <c r="E8353" s="2">
        <v>140000</v>
      </c>
      <c r="F8353" t="s">
        <v>4567</v>
      </c>
      <c r="G8353" s="17" t="str">
        <f>HYPERLINK("https://www.washoecounty.gov/assessor/cama/?command=sales&amp;parid=55641123","3893532")</f>
        <v>3893532</v>
      </c>
      <c r="H8353" t="s">
        <v>652</v>
      </c>
      <c r="I8353">
        <v>2005</v>
      </c>
      <c r="J8353">
        <v>2005</v>
      </c>
      <c r="K8353" t="s">
        <v>4554</v>
      </c>
      <c r="L8353" t="s">
        <v>4555</v>
      </c>
      <c r="M8353" s="2">
        <v>1632</v>
      </c>
      <c r="N8353" t="s">
        <v>4556</v>
      </c>
      <c r="O8353">
        <v>3</v>
      </c>
      <c r="P8353">
        <v>2</v>
      </c>
      <c r="Q8353">
        <v>0</v>
      </c>
      <c r="R8353" t="s">
        <v>4557</v>
      </c>
      <c r="S8353" t="s">
        <v>4558</v>
      </c>
      <c r="T8353" t="s">
        <v>4559</v>
      </c>
      <c r="U8353" t="s">
        <v>4560</v>
      </c>
      <c r="V8353" s="2">
        <v>480</v>
      </c>
      <c r="W8353" t="s">
        <v>4655</v>
      </c>
      <c r="X8353" s="2">
        <v>0</v>
      </c>
      <c r="Y8353">
        <v>20</v>
      </c>
      <c r="Z8353" t="s">
        <v>5508</v>
      </c>
      <c r="AA8353" s="3">
        <v>0.138888895511627</v>
      </c>
      <c r="AB8353" t="s">
        <v>38359</v>
      </c>
      <c r="AC8353" t="s">
        <v>4575</v>
      </c>
      <c r="AD8353" t="s">
        <v>38360</v>
      </c>
      <c r="AE8353" t="s">
        <v>4655</v>
      </c>
      <c r="AF8353" t="s">
        <v>4563</v>
      </c>
      <c r="AG8353" t="s">
        <v>4564</v>
      </c>
      <c r="AH8353">
        <v>89508</v>
      </c>
      <c r="AI8353" t="s">
        <v>38361</v>
      </c>
      <c r="AJ8353" t="s">
        <v>653</v>
      </c>
      <c r="AK8353" t="s">
        <v>38362</v>
      </c>
      <c r="AL8353" s="13" t="s">
        <v>1892</v>
      </c>
      <c r="AM8353" s="14">
        <v>1</v>
      </c>
      <c r="AN8353" s="15" t="s">
        <v>2051</v>
      </c>
    </row>
    <row r="8354" spans="1:40" x14ac:dyDescent="0.3">
      <c r="A8354" s="10" t="str">
        <f>HYPERLINK("http://www.washoecounty.gov/assessor/cama/?parid=556-411-43&amp;CardNumber=1","556-411-43")</f>
        <v>556-411-43</v>
      </c>
      <c r="B8354" t="s">
        <v>4655</v>
      </c>
      <c r="C8354" t="s">
        <v>38363</v>
      </c>
      <c r="D8354" s="1">
        <v>40319</v>
      </c>
      <c r="E8354" s="2">
        <v>142000</v>
      </c>
      <c r="F8354" t="s">
        <v>4553</v>
      </c>
      <c r="G8354" s="17" t="str">
        <f>HYPERLINK("https://www.washoecounty.gov/assessor/cama/?command=sales&amp;parid=55641143","3883981")</f>
        <v>3883981</v>
      </c>
      <c r="H8354" t="s">
        <v>652</v>
      </c>
      <c r="I8354">
        <v>2005</v>
      </c>
      <c r="J8354">
        <v>2005</v>
      </c>
      <c r="K8354" t="s">
        <v>4554</v>
      </c>
      <c r="L8354" t="s">
        <v>4555</v>
      </c>
      <c r="M8354" s="2">
        <v>1792</v>
      </c>
      <c r="N8354" t="s">
        <v>4556</v>
      </c>
      <c r="O8354">
        <v>4</v>
      </c>
      <c r="P8354">
        <v>2</v>
      </c>
      <c r="Q8354">
        <v>0</v>
      </c>
      <c r="R8354" t="s">
        <v>4557</v>
      </c>
      <c r="S8354" t="s">
        <v>4558</v>
      </c>
      <c r="T8354" t="s">
        <v>4559</v>
      </c>
      <c r="U8354" t="s">
        <v>4560</v>
      </c>
      <c r="V8354" s="2">
        <v>480</v>
      </c>
      <c r="W8354" t="s">
        <v>4655</v>
      </c>
      <c r="X8354" s="2">
        <v>0</v>
      </c>
      <c r="Y8354">
        <v>20</v>
      </c>
      <c r="Z8354" t="s">
        <v>5508</v>
      </c>
      <c r="AA8354" s="3">
        <v>0.14648760855197901</v>
      </c>
      <c r="AB8354" t="s">
        <v>38364</v>
      </c>
      <c r="AC8354" t="s">
        <v>4562</v>
      </c>
      <c r="AD8354" t="s">
        <v>38363</v>
      </c>
      <c r="AE8354" t="s">
        <v>4655</v>
      </c>
      <c r="AF8354" t="s">
        <v>3114</v>
      </c>
      <c r="AG8354" t="s">
        <v>4564</v>
      </c>
      <c r="AH8354">
        <v>89508</v>
      </c>
      <c r="AI8354" t="s">
        <v>4903</v>
      </c>
      <c r="AJ8354" t="s">
        <v>653</v>
      </c>
      <c r="AK8354" t="s">
        <v>38365</v>
      </c>
      <c r="AL8354" s="13" t="s">
        <v>1892</v>
      </c>
      <c r="AM8354">
        <v>1</v>
      </c>
      <c r="AN8354" s="15" t="s">
        <v>2051</v>
      </c>
    </row>
    <row r="8355" spans="1:40" x14ac:dyDescent="0.3">
      <c r="A8355" s="10" t="str">
        <f>HYPERLINK("http://www.washoecounty.gov/assessor/cama/?parid=556-412-13&amp;CardNumber=1","556-412-13")</f>
        <v>556-412-13</v>
      </c>
      <c r="B8355" t="s">
        <v>4655</v>
      </c>
      <c r="C8355" t="s">
        <v>38366</v>
      </c>
      <c r="D8355" s="1">
        <v>40357</v>
      </c>
      <c r="E8355" s="2">
        <v>105000</v>
      </c>
      <c r="F8355" t="s">
        <v>4567</v>
      </c>
      <c r="G8355" s="17" t="str">
        <f>HYPERLINK("https://www.washoecounty.gov/assessor/cama/?command=sales&amp;parid=55641213","3895940")</f>
        <v>3895940</v>
      </c>
      <c r="H8355" t="s">
        <v>652</v>
      </c>
      <c r="I8355">
        <v>2005</v>
      </c>
      <c r="J8355">
        <v>2005</v>
      </c>
      <c r="K8355" t="s">
        <v>4554</v>
      </c>
      <c r="L8355" t="s">
        <v>4555</v>
      </c>
      <c r="M8355" s="2">
        <v>1297</v>
      </c>
      <c r="N8355" t="s">
        <v>4556</v>
      </c>
      <c r="O8355">
        <v>3</v>
      </c>
      <c r="P8355">
        <v>2</v>
      </c>
      <c r="Q8355">
        <v>0</v>
      </c>
      <c r="R8355" t="s">
        <v>5281</v>
      </c>
      <c r="S8355" t="s">
        <v>4558</v>
      </c>
      <c r="T8355" t="s">
        <v>4559</v>
      </c>
      <c r="U8355" t="s">
        <v>4560</v>
      </c>
      <c r="V8355" s="2">
        <v>495</v>
      </c>
      <c r="W8355" t="s">
        <v>4655</v>
      </c>
      <c r="X8355" s="2">
        <v>0</v>
      </c>
      <c r="Y8355">
        <v>20</v>
      </c>
      <c r="Z8355" t="s">
        <v>5508</v>
      </c>
      <c r="AA8355" s="3">
        <v>0.14823232591152199</v>
      </c>
      <c r="AB8355" t="s">
        <v>38367</v>
      </c>
      <c r="AC8355" t="s">
        <v>4562</v>
      </c>
      <c r="AD8355" t="s">
        <v>38368</v>
      </c>
      <c r="AE8355" t="s">
        <v>4655</v>
      </c>
      <c r="AF8355" t="s">
        <v>4563</v>
      </c>
      <c r="AG8355" t="s">
        <v>4564</v>
      </c>
      <c r="AH8355">
        <v>89506</v>
      </c>
      <c r="AI8355" t="s">
        <v>38369</v>
      </c>
      <c r="AJ8355" t="s">
        <v>653</v>
      </c>
      <c r="AK8355" t="s">
        <v>38370</v>
      </c>
      <c r="AL8355" s="13" t="s">
        <v>1892</v>
      </c>
      <c r="AM8355" s="14">
        <v>1</v>
      </c>
      <c r="AN8355" s="15" t="s">
        <v>2051</v>
      </c>
    </row>
    <row r="8356" spans="1:40" x14ac:dyDescent="0.3">
      <c r="A8356" s="10" t="str">
        <f>HYPERLINK("http://www.washoecounty.gov/assessor/cama/?parid=556-412-19&amp;CardNumber=1","556-412-19")</f>
        <v>556-412-19</v>
      </c>
      <c r="B8356" t="s">
        <v>4655</v>
      </c>
      <c r="C8356" t="s">
        <v>38371</v>
      </c>
      <c r="D8356" s="1">
        <v>40542</v>
      </c>
      <c r="E8356" s="2">
        <v>108000</v>
      </c>
      <c r="F8356" t="s">
        <v>4553</v>
      </c>
      <c r="G8356" s="17" t="str">
        <f>HYPERLINK("https://www.washoecounty.gov/assessor/cama/?command=sales&amp;parid=55641219","3959313")</f>
        <v>3959313</v>
      </c>
      <c r="H8356" t="s">
        <v>652</v>
      </c>
      <c r="I8356">
        <v>2005</v>
      </c>
      <c r="J8356">
        <v>2005</v>
      </c>
      <c r="K8356" t="s">
        <v>4554</v>
      </c>
      <c r="L8356" t="s">
        <v>4555</v>
      </c>
      <c r="M8356" s="2">
        <v>1457</v>
      </c>
      <c r="N8356" t="s">
        <v>4556</v>
      </c>
      <c r="O8356">
        <v>3</v>
      </c>
      <c r="P8356">
        <v>2</v>
      </c>
      <c r="Q8356">
        <v>0</v>
      </c>
      <c r="R8356" t="s">
        <v>4557</v>
      </c>
      <c r="S8356" t="s">
        <v>4558</v>
      </c>
      <c r="T8356" t="s">
        <v>4559</v>
      </c>
      <c r="U8356" t="s">
        <v>4560</v>
      </c>
      <c r="V8356" s="2">
        <v>495</v>
      </c>
      <c r="W8356" t="s">
        <v>4655</v>
      </c>
      <c r="X8356" s="2">
        <v>0</v>
      </c>
      <c r="Y8356">
        <v>20</v>
      </c>
      <c r="Z8356" t="s">
        <v>5508</v>
      </c>
      <c r="AA8356" s="3">
        <v>0.18149678409099601</v>
      </c>
      <c r="AB8356" t="s">
        <v>38372</v>
      </c>
      <c r="AC8356" t="s">
        <v>4562</v>
      </c>
      <c r="AD8356" t="s">
        <v>38371</v>
      </c>
      <c r="AE8356" t="s">
        <v>4655</v>
      </c>
      <c r="AF8356" t="s">
        <v>4563</v>
      </c>
      <c r="AG8356" t="s">
        <v>4564</v>
      </c>
      <c r="AH8356">
        <v>89508</v>
      </c>
      <c r="AI8356" t="s">
        <v>4045</v>
      </c>
      <c r="AJ8356" t="s">
        <v>653</v>
      </c>
      <c r="AK8356" t="s">
        <v>38373</v>
      </c>
      <c r="AL8356" s="13" t="s">
        <v>1892</v>
      </c>
      <c r="AM8356" s="14">
        <v>1</v>
      </c>
      <c r="AN8356" s="15" t="s">
        <v>2051</v>
      </c>
    </row>
    <row r="8357" spans="1:40" x14ac:dyDescent="0.3">
      <c r="A8357" s="10" t="str">
        <f>HYPERLINK("http://www.washoecounty.gov/assessor/cama/?parid=556-412-21&amp;CardNumber=1","556-412-21")</f>
        <v>556-412-21</v>
      </c>
      <c r="B8357" t="s">
        <v>4655</v>
      </c>
      <c r="C8357" t="s">
        <v>38374</v>
      </c>
      <c r="D8357" s="1">
        <v>40451</v>
      </c>
      <c r="E8357" s="2">
        <v>133000</v>
      </c>
      <c r="F8357" t="s">
        <v>4553</v>
      </c>
      <c r="G8357" s="17" t="str">
        <f>HYPERLINK("https://www.washoecounty.gov/assessor/cama/?command=sales&amp;parid=55641221","3928367")</f>
        <v>3928367</v>
      </c>
      <c r="H8357" t="s">
        <v>652</v>
      </c>
      <c r="I8357">
        <v>2005</v>
      </c>
      <c r="J8357">
        <v>2005</v>
      </c>
      <c r="K8357" t="s">
        <v>4554</v>
      </c>
      <c r="L8357" t="s">
        <v>4555</v>
      </c>
      <c r="M8357" s="2">
        <v>1632</v>
      </c>
      <c r="N8357" t="s">
        <v>4556</v>
      </c>
      <c r="O8357">
        <v>3</v>
      </c>
      <c r="P8357">
        <v>2</v>
      </c>
      <c r="Q8357">
        <v>0</v>
      </c>
      <c r="R8357" t="s">
        <v>5281</v>
      </c>
      <c r="S8357" t="s">
        <v>4558</v>
      </c>
      <c r="T8357" t="s">
        <v>4559</v>
      </c>
      <c r="U8357" t="s">
        <v>4560</v>
      </c>
      <c r="V8357" s="2">
        <v>480</v>
      </c>
      <c r="W8357" t="s">
        <v>4655</v>
      </c>
      <c r="X8357" s="2">
        <v>0</v>
      </c>
      <c r="Y8357">
        <v>20</v>
      </c>
      <c r="Z8357" t="s">
        <v>5508</v>
      </c>
      <c r="AA8357" s="3">
        <v>0.15022957324981701</v>
      </c>
      <c r="AB8357" t="s">
        <v>38375</v>
      </c>
      <c r="AC8357" t="s">
        <v>4562</v>
      </c>
      <c r="AD8357" t="s">
        <v>38376</v>
      </c>
      <c r="AE8357" t="s">
        <v>4655</v>
      </c>
      <c r="AF8357" t="s">
        <v>4563</v>
      </c>
      <c r="AG8357" t="s">
        <v>4564</v>
      </c>
      <c r="AH8357">
        <v>89509</v>
      </c>
      <c r="AI8357" t="s">
        <v>4655</v>
      </c>
      <c r="AJ8357" t="s">
        <v>653</v>
      </c>
      <c r="AK8357" t="s">
        <v>38377</v>
      </c>
      <c r="AL8357" s="13" t="s">
        <v>1892</v>
      </c>
      <c r="AM8357" s="14">
        <v>1</v>
      </c>
      <c r="AN8357" s="15" t="s">
        <v>2051</v>
      </c>
    </row>
    <row r="8358" spans="1:40" x14ac:dyDescent="0.3">
      <c r="A8358" s="10" t="str">
        <f>HYPERLINK("http://www.washoecounty.gov/assessor/cama/?parid=556-412-24&amp;CardNumber=1","556-412-24")</f>
        <v>556-412-24</v>
      </c>
      <c r="B8358" t="s">
        <v>4655</v>
      </c>
      <c r="C8358" t="s">
        <v>38378</v>
      </c>
      <c r="D8358" s="1">
        <v>40200</v>
      </c>
      <c r="E8358" s="2">
        <v>132000</v>
      </c>
      <c r="F8358" t="s">
        <v>4553</v>
      </c>
      <c r="G8358" s="17" t="str">
        <f>HYPERLINK("https://www.washoecounty.gov/assessor/cama/?command=sales&amp;parid=55641224","3841938")</f>
        <v>3841938</v>
      </c>
      <c r="H8358" t="s">
        <v>652</v>
      </c>
      <c r="I8358">
        <v>2005</v>
      </c>
      <c r="J8358">
        <v>2005</v>
      </c>
      <c r="K8358" t="s">
        <v>4554</v>
      </c>
      <c r="L8358" t="s">
        <v>3974</v>
      </c>
      <c r="M8358" s="2">
        <v>1624</v>
      </c>
      <c r="N8358" t="s">
        <v>4556</v>
      </c>
      <c r="O8358">
        <v>3</v>
      </c>
      <c r="P8358">
        <v>2</v>
      </c>
      <c r="Q8358">
        <v>1</v>
      </c>
      <c r="R8358" t="s">
        <v>4557</v>
      </c>
      <c r="S8358" t="s">
        <v>4558</v>
      </c>
      <c r="T8358" t="s">
        <v>4559</v>
      </c>
      <c r="U8358" t="s">
        <v>4560</v>
      </c>
      <c r="V8358" s="2">
        <v>400</v>
      </c>
      <c r="W8358" t="s">
        <v>4655</v>
      </c>
      <c r="X8358" s="2">
        <v>0</v>
      </c>
      <c r="Y8358">
        <v>20</v>
      </c>
      <c r="Z8358" t="s">
        <v>5508</v>
      </c>
      <c r="AA8358" s="3">
        <v>0.22848944365978241</v>
      </c>
      <c r="AB8358" t="s">
        <v>38379</v>
      </c>
      <c r="AC8358" t="s">
        <v>4562</v>
      </c>
      <c r="AD8358" t="s">
        <v>38378</v>
      </c>
      <c r="AE8358" t="s">
        <v>4655</v>
      </c>
      <c r="AF8358" t="s">
        <v>4563</v>
      </c>
      <c r="AG8358" t="s">
        <v>4564</v>
      </c>
      <c r="AH8358">
        <v>89508</v>
      </c>
      <c r="AI8358" t="s">
        <v>4903</v>
      </c>
      <c r="AJ8358" t="s">
        <v>653</v>
      </c>
      <c r="AK8358" t="s">
        <v>38380</v>
      </c>
      <c r="AL8358" s="13" t="s">
        <v>1892</v>
      </c>
      <c r="AM8358">
        <v>1</v>
      </c>
      <c r="AN8358" s="15" t="s">
        <v>2051</v>
      </c>
    </row>
    <row r="8359" spans="1:40" x14ac:dyDescent="0.3">
      <c r="A8359" s="10" t="str">
        <f>HYPERLINK("http://www.washoecounty.gov/assessor/cama/?parid=556-412-25&amp;CardNumber=1","556-412-25")</f>
        <v>556-412-25</v>
      </c>
      <c r="B8359" t="s">
        <v>4655</v>
      </c>
      <c r="C8359" t="s">
        <v>38381</v>
      </c>
      <c r="D8359" s="1">
        <v>40492</v>
      </c>
      <c r="E8359" s="2">
        <v>158000</v>
      </c>
      <c r="F8359" t="s">
        <v>4567</v>
      </c>
      <c r="G8359" s="17" t="str">
        <f>HYPERLINK("https://www.washoecounty.gov/assessor/cama/?command=sales&amp;parid=55641225","3941971")</f>
        <v>3941971</v>
      </c>
      <c r="H8359" t="s">
        <v>652</v>
      </c>
      <c r="I8359">
        <v>2005</v>
      </c>
      <c r="J8359">
        <v>2005</v>
      </c>
      <c r="K8359" t="s">
        <v>4554</v>
      </c>
      <c r="L8359" t="s">
        <v>3974</v>
      </c>
      <c r="M8359" s="2">
        <v>2016</v>
      </c>
      <c r="N8359" t="s">
        <v>4556</v>
      </c>
      <c r="O8359">
        <v>5</v>
      </c>
      <c r="P8359">
        <v>2</v>
      </c>
      <c r="Q8359">
        <v>1</v>
      </c>
      <c r="R8359" t="s">
        <v>4557</v>
      </c>
      <c r="S8359" t="s">
        <v>4558</v>
      </c>
      <c r="T8359" t="s">
        <v>4559</v>
      </c>
      <c r="U8359" t="s">
        <v>5631</v>
      </c>
      <c r="V8359" s="2">
        <v>480</v>
      </c>
      <c r="W8359" t="s">
        <v>4655</v>
      </c>
      <c r="X8359" s="2">
        <v>0</v>
      </c>
      <c r="Y8359">
        <v>20</v>
      </c>
      <c r="Z8359" t="s">
        <v>5508</v>
      </c>
      <c r="AA8359" s="3">
        <v>0.20876951515674599</v>
      </c>
      <c r="AB8359" t="s">
        <v>38382</v>
      </c>
      <c r="AC8359" t="s">
        <v>4562</v>
      </c>
      <c r="AD8359" t="s">
        <v>38381</v>
      </c>
      <c r="AE8359" t="s">
        <v>4655</v>
      </c>
      <c r="AF8359" t="s">
        <v>4563</v>
      </c>
      <c r="AG8359" t="s">
        <v>4564</v>
      </c>
      <c r="AH8359">
        <v>89508</v>
      </c>
      <c r="AI8359" t="s">
        <v>38383</v>
      </c>
      <c r="AJ8359" t="s">
        <v>653</v>
      </c>
      <c r="AK8359" t="s">
        <v>38384</v>
      </c>
      <c r="AL8359" s="13" t="s">
        <v>1892</v>
      </c>
      <c r="AM8359">
        <v>1</v>
      </c>
      <c r="AN8359" s="15" t="s">
        <v>2051</v>
      </c>
    </row>
    <row r="8360" spans="1:40" x14ac:dyDescent="0.3">
      <c r="A8360" s="10" t="str">
        <f>HYPERLINK("http://www.washoecounty.gov/assessor/cama/?parid=556-412-44&amp;CardNumber=1","556-412-44")</f>
        <v>556-412-44</v>
      </c>
      <c r="B8360" t="s">
        <v>4655</v>
      </c>
      <c r="C8360" t="s">
        <v>38385</v>
      </c>
      <c r="D8360" s="1">
        <v>40326</v>
      </c>
      <c r="E8360" s="2">
        <v>146000</v>
      </c>
      <c r="F8360" t="s">
        <v>4567</v>
      </c>
      <c r="G8360" s="17" t="str">
        <f>HYPERLINK("https://www.washoecounty.gov/assessor/cama/?command=sales&amp;parid=55641244","3886646")</f>
        <v>3886646</v>
      </c>
      <c r="H8360" t="s">
        <v>652</v>
      </c>
      <c r="I8360">
        <v>2005</v>
      </c>
      <c r="J8360">
        <v>2005</v>
      </c>
      <c r="K8360" t="s">
        <v>4554</v>
      </c>
      <c r="L8360" t="s">
        <v>4555</v>
      </c>
      <c r="M8360" s="2">
        <v>1777</v>
      </c>
      <c r="N8360" t="s">
        <v>4556</v>
      </c>
      <c r="O8360">
        <v>3</v>
      </c>
      <c r="P8360">
        <v>2</v>
      </c>
      <c r="Q8360">
        <v>0</v>
      </c>
      <c r="R8360" t="s">
        <v>4557</v>
      </c>
      <c r="S8360" t="s">
        <v>4558</v>
      </c>
      <c r="T8360" t="s">
        <v>4559</v>
      </c>
      <c r="U8360" t="s">
        <v>4560</v>
      </c>
      <c r="V8360" s="2">
        <v>783</v>
      </c>
      <c r="W8360" t="s">
        <v>4655</v>
      </c>
      <c r="X8360" s="2">
        <v>0</v>
      </c>
      <c r="Y8360">
        <v>20</v>
      </c>
      <c r="Z8360" t="s">
        <v>5508</v>
      </c>
      <c r="AA8360" s="3">
        <v>0.17316345870494801</v>
      </c>
      <c r="AB8360" t="s">
        <v>38386</v>
      </c>
      <c r="AC8360" t="s">
        <v>4562</v>
      </c>
      <c r="AD8360" t="s">
        <v>38385</v>
      </c>
      <c r="AE8360" t="s">
        <v>4655</v>
      </c>
      <c r="AF8360" t="s">
        <v>4563</v>
      </c>
      <c r="AG8360" t="s">
        <v>4564</v>
      </c>
      <c r="AH8360">
        <v>89508</v>
      </c>
      <c r="AI8360" t="s">
        <v>38387</v>
      </c>
      <c r="AJ8360" t="s">
        <v>653</v>
      </c>
      <c r="AK8360" t="s">
        <v>38388</v>
      </c>
      <c r="AL8360" s="13" t="s">
        <v>1892</v>
      </c>
      <c r="AM8360" s="14">
        <v>1</v>
      </c>
      <c r="AN8360" s="15" t="s">
        <v>2051</v>
      </c>
    </row>
    <row r="8361" spans="1:40" x14ac:dyDescent="0.3">
      <c r="A8361" s="10" t="str">
        <f>HYPERLINK("http://www.washoecounty.gov/assessor/cama/?parid=556-412-46&amp;CardNumber=1","556-412-46")</f>
        <v>556-412-46</v>
      </c>
      <c r="B8361" t="s">
        <v>4655</v>
      </c>
      <c r="C8361" t="s">
        <v>38389</v>
      </c>
      <c r="D8361" s="1">
        <v>40333</v>
      </c>
      <c r="E8361" s="2">
        <v>126500</v>
      </c>
      <c r="F8361" t="s">
        <v>4567</v>
      </c>
      <c r="G8361" s="17" t="str">
        <f>HYPERLINK("https://www.washoecounty.gov/assessor/cama/?command=sales&amp;parid=55641246","388466")</f>
        <v>388466</v>
      </c>
      <c r="H8361" t="s">
        <v>652</v>
      </c>
      <c r="I8361">
        <v>2005</v>
      </c>
      <c r="J8361">
        <v>2005</v>
      </c>
      <c r="K8361" t="s">
        <v>4554</v>
      </c>
      <c r="L8361" t="s">
        <v>3974</v>
      </c>
      <c r="M8361" s="2">
        <v>1624</v>
      </c>
      <c r="N8361" t="s">
        <v>4556</v>
      </c>
      <c r="O8361">
        <v>3</v>
      </c>
      <c r="P8361">
        <v>2</v>
      </c>
      <c r="Q8361">
        <v>1</v>
      </c>
      <c r="R8361" t="s">
        <v>4557</v>
      </c>
      <c r="S8361" t="s">
        <v>4558</v>
      </c>
      <c r="T8361" t="s">
        <v>4559</v>
      </c>
      <c r="U8361" t="s">
        <v>4560</v>
      </c>
      <c r="V8361" s="2">
        <v>400</v>
      </c>
      <c r="W8361" t="s">
        <v>4655</v>
      </c>
      <c r="X8361" s="2">
        <v>0</v>
      </c>
      <c r="Y8361">
        <v>20</v>
      </c>
      <c r="Z8361" t="s">
        <v>5508</v>
      </c>
      <c r="AA8361" s="3">
        <v>0.19143709540367099</v>
      </c>
      <c r="AB8361" t="s">
        <v>38390</v>
      </c>
      <c r="AC8361" t="s">
        <v>4562</v>
      </c>
      <c r="AD8361" t="s">
        <v>38391</v>
      </c>
      <c r="AE8361" t="s">
        <v>4655</v>
      </c>
      <c r="AF8361" t="s">
        <v>4563</v>
      </c>
      <c r="AG8361" t="s">
        <v>4564</v>
      </c>
      <c r="AH8361">
        <v>89508</v>
      </c>
      <c r="AI8361" t="s">
        <v>38392</v>
      </c>
      <c r="AJ8361" t="s">
        <v>653</v>
      </c>
      <c r="AK8361" t="s">
        <v>38393</v>
      </c>
      <c r="AL8361" s="13" t="s">
        <v>1892</v>
      </c>
      <c r="AM8361" s="14">
        <v>1</v>
      </c>
      <c r="AN8361" s="15" t="s">
        <v>2051</v>
      </c>
    </row>
    <row r="8362" spans="1:40" x14ac:dyDescent="0.3">
      <c r="A8362" s="10" t="str">
        <f>HYPERLINK("http://www.washoecounty.gov/assessor/cama/?parid=556-431-01&amp;CardNumber=1","556-431-01")</f>
        <v>556-431-01</v>
      </c>
      <c r="B8362" t="s">
        <v>4655</v>
      </c>
      <c r="C8362" t="s">
        <v>5366</v>
      </c>
      <c r="D8362" s="1">
        <v>40525</v>
      </c>
      <c r="E8362" s="2">
        <v>125000</v>
      </c>
      <c r="F8362" t="s">
        <v>4553</v>
      </c>
      <c r="G8362" s="17" t="str">
        <f>HYPERLINK("https://www.washoecounty.gov/assessor/cama/?command=sales&amp;parid=55643101","3952496")</f>
        <v>3952496</v>
      </c>
      <c r="H8362" t="s">
        <v>1644</v>
      </c>
      <c r="I8362">
        <v>2004</v>
      </c>
      <c r="J8362">
        <v>2004</v>
      </c>
      <c r="K8362" t="s">
        <v>4554</v>
      </c>
      <c r="L8362" t="s">
        <v>3974</v>
      </c>
      <c r="M8362" s="2">
        <v>2712</v>
      </c>
      <c r="N8362" t="s">
        <v>4556</v>
      </c>
      <c r="O8362">
        <v>5</v>
      </c>
      <c r="P8362">
        <v>2</v>
      </c>
      <c r="Q8362">
        <v>1</v>
      </c>
      <c r="R8362" t="s">
        <v>5281</v>
      </c>
      <c r="S8362" t="s">
        <v>4558</v>
      </c>
      <c r="T8362" t="s">
        <v>4559</v>
      </c>
      <c r="U8362" t="s">
        <v>5631</v>
      </c>
      <c r="V8362" s="2">
        <v>720</v>
      </c>
      <c r="W8362" t="s">
        <v>4655</v>
      </c>
      <c r="X8362" s="2">
        <v>0</v>
      </c>
      <c r="Y8362">
        <v>20</v>
      </c>
      <c r="Z8362" t="s">
        <v>5508</v>
      </c>
      <c r="AA8362" s="3">
        <v>0.25006887316703802</v>
      </c>
      <c r="AB8362" t="s">
        <v>485</v>
      </c>
      <c r="AC8362" t="s">
        <v>4562</v>
      </c>
      <c r="AD8362" t="s">
        <v>5366</v>
      </c>
      <c r="AE8362" t="s">
        <v>4655</v>
      </c>
      <c r="AF8362" t="s">
        <v>4563</v>
      </c>
      <c r="AG8362" t="s">
        <v>4564</v>
      </c>
      <c r="AH8362">
        <v>89508</v>
      </c>
      <c r="AI8362" t="s">
        <v>4655</v>
      </c>
      <c r="AJ8362" t="s">
        <v>4504</v>
      </c>
      <c r="AK8362" t="s">
        <v>5367</v>
      </c>
      <c r="AL8362" s="13" t="s">
        <v>1892</v>
      </c>
      <c r="AM8362" s="14">
        <v>1</v>
      </c>
      <c r="AN8362" s="15" t="s">
        <v>2051</v>
      </c>
    </row>
    <row r="8363" spans="1:40" x14ac:dyDescent="0.3">
      <c r="A8363" s="10" t="str">
        <f>HYPERLINK("http://www.washoecounty.gov/assessor/cama/?parid=556-434-06&amp;CardNumber=1","556-434-06")</f>
        <v>556-434-06</v>
      </c>
      <c r="B8363" t="s">
        <v>4655</v>
      </c>
      <c r="C8363" t="s">
        <v>38394</v>
      </c>
      <c r="D8363" s="1">
        <v>40199</v>
      </c>
      <c r="E8363" s="2">
        <v>129000</v>
      </c>
      <c r="F8363" t="s">
        <v>4553</v>
      </c>
      <c r="G8363" s="17" t="str">
        <f>HYPERLINK("https://www.washoecounty.gov/assessor/cama/?command=sales&amp;parid=55643406","3841487")</f>
        <v>3841487</v>
      </c>
      <c r="H8363" t="s">
        <v>1644</v>
      </c>
      <c r="I8363">
        <v>2004</v>
      </c>
      <c r="J8363">
        <v>2004</v>
      </c>
      <c r="K8363" t="s">
        <v>4554</v>
      </c>
      <c r="L8363" t="s">
        <v>4555</v>
      </c>
      <c r="M8363" s="2">
        <v>1632</v>
      </c>
      <c r="N8363" t="s">
        <v>4556</v>
      </c>
      <c r="O8363">
        <v>3</v>
      </c>
      <c r="P8363">
        <v>2</v>
      </c>
      <c r="Q8363">
        <v>0</v>
      </c>
      <c r="R8363" t="s">
        <v>5281</v>
      </c>
      <c r="S8363" t="s">
        <v>4558</v>
      </c>
      <c r="T8363" t="s">
        <v>4559</v>
      </c>
      <c r="U8363" t="s">
        <v>4560</v>
      </c>
      <c r="V8363" s="2">
        <v>480</v>
      </c>
      <c r="W8363" t="s">
        <v>4655</v>
      </c>
      <c r="X8363" s="2">
        <v>0</v>
      </c>
      <c r="Y8363">
        <v>20</v>
      </c>
      <c r="Z8363" t="s">
        <v>5508</v>
      </c>
      <c r="AA8363" s="3">
        <v>0.196235075592995</v>
      </c>
      <c r="AB8363" t="s">
        <v>38395</v>
      </c>
      <c r="AC8363" t="s">
        <v>4562</v>
      </c>
      <c r="AD8363" t="s">
        <v>38394</v>
      </c>
      <c r="AE8363" t="s">
        <v>4655</v>
      </c>
      <c r="AF8363" t="s">
        <v>4563</v>
      </c>
      <c r="AG8363" t="s">
        <v>4564</v>
      </c>
      <c r="AH8363">
        <v>89508</v>
      </c>
      <c r="AI8363" t="s">
        <v>4848</v>
      </c>
      <c r="AJ8363" t="s">
        <v>4504</v>
      </c>
      <c r="AK8363" t="s">
        <v>38396</v>
      </c>
      <c r="AL8363" s="13" t="s">
        <v>1892</v>
      </c>
      <c r="AM8363" s="14">
        <v>1</v>
      </c>
      <c r="AN8363" s="15" t="s">
        <v>2051</v>
      </c>
    </row>
    <row r="8364" spans="1:40" x14ac:dyDescent="0.3">
      <c r="A8364" s="10" t="str">
        <f>HYPERLINK("http://www.washoecounty.gov/assessor/cama/?parid=556-441-04&amp;CardNumber=1","556-441-04")</f>
        <v>556-441-04</v>
      </c>
      <c r="B8364" t="s">
        <v>4655</v>
      </c>
      <c r="C8364" t="s">
        <v>38397</v>
      </c>
      <c r="D8364" s="1">
        <v>40501</v>
      </c>
      <c r="E8364" s="2">
        <v>137500</v>
      </c>
      <c r="F8364" t="s">
        <v>4567</v>
      </c>
      <c r="G8364" s="17" t="str">
        <f>HYPERLINK("https://www.washoecounty.gov/assessor/cama/?command=sales&amp;parid=55644104","3945297")</f>
        <v>3945297</v>
      </c>
      <c r="H8364" t="s">
        <v>1644</v>
      </c>
      <c r="I8364">
        <v>2004</v>
      </c>
      <c r="J8364">
        <v>2004</v>
      </c>
      <c r="K8364" t="s">
        <v>4554</v>
      </c>
      <c r="L8364" t="s">
        <v>4555</v>
      </c>
      <c r="M8364" s="2">
        <v>1660</v>
      </c>
      <c r="N8364" t="s">
        <v>4556</v>
      </c>
      <c r="O8364">
        <v>3</v>
      </c>
      <c r="P8364">
        <v>2</v>
      </c>
      <c r="Q8364">
        <v>0</v>
      </c>
      <c r="R8364" t="s">
        <v>4557</v>
      </c>
      <c r="S8364" t="s">
        <v>4558</v>
      </c>
      <c r="T8364" t="s">
        <v>4559</v>
      </c>
      <c r="U8364" t="s">
        <v>4560</v>
      </c>
      <c r="V8364" s="2">
        <v>440</v>
      </c>
      <c r="W8364" t="s">
        <v>4655</v>
      </c>
      <c r="X8364" s="2">
        <v>0</v>
      </c>
      <c r="Y8364">
        <v>20</v>
      </c>
      <c r="Z8364" t="s">
        <v>5508</v>
      </c>
      <c r="AA8364" s="3">
        <v>0.205670341849327</v>
      </c>
      <c r="AB8364" t="s">
        <v>38398</v>
      </c>
      <c r="AC8364" t="s">
        <v>4562</v>
      </c>
      <c r="AD8364" t="s">
        <v>38399</v>
      </c>
      <c r="AE8364" t="s">
        <v>4655</v>
      </c>
      <c r="AF8364" t="s">
        <v>38400</v>
      </c>
      <c r="AG8364" t="s">
        <v>2590</v>
      </c>
      <c r="AH8364">
        <v>84095</v>
      </c>
      <c r="AI8364" t="s">
        <v>38401</v>
      </c>
      <c r="AJ8364" t="s">
        <v>4504</v>
      </c>
      <c r="AK8364" t="s">
        <v>38402</v>
      </c>
      <c r="AL8364" s="13" t="s">
        <v>1892</v>
      </c>
      <c r="AM8364">
        <v>1</v>
      </c>
      <c r="AN8364" s="15" t="s">
        <v>2051</v>
      </c>
    </row>
    <row r="8365" spans="1:40" x14ac:dyDescent="0.3">
      <c r="A8365" s="10" t="str">
        <f>HYPERLINK("http://www.washoecounty.gov/assessor/cama/?parid=556-441-32&amp;CardNumber=1","556-441-32")</f>
        <v>556-441-32</v>
      </c>
      <c r="B8365" t="s">
        <v>4655</v>
      </c>
      <c r="C8365" t="s">
        <v>38403</v>
      </c>
      <c r="D8365" s="1">
        <v>40359</v>
      </c>
      <c r="E8365" s="2">
        <v>188000</v>
      </c>
      <c r="F8365" t="s">
        <v>4553</v>
      </c>
      <c r="G8365" s="17" t="str">
        <f>HYPERLINK("https://www.washoecounty.gov/assessor/cama/?command=sales&amp;parid=55644132","3896998")</f>
        <v>3896998</v>
      </c>
      <c r="H8365" t="s">
        <v>1644</v>
      </c>
      <c r="I8365">
        <v>2004</v>
      </c>
      <c r="J8365">
        <v>2004</v>
      </c>
      <c r="K8365" t="s">
        <v>4554</v>
      </c>
      <c r="L8365" t="s">
        <v>3974</v>
      </c>
      <c r="M8365" s="2">
        <v>2712</v>
      </c>
      <c r="N8365" t="s">
        <v>4556</v>
      </c>
      <c r="O8365">
        <v>5</v>
      </c>
      <c r="P8365">
        <v>2</v>
      </c>
      <c r="Q8365">
        <v>1</v>
      </c>
      <c r="R8365" t="s">
        <v>5281</v>
      </c>
      <c r="S8365" t="s">
        <v>4558</v>
      </c>
      <c r="T8365" t="s">
        <v>4559</v>
      </c>
      <c r="U8365" t="s">
        <v>5631</v>
      </c>
      <c r="V8365" s="2">
        <v>720</v>
      </c>
      <c r="W8365" t="s">
        <v>4655</v>
      </c>
      <c r="X8365" s="2">
        <v>0</v>
      </c>
      <c r="Y8365">
        <v>20</v>
      </c>
      <c r="Z8365" t="s">
        <v>5508</v>
      </c>
      <c r="AA8365" s="3">
        <v>0.37607896327972401</v>
      </c>
      <c r="AB8365" t="s">
        <v>38404</v>
      </c>
      <c r="AC8365" t="s">
        <v>4562</v>
      </c>
      <c r="AD8365" t="s">
        <v>38405</v>
      </c>
      <c r="AE8365" t="s">
        <v>4655</v>
      </c>
      <c r="AF8365" t="s">
        <v>4563</v>
      </c>
      <c r="AG8365" t="s">
        <v>4564</v>
      </c>
      <c r="AH8365">
        <v>89508</v>
      </c>
      <c r="AI8365" t="s">
        <v>38406</v>
      </c>
      <c r="AJ8365" t="s">
        <v>4504</v>
      </c>
      <c r="AK8365" t="s">
        <v>38407</v>
      </c>
      <c r="AL8365" s="13" t="s">
        <v>1892</v>
      </c>
      <c r="AM8365">
        <v>1</v>
      </c>
      <c r="AN8365" s="15" t="s">
        <v>2051</v>
      </c>
    </row>
    <row r="8366" spans="1:40" x14ac:dyDescent="0.3">
      <c r="A8366" s="10" t="str">
        <f>HYPERLINK("http://www.washoecounty.gov/assessor/cama/?parid=556-441-33&amp;CardNumber=1","556-441-33")</f>
        <v>556-441-33</v>
      </c>
      <c r="B8366" t="s">
        <v>4655</v>
      </c>
      <c r="C8366" t="s">
        <v>38408</v>
      </c>
      <c r="D8366" s="1">
        <v>40515</v>
      </c>
      <c r="E8366" s="2">
        <v>105245</v>
      </c>
      <c r="F8366" t="s">
        <v>4567</v>
      </c>
      <c r="G8366" s="17" t="str">
        <f>HYPERLINK("https://www.washoecounty.gov/assessor/cama/?command=sales&amp;parid=55644133","3949337")</f>
        <v>3949337</v>
      </c>
      <c r="H8366" t="s">
        <v>1644</v>
      </c>
      <c r="I8366">
        <v>2004</v>
      </c>
      <c r="J8366">
        <v>2004</v>
      </c>
      <c r="K8366" t="s">
        <v>4554</v>
      </c>
      <c r="L8366" t="s">
        <v>4555</v>
      </c>
      <c r="M8366" s="2">
        <v>1265</v>
      </c>
      <c r="N8366" t="s">
        <v>4556</v>
      </c>
      <c r="O8366">
        <v>3</v>
      </c>
      <c r="P8366">
        <v>2</v>
      </c>
      <c r="Q8366">
        <v>0</v>
      </c>
      <c r="R8366" t="s">
        <v>4557</v>
      </c>
      <c r="S8366" t="s">
        <v>4558</v>
      </c>
      <c r="T8366" t="s">
        <v>4559</v>
      </c>
      <c r="U8366" t="s">
        <v>4560</v>
      </c>
      <c r="V8366" s="2">
        <v>415</v>
      </c>
      <c r="W8366" t="s">
        <v>4655</v>
      </c>
      <c r="X8366" s="2">
        <v>0</v>
      </c>
      <c r="Y8366">
        <v>20</v>
      </c>
      <c r="Z8366" t="s">
        <v>5508</v>
      </c>
      <c r="AA8366" s="3">
        <v>0.25018364191055298</v>
      </c>
      <c r="AB8366" t="s">
        <v>38409</v>
      </c>
      <c r="AC8366" t="s">
        <v>4562</v>
      </c>
      <c r="AD8366" t="s">
        <v>38408</v>
      </c>
      <c r="AE8366" t="s">
        <v>4655</v>
      </c>
      <c r="AF8366" t="s">
        <v>4563</v>
      </c>
      <c r="AG8366" t="s">
        <v>4564</v>
      </c>
      <c r="AH8366">
        <v>89508</v>
      </c>
      <c r="AI8366" t="s">
        <v>38410</v>
      </c>
      <c r="AJ8366" t="s">
        <v>4504</v>
      </c>
      <c r="AK8366" t="s">
        <v>38411</v>
      </c>
      <c r="AL8366" s="13" t="s">
        <v>1892</v>
      </c>
      <c r="AM8366">
        <v>1</v>
      </c>
      <c r="AN8366" s="15" t="s">
        <v>2051</v>
      </c>
    </row>
    <row r="8367" spans="1:40" x14ac:dyDescent="0.3">
      <c r="A8367" s="10" t="str">
        <f>HYPERLINK("http://www.washoecounty.gov/assessor/cama/?parid=556-441-38&amp;CardNumber=1","556-441-38")</f>
        <v>556-441-38</v>
      </c>
      <c r="B8367" t="s">
        <v>4655</v>
      </c>
      <c r="C8367" t="s">
        <v>38412</v>
      </c>
      <c r="D8367" s="1">
        <v>40185</v>
      </c>
      <c r="E8367" s="2">
        <v>120500</v>
      </c>
      <c r="F8367" t="s">
        <v>4553</v>
      </c>
      <c r="G8367" s="17" t="str">
        <f>HYPERLINK("https://www.washoecounty.gov/assessor/cama/?command=sales&amp;parid=55644138","3837293")</f>
        <v>3837293</v>
      </c>
      <c r="H8367" t="s">
        <v>1644</v>
      </c>
      <c r="I8367">
        <v>2004</v>
      </c>
      <c r="J8367">
        <v>2004</v>
      </c>
      <c r="K8367" t="s">
        <v>4554</v>
      </c>
      <c r="L8367" t="s">
        <v>3974</v>
      </c>
      <c r="M8367" s="2">
        <v>1624</v>
      </c>
      <c r="N8367" t="s">
        <v>4556</v>
      </c>
      <c r="O8367">
        <v>3</v>
      </c>
      <c r="P8367">
        <v>2</v>
      </c>
      <c r="Q8367">
        <v>1</v>
      </c>
      <c r="R8367" t="s">
        <v>5281</v>
      </c>
      <c r="S8367" t="s">
        <v>4558</v>
      </c>
      <c r="T8367" t="s">
        <v>4559</v>
      </c>
      <c r="U8367" t="s">
        <v>4560</v>
      </c>
      <c r="V8367" s="2">
        <v>400</v>
      </c>
      <c r="W8367" t="s">
        <v>4655</v>
      </c>
      <c r="X8367" s="2">
        <v>0</v>
      </c>
      <c r="Y8367">
        <v>20</v>
      </c>
      <c r="Z8367" t="s">
        <v>5508</v>
      </c>
      <c r="AA8367" s="3">
        <v>0.19276858866214752</v>
      </c>
      <c r="AB8367" t="s">
        <v>38413</v>
      </c>
      <c r="AC8367" t="s">
        <v>4562</v>
      </c>
      <c r="AD8367" t="s">
        <v>38412</v>
      </c>
      <c r="AE8367" t="s">
        <v>4655</v>
      </c>
      <c r="AF8367" t="s">
        <v>4563</v>
      </c>
      <c r="AG8367" t="s">
        <v>4564</v>
      </c>
      <c r="AH8367">
        <v>89508</v>
      </c>
      <c r="AI8367" t="s">
        <v>4503</v>
      </c>
      <c r="AJ8367" t="s">
        <v>4504</v>
      </c>
      <c r="AK8367" t="s">
        <v>38414</v>
      </c>
      <c r="AL8367" s="13" t="s">
        <v>1892</v>
      </c>
      <c r="AM8367">
        <v>1</v>
      </c>
      <c r="AN8367" s="15" t="s">
        <v>2051</v>
      </c>
    </row>
    <row r="8368" spans="1:40" x14ac:dyDescent="0.3">
      <c r="A8368" s="10" t="str">
        <f>HYPERLINK("http://www.washoecounty.gov/assessor/cama/?parid=556-441-41&amp;CardNumber=1","556-441-41")</f>
        <v>556-441-41</v>
      </c>
      <c r="B8368" t="s">
        <v>4655</v>
      </c>
      <c r="C8368" t="s">
        <v>38415</v>
      </c>
      <c r="D8368" s="1">
        <v>40354</v>
      </c>
      <c r="E8368" s="2">
        <v>179451</v>
      </c>
      <c r="F8368" t="s">
        <v>4553</v>
      </c>
      <c r="G8368" s="17" t="str">
        <f>HYPERLINK("https://www.washoecounty.gov/assessor/cama/?command=sales&amp;parid=55644141","3895601")</f>
        <v>3895601</v>
      </c>
      <c r="H8368" t="s">
        <v>1644</v>
      </c>
      <c r="I8368">
        <v>2004</v>
      </c>
      <c r="J8368">
        <v>2004</v>
      </c>
      <c r="K8368" t="s">
        <v>4554</v>
      </c>
      <c r="L8368" t="s">
        <v>3974</v>
      </c>
      <c r="M8368" s="2">
        <v>2712</v>
      </c>
      <c r="N8368" t="s">
        <v>4556</v>
      </c>
      <c r="O8368">
        <v>6</v>
      </c>
      <c r="P8368">
        <v>3</v>
      </c>
      <c r="Q8368">
        <v>1</v>
      </c>
      <c r="R8368" t="s">
        <v>5281</v>
      </c>
      <c r="S8368" t="s">
        <v>4558</v>
      </c>
      <c r="T8368" t="s">
        <v>4559</v>
      </c>
      <c r="U8368" t="s">
        <v>5631</v>
      </c>
      <c r="V8368" s="2">
        <v>720</v>
      </c>
      <c r="W8368" t="s">
        <v>4655</v>
      </c>
      <c r="X8368" s="2">
        <v>0</v>
      </c>
      <c r="Y8368">
        <v>20</v>
      </c>
      <c r="Z8368" t="s">
        <v>5508</v>
      </c>
      <c r="AA8368" s="3">
        <v>0.19864554703235601</v>
      </c>
      <c r="AB8368" t="s">
        <v>38416</v>
      </c>
      <c r="AC8368" t="s">
        <v>4562</v>
      </c>
      <c r="AD8368" t="s">
        <v>38417</v>
      </c>
      <c r="AE8368" t="s">
        <v>4655</v>
      </c>
      <c r="AF8368" t="s">
        <v>4563</v>
      </c>
      <c r="AG8368" t="s">
        <v>4564</v>
      </c>
      <c r="AH8368">
        <v>89508</v>
      </c>
      <c r="AI8368" t="s">
        <v>38418</v>
      </c>
      <c r="AJ8368" t="s">
        <v>4504</v>
      </c>
      <c r="AK8368" t="s">
        <v>38419</v>
      </c>
      <c r="AL8368" s="13" t="s">
        <v>1892</v>
      </c>
      <c r="AM8368">
        <v>1</v>
      </c>
      <c r="AN8368" s="15" t="s">
        <v>2051</v>
      </c>
    </row>
    <row r="8369" spans="1:40" x14ac:dyDescent="0.3">
      <c r="A8369" s="10" t="str">
        <f>HYPERLINK("http://www.washoecounty.gov/assessor/cama/?parid=556-441-50&amp;CardNumber=1","556-441-50")</f>
        <v>556-441-50</v>
      </c>
      <c r="B8369" t="s">
        <v>4655</v>
      </c>
      <c r="C8369" t="s">
        <v>38420</v>
      </c>
      <c r="D8369" s="1">
        <v>40497</v>
      </c>
      <c r="E8369" s="2">
        <v>185000</v>
      </c>
      <c r="F8369" t="s">
        <v>4567</v>
      </c>
      <c r="G8369" s="17" t="str">
        <f>HYPERLINK("https://www.washoecounty.gov/assessor/cama/?command=sales&amp;parid=55644150","3943111")</f>
        <v>3943111</v>
      </c>
      <c r="H8369" t="s">
        <v>1644</v>
      </c>
      <c r="I8369">
        <v>2004</v>
      </c>
      <c r="J8369">
        <v>2004</v>
      </c>
      <c r="K8369" t="s">
        <v>4554</v>
      </c>
      <c r="L8369" t="s">
        <v>3974</v>
      </c>
      <c r="M8369" s="2">
        <v>2273</v>
      </c>
      <c r="N8369" t="s">
        <v>4556</v>
      </c>
      <c r="O8369">
        <v>4</v>
      </c>
      <c r="P8369">
        <v>2</v>
      </c>
      <c r="Q8369">
        <v>1</v>
      </c>
      <c r="R8369" t="s">
        <v>5281</v>
      </c>
      <c r="S8369" t="s">
        <v>4558</v>
      </c>
      <c r="T8369" t="s">
        <v>4559</v>
      </c>
      <c r="U8369" t="s">
        <v>5631</v>
      </c>
      <c r="V8369" s="2">
        <v>495</v>
      </c>
      <c r="W8369" t="s">
        <v>4655</v>
      </c>
      <c r="X8369" s="2">
        <v>0</v>
      </c>
      <c r="Y8369">
        <v>20</v>
      </c>
      <c r="Z8369" t="s">
        <v>5508</v>
      </c>
      <c r="AA8369" s="3">
        <v>0.22304867208004001</v>
      </c>
      <c r="AB8369" t="s">
        <v>38421</v>
      </c>
      <c r="AC8369" t="s">
        <v>4562</v>
      </c>
      <c r="AD8369" t="s">
        <v>38420</v>
      </c>
      <c r="AE8369" t="s">
        <v>4655</v>
      </c>
      <c r="AF8369" t="s">
        <v>1207</v>
      </c>
      <c r="AG8369" t="s">
        <v>4564</v>
      </c>
      <c r="AH8369">
        <v>89508</v>
      </c>
      <c r="AI8369" t="s">
        <v>38422</v>
      </c>
      <c r="AJ8369" t="s">
        <v>4504</v>
      </c>
      <c r="AK8369" t="s">
        <v>38423</v>
      </c>
      <c r="AL8369" s="13" t="s">
        <v>1892</v>
      </c>
      <c r="AM8369">
        <v>1</v>
      </c>
      <c r="AN8369" s="15" t="s">
        <v>2051</v>
      </c>
    </row>
    <row r="8370" spans="1:40" x14ac:dyDescent="0.3">
      <c r="A8370" s="10" t="str">
        <f>HYPERLINK("http://www.washoecounty.gov/assessor/cama/?parid=556-451-35&amp;CardNumber=1","556-451-35")</f>
        <v>556-451-35</v>
      </c>
      <c r="B8370" t="s">
        <v>4655</v>
      </c>
      <c r="C8370" t="s">
        <v>38424</v>
      </c>
      <c r="D8370" s="1">
        <v>40326</v>
      </c>
      <c r="E8370" s="2">
        <v>128000</v>
      </c>
      <c r="F8370" t="s">
        <v>4567</v>
      </c>
      <c r="G8370" s="17" t="str">
        <f>HYPERLINK("https://www.washoecounty.gov/assessor/cama/?command=sales&amp;parid=55645135","3886276")</f>
        <v>3886276</v>
      </c>
      <c r="H8370" t="s">
        <v>614</v>
      </c>
      <c r="I8370">
        <v>2006</v>
      </c>
      <c r="J8370">
        <v>2006</v>
      </c>
      <c r="K8370" t="s">
        <v>4554</v>
      </c>
      <c r="L8370" t="s">
        <v>4555</v>
      </c>
      <c r="M8370" s="2">
        <v>1792</v>
      </c>
      <c r="N8370" t="s">
        <v>4556</v>
      </c>
      <c r="O8370">
        <v>4</v>
      </c>
      <c r="P8370">
        <v>2</v>
      </c>
      <c r="Q8370">
        <v>0</v>
      </c>
      <c r="R8370" t="s">
        <v>4557</v>
      </c>
      <c r="S8370" t="s">
        <v>4558</v>
      </c>
      <c r="T8370" t="s">
        <v>4559</v>
      </c>
      <c r="U8370" t="s">
        <v>4560</v>
      </c>
      <c r="V8370" s="2">
        <v>480</v>
      </c>
      <c r="W8370" t="s">
        <v>4655</v>
      </c>
      <c r="X8370" s="2">
        <v>0</v>
      </c>
      <c r="Y8370">
        <v>20</v>
      </c>
      <c r="Z8370" t="s">
        <v>5508</v>
      </c>
      <c r="AA8370" s="3">
        <v>0.15316803753375999</v>
      </c>
      <c r="AB8370" t="s">
        <v>38425</v>
      </c>
      <c r="AC8370" t="s">
        <v>4562</v>
      </c>
      <c r="AD8370" t="s">
        <v>38424</v>
      </c>
      <c r="AE8370" t="s">
        <v>4655</v>
      </c>
      <c r="AF8370" t="s">
        <v>4563</v>
      </c>
      <c r="AG8370" t="s">
        <v>4564</v>
      </c>
      <c r="AH8370">
        <v>89508</v>
      </c>
      <c r="AI8370" t="s">
        <v>38426</v>
      </c>
      <c r="AJ8370" t="s">
        <v>4204</v>
      </c>
      <c r="AK8370" t="s">
        <v>38427</v>
      </c>
      <c r="AL8370" s="13" t="s">
        <v>1892</v>
      </c>
      <c r="AM8370">
        <v>1</v>
      </c>
      <c r="AN8370" s="15" t="s">
        <v>2051</v>
      </c>
    </row>
    <row r="8371" spans="1:40" x14ac:dyDescent="0.3">
      <c r="A8371" s="10" t="str">
        <f>HYPERLINK("http://www.washoecounty.gov/assessor/cama/?parid=556-451-39&amp;CardNumber=1","556-451-39")</f>
        <v>556-451-39</v>
      </c>
      <c r="B8371" t="s">
        <v>4655</v>
      </c>
      <c r="C8371" t="s">
        <v>38428</v>
      </c>
      <c r="D8371" s="1">
        <v>40351</v>
      </c>
      <c r="E8371" s="2">
        <v>137000</v>
      </c>
      <c r="F8371" t="s">
        <v>4567</v>
      </c>
      <c r="G8371" s="17" t="str">
        <f>HYPERLINK("https://www.washoecounty.gov/assessor/cama/?command=sales&amp;parid=55645139","3893991")</f>
        <v>3893991</v>
      </c>
      <c r="H8371" t="s">
        <v>614</v>
      </c>
      <c r="I8371">
        <v>2006</v>
      </c>
      <c r="J8371">
        <v>2006</v>
      </c>
      <c r="K8371" t="s">
        <v>4554</v>
      </c>
      <c r="L8371" t="s">
        <v>3974</v>
      </c>
      <c r="M8371" s="2">
        <v>2016</v>
      </c>
      <c r="N8371" t="s">
        <v>4556</v>
      </c>
      <c r="O8371">
        <v>5</v>
      </c>
      <c r="P8371">
        <v>2</v>
      </c>
      <c r="Q8371">
        <v>1</v>
      </c>
      <c r="R8371" t="s">
        <v>4557</v>
      </c>
      <c r="S8371" t="s">
        <v>4558</v>
      </c>
      <c r="T8371" t="s">
        <v>4559</v>
      </c>
      <c r="U8371" t="s">
        <v>5631</v>
      </c>
      <c r="V8371" s="2">
        <v>480</v>
      </c>
      <c r="W8371" t="s">
        <v>4655</v>
      </c>
      <c r="X8371" s="2">
        <v>0</v>
      </c>
      <c r="Y8371">
        <v>20</v>
      </c>
      <c r="Z8371" t="s">
        <v>5508</v>
      </c>
      <c r="AA8371" s="3">
        <v>0.142171710729599</v>
      </c>
      <c r="AB8371" t="s">
        <v>38429</v>
      </c>
      <c r="AC8371" t="s">
        <v>4562</v>
      </c>
      <c r="AD8371" t="s">
        <v>38430</v>
      </c>
      <c r="AE8371" t="s">
        <v>4655</v>
      </c>
      <c r="AF8371" t="s">
        <v>4563</v>
      </c>
      <c r="AG8371" t="s">
        <v>4564</v>
      </c>
      <c r="AH8371">
        <v>89508</v>
      </c>
      <c r="AI8371" t="s">
        <v>4655</v>
      </c>
      <c r="AJ8371" t="s">
        <v>4204</v>
      </c>
      <c r="AK8371" t="s">
        <v>38431</v>
      </c>
      <c r="AL8371" s="13" t="s">
        <v>1892</v>
      </c>
      <c r="AM8371">
        <v>1</v>
      </c>
      <c r="AN8371" s="15" t="s">
        <v>2051</v>
      </c>
    </row>
    <row r="8372" spans="1:40" x14ac:dyDescent="0.3">
      <c r="A8372" s="10" t="str">
        <f>HYPERLINK("http://www.washoecounty.gov/assessor/cama/?parid=556-451-42&amp;CardNumber=1","556-451-42")</f>
        <v>556-451-42</v>
      </c>
      <c r="B8372" t="s">
        <v>4655</v>
      </c>
      <c r="C8372" t="s">
        <v>38432</v>
      </c>
      <c r="D8372" s="1">
        <v>40470</v>
      </c>
      <c r="E8372" s="2">
        <v>100000</v>
      </c>
      <c r="F8372" t="s">
        <v>4553</v>
      </c>
      <c r="G8372" s="17" t="str">
        <f>HYPERLINK("https://www.washoecounty.gov/assessor/cama/?command=sales&amp;parid=55645142","3934284")</f>
        <v>3934284</v>
      </c>
      <c r="H8372" t="s">
        <v>614</v>
      </c>
      <c r="I8372">
        <v>2006</v>
      </c>
      <c r="J8372">
        <v>2006</v>
      </c>
      <c r="K8372" t="s">
        <v>4554</v>
      </c>
      <c r="L8372" t="s">
        <v>4555</v>
      </c>
      <c r="M8372" s="2">
        <v>1161</v>
      </c>
      <c r="N8372" t="s">
        <v>4556</v>
      </c>
      <c r="O8372">
        <v>3</v>
      </c>
      <c r="P8372">
        <v>2</v>
      </c>
      <c r="Q8372">
        <v>0</v>
      </c>
      <c r="R8372" t="s">
        <v>4557</v>
      </c>
      <c r="S8372" t="s">
        <v>4558</v>
      </c>
      <c r="T8372" t="s">
        <v>4559</v>
      </c>
      <c r="U8372" t="s">
        <v>4560</v>
      </c>
      <c r="V8372" s="2">
        <v>534</v>
      </c>
      <c r="W8372" t="s">
        <v>4655</v>
      </c>
      <c r="X8372" s="2">
        <v>0</v>
      </c>
      <c r="Y8372">
        <v>20</v>
      </c>
      <c r="Z8372" t="s">
        <v>5508</v>
      </c>
      <c r="AA8372" s="3">
        <v>0.18326446413993835</v>
      </c>
      <c r="AB8372" t="s">
        <v>38433</v>
      </c>
      <c r="AC8372" t="s">
        <v>4562</v>
      </c>
      <c r="AD8372" t="s">
        <v>38432</v>
      </c>
      <c r="AE8372" t="s">
        <v>4655</v>
      </c>
      <c r="AF8372" t="s">
        <v>4563</v>
      </c>
      <c r="AG8372" t="s">
        <v>4564</v>
      </c>
      <c r="AH8372">
        <v>89508</v>
      </c>
      <c r="AI8372" t="s">
        <v>1149</v>
      </c>
      <c r="AJ8372" t="s">
        <v>4204</v>
      </c>
      <c r="AK8372" t="s">
        <v>38434</v>
      </c>
      <c r="AL8372" s="13" t="s">
        <v>1892</v>
      </c>
      <c r="AM8372" s="14">
        <v>1</v>
      </c>
      <c r="AN8372" s="15" t="s">
        <v>2051</v>
      </c>
    </row>
    <row r="8373" spans="1:40" x14ac:dyDescent="0.3">
      <c r="A8373" s="10" t="str">
        <f>HYPERLINK("http://www.washoecounty.gov/assessor/cama/?parid=556-451-44&amp;CardNumber=1","556-451-44")</f>
        <v>556-451-44</v>
      </c>
      <c r="B8373" t="s">
        <v>4655</v>
      </c>
      <c r="C8373" t="s">
        <v>38435</v>
      </c>
      <c r="D8373" s="1">
        <v>40330</v>
      </c>
      <c r="E8373" s="2">
        <v>140000</v>
      </c>
      <c r="F8373" t="s">
        <v>4567</v>
      </c>
      <c r="G8373" s="17" t="str">
        <f>HYPERLINK("https://www.washoecounty.gov/assessor/cama/?command=sales&amp;parid=55645144","3886908")</f>
        <v>3886908</v>
      </c>
      <c r="H8373" t="s">
        <v>614</v>
      </c>
      <c r="I8373">
        <v>2006</v>
      </c>
      <c r="J8373">
        <v>2006</v>
      </c>
      <c r="K8373" t="s">
        <v>4554</v>
      </c>
      <c r="L8373" t="s">
        <v>4555</v>
      </c>
      <c r="M8373" s="2">
        <v>1696</v>
      </c>
      <c r="N8373" t="s">
        <v>4556</v>
      </c>
      <c r="O8373">
        <v>3</v>
      </c>
      <c r="P8373">
        <v>2</v>
      </c>
      <c r="Q8373">
        <v>0</v>
      </c>
      <c r="R8373" t="s">
        <v>4557</v>
      </c>
      <c r="S8373" t="s">
        <v>4558</v>
      </c>
      <c r="T8373" t="s">
        <v>4559</v>
      </c>
      <c r="U8373" t="s">
        <v>4560</v>
      </c>
      <c r="V8373" s="2">
        <v>576</v>
      </c>
      <c r="W8373" t="s">
        <v>4655</v>
      </c>
      <c r="X8373" s="2">
        <v>0</v>
      </c>
      <c r="Y8373">
        <v>20</v>
      </c>
      <c r="Z8373" t="s">
        <v>5508</v>
      </c>
      <c r="AA8373" s="3">
        <v>0.18528465926647186</v>
      </c>
      <c r="AB8373" t="s">
        <v>38436</v>
      </c>
      <c r="AC8373" t="s">
        <v>4562</v>
      </c>
      <c r="AD8373" t="s">
        <v>38437</v>
      </c>
      <c r="AE8373" t="s">
        <v>4655</v>
      </c>
      <c r="AF8373" t="s">
        <v>4563</v>
      </c>
      <c r="AG8373" t="s">
        <v>4564</v>
      </c>
      <c r="AH8373">
        <v>89508</v>
      </c>
      <c r="AI8373" t="s">
        <v>4655</v>
      </c>
      <c r="AJ8373" t="s">
        <v>4204</v>
      </c>
      <c r="AK8373" t="s">
        <v>38438</v>
      </c>
      <c r="AL8373" s="13" t="s">
        <v>1892</v>
      </c>
      <c r="AM8373">
        <v>1</v>
      </c>
      <c r="AN8373" s="15" t="s">
        <v>2051</v>
      </c>
    </row>
    <row r="8374" spans="1:40" x14ac:dyDescent="0.3">
      <c r="A8374" s="10" t="str">
        <f>HYPERLINK("http://www.washoecounty.gov/assessor/cama/?parid=556-451-46&amp;CardNumber=1","556-451-46")</f>
        <v>556-451-46</v>
      </c>
      <c r="B8374" t="s">
        <v>4655</v>
      </c>
      <c r="C8374" t="s">
        <v>38439</v>
      </c>
      <c r="D8374" s="1">
        <v>40344</v>
      </c>
      <c r="E8374" s="2">
        <v>135000</v>
      </c>
      <c r="F8374" t="s">
        <v>4567</v>
      </c>
      <c r="G8374" s="17" t="str">
        <f>HYPERLINK("https://www.washoecounty.gov/assessor/cama/?command=sales&amp;parid=55645146","3892188")</f>
        <v>3892188</v>
      </c>
      <c r="H8374" t="s">
        <v>614</v>
      </c>
      <c r="I8374">
        <v>2006</v>
      </c>
      <c r="J8374">
        <v>2006</v>
      </c>
      <c r="K8374" t="s">
        <v>4554</v>
      </c>
      <c r="L8374" t="s">
        <v>4555</v>
      </c>
      <c r="M8374" s="2">
        <v>1696</v>
      </c>
      <c r="N8374" t="s">
        <v>4556</v>
      </c>
      <c r="O8374">
        <v>3</v>
      </c>
      <c r="P8374">
        <v>2</v>
      </c>
      <c r="Q8374">
        <v>0</v>
      </c>
      <c r="R8374" t="s">
        <v>5281</v>
      </c>
      <c r="S8374" t="s">
        <v>4558</v>
      </c>
      <c r="T8374" t="s">
        <v>4559</v>
      </c>
      <c r="U8374" t="s">
        <v>4560</v>
      </c>
      <c r="V8374" s="2">
        <v>576</v>
      </c>
      <c r="W8374" t="s">
        <v>4655</v>
      </c>
      <c r="X8374" s="2">
        <v>0</v>
      </c>
      <c r="Y8374">
        <v>20</v>
      </c>
      <c r="Z8374" t="s">
        <v>5508</v>
      </c>
      <c r="AA8374" s="3">
        <v>0.21480716764926899</v>
      </c>
      <c r="AB8374" t="s">
        <v>38440</v>
      </c>
      <c r="AC8374" t="s">
        <v>4562</v>
      </c>
      <c r="AD8374" t="s">
        <v>38439</v>
      </c>
      <c r="AE8374" t="s">
        <v>4655</v>
      </c>
      <c r="AF8374" t="s">
        <v>4563</v>
      </c>
      <c r="AG8374" t="s">
        <v>4564</v>
      </c>
      <c r="AH8374">
        <v>89508</v>
      </c>
      <c r="AI8374" t="s">
        <v>38441</v>
      </c>
      <c r="AJ8374" t="s">
        <v>4204</v>
      </c>
      <c r="AK8374" t="s">
        <v>38442</v>
      </c>
      <c r="AL8374" s="13" t="s">
        <v>1892</v>
      </c>
      <c r="AM8374">
        <v>1</v>
      </c>
      <c r="AN8374" s="15" t="s">
        <v>2051</v>
      </c>
    </row>
    <row r="8375" spans="1:40" x14ac:dyDescent="0.3">
      <c r="A8375" s="10" t="str">
        <f>HYPERLINK("http://www.washoecounty.gov/assessor/cama/?parid=556-461-35&amp;CardNumber=1","556-461-35")</f>
        <v>556-461-35</v>
      </c>
      <c r="B8375" t="s">
        <v>4655</v>
      </c>
      <c r="C8375" t="s">
        <v>38443</v>
      </c>
      <c r="D8375" s="1">
        <v>40220</v>
      </c>
      <c r="E8375" s="2">
        <v>168000</v>
      </c>
      <c r="F8375" t="s">
        <v>4553</v>
      </c>
      <c r="G8375" s="17" t="str">
        <f>HYPERLINK("https://www.washoecounty.gov/assessor/cama/?command=sales&amp;parid=55646135","3848005")</f>
        <v>3848005</v>
      </c>
      <c r="H8375" t="s">
        <v>614</v>
      </c>
      <c r="I8375">
        <v>2007</v>
      </c>
      <c r="J8375">
        <v>2007</v>
      </c>
      <c r="K8375" t="s">
        <v>4554</v>
      </c>
      <c r="L8375" t="s">
        <v>3974</v>
      </c>
      <c r="M8375" s="2">
        <v>2273</v>
      </c>
      <c r="N8375" t="s">
        <v>4556</v>
      </c>
      <c r="O8375">
        <v>6</v>
      </c>
      <c r="P8375">
        <v>2</v>
      </c>
      <c r="Q8375">
        <v>1</v>
      </c>
      <c r="R8375" t="s">
        <v>5281</v>
      </c>
      <c r="S8375" t="s">
        <v>4558</v>
      </c>
      <c r="T8375" t="s">
        <v>4559</v>
      </c>
      <c r="U8375" t="s">
        <v>5631</v>
      </c>
      <c r="V8375" s="2">
        <v>495</v>
      </c>
      <c r="W8375" t="s">
        <v>4655</v>
      </c>
      <c r="X8375" s="2">
        <v>0</v>
      </c>
      <c r="Y8375">
        <v>20</v>
      </c>
      <c r="Z8375" t="s">
        <v>5508</v>
      </c>
      <c r="AA8375" s="3">
        <v>0.18191000819206199</v>
      </c>
      <c r="AB8375" t="s">
        <v>38444</v>
      </c>
      <c r="AC8375" t="s">
        <v>4575</v>
      </c>
      <c r="AD8375" t="s">
        <v>38445</v>
      </c>
      <c r="AE8375" t="s">
        <v>38443</v>
      </c>
      <c r="AF8375" t="s">
        <v>4563</v>
      </c>
      <c r="AG8375" t="s">
        <v>4564</v>
      </c>
      <c r="AH8375">
        <v>89508</v>
      </c>
      <c r="AI8375" t="s">
        <v>4848</v>
      </c>
      <c r="AJ8375" t="s">
        <v>615</v>
      </c>
      <c r="AK8375" t="s">
        <v>38446</v>
      </c>
      <c r="AL8375" s="13" t="s">
        <v>1892</v>
      </c>
      <c r="AM8375">
        <v>1</v>
      </c>
      <c r="AN8375" s="15" t="s">
        <v>2051</v>
      </c>
    </row>
    <row r="8376" spans="1:40" x14ac:dyDescent="0.3">
      <c r="A8376" s="10" t="str">
        <f>HYPERLINK("http://www.washoecounty.gov/assessor/cama/?parid=556-461-38&amp;CardNumber=1","556-461-38")</f>
        <v>556-461-38</v>
      </c>
      <c r="B8376" t="s">
        <v>4655</v>
      </c>
      <c r="C8376" t="s">
        <v>38447</v>
      </c>
      <c r="D8376" s="1">
        <v>40207</v>
      </c>
      <c r="E8376" s="2">
        <v>157000</v>
      </c>
      <c r="F8376" t="s">
        <v>4553</v>
      </c>
      <c r="G8376" s="17" t="str">
        <f>HYPERLINK("https://www.washoecounty.gov/assessor/cama/?command=sales&amp;parid=55646138","3844356")</f>
        <v>3844356</v>
      </c>
      <c r="H8376" t="s">
        <v>614</v>
      </c>
      <c r="I8376">
        <v>2006</v>
      </c>
      <c r="J8376">
        <v>2006</v>
      </c>
      <c r="K8376" t="s">
        <v>4554</v>
      </c>
      <c r="L8376" t="s">
        <v>4555</v>
      </c>
      <c r="M8376" s="2">
        <v>1632</v>
      </c>
      <c r="N8376" t="s">
        <v>4556</v>
      </c>
      <c r="O8376">
        <v>3</v>
      </c>
      <c r="P8376">
        <v>2</v>
      </c>
      <c r="Q8376">
        <v>0</v>
      </c>
      <c r="R8376" t="s">
        <v>5281</v>
      </c>
      <c r="S8376" t="s">
        <v>4558</v>
      </c>
      <c r="T8376" t="s">
        <v>4559</v>
      </c>
      <c r="U8376" t="s">
        <v>4560</v>
      </c>
      <c r="V8376" s="2">
        <v>480</v>
      </c>
      <c r="W8376" t="s">
        <v>4655</v>
      </c>
      <c r="X8376" s="2">
        <v>0</v>
      </c>
      <c r="Y8376">
        <v>20</v>
      </c>
      <c r="Z8376" t="s">
        <v>5508</v>
      </c>
      <c r="AA8376" s="3">
        <v>0.19102387130260501</v>
      </c>
      <c r="AB8376" t="s">
        <v>38448</v>
      </c>
      <c r="AC8376" t="s">
        <v>4562</v>
      </c>
      <c r="AD8376" t="s">
        <v>38449</v>
      </c>
      <c r="AE8376" t="s">
        <v>4655</v>
      </c>
      <c r="AF8376" t="s">
        <v>4563</v>
      </c>
      <c r="AG8376" t="s">
        <v>4564</v>
      </c>
      <c r="AH8376">
        <v>89508</v>
      </c>
      <c r="AI8376" t="s">
        <v>4903</v>
      </c>
      <c r="AJ8376" t="s">
        <v>615</v>
      </c>
      <c r="AK8376" t="s">
        <v>38450</v>
      </c>
      <c r="AL8376" s="13" t="s">
        <v>1892</v>
      </c>
      <c r="AM8376">
        <v>1</v>
      </c>
      <c r="AN8376" s="15" t="s">
        <v>2051</v>
      </c>
    </row>
    <row r="8377" spans="1:40" x14ac:dyDescent="0.3">
      <c r="A8377" s="10" t="str">
        <f>HYPERLINK("http://www.washoecounty.gov/assessor/cama/?parid=556-471-07&amp;CardNumber=1","556-471-07")</f>
        <v>556-471-07</v>
      </c>
      <c r="B8377" t="s">
        <v>4655</v>
      </c>
      <c r="C8377" t="s">
        <v>38451</v>
      </c>
      <c r="D8377" s="1">
        <v>40375</v>
      </c>
      <c r="E8377" s="2">
        <v>119000</v>
      </c>
      <c r="F8377" t="s">
        <v>4553</v>
      </c>
      <c r="G8377" s="17" t="str">
        <f>HYPERLINK("https://www.washoecounty.gov/assessor/cama/?command=sales&amp;parid=55647107","3901914")</f>
        <v>3901914</v>
      </c>
      <c r="H8377" t="s">
        <v>614</v>
      </c>
      <c r="I8377">
        <v>2007</v>
      </c>
      <c r="J8377">
        <v>2007</v>
      </c>
      <c r="K8377" t="s">
        <v>4554</v>
      </c>
      <c r="L8377" t="s">
        <v>4555</v>
      </c>
      <c r="M8377" s="2">
        <v>1161</v>
      </c>
      <c r="N8377" t="s">
        <v>4556</v>
      </c>
      <c r="O8377">
        <v>3</v>
      </c>
      <c r="P8377">
        <v>2</v>
      </c>
      <c r="Q8377">
        <v>0</v>
      </c>
      <c r="R8377" t="s">
        <v>5281</v>
      </c>
      <c r="S8377" t="s">
        <v>4558</v>
      </c>
      <c r="T8377" t="s">
        <v>4559</v>
      </c>
      <c r="U8377" t="s">
        <v>4560</v>
      </c>
      <c r="V8377" s="2">
        <v>534</v>
      </c>
      <c r="W8377" t="s">
        <v>4655</v>
      </c>
      <c r="X8377" s="2">
        <v>0</v>
      </c>
      <c r="Y8377">
        <v>20</v>
      </c>
      <c r="Z8377" t="s">
        <v>5508</v>
      </c>
      <c r="AA8377" s="3">
        <v>0.18512396514415699</v>
      </c>
      <c r="AB8377" t="s">
        <v>38452</v>
      </c>
      <c r="AC8377" t="s">
        <v>4575</v>
      </c>
      <c r="AD8377" t="s">
        <v>38451</v>
      </c>
      <c r="AE8377" t="s">
        <v>4655</v>
      </c>
      <c r="AF8377" t="s">
        <v>4563</v>
      </c>
      <c r="AG8377" t="s">
        <v>4564</v>
      </c>
      <c r="AH8377">
        <v>89508</v>
      </c>
      <c r="AI8377" t="s">
        <v>4903</v>
      </c>
      <c r="AJ8377" t="s">
        <v>615</v>
      </c>
      <c r="AK8377" t="s">
        <v>38453</v>
      </c>
      <c r="AL8377" s="13" t="s">
        <v>1892</v>
      </c>
      <c r="AM8377">
        <v>1</v>
      </c>
      <c r="AN8377" s="15" t="s">
        <v>2051</v>
      </c>
    </row>
    <row r="8378" spans="1:40" x14ac:dyDescent="0.3">
      <c r="A8378" s="10" t="str">
        <f>HYPERLINK("http://www.washoecounty.gov/assessor/cama/?parid=556-501-21&amp;CardNumber=1","556-501-21")</f>
        <v>556-501-21</v>
      </c>
      <c r="B8378" t="s">
        <v>4655</v>
      </c>
      <c r="C8378" t="s">
        <v>38454</v>
      </c>
      <c r="D8378" s="1">
        <v>40477</v>
      </c>
      <c r="E8378" s="2">
        <v>115000</v>
      </c>
      <c r="F8378" t="s">
        <v>4567</v>
      </c>
      <c r="G8378" s="17" t="str">
        <f>HYPERLINK("https://www.washoecounty.gov/assessor/cama/?command=sales&amp;parid=55650121","3936549")</f>
        <v>3936549</v>
      </c>
      <c r="H8378" t="s">
        <v>1306</v>
      </c>
      <c r="I8378">
        <v>2007</v>
      </c>
      <c r="J8378">
        <v>2007</v>
      </c>
      <c r="K8378" t="s">
        <v>4554</v>
      </c>
      <c r="L8378" t="s">
        <v>4555</v>
      </c>
      <c r="M8378" s="2">
        <v>1297</v>
      </c>
      <c r="N8378" t="s">
        <v>4556</v>
      </c>
      <c r="O8378">
        <v>3</v>
      </c>
      <c r="P8378">
        <v>2</v>
      </c>
      <c r="Q8378">
        <v>0</v>
      </c>
      <c r="R8378" t="s">
        <v>5281</v>
      </c>
      <c r="S8378" t="s">
        <v>4558</v>
      </c>
      <c r="T8378" t="s">
        <v>4559</v>
      </c>
      <c r="U8378" t="s">
        <v>4560</v>
      </c>
      <c r="V8378" s="2">
        <v>495</v>
      </c>
      <c r="W8378" t="s">
        <v>4655</v>
      </c>
      <c r="X8378" s="2">
        <v>0</v>
      </c>
      <c r="Y8378">
        <v>20</v>
      </c>
      <c r="Z8378" t="s">
        <v>5508</v>
      </c>
      <c r="AA8378" s="3">
        <v>0.21900826692581199</v>
      </c>
      <c r="AB8378" t="s">
        <v>38455</v>
      </c>
      <c r="AC8378" t="s">
        <v>4562</v>
      </c>
      <c r="AD8378" t="s">
        <v>38456</v>
      </c>
      <c r="AE8378" t="s">
        <v>4655</v>
      </c>
      <c r="AF8378" t="s">
        <v>4563</v>
      </c>
      <c r="AG8378" t="s">
        <v>4564</v>
      </c>
      <c r="AH8378">
        <v>89508</v>
      </c>
      <c r="AI8378" t="s">
        <v>38457</v>
      </c>
      <c r="AJ8378" t="s">
        <v>1308</v>
      </c>
      <c r="AK8378" t="s">
        <v>38458</v>
      </c>
      <c r="AL8378" s="13" t="s">
        <v>1892</v>
      </c>
      <c r="AM8378" s="14">
        <v>1</v>
      </c>
      <c r="AN8378" s="15" t="s">
        <v>2051</v>
      </c>
    </row>
    <row r="8379" spans="1:40" x14ac:dyDescent="0.3">
      <c r="A8379" s="10" t="str">
        <f>HYPERLINK("http://www.washoecounty.gov/assessor/cama/?parid=556-511-02&amp;CardNumber=1","556-511-02")</f>
        <v>556-511-02</v>
      </c>
      <c r="B8379" t="s">
        <v>4655</v>
      </c>
      <c r="C8379" t="s">
        <v>38459</v>
      </c>
      <c r="D8379" s="1">
        <v>40501</v>
      </c>
      <c r="E8379" s="2">
        <v>157290</v>
      </c>
      <c r="F8379" t="s">
        <v>4567</v>
      </c>
      <c r="G8379" s="17" t="str">
        <f>HYPERLINK("https://www.washoecounty.gov/assessor/cama/?command=sales&amp;parid=55651102","3945166")</f>
        <v>3945166</v>
      </c>
      <c r="H8379" t="s">
        <v>1306</v>
      </c>
      <c r="I8379">
        <v>2008</v>
      </c>
      <c r="J8379">
        <v>2008</v>
      </c>
      <c r="K8379" t="s">
        <v>4554</v>
      </c>
      <c r="L8379" t="s">
        <v>4555</v>
      </c>
      <c r="M8379" s="2">
        <v>1632</v>
      </c>
      <c r="N8379" t="s">
        <v>4556</v>
      </c>
      <c r="O8379">
        <v>3</v>
      </c>
      <c r="P8379">
        <v>2</v>
      </c>
      <c r="Q8379">
        <v>0</v>
      </c>
      <c r="R8379" t="s">
        <v>5281</v>
      </c>
      <c r="S8379" t="s">
        <v>4558</v>
      </c>
      <c r="T8379" t="s">
        <v>4559</v>
      </c>
      <c r="U8379" t="s">
        <v>4560</v>
      </c>
      <c r="V8379" s="2">
        <v>480</v>
      </c>
      <c r="W8379" t="s">
        <v>4655</v>
      </c>
      <c r="X8379" s="2">
        <v>0</v>
      </c>
      <c r="Y8379">
        <v>20</v>
      </c>
      <c r="Z8379" t="s">
        <v>5508</v>
      </c>
      <c r="AA8379" s="3">
        <v>0.152341604232788</v>
      </c>
      <c r="AB8379" t="s">
        <v>38460</v>
      </c>
      <c r="AC8379" t="s">
        <v>4562</v>
      </c>
      <c r="AD8379" t="s">
        <v>38461</v>
      </c>
      <c r="AE8379" t="s">
        <v>4655</v>
      </c>
      <c r="AF8379" t="s">
        <v>4563</v>
      </c>
      <c r="AG8379" t="s">
        <v>4564</v>
      </c>
      <c r="AH8379">
        <v>89508</v>
      </c>
      <c r="AI8379" t="s">
        <v>1307</v>
      </c>
      <c r="AJ8379" t="s">
        <v>1308</v>
      </c>
      <c r="AK8379" t="s">
        <v>38462</v>
      </c>
      <c r="AL8379" s="13" t="s">
        <v>1892</v>
      </c>
      <c r="AM8379">
        <v>1</v>
      </c>
      <c r="AN8379" s="15" t="s">
        <v>2051</v>
      </c>
    </row>
    <row r="8380" spans="1:40" x14ac:dyDescent="0.3">
      <c r="A8380" s="10" t="str">
        <f>HYPERLINK("http://www.washoecounty.gov/assessor/cama/?parid=556-511-05&amp;CardNumber=1","556-511-05")</f>
        <v>556-511-05</v>
      </c>
      <c r="B8380" t="s">
        <v>4655</v>
      </c>
      <c r="C8380" t="s">
        <v>38463</v>
      </c>
      <c r="D8380" s="1">
        <v>40242</v>
      </c>
      <c r="E8380" s="2">
        <v>145000</v>
      </c>
      <c r="F8380" t="s">
        <v>4567</v>
      </c>
      <c r="G8380" s="17" t="str">
        <f>HYPERLINK("https://www.washoecounty.gov/assessor/cama/?command=sales&amp;parid=55651105","3856416")</f>
        <v>3856416</v>
      </c>
      <c r="H8380" t="s">
        <v>1306</v>
      </c>
      <c r="I8380">
        <v>2007</v>
      </c>
      <c r="J8380">
        <v>2007</v>
      </c>
      <c r="K8380" t="s">
        <v>4554</v>
      </c>
      <c r="L8380" t="s">
        <v>4555</v>
      </c>
      <c r="M8380" s="2">
        <v>1040</v>
      </c>
      <c r="N8380" t="s">
        <v>4556</v>
      </c>
      <c r="O8380">
        <v>3</v>
      </c>
      <c r="P8380">
        <v>2</v>
      </c>
      <c r="Q8380">
        <v>0</v>
      </c>
      <c r="R8380" t="s">
        <v>4557</v>
      </c>
      <c r="S8380" t="s">
        <v>4558</v>
      </c>
      <c r="T8380" t="s">
        <v>4559</v>
      </c>
      <c r="U8380" t="s">
        <v>4560</v>
      </c>
      <c r="V8380" s="2">
        <v>400</v>
      </c>
      <c r="W8380" t="s">
        <v>4655</v>
      </c>
      <c r="X8380" s="2">
        <v>0</v>
      </c>
      <c r="Y8380">
        <v>20</v>
      </c>
      <c r="Z8380" t="s">
        <v>5508</v>
      </c>
      <c r="AA8380" s="3">
        <v>0.14825527369976044</v>
      </c>
      <c r="AB8380" t="s">
        <v>38464</v>
      </c>
      <c r="AC8380" t="s">
        <v>4562</v>
      </c>
      <c r="AD8380" t="s">
        <v>38463</v>
      </c>
      <c r="AE8380" t="s">
        <v>4655</v>
      </c>
      <c r="AF8380" t="s">
        <v>4563</v>
      </c>
      <c r="AG8380" t="s">
        <v>4564</v>
      </c>
      <c r="AH8380">
        <v>89508</v>
      </c>
      <c r="AI8380" t="s">
        <v>1307</v>
      </c>
      <c r="AJ8380" t="s">
        <v>1308</v>
      </c>
      <c r="AK8380" t="s">
        <v>38465</v>
      </c>
      <c r="AL8380" s="13" t="s">
        <v>1892</v>
      </c>
      <c r="AM8380" s="14">
        <v>1</v>
      </c>
      <c r="AN8380" s="15" t="s">
        <v>2051</v>
      </c>
    </row>
    <row r="8381" spans="1:40" x14ac:dyDescent="0.3">
      <c r="A8381" s="10" t="str">
        <f>HYPERLINK("http://www.washoecounty.gov/assessor/cama/?parid=556-513-01&amp;CardNumber=1","556-513-01")</f>
        <v>556-513-01</v>
      </c>
      <c r="B8381" t="s">
        <v>4655</v>
      </c>
      <c r="C8381" t="s">
        <v>38466</v>
      </c>
      <c r="D8381" s="1">
        <v>40451</v>
      </c>
      <c r="E8381" s="2">
        <v>145000</v>
      </c>
      <c r="F8381" t="s">
        <v>4567</v>
      </c>
      <c r="G8381" s="17" t="str">
        <f>HYPERLINK("https://www.washoecounty.gov/assessor/cama/?command=sales&amp;parid=55651301","3928293")</f>
        <v>3928293</v>
      </c>
      <c r="H8381" t="s">
        <v>1306</v>
      </c>
      <c r="I8381">
        <v>2007</v>
      </c>
      <c r="J8381">
        <v>2007</v>
      </c>
      <c r="K8381" t="s">
        <v>4554</v>
      </c>
      <c r="L8381" t="s">
        <v>4555</v>
      </c>
      <c r="M8381" s="2">
        <v>1777</v>
      </c>
      <c r="N8381" t="s">
        <v>4556</v>
      </c>
      <c r="O8381">
        <v>3</v>
      </c>
      <c r="P8381">
        <v>2</v>
      </c>
      <c r="Q8381">
        <v>0</v>
      </c>
      <c r="R8381" t="s">
        <v>5281</v>
      </c>
      <c r="S8381" t="s">
        <v>4558</v>
      </c>
      <c r="T8381" t="s">
        <v>4559</v>
      </c>
      <c r="U8381" t="s">
        <v>4560</v>
      </c>
      <c r="V8381" s="2">
        <v>783</v>
      </c>
      <c r="W8381" t="s">
        <v>4655</v>
      </c>
      <c r="X8381" s="2">
        <v>0</v>
      </c>
      <c r="Y8381">
        <v>20</v>
      </c>
      <c r="Z8381" t="s">
        <v>5508</v>
      </c>
      <c r="AA8381" s="3">
        <v>0.30966481566429099</v>
      </c>
      <c r="AB8381" t="s">
        <v>38467</v>
      </c>
      <c r="AC8381" t="s">
        <v>4562</v>
      </c>
      <c r="AD8381" t="s">
        <v>38468</v>
      </c>
      <c r="AE8381" t="s">
        <v>4655</v>
      </c>
      <c r="AF8381" t="s">
        <v>4563</v>
      </c>
      <c r="AG8381" t="s">
        <v>4564</v>
      </c>
      <c r="AH8381">
        <v>89508</v>
      </c>
      <c r="AI8381" t="s">
        <v>38469</v>
      </c>
      <c r="AJ8381" t="s">
        <v>1308</v>
      </c>
      <c r="AK8381" t="s">
        <v>38470</v>
      </c>
      <c r="AL8381" s="13" t="s">
        <v>1892</v>
      </c>
      <c r="AM8381">
        <v>1</v>
      </c>
      <c r="AN8381" s="15" t="s">
        <v>2051</v>
      </c>
    </row>
    <row r="8382" spans="1:40" x14ac:dyDescent="0.3">
      <c r="A8382" s="10" t="str">
        <f>HYPERLINK("http://www.washoecounty.gov/assessor/cama/?parid=556-513-03&amp;CardNumber=1","556-513-03")</f>
        <v>556-513-03</v>
      </c>
      <c r="B8382" t="s">
        <v>4655</v>
      </c>
      <c r="C8382" t="s">
        <v>38471</v>
      </c>
      <c r="D8382" s="1">
        <v>40472</v>
      </c>
      <c r="E8382" s="2">
        <v>135000</v>
      </c>
      <c r="F8382" t="s">
        <v>4553</v>
      </c>
      <c r="G8382" s="17" t="str">
        <f>HYPERLINK("https://www.washoecounty.gov/assessor/cama/?command=sales&amp;parid=55651303","3935161")</f>
        <v>3935161</v>
      </c>
      <c r="H8382" t="s">
        <v>1306</v>
      </c>
      <c r="I8382">
        <v>2007</v>
      </c>
      <c r="J8382">
        <v>2007</v>
      </c>
      <c r="K8382" t="s">
        <v>4554</v>
      </c>
      <c r="L8382" t="s">
        <v>4555</v>
      </c>
      <c r="M8382" s="2">
        <v>1696</v>
      </c>
      <c r="N8382" t="s">
        <v>4556</v>
      </c>
      <c r="O8382">
        <v>3</v>
      </c>
      <c r="P8382">
        <v>2</v>
      </c>
      <c r="Q8382">
        <v>0</v>
      </c>
      <c r="R8382" t="s">
        <v>5281</v>
      </c>
      <c r="S8382" t="s">
        <v>4558</v>
      </c>
      <c r="T8382" t="s">
        <v>4559</v>
      </c>
      <c r="U8382" t="s">
        <v>4560</v>
      </c>
      <c r="V8382" s="2">
        <v>576</v>
      </c>
      <c r="W8382" t="s">
        <v>4655</v>
      </c>
      <c r="X8382" s="2">
        <v>0</v>
      </c>
      <c r="Y8382">
        <v>20</v>
      </c>
      <c r="Z8382" t="s">
        <v>5508</v>
      </c>
      <c r="AA8382" s="3">
        <v>0.249104678630829</v>
      </c>
      <c r="AB8382" t="s">
        <v>38472</v>
      </c>
      <c r="AC8382" t="s">
        <v>4562</v>
      </c>
      <c r="AD8382" t="s">
        <v>38473</v>
      </c>
      <c r="AE8382" t="s">
        <v>4655</v>
      </c>
      <c r="AF8382" t="s">
        <v>4563</v>
      </c>
      <c r="AG8382" t="s">
        <v>4564</v>
      </c>
      <c r="AH8382">
        <v>89508</v>
      </c>
      <c r="AI8382" t="s">
        <v>4848</v>
      </c>
      <c r="AJ8382" t="s">
        <v>1308</v>
      </c>
      <c r="AK8382" t="s">
        <v>38474</v>
      </c>
      <c r="AL8382" s="13" t="s">
        <v>1892</v>
      </c>
      <c r="AM8382" s="14">
        <v>1</v>
      </c>
      <c r="AN8382" s="15" t="s">
        <v>2051</v>
      </c>
    </row>
    <row r="8383" spans="1:40" x14ac:dyDescent="0.3">
      <c r="A8383" s="10" t="str">
        <f>HYPERLINK("http://www.washoecounty.gov/assessor/cama/?parid=556-531-07&amp;CardNumber=1","556-531-07")</f>
        <v>556-531-07</v>
      </c>
      <c r="B8383" t="s">
        <v>4655</v>
      </c>
      <c r="C8383" t="s">
        <v>38475</v>
      </c>
      <c r="D8383" s="1">
        <v>40296</v>
      </c>
      <c r="E8383" s="2">
        <v>187000</v>
      </c>
      <c r="F8383" t="s">
        <v>4567</v>
      </c>
      <c r="G8383" s="17" t="str">
        <f>HYPERLINK("https://www.washoecounty.gov/assessor/cama/?command=sales&amp;parid=55653107","3875701")</f>
        <v>3875701</v>
      </c>
      <c r="H8383" t="s">
        <v>2876</v>
      </c>
      <c r="I8383">
        <v>2009</v>
      </c>
      <c r="J8383">
        <v>2009</v>
      </c>
      <c r="K8383" t="s">
        <v>4554</v>
      </c>
      <c r="L8383" t="s">
        <v>4555</v>
      </c>
      <c r="M8383" s="2">
        <v>1696</v>
      </c>
      <c r="N8383" t="s">
        <v>4556</v>
      </c>
      <c r="O8383">
        <v>3</v>
      </c>
      <c r="P8383">
        <v>2</v>
      </c>
      <c r="Q8383">
        <v>0</v>
      </c>
      <c r="R8383" t="s">
        <v>5281</v>
      </c>
      <c r="S8383" t="s">
        <v>4558</v>
      </c>
      <c r="T8383" t="s">
        <v>4559</v>
      </c>
      <c r="U8383" t="s">
        <v>4560</v>
      </c>
      <c r="V8383" s="2">
        <v>576</v>
      </c>
      <c r="W8383" t="s">
        <v>4655</v>
      </c>
      <c r="X8383" s="2">
        <v>0</v>
      </c>
      <c r="Y8383">
        <v>20</v>
      </c>
      <c r="Z8383" t="s">
        <v>5508</v>
      </c>
      <c r="AA8383" s="3">
        <v>0.31260329484939597</v>
      </c>
      <c r="AB8383" t="s">
        <v>38476</v>
      </c>
      <c r="AC8383" t="s">
        <v>4562</v>
      </c>
      <c r="AD8383" t="s">
        <v>38475</v>
      </c>
      <c r="AE8383" t="s">
        <v>4655</v>
      </c>
      <c r="AF8383" t="s">
        <v>4563</v>
      </c>
      <c r="AG8383" t="s">
        <v>4564</v>
      </c>
      <c r="AH8383">
        <v>89508</v>
      </c>
      <c r="AI8383" t="s">
        <v>2877</v>
      </c>
      <c r="AJ8383" t="s">
        <v>2878</v>
      </c>
      <c r="AK8383" t="s">
        <v>38477</v>
      </c>
      <c r="AL8383" s="13" t="s">
        <v>1892</v>
      </c>
      <c r="AM8383">
        <v>1</v>
      </c>
      <c r="AN8383" s="15" t="s">
        <v>2051</v>
      </c>
    </row>
    <row r="8384" spans="1:40" x14ac:dyDescent="0.3">
      <c r="A8384" s="10" t="str">
        <f>HYPERLINK("http://www.washoecounty.gov/assessor/cama/?parid=556-531-15&amp;CardNumber=1","556-531-15")</f>
        <v>556-531-15</v>
      </c>
      <c r="B8384" t="s">
        <v>4655</v>
      </c>
      <c r="C8384" t="s">
        <v>38478</v>
      </c>
      <c r="D8384" s="1">
        <v>40434</v>
      </c>
      <c r="E8384" s="2">
        <v>221045</v>
      </c>
      <c r="F8384" t="s">
        <v>4567</v>
      </c>
      <c r="G8384" s="17" t="str">
        <f>HYPERLINK("https://www.washoecounty.gov/assessor/cama/?command=sales&amp;parid=55653115","3921552")</f>
        <v>3921552</v>
      </c>
      <c r="H8384" t="s">
        <v>2876</v>
      </c>
      <c r="I8384">
        <v>2009</v>
      </c>
      <c r="J8384">
        <v>2009</v>
      </c>
      <c r="K8384" t="s">
        <v>4554</v>
      </c>
      <c r="L8384" t="s">
        <v>4555</v>
      </c>
      <c r="M8384" s="2">
        <v>2112</v>
      </c>
      <c r="N8384" t="s">
        <v>4556</v>
      </c>
      <c r="O8384">
        <v>4</v>
      </c>
      <c r="P8384">
        <v>2</v>
      </c>
      <c r="Q8384">
        <v>0</v>
      </c>
      <c r="R8384" t="s">
        <v>5281</v>
      </c>
      <c r="S8384" t="s">
        <v>4558</v>
      </c>
      <c r="T8384" t="s">
        <v>4559</v>
      </c>
      <c r="U8384" t="s">
        <v>4560</v>
      </c>
      <c r="V8384" s="2">
        <v>640</v>
      </c>
      <c r="W8384" t="s">
        <v>4655</v>
      </c>
      <c r="X8384" s="2">
        <v>0</v>
      </c>
      <c r="Y8384">
        <v>20</v>
      </c>
      <c r="Z8384" t="s">
        <v>5508</v>
      </c>
      <c r="AA8384" s="3">
        <v>0.29517906904220598</v>
      </c>
      <c r="AB8384" t="s">
        <v>38479</v>
      </c>
      <c r="AC8384" t="s">
        <v>4562</v>
      </c>
      <c r="AD8384" t="s">
        <v>38478</v>
      </c>
      <c r="AE8384" t="s">
        <v>4655</v>
      </c>
      <c r="AF8384" t="s">
        <v>4563</v>
      </c>
      <c r="AG8384" t="s">
        <v>4564</v>
      </c>
      <c r="AH8384">
        <v>89508</v>
      </c>
      <c r="AI8384" t="s">
        <v>2877</v>
      </c>
      <c r="AJ8384" t="s">
        <v>2878</v>
      </c>
      <c r="AK8384" t="s">
        <v>38480</v>
      </c>
      <c r="AL8384" s="13" t="s">
        <v>1892</v>
      </c>
      <c r="AM8384">
        <v>1</v>
      </c>
      <c r="AN8384" s="15" t="s">
        <v>2051</v>
      </c>
    </row>
    <row r="8385" spans="1:40" x14ac:dyDescent="0.3">
      <c r="A8385" s="10" t="str">
        <f>HYPERLINK("http://www.washoecounty.gov/assessor/cama/?parid=556-531-20&amp;CardNumber=1","556-531-20")</f>
        <v>556-531-20</v>
      </c>
      <c r="B8385" t="s">
        <v>4655</v>
      </c>
      <c r="C8385" t="s">
        <v>38481</v>
      </c>
      <c r="D8385" s="1">
        <v>40291</v>
      </c>
      <c r="E8385" s="2">
        <v>194905</v>
      </c>
      <c r="F8385" t="s">
        <v>4567</v>
      </c>
      <c r="G8385" s="17" t="str">
        <f>HYPERLINK("https://www.washoecounty.gov/assessor/cama/?command=sales&amp;parid=55653120","3874202")</f>
        <v>3874202</v>
      </c>
      <c r="H8385" t="s">
        <v>2876</v>
      </c>
      <c r="I8385">
        <v>2009</v>
      </c>
      <c r="J8385">
        <v>2009</v>
      </c>
      <c r="K8385" t="s">
        <v>4554</v>
      </c>
      <c r="L8385" t="s">
        <v>4555</v>
      </c>
      <c r="M8385" s="2">
        <v>1777</v>
      </c>
      <c r="N8385" t="s">
        <v>4556</v>
      </c>
      <c r="O8385">
        <v>3</v>
      </c>
      <c r="P8385">
        <v>2</v>
      </c>
      <c r="Q8385">
        <v>0</v>
      </c>
      <c r="R8385" t="s">
        <v>5281</v>
      </c>
      <c r="S8385" t="s">
        <v>4558</v>
      </c>
      <c r="T8385" t="s">
        <v>4559</v>
      </c>
      <c r="U8385" t="s">
        <v>4560</v>
      </c>
      <c r="V8385" s="2">
        <v>783</v>
      </c>
      <c r="W8385" t="s">
        <v>4655</v>
      </c>
      <c r="X8385" s="2">
        <v>0</v>
      </c>
      <c r="Y8385">
        <v>20</v>
      </c>
      <c r="Z8385" t="s">
        <v>5508</v>
      </c>
      <c r="AA8385" s="3">
        <v>0.23103764653205899</v>
      </c>
      <c r="AB8385" t="s">
        <v>38482</v>
      </c>
      <c r="AC8385" t="s">
        <v>4562</v>
      </c>
      <c r="AD8385" t="s">
        <v>38481</v>
      </c>
      <c r="AE8385" t="s">
        <v>4655</v>
      </c>
      <c r="AF8385" t="s">
        <v>4563</v>
      </c>
      <c r="AG8385" t="s">
        <v>4564</v>
      </c>
      <c r="AH8385">
        <v>89508</v>
      </c>
      <c r="AI8385" t="s">
        <v>2877</v>
      </c>
      <c r="AJ8385" t="s">
        <v>2878</v>
      </c>
      <c r="AK8385" t="s">
        <v>38483</v>
      </c>
      <c r="AL8385" s="13" t="s">
        <v>1892</v>
      </c>
      <c r="AM8385">
        <v>1</v>
      </c>
      <c r="AN8385" s="15" t="s">
        <v>2051</v>
      </c>
    </row>
    <row r="8386" spans="1:40" x14ac:dyDescent="0.3">
      <c r="A8386" s="10" t="str">
        <f>HYPERLINK("http://www.washoecounty.gov/assessor/cama/?parid=556-532-04&amp;CardNumber=1","556-532-04")</f>
        <v>556-532-04</v>
      </c>
      <c r="B8386" t="s">
        <v>4655</v>
      </c>
      <c r="C8386" t="s">
        <v>38484</v>
      </c>
      <c r="D8386" s="1">
        <v>40340</v>
      </c>
      <c r="E8386" s="2">
        <v>185400</v>
      </c>
      <c r="F8386" t="s">
        <v>4567</v>
      </c>
      <c r="G8386" s="17" t="str">
        <f>HYPERLINK("https://www.washoecounty.gov/assessor/cama/?command=sales&amp;parid=55653204","3891093")</f>
        <v>3891093</v>
      </c>
      <c r="H8386" t="s">
        <v>2876</v>
      </c>
      <c r="I8386">
        <v>2009</v>
      </c>
      <c r="J8386">
        <v>2009</v>
      </c>
      <c r="K8386" t="s">
        <v>4554</v>
      </c>
      <c r="L8386" t="s">
        <v>4555</v>
      </c>
      <c r="M8386" s="2">
        <v>1777</v>
      </c>
      <c r="N8386" t="s">
        <v>4556</v>
      </c>
      <c r="O8386">
        <v>3</v>
      </c>
      <c r="P8386">
        <v>2</v>
      </c>
      <c r="Q8386">
        <v>0</v>
      </c>
      <c r="R8386" t="s">
        <v>5281</v>
      </c>
      <c r="S8386" t="s">
        <v>4558</v>
      </c>
      <c r="T8386" t="s">
        <v>4559</v>
      </c>
      <c r="U8386" t="s">
        <v>4560</v>
      </c>
      <c r="V8386" s="2">
        <v>783</v>
      </c>
      <c r="W8386" t="s">
        <v>4655</v>
      </c>
      <c r="X8386" s="2">
        <v>0</v>
      </c>
      <c r="Y8386">
        <v>20</v>
      </c>
      <c r="Z8386" t="s">
        <v>5508</v>
      </c>
      <c r="AA8386" s="3">
        <v>0.185491278767586</v>
      </c>
      <c r="AB8386" t="s">
        <v>38485</v>
      </c>
      <c r="AC8386" t="s">
        <v>4562</v>
      </c>
      <c r="AD8386" t="s">
        <v>38484</v>
      </c>
      <c r="AE8386" t="s">
        <v>4655</v>
      </c>
      <c r="AF8386" t="s">
        <v>4563</v>
      </c>
      <c r="AG8386" t="s">
        <v>4564</v>
      </c>
      <c r="AH8386">
        <v>89508</v>
      </c>
      <c r="AI8386" t="s">
        <v>2877</v>
      </c>
      <c r="AJ8386" t="s">
        <v>2878</v>
      </c>
      <c r="AK8386" t="s">
        <v>38486</v>
      </c>
      <c r="AL8386" s="13" t="s">
        <v>1892</v>
      </c>
      <c r="AM8386" s="14">
        <v>1</v>
      </c>
      <c r="AN8386" s="15" t="s">
        <v>2051</v>
      </c>
    </row>
    <row r="8387" spans="1:40" x14ac:dyDescent="0.3">
      <c r="A8387" s="10" t="str">
        <f>HYPERLINK("http://www.washoecounty.gov/assessor/cama/?parid=556-532-10&amp;CardNumber=1","556-532-10")</f>
        <v>556-532-10</v>
      </c>
      <c r="B8387" t="s">
        <v>4655</v>
      </c>
      <c r="C8387" t="s">
        <v>38487</v>
      </c>
      <c r="D8387" s="1">
        <v>40340</v>
      </c>
      <c r="E8387" s="2">
        <v>203288</v>
      </c>
      <c r="F8387" t="s">
        <v>4567</v>
      </c>
      <c r="G8387" s="17" t="str">
        <f>HYPERLINK("https://www.washoecounty.gov/assessor/cama/?command=sales&amp;parid=55653210","3891142")</f>
        <v>3891142</v>
      </c>
      <c r="H8387" t="s">
        <v>2876</v>
      </c>
      <c r="I8387">
        <v>2009</v>
      </c>
      <c r="J8387">
        <v>2009</v>
      </c>
      <c r="K8387" t="s">
        <v>4554</v>
      </c>
      <c r="L8387" t="s">
        <v>4555</v>
      </c>
      <c r="M8387" s="2">
        <v>2112</v>
      </c>
      <c r="N8387" t="s">
        <v>4556</v>
      </c>
      <c r="O8387">
        <v>4</v>
      </c>
      <c r="P8387">
        <v>2</v>
      </c>
      <c r="Q8387">
        <v>0</v>
      </c>
      <c r="R8387" t="s">
        <v>5281</v>
      </c>
      <c r="S8387" t="s">
        <v>4558</v>
      </c>
      <c r="T8387" t="s">
        <v>4559</v>
      </c>
      <c r="U8387" t="s">
        <v>4560</v>
      </c>
      <c r="V8387" s="2">
        <v>640</v>
      </c>
      <c r="W8387" t="s">
        <v>4655</v>
      </c>
      <c r="X8387" s="2">
        <v>0</v>
      </c>
      <c r="Y8387">
        <v>20</v>
      </c>
      <c r="Z8387" t="s">
        <v>5508</v>
      </c>
      <c r="AA8387" s="3">
        <v>0.18094582855701399</v>
      </c>
      <c r="AB8387" t="s">
        <v>38488</v>
      </c>
      <c r="AC8387" t="s">
        <v>4575</v>
      </c>
      <c r="AD8387" t="s">
        <v>38487</v>
      </c>
      <c r="AE8387" t="s">
        <v>4655</v>
      </c>
      <c r="AF8387" t="s">
        <v>4563</v>
      </c>
      <c r="AG8387" t="s">
        <v>4564</v>
      </c>
      <c r="AH8387">
        <v>89508</v>
      </c>
      <c r="AI8387" t="s">
        <v>2877</v>
      </c>
      <c r="AJ8387" t="s">
        <v>2878</v>
      </c>
      <c r="AK8387" t="s">
        <v>38489</v>
      </c>
      <c r="AL8387" s="13" t="s">
        <v>1892</v>
      </c>
      <c r="AM8387" s="14">
        <v>1</v>
      </c>
      <c r="AN8387" s="15" t="s">
        <v>2051</v>
      </c>
    </row>
    <row r="8388" spans="1:40" x14ac:dyDescent="0.3">
      <c r="A8388" s="10" t="str">
        <f>HYPERLINK("http://www.washoecounty.gov/assessor/cama/?parid=556-532-14&amp;CardNumber=1","556-532-14")</f>
        <v>556-532-14</v>
      </c>
      <c r="B8388" t="s">
        <v>4655</v>
      </c>
      <c r="C8388" t="s">
        <v>1739</v>
      </c>
      <c r="D8388" s="1">
        <v>40416</v>
      </c>
      <c r="E8388" s="2">
        <v>195000</v>
      </c>
      <c r="F8388" t="s">
        <v>4567</v>
      </c>
      <c r="G8388" s="17" t="str">
        <f>HYPERLINK("https://www.washoecounty.gov/assessor/cama/?command=sales&amp;parid=55653214","3915968")</f>
        <v>3915968</v>
      </c>
      <c r="H8388" t="s">
        <v>2876</v>
      </c>
      <c r="I8388">
        <v>2009</v>
      </c>
      <c r="J8388">
        <v>2009</v>
      </c>
      <c r="K8388" t="s">
        <v>4554</v>
      </c>
      <c r="L8388" t="s">
        <v>4555</v>
      </c>
      <c r="M8388" s="2">
        <v>2112</v>
      </c>
      <c r="N8388" t="s">
        <v>4556</v>
      </c>
      <c r="O8388">
        <v>4</v>
      </c>
      <c r="P8388">
        <v>2</v>
      </c>
      <c r="Q8388">
        <v>0</v>
      </c>
      <c r="R8388" t="s">
        <v>5281</v>
      </c>
      <c r="S8388" t="s">
        <v>4558</v>
      </c>
      <c r="T8388" t="s">
        <v>4559</v>
      </c>
      <c r="U8388" t="s">
        <v>4560</v>
      </c>
      <c r="V8388" s="2">
        <v>640</v>
      </c>
      <c r="W8388" t="s">
        <v>4655</v>
      </c>
      <c r="X8388" s="2">
        <v>0</v>
      </c>
      <c r="Y8388">
        <v>20</v>
      </c>
      <c r="Z8388" t="s">
        <v>5508</v>
      </c>
      <c r="AA8388" s="3">
        <v>0.21629935503006001</v>
      </c>
      <c r="AB8388" t="s">
        <v>1740</v>
      </c>
      <c r="AC8388" t="s">
        <v>4562</v>
      </c>
      <c r="AD8388" t="s">
        <v>1739</v>
      </c>
      <c r="AE8388" t="s">
        <v>4655</v>
      </c>
      <c r="AF8388" t="s">
        <v>4563</v>
      </c>
      <c r="AG8388" t="s">
        <v>4564</v>
      </c>
      <c r="AH8388">
        <v>89508</v>
      </c>
      <c r="AI8388" t="s">
        <v>2877</v>
      </c>
      <c r="AJ8388" t="s">
        <v>2878</v>
      </c>
      <c r="AK8388" t="s">
        <v>1741</v>
      </c>
      <c r="AL8388" s="13" t="s">
        <v>1892</v>
      </c>
      <c r="AM8388" s="14">
        <v>1</v>
      </c>
      <c r="AN8388" s="15" t="s">
        <v>2051</v>
      </c>
    </row>
    <row r="8389" spans="1:40" x14ac:dyDescent="0.3">
      <c r="A8389" s="10" t="str">
        <f>HYPERLINK("http://www.washoecounty.gov/assessor/cama/?parid=556-541-03&amp;CardNumber=1","556-541-03")</f>
        <v>556-541-03</v>
      </c>
      <c r="B8389" t="s">
        <v>4655</v>
      </c>
      <c r="C8389" t="s">
        <v>38490</v>
      </c>
      <c r="D8389" s="1">
        <v>40296</v>
      </c>
      <c r="E8389" s="2">
        <v>217121</v>
      </c>
      <c r="F8389" t="s">
        <v>4567</v>
      </c>
      <c r="G8389" s="17" t="str">
        <f>HYPERLINK("https://www.washoecounty.gov/assessor/cama/?command=sales&amp;parid=55654103","3875743")</f>
        <v>3875743</v>
      </c>
      <c r="H8389" t="s">
        <v>2876</v>
      </c>
      <c r="I8389">
        <v>2009</v>
      </c>
      <c r="J8389">
        <v>2009</v>
      </c>
      <c r="K8389" t="s">
        <v>4554</v>
      </c>
      <c r="L8389" t="s">
        <v>4555</v>
      </c>
      <c r="M8389" s="2">
        <v>2112</v>
      </c>
      <c r="N8389" t="s">
        <v>4556</v>
      </c>
      <c r="O8389">
        <v>4</v>
      </c>
      <c r="P8389">
        <v>2</v>
      </c>
      <c r="Q8389">
        <v>0</v>
      </c>
      <c r="R8389" t="s">
        <v>5281</v>
      </c>
      <c r="S8389" t="s">
        <v>4558</v>
      </c>
      <c r="T8389" t="s">
        <v>4559</v>
      </c>
      <c r="U8389" t="s">
        <v>4560</v>
      </c>
      <c r="V8389" s="2">
        <v>640</v>
      </c>
      <c r="W8389" t="s">
        <v>4655</v>
      </c>
      <c r="X8389" s="2">
        <v>0</v>
      </c>
      <c r="Y8389">
        <v>20</v>
      </c>
      <c r="Z8389" t="s">
        <v>5508</v>
      </c>
      <c r="AA8389" s="3">
        <v>0.17332415282726288</v>
      </c>
      <c r="AB8389" t="s">
        <v>38491</v>
      </c>
      <c r="AC8389" t="s">
        <v>4562</v>
      </c>
      <c r="AD8389" t="s">
        <v>38490</v>
      </c>
      <c r="AE8389" t="s">
        <v>4655</v>
      </c>
      <c r="AF8389" t="s">
        <v>4563</v>
      </c>
      <c r="AG8389" t="s">
        <v>4564</v>
      </c>
      <c r="AH8389">
        <v>89508</v>
      </c>
      <c r="AI8389" t="s">
        <v>2877</v>
      </c>
      <c r="AJ8389" t="s">
        <v>2878</v>
      </c>
      <c r="AK8389" t="s">
        <v>38492</v>
      </c>
      <c r="AL8389" s="13" t="s">
        <v>1892</v>
      </c>
      <c r="AM8389" s="14">
        <v>1</v>
      </c>
      <c r="AN8389" s="15" t="s">
        <v>2051</v>
      </c>
    </row>
    <row r="8390" spans="1:40" x14ac:dyDescent="0.3">
      <c r="A8390" s="10" t="str">
        <f>HYPERLINK("http://www.washoecounty.gov/assessor/cama/?parid=556-542-10&amp;CardNumber=1","556-542-10")</f>
        <v>556-542-10</v>
      </c>
      <c r="B8390" t="s">
        <v>4655</v>
      </c>
      <c r="C8390" t="s">
        <v>38493</v>
      </c>
      <c r="D8390" s="1">
        <v>40298</v>
      </c>
      <c r="E8390" s="2">
        <v>221354</v>
      </c>
      <c r="F8390" t="s">
        <v>4567</v>
      </c>
      <c r="G8390" s="17" t="str">
        <f>HYPERLINK("https://www.washoecounty.gov/assessor/cama/?command=sales&amp;parid=55654210","3876973")</f>
        <v>3876973</v>
      </c>
      <c r="H8390" t="s">
        <v>2876</v>
      </c>
      <c r="I8390">
        <v>2009</v>
      </c>
      <c r="J8390">
        <v>2009</v>
      </c>
      <c r="K8390" t="s">
        <v>4554</v>
      </c>
      <c r="L8390" t="s">
        <v>4555</v>
      </c>
      <c r="M8390" s="2">
        <v>1696</v>
      </c>
      <c r="N8390" t="s">
        <v>4556</v>
      </c>
      <c r="O8390">
        <v>3</v>
      </c>
      <c r="P8390">
        <v>2</v>
      </c>
      <c r="Q8390">
        <v>0</v>
      </c>
      <c r="R8390" t="s">
        <v>4557</v>
      </c>
      <c r="S8390" t="s">
        <v>4558</v>
      </c>
      <c r="T8390" t="s">
        <v>4559</v>
      </c>
      <c r="U8390" t="s">
        <v>4560</v>
      </c>
      <c r="V8390" s="2">
        <v>576</v>
      </c>
      <c r="W8390" t="s">
        <v>4655</v>
      </c>
      <c r="X8390" s="2">
        <v>0</v>
      </c>
      <c r="Y8390">
        <v>20</v>
      </c>
      <c r="Z8390" t="s">
        <v>5508</v>
      </c>
      <c r="AA8390" s="3">
        <v>0.44676309823989901</v>
      </c>
      <c r="AB8390" t="s">
        <v>38494</v>
      </c>
      <c r="AC8390" t="s">
        <v>4562</v>
      </c>
      <c r="AD8390" t="s">
        <v>38493</v>
      </c>
      <c r="AE8390" t="s">
        <v>4655</v>
      </c>
      <c r="AF8390" t="s">
        <v>4563</v>
      </c>
      <c r="AG8390" t="s">
        <v>4564</v>
      </c>
      <c r="AH8390">
        <v>89508</v>
      </c>
      <c r="AI8390" t="s">
        <v>2877</v>
      </c>
      <c r="AJ8390" t="s">
        <v>2878</v>
      </c>
      <c r="AK8390" t="s">
        <v>38495</v>
      </c>
      <c r="AL8390" s="13" t="s">
        <v>1892</v>
      </c>
      <c r="AM8390" s="14">
        <v>1</v>
      </c>
      <c r="AN8390" s="15" t="s">
        <v>2051</v>
      </c>
    </row>
    <row r="8391" spans="1:40" x14ac:dyDescent="0.3">
      <c r="A8391" s="10" t="str">
        <f>HYPERLINK("http://www.washoecounty.gov/assessor/cama/?parid=556-551-04&amp;CardNumber=1","556-551-04")</f>
        <v>556-551-04</v>
      </c>
      <c r="B8391" t="s">
        <v>4655</v>
      </c>
      <c r="C8391" t="s">
        <v>38496</v>
      </c>
      <c r="D8391" s="1">
        <v>40438</v>
      </c>
      <c r="E8391" s="2">
        <v>170875</v>
      </c>
      <c r="F8391" t="s">
        <v>4567</v>
      </c>
      <c r="G8391" s="17" t="str">
        <f>HYPERLINK("https://www.washoecounty.gov/assessor/cama/?command=sales&amp;parid=55655104","3923508")</f>
        <v>3923508</v>
      </c>
      <c r="H8391" t="s">
        <v>2876</v>
      </c>
      <c r="I8391">
        <v>2009</v>
      </c>
      <c r="J8391">
        <v>2009</v>
      </c>
      <c r="K8391" t="s">
        <v>4554</v>
      </c>
      <c r="L8391" t="s">
        <v>4555</v>
      </c>
      <c r="M8391" s="2">
        <v>1696</v>
      </c>
      <c r="N8391" t="s">
        <v>4556</v>
      </c>
      <c r="O8391">
        <v>3</v>
      </c>
      <c r="P8391">
        <v>2</v>
      </c>
      <c r="Q8391">
        <v>0</v>
      </c>
      <c r="R8391" t="s">
        <v>4557</v>
      </c>
      <c r="S8391" t="s">
        <v>4558</v>
      </c>
      <c r="T8391" t="s">
        <v>4559</v>
      </c>
      <c r="U8391" t="s">
        <v>4560</v>
      </c>
      <c r="V8391" s="2">
        <v>576</v>
      </c>
      <c r="W8391" t="s">
        <v>4655</v>
      </c>
      <c r="X8391" s="2">
        <v>0</v>
      </c>
      <c r="Y8391">
        <v>20</v>
      </c>
      <c r="Z8391" t="s">
        <v>5508</v>
      </c>
      <c r="AA8391" s="3">
        <v>0.170890718698502</v>
      </c>
      <c r="AB8391" t="s">
        <v>38497</v>
      </c>
      <c r="AC8391" t="s">
        <v>4562</v>
      </c>
      <c r="AD8391" t="s">
        <v>38496</v>
      </c>
      <c r="AE8391" t="s">
        <v>4655</v>
      </c>
      <c r="AF8391" t="s">
        <v>4563</v>
      </c>
      <c r="AG8391" t="s">
        <v>4564</v>
      </c>
      <c r="AH8391">
        <v>89508</v>
      </c>
      <c r="AI8391" t="s">
        <v>2877</v>
      </c>
      <c r="AJ8391" t="s">
        <v>2878</v>
      </c>
      <c r="AK8391" t="s">
        <v>38498</v>
      </c>
      <c r="AL8391" s="13" t="s">
        <v>1892</v>
      </c>
      <c r="AM8391">
        <v>1</v>
      </c>
      <c r="AN8391" s="15" t="s">
        <v>2051</v>
      </c>
    </row>
    <row r="8392" spans="1:40" x14ac:dyDescent="0.3">
      <c r="A8392" s="10" t="str">
        <f>HYPERLINK("http://www.washoecounty.gov/assessor/cama/?parid=560-011-07&amp;CardNumber=1","560-011-07")</f>
        <v>560-011-07</v>
      </c>
      <c r="B8392" t="s">
        <v>4655</v>
      </c>
      <c r="C8392" t="s">
        <v>38499</v>
      </c>
      <c r="D8392" s="1">
        <v>40450</v>
      </c>
      <c r="E8392" s="2">
        <v>103000</v>
      </c>
      <c r="F8392" t="s">
        <v>4567</v>
      </c>
      <c r="G8392" s="17" t="str">
        <f>HYPERLINK("https://www.washoecounty.gov/assessor/cama/?command=sales&amp;parid=56001107","3927503")</f>
        <v>3927503</v>
      </c>
      <c r="H8392" t="s">
        <v>5560</v>
      </c>
      <c r="I8392">
        <v>2004</v>
      </c>
      <c r="J8392">
        <v>2004</v>
      </c>
      <c r="K8392" t="s">
        <v>4554</v>
      </c>
      <c r="L8392" t="s">
        <v>4555</v>
      </c>
      <c r="M8392" s="2">
        <v>1261</v>
      </c>
      <c r="N8392" t="s">
        <v>4048</v>
      </c>
      <c r="O8392">
        <v>3</v>
      </c>
      <c r="P8392">
        <v>2</v>
      </c>
      <c r="Q8392">
        <v>0</v>
      </c>
      <c r="R8392" t="s">
        <v>5281</v>
      </c>
      <c r="S8392" t="s">
        <v>4558</v>
      </c>
      <c r="T8392" t="s">
        <v>4559</v>
      </c>
      <c r="U8392" t="s">
        <v>4560</v>
      </c>
      <c r="V8392" s="2">
        <v>380</v>
      </c>
      <c r="W8392" t="s">
        <v>4655</v>
      </c>
      <c r="X8392" s="2">
        <v>0</v>
      </c>
      <c r="Y8392">
        <v>20</v>
      </c>
      <c r="Z8392" t="s">
        <v>4561</v>
      </c>
      <c r="AA8392" s="3">
        <v>0.12899449467658999</v>
      </c>
      <c r="AB8392" t="s">
        <v>38500</v>
      </c>
      <c r="AC8392" t="s">
        <v>4562</v>
      </c>
      <c r="AD8392" t="s">
        <v>38499</v>
      </c>
      <c r="AE8392" t="s">
        <v>4655</v>
      </c>
      <c r="AF8392" t="s">
        <v>4563</v>
      </c>
      <c r="AG8392" t="s">
        <v>4564</v>
      </c>
      <c r="AH8392">
        <v>89506</v>
      </c>
      <c r="AI8392" t="s">
        <v>38501</v>
      </c>
      <c r="AJ8392" t="s">
        <v>5561</v>
      </c>
      <c r="AK8392" t="s">
        <v>38502</v>
      </c>
      <c r="AL8392" s="13" t="s">
        <v>1901</v>
      </c>
      <c r="AM8392">
        <v>1</v>
      </c>
      <c r="AN8392" s="15" t="s">
        <v>1448</v>
      </c>
    </row>
    <row r="8393" spans="1:40" x14ac:dyDescent="0.3">
      <c r="A8393" s="10" t="str">
        <f>HYPERLINK("http://www.washoecounty.gov/assessor/cama/?parid=560-012-05&amp;CardNumber=1","560-012-05")</f>
        <v>560-012-05</v>
      </c>
      <c r="B8393" t="s">
        <v>4655</v>
      </c>
      <c r="C8393" t="s">
        <v>38503</v>
      </c>
      <c r="D8393" s="1">
        <v>40269</v>
      </c>
      <c r="E8393" s="2">
        <v>120000</v>
      </c>
      <c r="F8393" t="s">
        <v>4553</v>
      </c>
      <c r="G8393" s="17" t="str">
        <f>HYPERLINK("https://www.washoecounty.gov/assessor/cama/?command=sales&amp;parid=56001205","3866914")</f>
        <v>3866914</v>
      </c>
      <c r="H8393" t="s">
        <v>5560</v>
      </c>
      <c r="I8393">
        <v>2004</v>
      </c>
      <c r="J8393">
        <v>2004</v>
      </c>
      <c r="K8393" t="s">
        <v>4554</v>
      </c>
      <c r="L8393" t="s">
        <v>3974</v>
      </c>
      <c r="M8393" s="2">
        <v>1580</v>
      </c>
      <c r="N8393" t="s">
        <v>4048</v>
      </c>
      <c r="O8393">
        <v>3</v>
      </c>
      <c r="P8393">
        <v>3</v>
      </c>
      <c r="Q8393">
        <v>0</v>
      </c>
      <c r="R8393" t="s">
        <v>5281</v>
      </c>
      <c r="S8393" t="s">
        <v>4558</v>
      </c>
      <c r="T8393" t="s">
        <v>4559</v>
      </c>
      <c r="U8393" t="s">
        <v>4560</v>
      </c>
      <c r="V8393" s="2">
        <v>462</v>
      </c>
      <c r="W8393" t="s">
        <v>4655</v>
      </c>
      <c r="X8393" s="2">
        <v>0</v>
      </c>
      <c r="Y8393">
        <v>20</v>
      </c>
      <c r="Z8393" t="s">
        <v>4561</v>
      </c>
      <c r="AA8393" s="3">
        <v>0.21299357712268799</v>
      </c>
      <c r="AB8393" t="s">
        <v>38504</v>
      </c>
      <c r="AC8393" t="s">
        <v>4575</v>
      </c>
      <c r="AD8393" t="s">
        <v>38505</v>
      </c>
      <c r="AE8393" t="s">
        <v>4655</v>
      </c>
      <c r="AF8393" t="s">
        <v>4563</v>
      </c>
      <c r="AG8393" t="s">
        <v>4564</v>
      </c>
      <c r="AH8393">
        <v>89506</v>
      </c>
      <c r="AI8393" t="s">
        <v>4903</v>
      </c>
      <c r="AJ8393" t="s">
        <v>5561</v>
      </c>
      <c r="AK8393" t="s">
        <v>38506</v>
      </c>
      <c r="AL8393" s="13" t="s">
        <v>1901</v>
      </c>
      <c r="AM8393">
        <v>1</v>
      </c>
      <c r="AN8393" s="15" t="s">
        <v>1448</v>
      </c>
    </row>
    <row r="8394" spans="1:40" x14ac:dyDescent="0.3">
      <c r="A8394" s="10" t="str">
        <f>HYPERLINK("http://www.washoecounty.gov/assessor/cama/?parid=560-013-05&amp;CardNumber=1","560-013-05")</f>
        <v>560-013-05</v>
      </c>
      <c r="B8394" t="s">
        <v>4655</v>
      </c>
      <c r="C8394" t="s">
        <v>38507</v>
      </c>
      <c r="D8394" s="1">
        <v>40256</v>
      </c>
      <c r="E8394" s="2">
        <v>111361</v>
      </c>
      <c r="F8394" t="s">
        <v>4553</v>
      </c>
      <c r="G8394" s="17" t="str">
        <f>HYPERLINK("https://www.washoecounty.gov/assessor/cama/?command=sales&amp;parid=56001305","3861887")</f>
        <v>3861887</v>
      </c>
      <c r="H8394" t="s">
        <v>5560</v>
      </c>
      <c r="I8394">
        <v>2004</v>
      </c>
      <c r="J8394">
        <v>2004</v>
      </c>
      <c r="K8394" t="s">
        <v>4554</v>
      </c>
      <c r="L8394" t="s">
        <v>3974</v>
      </c>
      <c r="M8394" s="2">
        <v>1580</v>
      </c>
      <c r="N8394" t="s">
        <v>4048</v>
      </c>
      <c r="O8394">
        <v>3</v>
      </c>
      <c r="P8394">
        <v>2</v>
      </c>
      <c r="Q8394">
        <v>1</v>
      </c>
      <c r="R8394" t="s">
        <v>5281</v>
      </c>
      <c r="S8394" t="s">
        <v>4558</v>
      </c>
      <c r="T8394" t="s">
        <v>4559</v>
      </c>
      <c r="U8394" t="s">
        <v>4560</v>
      </c>
      <c r="V8394" s="2">
        <v>462</v>
      </c>
      <c r="W8394" t="s">
        <v>4655</v>
      </c>
      <c r="X8394" s="2">
        <v>0</v>
      </c>
      <c r="Y8394">
        <v>20</v>
      </c>
      <c r="Z8394" t="s">
        <v>4561</v>
      </c>
      <c r="AA8394" s="3">
        <v>0.17499999701976801</v>
      </c>
      <c r="AB8394" t="s">
        <v>38508</v>
      </c>
      <c r="AC8394" t="s">
        <v>4575</v>
      </c>
      <c r="AD8394" t="s">
        <v>19511</v>
      </c>
      <c r="AE8394" t="s">
        <v>4655</v>
      </c>
      <c r="AF8394" t="s">
        <v>4563</v>
      </c>
      <c r="AG8394" t="s">
        <v>4564</v>
      </c>
      <c r="AH8394">
        <v>89509</v>
      </c>
      <c r="AI8394" t="s">
        <v>4848</v>
      </c>
      <c r="AJ8394" t="s">
        <v>5561</v>
      </c>
      <c r="AK8394" t="s">
        <v>38509</v>
      </c>
      <c r="AL8394" s="13" t="s">
        <v>1901</v>
      </c>
      <c r="AM8394">
        <v>1</v>
      </c>
      <c r="AN8394" s="15" t="s">
        <v>1448</v>
      </c>
    </row>
    <row r="8395" spans="1:40" x14ac:dyDescent="0.3">
      <c r="A8395" s="10" t="str">
        <f>HYPERLINK("http://www.washoecounty.gov/assessor/cama/?parid=560-051-05&amp;CardNumber=1","560-051-05")</f>
        <v>560-051-05</v>
      </c>
      <c r="B8395" t="s">
        <v>4655</v>
      </c>
      <c r="C8395" t="s">
        <v>38510</v>
      </c>
      <c r="D8395" s="1">
        <v>40436</v>
      </c>
      <c r="E8395" s="2">
        <v>145000</v>
      </c>
      <c r="F8395" t="s">
        <v>4553</v>
      </c>
      <c r="G8395" s="17" t="str">
        <f>HYPERLINK("https://www.washoecounty.gov/assessor/cama/?command=sales&amp;parid=56005105","3922607")</f>
        <v>3922607</v>
      </c>
      <c r="H8395" t="s">
        <v>1334</v>
      </c>
      <c r="I8395">
        <v>2005</v>
      </c>
      <c r="J8395">
        <v>2005</v>
      </c>
      <c r="K8395" t="s">
        <v>4554</v>
      </c>
      <c r="L8395" t="s">
        <v>3974</v>
      </c>
      <c r="M8395" s="2">
        <v>1723</v>
      </c>
      <c r="N8395" t="s">
        <v>4048</v>
      </c>
      <c r="O8395">
        <v>3</v>
      </c>
      <c r="P8395">
        <v>2</v>
      </c>
      <c r="Q8395">
        <v>1</v>
      </c>
      <c r="R8395" t="s">
        <v>5281</v>
      </c>
      <c r="S8395" t="s">
        <v>4558</v>
      </c>
      <c r="T8395" t="s">
        <v>4559</v>
      </c>
      <c r="U8395" t="s">
        <v>5631</v>
      </c>
      <c r="V8395" s="2">
        <v>438</v>
      </c>
      <c r="W8395" t="s">
        <v>4655</v>
      </c>
      <c r="X8395" s="2">
        <v>0</v>
      </c>
      <c r="Y8395">
        <v>20</v>
      </c>
      <c r="Z8395" t="s">
        <v>4561</v>
      </c>
      <c r="AA8395" s="3">
        <v>0.28473371267318698</v>
      </c>
      <c r="AB8395" t="s">
        <v>38511</v>
      </c>
      <c r="AC8395" t="s">
        <v>4562</v>
      </c>
      <c r="AD8395" t="s">
        <v>38510</v>
      </c>
      <c r="AE8395" t="s">
        <v>4655</v>
      </c>
      <c r="AF8395" t="s">
        <v>4563</v>
      </c>
      <c r="AG8395" t="s">
        <v>4564</v>
      </c>
      <c r="AH8395">
        <v>89506</v>
      </c>
      <c r="AI8395" t="s">
        <v>4565</v>
      </c>
      <c r="AJ8395" t="s">
        <v>1335</v>
      </c>
      <c r="AK8395" t="s">
        <v>38512</v>
      </c>
      <c r="AL8395" s="13" t="s">
        <v>1901</v>
      </c>
      <c r="AM8395">
        <v>1</v>
      </c>
      <c r="AN8395" s="15" t="s">
        <v>1448</v>
      </c>
    </row>
    <row r="8396" spans="1:40" x14ac:dyDescent="0.3">
      <c r="A8396" s="10" t="str">
        <f>HYPERLINK("http://www.washoecounty.gov/assessor/cama/?parid=560-051-11&amp;CardNumber=1","560-051-11")</f>
        <v>560-051-11</v>
      </c>
      <c r="B8396" t="s">
        <v>4655</v>
      </c>
      <c r="C8396" t="s">
        <v>38513</v>
      </c>
      <c r="D8396" s="1">
        <v>40403</v>
      </c>
      <c r="E8396" s="2">
        <v>115000</v>
      </c>
      <c r="F8396" t="s">
        <v>4567</v>
      </c>
      <c r="G8396" s="17" t="str">
        <f>HYPERLINK("https://www.washoecounty.gov/assessor/cama/?command=sales&amp;parid=56005111","3911710")</f>
        <v>3911710</v>
      </c>
      <c r="H8396" t="s">
        <v>1334</v>
      </c>
      <c r="I8396">
        <v>2005</v>
      </c>
      <c r="J8396">
        <v>2005</v>
      </c>
      <c r="K8396" t="s">
        <v>4554</v>
      </c>
      <c r="L8396" t="s">
        <v>4555</v>
      </c>
      <c r="M8396" s="2">
        <v>1389</v>
      </c>
      <c r="N8396" t="s">
        <v>4048</v>
      </c>
      <c r="O8396">
        <v>3</v>
      </c>
      <c r="P8396">
        <v>2</v>
      </c>
      <c r="Q8396">
        <v>0</v>
      </c>
      <c r="R8396" t="s">
        <v>5281</v>
      </c>
      <c r="S8396" t="s">
        <v>4558</v>
      </c>
      <c r="T8396" t="s">
        <v>4559</v>
      </c>
      <c r="U8396" t="s">
        <v>4560</v>
      </c>
      <c r="V8396" s="2">
        <v>380</v>
      </c>
      <c r="W8396" t="s">
        <v>4655</v>
      </c>
      <c r="X8396" s="2">
        <v>0</v>
      </c>
      <c r="Y8396">
        <v>20</v>
      </c>
      <c r="Z8396" t="s">
        <v>4561</v>
      </c>
      <c r="AA8396" s="3">
        <v>0.14272268116474199</v>
      </c>
      <c r="AB8396" t="s">
        <v>38514</v>
      </c>
      <c r="AC8396" t="s">
        <v>4562</v>
      </c>
      <c r="AD8396" t="s">
        <v>38513</v>
      </c>
      <c r="AE8396" t="s">
        <v>4655</v>
      </c>
      <c r="AF8396" t="s">
        <v>4563</v>
      </c>
      <c r="AG8396" t="s">
        <v>4564</v>
      </c>
      <c r="AH8396">
        <v>89506</v>
      </c>
      <c r="AI8396" t="s">
        <v>38515</v>
      </c>
      <c r="AJ8396" t="s">
        <v>1335</v>
      </c>
      <c r="AK8396" t="s">
        <v>38516</v>
      </c>
      <c r="AL8396" s="13" t="s">
        <v>1901</v>
      </c>
      <c r="AM8396" s="14">
        <v>1</v>
      </c>
      <c r="AN8396" s="15" t="s">
        <v>1448</v>
      </c>
    </row>
    <row r="8397" spans="1:40" x14ac:dyDescent="0.3">
      <c r="A8397" s="10" t="str">
        <f>HYPERLINK("http://www.washoecounty.gov/assessor/cama/?parid=560-051-16&amp;CardNumber=1","560-051-16")</f>
        <v>560-051-16</v>
      </c>
      <c r="B8397" t="s">
        <v>4655</v>
      </c>
      <c r="C8397" t="s">
        <v>38517</v>
      </c>
      <c r="D8397" s="1">
        <v>40437</v>
      </c>
      <c r="E8397" s="2">
        <v>105000</v>
      </c>
      <c r="F8397" t="s">
        <v>4567</v>
      </c>
      <c r="G8397" s="17" t="str">
        <f>HYPERLINK("https://www.washoecounty.gov/assessor/cama/?command=sales&amp;parid=56005116","3923158")</f>
        <v>3923158</v>
      </c>
      <c r="H8397" t="s">
        <v>1334</v>
      </c>
      <c r="I8397">
        <v>2005</v>
      </c>
      <c r="J8397">
        <v>2005</v>
      </c>
      <c r="K8397" t="s">
        <v>4554</v>
      </c>
      <c r="L8397" t="s">
        <v>4555</v>
      </c>
      <c r="M8397" s="2">
        <v>1261</v>
      </c>
      <c r="N8397" t="s">
        <v>4048</v>
      </c>
      <c r="O8397">
        <v>3</v>
      </c>
      <c r="P8397">
        <v>2</v>
      </c>
      <c r="Q8397">
        <v>0</v>
      </c>
      <c r="R8397" t="s">
        <v>5281</v>
      </c>
      <c r="S8397" t="s">
        <v>4558</v>
      </c>
      <c r="T8397" t="s">
        <v>4559</v>
      </c>
      <c r="U8397" t="s">
        <v>4560</v>
      </c>
      <c r="V8397" s="2">
        <v>380</v>
      </c>
      <c r="W8397" t="s">
        <v>4655</v>
      </c>
      <c r="X8397" s="2">
        <v>0</v>
      </c>
      <c r="Y8397">
        <v>20</v>
      </c>
      <c r="Z8397" t="s">
        <v>4561</v>
      </c>
      <c r="AA8397" s="3">
        <v>0.24288338422775269</v>
      </c>
      <c r="AB8397" t="s">
        <v>38518</v>
      </c>
      <c r="AC8397" t="s">
        <v>4575</v>
      </c>
      <c r="AD8397" t="s">
        <v>38519</v>
      </c>
      <c r="AE8397" t="s">
        <v>4655</v>
      </c>
      <c r="AF8397" t="s">
        <v>4563</v>
      </c>
      <c r="AG8397" t="s">
        <v>4564</v>
      </c>
      <c r="AH8397">
        <v>89506</v>
      </c>
      <c r="AI8397" t="s">
        <v>11279</v>
      </c>
      <c r="AJ8397" t="s">
        <v>1335</v>
      </c>
      <c r="AK8397" t="s">
        <v>38520</v>
      </c>
      <c r="AL8397" s="13" t="s">
        <v>1901</v>
      </c>
      <c r="AM8397">
        <v>1</v>
      </c>
      <c r="AN8397" s="15" t="s">
        <v>1448</v>
      </c>
    </row>
    <row r="8398" spans="1:40" x14ac:dyDescent="0.3">
      <c r="A8398" s="10" t="str">
        <f>HYPERLINK("http://www.washoecounty.gov/assessor/cama/?parid=560-051-23&amp;CardNumber=1","560-051-23")</f>
        <v>560-051-23</v>
      </c>
      <c r="B8398" t="s">
        <v>4655</v>
      </c>
      <c r="C8398" t="s">
        <v>38521</v>
      </c>
      <c r="D8398" s="1">
        <v>40535</v>
      </c>
      <c r="E8398" s="2">
        <v>115000</v>
      </c>
      <c r="F8398" t="s">
        <v>4553</v>
      </c>
      <c r="G8398" s="17" t="str">
        <f>HYPERLINK("https://www.washoecounty.gov/assessor/cama/?command=sales&amp;parid=56005123","3956964")</f>
        <v>3956964</v>
      </c>
      <c r="H8398" t="s">
        <v>1334</v>
      </c>
      <c r="I8398">
        <v>2004</v>
      </c>
      <c r="J8398">
        <v>2004</v>
      </c>
      <c r="K8398" t="s">
        <v>4554</v>
      </c>
      <c r="L8398" t="s">
        <v>4555</v>
      </c>
      <c r="M8398" s="2">
        <v>1261</v>
      </c>
      <c r="N8398" t="s">
        <v>4048</v>
      </c>
      <c r="O8398">
        <v>3</v>
      </c>
      <c r="P8398">
        <v>2</v>
      </c>
      <c r="Q8398">
        <v>0</v>
      </c>
      <c r="R8398" t="s">
        <v>5281</v>
      </c>
      <c r="S8398" t="s">
        <v>4558</v>
      </c>
      <c r="T8398" t="s">
        <v>4559</v>
      </c>
      <c r="U8398" t="s">
        <v>4560</v>
      </c>
      <c r="V8398" s="2">
        <v>380</v>
      </c>
      <c r="W8398" t="s">
        <v>4655</v>
      </c>
      <c r="X8398" s="2">
        <v>0</v>
      </c>
      <c r="Y8398">
        <v>20</v>
      </c>
      <c r="Z8398" t="s">
        <v>4561</v>
      </c>
      <c r="AA8398" s="3">
        <v>0.19458217918872833</v>
      </c>
      <c r="AB8398" t="s">
        <v>38522</v>
      </c>
      <c r="AC8398" t="s">
        <v>4562</v>
      </c>
      <c r="AD8398" t="s">
        <v>38521</v>
      </c>
      <c r="AE8398" t="s">
        <v>4655</v>
      </c>
      <c r="AF8398" t="s">
        <v>4563</v>
      </c>
      <c r="AG8398" t="s">
        <v>4564</v>
      </c>
      <c r="AH8398">
        <v>89506</v>
      </c>
      <c r="AI8398" t="s">
        <v>4903</v>
      </c>
      <c r="AJ8398" t="s">
        <v>1335</v>
      </c>
      <c r="AK8398" t="s">
        <v>38523</v>
      </c>
      <c r="AL8398" s="13" t="s">
        <v>1901</v>
      </c>
      <c r="AM8398" s="14">
        <v>1</v>
      </c>
      <c r="AN8398" s="15" t="s">
        <v>1448</v>
      </c>
    </row>
    <row r="8399" spans="1:40" x14ac:dyDescent="0.3">
      <c r="A8399" s="10" t="str">
        <f>HYPERLINK("http://www.washoecounty.gov/assessor/cama/?parid=560-051-26&amp;CardNumber=1","560-051-26")</f>
        <v>560-051-26</v>
      </c>
      <c r="B8399" t="s">
        <v>4655</v>
      </c>
      <c r="C8399" t="s">
        <v>38524</v>
      </c>
      <c r="D8399" s="1">
        <v>40266</v>
      </c>
      <c r="E8399" s="2">
        <v>135000</v>
      </c>
      <c r="F8399" t="s">
        <v>4567</v>
      </c>
      <c r="G8399" s="17" t="str">
        <f>HYPERLINK("https://www.washoecounty.gov/assessor/cama/?command=sales&amp;parid=56005126","3865247")</f>
        <v>3865247</v>
      </c>
      <c r="H8399" t="s">
        <v>1334</v>
      </c>
      <c r="I8399">
        <v>2004</v>
      </c>
      <c r="J8399">
        <v>2004</v>
      </c>
      <c r="K8399" t="s">
        <v>4554</v>
      </c>
      <c r="L8399" t="s">
        <v>3974</v>
      </c>
      <c r="M8399" s="2">
        <v>1580</v>
      </c>
      <c r="N8399" t="s">
        <v>4048</v>
      </c>
      <c r="O8399">
        <v>3</v>
      </c>
      <c r="P8399">
        <v>2</v>
      </c>
      <c r="Q8399">
        <v>1</v>
      </c>
      <c r="R8399" t="s">
        <v>5281</v>
      </c>
      <c r="S8399" t="s">
        <v>4558</v>
      </c>
      <c r="T8399" t="s">
        <v>4559</v>
      </c>
      <c r="U8399" t="s">
        <v>4560</v>
      </c>
      <c r="V8399" s="2">
        <v>462</v>
      </c>
      <c r="W8399" t="s">
        <v>4655</v>
      </c>
      <c r="X8399" s="2">
        <v>0</v>
      </c>
      <c r="Y8399">
        <v>20</v>
      </c>
      <c r="Z8399" t="s">
        <v>4561</v>
      </c>
      <c r="AA8399" s="3">
        <v>0.192447200417519</v>
      </c>
      <c r="AB8399" t="s">
        <v>38525</v>
      </c>
      <c r="AC8399" t="s">
        <v>4562</v>
      </c>
      <c r="AD8399" t="s">
        <v>38524</v>
      </c>
      <c r="AE8399" t="s">
        <v>4655</v>
      </c>
      <c r="AF8399" t="s">
        <v>4563</v>
      </c>
      <c r="AG8399" t="s">
        <v>4564</v>
      </c>
      <c r="AH8399">
        <v>89506</v>
      </c>
      <c r="AI8399" t="s">
        <v>38526</v>
      </c>
      <c r="AJ8399" t="s">
        <v>1335</v>
      </c>
      <c r="AK8399" t="s">
        <v>38527</v>
      </c>
      <c r="AL8399" s="13" t="s">
        <v>1901</v>
      </c>
      <c r="AM8399">
        <v>1</v>
      </c>
      <c r="AN8399" s="15" t="s">
        <v>1448</v>
      </c>
    </row>
    <row r="8400" spans="1:40" x14ac:dyDescent="0.3">
      <c r="A8400" s="10" t="str">
        <f>HYPERLINK("http://www.washoecounty.gov/assessor/cama/?parid=560-052-23&amp;CardNumber=1","560-052-23")</f>
        <v>560-052-23</v>
      </c>
      <c r="B8400" t="s">
        <v>4655</v>
      </c>
      <c r="C8400" t="s">
        <v>38528</v>
      </c>
      <c r="D8400" s="1">
        <v>40298</v>
      </c>
      <c r="E8400" s="2">
        <v>146000</v>
      </c>
      <c r="F8400" t="s">
        <v>4553</v>
      </c>
      <c r="G8400" s="17" t="str">
        <f>HYPERLINK("https://www.washoecounty.gov/assessor/cama/?command=sales&amp;parid=56005223","3876776")</f>
        <v>3876776</v>
      </c>
      <c r="H8400" t="s">
        <v>1334</v>
      </c>
      <c r="I8400">
        <v>2005</v>
      </c>
      <c r="J8400">
        <v>2005</v>
      </c>
      <c r="K8400" t="s">
        <v>4554</v>
      </c>
      <c r="L8400" t="s">
        <v>3974</v>
      </c>
      <c r="M8400" s="2">
        <v>1580</v>
      </c>
      <c r="N8400" t="s">
        <v>4048</v>
      </c>
      <c r="O8400">
        <v>3</v>
      </c>
      <c r="P8400">
        <v>2</v>
      </c>
      <c r="Q8400">
        <v>1</v>
      </c>
      <c r="R8400" t="s">
        <v>4557</v>
      </c>
      <c r="S8400" t="s">
        <v>4558</v>
      </c>
      <c r="T8400" t="s">
        <v>4559</v>
      </c>
      <c r="U8400" t="s">
        <v>4560</v>
      </c>
      <c r="V8400" s="2">
        <v>462</v>
      </c>
      <c r="W8400" t="s">
        <v>4655</v>
      </c>
      <c r="X8400" s="2">
        <v>0</v>
      </c>
      <c r="Y8400">
        <v>20</v>
      </c>
      <c r="Z8400" t="s">
        <v>4561</v>
      </c>
      <c r="AA8400" s="3">
        <v>0.15254820883274101</v>
      </c>
      <c r="AB8400" t="s">
        <v>38529</v>
      </c>
      <c r="AC8400" t="s">
        <v>4562</v>
      </c>
      <c r="AD8400" t="s">
        <v>38528</v>
      </c>
      <c r="AE8400" t="s">
        <v>4655</v>
      </c>
      <c r="AF8400" t="s">
        <v>4563</v>
      </c>
      <c r="AG8400" t="s">
        <v>4564</v>
      </c>
      <c r="AH8400">
        <v>89506</v>
      </c>
      <c r="AI8400" t="s">
        <v>4903</v>
      </c>
      <c r="AJ8400" t="s">
        <v>1335</v>
      </c>
      <c r="AK8400" t="s">
        <v>38530</v>
      </c>
      <c r="AL8400" s="13" t="s">
        <v>1901</v>
      </c>
      <c r="AM8400" s="14">
        <v>1</v>
      </c>
      <c r="AN8400" s="15" t="s">
        <v>1448</v>
      </c>
    </row>
    <row r="8401" spans="1:40" x14ac:dyDescent="0.3">
      <c r="A8401" s="10" t="str">
        <f>HYPERLINK("http://www.washoecounty.gov/assessor/cama/?parid=560-052-24&amp;CardNumber=1","560-052-24")</f>
        <v>560-052-24</v>
      </c>
      <c r="B8401" t="s">
        <v>4655</v>
      </c>
      <c r="C8401" t="s">
        <v>38531</v>
      </c>
      <c r="D8401" s="1">
        <v>40304</v>
      </c>
      <c r="E8401" s="2">
        <v>120000</v>
      </c>
      <c r="F8401" t="s">
        <v>4553</v>
      </c>
      <c r="G8401" s="17" t="str">
        <f>HYPERLINK("https://www.washoecounty.gov/assessor/cama/?command=sales&amp;parid=56005224","3878900")</f>
        <v>3878900</v>
      </c>
      <c r="H8401" t="s">
        <v>1334</v>
      </c>
      <c r="I8401">
        <v>2005</v>
      </c>
      <c r="J8401">
        <v>2005</v>
      </c>
      <c r="K8401" t="s">
        <v>4554</v>
      </c>
      <c r="L8401" t="s">
        <v>4555</v>
      </c>
      <c r="M8401" s="2">
        <v>1261</v>
      </c>
      <c r="N8401" t="s">
        <v>4048</v>
      </c>
      <c r="O8401">
        <v>3</v>
      </c>
      <c r="P8401">
        <v>2</v>
      </c>
      <c r="Q8401">
        <v>0</v>
      </c>
      <c r="R8401" t="s">
        <v>4557</v>
      </c>
      <c r="S8401" t="s">
        <v>4558</v>
      </c>
      <c r="T8401" t="s">
        <v>4559</v>
      </c>
      <c r="U8401" t="s">
        <v>4560</v>
      </c>
      <c r="V8401" s="2">
        <v>380</v>
      </c>
      <c r="W8401" t="s">
        <v>4655</v>
      </c>
      <c r="X8401" s="2">
        <v>0</v>
      </c>
      <c r="Y8401">
        <v>20</v>
      </c>
      <c r="Z8401" t="s">
        <v>4561</v>
      </c>
      <c r="AA8401" s="3">
        <v>0.15929752588272095</v>
      </c>
      <c r="AB8401" t="s">
        <v>38532</v>
      </c>
      <c r="AC8401" t="s">
        <v>4575</v>
      </c>
      <c r="AD8401" t="s">
        <v>38533</v>
      </c>
      <c r="AE8401" t="s">
        <v>38534</v>
      </c>
      <c r="AF8401" t="s">
        <v>4563</v>
      </c>
      <c r="AG8401" t="s">
        <v>4564</v>
      </c>
      <c r="AH8401">
        <v>89506</v>
      </c>
      <c r="AI8401" t="s">
        <v>3916</v>
      </c>
      <c r="AJ8401" t="s">
        <v>1335</v>
      </c>
      <c r="AK8401" t="s">
        <v>38535</v>
      </c>
      <c r="AL8401" s="13" t="s">
        <v>1901</v>
      </c>
      <c r="AM8401" s="14">
        <v>1</v>
      </c>
      <c r="AN8401" s="15" t="s">
        <v>1448</v>
      </c>
    </row>
    <row r="8402" spans="1:40" x14ac:dyDescent="0.3">
      <c r="A8402" s="10" t="str">
        <f>HYPERLINK("http://www.washoecounty.gov/assessor/cama/?parid=560-052-27&amp;CardNumber=1","560-052-27")</f>
        <v>560-052-27</v>
      </c>
      <c r="B8402" t="s">
        <v>4655</v>
      </c>
      <c r="C8402" t="s">
        <v>38536</v>
      </c>
      <c r="D8402" s="1">
        <v>40379</v>
      </c>
      <c r="E8402" s="2">
        <v>102500</v>
      </c>
      <c r="F8402" t="s">
        <v>4567</v>
      </c>
      <c r="G8402" s="17" t="str">
        <f>HYPERLINK("https://www.washoecounty.gov/assessor/cama/?command=sales&amp;parid=56005227","3903295")</f>
        <v>3903295</v>
      </c>
      <c r="H8402" t="s">
        <v>1334</v>
      </c>
      <c r="I8402">
        <v>2005</v>
      </c>
      <c r="J8402">
        <v>2005</v>
      </c>
      <c r="K8402" t="s">
        <v>4554</v>
      </c>
      <c r="L8402" t="s">
        <v>4555</v>
      </c>
      <c r="M8402" s="2">
        <v>1082</v>
      </c>
      <c r="N8402" t="s">
        <v>4048</v>
      </c>
      <c r="O8402">
        <v>2</v>
      </c>
      <c r="P8402">
        <v>2</v>
      </c>
      <c r="Q8402">
        <v>0</v>
      </c>
      <c r="R8402" t="s">
        <v>5281</v>
      </c>
      <c r="S8402" t="s">
        <v>4558</v>
      </c>
      <c r="T8402" t="s">
        <v>4559</v>
      </c>
      <c r="U8402" t="s">
        <v>4560</v>
      </c>
      <c r="V8402" s="2">
        <v>380</v>
      </c>
      <c r="W8402" t="s">
        <v>4655</v>
      </c>
      <c r="X8402" s="2">
        <v>0</v>
      </c>
      <c r="Y8402">
        <v>20</v>
      </c>
      <c r="Z8402" t="s">
        <v>4561</v>
      </c>
      <c r="AA8402" s="3">
        <v>0.175068870186806</v>
      </c>
      <c r="AB8402" t="s">
        <v>38537</v>
      </c>
      <c r="AC8402" t="s">
        <v>4575</v>
      </c>
      <c r="AD8402" t="s">
        <v>38536</v>
      </c>
      <c r="AE8402" t="s">
        <v>4655</v>
      </c>
      <c r="AF8402" t="s">
        <v>4563</v>
      </c>
      <c r="AG8402" t="s">
        <v>4564</v>
      </c>
      <c r="AH8402">
        <v>89506</v>
      </c>
      <c r="AI8402" t="s">
        <v>38538</v>
      </c>
      <c r="AJ8402" t="s">
        <v>1335</v>
      </c>
      <c r="AK8402" t="s">
        <v>38539</v>
      </c>
      <c r="AL8402" s="13" t="s">
        <v>1901</v>
      </c>
      <c r="AM8402">
        <v>1</v>
      </c>
      <c r="AN8402" s="15" t="s">
        <v>1448</v>
      </c>
    </row>
    <row r="8403" spans="1:40" x14ac:dyDescent="0.3">
      <c r="A8403" s="10" t="str">
        <f>HYPERLINK("http://www.washoecounty.gov/assessor/cama/?parid=560-053-02&amp;CardNumber=1","560-053-02")</f>
        <v>560-053-02</v>
      </c>
      <c r="B8403" t="s">
        <v>4655</v>
      </c>
      <c r="C8403" t="s">
        <v>38540</v>
      </c>
      <c r="D8403" s="1">
        <v>40204</v>
      </c>
      <c r="E8403" s="2">
        <v>135000</v>
      </c>
      <c r="F8403" t="s">
        <v>4567</v>
      </c>
      <c r="G8403" s="17" t="str">
        <f>HYPERLINK("https://www.washoecounty.gov/assessor/cama/?command=sales&amp;parid=56005302","3842695")</f>
        <v>3842695</v>
      </c>
      <c r="H8403" t="s">
        <v>1334</v>
      </c>
      <c r="I8403">
        <v>2005</v>
      </c>
      <c r="J8403">
        <v>2005</v>
      </c>
      <c r="K8403" t="s">
        <v>4554</v>
      </c>
      <c r="L8403" t="s">
        <v>3974</v>
      </c>
      <c r="M8403" s="2">
        <v>1723</v>
      </c>
      <c r="N8403" t="s">
        <v>4048</v>
      </c>
      <c r="O8403">
        <v>3</v>
      </c>
      <c r="P8403">
        <v>2</v>
      </c>
      <c r="Q8403">
        <v>1</v>
      </c>
      <c r="R8403" t="s">
        <v>4557</v>
      </c>
      <c r="S8403" t="s">
        <v>4558</v>
      </c>
      <c r="T8403" t="s">
        <v>4559</v>
      </c>
      <c r="U8403" t="s">
        <v>5631</v>
      </c>
      <c r="V8403" s="2">
        <v>438</v>
      </c>
      <c r="W8403" t="s">
        <v>4655</v>
      </c>
      <c r="X8403" s="2">
        <v>0</v>
      </c>
      <c r="Y8403">
        <v>20</v>
      </c>
      <c r="Z8403" t="s">
        <v>4561</v>
      </c>
      <c r="AA8403" s="3">
        <v>0.122107438743114</v>
      </c>
      <c r="AB8403" t="s">
        <v>38541</v>
      </c>
      <c r="AC8403" t="s">
        <v>4562</v>
      </c>
      <c r="AD8403" t="s">
        <v>38542</v>
      </c>
      <c r="AE8403" t="s">
        <v>4655</v>
      </c>
      <c r="AF8403" t="s">
        <v>4563</v>
      </c>
      <c r="AG8403" t="s">
        <v>4564</v>
      </c>
      <c r="AH8403">
        <v>89506</v>
      </c>
      <c r="AI8403" t="s">
        <v>38543</v>
      </c>
      <c r="AJ8403" t="s">
        <v>1335</v>
      </c>
      <c r="AK8403" t="s">
        <v>38544</v>
      </c>
      <c r="AL8403" s="13" t="s">
        <v>1901</v>
      </c>
      <c r="AM8403" s="14">
        <v>1</v>
      </c>
      <c r="AN8403" s="15" t="s">
        <v>1448</v>
      </c>
    </row>
    <row r="8404" spans="1:40" x14ac:dyDescent="0.3">
      <c r="A8404" s="10" t="str">
        <f>HYPERLINK("http://www.washoecounty.gov/assessor/cama/?parid=560-061-01&amp;CardNumber=1","560-061-01")</f>
        <v>560-061-01</v>
      </c>
      <c r="B8404" t="s">
        <v>4655</v>
      </c>
      <c r="C8404" t="s">
        <v>38545</v>
      </c>
      <c r="D8404" s="1">
        <v>40340</v>
      </c>
      <c r="E8404" s="2">
        <v>98000</v>
      </c>
      <c r="F8404" t="s">
        <v>4567</v>
      </c>
      <c r="G8404" s="17" t="str">
        <f>HYPERLINK("https://www.washoecounty.gov/assessor/cama/?command=sales&amp;parid=56006101","3891010")</f>
        <v>3891010</v>
      </c>
      <c r="H8404" t="s">
        <v>1334</v>
      </c>
      <c r="I8404">
        <v>2004</v>
      </c>
      <c r="J8404">
        <v>2004</v>
      </c>
      <c r="K8404" t="s">
        <v>4554</v>
      </c>
      <c r="L8404" t="s">
        <v>4555</v>
      </c>
      <c r="M8404" s="2">
        <v>1082</v>
      </c>
      <c r="N8404" t="s">
        <v>4048</v>
      </c>
      <c r="O8404">
        <v>2</v>
      </c>
      <c r="P8404">
        <v>2</v>
      </c>
      <c r="Q8404">
        <v>0</v>
      </c>
      <c r="R8404" t="s">
        <v>5281</v>
      </c>
      <c r="S8404" t="s">
        <v>4558</v>
      </c>
      <c r="T8404" t="s">
        <v>4559</v>
      </c>
      <c r="U8404" t="s">
        <v>4560</v>
      </c>
      <c r="V8404" s="2">
        <v>380</v>
      </c>
      <c r="W8404" t="s">
        <v>4655</v>
      </c>
      <c r="X8404" s="2">
        <v>0</v>
      </c>
      <c r="Y8404">
        <v>20</v>
      </c>
      <c r="Z8404" t="s">
        <v>4561</v>
      </c>
      <c r="AA8404" s="3">
        <v>0.19398531317710899</v>
      </c>
      <c r="AB8404" t="s">
        <v>38546</v>
      </c>
      <c r="AC8404" t="s">
        <v>4575</v>
      </c>
      <c r="AD8404" t="s">
        <v>38545</v>
      </c>
      <c r="AE8404" t="s">
        <v>4655</v>
      </c>
      <c r="AF8404" t="s">
        <v>4563</v>
      </c>
      <c r="AG8404" t="s">
        <v>4564</v>
      </c>
      <c r="AH8404">
        <v>89506</v>
      </c>
      <c r="AI8404" t="s">
        <v>38547</v>
      </c>
      <c r="AJ8404" t="s">
        <v>1335</v>
      </c>
      <c r="AK8404" t="s">
        <v>38548</v>
      </c>
      <c r="AL8404" s="13" t="s">
        <v>1901</v>
      </c>
      <c r="AM8404" s="14">
        <v>1</v>
      </c>
      <c r="AN8404" s="15" t="s">
        <v>1448</v>
      </c>
    </row>
    <row r="8405" spans="1:40" x14ac:dyDescent="0.3">
      <c r="A8405" s="10" t="str">
        <f>HYPERLINK("http://www.washoecounty.gov/assessor/cama/?parid=560-062-07&amp;CardNumber=1","560-062-07")</f>
        <v>560-062-07</v>
      </c>
      <c r="B8405" t="s">
        <v>4655</v>
      </c>
      <c r="C8405" t="s">
        <v>441</v>
      </c>
      <c r="D8405" s="1">
        <v>40540</v>
      </c>
      <c r="E8405" s="2">
        <v>114644</v>
      </c>
      <c r="F8405" t="s">
        <v>4553</v>
      </c>
      <c r="G8405" s="17" t="str">
        <f>HYPERLINK("https://www.washoecounty.gov/assessor/cama/?command=sales&amp;parid=56006207","3958307")</f>
        <v>3958307</v>
      </c>
      <c r="H8405" t="s">
        <v>1334</v>
      </c>
      <c r="I8405">
        <v>2004</v>
      </c>
      <c r="J8405">
        <v>2004</v>
      </c>
      <c r="K8405" t="s">
        <v>4554</v>
      </c>
      <c r="L8405" t="s">
        <v>3974</v>
      </c>
      <c r="M8405" s="2">
        <v>1723</v>
      </c>
      <c r="N8405" t="s">
        <v>4048</v>
      </c>
      <c r="O8405">
        <v>3</v>
      </c>
      <c r="P8405">
        <v>2</v>
      </c>
      <c r="Q8405">
        <v>1</v>
      </c>
      <c r="R8405" t="s">
        <v>5281</v>
      </c>
      <c r="S8405" t="s">
        <v>4558</v>
      </c>
      <c r="T8405" t="s">
        <v>4559</v>
      </c>
      <c r="U8405" t="s">
        <v>5631</v>
      </c>
      <c r="V8405" s="2">
        <v>438</v>
      </c>
      <c r="W8405" t="s">
        <v>4655</v>
      </c>
      <c r="X8405" s="2">
        <v>0</v>
      </c>
      <c r="Y8405">
        <v>20</v>
      </c>
      <c r="Z8405" t="s">
        <v>4561</v>
      </c>
      <c r="AA8405" s="3">
        <v>0.122199267148972</v>
      </c>
      <c r="AB8405" t="s">
        <v>172</v>
      </c>
      <c r="AC8405" t="s">
        <v>4575</v>
      </c>
      <c r="AD8405" t="s">
        <v>441</v>
      </c>
      <c r="AE8405" t="s">
        <v>4655</v>
      </c>
      <c r="AF8405" t="s">
        <v>3114</v>
      </c>
      <c r="AG8405" t="s">
        <v>4564</v>
      </c>
      <c r="AH8405">
        <v>89506</v>
      </c>
      <c r="AI8405" t="s">
        <v>442</v>
      </c>
      <c r="AJ8405" t="s">
        <v>1335</v>
      </c>
      <c r="AK8405" t="s">
        <v>443</v>
      </c>
      <c r="AL8405" s="13" t="s">
        <v>1901</v>
      </c>
      <c r="AM8405">
        <v>1</v>
      </c>
      <c r="AN8405" s="15" t="s">
        <v>1448</v>
      </c>
    </row>
    <row r="8406" spans="1:40" x14ac:dyDescent="0.3">
      <c r="A8406" s="10" t="str">
        <f>HYPERLINK("http://www.washoecounty.gov/assessor/cama/?parid=566-051-04&amp;CardNumber=1","566-051-04")</f>
        <v>566-051-04</v>
      </c>
      <c r="B8406" t="s">
        <v>4655</v>
      </c>
      <c r="C8406" t="s">
        <v>38549</v>
      </c>
      <c r="D8406" s="1">
        <v>40359</v>
      </c>
      <c r="E8406" s="2">
        <v>155000</v>
      </c>
      <c r="F8406" t="s">
        <v>4567</v>
      </c>
      <c r="G8406" s="17" t="str">
        <f>HYPERLINK("https://www.washoecounty.gov/assessor/cama/?command=sales&amp;parid=56605104","3897432")</f>
        <v>3897432</v>
      </c>
      <c r="H8406" t="s">
        <v>38550</v>
      </c>
      <c r="I8406">
        <v>2001</v>
      </c>
      <c r="J8406">
        <v>2001</v>
      </c>
      <c r="K8406" t="s">
        <v>4554</v>
      </c>
      <c r="L8406" t="s">
        <v>4555</v>
      </c>
      <c r="M8406" s="2">
        <v>1701</v>
      </c>
      <c r="N8406" t="s">
        <v>4048</v>
      </c>
      <c r="O8406">
        <v>4</v>
      </c>
      <c r="P8406">
        <v>2</v>
      </c>
      <c r="Q8406">
        <v>0</v>
      </c>
      <c r="R8406" t="s">
        <v>4557</v>
      </c>
      <c r="S8406" t="s">
        <v>4898</v>
      </c>
      <c r="T8406" t="s">
        <v>4559</v>
      </c>
      <c r="U8406" t="s">
        <v>4560</v>
      </c>
      <c r="V8406" s="2">
        <v>809</v>
      </c>
      <c r="W8406" t="s">
        <v>4655</v>
      </c>
      <c r="X8406" s="2">
        <v>0</v>
      </c>
      <c r="Y8406">
        <v>20</v>
      </c>
      <c r="Z8406" t="s">
        <v>3884</v>
      </c>
      <c r="AA8406" s="3">
        <v>0.43099173903465299</v>
      </c>
      <c r="AB8406" t="s">
        <v>38551</v>
      </c>
      <c r="AC8406" t="s">
        <v>4562</v>
      </c>
      <c r="AD8406" t="s">
        <v>38549</v>
      </c>
      <c r="AE8406" t="s">
        <v>4655</v>
      </c>
      <c r="AF8406" t="s">
        <v>4563</v>
      </c>
      <c r="AG8406" t="s">
        <v>4564</v>
      </c>
      <c r="AH8406">
        <v>89508</v>
      </c>
      <c r="AI8406" t="s">
        <v>38552</v>
      </c>
      <c r="AJ8406" t="s">
        <v>38553</v>
      </c>
      <c r="AK8406" t="s">
        <v>38554</v>
      </c>
      <c r="AL8406" s="13" t="s">
        <v>1892</v>
      </c>
      <c r="AM8406">
        <v>1</v>
      </c>
      <c r="AN8406" s="15" t="s">
        <v>2694</v>
      </c>
    </row>
    <row r="8407" spans="1:40" x14ac:dyDescent="0.3">
      <c r="A8407" s="10" t="str">
        <f>HYPERLINK("http://www.washoecounty.gov/assessor/cama/?parid=566-070-05&amp;CardNumber=1","566-070-05")</f>
        <v>566-070-05</v>
      </c>
      <c r="B8407" t="s">
        <v>4655</v>
      </c>
      <c r="C8407" t="s">
        <v>38555</v>
      </c>
      <c r="D8407" s="1">
        <v>40373</v>
      </c>
      <c r="E8407" s="2">
        <v>180000</v>
      </c>
      <c r="F8407" t="s">
        <v>4553</v>
      </c>
      <c r="G8407" s="17" t="str">
        <f>HYPERLINK("https://www.washoecounty.gov/assessor/cama/?command=sales&amp;parid=56607005","3901168")</f>
        <v>3901168</v>
      </c>
      <c r="H8407" t="s">
        <v>1556</v>
      </c>
      <c r="I8407">
        <v>2002</v>
      </c>
      <c r="J8407">
        <v>2002</v>
      </c>
      <c r="K8407" t="s">
        <v>4554</v>
      </c>
      <c r="L8407" t="s">
        <v>4555</v>
      </c>
      <c r="M8407" s="2">
        <v>2504</v>
      </c>
      <c r="N8407" t="s">
        <v>4048</v>
      </c>
      <c r="O8407">
        <v>4</v>
      </c>
      <c r="P8407">
        <v>2</v>
      </c>
      <c r="Q8407">
        <v>0</v>
      </c>
      <c r="R8407" t="s">
        <v>4557</v>
      </c>
      <c r="S8407" t="s">
        <v>4898</v>
      </c>
      <c r="T8407" t="s">
        <v>4559</v>
      </c>
      <c r="U8407" t="s">
        <v>4560</v>
      </c>
      <c r="V8407" s="2">
        <v>740</v>
      </c>
      <c r="W8407" t="s">
        <v>4655</v>
      </c>
      <c r="X8407" s="2">
        <v>0</v>
      </c>
      <c r="Y8407">
        <v>20</v>
      </c>
      <c r="Z8407" t="s">
        <v>3884</v>
      </c>
      <c r="AA8407" s="3">
        <v>0.34400826692581199</v>
      </c>
      <c r="AB8407" t="s">
        <v>38556</v>
      </c>
      <c r="AC8407" t="s">
        <v>4575</v>
      </c>
      <c r="AD8407" t="s">
        <v>38557</v>
      </c>
      <c r="AE8407" t="s">
        <v>38555</v>
      </c>
      <c r="AF8407" t="s">
        <v>4563</v>
      </c>
      <c r="AG8407" t="s">
        <v>4564</v>
      </c>
      <c r="AH8407">
        <v>89506</v>
      </c>
      <c r="AI8407" t="s">
        <v>4565</v>
      </c>
      <c r="AJ8407" t="s">
        <v>1557</v>
      </c>
      <c r="AK8407" t="s">
        <v>38558</v>
      </c>
      <c r="AL8407" s="13" t="s">
        <v>1892</v>
      </c>
      <c r="AM8407">
        <v>1</v>
      </c>
      <c r="AN8407" s="15" t="s">
        <v>2694</v>
      </c>
    </row>
    <row r="8408" spans="1:40" x14ac:dyDescent="0.3">
      <c r="A8408" s="10" t="str">
        <f>HYPERLINK("http://www.washoecounty.gov/assessor/cama/?parid=566-091-03&amp;CardNumber=1","566-091-03")</f>
        <v>566-091-03</v>
      </c>
      <c r="B8408" t="s">
        <v>4655</v>
      </c>
      <c r="C8408" t="s">
        <v>38559</v>
      </c>
      <c r="D8408" s="1">
        <v>40399</v>
      </c>
      <c r="E8408" s="2">
        <v>120000</v>
      </c>
      <c r="F8408" t="s">
        <v>4553</v>
      </c>
      <c r="G8408" s="17" t="str">
        <f>HYPERLINK("https://www.washoecounty.gov/assessor/cama/?command=sales&amp;parid=56609103","3909924")</f>
        <v>3909924</v>
      </c>
      <c r="H8408" t="s">
        <v>2423</v>
      </c>
      <c r="I8408">
        <v>2002</v>
      </c>
      <c r="J8408">
        <v>2002</v>
      </c>
      <c r="K8408" t="s">
        <v>4554</v>
      </c>
      <c r="L8408" t="s">
        <v>4555</v>
      </c>
      <c r="M8408" s="2">
        <v>2504</v>
      </c>
      <c r="N8408" t="s">
        <v>4048</v>
      </c>
      <c r="O8408">
        <v>4</v>
      </c>
      <c r="P8408">
        <v>2</v>
      </c>
      <c r="Q8408">
        <v>0</v>
      </c>
      <c r="R8408" t="s">
        <v>4557</v>
      </c>
      <c r="S8408" t="s">
        <v>4898</v>
      </c>
      <c r="T8408" t="s">
        <v>4559</v>
      </c>
      <c r="U8408" t="s">
        <v>4560</v>
      </c>
      <c r="V8408" s="2">
        <v>740</v>
      </c>
      <c r="W8408" t="s">
        <v>4655</v>
      </c>
      <c r="X8408" s="2">
        <v>0</v>
      </c>
      <c r="Y8408">
        <v>20</v>
      </c>
      <c r="Z8408" t="s">
        <v>3884</v>
      </c>
      <c r="AA8408" s="3">
        <v>0.36400365829467801</v>
      </c>
      <c r="AB8408" t="s">
        <v>38560</v>
      </c>
      <c r="AC8408" t="s">
        <v>4575</v>
      </c>
      <c r="AD8408" t="s">
        <v>38561</v>
      </c>
      <c r="AE8408" t="s">
        <v>4655</v>
      </c>
      <c r="AF8408" t="s">
        <v>4563</v>
      </c>
      <c r="AG8408" t="s">
        <v>4564</v>
      </c>
      <c r="AH8408">
        <v>89506</v>
      </c>
      <c r="AI8408" t="s">
        <v>2351</v>
      </c>
      <c r="AJ8408" t="s">
        <v>2424</v>
      </c>
      <c r="AK8408" t="s">
        <v>38562</v>
      </c>
      <c r="AL8408" s="13" t="s">
        <v>1892</v>
      </c>
      <c r="AM8408">
        <v>1</v>
      </c>
      <c r="AN8408" s="15" t="s">
        <v>2694</v>
      </c>
    </row>
    <row r="8409" spans="1:40" x14ac:dyDescent="0.3">
      <c r="A8409" s="10" t="str">
        <f>HYPERLINK("http://www.washoecounty.gov/assessor/cama/?parid=566-091-21&amp;CardNumber=1","566-091-21")</f>
        <v>566-091-21</v>
      </c>
      <c r="B8409" t="s">
        <v>4655</v>
      </c>
      <c r="C8409" t="s">
        <v>38563</v>
      </c>
      <c r="D8409" s="1">
        <v>40241</v>
      </c>
      <c r="E8409" s="2">
        <v>225000</v>
      </c>
      <c r="F8409" t="s">
        <v>4553</v>
      </c>
      <c r="G8409" s="17" t="str">
        <f>HYPERLINK("https://www.washoecounty.gov/assessor/cama/?command=sales&amp;parid=56609121","3856056")</f>
        <v>3856056</v>
      </c>
      <c r="H8409" t="s">
        <v>2423</v>
      </c>
      <c r="I8409">
        <v>2002</v>
      </c>
      <c r="J8409">
        <v>2002</v>
      </c>
      <c r="K8409" t="s">
        <v>4554</v>
      </c>
      <c r="L8409" t="s">
        <v>3974</v>
      </c>
      <c r="M8409" s="2">
        <v>3923</v>
      </c>
      <c r="N8409" t="s">
        <v>4048</v>
      </c>
      <c r="O8409">
        <v>5</v>
      </c>
      <c r="P8409">
        <v>3</v>
      </c>
      <c r="Q8409">
        <v>0</v>
      </c>
      <c r="R8409" t="s">
        <v>4557</v>
      </c>
      <c r="S8409" t="s">
        <v>4898</v>
      </c>
      <c r="T8409" t="s">
        <v>4559</v>
      </c>
      <c r="U8409" t="s">
        <v>4560</v>
      </c>
      <c r="V8409" s="2">
        <v>480</v>
      </c>
      <c r="W8409" t="s">
        <v>4655</v>
      </c>
      <c r="X8409" s="2">
        <v>0</v>
      </c>
      <c r="Y8409">
        <v>20</v>
      </c>
      <c r="Z8409" t="s">
        <v>3884</v>
      </c>
      <c r="AA8409" s="3">
        <v>0.34400826692581199</v>
      </c>
      <c r="AB8409" t="s">
        <v>38564</v>
      </c>
      <c r="AC8409" t="s">
        <v>4562</v>
      </c>
      <c r="AD8409" t="s">
        <v>38565</v>
      </c>
      <c r="AE8409" t="s">
        <v>4655</v>
      </c>
      <c r="AF8409" t="s">
        <v>4563</v>
      </c>
      <c r="AG8409" t="s">
        <v>4564</v>
      </c>
      <c r="AH8409">
        <v>89506</v>
      </c>
      <c r="AI8409" t="s">
        <v>4565</v>
      </c>
      <c r="AJ8409" t="s">
        <v>2424</v>
      </c>
      <c r="AK8409" t="s">
        <v>38566</v>
      </c>
      <c r="AL8409" s="13" t="s">
        <v>1892</v>
      </c>
      <c r="AM8409" s="14">
        <v>1</v>
      </c>
      <c r="AN8409" s="15" t="s">
        <v>2694</v>
      </c>
    </row>
    <row r="8410" spans="1:40" x14ac:dyDescent="0.3">
      <c r="A8410" s="10" t="str">
        <f>HYPERLINK("http://www.washoecounty.gov/assessor/cama/?parid=566-100-10&amp;CardNumber=1","566-100-10")</f>
        <v>566-100-10</v>
      </c>
      <c r="B8410" t="s">
        <v>4655</v>
      </c>
      <c r="C8410" t="s">
        <v>38567</v>
      </c>
      <c r="D8410" s="1">
        <v>40261</v>
      </c>
      <c r="E8410" s="2">
        <v>195000</v>
      </c>
      <c r="F8410" t="s">
        <v>4567</v>
      </c>
      <c r="G8410" s="17" t="str">
        <f>HYPERLINK("https://www.washoecounty.gov/assessor/cama/?command=sales&amp;parid=56610010","3863453")</f>
        <v>3863453</v>
      </c>
      <c r="H8410" t="s">
        <v>2823</v>
      </c>
      <c r="I8410">
        <v>2005</v>
      </c>
      <c r="J8410">
        <v>2005</v>
      </c>
      <c r="K8410" t="s">
        <v>4554</v>
      </c>
      <c r="L8410" t="s">
        <v>4555</v>
      </c>
      <c r="M8410" s="2">
        <v>2228</v>
      </c>
      <c r="N8410" t="s">
        <v>5280</v>
      </c>
      <c r="O8410">
        <v>3</v>
      </c>
      <c r="P8410">
        <v>2</v>
      </c>
      <c r="Q8410">
        <v>0</v>
      </c>
      <c r="R8410" t="s">
        <v>5281</v>
      </c>
      <c r="S8410" t="s">
        <v>4898</v>
      </c>
      <c r="T8410" t="s">
        <v>2704</v>
      </c>
      <c r="U8410" t="s">
        <v>4560</v>
      </c>
      <c r="V8410" s="2">
        <v>600</v>
      </c>
      <c r="W8410" t="s">
        <v>4655</v>
      </c>
      <c r="X8410" s="2">
        <v>0</v>
      </c>
      <c r="Y8410">
        <v>20</v>
      </c>
      <c r="Z8410" t="s">
        <v>5508</v>
      </c>
      <c r="AA8410" s="3">
        <v>0.28236913681030301</v>
      </c>
      <c r="AB8410" t="s">
        <v>38568</v>
      </c>
      <c r="AC8410" t="s">
        <v>4562</v>
      </c>
      <c r="AD8410" t="s">
        <v>38569</v>
      </c>
      <c r="AE8410" t="s">
        <v>4655</v>
      </c>
      <c r="AF8410" t="s">
        <v>4563</v>
      </c>
      <c r="AG8410" t="s">
        <v>4564</v>
      </c>
      <c r="AH8410">
        <v>89506</v>
      </c>
      <c r="AI8410" t="s">
        <v>4655</v>
      </c>
      <c r="AJ8410" t="s">
        <v>2824</v>
      </c>
      <c r="AK8410" t="s">
        <v>38570</v>
      </c>
      <c r="AL8410" s="13" t="s">
        <v>1892</v>
      </c>
      <c r="AM8410">
        <v>1</v>
      </c>
      <c r="AN8410" s="15" t="s">
        <v>2825</v>
      </c>
    </row>
    <row r="8411" spans="1:40" x14ac:dyDescent="0.3">
      <c r="A8411" s="10" t="str">
        <f>HYPERLINK("http://www.washoecounty.gov/assessor/cama/?parid=566-100-11&amp;CardNumber=1","566-100-11")</f>
        <v>566-100-11</v>
      </c>
      <c r="B8411" t="s">
        <v>4655</v>
      </c>
      <c r="C8411" t="s">
        <v>38571</v>
      </c>
      <c r="D8411" s="1">
        <v>40358</v>
      </c>
      <c r="E8411" s="2">
        <v>190000</v>
      </c>
      <c r="F8411" t="s">
        <v>4567</v>
      </c>
      <c r="G8411" s="17" t="str">
        <f>HYPERLINK("https://www.washoecounty.gov/assessor/cama/?command=sales&amp;parid=56610011","3896604")</f>
        <v>3896604</v>
      </c>
      <c r="H8411" t="s">
        <v>2823</v>
      </c>
      <c r="I8411">
        <v>2005</v>
      </c>
      <c r="J8411">
        <v>2005</v>
      </c>
      <c r="K8411" t="s">
        <v>4554</v>
      </c>
      <c r="L8411" t="s">
        <v>4555</v>
      </c>
      <c r="M8411" s="2">
        <v>2114</v>
      </c>
      <c r="N8411" t="s">
        <v>5280</v>
      </c>
      <c r="O8411">
        <v>3</v>
      </c>
      <c r="P8411">
        <v>2</v>
      </c>
      <c r="Q8411">
        <v>0</v>
      </c>
      <c r="R8411" t="s">
        <v>5281</v>
      </c>
      <c r="S8411" t="s">
        <v>4558</v>
      </c>
      <c r="T8411" t="s">
        <v>2704</v>
      </c>
      <c r="U8411" t="s">
        <v>4560</v>
      </c>
      <c r="V8411" s="2">
        <v>618</v>
      </c>
      <c r="W8411" t="s">
        <v>4655</v>
      </c>
      <c r="X8411" s="2">
        <v>0</v>
      </c>
      <c r="Y8411">
        <v>20</v>
      </c>
      <c r="Z8411" t="s">
        <v>5508</v>
      </c>
      <c r="AA8411" s="3">
        <v>0.31297060847282399</v>
      </c>
      <c r="AB8411" t="s">
        <v>38572</v>
      </c>
      <c r="AC8411" t="s">
        <v>4562</v>
      </c>
      <c r="AD8411" t="s">
        <v>38571</v>
      </c>
      <c r="AE8411" t="s">
        <v>4655</v>
      </c>
      <c r="AF8411" t="s">
        <v>4563</v>
      </c>
      <c r="AG8411" t="s">
        <v>4564</v>
      </c>
      <c r="AH8411">
        <v>89506</v>
      </c>
      <c r="AI8411" t="s">
        <v>38573</v>
      </c>
      <c r="AJ8411" t="s">
        <v>2824</v>
      </c>
      <c r="AK8411" t="s">
        <v>38574</v>
      </c>
      <c r="AL8411" s="13" t="s">
        <v>1892</v>
      </c>
      <c r="AM8411" s="14">
        <v>1</v>
      </c>
      <c r="AN8411" s="15" t="s">
        <v>2825</v>
      </c>
    </row>
    <row r="8412" spans="1:40" x14ac:dyDescent="0.3">
      <c r="A8412" s="10" t="str">
        <f>HYPERLINK("http://www.washoecounty.gov/assessor/cama/?parid=566-100-13&amp;CardNumber=1","566-100-13")</f>
        <v>566-100-13</v>
      </c>
      <c r="B8412" t="s">
        <v>4655</v>
      </c>
      <c r="C8412" t="s">
        <v>38575</v>
      </c>
      <c r="D8412" s="1">
        <v>40435</v>
      </c>
      <c r="E8412" s="2">
        <v>189900</v>
      </c>
      <c r="F8412" t="s">
        <v>4553</v>
      </c>
      <c r="G8412" s="17" t="str">
        <f>HYPERLINK("https://www.washoecounty.gov/assessor/cama/?command=sales&amp;parid=56610013","3922280")</f>
        <v>3922280</v>
      </c>
      <c r="H8412" t="s">
        <v>2823</v>
      </c>
      <c r="I8412">
        <v>2005</v>
      </c>
      <c r="J8412">
        <v>2005</v>
      </c>
      <c r="K8412" t="s">
        <v>4554</v>
      </c>
      <c r="L8412" t="s">
        <v>4555</v>
      </c>
      <c r="M8412" s="2">
        <v>2458</v>
      </c>
      <c r="N8412" t="s">
        <v>5280</v>
      </c>
      <c r="O8412">
        <v>4</v>
      </c>
      <c r="P8412">
        <v>2</v>
      </c>
      <c r="Q8412">
        <v>1</v>
      </c>
      <c r="R8412" t="s">
        <v>5281</v>
      </c>
      <c r="S8412" t="s">
        <v>4898</v>
      </c>
      <c r="T8412" t="s">
        <v>4559</v>
      </c>
      <c r="U8412" t="s">
        <v>4560</v>
      </c>
      <c r="V8412" s="2">
        <v>711</v>
      </c>
      <c r="W8412" t="s">
        <v>4655</v>
      </c>
      <c r="X8412" s="2">
        <v>0</v>
      </c>
      <c r="Y8412">
        <v>20</v>
      </c>
      <c r="Z8412" t="s">
        <v>5508</v>
      </c>
      <c r="AA8412" s="3">
        <v>0.575367331504821</v>
      </c>
      <c r="AB8412" t="s">
        <v>38576</v>
      </c>
      <c r="AC8412" t="s">
        <v>4575</v>
      </c>
      <c r="AD8412" t="s">
        <v>38575</v>
      </c>
      <c r="AE8412" t="s">
        <v>4655</v>
      </c>
      <c r="AF8412" t="s">
        <v>4563</v>
      </c>
      <c r="AG8412" t="s">
        <v>4564</v>
      </c>
      <c r="AH8412">
        <v>89508</v>
      </c>
      <c r="AI8412" t="s">
        <v>38577</v>
      </c>
      <c r="AJ8412" t="s">
        <v>2824</v>
      </c>
      <c r="AK8412" t="s">
        <v>38578</v>
      </c>
      <c r="AL8412" s="13" t="s">
        <v>1892</v>
      </c>
      <c r="AM8412" s="14">
        <v>1</v>
      </c>
      <c r="AN8412" s="15" t="s">
        <v>2825</v>
      </c>
    </row>
    <row r="8413" spans="1:40" x14ac:dyDescent="0.3">
      <c r="A8413" s="10" t="str">
        <f>HYPERLINK("http://www.washoecounty.gov/assessor/cama/?parid=566-132-04&amp;CardNumber=1","566-132-04")</f>
        <v>566-132-04</v>
      </c>
      <c r="B8413" t="s">
        <v>4655</v>
      </c>
      <c r="C8413" t="s">
        <v>38579</v>
      </c>
      <c r="D8413" s="1">
        <v>40295</v>
      </c>
      <c r="E8413" s="2">
        <v>175300</v>
      </c>
      <c r="F8413" t="s">
        <v>4553</v>
      </c>
      <c r="G8413" s="17" t="str">
        <f>HYPERLINK("https://www.washoecounty.gov/assessor/cama/?command=sales&amp;parid=56613204","3874883")</f>
        <v>3874883</v>
      </c>
      <c r="H8413" t="s">
        <v>2153</v>
      </c>
      <c r="I8413">
        <v>2005</v>
      </c>
      <c r="J8413">
        <v>2005</v>
      </c>
      <c r="K8413" t="s">
        <v>4554</v>
      </c>
      <c r="L8413" t="s">
        <v>4555</v>
      </c>
      <c r="M8413" s="2">
        <v>2458</v>
      </c>
      <c r="N8413" t="s">
        <v>5280</v>
      </c>
      <c r="O8413">
        <v>4</v>
      </c>
      <c r="P8413">
        <v>2</v>
      </c>
      <c r="Q8413">
        <v>1</v>
      </c>
      <c r="R8413" t="s">
        <v>5281</v>
      </c>
      <c r="S8413" t="s">
        <v>4898</v>
      </c>
      <c r="T8413" t="s">
        <v>2704</v>
      </c>
      <c r="U8413" t="s">
        <v>4560</v>
      </c>
      <c r="V8413" s="2">
        <v>504</v>
      </c>
      <c r="W8413" t="s">
        <v>4655</v>
      </c>
      <c r="X8413" s="2">
        <v>0</v>
      </c>
      <c r="Y8413">
        <v>20</v>
      </c>
      <c r="Z8413" t="s">
        <v>5508</v>
      </c>
      <c r="AA8413" s="3">
        <v>0.32141873240470897</v>
      </c>
      <c r="AB8413" t="s">
        <v>38580</v>
      </c>
      <c r="AC8413" t="s">
        <v>4562</v>
      </c>
      <c r="AD8413" t="s">
        <v>38579</v>
      </c>
      <c r="AE8413" t="s">
        <v>4655</v>
      </c>
      <c r="AF8413" t="s">
        <v>4563</v>
      </c>
      <c r="AG8413" t="s">
        <v>4564</v>
      </c>
      <c r="AH8413">
        <v>89506</v>
      </c>
      <c r="AI8413" t="s">
        <v>4903</v>
      </c>
      <c r="AJ8413" t="s">
        <v>2154</v>
      </c>
      <c r="AK8413" t="s">
        <v>38581</v>
      </c>
      <c r="AL8413" s="13" t="s">
        <v>1892</v>
      </c>
      <c r="AM8413">
        <v>1</v>
      </c>
      <c r="AN8413" s="15" t="s">
        <v>2825</v>
      </c>
    </row>
    <row r="8414" spans="1:40" x14ac:dyDescent="0.3">
      <c r="A8414" s="10" t="str">
        <f>HYPERLINK("http://www.washoecounty.gov/assessor/cama/?parid=566-142-07&amp;CardNumber=1","566-142-07")</f>
        <v>566-142-07</v>
      </c>
      <c r="B8414" t="s">
        <v>4655</v>
      </c>
      <c r="C8414" t="s">
        <v>38582</v>
      </c>
      <c r="D8414" s="1">
        <v>40448</v>
      </c>
      <c r="E8414" s="2">
        <v>175000</v>
      </c>
      <c r="F8414" t="s">
        <v>4567</v>
      </c>
      <c r="G8414" s="17" t="str">
        <f>HYPERLINK("https://www.washoecounty.gov/assessor/cama/?command=sales&amp;parid=56614207","3926693")</f>
        <v>3926693</v>
      </c>
      <c r="H8414" t="s">
        <v>2153</v>
      </c>
      <c r="I8414">
        <v>2005</v>
      </c>
      <c r="J8414">
        <v>2005</v>
      </c>
      <c r="K8414" t="s">
        <v>4554</v>
      </c>
      <c r="L8414" t="s">
        <v>4555</v>
      </c>
      <c r="M8414" s="2">
        <v>2228</v>
      </c>
      <c r="N8414" t="s">
        <v>5280</v>
      </c>
      <c r="O8414">
        <v>4</v>
      </c>
      <c r="P8414">
        <v>2</v>
      </c>
      <c r="Q8414">
        <v>0</v>
      </c>
      <c r="R8414" t="s">
        <v>5281</v>
      </c>
      <c r="S8414" t="s">
        <v>4898</v>
      </c>
      <c r="T8414" t="s">
        <v>2704</v>
      </c>
      <c r="U8414" t="s">
        <v>4560</v>
      </c>
      <c r="V8414" s="2">
        <v>600</v>
      </c>
      <c r="W8414" t="s">
        <v>4655</v>
      </c>
      <c r="X8414" s="2">
        <v>0</v>
      </c>
      <c r="Y8414">
        <v>20</v>
      </c>
      <c r="Z8414" t="s">
        <v>5508</v>
      </c>
      <c r="AA8414" s="3">
        <v>0.31742423772811901</v>
      </c>
      <c r="AB8414" t="s">
        <v>38583</v>
      </c>
      <c r="AC8414" t="s">
        <v>4562</v>
      </c>
      <c r="AD8414" t="s">
        <v>38584</v>
      </c>
      <c r="AE8414" t="s">
        <v>4655</v>
      </c>
      <c r="AF8414" t="s">
        <v>4563</v>
      </c>
      <c r="AG8414" t="s">
        <v>4564</v>
      </c>
      <c r="AH8414">
        <v>89509</v>
      </c>
      <c r="AI8414" t="s">
        <v>38585</v>
      </c>
      <c r="AJ8414" t="s">
        <v>2154</v>
      </c>
      <c r="AK8414" t="s">
        <v>38586</v>
      </c>
      <c r="AL8414" s="13" t="s">
        <v>1892</v>
      </c>
      <c r="AM8414" s="14">
        <v>1</v>
      </c>
      <c r="AN8414" s="15" t="s">
        <v>2825</v>
      </c>
    </row>
    <row r="8415" spans="1:40" x14ac:dyDescent="0.3">
      <c r="A8415" s="10" t="str">
        <f>HYPERLINK("http://www.washoecounty.gov/assessor/cama/?parid=566-151-03&amp;CardNumber=1","566-151-03")</f>
        <v>566-151-03</v>
      </c>
      <c r="B8415" t="s">
        <v>4655</v>
      </c>
      <c r="C8415" t="s">
        <v>38587</v>
      </c>
      <c r="D8415" s="1">
        <v>40450</v>
      </c>
      <c r="E8415" s="2">
        <v>166628</v>
      </c>
      <c r="F8415" t="s">
        <v>4553</v>
      </c>
      <c r="G8415" s="17" t="str">
        <f>HYPERLINK("https://www.washoecounty.gov/assessor/cama/?command=sales&amp;parid=56615103","3927480")</f>
        <v>3927480</v>
      </c>
      <c r="H8415" t="s">
        <v>2153</v>
      </c>
      <c r="I8415">
        <v>2005</v>
      </c>
      <c r="J8415">
        <v>2005</v>
      </c>
      <c r="K8415" t="s">
        <v>4554</v>
      </c>
      <c r="L8415" t="s">
        <v>4555</v>
      </c>
      <c r="M8415" s="2">
        <v>2114</v>
      </c>
      <c r="N8415" t="s">
        <v>5280</v>
      </c>
      <c r="O8415">
        <v>3</v>
      </c>
      <c r="P8415">
        <v>2</v>
      </c>
      <c r="Q8415">
        <v>0</v>
      </c>
      <c r="R8415" t="s">
        <v>5281</v>
      </c>
      <c r="S8415" t="s">
        <v>4898</v>
      </c>
      <c r="T8415" t="s">
        <v>4559</v>
      </c>
      <c r="U8415" t="s">
        <v>4560</v>
      </c>
      <c r="V8415" s="2">
        <v>618</v>
      </c>
      <c r="W8415" t="s">
        <v>4655</v>
      </c>
      <c r="X8415" s="2">
        <v>0</v>
      </c>
      <c r="Y8415">
        <v>20</v>
      </c>
      <c r="Z8415" t="s">
        <v>5508</v>
      </c>
      <c r="AA8415" s="3">
        <v>0.28101468086242698</v>
      </c>
      <c r="AB8415" t="s">
        <v>38588</v>
      </c>
      <c r="AC8415" t="s">
        <v>4562</v>
      </c>
      <c r="AD8415" t="s">
        <v>38587</v>
      </c>
      <c r="AE8415" t="s">
        <v>4655</v>
      </c>
      <c r="AF8415" t="s">
        <v>4563</v>
      </c>
      <c r="AG8415" t="s">
        <v>4564</v>
      </c>
      <c r="AH8415">
        <v>89508</v>
      </c>
      <c r="AI8415" t="s">
        <v>38589</v>
      </c>
      <c r="AJ8415" t="s">
        <v>2154</v>
      </c>
      <c r="AK8415" t="s">
        <v>38590</v>
      </c>
      <c r="AL8415" s="13" t="s">
        <v>1892</v>
      </c>
      <c r="AM8415">
        <v>1</v>
      </c>
      <c r="AN8415" s="15" t="s">
        <v>2825</v>
      </c>
    </row>
    <row r="8416" spans="1:40" x14ac:dyDescent="0.3">
      <c r="A8416" s="10" t="str">
        <f>HYPERLINK("http://www.washoecounty.gov/assessor/cama/?parid=566-151-04&amp;CardNumber=1","566-151-04")</f>
        <v>566-151-04</v>
      </c>
      <c r="B8416" t="s">
        <v>4655</v>
      </c>
      <c r="C8416" t="s">
        <v>38591</v>
      </c>
      <c r="D8416" s="1">
        <v>40450</v>
      </c>
      <c r="E8416" s="2">
        <v>189000</v>
      </c>
      <c r="F8416" t="s">
        <v>4567</v>
      </c>
      <c r="G8416" s="17" t="str">
        <f>HYPERLINK("https://www.washoecounty.gov/assessor/cama/?command=sales&amp;parid=56615104","3927603")</f>
        <v>3927603</v>
      </c>
      <c r="H8416" t="s">
        <v>2153</v>
      </c>
      <c r="I8416">
        <v>2005</v>
      </c>
      <c r="J8416">
        <v>2005</v>
      </c>
      <c r="K8416" t="s">
        <v>4554</v>
      </c>
      <c r="L8416" t="s">
        <v>4555</v>
      </c>
      <c r="M8416" s="2">
        <v>2458</v>
      </c>
      <c r="N8416" t="s">
        <v>5280</v>
      </c>
      <c r="O8416">
        <v>3</v>
      </c>
      <c r="P8416">
        <v>2</v>
      </c>
      <c r="Q8416">
        <v>1</v>
      </c>
      <c r="R8416" t="s">
        <v>5281</v>
      </c>
      <c r="S8416" t="s">
        <v>4898</v>
      </c>
      <c r="T8416" t="s">
        <v>2704</v>
      </c>
      <c r="U8416" t="s">
        <v>4560</v>
      </c>
      <c r="V8416" s="2">
        <v>711</v>
      </c>
      <c r="W8416" t="s">
        <v>4655</v>
      </c>
      <c r="X8416" s="2">
        <v>0</v>
      </c>
      <c r="Y8416">
        <v>20</v>
      </c>
      <c r="Z8416" t="s">
        <v>5508</v>
      </c>
      <c r="AA8416" s="3">
        <v>0.28101468086242698</v>
      </c>
      <c r="AB8416" t="s">
        <v>38592</v>
      </c>
      <c r="AC8416" t="s">
        <v>4562</v>
      </c>
      <c r="AD8416" t="s">
        <v>38591</v>
      </c>
      <c r="AE8416" t="s">
        <v>4655</v>
      </c>
      <c r="AF8416" t="s">
        <v>4563</v>
      </c>
      <c r="AG8416" t="s">
        <v>4564</v>
      </c>
      <c r="AH8416">
        <v>89508</v>
      </c>
      <c r="AI8416" t="s">
        <v>38593</v>
      </c>
      <c r="AJ8416" t="s">
        <v>2154</v>
      </c>
      <c r="AK8416" t="s">
        <v>38594</v>
      </c>
      <c r="AL8416" s="13" t="s">
        <v>1892</v>
      </c>
      <c r="AM8416">
        <v>1</v>
      </c>
      <c r="AN8416" s="15" t="s">
        <v>2825</v>
      </c>
    </row>
    <row r="8417" spans="1:40" x14ac:dyDescent="0.3">
      <c r="A8417" s="10" t="str">
        <f>HYPERLINK("http://www.washoecounty.gov/assessor/cama/?parid=566-151-12&amp;CardNumber=1","566-151-12")</f>
        <v>566-151-12</v>
      </c>
      <c r="B8417" t="s">
        <v>4655</v>
      </c>
      <c r="C8417" t="s">
        <v>38595</v>
      </c>
      <c r="D8417" s="1">
        <v>40351</v>
      </c>
      <c r="E8417" s="2">
        <v>140000</v>
      </c>
      <c r="F8417" t="s">
        <v>4553</v>
      </c>
      <c r="G8417" s="17" t="str">
        <f>HYPERLINK("https://www.washoecounty.gov/assessor/cama/?command=sales&amp;parid=56615112","3894269")</f>
        <v>3894269</v>
      </c>
      <c r="H8417" t="s">
        <v>2153</v>
      </c>
      <c r="I8417">
        <v>2005</v>
      </c>
      <c r="J8417">
        <v>2005</v>
      </c>
      <c r="K8417" t="s">
        <v>4554</v>
      </c>
      <c r="L8417" t="s">
        <v>4555</v>
      </c>
      <c r="M8417" s="2">
        <v>1806</v>
      </c>
      <c r="N8417" t="s">
        <v>5280</v>
      </c>
      <c r="O8417">
        <v>3</v>
      </c>
      <c r="P8417">
        <v>2</v>
      </c>
      <c r="Q8417">
        <v>0</v>
      </c>
      <c r="R8417" t="s">
        <v>5281</v>
      </c>
      <c r="S8417" t="s">
        <v>4558</v>
      </c>
      <c r="T8417" t="s">
        <v>4559</v>
      </c>
      <c r="U8417" t="s">
        <v>4560</v>
      </c>
      <c r="V8417" s="2">
        <v>660</v>
      </c>
      <c r="W8417" t="s">
        <v>4655</v>
      </c>
      <c r="X8417" s="2">
        <v>0</v>
      </c>
      <c r="Y8417">
        <v>20</v>
      </c>
      <c r="Z8417" t="s">
        <v>5508</v>
      </c>
      <c r="AA8417" s="3">
        <v>0.295707076787949</v>
      </c>
      <c r="AB8417" t="s">
        <v>38596</v>
      </c>
      <c r="AC8417" t="s">
        <v>4562</v>
      </c>
      <c r="AD8417" t="s">
        <v>38597</v>
      </c>
      <c r="AE8417" t="s">
        <v>4655</v>
      </c>
      <c r="AF8417" t="s">
        <v>4563</v>
      </c>
      <c r="AG8417" t="s">
        <v>4564</v>
      </c>
      <c r="AH8417">
        <v>89508</v>
      </c>
      <c r="AI8417" t="s">
        <v>4585</v>
      </c>
      <c r="AJ8417" t="s">
        <v>2154</v>
      </c>
      <c r="AK8417" t="s">
        <v>38598</v>
      </c>
      <c r="AL8417" s="13" t="s">
        <v>1892</v>
      </c>
      <c r="AM8417" s="14">
        <v>1</v>
      </c>
      <c r="AN8417" s="15" t="s">
        <v>2825</v>
      </c>
    </row>
    <row r="8418" spans="1:40" x14ac:dyDescent="0.3">
      <c r="A8418" s="10" t="str">
        <f>HYPERLINK("http://www.washoecounty.gov/assessor/cama/?parid=566-161-04&amp;CardNumber=1","566-161-04")</f>
        <v>566-161-04</v>
      </c>
      <c r="B8418" t="s">
        <v>4655</v>
      </c>
      <c r="C8418" t="s">
        <v>38599</v>
      </c>
      <c r="D8418" s="1">
        <v>40414</v>
      </c>
      <c r="E8418" s="2">
        <v>175000</v>
      </c>
      <c r="F8418" t="s">
        <v>4567</v>
      </c>
      <c r="G8418" s="17" t="str">
        <f>HYPERLINK("https://www.washoecounty.gov/assessor/cama/?command=sales&amp;parid=56616104","3915125")</f>
        <v>3915125</v>
      </c>
      <c r="H8418" t="s">
        <v>890</v>
      </c>
      <c r="I8418">
        <v>2006</v>
      </c>
      <c r="J8418">
        <v>2006</v>
      </c>
      <c r="K8418" t="s">
        <v>4554</v>
      </c>
      <c r="L8418" t="s">
        <v>4555</v>
      </c>
      <c r="M8418" s="2">
        <v>2228</v>
      </c>
      <c r="N8418" t="s">
        <v>5280</v>
      </c>
      <c r="O8418">
        <v>3</v>
      </c>
      <c r="P8418">
        <v>2</v>
      </c>
      <c r="Q8418">
        <v>0</v>
      </c>
      <c r="R8418" t="s">
        <v>5281</v>
      </c>
      <c r="S8418" t="s">
        <v>4898</v>
      </c>
      <c r="T8418" t="s">
        <v>2704</v>
      </c>
      <c r="U8418" t="s">
        <v>4560</v>
      </c>
      <c r="V8418" s="2">
        <v>600</v>
      </c>
      <c r="W8418" t="s">
        <v>4655</v>
      </c>
      <c r="X8418" s="2">
        <v>0</v>
      </c>
      <c r="Y8418">
        <v>20</v>
      </c>
      <c r="Z8418" t="s">
        <v>5508</v>
      </c>
      <c r="AA8418" s="3">
        <v>0.359458208084106</v>
      </c>
      <c r="AB8418" t="s">
        <v>38600</v>
      </c>
      <c r="AC8418" t="s">
        <v>4562</v>
      </c>
      <c r="AD8418" t="s">
        <v>38599</v>
      </c>
      <c r="AE8418" t="s">
        <v>4655</v>
      </c>
      <c r="AF8418" t="s">
        <v>4563</v>
      </c>
      <c r="AG8418" t="s">
        <v>4564</v>
      </c>
      <c r="AH8418">
        <v>89508</v>
      </c>
      <c r="AI8418" t="s">
        <v>38601</v>
      </c>
      <c r="AJ8418" t="s">
        <v>891</v>
      </c>
      <c r="AK8418" t="s">
        <v>38602</v>
      </c>
      <c r="AL8418" s="13" t="s">
        <v>1892</v>
      </c>
      <c r="AM8418">
        <v>1</v>
      </c>
      <c r="AN8418" s="15" t="s">
        <v>2825</v>
      </c>
    </row>
    <row r="8419" spans="1:40" x14ac:dyDescent="0.3">
      <c r="A8419" s="10" t="str">
        <f>HYPERLINK("http://www.washoecounty.gov/assessor/cama/?parid=566-162-14&amp;CardNumber=1","566-162-14")</f>
        <v>566-162-14</v>
      </c>
      <c r="B8419" t="s">
        <v>4655</v>
      </c>
      <c r="C8419" t="s">
        <v>38603</v>
      </c>
      <c r="D8419" s="1">
        <v>40438</v>
      </c>
      <c r="E8419" s="2">
        <v>160000</v>
      </c>
      <c r="F8419" t="s">
        <v>4567</v>
      </c>
      <c r="G8419" s="17" t="str">
        <f>HYPERLINK("https://www.washoecounty.gov/assessor/cama/?command=sales&amp;parid=56616214","3923756")</f>
        <v>3923756</v>
      </c>
      <c r="H8419" t="s">
        <v>890</v>
      </c>
      <c r="I8419">
        <v>2006</v>
      </c>
      <c r="J8419">
        <v>2006</v>
      </c>
      <c r="K8419" t="s">
        <v>4554</v>
      </c>
      <c r="L8419" t="s">
        <v>4555</v>
      </c>
      <c r="M8419" s="2">
        <v>1806</v>
      </c>
      <c r="N8419" t="s">
        <v>5280</v>
      </c>
      <c r="O8419">
        <v>3</v>
      </c>
      <c r="P8419">
        <v>2</v>
      </c>
      <c r="Q8419">
        <v>0</v>
      </c>
      <c r="R8419" t="s">
        <v>5281</v>
      </c>
      <c r="S8419" t="s">
        <v>4898</v>
      </c>
      <c r="T8419" t="s">
        <v>4559</v>
      </c>
      <c r="U8419" t="s">
        <v>4560</v>
      </c>
      <c r="V8419" s="2">
        <v>660</v>
      </c>
      <c r="W8419" t="s">
        <v>4655</v>
      </c>
      <c r="X8419" s="2">
        <v>0</v>
      </c>
      <c r="Y8419">
        <v>20</v>
      </c>
      <c r="Z8419" t="s">
        <v>5508</v>
      </c>
      <c r="AA8419" s="3">
        <v>0.27550503611564597</v>
      </c>
      <c r="AB8419" t="s">
        <v>38604</v>
      </c>
      <c r="AC8419" t="s">
        <v>4562</v>
      </c>
      <c r="AD8419" t="s">
        <v>38603</v>
      </c>
      <c r="AE8419" t="s">
        <v>4655</v>
      </c>
      <c r="AF8419" t="s">
        <v>4563</v>
      </c>
      <c r="AG8419" t="s">
        <v>4564</v>
      </c>
      <c r="AH8419">
        <v>89508</v>
      </c>
      <c r="AI8419" t="s">
        <v>38605</v>
      </c>
      <c r="AJ8419" t="s">
        <v>891</v>
      </c>
      <c r="AK8419" t="s">
        <v>38606</v>
      </c>
      <c r="AL8419" s="13" t="s">
        <v>1892</v>
      </c>
      <c r="AM8419">
        <v>1</v>
      </c>
      <c r="AN8419" s="15" t="s">
        <v>2825</v>
      </c>
    </row>
    <row r="8420" spans="1:40" x14ac:dyDescent="0.3">
      <c r="A8420" s="10" t="str">
        <f>HYPERLINK("http://www.washoecounty.gov/assessor/cama/?parid=566-181-19&amp;CardNumber=1","566-181-19")</f>
        <v>566-181-19</v>
      </c>
      <c r="B8420" t="s">
        <v>4655</v>
      </c>
      <c r="C8420" t="s">
        <v>38607</v>
      </c>
      <c r="D8420" s="1">
        <v>40389</v>
      </c>
      <c r="E8420" s="2">
        <v>197000</v>
      </c>
      <c r="F8420" t="s">
        <v>4553</v>
      </c>
      <c r="G8420" s="17" t="str">
        <f>HYPERLINK("https://www.washoecounty.gov/assessor/cama/?command=sales&amp;parid=56618119","3907440")</f>
        <v>3907440</v>
      </c>
      <c r="H8420" t="s">
        <v>38608</v>
      </c>
      <c r="I8420">
        <v>2008</v>
      </c>
      <c r="J8420">
        <v>2008</v>
      </c>
      <c r="K8420" t="s">
        <v>4554</v>
      </c>
      <c r="L8420" t="s">
        <v>4555</v>
      </c>
      <c r="M8420" s="2">
        <v>2228</v>
      </c>
      <c r="N8420" t="s">
        <v>5280</v>
      </c>
      <c r="O8420">
        <v>4</v>
      </c>
      <c r="P8420">
        <v>2</v>
      </c>
      <c r="Q8420">
        <v>0</v>
      </c>
      <c r="R8420" t="s">
        <v>5281</v>
      </c>
      <c r="S8420" t="s">
        <v>4898</v>
      </c>
      <c r="T8420" t="s">
        <v>2704</v>
      </c>
      <c r="U8420" t="s">
        <v>4560</v>
      </c>
      <c r="V8420" s="2">
        <v>600</v>
      </c>
      <c r="W8420" t="s">
        <v>4655</v>
      </c>
      <c r="X8420" s="2">
        <v>0</v>
      </c>
      <c r="Y8420">
        <v>20</v>
      </c>
      <c r="Z8420" t="s">
        <v>5508</v>
      </c>
      <c r="AA8420" s="3">
        <v>0.275482088327408</v>
      </c>
      <c r="AB8420" t="s">
        <v>38609</v>
      </c>
      <c r="AC8420" t="s">
        <v>4562</v>
      </c>
      <c r="AD8420" t="s">
        <v>38607</v>
      </c>
      <c r="AE8420" t="s">
        <v>4655</v>
      </c>
      <c r="AF8420" t="s">
        <v>4563</v>
      </c>
      <c r="AG8420" t="s">
        <v>4564</v>
      </c>
      <c r="AH8420">
        <v>89508</v>
      </c>
      <c r="AI8420" t="s">
        <v>4903</v>
      </c>
      <c r="AJ8420" t="s">
        <v>38610</v>
      </c>
      <c r="AK8420" t="s">
        <v>38611</v>
      </c>
      <c r="AL8420" s="13" t="s">
        <v>1892</v>
      </c>
      <c r="AM8420">
        <v>1</v>
      </c>
      <c r="AN8420" s="15" t="s">
        <v>2825</v>
      </c>
    </row>
    <row r="8421" spans="1:40" x14ac:dyDescent="0.3">
      <c r="A8421" s="10" t="str">
        <f>HYPERLINK("http://www.washoecounty.gov/assessor/cama/?parid=566-181-24&amp;CardNumber=1","566-181-24")</f>
        <v>566-181-24</v>
      </c>
      <c r="B8421" t="s">
        <v>4655</v>
      </c>
      <c r="C8421" t="s">
        <v>38612</v>
      </c>
      <c r="D8421" s="1">
        <v>40465</v>
      </c>
      <c r="E8421" s="2">
        <v>160000</v>
      </c>
      <c r="F8421" t="s">
        <v>4567</v>
      </c>
      <c r="G8421" s="17" t="str">
        <f>HYPERLINK("https://www.washoecounty.gov/assessor/cama/?command=sales&amp;parid=56618124","3933121")</f>
        <v>3933121</v>
      </c>
      <c r="H8421" t="s">
        <v>38608</v>
      </c>
      <c r="I8421">
        <v>2008</v>
      </c>
      <c r="J8421">
        <v>2008</v>
      </c>
      <c r="K8421" t="s">
        <v>4554</v>
      </c>
      <c r="L8421" t="s">
        <v>4555</v>
      </c>
      <c r="M8421" s="2">
        <v>1806</v>
      </c>
      <c r="N8421" t="s">
        <v>5280</v>
      </c>
      <c r="O8421">
        <v>3</v>
      </c>
      <c r="P8421">
        <v>2</v>
      </c>
      <c r="Q8421">
        <v>0</v>
      </c>
      <c r="R8421" t="s">
        <v>5281</v>
      </c>
      <c r="S8421" t="s">
        <v>4898</v>
      </c>
      <c r="T8421" t="s">
        <v>2704</v>
      </c>
      <c r="U8421" t="s">
        <v>4560</v>
      </c>
      <c r="V8421" s="2">
        <v>660</v>
      </c>
      <c r="W8421" t="s">
        <v>4655</v>
      </c>
      <c r="X8421" s="2">
        <v>0</v>
      </c>
      <c r="Y8421">
        <v>20</v>
      </c>
      <c r="Z8421" t="s">
        <v>5508</v>
      </c>
      <c r="AA8421" s="3">
        <v>0.297796130180359</v>
      </c>
      <c r="AB8421" t="s">
        <v>38613</v>
      </c>
      <c r="AC8421" t="s">
        <v>4562</v>
      </c>
      <c r="AD8421" t="s">
        <v>38614</v>
      </c>
      <c r="AE8421" t="s">
        <v>4655</v>
      </c>
      <c r="AF8421" t="s">
        <v>4563</v>
      </c>
      <c r="AG8421" t="s">
        <v>4564</v>
      </c>
      <c r="AH8421">
        <v>89508</v>
      </c>
      <c r="AI8421" t="s">
        <v>38615</v>
      </c>
      <c r="AJ8421" t="s">
        <v>38610</v>
      </c>
      <c r="AK8421" t="s">
        <v>38616</v>
      </c>
      <c r="AL8421" s="13" t="s">
        <v>1892</v>
      </c>
      <c r="AM8421" s="14">
        <v>1</v>
      </c>
      <c r="AN8421" s="15" t="s">
        <v>2825</v>
      </c>
    </row>
    <row r="8422" spans="1:40" x14ac:dyDescent="0.3">
      <c r="A8422" s="10" t="str">
        <f>HYPERLINK("http://www.washoecounty.gov/assessor/cama/?parid=568-061-02&amp;CardNumber=1","568-061-02")</f>
        <v>568-061-02</v>
      </c>
      <c r="B8422" t="s">
        <v>4655</v>
      </c>
      <c r="C8422" t="s">
        <v>38617</v>
      </c>
      <c r="D8422" s="1">
        <v>40288</v>
      </c>
      <c r="E8422" s="2">
        <v>182500</v>
      </c>
      <c r="F8422" t="s">
        <v>4567</v>
      </c>
      <c r="G8422" s="17" t="str">
        <f>HYPERLINK("https://www.washoecounty.gov/assessor/cama/?command=sales&amp;parid=56806102","3873088")</f>
        <v>3873088</v>
      </c>
      <c r="H8422" t="s">
        <v>1918</v>
      </c>
      <c r="I8422">
        <v>2009</v>
      </c>
      <c r="J8422">
        <v>2009</v>
      </c>
      <c r="K8422" t="s">
        <v>4554</v>
      </c>
      <c r="L8422" t="s">
        <v>4555</v>
      </c>
      <c r="M8422" s="2">
        <v>1675</v>
      </c>
      <c r="N8422" t="s">
        <v>4048</v>
      </c>
      <c r="O8422">
        <v>3</v>
      </c>
      <c r="P8422">
        <v>2</v>
      </c>
      <c r="Q8422">
        <v>0</v>
      </c>
      <c r="R8422" t="s">
        <v>5281</v>
      </c>
      <c r="S8422" t="s">
        <v>4558</v>
      </c>
      <c r="T8422" t="s">
        <v>4559</v>
      </c>
      <c r="U8422" t="s">
        <v>4560</v>
      </c>
      <c r="V8422" s="2">
        <v>404</v>
      </c>
      <c r="W8422" t="s">
        <v>4655</v>
      </c>
      <c r="X8422" s="2">
        <v>0</v>
      </c>
      <c r="Y8422">
        <v>20</v>
      </c>
      <c r="Z8422" t="s">
        <v>4351</v>
      </c>
      <c r="AA8422" s="3">
        <v>0.20261707901954701</v>
      </c>
      <c r="AB8422" t="s">
        <v>38618</v>
      </c>
      <c r="AC8422" t="s">
        <v>4562</v>
      </c>
      <c r="AD8422" t="s">
        <v>38617</v>
      </c>
      <c r="AE8422" t="s">
        <v>4655</v>
      </c>
      <c r="AF8422" t="s">
        <v>4563</v>
      </c>
      <c r="AG8422" t="s">
        <v>4564</v>
      </c>
      <c r="AH8422">
        <v>89506</v>
      </c>
      <c r="AI8422" t="s">
        <v>1576</v>
      </c>
      <c r="AJ8422" t="s">
        <v>1919</v>
      </c>
      <c r="AK8422" t="s">
        <v>38619</v>
      </c>
      <c r="AL8422" s="13" t="s">
        <v>1901</v>
      </c>
      <c r="AM8422" s="14">
        <v>1</v>
      </c>
      <c r="AN8422" s="15" t="s">
        <v>1633</v>
      </c>
    </row>
    <row r="8423" spans="1:40" x14ac:dyDescent="0.3">
      <c r="A8423" s="10" t="str">
        <f>HYPERLINK("http://www.washoecounty.gov/assessor/cama/?parid=568-061-03&amp;CardNumber=1","568-061-03")</f>
        <v>568-061-03</v>
      </c>
      <c r="B8423" t="s">
        <v>4655</v>
      </c>
      <c r="C8423" t="s">
        <v>38620</v>
      </c>
      <c r="D8423" s="1">
        <v>40268</v>
      </c>
      <c r="E8423" s="2">
        <v>205950</v>
      </c>
      <c r="F8423" t="s">
        <v>4567</v>
      </c>
      <c r="G8423" s="17" t="str">
        <f>HYPERLINK("https://www.washoecounty.gov/assessor/cama/?command=sales&amp;parid=56806103","3866301")</f>
        <v>3866301</v>
      </c>
      <c r="H8423" t="s">
        <v>1918</v>
      </c>
      <c r="I8423">
        <v>2009</v>
      </c>
      <c r="J8423">
        <v>2009</v>
      </c>
      <c r="K8423" t="s">
        <v>4554</v>
      </c>
      <c r="L8423" t="s">
        <v>3974</v>
      </c>
      <c r="M8423" s="2">
        <v>2108</v>
      </c>
      <c r="N8423" t="s">
        <v>4048</v>
      </c>
      <c r="O8423">
        <v>3</v>
      </c>
      <c r="P8423">
        <v>2</v>
      </c>
      <c r="Q8423">
        <v>1</v>
      </c>
      <c r="R8423" t="s">
        <v>5281</v>
      </c>
      <c r="S8423" t="s">
        <v>4558</v>
      </c>
      <c r="T8423" t="s">
        <v>4559</v>
      </c>
      <c r="U8423" t="s">
        <v>4560</v>
      </c>
      <c r="V8423" s="2">
        <v>380</v>
      </c>
      <c r="W8423" t="s">
        <v>4655</v>
      </c>
      <c r="X8423" s="2">
        <v>0</v>
      </c>
      <c r="Y8423">
        <v>20</v>
      </c>
      <c r="Z8423" t="s">
        <v>4351</v>
      </c>
      <c r="AA8423" s="3">
        <v>0.16841138899326299</v>
      </c>
      <c r="AB8423" t="s">
        <v>38621</v>
      </c>
      <c r="AC8423" t="s">
        <v>4575</v>
      </c>
      <c r="AD8423" t="s">
        <v>38622</v>
      </c>
      <c r="AE8423" t="s">
        <v>38620</v>
      </c>
      <c r="AF8423" t="s">
        <v>4563</v>
      </c>
      <c r="AG8423" t="s">
        <v>4564</v>
      </c>
      <c r="AH8423">
        <v>89506</v>
      </c>
      <c r="AI8423" t="s">
        <v>1576</v>
      </c>
      <c r="AJ8423" t="s">
        <v>1919</v>
      </c>
      <c r="AK8423" t="s">
        <v>38623</v>
      </c>
      <c r="AL8423" s="13" t="s">
        <v>1901</v>
      </c>
      <c r="AM8423">
        <v>1</v>
      </c>
      <c r="AN8423" s="15" t="s">
        <v>1633</v>
      </c>
    </row>
    <row r="8424" spans="1:40" x14ac:dyDescent="0.3">
      <c r="A8424" s="10" t="str">
        <f>HYPERLINK("http://www.washoecounty.gov/assessor/cama/?parid=568-061-04&amp;CardNumber=1","568-061-04")</f>
        <v>568-061-04</v>
      </c>
      <c r="B8424" t="s">
        <v>4655</v>
      </c>
      <c r="C8424" t="s">
        <v>38624</v>
      </c>
      <c r="D8424" s="1">
        <v>40311</v>
      </c>
      <c r="E8424" s="2">
        <v>181950</v>
      </c>
      <c r="F8424" t="s">
        <v>4567</v>
      </c>
      <c r="G8424" s="17" t="str">
        <f>HYPERLINK("https://www.washoecounty.gov/assessor/cama/?command=sales&amp;parid=56806104","3881267")</f>
        <v>3881267</v>
      </c>
      <c r="H8424" t="s">
        <v>1918</v>
      </c>
      <c r="I8424">
        <v>2009</v>
      </c>
      <c r="J8424">
        <v>2009</v>
      </c>
      <c r="K8424" t="s">
        <v>4554</v>
      </c>
      <c r="L8424" t="s">
        <v>4555</v>
      </c>
      <c r="M8424" s="2">
        <v>1675</v>
      </c>
      <c r="N8424" t="s">
        <v>4048</v>
      </c>
      <c r="O8424">
        <v>3</v>
      </c>
      <c r="P8424">
        <v>2</v>
      </c>
      <c r="Q8424">
        <v>0</v>
      </c>
      <c r="R8424" t="s">
        <v>5281</v>
      </c>
      <c r="S8424" t="s">
        <v>4558</v>
      </c>
      <c r="T8424" t="s">
        <v>4559</v>
      </c>
      <c r="U8424" t="s">
        <v>4560</v>
      </c>
      <c r="V8424" s="2">
        <v>404</v>
      </c>
      <c r="W8424" t="s">
        <v>4655</v>
      </c>
      <c r="X8424" s="2">
        <v>0</v>
      </c>
      <c r="Y8424">
        <v>20</v>
      </c>
      <c r="Z8424" t="s">
        <v>4351</v>
      </c>
      <c r="AA8424" s="3">
        <v>0.16841138899326299</v>
      </c>
      <c r="AB8424" t="s">
        <v>38273</v>
      </c>
      <c r="AC8424" t="s">
        <v>4562</v>
      </c>
      <c r="AD8424" t="s">
        <v>38624</v>
      </c>
      <c r="AE8424" t="s">
        <v>4655</v>
      </c>
      <c r="AF8424" t="s">
        <v>4563</v>
      </c>
      <c r="AG8424" t="s">
        <v>4564</v>
      </c>
      <c r="AH8424">
        <v>89508</v>
      </c>
      <c r="AI8424" t="s">
        <v>1576</v>
      </c>
      <c r="AJ8424" t="s">
        <v>1919</v>
      </c>
      <c r="AK8424" t="s">
        <v>38625</v>
      </c>
      <c r="AL8424" s="13" t="s">
        <v>1901</v>
      </c>
      <c r="AM8424">
        <v>1</v>
      </c>
      <c r="AN8424" s="15" t="s">
        <v>1633</v>
      </c>
    </row>
    <row r="8425" spans="1:40" x14ac:dyDescent="0.3">
      <c r="A8425" s="10" t="str">
        <f>HYPERLINK("http://www.washoecounty.gov/assessor/cama/?parid=568-061-05&amp;CardNumber=1","568-061-05")</f>
        <v>568-061-05</v>
      </c>
      <c r="B8425" t="s">
        <v>4655</v>
      </c>
      <c r="C8425" t="s">
        <v>38626</v>
      </c>
      <c r="D8425" s="1">
        <v>40298</v>
      </c>
      <c r="E8425" s="2">
        <v>219950</v>
      </c>
      <c r="F8425" t="s">
        <v>4567</v>
      </c>
      <c r="G8425" s="17" t="str">
        <f>HYPERLINK("https://www.washoecounty.gov/assessor/cama/?command=sales&amp;parid=56806105","3876751")</f>
        <v>3876751</v>
      </c>
      <c r="H8425" t="s">
        <v>1918</v>
      </c>
      <c r="I8425">
        <v>2009</v>
      </c>
      <c r="J8425">
        <v>2009</v>
      </c>
      <c r="K8425" t="s">
        <v>4554</v>
      </c>
      <c r="L8425" t="s">
        <v>3974</v>
      </c>
      <c r="M8425" s="2">
        <v>2381</v>
      </c>
      <c r="N8425" t="s">
        <v>4048</v>
      </c>
      <c r="O8425">
        <v>4</v>
      </c>
      <c r="P8425">
        <v>3</v>
      </c>
      <c r="Q8425">
        <v>0</v>
      </c>
      <c r="R8425" t="s">
        <v>5281</v>
      </c>
      <c r="S8425" t="s">
        <v>4558</v>
      </c>
      <c r="T8425" t="s">
        <v>4559</v>
      </c>
      <c r="U8425" t="s">
        <v>5631</v>
      </c>
      <c r="V8425" s="2">
        <v>396</v>
      </c>
      <c r="W8425" t="s">
        <v>4655</v>
      </c>
      <c r="X8425" s="2">
        <v>0</v>
      </c>
      <c r="Y8425">
        <v>20</v>
      </c>
      <c r="Z8425" t="s">
        <v>4351</v>
      </c>
      <c r="AA8425" s="3">
        <v>0.16841138899326299</v>
      </c>
      <c r="AB8425" t="s">
        <v>38627</v>
      </c>
      <c r="AC8425" t="s">
        <v>4575</v>
      </c>
      <c r="AD8425" t="s">
        <v>38626</v>
      </c>
      <c r="AE8425" t="s">
        <v>4655</v>
      </c>
      <c r="AF8425" t="s">
        <v>4563</v>
      </c>
      <c r="AG8425" t="s">
        <v>4564</v>
      </c>
      <c r="AH8425">
        <v>89506</v>
      </c>
      <c r="AI8425" t="s">
        <v>1576</v>
      </c>
      <c r="AJ8425" t="s">
        <v>1919</v>
      </c>
      <c r="AK8425" t="s">
        <v>38628</v>
      </c>
      <c r="AL8425" s="13" t="s">
        <v>1901</v>
      </c>
      <c r="AM8425" s="14">
        <v>1</v>
      </c>
      <c r="AN8425" s="15" t="s">
        <v>1633</v>
      </c>
    </row>
    <row r="8426" spans="1:40" x14ac:dyDescent="0.3">
      <c r="A8426" s="10" t="str">
        <f>HYPERLINK("http://www.washoecounty.gov/assessor/cama/?parid=568-061-06&amp;CardNumber=1","568-061-06")</f>
        <v>568-061-06</v>
      </c>
      <c r="B8426" t="s">
        <v>4655</v>
      </c>
      <c r="C8426" t="s">
        <v>38629</v>
      </c>
      <c r="D8426" s="1">
        <v>40298</v>
      </c>
      <c r="E8426" s="2">
        <v>200950</v>
      </c>
      <c r="F8426" t="s">
        <v>4567</v>
      </c>
      <c r="G8426" s="17" t="str">
        <f>HYPERLINK("https://www.washoecounty.gov/assessor/cama/?command=sales&amp;parid=56806106","3876761")</f>
        <v>3876761</v>
      </c>
      <c r="H8426" t="s">
        <v>1918</v>
      </c>
      <c r="I8426">
        <v>2009</v>
      </c>
      <c r="J8426">
        <v>2009</v>
      </c>
      <c r="K8426" t="s">
        <v>4554</v>
      </c>
      <c r="L8426" t="s">
        <v>3974</v>
      </c>
      <c r="M8426" s="2">
        <v>2108</v>
      </c>
      <c r="N8426" t="s">
        <v>4048</v>
      </c>
      <c r="O8426">
        <v>3</v>
      </c>
      <c r="P8426">
        <v>2</v>
      </c>
      <c r="Q8426">
        <v>1</v>
      </c>
      <c r="R8426" t="s">
        <v>5281</v>
      </c>
      <c r="S8426" t="s">
        <v>4558</v>
      </c>
      <c r="T8426" t="s">
        <v>4559</v>
      </c>
      <c r="U8426" t="s">
        <v>4560</v>
      </c>
      <c r="V8426" s="2">
        <v>380</v>
      </c>
      <c r="W8426" t="s">
        <v>4655</v>
      </c>
      <c r="X8426" s="2">
        <v>0</v>
      </c>
      <c r="Y8426">
        <v>20</v>
      </c>
      <c r="Z8426" t="s">
        <v>4351</v>
      </c>
      <c r="AA8426" s="3">
        <v>0.16841138899326299</v>
      </c>
      <c r="AB8426" t="s">
        <v>38630</v>
      </c>
      <c r="AC8426" t="s">
        <v>4562</v>
      </c>
      <c r="AD8426" t="s">
        <v>38629</v>
      </c>
      <c r="AE8426" t="s">
        <v>4655</v>
      </c>
      <c r="AF8426" t="s">
        <v>4563</v>
      </c>
      <c r="AG8426" t="s">
        <v>4564</v>
      </c>
      <c r="AH8426">
        <v>89506</v>
      </c>
      <c r="AI8426" t="s">
        <v>1576</v>
      </c>
      <c r="AJ8426" t="s">
        <v>1919</v>
      </c>
      <c r="AK8426" t="s">
        <v>38631</v>
      </c>
      <c r="AL8426" s="13" t="s">
        <v>1901</v>
      </c>
      <c r="AM8426">
        <v>1</v>
      </c>
      <c r="AN8426" s="15" t="s">
        <v>1633</v>
      </c>
    </row>
    <row r="8427" spans="1:40" x14ac:dyDescent="0.3">
      <c r="A8427" s="10" t="str">
        <f>HYPERLINK("http://www.washoecounty.gov/assessor/cama/?parid=568-061-07&amp;CardNumber=1","568-061-07")</f>
        <v>568-061-07</v>
      </c>
      <c r="B8427" t="s">
        <v>4655</v>
      </c>
      <c r="C8427" t="s">
        <v>38632</v>
      </c>
      <c r="D8427" s="1">
        <v>40298</v>
      </c>
      <c r="E8427" s="2">
        <v>185950</v>
      </c>
      <c r="F8427" t="s">
        <v>4567</v>
      </c>
      <c r="G8427" s="17" t="str">
        <f>HYPERLINK("https://www.washoecounty.gov/assessor/cama/?command=sales&amp;parid=56806107","3876758")</f>
        <v>3876758</v>
      </c>
      <c r="H8427" t="s">
        <v>1918</v>
      </c>
      <c r="I8427">
        <v>2009</v>
      </c>
      <c r="J8427">
        <v>2009</v>
      </c>
      <c r="K8427" t="s">
        <v>4554</v>
      </c>
      <c r="L8427" t="s">
        <v>4555</v>
      </c>
      <c r="M8427" s="2">
        <v>1675</v>
      </c>
      <c r="N8427" t="s">
        <v>4048</v>
      </c>
      <c r="O8427">
        <v>3</v>
      </c>
      <c r="P8427">
        <v>2</v>
      </c>
      <c r="Q8427">
        <v>0</v>
      </c>
      <c r="R8427" t="s">
        <v>5281</v>
      </c>
      <c r="S8427" t="s">
        <v>4558</v>
      </c>
      <c r="T8427" t="s">
        <v>4559</v>
      </c>
      <c r="U8427" t="s">
        <v>4560</v>
      </c>
      <c r="V8427" s="2">
        <v>404</v>
      </c>
      <c r="W8427" t="s">
        <v>4655</v>
      </c>
      <c r="X8427" s="2">
        <v>0</v>
      </c>
      <c r="Y8427">
        <v>20</v>
      </c>
      <c r="Z8427" t="s">
        <v>4351</v>
      </c>
      <c r="AA8427" s="3">
        <v>0.16841138899326299</v>
      </c>
      <c r="AB8427" t="s">
        <v>38633</v>
      </c>
      <c r="AC8427" t="s">
        <v>4562</v>
      </c>
      <c r="AD8427" t="s">
        <v>38632</v>
      </c>
      <c r="AE8427" t="s">
        <v>4655</v>
      </c>
      <c r="AF8427" t="s">
        <v>4563</v>
      </c>
      <c r="AG8427" t="s">
        <v>4564</v>
      </c>
      <c r="AH8427">
        <v>89506</v>
      </c>
      <c r="AI8427" t="s">
        <v>1576</v>
      </c>
      <c r="AJ8427" t="s">
        <v>1919</v>
      </c>
      <c r="AK8427" t="s">
        <v>38634</v>
      </c>
      <c r="AL8427" s="13" t="s">
        <v>1901</v>
      </c>
      <c r="AM8427">
        <v>1</v>
      </c>
      <c r="AN8427" s="15" t="s">
        <v>1633</v>
      </c>
    </row>
    <row r="8428" spans="1:40" x14ac:dyDescent="0.3">
      <c r="A8428" s="10" t="str">
        <f>HYPERLINK("http://www.washoecounty.gov/assessor/cama/?parid=568-061-08&amp;CardNumber=1","568-061-08")</f>
        <v>568-061-08</v>
      </c>
      <c r="B8428" t="s">
        <v>4655</v>
      </c>
      <c r="C8428" t="s">
        <v>38635</v>
      </c>
      <c r="D8428" s="1">
        <v>40326</v>
      </c>
      <c r="E8428" s="2">
        <v>203950</v>
      </c>
      <c r="F8428" t="s">
        <v>4567</v>
      </c>
      <c r="G8428" s="17" t="str">
        <f>HYPERLINK("https://www.washoecounty.gov/assessor/cama/?command=sales&amp;parid=56806108","3886414")</f>
        <v>3886414</v>
      </c>
      <c r="H8428" t="s">
        <v>1918</v>
      </c>
      <c r="I8428">
        <v>2009</v>
      </c>
      <c r="J8428">
        <v>2009</v>
      </c>
      <c r="K8428" t="s">
        <v>4554</v>
      </c>
      <c r="L8428" t="s">
        <v>3974</v>
      </c>
      <c r="M8428" s="2">
        <v>2108</v>
      </c>
      <c r="N8428" t="s">
        <v>4048</v>
      </c>
      <c r="O8428">
        <v>3</v>
      </c>
      <c r="P8428">
        <v>2</v>
      </c>
      <c r="Q8428">
        <v>0</v>
      </c>
      <c r="R8428" t="s">
        <v>5281</v>
      </c>
      <c r="S8428" t="s">
        <v>4558</v>
      </c>
      <c r="T8428" t="s">
        <v>4559</v>
      </c>
      <c r="U8428" t="s">
        <v>4560</v>
      </c>
      <c r="V8428" s="2">
        <v>380</v>
      </c>
      <c r="W8428" t="s">
        <v>4655</v>
      </c>
      <c r="X8428" s="2">
        <v>0</v>
      </c>
      <c r="Y8428">
        <v>20</v>
      </c>
      <c r="Z8428" t="s">
        <v>4351</v>
      </c>
      <c r="AA8428" s="3">
        <v>0.19031220674514801</v>
      </c>
      <c r="AB8428" t="s">
        <v>38636</v>
      </c>
      <c r="AC8428" t="s">
        <v>4562</v>
      </c>
      <c r="AD8428" t="s">
        <v>38635</v>
      </c>
      <c r="AE8428" t="s">
        <v>4655</v>
      </c>
      <c r="AF8428" t="s">
        <v>4563</v>
      </c>
      <c r="AG8428" t="s">
        <v>4564</v>
      </c>
      <c r="AH8428">
        <v>89506</v>
      </c>
      <c r="AI8428" t="s">
        <v>38637</v>
      </c>
      <c r="AJ8428" t="s">
        <v>1919</v>
      </c>
      <c r="AK8428" t="s">
        <v>38638</v>
      </c>
      <c r="AL8428" s="13" t="s">
        <v>1901</v>
      </c>
      <c r="AM8428" s="14">
        <v>1</v>
      </c>
      <c r="AN8428" s="15" t="s">
        <v>1633</v>
      </c>
    </row>
    <row r="8429" spans="1:40" x14ac:dyDescent="0.3">
      <c r="A8429" s="10" t="str">
        <f>HYPERLINK("http://www.washoecounty.gov/assessor/cama/?parid=568-061-24&amp;CardNumber=1","568-061-24")</f>
        <v>568-061-24</v>
      </c>
      <c r="B8429" t="s">
        <v>4655</v>
      </c>
      <c r="C8429" t="s">
        <v>38639</v>
      </c>
      <c r="D8429" s="1">
        <v>40372</v>
      </c>
      <c r="E8429" s="2">
        <v>176000</v>
      </c>
      <c r="F8429" t="s">
        <v>4567</v>
      </c>
      <c r="G8429" s="17" t="str">
        <f>HYPERLINK("https://www.washoecounty.gov/assessor/cama/?command=sales&amp;parid=56806124","3900863")</f>
        <v>3900863</v>
      </c>
      <c r="H8429" t="s">
        <v>1918</v>
      </c>
      <c r="I8429">
        <v>2008</v>
      </c>
      <c r="J8429">
        <v>2008</v>
      </c>
      <c r="K8429" t="s">
        <v>4554</v>
      </c>
      <c r="L8429" t="s">
        <v>4555</v>
      </c>
      <c r="M8429" s="2">
        <v>1947</v>
      </c>
      <c r="N8429" t="s">
        <v>4048</v>
      </c>
      <c r="O8429">
        <v>4</v>
      </c>
      <c r="P8429">
        <v>2</v>
      </c>
      <c r="Q8429">
        <v>0</v>
      </c>
      <c r="R8429" t="s">
        <v>5281</v>
      </c>
      <c r="S8429" t="s">
        <v>4898</v>
      </c>
      <c r="T8429" t="s">
        <v>4559</v>
      </c>
      <c r="U8429" t="s">
        <v>4560</v>
      </c>
      <c r="V8429" s="2">
        <v>647</v>
      </c>
      <c r="W8429" t="s">
        <v>4655</v>
      </c>
      <c r="X8429" s="2">
        <v>0</v>
      </c>
      <c r="Y8429">
        <v>20</v>
      </c>
      <c r="Z8429" t="s">
        <v>4351</v>
      </c>
      <c r="AA8429" s="3">
        <v>0.21352158486843109</v>
      </c>
      <c r="AB8429" t="s">
        <v>38640</v>
      </c>
      <c r="AC8429" t="s">
        <v>4562</v>
      </c>
      <c r="AD8429" t="s">
        <v>38639</v>
      </c>
      <c r="AE8429" t="s">
        <v>4655</v>
      </c>
      <c r="AF8429" t="s">
        <v>4563</v>
      </c>
      <c r="AG8429" t="s">
        <v>4564</v>
      </c>
      <c r="AH8429">
        <v>89506</v>
      </c>
      <c r="AI8429" t="s">
        <v>4655</v>
      </c>
      <c r="AJ8429" t="s">
        <v>1919</v>
      </c>
      <c r="AK8429" t="s">
        <v>38641</v>
      </c>
      <c r="AL8429" s="13" t="s">
        <v>1901</v>
      </c>
      <c r="AM8429">
        <v>1</v>
      </c>
      <c r="AN8429" s="15" t="s">
        <v>1633</v>
      </c>
    </row>
    <row r="8430" spans="1:40" x14ac:dyDescent="0.3">
      <c r="A8430" s="10" t="str">
        <f>HYPERLINK("http://www.washoecounty.gov/assessor/cama/?parid=568-061-35&amp;CardNumber=1","568-061-35")</f>
        <v>568-061-35</v>
      </c>
      <c r="B8430" t="s">
        <v>4655</v>
      </c>
      <c r="C8430" t="s">
        <v>38642</v>
      </c>
      <c r="D8430" s="1">
        <v>40339</v>
      </c>
      <c r="E8430" s="2">
        <v>185950</v>
      </c>
      <c r="F8430" t="s">
        <v>4567</v>
      </c>
      <c r="G8430" s="17" t="str">
        <f>HYPERLINK("https://www.washoecounty.gov/assessor/cama/?command=sales&amp;parid=56806135","3890175")</f>
        <v>3890175</v>
      </c>
      <c r="H8430" t="s">
        <v>1918</v>
      </c>
      <c r="I8430">
        <v>2009</v>
      </c>
      <c r="J8430">
        <v>2009</v>
      </c>
      <c r="K8430" t="s">
        <v>4554</v>
      </c>
      <c r="L8430" t="s">
        <v>4555</v>
      </c>
      <c r="M8430" s="2">
        <v>1675</v>
      </c>
      <c r="N8430" t="s">
        <v>4048</v>
      </c>
      <c r="O8430">
        <v>3</v>
      </c>
      <c r="P8430">
        <v>2</v>
      </c>
      <c r="Q8430">
        <v>0</v>
      </c>
      <c r="R8430" t="s">
        <v>5281</v>
      </c>
      <c r="S8430" t="s">
        <v>4558</v>
      </c>
      <c r="T8430" t="s">
        <v>4559</v>
      </c>
      <c r="U8430" t="s">
        <v>4560</v>
      </c>
      <c r="V8430" s="2">
        <v>404</v>
      </c>
      <c r="W8430" t="s">
        <v>4655</v>
      </c>
      <c r="X8430" s="2">
        <v>0</v>
      </c>
      <c r="Y8430">
        <v>20</v>
      </c>
      <c r="Z8430" t="s">
        <v>4351</v>
      </c>
      <c r="AA8430" s="3">
        <v>0.19928833842277527</v>
      </c>
      <c r="AB8430" t="s">
        <v>38643</v>
      </c>
      <c r="AC8430" t="s">
        <v>4575</v>
      </c>
      <c r="AD8430" t="s">
        <v>38644</v>
      </c>
      <c r="AE8430" t="s">
        <v>4655</v>
      </c>
      <c r="AF8430" t="s">
        <v>4563</v>
      </c>
      <c r="AG8430" t="s">
        <v>4564</v>
      </c>
      <c r="AH8430">
        <v>89506</v>
      </c>
      <c r="AI8430" t="s">
        <v>1576</v>
      </c>
      <c r="AJ8430" t="s">
        <v>1919</v>
      </c>
      <c r="AK8430" t="s">
        <v>38645</v>
      </c>
      <c r="AL8430" s="13" t="s">
        <v>1901</v>
      </c>
      <c r="AM8430">
        <v>1</v>
      </c>
      <c r="AN8430" s="15" t="s">
        <v>1633</v>
      </c>
    </row>
    <row r="8431" spans="1:40" x14ac:dyDescent="0.3">
      <c r="A8431" s="10" t="str">
        <f>HYPERLINK("http://www.washoecounty.gov/assessor/cama/?parid=568-061-36&amp;CardNumber=1","568-061-36")</f>
        <v>568-061-36</v>
      </c>
      <c r="B8431" t="s">
        <v>4655</v>
      </c>
      <c r="C8431" t="s">
        <v>38646</v>
      </c>
      <c r="D8431" s="1">
        <v>40340</v>
      </c>
      <c r="E8431" s="2">
        <v>219950</v>
      </c>
      <c r="F8431" t="s">
        <v>4567</v>
      </c>
      <c r="G8431" s="17" t="str">
        <f>HYPERLINK("https://www.washoecounty.gov/assessor/cama/?command=sales&amp;parid=56806136","3890933")</f>
        <v>3890933</v>
      </c>
      <c r="H8431" t="s">
        <v>1918</v>
      </c>
      <c r="I8431">
        <v>2009</v>
      </c>
      <c r="J8431">
        <v>2009</v>
      </c>
      <c r="K8431" t="s">
        <v>4554</v>
      </c>
      <c r="L8431" t="s">
        <v>3974</v>
      </c>
      <c r="M8431" s="2">
        <v>2381</v>
      </c>
      <c r="N8431" t="s">
        <v>4048</v>
      </c>
      <c r="O8431">
        <v>4</v>
      </c>
      <c r="P8431">
        <v>3</v>
      </c>
      <c r="Q8431">
        <v>0</v>
      </c>
      <c r="R8431" t="s">
        <v>5281</v>
      </c>
      <c r="S8431" t="s">
        <v>4558</v>
      </c>
      <c r="T8431" t="s">
        <v>4559</v>
      </c>
      <c r="U8431" t="s">
        <v>5631</v>
      </c>
      <c r="V8431" s="2">
        <v>396</v>
      </c>
      <c r="W8431" t="s">
        <v>4655</v>
      </c>
      <c r="X8431" s="2">
        <v>0</v>
      </c>
      <c r="Y8431">
        <v>20</v>
      </c>
      <c r="Z8431" t="s">
        <v>4351</v>
      </c>
      <c r="AA8431" s="3">
        <v>0.180670335888863</v>
      </c>
      <c r="AB8431" t="s">
        <v>38647</v>
      </c>
      <c r="AC8431" t="s">
        <v>4562</v>
      </c>
      <c r="AD8431" t="s">
        <v>38646</v>
      </c>
      <c r="AE8431" t="s">
        <v>4655</v>
      </c>
      <c r="AF8431" t="s">
        <v>4563</v>
      </c>
      <c r="AG8431" t="s">
        <v>4564</v>
      </c>
      <c r="AH8431">
        <v>89506</v>
      </c>
      <c r="AI8431" t="s">
        <v>1576</v>
      </c>
      <c r="AJ8431" t="s">
        <v>1919</v>
      </c>
      <c r="AK8431" t="s">
        <v>38648</v>
      </c>
      <c r="AL8431" s="13" t="s">
        <v>1901</v>
      </c>
      <c r="AM8431" s="14">
        <v>1</v>
      </c>
      <c r="AN8431" s="15" t="s">
        <v>1633</v>
      </c>
    </row>
    <row r="8432" spans="1:40" x14ac:dyDescent="0.3">
      <c r="A8432" s="10" t="str">
        <f>HYPERLINK("http://www.washoecounty.gov/assessor/cama/?parid=568-061-37&amp;CardNumber=1","568-061-37")</f>
        <v>568-061-37</v>
      </c>
      <c r="B8432" t="s">
        <v>4655</v>
      </c>
      <c r="C8432" t="s">
        <v>38649</v>
      </c>
      <c r="D8432" s="1">
        <v>40354</v>
      </c>
      <c r="E8432" s="2">
        <v>195000</v>
      </c>
      <c r="F8432" t="s">
        <v>4567</v>
      </c>
      <c r="G8432" s="17" t="str">
        <f>HYPERLINK("https://www.washoecounty.gov/assessor/cama/?command=sales&amp;parid=56806137","3895284")</f>
        <v>3895284</v>
      </c>
      <c r="H8432" t="s">
        <v>1918</v>
      </c>
      <c r="I8432">
        <v>2009</v>
      </c>
      <c r="J8432">
        <v>2009</v>
      </c>
      <c r="K8432" t="s">
        <v>4554</v>
      </c>
      <c r="L8432" t="s">
        <v>3974</v>
      </c>
      <c r="M8432" s="2">
        <v>2108</v>
      </c>
      <c r="N8432" t="s">
        <v>4048</v>
      </c>
      <c r="O8432">
        <v>3</v>
      </c>
      <c r="P8432">
        <v>2</v>
      </c>
      <c r="Q8432">
        <v>1</v>
      </c>
      <c r="R8432" t="s">
        <v>5281</v>
      </c>
      <c r="S8432" t="s">
        <v>4558</v>
      </c>
      <c r="T8432" t="s">
        <v>4559</v>
      </c>
      <c r="U8432" t="s">
        <v>4560</v>
      </c>
      <c r="V8432" s="2">
        <v>380</v>
      </c>
      <c r="W8432" t="s">
        <v>4655</v>
      </c>
      <c r="X8432" s="2">
        <v>0</v>
      </c>
      <c r="Y8432">
        <v>20</v>
      </c>
      <c r="Z8432" t="s">
        <v>4351</v>
      </c>
      <c r="AA8432" s="3">
        <v>0.19563819468021401</v>
      </c>
      <c r="AB8432" t="s">
        <v>38650</v>
      </c>
      <c r="AC8432" t="s">
        <v>4562</v>
      </c>
      <c r="AD8432" t="s">
        <v>38649</v>
      </c>
      <c r="AE8432" t="s">
        <v>4655</v>
      </c>
      <c r="AF8432" t="s">
        <v>4563</v>
      </c>
      <c r="AG8432" t="s">
        <v>4564</v>
      </c>
      <c r="AH8432">
        <v>89506</v>
      </c>
      <c r="AI8432" t="s">
        <v>1576</v>
      </c>
      <c r="AJ8432" t="s">
        <v>1919</v>
      </c>
      <c r="AK8432" t="s">
        <v>38651</v>
      </c>
      <c r="AL8432" s="13" t="s">
        <v>1901</v>
      </c>
      <c r="AM8432" s="14">
        <v>1</v>
      </c>
      <c r="AN8432" s="15" t="s">
        <v>1633</v>
      </c>
    </row>
    <row r="8433" spans="1:40" x14ac:dyDescent="0.3">
      <c r="A8433" s="10" t="str">
        <f>HYPERLINK("http://www.washoecounty.gov/assessor/cama/?parid=568-061-39&amp;CardNumber=1","568-061-39")</f>
        <v>568-061-39</v>
      </c>
      <c r="B8433" t="s">
        <v>4655</v>
      </c>
      <c r="C8433" t="s">
        <v>38652</v>
      </c>
      <c r="D8433" s="1">
        <v>40346</v>
      </c>
      <c r="E8433" s="2">
        <v>219000</v>
      </c>
      <c r="F8433" t="s">
        <v>4567</v>
      </c>
      <c r="G8433" s="17" t="str">
        <f>HYPERLINK("https://www.washoecounty.gov/assessor/cama/?command=sales&amp;parid=56806139","3893029")</f>
        <v>3893029</v>
      </c>
      <c r="H8433" t="s">
        <v>1918</v>
      </c>
      <c r="I8433">
        <v>2009</v>
      </c>
      <c r="J8433">
        <v>2009</v>
      </c>
      <c r="K8433" t="s">
        <v>4554</v>
      </c>
      <c r="L8433" t="s">
        <v>3974</v>
      </c>
      <c r="M8433" s="2">
        <v>2381</v>
      </c>
      <c r="N8433" t="s">
        <v>4048</v>
      </c>
      <c r="O8433">
        <v>4</v>
      </c>
      <c r="P8433">
        <v>3</v>
      </c>
      <c r="Q8433">
        <v>0</v>
      </c>
      <c r="R8433" t="s">
        <v>5281</v>
      </c>
      <c r="S8433" t="s">
        <v>4558</v>
      </c>
      <c r="T8433" t="s">
        <v>4559</v>
      </c>
      <c r="U8433" t="s">
        <v>5631</v>
      </c>
      <c r="V8433" s="2">
        <v>396</v>
      </c>
      <c r="W8433" t="s">
        <v>4655</v>
      </c>
      <c r="X8433" s="2">
        <v>0</v>
      </c>
      <c r="Y8433">
        <v>20</v>
      </c>
      <c r="Z8433" t="s">
        <v>4351</v>
      </c>
      <c r="AA8433" s="3">
        <v>0.19749771058559401</v>
      </c>
      <c r="AB8433" t="s">
        <v>38653</v>
      </c>
      <c r="AC8433" t="s">
        <v>4562</v>
      </c>
      <c r="AD8433" t="s">
        <v>38654</v>
      </c>
      <c r="AE8433" t="s">
        <v>4655</v>
      </c>
      <c r="AF8433" t="s">
        <v>4752</v>
      </c>
      <c r="AG8433" t="s">
        <v>4564</v>
      </c>
      <c r="AH8433">
        <v>89506</v>
      </c>
      <c r="AI8433" t="s">
        <v>1576</v>
      </c>
      <c r="AJ8433" t="s">
        <v>1919</v>
      </c>
      <c r="AK8433" t="s">
        <v>38655</v>
      </c>
      <c r="AL8433" s="13" t="s">
        <v>1901</v>
      </c>
      <c r="AM8433">
        <v>1</v>
      </c>
      <c r="AN8433" s="15" t="s">
        <v>1633</v>
      </c>
    </row>
    <row r="8434" spans="1:40" x14ac:dyDescent="0.3">
      <c r="A8434" s="10" t="str">
        <f>HYPERLINK("http://www.washoecounty.gov/assessor/cama/?parid=568-061-40&amp;CardNumber=1","568-061-40")</f>
        <v>568-061-40</v>
      </c>
      <c r="B8434" t="s">
        <v>4655</v>
      </c>
      <c r="C8434" t="s">
        <v>38656</v>
      </c>
      <c r="D8434" s="1">
        <v>40359</v>
      </c>
      <c r="E8434" s="2">
        <v>186950</v>
      </c>
      <c r="F8434" t="s">
        <v>4567</v>
      </c>
      <c r="G8434" s="17" t="str">
        <f>HYPERLINK("https://www.washoecounty.gov/assessor/cama/?command=sales&amp;parid=56806140","3897298")</f>
        <v>3897298</v>
      </c>
      <c r="H8434" t="s">
        <v>1918</v>
      </c>
      <c r="I8434">
        <v>2009</v>
      </c>
      <c r="J8434">
        <v>2009</v>
      </c>
      <c r="K8434" t="s">
        <v>4554</v>
      </c>
      <c r="L8434" t="s">
        <v>4555</v>
      </c>
      <c r="M8434" s="2">
        <v>1675</v>
      </c>
      <c r="N8434" t="s">
        <v>4048</v>
      </c>
      <c r="O8434">
        <v>3</v>
      </c>
      <c r="P8434">
        <v>2</v>
      </c>
      <c r="Q8434">
        <v>0</v>
      </c>
      <c r="R8434" t="s">
        <v>5281</v>
      </c>
      <c r="S8434" t="s">
        <v>4558</v>
      </c>
      <c r="T8434" t="s">
        <v>4559</v>
      </c>
      <c r="U8434" t="s">
        <v>4560</v>
      </c>
      <c r="V8434" s="2">
        <v>404</v>
      </c>
      <c r="W8434" t="s">
        <v>4655</v>
      </c>
      <c r="X8434" s="2">
        <v>0</v>
      </c>
      <c r="Y8434">
        <v>20</v>
      </c>
      <c r="Z8434" t="s">
        <v>4351</v>
      </c>
      <c r="AA8434" s="3">
        <v>0.20307621359825101</v>
      </c>
      <c r="AB8434" t="s">
        <v>38657</v>
      </c>
      <c r="AC8434" t="s">
        <v>4562</v>
      </c>
      <c r="AD8434" t="s">
        <v>38656</v>
      </c>
      <c r="AE8434" t="s">
        <v>4655</v>
      </c>
      <c r="AF8434" t="s">
        <v>4563</v>
      </c>
      <c r="AG8434" t="s">
        <v>4564</v>
      </c>
      <c r="AH8434">
        <v>89506</v>
      </c>
      <c r="AI8434" t="s">
        <v>1576</v>
      </c>
      <c r="AJ8434" t="s">
        <v>1919</v>
      </c>
      <c r="AK8434" t="s">
        <v>38658</v>
      </c>
      <c r="AL8434" s="13" t="s">
        <v>1901</v>
      </c>
      <c r="AM8434">
        <v>1</v>
      </c>
      <c r="AN8434" s="15" t="s">
        <v>1633</v>
      </c>
    </row>
    <row r="8435" spans="1:40" x14ac:dyDescent="0.3">
      <c r="A8435" s="10" t="str">
        <f>HYPERLINK("http://www.washoecounty.gov/assessor/cama/?parid=568-062-07&amp;CardNumber=1","568-062-07")</f>
        <v>568-062-07</v>
      </c>
      <c r="B8435" t="s">
        <v>4655</v>
      </c>
      <c r="C8435" t="s">
        <v>38659</v>
      </c>
      <c r="D8435" s="1">
        <v>40450</v>
      </c>
      <c r="E8435" s="2">
        <v>169000</v>
      </c>
      <c r="F8435" t="s">
        <v>4567</v>
      </c>
      <c r="G8435" s="17" t="str">
        <f>HYPERLINK("https://www.washoecounty.gov/assessor/cama/?command=sales&amp;parid=56806207","3927305")</f>
        <v>3927305</v>
      </c>
      <c r="H8435" t="s">
        <v>1918</v>
      </c>
      <c r="I8435">
        <v>2007</v>
      </c>
      <c r="J8435">
        <v>2007</v>
      </c>
      <c r="K8435" t="s">
        <v>4554</v>
      </c>
      <c r="L8435" t="s">
        <v>3974</v>
      </c>
      <c r="M8435" s="2">
        <v>2381</v>
      </c>
      <c r="N8435" t="s">
        <v>4048</v>
      </c>
      <c r="O8435">
        <v>4</v>
      </c>
      <c r="P8435">
        <v>3</v>
      </c>
      <c r="Q8435">
        <v>0</v>
      </c>
      <c r="R8435" t="s">
        <v>5281</v>
      </c>
      <c r="S8435" t="s">
        <v>4558</v>
      </c>
      <c r="T8435" t="s">
        <v>4559</v>
      </c>
      <c r="U8435" t="s">
        <v>5631</v>
      </c>
      <c r="V8435" s="2">
        <v>396</v>
      </c>
      <c r="W8435" t="s">
        <v>4655</v>
      </c>
      <c r="X8435" s="2">
        <v>0</v>
      </c>
      <c r="Y8435">
        <v>20</v>
      </c>
      <c r="Z8435" t="s">
        <v>4351</v>
      </c>
      <c r="AA8435" s="3">
        <v>0.18080808222293901</v>
      </c>
      <c r="AB8435" t="s">
        <v>38660</v>
      </c>
      <c r="AC8435" t="s">
        <v>4562</v>
      </c>
      <c r="AD8435" t="s">
        <v>38659</v>
      </c>
      <c r="AE8435" t="s">
        <v>4655</v>
      </c>
      <c r="AF8435" t="s">
        <v>4563</v>
      </c>
      <c r="AG8435" t="s">
        <v>4564</v>
      </c>
      <c r="AH8435">
        <v>89506</v>
      </c>
      <c r="AI8435" t="s">
        <v>38661</v>
      </c>
      <c r="AJ8435" t="s">
        <v>1919</v>
      </c>
      <c r="AK8435" t="s">
        <v>38662</v>
      </c>
      <c r="AL8435" s="13" t="s">
        <v>1901</v>
      </c>
      <c r="AM8435" s="14">
        <v>1</v>
      </c>
      <c r="AN8435" s="15" t="s">
        <v>1633</v>
      </c>
    </row>
    <row r="8436" spans="1:40" x14ac:dyDescent="0.3">
      <c r="A8436" s="10" t="str">
        <f>HYPERLINK("http://www.washoecounty.gov/assessor/cama/?parid=568-071-06&amp;CardNumber=1","568-071-06")</f>
        <v>568-071-06</v>
      </c>
      <c r="B8436" t="s">
        <v>4655</v>
      </c>
      <c r="C8436" t="s">
        <v>38663</v>
      </c>
      <c r="D8436" s="1">
        <v>40487</v>
      </c>
      <c r="E8436" s="2">
        <v>140000</v>
      </c>
      <c r="F8436" t="s">
        <v>4553</v>
      </c>
      <c r="G8436" s="17" t="str">
        <f>HYPERLINK("https://www.washoecounty.gov/assessor/cama/?command=sales&amp;parid=56807106","3940487")</f>
        <v>3940487</v>
      </c>
      <c r="H8436" t="s">
        <v>1918</v>
      </c>
      <c r="I8436">
        <v>2007</v>
      </c>
      <c r="J8436">
        <v>2007</v>
      </c>
      <c r="K8436" t="s">
        <v>4554</v>
      </c>
      <c r="L8436" t="s">
        <v>4555</v>
      </c>
      <c r="M8436" s="2">
        <v>1675</v>
      </c>
      <c r="N8436" t="s">
        <v>4048</v>
      </c>
      <c r="O8436">
        <v>3</v>
      </c>
      <c r="P8436">
        <v>2</v>
      </c>
      <c r="Q8436">
        <v>0</v>
      </c>
      <c r="R8436" t="s">
        <v>5281</v>
      </c>
      <c r="S8436" t="s">
        <v>4558</v>
      </c>
      <c r="T8436" t="s">
        <v>4559</v>
      </c>
      <c r="U8436" t="s">
        <v>4560</v>
      </c>
      <c r="V8436" s="2">
        <v>404</v>
      </c>
      <c r="W8436" t="s">
        <v>4655</v>
      </c>
      <c r="X8436" s="2">
        <v>0</v>
      </c>
      <c r="Y8436">
        <v>20</v>
      </c>
      <c r="Z8436" t="s">
        <v>4351</v>
      </c>
      <c r="AA8436" s="3">
        <v>0.16115702688694</v>
      </c>
      <c r="AB8436" t="s">
        <v>38664</v>
      </c>
      <c r="AC8436" t="s">
        <v>4575</v>
      </c>
      <c r="AD8436" t="s">
        <v>38663</v>
      </c>
      <c r="AE8436" t="s">
        <v>4655</v>
      </c>
      <c r="AF8436" t="s">
        <v>4563</v>
      </c>
      <c r="AG8436" t="s">
        <v>4564</v>
      </c>
      <c r="AH8436">
        <v>89506</v>
      </c>
      <c r="AI8436" t="s">
        <v>4848</v>
      </c>
      <c r="AJ8436" t="s">
        <v>1919</v>
      </c>
      <c r="AK8436" t="s">
        <v>38665</v>
      </c>
      <c r="AL8436" s="13" t="s">
        <v>1901</v>
      </c>
      <c r="AM8436" s="14">
        <v>1</v>
      </c>
      <c r="AN8436" s="15" t="s">
        <v>1633</v>
      </c>
    </row>
    <row r="8437" spans="1:40" x14ac:dyDescent="0.3">
      <c r="A8437" s="10" t="str">
        <f>HYPERLINK("http://www.washoecounty.gov/assessor/cama/?parid=568-072-08&amp;CardNumber=1","568-072-08")</f>
        <v>568-072-08</v>
      </c>
      <c r="B8437" t="s">
        <v>4655</v>
      </c>
      <c r="C8437" t="s">
        <v>38666</v>
      </c>
      <c r="D8437" s="1">
        <v>40212</v>
      </c>
      <c r="E8437" s="2">
        <v>152000</v>
      </c>
      <c r="F8437" t="s">
        <v>4567</v>
      </c>
      <c r="G8437" s="17" t="str">
        <f>HYPERLINK("https://www.washoecounty.gov/assessor/cama/?command=sales&amp;parid=56807208","3845675")</f>
        <v>3845675</v>
      </c>
      <c r="H8437" t="s">
        <v>1918</v>
      </c>
      <c r="I8437">
        <v>2007</v>
      </c>
      <c r="J8437">
        <v>2007</v>
      </c>
      <c r="K8437" t="s">
        <v>4554</v>
      </c>
      <c r="L8437" t="s">
        <v>3974</v>
      </c>
      <c r="M8437" s="2">
        <v>2108</v>
      </c>
      <c r="N8437" t="s">
        <v>4048</v>
      </c>
      <c r="O8437">
        <v>3</v>
      </c>
      <c r="P8437">
        <v>2</v>
      </c>
      <c r="Q8437">
        <v>1</v>
      </c>
      <c r="R8437" t="s">
        <v>5281</v>
      </c>
      <c r="S8437" t="s">
        <v>4558</v>
      </c>
      <c r="T8437" t="s">
        <v>4559</v>
      </c>
      <c r="U8437" t="s">
        <v>4560</v>
      </c>
      <c r="V8437" s="2">
        <v>380</v>
      </c>
      <c r="W8437" t="s">
        <v>4655</v>
      </c>
      <c r="X8437" s="2">
        <v>0</v>
      </c>
      <c r="Y8437">
        <v>20</v>
      </c>
      <c r="Z8437" t="s">
        <v>4351</v>
      </c>
      <c r="AA8437" s="3">
        <v>0.166988059878349</v>
      </c>
      <c r="AB8437" t="s">
        <v>38667</v>
      </c>
      <c r="AC8437" t="s">
        <v>4562</v>
      </c>
      <c r="AD8437" t="s">
        <v>38666</v>
      </c>
      <c r="AE8437" t="s">
        <v>4655</v>
      </c>
      <c r="AF8437" t="s">
        <v>4563</v>
      </c>
      <c r="AG8437" t="s">
        <v>4564</v>
      </c>
      <c r="AH8437">
        <v>89506</v>
      </c>
      <c r="AI8437" t="s">
        <v>38668</v>
      </c>
      <c r="AJ8437" t="s">
        <v>1919</v>
      </c>
      <c r="AK8437" t="s">
        <v>38669</v>
      </c>
      <c r="AL8437" s="13" t="s">
        <v>1901</v>
      </c>
      <c r="AM8437" s="14">
        <v>1</v>
      </c>
      <c r="AN8437" s="15" t="s">
        <v>1633</v>
      </c>
    </row>
    <row r="8438" spans="1:40" x14ac:dyDescent="0.3">
      <c r="A8438" s="10" t="str">
        <f>HYPERLINK("http://www.washoecounty.gov/assessor/cama/?parid=568-072-14&amp;CardNumber=1","568-072-14")</f>
        <v>568-072-14</v>
      </c>
      <c r="B8438" t="s">
        <v>4655</v>
      </c>
      <c r="C8438" t="s">
        <v>38670</v>
      </c>
      <c r="D8438" s="1">
        <v>40235</v>
      </c>
      <c r="E8438" s="2">
        <v>163000</v>
      </c>
      <c r="F8438" t="s">
        <v>4567</v>
      </c>
      <c r="G8438" s="17" t="str">
        <f>HYPERLINK("https://www.washoecounty.gov/assessor/cama/?command=sales&amp;parid=56807214","3853326")</f>
        <v>3853326</v>
      </c>
      <c r="H8438" t="s">
        <v>1918</v>
      </c>
      <c r="I8438">
        <v>2007</v>
      </c>
      <c r="J8438">
        <v>2007</v>
      </c>
      <c r="K8438" t="s">
        <v>4554</v>
      </c>
      <c r="L8438" t="s">
        <v>4555</v>
      </c>
      <c r="M8438" s="2">
        <v>1675</v>
      </c>
      <c r="N8438" t="s">
        <v>4048</v>
      </c>
      <c r="O8438">
        <v>3</v>
      </c>
      <c r="P8438">
        <v>2</v>
      </c>
      <c r="Q8438">
        <v>0</v>
      </c>
      <c r="R8438" t="s">
        <v>5281</v>
      </c>
      <c r="S8438" t="s">
        <v>4558</v>
      </c>
      <c r="T8438" t="s">
        <v>4559</v>
      </c>
      <c r="U8438" t="s">
        <v>4560</v>
      </c>
      <c r="V8438" s="2">
        <v>404</v>
      </c>
      <c r="W8438" t="s">
        <v>4655</v>
      </c>
      <c r="X8438" s="2">
        <v>0</v>
      </c>
      <c r="Y8438">
        <v>20</v>
      </c>
      <c r="Z8438" t="s">
        <v>4351</v>
      </c>
      <c r="AA8438" s="3">
        <v>0.19033516943454701</v>
      </c>
      <c r="AB8438" t="s">
        <v>38671</v>
      </c>
      <c r="AC8438" t="s">
        <v>4575</v>
      </c>
      <c r="AD8438" t="s">
        <v>38672</v>
      </c>
      <c r="AE8438" t="s">
        <v>38670</v>
      </c>
      <c r="AF8438" t="s">
        <v>4563</v>
      </c>
      <c r="AG8438" t="s">
        <v>4564</v>
      </c>
      <c r="AH8438">
        <v>89506</v>
      </c>
      <c r="AI8438" t="s">
        <v>38673</v>
      </c>
      <c r="AJ8438" t="s">
        <v>1919</v>
      </c>
      <c r="AK8438" t="s">
        <v>38674</v>
      </c>
      <c r="AL8438" s="13" t="s">
        <v>1901</v>
      </c>
      <c r="AM8438">
        <v>1</v>
      </c>
      <c r="AN8438" s="15" t="s">
        <v>1633</v>
      </c>
    </row>
    <row r="8439" spans="1:40" x14ac:dyDescent="0.3">
      <c r="A8439" s="10" t="str">
        <f>HYPERLINK("http://www.washoecounty.gov/assessor/cama/?parid=568-072-17&amp;CardNumber=1","568-072-17")</f>
        <v>568-072-17</v>
      </c>
      <c r="B8439" t="s">
        <v>4655</v>
      </c>
      <c r="C8439" t="s">
        <v>38675</v>
      </c>
      <c r="D8439" s="1">
        <v>40501</v>
      </c>
      <c r="E8439" s="2">
        <v>165000</v>
      </c>
      <c r="F8439" t="s">
        <v>4567</v>
      </c>
      <c r="G8439" s="17" t="str">
        <f>HYPERLINK("https://www.washoecounty.gov/assessor/cama/?command=sales&amp;parid=56807217","3945084")</f>
        <v>3945084</v>
      </c>
      <c r="H8439" t="s">
        <v>1918</v>
      </c>
      <c r="I8439">
        <v>2008</v>
      </c>
      <c r="J8439">
        <v>2008</v>
      </c>
      <c r="K8439" t="s">
        <v>4554</v>
      </c>
      <c r="L8439" t="s">
        <v>3974</v>
      </c>
      <c r="M8439" s="2">
        <v>2381</v>
      </c>
      <c r="N8439" t="s">
        <v>4048</v>
      </c>
      <c r="O8439">
        <v>3</v>
      </c>
      <c r="P8439">
        <v>2</v>
      </c>
      <c r="Q8439">
        <v>1</v>
      </c>
      <c r="R8439" t="s">
        <v>5281</v>
      </c>
      <c r="S8439" t="s">
        <v>4558</v>
      </c>
      <c r="T8439" t="s">
        <v>4559</v>
      </c>
      <c r="U8439" t="s">
        <v>5631</v>
      </c>
      <c r="V8439" s="2">
        <v>396</v>
      </c>
      <c r="W8439" t="s">
        <v>4655</v>
      </c>
      <c r="X8439" s="2">
        <v>0</v>
      </c>
      <c r="Y8439">
        <v>20</v>
      </c>
      <c r="Z8439" t="s">
        <v>4351</v>
      </c>
      <c r="AA8439" s="3">
        <v>0.19559228420257599</v>
      </c>
      <c r="AB8439" t="s">
        <v>38676</v>
      </c>
      <c r="AC8439" t="s">
        <v>4575</v>
      </c>
      <c r="AD8439" t="s">
        <v>38677</v>
      </c>
      <c r="AE8439" t="s">
        <v>4655</v>
      </c>
      <c r="AF8439" t="s">
        <v>4563</v>
      </c>
      <c r="AG8439" t="s">
        <v>4564</v>
      </c>
      <c r="AH8439">
        <v>89506</v>
      </c>
      <c r="AI8439" t="s">
        <v>38678</v>
      </c>
      <c r="AJ8439" t="s">
        <v>1919</v>
      </c>
      <c r="AK8439" t="s">
        <v>38679</v>
      </c>
      <c r="AL8439" s="13" t="s">
        <v>1901</v>
      </c>
      <c r="AM8439">
        <v>1</v>
      </c>
      <c r="AN8439" s="15" t="s">
        <v>1633</v>
      </c>
    </row>
    <row r="8440" spans="1:40" x14ac:dyDescent="0.3">
      <c r="A8440" s="10" t="str">
        <f>HYPERLINK("http://www.washoecounty.gov/assessor/cama/?parid=568-074-01&amp;CardNumber=1","568-074-01")</f>
        <v>568-074-01</v>
      </c>
      <c r="B8440" t="s">
        <v>4655</v>
      </c>
      <c r="C8440" t="s">
        <v>38680</v>
      </c>
      <c r="D8440" s="1">
        <v>40298</v>
      </c>
      <c r="E8440" s="2">
        <v>195950</v>
      </c>
      <c r="F8440" t="s">
        <v>4567</v>
      </c>
      <c r="G8440" s="17" t="str">
        <f>HYPERLINK("https://www.washoecounty.gov/assessor/cama/?command=sales&amp;parid=56807401","3876755")</f>
        <v>3876755</v>
      </c>
      <c r="H8440" t="s">
        <v>1918</v>
      </c>
      <c r="I8440">
        <v>2009</v>
      </c>
      <c r="J8440">
        <v>2009</v>
      </c>
      <c r="K8440" t="s">
        <v>4554</v>
      </c>
      <c r="L8440" t="s">
        <v>3974</v>
      </c>
      <c r="M8440" s="2">
        <v>2108</v>
      </c>
      <c r="N8440" t="s">
        <v>4048</v>
      </c>
      <c r="O8440">
        <v>3</v>
      </c>
      <c r="P8440">
        <v>2</v>
      </c>
      <c r="Q8440">
        <v>1</v>
      </c>
      <c r="R8440" t="s">
        <v>5281</v>
      </c>
      <c r="S8440" t="s">
        <v>4558</v>
      </c>
      <c r="T8440" t="s">
        <v>4559</v>
      </c>
      <c r="U8440" t="s">
        <v>4560</v>
      </c>
      <c r="V8440" s="2">
        <v>380</v>
      </c>
      <c r="W8440" t="s">
        <v>4655</v>
      </c>
      <c r="X8440" s="2">
        <v>0</v>
      </c>
      <c r="Y8440">
        <v>20</v>
      </c>
      <c r="Z8440" t="s">
        <v>4351</v>
      </c>
      <c r="AA8440" s="3">
        <v>0.157897159457207</v>
      </c>
      <c r="AB8440" t="s">
        <v>38681</v>
      </c>
      <c r="AC8440" t="s">
        <v>4562</v>
      </c>
      <c r="AD8440" t="s">
        <v>38680</v>
      </c>
      <c r="AE8440" t="s">
        <v>4655</v>
      </c>
      <c r="AF8440" t="s">
        <v>4563</v>
      </c>
      <c r="AG8440" t="s">
        <v>4564</v>
      </c>
      <c r="AH8440">
        <v>89506</v>
      </c>
      <c r="AI8440" t="s">
        <v>1576</v>
      </c>
      <c r="AJ8440" t="s">
        <v>1919</v>
      </c>
      <c r="AK8440" t="s">
        <v>38682</v>
      </c>
      <c r="AL8440" s="13" t="s">
        <v>1901</v>
      </c>
      <c r="AM8440" s="14">
        <v>1</v>
      </c>
      <c r="AN8440" s="15" t="s">
        <v>1633</v>
      </c>
    </row>
    <row r="8441" spans="1:40" x14ac:dyDescent="0.3">
      <c r="A8441" s="10" t="str">
        <f>HYPERLINK("http://www.washoecounty.gov/assessor/cama/?parid=568-074-02&amp;CardNumber=1","568-074-02")</f>
        <v>568-074-02</v>
      </c>
      <c r="B8441" t="s">
        <v>4655</v>
      </c>
      <c r="C8441" t="s">
        <v>38683</v>
      </c>
      <c r="D8441" s="1">
        <v>40297</v>
      </c>
      <c r="E8441" s="2">
        <v>219950</v>
      </c>
      <c r="F8441" t="s">
        <v>4567</v>
      </c>
      <c r="G8441" s="17" t="str">
        <f>HYPERLINK("https://www.washoecounty.gov/assessor/cama/?command=sales&amp;parid=56807402","3876067")</f>
        <v>3876067</v>
      </c>
      <c r="H8441" t="s">
        <v>1918</v>
      </c>
      <c r="I8441">
        <v>2009</v>
      </c>
      <c r="J8441">
        <v>2009</v>
      </c>
      <c r="K8441" t="s">
        <v>4554</v>
      </c>
      <c r="L8441" t="s">
        <v>3974</v>
      </c>
      <c r="M8441" s="2">
        <v>2381</v>
      </c>
      <c r="N8441" t="s">
        <v>4048</v>
      </c>
      <c r="O8441">
        <v>4</v>
      </c>
      <c r="P8441">
        <v>3</v>
      </c>
      <c r="Q8441">
        <v>0</v>
      </c>
      <c r="R8441" t="s">
        <v>5281</v>
      </c>
      <c r="S8441" t="s">
        <v>4558</v>
      </c>
      <c r="T8441" t="s">
        <v>4559</v>
      </c>
      <c r="U8441" t="s">
        <v>5631</v>
      </c>
      <c r="V8441" s="2">
        <v>396</v>
      </c>
      <c r="W8441" t="s">
        <v>4655</v>
      </c>
      <c r="X8441" s="2">
        <v>0</v>
      </c>
      <c r="Y8441">
        <v>20</v>
      </c>
      <c r="Z8441" t="s">
        <v>4351</v>
      </c>
      <c r="AA8441" s="3">
        <v>0.157897159457207</v>
      </c>
      <c r="AB8441" t="s">
        <v>38684</v>
      </c>
      <c r="AC8441" t="s">
        <v>4562</v>
      </c>
      <c r="AD8441" t="s">
        <v>38683</v>
      </c>
      <c r="AE8441" t="s">
        <v>4655</v>
      </c>
      <c r="AF8441" t="s">
        <v>4563</v>
      </c>
      <c r="AG8441" t="s">
        <v>4564</v>
      </c>
      <c r="AH8441">
        <v>89506</v>
      </c>
      <c r="AI8441" t="s">
        <v>1576</v>
      </c>
      <c r="AJ8441" t="s">
        <v>1919</v>
      </c>
      <c r="AK8441" t="s">
        <v>38685</v>
      </c>
      <c r="AL8441" s="13" t="s">
        <v>1901</v>
      </c>
      <c r="AM8441">
        <v>1</v>
      </c>
      <c r="AN8441" s="15" t="s">
        <v>1633</v>
      </c>
    </row>
    <row r="8442" spans="1:40" x14ac:dyDescent="0.3">
      <c r="A8442" s="10" t="str">
        <f>HYPERLINK("http://www.washoecounty.gov/assessor/cama/?parid=568-074-03&amp;CardNumber=1","568-074-03")</f>
        <v>568-074-03</v>
      </c>
      <c r="B8442" t="s">
        <v>4655</v>
      </c>
      <c r="C8442" t="s">
        <v>38686</v>
      </c>
      <c r="D8442" s="1">
        <v>40312</v>
      </c>
      <c r="E8442" s="2">
        <v>202950</v>
      </c>
      <c r="F8442" t="s">
        <v>4567</v>
      </c>
      <c r="G8442" s="17" t="str">
        <f>HYPERLINK("https://www.washoecounty.gov/assessor/cama/?command=sales&amp;parid=56807403","3881746")</f>
        <v>3881746</v>
      </c>
      <c r="H8442" t="s">
        <v>1918</v>
      </c>
      <c r="I8442">
        <v>2009</v>
      </c>
      <c r="J8442">
        <v>2009</v>
      </c>
      <c r="K8442" t="s">
        <v>4554</v>
      </c>
      <c r="L8442" t="s">
        <v>3974</v>
      </c>
      <c r="M8442" s="2">
        <v>2108</v>
      </c>
      <c r="N8442" t="s">
        <v>4048</v>
      </c>
      <c r="O8442">
        <v>3</v>
      </c>
      <c r="P8442">
        <v>2</v>
      </c>
      <c r="Q8442">
        <v>1</v>
      </c>
      <c r="R8442" t="s">
        <v>5281</v>
      </c>
      <c r="S8442" t="s">
        <v>4558</v>
      </c>
      <c r="T8442" t="s">
        <v>4559</v>
      </c>
      <c r="U8442" t="s">
        <v>4560</v>
      </c>
      <c r="V8442" s="2">
        <v>380</v>
      </c>
      <c r="W8442" t="s">
        <v>4655</v>
      </c>
      <c r="X8442" s="2">
        <v>0</v>
      </c>
      <c r="Y8442">
        <v>20</v>
      </c>
      <c r="Z8442" t="s">
        <v>4351</v>
      </c>
      <c r="AA8442" s="3">
        <v>0.157897159457207</v>
      </c>
      <c r="AB8442" t="s">
        <v>38687</v>
      </c>
      <c r="AC8442" t="s">
        <v>4562</v>
      </c>
      <c r="AD8442" t="s">
        <v>38686</v>
      </c>
      <c r="AE8442" t="s">
        <v>4655</v>
      </c>
      <c r="AF8442" t="s">
        <v>4563</v>
      </c>
      <c r="AG8442" t="s">
        <v>4564</v>
      </c>
      <c r="AH8442">
        <v>89506</v>
      </c>
      <c r="AI8442" t="s">
        <v>1576</v>
      </c>
      <c r="AJ8442" t="s">
        <v>1919</v>
      </c>
      <c r="AK8442" t="s">
        <v>38688</v>
      </c>
      <c r="AL8442" s="13" t="s">
        <v>1901</v>
      </c>
      <c r="AM8442">
        <v>1</v>
      </c>
      <c r="AN8442" s="15" t="s">
        <v>1633</v>
      </c>
    </row>
    <row r="8443" spans="1:40" x14ac:dyDescent="0.3">
      <c r="A8443" s="10" t="str">
        <f>HYPERLINK("http://www.washoecounty.gov/assessor/cama/?parid=568-074-04&amp;CardNumber=1","568-074-04")</f>
        <v>568-074-04</v>
      </c>
      <c r="B8443" t="s">
        <v>4655</v>
      </c>
      <c r="C8443" t="s">
        <v>38689</v>
      </c>
      <c r="D8443" s="1">
        <v>40325</v>
      </c>
      <c r="E8443" s="2">
        <v>188950</v>
      </c>
      <c r="F8443" t="s">
        <v>4567</v>
      </c>
      <c r="G8443" s="17" t="str">
        <f>HYPERLINK("https://www.washoecounty.gov/assessor/cama/?command=sales&amp;parid=56807404","3885939")</f>
        <v>3885939</v>
      </c>
      <c r="H8443" t="s">
        <v>1918</v>
      </c>
      <c r="I8443">
        <v>2009</v>
      </c>
      <c r="J8443">
        <v>2009</v>
      </c>
      <c r="K8443" t="s">
        <v>4554</v>
      </c>
      <c r="L8443" t="s">
        <v>4555</v>
      </c>
      <c r="M8443" s="2">
        <v>1531</v>
      </c>
      <c r="N8443" t="s">
        <v>4048</v>
      </c>
      <c r="O8443">
        <v>3</v>
      </c>
      <c r="P8443">
        <v>2</v>
      </c>
      <c r="Q8443">
        <v>0</v>
      </c>
      <c r="R8443" t="s">
        <v>5281</v>
      </c>
      <c r="S8443" t="s">
        <v>4898</v>
      </c>
      <c r="T8443" t="s">
        <v>4559</v>
      </c>
      <c r="U8443" t="s">
        <v>4560</v>
      </c>
      <c r="V8443" s="2">
        <v>594</v>
      </c>
      <c r="W8443" t="s">
        <v>4655</v>
      </c>
      <c r="X8443" s="2">
        <v>0</v>
      </c>
      <c r="Y8443">
        <v>20</v>
      </c>
      <c r="Z8443" t="s">
        <v>4351</v>
      </c>
      <c r="AA8443" s="3">
        <v>0.16219007968902599</v>
      </c>
      <c r="AB8443" t="s">
        <v>38690</v>
      </c>
      <c r="AC8443" t="s">
        <v>4562</v>
      </c>
      <c r="AD8443" t="s">
        <v>38689</v>
      </c>
      <c r="AE8443" t="s">
        <v>4655</v>
      </c>
      <c r="AF8443" t="s">
        <v>4563</v>
      </c>
      <c r="AG8443" t="s">
        <v>4564</v>
      </c>
      <c r="AH8443">
        <v>89506</v>
      </c>
      <c r="AI8443" t="s">
        <v>1576</v>
      </c>
      <c r="AJ8443" t="s">
        <v>1919</v>
      </c>
      <c r="AK8443" t="s">
        <v>38691</v>
      </c>
      <c r="AL8443" s="13" t="s">
        <v>1901</v>
      </c>
      <c r="AM8443">
        <v>1</v>
      </c>
      <c r="AN8443" s="15" t="s">
        <v>1633</v>
      </c>
    </row>
    <row r="8444" spans="1:40" x14ac:dyDescent="0.3">
      <c r="A8444" s="10" t="str">
        <f>HYPERLINK("http://www.washoecounty.gov/assessor/cama/?parid=568-074-05&amp;CardNumber=1","568-074-05")</f>
        <v>568-074-05</v>
      </c>
      <c r="B8444" t="s">
        <v>4655</v>
      </c>
      <c r="C8444" t="s">
        <v>38692</v>
      </c>
      <c r="D8444" s="1">
        <v>40396</v>
      </c>
      <c r="E8444" s="2">
        <v>159950</v>
      </c>
      <c r="F8444" t="s">
        <v>4567</v>
      </c>
      <c r="G8444" s="17" t="str">
        <f>HYPERLINK("https://www.washoecounty.gov/assessor/cama/?command=sales&amp;parid=56807405","3909527")</f>
        <v>3909527</v>
      </c>
      <c r="H8444" t="s">
        <v>1918</v>
      </c>
      <c r="I8444">
        <v>2009</v>
      </c>
      <c r="J8444">
        <v>2009</v>
      </c>
      <c r="K8444" t="s">
        <v>4554</v>
      </c>
      <c r="L8444" t="s">
        <v>4555</v>
      </c>
      <c r="M8444" s="2">
        <v>1346</v>
      </c>
      <c r="N8444" t="s">
        <v>4048</v>
      </c>
      <c r="O8444">
        <v>3</v>
      </c>
      <c r="P8444">
        <v>2</v>
      </c>
      <c r="Q8444">
        <v>0</v>
      </c>
      <c r="R8444" t="s">
        <v>5281</v>
      </c>
      <c r="S8444" t="s">
        <v>4898</v>
      </c>
      <c r="T8444" t="s">
        <v>4559</v>
      </c>
      <c r="U8444" t="s">
        <v>4560</v>
      </c>
      <c r="V8444" s="2">
        <v>462</v>
      </c>
      <c r="W8444" t="s">
        <v>4655</v>
      </c>
      <c r="X8444" s="2">
        <v>0</v>
      </c>
      <c r="Y8444">
        <v>20</v>
      </c>
      <c r="Z8444" t="s">
        <v>4351</v>
      </c>
      <c r="AA8444" s="3">
        <v>0.15817263722419739</v>
      </c>
      <c r="AB8444" t="s">
        <v>38693</v>
      </c>
      <c r="AC8444" t="s">
        <v>4562</v>
      </c>
      <c r="AD8444" t="s">
        <v>38694</v>
      </c>
      <c r="AE8444" t="s">
        <v>4655</v>
      </c>
      <c r="AF8444" t="s">
        <v>4563</v>
      </c>
      <c r="AG8444" t="s">
        <v>4564</v>
      </c>
      <c r="AH8444">
        <v>89506</v>
      </c>
      <c r="AI8444" t="s">
        <v>1576</v>
      </c>
      <c r="AJ8444" t="s">
        <v>1919</v>
      </c>
      <c r="AK8444" t="s">
        <v>38695</v>
      </c>
      <c r="AL8444" s="13" t="s">
        <v>1901</v>
      </c>
      <c r="AM8444">
        <v>1</v>
      </c>
      <c r="AN8444" s="15" t="s">
        <v>1633</v>
      </c>
    </row>
    <row r="8445" spans="1:40" x14ac:dyDescent="0.3">
      <c r="A8445" s="10" t="str">
        <f>HYPERLINK("http://www.washoecounty.gov/assessor/cama/?parid=568-074-06&amp;CardNumber=1","568-074-06")</f>
        <v>568-074-06</v>
      </c>
      <c r="B8445" t="s">
        <v>4655</v>
      </c>
      <c r="C8445" t="s">
        <v>38696</v>
      </c>
      <c r="D8445" s="1">
        <v>40359</v>
      </c>
      <c r="E8445" s="2">
        <v>186950</v>
      </c>
      <c r="F8445" t="s">
        <v>4567</v>
      </c>
      <c r="G8445" s="17" t="str">
        <f>HYPERLINK("https://www.washoecounty.gov/assessor/cama/?command=sales&amp;parid=56807406","3897320")</f>
        <v>3897320</v>
      </c>
      <c r="H8445" t="s">
        <v>1918</v>
      </c>
      <c r="I8445">
        <v>2009</v>
      </c>
      <c r="J8445">
        <v>2009</v>
      </c>
      <c r="K8445" t="s">
        <v>4554</v>
      </c>
      <c r="L8445" t="s">
        <v>3974</v>
      </c>
      <c r="M8445" s="2">
        <v>2108</v>
      </c>
      <c r="N8445" t="s">
        <v>4048</v>
      </c>
      <c r="O8445">
        <v>3</v>
      </c>
      <c r="P8445">
        <v>2</v>
      </c>
      <c r="Q8445">
        <v>1</v>
      </c>
      <c r="R8445" t="s">
        <v>5281</v>
      </c>
      <c r="S8445" t="s">
        <v>4558</v>
      </c>
      <c r="T8445" t="s">
        <v>4559</v>
      </c>
      <c r="U8445" t="s">
        <v>4560</v>
      </c>
      <c r="V8445" s="2">
        <v>380</v>
      </c>
      <c r="W8445" t="s">
        <v>4655</v>
      </c>
      <c r="X8445" s="2">
        <v>0</v>
      </c>
      <c r="Y8445">
        <v>20</v>
      </c>
      <c r="Z8445" t="s">
        <v>4351</v>
      </c>
      <c r="AA8445" s="3">
        <v>0.157897159457207</v>
      </c>
      <c r="AB8445" t="s">
        <v>38697</v>
      </c>
      <c r="AC8445" t="s">
        <v>4575</v>
      </c>
      <c r="AD8445" t="s">
        <v>38698</v>
      </c>
      <c r="AE8445" t="s">
        <v>38696</v>
      </c>
      <c r="AF8445" t="s">
        <v>4563</v>
      </c>
      <c r="AG8445" t="s">
        <v>4564</v>
      </c>
      <c r="AH8445" t="s">
        <v>5197</v>
      </c>
      <c r="AI8445" t="s">
        <v>1576</v>
      </c>
      <c r="AJ8445" t="s">
        <v>1919</v>
      </c>
      <c r="AK8445" t="s">
        <v>38699</v>
      </c>
      <c r="AL8445" s="13" t="s">
        <v>1901</v>
      </c>
      <c r="AM8445">
        <v>1</v>
      </c>
      <c r="AN8445" s="15" t="s">
        <v>1633</v>
      </c>
    </row>
    <row r="8446" spans="1:40" x14ac:dyDescent="0.3">
      <c r="A8446" s="10" t="str">
        <f>HYPERLINK("http://www.washoecounty.gov/assessor/cama/?parid=568-074-07&amp;CardNumber=1","568-074-07")</f>
        <v>568-074-07</v>
      </c>
      <c r="B8446" t="s">
        <v>4655</v>
      </c>
      <c r="C8446" t="s">
        <v>38700</v>
      </c>
      <c r="D8446" s="1">
        <v>40385</v>
      </c>
      <c r="E8446" s="2">
        <v>176950</v>
      </c>
      <c r="F8446" t="s">
        <v>4567</v>
      </c>
      <c r="G8446" s="17" t="str">
        <f>HYPERLINK("https://www.washoecounty.gov/assessor/cama/?command=sales&amp;parid=56807407","3904710")</f>
        <v>3904710</v>
      </c>
      <c r="H8446" t="s">
        <v>1918</v>
      </c>
      <c r="I8446">
        <v>2009</v>
      </c>
      <c r="J8446">
        <v>2009</v>
      </c>
      <c r="K8446" t="s">
        <v>4554</v>
      </c>
      <c r="L8446" t="s">
        <v>4555</v>
      </c>
      <c r="M8446" s="2">
        <v>1531</v>
      </c>
      <c r="N8446" t="s">
        <v>4048</v>
      </c>
      <c r="O8446">
        <v>3</v>
      </c>
      <c r="P8446">
        <v>2</v>
      </c>
      <c r="Q8446">
        <v>0</v>
      </c>
      <c r="R8446" t="s">
        <v>5281</v>
      </c>
      <c r="S8446" t="s">
        <v>4898</v>
      </c>
      <c r="T8446" t="s">
        <v>4559</v>
      </c>
      <c r="U8446" t="s">
        <v>4560</v>
      </c>
      <c r="V8446" s="2">
        <v>594</v>
      </c>
      <c r="W8446" t="s">
        <v>4655</v>
      </c>
      <c r="X8446" s="2">
        <v>0</v>
      </c>
      <c r="Y8446">
        <v>20</v>
      </c>
      <c r="Z8446" t="s">
        <v>4351</v>
      </c>
      <c r="AA8446" s="3">
        <v>0.157897159457207</v>
      </c>
      <c r="AB8446" t="s">
        <v>38701</v>
      </c>
      <c r="AC8446" t="s">
        <v>4562</v>
      </c>
      <c r="AD8446" t="s">
        <v>38700</v>
      </c>
      <c r="AE8446" t="s">
        <v>4655</v>
      </c>
      <c r="AF8446" t="s">
        <v>4563</v>
      </c>
      <c r="AG8446" t="s">
        <v>4564</v>
      </c>
      <c r="AH8446">
        <v>89506</v>
      </c>
      <c r="AI8446" t="s">
        <v>4655</v>
      </c>
      <c r="AJ8446" t="s">
        <v>1919</v>
      </c>
      <c r="AK8446" t="s">
        <v>38702</v>
      </c>
      <c r="AL8446" s="13" t="s">
        <v>1901</v>
      </c>
      <c r="AM8446">
        <v>1</v>
      </c>
      <c r="AN8446" s="15" t="s">
        <v>1633</v>
      </c>
    </row>
    <row r="8447" spans="1:40" x14ac:dyDescent="0.3">
      <c r="A8447" s="10" t="str">
        <f>HYPERLINK("http://www.washoecounty.gov/assessor/cama/?parid=568-074-08&amp;CardNumber=1","568-074-08")</f>
        <v>568-074-08</v>
      </c>
      <c r="B8447" t="s">
        <v>4655</v>
      </c>
      <c r="C8447" t="s">
        <v>38703</v>
      </c>
      <c r="D8447" s="1">
        <v>40374</v>
      </c>
      <c r="E8447" s="2">
        <v>199950</v>
      </c>
      <c r="F8447" t="s">
        <v>4567</v>
      </c>
      <c r="G8447" s="17" t="str">
        <f>HYPERLINK("https://www.washoecounty.gov/assessor/cama/?command=sales&amp;parid=56807408","3901582")</f>
        <v>3901582</v>
      </c>
      <c r="H8447" t="s">
        <v>1918</v>
      </c>
      <c r="I8447">
        <v>2009</v>
      </c>
      <c r="J8447">
        <v>2009</v>
      </c>
      <c r="K8447" t="s">
        <v>4554</v>
      </c>
      <c r="L8447" t="s">
        <v>3974</v>
      </c>
      <c r="M8447" s="2">
        <v>2381</v>
      </c>
      <c r="N8447" t="s">
        <v>4048</v>
      </c>
      <c r="O8447">
        <v>4</v>
      </c>
      <c r="P8447">
        <v>3</v>
      </c>
      <c r="Q8447">
        <v>0</v>
      </c>
      <c r="R8447" t="s">
        <v>5281</v>
      </c>
      <c r="S8447" t="s">
        <v>4558</v>
      </c>
      <c r="T8447" t="s">
        <v>4559</v>
      </c>
      <c r="U8447" t="s">
        <v>5631</v>
      </c>
      <c r="V8447" s="2">
        <v>396</v>
      </c>
      <c r="W8447" t="s">
        <v>4655</v>
      </c>
      <c r="X8447" s="2">
        <v>0</v>
      </c>
      <c r="Y8447">
        <v>20</v>
      </c>
      <c r="Z8447" t="s">
        <v>4351</v>
      </c>
      <c r="AA8447" s="3">
        <v>0.15787419676780701</v>
      </c>
      <c r="AB8447" t="s">
        <v>38704</v>
      </c>
      <c r="AC8447" t="s">
        <v>4562</v>
      </c>
      <c r="AD8447" t="s">
        <v>38703</v>
      </c>
      <c r="AE8447" t="s">
        <v>4655</v>
      </c>
      <c r="AF8447" t="s">
        <v>4563</v>
      </c>
      <c r="AG8447" t="s">
        <v>4564</v>
      </c>
      <c r="AH8447">
        <v>89506</v>
      </c>
      <c r="AI8447" t="s">
        <v>38705</v>
      </c>
      <c r="AJ8447" t="s">
        <v>1919</v>
      </c>
      <c r="AK8447" t="s">
        <v>38706</v>
      </c>
      <c r="AL8447" s="13" t="s">
        <v>1901</v>
      </c>
      <c r="AM8447" s="14">
        <v>1</v>
      </c>
      <c r="AN8447" s="15" t="s">
        <v>1633</v>
      </c>
    </row>
    <row r="8448" spans="1:40" x14ac:dyDescent="0.3">
      <c r="A8448" s="10" t="str">
        <f>HYPERLINK("http://www.washoecounty.gov/assessor/cama/?parid=568-074-09&amp;CardNumber=1","568-074-09")</f>
        <v>568-074-09</v>
      </c>
      <c r="B8448" t="s">
        <v>4655</v>
      </c>
      <c r="C8448" t="s">
        <v>38707</v>
      </c>
      <c r="D8448" s="1">
        <v>40326</v>
      </c>
      <c r="E8448" s="2">
        <v>184000</v>
      </c>
      <c r="F8448" t="s">
        <v>4567</v>
      </c>
      <c r="G8448" s="17" t="str">
        <f>HYPERLINK("https://www.washoecounty.gov/assessor/cama/?command=sales&amp;parid=56807409","3886411")</f>
        <v>3886411</v>
      </c>
      <c r="H8448" t="s">
        <v>1918</v>
      </c>
      <c r="I8448">
        <v>2009</v>
      </c>
      <c r="J8448">
        <v>2009</v>
      </c>
      <c r="K8448" t="s">
        <v>4554</v>
      </c>
      <c r="L8448" t="s">
        <v>4555</v>
      </c>
      <c r="M8448" s="2">
        <v>1531</v>
      </c>
      <c r="N8448" t="s">
        <v>4048</v>
      </c>
      <c r="O8448">
        <v>3</v>
      </c>
      <c r="P8448">
        <v>2</v>
      </c>
      <c r="Q8448">
        <v>0</v>
      </c>
      <c r="R8448" t="s">
        <v>5281</v>
      </c>
      <c r="S8448" t="s">
        <v>4898</v>
      </c>
      <c r="T8448" t="s">
        <v>4559</v>
      </c>
      <c r="U8448" t="s">
        <v>4560</v>
      </c>
      <c r="V8448" s="2">
        <v>594</v>
      </c>
      <c r="W8448" t="s">
        <v>4655</v>
      </c>
      <c r="X8448" s="2">
        <v>0</v>
      </c>
      <c r="Y8448">
        <v>20</v>
      </c>
      <c r="Z8448" t="s">
        <v>4351</v>
      </c>
      <c r="AA8448" s="3">
        <v>0.15642791986465454</v>
      </c>
      <c r="AB8448" t="s">
        <v>38708</v>
      </c>
      <c r="AC8448" t="s">
        <v>4562</v>
      </c>
      <c r="AD8448" t="s">
        <v>38707</v>
      </c>
      <c r="AE8448" t="s">
        <v>4655</v>
      </c>
      <c r="AF8448" t="s">
        <v>4563</v>
      </c>
      <c r="AG8448" t="s">
        <v>4564</v>
      </c>
      <c r="AH8448">
        <v>89506</v>
      </c>
      <c r="AI8448" t="s">
        <v>1576</v>
      </c>
      <c r="AJ8448" t="s">
        <v>1919</v>
      </c>
      <c r="AK8448" t="s">
        <v>38709</v>
      </c>
      <c r="AL8448" s="13" t="s">
        <v>1901</v>
      </c>
      <c r="AM8448">
        <v>1</v>
      </c>
      <c r="AN8448" s="15" t="s">
        <v>1633</v>
      </c>
    </row>
    <row r="8449" spans="1:40" x14ac:dyDescent="0.3">
      <c r="A8449" s="10" t="str">
        <f>HYPERLINK("http://www.washoecounty.gov/assessor/cama/?parid=568-075-01&amp;CardNumber=1","568-075-01")</f>
        <v>568-075-01</v>
      </c>
      <c r="B8449" t="s">
        <v>4655</v>
      </c>
      <c r="C8449" t="s">
        <v>38710</v>
      </c>
      <c r="D8449" s="1">
        <v>40354</v>
      </c>
      <c r="E8449" s="2">
        <v>192950</v>
      </c>
      <c r="F8449" t="s">
        <v>4567</v>
      </c>
      <c r="G8449" s="17" t="str">
        <f>HYPERLINK("https://www.washoecounty.gov/assessor/cama/?command=sales&amp;parid=56807501","3895479")</f>
        <v>3895479</v>
      </c>
      <c r="H8449" t="s">
        <v>1918</v>
      </c>
      <c r="I8449">
        <v>2009</v>
      </c>
      <c r="J8449">
        <v>2009</v>
      </c>
      <c r="K8449" t="s">
        <v>4554</v>
      </c>
      <c r="L8449" t="s">
        <v>4555</v>
      </c>
      <c r="M8449" s="2">
        <v>1947</v>
      </c>
      <c r="N8449" t="s">
        <v>4048</v>
      </c>
      <c r="O8449">
        <v>4</v>
      </c>
      <c r="P8449">
        <v>2</v>
      </c>
      <c r="Q8449">
        <v>0</v>
      </c>
      <c r="R8449" t="s">
        <v>5281</v>
      </c>
      <c r="S8449" t="s">
        <v>4558</v>
      </c>
      <c r="T8449" t="s">
        <v>4559</v>
      </c>
      <c r="U8449" t="s">
        <v>4560</v>
      </c>
      <c r="V8449" s="2">
        <v>647</v>
      </c>
      <c r="W8449" t="s">
        <v>4655</v>
      </c>
      <c r="X8449" s="2">
        <v>0</v>
      </c>
      <c r="Y8449">
        <v>20</v>
      </c>
      <c r="Z8449" t="s">
        <v>4351</v>
      </c>
      <c r="AA8449" s="3">
        <v>0.19031220674514801</v>
      </c>
      <c r="AB8449" t="s">
        <v>38711</v>
      </c>
      <c r="AC8449" t="s">
        <v>4575</v>
      </c>
      <c r="AD8449" t="s">
        <v>38712</v>
      </c>
      <c r="AE8449" t="s">
        <v>4655</v>
      </c>
      <c r="AF8449" t="s">
        <v>4563</v>
      </c>
      <c r="AG8449" t="s">
        <v>4564</v>
      </c>
      <c r="AH8449">
        <v>89506</v>
      </c>
      <c r="AI8449" t="s">
        <v>1576</v>
      </c>
      <c r="AJ8449" t="s">
        <v>1919</v>
      </c>
      <c r="AK8449" t="s">
        <v>38713</v>
      </c>
      <c r="AL8449" s="13" t="s">
        <v>1901</v>
      </c>
      <c r="AM8449">
        <v>1</v>
      </c>
      <c r="AN8449" s="15" t="s">
        <v>1633</v>
      </c>
    </row>
    <row r="8450" spans="1:40" x14ac:dyDescent="0.3">
      <c r="A8450" s="10" t="str">
        <f>HYPERLINK("http://www.washoecounty.gov/assessor/cama/?parid=568-075-02&amp;CardNumber=1","568-075-02")</f>
        <v>568-075-02</v>
      </c>
      <c r="B8450" t="s">
        <v>4655</v>
      </c>
      <c r="C8450" t="s">
        <v>38714</v>
      </c>
      <c r="D8450" s="1">
        <v>40534</v>
      </c>
      <c r="E8450" s="2">
        <v>162000</v>
      </c>
      <c r="F8450" t="s">
        <v>4567</v>
      </c>
      <c r="G8450" s="17" t="str">
        <f>HYPERLINK("https://www.washoecounty.gov/assessor/cama/?command=sales&amp;parid=56807502","3956368")</f>
        <v>3956368</v>
      </c>
      <c r="H8450" t="s">
        <v>1918</v>
      </c>
      <c r="I8450">
        <v>2007</v>
      </c>
      <c r="J8450">
        <v>2007</v>
      </c>
      <c r="K8450" t="s">
        <v>4554</v>
      </c>
      <c r="L8450" t="s">
        <v>4555</v>
      </c>
      <c r="M8450" s="2">
        <v>1675</v>
      </c>
      <c r="N8450" t="s">
        <v>4048</v>
      </c>
      <c r="O8450">
        <v>3</v>
      </c>
      <c r="P8450">
        <v>2</v>
      </c>
      <c r="Q8450">
        <v>0</v>
      </c>
      <c r="R8450" t="s">
        <v>5281</v>
      </c>
      <c r="S8450" t="s">
        <v>4558</v>
      </c>
      <c r="T8450" t="s">
        <v>4559</v>
      </c>
      <c r="U8450" t="s">
        <v>4560</v>
      </c>
      <c r="V8450" s="2">
        <v>404</v>
      </c>
      <c r="W8450" t="s">
        <v>4655</v>
      </c>
      <c r="X8450" s="2">
        <v>0</v>
      </c>
      <c r="Y8450">
        <v>20</v>
      </c>
      <c r="Z8450" t="s">
        <v>4351</v>
      </c>
      <c r="AA8450" s="3">
        <v>0.16205234825611101</v>
      </c>
      <c r="AB8450" t="s">
        <v>1478</v>
      </c>
      <c r="AC8450" t="s">
        <v>4562</v>
      </c>
      <c r="AD8450" t="s">
        <v>1479</v>
      </c>
      <c r="AE8450" t="s">
        <v>4655</v>
      </c>
      <c r="AF8450" t="s">
        <v>4563</v>
      </c>
      <c r="AG8450" t="s">
        <v>4564</v>
      </c>
      <c r="AH8450">
        <v>89502</v>
      </c>
      <c r="AI8450" t="s">
        <v>3625</v>
      </c>
      <c r="AJ8450" t="s">
        <v>1919</v>
      </c>
      <c r="AK8450" t="s">
        <v>38715</v>
      </c>
      <c r="AL8450" s="13" t="s">
        <v>1901</v>
      </c>
      <c r="AM8450">
        <v>1</v>
      </c>
      <c r="AN8450" s="15" t="s">
        <v>1633</v>
      </c>
    </row>
    <row r="8451" spans="1:40" x14ac:dyDescent="0.3">
      <c r="A8451" s="10" t="str">
        <f>HYPERLINK("http://www.washoecounty.gov/assessor/cama/?parid=568-075-03&amp;CardNumber=1","568-075-03")</f>
        <v>568-075-03</v>
      </c>
      <c r="B8451" t="s">
        <v>4655</v>
      </c>
      <c r="C8451" t="s">
        <v>38716</v>
      </c>
      <c r="D8451" s="1">
        <v>40431</v>
      </c>
      <c r="E8451" s="2">
        <v>150000</v>
      </c>
      <c r="F8451" t="s">
        <v>4567</v>
      </c>
      <c r="G8451" s="17" t="str">
        <f>HYPERLINK("https://www.washoecounty.gov/assessor/cama/?command=sales&amp;parid=56807503","3921011")</f>
        <v>3921011</v>
      </c>
      <c r="H8451" t="s">
        <v>1918</v>
      </c>
      <c r="I8451">
        <v>2007</v>
      </c>
      <c r="J8451">
        <v>2007</v>
      </c>
      <c r="K8451" t="s">
        <v>4554</v>
      </c>
      <c r="L8451" t="s">
        <v>3974</v>
      </c>
      <c r="M8451" s="2">
        <v>2108</v>
      </c>
      <c r="N8451" t="s">
        <v>4048</v>
      </c>
      <c r="O8451">
        <v>3</v>
      </c>
      <c r="P8451">
        <v>2</v>
      </c>
      <c r="Q8451">
        <v>1</v>
      </c>
      <c r="R8451" t="s">
        <v>5281</v>
      </c>
      <c r="S8451" t="s">
        <v>4558</v>
      </c>
      <c r="T8451" t="s">
        <v>4559</v>
      </c>
      <c r="U8451" t="s">
        <v>4560</v>
      </c>
      <c r="V8451" s="2">
        <v>380</v>
      </c>
      <c r="W8451" t="s">
        <v>4655</v>
      </c>
      <c r="X8451" s="2">
        <v>0</v>
      </c>
      <c r="Y8451">
        <v>20</v>
      </c>
      <c r="Z8451" t="s">
        <v>4351</v>
      </c>
      <c r="AA8451" s="3">
        <v>0.212672173976898</v>
      </c>
      <c r="AB8451" t="s">
        <v>38717</v>
      </c>
      <c r="AC8451" t="s">
        <v>4562</v>
      </c>
      <c r="AD8451" t="s">
        <v>38718</v>
      </c>
      <c r="AE8451" t="s">
        <v>4655</v>
      </c>
      <c r="AF8451" t="s">
        <v>4563</v>
      </c>
      <c r="AG8451" t="s">
        <v>4564</v>
      </c>
      <c r="AH8451">
        <v>89506</v>
      </c>
      <c r="AI8451" t="s">
        <v>4655</v>
      </c>
      <c r="AJ8451" t="s">
        <v>1919</v>
      </c>
      <c r="AK8451" t="s">
        <v>38719</v>
      </c>
      <c r="AL8451" s="13" t="s">
        <v>1901</v>
      </c>
      <c r="AM8451">
        <v>1</v>
      </c>
      <c r="AN8451" s="15" t="s">
        <v>1633</v>
      </c>
    </row>
    <row r="8452" spans="1:40" x14ac:dyDescent="0.3">
      <c r="A8452" s="10" t="str">
        <f>HYPERLINK("http://www.washoecounty.gov/assessor/cama/?parid=568-075-03&amp;CardNumber=1","568-075-03")</f>
        <v>568-075-03</v>
      </c>
      <c r="B8452" t="s">
        <v>4655</v>
      </c>
      <c r="C8452" t="s">
        <v>38716</v>
      </c>
      <c r="D8452" s="1">
        <v>40479</v>
      </c>
      <c r="E8452" s="2">
        <v>176900</v>
      </c>
      <c r="F8452" t="s">
        <v>4567</v>
      </c>
      <c r="G8452" s="17" t="str">
        <f>HYPERLINK("https://www.washoecounty.gov/assessor/cama/?command=sales&amp;parid=56807503","3937992")</f>
        <v>3937992</v>
      </c>
      <c r="H8452" t="s">
        <v>1918</v>
      </c>
      <c r="I8452">
        <v>2007</v>
      </c>
      <c r="J8452">
        <v>2007</v>
      </c>
      <c r="K8452" t="s">
        <v>4554</v>
      </c>
      <c r="L8452" t="s">
        <v>3974</v>
      </c>
      <c r="M8452" s="2">
        <v>2108</v>
      </c>
      <c r="N8452" t="s">
        <v>4048</v>
      </c>
      <c r="O8452">
        <v>3</v>
      </c>
      <c r="P8452">
        <v>2</v>
      </c>
      <c r="Q8452">
        <v>1</v>
      </c>
      <c r="R8452" t="s">
        <v>5281</v>
      </c>
      <c r="S8452" t="s">
        <v>4558</v>
      </c>
      <c r="T8452" t="s">
        <v>4559</v>
      </c>
      <c r="U8452" t="s">
        <v>4560</v>
      </c>
      <c r="V8452" s="2">
        <v>380</v>
      </c>
      <c r="W8452" t="s">
        <v>4655</v>
      </c>
      <c r="X8452" s="2">
        <v>0</v>
      </c>
      <c r="Y8452">
        <v>20</v>
      </c>
      <c r="Z8452" t="s">
        <v>4351</v>
      </c>
      <c r="AA8452" s="3">
        <v>0.212672173976898</v>
      </c>
      <c r="AB8452" t="s">
        <v>38717</v>
      </c>
      <c r="AC8452" t="s">
        <v>4562</v>
      </c>
      <c r="AD8452" t="s">
        <v>38718</v>
      </c>
      <c r="AE8452" t="s">
        <v>4655</v>
      </c>
      <c r="AF8452" t="s">
        <v>4563</v>
      </c>
      <c r="AG8452" t="s">
        <v>4564</v>
      </c>
      <c r="AH8452">
        <v>89506</v>
      </c>
      <c r="AI8452" t="s">
        <v>4655</v>
      </c>
      <c r="AJ8452" t="s">
        <v>1919</v>
      </c>
      <c r="AK8452" t="s">
        <v>38719</v>
      </c>
      <c r="AL8452" s="13" t="s">
        <v>1901</v>
      </c>
      <c r="AM8452">
        <v>1</v>
      </c>
      <c r="AN8452" s="15" t="s">
        <v>1633</v>
      </c>
    </row>
    <row r="8453" spans="1:40" x14ac:dyDescent="0.3">
      <c r="A8453" s="10" t="str">
        <f>HYPERLINK("http://www.washoecounty.gov/assessor/cama/?parid=568-075-04&amp;CardNumber=1","568-075-04")</f>
        <v>568-075-04</v>
      </c>
      <c r="B8453" t="s">
        <v>4655</v>
      </c>
      <c r="C8453" t="s">
        <v>4729</v>
      </c>
      <c r="D8453" s="1">
        <v>40456</v>
      </c>
      <c r="E8453" s="2">
        <v>162000</v>
      </c>
      <c r="F8453" t="s">
        <v>4567</v>
      </c>
      <c r="G8453" s="17" t="str">
        <f>HYPERLINK("https://www.washoecounty.gov/assessor/cama/?command=sales&amp;parid=56807504","3929900")</f>
        <v>3929900</v>
      </c>
      <c r="H8453" t="s">
        <v>1918</v>
      </c>
      <c r="I8453">
        <v>2007</v>
      </c>
      <c r="J8453">
        <v>2007</v>
      </c>
      <c r="K8453" t="s">
        <v>4554</v>
      </c>
      <c r="L8453" t="s">
        <v>3974</v>
      </c>
      <c r="M8453" s="2">
        <v>2381</v>
      </c>
      <c r="N8453" t="s">
        <v>4048</v>
      </c>
      <c r="O8453">
        <v>4</v>
      </c>
      <c r="P8453">
        <v>3</v>
      </c>
      <c r="Q8453">
        <v>0</v>
      </c>
      <c r="R8453" t="s">
        <v>5281</v>
      </c>
      <c r="S8453" t="s">
        <v>4558</v>
      </c>
      <c r="T8453" t="s">
        <v>4559</v>
      </c>
      <c r="U8453" t="s">
        <v>4655</v>
      </c>
      <c r="V8453" s="2">
        <v>0</v>
      </c>
      <c r="W8453" t="s">
        <v>4655</v>
      </c>
      <c r="X8453" s="2">
        <v>0</v>
      </c>
      <c r="Y8453">
        <v>20</v>
      </c>
      <c r="Z8453" t="s">
        <v>4351</v>
      </c>
      <c r="AA8453" s="3">
        <v>0.16788338124752</v>
      </c>
      <c r="AB8453" t="s">
        <v>5289</v>
      </c>
      <c r="AC8453" t="s">
        <v>4562</v>
      </c>
      <c r="AD8453" t="s">
        <v>1479</v>
      </c>
      <c r="AE8453" t="s">
        <v>4655</v>
      </c>
      <c r="AF8453" t="s">
        <v>4563</v>
      </c>
      <c r="AG8453" t="s">
        <v>4564</v>
      </c>
      <c r="AH8453">
        <v>89502</v>
      </c>
      <c r="AI8453" t="s">
        <v>3625</v>
      </c>
      <c r="AJ8453" t="s">
        <v>1919</v>
      </c>
      <c r="AK8453" t="s">
        <v>4730</v>
      </c>
      <c r="AL8453" s="13" t="s">
        <v>1901</v>
      </c>
      <c r="AM8453" s="14">
        <v>1</v>
      </c>
      <c r="AN8453" s="15" t="s">
        <v>1633</v>
      </c>
    </row>
    <row r="8454" spans="1:40" x14ac:dyDescent="0.3">
      <c r="A8454" s="10" t="str">
        <f>HYPERLINK("http://www.washoecounty.gov/assessor/cama/?parid=568-075-05&amp;CardNumber=1","568-075-05")</f>
        <v>568-075-05</v>
      </c>
      <c r="B8454" t="s">
        <v>4655</v>
      </c>
      <c r="C8454" t="s">
        <v>38720</v>
      </c>
      <c r="D8454" s="1">
        <v>40358</v>
      </c>
      <c r="E8454" s="2">
        <v>174950</v>
      </c>
      <c r="F8454" t="s">
        <v>4567</v>
      </c>
      <c r="G8454" s="17" t="str">
        <f>HYPERLINK("https://www.washoecounty.gov/assessor/cama/?command=sales&amp;parid=56807505","3896602")</f>
        <v>3896602</v>
      </c>
      <c r="H8454" t="s">
        <v>1918</v>
      </c>
      <c r="I8454">
        <v>2009</v>
      </c>
      <c r="J8454">
        <v>2009</v>
      </c>
      <c r="K8454" t="s">
        <v>4554</v>
      </c>
      <c r="L8454" t="s">
        <v>4555</v>
      </c>
      <c r="M8454" s="2">
        <v>1675</v>
      </c>
      <c r="N8454" t="s">
        <v>4048</v>
      </c>
      <c r="O8454">
        <v>3</v>
      </c>
      <c r="P8454">
        <v>2</v>
      </c>
      <c r="Q8454">
        <v>0</v>
      </c>
      <c r="R8454" t="s">
        <v>5281</v>
      </c>
      <c r="S8454" t="s">
        <v>4558</v>
      </c>
      <c r="T8454" t="s">
        <v>4559</v>
      </c>
      <c r="U8454" t="s">
        <v>4560</v>
      </c>
      <c r="V8454" s="2">
        <v>404</v>
      </c>
      <c r="W8454" t="s">
        <v>4655</v>
      </c>
      <c r="X8454" s="2">
        <v>0</v>
      </c>
      <c r="Y8454">
        <v>20</v>
      </c>
      <c r="Z8454" t="s">
        <v>4351</v>
      </c>
      <c r="AA8454" s="3">
        <v>0.16499081254005399</v>
      </c>
      <c r="AB8454" t="s">
        <v>38721</v>
      </c>
      <c r="AC8454" t="s">
        <v>4562</v>
      </c>
      <c r="AD8454" t="s">
        <v>38720</v>
      </c>
      <c r="AE8454" t="s">
        <v>4655</v>
      </c>
      <c r="AF8454" t="s">
        <v>4563</v>
      </c>
      <c r="AG8454" t="s">
        <v>4564</v>
      </c>
      <c r="AH8454" t="s">
        <v>5197</v>
      </c>
      <c r="AI8454" t="s">
        <v>38722</v>
      </c>
      <c r="AJ8454" t="s">
        <v>1919</v>
      </c>
      <c r="AK8454" t="s">
        <v>38723</v>
      </c>
      <c r="AL8454" s="13" t="s">
        <v>1901</v>
      </c>
      <c r="AM8454">
        <v>1</v>
      </c>
      <c r="AN8454" s="15" t="s">
        <v>1633</v>
      </c>
    </row>
    <row r="8455" spans="1:40" x14ac:dyDescent="0.3">
      <c r="A8455" s="10" t="str">
        <f>HYPERLINK("http://www.washoecounty.gov/assessor/cama/?parid=568-075-22&amp;CardNumber=1","568-075-22")</f>
        <v>568-075-22</v>
      </c>
      <c r="B8455" t="s">
        <v>4655</v>
      </c>
      <c r="C8455" t="s">
        <v>38724</v>
      </c>
      <c r="D8455" s="1">
        <v>40347</v>
      </c>
      <c r="E8455" s="2">
        <v>190000</v>
      </c>
      <c r="F8455" t="s">
        <v>4567</v>
      </c>
      <c r="G8455" s="17" t="str">
        <f>HYPERLINK("https://www.washoecounty.gov/assessor/cama/?command=sales&amp;parid=56807522","3893477")</f>
        <v>3893477</v>
      </c>
      <c r="H8455" t="s">
        <v>1918</v>
      </c>
      <c r="I8455">
        <v>2009</v>
      </c>
      <c r="J8455">
        <v>2009</v>
      </c>
      <c r="K8455" t="s">
        <v>4554</v>
      </c>
      <c r="L8455" t="s">
        <v>4555</v>
      </c>
      <c r="M8455" s="2">
        <v>1749</v>
      </c>
      <c r="N8455" t="s">
        <v>4048</v>
      </c>
      <c r="O8455">
        <v>4</v>
      </c>
      <c r="P8455">
        <v>2</v>
      </c>
      <c r="Q8455">
        <v>0</v>
      </c>
      <c r="R8455" t="s">
        <v>5281</v>
      </c>
      <c r="S8455" t="s">
        <v>4898</v>
      </c>
      <c r="T8455" t="s">
        <v>4559</v>
      </c>
      <c r="U8455" t="s">
        <v>4560</v>
      </c>
      <c r="V8455" s="2">
        <v>613</v>
      </c>
      <c r="W8455" t="s">
        <v>4655</v>
      </c>
      <c r="X8455" s="2">
        <v>0</v>
      </c>
      <c r="Y8455">
        <v>20</v>
      </c>
      <c r="Z8455" t="s">
        <v>4351</v>
      </c>
      <c r="AA8455" s="3">
        <v>0.16806703805923501</v>
      </c>
      <c r="AB8455" t="s">
        <v>38725</v>
      </c>
      <c r="AC8455" t="s">
        <v>4575</v>
      </c>
      <c r="AD8455" t="s">
        <v>38724</v>
      </c>
      <c r="AE8455" t="s">
        <v>4655</v>
      </c>
      <c r="AF8455" t="s">
        <v>4563</v>
      </c>
      <c r="AG8455" t="s">
        <v>4564</v>
      </c>
      <c r="AH8455">
        <v>89506</v>
      </c>
      <c r="AI8455" t="s">
        <v>1576</v>
      </c>
      <c r="AJ8455" t="s">
        <v>1919</v>
      </c>
      <c r="AK8455" t="s">
        <v>38726</v>
      </c>
      <c r="AL8455" s="13" t="s">
        <v>1901</v>
      </c>
      <c r="AM8455">
        <v>1</v>
      </c>
      <c r="AN8455" s="15" t="s">
        <v>1633</v>
      </c>
    </row>
    <row r="8456" spans="1:40" x14ac:dyDescent="0.3">
      <c r="A8456" s="10" t="str">
        <f>HYPERLINK("http://www.washoecounty.gov/assessor/cama/?parid=568-075-23&amp;CardNumber=1","568-075-23")</f>
        <v>568-075-23</v>
      </c>
      <c r="B8456" t="s">
        <v>4655</v>
      </c>
      <c r="C8456" t="s">
        <v>38727</v>
      </c>
      <c r="D8456" s="1">
        <v>40198</v>
      </c>
      <c r="E8456" s="2">
        <v>199950</v>
      </c>
      <c r="F8456" t="s">
        <v>4567</v>
      </c>
      <c r="G8456" s="17" t="str">
        <f>HYPERLINK("https://www.washoecounty.gov/assessor/cama/?command=sales&amp;parid=56807523","3840901")</f>
        <v>3840901</v>
      </c>
      <c r="H8456" t="s">
        <v>1918</v>
      </c>
      <c r="I8456">
        <v>2009</v>
      </c>
      <c r="J8456">
        <v>2009</v>
      </c>
      <c r="K8456" t="s">
        <v>4554</v>
      </c>
      <c r="L8456" t="s">
        <v>4555</v>
      </c>
      <c r="M8456" s="2">
        <v>1531</v>
      </c>
      <c r="N8456" t="s">
        <v>4048</v>
      </c>
      <c r="O8456">
        <v>3</v>
      </c>
      <c r="P8456">
        <v>2</v>
      </c>
      <c r="Q8456">
        <v>0</v>
      </c>
      <c r="R8456" t="s">
        <v>5281</v>
      </c>
      <c r="S8456" t="s">
        <v>4898</v>
      </c>
      <c r="T8456" t="s">
        <v>4559</v>
      </c>
      <c r="U8456" t="s">
        <v>4560</v>
      </c>
      <c r="V8456" s="2">
        <v>594</v>
      </c>
      <c r="W8456" t="s">
        <v>4655</v>
      </c>
      <c r="X8456" s="2">
        <v>0</v>
      </c>
      <c r="Y8456">
        <v>20</v>
      </c>
      <c r="Z8456" t="s">
        <v>4351</v>
      </c>
      <c r="AA8456" s="3">
        <v>0.16804407536983501</v>
      </c>
      <c r="AB8456" t="s">
        <v>38728</v>
      </c>
      <c r="AC8456" t="s">
        <v>4562</v>
      </c>
      <c r="AD8456" t="s">
        <v>38727</v>
      </c>
      <c r="AE8456" t="s">
        <v>4655</v>
      </c>
      <c r="AF8456" t="s">
        <v>4563</v>
      </c>
      <c r="AG8456" t="s">
        <v>4564</v>
      </c>
      <c r="AH8456">
        <v>89506</v>
      </c>
      <c r="AI8456" t="s">
        <v>4655</v>
      </c>
      <c r="AJ8456" t="s">
        <v>1919</v>
      </c>
      <c r="AK8456" t="s">
        <v>38729</v>
      </c>
      <c r="AL8456" s="13" t="s">
        <v>1901</v>
      </c>
      <c r="AM8456">
        <v>1</v>
      </c>
      <c r="AN8456" s="15" t="s">
        <v>1633</v>
      </c>
    </row>
    <row r="8457" spans="1:40" x14ac:dyDescent="0.3">
      <c r="A8457" s="10" t="str">
        <f>HYPERLINK("http://www.washoecounty.gov/assessor/cama/?parid=568-075-24&amp;CardNumber=1","568-075-24")</f>
        <v>568-075-24</v>
      </c>
      <c r="B8457" t="s">
        <v>4655</v>
      </c>
      <c r="C8457" t="s">
        <v>38730</v>
      </c>
      <c r="D8457" s="1">
        <v>40235</v>
      </c>
      <c r="E8457" s="2">
        <v>210000</v>
      </c>
      <c r="F8457" t="s">
        <v>4567</v>
      </c>
      <c r="G8457" s="17" t="str">
        <f>HYPERLINK("https://www.washoecounty.gov/assessor/cama/?command=sales&amp;parid=56807524","3853051")</f>
        <v>3853051</v>
      </c>
      <c r="H8457" t="s">
        <v>1918</v>
      </c>
      <c r="I8457">
        <v>2009</v>
      </c>
      <c r="J8457">
        <v>2009</v>
      </c>
      <c r="K8457" t="s">
        <v>4554</v>
      </c>
      <c r="L8457" t="s">
        <v>4555</v>
      </c>
      <c r="M8457" s="2">
        <v>1947</v>
      </c>
      <c r="N8457" t="s">
        <v>4048</v>
      </c>
      <c r="O8457">
        <v>4</v>
      </c>
      <c r="P8457">
        <v>2</v>
      </c>
      <c r="Q8457">
        <v>0</v>
      </c>
      <c r="R8457" t="s">
        <v>5281</v>
      </c>
      <c r="S8457" t="s">
        <v>4898</v>
      </c>
      <c r="T8457" t="s">
        <v>4559</v>
      </c>
      <c r="U8457" t="s">
        <v>4560</v>
      </c>
      <c r="V8457" s="2">
        <v>647</v>
      </c>
      <c r="W8457" t="s">
        <v>4655</v>
      </c>
      <c r="X8457" s="2">
        <v>0</v>
      </c>
      <c r="Y8457">
        <v>20</v>
      </c>
      <c r="Z8457" t="s">
        <v>4351</v>
      </c>
      <c r="AA8457" s="3">
        <v>0.19777318835258484</v>
      </c>
      <c r="AB8457" t="s">
        <v>38731</v>
      </c>
      <c r="AC8457" t="s">
        <v>4562</v>
      </c>
      <c r="AD8457" t="s">
        <v>38730</v>
      </c>
      <c r="AE8457" t="s">
        <v>4655</v>
      </c>
      <c r="AF8457" t="s">
        <v>4563</v>
      </c>
      <c r="AG8457" t="s">
        <v>4564</v>
      </c>
      <c r="AH8457">
        <v>89506</v>
      </c>
      <c r="AI8457" t="s">
        <v>4655</v>
      </c>
      <c r="AJ8457" t="s">
        <v>1919</v>
      </c>
      <c r="AK8457" t="s">
        <v>38732</v>
      </c>
      <c r="AL8457" s="13" t="s">
        <v>1901</v>
      </c>
      <c r="AM8457">
        <v>1</v>
      </c>
      <c r="AN8457" s="15" t="s">
        <v>1633</v>
      </c>
    </row>
    <row r="8458" spans="1:40" x14ac:dyDescent="0.3">
      <c r="A8458" s="10" t="str">
        <f>HYPERLINK("http://www.washoecounty.gov/assessor/cama/?parid=568-075-25&amp;CardNumber=1","568-075-25")</f>
        <v>568-075-25</v>
      </c>
      <c r="B8458" t="s">
        <v>4655</v>
      </c>
      <c r="C8458" t="s">
        <v>38733</v>
      </c>
      <c r="D8458" s="1">
        <v>40235</v>
      </c>
      <c r="E8458" s="2">
        <v>196950</v>
      </c>
      <c r="F8458" t="s">
        <v>4567</v>
      </c>
      <c r="G8458" s="17" t="str">
        <f>HYPERLINK("https://www.washoecounty.gov/assessor/cama/?command=sales&amp;parid=56807525","3853055")</f>
        <v>3853055</v>
      </c>
      <c r="H8458" t="s">
        <v>1918</v>
      </c>
      <c r="I8458">
        <v>2009</v>
      </c>
      <c r="J8458">
        <v>2009</v>
      </c>
      <c r="K8458" t="s">
        <v>4554</v>
      </c>
      <c r="L8458" t="s">
        <v>4555</v>
      </c>
      <c r="M8458" s="2">
        <v>1675</v>
      </c>
      <c r="N8458" t="s">
        <v>4048</v>
      </c>
      <c r="O8458">
        <v>3</v>
      </c>
      <c r="P8458">
        <v>2</v>
      </c>
      <c r="Q8458">
        <v>0</v>
      </c>
      <c r="R8458" t="s">
        <v>5281</v>
      </c>
      <c r="S8458" t="s">
        <v>4898</v>
      </c>
      <c r="T8458" t="s">
        <v>4559</v>
      </c>
      <c r="U8458" t="s">
        <v>4560</v>
      </c>
      <c r="V8458" s="2">
        <v>404</v>
      </c>
      <c r="W8458" t="s">
        <v>4655</v>
      </c>
      <c r="X8458" s="2">
        <v>0</v>
      </c>
      <c r="Y8458">
        <v>20</v>
      </c>
      <c r="Z8458" t="s">
        <v>4351</v>
      </c>
      <c r="AA8458" s="3">
        <v>0.19777318835258484</v>
      </c>
      <c r="AB8458" t="s">
        <v>38734</v>
      </c>
      <c r="AC8458" t="s">
        <v>4575</v>
      </c>
      <c r="AD8458" t="s">
        <v>38733</v>
      </c>
      <c r="AE8458" t="s">
        <v>4655</v>
      </c>
      <c r="AF8458" t="s">
        <v>4563</v>
      </c>
      <c r="AG8458" t="s">
        <v>4564</v>
      </c>
      <c r="AH8458">
        <v>89506</v>
      </c>
      <c r="AI8458" t="s">
        <v>1576</v>
      </c>
      <c r="AJ8458" t="s">
        <v>1919</v>
      </c>
      <c r="AK8458" t="s">
        <v>38735</v>
      </c>
      <c r="AL8458" s="13" t="s">
        <v>1901</v>
      </c>
      <c r="AM8458">
        <v>1</v>
      </c>
      <c r="AN8458" s="15" t="s">
        <v>1633</v>
      </c>
    </row>
    <row r="8459" spans="1:40" x14ac:dyDescent="0.3">
      <c r="A8459" s="10" t="str">
        <f>HYPERLINK("http://www.washoecounty.gov/assessor/cama/?parid=568-075-26&amp;CardNumber=1","568-075-26")</f>
        <v>568-075-26</v>
      </c>
      <c r="B8459" t="s">
        <v>4655</v>
      </c>
      <c r="C8459" t="s">
        <v>38736</v>
      </c>
      <c r="D8459" s="1">
        <v>40256</v>
      </c>
      <c r="E8459" s="2">
        <v>210950</v>
      </c>
      <c r="F8459" t="s">
        <v>4567</v>
      </c>
      <c r="G8459" s="17" t="str">
        <f>HYPERLINK("https://www.washoecounty.gov/assessor/cama/?command=sales&amp;parid=56807526","3861606")</f>
        <v>3861606</v>
      </c>
      <c r="H8459" t="s">
        <v>1918</v>
      </c>
      <c r="I8459">
        <v>2009</v>
      </c>
      <c r="J8459">
        <v>2009</v>
      </c>
      <c r="K8459" t="s">
        <v>4554</v>
      </c>
      <c r="L8459" t="s">
        <v>3974</v>
      </c>
      <c r="M8459" s="2">
        <v>2108</v>
      </c>
      <c r="N8459" t="s">
        <v>4048</v>
      </c>
      <c r="O8459">
        <v>3</v>
      </c>
      <c r="P8459">
        <v>2</v>
      </c>
      <c r="Q8459">
        <v>1</v>
      </c>
      <c r="R8459" t="s">
        <v>5281</v>
      </c>
      <c r="S8459" t="s">
        <v>4558</v>
      </c>
      <c r="T8459" t="s">
        <v>4559</v>
      </c>
      <c r="U8459" t="s">
        <v>4560</v>
      </c>
      <c r="V8459" s="2">
        <v>380</v>
      </c>
      <c r="W8459" t="s">
        <v>4655</v>
      </c>
      <c r="X8459" s="2">
        <v>0</v>
      </c>
      <c r="Y8459">
        <v>20</v>
      </c>
      <c r="Z8459" t="s">
        <v>4351</v>
      </c>
      <c r="AA8459" s="3">
        <v>0.19777318835258484</v>
      </c>
      <c r="AB8459" t="s">
        <v>38737</v>
      </c>
      <c r="AC8459" t="s">
        <v>4562</v>
      </c>
      <c r="AD8459" t="s">
        <v>38736</v>
      </c>
      <c r="AE8459" t="s">
        <v>4655</v>
      </c>
      <c r="AF8459" t="s">
        <v>4563</v>
      </c>
      <c r="AG8459" t="s">
        <v>4564</v>
      </c>
      <c r="AH8459">
        <v>89506</v>
      </c>
      <c r="AI8459" t="s">
        <v>1576</v>
      </c>
      <c r="AJ8459" t="s">
        <v>1919</v>
      </c>
      <c r="AK8459" t="s">
        <v>38738</v>
      </c>
      <c r="AL8459" s="13" t="s">
        <v>1901</v>
      </c>
      <c r="AM8459">
        <v>1</v>
      </c>
      <c r="AN8459" s="15" t="s">
        <v>1633</v>
      </c>
    </row>
    <row r="8460" spans="1:40" x14ac:dyDescent="0.3">
      <c r="A8460" s="10" t="str">
        <f>HYPERLINK("http://www.washoecounty.gov/assessor/cama/?parid=568-075-27&amp;CardNumber=1","568-075-27")</f>
        <v>568-075-27</v>
      </c>
      <c r="B8460" t="s">
        <v>4655</v>
      </c>
      <c r="C8460" t="s">
        <v>38739</v>
      </c>
      <c r="D8460" s="1">
        <v>40263</v>
      </c>
      <c r="E8460" s="2">
        <v>191950</v>
      </c>
      <c r="F8460" t="s">
        <v>4567</v>
      </c>
      <c r="G8460" s="17" t="str">
        <f>HYPERLINK("https://www.washoecounty.gov/assessor/cama/?command=sales&amp;parid=56807527","3864522")</f>
        <v>3864522</v>
      </c>
      <c r="H8460" t="s">
        <v>1918</v>
      </c>
      <c r="I8460">
        <v>2009</v>
      </c>
      <c r="J8460">
        <v>2009</v>
      </c>
      <c r="K8460" t="s">
        <v>4554</v>
      </c>
      <c r="L8460" t="s">
        <v>4555</v>
      </c>
      <c r="M8460" s="2">
        <v>1675</v>
      </c>
      <c r="N8460" t="s">
        <v>4048</v>
      </c>
      <c r="O8460">
        <v>3</v>
      </c>
      <c r="P8460">
        <v>2</v>
      </c>
      <c r="Q8460">
        <v>0</v>
      </c>
      <c r="R8460" t="s">
        <v>5281</v>
      </c>
      <c r="S8460" t="s">
        <v>4898</v>
      </c>
      <c r="T8460" t="s">
        <v>4559</v>
      </c>
      <c r="U8460" t="s">
        <v>4560</v>
      </c>
      <c r="V8460" s="2">
        <v>404</v>
      </c>
      <c r="W8460" t="s">
        <v>4655</v>
      </c>
      <c r="X8460" s="2">
        <v>0</v>
      </c>
      <c r="Y8460">
        <v>20</v>
      </c>
      <c r="Z8460" t="s">
        <v>4351</v>
      </c>
      <c r="AA8460" s="3">
        <v>0.19777318835258484</v>
      </c>
      <c r="AB8460" t="s">
        <v>38740</v>
      </c>
      <c r="AC8460" t="s">
        <v>4562</v>
      </c>
      <c r="AD8460" t="s">
        <v>38739</v>
      </c>
      <c r="AE8460" t="s">
        <v>4655</v>
      </c>
      <c r="AF8460" t="s">
        <v>4563</v>
      </c>
      <c r="AG8460" t="s">
        <v>4564</v>
      </c>
      <c r="AH8460">
        <v>89506</v>
      </c>
      <c r="AI8460" t="s">
        <v>1576</v>
      </c>
      <c r="AJ8460" t="s">
        <v>1919</v>
      </c>
      <c r="AK8460" t="s">
        <v>38741</v>
      </c>
      <c r="AL8460" s="13" t="s">
        <v>1901</v>
      </c>
      <c r="AM8460">
        <v>1</v>
      </c>
      <c r="AN8460" s="15" t="s">
        <v>1633</v>
      </c>
    </row>
    <row r="8461" spans="1:40" x14ac:dyDescent="0.3">
      <c r="A8461" s="10" t="str">
        <f>HYPERLINK("http://www.washoecounty.gov/assessor/cama/?parid=568-075-28&amp;CardNumber=1","568-075-28")</f>
        <v>568-075-28</v>
      </c>
      <c r="B8461" t="s">
        <v>4655</v>
      </c>
      <c r="C8461" t="s">
        <v>38742</v>
      </c>
      <c r="D8461" s="1">
        <v>40359</v>
      </c>
      <c r="E8461" s="2">
        <v>214950</v>
      </c>
      <c r="F8461" t="s">
        <v>4567</v>
      </c>
      <c r="G8461" s="17" t="str">
        <f>HYPERLINK("https://www.washoecounty.gov/assessor/cama/?command=sales&amp;parid=56807528","3897284")</f>
        <v>3897284</v>
      </c>
      <c r="H8461" t="s">
        <v>1918</v>
      </c>
      <c r="I8461">
        <v>2009</v>
      </c>
      <c r="J8461">
        <v>2009</v>
      </c>
      <c r="K8461" t="s">
        <v>4554</v>
      </c>
      <c r="L8461" t="s">
        <v>3974</v>
      </c>
      <c r="M8461" s="2">
        <v>2381</v>
      </c>
      <c r="N8461" t="s">
        <v>4048</v>
      </c>
      <c r="O8461">
        <v>4</v>
      </c>
      <c r="P8461">
        <v>3</v>
      </c>
      <c r="Q8461">
        <v>0</v>
      </c>
      <c r="R8461" t="s">
        <v>5281</v>
      </c>
      <c r="S8461" t="s">
        <v>4558</v>
      </c>
      <c r="T8461" t="s">
        <v>4559</v>
      </c>
      <c r="U8461" t="s">
        <v>5631</v>
      </c>
      <c r="V8461" s="2">
        <v>396</v>
      </c>
      <c r="W8461" t="s">
        <v>4655</v>
      </c>
      <c r="X8461" s="2">
        <v>0</v>
      </c>
      <c r="Y8461">
        <v>20</v>
      </c>
      <c r="Z8461" t="s">
        <v>4351</v>
      </c>
      <c r="AA8461" s="3">
        <v>0.19031220674514801</v>
      </c>
      <c r="AB8461" t="s">
        <v>38743</v>
      </c>
      <c r="AC8461" t="s">
        <v>4562</v>
      </c>
      <c r="AD8461" t="s">
        <v>38742</v>
      </c>
      <c r="AE8461" t="s">
        <v>4655</v>
      </c>
      <c r="AF8461" t="s">
        <v>4563</v>
      </c>
      <c r="AG8461" t="s">
        <v>4564</v>
      </c>
      <c r="AH8461">
        <v>89506</v>
      </c>
      <c r="AI8461" t="s">
        <v>1576</v>
      </c>
      <c r="AJ8461" t="s">
        <v>1919</v>
      </c>
      <c r="AK8461" t="s">
        <v>38744</v>
      </c>
      <c r="AL8461" s="13" t="s">
        <v>1901</v>
      </c>
      <c r="AM8461">
        <v>1</v>
      </c>
      <c r="AN8461" s="15" t="s">
        <v>1633</v>
      </c>
    </row>
    <row r="8462" spans="1:40" x14ac:dyDescent="0.3">
      <c r="A8462" s="10" t="str">
        <f>HYPERLINK("http://www.washoecounty.gov/assessor/cama/?parid=568-081-02&amp;CardNumber=1","568-081-02")</f>
        <v>568-081-02</v>
      </c>
      <c r="B8462" t="s">
        <v>4655</v>
      </c>
      <c r="C8462" t="s">
        <v>38745</v>
      </c>
      <c r="D8462" s="1">
        <v>40532</v>
      </c>
      <c r="E8462" s="2">
        <v>125000</v>
      </c>
      <c r="F8462" t="s">
        <v>4567</v>
      </c>
      <c r="G8462" s="17" t="str">
        <f>HYPERLINK("https://www.washoecounty.gov/assessor/cama/?command=sales&amp;parid=56808102","3955573")</f>
        <v>3955573</v>
      </c>
      <c r="H8462" t="s">
        <v>1918</v>
      </c>
      <c r="I8462">
        <v>2007</v>
      </c>
      <c r="J8462">
        <v>2007</v>
      </c>
      <c r="K8462" t="s">
        <v>4554</v>
      </c>
      <c r="L8462" t="s">
        <v>4555</v>
      </c>
      <c r="M8462" s="2">
        <v>1413</v>
      </c>
      <c r="N8462" t="s">
        <v>4048</v>
      </c>
      <c r="O8462">
        <v>3</v>
      </c>
      <c r="P8462">
        <v>2</v>
      </c>
      <c r="Q8462">
        <v>0</v>
      </c>
      <c r="R8462" t="s">
        <v>5281</v>
      </c>
      <c r="S8462" t="s">
        <v>4558</v>
      </c>
      <c r="T8462" t="s">
        <v>4559</v>
      </c>
      <c r="U8462" t="s">
        <v>4560</v>
      </c>
      <c r="V8462" s="2">
        <v>435</v>
      </c>
      <c r="W8462" t="s">
        <v>4655</v>
      </c>
      <c r="X8462" s="2">
        <v>0</v>
      </c>
      <c r="Y8462">
        <v>20</v>
      </c>
      <c r="Z8462" t="s">
        <v>4351</v>
      </c>
      <c r="AA8462" s="3">
        <v>0.16632232069969199</v>
      </c>
      <c r="AB8462" t="s">
        <v>38746</v>
      </c>
      <c r="AC8462" t="s">
        <v>4562</v>
      </c>
      <c r="AD8462" t="s">
        <v>38745</v>
      </c>
      <c r="AE8462" t="s">
        <v>4655</v>
      </c>
      <c r="AF8462" t="s">
        <v>4563</v>
      </c>
      <c r="AG8462" t="s">
        <v>4564</v>
      </c>
      <c r="AH8462">
        <v>89506</v>
      </c>
      <c r="AI8462" t="s">
        <v>38747</v>
      </c>
      <c r="AJ8462" t="s">
        <v>1919</v>
      </c>
      <c r="AK8462" t="s">
        <v>38748</v>
      </c>
      <c r="AL8462" s="13" t="s">
        <v>1901</v>
      </c>
      <c r="AM8462" s="14">
        <v>1</v>
      </c>
      <c r="AN8462" s="15" t="s">
        <v>1633</v>
      </c>
    </row>
    <row r="8463" spans="1:40" x14ac:dyDescent="0.3">
      <c r="A8463" s="10" t="str">
        <f>HYPERLINK("http://www.washoecounty.gov/assessor/cama/?parid=568-081-04&amp;CardNumber=1","568-081-04")</f>
        <v>568-081-04</v>
      </c>
      <c r="B8463" t="s">
        <v>4655</v>
      </c>
      <c r="C8463" t="s">
        <v>38749</v>
      </c>
      <c r="D8463" s="1">
        <v>40452</v>
      </c>
      <c r="E8463" s="2">
        <v>170000</v>
      </c>
      <c r="F8463" t="s">
        <v>4567</v>
      </c>
      <c r="G8463" s="17" t="str">
        <f>HYPERLINK("https://www.washoecounty.gov/assessor/cama/?command=sales&amp;parid=56808104","3928686")</f>
        <v>3928686</v>
      </c>
      <c r="H8463" t="s">
        <v>1918</v>
      </c>
      <c r="I8463">
        <v>2007</v>
      </c>
      <c r="J8463">
        <v>2007</v>
      </c>
      <c r="K8463" t="s">
        <v>4554</v>
      </c>
      <c r="L8463" t="s">
        <v>3974</v>
      </c>
      <c r="M8463" s="2">
        <v>2381</v>
      </c>
      <c r="N8463" t="s">
        <v>4048</v>
      </c>
      <c r="O8463">
        <v>4</v>
      </c>
      <c r="P8463">
        <v>3</v>
      </c>
      <c r="Q8463">
        <v>0</v>
      </c>
      <c r="R8463" t="s">
        <v>5281</v>
      </c>
      <c r="S8463" t="s">
        <v>4558</v>
      </c>
      <c r="T8463" t="s">
        <v>4559</v>
      </c>
      <c r="U8463" t="s">
        <v>5631</v>
      </c>
      <c r="V8463" s="2">
        <v>396</v>
      </c>
      <c r="W8463" t="s">
        <v>4655</v>
      </c>
      <c r="X8463" s="2">
        <v>0</v>
      </c>
      <c r="Y8463">
        <v>20</v>
      </c>
      <c r="Z8463" t="s">
        <v>4351</v>
      </c>
      <c r="AA8463" s="3">
        <v>0.16632232069969199</v>
      </c>
      <c r="AB8463" t="s">
        <v>38750</v>
      </c>
      <c r="AC8463" t="s">
        <v>4575</v>
      </c>
      <c r="AD8463" t="s">
        <v>38751</v>
      </c>
      <c r="AE8463" t="s">
        <v>4655</v>
      </c>
      <c r="AF8463" t="s">
        <v>785</v>
      </c>
      <c r="AG8463" t="s">
        <v>4584</v>
      </c>
      <c r="AH8463">
        <v>94014</v>
      </c>
      <c r="AI8463" t="s">
        <v>38752</v>
      </c>
      <c r="AJ8463" t="s">
        <v>1919</v>
      </c>
      <c r="AK8463" t="s">
        <v>38753</v>
      </c>
      <c r="AL8463" s="13" t="s">
        <v>1901</v>
      </c>
      <c r="AM8463" s="14">
        <v>1</v>
      </c>
      <c r="AN8463" s="15" t="s">
        <v>1633</v>
      </c>
    </row>
    <row r="8464" spans="1:40" x14ac:dyDescent="0.3">
      <c r="A8464" s="10" t="str">
        <f>HYPERLINK("http://www.washoecounty.gov/assessor/cama/?parid=568-082-06&amp;CardNumber=1","568-082-06")</f>
        <v>568-082-06</v>
      </c>
      <c r="B8464" t="s">
        <v>4655</v>
      </c>
      <c r="C8464" t="s">
        <v>38754</v>
      </c>
      <c r="D8464" s="1">
        <v>40221</v>
      </c>
      <c r="E8464" s="2">
        <v>201150</v>
      </c>
      <c r="F8464" t="s">
        <v>4567</v>
      </c>
      <c r="G8464" s="17" t="str">
        <f>HYPERLINK("https://www.washoecounty.gov/assessor/cama/?command=sales&amp;parid=56808206","3849211")</f>
        <v>3849211</v>
      </c>
      <c r="H8464" t="s">
        <v>1918</v>
      </c>
      <c r="I8464">
        <v>2009</v>
      </c>
      <c r="J8464">
        <v>2009</v>
      </c>
      <c r="K8464" t="s">
        <v>4554</v>
      </c>
      <c r="L8464" t="s">
        <v>4555</v>
      </c>
      <c r="M8464" s="2">
        <v>1531</v>
      </c>
      <c r="N8464" t="s">
        <v>4048</v>
      </c>
      <c r="O8464">
        <v>3</v>
      </c>
      <c r="P8464">
        <v>2</v>
      </c>
      <c r="Q8464">
        <v>0</v>
      </c>
      <c r="R8464" t="s">
        <v>5281</v>
      </c>
      <c r="S8464" t="s">
        <v>4898</v>
      </c>
      <c r="T8464" t="s">
        <v>4559</v>
      </c>
      <c r="U8464" t="s">
        <v>4560</v>
      </c>
      <c r="V8464" s="2">
        <v>594</v>
      </c>
      <c r="W8464" t="s">
        <v>4655</v>
      </c>
      <c r="X8464" s="2">
        <v>0</v>
      </c>
      <c r="Y8464">
        <v>20</v>
      </c>
      <c r="Z8464" t="s">
        <v>4351</v>
      </c>
      <c r="AA8464" s="3">
        <v>0.15137740969657901</v>
      </c>
      <c r="AB8464" t="s">
        <v>38755</v>
      </c>
      <c r="AC8464" t="s">
        <v>4562</v>
      </c>
      <c r="AD8464" t="s">
        <v>38756</v>
      </c>
      <c r="AE8464" t="s">
        <v>4655</v>
      </c>
      <c r="AF8464" t="s">
        <v>4563</v>
      </c>
      <c r="AG8464" t="s">
        <v>4564</v>
      </c>
      <c r="AH8464">
        <v>89510</v>
      </c>
      <c r="AI8464" t="s">
        <v>4655</v>
      </c>
      <c r="AJ8464" t="s">
        <v>1919</v>
      </c>
      <c r="AK8464" t="s">
        <v>38757</v>
      </c>
      <c r="AL8464" s="13" t="s">
        <v>1901</v>
      </c>
      <c r="AM8464">
        <v>1</v>
      </c>
      <c r="AN8464" s="15" t="s">
        <v>1633</v>
      </c>
    </row>
    <row r="8465" spans="1:40" x14ac:dyDescent="0.3">
      <c r="A8465" s="10" t="str">
        <f>HYPERLINK("http://www.washoecounty.gov/assessor/cama/?parid=568-082-07&amp;CardNumber=1","568-082-07")</f>
        <v>568-082-07</v>
      </c>
      <c r="B8465" t="s">
        <v>4655</v>
      </c>
      <c r="C8465" t="s">
        <v>38758</v>
      </c>
      <c r="D8465" s="1">
        <v>40207</v>
      </c>
      <c r="E8465" s="2">
        <v>182450</v>
      </c>
      <c r="F8465" t="s">
        <v>4567</v>
      </c>
      <c r="G8465" s="17" t="str">
        <f>HYPERLINK("https://www.washoecounty.gov/assessor/cama/?command=sales&amp;parid=56808207","3844149")</f>
        <v>3844149</v>
      </c>
      <c r="H8465" t="s">
        <v>1918</v>
      </c>
      <c r="I8465">
        <v>2009</v>
      </c>
      <c r="J8465">
        <v>2009</v>
      </c>
      <c r="K8465" t="s">
        <v>4554</v>
      </c>
      <c r="L8465" t="s">
        <v>4555</v>
      </c>
      <c r="M8465" s="2">
        <v>1346</v>
      </c>
      <c r="N8465" t="s">
        <v>4048</v>
      </c>
      <c r="O8465">
        <v>3</v>
      </c>
      <c r="P8465">
        <v>2</v>
      </c>
      <c r="Q8465">
        <v>0</v>
      </c>
      <c r="R8465" t="s">
        <v>5281</v>
      </c>
      <c r="S8465" t="s">
        <v>4898</v>
      </c>
      <c r="T8465" t="s">
        <v>4559</v>
      </c>
      <c r="U8465" t="s">
        <v>4560</v>
      </c>
      <c r="V8465" s="2">
        <v>462</v>
      </c>
      <c r="W8465" t="s">
        <v>4655</v>
      </c>
      <c r="X8465" s="2">
        <v>0</v>
      </c>
      <c r="Y8465">
        <v>20</v>
      </c>
      <c r="Z8465" t="s">
        <v>4351</v>
      </c>
      <c r="AA8465" s="3">
        <v>0.15137740969657901</v>
      </c>
      <c r="AB8465" t="s">
        <v>38759</v>
      </c>
      <c r="AC8465" t="s">
        <v>4575</v>
      </c>
      <c r="AD8465" t="s">
        <v>38758</v>
      </c>
      <c r="AE8465" t="s">
        <v>4655</v>
      </c>
      <c r="AF8465" t="s">
        <v>4563</v>
      </c>
      <c r="AG8465" t="s">
        <v>4564</v>
      </c>
      <c r="AH8465">
        <v>89506</v>
      </c>
      <c r="AI8465" t="s">
        <v>38760</v>
      </c>
      <c r="AJ8465" t="s">
        <v>1919</v>
      </c>
      <c r="AK8465" t="s">
        <v>38761</v>
      </c>
      <c r="AL8465" s="13" t="s">
        <v>1901</v>
      </c>
      <c r="AM8465" s="14">
        <v>1</v>
      </c>
      <c r="AN8465" s="15" t="s">
        <v>1633</v>
      </c>
    </row>
    <row r="8466" spans="1:40" x14ac:dyDescent="0.3">
      <c r="A8466" s="10" t="str">
        <f>HYPERLINK("http://www.washoecounty.gov/assessor/cama/?parid=568-082-08&amp;CardNumber=1","568-082-08")</f>
        <v>568-082-08</v>
      </c>
      <c r="B8466" t="s">
        <v>4655</v>
      </c>
      <c r="C8466" t="s">
        <v>38762</v>
      </c>
      <c r="D8466" s="1">
        <v>40291</v>
      </c>
      <c r="E8466" s="2">
        <v>180000</v>
      </c>
      <c r="F8466" t="s">
        <v>4567</v>
      </c>
      <c r="G8466" s="17" t="str">
        <f>HYPERLINK("https://www.washoecounty.gov/assessor/cama/?command=sales&amp;parid=56808208","3873933")</f>
        <v>3873933</v>
      </c>
      <c r="H8466" t="s">
        <v>1918</v>
      </c>
      <c r="I8466">
        <v>2009</v>
      </c>
      <c r="J8466">
        <v>2009</v>
      </c>
      <c r="K8466" t="s">
        <v>4554</v>
      </c>
      <c r="L8466" t="s">
        <v>4555</v>
      </c>
      <c r="M8466" s="2">
        <v>1531</v>
      </c>
      <c r="N8466" t="s">
        <v>4048</v>
      </c>
      <c r="O8466">
        <v>3</v>
      </c>
      <c r="P8466">
        <v>2</v>
      </c>
      <c r="Q8466">
        <v>0</v>
      </c>
      <c r="R8466" t="s">
        <v>5281</v>
      </c>
      <c r="S8466" t="s">
        <v>4898</v>
      </c>
      <c r="T8466" t="s">
        <v>4559</v>
      </c>
      <c r="U8466" t="s">
        <v>4560</v>
      </c>
      <c r="V8466" s="2">
        <v>594</v>
      </c>
      <c r="W8466" t="s">
        <v>4655</v>
      </c>
      <c r="X8466" s="2">
        <v>0</v>
      </c>
      <c r="Y8466">
        <v>20</v>
      </c>
      <c r="Z8466" t="s">
        <v>4351</v>
      </c>
      <c r="AA8466" s="3">
        <v>0.15137740969657901</v>
      </c>
      <c r="AB8466" t="s">
        <v>38763</v>
      </c>
      <c r="AC8466" t="s">
        <v>4562</v>
      </c>
      <c r="AD8466" t="s">
        <v>38762</v>
      </c>
      <c r="AE8466" t="s">
        <v>4655</v>
      </c>
      <c r="AF8466" t="s">
        <v>4563</v>
      </c>
      <c r="AG8466" t="s">
        <v>4564</v>
      </c>
      <c r="AH8466">
        <v>89506</v>
      </c>
      <c r="AI8466" t="s">
        <v>1576</v>
      </c>
      <c r="AJ8466" t="s">
        <v>1919</v>
      </c>
      <c r="AK8466" t="s">
        <v>38764</v>
      </c>
      <c r="AL8466" s="13" t="s">
        <v>1901</v>
      </c>
      <c r="AM8466">
        <v>1</v>
      </c>
      <c r="AN8466" s="15" t="s">
        <v>1633</v>
      </c>
    </row>
    <row r="8467" spans="1:40" x14ac:dyDescent="0.3">
      <c r="A8467" s="10" t="str">
        <f>HYPERLINK("http://www.washoecounty.gov/assessor/cama/?parid=568-082-09&amp;CardNumber=1","568-082-09")</f>
        <v>568-082-09</v>
      </c>
      <c r="B8467" t="s">
        <v>4655</v>
      </c>
      <c r="C8467" t="s">
        <v>38765</v>
      </c>
      <c r="D8467" s="1">
        <v>40268</v>
      </c>
      <c r="E8467" s="2">
        <v>175000</v>
      </c>
      <c r="F8467" t="s">
        <v>4567</v>
      </c>
      <c r="G8467" s="17" t="str">
        <f>HYPERLINK("https://www.washoecounty.gov/assessor/cama/?command=sales&amp;parid=56808209","3866304")</f>
        <v>3866304</v>
      </c>
      <c r="H8467" t="s">
        <v>1918</v>
      </c>
      <c r="I8467">
        <v>2009</v>
      </c>
      <c r="J8467">
        <v>2009</v>
      </c>
      <c r="K8467" t="s">
        <v>4554</v>
      </c>
      <c r="L8467" t="s">
        <v>4555</v>
      </c>
      <c r="M8467" s="2">
        <v>1346</v>
      </c>
      <c r="N8467" t="s">
        <v>4048</v>
      </c>
      <c r="O8467">
        <v>3</v>
      </c>
      <c r="P8467">
        <v>2</v>
      </c>
      <c r="Q8467">
        <v>0</v>
      </c>
      <c r="R8467" t="s">
        <v>5281</v>
      </c>
      <c r="S8467" t="s">
        <v>4898</v>
      </c>
      <c r="T8467" t="s">
        <v>4559</v>
      </c>
      <c r="U8467" t="s">
        <v>4560</v>
      </c>
      <c r="V8467" s="2">
        <v>462</v>
      </c>
      <c r="W8467" t="s">
        <v>4655</v>
      </c>
      <c r="X8467" s="2">
        <v>0</v>
      </c>
      <c r="Y8467">
        <v>20</v>
      </c>
      <c r="Z8467" t="s">
        <v>4351</v>
      </c>
      <c r="AA8467" s="3">
        <v>0.15137740969657901</v>
      </c>
      <c r="AB8467" t="s">
        <v>38766</v>
      </c>
      <c r="AC8467" t="s">
        <v>4562</v>
      </c>
      <c r="AD8467" t="s">
        <v>38767</v>
      </c>
      <c r="AE8467" t="s">
        <v>4655</v>
      </c>
      <c r="AF8467" t="s">
        <v>4563</v>
      </c>
      <c r="AG8467" t="s">
        <v>4564</v>
      </c>
      <c r="AH8467">
        <v>89506</v>
      </c>
      <c r="AI8467" t="s">
        <v>1576</v>
      </c>
      <c r="AJ8467" t="s">
        <v>1919</v>
      </c>
      <c r="AK8467" t="s">
        <v>38768</v>
      </c>
      <c r="AL8467" s="13" t="s">
        <v>1901</v>
      </c>
      <c r="AM8467" s="14">
        <v>1</v>
      </c>
      <c r="AN8467" s="15" t="s">
        <v>1633</v>
      </c>
    </row>
    <row r="8468" spans="1:40" x14ac:dyDescent="0.3">
      <c r="A8468" s="10" t="str">
        <f>HYPERLINK("http://www.washoecounty.gov/assessor/cama/?parid=568-082-10&amp;CardNumber=1","568-082-10")</f>
        <v>568-082-10</v>
      </c>
      <c r="B8468" t="s">
        <v>4655</v>
      </c>
      <c r="C8468" t="s">
        <v>38769</v>
      </c>
      <c r="D8468" s="1">
        <v>40267</v>
      </c>
      <c r="E8468" s="2">
        <v>190000</v>
      </c>
      <c r="F8468" t="s">
        <v>4567</v>
      </c>
      <c r="G8468" s="17" t="str">
        <f>HYPERLINK("https://www.washoecounty.gov/assessor/cama/?command=sales&amp;parid=56808210","3865576")</f>
        <v>3865576</v>
      </c>
      <c r="H8468" t="s">
        <v>1918</v>
      </c>
      <c r="I8468">
        <v>2009</v>
      </c>
      <c r="J8468">
        <v>2009</v>
      </c>
      <c r="K8468" t="s">
        <v>4554</v>
      </c>
      <c r="L8468" t="s">
        <v>4555</v>
      </c>
      <c r="M8468" s="2">
        <v>1531</v>
      </c>
      <c r="N8468" t="s">
        <v>4048</v>
      </c>
      <c r="O8468">
        <v>3</v>
      </c>
      <c r="P8468">
        <v>2</v>
      </c>
      <c r="Q8468">
        <v>0</v>
      </c>
      <c r="R8468" t="s">
        <v>5281</v>
      </c>
      <c r="S8468" t="s">
        <v>4898</v>
      </c>
      <c r="T8468" t="s">
        <v>4559</v>
      </c>
      <c r="U8468" t="s">
        <v>4560</v>
      </c>
      <c r="V8468" s="2">
        <v>594</v>
      </c>
      <c r="W8468" t="s">
        <v>4655</v>
      </c>
      <c r="X8468" s="2">
        <v>0</v>
      </c>
      <c r="Y8468">
        <v>20</v>
      </c>
      <c r="Z8468" t="s">
        <v>4351</v>
      </c>
      <c r="AA8468" s="3">
        <v>0.15137740969657901</v>
      </c>
      <c r="AB8468" t="s">
        <v>38770</v>
      </c>
      <c r="AC8468" t="s">
        <v>4562</v>
      </c>
      <c r="AD8468" t="s">
        <v>38769</v>
      </c>
      <c r="AE8468" t="s">
        <v>4655</v>
      </c>
      <c r="AF8468" t="s">
        <v>4563</v>
      </c>
      <c r="AG8468" t="s">
        <v>4564</v>
      </c>
      <c r="AH8468">
        <v>89506</v>
      </c>
      <c r="AI8468" t="s">
        <v>1576</v>
      </c>
      <c r="AJ8468" t="s">
        <v>1919</v>
      </c>
      <c r="AK8468" t="s">
        <v>38771</v>
      </c>
      <c r="AL8468" s="13" t="s">
        <v>1901</v>
      </c>
      <c r="AM8468" s="14">
        <v>1</v>
      </c>
      <c r="AN8468" s="15" t="s">
        <v>1633</v>
      </c>
    </row>
    <row r="8469" spans="1:40" x14ac:dyDescent="0.3">
      <c r="A8469" s="10" t="str">
        <f>HYPERLINK("http://www.washoecounty.gov/assessor/cama/?parid=568-082-11&amp;CardNumber=1","568-082-11")</f>
        <v>568-082-11</v>
      </c>
      <c r="B8469" t="s">
        <v>4655</v>
      </c>
      <c r="C8469" t="s">
        <v>38772</v>
      </c>
      <c r="D8469" s="1">
        <v>40277</v>
      </c>
      <c r="E8469" s="2">
        <v>174000</v>
      </c>
      <c r="F8469" t="s">
        <v>4567</v>
      </c>
      <c r="G8469" s="17" t="str">
        <f>HYPERLINK("https://www.washoecounty.gov/assessor/cama/?command=sales&amp;parid=56808211","3869370")</f>
        <v>3869370</v>
      </c>
      <c r="H8469" t="s">
        <v>1918</v>
      </c>
      <c r="I8469">
        <v>2009</v>
      </c>
      <c r="J8469">
        <v>2009</v>
      </c>
      <c r="K8469" t="s">
        <v>4554</v>
      </c>
      <c r="L8469" t="s">
        <v>4555</v>
      </c>
      <c r="M8469" s="2">
        <v>1346</v>
      </c>
      <c r="N8469" t="s">
        <v>4048</v>
      </c>
      <c r="O8469">
        <v>3</v>
      </c>
      <c r="P8469">
        <v>2</v>
      </c>
      <c r="Q8469">
        <v>0</v>
      </c>
      <c r="R8469" t="s">
        <v>5281</v>
      </c>
      <c r="S8469" t="s">
        <v>4898</v>
      </c>
      <c r="T8469" t="s">
        <v>4559</v>
      </c>
      <c r="U8469" t="s">
        <v>4560</v>
      </c>
      <c r="V8469" s="2">
        <v>462</v>
      </c>
      <c r="W8469" t="s">
        <v>4655</v>
      </c>
      <c r="X8469" s="2">
        <v>0</v>
      </c>
      <c r="Y8469">
        <v>20</v>
      </c>
      <c r="Z8469" t="s">
        <v>4351</v>
      </c>
      <c r="AA8469" s="3">
        <v>0.15151515603065499</v>
      </c>
      <c r="AB8469" t="s">
        <v>38773</v>
      </c>
      <c r="AC8469" t="s">
        <v>4562</v>
      </c>
      <c r="AD8469" t="s">
        <v>38772</v>
      </c>
      <c r="AE8469" t="s">
        <v>4655</v>
      </c>
      <c r="AF8469" t="s">
        <v>4563</v>
      </c>
      <c r="AG8469" t="s">
        <v>4564</v>
      </c>
      <c r="AH8469">
        <v>89506</v>
      </c>
      <c r="AI8469" t="s">
        <v>1576</v>
      </c>
      <c r="AJ8469" t="s">
        <v>1919</v>
      </c>
      <c r="AK8469" t="s">
        <v>38774</v>
      </c>
      <c r="AL8469" s="13" t="s">
        <v>1901</v>
      </c>
      <c r="AM8469">
        <v>1</v>
      </c>
      <c r="AN8469" s="15" t="s">
        <v>1633</v>
      </c>
    </row>
    <row r="8470" spans="1:40" x14ac:dyDescent="0.3">
      <c r="A8470" s="10" t="str">
        <f>HYPERLINK("http://www.washoecounty.gov/assessor/cama/?parid=568-091-02&amp;CardNumber=1","568-091-02")</f>
        <v>568-091-02</v>
      </c>
      <c r="B8470" t="s">
        <v>4655</v>
      </c>
      <c r="C8470" t="s">
        <v>38775</v>
      </c>
      <c r="D8470" s="1">
        <v>40374</v>
      </c>
      <c r="E8470" s="2">
        <v>146450</v>
      </c>
      <c r="F8470" t="s">
        <v>4567</v>
      </c>
      <c r="G8470" s="17" t="str">
        <f>HYPERLINK("https://www.washoecounty.gov/assessor/cama/?command=sales&amp;parid=56809102","3901599")</f>
        <v>3901599</v>
      </c>
      <c r="H8470" t="s">
        <v>1918</v>
      </c>
      <c r="I8470">
        <v>2007</v>
      </c>
      <c r="J8470">
        <v>2007</v>
      </c>
      <c r="K8470" t="s">
        <v>4554</v>
      </c>
      <c r="L8470" t="s">
        <v>4555</v>
      </c>
      <c r="M8470" s="2">
        <v>1675</v>
      </c>
      <c r="N8470" t="s">
        <v>4048</v>
      </c>
      <c r="O8470">
        <v>3</v>
      </c>
      <c r="P8470">
        <v>2</v>
      </c>
      <c r="Q8470">
        <v>0</v>
      </c>
      <c r="R8470" t="s">
        <v>5281</v>
      </c>
      <c r="S8470" t="s">
        <v>4558</v>
      </c>
      <c r="T8470" t="s">
        <v>4559</v>
      </c>
      <c r="U8470" t="s">
        <v>4560</v>
      </c>
      <c r="V8470" s="2">
        <v>404</v>
      </c>
      <c r="W8470" t="s">
        <v>4655</v>
      </c>
      <c r="X8470" s="2">
        <v>0</v>
      </c>
      <c r="Y8470">
        <v>20</v>
      </c>
      <c r="Z8470" t="s">
        <v>4351</v>
      </c>
      <c r="AA8470" s="3">
        <v>0.17800734937191001</v>
      </c>
      <c r="AB8470" t="s">
        <v>38776</v>
      </c>
      <c r="AC8470" t="s">
        <v>4562</v>
      </c>
      <c r="AD8470" t="s">
        <v>38775</v>
      </c>
      <c r="AE8470" t="s">
        <v>4655</v>
      </c>
      <c r="AF8470" t="s">
        <v>4563</v>
      </c>
      <c r="AG8470" t="s">
        <v>4564</v>
      </c>
      <c r="AH8470">
        <v>89506</v>
      </c>
      <c r="AI8470" t="s">
        <v>38777</v>
      </c>
      <c r="AJ8470" t="s">
        <v>1919</v>
      </c>
      <c r="AK8470" t="s">
        <v>38778</v>
      </c>
      <c r="AL8470" s="13" t="s">
        <v>1901</v>
      </c>
      <c r="AM8470">
        <v>1</v>
      </c>
      <c r="AN8470" s="15" t="s">
        <v>1633</v>
      </c>
    </row>
    <row r="8471" spans="1:40" x14ac:dyDescent="0.3">
      <c r="A8471" s="10" t="str">
        <f>HYPERLINK("http://www.washoecounty.gov/assessor/cama/?parid=568-092-03&amp;CardNumber=1","568-092-03")</f>
        <v>568-092-03</v>
      </c>
      <c r="B8471" t="s">
        <v>4655</v>
      </c>
      <c r="C8471" t="s">
        <v>38779</v>
      </c>
      <c r="D8471" s="1">
        <v>40310</v>
      </c>
      <c r="E8471" s="2">
        <v>150000</v>
      </c>
      <c r="F8471" t="s">
        <v>4553</v>
      </c>
      <c r="G8471" s="17" t="str">
        <f>HYPERLINK("https://www.washoecounty.gov/assessor/cama/?command=sales&amp;parid=56809203","3880946")</f>
        <v>3880946</v>
      </c>
      <c r="H8471" t="s">
        <v>1918</v>
      </c>
      <c r="I8471">
        <v>2007</v>
      </c>
      <c r="J8471">
        <v>2007</v>
      </c>
      <c r="K8471" t="s">
        <v>4554</v>
      </c>
      <c r="L8471" t="s">
        <v>3974</v>
      </c>
      <c r="M8471" s="2">
        <v>2381</v>
      </c>
      <c r="N8471" t="s">
        <v>4048</v>
      </c>
      <c r="O8471">
        <v>4</v>
      </c>
      <c r="P8471">
        <v>3</v>
      </c>
      <c r="Q8471">
        <v>0</v>
      </c>
      <c r="R8471" t="s">
        <v>5281</v>
      </c>
      <c r="S8471" t="s">
        <v>4558</v>
      </c>
      <c r="T8471" t="s">
        <v>4559</v>
      </c>
      <c r="U8471" t="s">
        <v>5631</v>
      </c>
      <c r="V8471" s="2">
        <v>396</v>
      </c>
      <c r="W8471" t="s">
        <v>4655</v>
      </c>
      <c r="X8471" s="2">
        <v>0</v>
      </c>
      <c r="Y8471">
        <v>20</v>
      </c>
      <c r="Z8471" t="s">
        <v>4351</v>
      </c>
      <c r="AA8471" s="3">
        <v>0.15596878528594971</v>
      </c>
      <c r="AB8471" t="s">
        <v>38780</v>
      </c>
      <c r="AC8471" t="s">
        <v>4562</v>
      </c>
      <c r="AD8471" t="s">
        <v>38781</v>
      </c>
      <c r="AE8471" t="s">
        <v>4655</v>
      </c>
      <c r="AF8471" t="s">
        <v>4563</v>
      </c>
      <c r="AG8471" t="s">
        <v>4564</v>
      </c>
      <c r="AH8471">
        <v>89506</v>
      </c>
      <c r="AI8471" t="s">
        <v>4655</v>
      </c>
      <c r="AJ8471" t="s">
        <v>1919</v>
      </c>
      <c r="AK8471" t="s">
        <v>38782</v>
      </c>
      <c r="AL8471" s="13" t="s">
        <v>1901</v>
      </c>
      <c r="AM8471">
        <v>1</v>
      </c>
      <c r="AN8471" s="15" t="s">
        <v>1633</v>
      </c>
    </row>
    <row r="8472" spans="1:40" x14ac:dyDescent="0.3">
      <c r="A8472" s="10" t="str">
        <f>HYPERLINK("http://www.washoecounty.gov/assessor/cama/?parid=568-092-06&amp;CardNumber=1","568-092-06")</f>
        <v>568-092-06</v>
      </c>
      <c r="B8472" t="s">
        <v>4655</v>
      </c>
      <c r="C8472" t="s">
        <v>38783</v>
      </c>
      <c r="D8472" s="1">
        <v>40421</v>
      </c>
      <c r="E8472" s="2">
        <v>131250</v>
      </c>
      <c r="F8472" t="s">
        <v>4553</v>
      </c>
      <c r="G8472" s="17" t="str">
        <f>HYPERLINK("https://www.washoecounty.gov/assessor/cama/?command=sales&amp;parid=56809206","3917554")</f>
        <v>3917554</v>
      </c>
      <c r="H8472" t="s">
        <v>1918</v>
      </c>
      <c r="I8472">
        <v>2007</v>
      </c>
      <c r="J8472">
        <v>2007</v>
      </c>
      <c r="K8472" t="s">
        <v>4554</v>
      </c>
      <c r="L8472" t="s">
        <v>4555</v>
      </c>
      <c r="M8472" s="2">
        <v>1413</v>
      </c>
      <c r="N8472" t="s">
        <v>4048</v>
      </c>
      <c r="O8472">
        <v>3</v>
      </c>
      <c r="P8472">
        <v>2</v>
      </c>
      <c r="Q8472">
        <v>0</v>
      </c>
      <c r="R8472" t="s">
        <v>5281</v>
      </c>
      <c r="S8472" t="s">
        <v>4558</v>
      </c>
      <c r="T8472" t="s">
        <v>4559</v>
      </c>
      <c r="U8472" t="s">
        <v>4560</v>
      </c>
      <c r="V8472" s="2">
        <v>435</v>
      </c>
      <c r="W8472" t="s">
        <v>4655</v>
      </c>
      <c r="X8472" s="2">
        <v>0</v>
      </c>
      <c r="Y8472">
        <v>20</v>
      </c>
      <c r="Z8472" t="s">
        <v>4351</v>
      </c>
      <c r="AA8472" s="3">
        <v>0.15596878528594971</v>
      </c>
      <c r="AB8472" t="s">
        <v>38784</v>
      </c>
      <c r="AC8472" t="s">
        <v>4562</v>
      </c>
      <c r="AD8472" t="s">
        <v>38783</v>
      </c>
      <c r="AE8472" t="s">
        <v>4655</v>
      </c>
      <c r="AF8472" t="s">
        <v>4563</v>
      </c>
      <c r="AG8472" t="s">
        <v>4564</v>
      </c>
      <c r="AH8472">
        <v>89506</v>
      </c>
      <c r="AI8472" t="s">
        <v>4903</v>
      </c>
      <c r="AJ8472" t="s">
        <v>1919</v>
      </c>
      <c r="AK8472" t="s">
        <v>38785</v>
      </c>
      <c r="AL8472" s="13" t="s">
        <v>1901</v>
      </c>
      <c r="AM8472">
        <v>1</v>
      </c>
      <c r="AN8472" s="15" t="s">
        <v>1633</v>
      </c>
    </row>
    <row r="8473" spans="1:40" x14ac:dyDescent="0.3">
      <c r="A8473" s="10" t="str">
        <f>HYPERLINK("http://www.washoecounty.gov/assessor/cama/?parid=568-092-09&amp;CardNumber=1","568-092-09")</f>
        <v>568-092-09</v>
      </c>
      <c r="B8473" t="s">
        <v>4655</v>
      </c>
      <c r="C8473" t="s">
        <v>38786</v>
      </c>
      <c r="D8473" s="1">
        <v>40526</v>
      </c>
      <c r="E8473" s="2">
        <v>130000</v>
      </c>
      <c r="F8473" t="s">
        <v>4567</v>
      </c>
      <c r="G8473" s="17" t="str">
        <f>HYPERLINK("https://www.washoecounty.gov/assessor/cama/?command=sales&amp;parid=56809209","3953169")</f>
        <v>3953169</v>
      </c>
      <c r="H8473" t="s">
        <v>1918</v>
      </c>
      <c r="I8473">
        <v>2007</v>
      </c>
      <c r="J8473">
        <v>2007</v>
      </c>
      <c r="K8473" t="s">
        <v>4554</v>
      </c>
      <c r="L8473" t="s">
        <v>4555</v>
      </c>
      <c r="M8473" s="2">
        <v>1413</v>
      </c>
      <c r="N8473" t="s">
        <v>4048</v>
      </c>
      <c r="O8473">
        <v>3</v>
      </c>
      <c r="P8473">
        <v>2</v>
      </c>
      <c r="Q8473">
        <v>0</v>
      </c>
      <c r="R8473" t="s">
        <v>5281</v>
      </c>
      <c r="S8473" t="s">
        <v>4558</v>
      </c>
      <c r="T8473" t="s">
        <v>4559</v>
      </c>
      <c r="U8473" t="s">
        <v>4560</v>
      </c>
      <c r="V8473" s="2">
        <v>435</v>
      </c>
      <c r="W8473" t="s">
        <v>4655</v>
      </c>
      <c r="X8473" s="2">
        <v>0</v>
      </c>
      <c r="Y8473">
        <v>20</v>
      </c>
      <c r="Z8473" t="s">
        <v>4351</v>
      </c>
      <c r="AA8473" s="3">
        <v>0.15596878528594971</v>
      </c>
      <c r="AB8473" t="s">
        <v>38787</v>
      </c>
      <c r="AC8473" t="s">
        <v>4562</v>
      </c>
      <c r="AD8473" t="s">
        <v>38786</v>
      </c>
      <c r="AE8473" t="s">
        <v>4655</v>
      </c>
      <c r="AF8473" t="s">
        <v>4563</v>
      </c>
      <c r="AG8473" t="s">
        <v>4564</v>
      </c>
      <c r="AH8473">
        <v>89506</v>
      </c>
      <c r="AI8473" t="s">
        <v>38788</v>
      </c>
      <c r="AJ8473" t="s">
        <v>1919</v>
      </c>
      <c r="AK8473" t="s">
        <v>38789</v>
      </c>
      <c r="AL8473" s="13" t="s">
        <v>1901</v>
      </c>
      <c r="AM8473">
        <v>1</v>
      </c>
      <c r="AN8473" s="15" t="s">
        <v>1633</v>
      </c>
    </row>
    <row r="8474" spans="1:40" x14ac:dyDescent="0.3">
      <c r="A8474" s="10" t="str">
        <f>HYPERLINK("http://www.washoecounty.gov/assessor/cama/?parid=570-021-10&amp;CardNumber=1","570-021-10")</f>
        <v>570-021-10</v>
      </c>
      <c r="B8474" t="s">
        <v>4655</v>
      </c>
      <c r="C8474" t="s">
        <v>38790</v>
      </c>
      <c r="D8474" s="1">
        <v>40297</v>
      </c>
      <c r="E8474" s="2">
        <v>189900</v>
      </c>
      <c r="F8474" t="s">
        <v>4553</v>
      </c>
      <c r="G8474" s="17" t="str">
        <f>HYPERLINK("https://www.washoecounty.gov/assessor/cama/?command=sales&amp;parid=57002110","3876131")</f>
        <v>3876131</v>
      </c>
      <c r="H8474" t="s">
        <v>4711</v>
      </c>
      <c r="I8474">
        <v>2000</v>
      </c>
      <c r="J8474">
        <v>2000</v>
      </c>
      <c r="K8474" t="s">
        <v>4554</v>
      </c>
      <c r="L8474" t="s">
        <v>3974</v>
      </c>
      <c r="M8474" s="2">
        <v>2122</v>
      </c>
      <c r="N8474" t="s">
        <v>4048</v>
      </c>
      <c r="O8474">
        <v>4</v>
      </c>
      <c r="P8474">
        <v>2</v>
      </c>
      <c r="Q8474">
        <v>1</v>
      </c>
      <c r="R8474" t="s">
        <v>4557</v>
      </c>
      <c r="S8474" t="s">
        <v>4558</v>
      </c>
      <c r="T8474" t="s">
        <v>4559</v>
      </c>
      <c r="U8474" t="s">
        <v>4560</v>
      </c>
      <c r="V8474" s="2">
        <v>588</v>
      </c>
      <c r="W8474" t="s">
        <v>4655</v>
      </c>
      <c r="X8474" s="2">
        <v>0</v>
      </c>
      <c r="Y8474">
        <v>20</v>
      </c>
      <c r="Z8474" t="s">
        <v>4561</v>
      </c>
      <c r="AA8474" s="3">
        <v>0.21400366723537401</v>
      </c>
      <c r="AB8474" t="s">
        <v>38791</v>
      </c>
      <c r="AC8474" t="s">
        <v>4562</v>
      </c>
      <c r="AD8474" t="s">
        <v>38792</v>
      </c>
      <c r="AE8474" t="s">
        <v>4655</v>
      </c>
      <c r="AF8474" t="s">
        <v>4563</v>
      </c>
      <c r="AG8474" t="s">
        <v>4564</v>
      </c>
      <c r="AH8474">
        <v>89506</v>
      </c>
      <c r="AI8474" t="s">
        <v>38793</v>
      </c>
      <c r="AJ8474" t="s">
        <v>4712</v>
      </c>
      <c r="AK8474" t="s">
        <v>38794</v>
      </c>
      <c r="AL8474" s="13" t="s">
        <v>1901</v>
      </c>
      <c r="AM8474">
        <v>1</v>
      </c>
      <c r="AN8474" s="15" t="s">
        <v>3323</v>
      </c>
    </row>
    <row r="8475" spans="1:40" x14ac:dyDescent="0.3">
      <c r="A8475" s="10" t="str">
        <f>HYPERLINK("http://www.washoecounty.gov/assessor/cama/?parid=570-022-24&amp;CardNumber=1","570-022-24")</f>
        <v>570-022-24</v>
      </c>
      <c r="B8475" t="s">
        <v>4655</v>
      </c>
      <c r="C8475" t="s">
        <v>38795</v>
      </c>
      <c r="D8475" s="1">
        <v>40532</v>
      </c>
      <c r="E8475" s="2">
        <v>189900</v>
      </c>
      <c r="F8475" t="s">
        <v>4553</v>
      </c>
      <c r="G8475" s="17" t="str">
        <f>HYPERLINK("https://www.washoecounty.gov/assessor/cama/?command=sales&amp;parid=57002224","3955183")</f>
        <v>3955183</v>
      </c>
      <c r="H8475" t="s">
        <v>4711</v>
      </c>
      <c r="I8475">
        <v>2000</v>
      </c>
      <c r="J8475">
        <v>2000</v>
      </c>
      <c r="K8475" t="s">
        <v>4554</v>
      </c>
      <c r="L8475" t="s">
        <v>3974</v>
      </c>
      <c r="M8475" s="2">
        <v>2122</v>
      </c>
      <c r="N8475" t="s">
        <v>4048</v>
      </c>
      <c r="O8475">
        <v>4</v>
      </c>
      <c r="P8475">
        <v>2</v>
      </c>
      <c r="Q8475">
        <v>1</v>
      </c>
      <c r="R8475" t="s">
        <v>4557</v>
      </c>
      <c r="S8475" t="s">
        <v>4558</v>
      </c>
      <c r="T8475" t="s">
        <v>4559</v>
      </c>
      <c r="U8475" t="s">
        <v>4560</v>
      </c>
      <c r="V8475" s="2">
        <v>852</v>
      </c>
      <c r="W8475" t="s">
        <v>4655</v>
      </c>
      <c r="X8475" s="2">
        <v>0</v>
      </c>
      <c r="Y8475">
        <v>20</v>
      </c>
      <c r="Z8475" t="s">
        <v>4561</v>
      </c>
      <c r="AA8475" s="3">
        <v>0.233999088406563</v>
      </c>
      <c r="AB8475" t="s">
        <v>38796</v>
      </c>
      <c r="AC8475" t="s">
        <v>4562</v>
      </c>
      <c r="AD8475" t="s">
        <v>38797</v>
      </c>
      <c r="AE8475" t="s">
        <v>4655</v>
      </c>
      <c r="AF8475" t="s">
        <v>4563</v>
      </c>
      <c r="AG8475" t="s">
        <v>4564</v>
      </c>
      <c r="AH8475">
        <v>89506</v>
      </c>
      <c r="AI8475" t="s">
        <v>4903</v>
      </c>
      <c r="AJ8475" t="s">
        <v>4712</v>
      </c>
      <c r="AK8475" t="s">
        <v>38798</v>
      </c>
      <c r="AL8475" s="13" t="s">
        <v>1901</v>
      </c>
      <c r="AM8475">
        <v>1</v>
      </c>
      <c r="AN8475" s="15" t="s">
        <v>3323</v>
      </c>
    </row>
    <row r="8476" spans="1:40" x14ac:dyDescent="0.3">
      <c r="A8476" s="10" t="str">
        <f>HYPERLINK("http://www.washoecounty.gov/assessor/cama/?parid=570-022-33&amp;CardNumber=1","570-022-33")</f>
        <v>570-022-33</v>
      </c>
      <c r="B8476" t="s">
        <v>4655</v>
      </c>
      <c r="C8476" t="s">
        <v>38799</v>
      </c>
      <c r="D8476" s="1">
        <v>40541</v>
      </c>
      <c r="E8476" s="2">
        <v>120900</v>
      </c>
      <c r="F8476" t="s">
        <v>4553</v>
      </c>
      <c r="G8476" s="17" t="str">
        <f>HYPERLINK("https://www.washoecounty.gov/assessor/cama/?command=sales&amp;parid=57002233","3958708")</f>
        <v>3958708</v>
      </c>
      <c r="H8476" t="s">
        <v>4711</v>
      </c>
      <c r="I8476">
        <v>2000</v>
      </c>
      <c r="J8476">
        <v>2000</v>
      </c>
      <c r="K8476" t="s">
        <v>4554</v>
      </c>
      <c r="L8476" t="s">
        <v>4555</v>
      </c>
      <c r="M8476" s="2">
        <v>1468</v>
      </c>
      <c r="N8476" t="s">
        <v>4048</v>
      </c>
      <c r="O8476">
        <v>3</v>
      </c>
      <c r="P8476">
        <v>2</v>
      </c>
      <c r="Q8476">
        <v>0</v>
      </c>
      <c r="R8476" t="s">
        <v>4557</v>
      </c>
      <c r="S8476" t="s">
        <v>4558</v>
      </c>
      <c r="T8476" t="s">
        <v>4559</v>
      </c>
      <c r="U8476" t="s">
        <v>4560</v>
      </c>
      <c r="V8476" s="2">
        <v>480</v>
      </c>
      <c r="W8476" t="s">
        <v>4655</v>
      </c>
      <c r="X8476" s="2">
        <v>0</v>
      </c>
      <c r="Y8476">
        <v>20</v>
      </c>
      <c r="Z8476" t="s">
        <v>4561</v>
      </c>
      <c r="AA8476" s="3">
        <v>0.23099173605442</v>
      </c>
      <c r="AB8476" t="s">
        <v>38800</v>
      </c>
      <c r="AC8476" t="s">
        <v>4562</v>
      </c>
      <c r="AD8476" t="s">
        <v>38799</v>
      </c>
      <c r="AE8476" t="s">
        <v>4655</v>
      </c>
      <c r="AF8476" t="s">
        <v>4563</v>
      </c>
      <c r="AG8476" t="s">
        <v>4564</v>
      </c>
      <c r="AH8476" t="s">
        <v>1147</v>
      </c>
      <c r="AI8476" t="s">
        <v>2399</v>
      </c>
      <c r="AJ8476" t="s">
        <v>4712</v>
      </c>
      <c r="AK8476" t="s">
        <v>38801</v>
      </c>
      <c r="AL8476" s="13" t="s">
        <v>1901</v>
      </c>
      <c r="AM8476">
        <v>1</v>
      </c>
      <c r="AN8476" s="15" t="s">
        <v>3323</v>
      </c>
    </row>
    <row r="8477" spans="1:40" x14ac:dyDescent="0.3">
      <c r="A8477" s="10" t="str">
        <f>HYPERLINK("http://www.washoecounty.gov/assessor/cama/?parid=570-031-01&amp;CardNumber=1","570-031-01")</f>
        <v>570-031-01</v>
      </c>
      <c r="B8477" t="s">
        <v>4655</v>
      </c>
      <c r="C8477" t="s">
        <v>38802</v>
      </c>
      <c r="D8477" s="1">
        <v>40262</v>
      </c>
      <c r="E8477" s="2">
        <v>153000</v>
      </c>
      <c r="F8477" t="s">
        <v>4553</v>
      </c>
      <c r="G8477" s="17" t="str">
        <f>HYPERLINK("https://www.washoecounty.gov/assessor/cama/?command=sales&amp;parid=57003101","3863977")</f>
        <v>3863977</v>
      </c>
      <c r="H8477" t="s">
        <v>3665</v>
      </c>
      <c r="I8477">
        <v>1999</v>
      </c>
      <c r="J8477">
        <v>1999</v>
      </c>
      <c r="K8477" t="s">
        <v>4554</v>
      </c>
      <c r="L8477" t="s">
        <v>4555</v>
      </c>
      <c r="M8477" s="2">
        <v>1468</v>
      </c>
      <c r="N8477" t="s">
        <v>4048</v>
      </c>
      <c r="O8477">
        <v>3</v>
      </c>
      <c r="P8477">
        <v>2</v>
      </c>
      <c r="Q8477">
        <v>0</v>
      </c>
      <c r="R8477" t="s">
        <v>4557</v>
      </c>
      <c r="S8477" t="s">
        <v>4558</v>
      </c>
      <c r="T8477" t="s">
        <v>4559</v>
      </c>
      <c r="U8477" t="s">
        <v>4560</v>
      </c>
      <c r="V8477" s="2">
        <v>585</v>
      </c>
      <c r="W8477" t="s">
        <v>4655</v>
      </c>
      <c r="X8477" s="2">
        <v>0</v>
      </c>
      <c r="Y8477">
        <v>20</v>
      </c>
      <c r="Z8477" t="s">
        <v>4561</v>
      </c>
      <c r="AA8477" s="3">
        <v>0.19800275564193701</v>
      </c>
      <c r="AB8477" t="s">
        <v>38803</v>
      </c>
      <c r="AC8477" t="s">
        <v>4562</v>
      </c>
      <c r="AD8477" t="s">
        <v>38802</v>
      </c>
      <c r="AE8477" t="s">
        <v>4655</v>
      </c>
      <c r="AF8477" t="s">
        <v>4563</v>
      </c>
      <c r="AG8477" t="s">
        <v>4564</v>
      </c>
      <c r="AH8477">
        <v>89506</v>
      </c>
      <c r="AI8477" t="s">
        <v>4903</v>
      </c>
      <c r="AJ8477" t="s">
        <v>3666</v>
      </c>
      <c r="AK8477" t="s">
        <v>38804</v>
      </c>
      <c r="AL8477" s="13" t="s">
        <v>1901</v>
      </c>
      <c r="AM8477" s="14">
        <v>1</v>
      </c>
      <c r="AN8477" s="15" t="s">
        <v>3323</v>
      </c>
    </row>
    <row r="8478" spans="1:40" x14ac:dyDescent="0.3">
      <c r="A8478" s="10" t="str">
        <f>HYPERLINK("http://www.washoecounty.gov/assessor/cama/?parid=570-041-06&amp;CardNumber=1","570-041-06")</f>
        <v>570-041-06</v>
      </c>
      <c r="B8478" t="s">
        <v>4655</v>
      </c>
      <c r="C8478" t="s">
        <v>38805</v>
      </c>
      <c r="D8478" s="1">
        <v>40415</v>
      </c>
      <c r="E8478" s="2">
        <v>110000</v>
      </c>
      <c r="F8478" t="s">
        <v>4567</v>
      </c>
      <c r="G8478" s="17" t="str">
        <f>HYPERLINK("https://www.washoecounty.gov/assessor/cama/?command=sales&amp;parid=57004106","3915632")</f>
        <v>3915632</v>
      </c>
      <c r="H8478" t="s">
        <v>3665</v>
      </c>
      <c r="I8478">
        <v>1998</v>
      </c>
      <c r="J8478">
        <v>1998</v>
      </c>
      <c r="K8478" t="s">
        <v>4554</v>
      </c>
      <c r="L8478" t="s">
        <v>4555</v>
      </c>
      <c r="M8478" s="2">
        <v>1215</v>
      </c>
      <c r="N8478" t="s">
        <v>4048</v>
      </c>
      <c r="O8478">
        <v>3</v>
      </c>
      <c r="P8478">
        <v>2</v>
      </c>
      <c r="Q8478">
        <v>0</v>
      </c>
      <c r="R8478" t="s">
        <v>5281</v>
      </c>
      <c r="S8478" t="s">
        <v>4558</v>
      </c>
      <c r="T8478" t="s">
        <v>4559</v>
      </c>
      <c r="U8478" t="s">
        <v>4560</v>
      </c>
      <c r="V8478" s="2">
        <v>480</v>
      </c>
      <c r="W8478" t="s">
        <v>4655</v>
      </c>
      <c r="X8478" s="2">
        <v>0</v>
      </c>
      <c r="Y8478">
        <v>20</v>
      </c>
      <c r="Z8478" t="s">
        <v>4561</v>
      </c>
      <c r="AA8478" s="3">
        <v>0.22699724137783051</v>
      </c>
      <c r="AB8478" t="s">
        <v>38806</v>
      </c>
      <c r="AC8478" t="s">
        <v>4575</v>
      </c>
      <c r="AD8478" t="s">
        <v>38805</v>
      </c>
      <c r="AE8478" t="s">
        <v>4655</v>
      </c>
      <c r="AF8478" t="s">
        <v>4563</v>
      </c>
      <c r="AG8478" t="s">
        <v>4564</v>
      </c>
      <c r="AH8478">
        <v>89506</v>
      </c>
      <c r="AI8478" t="s">
        <v>38807</v>
      </c>
      <c r="AJ8478" t="s">
        <v>3666</v>
      </c>
      <c r="AK8478" t="s">
        <v>38808</v>
      </c>
      <c r="AL8478" s="13" t="s">
        <v>1901</v>
      </c>
      <c r="AM8478">
        <v>1</v>
      </c>
      <c r="AN8478" s="15" t="s">
        <v>3323</v>
      </c>
    </row>
    <row r="8479" spans="1:40" x14ac:dyDescent="0.3">
      <c r="A8479" s="10" t="str">
        <f>HYPERLINK("http://www.washoecounty.gov/assessor/cama/?parid=570-061-08&amp;CardNumber=1","570-061-08")</f>
        <v>570-061-08</v>
      </c>
      <c r="B8479" t="s">
        <v>4655</v>
      </c>
      <c r="C8479" t="s">
        <v>38809</v>
      </c>
      <c r="D8479" s="1">
        <v>40465</v>
      </c>
      <c r="E8479" s="2">
        <v>105000</v>
      </c>
      <c r="F8479" t="s">
        <v>4567</v>
      </c>
      <c r="G8479" s="17" t="str">
        <f>HYPERLINK("https://www.washoecounty.gov/assessor/cama/?command=sales&amp;parid=57006108","3933131")</f>
        <v>3933131</v>
      </c>
      <c r="H8479" t="s">
        <v>3321</v>
      </c>
      <c r="I8479">
        <v>1999</v>
      </c>
      <c r="J8479">
        <v>1999</v>
      </c>
      <c r="K8479" t="s">
        <v>4554</v>
      </c>
      <c r="L8479" t="s">
        <v>4555</v>
      </c>
      <c r="M8479" s="2">
        <v>1215</v>
      </c>
      <c r="N8479" t="s">
        <v>4048</v>
      </c>
      <c r="O8479">
        <v>3</v>
      </c>
      <c r="P8479">
        <v>2</v>
      </c>
      <c r="Q8479">
        <v>0</v>
      </c>
      <c r="R8479" t="s">
        <v>4557</v>
      </c>
      <c r="S8479" t="s">
        <v>4558</v>
      </c>
      <c r="T8479" t="s">
        <v>4559</v>
      </c>
      <c r="U8479" t="s">
        <v>4560</v>
      </c>
      <c r="V8479" s="2">
        <v>480</v>
      </c>
      <c r="W8479" t="s">
        <v>4655</v>
      </c>
      <c r="X8479" s="2">
        <v>0</v>
      </c>
      <c r="Y8479">
        <v>20</v>
      </c>
      <c r="Z8479" t="s">
        <v>4561</v>
      </c>
      <c r="AA8479" s="3">
        <v>0.14499540627002699</v>
      </c>
      <c r="AB8479" t="s">
        <v>38810</v>
      </c>
      <c r="AC8479" t="s">
        <v>4562</v>
      </c>
      <c r="AD8479" t="s">
        <v>38809</v>
      </c>
      <c r="AE8479" t="s">
        <v>4655</v>
      </c>
      <c r="AF8479" t="s">
        <v>4563</v>
      </c>
      <c r="AG8479" t="s">
        <v>4564</v>
      </c>
      <c r="AH8479">
        <v>89506</v>
      </c>
      <c r="AI8479" t="s">
        <v>38811</v>
      </c>
      <c r="AJ8479" t="s">
        <v>3322</v>
      </c>
      <c r="AK8479" t="s">
        <v>38812</v>
      </c>
      <c r="AL8479" s="13" t="s">
        <v>1901</v>
      </c>
      <c r="AM8479" s="14">
        <v>1</v>
      </c>
      <c r="AN8479" s="15" t="s">
        <v>3323</v>
      </c>
    </row>
    <row r="8480" spans="1:40" x14ac:dyDescent="0.3">
      <c r="A8480" s="10" t="str">
        <f>HYPERLINK("http://www.washoecounty.gov/assessor/cama/?parid=570-062-05&amp;CardNumber=1","570-062-05")</f>
        <v>570-062-05</v>
      </c>
      <c r="B8480" t="s">
        <v>4655</v>
      </c>
      <c r="C8480" t="s">
        <v>38813</v>
      </c>
      <c r="D8480" s="1">
        <v>40378</v>
      </c>
      <c r="E8480" s="2">
        <v>145000</v>
      </c>
      <c r="F8480" t="s">
        <v>4553</v>
      </c>
      <c r="G8480" s="17" t="str">
        <f>HYPERLINK("https://www.washoecounty.gov/assessor/cama/?command=sales&amp;parid=57006205","3902520")</f>
        <v>3902520</v>
      </c>
      <c r="H8480" t="s">
        <v>3321</v>
      </c>
      <c r="I8480">
        <v>1999</v>
      </c>
      <c r="J8480">
        <v>1999</v>
      </c>
      <c r="K8480" t="s">
        <v>4554</v>
      </c>
      <c r="L8480" t="s">
        <v>4555</v>
      </c>
      <c r="M8480" s="2">
        <v>1780</v>
      </c>
      <c r="N8480" t="s">
        <v>4048</v>
      </c>
      <c r="O8480">
        <v>4</v>
      </c>
      <c r="P8480">
        <v>2</v>
      </c>
      <c r="Q8480">
        <v>0</v>
      </c>
      <c r="R8480" t="s">
        <v>5281</v>
      </c>
      <c r="S8480" t="s">
        <v>4558</v>
      </c>
      <c r="T8480" t="s">
        <v>4559</v>
      </c>
      <c r="U8480" t="s">
        <v>4560</v>
      </c>
      <c r="V8480" s="2">
        <v>483</v>
      </c>
      <c r="W8480" t="s">
        <v>4655</v>
      </c>
      <c r="X8480" s="2">
        <v>0</v>
      </c>
      <c r="Y8480">
        <v>20</v>
      </c>
      <c r="Z8480" t="s">
        <v>4561</v>
      </c>
      <c r="AA8480" s="3">
        <v>0.16400367021560699</v>
      </c>
      <c r="AB8480" t="s">
        <v>38814</v>
      </c>
      <c r="AC8480" t="s">
        <v>4562</v>
      </c>
      <c r="AD8480" t="s">
        <v>38815</v>
      </c>
      <c r="AE8480" t="s">
        <v>4655</v>
      </c>
      <c r="AF8480" t="s">
        <v>4563</v>
      </c>
      <c r="AG8480" t="s">
        <v>4564</v>
      </c>
      <c r="AH8480">
        <v>89509</v>
      </c>
      <c r="AI8480" t="s">
        <v>687</v>
      </c>
      <c r="AJ8480" t="s">
        <v>3322</v>
      </c>
      <c r="AK8480" t="s">
        <v>38816</v>
      </c>
      <c r="AL8480" s="13" t="s">
        <v>1901</v>
      </c>
      <c r="AM8480">
        <v>1</v>
      </c>
      <c r="AN8480" s="15" t="s">
        <v>3323</v>
      </c>
    </row>
    <row r="8481" spans="1:40" x14ac:dyDescent="0.3">
      <c r="A8481" s="10" t="str">
        <f>HYPERLINK("http://www.washoecounty.gov/assessor/cama/?parid=570-073-01&amp;CardNumber=1","570-073-01")</f>
        <v>570-073-01</v>
      </c>
      <c r="B8481" t="s">
        <v>4655</v>
      </c>
      <c r="C8481" t="s">
        <v>38817</v>
      </c>
      <c r="D8481" s="1">
        <v>40211</v>
      </c>
      <c r="E8481" s="2">
        <v>185000</v>
      </c>
      <c r="F8481" t="s">
        <v>4567</v>
      </c>
      <c r="G8481" s="17" t="str">
        <f>HYPERLINK("https://www.washoecounty.gov/assessor/cama/?command=sales&amp;parid=57007301","3845465")</f>
        <v>3845465</v>
      </c>
      <c r="H8481" t="s">
        <v>3321</v>
      </c>
      <c r="I8481">
        <v>1999</v>
      </c>
      <c r="J8481">
        <v>1999</v>
      </c>
      <c r="K8481" t="s">
        <v>4554</v>
      </c>
      <c r="L8481" t="s">
        <v>3974</v>
      </c>
      <c r="M8481" s="2">
        <v>2122</v>
      </c>
      <c r="N8481" t="s">
        <v>4048</v>
      </c>
      <c r="O8481">
        <v>4</v>
      </c>
      <c r="P8481">
        <v>2</v>
      </c>
      <c r="Q8481">
        <v>1</v>
      </c>
      <c r="R8481" t="s">
        <v>4557</v>
      </c>
      <c r="S8481" t="s">
        <v>4558</v>
      </c>
      <c r="T8481" t="s">
        <v>4559</v>
      </c>
      <c r="U8481" t="s">
        <v>5631</v>
      </c>
      <c r="V8481" s="2">
        <v>852</v>
      </c>
      <c r="W8481" t="s">
        <v>4655</v>
      </c>
      <c r="X8481" s="2">
        <v>0</v>
      </c>
      <c r="Y8481">
        <v>20</v>
      </c>
      <c r="Z8481" t="s">
        <v>4561</v>
      </c>
      <c r="AA8481" s="3">
        <v>0.25798898935317993</v>
      </c>
      <c r="AB8481" t="s">
        <v>38818</v>
      </c>
      <c r="AC8481" t="s">
        <v>4562</v>
      </c>
      <c r="AD8481" t="s">
        <v>38817</v>
      </c>
      <c r="AE8481" t="s">
        <v>4655</v>
      </c>
      <c r="AF8481" t="s">
        <v>4563</v>
      </c>
      <c r="AG8481" t="s">
        <v>4564</v>
      </c>
      <c r="AH8481">
        <v>89506</v>
      </c>
      <c r="AI8481" t="s">
        <v>4655</v>
      </c>
      <c r="AJ8481" t="s">
        <v>3322</v>
      </c>
      <c r="AK8481" t="s">
        <v>38819</v>
      </c>
      <c r="AL8481" s="13" t="s">
        <v>1901</v>
      </c>
      <c r="AM8481">
        <v>1</v>
      </c>
      <c r="AN8481" s="15" t="s">
        <v>3323</v>
      </c>
    </row>
    <row r="8482" spans="1:40" x14ac:dyDescent="0.3">
      <c r="A8482" s="10" t="str">
        <f>HYPERLINK("http://www.washoecounty.gov/assessor/cama/?parid=570-073-02&amp;CardNumber=1","570-073-02")</f>
        <v>570-073-02</v>
      </c>
      <c r="B8482" t="s">
        <v>4655</v>
      </c>
      <c r="C8482" t="s">
        <v>38820</v>
      </c>
      <c r="D8482" s="1">
        <v>40367</v>
      </c>
      <c r="E8482" s="2">
        <v>156900</v>
      </c>
      <c r="F8482" t="s">
        <v>4553</v>
      </c>
      <c r="G8482" s="17" t="str">
        <f>HYPERLINK("https://www.washoecounty.gov/assessor/cama/?command=sales&amp;parid=57007302","3899596")</f>
        <v>3899596</v>
      </c>
      <c r="H8482" t="s">
        <v>3321</v>
      </c>
      <c r="I8482">
        <v>1999</v>
      </c>
      <c r="J8482">
        <v>1999</v>
      </c>
      <c r="K8482" t="s">
        <v>4554</v>
      </c>
      <c r="L8482" t="s">
        <v>4555</v>
      </c>
      <c r="M8482" s="2">
        <v>1780</v>
      </c>
      <c r="N8482" t="s">
        <v>4048</v>
      </c>
      <c r="O8482">
        <v>4</v>
      </c>
      <c r="P8482">
        <v>2</v>
      </c>
      <c r="Q8482">
        <v>0</v>
      </c>
      <c r="R8482" t="s">
        <v>4557</v>
      </c>
      <c r="S8482" t="s">
        <v>4558</v>
      </c>
      <c r="T8482" t="s">
        <v>4559</v>
      </c>
      <c r="U8482" t="s">
        <v>4560</v>
      </c>
      <c r="V8482" s="2">
        <v>483</v>
      </c>
      <c r="W8482" t="s">
        <v>4655</v>
      </c>
      <c r="X8482" s="2">
        <v>0</v>
      </c>
      <c r="Y8482">
        <v>20</v>
      </c>
      <c r="Z8482" t="s">
        <v>4561</v>
      </c>
      <c r="AA8482" s="3">
        <v>0.160009175539017</v>
      </c>
      <c r="AB8482" t="s">
        <v>38821</v>
      </c>
      <c r="AC8482" t="s">
        <v>4562</v>
      </c>
      <c r="AD8482" t="s">
        <v>38820</v>
      </c>
      <c r="AE8482" t="s">
        <v>4655</v>
      </c>
      <c r="AF8482" t="s">
        <v>4563</v>
      </c>
      <c r="AG8482" t="s">
        <v>4564</v>
      </c>
      <c r="AH8482">
        <v>89506</v>
      </c>
      <c r="AI8482" t="s">
        <v>1602</v>
      </c>
      <c r="AJ8482" t="s">
        <v>3322</v>
      </c>
      <c r="AK8482" t="s">
        <v>38822</v>
      </c>
      <c r="AL8482" s="13" t="s">
        <v>1901</v>
      </c>
      <c r="AM8482">
        <v>1</v>
      </c>
      <c r="AN8482" s="15" t="s">
        <v>3323</v>
      </c>
    </row>
    <row r="8483" spans="1:40" x14ac:dyDescent="0.3">
      <c r="A8483" s="10" t="str">
        <f>HYPERLINK("http://www.washoecounty.gov/assessor/cama/?parid=570-073-07&amp;CardNumber=1","570-073-07")</f>
        <v>570-073-07</v>
      </c>
      <c r="B8483" t="s">
        <v>4655</v>
      </c>
      <c r="C8483" t="s">
        <v>38823</v>
      </c>
      <c r="D8483" s="1">
        <v>40542</v>
      </c>
      <c r="E8483" s="2">
        <v>183900</v>
      </c>
      <c r="F8483" t="s">
        <v>4553</v>
      </c>
      <c r="G8483" s="17" t="str">
        <f>HYPERLINK("https://www.washoecounty.gov/assessor/cama/?command=sales&amp;parid=57007307","3958881")</f>
        <v>3958881</v>
      </c>
      <c r="H8483" t="s">
        <v>3321</v>
      </c>
      <c r="I8483">
        <v>1999</v>
      </c>
      <c r="J8483">
        <v>1999</v>
      </c>
      <c r="K8483" t="s">
        <v>4554</v>
      </c>
      <c r="L8483" t="s">
        <v>3974</v>
      </c>
      <c r="M8483" s="2">
        <v>2122</v>
      </c>
      <c r="N8483" t="s">
        <v>4048</v>
      </c>
      <c r="O8483">
        <v>4</v>
      </c>
      <c r="P8483">
        <v>2</v>
      </c>
      <c r="Q8483">
        <v>1</v>
      </c>
      <c r="R8483" t="s">
        <v>4557</v>
      </c>
      <c r="S8483" t="s">
        <v>4558</v>
      </c>
      <c r="T8483" t="s">
        <v>4559</v>
      </c>
      <c r="U8483" t="s">
        <v>5631</v>
      </c>
      <c r="V8483" s="2">
        <v>588</v>
      </c>
      <c r="W8483" t="s">
        <v>4655</v>
      </c>
      <c r="X8483" s="2">
        <v>0</v>
      </c>
      <c r="Y8483">
        <v>20</v>
      </c>
      <c r="Z8483" t="s">
        <v>4561</v>
      </c>
      <c r="AA8483" s="3">
        <v>0.176010102033615</v>
      </c>
      <c r="AB8483" t="s">
        <v>38824</v>
      </c>
      <c r="AC8483" t="s">
        <v>4575</v>
      </c>
      <c r="AD8483" t="s">
        <v>38825</v>
      </c>
      <c r="AE8483" t="s">
        <v>4655</v>
      </c>
      <c r="AF8483" t="s">
        <v>4563</v>
      </c>
      <c r="AG8483" t="s">
        <v>4564</v>
      </c>
      <c r="AH8483">
        <v>89506</v>
      </c>
      <c r="AI8483" t="s">
        <v>4903</v>
      </c>
      <c r="AJ8483" t="s">
        <v>3322</v>
      </c>
      <c r="AK8483" t="s">
        <v>38826</v>
      </c>
      <c r="AL8483" s="13" t="s">
        <v>1901</v>
      </c>
      <c r="AM8483" s="14">
        <v>1</v>
      </c>
      <c r="AN8483" s="15" t="s">
        <v>3323</v>
      </c>
    </row>
    <row r="8484" spans="1:40" x14ac:dyDescent="0.3">
      <c r="A8484" s="10" t="str">
        <f>HYPERLINK("http://www.washoecounty.gov/assessor/cama/?parid=570-101-04&amp;CardNumber=1","570-101-04")</f>
        <v>570-101-04</v>
      </c>
      <c r="B8484" t="s">
        <v>4655</v>
      </c>
      <c r="C8484" t="s">
        <v>38827</v>
      </c>
      <c r="D8484" s="1">
        <v>40417</v>
      </c>
      <c r="E8484" s="2">
        <v>198850</v>
      </c>
      <c r="F8484" t="s">
        <v>4567</v>
      </c>
      <c r="G8484" s="17" t="str">
        <f>HYPERLINK("https://www.washoecounty.gov/assessor/cama/?command=sales&amp;parid=57010104","3916332")</f>
        <v>3916332</v>
      </c>
      <c r="H8484" t="s">
        <v>2963</v>
      </c>
      <c r="I8484">
        <v>2005</v>
      </c>
      <c r="J8484">
        <v>2005</v>
      </c>
      <c r="K8484" t="s">
        <v>4554</v>
      </c>
      <c r="L8484" t="s">
        <v>3974</v>
      </c>
      <c r="M8484" s="2">
        <v>2229</v>
      </c>
      <c r="N8484" t="s">
        <v>5280</v>
      </c>
      <c r="O8484">
        <v>4</v>
      </c>
      <c r="P8484">
        <v>2</v>
      </c>
      <c r="Q8484">
        <v>1</v>
      </c>
      <c r="R8484" t="s">
        <v>5281</v>
      </c>
      <c r="S8484" t="s">
        <v>4898</v>
      </c>
      <c r="T8484" t="s">
        <v>2704</v>
      </c>
      <c r="U8484" t="s">
        <v>5631</v>
      </c>
      <c r="V8484" s="2">
        <v>648</v>
      </c>
      <c r="W8484" t="s">
        <v>4655</v>
      </c>
      <c r="X8484" s="2">
        <v>0</v>
      </c>
      <c r="Y8484">
        <v>20</v>
      </c>
      <c r="Z8484" t="s">
        <v>5282</v>
      </c>
      <c r="AA8484" s="3">
        <v>0.176698803901672</v>
      </c>
      <c r="AB8484" t="s">
        <v>38828</v>
      </c>
      <c r="AC8484" t="s">
        <v>4575</v>
      </c>
      <c r="AD8484" t="s">
        <v>38827</v>
      </c>
      <c r="AE8484" t="s">
        <v>4655</v>
      </c>
      <c r="AF8484" t="s">
        <v>4563</v>
      </c>
      <c r="AG8484" t="s">
        <v>4564</v>
      </c>
      <c r="AH8484">
        <v>89506</v>
      </c>
      <c r="AI8484" t="s">
        <v>38829</v>
      </c>
      <c r="AJ8484" t="s">
        <v>2964</v>
      </c>
      <c r="AK8484" t="s">
        <v>38830</v>
      </c>
      <c r="AL8484" s="13" t="s">
        <v>2255</v>
      </c>
      <c r="AM8484">
        <v>1</v>
      </c>
      <c r="AN8484" s="15" t="s">
        <v>2965</v>
      </c>
    </row>
    <row r="8485" spans="1:40" x14ac:dyDescent="0.3">
      <c r="A8485" s="10" t="str">
        <f>HYPERLINK("http://www.washoecounty.gov/assessor/cama/?parid=570-101-08&amp;CardNumber=1","570-101-08")</f>
        <v>570-101-08</v>
      </c>
      <c r="B8485" t="s">
        <v>4655</v>
      </c>
      <c r="C8485" t="s">
        <v>38831</v>
      </c>
      <c r="D8485" s="1">
        <v>40515</v>
      </c>
      <c r="E8485" s="2">
        <v>196000</v>
      </c>
      <c r="F8485" t="s">
        <v>4567</v>
      </c>
      <c r="G8485" s="17" t="str">
        <f>HYPERLINK("https://www.washoecounty.gov/assessor/cama/?command=sales&amp;parid=57010108","3949384")</f>
        <v>3949384</v>
      </c>
      <c r="H8485" t="s">
        <v>2963</v>
      </c>
      <c r="I8485">
        <v>2005</v>
      </c>
      <c r="J8485">
        <v>2005</v>
      </c>
      <c r="K8485" t="s">
        <v>4554</v>
      </c>
      <c r="L8485" t="s">
        <v>3974</v>
      </c>
      <c r="M8485" s="2">
        <v>2813</v>
      </c>
      <c r="N8485" t="s">
        <v>5280</v>
      </c>
      <c r="O8485">
        <v>4</v>
      </c>
      <c r="P8485">
        <v>2</v>
      </c>
      <c r="Q8485">
        <v>1</v>
      </c>
      <c r="R8485" t="s">
        <v>5281</v>
      </c>
      <c r="S8485" t="s">
        <v>4898</v>
      </c>
      <c r="T8485" t="s">
        <v>2704</v>
      </c>
      <c r="U8485" t="s">
        <v>4560</v>
      </c>
      <c r="V8485" s="2">
        <v>660</v>
      </c>
      <c r="W8485" t="s">
        <v>4655</v>
      </c>
      <c r="X8485" s="2">
        <v>0</v>
      </c>
      <c r="Y8485">
        <v>20</v>
      </c>
      <c r="Z8485" t="s">
        <v>5282</v>
      </c>
      <c r="AA8485" s="3">
        <v>0.15454545617103599</v>
      </c>
      <c r="AB8485" t="s">
        <v>38832</v>
      </c>
      <c r="AC8485" t="s">
        <v>4562</v>
      </c>
      <c r="AD8485" t="s">
        <v>38833</v>
      </c>
      <c r="AE8485" t="s">
        <v>4655</v>
      </c>
      <c r="AF8485" t="s">
        <v>4563</v>
      </c>
      <c r="AG8485" t="s">
        <v>4564</v>
      </c>
      <c r="AH8485">
        <v>89506</v>
      </c>
      <c r="AI8485" t="s">
        <v>38834</v>
      </c>
      <c r="AJ8485" t="s">
        <v>2964</v>
      </c>
      <c r="AK8485" t="s">
        <v>38835</v>
      </c>
      <c r="AL8485" s="13" t="s">
        <v>2255</v>
      </c>
      <c r="AM8485" s="14">
        <v>1</v>
      </c>
      <c r="AN8485" s="15" t="s">
        <v>2965</v>
      </c>
    </row>
    <row r="8486" spans="1:40" x14ac:dyDescent="0.3">
      <c r="A8486" s="10" t="str">
        <f>HYPERLINK("http://www.washoecounty.gov/assessor/cama/?parid=570-101-09&amp;CardNumber=1","570-101-09")</f>
        <v>570-101-09</v>
      </c>
      <c r="B8486" t="s">
        <v>4655</v>
      </c>
      <c r="C8486" t="s">
        <v>38836</v>
      </c>
      <c r="D8486" s="1">
        <v>40487</v>
      </c>
      <c r="E8486" s="2">
        <v>195000</v>
      </c>
      <c r="F8486" t="s">
        <v>4567</v>
      </c>
      <c r="G8486" s="17" t="str">
        <f>HYPERLINK("https://www.washoecounty.gov/assessor/cama/?command=sales&amp;parid=57010109","3940408")</f>
        <v>3940408</v>
      </c>
      <c r="H8486" t="s">
        <v>2963</v>
      </c>
      <c r="I8486">
        <v>2005</v>
      </c>
      <c r="J8486">
        <v>2005</v>
      </c>
      <c r="K8486" t="s">
        <v>4554</v>
      </c>
      <c r="L8486" t="s">
        <v>3974</v>
      </c>
      <c r="M8486" s="2">
        <v>2813</v>
      </c>
      <c r="N8486" t="s">
        <v>5280</v>
      </c>
      <c r="O8486">
        <v>4</v>
      </c>
      <c r="P8486">
        <v>2</v>
      </c>
      <c r="Q8486">
        <v>1</v>
      </c>
      <c r="R8486" t="s">
        <v>5281</v>
      </c>
      <c r="S8486" t="s">
        <v>4898</v>
      </c>
      <c r="T8486" t="s">
        <v>2704</v>
      </c>
      <c r="U8486" t="s">
        <v>4560</v>
      </c>
      <c r="V8486" s="2">
        <v>660</v>
      </c>
      <c r="W8486" t="s">
        <v>4655</v>
      </c>
      <c r="X8486" s="2">
        <v>0</v>
      </c>
      <c r="Y8486">
        <v>20</v>
      </c>
      <c r="Z8486" t="s">
        <v>5282</v>
      </c>
      <c r="AA8486" s="3">
        <v>0.15454545617103599</v>
      </c>
      <c r="AB8486" t="s">
        <v>38837</v>
      </c>
      <c r="AC8486" t="s">
        <v>4562</v>
      </c>
      <c r="AD8486" t="s">
        <v>38836</v>
      </c>
      <c r="AE8486" t="s">
        <v>4655</v>
      </c>
      <c r="AF8486" t="s">
        <v>4563</v>
      </c>
      <c r="AG8486" t="s">
        <v>4564</v>
      </c>
      <c r="AH8486">
        <v>89506</v>
      </c>
      <c r="AI8486" t="s">
        <v>38838</v>
      </c>
      <c r="AJ8486" t="s">
        <v>2964</v>
      </c>
      <c r="AK8486" t="s">
        <v>38839</v>
      </c>
      <c r="AL8486" s="13" t="s">
        <v>2255</v>
      </c>
      <c r="AM8486">
        <v>1</v>
      </c>
      <c r="AN8486" s="15" t="s">
        <v>2965</v>
      </c>
    </row>
    <row r="8487" spans="1:40" x14ac:dyDescent="0.3">
      <c r="A8487" s="10" t="str">
        <f>HYPERLINK("http://www.washoecounty.gov/assessor/cama/?parid=570-102-03&amp;CardNumber=1","570-102-03")</f>
        <v>570-102-03</v>
      </c>
      <c r="B8487" t="s">
        <v>4655</v>
      </c>
      <c r="C8487" t="s">
        <v>38840</v>
      </c>
      <c r="D8487" s="1">
        <v>40415</v>
      </c>
      <c r="E8487" s="2">
        <v>195000</v>
      </c>
      <c r="F8487" t="s">
        <v>4567</v>
      </c>
      <c r="G8487" s="17" t="str">
        <f>HYPERLINK("https://www.washoecounty.gov/assessor/cama/?command=sales&amp;parid=57010203","3915410")</f>
        <v>3915410</v>
      </c>
      <c r="H8487" t="s">
        <v>2963</v>
      </c>
      <c r="I8487">
        <v>2005</v>
      </c>
      <c r="J8487">
        <v>2005</v>
      </c>
      <c r="K8487" t="s">
        <v>4554</v>
      </c>
      <c r="L8487" t="s">
        <v>3974</v>
      </c>
      <c r="M8487" s="2">
        <v>2813</v>
      </c>
      <c r="N8487" t="s">
        <v>5280</v>
      </c>
      <c r="O8487">
        <v>4</v>
      </c>
      <c r="P8487">
        <v>2</v>
      </c>
      <c r="Q8487">
        <v>1</v>
      </c>
      <c r="R8487" t="s">
        <v>5281</v>
      </c>
      <c r="S8487" t="s">
        <v>4898</v>
      </c>
      <c r="T8487" t="s">
        <v>2704</v>
      </c>
      <c r="U8487" t="s">
        <v>4560</v>
      </c>
      <c r="V8487" s="2">
        <v>660</v>
      </c>
      <c r="W8487" t="s">
        <v>4655</v>
      </c>
      <c r="X8487" s="2">
        <v>0</v>
      </c>
      <c r="Y8487">
        <v>20</v>
      </c>
      <c r="Z8487" t="s">
        <v>5282</v>
      </c>
      <c r="AA8487" s="3">
        <v>0.19839301705360399</v>
      </c>
      <c r="AB8487" t="s">
        <v>38841</v>
      </c>
      <c r="AC8487" t="s">
        <v>4562</v>
      </c>
      <c r="AD8487" t="s">
        <v>38840</v>
      </c>
      <c r="AE8487" t="s">
        <v>4655</v>
      </c>
      <c r="AF8487" t="s">
        <v>4563</v>
      </c>
      <c r="AG8487" t="s">
        <v>4564</v>
      </c>
      <c r="AH8487">
        <v>89506</v>
      </c>
      <c r="AI8487" t="s">
        <v>38842</v>
      </c>
      <c r="AJ8487" t="s">
        <v>2964</v>
      </c>
      <c r="AK8487" t="s">
        <v>38843</v>
      </c>
      <c r="AL8487" s="13" t="s">
        <v>2255</v>
      </c>
      <c r="AM8487" s="14">
        <v>1</v>
      </c>
      <c r="AN8487" s="15" t="s">
        <v>2965</v>
      </c>
    </row>
    <row r="8488" spans="1:40" x14ac:dyDescent="0.3">
      <c r="A8488" s="10" t="str">
        <f>HYPERLINK("http://www.washoecounty.gov/assessor/cama/?parid=570-102-09&amp;CardNumber=1","570-102-09")</f>
        <v>570-102-09</v>
      </c>
      <c r="B8488" t="s">
        <v>4655</v>
      </c>
      <c r="C8488" t="s">
        <v>38844</v>
      </c>
      <c r="D8488" s="1">
        <v>40199</v>
      </c>
      <c r="E8488" s="2">
        <v>190000</v>
      </c>
      <c r="F8488" t="s">
        <v>4553</v>
      </c>
      <c r="G8488" s="17" t="str">
        <f>HYPERLINK("https://www.washoecounty.gov/assessor/cama/?command=sales&amp;parid=57010209","3841578")</f>
        <v>3841578</v>
      </c>
      <c r="H8488" t="s">
        <v>2963</v>
      </c>
      <c r="I8488">
        <v>2005</v>
      </c>
      <c r="J8488">
        <v>2005</v>
      </c>
      <c r="K8488" t="s">
        <v>4554</v>
      </c>
      <c r="L8488" t="s">
        <v>3974</v>
      </c>
      <c r="M8488" s="2">
        <v>2813</v>
      </c>
      <c r="N8488" t="s">
        <v>5280</v>
      </c>
      <c r="O8488">
        <v>4</v>
      </c>
      <c r="P8488">
        <v>2</v>
      </c>
      <c r="Q8488">
        <v>1</v>
      </c>
      <c r="R8488" t="s">
        <v>4557</v>
      </c>
      <c r="S8488" t="s">
        <v>4898</v>
      </c>
      <c r="T8488" t="s">
        <v>2704</v>
      </c>
      <c r="U8488" t="s">
        <v>4560</v>
      </c>
      <c r="V8488" s="2">
        <v>660</v>
      </c>
      <c r="W8488" t="s">
        <v>4655</v>
      </c>
      <c r="X8488" s="2">
        <v>0</v>
      </c>
      <c r="Y8488">
        <v>20</v>
      </c>
      <c r="Z8488" t="s">
        <v>5282</v>
      </c>
      <c r="AA8488" s="3">
        <v>0.18425160646438599</v>
      </c>
      <c r="AB8488" t="s">
        <v>38845</v>
      </c>
      <c r="AC8488" t="s">
        <v>4562</v>
      </c>
      <c r="AD8488" t="s">
        <v>38846</v>
      </c>
      <c r="AE8488" t="s">
        <v>4655</v>
      </c>
      <c r="AF8488" t="s">
        <v>4563</v>
      </c>
      <c r="AG8488" t="s">
        <v>4564</v>
      </c>
      <c r="AH8488" t="s">
        <v>1147</v>
      </c>
      <c r="AI8488" t="s">
        <v>4565</v>
      </c>
      <c r="AJ8488" t="s">
        <v>2964</v>
      </c>
      <c r="AK8488" t="s">
        <v>38847</v>
      </c>
      <c r="AL8488" s="13" t="s">
        <v>2255</v>
      </c>
      <c r="AM8488">
        <v>1</v>
      </c>
      <c r="AN8488" s="15" t="s">
        <v>2965</v>
      </c>
    </row>
    <row r="8489" spans="1:40" x14ac:dyDescent="0.3">
      <c r="A8489" s="10" t="str">
        <f>HYPERLINK("http://www.washoecounty.gov/assessor/cama/?parid=570-102-12&amp;CardNumber=1","570-102-12")</f>
        <v>570-102-12</v>
      </c>
      <c r="B8489" t="s">
        <v>4655</v>
      </c>
      <c r="C8489" t="s">
        <v>38848</v>
      </c>
      <c r="D8489" s="1">
        <v>40532</v>
      </c>
      <c r="E8489" s="2">
        <v>151900</v>
      </c>
      <c r="F8489" t="s">
        <v>4553</v>
      </c>
      <c r="G8489" s="17" t="str">
        <f>HYPERLINK("https://www.washoecounty.gov/assessor/cama/?command=sales&amp;parid=57010212","3955537")</f>
        <v>3955537</v>
      </c>
      <c r="H8489" t="s">
        <v>2963</v>
      </c>
      <c r="I8489">
        <v>2004</v>
      </c>
      <c r="J8489">
        <v>2004</v>
      </c>
      <c r="K8489" t="s">
        <v>4554</v>
      </c>
      <c r="L8489" t="s">
        <v>4555</v>
      </c>
      <c r="M8489" s="2">
        <v>1615</v>
      </c>
      <c r="N8489" t="s">
        <v>5280</v>
      </c>
      <c r="O8489">
        <v>3</v>
      </c>
      <c r="P8489">
        <v>2</v>
      </c>
      <c r="Q8489">
        <v>0</v>
      </c>
      <c r="R8489" t="s">
        <v>4557</v>
      </c>
      <c r="S8489" t="s">
        <v>4898</v>
      </c>
      <c r="T8489" t="s">
        <v>2704</v>
      </c>
      <c r="U8489" t="s">
        <v>4560</v>
      </c>
      <c r="V8489" s="2">
        <v>660</v>
      </c>
      <c r="W8489" t="s">
        <v>4655</v>
      </c>
      <c r="X8489" s="2">
        <v>0</v>
      </c>
      <c r="Y8489">
        <v>20</v>
      </c>
      <c r="Z8489" t="s">
        <v>5282</v>
      </c>
      <c r="AA8489" s="3">
        <v>0.171395778656006</v>
      </c>
      <c r="AB8489" t="s">
        <v>38849</v>
      </c>
      <c r="AC8489" t="s">
        <v>4562</v>
      </c>
      <c r="AD8489" t="s">
        <v>38850</v>
      </c>
      <c r="AE8489" t="s">
        <v>4655</v>
      </c>
      <c r="AF8489" t="s">
        <v>4563</v>
      </c>
      <c r="AG8489" t="s">
        <v>4564</v>
      </c>
      <c r="AH8489">
        <v>89506</v>
      </c>
      <c r="AI8489" t="s">
        <v>4655</v>
      </c>
      <c r="AJ8489" t="s">
        <v>2964</v>
      </c>
      <c r="AK8489" t="s">
        <v>38851</v>
      </c>
      <c r="AL8489" s="13" t="s">
        <v>2255</v>
      </c>
      <c r="AM8489">
        <v>1</v>
      </c>
      <c r="AN8489" s="15" t="s">
        <v>2965</v>
      </c>
    </row>
    <row r="8490" spans="1:40" x14ac:dyDescent="0.3">
      <c r="A8490" s="10" t="str">
        <f>HYPERLINK("http://www.washoecounty.gov/assessor/cama/?parid=570-102-16&amp;CardNumber=1","570-102-16")</f>
        <v>570-102-16</v>
      </c>
      <c r="B8490" t="s">
        <v>4655</v>
      </c>
      <c r="C8490" t="s">
        <v>38852</v>
      </c>
      <c r="D8490" s="1">
        <v>40399</v>
      </c>
      <c r="E8490" s="2">
        <v>162000</v>
      </c>
      <c r="F8490" t="s">
        <v>4553</v>
      </c>
      <c r="G8490" s="17" t="str">
        <f>HYPERLINK("https://www.washoecounty.gov/assessor/cama/?command=sales&amp;parid=57010216","3910026")</f>
        <v>3910026</v>
      </c>
      <c r="H8490" t="s">
        <v>2963</v>
      </c>
      <c r="I8490">
        <v>2004</v>
      </c>
      <c r="J8490">
        <v>2004</v>
      </c>
      <c r="K8490" t="s">
        <v>4554</v>
      </c>
      <c r="L8490" t="s">
        <v>4555</v>
      </c>
      <c r="M8490" s="2">
        <v>1853</v>
      </c>
      <c r="N8490" t="s">
        <v>5280</v>
      </c>
      <c r="O8490">
        <v>3</v>
      </c>
      <c r="P8490">
        <v>2</v>
      </c>
      <c r="Q8490">
        <v>0</v>
      </c>
      <c r="R8490" t="s">
        <v>5281</v>
      </c>
      <c r="S8490" t="s">
        <v>4898</v>
      </c>
      <c r="T8490" t="s">
        <v>2704</v>
      </c>
      <c r="U8490" t="s">
        <v>4560</v>
      </c>
      <c r="V8490" s="2">
        <v>657</v>
      </c>
      <c r="W8490" t="s">
        <v>4655</v>
      </c>
      <c r="X8490" s="2">
        <v>0</v>
      </c>
      <c r="Y8490">
        <v>20</v>
      </c>
      <c r="Z8490" t="s">
        <v>5282</v>
      </c>
      <c r="AA8490" s="3">
        <v>0.17219926416873932</v>
      </c>
      <c r="AB8490" t="s">
        <v>38853</v>
      </c>
      <c r="AC8490" t="s">
        <v>4562</v>
      </c>
      <c r="AD8490" t="s">
        <v>38852</v>
      </c>
      <c r="AE8490" t="s">
        <v>4655</v>
      </c>
      <c r="AF8490" t="s">
        <v>4563</v>
      </c>
      <c r="AG8490" t="s">
        <v>4564</v>
      </c>
      <c r="AH8490">
        <v>89506</v>
      </c>
      <c r="AI8490" t="s">
        <v>4903</v>
      </c>
      <c r="AJ8490" t="s">
        <v>2964</v>
      </c>
      <c r="AK8490" t="s">
        <v>38854</v>
      </c>
      <c r="AL8490" s="13" t="s">
        <v>2255</v>
      </c>
      <c r="AM8490" s="14">
        <v>1</v>
      </c>
      <c r="AN8490" s="15" t="s">
        <v>2965</v>
      </c>
    </row>
    <row r="8491" spans="1:40" x14ac:dyDescent="0.3">
      <c r="A8491" s="10" t="str">
        <f>HYPERLINK("http://www.washoecounty.gov/assessor/cama/?parid=570-103-13&amp;CardNumber=1","570-103-13")</f>
        <v>570-103-13</v>
      </c>
      <c r="B8491" t="s">
        <v>4655</v>
      </c>
      <c r="C8491" t="s">
        <v>38855</v>
      </c>
      <c r="D8491" s="1">
        <v>40234</v>
      </c>
      <c r="E8491" s="2">
        <v>201000</v>
      </c>
      <c r="F8491" t="s">
        <v>4553</v>
      </c>
      <c r="G8491" s="17" t="str">
        <f>HYPERLINK("https://www.washoecounty.gov/assessor/cama/?command=sales&amp;parid=57010313","3852827")</f>
        <v>3852827</v>
      </c>
      <c r="H8491" t="s">
        <v>2963</v>
      </c>
      <c r="I8491">
        <v>2005</v>
      </c>
      <c r="J8491">
        <v>2005</v>
      </c>
      <c r="K8491" t="s">
        <v>4554</v>
      </c>
      <c r="L8491" t="s">
        <v>3974</v>
      </c>
      <c r="M8491" s="2">
        <v>2813</v>
      </c>
      <c r="N8491" t="s">
        <v>5280</v>
      </c>
      <c r="O8491">
        <v>4</v>
      </c>
      <c r="P8491">
        <v>2</v>
      </c>
      <c r="Q8491">
        <v>1</v>
      </c>
      <c r="R8491" t="s">
        <v>5281</v>
      </c>
      <c r="S8491" t="s">
        <v>4898</v>
      </c>
      <c r="T8491" t="s">
        <v>2704</v>
      </c>
      <c r="U8491" t="s">
        <v>4560</v>
      </c>
      <c r="V8491" s="2">
        <v>660</v>
      </c>
      <c r="W8491" t="s">
        <v>4655</v>
      </c>
      <c r="X8491" s="2">
        <v>0</v>
      </c>
      <c r="Y8491">
        <v>20</v>
      </c>
      <c r="Z8491" t="s">
        <v>5282</v>
      </c>
      <c r="AA8491" s="3">
        <v>0.16400367021560699</v>
      </c>
      <c r="AB8491" t="s">
        <v>38856</v>
      </c>
      <c r="AC8491" t="s">
        <v>4562</v>
      </c>
      <c r="AD8491" t="s">
        <v>38855</v>
      </c>
      <c r="AE8491" t="s">
        <v>4655</v>
      </c>
      <c r="AF8491" t="s">
        <v>4563</v>
      </c>
      <c r="AG8491" t="s">
        <v>4564</v>
      </c>
      <c r="AH8491">
        <v>89506</v>
      </c>
      <c r="AI8491" t="s">
        <v>4903</v>
      </c>
      <c r="AJ8491" t="s">
        <v>2964</v>
      </c>
      <c r="AK8491" t="s">
        <v>38857</v>
      </c>
      <c r="AL8491" s="13" t="s">
        <v>2255</v>
      </c>
      <c r="AM8491">
        <v>1</v>
      </c>
      <c r="AN8491" s="15" t="s">
        <v>2965</v>
      </c>
    </row>
    <row r="8492" spans="1:40" x14ac:dyDescent="0.3">
      <c r="A8492" s="10" t="str">
        <f>HYPERLINK("http://www.washoecounty.gov/assessor/cama/?parid=570-103-15&amp;CardNumber=1","570-103-15")</f>
        <v>570-103-15</v>
      </c>
      <c r="B8492" t="s">
        <v>4655</v>
      </c>
      <c r="C8492" t="s">
        <v>38858</v>
      </c>
      <c r="D8492" s="1">
        <v>40410</v>
      </c>
      <c r="E8492" s="2">
        <v>164000</v>
      </c>
      <c r="F8492" t="s">
        <v>4567</v>
      </c>
      <c r="G8492" s="17" t="str">
        <f>HYPERLINK("https://www.washoecounty.gov/assessor/cama/?command=sales&amp;parid=57010315","3914334")</f>
        <v>3914334</v>
      </c>
      <c r="H8492" t="s">
        <v>2963</v>
      </c>
      <c r="I8492">
        <v>2005</v>
      </c>
      <c r="J8492">
        <v>2005</v>
      </c>
      <c r="K8492" t="s">
        <v>4554</v>
      </c>
      <c r="L8492" t="s">
        <v>4555</v>
      </c>
      <c r="M8492" s="2">
        <v>1853</v>
      </c>
      <c r="N8492" t="s">
        <v>5280</v>
      </c>
      <c r="O8492">
        <v>3</v>
      </c>
      <c r="P8492">
        <v>2</v>
      </c>
      <c r="Q8492">
        <v>0</v>
      </c>
      <c r="R8492" t="s">
        <v>5281</v>
      </c>
      <c r="S8492" t="s">
        <v>4898</v>
      </c>
      <c r="T8492" t="s">
        <v>2704</v>
      </c>
      <c r="U8492" t="s">
        <v>4560</v>
      </c>
      <c r="V8492" s="2">
        <v>657</v>
      </c>
      <c r="W8492" t="s">
        <v>4655</v>
      </c>
      <c r="X8492" s="2">
        <v>0</v>
      </c>
      <c r="Y8492">
        <v>20</v>
      </c>
      <c r="Z8492" t="s">
        <v>5282</v>
      </c>
      <c r="AA8492" s="3">
        <v>0.16400367021560699</v>
      </c>
      <c r="AB8492" t="s">
        <v>38859</v>
      </c>
      <c r="AC8492" t="s">
        <v>4575</v>
      </c>
      <c r="AD8492" t="s">
        <v>38858</v>
      </c>
      <c r="AE8492" t="s">
        <v>4655</v>
      </c>
      <c r="AF8492" t="s">
        <v>4563</v>
      </c>
      <c r="AG8492" t="s">
        <v>4564</v>
      </c>
      <c r="AH8492">
        <v>89508</v>
      </c>
      <c r="AI8492" t="s">
        <v>38860</v>
      </c>
      <c r="AJ8492" t="s">
        <v>2964</v>
      </c>
      <c r="AK8492" t="s">
        <v>38861</v>
      </c>
      <c r="AL8492" s="13" t="s">
        <v>2255</v>
      </c>
      <c r="AM8492" s="14">
        <v>1</v>
      </c>
      <c r="AN8492" s="15" t="s">
        <v>2965</v>
      </c>
    </row>
    <row r="8493" spans="1:40" x14ac:dyDescent="0.3">
      <c r="A8493" s="10" t="str">
        <f>HYPERLINK("http://www.washoecounty.gov/assessor/cama/?parid=570-111-01&amp;CardNumber=1","570-111-01")</f>
        <v>570-111-01</v>
      </c>
      <c r="B8493" t="s">
        <v>4655</v>
      </c>
      <c r="C8493" t="s">
        <v>38862</v>
      </c>
      <c r="D8493" s="1">
        <v>40303</v>
      </c>
      <c r="E8493" s="2">
        <v>192000</v>
      </c>
      <c r="F8493" t="s">
        <v>4567</v>
      </c>
      <c r="G8493" s="17" t="str">
        <f>HYPERLINK("https://www.washoecounty.gov/assessor/cama/?command=sales&amp;parid=57011101","3878344")</f>
        <v>3878344</v>
      </c>
      <c r="H8493" t="s">
        <v>2963</v>
      </c>
      <c r="I8493">
        <v>2005</v>
      </c>
      <c r="J8493">
        <v>2005</v>
      </c>
      <c r="K8493" t="s">
        <v>4554</v>
      </c>
      <c r="L8493" t="s">
        <v>3974</v>
      </c>
      <c r="M8493" s="2">
        <v>2813</v>
      </c>
      <c r="N8493" t="s">
        <v>5280</v>
      </c>
      <c r="O8493">
        <v>4</v>
      </c>
      <c r="P8493">
        <v>2</v>
      </c>
      <c r="Q8493">
        <v>1</v>
      </c>
      <c r="R8493" t="s">
        <v>5281</v>
      </c>
      <c r="S8493" t="s">
        <v>4898</v>
      </c>
      <c r="T8493" t="s">
        <v>2704</v>
      </c>
      <c r="U8493" t="s">
        <v>4560</v>
      </c>
      <c r="V8493" s="2">
        <v>660</v>
      </c>
      <c r="W8493" t="s">
        <v>4655</v>
      </c>
      <c r="X8493" s="2">
        <v>0</v>
      </c>
      <c r="Y8493">
        <v>20</v>
      </c>
      <c r="Z8493" t="s">
        <v>5282</v>
      </c>
      <c r="AA8493" s="3">
        <v>0.17192378640174899</v>
      </c>
      <c r="AB8493" t="s">
        <v>38863</v>
      </c>
      <c r="AC8493" t="s">
        <v>4562</v>
      </c>
      <c r="AD8493" t="s">
        <v>38862</v>
      </c>
      <c r="AE8493" t="s">
        <v>4655</v>
      </c>
      <c r="AF8493" t="s">
        <v>4563</v>
      </c>
      <c r="AG8493" t="s">
        <v>4564</v>
      </c>
      <c r="AH8493">
        <v>89506</v>
      </c>
      <c r="AI8493" t="s">
        <v>38864</v>
      </c>
      <c r="AJ8493" t="s">
        <v>2964</v>
      </c>
      <c r="AK8493" t="s">
        <v>38865</v>
      </c>
      <c r="AL8493" s="13" t="s">
        <v>2255</v>
      </c>
      <c r="AM8493">
        <v>1</v>
      </c>
      <c r="AN8493" s="15" t="s">
        <v>2965</v>
      </c>
    </row>
    <row r="8494" spans="1:40" x14ac:dyDescent="0.3">
      <c r="A8494" s="10" t="str">
        <f>HYPERLINK("http://www.washoecounty.gov/assessor/cama/?parid=570-111-08&amp;CardNumber=1","570-111-08")</f>
        <v>570-111-08</v>
      </c>
      <c r="B8494" t="s">
        <v>4655</v>
      </c>
      <c r="C8494" t="s">
        <v>38866</v>
      </c>
      <c r="D8494" s="1">
        <v>40505</v>
      </c>
      <c r="E8494" s="2">
        <v>164000</v>
      </c>
      <c r="F8494" t="s">
        <v>4567</v>
      </c>
      <c r="G8494" s="17" t="str">
        <f>HYPERLINK("https://www.washoecounty.gov/assessor/cama/?command=sales&amp;parid=57011108","3945809")</f>
        <v>3945809</v>
      </c>
      <c r="H8494" t="s">
        <v>2963</v>
      </c>
      <c r="I8494">
        <v>2004</v>
      </c>
      <c r="J8494">
        <v>2004</v>
      </c>
      <c r="K8494" t="s">
        <v>4554</v>
      </c>
      <c r="L8494" t="s">
        <v>4555</v>
      </c>
      <c r="M8494" s="2">
        <v>1853</v>
      </c>
      <c r="N8494" t="s">
        <v>5280</v>
      </c>
      <c r="O8494">
        <v>3</v>
      </c>
      <c r="P8494">
        <v>2</v>
      </c>
      <c r="Q8494">
        <v>0</v>
      </c>
      <c r="R8494" t="s">
        <v>4557</v>
      </c>
      <c r="S8494" t="s">
        <v>4898</v>
      </c>
      <c r="T8494" t="s">
        <v>2704</v>
      </c>
      <c r="U8494" t="s">
        <v>4560</v>
      </c>
      <c r="V8494" s="2">
        <v>657</v>
      </c>
      <c r="W8494" t="s">
        <v>4655</v>
      </c>
      <c r="X8494" s="2">
        <v>0</v>
      </c>
      <c r="Y8494">
        <v>20</v>
      </c>
      <c r="Z8494" t="s">
        <v>5282</v>
      </c>
      <c r="AA8494" s="3">
        <v>0.19531680643558499</v>
      </c>
      <c r="AB8494" t="s">
        <v>38867</v>
      </c>
      <c r="AC8494" t="s">
        <v>4562</v>
      </c>
      <c r="AD8494" t="s">
        <v>38866</v>
      </c>
      <c r="AE8494" t="s">
        <v>4655</v>
      </c>
      <c r="AF8494" t="s">
        <v>4563</v>
      </c>
      <c r="AG8494" t="s">
        <v>4564</v>
      </c>
      <c r="AH8494">
        <v>89508</v>
      </c>
      <c r="AI8494" t="s">
        <v>38868</v>
      </c>
      <c r="AJ8494" t="s">
        <v>2964</v>
      </c>
      <c r="AK8494" t="s">
        <v>38869</v>
      </c>
      <c r="AL8494" s="13" t="s">
        <v>2255</v>
      </c>
      <c r="AM8494">
        <v>1</v>
      </c>
      <c r="AN8494" s="15" t="s">
        <v>2965</v>
      </c>
    </row>
    <row r="8495" spans="1:40" x14ac:dyDescent="0.3">
      <c r="A8495" s="10" t="str">
        <f>HYPERLINK("http://www.washoecounty.gov/assessor/cama/?parid=570-111-11&amp;CardNumber=1","570-111-11")</f>
        <v>570-111-11</v>
      </c>
      <c r="B8495" t="s">
        <v>4655</v>
      </c>
      <c r="C8495" t="s">
        <v>38870</v>
      </c>
      <c r="D8495" s="1">
        <v>40357</v>
      </c>
      <c r="E8495" s="2">
        <v>199950</v>
      </c>
      <c r="F8495" t="s">
        <v>4553</v>
      </c>
      <c r="G8495" s="17" t="str">
        <f>HYPERLINK("https://www.washoecounty.gov/assessor/cama/?command=sales&amp;parid=57011111","3895938")</f>
        <v>3895938</v>
      </c>
      <c r="H8495" t="s">
        <v>2963</v>
      </c>
      <c r="I8495">
        <v>2004</v>
      </c>
      <c r="J8495">
        <v>2004</v>
      </c>
      <c r="K8495" t="s">
        <v>4554</v>
      </c>
      <c r="L8495" t="s">
        <v>3974</v>
      </c>
      <c r="M8495" s="2">
        <v>2813</v>
      </c>
      <c r="N8495" t="s">
        <v>5280</v>
      </c>
      <c r="O8495">
        <v>4</v>
      </c>
      <c r="P8495">
        <v>2</v>
      </c>
      <c r="Q8495">
        <v>1</v>
      </c>
      <c r="R8495" t="s">
        <v>4557</v>
      </c>
      <c r="S8495" t="s">
        <v>4898</v>
      </c>
      <c r="T8495" t="s">
        <v>2704</v>
      </c>
      <c r="U8495" t="s">
        <v>4560</v>
      </c>
      <c r="V8495" s="2">
        <v>660</v>
      </c>
      <c r="W8495" t="s">
        <v>4655</v>
      </c>
      <c r="X8495" s="2">
        <v>0</v>
      </c>
      <c r="Y8495">
        <v>20</v>
      </c>
      <c r="Z8495" t="s">
        <v>5282</v>
      </c>
      <c r="AA8495" s="3">
        <v>0.16473829746246338</v>
      </c>
      <c r="AB8495" t="s">
        <v>38871</v>
      </c>
      <c r="AC8495" t="s">
        <v>4562</v>
      </c>
      <c r="AD8495" t="s">
        <v>38872</v>
      </c>
      <c r="AE8495" t="s">
        <v>4655</v>
      </c>
      <c r="AF8495" t="s">
        <v>4563</v>
      </c>
      <c r="AG8495" t="s">
        <v>4564</v>
      </c>
      <c r="AH8495">
        <v>89501</v>
      </c>
      <c r="AI8495" t="s">
        <v>38873</v>
      </c>
      <c r="AJ8495" t="s">
        <v>2964</v>
      </c>
      <c r="AK8495" t="s">
        <v>38874</v>
      </c>
      <c r="AL8495" s="13" t="s">
        <v>2255</v>
      </c>
      <c r="AM8495">
        <v>1</v>
      </c>
      <c r="AN8495" s="15" t="s">
        <v>2965</v>
      </c>
    </row>
    <row r="8496" spans="1:40" x14ac:dyDescent="0.3">
      <c r="A8496" s="10" t="str">
        <f>HYPERLINK("http://www.washoecounty.gov/assessor/cama/?parid=570-112-06&amp;CardNumber=1","570-112-06")</f>
        <v>570-112-06</v>
      </c>
      <c r="B8496" t="s">
        <v>4655</v>
      </c>
      <c r="C8496" t="s">
        <v>38875</v>
      </c>
      <c r="D8496" s="1">
        <v>40319</v>
      </c>
      <c r="E8496" s="2">
        <v>150000</v>
      </c>
      <c r="F8496" t="s">
        <v>4553</v>
      </c>
      <c r="G8496" s="17" t="str">
        <f>HYPERLINK("https://www.washoecounty.gov/assessor/cama/?command=sales&amp;parid=57011206","3883856")</f>
        <v>3883856</v>
      </c>
      <c r="H8496" t="s">
        <v>2963</v>
      </c>
      <c r="I8496">
        <v>2005</v>
      </c>
      <c r="J8496">
        <v>2005</v>
      </c>
      <c r="K8496" t="s">
        <v>4554</v>
      </c>
      <c r="L8496" t="s">
        <v>4555</v>
      </c>
      <c r="M8496" s="2">
        <v>1615</v>
      </c>
      <c r="N8496" t="s">
        <v>5280</v>
      </c>
      <c r="O8496">
        <v>3</v>
      </c>
      <c r="P8496">
        <v>2</v>
      </c>
      <c r="Q8496">
        <v>0</v>
      </c>
      <c r="R8496" t="s">
        <v>5281</v>
      </c>
      <c r="S8496" t="s">
        <v>4898</v>
      </c>
      <c r="T8496" t="s">
        <v>2704</v>
      </c>
      <c r="U8496" t="s">
        <v>4560</v>
      </c>
      <c r="V8496" s="2">
        <v>660</v>
      </c>
      <c r="W8496" t="s">
        <v>4655</v>
      </c>
      <c r="X8496" s="2">
        <v>0</v>
      </c>
      <c r="Y8496">
        <v>20</v>
      </c>
      <c r="Z8496" t="s">
        <v>5282</v>
      </c>
      <c r="AA8496" s="3">
        <v>0.15840220451355</v>
      </c>
      <c r="AB8496" t="s">
        <v>38876</v>
      </c>
      <c r="AC8496" t="s">
        <v>4562</v>
      </c>
      <c r="AD8496" t="s">
        <v>38877</v>
      </c>
      <c r="AE8496" t="s">
        <v>4655</v>
      </c>
      <c r="AF8496" t="s">
        <v>4563</v>
      </c>
      <c r="AG8496" t="s">
        <v>4564</v>
      </c>
      <c r="AH8496" t="s">
        <v>1147</v>
      </c>
      <c r="AI8496" t="s">
        <v>4045</v>
      </c>
      <c r="AJ8496" t="s">
        <v>2964</v>
      </c>
      <c r="AK8496" t="s">
        <v>38878</v>
      </c>
      <c r="AL8496" s="13" t="s">
        <v>2255</v>
      </c>
      <c r="AM8496">
        <v>1</v>
      </c>
      <c r="AN8496" s="15" t="s">
        <v>2965</v>
      </c>
    </row>
    <row r="8497" spans="1:40" x14ac:dyDescent="0.3">
      <c r="A8497" s="10" t="str">
        <f>HYPERLINK("http://www.washoecounty.gov/assessor/cama/?parid=570-241-03&amp;CardNumber=1","570-241-03")</f>
        <v>570-241-03</v>
      </c>
      <c r="B8497" t="s">
        <v>4655</v>
      </c>
      <c r="C8497" t="s">
        <v>19816</v>
      </c>
      <c r="D8497" s="1">
        <v>40444</v>
      </c>
      <c r="E8497" s="2">
        <v>50000</v>
      </c>
      <c r="F8497" t="s">
        <v>4567</v>
      </c>
      <c r="G8497" s="17" t="str">
        <f>HYPERLINK("https://www.washoecounty.gov/assessor/cama/?command=sales&amp;parid=57024103","3925556")</f>
        <v>3925556</v>
      </c>
      <c r="H8497" t="s">
        <v>4655</v>
      </c>
      <c r="I8497">
        <v>0</v>
      </c>
      <c r="J8497">
        <v>1970</v>
      </c>
      <c r="K8497" t="s">
        <v>1243</v>
      </c>
      <c r="L8497" t="s">
        <v>4655</v>
      </c>
      <c r="M8497" s="2">
        <v>0</v>
      </c>
      <c r="N8497" t="s">
        <v>4655</v>
      </c>
      <c r="O8497">
        <v>0</v>
      </c>
      <c r="P8497">
        <v>0</v>
      </c>
      <c r="Q8497">
        <v>0</v>
      </c>
      <c r="R8497" t="s">
        <v>4655</v>
      </c>
      <c r="S8497" t="s">
        <v>4655</v>
      </c>
      <c r="T8497" t="s">
        <v>4655</v>
      </c>
      <c r="U8497" t="s">
        <v>4655</v>
      </c>
      <c r="V8497" s="2">
        <v>0</v>
      </c>
      <c r="W8497" t="s">
        <v>4655</v>
      </c>
      <c r="X8497" s="2">
        <v>0</v>
      </c>
      <c r="Y8497">
        <v>23</v>
      </c>
      <c r="Z8497" t="s">
        <v>365</v>
      </c>
      <c r="AA8497" s="3">
        <v>0.36372819542884827</v>
      </c>
      <c r="AB8497" t="s">
        <v>19817</v>
      </c>
      <c r="AC8497" t="s">
        <v>4562</v>
      </c>
      <c r="AD8497" t="s">
        <v>19818</v>
      </c>
      <c r="AE8497" t="s">
        <v>4655</v>
      </c>
      <c r="AF8497" t="s">
        <v>2134</v>
      </c>
      <c r="AG8497" t="s">
        <v>4584</v>
      </c>
      <c r="AH8497" t="s">
        <v>2135</v>
      </c>
      <c r="AI8497" t="s">
        <v>4655</v>
      </c>
      <c r="AJ8497" t="s">
        <v>38879</v>
      </c>
      <c r="AK8497" t="s">
        <v>19819</v>
      </c>
      <c r="AL8497" s="13" t="s">
        <v>2890</v>
      </c>
      <c r="AM8497" s="14">
        <v>1</v>
      </c>
      <c r="AN8497" s="15" t="s">
        <v>152</v>
      </c>
    </row>
    <row r="8498" spans="1:40" x14ac:dyDescent="0.3">
      <c r="A8498" s="10" t="str">
        <f>HYPERLINK("http://www.washoecounty.gov/assessor/cama/?parid=570-251-02&amp;CardNumber=1","570-251-02")</f>
        <v>570-251-02</v>
      </c>
      <c r="B8498" t="s">
        <v>4655</v>
      </c>
      <c r="C8498" t="s">
        <v>19820</v>
      </c>
      <c r="D8498" s="1">
        <v>40393</v>
      </c>
      <c r="E8498" s="2">
        <v>135000</v>
      </c>
      <c r="F8498" t="s">
        <v>4567</v>
      </c>
      <c r="G8498" s="17" t="str">
        <f>HYPERLINK("https://www.washoecounty.gov/assessor/cama/?command=sales&amp;parid=57025102","3908316")</f>
        <v>3908316</v>
      </c>
      <c r="H8498" t="s">
        <v>4802</v>
      </c>
      <c r="I8498">
        <v>1979</v>
      </c>
      <c r="J8498">
        <v>1979</v>
      </c>
      <c r="K8498" t="s">
        <v>4847</v>
      </c>
      <c r="L8498" t="s">
        <v>4555</v>
      </c>
      <c r="M8498" s="2">
        <v>1440</v>
      </c>
      <c r="N8498" t="s">
        <v>4048</v>
      </c>
      <c r="O8498">
        <v>3</v>
      </c>
      <c r="P8498">
        <v>2</v>
      </c>
      <c r="Q8498">
        <v>0</v>
      </c>
      <c r="R8498" t="s">
        <v>4557</v>
      </c>
      <c r="S8498" t="s">
        <v>4558</v>
      </c>
      <c r="T8498" t="s">
        <v>4559</v>
      </c>
      <c r="U8498" t="s">
        <v>4655</v>
      </c>
      <c r="V8498" s="2">
        <v>0</v>
      </c>
      <c r="W8498" t="s">
        <v>4655</v>
      </c>
      <c r="X8498" s="2">
        <v>0</v>
      </c>
      <c r="Y8498">
        <v>22</v>
      </c>
      <c r="Z8498" t="s">
        <v>365</v>
      </c>
      <c r="AA8498" s="3">
        <v>0.34400826692581199</v>
      </c>
      <c r="AB8498" t="s">
        <v>19821</v>
      </c>
      <c r="AC8498" t="s">
        <v>4562</v>
      </c>
      <c r="AD8498" t="s">
        <v>19822</v>
      </c>
      <c r="AE8498" t="s">
        <v>4655</v>
      </c>
      <c r="AF8498" t="s">
        <v>4563</v>
      </c>
      <c r="AG8498" t="s">
        <v>4564</v>
      </c>
      <c r="AH8498">
        <v>89506</v>
      </c>
      <c r="AI8498" t="s">
        <v>4655</v>
      </c>
      <c r="AJ8498" t="s">
        <v>38880</v>
      </c>
      <c r="AK8498" t="s">
        <v>19823</v>
      </c>
      <c r="AL8498" s="13" t="s">
        <v>2890</v>
      </c>
      <c r="AM8498">
        <v>1</v>
      </c>
      <c r="AN8498" s="15" t="s">
        <v>152</v>
      </c>
    </row>
    <row r="8499" spans="1:40" x14ac:dyDescent="0.3">
      <c r="A8499" s="10" t="str">
        <f>HYPERLINK("http://www.washoecounty.gov/assessor/cama/?parid=570-271-04&amp;CardNumber=1","570-271-04")</f>
        <v>570-271-04</v>
      </c>
      <c r="B8499" t="s">
        <v>4655</v>
      </c>
      <c r="C8499" t="s">
        <v>19824</v>
      </c>
      <c r="D8499" s="1">
        <v>40266</v>
      </c>
      <c r="E8499" s="2">
        <v>50000</v>
      </c>
      <c r="F8499" t="s">
        <v>4567</v>
      </c>
      <c r="G8499" s="17" t="str">
        <f>HYPERLINK("https://www.washoecounty.gov/assessor/cama/?command=sales&amp;parid=57027104","3864958")</f>
        <v>3864958</v>
      </c>
      <c r="H8499" t="s">
        <v>4655</v>
      </c>
      <c r="I8499">
        <v>1970</v>
      </c>
      <c r="J8499">
        <v>1970</v>
      </c>
      <c r="K8499" t="s">
        <v>1243</v>
      </c>
      <c r="L8499" t="s">
        <v>4655</v>
      </c>
      <c r="M8499" s="2">
        <v>0</v>
      </c>
      <c r="N8499" t="s">
        <v>4655</v>
      </c>
      <c r="O8499">
        <v>0</v>
      </c>
      <c r="P8499">
        <v>0</v>
      </c>
      <c r="Q8499">
        <v>0</v>
      </c>
      <c r="R8499" t="s">
        <v>4655</v>
      </c>
      <c r="S8499" t="s">
        <v>4655</v>
      </c>
      <c r="T8499" t="s">
        <v>4655</v>
      </c>
      <c r="U8499" t="s">
        <v>4655</v>
      </c>
      <c r="V8499" s="2">
        <v>0</v>
      </c>
      <c r="W8499" t="s">
        <v>4655</v>
      </c>
      <c r="X8499" s="2">
        <v>0</v>
      </c>
      <c r="Y8499">
        <v>23</v>
      </c>
      <c r="Z8499" t="s">
        <v>365</v>
      </c>
      <c r="AA8499" s="3">
        <v>1</v>
      </c>
      <c r="AB8499" t="s">
        <v>19825</v>
      </c>
      <c r="AC8499" t="s">
        <v>4562</v>
      </c>
      <c r="AD8499" t="s">
        <v>19826</v>
      </c>
      <c r="AE8499" t="s">
        <v>4655</v>
      </c>
      <c r="AF8499" t="s">
        <v>4563</v>
      </c>
      <c r="AG8499" t="s">
        <v>4564</v>
      </c>
      <c r="AH8499">
        <v>89506</v>
      </c>
      <c r="AI8499" t="s">
        <v>4655</v>
      </c>
      <c r="AJ8499" t="s">
        <v>38881</v>
      </c>
      <c r="AK8499" t="s">
        <v>19827</v>
      </c>
      <c r="AL8499" s="13" t="s">
        <v>1902</v>
      </c>
      <c r="AM8499" s="14">
        <v>1</v>
      </c>
      <c r="AN8499" s="15" t="s">
        <v>152</v>
      </c>
    </row>
    <row r="8500" spans="1:40" x14ac:dyDescent="0.3">
      <c r="D8500" s="1"/>
      <c r="G8500" s="13"/>
      <c r="AL8500" s="13"/>
    </row>
    <row r="8501" spans="1:40" x14ac:dyDescent="0.3">
      <c r="D8501" s="1"/>
      <c r="G8501" s="13"/>
      <c r="AL8501" s="13"/>
      <c r="AM8501" s="14"/>
    </row>
    <row r="8502" spans="1:40" x14ac:dyDescent="0.3">
      <c r="D8502" s="1"/>
      <c r="G8502" s="13"/>
      <c r="AL8502" s="13"/>
      <c r="AM8502" s="14"/>
    </row>
    <row r="8503" spans="1:40" x14ac:dyDescent="0.3">
      <c r="D8503" s="1"/>
      <c r="G8503" s="13"/>
      <c r="AL8503" s="13"/>
    </row>
    <row r="8504" spans="1:40" x14ac:dyDescent="0.3">
      <c r="D8504" s="1"/>
      <c r="G8504" s="13"/>
      <c r="AL8504" s="13"/>
      <c r="AM8504" s="14"/>
    </row>
    <row r="8505" spans="1:40" x14ac:dyDescent="0.3">
      <c r="D8505" s="1"/>
      <c r="G8505" s="13"/>
      <c r="AL8505" s="13"/>
    </row>
    <row r="8506" spans="1:40" x14ac:dyDescent="0.3">
      <c r="D8506" s="1"/>
      <c r="G8506" s="13"/>
      <c r="AL8506" s="13"/>
      <c r="AM8506" s="14"/>
    </row>
    <row r="8507" spans="1:40" x14ac:dyDescent="0.3">
      <c r="D8507" s="1"/>
      <c r="G8507" s="13"/>
      <c r="AL8507" s="13"/>
      <c r="AM8507" s="14"/>
    </row>
    <row r="8508" spans="1:40" x14ac:dyDescent="0.3">
      <c r="D8508" s="1"/>
      <c r="G8508" s="13"/>
      <c r="AL8508" s="13"/>
      <c r="AM8508" s="14"/>
    </row>
    <row r="8509" spans="1:40" x14ac:dyDescent="0.3">
      <c r="D8509" s="1"/>
      <c r="G8509" s="13"/>
      <c r="AL8509" s="13"/>
    </row>
    <row r="8510" spans="1:40" x14ac:dyDescent="0.3">
      <c r="D8510" s="1"/>
      <c r="G8510" s="13"/>
      <c r="AL8510" s="13"/>
    </row>
    <row r="8511" spans="1:40" x14ac:dyDescent="0.3">
      <c r="D8511" s="1"/>
      <c r="G8511" s="13"/>
      <c r="AL8511" s="13"/>
    </row>
    <row r="8512" spans="1:40" x14ac:dyDescent="0.3">
      <c r="D8512" s="1"/>
      <c r="G8512" s="13"/>
      <c r="AL8512" s="13"/>
      <c r="AM8512" s="14"/>
    </row>
    <row r="8513" spans="4:39" x14ac:dyDescent="0.3">
      <c r="D8513" s="1"/>
      <c r="G8513" s="13"/>
      <c r="AL8513" s="13"/>
    </row>
    <row r="8514" spans="4:39" x14ac:dyDescent="0.3">
      <c r="D8514" s="1"/>
      <c r="G8514" s="13"/>
      <c r="AL8514" s="13"/>
    </row>
    <row r="8515" spans="4:39" x14ac:dyDescent="0.3">
      <c r="D8515" s="1"/>
      <c r="G8515" s="13"/>
      <c r="AL8515" s="13"/>
      <c r="AM8515" s="14"/>
    </row>
    <row r="8516" spans="4:39" x14ac:dyDescent="0.3">
      <c r="D8516" s="1"/>
      <c r="G8516" s="13"/>
      <c r="AL8516" s="13"/>
      <c r="AM8516" s="14"/>
    </row>
    <row r="8517" spans="4:39" x14ac:dyDescent="0.3">
      <c r="D8517" s="1"/>
      <c r="G8517" s="13"/>
      <c r="AL8517" s="13"/>
    </row>
    <row r="8518" spans="4:39" x14ac:dyDescent="0.3">
      <c r="D8518" s="1"/>
      <c r="G8518" s="13"/>
      <c r="AL8518" s="13"/>
    </row>
    <row r="8519" spans="4:39" x14ac:dyDescent="0.3">
      <c r="D8519" s="1"/>
      <c r="G8519" s="13"/>
      <c r="AL8519" s="13"/>
    </row>
    <row r="8520" spans="4:39" x14ac:dyDescent="0.3">
      <c r="D8520" s="1"/>
      <c r="G8520" s="13"/>
      <c r="AL8520" s="13"/>
      <c r="AM8520" s="14"/>
    </row>
    <row r="8521" spans="4:39" x14ac:dyDescent="0.3">
      <c r="D8521" s="1"/>
      <c r="G8521" s="13"/>
      <c r="AL8521" s="13"/>
    </row>
    <row r="8522" spans="4:39" x14ac:dyDescent="0.3">
      <c r="D8522" s="1"/>
      <c r="G8522" s="13"/>
      <c r="AL8522" s="13"/>
    </row>
    <row r="8523" spans="4:39" x14ac:dyDescent="0.3">
      <c r="D8523" s="1"/>
      <c r="G8523" s="13"/>
      <c r="AL8523" s="13"/>
    </row>
    <row r="8524" spans="4:39" x14ac:dyDescent="0.3">
      <c r="D8524" s="1"/>
      <c r="G8524" s="13"/>
      <c r="AL8524" s="13"/>
      <c r="AM8524" s="14"/>
    </row>
    <row r="8525" spans="4:39" x14ac:dyDescent="0.3">
      <c r="D8525" s="1"/>
      <c r="G8525" s="13"/>
      <c r="AL8525" s="13"/>
    </row>
    <row r="8526" spans="4:39" x14ac:dyDescent="0.3">
      <c r="D8526" s="1"/>
      <c r="G8526" s="13"/>
      <c r="AL8526" s="13"/>
    </row>
    <row r="8527" spans="4:39" x14ac:dyDescent="0.3">
      <c r="D8527" s="1"/>
      <c r="G8527" s="13"/>
      <c r="AL8527" s="13"/>
    </row>
    <row r="8528" spans="4:39" x14ac:dyDescent="0.3">
      <c r="D8528" s="1"/>
      <c r="G8528" s="13"/>
      <c r="AL8528" s="13"/>
      <c r="AM8528" s="14"/>
    </row>
    <row r="8529" spans="4:39" x14ac:dyDescent="0.3">
      <c r="D8529" s="1"/>
      <c r="G8529" s="13"/>
      <c r="AL8529" s="13"/>
    </row>
    <row r="8530" spans="4:39" x14ac:dyDescent="0.3">
      <c r="D8530" s="1"/>
      <c r="G8530" s="13"/>
      <c r="AL8530" s="13"/>
    </row>
    <row r="8531" spans="4:39" x14ac:dyDescent="0.3">
      <c r="D8531" s="1"/>
      <c r="G8531" s="13"/>
      <c r="AL8531" s="13"/>
      <c r="AM8531" s="14"/>
    </row>
    <row r="8532" spans="4:39" x14ac:dyDescent="0.3">
      <c r="D8532" s="1"/>
      <c r="G8532" s="13"/>
      <c r="AL8532" s="13"/>
    </row>
    <row r="8533" spans="4:39" x14ac:dyDescent="0.3">
      <c r="D8533" s="1"/>
      <c r="G8533" s="13"/>
      <c r="AL8533" s="13"/>
      <c r="AM8533" s="14"/>
    </row>
    <row r="8534" spans="4:39" x14ac:dyDescent="0.3">
      <c r="D8534" s="1"/>
      <c r="G8534" s="13"/>
      <c r="AL8534" s="13"/>
      <c r="AM8534" s="14"/>
    </row>
    <row r="8535" spans="4:39" x14ac:dyDescent="0.3">
      <c r="D8535" s="1"/>
      <c r="G8535" s="13"/>
      <c r="AL8535" s="13"/>
      <c r="AM8535" s="14"/>
    </row>
    <row r="8536" spans="4:39" x14ac:dyDescent="0.3">
      <c r="D8536" s="1"/>
      <c r="G8536" s="13"/>
      <c r="AL8536" s="13"/>
    </row>
    <row r="8537" spans="4:39" x14ac:dyDescent="0.3">
      <c r="D8537" s="1"/>
      <c r="G8537" s="13"/>
      <c r="AL8537" s="13"/>
      <c r="AM8537" s="14"/>
    </row>
    <row r="8538" spans="4:39" x14ac:dyDescent="0.3">
      <c r="D8538" s="1"/>
      <c r="G8538" s="13"/>
      <c r="AL8538" s="13"/>
    </row>
    <row r="8539" spans="4:39" x14ac:dyDescent="0.3">
      <c r="D8539" s="1"/>
      <c r="G8539" s="13"/>
      <c r="AL8539" s="13"/>
    </row>
    <row r="8540" spans="4:39" x14ac:dyDescent="0.3">
      <c r="D8540" s="1"/>
      <c r="G8540" s="13"/>
      <c r="AL8540" s="13"/>
    </row>
    <row r="8541" spans="4:39" x14ac:dyDescent="0.3">
      <c r="D8541" s="1"/>
      <c r="G8541" s="13"/>
      <c r="AL8541" s="13"/>
    </row>
    <row r="8542" spans="4:39" x14ac:dyDescent="0.3">
      <c r="D8542" s="1"/>
      <c r="G8542" s="13"/>
      <c r="AL8542" s="13"/>
    </row>
    <row r="8543" spans="4:39" x14ac:dyDescent="0.3">
      <c r="D8543" s="1"/>
      <c r="G8543" s="13"/>
      <c r="AL8543" s="13"/>
    </row>
    <row r="8544" spans="4:39" x14ac:dyDescent="0.3">
      <c r="D8544" s="1"/>
      <c r="G8544" s="13"/>
      <c r="AL8544" s="13"/>
      <c r="AM8544" s="14"/>
    </row>
    <row r="8545" spans="4:39" x14ac:dyDescent="0.3">
      <c r="D8545" s="1"/>
      <c r="G8545" s="13"/>
      <c r="AL8545" s="13"/>
    </row>
    <row r="8546" spans="4:39" x14ac:dyDescent="0.3">
      <c r="D8546" s="1"/>
      <c r="G8546" s="13"/>
      <c r="AL8546" s="13"/>
    </row>
    <row r="8547" spans="4:39" x14ac:dyDescent="0.3">
      <c r="D8547" s="1"/>
      <c r="G8547" s="13"/>
      <c r="AL8547" s="13"/>
    </row>
    <row r="8548" spans="4:39" x14ac:dyDescent="0.3">
      <c r="D8548" s="1"/>
      <c r="G8548" s="13"/>
      <c r="AL8548" s="13"/>
    </row>
    <row r="8549" spans="4:39" x14ac:dyDescent="0.3">
      <c r="D8549" s="1"/>
      <c r="G8549" s="13"/>
      <c r="AL8549" s="13"/>
    </row>
    <row r="8550" spans="4:39" x14ac:dyDescent="0.3">
      <c r="D8550" s="1"/>
      <c r="G8550" s="13"/>
      <c r="AL8550" s="13"/>
      <c r="AM8550" s="14"/>
    </row>
    <row r="8551" spans="4:39" x14ac:dyDescent="0.3">
      <c r="D8551" s="1"/>
      <c r="G8551" s="13"/>
      <c r="AL8551" s="13"/>
      <c r="AM8551" s="14"/>
    </row>
    <row r="8552" spans="4:39" x14ac:dyDescent="0.3">
      <c r="D8552" s="1"/>
      <c r="G8552" s="13"/>
      <c r="AL8552" s="13"/>
      <c r="AM8552" s="14"/>
    </row>
    <row r="8553" spans="4:39" x14ac:dyDescent="0.3">
      <c r="D8553" s="1"/>
      <c r="G8553" s="13"/>
      <c r="AL8553" s="13"/>
    </row>
    <row r="8554" spans="4:39" x14ac:dyDescent="0.3">
      <c r="D8554" s="1"/>
      <c r="G8554" s="13"/>
      <c r="AL8554" s="13"/>
    </row>
    <row r="8555" spans="4:39" x14ac:dyDescent="0.3">
      <c r="D8555" s="1"/>
      <c r="G8555" s="13"/>
      <c r="AL8555" s="13"/>
    </row>
    <row r="8556" spans="4:39" x14ac:dyDescent="0.3">
      <c r="D8556" s="1"/>
      <c r="G8556" s="13"/>
      <c r="AL8556" s="13"/>
    </row>
    <row r="8557" spans="4:39" x14ac:dyDescent="0.3">
      <c r="D8557" s="1"/>
      <c r="G8557" s="13"/>
      <c r="AL8557" s="13"/>
    </row>
    <row r="8558" spans="4:39" x14ac:dyDescent="0.3">
      <c r="D8558" s="1"/>
      <c r="G8558" s="13"/>
      <c r="AL8558" s="13"/>
      <c r="AM8558" s="14"/>
    </row>
    <row r="8559" spans="4:39" x14ac:dyDescent="0.3">
      <c r="D8559" s="1"/>
      <c r="G8559" s="13"/>
      <c r="AL8559" s="13"/>
    </row>
    <row r="8560" spans="4:39" x14ac:dyDescent="0.3">
      <c r="D8560" s="1"/>
      <c r="G8560" s="13"/>
      <c r="AL8560" s="13"/>
    </row>
    <row r="8561" spans="4:39" x14ac:dyDescent="0.3">
      <c r="D8561" s="1"/>
      <c r="G8561" s="13"/>
      <c r="AL8561" s="13"/>
      <c r="AM8561" s="14"/>
    </row>
    <row r="8562" spans="4:39" x14ac:dyDescent="0.3">
      <c r="D8562" s="1"/>
      <c r="G8562" s="13"/>
      <c r="AL8562" s="13"/>
    </row>
    <row r="8563" spans="4:39" x14ac:dyDescent="0.3">
      <c r="D8563" s="1"/>
      <c r="G8563" s="13"/>
      <c r="AL8563" s="13"/>
    </row>
    <row r="8564" spans="4:39" x14ac:dyDescent="0.3">
      <c r="D8564" s="1"/>
      <c r="G8564" s="13"/>
      <c r="AL8564" s="13"/>
    </row>
    <row r="8565" spans="4:39" x14ac:dyDescent="0.3">
      <c r="D8565" s="1"/>
      <c r="G8565" s="13"/>
      <c r="AL8565" s="13"/>
    </row>
    <row r="8566" spans="4:39" x14ac:dyDescent="0.3">
      <c r="D8566" s="1"/>
      <c r="G8566" s="13"/>
      <c r="AL8566" s="13"/>
    </row>
    <row r="8567" spans="4:39" x14ac:dyDescent="0.3">
      <c r="D8567" s="1"/>
      <c r="G8567" s="13"/>
      <c r="AL8567" s="13"/>
    </row>
    <row r="8568" spans="4:39" x14ac:dyDescent="0.3">
      <c r="D8568" s="1"/>
      <c r="G8568" s="13"/>
      <c r="AL8568" s="13"/>
      <c r="AM8568" s="14"/>
    </row>
    <row r="8569" spans="4:39" x14ac:dyDescent="0.3">
      <c r="D8569" s="1"/>
      <c r="G8569" s="13"/>
      <c r="AL8569" s="13"/>
    </row>
    <row r="8570" spans="4:39" x14ac:dyDescent="0.3">
      <c r="D8570" s="1"/>
      <c r="G8570" s="13"/>
      <c r="AL8570" s="13"/>
    </row>
    <row r="8571" spans="4:39" x14ac:dyDescent="0.3">
      <c r="D8571" s="1"/>
      <c r="G8571" s="13"/>
      <c r="AL8571" s="13"/>
    </row>
    <row r="8572" spans="4:39" x14ac:dyDescent="0.3">
      <c r="D8572" s="1"/>
      <c r="G8572" s="13"/>
      <c r="AL8572" s="13"/>
      <c r="AM8572" s="14"/>
    </row>
    <row r="8573" spans="4:39" x14ac:dyDescent="0.3">
      <c r="D8573" s="1"/>
      <c r="G8573" s="13"/>
      <c r="AL8573" s="13"/>
      <c r="AM8573" s="14"/>
    </row>
    <row r="8574" spans="4:39" x14ac:dyDescent="0.3">
      <c r="D8574" s="1"/>
      <c r="G8574" s="13"/>
      <c r="AL8574" s="13"/>
    </row>
    <row r="8575" spans="4:39" x14ac:dyDescent="0.3">
      <c r="D8575" s="1"/>
      <c r="G8575" s="13"/>
      <c r="AL8575" s="13"/>
      <c r="AM8575" s="14"/>
    </row>
    <row r="8576" spans="4:39" x14ac:dyDescent="0.3">
      <c r="D8576" s="1"/>
      <c r="G8576" s="13"/>
      <c r="AL8576" s="13"/>
      <c r="AM8576" s="14"/>
    </row>
    <row r="8577" spans="4:39" x14ac:dyDescent="0.3">
      <c r="D8577" s="1"/>
      <c r="G8577" s="13"/>
      <c r="AL8577" s="13"/>
    </row>
    <row r="8578" spans="4:39" x14ac:dyDescent="0.3">
      <c r="D8578" s="1"/>
      <c r="G8578" s="13"/>
      <c r="AL8578" s="13"/>
    </row>
    <row r="8579" spans="4:39" x14ac:dyDescent="0.3">
      <c r="D8579" s="1"/>
      <c r="G8579" s="13"/>
      <c r="AL8579" s="13"/>
      <c r="AM8579" s="14"/>
    </row>
    <row r="8580" spans="4:39" x14ac:dyDescent="0.3">
      <c r="D8580" s="1"/>
      <c r="G8580" s="13"/>
      <c r="AL8580" s="13"/>
    </row>
    <row r="8581" spans="4:39" x14ac:dyDescent="0.3">
      <c r="D8581" s="1"/>
      <c r="G8581" s="13"/>
      <c r="AL8581" s="13"/>
    </row>
    <row r="8582" spans="4:39" x14ac:dyDescent="0.3">
      <c r="D8582" s="1"/>
      <c r="G8582" s="13"/>
      <c r="AL8582" s="13"/>
      <c r="AM8582" s="14"/>
    </row>
    <row r="8583" spans="4:39" x14ac:dyDescent="0.3">
      <c r="D8583" s="1"/>
      <c r="G8583" s="13"/>
      <c r="AL8583" s="13"/>
    </row>
    <row r="8584" spans="4:39" x14ac:dyDescent="0.3">
      <c r="D8584" s="1"/>
      <c r="G8584" s="13"/>
      <c r="AL8584" s="13"/>
      <c r="AM8584" s="14"/>
    </row>
    <row r="8585" spans="4:39" x14ac:dyDescent="0.3">
      <c r="D8585" s="1"/>
      <c r="G8585" s="13"/>
      <c r="AL8585" s="13"/>
    </row>
    <row r="8586" spans="4:39" x14ac:dyDescent="0.3">
      <c r="D8586" s="1"/>
      <c r="G8586" s="13"/>
      <c r="AL8586" s="13"/>
      <c r="AM8586" s="14"/>
    </row>
    <row r="8587" spans="4:39" x14ac:dyDescent="0.3">
      <c r="D8587" s="1"/>
      <c r="G8587" s="13"/>
      <c r="AL8587" s="13"/>
    </row>
    <row r="8588" spans="4:39" x14ac:dyDescent="0.3">
      <c r="D8588" s="1"/>
      <c r="G8588" s="13"/>
      <c r="AL8588" s="13"/>
    </row>
    <row r="8589" spans="4:39" x14ac:dyDescent="0.3">
      <c r="D8589" s="1"/>
      <c r="G8589" s="13"/>
      <c r="AL8589" s="13"/>
    </row>
    <row r="8590" spans="4:39" x14ac:dyDescent="0.3">
      <c r="D8590" s="1"/>
      <c r="G8590" s="13"/>
      <c r="AL8590" s="13"/>
    </row>
    <row r="8591" spans="4:39" x14ac:dyDescent="0.3">
      <c r="D8591" s="1"/>
      <c r="G8591" s="13"/>
      <c r="AL8591" s="13"/>
    </row>
    <row r="8592" spans="4:39" x14ac:dyDescent="0.3">
      <c r="D8592" s="1"/>
      <c r="G8592" s="13"/>
      <c r="AL8592" s="13"/>
    </row>
    <row r="8593" spans="4:39" x14ac:dyDescent="0.3">
      <c r="D8593" s="1"/>
      <c r="G8593" s="13"/>
      <c r="AL8593" s="13"/>
    </row>
    <row r="8594" spans="4:39" x14ac:dyDescent="0.3">
      <c r="D8594" s="1"/>
      <c r="G8594" s="13"/>
      <c r="AL8594" s="13"/>
      <c r="AM8594" s="14"/>
    </row>
    <row r="8595" spans="4:39" x14ac:dyDescent="0.3">
      <c r="D8595" s="1"/>
      <c r="G8595" s="13"/>
      <c r="AL8595" s="13"/>
    </row>
    <row r="8596" spans="4:39" x14ac:dyDescent="0.3">
      <c r="D8596" s="1"/>
      <c r="G8596" s="13"/>
      <c r="AL8596" s="13"/>
    </row>
    <row r="8597" spans="4:39" x14ac:dyDescent="0.3">
      <c r="D8597" s="1"/>
      <c r="G8597" s="13"/>
      <c r="AL8597" s="13"/>
      <c r="AM8597" s="14"/>
    </row>
    <row r="8598" spans="4:39" x14ac:dyDescent="0.3">
      <c r="D8598" s="1"/>
      <c r="G8598" s="13"/>
      <c r="AL8598" s="13"/>
      <c r="AM8598" s="14"/>
    </row>
    <row r="8599" spans="4:39" x14ac:dyDescent="0.3">
      <c r="D8599" s="1"/>
      <c r="G8599" s="13"/>
      <c r="AL8599" s="13"/>
      <c r="AM8599" s="14"/>
    </row>
    <row r="8600" spans="4:39" x14ac:dyDescent="0.3">
      <c r="D8600" s="1"/>
      <c r="G8600" s="13"/>
      <c r="AL8600" s="13"/>
    </row>
    <row r="8601" spans="4:39" x14ac:dyDescent="0.3">
      <c r="D8601" s="1"/>
      <c r="G8601" s="13"/>
      <c r="AL8601" s="13"/>
    </row>
    <row r="8602" spans="4:39" x14ac:dyDescent="0.3">
      <c r="D8602" s="1"/>
      <c r="G8602" s="13"/>
      <c r="AL8602" s="13"/>
    </row>
    <row r="8603" spans="4:39" x14ac:dyDescent="0.3">
      <c r="D8603" s="1"/>
      <c r="G8603" s="13"/>
      <c r="AL8603" s="13"/>
      <c r="AM8603" s="14"/>
    </row>
    <row r="8604" spans="4:39" x14ac:dyDescent="0.3">
      <c r="D8604" s="1"/>
      <c r="G8604" s="13"/>
      <c r="AL8604" s="13"/>
    </row>
    <row r="8605" spans="4:39" x14ac:dyDescent="0.3">
      <c r="D8605" s="1"/>
      <c r="G8605" s="13"/>
      <c r="AL8605" s="13"/>
    </row>
    <row r="8606" spans="4:39" x14ac:dyDescent="0.3">
      <c r="D8606" s="1"/>
      <c r="G8606" s="13"/>
      <c r="AL8606" s="13"/>
    </row>
    <row r="8607" spans="4:39" x14ac:dyDescent="0.3">
      <c r="D8607" s="1"/>
      <c r="G8607" s="13"/>
      <c r="AL8607" s="13"/>
    </row>
    <row r="8608" spans="4:39" x14ac:dyDescent="0.3">
      <c r="D8608" s="1"/>
      <c r="G8608" s="13"/>
      <c r="AL8608" s="13"/>
      <c r="AM8608" s="14"/>
    </row>
    <row r="8609" spans="4:39" x14ac:dyDescent="0.3">
      <c r="D8609" s="1"/>
      <c r="G8609" s="13"/>
      <c r="AL8609" s="13"/>
    </row>
    <row r="8610" spans="4:39" x14ac:dyDescent="0.3">
      <c r="D8610" s="1"/>
      <c r="G8610" s="13"/>
      <c r="AL8610" s="13"/>
    </row>
    <row r="8611" spans="4:39" x14ac:dyDescent="0.3">
      <c r="D8611" s="1"/>
      <c r="G8611" s="13"/>
      <c r="AL8611" s="13"/>
      <c r="AM8611" s="14"/>
    </row>
    <row r="8612" spans="4:39" x14ac:dyDescent="0.3">
      <c r="D8612" s="1"/>
      <c r="G8612" s="13"/>
      <c r="AL8612" s="13"/>
      <c r="AM8612" s="14"/>
    </row>
    <row r="8613" spans="4:39" x14ac:dyDescent="0.3">
      <c r="D8613" s="1"/>
      <c r="G8613" s="13"/>
      <c r="AL8613" s="13"/>
      <c r="AM8613" s="14"/>
    </row>
    <row r="8614" spans="4:39" x14ac:dyDescent="0.3">
      <c r="D8614" s="1"/>
      <c r="G8614" s="13"/>
      <c r="AL8614" s="13"/>
    </row>
    <row r="8615" spans="4:39" x14ac:dyDescent="0.3">
      <c r="D8615" s="1"/>
      <c r="G8615" s="13"/>
      <c r="AL8615" s="13"/>
    </row>
    <row r="8616" spans="4:39" x14ac:dyDescent="0.3">
      <c r="D8616" s="1"/>
      <c r="G8616" s="13"/>
      <c r="AL8616" s="13"/>
    </row>
    <row r="8617" spans="4:39" x14ac:dyDescent="0.3">
      <c r="D8617" s="1"/>
      <c r="G8617" s="13"/>
      <c r="AL8617" s="13"/>
    </row>
    <row r="8618" spans="4:39" x14ac:dyDescent="0.3">
      <c r="D8618" s="1"/>
      <c r="G8618" s="13"/>
      <c r="AL8618" s="13"/>
    </row>
    <row r="8619" spans="4:39" x14ac:dyDescent="0.3">
      <c r="D8619" s="1"/>
      <c r="G8619" s="13"/>
      <c r="AL8619" s="13"/>
    </row>
    <row r="8620" spans="4:39" x14ac:dyDescent="0.3">
      <c r="D8620" s="1"/>
      <c r="G8620" s="13"/>
      <c r="AL8620" s="13"/>
    </row>
    <row r="8621" spans="4:39" x14ac:dyDescent="0.3">
      <c r="D8621" s="1"/>
      <c r="G8621" s="13"/>
      <c r="AL8621" s="13"/>
    </row>
    <row r="8622" spans="4:39" x14ac:dyDescent="0.3">
      <c r="D8622" s="1"/>
      <c r="G8622" s="13"/>
      <c r="AL8622" s="13"/>
      <c r="AM8622" s="14"/>
    </row>
    <row r="8623" spans="4:39" x14ac:dyDescent="0.3">
      <c r="D8623" s="1"/>
      <c r="G8623" s="13"/>
      <c r="AL8623" s="13"/>
    </row>
    <row r="8624" spans="4:39" x14ac:dyDescent="0.3">
      <c r="D8624" s="1"/>
      <c r="G8624" s="13"/>
      <c r="AL8624" s="13"/>
    </row>
    <row r="8625" spans="4:39" x14ac:dyDescent="0.3">
      <c r="D8625" s="1"/>
      <c r="G8625" s="13"/>
      <c r="AL8625" s="13"/>
    </row>
    <row r="8626" spans="4:39" x14ac:dyDescent="0.3">
      <c r="D8626" s="1"/>
      <c r="G8626" s="13"/>
      <c r="AL8626" s="13"/>
    </row>
    <row r="8627" spans="4:39" x14ac:dyDescent="0.3">
      <c r="D8627" s="1"/>
      <c r="G8627" s="13"/>
      <c r="AL8627" s="13"/>
    </row>
    <row r="8628" spans="4:39" x14ac:dyDescent="0.3">
      <c r="D8628" s="1"/>
      <c r="G8628" s="13"/>
      <c r="AL8628" s="13"/>
    </row>
    <row r="8629" spans="4:39" x14ac:dyDescent="0.3">
      <c r="D8629" s="1"/>
      <c r="G8629" s="13"/>
      <c r="AL8629" s="13"/>
    </row>
    <row r="8630" spans="4:39" x14ac:dyDescent="0.3">
      <c r="D8630" s="1"/>
      <c r="G8630" s="13"/>
      <c r="AL8630" s="13"/>
      <c r="AM8630" s="14"/>
    </row>
    <row r="8631" spans="4:39" x14ac:dyDescent="0.3">
      <c r="D8631" s="1"/>
      <c r="G8631" s="13"/>
      <c r="AL8631" s="13"/>
    </row>
    <row r="8632" spans="4:39" x14ac:dyDescent="0.3">
      <c r="D8632" s="1"/>
      <c r="G8632" s="13"/>
      <c r="AL8632" s="13"/>
    </row>
    <row r="8633" spans="4:39" x14ac:dyDescent="0.3">
      <c r="D8633" s="1"/>
      <c r="G8633" s="13"/>
      <c r="AL8633" s="13"/>
      <c r="AM8633" s="14"/>
    </row>
    <row r="8634" spans="4:39" x14ac:dyDescent="0.3">
      <c r="D8634" s="1"/>
      <c r="G8634" s="13"/>
      <c r="AL8634" s="13"/>
    </row>
    <row r="8635" spans="4:39" x14ac:dyDescent="0.3">
      <c r="D8635" s="1"/>
      <c r="G8635" s="13"/>
      <c r="AL8635" s="13"/>
    </row>
    <row r="8636" spans="4:39" x14ac:dyDescent="0.3">
      <c r="D8636" s="1"/>
      <c r="G8636" s="13"/>
      <c r="AL8636" s="13"/>
    </row>
    <row r="8637" spans="4:39" x14ac:dyDescent="0.3">
      <c r="D8637" s="1"/>
      <c r="G8637" s="13"/>
      <c r="AL8637" s="13"/>
    </row>
    <row r="8638" spans="4:39" x14ac:dyDescent="0.3">
      <c r="D8638" s="1"/>
      <c r="G8638" s="13"/>
      <c r="AL8638" s="13"/>
      <c r="AM8638" s="14"/>
    </row>
    <row r="8639" spans="4:39" x14ac:dyDescent="0.3">
      <c r="D8639" s="1"/>
      <c r="G8639" s="13"/>
      <c r="AL8639" s="13"/>
    </row>
    <row r="8640" spans="4:39" x14ac:dyDescent="0.3">
      <c r="D8640" s="1"/>
      <c r="G8640" s="13"/>
      <c r="AL8640" s="13"/>
    </row>
    <row r="8641" spans="4:38" x14ac:dyDescent="0.3">
      <c r="D8641" s="1"/>
      <c r="G8641" s="13"/>
      <c r="AL8641" s="13"/>
    </row>
    <row r="8642" spans="4:38" x14ac:dyDescent="0.3">
      <c r="D8642" s="1"/>
      <c r="G8642" s="13"/>
      <c r="AL8642" s="13"/>
    </row>
    <row r="8643" spans="4:38" x14ac:dyDescent="0.3">
      <c r="D8643" s="1"/>
      <c r="G8643" s="13"/>
      <c r="AL8643" s="13"/>
    </row>
    <row r="8644" spans="4:38" x14ac:dyDescent="0.3">
      <c r="D8644" s="1"/>
      <c r="G8644" s="13"/>
      <c r="AL8644" s="13"/>
    </row>
    <row r="8645" spans="4:38" x14ac:dyDescent="0.3">
      <c r="D8645" s="1"/>
      <c r="G8645" s="13"/>
      <c r="AL8645" s="13"/>
    </row>
    <row r="8646" spans="4:38" x14ac:dyDescent="0.3">
      <c r="D8646" s="1"/>
      <c r="G8646" s="13"/>
      <c r="AL8646" s="13"/>
    </row>
    <row r="8647" spans="4:38" x14ac:dyDescent="0.3">
      <c r="D8647" s="1"/>
      <c r="G8647" s="13"/>
      <c r="AL8647" s="13"/>
    </row>
    <row r="8648" spans="4:38" x14ac:dyDescent="0.3">
      <c r="D8648" s="1"/>
      <c r="G8648" s="13"/>
      <c r="AL8648" s="13"/>
    </row>
    <row r="8649" spans="4:38" x14ac:dyDescent="0.3">
      <c r="D8649" s="1"/>
      <c r="G8649" s="13"/>
      <c r="AL8649" s="13"/>
    </row>
    <row r="8650" spans="4:38" x14ac:dyDescent="0.3">
      <c r="D8650" s="1"/>
      <c r="G8650" s="13"/>
      <c r="AL8650" s="13"/>
    </row>
    <row r="8651" spans="4:38" x14ac:dyDescent="0.3">
      <c r="D8651" s="1"/>
      <c r="G8651" s="13"/>
      <c r="AL8651" s="13"/>
    </row>
    <row r="8652" spans="4:38" x14ac:dyDescent="0.3">
      <c r="D8652" s="1"/>
      <c r="G8652" s="13"/>
      <c r="AL8652" s="13"/>
    </row>
    <row r="8653" spans="4:38" x14ac:dyDescent="0.3">
      <c r="D8653" s="1"/>
      <c r="G8653" s="13"/>
      <c r="AL8653" s="13"/>
    </row>
    <row r="8654" spans="4:38" x14ac:dyDescent="0.3">
      <c r="D8654" s="1"/>
      <c r="G8654" s="13"/>
      <c r="AL8654" s="13"/>
    </row>
    <row r="8655" spans="4:38" x14ac:dyDescent="0.3">
      <c r="D8655" s="1"/>
      <c r="G8655" s="13"/>
      <c r="AL8655" s="13"/>
    </row>
    <row r="8656" spans="4:38" x14ac:dyDescent="0.3">
      <c r="D8656" s="1"/>
      <c r="G8656" s="13"/>
      <c r="AL8656" s="13"/>
    </row>
    <row r="8657" spans="4:39" x14ac:dyDescent="0.3">
      <c r="D8657" s="1"/>
      <c r="G8657" s="13"/>
      <c r="AL8657" s="13"/>
      <c r="AM8657" s="14"/>
    </row>
    <row r="8658" spans="4:39" x14ac:dyDescent="0.3">
      <c r="D8658" s="1"/>
      <c r="G8658" s="13"/>
      <c r="AL8658" s="13"/>
    </row>
    <row r="8659" spans="4:39" x14ac:dyDescent="0.3">
      <c r="D8659" s="1"/>
      <c r="G8659" s="13"/>
      <c r="AL8659" s="13"/>
    </row>
    <row r="8660" spans="4:39" x14ac:dyDescent="0.3">
      <c r="D8660" s="1"/>
      <c r="G8660" s="13"/>
      <c r="AL8660" s="13"/>
    </row>
    <row r="8661" spans="4:39" x14ac:dyDescent="0.3">
      <c r="D8661" s="1"/>
      <c r="G8661" s="13"/>
      <c r="AL8661" s="13"/>
    </row>
    <row r="8662" spans="4:39" x14ac:dyDescent="0.3">
      <c r="D8662" s="1"/>
      <c r="G8662" s="13"/>
      <c r="AL8662" s="13"/>
      <c r="AM8662" s="14"/>
    </row>
    <row r="8663" spans="4:39" x14ac:dyDescent="0.3">
      <c r="D8663" s="1"/>
      <c r="G8663" s="13"/>
      <c r="AL8663" s="13"/>
      <c r="AM8663" s="14"/>
    </row>
    <row r="8664" spans="4:39" x14ac:dyDescent="0.3">
      <c r="D8664" s="1"/>
      <c r="G8664" s="13"/>
      <c r="AL8664" s="13"/>
      <c r="AM8664" s="14"/>
    </row>
    <row r="8665" spans="4:39" x14ac:dyDescent="0.3">
      <c r="D8665" s="1"/>
      <c r="G8665" s="13"/>
      <c r="AL8665" s="13"/>
      <c r="AM8665" s="14"/>
    </row>
    <row r="8666" spans="4:39" x14ac:dyDescent="0.3">
      <c r="D8666" s="1"/>
      <c r="G8666" s="13"/>
      <c r="AL8666" s="13"/>
    </row>
    <row r="8667" spans="4:39" x14ac:dyDescent="0.3">
      <c r="D8667" s="1"/>
      <c r="G8667" s="13"/>
      <c r="AL8667" s="13"/>
      <c r="AM8667" s="14"/>
    </row>
    <row r="8668" spans="4:39" x14ac:dyDescent="0.3">
      <c r="D8668" s="1"/>
      <c r="G8668" s="13"/>
      <c r="AL8668" s="13"/>
      <c r="AM8668" s="14"/>
    </row>
    <row r="8669" spans="4:39" x14ac:dyDescent="0.3">
      <c r="D8669" s="1"/>
      <c r="G8669" s="13"/>
      <c r="AL8669" s="13"/>
    </row>
    <row r="8670" spans="4:39" x14ac:dyDescent="0.3">
      <c r="D8670" s="1"/>
      <c r="G8670" s="13"/>
      <c r="AL8670" s="13"/>
    </row>
    <row r="8671" spans="4:39" x14ac:dyDescent="0.3">
      <c r="D8671" s="1"/>
      <c r="G8671" s="13"/>
      <c r="AL8671" s="13"/>
      <c r="AM8671" s="14"/>
    </row>
    <row r="8672" spans="4:39" x14ac:dyDescent="0.3">
      <c r="D8672" s="1"/>
      <c r="G8672" s="13"/>
      <c r="AL8672" s="13"/>
    </row>
    <row r="8673" spans="4:39" x14ac:dyDescent="0.3">
      <c r="D8673" s="1"/>
      <c r="G8673" s="13"/>
      <c r="AL8673" s="13"/>
    </row>
    <row r="8674" spans="4:39" x14ac:dyDescent="0.3">
      <c r="D8674" s="1"/>
      <c r="G8674" s="13"/>
      <c r="AL8674" s="13"/>
    </row>
    <row r="8675" spans="4:39" x14ac:dyDescent="0.3">
      <c r="D8675" s="1"/>
      <c r="G8675" s="13"/>
      <c r="AL8675" s="13"/>
    </row>
    <row r="8676" spans="4:39" x14ac:dyDescent="0.3">
      <c r="D8676" s="1"/>
      <c r="G8676" s="13"/>
      <c r="AL8676" s="13"/>
    </row>
    <row r="8677" spans="4:39" x14ac:dyDescent="0.3">
      <c r="D8677" s="1"/>
      <c r="G8677" s="13"/>
      <c r="AL8677" s="13"/>
    </row>
    <row r="8678" spans="4:39" x14ac:dyDescent="0.3">
      <c r="D8678" s="1"/>
      <c r="G8678" s="13"/>
      <c r="AL8678" s="13"/>
    </row>
    <row r="8679" spans="4:39" x14ac:dyDescent="0.3">
      <c r="D8679" s="1"/>
      <c r="G8679" s="13"/>
      <c r="AL8679" s="13"/>
      <c r="AM8679" s="14"/>
    </row>
    <row r="8680" spans="4:39" x14ac:dyDescent="0.3">
      <c r="D8680" s="1"/>
      <c r="G8680" s="13"/>
      <c r="AL8680" s="13"/>
    </row>
    <row r="8681" spans="4:39" x14ac:dyDescent="0.3">
      <c r="D8681" s="1"/>
      <c r="G8681" s="13"/>
      <c r="AL8681" s="13"/>
      <c r="AM8681" s="14"/>
    </row>
    <row r="8682" spans="4:39" x14ac:dyDescent="0.3">
      <c r="D8682" s="1"/>
      <c r="G8682" s="13"/>
      <c r="AL8682" s="13"/>
      <c r="AM8682" s="14"/>
    </row>
    <row r="8683" spans="4:39" x14ac:dyDescent="0.3">
      <c r="D8683" s="1"/>
      <c r="G8683" s="13"/>
      <c r="AL8683" s="13"/>
      <c r="AM8683" s="14"/>
    </row>
    <row r="8684" spans="4:39" x14ac:dyDescent="0.3">
      <c r="D8684" s="1"/>
      <c r="G8684" s="13"/>
      <c r="AL8684" s="13"/>
      <c r="AM8684" s="14"/>
    </row>
    <row r="8685" spans="4:39" x14ac:dyDescent="0.3">
      <c r="D8685" s="1"/>
      <c r="G8685" s="13"/>
      <c r="AL8685" s="13"/>
    </row>
    <row r="8686" spans="4:39" x14ac:dyDescent="0.3">
      <c r="D8686" s="1"/>
      <c r="G8686" s="13"/>
      <c r="AL8686" s="13"/>
      <c r="AM8686" s="14"/>
    </row>
    <row r="8687" spans="4:39" x14ac:dyDescent="0.3">
      <c r="D8687" s="1"/>
      <c r="G8687" s="13"/>
      <c r="AL8687" s="13"/>
    </row>
    <row r="8688" spans="4:39" x14ac:dyDescent="0.3">
      <c r="D8688" s="1"/>
      <c r="G8688" s="13"/>
      <c r="AL8688" s="13"/>
    </row>
    <row r="8689" spans="4:39" x14ac:dyDescent="0.3">
      <c r="D8689" s="1"/>
      <c r="G8689" s="13"/>
      <c r="AL8689" s="13"/>
    </row>
    <row r="8690" spans="4:39" x14ac:dyDescent="0.3">
      <c r="D8690" s="1"/>
      <c r="G8690" s="13"/>
      <c r="AL8690" s="13"/>
    </row>
    <row r="8691" spans="4:39" x14ac:dyDescent="0.3">
      <c r="D8691" s="1"/>
      <c r="G8691" s="13"/>
      <c r="AL8691" s="13"/>
    </row>
    <row r="8692" spans="4:39" x14ac:dyDescent="0.3">
      <c r="D8692" s="1"/>
      <c r="G8692" s="13"/>
      <c r="AL8692" s="13"/>
    </row>
    <row r="8693" spans="4:39" x14ac:dyDescent="0.3">
      <c r="D8693" s="1"/>
      <c r="G8693" s="13"/>
      <c r="AL8693" s="13"/>
    </row>
    <row r="8694" spans="4:39" x14ac:dyDescent="0.3">
      <c r="D8694" s="1"/>
      <c r="G8694" s="13"/>
      <c r="AL8694" s="13"/>
    </row>
    <row r="8695" spans="4:39" x14ac:dyDescent="0.3">
      <c r="D8695" s="1"/>
      <c r="G8695" s="13"/>
      <c r="AL8695" s="13"/>
    </row>
    <row r="8696" spans="4:39" x14ac:dyDescent="0.3">
      <c r="D8696" s="1"/>
      <c r="G8696" s="13"/>
      <c r="AL8696" s="13"/>
      <c r="AM8696" s="14"/>
    </row>
    <row r="8697" spans="4:39" x14ac:dyDescent="0.3">
      <c r="D8697" s="1"/>
      <c r="G8697" s="13"/>
      <c r="AL8697" s="13"/>
    </row>
    <row r="8698" spans="4:39" x14ac:dyDescent="0.3">
      <c r="D8698" s="1"/>
      <c r="G8698" s="13"/>
      <c r="AL8698" s="13"/>
    </row>
    <row r="8699" spans="4:39" x14ac:dyDescent="0.3">
      <c r="D8699" s="1"/>
      <c r="G8699" s="13"/>
      <c r="AL8699" s="13"/>
    </row>
    <row r="8700" spans="4:39" x14ac:dyDescent="0.3">
      <c r="D8700" s="1"/>
      <c r="G8700" s="13"/>
      <c r="AL8700" s="13"/>
    </row>
    <row r="8701" spans="4:39" x14ac:dyDescent="0.3">
      <c r="D8701" s="1"/>
      <c r="G8701" s="13"/>
      <c r="AL8701" s="13"/>
    </row>
    <row r="8702" spans="4:39" x14ac:dyDescent="0.3">
      <c r="D8702" s="1"/>
      <c r="G8702" s="13"/>
      <c r="AL8702" s="13"/>
      <c r="AM8702" s="14"/>
    </row>
    <row r="8703" spans="4:39" x14ac:dyDescent="0.3">
      <c r="D8703" s="1"/>
      <c r="G8703" s="13"/>
      <c r="AL8703" s="13"/>
    </row>
    <row r="8704" spans="4:39" x14ac:dyDescent="0.3">
      <c r="D8704" s="1"/>
      <c r="G8704" s="13"/>
      <c r="AL8704" s="13"/>
      <c r="AM8704" s="14"/>
    </row>
    <row r="8705" spans="4:39" x14ac:dyDescent="0.3">
      <c r="D8705" s="1"/>
      <c r="G8705" s="13"/>
      <c r="AL8705" s="13"/>
      <c r="AM8705" s="14"/>
    </row>
    <row r="8706" spans="4:39" x14ac:dyDescent="0.3">
      <c r="D8706" s="1"/>
      <c r="G8706" s="13"/>
      <c r="AL8706" s="13"/>
      <c r="AM8706" s="14"/>
    </row>
    <row r="8707" spans="4:39" x14ac:dyDescent="0.3">
      <c r="D8707" s="1"/>
      <c r="G8707" s="13"/>
      <c r="AL8707" s="13"/>
    </row>
    <row r="8708" spans="4:39" x14ac:dyDescent="0.3">
      <c r="D8708" s="1"/>
      <c r="G8708" s="13"/>
      <c r="AL8708" s="13"/>
    </row>
    <row r="8709" spans="4:39" x14ac:dyDescent="0.3">
      <c r="D8709" s="1"/>
      <c r="G8709" s="13"/>
      <c r="AL8709" s="13"/>
      <c r="AM8709" s="14"/>
    </row>
    <row r="8710" spans="4:39" x14ac:dyDescent="0.3">
      <c r="D8710" s="1"/>
      <c r="G8710" s="13"/>
      <c r="AL8710" s="13"/>
    </row>
    <row r="8711" spans="4:39" x14ac:dyDescent="0.3">
      <c r="D8711" s="1"/>
      <c r="G8711" s="13"/>
      <c r="AL8711" s="13"/>
    </row>
    <row r="8712" spans="4:39" x14ac:dyDescent="0.3">
      <c r="D8712" s="1"/>
      <c r="G8712" s="13"/>
      <c r="AL8712" s="13"/>
    </row>
    <row r="8713" spans="4:39" x14ac:dyDescent="0.3">
      <c r="D8713" s="1"/>
      <c r="G8713" s="13"/>
      <c r="AL8713" s="13"/>
    </row>
    <row r="8714" spans="4:39" x14ac:dyDescent="0.3">
      <c r="D8714" s="1"/>
      <c r="G8714" s="13"/>
      <c r="AL8714" s="13"/>
    </row>
    <row r="8715" spans="4:39" x14ac:dyDescent="0.3">
      <c r="D8715" s="1"/>
      <c r="G8715" s="13"/>
      <c r="AL8715" s="13"/>
      <c r="AM8715" s="14"/>
    </row>
    <row r="8716" spans="4:39" x14ac:dyDescent="0.3">
      <c r="D8716" s="1"/>
      <c r="G8716" s="13"/>
      <c r="AL8716" s="13"/>
    </row>
    <row r="8717" spans="4:39" x14ac:dyDescent="0.3">
      <c r="D8717" s="1"/>
      <c r="G8717" s="13"/>
      <c r="AL8717" s="13"/>
    </row>
    <row r="8718" spans="4:39" x14ac:dyDescent="0.3">
      <c r="D8718" s="1"/>
      <c r="G8718" s="13"/>
      <c r="AL8718" s="13"/>
    </row>
    <row r="8719" spans="4:39" x14ac:dyDescent="0.3">
      <c r="D8719" s="1"/>
      <c r="G8719" s="13"/>
      <c r="AL8719" s="13"/>
      <c r="AM8719" s="14"/>
    </row>
    <row r="8720" spans="4:39" x14ac:dyDescent="0.3">
      <c r="D8720" s="1"/>
      <c r="G8720" s="13"/>
      <c r="AL8720" s="13"/>
    </row>
    <row r="8721" spans="4:39" x14ac:dyDescent="0.3">
      <c r="D8721" s="1"/>
      <c r="G8721" s="13"/>
      <c r="AL8721" s="13"/>
      <c r="AM8721" s="14"/>
    </row>
    <row r="8722" spans="4:39" x14ac:dyDescent="0.3">
      <c r="D8722" s="1"/>
      <c r="G8722" s="13"/>
      <c r="AL8722" s="13"/>
      <c r="AM8722" s="14"/>
    </row>
    <row r="8723" spans="4:39" x14ac:dyDescent="0.3">
      <c r="D8723" s="1"/>
      <c r="G8723" s="13"/>
      <c r="AL8723" s="13"/>
      <c r="AM8723" s="14"/>
    </row>
    <row r="8724" spans="4:39" x14ac:dyDescent="0.3">
      <c r="D8724" s="1"/>
      <c r="G8724" s="13"/>
      <c r="AL8724" s="13"/>
    </row>
    <row r="8725" spans="4:39" x14ac:dyDescent="0.3">
      <c r="D8725" s="1"/>
      <c r="G8725" s="13"/>
      <c r="AL8725" s="13"/>
    </row>
    <row r="8726" spans="4:39" x14ac:dyDescent="0.3">
      <c r="D8726" s="1"/>
      <c r="G8726" s="13"/>
      <c r="AL8726" s="13"/>
      <c r="AM8726" s="14"/>
    </row>
    <row r="8727" spans="4:39" x14ac:dyDescent="0.3">
      <c r="D8727" s="1"/>
      <c r="G8727" s="13"/>
      <c r="AL8727" s="13"/>
    </row>
    <row r="8728" spans="4:39" x14ac:dyDescent="0.3">
      <c r="D8728" s="1"/>
      <c r="G8728" s="13"/>
      <c r="AL8728" s="13"/>
      <c r="AM8728" s="14"/>
    </row>
    <row r="8729" spans="4:39" x14ac:dyDescent="0.3">
      <c r="D8729" s="1"/>
      <c r="G8729" s="13"/>
      <c r="AL8729" s="13"/>
    </row>
    <row r="8730" spans="4:39" x14ac:dyDescent="0.3">
      <c r="D8730" s="1"/>
      <c r="G8730" s="13"/>
      <c r="AL8730" s="13"/>
      <c r="AM8730" s="14"/>
    </row>
    <row r="8731" spans="4:39" x14ac:dyDescent="0.3">
      <c r="D8731" s="1"/>
      <c r="G8731" s="13"/>
      <c r="AL8731" s="13"/>
      <c r="AM8731" s="14"/>
    </row>
    <row r="8732" spans="4:39" x14ac:dyDescent="0.3">
      <c r="D8732" s="1"/>
      <c r="G8732" s="13"/>
      <c r="AL8732" s="13"/>
    </row>
    <row r="8733" spans="4:39" x14ac:dyDescent="0.3">
      <c r="D8733" s="1"/>
      <c r="G8733" s="13"/>
      <c r="AL8733" s="13"/>
      <c r="AM8733" s="14"/>
    </row>
    <row r="8734" spans="4:39" x14ac:dyDescent="0.3">
      <c r="D8734" s="1"/>
      <c r="G8734" s="13"/>
      <c r="AL8734" s="13"/>
    </row>
    <row r="8735" spans="4:39" x14ac:dyDescent="0.3">
      <c r="D8735" s="1"/>
      <c r="G8735" s="13"/>
      <c r="AL8735" s="13"/>
      <c r="AM8735" s="14"/>
    </row>
    <row r="8736" spans="4:39" x14ac:dyDescent="0.3">
      <c r="D8736" s="1"/>
      <c r="G8736" s="13"/>
      <c r="AL8736" s="13"/>
    </row>
    <row r="8737" spans="4:39" x14ac:dyDescent="0.3">
      <c r="D8737" s="1"/>
      <c r="G8737" s="13"/>
      <c r="AL8737" s="13"/>
      <c r="AM8737" s="14"/>
    </row>
    <row r="8738" spans="4:39" x14ac:dyDescent="0.3">
      <c r="D8738" s="1"/>
      <c r="G8738" s="13"/>
      <c r="AL8738" s="13"/>
    </row>
    <row r="8739" spans="4:39" x14ac:dyDescent="0.3">
      <c r="D8739" s="1"/>
      <c r="G8739" s="13"/>
      <c r="AL8739" s="13"/>
    </row>
    <row r="8740" spans="4:39" x14ac:dyDescent="0.3">
      <c r="D8740" s="1"/>
      <c r="G8740" s="13"/>
      <c r="AL8740" s="13"/>
      <c r="AM8740" s="14"/>
    </row>
    <row r="8741" spans="4:39" x14ac:dyDescent="0.3">
      <c r="D8741" s="1"/>
      <c r="G8741" s="13"/>
      <c r="AL8741" s="13"/>
      <c r="AM8741" s="14"/>
    </row>
    <row r="8742" spans="4:39" x14ac:dyDescent="0.3">
      <c r="D8742" s="1"/>
      <c r="G8742" s="13"/>
      <c r="AL8742" s="13"/>
    </row>
    <row r="8743" spans="4:39" x14ac:dyDescent="0.3">
      <c r="D8743" s="1"/>
      <c r="G8743" s="13"/>
      <c r="AL8743" s="13"/>
    </row>
    <row r="8744" spans="4:39" x14ac:dyDescent="0.3">
      <c r="D8744" s="1"/>
      <c r="G8744" s="13"/>
      <c r="AL8744" s="13"/>
      <c r="AM8744" s="14"/>
    </row>
    <row r="8745" spans="4:39" x14ac:dyDescent="0.3">
      <c r="D8745" s="1"/>
      <c r="G8745" s="13"/>
      <c r="AL8745" s="13"/>
    </row>
    <row r="8746" spans="4:39" x14ac:dyDescent="0.3">
      <c r="D8746" s="1"/>
      <c r="G8746" s="13"/>
      <c r="AL8746" s="13"/>
    </row>
    <row r="8747" spans="4:39" x14ac:dyDescent="0.3">
      <c r="D8747" s="1"/>
      <c r="G8747" s="13"/>
      <c r="AL8747" s="13"/>
    </row>
    <row r="8748" spans="4:39" x14ac:dyDescent="0.3">
      <c r="D8748" s="1"/>
      <c r="G8748" s="13"/>
      <c r="AL8748" s="13"/>
    </row>
    <row r="8749" spans="4:39" x14ac:dyDescent="0.3">
      <c r="D8749" s="1"/>
      <c r="G8749" s="13"/>
      <c r="AL8749" s="13"/>
    </row>
    <row r="8750" spans="4:39" x14ac:dyDescent="0.3">
      <c r="D8750" s="1"/>
      <c r="G8750" s="13"/>
      <c r="AL8750" s="13"/>
      <c r="AM8750" s="14"/>
    </row>
    <row r="8751" spans="4:39" x14ac:dyDescent="0.3">
      <c r="D8751" s="1"/>
      <c r="G8751" s="13"/>
      <c r="AL8751" s="13"/>
      <c r="AM8751" s="14"/>
    </row>
    <row r="8752" spans="4:39" x14ac:dyDescent="0.3">
      <c r="D8752" s="1"/>
      <c r="G8752" s="13"/>
      <c r="AL8752" s="13"/>
    </row>
    <row r="8753" spans="4:39" x14ac:dyDescent="0.3">
      <c r="D8753" s="1"/>
      <c r="G8753" s="13"/>
      <c r="AL8753" s="13"/>
    </row>
    <row r="8754" spans="4:39" x14ac:dyDescent="0.3">
      <c r="D8754" s="1"/>
      <c r="G8754" s="13"/>
      <c r="AL8754" s="13"/>
      <c r="AM8754" s="14"/>
    </row>
    <row r="8755" spans="4:39" x14ac:dyDescent="0.3">
      <c r="D8755" s="1"/>
      <c r="G8755" s="13"/>
      <c r="AL8755" s="13"/>
      <c r="AM8755" s="14"/>
    </row>
    <row r="8756" spans="4:39" x14ac:dyDescent="0.3">
      <c r="D8756" s="1"/>
      <c r="G8756" s="13"/>
      <c r="AL8756" s="13"/>
      <c r="AM8756" s="14"/>
    </row>
    <row r="8757" spans="4:39" x14ac:dyDescent="0.3">
      <c r="D8757" s="1"/>
      <c r="G8757" s="13"/>
      <c r="AL8757" s="13"/>
      <c r="AM8757" s="14"/>
    </row>
    <row r="8758" spans="4:39" x14ac:dyDescent="0.3">
      <c r="D8758" s="1"/>
      <c r="G8758" s="13"/>
      <c r="AL8758" s="13"/>
      <c r="AM8758" s="14"/>
    </row>
    <row r="8759" spans="4:39" x14ac:dyDescent="0.3">
      <c r="D8759" s="1"/>
      <c r="G8759" s="13"/>
      <c r="AL8759" s="13"/>
    </row>
    <row r="8760" spans="4:39" x14ac:dyDescent="0.3">
      <c r="D8760" s="1"/>
      <c r="G8760" s="13"/>
      <c r="AL8760" s="13"/>
      <c r="AM8760" s="14"/>
    </row>
    <row r="8761" spans="4:39" x14ac:dyDescent="0.3">
      <c r="D8761" s="1"/>
      <c r="G8761" s="13"/>
      <c r="AL8761" s="13"/>
    </row>
    <row r="8762" spans="4:39" x14ac:dyDescent="0.3">
      <c r="D8762" s="1"/>
      <c r="G8762" s="13"/>
      <c r="AL8762" s="13"/>
    </row>
    <row r="8763" spans="4:39" x14ac:dyDescent="0.3">
      <c r="D8763" s="1"/>
      <c r="G8763" s="13"/>
      <c r="AL8763" s="13"/>
      <c r="AM8763" s="14"/>
    </row>
    <row r="8764" spans="4:39" x14ac:dyDescent="0.3">
      <c r="D8764" s="1"/>
      <c r="G8764" s="13"/>
      <c r="AL8764" s="13"/>
    </row>
    <row r="8765" spans="4:39" x14ac:dyDescent="0.3">
      <c r="D8765" s="1"/>
      <c r="G8765" s="13"/>
      <c r="AL8765" s="13"/>
      <c r="AM8765" s="14"/>
    </row>
    <row r="8766" spans="4:39" x14ac:dyDescent="0.3">
      <c r="D8766" s="1"/>
      <c r="G8766" s="13"/>
      <c r="AL8766" s="13"/>
    </row>
    <row r="8767" spans="4:39" x14ac:dyDescent="0.3">
      <c r="D8767" s="1"/>
      <c r="G8767" s="13"/>
      <c r="AL8767" s="13"/>
      <c r="AM8767" s="14"/>
    </row>
    <row r="8768" spans="4:39" x14ac:dyDescent="0.3">
      <c r="D8768" s="1"/>
      <c r="G8768" s="13"/>
      <c r="AL8768" s="13"/>
    </row>
    <row r="8769" spans="4:39" x14ac:dyDescent="0.3">
      <c r="D8769" s="1"/>
      <c r="G8769" s="13"/>
      <c r="AL8769" s="13"/>
      <c r="AM8769" s="14"/>
    </row>
    <row r="8770" spans="4:39" x14ac:dyDescent="0.3">
      <c r="D8770" s="1"/>
      <c r="G8770" s="13"/>
      <c r="AL8770" s="13"/>
      <c r="AM8770" s="14"/>
    </row>
    <row r="8771" spans="4:39" x14ac:dyDescent="0.3">
      <c r="D8771" s="1"/>
      <c r="G8771" s="13"/>
      <c r="AL8771" s="13"/>
    </row>
    <row r="8772" spans="4:39" x14ac:dyDescent="0.3">
      <c r="D8772" s="1"/>
      <c r="G8772" s="13"/>
      <c r="AL8772" s="13"/>
      <c r="AM8772" s="14"/>
    </row>
    <row r="8773" spans="4:39" x14ac:dyDescent="0.3">
      <c r="D8773" s="1"/>
      <c r="G8773" s="13"/>
      <c r="AL8773" s="13"/>
      <c r="AM8773" s="14"/>
    </row>
    <row r="8774" spans="4:39" x14ac:dyDescent="0.3">
      <c r="D8774" s="1"/>
      <c r="G8774" s="13"/>
      <c r="AL8774" s="13"/>
      <c r="AM8774" s="14"/>
    </row>
    <row r="8775" spans="4:39" x14ac:dyDescent="0.3">
      <c r="D8775" s="1"/>
      <c r="G8775" s="13"/>
      <c r="AL8775" s="13"/>
      <c r="AM8775" s="14"/>
    </row>
    <row r="8776" spans="4:39" x14ac:dyDescent="0.3">
      <c r="D8776" s="1"/>
      <c r="G8776" s="13"/>
      <c r="AL8776" s="13"/>
    </row>
    <row r="8777" spans="4:39" x14ac:dyDescent="0.3">
      <c r="D8777" s="1"/>
      <c r="G8777" s="13"/>
      <c r="AL8777" s="13"/>
    </row>
    <row r="8778" spans="4:39" x14ac:dyDescent="0.3">
      <c r="D8778" s="1"/>
      <c r="G8778" s="13"/>
      <c r="AL8778" s="13"/>
    </row>
    <row r="8779" spans="4:39" x14ac:dyDescent="0.3">
      <c r="D8779" s="1"/>
      <c r="G8779" s="13"/>
      <c r="AL8779" s="13"/>
    </row>
    <row r="8780" spans="4:39" x14ac:dyDescent="0.3">
      <c r="D8780" s="1"/>
      <c r="G8780" s="13"/>
      <c r="AL8780" s="13"/>
      <c r="AM8780" s="14"/>
    </row>
    <row r="8781" spans="4:39" x14ac:dyDescent="0.3">
      <c r="D8781" s="1"/>
      <c r="G8781" s="13"/>
      <c r="AL8781" s="13"/>
      <c r="AM8781" s="14"/>
    </row>
    <row r="8782" spans="4:39" x14ac:dyDescent="0.3">
      <c r="D8782" s="1"/>
      <c r="G8782" s="13"/>
      <c r="AL8782" s="13"/>
    </row>
    <row r="8783" spans="4:39" x14ac:dyDescent="0.3">
      <c r="D8783" s="1"/>
      <c r="G8783" s="13"/>
      <c r="AL8783" s="13"/>
    </row>
    <row r="8784" spans="4:39" x14ac:dyDescent="0.3">
      <c r="D8784" s="1"/>
      <c r="G8784" s="13"/>
      <c r="AL8784" s="13"/>
    </row>
    <row r="8785" spans="4:39" x14ac:dyDescent="0.3">
      <c r="D8785" s="1"/>
      <c r="G8785" s="13"/>
      <c r="AL8785" s="13"/>
    </row>
    <row r="8786" spans="4:39" x14ac:dyDescent="0.3">
      <c r="D8786" s="1"/>
      <c r="G8786" s="13"/>
      <c r="AL8786" s="13"/>
      <c r="AM8786" s="14"/>
    </row>
    <row r="8787" spans="4:39" x14ac:dyDescent="0.3">
      <c r="D8787" s="1"/>
      <c r="G8787" s="13"/>
      <c r="AL8787" s="13"/>
      <c r="AM8787" s="14"/>
    </row>
    <row r="8788" spans="4:39" x14ac:dyDescent="0.3">
      <c r="D8788" s="1"/>
      <c r="G8788" s="13"/>
      <c r="AL8788" s="13"/>
    </row>
    <row r="8789" spans="4:39" x14ac:dyDescent="0.3">
      <c r="D8789" s="1"/>
      <c r="G8789" s="13"/>
      <c r="AL8789" s="13"/>
      <c r="AM8789" s="14"/>
    </row>
    <row r="8790" spans="4:39" x14ac:dyDescent="0.3">
      <c r="D8790" s="1"/>
      <c r="G8790" s="13"/>
      <c r="AL8790" s="13"/>
      <c r="AM8790" s="14"/>
    </row>
    <row r="8791" spans="4:39" x14ac:dyDescent="0.3">
      <c r="D8791" s="1"/>
      <c r="G8791" s="13"/>
      <c r="AL8791" s="13"/>
      <c r="AM8791" s="14"/>
    </row>
    <row r="8792" spans="4:39" x14ac:dyDescent="0.3">
      <c r="D8792" s="1"/>
      <c r="G8792" s="13"/>
      <c r="AL8792" s="13"/>
    </row>
    <row r="8793" spans="4:39" x14ac:dyDescent="0.3">
      <c r="D8793" s="1"/>
      <c r="G8793" s="13"/>
      <c r="AL8793" s="13"/>
    </row>
    <row r="8794" spans="4:39" x14ac:dyDescent="0.3">
      <c r="D8794" s="1"/>
      <c r="G8794" s="13"/>
      <c r="AL8794" s="13"/>
    </row>
    <row r="8795" spans="4:39" x14ac:dyDescent="0.3">
      <c r="D8795" s="1"/>
      <c r="G8795" s="13"/>
      <c r="AL8795" s="13"/>
      <c r="AM8795" s="14"/>
    </row>
    <row r="8796" spans="4:39" x14ac:dyDescent="0.3">
      <c r="D8796" s="1"/>
      <c r="G8796" s="13"/>
      <c r="AL8796" s="13"/>
    </row>
    <row r="8797" spans="4:39" x14ac:dyDescent="0.3">
      <c r="D8797" s="1"/>
      <c r="G8797" s="13"/>
      <c r="AL8797" s="13"/>
      <c r="AM8797" s="14"/>
    </row>
    <row r="8798" spans="4:39" x14ac:dyDescent="0.3">
      <c r="D8798" s="1"/>
      <c r="G8798" s="13"/>
      <c r="AL8798" s="13"/>
    </row>
    <row r="8799" spans="4:39" x14ac:dyDescent="0.3">
      <c r="D8799" s="1"/>
      <c r="G8799" s="13"/>
      <c r="AL8799" s="13"/>
    </row>
    <row r="8800" spans="4:39" x14ac:dyDescent="0.3">
      <c r="D8800" s="1"/>
      <c r="G8800" s="13"/>
      <c r="AL8800" s="13"/>
    </row>
    <row r="8801" spans="4:39" x14ac:dyDescent="0.3">
      <c r="D8801" s="1"/>
      <c r="G8801" s="13"/>
      <c r="AL8801" s="13"/>
      <c r="AM8801" s="14"/>
    </row>
    <row r="8802" spans="4:39" x14ac:dyDescent="0.3">
      <c r="D8802" s="1"/>
      <c r="G8802" s="13"/>
      <c r="AL8802" s="13"/>
    </row>
    <row r="8803" spans="4:39" x14ac:dyDescent="0.3">
      <c r="D8803" s="1"/>
      <c r="G8803" s="13"/>
      <c r="AL8803" s="13"/>
    </row>
    <row r="8804" spans="4:39" x14ac:dyDescent="0.3">
      <c r="D8804" s="1"/>
      <c r="G8804" s="13"/>
      <c r="AL8804" s="13"/>
    </row>
    <row r="8805" spans="4:39" x14ac:dyDescent="0.3">
      <c r="D8805" s="1"/>
      <c r="G8805" s="13"/>
      <c r="AL8805" s="13"/>
    </row>
    <row r="8806" spans="4:39" x14ac:dyDescent="0.3">
      <c r="D8806" s="1"/>
      <c r="G8806" s="13"/>
      <c r="AL8806" s="13"/>
    </row>
    <row r="8807" spans="4:39" x14ac:dyDescent="0.3">
      <c r="D8807" s="1"/>
      <c r="G8807" s="13"/>
      <c r="AL8807" s="13"/>
    </row>
    <row r="8808" spans="4:39" x14ac:dyDescent="0.3">
      <c r="D8808" s="1"/>
      <c r="G8808" s="13"/>
      <c r="AL8808" s="13"/>
    </row>
    <row r="8809" spans="4:39" x14ac:dyDescent="0.3">
      <c r="D8809" s="1"/>
      <c r="G8809" s="13"/>
      <c r="AL8809" s="13"/>
    </row>
    <row r="8810" spans="4:39" x14ac:dyDescent="0.3">
      <c r="D8810" s="1"/>
      <c r="G8810" s="13"/>
      <c r="AL8810" s="13"/>
    </row>
    <row r="8811" spans="4:39" x14ac:dyDescent="0.3">
      <c r="D8811" s="1"/>
      <c r="G8811" s="13"/>
      <c r="AL8811" s="13"/>
    </row>
    <row r="8812" spans="4:39" x14ac:dyDescent="0.3">
      <c r="D8812" s="1"/>
      <c r="G8812" s="13"/>
      <c r="AL8812" s="13"/>
    </row>
    <row r="8813" spans="4:39" x14ac:dyDescent="0.3">
      <c r="D8813" s="1"/>
      <c r="G8813" s="13"/>
      <c r="AL8813" s="13"/>
    </row>
    <row r="8814" spans="4:39" x14ac:dyDescent="0.3">
      <c r="D8814" s="1"/>
      <c r="G8814" s="13"/>
      <c r="AL8814" s="13"/>
      <c r="AM8814" s="14"/>
    </row>
    <row r="8815" spans="4:39" x14ac:dyDescent="0.3">
      <c r="D8815" s="1"/>
      <c r="G8815" s="13"/>
      <c r="AL8815" s="13"/>
      <c r="AM8815" s="14"/>
    </row>
    <row r="8816" spans="4:39" x14ac:dyDescent="0.3">
      <c r="D8816" s="1"/>
      <c r="G8816" s="13"/>
      <c r="AL8816" s="13"/>
      <c r="AM8816" s="14"/>
    </row>
    <row r="8817" spans="4:39" x14ac:dyDescent="0.3">
      <c r="D8817" s="1"/>
      <c r="G8817" s="13"/>
      <c r="AL8817" s="13"/>
    </row>
    <row r="8818" spans="4:39" x14ac:dyDescent="0.3">
      <c r="D8818" s="1"/>
      <c r="G8818" s="13"/>
      <c r="AL8818" s="13"/>
    </row>
    <row r="8819" spans="4:39" x14ac:dyDescent="0.3">
      <c r="D8819" s="1"/>
      <c r="G8819" s="13"/>
      <c r="AL8819" s="13"/>
    </row>
    <row r="8820" spans="4:39" x14ac:dyDescent="0.3">
      <c r="D8820" s="1"/>
      <c r="G8820" s="13"/>
      <c r="AL8820" s="13"/>
      <c r="AM8820" s="14"/>
    </row>
    <row r="8821" spans="4:39" x14ac:dyDescent="0.3">
      <c r="D8821" s="1"/>
      <c r="G8821" s="13"/>
      <c r="AL8821" s="13"/>
    </row>
    <row r="8822" spans="4:39" x14ac:dyDescent="0.3">
      <c r="D8822" s="1"/>
      <c r="G8822" s="13"/>
      <c r="AL8822" s="13"/>
      <c r="AM8822" s="14"/>
    </row>
    <row r="8823" spans="4:39" x14ac:dyDescent="0.3">
      <c r="D8823" s="1"/>
      <c r="G8823" s="13"/>
      <c r="AL8823" s="13"/>
    </row>
    <row r="8824" spans="4:39" x14ac:dyDescent="0.3">
      <c r="D8824" s="1"/>
      <c r="G8824" s="13"/>
      <c r="AL8824" s="13"/>
      <c r="AM8824" s="14"/>
    </row>
    <row r="8825" spans="4:39" x14ac:dyDescent="0.3">
      <c r="D8825" s="1"/>
      <c r="G8825" s="13"/>
      <c r="AL8825" s="13"/>
      <c r="AM8825" s="14"/>
    </row>
    <row r="8826" spans="4:39" x14ac:dyDescent="0.3">
      <c r="D8826" s="1"/>
      <c r="G8826" s="13"/>
      <c r="AL8826" s="13"/>
    </row>
    <row r="8827" spans="4:39" x14ac:dyDescent="0.3">
      <c r="D8827" s="1"/>
      <c r="G8827" s="13"/>
      <c r="AL8827" s="13"/>
    </row>
    <row r="8828" spans="4:39" x14ac:dyDescent="0.3">
      <c r="D8828" s="1"/>
      <c r="G8828" s="13"/>
      <c r="AL8828" s="13"/>
    </row>
    <row r="8829" spans="4:39" x14ac:dyDescent="0.3">
      <c r="D8829" s="1"/>
      <c r="G8829" s="13"/>
      <c r="AL8829" s="13"/>
    </row>
    <row r="8830" spans="4:39" x14ac:dyDescent="0.3">
      <c r="D8830" s="1"/>
      <c r="G8830" s="13"/>
      <c r="AL8830" s="13"/>
      <c r="AM8830" s="14"/>
    </row>
    <row r="8831" spans="4:39" x14ac:dyDescent="0.3">
      <c r="D8831" s="1"/>
      <c r="G8831" s="13"/>
      <c r="AL8831" s="13"/>
    </row>
    <row r="8832" spans="4:39" x14ac:dyDescent="0.3">
      <c r="D8832" s="1"/>
      <c r="G8832" s="13"/>
      <c r="AL8832" s="13"/>
    </row>
    <row r="8833" spans="4:39" x14ac:dyDescent="0.3">
      <c r="D8833" s="1"/>
      <c r="G8833" s="13"/>
      <c r="AL8833" s="13"/>
    </row>
    <row r="8834" spans="4:39" x14ac:dyDescent="0.3">
      <c r="D8834" s="1"/>
      <c r="G8834" s="13"/>
      <c r="AL8834" s="13"/>
    </row>
    <row r="8835" spans="4:39" x14ac:dyDescent="0.3">
      <c r="D8835" s="1"/>
      <c r="G8835" s="13"/>
      <c r="AL8835" s="13"/>
      <c r="AM8835" s="14"/>
    </row>
    <row r="8836" spans="4:39" x14ac:dyDescent="0.3">
      <c r="D8836" s="1"/>
      <c r="G8836" s="13"/>
      <c r="AL8836" s="13"/>
      <c r="AM8836" s="14"/>
    </row>
    <row r="8837" spans="4:39" x14ac:dyDescent="0.3">
      <c r="D8837" s="1"/>
      <c r="G8837" s="13"/>
      <c r="AL8837" s="13"/>
    </row>
    <row r="8838" spans="4:39" x14ac:dyDescent="0.3">
      <c r="D8838" s="1"/>
      <c r="G8838" s="13"/>
      <c r="AL8838" s="13"/>
    </row>
    <row r="8839" spans="4:39" x14ac:dyDescent="0.3">
      <c r="D8839" s="1"/>
      <c r="G8839" s="13"/>
      <c r="AL8839" s="13"/>
    </row>
    <row r="8840" spans="4:39" x14ac:dyDescent="0.3">
      <c r="D8840" s="1"/>
      <c r="G8840" s="13"/>
      <c r="AL8840" s="13"/>
      <c r="AM8840" s="14"/>
    </row>
    <row r="8841" spans="4:39" x14ac:dyDescent="0.3">
      <c r="D8841" s="1"/>
      <c r="G8841" s="13"/>
      <c r="AL8841" s="13"/>
      <c r="AM8841" s="14"/>
    </row>
    <row r="8842" spans="4:39" x14ac:dyDescent="0.3">
      <c r="D8842" s="1"/>
      <c r="G8842" s="13"/>
      <c r="AL8842" s="13"/>
    </row>
    <row r="8843" spans="4:39" x14ac:dyDescent="0.3">
      <c r="D8843" s="1"/>
      <c r="G8843" s="13"/>
      <c r="AL8843" s="13"/>
    </row>
    <row r="8844" spans="4:39" x14ac:dyDescent="0.3">
      <c r="D8844" s="1"/>
      <c r="G8844" s="13"/>
      <c r="AL8844" s="13"/>
      <c r="AM8844" s="14"/>
    </row>
    <row r="8845" spans="4:39" x14ac:dyDescent="0.3">
      <c r="D8845" s="1"/>
      <c r="G8845" s="13"/>
      <c r="AL8845" s="13"/>
    </row>
    <row r="8846" spans="4:39" x14ac:dyDescent="0.3">
      <c r="D8846" s="1"/>
      <c r="G8846" s="13"/>
      <c r="AL8846" s="13"/>
      <c r="AM8846" s="14"/>
    </row>
    <row r="8847" spans="4:39" x14ac:dyDescent="0.3">
      <c r="D8847" s="1"/>
      <c r="G8847" s="13"/>
      <c r="AL8847" s="13"/>
    </row>
    <row r="8848" spans="4:39" x14ac:dyDescent="0.3">
      <c r="D8848" s="1"/>
      <c r="G8848" s="13"/>
      <c r="AL8848" s="13"/>
    </row>
    <row r="8849" spans="4:39" x14ac:dyDescent="0.3">
      <c r="D8849" s="1"/>
      <c r="G8849" s="13"/>
      <c r="AL8849" s="13"/>
    </row>
    <row r="8850" spans="4:39" x14ac:dyDescent="0.3">
      <c r="D8850" s="1"/>
      <c r="G8850" s="13"/>
      <c r="AL8850" s="13"/>
      <c r="AM8850" s="14"/>
    </row>
    <row r="8851" spans="4:39" x14ac:dyDescent="0.3">
      <c r="D8851" s="1"/>
      <c r="G8851" s="13"/>
      <c r="AL8851" s="13"/>
    </row>
    <row r="8852" spans="4:39" x14ac:dyDescent="0.3">
      <c r="D8852" s="1"/>
      <c r="G8852" s="13"/>
      <c r="AL8852" s="13"/>
    </row>
    <row r="8853" spans="4:39" x14ac:dyDescent="0.3">
      <c r="D8853" s="1"/>
      <c r="G8853" s="13"/>
      <c r="AL8853" s="13"/>
    </row>
    <row r="8854" spans="4:39" x14ac:dyDescent="0.3">
      <c r="D8854" s="1"/>
      <c r="G8854" s="13"/>
      <c r="AL8854" s="13"/>
    </row>
    <row r="8855" spans="4:39" x14ac:dyDescent="0.3">
      <c r="D8855" s="1"/>
      <c r="G8855" s="13"/>
      <c r="AL8855" s="13"/>
      <c r="AM8855" s="14"/>
    </row>
    <row r="8856" spans="4:39" x14ac:dyDescent="0.3">
      <c r="D8856" s="1"/>
      <c r="G8856" s="13"/>
      <c r="AL8856" s="13"/>
    </row>
    <row r="8857" spans="4:39" x14ac:dyDescent="0.3">
      <c r="D8857" s="1"/>
      <c r="G8857" s="13"/>
      <c r="AL8857" s="13"/>
    </row>
    <row r="8858" spans="4:39" x14ac:dyDescent="0.3">
      <c r="D8858" s="1"/>
      <c r="G8858" s="13"/>
      <c r="AL8858" s="13"/>
      <c r="AM8858" s="14"/>
    </row>
    <row r="8859" spans="4:39" x14ac:dyDescent="0.3">
      <c r="D8859" s="1"/>
      <c r="G8859" s="13"/>
      <c r="AL8859" s="13"/>
    </row>
    <row r="8860" spans="4:39" x14ac:dyDescent="0.3">
      <c r="D8860" s="1"/>
      <c r="G8860" s="13"/>
      <c r="AL8860" s="13"/>
    </row>
    <row r="8861" spans="4:39" x14ac:dyDescent="0.3">
      <c r="D8861" s="1"/>
      <c r="G8861" s="13"/>
      <c r="AL8861" s="13"/>
    </row>
    <row r="8862" spans="4:39" x14ac:dyDescent="0.3">
      <c r="D8862" s="1"/>
      <c r="G8862" s="13"/>
      <c r="AL8862" s="13"/>
    </row>
    <row r="8863" spans="4:39" x14ac:dyDescent="0.3">
      <c r="D8863" s="1"/>
      <c r="G8863" s="13"/>
      <c r="AL8863" s="13"/>
    </row>
    <row r="8864" spans="4:39" x14ac:dyDescent="0.3">
      <c r="D8864" s="1"/>
      <c r="G8864" s="13"/>
      <c r="AL8864" s="13"/>
    </row>
    <row r="8865" spans="4:39" x14ac:dyDescent="0.3">
      <c r="D8865" s="1"/>
      <c r="G8865" s="13"/>
      <c r="AL8865" s="13"/>
      <c r="AM8865" s="14"/>
    </row>
    <row r="8866" spans="4:39" x14ac:dyDescent="0.3">
      <c r="D8866" s="1"/>
      <c r="G8866" s="13"/>
      <c r="AL8866" s="13"/>
    </row>
    <row r="8867" spans="4:39" x14ac:dyDescent="0.3">
      <c r="D8867" s="1"/>
      <c r="G8867" s="13"/>
      <c r="AL8867" s="13"/>
    </row>
    <row r="8868" spans="4:39" x14ac:dyDescent="0.3">
      <c r="D8868" s="1"/>
      <c r="G8868" s="13"/>
      <c r="AL8868" s="13"/>
    </row>
    <row r="8869" spans="4:39" x14ac:dyDescent="0.3">
      <c r="D8869" s="1"/>
      <c r="G8869" s="13"/>
      <c r="AL8869" s="13"/>
    </row>
    <row r="8870" spans="4:39" x14ac:dyDescent="0.3">
      <c r="D8870" s="1"/>
      <c r="G8870" s="13"/>
      <c r="AL8870" s="13"/>
    </row>
    <row r="8871" spans="4:39" x14ac:dyDescent="0.3">
      <c r="D8871" s="1"/>
      <c r="G8871" s="13"/>
      <c r="AL8871" s="13"/>
    </row>
    <row r="8872" spans="4:39" x14ac:dyDescent="0.3">
      <c r="D8872" s="1"/>
      <c r="G8872" s="13"/>
      <c r="AL8872" s="13"/>
    </row>
    <row r="8873" spans="4:39" x14ac:dyDescent="0.3">
      <c r="D8873" s="1"/>
      <c r="G8873" s="13"/>
      <c r="AL8873" s="13"/>
    </row>
    <row r="8874" spans="4:39" x14ac:dyDescent="0.3">
      <c r="D8874" s="1"/>
      <c r="G8874" s="13"/>
      <c r="AL8874" s="13"/>
    </row>
    <row r="8875" spans="4:39" x14ac:dyDescent="0.3">
      <c r="D8875" s="1"/>
      <c r="G8875" s="13"/>
      <c r="AL8875" s="13"/>
      <c r="AM8875" s="14"/>
    </row>
    <row r="8876" spans="4:39" x14ac:dyDescent="0.3">
      <c r="D8876" s="1"/>
      <c r="G8876" s="13"/>
      <c r="AL8876" s="13"/>
      <c r="AM8876" s="14"/>
    </row>
    <row r="8877" spans="4:39" x14ac:dyDescent="0.3">
      <c r="D8877" s="1"/>
      <c r="G8877" s="13"/>
      <c r="AL8877" s="13"/>
    </row>
    <row r="8878" spans="4:39" x14ac:dyDescent="0.3">
      <c r="D8878" s="1"/>
      <c r="G8878" s="13"/>
      <c r="AL8878" s="13"/>
    </row>
    <row r="8879" spans="4:39" x14ac:dyDescent="0.3">
      <c r="D8879" s="1"/>
      <c r="G8879" s="13"/>
      <c r="AL8879" s="13"/>
    </row>
    <row r="8880" spans="4:39" x14ac:dyDescent="0.3">
      <c r="D8880" s="1"/>
      <c r="G8880" s="13"/>
      <c r="AL8880" s="13"/>
      <c r="AM8880" s="14"/>
    </row>
    <row r="8881" spans="4:39" x14ac:dyDescent="0.3">
      <c r="D8881" s="1"/>
      <c r="G8881" s="13"/>
      <c r="AL8881" s="13"/>
      <c r="AM8881" s="14"/>
    </row>
    <row r="8882" spans="4:39" x14ac:dyDescent="0.3">
      <c r="D8882" s="1"/>
      <c r="G8882" s="13"/>
      <c r="AL8882" s="13"/>
    </row>
    <row r="8883" spans="4:39" x14ac:dyDescent="0.3">
      <c r="D8883" s="1"/>
      <c r="G8883" s="13"/>
      <c r="AL8883" s="13"/>
    </row>
    <row r="8884" spans="4:39" x14ac:dyDescent="0.3">
      <c r="D8884" s="1"/>
      <c r="G8884" s="13"/>
      <c r="AL8884" s="13"/>
    </row>
    <row r="8885" spans="4:39" x14ac:dyDescent="0.3">
      <c r="D8885" s="1"/>
      <c r="G8885" s="13"/>
      <c r="AL8885" s="13"/>
      <c r="AM8885" s="14"/>
    </row>
    <row r="8886" spans="4:39" x14ac:dyDescent="0.3">
      <c r="D8886" s="1"/>
      <c r="G8886" s="13"/>
      <c r="AL8886" s="13"/>
    </row>
    <row r="8887" spans="4:39" x14ac:dyDescent="0.3">
      <c r="D8887" s="1"/>
      <c r="G8887" s="13"/>
      <c r="AL8887" s="13"/>
    </row>
    <row r="8888" spans="4:39" x14ac:dyDescent="0.3">
      <c r="D8888" s="1"/>
      <c r="G8888" s="13"/>
      <c r="AL8888" s="13"/>
    </row>
    <row r="8889" spans="4:39" x14ac:dyDescent="0.3">
      <c r="D8889" s="1"/>
      <c r="G8889" s="13"/>
      <c r="AL8889" s="13"/>
    </row>
    <row r="8890" spans="4:39" x14ac:dyDescent="0.3">
      <c r="D8890" s="1"/>
      <c r="G8890" s="13"/>
      <c r="AL8890" s="13"/>
    </row>
    <row r="8891" spans="4:39" x14ac:dyDescent="0.3">
      <c r="D8891" s="1"/>
      <c r="G8891" s="13"/>
      <c r="AL8891" s="13"/>
      <c r="AM8891" s="14"/>
    </row>
    <row r="8892" spans="4:39" x14ac:dyDescent="0.3">
      <c r="D8892" s="1"/>
      <c r="G8892" s="13"/>
      <c r="AL8892" s="13"/>
    </row>
    <row r="8893" spans="4:39" x14ac:dyDescent="0.3">
      <c r="D8893" s="1"/>
      <c r="G8893" s="13"/>
      <c r="AL8893" s="13"/>
    </row>
    <row r="8894" spans="4:39" x14ac:dyDescent="0.3">
      <c r="D8894" s="1"/>
      <c r="G8894" s="13"/>
      <c r="AL8894" s="13"/>
    </row>
    <row r="8895" spans="4:39" x14ac:dyDescent="0.3">
      <c r="D8895" s="1"/>
      <c r="G8895" s="13"/>
      <c r="AL8895" s="13"/>
      <c r="AM8895" s="14"/>
    </row>
    <row r="8896" spans="4:39" x14ac:dyDescent="0.3">
      <c r="D8896" s="1"/>
      <c r="G8896" s="13"/>
      <c r="AL8896" s="13"/>
    </row>
    <row r="8897" spans="4:39" x14ac:dyDescent="0.3">
      <c r="D8897" s="1"/>
      <c r="G8897" s="13"/>
      <c r="AL8897" s="13"/>
      <c r="AM8897" s="14"/>
    </row>
    <row r="8898" spans="4:39" x14ac:dyDescent="0.3">
      <c r="D8898" s="1"/>
      <c r="G8898" s="13"/>
      <c r="AL8898" s="13"/>
    </row>
    <row r="8899" spans="4:39" x14ac:dyDescent="0.3">
      <c r="D8899" s="1"/>
      <c r="G8899" s="13"/>
      <c r="AL8899" s="13"/>
    </row>
    <row r="8900" spans="4:39" x14ac:dyDescent="0.3">
      <c r="D8900" s="1"/>
      <c r="G8900" s="13"/>
      <c r="AL8900" s="13"/>
    </row>
    <row r="8901" spans="4:39" x14ac:dyDescent="0.3">
      <c r="D8901" s="1"/>
      <c r="G8901" s="13"/>
      <c r="AL8901" s="13"/>
    </row>
    <row r="8902" spans="4:39" x14ac:dyDescent="0.3">
      <c r="D8902" s="1"/>
      <c r="G8902" s="13"/>
      <c r="AL8902" s="13"/>
      <c r="AM8902" s="14"/>
    </row>
    <row r="8903" spans="4:39" x14ac:dyDescent="0.3">
      <c r="D8903" s="1"/>
      <c r="G8903" s="13"/>
      <c r="AL8903" s="13"/>
    </row>
    <row r="8904" spans="4:39" x14ac:dyDescent="0.3">
      <c r="D8904" s="1"/>
      <c r="G8904" s="13"/>
      <c r="AL8904" s="13"/>
    </row>
    <row r="8905" spans="4:39" x14ac:dyDescent="0.3">
      <c r="D8905" s="1"/>
      <c r="G8905" s="13"/>
      <c r="AL8905" s="13"/>
    </row>
    <row r="8906" spans="4:39" x14ac:dyDescent="0.3">
      <c r="D8906" s="1"/>
      <c r="G8906" s="13"/>
      <c r="AL8906" s="13"/>
    </row>
    <row r="8907" spans="4:39" x14ac:dyDescent="0.3">
      <c r="D8907" s="1"/>
      <c r="G8907" s="13"/>
      <c r="AL8907" s="13"/>
    </row>
    <row r="8908" spans="4:39" x14ac:dyDescent="0.3">
      <c r="D8908" s="1"/>
      <c r="G8908" s="13"/>
      <c r="AL8908" s="13"/>
    </row>
    <row r="8909" spans="4:39" x14ac:dyDescent="0.3">
      <c r="D8909" s="1"/>
      <c r="G8909" s="13"/>
      <c r="AL8909" s="13"/>
    </row>
    <row r="8910" spans="4:39" x14ac:dyDescent="0.3">
      <c r="D8910" s="1"/>
      <c r="G8910" s="13"/>
      <c r="AL8910" s="13"/>
    </row>
    <row r="8911" spans="4:39" x14ac:dyDescent="0.3">
      <c r="D8911" s="1"/>
      <c r="G8911" s="13"/>
      <c r="AL8911" s="13"/>
    </row>
    <row r="8912" spans="4:39" x14ac:dyDescent="0.3">
      <c r="D8912" s="1"/>
      <c r="G8912" s="13"/>
      <c r="AL8912" s="13"/>
    </row>
    <row r="8913" spans="4:39" x14ac:dyDescent="0.3">
      <c r="D8913" s="1"/>
      <c r="G8913" s="13"/>
      <c r="AL8913" s="13"/>
      <c r="AM8913" s="14"/>
    </row>
    <row r="8914" spans="4:39" x14ac:dyDescent="0.3">
      <c r="D8914" s="1"/>
      <c r="G8914" s="13"/>
      <c r="AL8914" s="13"/>
    </row>
    <row r="8915" spans="4:39" x14ac:dyDescent="0.3">
      <c r="D8915" s="1"/>
      <c r="G8915" s="13"/>
      <c r="AL8915" s="13"/>
    </row>
    <row r="8916" spans="4:39" x14ac:dyDescent="0.3">
      <c r="D8916" s="1"/>
      <c r="G8916" s="13"/>
      <c r="AL8916" s="13"/>
    </row>
    <row r="8917" spans="4:39" x14ac:dyDescent="0.3">
      <c r="D8917" s="1"/>
      <c r="G8917" s="13"/>
      <c r="AL8917" s="13"/>
    </row>
    <row r="8918" spans="4:39" x14ac:dyDescent="0.3">
      <c r="D8918" s="1"/>
      <c r="G8918" s="13"/>
      <c r="AL8918" s="13"/>
    </row>
    <row r="8919" spans="4:39" x14ac:dyDescent="0.3">
      <c r="D8919" s="1"/>
      <c r="G8919" s="13"/>
      <c r="AL8919" s="13"/>
      <c r="AM8919" s="14"/>
    </row>
    <row r="8920" spans="4:39" x14ac:dyDescent="0.3">
      <c r="D8920" s="1"/>
      <c r="G8920" s="13"/>
      <c r="AL8920" s="13"/>
    </row>
    <row r="8921" spans="4:39" x14ac:dyDescent="0.3">
      <c r="D8921" s="1"/>
      <c r="G8921" s="13"/>
      <c r="AL8921" s="13"/>
    </row>
    <row r="8922" spans="4:39" x14ac:dyDescent="0.3">
      <c r="D8922" s="1"/>
      <c r="G8922" s="13"/>
      <c r="AL8922" s="13"/>
    </row>
    <row r="8923" spans="4:39" x14ac:dyDescent="0.3">
      <c r="D8923" s="1"/>
      <c r="G8923" s="13"/>
      <c r="AL8923" s="13"/>
    </row>
    <row r="8924" spans="4:39" x14ac:dyDescent="0.3">
      <c r="D8924" s="1"/>
      <c r="G8924" s="13"/>
      <c r="AL8924" s="13"/>
    </row>
    <row r="8925" spans="4:39" x14ac:dyDescent="0.3">
      <c r="D8925" s="1"/>
      <c r="G8925" s="13"/>
      <c r="AL8925" s="13"/>
    </row>
    <row r="8926" spans="4:39" x14ac:dyDescent="0.3">
      <c r="D8926" s="1"/>
      <c r="G8926" s="13"/>
      <c r="AL8926" s="13"/>
    </row>
    <row r="8927" spans="4:39" x14ac:dyDescent="0.3">
      <c r="D8927" s="1"/>
      <c r="G8927" s="13"/>
      <c r="AL8927" s="13"/>
    </row>
    <row r="8928" spans="4:39" x14ac:dyDescent="0.3">
      <c r="D8928" s="1"/>
      <c r="G8928" s="13"/>
      <c r="AL8928" s="13"/>
      <c r="AM8928" s="14"/>
    </row>
    <row r="8929" spans="4:39" x14ac:dyDescent="0.3">
      <c r="D8929" s="1"/>
      <c r="G8929" s="13"/>
      <c r="AL8929" s="13"/>
    </row>
    <row r="8930" spans="4:39" x14ac:dyDescent="0.3">
      <c r="D8930" s="1"/>
      <c r="G8930" s="13"/>
      <c r="AL8930" s="13"/>
    </row>
    <row r="8931" spans="4:39" x14ac:dyDescent="0.3">
      <c r="D8931" s="1"/>
      <c r="G8931" s="13"/>
      <c r="AL8931" s="13"/>
    </row>
    <row r="8932" spans="4:39" x14ac:dyDescent="0.3">
      <c r="D8932" s="1"/>
      <c r="G8932" s="13"/>
      <c r="AL8932" s="13"/>
    </row>
    <row r="8933" spans="4:39" x14ac:dyDescent="0.3">
      <c r="D8933" s="1"/>
      <c r="G8933" s="13"/>
      <c r="AL8933" s="13"/>
    </row>
    <row r="8934" spans="4:39" x14ac:dyDescent="0.3">
      <c r="D8934" s="1"/>
      <c r="G8934" s="13"/>
      <c r="AL8934" s="13"/>
    </row>
    <row r="8935" spans="4:39" x14ac:dyDescent="0.3">
      <c r="D8935" s="1"/>
      <c r="G8935" s="13"/>
      <c r="AL8935" s="13"/>
    </row>
    <row r="8936" spans="4:39" x14ac:dyDescent="0.3">
      <c r="D8936" s="1"/>
      <c r="G8936" s="13"/>
      <c r="AL8936" s="13"/>
    </row>
    <row r="8937" spans="4:39" x14ac:dyDescent="0.3">
      <c r="D8937" s="1"/>
      <c r="G8937" s="13"/>
      <c r="AL8937" s="13"/>
    </row>
    <row r="8938" spans="4:39" x14ac:dyDescent="0.3">
      <c r="D8938" s="1"/>
      <c r="G8938" s="13"/>
      <c r="AL8938" s="13"/>
    </row>
    <row r="8939" spans="4:39" x14ac:dyDescent="0.3">
      <c r="D8939" s="1"/>
      <c r="G8939" s="13"/>
      <c r="AL8939" s="13"/>
    </row>
    <row r="8940" spans="4:39" x14ac:dyDescent="0.3">
      <c r="D8940" s="1"/>
      <c r="G8940" s="13"/>
      <c r="AL8940" s="13"/>
      <c r="AM8940" s="14"/>
    </row>
    <row r="8941" spans="4:39" x14ac:dyDescent="0.3">
      <c r="D8941" s="1"/>
      <c r="G8941" s="13"/>
      <c r="AL8941" s="13"/>
      <c r="AM8941" s="14"/>
    </row>
    <row r="8942" spans="4:39" x14ac:dyDescent="0.3">
      <c r="D8942" s="1"/>
      <c r="G8942" s="13"/>
      <c r="AL8942" s="13"/>
    </row>
    <row r="8943" spans="4:39" x14ac:dyDescent="0.3">
      <c r="D8943" s="1"/>
      <c r="G8943" s="13"/>
      <c r="AL8943" s="13"/>
    </row>
    <row r="8944" spans="4:39" x14ac:dyDescent="0.3">
      <c r="D8944" s="1"/>
      <c r="G8944" s="13"/>
      <c r="AL8944" s="13"/>
    </row>
    <row r="8945" spans="4:39" x14ac:dyDescent="0.3">
      <c r="D8945" s="1"/>
      <c r="G8945" s="13"/>
      <c r="AL8945" s="13"/>
      <c r="AM8945" s="14"/>
    </row>
    <row r="8946" spans="4:39" x14ac:dyDescent="0.3">
      <c r="D8946" s="1"/>
      <c r="G8946" s="13"/>
      <c r="AL8946" s="13"/>
    </row>
    <row r="8947" spans="4:39" x14ac:dyDescent="0.3">
      <c r="D8947" s="1"/>
      <c r="G8947" s="13"/>
      <c r="AL8947" s="13"/>
      <c r="AM8947" s="14"/>
    </row>
    <row r="8948" spans="4:39" x14ac:dyDescent="0.3">
      <c r="D8948" s="1"/>
      <c r="G8948" s="13"/>
      <c r="AL8948" s="13"/>
    </row>
    <row r="8949" spans="4:39" x14ac:dyDescent="0.3">
      <c r="D8949" s="1"/>
      <c r="G8949" s="13"/>
      <c r="AL8949" s="13"/>
    </row>
    <row r="8950" spans="4:39" x14ac:dyDescent="0.3">
      <c r="D8950" s="1"/>
      <c r="G8950" s="13"/>
      <c r="AL8950" s="13"/>
    </row>
    <row r="8951" spans="4:39" x14ac:dyDescent="0.3">
      <c r="D8951" s="1"/>
      <c r="G8951" s="13"/>
      <c r="AL8951" s="13"/>
    </row>
    <row r="8952" spans="4:39" x14ac:dyDescent="0.3">
      <c r="D8952" s="1"/>
      <c r="G8952" s="13"/>
      <c r="AL8952" s="13"/>
      <c r="AM8952" s="14"/>
    </row>
    <row r="8953" spans="4:39" x14ac:dyDescent="0.3">
      <c r="D8953" s="1"/>
      <c r="G8953" s="13"/>
      <c r="AL8953" s="13"/>
      <c r="AM8953" s="14"/>
    </row>
    <row r="8954" spans="4:39" x14ac:dyDescent="0.3">
      <c r="D8954" s="1"/>
      <c r="G8954" s="13"/>
      <c r="AL8954" s="13"/>
      <c r="AM8954" s="14"/>
    </row>
    <row r="8955" spans="4:39" x14ac:dyDescent="0.3">
      <c r="D8955" s="1"/>
      <c r="G8955" s="13"/>
      <c r="AL8955" s="13"/>
    </row>
    <row r="8956" spans="4:39" x14ac:dyDescent="0.3">
      <c r="D8956" s="1"/>
      <c r="G8956" s="13"/>
      <c r="AL8956" s="13"/>
    </row>
    <row r="8957" spans="4:39" x14ac:dyDescent="0.3">
      <c r="D8957" s="1"/>
      <c r="G8957" s="13"/>
      <c r="AL8957" s="13"/>
      <c r="AM8957" s="14"/>
    </row>
    <row r="8958" spans="4:39" x14ac:dyDescent="0.3">
      <c r="D8958" s="1"/>
      <c r="G8958" s="13"/>
      <c r="AL8958" s="13"/>
      <c r="AM8958" s="14"/>
    </row>
    <row r="8959" spans="4:39" x14ac:dyDescent="0.3">
      <c r="D8959" s="1"/>
      <c r="G8959" s="13"/>
      <c r="AL8959" s="13"/>
    </row>
    <row r="8960" spans="4:39" x14ac:dyDescent="0.3">
      <c r="D8960" s="1"/>
      <c r="G8960" s="13"/>
      <c r="AL8960" s="13"/>
    </row>
    <row r="8961" spans="4:39" x14ac:dyDescent="0.3">
      <c r="D8961" s="1"/>
      <c r="G8961" s="13"/>
      <c r="AL8961" s="13"/>
    </row>
    <row r="8962" spans="4:39" x14ac:dyDescent="0.3">
      <c r="D8962" s="1"/>
      <c r="G8962" s="13"/>
      <c r="AL8962" s="13"/>
      <c r="AM8962" s="14"/>
    </row>
    <row r="8963" spans="4:39" x14ac:dyDescent="0.3">
      <c r="D8963" s="1"/>
      <c r="G8963" s="13"/>
      <c r="AL8963" s="13"/>
    </row>
    <row r="8964" spans="4:39" x14ac:dyDescent="0.3">
      <c r="D8964" s="1"/>
      <c r="G8964" s="13"/>
      <c r="AL8964" s="13"/>
    </row>
    <row r="8965" spans="4:39" x14ac:dyDescent="0.3">
      <c r="D8965" s="1"/>
      <c r="G8965" s="13"/>
      <c r="AL8965" s="13"/>
    </row>
    <row r="8966" spans="4:39" x14ac:dyDescent="0.3">
      <c r="D8966" s="1"/>
      <c r="G8966" s="13"/>
      <c r="AL8966" s="13"/>
    </row>
    <row r="8967" spans="4:39" x14ac:dyDescent="0.3">
      <c r="D8967" s="1"/>
      <c r="G8967" s="13"/>
      <c r="AL8967" s="13"/>
    </row>
    <row r="8968" spans="4:39" x14ac:dyDescent="0.3">
      <c r="D8968" s="1"/>
      <c r="G8968" s="13"/>
      <c r="AL8968" s="13"/>
    </row>
    <row r="8969" spans="4:39" x14ac:dyDescent="0.3">
      <c r="D8969" s="1"/>
      <c r="G8969" s="13"/>
      <c r="AL8969" s="13"/>
    </row>
    <row r="8970" spans="4:39" x14ac:dyDescent="0.3">
      <c r="D8970" s="1"/>
      <c r="G8970" s="13"/>
      <c r="AL8970" s="13"/>
    </row>
    <row r="8971" spans="4:39" x14ac:dyDescent="0.3">
      <c r="D8971" s="1"/>
      <c r="G8971" s="13"/>
      <c r="AL8971" s="13"/>
    </row>
    <row r="8972" spans="4:39" x14ac:dyDescent="0.3">
      <c r="D8972" s="1"/>
      <c r="G8972" s="13"/>
      <c r="AL8972" s="13"/>
    </row>
    <row r="8973" spans="4:39" x14ac:dyDescent="0.3">
      <c r="D8973" s="1"/>
      <c r="G8973" s="13"/>
      <c r="AL8973" s="13"/>
    </row>
    <row r="8974" spans="4:39" x14ac:dyDescent="0.3">
      <c r="D8974" s="1"/>
      <c r="G8974" s="13"/>
      <c r="AL8974" s="13"/>
    </row>
    <row r="8975" spans="4:39" x14ac:dyDescent="0.3">
      <c r="D8975" s="1"/>
      <c r="G8975" s="13"/>
      <c r="AL8975" s="13"/>
    </row>
    <row r="8976" spans="4:39" x14ac:dyDescent="0.3">
      <c r="D8976" s="1"/>
      <c r="G8976" s="13"/>
      <c r="AL8976" s="13"/>
    </row>
    <row r="8977" spans="4:38" x14ac:dyDescent="0.3">
      <c r="D8977" s="1"/>
      <c r="G8977" s="13"/>
      <c r="AL8977" s="13"/>
    </row>
    <row r="8978" spans="4:38" x14ac:dyDescent="0.3">
      <c r="D8978" s="1"/>
      <c r="G8978" s="13"/>
      <c r="AL8978" s="13"/>
    </row>
    <row r="8979" spans="4:38" x14ac:dyDescent="0.3">
      <c r="D8979" s="1"/>
      <c r="G8979" s="13"/>
      <c r="AL8979" s="13"/>
    </row>
    <row r="8980" spans="4:38" x14ac:dyDescent="0.3">
      <c r="D8980" s="1"/>
      <c r="G8980" s="13"/>
      <c r="AL8980" s="13"/>
    </row>
    <row r="8981" spans="4:38" x14ac:dyDescent="0.3">
      <c r="D8981" s="1"/>
      <c r="G8981" s="13"/>
      <c r="AL8981" s="13"/>
    </row>
    <row r="8982" spans="4:38" x14ac:dyDescent="0.3">
      <c r="D8982" s="1"/>
      <c r="G8982" s="13"/>
      <c r="AL8982" s="13"/>
    </row>
    <row r="8983" spans="4:38" x14ac:dyDescent="0.3">
      <c r="D8983" s="1"/>
      <c r="G8983" s="13"/>
      <c r="AL8983" s="13"/>
    </row>
    <row r="8984" spans="4:38" x14ac:dyDescent="0.3">
      <c r="D8984" s="1"/>
      <c r="G8984" s="13"/>
      <c r="AL8984" s="13"/>
    </row>
    <row r="8985" spans="4:38" x14ac:dyDescent="0.3">
      <c r="D8985" s="1"/>
      <c r="G8985" s="13"/>
      <c r="AL8985" s="13"/>
    </row>
    <row r="8986" spans="4:38" x14ac:dyDescent="0.3">
      <c r="D8986" s="1"/>
      <c r="G8986" s="13"/>
      <c r="AL8986" s="13"/>
    </row>
    <row r="8987" spans="4:38" x14ac:dyDescent="0.3">
      <c r="D8987" s="1"/>
      <c r="G8987" s="13"/>
      <c r="AL8987" s="13"/>
    </row>
    <row r="8988" spans="4:38" x14ac:dyDescent="0.3">
      <c r="D8988" s="1"/>
      <c r="G8988" s="13"/>
      <c r="AL8988" s="13"/>
    </row>
    <row r="8989" spans="4:38" x14ac:dyDescent="0.3">
      <c r="D8989" s="1"/>
      <c r="G8989" s="13"/>
      <c r="AL8989" s="13"/>
    </row>
    <row r="8990" spans="4:38" x14ac:dyDescent="0.3">
      <c r="D8990" s="1"/>
      <c r="G8990" s="13"/>
      <c r="AL8990" s="13"/>
    </row>
    <row r="8991" spans="4:38" x14ac:dyDescent="0.3">
      <c r="D8991" s="1"/>
      <c r="G8991" s="13"/>
      <c r="AL8991" s="13"/>
    </row>
    <row r="8992" spans="4:38" x14ac:dyDescent="0.3">
      <c r="D8992" s="1"/>
      <c r="G8992" s="13"/>
      <c r="AL8992" s="13"/>
    </row>
    <row r="8993" spans="4:39" x14ac:dyDescent="0.3">
      <c r="D8993" s="1"/>
      <c r="G8993" s="13"/>
      <c r="AL8993" s="13"/>
      <c r="AM8993" s="14"/>
    </row>
    <row r="8994" spans="4:39" x14ac:dyDescent="0.3">
      <c r="D8994" s="1"/>
      <c r="G8994" s="13"/>
      <c r="AL8994" s="13"/>
    </row>
    <row r="8995" spans="4:39" x14ac:dyDescent="0.3">
      <c r="D8995" s="1"/>
      <c r="G8995" s="13"/>
      <c r="AL8995" s="13"/>
    </row>
    <row r="8996" spans="4:39" x14ac:dyDescent="0.3">
      <c r="D8996" s="1"/>
      <c r="G8996" s="13"/>
      <c r="AL8996" s="13"/>
    </row>
    <row r="8997" spans="4:39" x14ac:dyDescent="0.3">
      <c r="D8997" s="1"/>
      <c r="G8997" s="13"/>
      <c r="AL8997" s="13"/>
    </row>
    <row r="8998" spans="4:39" x14ac:dyDescent="0.3">
      <c r="D8998" s="1"/>
      <c r="G8998" s="13"/>
      <c r="AL8998" s="13"/>
      <c r="AM8998" s="14"/>
    </row>
    <row r="8999" spans="4:39" x14ac:dyDescent="0.3">
      <c r="D8999" s="1"/>
      <c r="G8999" s="13"/>
      <c r="AL8999" s="13"/>
      <c r="AM8999" s="14"/>
    </row>
    <row r="9000" spans="4:39" x14ac:dyDescent="0.3">
      <c r="D9000" s="1"/>
      <c r="G9000" s="13"/>
      <c r="AL9000" s="13"/>
      <c r="AM9000" s="14"/>
    </row>
    <row r="9001" spans="4:39" x14ac:dyDescent="0.3">
      <c r="D9001" s="1"/>
      <c r="G9001" s="13"/>
      <c r="AL9001" s="13"/>
    </row>
    <row r="9002" spans="4:39" x14ac:dyDescent="0.3">
      <c r="D9002" s="1"/>
      <c r="G9002" s="13"/>
      <c r="AL9002" s="13"/>
    </row>
    <row r="9003" spans="4:39" x14ac:dyDescent="0.3">
      <c r="D9003" s="1"/>
      <c r="G9003" s="13"/>
      <c r="AL9003" s="13"/>
      <c r="AM9003" s="14"/>
    </row>
    <row r="9004" spans="4:39" x14ac:dyDescent="0.3">
      <c r="D9004" s="1"/>
      <c r="G9004" s="13"/>
      <c r="AL9004" s="13"/>
    </row>
    <row r="9005" spans="4:39" x14ac:dyDescent="0.3">
      <c r="D9005" s="1"/>
      <c r="G9005" s="13"/>
      <c r="AL9005" s="13"/>
      <c r="AM9005" s="14"/>
    </row>
    <row r="9006" spans="4:39" x14ac:dyDescent="0.3">
      <c r="D9006" s="1"/>
      <c r="G9006" s="13"/>
      <c r="AL9006" s="13"/>
      <c r="AM9006" s="14"/>
    </row>
    <row r="9007" spans="4:39" x14ac:dyDescent="0.3">
      <c r="D9007" s="1"/>
      <c r="G9007" s="13"/>
      <c r="AL9007" s="13"/>
      <c r="AM9007" s="14"/>
    </row>
    <row r="9008" spans="4:39" x14ac:dyDescent="0.3">
      <c r="D9008" s="1"/>
      <c r="G9008" s="13"/>
      <c r="AL9008" s="13"/>
    </row>
    <row r="9009" spans="4:39" x14ac:dyDescent="0.3">
      <c r="D9009" s="1"/>
      <c r="G9009" s="13"/>
      <c r="AL9009" s="13"/>
    </row>
    <row r="9010" spans="4:39" x14ac:dyDescent="0.3">
      <c r="D9010" s="1"/>
      <c r="G9010" s="13"/>
      <c r="AL9010" s="13"/>
    </row>
    <row r="9011" spans="4:39" x14ac:dyDescent="0.3">
      <c r="D9011" s="1"/>
      <c r="G9011" s="13"/>
      <c r="AL9011" s="13"/>
    </row>
    <row r="9012" spans="4:39" x14ac:dyDescent="0.3">
      <c r="D9012" s="1"/>
      <c r="G9012" s="13"/>
      <c r="AL9012" s="13"/>
    </row>
    <row r="9013" spans="4:39" x14ac:dyDescent="0.3">
      <c r="D9013" s="1"/>
      <c r="G9013" s="13"/>
      <c r="AL9013" s="13"/>
    </row>
    <row r="9014" spans="4:39" x14ac:dyDescent="0.3">
      <c r="D9014" s="1"/>
      <c r="G9014" s="13"/>
      <c r="AL9014" s="13"/>
      <c r="AM9014" s="14"/>
    </row>
    <row r="9015" spans="4:39" x14ac:dyDescent="0.3">
      <c r="D9015" s="1"/>
      <c r="G9015" s="13"/>
      <c r="AL9015" s="13"/>
      <c r="AM9015" s="14"/>
    </row>
    <row r="9016" spans="4:39" x14ac:dyDescent="0.3">
      <c r="D9016" s="1"/>
      <c r="G9016" s="13"/>
      <c r="AL9016" s="13"/>
    </row>
    <row r="9017" spans="4:39" x14ac:dyDescent="0.3">
      <c r="D9017" s="1"/>
      <c r="G9017" s="13"/>
      <c r="AL9017" s="13"/>
      <c r="AM9017" s="14"/>
    </row>
    <row r="9018" spans="4:39" x14ac:dyDescent="0.3">
      <c r="D9018" s="1"/>
      <c r="G9018" s="13"/>
      <c r="AL9018" s="13"/>
    </row>
    <row r="9019" spans="4:39" x14ac:dyDescent="0.3">
      <c r="D9019" s="1"/>
      <c r="G9019" s="13"/>
      <c r="AL9019" s="13"/>
      <c r="AM9019" s="14"/>
    </row>
    <row r="9020" spans="4:39" x14ac:dyDescent="0.3">
      <c r="D9020" s="1"/>
      <c r="G9020" s="13"/>
      <c r="AL9020" s="13"/>
    </row>
    <row r="9021" spans="4:39" x14ac:dyDescent="0.3">
      <c r="D9021" s="1"/>
      <c r="G9021" s="13"/>
      <c r="AL9021" s="13"/>
    </row>
    <row r="9022" spans="4:39" x14ac:dyDescent="0.3">
      <c r="D9022" s="1"/>
      <c r="G9022" s="13"/>
      <c r="AL9022" s="13"/>
    </row>
    <row r="9023" spans="4:39" x14ac:dyDescent="0.3">
      <c r="D9023" s="1"/>
      <c r="G9023" s="13"/>
      <c r="AL9023" s="13"/>
      <c r="AM9023" s="14"/>
    </row>
    <row r="9024" spans="4:39" x14ac:dyDescent="0.3">
      <c r="D9024" s="1"/>
      <c r="G9024" s="13"/>
      <c r="AL9024" s="13"/>
    </row>
    <row r="9025" spans="4:39" x14ac:dyDescent="0.3">
      <c r="D9025" s="1"/>
      <c r="G9025" s="13"/>
      <c r="AL9025" s="13"/>
    </row>
    <row r="9026" spans="4:39" x14ac:dyDescent="0.3">
      <c r="D9026" s="1"/>
      <c r="G9026" s="13"/>
      <c r="AL9026" s="13"/>
      <c r="AM9026" s="14"/>
    </row>
    <row r="9027" spans="4:39" x14ac:dyDescent="0.3">
      <c r="D9027" s="1"/>
      <c r="G9027" s="13"/>
      <c r="AL9027" s="13"/>
    </row>
    <row r="9028" spans="4:39" x14ac:dyDescent="0.3">
      <c r="D9028" s="1"/>
      <c r="G9028" s="13"/>
      <c r="AL9028" s="13"/>
      <c r="AM9028" s="14"/>
    </row>
    <row r="9029" spans="4:39" x14ac:dyDescent="0.3">
      <c r="D9029" s="1"/>
      <c r="G9029" s="13"/>
      <c r="AL9029" s="13"/>
    </row>
    <row r="9030" spans="4:39" x14ac:dyDescent="0.3">
      <c r="D9030" s="1"/>
      <c r="G9030" s="13"/>
      <c r="AL9030" s="13"/>
    </row>
    <row r="9031" spans="4:39" x14ac:dyDescent="0.3">
      <c r="D9031" s="1"/>
      <c r="G9031" s="13"/>
      <c r="AL9031" s="13"/>
    </row>
    <row r="9032" spans="4:39" x14ac:dyDescent="0.3">
      <c r="D9032" s="1"/>
      <c r="G9032" s="13"/>
      <c r="AL9032" s="13"/>
    </row>
    <row r="9033" spans="4:39" x14ac:dyDescent="0.3">
      <c r="D9033" s="1"/>
      <c r="G9033" s="13"/>
      <c r="AL9033" s="13"/>
    </row>
    <row r="9034" spans="4:39" x14ac:dyDescent="0.3">
      <c r="D9034" s="1"/>
      <c r="G9034" s="13"/>
      <c r="AL9034" s="13"/>
    </row>
    <row r="9035" spans="4:39" x14ac:dyDescent="0.3">
      <c r="D9035" s="1"/>
      <c r="G9035" s="13"/>
      <c r="AL9035" s="13"/>
    </row>
    <row r="9036" spans="4:39" x14ac:dyDescent="0.3">
      <c r="D9036" s="1"/>
      <c r="G9036" s="13"/>
      <c r="AL9036" s="13"/>
    </row>
    <row r="9037" spans="4:39" x14ac:dyDescent="0.3">
      <c r="D9037" s="1"/>
      <c r="G9037" s="13"/>
      <c r="AL9037" s="13"/>
    </row>
    <row r="9038" spans="4:39" x14ac:dyDescent="0.3">
      <c r="D9038" s="1"/>
      <c r="G9038" s="13"/>
      <c r="AL9038" s="13"/>
      <c r="AM9038" s="14"/>
    </row>
    <row r="9039" spans="4:39" x14ac:dyDescent="0.3">
      <c r="D9039" s="1"/>
      <c r="G9039" s="13"/>
      <c r="AL9039" s="13"/>
    </row>
    <row r="9040" spans="4:39" x14ac:dyDescent="0.3">
      <c r="D9040" s="1"/>
      <c r="G9040" s="13"/>
      <c r="AL9040" s="13"/>
    </row>
    <row r="9041" spans="4:39" x14ac:dyDescent="0.3">
      <c r="D9041" s="1"/>
      <c r="G9041" s="13"/>
      <c r="AL9041" s="13"/>
    </row>
    <row r="9042" spans="4:39" x14ac:dyDescent="0.3">
      <c r="D9042" s="1"/>
      <c r="G9042" s="13"/>
      <c r="AL9042" s="13"/>
    </row>
    <row r="9043" spans="4:39" x14ac:dyDescent="0.3">
      <c r="D9043" s="1"/>
      <c r="G9043" s="13"/>
      <c r="AL9043" s="13"/>
    </row>
    <row r="9044" spans="4:39" x14ac:dyDescent="0.3">
      <c r="D9044" s="1"/>
      <c r="G9044" s="13"/>
      <c r="AL9044" s="13"/>
      <c r="AM9044" s="14"/>
    </row>
    <row r="9045" spans="4:39" x14ac:dyDescent="0.3">
      <c r="D9045" s="1"/>
      <c r="G9045" s="13"/>
      <c r="AL9045" s="13"/>
    </row>
    <row r="9046" spans="4:39" x14ac:dyDescent="0.3">
      <c r="D9046" s="1"/>
      <c r="G9046" s="13"/>
      <c r="AL9046" s="13"/>
      <c r="AM9046" s="14"/>
    </row>
    <row r="9047" spans="4:39" x14ac:dyDescent="0.3">
      <c r="D9047" s="1"/>
      <c r="G9047" s="13"/>
      <c r="AL9047" s="13"/>
    </row>
    <row r="9048" spans="4:39" x14ac:dyDescent="0.3">
      <c r="D9048" s="1"/>
      <c r="G9048" s="13"/>
      <c r="AL9048" s="13"/>
    </row>
    <row r="9049" spans="4:39" x14ac:dyDescent="0.3">
      <c r="D9049" s="1"/>
      <c r="G9049" s="13"/>
      <c r="AL9049" s="13"/>
    </row>
    <row r="9050" spans="4:39" x14ac:dyDescent="0.3">
      <c r="D9050" s="1"/>
      <c r="G9050" s="13"/>
      <c r="AL9050" s="13"/>
    </row>
    <row r="9051" spans="4:39" x14ac:dyDescent="0.3">
      <c r="D9051" s="1"/>
      <c r="G9051" s="13"/>
      <c r="AL9051" s="13"/>
    </row>
    <row r="9052" spans="4:39" x14ac:dyDescent="0.3">
      <c r="D9052" s="1"/>
      <c r="G9052" s="13"/>
      <c r="AL9052" s="13"/>
    </row>
    <row r="9053" spans="4:39" x14ac:dyDescent="0.3">
      <c r="D9053" s="1"/>
      <c r="G9053" s="13"/>
      <c r="AL9053" s="13"/>
    </row>
    <row r="9054" spans="4:39" x14ac:dyDescent="0.3">
      <c r="D9054" s="1"/>
      <c r="G9054" s="13"/>
      <c r="AL9054" s="13"/>
    </row>
    <row r="9055" spans="4:39" x14ac:dyDescent="0.3">
      <c r="D9055" s="1"/>
      <c r="G9055" s="13"/>
      <c r="AL9055" s="13"/>
    </row>
    <row r="9056" spans="4:39" x14ac:dyDescent="0.3">
      <c r="D9056" s="1"/>
      <c r="G9056" s="13"/>
      <c r="AL9056" s="13"/>
    </row>
    <row r="9057" spans="4:39" x14ac:dyDescent="0.3">
      <c r="D9057" s="1"/>
      <c r="G9057" s="13"/>
      <c r="AL9057" s="13"/>
    </row>
    <row r="9058" spans="4:39" x14ac:dyDescent="0.3">
      <c r="D9058" s="1"/>
      <c r="G9058" s="13"/>
      <c r="AL9058" s="13"/>
    </row>
    <row r="9059" spans="4:39" x14ac:dyDescent="0.3">
      <c r="D9059" s="1"/>
      <c r="G9059" s="13"/>
      <c r="AL9059" s="13"/>
      <c r="AM9059" s="14"/>
    </row>
    <row r="9060" spans="4:39" x14ac:dyDescent="0.3">
      <c r="D9060" s="1"/>
      <c r="G9060" s="13"/>
      <c r="AL9060" s="13"/>
    </row>
    <row r="9061" spans="4:39" x14ac:dyDescent="0.3">
      <c r="D9061" s="1"/>
      <c r="G9061" s="13"/>
      <c r="AL9061" s="13"/>
    </row>
    <row r="9062" spans="4:39" x14ac:dyDescent="0.3">
      <c r="D9062" s="1"/>
      <c r="G9062" s="13"/>
      <c r="AL9062" s="13"/>
    </row>
    <row r="9063" spans="4:39" x14ac:dyDescent="0.3">
      <c r="D9063" s="1"/>
      <c r="G9063" s="13"/>
      <c r="AL9063" s="13"/>
    </row>
    <row r="9064" spans="4:39" x14ac:dyDescent="0.3">
      <c r="D9064" s="1"/>
      <c r="G9064" s="13"/>
      <c r="AL9064" s="13"/>
    </row>
    <row r="9065" spans="4:39" x14ac:dyDescent="0.3">
      <c r="D9065" s="1"/>
      <c r="G9065" s="13"/>
      <c r="AL9065" s="13"/>
      <c r="AM9065" s="14"/>
    </row>
    <row r="9066" spans="4:39" x14ac:dyDescent="0.3">
      <c r="D9066" s="1"/>
      <c r="G9066" s="13"/>
      <c r="AL9066" s="13"/>
      <c r="AM9066" s="14"/>
    </row>
    <row r="9067" spans="4:39" x14ac:dyDescent="0.3">
      <c r="D9067" s="1"/>
      <c r="G9067" s="13"/>
      <c r="AL9067" s="13"/>
    </row>
    <row r="9068" spans="4:39" x14ac:dyDescent="0.3">
      <c r="D9068" s="1"/>
      <c r="G9068" s="13"/>
      <c r="AL9068" s="13"/>
      <c r="AM9068" s="14"/>
    </row>
    <row r="9069" spans="4:39" x14ac:dyDescent="0.3">
      <c r="D9069" s="1"/>
      <c r="G9069" s="13"/>
      <c r="AL9069" s="13"/>
      <c r="AM9069" s="14"/>
    </row>
    <row r="9070" spans="4:39" x14ac:dyDescent="0.3">
      <c r="D9070" s="1"/>
      <c r="G9070" s="13"/>
      <c r="AL9070" s="13"/>
      <c r="AM9070" s="14"/>
    </row>
    <row r="9071" spans="4:39" x14ac:dyDescent="0.3">
      <c r="D9071" s="1"/>
      <c r="G9071" s="13"/>
      <c r="AL9071" s="13"/>
      <c r="AM9071" s="14"/>
    </row>
    <row r="9072" spans="4:39" x14ac:dyDescent="0.3">
      <c r="D9072" s="1"/>
      <c r="G9072" s="13"/>
      <c r="AL9072" s="13"/>
      <c r="AM9072" s="14"/>
    </row>
    <row r="9073" spans="4:39" x14ac:dyDescent="0.3">
      <c r="D9073" s="1"/>
      <c r="G9073" s="13"/>
      <c r="AL9073" s="13"/>
    </row>
    <row r="9074" spans="4:39" x14ac:dyDescent="0.3">
      <c r="D9074" s="1"/>
      <c r="G9074" s="13"/>
      <c r="AL9074" s="13"/>
    </row>
    <row r="9075" spans="4:39" x14ac:dyDescent="0.3">
      <c r="D9075" s="1"/>
      <c r="G9075" s="13"/>
      <c r="AL9075" s="13"/>
    </row>
    <row r="9076" spans="4:39" x14ac:dyDescent="0.3">
      <c r="D9076" s="1"/>
      <c r="G9076" s="13"/>
      <c r="AL9076" s="13"/>
    </row>
    <row r="9077" spans="4:39" x14ac:dyDescent="0.3">
      <c r="D9077" s="1"/>
      <c r="G9077" s="13"/>
      <c r="AL9077" s="13"/>
    </row>
    <row r="9078" spans="4:39" x14ac:dyDescent="0.3">
      <c r="D9078" s="1"/>
      <c r="G9078" s="13"/>
      <c r="AL9078" s="13"/>
    </row>
    <row r="9079" spans="4:39" x14ac:dyDescent="0.3">
      <c r="D9079" s="1"/>
      <c r="G9079" s="13"/>
      <c r="AL9079" s="13"/>
    </row>
    <row r="9080" spans="4:39" x14ac:dyDescent="0.3">
      <c r="D9080" s="1"/>
      <c r="G9080" s="13"/>
      <c r="AL9080" s="13"/>
    </row>
    <row r="9081" spans="4:39" x14ac:dyDescent="0.3">
      <c r="D9081" s="1"/>
      <c r="G9081" s="13"/>
      <c r="AL9081" s="13"/>
    </row>
    <row r="9082" spans="4:39" x14ac:dyDescent="0.3">
      <c r="D9082" s="1"/>
      <c r="G9082" s="13"/>
      <c r="AL9082" s="13"/>
    </row>
    <row r="9083" spans="4:39" x14ac:dyDescent="0.3">
      <c r="D9083" s="1"/>
      <c r="G9083" s="13"/>
      <c r="AL9083" s="13"/>
    </row>
    <row r="9084" spans="4:39" x14ac:dyDescent="0.3">
      <c r="D9084" s="1"/>
      <c r="G9084" s="13"/>
      <c r="AL9084" s="13"/>
      <c r="AM9084" s="14"/>
    </row>
    <row r="9085" spans="4:39" x14ac:dyDescent="0.3">
      <c r="D9085" s="1"/>
      <c r="G9085" s="13"/>
      <c r="AL9085" s="13"/>
    </row>
    <row r="9086" spans="4:39" x14ac:dyDescent="0.3">
      <c r="D9086" s="1"/>
      <c r="G9086" s="13"/>
      <c r="AL9086" s="13"/>
    </row>
    <row r="9087" spans="4:39" x14ac:dyDescent="0.3">
      <c r="D9087" s="1"/>
      <c r="G9087" s="13"/>
      <c r="AL9087" s="13"/>
    </row>
    <row r="9088" spans="4:39" x14ac:dyDescent="0.3">
      <c r="D9088" s="1"/>
      <c r="G9088" s="13"/>
      <c r="AL9088" s="13"/>
    </row>
    <row r="9089" spans="4:39" x14ac:dyDescent="0.3">
      <c r="D9089" s="1"/>
      <c r="G9089" s="13"/>
      <c r="AL9089" s="13"/>
    </row>
    <row r="9090" spans="4:39" x14ac:dyDescent="0.3">
      <c r="D9090" s="1"/>
      <c r="G9090" s="13"/>
      <c r="AL9090" s="13"/>
    </row>
    <row r="9091" spans="4:39" x14ac:dyDescent="0.3">
      <c r="D9091" s="1"/>
      <c r="G9091" s="13"/>
      <c r="AL9091" s="13"/>
    </row>
    <row r="9092" spans="4:39" x14ac:dyDescent="0.3">
      <c r="D9092" s="1"/>
      <c r="G9092" s="13"/>
      <c r="AL9092" s="13"/>
    </row>
    <row r="9093" spans="4:39" x14ac:dyDescent="0.3">
      <c r="D9093" s="1"/>
      <c r="G9093" s="13"/>
      <c r="AL9093" s="13"/>
    </row>
    <row r="9094" spans="4:39" x14ac:dyDescent="0.3">
      <c r="D9094" s="1"/>
      <c r="G9094" s="13"/>
      <c r="AL9094" s="13"/>
    </row>
    <row r="9095" spans="4:39" x14ac:dyDescent="0.3">
      <c r="D9095" s="1"/>
      <c r="G9095" s="13"/>
      <c r="AL9095" s="13"/>
      <c r="AM9095" s="14"/>
    </row>
    <row r="9096" spans="4:39" x14ac:dyDescent="0.3">
      <c r="D9096" s="1"/>
      <c r="G9096" s="13"/>
      <c r="AL9096" s="13"/>
      <c r="AM9096" s="14"/>
    </row>
    <row r="9097" spans="4:39" x14ac:dyDescent="0.3">
      <c r="D9097" s="1"/>
      <c r="G9097" s="13"/>
      <c r="AL9097" s="13"/>
    </row>
    <row r="9098" spans="4:39" x14ac:dyDescent="0.3">
      <c r="D9098" s="1"/>
      <c r="G9098" s="13"/>
      <c r="AL9098" s="13"/>
    </row>
    <row r="9099" spans="4:39" x14ac:dyDescent="0.3">
      <c r="D9099" s="1"/>
      <c r="G9099" s="13"/>
      <c r="AL9099" s="13"/>
    </row>
    <row r="9100" spans="4:39" x14ac:dyDescent="0.3">
      <c r="D9100" s="1"/>
      <c r="G9100" s="13"/>
      <c r="AL9100" s="13"/>
    </row>
    <row r="9101" spans="4:39" x14ac:dyDescent="0.3">
      <c r="D9101" s="1"/>
      <c r="G9101" s="13"/>
      <c r="AL9101" s="13"/>
      <c r="AM9101" s="14"/>
    </row>
    <row r="9102" spans="4:39" x14ac:dyDescent="0.3">
      <c r="D9102" s="1"/>
      <c r="G9102" s="13"/>
      <c r="AL9102" s="13"/>
    </row>
    <row r="9103" spans="4:39" x14ac:dyDescent="0.3">
      <c r="D9103" s="1"/>
      <c r="G9103" s="13"/>
      <c r="AL9103" s="13"/>
    </row>
    <row r="9104" spans="4:39" x14ac:dyDescent="0.3">
      <c r="D9104" s="1"/>
      <c r="G9104" s="13"/>
      <c r="AL9104" s="13"/>
    </row>
    <row r="9105" spans="4:39" x14ac:dyDescent="0.3">
      <c r="D9105" s="1"/>
      <c r="G9105" s="13"/>
      <c r="AL9105" s="13"/>
    </row>
    <row r="9106" spans="4:39" x14ac:dyDescent="0.3">
      <c r="D9106" s="1"/>
      <c r="G9106" s="13"/>
      <c r="AL9106" s="13"/>
    </row>
    <row r="9107" spans="4:39" x14ac:dyDescent="0.3">
      <c r="D9107" s="1"/>
      <c r="G9107" s="13"/>
      <c r="AL9107" s="13"/>
      <c r="AM9107" s="14"/>
    </row>
    <row r="9108" spans="4:39" x14ac:dyDescent="0.3">
      <c r="D9108" s="1"/>
      <c r="G9108" s="13"/>
      <c r="AL9108" s="13"/>
    </row>
    <row r="9109" spans="4:39" x14ac:dyDescent="0.3">
      <c r="D9109" s="1"/>
      <c r="G9109" s="13"/>
      <c r="AL9109" s="13"/>
    </row>
    <row r="9110" spans="4:39" x14ac:dyDescent="0.3">
      <c r="D9110" s="1"/>
      <c r="G9110" s="13"/>
      <c r="AL9110" s="13"/>
    </row>
    <row r="9111" spans="4:39" x14ac:dyDescent="0.3">
      <c r="D9111" s="1"/>
      <c r="G9111" s="13"/>
      <c r="AL9111" s="13"/>
    </row>
    <row r="9112" spans="4:39" x14ac:dyDescent="0.3">
      <c r="D9112" s="1"/>
      <c r="G9112" s="13"/>
      <c r="AL9112" s="13"/>
    </row>
    <row r="9113" spans="4:39" x14ac:dyDescent="0.3">
      <c r="D9113" s="1"/>
      <c r="G9113" s="13"/>
      <c r="AL9113" s="13"/>
    </row>
    <row r="9114" spans="4:39" x14ac:dyDescent="0.3">
      <c r="D9114" s="1"/>
      <c r="G9114" s="13"/>
      <c r="AL9114" s="13"/>
    </row>
    <row r="9115" spans="4:39" x14ac:dyDescent="0.3">
      <c r="D9115" s="1"/>
      <c r="G9115" s="13"/>
      <c r="AL9115" s="13"/>
    </row>
    <row r="9116" spans="4:39" x14ac:dyDescent="0.3">
      <c r="D9116" s="1"/>
      <c r="G9116" s="13"/>
      <c r="AL9116" s="13"/>
    </row>
    <row r="9117" spans="4:39" x14ac:dyDescent="0.3">
      <c r="D9117" s="1"/>
      <c r="G9117" s="13"/>
      <c r="AL9117" s="13"/>
    </row>
    <row r="9118" spans="4:39" x14ac:dyDescent="0.3">
      <c r="D9118" s="1"/>
      <c r="G9118" s="13"/>
      <c r="AL9118" s="13"/>
    </row>
    <row r="9119" spans="4:39" x14ac:dyDescent="0.3">
      <c r="D9119" s="1"/>
      <c r="G9119" s="13"/>
      <c r="AL9119" s="13"/>
    </row>
    <row r="9120" spans="4:39" x14ac:dyDescent="0.3">
      <c r="D9120" s="1"/>
      <c r="G9120" s="13"/>
      <c r="AL9120" s="13"/>
    </row>
    <row r="9121" spans="4:39" x14ac:dyDescent="0.3">
      <c r="D9121" s="1"/>
      <c r="G9121" s="13"/>
      <c r="AL9121" s="13"/>
    </row>
    <row r="9122" spans="4:39" x14ac:dyDescent="0.3">
      <c r="D9122" s="1"/>
      <c r="G9122" s="13"/>
      <c r="AL9122" s="13"/>
    </row>
    <row r="9123" spans="4:39" x14ac:dyDescent="0.3">
      <c r="D9123" s="1"/>
      <c r="G9123" s="13"/>
      <c r="AL9123" s="13"/>
    </row>
    <row r="9124" spans="4:39" x14ac:dyDescent="0.3">
      <c r="D9124" s="1"/>
      <c r="G9124" s="13"/>
      <c r="AL9124" s="13"/>
    </row>
    <row r="9125" spans="4:39" x14ac:dyDescent="0.3">
      <c r="D9125" s="1"/>
      <c r="G9125" s="13"/>
      <c r="AL9125" s="13"/>
    </row>
    <row r="9126" spans="4:39" x14ac:dyDescent="0.3">
      <c r="D9126" s="1"/>
      <c r="G9126" s="13"/>
      <c r="AL9126" s="13"/>
    </row>
    <row r="9127" spans="4:39" x14ac:dyDescent="0.3">
      <c r="D9127" s="1"/>
      <c r="G9127" s="13"/>
      <c r="AL9127" s="13"/>
    </row>
    <row r="9128" spans="4:39" x14ac:dyDescent="0.3">
      <c r="D9128" s="1"/>
      <c r="G9128" s="13"/>
      <c r="AL9128" s="13"/>
    </row>
    <row r="9129" spans="4:39" x14ac:dyDescent="0.3">
      <c r="D9129" s="1"/>
      <c r="G9129" s="13"/>
      <c r="AL9129" s="13"/>
    </row>
    <row r="9130" spans="4:39" x14ac:dyDescent="0.3">
      <c r="D9130" s="1"/>
      <c r="G9130" s="13"/>
      <c r="AL9130" s="13"/>
    </row>
    <row r="9131" spans="4:39" x14ac:dyDescent="0.3">
      <c r="D9131" s="1"/>
      <c r="G9131" s="13"/>
      <c r="AL9131" s="13"/>
    </row>
    <row r="9132" spans="4:39" x14ac:dyDescent="0.3">
      <c r="D9132" s="1"/>
      <c r="G9132" s="13"/>
      <c r="AL9132" s="13"/>
      <c r="AM9132" s="14"/>
    </row>
    <row r="9133" spans="4:39" x14ac:dyDescent="0.3">
      <c r="D9133" s="1"/>
      <c r="G9133" s="13"/>
      <c r="AL9133" s="13"/>
    </row>
    <row r="9134" spans="4:39" x14ac:dyDescent="0.3">
      <c r="D9134" s="1"/>
      <c r="G9134" s="13"/>
      <c r="AL9134" s="13"/>
    </row>
    <row r="9135" spans="4:39" x14ac:dyDescent="0.3">
      <c r="D9135" s="1"/>
      <c r="G9135" s="13"/>
      <c r="AL9135" s="13"/>
    </row>
    <row r="9136" spans="4:39" x14ac:dyDescent="0.3">
      <c r="D9136" s="1"/>
      <c r="G9136" s="13"/>
      <c r="AL9136" s="13"/>
    </row>
    <row r="9137" spans="4:39" x14ac:dyDescent="0.3">
      <c r="D9137" s="1"/>
      <c r="G9137" s="13"/>
      <c r="AL9137" s="13"/>
      <c r="AM9137" s="14"/>
    </row>
    <row r="9138" spans="4:39" x14ac:dyDescent="0.3">
      <c r="D9138" s="1"/>
      <c r="G9138" s="13"/>
      <c r="AL9138" s="13"/>
      <c r="AM9138" s="14"/>
    </row>
    <row r="9139" spans="4:39" x14ac:dyDescent="0.3">
      <c r="D9139" s="1"/>
      <c r="G9139" s="13"/>
      <c r="AL9139" s="13"/>
      <c r="AM9139" s="14"/>
    </row>
    <row r="9140" spans="4:39" x14ac:dyDescent="0.3">
      <c r="D9140" s="1"/>
      <c r="G9140" s="13"/>
      <c r="AL9140" s="13"/>
    </row>
    <row r="9141" spans="4:39" x14ac:dyDescent="0.3">
      <c r="D9141" s="1"/>
      <c r="G9141" s="13"/>
      <c r="AL9141" s="13"/>
    </row>
    <row r="9142" spans="4:39" x14ac:dyDescent="0.3">
      <c r="D9142" s="1"/>
      <c r="G9142" s="13"/>
      <c r="AL9142" s="13"/>
    </row>
    <row r="9143" spans="4:39" x14ac:dyDescent="0.3">
      <c r="D9143" s="1"/>
      <c r="G9143" s="13"/>
      <c r="AL9143" s="13"/>
    </row>
    <row r="9144" spans="4:39" x14ac:dyDescent="0.3">
      <c r="D9144" s="1"/>
      <c r="G9144" s="13"/>
      <c r="AL9144" s="13"/>
      <c r="AM9144" s="14"/>
    </row>
    <row r="9145" spans="4:39" x14ac:dyDescent="0.3">
      <c r="D9145" s="1"/>
      <c r="G9145" s="13"/>
      <c r="AL9145" s="13"/>
    </row>
    <row r="9146" spans="4:39" x14ac:dyDescent="0.3">
      <c r="D9146" s="1"/>
      <c r="G9146" s="13"/>
      <c r="AL9146" s="13"/>
    </row>
    <row r="9147" spans="4:39" x14ac:dyDescent="0.3">
      <c r="D9147" s="1"/>
      <c r="G9147" s="13"/>
      <c r="AL9147" s="13"/>
      <c r="AM9147" s="14"/>
    </row>
    <row r="9148" spans="4:39" x14ac:dyDescent="0.3">
      <c r="D9148" s="1"/>
      <c r="G9148" s="13"/>
      <c r="AL9148" s="13"/>
    </row>
    <row r="9149" spans="4:39" x14ac:dyDescent="0.3">
      <c r="D9149" s="1"/>
      <c r="G9149" s="13"/>
      <c r="AL9149" s="13"/>
      <c r="AM9149" s="14"/>
    </row>
    <row r="9150" spans="4:39" x14ac:dyDescent="0.3">
      <c r="D9150" s="1"/>
      <c r="G9150" s="13"/>
      <c r="AL9150" s="13"/>
      <c r="AM9150" s="14"/>
    </row>
    <row r="9151" spans="4:39" x14ac:dyDescent="0.3">
      <c r="D9151" s="1"/>
      <c r="G9151" s="13"/>
      <c r="AL9151" s="13"/>
    </row>
    <row r="9152" spans="4:39" x14ac:dyDescent="0.3">
      <c r="D9152" s="1"/>
      <c r="G9152" s="13"/>
      <c r="AL9152" s="13"/>
      <c r="AM9152" s="14"/>
    </row>
    <row r="9153" spans="4:39" x14ac:dyDescent="0.3">
      <c r="D9153" s="1"/>
      <c r="G9153" s="13"/>
      <c r="AL9153" s="13"/>
      <c r="AM9153" s="14"/>
    </row>
    <row r="9154" spans="4:39" x14ac:dyDescent="0.3">
      <c r="D9154" s="1"/>
      <c r="G9154" s="13"/>
      <c r="AL9154" s="13"/>
    </row>
    <row r="9155" spans="4:39" x14ac:dyDescent="0.3">
      <c r="D9155" s="1"/>
      <c r="G9155" s="13"/>
      <c r="AL9155" s="13"/>
    </row>
    <row r="9156" spans="4:39" x14ac:dyDescent="0.3">
      <c r="D9156" s="1"/>
      <c r="G9156" s="13"/>
      <c r="AL9156" s="13"/>
      <c r="AM9156" s="14"/>
    </row>
    <row r="9157" spans="4:39" x14ac:dyDescent="0.3">
      <c r="D9157" s="1"/>
      <c r="G9157" s="13"/>
      <c r="AL9157" s="13"/>
    </row>
    <row r="9158" spans="4:39" x14ac:dyDescent="0.3">
      <c r="D9158" s="1"/>
      <c r="G9158" s="13"/>
      <c r="AL9158" s="13"/>
    </row>
    <row r="9159" spans="4:39" x14ac:dyDescent="0.3">
      <c r="D9159" s="1"/>
      <c r="G9159" s="13"/>
      <c r="AL9159" s="13"/>
    </row>
    <row r="9160" spans="4:39" x14ac:dyDescent="0.3">
      <c r="D9160" s="1"/>
      <c r="G9160" s="13"/>
      <c r="AL9160" s="13"/>
      <c r="AM9160" s="14"/>
    </row>
    <row r="9161" spans="4:39" x14ac:dyDescent="0.3">
      <c r="D9161" s="1"/>
      <c r="G9161" s="13"/>
      <c r="AL9161" s="13"/>
    </row>
    <row r="9162" spans="4:39" x14ac:dyDescent="0.3">
      <c r="D9162" s="1"/>
      <c r="G9162" s="13"/>
      <c r="AL9162" s="13"/>
      <c r="AM9162" s="14"/>
    </row>
    <row r="9163" spans="4:39" x14ac:dyDescent="0.3">
      <c r="D9163" s="1"/>
      <c r="G9163" s="13"/>
      <c r="AL9163" s="13"/>
    </row>
    <row r="9164" spans="4:39" x14ac:dyDescent="0.3">
      <c r="D9164" s="1"/>
      <c r="G9164" s="13"/>
      <c r="AL9164" s="13"/>
    </row>
    <row r="9165" spans="4:39" x14ac:dyDescent="0.3">
      <c r="D9165" s="1"/>
      <c r="G9165" s="13"/>
      <c r="AL9165" s="13"/>
      <c r="AM9165" s="14"/>
    </row>
    <row r="9166" spans="4:39" x14ac:dyDescent="0.3">
      <c r="D9166" s="1"/>
      <c r="G9166" s="13"/>
      <c r="AL9166" s="13"/>
    </row>
    <row r="9167" spans="4:39" x14ac:dyDescent="0.3">
      <c r="D9167" s="1"/>
      <c r="G9167" s="13"/>
      <c r="AL9167" s="13"/>
    </row>
    <row r="9168" spans="4:39" x14ac:dyDescent="0.3">
      <c r="D9168" s="1"/>
      <c r="G9168" s="13"/>
      <c r="AL9168" s="13"/>
    </row>
    <row r="9169" spans="4:39" x14ac:dyDescent="0.3">
      <c r="D9169" s="1"/>
      <c r="G9169" s="13"/>
      <c r="AL9169" s="13"/>
    </row>
    <row r="9170" spans="4:39" x14ac:dyDescent="0.3">
      <c r="D9170" s="1"/>
      <c r="G9170" s="13"/>
      <c r="AL9170" s="13"/>
    </row>
    <row r="9171" spans="4:39" x14ac:dyDescent="0.3">
      <c r="D9171" s="1"/>
      <c r="G9171" s="13"/>
      <c r="AL9171" s="13"/>
    </row>
    <row r="9172" spans="4:39" x14ac:dyDescent="0.3">
      <c r="D9172" s="1"/>
      <c r="G9172" s="13"/>
      <c r="AL9172" s="13"/>
    </row>
    <row r="9173" spans="4:39" x14ac:dyDescent="0.3">
      <c r="D9173" s="1"/>
      <c r="G9173" s="13"/>
      <c r="AL9173" s="13"/>
    </row>
    <row r="9174" spans="4:39" x14ac:dyDescent="0.3">
      <c r="D9174" s="1"/>
      <c r="G9174" s="13"/>
      <c r="AL9174" s="13"/>
    </row>
    <row r="9175" spans="4:39" x14ac:dyDescent="0.3">
      <c r="D9175" s="1"/>
      <c r="G9175" s="13"/>
      <c r="AL9175" s="13"/>
    </row>
    <row r="9176" spans="4:39" x14ac:dyDescent="0.3">
      <c r="D9176" s="1"/>
      <c r="G9176" s="13"/>
      <c r="AL9176" s="13"/>
    </row>
    <row r="9177" spans="4:39" x14ac:dyDescent="0.3">
      <c r="D9177" s="1"/>
      <c r="G9177" s="13"/>
      <c r="AL9177" s="13"/>
    </row>
    <row r="9178" spans="4:39" x14ac:dyDescent="0.3">
      <c r="D9178" s="1"/>
      <c r="G9178" s="13"/>
      <c r="AL9178" s="13"/>
      <c r="AM9178" s="14"/>
    </row>
    <row r="9179" spans="4:39" x14ac:dyDescent="0.3">
      <c r="D9179" s="1"/>
      <c r="G9179" s="13"/>
      <c r="AL9179" s="13"/>
    </row>
    <row r="9180" spans="4:39" x14ac:dyDescent="0.3">
      <c r="D9180" s="1"/>
      <c r="G9180" s="13"/>
      <c r="AL9180" s="13"/>
      <c r="AM9180" s="14"/>
    </row>
    <row r="9181" spans="4:39" x14ac:dyDescent="0.3">
      <c r="D9181" s="1"/>
      <c r="G9181" s="13"/>
      <c r="AL9181" s="13"/>
      <c r="AM9181" s="14"/>
    </row>
    <row r="9182" spans="4:39" x14ac:dyDescent="0.3">
      <c r="D9182" s="1"/>
      <c r="G9182" s="13"/>
      <c r="AL9182" s="13"/>
      <c r="AM9182" s="14"/>
    </row>
    <row r="9183" spans="4:39" x14ac:dyDescent="0.3">
      <c r="D9183" s="1"/>
      <c r="G9183" s="13"/>
      <c r="AL9183" s="13"/>
      <c r="AM9183" s="14"/>
    </row>
    <row r="9184" spans="4:39" x14ac:dyDescent="0.3">
      <c r="D9184" s="1"/>
      <c r="G9184" s="13"/>
      <c r="AL9184" s="13"/>
      <c r="AM9184" s="14"/>
    </row>
    <row r="9185" spans="4:39" x14ac:dyDescent="0.3">
      <c r="D9185" s="1"/>
      <c r="G9185" s="13"/>
      <c r="AL9185" s="13"/>
      <c r="AM9185" s="14"/>
    </row>
    <row r="9186" spans="4:39" x14ac:dyDescent="0.3">
      <c r="D9186" s="1"/>
      <c r="G9186" s="13"/>
      <c r="AL9186" s="13"/>
      <c r="AM9186" s="14"/>
    </row>
    <row r="9187" spans="4:39" x14ac:dyDescent="0.3">
      <c r="D9187" s="1"/>
      <c r="G9187" s="13"/>
      <c r="AL9187" s="13"/>
      <c r="AM9187" s="14"/>
    </row>
    <row r="9188" spans="4:39" x14ac:dyDescent="0.3">
      <c r="D9188" s="1"/>
      <c r="G9188" s="13"/>
      <c r="AL9188" s="13"/>
      <c r="AM9188" s="14"/>
    </row>
    <row r="9189" spans="4:39" x14ac:dyDescent="0.3">
      <c r="D9189" s="1"/>
      <c r="G9189" s="13"/>
      <c r="AL9189" s="13"/>
      <c r="AM9189" s="14"/>
    </row>
    <row r="9190" spans="4:39" x14ac:dyDescent="0.3">
      <c r="D9190" s="1"/>
      <c r="G9190" s="13"/>
      <c r="AL9190" s="13"/>
      <c r="AM9190" s="14"/>
    </row>
    <row r="9191" spans="4:39" x14ac:dyDescent="0.3">
      <c r="D9191" s="1"/>
      <c r="G9191" s="13"/>
      <c r="AL9191" s="13"/>
    </row>
    <row r="9192" spans="4:39" x14ac:dyDescent="0.3">
      <c r="D9192" s="1"/>
      <c r="G9192" s="13"/>
      <c r="AL9192" s="13"/>
    </row>
    <row r="9193" spans="4:39" x14ac:dyDescent="0.3">
      <c r="D9193" s="1"/>
      <c r="G9193" s="13"/>
      <c r="AL9193" s="13"/>
    </row>
    <row r="9194" spans="4:39" x14ac:dyDescent="0.3">
      <c r="D9194" s="1"/>
      <c r="G9194" s="13"/>
      <c r="AL9194" s="13"/>
      <c r="AM9194" s="14"/>
    </row>
    <row r="9195" spans="4:39" x14ac:dyDescent="0.3">
      <c r="D9195" s="1"/>
      <c r="G9195" s="13"/>
      <c r="AL9195" s="13"/>
    </row>
    <row r="9196" spans="4:39" x14ac:dyDescent="0.3">
      <c r="D9196" s="1"/>
      <c r="G9196" s="13"/>
      <c r="AL9196" s="13"/>
    </row>
    <row r="9197" spans="4:39" x14ac:dyDescent="0.3">
      <c r="D9197" s="1"/>
      <c r="G9197" s="13"/>
      <c r="AL9197" s="13"/>
    </row>
    <row r="9198" spans="4:39" x14ac:dyDescent="0.3">
      <c r="D9198" s="1"/>
      <c r="G9198" s="13"/>
      <c r="AL9198" s="13"/>
    </row>
    <row r="9199" spans="4:39" x14ac:dyDescent="0.3">
      <c r="D9199" s="1"/>
      <c r="G9199" s="13"/>
      <c r="AL9199" s="13"/>
    </row>
    <row r="9200" spans="4:39" x14ac:dyDescent="0.3">
      <c r="D9200" s="1"/>
      <c r="G9200" s="13"/>
      <c r="AL9200" s="13"/>
    </row>
    <row r="9201" spans="4:39" x14ac:dyDescent="0.3">
      <c r="D9201" s="1"/>
      <c r="G9201" s="13"/>
      <c r="AL9201" s="13"/>
      <c r="AM9201" s="14"/>
    </row>
    <row r="9202" spans="4:39" x14ac:dyDescent="0.3">
      <c r="D9202" s="1"/>
      <c r="G9202" s="13"/>
      <c r="AL9202" s="13"/>
      <c r="AM9202" s="14"/>
    </row>
    <row r="9203" spans="4:39" x14ac:dyDescent="0.3">
      <c r="D9203" s="1"/>
      <c r="G9203" s="13"/>
      <c r="AL9203" s="13"/>
    </row>
    <row r="9204" spans="4:39" x14ac:dyDescent="0.3">
      <c r="D9204" s="1"/>
      <c r="G9204" s="13"/>
      <c r="AL9204" s="13"/>
    </row>
    <row r="9205" spans="4:39" x14ac:dyDescent="0.3">
      <c r="D9205" s="1"/>
      <c r="G9205" s="13"/>
      <c r="AL9205" s="13"/>
    </row>
    <row r="9206" spans="4:39" x14ac:dyDescent="0.3">
      <c r="D9206" s="1"/>
      <c r="G9206" s="13"/>
      <c r="AL9206" s="13"/>
      <c r="AM9206" s="14"/>
    </row>
    <row r="9207" spans="4:39" x14ac:dyDescent="0.3">
      <c r="D9207" s="1"/>
      <c r="G9207" s="13"/>
      <c r="AL9207" s="13"/>
    </row>
    <row r="9208" spans="4:39" x14ac:dyDescent="0.3">
      <c r="D9208" s="1"/>
      <c r="G9208" s="13"/>
      <c r="AL9208" s="13"/>
    </row>
    <row r="9209" spans="4:39" x14ac:dyDescent="0.3">
      <c r="D9209" s="1"/>
      <c r="G9209" s="13"/>
      <c r="AL9209" s="13"/>
    </row>
    <row r="9210" spans="4:39" x14ac:dyDescent="0.3">
      <c r="D9210" s="1"/>
      <c r="G9210" s="13"/>
      <c r="AL9210" s="13"/>
      <c r="AM9210" s="14"/>
    </row>
    <row r="9211" spans="4:39" x14ac:dyDescent="0.3">
      <c r="D9211" s="1"/>
      <c r="G9211" s="13"/>
      <c r="AL9211" s="13"/>
    </row>
    <row r="9212" spans="4:39" x14ac:dyDescent="0.3">
      <c r="D9212" s="1"/>
      <c r="G9212" s="13"/>
      <c r="AL9212" s="13"/>
      <c r="AM9212" s="14"/>
    </row>
    <row r="9213" spans="4:39" x14ac:dyDescent="0.3">
      <c r="D9213" s="1"/>
      <c r="G9213" s="13"/>
      <c r="AL9213" s="13"/>
      <c r="AM9213" s="14"/>
    </row>
    <row r="9214" spans="4:39" x14ac:dyDescent="0.3">
      <c r="D9214" s="1"/>
      <c r="G9214" s="13"/>
      <c r="AL9214" s="13"/>
      <c r="AM9214" s="14"/>
    </row>
    <row r="9215" spans="4:39" x14ac:dyDescent="0.3">
      <c r="D9215" s="1"/>
      <c r="G9215" s="13"/>
      <c r="AL9215" s="13"/>
    </row>
    <row r="9216" spans="4:39" x14ac:dyDescent="0.3">
      <c r="D9216" s="1"/>
      <c r="G9216" s="13"/>
      <c r="AL9216" s="13"/>
      <c r="AM9216" s="14"/>
    </row>
    <row r="9217" spans="4:39" x14ac:dyDescent="0.3">
      <c r="D9217" s="1"/>
      <c r="G9217" s="13"/>
      <c r="AL9217" s="13"/>
      <c r="AM9217" s="14"/>
    </row>
    <row r="9218" spans="4:39" x14ac:dyDescent="0.3">
      <c r="D9218" s="1"/>
      <c r="G9218" s="13"/>
      <c r="AL9218" s="13"/>
      <c r="AM9218" s="14"/>
    </row>
    <row r="9219" spans="4:39" x14ac:dyDescent="0.3">
      <c r="D9219" s="1"/>
      <c r="G9219" s="13"/>
      <c r="AL9219" s="13"/>
    </row>
    <row r="9220" spans="4:39" x14ac:dyDescent="0.3">
      <c r="D9220" s="1"/>
      <c r="G9220" s="13"/>
      <c r="AL9220" s="13"/>
      <c r="AM9220" s="14"/>
    </row>
    <row r="9221" spans="4:39" x14ac:dyDescent="0.3">
      <c r="D9221" s="1"/>
      <c r="G9221" s="13"/>
      <c r="AL9221" s="13"/>
    </row>
    <row r="9222" spans="4:39" x14ac:dyDescent="0.3">
      <c r="D9222" s="1"/>
      <c r="G9222" s="13"/>
      <c r="AL9222" s="13"/>
      <c r="AM9222" s="14"/>
    </row>
    <row r="9223" spans="4:39" x14ac:dyDescent="0.3">
      <c r="D9223" s="1"/>
      <c r="G9223" s="13"/>
      <c r="AL9223" s="13"/>
      <c r="AM9223" s="14"/>
    </row>
    <row r="9224" spans="4:39" x14ac:dyDescent="0.3">
      <c r="D9224" s="1"/>
      <c r="G9224" s="13"/>
      <c r="AL9224" s="13"/>
      <c r="AM9224" s="14"/>
    </row>
    <row r="9225" spans="4:39" x14ac:dyDescent="0.3">
      <c r="D9225" s="1"/>
      <c r="G9225" s="13"/>
      <c r="AL9225" s="13"/>
      <c r="AM9225" s="14"/>
    </row>
    <row r="9226" spans="4:39" x14ac:dyDescent="0.3">
      <c r="D9226" s="1"/>
      <c r="G9226" s="13"/>
      <c r="AL9226" s="13"/>
    </row>
    <row r="9227" spans="4:39" x14ac:dyDescent="0.3">
      <c r="D9227" s="1"/>
      <c r="G9227" s="13"/>
      <c r="AL9227" s="13"/>
    </row>
    <row r="9228" spans="4:39" x14ac:dyDescent="0.3">
      <c r="D9228" s="1"/>
      <c r="G9228" s="13"/>
      <c r="AL9228" s="13"/>
      <c r="AM9228" s="14"/>
    </row>
    <row r="9229" spans="4:39" x14ac:dyDescent="0.3">
      <c r="D9229" s="1"/>
      <c r="G9229" s="13"/>
      <c r="AL9229" s="13"/>
      <c r="AM9229" s="14"/>
    </row>
    <row r="9230" spans="4:39" x14ac:dyDescent="0.3">
      <c r="D9230" s="1"/>
      <c r="G9230" s="13"/>
      <c r="AL9230" s="13"/>
      <c r="AM9230" s="14"/>
    </row>
    <row r="9231" spans="4:39" x14ac:dyDescent="0.3">
      <c r="D9231" s="1"/>
      <c r="G9231" s="13"/>
      <c r="AL9231" s="13"/>
      <c r="AM9231" s="14"/>
    </row>
    <row r="9232" spans="4:39" x14ac:dyDescent="0.3">
      <c r="D9232" s="1"/>
      <c r="G9232" s="13"/>
      <c r="AL9232" s="13"/>
      <c r="AM9232" s="14"/>
    </row>
    <row r="9233" spans="4:39" x14ac:dyDescent="0.3">
      <c r="D9233" s="1"/>
      <c r="G9233" s="13"/>
      <c r="AL9233" s="13"/>
      <c r="AM9233" s="14"/>
    </row>
    <row r="9234" spans="4:39" x14ac:dyDescent="0.3">
      <c r="D9234" s="1"/>
      <c r="G9234" s="13"/>
      <c r="AL9234" s="13"/>
      <c r="AM9234" s="14"/>
    </row>
    <row r="9235" spans="4:39" x14ac:dyDescent="0.3">
      <c r="D9235" s="1"/>
      <c r="G9235" s="13"/>
      <c r="AL9235" s="13"/>
    </row>
    <row r="9236" spans="4:39" x14ac:dyDescent="0.3">
      <c r="D9236" s="1"/>
      <c r="G9236" s="13"/>
      <c r="AL9236" s="13"/>
      <c r="AM9236" s="14"/>
    </row>
    <row r="9237" spans="4:39" x14ac:dyDescent="0.3">
      <c r="D9237" s="1"/>
      <c r="G9237" s="13"/>
      <c r="AL9237" s="13"/>
      <c r="AM9237" s="14"/>
    </row>
    <row r="9238" spans="4:39" x14ac:dyDescent="0.3">
      <c r="D9238" s="1"/>
      <c r="G9238" s="13"/>
      <c r="AL9238" s="13"/>
      <c r="AM9238" s="14"/>
    </row>
    <row r="9239" spans="4:39" x14ac:dyDescent="0.3">
      <c r="D9239" s="1"/>
      <c r="G9239" s="13"/>
      <c r="AL9239" s="13"/>
      <c r="AM9239" s="14"/>
    </row>
    <row r="9240" spans="4:39" x14ac:dyDescent="0.3">
      <c r="D9240" s="1"/>
      <c r="G9240" s="13"/>
      <c r="AL9240" s="13"/>
      <c r="AM9240" s="14"/>
    </row>
    <row r="9241" spans="4:39" x14ac:dyDescent="0.3">
      <c r="D9241" s="1"/>
      <c r="G9241" s="13"/>
      <c r="AL9241" s="13"/>
      <c r="AM9241" s="14"/>
    </row>
    <row r="9242" spans="4:39" x14ac:dyDescent="0.3">
      <c r="D9242" s="1"/>
      <c r="G9242" s="13"/>
      <c r="AL9242" s="13"/>
      <c r="AM9242" s="14"/>
    </row>
    <row r="9243" spans="4:39" x14ac:dyDescent="0.3">
      <c r="D9243" s="1"/>
      <c r="G9243" s="13"/>
      <c r="AL9243" s="13"/>
      <c r="AM9243" s="14"/>
    </row>
    <row r="9244" spans="4:39" x14ac:dyDescent="0.3">
      <c r="D9244" s="1"/>
      <c r="G9244" s="13"/>
      <c r="AL9244" s="13"/>
    </row>
    <row r="9245" spans="4:39" x14ac:dyDescent="0.3">
      <c r="D9245" s="1"/>
      <c r="G9245" s="13"/>
      <c r="AL9245" s="13"/>
      <c r="AM9245" s="14"/>
    </row>
    <row r="9246" spans="4:39" x14ac:dyDescent="0.3">
      <c r="D9246" s="1"/>
      <c r="G9246" s="13"/>
      <c r="AL9246" s="13"/>
      <c r="AM9246" s="14"/>
    </row>
    <row r="9247" spans="4:39" x14ac:dyDescent="0.3">
      <c r="D9247" s="1"/>
      <c r="G9247" s="13"/>
      <c r="AL9247" s="13"/>
      <c r="AM9247" s="14"/>
    </row>
    <row r="9248" spans="4:39" x14ac:dyDescent="0.3">
      <c r="D9248" s="1"/>
      <c r="G9248" s="13"/>
      <c r="AL9248" s="13"/>
      <c r="AM9248" s="14"/>
    </row>
    <row r="9249" spans="4:39" x14ac:dyDescent="0.3">
      <c r="D9249" s="1"/>
      <c r="G9249" s="13"/>
      <c r="AL9249" s="13"/>
      <c r="AM9249" s="14"/>
    </row>
    <row r="9250" spans="4:39" x14ac:dyDescent="0.3">
      <c r="D9250" s="1"/>
      <c r="G9250" s="13"/>
      <c r="AL9250" s="13"/>
      <c r="AM9250" s="14"/>
    </row>
    <row r="9251" spans="4:39" x14ac:dyDescent="0.3">
      <c r="D9251" s="1"/>
      <c r="G9251" s="13"/>
      <c r="AL9251" s="13"/>
      <c r="AM9251" s="14"/>
    </row>
    <row r="9252" spans="4:39" x14ac:dyDescent="0.3">
      <c r="D9252" s="1"/>
      <c r="G9252" s="13"/>
      <c r="AL9252" s="13"/>
      <c r="AM9252" s="14"/>
    </row>
    <row r="9253" spans="4:39" x14ac:dyDescent="0.3">
      <c r="D9253" s="1"/>
      <c r="G9253" s="13"/>
      <c r="AL9253" s="13"/>
    </row>
    <row r="9254" spans="4:39" x14ac:dyDescent="0.3">
      <c r="D9254" s="1"/>
      <c r="G9254" s="13"/>
      <c r="AL9254" s="13"/>
      <c r="AM9254" s="14"/>
    </row>
    <row r="9255" spans="4:39" x14ac:dyDescent="0.3">
      <c r="D9255" s="1"/>
      <c r="G9255" s="13"/>
      <c r="AL9255" s="13"/>
    </row>
    <row r="9256" spans="4:39" x14ac:dyDescent="0.3">
      <c r="D9256" s="1"/>
      <c r="G9256" s="13"/>
      <c r="AL9256" s="13"/>
    </row>
    <row r="9257" spans="4:39" x14ac:dyDescent="0.3">
      <c r="D9257" s="1"/>
      <c r="G9257" s="13"/>
      <c r="AL9257" s="13"/>
    </row>
    <row r="9258" spans="4:39" x14ac:dyDescent="0.3">
      <c r="D9258" s="1"/>
      <c r="G9258" s="13"/>
      <c r="AL9258" s="13"/>
    </row>
    <row r="9259" spans="4:39" x14ac:dyDescent="0.3">
      <c r="D9259" s="1"/>
      <c r="G9259" s="13"/>
      <c r="AL9259" s="13"/>
    </row>
    <row r="9260" spans="4:39" x14ac:dyDescent="0.3">
      <c r="D9260" s="1"/>
      <c r="G9260" s="13"/>
      <c r="AL9260" s="13"/>
      <c r="AM9260" s="14"/>
    </row>
    <row r="9261" spans="4:39" x14ac:dyDescent="0.3">
      <c r="D9261" s="1"/>
      <c r="G9261" s="13"/>
      <c r="AL9261" s="13"/>
      <c r="AM9261" s="14"/>
    </row>
    <row r="9262" spans="4:39" x14ac:dyDescent="0.3">
      <c r="D9262" s="1"/>
      <c r="G9262" s="13"/>
      <c r="AL9262" s="13"/>
    </row>
    <row r="9263" spans="4:39" x14ac:dyDescent="0.3">
      <c r="D9263" s="1"/>
      <c r="G9263" s="13"/>
      <c r="AL9263" s="13"/>
    </row>
    <row r="9264" spans="4:39" x14ac:dyDescent="0.3">
      <c r="D9264" s="1"/>
      <c r="G9264" s="13"/>
      <c r="AL9264" s="13"/>
      <c r="AM9264" s="14"/>
    </row>
    <row r="9265" spans="4:39" x14ac:dyDescent="0.3">
      <c r="D9265" s="1"/>
      <c r="G9265" s="13"/>
      <c r="AL9265" s="13"/>
      <c r="AM9265" s="14"/>
    </row>
    <row r="9266" spans="4:39" x14ac:dyDescent="0.3">
      <c r="D9266" s="1"/>
      <c r="G9266" s="13"/>
      <c r="AL9266" s="13"/>
    </row>
    <row r="9267" spans="4:39" x14ac:dyDescent="0.3">
      <c r="D9267" s="1"/>
      <c r="G9267" s="13"/>
      <c r="AL9267" s="13"/>
    </row>
    <row r="9268" spans="4:39" x14ac:dyDescent="0.3">
      <c r="D9268" s="1"/>
      <c r="G9268" s="13"/>
      <c r="AL9268" s="13"/>
      <c r="AM9268" s="14"/>
    </row>
    <row r="9269" spans="4:39" x14ac:dyDescent="0.3">
      <c r="D9269" s="1"/>
      <c r="G9269" s="13"/>
      <c r="AL9269" s="13"/>
      <c r="AM9269" s="14"/>
    </row>
    <row r="9270" spans="4:39" x14ac:dyDescent="0.3">
      <c r="D9270" s="1"/>
      <c r="G9270" s="13"/>
      <c r="AL9270" s="13"/>
      <c r="AM9270" s="14"/>
    </row>
    <row r="9271" spans="4:39" x14ac:dyDescent="0.3">
      <c r="D9271" s="1"/>
      <c r="G9271" s="13"/>
      <c r="AL9271" s="13"/>
      <c r="AM9271" s="14"/>
    </row>
    <row r="9272" spans="4:39" x14ac:dyDescent="0.3">
      <c r="D9272" s="1"/>
      <c r="G9272" s="13"/>
      <c r="AL9272" s="13"/>
      <c r="AM9272" s="14"/>
    </row>
    <row r="9273" spans="4:39" x14ac:dyDescent="0.3">
      <c r="D9273" s="1"/>
      <c r="G9273" s="13"/>
      <c r="AL9273" s="13"/>
      <c r="AM9273" s="14"/>
    </row>
    <row r="9274" spans="4:39" x14ac:dyDescent="0.3">
      <c r="D9274" s="1"/>
      <c r="G9274" s="13"/>
      <c r="AL9274" s="13"/>
      <c r="AM9274" s="14"/>
    </row>
    <row r="9275" spans="4:39" x14ac:dyDescent="0.3">
      <c r="D9275" s="1"/>
      <c r="G9275" s="13"/>
      <c r="AL9275" s="13"/>
      <c r="AM9275" s="14"/>
    </row>
    <row r="9276" spans="4:39" x14ac:dyDescent="0.3">
      <c r="D9276" s="1"/>
      <c r="G9276" s="13"/>
      <c r="AL9276" s="13"/>
      <c r="AM9276" s="14"/>
    </row>
    <row r="9277" spans="4:39" x14ac:dyDescent="0.3">
      <c r="D9277" s="1"/>
      <c r="G9277" s="13"/>
      <c r="AL9277" s="13"/>
      <c r="AM9277" s="14"/>
    </row>
    <row r="9278" spans="4:39" x14ac:dyDescent="0.3">
      <c r="D9278" s="1"/>
      <c r="G9278" s="13"/>
      <c r="AL9278" s="13"/>
    </row>
    <row r="9279" spans="4:39" x14ac:dyDescent="0.3">
      <c r="D9279" s="1"/>
      <c r="G9279" s="13"/>
      <c r="AL9279" s="13"/>
      <c r="AM9279" s="14"/>
    </row>
    <row r="9280" spans="4:39" x14ac:dyDescent="0.3">
      <c r="D9280" s="1"/>
      <c r="G9280" s="13"/>
      <c r="AL9280" s="13"/>
      <c r="AM9280" s="14"/>
    </row>
    <row r="9281" spans="4:39" x14ac:dyDescent="0.3">
      <c r="D9281" s="1"/>
      <c r="G9281" s="13"/>
      <c r="AL9281" s="13"/>
      <c r="AM9281" s="14"/>
    </row>
    <row r="9282" spans="4:39" x14ac:dyDescent="0.3">
      <c r="D9282" s="1"/>
      <c r="G9282" s="13"/>
      <c r="AL9282" s="13"/>
      <c r="AM9282" s="14"/>
    </row>
    <row r="9283" spans="4:39" x14ac:dyDescent="0.3">
      <c r="D9283" s="1"/>
      <c r="G9283" s="13"/>
      <c r="AL9283" s="13"/>
      <c r="AM9283" s="14"/>
    </row>
    <row r="9284" spans="4:39" x14ac:dyDescent="0.3">
      <c r="D9284" s="1"/>
      <c r="G9284" s="13"/>
      <c r="AL9284" s="13"/>
      <c r="AM9284" s="14"/>
    </row>
    <row r="9285" spans="4:39" x14ac:dyDescent="0.3">
      <c r="D9285" s="1"/>
      <c r="G9285" s="13"/>
      <c r="AL9285" s="13"/>
      <c r="AM9285" s="14"/>
    </row>
    <row r="9286" spans="4:39" x14ac:dyDescent="0.3">
      <c r="D9286" s="1"/>
      <c r="G9286" s="13"/>
      <c r="AL9286" s="13"/>
      <c r="AM9286" s="14"/>
    </row>
    <row r="9287" spans="4:39" x14ac:dyDescent="0.3">
      <c r="D9287" s="1"/>
      <c r="G9287" s="13"/>
      <c r="AL9287" s="13"/>
    </row>
    <row r="9288" spans="4:39" x14ac:dyDescent="0.3">
      <c r="D9288" s="1"/>
      <c r="G9288" s="13"/>
      <c r="AL9288" s="13"/>
      <c r="AM9288" s="14"/>
    </row>
    <row r="9289" spans="4:39" x14ac:dyDescent="0.3">
      <c r="D9289" s="1"/>
      <c r="G9289" s="13"/>
      <c r="AL9289" s="13"/>
      <c r="AM9289" s="14"/>
    </row>
    <row r="9290" spans="4:39" x14ac:dyDescent="0.3">
      <c r="D9290" s="1"/>
      <c r="G9290" s="13"/>
      <c r="AL9290" s="13"/>
      <c r="AM9290" s="14"/>
    </row>
    <row r="9291" spans="4:39" x14ac:dyDescent="0.3">
      <c r="D9291" s="1"/>
      <c r="G9291" s="13"/>
      <c r="AL9291" s="13"/>
      <c r="AM9291" s="14"/>
    </row>
    <row r="9292" spans="4:39" x14ac:dyDescent="0.3">
      <c r="D9292" s="1"/>
      <c r="G9292" s="13"/>
      <c r="AL9292" s="13"/>
      <c r="AM9292" s="14"/>
    </row>
    <row r="9293" spans="4:39" x14ac:dyDescent="0.3">
      <c r="D9293" s="1"/>
      <c r="G9293" s="13"/>
      <c r="AL9293" s="13"/>
    </row>
    <row r="9294" spans="4:39" x14ac:dyDescent="0.3">
      <c r="D9294" s="1"/>
      <c r="G9294" s="13"/>
      <c r="AL9294" s="13"/>
      <c r="AM9294" s="14"/>
    </row>
    <row r="9295" spans="4:39" x14ac:dyDescent="0.3">
      <c r="D9295" s="1"/>
      <c r="G9295" s="13"/>
      <c r="AL9295" s="13"/>
      <c r="AM9295" s="14"/>
    </row>
    <row r="9296" spans="4:39" x14ac:dyDescent="0.3">
      <c r="D9296" s="1"/>
      <c r="G9296" s="13"/>
      <c r="AL9296" s="13"/>
      <c r="AM9296" s="14"/>
    </row>
    <row r="9297" spans="4:39" x14ac:dyDescent="0.3">
      <c r="D9297" s="1"/>
      <c r="G9297" s="13"/>
      <c r="AL9297" s="13"/>
      <c r="AM9297" s="14"/>
    </row>
    <row r="9298" spans="4:39" x14ac:dyDescent="0.3">
      <c r="D9298" s="1"/>
      <c r="G9298" s="13"/>
      <c r="AL9298" s="13"/>
    </row>
    <row r="9299" spans="4:39" x14ac:dyDescent="0.3">
      <c r="D9299" s="1"/>
      <c r="G9299" s="13"/>
      <c r="AL9299" s="13"/>
      <c r="AM9299" s="14"/>
    </row>
    <row r="9300" spans="4:39" x14ac:dyDescent="0.3">
      <c r="D9300" s="1"/>
      <c r="G9300" s="13"/>
      <c r="AL9300" s="13"/>
    </row>
    <row r="9301" spans="4:39" x14ac:dyDescent="0.3">
      <c r="D9301" s="1"/>
      <c r="G9301" s="13"/>
      <c r="AL9301" s="13"/>
      <c r="AM9301" s="14"/>
    </row>
    <row r="9302" spans="4:39" x14ac:dyDescent="0.3">
      <c r="D9302" s="1"/>
      <c r="G9302" s="13"/>
      <c r="AL9302" s="13"/>
      <c r="AM9302" s="14"/>
    </row>
    <row r="9303" spans="4:39" x14ac:dyDescent="0.3">
      <c r="D9303" s="1"/>
      <c r="G9303" s="13"/>
      <c r="AL9303" s="13"/>
      <c r="AM9303" s="14"/>
    </row>
    <row r="9304" spans="4:39" x14ac:dyDescent="0.3">
      <c r="D9304" s="1"/>
      <c r="G9304" s="13"/>
      <c r="AL9304" s="13"/>
      <c r="AM9304" s="14"/>
    </row>
    <row r="9305" spans="4:39" x14ac:dyDescent="0.3">
      <c r="D9305" s="1"/>
      <c r="G9305" s="13"/>
      <c r="AL9305" s="13"/>
      <c r="AM9305" s="14"/>
    </row>
    <row r="9306" spans="4:39" x14ac:dyDescent="0.3">
      <c r="D9306" s="1"/>
      <c r="G9306" s="13"/>
      <c r="AL9306" s="13"/>
      <c r="AM9306" s="14"/>
    </row>
    <row r="9307" spans="4:39" x14ac:dyDescent="0.3">
      <c r="D9307" s="1"/>
      <c r="G9307" s="13"/>
      <c r="AL9307" s="13"/>
    </row>
    <row r="9308" spans="4:39" x14ac:dyDescent="0.3">
      <c r="D9308" s="1"/>
      <c r="G9308" s="13"/>
      <c r="AL9308" s="13"/>
    </row>
    <row r="9309" spans="4:39" x14ac:dyDescent="0.3">
      <c r="D9309" s="1"/>
      <c r="G9309" s="13"/>
      <c r="AL9309" s="13"/>
      <c r="AM9309" s="14"/>
    </row>
    <row r="9310" spans="4:39" x14ac:dyDescent="0.3">
      <c r="D9310" s="1"/>
      <c r="G9310" s="13"/>
      <c r="AL9310" s="13"/>
      <c r="AM9310" s="14"/>
    </row>
    <row r="9311" spans="4:39" x14ac:dyDescent="0.3">
      <c r="D9311" s="1"/>
      <c r="G9311" s="13"/>
      <c r="AL9311" s="13"/>
      <c r="AM9311" s="14"/>
    </row>
    <row r="9312" spans="4:39" x14ac:dyDescent="0.3">
      <c r="D9312" s="1"/>
      <c r="G9312" s="13"/>
      <c r="AL9312" s="13"/>
      <c r="AM9312" s="14"/>
    </row>
    <row r="9313" spans="4:39" x14ac:dyDescent="0.3">
      <c r="D9313" s="1"/>
      <c r="G9313" s="13"/>
      <c r="AL9313" s="13"/>
    </row>
    <row r="9314" spans="4:39" x14ac:dyDescent="0.3">
      <c r="D9314" s="1"/>
      <c r="G9314" s="13"/>
      <c r="AL9314" s="13"/>
    </row>
    <row r="9315" spans="4:39" x14ac:dyDescent="0.3">
      <c r="D9315" s="1"/>
      <c r="G9315" s="13"/>
      <c r="AL9315" s="13"/>
    </row>
    <row r="9316" spans="4:39" x14ac:dyDescent="0.3">
      <c r="D9316" s="1"/>
      <c r="G9316" s="13"/>
      <c r="AL9316" s="13"/>
    </row>
    <row r="9317" spans="4:39" x14ac:dyDescent="0.3">
      <c r="D9317" s="1"/>
      <c r="G9317" s="13"/>
      <c r="AL9317" s="13"/>
      <c r="AM9317" s="14"/>
    </row>
    <row r="9318" spans="4:39" x14ac:dyDescent="0.3">
      <c r="D9318" s="1"/>
      <c r="G9318" s="13"/>
      <c r="AL9318" s="13"/>
    </row>
    <row r="9319" spans="4:39" x14ac:dyDescent="0.3">
      <c r="D9319" s="1"/>
      <c r="G9319" s="13"/>
      <c r="AL9319" s="13"/>
    </row>
    <row r="9320" spans="4:39" x14ac:dyDescent="0.3">
      <c r="D9320" s="1"/>
      <c r="G9320" s="13"/>
      <c r="AL9320" s="13"/>
    </row>
    <row r="9321" spans="4:39" x14ac:dyDescent="0.3">
      <c r="D9321" s="1"/>
      <c r="G9321" s="13"/>
      <c r="AL9321" s="13"/>
      <c r="AM9321" s="14"/>
    </row>
    <row r="9322" spans="4:39" x14ac:dyDescent="0.3">
      <c r="D9322" s="1"/>
      <c r="G9322" s="13"/>
      <c r="AL9322" s="13"/>
    </row>
    <row r="9323" spans="4:39" x14ac:dyDescent="0.3">
      <c r="D9323" s="1"/>
      <c r="G9323" s="13"/>
      <c r="AL9323" s="13"/>
    </row>
    <row r="9324" spans="4:39" x14ac:dyDescent="0.3">
      <c r="D9324" s="1"/>
      <c r="G9324" s="13"/>
      <c r="AL9324" s="13"/>
      <c r="AM9324" s="14"/>
    </row>
    <row r="9325" spans="4:39" x14ac:dyDescent="0.3">
      <c r="D9325" s="1"/>
      <c r="G9325" s="13"/>
      <c r="AL9325" s="13"/>
    </row>
    <row r="9326" spans="4:39" x14ac:dyDescent="0.3">
      <c r="D9326" s="1"/>
      <c r="G9326" s="13"/>
      <c r="AL9326" s="13"/>
    </row>
    <row r="9327" spans="4:39" x14ac:dyDescent="0.3">
      <c r="D9327" s="1"/>
      <c r="G9327" s="13"/>
      <c r="AL9327" s="13"/>
    </row>
    <row r="9328" spans="4:39" x14ac:dyDescent="0.3">
      <c r="D9328" s="1"/>
      <c r="G9328" s="13"/>
      <c r="AL9328" s="13"/>
    </row>
    <row r="9329" spans="4:39" x14ac:dyDescent="0.3">
      <c r="D9329" s="1"/>
      <c r="G9329" s="13"/>
      <c r="AL9329" s="13"/>
      <c r="AM9329" s="14"/>
    </row>
    <row r="9330" spans="4:39" x14ac:dyDescent="0.3">
      <c r="D9330" s="1"/>
      <c r="G9330" s="13"/>
      <c r="AL9330" s="13"/>
      <c r="AM9330" s="14"/>
    </row>
    <row r="9331" spans="4:39" x14ac:dyDescent="0.3">
      <c r="D9331" s="1"/>
      <c r="G9331" s="13"/>
      <c r="AL9331" s="13"/>
      <c r="AM9331" s="14"/>
    </row>
    <row r="9332" spans="4:39" x14ac:dyDescent="0.3">
      <c r="D9332" s="1"/>
      <c r="G9332" s="13"/>
      <c r="AL9332" s="13"/>
    </row>
    <row r="9333" spans="4:39" x14ac:dyDescent="0.3">
      <c r="D9333" s="1"/>
      <c r="G9333" s="13"/>
      <c r="AL9333" s="13"/>
      <c r="AM9333" s="14"/>
    </row>
    <row r="9334" spans="4:39" x14ac:dyDescent="0.3">
      <c r="D9334" s="1"/>
      <c r="G9334" s="13"/>
      <c r="AL9334" s="13"/>
      <c r="AM9334" s="14"/>
    </row>
    <row r="9335" spans="4:39" x14ac:dyDescent="0.3">
      <c r="D9335" s="1"/>
      <c r="G9335" s="13"/>
      <c r="AL9335" s="13"/>
    </row>
    <row r="9336" spans="4:39" x14ac:dyDescent="0.3">
      <c r="D9336" s="1"/>
      <c r="G9336" s="13"/>
      <c r="AL9336" s="13"/>
      <c r="AM9336" s="14"/>
    </row>
    <row r="9337" spans="4:39" x14ac:dyDescent="0.3">
      <c r="D9337" s="1"/>
      <c r="G9337" s="13"/>
      <c r="AL9337" s="13"/>
      <c r="AM9337" s="14"/>
    </row>
    <row r="9338" spans="4:39" x14ac:dyDescent="0.3">
      <c r="D9338" s="1"/>
      <c r="G9338" s="13"/>
      <c r="AL9338" s="13"/>
      <c r="AM9338" s="14"/>
    </row>
    <row r="9339" spans="4:39" x14ac:dyDescent="0.3">
      <c r="D9339" s="1"/>
      <c r="G9339" s="13"/>
      <c r="AL9339" s="13"/>
      <c r="AM9339" s="14"/>
    </row>
    <row r="9340" spans="4:39" x14ac:dyDescent="0.3">
      <c r="D9340" s="1"/>
      <c r="G9340" s="13"/>
      <c r="AL9340" s="13"/>
      <c r="AM9340" s="14"/>
    </row>
    <row r="9341" spans="4:39" x14ac:dyDescent="0.3">
      <c r="D9341" s="1"/>
      <c r="G9341" s="13"/>
      <c r="AL9341" s="13"/>
      <c r="AM9341" s="14"/>
    </row>
    <row r="9342" spans="4:39" x14ac:dyDescent="0.3">
      <c r="D9342" s="1"/>
      <c r="G9342" s="13"/>
      <c r="AL9342" s="13"/>
      <c r="AM9342" s="14"/>
    </row>
    <row r="9343" spans="4:39" x14ac:dyDescent="0.3">
      <c r="D9343" s="1"/>
      <c r="G9343" s="13"/>
      <c r="AL9343" s="13"/>
      <c r="AM9343" s="14"/>
    </row>
    <row r="9344" spans="4:39" x14ac:dyDescent="0.3">
      <c r="D9344" s="1"/>
      <c r="G9344" s="13"/>
      <c r="AL9344" s="13"/>
      <c r="AM9344" s="14"/>
    </row>
    <row r="9345" spans="4:39" x14ac:dyDescent="0.3">
      <c r="D9345" s="1"/>
      <c r="G9345" s="13"/>
      <c r="AL9345" s="13"/>
      <c r="AM9345" s="14"/>
    </row>
    <row r="9346" spans="4:39" x14ac:dyDescent="0.3">
      <c r="D9346" s="1"/>
      <c r="G9346" s="13"/>
      <c r="AL9346" s="13"/>
      <c r="AM9346" s="14"/>
    </row>
    <row r="9347" spans="4:39" x14ac:dyDescent="0.3">
      <c r="D9347" s="1"/>
      <c r="G9347" s="13"/>
      <c r="AL9347" s="13"/>
      <c r="AM9347" s="14"/>
    </row>
    <row r="9348" spans="4:39" x14ac:dyDescent="0.3">
      <c r="D9348" s="1"/>
      <c r="G9348" s="13"/>
      <c r="AL9348" s="13"/>
      <c r="AM9348" s="14"/>
    </row>
    <row r="9349" spans="4:39" x14ac:dyDescent="0.3">
      <c r="D9349" s="1"/>
      <c r="G9349" s="13"/>
      <c r="AL9349" s="13"/>
    </row>
    <row r="9350" spans="4:39" x14ac:dyDescent="0.3">
      <c r="D9350" s="1"/>
      <c r="G9350" s="13"/>
      <c r="AL9350" s="13"/>
    </row>
    <row r="9351" spans="4:39" x14ac:dyDescent="0.3">
      <c r="D9351" s="1"/>
      <c r="G9351" s="13"/>
      <c r="AL9351" s="13"/>
    </row>
    <row r="9352" spans="4:39" x14ac:dyDescent="0.3">
      <c r="D9352" s="1"/>
      <c r="G9352" s="13"/>
      <c r="AL9352" s="13"/>
      <c r="AM9352" s="14"/>
    </row>
    <row r="9353" spans="4:39" x14ac:dyDescent="0.3">
      <c r="D9353" s="1"/>
      <c r="G9353" s="13"/>
      <c r="AL9353" s="13"/>
    </row>
    <row r="9354" spans="4:39" x14ac:dyDescent="0.3">
      <c r="D9354" s="1"/>
      <c r="G9354" s="13"/>
      <c r="AL9354" s="13"/>
      <c r="AM9354" s="14"/>
    </row>
    <row r="9355" spans="4:39" x14ac:dyDescent="0.3">
      <c r="D9355" s="1"/>
      <c r="G9355" s="13"/>
      <c r="AL9355" s="13"/>
    </row>
    <row r="9356" spans="4:39" x14ac:dyDescent="0.3">
      <c r="D9356" s="1"/>
      <c r="G9356" s="13"/>
      <c r="AL9356" s="13"/>
    </row>
    <row r="9357" spans="4:39" x14ac:dyDescent="0.3">
      <c r="D9357" s="1"/>
      <c r="G9357" s="13"/>
      <c r="AL9357" s="13"/>
    </row>
    <row r="9358" spans="4:39" x14ac:dyDescent="0.3">
      <c r="D9358" s="1"/>
      <c r="G9358" s="13"/>
      <c r="AL9358" s="13"/>
      <c r="AM9358" s="14"/>
    </row>
    <row r="9359" spans="4:39" x14ac:dyDescent="0.3">
      <c r="D9359" s="1"/>
      <c r="G9359" s="13"/>
      <c r="AL9359" s="13"/>
      <c r="AM9359" s="14"/>
    </row>
    <row r="9360" spans="4:39" x14ac:dyDescent="0.3">
      <c r="D9360" s="1"/>
      <c r="G9360" s="13"/>
      <c r="AL9360" s="13"/>
      <c r="AM9360" s="14"/>
    </row>
    <row r="9361" spans="4:39" x14ac:dyDescent="0.3">
      <c r="D9361" s="1"/>
      <c r="G9361" s="13"/>
      <c r="AL9361" s="13"/>
    </row>
    <row r="9362" spans="4:39" x14ac:dyDescent="0.3">
      <c r="D9362" s="1"/>
      <c r="G9362" s="13"/>
      <c r="AL9362" s="13"/>
      <c r="AM9362" s="14"/>
    </row>
    <row r="9363" spans="4:39" x14ac:dyDescent="0.3">
      <c r="D9363" s="1"/>
      <c r="G9363" s="13"/>
      <c r="AL9363" s="13"/>
    </row>
    <row r="9364" spans="4:39" x14ac:dyDescent="0.3">
      <c r="D9364" s="1"/>
      <c r="G9364" s="13"/>
      <c r="AL9364" s="13"/>
    </row>
    <row r="9365" spans="4:39" x14ac:dyDescent="0.3">
      <c r="D9365" s="1"/>
      <c r="G9365" s="13"/>
      <c r="AL9365" s="13"/>
      <c r="AM9365" s="14"/>
    </row>
    <row r="9366" spans="4:39" x14ac:dyDescent="0.3">
      <c r="D9366" s="1"/>
      <c r="G9366" s="13"/>
      <c r="AL9366" s="13"/>
      <c r="AM9366" s="14"/>
    </row>
    <row r="9367" spans="4:39" x14ac:dyDescent="0.3">
      <c r="D9367" s="1"/>
      <c r="G9367" s="13"/>
      <c r="AL9367" s="13"/>
      <c r="AM9367" s="14"/>
    </row>
    <row r="9368" spans="4:39" x14ac:dyDescent="0.3">
      <c r="D9368" s="1"/>
      <c r="G9368" s="13"/>
      <c r="AL9368" s="13"/>
      <c r="AM9368" s="14"/>
    </row>
    <row r="9369" spans="4:39" x14ac:dyDescent="0.3">
      <c r="D9369" s="1"/>
      <c r="G9369" s="13"/>
      <c r="AL9369" s="13"/>
      <c r="AM9369" s="14"/>
    </row>
    <row r="9370" spans="4:39" x14ac:dyDescent="0.3">
      <c r="D9370" s="1"/>
      <c r="G9370" s="13"/>
      <c r="AL9370" s="13"/>
      <c r="AM9370" s="14"/>
    </row>
    <row r="9371" spans="4:39" x14ac:dyDescent="0.3">
      <c r="D9371" s="1"/>
      <c r="G9371" s="13"/>
      <c r="AL9371" s="13"/>
      <c r="AM9371" s="14"/>
    </row>
    <row r="9372" spans="4:39" x14ac:dyDescent="0.3">
      <c r="D9372" s="1"/>
      <c r="G9372" s="13"/>
      <c r="AL9372" s="13"/>
      <c r="AM9372" s="14"/>
    </row>
    <row r="9373" spans="4:39" x14ac:dyDescent="0.3">
      <c r="D9373" s="1"/>
      <c r="G9373" s="13"/>
      <c r="AL9373" s="13"/>
      <c r="AM9373" s="14"/>
    </row>
    <row r="9374" spans="4:39" x14ac:dyDescent="0.3">
      <c r="D9374" s="1"/>
      <c r="G9374" s="13"/>
      <c r="AL9374" s="13"/>
      <c r="AM9374" s="14"/>
    </row>
    <row r="9375" spans="4:39" x14ac:dyDescent="0.3">
      <c r="D9375" s="1"/>
      <c r="G9375" s="13"/>
      <c r="AL9375" s="13"/>
      <c r="AM9375" s="14"/>
    </row>
    <row r="9376" spans="4:39" x14ac:dyDescent="0.3">
      <c r="D9376" s="1"/>
      <c r="G9376" s="13"/>
      <c r="AL9376" s="13"/>
      <c r="AM9376" s="14"/>
    </row>
    <row r="9377" spans="4:39" x14ac:dyDescent="0.3">
      <c r="D9377" s="1"/>
      <c r="G9377" s="13"/>
      <c r="AL9377" s="13"/>
    </row>
    <row r="9378" spans="4:39" x14ac:dyDescent="0.3">
      <c r="D9378" s="1"/>
      <c r="G9378" s="13"/>
      <c r="AL9378" s="13"/>
    </row>
    <row r="9379" spans="4:39" x14ac:dyDescent="0.3">
      <c r="D9379" s="1"/>
      <c r="G9379" s="13"/>
      <c r="AL9379" s="13"/>
    </row>
    <row r="9380" spans="4:39" x14ac:dyDescent="0.3">
      <c r="D9380" s="1"/>
      <c r="G9380" s="13"/>
      <c r="AL9380" s="13"/>
    </row>
    <row r="9381" spans="4:39" x14ac:dyDescent="0.3">
      <c r="D9381" s="1"/>
      <c r="G9381" s="13"/>
      <c r="AL9381" s="13"/>
    </row>
    <row r="9382" spans="4:39" x14ac:dyDescent="0.3">
      <c r="D9382" s="1"/>
      <c r="G9382" s="13"/>
      <c r="AL9382" s="13"/>
    </row>
    <row r="9383" spans="4:39" x14ac:dyDescent="0.3">
      <c r="D9383" s="1"/>
      <c r="G9383" s="13"/>
      <c r="AL9383" s="13"/>
    </row>
    <row r="9384" spans="4:39" x14ac:dyDescent="0.3">
      <c r="D9384" s="1"/>
      <c r="G9384" s="13"/>
      <c r="AL9384" s="13"/>
    </row>
    <row r="9385" spans="4:39" x14ac:dyDescent="0.3">
      <c r="D9385" s="1"/>
      <c r="G9385" s="13"/>
      <c r="AL9385" s="13"/>
    </row>
    <row r="9386" spans="4:39" x14ac:dyDescent="0.3">
      <c r="D9386" s="1"/>
      <c r="G9386" s="13"/>
      <c r="AL9386" s="13"/>
    </row>
    <row r="9387" spans="4:39" x14ac:dyDescent="0.3">
      <c r="D9387" s="1"/>
      <c r="G9387" s="13"/>
      <c r="AL9387" s="13"/>
    </row>
    <row r="9388" spans="4:39" x14ac:dyDescent="0.3">
      <c r="D9388" s="1"/>
      <c r="G9388" s="13"/>
      <c r="AL9388" s="13"/>
      <c r="AM9388" s="14"/>
    </row>
    <row r="9389" spans="4:39" x14ac:dyDescent="0.3">
      <c r="D9389" s="1"/>
      <c r="G9389" s="13"/>
      <c r="AL9389" s="13"/>
    </row>
    <row r="9390" spans="4:39" x14ac:dyDescent="0.3">
      <c r="D9390" s="1"/>
      <c r="G9390" s="13"/>
      <c r="AL9390" s="13"/>
      <c r="AM9390" s="14"/>
    </row>
    <row r="9391" spans="4:39" x14ac:dyDescent="0.3">
      <c r="D9391" s="1"/>
      <c r="G9391" s="13"/>
      <c r="AL9391" s="13"/>
      <c r="AM9391" s="14"/>
    </row>
    <row r="9392" spans="4:39" x14ac:dyDescent="0.3">
      <c r="D9392" s="1"/>
      <c r="G9392" s="13"/>
      <c r="AL9392" s="13"/>
      <c r="AM9392" s="14"/>
    </row>
    <row r="9393" spans="4:39" x14ac:dyDescent="0.3">
      <c r="D9393" s="1"/>
      <c r="G9393" s="13"/>
      <c r="AL9393" s="13"/>
      <c r="AM9393" s="14"/>
    </row>
    <row r="9394" spans="4:39" x14ac:dyDescent="0.3">
      <c r="D9394" s="1"/>
      <c r="G9394" s="13"/>
      <c r="AL9394" s="13"/>
    </row>
    <row r="9395" spans="4:39" x14ac:dyDescent="0.3">
      <c r="D9395" s="1"/>
      <c r="G9395" s="13"/>
      <c r="AL9395" s="13"/>
    </row>
    <row r="9396" spans="4:39" x14ac:dyDescent="0.3">
      <c r="D9396" s="1"/>
      <c r="G9396" s="13"/>
      <c r="AL9396" s="13"/>
      <c r="AM9396" s="14"/>
    </row>
    <row r="9397" spans="4:39" x14ac:dyDescent="0.3">
      <c r="D9397" s="1"/>
      <c r="G9397" s="13"/>
      <c r="AL9397" s="13"/>
    </row>
    <row r="9398" spans="4:39" x14ac:dyDescent="0.3">
      <c r="D9398" s="1"/>
      <c r="G9398" s="13"/>
      <c r="AL9398" s="13"/>
      <c r="AM9398" s="14"/>
    </row>
    <row r="9399" spans="4:39" x14ac:dyDescent="0.3">
      <c r="D9399" s="1"/>
      <c r="G9399" s="13"/>
      <c r="AL9399" s="13"/>
      <c r="AM9399" s="14"/>
    </row>
    <row r="9400" spans="4:39" x14ac:dyDescent="0.3">
      <c r="D9400" s="1"/>
      <c r="G9400" s="13"/>
      <c r="AL9400" s="13"/>
    </row>
    <row r="9401" spans="4:39" x14ac:dyDescent="0.3">
      <c r="D9401" s="1"/>
      <c r="G9401" s="13"/>
      <c r="AL9401" s="13"/>
    </row>
    <row r="9402" spans="4:39" x14ac:dyDescent="0.3">
      <c r="D9402" s="1"/>
      <c r="G9402" s="13"/>
      <c r="AL9402" s="13"/>
    </row>
    <row r="9403" spans="4:39" x14ac:dyDescent="0.3">
      <c r="D9403" s="1"/>
      <c r="G9403" s="13"/>
      <c r="AL9403" s="13"/>
    </row>
    <row r="9404" spans="4:39" x14ac:dyDescent="0.3">
      <c r="D9404" s="1"/>
      <c r="G9404" s="13"/>
      <c r="AL9404" s="13"/>
    </row>
    <row r="9405" spans="4:39" x14ac:dyDescent="0.3">
      <c r="D9405" s="1"/>
      <c r="G9405" s="13"/>
      <c r="AL9405" s="13"/>
      <c r="AM9405" s="14"/>
    </row>
    <row r="9406" spans="4:39" x14ac:dyDescent="0.3">
      <c r="D9406" s="1"/>
      <c r="G9406" s="13"/>
      <c r="AL9406" s="13"/>
      <c r="AM9406" s="14"/>
    </row>
    <row r="9407" spans="4:39" x14ac:dyDescent="0.3">
      <c r="D9407" s="1"/>
      <c r="G9407" s="13"/>
      <c r="AL9407" s="13"/>
      <c r="AM9407" s="14"/>
    </row>
    <row r="9408" spans="4:39" x14ac:dyDescent="0.3">
      <c r="D9408" s="1"/>
      <c r="G9408" s="13"/>
      <c r="AL9408" s="13"/>
      <c r="AM9408" s="14"/>
    </row>
    <row r="9409" spans="4:39" x14ac:dyDescent="0.3">
      <c r="D9409" s="1"/>
      <c r="G9409" s="13"/>
      <c r="AL9409" s="13"/>
    </row>
    <row r="9410" spans="4:39" x14ac:dyDescent="0.3">
      <c r="D9410" s="1"/>
      <c r="G9410" s="13"/>
      <c r="AL9410" s="13"/>
      <c r="AM9410" s="14"/>
    </row>
    <row r="9411" spans="4:39" x14ac:dyDescent="0.3">
      <c r="D9411" s="1"/>
      <c r="G9411" s="13"/>
      <c r="AL9411" s="13"/>
    </row>
    <row r="9412" spans="4:39" x14ac:dyDescent="0.3">
      <c r="D9412" s="1"/>
      <c r="G9412" s="13"/>
      <c r="AL9412" s="13"/>
      <c r="AM9412" s="14"/>
    </row>
    <row r="9413" spans="4:39" x14ac:dyDescent="0.3">
      <c r="D9413" s="1"/>
      <c r="G9413" s="13"/>
      <c r="AL9413" s="13"/>
    </row>
    <row r="9414" spans="4:39" x14ac:dyDescent="0.3">
      <c r="D9414" s="1"/>
      <c r="G9414" s="13"/>
      <c r="AL9414" s="13"/>
      <c r="AM9414" s="14"/>
    </row>
    <row r="9415" spans="4:39" x14ac:dyDescent="0.3">
      <c r="D9415" s="1"/>
      <c r="G9415" s="13"/>
      <c r="AL9415" s="13"/>
    </row>
    <row r="9416" spans="4:39" x14ac:dyDescent="0.3">
      <c r="D9416" s="1"/>
      <c r="G9416" s="13"/>
      <c r="AL9416" s="13"/>
      <c r="AM9416" s="14"/>
    </row>
    <row r="9417" spans="4:39" x14ac:dyDescent="0.3">
      <c r="D9417" s="1"/>
      <c r="G9417" s="13"/>
      <c r="AL9417" s="13"/>
      <c r="AM9417" s="14"/>
    </row>
    <row r="9418" spans="4:39" x14ac:dyDescent="0.3">
      <c r="D9418" s="1"/>
      <c r="G9418" s="13"/>
      <c r="AL9418" s="13"/>
      <c r="AM9418" s="14"/>
    </row>
    <row r="9419" spans="4:39" x14ac:dyDescent="0.3">
      <c r="D9419" s="1"/>
      <c r="G9419" s="13"/>
      <c r="AL9419" s="13"/>
    </row>
    <row r="9420" spans="4:39" x14ac:dyDescent="0.3">
      <c r="D9420" s="1"/>
      <c r="G9420" s="13"/>
      <c r="AL9420" s="13"/>
      <c r="AM9420" s="14"/>
    </row>
    <row r="9421" spans="4:39" x14ac:dyDescent="0.3">
      <c r="D9421" s="1"/>
      <c r="G9421" s="13"/>
      <c r="AL9421" s="13"/>
    </row>
    <row r="9422" spans="4:39" x14ac:dyDescent="0.3">
      <c r="D9422" s="1"/>
      <c r="G9422" s="13"/>
      <c r="AL9422" s="13"/>
      <c r="AM9422" s="14"/>
    </row>
    <row r="9423" spans="4:39" x14ac:dyDescent="0.3">
      <c r="D9423" s="1"/>
      <c r="G9423" s="13"/>
      <c r="AL9423" s="13"/>
    </row>
    <row r="9424" spans="4:39" x14ac:dyDescent="0.3">
      <c r="D9424" s="1"/>
      <c r="G9424" s="13"/>
      <c r="AL9424" s="13"/>
      <c r="AM9424" s="14"/>
    </row>
    <row r="9425" spans="4:39" x14ac:dyDescent="0.3">
      <c r="D9425" s="1"/>
      <c r="G9425" s="13"/>
      <c r="AL9425" s="13"/>
    </row>
    <row r="9426" spans="4:39" x14ac:dyDescent="0.3">
      <c r="D9426" s="1"/>
      <c r="G9426" s="13"/>
      <c r="AL9426" s="13"/>
    </row>
    <row r="9427" spans="4:39" x14ac:dyDescent="0.3">
      <c r="D9427" s="1"/>
      <c r="G9427" s="13"/>
      <c r="AL9427" s="13"/>
      <c r="AM9427" s="14"/>
    </row>
    <row r="9428" spans="4:39" x14ac:dyDescent="0.3">
      <c r="D9428" s="1"/>
      <c r="G9428" s="13"/>
      <c r="AL9428" s="13"/>
    </row>
    <row r="9429" spans="4:39" x14ac:dyDescent="0.3">
      <c r="D9429" s="1"/>
      <c r="G9429" s="13"/>
      <c r="AL9429" s="13"/>
      <c r="AM9429" s="14"/>
    </row>
    <row r="9430" spans="4:39" x14ac:dyDescent="0.3">
      <c r="D9430" s="1"/>
      <c r="G9430" s="13"/>
      <c r="AL9430" s="13"/>
      <c r="AM9430" s="14"/>
    </row>
    <row r="9431" spans="4:39" x14ac:dyDescent="0.3">
      <c r="D9431" s="1"/>
      <c r="G9431" s="13"/>
      <c r="AL9431" s="13"/>
    </row>
    <row r="9432" spans="4:39" x14ac:dyDescent="0.3">
      <c r="D9432" s="1"/>
      <c r="G9432" s="13"/>
      <c r="AL9432" s="13"/>
      <c r="AM9432" s="14"/>
    </row>
    <row r="9433" spans="4:39" x14ac:dyDescent="0.3">
      <c r="D9433" s="1"/>
      <c r="G9433" s="13"/>
      <c r="AL9433" s="13"/>
      <c r="AM9433" s="14"/>
    </row>
    <row r="9434" spans="4:39" x14ac:dyDescent="0.3">
      <c r="D9434" s="1"/>
      <c r="G9434" s="13"/>
      <c r="AL9434" s="13"/>
      <c r="AM9434" s="14"/>
    </row>
    <row r="9435" spans="4:39" x14ac:dyDescent="0.3">
      <c r="D9435" s="1"/>
      <c r="G9435" s="13"/>
      <c r="AL9435" s="13"/>
    </row>
    <row r="9436" spans="4:39" x14ac:dyDescent="0.3">
      <c r="D9436" s="1"/>
      <c r="G9436" s="13"/>
      <c r="AL9436" s="13"/>
    </row>
    <row r="9437" spans="4:39" x14ac:dyDescent="0.3">
      <c r="D9437" s="1"/>
      <c r="G9437" s="13"/>
      <c r="AL9437" s="13"/>
    </row>
    <row r="9438" spans="4:39" x14ac:dyDescent="0.3">
      <c r="D9438" s="1"/>
      <c r="G9438" s="13"/>
      <c r="AL9438" s="13"/>
    </row>
    <row r="9439" spans="4:39" x14ac:dyDescent="0.3">
      <c r="D9439" s="1"/>
      <c r="G9439" s="13"/>
      <c r="AL9439" s="13"/>
    </row>
    <row r="9440" spans="4:39" x14ac:dyDescent="0.3">
      <c r="D9440" s="1"/>
      <c r="G9440" s="13"/>
      <c r="AL9440" s="13"/>
    </row>
    <row r="9441" spans="4:39" x14ac:dyDescent="0.3">
      <c r="D9441" s="1"/>
      <c r="G9441" s="13"/>
      <c r="AL9441" s="13"/>
    </row>
    <row r="9442" spans="4:39" x14ac:dyDescent="0.3">
      <c r="D9442" s="1"/>
      <c r="G9442" s="13"/>
      <c r="AL9442" s="13"/>
    </row>
    <row r="9443" spans="4:39" x14ac:dyDescent="0.3">
      <c r="D9443" s="1"/>
      <c r="G9443" s="13"/>
      <c r="AL9443" s="13"/>
    </row>
    <row r="9444" spans="4:39" x14ac:dyDescent="0.3">
      <c r="D9444" s="1"/>
      <c r="G9444" s="13"/>
      <c r="AL9444" s="13"/>
    </row>
    <row r="9445" spans="4:39" x14ac:dyDescent="0.3">
      <c r="D9445" s="1"/>
      <c r="G9445" s="13"/>
      <c r="AL9445" s="13"/>
    </row>
    <row r="9446" spans="4:39" x14ac:dyDescent="0.3">
      <c r="D9446" s="1"/>
      <c r="G9446" s="13"/>
      <c r="AL9446" s="13"/>
    </row>
    <row r="9447" spans="4:39" x14ac:dyDescent="0.3">
      <c r="D9447" s="1"/>
      <c r="G9447" s="13"/>
      <c r="AL9447" s="13"/>
    </row>
    <row r="9448" spans="4:39" x14ac:dyDescent="0.3">
      <c r="D9448" s="1"/>
      <c r="G9448" s="13"/>
      <c r="AL9448" s="13"/>
    </row>
    <row r="9449" spans="4:39" x14ac:dyDescent="0.3">
      <c r="D9449" s="1"/>
      <c r="G9449" s="13"/>
      <c r="AL9449" s="13"/>
    </row>
    <row r="9450" spans="4:39" x14ac:dyDescent="0.3">
      <c r="D9450" s="1"/>
      <c r="G9450" s="13"/>
      <c r="AL9450" s="13"/>
      <c r="AM9450" s="14"/>
    </row>
    <row r="9451" spans="4:39" x14ac:dyDescent="0.3">
      <c r="D9451" s="1"/>
      <c r="G9451" s="13"/>
      <c r="AL9451" s="13"/>
    </row>
    <row r="9452" spans="4:39" x14ac:dyDescent="0.3">
      <c r="D9452" s="1"/>
      <c r="G9452" s="13"/>
      <c r="AL9452" s="13"/>
    </row>
    <row r="9453" spans="4:39" x14ac:dyDescent="0.3">
      <c r="D9453" s="1"/>
      <c r="G9453" s="13"/>
      <c r="AL9453" s="13"/>
    </row>
    <row r="9454" spans="4:39" x14ac:dyDescent="0.3">
      <c r="D9454" s="1"/>
      <c r="G9454" s="13"/>
      <c r="AL9454" s="13"/>
    </row>
    <row r="9455" spans="4:39" x14ac:dyDescent="0.3">
      <c r="D9455" s="1"/>
      <c r="G9455" s="13"/>
      <c r="AL9455" s="13"/>
    </row>
    <row r="9456" spans="4:39" x14ac:dyDescent="0.3">
      <c r="D9456" s="1"/>
      <c r="G9456" s="13"/>
      <c r="AL9456" s="13"/>
    </row>
    <row r="9457" spans="4:39" x14ac:dyDescent="0.3">
      <c r="D9457" s="1"/>
      <c r="G9457" s="13"/>
      <c r="AL9457" s="13"/>
      <c r="AM9457" s="14"/>
    </row>
    <row r="9458" spans="4:39" x14ac:dyDescent="0.3">
      <c r="D9458" s="1"/>
      <c r="G9458" s="13"/>
      <c r="AL9458" s="13"/>
      <c r="AM9458" s="14"/>
    </row>
    <row r="9459" spans="4:39" x14ac:dyDescent="0.3">
      <c r="D9459" s="1"/>
      <c r="G9459" s="13"/>
      <c r="AL9459" s="13"/>
      <c r="AM9459" s="14"/>
    </row>
    <row r="9460" spans="4:39" x14ac:dyDescent="0.3">
      <c r="D9460" s="1"/>
      <c r="G9460" s="13"/>
      <c r="AL9460" s="13"/>
    </row>
    <row r="9461" spans="4:39" x14ac:dyDescent="0.3">
      <c r="D9461" s="1"/>
      <c r="G9461" s="13"/>
      <c r="AL9461" s="13"/>
    </row>
    <row r="9462" spans="4:39" x14ac:dyDescent="0.3">
      <c r="D9462" s="1"/>
      <c r="G9462" s="13"/>
      <c r="AL9462" s="13"/>
    </row>
    <row r="9463" spans="4:39" x14ac:dyDescent="0.3">
      <c r="D9463" s="1"/>
      <c r="G9463" s="13"/>
      <c r="AL9463" s="13"/>
    </row>
    <row r="9464" spans="4:39" x14ac:dyDescent="0.3">
      <c r="D9464" s="1"/>
      <c r="G9464" s="13"/>
      <c r="AL9464" s="13"/>
    </row>
    <row r="9465" spans="4:39" x14ac:dyDescent="0.3">
      <c r="D9465" s="1"/>
      <c r="G9465" s="13"/>
      <c r="AL9465" s="13"/>
    </row>
    <row r="9466" spans="4:39" x14ac:dyDescent="0.3">
      <c r="D9466" s="1"/>
      <c r="G9466" s="13"/>
      <c r="AL9466" s="13"/>
    </row>
    <row r="9467" spans="4:39" x14ac:dyDescent="0.3">
      <c r="D9467" s="1"/>
      <c r="G9467" s="13"/>
      <c r="AL9467" s="13"/>
    </row>
    <row r="9468" spans="4:39" x14ac:dyDescent="0.3">
      <c r="D9468" s="1"/>
      <c r="G9468" s="13"/>
      <c r="AL9468" s="13"/>
    </row>
    <row r="9469" spans="4:39" x14ac:dyDescent="0.3">
      <c r="D9469" s="1"/>
      <c r="G9469" s="13"/>
      <c r="AL9469" s="13"/>
    </row>
    <row r="9470" spans="4:39" x14ac:dyDescent="0.3">
      <c r="D9470" s="1"/>
      <c r="G9470" s="13"/>
      <c r="AL9470" s="13"/>
    </row>
    <row r="9471" spans="4:39" x14ac:dyDescent="0.3">
      <c r="D9471" s="1"/>
      <c r="G9471" s="13"/>
      <c r="AL9471" s="13"/>
    </row>
    <row r="9472" spans="4:39" x14ac:dyDescent="0.3">
      <c r="D9472" s="1"/>
      <c r="G9472" s="13"/>
      <c r="AL9472" s="13"/>
    </row>
    <row r="9473" spans="4:39" x14ac:dyDescent="0.3">
      <c r="D9473" s="1"/>
      <c r="G9473" s="13"/>
      <c r="AL9473" s="13"/>
    </row>
    <row r="9474" spans="4:39" x14ac:dyDescent="0.3">
      <c r="D9474" s="1"/>
      <c r="G9474" s="13"/>
      <c r="AL9474" s="13"/>
    </row>
    <row r="9475" spans="4:39" x14ac:dyDescent="0.3">
      <c r="D9475" s="1"/>
      <c r="G9475" s="13"/>
      <c r="AL9475" s="13"/>
    </row>
    <row r="9476" spans="4:39" x14ac:dyDescent="0.3">
      <c r="D9476" s="1"/>
      <c r="G9476" s="13"/>
      <c r="AL9476" s="13"/>
    </row>
    <row r="9477" spans="4:39" x14ac:dyDescent="0.3">
      <c r="D9477" s="1"/>
      <c r="G9477" s="13"/>
      <c r="AL9477" s="13"/>
    </row>
    <row r="9478" spans="4:39" x14ac:dyDescent="0.3">
      <c r="D9478" s="1"/>
      <c r="G9478" s="13"/>
      <c r="AL9478" s="13"/>
    </row>
    <row r="9479" spans="4:39" x14ac:dyDescent="0.3">
      <c r="D9479" s="1"/>
      <c r="G9479" s="13"/>
      <c r="AL9479" s="13"/>
    </row>
    <row r="9480" spans="4:39" x14ac:dyDescent="0.3">
      <c r="D9480" s="1"/>
      <c r="G9480" s="13"/>
      <c r="AL9480" s="13"/>
    </row>
    <row r="9481" spans="4:39" x14ac:dyDescent="0.3">
      <c r="D9481" s="1"/>
      <c r="G9481" s="13"/>
      <c r="AL9481" s="13"/>
    </row>
    <row r="9482" spans="4:39" x14ac:dyDescent="0.3">
      <c r="D9482" s="1"/>
      <c r="G9482" s="13"/>
      <c r="AL9482" s="13"/>
      <c r="AM9482" s="14"/>
    </row>
    <row r="9483" spans="4:39" x14ac:dyDescent="0.3">
      <c r="D9483" s="1"/>
      <c r="G9483" s="13"/>
      <c r="AL9483" s="13"/>
      <c r="AM9483" s="14"/>
    </row>
    <row r="9484" spans="4:39" x14ac:dyDescent="0.3">
      <c r="D9484" s="1"/>
      <c r="G9484" s="13"/>
      <c r="AL9484" s="13"/>
      <c r="AM9484" s="14"/>
    </row>
    <row r="9485" spans="4:39" x14ac:dyDescent="0.3">
      <c r="D9485" s="1"/>
      <c r="G9485" s="13"/>
      <c r="AL9485" s="13"/>
      <c r="AM9485" s="14"/>
    </row>
    <row r="9486" spans="4:39" x14ac:dyDescent="0.3">
      <c r="D9486" s="1"/>
      <c r="G9486" s="13"/>
      <c r="AL9486" s="13"/>
    </row>
    <row r="9487" spans="4:39" x14ac:dyDescent="0.3">
      <c r="D9487" s="1"/>
      <c r="G9487" s="13"/>
      <c r="AL9487" s="13"/>
      <c r="AM9487" s="14"/>
    </row>
    <row r="9488" spans="4:39" x14ac:dyDescent="0.3">
      <c r="D9488" s="1"/>
      <c r="G9488" s="13"/>
      <c r="AL9488" s="13"/>
    </row>
    <row r="9489" spans="4:39" x14ac:dyDescent="0.3">
      <c r="D9489" s="1"/>
      <c r="G9489" s="13"/>
      <c r="AL9489" s="13"/>
    </row>
    <row r="9490" spans="4:39" x14ac:dyDescent="0.3">
      <c r="D9490" s="1"/>
      <c r="G9490" s="13"/>
      <c r="AL9490" s="13"/>
      <c r="AM9490" s="14"/>
    </row>
    <row r="9491" spans="4:39" x14ac:dyDescent="0.3">
      <c r="D9491" s="1"/>
      <c r="G9491" s="13"/>
      <c r="AL9491" s="13"/>
      <c r="AM9491" s="14"/>
    </row>
    <row r="9492" spans="4:39" x14ac:dyDescent="0.3">
      <c r="D9492" s="1"/>
      <c r="G9492" s="13"/>
      <c r="AL9492" s="13"/>
    </row>
    <row r="9493" spans="4:39" x14ac:dyDescent="0.3">
      <c r="D9493" s="1"/>
      <c r="G9493" s="13"/>
      <c r="AL9493" s="13"/>
    </row>
    <row r="9494" spans="4:39" x14ac:dyDescent="0.3">
      <c r="D9494" s="1"/>
      <c r="G9494" s="13"/>
      <c r="AL9494" s="13"/>
    </row>
    <row r="9495" spans="4:39" x14ac:dyDescent="0.3">
      <c r="D9495" s="1"/>
      <c r="G9495" s="13"/>
      <c r="AL9495" s="13"/>
    </row>
    <row r="9496" spans="4:39" x14ac:dyDescent="0.3">
      <c r="D9496" s="1"/>
      <c r="G9496" s="13"/>
      <c r="AL9496" s="13"/>
    </row>
    <row r="9497" spans="4:39" x14ac:dyDescent="0.3">
      <c r="D9497" s="1"/>
      <c r="G9497" s="13"/>
      <c r="AL9497" s="13"/>
    </row>
    <row r="9498" spans="4:39" x14ac:dyDescent="0.3">
      <c r="D9498" s="1"/>
      <c r="G9498" s="13"/>
      <c r="AL9498" s="13"/>
    </row>
    <row r="9499" spans="4:39" x14ac:dyDescent="0.3">
      <c r="D9499" s="1"/>
      <c r="G9499" s="13"/>
      <c r="AL9499" s="13"/>
    </row>
    <row r="9500" spans="4:39" x14ac:dyDescent="0.3">
      <c r="D9500" s="1"/>
      <c r="G9500" s="13"/>
      <c r="AL9500" s="13"/>
    </row>
    <row r="9501" spans="4:39" x14ac:dyDescent="0.3">
      <c r="D9501" s="1"/>
      <c r="G9501" s="13"/>
      <c r="AL9501" s="13"/>
    </row>
    <row r="9502" spans="4:39" x14ac:dyDescent="0.3">
      <c r="D9502" s="1"/>
      <c r="G9502" s="13"/>
      <c r="AL9502" s="13"/>
    </row>
    <row r="9503" spans="4:39" x14ac:dyDescent="0.3">
      <c r="D9503" s="1"/>
      <c r="G9503" s="13"/>
      <c r="AL9503" s="13"/>
    </row>
    <row r="9504" spans="4:39" x14ac:dyDescent="0.3">
      <c r="D9504" s="1"/>
      <c r="G9504" s="13"/>
      <c r="AL9504" s="13"/>
      <c r="AM9504" s="14"/>
    </row>
    <row r="9505" spans="4:39" x14ac:dyDescent="0.3">
      <c r="D9505" s="1"/>
      <c r="G9505" s="13"/>
      <c r="AL9505" s="13"/>
    </row>
    <row r="9506" spans="4:39" x14ac:dyDescent="0.3">
      <c r="D9506" s="1"/>
      <c r="G9506" s="13"/>
      <c r="AL9506" s="13"/>
    </row>
    <row r="9507" spans="4:39" x14ac:dyDescent="0.3">
      <c r="D9507" s="1"/>
      <c r="G9507" s="13"/>
      <c r="AL9507" s="13"/>
    </row>
    <row r="9508" spans="4:39" x14ac:dyDescent="0.3">
      <c r="D9508" s="1"/>
      <c r="G9508" s="13"/>
      <c r="AL9508" s="13"/>
      <c r="AM9508" s="14"/>
    </row>
    <row r="9509" spans="4:39" x14ac:dyDescent="0.3">
      <c r="D9509" s="1"/>
      <c r="G9509" s="13"/>
      <c r="AL9509" s="13"/>
    </row>
    <row r="9510" spans="4:39" x14ac:dyDescent="0.3">
      <c r="D9510" s="1"/>
      <c r="G9510" s="13"/>
      <c r="AL9510" s="13"/>
    </row>
    <row r="9511" spans="4:39" x14ac:dyDescent="0.3">
      <c r="D9511" s="1"/>
      <c r="G9511" s="13"/>
      <c r="AL9511" s="13"/>
    </row>
    <row r="9512" spans="4:39" x14ac:dyDescent="0.3">
      <c r="D9512" s="1"/>
      <c r="G9512" s="13"/>
      <c r="AL9512" s="13"/>
    </row>
    <row r="9513" spans="4:39" x14ac:dyDescent="0.3">
      <c r="D9513" s="1"/>
      <c r="G9513" s="13"/>
      <c r="AL9513" s="13"/>
    </row>
    <row r="9514" spans="4:39" x14ac:dyDescent="0.3">
      <c r="D9514" s="1"/>
      <c r="G9514" s="13"/>
      <c r="AL9514" s="13"/>
    </row>
    <row r="9515" spans="4:39" x14ac:dyDescent="0.3">
      <c r="D9515" s="1"/>
      <c r="G9515" s="13"/>
      <c r="AL9515" s="13"/>
    </row>
    <row r="9516" spans="4:39" x14ac:dyDescent="0.3">
      <c r="D9516" s="1"/>
      <c r="G9516" s="13"/>
      <c r="AL9516" s="13"/>
    </row>
    <row r="9517" spans="4:39" x14ac:dyDescent="0.3">
      <c r="D9517" s="1"/>
      <c r="G9517" s="13"/>
      <c r="AL9517" s="13"/>
    </row>
    <row r="9518" spans="4:39" x14ac:dyDescent="0.3">
      <c r="D9518" s="1"/>
      <c r="G9518" s="13"/>
      <c r="AL9518" s="13"/>
    </row>
    <row r="9519" spans="4:39" x14ac:dyDescent="0.3">
      <c r="D9519" s="1"/>
      <c r="G9519" s="13"/>
      <c r="AL9519" s="13"/>
    </row>
    <row r="9520" spans="4:39" x14ac:dyDescent="0.3">
      <c r="D9520" s="1"/>
      <c r="G9520" s="13"/>
      <c r="AL9520" s="13"/>
    </row>
    <row r="9521" spans="4:38" x14ac:dyDescent="0.3">
      <c r="D9521" s="1"/>
      <c r="G9521" s="13"/>
      <c r="AL9521" s="13"/>
    </row>
    <row r="9522" spans="4:38" x14ac:dyDescent="0.3">
      <c r="D9522" s="1"/>
      <c r="G9522" s="13"/>
      <c r="AL9522" s="13"/>
    </row>
    <row r="9523" spans="4:38" x14ac:dyDescent="0.3">
      <c r="D9523" s="1"/>
      <c r="G9523" s="13"/>
      <c r="AL9523" s="13"/>
    </row>
    <row r="9524" spans="4:38" x14ac:dyDescent="0.3">
      <c r="D9524" s="1"/>
      <c r="G9524" s="13"/>
      <c r="AL9524" s="13"/>
    </row>
    <row r="9525" spans="4:38" x14ac:dyDescent="0.3">
      <c r="D9525" s="1"/>
      <c r="G9525" s="13"/>
      <c r="AL9525" s="13"/>
    </row>
    <row r="9526" spans="4:38" x14ac:dyDescent="0.3">
      <c r="D9526" s="1"/>
      <c r="G9526" s="13"/>
      <c r="AL9526" s="13"/>
    </row>
    <row r="9527" spans="4:38" x14ac:dyDescent="0.3">
      <c r="D9527" s="1"/>
      <c r="G9527" s="13"/>
      <c r="AL9527" s="13"/>
    </row>
    <row r="9528" spans="4:38" x14ac:dyDescent="0.3">
      <c r="D9528" s="1"/>
      <c r="G9528" s="13"/>
      <c r="AL9528" s="13"/>
    </row>
    <row r="9529" spans="4:38" x14ac:dyDescent="0.3">
      <c r="D9529" s="1"/>
      <c r="G9529" s="13"/>
      <c r="AL9529" s="13"/>
    </row>
    <row r="9530" spans="4:38" x14ac:dyDescent="0.3">
      <c r="D9530" s="1"/>
      <c r="G9530" s="13"/>
      <c r="AL9530" s="13"/>
    </row>
    <row r="9531" spans="4:38" x14ac:dyDescent="0.3">
      <c r="D9531" s="1"/>
      <c r="G9531" s="13"/>
      <c r="AL9531" s="13"/>
    </row>
    <row r="9532" spans="4:38" x14ac:dyDescent="0.3">
      <c r="D9532" s="1"/>
      <c r="G9532" s="13"/>
      <c r="AL9532" s="13"/>
    </row>
    <row r="9533" spans="4:38" x14ac:dyDescent="0.3">
      <c r="D9533" s="1"/>
      <c r="G9533" s="13"/>
      <c r="AL9533" s="13"/>
    </row>
    <row r="9534" spans="4:38" x14ac:dyDescent="0.3">
      <c r="D9534" s="1"/>
      <c r="G9534" s="13"/>
      <c r="AL9534" s="13"/>
    </row>
    <row r="9535" spans="4:38" x14ac:dyDescent="0.3">
      <c r="D9535" s="1"/>
      <c r="G9535" s="13"/>
      <c r="AL9535" s="13"/>
    </row>
    <row r="9536" spans="4:38" x14ac:dyDescent="0.3">
      <c r="D9536" s="1"/>
      <c r="G9536" s="13"/>
      <c r="AL9536" s="13"/>
    </row>
    <row r="9537" spans="4:39" x14ac:dyDescent="0.3">
      <c r="D9537" s="1"/>
      <c r="G9537" s="13"/>
      <c r="AL9537" s="13"/>
    </row>
    <row r="9538" spans="4:39" x14ac:dyDescent="0.3">
      <c r="D9538" s="1"/>
      <c r="G9538" s="13"/>
      <c r="AL9538" s="13"/>
    </row>
    <row r="9539" spans="4:39" x14ac:dyDescent="0.3">
      <c r="D9539" s="1"/>
      <c r="G9539" s="13"/>
      <c r="AL9539" s="13"/>
    </row>
    <row r="9540" spans="4:39" x14ac:dyDescent="0.3">
      <c r="D9540" s="1"/>
      <c r="G9540" s="13"/>
      <c r="AL9540" s="13"/>
    </row>
    <row r="9541" spans="4:39" x14ac:dyDescent="0.3">
      <c r="D9541" s="1"/>
      <c r="G9541" s="13"/>
      <c r="AL9541" s="13"/>
    </row>
    <row r="9542" spans="4:39" x14ac:dyDescent="0.3">
      <c r="D9542" s="1"/>
      <c r="G9542" s="13"/>
      <c r="AL9542" s="13"/>
    </row>
    <row r="9543" spans="4:39" x14ac:dyDescent="0.3">
      <c r="D9543" s="1"/>
      <c r="G9543" s="13"/>
      <c r="AL9543" s="13"/>
    </row>
    <row r="9544" spans="4:39" x14ac:dyDescent="0.3">
      <c r="D9544" s="1"/>
      <c r="G9544" s="13"/>
      <c r="AL9544" s="13"/>
    </row>
    <row r="9545" spans="4:39" x14ac:dyDescent="0.3">
      <c r="D9545" s="1"/>
      <c r="G9545" s="13"/>
      <c r="AL9545" s="13"/>
    </row>
    <row r="9546" spans="4:39" x14ac:dyDescent="0.3">
      <c r="D9546" s="1"/>
      <c r="G9546" s="13"/>
      <c r="AL9546" s="13"/>
      <c r="AM9546" s="14"/>
    </row>
    <row r="9547" spans="4:39" x14ac:dyDescent="0.3">
      <c r="D9547" s="1"/>
      <c r="G9547" s="13"/>
      <c r="AL9547" s="13"/>
    </row>
    <row r="9548" spans="4:39" x14ac:dyDescent="0.3">
      <c r="D9548" s="1"/>
      <c r="G9548" s="13"/>
      <c r="AL9548" s="13"/>
      <c r="AM9548" s="14"/>
    </row>
    <row r="9549" spans="4:39" x14ac:dyDescent="0.3">
      <c r="D9549" s="1"/>
      <c r="G9549" s="13"/>
      <c r="AL9549" s="13"/>
    </row>
    <row r="9550" spans="4:39" x14ac:dyDescent="0.3">
      <c r="D9550" s="1"/>
      <c r="G9550" s="13"/>
      <c r="AL9550" s="13"/>
      <c r="AM9550" s="14"/>
    </row>
    <row r="9551" spans="4:39" x14ac:dyDescent="0.3">
      <c r="D9551" s="1"/>
      <c r="G9551" s="13"/>
      <c r="AL9551" s="13"/>
    </row>
    <row r="9552" spans="4:39" x14ac:dyDescent="0.3">
      <c r="D9552" s="1"/>
      <c r="G9552" s="13"/>
      <c r="AL9552" s="13"/>
    </row>
    <row r="9553" spans="4:38" x14ac:dyDescent="0.3">
      <c r="D9553" s="1"/>
      <c r="G9553" s="13"/>
      <c r="AL9553" s="13"/>
    </row>
    <row r="9554" spans="4:38" x14ac:dyDescent="0.3">
      <c r="D9554" s="1"/>
      <c r="G9554" s="13"/>
      <c r="AL9554" s="13"/>
    </row>
    <row r="9555" spans="4:38" x14ac:dyDescent="0.3">
      <c r="D9555" s="1"/>
      <c r="G9555" s="13"/>
      <c r="AL9555" s="13"/>
    </row>
    <row r="9556" spans="4:38" x14ac:dyDescent="0.3">
      <c r="D9556" s="1"/>
      <c r="G9556" s="13"/>
      <c r="AL9556" s="13"/>
    </row>
    <row r="9557" spans="4:38" x14ac:dyDescent="0.3">
      <c r="D9557" s="1"/>
      <c r="G9557" s="13"/>
      <c r="AL9557" s="13"/>
    </row>
    <row r="9558" spans="4:38" x14ac:dyDescent="0.3">
      <c r="D9558" s="1"/>
      <c r="G9558" s="13"/>
      <c r="AL9558" s="13"/>
    </row>
    <row r="9559" spans="4:38" x14ac:dyDescent="0.3">
      <c r="D9559" s="1"/>
      <c r="G9559" s="13"/>
      <c r="AL9559" s="13"/>
    </row>
    <row r="9560" spans="4:38" x14ac:dyDescent="0.3">
      <c r="D9560" s="1"/>
      <c r="G9560" s="13"/>
      <c r="AL9560" s="13"/>
    </row>
    <row r="9561" spans="4:38" x14ac:dyDescent="0.3">
      <c r="D9561" s="1"/>
      <c r="G9561" s="13"/>
      <c r="AL9561" s="13"/>
    </row>
    <row r="9562" spans="4:38" x14ac:dyDescent="0.3">
      <c r="D9562" s="1"/>
      <c r="G9562" s="13"/>
      <c r="AL9562" s="13"/>
    </row>
    <row r="9563" spans="4:38" x14ac:dyDescent="0.3">
      <c r="D9563" s="1"/>
      <c r="G9563" s="13"/>
      <c r="AL9563" s="13"/>
    </row>
    <row r="9564" spans="4:38" x14ac:dyDescent="0.3">
      <c r="D9564" s="1"/>
      <c r="G9564" s="13"/>
      <c r="AL9564" s="13"/>
    </row>
    <row r="9565" spans="4:38" x14ac:dyDescent="0.3">
      <c r="D9565" s="1"/>
      <c r="G9565" s="13"/>
      <c r="AL9565" s="13"/>
    </row>
    <row r="9566" spans="4:38" x14ac:dyDescent="0.3">
      <c r="D9566" s="1"/>
      <c r="G9566" s="13"/>
      <c r="AL9566" s="13"/>
    </row>
    <row r="9567" spans="4:38" x14ac:dyDescent="0.3">
      <c r="D9567" s="1"/>
      <c r="G9567" s="13"/>
      <c r="AL9567" s="13"/>
    </row>
    <row r="9568" spans="4:38" x14ac:dyDescent="0.3">
      <c r="D9568" s="1"/>
      <c r="G9568" s="13"/>
      <c r="AL9568" s="13"/>
    </row>
    <row r="9569" spans="4:38" x14ac:dyDescent="0.3">
      <c r="D9569" s="1"/>
      <c r="G9569" s="13"/>
      <c r="AL9569" s="13"/>
    </row>
    <row r="9570" spans="4:38" x14ac:dyDescent="0.3">
      <c r="D9570" s="1"/>
      <c r="G9570" s="13"/>
      <c r="AL9570" s="13"/>
    </row>
    <row r="9571" spans="4:38" x14ac:dyDescent="0.3">
      <c r="D9571" s="1"/>
      <c r="G9571" s="13"/>
      <c r="AL9571" s="13"/>
    </row>
    <row r="9572" spans="4:38" x14ac:dyDescent="0.3">
      <c r="D9572" s="1"/>
      <c r="G9572" s="13"/>
      <c r="AL9572" s="13"/>
    </row>
    <row r="9573" spans="4:38" x14ac:dyDescent="0.3">
      <c r="D9573" s="1"/>
      <c r="G9573" s="13"/>
      <c r="AL9573" s="13"/>
    </row>
    <row r="9574" spans="4:38" x14ac:dyDescent="0.3">
      <c r="D9574" s="1"/>
      <c r="G9574" s="13"/>
      <c r="AL9574" s="13"/>
    </row>
    <row r="9575" spans="4:38" x14ac:dyDescent="0.3">
      <c r="D9575" s="1"/>
      <c r="G9575" s="13"/>
      <c r="AL9575" s="13"/>
    </row>
    <row r="9576" spans="4:38" x14ac:dyDescent="0.3">
      <c r="D9576" s="1"/>
      <c r="G9576" s="13"/>
      <c r="AL9576" s="13"/>
    </row>
    <row r="9577" spans="4:38" x14ac:dyDescent="0.3">
      <c r="D9577" s="1"/>
      <c r="G9577" s="13"/>
      <c r="AL9577" s="13"/>
    </row>
    <row r="9578" spans="4:38" x14ac:dyDescent="0.3">
      <c r="D9578" s="1"/>
      <c r="G9578" s="13"/>
      <c r="AL9578" s="13"/>
    </row>
    <row r="9579" spans="4:38" x14ac:dyDescent="0.3">
      <c r="D9579" s="1"/>
      <c r="G9579" s="13"/>
      <c r="AL9579" s="13"/>
    </row>
    <row r="9580" spans="4:38" x14ac:dyDescent="0.3">
      <c r="D9580" s="1"/>
      <c r="G9580" s="13"/>
      <c r="AL9580" s="13"/>
    </row>
    <row r="9581" spans="4:38" x14ac:dyDescent="0.3">
      <c r="D9581" s="1"/>
      <c r="G9581" s="13"/>
      <c r="AL9581" s="13"/>
    </row>
    <row r="9582" spans="4:38" x14ac:dyDescent="0.3">
      <c r="D9582" s="1"/>
      <c r="G9582" s="13"/>
      <c r="AL9582" s="13"/>
    </row>
    <row r="9583" spans="4:38" x14ac:dyDescent="0.3">
      <c r="D9583" s="1"/>
      <c r="G9583" s="13"/>
      <c r="AL9583" s="13"/>
    </row>
    <row r="9584" spans="4:38" x14ac:dyDescent="0.3">
      <c r="D9584" s="1"/>
      <c r="G9584" s="13"/>
      <c r="AL9584" s="13"/>
    </row>
    <row r="9585" spans="4:38" x14ac:dyDescent="0.3">
      <c r="D9585" s="1"/>
      <c r="G9585" s="13"/>
      <c r="AL9585" s="13"/>
    </row>
    <row r="9586" spans="4:38" x14ac:dyDescent="0.3">
      <c r="D9586" s="1"/>
      <c r="G9586" s="13"/>
      <c r="AL9586" s="13"/>
    </row>
    <row r="9587" spans="4:38" x14ac:dyDescent="0.3">
      <c r="D9587" s="1"/>
      <c r="G9587" s="13"/>
      <c r="AL9587" s="13"/>
    </row>
    <row r="9588" spans="4:38" x14ac:dyDescent="0.3">
      <c r="D9588" s="1"/>
      <c r="G9588" s="13"/>
      <c r="AL9588" s="13"/>
    </row>
    <row r="9589" spans="4:38" x14ac:dyDescent="0.3">
      <c r="D9589" s="1"/>
      <c r="G9589" s="13"/>
      <c r="AL9589" s="13"/>
    </row>
    <row r="9590" spans="4:38" x14ac:dyDescent="0.3">
      <c r="D9590" s="1"/>
      <c r="G9590" s="13"/>
      <c r="AL9590" s="13"/>
    </row>
    <row r="9591" spans="4:38" x14ac:dyDescent="0.3">
      <c r="D9591" s="1"/>
      <c r="G9591" s="13"/>
      <c r="AL9591" s="13"/>
    </row>
    <row r="9592" spans="4:38" x14ac:dyDescent="0.3">
      <c r="D9592" s="1"/>
      <c r="G9592" s="13"/>
      <c r="AL9592" s="13"/>
    </row>
    <row r="9593" spans="4:38" x14ac:dyDescent="0.3">
      <c r="D9593" s="1"/>
      <c r="G9593" s="13"/>
      <c r="AL9593" s="13"/>
    </row>
    <row r="9594" spans="4:38" x14ac:dyDescent="0.3">
      <c r="D9594" s="1"/>
      <c r="G9594" s="13"/>
      <c r="AL9594" s="13"/>
    </row>
    <row r="9595" spans="4:38" x14ac:dyDescent="0.3">
      <c r="D9595" s="1"/>
      <c r="G9595" s="13"/>
      <c r="AL9595" s="13"/>
    </row>
    <row r="9596" spans="4:38" x14ac:dyDescent="0.3">
      <c r="D9596" s="1"/>
      <c r="G9596" s="13"/>
      <c r="AL9596" s="13"/>
    </row>
    <row r="9597" spans="4:38" x14ac:dyDescent="0.3">
      <c r="D9597" s="1"/>
      <c r="G9597" s="13"/>
      <c r="AL9597" s="13"/>
    </row>
    <row r="9598" spans="4:38" x14ac:dyDescent="0.3">
      <c r="D9598" s="1"/>
      <c r="G9598" s="13"/>
      <c r="AL9598" s="13"/>
    </row>
    <row r="9599" spans="4:38" x14ac:dyDescent="0.3">
      <c r="D9599" s="1"/>
      <c r="G9599" s="13"/>
      <c r="AL9599" s="13"/>
    </row>
    <row r="9600" spans="4:38" x14ac:dyDescent="0.3">
      <c r="D9600" s="1"/>
      <c r="G9600" s="13"/>
      <c r="AL9600" s="13"/>
    </row>
    <row r="9601" spans="4:38" x14ac:dyDescent="0.3">
      <c r="D9601" s="1"/>
      <c r="G9601" s="13"/>
      <c r="AL9601" s="13"/>
    </row>
    <row r="9602" spans="4:38" x14ac:dyDescent="0.3">
      <c r="D9602" s="1"/>
      <c r="G9602" s="13"/>
      <c r="AL9602" s="13"/>
    </row>
    <row r="9603" spans="4:38" x14ac:dyDescent="0.3">
      <c r="D9603" s="1"/>
      <c r="G9603" s="13"/>
      <c r="AL9603" s="13"/>
    </row>
    <row r="9604" spans="4:38" x14ac:dyDescent="0.3">
      <c r="D9604" s="1"/>
      <c r="G9604" s="13"/>
      <c r="AL9604" s="13"/>
    </row>
    <row r="9605" spans="4:38" x14ac:dyDescent="0.3">
      <c r="D9605" s="1"/>
      <c r="G9605" s="13"/>
      <c r="AL9605" s="13"/>
    </row>
    <row r="9606" spans="4:38" x14ac:dyDescent="0.3">
      <c r="D9606" s="1"/>
      <c r="G9606" s="13"/>
      <c r="AL9606" s="13"/>
    </row>
    <row r="9607" spans="4:38" x14ac:dyDescent="0.3">
      <c r="D9607" s="1"/>
      <c r="G9607" s="13"/>
      <c r="AL9607" s="13"/>
    </row>
    <row r="9608" spans="4:38" x14ac:dyDescent="0.3">
      <c r="D9608" s="1"/>
      <c r="G9608" s="13"/>
      <c r="AL9608" s="13"/>
    </row>
    <row r="9609" spans="4:38" x14ac:dyDescent="0.3">
      <c r="D9609" s="1"/>
      <c r="G9609" s="13"/>
      <c r="AL9609" s="13"/>
    </row>
    <row r="9610" spans="4:38" x14ac:dyDescent="0.3">
      <c r="D9610" s="1"/>
      <c r="G9610" s="13"/>
      <c r="AL9610" s="13"/>
    </row>
    <row r="9611" spans="4:38" x14ac:dyDescent="0.3">
      <c r="D9611" s="1"/>
      <c r="G9611" s="13"/>
      <c r="AL9611" s="13"/>
    </row>
    <row r="9612" spans="4:38" x14ac:dyDescent="0.3">
      <c r="D9612" s="1"/>
      <c r="G9612" s="13"/>
      <c r="AL9612" s="13"/>
    </row>
    <row r="9613" spans="4:38" x14ac:dyDescent="0.3">
      <c r="D9613" s="1"/>
      <c r="G9613" s="13"/>
      <c r="AL9613" s="13"/>
    </row>
    <row r="9614" spans="4:38" x14ac:dyDescent="0.3">
      <c r="D9614" s="1"/>
      <c r="G9614" s="13"/>
      <c r="AL9614" s="13"/>
    </row>
    <row r="9615" spans="4:38" x14ac:dyDescent="0.3">
      <c r="D9615" s="1"/>
      <c r="G9615" s="13"/>
      <c r="AL9615" s="13"/>
    </row>
    <row r="9616" spans="4:38" x14ac:dyDescent="0.3">
      <c r="D9616" s="1"/>
      <c r="G9616" s="13"/>
      <c r="AL9616" s="13"/>
    </row>
    <row r="9617" spans="4:38" x14ac:dyDescent="0.3">
      <c r="D9617" s="1"/>
      <c r="G9617" s="13"/>
      <c r="AL9617" s="13"/>
    </row>
    <row r="9618" spans="4:38" x14ac:dyDescent="0.3">
      <c r="D9618" s="1"/>
      <c r="G9618" s="13"/>
      <c r="AL9618" s="13"/>
    </row>
    <row r="9619" spans="4:38" x14ac:dyDescent="0.3">
      <c r="D9619" s="1"/>
      <c r="G9619" s="13"/>
      <c r="AL9619" s="13"/>
    </row>
    <row r="9620" spans="4:38" x14ac:dyDescent="0.3">
      <c r="D9620" s="1"/>
      <c r="G9620" s="13"/>
      <c r="AL9620" s="13"/>
    </row>
    <row r="9621" spans="4:38" x14ac:dyDescent="0.3">
      <c r="D9621" s="1"/>
      <c r="G9621" s="13"/>
      <c r="AL9621" s="13"/>
    </row>
    <row r="9622" spans="4:38" x14ac:dyDescent="0.3">
      <c r="D9622" s="1"/>
      <c r="G9622" s="13"/>
      <c r="AL9622" s="13"/>
    </row>
    <row r="9623" spans="4:38" x14ac:dyDescent="0.3">
      <c r="D9623" s="1"/>
      <c r="G9623" s="13"/>
      <c r="AL9623" s="13"/>
    </row>
    <row r="9624" spans="4:38" x14ac:dyDescent="0.3">
      <c r="D9624" s="1"/>
      <c r="G9624" s="13"/>
      <c r="AL9624" s="13"/>
    </row>
    <row r="9625" spans="4:38" x14ac:dyDescent="0.3">
      <c r="D9625" s="1"/>
      <c r="G9625" s="13"/>
      <c r="AL9625" s="13"/>
    </row>
    <row r="9626" spans="4:38" x14ac:dyDescent="0.3">
      <c r="D9626" s="1"/>
      <c r="G9626" s="13"/>
      <c r="AL9626" s="13"/>
    </row>
    <row r="9627" spans="4:38" x14ac:dyDescent="0.3">
      <c r="D9627" s="1"/>
      <c r="G9627" s="13"/>
      <c r="AL9627" s="13"/>
    </row>
    <row r="9628" spans="4:38" x14ac:dyDescent="0.3">
      <c r="D9628" s="1"/>
      <c r="G9628" s="13"/>
      <c r="AL9628" s="13"/>
    </row>
    <row r="9629" spans="4:38" x14ac:dyDescent="0.3">
      <c r="D9629" s="1"/>
      <c r="G9629" s="13"/>
      <c r="AL9629" s="13"/>
    </row>
    <row r="9630" spans="4:38" x14ac:dyDescent="0.3">
      <c r="D9630" s="1"/>
      <c r="G9630" s="13"/>
      <c r="AL9630" s="13"/>
    </row>
    <row r="9631" spans="4:38" x14ac:dyDescent="0.3">
      <c r="D9631" s="1"/>
      <c r="G9631" s="13"/>
      <c r="AL9631" s="13"/>
    </row>
    <row r="9632" spans="4:38" x14ac:dyDescent="0.3">
      <c r="D9632" s="1"/>
      <c r="G9632" s="13"/>
      <c r="AL9632" s="13"/>
    </row>
    <row r="9633" spans="4:38" x14ac:dyDescent="0.3">
      <c r="D9633" s="1"/>
      <c r="G9633" s="13"/>
      <c r="AL9633" s="13"/>
    </row>
    <row r="9634" spans="4:38" x14ac:dyDescent="0.3">
      <c r="D9634" s="1"/>
      <c r="G9634" s="13"/>
      <c r="AL9634" s="13"/>
    </row>
    <row r="9635" spans="4:38" x14ac:dyDescent="0.3">
      <c r="D9635" s="1"/>
      <c r="G9635" s="13"/>
      <c r="AL9635" s="13"/>
    </row>
    <row r="9636" spans="4:38" x14ac:dyDescent="0.3">
      <c r="D9636" s="1"/>
      <c r="G9636" s="13"/>
      <c r="AL9636" s="13"/>
    </row>
    <row r="9637" spans="4:38" x14ac:dyDescent="0.3">
      <c r="D9637" s="1"/>
      <c r="G9637" s="13"/>
      <c r="AL9637" s="13"/>
    </row>
    <row r="9638" spans="4:38" x14ac:dyDescent="0.3">
      <c r="D9638" s="1"/>
      <c r="G9638" s="13"/>
      <c r="AL9638" s="13"/>
    </row>
    <row r="9639" spans="4:38" x14ac:dyDescent="0.3">
      <c r="D9639" s="1"/>
      <c r="G9639" s="13"/>
      <c r="AL9639" s="13"/>
    </row>
    <row r="9640" spans="4:38" x14ac:dyDescent="0.3">
      <c r="D9640" s="1"/>
      <c r="G9640" s="13"/>
      <c r="AL9640" s="13"/>
    </row>
    <row r="9641" spans="4:38" x14ac:dyDescent="0.3">
      <c r="D9641" s="1"/>
      <c r="G9641" s="13"/>
      <c r="AL9641" s="13"/>
    </row>
    <row r="9642" spans="4:38" x14ac:dyDescent="0.3">
      <c r="D9642" s="1"/>
      <c r="G9642" s="13"/>
      <c r="AL9642" s="13"/>
    </row>
    <row r="9643" spans="4:38" x14ac:dyDescent="0.3">
      <c r="D9643" s="1"/>
      <c r="G9643" s="13"/>
      <c r="AL9643" s="13"/>
    </row>
    <row r="9644" spans="4:38" x14ac:dyDescent="0.3">
      <c r="D9644" s="1"/>
      <c r="G9644" s="13"/>
      <c r="AL9644" s="13"/>
    </row>
    <row r="9645" spans="4:38" x14ac:dyDescent="0.3">
      <c r="D9645" s="1"/>
      <c r="G9645" s="13"/>
      <c r="AL9645" s="13"/>
    </row>
    <row r="9646" spans="4:38" x14ac:dyDescent="0.3">
      <c r="D9646" s="1"/>
      <c r="G9646" s="13"/>
      <c r="AL9646" s="13"/>
    </row>
    <row r="9647" spans="4:38" x14ac:dyDescent="0.3">
      <c r="D9647" s="1"/>
      <c r="G9647" s="13"/>
      <c r="AL9647" s="13"/>
    </row>
    <row r="9648" spans="4:38" x14ac:dyDescent="0.3">
      <c r="D9648" s="1"/>
      <c r="G9648" s="13"/>
      <c r="AL9648" s="13"/>
    </row>
    <row r="9649" spans="4:38" x14ac:dyDescent="0.3">
      <c r="D9649" s="1"/>
      <c r="G9649" s="13"/>
      <c r="AL9649" s="13"/>
    </row>
    <row r="9650" spans="4:38" x14ac:dyDescent="0.3">
      <c r="D9650" s="1"/>
      <c r="G9650" s="13"/>
      <c r="AL9650" s="13"/>
    </row>
    <row r="9651" spans="4:38" x14ac:dyDescent="0.3">
      <c r="D9651" s="1"/>
      <c r="G9651" s="13"/>
      <c r="AL9651" s="13"/>
    </row>
    <row r="9652" spans="4:38" x14ac:dyDescent="0.3">
      <c r="D9652" s="1"/>
      <c r="G9652" s="13"/>
      <c r="AL9652" s="13"/>
    </row>
    <row r="9653" spans="4:38" x14ac:dyDescent="0.3">
      <c r="D9653" s="1"/>
      <c r="G9653" s="13"/>
      <c r="AL9653" s="13"/>
    </row>
    <row r="9654" spans="4:38" x14ac:dyDescent="0.3">
      <c r="D9654" s="1"/>
      <c r="G9654" s="13"/>
      <c r="AL9654" s="13"/>
    </row>
    <row r="9655" spans="4:38" x14ac:dyDescent="0.3">
      <c r="D9655" s="1"/>
      <c r="G9655" s="13"/>
      <c r="AL9655" s="13"/>
    </row>
    <row r="9656" spans="4:38" x14ac:dyDescent="0.3">
      <c r="D9656" s="1"/>
      <c r="G9656" s="13"/>
      <c r="AL9656" s="13"/>
    </row>
    <row r="9657" spans="4:38" x14ac:dyDescent="0.3">
      <c r="D9657" s="1"/>
      <c r="G9657" s="13"/>
      <c r="AL9657" s="13"/>
    </row>
    <row r="9658" spans="4:38" x14ac:dyDescent="0.3">
      <c r="D9658" s="1"/>
      <c r="G9658" s="13"/>
      <c r="AL9658" s="13"/>
    </row>
    <row r="9659" spans="4:38" x14ac:dyDescent="0.3">
      <c r="D9659" s="1"/>
      <c r="G9659" s="13"/>
      <c r="AL9659" s="13"/>
    </row>
    <row r="9660" spans="4:38" x14ac:dyDescent="0.3">
      <c r="D9660" s="1"/>
      <c r="G9660" s="13"/>
      <c r="AL9660" s="13"/>
    </row>
    <row r="9661" spans="4:38" x14ac:dyDescent="0.3">
      <c r="D9661" s="1"/>
      <c r="G9661" s="13"/>
      <c r="AL9661" s="13"/>
    </row>
    <row r="9662" spans="4:38" x14ac:dyDescent="0.3">
      <c r="D9662" s="1"/>
      <c r="G9662" s="13"/>
      <c r="AL9662" s="13"/>
    </row>
    <row r="9663" spans="4:38" x14ac:dyDescent="0.3">
      <c r="D9663" s="1"/>
      <c r="G9663" s="13"/>
      <c r="AL9663" s="13"/>
    </row>
    <row r="9664" spans="4:38" x14ac:dyDescent="0.3">
      <c r="D9664" s="1"/>
      <c r="G9664" s="13"/>
      <c r="AL9664" s="13"/>
    </row>
    <row r="9665" spans="4:38" x14ac:dyDescent="0.3">
      <c r="D9665" s="1"/>
      <c r="G9665" s="13"/>
      <c r="AL9665" s="13"/>
    </row>
    <row r="9666" spans="4:38" x14ac:dyDescent="0.3">
      <c r="D9666" s="1"/>
      <c r="G9666" s="13"/>
      <c r="AL9666" s="13"/>
    </row>
    <row r="9667" spans="4:38" x14ac:dyDescent="0.3">
      <c r="D9667" s="1"/>
      <c r="G9667" s="13"/>
      <c r="AL9667" s="13"/>
    </row>
    <row r="9668" spans="4:38" x14ac:dyDescent="0.3">
      <c r="D9668" s="1"/>
      <c r="G9668" s="13"/>
      <c r="AL9668" s="13"/>
    </row>
    <row r="9669" spans="4:38" x14ac:dyDescent="0.3">
      <c r="D9669" s="1"/>
      <c r="G9669" s="13"/>
      <c r="AL9669" s="13"/>
    </row>
    <row r="9670" spans="4:38" x14ac:dyDescent="0.3">
      <c r="D9670" s="1"/>
      <c r="G9670" s="13"/>
      <c r="AL9670" s="13"/>
    </row>
    <row r="9671" spans="4:38" x14ac:dyDescent="0.3">
      <c r="D9671" s="1"/>
      <c r="G9671" s="13"/>
      <c r="AL9671" s="13"/>
    </row>
    <row r="9672" spans="4:38" x14ac:dyDescent="0.3">
      <c r="D9672" s="1"/>
      <c r="G9672" s="13"/>
      <c r="AL9672" s="13"/>
    </row>
    <row r="9673" spans="4:38" x14ac:dyDescent="0.3">
      <c r="D9673" s="1"/>
      <c r="G9673" s="13"/>
      <c r="AL9673" s="13"/>
    </row>
    <row r="9674" spans="4:38" x14ac:dyDescent="0.3">
      <c r="D9674" s="1"/>
      <c r="G9674" s="13"/>
      <c r="AL9674" s="13"/>
    </row>
    <row r="9675" spans="4:38" x14ac:dyDescent="0.3">
      <c r="D9675" s="1"/>
      <c r="G9675" s="13"/>
      <c r="AL9675" s="13"/>
    </row>
    <row r="9676" spans="4:38" x14ac:dyDescent="0.3">
      <c r="D9676" s="1"/>
      <c r="G9676" s="13"/>
      <c r="AL9676" s="13"/>
    </row>
    <row r="9677" spans="4:38" x14ac:dyDescent="0.3">
      <c r="D9677" s="1"/>
      <c r="G9677" s="13"/>
      <c r="AL9677" s="13"/>
    </row>
    <row r="9678" spans="4:38" x14ac:dyDescent="0.3">
      <c r="D9678" s="1"/>
      <c r="G9678" s="13"/>
      <c r="AL9678" s="13"/>
    </row>
    <row r="9679" spans="4:38" x14ac:dyDescent="0.3">
      <c r="D9679" s="1"/>
      <c r="G9679" s="13"/>
      <c r="AL9679" s="13"/>
    </row>
    <row r="9680" spans="4:38" x14ac:dyDescent="0.3">
      <c r="D9680" s="1"/>
      <c r="G9680" s="13"/>
      <c r="AL9680" s="13"/>
    </row>
    <row r="9681" spans="4:38" x14ac:dyDescent="0.3">
      <c r="D9681" s="1"/>
      <c r="G9681" s="13"/>
      <c r="AL9681" s="13"/>
    </row>
    <row r="9682" spans="4:38" x14ac:dyDescent="0.3">
      <c r="D9682" s="1"/>
      <c r="G9682" s="13"/>
      <c r="AL9682" s="13"/>
    </row>
    <row r="9683" spans="4:38" x14ac:dyDescent="0.3">
      <c r="D9683" s="1"/>
      <c r="G9683" s="13"/>
      <c r="AL9683" s="13"/>
    </row>
    <row r="9684" spans="4:38" x14ac:dyDescent="0.3">
      <c r="D9684" s="1"/>
      <c r="G9684" s="13"/>
      <c r="AL9684" s="13"/>
    </row>
    <row r="9685" spans="4:38" x14ac:dyDescent="0.3">
      <c r="D9685" s="1"/>
      <c r="G9685" s="13"/>
      <c r="AL9685" s="13"/>
    </row>
    <row r="9686" spans="4:38" x14ac:dyDescent="0.3">
      <c r="D9686" s="1"/>
      <c r="G9686" s="13"/>
      <c r="AL9686" s="13"/>
    </row>
    <row r="9687" spans="4:38" x14ac:dyDescent="0.3">
      <c r="D9687" s="1"/>
      <c r="G9687" s="13"/>
      <c r="AL9687" s="13"/>
    </row>
    <row r="9688" spans="4:38" x14ac:dyDescent="0.3">
      <c r="D9688" s="1"/>
      <c r="G9688" s="13"/>
      <c r="AL9688" s="13"/>
    </row>
    <row r="9689" spans="4:38" x14ac:dyDescent="0.3">
      <c r="D9689" s="1"/>
      <c r="G9689" s="13"/>
      <c r="AL9689" s="13"/>
    </row>
    <row r="9690" spans="4:38" x14ac:dyDescent="0.3">
      <c r="D9690" s="1"/>
      <c r="G9690" s="13"/>
      <c r="AL9690" s="13"/>
    </row>
    <row r="9691" spans="4:38" x14ac:dyDescent="0.3">
      <c r="D9691" s="1"/>
      <c r="G9691" s="13"/>
      <c r="AL9691" s="13"/>
    </row>
    <row r="9692" spans="4:38" x14ac:dyDescent="0.3">
      <c r="D9692" s="1"/>
      <c r="G9692" s="13"/>
      <c r="AL9692" s="13"/>
    </row>
    <row r="9693" spans="4:38" x14ac:dyDescent="0.3">
      <c r="D9693" s="1"/>
      <c r="G9693" s="13"/>
      <c r="AL9693" s="13"/>
    </row>
    <row r="9694" spans="4:38" x14ac:dyDescent="0.3">
      <c r="D9694" s="1"/>
      <c r="G9694" s="13"/>
      <c r="AL9694" s="13"/>
    </row>
    <row r="9695" spans="4:38" x14ac:dyDescent="0.3">
      <c r="D9695" s="1"/>
      <c r="G9695" s="13"/>
      <c r="AL9695" s="13"/>
    </row>
    <row r="9696" spans="4:38" x14ac:dyDescent="0.3">
      <c r="D9696" s="1"/>
      <c r="G9696" s="13"/>
      <c r="AL9696" s="13"/>
    </row>
    <row r="9697" spans="4:39" x14ac:dyDescent="0.3">
      <c r="D9697" s="1"/>
      <c r="G9697" s="13"/>
      <c r="AL9697" s="13"/>
      <c r="AM9697" s="14"/>
    </row>
    <row r="9698" spans="4:39" x14ac:dyDescent="0.3">
      <c r="D9698" s="1"/>
      <c r="G9698" s="13"/>
      <c r="AL9698" s="13"/>
      <c r="AM9698" s="14"/>
    </row>
    <row r="9699" spans="4:39" x14ac:dyDescent="0.3">
      <c r="D9699" s="1"/>
      <c r="G9699" s="13"/>
      <c r="AL9699" s="13"/>
      <c r="AM9699" s="14"/>
    </row>
    <row r="9700" spans="4:39" x14ac:dyDescent="0.3">
      <c r="D9700" s="1"/>
      <c r="G9700" s="13"/>
      <c r="AL9700" s="13"/>
    </row>
    <row r="9701" spans="4:39" x14ac:dyDescent="0.3">
      <c r="D9701" s="1"/>
      <c r="G9701" s="13"/>
      <c r="AL9701" s="13"/>
      <c r="AM9701" s="14"/>
    </row>
    <row r="9702" spans="4:39" x14ac:dyDescent="0.3">
      <c r="D9702" s="1"/>
      <c r="G9702" s="13"/>
      <c r="AL9702" s="13"/>
      <c r="AM9702" s="14"/>
    </row>
    <row r="9703" spans="4:39" x14ac:dyDescent="0.3">
      <c r="D9703" s="1"/>
      <c r="G9703" s="13"/>
      <c r="AL9703" s="13"/>
      <c r="AM9703" s="14"/>
    </row>
    <row r="9704" spans="4:39" x14ac:dyDescent="0.3">
      <c r="D9704" s="1"/>
      <c r="G9704" s="13"/>
      <c r="AL9704" s="13"/>
      <c r="AM9704" s="14"/>
    </row>
    <row r="9705" spans="4:39" x14ac:dyDescent="0.3">
      <c r="D9705" s="1"/>
      <c r="G9705" s="13"/>
      <c r="AL9705" s="13"/>
    </row>
    <row r="9706" spans="4:39" x14ac:dyDescent="0.3">
      <c r="D9706" s="1"/>
      <c r="G9706" s="13"/>
      <c r="AL9706" s="13"/>
    </row>
    <row r="9707" spans="4:39" x14ac:dyDescent="0.3">
      <c r="D9707" s="1"/>
      <c r="G9707" s="13"/>
      <c r="AL9707" s="13"/>
      <c r="AM9707" s="14"/>
    </row>
    <row r="9708" spans="4:39" x14ac:dyDescent="0.3">
      <c r="D9708" s="1"/>
      <c r="G9708" s="13"/>
      <c r="AL9708" s="13"/>
      <c r="AM9708" s="14"/>
    </row>
    <row r="9709" spans="4:39" x14ac:dyDescent="0.3">
      <c r="D9709" s="1"/>
      <c r="G9709" s="13"/>
      <c r="AL9709" s="13"/>
      <c r="AM9709" s="14"/>
    </row>
    <row r="9710" spans="4:39" x14ac:dyDescent="0.3">
      <c r="D9710" s="1"/>
      <c r="G9710" s="13"/>
      <c r="AL9710" s="13"/>
    </row>
    <row r="9711" spans="4:39" x14ac:dyDescent="0.3">
      <c r="D9711" s="1"/>
      <c r="G9711" s="13"/>
      <c r="AL9711" s="13"/>
    </row>
    <row r="9712" spans="4:39" x14ac:dyDescent="0.3">
      <c r="D9712" s="1"/>
      <c r="G9712" s="13"/>
      <c r="AL9712" s="13"/>
    </row>
    <row r="9713" spans="4:39" x14ac:dyDescent="0.3">
      <c r="D9713" s="1"/>
      <c r="G9713" s="13"/>
      <c r="AL9713" s="13"/>
    </row>
    <row r="9714" spans="4:39" x14ac:dyDescent="0.3">
      <c r="D9714" s="1"/>
      <c r="G9714" s="13"/>
      <c r="AL9714" s="13"/>
      <c r="AM9714" s="14"/>
    </row>
    <row r="9715" spans="4:39" x14ac:dyDescent="0.3">
      <c r="D9715" s="1"/>
      <c r="G9715" s="13"/>
      <c r="AL9715" s="13"/>
      <c r="AM9715" s="14"/>
    </row>
    <row r="9716" spans="4:39" x14ac:dyDescent="0.3">
      <c r="D9716" s="1"/>
      <c r="G9716" s="13"/>
      <c r="AL9716" s="13"/>
    </row>
    <row r="9717" spans="4:39" x14ac:dyDescent="0.3">
      <c r="D9717" s="1"/>
      <c r="G9717" s="13"/>
      <c r="AL9717" s="13"/>
    </row>
    <row r="9718" spans="4:39" x14ac:dyDescent="0.3">
      <c r="D9718" s="1"/>
      <c r="G9718" s="13"/>
      <c r="AL9718" s="13"/>
      <c r="AM9718" s="14"/>
    </row>
    <row r="9719" spans="4:39" x14ac:dyDescent="0.3">
      <c r="D9719" s="1"/>
      <c r="G9719" s="13"/>
      <c r="AL9719" s="13"/>
    </row>
    <row r="9720" spans="4:39" x14ac:dyDescent="0.3">
      <c r="D9720" s="1"/>
      <c r="G9720" s="13"/>
      <c r="AL9720" s="13"/>
    </row>
    <row r="9721" spans="4:39" x14ac:dyDescent="0.3">
      <c r="D9721" s="1"/>
      <c r="G9721" s="13"/>
      <c r="AL9721" s="13"/>
      <c r="AM9721" s="14"/>
    </row>
    <row r="9722" spans="4:39" x14ac:dyDescent="0.3">
      <c r="D9722" s="1"/>
      <c r="G9722" s="13"/>
      <c r="AL9722" s="13"/>
    </row>
    <row r="9723" spans="4:39" x14ac:dyDescent="0.3">
      <c r="D9723" s="1"/>
      <c r="G9723" s="13"/>
      <c r="AL9723" s="13"/>
    </row>
    <row r="9724" spans="4:39" x14ac:dyDescent="0.3">
      <c r="D9724" s="1"/>
      <c r="G9724" s="13"/>
      <c r="AL9724" s="13"/>
    </row>
    <row r="9725" spans="4:39" x14ac:dyDescent="0.3">
      <c r="D9725" s="1"/>
      <c r="G9725" s="13"/>
      <c r="AL9725" s="13"/>
    </row>
    <row r="9726" spans="4:39" x14ac:dyDescent="0.3">
      <c r="D9726" s="1"/>
      <c r="G9726" s="13"/>
      <c r="AL9726" s="13"/>
    </row>
    <row r="9727" spans="4:39" x14ac:dyDescent="0.3">
      <c r="D9727" s="1"/>
      <c r="G9727" s="13"/>
      <c r="AL9727" s="13"/>
    </row>
    <row r="9728" spans="4:39" x14ac:dyDescent="0.3">
      <c r="D9728" s="1"/>
      <c r="G9728" s="13"/>
      <c r="AL9728" s="13"/>
    </row>
    <row r="9729" spans="4:39" x14ac:dyDescent="0.3">
      <c r="D9729" s="1"/>
      <c r="G9729" s="13"/>
      <c r="AL9729" s="13"/>
    </row>
    <row r="9730" spans="4:39" x14ac:dyDescent="0.3">
      <c r="D9730" s="1"/>
      <c r="G9730" s="13"/>
      <c r="AL9730" s="13"/>
      <c r="AM9730" s="14"/>
    </row>
    <row r="9731" spans="4:39" x14ac:dyDescent="0.3">
      <c r="D9731" s="1"/>
      <c r="G9731" s="13"/>
      <c r="AL9731" s="13"/>
    </row>
    <row r="9732" spans="4:39" x14ac:dyDescent="0.3">
      <c r="D9732" s="1"/>
      <c r="G9732" s="13"/>
      <c r="AL9732" s="13"/>
    </row>
    <row r="9733" spans="4:39" x14ac:dyDescent="0.3">
      <c r="D9733" s="1"/>
      <c r="G9733" s="13"/>
      <c r="AL9733" s="13"/>
      <c r="AM9733" s="14"/>
    </row>
    <row r="9734" spans="4:39" x14ac:dyDescent="0.3">
      <c r="D9734" s="1"/>
      <c r="G9734" s="13"/>
      <c r="AL9734" s="13"/>
    </row>
    <row r="9735" spans="4:39" x14ac:dyDescent="0.3">
      <c r="D9735" s="1"/>
      <c r="G9735" s="13"/>
      <c r="AL9735" s="13"/>
    </row>
    <row r="9736" spans="4:39" x14ac:dyDescent="0.3">
      <c r="D9736" s="1"/>
      <c r="G9736" s="13"/>
      <c r="AL9736" s="13"/>
    </row>
    <row r="9737" spans="4:39" x14ac:dyDescent="0.3">
      <c r="D9737" s="1"/>
      <c r="G9737" s="13"/>
      <c r="AL9737" s="13"/>
    </row>
    <row r="9738" spans="4:39" x14ac:dyDescent="0.3">
      <c r="D9738" s="1"/>
      <c r="G9738" s="13"/>
      <c r="AL9738" s="13"/>
    </row>
    <row r="9739" spans="4:39" x14ac:dyDescent="0.3">
      <c r="D9739" s="1"/>
      <c r="G9739" s="13"/>
      <c r="AL9739" s="13"/>
    </row>
    <row r="9740" spans="4:39" x14ac:dyDescent="0.3">
      <c r="D9740" s="1"/>
      <c r="G9740" s="13"/>
      <c r="AL9740" s="13"/>
    </row>
    <row r="9741" spans="4:39" x14ac:dyDescent="0.3">
      <c r="D9741" s="1"/>
      <c r="G9741" s="13"/>
      <c r="AL9741" s="13"/>
    </row>
    <row r="9742" spans="4:39" x14ac:dyDescent="0.3">
      <c r="D9742" s="1"/>
      <c r="G9742" s="13"/>
      <c r="AL9742" s="13"/>
    </row>
    <row r="9743" spans="4:39" x14ac:dyDescent="0.3">
      <c r="D9743" s="1"/>
      <c r="G9743" s="13"/>
      <c r="AL9743" s="13"/>
    </row>
    <row r="9744" spans="4:39" x14ac:dyDescent="0.3">
      <c r="D9744" s="1"/>
      <c r="G9744" s="13"/>
      <c r="AL9744" s="13"/>
    </row>
    <row r="9745" spans="4:39" x14ac:dyDescent="0.3">
      <c r="D9745" s="1"/>
      <c r="G9745" s="13"/>
      <c r="AL9745" s="13"/>
    </row>
    <row r="9746" spans="4:39" x14ac:dyDescent="0.3">
      <c r="D9746" s="1"/>
      <c r="G9746" s="13"/>
      <c r="AL9746" s="13"/>
      <c r="AM9746" s="14"/>
    </row>
    <row r="9747" spans="4:39" x14ac:dyDescent="0.3">
      <c r="D9747" s="1"/>
      <c r="G9747" s="13"/>
      <c r="AL9747" s="13"/>
    </row>
    <row r="9748" spans="4:39" x14ac:dyDescent="0.3">
      <c r="D9748" s="1"/>
      <c r="G9748" s="13"/>
      <c r="AL9748" s="13"/>
    </row>
    <row r="9749" spans="4:39" x14ac:dyDescent="0.3">
      <c r="D9749" s="1"/>
      <c r="G9749" s="13"/>
      <c r="AL9749" s="13"/>
    </row>
    <row r="9750" spans="4:39" x14ac:dyDescent="0.3">
      <c r="D9750" s="1"/>
      <c r="G9750" s="13"/>
      <c r="AL9750" s="13"/>
    </row>
    <row r="9751" spans="4:39" x14ac:dyDescent="0.3">
      <c r="D9751" s="1"/>
      <c r="G9751" s="13"/>
      <c r="AL9751" s="13"/>
    </row>
    <row r="9752" spans="4:39" x14ac:dyDescent="0.3">
      <c r="D9752" s="1"/>
      <c r="G9752" s="13"/>
      <c r="AL9752" s="13"/>
    </row>
    <row r="9753" spans="4:39" x14ac:dyDescent="0.3">
      <c r="D9753" s="1"/>
      <c r="G9753" s="13"/>
      <c r="AL9753" s="13"/>
      <c r="AM9753" s="14"/>
    </row>
    <row r="9754" spans="4:39" x14ac:dyDescent="0.3">
      <c r="D9754" s="1"/>
      <c r="G9754" s="13"/>
      <c r="AL9754" s="13"/>
      <c r="AM9754" s="14"/>
    </row>
    <row r="9755" spans="4:39" x14ac:dyDescent="0.3">
      <c r="D9755" s="1"/>
      <c r="G9755" s="13"/>
      <c r="AL9755" s="13"/>
    </row>
    <row r="9756" spans="4:39" x14ac:dyDescent="0.3">
      <c r="D9756" s="1"/>
      <c r="G9756" s="13"/>
      <c r="AL9756" s="13"/>
    </row>
    <row r="9757" spans="4:39" x14ac:dyDescent="0.3">
      <c r="D9757" s="1"/>
      <c r="G9757" s="13"/>
      <c r="AL9757" s="13"/>
    </row>
    <row r="9758" spans="4:39" x14ac:dyDescent="0.3">
      <c r="D9758" s="1"/>
      <c r="G9758" s="13"/>
      <c r="AL9758" s="13"/>
    </row>
    <row r="9759" spans="4:39" x14ac:dyDescent="0.3">
      <c r="D9759" s="1"/>
      <c r="G9759" s="13"/>
      <c r="AL9759" s="13"/>
    </row>
    <row r="9760" spans="4:39" x14ac:dyDescent="0.3">
      <c r="D9760" s="1"/>
      <c r="G9760" s="13"/>
      <c r="AL9760" s="13"/>
      <c r="AM9760" s="14"/>
    </row>
    <row r="9761" spans="4:39" x14ac:dyDescent="0.3">
      <c r="D9761" s="1"/>
      <c r="G9761" s="13"/>
      <c r="AL9761" s="13"/>
    </row>
    <row r="9762" spans="4:39" x14ac:dyDescent="0.3">
      <c r="D9762" s="1"/>
      <c r="G9762" s="13"/>
      <c r="AL9762" s="13"/>
    </row>
    <row r="9763" spans="4:39" x14ac:dyDescent="0.3">
      <c r="D9763" s="1"/>
      <c r="G9763" s="13"/>
      <c r="AL9763" s="13"/>
      <c r="AM9763" s="14"/>
    </row>
    <row r="9764" spans="4:39" x14ac:dyDescent="0.3">
      <c r="D9764" s="1"/>
      <c r="G9764" s="13"/>
      <c r="AL9764" s="13"/>
    </row>
    <row r="9765" spans="4:39" x14ac:dyDescent="0.3">
      <c r="D9765" s="1"/>
      <c r="G9765" s="13"/>
      <c r="AL9765" s="13"/>
    </row>
    <row r="9766" spans="4:39" x14ac:dyDescent="0.3">
      <c r="D9766" s="1"/>
      <c r="G9766" s="13"/>
      <c r="AL9766" s="13"/>
    </row>
    <row r="9767" spans="4:39" x14ac:dyDescent="0.3">
      <c r="D9767" s="1"/>
      <c r="G9767" s="13"/>
      <c r="AL9767" s="13"/>
    </row>
    <row r="9768" spans="4:39" x14ac:dyDescent="0.3">
      <c r="D9768" s="1"/>
      <c r="G9768" s="13"/>
      <c r="AL9768" s="13"/>
    </row>
    <row r="9769" spans="4:39" x14ac:dyDescent="0.3">
      <c r="D9769" s="1"/>
      <c r="G9769" s="13"/>
      <c r="AL9769" s="13"/>
    </row>
    <row r="9770" spans="4:39" x14ac:dyDescent="0.3">
      <c r="D9770" s="1"/>
      <c r="G9770" s="13"/>
      <c r="AL9770" s="13"/>
    </row>
    <row r="9771" spans="4:39" x14ac:dyDescent="0.3">
      <c r="D9771" s="1"/>
      <c r="G9771" s="13"/>
      <c r="AL9771" s="13"/>
    </row>
    <row r="9772" spans="4:39" x14ac:dyDescent="0.3">
      <c r="D9772" s="1"/>
      <c r="G9772" s="13"/>
      <c r="AL9772" s="13"/>
      <c r="AM9772" s="14"/>
    </row>
    <row r="9773" spans="4:39" x14ac:dyDescent="0.3">
      <c r="D9773" s="1"/>
      <c r="G9773" s="13"/>
      <c r="AL9773" s="13"/>
    </row>
    <row r="9774" spans="4:39" x14ac:dyDescent="0.3">
      <c r="D9774" s="1"/>
      <c r="G9774" s="13"/>
      <c r="AL9774" s="13"/>
    </row>
    <row r="9775" spans="4:39" x14ac:dyDescent="0.3">
      <c r="D9775" s="1"/>
      <c r="G9775" s="13"/>
      <c r="AL9775" s="13"/>
    </row>
    <row r="9776" spans="4:39" x14ac:dyDescent="0.3">
      <c r="D9776" s="1"/>
      <c r="G9776" s="13"/>
      <c r="AL9776" s="13"/>
    </row>
    <row r="9777" spans="4:39" x14ac:dyDescent="0.3">
      <c r="D9777" s="1"/>
      <c r="G9777" s="13"/>
      <c r="AL9777" s="13"/>
    </row>
    <row r="9778" spans="4:39" x14ac:dyDescent="0.3">
      <c r="D9778" s="1"/>
      <c r="G9778" s="13"/>
      <c r="AL9778" s="13"/>
    </row>
    <row r="9779" spans="4:39" x14ac:dyDescent="0.3">
      <c r="D9779" s="1"/>
      <c r="G9779" s="13"/>
      <c r="AL9779" s="13"/>
    </row>
    <row r="9780" spans="4:39" x14ac:dyDescent="0.3">
      <c r="D9780" s="1"/>
      <c r="G9780" s="13"/>
      <c r="AL9780" s="13"/>
    </row>
    <row r="9781" spans="4:39" x14ac:dyDescent="0.3">
      <c r="D9781" s="1"/>
      <c r="G9781" s="13"/>
      <c r="AL9781" s="13"/>
    </row>
    <row r="9782" spans="4:39" x14ac:dyDescent="0.3">
      <c r="D9782" s="1"/>
      <c r="G9782" s="13"/>
      <c r="AL9782" s="13"/>
      <c r="AM9782" s="14"/>
    </row>
    <row r="9783" spans="4:39" x14ac:dyDescent="0.3">
      <c r="D9783" s="1"/>
      <c r="G9783" s="13"/>
      <c r="AL9783" s="13"/>
    </row>
    <row r="9784" spans="4:39" x14ac:dyDescent="0.3">
      <c r="D9784" s="1"/>
      <c r="G9784" s="13"/>
      <c r="AL9784" s="13"/>
    </row>
    <row r="9785" spans="4:39" x14ac:dyDescent="0.3">
      <c r="D9785" s="1"/>
      <c r="G9785" s="13"/>
      <c r="AL9785" s="13"/>
    </row>
    <row r="9786" spans="4:39" x14ac:dyDescent="0.3">
      <c r="D9786" s="1"/>
      <c r="G9786" s="13"/>
      <c r="AL9786" s="13"/>
      <c r="AM9786" s="14"/>
    </row>
    <row r="9787" spans="4:39" x14ac:dyDescent="0.3">
      <c r="D9787" s="1"/>
      <c r="G9787" s="13"/>
      <c r="AL9787" s="13"/>
      <c r="AM9787" s="14"/>
    </row>
    <row r="9788" spans="4:39" x14ac:dyDescent="0.3">
      <c r="D9788" s="1"/>
      <c r="G9788" s="13"/>
      <c r="AL9788" s="13"/>
    </row>
    <row r="9789" spans="4:39" x14ac:dyDescent="0.3">
      <c r="D9789" s="1"/>
      <c r="G9789" s="13"/>
      <c r="AL9789" s="13"/>
      <c r="AM9789" s="14"/>
    </row>
    <row r="9790" spans="4:39" x14ac:dyDescent="0.3">
      <c r="D9790" s="1"/>
      <c r="G9790" s="13"/>
      <c r="AL9790" s="13"/>
    </row>
    <row r="9791" spans="4:39" x14ac:dyDescent="0.3">
      <c r="D9791" s="1"/>
      <c r="G9791" s="13"/>
      <c r="AL9791" s="13"/>
    </row>
    <row r="9792" spans="4:39" x14ac:dyDescent="0.3">
      <c r="D9792" s="1"/>
      <c r="G9792" s="13"/>
      <c r="AL9792" s="13"/>
      <c r="AM9792" s="14"/>
    </row>
    <row r="9793" spans="4:39" x14ac:dyDescent="0.3">
      <c r="D9793" s="1"/>
      <c r="G9793" s="13"/>
      <c r="AL9793" s="13"/>
      <c r="AM9793" s="14"/>
    </row>
    <row r="9794" spans="4:39" x14ac:dyDescent="0.3">
      <c r="D9794" s="1"/>
      <c r="G9794" s="13"/>
      <c r="AL9794" s="13"/>
      <c r="AM9794" s="14"/>
    </row>
    <row r="9795" spans="4:39" x14ac:dyDescent="0.3">
      <c r="D9795" s="1"/>
      <c r="G9795" s="13"/>
      <c r="AL9795" s="13"/>
    </row>
    <row r="9796" spans="4:39" x14ac:dyDescent="0.3">
      <c r="D9796" s="1"/>
      <c r="G9796" s="13"/>
      <c r="AL9796" s="13"/>
    </row>
    <row r="9797" spans="4:39" x14ac:dyDescent="0.3">
      <c r="D9797" s="1"/>
      <c r="G9797" s="13"/>
      <c r="AL9797" s="13"/>
      <c r="AM9797" s="14"/>
    </row>
    <row r="9798" spans="4:39" x14ac:dyDescent="0.3">
      <c r="D9798" s="1"/>
      <c r="G9798" s="13"/>
      <c r="AL9798" s="13"/>
    </row>
    <row r="9799" spans="4:39" x14ac:dyDescent="0.3">
      <c r="D9799" s="1"/>
      <c r="G9799" s="13"/>
      <c r="AL9799" s="13"/>
      <c r="AM9799" s="14"/>
    </row>
    <row r="9800" spans="4:39" x14ac:dyDescent="0.3">
      <c r="D9800" s="1"/>
      <c r="G9800" s="13"/>
      <c r="AL9800" s="13"/>
    </row>
    <row r="9801" spans="4:39" x14ac:dyDescent="0.3">
      <c r="D9801" s="1"/>
      <c r="G9801" s="13"/>
      <c r="AL9801" s="13"/>
      <c r="AM9801" s="14"/>
    </row>
    <row r="9802" spans="4:39" x14ac:dyDescent="0.3">
      <c r="D9802" s="1"/>
      <c r="G9802" s="13"/>
      <c r="AL9802" s="13"/>
      <c r="AM9802" s="14"/>
    </row>
    <row r="9803" spans="4:39" x14ac:dyDescent="0.3">
      <c r="D9803" s="1"/>
      <c r="G9803" s="13"/>
      <c r="AL9803" s="13"/>
      <c r="AM9803" s="14"/>
    </row>
    <row r="9804" spans="4:39" x14ac:dyDescent="0.3">
      <c r="D9804" s="1"/>
      <c r="G9804" s="13"/>
      <c r="AL9804" s="13"/>
    </row>
    <row r="9805" spans="4:39" x14ac:dyDescent="0.3">
      <c r="D9805" s="1"/>
      <c r="G9805" s="13"/>
      <c r="AL9805" s="13"/>
      <c r="AM9805" s="14"/>
    </row>
    <row r="9806" spans="4:39" x14ac:dyDescent="0.3">
      <c r="D9806" s="1"/>
      <c r="G9806" s="13"/>
      <c r="AL9806" s="13"/>
      <c r="AM9806" s="14"/>
    </row>
    <row r="9807" spans="4:39" x14ac:dyDescent="0.3">
      <c r="D9807" s="1"/>
      <c r="G9807" s="13"/>
      <c r="AL9807" s="13"/>
      <c r="AM9807" s="14"/>
    </row>
    <row r="9808" spans="4:39" x14ac:dyDescent="0.3">
      <c r="D9808" s="1"/>
      <c r="G9808" s="13"/>
      <c r="AL9808" s="13"/>
      <c r="AM9808" s="14"/>
    </row>
    <row r="9809" spans="4:39" x14ac:dyDescent="0.3">
      <c r="D9809" s="1"/>
      <c r="G9809" s="13"/>
      <c r="AL9809" s="13"/>
      <c r="AM9809" s="14"/>
    </row>
    <row r="9810" spans="4:39" x14ac:dyDescent="0.3">
      <c r="D9810" s="1"/>
      <c r="G9810" s="13"/>
      <c r="AL9810" s="13"/>
      <c r="AM9810" s="14"/>
    </row>
    <row r="9811" spans="4:39" x14ac:dyDescent="0.3">
      <c r="D9811" s="1"/>
      <c r="G9811" s="13"/>
      <c r="AL9811" s="13"/>
      <c r="AM9811" s="14"/>
    </row>
    <row r="9812" spans="4:39" x14ac:dyDescent="0.3">
      <c r="D9812" s="1"/>
      <c r="G9812" s="13"/>
      <c r="AL9812" s="13"/>
    </row>
    <row r="9813" spans="4:39" x14ac:dyDescent="0.3">
      <c r="D9813" s="1"/>
      <c r="G9813" s="13"/>
      <c r="AL9813" s="13"/>
    </row>
    <row r="9814" spans="4:39" x14ac:dyDescent="0.3">
      <c r="D9814" s="1"/>
      <c r="G9814" s="13"/>
      <c r="AL9814" s="13"/>
    </row>
    <row r="9815" spans="4:39" x14ac:dyDescent="0.3">
      <c r="D9815" s="1"/>
      <c r="G9815" s="13"/>
      <c r="AL9815" s="13"/>
    </row>
    <row r="9816" spans="4:39" x14ac:dyDescent="0.3">
      <c r="D9816" s="1"/>
      <c r="G9816" s="13"/>
      <c r="AL9816" s="13"/>
    </row>
    <row r="9817" spans="4:39" x14ac:dyDescent="0.3">
      <c r="D9817" s="1"/>
      <c r="G9817" s="13"/>
      <c r="AL9817" s="13"/>
    </row>
    <row r="9818" spans="4:39" x14ac:dyDescent="0.3">
      <c r="D9818" s="1"/>
      <c r="G9818" s="13"/>
      <c r="AL9818" s="13"/>
    </row>
    <row r="9819" spans="4:39" x14ac:dyDescent="0.3">
      <c r="D9819" s="1"/>
      <c r="G9819" s="13"/>
      <c r="AL9819" s="13"/>
    </row>
    <row r="9820" spans="4:39" x14ac:dyDescent="0.3">
      <c r="D9820" s="1"/>
      <c r="G9820" s="13"/>
      <c r="AL9820" s="13"/>
      <c r="AM9820" s="14"/>
    </row>
    <row r="9821" spans="4:39" x14ac:dyDescent="0.3">
      <c r="D9821" s="1"/>
      <c r="G9821" s="13"/>
      <c r="AL9821" s="13"/>
      <c r="AM9821" s="14"/>
    </row>
    <row r="9822" spans="4:39" x14ac:dyDescent="0.3">
      <c r="D9822" s="1"/>
      <c r="G9822" s="13"/>
      <c r="AL9822" s="13"/>
    </row>
    <row r="9823" spans="4:39" x14ac:dyDescent="0.3">
      <c r="D9823" s="1"/>
      <c r="G9823" s="13"/>
      <c r="AL9823" s="13"/>
      <c r="AM9823" s="14"/>
    </row>
    <row r="9824" spans="4:39" x14ac:dyDescent="0.3">
      <c r="D9824" s="1"/>
      <c r="G9824" s="13"/>
      <c r="AL9824" s="13"/>
    </row>
    <row r="9825" spans="4:39" x14ac:dyDescent="0.3">
      <c r="D9825" s="1"/>
      <c r="G9825" s="13"/>
      <c r="AL9825" s="13"/>
    </row>
    <row r="9826" spans="4:39" x14ac:dyDescent="0.3">
      <c r="D9826" s="1"/>
      <c r="G9826" s="13"/>
      <c r="AL9826" s="13"/>
    </row>
    <row r="9827" spans="4:39" x14ac:dyDescent="0.3">
      <c r="D9827" s="1"/>
      <c r="G9827" s="13"/>
      <c r="AL9827" s="13"/>
    </row>
    <row r="9828" spans="4:39" x14ac:dyDescent="0.3">
      <c r="D9828" s="1"/>
      <c r="G9828" s="13"/>
      <c r="AL9828" s="13"/>
    </row>
    <row r="9829" spans="4:39" x14ac:dyDescent="0.3">
      <c r="D9829" s="1"/>
      <c r="G9829" s="13"/>
      <c r="AL9829" s="13"/>
    </row>
    <row r="9830" spans="4:39" x14ac:dyDescent="0.3">
      <c r="D9830" s="1"/>
      <c r="G9830" s="13"/>
      <c r="AL9830" s="13"/>
    </row>
    <row r="9831" spans="4:39" x14ac:dyDescent="0.3">
      <c r="D9831" s="1"/>
      <c r="G9831" s="13"/>
      <c r="AL9831" s="13"/>
    </row>
    <row r="9832" spans="4:39" x14ac:dyDescent="0.3">
      <c r="D9832" s="1"/>
      <c r="G9832" s="13"/>
      <c r="AL9832" s="13"/>
    </row>
    <row r="9833" spans="4:39" x14ac:dyDescent="0.3">
      <c r="D9833" s="1"/>
      <c r="G9833" s="13"/>
      <c r="AL9833" s="13"/>
    </row>
    <row r="9834" spans="4:39" x14ac:dyDescent="0.3">
      <c r="D9834" s="1"/>
      <c r="G9834" s="13"/>
      <c r="AL9834" s="13"/>
    </row>
    <row r="9835" spans="4:39" x14ac:dyDescent="0.3">
      <c r="D9835" s="1"/>
      <c r="G9835" s="13"/>
      <c r="AL9835" s="13"/>
      <c r="AM9835" s="14"/>
    </row>
    <row r="9836" spans="4:39" x14ac:dyDescent="0.3">
      <c r="D9836" s="1"/>
      <c r="G9836" s="13"/>
      <c r="AL9836" s="13"/>
    </row>
    <row r="9837" spans="4:39" x14ac:dyDescent="0.3">
      <c r="D9837" s="1"/>
      <c r="G9837" s="13"/>
      <c r="AL9837" s="13"/>
    </row>
    <row r="9838" spans="4:39" x14ac:dyDescent="0.3">
      <c r="D9838" s="1"/>
      <c r="G9838" s="13"/>
      <c r="AL9838" s="13"/>
      <c r="AM9838" s="14"/>
    </row>
    <row r="9839" spans="4:39" x14ac:dyDescent="0.3">
      <c r="D9839" s="1"/>
      <c r="G9839" s="13"/>
      <c r="AL9839" s="13"/>
      <c r="AM9839" s="14"/>
    </row>
    <row r="9840" spans="4:39" x14ac:dyDescent="0.3">
      <c r="D9840" s="1"/>
      <c r="G9840" s="13"/>
      <c r="AL9840" s="13"/>
    </row>
    <row r="9841" spans="4:39" x14ac:dyDescent="0.3">
      <c r="D9841" s="1"/>
      <c r="G9841" s="13"/>
      <c r="AL9841" s="13"/>
    </row>
    <row r="9842" spans="4:39" x14ac:dyDescent="0.3">
      <c r="D9842" s="1"/>
      <c r="G9842" s="13"/>
      <c r="AL9842" s="13"/>
    </row>
    <row r="9843" spans="4:39" x14ac:dyDescent="0.3">
      <c r="D9843" s="1"/>
      <c r="G9843" s="13"/>
      <c r="AL9843" s="13"/>
    </row>
    <row r="9844" spans="4:39" x14ac:dyDescent="0.3">
      <c r="D9844" s="1"/>
      <c r="G9844" s="13"/>
      <c r="AL9844" s="13"/>
    </row>
    <row r="9845" spans="4:39" x14ac:dyDescent="0.3">
      <c r="D9845" s="1"/>
      <c r="G9845" s="13"/>
      <c r="AL9845" s="13"/>
    </row>
    <row r="9846" spans="4:39" x14ac:dyDescent="0.3">
      <c r="D9846" s="1"/>
      <c r="G9846" s="13"/>
      <c r="AL9846" s="13"/>
    </row>
    <row r="9847" spans="4:39" x14ac:dyDescent="0.3">
      <c r="D9847" s="1"/>
      <c r="G9847" s="13"/>
      <c r="AL9847" s="13"/>
      <c r="AM9847" s="14"/>
    </row>
    <row r="9848" spans="4:39" x14ac:dyDescent="0.3">
      <c r="D9848" s="1"/>
      <c r="G9848" s="13"/>
      <c r="AL9848" s="13"/>
    </row>
    <row r="9849" spans="4:39" x14ac:dyDescent="0.3">
      <c r="D9849" s="1"/>
      <c r="G9849" s="13"/>
      <c r="AL9849" s="13"/>
    </row>
    <row r="9850" spans="4:39" x14ac:dyDescent="0.3">
      <c r="D9850" s="1"/>
      <c r="G9850" s="13"/>
      <c r="AL9850" s="13"/>
    </row>
    <row r="9851" spans="4:39" x14ac:dyDescent="0.3">
      <c r="D9851" s="1"/>
      <c r="G9851" s="13"/>
      <c r="AL9851" s="13"/>
    </row>
    <row r="9852" spans="4:39" x14ac:dyDescent="0.3">
      <c r="D9852" s="1"/>
      <c r="G9852" s="13"/>
      <c r="AL9852" s="13"/>
    </row>
    <row r="9853" spans="4:39" x14ac:dyDescent="0.3">
      <c r="D9853" s="1"/>
      <c r="G9853" s="13"/>
      <c r="AL9853" s="13"/>
      <c r="AM9853" s="14"/>
    </row>
    <row r="9854" spans="4:39" x14ac:dyDescent="0.3">
      <c r="D9854" s="1"/>
      <c r="G9854" s="13"/>
      <c r="AL9854" s="13"/>
      <c r="AM9854" s="14"/>
    </row>
    <row r="9855" spans="4:39" x14ac:dyDescent="0.3">
      <c r="D9855" s="1"/>
      <c r="G9855" s="13"/>
      <c r="AL9855" s="13"/>
    </row>
    <row r="9856" spans="4:39" x14ac:dyDescent="0.3">
      <c r="D9856" s="1"/>
      <c r="G9856" s="13"/>
      <c r="AL9856" s="13"/>
    </row>
    <row r="9857" spans="4:39" x14ac:dyDescent="0.3">
      <c r="D9857" s="1"/>
      <c r="G9857" s="13"/>
      <c r="AL9857" s="13"/>
    </row>
    <row r="9858" spans="4:39" x14ac:dyDescent="0.3">
      <c r="D9858" s="1"/>
      <c r="G9858" s="13"/>
      <c r="AL9858" s="13"/>
    </row>
    <row r="9859" spans="4:39" x14ac:dyDescent="0.3">
      <c r="D9859" s="1"/>
      <c r="G9859" s="13"/>
      <c r="AL9859" s="13"/>
    </row>
    <row r="9860" spans="4:39" x14ac:dyDescent="0.3">
      <c r="D9860" s="1"/>
      <c r="G9860" s="13"/>
      <c r="AL9860" s="13"/>
    </row>
    <row r="9861" spans="4:39" x14ac:dyDescent="0.3">
      <c r="D9861" s="1"/>
      <c r="G9861" s="13"/>
      <c r="AL9861" s="13"/>
    </row>
    <row r="9862" spans="4:39" x14ac:dyDescent="0.3">
      <c r="D9862" s="1"/>
      <c r="G9862" s="13"/>
      <c r="AL9862" s="13"/>
    </row>
    <row r="9863" spans="4:39" x14ac:dyDescent="0.3">
      <c r="D9863" s="1"/>
      <c r="G9863" s="13"/>
      <c r="AL9863" s="13"/>
    </row>
    <row r="9864" spans="4:39" x14ac:dyDescent="0.3">
      <c r="D9864" s="1"/>
      <c r="G9864" s="13"/>
      <c r="AL9864" s="13"/>
      <c r="AM9864" s="14"/>
    </row>
    <row r="9865" spans="4:39" x14ac:dyDescent="0.3">
      <c r="D9865" s="1"/>
      <c r="G9865" s="13"/>
      <c r="AL9865" s="13"/>
    </row>
    <row r="9866" spans="4:39" x14ac:dyDescent="0.3">
      <c r="D9866" s="1"/>
      <c r="G9866" s="13"/>
      <c r="AL9866" s="13"/>
    </row>
    <row r="9867" spans="4:39" x14ac:dyDescent="0.3">
      <c r="D9867" s="1"/>
      <c r="G9867" s="13"/>
      <c r="AL9867" s="13"/>
    </row>
    <row r="9868" spans="4:39" x14ac:dyDescent="0.3">
      <c r="D9868" s="1"/>
      <c r="G9868" s="13"/>
      <c r="AL9868" s="13"/>
    </row>
    <row r="9869" spans="4:39" x14ac:dyDescent="0.3">
      <c r="D9869" s="1"/>
      <c r="G9869" s="13"/>
      <c r="AL9869" s="13"/>
    </row>
    <row r="9870" spans="4:39" x14ac:dyDescent="0.3">
      <c r="D9870" s="1"/>
      <c r="G9870" s="13"/>
      <c r="AL9870" s="13"/>
    </row>
    <row r="9871" spans="4:39" x14ac:dyDescent="0.3">
      <c r="D9871" s="1"/>
      <c r="G9871" s="13"/>
      <c r="AL9871" s="13"/>
    </row>
    <row r="9872" spans="4:39" x14ac:dyDescent="0.3">
      <c r="D9872" s="1"/>
      <c r="G9872" s="13"/>
      <c r="AL9872" s="13"/>
    </row>
    <row r="9873" spans="4:39" x14ac:dyDescent="0.3">
      <c r="D9873" s="1"/>
      <c r="G9873" s="13"/>
      <c r="AL9873" s="13"/>
    </row>
    <row r="9874" spans="4:39" x14ac:dyDescent="0.3">
      <c r="D9874" s="1"/>
      <c r="G9874" s="13"/>
      <c r="AL9874" s="13"/>
    </row>
    <row r="9875" spans="4:39" x14ac:dyDescent="0.3">
      <c r="D9875" s="1"/>
      <c r="G9875" s="13"/>
      <c r="AL9875" s="13"/>
    </row>
    <row r="9876" spans="4:39" x14ac:dyDescent="0.3">
      <c r="D9876" s="1"/>
      <c r="G9876" s="13"/>
      <c r="AL9876" s="13"/>
    </row>
    <row r="9877" spans="4:39" x14ac:dyDescent="0.3">
      <c r="D9877" s="1"/>
      <c r="G9877" s="13"/>
      <c r="AL9877" s="13"/>
    </row>
    <row r="9878" spans="4:39" x14ac:dyDescent="0.3">
      <c r="D9878" s="1"/>
      <c r="G9878" s="13"/>
      <c r="AL9878" s="13"/>
    </row>
    <row r="9879" spans="4:39" x14ac:dyDescent="0.3">
      <c r="D9879" s="1"/>
      <c r="G9879" s="13"/>
      <c r="AL9879" s="13"/>
    </row>
    <row r="9880" spans="4:39" x14ac:dyDescent="0.3">
      <c r="D9880" s="1"/>
      <c r="G9880" s="13"/>
      <c r="AL9880" s="13"/>
    </row>
    <row r="9881" spans="4:39" x14ac:dyDescent="0.3">
      <c r="D9881" s="1"/>
      <c r="G9881" s="13"/>
      <c r="AL9881" s="13"/>
    </row>
    <row r="9882" spans="4:39" x14ac:dyDescent="0.3">
      <c r="D9882" s="1"/>
      <c r="G9882" s="13"/>
      <c r="AL9882" s="13"/>
    </row>
    <row r="9883" spans="4:39" x14ac:dyDescent="0.3">
      <c r="D9883" s="1"/>
      <c r="G9883" s="13"/>
      <c r="AL9883" s="13"/>
    </row>
    <row r="9884" spans="4:39" x14ac:dyDescent="0.3">
      <c r="D9884" s="1"/>
      <c r="G9884" s="13"/>
      <c r="AL9884" s="13"/>
      <c r="AM9884" s="14"/>
    </row>
    <row r="9885" spans="4:39" x14ac:dyDescent="0.3">
      <c r="D9885" s="1"/>
      <c r="G9885" s="13"/>
      <c r="AL9885" s="13"/>
    </row>
    <row r="9886" spans="4:39" x14ac:dyDescent="0.3">
      <c r="D9886" s="1"/>
      <c r="G9886" s="13"/>
      <c r="AL9886" s="13"/>
    </row>
    <row r="9887" spans="4:39" x14ac:dyDescent="0.3">
      <c r="D9887" s="1"/>
      <c r="G9887" s="13"/>
      <c r="AL9887" s="13"/>
    </row>
    <row r="9888" spans="4:39" x14ac:dyDescent="0.3">
      <c r="D9888" s="1"/>
      <c r="G9888" s="13"/>
      <c r="AL9888" s="13"/>
    </row>
    <row r="9889" spans="4:39" x14ac:dyDescent="0.3">
      <c r="D9889" s="1"/>
      <c r="G9889" s="13"/>
      <c r="AL9889" s="13"/>
    </row>
    <row r="9890" spans="4:39" x14ac:dyDescent="0.3">
      <c r="D9890" s="1"/>
      <c r="G9890" s="13"/>
      <c r="AL9890" s="13"/>
    </row>
    <row r="9891" spans="4:39" x14ac:dyDescent="0.3">
      <c r="D9891" s="1"/>
      <c r="G9891" s="13"/>
      <c r="AL9891" s="13"/>
    </row>
    <row r="9892" spans="4:39" x14ac:dyDescent="0.3">
      <c r="D9892" s="1"/>
      <c r="G9892" s="13"/>
      <c r="AL9892" s="13"/>
    </row>
    <row r="9893" spans="4:39" x14ac:dyDescent="0.3">
      <c r="D9893" s="1"/>
      <c r="G9893" s="13"/>
      <c r="AL9893" s="13"/>
    </row>
    <row r="9894" spans="4:39" x14ac:dyDescent="0.3">
      <c r="D9894" s="1"/>
      <c r="G9894" s="13"/>
      <c r="AL9894" s="13"/>
    </row>
    <row r="9895" spans="4:39" x14ac:dyDescent="0.3">
      <c r="D9895" s="1"/>
      <c r="G9895" s="13"/>
      <c r="AL9895" s="13"/>
    </row>
    <row r="9896" spans="4:39" x14ac:dyDescent="0.3">
      <c r="D9896" s="1"/>
      <c r="G9896" s="13"/>
      <c r="AL9896" s="13"/>
    </row>
    <row r="9897" spans="4:39" x14ac:dyDescent="0.3">
      <c r="D9897" s="1"/>
      <c r="G9897" s="13"/>
      <c r="AL9897" s="13"/>
    </row>
    <row r="9898" spans="4:39" x14ac:dyDescent="0.3">
      <c r="D9898" s="1"/>
      <c r="G9898" s="13"/>
      <c r="AL9898" s="13"/>
    </row>
    <row r="9899" spans="4:39" x14ac:dyDescent="0.3">
      <c r="D9899" s="1"/>
      <c r="G9899" s="13"/>
      <c r="AL9899" s="13"/>
    </row>
    <row r="9900" spans="4:39" x14ac:dyDescent="0.3">
      <c r="D9900" s="1"/>
      <c r="G9900" s="13"/>
      <c r="AL9900" s="13"/>
      <c r="AM9900" s="14"/>
    </row>
    <row r="9901" spans="4:39" x14ac:dyDescent="0.3">
      <c r="D9901" s="1"/>
      <c r="G9901" s="13"/>
      <c r="AL9901" s="13"/>
      <c r="AM9901" s="14"/>
    </row>
    <row r="9902" spans="4:39" x14ac:dyDescent="0.3">
      <c r="D9902" s="1"/>
      <c r="G9902" s="13"/>
      <c r="AL9902" s="13"/>
    </row>
    <row r="9903" spans="4:39" x14ac:dyDescent="0.3">
      <c r="D9903" s="1"/>
      <c r="G9903" s="13"/>
      <c r="AL9903" s="13"/>
    </row>
    <row r="9904" spans="4:39" x14ac:dyDescent="0.3">
      <c r="D9904" s="1"/>
      <c r="G9904" s="13"/>
      <c r="AL9904" s="13"/>
    </row>
    <row r="9905" spans="4:39" x14ac:dyDescent="0.3">
      <c r="D9905" s="1"/>
      <c r="G9905" s="13"/>
      <c r="AL9905" s="13"/>
      <c r="AM9905" s="14"/>
    </row>
    <row r="9906" spans="4:39" x14ac:dyDescent="0.3">
      <c r="D9906" s="1"/>
      <c r="G9906" s="13"/>
      <c r="AL9906" s="13"/>
      <c r="AM9906" s="14"/>
    </row>
    <row r="9907" spans="4:39" x14ac:dyDescent="0.3">
      <c r="D9907" s="1"/>
      <c r="G9907" s="13"/>
      <c r="AL9907" s="13"/>
    </row>
    <row r="9908" spans="4:39" x14ac:dyDescent="0.3">
      <c r="D9908" s="1"/>
      <c r="G9908" s="13"/>
      <c r="AL9908" s="13"/>
    </row>
    <row r="9909" spans="4:39" x14ac:dyDescent="0.3">
      <c r="D9909" s="1"/>
      <c r="G9909" s="13"/>
      <c r="AL9909" s="13"/>
      <c r="AM9909" s="14"/>
    </row>
    <row r="9910" spans="4:39" x14ac:dyDescent="0.3">
      <c r="D9910" s="1"/>
      <c r="G9910" s="13"/>
      <c r="AL9910" s="13"/>
      <c r="AM9910" s="14"/>
    </row>
    <row r="9911" spans="4:39" x14ac:dyDescent="0.3">
      <c r="D9911" s="1"/>
      <c r="G9911" s="13"/>
      <c r="AL9911" s="13"/>
    </row>
    <row r="9912" spans="4:39" x14ac:dyDescent="0.3">
      <c r="D9912" s="1"/>
      <c r="G9912" s="13"/>
      <c r="AL9912" s="13"/>
      <c r="AM9912" s="14"/>
    </row>
    <row r="9913" spans="4:39" x14ac:dyDescent="0.3">
      <c r="D9913" s="1"/>
      <c r="G9913" s="13"/>
      <c r="AL9913" s="13"/>
      <c r="AM9913" s="14"/>
    </row>
    <row r="9914" spans="4:39" x14ac:dyDescent="0.3">
      <c r="D9914" s="1"/>
      <c r="G9914" s="13"/>
      <c r="AL9914" s="13"/>
    </row>
    <row r="9915" spans="4:39" x14ac:dyDescent="0.3">
      <c r="D9915" s="1"/>
      <c r="G9915" s="13"/>
      <c r="AL9915" s="13"/>
      <c r="AM9915" s="14"/>
    </row>
    <row r="9916" spans="4:39" x14ac:dyDescent="0.3">
      <c r="D9916" s="1"/>
      <c r="G9916" s="13"/>
      <c r="AL9916" s="13"/>
    </row>
    <row r="9917" spans="4:39" x14ac:dyDescent="0.3">
      <c r="D9917" s="1"/>
      <c r="G9917" s="13"/>
      <c r="AL9917" s="13"/>
    </row>
    <row r="9918" spans="4:39" x14ac:dyDescent="0.3">
      <c r="D9918" s="1"/>
      <c r="G9918" s="13"/>
      <c r="AL9918" s="13"/>
    </row>
    <row r="9919" spans="4:39" x14ac:dyDescent="0.3">
      <c r="D9919" s="1"/>
      <c r="G9919" s="13"/>
      <c r="AL9919" s="13"/>
    </row>
    <row r="9920" spans="4:39" x14ac:dyDescent="0.3">
      <c r="D9920" s="1"/>
      <c r="G9920" s="13"/>
      <c r="AL9920" s="13"/>
    </row>
    <row r="9921" spans="4:39" x14ac:dyDescent="0.3">
      <c r="D9921" s="1"/>
      <c r="G9921" s="13"/>
      <c r="AL9921" s="13"/>
    </row>
    <row r="9922" spans="4:39" x14ac:dyDescent="0.3">
      <c r="D9922" s="1"/>
      <c r="G9922" s="13"/>
      <c r="AL9922" s="13"/>
    </row>
    <row r="9923" spans="4:39" x14ac:dyDescent="0.3">
      <c r="D9923" s="1"/>
      <c r="G9923" s="13"/>
      <c r="AL9923" s="13"/>
      <c r="AM9923" s="14"/>
    </row>
    <row r="9924" spans="4:39" x14ac:dyDescent="0.3">
      <c r="D9924" s="1"/>
      <c r="G9924" s="13"/>
      <c r="AL9924" s="13"/>
    </row>
    <row r="9925" spans="4:39" x14ac:dyDescent="0.3">
      <c r="D9925" s="1"/>
      <c r="G9925" s="13"/>
      <c r="AL9925" s="13"/>
    </row>
    <row r="9926" spans="4:39" x14ac:dyDescent="0.3">
      <c r="D9926" s="1"/>
      <c r="G9926" s="13"/>
      <c r="AL9926" s="13"/>
    </row>
    <row r="9927" spans="4:39" x14ac:dyDescent="0.3">
      <c r="D9927" s="1"/>
      <c r="G9927" s="13"/>
      <c r="AL9927" s="13"/>
    </row>
    <row r="9928" spans="4:39" x14ac:dyDescent="0.3">
      <c r="D9928" s="1"/>
      <c r="G9928" s="13"/>
      <c r="AL9928" s="13"/>
    </row>
    <row r="9929" spans="4:39" x14ac:dyDescent="0.3">
      <c r="D9929" s="1"/>
      <c r="G9929" s="13"/>
      <c r="AL9929" s="13"/>
    </row>
    <row r="9930" spans="4:39" x14ac:dyDescent="0.3">
      <c r="D9930" s="1"/>
      <c r="G9930" s="13"/>
      <c r="AL9930" s="13"/>
    </row>
    <row r="9931" spans="4:39" x14ac:dyDescent="0.3">
      <c r="D9931" s="1"/>
      <c r="G9931" s="13"/>
      <c r="AL9931" s="13"/>
    </row>
    <row r="9932" spans="4:39" x14ac:dyDescent="0.3">
      <c r="D9932" s="1"/>
      <c r="G9932" s="13"/>
      <c r="AL9932" s="13"/>
    </row>
    <row r="9933" spans="4:39" x14ac:dyDescent="0.3">
      <c r="D9933" s="1"/>
      <c r="G9933" s="13"/>
      <c r="AL9933" s="13"/>
    </row>
    <row r="9934" spans="4:39" x14ac:dyDescent="0.3">
      <c r="D9934" s="1"/>
      <c r="G9934" s="13"/>
      <c r="AL9934" s="13"/>
    </row>
    <row r="9935" spans="4:39" x14ac:dyDescent="0.3">
      <c r="D9935" s="1"/>
      <c r="G9935" s="13"/>
      <c r="AL9935" s="13"/>
    </row>
    <row r="9936" spans="4:39" x14ac:dyDescent="0.3">
      <c r="D9936" s="1"/>
      <c r="G9936" s="13"/>
      <c r="AL9936" s="13"/>
    </row>
    <row r="9937" spans="4:39" x14ac:dyDescent="0.3">
      <c r="D9937" s="1"/>
      <c r="G9937" s="13"/>
      <c r="AL9937" s="13"/>
    </row>
    <row r="9938" spans="4:39" x14ac:dyDescent="0.3">
      <c r="D9938" s="1"/>
      <c r="G9938" s="13"/>
      <c r="AL9938" s="13"/>
    </row>
    <row r="9939" spans="4:39" x14ac:dyDescent="0.3">
      <c r="D9939" s="1"/>
      <c r="G9939" s="13"/>
      <c r="AL9939" s="13"/>
    </row>
    <row r="9940" spans="4:39" x14ac:dyDescent="0.3">
      <c r="D9940" s="1"/>
      <c r="G9940" s="13"/>
      <c r="AL9940" s="13"/>
    </row>
    <row r="9941" spans="4:39" x14ac:dyDescent="0.3">
      <c r="D9941" s="1"/>
      <c r="G9941" s="13"/>
      <c r="AL9941" s="13"/>
    </row>
    <row r="9942" spans="4:39" x14ac:dyDescent="0.3">
      <c r="D9942" s="1"/>
      <c r="G9942" s="13"/>
      <c r="AL9942" s="13"/>
    </row>
    <row r="9943" spans="4:39" x14ac:dyDescent="0.3">
      <c r="D9943" s="1"/>
      <c r="G9943" s="13"/>
      <c r="AL9943" s="13"/>
    </row>
    <row r="9944" spans="4:39" x14ac:dyDescent="0.3">
      <c r="D9944" s="1"/>
      <c r="G9944" s="13"/>
      <c r="AL9944" s="13"/>
    </row>
    <row r="9945" spans="4:39" x14ac:dyDescent="0.3">
      <c r="D9945" s="1"/>
      <c r="G9945" s="13"/>
      <c r="AL9945" s="13"/>
    </row>
    <row r="9946" spans="4:39" x14ac:dyDescent="0.3">
      <c r="D9946" s="1"/>
      <c r="G9946" s="13"/>
      <c r="AL9946" s="13"/>
    </row>
    <row r="9947" spans="4:39" x14ac:dyDescent="0.3">
      <c r="D9947" s="1"/>
      <c r="G9947" s="13"/>
      <c r="AL9947" s="13"/>
      <c r="AM9947" s="14"/>
    </row>
    <row r="9948" spans="4:39" x14ac:dyDescent="0.3">
      <c r="D9948" s="1"/>
      <c r="G9948" s="13"/>
      <c r="AL9948" s="13"/>
    </row>
    <row r="9949" spans="4:39" x14ac:dyDescent="0.3">
      <c r="D9949" s="1"/>
      <c r="G9949" s="13"/>
      <c r="AL9949" s="13"/>
    </row>
    <row r="9950" spans="4:39" x14ac:dyDescent="0.3">
      <c r="D9950" s="1"/>
      <c r="G9950" s="13"/>
      <c r="AL9950" s="13"/>
      <c r="AM9950" s="14"/>
    </row>
    <row r="9951" spans="4:39" x14ac:dyDescent="0.3">
      <c r="D9951" s="1"/>
      <c r="G9951" s="13"/>
      <c r="AL9951" s="13"/>
    </row>
    <row r="9952" spans="4:39" x14ac:dyDescent="0.3">
      <c r="D9952" s="1"/>
      <c r="G9952" s="13"/>
      <c r="AL9952" s="13"/>
    </row>
    <row r="9953" spans="4:39" x14ac:dyDescent="0.3">
      <c r="D9953" s="1"/>
      <c r="G9953" s="13"/>
      <c r="AL9953" s="13"/>
      <c r="AM9953" s="14"/>
    </row>
    <row r="9954" spans="4:39" x14ac:dyDescent="0.3">
      <c r="D9954" s="1"/>
      <c r="G9954" s="13"/>
      <c r="AL9954" s="13"/>
    </row>
    <row r="9955" spans="4:39" x14ac:dyDescent="0.3">
      <c r="D9955" s="1"/>
      <c r="G9955" s="13"/>
      <c r="AL9955" s="13"/>
    </row>
    <row r="9956" spans="4:39" x14ac:dyDescent="0.3">
      <c r="D9956" s="1"/>
      <c r="G9956" s="13"/>
      <c r="AL9956" s="13"/>
    </row>
    <row r="9957" spans="4:39" x14ac:dyDescent="0.3">
      <c r="D9957" s="1"/>
      <c r="G9957" s="13"/>
      <c r="AL9957" s="13"/>
      <c r="AM9957" s="14"/>
    </row>
    <row r="9958" spans="4:39" x14ac:dyDescent="0.3">
      <c r="D9958" s="1"/>
      <c r="G9958" s="13"/>
      <c r="AL9958" s="13"/>
      <c r="AM9958" s="14"/>
    </row>
    <row r="9959" spans="4:39" x14ac:dyDescent="0.3">
      <c r="D9959" s="1"/>
      <c r="G9959" s="13"/>
      <c r="AL9959" s="13"/>
    </row>
    <row r="9960" spans="4:39" x14ac:dyDescent="0.3">
      <c r="D9960" s="1"/>
      <c r="G9960" s="13"/>
      <c r="AL9960" s="13"/>
    </row>
    <row r="9961" spans="4:39" x14ac:dyDescent="0.3">
      <c r="D9961" s="1"/>
      <c r="G9961" s="13"/>
      <c r="AL9961" s="13"/>
    </row>
    <row r="9962" spans="4:39" x14ac:dyDescent="0.3">
      <c r="D9962" s="1"/>
      <c r="G9962" s="13"/>
      <c r="AL9962" s="13"/>
      <c r="AM9962" s="14"/>
    </row>
    <row r="9963" spans="4:39" x14ac:dyDescent="0.3">
      <c r="D9963" s="1"/>
      <c r="G9963" s="13"/>
      <c r="AL9963" s="13"/>
      <c r="AM9963" s="14"/>
    </row>
    <row r="9964" spans="4:39" x14ac:dyDescent="0.3">
      <c r="D9964" s="1"/>
      <c r="G9964" s="13"/>
      <c r="AL9964" s="13"/>
    </row>
    <row r="9965" spans="4:39" x14ac:dyDescent="0.3">
      <c r="D9965" s="1"/>
      <c r="G9965" s="13"/>
      <c r="AL9965" s="13"/>
    </row>
    <row r="9966" spans="4:39" x14ac:dyDescent="0.3">
      <c r="D9966" s="1"/>
      <c r="G9966" s="13"/>
      <c r="AL9966" s="13"/>
      <c r="AM9966" s="14"/>
    </row>
    <row r="9967" spans="4:39" x14ac:dyDescent="0.3">
      <c r="D9967" s="1"/>
      <c r="G9967" s="13"/>
      <c r="AL9967" s="13"/>
    </row>
    <row r="9968" spans="4:39" x14ac:dyDescent="0.3">
      <c r="D9968" s="1"/>
      <c r="G9968" s="13"/>
      <c r="AL9968" s="13"/>
    </row>
    <row r="9969" spans="4:39" x14ac:dyDescent="0.3">
      <c r="D9969" s="1"/>
      <c r="G9969" s="13"/>
      <c r="AL9969" s="13"/>
    </row>
    <row r="9970" spans="4:39" x14ac:dyDescent="0.3">
      <c r="D9970" s="1"/>
      <c r="G9970" s="13"/>
      <c r="AL9970" s="13"/>
    </row>
    <row r="9971" spans="4:39" x14ac:dyDescent="0.3">
      <c r="D9971" s="1"/>
      <c r="G9971" s="13"/>
      <c r="AL9971" s="13"/>
    </row>
    <row r="9972" spans="4:39" x14ac:dyDescent="0.3">
      <c r="D9972" s="1"/>
      <c r="G9972" s="13"/>
      <c r="AL9972" s="13"/>
      <c r="AM9972" s="14"/>
    </row>
    <row r="9973" spans="4:39" x14ac:dyDescent="0.3">
      <c r="D9973" s="1"/>
      <c r="G9973" s="13"/>
      <c r="AL9973" s="13"/>
    </row>
    <row r="9974" spans="4:39" x14ac:dyDescent="0.3">
      <c r="D9974" s="1"/>
      <c r="G9974" s="13"/>
      <c r="AL9974" s="13"/>
    </row>
    <row r="9975" spans="4:39" x14ac:dyDescent="0.3">
      <c r="D9975" s="1"/>
      <c r="G9975" s="13"/>
      <c r="AL9975" s="13"/>
    </row>
    <row r="9976" spans="4:39" x14ac:dyDescent="0.3">
      <c r="D9976" s="1"/>
      <c r="G9976" s="13"/>
      <c r="AL9976" s="13"/>
    </row>
    <row r="9977" spans="4:39" x14ac:dyDescent="0.3">
      <c r="D9977" s="1"/>
      <c r="G9977" s="13"/>
      <c r="AL9977" s="13"/>
    </row>
    <row r="9978" spans="4:39" x14ac:dyDescent="0.3">
      <c r="D9978" s="1"/>
      <c r="G9978" s="13"/>
      <c r="AL9978" s="13"/>
    </row>
    <row r="9979" spans="4:39" x14ac:dyDescent="0.3">
      <c r="D9979" s="1"/>
      <c r="G9979" s="13"/>
      <c r="AL9979" s="13"/>
    </row>
    <row r="9980" spans="4:39" x14ac:dyDescent="0.3">
      <c r="D9980" s="1"/>
      <c r="G9980" s="13"/>
      <c r="AL9980" s="13"/>
    </row>
    <row r="9981" spans="4:39" x14ac:dyDescent="0.3">
      <c r="D9981" s="1"/>
      <c r="G9981" s="13"/>
      <c r="AL9981" s="13"/>
    </row>
    <row r="9982" spans="4:39" x14ac:dyDescent="0.3">
      <c r="D9982" s="1"/>
      <c r="G9982" s="13"/>
      <c r="AL9982" s="13"/>
    </row>
    <row r="9983" spans="4:39" x14ac:dyDescent="0.3">
      <c r="D9983" s="1"/>
      <c r="G9983" s="13"/>
      <c r="AL9983" s="13"/>
    </row>
    <row r="9984" spans="4:39" x14ac:dyDescent="0.3">
      <c r="D9984" s="1"/>
      <c r="G9984" s="13"/>
      <c r="AL9984" s="13"/>
    </row>
    <row r="9985" spans="4:39" x14ac:dyDescent="0.3">
      <c r="D9985" s="1"/>
      <c r="G9985" s="13"/>
      <c r="AL9985" s="13"/>
    </row>
    <row r="9986" spans="4:39" x14ac:dyDescent="0.3">
      <c r="D9986" s="1"/>
      <c r="G9986" s="13"/>
      <c r="AL9986" s="13"/>
    </row>
    <row r="9987" spans="4:39" x14ac:dyDescent="0.3">
      <c r="D9987" s="1"/>
      <c r="G9987" s="13"/>
      <c r="AL9987" s="13"/>
    </row>
    <row r="9988" spans="4:39" x14ac:dyDescent="0.3">
      <c r="D9988" s="1"/>
      <c r="G9988" s="13"/>
      <c r="AL9988" s="13"/>
    </row>
    <row r="9989" spans="4:39" x14ac:dyDescent="0.3">
      <c r="D9989" s="1"/>
      <c r="G9989" s="13"/>
      <c r="AL9989" s="13"/>
    </row>
    <row r="9990" spans="4:39" x14ac:dyDescent="0.3">
      <c r="D9990" s="1"/>
      <c r="G9990" s="13"/>
      <c r="AL9990" s="13"/>
    </row>
    <row r="9991" spans="4:39" x14ac:dyDescent="0.3">
      <c r="D9991" s="1"/>
      <c r="G9991" s="13"/>
      <c r="AL9991" s="13"/>
    </row>
    <row r="9992" spans="4:39" x14ac:dyDescent="0.3">
      <c r="D9992" s="1"/>
      <c r="G9992" s="13"/>
      <c r="AL9992" s="13"/>
    </row>
    <row r="9993" spans="4:39" x14ac:dyDescent="0.3">
      <c r="D9993" s="1"/>
      <c r="G9993" s="13"/>
      <c r="AL9993" s="13"/>
    </row>
    <row r="9994" spans="4:39" x14ac:dyDescent="0.3">
      <c r="D9994" s="1"/>
      <c r="G9994" s="13"/>
      <c r="AL9994" s="13"/>
    </row>
    <row r="9995" spans="4:39" x14ac:dyDescent="0.3">
      <c r="D9995" s="1"/>
      <c r="G9995" s="13"/>
      <c r="AL9995" s="13"/>
    </row>
    <row r="9996" spans="4:39" x14ac:dyDescent="0.3">
      <c r="D9996" s="1"/>
      <c r="G9996" s="13"/>
      <c r="AL9996" s="13"/>
    </row>
    <row r="9997" spans="4:39" x14ac:dyDescent="0.3">
      <c r="D9997" s="1"/>
      <c r="G9997" s="13"/>
      <c r="AL9997" s="13"/>
      <c r="AM9997" s="14"/>
    </row>
    <row r="9998" spans="4:39" x14ac:dyDescent="0.3">
      <c r="D9998" s="1"/>
      <c r="G9998" s="13"/>
      <c r="AL9998" s="13"/>
      <c r="AM9998" s="14"/>
    </row>
    <row r="9999" spans="4:39" x14ac:dyDescent="0.3">
      <c r="D9999" s="1"/>
      <c r="G9999" s="13"/>
      <c r="AL9999" s="13"/>
    </row>
    <row r="10000" spans="4:39" x14ac:dyDescent="0.3">
      <c r="D10000" s="1"/>
      <c r="G10000" s="13"/>
      <c r="AL10000" s="13"/>
    </row>
    <row r="10001" spans="4:39" x14ac:dyDescent="0.3">
      <c r="D10001" s="1"/>
      <c r="G10001" s="13"/>
      <c r="AL10001" s="13"/>
      <c r="AM10001" s="14"/>
    </row>
    <row r="10002" spans="4:39" x14ac:dyDescent="0.3">
      <c r="D10002" s="1"/>
      <c r="G10002" s="13"/>
      <c r="AL10002" s="13"/>
      <c r="AM10002" s="14"/>
    </row>
    <row r="10003" spans="4:39" x14ac:dyDescent="0.3">
      <c r="D10003" s="1"/>
      <c r="G10003" s="13"/>
      <c r="AL10003" s="13"/>
    </row>
    <row r="10004" spans="4:39" x14ac:dyDescent="0.3">
      <c r="D10004" s="1"/>
      <c r="G10004" s="13"/>
      <c r="AL10004" s="13"/>
    </row>
    <row r="10005" spans="4:39" x14ac:dyDescent="0.3">
      <c r="D10005" s="1"/>
      <c r="G10005" s="13"/>
      <c r="AL10005" s="13"/>
    </row>
    <row r="10006" spans="4:39" x14ac:dyDescent="0.3">
      <c r="D10006" s="1"/>
      <c r="G10006" s="13"/>
      <c r="AL10006" s="13"/>
    </row>
    <row r="10007" spans="4:39" x14ac:dyDescent="0.3">
      <c r="D10007" s="1"/>
      <c r="G10007" s="13"/>
      <c r="AL10007" s="13"/>
    </row>
    <row r="10008" spans="4:39" x14ac:dyDescent="0.3">
      <c r="D10008" s="1"/>
      <c r="G10008" s="13"/>
      <c r="AL10008" s="13"/>
      <c r="AM10008" s="14"/>
    </row>
    <row r="10009" spans="4:39" x14ac:dyDescent="0.3">
      <c r="D10009" s="1"/>
      <c r="G10009" s="13"/>
      <c r="AL10009" s="13"/>
      <c r="AM10009" s="14"/>
    </row>
    <row r="10010" spans="4:39" x14ac:dyDescent="0.3">
      <c r="D10010" s="1"/>
      <c r="G10010" s="13"/>
      <c r="AL10010" s="13"/>
      <c r="AM10010" s="14"/>
    </row>
    <row r="10011" spans="4:39" x14ac:dyDescent="0.3">
      <c r="D10011" s="1"/>
      <c r="G10011" s="13"/>
      <c r="AL10011" s="13"/>
    </row>
    <row r="10012" spans="4:39" x14ac:dyDescent="0.3">
      <c r="D10012" s="1"/>
      <c r="G10012" s="13"/>
      <c r="AL10012" s="13"/>
    </row>
    <row r="10013" spans="4:39" x14ac:dyDescent="0.3">
      <c r="D10013" s="1"/>
      <c r="G10013" s="13"/>
      <c r="AL10013" s="13"/>
    </row>
    <row r="10014" spans="4:39" x14ac:dyDescent="0.3">
      <c r="D10014" s="1"/>
      <c r="G10014" s="13"/>
      <c r="AL10014" s="13"/>
    </row>
    <row r="10015" spans="4:39" x14ac:dyDescent="0.3">
      <c r="D10015" s="1"/>
      <c r="G10015" s="13"/>
      <c r="AL10015" s="13"/>
    </row>
    <row r="10016" spans="4:39" x14ac:dyDescent="0.3">
      <c r="D10016" s="1"/>
      <c r="G10016" s="13"/>
      <c r="AL10016" s="13"/>
    </row>
    <row r="10017" spans="4:39" x14ac:dyDescent="0.3">
      <c r="D10017" s="1"/>
      <c r="G10017" s="13"/>
      <c r="AL10017" s="13"/>
    </row>
    <row r="10018" spans="4:39" x14ac:dyDescent="0.3">
      <c r="D10018" s="1"/>
      <c r="G10018" s="13"/>
      <c r="AL10018" s="13"/>
    </row>
    <row r="10019" spans="4:39" x14ac:dyDescent="0.3">
      <c r="D10019" s="1"/>
      <c r="G10019" s="13"/>
      <c r="AL10019" s="13"/>
      <c r="AM10019" s="14"/>
    </row>
    <row r="10020" spans="4:39" x14ac:dyDescent="0.3">
      <c r="D10020" s="1"/>
      <c r="G10020" s="13"/>
      <c r="AL10020" s="13"/>
      <c r="AM10020" s="14"/>
    </row>
    <row r="10021" spans="4:39" x14ac:dyDescent="0.3">
      <c r="D10021" s="1"/>
      <c r="G10021" s="13"/>
      <c r="AL10021" s="13"/>
      <c r="AM10021" s="14"/>
    </row>
    <row r="10022" spans="4:39" x14ac:dyDescent="0.3">
      <c r="D10022" s="1"/>
      <c r="G10022" s="13"/>
      <c r="AL10022" s="13"/>
    </row>
    <row r="10023" spans="4:39" x14ac:dyDescent="0.3">
      <c r="D10023" s="1"/>
      <c r="G10023" s="13"/>
      <c r="AL10023" s="13"/>
    </row>
    <row r="10024" spans="4:39" x14ac:dyDescent="0.3">
      <c r="D10024" s="1"/>
      <c r="G10024" s="13"/>
      <c r="AL10024" s="13"/>
    </row>
    <row r="10025" spans="4:39" x14ac:dyDescent="0.3">
      <c r="D10025" s="1"/>
      <c r="G10025" s="13"/>
      <c r="AL10025" s="13"/>
    </row>
    <row r="10026" spans="4:39" x14ac:dyDescent="0.3">
      <c r="D10026" s="1"/>
      <c r="G10026" s="13"/>
      <c r="AL10026" s="13"/>
    </row>
    <row r="10027" spans="4:39" x14ac:dyDescent="0.3">
      <c r="D10027" s="1"/>
      <c r="G10027" s="13"/>
      <c r="AL10027" s="13"/>
    </row>
    <row r="10028" spans="4:39" x14ac:dyDescent="0.3">
      <c r="D10028" s="1"/>
      <c r="G10028" s="13"/>
      <c r="AL10028" s="13"/>
    </row>
    <row r="10029" spans="4:39" x14ac:dyDescent="0.3">
      <c r="D10029" s="1"/>
      <c r="G10029" s="13"/>
      <c r="AL10029" s="13"/>
    </row>
    <row r="10030" spans="4:39" x14ac:dyDescent="0.3">
      <c r="D10030" s="1"/>
      <c r="G10030" s="13"/>
      <c r="AL10030" s="13"/>
      <c r="AM10030" s="14"/>
    </row>
    <row r="10031" spans="4:39" x14ac:dyDescent="0.3">
      <c r="D10031" s="1"/>
      <c r="G10031" s="13"/>
      <c r="AL10031" s="13"/>
      <c r="AM10031" s="14"/>
    </row>
    <row r="10032" spans="4:39" x14ac:dyDescent="0.3">
      <c r="D10032" s="1"/>
      <c r="G10032" s="13"/>
      <c r="AL10032" s="13"/>
    </row>
    <row r="10033" spans="4:39" x14ac:dyDescent="0.3">
      <c r="D10033" s="1"/>
      <c r="G10033" s="13"/>
      <c r="AL10033" s="13"/>
    </row>
    <row r="10034" spans="4:39" x14ac:dyDescent="0.3">
      <c r="D10034" s="1"/>
      <c r="G10034" s="13"/>
      <c r="AL10034" s="13"/>
    </row>
    <row r="10035" spans="4:39" x14ac:dyDescent="0.3">
      <c r="D10035" s="1"/>
      <c r="G10035" s="13"/>
      <c r="AL10035" s="13"/>
    </row>
    <row r="10036" spans="4:39" x14ac:dyDescent="0.3">
      <c r="D10036" s="1"/>
      <c r="G10036" s="13"/>
      <c r="AL10036" s="13"/>
    </row>
    <row r="10037" spans="4:39" x14ac:dyDescent="0.3">
      <c r="D10037" s="1"/>
      <c r="G10037" s="13"/>
      <c r="AL10037" s="13"/>
    </row>
    <row r="10038" spans="4:39" x14ac:dyDescent="0.3">
      <c r="D10038" s="1"/>
      <c r="G10038" s="13"/>
      <c r="AL10038" s="13"/>
    </row>
    <row r="10039" spans="4:39" x14ac:dyDescent="0.3">
      <c r="D10039" s="1"/>
      <c r="G10039" s="13"/>
      <c r="AL10039" s="13"/>
    </row>
    <row r="10040" spans="4:39" x14ac:dyDescent="0.3">
      <c r="D10040" s="1"/>
      <c r="G10040" s="13"/>
      <c r="AL10040" s="13"/>
      <c r="AM10040" s="14"/>
    </row>
    <row r="10041" spans="4:39" x14ac:dyDescent="0.3">
      <c r="D10041" s="1"/>
      <c r="G10041" s="13"/>
      <c r="AL10041" s="13"/>
      <c r="AM10041" s="14"/>
    </row>
    <row r="10042" spans="4:39" x14ac:dyDescent="0.3">
      <c r="D10042" s="1"/>
      <c r="G10042" s="13"/>
      <c r="AL10042" s="13"/>
    </row>
    <row r="10043" spans="4:39" x14ac:dyDescent="0.3">
      <c r="D10043" s="1"/>
      <c r="G10043" s="13"/>
      <c r="AL10043" s="13"/>
      <c r="AM10043" s="14"/>
    </row>
    <row r="10044" spans="4:39" x14ac:dyDescent="0.3">
      <c r="D10044" s="1"/>
      <c r="G10044" s="13"/>
      <c r="AL10044" s="13"/>
    </row>
    <row r="10045" spans="4:39" x14ac:dyDescent="0.3">
      <c r="D10045" s="1"/>
      <c r="G10045" s="13"/>
      <c r="AL10045" s="13"/>
    </row>
    <row r="10046" spans="4:39" x14ac:dyDescent="0.3">
      <c r="D10046" s="1"/>
      <c r="G10046" s="13"/>
      <c r="AL10046" s="13"/>
    </row>
    <row r="10047" spans="4:39" x14ac:dyDescent="0.3">
      <c r="D10047" s="1"/>
      <c r="G10047" s="13"/>
      <c r="AL10047" s="13"/>
    </row>
    <row r="10048" spans="4:39" x14ac:dyDescent="0.3">
      <c r="D10048" s="1"/>
      <c r="G10048" s="13"/>
      <c r="AL10048" s="13"/>
      <c r="AM10048" s="14"/>
    </row>
    <row r="10049" spans="4:39" x14ac:dyDescent="0.3">
      <c r="D10049" s="1"/>
      <c r="G10049" s="13"/>
      <c r="AL10049" s="13"/>
      <c r="AM10049" s="14"/>
    </row>
    <row r="10050" spans="4:39" x14ac:dyDescent="0.3">
      <c r="D10050" s="1"/>
      <c r="G10050" s="13"/>
      <c r="AL10050" s="13"/>
      <c r="AM10050" s="14"/>
    </row>
    <row r="10051" spans="4:39" x14ac:dyDescent="0.3">
      <c r="D10051" s="1"/>
      <c r="G10051" s="13"/>
      <c r="AL10051" s="13"/>
      <c r="AM10051" s="14"/>
    </row>
    <row r="10052" spans="4:39" x14ac:dyDescent="0.3">
      <c r="D10052" s="1"/>
      <c r="G10052" s="13"/>
      <c r="AL10052" s="13"/>
      <c r="AM10052" s="14"/>
    </row>
    <row r="10053" spans="4:39" x14ac:dyDescent="0.3">
      <c r="D10053" s="1"/>
      <c r="G10053" s="13"/>
      <c r="AL10053" s="13"/>
      <c r="AM10053" s="14"/>
    </row>
    <row r="10054" spans="4:39" x14ac:dyDescent="0.3">
      <c r="D10054" s="1"/>
      <c r="G10054" s="13"/>
      <c r="AL10054" s="13"/>
      <c r="AM10054" s="14"/>
    </row>
    <row r="10055" spans="4:39" x14ac:dyDescent="0.3">
      <c r="D10055" s="1"/>
      <c r="G10055" s="13"/>
      <c r="AL10055" s="13"/>
      <c r="AM10055" s="14"/>
    </row>
    <row r="10056" spans="4:39" x14ac:dyDescent="0.3">
      <c r="D10056" s="1"/>
      <c r="G10056" s="13"/>
      <c r="AL10056" s="13"/>
      <c r="AM10056" s="14"/>
    </row>
    <row r="10057" spans="4:39" x14ac:dyDescent="0.3">
      <c r="D10057" s="1"/>
      <c r="G10057" s="13"/>
      <c r="AL10057" s="13"/>
      <c r="AM10057" s="14"/>
    </row>
    <row r="10058" spans="4:39" x14ac:dyDescent="0.3">
      <c r="D10058" s="1"/>
      <c r="G10058" s="13"/>
      <c r="AL10058" s="13"/>
      <c r="AM10058" s="14"/>
    </row>
    <row r="10059" spans="4:39" x14ac:dyDescent="0.3">
      <c r="D10059" s="1"/>
      <c r="G10059" s="13"/>
      <c r="AL10059" s="13"/>
      <c r="AM10059" s="14"/>
    </row>
    <row r="10060" spans="4:39" x14ac:dyDescent="0.3">
      <c r="D10060" s="1"/>
      <c r="G10060" s="13"/>
      <c r="AL10060" s="13"/>
      <c r="AM10060" s="14"/>
    </row>
    <row r="10061" spans="4:39" x14ac:dyDescent="0.3">
      <c r="D10061" s="1"/>
      <c r="G10061" s="13"/>
      <c r="AL10061" s="13"/>
      <c r="AM10061" s="14"/>
    </row>
    <row r="10062" spans="4:39" x14ac:dyDescent="0.3">
      <c r="D10062" s="1"/>
      <c r="G10062" s="13"/>
      <c r="AL10062" s="13"/>
      <c r="AM10062" s="14"/>
    </row>
    <row r="10063" spans="4:39" x14ac:dyDescent="0.3">
      <c r="D10063" s="1"/>
      <c r="G10063" s="13"/>
      <c r="AL10063" s="13"/>
    </row>
    <row r="10064" spans="4:39" x14ac:dyDescent="0.3">
      <c r="D10064" s="1"/>
      <c r="G10064" s="13"/>
      <c r="AL10064" s="13"/>
      <c r="AM10064" s="14"/>
    </row>
    <row r="10065" spans="4:39" x14ac:dyDescent="0.3">
      <c r="D10065" s="1"/>
      <c r="G10065" s="13"/>
      <c r="AL10065" s="13"/>
      <c r="AM10065" s="14"/>
    </row>
    <row r="10066" spans="4:39" x14ac:dyDescent="0.3">
      <c r="D10066" s="1"/>
      <c r="G10066" s="13"/>
      <c r="AL10066" s="13"/>
      <c r="AM10066" s="14"/>
    </row>
    <row r="10067" spans="4:39" x14ac:dyDescent="0.3">
      <c r="D10067" s="1"/>
      <c r="G10067" s="13"/>
      <c r="AL10067" s="13"/>
      <c r="AM10067" s="14"/>
    </row>
    <row r="10068" spans="4:39" x14ac:dyDescent="0.3">
      <c r="D10068" s="1"/>
      <c r="G10068" s="13"/>
      <c r="AL10068" s="13"/>
    </row>
    <row r="10069" spans="4:39" x14ac:dyDescent="0.3">
      <c r="D10069" s="1"/>
      <c r="G10069" s="13"/>
      <c r="AL10069" s="13"/>
    </row>
    <row r="10070" spans="4:39" x14ac:dyDescent="0.3">
      <c r="D10070" s="1"/>
      <c r="G10070" s="13"/>
      <c r="AL10070" s="13"/>
    </row>
    <row r="10071" spans="4:39" x14ac:dyDescent="0.3">
      <c r="D10071" s="1"/>
      <c r="G10071" s="13"/>
      <c r="AL10071" s="13"/>
      <c r="AM10071" s="14"/>
    </row>
    <row r="10072" spans="4:39" x14ac:dyDescent="0.3">
      <c r="D10072" s="1"/>
      <c r="G10072" s="13"/>
      <c r="AL10072" s="13"/>
    </row>
    <row r="10073" spans="4:39" x14ac:dyDescent="0.3">
      <c r="D10073" s="1"/>
      <c r="G10073" s="13"/>
      <c r="AL10073" s="13"/>
    </row>
    <row r="10074" spans="4:39" x14ac:dyDescent="0.3">
      <c r="D10074" s="1"/>
      <c r="G10074" s="13"/>
      <c r="AL10074" s="13"/>
    </row>
    <row r="10075" spans="4:39" x14ac:dyDescent="0.3">
      <c r="D10075" s="1"/>
      <c r="G10075" s="13"/>
      <c r="AL10075" s="13"/>
      <c r="AM10075" s="14"/>
    </row>
    <row r="10076" spans="4:39" x14ac:dyDescent="0.3">
      <c r="D10076" s="1"/>
      <c r="G10076" s="13"/>
      <c r="AL10076" s="13"/>
    </row>
    <row r="10077" spans="4:39" x14ac:dyDescent="0.3">
      <c r="D10077" s="1"/>
      <c r="G10077" s="13"/>
      <c r="AL10077" s="13"/>
    </row>
    <row r="10078" spans="4:39" x14ac:dyDescent="0.3">
      <c r="D10078" s="1"/>
      <c r="G10078" s="13"/>
      <c r="AL10078" s="13"/>
    </row>
    <row r="10079" spans="4:39" x14ac:dyDescent="0.3">
      <c r="D10079" s="1"/>
      <c r="G10079" s="13"/>
      <c r="AL10079" s="13"/>
    </row>
    <row r="10080" spans="4:39" x14ac:dyDescent="0.3">
      <c r="D10080" s="1"/>
      <c r="G10080" s="13"/>
      <c r="AL10080" s="13"/>
      <c r="AM10080" s="14"/>
    </row>
    <row r="10081" spans="4:39" x14ac:dyDescent="0.3">
      <c r="D10081" s="1"/>
      <c r="G10081" s="13"/>
      <c r="AL10081" s="13"/>
    </row>
    <row r="10082" spans="4:39" x14ac:dyDescent="0.3">
      <c r="D10082" s="1"/>
      <c r="G10082" s="13"/>
      <c r="AL10082" s="13"/>
    </row>
    <row r="10083" spans="4:39" x14ac:dyDescent="0.3">
      <c r="D10083" s="1"/>
      <c r="G10083" s="13"/>
      <c r="AL10083" s="13"/>
    </row>
    <row r="10084" spans="4:39" x14ac:dyDescent="0.3">
      <c r="D10084" s="1"/>
      <c r="G10084" s="13"/>
      <c r="AL10084" s="13"/>
    </row>
    <row r="10085" spans="4:39" x14ac:dyDescent="0.3">
      <c r="D10085" s="1"/>
      <c r="G10085" s="13"/>
      <c r="AL10085" s="13"/>
    </row>
    <row r="10086" spans="4:39" x14ac:dyDescent="0.3">
      <c r="D10086" s="1"/>
      <c r="G10086" s="13"/>
      <c r="AL10086" s="13"/>
      <c r="AM10086" s="14"/>
    </row>
    <row r="10087" spans="4:39" x14ac:dyDescent="0.3">
      <c r="D10087" s="1"/>
      <c r="G10087" s="13"/>
      <c r="AL10087" s="13"/>
      <c r="AM10087" s="14"/>
    </row>
    <row r="10088" spans="4:39" x14ac:dyDescent="0.3">
      <c r="D10088" s="1"/>
      <c r="G10088" s="13"/>
      <c r="AL10088" s="13"/>
      <c r="AM10088" s="14"/>
    </row>
    <row r="10089" spans="4:39" x14ac:dyDescent="0.3">
      <c r="D10089" s="1"/>
      <c r="G10089" s="13"/>
      <c r="AL10089" s="13"/>
      <c r="AM10089" s="14"/>
    </row>
    <row r="10090" spans="4:39" x14ac:dyDescent="0.3">
      <c r="D10090" s="1"/>
      <c r="G10090" s="13"/>
      <c r="AL10090" s="13"/>
    </row>
    <row r="10091" spans="4:39" x14ac:dyDescent="0.3">
      <c r="D10091" s="1"/>
      <c r="G10091" s="13"/>
      <c r="AL10091" s="13"/>
      <c r="AM10091" s="14"/>
    </row>
    <row r="10092" spans="4:39" x14ac:dyDescent="0.3">
      <c r="D10092" s="1"/>
      <c r="G10092" s="13"/>
      <c r="AL10092" s="13"/>
    </row>
    <row r="10093" spans="4:39" x14ac:dyDescent="0.3">
      <c r="D10093" s="1"/>
      <c r="G10093" s="13"/>
      <c r="AL10093" s="13"/>
    </row>
    <row r="10094" spans="4:39" x14ac:dyDescent="0.3">
      <c r="D10094" s="1"/>
      <c r="G10094" s="13"/>
      <c r="AL10094" s="13"/>
      <c r="AM10094" s="14"/>
    </row>
    <row r="10095" spans="4:39" x14ac:dyDescent="0.3">
      <c r="D10095" s="1"/>
      <c r="G10095" s="13"/>
      <c r="AL10095" s="13"/>
      <c r="AM10095" s="14"/>
    </row>
    <row r="10096" spans="4:39" x14ac:dyDescent="0.3">
      <c r="D10096" s="1"/>
      <c r="G10096" s="13"/>
      <c r="AL10096" s="13"/>
      <c r="AM10096" s="14"/>
    </row>
    <row r="10097" spans="4:39" x14ac:dyDescent="0.3">
      <c r="D10097" s="1"/>
      <c r="G10097" s="13"/>
      <c r="AL10097" s="13"/>
    </row>
    <row r="10098" spans="4:39" x14ac:dyDescent="0.3">
      <c r="D10098" s="1"/>
      <c r="G10098" s="13"/>
      <c r="AL10098" s="13"/>
    </row>
    <row r="10099" spans="4:39" x14ac:dyDescent="0.3">
      <c r="D10099" s="1"/>
      <c r="G10099" s="13"/>
      <c r="AL10099" s="13"/>
    </row>
    <row r="10100" spans="4:39" x14ac:dyDescent="0.3">
      <c r="D10100" s="1"/>
      <c r="G10100" s="13"/>
      <c r="AL10100" s="13"/>
    </row>
    <row r="10101" spans="4:39" x14ac:dyDescent="0.3">
      <c r="D10101" s="1"/>
      <c r="G10101" s="13"/>
      <c r="AL10101" s="13"/>
      <c r="AM10101" s="14"/>
    </row>
    <row r="10102" spans="4:39" x14ac:dyDescent="0.3">
      <c r="D10102" s="1"/>
      <c r="G10102" s="13"/>
      <c r="AL10102" s="13"/>
      <c r="AM10102" s="14"/>
    </row>
    <row r="10103" spans="4:39" x14ac:dyDescent="0.3">
      <c r="D10103" s="1"/>
      <c r="G10103" s="13"/>
      <c r="AL10103" s="13"/>
      <c r="AM10103" s="14"/>
    </row>
    <row r="10104" spans="4:39" x14ac:dyDescent="0.3">
      <c r="D10104" s="1"/>
      <c r="G10104" s="13"/>
      <c r="AL10104" s="13"/>
    </row>
    <row r="10105" spans="4:39" x14ac:dyDescent="0.3">
      <c r="D10105" s="1"/>
      <c r="G10105" s="13"/>
      <c r="AL10105" s="13"/>
    </row>
    <row r="10106" spans="4:39" x14ac:dyDescent="0.3">
      <c r="D10106" s="1"/>
      <c r="G10106" s="13"/>
      <c r="AL10106" s="13"/>
      <c r="AM10106" s="14"/>
    </row>
    <row r="10107" spans="4:39" x14ac:dyDescent="0.3">
      <c r="D10107" s="1"/>
      <c r="G10107" s="13"/>
      <c r="AL10107" s="13"/>
    </row>
    <row r="10108" spans="4:39" x14ac:dyDescent="0.3">
      <c r="D10108" s="1"/>
      <c r="G10108" s="13"/>
      <c r="AL10108" s="13"/>
      <c r="AM10108" s="14"/>
    </row>
    <row r="10109" spans="4:39" x14ac:dyDescent="0.3">
      <c r="D10109" s="1"/>
      <c r="G10109" s="13"/>
      <c r="AL10109" s="13"/>
      <c r="AM10109" s="14"/>
    </row>
    <row r="10110" spans="4:39" x14ac:dyDescent="0.3">
      <c r="D10110" s="1"/>
      <c r="G10110" s="13"/>
      <c r="AL10110" s="13"/>
    </row>
    <row r="10111" spans="4:39" x14ac:dyDescent="0.3">
      <c r="D10111" s="1"/>
      <c r="G10111" s="13"/>
      <c r="AL10111" s="13"/>
    </row>
    <row r="10112" spans="4:39" x14ac:dyDescent="0.3">
      <c r="D10112" s="1"/>
      <c r="G10112" s="13"/>
      <c r="AL10112" s="13"/>
      <c r="AM10112" s="14"/>
    </row>
    <row r="10113" spans="4:39" x14ac:dyDescent="0.3">
      <c r="D10113" s="1"/>
      <c r="G10113" s="13"/>
      <c r="AL10113" s="13"/>
      <c r="AM10113" s="14"/>
    </row>
    <row r="10114" spans="4:39" x14ac:dyDescent="0.3">
      <c r="D10114" s="1"/>
      <c r="G10114" s="13"/>
      <c r="AL10114" s="13"/>
    </row>
    <row r="10115" spans="4:39" x14ac:dyDescent="0.3">
      <c r="D10115" s="1"/>
      <c r="G10115" s="13"/>
      <c r="AL10115" s="13"/>
    </row>
    <row r="10116" spans="4:39" x14ac:dyDescent="0.3">
      <c r="D10116" s="1"/>
      <c r="G10116" s="13"/>
      <c r="AL10116" s="13"/>
      <c r="AM10116" s="14"/>
    </row>
    <row r="10117" spans="4:39" x14ac:dyDescent="0.3">
      <c r="D10117" s="1"/>
      <c r="G10117" s="13"/>
      <c r="AL10117" s="13"/>
    </row>
    <row r="10118" spans="4:39" x14ac:dyDescent="0.3">
      <c r="D10118" s="1"/>
      <c r="G10118" s="13"/>
      <c r="AL10118" s="13"/>
    </row>
    <row r="10119" spans="4:39" x14ac:dyDescent="0.3">
      <c r="D10119" s="1"/>
      <c r="G10119" s="13"/>
      <c r="AL10119" s="13"/>
    </row>
    <row r="10120" spans="4:39" x14ac:dyDescent="0.3">
      <c r="D10120" s="1"/>
      <c r="G10120" s="13"/>
      <c r="AL10120" s="13"/>
    </row>
    <row r="10121" spans="4:39" x14ac:dyDescent="0.3">
      <c r="D10121" s="1"/>
      <c r="G10121" s="13"/>
      <c r="AL10121" s="13"/>
    </row>
    <row r="10122" spans="4:39" x14ac:dyDescent="0.3">
      <c r="D10122" s="1"/>
      <c r="G10122" s="13"/>
      <c r="AL10122" s="13"/>
    </row>
    <row r="10123" spans="4:39" x14ac:dyDescent="0.3">
      <c r="D10123" s="1"/>
      <c r="G10123" s="13"/>
      <c r="AL10123" s="13"/>
      <c r="AM10123" s="14"/>
    </row>
    <row r="10124" spans="4:39" x14ac:dyDescent="0.3">
      <c r="D10124" s="1"/>
      <c r="G10124" s="13"/>
      <c r="AL10124" s="13"/>
    </row>
    <row r="10125" spans="4:39" x14ac:dyDescent="0.3">
      <c r="D10125" s="1"/>
      <c r="G10125" s="13"/>
      <c r="AL10125" s="13"/>
      <c r="AM10125" s="14"/>
    </row>
    <row r="10126" spans="4:39" x14ac:dyDescent="0.3">
      <c r="D10126" s="1"/>
      <c r="G10126" s="13"/>
      <c r="AL10126" s="13"/>
      <c r="AM10126" s="14"/>
    </row>
    <row r="10127" spans="4:39" x14ac:dyDescent="0.3">
      <c r="D10127" s="1"/>
      <c r="G10127" s="13"/>
      <c r="AL10127" s="13"/>
    </row>
    <row r="10128" spans="4:39" x14ac:dyDescent="0.3">
      <c r="D10128" s="1"/>
      <c r="G10128" s="13"/>
      <c r="AL10128" s="13"/>
      <c r="AM10128" s="14"/>
    </row>
    <row r="10129" spans="4:39" x14ac:dyDescent="0.3">
      <c r="D10129" s="1"/>
      <c r="G10129" s="13"/>
      <c r="AL10129" s="13"/>
    </row>
    <row r="10130" spans="4:39" x14ac:dyDescent="0.3">
      <c r="D10130" s="1"/>
      <c r="G10130" s="13"/>
      <c r="AL10130" s="13"/>
    </row>
    <row r="10131" spans="4:39" x14ac:dyDescent="0.3">
      <c r="D10131" s="1"/>
      <c r="G10131" s="13"/>
      <c r="AL10131" s="13"/>
      <c r="AM10131" s="14"/>
    </row>
    <row r="10132" spans="4:39" x14ac:dyDescent="0.3">
      <c r="D10132" s="1"/>
      <c r="G10132" s="13"/>
      <c r="AL10132" s="13"/>
    </row>
    <row r="10133" spans="4:39" x14ac:dyDescent="0.3">
      <c r="D10133" s="1"/>
      <c r="G10133" s="13"/>
      <c r="AL10133" s="13"/>
    </row>
    <row r="10134" spans="4:39" x14ac:dyDescent="0.3">
      <c r="D10134" s="1"/>
      <c r="G10134" s="13"/>
      <c r="AL10134" s="13"/>
      <c r="AM10134" s="14"/>
    </row>
    <row r="10135" spans="4:39" x14ac:dyDescent="0.3">
      <c r="D10135" s="1"/>
      <c r="G10135" s="13"/>
      <c r="AL10135" s="13"/>
    </row>
    <row r="10136" spans="4:39" x14ac:dyDescent="0.3">
      <c r="D10136" s="1"/>
      <c r="G10136" s="13"/>
      <c r="AL10136" s="13"/>
    </row>
    <row r="10137" spans="4:39" x14ac:dyDescent="0.3">
      <c r="D10137" s="1"/>
      <c r="G10137" s="13"/>
      <c r="AL10137" s="13"/>
      <c r="AM10137" s="14"/>
    </row>
    <row r="10138" spans="4:39" x14ac:dyDescent="0.3">
      <c r="D10138" s="1"/>
      <c r="G10138" s="13"/>
      <c r="AL10138" s="13"/>
      <c r="AM10138" s="14"/>
    </row>
    <row r="10139" spans="4:39" x14ac:dyDescent="0.3">
      <c r="D10139" s="1"/>
      <c r="G10139" s="13"/>
      <c r="AL10139" s="13"/>
      <c r="AM10139" s="14"/>
    </row>
    <row r="10140" spans="4:39" x14ac:dyDescent="0.3">
      <c r="D10140" s="1"/>
      <c r="G10140" s="13"/>
      <c r="AL10140" s="13"/>
      <c r="AM10140" s="14"/>
    </row>
    <row r="10141" spans="4:39" x14ac:dyDescent="0.3">
      <c r="D10141" s="1"/>
      <c r="G10141" s="13"/>
      <c r="AL10141" s="13"/>
      <c r="AM10141" s="14"/>
    </row>
    <row r="10142" spans="4:39" x14ac:dyDescent="0.3">
      <c r="D10142" s="1"/>
      <c r="G10142" s="13"/>
      <c r="AL10142" s="13"/>
      <c r="AM10142" s="14"/>
    </row>
    <row r="10143" spans="4:39" x14ac:dyDescent="0.3">
      <c r="D10143" s="1"/>
      <c r="G10143" s="13"/>
      <c r="AL10143" s="13"/>
      <c r="AM10143" s="14"/>
    </row>
    <row r="10144" spans="4:39" x14ac:dyDescent="0.3">
      <c r="D10144" s="1"/>
      <c r="G10144" s="13"/>
      <c r="AL10144" s="13"/>
      <c r="AM10144" s="14"/>
    </row>
    <row r="10145" spans="4:39" x14ac:dyDescent="0.3">
      <c r="D10145" s="1"/>
      <c r="G10145" s="13"/>
      <c r="AL10145" s="13"/>
      <c r="AM10145" s="14"/>
    </row>
    <row r="10146" spans="4:39" x14ac:dyDescent="0.3">
      <c r="D10146" s="1"/>
      <c r="G10146" s="13"/>
      <c r="AL10146" s="13"/>
      <c r="AM10146" s="14"/>
    </row>
    <row r="10147" spans="4:39" x14ac:dyDescent="0.3">
      <c r="D10147" s="1"/>
      <c r="G10147" s="13"/>
      <c r="AL10147" s="13"/>
    </row>
    <row r="10148" spans="4:39" x14ac:dyDescent="0.3">
      <c r="D10148" s="1"/>
      <c r="G10148" s="13"/>
      <c r="AL10148" s="13"/>
      <c r="AM10148" s="14"/>
    </row>
    <row r="10149" spans="4:39" x14ac:dyDescent="0.3">
      <c r="D10149" s="1"/>
      <c r="G10149" s="13"/>
      <c r="AL10149" s="13"/>
      <c r="AM10149" s="14"/>
    </row>
    <row r="10150" spans="4:39" x14ac:dyDescent="0.3">
      <c r="D10150" s="1"/>
      <c r="G10150" s="13"/>
      <c r="AL10150" s="13"/>
      <c r="AM10150" s="14"/>
    </row>
    <row r="10151" spans="4:39" x14ac:dyDescent="0.3">
      <c r="D10151" s="1"/>
      <c r="G10151" s="13"/>
      <c r="AL10151" s="13"/>
      <c r="AM10151" s="14"/>
    </row>
    <row r="10152" spans="4:39" x14ac:dyDescent="0.3">
      <c r="D10152" s="1"/>
      <c r="G10152" s="13"/>
      <c r="AL10152" s="13"/>
    </row>
    <row r="10153" spans="4:39" x14ac:dyDescent="0.3">
      <c r="D10153" s="1"/>
      <c r="G10153" s="13"/>
      <c r="AL10153" s="13"/>
    </row>
    <row r="10154" spans="4:39" x14ac:dyDescent="0.3">
      <c r="D10154" s="1"/>
      <c r="G10154" s="13"/>
      <c r="AL10154" s="13"/>
    </row>
    <row r="10155" spans="4:39" x14ac:dyDescent="0.3">
      <c r="D10155" s="1"/>
      <c r="G10155" s="13"/>
      <c r="AL10155" s="13"/>
      <c r="AM10155" s="14"/>
    </row>
    <row r="10156" spans="4:39" x14ac:dyDescent="0.3">
      <c r="D10156" s="1"/>
      <c r="G10156" s="13"/>
      <c r="AL10156" s="13"/>
    </row>
    <row r="10157" spans="4:39" x14ac:dyDescent="0.3">
      <c r="D10157" s="1"/>
      <c r="G10157" s="13"/>
      <c r="AL10157" s="13"/>
    </row>
    <row r="10158" spans="4:39" x14ac:dyDescent="0.3">
      <c r="D10158" s="1"/>
      <c r="G10158" s="13"/>
      <c r="AL10158" s="13"/>
    </row>
    <row r="10159" spans="4:39" x14ac:dyDescent="0.3">
      <c r="D10159" s="1"/>
      <c r="G10159" s="13"/>
      <c r="AL10159" s="13"/>
    </row>
    <row r="10160" spans="4:39" x14ac:dyDescent="0.3">
      <c r="D10160" s="1"/>
      <c r="G10160" s="13"/>
      <c r="AL10160" s="13"/>
    </row>
    <row r="10161" spans="4:39" x14ac:dyDescent="0.3">
      <c r="D10161" s="1"/>
      <c r="G10161" s="13"/>
      <c r="AL10161" s="13"/>
      <c r="AM10161" s="14"/>
    </row>
    <row r="10162" spans="4:39" x14ac:dyDescent="0.3">
      <c r="D10162" s="1"/>
      <c r="G10162" s="13"/>
      <c r="AL10162" s="13"/>
      <c r="AM10162" s="14"/>
    </row>
    <row r="10163" spans="4:39" x14ac:dyDescent="0.3">
      <c r="D10163" s="1"/>
      <c r="G10163" s="13"/>
      <c r="AL10163" s="13"/>
      <c r="AM10163" s="14"/>
    </row>
    <row r="10164" spans="4:39" x14ac:dyDescent="0.3">
      <c r="D10164" s="1"/>
      <c r="G10164" s="13"/>
      <c r="AL10164" s="13"/>
    </row>
    <row r="10165" spans="4:39" x14ac:dyDescent="0.3">
      <c r="D10165" s="1"/>
      <c r="G10165" s="13"/>
      <c r="AL10165" s="13"/>
      <c r="AM10165" s="14"/>
    </row>
    <row r="10166" spans="4:39" x14ac:dyDescent="0.3">
      <c r="D10166" s="1"/>
      <c r="G10166" s="13"/>
      <c r="AL10166" s="13"/>
    </row>
    <row r="10167" spans="4:39" x14ac:dyDescent="0.3">
      <c r="D10167" s="1"/>
      <c r="G10167" s="13"/>
      <c r="AL10167" s="13"/>
    </row>
    <row r="10168" spans="4:39" x14ac:dyDescent="0.3">
      <c r="D10168" s="1"/>
      <c r="G10168" s="13"/>
      <c r="AL10168" s="13"/>
    </row>
    <row r="10169" spans="4:39" x14ac:dyDescent="0.3">
      <c r="D10169" s="1"/>
      <c r="G10169" s="13"/>
      <c r="AL10169" s="13"/>
    </row>
    <row r="10170" spans="4:39" x14ac:dyDescent="0.3">
      <c r="D10170" s="1"/>
      <c r="G10170" s="13"/>
      <c r="AL10170" s="13"/>
      <c r="AM10170" s="14"/>
    </row>
    <row r="10171" spans="4:39" x14ac:dyDescent="0.3">
      <c r="D10171" s="1"/>
      <c r="G10171" s="13"/>
      <c r="AL10171" s="13"/>
      <c r="AM10171" s="14"/>
    </row>
    <row r="10172" spans="4:39" x14ac:dyDescent="0.3">
      <c r="D10172" s="1"/>
      <c r="G10172" s="13"/>
      <c r="AL10172" s="13"/>
      <c r="AM10172" s="14"/>
    </row>
    <row r="10173" spans="4:39" x14ac:dyDescent="0.3">
      <c r="D10173" s="1"/>
      <c r="G10173" s="13"/>
      <c r="AL10173" s="13"/>
    </row>
    <row r="10174" spans="4:39" x14ac:dyDescent="0.3">
      <c r="D10174" s="1"/>
      <c r="G10174" s="13"/>
      <c r="AL10174" s="13"/>
      <c r="AM10174" s="14"/>
    </row>
    <row r="10175" spans="4:39" x14ac:dyDescent="0.3">
      <c r="D10175" s="1"/>
      <c r="G10175" s="13"/>
      <c r="AL10175" s="13"/>
      <c r="AM10175" s="14"/>
    </row>
    <row r="10176" spans="4:39" x14ac:dyDescent="0.3">
      <c r="D10176" s="1"/>
      <c r="G10176" s="13"/>
      <c r="AL10176" s="13"/>
    </row>
    <row r="10177" spans="4:39" x14ac:dyDescent="0.3">
      <c r="D10177" s="1"/>
      <c r="G10177" s="13"/>
      <c r="AL10177" s="13"/>
      <c r="AM10177" s="14"/>
    </row>
    <row r="10178" spans="4:39" x14ac:dyDescent="0.3">
      <c r="D10178" s="1"/>
      <c r="G10178" s="13"/>
      <c r="AL10178" s="13"/>
      <c r="AM10178" s="14"/>
    </row>
    <row r="10179" spans="4:39" x14ac:dyDescent="0.3">
      <c r="D10179" s="1"/>
      <c r="G10179" s="13"/>
      <c r="AL10179" s="13"/>
    </row>
    <row r="10180" spans="4:39" x14ac:dyDescent="0.3">
      <c r="D10180" s="1"/>
      <c r="G10180" s="13"/>
      <c r="AL10180" s="13"/>
      <c r="AM10180" s="14"/>
    </row>
    <row r="10181" spans="4:39" x14ac:dyDescent="0.3">
      <c r="D10181" s="1"/>
      <c r="G10181" s="13"/>
      <c r="AL10181" s="13"/>
      <c r="AM10181" s="14"/>
    </row>
    <row r="10182" spans="4:39" x14ac:dyDescent="0.3">
      <c r="D10182" s="1"/>
      <c r="G10182" s="13"/>
      <c r="AL10182" s="13"/>
      <c r="AM10182" s="14"/>
    </row>
    <row r="10183" spans="4:39" x14ac:dyDescent="0.3">
      <c r="D10183" s="1"/>
      <c r="G10183" s="13"/>
      <c r="AL10183" s="13"/>
    </row>
    <row r="10184" spans="4:39" x14ac:dyDescent="0.3">
      <c r="D10184" s="1"/>
      <c r="G10184" s="13"/>
      <c r="AL10184" s="13"/>
      <c r="AM10184" s="14"/>
    </row>
    <row r="10185" spans="4:39" x14ac:dyDescent="0.3">
      <c r="D10185" s="1"/>
      <c r="G10185" s="13"/>
      <c r="AL10185" s="13"/>
    </row>
    <row r="10186" spans="4:39" x14ac:dyDescent="0.3">
      <c r="D10186" s="1"/>
      <c r="G10186" s="13"/>
      <c r="AL10186" s="13"/>
    </row>
    <row r="10187" spans="4:39" x14ac:dyDescent="0.3">
      <c r="D10187" s="1"/>
      <c r="G10187" s="13"/>
      <c r="AL10187" s="13"/>
      <c r="AM10187" s="14"/>
    </row>
    <row r="10188" spans="4:39" x14ac:dyDescent="0.3">
      <c r="D10188" s="1"/>
      <c r="G10188" s="13"/>
      <c r="AL10188" s="13"/>
    </row>
    <row r="10189" spans="4:39" x14ac:dyDescent="0.3">
      <c r="D10189" s="1"/>
      <c r="G10189" s="13"/>
      <c r="AL10189" s="13"/>
    </row>
    <row r="10190" spans="4:39" x14ac:dyDescent="0.3">
      <c r="D10190" s="1"/>
      <c r="G10190" s="13"/>
      <c r="AL10190" s="13"/>
    </row>
    <row r="10191" spans="4:39" x14ac:dyDescent="0.3">
      <c r="D10191" s="1"/>
      <c r="G10191" s="13"/>
      <c r="AL10191" s="13"/>
    </row>
    <row r="10192" spans="4:39" x14ac:dyDescent="0.3">
      <c r="D10192" s="1"/>
      <c r="G10192" s="13"/>
      <c r="AL10192" s="13"/>
    </row>
    <row r="10193" spans="4:39" x14ac:dyDescent="0.3">
      <c r="D10193" s="1"/>
      <c r="G10193" s="13"/>
      <c r="AL10193" s="13"/>
      <c r="AM10193" s="14"/>
    </row>
    <row r="10194" spans="4:39" x14ac:dyDescent="0.3">
      <c r="D10194" s="1"/>
      <c r="G10194" s="13"/>
      <c r="AL10194" s="13"/>
    </row>
    <row r="10195" spans="4:39" x14ac:dyDescent="0.3">
      <c r="D10195" s="1"/>
      <c r="G10195" s="13"/>
      <c r="AL10195" s="13"/>
      <c r="AM10195" s="14"/>
    </row>
    <row r="10196" spans="4:39" x14ac:dyDescent="0.3">
      <c r="D10196" s="1"/>
      <c r="G10196" s="13"/>
      <c r="AL10196" s="13"/>
    </row>
    <row r="10197" spans="4:39" x14ac:dyDescent="0.3">
      <c r="D10197" s="1"/>
      <c r="G10197" s="13"/>
      <c r="AL10197" s="13"/>
    </row>
    <row r="10198" spans="4:39" x14ac:dyDescent="0.3">
      <c r="D10198" s="1"/>
      <c r="G10198" s="13"/>
      <c r="AL10198" s="13"/>
      <c r="AM10198" s="14"/>
    </row>
    <row r="10199" spans="4:39" x14ac:dyDescent="0.3">
      <c r="D10199" s="1"/>
      <c r="G10199" s="13"/>
      <c r="AL10199" s="13"/>
    </row>
    <row r="10200" spans="4:39" x14ac:dyDescent="0.3">
      <c r="D10200" s="1"/>
      <c r="G10200" s="13"/>
      <c r="AL10200" s="13"/>
    </row>
    <row r="10201" spans="4:39" x14ac:dyDescent="0.3">
      <c r="D10201" s="1"/>
      <c r="G10201" s="13"/>
      <c r="AL10201" s="13"/>
      <c r="AM10201" s="14"/>
    </row>
    <row r="10202" spans="4:39" x14ac:dyDescent="0.3">
      <c r="D10202" s="1"/>
      <c r="G10202" s="13"/>
      <c r="AL10202" s="13"/>
    </row>
    <row r="10203" spans="4:39" x14ac:dyDescent="0.3">
      <c r="D10203" s="1"/>
      <c r="G10203" s="13"/>
      <c r="AL10203" s="13"/>
      <c r="AM10203" s="14"/>
    </row>
    <row r="10204" spans="4:39" x14ac:dyDescent="0.3">
      <c r="D10204" s="1"/>
      <c r="G10204" s="13"/>
      <c r="AL10204" s="13"/>
    </row>
    <row r="10205" spans="4:39" x14ac:dyDescent="0.3">
      <c r="D10205" s="1"/>
      <c r="G10205" s="13"/>
      <c r="AL10205" s="13"/>
      <c r="AM10205" s="14"/>
    </row>
    <row r="10206" spans="4:39" x14ac:dyDescent="0.3">
      <c r="D10206" s="1"/>
      <c r="G10206" s="13"/>
      <c r="AL10206" s="13"/>
    </row>
    <row r="10207" spans="4:39" x14ac:dyDescent="0.3">
      <c r="D10207" s="1"/>
      <c r="G10207" s="13"/>
      <c r="AL10207" s="13"/>
    </row>
    <row r="10208" spans="4:39" x14ac:dyDescent="0.3">
      <c r="D10208" s="1"/>
      <c r="G10208" s="13"/>
      <c r="AL10208" s="13"/>
    </row>
    <row r="10209" spans="4:39" x14ac:dyDescent="0.3">
      <c r="D10209" s="1"/>
      <c r="G10209" s="13"/>
      <c r="AL10209" s="13"/>
      <c r="AM10209" s="14"/>
    </row>
    <row r="10210" spans="4:39" x14ac:dyDescent="0.3">
      <c r="D10210" s="1"/>
      <c r="G10210" s="13"/>
      <c r="AL10210" s="13"/>
      <c r="AM10210" s="14"/>
    </row>
    <row r="10211" spans="4:39" x14ac:dyDescent="0.3">
      <c r="D10211" s="1"/>
      <c r="G10211" s="13"/>
      <c r="AL10211" s="13"/>
    </row>
    <row r="10212" spans="4:39" x14ac:dyDescent="0.3">
      <c r="D10212" s="1"/>
      <c r="G10212" s="13"/>
      <c r="AL10212" s="13"/>
    </row>
    <row r="10213" spans="4:39" x14ac:dyDescent="0.3">
      <c r="D10213" s="1"/>
      <c r="G10213" s="13"/>
      <c r="AL10213" s="13"/>
      <c r="AM10213" s="14"/>
    </row>
    <row r="10214" spans="4:39" x14ac:dyDescent="0.3">
      <c r="D10214" s="1"/>
      <c r="G10214" s="13"/>
      <c r="AL10214" s="13"/>
      <c r="AM10214" s="14"/>
    </row>
    <row r="10215" spans="4:39" x14ac:dyDescent="0.3">
      <c r="D10215" s="1"/>
      <c r="G10215" s="13"/>
      <c r="AL10215" s="13"/>
    </row>
    <row r="10216" spans="4:39" x14ac:dyDescent="0.3">
      <c r="D10216" s="1"/>
      <c r="G10216" s="13"/>
      <c r="AL10216" s="13"/>
    </row>
    <row r="10217" spans="4:39" x14ac:dyDescent="0.3">
      <c r="D10217" s="1"/>
      <c r="G10217" s="13"/>
      <c r="AL10217" s="13"/>
    </row>
    <row r="10218" spans="4:39" x14ac:dyDescent="0.3">
      <c r="D10218" s="1"/>
      <c r="G10218" s="13"/>
      <c r="AL10218" s="13"/>
    </row>
    <row r="10219" spans="4:39" x14ac:dyDescent="0.3">
      <c r="D10219" s="1"/>
      <c r="G10219" s="13"/>
      <c r="AL10219" s="13"/>
      <c r="AM10219" s="14"/>
    </row>
    <row r="10220" spans="4:39" x14ac:dyDescent="0.3">
      <c r="D10220" s="1"/>
      <c r="G10220" s="13"/>
      <c r="AL10220" s="13"/>
    </row>
    <row r="10221" spans="4:39" x14ac:dyDescent="0.3">
      <c r="D10221" s="1"/>
      <c r="G10221" s="13"/>
      <c r="AL10221" s="13"/>
      <c r="AM10221" s="14"/>
    </row>
    <row r="10222" spans="4:39" x14ac:dyDescent="0.3">
      <c r="D10222" s="1"/>
      <c r="G10222" s="13"/>
      <c r="AL10222" s="13"/>
      <c r="AM10222" s="14"/>
    </row>
    <row r="10223" spans="4:39" x14ac:dyDescent="0.3">
      <c r="D10223" s="1"/>
      <c r="G10223" s="13"/>
      <c r="AL10223" s="13"/>
    </row>
    <row r="10224" spans="4:39" x14ac:dyDescent="0.3">
      <c r="D10224" s="1"/>
      <c r="G10224" s="13"/>
      <c r="AL10224" s="13"/>
    </row>
    <row r="10225" spans="4:39" x14ac:dyDescent="0.3">
      <c r="D10225" s="1"/>
      <c r="G10225" s="13"/>
      <c r="AL10225" s="13"/>
    </row>
    <row r="10226" spans="4:39" x14ac:dyDescent="0.3">
      <c r="D10226" s="1"/>
      <c r="G10226" s="13"/>
      <c r="AL10226" s="13"/>
    </row>
    <row r="10227" spans="4:39" x14ac:dyDescent="0.3">
      <c r="D10227" s="1"/>
      <c r="G10227" s="13"/>
      <c r="AL10227" s="13"/>
    </row>
    <row r="10228" spans="4:39" x14ac:dyDescent="0.3">
      <c r="D10228" s="1"/>
      <c r="G10228" s="13"/>
      <c r="AL10228" s="13"/>
    </row>
    <row r="10229" spans="4:39" x14ac:dyDescent="0.3">
      <c r="D10229" s="1"/>
      <c r="G10229" s="13"/>
      <c r="AL10229" s="13"/>
    </row>
    <row r="10230" spans="4:39" x14ac:dyDescent="0.3">
      <c r="D10230" s="1"/>
      <c r="G10230" s="13"/>
      <c r="AL10230" s="13"/>
    </row>
    <row r="10231" spans="4:39" x14ac:dyDescent="0.3">
      <c r="D10231" s="1"/>
      <c r="G10231" s="13"/>
      <c r="AL10231" s="13"/>
    </row>
    <row r="10232" spans="4:39" x14ac:dyDescent="0.3">
      <c r="D10232" s="1"/>
      <c r="G10232" s="13"/>
      <c r="AL10232" s="13"/>
    </row>
    <row r="10233" spans="4:39" x14ac:dyDescent="0.3">
      <c r="D10233" s="1"/>
      <c r="G10233" s="13"/>
      <c r="AL10233" s="13"/>
    </row>
    <row r="10234" spans="4:39" x14ac:dyDescent="0.3">
      <c r="D10234" s="1"/>
      <c r="G10234" s="13"/>
      <c r="AL10234" s="13"/>
    </row>
    <row r="10235" spans="4:39" x14ac:dyDescent="0.3">
      <c r="D10235" s="1"/>
      <c r="G10235" s="13"/>
      <c r="AL10235" s="13"/>
    </row>
    <row r="10236" spans="4:39" x14ac:dyDescent="0.3">
      <c r="D10236" s="1"/>
      <c r="G10236" s="13"/>
      <c r="AL10236" s="13"/>
      <c r="AM10236" s="14"/>
    </row>
    <row r="10237" spans="4:39" x14ac:dyDescent="0.3">
      <c r="D10237" s="1"/>
      <c r="G10237" s="13"/>
      <c r="AL10237" s="13"/>
      <c r="AM10237" s="14"/>
    </row>
    <row r="10238" spans="4:39" x14ac:dyDescent="0.3">
      <c r="D10238" s="1"/>
      <c r="G10238" s="13"/>
      <c r="AL10238" s="13"/>
    </row>
    <row r="10239" spans="4:39" x14ac:dyDescent="0.3">
      <c r="D10239" s="1"/>
      <c r="G10239" s="13"/>
      <c r="AL10239" s="13"/>
    </row>
    <row r="10240" spans="4:39" x14ac:dyDescent="0.3">
      <c r="D10240" s="1"/>
      <c r="G10240" s="13"/>
      <c r="AL10240" s="13"/>
    </row>
    <row r="10241" spans="4:39" x14ac:dyDescent="0.3">
      <c r="D10241" s="1"/>
      <c r="G10241" s="13"/>
      <c r="AL10241" s="13"/>
    </row>
    <row r="10242" spans="4:39" x14ac:dyDescent="0.3">
      <c r="D10242" s="1"/>
      <c r="G10242" s="13"/>
      <c r="AL10242" s="13"/>
    </row>
    <row r="10243" spans="4:39" x14ac:dyDescent="0.3">
      <c r="D10243" s="1"/>
      <c r="G10243" s="13"/>
      <c r="AL10243" s="13"/>
      <c r="AM10243" s="14"/>
    </row>
    <row r="10244" spans="4:39" x14ac:dyDescent="0.3">
      <c r="D10244" s="1"/>
      <c r="G10244" s="13"/>
      <c r="AL10244" s="13"/>
      <c r="AM10244" s="14"/>
    </row>
    <row r="10245" spans="4:39" x14ac:dyDescent="0.3">
      <c r="D10245" s="1"/>
      <c r="G10245" s="13"/>
      <c r="AL10245" s="13"/>
    </row>
    <row r="10246" spans="4:39" x14ac:dyDescent="0.3">
      <c r="D10246" s="1"/>
      <c r="G10246" s="13"/>
      <c r="AL10246" s="13"/>
    </row>
    <row r="10247" spans="4:39" x14ac:dyDescent="0.3">
      <c r="D10247" s="1"/>
      <c r="G10247" s="13"/>
      <c r="AL10247" s="13"/>
      <c r="AM10247" s="14"/>
    </row>
    <row r="10248" spans="4:39" x14ac:dyDescent="0.3">
      <c r="D10248" s="1"/>
      <c r="G10248" s="13"/>
      <c r="AL10248" s="13"/>
      <c r="AM10248" s="14"/>
    </row>
    <row r="10249" spans="4:39" x14ac:dyDescent="0.3">
      <c r="D10249" s="1"/>
      <c r="G10249" s="13"/>
      <c r="AL10249" s="13"/>
      <c r="AM10249" s="14"/>
    </row>
    <row r="10250" spans="4:39" x14ac:dyDescent="0.3">
      <c r="D10250" s="1"/>
      <c r="G10250" s="13"/>
      <c r="AL10250" s="13"/>
    </row>
    <row r="10251" spans="4:39" x14ac:dyDescent="0.3">
      <c r="D10251" s="1"/>
      <c r="G10251" s="13"/>
      <c r="AL10251" s="13"/>
    </row>
    <row r="10252" spans="4:39" x14ac:dyDescent="0.3">
      <c r="D10252" s="1"/>
      <c r="G10252" s="13"/>
      <c r="AL10252" s="13"/>
      <c r="AM10252" s="14"/>
    </row>
    <row r="10253" spans="4:39" x14ac:dyDescent="0.3">
      <c r="D10253" s="1"/>
      <c r="G10253" s="13"/>
      <c r="AL10253" s="13"/>
    </row>
    <row r="10254" spans="4:39" x14ac:dyDescent="0.3">
      <c r="D10254" s="1"/>
      <c r="G10254" s="13"/>
      <c r="AL10254" s="13"/>
    </row>
    <row r="10255" spans="4:39" x14ac:dyDescent="0.3">
      <c r="D10255" s="1"/>
      <c r="G10255" s="13"/>
      <c r="AL10255" s="13"/>
      <c r="AM10255" s="14"/>
    </row>
    <row r="10256" spans="4:39" x14ac:dyDescent="0.3">
      <c r="D10256" s="1"/>
      <c r="G10256" s="13"/>
      <c r="AL10256" s="13"/>
    </row>
    <row r="10257" spans="4:39" x14ac:dyDescent="0.3">
      <c r="D10257" s="1"/>
      <c r="G10257" s="13"/>
      <c r="AL10257" s="13"/>
    </row>
    <row r="10258" spans="4:39" x14ac:dyDescent="0.3">
      <c r="D10258" s="1"/>
      <c r="G10258" s="13"/>
      <c r="AL10258" s="13"/>
      <c r="AM10258" s="14"/>
    </row>
    <row r="10259" spans="4:39" x14ac:dyDescent="0.3">
      <c r="D10259" s="1"/>
      <c r="G10259" s="13"/>
      <c r="AL10259" s="13"/>
    </row>
    <row r="10260" spans="4:39" x14ac:dyDescent="0.3">
      <c r="D10260" s="1"/>
      <c r="G10260" s="13"/>
      <c r="AL10260" s="13"/>
    </row>
    <row r="10261" spans="4:39" x14ac:dyDescent="0.3">
      <c r="D10261" s="1"/>
      <c r="G10261" s="13"/>
      <c r="AL10261" s="13"/>
    </row>
    <row r="10262" spans="4:39" x14ac:dyDescent="0.3">
      <c r="D10262" s="1"/>
      <c r="G10262" s="13"/>
      <c r="AL10262" s="13"/>
    </row>
    <row r="10263" spans="4:39" x14ac:dyDescent="0.3">
      <c r="D10263" s="1"/>
      <c r="G10263" s="13"/>
      <c r="AL10263" s="13"/>
    </row>
    <row r="10264" spans="4:39" x14ac:dyDescent="0.3">
      <c r="D10264" s="1"/>
      <c r="G10264" s="13"/>
      <c r="AL10264" s="13"/>
    </row>
    <row r="10265" spans="4:39" x14ac:dyDescent="0.3">
      <c r="D10265" s="1"/>
      <c r="G10265" s="13"/>
      <c r="AL10265" s="13"/>
    </row>
    <row r="10266" spans="4:39" x14ac:dyDescent="0.3">
      <c r="D10266" s="1"/>
      <c r="G10266" s="13"/>
      <c r="AL10266" s="13"/>
    </row>
    <row r="10267" spans="4:39" x14ac:dyDescent="0.3">
      <c r="D10267" s="1"/>
      <c r="G10267" s="13"/>
      <c r="AL10267" s="13"/>
    </row>
    <row r="10268" spans="4:39" x14ac:dyDescent="0.3">
      <c r="D10268" s="1"/>
      <c r="G10268" s="13"/>
      <c r="AL10268" s="13"/>
    </row>
    <row r="10269" spans="4:39" x14ac:dyDescent="0.3">
      <c r="D10269" s="1"/>
      <c r="G10269" s="13"/>
      <c r="AL10269" s="13"/>
    </row>
    <row r="10270" spans="4:39" x14ac:dyDescent="0.3">
      <c r="D10270" s="1"/>
      <c r="G10270" s="13"/>
      <c r="AL10270" s="13"/>
    </row>
    <row r="10271" spans="4:39" x14ac:dyDescent="0.3">
      <c r="D10271" s="1"/>
      <c r="G10271" s="13"/>
      <c r="AL10271" s="13"/>
    </row>
    <row r="10272" spans="4:39" x14ac:dyDescent="0.3">
      <c r="D10272" s="1"/>
      <c r="G10272" s="13"/>
      <c r="AL10272" s="13"/>
    </row>
    <row r="10273" spans="4:39" x14ac:dyDescent="0.3">
      <c r="D10273" s="1"/>
      <c r="G10273" s="13"/>
      <c r="AL10273" s="13"/>
      <c r="AM10273" s="14"/>
    </row>
    <row r="10274" spans="4:39" x14ac:dyDescent="0.3">
      <c r="D10274" s="1"/>
      <c r="G10274" s="13"/>
      <c r="AL10274" s="13"/>
      <c r="AM10274" s="14"/>
    </row>
    <row r="10275" spans="4:39" x14ac:dyDescent="0.3">
      <c r="D10275" s="1"/>
      <c r="G10275" s="13"/>
      <c r="AL10275" s="13"/>
    </row>
    <row r="10276" spans="4:39" x14ac:dyDescent="0.3">
      <c r="D10276" s="1"/>
      <c r="G10276" s="13"/>
      <c r="AL10276" s="13"/>
      <c r="AM10276" s="14"/>
    </row>
    <row r="10277" spans="4:39" x14ac:dyDescent="0.3">
      <c r="D10277" s="1"/>
      <c r="G10277" s="13"/>
      <c r="AL10277" s="13"/>
      <c r="AM10277" s="14"/>
    </row>
    <row r="10278" spans="4:39" x14ac:dyDescent="0.3">
      <c r="D10278" s="1"/>
      <c r="G10278" s="13"/>
      <c r="AL10278" s="13"/>
      <c r="AM10278" s="14"/>
    </row>
    <row r="10279" spans="4:39" x14ac:dyDescent="0.3">
      <c r="D10279" s="1"/>
      <c r="G10279" s="13"/>
      <c r="AL10279" s="13"/>
      <c r="AM10279" s="14"/>
    </row>
    <row r="10280" spans="4:39" x14ac:dyDescent="0.3">
      <c r="D10280" s="1"/>
      <c r="G10280" s="13"/>
      <c r="AL10280" s="13"/>
      <c r="AM10280" s="14"/>
    </row>
    <row r="10281" spans="4:39" x14ac:dyDescent="0.3">
      <c r="D10281" s="1"/>
      <c r="G10281" s="13"/>
      <c r="AL10281" s="13"/>
      <c r="AM10281" s="14"/>
    </row>
    <row r="10282" spans="4:39" x14ac:dyDescent="0.3">
      <c r="D10282" s="1"/>
      <c r="G10282" s="13"/>
      <c r="AL10282" s="13"/>
    </row>
    <row r="10283" spans="4:39" x14ac:dyDescent="0.3">
      <c r="D10283" s="1"/>
      <c r="G10283" s="13"/>
      <c r="AL10283" s="13"/>
      <c r="AM10283" s="14"/>
    </row>
    <row r="10284" spans="4:39" x14ac:dyDescent="0.3">
      <c r="D10284" s="1"/>
      <c r="G10284" s="13"/>
      <c r="AL10284" s="13"/>
    </row>
    <row r="10285" spans="4:39" x14ac:dyDescent="0.3">
      <c r="D10285" s="1"/>
      <c r="G10285" s="13"/>
      <c r="AL10285" s="13"/>
    </row>
    <row r="10286" spans="4:39" x14ac:dyDescent="0.3">
      <c r="D10286" s="1"/>
      <c r="G10286" s="13"/>
      <c r="AL10286" s="13"/>
    </row>
    <row r="10287" spans="4:39" x14ac:dyDescent="0.3">
      <c r="D10287" s="1"/>
      <c r="G10287" s="13"/>
      <c r="AL10287" s="13"/>
      <c r="AM10287" s="14"/>
    </row>
    <row r="10288" spans="4:39" x14ac:dyDescent="0.3">
      <c r="D10288" s="1"/>
      <c r="G10288" s="13"/>
      <c r="AL10288" s="13"/>
    </row>
    <row r="10289" spans="4:39" x14ac:dyDescent="0.3">
      <c r="D10289" s="1"/>
      <c r="G10289" s="13"/>
      <c r="AL10289" s="13"/>
    </row>
    <row r="10290" spans="4:39" x14ac:dyDescent="0.3">
      <c r="D10290" s="1"/>
      <c r="G10290" s="13"/>
      <c r="AL10290" s="13"/>
      <c r="AM10290" s="14"/>
    </row>
    <row r="10291" spans="4:39" x14ac:dyDescent="0.3">
      <c r="D10291" s="1"/>
      <c r="G10291" s="13"/>
      <c r="AL10291" s="13"/>
    </row>
    <row r="10292" spans="4:39" x14ac:dyDescent="0.3">
      <c r="D10292" s="1"/>
      <c r="G10292" s="13"/>
      <c r="AL10292" s="13"/>
    </row>
    <row r="10293" spans="4:39" x14ac:dyDescent="0.3">
      <c r="D10293" s="1"/>
      <c r="G10293" s="13"/>
      <c r="AL10293" s="13"/>
      <c r="AM10293" s="14"/>
    </row>
    <row r="10294" spans="4:39" x14ac:dyDescent="0.3">
      <c r="D10294" s="1"/>
      <c r="G10294" s="13"/>
      <c r="AL10294" s="13"/>
      <c r="AM10294" s="14"/>
    </row>
    <row r="10295" spans="4:39" x14ac:dyDescent="0.3">
      <c r="D10295" s="1"/>
      <c r="G10295" s="13"/>
      <c r="AL10295" s="13"/>
      <c r="AM10295" s="14"/>
    </row>
    <row r="10296" spans="4:39" x14ac:dyDescent="0.3">
      <c r="D10296" s="1"/>
      <c r="G10296" s="13"/>
      <c r="AL10296" s="13"/>
      <c r="AM10296" s="14"/>
    </row>
    <row r="10297" spans="4:39" x14ac:dyDescent="0.3">
      <c r="D10297" s="1"/>
      <c r="G10297" s="13"/>
      <c r="AL10297" s="13"/>
    </row>
    <row r="10298" spans="4:39" x14ac:dyDescent="0.3">
      <c r="D10298" s="1"/>
      <c r="G10298" s="13"/>
      <c r="AL10298" s="13"/>
      <c r="AM10298" s="14"/>
    </row>
    <row r="10299" spans="4:39" x14ac:dyDescent="0.3">
      <c r="D10299" s="1"/>
      <c r="G10299" s="13"/>
      <c r="AL10299" s="13"/>
    </row>
    <row r="10300" spans="4:39" x14ac:dyDescent="0.3">
      <c r="D10300" s="1"/>
      <c r="G10300" s="13"/>
      <c r="AL10300" s="13"/>
    </row>
    <row r="10301" spans="4:39" x14ac:dyDescent="0.3">
      <c r="D10301" s="1"/>
      <c r="G10301" s="13"/>
      <c r="AL10301" s="13"/>
      <c r="AM10301" s="14"/>
    </row>
    <row r="10302" spans="4:39" x14ac:dyDescent="0.3">
      <c r="D10302" s="1"/>
      <c r="G10302" s="13"/>
      <c r="AL10302" s="13"/>
      <c r="AM10302" s="14"/>
    </row>
    <row r="10303" spans="4:39" x14ac:dyDescent="0.3">
      <c r="D10303" s="1"/>
      <c r="G10303" s="13"/>
      <c r="AL10303" s="13"/>
      <c r="AM10303" s="14"/>
    </row>
    <row r="10304" spans="4:39" x14ac:dyDescent="0.3">
      <c r="D10304" s="1"/>
      <c r="G10304" s="13"/>
      <c r="AL10304" s="13"/>
      <c r="AM10304" s="14"/>
    </row>
    <row r="10305" spans="4:39" x14ac:dyDescent="0.3">
      <c r="D10305" s="1"/>
      <c r="G10305" s="13"/>
      <c r="AL10305" s="13"/>
    </row>
    <row r="10306" spans="4:39" x14ac:dyDescent="0.3">
      <c r="D10306" s="1"/>
      <c r="G10306" s="13"/>
      <c r="AL10306" s="13"/>
    </row>
    <row r="10307" spans="4:39" x14ac:dyDescent="0.3">
      <c r="D10307" s="1"/>
      <c r="G10307" s="13"/>
      <c r="AL10307" s="13"/>
    </row>
    <row r="10308" spans="4:39" x14ac:dyDescent="0.3">
      <c r="D10308" s="1"/>
      <c r="G10308" s="13"/>
      <c r="AL10308" s="13"/>
    </row>
    <row r="10309" spans="4:39" x14ac:dyDescent="0.3">
      <c r="D10309" s="1"/>
      <c r="G10309" s="13"/>
      <c r="AL10309" s="13"/>
    </row>
    <row r="10310" spans="4:39" x14ac:dyDescent="0.3">
      <c r="D10310" s="1"/>
      <c r="G10310" s="13"/>
      <c r="AL10310" s="13"/>
    </row>
    <row r="10311" spans="4:39" x14ac:dyDescent="0.3">
      <c r="D10311" s="1"/>
      <c r="G10311" s="13"/>
      <c r="AL10311" s="13"/>
    </row>
    <row r="10312" spans="4:39" x14ac:dyDescent="0.3">
      <c r="D10312" s="1"/>
      <c r="G10312" s="13"/>
      <c r="AL10312" s="13"/>
    </row>
    <row r="10313" spans="4:39" x14ac:dyDescent="0.3">
      <c r="D10313" s="1"/>
      <c r="G10313" s="13"/>
      <c r="AL10313" s="13"/>
    </row>
    <row r="10314" spans="4:39" x14ac:dyDescent="0.3">
      <c r="D10314" s="1"/>
      <c r="G10314" s="13"/>
      <c r="AL10314" s="13"/>
    </row>
    <row r="10315" spans="4:39" x14ac:dyDescent="0.3">
      <c r="D10315" s="1"/>
      <c r="G10315" s="13"/>
      <c r="AL10315" s="13"/>
    </row>
    <row r="10316" spans="4:39" x14ac:dyDescent="0.3">
      <c r="D10316" s="1"/>
      <c r="G10316" s="13"/>
      <c r="AL10316" s="13"/>
    </row>
    <row r="10317" spans="4:39" x14ac:dyDescent="0.3">
      <c r="D10317" s="1"/>
      <c r="G10317" s="13"/>
      <c r="AL10317" s="13"/>
    </row>
    <row r="10318" spans="4:39" x14ac:dyDescent="0.3">
      <c r="D10318" s="1"/>
      <c r="G10318" s="13"/>
      <c r="AL10318" s="13"/>
    </row>
    <row r="10319" spans="4:39" x14ac:dyDescent="0.3">
      <c r="D10319" s="1"/>
      <c r="G10319" s="13"/>
      <c r="AL10319" s="13"/>
      <c r="AM10319" s="14"/>
    </row>
    <row r="10320" spans="4:39" x14ac:dyDescent="0.3">
      <c r="D10320" s="1"/>
      <c r="G10320" s="13"/>
      <c r="AL10320" s="13"/>
    </row>
    <row r="10321" spans="4:39" x14ac:dyDescent="0.3">
      <c r="D10321" s="1"/>
      <c r="G10321" s="13"/>
      <c r="AL10321" s="13"/>
      <c r="AM10321" s="14"/>
    </row>
    <row r="10322" spans="4:39" x14ac:dyDescent="0.3">
      <c r="D10322" s="1"/>
      <c r="G10322" s="13"/>
      <c r="AL10322" s="13"/>
      <c r="AM10322" s="14"/>
    </row>
    <row r="10323" spans="4:39" x14ac:dyDescent="0.3">
      <c r="D10323" s="1"/>
      <c r="G10323" s="13"/>
      <c r="AL10323" s="13"/>
    </row>
    <row r="10324" spans="4:39" x14ac:dyDescent="0.3">
      <c r="D10324" s="1"/>
      <c r="G10324" s="13"/>
      <c r="AL10324" s="13"/>
    </row>
    <row r="10325" spans="4:39" x14ac:dyDescent="0.3">
      <c r="D10325" s="1"/>
      <c r="G10325" s="13"/>
      <c r="AL10325" s="13"/>
      <c r="AM10325" s="14"/>
    </row>
    <row r="10326" spans="4:39" x14ac:dyDescent="0.3">
      <c r="D10326" s="1"/>
      <c r="G10326" s="13"/>
      <c r="AL10326" s="13"/>
    </row>
    <row r="10327" spans="4:39" x14ac:dyDescent="0.3">
      <c r="D10327" s="1"/>
      <c r="G10327" s="13"/>
      <c r="AL10327" s="13"/>
      <c r="AM10327" s="14"/>
    </row>
    <row r="10328" spans="4:39" x14ac:dyDescent="0.3">
      <c r="D10328" s="1"/>
      <c r="G10328" s="13"/>
      <c r="AL10328" s="13"/>
    </row>
    <row r="10329" spans="4:39" x14ac:dyDescent="0.3">
      <c r="D10329" s="1"/>
      <c r="G10329" s="13"/>
      <c r="AL10329" s="13"/>
      <c r="AM10329" s="14"/>
    </row>
    <row r="10330" spans="4:39" x14ac:dyDescent="0.3">
      <c r="D10330" s="1"/>
      <c r="G10330" s="13"/>
      <c r="AL10330" s="13"/>
    </row>
    <row r="10331" spans="4:39" x14ac:dyDescent="0.3">
      <c r="D10331" s="1"/>
      <c r="G10331" s="13"/>
      <c r="AL10331" s="13"/>
    </row>
    <row r="10332" spans="4:39" x14ac:dyDescent="0.3">
      <c r="D10332" s="1"/>
      <c r="G10332" s="13"/>
      <c r="AL10332" s="13"/>
    </row>
    <row r="10333" spans="4:39" x14ac:dyDescent="0.3">
      <c r="D10333" s="1"/>
      <c r="G10333" s="13"/>
      <c r="AL10333" s="13"/>
    </row>
    <row r="10334" spans="4:39" x14ac:dyDescent="0.3">
      <c r="D10334" s="1"/>
      <c r="G10334" s="13"/>
      <c r="AL10334" s="13"/>
    </row>
    <row r="10335" spans="4:39" x14ac:dyDescent="0.3">
      <c r="D10335" s="1"/>
      <c r="G10335" s="13"/>
      <c r="AL10335" s="13"/>
    </row>
    <row r="10336" spans="4:39" x14ac:dyDescent="0.3">
      <c r="D10336" s="1"/>
      <c r="G10336" s="13"/>
      <c r="AL10336" s="13"/>
    </row>
    <row r="10337" spans="4:39" x14ac:dyDescent="0.3">
      <c r="D10337" s="1"/>
      <c r="G10337" s="13"/>
      <c r="AL10337" s="13"/>
    </row>
    <row r="10338" spans="4:39" x14ac:dyDescent="0.3">
      <c r="D10338" s="1"/>
      <c r="G10338" s="13"/>
      <c r="AL10338" s="13"/>
    </row>
    <row r="10339" spans="4:39" x14ac:dyDescent="0.3">
      <c r="D10339" s="1"/>
      <c r="G10339" s="13"/>
      <c r="AL10339" s="13"/>
      <c r="AM10339" s="14"/>
    </row>
    <row r="10340" spans="4:39" x14ac:dyDescent="0.3">
      <c r="D10340" s="1"/>
      <c r="G10340" s="13"/>
      <c r="AL10340" s="13"/>
    </row>
    <row r="10341" spans="4:39" x14ac:dyDescent="0.3">
      <c r="D10341" s="1"/>
      <c r="G10341" s="13"/>
      <c r="AL10341" s="13"/>
      <c r="AM10341" s="14"/>
    </row>
    <row r="10342" spans="4:39" x14ac:dyDescent="0.3">
      <c r="D10342" s="1"/>
      <c r="G10342" s="13"/>
      <c r="AL10342" s="13"/>
    </row>
    <row r="10343" spans="4:39" x14ac:dyDescent="0.3">
      <c r="D10343" s="1"/>
      <c r="G10343" s="13"/>
      <c r="AL10343" s="13"/>
      <c r="AM10343" s="14"/>
    </row>
    <row r="10344" spans="4:39" x14ac:dyDescent="0.3">
      <c r="D10344" s="1"/>
      <c r="G10344" s="13"/>
      <c r="AL10344" s="13"/>
    </row>
    <row r="10345" spans="4:39" x14ac:dyDescent="0.3">
      <c r="D10345" s="1"/>
      <c r="G10345" s="13"/>
      <c r="AL10345" s="13"/>
    </row>
    <row r="10346" spans="4:39" x14ac:dyDescent="0.3">
      <c r="D10346" s="1"/>
      <c r="G10346" s="13"/>
      <c r="AL10346" s="13"/>
    </row>
    <row r="10347" spans="4:39" x14ac:dyDescent="0.3">
      <c r="D10347" s="1"/>
      <c r="G10347" s="13"/>
      <c r="AL10347" s="13"/>
    </row>
    <row r="10348" spans="4:39" x14ac:dyDescent="0.3">
      <c r="D10348" s="1"/>
      <c r="G10348" s="13"/>
      <c r="AL10348" s="13"/>
    </row>
    <row r="10349" spans="4:39" x14ac:dyDescent="0.3">
      <c r="D10349" s="1"/>
      <c r="G10349" s="13"/>
      <c r="AL10349" s="13"/>
    </row>
    <row r="10350" spans="4:39" x14ac:dyDescent="0.3">
      <c r="D10350" s="1"/>
      <c r="G10350" s="13"/>
      <c r="AL10350" s="13"/>
    </row>
    <row r="10351" spans="4:39" x14ac:dyDescent="0.3">
      <c r="D10351" s="1"/>
      <c r="G10351" s="13"/>
      <c r="AL10351" s="13"/>
    </row>
    <row r="10352" spans="4:39" x14ac:dyDescent="0.3">
      <c r="D10352" s="1"/>
      <c r="G10352" s="13"/>
      <c r="AL10352" s="13"/>
      <c r="AM10352" s="14"/>
    </row>
    <row r="10353" spans="4:39" x14ac:dyDescent="0.3">
      <c r="D10353" s="1"/>
      <c r="G10353" s="13"/>
      <c r="AL10353" s="13"/>
    </row>
    <row r="10354" spans="4:39" x14ac:dyDescent="0.3">
      <c r="D10354" s="1"/>
      <c r="G10354" s="13"/>
      <c r="AL10354" s="13"/>
    </row>
    <row r="10355" spans="4:39" x14ac:dyDescent="0.3">
      <c r="D10355" s="1"/>
      <c r="G10355" s="13"/>
      <c r="AL10355" s="13"/>
    </row>
    <row r="10356" spans="4:39" x14ac:dyDescent="0.3">
      <c r="D10356" s="1"/>
      <c r="G10356" s="13"/>
      <c r="AL10356" s="13"/>
    </row>
    <row r="10357" spans="4:39" x14ac:dyDescent="0.3">
      <c r="D10357" s="1"/>
      <c r="G10357" s="13"/>
      <c r="AL10357" s="13"/>
    </row>
    <row r="10358" spans="4:39" x14ac:dyDescent="0.3">
      <c r="D10358" s="1"/>
      <c r="G10358" s="13"/>
      <c r="AL10358" s="13"/>
    </row>
    <row r="10359" spans="4:39" x14ac:dyDescent="0.3">
      <c r="D10359" s="1"/>
      <c r="G10359" s="13"/>
      <c r="AL10359" s="13"/>
    </row>
    <row r="10360" spans="4:39" x14ac:dyDescent="0.3">
      <c r="D10360" s="1"/>
      <c r="G10360" s="13"/>
      <c r="AL10360" s="13"/>
    </row>
    <row r="10361" spans="4:39" x14ac:dyDescent="0.3">
      <c r="D10361" s="1"/>
      <c r="G10361" s="13"/>
      <c r="AL10361" s="13"/>
    </row>
    <row r="10362" spans="4:39" x14ac:dyDescent="0.3">
      <c r="D10362" s="1"/>
      <c r="G10362" s="13"/>
      <c r="AL10362" s="13"/>
    </row>
    <row r="10363" spans="4:39" x14ac:dyDescent="0.3">
      <c r="D10363" s="1"/>
      <c r="G10363" s="13"/>
      <c r="AL10363" s="13"/>
    </row>
    <row r="10364" spans="4:39" x14ac:dyDescent="0.3">
      <c r="D10364" s="1"/>
      <c r="G10364" s="13"/>
      <c r="AL10364" s="13"/>
    </row>
    <row r="10365" spans="4:39" x14ac:dyDescent="0.3">
      <c r="D10365" s="1"/>
      <c r="G10365" s="13"/>
      <c r="AL10365" s="13"/>
    </row>
    <row r="10366" spans="4:39" x14ac:dyDescent="0.3">
      <c r="D10366" s="1"/>
      <c r="G10366" s="13"/>
      <c r="AL10366" s="13"/>
      <c r="AM10366" s="14"/>
    </row>
    <row r="10367" spans="4:39" x14ac:dyDescent="0.3">
      <c r="D10367" s="1"/>
      <c r="G10367" s="13"/>
      <c r="AL10367" s="13"/>
    </row>
    <row r="10368" spans="4:39" x14ac:dyDescent="0.3">
      <c r="D10368" s="1"/>
      <c r="G10368" s="13"/>
      <c r="AL10368" s="13"/>
    </row>
    <row r="10369" spans="4:38" x14ac:dyDescent="0.3">
      <c r="D10369" s="1"/>
      <c r="G10369" s="13"/>
      <c r="AL10369" s="13"/>
    </row>
    <row r="10370" spans="4:38" x14ac:dyDescent="0.3">
      <c r="D10370" s="1"/>
      <c r="G10370" s="13"/>
      <c r="AL10370" s="13"/>
    </row>
    <row r="10371" spans="4:38" x14ac:dyDescent="0.3">
      <c r="D10371" s="1"/>
      <c r="G10371" s="13"/>
      <c r="AL10371" s="13"/>
    </row>
    <row r="10372" spans="4:38" x14ac:dyDescent="0.3">
      <c r="D10372" s="1"/>
      <c r="G10372" s="13"/>
      <c r="AL10372" s="13"/>
    </row>
    <row r="10373" spans="4:38" x14ac:dyDescent="0.3">
      <c r="D10373" s="1"/>
      <c r="G10373" s="13"/>
      <c r="AL10373" s="13"/>
    </row>
    <row r="10374" spans="4:38" x14ac:dyDescent="0.3">
      <c r="D10374" s="1"/>
      <c r="G10374" s="13"/>
      <c r="AL10374" s="13"/>
    </row>
    <row r="10375" spans="4:38" x14ac:dyDescent="0.3">
      <c r="D10375" s="1"/>
      <c r="G10375" s="13"/>
      <c r="AL10375" s="13"/>
    </row>
    <row r="10376" spans="4:38" x14ac:dyDescent="0.3">
      <c r="D10376" s="1"/>
      <c r="G10376" s="13"/>
      <c r="AL10376" s="13"/>
    </row>
    <row r="10377" spans="4:38" x14ac:dyDescent="0.3">
      <c r="D10377" s="1"/>
      <c r="G10377" s="13"/>
      <c r="AL10377" s="13"/>
    </row>
    <row r="10378" spans="4:38" x14ac:dyDescent="0.3">
      <c r="D10378" s="1"/>
      <c r="G10378" s="13"/>
      <c r="AL10378" s="13"/>
    </row>
    <row r="10379" spans="4:38" x14ac:dyDescent="0.3">
      <c r="D10379" s="1"/>
      <c r="G10379" s="13"/>
      <c r="AL10379" s="13"/>
    </row>
    <row r="10380" spans="4:38" x14ac:dyDescent="0.3">
      <c r="D10380" s="1"/>
      <c r="G10380" s="13"/>
      <c r="AL10380" s="13"/>
    </row>
    <row r="10381" spans="4:38" x14ac:dyDescent="0.3">
      <c r="D10381" s="1"/>
      <c r="G10381" s="13"/>
      <c r="AL10381" s="13"/>
    </row>
    <row r="10382" spans="4:38" x14ac:dyDescent="0.3">
      <c r="D10382" s="1"/>
      <c r="G10382" s="13"/>
      <c r="AL10382" s="13"/>
    </row>
    <row r="10383" spans="4:38" x14ac:dyDescent="0.3">
      <c r="D10383" s="1"/>
      <c r="G10383" s="13"/>
      <c r="AL10383" s="13"/>
    </row>
    <row r="10384" spans="4:38" x14ac:dyDescent="0.3">
      <c r="D10384" s="1"/>
      <c r="G10384" s="13"/>
      <c r="AL10384" s="13"/>
    </row>
    <row r="10385" spans="4:39" x14ac:dyDescent="0.3">
      <c r="D10385" s="1"/>
      <c r="G10385" s="13"/>
      <c r="AL10385" s="13"/>
    </row>
    <row r="10386" spans="4:39" x14ac:dyDescent="0.3">
      <c r="D10386" s="1"/>
      <c r="G10386" s="13"/>
      <c r="AL10386" s="13"/>
    </row>
    <row r="10387" spans="4:39" x14ac:dyDescent="0.3">
      <c r="D10387" s="1"/>
      <c r="G10387" s="13"/>
      <c r="AL10387" s="13"/>
      <c r="AM10387" s="14"/>
    </row>
    <row r="10388" spans="4:39" x14ac:dyDescent="0.3">
      <c r="D10388" s="1"/>
      <c r="G10388" s="13"/>
      <c r="AL10388" s="13"/>
      <c r="AM10388" s="14"/>
    </row>
    <row r="10389" spans="4:39" x14ac:dyDescent="0.3">
      <c r="D10389" s="1"/>
      <c r="G10389" s="13"/>
      <c r="AL10389" s="13"/>
      <c r="AM10389" s="14"/>
    </row>
    <row r="10390" spans="4:39" x14ac:dyDescent="0.3">
      <c r="D10390" s="1"/>
      <c r="G10390" s="13"/>
      <c r="AL10390" s="13"/>
    </row>
    <row r="10391" spans="4:39" x14ac:dyDescent="0.3">
      <c r="D10391" s="1"/>
      <c r="G10391" s="13"/>
      <c r="AL10391" s="13"/>
    </row>
    <row r="10392" spans="4:39" x14ac:dyDescent="0.3">
      <c r="D10392" s="1"/>
      <c r="G10392" s="13"/>
      <c r="AL10392" s="13"/>
    </row>
    <row r="10393" spans="4:39" x14ac:dyDescent="0.3">
      <c r="D10393" s="1"/>
      <c r="G10393" s="13"/>
      <c r="AL10393" s="13"/>
    </row>
    <row r="10394" spans="4:39" x14ac:dyDescent="0.3">
      <c r="D10394" s="1"/>
      <c r="G10394" s="13"/>
      <c r="AL10394" s="13"/>
    </row>
    <row r="10395" spans="4:39" x14ac:dyDescent="0.3">
      <c r="D10395" s="1"/>
      <c r="G10395" s="13"/>
      <c r="AL10395" s="13"/>
    </row>
    <row r="10396" spans="4:39" x14ac:dyDescent="0.3">
      <c r="D10396" s="1"/>
      <c r="G10396" s="13"/>
      <c r="AL10396" s="13"/>
    </row>
    <row r="10397" spans="4:39" x14ac:dyDescent="0.3">
      <c r="D10397" s="1"/>
      <c r="G10397" s="13"/>
      <c r="AL10397" s="13"/>
    </row>
    <row r="10398" spans="4:39" x14ac:dyDescent="0.3">
      <c r="D10398" s="1"/>
      <c r="G10398" s="13"/>
      <c r="AL10398" s="13"/>
    </row>
    <row r="10399" spans="4:39" x14ac:dyDescent="0.3">
      <c r="D10399" s="1"/>
      <c r="G10399" s="13"/>
      <c r="AL10399" s="13"/>
    </row>
    <row r="10400" spans="4:39" x14ac:dyDescent="0.3">
      <c r="D10400" s="1"/>
      <c r="G10400" s="13"/>
      <c r="AL10400" s="13"/>
    </row>
    <row r="10401" spans="4:38" x14ac:dyDescent="0.3">
      <c r="D10401" s="1"/>
      <c r="G10401" s="13"/>
      <c r="AL10401" s="13"/>
    </row>
    <row r="10402" spans="4:38" x14ac:dyDescent="0.3">
      <c r="D10402" s="1"/>
      <c r="G10402" s="13"/>
      <c r="AL10402" s="13"/>
    </row>
    <row r="10403" spans="4:38" x14ac:dyDescent="0.3">
      <c r="D10403" s="1"/>
      <c r="G10403" s="13"/>
      <c r="AL10403" s="13"/>
    </row>
    <row r="10404" spans="4:38" x14ac:dyDescent="0.3">
      <c r="D10404" s="1"/>
      <c r="G10404" s="13"/>
      <c r="AL10404" s="13"/>
    </row>
    <row r="10405" spans="4:38" x14ac:dyDescent="0.3">
      <c r="D10405" s="1"/>
      <c r="G10405" s="13"/>
      <c r="AL10405" s="13"/>
    </row>
    <row r="10406" spans="4:38" x14ac:dyDescent="0.3">
      <c r="D10406" s="1"/>
      <c r="G10406" s="13"/>
      <c r="AL10406" s="13"/>
    </row>
    <row r="10407" spans="4:38" x14ac:dyDescent="0.3">
      <c r="D10407" s="1"/>
      <c r="G10407" s="13"/>
      <c r="AL10407" s="13"/>
    </row>
    <row r="10408" spans="4:38" x14ac:dyDescent="0.3">
      <c r="D10408" s="1"/>
      <c r="G10408" s="13"/>
      <c r="AL10408" s="13"/>
    </row>
    <row r="10409" spans="4:38" x14ac:dyDescent="0.3">
      <c r="D10409" s="1"/>
      <c r="G10409" s="13"/>
      <c r="AL10409" s="13"/>
    </row>
    <row r="10410" spans="4:38" x14ac:dyDescent="0.3">
      <c r="D10410" s="1"/>
      <c r="G10410" s="13"/>
      <c r="AL10410" s="13"/>
    </row>
    <row r="10411" spans="4:38" x14ac:dyDescent="0.3">
      <c r="D10411" s="1"/>
      <c r="G10411" s="13"/>
      <c r="AL10411" s="13"/>
    </row>
    <row r="10412" spans="4:38" x14ac:dyDescent="0.3">
      <c r="D10412" s="1"/>
      <c r="G10412" s="13"/>
      <c r="AL10412" s="13"/>
    </row>
    <row r="10413" spans="4:38" x14ac:dyDescent="0.3">
      <c r="D10413" s="1"/>
      <c r="G10413" s="13"/>
      <c r="AL10413" s="13"/>
    </row>
    <row r="10414" spans="4:38" x14ac:dyDescent="0.3">
      <c r="D10414" s="1"/>
      <c r="G10414" s="13"/>
      <c r="AL10414" s="13"/>
    </row>
    <row r="10415" spans="4:38" x14ac:dyDescent="0.3">
      <c r="D10415" s="1"/>
      <c r="G10415" s="13"/>
      <c r="AL10415" s="13"/>
    </row>
    <row r="10416" spans="4:38" x14ac:dyDescent="0.3">
      <c r="D10416" s="1"/>
      <c r="G10416" s="13"/>
      <c r="AL10416" s="13"/>
    </row>
    <row r="10417" spans="4:39" x14ac:dyDescent="0.3">
      <c r="D10417" s="1"/>
      <c r="G10417" s="13"/>
      <c r="AL10417" s="13"/>
    </row>
    <row r="10418" spans="4:39" x14ac:dyDescent="0.3">
      <c r="D10418" s="1"/>
      <c r="G10418" s="13"/>
      <c r="AL10418" s="13"/>
      <c r="AM10418" s="14"/>
    </row>
    <row r="10419" spans="4:39" x14ac:dyDescent="0.3">
      <c r="D10419" s="1"/>
      <c r="G10419" s="13"/>
      <c r="AL10419" s="13"/>
    </row>
    <row r="10420" spans="4:39" x14ac:dyDescent="0.3">
      <c r="D10420" s="1"/>
      <c r="G10420" s="13"/>
      <c r="AL10420" s="13"/>
      <c r="AM10420" s="14"/>
    </row>
    <row r="10421" spans="4:39" x14ac:dyDescent="0.3">
      <c r="D10421" s="1"/>
      <c r="G10421" s="13"/>
      <c r="AL10421" s="13"/>
    </row>
    <row r="10422" spans="4:39" x14ac:dyDescent="0.3">
      <c r="D10422" s="1"/>
      <c r="G10422" s="13"/>
      <c r="AL10422" s="13"/>
    </row>
    <row r="10423" spans="4:39" x14ac:dyDescent="0.3">
      <c r="D10423" s="1"/>
      <c r="G10423" s="13"/>
      <c r="AL10423" s="13"/>
    </row>
    <row r="10424" spans="4:39" x14ac:dyDescent="0.3">
      <c r="D10424" s="1"/>
      <c r="G10424" s="13"/>
      <c r="AL10424" s="13"/>
    </row>
    <row r="10425" spans="4:39" x14ac:dyDescent="0.3">
      <c r="D10425" s="1"/>
      <c r="G10425" s="13"/>
      <c r="AL10425" s="13"/>
    </row>
    <row r="10426" spans="4:39" x14ac:dyDescent="0.3">
      <c r="D10426" s="1"/>
      <c r="G10426" s="13"/>
      <c r="AL10426" s="13"/>
    </row>
    <row r="10427" spans="4:39" x14ac:dyDescent="0.3">
      <c r="D10427" s="1"/>
      <c r="G10427" s="13"/>
      <c r="AL10427" s="13"/>
    </row>
    <row r="10428" spans="4:39" x14ac:dyDescent="0.3">
      <c r="D10428" s="1"/>
      <c r="G10428" s="13"/>
      <c r="AL10428" s="13"/>
    </row>
    <row r="10429" spans="4:39" x14ac:dyDescent="0.3">
      <c r="D10429" s="1"/>
      <c r="G10429" s="13"/>
      <c r="AL10429" s="13"/>
    </row>
    <row r="10430" spans="4:39" x14ac:dyDescent="0.3">
      <c r="D10430" s="1"/>
      <c r="G10430" s="13"/>
      <c r="AL10430" s="13"/>
    </row>
    <row r="10431" spans="4:39" x14ac:dyDescent="0.3">
      <c r="D10431" s="1"/>
      <c r="G10431" s="13"/>
      <c r="AL10431" s="13"/>
    </row>
    <row r="10432" spans="4:39" x14ac:dyDescent="0.3">
      <c r="D10432" s="1"/>
      <c r="G10432" s="13"/>
      <c r="AL10432" s="13"/>
    </row>
    <row r="10433" spans="4:38" x14ac:dyDescent="0.3">
      <c r="D10433" s="1"/>
      <c r="G10433" s="13"/>
      <c r="AL10433" s="13"/>
    </row>
    <row r="10434" spans="4:38" x14ac:dyDescent="0.3">
      <c r="D10434" s="1"/>
      <c r="G10434" s="13"/>
      <c r="AL10434" s="13"/>
    </row>
    <row r="10435" spans="4:38" x14ac:dyDescent="0.3">
      <c r="D10435" s="1"/>
      <c r="G10435" s="13"/>
      <c r="AL10435" s="13"/>
    </row>
    <row r="10436" spans="4:38" x14ac:dyDescent="0.3">
      <c r="D10436" s="1"/>
      <c r="G10436" s="13"/>
      <c r="AL10436" s="13"/>
    </row>
    <row r="10437" spans="4:38" x14ac:dyDescent="0.3">
      <c r="D10437" s="1"/>
      <c r="G10437" s="13"/>
      <c r="AL10437" s="13"/>
    </row>
    <row r="10438" spans="4:38" x14ac:dyDescent="0.3">
      <c r="D10438" s="1"/>
      <c r="G10438" s="13"/>
      <c r="AL10438" s="13"/>
    </row>
    <row r="10439" spans="4:38" x14ac:dyDescent="0.3">
      <c r="D10439" s="1"/>
      <c r="G10439" s="13"/>
      <c r="AL10439" s="13"/>
    </row>
    <row r="10440" spans="4:38" x14ac:dyDescent="0.3">
      <c r="D10440" s="1"/>
      <c r="G10440" s="13"/>
      <c r="AL10440" s="13"/>
    </row>
    <row r="10441" spans="4:38" x14ac:dyDescent="0.3">
      <c r="D10441" s="1"/>
      <c r="G10441" s="13"/>
      <c r="AL10441" s="13"/>
    </row>
    <row r="10442" spans="4:38" x14ac:dyDescent="0.3">
      <c r="D10442" s="1"/>
      <c r="G10442" s="13"/>
      <c r="AL10442" s="13"/>
    </row>
    <row r="10443" spans="4:38" x14ac:dyDescent="0.3">
      <c r="D10443" s="1"/>
      <c r="G10443" s="13"/>
      <c r="AL10443" s="13"/>
    </row>
    <row r="10444" spans="4:38" x14ac:dyDescent="0.3">
      <c r="D10444" s="1"/>
      <c r="G10444" s="13"/>
      <c r="AL10444" s="13"/>
    </row>
    <row r="10445" spans="4:38" x14ac:dyDescent="0.3">
      <c r="D10445" s="1"/>
      <c r="G10445" s="13"/>
      <c r="AL10445" s="13"/>
    </row>
    <row r="10446" spans="4:38" x14ac:dyDescent="0.3">
      <c r="D10446" s="1"/>
      <c r="G10446" s="13"/>
      <c r="AL10446" s="13"/>
    </row>
    <row r="10447" spans="4:38" x14ac:dyDescent="0.3">
      <c r="D10447" s="1"/>
      <c r="G10447" s="13"/>
      <c r="AL10447" s="13"/>
    </row>
    <row r="10448" spans="4:38" x14ac:dyDescent="0.3">
      <c r="D10448" s="1"/>
      <c r="G10448" s="13"/>
      <c r="AL10448" s="13"/>
    </row>
    <row r="10449" spans="4:38" x14ac:dyDescent="0.3">
      <c r="D10449" s="1"/>
      <c r="G10449" s="13"/>
      <c r="AL10449" s="13"/>
    </row>
    <row r="10450" spans="4:38" x14ac:dyDescent="0.3">
      <c r="D10450" s="1"/>
      <c r="G10450" s="13"/>
      <c r="AL10450" s="13"/>
    </row>
    <row r="10451" spans="4:38" x14ac:dyDescent="0.3">
      <c r="D10451" s="1"/>
      <c r="G10451" s="13"/>
      <c r="AL10451" s="13"/>
    </row>
    <row r="10452" spans="4:38" x14ac:dyDescent="0.3">
      <c r="D10452" s="1"/>
      <c r="G10452" s="13"/>
      <c r="AL10452" s="13"/>
    </row>
    <row r="10453" spans="4:38" x14ac:dyDescent="0.3">
      <c r="D10453" s="1"/>
      <c r="G10453" s="13"/>
      <c r="AL10453" s="13"/>
    </row>
    <row r="10454" spans="4:38" x14ac:dyDescent="0.3">
      <c r="D10454" s="1"/>
      <c r="G10454" s="13"/>
      <c r="AL10454" s="13"/>
    </row>
    <row r="10455" spans="4:38" x14ac:dyDescent="0.3">
      <c r="D10455" s="1"/>
      <c r="G10455" s="13"/>
      <c r="AL10455" s="13"/>
    </row>
    <row r="10456" spans="4:38" x14ac:dyDescent="0.3">
      <c r="D10456" s="1"/>
      <c r="G10456" s="13"/>
      <c r="AL10456" s="13"/>
    </row>
    <row r="10457" spans="4:38" x14ac:dyDescent="0.3">
      <c r="D10457" s="1"/>
      <c r="G10457" s="13"/>
      <c r="AL10457" s="13"/>
    </row>
    <row r="10458" spans="4:38" x14ac:dyDescent="0.3">
      <c r="D10458" s="1"/>
      <c r="G10458" s="13"/>
      <c r="AL10458" s="13"/>
    </row>
    <row r="10459" spans="4:38" x14ac:dyDescent="0.3">
      <c r="D10459" s="1"/>
      <c r="G10459" s="13"/>
      <c r="AL10459" s="13"/>
    </row>
    <row r="10460" spans="4:38" x14ac:dyDescent="0.3">
      <c r="D10460" s="1"/>
      <c r="G10460" s="13"/>
      <c r="AL10460" s="13"/>
    </row>
    <row r="10461" spans="4:38" x14ac:dyDescent="0.3">
      <c r="D10461" s="1"/>
      <c r="G10461" s="13"/>
      <c r="AL10461" s="13"/>
    </row>
    <row r="10462" spans="4:38" x14ac:dyDescent="0.3">
      <c r="D10462" s="1"/>
      <c r="G10462" s="13"/>
      <c r="AL10462" s="13"/>
    </row>
    <row r="10463" spans="4:38" x14ac:dyDescent="0.3">
      <c r="D10463" s="1"/>
      <c r="G10463" s="13"/>
      <c r="AL10463" s="13"/>
    </row>
    <row r="10464" spans="4:38" x14ac:dyDescent="0.3">
      <c r="D10464" s="1"/>
      <c r="G10464" s="13"/>
      <c r="AL10464" s="13"/>
    </row>
    <row r="10465" spans="4:38" x14ac:dyDescent="0.3">
      <c r="D10465" s="1"/>
      <c r="G10465" s="13"/>
      <c r="AL10465" s="13"/>
    </row>
    <row r="10466" spans="4:38" x14ac:dyDescent="0.3">
      <c r="D10466" s="1"/>
      <c r="G10466" s="13"/>
      <c r="AL10466" s="13"/>
    </row>
    <row r="10467" spans="4:38" x14ac:dyDescent="0.3">
      <c r="D10467" s="1"/>
      <c r="G10467" s="13"/>
      <c r="AL10467" s="13"/>
    </row>
    <row r="10468" spans="4:38" x14ac:dyDescent="0.3">
      <c r="D10468" s="1"/>
      <c r="G10468" s="13"/>
      <c r="AL10468" s="13"/>
    </row>
    <row r="10469" spans="4:38" x14ac:dyDescent="0.3">
      <c r="D10469" s="1"/>
      <c r="G10469" s="13"/>
      <c r="AL10469" s="13"/>
    </row>
    <row r="10470" spans="4:38" x14ac:dyDescent="0.3">
      <c r="D10470" s="1"/>
      <c r="G10470" s="13"/>
      <c r="AL10470" s="13"/>
    </row>
    <row r="10471" spans="4:38" x14ac:dyDescent="0.3">
      <c r="D10471" s="1"/>
      <c r="G10471" s="13"/>
      <c r="AL10471" s="13"/>
    </row>
    <row r="10472" spans="4:38" x14ac:dyDescent="0.3">
      <c r="D10472" s="1"/>
      <c r="G10472" s="13"/>
      <c r="AL10472" s="13"/>
    </row>
    <row r="10473" spans="4:38" x14ac:dyDescent="0.3">
      <c r="D10473" s="1"/>
      <c r="G10473" s="13"/>
      <c r="AL10473" s="13"/>
    </row>
    <row r="10474" spans="4:38" x14ac:dyDescent="0.3">
      <c r="D10474" s="1"/>
      <c r="G10474" s="13"/>
      <c r="AL10474" s="13"/>
    </row>
    <row r="10475" spans="4:38" x14ac:dyDescent="0.3">
      <c r="D10475" s="1"/>
      <c r="G10475" s="13"/>
      <c r="AL10475" s="13"/>
    </row>
    <row r="10476" spans="4:38" x14ac:dyDescent="0.3">
      <c r="D10476" s="1"/>
      <c r="G10476" s="13"/>
      <c r="AL10476" s="13"/>
    </row>
    <row r="10477" spans="4:38" x14ac:dyDescent="0.3">
      <c r="D10477" s="1"/>
      <c r="G10477" s="13"/>
      <c r="AL10477" s="13"/>
    </row>
    <row r="10478" spans="4:38" x14ac:dyDescent="0.3">
      <c r="D10478" s="1"/>
      <c r="G10478" s="13"/>
      <c r="AL10478" s="13"/>
    </row>
    <row r="10479" spans="4:38" x14ac:dyDescent="0.3">
      <c r="D10479" s="1"/>
      <c r="G10479" s="13"/>
      <c r="AL10479" s="13"/>
    </row>
    <row r="10480" spans="4:38" x14ac:dyDescent="0.3">
      <c r="D10480" s="1"/>
      <c r="G10480" s="13"/>
      <c r="AL10480" s="13"/>
    </row>
    <row r="10481" spans="4:38" x14ac:dyDescent="0.3">
      <c r="D10481" s="1"/>
      <c r="G10481" s="13"/>
      <c r="AL10481" s="13"/>
    </row>
    <row r="10482" spans="4:38" x14ac:dyDescent="0.3">
      <c r="D10482" s="1"/>
      <c r="G10482" s="13"/>
      <c r="AL10482" s="13"/>
    </row>
    <row r="10483" spans="4:38" x14ac:dyDescent="0.3">
      <c r="D10483" s="1"/>
      <c r="G10483" s="13"/>
      <c r="AL10483" s="13"/>
    </row>
    <row r="10484" spans="4:38" x14ac:dyDescent="0.3">
      <c r="D10484" s="1"/>
      <c r="G10484" s="13"/>
      <c r="AL10484" s="13"/>
    </row>
    <row r="10485" spans="4:38" x14ac:dyDescent="0.3">
      <c r="D10485" s="1"/>
      <c r="G10485" s="13"/>
      <c r="AL10485" s="13"/>
    </row>
    <row r="10486" spans="4:38" x14ac:dyDescent="0.3">
      <c r="D10486" s="1"/>
      <c r="G10486" s="13"/>
      <c r="AL10486" s="13"/>
    </row>
    <row r="10487" spans="4:38" x14ac:dyDescent="0.3">
      <c r="D10487" s="1"/>
      <c r="G10487" s="13"/>
      <c r="AL10487" s="13"/>
    </row>
    <row r="10488" spans="4:38" x14ac:dyDescent="0.3">
      <c r="D10488" s="1"/>
      <c r="G10488" s="13"/>
      <c r="AL10488" s="13"/>
    </row>
    <row r="10489" spans="4:38" x14ac:dyDescent="0.3">
      <c r="D10489" s="1"/>
      <c r="G10489" s="13"/>
      <c r="AL10489" s="13"/>
    </row>
    <row r="10490" spans="4:38" x14ac:dyDescent="0.3">
      <c r="D10490" s="1"/>
      <c r="G10490" s="13"/>
      <c r="AL10490" s="13"/>
    </row>
    <row r="10491" spans="4:38" x14ac:dyDescent="0.3">
      <c r="D10491" s="1"/>
      <c r="G10491" s="13"/>
      <c r="AL10491" s="13"/>
    </row>
    <row r="10492" spans="4:38" x14ac:dyDescent="0.3">
      <c r="D10492" s="1"/>
      <c r="G10492" s="13"/>
      <c r="AL10492" s="13"/>
    </row>
    <row r="10493" spans="4:38" x14ac:dyDescent="0.3">
      <c r="D10493" s="1"/>
      <c r="G10493" s="13"/>
      <c r="AL10493" s="13"/>
    </row>
    <row r="10494" spans="4:38" x14ac:dyDescent="0.3">
      <c r="D10494" s="1"/>
      <c r="G10494" s="13"/>
      <c r="AL10494" s="13"/>
    </row>
    <row r="10495" spans="4:38" x14ac:dyDescent="0.3">
      <c r="D10495" s="1"/>
      <c r="G10495" s="13"/>
      <c r="AL10495" s="13"/>
    </row>
    <row r="10496" spans="4:38" x14ac:dyDescent="0.3">
      <c r="D10496" s="1"/>
      <c r="G10496" s="13"/>
      <c r="AL10496" s="13"/>
    </row>
    <row r="10497" spans="4:39" x14ac:dyDescent="0.3">
      <c r="D10497" s="1"/>
      <c r="G10497" s="13"/>
      <c r="AL10497" s="13"/>
    </row>
    <row r="10498" spans="4:39" x14ac:dyDescent="0.3">
      <c r="D10498" s="1"/>
      <c r="G10498" s="13"/>
      <c r="AL10498" s="13"/>
    </row>
    <row r="10499" spans="4:39" x14ac:dyDescent="0.3">
      <c r="D10499" s="1"/>
      <c r="G10499" s="13"/>
      <c r="AL10499" s="13"/>
    </row>
    <row r="10500" spans="4:39" x14ac:dyDescent="0.3">
      <c r="D10500" s="1"/>
      <c r="G10500" s="13"/>
      <c r="AL10500" s="13"/>
    </row>
    <row r="10501" spans="4:39" x14ac:dyDescent="0.3">
      <c r="D10501" s="1"/>
      <c r="G10501" s="13"/>
      <c r="AL10501" s="13"/>
    </row>
    <row r="10502" spans="4:39" x14ac:dyDescent="0.3">
      <c r="D10502" s="1"/>
      <c r="G10502" s="13"/>
      <c r="AL10502" s="13"/>
    </row>
    <row r="10503" spans="4:39" x14ac:dyDescent="0.3">
      <c r="D10503" s="1"/>
      <c r="G10503" s="13"/>
      <c r="AL10503" s="13"/>
    </row>
    <row r="10504" spans="4:39" x14ac:dyDescent="0.3">
      <c r="D10504" s="1"/>
      <c r="G10504" s="13"/>
      <c r="AL10504" s="13"/>
    </row>
    <row r="10505" spans="4:39" x14ac:dyDescent="0.3">
      <c r="D10505" s="1"/>
      <c r="G10505" s="13"/>
      <c r="AL10505" s="13"/>
    </row>
    <row r="10506" spans="4:39" x14ac:dyDescent="0.3">
      <c r="D10506" s="1"/>
      <c r="G10506" s="13"/>
      <c r="AL10506" s="13"/>
    </row>
    <row r="10507" spans="4:39" x14ac:dyDescent="0.3">
      <c r="D10507" s="1"/>
      <c r="G10507" s="13"/>
      <c r="AL10507" s="13"/>
    </row>
    <row r="10508" spans="4:39" x14ac:dyDescent="0.3">
      <c r="D10508" s="1"/>
      <c r="G10508" s="13"/>
      <c r="AL10508" s="13"/>
      <c r="AM10508" s="14"/>
    </row>
    <row r="10509" spans="4:39" x14ac:dyDescent="0.3">
      <c r="D10509" s="1"/>
      <c r="G10509" s="13"/>
      <c r="AL10509" s="13"/>
      <c r="AM10509" s="14"/>
    </row>
    <row r="10510" spans="4:39" x14ac:dyDescent="0.3">
      <c r="D10510" s="1"/>
      <c r="G10510" s="13"/>
      <c r="AL10510" s="13"/>
      <c r="AM10510" s="14"/>
    </row>
    <row r="10511" spans="4:39" x14ac:dyDescent="0.3">
      <c r="D10511" s="1"/>
      <c r="G10511" s="13"/>
      <c r="AL10511" s="13"/>
    </row>
    <row r="10512" spans="4:39" x14ac:dyDescent="0.3">
      <c r="D10512" s="1"/>
      <c r="G10512" s="13"/>
      <c r="AL10512" s="13"/>
    </row>
    <row r="10513" spans="4:38" x14ac:dyDescent="0.3">
      <c r="D10513" s="1"/>
      <c r="G10513" s="13"/>
      <c r="AL10513" s="13"/>
    </row>
    <row r="10514" spans="4:38" x14ac:dyDescent="0.3">
      <c r="D10514" s="1"/>
      <c r="G10514" s="13"/>
      <c r="AL10514" s="13"/>
    </row>
    <row r="10515" spans="4:38" x14ac:dyDescent="0.3">
      <c r="D10515" s="1"/>
      <c r="G10515" s="13"/>
      <c r="AL10515" s="13"/>
    </row>
    <row r="10516" spans="4:38" x14ac:dyDescent="0.3">
      <c r="D10516" s="1"/>
      <c r="G10516" s="13"/>
      <c r="AL10516" s="13"/>
    </row>
    <row r="10517" spans="4:38" x14ac:dyDescent="0.3">
      <c r="D10517" s="1"/>
      <c r="G10517" s="13"/>
      <c r="AL10517" s="13"/>
    </row>
    <row r="10518" spans="4:38" x14ac:dyDescent="0.3">
      <c r="D10518" s="1"/>
      <c r="G10518" s="13"/>
      <c r="AL10518" s="13"/>
    </row>
    <row r="10519" spans="4:38" x14ac:dyDescent="0.3">
      <c r="D10519" s="1"/>
      <c r="G10519" s="13"/>
      <c r="AL10519" s="13"/>
    </row>
    <row r="10520" spans="4:38" x14ac:dyDescent="0.3">
      <c r="D10520" s="1"/>
      <c r="G10520" s="13"/>
      <c r="AL10520" s="13"/>
    </row>
    <row r="10521" spans="4:38" x14ac:dyDescent="0.3">
      <c r="D10521" s="1"/>
      <c r="G10521" s="13"/>
      <c r="AL10521" s="13"/>
    </row>
    <row r="10522" spans="4:38" x14ac:dyDescent="0.3">
      <c r="D10522" s="1"/>
      <c r="G10522" s="13"/>
      <c r="AL10522" s="13"/>
    </row>
    <row r="10523" spans="4:38" x14ac:dyDescent="0.3">
      <c r="D10523" s="1"/>
      <c r="G10523" s="13"/>
      <c r="AL10523" s="13"/>
    </row>
    <row r="10524" spans="4:38" x14ac:dyDescent="0.3">
      <c r="D10524" s="1"/>
      <c r="G10524" s="13"/>
      <c r="AL10524" s="13"/>
    </row>
    <row r="10525" spans="4:38" x14ac:dyDescent="0.3">
      <c r="D10525" s="1"/>
      <c r="G10525" s="13"/>
      <c r="AL10525" s="13"/>
    </row>
    <row r="10526" spans="4:38" x14ac:dyDescent="0.3">
      <c r="D10526" s="1"/>
      <c r="G10526" s="13"/>
      <c r="AL10526" s="13"/>
    </row>
    <row r="10527" spans="4:38" x14ac:dyDescent="0.3">
      <c r="D10527" s="1"/>
      <c r="G10527" s="13"/>
      <c r="AL10527" s="13"/>
    </row>
    <row r="10528" spans="4:38" x14ac:dyDescent="0.3">
      <c r="D10528" s="1"/>
      <c r="G10528" s="13"/>
      <c r="AL10528" s="13"/>
    </row>
    <row r="10529" spans="4:38" x14ac:dyDescent="0.3">
      <c r="D10529" s="1"/>
      <c r="G10529" s="13"/>
      <c r="AL10529" s="13"/>
    </row>
    <row r="10530" spans="4:38" x14ac:dyDescent="0.3">
      <c r="D10530" s="1"/>
      <c r="G10530" s="13"/>
      <c r="AL10530" s="13"/>
    </row>
    <row r="10531" spans="4:38" x14ac:dyDescent="0.3">
      <c r="D10531" s="1"/>
      <c r="G10531" s="13"/>
      <c r="AL10531" s="13"/>
    </row>
    <row r="10532" spans="4:38" x14ac:dyDescent="0.3">
      <c r="D10532" s="1"/>
      <c r="G10532" s="13"/>
      <c r="AL10532" s="13"/>
    </row>
    <row r="10533" spans="4:38" x14ac:dyDescent="0.3">
      <c r="D10533" s="1"/>
      <c r="G10533" s="13"/>
      <c r="AL10533" s="13"/>
    </row>
    <row r="10534" spans="4:38" x14ac:dyDescent="0.3">
      <c r="D10534" s="1"/>
      <c r="G10534" s="13"/>
      <c r="AL10534" s="13"/>
    </row>
    <row r="10535" spans="4:38" x14ac:dyDescent="0.3">
      <c r="D10535" s="1"/>
      <c r="G10535" s="13"/>
      <c r="AL10535" s="13"/>
    </row>
    <row r="10536" spans="4:38" x14ac:dyDescent="0.3">
      <c r="D10536" s="1"/>
      <c r="G10536" s="13"/>
      <c r="AL10536" s="13"/>
    </row>
    <row r="10537" spans="4:38" x14ac:dyDescent="0.3">
      <c r="D10537" s="1"/>
      <c r="G10537" s="13"/>
      <c r="AL10537" s="13"/>
    </row>
    <row r="10538" spans="4:38" x14ac:dyDescent="0.3">
      <c r="D10538" s="1"/>
      <c r="G10538" s="13"/>
      <c r="AL10538" s="13"/>
    </row>
    <row r="10539" spans="4:38" x14ac:dyDescent="0.3">
      <c r="D10539" s="1"/>
      <c r="G10539" s="13"/>
      <c r="AL10539" s="13"/>
    </row>
    <row r="10540" spans="4:38" x14ac:dyDescent="0.3">
      <c r="D10540" s="1"/>
      <c r="G10540" s="13"/>
      <c r="AL10540" s="13"/>
    </row>
    <row r="10541" spans="4:38" x14ac:dyDescent="0.3">
      <c r="D10541" s="1"/>
      <c r="G10541" s="13"/>
      <c r="AL10541" s="13"/>
    </row>
    <row r="10542" spans="4:38" x14ac:dyDescent="0.3">
      <c r="D10542" s="1"/>
      <c r="G10542" s="13"/>
      <c r="AL10542" s="13"/>
    </row>
    <row r="10543" spans="4:38" x14ac:dyDescent="0.3">
      <c r="D10543" s="1"/>
      <c r="G10543" s="13"/>
      <c r="AL10543" s="13"/>
    </row>
    <row r="10544" spans="4:38" x14ac:dyDescent="0.3">
      <c r="D10544" s="1"/>
      <c r="G10544" s="13"/>
      <c r="AL10544" s="13"/>
    </row>
    <row r="10545" spans="4:38" x14ac:dyDescent="0.3">
      <c r="D10545" s="1"/>
      <c r="G10545" s="13"/>
      <c r="AL10545" s="13"/>
    </row>
    <row r="10546" spans="4:38" x14ac:dyDescent="0.3">
      <c r="D10546" s="1"/>
      <c r="G10546" s="13"/>
      <c r="AL10546" s="13"/>
    </row>
    <row r="10547" spans="4:38" x14ac:dyDescent="0.3">
      <c r="D10547" s="1"/>
      <c r="G10547" s="13"/>
      <c r="AL10547" s="13"/>
    </row>
    <row r="10548" spans="4:38" x14ac:dyDescent="0.3">
      <c r="D10548" s="1"/>
      <c r="G10548" s="13"/>
      <c r="AL10548" s="13"/>
    </row>
    <row r="10549" spans="4:38" x14ac:dyDescent="0.3">
      <c r="D10549" s="1"/>
      <c r="G10549" s="13"/>
      <c r="AL10549" s="13"/>
    </row>
    <row r="10550" spans="4:38" x14ac:dyDescent="0.3">
      <c r="D10550" s="1"/>
      <c r="G10550" s="13"/>
      <c r="AL10550" s="13"/>
    </row>
    <row r="10551" spans="4:38" x14ac:dyDescent="0.3">
      <c r="D10551" s="1"/>
      <c r="G10551" s="13"/>
      <c r="AL10551" s="13"/>
    </row>
    <row r="10552" spans="4:38" x14ac:dyDescent="0.3">
      <c r="D10552" s="1"/>
      <c r="G10552" s="13"/>
      <c r="AL10552" s="13"/>
    </row>
    <row r="10553" spans="4:38" x14ac:dyDescent="0.3">
      <c r="D10553" s="1"/>
      <c r="G10553" s="13"/>
      <c r="AL10553" s="13"/>
    </row>
    <row r="10554" spans="4:38" x14ac:dyDescent="0.3">
      <c r="D10554" s="1"/>
      <c r="G10554" s="13"/>
      <c r="AL10554" s="13"/>
    </row>
    <row r="10555" spans="4:38" x14ac:dyDescent="0.3">
      <c r="D10555" s="1"/>
      <c r="G10555" s="13"/>
      <c r="AL10555" s="13"/>
    </row>
    <row r="10556" spans="4:38" x14ac:dyDescent="0.3">
      <c r="D10556" s="1"/>
      <c r="G10556" s="13"/>
      <c r="AL10556" s="13"/>
    </row>
    <row r="10557" spans="4:38" x14ac:dyDescent="0.3">
      <c r="D10557" s="1"/>
      <c r="G10557" s="13"/>
      <c r="AL10557" s="13"/>
    </row>
    <row r="10558" spans="4:38" x14ac:dyDescent="0.3">
      <c r="D10558" s="1"/>
      <c r="G10558" s="13"/>
      <c r="AL10558" s="13"/>
    </row>
    <row r="10559" spans="4:38" x14ac:dyDescent="0.3">
      <c r="D10559" s="1"/>
      <c r="G10559" s="13"/>
      <c r="AL10559" s="13"/>
    </row>
    <row r="10560" spans="4:38" x14ac:dyDescent="0.3">
      <c r="D10560" s="1"/>
      <c r="G10560" s="13"/>
      <c r="AL10560" s="13"/>
    </row>
    <row r="10561" spans="4:38" x14ac:dyDescent="0.3">
      <c r="D10561" s="1"/>
      <c r="G10561" s="13"/>
      <c r="AL10561" s="13"/>
    </row>
    <row r="10562" spans="4:38" x14ac:dyDescent="0.3">
      <c r="D10562" s="1"/>
      <c r="G10562" s="13"/>
      <c r="AL10562" s="13"/>
    </row>
    <row r="10563" spans="4:38" x14ac:dyDescent="0.3">
      <c r="D10563" s="1"/>
      <c r="G10563" s="13"/>
      <c r="AL10563" s="13"/>
    </row>
    <row r="10564" spans="4:38" x14ac:dyDescent="0.3">
      <c r="D10564" s="1"/>
      <c r="G10564" s="13"/>
      <c r="AL10564" s="13"/>
    </row>
    <row r="10565" spans="4:38" x14ac:dyDescent="0.3">
      <c r="D10565" s="1"/>
      <c r="G10565" s="13"/>
      <c r="AL10565" s="13"/>
    </row>
    <row r="10566" spans="4:38" x14ac:dyDescent="0.3">
      <c r="D10566" s="1"/>
      <c r="G10566" s="13"/>
      <c r="AL10566" s="13"/>
    </row>
    <row r="10567" spans="4:38" x14ac:dyDescent="0.3">
      <c r="D10567" s="1"/>
      <c r="G10567" s="13"/>
      <c r="AL10567" s="13"/>
    </row>
    <row r="10568" spans="4:38" x14ac:dyDescent="0.3">
      <c r="D10568" s="1"/>
      <c r="G10568" s="13"/>
      <c r="AL10568" s="13"/>
    </row>
    <row r="10569" spans="4:38" x14ac:dyDescent="0.3">
      <c r="D10569" s="1"/>
      <c r="G10569" s="13"/>
      <c r="AL10569" s="13"/>
    </row>
    <row r="10570" spans="4:38" x14ac:dyDescent="0.3">
      <c r="D10570" s="1"/>
      <c r="G10570" s="13"/>
      <c r="AL10570" s="13"/>
    </row>
    <row r="10571" spans="4:38" x14ac:dyDescent="0.3">
      <c r="D10571" s="1"/>
      <c r="G10571" s="13"/>
      <c r="AL10571" s="13"/>
    </row>
    <row r="10572" spans="4:38" x14ac:dyDescent="0.3">
      <c r="D10572" s="1"/>
      <c r="G10572" s="13"/>
      <c r="AL10572" s="13"/>
    </row>
    <row r="10573" spans="4:38" x14ac:dyDescent="0.3">
      <c r="D10573" s="1"/>
      <c r="G10573" s="13"/>
      <c r="AL10573" s="13"/>
    </row>
    <row r="10574" spans="4:38" x14ac:dyDescent="0.3">
      <c r="D10574" s="1"/>
      <c r="G10574" s="13"/>
      <c r="AL10574" s="13"/>
    </row>
    <row r="10575" spans="4:38" x14ac:dyDescent="0.3">
      <c r="D10575" s="1"/>
      <c r="G10575" s="13"/>
      <c r="AL10575" s="13"/>
    </row>
    <row r="10576" spans="4:38" x14ac:dyDescent="0.3">
      <c r="D10576" s="1"/>
      <c r="G10576" s="13"/>
      <c r="AL10576" s="13"/>
    </row>
    <row r="10577" spans="4:38" x14ac:dyDescent="0.3">
      <c r="D10577" s="1"/>
      <c r="G10577" s="13"/>
      <c r="AL10577" s="13"/>
    </row>
    <row r="10578" spans="4:38" x14ac:dyDescent="0.3">
      <c r="D10578" s="1"/>
      <c r="G10578" s="13"/>
      <c r="AL10578" s="13"/>
    </row>
    <row r="10579" spans="4:38" x14ac:dyDescent="0.3">
      <c r="D10579" s="1"/>
      <c r="G10579" s="13"/>
      <c r="AL10579" s="13"/>
    </row>
    <row r="10580" spans="4:38" x14ac:dyDescent="0.3">
      <c r="D10580" s="1"/>
      <c r="G10580" s="13"/>
      <c r="AL10580" s="13"/>
    </row>
    <row r="10581" spans="4:38" x14ac:dyDescent="0.3">
      <c r="D10581" s="1"/>
      <c r="G10581" s="13"/>
      <c r="AL10581" s="13"/>
    </row>
    <row r="10582" spans="4:38" x14ac:dyDescent="0.3">
      <c r="D10582" s="1"/>
      <c r="G10582" s="13"/>
      <c r="AL10582" s="13"/>
    </row>
    <row r="10583" spans="4:38" x14ac:dyDescent="0.3">
      <c r="D10583" s="1"/>
      <c r="G10583" s="13"/>
      <c r="AL10583" s="13"/>
    </row>
    <row r="10584" spans="4:38" x14ac:dyDescent="0.3">
      <c r="D10584" s="1"/>
      <c r="G10584" s="13"/>
      <c r="AL10584" s="13"/>
    </row>
    <row r="10585" spans="4:38" x14ac:dyDescent="0.3">
      <c r="D10585" s="1"/>
      <c r="G10585" s="13"/>
      <c r="AL10585" s="13"/>
    </row>
    <row r="10586" spans="4:38" x14ac:dyDescent="0.3">
      <c r="D10586" s="1"/>
      <c r="G10586" s="13"/>
      <c r="AL10586" s="13"/>
    </row>
    <row r="10587" spans="4:38" x14ac:dyDescent="0.3">
      <c r="D10587" s="1"/>
      <c r="G10587" s="13"/>
      <c r="AL10587" s="13"/>
    </row>
    <row r="10588" spans="4:38" x14ac:dyDescent="0.3">
      <c r="D10588" s="1"/>
      <c r="G10588" s="13"/>
      <c r="AL10588" s="13"/>
    </row>
    <row r="10589" spans="4:38" x14ac:dyDescent="0.3">
      <c r="D10589" s="1"/>
      <c r="G10589" s="13"/>
      <c r="AL10589" s="13"/>
    </row>
    <row r="10590" spans="4:38" x14ac:dyDescent="0.3">
      <c r="D10590" s="1"/>
      <c r="G10590" s="13"/>
      <c r="AL10590" s="13"/>
    </row>
    <row r="10591" spans="4:38" x14ac:dyDescent="0.3">
      <c r="D10591" s="1"/>
      <c r="G10591" s="13"/>
      <c r="AL10591" s="13"/>
    </row>
    <row r="10592" spans="4:38" x14ac:dyDescent="0.3">
      <c r="D10592" s="1"/>
      <c r="G10592" s="13"/>
      <c r="AL10592" s="13"/>
    </row>
    <row r="10593" spans="4:39" x14ac:dyDescent="0.3">
      <c r="D10593" s="1"/>
      <c r="G10593" s="13"/>
      <c r="AL10593" s="13"/>
    </row>
    <row r="10594" spans="4:39" x14ac:dyDescent="0.3">
      <c r="D10594" s="1"/>
      <c r="G10594" s="13"/>
      <c r="AL10594" s="13"/>
    </row>
    <row r="10595" spans="4:39" x14ac:dyDescent="0.3">
      <c r="D10595" s="1"/>
      <c r="G10595" s="13"/>
      <c r="AL10595" s="13"/>
    </row>
    <row r="10596" spans="4:39" x14ac:dyDescent="0.3">
      <c r="D10596" s="1"/>
      <c r="G10596" s="13"/>
      <c r="AL10596" s="13"/>
    </row>
    <row r="10597" spans="4:39" x14ac:dyDescent="0.3">
      <c r="D10597" s="1"/>
      <c r="G10597" s="13"/>
      <c r="AL10597" s="13"/>
    </row>
    <row r="10598" spans="4:39" x14ac:dyDescent="0.3">
      <c r="D10598" s="1"/>
      <c r="G10598" s="13"/>
      <c r="AL10598" s="13"/>
    </row>
    <row r="10599" spans="4:39" x14ac:dyDescent="0.3">
      <c r="D10599" s="1"/>
      <c r="G10599" s="13"/>
      <c r="AL10599" s="13"/>
    </row>
    <row r="10600" spans="4:39" x14ac:dyDescent="0.3">
      <c r="D10600" s="1"/>
      <c r="G10600" s="13"/>
      <c r="AL10600" s="13"/>
    </row>
    <row r="10601" spans="4:39" x14ac:dyDescent="0.3">
      <c r="D10601" s="1"/>
      <c r="G10601" s="13"/>
      <c r="AL10601" s="13"/>
    </row>
    <row r="10602" spans="4:39" x14ac:dyDescent="0.3">
      <c r="D10602" s="1"/>
      <c r="G10602" s="13"/>
      <c r="AL10602" s="13"/>
    </row>
    <row r="10603" spans="4:39" x14ac:dyDescent="0.3">
      <c r="D10603" s="1"/>
      <c r="G10603" s="13"/>
      <c r="AL10603" s="13"/>
    </row>
    <row r="10604" spans="4:39" x14ac:dyDescent="0.3">
      <c r="D10604" s="1"/>
      <c r="G10604" s="13"/>
      <c r="AL10604" s="13"/>
    </row>
    <row r="10605" spans="4:39" x14ac:dyDescent="0.3">
      <c r="D10605" s="1"/>
      <c r="G10605" s="13"/>
      <c r="AL10605" s="13"/>
    </row>
    <row r="10606" spans="4:39" x14ac:dyDescent="0.3">
      <c r="D10606" s="1"/>
      <c r="G10606" s="13"/>
      <c r="AL10606" s="13"/>
      <c r="AM10606" s="14"/>
    </row>
    <row r="10607" spans="4:39" x14ac:dyDescent="0.3">
      <c r="D10607" s="1"/>
      <c r="G10607" s="13"/>
      <c r="AL10607" s="13"/>
    </row>
    <row r="10608" spans="4:39" x14ac:dyDescent="0.3">
      <c r="D10608" s="1"/>
      <c r="G10608" s="13"/>
      <c r="AL10608" s="13"/>
    </row>
    <row r="10609" spans="4:39" x14ac:dyDescent="0.3">
      <c r="D10609" s="1"/>
      <c r="G10609" s="13"/>
      <c r="AL10609" s="13"/>
    </row>
    <row r="10610" spans="4:39" x14ac:dyDescent="0.3">
      <c r="D10610" s="1"/>
      <c r="G10610" s="13"/>
      <c r="AL10610" s="13"/>
    </row>
    <row r="10611" spans="4:39" x14ac:dyDescent="0.3">
      <c r="D10611" s="1"/>
      <c r="G10611" s="13"/>
      <c r="AL10611" s="13"/>
    </row>
    <row r="10612" spans="4:39" x14ac:dyDescent="0.3">
      <c r="D10612" s="1"/>
      <c r="G10612" s="13"/>
      <c r="AL10612" s="13"/>
    </row>
    <row r="10613" spans="4:39" x14ac:dyDescent="0.3">
      <c r="D10613" s="1"/>
      <c r="G10613" s="13"/>
      <c r="AL10613" s="13"/>
    </row>
    <row r="10614" spans="4:39" x14ac:dyDescent="0.3">
      <c r="D10614" s="1"/>
      <c r="G10614" s="13"/>
      <c r="AL10614" s="13"/>
    </row>
    <row r="10615" spans="4:39" x14ac:dyDescent="0.3">
      <c r="D10615" s="1"/>
      <c r="G10615" s="13"/>
      <c r="AL10615" s="13"/>
    </row>
    <row r="10616" spans="4:39" x14ac:dyDescent="0.3">
      <c r="D10616" s="1"/>
      <c r="G10616" s="13"/>
      <c r="AL10616" s="13"/>
      <c r="AM10616" s="14"/>
    </row>
    <row r="10617" spans="4:39" x14ac:dyDescent="0.3">
      <c r="D10617" s="1"/>
      <c r="G10617" s="13"/>
      <c r="AL10617" s="13"/>
      <c r="AM10617" s="14"/>
    </row>
    <row r="10618" spans="4:39" x14ac:dyDescent="0.3">
      <c r="D10618" s="1"/>
      <c r="G10618" s="13"/>
      <c r="AL10618" s="13"/>
    </row>
    <row r="10619" spans="4:39" x14ac:dyDescent="0.3">
      <c r="D10619" s="1"/>
      <c r="G10619" s="13"/>
      <c r="AL10619" s="13"/>
    </row>
    <row r="10620" spans="4:39" x14ac:dyDescent="0.3">
      <c r="D10620" s="1"/>
      <c r="G10620" s="13"/>
      <c r="AL10620" s="13"/>
    </row>
    <row r="10621" spans="4:39" x14ac:dyDescent="0.3">
      <c r="D10621" s="1"/>
      <c r="G10621" s="13"/>
      <c r="AL10621" s="13"/>
    </row>
    <row r="10622" spans="4:39" x14ac:dyDescent="0.3">
      <c r="D10622" s="1"/>
      <c r="G10622" s="13"/>
      <c r="AL10622" s="13"/>
    </row>
    <row r="10623" spans="4:39" x14ac:dyDescent="0.3">
      <c r="D10623" s="1"/>
      <c r="G10623" s="13"/>
      <c r="AL10623" s="13"/>
    </row>
    <row r="10624" spans="4:39" x14ac:dyDescent="0.3">
      <c r="D10624" s="1"/>
      <c r="G10624" s="13"/>
      <c r="AL10624" s="13"/>
    </row>
    <row r="10625" spans="4:39" x14ac:dyDescent="0.3">
      <c r="D10625" s="1"/>
      <c r="G10625" s="13"/>
      <c r="AL10625" s="13"/>
    </row>
    <row r="10626" spans="4:39" x14ac:dyDescent="0.3">
      <c r="D10626" s="1"/>
      <c r="G10626" s="13"/>
      <c r="AL10626" s="13"/>
    </row>
    <row r="10627" spans="4:39" x14ac:dyDescent="0.3">
      <c r="D10627" s="1"/>
      <c r="G10627" s="13"/>
      <c r="AL10627" s="13"/>
    </row>
    <row r="10628" spans="4:39" x14ac:dyDescent="0.3">
      <c r="D10628" s="1"/>
      <c r="G10628" s="13"/>
      <c r="AL10628" s="13"/>
    </row>
    <row r="10629" spans="4:39" x14ac:dyDescent="0.3">
      <c r="D10629" s="1"/>
      <c r="G10629" s="13"/>
      <c r="AL10629" s="13"/>
    </row>
    <row r="10630" spans="4:39" x14ac:dyDescent="0.3">
      <c r="D10630" s="1"/>
      <c r="G10630" s="13"/>
      <c r="AL10630" s="13"/>
    </row>
    <row r="10631" spans="4:39" x14ac:dyDescent="0.3">
      <c r="D10631" s="1"/>
      <c r="G10631" s="13"/>
      <c r="AL10631" s="13"/>
    </row>
    <row r="10632" spans="4:39" x14ac:dyDescent="0.3">
      <c r="D10632" s="1"/>
      <c r="G10632" s="13"/>
      <c r="AL10632" s="13"/>
      <c r="AM10632" s="14"/>
    </row>
    <row r="10633" spans="4:39" x14ac:dyDescent="0.3">
      <c r="D10633" s="1"/>
      <c r="G10633" s="13"/>
      <c r="AL10633" s="13"/>
    </row>
    <row r="10634" spans="4:39" x14ac:dyDescent="0.3">
      <c r="D10634" s="1"/>
      <c r="G10634" s="13"/>
      <c r="AL10634" s="13"/>
    </row>
    <row r="10635" spans="4:39" x14ac:dyDescent="0.3">
      <c r="D10635" s="1"/>
      <c r="G10635" s="13"/>
      <c r="AL10635" s="13"/>
      <c r="AM10635" s="14"/>
    </row>
    <row r="10636" spans="4:39" x14ac:dyDescent="0.3">
      <c r="D10636" s="1"/>
      <c r="G10636" s="13"/>
      <c r="AL10636" s="13"/>
    </row>
    <row r="10637" spans="4:39" x14ac:dyDescent="0.3">
      <c r="D10637" s="1"/>
      <c r="G10637" s="13"/>
      <c r="AL10637" s="13"/>
    </row>
    <row r="10638" spans="4:39" x14ac:dyDescent="0.3">
      <c r="D10638" s="1"/>
      <c r="G10638" s="13"/>
      <c r="AL10638" s="13"/>
    </row>
    <row r="10639" spans="4:39" x14ac:dyDescent="0.3">
      <c r="D10639" s="1"/>
      <c r="G10639" s="13"/>
      <c r="AL10639" s="13"/>
      <c r="AM10639" s="14"/>
    </row>
    <row r="10640" spans="4:39" x14ac:dyDescent="0.3">
      <c r="D10640" s="1"/>
      <c r="G10640" s="13"/>
      <c r="AL10640" s="13"/>
      <c r="AM10640" s="14"/>
    </row>
    <row r="10641" spans="4:39" x14ac:dyDescent="0.3">
      <c r="D10641" s="1"/>
      <c r="G10641" s="13"/>
      <c r="AL10641" s="13"/>
    </row>
    <row r="10642" spans="4:39" x14ac:dyDescent="0.3">
      <c r="D10642" s="1"/>
      <c r="G10642" s="13"/>
      <c r="AL10642" s="13"/>
      <c r="AM10642" s="14"/>
    </row>
    <row r="10643" spans="4:39" x14ac:dyDescent="0.3">
      <c r="D10643" s="1"/>
      <c r="G10643" s="13"/>
      <c r="AL10643" s="13"/>
      <c r="AM10643" s="14"/>
    </row>
    <row r="10644" spans="4:39" x14ac:dyDescent="0.3">
      <c r="D10644" s="1"/>
      <c r="G10644" s="13"/>
      <c r="AL10644" s="13"/>
    </row>
    <row r="10645" spans="4:39" x14ac:dyDescent="0.3">
      <c r="D10645" s="1"/>
      <c r="G10645" s="13"/>
      <c r="AL10645" s="13"/>
    </row>
    <row r="10646" spans="4:39" x14ac:dyDescent="0.3">
      <c r="D10646" s="1"/>
      <c r="G10646" s="13"/>
      <c r="AL10646" s="13"/>
    </row>
    <row r="10647" spans="4:39" x14ac:dyDescent="0.3">
      <c r="D10647" s="1"/>
      <c r="G10647" s="13"/>
      <c r="AL10647" s="13"/>
      <c r="AM10647" s="14"/>
    </row>
    <row r="10648" spans="4:39" x14ac:dyDescent="0.3">
      <c r="D10648" s="1"/>
      <c r="G10648" s="13"/>
      <c r="AL10648" s="13"/>
      <c r="AM10648" s="14"/>
    </row>
    <row r="10649" spans="4:39" x14ac:dyDescent="0.3">
      <c r="D10649" s="1"/>
      <c r="G10649" s="13"/>
      <c r="AL10649" s="13"/>
    </row>
    <row r="10650" spans="4:39" x14ac:dyDescent="0.3">
      <c r="D10650" s="1"/>
      <c r="G10650" s="13"/>
      <c r="AL10650" s="13"/>
    </row>
    <row r="10651" spans="4:39" x14ac:dyDescent="0.3">
      <c r="D10651" s="1"/>
      <c r="G10651" s="13"/>
      <c r="AL10651" s="13"/>
    </row>
    <row r="10652" spans="4:39" x14ac:dyDescent="0.3">
      <c r="D10652" s="1"/>
      <c r="G10652" s="13"/>
      <c r="AL10652" s="13"/>
    </row>
    <row r="10653" spans="4:39" x14ac:dyDescent="0.3">
      <c r="D10653" s="1"/>
      <c r="G10653" s="13"/>
      <c r="AL10653" s="13"/>
    </row>
    <row r="10654" spans="4:39" x14ac:dyDescent="0.3">
      <c r="D10654" s="1"/>
      <c r="G10654" s="13"/>
      <c r="AL10654" s="13"/>
      <c r="AM10654" s="14"/>
    </row>
    <row r="10655" spans="4:39" x14ac:dyDescent="0.3">
      <c r="D10655" s="1"/>
      <c r="G10655" s="13"/>
      <c r="AL10655" s="13"/>
    </row>
    <row r="10656" spans="4:39" x14ac:dyDescent="0.3">
      <c r="D10656" s="1"/>
      <c r="G10656" s="13"/>
      <c r="AL10656" s="13"/>
      <c r="AM10656" s="14"/>
    </row>
    <row r="10657" spans="4:38" x14ac:dyDescent="0.3">
      <c r="D10657" s="1"/>
      <c r="G10657" s="13"/>
      <c r="AL10657" s="13"/>
    </row>
    <row r="10658" spans="4:38" x14ac:dyDescent="0.3">
      <c r="D10658" s="1"/>
      <c r="G10658" s="13"/>
      <c r="AL10658" s="13"/>
    </row>
    <row r="10659" spans="4:38" x14ac:dyDescent="0.3">
      <c r="D10659" s="1"/>
      <c r="G10659" s="13"/>
      <c r="AL10659" s="13"/>
    </row>
    <row r="10660" spans="4:38" x14ac:dyDescent="0.3">
      <c r="D10660" s="1"/>
      <c r="G10660" s="13"/>
      <c r="AL10660" s="13"/>
    </row>
    <row r="10661" spans="4:38" x14ac:dyDescent="0.3">
      <c r="D10661" s="1"/>
      <c r="G10661" s="13"/>
      <c r="AL10661" s="13"/>
    </row>
    <row r="10662" spans="4:38" x14ac:dyDescent="0.3">
      <c r="D10662" s="1"/>
      <c r="G10662" s="13"/>
      <c r="AL10662" s="13"/>
    </row>
    <row r="10663" spans="4:38" x14ac:dyDescent="0.3">
      <c r="D10663" s="1"/>
      <c r="G10663" s="13"/>
      <c r="AL10663" s="13"/>
    </row>
    <row r="10664" spans="4:38" x14ac:dyDescent="0.3">
      <c r="D10664" s="1"/>
      <c r="G10664" s="13"/>
      <c r="AL10664" s="13"/>
    </row>
    <row r="10665" spans="4:38" x14ac:dyDescent="0.3">
      <c r="D10665" s="1"/>
      <c r="G10665" s="13"/>
      <c r="AL10665" s="13"/>
    </row>
    <row r="10666" spans="4:38" x14ac:dyDescent="0.3">
      <c r="D10666" s="1"/>
      <c r="G10666" s="13"/>
      <c r="AL10666" s="13"/>
    </row>
    <row r="10667" spans="4:38" x14ac:dyDescent="0.3">
      <c r="D10667" s="1"/>
      <c r="G10667" s="13"/>
      <c r="AL10667" s="13"/>
    </row>
    <row r="10668" spans="4:38" x14ac:dyDescent="0.3">
      <c r="D10668" s="1"/>
      <c r="G10668" s="13"/>
      <c r="AL10668" s="13"/>
    </row>
    <row r="10669" spans="4:38" x14ac:dyDescent="0.3">
      <c r="D10669" s="1"/>
      <c r="G10669" s="13"/>
      <c r="AL10669" s="13"/>
    </row>
    <row r="10670" spans="4:38" x14ac:dyDescent="0.3">
      <c r="D10670" s="1"/>
      <c r="G10670" s="13"/>
      <c r="AL10670" s="13"/>
    </row>
    <row r="10671" spans="4:38" x14ac:dyDescent="0.3">
      <c r="D10671" s="1"/>
      <c r="G10671" s="13"/>
      <c r="AL10671" s="13"/>
    </row>
    <row r="10672" spans="4:38" x14ac:dyDescent="0.3">
      <c r="D10672" s="1"/>
      <c r="G10672" s="13"/>
      <c r="AL10672" s="13"/>
    </row>
    <row r="10673" spans="4:39" x14ac:dyDescent="0.3">
      <c r="D10673" s="1"/>
      <c r="G10673" s="13"/>
      <c r="AL10673" s="13"/>
    </row>
    <row r="10674" spans="4:39" x14ac:dyDescent="0.3">
      <c r="D10674" s="1"/>
      <c r="G10674" s="13"/>
      <c r="AL10674" s="13"/>
    </row>
    <row r="10675" spans="4:39" x14ac:dyDescent="0.3">
      <c r="D10675" s="1"/>
      <c r="G10675" s="13"/>
      <c r="AL10675" s="13"/>
    </row>
    <row r="10676" spans="4:39" x14ac:dyDescent="0.3">
      <c r="D10676" s="1"/>
      <c r="G10676" s="13"/>
      <c r="AL10676" s="13"/>
    </row>
    <row r="10677" spans="4:39" x14ac:dyDescent="0.3">
      <c r="D10677" s="1"/>
      <c r="G10677" s="13"/>
      <c r="AL10677" s="13"/>
    </row>
    <row r="10678" spans="4:39" x14ac:dyDescent="0.3">
      <c r="D10678" s="1"/>
      <c r="G10678" s="13"/>
      <c r="AL10678" s="13"/>
    </row>
    <row r="10679" spans="4:39" x14ac:dyDescent="0.3">
      <c r="D10679" s="1"/>
      <c r="G10679" s="13"/>
      <c r="AL10679" s="13"/>
    </row>
    <row r="10680" spans="4:39" x14ac:dyDescent="0.3">
      <c r="D10680" s="1"/>
      <c r="G10680" s="13"/>
      <c r="AL10680" s="13"/>
    </row>
    <row r="10681" spans="4:39" x14ac:dyDescent="0.3">
      <c r="D10681" s="1"/>
      <c r="G10681" s="13"/>
      <c r="AL10681" s="13"/>
    </row>
    <row r="10682" spans="4:39" x14ac:dyDescent="0.3">
      <c r="D10682" s="1"/>
      <c r="G10682" s="13"/>
      <c r="AL10682" s="13"/>
    </row>
    <row r="10683" spans="4:39" x14ac:dyDescent="0.3">
      <c r="D10683" s="1"/>
      <c r="G10683" s="13"/>
      <c r="AL10683" s="13"/>
    </row>
    <row r="10684" spans="4:39" x14ac:dyDescent="0.3">
      <c r="D10684" s="1"/>
      <c r="G10684" s="13"/>
      <c r="AL10684" s="13"/>
      <c r="AM10684" s="14"/>
    </row>
    <row r="10685" spans="4:39" x14ac:dyDescent="0.3">
      <c r="D10685" s="1"/>
      <c r="G10685" s="13"/>
      <c r="AL10685" s="13"/>
    </row>
    <row r="10686" spans="4:39" x14ac:dyDescent="0.3">
      <c r="D10686" s="1"/>
      <c r="G10686" s="13"/>
      <c r="AL10686" s="13"/>
    </row>
    <row r="10687" spans="4:39" x14ac:dyDescent="0.3">
      <c r="D10687" s="1"/>
      <c r="G10687" s="13"/>
      <c r="AL10687" s="13"/>
    </row>
    <row r="10688" spans="4:39" x14ac:dyDescent="0.3">
      <c r="D10688" s="1"/>
      <c r="G10688" s="13"/>
      <c r="AL10688" s="13"/>
    </row>
    <row r="10689" spans="4:39" x14ac:dyDescent="0.3">
      <c r="D10689" s="1"/>
      <c r="G10689" s="13"/>
      <c r="AL10689" s="13"/>
    </row>
    <row r="10690" spans="4:39" x14ac:dyDescent="0.3">
      <c r="D10690" s="1"/>
      <c r="G10690" s="13"/>
      <c r="AL10690" s="13"/>
    </row>
    <row r="10691" spans="4:39" x14ac:dyDescent="0.3">
      <c r="D10691" s="1"/>
      <c r="G10691" s="13"/>
      <c r="AL10691" s="13"/>
    </row>
    <row r="10692" spans="4:39" x14ac:dyDescent="0.3">
      <c r="D10692" s="1"/>
      <c r="G10692" s="13"/>
      <c r="AL10692" s="13"/>
    </row>
    <row r="10693" spans="4:39" x14ac:dyDescent="0.3">
      <c r="D10693" s="1"/>
      <c r="G10693" s="13"/>
      <c r="AL10693" s="13"/>
    </row>
    <row r="10694" spans="4:39" x14ac:dyDescent="0.3">
      <c r="D10694" s="1"/>
      <c r="G10694" s="13"/>
      <c r="AL10694" s="13"/>
      <c r="AM10694" s="14"/>
    </row>
    <row r="10695" spans="4:39" x14ac:dyDescent="0.3">
      <c r="D10695" s="1"/>
      <c r="G10695" s="13"/>
      <c r="AL10695" s="13"/>
    </row>
    <row r="10696" spans="4:39" x14ac:dyDescent="0.3">
      <c r="D10696" s="1"/>
      <c r="G10696" s="13"/>
      <c r="AL10696" s="13"/>
    </row>
    <row r="10697" spans="4:39" x14ac:dyDescent="0.3">
      <c r="D10697" s="1"/>
      <c r="G10697" s="13"/>
      <c r="AL10697" s="13"/>
      <c r="AM10697" s="14"/>
    </row>
    <row r="10698" spans="4:39" x14ac:dyDescent="0.3">
      <c r="D10698" s="1"/>
      <c r="G10698" s="13"/>
      <c r="AL10698" s="13"/>
    </row>
    <row r="10699" spans="4:39" x14ac:dyDescent="0.3">
      <c r="D10699" s="1"/>
      <c r="G10699" s="13"/>
      <c r="AL10699" s="13"/>
    </row>
    <row r="10700" spans="4:39" x14ac:dyDescent="0.3">
      <c r="D10700" s="1"/>
      <c r="G10700" s="13"/>
      <c r="AL10700" s="13"/>
    </row>
    <row r="10701" spans="4:39" x14ac:dyDescent="0.3">
      <c r="D10701" s="1"/>
      <c r="G10701" s="13"/>
      <c r="AL10701" s="13"/>
    </row>
    <row r="10702" spans="4:39" x14ac:dyDescent="0.3">
      <c r="D10702" s="1"/>
      <c r="G10702" s="13"/>
      <c r="AL10702" s="13"/>
    </row>
    <row r="10703" spans="4:39" x14ac:dyDescent="0.3">
      <c r="D10703" s="1"/>
      <c r="G10703" s="13"/>
      <c r="AL10703" s="13"/>
    </row>
    <row r="10704" spans="4:39" x14ac:dyDescent="0.3">
      <c r="D10704" s="1"/>
      <c r="G10704" s="13"/>
      <c r="AL10704" s="13"/>
    </row>
    <row r="10705" spans="4:39" x14ac:dyDescent="0.3">
      <c r="D10705" s="1"/>
      <c r="G10705" s="13"/>
      <c r="AL10705" s="13"/>
    </row>
    <row r="10706" spans="4:39" x14ac:dyDescent="0.3">
      <c r="D10706" s="1"/>
      <c r="G10706" s="13"/>
      <c r="AL10706" s="13"/>
    </row>
    <row r="10707" spans="4:39" x14ac:dyDescent="0.3">
      <c r="D10707" s="1"/>
      <c r="G10707" s="13"/>
      <c r="AL10707" s="13"/>
    </row>
    <row r="10708" spans="4:39" x14ac:dyDescent="0.3">
      <c r="D10708" s="1"/>
      <c r="G10708" s="13"/>
      <c r="AL10708" s="13"/>
    </row>
    <row r="10709" spans="4:39" x14ac:dyDescent="0.3">
      <c r="D10709" s="1"/>
      <c r="G10709" s="13"/>
      <c r="AL10709" s="13"/>
    </row>
    <row r="10710" spans="4:39" x14ac:dyDescent="0.3">
      <c r="D10710" s="1"/>
      <c r="G10710" s="13"/>
      <c r="AL10710" s="13"/>
    </row>
    <row r="10711" spans="4:39" x14ac:dyDescent="0.3">
      <c r="D10711" s="1"/>
      <c r="G10711" s="13"/>
      <c r="AL10711" s="13"/>
      <c r="AM10711" s="14"/>
    </row>
    <row r="10712" spans="4:39" x14ac:dyDescent="0.3">
      <c r="D10712" s="1"/>
      <c r="G10712" s="13"/>
      <c r="AL10712" s="13"/>
      <c r="AM10712" s="14"/>
    </row>
    <row r="10713" spans="4:39" x14ac:dyDescent="0.3">
      <c r="D10713" s="1"/>
      <c r="G10713" s="13"/>
      <c r="AL10713" s="13"/>
      <c r="AM10713" s="14"/>
    </row>
    <row r="10714" spans="4:39" x14ac:dyDescent="0.3">
      <c r="D10714" s="1"/>
      <c r="G10714" s="13"/>
      <c r="AL10714" s="13"/>
      <c r="AM10714" s="14"/>
    </row>
    <row r="10715" spans="4:39" x14ac:dyDescent="0.3">
      <c r="D10715" s="1"/>
      <c r="G10715" s="13"/>
      <c r="AL10715" s="13"/>
      <c r="AM10715" s="14"/>
    </row>
    <row r="10716" spans="4:39" x14ac:dyDescent="0.3">
      <c r="D10716" s="1"/>
      <c r="G10716" s="13"/>
      <c r="AL10716" s="13"/>
    </row>
    <row r="10717" spans="4:39" x14ac:dyDescent="0.3">
      <c r="D10717" s="1"/>
      <c r="G10717" s="13"/>
      <c r="AL10717" s="13"/>
    </row>
    <row r="10718" spans="4:39" x14ac:dyDescent="0.3">
      <c r="D10718" s="1"/>
      <c r="G10718" s="13"/>
      <c r="AL10718" s="13"/>
      <c r="AM10718" s="14"/>
    </row>
    <row r="10719" spans="4:39" x14ac:dyDescent="0.3">
      <c r="D10719" s="1"/>
      <c r="G10719" s="13"/>
      <c r="AL10719" s="13"/>
    </row>
    <row r="10720" spans="4:39" x14ac:dyDescent="0.3">
      <c r="D10720" s="1"/>
      <c r="G10720" s="13"/>
      <c r="AL10720" s="13"/>
    </row>
    <row r="10721" spans="4:39" x14ac:dyDescent="0.3">
      <c r="D10721" s="1"/>
      <c r="G10721" s="13"/>
      <c r="AL10721" s="13"/>
    </row>
    <row r="10722" spans="4:39" x14ac:dyDescent="0.3">
      <c r="D10722" s="1"/>
      <c r="G10722" s="13"/>
      <c r="AL10722" s="13"/>
    </row>
    <row r="10723" spans="4:39" x14ac:dyDescent="0.3">
      <c r="D10723" s="1"/>
      <c r="G10723" s="13"/>
      <c r="AL10723" s="13"/>
    </row>
    <row r="10724" spans="4:39" x14ac:dyDescent="0.3">
      <c r="D10724" s="1"/>
      <c r="G10724" s="13"/>
      <c r="AL10724" s="13"/>
    </row>
    <row r="10725" spans="4:39" x14ac:dyDescent="0.3">
      <c r="D10725" s="1"/>
      <c r="G10725" s="13"/>
      <c r="AL10725" s="13"/>
    </row>
    <row r="10726" spans="4:39" x14ac:dyDescent="0.3">
      <c r="D10726" s="1"/>
      <c r="G10726" s="13"/>
      <c r="AL10726" s="13"/>
      <c r="AM10726" s="14"/>
    </row>
    <row r="10727" spans="4:39" x14ac:dyDescent="0.3">
      <c r="D10727" s="1"/>
      <c r="G10727" s="13"/>
      <c r="AL10727" s="13"/>
      <c r="AM10727" s="14"/>
    </row>
    <row r="10728" spans="4:39" x14ac:dyDescent="0.3">
      <c r="D10728" s="1"/>
      <c r="G10728" s="13"/>
      <c r="AL10728" s="13"/>
    </row>
    <row r="10729" spans="4:39" x14ac:dyDescent="0.3">
      <c r="D10729" s="1"/>
      <c r="G10729" s="13"/>
      <c r="AL10729" s="13"/>
    </row>
    <row r="10730" spans="4:39" x14ac:dyDescent="0.3">
      <c r="D10730" s="1"/>
      <c r="G10730" s="13"/>
      <c r="AL10730" s="13"/>
    </row>
    <row r="10731" spans="4:39" x14ac:dyDescent="0.3">
      <c r="D10731" s="1"/>
      <c r="G10731" s="13"/>
      <c r="AL10731" s="13"/>
      <c r="AM10731" s="14"/>
    </row>
    <row r="10732" spans="4:39" x14ac:dyDescent="0.3">
      <c r="D10732" s="1"/>
      <c r="G10732" s="13"/>
      <c r="AL10732" s="13"/>
    </row>
    <row r="10733" spans="4:39" x14ac:dyDescent="0.3">
      <c r="D10733" s="1"/>
      <c r="G10733" s="13"/>
      <c r="AL10733" s="13"/>
      <c r="AM10733" s="14"/>
    </row>
    <row r="10734" spans="4:39" x14ac:dyDescent="0.3">
      <c r="D10734" s="1"/>
      <c r="G10734" s="13"/>
      <c r="AL10734" s="13"/>
    </row>
    <row r="10735" spans="4:39" x14ac:dyDescent="0.3">
      <c r="D10735" s="1"/>
      <c r="G10735" s="13"/>
      <c r="AL10735" s="13"/>
      <c r="AM10735" s="14"/>
    </row>
    <row r="10736" spans="4:39" x14ac:dyDescent="0.3">
      <c r="D10736" s="1"/>
      <c r="G10736" s="13"/>
      <c r="AL10736" s="13"/>
      <c r="AM10736" s="14"/>
    </row>
    <row r="10737" spans="4:39" x14ac:dyDescent="0.3">
      <c r="D10737" s="1"/>
      <c r="G10737" s="13"/>
      <c r="AL10737" s="13"/>
    </row>
    <row r="10738" spans="4:39" x14ac:dyDescent="0.3">
      <c r="D10738" s="1"/>
      <c r="G10738" s="13"/>
      <c r="AL10738" s="13"/>
      <c r="AM10738" s="14"/>
    </row>
    <row r="10739" spans="4:39" x14ac:dyDescent="0.3">
      <c r="D10739" s="1"/>
      <c r="G10739" s="13"/>
      <c r="AL10739" s="13"/>
    </row>
    <row r="10740" spans="4:39" x14ac:dyDescent="0.3">
      <c r="D10740" s="1"/>
      <c r="G10740" s="13"/>
      <c r="AL10740" s="13"/>
      <c r="AM10740" s="14"/>
    </row>
    <row r="10741" spans="4:39" x14ac:dyDescent="0.3">
      <c r="D10741" s="1"/>
      <c r="G10741" s="13"/>
      <c r="AL10741" s="13"/>
      <c r="AM10741" s="14"/>
    </row>
    <row r="10742" spans="4:39" x14ac:dyDescent="0.3">
      <c r="D10742" s="1"/>
      <c r="G10742" s="13"/>
      <c r="AL10742" s="13"/>
      <c r="AM10742" s="14"/>
    </row>
    <row r="10743" spans="4:39" x14ac:dyDescent="0.3">
      <c r="D10743" s="1"/>
      <c r="G10743" s="13"/>
      <c r="AL10743" s="13"/>
      <c r="AM10743" s="14"/>
    </row>
    <row r="10744" spans="4:39" x14ac:dyDescent="0.3">
      <c r="D10744" s="1"/>
      <c r="G10744" s="13"/>
      <c r="AL10744" s="13"/>
      <c r="AM10744" s="14"/>
    </row>
    <row r="10745" spans="4:39" x14ac:dyDescent="0.3">
      <c r="D10745" s="1"/>
      <c r="G10745" s="13"/>
      <c r="AL10745" s="13"/>
    </row>
    <row r="10746" spans="4:39" x14ac:dyDescent="0.3">
      <c r="D10746" s="1"/>
      <c r="G10746" s="13"/>
      <c r="AL10746" s="13"/>
    </row>
    <row r="10747" spans="4:39" x14ac:dyDescent="0.3">
      <c r="D10747" s="1"/>
      <c r="G10747" s="13"/>
      <c r="AL10747" s="13"/>
    </row>
    <row r="10748" spans="4:39" x14ac:dyDescent="0.3">
      <c r="D10748" s="1"/>
      <c r="G10748" s="13"/>
      <c r="AL10748" s="13"/>
    </row>
    <row r="10749" spans="4:39" x14ac:dyDescent="0.3">
      <c r="D10749" s="1"/>
      <c r="G10749" s="13"/>
      <c r="AL10749" s="13"/>
    </row>
    <row r="10750" spans="4:39" x14ac:dyDescent="0.3">
      <c r="D10750" s="1"/>
      <c r="G10750" s="13"/>
      <c r="AL10750" s="13"/>
    </row>
    <row r="10751" spans="4:39" x14ac:dyDescent="0.3">
      <c r="D10751" s="1"/>
      <c r="G10751" s="13"/>
      <c r="AL10751" s="13"/>
    </row>
    <row r="10752" spans="4:39" x14ac:dyDescent="0.3">
      <c r="D10752" s="1"/>
      <c r="G10752" s="13"/>
      <c r="AL10752" s="13"/>
    </row>
    <row r="10753" spans="4:39" x14ac:dyDescent="0.3">
      <c r="D10753" s="1"/>
      <c r="G10753" s="13"/>
      <c r="AL10753" s="13"/>
    </row>
    <row r="10754" spans="4:39" x14ac:dyDescent="0.3">
      <c r="D10754" s="1"/>
      <c r="G10754" s="13"/>
      <c r="AL10754" s="13"/>
    </row>
    <row r="10755" spans="4:39" x14ac:dyDescent="0.3">
      <c r="D10755" s="1"/>
      <c r="G10755" s="13"/>
      <c r="AL10755" s="13"/>
    </row>
    <row r="10756" spans="4:39" x14ac:dyDescent="0.3">
      <c r="D10756" s="1"/>
      <c r="G10756" s="13"/>
      <c r="AL10756" s="13"/>
    </row>
    <row r="10757" spans="4:39" x14ac:dyDescent="0.3">
      <c r="D10757" s="1"/>
      <c r="G10757" s="13"/>
      <c r="AL10757" s="13"/>
    </row>
    <row r="10758" spans="4:39" x14ac:dyDescent="0.3">
      <c r="D10758" s="1"/>
      <c r="G10758" s="13"/>
      <c r="AL10758" s="13"/>
    </row>
    <row r="10759" spans="4:39" x14ac:dyDescent="0.3">
      <c r="D10759" s="1"/>
      <c r="G10759" s="13"/>
      <c r="AL10759" s="13"/>
      <c r="AM10759" s="14"/>
    </row>
    <row r="10760" spans="4:39" x14ac:dyDescent="0.3">
      <c r="D10760" s="1"/>
      <c r="G10760" s="13"/>
      <c r="AL10760" s="13"/>
    </row>
    <row r="10761" spans="4:39" x14ac:dyDescent="0.3">
      <c r="D10761" s="1"/>
      <c r="G10761" s="13"/>
      <c r="AL10761" s="13"/>
    </row>
    <row r="10762" spans="4:39" x14ac:dyDescent="0.3">
      <c r="D10762" s="1"/>
      <c r="G10762" s="13"/>
      <c r="AL10762" s="13"/>
    </row>
    <row r="10763" spans="4:39" x14ac:dyDescent="0.3">
      <c r="D10763" s="1"/>
      <c r="G10763" s="13"/>
      <c r="AL10763" s="13"/>
    </row>
    <row r="10764" spans="4:39" x14ac:dyDescent="0.3">
      <c r="D10764" s="1"/>
      <c r="G10764" s="13"/>
      <c r="AL10764" s="13"/>
    </row>
    <row r="10765" spans="4:39" x14ac:dyDescent="0.3">
      <c r="D10765" s="1"/>
      <c r="G10765" s="13"/>
      <c r="AL10765" s="13"/>
      <c r="AM10765" s="14"/>
    </row>
    <row r="10766" spans="4:39" x14ac:dyDescent="0.3">
      <c r="D10766" s="1"/>
      <c r="G10766" s="13"/>
      <c r="AL10766" s="13"/>
    </row>
    <row r="10767" spans="4:39" x14ac:dyDescent="0.3">
      <c r="D10767" s="1"/>
      <c r="G10767" s="13"/>
      <c r="AL10767" s="13"/>
    </row>
    <row r="10768" spans="4:39" x14ac:dyDescent="0.3">
      <c r="D10768" s="1"/>
      <c r="G10768" s="13"/>
      <c r="AL10768" s="13"/>
    </row>
    <row r="10769" spans="4:39" x14ac:dyDescent="0.3">
      <c r="D10769" s="1"/>
      <c r="G10769" s="13"/>
      <c r="AL10769" s="13"/>
    </row>
    <row r="10770" spans="4:39" x14ac:dyDescent="0.3">
      <c r="D10770" s="1"/>
      <c r="G10770" s="13"/>
      <c r="AL10770" s="13"/>
      <c r="AM10770" s="14"/>
    </row>
    <row r="10771" spans="4:39" x14ac:dyDescent="0.3">
      <c r="D10771" s="1"/>
      <c r="G10771" s="13"/>
      <c r="AL10771" s="13"/>
    </row>
    <row r="10772" spans="4:39" x14ac:dyDescent="0.3">
      <c r="D10772" s="1"/>
      <c r="G10772" s="13"/>
      <c r="AL10772" s="13"/>
    </row>
    <row r="10773" spans="4:39" x14ac:dyDescent="0.3">
      <c r="D10773" s="1"/>
      <c r="G10773" s="13"/>
      <c r="AL10773" s="13"/>
    </row>
    <row r="10774" spans="4:39" x14ac:dyDescent="0.3">
      <c r="D10774" s="1"/>
      <c r="G10774" s="13"/>
      <c r="AL10774" s="13"/>
      <c r="AM10774" s="14"/>
    </row>
    <row r="10775" spans="4:39" x14ac:dyDescent="0.3">
      <c r="D10775" s="1"/>
      <c r="G10775" s="13"/>
      <c r="AL10775" s="13"/>
      <c r="AM10775" s="14"/>
    </row>
    <row r="10776" spans="4:39" x14ac:dyDescent="0.3">
      <c r="D10776" s="1"/>
      <c r="G10776" s="13"/>
      <c r="AL10776" s="13"/>
    </row>
    <row r="10777" spans="4:39" x14ac:dyDescent="0.3">
      <c r="D10777" s="1"/>
      <c r="G10777" s="13"/>
      <c r="AL10777" s="13"/>
    </row>
    <row r="10778" spans="4:39" x14ac:dyDescent="0.3">
      <c r="D10778" s="1"/>
      <c r="G10778" s="13"/>
      <c r="AL10778" s="13"/>
      <c r="AM10778" s="14"/>
    </row>
    <row r="10779" spans="4:39" x14ac:dyDescent="0.3">
      <c r="D10779" s="1"/>
      <c r="G10779" s="13"/>
      <c r="AL10779" s="13"/>
      <c r="AM10779" s="14"/>
    </row>
    <row r="10780" spans="4:39" x14ac:dyDescent="0.3">
      <c r="D10780" s="1"/>
      <c r="G10780" s="13"/>
      <c r="AL10780" s="13"/>
      <c r="AM10780" s="14"/>
    </row>
    <row r="10781" spans="4:39" x14ac:dyDescent="0.3">
      <c r="D10781" s="1"/>
      <c r="G10781" s="13"/>
      <c r="AL10781" s="13"/>
      <c r="AM10781" s="14"/>
    </row>
    <row r="10782" spans="4:39" x14ac:dyDescent="0.3">
      <c r="D10782" s="1"/>
      <c r="G10782" s="13"/>
      <c r="AL10782" s="13"/>
    </row>
    <row r="10783" spans="4:39" x14ac:dyDescent="0.3">
      <c r="D10783" s="1"/>
      <c r="G10783" s="13"/>
      <c r="AL10783" s="13"/>
      <c r="AM10783" s="14"/>
    </row>
    <row r="10784" spans="4:39" x14ac:dyDescent="0.3">
      <c r="D10784" s="1"/>
      <c r="G10784" s="13"/>
      <c r="AL10784" s="13"/>
      <c r="AM10784" s="14"/>
    </row>
    <row r="10785" spans="4:39" x14ac:dyDescent="0.3">
      <c r="D10785" s="1"/>
      <c r="G10785" s="13"/>
      <c r="AL10785" s="13"/>
    </row>
    <row r="10786" spans="4:39" x14ac:dyDescent="0.3">
      <c r="D10786" s="1"/>
      <c r="G10786" s="13"/>
      <c r="AL10786" s="13"/>
    </row>
    <row r="10787" spans="4:39" x14ac:dyDescent="0.3">
      <c r="D10787" s="1"/>
      <c r="G10787" s="13"/>
      <c r="AL10787" s="13"/>
    </row>
    <row r="10788" spans="4:39" x14ac:dyDescent="0.3">
      <c r="D10788" s="1"/>
      <c r="G10788" s="13"/>
      <c r="AL10788" s="13"/>
    </row>
    <row r="10789" spans="4:39" x14ac:dyDescent="0.3">
      <c r="D10789" s="1"/>
      <c r="G10789" s="13"/>
      <c r="AL10789" s="13"/>
    </row>
    <row r="10790" spans="4:39" x14ac:dyDescent="0.3">
      <c r="D10790" s="1"/>
      <c r="G10790" s="13"/>
      <c r="AL10790" s="13"/>
    </row>
    <row r="10791" spans="4:39" x14ac:dyDescent="0.3">
      <c r="D10791" s="1"/>
      <c r="G10791" s="13"/>
      <c r="AL10791" s="13"/>
      <c r="AM10791" s="14"/>
    </row>
    <row r="10792" spans="4:39" x14ac:dyDescent="0.3">
      <c r="D10792" s="1"/>
      <c r="G10792" s="13"/>
      <c r="AL10792" s="13"/>
      <c r="AM10792" s="14"/>
    </row>
    <row r="10793" spans="4:39" x14ac:dyDescent="0.3">
      <c r="D10793" s="1"/>
      <c r="G10793" s="13"/>
      <c r="AL10793" s="13"/>
      <c r="AM10793" s="14"/>
    </row>
    <row r="10794" spans="4:39" x14ac:dyDescent="0.3">
      <c r="D10794" s="1"/>
      <c r="G10794" s="13"/>
      <c r="AL10794" s="13"/>
    </row>
    <row r="10795" spans="4:39" x14ac:dyDescent="0.3">
      <c r="D10795" s="1"/>
      <c r="G10795" s="13"/>
      <c r="AL10795" s="13"/>
    </row>
    <row r="10796" spans="4:39" x14ac:dyDescent="0.3">
      <c r="D10796" s="1"/>
      <c r="G10796" s="13"/>
      <c r="AL10796" s="13"/>
    </row>
    <row r="10797" spans="4:39" x14ac:dyDescent="0.3">
      <c r="D10797" s="1"/>
      <c r="G10797" s="13"/>
      <c r="AL10797" s="13"/>
    </row>
    <row r="10798" spans="4:39" x14ac:dyDescent="0.3">
      <c r="D10798" s="1"/>
      <c r="G10798" s="13"/>
      <c r="AL10798" s="13"/>
    </row>
    <row r="10799" spans="4:39" x14ac:dyDescent="0.3">
      <c r="D10799" s="1"/>
      <c r="G10799" s="13"/>
      <c r="AL10799" s="13"/>
    </row>
    <row r="10800" spans="4:39" x14ac:dyDescent="0.3">
      <c r="D10800" s="1"/>
      <c r="G10800" s="13"/>
      <c r="AL10800" s="13"/>
    </row>
    <row r="10801" spans="4:39" x14ac:dyDescent="0.3">
      <c r="D10801" s="1"/>
      <c r="G10801" s="13"/>
      <c r="AL10801" s="13"/>
    </row>
    <row r="10802" spans="4:39" x14ac:dyDescent="0.3">
      <c r="D10802" s="1"/>
      <c r="G10802" s="13"/>
      <c r="AL10802" s="13"/>
    </row>
    <row r="10803" spans="4:39" x14ac:dyDescent="0.3">
      <c r="D10803" s="1"/>
      <c r="G10803" s="13"/>
      <c r="AL10803" s="13"/>
    </row>
    <row r="10804" spans="4:39" x14ac:dyDescent="0.3">
      <c r="D10804" s="1"/>
      <c r="G10804" s="13"/>
      <c r="AL10804" s="13"/>
    </row>
    <row r="10805" spans="4:39" x14ac:dyDescent="0.3">
      <c r="D10805" s="1"/>
      <c r="G10805" s="13"/>
      <c r="AL10805" s="13"/>
    </row>
    <row r="10806" spans="4:39" x14ac:dyDescent="0.3">
      <c r="D10806" s="1"/>
      <c r="G10806" s="13"/>
      <c r="AL10806" s="13"/>
    </row>
    <row r="10807" spans="4:39" x14ac:dyDescent="0.3">
      <c r="D10807" s="1"/>
      <c r="G10807" s="13"/>
      <c r="AL10807" s="13"/>
    </row>
    <row r="10808" spans="4:39" x14ac:dyDescent="0.3">
      <c r="D10808" s="1"/>
      <c r="G10808" s="13"/>
      <c r="AL10808" s="13"/>
    </row>
    <row r="10809" spans="4:39" x14ac:dyDescent="0.3">
      <c r="D10809" s="1"/>
      <c r="G10809" s="13"/>
      <c r="AL10809" s="13"/>
    </row>
    <row r="10810" spans="4:39" x14ac:dyDescent="0.3">
      <c r="D10810" s="1"/>
      <c r="G10810" s="13"/>
      <c r="AL10810" s="13"/>
    </row>
    <row r="10811" spans="4:39" x14ac:dyDescent="0.3">
      <c r="D10811" s="1"/>
      <c r="G10811" s="13"/>
      <c r="AL10811" s="13"/>
    </row>
    <row r="10812" spans="4:39" x14ac:dyDescent="0.3">
      <c r="D10812" s="1"/>
      <c r="G10812" s="13"/>
      <c r="AL10812" s="13"/>
    </row>
    <row r="10813" spans="4:39" x14ac:dyDescent="0.3">
      <c r="D10813" s="1"/>
      <c r="G10813" s="13"/>
      <c r="AL10813" s="13"/>
      <c r="AM10813" s="14"/>
    </row>
    <row r="10814" spans="4:39" x14ac:dyDescent="0.3">
      <c r="D10814" s="1"/>
      <c r="G10814" s="13"/>
      <c r="AL10814" s="13"/>
      <c r="AM10814" s="14"/>
    </row>
    <row r="10815" spans="4:39" x14ac:dyDescent="0.3">
      <c r="D10815" s="1"/>
      <c r="G10815" s="13"/>
      <c r="AL10815" s="13"/>
    </row>
    <row r="10816" spans="4:39" x14ac:dyDescent="0.3">
      <c r="D10816" s="1"/>
      <c r="G10816" s="13"/>
      <c r="AL10816" s="13"/>
    </row>
    <row r="10817" spans="4:39" x14ac:dyDescent="0.3">
      <c r="D10817" s="1"/>
      <c r="G10817" s="13"/>
      <c r="AL10817" s="13"/>
    </row>
    <row r="10818" spans="4:39" x14ac:dyDescent="0.3">
      <c r="D10818" s="1"/>
      <c r="G10818" s="13"/>
      <c r="AL10818" s="13"/>
    </row>
    <row r="10819" spans="4:39" x14ac:dyDescent="0.3">
      <c r="D10819" s="1"/>
      <c r="G10819" s="13"/>
      <c r="AL10819" s="13"/>
    </row>
    <row r="10820" spans="4:39" x14ac:dyDescent="0.3">
      <c r="D10820" s="1"/>
      <c r="G10820" s="13"/>
      <c r="AL10820" s="13"/>
    </row>
    <row r="10821" spans="4:39" x14ac:dyDescent="0.3">
      <c r="D10821" s="1"/>
      <c r="G10821" s="13"/>
      <c r="AL10821" s="13"/>
    </row>
    <row r="10822" spans="4:39" x14ac:dyDescent="0.3">
      <c r="D10822" s="1"/>
      <c r="G10822" s="13"/>
      <c r="AL10822" s="13"/>
    </row>
    <row r="10823" spans="4:39" x14ac:dyDescent="0.3">
      <c r="D10823" s="1"/>
      <c r="G10823" s="13"/>
      <c r="AL10823" s="13"/>
      <c r="AM10823" s="14"/>
    </row>
    <row r="10824" spans="4:39" x14ac:dyDescent="0.3">
      <c r="D10824" s="1"/>
      <c r="G10824" s="13"/>
      <c r="AL10824" s="13"/>
    </row>
    <row r="10825" spans="4:39" x14ac:dyDescent="0.3">
      <c r="D10825" s="1"/>
      <c r="G10825" s="13"/>
      <c r="AL10825" s="13"/>
    </row>
    <row r="10826" spans="4:39" x14ac:dyDescent="0.3">
      <c r="D10826" s="1"/>
      <c r="G10826" s="13"/>
      <c r="AL10826" s="13"/>
    </row>
    <row r="10827" spans="4:39" x14ac:dyDescent="0.3">
      <c r="D10827" s="1"/>
      <c r="G10827" s="13"/>
      <c r="AL10827" s="13"/>
    </row>
    <row r="10828" spans="4:39" x14ac:dyDescent="0.3">
      <c r="D10828" s="1"/>
      <c r="G10828" s="13"/>
      <c r="AL10828" s="13"/>
    </row>
    <row r="10829" spans="4:39" x14ac:dyDescent="0.3">
      <c r="D10829" s="1"/>
      <c r="G10829" s="13"/>
      <c r="AL10829" s="13"/>
    </row>
    <row r="10830" spans="4:39" x14ac:dyDescent="0.3">
      <c r="D10830" s="1"/>
      <c r="G10830" s="13"/>
      <c r="AL10830" s="13"/>
    </row>
    <row r="10831" spans="4:39" x14ac:dyDescent="0.3">
      <c r="D10831" s="1"/>
      <c r="G10831" s="13"/>
      <c r="AL10831" s="13"/>
    </row>
    <row r="10832" spans="4:39" x14ac:dyDescent="0.3">
      <c r="D10832" s="1"/>
      <c r="G10832" s="13"/>
      <c r="AL10832" s="13"/>
    </row>
    <row r="10833" spans="4:39" x14ac:dyDescent="0.3">
      <c r="D10833" s="1"/>
      <c r="G10833" s="13"/>
      <c r="AL10833" s="13"/>
      <c r="AM10833" s="14"/>
    </row>
    <row r="10834" spans="4:39" x14ac:dyDescent="0.3">
      <c r="D10834" s="1"/>
      <c r="G10834" s="13"/>
      <c r="AL10834" s="13"/>
      <c r="AM10834" s="14"/>
    </row>
    <row r="10835" spans="4:39" x14ac:dyDescent="0.3">
      <c r="D10835" s="1"/>
      <c r="G10835" s="13"/>
      <c r="AL10835" s="13"/>
    </row>
    <row r="10836" spans="4:39" x14ac:dyDescent="0.3">
      <c r="D10836" s="1"/>
      <c r="G10836" s="13"/>
      <c r="AL10836" s="13"/>
    </row>
    <row r="10837" spans="4:39" x14ac:dyDescent="0.3">
      <c r="D10837" s="1"/>
      <c r="G10837" s="13"/>
      <c r="AL10837" s="13"/>
    </row>
    <row r="10838" spans="4:39" x14ac:dyDescent="0.3">
      <c r="D10838" s="1"/>
      <c r="G10838" s="13"/>
      <c r="AL10838" s="13"/>
    </row>
    <row r="10839" spans="4:39" x14ac:dyDescent="0.3">
      <c r="D10839" s="1"/>
      <c r="G10839" s="13"/>
      <c r="AL10839" s="13"/>
    </row>
    <row r="10840" spans="4:39" x14ac:dyDescent="0.3">
      <c r="D10840" s="1"/>
      <c r="G10840" s="13"/>
      <c r="AL10840" s="13"/>
      <c r="AM10840" s="14"/>
    </row>
    <row r="10841" spans="4:39" x14ac:dyDescent="0.3">
      <c r="D10841" s="1"/>
      <c r="G10841" s="13"/>
      <c r="AL10841" s="13"/>
    </row>
    <row r="10842" spans="4:39" x14ac:dyDescent="0.3">
      <c r="D10842" s="1"/>
      <c r="G10842" s="13"/>
      <c r="AL10842" s="13"/>
    </row>
    <row r="10843" spans="4:39" x14ac:dyDescent="0.3">
      <c r="D10843" s="1"/>
      <c r="G10843" s="13"/>
      <c r="AL10843" s="13"/>
    </row>
    <row r="10844" spans="4:39" x14ac:dyDescent="0.3">
      <c r="D10844" s="1"/>
      <c r="G10844" s="13"/>
      <c r="AL10844" s="13"/>
    </row>
    <row r="10845" spans="4:39" x14ac:dyDescent="0.3">
      <c r="D10845" s="1"/>
      <c r="G10845" s="13"/>
      <c r="AL10845" s="13"/>
    </row>
    <row r="10846" spans="4:39" x14ac:dyDescent="0.3">
      <c r="D10846" s="1"/>
      <c r="G10846" s="13"/>
      <c r="AL10846" s="13"/>
    </row>
    <row r="10847" spans="4:39" x14ac:dyDescent="0.3">
      <c r="D10847" s="1"/>
      <c r="G10847" s="13"/>
      <c r="AL10847" s="13"/>
    </row>
    <row r="10848" spans="4:39" x14ac:dyDescent="0.3">
      <c r="D10848" s="1"/>
      <c r="G10848" s="13"/>
      <c r="AL10848" s="13"/>
    </row>
    <row r="10849" spans="4:39" x14ac:dyDescent="0.3">
      <c r="D10849" s="1"/>
      <c r="G10849" s="13"/>
      <c r="AL10849" s="13"/>
    </row>
    <row r="10850" spans="4:39" x14ac:dyDescent="0.3">
      <c r="D10850" s="1"/>
      <c r="G10850" s="13"/>
      <c r="AL10850" s="13"/>
    </row>
    <row r="10851" spans="4:39" x14ac:dyDescent="0.3">
      <c r="D10851" s="1"/>
      <c r="G10851" s="13"/>
      <c r="AL10851" s="13"/>
    </row>
    <row r="10852" spans="4:39" x14ac:dyDescent="0.3">
      <c r="D10852" s="1"/>
      <c r="G10852" s="13"/>
      <c r="AL10852" s="13"/>
    </row>
    <row r="10853" spans="4:39" x14ac:dyDescent="0.3">
      <c r="D10853" s="1"/>
      <c r="G10853" s="13"/>
      <c r="AL10853" s="13"/>
      <c r="AM10853" s="14"/>
    </row>
    <row r="10854" spans="4:39" x14ac:dyDescent="0.3">
      <c r="D10854" s="1"/>
      <c r="G10854" s="13"/>
      <c r="AL10854" s="13"/>
    </row>
    <row r="10855" spans="4:39" x14ac:dyDescent="0.3">
      <c r="D10855" s="1"/>
      <c r="G10855" s="13"/>
      <c r="AL10855" s="13"/>
    </row>
    <row r="10856" spans="4:39" x14ac:dyDescent="0.3">
      <c r="D10856" s="1"/>
      <c r="G10856" s="13"/>
      <c r="AL10856" s="13"/>
      <c r="AM10856" s="14"/>
    </row>
    <row r="10857" spans="4:39" x14ac:dyDescent="0.3">
      <c r="D10857" s="1"/>
      <c r="G10857" s="13"/>
      <c r="AL10857" s="13"/>
    </row>
    <row r="10858" spans="4:39" x14ac:dyDescent="0.3">
      <c r="D10858" s="1"/>
      <c r="G10858" s="13"/>
      <c r="AL10858" s="13"/>
    </row>
    <row r="10859" spans="4:39" x14ac:dyDescent="0.3">
      <c r="D10859" s="1"/>
      <c r="G10859" s="13"/>
      <c r="AL10859" s="13"/>
    </row>
    <row r="10860" spans="4:39" x14ac:dyDescent="0.3">
      <c r="D10860" s="1"/>
      <c r="G10860" s="13"/>
      <c r="AL10860" s="13"/>
    </row>
    <row r="10861" spans="4:39" x14ac:dyDescent="0.3">
      <c r="D10861" s="1"/>
      <c r="G10861" s="13"/>
      <c r="AL10861" s="13"/>
    </row>
    <row r="10862" spans="4:39" x14ac:dyDescent="0.3">
      <c r="D10862" s="1"/>
      <c r="G10862" s="13"/>
      <c r="AL10862" s="13"/>
    </row>
    <row r="10863" spans="4:39" x14ac:dyDescent="0.3">
      <c r="D10863" s="1"/>
      <c r="G10863" s="13"/>
      <c r="AL10863" s="13"/>
    </row>
    <row r="10864" spans="4:39" x14ac:dyDescent="0.3">
      <c r="D10864" s="1"/>
      <c r="G10864" s="13"/>
      <c r="AL10864" s="13"/>
    </row>
    <row r="10865" spans="4:39" x14ac:dyDescent="0.3">
      <c r="D10865" s="1"/>
      <c r="G10865" s="13"/>
      <c r="AL10865" s="13"/>
    </row>
    <row r="10866" spans="4:39" x14ac:dyDescent="0.3">
      <c r="D10866" s="1"/>
      <c r="G10866" s="13"/>
      <c r="AL10866" s="13"/>
    </row>
    <row r="10867" spans="4:39" x14ac:dyDescent="0.3">
      <c r="D10867" s="1"/>
      <c r="G10867" s="13"/>
      <c r="AL10867" s="13"/>
    </row>
    <row r="10868" spans="4:39" x14ac:dyDescent="0.3">
      <c r="D10868" s="1"/>
      <c r="G10868" s="13"/>
      <c r="AL10868" s="13"/>
    </row>
    <row r="10869" spans="4:39" x14ac:dyDescent="0.3">
      <c r="D10869" s="1"/>
      <c r="G10869" s="13"/>
      <c r="AL10869" s="13"/>
      <c r="AM10869" s="14"/>
    </row>
    <row r="10870" spans="4:39" x14ac:dyDescent="0.3">
      <c r="D10870" s="1"/>
      <c r="G10870" s="13"/>
      <c r="AL10870" s="13"/>
      <c r="AM10870" s="14"/>
    </row>
    <row r="10871" spans="4:39" x14ac:dyDescent="0.3">
      <c r="D10871" s="1"/>
      <c r="G10871" s="13"/>
      <c r="AL10871" s="13"/>
    </row>
    <row r="10872" spans="4:39" x14ac:dyDescent="0.3">
      <c r="D10872" s="1"/>
      <c r="G10872" s="13"/>
      <c r="AL10872" s="13"/>
    </row>
    <row r="10873" spans="4:39" x14ac:dyDescent="0.3">
      <c r="D10873" s="1"/>
      <c r="G10873" s="13"/>
      <c r="AL10873" s="13"/>
    </row>
    <row r="10874" spans="4:39" x14ac:dyDescent="0.3">
      <c r="D10874" s="1"/>
      <c r="G10874" s="13"/>
      <c r="AL10874" s="13"/>
      <c r="AM10874" s="14"/>
    </row>
    <row r="10875" spans="4:39" x14ac:dyDescent="0.3">
      <c r="D10875" s="1"/>
      <c r="G10875" s="13"/>
      <c r="AL10875" s="13"/>
    </row>
    <row r="10876" spans="4:39" x14ac:dyDescent="0.3">
      <c r="D10876" s="1"/>
      <c r="G10876" s="13"/>
      <c r="AL10876" s="13"/>
      <c r="AM10876" s="14"/>
    </row>
    <row r="10877" spans="4:39" x14ac:dyDescent="0.3">
      <c r="D10877" s="1"/>
      <c r="G10877" s="13"/>
      <c r="AL10877" s="13"/>
      <c r="AM10877" s="14"/>
    </row>
    <row r="10878" spans="4:39" x14ac:dyDescent="0.3">
      <c r="D10878" s="1"/>
      <c r="G10878" s="13"/>
      <c r="AL10878" s="13"/>
    </row>
    <row r="10879" spans="4:39" x14ac:dyDescent="0.3">
      <c r="D10879" s="1"/>
      <c r="G10879" s="13"/>
      <c r="AL10879" s="13"/>
    </row>
    <row r="10880" spans="4:39" x14ac:dyDescent="0.3">
      <c r="D10880" s="1"/>
      <c r="G10880" s="13"/>
      <c r="AL10880" s="13"/>
    </row>
    <row r="10881" spans="4:39" x14ac:dyDescent="0.3">
      <c r="D10881" s="1"/>
      <c r="G10881" s="13"/>
      <c r="AL10881" s="13"/>
    </row>
    <row r="10882" spans="4:39" x14ac:dyDescent="0.3">
      <c r="D10882" s="1"/>
      <c r="G10882" s="13"/>
      <c r="AL10882" s="13"/>
      <c r="AM10882" s="14"/>
    </row>
    <row r="10883" spans="4:39" x14ac:dyDescent="0.3">
      <c r="D10883" s="1"/>
      <c r="G10883" s="13"/>
      <c r="AL10883" s="13"/>
    </row>
    <row r="10884" spans="4:39" x14ac:dyDescent="0.3">
      <c r="D10884" s="1"/>
      <c r="G10884" s="13"/>
      <c r="AL10884" s="13"/>
    </row>
    <row r="10885" spans="4:39" x14ac:dyDescent="0.3">
      <c r="D10885" s="1"/>
      <c r="G10885" s="13"/>
      <c r="AL10885" s="13"/>
    </row>
    <row r="10886" spans="4:39" x14ac:dyDescent="0.3">
      <c r="D10886" s="1"/>
      <c r="G10886" s="13"/>
      <c r="AL10886" s="13"/>
    </row>
    <row r="10887" spans="4:39" x14ac:dyDescent="0.3">
      <c r="D10887" s="1"/>
      <c r="G10887" s="13"/>
      <c r="AL10887" s="13"/>
    </row>
    <row r="10888" spans="4:39" x14ac:dyDescent="0.3">
      <c r="D10888" s="1"/>
      <c r="G10888" s="13"/>
      <c r="AL10888" s="13"/>
      <c r="AM10888" s="14"/>
    </row>
    <row r="10889" spans="4:39" x14ac:dyDescent="0.3">
      <c r="D10889" s="1"/>
      <c r="G10889" s="13"/>
      <c r="AL10889" s="13"/>
    </row>
    <row r="10890" spans="4:39" x14ac:dyDescent="0.3">
      <c r="D10890" s="1"/>
      <c r="G10890" s="13"/>
      <c r="AL10890" s="13"/>
    </row>
    <row r="10891" spans="4:39" x14ac:dyDescent="0.3">
      <c r="D10891" s="1"/>
      <c r="G10891" s="13"/>
      <c r="AL10891" s="13"/>
      <c r="AM10891" s="14"/>
    </row>
    <row r="10892" spans="4:39" x14ac:dyDescent="0.3">
      <c r="D10892" s="1"/>
      <c r="G10892" s="13"/>
      <c r="AL10892" s="13"/>
      <c r="AM10892" s="14"/>
    </row>
    <row r="10893" spans="4:39" x14ac:dyDescent="0.3">
      <c r="D10893" s="1"/>
      <c r="G10893" s="13"/>
      <c r="AL10893" s="13"/>
      <c r="AM10893" s="14"/>
    </row>
    <row r="10894" spans="4:39" x14ac:dyDescent="0.3">
      <c r="D10894" s="1"/>
      <c r="G10894" s="13"/>
      <c r="AL10894" s="13"/>
    </row>
    <row r="10895" spans="4:39" x14ac:dyDescent="0.3">
      <c r="D10895" s="1"/>
      <c r="G10895" s="13"/>
      <c r="AL10895" s="13"/>
    </row>
    <row r="10896" spans="4:39" x14ac:dyDescent="0.3">
      <c r="D10896" s="1"/>
      <c r="G10896" s="13"/>
      <c r="AL10896" s="13"/>
      <c r="AM10896" s="14"/>
    </row>
    <row r="10897" spans="4:39" x14ac:dyDescent="0.3">
      <c r="D10897" s="1"/>
      <c r="G10897" s="13"/>
      <c r="AL10897" s="13"/>
    </row>
    <row r="10898" spans="4:39" x14ac:dyDescent="0.3">
      <c r="D10898" s="1"/>
      <c r="G10898" s="13"/>
      <c r="AL10898" s="13"/>
    </row>
    <row r="10899" spans="4:39" x14ac:dyDescent="0.3">
      <c r="D10899" s="1"/>
      <c r="G10899" s="13"/>
      <c r="AL10899" s="13"/>
      <c r="AM10899" s="14"/>
    </row>
    <row r="10900" spans="4:39" x14ac:dyDescent="0.3">
      <c r="D10900" s="1"/>
      <c r="G10900" s="13"/>
      <c r="AL10900" s="13"/>
      <c r="AM10900" s="14"/>
    </row>
    <row r="10901" spans="4:39" x14ac:dyDescent="0.3">
      <c r="D10901" s="1"/>
      <c r="G10901" s="13"/>
      <c r="AL10901" s="13"/>
    </row>
    <row r="10902" spans="4:39" x14ac:dyDescent="0.3">
      <c r="D10902" s="1"/>
      <c r="G10902" s="13"/>
      <c r="AL10902" s="13"/>
    </row>
    <row r="10903" spans="4:39" x14ac:dyDescent="0.3">
      <c r="D10903" s="1"/>
      <c r="G10903" s="13"/>
      <c r="AL10903" s="13"/>
    </row>
    <row r="10904" spans="4:39" x14ac:dyDescent="0.3">
      <c r="D10904" s="1"/>
      <c r="G10904" s="13"/>
      <c r="AL10904" s="13"/>
    </row>
    <row r="10905" spans="4:39" x14ac:dyDescent="0.3">
      <c r="D10905" s="1"/>
      <c r="G10905" s="13"/>
      <c r="AL10905" s="13"/>
    </row>
    <row r="10906" spans="4:39" x14ac:dyDescent="0.3">
      <c r="D10906" s="1"/>
      <c r="G10906" s="13"/>
      <c r="AL10906" s="13"/>
    </row>
    <row r="10907" spans="4:39" x14ac:dyDescent="0.3">
      <c r="D10907" s="1"/>
      <c r="G10907" s="13"/>
      <c r="AL10907" s="13"/>
    </row>
    <row r="10908" spans="4:39" x14ac:dyDescent="0.3">
      <c r="D10908" s="1"/>
      <c r="G10908" s="13"/>
      <c r="AL10908" s="13"/>
    </row>
    <row r="10909" spans="4:39" x14ac:dyDescent="0.3">
      <c r="D10909" s="1"/>
      <c r="G10909" s="13"/>
      <c r="AL10909" s="13"/>
    </row>
    <row r="10910" spans="4:39" x14ac:dyDescent="0.3">
      <c r="D10910" s="1"/>
      <c r="G10910" s="13"/>
      <c r="AL10910" s="13"/>
    </row>
    <row r="10911" spans="4:39" x14ac:dyDescent="0.3">
      <c r="D10911" s="1"/>
      <c r="G10911" s="13"/>
      <c r="AL10911" s="13"/>
    </row>
    <row r="10912" spans="4:39" x14ac:dyDescent="0.3">
      <c r="D10912" s="1"/>
      <c r="G10912" s="13"/>
      <c r="AL10912" s="13"/>
      <c r="AM10912" s="14"/>
    </row>
    <row r="10913" spans="4:39" x14ac:dyDescent="0.3">
      <c r="D10913" s="1"/>
      <c r="G10913" s="13"/>
      <c r="AL10913" s="13"/>
      <c r="AM10913" s="14"/>
    </row>
    <row r="10914" spans="4:39" x14ac:dyDescent="0.3">
      <c r="D10914" s="1"/>
      <c r="G10914" s="13"/>
      <c r="AL10914" s="13"/>
    </row>
    <row r="10915" spans="4:39" x14ac:dyDescent="0.3">
      <c r="D10915" s="1"/>
      <c r="G10915" s="13"/>
      <c r="AL10915" s="13"/>
    </row>
    <row r="10916" spans="4:39" x14ac:dyDescent="0.3">
      <c r="D10916" s="1"/>
      <c r="G10916" s="13"/>
      <c r="AL10916" s="13"/>
    </row>
    <row r="10917" spans="4:39" x14ac:dyDescent="0.3">
      <c r="D10917" s="1"/>
      <c r="G10917" s="13"/>
      <c r="AL10917" s="13"/>
    </row>
    <row r="10918" spans="4:39" x14ac:dyDescent="0.3">
      <c r="D10918" s="1"/>
      <c r="G10918" s="13"/>
      <c r="AL10918" s="13"/>
    </row>
    <row r="10919" spans="4:39" x14ac:dyDescent="0.3">
      <c r="D10919" s="1"/>
      <c r="G10919" s="13"/>
      <c r="AL10919" s="13"/>
    </row>
    <row r="10920" spans="4:39" x14ac:dyDescent="0.3">
      <c r="D10920" s="1"/>
      <c r="G10920" s="13"/>
      <c r="AL10920" s="13"/>
    </row>
    <row r="10921" spans="4:39" x14ac:dyDescent="0.3">
      <c r="D10921" s="1"/>
      <c r="G10921" s="13"/>
      <c r="AL10921" s="13"/>
    </row>
    <row r="10922" spans="4:39" x14ac:dyDescent="0.3">
      <c r="D10922" s="1"/>
      <c r="G10922" s="13"/>
      <c r="AL10922" s="13"/>
    </row>
    <row r="10923" spans="4:39" x14ac:dyDescent="0.3">
      <c r="D10923" s="1"/>
      <c r="G10923" s="13"/>
      <c r="AL10923" s="13"/>
    </row>
    <row r="10924" spans="4:39" x14ac:dyDescent="0.3">
      <c r="D10924" s="1"/>
      <c r="G10924" s="13"/>
      <c r="AL10924" s="13"/>
    </row>
    <row r="10925" spans="4:39" x14ac:dyDescent="0.3">
      <c r="D10925" s="1"/>
      <c r="G10925" s="13"/>
      <c r="AL10925" s="13"/>
    </row>
    <row r="10926" spans="4:39" x14ac:dyDescent="0.3">
      <c r="D10926" s="1"/>
      <c r="G10926" s="13"/>
      <c r="AL10926" s="13"/>
      <c r="AM10926" s="14"/>
    </row>
    <row r="10927" spans="4:39" x14ac:dyDescent="0.3">
      <c r="D10927" s="1"/>
      <c r="G10927" s="13"/>
      <c r="AL10927" s="13"/>
    </row>
    <row r="10928" spans="4:39" x14ac:dyDescent="0.3">
      <c r="D10928" s="1"/>
      <c r="G10928" s="13"/>
      <c r="AL10928" s="13"/>
    </row>
    <row r="10929" spans="4:39" x14ac:dyDescent="0.3">
      <c r="D10929" s="1"/>
      <c r="G10929" s="13"/>
      <c r="AL10929" s="13"/>
    </row>
    <row r="10930" spans="4:39" x14ac:dyDescent="0.3">
      <c r="D10930" s="1"/>
      <c r="G10930" s="13"/>
      <c r="AL10930" s="13"/>
    </row>
    <row r="10931" spans="4:39" x14ac:dyDescent="0.3">
      <c r="D10931" s="1"/>
      <c r="G10931" s="13"/>
      <c r="AL10931" s="13"/>
    </row>
    <row r="10932" spans="4:39" x14ac:dyDescent="0.3">
      <c r="D10932" s="1"/>
      <c r="G10932" s="13"/>
      <c r="AL10932" s="13"/>
    </row>
    <row r="10933" spans="4:39" x14ac:dyDescent="0.3">
      <c r="D10933" s="1"/>
      <c r="G10933" s="13"/>
      <c r="AL10933" s="13"/>
    </row>
    <row r="10934" spans="4:39" x14ac:dyDescent="0.3">
      <c r="D10934" s="1"/>
      <c r="G10934" s="13"/>
      <c r="AL10934" s="13"/>
    </row>
    <row r="10935" spans="4:39" x14ac:dyDescent="0.3">
      <c r="D10935" s="1"/>
      <c r="G10935" s="13"/>
      <c r="AL10935" s="13"/>
    </row>
    <row r="10936" spans="4:39" x14ac:dyDescent="0.3">
      <c r="D10936" s="1"/>
      <c r="G10936" s="13"/>
      <c r="AL10936" s="13"/>
    </row>
    <row r="10937" spans="4:39" x14ac:dyDescent="0.3">
      <c r="D10937" s="1"/>
      <c r="G10937" s="13"/>
      <c r="AL10937" s="13"/>
    </row>
    <row r="10938" spans="4:39" x14ac:dyDescent="0.3">
      <c r="D10938" s="1"/>
      <c r="G10938" s="13"/>
      <c r="AL10938" s="13"/>
    </row>
    <row r="10939" spans="4:39" x14ac:dyDescent="0.3">
      <c r="D10939" s="1"/>
      <c r="G10939" s="13"/>
      <c r="AL10939" s="13"/>
    </row>
    <row r="10940" spans="4:39" x14ac:dyDescent="0.3">
      <c r="D10940" s="1"/>
      <c r="G10940" s="13"/>
      <c r="AL10940" s="13"/>
    </row>
    <row r="10941" spans="4:39" x14ac:dyDescent="0.3">
      <c r="D10941" s="1"/>
      <c r="G10941" s="13"/>
      <c r="AL10941" s="13"/>
    </row>
    <row r="10942" spans="4:39" x14ac:dyDescent="0.3">
      <c r="D10942" s="1"/>
      <c r="G10942" s="13"/>
      <c r="AL10942" s="13"/>
      <c r="AM10942" s="14"/>
    </row>
    <row r="10943" spans="4:39" x14ac:dyDescent="0.3">
      <c r="D10943" s="1"/>
      <c r="G10943" s="13"/>
      <c r="AL10943" s="13"/>
    </row>
    <row r="10944" spans="4:39" x14ac:dyDescent="0.3">
      <c r="D10944" s="1"/>
      <c r="G10944" s="13"/>
      <c r="AL10944" s="13"/>
    </row>
    <row r="10945" spans="4:39" x14ac:dyDescent="0.3">
      <c r="D10945" s="1"/>
      <c r="G10945" s="13"/>
      <c r="AL10945" s="13"/>
    </row>
    <row r="10946" spans="4:39" x14ac:dyDescent="0.3">
      <c r="D10946" s="1"/>
      <c r="G10946" s="13"/>
      <c r="AL10946" s="13"/>
    </row>
    <row r="10947" spans="4:39" x14ac:dyDescent="0.3">
      <c r="D10947" s="1"/>
      <c r="G10947" s="13"/>
      <c r="AL10947" s="13"/>
    </row>
    <row r="10948" spans="4:39" x14ac:dyDescent="0.3">
      <c r="D10948" s="1"/>
      <c r="G10948" s="13"/>
      <c r="AL10948" s="13"/>
    </row>
    <row r="10949" spans="4:39" x14ac:dyDescent="0.3">
      <c r="D10949" s="1"/>
      <c r="G10949" s="13"/>
      <c r="AL10949" s="13"/>
    </row>
    <row r="10950" spans="4:39" x14ac:dyDescent="0.3">
      <c r="D10950" s="1"/>
      <c r="G10950" s="13"/>
      <c r="AL10950" s="13"/>
    </row>
    <row r="10951" spans="4:39" x14ac:dyDescent="0.3">
      <c r="D10951" s="1"/>
      <c r="G10951" s="13"/>
      <c r="AL10951" s="13"/>
    </row>
    <row r="10952" spans="4:39" x14ac:dyDescent="0.3">
      <c r="D10952" s="1"/>
      <c r="G10952" s="13"/>
      <c r="AL10952" s="13"/>
      <c r="AM10952" s="14"/>
    </row>
    <row r="10953" spans="4:39" x14ac:dyDescent="0.3">
      <c r="D10953" s="1"/>
      <c r="G10953" s="13"/>
      <c r="AL10953" s="13"/>
    </row>
    <row r="10954" spans="4:39" x14ac:dyDescent="0.3">
      <c r="D10954" s="1"/>
      <c r="G10954" s="13"/>
      <c r="AL10954" s="13"/>
      <c r="AM10954" s="14"/>
    </row>
    <row r="10955" spans="4:39" x14ac:dyDescent="0.3">
      <c r="D10955" s="1"/>
      <c r="G10955" s="13"/>
      <c r="AL10955" s="13"/>
    </row>
    <row r="10956" spans="4:39" x14ac:dyDescent="0.3">
      <c r="D10956" s="1"/>
      <c r="G10956" s="13"/>
      <c r="AL10956" s="13"/>
      <c r="AM10956" s="14"/>
    </row>
    <row r="10957" spans="4:39" x14ac:dyDescent="0.3">
      <c r="D10957" s="1"/>
      <c r="G10957" s="13"/>
      <c r="AL10957" s="13"/>
    </row>
    <row r="10958" spans="4:39" x14ac:dyDescent="0.3">
      <c r="D10958" s="1"/>
      <c r="G10958" s="13"/>
      <c r="AL10958" s="13"/>
    </row>
    <row r="10959" spans="4:39" x14ac:dyDescent="0.3">
      <c r="D10959" s="1"/>
      <c r="G10959" s="13"/>
      <c r="AL10959" s="13"/>
    </row>
    <row r="10960" spans="4:39" x14ac:dyDescent="0.3">
      <c r="D10960" s="1"/>
      <c r="G10960" s="13"/>
      <c r="AL10960" s="13"/>
    </row>
    <row r="10961" spans="4:39" x14ac:dyDescent="0.3">
      <c r="D10961" s="1"/>
      <c r="G10961" s="13"/>
      <c r="AL10961" s="13"/>
      <c r="AM10961" s="14"/>
    </row>
    <row r="10962" spans="4:39" x14ac:dyDescent="0.3">
      <c r="D10962" s="1"/>
      <c r="G10962" s="13"/>
      <c r="AL10962" s="13"/>
      <c r="AM10962" s="14"/>
    </row>
    <row r="10963" spans="4:39" x14ac:dyDescent="0.3">
      <c r="D10963" s="1"/>
      <c r="G10963" s="13"/>
      <c r="AL10963" s="13"/>
      <c r="AM10963" s="14"/>
    </row>
    <row r="10964" spans="4:39" x14ac:dyDescent="0.3">
      <c r="D10964" s="1"/>
      <c r="G10964" s="13"/>
      <c r="AL10964" s="13"/>
    </row>
    <row r="10965" spans="4:39" x14ac:dyDescent="0.3">
      <c r="D10965" s="1"/>
      <c r="G10965" s="13"/>
      <c r="AL10965" s="13"/>
    </row>
    <row r="10966" spans="4:39" x14ac:dyDescent="0.3">
      <c r="D10966" s="1"/>
      <c r="G10966" s="13"/>
      <c r="AL10966" s="13"/>
      <c r="AM10966" s="14"/>
    </row>
    <row r="10967" spans="4:39" x14ac:dyDescent="0.3">
      <c r="D10967" s="1"/>
      <c r="G10967" s="13"/>
      <c r="AL10967" s="13"/>
      <c r="AM10967" s="14"/>
    </row>
    <row r="10968" spans="4:39" x14ac:dyDescent="0.3">
      <c r="D10968" s="1"/>
      <c r="G10968" s="13"/>
      <c r="AL10968" s="13"/>
      <c r="AM10968" s="14"/>
    </row>
    <row r="10969" spans="4:39" x14ac:dyDescent="0.3">
      <c r="D10969" s="1"/>
      <c r="G10969" s="13"/>
      <c r="AL10969" s="13"/>
    </row>
    <row r="10970" spans="4:39" x14ac:dyDescent="0.3">
      <c r="D10970" s="1"/>
      <c r="G10970" s="13"/>
      <c r="AL10970" s="13"/>
    </row>
    <row r="10971" spans="4:39" x14ac:dyDescent="0.3">
      <c r="D10971" s="1"/>
      <c r="G10971" s="13"/>
      <c r="AL10971" s="13"/>
    </row>
    <row r="10972" spans="4:39" x14ac:dyDescent="0.3">
      <c r="D10972" s="1"/>
      <c r="G10972" s="13"/>
      <c r="AL10972" s="13"/>
    </row>
    <row r="10973" spans="4:39" x14ac:dyDescent="0.3">
      <c r="D10973" s="1"/>
      <c r="G10973" s="13"/>
      <c r="AL10973" s="13"/>
      <c r="AM10973" s="14"/>
    </row>
    <row r="10974" spans="4:39" x14ac:dyDescent="0.3">
      <c r="D10974" s="1"/>
      <c r="G10974" s="13"/>
      <c r="AL10974" s="13"/>
      <c r="AM10974" s="14"/>
    </row>
    <row r="10975" spans="4:39" x14ac:dyDescent="0.3">
      <c r="D10975" s="1"/>
      <c r="G10975" s="13"/>
      <c r="AL10975" s="13"/>
    </row>
    <row r="10976" spans="4:39" x14ac:dyDescent="0.3">
      <c r="D10976" s="1"/>
      <c r="G10976" s="13"/>
      <c r="AL10976" s="13"/>
    </row>
    <row r="10977" spans="4:39" x14ac:dyDescent="0.3">
      <c r="D10977" s="1"/>
      <c r="G10977" s="13"/>
      <c r="AL10977" s="13"/>
      <c r="AM10977" s="14"/>
    </row>
    <row r="10978" spans="4:39" x14ac:dyDescent="0.3">
      <c r="D10978" s="1"/>
      <c r="G10978" s="13"/>
      <c r="AL10978" s="13"/>
    </row>
    <row r="10979" spans="4:39" x14ac:dyDescent="0.3">
      <c r="D10979" s="1"/>
      <c r="G10979" s="13"/>
      <c r="AL10979" s="13"/>
    </row>
    <row r="10980" spans="4:39" x14ac:dyDescent="0.3">
      <c r="D10980" s="1"/>
      <c r="G10980" s="13"/>
      <c r="AL10980" s="13"/>
    </row>
    <row r="10981" spans="4:39" x14ac:dyDescent="0.3">
      <c r="D10981" s="1"/>
      <c r="G10981" s="13"/>
      <c r="AL10981" s="13"/>
    </row>
    <row r="10982" spans="4:39" x14ac:dyDescent="0.3">
      <c r="D10982" s="1"/>
      <c r="G10982" s="13"/>
      <c r="AL10982" s="13"/>
      <c r="AM10982" s="14"/>
    </row>
    <row r="10983" spans="4:39" x14ac:dyDescent="0.3">
      <c r="D10983" s="1"/>
      <c r="G10983" s="13"/>
      <c r="AL10983" s="13"/>
    </row>
    <row r="10984" spans="4:39" x14ac:dyDescent="0.3">
      <c r="D10984" s="1"/>
      <c r="G10984" s="13"/>
      <c r="AL10984" s="13"/>
      <c r="AM10984" s="14"/>
    </row>
    <row r="10985" spans="4:39" x14ac:dyDescent="0.3">
      <c r="D10985" s="1"/>
      <c r="G10985" s="13"/>
      <c r="AL10985" s="13"/>
    </row>
    <row r="10986" spans="4:39" x14ac:dyDescent="0.3">
      <c r="D10986" s="1"/>
      <c r="G10986" s="13"/>
      <c r="AL10986" s="13"/>
    </row>
    <row r="10987" spans="4:39" x14ac:dyDescent="0.3">
      <c r="D10987" s="1"/>
      <c r="G10987" s="13"/>
      <c r="AL10987" s="13"/>
    </row>
    <row r="10988" spans="4:39" x14ac:dyDescent="0.3">
      <c r="D10988" s="1"/>
      <c r="G10988" s="13"/>
      <c r="AL10988" s="13"/>
    </row>
    <row r="10989" spans="4:39" x14ac:dyDescent="0.3">
      <c r="D10989" s="1"/>
      <c r="G10989" s="13"/>
      <c r="AL10989" s="13"/>
    </row>
    <row r="10990" spans="4:39" x14ac:dyDescent="0.3">
      <c r="D10990" s="1"/>
      <c r="G10990" s="13"/>
      <c r="AL10990" s="13"/>
      <c r="AM10990" s="14"/>
    </row>
    <row r="10991" spans="4:39" x14ac:dyDescent="0.3">
      <c r="D10991" s="1"/>
      <c r="G10991" s="13"/>
      <c r="AL10991" s="13"/>
    </row>
    <row r="10992" spans="4:39" x14ac:dyDescent="0.3">
      <c r="D10992" s="1"/>
      <c r="G10992" s="13"/>
      <c r="AL10992" s="13"/>
    </row>
    <row r="10993" spans="4:39" x14ac:dyDescent="0.3">
      <c r="D10993" s="1"/>
      <c r="G10993" s="13"/>
      <c r="AL10993" s="13"/>
      <c r="AM10993" s="14"/>
    </row>
    <row r="10994" spans="4:39" x14ac:dyDescent="0.3">
      <c r="D10994" s="1"/>
      <c r="G10994" s="13"/>
      <c r="AL10994" s="13"/>
    </row>
    <row r="10995" spans="4:39" x14ac:dyDescent="0.3">
      <c r="D10995" s="1"/>
      <c r="G10995" s="13"/>
      <c r="AL10995" s="13"/>
      <c r="AM10995" s="14"/>
    </row>
    <row r="10996" spans="4:39" x14ac:dyDescent="0.3">
      <c r="D10996" s="1"/>
      <c r="G10996" s="13"/>
      <c r="AL10996" s="13"/>
    </row>
    <row r="10997" spans="4:39" x14ac:dyDescent="0.3">
      <c r="D10997" s="1"/>
      <c r="G10997" s="13"/>
      <c r="AL10997" s="13"/>
    </row>
    <row r="10998" spans="4:39" x14ac:dyDescent="0.3">
      <c r="D10998" s="1"/>
      <c r="G10998" s="13"/>
      <c r="AL10998" s="13"/>
      <c r="AM10998" s="14"/>
    </row>
    <row r="10999" spans="4:39" x14ac:dyDescent="0.3">
      <c r="D10999" s="1"/>
      <c r="G10999" s="13"/>
      <c r="AL10999" s="13"/>
      <c r="AM10999" s="14"/>
    </row>
    <row r="11000" spans="4:39" x14ac:dyDescent="0.3">
      <c r="D11000" s="1"/>
      <c r="G11000" s="13"/>
      <c r="AL11000" s="13"/>
      <c r="AM11000" s="14"/>
    </row>
    <row r="11001" spans="4:39" x14ac:dyDescent="0.3">
      <c r="D11001" s="1"/>
      <c r="G11001" s="13"/>
      <c r="AL11001" s="13"/>
      <c r="AM11001" s="14"/>
    </row>
    <row r="11002" spans="4:39" x14ac:dyDescent="0.3">
      <c r="D11002" s="1"/>
      <c r="G11002" s="13"/>
      <c r="AL11002" s="13"/>
      <c r="AM11002" s="14"/>
    </row>
    <row r="11003" spans="4:39" x14ac:dyDescent="0.3">
      <c r="D11003" s="1"/>
      <c r="G11003" s="13"/>
      <c r="AL11003" s="13"/>
      <c r="AM11003" s="14"/>
    </row>
    <row r="11004" spans="4:39" x14ac:dyDescent="0.3">
      <c r="D11004" s="1"/>
      <c r="G11004" s="13"/>
      <c r="AL11004" s="13"/>
      <c r="AM11004" s="14"/>
    </row>
    <row r="11005" spans="4:39" x14ac:dyDescent="0.3">
      <c r="D11005" s="1"/>
      <c r="G11005" s="13"/>
      <c r="AL11005" s="13"/>
      <c r="AM11005" s="14"/>
    </row>
    <row r="11006" spans="4:39" x14ac:dyDescent="0.3">
      <c r="D11006" s="1"/>
      <c r="G11006" s="13"/>
      <c r="AL11006" s="13"/>
    </row>
    <row r="11007" spans="4:39" x14ac:dyDescent="0.3">
      <c r="D11007" s="1"/>
      <c r="G11007" s="13"/>
      <c r="AL11007" s="13"/>
    </row>
    <row r="11008" spans="4:39" x14ac:dyDescent="0.3">
      <c r="D11008" s="1"/>
      <c r="G11008" s="13"/>
      <c r="AL11008" s="13"/>
      <c r="AM11008" s="14"/>
    </row>
    <row r="11009" spans="4:39" x14ac:dyDescent="0.3">
      <c r="D11009" s="1"/>
      <c r="G11009" s="13"/>
      <c r="AL11009" s="13"/>
    </row>
    <row r="11010" spans="4:39" x14ac:dyDescent="0.3">
      <c r="D11010" s="1"/>
      <c r="G11010" s="13"/>
      <c r="AL11010" s="13"/>
      <c r="AM11010" s="14"/>
    </row>
    <row r="11011" spans="4:39" x14ac:dyDescent="0.3">
      <c r="D11011" s="1"/>
      <c r="G11011" s="13"/>
      <c r="AL11011" s="13"/>
      <c r="AM11011" s="14"/>
    </row>
    <row r="11012" spans="4:39" x14ac:dyDescent="0.3">
      <c r="D11012" s="1"/>
      <c r="G11012" s="13"/>
      <c r="AL11012" s="13"/>
    </row>
    <row r="11013" spans="4:39" x14ac:dyDescent="0.3">
      <c r="D11013" s="1"/>
      <c r="G11013" s="13"/>
      <c r="AL11013" s="13"/>
      <c r="AM11013" s="14"/>
    </row>
    <row r="11014" spans="4:39" x14ac:dyDescent="0.3">
      <c r="D11014" s="1"/>
      <c r="G11014" s="13"/>
      <c r="AL11014" s="13"/>
      <c r="AM11014" s="14"/>
    </row>
    <row r="11015" spans="4:39" x14ac:dyDescent="0.3">
      <c r="D11015" s="1"/>
      <c r="G11015" s="13"/>
      <c r="AL11015" s="13"/>
    </row>
    <row r="11016" spans="4:39" x14ac:dyDescent="0.3">
      <c r="D11016" s="1"/>
      <c r="G11016" s="13"/>
      <c r="AL11016" s="13"/>
    </row>
    <row r="11017" spans="4:39" x14ac:dyDescent="0.3">
      <c r="D11017" s="1"/>
      <c r="G11017" s="13"/>
      <c r="AL11017" s="13"/>
    </row>
    <row r="11018" spans="4:39" x14ac:dyDescent="0.3">
      <c r="D11018" s="1"/>
      <c r="G11018" s="13"/>
      <c r="AL11018" s="13"/>
    </row>
    <row r="11019" spans="4:39" x14ac:dyDescent="0.3">
      <c r="D11019" s="1"/>
      <c r="G11019" s="13"/>
      <c r="AL11019" s="13"/>
    </row>
    <row r="11020" spans="4:39" x14ac:dyDescent="0.3">
      <c r="D11020" s="1"/>
      <c r="G11020" s="13"/>
      <c r="AL11020" s="13"/>
      <c r="AM11020" s="14"/>
    </row>
    <row r="11021" spans="4:39" x14ac:dyDescent="0.3">
      <c r="D11021" s="1"/>
      <c r="G11021" s="13"/>
      <c r="AL11021" s="13"/>
      <c r="AM11021" s="14"/>
    </row>
    <row r="11022" spans="4:39" x14ac:dyDescent="0.3">
      <c r="D11022" s="1"/>
      <c r="G11022" s="13"/>
      <c r="AL11022" s="13"/>
      <c r="AM11022" s="14"/>
    </row>
    <row r="11023" spans="4:39" x14ac:dyDescent="0.3">
      <c r="D11023" s="1"/>
      <c r="G11023" s="13"/>
      <c r="AL11023" s="13"/>
    </row>
    <row r="11024" spans="4:39" x14ac:dyDescent="0.3">
      <c r="D11024" s="1"/>
      <c r="G11024" s="13"/>
      <c r="AL11024" s="13"/>
    </row>
    <row r="11025" spans="4:39" x14ac:dyDescent="0.3">
      <c r="D11025" s="1"/>
      <c r="G11025" s="13"/>
      <c r="AL11025" s="13"/>
    </row>
    <row r="11026" spans="4:39" x14ac:dyDescent="0.3">
      <c r="D11026" s="1"/>
      <c r="G11026" s="13"/>
      <c r="AL11026" s="13"/>
    </row>
    <row r="11027" spans="4:39" x14ac:dyDescent="0.3">
      <c r="D11027" s="1"/>
      <c r="G11027" s="13"/>
      <c r="AL11027" s="13"/>
      <c r="AM11027" s="14"/>
    </row>
    <row r="11028" spans="4:39" x14ac:dyDescent="0.3">
      <c r="D11028" s="1"/>
      <c r="G11028" s="13"/>
      <c r="AL11028" s="13"/>
      <c r="AM11028" s="14"/>
    </row>
    <row r="11029" spans="4:39" x14ac:dyDescent="0.3">
      <c r="D11029" s="1"/>
      <c r="G11029" s="13"/>
      <c r="AL11029" s="13"/>
    </row>
    <row r="11030" spans="4:39" x14ac:dyDescent="0.3">
      <c r="D11030" s="1"/>
      <c r="G11030" s="13"/>
      <c r="AL11030" s="13"/>
    </row>
    <row r="11031" spans="4:39" x14ac:dyDescent="0.3">
      <c r="D11031" s="1"/>
      <c r="G11031" s="13"/>
      <c r="AL11031" s="13"/>
    </row>
    <row r="11032" spans="4:39" x14ac:dyDescent="0.3">
      <c r="D11032" s="1"/>
      <c r="G11032" s="13"/>
      <c r="AL11032" s="13"/>
      <c r="AM11032" s="14"/>
    </row>
    <row r="11033" spans="4:39" x14ac:dyDescent="0.3">
      <c r="D11033" s="1"/>
      <c r="G11033" s="13"/>
      <c r="AL11033" s="13"/>
    </row>
    <row r="11034" spans="4:39" x14ac:dyDescent="0.3">
      <c r="D11034" s="1"/>
      <c r="G11034" s="13"/>
      <c r="AL11034" s="13"/>
    </row>
    <row r="11035" spans="4:39" x14ac:dyDescent="0.3">
      <c r="D11035" s="1"/>
      <c r="G11035" s="13"/>
      <c r="AL11035" s="13"/>
      <c r="AM11035" s="14"/>
    </row>
    <row r="11036" spans="4:39" x14ac:dyDescent="0.3">
      <c r="D11036" s="1"/>
      <c r="G11036" s="13"/>
      <c r="AL11036" s="13"/>
    </row>
    <row r="11037" spans="4:39" x14ac:dyDescent="0.3">
      <c r="D11037" s="1"/>
      <c r="G11037" s="13"/>
      <c r="AL11037" s="13"/>
    </row>
    <row r="11038" spans="4:39" x14ac:dyDescent="0.3">
      <c r="D11038" s="1"/>
      <c r="G11038" s="13"/>
      <c r="AL11038" s="13"/>
      <c r="AM11038" s="14"/>
    </row>
    <row r="11039" spans="4:39" x14ac:dyDescent="0.3">
      <c r="D11039" s="1"/>
      <c r="G11039" s="13"/>
      <c r="AL11039" s="13"/>
    </row>
    <row r="11040" spans="4:39" x14ac:dyDescent="0.3">
      <c r="D11040" s="1"/>
      <c r="G11040" s="13"/>
      <c r="AL11040" s="13"/>
    </row>
    <row r="11041" spans="4:39" x14ac:dyDescent="0.3">
      <c r="D11041" s="1"/>
      <c r="G11041" s="13"/>
      <c r="AL11041" s="13"/>
      <c r="AM11041" s="14"/>
    </row>
    <row r="11042" spans="4:39" x14ac:dyDescent="0.3">
      <c r="D11042" s="1"/>
      <c r="G11042" s="13"/>
      <c r="AL11042" s="13"/>
    </row>
    <row r="11043" spans="4:39" x14ac:dyDescent="0.3">
      <c r="D11043" s="1"/>
      <c r="G11043" s="13"/>
      <c r="AL11043" s="13"/>
      <c r="AM11043" s="14"/>
    </row>
    <row r="11044" spans="4:39" x14ac:dyDescent="0.3">
      <c r="D11044" s="1"/>
      <c r="G11044" s="13"/>
      <c r="AL11044" s="13"/>
    </row>
    <row r="11045" spans="4:39" x14ac:dyDescent="0.3">
      <c r="D11045" s="1"/>
      <c r="G11045" s="13"/>
      <c r="AL11045" s="13"/>
    </row>
    <row r="11046" spans="4:39" x14ac:dyDescent="0.3">
      <c r="D11046" s="1"/>
      <c r="G11046" s="13"/>
      <c r="AL11046" s="13"/>
    </row>
    <row r="11047" spans="4:39" x14ac:dyDescent="0.3">
      <c r="D11047" s="1"/>
      <c r="G11047" s="13"/>
      <c r="AL11047" s="13"/>
      <c r="AM11047" s="14"/>
    </row>
    <row r="11048" spans="4:39" x14ac:dyDescent="0.3">
      <c r="D11048" s="1"/>
      <c r="G11048" s="13"/>
      <c r="AL11048" s="13"/>
    </row>
    <row r="11049" spans="4:39" x14ac:dyDescent="0.3">
      <c r="D11049" s="1"/>
      <c r="G11049" s="13"/>
      <c r="AL11049" s="13"/>
    </row>
    <row r="11050" spans="4:39" x14ac:dyDescent="0.3">
      <c r="D11050" s="1"/>
      <c r="G11050" s="13"/>
      <c r="AL11050" s="13"/>
    </row>
    <row r="11051" spans="4:39" x14ac:dyDescent="0.3">
      <c r="D11051" s="1"/>
      <c r="G11051" s="13"/>
      <c r="AL11051" s="13"/>
    </row>
    <row r="11052" spans="4:39" x14ac:dyDescent="0.3">
      <c r="D11052" s="1"/>
      <c r="G11052" s="13"/>
      <c r="AL11052" s="13"/>
    </row>
    <row r="11053" spans="4:39" x14ac:dyDescent="0.3">
      <c r="D11053" s="1"/>
      <c r="G11053" s="13"/>
      <c r="AL11053" s="13"/>
    </row>
    <row r="11054" spans="4:39" x14ac:dyDescent="0.3">
      <c r="D11054" s="1"/>
      <c r="G11054" s="13"/>
      <c r="AL11054" s="13"/>
    </row>
    <row r="11055" spans="4:39" x14ac:dyDescent="0.3">
      <c r="D11055" s="1"/>
      <c r="G11055" s="13"/>
      <c r="AL11055" s="13"/>
    </row>
    <row r="11056" spans="4:39" x14ac:dyDescent="0.3">
      <c r="D11056" s="1"/>
      <c r="G11056" s="13"/>
      <c r="AL11056" s="13"/>
      <c r="AM11056" s="14"/>
    </row>
    <row r="11057" spans="4:39" x14ac:dyDescent="0.3">
      <c r="D11057" s="1"/>
      <c r="G11057" s="13"/>
      <c r="AL11057" s="13"/>
    </row>
    <row r="11058" spans="4:39" x14ac:dyDescent="0.3">
      <c r="D11058" s="1"/>
      <c r="G11058" s="13"/>
      <c r="AL11058" s="13"/>
    </row>
    <row r="11059" spans="4:39" x14ac:dyDescent="0.3">
      <c r="D11059" s="1"/>
      <c r="G11059" s="13"/>
      <c r="AL11059" s="13"/>
    </row>
    <row r="11060" spans="4:39" x14ac:dyDescent="0.3">
      <c r="D11060" s="1"/>
      <c r="G11060" s="13"/>
      <c r="AL11060" s="13"/>
    </row>
    <row r="11061" spans="4:39" x14ac:dyDescent="0.3">
      <c r="D11061" s="1"/>
      <c r="G11061" s="13"/>
      <c r="AL11061" s="13"/>
    </row>
    <row r="11062" spans="4:39" x14ac:dyDescent="0.3">
      <c r="D11062" s="1"/>
      <c r="G11062" s="13"/>
      <c r="AL11062" s="13"/>
    </row>
    <row r="11063" spans="4:39" x14ac:dyDescent="0.3">
      <c r="D11063" s="1"/>
      <c r="G11063" s="13"/>
      <c r="AL11063" s="13"/>
      <c r="AM11063" s="14"/>
    </row>
    <row r="11064" spans="4:39" x14ac:dyDescent="0.3">
      <c r="D11064" s="1"/>
      <c r="G11064" s="13"/>
      <c r="AL11064" s="13"/>
    </row>
    <row r="11065" spans="4:39" x14ac:dyDescent="0.3">
      <c r="D11065" s="1"/>
      <c r="G11065" s="13"/>
      <c r="AL11065" s="13"/>
    </row>
    <row r="11066" spans="4:39" x14ac:dyDescent="0.3">
      <c r="D11066" s="1"/>
      <c r="G11066" s="13"/>
      <c r="AL11066" s="13"/>
    </row>
    <row r="11067" spans="4:39" x14ac:dyDescent="0.3">
      <c r="D11067" s="1"/>
      <c r="G11067" s="13"/>
      <c r="AL11067" s="13"/>
    </row>
    <row r="11068" spans="4:39" x14ac:dyDescent="0.3">
      <c r="D11068" s="1"/>
      <c r="G11068" s="13"/>
      <c r="AL11068" s="13"/>
      <c r="AM11068" s="14"/>
    </row>
    <row r="11069" spans="4:39" x14ac:dyDescent="0.3">
      <c r="D11069" s="1"/>
      <c r="G11069" s="13"/>
      <c r="AL11069" s="13"/>
    </row>
    <row r="11070" spans="4:39" x14ac:dyDescent="0.3">
      <c r="D11070" s="1"/>
      <c r="G11070" s="13"/>
      <c r="AL11070" s="13"/>
      <c r="AM11070" s="14"/>
    </row>
    <row r="11071" spans="4:39" x14ac:dyDescent="0.3">
      <c r="D11071" s="1"/>
      <c r="G11071" s="13"/>
      <c r="AL11071" s="13"/>
    </row>
    <row r="11072" spans="4:39" x14ac:dyDescent="0.3">
      <c r="D11072" s="1"/>
      <c r="G11072" s="13"/>
      <c r="AL11072" s="13"/>
      <c r="AM11072" s="14"/>
    </row>
    <row r="11073" spans="4:39" x14ac:dyDescent="0.3">
      <c r="D11073" s="1"/>
      <c r="G11073" s="13"/>
      <c r="AL11073" s="13"/>
    </row>
    <row r="11074" spans="4:39" x14ac:dyDescent="0.3">
      <c r="D11074" s="1"/>
      <c r="G11074" s="13"/>
      <c r="AL11074" s="13"/>
    </row>
    <row r="11075" spans="4:39" x14ac:dyDescent="0.3">
      <c r="D11075" s="1"/>
      <c r="G11075" s="13"/>
      <c r="AL11075" s="13"/>
    </row>
    <row r="11076" spans="4:39" x14ac:dyDescent="0.3">
      <c r="D11076" s="1"/>
      <c r="G11076" s="13"/>
      <c r="AL11076" s="13"/>
      <c r="AM11076" s="14"/>
    </row>
    <row r="11077" spans="4:39" x14ac:dyDescent="0.3">
      <c r="D11077" s="1"/>
      <c r="G11077" s="13"/>
      <c r="AL11077" s="13"/>
    </row>
    <row r="11078" spans="4:39" x14ac:dyDescent="0.3">
      <c r="D11078" s="1"/>
      <c r="G11078" s="13"/>
      <c r="AL11078" s="13"/>
    </row>
    <row r="11079" spans="4:39" x14ac:dyDescent="0.3">
      <c r="D11079" s="1"/>
      <c r="G11079" s="13"/>
      <c r="AL11079" s="13"/>
    </row>
    <row r="11080" spans="4:39" x14ac:dyDescent="0.3">
      <c r="D11080" s="1"/>
      <c r="G11080" s="13"/>
      <c r="AL11080" s="13"/>
    </row>
    <row r="11081" spans="4:39" x14ac:dyDescent="0.3">
      <c r="D11081" s="1"/>
      <c r="G11081" s="13"/>
      <c r="AL11081" s="13"/>
    </row>
    <row r="11082" spans="4:39" x14ac:dyDescent="0.3">
      <c r="D11082" s="1"/>
      <c r="G11082" s="13"/>
      <c r="AL11082" s="13"/>
    </row>
    <row r="11083" spans="4:39" x14ac:dyDescent="0.3">
      <c r="D11083" s="1"/>
      <c r="G11083" s="13"/>
      <c r="AL11083" s="13"/>
      <c r="AM11083" s="14"/>
    </row>
    <row r="11084" spans="4:39" x14ac:dyDescent="0.3">
      <c r="D11084" s="1"/>
      <c r="G11084" s="13"/>
      <c r="AL11084" s="13"/>
      <c r="AM11084" s="14"/>
    </row>
    <row r="11085" spans="4:39" x14ac:dyDescent="0.3">
      <c r="D11085" s="1"/>
      <c r="G11085" s="13"/>
      <c r="AL11085" s="13"/>
      <c r="AM11085" s="14"/>
    </row>
    <row r="11086" spans="4:39" x14ac:dyDescent="0.3">
      <c r="D11086" s="1"/>
      <c r="G11086" s="13"/>
      <c r="AL11086" s="13"/>
    </row>
    <row r="11087" spans="4:39" x14ac:dyDescent="0.3">
      <c r="D11087" s="1"/>
      <c r="G11087" s="13"/>
      <c r="AL11087" s="13"/>
    </row>
    <row r="11088" spans="4:39" x14ac:dyDescent="0.3">
      <c r="D11088" s="1"/>
      <c r="G11088" s="13"/>
      <c r="AL11088" s="13"/>
      <c r="AM11088" s="14"/>
    </row>
    <row r="11089" spans="4:39" x14ac:dyDescent="0.3">
      <c r="D11089" s="1"/>
      <c r="G11089" s="13"/>
      <c r="AL11089" s="13"/>
    </row>
    <row r="11090" spans="4:39" x14ac:dyDescent="0.3">
      <c r="D11090" s="1"/>
      <c r="G11090" s="13"/>
      <c r="AL11090" s="13"/>
      <c r="AM11090" s="14"/>
    </row>
    <row r="11091" spans="4:39" x14ac:dyDescent="0.3">
      <c r="D11091" s="1"/>
      <c r="G11091" s="13"/>
      <c r="AL11091" s="13"/>
      <c r="AM11091" s="14"/>
    </row>
    <row r="11092" spans="4:39" x14ac:dyDescent="0.3">
      <c r="D11092" s="1"/>
      <c r="G11092" s="13"/>
      <c r="AL11092" s="13"/>
      <c r="AM11092" s="14"/>
    </row>
    <row r="11093" spans="4:39" x14ac:dyDescent="0.3">
      <c r="D11093" s="1"/>
      <c r="G11093" s="13"/>
      <c r="AL11093" s="13"/>
    </row>
    <row r="11094" spans="4:39" x14ac:dyDescent="0.3">
      <c r="D11094" s="1"/>
      <c r="G11094" s="13"/>
      <c r="AL11094" s="13"/>
    </row>
    <row r="11095" spans="4:39" x14ac:dyDescent="0.3">
      <c r="D11095" s="1"/>
      <c r="G11095" s="13"/>
      <c r="AL11095" s="13"/>
      <c r="AM11095" s="14"/>
    </row>
    <row r="11096" spans="4:39" x14ac:dyDescent="0.3">
      <c r="D11096" s="1"/>
      <c r="G11096" s="13"/>
      <c r="AL11096" s="13"/>
    </row>
    <row r="11097" spans="4:39" x14ac:dyDescent="0.3">
      <c r="D11097" s="1"/>
      <c r="G11097" s="13"/>
      <c r="AL11097" s="13"/>
    </row>
    <row r="11098" spans="4:39" x14ac:dyDescent="0.3">
      <c r="D11098" s="1"/>
      <c r="G11098" s="13"/>
      <c r="AL11098" s="13"/>
    </row>
    <row r="11099" spans="4:39" x14ac:dyDescent="0.3">
      <c r="D11099" s="1"/>
      <c r="G11099" s="13"/>
      <c r="AL11099" s="13"/>
    </row>
    <row r="11100" spans="4:39" x14ac:dyDescent="0.3">
      <c r="D11100" s="1"/>
      <c r="G11100" s="13"/>
      <c r="AL11100" s="13"/>
    </row>
    <row r="11101" spans="4:39" x14ac:dyDescent="0.3">
      <c r="D11101" s="1"/>
      <c r="G11101" s="13"/>
      <c r="AL11101" s="13"/>
    </row>
    <row r="11102" spans="4:39" x14ac:dyDescent="0.3">
      <c r="D11102" s="1"/>
      <c r="G11102" s="13"/>
      <c r="AL11102" s="13"/>
      <c r="AM11102" s="14"/>
    </row>
    <row r="11103" spans="4:39" x14ac:dyDescent="0.3">
      <c r="D11103" s="1"/>
      <c r="G11103" s="13"/>
      <c r="AL11103" s="13"/>
    </row>
    <row r="11104" spans="4:39" x14ac:dyDescent="0.3">
      <c r="D11104" s="1"/>
      <c r="G11104" s="13"/>
      <c r="AL11104" s="13"/>
    </row>
    <row r="11105" spans="4:39" x14ac:dyDescent="0.3">
      <c r="D11105" s="1"/>
      <c r="G11105" s="13"/>
      <c r="AL11105" s="13"/>
    </row>
    <row r="11106" spans="4:39" x14ac:dyDescent="0.3">
      <c r="D11106" s="1"/>
      <c r="G11106" s="13"/>
      <c r="AL11106" s="13"/>
    </row>
    <row r="11107" spans="4:39" x14ac:dyDescent="0.3">
      <c r="D11107" s="1"/>
      <c r="G11107" s="13"/>
      <c r="AL11107" s="13"/>
    </row>
    <row r="11108" spans="4:39" x14ac:dyDescent="0.3">
      <c r="D11108" s="1"/>
      <c r="G11108" s="13"/>
      <c r="AL11108" s="13"/>
    </row>
    <row r="11109" spans="4:39" x14ac:dyDescent="0.3">
      <c r="D11109" s="1"/>
      <c r="G11109" s="13"/>
      <c r="AL11109" s="13"/>
    </row>
    <row r="11110" spans="4:39" x14ac:dyDescent="0.3">
      <c r="D11110" s="1"/>
      <c r="G11110" s="13"/>
      <c r="AL11110" s="13"/>
    </row>
    <row r="11111" spans="4:39" x14ac:dyDescent="0.3">
      <c r="D11111" s="1"/>
      <c r="G11111" s="13"/>
      <c r="AL11111" s="13"/>
    </row>
    <row r="11112" spans="4:39" x14ac:dyDescent="0.3">
      <c r="D11112" s="1"/>
      <c r="G11112" s="13"/>
      <c r="AL11112" s="13"/>
    </row>
    <row r="11113" spans="4:39" x14ac:dyDescent="0.3">
      <c r="D11113" s="1"/>
      <c r="G11113" s="13"/>
      <c r="AL11113" s="13"/>
    </row>
    <row r="11114" spans="4:39" x14ac:dyDescent="0.3">
      <c r="D11114" s="1"/>
      <c r="G11114" s="13"/>
      <c r="AL11114" s="13"/>
    </row>
    <row r="11115" spans="4:39" x14ac:dyDescent="0.3">
      <c r="D11115" s="1"/>
      <c r="G11115" s="13"/>
      <c r="AL11115" s="13"/>
    </row>
    <row r="11116" spans="4:39" x14ac:dyDescent="0.3">
      <c r="D11116" s="1"/>
      <c r="G11116" s="13"/>
      <c r="AL11116" s="13"/>
    </row>
    <row r="11117" spans="4:39" x14ac:dyDescent="0.3">
      <c r="D11117" s="1"/>
      <c r="G11117" s="13"/>
      <c r="AL11117" s="13"/>
      <c r="AM11117" s="14"/>
    </row>
    <row r="11118" spans="4:39" x14ac:dyDescent="0.3">
      <c r="D11118" s="1"/>
      <c r="G11118" s="13"/>
      <c r="AL11118" s="13"/>
    </row>
    <row r="11119" spans="4:39" x14ac:dyDescent="0.3">
      <c r="D11119" s="1"/>
      <c r="G11119" s="13"/>
      <c r="AL11119" s="13"/>
    </row>
    <row r="11120" spans="4:39" x14ac:dyDescent="0.3">
      <c r="D11120" s="1"/>
      <c r="G11120" s="13"/>
      <c r="AL11120" s="13"/>
      <c r="AM11120" s="14"/>
    </row>
    <row r="11121" spans="4:39" x14ac:dyDescent="0.3">
      <c r="D11121" s="1"/>
      <c r="G11121" s="13"/>
      <c r="AL11121" s="13"/>
    </row>
    <row r="11122" spans="4:39" x14ac:dyDescent="0.3">
      <c r="D11122" s="1"/>
      <c r="G11122" s="13"/>
      <c r="AL11122" s="13"/>
    </row>
    <row r="11123" spans="4:39" x14ac:dyDescent="0.3">
      <c r="D11123" s="1"/>
      <c r="G11123" s="13"/>
      <c r="AL11123" s="13"/>
    </row>
    <row r="11124" spans="4:39" x14ac:dyDescent="0.3">
      <c r="D11124" s="1"/>
      <c r="G11124" s="13"/>
      <c r="AL11124" s="13"/>
    </row>
    <row r="11125" spans="4:39" x14ac:dyDescent="0.3">
      <c r="D11125" s="1"/>
      <c r="G11125" s="13"/>
      <c r="AL11125" s="13"/>
    </row>
    <row r="11126" spans="4:39" x14ac:dyDescent="0.3">
      <c r="D11126" s="1"/>
      <c r="G11126" s="13"/>
      <c r="AL11126" s="13"/>
      <c r="AM11126" s="14"/>
    </row>
    <row r="11127" spans="4:39" x14ac:dyDescent="0.3">
      <c r="D11127" s="1"/>
      <c r="G11127" s="13"/>
      <c r="AL11127" s="13"/>
    </row>
    <row r="11128" spans="4:39" x14ac:dyDescent="0.3">
      <c r="D11128" s="1"/>
      <c r="G11128" s="13"/>
      <c r="AL11128" s="13"/>
    </row>
    <row r="11129" spans="4:39" x14ac:dyDescent="0.3">
      <c r="D11129" s="1"/>
      <c r="G11129" s="13"/>
      <c r="AL11129" s="13"/>
      <c r="AM11129" s="14"/>
    </row>
    <row r="11130" spans="4:39" x14ac:dyDescent="0.3">
      <c r="D11130" s="1"/>
      <c r="G11130" s="13"/>
      <c r="AL11130" s="13"/>
    </row>
    <row r="11131" spans="4:39" x14ac:dyDescent="0.3">
      <c r="D11131" s="1"/>
      <c r="G11131" s="13"/>
      <c r="AL11131" s="13"/>
    </row>
    <row r="11132" spans="4:39" x14ac:dyDescent="0.3">
      <c r="D11132" s="1"/>
      <c r="G11132" s="13"/>
      <c r="AL11132" s="13"/>
    </row>
    <row r="11133" spans="4:39" x14ac:dyDescent="0.3">
      <c r="D11133" s="1"/>
      <c r="G11133" s="13"/>
      <c r="AL11133" s="13"/>
    </row>
    <row r="11134" spans="4:39" x14ac:dyDescent="0.3">
      <c r="D11134" s="1"/>
      <c r="G11134" s="13"/>
      <c r="AL11134" s="13"/>
    </row>
    <row r="11135" spans="4:39" x14ac:dyDescent="0.3">
      <c r="D11135" s="1"/>
      <c r="G11135" s="13"/>
      <c r="AL11135" s="13"/>
    </row>
    <row r="11136" spans="4:39" x14ac:dyDescent="0.3">
      <c r="D11136" s="1"/>
      <c r="G11136" s="13"/>
      <c r="AL11136" s="13"/>
    </row>
    <row r="11137" spans="4:39" x14ac:dyDescent="0.3">
      <c r="D11137" s="1"/>
      <c r="G11137" s="13"/>
      <c r="AL11137" s="13"/>
    </row>
    <row r="11138" spans="4:39" x14ac:dyDescent="0.3">
      <c r="D11138" s="1"/>
      <c r="G11138" s="13"/>
      <c r="AL11138" s="13"/>
    </row>
    <row r="11139" spans="4:39" x14ac:dyDescent="0.3">
      <c r="D11139" s="1"/>
      <c r="G11139" s="13"/>
      <c r="AL11139" s="13"/>
    </row>
    <row r="11140" spans="4:39" x14ac:dyDescent="0.3">
      <c r="D11140" s="1"/>
      <c r="G11140" s="13"/>
      <c r="AL11140" s="13"/>
      <c r="AM11140" s="14"/>
    </row>
    <row r="11141" spans="4:39" x14ac:dyDescent="0.3">
      <c r="D11141" s="1"/>
      <c r="G11141" s="13"/>
      <c r="AL11141" s="13"/>
    </row>
    <row r="11142" spans="4:39" x14ac:dyDescent="0.3">
      <c r="D11142" s="1"/>
      <c r="G11142" s="13"/>
      <c r="AL11142" s="13"/>
    </row>
    <row r="11143" spans="4:39" x14ac:dyDescent="0.3">
      <c r="D11143" s="1"/>
      <c r="G11143" s="13"/>
      <c r="AL11143" s="13"/>
    </row>
    <row r="11144" spans="4:39" x14ac:dyDescent="0.3">
      <c r="D11144" s="1"/>
      <c r="G11144" s="13"/>
      <c r="AL11144" s="13"/>
      <c r="AM11144" s="14"/>
    </row>
    <row r="11145" spans="4:39" x14ac:dyDescent="0.3">
      <c r="D11145" s="1"/>
      <c r="G11145" s="13"/>
      <c r="AL11145" s="13"/>
      <c r="AM11145" s="14"/>
    </row>
    <row r="11146" spans="4:39" x14ac:dyDescent="0.3">
      <c r="D11146" s="1"/>
      <c r="G11146" s="13"/>
      <c r="AL11146" s="13"/>
    </row>
    <row r="11147" spans="4:39" x14ac:dyDescent="0.3">
      <c r="D11147" s="1"/>
      <c r="G11147" s="13"/>
      <c r="AL11147" s="13"/>
    </row>
    <row r="11148" spans="4:39" x14ac:dyDescent="0.3">
      <c r="D11148" s="1"/>
      <c r="G11148" s="13"/>
      <c r="AL11148" s="13"/>
    </row>
    <row r="11149" spans="4:39" x14ac:dyDescent="0.3">
      <c r="D11149" s="1"/>
      <c r="G11149" s="13"/>
      <c r="AL11149" s="13"/>
    </row>
    <row r="11150" spans="4:39" x14ac:dyDescent="0.3">
      <c r="D11150" s="1"/>
      <c r="G11150" s="13"/>
      <c r="AL11150" s="13"/>
    </row>
    <row r="11151" spans="4:39" x14ac:dyDescent="0.3">
      <c r="D11151" s="1"/>
      <c r="G11151" s="13"/>
      <c r="AL11151" s="13"/>
    </row>
    <row r="11152" spans="4:39" x14ac:dyDescent="0.3">
      <c r="D11152" s="1"/>
      <c r="G11152" s="13"/>
      <c r="AL11152" s="13"/>
    </row>
    <row r="11153" spans="4:39" x14ac:dyDescent="0.3">
      <c r="D11153" s="1"/>
      <c r="G11153" s="13"/>
      <c r="AL11153" s="13"/>
      <c r="AM11153" s="14"/>
    </row>
    <row r="11154" spans="4:39" x14ac:dyDescent="0.3">
      <c r="D11154" s="1"/>
      <c r="G11154" s="13"/>
      <c r="AL11154" s="13"/>
    </row>
    <row r="11155" spans="4:39" x14ac:dyDescent="0.3">
      <c r="D11155" s="1"/>
      <c r="G11155" s="13"/>
      <c r="AL11155" s="13"/>
      <c r="AM11155" s="14"/>
    </row>
    <row r="11156" spans="4:39" x14ac:dyDescent="0.3">
      <c r="D11156" s="1"/>
      <c r="G11156" s="13"/>
      <c r="AL11156" s="13"/>
      <c r="AM11156" s="14"/>
    </row>
    <row r="11157" spans="4:39" x14ac:dyDescent="0.3">
      <c r="D11157" s="1"/>
      <c r="G11157" s="13"/>
      <c r="AL11157" s="13"/>
      <c r="AM11157" s="14"/>
    </row>
    <row r="11158" spans="4:39" x14ac:dyDescent="0.3">
      <c r="D11158" s="1"/>
      <c r="G11158" s="13"/>
      <c r="AL11158" s="13"/>
    </row>
    <row r="11159" spans="4:39" x14ac:dyDescent="0.3">
      <c r="D11159" s="1"/>
      <c r="G11159" s="13"/>
      <c r="AL11159" s="13"/>
    </row>
    <row r="11160" spans="4:39" x14ac:dyDescent="0.3">
      <c r="D11160" s="1"/>
      <c r="G11160" s="13"/>
      <c r="AL11160" s="13"/>
    </row>
    <row r="11161" spans="4:39" x14ac:dyDescent="0.3">
      <c r="D11161" s="1"/>
      <c r="G11161" s="13"/>
      <c r="AL11161" s="13"/>
    </row>
    <row r="11162" spans="4:39" x14ac:dyDescent="0.3">
      <c r="D11162" s="1"/>
      <c r="G11162" s="13"/>
      <c r="AL11162" s="13"/>
    </row>
    <row r="11163" spans="4:39" x14ac:dyDescent="0.3">
      <c r="D11163" s="1"/>
      <c r="G11163" s="13"/>
      <c r="AL11163" s="13"/>
      <c r="AM11163" s="14"/>
    </row>
    <row r="11164" spans="4:39" x14ac:dyDescent="0.3">
      <c r="D11164" s="1"/>
      <c r="G11164" s="13"/>
      <c r="AL11164" s="13"/>
    </row>
    <row r="11165" spans="4:39" x14ac:dyDescent="0.3">
      <c r="D11165" s="1"/>
      <c r="G11165" s="13"/>
      <c r="AL11165" s="13"/>
      <c r="AM11165" s="14"/>
    </row>
    <row r="11166" spans="4:39" x14ac:dyDescent="0.3">
      <c r="D11166" s="1"/>
      <c r="G11166" s="13"/>
      <c r="AL11166" s="13"/>
    </row>
    <row r="11167" spans="4:39" x14ac:dyDescent="0.3">
      <c r="D11167" s="1"/>
      <c r="G11167" s="13"/>
      <c r="AL11167" s="13"/>
      <c r="AM11167" s="14"/>
    </row>
    <row r="11168" spans="4:39" x14ac:dyDescent="0.3">
      <c r="D11168" s="1"/>
      <c r="G11168" s="13"/>
      <c r="AL11168" s="13"/>
    </row>
    <row r="11169" spans="4:39" x14ac:dyDescent="0.3">
      <c r="D11169" s="1"/>
      <c r="G11169" s="13"/>
      <c r="AL11169" s="13"/>
      <c r="AM11169" s="14"/>
    </row>
    <row r="11170" spans="4:39" x14ac:dyDescent="0.3">
      <c r="D11170" s="1"/>
      <c r="G11170" s="13"/>
      <c r="AL11170" s="13"/>
    </row>
    <row r="11171" spans="4:39" x14ac:dyDescent="0.3">
      <c r="D11171" s="1"/>
      <c r="G11171" s="13"/>
      <c r="AL11171" s="13"/>
    </row>
    <row r="11172" spans="4:39" x14ac:dyDescent="0.3">
      <c r="D11172" s="1"/>
      <c r="G11172" s="13"/>
      <c r="AL11172" s="13"/>
    </row>
    <row r="11173" spans="4:39" x14ac:dyDescent="0.3">
      <c r="D11173" s="1"/>
      <c r="G11173" s="13"/>
      <c r="AL11173" s="13"/>
    </row>
    <row r="11174" spans="4:39" x14ac:dyDescent="0.3">
      <c r="D11174" s="1"/>
      <c r="G11174" s="13"/>
      <c r="AL11174" s="13"/>
      <c r="AM11174" s="14"/>
    </row>
    <row r="11175" spans="4:39" x14ac:dyDescent="0.3">
      <c r="D11175" s="1"/>
      <c r="G11175" s="13"/>
      <c r="AL11175" s="13"/>
      <c r="AM11175" s="14"/>
    </row>
    <row r="11176" spans="4:39" x14ac:dyDescent="0.3">
      <c r="D11176" s="1"/>
      <c r="G11176" s="13"/>
      <c r="AL11176" s="13"/>
      <c r="AM11176" s="14"/>
    </row>
    <row r="11177" spans="4:39" x14ac:dyDescent="0.3">
      <c r="D11177" s="1"/>
      <c r="G11177" s="13"/>
      <c r="AL11177" s="13"/>
      <c r="AM11177" s="14"/>
    </row>
    <row r="11178" spans="4:39" x14ac:dyDescent="0.3">
      <c r="D11178" s="1"/>
      <c r="G11178" s="13"/>
      <c r="AL11178" s="13"/>
    </row>
    <row r="11179" spans="4:39" x14ac:dyDescent="0.3">
      <c r="D11179" s="1"/>
      <c r="G11179" s="13"/>
      <c r="AL11179" s="13"/>
    </row>
    <row r="11180" spans="4:39" x14ac:dyDescent="0.3">
      <c r="D11180" s="1"/>
      <c r="G11180" s="13"/>
      <c r="AL11180" s="13"/>
      <c r="AM11180" s="14"/>
    </row>
    <row r="11181" spans="4:39" x14ac:dyDescent="0.3">
      <c r="D11181" s="1"/>
      <c r="G11181" s="13"/>
      <c r="AL11181" s="13"/>
      <c r="AM11181" s="14"/>
    </row>
    <row r="11182" spans="4:39" x14ac:dyDescent="0.3">
      <c r="D11182" s="1"/>
      <c r="G11182" s="13"/>
      <c r="AL11182" s="13"/>
    </row>
    <row r="11183" spans="4:39" x14ac:dyDescent="0.3">
      <c r="D11183" s="1"/>
      <c r="G11183" s="13"/>
      <c r="AL11183" s="13"/>
    </row>
    <row r="11184" spans="4:39" x14ac:dyDescent="0.3">
      <c r="D11184" s="1"/>
      <c r="G11184" s="13"/>
      <c r="AL11184" s="13"/>
      <c r="AM11184" s="14"/>
    </row>
    <row r="11185" spans="4:39" x14ac:dyDescent="0.3">
      <c r="D11185" s="1"/>
      <c r="G11185" s="13"/>
      <c r="AL11185" s="13"/>
      <c r="AM11185" s="14"/>
    </row>
    <row r="11186" spans="4:39" x14ac:dyDescent="0.3">
      <c r="D11186" s="1"/>
      <c r="G11186" s="13"/>
      <c r="AL11186" s="13"/>
    </row>
    <row r="11187" spans="4:39" x14ac:dyDescent="0.3">
      <c r="D11187" s="1"/>
      <c r="G11187" s="13"/>
      <c r="AL11187" s="13"/>
    </row>
    <row r="11188" spans="4:39" x14ac:dyDescent="0.3">
      <c r="D11188" s="1"/>
      <c r="G11188" s="13"/>
      <c r="AL11188" s="13"/>
    </row>
    <row r="11189" spans="4:39" x14ac:dyDescent="0.3">
      <c r="D11189" s="1"/>
      <c r="G11189" s="13"/>
      <c r="AL11189" s="13"/>
    </row>
    <row r="11190" spans="4:39" x14ac:dyDescent="0.3">
      <c r="D11190" s="1"/>
      <c r="G11190" s="13"/>
      <c r="AL11190" s="13"/>
    </row>
    <row r="11191" spans="4:39" x14ac:dyDescent="0.3">
      <c r="D11191" s="1"/>
      <c r="G11191" s="13"/>
      <c r="AL11191" s="13"/>
    </row>
    <row r="11192" spans="4:39" x14ac:dyDescent="0.3">
      <c r="D11192" s="1"/>
      <c r="G11192" s="13"/>
      <c r="AL11192" s="13"/>
    </row>
    <row r="11193" spans="4:39" x14ac:dyDescent="0.3">
      <c r="D11193" s="1"/>
      <c r="G11193" s="13"/>
      <c r="AL11193" s="13"/>
    </row>
    <row r="11194" spans="4:39" x14ac:dyDescent="0.3">
      <c r="D11194" s="1"/>
      <c r="G11194" s="13"/>
      <c r="AL11194" s="13"/>
    </row>
    <row r="11195" spans="4:39" x14ac:dyDescent="0.3">
      <c r="D11195" s="1"/>
      <c r="G11195" s="13"/>
      <c r="AL11195" s="13"/>
    </row>
    <row r="11196" spans="4:39" x14ac:dyDescent="0.3">
      <c r="D11196" s="1"/>
      <c r="G11196" s="13"/>
      <c r="AL11196" s="13"/>
    </row>
    <row r="11197" spans="4:39" x14ac:dyDescent="0.3">
      <c r="D11197" s="1"/>
      <c r="G11197" s="13"/>
      <c r="AL11197" s="13"/>
    </row>
    <row r="11198" spans="4:39" x14ac:dyDescent="0.3">
      <c r="D11198" s="1"/>
      <c r="G11198" s="13"/>
      <c r="AL11198" s="13"/>
    </row>
    <row r="11199" spans="4:39" x14ac:dyDescent="0.3">
      <c r="D11199" s="1"/>
      <c r="G11199" s="13"/>
      <c r="AL11199" s="13"/>
    </row>
    <row r="11200" spans="4:39" x14ac:dyDescent="0.3">
      <c r="D11200" s="1"/>
      <c r="G11200" s="13"/>
      <c r="AL11200" s="13"/>
    </row>
    <row r="11201" spans="4:39" x14ac:dyDescent="0.3">
      <c r="D11201" s="1"/>
      <c r="G11201" s="13"/>
      <c r="AL11201" s="13"/>
    </row>
    <row r="11202" spans="4:39" x14ac:dyDescent="0.3">
      <c r="D11202" s="1"/>
      <c r="G11202" s="13"/>
      <c r="AL11202" s="13"/>
      <c r="AM11202" s="14"/>
    </row>
    <row r="11203" spans="4:39" x14ac:dyDescent="0.3">
      <c r="D11203" s="1"/>
      <c r="G11203" s="13"/>
      <c r="AL11203" s="13"/>
      <c r="AM11203" s="14"/>
    </row>
    <row r="11204" spans="4:39" x14ac:dyDescent="0.3">
      <c r="D11204" s="1"/>
      <c r="G11204" s="13"/>
      <c r="AL11204" s="13"/>
    </row>
    <row r="11205" spans="4:39" x14ac:dyDescent="0.3">
      <c r="D11205" s="1"/>
      <c r="G11205" s="13"/>
      <c r="AL11205" s="13"/>
    </row>
    <row r="11206" spans="4:39" x14ac:dyDescent="0.3">
      <c r="D11206" s="1"/>
      <c r="G11206" s="13"/>
      <c r="AL11206" s="13"/>
    </row>
    <row r="11207" spans="4:39" x14ac:dyDescent="0.3">
      <c r="D11207" s="1"/>
      <c r="G11207" s="13"/>
      <c r="AL11207" s="13"/>
    </row>
    <row r="11208" spans="4:39" x14ac:dyDescent="0.3">
      <c r="D11208" s="1"/>
      <c r="G11208" s="13"/>
      <c r="AL11208" s="13"/>
    </row>
    <row r="11209" spans="4:39" x14ac:dyDescent="0.3">
      <c r="D11209" s="1"/>
      <c r="G11209" s="13"/>
      <c r="AL11209" s="13"/>
    </row>
    <row r="11210" spans="4:39" x14ac:dyDescent="0.3">
      <c r="D11210" s="1"/>
      <c r="G11210" s="13"/>
      <c r="AL11210" s="13"/>
    </row>
    <row r="11211" spans="4:39" x14ac:dyDescent="0.3">
      <c r="D11211" s="1"/>
      <c r="G11211" s="13"/>
      <c r="AL11211" s="13"/>
    </row>
    <row r="11212" spans="4:39" x14ac:dyDescent="0.3">
      <c r="D11212" s="1"/>
      <c r="G11212" s="13"/>
      <c r="AL11212" s="13"/>
    </row>
    <row r="11213" spans="4:39" x14ac:dyDescent="0.3">
      <c r="D11213" s="1"/>
      <c r="G11213" s="13"/>
      <c r="AL11213" s="13"/>
    </row>
    <row r="11214" spans="4:39" x14ac:dyDescent="0.3">
      <c r="D11214" s="1"/>
      <c r="G11214" s="13"/>
      <c r="AL11214" s="13"/>
    </row>
    <row r="11215" spans="4:39" x14ac:dyDescent="0.3">
      <c r="D11215" s="1"/>
      <c r="G11215" s="13"/>
      <c r="AL11215" s="13"/>
    </row>
    <row r="11216" spans="4:39" x14ac:dyDescent="0.3">
      <c r="D11216" s="1"/>
      <c r="G11216" s="13"/>
      <c r="AL11216" s="13"/>
    </row>
    <row r="11217" spans="4:39" x14ac:dyDescent="0.3">
      <c r="D11217" s="1"/>
      <c r="G11217" s="13"/>
      <c r="AL11217" s="13"/>
    </row>
    <row r="11218" spans="4:39" x14ac:dyDescent="0.3">
      <c r="D11218" s="1"/>
      <c r="G11218" s="13"/>
      <c r="AL11218" s="13"/>
    </row>
    <row r="11219" spans="4:39" x14ac:dyDescent="0.3">
      <c r="D11219" s="1"/>
      <c r="G11219" s="13"/>
      <c r="AL11219" s="13"/>
    </row>
    <row r="11220" spans="4:39" x14ac:dyDescent="0.3">
      <c r="D11220" s="1"/>
      <c r="G11220" s="13"/>
      <c r="AL11220" s="13"/>
    </row>
    <row r="11221" spans="4:39" x14ac:dyDescent="0.3">
      <c r="D11221" s="1"/>
      <c r="G11221" s="13"/>
      <c r="AL11221" s="13"/>
    </row>
    <row r="11222" spans="4:39" x14ac:dyDescent="0.3">
      <c r="D11222" s="1"/>
      <c r="G11222" s="13"/>
      <c r="AL11222" s="13"/>
    </row>
    <row r="11223" spans="4:39" x14ac:dyDescent="0.3">
      <c r="D11223" s="1"/>
      <c r="G11223" s="13"/>
      <c r="AL11223" s="13"/>
    </row>
    <row r="11224" spans="4:39" x14ac:dyDescent="0.3">
      <c r="D11224" s="1"/>
      <c r="G11224" s="13"/>
      <c r="AL11224" s="13"/>
    </row>
    <row r="11225" spans="4:39" x14ac:dyDescent="0.3">
      <c r="D11225" s="1"/>
      <c r="G11225" s="13"/>
      <c r="AL11225" s="13"/>
    </row>
    <row r="11226" spans="4:39" x14ac:dyDescent="0.3">
      <c r="D11226" s="1"/>
      <c r="G11226" s="13"/>
      <c r="AL11226" s="13"/>
    </row>
    <row r="11227" spans="4:39" x14ac:dyDescent="0.3">
      <c r="D11227" s="1"/>
      <c r="G11227" s="13"/>
      <c r="AL11227" s="13"/>
    </row>
    <row r="11228" spans="4:39" x14ac:dyDescent="0.3">
      <c r="D11228" s="1"/>
      <c r="G11228" s="13"/>
      <c r="AL11228" s="13"/>
    </row>
    <row r="11229" spans="4:39" x14ac:dyDescent="0.3">
      <c r="D11229" s="1"/>
      <c r="G11229" s="13"/>
      <c r="AL11229" s="13"/>
    </row>
    <row r="11230" spans="4:39" x14ac:dyDescent="0.3">
      <c r="D11230" s="1"/>
      <c r="G11230" s="13"/>
      <c r="AL11230" s="13"/>
      <c r="AM11230" s="14"/>
    </row>
    <row r="11231" spans="4:39" x14ac:dyDescent="0.3">
      <c r="D11231" s="1"/>
      <c r="G11231" s="13"/>
      <c r="AL11231" s="13"/>
    </row>
    <row r="11232" spans="4:39" x14ac:dyDescent="0.3">
      <c r="D11232" s="1"/>
      <c r="G11232" s="13"/>
      <c r="AL11232" s="13"/>
    </row>
    <row r="11233" spans="4:39" x14ac:dyDescent="0.3">
      <c r="D11233" s="1"/>
      <c r="G11233" s="13"/>
      <c r="AL11233" s="13"/>
    </row>
    <row r="11234" spans="4:39" x14ac:dyDescent="0.3">
      <c r="D11234" s="1"/>
      <c r="G11234" s="13"/>
      <c r="AL11234" s="13"/>
    </row>
    <row r="11235" spans="4:39" x14ac:dyDescent="0.3">
      <c r="D11235" s="1"/>
      <c r="G11235" s="13"/>
      <c r="AL11235" s="13"/>
    </row>
    <row r="11236" spans="4:39" x14ac:dyDescent="0.3">
      <c r="D11236" s="1"/>
      <c r="G11236" s="13"/>
      <c r="AL11236" s="13"/>
      <c r="AM11236" s="14"/>
    </row>
    <row r="11237" spans="4:39" x14ac:dyDescent="0.3">
      <c r="D11237" s="1"/>
      <c r="G11237" s="13"/>
      <c r="AL11237" s="13"/>
    </row>
    <row r="11238" spans="4:39" x14ac:dyDescent="0.3">
      <c r="D11238" s="1"/>
      <c r="G11238" s="13"/>
      <c r="AL11238" s="13"/>
    </row>
    <row r="11239" spans="4:39" x14ac:dyDescent="0.3">
      <c r="D11239" s="1"/>
      <c r="G11239" s="13"/>
      <c r="AL11239" s="13"/>
    </row>
    <row r="11240" spans="4:39" x14ac:dyDescent="0.3">
      <c r="D11240" s="1"/>
      <c r="G11240" s="13"/>
      <c r="AL11240" s="13"/>
    </row>
    <row r="11241" spans="4:39" x14ac:dyDescent="0.3">
      <c r="D11241" s="1"/>
      <c r="G11241" s="13"/>
      <c r="AL11241" s="13"/>
      <c r="AM11241" s="14"/>
    </row>
    <row r="11242" spans="4:39" x14ac:dyDescent="0.3">
      <c r="D11242" s="1"/>
      <c r="G11242" s="13"/>
      <c r="AL11242" s="13"/>
    </row>
    <row r="11243" spans="4:39" x14ac:dyDescent="0.3">
      <c r="D11243" s="1"/>
      <c r="G11243" s="13"/>
      <c r="AL11243" s="13"/>
    </row>
    <row r="11244" spans="4:39" x14ac:dyDescent="0.3">
      <c r="D11244" s="1"/>
      <c r="G11244" s="13"/>
      <c r="AL11244" s="13"/>
      <c r="AM11244" s="14"/>
    </row>
    <row r="11245" spans="4:39" x14ac:dyDescent="0.3">
      <c r="D11245" s="1"/>
      <c r="G11245" s="13"/>
      <c r="AL11245" s="13"/>
    </row>
    <row r="11246" spans="4:39" x14ac:dyDescent="0.3">
      <c r="D11246" s="1"/>
      <c r="G11246" s="13"/>
      <c r="AL11246" s="13"/>
    </row>
    <row r="11247" spans="4:39" x14ac:dyDescent="0.3">
      <c r="D11247" s="1"/>
      <c r="G11247" s="13"/>
      <c r="AL11247" s="13"/>
    </row>
    <row r="11248" spans="4:39" x14ac:dyDescent="0.3">
      <c r="D11248" s="1"/>
      <c r="G11248" s="13"/>
      <c r="AL11248" s="13"/>
    </row>
    <row r="11249" spans="4:39" x14ac:dyDescent="0.3">
      <c r="D11249" s="1"/>
      <c r="G11249" s="13"/>
      <c r="AL11249" s="13"/>
    </row>
    <row r="11250" spans="4:39" x14ac:dyDescent="0.3">
      <c r="D11250" s="1"/>
      <c r="G11250" s="13"/>
      <c r="AL11250" s="13"/>
      <c r="AM11250" s="14"/>
    </row>
    <row r="11251" spans="4:39" x14ac:dyDescent="0.3">
      <c r="D11251" s="1"/>
      <c r="G11251" s="13"/>
      <c r="AL11251" s="13"/>
      <c r="AM11251" s="14"/>
    </row>
    <row r="11252" spans="4:39" x14ac:dyDescent="0.3">
      <c r="D11252" s="1"/>
      <c r="G11252" s="13"/>
      <c r="AL11252" s="13"/>
    </row>
    <row r="11253" spans="4:39" x14ac:dyDescent="0.3">
      <c r="D11253" s="1"/>
      <c r="G11253" s="13"/>
      <c r="AL11253" s="13"/>
    </row>
    <row r="11254" spans="4:39" x14ac:dyDescent="0.3">
      <c r="D11254" s="1"/>
      <c r="G11254" s="13"/>
      <c r="AL11254" s="13"/>
    </row>
    <row r="11255" spans="4:39" x14ac:dyDescent="0.3">
      <c r="D11255" s="1"/>
      <c r="G11255" s="13"/>
      <c r="AL11255" s="13"/>
    </row>
    <row r="11256" spans="4:39" x14ac:dyDescent="0.3">
      <c r="D11256" s="1"/>
      <c r="G11256" s="13"/>
      <c r="AL11256" s="13"/>
    </row>
    <row r="11257" spans="4:39" x14ac:dyDescent="0.3">
      <c r="D11257" s="1"/>
      <c r="G11257" s="13"/>
      <c r="AL11257" s="13"/>
    </row>
    <row r="11258" spans="4:39" x14ac:dyDescent="0.3">
      <c r="D11258" s="1"/>
      <c r="G11258" s="13"/>
      <c r="AL11258" s="13"/>
    </row>
    <row r="11259" spans="4:39" x14ac:dyDescent="0.3">
      <c r="D11259" s="1"/>
      <c r="G11259" s="13"/>
      <c r="AL11259" s="13"/>
    </row>
    <row r="11260" spans="4:39" x14ac:dyDescent="0.3">
      <c r="D11260" s="1"/>
      <c r="G11260" s="13"/>
      <c r="AL11260" s="13"/>
    </row>
    <row r="11261" spans="4:39" x14ac:dyDescent="0.3">
      <c r="D11261" s="1"/>
      <c r="G11261" s="13"/>
      <c r="AL11261" s="13"/>
    </row>
    <row r="11262" spans="4:39" x14ac:dyDescent="0.3">
      <c r="D11262" s="1"/>
      <c r="G11262" s="13"/>
      <c r="AL11262" s="13"/>
      <c r="AM11262" s="14"/>
    </row>
    <row r="11263" spans="4:39" x14ac:dyDescent="0.3">
      <c r="D11263" s="1"/>
      <c r="G11263" s="13"/>
      <c r="AL11263" s="13"/>
    </row>
    <row r="11264" spans="4:39" x14ac:dyDescent="0.3">
      <c r="D11264" s="1"/>
      <c r="G11264" s="13"/>
      <c r="AL11264" s="13"/>
    </row>
    <row r="11265" spans="4:39" x14ac:dyDescent="0.3">
      <c r="D11265" s="1"/>
      <c r="G11265" s="13"/>
      <c r="AL11265" s="13"/>
    </row>
    <row r="11266" spans="4:39" x14ac:dyDescent="0.3">
      <c r="D11266" s="1"/>
      <c r="G11266" s="13"/>
      <c r="AL11266" s="13"/>
    </row>
    <row r="11267" spans="4:39" x14ac:dyDescent="0.3">
      <c r="D11267" s="1"/>
      <c r="G11267" s="13"/>
      <c r="AL11267" s="13"/>
      <c r="AM11267" s="14"/>
    </row>
    <row r="11268" spans="4:39" x14ac:dyDescent="0.3">
      <c r="D11268" s="1"/>
      <c r="G11268" s="13"/>
      <c r="AL11268" s="13"/>
    </row>
    <row r="11269" spans="4:39" x14ac:dyDescent="0.3">
      <c r="D11269" s="1"/>
      <c r="G11269" s="13"/>
      <c r="AL11269" s="13"/>
      <c r="AM11269" s="14"/>
    </row>
    <row r="11270" spans="4:39" x14ac:dyDescent="0.3">
      <c r="D11270" s="1"/>
      <c r="G11270" s="13"/>
      <c r="AL11270" s="13"/>
    </row>
    <row r="11271" spans="4:39" x14ac:dyDescent="0.3">
      <c r="D11271" s="1"/>
      <c r="G11271" s="13"/>
      <c r="AL11271" s="13"/>
    </row>
    <row r="11272" spans="4:39" x14ac:dyDescent="0.3">
      <c r="D11272" s="1"/>
      <c r="G11272" s="13"/>
      <c r="AL11272" s="13"/>
    </row>
    <row r="11273" spans="4:39" x14ac:dyDescent="0.3">
      <c r="D11273" s="1"/>
      <c r="G11273" s="13"/>
      <c r="AL11273" s="13"/>
    </row>
    <row r="11274" spans="4:39" x14ac:dyDescent="0.3">
      <c r="D11274" s="1"/>
      <c r="G11274" s="13"/>
      <c r="AL11274" s="13"/>
      <c r="AM11274" s="14"/>
    </row>
    <row r="11275" spans="4:39" x14ac:dyDescent="0.3">
      <c r="D11275" s="1"/>
      <c r="G11275" s="13"/>
      <c r="AL11275" s="13"/>
    </row>
    <row r="11276" spans="4:39" x14ac:dyDescent="0.3">
      <c r="D11276" s="1"/>
      <c r="G11276" s="13"/>
      <c r="AL11276" s="13"/>
      <c r="AM11276" s="14"/>
    </row>
    <row r="11277" spans="4:39" x14ac:dyDescent="0.3">
      <c r="D11277" s="1"/>
      <c r="G11277" s="13"/>
      <c r="AL11277" s="13"/>
      <c r="AM11277" s="14"/>
    </row>
    <row r="11278" spans="4:39" x14ac:dyDescent="0.3">
      <c r="D11278" s="1"/>
      <c r="G11278" s="13"/>
      <c r="AL11278" s="13"/>
      <c r="AM11278" s="14"/>
    </row>
    <row r="11279" spans="4:39" x14ac:dyDescent="0.3">
      <c r="D11279" s="1"/>
      <c r="G11279" s="13"/>
      <c r="AL11279" s="13"/>
      <c r="AM11279" s="14"/>
    </row>
    <row r="11280" spans="4:39" x14ac:dyDescent="0.3">
      <c r="D11280" s="1"/>
      <c r="G11280" s="13"/>
      <c r="AL11280" s="13"/>
      <c r="AM11280" s="14"/>
    </row>
    <row r="11281" spans="4:39" x14ac:dyDescent="0.3">
      <c r="D11281" s="1"/>
      <c r="G11281" s="13"/>
      <c r="AL11281" s="13"/>
      <c r="AM11281" s="14"/>
    </row>
    <row r="11282" spans="4:39" x14ac:dyDescent="0.3">
      <c r="D11282" s="1"/>
      <c r="G11282" s="13"/>
      <c r="AL11282" s="13"/>
      <c r="AM11282" s="14"/>
    </row>
    <row r="11283" spans="4:39" x14ac:dyDescent="0.3">
      <c r="D11283" s="1"/>
      <c r="G11283" s="13"/>
      <c r="AL11283" s="13"/>
      <c r="AM11283" s="14"/>
    </row>
    <row r="11284" spans="4:39" x14ac:dyDescent="0.3">
      <c r="D11284" s="1"/>
      <c r="G11284" s="13"/>
      <c r="AL11284" s="13"/>
      <c r="AM11284" s="14"/>
    </row>
    <row r="11285" spans="4:39" x14ac:dyDescent="0.3">
      <c r="D11285" s="1"/>
      <c r="G11285" s="13"/>
      <c r="AL11285" s="13"/>
      <c r="AM11285" s="14"/>
    </row>
    <row r="11286" spans="4:39" x14ac:dyDescent="0.3">
      <c r="D11286" s="1"/>
      <c r="G11286" s="13"/>
      <c r="AL11286" s="13"/>
    </row>
    <row r="11287" spans="4:39" x14ac:dyDescent="0.3">
      <c r="D11287" s="1"/>
      <c r="G11287" s="13"/>
      <c r="AL11287" s="13"/>
    </row>
    <row r="11288" spans="4:39" x14ac:dyDescent="0.3">
      <c r="D11288" s="1"/>
      <c r="G11288" s="13"/>
      <c r="AL11288" s="13"/>
    </row>
    <row r="11289" spans="4:39" x14ac:dyDescent="0.3">
      <c r="D11289" s="1"/>
      <c r="G11289" s="13"/>
      <c r="AL11289" s="13"/>
    </row>
    <row r="11290" spans="4:39" x14ac:dyDescent="0.3">
      <c r="D11290" s="1"/>
      <c r="G11290" s="13"/>
      <c r="AL11290" s="13"/>
      <c r="AM11290" s="14"/>
    </row>
    <row r="11291" spans="4:39" x14ac:dyDescent="0.3">
      <c r="D11291" s="1"/>
      <c r="G11291" s="13"/>
      <c r="AL11291" s="13"/>
    </row>
    <row r="11292" spans="4:39" x14ac:dyDescent="0.3">
      <c r="D11292" s="1"/>
      <c r="G11292" s="13"/>
      <c r="AL11292" s="13"/>
    </row>
    <row r="11293" spans="4:39" x14ac:dyDescent="0.3">
      <c r="D11293" s="1"/>
      <c r="G11293" s="13"/>
      <c r="AL11293" s="13"/>
      <c r="AM11293" s="14"/>
    </row>
    <row r="11294" spans="4:39" x14ac:dyDescent="0.3">
      <c r="D11294" s="1"/>
      <c r="G11294" s="13"/>
      <c r="AL11294" s="13"/>
    </row>
    <row r="11295" spans="4:39" x14ac:dyDescent="0.3">
      <c r="D11295" s="1"/>
      <c r="G11295" s="13"/>
      <c r="AL11295" s="13"/>
    </row>
    <row r="11296" spans="4:39" x14ac:dyDescent="0.3">
      <c r="D11296" s="1"/>
      <c r="G11296" s="13"/>
      <c r="AL11296" s="13"/>
    </row>
    <row r="11297" spans="4:39" x14ac:dyDescent="0.3">
      <c r="D11297" s="1"/>
      <c r="G11297" s="13"/>
      <c r="AL11297" s="13"/>
      <c r="AM11297" s="14"/>
    </row>
    <row r="11298" spans="4:39" x14ac:dyDescent="0.3">
      <c r="D11298" s="1"/>
      <c r="G11298" s="13"/>
      <c r="AL11298" s="13"/>
    </row>
    <row r="11299" spans="4:39" x14ac:dyDescent="0.3">
      <c r="D11299" s="1"/>
      <c r="G11299" s="13"/>
      <c r="AL11299" s="13"/>
    </row>
    <row r="11300" spans="4:39" x14ac:dyDescent="0.3">
      <c r="D11300" s="1"/>
      <c r="G11300" s="13"/>
      <c r="AL11300" s="13"/>
    </row>
    <row r="11301" spans="4:39" x14ac:dyDescent="0.3">
      <c r="D11301" s="1"/>
      <c r="G11301" s="13"/>
      <c r="AL11301" s="13"/>
    </row>
    <row r="11302" spans="4:39" x14ac:dyDescent="0.3">
      <c r="D11302" s="1"/>
      <c r="G11302" s="13"/>
      <c r="AL11302" s="13"/>
    </row>
    <row r="11303" spans="4:39" x14ac:dyDescent="0.3">
      <c r="D11303" s="1"/>
      <c r="G11303" s="13"/>
      <c r="AL11303" s="13"/>
    </row>
    <row r="11304" spans="4:39" x14ac:dyDescent="0.3">
      <c r="D11304" s="1"/>
      <c r="G11304" s="13"/>
      <c r="AL11304" s="13"/>
    </row>
    <row r="11305" spans="4:39" x14ac:dyDescent="0.3">
      <c r="D11305" s="1"/>
      <c r="G11305" s="13"/>
      <c r="AL11305" s="13"/>
    </row>
    <row r="11306" spans="4:39" x14ac:dyDescent="0.3">
      <c r="D11306" s="1"/>
      <c r="G11306" s="13"/>
      <c r="AL11306" s="13"/>
    </row>
    <row r="11307" spans="4:39" x14ac:dyDescent="0.3">
      <c r="D11307" s="1"/>
      <c r="G11307" s="13"/>
      <c r="AL11307" s="13"/>
      <c r="AM11307" s="14"/>
    </row>
    <row r="11308" spans="4:39" x14ac:dyDescent="0.3">
      <c r="D11308" s="1"/>
      <c r="G11308" s="13"/>
      <c r="AL11308" s="13"/>
      <c r="AM11308" s="14"/>
    </row>
    <row r="11309" spans="4:39" x14ac:dyDescent="0.3">
      <c r="D11309" s="1"/>
      <c r="G11309" s="13"/>
      <c r="AL11309" s="13"/>
      <c r="AM11309" s="14"/>
    </row>
    <row r="11310" spans="4:39" x14ac:dyDescent="0.3">
      <c r="D11310" s="1"/>
      <c r="G11310" s="13"/>
      <c r="AL11310" s="13"/>
    </row>
    <row r="11311" spans="4:39" x14ac:dyDescent="0.3">
      <c r="D11311" s="1"/>
      <c r="G11311" s="13"/>
      <c r="AL11311" s="13"/>
      <c r="AM11311" s="14"/>
    </row>
    <row r="11312" spans="4:39" x14ac:dyDescent="0.3">
      <c r="D11312" s="1"/>
      <c r="G11312" s="13"/>
      <c r="AL11312" s="13"/>
    </row>
    <row r="11313" spans="4:39" x14ac:dyDescent="0.3">
      <c r="D11313" s="1"/>
      <c r="G11313" s="13"/>
      <c r="AL11313" s="13"/>
    </row>
    <row r="11314" spans="4:39" x14ac:dyDescent="0.3">
      <c r="D11314" s="1"/>
      <c r="G11314" s="13"/>
      <c r="AL11314" s="13"/>
    </row>
    <row r="11315" spans="4:39" x14ac:dyDescent="0.3">
      <c r="D11315" s="1"/>
      <c r="G11315" s="13"/>
      <c r="AL11315" s="13"/>
    </row>
    <row r="11316" spans="4:39" x14ac:dyDescent="0.3">
      <c r="D11316" s="1"/>
      <c r="G11316" s="13"/>
      <c r="AL11316" s="13"/>
    </row>
    <row r="11317" spans="4:39" x14ac:dyDescent="0.3">
      <c r="D11317" s="1"/>
      <c r="G11317" s="13"/>
      <c r="AL11317" s="13"/>
      <c r="AM11317" s="14"/>
    </row>
    <row r="11318" spans="4:39" x14ac:dyDescent="0.3">
      <c r="D11318" s="1"/>
      <c r="G11318" s="13"/>
      <c r="AL11318" s="13"/>
    </row>
    <row r="11319" spans="4:39" x14ac:dyDescent="0.3">
      <c r="D11319" s="1"/>
      <c r="G11319" s="13"/>
      <c r="AL11319" s="13"/>
    </row>
    <row r="11320" spans="4:39" x14ac:dyDescent="0.3">
      <c r="D11320" s="1"/>
      <c r="G11320" s="13"/>
      <c r="AL11320" s="13"/>
    </row>
    <row r="11321" spans="4:39" x14ac:dyDescent="0.3">
      <c r="D11321" s="1"/>
      <c r="G11321" s="13"/>
      <c r="AL11321" s="13"/>
    </row>
    <row r="11322" spans="4:39" x14ac:dyDescent="0.3">
      <c r="D11322" s="1"/>
      <c r="G11322" s="13"/>
      <c r="AL11322" s="13"/>
    </row>
    <row r="11323" spans="4:39" x14ac:dyDescent="0.3">
      <c r="D11323" s="1"/>
      <c r="G11323" s="13"/>
      <c r="AL11323" s="13"/>
    </row>
    <row r="11324" spans="4:39" x14ac:dyDescent="0.3">
      <c r="D11324" s="1"/>
      <c r="G11324" s="13"/>
      <c r="AL11324" s="13"/>
    </row>
    <row r="11325" spans="4:39" x14ac:dyDescent="0.3">
      <c r="D11325" s="1"/>
      <c r="G11325" s="13"/>
      <c r="AL11325" s="13"/>
    </row>
    <row r="11326" spans="4:39" x14ac:dyDescent="0.3">
      <c r="D11326" s="1"/>
      <c r="G11326" s="13"/>
      <c r="AL11326" s="13"/>
      <c r="AM11326" s="14"/>
    </row>
    <row r="11327" spans="4:39" x14ac:dyDescent="0.3">
      <c r="D11327" s="1"/>
      <c r="G11327" s="13"/>
      <c r="AL11327" s="13"/>
    </row>
    <row r="11328" spans="4:39" x14ac:dyDescent="0.3">
      <c r="D11328" s="1"/>
      <c r="G11328" s="13"/>
      <c r="AL11328" s="13"/>
      <c r="AM11328" s="14"/>
    </row>
    <row r="11329" spans="4:39" x14ac:dyDescent="0.3">
      <c r="D11329" s="1"/>
      <c r="G11329" s="13"/>
      <c r="AL11329" s="13"/>
    </row>
    <row r="11330" spans="4:39" x14ac:dyDescent="0.3">
      <c r="D11330" s="1"/>
      <c r="G11330" s="13"/>
      <c r="AL11330" s="13"/>
    </row>
    <row r="11331" spans="4:39" x14ac:dyDescent="0.3">
      <c r="D11331" s="1"/>
      <c r="G11331" s="13"/>
      <c r="AL11331" s="13"/>
      <c r="AM11331" s="14"/>
    </row>
    <row r="11332" spans="4:39" x14ac:dyDescent="0.3">
      <c r="D11332" s="1"/>
      <c r="G11332" s="13"/>
      <c r="AL11332" s="13"/>
    </row>
    <row r="11333" spans="4:39" x14ac:dyDescent="0.3">
      <c r="D11333" s="1"/>
      <c r="G11333" s="13"/>
      <c r="AL11333" s="13"/>
      <c r="AM11333" s="14"/>
    </row>
    <row r="11334" spans="4:39" x14ac:dyDescent="0.3">
      <c r="D11334" s="1"/>
      <c r="G11334" s="13"/>
      <c r="AL11334" s="13"/>
      <c r="AM11334" s="14"/>
    </row>
    <row r="11335" spans="4:39" x14ac:dyDescent="0.3">
      <c r="D11335" s="1"/>
      <c r="G11335" s="13"/>
      <c r="AL11335" s="13"/>
      <c r="AM11335" s="14"/>
    </row>
    <row r="11336" spans="4:39" x14ac:dyDescent="0.3">
      <c r="D11336" s="1"/>
      <c r="G11336" s="13"/>
      <c r="AL11336" s="13"/>
      <c r="AM11336" s="14"/>
    </row>
    <row r="11337" spans="4:39" x14ac:dyDescent="0.3">
      <c r="D11337" s="1"/>
      <c r="G11337" s="13"/>
      <c r="AL11337" s="13"/>
    </row>
    <row r="11338" spans="4:39" x14ac:dyDescent="0.3">
      <c r="D11338" s="1"/>
      <c r="G11338" s="13"/>
      <c r="AL11338" s="13"/>
      <c r="AM11338" s="14"/>
    </row>
    <row r="11339" spans="4:39" x14ac:dyDescent="0.3">
      <c r="D11339" s="1"/>
      <c r="G11339" s="13"/>
      <c r="AL11339" s="13"/>
      <c r="AM11339" s="14"/>
    </row>
    <row r="11340" spans="4:39" x14ac:dyDescent="0.3">
      <c r="D11340" s="1"/>
      <c r="G11340" s="13"/>
      <c r="AL11340" s="13"/>
      <c r="AM11340" s="14"/>
    </row>
    <row r="11341" spans="4:39" x14ac:dyDescent="0.3">
      <c r="D11341" s="1"/>
      <c r="G11341" s="13"/>
      <c r="AL11341" s="13"/>
      <c r="AM11341" s="14"/>
    </row>
    <row r="11342" spans="4:39" x14ac:dyDescent="0.3">
      <c r="D11342" s="1"/>
      <c r="G11342" s="13"/>
      <c r="AL11342" s="13"/>
      <c r="AM11342" s="14"/>
    </row>
    <row r="11343" spans="4:39" x14ac:dyDescent="0.3">
      <c r="D11343" s="1"/>
      <c r="G11343" s="13"/>
      <c r="AL11343" s="13"/>
      <c r="AM11343" s="14"/>
    </row>
    <row r="11344" spans="4:39" x14ac:dyDescent="0.3">
      <c r="D11344" s="1"/>
      <c r="G11344" s="13"/>
      <c r="AL11344" s="13"/>
      <c r="AM11344" s="14"/>
    </row>
    <row r="11345" spans="4:39" x14ac:dyDescent="0.3">
      <c r="D11345" s="1"/>
      <c r="G11345" s="13"/>
      <c r="AL11345" s="13"/>
    </row>
    <row r="11346" spans="4:39" x14ac:dyDescent="0.3">
      <c r="D11346" s="1"/>
      <c r="G11346" s="13"/>
      <c r="AL11346" s="13"/>
      <c r="AM11346" s="14"/>
    </row>
    <row r="11347" spans="4:39" x14ac:dyDescent="0.3">
      <c r="D11347" s="1"/>
      <c r="G11347" s="13"/>
      <c r="AL11347" s="13"/>
      <c r="AM11347" s="14"/>
    </row>
    <row r="11348" spans="4:39" x14ac:dyDescent="0.3">
      <c r="D11348" s="1"/>
      <c r="G11348" s="13"/>
      <c r="AL11348" s="13"/>
    </row>
    <row r="11349" spans="4:39" x14ac:dyDescent="0.3">
      <c r="D11349" s="1"/>
      <c r="G11349" s="13"/>
      <c r="AL11349" s="13"/>
      <c r="AM11349" s="14"/>
    </row>
    <row r="11350" spans="4:39" x14ac:dyDescent="0.3">
      <c r="D11350" s="1"/>
      <c r="G11350" s="13"/>
      <c r="AL11350" s="13"/>
      <c r="AM11350" s="14"/>
    </row>
    <row r="11351" spans="4:39" x14ac:dyDescent="0.3">
      <c r="D11351" s="1"/>
      <c r="G11351" s="13"/>
      <c r="AL11351" s="13"/>
      <c r="AM11351" s="14"/>
    </row>
    <row r="11352" spans="4:39" x14ac:dyDescent="0.3">
      <c r="D11352" s="1"/>
      <c r="G11352" s="13"/>
      <c r="AL11352" s="13"/>
    </row>
    <row r="11353" spans="4:39" x14ac:dyDescent="0.3">
      <c r="D11353" s="1"/>
      <c r="G11353" s="13"/>
      <c r="AL11353" s="13"/>
    </row>
    <row r="11354" spans="4:39" x14ac:dyDescent="0.3">
      <c r="D11354" s="1"/>
      <c r="G11354" s="13"/>
      <c r="AL11354" s="13"/>
    </row>
    <row r="11355" spans="4:39" x14ac:dyDescent="0.3">
      <c r="D11355" s="1"/>
      <c r="G11355" s="13"/>
      <c r="AL11355" s="13"/>
      <c r="AM11355" s="14"/>
    </row>
    <row r="11356" spans="4:39" x14ac:dyDescent="0.3">
      <c r="D11356" s="1"/>
      <c r="G11356" s="13"/>
      <c r="AL11356" s="13"/>
    </row>
    <row r="11357" spans="4:39" x14ac:dyDescent="0.3">
      <c r="D11357" s="1"/>
      <c r="G11357" s="13"/>
      <c r="AL11357" s="13"/>
    </row>
    <row r="11358" spans="4:39" x14ac:dyDescent="0.3">
      <c r="D11358" s="1"/>
      <c r="G11358" s="13"/>
      <c r="AL11358" s="13"/>
      <c r="AM11358" s="14"/>
    </row>
    <row r="11359" spans="4:39" x14ac:dyDescent="0.3">
      <c r="D11359" s="1"/>
      <c r="G11359" s="13"/>
      <c r="AL11359" s="13"/>
      <c r="AM11359" s="14"/>
    </row>
    <row r="11360" spans="4:39" x14ac:dyDescent="0.3">
      <c r="D11360" s="1"/>
      <c r="G11360" s="13"/>
      <c r="AL11360" s="13"/>
    </row>
    <row r="11361" spans="4:39" x14ac:dyDescent="0.3">
      <c r="D11361" s="1"/>
      <c r="G11361" s="13"/>
      <c r="AL11361" s="13"/>
      <c r="AM11361" s="14"/>
    </row>
    <row r="11362" spans="4:39" x14ac:dyDescent="0.3">
      <c r="D11362" s="1"/>
      <c r="G11362" s="13"/>
      <c r="AL11362" s="13"/>
      <c r="AM11362" s="14"/>
    </row>
    <row r="11363" spans="4:39" x14ac:dyDescent="0.3">
      <c r="D11363" s="1"/>
      <c r="G11363" s="13"/>
      <c r="AL11363" s="13"/>
    </row>
    <row r="11364" spans="4:39" x14ac:dyDescent="0.3">
      <c r="D11364" s="1"/>
      <c r="G11364" s="13"/>
      <c r="AL11364" s="13"/>
      <c r="AM11364" s="14"/>
    </row>
    <row r="11365" spans="4:39" x14ac:dyDescent="0.3">
      <c r="D11365" s="1"/>
      <c r="G11365" s="13"/>
      <c r="AL11365" s="13"/>
      <c r="AM11365" s="14"/>
    </row>
    <row r="11366" spans="4:39" x14ac:dyDescent="0.3">
      <c r="D11366" s="1"/>
      <c r="G11366" s="13"/>
      <c r="AL11366" s="13"/>
      <c r="AM11366" s="14"/>
    </row>
    <row r="11367" spans="4:39" x14ac:dyDescent="0.3">
      <c r="D11367" s="1"/>
      <c r="G11367" s="13"/>
      <c r="AL11367" s="13"/>
      <c r="AM11367" s="14"/>
    </row>
    <row r="11368" spans="4:39" x14ac:dyDescent="0.3">
      <c r="D11368" s="1"/>
      <c r="G11368" s="13"/>
      <c r="AL11368" s="13"/>
    </row>
    <row r="11369" spans="4:39" x14ac:dyDescent="0.3">
      <c r="D11369" s="1"/>
      <c r="G11369" s="13"/>
      <c r="AL11369" s="13"/>
      <c r="AM11369" s="14"/>
    </row>
    <row r="11370" spans="4:39" x14ac:dyDescent="0.3">
      <c r="D11370" s="1"/>
      <c r="G11370" s="13"/>
      <c r="AL11370" s="13"/>
    </row>
    <row r="11371" spans="4:39" x14ac:dyDescent="0.3">
      <c r="D11371" s="1"/>
      <c r="G11371" s="13"/>
      <c r="AL11371" s="13"/>
      <c r="AM11371" s="14"/>
    </row>
    <row r="11372" spans="4:39" x14ac:dyDescent="0.3">
      <c r="D11372" s="1"/>
      <c r="G11372" s="13"/>
      <c r="AL11372" s="13"/>
    </row>
    <row r="11373" spans="4:39" x14ac:dyDescent="0.3">
      <c r="D11373" s="1"/>
      <c r="G11373" s="13"/>
      <c r="AL11373" s="13"/>
      <c r="AM11373" s="14"/>
    </row>
    <row r="11374" spans="4:39" x14ac:dyDescent="0.3">
      <c r="D11374" s="1"/>
      <c r="G11374" s="13"/>
      <c r="AL11374" s="13"/>
      <c r="AM11374" s="14"/>
    </row>
    <row r="11375" spans="4:39" x14ac:dyDescent="0.3">
      <c r="D11375" s="1"/>
      <c r="G11375" s="13"/>
      <c r="AL11375" s="13"/>
    </row>
    <row r="11376" spans="4:39" x14ac:dyDescent="0.3">
      <c r="D11376" s="1"/>
      <c r="G11376" s="13"/>
      <c r="AL11376" s="13"/>
    </row>
    <row r="11377" spans="4:38" x14ac:dyDescent="0.3">
      <c r="D11377" s="1"/>
      <c r="G11377" s="13"/>
      <c r="AL11377" s="13"/>
    </row>
    <row r="11378" spans="4:38" x14ac:dyDescent="0.3">
      <c r="D11378" s="1"/>
      <c r="G11378" s="13"/>
      <c r="AL11378" s="13"/>
    </row>
    <row r="11379" spans="4:38" x14ac:dyDescent="0.3">
      <c r="D11379" s="1"/>
      <c r="G11379" s="13"/>
      <c r="AL11379" s="13"/>
    </row>
    <row r="11380" spans="4:38" x14ac:dyDescent="0.3">
      <c r="D11380" s="1"/>
      <c r="G11380" s="13"/>
      <c r="AL11380" s="13"/>
    </row>
    <row r="11381" spans="4:38" x14ac:dyDescent="0.3">
      <c r="D11381" s="1"/>
      <c r="G11381" s="13"/>
      <c r="AL11381" s="13"/>
    </row>
    <row r="11382" spans="4:38" x14ac:dyDescent="0.3">
      <c r="D11382" s="1"/>
      <c r="G11382" s="13"/>
      <c r="AL11382" s="13"/>
    </row>
    <row r="11383" spans="4:38" x14ac:dyDescent="0.3">
      <c r="D11383" s="1"/>
      <c r="G11383" s="13"/>
      <c r="AL11383" s="13"/>
    </row>
    <row r="11384" spans="4:38" x14ac:dyDescent="0.3">
      <c r="D11384" s="1"/>
      <c r="G11384" s="13"/>
      <c r="AL11384" s="13"/>
    </row>
    <row r="11385" spans="4:38" x14ac:dyDescent="0.3">
      <c r="D11385" s="1"/>
      <c r="G11385" s="13"/>
      <c r="AL11385" s="13"/>
    </row>
    <row r="11386" spans="4:38" x14ac:dyDescent="0.3">
      <c r="D11386" s="1"/>
      <c r="G11386" s="13"/>
      <c r="AL11386" s="13"/>
    </row>
    <row r="11387" spans="4:38" x14ac:dyDescent="0.3">
      <c r="D11387" s="1"/>
      <c r="G11387" s="13"/>
      <c r="AL11387" s="13"/>
    </row>
    <row r="11388" spans="4:38" x14ac:dyDescent="0.3">
      <c r="D11388" s="1"/>
      <c r="G11388" s="13"/>
      <c r="AL11388" s="13"/>
    </row>
    <row r="11389" spans="4:38" x14ac:dyDescent="0.3">
      <c r="D11389" s="1"/>
      <c r="G11389" s="13"/>
      <c r="AL11389" s="13"/>
    </row>
    <row r="11390" spans="4:38" x14ac:dyDescent="0.3">
      <c r="D11390" s="1"/>
      <c r="G11390" s="13"/>
      <c r="AL11390" s="13"/>
    </row>
    <row r="11391" spans="4:38" x14ac:dyDescent="0.3">
      <c r="D11391" s="1"/>
      <c r="G11391" s="13"/>
      <c r="AL11391" s="13"/>
    </row>
    <row r="11392" spans="4:38" x14ac:dyDescent="0.3">
      <c r="D11392" s="1"/>
      <c r="G11392" s="13"/>
      <c r="AL11392" s="13"/>
    </row>
    <row r="11393" spans="4:39" x14ac:dyDescent="0.3">
      <c r="D11393" s="1"/>
      <c r="G11393" s="13"/>
      <c r="AL11393" s="13"/>
    </row>
    <row r="11394" spans="4:39" x14ac:dyDescent="0.3">
      <c r="D11394" s="1"/>
      <c r="G11394" s="13"/>
      <c r="AL11394" s="13"/>
    </row>
    <row r="11395" spans="4:39" x14ac:dyDescent="0.3">
      <c r="D11395" s="1"/>
      <c r="G11395" s="13"/>
      <c r="AL11395" s="13"/>
    </row>
    <row r="11396" spans="4:39" x14ac:dyDescent="0.3">
      <c r="D11396" s="1"/>
      <c r="G11396" s="13"/>
      <c r="AL11396" s="13"/>
    </row>
    <row r="11397" spans="4:39" x14ac:dyDescent="0.3">
      <c r="D11397" s="1"/>
      <c r="G11397" s="13"/>
      <c r="AL11397" s="13"/>
    </row>
    <row r="11398" spans="4:39" x14ac:dyDescent="0.3">
      <c r="D11398" s="1"/>
      <c r="G11398" s="13"/>
      <c r="AL11398" s="13"/>
      <c r="AM11398" s="14"/>
    </row>
    <row r="11399" spans="4:39" x14ac:dyDescent="0.3">
      <c r="D11399" s="1"/>
      <c r="G11399" s="13"/>
      <c r="AL11399" s="13"/>
    </row>
    <row r="11400" spans="4:39" x14ac:dyDescent="0.3">
      <c r="D11400" s="1"/>
      <c r="G11400" s="13"/>
      <c r="AL11400" s="13"/>
      <c r="AM11400" s="14"/>
    </row>
    <row r="11401" spans="4:39" x14ac:dyDescent="0.3">
      <c r="D11401" s="1"/>
      <c r="G11401" s="13"/>
      <c r="AL11401" s="13"/>
    </row>
    <row r="11402" spans="4:39" x14ac:dyDescent="0.3">
      <c r="D11402" s="1"/>
      <c r="G11402" s="13"/>
      <c r="AL11402" s="13"/>
      <c r="AM11402" s="14"/>
    </row>
    <row r="11403" spans="4:39" x14ac:dyDescent="0.3">
      <c r="D11403" s="1"/>
      <c r="G11403" s="13"/>
      <c r="AL11403" s="13"/>
      <c r="AM11403" s="14"/>
    </row>
    <row r="11404" spans="4:39" x14ac:dyDescent="0.3">
      <c r="D11404" s="1"/>
      <c r="G11404" s="13"/>
      <c r="AL11404" s="13"/>
      <c r="AM11404" s="14"/>
    </row>
    <row r="11405" spans="4:39" x14ac:dyDescent="0.3">
      <c r="D11405" s="1"/>
      <c r="G11405" s="13"/>
      <c r="AL11405" s="13"/>
    </row>
    <row r="11406" spans="4:39" x14ac:dyDescent="0.3">
      <c r="D11406" s="1"/>
      <c r="G11406" s="13"/>
      <c r="AL11406" s="13"/>
    </row>
    <row r="11407" spans="4:39" x14ac:dyDescent="0.3">
      <c r="D11407" s="1"/>
      <c r="G11407" s="13"/>
      <c r="AL11407" s="13"/>
    </row>
    <row r="11408" spans="4:39" x14ac:dyDescent="0.3">
      <c r="D11408" s="1"/>
      <c r="G11408" s="13"/>
      <c r="AL11408" s="13"/>
    </row>
    <row r="11409" spans="4:39" x14ac:dyDescent="0.3">
      <c r="D11409" s="1"/>
      <c r="G11409" s="13"/>
      <c r="AL11409" s="13"/>
    </row>
    <row r="11410" spans="4:39" x14ac:dyDescent="0.3">
      <c r="D11410" s="1"/>
      <c r="G11410" s="13"/>
      <c r="AL11410" s="13"/>
    </row>
    <row r="11411" spans="4:39" x14ac:dyDescent="0.3">
      <c r="D11411" s="1"/>
      <c r="G11411" s="13"/>
      <c r="AL11411" s="13"/>
      <c r="AM11411" s="14"/>
    </row>
    <row r="11412" spans="4:39" x14ac:dyDescent="0.3">
      <c r="D11412" s="1"/>
      <c r="G11412" s="13"/>
      <c r="AL11412" s="13"/>
    </row>
    <row r="11413" spans="4:39" x14ac:dyDescent="0.3">
      <c r="D11413" s="1"/>
      <c r="G11413" s="13"/>
      <c r="AL11413" s="13"/>
    </row>
    <row r="11414" spans="4:39" x14ac:dyDescent="0.3">
      <c r="D11414" s="1"/>
      <c r="G11414" s="13"/>
      <c r="AL11414" s="13"/>
    </row>
    <row r="11415" spans="4:39" x14ac:dyDescent="0.3">
      <c r="D11415" s="1"/>
      <c r="G11415" s="13"/>
      <c r="AL11415" s="13"/>
    </row>
    <row r="11416" spans="4:39" x14ac:dyDescent="0.3">
      <c r="D11416" s="1"/>
      <c r="G11416" s="13"/>
      <c r="AL11416" s="13"/>
    </row>
    <row r="11417" spans="4:39" x14ac:dyDescent="0.3">
      <c r="D11417" s="1"/>
      <c r="G11417" s="13"/>
      <c r="AL11417" s="13"/>
    </row>
    <row r="11418" spans="4:39" x14ac:dyDescent="0.3">
      <c r="D11418" s="1"/>
      <c r="G11418" s="13"/>
      <c r="AL11418" s="13"/>
    </row>
    <row r="11419" spans="4:39" x14ac:dyDescent="0.3">
      <c r="D11419" s="1"/>
      <c r="G11419" s="13"/>
      <c r="AL11419" s="13"/>
    </row>
    <row r="11420" spans="4:39" x14ac:dyDescent="0.3">
      <c r="D11420" s="1"/>
      <c r="G11420" s="13"/>
      <c r="AL11420" s="13"/>
    </row>
    <row r="11421" spans="4:39" x14ac:dyDescent="0.3">
      <c r="D11421" s="1"/>
      <c r="G11421" s="13"/>
      <c r="AL11421" s="13"/>
    </row>
    <row r="11422" spans="4:39" x14ac:dyDescent="0.3">
      <c r="D11422" s="1"/>
      <c r="G11422" s="13"/>
      <c r="AL11422" s="13"/>
      <c r="AM11422" s="14"/>
    </row>
    <row r="11423" spans="4:39" x14ac:dyDescent="0.3">
      <c r="D11423" s="1"/>
      <c r="G11423" s="13"/>
      <c r="AL11423" s="13"/>
      <c r="AM11423" s="14"/>
    </row>
    <row r="11424" spans="4:39" x14ac:dyDescent="0.3">
      <c r="D11424" s="1"/>
      <c r="G11424" s="13"/>
      <c r="AL11424" s="13"/>
    </row>
    <row r="11425" spans="4:39" x14ac:dyDescent="0.3">
      <c r="D11425" s="1"/>
      <c r="G11425" s="13"/>
      <c r="AL11425" s="13"/>
      <c r="AM11425" s="14"/>
    </row>
    <row r="11426" spans="4:39" x14ac:dyDescent="0.3">
      <c r="D11426" s="1"/>
      <c r="G11426" s="13"/>
      <c r="AL11426" s="13"/>
      <c r="AM11426" s="14"/>
    </row>
    <row r="11427" spans="4:39" x14ac:dyDescent="0.3">
      <c r="D11427" s="1"/>
      <c r="G11427" s="13"/>
      <c r="AL11427" s="13"/>
      <c r="AM11427" s="14"/>
    </row>
    <row r="11428" spans="4:39" x14ac:dyDescent="0.3">
      <c r="D11428" s="1"/>
      <c r="G11428" s="13"/>
      <c r="AL11428" s="13"/>
      <c r="AM11428" s="14"/>
    </row>
    <row r="11429" spans="4:39" x14ac:dyDescent="0.3">
      <c r="D11429" s="1"/>
      <c r="G11429" s="13"/>
      <c r="AL11429" s="13"/>
    </row>
    <row r="11430" spans="4:39" x14ac:dyDescent="0.3">
      <c r="D11430" s="1"/>
      <c r="G11430" s="13"/>
      <c r="AL11430" s="13"/>
    </row>
    <row r="11431" spans="4:39" x14ac:dyDescent="0.3">
      <c r="D11431" s="1"/>
      <c r="G11431" s="13"/>
      <c r="AL11431" s="13"/>
      <c r="AM11431" s="14"/>
    </row>
    <row r="11432" spans="4:39" x14ac:dyDescent="0.3">
      <c r="D11432" s="1"/>
      <c r="G11432" s="13"/>
      <c r="AL11432" s="13"/>
      <c r="AM11432" s="14"/>
    </row>
    <row r="11433" spans="4:39" x14ac:dyDescent="0.3">
      <c r="D11433" s="1"/>
      <c r="G11433" s="13"/>
      <c r="AL11433" s="13"/>
      <c r="AM11433" s="14"/>
    </row>
    <row r="11434" spans="4:39" x14ac:dyDescent="0.3">
      <c r="D11434" s="1"/>
      <c r="G11434" s="13"/>
      <c r="AL11434" s="13"/>
      <c r="AM11434" s="14"/>
    </row>
    <row r="11435" spans="4:39" x14ac:dyDescent="0.3">
      <c r="D11435" s="1"/>
      <c r="G11435" s="13"/>
      <c r="AL11435" s="13"/>
      <c r="AM11435" s="14"/>
    </row>
    <row r="11436" spans="4:39" x14ac:dyDescent="0.3">
      <c r="D11436" s="1"/>
      <c r="G11436" s="13"/>
      <c r="AL11436" s="13"/>
      <c r="AM11436" s="14"/>
    </row>
    <row r="11437" spans="4:39" x14ac:dyDescent="0.3">
      <c r="D11437" s="1"/>
      <c r="G11437" s="13"/>
      <c r="AL11437" s="13"/>
    </row>
    <row r="11438" spans="4:39" x14ac:dyDescent="0.3">
      <c r="D11438" s="1"/>
      <c r="G11438" s="13"/>
      <c r="AL11438" s="13"/>
    </row>
    <row r="11439" spans="4:39" x14ac:dyDescent="0.3">
      <c r="D11439" s="1"/>
      <c r="G11439" s="13"/>
      <c r="AL11439" s="13"/>
    </row>
    <row r="11440" spans="4:39" x14ac:dyDescent="0.3">
      <c r="D11440" s="1"/>
      <c r="G11440" s="13"/>
      <c r="AL11440" s="13"/>
    </row>
    <row r="11441" spans="4:38" x14ac:dyDescent="0.3">
      <c r="D11441" s="1"/>
      <c r="G11441" s="13"/>
      <c r="AL11441" s="13"/>
    </row>
    <row r="11442" spans="4:38" x14ac:dyDescent="0.3">
      <c r="D11442" s="1"/>
      <c r="G11442" s="13"/>
      <c r="AL11442" s="13"/>
    </row>
    <row r="11443" spans="4:38" x14ac:dyDescent="0.3">
      <c r="D11443" s="1"/>
      <c r="G11443" s="13"/>
      <c r="AL11443" s="13"/>
    </row>
    <row r="11444" spans="4:38" x14ac:dyDescent="0.3">
      <c r="D11444" s="1"/>
      <c r="G11444" s="13"/>
      <c r="AL11444" s="13"/>
    </row>
    <row r="11445" spans="4:38" x14ac:dyDescent="0.3">
      <c r="D11445" s="1"/>
      <c r="G11445" s="13"/>
      <c r="AL11445" s="13"/>
    </row>
    <row r="11446" spans="4:38" x14ac:dyDescent="0.3">
      <c r="D11446" s="1"/>
      <c r="G11446" s="13"/>
      <c r="AL11446" s="13"/>
    </row>
    <row r="11447" spans="4:38" x14ac:dyDescent="0.3">
      <c r="D11447" s="1"/>
      <c r="G11447" s="13"/>
      <c r="AL11447" s="13"/>
    </row>
    <row r="11448" spans="4:38" x14ac:dyDescent="0.3">
      <c r="D11448" s="1"/>
      <c r="G11448" s="13"/>
      <c r="AL11448" s="13"/>
    </row>
    <row r="11449" spans="4:38" x14ac:dyDescent="0.3">
      <c r="D11449" s="1"/>
      <c r="G11449" s="13"/>
      <c r="AL11449" s="13"/>
    </row>
    <row r="11450" spans="4:38" x14ac:dyDescent="0.3">
      <c r="D11450" s="1"/>
      <c r="G11450" s="13"/>
      <c r="AL11450" s="13"/>
    </row>
    <row r="11451" spans="4:38" x14ac:dyDescent="0.3">
      <c r="D11451" s="1"/>
      <c r="G11451" s="13"/>
      <c r="AL11451" s="13"/>
    </row>
    <row r="11452" spans="4:38" x14ac:dyDescent="0.3">
      <c r="D11452" s="1"/>
      <c r="G11452" s="13"/>
      <c r="AL11452" s="13"/>
    </row>
    <row r="11453" spans="4:38" x14ac:dyDescent="0.3">
      <c r="D11453" s="1"/>
      <c r="G11453" s="13"/>
      <c r="AL11453" s="13"/>
    </row>
    <row r="11454" spans="4:38" x14ac:dyDescent="0.3">
      <c r="D11454" s="1"/>
      <c r="G11454" s="13"/>
      <c r="AL11454" s="13"/>
    </row>
    <row r="11455" spans="4:38" x14ac:dyDescent="0.3">
      <c r="D11455" s="1"/>
      <c r="G11455" s="13"/>
      <c r="AL11455" s="13"/>
    </row>
    <row r="11456" spans="4:38" x14ac:dyDescent="0.3">
      <c r="D11456" s="1"/>
      <c r="G11456" s="13"/>
      <c r="AL11456" s="13"/>
    </row>
    <row r="11457" spans="4:39" x14ac:dyDescent="0.3">
      <c r="D11457" s="1"/>
      <c r="G11457" s="13"/>
      <c r="AL11457" s="13"/>
    </row>
    <row r="11458" spans="4:39" x14ac:dyDescent="0.3">
      <c r="D11458" s="1"/>
      <c r="G11458" s="13"/>
      <c r="AL11458" s="13"/>
    </row>
    <row r="11459" spans="4:39" x14ac:dyDescent="0.3">
      <c r="D11459" s="1"/>
      <c r="G11459" s="13"/>
      <c r="AL11459" s="13"/>
    </row>
    <row r="11460" spans="4:39" x14ac:dyDescent="0.3">
      <c r="D11460" s="1"/>
      <c r="G11460" s="13"/>
      <c r="AL11460" s="13"/>
    </row>
    <row r="11461" spans="4:39" x14ac:dyDescent="0.3">
      <c r="D11461" s="1"/>
      <c r="G11461" s="13"/>
      <c r="AL11461" s="13"/>
      <c r="AM11461" s="14"/>
    </row>
    <row r="11462" spans="4:39" x14ac:dyDescent="0.3">
      <c r="D11462" s="1"/>
      <c r="G11462" s="13"/>
      <c r="AL11462" s="13"/>
      <c r="AM11462" s="14"/>
    </row>
    <row r="11463" spans="4:39" x14ac:dyDescent="0.3">
      <c r="D11463" s="1"/>
      <c r="G11463" s="13"/>
      <c r="AL11463" s="13"/>
    </row>
    <row r="11464" spans="4:39" x14ac:dyDescent="0.3">
      <c r="D11464" s="1"/>
      <c r="G11464" s="13"/>
      <c r="AL11464" s="13"/>
    </row>
    <row r="11465" spans="4:39" x14ac:dyDescent="0.3">
      <c r="D11465" s="1"/>
      <c r="G11465" s="13"/>
      <c r="AL11465" s="13"/>
      <c r="AM11465" s="14"/>
    </row>
    <row r="11466" spans="4:39" x14ac:dyDescent="0.3">
      <c r="D11466" s="1"/>
      <c r="G11466" s="13"/>
      <c r="AL11466" s="13"/>
      <c r="AM11466" s="14"/>
    </row>
    <row r="11467" spans="4:39" x14ac:dyDescent="0.3">
      <c r="D11467" s="1"/>
      <c r="G11467" s="13"/>
      <c r="AL11467" s="13"/>
    </row>
    <row r="11468" spans="4:39" x14ac:dyDescent="0.3">
      <c r="D11468" s="1"/>
      <c r="G11468" s="13"/>
      <c r="AL11468" s="13"/>
      <c r="AM11468" s="14"/>
    </row>
    <row r="11469" spans="4:39" x14ac:dyDescent="0.3">
      <c r="D11469" s="1"/>
      <c r="G11469" s="13"/>
      <c r="AL11469" s="13"/>
      <c r="AM11469" s="14"/>
    </row>
    <row r="11470" spans="4:39" x14ac:dyDescent="0.3">
      <c r="D11470" s="1"/>
      <c r="G11470" s="13"/>
      <c r="AL11470" s="13"/>
      <c r="AM11470" s="14"/>
    </row>
    <row r="11471" spans="4:39" x14ac:dyDescent="0.3">
      <c r="D11471" s="1"/>
      <c r="G11471" s="13"/>
      <c r="AL11471" s="13"/>
    </row>
    <row r="11472" spans="4:39" x14ac:dyDescent="0.3">
      <c r="D11472" s="1"/>
      <c r="G11472" s="13"/>
      <c r="AL11472" s="13"/>
      <c r="AM11472" s="14"/>
    </row>
    <row r="11473" spans="4:39" x14ac:dyDescent="0.3">
      <c r="D11473" s="1"/>
      <c r="G11473" s="13"/>
      <c r="AL11473" s="13"/>
    </row>
    <row r="11474" spans="4:39" x14ac:dyDescent="0.3">
      <c r="D11474" s="1"/>
      <c r="G11474" s="13"/>
      <c r="AL11474" s="13"/>
    </row>
    <row r="11475" spans="4:39" x14ac:dyDescent="0.3">
      <c r="D11475" s="1"/>
      <c r="G11475" s="13"/>
      <c r="AL11475" s="13"/>
    </row>
    <row r="11476" spans="4:39" x14ac:dyDescent="0.3">
      <c r="D11476" s="1"/>
      <c r="G11476" s="13"/>
      <c r="AL11476" s="13"/>
    </row>
    <row r="11477" spans="4:39" x14ac:dyDescent="0.3">
      <c r="D11477" s="1"/>
      <c r="G11477" s="13"/>
      <c r="AL11477" s="13"/>
    </row>
    <row r="11478" spans="4:39" x14ac:dyDescent="0.3">
      <c r="D11478" s="1"/>
      <c r="G11478" s="13"/>
      <c r="AL11478" s="13"/>
    </row>
    <row r="11479" spans="4:39" x14ac:dyDescent="0.3">
      <c r="D11479" s="1"/>
      <c r="G11479" s="13"/>
      <c r="AL11479" s="13"/>
    </row>
    <row r="11480" spans="4:39" x14ac:dyDescent="0.3">
      <c r="D11480" s="1"/>
      <c r="G11480" s="13"/>
      <c r="AL11480" s="13"/>
    </row>
    <row r="11481" spans="4:39" x14ac:dyDescent="0.3">
      <c r="D11481" s="1"/>
      <c r="G11481" s="13"/>
      <c r="AL11481" s="13"/>
    </row>
    <row r="11482" spans="4:39" x14ac:dyDescent="0.3">
      <c r="D11482" s="1"/>
      <c r="G11482" s="13"/>
      <c r="AL11482" s="13"/>
    </row>
    <row r="11483" spans="4:39" x14ac:dyDescent="0.3">
      <c r="D11483" s="1"/>
      <c r="G11483" s="13"/>
      <c r="AL11483" s="13"/>
    </row>
    <row r="11484" spans="4:39" x14ac:dyDescent="0.3">
      <c r="D11484" s="1"/>
      <c r="G11484" s="13"/>
      <c r="AL11484" s="13"/>
    </row>
    <row r="11485" spans="4:39" x14ac:dyDescent="0.3">
      <c r="D11485" s="1"/>
      <c r="G11485" s="13"/>
      <c r="AL11485" s="13"/>
      <c r="AM11485" s="14"/>
    </row>
    <row r="11486" spans="4:39" x14ac:dyDescent="0.3">
      <c r="D11486" s="1"/>
      <c r="G11486" s="13"/>
      <c r="AL11486" s="13"/>
    </row>
    <row r="11487" spans="4:39" x14ac:dyDescent="0.3">
      <c r="D11487" s="1"/>
      <c r="G11487" s="13"/>
      <c r="AL11487" s="13"/>
    </row>
    <row r="11488" spans="4:39" x14ac:dyDescent="0.3">
      <c r="D11488" s="1"/>
      <c r="G11488" s="13"/>
      <c r="AL11488" s="13"/>
    </row>
    <row r="11489" spans="4:38" x14ac:dyDescent="0.3">
      <c r="D11489" s="1"/>
      <c r="G11489" s="13"/>
      <c r="AL11489" s="13"/>
    </row>
    <row r="11490" spans="4:38" x14ac:dyDescent="0.3">
      <c r="D11490" s="1"/>
      <c r="G11490" s="13"/>
      <c r="AL11490" s="13"/>
    </row>
    <row r="11491" spans="4:38" x14ac:dyDescent="0.3">
      <c r="D11491" s="1"/>
      <c r="G11491" s="13"/>
      <c r="AL11491" s="13"/>
    </row>
    <row r="11492" spans="4:38" x14ac:dyDescent="0.3">
      <c r="D11492" s="1"/>
      <c r="G11492" s="13"/>
      <c r="AL11492" s="13"/>
    </row>
    <row r="11493" spans="4:38" x14ac:dyDescent="0.3">
      <c r="D11493" s="1"/>
      <c r="G11493" s="13"/>
      <c r="AL11493" s="13"/>
    </row>
    <row r="11494" spans="4:38" x14ac:dyDescent="0.3">
      <c r="D11494" s="1"/>
      <c r="G11494" s="13"/>
      <c r="AL11494" s="13"/>
    </row>
    <row r="11495" spans="4:38" x14ac:dyDescent="0.3">
      <c r="D11495" s="1"/>
      <c r="G11495" s="13"/>
      <c r="AL11495" s="13"/>
    </row>
    <row r="11496" spans="4:38" x14ac:dyDescent="0.3">
      <c r="D11496" s="1"/>
      <c r="G11496" s="13"/>
      <c r="AL11496" s="13"/>
    </row>
    <row r="11497" spans="4:38" x14ac:dyDescent="0.3">
      <c r="D11497" s="1"/>
      <c r="G11497" s="13"/>
      <c r="AL11497" s="13"/>
    </row>
    <row r="11498" spans="4:38" x14ac:dyDescent="0.3">
      <c r="D11498" s="1"/>
      <c r="G11498" s="13"/>
      <c r="AL11498" s="13"/>
    </row>
    <row r="11499" spans="4:38" x14ac:dyDescent="0.3">
      <c r="D11499" s="1"/>
      <c r="G11499" s="13"/>
      <c r="AL11499" s="13"/>
    </row>
    <row r="11500" spans="4:38" x14ac:dyDescent="0.3">
      <c r="D11500" s="1"/>
      <c r="G11500" s="13"/>
      <c r="AL11500" s="13"/>
    </row>
    <row r="11501" spans="4:38" x14ac:dyDescent="0.3">
      <c r="D11501" s="1"/>
      <c r="G11501" s="13"/>
      <c r="AL11501" s="13"/>
    </row>
    <row r="11502" spans="4:38" x14ac:dyDescent="0.3">
      <c r="D11502" s="1"/>
      <c r="G11502" s="13"/>
      <c r="AL11502" s="13"/>
    </row>
    <row r="11503" spans="4:38" x14ac:dyDescent="0.3">
      <c r="D11503" s="1"/>
      <c r="G11503" s="13"/>
      <c r="AL11503" s="13"/>
    </row>
    <row r="11504" spans="4:38" x14ac:dyDescent="0.3">
      <c r="D11504" s="1"/>
      <c r="G11504" s="13"/>
      <c r="AL11504" s="13"/>
    </row>
    <row r="11505" spans="4:39" x14ac:dyDescent="0.3">
      <c r="D11505" s="1"/>
      <c r="G11505" s="13"/>
      <c r="AL11505" s="13"/>
    </row>
    <row r="11506" spans="4:39" x14ac:dyDescent="0.3">
      <c r="D11506" s="1"/>
      <c r="G11506" s="13"/>
      <c r="AL11506" s="13"/>
    </row>
    <row r="11507" spans="4:39" x14ac:dyDescent="0.3">
      <c r="D11507" s="1"/>
      <c r="G11507" s="13"/>
      <c r="AL11507" s="13"/>
      <c r="AM11507" s="14"/>
    </row>
    <row r="11508" spans="4:39" x14ac:dyDescent="0.3">
      <c r="D11508" s="1"/>
      <c r="G11508" s="13"/>
      <c r="AL11508" s="13"/>
      <c r="AM11508" s="14"/>
    </row>
    <row r="11509" spans="4:39" x14ac:dyDescent="0.3">
      <c r="D11509" s="1"/>
      <c r="G11509" s="13"/>
      <c r="AL11509" s="13"/>
    </row>
    <row r="11510" spans="4:39" x14ac:dyDescent="0.3">
      <c r="D11510" s="1"/>
      <c r="G11510" s="13"/>
      <c r="AL11510" s="13"/>
      <c r="AM11510" s="14"/>
    </row>
    <row r="11511" spans="4:39" x14ac:dyDescent="0.3">
      <c r="D11511" s="1"/>
      <c r="G11511" s="13"/>
      <c r="AL11511" s="13"/>
      <c r="AM11511" s="14"/>
    </row>
    <row r="11512" spans="4:39" x14ac:dyDescent="0.3">
      <c r="D11512" s="1"/>
      <c r="G11512" s="13"/>
      <c r="AL11512" s="13"/>
      <c r="AM11512" s="14"/>
    </row>
    <row r="11513" spans="4:39" x14ac:dyDescent="0.3">
      <c r="D11513" s="1"/>
      <c r="G11513" s="13"/>
      <c r="AL11513" s="13"/>
    </row>
    <row r="11514" spans="4:39" x14ac:dyDescent="0.3">
      <c r="D11514" s="1"/>
      <c r="G11514" s="13"/>
      <c r="AL11514" s="13"/>
    </row>
    <row r="11515" spans="4:39" x14ac:dyDescent="0.3">
      <c r="D11515" s="1"/>
      <c r="G11515" s="13"/>
      <c r="AL11515" s="13"/>
    </row>
    <row r="11516" spans="4:39" x14ac:dyDescent="0.3">
      <c r="D11516" s="1"/>
      <c r="G11516" s="13"/>
      <c r="AL11516" s="13"/>
    </row>
    <row r="11517" spans="4:39" x14ac:dyDescent="0.3">
      <c r="D11517" s="1"/>
      <c r="G11517" s="13"/>
      <c r="AL11517" s="13"/>
    </row>
    <row r="11518" spans="4:39" x14ac:dyDescent="0.3">
      <c r="D11518" s="1"/>
      <c r="G11518" s="13"/>
      <c r="AL11518" s="13"/>
    </row>
    <row r="11519" spans="4:39" x14ac:dyDescent="0.3">
      <c r="D11519" s="1"/>
      <c r="G11519" s="13"/>
      <c r="AL11519" s="13"/>
    </row>
    <row r="11520" spans="4:39" x14ac:dyDescent="0.3">
      <c r="D11520" s="1"/>
      <c r="G11520" s="13"/>
      <c r="AL11520" s="13"/>
    </row>
    <row r="11521" spans="4:38" x14ac:dyDescent="0.3">
      <c r="D11521" s="1"/>
      <c r="G11521" s="13"/>
      <c r="AL11521" s="13"/>
    </row>
    <row r="11522" spans="4:38" x14ac:dyDescent="0.3">
      <c r="D11522" s="1"/>
      <c r="G11522" s="13"/>
      <c r="AL11522" s="13"/>
    </row>
    <row r="11523" spans="4:38" x14ac:dyDescent="0.3">
      <c r="D11523" s="1"/>
      <c r="G11523" s="13"/>
      <c r="AL11523" s="13"/>
    </row>
    <row r="11524" spans="4:38" x14ac:dyDescent="0.3">
      <c r="D11524" s="1"/>
      <c r="G11524" s="13"/>
      <c r="AL11524" s="13"/>
    </row>
    <row r="11525" spans="4:38" x14ac:dyDescent="0.3">
      <c r="D11525" s="1"/>
      <c r="G11525" s="13"/>
      <c r="AL11525" s="13"/>
    </row>
    <row r="11526" spans="4:38" x14ac:dyDescent="0.3">
      <c r="D11526" s="1"/>
      <c r="G11526" s="13"/>
      <c r="AL11526" s="13"/>
    </row>
    <row r="11527" spans="4:38" x14ac:dyDescent="0.3">
      <c r="D11527" s="1"/>
      <c r="G11527" s="13"/>
      <c r="AL11527" s="13"/>
    </row>
    <row r="11528" spans="4:38" x14ac:dyDescent="0.3">
      <c r="D11528" s="1"/>
      <c r="G11528" s="13"/>
      <c r="AL11528" s="13"/>
    </row>
    <row r="11529" spans="4:38" x14ac:dyDescent="0.3">
      <c r="D11529" s="1"/>
      <c r="G11529" s="13"/>
      <c r="AL11529" s="13"/>
    </row>
    <row r="11530" spans="4:38" x14ac:dyDescent="0.3">
      <c r="D11530" s="1"/>
      <c r="G11530" s="13"/>
      <c r="AL11530" s="13"/>
    </row>
    <row r="11531" spans="4:38" x14ac:dyDescent="0.3">
      <c r="D11531" s="1"/>
      <c r="G11531" s="13"/>
      <c r="AL11531" s="13"/>
    </row>
    <row r="11532" spans="4:38" x14ac:dyDescent="0.3">
      <c r="D11532" s="1"/>
      <c r="G11532" s="13"/>
      <c r="AL11532" s="13"/>
    </row>
    <row r="11533" spans="4:38" x14ac:dyDescent="0.3">
      <c r="D11533" s="1"/>
      <c r="G11533" s="13"/>
      <c r="AL11533" s="13"/>
    </row>
    <row r="11534" spans="4:38" x14ac:dyDescent="0.3">
      <c r="D11534" s="1"/>
      <c r="G11534" s="13"/>
      <c r="AL11534" s="13"/>
    </row>
    <row r="11535" spans="4:38" x14ac:dyDescent="0.3">
      <c r="D11535" s="1"/>
      <c r="G11535" s="13"/>
      <c r="AL11535" s="13"/>
    </row>
    <row r="11536" spans="4:38" x14ac:dyDescent="0.3">
      <c r="D11536" s="1"/>
      <c r="G11536" s="13"/>
      <c r="AL11536" s="13"/>
    </row>
    <row r="11537" spans="4:39" x14ac:dyDescent="0.3">
      <c r="D11537" s="1"/>
      <c r="G11537" s="13"/>
      <c r="AL11537" s="13"/>
    </row>
    <row r="11538" spans="4:39" x14ac:dyDescent="0.3">
      <c r="D11538" s="1"/>
      <c r="G11538" s="13"/>
      <c r="AL11538" s="13"/>
    </row>
    <row r="11539" spans="4:39" x14ac:dyDescent="0.3">
      <c r="D11539" s="1"/>
      <c r="G11539" s="13"/>
      <c r="AL11539" s="13"/>
    </row>
    <row r="11540" spans="4:39" x14ac:dyDescent="0.3">
      <c r="D11540" s="1"/>
      <c r="G11540" s="13"/>
      <c r="AL11540" s="13"/>
    </row>
    <row r="11541" spans="4:39" x14ac:dyDescent="0.3">
      <c r="D11541" s="1"/>
      <c r="G11541" s="13"/>
      <c r="AL11541" s="13"/>
      <c r="AM11541" s="14"/>
    </row>
    <row r="11542" spans="4:39" x14ac:dyDescent="0.3">
      <c r="D11542" s="1"/>
      <c r="G11542" s="13"/>
      <c r="AL11542" s="13"/>
    </row>
    <row r="11543" spans="4:39" x14ac:dyDescent="0.3">
      <c r="D11543" s="1"/>
      <c r="G11543" s="13"/>
      <c r="AL11543" s="13"/>
    </row>
    <row r="11544" spans="4:39" x14ac:dyDescent="0.3">
      <c r="D11544" s="1"/>
      <c r="G11544" s="13"/>
      <c r="AL11544" s="13"/>
    </row>
    <row r="11545" spans="4:39" x14ac:dyDescent="0.3">
      <c r="D11545" s="1"/>
      <c r="G11545" s="13"/>
      <c r="AL11545" s="13"/>
    </row>
    <row r="11546" spans="4:39" x14ac:dyDescent="0.3">
      <c r="D11546" s="1"/>
      <c r="G11546" s="13"/>
      <c r="AL11546" s="13"/>
    </row>
    <row r="11547" spans="4:39" x14ac:dyDescent="0.3">
      <c r="D11547" s="1"/>
      <c r="G11547" s="13"/>
      <c r="AL11547" s="13"/>
    </row>
    <row r="11548" spans="4:39" x14ac:dyDescent="0.3">
      <c r="D11548" s="1"/>
      <c r="G11548" s="13"/>
      <c r="AL11548" s="13"/>
    </row>
    <row r="11549" spans="4:39" x14ac:dyDescent="0.3">
      <c r="D11549" s="1"/>
      <c r="G11549" s="13"/>
      <c r="AL11549" s="13"/>
    </row>
    <row r="11550" spans="4:39" x14ac:dyDescent="0.3">
      <c r="D11550" s="1"/>
      <c r="G11550" s="13"/>
      <c r="AL11550" s="13"/>
    </row>
    <row r="11551" spans="4:39" x14ac:dyDescent="0.3">
      <c r="D11551" s="1"/>
      <c r="G11551" s="13"/>
      <c r="AL11551" s="13"/>
      <c r="AM11551" s="14"/>
    </row>
    <row r="11552" spans="4:39" x14ac:dyDescent="0.3">
      <c r="D11552" s="1"/>
      <c r="G11552" s="13"/>
      <c r="AL11552" s="13"/>
      <c r="AM11552" s="14"/>
    </row>
    <row r="11553" spans="4:39" x14ac:dyDescent="0.3">
      <c r="D11553" s="1"/>
      <c r="G11553" s="13"/>
      <c r="AL11553" s="13"/>
    </row>
    <row r="11554" spans="4:39" x14ac:dyDescent="0.3">
      <c r="D11554" s="1"/>
      <c r="G11554" s="13"/>
      <c r="AL11554" s="13"/>
      <c r="AM11554" s="14"/>
    </row>
    <row r="11555" spans="4:39" x14ac:dyDescent="0.3">
      <c r="D11555" s="1"/>
      <c r="G11555" s="13"/>
      <c r="AL11555" s="13"/>
      <c r="AM11555" s="14"/>
    </row>
    <row r="11556" spans="4:39" x14ac:dyDescent="0.3">
      <c r="D11556" s="1"/>
      <c r="G11556" s="13"/>
      <c r="AL11556" s="13"/>
    </row>
    <row r="11557" spans="4:39" x14ac:dyDescent="0.3">
      <c r="D11557" s="1"/>
      <c r="G11557" s="13"/>
      <c r="AL11557" s="13"/>
    </row>
    <row r="11558" spans="4:39" x14ac:dyDescent="0.3">
      <c r="D11558" s="1"/>
      <c r="G11558" s="13"/>
      <c r="AL11558" s="13"/>
    </row>
    <row r="11559" spans="4:39" x14ac:dyDescent="0.3">
      <c r="D11559" s="1"/>
      <c r="G11559" s="13"/>
      <c r="AL11559" s="13"/>
    </row>
    <row r="11560" spans="4:39" x14ac:dyDescent="0.3">
      <c r="D11560" s="1"/>
      <c r="G11560" s="13"/>
      <c r="AL11560" s="13"/>
      <c r="AM11560" s="14"/>
    </row>
    <row r="11561" spans="4:39" x14ac:dyDescent="0.3">
      <c r="D11561" s="1"/>
      <c r="G11561" s="13"/>
      <c r="AL11561" s="13"/>
      <c r="AM11561" s="14"/>
    </row>
    <row r="11562" spans="4:39" x14ac:dyDescent="0.3">
      <c r="D11562" s="1"/>
      <c r="G11562" s="13"/>
      <c r="AL11562" s="13"/>
      <c r="AM11562" s="14"/>
    </row>
    <row r="11563" spans="4:39" x14ac:dyDescent="0.3">
      <c r="D11563" s="1"/>
      <c r="G11563" s="13"/>
      <c r="AL11563" s="13"/>
    </row>
    <row r="11564" spans="4:39" x14ac:dyDescent="0.3">
      <c r="D11564" s="1"/>
      <c r="G11564" s="13"/>
      <c r="AL11564" s="13"/>
    </row>
    <row r="11565" spans="4:39" x14ac:dyDescent="0.3">
      <c r="D11565" s="1"/>
      <c r="G11565" s="13"/>
      <c r="AL11565" s="13"/>
    </row>
    <row r="11566" spans="4:39" x14ac:dyDescent="0.3">
      <c r="D11566" s="1"/>
      <c r="G11566" s="13"/>
      <c r="AL11566" s="13"/>
    </row>
    <row r="11567" spans="4:39" x14ac:dyDescent="0.3">
      <c r="D11567" s="1"/>
      <c r="G11567" s="13"/>
      <c r="AL11567" s="13"/>
      <c r="AM11567" s="14"/>
    </row>
    <row r="11568" spans="4:39" x14ac:dyDescent="0.3">
      <c r="D11568" s="1"/>
      <c r="G11568" s="13"/>
      <c r="AL11568" s="13"/>
    </row>
    <row r="11569" spans="4:39" x14ac:dyDescent="0.3">
      <c r="D11569" s="1"/>
      <c r="G11569" s="13"/>
      <c r="AL11569" s="13"/>
      <c r="AM11569" s="14"/>
    </row>
    <row r="11570" spans="4:39" x14ac:dyDescent="0.3">
      <c r="D11570" s="1"/>
      <c r="G11570" s="13"/>
      <c r="AL11570" s="13"/>
    </row>
    <row r="11571" spans="4:39" x14ac:dyDescent="0.3">
      <c r="D11571" s="1"/>
      <c r="G11571" s="13"/>
      <c r="AL11571" s="13"/>
    </row>
    <row r="11572" spans="4:39" x14ac:dyDescent="0.3">
      <c r="D11572" s="1"/>
      <c r="G11572" s="13"/>
      <c r="AL11572" s="13"/>
    </row>
    <row r="11573" spans="4:39" x14ac:dyDescent="0.3">
      <c r="D11573" s="1"/>
      <c r="G11573" s="13"/>
      <c r="AL11573" s="13"/>
      <c r="AM11573" s="14"/>
    </row>
    <row r="11574" spans="4:39" x14ac:dyDescent="0.3">
      <c r="D11574" s="1"/>
      <c r="G11574" s="13"/>
      <c r="AL11574" s="13"/>
    </row>
    <row r="11575" spans="4:39" x14ac:dyDescent="0.3">
      <c r="D11575" s="1"/>
      <c r="G11575" s="13"/>
      <c r="AL11575" s="13"/>
    </row>
    <row r="11576" spans="4:39" x14ac:dyDescent="0.3">
      <c r="D11576" s="1"/>
      <c r="G11576" s="13"/>
      <c r="AL11576" s="13"/>
    </row>
    <row r="11577" spans="4:39" x14ac:dyDescent="0.3">
      <c r="D11577" s="1"/>
      <c r="G11577" s="13"/>
      <c r="AL11577" s="13"/>
    </row>
    <row r="11578" spans="4:39" x14ac:dyDescent="0.3">
      <c r="D11578" s="1"/>
      <c r="G11578" s="13"/>
      <c r="AL11578" s="13"/>
    </row>
    <row r="11579" spans="4:39" x14ac:dyDescent="0.3">
      <c r="D11579" s="1"/>
      <c r="G11579" s="13"/>
      <c r="AL11579" s="13"/>
    </row>
    <row r="11580" spans="4:39" x14ac:dyDescent="0.3">
      <c r="D11580" s="1"/>
      <c r="G11580" s="13"/>
      <c r="AL11580" s="13"/>
      <c r="AM11580" s="14"/>
    </row>
    <row r="11581" spans="4:39" x14ac:dyDescent="0.3">
      <c r="D11581" s="1"/>
      <c r="G11581" s="13"/>
      <c r="AL11581" s="13"/>
    </row>
    <row r="11582" spans="4:39" x14ac:dyDescent="0.3">
      <c r="D11582" s="1"/>
      <c r="G11582" s="13"/>
      <c r="AL11582" s="13"/>
    </row>
    <row r="11583" spans="4:39" x14ac:dyDescent="0.3">
      <c r="D11583" s="1"/>
      <c r="G11583" s="13"/>
      <c r="AL11583" s="13"/>
    </row>
    <row r="11584" spans="4:39" x14ac:dyDescent="0.3">
      <c r="D11584" s="1"/>
      <c r="G11584" s="13"/>
      <c r="AL11584" s="13"/>
    </row>
    <row r="11585" spans="4:39" x14ac:dyDescent="0.3">
      <c r="D11585" s="1"/>
      <c r="G11585" s="13"/>
      <c r="AL11585" s="13"/>
    </row>
    <row r="11586" spans="4:39" x14ac:dyDescent="0.3">
      <c r="D11586" s="1"/>
      <c r="G11586" s="13"/>
      <c r="AL11586" s="13"/>
    </row>
    <row r="11587" spans="4:39" x14ac:dyDescent="0.3">
      <c r="D11587" s="1"/>
      <c r="G11587" s="13"/>
      <c r="AL11587" s="13"/>
    </row>
    <row r="11588" spans="4:39" x14ac:dyDescent="0.3">
      <c r="D11588" s="1"/>
      <c r="G11588" s="13"/>
      <c r="AL11588" s="13"/>
    </row>
    <row r="11589" spans="4:39" x14ac:dyDescent="0.3">
      <c r="D11589" s="1"/>
      <c r="G11589" s="13"/>
      <c r="AL11589" s="13"/>
    </row>
    <row r="11590" spans="4:39" x14ac:dyDescent="0.3">
      <c r="D11590" s="1"/>
      <c r="G11590" s="13"/>
      <c r="AL11590" s="13"/>
    </row>
    <row r="11591" spans="4:39" x14ac:dyDescent="0.3">
      <c r="D11591" s="1"/>
      <c r="G11591" s="13"/>
      <c r="AL11591" s="13"/>
    </row>
    <row r="11592" spans="4:39" x14ac:dyDescent="0.3">
      <c r="D11592" s="1"/>
      <c r="G11592" s="13"/>
      <c r="AL11592" s="13"/>
      <c r="AM11592" s="14"/>
    </row>
    <row r="11593" spans="4:39" x14ac:dyDescent="0.3">
      <c r="D11593" s="1"/>
      <c r="G11593" s="13"/>
      <c r="AL11593" s="13"/>
      <c r="AM11593" s="14"/>
    </row>
    <row r="11594" spans="4:39" x14ac:dyDescent="0.3">
      <c r="D11594" s="1"/>
      <c r="G11594" s="13"/>
      <c r="AL11594" s="13"/>
      <c r="AM11594" s="14"/>
    </row>
    <row r="11595" spans="4:39" x14ac:dyDescent="0.3">
      <c r="D11595" s="1"/>
      <c r="G11595" s="13"/>
      <c r="AL11595" s="13"/>
      <c r="AM11595" s="14"/>
    </row>
    <row r="11596" spans="4:39" x14ac:dyDescent="0.3">
      <c r="D11596" s="1"/>
      <c r="G11596" s="13"/>
      <c r="AL11596" s="13"/>
      <c r="AM11596" s="14"/>
    </row>
    <row r="11597" spans="4:39" x14ac:dyDescent="0.3">
      <c r="D11597" s="1"/>
      <c r="G11597" s="13"/>
      <c r="AL11597" s="13"/>
    </row>
    <row r="11598" spans="4:39" x14ac:dyDescent="0.3">
      <c r="D11598" s="1"/>
      <c r="G11598" s="13"/>
      <c r="AL11598" s="13"/>
      <c r="AM11598" s="14"/>
    </row>
    <row r="11599" spans="4:39" x14ac:dyDescent="0.3">
      <c r="D11599" s="1"/>
      <c r="G11599" s="13"/>
      <c r="AL11599" s="13"/>
      <c r="AM11599" s="14"/>
    </row>
    <row r="11600" spans="4:39" x14ac:dyDescent="0.3">
      <c r="D11600" s="1"/>
      <c r="G11600" s="13"/>
      <c r="AL11600" s="13"/>
    </row>
    <row r="11601" spans="4:39" x14ac:dyDescent="0.3">
      <c r="D11601" s="1"/>
      <c r="G11601" s="13"/>
      <c r="AL11601" s="13"/>
    </row>
    <row r="11602" spans="4:39" x14ac:dyDescent="0.3">
      <c r="D11602" s="1"/>
      <c r="G11602" s="13"/>
      <c r="AL11602" s="13"/>
      <c r="AM11602" s="14"/>
    </row>
    <row r="11603" spans="4:39" x14ac:dyDescent="0.3">
      <c r="D11603" s="1"/>
      <c r="G11603" s="13"/>
      <c r="AL11603" s="13"/>
      <c r="AM11603" s="14"/>
    </row>
    <row r="11604" spans="4:39" x14ac:dyDescent="0.3">
      <c r="D11604" s="1"/>
      <c r="G11604" s="13"/>
      <c r="AL11604" s="13"/>
      <c r="AM11604" s="14"/>
    </row>
    <row r="11605" spans="4:39" x14ac:dyDescent="0.3">
      <c r="D11605" s="1"/>
      <c r="G11605" s="13"/>
      <c r="AL11605" s="13"/>
      <c r="AM11605" s="14"/>
    </row>
    <row r="11606" spans="4:39" x14ac:dyDescent="0.3">
      <c r="D11606" s="1"/>
      <c r="G11606" s="13"/>
      <c r="AL11606" s="13"/>
    </row>
    <row r="11607" spans="4:39" x14ac:dyDescent="0.3">
      <c r="D11607" s="1"/>
      <c r="G11607" s="13"/>
      <c r="AL11607" s="13"/>
      <c r="AM11607" s="14"/>
    </row>
    <row r="11608" spans="4:39" x14ac:dyDescent="0.3">
      <c r="D11608" s="1"/>
      <c r="G11608" s="13"/>
      <c r="AL11608" s="13"/>
    </row>
    <row r="11609" spans="4:39" x14ac:dyDescent="0.3">
      <c r="D11609" s="1"/>
      <c r="G11609" s="13"/>
      <c r="AL11609" s="13"/>
    </row>
    <row r="11610" spans="4:39" x14ac:dyDescent="0.3">
      <c r="D11610" s="1"/>
      <c r="G11610" s="13"/>
      <c r="AL11610" s="13"/>
    </row>
    <row r="11611" spans="4:39" x14ac:dyDescent="0.3">
      <c r="D11611" s="1"/>
      <c r="G11611" s="13"/>
      <c r="AL11611" s="13"/>
    </row>
    <row r="11612" spans="4:39" x14ac:dyDescent="0.3">
      <c r="D11612" s="1"/>
      <c r="G11612" s="13"/>
      <c r="AL11612" s="13"/>
    </row>
    <row r="11613" spans="4:39" x14ac:dyDescent="0.3">
      <c r="D11613" s="1"/>
      <c r="G11613" s="13"/>
      <c r="AL11613" s="13"/>
    </row>
    <row r="11614" spans="4:39" x14ac:dyDescent="0.3">
      <c r="D11614" s="1"/>
      <c r="G11614" s="13"/>
      <c r="AL11614" s="13"/>
    </row>
    <row r="11615" spans="4:39" x14ac:dyDescent="0.3">
      <c r="D11615" s="1"/>
      <c r="G11615" s="13"/>
      <c r="AL11615" s="13"/>
      <c r="AM11615" s="14"/>
    </row>
    <row r="11616" spans="4:39" x14ac:dyDescent="0.3">
      <c r="D11616" s="1"/>
      <c r="G11616" s="13"/>
      <c r="AL11616" s="13"/>
      <c r="AM11616" s="14"/>
    </row>
    <row r="11617" spans="4:39" x14ac:dyDescent="0.3">
      <c r="D11617" s="1"/>
      <c r="G11617" s="13"/>
      <c r="AL11617" s="13"/>
    </row>
    <row r="11618" spans="4:39" x14ac:dyDescent="0.3">
      <c r="D11618" s="1"/>
      <c r="G11618" s="13"/>
      <c r="AL11618" s="13"/>
      <c r="AM11618" s="14"/>
    </row>
    <row r="11619" spans="4:39" x14ac:dyDescent="0.3">
      <c r="D11619" s="1"/>
      <c r="G11619" s="13"/>
      <c r="AL11619" s="13"/>
      <c r="AM11619" s="14"/>
    </row>
    <row r="11620" spans="4:39" x14ac:dyDescent="0.3">
      <c r="D11620" s="1"/>
      <c r="G11620" s="13"/>
      <c r="AL11620" s="13"/>
    </row>
    <row r="11621" spans="4:39" x14ac:dyDescent="0.3">
      <c r="D11621" s="1"/>
      <c r="G11621" s="13"/>
      <c r="AL11621" s="13"/>
    </row>
    <row r="11622" spans="4:39" x14ac:dyDescent="0.3">
      <c r="D11622" s="1"/>
      <c r="G11622" s="13"/>
      <c r="AL11622" s="13"/>
    </row>
    <row r="11623" spans="4:39" x14ac:dyDescent="0.3">
      <c r="D11623" s="1"/>
      <c r="G11623" s="13"/>
      <c r="AL11623" s="13"/>
    </row>
    <row r="11624" spans="4:39" x14ac:dyDescent="0.3">
      <c r="D11624" s="1"/>
      <c r="G11624" s="13"/>
      <c r="AL11624" s="13"/>
    </row>
    <row r="11625" spans="4:39" x14ac:dyDescent="0.3">
      <c r="D11625" s="1"/>
      <c r="G11625" s="13"/>
      <c r="AL11625" s="13"/>
    </row>
    <row r="11626" spans="4:39" x14ac:dyDescent="0.3">
      <c r="D11626" s="1"/>
      <c r="G11626" s="13"/>
      <c r="AL11626" s="13"/>
    </row>
    <row r="11627" spans="4:39" x14ac:dyDescent="0.3">
      <c r="D11627" s="1"/>
      <c r="G11627" s="13"/>
      <c r="AL11627" s="13"/>
    </row>
    <row r="11628" spans="4:39" x14ac:dyDescent="0.3">
      <c r="D11628" s="1"/>
      <c r="G11628" s="13"/>
      <c r="AL11628" s="13"/>
    </row>
    <row r="11629" spans="4:39" x14ac:dyDescent="0.3">
      <c r="D11629" s="1"/>
      <c r="G11629" s="13"/>
      <c r="AL11629" s="13"/>
    </row>
    <row r="11630" spans="4:39" x14ac:dyDescent="0.3">
      <c r="D11630" s="1"/>
      <c r="G11630" s="13"/>
      <c r="AL11630" s="13"/>
    </row>
    <row r="11631" spans="4:39" x14ac:dyDescent="0.3">
      <c r="D11631" s="1"/>
      <c r="G11631" s="13"/>
      <c r="AL11631" s="13"/>
    </row>
    <row r="11632" spans="4:39" x14ac:dyDescent="0.3">
      <c r="D11632" s="1"/>
      <c r="G11632" s="13"/>
      <c r="AL11632" s="13"/>
    </row>
    <row r="11633" spans="4:38" x14ac:dyDescent="0.3">
      <c r="D11633" s="1"/>
      <c r="G11633" s="13"/>
      <c r="AL11633" s="13"/>
    </row>
    <row r="11634" spans="4:38" x14ac:dyDescent="0.3">
      <c r="D11634" s="1"/>
      <c r="G11634" s="13"/>
      <c r="AL11634" s="13"/>
    </row>
    <row r="11635" spans="4:38" x14ac:dyDescent="0.3">
      <c r="D11635" s="1"/>
      <c r="G11635" s="13"/>
      <c r="AL11635" s="13"/>
    </row>
    <row r="11636" spans="4:38" x14ac:dyDescent="0.3">
      <c r="D11636" s="1"/>
      <c r="G11636" s="13"/>
      <c r="AL11636" s="13"/>
    </row>
    <row r="11637" spans="4:38" x14ac:dyDescent="0.3">
      <c r="D11637" s="1"/>
      <c r="G11637" s="13"/>
      <c r="AL11637" s="13"/>
    </row>
    <row r="11638" spans="4:38" x14ac:dyDescent="0.3">
      <c r="D11638" s="1"/>
      <c r="G11638" s="13"/>
      <c r="AL11638" s="13"/>
    </row>
    <row r="11639" spans="4:38" x14ac:dyDescent="0.3">
      <c r="D11639" s="1"/>
      <c r="G11639" s="13"/>
      <c r="AL11639" s="13"/>
    </row>
    <row r="11640" spans="4:38" x14ac:dyDescent="0.3">
      <c r="D11640" s="1"/>
      <c r="G11640" s="13"/>
      <c r="AL11640" s="13"/>
    </row>
    <row r="11641" spans="4:38" x14ac:dyDescent="0.3">
      <c r="D11641" s="1"/>
      <c r="G11641" s="13"/>
      <c r="AL11641" s="13"/>
    </row>
    <row r="11642" spans="4:38" x14ac:dyDescent="0.3">
      <c r="D11642" s="1"/>
      <c r="G11642" s="13"/>
      <c r="AL11642" s="13"/>
    </row>
    <row r="11643" spans="4:38" x14ac:dyDescent="0.3">
      <c r="D11643" s="1"/>
      <c r="G11643" s="13"/>
      <c r="AL11643" s="13"/>
    </row>
    <row r="11644" spans="4:38" x14ac:dyDescent="0.3">
      <c r="D11644" s="1"/>
      <c r="G11644" s="13"/>
      <c r="AL11644" s="13"/>
    </row>
    <row r="11645" spans="4:38" x14ac:dyDescent="0.3">
      <c r="D11645" s="1"/>
      <c r="G11645" s="13"/>
      <c r="AL11645" s="13"/>
    </row>
    <row r="11646" spans="4:38" x14ac:dyDescent="0.3">
      <c r="D11646" s="1"/>
      <c r="G11646" s="13"/>
      <c r="AL11646" s="13"/>
    </row>
    <row r="11647" spans="4:38" x14ac:dyDescent="0.3">
      <c r="D11647" s="1"/>
      <c r="G11647" s="13"/>
      <c r="AL11647" s="13"/>
    </row>
    <row r="11648" spans="4:38" x14ac:dyDescent="0.3">
      <c r="D11648" s="1"/>
      <c r="G11648" s="13"/>
      <c r="AL11648" s="13"/>
    </row>
    <row r="11649" spans="4:39" x14ac:dyDescent="0.3">
      <c r="D11649" s="1"/>
      <c r="G11649" s="13"/>
      <c r="AL11649" s="13"/>
    </row>
    <row r="11650" spans="4:39" x14ac:dyDescent="0.3">
      <c r="D11650" s="1"/>
      <c r="G11650" s="13"/>
      <c r="AL11650" s="13"/>
    </row>
    <row r="11651" spans="4:39" x14ac:dyDescent="0.3">
      <c r="D11651" s="1"/>
      <c r="G11651" s="13"/>
      <c r="AL11651" s="13"/>
    </row>
    <row r="11652" spans="4:39" x14ac:dyDescent="0.3">
      <c r="D11652" s="1"/>
      <c r="G11652" s="13"/>
      <c r="AL11652" s="13"/>
    </row>
    <row r="11653" spans="4:39" x14ac:dyDescent="0.3">
      <c r="D11653" s="1"/>
      <c r="G11653" s="13"/>
      <c r="AL11653" s="13"/>
    </row>
    <row r="11654" spans="4:39" x14ac:dyDescent="0.3">
      <c r="D11654" s="1"/>
      <c r="G11654" s="13"/>
      <c r="AL11654" s="13"/>
    </row>
    <row r="11655" spans="4:39" x14ac:dyDescent="0.3">
      <c r="D11655" s="1"/>
      <c r="G11655" s="13"/>
      <c r="AL11655" s="13"/>
    </row>
    <row r="11656" spans="4:39" x14ac:dyDescent="0.3">
      <c r="D11656" s="1"/>
      <c r="G11656" s="13"/>
      <c r="AL11656" s="13"/>
    </row>
    <row r="11657" spans="4:39" x14ac:dyDescent="0.3">
      <c r="D11657" s="1"/>
      <c r="G11657" s="13"/>
      <c r="AL11657" s="13"/>
    </row>
    <row r="11658" spans="4:39" x14ac:dyDescent="0.3">
      <c r="D11658" s="1"/>
      <c r="G11658" s="13"/>
      <c r="AL11658" s="13"/>
    </row>
    <row r="11659" spans="4:39" x14ac:dyDescent="0.3">
      <c r="D11659" s="1"/>
      <c r="G11659" s="13"/>
      <c r="AL11659" s="13"/>
    </row>
    <row r="11660" spans="4:39" x14ac:dyDescent="0.3">
      <c r="D11660" s="1"/>
      <c r="G11660" s="13"/>
      <c r="AL11660" s="13"/>
    </row>
    <row r="11661" spans="4:39" x14ac:dyDescent="0.3">
      <c r="D11661" s="1"/>
      <c r="G11661" s="13"/>
      <c r="AL11661" s="13"/>
    </row>
    <row r="11662" spans="4:39" x14ac:dyDescent="0.3">
      <c r="D11662" s="1"/>
      <c r="G11662" s="13"/>
      <c r="AL11662" s="13"/>
      <c r="AM11662" s="14"/>
    </row>
    <row r="11663" spans="4:39" x14ac:dyDescent="0.3">
      <c r="D11663" s="1"/>
      <c r="G11663" s="13"/>
      <c r="AL11663" s="13"/>
    </row>
    <row r="11664" spans="4:39" x14ac:dyDescent="0.3">
      <c r="D11664" s="1"/>
      <c r="G11664" s="13"/>
      <c r="AL11664" s="13"/>
    </row>
    <row r="11665" spans="4:39" x14ac:dyDescent="0.3">
      <c r="D11665" s="1"/>
      <c r="G11665" s="13"/>
      <c r="AL11665" s="13"/>
    </row>
    <row r="11666" spans="4:39" x14ac:dyDescent="0.3">
      <c r="D11666" s="1"/>
      <c r="G11666" s="13"/>
      <c r="AL11666" s="13"/>
      <c r="AM11666" s="14"/>
    </row>
    <row r="11667" spans="4:39" x14ac:dyDescent="0.3">
      <c r="D11667" s="1"/>
      <c r="G11667" s="13"/>
      <c r="AL11667" s="13"/>
    </row>
    <row r="11668" spans="4:39" x14ac:dyDescent="0.3">
      <c r="D11668" s="1"/>
      <c r="G11668" s="13"/>
      <c r="AL11668" s="13"/>
    </row>
    <row r="11669" spans="4:39" x14ac:dyDescent="0.3">
      <c r="D11669" s="1"/>
      <c r="G11669" s="13"/>
      <c r="AL11669" s="13"/>
    </row>
    <row r="11670" spans="4:39" x14ac:dyDescent="0.3">
      <c r="D11670" s="1"/>
      <c r="G11670" s="13"/>
      <c r="AL11670" s="13"/>
    </row>
    <row r="11671" spans="4:39" x14ac:dyDescent="0.3">
      <c r="D11671" s="1"/>
      <c r="G11671" s="13"/>
      <c r="AL11671" s="13"/>
      <c r="AM11671" s="14"/>
    </row>
    <row r="11672" spans="4:39" x14ac:dyDescent="0.3">
      <c r="D11672" s="1"/>
      <c r="G11672" s="13"/>
      <c r="AL11672" s="13"/>
    </row>
    <row r="11673" spans="4:39" x14ac:dyDescent="0.3">
      <c r="D11673" s="1"/>
      <c r="G11673" s="13"/>
      <c r="AL11673" s="13"/>
    </row>
    <row r="11674" spans="4:39" x14ac:dyDescent="0.3">
      <c r="D11674" s="1"/>
      <c r="G11674" s="13"/>
      <c r="AL11674" s="13"/>
    </row>
    <row r="11675" spans="4:39" x14ac:dyDescent="0.3">
      <c r="D11675" s="1"/>
      <c r="G11675" s="13"/>
      <c r="AL11675" s="13"/>
    </row>
    <row r="11676" spans="4:39" x14ac:dyDescent="0.3">
      <c r="D11676" s="1"/>
      <c r="G11676" s="13"/>
      <c r="AL11676" s="13"/>
    </row>
    <row r="11677" spans="4:39" x14ac:dyDescent="0.3">
      <c r="D11677" s="1"/>
      <c r="G11677" s="13"/>
      <c r="AL11677" s="13"/>
    </row>
    <row r="11678" spans="4:39" x14ac:dyDescent="0.3">
      <c r="D11678" s="1"/>
      <c r="G11678" s="13"/>
      <c r="AL11678" s="13"/>
    </row>
    <row r="11679" spans="4:39" x14ac:dyDescent="0.3">
      <c r="D11679" s="1"/>
      <c r="G11679" s="13"/>
      <c r="AL11679" s="13"/>
      <c r="AM11679" s="14"/>
    </row>
    <row r="11680" spans="4:39" x14ac:dyDescent="0.3">
      <c r="D11680" s="1"/>
      <c r="G11680" s="13"/>
      <c r="AL11680" s="13"/>
    </row>
    <row r="11681" spans="4:39" x14ac:dyDescent="0.3">
      <c r="D11681" s="1"/>
      <c r="G11681" s="13"/>
      <c r="AL11681" s="13"/>
    </row>
    <row r="11682" spans="4:39" x14ac:dyDescent="0.3">
      <c r="D11682" s="1"/>
      <c r="G11682" s="13"/>
      <c r="AL11682" s="13"/>
    </row>
    <row r="11683" spans="4:39" x14ac:dyDescent="0.3">
      <c r="D11683" s="1"/>
      <c r="G11683" s="13"/>
      <c r="AL11683" s="13"/>
    </row>
    <row r="11684" spans="4:39" x14ac:dyDescent="0.3">
      <c r="D11684" s="1"/>
      <c r="G11684" s="13"/>
      <c r="AL11684" s="13"/>
    </row>
    <row r="11685" spans="4:39" x14ac:dyDescent="0.3">
      <c r="D11685" s="1"/>
      <c r="G11685" s="13"/>
      <c r="AL11685" s="13"/>
    </row>
    <row r="11686" spans="4:39" x14ac:dyDescent="0.3">
      <c r="D11686" s="1"/>
      <c r="G11686" s="13"/>
      <c r="AL11686" s="13"/>
    </row>
    <row r="11687" spans="4:39" x14ac:dyDescent="0.3">
      <c r="D11687" s="1"/>
      <c r="G11687" s="13"/>
      <c r="AL11687" s="13"/>
    </row>
    <row r="11688" spans="4:39" x14ac:dyDescent="0.3">
      <c r="D11688" s="1"/>
      <c r="G11688" s="13"/>
      <c r="AL11688" s="13"/>
    </row>
    <row r="11689" spans="4:39" x14ac:dyDescent="0.3">
      <c r="D11689" s="1"/>
      <c r="G11689" s="13"/>
      <c r="AL11689" s="13"/>
    </row>
    <row r="11690" spans="4:39" x14ac:dyDescent="0.3">
      <c r="D11690" s="1"/>
      <c r="G11690" s="13"/>
      <c r="AL11690" s="13"/>
    </row>
    <row r="11691" spans="4:39" x14ac:dyDescent="0.3">
      <c r="D11691" s="1"/>
      <c r="G11691" s="13"/>
      <c r="AL11691" s="13"/>
      <c r="AM11691" s="14"/>
    </row>
    <row r="11692" spans="4:39" x14ac:dyDescent="0.3">
      <c r="D11692" s="1"/>
      <c r="G11692" s="13"/>
      <c r="AL11692" s="13"/>
      <c r="AM11692" s="14"/>
    </row>
    <row r="11693" spans="4:39" x14ac:dyDescent="0.3">
      <c r="D11693" s="1"/>
      <c r="G11693" s="13"/>
      <c r="AL11693" s="13"/>
    </row>
    <row r="11694" spans="4:39" x14ac:dyDescent="0.3">
      <c r="D11694" s="1"/>
      <c r="G11694" s="13"/>
      <c r="AL11694" s="13"/>
    </row>
    <row r="11695" spans="4:39" x14ac:dyDescent="0.3">
      <c r="D11695" s="1"/>
      <c r="G11695" s="13"/>
      <c r="AL11695" s="13"/>
    </row>
    <row r="11696" spans="4:39" x14ac:dyDescent="0.3">
      <c r="D11696" s="1"/>
      <c r="G11696" s="13"/>
      <c r="AL11696" s="13"/>
      <c r="AM11696" s="14"/>
    </row>
    <row r="11697" spans="4:39" x14ac:dyDescent="0.3">
      <c r="D11697" s="1"/>
      <c r="G11697" s="13"/>
      <c r="AL11697" s="13"/>
    </row>
    <row r="11698" spans="4:39" x14ac:dyDescent="0.3">
      <c r="D11698" s="1"/>
      <c r="G11698" s="13"/>
      <c r="AL11698" s="13"/>
    </row>
    <row r="11699" spans="4:39" x14ac:dyDescent="0.3">
      <c r="D11699" s="1"/>
      <c r="G11699" s="13"/>
      <c r="AL11699" s="13"/>
    </row>
    <row r="11700" spans="4:39" x14ac:dyDescent="0.3">
      <c r="D11700" s="1"/>
      <c r="G11700" s="13"/>
      <c r="AL11700" s="13"/>
    </row>
    <row r="11701" spans="4:39" x14ac:dyDescent="0.3">
      <c r="D11701" s="1"/>
      <c r="G11701" s="13"/>
      <c r="AL11701" s="13"/>
    </row>
    <row r="11702" spans="4:39" x14ac:dyDescent="0.3">
      <c r="D11702" s="1"/>
      <c r="G11702" s="13"/>
      <c r="AL11702" s="13"/>
      <c r="AM11702" s="14"/>
    </row>
    <row r="11703" spans="4:39" x14ac:dyDescent="0.3">
      <c r="D11703" s="1"/>
      <c r="G11703" s="13"/>
      <c r="AL11703" s="13"/>
    </row>
    <row r="11704" spans="4:39" x14ac:dyDescent="0.3">
      <c r="D11704" s="1"/>
      <c r="G11704" s="13"/>
      <c r="AL11704" s="13"/>
    </row>
    <row r="11705" spans="4:39" x14ac:dyDescent="0.3">
      <c r="D11705" s="1"/>
      <c r="G11705" s="13"/>
      <c r="AL11705" s="13"/>
    </row>
    <row r="11706" spans="4:39" x14ac:dyDescent="0.3">
      <c r="D11706" s="1"/>
      <c r="G11706" s="13"/>
      <c r="AL11706" s="13"/>
      <c r="AM11706" s="14"/>
    </row>
    <row r="11707" spans="4:39" x14ac:dyDescent="0.3">
      <c r="D11707" s="1"/>
      <c r="G11707" s="13"/>
      <c r="AL11707" s="13"/>
    </row>
    <row r="11708" spans="4:39" x14ac:dyDescent="0.3">
      <c r="D11708" s="1"/>
      <c r="G11708" s="13"/>
      <c r="AL11708" s="13"/>
    </row>
    <row r="11709" spans="4:39" x14ac:dyDescent="0.3">
      <c r="D11709" s="1"/>
      <c r="G11709" s="13"/>
      <c r="AL11709" s="13"/>
      <c r="AM11709" s="14"/>
    </row>
    <row r="11710" spans="4:39" x14ac:dyDescent="0.3">
      <c r="D11710" s="1"/>
      <c r="G11710" s="13"/>
      <c r="AL11710" s="13"/>
    </row>
    <row r="11711" spans="4:39" x14ac:dyDescent="0.3">
      <c r="D11711" s="1"/>
      <c r="G11711" s="13"/>
      <c r="AL11711" s="13"/>
    </row>
    <row r="11712" spans="4:39" x14ac:dyDescent="0.3">
      <c r="D11712" s="1"/>
      <c r="G11712" s="13"/>
      <c r="AL11712" s="13"/>
    </row>
    <row r="11713" spans="4:39" x14ac:dyDescent="0.3">
      <c r="D11713" s="1"/>
      <c r="G11713" s="13"/>
      <c r="AL11713" s="13"/>
      <c r="AM11713" s="14"/>
    </row>
    <row r="11714" spans="4:39" x14ac:dyDescent="0.3">
      <c r="D11714" s="1"/>
      <c r="G11714" s="13"/>
      <c r="AL11714" s="13"/>
    </row>
    <row r="11715" spans="4:39" x14ac:dyDescent="0.3">
      <c r="D11715" s="1"/>
      <c r="G11715" s="13"/>
      <c r="AL11715" s="13"/>
    </row>
    <row r="11716" spans="4:39" x14ac:dyDescent="0.3">
      <c r="D11716" s="1"/>
      <c r="G11716" s="13"/>
      <c r="AL11716" s="13"/>
    </row>
    <row r="11717" spans="4:39" x14ac:dyDescent="0.3">
      <c r="D11717" s="1"/>
      <c r="G11717" s="13"/>
      <c r="AL11717" s="13"/>
    </row>
    <row r="11718" spans="4:39" x14ac:dyDescent="0.3">
      <c r="D11718" s="1"/>
      <c r="G11718" s="13"/>
      <c r="AL11718" s="13"/>
      <c r="AM11718" s="14"/>
    </row>
    <row r="11719" spans="4:39" x14ac:dyDescent="0.3">
      <c r="D11719" s="1"/>
      <c r="G11719" s="13"/>
      <c r="AL11719" s="13"/>
      <c r="AM11719" s="14"/>
    </row>
    <row r="11720" spans="4:39" x14ac:dyDescent="0.3">
      <c r="D11720" s="1"/>
      <c r="G11720" s="13"/>
      <c r="AL11720" s="13"/>
    </row>
    <row r="11721" spans="4:39" x14ac:dyDescent="0.3">
      <c r="D11721" s="1"/>
      <c r="G11721" s="13"/>
      <c r="AL11721" s="13"/>
      <c r="AM11721" s="14"/>
    </row>
    <row r="11722" spans="4:39" x14ac:dyDescent="0.3">
      <c r="D11722" s="1"/>
      <c r="G11722" s="13"/>
      <c r="AL11722" s="13"/>
      <c r="AM11722" s="14"/>
    </row>
    <row r="11723" spans="4:39" x14ac:dyDescent="0.3">
      <c r="D11723" s="1"/>
      <c r="G11723" s="13"/>
      <c r="AL11723" s="13"/>
    </row>
    <row r="11724" spans="4:39" x14ac:dyDescent="0.3">
      <c r="D11724" s="1"/>
      <c r="G11724" s="13"/>
      <c r="AL11724" s="13"/>
    </row>
    <row r="11725" spans="4:39" x14ac:dyDescent="0.3">
      <c r="D11725" s="1"/>
      <c r="G11725" s="13"/>
      <c r="AL11725" s="13"/>
    </row>
    <row r="11726" spans="4:39" x14ac:dyDescent="0.3">
      <c r="D11726" s="1"/>
      <c r="G11726" s="13"/>
      <c r="AL11726" s="13"/>
    </row>
    <row r="11727" spans="4:39" x14ac:dyDescent="0.3">
      <c r="D11727" s="1"/>
      <c r="G11727" s="13"/>
      <c r="AL11727" s="13"/>
      <c r="AM11727" s="14"/>
    </row>
    <row r="11728" spans="4:39" x14ac:dyDescent="0.3">
      <c r="D11728" s="1"/>
      <c r="G11728" s="13"/>
      <c r="AL11728" s="13"/>
    </row>
    <row r="11729" spans="4:39" x14ac:dyDescent="0.3">
      <c r="D11729" s="1"/>
      <c r="G11729" s="13"/>
      <c r="AL11729" s="13"/>
      <c r="AM11729" s="14"/>
    </row>
    <row r="11730" spans="4:39" x14ac:dyDescent="0.3">
      <c r="D11730" s="1"/>
      <c r="G11730" s="13"/>
      <c r="AL11730" s="13"/>
      <c r="AM11730" s="14"/>
    </row>
    <row r="11731" spans="4:39" x14ac:dyDescent="0.3">
      <c r="D11731" s="1"/>
      <c r="G11731" s="13"/>
      <c r="AL11731" s="13"/>
    </row>
    <row r="11732" spans="4:39" x14ac:dyDescent="0.3">
      <c r="D11732" s="1"/>
      <c r="G11732" s="13"/>
      <c r="AL11732" s="13"/>
    </row>
    <row r="11733" spans="4:39" x14ac:dyDescent="0.3">
      <c r="D11733" s="1"/>
      <c r="G11733" s="13"/>
      <c r="AL11733" s="13"/>
    </row>
    <row r="11734" spans="4:39" x14ac:dyDescent="0.3">
      <c r="D11734" s="1"/>
      <c r="G11734" s="13"/>
      <c r="AL11734" s="13"/>
      <c r="AM11734" s="14"/>
    </row>
    <row r="11735" spans="4:39" x14ac:dyDescent="0.3">
      <c r="D11735" s="1"/>
      <c r="G11735" s="13"/>
      <c r="AL11735" s="13"/>
    </row>
    <row r="11736" spans="4:39" x14ac:dyDescent="0.3">
      <c r="D11736" s="1"/>
      <c r="G11736" s="13"/>
      <c r="AL11736" s="13"/>
    </row>
    <row r="11737" spans="4:39" x14ac:dyDescent="0.3">
      <c r="D11737" s="1"/>
      <c r="G11737" s="13"/>
      <c r="AL11737" s="13"/>
      <c r="AM11737" s="14"/>
    </row>
    <row r="11738" spans="4:39" x14ac:dyDescent="0.3">
      <c r="D11738" s="1"/>
      <c r="G11738" s="13"/>
      <c r="AL11738" s="13"/>
    </row>
    <row r="11739" spans="4:39" x14ac:dyDescent="0.3">
      <c r="D11739" s="1"/>
      <c r="G11739" s="13"/>
      <c r="AL11739" s="13"/>
    </row>
    <row r="11740" spans="4:39" x14ac:dyDescent="0.3">
      <c r="D11740" s="1"/>
      <c r="G11740" s="13"/>
      <c r="AL11740" s="13"/>
    </row>
    <row r="11741" spans="4:39" x14ac:dyDescent="0.3">
      <c r="D11741" s="1"/>
      <c r="G11741" s="13"/>
      <c r="AL11741" s="13"/>
    </row>
    <row r="11742" spans="4:39" x14ac:dyDescent="0.3">
      <c r="D11742" s="1"/>
      <c r="G11742" s="13"/>
      <c r="AL11742" s="13"/>
    </row>
    <row r="11743" spans="4:39" x14ac:dyDescent="0.3">
      <c r="D11743" s="1"/>
      <c r="G11743" s="13"/>
      <c r="AL11743" s="13"/>
    </row>
    <row r="11744" spans="4:39" x14ac:dyDescent="0.3">
      <c r="D11744" s="1"/>
      <c r="G11744" s="13"/>
      <c r="AL11744" s="13"/>
    </row>
    <row r="11745" spans="4:39" x14ac:dyDescent="0.3">
      <c r="D11745" s="1"/>
      <c r="G11745" s="13"/>
      <c r="AL11745" s="13"/>
    </row>
    <row r="11746" spans="4:39" x14ac:dyDescent="0.3">
      <c r="D11746" s="1"/>
      <c r="G11746" s="13"/>
      <c r="AL11746" s="13"/>
    </row>
    <row r="11747" spans="4:39" x14ac:dyDescent="0.3">
      <c r="D11747" s="1"/>
      <c r="G11747" s="13"/>
      <c r="AL11747" s="13"/>
    </row>
    <row r="11748" spans="4:39" x14ac:dyDescent="0.3">
      <c r="D11748" s="1"/>
      <c r="G11748" s="13"/>
      <c r="AL11748" s="13"/>
    </row>
    <row r="11749" spans="4:39" x14ac:dyDescent="0.3">
      <c r="D11749" s="1"/>
      <c r="G11749" s="13"/>
      <c r="AL11749" s="13"/>
    </row>
    <row r="11750" spans="4:39" x14ac:dyDescent="0.3">
      <c r="D11750" s="1"/>
      <c r="G11750" s="13"/>
      <c r="AL11750" s="13"/>
    </row>
    <row r="11751" spans="4:39" x14ac:dyDescent="0.3">
      <c r="D11751" s="1"/>
      <c r="G11751" s="13"/>
      <c r="AL11751" s="13"/>
    </row>
    <row r="11752" spans="4:39" x14ac:dyDescent="0.3">
      <c r="D11752" s="1"/>
      <c r="G11752" s="13"/>
      <c r="AL11752" s="13"/>
    </row>
    <row r="11753" spans="4:39" x14ac:dyDescent="0.3">
      <c r="D11753" s="1"/>
      <c r="G11753" s="13"/>
      <c r="AL11753" s="13"/>
    </row>
    <row r="11754" spans="4:39" x14ac:dyDescent="0.3">
      <c r="D11754" s="1"/>
      <c r="G11754" s="13"/>
      <c r="AL11754" s="13"/>
    </row>
    <row r="11755" spans="4:39" x14ac:dyDescent="0.3">
      <c r="D11755" s="1"/>
      <c r="G11755" s="13"/>
      <c r="AL11755" s="13"/>
      <c r="AM11755" s="14"/>
    </row>
    <row r="11756" spans="4:39" x14ac:dyDescent="0.3">
      <c r="D11756" s="1"/>
      <c r="G11756" s="13"/>
      <c r="AL11756" s="13"/>
    </row>
    <row r="11757" spans="4:39" x14ac:dyDescent="0.3">
      <c r="D11757" s="1"/>
      <c r="G11757" s="13"/>
      <c r="AL11757" s="13"/>
    </row>
    <row r="11758" spans="4:39" x14ac:dyDescent="0.3">
      <c r="D11758" s="1"/>
      <c r="G11758" s="13"/>
      <c r="AL11758" s="13"/>
    </row>
    <row r="11759" spans="4:39" x14ac:dyDescent="0.3">
      <c r="D11759" s="1"/>
      <c r="G11759" s="13"/>
      <c r="AL11759" s="13"/>
    </row>
    <row r="11760" spans="4:39" x14ac:dyDescent="0.3">
      <c r="D11760" s="1"/>
      <c r="G11760" s="13"/>
      <c r="AL11760" s="13"/>
    </row>
    <row r="11761" spans="4:39" x14ac:dyDescent="0.3">
      <c r="D11761" s="1"/>
      <c r="G11761" s="13"/>
      <c r="AL11761" s="13"/>
      <c r="AM11761" s="14"/>
    </row>
    <row r="11762" spans="4:39" x14ac:dyDescent="0.3">
      <c r="D11762" s="1"/>
      <c r="G11762" s="13"/>
      <c r="AL11762" s="13"/>
    </row>
    <row r="11763" spans="4:39" x14ac:dyDescent="0.3">
      <c r="D11763" s="1"/>
      <c r="G11763" s="13"/>
      <c r="AL11763" s="13"/>
    </row>
    <row r="11764" spans="4:39" x14ac:dyDescent="0.3">
      <c r="D11764" s="1"/>
      <c r="G11764" s="13"/>
      <c r="AL11764" s="13"/>
    </row>
    <row r="11765" spans="4:39" x14ac:dyDescent="0.3">
      <c r="D11765" s="1"/>
      <c r="G11765" s="13"/>
      <c r="AL11765" s="13"/>
    </row>
    <row r="11766" spans="4:39" x14ac:dyDescent="0.3">
      <c r="D11766" s="1"/>
      <c r="G11766" s="13"/>
      <c r="AL11766" s="13"/>
      <c r="AM11766" s="14"/>
    </row>
    <row r="11767" spans="4:39" x14ac:dyDescent="0.3">
      <c r="D11767" s="1"/>
      <c r="G11767" s="13"/>
      <c r="AL11767" s="13"/>
      <c r="AM11767" s="14"/>
    </row>
    <row r="11768" spans="4:39" x14ac:dyDescent="0.3">
      <c r="D11768" s="1"/>
      <c r="G11768" s="13"/>
      <c r="AL11768" s="13"/>
      <c r="AM11768" s="14"/>
    </row>
    <row r="11769" spans="4:39" x14ac:dyDescent="0.3">
      <c r="D11769" s="1"/>
      <c r="G11769" s="13"/>
      <c r="AL11769" s="13"/>
    </row>
    <row r="11770" spans="4:39" x14ac:dyDescent="0.3">
      <c r="D11770" s="1"/>
      <c r="G11770" s="13"/>
      <c r="AL11770" s="13"/>
    </row>
    <row r="11771" spans="4:39" x14ac:dyDescent="0.3">
      <c r="D11771" s="1"/>
      <c r="G11771" s="13"/>
      <c r="AL11771" s="13"/>
    </row>
    <row r="11772" spans="4:39" x14ac:dyDescent="0.3">
      <c r="D11772" s="1"/>
      <c r="G11772" s="13"/>
      <c r="AL11772" s="13"/>
    </row>
    <row r="11773" spans="4:39" x14ac:dyDescent="0.3">
      <c r="D11773" s="1"/>
      <c r="G11773" s="13"/>
      <c r="AL11773" s="13"/>
    </row>
    <row r="11774" spans="4:39" x14ac:dyDescent="0.3">
      <c r="D11774" s="1"/>
      <c r="G11774" s="13"/>
      <c r="AL11774" s="13"/>
    </row>
    <row r="11775" spans="4:39" x14ac:dyDescent="0.3">
      <c r="D11775" s="1"/>
      <c r="G11775" s="13"/>
      <c r="AL11775" s="13"/>
    </row>
    <row r="11776" spans="4:39" x14ac:dyDescent="0.3">
      <c r="D11776" s="1"/>
      <c r="G11776" s="13"/>
      <c r="AL11776" s="13"/>
    </row>
    <row r="11777" spans="4:39" x14ac:dyDescent="0.3">
      <c r="D11777" s="1"/>
      <c r="G11777" s="13"/>
      <c r="AL11777" s="13"/>
    </row>
    <row r="11778" spans="4:39" x14ac:dyDescent="0.3">
      <c r="D11778" s="1"/>
      <c r="G11778" s="13"/>
      <c r="AL11778" s="13"/>
    </row>
    <row r="11779" spans="4:39" x14ac:dyDescent="0.3">
      <c r="D11779" s="1"/>
      <c r="G11779" s="13"/>
      <c r="AL11779" s="13"/>
    </row>
    <row r="11780" spans="4:39" x14ac:dyDescent="0.3">
      <c r="D11780" s="1"/>
      <c r="G11780" s="13"/>
      <c r="AL11780" s="13"/>
      <c r="AM11780" s="14"/>
    </row>
    <row r="11781" spans="4:39" x14ac:dyDescent="0.3">
      <c r="D11781" s="1"/>
      <c r="G11781" s="13"/>
      <c r="AL11781" s="13"/>
    </row>
    <row r="11782" spans="4:39" x14ac:dyDescent="0.3">
      <c r="D11782" s="1"/>
      <c r="G11782" s="13"/>
      <c r="AL11782" s="13"/>
    </row>
    <row r="11783" spans="4:39" x14ac:dyDescent="0.3">
      <c r="D11783" s="1"/>
      <c r="G11783" s="13"/>
      <c r="AL11783" s="13"/>
    </row>
    <row r="11784" spans="4:39" x14ac:dyDescent="0.3">
      <c r="D11784" s="1"/>
      <c r="G11784" s="13"/>
      <c r="AL11784" s="13"/>
    </row>
    <row r="11785" spans="4:39" x14ac:dyDescent="0.3">
      <c r="D11785" s="1"/>
      <c r="G11785" s="13"/>
      <c r="AL11785" s="13"/>
    </row>
    <row r="11786" spans="4:39" x14ac:dyDescent="0.3">
      <c r="D11786" s="1"/>
      <c r="G11786" s="13"/>
      <c r="AL11786" s="13"/>
    </row>
    <row r="11787" spans="4:39" x14ac:dyDescent="0.3">
      <c r="D11787" s="1"/>
      <c r="G11787" s="13"/>
      <c r="AL11787" s="13"/>
    </row>
    <row r="11788" spans="4:39" x14ac:dyDescent="0.3">
      <c r="D11788" s="1"/>
      <c r="G11788" s="13"/>
      <c r="AL11788" s="13"/>
      <c r="AM11788" s="14"/>
    </row>
    <row r="11789" spans="4:39" x14ac:dyDescent="0.3">
      <c r="D11789" s="1"/>
      <c r="G11789" s="13"/>
      <c r="AL11789" s="13"/>
      <c r="AM11789" s="14"/>
    </row>
    <row r="11790" spans="4:39" x14ac:dyDescent="0.3">
      <c r="D11790" s="1"/>
      <c r="G11790" s="13"/>
      <c r="AL11790" s="13"/>
    </row>
    <row r="11791" spans="4:39" x14ac:dyDescent="0.3">
      <c r="D11791" s="1"/>
      <c r="G11791" s="13"/>
      <c r="AL11791" s="13"/>
    </row>
    <row r="11792" spans="4:39" x14ac:dyDescent="0.3">
      <c r="D11792" s="1"/>
      <c r="G11792" s="13"/>
      <c r="AL11792" s="13"/>
    </row>
    <row r="11793" spans="4:39" x14ac:dyDescent="0.3">
      <c r="D11793" s="1"/>
      <c r="G11793" s="13"/>
      <c r="AL11793" s="13"/>
    </row>
    <row r="11794" spans="4:39" x14ac:dyDescent="0.3">
      <c r="D11794" s="1"/>
      <c r="G11794" s="13"/>
      <c r="AL11794" s="13"/>
      <c r="AM11794" s="14"/>
    </row>
    <row r="11795" spans="4:39" x14ac:dyDescent="0.3">
      <c r="D11795" s="1"/>
      <c r="G11795" s="13"/>
      <c r="AL11795" s="13"/>
    </row>
    <row r="11796" spans="4:39" x14ac:dyDescent="0.3">
      <c r="D11796" s="1"/>
      <c r="G11796" s="13"/>
      <c r="AL11796" s="13"/>
    </row>
    <row r="11797" spans="4:39" x14ac:dyDescent="0.3">
      <c r="D11797" s="1"/>
      <c r="G11797" s="13"/>
      <c r="AL11797" s="13"/>
    </row>
    <row r="11798" spans="4:39" x14ac:dyDescent="0.3">
      <c r="D11798" s="1"/>
      <c r="G11798" s="13"/>
      <c r="AL11798" s="13"/>
    </row>
    <row r="11799" spans="4:39" x14ac:dyDescent="0.3">
      <c r="D11799" s="1"/>
      <c r="G11799" s="13"/>
      <c r="AL11799" s="13"/>
      <c r="AM11799" s="14"/>
    </row>
    <row r="11800" spans="4:39" x14ac:dyDescent="0.3">
      <c r="D11800" s="1"/>
      <c r="G11800" s="13"/>
      <c r="AL11800" s="13"/>
    </row>
    <row r="11801" spans="4:39" x14ac:dyDescent="0.3">
      <c r="D11801" s="1"/>
      <c r="G11801" s="13"/>
      <c r="AL11801" s="13"/>
    </row>
    <row r="11802" spans="4:39" x14ac:dyDescent="0.3">
      <c r="D11802" s="1"/>
      <c r="G11802" s="13"/>
      <c r="AL11802" s="13"/>
    </row>
    <row r="11803" spans="4:39" x14ac:dyDescent="0.3">
      <c r="D11803" s="1"/>
      <c r="G11803" s="13"/>
      <c r="AL11803" s="13"/>
    </row>
    <row r="11804" spans="4:39" x14ac:dyDescent="0.3">
      <c r="D11804" s="1"/>
      <c r="G11804" s="13"/>
      <c r="AL11804" s="13"/>
    </row>
    <row r="11805" spans="4:39" x14ac:dyDescent="0.3">
      <c r="D11805" s="1"/>
      <c r="G11805" s="13"/>
      <c r="AL11805" s="13"/>
    </row>
    <row r="11806" spans="4:39" x14ac:dyDescent="0.3">
      <c r="D11806" s="1"/>
      <c r="G11806" s="13"/>
      <c r="AL11806" s="13"/>
      <c r="AM11806" s="14"/>
    </row>
    <row r="11807" spans="4:39" x14ac:dyDescent="0.3">
      <c r="D11807" s="1"/>
      <c r="G11807" s="13"/>
      <c r="AL11807" s="13"/>
    </row>
    <row r="11808" spans="4:39" x14ac:dyDescent="0.3">
      <c r="D11808" s="1"/>
      <c r="G11808" s="13"/>
      <c r="AL11808" s="13"/>
      <c r="AM11808" s="14"/>
    </row>
    <row r="11809" spans="4:39" x14ac:dyDescent="0.3">
      <c r="D11809" s="1"/>
      <c r="G11809" s="13"/>
      <c r="AL11809" s="13"/>
    </row>
    <row r="11810" spans="4:39" x14ac:dyDescent="0.3">
      <c r="D11810" s="1"/>
      <c r="G11810" s="13"/>
      <c r="AL11810" s="13"/>
    </row>
    <row r="11811" spans="4:39" x14ac:dyDescent="0.3">
      <c r="D11811" s="1"/>
      <c r="G11811" s="13"/>
      <c r="AL11811" s="13"/>
    </row>
    <row r="11812" spans="4:39" x14ac:dyDescent="0.3">
      <c r="D11812" s="1"/>
      <c r="G11812" s="13"/>
      <c r="AL11812" s="13"/>
    </row>
    <row r="11813" spans="4:39" x14ac:dyDescent="0.3">
      <c r="D11813" s="1"/>
      <c r="G11813" s="13"/>
      <c r="AL11813" s="13"/>
    </row>
    <row r="11814" spans="4:39" x14ac:dyDescent="0.3">
      <c r="D11814" s="1"/>
      <c r="G11814" s="13"/>
      <c r="AL11814" s="13"/>
    </row>
    <row r="11815" spans="4:39" x14ac:dyDescent="0.3">
      <c r="D11815" s="1"/>
      <c r="G11815" s="13"/>
      <c r="AL11815" s="13"/>
    </row>
    <row r="11816" spans="4:39" x14ac:dyDescent="0.3">
      <c r="D11816" s="1"/>
      <c r="G11816" s="13"/>
      <c r="AL11816" s="13"/>
      <c r="AM11816" s="14"/>
    </row>
    <row r="11817" spans="4:39" x14ac:dyDescent="0.3">
      <c r="D11817" s="1"/>
      <c r="G11817" s="13"/>
      <c r="AL11817" s="13"/>
    </row>
    <row r="11818" spans="4:39" x14ac:dyDescent="0.3">
      <c r="D11818" s="1"/>
      <c r="G11818" s="13"/>
      <c r="AL11818" s="13"/>
      <c r="AM11818" s="14"/>
    </row>
    <row r="11819" spans="4:39" x14ac:dyDescent="0.3">
      <c r="D11819" s="1"/>
      <c r="G11819" s="13"/>
      <c r="AL11819" s="13"/>
    </row>
    <row r="11820" spans="4:39" x14ac:dyDescent="0.3">
      <c r="D11820" s="1"/>
      <c r="G11820" s="13"/>
      <c r="AL11820" s="13"/>
    </row>
    <row r="11821" spans="4:39" x14ac:dyDescent="0.3">
      <c r="D11821" s="1"/>
      <c r="G11821" s="13"/>
      <c r="AL11821" s="13"/>
    </row>
    <row r="11822" spans="4:39" x14ac:dyDescent="0.3">
      <c r="D11822" s="1"/>
      <c r="G11822" s="13"/>
      <c r="AL11822" s="13"/>
    </row>
    <row r="11823" spans="4:39" x14ac:dyDescent="0.3">
      <c r="D11823" s="1"/>
      <c r="G11823" s="13"/>
      <c r="AL11823" s="13"/>
      <c r="AM11823" s="14"/>
    </row>
    <row r="11824" spans="4:39" x14ac:dyDescent="0.3">
      <c r="D11824" s="1"/>
      <c r="G11824" s="13"/>
      <c r="AL11824" s="13"/>
    </row>
    <row r="11825" spans="4:39" x14ac:dyDescent="0.3">
      <c r="D11825" s="1"/>
      <c r="G11825" s="13"/>
      <c r="AL11825" s="13"/>
    </row>
    <row r="11826" spans="4:39" x14ac:dyDescent="0.3">
      <c r="D11826" s="1"/>
      <c r="G11826" s="13"/>
      <c r="AL11826" s="13"/>
    </row>
    <row r="11827" spans="4:39" x14ac:dyDescent="0.3">
      <c r="D11827" s="1"/>
      <c r="G11827" s="13"/>
      <c r="AL11827" s="13"/>
      <c r="AM11827" s="14"/>
    </row>
    <row r="11828" spans="4:39" x14ac:dyDescent="0.3">
      <c r="D11828" s="1"/>
      <c r="G11828" s="13"/>
      <c r="AL11828" s="13"/>
    </row>
    <row r="11829" spans="4:39" x14ac:dyDescent="0.3">
      <c r="D11829" s="1"/>
      <c r="G11829" s="13"/>
      <c r="AL11829" s="13"/>
    </row>
    <row r="11830" spans="4:39" x14ac:dyDescent="0.3">
      <c r="D11830" s="1"/>
      <c r="G11830" s="13"/>
      <c r="AL11830" s="13"/>
    </row>
    <row r="11831" spans="4:39" x14ac:dyDescent="0.3">
      <c r="D11831" s="1"/>
      <c r="G11831" s="13"/>
      <c r="AL11831" s="13"/>
      <c r="AM11831" s="14"/>
    </row>
    <row r="11832" spans="4:39" x14ac:dyDescent="0.3">
      <c r="D11832" s="1"/>
      <c r="G11832" s="13"/>
      <c r="AL11832" s="13"/>
    </row>
    <row r="11833" spans="4:39" x14ac:dyDescent="0.3">
      <c r="D11833" s="1"/>
      <c r="G11833" s="13"/>
      <c r="AL11833" s="13"/>
    </row>
    <row r="11834" spans="4:39" x14ac:dyDescent="0.3">
      <c r="D11834" s="1"/>
      <c r="G11834" s="13"/>
      <c r="AL11834" s="13"/>
      <c r="AM11834" s="14"/>
    </row>
    <row r="11835" spans="4:39" x14ac:dyDescent="0.3">
      <c r="D11835" s="1"/>
      <c r="G11835" s="13"/>
      <c r="AL11835" s="13"/>
      <c r="AM11835" s="14"/>
    </row>
    <row r="11836" spans="4:39" x14ac:dyDescent="0.3">
      <c r="D11836" s="1"/>
      <c r="G11836" s="13"/>
      <c r="AL11836" s="13"/>
      <c r="AM11836" s="14"/>
    </row>
    <row r="11837" spans="4:39" x14ac:dyDescent="0.3">
      <c r="D11837" s="1"/>
      <c r="G11837" s="13"/>
      <c r="AL11837" s="13"/>
      <c r="AM11837" s="14"/>
    </row>
    <row r="11838" spans="4:39" x14ac:dyDescent="0.3">
      <c r="D11838" s="1"/>
      <c r="G11838" s="13"/>
      <c r="AL11838" s="13"/>
    </row>
    <row r="11839" spans="4:39" x14ac:dyDescent="0.3">
      <c r="D11839" s="1"/>
      <c r="G11839" s="13"/>
      <c r="AL11839" s="13"/>
      <c r="AM11839" s="14"/>
    </row>
    <row r="11840" spans="4:39" x14ac:dyDescent="0.3">
      <c r="D11840" s="1"/>
      <c r="G11840" s="13"/>
      <c r="AL11840" s="13"/>
    </row>
    <row r="11841" spans="4:39" x14ac:dyDescent="0.3">
      <c r="D11841" s="1"/>
      <c r="G11841" s="13"/>
      <c r="AL11841" s="13"/>
      <c r="AM11841" s="14"/>
    </row>
    <row r="11842" spans="4:39" x14ac:dyDescent="0.3">
      <c r="D11842" s="1"/>
      <c r="G11842" s="13"/>
      <c r="AL11842" s="13"/>
      <c r="AM11842" s="14"/>
    </row>
    <row r="11843" spans="4:39" x14ac:dyDescent="0.3">
      <c r="D11843" s="1"/>
      <c r="G11843" s="13"/>
      <c r="AL11843" s="13"/>
      <c r="AM11843" s="14"/>
    </row>
    <row r="11844" spans="4:39" x14ac:dyDescent="0.3">
      <c r="D11844" s="1"/>
      <c r="G11844" s="13"/>
      <c r="AL11844" s="13"/>
      <c r="AM11844" s="14"/>
    </row>
    <row r="11845" spans="4:39" x14ac:dyDescent="0.3">
      <c r="D11845" s="1"/>
      <c r="G11845" s="13"/>
      <c r="AL11845" s="13"/>
      <c r="AM11845" s="14"/>
    </row>
    <row r="11846" spans="4:39" x14ac:dyDescent="0.3">
      <c r="D11846" s="1"/>
      <c r="G11846" s="13"/>
      <c r="AL11846" s="13"/>
      <c r="AM11846" s="14"/>
    </row>
    <row r="11847" spans="4:39" x14ac:dyDescent="0.3">
      <c r="D11847" s="1"/>
      <c r="G11847" s="13"/>
      <c r="AL11847" s="13"/>
      <c r="AM11847" s="14"/>
    </row>
    <row r="11848" spans="4:39" x14ac:dyDescent="0.3">
      <c r="D11848" s="1"/>
      <c r="G11848" s="13"/>
      <c r="AL11848" s="13"/>
      <c r="AM11848" s="14"/>
    </row>
    <row r="11849" spans="4:39" x14ac:dyDescent="0.3">
      <c r="D11849" s="1"/>
      <c r="G11849" s="13"/>
      <c r="AL11849" s="13"/>
      <c r="AM11849" s="14"/>
    </row>
    <row r="11850" spans="4:39" x14ac:dyDescent="0.3">
      <c r="D11850" s="1"/>
      <c r="G11850" s="13"/>
      <c r="AL11850" s="13"/>
      <c r="AM11850" s="14"/>
    </row>
    <row r="11851" spans="4:39" x14ac:dyDescent="0.3">
      <c r="D11851" s="1"/>
      <c r="G11851" s="13"/>
      <c r="AL11851" s="13"/>
      <c r="AM11851" s="14"/>
    </row>
    <row r="11852" spans="4:39" x14ac:dyDescent="0.3">
      <c r="D11852" s="1"/>
      <c r="G11852" s="13"/>
      <c r="AL11852" s="13"/>
      <c r="AM11852" s="14"/>
    </row>
    <row r="11853" spans="4:39" x14ac:dyDescent="0.3">
      <c r="D11853" s="1"/>
      <c r="G11853" s="13"/>
      <c r="AL11853" s="13"/>
      <c r="AM11853" s="14"/>
    </row>
    <row r="11854" spans="4:39" x14ac:dyDescent="0.3">
      <c r="D11854" s="1"/>
      <c r="G11854" s="13"/>
      <c r="AL11854" s="13"/>
      <c r="AM11854" s="14"/>
    </row>
    <row r="11855" spans="4:39" x14ac:dyDescent="0.3">
      <c r="D11855" s="1"/>
      <c r="G11855" s="13"/>
      <c r="AL11855" s="13"/>
    </row>
    <row r="11856" spans="4:39" x14ac:dyDescent="0.3">
      <c r="D11856" s="1"/>
      <c r="G11856" s="13"/>
      <c r="AL11856" s="13"/>
      <c r="AM11856" s="14"/>
    </row>
    <row r="11857" spans="4:39" x14ac:dyDescent="0.3">
      <c r="D11857" s="1"/>
      <c r="G11857" s="13"/>
      <c r="AL11857" s="13"/>
    </row>
    <row r="11858" spans="4:39" x14ac:dyDescent="0.3">
      <c r="D11858" s="1"/>
      <c r="G11858" s="13"/>
      <c r="AL11858" s="13"/>
      <c r="AM11858" s="14"/>
    </row>
    <row r="11859" spans="4:39" x14ac:dyDescent="0.3">
      <c r="D11859" s="1"/>
      <c r="G11859" s="13"/>
      <c r="AL11859" s="13"/>
      <c r="AM11859" s="14"/>
    </row>
    <row r="11860" spans="4:39" x14ac:dyDescent="0.3">
      <c r="D11860" s="1"/>
      <c r="G11860" s="13"/>
      <c r="AL11860" s="13"/>
    </row>
    <row r="11861" spans="4:39" x14ac:dyDescent="0.3">
      <c r="D11861" s="1"/>
      <c r="G11861" s="13"/>
      <c r="AL11861" s="13"/>
    </row>
    <row r="11862" spans="4:39" x14ac:dyDescent="0.3">
      <c r="D11862" s="1"/>
      <c r="G11862" s="13"/>
      <c r="AL11862" s="13"/>
    </row>
    <row r="11863" spans="4:39" x14ac:dyDescent="0.3">
      <c r="D11863" s="1"/>
      <c r="G11863" s="13"/>
      <c r="AL11863" s="13"/>
    </row>
    <row r="11864" spans="4:39" x14ac:dyDescent="0.3">
      <c r="D11864" s="1"/>
      <c r="G11864" s="13"/>
      <c r="AL11864" s="13"/>
    </row>
    <row r="11865" spans="4:39" x14ac:dyDescent="0.3">
      <c r="D11865" s="1"/>
      <c r="G11865" s="13"/>
      <c r="AL11865" s="13"/>
      <c r="AM11865" s="14"/>
    </row>
    <row r="11866" spans="4:39" x14ac:dyDescent="0.3">
      <c r="D11866" s="1"/>
      <c r="G11866" s="13"/>
      <c r="AL11866" s="13"/>
      <c r="AM11866" s="14"/>
    </row>
    <row r="11867" spans="4:39" x14ac:dyDescent="0.3">
      <c r="D11867" s="1"/>
      <c r="G11867" s="13"/>
      <c r="AL11867" s="13"/>
      <c r="AM11867" s="14"/>
    </row>
    <row r="11868" spans="4:39" x14ac:dyDescent="0.3">
      <c r="D11868" s="1"/>
      <c r="G11868" s="13"/>
      <c r="AL11868" s="13"/>
    </row>
    <row r="11869" spans="4:39" x14ac:dyDescent="0.3">
      <c r="D11869" s="1"/>
      <c r="G11869" s="13"/>
      <c r="AL11869" s="13"/>
      <c r="AM11869" s="14"/>
    </row>
    <row r="11870" spans="4:39" x14ac:dyDescent="0.3">
      <c r="D11870" s="1"/>
      <c r="G11870" s="13"/>
      <c r="AL11870" s="13"/>
      <c r="AM11870" s="14"/>
    </row>
    <row r="11871" spans="4:39" x14ac:dyDescent="0.3">
      <c r="D11871" s="1"/>
      <c r="G11871" s="13"/>
      <c r="AL11871" s="13"/>
      <c r="AM11871" s="14"/>
    </row>
    <row r="11872" spans="4:39" x14ac:dyDescent="0.3">
      <c r="D11872" s="1"/>
      <c r="G11872" s="13"/>
      <c r="AL11872" s="13"/>
      <c r="AM11872" s="14"/>
    </row>
    <row r="11873" spans="4:39" x14ac:dyDescent="0.3">
      <c r="D11873" s="1"/>
      <c r="G11873" s="13"/>
      <c r="AL11873" s="13"/>
      <c r="AM11873" s="14"/>
    </row>
    <row r="11874" spans="4:39" x14ac:dyDescent="0.3">
      <c r="D11874" s="1"/>
      <c r="G11874" s="13"/>
      <c r="AL11874" s="13"/>
      <c r="AM11874" s="14"/>
    </row>
    <row r="11875" spans="4:39" x14ac:dyDescent="0.3">
      <c r="D11875" s="1"/>
      <c r="G11875" s="13"/>
      <c r="AL11875" s="13"/>
      <c r="AM11875" s="14"/>
    </row>
    <row r="11876" spans="4:39" x14ac:dyDescent="0.3">
      <c r="D11876" s="1"/>
      <c r="G11876" s="13"/>
      <c r="AL11876" s="13"/>
      <c r="AM11876" s="14"/>
    </row>
    <row r="11877" spans="4:39" x14ac:dyDescent="0.3">
      <c r="D11877" s="1"/>
      <c r="G11877" s="13"/>
      <c r="AL11877" s="13"/>
      <c r="AM11877" s="14"/>
    </row>
    <row r="11878" spans="4:39" x14ac:dyDescent="0.3">
      <c r="D11878" s="1"/>
      <c r="G11878" s="13"/>
      <c r="AL11878" s="13"/>
      <c r="AM11878" s="14"/>
    </row>
    <row r="11879" spans="4:39" x14ac:dyDescent="0.3">
      <c r="D11879" s="1"/>
      <c r="G11879" s="13"/>
      <c r="AL11879" s="13"/>
      <c r="AM11879" s="14"/>
    </row>
    <row r="11880" spans="4:39" x14ac:dyDescent="0.3">
      <c r="D11880" s="1"/>
      <c r="G11880" s="13"/>
      <c r="AL11880" s="13"/>
      <c r="AM11880" s="14"/>
    </row>
    <row r="11881" spans="4:39" x14ac:dyDescent="0.3">
      <c r="D11881" s="1"/>
      <c r="G11881" s="13"/>
      <c r="AL11881" s="13"/>
    </row>
    <row r="11882" spans="4:39" x14ac:dyDescent="0.3">
      <c r="D11882" s="1"/>
      <c r="G11882" s="13"/>
      <c r="AL11882" s="13"/>
    </row>
    <row r="11883" spans="4:39" x14ac:dyDescent="0.3">
      <c r="D11883" s="1"/>
      <c r="G11883" s="13"/>
      <c r="AL11883" s="13"/>
    </row>
    <row r="11884" spans="4:39" x14ac:dyDescent="0.3">
      <c r="D11884" s="1"/>
      <c r="G11884" s="13"/>
      <c r="AL11884" s="13"/>
    </row>
    <row r="11885" spans="4:39" x14ac:dyDescent="0.3">
      <c r="D11885" s="1"/>
      <c r="G11885" s="13"/>
      <c r="AL11885" s="13"/>
    </row>
    <row r="11886" spans="4:39" x14ac:dyDescent="0.3">
      <c r="D11886" s="1"/>
      <c r="G11886" s="13"/>
      <c r="AL11886" s="13"/>
    </row>
    <row r="11887" spans="4:39" x14ac:dyDescent="0.3">
      <c r="D11887" s="1"/>
      <c r="G11887" s="13"/>
      <c r="AL11887" s="13"/>
    </row>
    <row r="11888" spans="4:39" x14ac:dyDescent="0.3">
      <c r="D11888" s="1"/>
      <c r="G11888" s="13"/>
      <c r="AL11888" s="13"/>
    </row>
    <row r="11889" spans="4:38" x14ac:dyDescent="0.3">
      <c r="D11889" s="1"/>
      <c r="G11889" s="13"/>
      <c r="AL11889" s="13"/>
    </row>
    <row r="11890" spans="4:38" x14ac:dyDescent="0.3">
      <c r="D11890" s="1"/>
      <c r="G11890" s="13"/>
      <c r="AL11890" s="13"/>
    </row>
    <row r="11891" spans="4:38" x14ac:dyDescent="0.3">
      <c r="D11891" s="1"/>
      <c r="G11891" s="13"/>
      <c r="AL11891" s="13"/>
    </row>
    <row r="11892" spans="4:38" x14ac:dyDescent="0.3">
      <c r="D11892" s="1"/>
      <c r="G11892" s="13"/>
      <c r="AL11892" s="13"/>
    </row>
    <row r="11893" spans="4:38" x14ac:dyDescent="0.3">
      <c r="D11893" s="1"/>
      <c r="G11893" s="13"/>
      <c r="AL11893" s="13"/>
    </row>
    <row r="11894" spans="4:38" x14ac:dyDescent="0.3">
      <c r="D11894" s="1"/>
      <c r="G11894" s="13"/>
      <c r="AL11894" s="13"/>
    </row>
    <row r="11895" spans="4:38" x14ac:dyDescent="0.3">
      <c r="D11895" s="1"/>
      <c r="G11895" s="13"/>
      <c r="AL11895" s="13"/>
    </row>
    <row r="11896" spans="4:38" x14ac:dyDescent="0.3">
      <c r="D11896" s="1"/>
      <c r="G11896" s="13"/>
      <c r="AL11896" s="13"/>
    </row>
    <row r="11897" spans="4:38" x14ac:dyDescent="0.3">
      <c r="D11897" s="1"/>
      <c r="G11897" s="13"/>
      <c r="AL11897" s="13"/>
    </row>
    <row r="11898" spans="4:38" x14ac:dyDescent="0.3">
      <c r="D11898" s="1"/>
      <c r="G11898" s="13"/>
      <c r="AL11898" s="13"/>
    </row>
    <row r="11899" spans="4:38" x14ac:dyDescent="0.3">
      <c r="D11899" s="1"/>
      <c r="G11899" s="13"/>
      <c r="AL11899" s="13"/>
    </row>
    <row r="11900" spans="4:38" x14ac:dyDescent="0.3">
      <c r="D11900" s="1"/>
      <c r="G11900" s="13"/>
      <c r="AL11900" s="13"/>
    </row>
    <row r="11901" spans="4:38" x14ac:dyDescent="0.3">
      <c r="D11901" s="1"/>
      <c r="G11901" s="13"/>
      <c r="AL11901" s="13"/>
    </row>
    <row r="11902" spans="4:38" x14ac:dyDescent="0.3">
      <c r="D11902" s="1"/>
      <c r="G11902" s="13"/>
      <c r="AL11902" s="13"/>
    </row>
    <row r="11903" spans="4:38" x14ac:dyDescent="0.3">
      <c r="D11903" s="1"/>
      <c r="G11903" s="13"/>
      <c r="AL11903" s="13"/>
    </row>
    <row r="11904" spans="4:38" x14ac:dyDescent="0.3">
      <c r="D11904" s="1"/>
      <c r="G11904" s="13"/>
      <c r="AL11904" s="13"/>
    </row>
    <row r="11905" spans="4:39" x14ac:dyDescent="0.3">
      <c r="D11905" s="1"/>
      <c r="G11905" s="13"/>
      <c r="AL11905" s="13"/>
      <c r="AM11905" s="14"/>
    </row>
    <row r="11906" spans="4:39" x14ac:dyDescent="0.3">
      <c r="D11906" s="1"/>
      <c r="G11906" s="13"/>
      <c r="AL11906" s="13"/>
      <c r="AM11906" s="14"/>
    </row>
    <row r="11907" spans="4:39" x14ac:dyDescent="0.3">
      <c r="D11907" s="1"/>
      <c r="G11907" s="13"/>
      <c r="AL11907" s="13"/>
      <c r="AM11907" s="14"/>
    </row>
    <row r="11908" spans="4:39" x14ac:dyDescent="0.3">
      <c r="D11908" s="1"/>
      <c r="G11908" s="13"/>
      <c r="AL11908" s="13"/>
      <c r="AM11908" s="14"/>
    </row>
    <row r="11909" spans="4:39" x14ac:dyDescent="0.3">
      <c r="D11909" s="1"/>
      <c r="G11909" s="13"/>
      <c r="AL11909" s="13"/>
    </row>
    <row r="11910" spans="4:39" x14ac:dyDescent="0.3">
      <c r="D11910" s="1"/>
      <c r="G11910" s="13"/>
      <c r="AL11910" s="13"/>
      <c r="AM11910" s="14"/>
    </row>
    <row r="11911" spans="4:39" x14ac:dyDescent="0.3">
      <c r="D11911" s="1"/>
      <c r="G11911" s="13"/>
      <c r="AL11911" s="13"/>
    </row>
    <row r="11912" spans="4:39" x14ac:dyDescent="0.3">
      <c r="D11912" s="1"/>
      <c r="G11912" s="13"/>
      <c r="AL11912" s="13"/>
    </row>
    <row r="11913" spans="4:39" x14ac:dyDescent="0.3">
      <c r="D11913" s="1"/>
      <c r="G11913" s="13"/>
      <c r="AL11913" s="13"/>
    </row>
    <row r="11914" spans="4:39" x14ac:dyDescent="0.3">
      <c r="D11914" s="1"/>
      <c r="G11914" s="13"/>
      <c r="AL11914" s="13"/>
      <c r="AM11914" s="14"/>
    </row>
    <row r="11915" spans="4:39" x14ac:dyDescent="0.3">
      <c r="D11915" s="1"/>
      <c r="G11915" s="13"/>
      <c r="AL11915" s="13"/>
    </row>
    <row r="11916" spans="4:39" x14ac:dyDescent="0.3">
      <c r="D11916" s="1"/>
      <c r="G11916" s="13"/>
      <c r="AL11916" s="13"/>
    </row>
    <row r="11917" spans="4:39" x14ac:dyDescent="0.3">
      <c r="D11917" s="1"/>
      <c r="G11917" s="13"/>
      <c r="AL11917" s="13"/>
      <c r="AM11917" s="14"/>
    </row>
    <row r="11918" spans="4:39" x14ac:dyDescent="0.3">
      <c r="D11918" s="1"/>
      <c r="G11918" s="13"/>
      <c r="AL11918" s="13"/>
    </row>
    <row r="11919" spans="4:39" x14ac:dyDescent="0.3">
      <c r="D11919" s="1"/>
      <c r="G11919" s="13"/>
      <c r="AL11919" s="13"/>
    </row>
    <row r="11920" spans="4:39" x14ac:dyDescent="0.3">
      <c r="D11920" s="1"/>
      <c r="G11920" s="13"/>
      <c r="AL11920" s="13"/>
    </row>
    <row r="11921" spans="4:39" x14ac:dyDescent="0.3">
      <c r="D11921" s="1"/>
      <c r="G11921" s="13"/>
      <c r="AL11921" s="13"/>
    </row>
    <row r="11922" spans="4:39" x14ac:dyDescent="0.3">
      <c r="D11922" s="1"/>
      <c r="G11922" s="13"/>
      <c r="AL11922" s="13"/>
      <c r="AM11922" s="14"/>
    </row>
    <row r="11923" spans="4:39" x14ac:dyDescent="0.3">
      <c r="D11923" s="1"/>
      <c r="G11923" s="13"/>
      <c r="AL11923" s="13"/>
      <c r="AM11923" s="14"/>
    </row>
    <row r="11924" spans="4:39" x14ac:dyDescent="0.3">
      <c r="D11924" s="1"/>
      <c r="G11924" s="13"/>
      <c r="AL11924" s="13"/>
      <c r="AM11924" s="14"/>
    </row>
    <row r="11925" spans="4:39" x14ac:dyDescent="0.3">
      <c r="D11925" s="1"/>
      <c r="G11925" s="13"/>
      <c r="AL11925" s="13"/>
    </row>
    <row r="11926" spans="4:39" x14ac:dyDescent="0.3">
      <c r="D11926" s="1"/>
      <c r="G11926" s="13"/>
      <c r="AL11926" s="13"/>
    </row>
    <row r="11927" spans="4:39" x14ac:dyDescent="0.3">
      <c r="D11927" s="1"/>
      <c r="G11927" s="13"/>
      <c r="AL11927" s="13"/>
    </row>
    <row r="11928" spans="4:39" x14ac:dyDescent="0.3">
      <c r="D11928" s="1"/>
      <c r="G11928" s="13"/>
      <c r="AL11928" s="13"/>
    </row>
    <row r="11929" spans="4:39" x14ac:dyDescent="0.3">
      <c r="D11929" s="1"/>
      <c r="G11929" s="13"/>
      <c r="AL11929" s="13"/>
    </row>
    <row r="11930" spans="4:39" x14ac:dyDescent="0.3">
      <c r="D11930" s="1"/>
      <c r="G11930" s="13"/>
      <c r="AL11930" s="13"/>
    </row>
    <row r="11931" spans="4:39" x14ac:dyDescent="0.3">
      <c r="D11931" s="1"/>
      <c r="G11931" s="13"/>
      <c r="AL11931" s="13"/>
    </row>
    <row r="11932" spans="4:39" x14ac:dyDescent="0.3">
      <c r="D11932" s="1"/>
      <c r="G11932" s="13"/>
      <c r="AL11932" s="13"/>
    </row>
    <row r="11933" spans="4:39" x14ac:dyDescent="0.3">
      <c r="D11933" s="1"/>
      <c r="G11933" s="13"/>
      <c r="AL11933" s="13"/>
    </row>
    <row r="11934" spans="4:39" x14ac:dyDescent="0.3">
      <c r="D11934" s="1"/>
      <c r="G11934" s="13"/>
      <c r="AL11934" s="13"/>
    </row>
    <row r="11935" spans="4:39" x14ac:dyDescent="0.3">
      <c r="D11935" s="1"/>
      <c r="G11935" s="13"/>
      <c r="AL11935" s="13"/>
      <c r="AM11935" s="14"/>
    </row>
    <row r="11936" spans="4:39" x14ac:dyDescent="0.3">
      <c r="D11936" s="1"/>
      <c r="G11936" s="13"/>
      <c r="AL11936" s="13"/>
      <c r="AM11936" s="14"/>
    </row>
    <row r="11937" spans="4:39" x14ac:dyDescent="0.3">
      <c r="D11937" s="1"/>
      <c r="G11937" s="13"/>
      <c r="AL11937" s="13"/>
    </row>
    <row r="11938" spans="4:39" x14ac:dyDescent="0.3">
      <c r="D11938" s="1"/>
      <c r="G11938" s="13"/>
      <c r="AL11938" s="13"/>
      <c r="AM11938" s="14"/>
    </row>
    <row r="11939" spans="4:39" x14ac:dyDescent="0.3">
      <c r="D11939" s="1"/>
      <c r="G11939" s="13"/>
      <c r="AL11939" s="13"/>
    </row>
    <row r="11940" spans="4:39" x14ac:dyDescent="0.3">
      <c r="D11940" s="1"/>
      <c r="G11940" s="13"/>
      <c r="AL11940" s="13"/>
      <c r="AM11940" s="14"/>
    </row>
    <row r="11941" spans="4:39" x14ac:dyDescent="0.3">
      <c r="D11941" s="1"/>
      <c r="G11941" s="13"/>
      <c r="AL11941" s="13"/>
      <c r="AM11941" s="14"/>
    </row>
    <row r="11942" spans="4:39" x14ac:dyDescent="0.3">
      <c r="D11942" s="1"/>
      <c r="G11942" s="13"/>
      <c r="AL11942" s="13"/>
      <c r="AM11942" s="14"/>
    </row>
    <row r="11943" spans="4:39" x14ac:dyDescent="0.3">
      <c r="D11943" s="1"/>
      <c r="G11943" s="13"/>
      <c r="AL11943" s="13"/>
      <c r="AM11943" s="14"/>
    </row>
    <row r="11944" spans="4:39" x14ac:dyDescent="0.3">
      <c r="D11944" s="1"/>
      <c r="G11944" s="13"/>
      <c r="AL11944" s="13"/>
    </row>
    <row r="11945" spans="4:39" x14ac:dyDescent="0.3">
      <c r="D11945" s="1"/>
      <c r="G11945" s="13"/>
      <c r="AL11945" s="13"/>
    </row>
    <row r="11946" spans="4:39" x14ac:dyDescent="0.3">
      <c r="D11946" s="1"/>
      <c r="G11946" s="13"/>
      <c r="AL11946" s="13"/>
    </row>
    <row r="11947" spans="4:39" x14ac:dyDescent="0.3">
      <c r="D11947" s="1"/>
      <c r="G11947" s="13"/>
      <c r="AL11947" s="13"/>
    </row>
    <row r="11948" spans="4:39" x14ac:dyDescent="0.3">
      <c r="D11948" s="1"/>
      <c r="G11948" s="13"/>
      <c r="AL11948" s="13"/>
    </row>
    <row r="11949" spans="4:39" x14ac:dyDescent="0.3">
      <c r="D11949" s="1"/>
      <c r="G11949" s="13"/>
      <c r="AL11949" s="13"/>
    </row>
    <row r="11950" spans="4:39" x14ac:dyDescent="0.3">
      <c r="D11950" s="1"/>
      <c r="G11950" s="13"/>
      <c r="AL11950" s="13"/>
    </row>
    <row r="11951" spans="4:39" x14ac:dyDescent="0.3">
      <c r="D11951" s="1"/>
      <c r="G11951" s="13"/>
      <c r="AL11951" s="13"/>
    </row>
    <row r="11952" spans="4:39" x14ac:dyDescent="0.3">
      <c r="D11952" s="1"/>
      <c r="G11952" s="13"/>
      <c r="AL11952" s="13"/>
    </row>
    <row r="11953" spans="4:39" x14ac:dyDescent="0.3">
      <c r="D11953" s="1"/>
      <c r="G11953" s="13"/>
      <c r="AL11953" s="13"/>
    </row>
    <row r="11954" spans="4:39" x14ac:dyDescent="0.3">
      <c r="D11954" s="1"/>
      <c r="G11954" s="13"/>
      <c r="AL11954" s="13"/>
    </row>
    <row r="11955" spans="4:39" x14ac:dyDescent="0.3">
      <c r="D11955" s="1"/>
      <c r="G11955" s="13"/>
      <c r="AL11955" s="13"/>
    </row>
    <row r="11956" spans="4:39" x14ac:dyDescent="0.3">
      <c r="D11956" s="1"/>
      <c r="G11956" s="13"/>
      <c r="AL11956" s="13"/>
    </row>
    <row r="11957" spans="4:39" x14ac:dyDescent="0.3">
      <c r="D11957" s="1"/>
      <c r="G11957" s="13"/>
      <c r="AL11957" s="13"/>
    </row>
    <row r="11958" spans="4:39" x14ac:dyDescent="0.3">
      <c r="D11958" s="1"/>
      <c r="G11958" s="13"/>
      <c r="AL11958" s="13"/>
    </row>
    <row r="11959" spans="4:39" x14ac:dyDescent="0.3">
      <c r="D11959" s="1"/>
      <c r="G11959" s="13"/>
      <c r="AL11959" s="13"/>
      <c r="AM11959" s="14"/>
    </row>
    <row r="11960" spans="4:39" x14ac:dyDescent="0.3">
      <c r="D11960" s="1"/>
      <c r="G11960" s="13"/>
      <c r="AL11960" s="13"/>
      <c r="AM11960" s="14"/>
    </row>
    <row r="11961" spans="4:39" x14ac:dyDescent="0.3">
      <c r="D11961" s="1"/>
      <c r="G11961" s="13"/>
      <c r="AL11961" s="13"/>
      <c r="AM11961" s="14"/>
    </row>
    <row r="11962" spans="4:39" x14ac:dyDescent="0.3">
      <c r="D11962" s="1"/>
      <c r="G11962" s="13"/>
      <c r="AL11962" s="13"/>
    </row>
    <row r="11963" spans="4:39" x14ac:dyDescent="0.3">
      <c r="D11963" s="1"/>
      <c r="G11963" s="13"/>
      <c r="AL11963" s="13"/>
      <c r="AM11963" s="14"/>
    </row>
    <row r="11964" spans="4:39" x14ac:dyDescent="0.3">
      <c r="D11964" s="1"/>
      <c r="G11964" s="13"/>
      <c r="AL11964" s="13"/>
      <c r="AM11964" s="14"/>
    </row>
    <row r="11965" spans="4:39" x14ac:dyDescent="0.3">
      <c r="D11965" s="1"/>
      <c r="G11965" s="13"/>
      <c r="AL11965" s="13"/>
    </row>
    <row r="11966" spans="4:39" x14ac:dyDescent="0.3">
      <c r="D11966" s="1"/>
      <c r="G11966" s="13"/>
      <c r="AL11966" s="13"/>
      <c r="AM11966" s="14"/>
    </row>
    <row r="11967" spans="4:39" x14ac:dyDescent="0.3">
      <c r="D11967" s="1"/>
      <c r="G11967" s="13"/>
      <c r="AL11967" s="13"/>
    </row>
    <row r="11968" spans="4:39" x14ac:dyDescent="0.3">
      <c r="D11968" s="1"/>
      <c r="G11968" s="13"/>
      <c r="AL11968" s="13"/>
    </row>
    <row r="11969" spans="4:39" x14ac:dyDescent="0.3">
      <c r="D11969" s="1"/>
      <c r="G11969" s="13"/>
      <c r="AL11969" s="13"/>
    </row>
    <row r="11970" spans="4:39" x14ac:dyDescent="0.3">
      <c r="D11970" s="1"/>
      <c r="G11970" s="13"/>
      <c r="AL11970" s="13"/>
    </row>
    <row r="11971" spans="4:39" x14ac:dyDescent="0.3">
      <c r="D11971" s="1"/>
      <c r="G11971" s="13"/>
      <c r="AL11971" s="13"/>
    </row>
    <row r="11972" spans="4:39" x14ac:dyDescent="0.3">
      <c r="D11972" s="1"/>
      <c r="G11972" s="13"/>
      <c r="AL11972" s="13"/>
    </row>
    <row r="11973" spans="4:39" x14ac:dyDescent="0.3">
      <c r="D11973" s="1"/>
      <c r="G11973" s="13"/>
      <c r="AL11973" s="13"/>
    </row>
    <row r="11974" spans="4:39" x14ac:dyDescent="0.3">
      <c r="D11974" s="1"/>
      <c r="G11974" s="13"/>
      <c r="AL11974" s="13"/>
    </row>
    <row r="11975" spans="4:39" x14ac:dyDescent="0.3">
      <c r="D11975" s="1"/>
      <c r="G11975" s="13"/>
      <c r="AL11975" s="13"/>
    </row>
    <row r="11976" spans="4:39" x14ac:dyDescent="0.3">
      <c r="D11976" s="1"/>
      <c r="G11976" s="13"/>
      <c r="AL11976" s="13"/>
    </row>
    <row r="11977" spans="4:39" x14ac:dyDescent="0.3">
      <c r="D11977" s="1"/>
      <c r="G11977" s="13"/>
      <c r="AL11977" s="13"/>
    </row>
    <row r="11978" spans="4:39" x14ac:dyDescent="0.3">
      <c r="D11978" s="1"/>
      <c r="G11978" s="13"/>
      <c r="AL11978" s="13"/>
    </row>
    <row r="11979" spans="4:39" x14ac:dyDescent="0.3">
      <c r="D11979" s="1"/>
      <c r="G11979" s="13"/>
      <c r="AL11979" s="13"/>
    </row>
    <row r="11980" spans="4:39" x14ac:dyDescent="0.3">
      <c r="D11980" s="1"/>
      <c r="G11980" s="13"/>
      <c r="AL11980" s="13"/>
      <c r="AM11980" s="14"/>
    </row>
    <row r="11981" spans="4:39" x14ac:dyDescent="0.3">
      <c r="D11981" s="1"/>
      <c r="G11981" s="13"/>
      <c r="AL11981" s="13"/>
    </row>
    <row r="11982" spans="4:39" x14ac:dyDescent="0.3">
      <c r="D11982" s="1"/>
      <c r="G11982" s="13"/>
      <c r="AL11982" s="13"/>
    </row>
    <row r="11983" spans="4:39" x14ac:dyDescent="0.3">
      <c r="D11983" s="1"/>
      <c r="G11983" s="13"/>
      <c r="AL11983" s="13"/>
    </row>
    <row r="11984" spans="4:39" x14ac:dyDescent="0.3">
      <c r="D11984" s="1"/>
      <c r="G11984" s="13"/>
      <c r="AL11984" s="13"/>
    </row>
    <row r="11985" spans="4:39" x14ac:dyDescent="0.3">
      <c r="D11985" s="1"/>
      <c r="G11985" s="13"/>
      <c r="AL11985" s="13"/>
    </row>
    <row r="11986" spans="4:39" x14ac:dyDescent="0.3">
      <c r="D11986" s="1"/>
      <c r="G11986" s="13"/>
      <c r="AL11986" s="13"/>
    </row>
    <row r="11987" spans="4:39" x14ac:dyDescent="0.3">
      <c r="D11987" s="1"/>
      <c r="G11987" s="13"/>
      <c r="AL11987" s="13"/>
      <c r="AM11987" s="14"/>
    </row>
    <row r="11988" spans="4:39" x14ac:dyDescent="0.3">
      <c r="D11988" s="1"/>
      <c r="G11988" s="13"/>
      <c r="AL11988" s="13"/>
    </row>
    <row r="11989" spans="4:39" x14ac:dyDescent="0.3">
      <c r="D11989" s="1"/>
      <c r="G11989" s="13"/>
      <c r="AL11989" s="13"/>
    </row>
    <row r="11990" spans="4:39" x14ac:dyDescent="0.3">
      <c r="D11990" s="1"/>
      <c r="G11990" s="13"/>
      <c r="AL11990" s="13"/>
    </row>
    <row r="11991" spans="4:39" x14ac:dyDescent="0.3">
      <c r="D11991" s="1"/>
      <c r="G11991" s="13"/>
      <c r="AL11991" s="13"/>
    </row>
    <row r="11992" spans="4:39" x14ac:dyDescent="0.3">
      <c r="D11992" s="1"/>
      <c r="G11992" s="13"/>
      <c r="AL11992" s="13"/>
    </row>
    <row r="11993" spans="4:39" x14ac:dyDescent="0.3">
      <c r="D11993" s="1"/>
      <c r="G11993" s="13"/>
      <c r="AL11993" s="13"/>
    </row>
    <row r="11994" spans="4:39" x14ac:dyDescent="0.3">
      <c r="D11994" s="1"/>
      <c r="G11994" s="13"/>
      <c r="AL11994" s="13"/>
    </row>
    <row r="11995" spans="4:39" x14ac:dyDescent="0.3">
      <c r="D11995" s="1"/>
      <c r="G11995" s="13"/>
      <c r="AL11995" s="13"/>
    </row>
    <row r="11996" spans="4:39" x14ac:dyDescent="0.3">
      <c r="D11996" s="1"/>
      <c r="G11996" s="13"/>
      <c r="AL11996" s="13"/>
    </row>
    <row r="11997" spans="4:39" x14ac:dyDescent="0.3">
      <c r="D11997" s="1"/>
      <c r="G11997" s="13"/>
      <c r="AL11997" s="13"/>
    </row>
    <row r="11998" spans="4:39" x14ac:dyDescent="0.3">
      <c r="D11998" s="1"/>
      <c r="G11998" s="13"/>
      <c r="AL11998" s="13"/>
      <c r="AM11998" s="14"/>
    </row>
    <row r="11999" spans="4:39" x14ac:dyDescent="0.3">
      <c r="D11999" s="1"/>
      <c r="G11999" s="13"/>
      <c r="AL11999" s="13"/>
    </row>
    <row r="12000" spans="4:39" x14ac:dyDescent="0.3">
      <c r="D12000" s="1"/>
      <c r="G12000" s="13"/>
      <c r="AL12000" s="13"/>
    </row>
    <row r="12001" spans="4:39" x14ac:dyDescent="0.3">
      <c r="D12001" s="1"/>
      <c r="G12001" s="13"/>
      <c r="AL12001" s="13"/>
    </row>
    <row r="12002" spans="4:39" x14ac:dyDescent="0.3">
      <c r="D12002" s="1"/>
      <c r="G12002" s="13"/>
      <c r="AL12002" s="13"/>
    </row>
    <row r="12003" spans="4:39" x14ac:dyDescent="0.3">
      <c r="D12003" s="1"/>
      <c r="G12003" s="13"/>
      <c r="AL12003" s="13"/>
    </row>
    <row r="12004" spans="4:39" x14ac:dyDescent="0.3">
      <c r="D12004" s="1"/>
      <c r="G12004" s="13"/>
      <c r="AL12004" s="13"/>
    </row>
    <row r="12005" spans="4:39" x14ac:dyDescent="0.3">
      <c r="D12005" s="1"/>
      <c r="G12005" s="13"/>
      <c r="AL12005" s="13"/>
    </row>
    <row r="12006" spans="4:39" x14ac:dyDescent="0.3">
      <c r="D12006" s="1"/>
      <c r="G12006" s="13"/>
      <c r="AL12006" s="13"/>
    </row>
    <row r="12007" spans="4:39" x14ac:dyDescent="0.3">
      <c r="D12007" s="1"/>
      <c r="G12007" s="13"/>
      <c r="AL12007" s="13"/>
    </row>
    <row r="12008" spans="4:39" x14ac:dyDescent="0.3">
      <c r="D12008" s="1"/>
      <c r="G12008" s="13"/>
      <c r="AL12008" s="13"/>
    </row>
    <row r="12009" spans="4:39" x14ac:dyDescent="0.3">
      <c r="D12009" s="1"/>
      <c r="G12009" s="13"/>
      <c r="AL12009" s="13"/>
    </row>
    <row r="12010" spans="4:39" x14ac:dyDescent="0.3">
      <c r="D12010" s="1"/>
      <c r="G12010" s="13"/>
      <c r="AL12010" s="13"/>
      <c r="AM12010" s="14"/>
    </row>
    <row r="12011" spans="4:39" x14ac:dyDescent="0.3">
      <c r="D12011" s="1"/>
      <c r="G12011" s="13"/>
      <c r="AL12011" s="13"/>
      <c r="AM12011" s="14"/>
    </row>
    <row r="12012" spans="4:39" x14ac:dyDescent="0.3">
      <c r="D12012" s="1"/>
      <c r="G12012" s="13"/>
      <c r="AL12012" s="13"/>
    </row>
    <row r="12013" spans="4:39" x14ac:dyDescent="0.3">
      <c r="D12013" s="1"/>
      <c r="G12013" s="13"/>
      <c r="AL12013" s="13"/>
    </row>
    <row r="12014" spans="4:39" x14ac:dyDescent="0.3">
      <c r="D12014" s="1"/>
      <c r="G12014" s="13"/>
      <c r="AL12014" s="13"/>
    </row>
    <row r="12015" spans="4:39" x14ac:dyDescent="0.3">
      <c r="D12015" s="1"/>
      <c r="G12015" s="13"/>
      <c r="AL12015" s="13"/>
      <c r="AM12015" s="14"/>
    </row>
    <row r="12016" spans="4:39" x14ac:dyDescent="0.3">
      <c r="D12016" s="1"/>
      <c r="G12016" s="13"/>
      <c r="AL12016" s="13"/>
    </row>
    <row r="12017" spans="4:39" x14ac:dyDescent="0.3">
      <c r="D12017" s="1"/>
      <c r="G12017" s="13"/>
      <c r="AL12017" s="13"/>
    </row>
    <row r="12018" spans="4:39" x14ac:dyDescent="0.3">
      <c r="D12018" s="1"/>
      <c r="G12018" s="13"/>
      <c r="AL12018" s="13"/>
      <c r="AM12018" s="14"/>
    </row>
    <row r="12019" spans="4:39" x14ac:dyDescent="0.3">
      <c r="D12019" s="1"/>
      <c r="G12019" s="13"/>
      <c r="AL12019" s="13"/>
    </row>
    <row r="12020" spans="4:39" x14ac:dyDescent="0.3">
      <c r="D12020" s="1"/>
      <c r="G12020" s="13"/>
      <c r="AL12020" s="13"/>
      <c r="AM12020" s="14"/>
    </row>
    <row r="12021" spans="4:39" x14ac:dyDescent="0.3">
      <c r="D12021" s="1"/>
      <c r="G12021" s="13"/>
      <c r="AL12021" s="13"/>
      <c r="AM12021" s="14"/>
    </row>
    <row r="12022" spans="4:39" x14ac:dyDescent="0.3">
      <c r="D12022" s="1"/>
      <c r="G12022" s="13"/>
      <c r="AL12022" s="13"/>
    </row>
    <row r="12023" spans="4:39" x14ac:dyDescent="0.3">
      <c r="D12023" s="1"/>
      <c r="G12023" s="13"/>
      <c r="AL12023" s="13"/>
      <c r="AM12023" s="14"/>
    </row>
    <row r="12024" spans="4:39" x14ac:dyDescent="0.3">
      <c r="D12024" s="1"/>
      <c r="G12024" s="13"/>
      <c r="AL12024" s="13"/>
      <c r="AM12024" s="14"/>
    </row>
    <row r="12025" spans="4:39" x14ac:dyDescent="0.3">
      <c r="D12025" s="1"/>
      <c r="G12025" s="13"/>
      <c r="AL12025" s="13"/>
    </row>
    <row r="12026" spans="4:39" x14ac:dyDescent="0.3">
      <c r="D12026" s="1"/>
      <c r="G12026" s="13"/>
      <c r="AL12026" s="13"/>
    </row>
    <row r="12027" spans="4:39" x14ac:dyDescent="0.3">
      <c r="D12027" s="1"/>
      <c r="G12027" s="13"/>
      <c r="AL12027" s="13"/>
    </row>
    <row r="12028" spans="4:39" x14ac:dyDescent="0.3">
      <c r="D12028" s="1"/>
      <c r="G12028" s="13"/>
      <c r="AL12028" s="13"/>
    </row>
    <row r="12029" spans="4:39" x14ac:dyDescent="0.3">
      <c r="D12029" s="1"/>
      <c r="G12029" s="13"/>
      <c r="AL12029" s="13"/>
    </row>
    <row r="12030" spans="4:39" x14ac:dyDescent="0.3">
      <c r="D12030" s="1"/>
      <c r="G12030" s="13"/>
      <c r="AL12030" s="13"/>
    </row>
    <row r="12031" spans="4:39" x14ac:dyDescent="0.3">
      <c r="D12031" s="1"/>
      <c r="G12031" s="13"/>
      <c r="AL12031" s="13"/>
    </row>
    <row r="12032" spans="4:39" x14ac:dyDescent="0.3">
      <c r="D12032" s="1"/>
      <c r="G12032" s="13"/>
      <c r="AL12032" s="13"/>
    </row>
    <row r="12033" spans="4:39" x14ac:dyDescent="0.3">
      <c r="D12033" s="1"/>
      <c r="G12033" s="13"/>
      <c r="AL12033" s="13"/>
    </row>
    <row r="12034" spans="4:39" x14ac:dyDescent="0.3">
      <c r="D12034" s="1"/>
      <c r="G12034" s="13"/>
      <c r="AL12034" s="13"/>
    </row>
    <row r="12035" spans="4:39" x14ac:dyDescent="0.3">
      <c r="D12035" s="1"/>
      <c r="G12035" s="13"/>
      <c r="AL12035" s="13"/>
    </row>
    <row r="12036" spans="4:39" x14ac:dyDescent="0.3">
      <c r="D12036" s="1"/>
      <c r="G12036" s="13"/>
      <c r="AL12036" s="13"/>
      <c r="AM12036" s="14"/>
    </row>
    <row r="12037" spans="4:39" x14ac:dyDescent="0.3">
      <c r="D12037" s="1"/>
      <c r="G12037" s="13"/>
      <c r="AL12037" s="13"/>
    </row>
    <row r="12038" spans="4:39" x14ac:dyDescent="0.3">
      <c r="D12038" s="1"/>
      <c r="G12038" s="13"/>
      <c r="AL12038" s="13"/>
    </row>
    <row r="12039" spans="4:39" x14ac:dyDescent="0.3">
      <c r="D12039" s="1"/>
      <c r="G12039" s="13"/>
      <c r="AL12039" s="13"/>
      <c r="AM12039" s="14"/>
    </row>
    <row r="12040" spans="4:39" x14ac:dyDescent="0.3">
      <c r="D12040" s="1"/>
      <c r="G12040" s="13"/>
      <c r="AL12040" s="13"/>
    </row>
    <row r="12041" spans="4:39" x14ac:dyDescent="0.3">
      <c r="D12041" s="1"/>
      <c r="G12041" s="13"/>
      <c r="AL12041" s="13"/>
    </row>
    <row r="12042" spans="4:39" x14ac:dyDescent="0.3">
      <c r="D12042" s="1"/>
      <c r="G12042" s="13"/>
      <c r="AL12042" s="13"/>
    </row>
    <row r="12043" spans="4:39" x14ac:dyDescent="0.3">
      <c r="D12043" s="1"/>
      <c r="G12043" s="13"/>
      <c r="AL12043" s="13"/>
    </row>
    <row r="12044" spans="4:39" x14ac:dyDescent="0.3">
      <c r="D12044" s="1"/>
      <c r="G12044" s="13"/>
      <c r="AL12044" s="13"/>
    </row>
    <row r="12045" spans="4:39" x14ac:dyDescent="0.3">
      <c r="D12045" s="1"/>
      <c r="G12045" s="13"/>
      <c r="AL12045" s="13"/>
    </row>
    <row r="12046" spans="4:39" x14ac:dyDescent="0.3">
      <c r="D12046" s="1"/>
      <c r="G12046" s="13"/>
      <c r="AL12046" s="13"/>
    </row>
    <row r="12047" spans="4:39" x14ac:dyDescent="0.3">
      <c r="D12047" s="1"/>
      <c r="G12047" s="13"/>
      <c r="AL12047" s="13"/>
    </row>
    <row r="12048" spans="4:39" x14ac:dyDescent="0.3">
      <c r="D12048" s="1"/>
      <c r="G12048" s="13"/>
      <c r="AL12048" s="13"/>
    </row>
    <row r="12049" spans="4:39" x14ac:dyDescent="0.3">
      <c r="D12049" s="1"/>
      <c r="G12049" s="13"/>
      <c r="AL12049" s="13"/>
    </row>
    <row r="12050" spans="4:39" x14ac:dyDescent="0.3">
      <c r="D12050" s="1"/>
      <c r="G12050" s="13"/>
      <c r="AL12050" s="13"/>
    </row>
    <row r="12051" spans="4:39" x14ac:dyDescent="0.3">
      <c r="D12051" s="1"/>
      <c r="G12051" s="13"/>
      <c r="AL12051" s="13"/>
    </row>
    <row r="12052" spans="4:39" x14ac:dyDescent="0.3">
      <c r="D12052" s="1"/>
      <c r="G12052" s="13"/>
      <c r="AL12052" s="13"/>
      <c r="AM12052" s="14"/>
    </row>
    <row r="12053" spans="4:39" x14ac:dyDescent="0.3">
      <c r="D12053" s="1"/>
      <c r="G12053" s="13"/>
      <c r="AL12053" s="13"/>
      <c r="AM12053" s="14"/>
    </row>
    <row r="12054" spans="4:39" x14ac:dyDescent="0.3">
      <c r="D12054" s="1"/>
      <c r="G12054" s="13"/>
      <c r="AL12054" s="13"/>
      <c r="AM12054" s="14"/>
    </row>
    <row r="12055" spans="4:39" x14ac:dyDescent="0.3">
      <c r="D12055" s="1"/>
      <c r="G12055" s="13"/>
      <c r="AL12055" s="13"/>
    </row>
    <row r="12056" spans="4:39" x14ac:dyDescent="0.3">
      <c r="D12056" s="1"/>
      <c r="G12056" s="13"/>
      <c r="AL12056" s="13"/>
    </row>
    <row r="12057" spans="4:39" x14ac:dyDescent="0.3">
      <c r="D12057" s="1"/>
      <c r="G12057" s="13"/>
      <c r="AL12057" s="13"/>
    </row>
    <row r="12058" spans="4:39" x14ac:dyDescent="0.3">
      <c r="D12058" s="1"/>
      <c r="G12058" s="13"/>
      <c r="AL12058" s="13"/>
    </row>
    <row r="12059" spans="4:39" x14ac:dyDescent="0.3">
      <c r="D12059" s="1"/>
      <c r="G12059" s="13"/>
      <c r="AL12059" s="13"/>
    </row>
    <row r="12060" spans="4:39" x14ac:dyDescent="0.3">
      <c r="D12060" s="1"/>
      <c r="G12060" s="13"/>
      <c r="AL12060" s="13"/>
    </row>
    <row r="12061" spans="4:39" x14ac:dyDescent="0.3">
      <c r="D12061" s="1"/>
      <c r="G12061" s="13"/>
      <c r="AL12061" s="13"/>
    </row>
    <row r="12062" spans="4:39" x14ac:dyDescent="0.3">
      <c r="D12062" s="1"/>
      <c r="G12062" s="13"/>
      <c r="AL12062" s="13"/>
    </row>
    <row r="12063" spans="4:39" x14ac:dyDescent="0.3">
      <c r="D12063" s="1"/>
      <c r="G12063" s="13"/>
      <c r="AL12063" s="13"/>
    </row>
    <row r="12064" spans="4:39" x14ac:dyDescent="0.3">
      <c r="D12064" s="1"/>
      <c r="G12064" s="13"/>
      <c r="AL12064" s="13"/>
    </row>
    <row r="12065" spans="4:38" x14ac:dyDescent="0.3">
      <c r="D12065" s="1"/>
      <c r="G12065" s="13"/>
      <c r="AL12065" s="13"/>
    </row>
    <row r="12066" spans="4:38" x14ac:dyDescent="0.3">
      <c r="D12066" s="1"/>
      <c r="G12066" s="13"/>
      <c r="AL12066" s="13"/>
    </row>
    <row r="12067" spans="4:38" x14ac:dyDescent="0.3">
      <c r="D12067" s="1"/>
      <c r="G12067" s="13"/>
      <c r="AL12067" s="13"/>
    </row>
    <row r="12068" spans="4:38" x14ac:dyDescent="0.3">
      <c r="D12068" s="1"/>
      <c r="G12068" s="13"/>
      <c r="AL12068" s="13"/>
    </row>
    <row r="12069" spans="4:38" x14ac:dyDescent="0.3">
      <c r="D12069" s="1"/>
      <c r="G12069" s="13"/>
      <c r="AL12069" s="13"/>
    </row>
    <row r="12070" spans="4:38" x14ac:dyDescent="0.3">
      <c r="D12070" s="1"/>
      <c r="G12070" s="13"/>
      <c r="AL12070" s="13"/>
    </row>
    <row r="12071" spans="4:38" x14ac:dyDescent="0.3">
      <c r="D12071" s="1"/>
      <c r="G12071" s="13"/>
      <c r="AL12071" s="13"/>
    </row>
    <row r="12072" spans="4:38" x14ac:dyDescent="0.3">
      <c r="D12072" s="1"/>
      <c r="G12072" s="13"/>
      <c r="AL12072" s="13"/>
    </row>
    <row r="12073" spans="4:38" x14ac:dyDescent="0.3">
      <c r="D12073" s="1"/>
      <c r="G12073" s="13"/>
      <c r="AL12073" s="13"/>
    </row>
    <row r="12074" spans="4:38" x14ac:dyDescent="0.3">
      <c r="D12074" s="1"/>
      <c r="G12074" s="13"/>
      <c r="AL12074" s="13"/>
    </row>
    <row r="12075" spans="4:38" x14ac:dyDescent="0.3">
      <c r="D12075" s="1"/>
      <c r="G12075" s="13"/>
      <c r="AL12075" s="13"/>
    </row>
    <row r="12076" spans="4:38" x14ac:dyDescent="0.3">
      <c r="D12076" s="1"/>
      <c r="G12076" s="13"/>
      <c r="AL12076" s="13"/>
    </row>
    <row r="12077" spans="4:38" x14ac:dyDescent="0.3">
      <c r="D12077" s="1"/>
      <c r="G12077" s="13"/>
      <c r="AL12077" s="13"/>
    </row>
    <row r="12078" spans="4:38" x14ac:dyDescent="0.3">
      <c r="D12078" s="1"/>
      <c r="G12078" s="13"/>
      <c r="AL12078" s="13"/>
    </row>
    <row r="12079" spans="4:38" x14ac:dyDescent="0.3">
      <c r="D12079" s="1"/>
      <c r="G12079" s="13"/>
      <c r="AL12079" s="13"/>
    </row>
    <row r="12080" spans="4:38" x14ac:dyDescent="0.3">
      <c r="D12080" s="1"/>
      <c r="G12080" s="13"/>
      <c r="AL12080" s="13"/>
    </row>
    <row r="12081" spans="4:39" x14ac:dyDescent="0.3">
      <c r="D12081" s="1"/>
      <c r="G12081" s="13"/>
      <c r="AL12081" s="13"/>
    </row>
    <row r="12082" spans="4:39" x14ac:dyDescent="0.3">
      <c r="D12082" s="1"/>
      <c r="G12082" s="13"/>
      <c r="AL12082" s="13"/>
    </row>
    <row r="12083" spans="4:39" x14ac:dyDescent="0.3">
      <c r="D12083" s="1"/>
      <c r="G12083" s="13"/>
      <c r="AL12083" s="13"/>
    </row>
    <row r="12084" spans="4:39" x14ac:dyDescent="0.3">
      <c r="D12084" s="1"/>
      <c r="G12084" s="13"/>
      <c r="AL12084" s="13"/>
    </row>
    <row r="12085" spans="4:39" x14ac:dyDescent="0.3">
      <c r="D12085" s="1"/>
      <c r="G12085" s="13"/>
      <c r="AL12085" s="13"/>
    </row>
    <row r="12086" spans="4:39" x14ac:dyDescent="0.3">
      <c r="D12086" s="1"/>
      <c r="G12086" s="13"/>
      <c r="AL12086" s="13"/>
    </row>
    <row r="12087" spans="4:39" x14ac:dyDescent="0.3">
      <c r="D12087" s="1"/>
      <c r="G12087" s="13"/>
      <c r="AL12087" s="13"/>
    </row>
    <row r="12088" spans="4:39" x14ac:dyDescent="0.3">
      <c r="D12088" s="1"/>
      <c r="G12088" s="13"/>
      <c r="AL12088" s="13"/>
    </row>
    <row r="12089" spans="4:39" x14ac:dyDescent="0.3">
      <c r="D12089" s="1"/>
      <c r="G12089" s="13"/>
      <c r="AL12089" s="13"/>
    </row>
    <row r="12090" spans="4:39" x14ac:dyDescent="0.3">
      <c r="D12090" s="1"/>
      <c r="G12090" s="13"/>
      <c r="AL12090" s="13"/>
    </row>
    <row r="12091" spans="4:39" x14ac:dyDescent="0.3">
      <c r="D12091" s="1"/>
      <c r="G12091" s="13"/>
      <c r="AL12091" s="13"/>
    </row>
    <row r="12092" spans="4:39" x14ac:dyDescent="0.3">
      <c r="D12092" s="1"/>
      <c r="G12092" s="13"/>
      <c r="AL12092" s="13"/>
      <c r="AM12092" s="14"/>
    </row>
    <row r="12093" spans="4:39" x14ac:dyDescent="0.3">
      <c r="D12093" s="1"/>
      <c r="G12093" s="13"/>
      <c r="AL12093" s="13"/>
    </row>
    <row r="12094" spans="4:39" x14ac:dyDescent="0.3">
      <c r="D12094" s="1"/>
      <c r="G12094" s="13"/>
      <c r="AL12094" s="13"/>
    </row>
    <row r="12095" spans="4:39" x14ac:dyDescent="0.3">
      <c r="D12095" s="1"/>
      <c r="G12095" s="13"/>
      <c r="AL12095" s="13"/>
    </row>
    <row r="12096" spans="4:39" x14ac:dyDescent="0.3">
      <c r="D12096" s="1"/>
      <c r="G12096" s="13"/>
      <c r="AL12096" s="13"/>
    </row>
    <row r="12097" spans="4:38" x14ac:dyDescent="0.3">
      <c r="D12097" s="1"/>
      <c r="G12097" s="13"/>
      <c r="AL12097" s="13"/>
    </row>
    <row r="12098" spans="4:38" x14ac:dyDescent="0.3">
      <c r="D12098" s="1"/>
      <c r="G12098" s="13"/>
      <c r="AL12098" s="13"/>
    </row>
    <row r="12099" spans="4:38" x14ac:dyDescent="0.3">
      <c r="D12099" s="1"/>
      <c r="G12099" s="13"/>
      <c r="AL12099" s="13"/>
    </row>
    <row r="12100" spans="4:38" x14ac:dyDescent="0.3">
      <c r="D12100" s="1"/>
      <c r="G12100" s="13"/>
      <c r="AL12100" s="13"/>
    </row>
    <row r="12101" spans="4:38" x14ac:dyDescent="0.3">
      <c r="D12101" s="1"/>
      <c r="G12101" s="13"/>
      <c r="AL12101" s="13"/>
    </row>
    <row r="12102" spans="4:38" x14ac:dyDescent="0.3">
      <c r="D12102" s="1"/>
      <c r="G12102" s="13"/>
      <c r="AL12102" s="13"/>
    </row>
    <row r="12103" spans="4:38" x14ac:dyDescent="0.3">
      <c r="D12103" s="1"/>
      <c r="G12103" s="13"/>
      <c r="AL12103" s="13"/>
    </row>
    <row r="12104" spans="4:38" x14ac:dyDescent="0.3">
      <c r="D12104" s="1"/>
      <c r="G12104" s="13"/>
      <c r="AL12104" s="13"/>
    </row>
    <row r="12105" spans="4:38" x14ac:dyDescent="0.3">
      <c r="D12105" s="1"/>
      <c r="G12105" s="13"/>
      <c r="AL12105" s="13"/>
    </row>
    <row r="12106" spans="4:38" x14ac:dyDescent="0.3">
      <c r="D12106" s="1"/>
      <c r="G12106" s="13"/>
      <c r="AL12106" s="13"/>
    </row>
    <row r="12107" spans="4:38" x14ac:dyDescent="0.3">
      <c r="D12107" s="1"/>
      <c r="G12107" s="13"/>
      <c r="AL12107" s="13"/>
    </row>
    <row r="12108" spans="4:38" x14ac:dyDescent="0.3">
      <c r="D12108" s="1"/>
      <c r="G12108" s="13"/>
      <c r="AL12108" s="13"/>
    </row>
    <row r="12109" spans="4:38" x14ac:dyDescent="0.3">
      <c r="D12109" s="1"/>
      <c r="G12109" s="13"/>
      <c r="AL12109" s="13"/>
    </row>
    <row r="12110" spans="4:38" x14ac:dyDescent="0.3">
      <c r="D12110" s="1"/>
      <c r="G12110" s="13"/>
      <c r="AL12110" s="13"/>
    </row>
    <row r="12111" spans="4:38" x14ac:dyDescent="0.3">
      <c r="D12111" s="1"/>
      <c r="G12111" s="13"/>
      <c r="AL12111" s="13"/>
    </row>
    <row r="12112" spans="4:38" x14ac:dyDescent="0.3">
      <c r="D12112" s="1"/>
      <c r="G12112" s="13"/>
      <c r="AL12112" s="13"/>
    </row>
    <row r="12113" spans="4:39" x14ac:dyDescent="0.3">
      <c r="D12113" s="1"/>
      <c r="G12113" s="13"/>
      <c r="AL12113" s="13"/>
    </row>
    <row r="12114" spans="4:39" x14ac:dyDescent="0.3">
      <c r="D12114" s="1"/>
      <c r="G12114" s="13"/>
      <c r="AL12114" s="13"/>
    </row>
    <row r="12115" spans="4:39" x14ac:dyDescent="0.3">
      <c r="D12115" s="1"/>
      <c r="G12115" s="13"/>
      <c r="AL12115" s="13"/>
    </row>
    <row r="12116" spans="4:39" x14ac:dyDescent="0.3">
      <c r="D12116" s="1"/>
      <c r="G12116" s="13"/>
      <c r="AL12116" s="13"/>
    </row>
    <row r="12117" spans="4:39" x14ac:dyDescent="0.3">
      <c r="D12117" s="1"/>
      <c r="G12117" s="13"/>
      <c r="AL12117" s="13"/>
    </row>
    <row r="12118" spans="4:39" x14ac:dyDescent="0.3">
      <c r="D12118" s="1"/>
      <c r="G12118" s="13"/>
      <c r="AL12118" s="13"/>
    </row>
    <row r="12119" spans="4:39" x14ac:dyDescent="0.3">
      <c r="D12119" s="1"/>
      <c r="G12119" s="13"/>
      <c r="AL12119" s="13"/>
    </row>
    <row r="12120" spans="4:39" x14ac:dyDescent="0.3">
      <c r="D12120" s="1"/>
      <c r="G12120" s="13"/>
      <c r="AL12120" s="13"/>
    </row>
    <row r="12121" spans="4:39" x14ac:dyDescent="0.3">
      <c r="D12121" s="1"/>
      <c r="G12121" s="13"/>
      <c r="AL12121" s="13"/>
    </row>
    <row r="12122" spans="4:39" x14ac:dyDescent="0.3">
      <c r="D12122" s="1"/>
      <c r="G12122" s="13"/>
      <c r="AL12122" s="13"/>
    </row>
    <row r="12123" spans="4:39" x14ac:dyDescent="0.3">
      <c r="D12123" s="1"/>
      <c r="G12123" s="13"/>
      <c r="AL12123" s="13"/>
    </row>
    <row r="12124" spans="4:39" x14ac:dyDescent="0.3">
      <c r="D12124" s="1"/>
      <c r="G12124" s="13"/>
      <c r="AL12124" s="13"/>
    </row>
    <row r="12125" spans="4:39" x14ac:dyDescent="0.3">
      <c r="D12125" s="1"/>
      <c r="G12125" s="13"/>
      <c r="AL12125" s="13"/>
    </row>
    <row r="12126" spans="4:39" x14ac:dyDescent="0.3">
      <c r="D12126" s="1"/>
      <c r="G12126" s="13"/>
      <c r="AL12126" s="13"/>
      <c r="AM12126" s="14"/>
    </row>
    <row r="12127" spans="4:39" x14ac:dyDescent="0.3">
      <c r="D12127" s="1"/>
      <c r="G12127" s="13"/>
      <c r="AL12127" s="13"/>
      <c r="AM12127" s="14"/>
    </row>
    <row r="12128" spans="4:39" x14ac:dyDescent="0.3">
      <c r="D12128" s="1"/>
      <c r="G12128" s="13"/>
      <c r="AL12128" s="13"/>
    </row>
    <row r="12129" spans="4:39" x14ac:dyDescent="0.3">
      <c r="D12129" s="1"/>
      <c r="G12129" s="13"/>
      <c r="AL12129" s="13"/>
    </row>
    <row r="12130" spans="4:39" x14ac:dyDescent="0.3">
      <c r="D12130" s="1"/>
      <c r="G12130" s="13"/>
      <c r="AL12130" s="13"/>
    </row>
    <row r="12131" spans="4:39" x14ac:dyDescent="0.3">
      <c r="D12131" s="1"/>
      <c r="G12131" s="13"/>
      <c r="AL12131" s="13"/>
    </row>
    <row r="12132" spans="4:39" x14ac:dyDescent="0.3">
      <c r="D12132" s="1"/>
      <c r="G12132" s="13"/>
      <c r="AL12132" s="13"/>
    </row>
    <row r="12133" spans="4:39" x14ac:dyDescent="0.3">
      <c r="D12133" s="1"/>
      <c r="G12133" s="13"/>
      <c r="AL12133" s="13"/>
    </row>
    <row r="12134" spans="4:39" x14ac:dyDescent="0.3">
      <c r="D12134" s="1"/>
      <c r="G12134" s="13"/>
      <c r="AL12134" s="13"/>
    </row>
    <row r="12135" spans="4:39" x14ac:dyDescent="0.3">
      <c r="D12135" s="1"/>
      <c r="G12135" s="13"/>
      <c r="AL12135" s="13"/>
    </row>
    <row r="12136" spans="4:39" x14ac:dyDescent="0.3">
      <c r="D12136" s="1"/>
      <c r="G12136" s="13"/>
      <c r="AL12136" s="13"/>
      <c r="AM12136" s="14"/>
    </row>
    <row r="12137" spans="4:39" x14ac:dyDescent="0.3">
      <c r="D12137" s="1"/>
      <c r="G12137" s="13"/>
      <c r="AL12137" s="13"/>
    </row>
    <row r="12138" spans="4:39" x14ac:dyDescent="0.3">
      <c r="D12138" s="1"/>
      <c r="G12138" s="13"/>
      <c r="AL12138" s="13"/>
    </row>
    <row r="12139" spans="4:39" x14ac:dyDescent="0.3">
      <c r="D12139" s="1"/>
      <c r="G12139" s="13"/>
      <c r="AL12139" s="13"/>
    </row>
    <row r="12140" spans="4:39" x14ac:dyDescent="0.3">
      <c r="D12140" s="1"/>
      <c r="G12140" s="13"/>
      <c r="AL12140" s="13"/>
    </row>
    <row r="12141" spans="4:39" x14ac:dyDescent="0.3">
      <c r="D12141" s="1"/>
      <c r="G12141" s="13"/>
      <c r="AL12141" s="13"/>
    </row>
    <row r="12142" spans="4:39" x14ac:dyDescent="0.3">
      <c r="D12142" s="1"/>
      <c r="G12142" s="13"/>
      <c r="AL12142" s="13"/>
    </row>
    <row r="12143" spans="4:39" x14ac:dyDescent="0.3">
      <c r="D12143" s="1"/>
      <c r="G12143" s="13"/>
      <c r="AL12143" s="13"/>
    </row>
    <row r="12144" spans="4:39" x14ac:dyDescent="0.3">
      <c r="D12144" s="1"/>
      <c r="G12144" s="13"/>
      <c r="AL12144" s="13"/>
    </row>
    <row r="12145" spans="4:38" x14ac:dyDescent="0.3">
      <c r="D12145" s="1"/>
      <c r="G12145" s="13"/>
      <c r="AL12145" s="13"/>
    </row>
    <row r="12146" spans="4:38" x14ac:dyDescent="0.3">
      <c r="D12146" s="1"/>
      <c r="G12146" s="13"/>
      <c r="AL12146" s="13"/>
    </row>
    <row r="12147" spans="4:38" x14ac:dyDescent="0.3">
      <c r="D12147" s="1"/>
      <c r="G12147" s="13"/>
      <c r="AL12147" s="13"/>
    </row>
    <row r="12148" spans="4:38" x14ac:dyDescent="0.3">
      <c r="D12148" s="1"/>
      <c r="G12148" s="13"/>
      <c r="AL12148" s="13"/>
    </row>
    <row r="12149" spans="4:38" x14ac:dyDescent="0.3">
      <c r="D12149" s="1"/>
      <c r="G12149" s="13"/>
      <c r="AL12149" s="13"/>
    </row>
    <row r="12150" spans="4:38" x14ac:dyDescent="0.3">
      <c r="D12150" s="1"/>
      <c r="G12150" s="13"/>
      <c r="AL12150" s="13"/>
    </row>
    <row r="12151" spans="4:38" x14ac:dyDescent="0.3">
      <c r="D12151" s="1"/>
      <c r="G12151" s="13"/>
      <c r="AL12151" s="13"/>
    </row>
    <row r="12152" spans="4:38" x14ac:dyDescent="0.3">
      <c r="D12152" s="1"/>
      <c r="G12152" s="13"/>
      <c r="AL12152" s="13"/>
    </row>
    <row r="12153" spans="4:38" x14ac:dyDescent="0.3">
      <c r="D12153" s="1"/>
      <c r="G12153" s="13"/>
      <c r="AL12153" s="13"/>
    </row>
    <row r="12154" spans="4:38" x14ac:dyDescent="0.3">
      <c r="D12154" s="1"/>
      <c r="G12154" s="13"/>
      <c r="AL12154" s="13"/>
    </row>
    <row r="12155" spans="4:38" x14ac:dyDescent="0.3">
      <c r="D12155" s="1"/>
      <c r="G12155" s="13"/>
      <c r="AL12155" s="13"/>
    </row>
    <row r="12156" spans="4:38" x14ac:dyDescent="0.3">
      <c r="D12156" s="1"/>
      <c r="G12156" s="13"/>
      <c r="AL12156" s="13"/>
    </row>
    <row r="12157" spans="4:38" x14ac:dyDescent="0.3">
      <c r="D12157" s="1"/>
      <c r="G12157" s="13"/>
      <c r="AL12157" s="13"/>
    </row>
    <row r="12158" spans="4:38" x14ac:dyDescent="0.3">
      <c r="D12158" s="1"/>
      <c r="G12158" s="13"/>
      <c r="AL12158" s="13"/>
    </row>
    <row r="12159" spans="4:38" x14ac:dyDescent="0.3">
      <c r="D12159" s="1"/>
      <c r="G12159" s="13"/>
      <c r="AL12159" s="13"/>
    </row>
    <row r="12160" spans="4:38" x14ac:dyDescent="0.3">
      <c r="D12160" s="1"/>
      <c r="G12160" s="13"/>
      <c r="AL12160" s="13"/>
    </row>
    <row r="12161" spans="4:38" x14ac:dyDescent="0.3">
      <c r="D12161" s="1"/>
      <c r="G12161" s="13"/>
      <c r="AL12161" s="13"/>
    </row>
    <row r="12162" spans="4:38" x14ac:dyDescent="0.3">
      <c r="D12162" s="1"/>
      <c r="G12162" s="13"/>
      <c r="AL12162" s="13"/>
    </row>
    <row r="12163" spans="4:38" x14ac:dyDescent="0.3">
      <c r="D12163" s="1"/>
      <c r="G12163" s="13"/>
      <c r="AL12163" s="13"/>
    </row>
    <row r="12164" spans="4:38" x14ac:dyDescent="0.3">
      <c r="D12164" s="1"/>
      <c r="G12164" s="13"/>
      <c r="AL12164" s="13"/>
    </row>
    <row r="12165" spans="4:38" x14ac:dyDescent="0.3">
      <c r="D12165" s="1"/>
      <c r="G12165" s="13"/>
      <c r="AL12165" s="13"/>
    </row>
    <row r="12166" spans="4:38" x14ac:dyDescent="0.3">
      <c r="D12166" s="1"/>
      <c r="G12166" s="13"/>
      <c r="AL12166" s="13"/>
    </row>
    <row r="12167" spans="4:38" x14ac:dyDescent="0.3">
      <c r="D12167" s="1"/>
      <c r="G12167" s="13"/>
      <c r="AL12167" s="13"/>
    </row>
    <row r="12168" spans="4:38" x14ac:dyDescent="0.3">
      <c r="D12168" s="1"/>
      <c r="G12168" s="13"/>
      <c r="AL12168" s="13"/>
    </row>
    <row r="12169" spans="4:38" x14ac:dyDescent="0.3">
      <c r="D12169" s="1"/>
      <c r="G12169" s="13"/>
      <c r="AL12169" s="13"/>
    </row>
    <row r="12170" spans="4:38" x14ac:dyDescent="0.3">
      <c r="D12170" s="1"/>
      <c r="G12170" s="13"/>
      <c r="AL12170" s="13"/>
    </row>
    <row r="12171" spans="4:38" x14ac:dyDescent="0.3">
      <c r="D12171" s="1"/>
      <c r="G12171" s="13"/>
      <c r="AL12171" s="13"/>
    </row>
    <row r="12172" spans="4:38" x14ac:dyDescent="0.3">
      <c r="D12172" s="1"/>
      <c r="G12172" s="13"/>
      <c r="AL12172" s="13"/>
    </row>
    <row r="12173" spans="4:38" x14ac:dyDescent="0.3">
      <c r="D12173" s="1"/>
      <c r="G12173" s="13"/>
      <c r="AL12173" s="13"/>
    </row>
    <row r="12174" spans="4:38" x14ac:dyDescent="0.3">
      <c r="D12174" s="1"/>
      <c r="G12174" s="13"/>
      <c r="AL12174" s="13"/>
    </row>
    <row r="12175" spans="4:38" x14ac:dyDescent="0.3">
      <c r="D12175" s="1"/>
      <c r="G12175" s="13"/>
      <c r="AL12175" s="13"/>
    </row>
    <row r="12176" spans="4:38" x14ac:dyDescent="0.3">
      <c r="D12176" s="1"/>
      <c r="G12176" s="13"/>
      <c r="AL12176" s="13"/>
    </row>
    <row r="12177" spans="4:38" x14ac:dyDescent="0.3">
      <c r="D12177" s="1"/>
      <c r="G12177" s="13"/>
      <c r="AL12177" s="13"/>
    </row>
    <row r="12178" spans="4:38" x14ac:dyDescent="0.3">
      <c r="D12178" s="1"/>
      <c r="G12178" s="13"/>
      <c r="AL12178" s="13"/>
    </row>
    <row r="12179" spans="4:38" x14ac:dyDescent="0.3">
      <c r="D12179" s="1"/>
      <c r="G12179" s="13"/>
      <c r="AL12179" s="13"/>
    </row>
    <row r="12180" spans="4:38" x14ac:dyDescent="0.3">
      <c r="D12180" s="1"/>
      <c r="G12180" s="13"/>
      <c r="AL12180" s="13"/>
    </row>
    <row r="12181" spans="4:38" x14ac:dyDescent="0.3">
      <c r="D12181" s="1"/>
      <c r="G12181" s="13"/>
      <c r="AL12181" s="13"/>
    </row>
    <row r="12182" spans="4:38" x14ac:dyDescent="0.3">
      <c r="D12182" s="1"/>
      <c r="G12182" s="13"/>
      <c r="AL12182" s="13"/>
    </row>
    <row r="12183" spans="4:38" x14ac:dyDescent="0.3">
      <c r="D12183" s="1"/>
      <c r="G12183" s="13"/>
      <c r="AL12183" s="13"/>
    </row>
    <row r="12184" spans="4:38" x14ac:dyDescent="0.3">
      <c r="D12184" s="1"/>
      <c r="G12184" s="13"/>
      <c r="AL12184" s="13"/>
    </row>
    <row r="12185" spans="4:38" x14ac:dyDescent="0.3">
      <c r="D12185" s="1"/>
      <c r="G12185" s="13"/>
      <c r="AL12185" s="13"/>
    </row>
    <row r="12186" spans="4:38" x14ac:dyDescent="0.3">
      <c r="D12186" s="1"/>
      <c r="G12186" s="13"/>
      <c r="AL12186" s="13"/>
    </row>
    <row r="12187" spans="4:38" x14ac:dyDescent="0.3">
      <c r="D12187" s="1"/>
      <c r="G12187" s="13"/>
      <c r="AL12187" s="13"/>
    </row>
    <row r="12188" spans="4:38" x14ac:dyDescent="0.3">
      <c r="D12188" s="1"/>
      <c r="G12188" s="13"/>
      <c r="AL12188" s="13"/>
    </row>
    <row r="12189" spans="4:38" x14ac:dyDescent="0.3">
      <c r="D12189" s="1"/>
      <c r="G12189" s="13"/>
      <c r="AL12189" s="13"/>
    </row>
    <row r="12190" spans="4:38" x14ac:dyDescent="0.3">
      <c r="D12190" s="1"/>
      <c r="G12190" s="13"/>
      <c r="AL12190" s="13"/>
    </row>
    <row r="12191" spans="4:38" x14ac:dyDescent="0.3">
      <c r="D12191" s="1"/>
      <c r="G12191" s="13"/>
      <c r="AL12191" s="13"/>
    </row>
    <row r="12192" spans="4:38" x14ac:dyDescent="0.3">
      <c r="D12192" s="1"/>
      <c r="G12192" s="13"/>
      <c r="AL12192" s="13"/>
    </row>
    <row r="12193" spans="4:38" x14ac:dyDescent="0.3">
      <c r="D12193" s="1"/>
      <c r="G12193" s="13"/>
      <c r="AL12193" s="13"/>
    </row>
    <row r="12194" spans="4:38" x14ac:dyDescent="0.3">
      <c r="D12194" s="1"/>
      <c r="G12194" s="13"/>
      <c r="AL12194" s="13"/>
    </row>
    <row r="12195" spans="4:38" x14ac:dyDescent="0.3">
      <c r="D12195" s="1"/>
      <c r="G12195" s="13"/>
      <c r="AL12195" s="13"/>
    </row>
    <row r="12196" spans="4:38" x14ac:dyDescent="0.3">
      <c r="D12196" s="1"/>
      <c r="G12196" s="13"/>
      <c r="AL12196" s="13"/>
    </row>
    <row r="12197" spans="4:38" x14ac:dyDescent="0.3">
      <c r="D12197" s="1"/>
      <c r="G12197" s="13"/>
      <c r="AL12197" s="13"/>
    </row>
    <row r="12198" spans="4:38" x14ac:dyDescent="0.3">
      <c r="D12198" s="1"/>
      <c r="G12198" s="13"/>
      <c r="AL12198" s="13"/>
    </row>
    <row r="12199" spans="4:38" x14ac:dyDescent="0.3">
      <c r="D12199" s="1"/>
      <c r="G12199" s="13"/>
      <c r="AL12199" s="13"/>
    </row>
    <row r="12200" spans="4:38" x14ac:dyDescent="0.3">
      <c r="D12200" s="1"/>
      <c r="G12200" s="13"/>
      <c r="AL12200" s="13"/>
    </row>
    <row r="12201" spans="4:38" x14ac:dyDescent="0.3">
      <c r="D12201" s="1"/>
      <c r="G12201" s="13"/>
      <c r="AL12201" s="13"/>
    </row>
    <row r="12202" spans="4:38" x14ac:dyDescent="0.3">
      <c r="D12202" s="1"/>
      <c r="G12202" s="13"/>
      <c r="AL12202" s="13"/>
    </row>
    <row r="12203" spans="4:38" x14ac:dyDescent="0.3">
      <c r="D12203" s="1"/>
      <c r="G12203" s="13"/>
      <c r="AL12203" s="13"/>
    </row>
    <row r="12204" spans="4:38" x14ac:dyDescent="0.3">
      <c r="D12204" s="1"/>
      <c r="G12204" s="13"/>
      <c r="AL12204" s="13"/>
    </row>
    <row r="12205" spans="4:38" x14ac:dyDescent="0.3">
      <c r="D12205" s="1"/>
      <c r="G12205" s="13"/>
      <c r="AL12205" s="13"/>
    </row>
    <row r="12206" spans="4:38" x14ac:dyDescent="0.3">
      <c r="D12206" s="1"/>
      <c r="G12206" s="13"/>
      <c r="AL12206" s="13"/>
    </row>
    <row r="12207" spans="4:38" x14ac:dyDescent="0.3">
      <c r="D12207" s="1"/>
      <c r="G12207" s="13"/>
      <c r="AL12207" s="13"/>
    </row>
    <row r="12208" spans="4:38" x14ac:dyDescent="0.3">
      <c r="D12208" s="1"/>
      <c r="G12208" s="13"/>
      <c r="AL12208" s="13"/>
    </row>
    <row r="12209" spans="4:38" x14ac:dyDescent="0.3">
      <c r="D12209" s="1"/>
      <c r="G12209" s="13"/>
      <c r="AL12209" s="13"/>
    </row>
    <row r="12210" spans="4:38" x14ac:dyDescent="0.3">
      <c r="D12210" s="1"/>
      <c r="G12210" s="13"/>
      <c r="AL12210" s="13"/>
    </row>
    <row r="12211" spans="4:38" x14ac:dyDescent="0.3">
      <c r="D12211" s="1"/>
      <c r="G12211" s="13"/>
      <c r="AL12211" s="13"/>
    </row>
    <row r="12212" spans="4:38" x14ac:dyDescent="0.3">
      <c r="D12212" s="1"/>
      <c r="G12212" s="13"/>
      <c r="AL12212" s="13"/>
    </row>
    <row r="12213" spans="4:38" x14ac:dyDescent="0.3">
      <c r="D12213" s="1"/>
      <c r="G12213" s="13"/>
      <c r="AL12213" s="13"/>
    </row>
    <row r="12214" spans="4:38" x14ac:dyDescent="0.3">
      <c r="D12214" s="1"/>
      <c r="G12214" s="13"/>
      <c r="AL12214" s="13"/>
    </row>
    <row r="12215" spans="4:38" x14ac:dyDescent="0.3">
      <c r="D12215" s="1"/>
      <c r="G12215" s="13"/>
      <c r="AL12215" s="13"/>
    </row>
    <row r="12216" spans="4:38" x14ac:dyDescent="0.3">
      <c r="D12216" s="1"/>
      <c r="G12216" s="13"/>
      <c r="AL12216" s="13"/>
    </row>
    <row r="12217" spans="4:38" x14ac:dyDescent="0.3">
      <c r="D12217" s="1"/>
      <c r="G12217" s="13"/>
      <c r="AL12217" s="13"/>
    </row>
    <row r="12218" spans="4:38" x14ac:dyDescent="0.3">
      <c r="D12218" s="1"/>
      <c r="G12218" s="13"/>
      <c r="AL12218" s="13"/>
    </row>
    <row r="12219" spans="4:38" x14ac:dyDescent="0.3">
      <c r="D12219" s="1"/>
      <c r="G12219" s="13"/>
      <c r="AL12219" s="13"/>
    </row>
    <row r="12220" spans="4:38" x14ac:dyDescent="0.3">
      <c r="D12220" s="1"/>
      <c r="G12220" s="13"/>
      <c r="AL12220" s="13"/>
    </row>
    <row r="12221" spans="4:38" x14ac:dyDescent="0.3">
      <c r="D12221" s="1"/>
      <c r="G12221" s="13"/>
      <c r="AL12221" s="13"/>
    </row>
    <row r="12222" spans="4:38" x14ac:dyDescent="0.3">
      <c r="D12222" s="1"/>
      <c r="G12222" s="13"/>
      <c r="AL12222" s="13"/>
    </row>
    <row r="12223" spans="4:38" x14ac:dyDescent="0.3">
      <c r="D12223" s="1"/>
      <c r="G12223" s="13"/>
      <c r="AL12223" s="13"/>
    </row>
    <row r="12224" spans="4:38" x14ac:dyDescent="0.3">
      <c r="D12224" s="1"/>
      <c r="G12224" s="13"/>
      <c r="AL12224" s="13"/>
    </row>
    <row r="12225" spans="4:38" x14ac:dyDescent="0.3">
      <c r="D12225" s="1"/>
      <c r="G12225" s="13"/>
      <c r="AL12225" s="13"/>
    </row>
    <row r="12226" spans="4:38" x14ac:dyDescent="0.3">
      <c r="D12226" s="1"/>
      <c r="G12226" s="13"/>
      <c r="AL12226" s="13"/>
    </row>
    <row r="12227" spans="4:38" x14ac:dyDescent="0.3">
      <c r="D12227" s="1"/>
      <c r="G12227" s="13"/>
      <c r="AL12227" s="13"/>
    </row>
    <row r="12228" spans="4:38" x14ac:dyDescent="0.3">
      <c r="D12228" s="1"/>
      <c r="G12228" s="13"/>
      <c r="AL12228" s="13"/>
    </row>
    <row r="12229" spans="4:38" x14ac:dyDescent="0.3">
      <c r="D12229" s="1"/>
      <c r="G12229" s="13"/>
      <c r="AL12229" s="13"/>
    </row>
    <row r="12230" spans="4:38" x14ac:dyDescent="0.3">
      <c r="D12230" s="1"/>
      <c r="G12230" s="13"/>
      <c r="AL12230" s="13"/>
    </row>
    <row r="12231" spans="4:38" x14ac:dyDescent="0.3">
      <c r="D12231" s="1"/>
      <c r="G12231" s="13"/>
      <c r="AL12231" s="13"/>
    </row>
    <row r="12232" spans="4:38" x14ac:dyDescent="0.3">
      <c r="D12232" s="1"/>
      <c r="G12232" s="13"/>
      <c r="AL12232" s="13"/>
    </row>
    <row r="12233" spans="4:38" x14ac:dyDescent="0.3">
      <c r="D12233" s="1"/>
      <c r="G12233" s="13"/>
      <c r="AL12233" s="13"/>
    </row>
    <row r="12234" spans="4:38" x14ac:dyDescent="0.3">
      <c r="D12234" s="1"/>
      <c r="G12234" s="13"/>
      <c r="AL12234" s="13"/>
    </row>
    <row r="12235" spans="4:38" x14ac:dyDescent="0.3">
      <c r="D12235" s="1"/>
      <c r="G12235" s="13"/>
      <c r="AL12235" s="13"/>
    </row>
    <row r="12236" spans="4:38" x14ac:dyDescent="0.3">
      <c r="D12236" s="1"/>
      <c r="G12236" s="13"/>
      <c r="AL12236" s="13"/>
    </row>
    <row r="12237" spans="4:38" x14ac:dyDescent="0.3">
      <c r="D12237" s="1"/>
      <c r="G12237" s="13"/>
      <c r="AL12237" s="13"/>
    </row>
    <row r="12238" spans="4:38" x14ac:dyDescent="0.3">
      <c r="D12238" s="1"/>
      <c r="G12238" s="13"/>
      <c r="AL12238" s="13"/>
    </row>
    <row r="12239" spans="4:38" x14ac:dyDescent="0.3">
      <c r="D12239" s="1"/>
      <c r="G12239" s="13"/>
      <c r="AL12239" s="13"/>
    </row>
    <row r="12240" spans="4:38" x14ac:dyDescent="0.3">
      <c r="D12240" s="1"/>
      <c r="G12240" s="13"/>
      <c r="AL12240" s="13"/>
    </row>
    <row r="12241" spans="4:38" x14ac:dyDescent="0.3">
      <c r="D12241" s="1"/>
      <c r="G12241" s="13"/>
      <c r="AL12241" s="13"/>
    </row>
    <row r="12242" spans="4:38" x14ac:dyDescent="0.3">
      <c r="D12242" s="1"/>
      <c r="G12242" s="13"/>
      <c r="AL12242" s="13"/>
    </row>
    <row r="12243" spans="4:38" x14ac:dyDescent="0.3">
      <c r="D12243" s="1"/>
      <c r="G12243" s="13"/>
      <c r="AL12243" s="13"/>
    </row>
    <row r="12244" spans="4:38" x14ac:dyDescent="0.3">
      <c r="D12244" s="1"/>
      <c r="G12244" s="13"/>
      <c r="AL12244" s="13"/>
    </row>
    <row r="12245" spans="4:38" x14ac:dyDescent="0.3">
      <c r="D12245" s="1"/>
      <c r="G12245" s="13"/>
      <c r="AL12245" s="13"/>
    </row>
    <row r="12246" spans="4:38" x14ac:dyDescent="0.3">
      <c r="D12246" s="1"/>
      <c r="G12246" s="13"/>
      <c r="AL12246" s="13"/>
    </row>
    <row r="12247" spans="4:38" x14ac:dyDescent="0.3">
      <c r="D12247" s="1"/>
      <c r="G12247" s="13"/>
      <c r="AL12247" s="13"/>
    </row>
    <row r="12248" spans="4:38" x14ac:dyDescent="0.3">
      <c r="D12248" s="1"/>
      <c r="G12248" s="13"/>
      <c r="AL12248" s="13"/>
    </row>
    <row r="12249" spans="4:38" x14ac:dyDescent="0.3">
      <c r="D12249" s="1"/>
      <c r="G12249" s="13"/>
      <c r="AL12249" s="13"/>
    </row>
    <row r="12250" spans="4:38" x14ac:dyDescent="0.3">
      <c r="D12250" s="1"/>
      <c r="G12250" s="13"/>
      <c r="AL12250" s="13"/>
    </row>
    <row r="12251" spans="4:38" x14ac:dyDescent="0.3">
      <c r="D12251" s="1"/>
      <c r="G12251" s="13"/>
      <c r="AL12251" s="13"/>
    </row>
    <row r="12252" spans="4:38" x14ac:dyDescent="0.3">
      <c r="D12252" s="1"/>
      <c r="G12252" s="13"/>
      <c r="AL12252" s="13"/>
    </row>
    <row r="12253" spans="4:38" x14ac:dyDescent="0.3">
      <c r="D12253" s="1"/>
      <c r="G12253" s="13"/>
      <c r="AL12253" s="13"/>
    </row>
    <row r="12254" spans="4:38" x14ac:dyDescent="0.3">
      <c r="D12254" s="1"/>
      <c r="G12254" s="13"/>
      <c r="AL12254" s="13"/>
    </row>
    <row r="12255" spans="4:38" x14ac:dyDescent="0.3">
      <c r="D12255" s="1"/>
      <c r="G12255" s="13"/>
      <c r="AL12255" s="13"/>
    </row>
    <row r="12256" spans="4:38" x14ac:dyDescent="0.3">
      <c r="D12256" s="1"/>
      <c r="G12256" s="13"/>
      <c r="AL12256" s="13"/>
    </row>
    <row r="12257" spans="4:38" x14ac:dyDescent="0.3">
      <c r="D12257" s="1"/>
      <c r="G12257" s="13"/>
      <c r="AL12257" s="13"/>
    </row>
    <row r="12258" spans="4:38" x14ac:dyDescent="0.3">
      <c r="D12258" s="1"/>
      <c r="G12258" s="13"/>
      <c r="AL12258" s="13"/>
    </row>
    <row r="12259" spans="4:38" x14ac:dyDescent="0.3">
      <c r="D12259" s="1"/>
      <c r="G12259" s="13"/>
      <c r="AL12259" s="13"/>
    </row>
    <row r="12260" spans="4:38" x14ac:dyDescent="0.3">
      <c r="D12260" s="1"/>
      <c r="G12260" s="13"/>
      <c r="AL12260" s="13"/>
    </row>
    <row r="12261" spans="4:38" x14ac:dyDescent="0.3">
      <c r="D12261" s="1"/>
      <c r="G12261" s="13"/>
      <c r="AL12261" s="13"/>
    </row>
    <row r="12262" spans="4:38" x14ac:dyDescent="0.3">
      <c r="D12262" s="1"/>
      <c r="G12262" s="13"/>
      <c r="AL12262" s="13"/>
    </row>
    <row r="12263" spans="4:38" x14ac:dyDescent="0.3">
      <c r="D12263" s="1"/>
      <c r="G12263" s="13"/>
      <c r="AL12263" s="13"/>
    </row>
    <row r="12264" spans="4:38" x14ac:dyDescent="0.3">
      <c r="D12264" s="1"/>
      <c r="G12264" s="13"/>
      <c r="AL12264" s="13"/>
    </row>
    <row r="12265" spans="4:38" x14ac:dyDescent="0.3">
      <c r="D12265" s="1"/>
      <c r="G12265" s="13"/>
      <c r="AL12265" s="13"/>
    </row>
    <row r="12266" spans="4:38" x14ac:dyDescent="0.3">
      <c r="D12266" s="1"/>
      <c r="G12266" s="13"/>
      <c r="AL12266" s="13"/>
    </row>
    <row r="12267" spans="4:38" x14ac:dyDescent="0.3">
      <c r="D12267" s="1"/>
      <c r="G12267" s="13"/>
      <c r="AL12267" s="13"/>
    </row>
    <row r="12268" spans="4:38" x14ac:dyDescent="0.3">
      <c r="D12268" s="1"/>
      <c r="G12268" s="13"/>
      <c r="AL12268" s="13"/>
    </row>
    <row r="12269" spans="4:38" x14ac:dyDescent="0.3">
      <c r="D12269" s="1"/>
      <c r="G12269" s="13"/>
      <c r="AL12269" s="13"/>
    </row>
    <row r="12270" spans="4:38" x14ac:dyDescent="0.3">
      <c r="D12270" s="1"/>
      <c r="G12270" s="13"/>
      <c r="AL12270" s="13"/>
    </row>
    <row r="12271" spans="4:38" x14ac:dyDescent="0.3">
      <c r="D12271" s="1"/>
      <c r="G12271" s="13"/>
      <c r="AL12271" s="13"/>
    </row>
    <row r="12272" spans="4:38" x14ac:dyDescent="0.3">
      <c r="D12272" s="1"/>
      <c r="G12272" s="13"/>
      <c r="AL12272" s="13"/>
    </row>
    <row r="12273" spans="4:38" x14ac:dyDescent="0.3">
      <c r="D12273" s="1"/>
      <c r="G12273" s="13"/>
      <c r="AL12273" s="13"/>
    </row>
    <row r="12274" spans="4:38" x14ac:dyDescent="0.3">
      <c r="D12274" s="1"/>
      <c r="G12274" s="13"/>
      <c r="AL12274" s="13"/>
    </row>
    <row r="12275" spans="4:38" x14ac:dyDescent="0.3">
      <c r="D12275" s="1"/>
      <c r="G12275" s="13"/>
      <c r="AL12275" s="13"/>
    </row>
    <row r="12276" spans="4:38" x14ac:dyDescent="0.3">
      <c r="D12276" s="1"/>
      <c r="G12276" s="13"/>
      <c r="AL12276" s="13"/>
    </row>
    <row r="12277" spans="4:38" x14ac:dyDescent="0.3">
      <c r="D12277" s="1"/>
      <c r="G12277" s="13"/>
      <c r="AL12277" s="13"/>
    </row>
    <row r="12278" spans="4:38" x14ac:dyDescent="0.3">
      <c r="D12278" s="1"/>
      <c r="G12278" s="13"/>
      <c r="AL12278" s="13"/>
    </row>
    <row r="12279" spans="4:38" x14ac:dyDescent="0.3">
      <c r="D12279" s="1"/>
      <c r="G12279" s="13"/>
      <c r="AL12279" s="13"/>
    </row>
    <row r="12280" spans="4:38" x14ac:dyDescent="0.3">
      <c r="D12280" s="1"/>
      <c r="G12280" s="13"/>
      <c r="AL12280" s="13"/>
    </row>
    <row r="12281" spans="4:38" x14ac:dyDescent="0.3">
      <c r="D12281" s="1"/>
      <c r="G12281" s="13"/>
      <c r="AL12281" s="13"/>
    </row>
    <row r="12282" spans="4:38" x14ac:dyDescent="0.3">
      <c r="D12282" s="1"/>
      <c r="G12282" s="13"/>
      <c r="AL12282" s="13"/>
    </row>
    <row r="12283" spans="4:38" x14ac:dyDescent="0.3">
      <c r="D12283" s="1"/>
      <c r="G12283" s="13"/>
      <c r="AL12283" s="13"/>
    </row>
    <row r="12284" spans="4:38" x14ac:dyDescent="0.3">
      <c r="D12284" s="1"/>
      <c r="G12284" s="13"/>
      <c r="AL12284" s="13"/>
    </row>
    <row r="12285" spans="4:38" x14ac:dyDescent="0.3">
      <c r="D12285" s="1"/>
      <c r="G12285" s="13"/>
      <c r="AL12285" s="13"/>
    </row>
    <row r="12286" spans="4:38" x14ac:dyDescent="0.3">
      <c r="D12286" s="1"/>
      <c r="G12286" s="13"/>
      <c r="AL12286" s="13"/>
    </row>
    <row r="12287" spans="4:38" x14ac:dyDescent="0.3">
      <c r="D12287" s="1"/>
      <c r="G12287" s="13"/>
      <c r="AL12287" s="13"/>
    </row>
    <row r="12288" spans="4:38" x14ac:dyDescent="0.3">
      <c r="D12288" s="1"/>
      <c r="G12288" s="13"/>
      <c r="AL12288" s="13"/>
    </row>
    <row r="12289" spans="4:39" x14ac:dyDescent="0.3">
      <c r="D12289" s="1"/>
      <c r="G12289" s="13"/>
      <c r="AL12289" s="13"/>
    </row>
    <row r="12290" spans="4:39" x14ac:dyDescent="0.3">
      <c r="D12290" s="1"/>
      <c r="G12290" s="13"/>
      <c r="AL12290" s="13"/>
    </row>
    <row r="12291" spans="4:39" x14ac:dyDescent="0.3">
      <c r="D12291" s="1"/>
      <c r="G12291" s="13"/>
      <c r="AL12291" s="13"/>
    </row>
    <row r="12292" spans="4:39" x14ac:dyDescent="0.3">
      <c r="D12292" s="1"/>
      <c r="G12292" s="13"/>
      <c r="AL12292" s="13"/>
    </row>
    <row r="12293" spans="4:39" x14ac:dyDescent="0.3">
      <c r="D12293" s="1"/>
      <c r="G12293" s="13"/>
      <c r="AL12293" s="13"/>
    </row>
    <row r="12294" spans="4:39" x14ac:dyDescent="0.3">
      <c r="D12294" s="1"/>
      <c r="G12294" s="13"/>
      <c r="AL12294" s="13"/>
    </row>
    <row r="12295" spans="4:39" x14ac:dyDescent="0.3">
      <c r="D12295" s="1"/>
      <c r="G12295" s="13"/>
      <c r="AL12295" s="13"/>
    </row>
    <row r="12296" spans="4:39" x14ac:dyDescent="0.3">
      <c r="D12296" s="1"/>
      <c r="G12296" s="13"/>
      <c r="AL12296" s="13"/>
    </row>
    <row r="12297" spans="4:39" x14ac:dyDescent="0.3">
      <c r="D12297" s="1"/>
      <c r="G12297" s="13"/>
      <c r="AL12297" s="13"/>
    </row>
    <row r="12298" spans="4:39" x14ac:dyDescent="0.3">
      <c r="D12298" s="1"/>
      <c r="G12298" s="13"/>
      <c r="AL12298" s="13"/>
    </row>
    <row r="12299" spans="4:39" x14ac:dyDescent="0.3">
      <c r="D12299" s="1"/>
      <c r="G12299" s="13"/>
      <c r="AL12299" s="13"/>
    </row>
    <row r="12300" spans="4:39" x14ac:dyDescent="0.3">
      <c r="D12300" s="1"/>
      <c r="G12300" s="13"/>
      <c r="AL12300" s="13"/>
    </row>
    <row r="12301" spans="4:39" x14ac:dyDescent="0.3">
      <c r="D12301" s="1"/>
      <c r="G12301" s="13"/>
      <c r="AL12301" s="13"/>
      <c r="AM12301" s="14"/>
    </row>
    <row r="12302" spans="4:39" x14ac:dyDescent="0.3">
      <c r="D12302" s="1"/>
      <c r="G12302" s="13"/>
      <c r="AL12302" s="13"/>
    </row>
    <row r="12303" spans="4:39" x14ac:dyDescent="0.3">
      <c r="D12303" s="1"/>
      <c r="G12303" s="13"/>
      <c r="AL12303" s="13"/>
    </row>
    <row r="12304" spans="4:39" x14ac:dyDescent="0.3">
      <c r="D12304" s="1"/>
      <c r="G12304" s="13"/>
      <c r="AL12304" s="13"/>
    </row>
    <row r="12305" spans="4:38" x14ac:dyDescent="0.3">
      <c r="D12305" s="1"/>
      <c r="G12305" s="13"/>
      <c r="AL12305" s="13"/>
    </row>
    <row r="12306" spans="4:38" x14ac:dyDescent="0.3">
      <c r="D12306" s="1"/>
      <c r="G12306" s="13"/>
      <c r="AL12306" s="13"/>
    </row>
    <row r="12307" spans="4:38" x14ac:dyDescent="0.3">
      <c r="D12307" s="1"/>
      <c r="G12307" s="13"/>
      <c r="AL12307" s="13"/>
    </row>
    <row r="12308" spans="4:38" x14ac:dyDescent="0.3">
      <c r="D12308" s="1"/>
      <c r="G12308" s="13"/>
      <c r="AL12308" s="13"/>
    </row>
    <row r="12309" spans="4:38" x14ac:dyDescent="0.3">
      <c r="D12309" s="1"/>
      <c r="G12309" s="13"/>
      <c r="AL12309" s="13"/>
    </row>
    <row r="12310" spans="4:38" x14ac:dyDescent="0.3">
      <c r="D12310" s="1"/>
      <c r="G12310" s="13"/>
      <c r="AL12310" s="13"/>
    </row>
    <row r="12311" spans="4:38" x14ac:dyDescent="0.3">
      <c r="D12311" s="1"/>
      <c r="G12311" s="13"/>
      <c r="AL12311" s="13"/>
    </row>
    <row r="12312" spans="4:38" x14ac:dyDescent="0.3">
      <c r="D12312" s="1"/>
      <c r="G12312" s="13"/>
      <c r="AL12312" s="13"/>
    </row>
    <row r="12313" spans="4:38" x14ac:dyDescent="0.3">
      <c r="D12313" s="1"/>
      <c r="G12313" s="13"/>
      <c r="AL12313" s="13"/>
    </row>
    <row r="12314" spans="4:38" x14ac:dyDescent="0.3">
      <c r="D12314" s="1"/>
      <c r="G12314" s="13"/>
      <c r="AL12314" s="13"/>
    </row>
    <row r="12315" spans="4:38" x14ac:dyDescent="0.3">
      <c r="D12315" s="1"/>
      <c r="G12315" s="13"/>
      <c r="AL12315" s="13"/>
    </row>
    <row r="12316" spans="4:38" x14ac:dyDescent="0.3">
      <c r="D12316" s="1"/>
      <c r="G12316" s="13"/>
      <c r="AL12316" s="13"/>
    </row>
    <row r="12317" spans="4:38" x14ac:dyDescent="0.3">
      <c r="D12317" s="1"/>
      <c r="G12317" s="13"/>
      <c r="AL12317" s="13"/>
    </row>
    <row r="12318" spans="4:38" x14ac:dyDescent="0.3">
      <c r="D12318" s="1"/>
      <c r="G12318" s="13"/>
      <c r="AL12318" s="13"/>
    </row>
    <row r="12319" spans="4:38" x14ac:dyDescent="0.3">
      <c r="D12319" s="1"/>
      <c r="G12319" s="13"/>
      <c r="AL12319" s="13"/>
    </row>
    <row r="12320" spans="4:38" x14ac:dyDescent="0.3">
      <c r="D12320" s="1"/>
      <c r="G12320" s="13"/>
      <c r="AL12320" s="13"/>
    </row>
    <row r="12321" spans="4:38" x14ac:dyDescent="0.3">
      <c r="D12321" s="1"/>
      <c r="G12321" s="13"/>
      <c r="AL12321" s="13"/>
    </row>
    <row r="12322" spans="4:38" x14ac:dyDescent="0.3">
      <c r="D12322" s="1"/>
      <c r="G12322" s="13"/>
      <c r="AL12322" s="13"/>
    </row>
    <row r="12323" spans="4:38" x14ac:dyDescent="0.3">
      <c r="D12323" s="1"/>
      <c r="G12323" s="13"/>
      <c r="AL12323" s="13"/>
    </row>
    <row r="12324" spans="4:38" x14ac:dyDescent="0.3">
      <c r="D12324" s="1"/>
      <c r="G12324" s="13"/>
      <c r="AL12324" s="13"/>
    </row>
    <row r="12325" spans="4:38" x14ac:dyDescent="0.3">
      <c r="D12325" s="1"/>
      <c r="G12325" s="13"/>
      <c r="AL12325" s="13"/>
    </row>
    <row r="12326" spans="4:38" x14ac:dyDescent="0.3">
      <c r="D12326" s="1"/>
      <c r="G12326" s="13"/>
      <c r="AL12326" s="13"/>
    </row>
    <row r="12327" spans="4:38" x14ac:dyDescent="0.3">
      <c r="D12327" s="1"/>
      <c r="G12327" s="13"/>
      <c r="AL12327" s="13"/>
    </row>
    <row r="12328" spans="4:38" x14ac:dyDescent="0.3">
      <c r="D12328" s="1"/>
      <c r="G12328" s="13"/>
      <c r="AL12328" s="13"/>
    </row>
    <row r="12329" spans="4:38" x14ac:dyDescent="0.3">
      <c r="D12329" s="1"/>
      <c r="G12329" s="13"/>
      <c r="AL12329" s="13"/>
    </row>
    <row r="12330" spans="4:38" x14ac:dyDescent="0.3">
      <c r="D12330" s="1"/>
      <c r="G12330" s="13"/>
      <c r="AL12330" s="13"/>
    </row>
    <row r="12331" spans="4:38" x14ac:dyDescent="0.3">
      <c r="D12331" s="1"/>
      <c r="G12331" s="13"/>
      <c r="AL12331" s="13"/>
    </row>
    <row r="12332" spans="4:38" x14ac:dyDescent="0.3">
      <c r="D12332" s="1"/>
      <c r="G12332" s="13"/>
      <c r="AL12332" s="13"/>
    </row>
    <row r="12333" spans="4:38" x14ac:dyDescent="0.3">
      <c r="D12333" s="1"/>
      <c r="G12333" s="13"/>
      <c r="AL12333" s="13"/>
    </row>
    <row r="12334" spans="4:38" x14ac:dyDescent="0.3">
      <c r="D12334" s="1"/>
      <c r="G12334" s="13"/>
      <c r="AL12334" s="13"/>
    </row>
    <row r="12335" spans="4:38" x14ac:dyDescent="0.3">
      <c r="D12335" s="1"/>
      <c r="G12335" s="13"/>
      <c r="AL12335" s="13"/>
    </row>
    <row r="12336" spans="4:38" x14ac:dyDescent="0.3">
      <c r="D12336" s="1"/>
      <c r="G12336" s="13"/>
      <c r="AL12336" s="13"/>
    </row>
    <row r="12337" spans="4:39" x14ac:dyDescent="0.3">
      <c r="D12337" s="1"/>
      <c r="G12337" s="13"/>
      <c r="AL12337" s="13"/>
    </row>
    <row r="12338" spans="4:39" x14ac:dyDescent="0.3">
      <c r="D12338" s="1"/>
      <c r="G12338" s="13"/>
      <c r="AL12338" s="13"/>
    </row>
    <row r="12339" spans="4:39" x14ac:dyDescent="0.3">
      <c r="D12339" s="1"/>
      <c r="G12339" s="13"/>
      <c r="AL12339" s="13"/>
    </row>
    <row r="12340" spans="4:39" x14ac:dyDescent="0.3">
      <c r="D12340" s="1"/>
      <c r="G12340" s="13"/>
      <c r="AL12340" s="13"/>
    </row>
    <row r="12341" spans="4:39" x14ac:dyDescent="0.3">
      <c r="D12341" s="1"/>
      <c r="G12341" s="13"/>
      <c r="AL12341" s="13"/>
      <c r="AM12341" s="14"/>
    </row>
    <row r="12342" spans="4:39" x14ac:dyDescent="0.3">
      <c r="D12342" s="1"/>
      <c r="G12342" s="13"/>
      <c r="AL12342" s="13"/>
      <c r="AM12342" s="14"/>
    </row>
    <row r="12343" spans="4:39" x14ac:dyDescent="0.3">
      <c r="D12343" s="1"/>
      <c r="G12343" s="13"/>
      <c r="AL12343" s="13"/>
      <c r="AM12343" s="14"/>
    </row>
    <row r="12344" spans="4:39" x14ac:dyDescent="0.3">
      <c r="D12344" s="1"/>
      <c r="G12344" s="13"/>
      <c r="AL12344" s="13"/>
      <c r="AM12344" s="14"/>
    </row>
    <row r="12345" spans="4:39" x14ac:dyDescent="0.3">
      <c r="D12345" s="1"/>
      <c r="G12345" s="13"/>
      <c r="AL12345" s="13"/>
    </row>
    <row r="12346" spans="4:39" x14ac:dyDescent="0.3">
      <c r="D12346" s="1"/>
      <c r="G12346" s="13"/>
      <c r="AL12346" s="13"/>
    </row>
    <row r="12347" spans="4:39" x14ac:dyDescent="0.3">
      <c r="D12347" s="1"/>
      <c r="G12347" s="13"/>
      <c r="AL12347" s="13"/>
    </row>
    <row r="12348" spans="4:39" x14ac:dyDescent="0.3">
      <c r="D12348" s="1"/>
      <c r="G12348" s="13"/>
      <c r="AL12348" s="13"/>
    </row>
    <row r="12349" spans="4:39" x14ac:dyDescent="0.3">
      <c r="D12349" s="1"/>
      <c r="G12349" s="13"/>
      <c r="AL12349" s="13"/>
    </row>
    <row r="12350" spans="4:39" x14ac:dyDescent="0.3">
      <c r="D12350" s="1"/>
      <c r="G12350" s="13"/>
      <c r="AL12350" s="13"/>
    </row>
    <row r="12351" spans="4:39" x14ac:dyDescent="0.3">
      <c r="D12351" s="1"/>
      <c r="G12351" s="13"/>
      <c r="AL12351" s="13"/>
    </row>
    <row r="12352" spans="4:39" x14ac:dyDescent="0.3">
      <c r="D12352" s="1"/>
      <c r="G12352" s="13"/>
      <c r="AL12352" s="13"/>
    </row>
    <row r="12353" spans="4:38" x14ac:dyDescent="0.3">
      <c r="D12353" s="1"/>
      <c r="G12353" s="13"/>
      <c r="AL12353" s="13"/>
    </row>
    <row r="12354" spans="4:38" x14ac:dyDescent="0.3">
      <c r="D12354" s="1"/>
      <c r="G12354" s="13"/>
      <c r="AL12354" s="13"/>
    </row>
    <row r="12355" spans="4:38" x14ac:dyDescent="0.3">
      <c r="D12355" s="1"/>
      <c r="G12355" s="13"/>
      <c r="AL12355" s="13"/>
    </row>
    <row r="12356" spans="4:38" x14ac:dyDescent="0.3">
      <c r="D12356" s="1"/>
      <c r="G12356" s="13"/>
      <c r="AL12356" s="13"/>
    </row>
    <row r="12357" spans="4:38" x14ac:dyDescent="0.3">
      <c r="D12357" s="1"/>
      <c r="G12357" s="13"/>
      <c r="AL12357" s="13"/>
    </row>
    <row r="12358" spans="4:38" x14ac:dyDescent="0.3">
      <c r="D12358" s="1"/>
      <c r="G12358" s="13"/>
      <c r="AL12358" s="13"/>
    </row>
    <row r="12359" spans="4:38" x14ac:dyDescent="0.3">
      <c r="D12359" s="1"/>
      <c r="G12359" s="13"/>
      <c r="AL12359" s="13"/>
    </row>
    <row r="12360" spans="4:38" x14ac:dyDescent="0.3">
      <c r="D12360" s="1"/>
      <c r="G12360" s="13"/>
      <c r="AL12360" s="13"/>
    </row>
    <row r="12361" spans="4:38" x14ac:dyDescent="0.3">
      <c r="D12361" s="1"/>
      <c r="G12361" s="13"/>
      <c r="AL12361" s="13"/>
    </row>
    <row r="12362" spans="4:38" x14ac:dyDescent="0.3">
      <c r="D12362" s="1"/>
      <c r="G12362" s="13"/>
      <c r="AL12362" s="13"/>
    </row>
    <row r="12363" spans="4:38" x14ac:dyDescent="0.3">
      <c r="D12363" s="1"/>
      <c r="G12363" s="13"/>
      <c r="AL12363" s="13"/>
    </row>
    <row r="12364" spans="4:38" x14ac:dyDescent="0.3">
      <c r="D12364" s="1"/>
      <c r="G12364" s="13"/>
      <c r="AL12364" s="13"/>
    </row>
    <row r="12365" spans="4:38" x14ac:dyDescent="0.3">
      <c r="D12365" s="1"/>
      <c r="G12365" s="13"/>
      <c r="AL12365" s="13"/>
    </row>
    <row r="12366" spans="4:38" x14ac:dyDescent="0.3">
      <c r="D12366" s="1"/>
      <c r="G12366" s="13"/>
      <c r="AL12366" s="13"/>
    </row>
    <row r="12367" spans="4:38" x14ac:dyDescent="0.3">
      <c r="D12367" s="1"/>
      <c r="G12367" s="13"/>
      <c r="AL12367" s="13"/>
    </row>
    <row r="12368" spans="4:38" x14ac:dyDescent="0.3">
      <c r="D12368" s="1"/>
      <c r="G12368" s="13"/>
      <c r="AL12368" s="13"/>
    </row>
    <row r="12369" spans="4:38" x14ac:dyDescent="0.3">
      <c r="D12369" s="1"/>
      <c r="G12369" s="13"/>
      <c r="AL12369" s="13"/>
    </row>
    <row r="12370" spans="4:38" x14ac:dyDescent="0.3">
      <c r="D12370" s="1"/>
      <c r="G12370" s="13"/>
      <c r="AL12370" s="13"/>
    </row>
    <row r="12371" spans="4:38" x14ac:dyDescent="0.3">
      <c r="D12371" s="1"/>
      <c r="G12371" s="13"/>
      <c r="AL12371" s="13"/>
    </row>
    <row r="12372" spans="4:38" x14ac:dyDescent="0.3">
      <c r="D12372" s="1"/>
      <c r="G12372" s="13"/>
      <c r="AL12372" s="13"/>
    </row>
    <row r="12373" spans="4:38" x14ac:dyDescent="0.3">
      <c r="D12373" s="1"/>
      <c r="G12373" s="13"/>
      <c r="AL12373" s="13"/>
    </row>
    <row r="12374" spans="4:38" x14ac:dyDescent="0.3">
      <c r="D12374" s="1"/>
      <c r="G12374" s="13"/>
      <c r="AL12374" s="13"/>
    </row>
    <row r="12375" spans="4:38" x14ac:dyDescent="0.3">
      <c r="D12375" s="1"/>
      <c r="G12375" s="13"/>
      <c r="AL12375" s="13"/>
    </row>
    <row r="12376" spans="4:38" x14ac:dyDescent="0.3">
      <c r="D12376" s="1"/>
      <c r="G12376" s="13"/>
      <c r="AL12376" s="13"/>
    </row>
    <row r="12377" spans="4:38" x14ac:dyDescent="0.3">
      <c r="D12377" s="1"/>
      <c r="G12377" s="13"/>
      <c r="AL12377" s="13"/>
    </row>
    <row r="12378" spans="4:38" x14ac:dyDescent="0.3">
      <c r="D12378" s="1"/>
      <c r="G12378" s="13"/>
      <c r="AL12378" s="13"/>
    </row>
    <row r="12379" spans="4:38" x14ac:dyDescent="0.3">
      <c r="D12379" s="1"/>
      <c r="G12379" s="13"/>
      <c r="AL12379" s="13"/>
    </row>
    <row r="12380" spans="4:38" x14ac:dyDescent="0.3">
      <c r="D12380" s="1"/>
      <c r="G12380" s="13"/>
      <c r="AL12380" s="13"/>
    </row>
    <row r="12381" spans="4:38" x14ac:dyDescent="0.3">
      <c r="D12381" s="1"/>
      <c r="G12381" s="13"/>
      <c r="AL12381" s="13"/>
    </row>
    <row r="12382" spans="4:38" x14ac:dyDescent="0.3">
      <c r="D12382" s="1"/>
      <c r="G12382" s="13"/>
      <c r="AL12382" s="13"/>
    </row>
    <row r="12383" spans="4:38" x14ac:dyDescent="0.3">
      <c r="D12383" s="1"/>
      <c r="G12383" s="13"/>
      <c r="AL12383" s="13"/>
    </row>
    <row r="12384" spans="4:38" x14ac:dyDescent="0.3">
      <c r="D12384" s="1"/>
      <c r="G12384" s="13"/>
      <c r="AL12384" s="13"/>
    </row>
    <row r="12385" spans="4:38" x14ac:dyDescent="0.3">
      <c r="D12385" s="1"/>
      <c r="G12385" s="13"/>
      <c r="AL12385" s="13"/>
    </row>
    <row r="12386" spans="4:38" x14ac:dyDescent="0.3">
      <c r="D12386" s="1"/>
      <c r="G12386" s="13"/>
      <c r="AL12386" s="13"/>
    </row>
    <row r="12387" spans="4:38" x14ac:dyDescent="0.3">
      <c r="D12387" s="1"/>
      <c r="G12387" s="13"/>
      <c r="AL12387" s="13"/>
    </row>
    <row r="12388" spans="4:38" x14ac:dyDescent="0.3">
      <c r="D12388" s="1"/>
      <c r="G12388" s="13"/>
      <c r="AL12388" s="13"/>
    </row>
    <row r="12389" spans="4:38" x14ac:dyDescent="0.3">
      <c r="D12389" s="1"/>
      <c r="G12389" s="13"/>
      <c r="AL12389" s="13"/>
    </row>
    <row r="12390" spans="4:38" x14ac:dyDescent="0.3">
      <c r="D12390" s="1"/>
      <c r="G12390" s="13"/>
      <c r="AL12390" s="13"/>
    </row>
    <row r="12391" spans="4:38" x14ac:dyDescent="0.3">
      <c r="D12391" s="1"/>
      <c r="G12391" s="13"/>
      <c r="AL12391" s="13"/>
    </row>
    <row r="12392" spans="4:38" x14ac:dyDescent="0.3">
      <c r="D12392" s="1"/>
      <c r="G12392" s="13"/>
      <c r="AL12392" s="13"/>
    </row>
    <row r="12393" spans="4:38" x14ac:dyDescent="0.3">
      <c r="D12393" s="1"/>
      <c r="G12393" s="13"/>
      <c r="AL12393" s="13"/>
    </row>
    <row r="12394" spans="4:38" x14ac:dyDescent="0.3">
      <c r="D12394" s="1"/>
      <c r="G12394" s="13"/>
      <c r="AL12394" s="13"/>
    </row>
    <row r="12395" spans="4:38" x14ac:dyDescent="0.3">
      <c r="D12395" s="1"/>
      <c r="G12395" s="13"/>
      <c r="AL12395" s="13"/>
    </row>
    <row r="12396" spans="4:38" x14ac:dyDescent="0.3">
      <c r="D12396" s="1"/>
      <c r="G12396" s="13"/>
      <c r="AL12396" s="13"/>
    </row>
    <row r="12397" spans="4:38" x14ac:dyDescent="0.3">
      <c r="D12397" s="1"/>
      <c r="G12397" s="13"/>
      <c r="AL12397" s="13"/>
    </row>
    <row r="12398" spans="4:38" x14ac:dyDescent="0.3">
      <c r="D12398" s="1"/>
      <c r="G12398" s="13"/>
      <c r="AL12398" s="13"/>
    </row>
    <row r="12399" spans="4:38" x14ac:dyDescent="0.3">
      <c r="D12399" s="1"/>
      <c r="G12399" s="13"/>
      <c r="AL12399" s="13"/>
    </row>
    <row r="12400" spans="4:38" x14ac:dyDescent="0.3">
      <c r="D12400" s="1"/>
      <c r="G12400" s="13"/>
      <c r="AL12400" s="13"/>
    </row>
    <row r="12401" spans="4:38" x14ac:dyDescent="0.3">
      <c r="D12401" s="1"/>
      <c r="G12401" s="13"/>
      <c r="AL12401" s="13"/>
    </row>
    <row r="12402" spans="4:38" x14ac:dyDescent="0.3">
      <c r="D12402" s="1"/>
      <c r="G12402" s="13"/>
      <c r="AL12402" s="13"/>
    </row>
    <row r="12403" spans="4:38" x14ac:dyDescent="0.3">
      <c r="D12403" s="1"/>
      <c r="G12403" s="13"/>
      <c r="AL12403" s="13"/>
    </row>
    <row r="12404" spans="4:38" x14ac:dyDescent="0.3">
      <c r="D12404" s="1"/>
      <c r="G12404" s="13"/>
      <c r="AL12404" s="13"/>
    </row>
    <row r="12405" spans="4:38" x14ac:dyDescent="0.3">
      <c r="D12405" s="1"/>
      <c r="G12405" s="13"/>
      <c r="AL12405" s="13"/>
    </row>
    <row r="12406" spans="4:38" x14ac:dyDescent="0.3">
      <c r="D12406" s="1"/>
      <c r="G12406" s="13"/>
      <c r="AL12406" s="13"/>
    </row>
    <row r="12407" spans="4:38" x14ac:dyDescent="0.3">
      <c r="D12407" s="1"/>
      <c r="G12407" s="13"/>
      <c r="AL12407" s="13"/>
    </row>
    <row r="12408" spans="4:38" x14ac:dyDescent="0.3">
      <c r="D12408" s="1"/>
      <c r="G12408" s="13"/>
      <c r="AL12408" s="13"/>
    </row>
    <row r="12409" spans="4:38" x14ac:dyDescent="0.3">
      <c r="D12409" s="1"/>
      <c r="G12409" s="13"/>
      <c r="AL12409" s="13"/>
    </row>
    <row r="12410" spans="4:38" x14ac:dyDescent="0.3">
      <c r="D12410" s="1"/>
      <c r="G12410" s="13"/>
      <c r="AL12410" s="13"/>
    </row>
    <row r="12411" spans="4:38" x14ac:dyDescent="0.3">
      <c r="D12411" s="1"/>
      <c r="G12411" s="13"/>
      <c r="AL12411" s="13"/>
    </row>
    <row r="12412" spans="4:38" x14ac:dyDescent="0.3">
      <c r="D12412" s="1"/>
      <c r="G12412" s="13"/>
      <c r="AL12412" s="13"/>
    </row>
    <row r="12413" spans="4:38" x14ac:dyDescent="0.3">
      <c r="D12413" s="1"/>
      <c r="G12413" s="13"/>
      <c r="AL12413" s="13"/>
    </row>
    <row r="12414" spans="4:38" x14ac:dyDescent="0.3">
      <c r="D12414" s="1"/>
      <c r="G12414" s="13"/>
      <c r="AL12414" s="13"/>
    </row>
    <row r="12415" spans="4:38" x14ac:dyDescent="0.3">
      <c r="D12415" s="1"/>
      <c r="G12415" s="13"/>
      <c r="AL12415" s="13"/>
    </row>
    <row r="12416" spans="4:38" x14ac:dyDescent="0.3">
      <c r="D12416" s="1"/>
      <c r="G12416" s="13"/>
      <c r="AL12416" s="13"/>
    </row>
    <row r="12417" spans="4:39" x14ac:dyDescent="0.3">
      <c r="D12417" s="1"/>
      <c r="G12417" s="13"/>
      <c r="AL12417" s="13"/>
    </row>
    <row r="12418" spans="4:39" x14ac:dyDescent="0.3">
      <c r="D12418" s="1"/>
      <c r="G12418" s="13"/>
      <c r="AL12418" s="13"/>
    </row>
    <row r="12419" spans="4:39" x14ac:dyDescent="0.3">
      <c r="D12419" s="1"/>
      <c r="G12419" s="13"/>
      <c r="AL12419" s="13"/>
    </row>
    <row r="12420" spans="4:39" x14ac:dyDescent="0.3">
      <c r="D12420" s="1"/>
      <c r="G12420" s="13"/>
      <c r="AL12420" s="13"/>
    </row>
    <row r="12421" spans="4:39" x14ac:dyDescent="0.3">
      <c r="D12421" s="1"/>
      <c r="G12421" s="13"/>
      <c r="AL12421" s="13"/>
    </row>
    <row r="12422" spans="4:39" x14ac:dyDescent="0.3">
      <c r="D12422" s="1"/>
      <c r="G12422" s="13"/>
      <c r="AL12422" s="13"/>
    </row>
    <row r="12423" spans="4:39" x14ac:dyDescent="0.3">
      <c r="D12423" s="1"/>
      <c r="G12423" s="13"/>
      <c r="AL12423" s="13"/>
    </row>
    <row r="12424" spans="4:39" x14ac:dyDescent="0.3">
      <c r="D12424" s="1"/>
      <c r="G12424" s="13"/>
      <c r="AL12424" s="13"/>
    </row>
    <row r="12425" spans="4:39" x14ac:dyDescent="0.3">
      <c r="D12425" s="1"/>
      <c r="G12425" s="13"/>
      <c r="AL12425" s="13"/>
    </row>
    <row r="12426" spans="4:39" x14ac:dyDescent="0.3">
      <c r="D12426" s="1"/>
      <c r="G12426" s="13"/>
      <c r="AL12426" s="13"/>
    </row>
    <row r="12427" spans="4:39" x14ac:dyDescent="0.3">
      <c r="D12427" s="1"/>
      <c r="G12427" s="13"/>
      <c r="AL12427" s="13"/>
    </row>
    <row r="12428" spans="4:39" x14ac:dyDescent="0.3">
      <c r="D12428" s="1"/>
      <c r="G12428" s="13"/>
      <c r="AL12428" s="13"/>
    </row>
    <row r="12429" spans="4:39" x14ac:dyDescent="0.3">
      <c r="D12429" s="1"/>
      <c r="G12429" s="13"/>
      <c r="AL12429" s="13"/>
      <c r="AM12429" s="14"/>
    </row>
    <row r="12430" spans="4:39" x14ac:dyDescent="0.3">
      <c r="D12430" s="1"/>
      <c r="G12430" s="13"/>
      <c r="AL12430" s="13"/>
    </row>
    <row r="12431" spans="4:39" x14ac:dyDescent="0.3">
      <c r="D12431" s="1"/>
      <c r="G12431" s="13"/>
      <c r="AL12431" s="13"/>
    </row>
    <row r="12432" spans="4:39" x14ac:dyDescent="0.3">
      <c r="D12432" s="1"/>
      <c r="G12432" s="13"/>
      <c r="AL12432" s="13"/>
    </row>
    <row r="12433" spans="4:38" x14ac:dyDescent="0.3">
      <c r="D12433" s="1"/>
      <c r="G12433" s="13"/>
      <c r="AL12433" s="13"/>
    </row>
    <row r="12434" spans="4:38" x14ac:dyDescent="0.3">
      <c r="D12434" s="1"/>
      <c r="G12434" s="13"/>
      <c r="AL12434" s="13"/>
    </row>
    <row r="12435" spans="4:38" x14ac:dyDescent="0.3">
      <c r="D12435" s="1"/>
      <c r="G12435" s="13"/>
      <c r="AL12435" s="13"/>
    </row>
    <row r="12436" spans="4:38" x14ac:dyDescent="0.3">
      <c r="D12436" s="1"/>
      <c r="G12436" s="13"/>
      <c r="AL12436" s="13"/>
    </row>
    <row r="12437" spans="4:38" x14ac:dyDescent="0.3">
      <c r="D12437" s="1"/>
      <c r="G12437" s="13"/>
      <c r="AL12437" s="13"/>
    </row>
    <row r="12438" spans="4:38" x14ac:dyDescent="0.3">
      <c r="D12438" s="1"/>
      <c r="G12438" s="13"/>
      <c r="AL12438" s="13"/>
    </row>
    <row r="12439" spans="4:38" x14ac:dyDescent="0.3">
      <c r="D12439" s="1"/>
      <c r="G12439" s="13"/>
      <c r="AL12439" s="13"/>
    </row>
    <row r="12440" spans="4:38" x14ac:dyDescent="0.3">
      <c r="D12440" s="1"/>
      <c r="G12440" s="13"/>
      <c r="AL12440" s="13"/>
    </row>
    <row r="12441" spans="4:38" x14ac:dyDescent="0.3">
      <c r="D12441" s="1"/>
      <c r="G12441" s="13"/>
      <c r="AL12441" s="13"/>
    </row>
    <row r="12442" spans="4:38" x14ac:dyDescent="0.3">
      <c r="D12442" s="1"/>
      <c r="G12442" s="13"/>
      <c r="AL12442" s="13"/>
    </row>
    <row r="12443" spans="4:38" x14ac:dyDescent="0.3">
      <c r="D12443" s="1"/>
      <c r="G12443" s="13"/>
      <c r="AL12443" s="13"/>
    </row>
    <row r="12444" spans="4:38" x14ac:dyDescent="0.3">
      <c r="D12444" s="1"/>
      <c r="G12444" s="13"/>
      <c r="AL12444" s="13"/>
    </row>
    <row r="12445" spans="4:38" x14ac:dyDescent="0.3">
      <c r="D12445" s="1"/>
      <c r="G12445" s="13"/>
      <c r="AL12445" s="13"/>
    </row>
    <row r="12446" spans="4:38" x14ac:dyDescent="0.3">
      <c r="D12446" s="1"/>
      <c r="G12446" s="13"/>
      <c r="AL12446" s="13"/>
    </row>
    <row r="12447" spans="4:38" x14ac:dyDescent="0.3">
      <c r="D12447" s="1"/>
      <c r="G12447" s="13"/>
      <c r="AL12447" s="13"/>
    </row>
    <row r="12448" spans="4:38" x14ac:dyDescent="0.3">
      <c r="D12448" s="1"/>
      <c r="G12448" s="13"/>
      <c r="AL12448" s="13"/>
    </row>
    <row r="12449" spans="4:39" x14ac:dyDescent="0.3">
      <c r="D12449" s="1"/>
      <c r="G12449" s="13"/>
      <c r="AL12449" s="13"/>
    </row>
    <row r="12450" spans="4:39" x14ac:dyDescent="0.3">
      <c r="D12450" s="1"/>
      <c r="G12450" s="13"/>
      <c r="AL12450" s="13"/>
    </row>
    <row r="12451" spans="4:39" x14ac:dyDescent="0.3">
      <c r="D12451" s="1"/>
      <c r="G12451" s="13"/>
      <c r="AL12451" s="13"/>
    </row>
    <row r="12452" spans="4:39" x14ac:dyDescent="0.3">
      <c r="D12452" s="1"/>
      <c r="G12452" s="13"/>
      <c r="AL12452" s="13"/>
      <c r="AM12452" s="14"/>
    </row>
    <row r="12453" spans="4:39" x14ac:dyDescent="0.3">
      <c r="D12453" s="1"/>
      <c r="G12453" s="13"/>
      <c r="AL12453" s="13"/>
      <c r="AM12453" s="14"/>
    </row>
    <row r="12454" spans="4:39" x14ac:dyDescent="0.3">
      <c r="D12454" s="1"/>
      <c r="G12454" s="13"/>
      <c r="AL12454" s="13"/>
    </row>
    <row r="12455" spans="4:39" x14ac:dyDescent="0.3">
      <c r="D12455" s="1"/>
      <c r="G12455" s="13"/>
      <c r="AL12455" s="13"/>
    </row>
    <row r="12456" spans="4:39" x14ac:dyDescent="0.3">
      <c r="D12456" s="1"/>
      <c r="G12456" s="13"/>
      <c r="AL12456" s="13"/>
    </row>
    <row r="12457" spans="4:39" x14ac:dyDescent="0.3">
      <c r="D12457" s="1"/>
      <c r="G12457" s="13"/>
      <c r="AL12457" s="13"/>
    </row>
    <row r="12458" spans="4:39" x14ac:dyDescent="0.3">
      <c r="D12458" s="1"/>
      <c r="G12458" s="13"/>
      <c r="AL12458" s="13"/>
    </row>
    <row r="12459" spans="4:39" x14ac:dyDescent="0.3">
      <c r="D12459" s="1"/>
      <c r="G12459" s="13"/>
      <c r="AL12459" s="13"/>
    </row>
    <row r="12460" spans="4:39" x14ac:dyDescent="0.3">
      <c r="D12460" s="1"/>
      <c r="G12460" s="13"/>
      <c r="AL12460" s="13"/>
    </row>
    <row r="12461" spans="4:39" x14ac:dyDescent="0.3">
      <c r="D12461" s="1"/>
      <c r="G12461" s="13"/>
      <c r="AL12461" s="13"/>
    </row>
    <row r="12462" spans="4:39" x14ac:dyDescent="0.3">
      <c r="D12462" s="1"/>
      <c r="G12462" s="13"/>
      <c r="AL12462" s="13"/>
    </row>
    <row r="12463" spans="4:39" x14ac:dyDescent="0.3">
      <c r="D12463" s="1"/>
      <c r="G12463" s="13"/>
      <c r="AL12463" s="13"/>
    </row>
    <row r="12464" spans="4:39" x14ac:dyDescent="0.3">
      <c r="D12464" s="1"/>
      <c r="G12464" s="13"/>
      <c r="AL12464" s="13"/>
    </row>
    <row r="12465" spans="4:39" x14ac:dyDescent="0.3">
      <c r="D12465" s="1"/>
      <c r="G12465" s="13"/>
      <c r="AL12465" s="13"/>
    </row>
    <row r="12466" spans="4:39" x14ac:dyDescent="0.3">
      <c r="D12466" s="1"/>
      <c r="G12466" s="13"/>
      <c r="AL12466" s="13"/>
    </row>
    <row r="12467" spans="4:39" x14ac:dyDescent="0.3">
      <c r="D12467" s="1"/>
      <c r="G12467" s="13"/>
      <c r="AL12467" s="13"/>
    </row>
    <row r="12468" spans="4:39" x14ac:dyDescent="0.3">
      <c r="D12468" s="1"/>
      <c r="G12468" s="13"/>
      <c r="AL12468" s="13"/>
      <c r="AM12468" s="14"/>
    </row>
    <row r="12469" spans="4:39" x14ac:dyDescent="0.3">
      <c r="D12469" s="1"/>
      <c r="G12469" s="13"/>
      <c r="AL12469" s="13"/>
    </row>
    <row r="12470" spans="4:39" x14ac:dyDescent="0.3">
      <c r="D12470" s="1"/>
      <c r="G12470" s="13"/>
      <c r="AL12470" s="13"/>
    </row>
    <row r="12471" spans="4:39" x14ac:dyDescent="0.3">
      <c r="D12471" s="1"/>
      <c r="G12471" s="13"/>
      <c r="AL12471" s="13"/>
    </row>
    <row r="12472" spans="4:39" x14ac:dyDescent="0.3">
      <c r="D12472" s="1"/>
      <c r="G12472" s="13"/>
      <c r="AL12472" s="13"/>
    </row>
    <row r="12473" spans="4:39" x14ac:dyDescent="0.3">
      <c r="D12473" s="1"/>
      <c r="G12473" s="13"/>
      <c r="AL12473" s="13"/>
    </row>
    <row r="12474" spans="4:39" x14ac:dyDescent="0.3">
      <c r="D12474" s="1"/>
      <c r="G12474" s="13"/>
      <c r="AL12474" s="13"/>
    </row>
    <row r="12475" spans="4:39" x14ac:dyDescent="0.3">
      <c r="D12475" s="1"/>
      <c r="G12475" s="13"/>
      <c r="AL12475" s="13"/>
    </row>
    <row r="12476" spans="4:39" x14ac:dyDescent="0.3">
      <c r="D12476" s="1"/>
      <c r="G12476" s="13"/>
      <c r="AL12476" s="13"/>
      <c r="AM12476" s="14"/>
    </row>
    <row r="12477" spans="4:39" x14ac:dyDescent="0.3">
      <c r="D12477" s="1"/>
      <c r="G12477" s="13"/>
      <c r="AL12477" s="13"/>
    </row>
    <row r="12478" spans="4:39" x14ac:dyDescent="0.3">
      <c r="D12478" s="1"/>
      <c r="G12478" s="13"/>
      <c r="AL12478" s="13"/>
    </row>
    <row r="12479" spans="4:39" x14ac:dyDescent="0.3">
      <c r="D12479" s="1"/>
      <c r="G12479" s="13"/>
      <c r="AL12479" s="13"/>
    </row>
    <row r="12480" spans="4:39" x14ac:dyDescent="0.3">
      <c r="D12480" s="1"/>
      <c r="G12480" s="13"/>
      <c r="AL12480" s="13"/>
    </row>
    <row r="12481" spans="4:39" x14ac:dyDescent="0.3">
      <c r="D12481" s="1"/>
      <c r="G12481" s="13"/>
      <c r="AL12481" s="13"/>
    </row>
    <row r="12482" spans="4:39" x14ac:dyDescent="0.3">
      <c r="D12482" s="1"/>
      <c r="G12482" s="13"/>
      <c r="AL12482" s="13"/>
    </row>
    <row r="12483" spans="4:39" x14ac:dyDescent="0.3">
      <c r="D12483" s="1"/>
      <c r="G12483" s="13"/>
      <c r="AL12483" s="13"/>
    </row>
    <row r="12484" spans="4:39" x14ac:dyDescent="0.3">
      <c r="D12484" s="1"/>
      <c r="G12484" s="13"/>
      <c r="AL12484" s="13"/>
      <c r="AM12484" s="14"/>
    </row>
    <row r="12485" spans="4:39" x14ac:dyDescent="0.3">
      <c r="D12485" s="1"/>
      <c r="G12485" s="13"/>
      <c r="AL12485" s="13"/>
    </row>
    <row r="12486" spans="4:39" x14ac:dyDescent="0.3">
      <c r="D12486" s="1"/>
      <c r="G12486" s="13"/>
      <c r="AL12486" s="13"/>
      <c r="AM12486" s="14"/>
    </row>
    <row r="12487" spans="4:39" x14ac:dyDescent="0.3">
      <c r="D12487" s="1"/>
      <c r="G12487" s="13"/>
      <c r="AL12487" s="13"/>
      <c r="AM12487" s="14"/>
    </row>
    <row r="12488" spans="4:39" x14ac:dyDescent="0.3">
      <c r="D12488" s="1"/>
      <c r="G12488" s="13"/>
      <c r="AL12488" s="13"/>
      <c r="AM12488" s="14"/>
    </row>
    <row r="12489" spans="4:39" x14ac:dyDescent="0.3">
      <c r="D12489" s="1"/>
      <c r="G12489" s="13"/>
      <c r="AL12489" s="13"/>
    </row>
    <row r="12490" spans="4:39" x14ac:dyDescent="0.3">
      <c r="D12490" s="1"/>
      <c r="G12490" s="13"/>
      <c r="AL12490" s="13"/>
      <c r="AM12490" s="14"/>
    </row>
    <row r="12491" spans="4:39" x14ac:dyDescent="0.3">
      <c r="D12491" s="1"/>
      <c r="G12491" s="13"/>
      <c r="AL12491" s="13"/>
    </row>
    <row r="12492" spans="4:39" x14ac:dyDescent="0.3">
      <c r="D12492" s="1"/>
      <c r="G12492" s="13"/>
      <c r="AL12492" s="13"/>
      <c r="AM12492" s="14"/>
    </row>
    <row r="12493" spans="4:39" x14ac:dyDescent="0.3">
      <c r="D12493" s="1"/>
      <c r="G12493" s="13"/>
      <c r="AL12493" s="13"/>
      <c r="AM12493" s="14"/>
    </row>
    <row r="12494" spans="4:39" x14ac:dyDescent="0.3">
      <c r="D12494" s="1"/>
      <c r="G12494" s="13"/>
      <c r="AL12494" s="13"/>
      <c r="AM12494" s="14"/>
    </row>
    <row r="12495" spans="4:39" x14ac:dyDescent="0.3">
      <c r="D12495" s="1"/>
      <c r="G12495" s="13"/>
      <c r="AL12495" s="13"/>
    </row>
    <row r="12496" spans="4:39" x14ac:dyDescent="0.3">
      <c r="D12496" s="1"/>
      <c r="G12496" s="13"/>
      <c r="AL12496" s="13"/>
    </row>
    <row r="12497" spans="4:39" x14ac:dyDescent="0.3">
      <c r="D12497" s="1"/>
      <c r="G12497" s="13"/>
      <c r="AL12497" s="13"/>
    </row>
    <row r="12498" spans="4:39" x14ac:dyDescent="0.3">
      <c r="D12498" s="1"/>
      <c r="G12498" s="13"/>
      <c r="AL12498" s="13"/>
      <c r="AM12498" s="14"/>
    </row>
    <row r="12499" spans="4:39" x14ac:dyDescent="0.3">
      <c r="D12499" s="1"/>
      <c r="G12499" s="13"/>
      <c r="AL12499" s="13"/>
      <c r="AM12499" s="14"/>
    </row>
    <row r="12500" spans="4:39" x14ac:dyDescent="0.3">
      <c r="D12500" s="1"/>
      <c r="G12500" s="13"/>
      <c r="AL12500" s="13"/>
      <c r="AM12500" s="14"/>
    </row>
    <row r="12501" spans="4:39" x14ac:dyDescent="0.3">
      <c r="D12501" s="1"/>
      <c r="G12501" s="13"/>
      <c r="AL12501" s="13"/>
      <c r="AM12501" s="14"/>
    </row>
    <row r="12502" spans="4:39" x14ac:dyDescent="0.3">
      <c r="D12502" s="1"/>
      <c r="G12502" s="13"/>
      <c r="AL12502" s="13"/>
      <c r="AM12502" s="14"/>
    </row>
    <row r="12503" spans="4:39" x14ac:dyDescent="0.3">
      <c r="D12503" s="1"/>
      <c r="G12503" s="13"/>
      <c r="AL12503" s="13"/>
      <c r="AM12503" s="14"/>
    </row>
    <row r="12504" spans="4:39" x14ac:dyDescent="0.3">
      <c r="D12504" s="1"/>
      <c r="G12504" s="13"/>
      <c r="AL12504" s="13"/>
      <c r="AM12504" s="14"/>
    </row>
    <row r="12505" spans="4:39" x14ac:dyDescent="0.3">
      <c r="D12505" s="1"/>
      <c r="G12505" s="13"/>
      <c r="AL12505" s="13"/>
      <c r="AM12505" s="14"/>
    </row>
    <row r="12506" spans="4:39" x14ac:dyDescent="0.3">
      <c r="D12506" s="1"/>
      <c r="G12506" s="13"/>
      <c r="AL12506" s="13"/>
    </row>
    <row r="12507" spans="4:39" x14ac:dyDescent="0.3">
      <c r="D12507" s="1"/>
      <c r="G12507" s="13"/>
      <c r="AL12507" s="13"/>
    </row>
    <row r="12508" spans="4:39" x14ac:dyDescent="0.3">
      <c r="D12508" s="1"/>
      <c r="G12508" s="13"/>
      <c r="AL12508" s="13"/>
    </row>
    <row r="12509" spans="4:39" x14ac:dyDescent="0.3">
      <c r="D12509" s="1"/>
      <c r="G12509" s="13"/>
      <c r="AL12509" s="13"/>
    </row>
    <row r="12510" spans="4:39" x14ac:dyDescent="0.3">
      <c r="D12510" s="1"/>
      <c r="G12510" s="13"/>
      <c r="AL12510" s="13"/>
    </row>
    <row r="12511" spans="4:39" x14ac:dyDescent="0.3">
      <c r="D12511" s="1"/>
      <c r="G12511" s="13"/>
      <c r="AL12511" s="13"/>
      <c r="AM12511" s="14"/>
    </row>
    <row r="12512" spans="4:39" x14ac:dyDescent="0.3">
      <c r="D12512" s="1"/>
      <c r="G12512" s="13"/>
      <c r="AL12512" s="13"/>
    </row>
    <row r="12513" spans="4:39" x14ac:dyDescent="0.3">
      <c r="D12513" s="1"/>
      <c r="G12513" s="13"/>
      <c r="AL12513" s="13"/>
    </row>
    <row r="12514" spans="4:39" x14ac:dyDescent="0.3">
      <c r="D12514" s="1"/>
      <c r="G12514" s="13"/>
      <c r="AL12514" s="13"/>
    </row>
    <row r="12515" spans="4:39" x14ac:dyDescent="0.3">
      <c r="D12515" s="1"/>
      <c r="G12515" s="13"/>
      <c r="AL12515" s="13"/>
    </row>
    <row r="12516" spans="4:39" x14ac:dyDescent="0.3">
      <c r="D12516" s="1"/>
      <c r="G12516" s="13"/>
      <c r="AL12516" s="13"/>
    </row>
    <row r="12517" spans="4:39" x14ac:dyDescent="0.3">
      <c r="D12517" s="1"/>
      <c r="G12517" s="13"/>
      <c r="AL12517" s="13"/>
      <c r="AM12517" s="14"/>
    </row>
    <row r="12518" spans="4:39" x14ac:dyDescent="0.3">
      <c r="D12518" s="1"/>
      <c r="G12518" s="13"/>
      <c r="AL12518" s="13"/>
      <c r="AM12518" s="14"/>
    </row>
    <row r="12519" spans="4:39" x14ac:dyDescent="0.3">
      <c r="D12519" s="1"/>
      <c r="G12519" s="13"/>
      <c r="AL12519" s="13"/>
    </row>
    <row r="12520" spans="4:39" x14ac:dyDescent="0.3">
      <c r="D12520" s="1"/>
      <c r="G12520" s="13"/>
      <c r="AL12520" s="13"/>
    </row>
    <row r="12521" spans="4:39" x14ac:dyDescent="0.3">
      <c r="D12521" s="1"/>
      <c r="G12521" s="13"/>
      <c r="AL12521" s="13"/>
    </row>
    <row r="12522" spans="4:39" x14ac:dyDescent="0.3">
      <c r="D12522" s="1"/>
      <c r="G12522" s="13"/>
      <c r="AL12522" s="13"/>
    </row>
    <row r="12523" spans="4:39" x14ac:dyDescent="0.3">
      <c r="D12523" s="1"/>
      <c r="G12523" s="13"/>
      <c r="AL12523" s="13"/>
    </row>
    <row r="12524" spans="4:39" x14ac:dyDescent="0.3">
      <c r="D12524" s="1"/>
      <c r="G12524" s="13"/>
      <c r="AL12524" s="13"/>
    </row>
    <row r="12525" spans="4:39" x14ac:dyDescent="0.3">
      <c r="D12525" s="1"/>
      <c r="G12525" s="13"/>
      <c r="AL12525" s="13"/>
    </row>
    <row r="12526" spans="4:39" x14ac:dyDescent="0.3">
      <c r="D12526" s="1"/>
      <c r="G12526" s="13"/>
      <c r="AL12526" s="13"/>
    </row>
    <row r="12527" spans="4:39" x14ac:dyDescent="0.3">
      <c r="D12527" s="1"/>
      <c r="G12527" s="13"/>
      <c r="AL12527" s="13"/>
    </row>
    <row r="12528" spans="4:39" x14ac:dyDescent="0.3">
      <c r="D12528" s="1"/>
      <c r="G12528" s="13"/>
      <c r="AL12528" s="13"/>
    </row>
    <row r="12529" spans="4:39" x14ac:dyDescent="0.3">
      <c r="D12529" s="1"/>
      <c r="G12529" s="13"/>
      <c r="AL12529" s="13"/>
    </row>
    <row r="12530" spans="4:39" x14ac:dyDescent="0.3">
      <c r="D12530" s="1"/>
      <c r="G12530" s="13"/>
      <c r="AL12530" s="13"/>
    </row>
    <row r="12531" spans="4:39" x14ac:dyDescent="0.3">
      <c r="D12531" s="1"/>
      <c r="G12531" s="13"/>
      <c r="AL12531" s="13"/>
      <c r="AM12531" s="14"/>
    </row>
    <row r="12532" spans="4:39" x14ac:dyDescent="0.3">
      <c r="D12532" s="1"/>
      <c r="G12532" s="13"/>
      <c r="AL12532" s="13"/>
    </row>
    <row r="12533" spans="4:39" x14ac:dyDescent="0.3">
      <c r="D12533" s="1"/>
      <c r="G12533" s="13"/>
      <c r="AL12533" s="13"/>
    </row>
    <row r="12534" spans="4:39" x14ac:dyDescent="0.3">
      <c r="D12534" s="1"/>
      <c r="G12534" s="13"/>
      <c r="AL12534" s="13"/>
    </row>
    <row r="12535" spans="4:39" x14ac:dyDescent="0.3">
      <c r="D12535" s="1"/>
      <c r="G12535" s="13"/>
      <c r="AL12535" s="13"/>
    </row>
    <row r="12536" spans="4:39" x14ac:dyDescent="0.3">
      <c r="D12536" s="1"/>
      <c r="G12536" s="13"/>
      <c r="AL12536" s="13"/>
    </row>
    <row r="12537" spans="4:39" x14ac:dyDescent="0.3">
      <c r="D12537" s="1"/>
      <c r="G12537" s="13"/>
      <c r="AL12537" s="13"/>
      <c r="AM12537" s="14"/>
    </row>
    <row r="12538" spans="4:39" x14ac:dyDescent="0.3">
      <c r="D12538" s="1"/>
      <c r="G12538" s="13"/>
      <c r="AL12538" s="13"/>
    </row>
    <row r="12539" spans="4:39" x14ac:dyDescent="0.3">
      <c r="D12539" s="1"/>
      <c r="G12539" s="13"/>
      <c r="AL12539" s="13"/>
    </row>
    <row r="12540" spans="4:39" x14ac:dyDescent="0.3">
      <c r="D12540" s="1"/>
      <c r="G12540" s="13"/>
      <c r="AL12540" s="13"/>
    </row>
    <row r="12541" spans="4:39" x14ac:dyDescent="0.3">
      <c r="D12541" s="1"/>
      <c r="G12541" s="13"/>
      <c r="AL12541" s="13"/>
      <c r="AM12541" s="14"/>
    </row>
    <row r="12542" spans="4:39" x14ac:dyDescent="0.3">
      <c r="D12542" s="1"/>
      <c r="G12542" s="13"/>
      <c r="AL12542" s="13"/>
      <c r="AM12542" s="14"/>
    </row>
    <row r="12543" spans="4:39" x14ac:dyDescent="0.3">
      <c r="D12543" s="1"/>
      <c r="G12543" s="13"/>
      <c r="AL12543" s="13"/>
      <c r="AM12543" s="14"/>
    </row>
    <row r="12544" spans="4:39" x14ac:dyDescent="0.3">
      <c r="D12544" s="1"/>
      <c r="G12544" s="13"/>
      <c r="AL12544" s="13"/>
    </row>
    <row r="12545" spans="4:39" x14ac:dyDescent="0.3">
      <c r="D12545" s="1"/>
      <c r="G12545" s="13"/>
      <c r="AL12545" s="13"/>
      <c r="AM12545" s="14"/>
    </row>
    <row r="12546" spans="4:39" x14ac:dyDescent="0.3">
      <c r="D12546" s="1"/>
      <c r="G12546" s="13"/>
      <c r="AL12546" s="13"/>
    </row>
    <row r="12547" spans="4:39" x14ac:dyDescent="0.3">
      <c r="D12547" s="1"/>
      <c r="G12547" s="13"/>
      <c r="AL12547" s="13"/>
    </row>
    <row r="12548" spans="4:39" x14ac:dyDescent="0.3">
      <c r="D12548" s="1"/>
      <c r="G12548" s="13"/>
      <c r="AL12548" s="13"/>
      <c r="AM12548" s="14"/>
    </row>
    <row r="12549" spans="4:39" x14ac:dyDescent="0.3">
      <c r="D12549" s="1"/>
      <c r="G12549" s="13"/>
      <c r="AL12549" s="13"/>
      <c r="AM12549" s="14"/>
    </row>
    <row r="12550" spans="4:39" x14ac:dyDescent="0.3">
      <c r="D12550" s="1"/>
      <c r="G12550" s="13"/>
      <c r="AL12550" s="13"/>
      <c r="AM12550" s="14"/>
    </row>
    <row r="12551" spans="4:39" x14ac:dyDescent="0.3">
      <c r="D12551" s="1"/>
      <c r="G12551" s="13"/>
      <c r="AL12551" s="13"/>
    </row>
    <row r="12552" spans="4:39" x14ac:dyDescent="0.3">
      <c r="D12552" s="1"/>
      <c r="G12552" s="13"/>
      <c r="AL12552" s="13"/>
    </row>
    <row r="12553" spans="4:39" x14ac:dyDescent="0.3">
      <c r="D12553" s="1"/>
      <c r="G12553" s="13"/>
      <c r="AL12553" s="13"/>
    </row>
    <row r="12554" spans="4:39" x14ac:dyDescent="0.3">
      <c r="D12554" s="1"/>
      <c r="G12554" s="13"/>
      <c r="AL12554" s="13"/>
    </row>
    <row r="12555" spans="4:39" x14ac:dyDescent="0.3">
      <c r="D12555" s="1"/>
      <c r="G12555" s="13"/>
      <c r="AL12555" s="13"/>
    </row>
    <row r="12556" spans="4:39" x14ac:dyDescent="0.3">
      <c r="D12556" s="1"/>
      <c r="G12556" s="13"/>
      <c r="AL12556" s="13"/>
    </row>
    <row r="12557" spans="4:39" x14ac:dyDescent="0.3">
      <c r="D12557" s="1"/>
      <c r="G12557" s="13"/>
      <c r="AL12557" s="13"/>
      <c r="AM12557" s="14"/>
    </row>
    <row r="12558" spans="4:39" x14ac:dyDescent="0.3">
      <c r="D12558" s="1"/>
      <c r="G12558" s="13"/>
      <c r="AL12558" s="13"/>
      <c r="AM12558" s="14"/>
    </row>
    <row r="12559" spans="4:39" x14ac:dyDescent="0.3">
      <c r="D12559" s="1"/>
      <c r="G12559" s="13"/>
      <c r="AL12559" s="13"/>
      <c r="AM12559" s="14"/>
    </row>
    <row r="12560" spans="4:39" x14ac:dyDescent="0.3">
      <c r="D12560" s="1"/>
      <c r="G12560" s="13"/>
      <c r="AL12560" s="13"/>
      <c r="AM12560" s="14"/>
    </row>
    <row r="12561" spans="4:39" x14ac:dyDescent="0.3">
      <c r="D12561" s="1"/>
      <c r="G12561" s="13"/>
      <c r="AL12561" s="13"/>
      <c r="AM12561" s="14"/>
    </row>
    <row r="12562" spans="4:39" x14ac:dyDescent="0.3">
      <c r="D12562" s="1"/>
      <c r="G12562" s="13"/>
      <c r="AL12562" s="13"/>
      <c r="AM12562" s="14"/>
    </row>
    <row r="12563" spans="4:39" x14ac:dyDescent="0.3">
      <c r="D12563" s="1"/>
      <c r="G12563" s="13"/>
      <c r="AL12563" s="13"/>
      <c r="AM12563" s="14"/>
    </row>
    <row r="12564" spans="4:39" x14ac:dyDescent="0.3">
      <c r="D12564" s="1"/>
      <c r="G12564" s="13"/>
      <c r="AL12564" s="13"/>
      <c r="AM12564" s="14"/>
    </row>
    <row r="12565" spans="4:39" x14ac:dyDescent="0.3">
      <c r="D12565" s="1"/>
      <c r="G12565" s="13"/>
      <c r="AL12565" s="13"/>
      <c r="AM12565" s="14"/>
    </row>
    <row r="12566" spans="4:39" x14ac:dyDescent="0.3">
      <c r="D12566" s="1"/>
      <c r="G12566" s="13"/>
      <c r="AL12566" s="13"/>
      <c r="AM12566" s="14"/>
    </row>
    <row r="12567" spans="4:39" x14ac:dyDescent="0.3">
      <c r="D12567" s="1"/>
      <c r="G12567" s="13"/>
      <c r="AL12567" s="13"/>
      <c r="AM12567" s="14"/>
    </row>
    <row r="12568" spans="4:39" x14ac:dyDescent="0.3">
      <c r="D12568" s="1"/>
      <c r="G12568" s="13"/>
      <c r="AL12568" s="13"/>
    </row>
    <row r="12569" spans="4:39" x14ac:dyDescent="0.3">
      <c r="D12569" s="1"/>
      <c r="G12569" s="13"/>
      <c r="AL12569" s="13"/>
    </row>
    <row r="12570" spans="4:39" x14ac:dyDescent="0.3">
      <c r="D12570" s="1"/>
      <c r="G12570" s="13"/>
      <c r="AL12570" s="13"/>
    </row>
    <row r="12571" spans="4:39" x14ac:dyDescent="0.3">
      <c r="D12571" s="1"/>
      <c r="G12571" s="13"/>
      <c r="AL12571" s="13"/>
    </row>
    <row r="12572" spans="4:39" x14ac:dyDescent="0.3">
      <c r="D12572" s="1"/>
      <c r="G12572" s="13"/>
      <c r="AL12572" s="13"/>
    </row>
    <row r="12573" spans="4:39" x14ac:dyDescent="0.3">
      <c r="D12573" s="1"/>
      <c r="G12573" s="13"/>
      <c r="AL12573" s="13"/>
      <c r="AM12573" s="14"/>
    </row>
    <row r="12574" spans="4:39" x14ac:dyDescent="0.3">
      <c r="D12574" s="1"/>
      <c r="G12574" s="13"/>
      <c r="AL12574" s="13"/>
    </row>
    <row r="12575" spans="4:39" x14ac:dyDescent="0.3">
      <c r="D12575" s="1"/>
      <c r="G12575" s="13"/>
      <c r="AL12575" s="13"/>
    </row>
    <row r="12576" spans="4:39" x14ac:dyDescent="0.3">
      <c r="D12576" s="1"/>
      <c r="G12576" s="13"/>
      <c r="AL12576" s="13"/>
    </row>
    <row r="12577" spans="4:39" x14ac:dyDescent="0.3">
      <c r="D12577" s="1"/>
      <c r="G12577" s="13"/>
      <c r="AL12577" s="13"/>
    </row>
    <row r="12578" spans="4:39" x14ac:dyDescent="0.3">
      <c r="D12578" s="1"/>
      <c r="G12578" s="13"/>
      <c r="AL12578" s="13"/>
    </row>
    <row r="12579" spans="4:39" x14ac:dyDescent="0.3">
      <c r="D12579" s="1"/>
      <c r="G12579" s="13"/>
      <c r="AL12579" s="13"/>
    </row>
    <row r="12580" spans="4:39" x14ac:dyDescent="0.3">
      <c r="D12580" s="1"/>
      <c r="G12580" s="13"/>
      <c r="AL12580" s="13"/>
      <c r="AM12580" s="14"/>
    </row>
    <row r="12581" spans="4:39" x14ac:dyDescent="0.3">
      <c r="D12581" s="1"/>
      <c r="G12581" s="13"/>
      <c r="AL12581" s="13"/>
    </row>
    <row r="12582" spans="4:39" x14ac:dyDescent="0.3">
      <c r="D12582" s="1"/>
      <c r="G12582" s="13"/>
      <c r="AL12582" s="13"/>
    </row>
    <row r="12583" spans="4:39" x14ac:dyDescent="0.3">
      <c r="D12583" s="1"/>
      <c r="G12583" s="13"/>
      <c r="AL12583" s="13"/>
    </row>
    <row r="12584" spans="4:39" x14ac:dyDescent="0.3">
      <c r="D12584" s="1"/>
      <c r="G12584" s="13"/>
      <c r="AL12584" s="13"/>
    </row>
    <row r="12585" spans="4:39" x14ac:dyDescent="0.3">
      <c r="D12585" s="1"/>
      <c r="G12585" s="13"/>
      <c r="AL12585" s="13"/>
      <c r="AM12585" s="14"/>
    </row>
    <row r="12586" spans="4:39" x14ac:dyDescent="0.3">
      <c r="D12586" s="1"/>
      <c r="G12586" s="13"/>
      <c r="AL12586" s="13"/>
    </row>
    <row r="12587" spans="4:39" x14ac:dyDescent="0.3">
      <c r="D12587" s="1"/>
      <c r="G12587" s="13"/>
      <c r="AL12587" s="13"/>
    </row>
    <row r="12588" spans="4:39" x14ac:dyDescent="0.3">
      <c r="D12588" s="1"/>
      <c r="G12588" s="13"/>
      <c r="AL12588" s="13"/>
    </row>
    <row r="12589" spans="4:39" x14ac:dyDescent="0.3">
      <c r="D12589" s="1"/>
      <c r="G12589" s="13"/>
      <c r="AL12589" s="13"/>
    </row>
    <row r="12590" spans="4:39" x14ac:dyDescent="0.3">
      <c r="D12590" s="1"/>
      <c r="G12590" s="13"/>
      <c r="AL12590" s="13"/>
    </row>
    <row r="12591" spans="4:39" x14ac:dyDescent="0.3">
      <c r="D12591" s="1"/>
      <c r="G12591" s="13"/>
      <c r="AL12591" s="13"/>
      <c r="AM12591" s="14"/>
    </row>
    <row r="12592" spans="4:39" x14ac:dyDescent="0.3">
      <c r="D12592" s="1"/>
      <c r="G12592" s="13"/>
      <c r="AL12592" s="13"/>
    </row>
    <row r="12593" spans="4:39" x14ac:dyDescent="0.3">
      <c r="D12593" s="1"/>
      <c r="G12593" s="13"/>
      <c r="AL12593" s="13"/>
    </row>
    <row r="12594" spans="4:39" x14ac:dyDescent="0.3">
      <c r="D12594" s="1"/>
      <c r="G12594" s="13"/>
      <c r="AL12594" s="13"/>
    </row>
    <row r="12595" spans="4:39" x14ac:dyDescent="0.3">
      <c r="D12595" s="1"/>
      <c r="G12595" s="13"/>
      <c r="AL12595" s="13"/>
    </row>
    <row r="12596" spans="4:39" x14ac:dyDescent="0.3">
      <c r="D12596" s="1"/>
      <c r="G12596" s="13"/>
      <c r="AL12596" s="13"/>
    </row>
    <row r="12597" spans="4:39" x14ac:dyDescent="0.3">
      <c r="D12597" s="1"/>
      <c r="G12597" s="13"/>
      <c r="AL12597" s="13"/>
    </row>
    <row r="12598" spans="4:39" x14ac:dyDescent="0.3">
      <c r="D12598" s="1"/>
      <c r="G12598" s="13"/>
      <c r="AL12598" s="13"/>
    </row>
    <row r="12599" spans="4:39" x14ac:dyDescent="0.3">
      <c r="D12599" s="1"/>
      <c r="G12599" s="13"/>
      <c r="AL12599" s="13"/>
    </row>
    <row r="12600" spans="4:39" x14ac:dyDescent="0.3">
      <c r="D12600" s="1"/>
      <c r="G12600" s="13"/>
      <c r="AL12600" s="13"/>
    </row>
    <row r="12601" spans="4:39" x14ac:dyDescent="0.3">
      <c r="D12601" s="1"/>
      <c r="G12601" s="13"/>
      <c r="AL12601" s="13"/>
    </row>
    <row r="12602" spans="4:39" x14ac:dyDescent="0.3">
      <c r="D12602" s="1"/>
      <c r="G12602" s="13"/>
      <c r="AL12602" s="13"/>
    </row>
    <row r="12603" spans="4:39" x14ac:dyDescent="0.3">
      <c r="D12603" s="1"/>
      <c r="G12603" s="13"/>
      <c r="AL12603" s="13"/>
      <c r="AM12603" s="14"/>
    </row>
    <row r="12604" spans="4:39" x14ac:dyDescent="0.3">
      <c r="D12604" s="1"/>
      <c r="G12604" s="13"/>
      <c r="AL12604" s="13"/>
    </row>
    <row r="12605" spans="4:39" x14ac:dyDescent="0.3">
      <c r="D12605" s="1"/>
      <c r="G12605" s="13"/>
      <c r="AL12605" s="13"/>
    </row>
    <row r="12606" spans="4:39" x14ac:dyDescent="0.3">
      <c r="D12606" s="1"/>
      <c r="G12606" s="13"/>
      <c r="AL12606" s="13"/>
    </row>
    <row r="12607" spans="4:39" x14ac:dyDescent="0.3">
      <c r="D12607" s="1"/>
      <c r="G12607" s="13"/>
      <c r="AL12607" s="13"/>
      <c r="AM12607" s="14"/>
    </row>
    <row r="12608" spans="4:39" x14ac:dyDescent="0.3">
      <c r="D12608" s="1"/>
      <c r="G12608" s="13"/>
      <c r="AL12608" s="13"/>
    </row>
    <row r="12609" spans="4:39" x14ac:dyDescent="0.3">
      <c r="D12609" s="1"/>
      <c r="G12609" s="13"/>
      <c r="AL12609" s="13"/>
    </row>
    <row r="12610" spans="4:39" x14ac:dyDescent="0.3">
      <c r="D12610" s="1"/>
      <c r="G12610" s="13"/>
      <c r="AL12610" s="13"/>
    </row>
    <row r="12611" spans="4:39" x14ac:dyDescent="0.3">
      <c r="D12611" s="1"/>
      <c r="G12611" s="13"/>
      <c r="AL12611" s="13"/>
    </row>
    <row r="12612" spans="4:39" x14ac:dyDescent="0.3">
      <c r="D12612" s="1"/>
      <c r="G12612" s="13"/>
      <c r="AL12612" s="13"/>
    </row>
    <row r="12613" spans="4:39" x14ac:dyDescent="0.3">
      <c r="D12613" s="1"/>
      <c r="G12613" s="13"/>
      <c r="AL12613" s="13"/>
      <c r="AM12613" s="14"/>
    </row>
    <row r="12614" spans="4:39" x14ac:dyDescent="0.3">
      <c r="D12614" s="1"/>
      <c r="G12614" s="13"/>
      <c r="AL12614" s="13"/>
    </row>
    <row r="12615" spans="4:39" x14ac:dyDescent="0.3">
      <c r="D12615" s="1"/>
      <c r="G12615" s="13"/>
      <c r="AL12615" s="13"/>
      <c r="AM12615" s="14"/>
    </row>
    <row r="12616" spans="4:39" x14ac:dyDescent="0.3">
      <c r="D12616" s="1"/>
      <c r="G12616" s="13"/>
      <c r="AL12616" s="13"/>
      <c r="AM12616" s="14"/>
    </row>
    <row r="12617" spans="4:39" x14ac:dyDescent="0.3">
      <c r="D12617" s="1"/>
      <c r="G12617" s="13"/>
      <c r="AL12617" s="13"/>
    </row>
    <row r="12618" spans="4:39" x14ac:dyDescent="0.3">
      <c r="D12618" s="1"/>
      <c r="G12618" s="13"/>
      <c r="AL12618" s="13"/>
    </row>
    <row r="12619" spans="4:39" x14ac:dyDescent="0.3">
      <c r="D12619" s="1"/>
      <c r="G12619" s="13"/>
      <c r="AL12619" s="13"/>
    </row>
    <row r="12620" spans="4:39" x14ac:dyDescent="0.3">
      <c r="D12620" s="1"/>
      <c r="G12620" s="13"/>
      <c r="AL12620" s="13"/>
    </row>
    <row r="12621" spans="4:39" x14ac:dyDescent="0.3">
      <c r="D12621" s="1"/>
      <c r="G12621" s="13"/>
      <c r="AL12621" s="13"/>
      <c r="AM12621" s="14"/>
    </row>
    <row r="12622" spans="4:39" x14ac:dyDescent="0.3">
      <c r="D12622" s="1"/>
      <c r="G12622" s="13"/>
      <c r="AL12622" s="13"/>
    </row>
    <row r="12623" spans="4:39" x14ac:dyDescent="0.3">
      <c r="D12623" s="1"/>
      <c r="G12623" s="13"/>
      <c r="AL12623" s="13"/>
      <c r="AM12623" s="14"/>
    </row>
    <row r="12624" spans="4:39" x14ac:dyDescent="0.3">
      <c r="D12624" s="1"/>
      <c r="G12624" s="13"/>
      <c r="AL12624" s="13"/>
    </row>
    <row r="12625" spans="4:39" x14ac:dyDescent="0.3">
      <c r="D12625" s="1"/>
      <c r="G12625" s="13"/>
      <c r="AL12625" s="13"/>
    </row>
    <row r="12626" spans="4:39" x14ac:dyDescent="0.3">
      <c r="D12626" s="1"/>
      <c r="G12626" s="13"/>
      <c r="AL12626" s="13"/>
    </row>
    <row r="12627" spans="4:39" x14ac:dyDescent="0.3">
      <c r="D12627" s="1"/>
      <c r="G12627" s="13"/>
      <c r="AL12627" s="13"/>
      <c r="AM12627" s="14"/>
    </row>
    <row r="12628" spans="4:39" x14ac:dyDescent="0.3">
      <c r="D12628" s="1"/>
      <c r="G12628" s="13"/>
      <c r="AL12628" s="13"/>
    </row>
    <row r="12629" spans="4:39" x14ac:dyDescent="0.3">
      <c r="D12629" s="1"/>
      <c r="G12629" s="13"/>
      <c r="AL12629" s="13"/>
    </row>
    <row r="12630" spans="4:39" x14ac:dyDescent="0.3">
      <c r="D12630" s="1"/>
      <c r="G12630" s="13"/>
      <c r="AL12630" s="13"/>
      <c r="AM12630" s="14"/>
    </row>
    <row r="12631" spans="4:39" x14ac:dyDescent="0.3">
      <c r="D12631" s="1"/>
      <c r="G12631" s="13"/>
      <c r="AL12631" s="13"/>
    </row>
    <row r="12632" spans="4:39" x14ac:dyDescent="0.3">
      <c r="D12632" s="1"/>
      <c r="G12632" s="13"/>
      <c r="AL12632" s="13"/>
    </row>
    <row r="12633" spans="4:39" x14ac:dyDescent="0.3">
      <c r="D12633" s="1"/>
      <c r="G12633" s="13"/>
      <c r="AL12633" s="13"/>
    </row>
    <row r="12634" spans="4:39" x14ac:dyDescent="0.3">
      <c r="D12634" s="1"/>
      <c r="G12634" s="13"/>
      <c r="AL12634" s="13"/>
    </row>
    <row r="12635" spans="4:39" x14ac:dyDescent="0.3">
      <c r="D12635" s="1"/>
      <c r="G12635" s="13"/>
      <c r="AL12635" s="13"/>
    </row>
    <row r="12636" spans="4:39" x14ac:dyDescent="0.3">
      <c r="D12636" s="1"/>
      <c r="G12636" s="13"/>
      <c r="AL12636" s="13"/>
    </row>
    <row r="12637" spans="4:39" x14ac:dyDescent="0.3">
      <c r="D12637" s="1"/>
      <c r="G12637" s="13"/>
      <c r="AL12637" s="13"/>
    </row>
    <row r="12638" spans="4:39" x14ac:dyDescent="0.3">
      <c r="D12638" s="1"/>
      <c r="G12638" s="13"/>
      <c r="AL12638" s="13"/>
    </row>
    <row r="12639" spans="4:39" x14ac:dyDescent="0.3">
      <c r="D12639" s="1"/>
      <c r="G12639" s="13"/>
      <c r="AL12639" s="13"/>
    </row>
    <row r="12640" spans="4:39" x14ac:dyDescent="0.3">
      <c r="D12640" s="1"/>
      <c r="G12640" s="13"/>
      <c r="AL12640" s="13"/>
    </row>
    <row r="12641" spans="4:39" x14ac:dyDescent="0.3">
      <c r="D12641" s="1"/>
      <c r="G12641" s="13"/>
      <c r="AL12641" s="13"/>
    </row>
    <row r="12642" spans="4:39" x14ac:dyDescent="0.3">
      <c r="D12642" s="1"/>
      <c r="G12642" s="13"/>
      <c r="AL12642" s="13"/>
    </row>
    <row r="12643" spans="4:39" x14ac:dyDescent="0.3">
      <c r="D12643" s="1"/>
      <c r="G12643" s="13"/>
      <c r="AL12643" s="13"/>
    </row>
    <row r="12644" spans="4:39" x14ac:dyDescent="0.3">
      <c r="D12644" s="1"/>
      <c r="G12644" s="13"/>
      <c r="AL12644" s="13"/>
    </row>
    <row r="12645" spans="4:39" x14ac:dyDescent="0.3">
      <c r="D12645" s="1"/>
      <c r="G12645" s="13"/>
      <c r="AL12645" s="13"/>
    </row>
    <row r="12646" spans="4:39" x14ac:dyDescent="0.3">
      <c r="D12646" s="1"/>
      <c r="G12646" s="13"/>
      <c r="AL12646" s="13"/>
    </row>
    <row r="12647" spans="4:39" x14ac:dyDescent="0.3">
      <c r="D12647" s="1"/>
      <c r="G12647" s="13"/>
      <c r="AL12647" s="13"/>
    </row>
    <row r="12648" spans="4:39" x14ac:dyDescent="0.3">
      <c r="D12648" s="1"/>
      <c r="G12648" s="13"/>
      <c r="AL12648" s="13"/>
    </row>
    <row r="12649" spans="4:39" x14ac:dyDescent="0.3">
      <c r="D12649" s="1"/>
      <c r="G12649" s="13"/>
      <c r="AL12649" s="13"/>
    </row>
    <row r="12650" spans="4:39" x14ac:dyDescent="0.3">
      <c r="D12650" s="1"/>
      <c r="G12650" s="13"/>
      <c r="AL12650" s="13"/>
    </row>
    <row r="12651" spans="4:39" x14ac:dyDescent="0.3">
      <c r="D12651" s="1"/>
      <c r="G12651" s="13"/>
      <c r="AL12651" s="13"/>
      <c r="AM12651" s="14"/>
    </row>
    <row r="12652" spans="4:39" x14ac:dyDescent="0.3">
      <c r="D12652" s="1"/>
      <c r="G12652" s="13"/>
      <c r="AL12652" s="13"/>
      <c r="AM12652" s="14"/>
    </row>
    <row r="12653" spans="4:39" x14ac:dyDescent="0.3">
      <c r="D12653" s="1"/>
      <c r="G12653" s="13"/>
      <c r="AL12653" s="13"/>
    </row>
    <row r="12654" spans="4:39" x14ac:dyDescent="0.3">
      <c r="D12654" s="1"/>
      <c r="G12654" s="13"/>
      <c r="AL12654" s="13"/>
    </row>
    <row r="12655" spans="4:39" x14ac:dyDescent="0.3">
      <c r="D12655" s="1"/>
      <c r="G12655" s="13"/>
      <c r="AL12655" s="13"/>
    </row>
    <row r="12656" spans="4:39" x14ac:dyDescent="0.3">
      <c r="D12656" s="1"/>
      <c r="G12656" s="13"/>
      <c r="AL12656" s="13"/>
    </row>
    <row r="12657" spans="4:39" x14ac:dyDescent="0.3">
      <c r="D12657" s="1"/>
      <c r="G12657" s="13"/>
      <c r="AL12657" s="13"/>
    </row>
    <row r="12658" spans="4:39" x14ac:dyDescent="0.3">
      <c r="D12658" s="1"/>
      <c r="G12658" s="13"/>
      <c r="AL12658" s="13"/>
    </row>
    <row r="12659" spans="4:39" x14ac:dyDescent="0.3">
      <c r="D12659" s="1"/>
      <c r="G12659" s="13"/>
      <c r="AL12659" s="13"/>
    </row>
    <row r="12660" spans="4:39" x14ac:dyDescent="0.3">
      <c r="D12660" s="1"/>
      <c r="G12660" s="13"/>
      <c r="AL12660" s="13"/>
    </row>
    <row r="12661" spans="4:39" x14ac:dyDescent="0.3">
      <c r="D12661" s="1"/>
      <c r="G12661" s="13"/>
      <c r="AL12661" s="13"/>
    </row>
    <row r="12662" spans="4:39" x14ac:dyDescent="0.3">
      <c r="D12662" s="1"/>
      <c r="G12662" s="13"/>
      <c r="AL12662" s="13"/>
    </row>
    <row r="12663" spans="4:39" x14ac:dyDescent="0.3">
      <c r="D12663" s="1"/>
      <c r="G12663" s="13"/>
      <c r="AL12663" s="13"/>
      <c r="AM12663" s="14"/>
    </row>
    <row r="12664" spans="4:39" x14ac:dyDescent="0.3">
      <c r="D12664" s="1"/>
      <c r="G12664" s="13"/>
      <c r="AL12664" s="13"/>
    </row>
    <row r="12665" spans="4:39" x14ac:dyDescent="0.3">
      <c r="D12665" s="1"/>
      <c r="G12665" s="13"/>
      <c r="AL12665" s="13"/>
    </row>
    <row r="12666" spans="4:39" x14ac:dyDescent="0.3">
      <c r="D12666" s="1"/>
      <c r="G12666" s="13"/>
      <c r="AL12666" s="13"/>
    </row>
    <row r="12667" spans="4:39" x14ac:dyDescent="0.3">
      <c r="D12667" s="1"/>
      <c r="G12667" s="13"/>
      <c r="AL12667" s="13"/>
    </row>
    <row r="12668" spans="4:39" x14ac:dyDescent="0.3">
      <c r="D12668" s="1"/>
      <c r="G12668" s="13"/>
      <c r="AL12668" s="13"/>
    </row>
    <row r="12669" spans="4:39" x14ac:dyDescent="0.3">
      <c r="D12669" s="1"/>
      <c r="G12669" s="13"/>
      <c r="AL12669" s="13"/>
    </row>
    <row r="12670" spans="4:39" x14ac:dyDescent="0.3">
      <c r="D12670" s="1"/>
      <c r="G12670" s="13"/>
      <c r="AL12670" s="13"/>
    </row>
    <row r="12671" spans="4:39" x14ac:dyDescent="0.3">
      <c r="D12671" s="1"/>
      <c r="G12671" s="13"/>
      <c r="AL12671" s="13"/>
    </row>
    <row r="12672" spans="4:39" x14ac:dyDescent="0.3">
      <c r="D12672" s="1"/>
      <c r="G12672" s="13"/>
      <c r="AL12672" s="13"/>
    </row>
    <row r="12673" spans="4:39" x14ac:dyDescent="0.3">
      <c r="D12673" s="1"/>
      <c r="G12673" s="13"/>
      <c r="AL12673" s="13"/>
    </row>
    <row r="12674" spans="4:39" x14ac:dyDescent="0.3">
      <c r="D12674" s="1"/>
      <c r="G12674" s="13"/>
      <c r="AL12674" s="13"/>
    </row>
    <row r="12675" spans="4:39" x14ac:dyDescent="0.3">
      <c r="D12675" s="1"/>
      <c r="G12675" s="13"/>
      <c r="AL12675" s="13"/>
      <c r="AM12675" s="14"/>
    </row>
    <row r="12676" spans="4:39" x14ac:dyDescent="0.3">
      <c r="D12676" s="1"/>
      <c r="G12676" s="13"/>
      <c r="AL12676" s="13"/>
    </row>
    <row r="12677" spans="4:39" x14ac:dyDescent="0.3">
      <c r="D12677" s="1"/>
      <c r="G12677" s="13"/>
      <c r="AL12677" s="13"/>
    </row>
    <row r="12678" spans="4:39" x14ac:dyDescent="0.3">
      <c r="D12678" s="1"/>
      <c r="G12678" s="13"/>
      <c r="AL12678" s="13"/>
    </row>
    <row r="12679" spans="4:39" x14ac:dyDescent="0.3">
      <c r="D12679" s="1"/>
      <c r="G12679" s="13"/>
      <c r="AL12679" s="13"/>
    </row>
    <row r="12680" spans="4:39" x14ac:dyDescent="0.3">
      <c r="D12680" s="1"/>
      <c r="G12680" s="13"/>
      <c r="AL12680" s="13"/>
    </row>
    <row r="12681" spans="4:39" x14ac:dyDescent="0.3">
      <c r="D12681" s="1"/>
      <c r="G12681" s="13"/>
      <c r="AL12681" s="13"/>
      <c r="AM12681" s="14"/>
    </row>
    <row r="12682" spans="4:39" x14ac:dyDescent="0.3">
      <c r="D12682" s="1"/>
      <c r="G12682" s="13"/>
      <c r="AL12682" s="13"/>
      <c r="AM12682" s="14"/>
    </row>
    <row r="12683" spans="4:39" x14ac:dyDescent="0.3">
      <c r="D12683" s="1"/>
      <c r="G12683" s="13"/>
      <c r="AL12683" s="13"/>
    </row>
    <row r="12684" spans="4:39" x14ac:dyDescent="0.3">
      <c r="D12684" s="1"/>
      <c r="G12684" s="13"/>
      <c r="AL12684" s="13"/>
      <c r="AM12684" s="14"/>
    </row>
    <row r="12685" spans="4:39" x14ac:dyDescent="0.3">
      <c r="D12685" s="1"/>
      <c r="G12685" s="13"/>
      <c r="AL12685" s="13"/>
    </row>
    <row r="12686" spans="4:39" x14ac:dyDescent="0.3">
      <c r="D12686" s="1"/>
      <c r="G12686" s="13"/>
      <c r="AL12686" s="13"/>
    </row>
    <row r="12687" spans="4:39" x14ac:dyDescent="0.3">
      <c r="D12687" s="1"/>
      <c r="G12687" s="13"/>
      <c r="AL12687" s="13"/>
    </row>
    <row r="12688" spans="4:39" x14ac:dyDescent="0.3">
      <c r="D12688" s="1"/>
      <c r="G12688" s="13"/>
      <c r="AL12688" s="13"/>
      <c r="AM12688" s="14"/>
    </row>
    <row r="12689" spans="4:39" x14ac:dyDescent="0.3">
      <c r="D12689" s="1"/>
      <c r="G12689" s="13"/>
      <c r="AL12689" s="13"/>
    </row>
    <row r="12690" spans="4:39" x14ac:dyDescent="0.3">
      <c r="D12690" s="1"/>
      <c r="G12690" s="13"/>
      <c r="AL12690" s="13"/>
    </row>
    <row r="12691" spans="4:39" x14ac:dyDescent="0.3">
      <c r="D12691" s="1"/>
      <c r="G12691" s="13"/>
      <c r="AL12691" s="13"/>
    </row>
    <row r="12692" spans="4:39" x14ac:dyDescent="0.3">
      <c r="D12692" s="1"/>
      <c r="G12692" s="13"/>
      <c r="AL12692" s="13"/>
    </row>
    <row r="12693" spans="4:39" x14ac:dyDescent="0.3">
      <c r="D12693" s="1"/>
      <c r="G12693" s="13"/>
      <c r="AL12693" s="13"/>
      <c r="AM12693" s="14"/>
    </row>
    <row r="12694" spans="4:39" x14ac:dyDescent="0.3">
      <c r="D12694" s="1"/>
      <c r="G12694" s="13"/>
      <c r="AL12694" s="13"/>
    </row>
    <row r="12695" spans="4:39" x14ac:dyDescent="0.3">
      <c r="D12695" s="1"/>
      <c r="G12695" s="13"/>
      <c r="AL12695" s="13"/>
    </row>
    <row r="12696" spans="4:39" x14ac:dyDescent="0.3">
      <c r="D12696" s="1"/>
      <c r="G12696" s="13"/>
      <c r="AL12696" s="13"/>
    </row>
    <row r="12697" spans="4:39" x14ac:dyDescent="0.3">
      <c r="D12697" s="1"/>
      <c r="G12697" s="13"/>
      <c r="AL12697" s="13"/>
    </row>
    <row r="12698" spans="4:39" x14ac:dyDescent="0.3">
      <c r="D12698" s="1"/>
      <c r="G12698" s="13"/>
      <c r="AL12698" s="13"/>
    </row>
    <row r="12699" spans="4:39" x14ac:dyDescent="0.3">
      <c r="D12699" s="1"/>
      <c r="G12699" s="13"/>
      <c r="AL12699" s="13"/>
      <c r="AM12699" s="14"/>
    </row>
    <row r="12700" spans="4:39" x14ac:dyDescent="0.3">
      <c r="D12700" s="1"/>
      <c r="G12700" s="13"/>
      <c r="AL12700" s="13"/>
    </row>
    <row r="12701" spans="4:39" x14ac:dyDescent="0.3">
      <c r="D12701" s="1"/>
      <c r="G12701" s="13"/>
      <c r="AL12701" s="13"/>
    </row>
    <row r="12702" spans="4:39" x14ac:dyDescent="0.3">
      <c r="D12702" s="1"/>
      <c r="G12702" s="13"/>
      <c r="AL12702" s="13"/>
    </row>
    <row r="12703" spans="4:39" x14ac:dyDescent="0.3">
      <c r="D12703" s="1"/>
      <c r="G12703" s="13"/>
      <c r="AL12703" s="13"/>
    </row>
    <row r="12704" spans="4:39" x14ac:dyDescent="0.3">
      <c r="D12704" s="1"/>
      <c r="G12704" s="13"/>
      <c r="AL12704" s="13"/>
    </row>
    <row r="12705" spans="4:39" x14ac:dyDescent="0.3">
      <c r="D12705" s="1"/>
      <c r="G12705" s="13"/>
      <c r="AL12705" s="13"/>
      <c r="AM12705" s="14"/>
    </row>
    <row r="12706" spans="4:39" x14ac:dyDescent="0.3">
      <c r="D12706" s="1"/>
      <c r="G12706" s="13"/>
      <c r="AL12706" s="13"/>
    </row>
    <row r="12707" spans="4:39" x14ac:dyDescent="0.3">
      <c r="D12707" s="1"/>
      <c r="G12707" s="13"/>
      <c r="AL12707" s="13"/>
    </row>
    <row r="12708" spans="4:39" x14ac:dyDescent="0.3">
      <c r="D12708" s="1"/>
      <c r="G12708" s="13"/>
      <c r="AL12708" s="13"/>
    </row>
    <row r="12709" spans="4:39" x14ac:dyDescent="0.3">
      <c r="D12709" s="1"/>
      <c r="G12709" s="13"/>
      <c r="AL12709" s="13"/>
      <c r="AM12709" s="14"/>
    </row>
    <row r="12710" spans="4:39" x14ac:dyDescent="0.3">
      <c r="D12710" s="1"/>
      <c r="G12710" s="13"/>
      <c r="AL12710" s="13"/>
    </row>
    <row r="12711" spans="4:39" x14ac:dyDescent="0.3">
      <c r="D12711" s="1"/>
      <c r="G12711" s="13"/>
      <c r="AL12711" s="13"/>
    </row>
    <row r="12712" spans="4:39" x14ac:dyDescent="0.3">
      <c r="D12712" s="1"/>
      <c r="G12712" s="13"/>
      <c r="AL12712" s="13"/>
    </row>
    <row r="12713" spans="4:39" x14ac:dyDescent="0.3">
      <c r="D12713" s="1"/>
      <c r="G12713" s="13"/>
      <c r="AL12713" s="13"/>
      <c r="AM12713" s="14"/>
    </row>
    <row r="12714" spans="4:39" x14ac:dyDescent="0.3">
      <c r="D12714" s="1"/>
      <c r="G12714" s="13"/>
      <c r="AL12714" s="13"/>
    </row>
    <row r="12715" spans="4:39" x14ac:dyDescent="0.3">
      <c r="D12715" s="1"/>
      <c r="G12715" s="13"/>
      <c r="AL12715" s="13"/>
    </row>
    <row r="12716" spans="4:39" x14ac:dyDescent="0.3">
      <c r="D12716" s="1"/>
      <c r="G12716" s="13"/>
      <c r="AL12716" s="13"/>
    </row>
    <row r="12717" spans="4:39" x14ac:dyDescent="0.3">
      <c r="D12717" s="1"/>
      <c r="G12717" s="13"/>
      <c r="AL12717" s="13"/>
    </row>
    <row r="12718" spans="4:39" x14ac:dyDescent="0.3">
      <c r="D12718" s="1"/>
      <c r="G12718" s="13"/>
      <c r="AL12718" s="13"/>
    </row>
    <row r="12719" spans="4:39" x14ac:dyDescent="0.3">
      <c r="D12719" s="1"/>
      <c r="G12719" s="13"/>
      <c r="AL12719" s="13"/>
    </row>
    <row r="12720" spans="4:39" x14ac:dyDescent="0.3">
      <c r="D12720" s="1"/>
      <c r="G12720" s="13"/>
      <c r="AL12720" s="13"/>
      <c r="AM12720" s="14"/>
    </row>
    <row r="12721" spans="4:39" x14ac:dyDescent="0.3">
      <c r="D12721" s="1"/>
      <c r="G12721" s="13"/>
      <c r="AL12721" s="13"/>
    </row>
    <row r="12722" spans="4:39" x14ac:dyDescent="0.3">
      <c r="D12722" s="1"/>
      <c r="G12722" s="13"/>
      <c r="AL12722" s="13"/>
      <c r="AM12722" s="14"/>
    </row>
    <row r="12723" spans="4:39" x14ac:dyDescent="0.3">
      <c r="D12723" s="1"/>
      <c r="G12723" s="13"/>
      <c r="AL12723" s="13"/>
    </row>
    <row r="12724" spans="4:39" x14ac:dyDescent="0.3">
      <c r="D12724" s="1"/>
      <c r="G12724" s="13"/>
      <c r="AL12724" s="13"/>
      <c r="AM12724" s="14"/>
    </row>
    <row r="12725" spans="4:39" x14ac:dyDescent="0.3">
      <c r="D12725" s="1"/>
      <c r="G12725" s="13"/>
      <c r="AL12725" s="13"/>
    </row>
    <row r="12726" spans="4:39" x14ac:dyDescent="0.3">
      <c r="D12726" s="1"/>
      <c r="G12726" s="13"/>
      <c r="AL12726" s="13"/>
    </row>
    <row r="12727" spans="4:39" x14ac:dyDescent="0.3">
      <c r="D12727" s="1"/>
      <c r="G12727" s="13"/>
      <c r="AL12727" s="13"/>
    </row>
    <row r="12728" spans="4:39" x14ac:dyDescent="0.3">
      <c r="D12728" s="1"/>
      <c r="G12728" s="13"/>
      <c r="AL12728" s="13"/>
    </row>
    <row r="12729" spans="4:39" x14ac:dyDescent="0.3">
      <c r="D12729" s="1"/>
      <c r="G12729" s="13"/>
      <c r="AL12729" s="13"/>
    </row>
    <row r="12730" spans="4:39" x14ac:dyDescent="0.3">
      <c r="D12730" s="1"/>
      <c r="G12730" s="13"/>
      <c r="AL12730" s="13"/>
    </row>
    <row r="12731" spans="4:39" x14ac:dyDescent="0.3">
      <c r="D12731" s="1"/>
      <c r="G12731" s="13"/>
      <c r="AL12731" s="13"/>
    </row>
    <row r="12732" spans="4:39" x14ac:dyDescent="0.3">
      <c r="D12732" s="1"/>
      <c r="G12732" s="13"/>
      <c r="AL12732" s="13"/>
    </row>
    <row r="12733" spans="4:39" x14ac:dyDescent="0.3">
      <c r="D12733" s="1"/>
      <c r="G12733" s="13"/>
      <c r="AL12733" s="13"/>
    </row>
    <row r="12734" spans="4:39" x14ac:dyDescent="0.3">
      <c r="D12734" s="1"/>
      <c r="G12734" s="13"/>
      <c r="AL12734" s="13"/>
    </row>
    <row r="12735" spans="4:39" x14ac:dyDescent="0.3">
      <c r="D12735" s="1"/>
      <c r="G12735" s="13"/>
      <c r="AL12735" s="13"/>
    </row>
    <row r="12736" spans="4:39" x14ac:dyDescent="0.3">
      <c r="D12736" s="1"/>
      <c r="G12736" s="13"/>
      <c r="AL12736" s="13"/>
    </row>
    <row r="12737" spans="4:39" x14ac:dyDescent="0.3">
      <c r="D12737" s="1"/>
      <c r="G12737" s="13"/>
      <c r="AL12737" s="13"/>
    </row>
    <row r="12738" spans="4:39" x14ac:dyDescent="0.3">
      <c r="D12738" s="1"/>
      <c r="G12738" s="13"/>
      <c r="AL12738" s="13"/>
      <c r="AM12738" s="14"/>
    </row>
    <row r="12739" spans="4:39" x14ac:dyDescent="0.3">
      <c r="D12739" s="1"/>
      <c r="G12739" s="13"/>
      <c r="AL12739" s="13"/>
    </row>
    <row r="12740" spans="4:39" x14ac:dyDescent="0.3">
      <c r="D12740" s="1"/>
      <c r="G12740" s="13"/>
      <c r="AL12740" s="13"/>
    </row>
    <row r="12741" spans="4:39" x14ac:dyDescent="0.3">
      <c r="D12741" s="1"/>
      <c r="G12741" s="13"/>
      <c r="AL12741" s="13"/>
    </row>
    <row r="12742" spans="4:39" x14ac:dyDescent="0.3">
      <c r="D12742" s="1"/>
      <c r="G12742" s="13"/>
      <c r="AL12742" s="13"/>
    </row>
    <row r="12743" spans="4:39" x14ac:dyDescent="0.3">
      <c r="D12743" s="1"/>
      <c r="G12743" s="13"/>
      <c r="AL12743" s="13"/>
    </row>
    <row r="12744" spans="4:39" x14ac:dyDescent="0.3">
      <c r="D12744" s="1"/>
      <c r="G12744" s="13"/>
      <c r="AL12744" s="13"/>
    </row>
    <row r="12745" spans="4:39" x14ac:dyDescent="0.3">
      <c r="D12745" s="1"/>
      <c r="G12745" s="13"/>
      <c r="AL12745" s="13"/>
      <c r="AM12745" s="14"/>
    </row>
    <row r="12746" spans="4:39" x14ac:dyDescent="0.3">
      <c r="D12746" s="1"/>
      <c r="G12746" s="13"/>
      <c r="AL12746" s="13"/>
    </row>
    <row r="12747" spans="4:39" x14ac:dyDescent="0.3">
      <c r="D12747" s="1"/>
      <c r="G12747" s="13"/>
      <c r="AL12747" s="13"/>
      <c r="AM12747" s="14"/>
    </row>
    <row r="12748" spans="4:39" x14ac:dyDescent="0.3">
      <c r="D12748" s="1"/>
      <c r="G12748" s="13"/>
      <c r="AL12748" s="13"/>
    </row>
    <row r="12749" spans="4:39" x14ac:dyDescent="0.3">
      <c r="D12749" s="1"/>
      <c r="G12749" s="13"/>
      <c r="AL12749" s="13"/>
    </row>
    <row r="12750" spans="4:39" x14ac:dyDescent="0.3">
      <c r="D12750" s="1"/>
      <c r="G12750" s="13"/>
      <c r="AL12750" s="13"/>
    </row>
    <row r="12751" spans="4:39" x14ac:dyDescent="0.3">
      <c r="D12751" s="1"/>
      <c r="G12751" s="13"/>
      <c r="AL12751" s="13"/>
      <c r="AM12751" s="14"/>
    </row>
    <row r="12752" spans="4:39" x14ac:dyDescent="0.3">
      <c r="D12752" s="1"/>
      <c r="G12752" s="13"/>
      <c r="AL12752" s="13"/>
    </row>
    <row r="12753" spans="4:39" x14ac:dyDescent="0.3">
      <c r="D12753" s="1"/>
      <c r="G12753" s="13"/>
      <c r="AL12753" s="13"/>
      <c r="AM12753" s="14"/>
    </row>
    <row r="12754" spans="4:39" x14ac:dyDescent="0.3">
      <c r="D12754" s="1"/>
      <c r="G12754" s="13"/>
      <c r="AL12754" s="13"/>
    </row>
    <row r="12755" spans="4:39" x14ac:dyDescent="0.3">
      <c r="D12755" s="1"/>
      <c r="G12755" s="13"/>
      <c r="AL12755" s="13"/>
    </row>
    <row r="12756" spans="4:39" x14ac:dyDescent="0.3">
      <c r="D12756" s="1"/>
      <c r="G12756" s="13"/>
      <c r="AL12756" s="13"/>
    </row>
    <row r="12757" spans="4:39" x14ac:dyDescent="0.3">
      <c r="D12757" s="1"/>
      <c r="G12757" s="13"/>
      <c r="AL12757" s="13"/>
      <c r="AM12757" s="14"/>
    </row>
    <row r="12758" spans="4:39" x14ac:dyDescent="0.3">
      <c r="D12758" s="1"/>
      <c r="G12758" s="13"/>
      <c r="AL12758" s="13"/>
    </row>
    <row r="12759" spans="4:39" x14ac:dyDescent="0.3">
      <c r="D12759" s="1"/>
      <c r="G12759" s="13"/>
      <c r="AL12759" s="13"/>
    </row>
    <row r="12760" spans="4:39" x14ac:dyDescent="0.3">
      <c r="D12760" s="1"/>
      <c r="G12760" s="13"/>
      <c r="AL12760" s="13"/>
    </row>
    <row r="12761" spans="4:39" x14ac:dyDescent="0.3">
      <c r="D12761" s="1"/>
      <c r="G12761" s="13"/>
      <c r="AL12761" s="13"/>
    </row>
    <row r="12762" spans="4:39" x14ac:dyDescent="0.3">
      <c r="D12762" s="1"/>
      <c r="G12762" s="13"/>
      <c r="AL12762" s="13"/>
    </row>
    <row r="12763" spans="4:39" x14ac:dyDescent="0.3">
      <c r="D12763" s="1"/>
      <c r="G12763" s="13"/>
      <c r="AL12763" s="13"/>
    </row>
    <row r="12764" spans="4:39" x14ac:dyDescent="0.3">
      <c r="D12764" s="1"/>
      <c r="G12764" s="13"/>
      <c r="AL12764" s="13"/>
      <c r="AM12764" s="14"/>
    </row>
    <row r="12765" spans="4:39" x14ac:dyDescent="0.3">
      <c r="D12765" s="1"/>
      <c r="G12765" s="13"/>
      <c r="AL12765" s="13"/>
      <c r="AM12765" s="14"/>
    </row>
    <row r="12766" spans="4:39" x14ac:dyDescent="0.3">
      <c r="D12766" s="1"/>
      <c r="G12766" s="13"/>
      <c r="AL12766" s="13"/>
    </row>
    <row r="12767" spans="4:39" x14ac:dyDescent="0.3">
      <c r="D12767" s="1"/>
      <c r="G12767" s="13"/>
      <c r="AL12767" s="13"/>
    </row>
    <row r="12768" spans="4:39" x14ac:dyDescent="0.3">
      <c r="D12768" s="1"/>
      <c r="G12768" s="13"/>
      <c r="AL12768" s="13"/>
    </row>
    <row r="12769" spans="4:39" x14ac:dyDescent="0.3">
      <c r="D12769" s="1"/>
      <c r="G12769" s="13"/>
      <c r="AL12769" s="13"/>
    </row>
    <row r="12770" spans="4:39" x14ac:dyDescent="0.3">
      <c r="D12770" s="1"/>
      <c r="G12770" s="13"/>
      <c r="AL12770" s="13"/>
    </row>
    <row r="12771" spans="4:39" x14ac:dyDescent="0.3">
      <c r="D12771" s="1"/>
      <c r="G12771" s="13"/>
      <c r="AL12771" s="13"/>
    </row>
    <row r="12772" spans="4:39" x14ac:dyDescent="0.3">
      <c r="D12772" s="1"/>
      <c r="G12772" s="13"/>
      <c r="AL12772" s="13"/>
    </row>
    <row r="12773" spans="4:39" x14ac:dyDescent="0.3">
      <c r="D12773" s="1"/>
      <c r="G12773" s="13"/>
      <c r="AL12773" s="13"/>
    </row>
    <row r="12774" spans="4:39" x14ac:dyDescent="0.3">
      <c r="D12774" s="1"/>
      <c r="G12774" s="13"/>
      <c r="AL12774" s="13"/>
      <c r="AM12774" s="14"/>
    </row>
    <row r="12775" spans="4:39" x14ac:dyDescent="0.3">
      <c r="D12775" s="1"/>
      <c r="G12775" s="13"/>
      <c r="AL12775" s="13"/>
    </row>
    <row r="12776" spans="4:39" x14ac:dyDescent="0.3">
      <c r="D12776" s="1"/>
      <c r="G12776" s="13"/>
      <c r="AL12776" s="13"/>
    </row>
    <row r="12777" spans="4:39" x14ac:dyDescent="0.3">
      <c r="D12777" s="1"/>
      <c r="G12777" s="13"/>
      <c r="AL12777" s="13"/>
    </row>
    <row r="12778" spans="4:39" x14ac:dyDescent="0.3">
      <c r="D12778" s="1"/>
      <c r="G12778" s="13"/>
      <c r="AL12778" s="13"/>
      <c r="AM12778" s="14"/>
    </row>
    <row r="12779" spans="4:39" x14ac:dyDescent="0.3">
      <c r="D12779" s="1"/>
      <c r="G12779" s="13"/>
      <c r="AL12779" s="13"/>
    </row>
    <row r="12780" spans="4:39" x14ac:dyDescent="0.3">
      <c r="D12780" s="1"/>
      <c r="G12780" s="13"/>
      <c r="AL12780" s="13"/>
    </row>
    <row r="12781" spans="4:39" x14ac:dyDescent="0.3">
      <c r="D12781" s="1"/>
      <c r="G12781" s="13"/>
      <c r="AL12781" s="13"/>
    </row>
    <row r="12782" spans="4:39" x14ac:dyDescent="0.3">
      <c r="D12782" s="1"/>
      <c r="G12782" s="13"/>
      <c r="AL12782" s="13"/>
    </row>
    <row r="12783" spans="4:39" x14ac:dyDescent="0.3">
      <c r="D12783" s="1"/>
      <c r="G12783" s="13"/>
      <c r="AL12783" s="13"/>
      <c r="AM12783" s="14"/>
    </row>
    <row r="12784" spans="4:39" x14ac:dyDescent="0.3">
      <c r="D12784" s="1"/>
      <c r="G12784" s="13"/>
      <c r="AL12784" s="13"/>
    </row>
    <row r="12785" spans="4:39" x14ac:dyDescent="0.3">
      <c r="D12785" s="1"/>
      <c r="G12785" s="13"/>
      <c r="AL12785" s="13"/>
      <c r="AM12785" s="14"/>
    </row>
    <row r="12786" spans="4:39" x14ac:dyDescent="0.3">
      <c r="D12786" s="1"/>
      <c r="G12786" s="13"/>
      <c r="AL12786" s="13"/>
    </row>
    <row r="12787" spans="4:39" x14ac:dyDescent="0.3">
      <c r="D12787" s="1"/>
      <c r="G12787" s="13"/>
      <c r="AL12787" s="13"/>
    </row>
    <row r="12788" spans="4:39" x14ac:dyDescent="0.3">
      <c r="D12788" s="1"/>
      <c r="G12788" s="13"/>
      <c r="AL12788" s="13"/>
    </row>
    <row r="12789" spans="4:39" x14ac:dyDescent="0.3">
      <c r="D12789" s="1"/>
      <c r="G12789" s="13"/>
      <c r="AL12789" s="13"/>
      <c r="AM12789" s="14"/>
    </row>
    <row r="12790" spans="4:39" x14ac:dyDescent="0.3">
      <c r="D12790" s="1"/>
      <c r="G12790" s="13"/>
      <c r="AL12790" s="13"/>
    </row>
    <row r="12791" spans="4:39" x14ac:dyDescent="0.3">
      <c r="D12791" s="1"/>
      <c r="G12791" s="13"/>
      <c r="AL12791" s="13"/>
    </row>
    <row r="12792" spans="4:39" x14ac:dyDescent="0.3">
      <c r="D12792" s="1"/>
      <c r="G12792" s="13"/>
      <c r="AL12792" s="13"/>
    </row>
    <row r="12793" spans="4:39" x14ac:dyDescent="0.3">
      <c r="D12793" s="1"/>
      <c r="G12793" s="13"/>
      <c r="AL12793" s="13"/>
      <c r="AM12793" s="14"/>
    </row>
    <row r="12794" spans="4:39" x14ac:dyDescent="0.3">
      <c r="D12794" s="1"/>
      <c r="G12794" s="13"/>
      <c r="AL12794" s="13"/>
    </row>
    <row r="12795" spans="4:39" x14ac:dyDescent="0.3">
      <c r="D12795" s="1"/>
      <c r="G12795" s="13"/>
      <c r="AL12795" s="13"/>
      <c r="AM12795" s="14"/>
    </row>
    <row r="12796" spans="4:39" x14ac:dyDescent="0.3">
      <c r="D12796" s="1"/>
      <c r="G12796" s="13"/>
      <c r="AL12796" s="13"/>
    </row>
    <row r="12797" spans="4:39" x14ac:dyDescent="0.3">
      <c r="D12797" s="1"/>
      <c r="G12797" s="13"/>
      <c r="AL12797" s="13"/>
    </row>
    <row r="12798" spans="4:39" x14ac:dyDescent="0.3">
      <c r="D12798" s="1"/>
      <c r="G12798" s="13"/>
      <c r="AL12798" s="13"/>
    </row>
    <row r="12799" spans="4:39" x14ac:dyDescent="0.3">
      <c r="D12799" s="1"/>
      <c r="G12799" s="13"/>
      <c r="AL12799" s="13"/>
    </row>
    <row r="12800" spans="4:39" x14ac:dyDescent="0.3">
      <c r="D12800" s="1"/>
      <c r="G12800" s="13"/>
      <c r="AL12800" s="13"/>
    </row>
    <row r="12801" spans="4:39" x14ac:dyDescent="0.3">
      <c r="D12801" s="1"/>
      <c r="G12801" s="13"/>
      <c r="AL12801" s="13"/>
    </row>
    <row r="12802" spans="4:39" x14ac:dyDescent="0.3">
      <c r="D12802" s="1"/>
      <c r="G12802" s="13"/>
      <c r="AL12802" s="13"/>
    </row>
    <row r="12803" spans="4:39" x14ac:dyDescent="0.3">
      <c r="D12803" s="1"/>
      <c r="G12803" s="13"/>
      <c r="AL12803" s="13"/>
    </row>
    <row r="12804" spans="4:39" x14ac:dyDescent="0.3">
      <c r="D12804" s="1"/>
      <c r="G12804" s="13"/>
      <c r="AL12804" s="13"/>
    </row>
    <row r="12805" spans="4:39" x14ac:dyDescent="0.3">
      <c r="D12805" s="1"/>
      <c r="G12805" s="13"/>
      <c r="AL12805" s="13"/>
      <c r="AM12805" s="14"/>
    </row>
    <row r="12806" spans="4:39" x14ac:dyDescent="0.3">
      <c r="D12806" s="1"/>
      <c r="G12806" s="13"/>
      <c r="AL12806" s="13"/>
      <c r="AM12806" s="14"/>
    </row>
    <row r="12807" spans="4:39" x14ac:dyDescent="0.3">
      <c r="D12807" s="1"/>
      <c r="G12807" s="13"/>
      <c r="AL12807" s="13"/>
      <c r="AM12807" s="14"/>
    </row>
    <row r="12808" spans="4:39" x14ac:dyDescent="0.3">
      <c r="D12808" s="1"/>
      <c r="G12808" s="13"/>
      <c r="AL12808" s="13"/>
    </row>
    <row r="12809" spans="4:39" x14ac:dyDescent="0.3">
      <c r="D12809" s="1"/>
      <c r="G12809" s="13"/>
      <c r="AL12809" s="13"/>
      <c r="AM12809" s="14"/>
    </row>
    <row r="12810" spans="4:39" x14ac:dyDescent="0.3">
      <c r="D12810" s="1"/>
      <c r="G12810" s="13"/>
      <c r="AL12810" s="13"/>
    </row>
    <row r="12811" spans="4:39" x14ac:dyDescent="0.3">
      <c r="D12811" s="1"/>
      <c r="G12811" s="13"/>
      <c r="AL12811" s="13"/>
      <c r="AM12811" s="14"/>
    </row>
    <row r="12812" spans="4:39" x14ac:dyDescent="0.3">
      <c r="D12812" s="1"/>
      <c r="G12812" s="13"/>
      <c r="AL12812" s="13"/>
    </row>
    <row r="12813" spans="4:39" x14ac:dyDescent="0.3">
      <c r="D12813" s="1"/>
      <c r="G12813" s="13"/>
      <c r="AL12813" s="13"/>
    </row>
    <row r="12814" spans="4:39" x14ac:dyDescent="0.3">
      <c r="D12814" s="1"/>
      <c r="G12814" s="13"/>
      <c r="AL12814" s="13"/>
    </row>
    <row r="12815" spans="4:39" x14ac:dyDescent="0.3">
      <c r="D12815" s="1"/>
      <c r="G12815" s="13"/>
      <c r="AL12815" s="13"/>
    </row>
    <row r="12816" spans="4:39" x14ac:dyDescent="0.3">
      <c r="D12816" s="1"/>
      <c r="G12816" s="13"/>
      <c r="AL12816" s="13"/>
    </row>
    <row r="12817" spans="4:39" x14ac:dyDescent="0.3">
      <c r="D12817" s="1"/>
      <c r="G12817" s="13"/>
      <c r="AL12817" s="13"/>
    </row>
    <row r="12818" spans="4:39" x14ac:dyDescent="0.3">
      <c r="D12818" s="1"/>
      <c r="G12818" s="13"/>
      <c r="AL12818" s="13"/>
    </row>
    <row r="12819" spans="4:39" x14ac:dyDescent="0.3">
      <c r="D12819" s="1"/>
      <c r="G12819" s="13"/>
      <c r="AL12819" s="13"/>
      <c r="AM12819" s="14"/>
    </row>
    <row r="12820" spans="4:39" x14ac:dyDescent="0.3">
      <c r="D12820" s="1"/>
      <c r="G12820" s="13"/>
      <c r="AL12820" s="13"/>
    </row>
    <row r="12821" spans="4:39" x14ac:dyDescent="0.3">
      <c r="D12821" s="1"/>
      <c r="G12821" s="13"/>
      <c r="AL12821" s="13"/>
      <c r="AM12821" s="14"/>
    </row>
    <row r="12822" spans="4:39" x14ac:dyDescent="0.3">
      <c r="D12822" s="1"/>
      <c r="G12822" s="13"/>
      <c r="AL12822" s="13"/>
      <c r="AM12822" s="14"/>
    </row>
    <row r="12823" spans="4:39" x14ac:dyDescent="0.3">
      <c r="D12823" s="1"/>
      <c r="G12823" s="13"/>
      <c r="AL12823" s="13"/>
      <c r="AM12823" s="14"/>
    </row>
    <row r="12824" spans="4:39" x14ac:dyDescent="0.3">
      <c r="D12824" s="1"/>
      <c r="G12824" s="13"/>
      <c r="AL12824" s="13"/>
    </row>
    <row r="12825" spans="4:39" x14ac:dyDescent="0.3">
      <c r="D12825" s="1"/>
      <c r="G12825" s="13"/>
      <c r="AL12825" s="13"/>
    </row>
    <row r="12826" spans="4:39" x14ac:dyDescent="0.3">
      <c r="D12826" s="1"/>
      <c r="G12826" s="13"/>
      <c r="AL12826" s="13"/>
    </row>
    <row r="12827" spans="4:39" x14ac:dyDescent="0.3">
      <c r="D12827" s="1"/>
      <c r="G12827" s="13"/>
      <c r="AL12827" s="13"/>
    </row>
    <row r="12828" spans="4:39" x14ac:dyDescent="0.3">
      <c r="D12828" s="1"/>
      <c r="G12828" s="13"/>
      <c r="AL12828" s="13"/>
    </row>
    <row r="12829" spans="4:39" x14ac:dyDescent="0.3">
      <c r="D12829" s="1"/>
      <c r="G12829" s="13"/>
      <c r="AL12829" s="13"/>
    </row>
    <row r="12830" spans="4:39" x14ac:dyDescent="0.3">
      <c r="D12830" s="1"/>
      <c r="G12830" s="13"/>
      <c r="AL12830" s="13"/>
    </row>
    <row r="12831" spans="4:39" x14ac:dyDescent="0.3">
      <c r="D12831" s="1"/>
      <c r="G12831" s="13"/>
      <c r="AL12831" s="13"/>
    </row>
    <row r="12832" spans="4:39" x14ac:dyDescent="0.3">
      <c r="D12832" s="1"/>
      <c r="G12832" s="13"/>
      <c r="AL12832" s="13"/>
      <c r="AM12832" s="14"/>
    </row>
    <row r="12833" spans="4:39" x14ac:dyDescent="0.3">
      <c r="D12833" s="1"/>
      <c r="G12833" s="13"/>
      <c r="AL12833" s="13"/>
      <c r="AM12833" s="14"/>
    </row>
    <row r="12834" spans="4:39" x14ac:dyDescent="0.3">
      <c r="D12834" s="1"/>
      <c r="G12834" s="13"/>
      <c r="AL12834" s="13"/>
    </row>
    <row r="12835" spans="4:39" x14ac:dyDescent="0.3">
      <c r="D12835" s="1"/>
      <c r="G12835" s="13"/>
      <c r="AL12835" s="13"/>
    </row>
    <row r="12836" spans="4:39" x14ac:dyDescent="0.3">
      <c r="D12836" s="1"/>
      <c r="G12836" s="13"/>
      <c r="AL12836" s="13"/>
    </row>
    <row r="12837" spans="4:39" x14ac:dyDescent="0.3">
      <c r="D12837" s="1"/>
      <c r="G12837" s="13"/>
      <c r="AL12837" s="13"/>
    </row>
    <row r="12838" spans="4:39" x14ac:dyDescent="0.3">
      <c r="D12838" s="1"/>
      <c r="G12838" s="13"/>
      <c r="AL12838" s="13"/>
      <c r="AM12838" s="14"/>
    </row>
    <row r="12839" spans="4:39" x14ac:dyDescent="0.3">
      <c r="D12839" s="1"/>
      <c r="G12839" s="13"/>
      <c r="AL12839" s="13"/>
    </row>
    <row r="12840" spans="4:39" x14ac:dyDescent="0.3">
      <c r="D12840" s="1"/>
      <c r="G12840" s="13"/>
      <c r="AL12840" s="13"/>
      <c r="AM12840" s="14"/>
    </row>
    <row r="12841" spans="4:39" x14ac:dyDescent="0.3">
      <c r="D12841" s="1"/>
      <c r="G12841" s="13"/>
      <c r="AL12841" s="13"/>
      <c r="AM12841" s="14"/>
    </row>
    <row r="12842" spans="4:39" x14ac:dyDescent="0.3">
      <c r="D12842" s="1"/>
      <c r="G12842" s="13"/>
      <c r="AL12842" s="13"/>
    </row>
    <row r="12843" spans="4:39" x14ac:dyDescent="0.3">
      <c r="D12843" s="1"/>
      <c r="G12843" s="13"/>
      <c r="AL12843" s="13"/>
    </row>
    <row r="12844" spans="4:39" x14ac:dyDescent="0.3">
      <c r="D12844" s="1"/>
      <c r="G12844" s="13"/>
      <c r="AL12844" s="13"/>
    </row>
    <row r="12845" spans="4:39" x14ac:dyDescent="0.3">
      <c r="D12845" s="1"/>
      <c r="G12845" s="13"/>
      <c r="AL12845" s="13"/>
    </row>
    <row r="12846" spans="4:39" x14ac:dyDescent="0.3">
      <c r="D12846" s="1"/>
      <c r="G12846" s="13"/>
      <c r="AL12846" s="13"/>
    </row>
    <row r="12847" spans="4:39" x14ac:dyDescent="0.3">
      <c r="D12847" s="1"/>
      <c r="G12847" s="13"/>
      <c r="AL12847" s="13"/>
    </row>
    <row r="12848" spans="4:39" x14ac:dyDescent="0.3">
      <c r="D12848" s="1"/>
      <c r="G12848" s="13"/>
      <c r="AL12848" s="13"/>
      <c r="AM12848" s="14"/>
    </row>
    <row r="12849" spans="4:39" x14ac:dyDescent="0.3">
      <c r="D12849" s="1"/>
      <c r="G12849" s="13"/>
      <c r="AL12849" s="13"/>
      <c r="AM12849" s="14"/>
    </row>
    <row r="12850" spans="4:39" x14ac:dyDescent="0.3">
      <c r="D12850" s="1"/>
      <c r="G12850" s="13"/>
      <c r="AL12850" s="13"/>
    </row>
    <row r="12851" spans="4:39" x14ac:dyDescent="0.3">
      <c r="D12851" s="1"/>
      <c r="G12851" s="13"/>
      <c r="AL12851" s="13"/>
      <c r="AM12851" s="14"/>
    </row>
    <row r="12852" spans="4:39" x14ac:dyDescent="0.3">
      <c r="D12852" s="1"/>
      <c r="G12852" s="13"/>
      <c r="AL12852" s="13"/>
      <c r="AM12852" s="14"/>
    </row>
    <row r="12853" spans="4:39" x14ac:dyDescent="0.3">
      <c r="D12853" s="1"/>
      <c r="G12853" s="13"/>
      <c r="AL12853" s="13"/>
      <c r="AM12853" s="14"/>
    </row>
    <row r="12854" spans="4:39" x14ac:dyDescent="0.3">
      <c r="D12854" s="1"/>
      <c r="G12854" s="13"/>
      <c r="AL12854" s="13"/>
    </row>
    <row r="12855" spans="4:39" x14ac:dyDescent="0.3">
      <c r="D12855" s="1"/>
      <c r="G12855" s="13"/>
      <c r="AL12855" s="13"/>
    </row>
    <row r="12856" spans="4:39" x14ac:dyDescent="0.3">
      <c r="D12856" s="1"/>
      <c r="G12856" s="13"/>
      <c r="AL12856" s="13"/>
    </row>
    <row r="12857" spans="4:39" x14ac:dyDescent="0.3">
      <c r="D12857" s="1"/>
      <c r="G12857" s="13"/>
      <c r="AL12857" s="13"/>
    </row>
    <row r="12858" spans="4:39" x14ac:dyDescent="0.3">
      <c r="D12858" s="1"/>
      <c r="G12858" s="13"/>
      <c r="AL12858" s="13"/>
      <c r="AM12858" s="14"/>
    </row>
    <row r="12859" spans="4:39" x14ac:dyDescent="0.3">
      <c r="D12859" s="1"/>
      <c r="G12859" s="13"/>
      <c r="AL12859" s="13"/>
    </row>
    <row r="12860" spans="4:39" x14ac:dyDescent="0.3">
      <c r="D12860" s="1"/>
      <c r="G12860" s="13"/>
      <c r="AL12860" s="13"/>
      <c r="AM12860" s="14"/>
    </row>
    <row r="12861" spans="4:39" x14ac:dyDescent="0.3">
      <c r="D12861" s="1"/>
      <c r="G12861" s="13"/>
      <c r="AL12861" s="13"/>
    </row>
    <row r="12862" spans="4:39" x14ac:dyDescent="0.3">
      <c r="D12862" s="1"/>
      <c r="G12862" s="13"/>
      <c r="AL12862" s="13"/>
    </row>
    <row r="12863" spans="4:39" x14ac:dyDescent="0.3">
      <c r="D12863" s="1"/>
      <c r="G12863" s="13"/>
      <c r="AL12863" s="13"/>
      <c r="AM12863" s="14"/>
    </row>
    <row r="12864" spans="4:39" x14ac:dyDescent="0.3">
      <c r="D12864" s="1"/>
      <c r="G12864" s="13"/>
      <c r="AL12864" s="13"/>
    </row>
    <row r="12865" spans="4:38" x14ac:dyDescent="0.3">
      <c r="D12865" s="1"/>
      <c r="G12865" s="13"/>
      <c r="AL12865" s="13"/>
    </row>
    <row r="12866" spans="4:38" x14ac:dyDescent="0.3">
      <c r="D12866" s="1"/>
      <c r="G12866" s="13"/>
      <c r="AL12866" s="13"/>
    </row>
    <row r="12867" spans="4:38" x14ac:dyDescent="0.3">
      <c r="D12867" s="1"/>
      <c r="G12867" s="13"/>
      <c r="AL12867" s="13"/>
    </row>
    <row r="12868" spans="4:38" x14ac:dyDescent="0.3">
      <c r="D12868" s="1"/>
      <c r="G12868" s="13"/>
      <c r="AL12868" s="13"/>
    </row>
    <row r="12869" spans="4:38" x14ac:dyDescent="0.3">
      <c r="D12869" s="1"/>
      <c r="G12869" s="13"/>
      <c r="AL12869" s="13"/>
    </row>
    <row r="12870" spans="4:38" x14ac:dyDescent="0.3">
      <c r="D12870" s="1"/>
      <c r="G12870" s="13"/>
      <c r="AL12870" s="13"/>
    </row>
    <row r="12871" spans="4:38" x14ac:dyDescent="0.3">
      <c r="D12871" s="1"/>
      <c r="G12871" s="13"/>
      <c r="AL12871" s="13"/>
    </row>
    <row r="12872" spans="4:38" x14ac:dyDescent="0.3">
      <c r="D12872" s="1"/>
      <c r="G12872" s="13"/>
      <c r="AL12872" s="13"/>
    </row>
    <row r="12873" spans="4:38" x14ac:dyDescent="0.3">
      <c r="D12873" s="1"/>
      <c r="G12873" s="13"/>
      <c r="AL12873" s="13"/>
    </row>
    <row r="12874" spans="4:38" x14ac:dyDescent="0.3">
      <c r="D12874" s="1"/>
      <c r="G12874" s="13"/>
      <c r="AL12874" s="13"/>
    </row>
    <row r="12875" spans="4:38" x14ac:dyDescent="0.3">
      <c r="D12875" s="1"/>
      <c r="G12875" s="13"/>
      <c r="AL12875" s="13"/>
    </row>
    <row r="12876" spans="4:38" x14ac:dyDescent="0.3">
      <c r="D12876" s="1"/>
      <c r="G12876" s="13"/>
      <c r="AL12876" s="13"/>
    </row>
    <row r="12877" spans="4:38" x14ac:dyDescent="0.3">
      <c r="D12877" s="1"/>
      <c r="G12877" s="13"/>
      <c r="AL12877" s="13"/>
    </row>
    <row r="12878" spans="4:38" x14ac:dyDescent="0.3">
      <c r="D12878" s="1"/>
      <c r="G12878" s="13"/>
      <c r="AL12878" s="13"/>
    </row>
    <row r="12879" spans="4:38" x14ac:dyDescent="0.3">
      <c r="D12879" s="1"/>
      <c r="G12879" s="13"/>
      <c r="AL12879" s="13"/>
    </row>
    <row r="12880" spans="4:38" x14ac:dyDescent="0.3">
      <c r="D12880" s="1"/>
      <c r="G12880" s="13"/>
      <c r="AL12880" s="13"/>
    </row>
    <row r="12881" spans="4:39" x14ac:dyDescent="0.3">
      <c r="D12881" s="1"/>
      <c r="G12881" s="13"/>
      <c r="AL12881" s="13"/>
      <c r="AM12881" s="14"/>
    </row>
    <row r="12882" spans="4:39" x14ac:dyDescent="0.3">
      <c r="D12882" s="1"/>
      <c r="G12882" s="13"/>
      <c r="AL12882" s="13"/>
    </row>
    <row r="12883" spans="4:39" x14ac:dyDescent="0.3">
      <c r="D12883" s="1"/>
      <c r="G12883" s="13"/>
      <c r="AL12883" s="13"/>
      <c r="AM12883" s="14"/>
    </row>
    <row r="12884" spans="4:39" x14ac:dyDescent="0.3">
      <c r="D12884" s="1"/>
      <c r="G12884" s="13"/>
      <c r="AL12884" s="13"/>
    </row>
    <row r="12885" spans="4:39" x14ac:dyDescent="0.3">
      <c r="D12885" s="1"/>
      <c r="G12885" s="13"/>
      <c r="AL12885" s="13"/>
    </row>
    <row r="12886" spans="4:39" x14ac:dyDescent="0.3">
      <c r="D12886" s="1"/>
      <c r="G12886" s="13"/>
      <c r="AL12886" s="13"/>
    </row>
    <row r="12887" spans="4:39" x14ac:dyDescent="0.3">
      <c r="D12887" s="1"/>
      <c r="G12887" s="13"/>
      <c r="AL12887" s="13"/>
    </row>
    <row r="12888" spans="4:39" x14ac:dyDescent="0.3">
      <c r="D12888" s="1"/>
      <c r="G12888" s="13"/>
      <c r="AL12888" s="13"/>
    </row>
    <row r="12889" spans="4:39" x14ac:dyDescent="0.3">
      <c r="D12889" s="1"/>
      <c r="G12889" s="13"/>
      <c r="AL12889" s="13"/>
    </row>
    <row r="12890" spans="4:39" x14ac:dyDescent="0.3">
      <c r="D12890" s="1"/>
      <c r="G12890" s="13"/>
      <c r="AL12890" s="13"/>
    </row>
    <row r="12891" spans="4:39" x14ac:dyDescent="0.3">
      <c r="D12891" s="1"/>
      <c r="G12891" s="13"/>
      <c r="AL12891" s="13"/>
      <c r="AM12891" s="14"/>
    </row>
    <row r="12892" spans="4:39" x14ac:dyDescent="0.3">
      <c r="D12892" s="1"/>
      <c r="G12892" s="13"/>
      <c r="AL12892" s="13"/>
    </row>
    <row r="12893" spans="4:39" x14ac:dyDescent="0.3">
      <c r="D12893" s="1"/>
      <c r="G12893" s="13"/>
      <c r="AL12893" s="13"/>
    </row>
    <row r="12894" spans="4:39" x14ac:dyDescent="0.3">
      <c r="D12894" s="1"/>
      <c r="G12894" s="13"/>
      <c r="AL12894" s="13"/>
      <c r="AM12894" s="14"/>
    </row>
    <row r="12895" spans="4:39" x14ac:dyDescent="0.3">
      <c r="D12895" s="1"/>
      <c r="G12895" s="13"/>
      <c r="AL12895" s="13"/>
    </row>
    <row r="12896" spans="4:39" x14ac:dyDescent="0.3">
      <c r="D12896" s="1"/>
      <c r="G12896" s="13"/>
      <c r="AL12896" s="13"/>
    </row>
    <row r="12897" spans="4:39" x14ac:dyDescent="0.3">
      <c r="D12897" s="1"/>
      <c r="G12897" s="13"/>
      <c r="AL12897" s="13"/>
    </row>
    <row r="12898" spans="4:39" x14ac:dyDescent="0.3">
      <c r="D12898" s="1"/>
      <c r="G12898" s="13"/>
      <c r="AL12898" s="13"/>
    </row>
    <row r="12899" spans="4:39" x14ac:dyDescent="0.3">
      <c r="D12899" s="1"/>
      <c r="G12899" s="13"/>
      <c r="AL12899" s="13"/>
    </row>
    <row r="12900" spans="4:39" x14ac:dyDescent="0.3">
      <c r="D12900" s="1"/>
      <c r="G12900" s="13"/>
      <c r="AL12900" s="13"/>
    </row>
    <row r="12901" spans="4:39" x14ac:dyDescent="0.3">
      <c r="D12901" s="1"/>
      <c r="G12901" s="13"/>
      <c r="AL12901" s="13"/>
    </row>
    <row r="12902" spans="4:39" x14ac:dyDescent="0.3">
      <c r="D12902" s="1"/>
      <c r="G12902" s="13"/>
      <c r="AL12902" s="13"/>
    </row>
    <row r="12903" spans="4:39" x14ac:dyDescent="0.3">
      <c r="D12903" s="1"/>
      <c r="G12903" s="13"/>
      <c r="AL12903" s="13"/>
      <c r="AM12903" s="14"/>
    </row>
    <row r="12904" spans="4:39" x14ac:dyDescent="0.3">
      <c r="D12904" s="1"/>
      <c r="G12904" s="13"/>
      <c r="AL12904" s="13"/>
    </row>
    <row r="12905" spans="4:39" x14ac:dyDescent="0.3">
      <c r="D12905" s="1"/>
      <c r="G12905" s="13"/>
      <c r="AL12905" s="13"/>
    </row>
    <row r="12906" spans="4:39" x14ac:dyDescent="0.3">
      <c r="D12906" s="1"/>
      <c r="G12906" s="13"/>
      <c r="AL12906" s="13"/>
    </row>
    <row r="12907" spans="4:39" x14ac:dyDescent="0.3">
      <c r="D12907" s="1"/>
      <c r="G12907" s="13"/>
      <c r="AL12907" s="13"/>
    </row>
    <row r="12908" spans="4:39" x14ac:dyDescent="0.3">
      <c r="D12908" s="1"/>
      <c r="G12908" s="13"/>
      <c r="AL12908" s="13"/>
      <c r="AM12908" s="14"/>
    </row>
    <row r="12909" spans="4:39" x14ac:dyDescent="0.3">
      <c r="D12909" s="1"/>
      <c r="G12909" s="13"/>
      <c r="AL12909" s="13"/>
    </row>
    <row r="12910" spans="4:39" x14ac:dyDescent="0.3">
      <c r="D12910" s="1"/>
      <c r="G12910" s="13"/>
      <c r="AL12910" s="13"/>
      <c r="AM12910" s="14"/>
    </row>
    <row r="12911" spans="4:39" x14ac:dyDescent="0.3">
      <c r="D12911" s="1"/>
      <c r="G12911" s="13"/>
      <c r="AL12911" s="13"/>
    </row>
    <row r="12912" spans="4:39" x14ac:dyDescent="0.3">
      <c r="D12912" s="1"/>
      <c r="G12912" s="13"/>
      <c r="AL12912" s="13"/>
    </row>
    <row r="12913" spans="4:39" x14ac:dyDescent="0.3">
      <c r="D12913" s="1"/>
      <c r="G12913" s="13"/>
      <c r="AL12913" s="13"/>
    </row>
    <row r="12914" spans="4:39" x14ac:dyDescent="0.3">
      <c r="D12914" s="1"/>
      <c r="G12914" s="13"/>
      <c r="AL12914" s="13"/>
    </row>
    <row r="12915" spans="4:39" x14ac:dyDescent="0.3">
      <c r="D12915" s="1"/>
      <c r="G12915" s="13"/>
      <c r="AL12915" s="13"/>
    </row>
    <row r="12916" spans="4:39" x14ac:dyDescent="0.3">
      <c r="D12916" s="1"/>
      <c r="G12916" s="13"/>
      <c r="AL12916" s="13"/>
      <c r="AM12916" s="14"/>
    </row>
    <row r="12917" spans="4:39" x14ac:dyDescent="0.3">
      <c r="D12917" s="1"/>
      <c r="G12917" s="13"/>
      <c r="AL12917" s="13"/>
    </row>
    <row r="12918" spans="4:39" x14ac:dyDescent="0.3">
      <c r="D12918" s="1"/>
      <c r="G12918" s="13"/>
      <c r="AL12918" s="13"/>
      <c r="AM12918" s="14"/>
    </row>
    <row r="12919" spans="4:39" x14ac:dyDescent="0.3">
      <c r="D12919" s="1"/>
      <c r="G12919" s="13"/>
      <c r="AL12919" s="13"/>
    </row>
    <row r="12920" spans="4:39" x14ac:dyDescent="0.3">
      <c r="D12920" s="1"/>
      <c r="G12920" s="13"/>
      <c r="AL12920" s="13"/>
    </row>
    <row r="12921" spans="4:39" x14ac:dyDescent="0.3">
      <c r="D12921" s="1"/>
      <c r="G12921" s="13"/>
      <c r="AL12921" s="13"/>
      <c r="AM12921" s="14"/>
    </row>
    <row r="12922" spans="4:39" x14ac:dyDescent="0.3">
      <c r="D12922" s="1"/>
      <c r="G12922" s="13"/>
      <c r="AL12922" s="13"/>
    </row>
    <row r="12923" spans="4:39" x14ac:dyDescent="0.3">
      <c r="D12923" s="1"/>
      <c r="G12923" s="13"/>
      <c r="AL12923" s="13"/>
    </row>
    <row r="12924" spans="4:39" x14ac:dyDescent="0.3">
      <c r="D12924" s="1"/>
      <c r="G12924" s="13"/>
      <c r="AL12924" s="13"/>
    </row>
    <row r="12925" spans="4:39" x14ac:dyDescent="0.3">
      <c r="D12925" s="1"/>
      <c r="G12925" s="13"/>
      <c r="AL12925" s="13"/>
    </row>
    <row r="12926" spans="4:39" x14ac:dyDescent="0.3">
      <c r="D12926" s="1"/>
      <c r="G12926" s="13"/>
      <c r="AL12926" s="13"/>
    </row>
    <row r="12927" spans="4:39" x14ac:dyDescent="0.3">
      <c r="D12927" s="1"/>
      <c r="G12927" s="13"/>
      <c r="AL12927" s="13"/>
    </row>
    <row r="12928" spans="4:39" x14ac:dyDescent="0.3">
      <c r="D12928" s="1"/>
      <c r="G12928" s="13"/>
      <c r="AL12928" s="13"/>
    </row>
    <row r="12929" spans="4:39" x14ac:dyDescent="0.3">
      <c r="D12929" s="1"/>
      <c r="G12929" s="13"/>
      <c r="AL12929" s="13"/>
    </row>
    <row r="12930" spans="4:39" x14ac:dyDescent="0.3">
      <c r="D12930" s="1"/>
      <c r="G12930" s="13"/>
      <c r="AL12930" s="13"/>
    </row>
    <row r="12931" spans="4:39" x14ac:dyDescent="0.3">
      <c r="D12931" s="1"/>
      <c r="G12931" s="13"/>
      <c r="AL12931" s="13"/>
    </row>
    <row r="12932" spans="4:39" x14ac:dyDescent="0.3">
      <c r="D12932" s="1"/>
      <c r="G12932" s="13"/>
      <c r="AL12932" s="13"/>
    </row>
    <row r="12933" spans="4:39" x14ac:dyDescent="0.3">
      <c r="D12933" s="1"/>
      <c r="G12933" s="13"/>
      <c r="AL12933" s="13"/>
    </row>
    <row r="12934" spans="4:39" x14ac:dyDescent="0.3">
      <c r="D12934" s="1"/>
      <c r="G12934" s="13"/>
      <c r="AL12934" s="13"/>
      <c r="AM12934" s="14"/>
    </row>
    <row r="12935" spans="4:39" x14ac:dyDescent="0.3">
      <c r="D12935" s="1"/>
      <c r="G12935" s="13"/>
      <c r="AL12935" s="13"/>
    </row>
    <row r="12936" spans="4:39" x14ac:dyDescent="0.3">
      <c r="D12936" s="1"/>
      <c r="G12936" s="13"/>
      <c r="AL12936" s="13"/>
      <c r="AM12936" s="14"/>
    </row>
    <row r="12937" spans="4:39" x14ac:dyDescent="0.3">
      <c r="D12937" s="1"/>
      <c r="G12937" s="13"/>
      <c r="AL12937" s="13"/>
    </row>
    <row r="12938" spans="4:39" x14ac:dyDescent="0.3">
      <c r="D12938" s="1"/>
      <c r="G12938" s="13"/>
      <c r="AL12938" s="13"/>
    </row>
    <row r="12939" spans="4:39" x14ac:dyDescent="0.3">
      <c r="D12939" s="1"/>
      <c r="G12939" s="13"/>
      <c r="AL12939" s="13"/>
    </row>
    <row r="12940" spans="4:39" x14ac:dyDescent="0.3">
      <c r="D12940" s="1"/>
      <c r="G12940" s="13"/>
      <c r="AL12940" s="13"/>
      <c r="AM12940" s="14"/>
    </row>
    <row r="12941" spans="4:39" x14ac:dyDescent="0.3">
      <c r="D12941" s="1"/>
      <c r="G12941" s="13"/>
      <c r="AL12941" s="13"/>
    </row>
    <row r="12942" spans="4:39" x14ac:dyDescent="0.3">
      <c r="D12942" s="1"/>
      <c r="G12942" s="13"/>
      <c r="AL12942" s="13"/>
    </row>
    <row r="12943" spans="4:39" x14ac:dyDescent="0.3">
      <c r="D12943" s="1"/>
      <c r="G12943" s="13"/>
      <c r="AL12943" s="13"/>
    </row>
    <row r="12944" spans="4:39" x14ac:dyDescent="0.3">
      <c r="D12944" s="1"/>
      <c r="G12944" s="13"/>
      <c r="AL12944" s="13"/>
    </row>
    <row r="12945" spans="4:39" x14ac:dyDescent="0.3">
      <c r="D12945" s="1"/>
      <c r="G12945" s="13"/>
      <c r="AL12945" s="13"/>
    </row>
    <row r="12946" spans="4:39" x14ac:dyDescent="0.3">
      <c r="D12946" s="1"/>
      <c r="G12946" s="13"/>
      <c r="AL12946" s="13"/>
      <c r="AM12946" s="14"/>
    </row>
    <row r="12947" spans="4:39" x14ac:dyDescent="0.3">
      <c r="D12947" s="1"/>
      <c r="G12947" s="13"/>
      <c r="AL12947" s="13"/>
    </row>
    <row r="12948" spans="4:39" x14ac:dyDescent="0.3">
      <c r="D12948" s="1"/>
      <c r="G12948" s="13"/>
      <c r="AL12948" s="13"/>
    </row>
    <row r="12949" spans="4:39" x14ac:dyDescent="0.3">
      <c r="D12949" s="1"/>
      <c r="G12949" s="13"/>
      <c r="AL12949" s="13"/>
    </row>
    <row r="12950" spans="4:39" x14ac:dyDescent="0.3">
      <c r="D12950" s="1"/>
      <c r="G12950" s="13"/>
      <c r="AL12950" s="13"/>
    </row>
    <row r="12951" spans="4:39" x14ac:dyDescent="0.3">
      <c r="D12951" s="1"/>
      <c r="G12951" s="13"/>
      <c r="AL12951" s="13"/>
      <c r="AM12951" s="14"/>
    </row>
    <row r="12952" spans="4:39" x14ac:dyDescent="0.3">
      <c r="D12952" s="1"/>
      <c r="G12952" s="13"/>
      <c r="AL12952" s="13"/>
    </row>
    <row r="12953" spans="4:39" x14ac:dyDescent="0.3">
      <c r="D12953" s="1"/>
      <c r="G12953" s="13"/>
      <c r="AL12953" s="13"/>
    </row>
    <row r="12954" spans="4:39" x14ac:dyDescent="0.3">
      <c r="D12954" s="1"/>
      <c r="G12954" s="13"/>
      <c r="AL12954" s="13"/>
    </row>
    <row r="12955" spans="4:39" x14ac:dyDescent="0.3">
      <c r="D12955" s="1"/>
      <c r="G12955" s="13"/>
      <c r="AL12955" s="13"/>
      <c r="AM12955" s="14"/>
    </row>
    <row r="12956" spans="4:39" x14ac:dyDescent="0.3">
      <c r="D12956" s="1"/>
      <c r="G12956" s="13"/>
      <c r="AL12956" s="13"/>
    </row>
    <row r="12957" spans="4:39" x14ac:dyDescent="0.3">
      <c r="D12957" s="1"/>
      <c r="G12957" s="13"/>
      <c r="AL12957" s="13"/>
    </row>
    <row r="12958" spans="4:39" x14ac:dyDescent="0.3">
      <c r="D12958" s="1"/>
      <c r="G12958" s="13"/>
      <c r="AL12958" s="13"/>
    </row>
    <row r="12959" spans="4:39" x14ac:dyDescent="0.3">
      <c r="D12959" s="1"/>
      <c r="G12959" s="13"/>
      <c r="AL12959" s="13"/>
    </row>
    <row r="12960" spans="4:39" x14ac:dyDescent="0.3">
      <c r="D12960" s="1"/>
      <c r="G12960" s="13"/>
      <c r="AL12960" s="13"/>
    </row>
    <row r="12961" spans="4:39" x14ac:dyDescent="0.3">
      <c r="D12961" s="1"/>
      <c r="G12961" s="13"/>
      <c r="AL12961" s="13"/>
    </row>
    <row r="12962" spans="4:39" x14ac:dyDescent="0.3">
      <c r="D12962" s="1"/>
      <c r="G12962" s="13"/>
      <c r="AL12962" s="13"/>
    </row>
    <row r="12963" spans="4:39" x14ac:dyDescent="0.3">
      <c r="D12963" s="1"/>
      <c r="G12963" s="13"/>
      <c r="AL12963" s="13"/>
      <c r="AM12963" s="14"/>
    </row>
    <row r="12964" spans="4:39" x14ac:dyDescent="0.3">
      <c r="D12964" s="1"/>
      <c r="G12964" s="13"/>
      <c r="AL12964" s="13"/>
    </row>
    <row r="12965" spans="4:39" x14ac:dyDescent="0.3">
      <c r="D12965" s="1"/>
      <c r="G12965" s="13"/>
      <c r="AL12965" s="13"/>
    </row>
    <row r="12966" spans="4:39" x14ac:dyDescent="0.3">
      <c r="D12966" s="1"/>
      <c r="G12966" s="13"/>
      <c r="AL12966" s="13"/>
    </row>
    <row r="12967" spans="4:39" x14ac:dyDescent="0.3">
      <c r="D12967" s="1"/>
      <c r="G12967" s="13"/>
      <c r="AL12967" s="13"/>
    </row>
    <row r="12968" spans="4:39" x14ac:dyDescent="0.3">
      <c r="D12968" s="1"/>
      <c r="G12968" s="13"/>
      <c r="AL12968" s="13"/>
    </row>
    <row r="12969" spans="4:39" x14ac:dyDescent="0.3">
      <c r="D12969" s="1"/>
      <c r="G12969" s="13"/>
      <c r="AL12969" s="13"/>
    </row>
    <row r="12970" spans="4:39" x14ac:dyDescent="0.3">
      <c r="D12970" s="1"/>
      <c r="G12970" s="13"/>
      <c r="AL12970" s="13"/>
    </row>
    <row r="12971" spans="4:39" x14ac:dyDescent="0.3">
      <c r="D12971" s="1"/>
      <c r="G12971" s="13"/>
      <c r="AL12971" s="13"/>
    </row>
    <row r="12972" spans="4:39" x14ac:dyDescent="0.3">
      <c r="D12972" s="1"/>
      <c r="G12972" s="13"/>
      <c r="AL12972" s="13"/>
    </row>
    <row r="12973" spans="4:39" x14ac:dyDescent="0.3">
      <c r="D12973" s="1"/>
      <c r="G12973" s="13"/>
      <c r="AL12973" s="13"/>
    </row>
    <row r="12974" spans="4:39" x14ac:dyDescent="0.3">
      <c r="D12974" s="1"/>
      <c r="G12974" s="13"/>
      <c r="AL12974" s="13"/>
    </row>
    <row r="12975" spans="4:39" x14ac:dyDescent="0.3">
      <c r="D12975" s="1"/>
      <c r="G12975" s="13"/>
      <c r="AL12975" s="13"/>
    </row>
    <row r="12976" spans="4:39" x14ac:dyDescent="0.3">
      <c r="D12976" s="1"/>
      <c r="G12976" s="13"/>
      <c r="AL12976" s="13"/>
    </row>
    <row r="12977" spans="4:39" x14ac:dyDescent="0.3">
      <c r="D12977" s="1"/>
      <c r="G12977" s="13"/>
      <c r="AL12977" s="13"/>
    </row>
    <row r="12978" spans="4:39" x14ac:dyDescent="0.3">
      <c r="D12978" s="1"/>
      <c r="G12978" s="13"/>
      <c r="AL12978" s="13"/>
    </row>
    <row r="12979" spans="4:39" x14ac:dyDescent="0.3">
      <c r="D12979" s="1"/>
      <c r="G12979" s="13"/>
      <c r="AL12979" s="13"/>
    </row>
    <row r="12980" spans="4:39" x14ac:dyDescent="0.3">
      <c r="D12980" s="1"/>
      <c r="G12980" s="13"/>
      <c r="AL12980" s="13"/>
    </row>
    <row r="12981" spans="4:39" x14ac:dyDescent="0.3">
      <c r="D12981" s="1"/>
      <c r="G12981" s="13"/>
      <c r="AL12981" s="13"/>
    </row>
    <row r="12982" spans="4:39" x14ac:dyDescent="0.3">
      <c r="D12982" s="1"/>
      <c r="G12982" s="13"/>
      <c r="AL12982" s="13"/>
    </row>
    <row r="12983" spans="4:39" x14ac:dyDescent="0.3">
      <c r="D12983" s="1"/>
      <c r="G12983" s="13"/>
      <c r="AL12983" s="13"/>
    </row>
    <row r="12984" spans="4:39" x14ac:dyDescent="0.3">
      <c r="D12984" s="1"/>
      <c r="G12984" s="13"/>
      <c r="AL12984" s="13"/>
    </row>
    <row r="12985" spans="4:39" x14ac:dyDescent="0.3">
      <c r="D12985" s="1"/>
      <c r="G12985" s="13"/>
      <c r="AL12985" s="13"/>
    </row>
    <row r="12986" spans="4:39" x14ac:dyDescent="0.3">
      <c r="D12986" s="1"/>
      <c r="G12986" s="13"/>
      <c r="AL12986" s="13"/>
    </row>
    <row r="12987" spans="4:39" x14ac:dyDescent="0.3">
      <c r="D12987" s="1"/>
      <c r="G12987" s="13"/>
      <c r="AL12987" s="13"/>
      <c r="AM12987" s="14"/>
    </row>
    <row r="12988" spans="4:39" x14ac:dyDescent="0.3">
      <c r="D12988" s="1"/>
      <c r="G12988" s="13"/>
      <c r="AL12988" s="13"/>
    </row>
    <row r="12989" spans="4:39" x14ac:dyDescent="0.3">
      <c r="D12989" s="1"/>
      <c r="G12989" s="13"/>
      <c r="AL12989" s="13"/>
    </row>
    <row r="12990" spans="4:39" x14ac:dyDescent="0.3">
      <c r="D12990" s="1"/>
      <c r="G12990" s="13"/>
      <c r="AL12990" s="13"/>
    </row>
    <row r="12991" spans="4:39" x14ac:dyDescent="0.3">
      <c r="D12991" s="1"/>
      <c r="G12991" s="13"/>
      <c r="AL12991" s="13"/>
    </row>
    <row r="12992" spans="4:39" x14ac:dyDescent="0.3">
      <c r="D12992" s="1"/>
      <c r="G12992" s="13"/>
      <c r="AL12992" s="13"/>
    </row>
    <row r="12993" spans="4:39" x14ac:dyDescent="0.3">
      <c r="D12993" s="1"/>
      <c r="G12993" s="13"/>
      <c r="AL12993" s="13"/>
    </row>
    <row r="12994" spans="4:39" x14ac:dyDescent="0.3">
      <c r="D12994" s="1"/>
      <c r="G12994" s="13"/>
      <c r="AL12994" s="13"/>
    </row>
    <row r="12995" spans="4:39" x14ac:dyDescent="0.3">
      <c r="D12995" s="1"/>
      <c r="G12995" s="13"/>
      <c r="AL12995" s="13"/>
      <c r="AM12995" s="14"/>
    </row>
    <row r="12996" spans="4:39" x14ac:dyDescent="0.3">
      <c r="D12996" s="1"/>
      <c r="G12996" s="13"/>
      <c r="AL12996" s="13"/>
      <c r="AM12996" s="14"/>
    </row>
    <row r="12997" spans="4:39" x14ac:dyDescent="0.3">
      <c r="D12997" s="1"/>
      <c r="G12997" s="13"/>
      <c r="AL12997" s="13"/>
    </row>
    <row r="12998" spans="4:39" x14ac:dyDescent="0.3">
      <c r="D12998" s="1"/>
      <c r="G12998" s="13"/>
      <c r="AL12998" s="13"/>
    </row>
    <row r="12999" spans="4:39" x14ac:dyDescent="0.3">
      <c r="D12999" s="1"/>
      <c r="G12999" s="13"/>
      <c r="AL12999" s="13"/>
    </row>
    <row r="13000" spans="4:39" x14ac:dyDescent="0.3">
      <c r="D13000" s="1"/>
      <c r="G13000" s="13"/>
      <c r="AL13000" s="13"/>
      <c r="AM13000" s="14"/>
    </row>
    <row r="13001" spans="4:39" x14ac:dyDescent="0.3">
      <c r="D13001" s="1"/>
      <c r="G13001" s="13"/>
      <c r="AL13001" s="13"/>
      <c r="AM13001" s="14"/>
    </row>
    <row r="13002" spans="4:39" x14ac:dyDescent="0.3">
      <c r="D13002" s="1"/>
      <c r="G13002" s="13"/>
      <c r="AL13002" s="13"/>
    </row>
    <row r="13003" spans="4:39" x14ac:dyDescent="0.3">
      <c r="D13003" s="1"/>
      <c r="G13003" s="13"/>
      <c r="AL13003" s="13"/>
    </row>
    <row r="13004" spans="4:39" x14ac:dyDescent="0.3">
      <c r="D13004" s="1"/>
      <c r="G13004" s="13"/>
      <c r="AL13004" s="13"/>
    </row>
    <row r="13005" spans="4:39" x14ac:dyDescent="0.3">
      <c r="D13005" s="1"/>
      <c r="G13005" s="13"/>
      <c r="AL13005" s="13"/>
    </row>
    <row r="13006" spans="4:39" x14ac:dyDescent="0.3">
      <c r="D13006" s="1"/>
      <c r="G13006" s="13"/>
      <c r="AL13006" s="13"/>
    </row>
    <row r="13007" spans="4:39" x14ac:dyDescent="0.3">
      <c r="D13007" s="1"/>
      <c r="G13007" s="13"/>
      <c r="AL13007" s="13"/>
    </row>
    <row r="13008" spans="4:39" x14ac:dyDescent="0.3">
      <c r="D13008" s="1"/>
      <c r="G13008" s="13"/>
      <c r="AL13008" s="13"/>
    </row>
    <row r="13009" spans="4:39" x14ac:dyDescent="0.3">
      <c r="D13009" s="1"/>
      <c r="G13009" s="13"/>
      <c r="AL13009" s="13"/>
      <c r="AM13009" s="14"/>
    </row>
    <row r="13010" spans="4:39" x14ac:dyDescent="0.3">
      <c r="D13010" s="1"/>
      <c r="G13010" s="13"/>
      <c r="AL13010" s="13"/>
    </row>
    <row r="13011" spans="4:39" x14ac:dyDescent="0.3">
      <c r="D13011" s="1"/>
      <c r="G13011" s="13"/>
      <c r="AL13011" s="13"/>
    </row>
    <row r="13012" spans="4:39" x14ac:dyDescent="0.3">
      <c r="D13012" s="1"/>
      <c r="G13012" s="13"/>
      <c r="AL13012" s="13"/>
    </row>
    <row r="13013" spans="4:39" x14ac:dyDescent="0.3">
      <c r="D13013" s="1"/>
      <c r="G13013" s="13"/>
      <c r="AL13013" s="13"/>
    </row>
    <row r="13014" spans="4:39" x14ac:dyDescent="0.3">
      <c r="D13014" s="1"/>
      <c r="G13014" s="13"/>
      <c r="AL13014" s="13"/>
    </row>
    <row r="13015" spans="4:39" x14ac:dyDescent="0.3">
      <c r="D13015" s="1"/>
      <c r="G13015" s="13"/>
      <c r="AL13015" s="13"/>
    </row>
    <row r="13016" spans="4:39" x14ac:dyDescent="0.3">
      <c r="D13016" s="1"/>
      <c r="G13016" s="13"/>
      <c r="AL13016" s="13"/>
    </row>
    <row r="13017" spans="4:39" x14ac:dyDescent="0.3">
      <c r="D13017" s="1"/>
      <c r="G13017" s="13"/>
      <c r="AL13017" s="13"/>
    </row>
    <row r="13018" spans="4:39" x14ac:dyDescent="0.3">
      <c r="D13018" s="1"/>
      <c r="G13018" s="13"/>
      <c r="AL13018" s="13"/>
    </row>
    <row r="13019" spans="4:39" x14ac:dyDescent="0.3">
      <c r="D13019" s="1"/>
      <c r="G13019" s="13"/>
      <c r="AL13019" s="13"/>
    </row>
    <row r="13020" spans="4:39" x14ac:dyDescent="0.3">
      <c r="D13020" s="1"/>
      <c r="G13020" s="13"/>
      <c r="AL13020" s="13"/>
    </row>
    <row r="13021" spans="4:39" x14ac:dyDescent="0.3">
      <c r="D13021" s="1"/>
      <c r="G13021" s="13"/>
      <c r="AL13021" s="13"/>
    </row>
    <row r="13022" spans="4:39" x14ac:dyDescent="0.3">
      <c r="D13022" s="1"/>
      <c r="G13022" s="13"/>
      <c r="AL13022" s="13"/>
    </row>
    <row r="13023" spans="4:39" x14ac:dyDescent="0.3">
      <c r="D13023" s="1"/>
      <c r="G13023" s="13"/>
      <c r="AL13023" s="13"/>
    </row>
    <row r="13024" spans="4:39" x14ac:dyDescent="0.3">
      <c r="D13024" s="1"/>
      <c r="G13024" s="13"/>
      <c r="AL13024" s="13"/>
    </row>
    <row r="13025" spans="4:38" x14ac:dyDescent="0.3">
      <c r="D13025" s="1"/>
      <c r="G13025" s="13"/>
      <c r="AL13025" s="13"/>
    </row>
    <row r="13026" spans="4:38" x14ac:dyDescent="0.3">
      <c r="D13026" s="1"/>
      <c r="G13026" s="13"/>
      <c r="AL13026" s="13"/>
    </row>
    <row r="13027" spans="4:38" x14ac:dyDescent="0.3">
      <c r="D13027" s="1"/>
      <c r="G13027" s="13"/>
      <c r="AL13027" s="13"/>
    </row>
    <row r="13028" spans="4:38" x14ac:dyDescent="0.3">
      <c r="D13028" s="1"/>
      <c r="G13028" s="13"/>
      <c r="AL13028" s="13"/>
    </row>
    <row r="13029" spans="4:38" x14ac:dyDescent="0.3">
      <c r="D13029" s="1"/>
      <c r="G13029" s="13"/>
      <c r="AL13029" s="13"/>
    </row>
    <row r="13030" spans="4:38" x14ac:dyDescent="0.3">
      <c r="D13030" s="1"/>
      <c r="G13030" s="13"/>
      <c r="AL13030" s="13"/>
    </row>
    <row r="13031" spans="4:38" x14ac:dyDescent="0.3">
      <c r="D13031" s="1"/>
      <c r="G13031" s="13"/>
      <c r="AL13031" s="13"/>
    </row>
    <row r="13032" spans="4:38" x14ac:dyDescent="0.3">
      <c r="D13032" s="1"/>
      <c r="G13032" s="13"/>
      <c r="AL13032" s="13"/>
    </row>
    <row r="13033" spans="4:38" x14ac:dyDescent="0.3">
      <c r="D13033" s="1"/>
      <c r="G13033" s="13"/>
      <c r="AL13033" s="13"/>
    </row>
    <row r="13034" spans="4:38" x14ac:dyDescent="0.3">
      <c r="D13034" s="1"/>
      <c r="G13034" s="13"/>
      <c r="AL13034" s="13"/>
    </row>
    <row r="13035" spans="4:38" x14ac:dyDescent="0.3">
      <c r="D13035" s="1"/>
      <c r="G13035" s="13"/>
      <c r="AL13035" s="13"/>
    </row>
    <row r="13036" spans="4:38" x14ac:dyDescent="0.3">
      <c r="D13036" s="1"/>
      <c r="G13036" s="13"/>
      <c r="AL13036" s="13"/>
    </row>
    <row r="13037" spans="4:38" x14ac:dyDescent="0.3">
      <c r="D13037" s="1"/>
      <c r="G13037" s="13"/>
      <c r="AL13037" s="13"/>
    </row>
    <row r="13038" spans="4:38" x14ac:dyDescent="0.3">
      <c r="D13038" s="1"/>
      <c r="G13038" s="13"/>
      <c r="AL13038" s="13"/>
    </row>
    <row r="13039" spans="4:38" x14ac:dyDescent="0.3">
      <c r="D13039" s="1"/>
      <c r="G13039" s="13"/>
      <c r="AL13039" s="13"/>
    </row>
    <row r="13040" spans="4:38" x14ac:dyDescent="0.3">
      <c r="D13040" s="1"/>
      <c r="G13040" s="13"/>
      <c r="AL13040" s="13"/>
    </row>
    <row r="13041" spans="4:38" x14ac:dyDescent="0.3">
      <c r="D13041" s="1"/>
      <c r="G13041" s="13"/>
      <c r="AL13041" s="13"/>
    </row>
    <row r="13042" spans="4:38" x14ac:dyDescent="0.3">
      <c r="D13042" s="1"/>
      <c r="G13042" s="13"/>
      <c r="AL13042" s="13"/>
    </row>
    <row r="13043" spans="4:38" x14ac:dyDescent="0.3">
      <c r="D13043" s="1"/>
      <c r="G13043" s="13"/>
      <c r="AL13043" s="13"/>
    </row>
    <row r="13044" spans="4:38" x14ac:dyDescent="0.3">
      <c r="D13044" s="1"/>
      <c r="G13044" s="13"/>
      <c r="AL13044" s="13"/>
    </row>
    <row r="13045" spans="4:38" x14ac:dyDescent="0.3">
      <c r="D13045" s="1"/>
      <c r="G13045" s="13"/>
      <c r="AL13045" s="13"/>
    </row>
    <row r="13046" spans="4:38" x14ac:dyDescent="0.3">
      <c r="D13046" s="1"/>
      <c r="G13046" s="13"/>
      <c r="AL13046" s="13"/>
    </row>
    <row r="13047" spans="4:38" x14ac:dyDescent="0.3">
      <c r="D13047" s="1"/>
      <c r="G13047" s="13"/>
      <c r="AL13047" s="13"/>
    </row>
    <row r="13048" spans="4:38" x14ac:dyDescent="0.3">
      <c r="D13048" s="1"/>
      <c r="G13048" s="13"/>
      <c r="AL13048" s="13"/>
    </row>
    <row r="13049" spans="4:38" x14ac:dyDescent="0.3">
      <c r="D13049" s="1"/>
      <c r="G13049" s="13"/>
      <c r="AL13049" s="13"/>
    </row>
    <row r="13050" spans="4:38" x14ac:dyDescent="0.3">
      <c r="D13050" s="1"/>
      <c r="G13050" s="13"/>
      <c r="AL13050" s="13"/>
    </row>
    <row r="13051" spans="4:38" x14ac:dyDescent="0.3">
      <c r="D13051" s="1"/>
      <c r="G13051" s="13"/>
      <c r="AL13051" s="13"/>
    </row>
    <row r="13052" spans="4:38" x14ac:dyDescent="0.3">
      <c r="D13052" s="1"/>
      <c r="G13052" s="13"/>
      <c r="AL13052" s="13"/>
    </row>
    <row r="13053" spans="4:38" x14ac:dyDescent="0.3">
      <c r="D13053" s="1"/>
      <c r="G13053" s="13"/>
      <c r="AL13053" s="13"/>
    </row>
    <row r="13054" spans="4:38" x14ac:dyDescent="0.3">
      <c r="D13054" s="1"/>
      <c r="G13054" s="13"/>
      <c r="AL13054" s="13"/>
    </row>
    <row r="13055" spans="4:38" x14ac:dyDescent="0.3">
      <c r="D13055" s="1"/>
      <c r="G13055" s="13"/>
      <c r="AL13055" s="13"/>
    </row>
    <row r="13056" spans="4:38" x14ac:dyDescent="0.3">
      <c r="D13056" s="1"/>
      <c r="G13056" s="13"/>
      <c r="AL13056" s="13"/>
    </row>
    <row r="13057" spans="4:39" x14ac:dyDescent="0.3">
      <c r="D13057" s="1"/>
      <c r="G13057" s="13"/>
      <c r="AL13057" s="13"/>
    </row>
    <row r="13058" spans="4:39" x14ac:dyDescent="0.3">
      <c r="D13058" s="1"/>
      <c r="G13058" s="13"/>
      <c r="AL13058" s="13"/>
    </row>
    <row r="13059" spans="4:39" x14ac:dyDescent="0.3">
      <c r="D13059" s="1"/>
      <c r="G13059" s="13"/>
      <c r="AL13059" s="13"/>
    </row>
    <row r="13060" spans="4:39" x14ac:dyDescent="0.3">
      <c r="D13060" s="1"/>
      <c r="G13060" s="13"/>
      <c r="AL13060" s="13"/>
    </row>
    <row r="13061" spans="4:39" x14ac:dyDescent="0.3">
      <c r="D13061" s="1"/>
      <c r="G13061" s="13"/>
      <c r="AL13061" s="13"/>
    </row>
    <row r="13062" spans="4:39" x14ac:dyDescent="0.3">
      <c r="D13062" s="1"/>
      <c r="G13062" s="13"/>
      <c r="AL13062" s="13"/>
    </row>
    <row r="13063" spans="4:39" x14ac:dyDescent="0.3">
      <c r="D13063" s="1"/>
      <c r="G13063" s="13"/>
      <c r="AL13063" s="13"/>
    </row>
    <row r="13064" spans="4:39" x14ac:dyDescent="0.3">
      <c r="D13064" s="1"/>
      <c r="G13064" s="13"/>
      <c r="AL13064" s="13"/>
    </row>
    <row r="13065" spans="4:39" x14ac:dyDescent="0.3">
      <c r="D13065" s="1"/>
      <c r="G13065" s="13"/>
      <c r="AL13065" s="13"/>
    </row>
    <row r="13066" spans="4:39" x14ac:dyDescent="0.3">
      <c r="D13066" s="1"/>
      <c r="G13066" s="13"/>
      <c r="AL13066" s="13"/>
    </row>
    <row r="13067" spans="4:39" x14ac:dyDescent="0.3">
      <c r="D13067" s="1"/>
      <c r="G13067" s="13"/>
      <c r="AL13067" s="13"/>
    </row>
    <row r="13068" spans="4:39" x14ac:dyDescent="0.3">
      <c r="D13068" s="1"/>
      <c r="G13068" s="13"/>
      <c r="AL13068" s="13"/>
    </row>
    <row r="13069" spans="4:39" x14ac:dyDescent="0.3">
      <c r="D13069" s="1"/>
      <c r="G13069" s="13"/>
      <c r="AL13069" s="13"/>
    </row>
    <row r="13070" spans="4:39" x14ac:dyDescent="0.3">
      <c r="D13070" s="1"/>
      <c r="G13070" s="13"/>
      <c r="AL13070" s="13"/>
      <c r="AM13070" s="14"/>
    </row>
    <row r="13071" spans="4:39" x14ac:dyDescent="0.3">
      <c r="D13071" s="1"/>
      <c r="G13071" s="13"/>
      <c r="AL13071" s="13"/>
    </row>
    <row r="13072" spans="4:39" x14ac:dyDescent="0.3">
      <c r="D13072" s="1"/>
      <c r="G13072" s="13"/>
      <c r="AL13072" s="13"/>
    </row>
    <row r="13073" spans="4:38" x14ac:dyDescent="0.3">
      <c r="D13073" s="1"/>
      <c r="G13073" s="13"/>
      <c r="AL13073" s="13"/>
    </row>
    <row r="13074" spans="4:38" x14ac:dyDescent="0.3">
      <c r="D13074" s="1"/>
      <c r="G13074" s="13"/>
      <c r="AL13074" s="13"/>
    </row>
    <row r="13075" spans="4:38" x14ac:dyDescent="0.3">
      <c r="D13075" s="1"/>
      <c r="G13075" s="13"/>
      <c r="AL13075" s="13"/>
    </row>
    <row r="13076" spans="4:38" x14ac:dyDescent="0.3">
      <c r="D13076" s="1"/>
      <c r="G13076" s="13"/>
      <c r="AL13076" s="13"/>
    </row>
    <row r="13077" spans="4:38" x14ac:dyDescent="0.3">
      <c r="D13077" s="1"/>
      <c r="G13077" s="13"/>
      <c r="AL13077" s="13"/>
    </row>
    <row r="13078" spans="4:38" x14ac:dyDescent="0.3">
      <c r="D13078" s="1"/>
      <c r="G13078" s="13"/>
      <c r="AL13078" s="13"/>
    </row>
    <row r="13079" spans="4:38" x14ac:dyDescent="0.3">
      <c r="D13079" s="1"/>
      <c r="G13079" s="13"/>
      <c r="AL13079" s="13"/>
    </row>
    <row r="13080" spans="4:38" x14ac:dyDescent="0.3">
      <c r="D13080" s="1"/>
      <c r="G13080" s="13"/>
      <c r="AL13080" s="13"/>
    </row>
    <row r="13081" spans="4:38" x14ac:dyDescent="0.3">
      <c r="D13081" s="1"/>
      <c r="G13081" s="13"/>
      <c r="AL13081" s="13"/>
    </row>
    <row r="13082" spans="4:38" x14ac:dyDescent="0.3">
      <c r="D13082" s="1"/>
      <c r="G13082" s="13"/>
      <c r="AL13082" s="13"/>
    </row>
    <row r="13083" spans="4:38" x14ac:dyDescent="0.3">
      <c r="D13083" s="1"/>
      <c r="G13083" s="13"/>
      <c r="AL13083" s="13"/>
    </row>
    <row r="13084" spans="4:38" x14ac:dyDescent="0.3">
      <c r="D13084" s="1"/>
      <c r="G13084" s="13"/>
      <c r="AL13084" s="13"/>
    </row>
    <row r="13085" spans="4:38" x14ac:dyDescent="0.3">
      <c r="D13085" s="1"/>
      <c r="G13085" s="13"/>
      <c r="AL13085" s="13"/>
    </row>
    <row r="13086" spans="4:38" x14ac:dyDescent="0.3">
      <c r="D13086" s="1"/>
      <c r="G13086" s="13"/>
      <c r="AL13086" s="13"/>
    </row>
    <row r="13087" spans="4:38" x14ac:dyDescent="0.3">
      <c r="D13087" s="1"/>
      <c r="G13087" s="13"/>
      <c r="AL13087" s="13"/>
    </row>
    <row r="13088" spans="4:38" x14ac:dyDescent="0.3">
      <c r="D13088" s="1"/>
      <c r="G13088" s="13"/>
      <c r="AL13088" s="13"/>
    </row>
    <row r="13089" spans="4:39" x14ac:dyDescent="0.3">
      <c r="D13089" s="1"/>
      <c r="G13089" s="13"/>
      <c r="AL13089" s="13"/>
    </row>
    <row r="13090" spans="4:39" x14ac:dyDescent="0.3">
      <c r="D13090" s="1"/>
      <c r="G13090" s="13"/>
      <c r="AL13090" s="13"/>
    </row>
    <row r="13091" spans="4:39" x14ac:dyDescent="0.3">
      <c r="D13091" s="1"/>
      <c r="G13091" s="13"/>
      <c r="AL13091" s="13"/>
    </row>
    <row r="13092" spans="4:39" x14ac:dyDescent="0.3">
      <c r="D13092" s="1"/>
      <c r="G13092" s="13"/>
      <c r="AL13092" s="13"/>
    </row>
    <row r="13093" spans="4:39" x14ac:dyDescent="0.3">
      <c r="D13093" s="1"/>
      <c r="G13093" s="13"/>
      <c r="AL13093" s="13"/>
    </row>
    <row r="13094" spans="4:39" x14ac:dyDescent="0.3">
      <c r="D13094" s="1"/>
      <c r="G13094" s="13"/>
      <c r="AL13094" s="13"/>
    </row>
    <row r="13095" spans="4:39" x14ac:dyDescent="0.3">
      <c r="D13095" s="1"/>
      <c r="G13095" s="13"/>
      <c r="AL13095" s="13"/>
    </row>
    <row r="13096" spans="4:39" x14ac:dyDescent="0.3">
      <c r="D13096" s="1"/>
      <c r="G13096" s="13"/>
      <c r="AL13096" s="13"/>
    </row>
    <row r="13097" spans="4:39" x14ac:dyDescent="0.3">
      <c r="D13097" s="1"/>
      <c r="G13097" s="13"/>
      <c r="AL13097" s="13"/>
    </row>
    <row r="13098" spans="4:39" x14ac:dyDescent="0.3">
      <c r="D13098" s="1"/>
      <c r="G13098" s="13"/>
      <c r="AL13098" s="13"/>
    </row>
    <row r="13099" spans="4:39" x14ac:dyDescent="0.3">
      <c r="D13099" s="1"/>
      <c r="G13099" s="13"/>
      <c r="AL13099" s="13"/>
      <c r="AM13099" s="14"/>
    </row>
    <row r="13100" spans="4:39" x14ac:dyDescent="0.3">
      <c r="D13100" s="1"/>
      <c r="G13100" s="13"/>
      <c r="AL13100" s="13"/>
    </row>
    <row r="13101" spans="4:39" x14ac:dyDescent="0.3">
      <c r="D13101" s="1"/>
      <c r="G13101" s="13"/>
      <c r="AL13101" s="13"/>
    </row>
    <row r="13102" spans="4:39" x14ac:dyDescent="0.3">
      <c r="D13102" s="1"/>
      <c r="G13102" s="13"/>
      <c r="AL13102" s="13"/>
    </row>
    <row r="13103" spans="4:39" x14ac:dyDescent="0.3">
      <c r="D13103" s="1"/>
      <c r="G13103" s="13"/>
      <c r="AL13103" s="13"/>
    </row>
    <row r="13104" spans="4:39" x14ac:dyDescent="0.3">
      <c r="D13104" s="1"/>
      <c r="G13104" s="13"/>
      <c r="AL13104" s="13"/>
    </row>
    <row r="13105" spans="4:39" x14ac:dyDescent="0.3">
      <c r="D13105" s="1"/>
      <c r="G13105" s="13"/>
      <c r="AL13105" s="13"/>
    </row>
    <row r="13106" spans="4:39" x14ac:dyDescent="0.3">
      <c r="D13106" s="1"/>
      <c r="G13106" s="13"/>
      <c r="AL13106" s="13"/>
    </row>
    <row r="13107" spans="4:39" x14ac:dyDescent="0.3">
      <c r="D13107" s="1"/>
      <c r="G13107" s="13"/>
      <c r="AL13107" s="13"/>
    </row>
    <row r="13108" spans="4:39" x14ac:dyDescent="0.3">
      <c r="D13108" s="1"/>
      <c r="G13108" s="13"/>
      <c r="AL13108" s="13"/>
    </row>
    <row r="13109" spans="4:39" x14ac:dyDescent="0.3">
      <c r="D13109" s="1"/>
      <c r="G13109" s="13"/>
      <c r="AL13109" s="13"/>
    </row>
    <row r="13110" spans="4:39" x14ac:dyDescent="0.3">
      <c r="D13110" s="1"/>
      <c r="G13110" s="13"/>
      <c r="AL13110" s="13"/>
      <c r="AM13110" s="14"/>
    </row>
    <row r="13111" spans="4:39" x14ac:dyDescent="0.3">
      <c r="D13111" s="1"/>
      <c r="G13111" s="13"/>
      <c r="AL13111" s="13"/>
    </row>
    <row r="13112" spans="4:39" x14ac:dyDescent="0.3">
      <c r="D13112" s="1"/>
      <c r="G13112" s="13"/>
      <c r="AL13112" s="13"/>
    </row>
    <row r="13113" spans="4:39" x14ac:dyDescent="0.3">
      <c r="D13113" s="1"/>
      <c r="G13113" s="13"/>
      <c r="AL13113" s="13"/>
    </row>
    <row r="13114" spans="4:39" x14ac:dyDescent="0.3">
      <c r="D13114" s="1"/>
      <c r="G13114" s="13"/>
      <c r="AL13114" s="13"/>
    </row>
    <row r="13115" spans="4:39" x14ac:dyDescent="0.3">
      <c r="D13115" s="1"/>
      <c r="G13115" s="13"/>
      <c r="AL13115" s="13"/>
    </row>
    <row r="13116" spans="4:39" x14ac:dyDescent="0.3">
      <c r="D13116" s="1"/>
      <c r="G13116" s="13"/>
      <c r="AL13116" s="13"/>
      <c r="AM13116" s="14"/>
    </row>
    <row r="13117" spans="4:39" x14ac:dyDescent="0.3">
      <c r="D13117" s="1"/>
      <c r="G13117" s="13"/>
      <c r="AL13117" s="13"/>
    </row>
    <row r="13118" spans="4:39" x14ac:dyDescent="0.3">
      <c r="D13118" s="1"/>
      <c r="G13118" s="13"/>
      <c r="AL13118" s="13"/>
    </row>
    <row r="13119" spans="4:39" x14ac:dyDescent="0.3">
      <c r="D13119" s="1"/>
      <c r="G13119" s="13"/>
      <c r="AL13119" s="13"/>
    </row>
    <row r="13120" spans="4:39" x14ac:dyDescent="0.3">
      <c r="D13120" s="1"/>
      <c r="G13120" s="13"/>
      <c r="AL13120" s="13"/>
    </row>
    <row r="13121" spans="4:38" x14ac:dyDescent="0.3">
      <c r="D13121" s="1"/>
      <c r="G13121" s="13"/>
      <c r="AL13121" s="13"/>
    </row>
    <row r="13122" spans="4:38" x14ac:dyDescent="0.3">
      <c r="D13122" s="1"/>
      <c r="G13122" s="13"/>
      <c r="AL13122" s="13"/>
    </row>
    <row r="13123" spans="4:38" x14ac:dyDescent="0.3">
      <c r="D13123" s="1"/>
      <c r="G13123" s="13"/>
      <c r="AL13123" s="13"/>
    </row>
    <row r="13124" spans="4:38" x14ac:dyDescent="0.3">
      <c r="D13124" s="1"/>
      <c r="G13124" s="13"/>
      <c r="AL13124" s="13"/>
    </row>
    <row r="13125" spans="4:38" x14ac:dyDescent="0.3">
      <c r="D13125" s="1"/>
      <c r="G13125" s="13"/>
      <c r="AL13125" s="13"/>
    </row>
    <row r="13126" spans="4:38" x14ac:dyDescent="0.3">
      <c r="D13126" s="1"/>
      <c r="G13126" s="13"/>
      <c r="AL13126" s="13"/>
    </row>
    <row r="13127" spans="4:38" x14ac:dyDescent="0.3">
      <c r="D13127" s="1"/>
      <c r="G13127" s="13"/>
      <c r="AL13127" s="13"/>
    </row>
    <row r="13128" spans="4:38" x14ac:dyDescent="0.3">
      <c r="D13128" s="1"/>
      <c r="G13128" s="13"/>
      <c r="AL13128" s="13"/>
    </row>
    <row r="13129" spans="4:38" x14ac:dyDescent="0.3">
      <c r="D13129" s="1"/>
      <c r="G13129" s="13"/>
      <c r="AL13129" s="13"/>
    </row>
    <row r="13130" spans="4:38" x14ac:dyDescent="0.3">
      <c r="D13130" s="1"/>
      <c r="G13130" s="13"/>
      <c r="AL13130" s="13"/>
    </row>
    <row r="13131" spans="4:38" x14ac:dyDescent="0.3">
      <c r="D13131" s="1"/>
      <c r="G13131" s="13"/>
      <c r="AL13131" s="13"/>
    </row>
    <row r="13132" spans="4:38" x14ac:dyDescent="0.3">
      <c r="D13132" s="1"/>
      <c r="G13132" s="13"/>
      <c r="AL13132" s="13"/>
    </row>
    <row r="13133" spans="4:38" x14ac:dyDescent="0.3">
      <c r="D13133" s="1"/>
      <c r="G13133" s="13"/>
      <c r="AL13133" s="13"/>
    </row>
    <row r="13134" spans="4:38" x14ac:dyDescent="0.3">
      <c r="D13134" s="1"/>
      <c r="G13134" s="13"/>
      <c r="AL13134" s="13"/>
    </row>
    <row r="13135" spans="4:38" x14ac:dyDescent="0.3">
      <c r="D13135" s="1"/>
      <c r="G13135" s="13"/>
      <c r="AL13135" s="13"/>
    </row>
    <row r="13136" spans="4:38" x14ac:dyDescent="0.3">
      <c r="D13136" s="1"/>
      <c r="G13136" s="13"/>
      <c r="AL13136" s="13"/>
    </row>
    <row r="13137" spans="4:39" x14ac:dyDescent="0.3">
      <c r="D13137" s="1"/>
      <c r="G13137" s="13"/>
      <c r="AL13137" s="13"/>
    </row>
    <row r="13138" spans="4:39" x14ac:dyDescent="0.3">
      <c r="D13138" s="1"/>
      <c r="G13138" s="13"/>
      <c r="AL13138" s="13"/>
    </row>
    <row r="13139" spans="4:39" x14ac:dyDescent="0.3">
      <c r="D13139" s="1"/>
      <c r="G13139" s="13"/>
      <c r="AL13139" s="13"/>
    </row>
    <row r="13140" spans="4:39" x14ac:dyDescent="0.3">
      <c r="D13140" s="1"/>
      <c r="G13140" s="13"/>
      <c r="AL13140" s="13"/>
    </row>
    <row r="13141" spans="4:39" x14ac:dyDescent="0.3">
      <c r="D13141" s="1"/>
      <c r="G13141" s="13"/>
      <c r="AL13141" s="13"/>
    </row>
    <row r="13142" spans="4:39" x14ac:dyDescent="0.3">
      <c r="D13142" s="1"/>
      <c r="G13142" s="13"/>
      <c r="AL13142" s="13"/>
    </row>
    <row r="13143" spans="4:39" x14ac:dyDescent="0.3">
      <c r="D13143" s="1"/>
      <c r="G13143" s="13"/>
      <c r="AL13143" s="13"/>
    </row>
    <row r="13144" spans="4:39" x14ac:dyDescent="0.3">
      <c r="D13144" s="1"/>
      <c r="G13144" s="13"/>
      <c r="AL13144" s="13"/>
    </row>
    <row r="13145" spans="4:39" x14ac:dyDescent="0.3">
      <c r="D13145" s="1"/>
      <c r="G13145" s="13"/>
      <c r="AL13145" s="13"/>
    </row>
    <row r="13146" spans="4:39" x14ac:dyDescent="0.3">
      <c r="D13146" s="1"/>
      <c r="G13146" s="13"/>
      <c r="AL13146" s="13"/>
      <c r="AM13146" s="14"/>
    </row>
    <row r="13147" spans="4:39" x14ac:dyDescent="0.3">
      <c r="D13147" s="1"/>
      <c r="G13147" s="13"/>
      <c r="AL13147" s="13"/>
    </row>
    <row r="13148" spans="4:39" x14ac:dyDescent="0.3">
      <c r="D13148" s="1"/>
      <c r="G13148" s="13"/>
      <c r="AL13148" s="13"/>
    </row>
    <row r="13149" spans="4:39" x14ac:dyDescent="0.3">
      <c r="D13149" s="1"/>
      <c r="G13149" s="13"/>
      <c r="AL13149" s="13"/>
    </row>
    <row r="13150" spans="4:39" x14ac:dyDescent="0.3">
      <c r="D13150" s="1"/>
      <c r="G13150" s="13"/>
      <c r="AL13150" s="13"/>
    </row>
    <row r="13151" spans="4:39" x14ac:dyDescent="0.3">
      <c r="D13151" s="1"/>
      <c r="G13151" s="13"/>
      <c r="AL13151" s="13"/>
    </row>
    <row r="13152" spans="4:39" x14ac:dyDescent="0.3">
      <c r="D13152" s="1"/>
      <c r="G13152" s="13"/>
      <c r="AL13152" s="13"/>
      <c r="AM13152" s="14"/>
    </row>
    <row r="13153" spans="4:38" x14ac:dyDescent="0.3">
      <c r="D13153" s="1"/>
      <c r="G13153" s="13"/>
      <c r="AL13153" s="13"/>
    </row>
    <row r="13154" spans="4:38" x14ac:dyDescent="0.3">
      <c r="D13154" s="1"/>
      <c r="G13154" s="13"/>
      <c r="AL13154" s="13"/>
    </row>
    <row r="13155" spans="4:38" x14ac:dyDescent="0.3">
      <c r="D13155" s="1"/>
      <c r="G13155" s="13"/>
      <c r="AL13155" s="13"/>
    </row>
    <row r="13156" spans="4:38" x14ac:dyDescent="0.3">
      <c r="D13156" s="1"/>
      <c r="G13156" s="13"/>
      <c r="AL13156" s="13"/>
    </row>
    <row r="13157" spans="4:38" x14ac:dyDescent="0.3">
      <c r="D13157" s="1"/>
      <c r="G13157" s="13"/>
      <c r="AL13157" s="13"/>
    </row>
    <row r="13158" spans="4:38" x14ac:dyDescent="0.3">
      <c r="D13158" s="1"/>
      <c r="G13158" s="13"/>
      <c r="AL13158" s="13"/>
    </row>
    <row r="13159" spans="4:38" x14ac:dyDescent="0.3">
      <c r="D13159" s="1"/>
      <c r="G13159" s="13"/>
      <c r="AL13159" s="13"/>
    </row>
    <row r="13160" spans="4:38" x14ac:dyDescent="0.3">
      <c r="D13160" s="1"/>
      <c r="G13160" s="13"/>
      <c r="AL13160" s="13"/>
    </row>
    <row r="13161" spans="4:38" x14ac:dyDescent="0.3">
      <c r="D13161" s="1"/>
      <c r="G13161" s="13"/>
      <c r="AL13161" s="13"/>
    </row>
    <row r="13162" spans="4:38" x14ac:dyDescent="0.3">
      <c r="D13162" s="1"/>
      <c r="G13162" s="13"/>
      <c r="AL13162" s="13"/>
    </row>
    <row r="13163" spans="4:38" x14ac:dyDescent="0.3">
      <c r="D13163" s="1"/>
      <c r="G13163" s="13"/>
      <c r="AL13163" s="13"/>
    </row>
    <row r="13164" spans="4:38" x14ac:dyDescent="0.3">
      <c r="D13164" s="1"/>
      <c r="G13164" s="13"/>
      <c r="AL13164" s="13"/>
    </row>
    <row r="13165" spans="4:38" x14ac:dyDescent="0.3">
      <c r="D13165" s="1"/>
      <c r="G13165" s="13"/>
      <c r="AL13165" s="13"/>
    </row>
    <row r="13166" spans="4:38" x14ac:dyDescent="0.3">
      <c r="D13166" s="1"/>
      <c r="G13166" s="13"/>
      <c r="AL13166" s="13"/>
    </row>
    <row r="13167" spans="4:38" x14ac:dyDescent="0.3">
      <c r="D13167" s="1"/>
      <c r="G13167" s="13"/>
      <c r="AL13167" s="13"/>
    </row>
    <row r="13168" spans="4:38" x14ac:dyDescent="0.3">
      <c r="D13168" s="1"/>
      <c r="G13168" s="13"/>
      <c r="AL13168" s="13"/>
    </row>
    <row r="13169" spans="4:39" x14ac:dyDescent="0.3">
      <c r="D13169" s="1"/>
      <c r="G13169" s="13"/>
      <c r="AL13169" s="13"/>
    </row>
    <row r="13170" spans="4:39" x14ac:dyDescent="0.3">
      <c r="D13170" s="1"/>
      <c r="G13170" s="13"/>
      <c r="AL13170" s="13"/>
    </row>
    <row r="13171" spans="4:39" x14ac:dyDescent="0.3">
      <c r="D13171" s="1"/>
      <c r="G13171" s="13"/>
      <c r="AL13171" s="13"/>
    </row>
    <row r="13172" spans="4:39" x14ac:dyDescent="0.3">
      <c r="D13172" s="1"/>
      <c r="G13172" s="13"/>
      <c r="AL13172" s="13"/>
    </row>
    <row r="13173" spans="4:39" x14ac:dyDescent="0.3">
      <c r="D13173" s="1"/>
      <c r="G13173" s="13"/>
      <c r="AL13173" s="13"/>
      <c r="AM13173" s="14"/>
    </row>
    <row r="13174" spans="4:39" x14ac:dyDescent="0.3">
      <c r="D13174" s="1"/>
      <c r="G13174" s="13"/>
      <c r="AL13174" s="13"/>
    </row>
    <row r="13175" spans="4:39" x14ac:dyDescent="0.3">
      <c r="D13175" s="1"/>
      <c r="G13175" s="13"/>
      <c r="AL13175" s="13"/>
    </row>
    <row r="13176" spans="4:39" x14ac:dyDescent="0.3">
      <c r="D13176" s="1"/>
      <c r="G13176" s="13"/>
      <c r="AL13176" s="13"/>
    </row>
    <row r="13177" spans="4:39" x14ac:dyDescent="0.3">
      <c r="D13177" s="1"/>
      <c r="G13177" s="13"/>
      <c r="AL13177" s="13"/>
    </row>
    <row r="13178" spans="4:39" x14ac:dyDescent="0.3">
      <c r="D13178" s="1"/>
      <c r="G13178" s="13"/>
      <c r="AL13178" s="13"/>
    </row>
    <row r="13179" spans="4:39" x14ac:dyDescent="0.3">
      <c r="D13179" s="1"/>
      <c r="G13179" s="13"/>
      <c r="AL13179" s="13"/>
    </row>
    <row r="13180" spans="4:39" x14ac:dyDescent="0.3">
      <c r="D13180" s="1"/>
      <c r="G13180" s="13"/>
      <c r="AL13180" s="13"/>
      <c r="AM13180" s="14"/>
    </row>
    <row r="13181" spans="4:39" x14ac:dyDescent="0.3">
      <c r="D13181" s="1"/>
      <c r="G13181" s="13"/>
      <c r="AL13181" s="13"/>
    </row>
    <row r="13182" spans="4:39" x14ac:dyDescent="0.3">
      <c r="D13182" s="1"/>
      <c r="G13182" s="13"/>
      <c r="AL13182" s="13"/>
      <c r="AM13182" s="14"/>
    </row>
    <row r="13183" spans="4:39" x14ac:dyDescent="0.3">
      <c r="D13183" s="1"/>
      <c r="G13183" s="13"/>
      <c r="AL13183" s="13"/>
      <c r="AM13183" s="14"/>
    </row>
    <row r="13184" spans="4:39" x14ac:dyDescent="0.3">
      <c r="D13184" s="1"/>
      <c r="G13184" s="13"/>
      <c r="AL13184" s="13"/>
    </row>
    <row r="13185" spans="4:39" x14ac:dyDescent="0.3">
      <c r="D13185" s="1"/>
      <c r="G13185" s="13"/>
      <c r="AL13185" s="13"/>
    </row>
    <row r="13186" spans="4:39" x14ac:dyDescent="0.3">
      <c r="D13186" s="1"/>
      <c r="G13186" s="13"/>
      <c r="AL13186" s="13"/>
    </row>
    <row r="13187" spans="4:39" x14ac:dyDescent="0.3">
      <c r="D13187" s="1"/>
      <c r="G13187" s="13"/>
      <c r="AL13187" s="13"/>
    </row>
    <row r="13188" spans="4:39" x14ac:dyDescent="0.3">
      <c r="D13188" s="1"/>
      <c r="G13188" s="13"/>
      <c r="AL13188" s="13"/>
    </row>
    <row r="13189" spans="4:39" x14ac:dyDescent="0.3">
      <c r="D13189" s="1"/>
      <c r="G13189" s="13"/>
      <c r="AL13189" s="13"/>
    </row>
    <row r="13190" spans="4:39" x14ac:dyDescent="0.3">
      <c r="D13190" s="1"/>
      <c r="G13190" s="13"/>
      <c r="AL13190" s="13"/>
    </row>
    <row r="13191" spans="4:39" x14ac:dyDescent="0.3">
      <c r="D13191" s="1"/>
      <c r="G13191" s="13"/>
      <c r="AL13191" s="13"/>
    </row>
    <row r="13192" spans="4:39" x14ac:dyDescent="0.3">
      <c r="D13192" s="1"/>
      <c r="G13192" s="13"/>
      <c r="AL13192" s="13"/>
    </row>
    <row r="13193" spans="4:39" x14ac:dyDescent="0.3">
      <c r="D13193" s="1"/>
      <c r="G13193" s="13"/>
      <c r="AL13193" s="13"/>
    </row>
    <row r="13194" spans="4:39" x14ac:dyDescent="0.3">
      <c r="D13194" s="1"/>
      <c r="G13194" s="13"/>
      <c r="AL13194" s="13"/>
    </row>
    <row r="13195" spans="4:39" x14ac:dyDescent="0.3">
      <c r="D13195" s="1"/>
      <c r="G13195" s="13"/>
      <c r="AL13195" s="13"/>
    </row>
    <row r="13196" spans="4:39" x14ac:dyDescent="0.3">
      <c r="D13196" s="1"/>
      <c r="G13196" s="13"/>
      <c r="AL13196" s="13"/>
      <c r="AM13196" s="14"/>
    </row>
    <row r="13197" spans="4:39" x14ac:dyDescent="0.3">
      <c r="D13197" s="1"/>
      <c r="G13197" s="13"/>
      <c r="AL13197" s="13"/>
      <c r="AM13197" s="14"/>
    </row>
    <row r="13198" spans="4:39" x14ac:dyDescent="0.3">
      <c r="D13198" s="1"/>
      <c r="G13198" s="13"/>
      <c r="AL13198" s="13"/>
    </row>
    <row r="13199" spans="4:39" x14ac:dyDescent="0.3">
      <c r="D13199" s="1"/>
      <c r="G13199" s="13"/>
      <c r="AL13199" s="13"/>
    </row>
    <row r="13200" spans="4:39" x14ac:dyDescent="0.3">
      <c r="D13200" s="1"/>
      <c r="G13200" s="13"/>
      <c r="AL13200" s="13"/>
    </row>
    <row r="13201" spans="4:39" x14ac:dyDescent="0.3">
      <c r="D13201" s="1"/>
      <c r="G13201" s="13"/>
      <c r="AL13201" s="13"/>
    </row>
    <row r="13202" spans="4:39" x14ac:dyDescent="0.3">
      <c r="D13202" s="1"/>
      <c r="G13202" s="13"/>
      <c r="AL13202" s="13"/>
    </row>
    <row r="13203" spans="4:39" x14ac:dyDescent="0.3">
      <c r="D13203" s="1"/>
      <c r="G13203" s="13"/>
      <c r="AL13203" s="13"/>
    </row>
    <row r="13204" spans="4:39" x14ac:dyDescent="0.3">
      <c r="D13204" s="1"/>
      <c r="G13204" s="13"/>
      <c r="AL13204" s="13"/>
    </row>
    <row r="13205" spans="4:39" x14ac:dyDescent="0.3">
      <c r="D13205" s="1"/>
      <c r="G13205" s="13"/>
      <c r="AL13205" s="13"/>
    </row>
    <row r="13206" spans="4:39" x14ac:dyDescent="0.3">
      <c r="D13206" s="1"/>
      <c r="G13206" s="13"/>
      <c r="AL13206" s="13"/>
    </row>
    <row r="13207" spans="4:39" x14ac:dyDescent="0.3">
      <c r="D13207" s="1"/>
      <c r="G13207" s="13"/>
      <c r="AL13207" s="13"/>
    </row>
    <row r="13208" spans="4:39" x14ac:dyDescent="0.3">
      <c r="D13208" s="1"/>
      <c r="G13208" s="13"/>
      <c r="AL13208" s="13"/>
    </row>
    <row r="13209" spans="4:39" x14ac:dyDescent="0.3">
      <c r="D13209" s="1"/>
      <c r="G13209" s="13"/>
      <c r="AL13209" s="13"/>
    </row>
    <row r="13210" spans="4:39" x14ac:dyDescent="0.3">
      <c r="D13210" s="1"/>
      <c r="G13210" s="13"/>
      <c r="AL13210" s="13"/>
      <c r="AM13210" s="14"/>
    </row>
    <row r="13211" spans="4:39" x14ac:dyDescent="0.3">
      <c r="D13211" s="1"/>
      <c r="G13211" s="13"/>
      <c r="AL13211" s="13"/>
      <c r="AM13211" s="14"/>
    </row>
    <row r="13212" spans="4:39" x14ac:dyDescent="0.3">
      <c r="D13212" s="1"/>
      <c r="G13212" s="13"/>
      <c r="AL13212" s="13"/>
      <c r="AM13212" s="14"/>
    </row>
    <row r="13213" spans="4:39" x14ac:dyDescent="0.3">
      <c r="D13213" s="1"/>
      <c r="G13213" s="13"/>
      <c r="AL13213" s="13"/>
    </row>
    <row r="13214" spans="4:39" x14ac:dyDescent="0.3">
      <c r="D13214" s="1"/>
      <c r="G13214" s="13"/>
      <c r="AL13214" s="13"/>
      <c r="AM13214" s="14"/>
    </row>
    <row r="13215" spans="4:39" x14ac:dyDescent="0.3">
      <c r="D13215" s="1"/>
      <c r="G13215" s="13"/>
      <c r="AL13215" s="13"/>
    </row>
    <row r="13216" spans="4:39" x14ac:dyDescent="0.3">
      <c r="D13216" s="1"/>
      <c r="G13216" s="13"/>
      <c r="AL13216" s="13"/>
    </row>
    <row r="13217" spans="4:39" x14ac:dyDescent="0.3">
      <c r="D13217" s="1"/>
      <c r="G13217" s="13"/>
      <c r="AL13217" s="13"/>
    </row>
    <row r="13218" spans="4:39" x14ac:dyDescent="0.3">
      <c r="D13218" s="1"/>
      <c r="G13218" s="13"/>
      <c r="AL13218" s="13"/>
    </row>
    <row r="13219" spans="4:39" x14ac:dyDescent="0.3">
      <c r="D13219" s="1"/>
      <c r="G13219" s="13"/>
      <c r="AL13219" s="13"/>
    </row>
    <row r="13220" spans="4:39" x14ac:dyDescent="0.3">
      <c r="D13220" s="1"/>
      <c r="G13220" s="13"/>
      <c r="AL13220" s="13"/>
    </row>
    <row r="13221" spans="4:39" x14ac:dyDescent="0.3">
      <c r="D13221" s="1"/>
      <c r="G13221" s="13"/>
      <c r="AL13221" s="13"/>
    </row>
    <row r="13222" spans="4:39" x14ac:dyDescent="0.3">
      <c r="D13222" s="1"/>
      <c r="G13222" s="13"/>
      <c r="AL13222" s="13"/>
    </row>
    <row r="13223" spans="4:39" x14ac:dyDescent="0.3">
      <c r="D13223" s="1"/>
      <c r="G13223" s="13"/>
      <c r="AL13223" s="13"/>
    </row>
    <row r="13224" spans="4:39" x14ac:dyDescent="0.3">
      <c r="D13224" s="1"/>
      <c r="G13224" s="13"/>
      <c r="AL13224" s="13"/>
    </row>
    <row r="13225" spans="4:39" x14ac:dyDescent="0.3">
      <c r="D13225" s="1"/>
      <c r="G13225" s="13"/>
      <c r="AL13225" s="13"/>
    </row>
    <row r="13226" spans="4:39" x14ac:dyDescent="0.3">
      <c r="D13226" s="1"/>
      <c r="G13226" s="13"/>
      <c r="AL13226" s="13"/>
      <c r="AM13226" s="14"/>
    </row>
    <row r="13227" spans="4:39" x14ac:dyDescent="0.3">
      <c r="D13227" s="1"/>
      <c r="G13227" s="13"/>
      <c r="AL13227" s="13"/>
    </row>
    <row r="13228" spans="4:39" x14ac:dyDescent="0.3">
      <c r="D13228" s="1"/>
      <c r="G13228" s="13"/>
      <c r="AL13228" s="13"/>
      <c r="AM13228" s="14"/>
    </row>
    <row r="13229" spans="4:39" x14ac:dyDescent="0.3">
      <c r="D13229" s="1"/>
      <c r="G13229" s="13"/>
      <c r="AL13229" s="13"/>
    </row>
    <row r="13230" spans="4:39" x14ac:dyDescent="0.3">
      <c r="D13230" s="1"/>
      <c r="G13230" s="13"/>
      <c r="AL13230" s="13"/>
    </row>
    <row r="13231" spans="4:39" x14ac:dyDescent="0.3">
      <c r="D13231" s="1"/>
      <c r="G13231" s="13"/>
      <c r="AL13231" s="13"/>
      <c r="AM13231" s="14"/>
    </row>
    <row r="13232" spans="4:39" x14ac:dyDescent="0.3">
      <c r="D13232" s="1"/>
      <c r="G13232" s="13"/>
      <c r="AL13232" s="13"/>
    </row>
    <row r="13233" spans="4:39" x14ac:dyDescent="0.3">
      <c r="D13233" s="1"/>
      <c r="G13233" s="13"/>
      <c r="AL13233" s="13"/>
      <c r="AM13233" s="14"/>
    </row>
    <row r="13234" spans="4:39" x14ac:dyDescent="0.3">
      <c r="D13234" s="1"/>
      <c r="G13234" s="13"/>
      <c r="AL13234" s="13"/>
    </row>
    <row r="13235" spans="4:39" x14ac:dyDescent="0.3">
      <c r="D13235" s="1"/>
      <c r="G13235" s="13"/>
      <c r="AL13235" s="13"/>
    </row>
    <row r="13236" spans="4:39" x14ac:dyDescent="0.3">
      <c r="D13236" s="1"/>
      <c r="G13236" s="13"/>
      <c r="AL13236" s="13"/>
    </row>
    <row r="13237" spans="4:39" x14ac:dyDescent="0.3">
      <c r="D13237" s="1"/>
      <c r="G13237" s="13"/>
      <c r="AL13237" s="13"/>
    </row>
    <row r="13238" spans="4:39" x14ac:dyDescent="0.3">
      <c r="D13238" s="1"/>
      <c r="G13238" s="13"/>
      <c r="AL13238" s="13"/>
    </row>
    <row r="13239" spans="4:39" x14ac:dyDescent="0.3">
      <c r="D13239" s="1"/>
      <c r="G13239" s="13"/>
      <c r="AL13239" s="13"/>
    </row>
    <row r="13240" spans="4:39" x14ac:dyDescent="0.3">
      <c r="D13240" s="1"/>
      <c r="G13240" s="13"/>
      <c r="AL13240" s="13"/>
    </row>
    <row r="13241" spans="4:39" x14ac:dyDescent="0.3">
      <c r="D13241" s="1"/>
      <c r="G13241" s="13"/>
      <c r="AL13241" s="13"/>
    </row>
    <row r="13242" spans="4:39" x14ac:dyDescent="0.3">
      <c r="D13242" s="1"/>
      <c r="G13242" s="13"/>
      <c r="AL13242" s="13"/>
      <c r="AM13242" s="14"/>
    </row>
    <row r="13243" spans="4:39" x14ac:dyDescent="0.3">
      <c r="D13243" s="1"/>
      <c r="G13243" s="13"/>
      <c r="AL13243" s="13"/>
    </row>
    <row r="13244" spans="4:39" x14ac:dyDescent="0.3">
      <c r="D13244" s="1"/>
      <c r="G13244" s="13"/>
      <c r="AL13244" s="13"/>
      <c r="AM13244" s="14"/>
    </row>
    <row r="13245" spans="4:39" x14ac:dyDescent="0.3">
      <c r="D13245" s="1"/>
      <c r="G13245" s="13"/>
      <c r="AL13245" s="13"/>
    </row>
    <row r="13246" spans="4:39" x14ac:dyDescent="0.3">
      <c r="D13246" s="1"/>
      <c r="G13246" s="13"/>
      <c r="AL13246" s="13"/>
    </row>
    <row r="13247" spans="4:39" x14ac:dyDescent="0.3">
      <c r="D13247" s="1"/>
      <c r="G13247" s="13"/>
      <c r="AL13247" s="13"/>
    </row>
    <row r="13248" spans="4:39" x14ac:dyDescent="0.3">
      <c r="D13248" s="1"/>
      <c r="G13248" s="13"/>
      <c r="AL13248" s="13"/>
    </row>
    <row r="13249" spans="4:39" x14ac:dyDescent="0.3">
      <c r="D13249" s="1"/>
      <c r="G13249" s="13"/>
      <c r="AL13249" s="13"/>
    </row>
    <row r="13250" spans="4:39" x14ac:dyDescent="0.3">
      <c r="D13250" s="1"/>
      <c r="G13250" s="13"/>
      <c r="AL13250" s="13"/>
    </row>
    <row r="13251" spans="4:39" x14ac:dyDescent="0.3">
      <c r="D13251" s="1"/>
      <c r="G13251" s="13"/>
      <c r="AL13251" s="13"/>
    </row>
    <row r="13252" spans="4:39" x14ac:dyDescent="0.3">
      <c r="D13252" s="1"/>
      <c r="G13252" s="13"/>
      <c r="AL13252" s="13"/>
      <c r="AM13252" s="14"/>
    </row>
    <row r="13253" spans="4:39" x14ac:dyDescent="0.3">
      <c r="D13253" s="1"/>
      <c r="G13253" s="13"/>
      <c r="AL13253" s="13"/>
    </row>
    <row r="13254" spans="4:39" x14ac:dyDescent="0.3">
      <c r="D13254" s="1"/>
      <c r="G13254" s="13"/>
      <c r="AL13254" s="13"/>
    </row>
    <row r="13255" spans="4:39" x14ac:dyDescent="0.3">
      <c r="D13255" s="1"/>
      <c r="G13255" s="13"/>
      <c r="AL13255" s="13"/>
      <c r="AM13255" s="14"/>
    </row>
    <row r="13256" spans="4:39" x14ac:dyDescent="0.3">
      <c r="D13256" s="1"/>
      <c r="G13256" s="13"/>
      <c r="AL13256" s="13"/>
    </row>
    <row r="13257" spans="4:39" x14ac:dyDescent="0.3">
      <c r="D13257" s="1"/>
      <c r="G13257" s="13"/>
      <c r="AL13257" s="13"/>
    </row>
    <row r="13258" spans="4:39" x14ac:dyDescent="0.3">
      <c r="D13258" s="1"/>
      <c r="G13258" s="13"/>
      <c r="AL13258" s="13"/>
      <c r="AM13258" s="14"/>
    </row>
    <row r="13259" spans="4:39" x14ac:dyDescent="0.3">
      <c r="D13259" s="1"/>
      <c r="G13259" s="13"/>
      <c r="AL13259" s="13"/>
      <c r="AM13259" s="14"/>
    </row>
    <row r="13260" spans="4:39" x14ac:dyDescent="0.3">
      <c r="D13260" s="1"/>
      <c r="G13260" s="13"/>
      <c r="AL13260" s="13"/>
    </row>
    <row r="13261" spans="4:39" x14ac:dyDescent="0.3">
      <c r="D13261" s="1"/>
      <c r="G13261" s="13"/>
      <c r="AL13261" s="13"/>
    </row>
    <row r="13262" spans="4:39" x14ac:dyDescent="0.3">
      <c r="D13262" s="1"/>
      <c r="G13262" s="13"/>
      <c r="AL13262" s="13"/>
    </row>
    <row r="13263" spans="4:39" x14ac:dyDescent="0.3">
      <c r="D13263" s="1"/>
      <c r="G13263" s="13"/>
      <c r="AL13263" s="13"/>
    </row>
    <row r="13264" spans="4:39" x14ac:dyDescent="0.3">
      <c r="D13264" s="1"/>
      <c r="G13264" s="13"/>
      <c r="AL13264" s="13"/>
      <c r="AM13264" s="14"/>
    </row>
    <row r="13265" spans="4:39" x14ac:dyDescent="0.3">
      <c r="D13265" s="1"/>
      <c r="G13265" s="13"/>
      <c r="AL13265" s="13"/>
      <c r="AM13265" s="14"/>
    </row>
    <row r="13266" spans="4:39" x14ac:dyDescent="0.3">
      <c r="D13266" s="1"/>
      <c r="G13266" s="13"/>
      <c r="AL13266" s="13"/>
    </row>
    <row r="13267" spans="4:39" x14ac:dyDescent="0.3">
      <c r="D13267" s="1"/>
      <c r="G13267" s="13"/>
      <c r="AL13267" s="13"/>
    </row>
    <row r="13268" spans="4:39" x14ac:dyDescent="0.3">
      <c r="D13268" s="1"/>
      <c r="G13268" s="13"/>
      <c r="AL13268" s="13"/>
    </row>
    <row r="13269" spans="4:39" x14ac:dyDescent="0.3">
      <c r="D13269" s="1"/>
      <c r="G13269" s="13"/>
      <c r="AL13269" s="13"/>
    </row>
    <row r="13270" spans="4:39" x14ac:dyDescent="0.3">
      <c r="D13270" s="1"/>
      <c r="G13270" s="13"/>
      <c r="AL13270" s="13"/>
    </row>
    <row r="13271" spans="4:39" x14ac:dyDescent="0.3">
      <c r="D13271" s="1"/>
      <c r="G13271" s="13"/>
      <c r="AL13271" s="13"/>
    </row>
    <row r="13272" spans="4:39" x14ac:dyDescent="0.3">
      <c r="D13272" s="1"/>
      <c r="G13272" s="13"/>
      <c r="AL13272" s="13"/>
    </row>
    <row r="13273" spans="4:39" x14ac:dyDescent="0.3">
      <c r="D13273" s="1"/>
      <c r="G13273" s="13"/>
      <c r="AL13273" s="13"/>
    </row>
    <row r="13274" spans="4:39" x14ac:dyDescent="0.3">
      <c r="D13274" s="1"/>
      <c r="G13274" s="13"/>
      <c r="AL13274" s="13"/>
    </row>
    <row r="13275" spans="4:39" x14ac:dyDescent="0.3">
      <c r="D13275" s="1"/>
      <c r="G13275" s="13"/>
      <c r="AL13275" s="13"/>
    </row>
    <row r="13276" spans="4:39" x14ac:dyDescent="0.3">
      <c r="D13276" s="1"/>
      <c r="G13276" s="13"/>
      <c r="AL13276" s="13"/>
    </row>
    <row r="13277" spans="4:39" x14ac:dyDescent="0.3">
      <c r="D13277" s="1"/>
      <c r="G13277" s="13"/>
      <c r="AL13277" s="13"/>
    </row>
    <row r="13278" spans="4:39" x14ac:dyDescent="0.3">
      <c r="D13278" s="1"/>
      <c r="G13278" s="13"/>
      <c r="AL13278" s="13"/>
    </row>
    <row r="13279" spans="4:39" x14ac:dyDescent="0.3">
      <c r="D13279" s="1"/>
      <c r="G13279" s="13"/>
      <c r="AL13279" s="13"/>
    </row>
    <row r="13280" spans="4:39" x14ac:dyDescent="0.3">
      <c r="D13280" s="1"/>
      <c r="G13280" s="13"/>
      <c r="AL13280" s="13"/>
    </row>
    <row r="13281" spans="4:38" x14ac:dyDescent="0.3">
      <c r="D13281" s="1"/>
      <c r="G13281" s="13"/>
      <c r="AL13281" s="13"/>
    </row>
    <row r="13282" spans="4:38" x14ac:dyDescent="0.3">
      <c r="D13282" s="1"/>
      <c r="G13282" s="13"/>
      <c r="AL13282" s="13"/>
    </row>
    <row r="13283" spans="4:38" x14ac:dyDescent="0.3">
      <c r="D13283" s="1"/>
      <c r="G13283" s="13"/>
      <c r="AL13283" s="13"/>
    </row>
    <row r="13284" spans="4:38" x14ac:dyDescent="0.3">
      <c r="D13284" s="1"/>
      <c r="G13284" s="13"/>
      <c r="AL13284" s="13"/>
    </row>
    <row r="13285" spans="4:38" x14ac:dyDescent="0.3">
      <c r="D13285" s="1"/>
      <c r="G13285" s="13"/>
      <c r="AL13285" s="13"/>
    </row>
    <row r="13286" spans="4:38" x14ac:dyDescent="0.3">
      <c r="D13286" s="1"/>
      <c r="G13286" s="13"/>
      <c r="AL13286" s="13"/>
    </row>
    <row r="13287" spans="4:38" x14ac:dyDescent="0.3">
      <c r="D13287" s="1"/>
      <c r="G13287" s="13"/>
      <c r="AL13287" s="13"/>
    </row>
    <row r="13288" spans="4:38" x14ac:dyDescent="0.3">
      <c r="D13288" s="1"/>
      <c r="G13288" s="13"/>
      <c r="AL13288" s="13"/>
    </row>
    <row r="13289" spans="4:38" x14ac:dyDescent="0.3">
      <c r="D13289" s="1"/>
      <c r="G13289" s="13"/>
      <c r="AL13289" s="13"/>
    </row>
    <row r="13290" spans="4:38" x14ac:dyDescent="0.3">
      <c r="D13290" s="1"/>
      <c r="G13290" s="13"/>
      <c r="AL13290" s="13"/>
    </row>
    <row r="13291" spans="4:38" x14ac:dyDescent="0.3">
      <c r="D13291" s="1"/>
      <c r="G13291" s="13"/>
      <c r="AL13291" s="13"/>
    </row>
    <row r="13292" spans="4:38" x14ac:dyDescent="0.3">
      <c r="D13292" s="1"/>
      <c r="G13292" s="13"/>
      <c r="AL13292" s="13"/>
    </row>
    <row r="13293" spans="4:38" x14ac:dyDescent="0.3">
      <c r="D13293" s="1"/>
      <c r="G13293" s="13"/>
      <c r="AL13293" s="13"/>
    </row>
    <row r="13294" spans="4:38" x14ac:dyDescent="0.3">
      <c r="D13294" s="1"/>
      <c r="G13294" s="13"/>
      <c r="AL13294" s="13"/>
    </row>
    <row r="13295" spans="4:38" x14ac:dyDescent="0.3">
      <c r="D13295" s="1"/>
      <c r="G13295" s="13"/>
      <c r="AL13295" s="13"/>
    </row>
    <row r="13296" spans="4:38" x14ac:dyDescent="0.3">
      <c r="D13296" s="1"/>
      <c r="G13296" s="13"/>
      <c r="AL13296" s="13"/>
    </row>
    <row r="13297" spans="4:39" x14ac:dyDescent="0.3">
      <c r="D13297" s="1"/>
      <c r="G13297" s="13"/>
      <c r="AL13297" s="13"/>
    </row>
    <row r="13298" spans="4:39" x14ac:dyDescent="0.3">
      <c r="D13298" s="1"/>
      <c r="G13298" s="13"/>
      <c r="AL13298" s="13"/>
    </row>
    <row r="13299" spans="4:39" x14ac:dyDescent="0.3">
      <c r="D13299" s="1"/>
      <c r="G13299" s="13"/>
      <c r="AL13299" s="13"/>
    </row>
    <row r="13300" spans="4:39" x14ac:dyDescent="0.3">
      <c r="D13300" s="1"/>
      <c r="G13300" s="13"/>
      <c r="AL13300" s="13"/>
    </row>
    <row r="13301" spans="4:39" x14ac:dyDescent="0.3">
      <c r="D13301" s="1"/>
      <c r="G13301" s="13"/>
      <c r="AL13301" s="13"/>
      <c r="AM13301" s="14"/>
    </row>
    <row r="13302" spans="4:39" x14ac:dyDescent="0.3">
      <c r="D13302" s="1"/>
      <c r="G13302" s="13"/>
      <c r="AL13302" s="13"/>
    </row>
    <row r="13303" spans="4:39" x14ac:dyDescent="0.3">
      <c r="D13303" s="1"/>
      <c r="G13303" s="13"/>
      <c r="AL13303" s="13"/>
    </row>
    <row r="13304" spans="4:39" x14ac:dyDescent="0.3">
      <c r="D13304" s="1"/>
      <c r="G13304" s="13"/>
      <c r="AL13304" s="13"/>
    </row>
    <row r="13305" spans="4:39" x14ac:dyDescent="0.3">
      <c r="D13305" s="1"/>
      <c r="G13305" s="13"/>
      <c r="AL13305" s="13"/>
    </row>
    <row r="13306" spans="4:39" x14ac:dyDescent="0.3">
      <c r="D13306" s="1"/>
      <c r="G13306" s="13"/>
      <c r="AL13306" s="13"/>
    </row>
    <row r="13307" spans="4:39" x14ac:dyDescent="0.3">
      <c r="D13307" s="1"/>
      <c r="G13307" s="13"/>
      <c r="AL13307" s="13"/>
    </row>
    <row r="13308" spans="4:39" x14ac:dyDescent="0.3">
      <c r="D13308" s="1"/>
      <c r="G13308" s="13"/>
      <c r="AL13308" s="13"/>
    </row>
    <row r="13309" spans="4:39" x14ac:dyDescent="0.3">
      <c r="D13309" s="1"/>
      <c r="G13309" s="13"/>
      <c r="AL13309" s="13"/>
    </row>
    <row r="13310" spans="4:39" x14ac:dyDescent="0.3">
      <c r="D13310" s="1"/>
      <c r="G13310" s="13"/>
      <c r="AL13310" s="13"/>
      <c r="AM13310" s="14"/>
    </row>
    <row r="13311" spans="4:39" x14ac:dyDescent="0.3">
      <c r="D13311" s="1"/>
      <c r="G13311" s="13"/>
      <c r="AL13311" s="13"/>
    </row>
    <row r="13312" spans="4:39" x14ac:dyDescent="0.3">
      <c r="D13312" s="1"/>
      <c r="G13312" s="13"/>
      <c r="AL13312" s="13"/>
    </row>
    <row r="13313" spans="4:39" x14ac:dyDescent="0.3">
      <c r="D13313" s="1"/>
      <c r="G13313" s="13"/>
      <c r="AL13313" s="13"/>
    </row>
    <row r="13314" spans="4:39" x14ac:dyDescent="0.3">
      <c r="D13314" s="1"/>
      <c r="G13314" s="13"/>
      <c r="AL13314" s="13"/>
    </row>
    <row r="13315" spans="4:39" x14ac:dyDescent="0.3">
      <c r="D13315" s="1"/>
      <c r="G13315" s="13"/>
      <c r="AL13315" s="13"/>
    </row>
    <row r="13316" spans="4:39" x14ac:dyDescent="0.3">
      <c r="D13316" s="1"/>
      <c r="G13316" s="13"/>
      <c r="AL13316" s="13"/>
    </row>
    <row r="13317" spans="4:39" x14ac:dyDescent="0.3">
      <c r="D13317" s="1"/>
      <c r="G13317" s="13"/>
      <c r="AL13317" s="13"/>
    </row>
    <row r="13318" spans="4:39" x14ac:dyDescent="0.3">
      <c r="D13318" s="1"/>
      <c r="G13318" s="13"/>
      <c r="AL13318" s="13"/>
    </row>
    <row r="13319" spans="4:39" x14ac:dyDescent="0.3">
      <c r="D13319" s="1"/>
      <c r="G13319" s="13"/>
      <c r="AL13319" s="13"/>
    </row>
    <row r="13320" spans="4:39" x14ac:dyDescent="0.3">
      <c r="D13320" s="1"/>
      <c r="G13320" s="13"/>
      <c r="AL13320" s="13"/>
    </row>
    <row r="13321" spans="4:39" x14ac:dyDescent="0.3">
      <c r="D13321" s="1"/>
      <c r="G13321" s="13"/>
      <c r="AL13321" s="13"/>
    </row>
    <row r="13322" spans="4:39" x14ac:dyDescent="0.3">
      <c r="D13322" s="1"/>
      <c r="G13322" s="13"/>
      <c r="AL13322" s="13"/>
    </row>
    <row r="13323" spans="4:39" x14ac:dyDescent="0.3">
      <c r="D13323" s="1"/>
      <c r="G13323" s="13"/>
      <c r="AL13323" s="13"/>
    </row>
    <row r="13324" spans="4:39" x14ac:dyDescent="0.3">
      <c r="D13324" s="1"/>
      <c r="G13324" s="13"/>
      <c r="AL13324" s="13"/>
    </row>
    <row r="13325" spans="4:39" x14ac:dyDescent="0.3">
      <c r="D13325" s="1"/>
      <c r="G13325" s="13"/>
      <c r="AL13325" s="13"/>
      <c r="AM13325" s="14"/>
    </row>
    <row r="13326" spans="4:39" x14ac:dyDescent="0.3">
      <c r="D13326" s="1"/>
      <c r="G13326" s="13"/>
      <c r="AL13326" s="13"/>
      <c r="AM13326" s="14"/>
    </row>
    <row r="13327" spans="4:39" x14ac:dyDescent="0.3">
      <c r="D13327" s="1"/>
      <c r="G13327" s="13"/>
      <c r="AL13327" s="13"/>
      <c r="AM13327" s="14"/>
    </row>
    <row r="13328" spans="4:39" x14ac:dyDescent="0.3">
      <c r="D13328" s="1"/>
      <c r="G13328" s="13"/>
      <c r="AL13328" s="13"/>
      <c r="AM13328" s="14"/>
    </row>
    <row r="13329" spans="4:39" x14ac:dyDescent="0.3">
      <c r="D13329" s="1"/>
      <c r="G13329" s="13"/>
      <c r="AL13329" s="13"/>
    </row>
    <row r="13330" spans="4:39" x14ac:dyDescent="0.3">
      <c r="D13330" s="1"/>
      <c r="G13330" s="13"/>
      <c r="AL13330" s="13"/>
      <c r="AM13330" s="14"/>
    </row>
    <row r="13331" spans="4:39" x14ac:dyDescent="0.3">
      <c r="D13331" s="1"/>
      <c r="G13331" s="13"/>
      <c r="AL13331" s="13"/>
    </row>
    <row r="13332" spans="4:39" x14ac:dyDescent="0.3">
      <c r="D13332" s="1"/>
      <c r="G13332" s="13"/>
      <c r="AL13332" s="13"/>
      <c r="AM13332" s="14"/>
    </row>
    <row r="13333" spans="4:39" x14ac:dyDescent="0.3">
      <c r="D13333" s="1"/>
      <c r="G13333" s="13"/>
      <c r="AL13333" s="13"/>
    </row>
    <row r="13334" spans="4:39" x14ac:dyDescent="0.3">
      <c r="D13334" s="1"/>
      <c r="G13334" s="13"/>
      <c r="AL13334" s="13"/>
    </row>
    <row r="13335" spans="4:39" x14ac:dyDescent="0.3">
      <c r="D13335" s="1"/>
      <c r="G13335" s="13"/>
      <c r="AL13335" s="13"/>
      <c r="AM13335" s="14"/>
    </row>
    <row r="13336" spans="4:39" x14ac:dyDescent="0.3">
      <c r="D13336" s="1"/>
      <c r="G13336" s="13"/>
      <c r="AL13336" s="13"/>
    </row>
    <row r="13337" spans="4:39" x14ac:dyDescent="0.3">
      <c r="D13337" s="1"/>
      <c r="G13337" s="13"/>
      <c r="AL13337" s="13"/>
    </row>
    <row r="13338" spans="4:39" x14ac:dyDescent="0.3">
      <c r="D13338" s="1"/>
      <c r="G13338" s="13"/>
      <c r="AL13338" s="13"/>
    </row>
    <row r="13339" spans="4:39" x14ac:dyDescent="0.3">
      <c r="D13339" s="1"/>
      <c r="G13339" s="13"/>
      <c r="AL13339" s="13"/>
    </row>
    <row r="13340" spans="4:39" x14ac:dyDescent="0.3">
      <c r="D13340" s="1"/>
      <c r="G13340" s="13"/>
      <c r="AL13340" s="13"/>
      <c r="AM13340" s="14"/>
    </row>
    <row r="13341" spans="4:39" x14ac:dyDescent="0.3">
      <c r="D13341" s="1"/>
      <c r="G13341" s="13"/>
      <c r="AL13341" s="13"/>
      <c r="AM13341" s="14"/>
    </row>
    <row r="13342" spans="4:39" x14ac:dyDescent="0.3">
      <c r="D13342" s="1"/>
      <c r="G13342" s="13"/>
      <c r="AL13342" s="13"/>
      <c r="AM13342" s="14"/>
    </row>
    <row r="13343" spans="4:39" x14ac:dyDescent="0.3">
      <c r="D13343" s="1"/>
      <c r="G13343" s="13"/>
      <c r="AL13343" s="13"/>
    </row>
    <row r="13344" spans="4:39" x14ac:dyDescent="0.3">
      <c r="D13344" s="1"/>
      <c r="G13344" s="13"/>
      <c r="AL13344" s="13"/>
    </row>
    <row r="13345" spans="4:39" x14ac:dyDescent="0.3">
      <c r="D13345" s="1"/>
      <c r="G13345" s="13"/>
      <c r="AL13345" s="13"/>
    </row>
    <row r="13346" spans="4:39" x14ac:dyDescent="0.3">
      <c r="D13346" s="1"/>
      <c r="G13346" s="13"/>
      <c r="AL13346" s="13"/>
    </row>
    <row r="13347" spans="4:39" x14ac:dyDescent="0.3">
      <c r="D13347" s="1"/>
      <c r="G13347" s="13"/>
      <c r="AL13347" s="13"/>
    </row>
    <row r="13348" spans="4:39" x14ac:dyDescent="0.3">
      <c r="D13348" s="1"/>
      <c r="G13348" s="13"/>
      <c r="AL13348" s="13"/>
      <c r="AM13348" s="14"/>
    </row>
    <row r="13349" spans="4:39" x14ac:dyDescent="0.3">
      <c r="D13349" s="1"/>
      <c r="G13349" s="13"/>
      <c r="AL13349" s="13"/>
      <c r="AM13349" s="14"/>
    </row>
    <row r="13350" spans="4:39" x14ac:dyDescent="0.3">
      <c r="D13350" s="1"/>
      <c r="G13350" s="13"/>
      <c r="AL13350" s="13"/>
      <c r="AM13350" s="14"/>
    </row>
    <row r="13351" spans="4:39" x14ac:dyDescent="0.3">
      <c r="D13351" s="1"/>
      <c r="G13351" s="13"/>
      <c r="AL13351" s="13"/>
    </row>
    <row r="13352" spans="4:39" x14ac:dyDescent="0.3">
      <c r="D13352" s="1"/>
      <c r="G13352" s="13"/>
      <c r="AL13352" s="13"/>
    </row>
    <row r="13353" spans="4:39" x14ac:dyDescent="0.3">
      <c r="D13353" s="1"/>
      <c r="G13353" s="13"/>
      <c r="AL13353" s="13"/>
    </row>
    <row r="13354" spans="4:39" x14ac:dyDescent="0.3">
      <c r="D13354" s="1"/>
      <c r="G13354" s="13"/>
      <c r="AL13354" s="13"/>
    </row>
    <row r="13355" spans="4:39" x14ac:dyDescent="0.3">
      <c r="D13355" s="1"/>
      <c r="G13355" s="13"/>
      <c r="AL13355" s="13"/>
      <c r="AM13355" s="14"/>
    </row>
    <row r="13356" spans="4:39" x14ac:dyDescent="0.3">
      <c r="D13356" s="1"/>
      <c r="G13356" s="13"/>
      <c r="AL13356" s="13"/>
    </row>
    <row r="13357" spans="4:39" x14ac:dyDescent="0.3">
      <c r="D13357" s="1"/>
      <c r="G13357" s="13"/>
      <c r="AL13357" s="13"/>
    </row>
    <row r="13358" spans="4:39" x14ac:dyDescent="0.3">
      <c r="D13358" s="1"/>
      <c r="G13358" s="13"/>
      <c r="AL13358" s="13"/>
    </row>
    <row r="13359" spans="4:39" x14ac:dyDescent="0.3">
      <c r="D13359" s="1"/>
      <c r="G13359" s="13"/>
      <c r="AL13359" s="13"/>
      <c r="AM13359" s="14"/>
    </row>
    <row r="13360" spans="4:39" x14ac:dyDescent="0.3">
      <c r="D13360" s="1"/>
      <c r="G13360" s="13"/>
      <c r="AL13360" s="13"/>
      <c r="AM13360" s="14"/>
    </row>
    <row r="13361" spans="4:39" x14ac:dyDescent="0.3">
      <c r="D13361" s="1"/>
      <c r="G13361" s="13"/>
      <c r="AL13361" s="13"/>
    </row>
    <row r="13362" spans="4:39" x14ac:dyDescent="0.3">
      <c r="D13362" s="1"/>
      <c r="G13362" s="13"/>
      <c r="AL13362" s="13"/>
    </row>
    <row r="13363" spans="4:39" x14ac:dyDescent="0.3">
      <c r="D13363" s="1"/>
      <c r="G13363" s="13"/>
      <c r="AL13363" s="13"/>
    </row>
    <row r="13364" spans="4:39" x14ac:dyDescent="0.3">
      <c r="D13364" s="1"/>
      <c r="G13364" s="13"/>
      <c r="AL13364" s="13"/>
    </row>
    <row r="13365" spans="4:39" x14ac:dyDescent="0.3">
      <c r="D13365" s="1"/>
      <c r="G13365" s="13"/>
      <c r="AL13365" s="13"/>
    </row>
    <row r="13366" spans="4:39" x14ac:dyDescent="0.3">
      <c r="D13366" s="1"/>
      <c r="G13366" s="13"/>
      <c r="AL13366" s="13"/>
      <c r="AM13366" s="14"/>
    </row>
    <row r="13367" spans="4:39" x14ac:dyDescent="0.3">
      <c r="D13367" s="1"/>
      <c r="G13367" s="13"/>
      <c r="AL13367" s="13"/>
    </row>
    <row r="13368" spans="4:39" x14ac:dyDescent="0.3">
      <c r="D13368" s="1"/>
      <c r="G13368" s="13"/>
      <c r="AL13368" s="13"/>
    </row>
    <row r="13369" spans="4:39" x14ac:dyDescent="0.3">
      <c r="D13369" s="1"/>
      <c r="G13369" s="13"/>
      <c r="AL13369" s="13"/>
    </row>
    <row r="13370" spans="4:39" x14ac:dyDescent="0.3">
      <c r="D13370" s="1"/>
      <c r="G13370" s="13"/>
      <c r="AL13370" s="13"/>
      <c r="AM13370" s="14"/>
    </row>
    <row r="13371" spans="4:39" x14ac:dyDescent="0.3">
      <c r="D13371" s="1"/>
      <c r="G13371" s="13"/>
      <c r="AL13371" s="13"/>
    </row>
    <row r="13372" spans="4:39" x14ac:dyDescent="0.3">
      <c r="D13372" s="1"/>
      <c r="G13372" s="13"/>
      <c r="AL13372" s="13"/>
    </row>
    <row r="13373" spans="4:39" x14ac:dyDescent="0.3">
      <c r="D13373" s="1"/>
      <c r="G13373" s="13"/>
      <c r="AL13373" s="13"/>
    </row>
    <row r="13374" spans="4:39" x14ac:dyDescent="0.3">
      <c r="D13374" s="1"/>
      <c r="G13374" s="13"/>
      <c r="AL13374" s="13"/>
    </row>
    <row r="13375" spans="4:39" x14ac:dyDescent="0.3">
      <c r="D13375" s="1"/>
      <c r="G13375" s="13"/>
      <c r="AL13375" s="13"/>
      <c r="AM13375" s="14"/>
    </row>
    <row r="13376" spans="4:39" x14ac:dyDescent="0.3">
      <c r="D13376" s="1"/>
      <c r="G13376" s="13"/>
      <c r="AL13376" s="13"/>
    </row>
    <row r="13377" spans="4:39" x14ac:dyDescent="0.3">
      <c r="D13377" s="1"/>
      <c r="G13377" s="13"/>
      <c r="AL13377" s="13"/>
      <c r="AM13377" s="14"/>
    </row>
    <row r="13378" spans="4:39" x14ac:dyDescent="0.3">
      <c r="D13378" s="1"/>
      <c r="G13378" s="13"/>
      <c r="AL13378" s="13"/>
    </row>
    <row r="13379" spans="4:39" x14ac:dyDescent="0.3">
      <c r="D13379" s="1"/>
      <c r="G13379" s="13"/>
      <c r="AL13379" s="13"/>
      <c r="AM13379" s="14"/>
    </row>
    <row r="13380" spans="4:39" x14ac:dyDescent="0.3">
      <c r="D13380" s="1"/>
      <c r="G13380" s="13"/>
      <c r="AL13380" s="13"/>
    </row>
    <row r="13381" spans="4:39" x14ac:dyDescent="0.3">
      <c r="D13381" s="1"/>
      <c r="G13381" s="13"/>
      <c r="AL13381" s="13"/>
    </row>
    <row r="13382" spans="4:39" x14ac:dyDescent="0.3">
      <c r="D13382" s="1"/>
      <c r="G13382" s="13"/>
      <c r="AL13382" s="13"/>
    </row>
    <row r="13383" spans="4:39" x14ac:dyDescent="0.3">
      <c r="D13383" s="1"/>
      <c r="G13383" s="13"/>
      <c r="AL13383" s="13"/>
    </row>
    <row r="13384" spans="4:39" x14ac:dyDescent="0.3">
      <c r="D13384" s="1"/>
      <c r="G13384" s="13"/>
      <c r="AL13384" s="13"/>
      <c r="AM13384" s="14"/>
    </row>
    <row r="13385" spans="4:39" x14ac:dyDescent="0.3">
      <c r="D13385" s="1"/>
      <c r="G13385" s="13"/>
      <c r="AL13385" s="13"/>
    </row>
    <row r="13386" spans="4:39" x14ac:dyDescent="0.3">
      <c r="D13386" s="1"/>
      <c r="G13386" s="13"/>
      <c r="AL13386" s="13"/>
    </row>
    <row r="13387" spans="4:39" x14ac:dyDescent="0.3">
      <c r="D13387" s="1"/>
      <c r="G13387" s="13"/>
      <c r="AL13387" s="13"/>
    </row>
    <row r="13388" spans="4:39" x14ac:dyDescent="0.3">
      <c r="D13388" s="1"/>
      <c r="G13388" s="13"/>
      <c r="AL13388" s="13"/>
    </row>
    <row r="13389" spans="4:39" x14ac:dyDescent="0.3">
      <c r="D13389" s="1"/>
      <c r="G13389" s="13"/>
      <c r="AL13389" s="13"/>
    </row>
    <row r="13390" spans="4:39" x14ac:dyDescent="0.3">
      <c r="D13390" s="1"/>
      <c r="G13390" s="13"/>
      <c r="AL13390" s="13"/>
    </row>
    <row r="13391" spans="4:39" x14ac:dyDescent="0.3">
      <c r="D13391" s="1"/>
      <c r="G13391" s="13"/>
      <c r="AL13391" s="13"/>
      <c r="AM13391" s="14"/>
    </row>
    <row r="13392" spans="4:39" x14ac:dyDescent="0.3">
      <c r="D13392" s="1"/>
      <c r="G13392" s="13"/>
      <c r="AL13392" s="13"/>
    </row>
    <row r="13393" spans="4:39" x14ac:dyDescent="0.3">
      <c r="D13393" s="1"/>
      <c r="G13393" s="13"/>
      <c r="AL13393" s="13"/>
    </row>
    <row r="13394" spans="4:39" x14ac:dyDescent="0.3">
      <c r="D13394" s="1"/>
      <c r="G13394" s="13"/>
      <c r="AL13394" s="13"/>
    </row>
    <row r="13395" spans="4:39" x14ac:dyDescent="0.3">
      <c r="D13395" s="1"/>
      <c r="G13395" s="13"/>
      <c r="AL13395" s="13"/>
    </row>
    <row r="13396" spans="4:39" x14ac:dyDescent="0.3">
      <c r="D13396" s="1"/>
      <c r="G13396" s="13"/>
      <c r="AL13396" s="13"/>
    </row>
    <row r="13397" spans="4:39" x14ac:dyDescent="0.3">
      <c r="D13397" s="1"/>
      <c r="G13397" s="13"/>
      <c r="AL13397" s="13"/>
    </row>
    <row r="13398" spans="4:39" x14ac:dyDescent="0.3">
      <c r="D13398" s="1"/>
      <c r="G13398" s="13"/>
      <c r="AL13398" s="13"/>
    </row>
    <row r="13399" spans="4:39" x14ac:dyDescent="0.3">
      <c r="D13399" s="1"/>
      <c r="G13399" s="13"/>
      <c r="AL13399" s="13"/>
      <c r="AM13399" s="14"/>
    </row>
    <row r="13400" spans="4:39" x14ac:dyDescent="0.3">
      <c r="D13400" s="1"/>
      <c r="G13400" s="13"/>
      <c r="AL13400" s="13"/>
    </row>
    <row r="13401" spans="4:39" x14ac:dyDescent="0.3">
      <c r="D13401" s="1"/>
      <c r="G13401" s="13"/>
      <c r="AL13401" s="13"/>
    </row>
    <row r="13402" spans="4:39" x14ac:dyDescent="0.3">
      <c r="D13402" s="1"/>
      <c r="G13402" s="13"/>
      <c r="AL13402" s="13"/>
    </row>
    <row r="13403" spans="4:39" x14ac:dyDescent="0.3">
      <c r="D13403" s="1"/>
      <c r="G13403" s="13"/>
      <c r="AL13403" s="13"/>
    </row>
    <row r="13404" spans="4:39" x14ac:dyDescent="0.3">
      <c r="D13404" s="1"/>
      <c r="G13404" s="13"/>
      <c r="AL13404" s="13"/>
    </row>
    <row r="13405" spans="4:39" x14ac:dyDescent="0.3">
      <c r="D13405" s="1"/>
      <c r="G13405" s="13"/>
      <c r="AL13405" s="13"/>
    </row>
    <row r="13406" spans="4:39" x14ac:dyDescent="0.3">
      <c r="D13406" s="1"/>
      <c r="G13406" s="13"/>
      <c r="AL13406" s="13"/>
    </row>
    <row r="13407" spans="4:39" x14ac:dyDescent="0.3">
      <c r="D13407" s="1"/>
      <c r="G13407" s="13"/>
      <c r="AL13407" s="13"/>
    </row>
    <row r="13408" spans="4:39" x14ac:dyDescent="0.3">
      <c r="D13408" s="1"/>
      <c r="G13408" s="13"/>
      <c r="AL13408" s="13"/>
    </row>
    <row r="13409" spans="4:39" x14ac:dyDescent="0.3">
      <c r="D13409" s="1"/>
      <c r="G13409" s="13"/>
      <c r="AL13409" s="13"/>
    </row>
    <row r="13410" spans="4:39" x14ac:dyDescent="0.3">
      <c r="D13410" s="1"/>
      <c r="G13410" s="13"/>
      <c r="AL13410" s="13"/>
    </row>
    <row r="13411" spans="4:39" x14ac:dyDescent="0.3">
      <c r="D13411" s="1"/>
      <c r="G13411" s="13"/>
      <c r="AL13411" s="13"/>
    </row>
    <row r="13412" spans="4:39" x14ac:dyDescent="0.3">
      <c r="D13412" s="1"/>
      <c r="G13412" s="13"/>
      <c r="AL13412" s="13"/>
    </row>
    <row r="13413" spans="4:39" x14ac:dyDescent="0.3">
      <c r="D13413" s="1"/>
      <c r="G13413" s="13"/>
      <c r="AL13413" s="13"/>
    </row>
    <row r="13414" spans="4:39" x14ac:dyDescent="0.3">
      <c r="D13414" s="1"/>
      <c r="G13414" s="13"/>
      <c r="AL13414" s="13"/>
    </row>
    <row r="13415" spans="4:39" x14ac:dyDescent="0.3">
      <c r="D13415" s="1"/>
      <c r="G13415" s="13"/>
      <c r="AL13415" s="13"/>
    </row>
    <row r="13416" spans="4:39" x14ac:dyDescent="0.3">
      <c r="D13416" s="1"/>
      <c r="G13416" s="13"/>
      <c r="AL13416" s="13"/>
    </row>
    <row r="13417" spans="4:39" x14ac:dyDescent="0.3">
      <c r="D13417" s="1"/>
      <c r="G13417" s="13"/>
      <c r="AL13417" s="13"/>
    </row>
    <row r="13418" spans="4:39" x14ac:dyDescent="0.3">
      <c r="D13418" s="1"/>
      <c r="G13418" s="13"/>
      <c r="AL13418" s="13"/>
    </row>
    <row r="13419" spans="4:39" x14ac:dyDescent="0.3">
      <c r="D13419" s="1"/>
      <c r="G13419" s="13"/>
      <c r="AL13419" s="13"/>
    </row>
    <row r="13420" spans="4:39" x14ac:dyDescent="0.3">
      <c r="D13420" s="1"/>
      <c r="G13420" s="13"/>
      <c r="AL13420" s="13"/>
    </row>
    <row r="13421" spans="4:39" x14ac:dyDescent="0.3">
      <c r="D13421" s="1"/>
      <c r="G13421" s="13"/>
      <c r="AL13421" s="13"/>
      <c r="AM13421" s="14"/>
    </row>
    <row r="13422" spans="4:39" x14ac:dyDescent="0.3">
      <c r="D13422" s="1"/>
      <c r="G13422" s="13"/>
      <c r="AL13422" s="13"/>
    </row>
    <row r="13423" spans="4:39" x14ac:dyDescent="0.3">
      <c r="D13423" s="1"/>
      <c r="G13423" s="13"/>
      <c r="AL13423" s="13"/>
    </row>
    <row r="13424" spans="4:39" x14ac:dyDescent="0.3">
      <c r="D13424" s="1"/>
      <c r="G13424" s="13"/>
      <c r="AL13424" s="13"/>
    </row>
    <row r="13425" spans="4:38" x14ac:dyDescent="0.3">
      <c r="D13425" s="1"/>
      <c r="G13425" s="13"/>
      <c r="AL13425" s="13"/>
    </row>
    <row r="13426" spans="4:38" x14ac:dyDescent="0.3">
      <c r="D13426" s="1"/>
      <c r="G13426" s="13"/>
      <c r="AL13426" s="13"/>
    </row>
    <row r="13427" spans="4:38" x14ac:dyDescent="0.3">
      <c r="D13427" s="1"/>
      <c r="G13427" s="13"/>
      <c r="AL13427" s="13"/>
    </row>
    <row r="13428" spans="4:38" x14ac:dyDescent="0.3">
      <c r="D13428" s="1"/>
      <c r="G13428" s="13"/>
      <c r="AL13428" s="13"/>
    </row>
    <row r="13429" spans="4:38" x14ac:dyDescent="0.3">
      <c r="D13429" s="1"/>
      <c r="G13429" s="13"/>
      <c r="AL13429" s="13"/>
    </row>
    <row r="13430" spans="4:38" x14ac:dyDescent="0.3">
      <c r="D13430" s="1"/>
      <c r="G13430" s="13"/>
      <c r="AL13430" s="13"/>
    </row>
    <row r="13431" spans="4:38" x14ac:dyDescent="0.3">
      <c r="D13431" s="1"/>
      <c r="G13431" s="13"/>
      <c r="AL13431" s="13"/>
    </row>
    <row r="13432" spans="4:38" x14ac:dyDescent="0.3">
      <c r="D13432" s="1"/>
      <c r="G13432" s="13"/>
      <c r="AL13432" s="13"/>
    </row>
    <row r="13433" spans="4:38" x14ac:dyDescent="0.3">
      <c r="D13433" s="1"/>
      <c r="G13433" s="13"/>
      <c r="AL13433" s="13"/>
    </row>
    <row r="13434" spans="4:38" x14ac:dyDescent="0.3">
      <c r="D13434" s="1"/>
      <c r="G13434" s="13"/>
      <c r="AL13434" s="13"/>
    </row>
    <row r="13435" spans="4:38" x14ac:dyDescent="0.3">
      <c r="D13435" s="1"/>
      <c r="G13435" s="13"/>
      <c r="AL13435" s="13"/>
    </row>
    <row r="13436" spans="4:38" x14ac:dyDescent="0.3">
      <c r="D13436" s="1"/>
      <c r="G13436" s="13"/>
      <c r="AL13436" s="13"/>
    </row>
    <row r="13437" spans="4:38" x14ac:dyDescent="0.3">
      <c r="D13437" s="1"/>
      <c r="G13437" s="13"/>
      <c r="AL13437" s="13"/>
    </row>
    <row r="13438" spans="4:38" x14ac:dyDescent="0.3">
      <c r="D13438" s="1"/>
      <c r="G13438" s="13"/>
      <c r="AL13438" s="13"/>
    </row>
    <row r="13439" spans="4:38" x14ac:dyDescent="0.3">
      <c r="D13439" s="1"/>
      <c r="G13439" s="13"/>
      <c r="AL13439" s="13"/>
    </row>
    <row r="13440" spans="4:38" x14ac:dyDescent="0.3">
      <c r="D13440" s="1"/>
      <c r="G13440" s="13"/>
      <c r="AL13440" s="13"/>
    </row>
    <row r="13441" spans="4:38" x14ac:dyDescent="0.3">
      <c r="D13441" s="1"/>
      <c r="G13441" s="13"/>
      <c r="AL13441" s="13"/>
    </row>
    <row r="13442" spans="4:38" x14ac:dyDescent="0.3">
      <c r="D13442" s="1"/>
      <c r="G13442" s="13"/>
      <c r="AL13442" s="13"/>
    </row>
    <row r="13443" spans="4:38" x14ac:dyDescent="0.3">
      <c r="D13443" s="1"/>
      <c r="G13443" s="13"/>
      <c r="AL13443" s="13"/>
    </row>
    <row r="13444" spans="4:38" x14ac:dyDescent="0.3">
      <c r="D13444" s="1"/>
      <c r="G13444" s="13"/>
      <c r="AL13444" s="13"/>
    </row>
    <row r="13445" spans="4:38" x14ac:dyDescent="0.3">
      <c r="D13445" s="1"/>
      <c r="G13445" s="13"/>
      <c r="AL13445" s="13"/>
    </row>
    <row r="13446" spans="4:38" x14ac:dyDescent="0.3">
      <c r="D13446" s="1"/>
      <c r="G13446" s="13"/>
      <c r="AL13446" s="13"/>
    </row>
    <row r="13447" spans="4:38" x14ac:dyDescent="0.3">
      <c r="D13447" s="1"/>
      <c r="G13447" s="13"/>
      <c r="AL13447" s="13"/>
    </row>
    <row r="13448" spans="4:38" x14ac:dyDescent="0.3">
      <c r="D13448" s="1"/>
      <c r="G13448" s="13"/>
      <c r="AL13448" s="13"/>
    </row>
    <row r="13449" spans="4:38" x14ac:dyDescent="0.3">
      <c r="D13449" s="1"/>
      <c r="G13449" s="13"/>
      <c r="AL13449" s="13"/>
    </row>
    <row r="13450" spans="4:38" x14ac:dyDescent="0.3">
      <c r="D13450" s="1"/>
      <c r="G13450" s="13"/>
      <c r="AL13450" s="13"/>
    </row>
    <row r="13451" spans="4:38" x14ac:dyDescent="0.3">
      <c r="D13451" s="1"/>
      <c r="G13451" s="13"/>
      <c r="AL13451" s="13"/>
    </row>
    <row r="13452" spans="4:38" x14ac:dyDescent="0.3">
      <c r="D13452" s="1"/>
      <c r="G13452" s="13"/>
      <c r="AL13452" s="13"/>
    </row>
    <row r="13453" spans="4:38" x14ac:dyDescent="0.3">
      <c r="D13453" s="1"/>
      <c r="G13453" s="13"/>
      <c r="AL13453" s="13"/>
    </row>
    <row r="13454" spans="4:38" x14ac:dyDescent="0.3">
      <c r="D13454" s="1"/>
      <c r="G13454" s="13"/>
      <c r="AL13454" s="13"/>
    </row>
    <row r="13455" spans="4:38" x14ac:dyDescent="0.3">
      <c r="D13455" s="1"/>
      <c r="G13455" s="13"/>
      <c r="AL13455" s="13"/>
    </row>
    <row r="13456" spans="4:38" x14ac:dyDescent="0.3">
      <c r="D13456" s="1"/>
      <c r="G13456" s="13"/>
      <c r="AL13456" s="13"/>
    </row>
    <row r="13457" spans="4:39" x14ac:dyDescent="0.3">
      <c r="D13457" s="1"/>
      <c r="G13457" s="13"/>
      <c r="AL13457" s="13"/>
    </row>
    <row r="13458" spans="4:39" x14ac:dyDescent="0.3">
      <c r="D13458" s="1"/>
      <c r="G13458" s="13"/>
      <c r="AL13458" s="13"/>
    </row>
    <row r="13459" spans="4:39" x14ac:dyDescent="0.3">
      <c r="D13459" s="1"/>
      <c r="G13459" s="13"/>
      <c r="AL13459" s="13"/>
    </row>
    <row r="13460" spans="4:39" x14ac:dyDescent="0.3">
      <c r="D13460" s="1"/>
      <c r="G13460" s="13"/>
      <c r="AL13460" s="13"/>
    </row>
    <row r="13461" spans="4:39" x14ac:dyDescent="0.3">
      <c r="D13461" s="1"/>
      <c r="G13461" s="13"/>
      <c r="AL13461" s="13"/>
    </row>
    <row r="13462" spans="4:39" x14ac:dyDescent="0.3">
      <c r="D13462" s="1"/>
      <c r="G13462" s="13"/>
      <c r="AL13462" s="13"/>
    </row>
    <row r="13463" spans="4:39" x14ac:dyDescent="0.3">
      <c r="D13463" s="1"/>
      <c r="G13463" s="13"/>
      <c r="AL13463" s="13"/>
    </row>
    <row r="13464" spans="4:39" x14ac:dyDescent="0.3">
      <c r="D13464" s="1"/>
      <c r="G13464" s="13"/>
      <c r="AL13464" s="13"/>
    </row>
    <row r="13465" spans="4:39" x14ac:dyDescent="0.3">
      <c r="D13465" s="1"/>
      <c r="G13465" s="13"/>
      <c r="AL13465" s="13"/>
      <c r="AM13465" s="14"/>
    </row>
    <row r="13466" spans="4:39" x14ac:dyDescent="0.3">
      <c r="D13466" s="1"/>
      <c r="G13466" s="13"/>
      <c r="AL13466" s="13"/>
    </row>
    <row r="13467" spans="4:39" x14ac:dyDescent="0.3">
      <c r="D13467" s="1"/>
      <c r="G13467" s="13"/>
      <c r="AL13467" s="13"/>
    </row>
    <row r="13468" spans="4:39" x14ac:dyDescent="0.3">
      <c r="D13468" s="1"/>
      <c r="G13468" s="13"/>
      <c r="AL13468" s="13"/>
    </row>
    <row r="13469" spans="4:39" x14ac:dyDescent="0.3">
      <c r="D13469" s="1"/>
      <c r="G13469" s="13"/>
      <c r="AL13469" s="13"/>
    </row>
    <row r="13470" spans="4:39" x14ac:dyDescent="0.3">
      <c r="D13470" s="1"/>
      <c r="G13470" s="13"/>
      <c r="AL13470" s="13"/>
    </row>
    <row r="13471" spans="4:39" x14ac:dyDescent="0.3">
      <c r="D13471" s="1"/>
      <c r="G13471" s="13"/>
      <c r="AL13471" s="13"/>
    </row>
    <row r="13472" spans="4:39" x14ac:dyDescent="0.3">
      <c r="D13472" s="1"/>
      <c r="G13472" s="13"/>
      <c r="AL13472" s="13"/>
    </row>
    <row r="13473" spans="4:39" x14ac:dyDescent="0.3">
      <c r="D13473" s="1"/>
      <c r="G13473" s="13"/>
      <c r="AL13473" s="13"/>
      <c r="AM13473" s="14"/>
    </row>
    <row r="13474" spans="4:39" x14ac:dyDescent="0.3">
      <c r="D13474" s="1"/>
      <c r="G13474" s="13"/>
      <c r="AL13474" s="13"/>
      <c r="AM13474" s="14"/>
    </row>
    <row r="13475" spans="4:39" x14ac:dyDescent="0.3">
      <c r="D13475" s="1"/>
      <c r="G13475" s="13"/>
      <c r="AL13475" s="13"/>
      <c r="AM13475" s="14"/>
    </row>
    <row r="13476" spans="4:39" x14ac:dyDescent="0.3">
      <c r="D13476" s="1"/>
      <c r="G13476" s="13"/>
      <c r="AL13476" s="13"/>
      <c r="AM13476" s="14"/>
    </row>
    <row r="13477" spans="4:39" x14ac:dyDescent="0.3">
      <c r="D13477" s="1"/>
      <c r="G13477" s="13"/>
      <c r="AL13477" s="13"/>
      <c r="AM13477" s="14"/>
    </row>
    <row r="13478" spans="4:39" x14ac:dyDescent="0.3">
      <c r="D13478" s="1"/>
      <c r="G13478" s="13"/>
      <c r="AL13478" s="13"/>
    </row>
    <row r="13479" spans="4:39" x14ac:dyDescent="0.3">
      <c r="D13479" s="1"/>
      <c r="G13479" s="13"/>
      <c r="AL13479" s="13"/>
      <c r="AM13479" s="14"/>
    </row>
    <row r="13480" spans="4:39" x14ac:dyDescent="0.3">
      <c r="D13480" s="1"/>
      <c r="G13480" s="13"/>
      <c r="AL13480" s="13"/>
      <c r="AM13480" s="14"/>
    </row>
    <row r="13481" spans="4:39" x14ac:dyDescent="0.3">
      <c r="D13481" s="1"/>
      <c r="G13481" s="13"/>
      <c r="AL13481" s="13"/>
      <c r="AM13481" s="14"/>
    </row>
    <row r="13482" spans="4:39" x14ac:dyDescent="0.3">
      <c r="D13482" s="1"/>
      <c r="G13482" s="13"/>
      <c r="AL13482" s="13"/>
      <c r="AM13482" s="14"/>
    </row>
    <row r="13483" spans="4:39" x14ac:dyDescent="0.3">
      <c r="D13483" s="1"/>
      <c r="G13483" s="13"/>
      <c r="AL13483" s="13"/>
    </row>
    <row r="13484" spans="4:39" x14ac:dyDescent="0.3">
      <c r="D13484" s="1"/>
      <c r="G13484" s="13"/>
      <c r="AL13484" s="13"/>
      <c r="AM13484" s="14"/>
    </row>
    <row r="13485" spans="4:39" x14ac:dyDescent="0.3">
      <c r="D13485" s="1"/>
      <c r="G13485" s="13"/>
      <c r="AL13485" s="13"/>
      <c r="AM13485" s="14"/>
    </row>
    <row r="13486" spans="4:39" x14ac:dyDescent="0.3">
      <c r="D13486" s="1"/>
      <c r="G13486" s="13"/>
      <c r="AL13486" s="13"/>
    </row>
    <row r="13487" spans="4:39" x14ac:dyDescent="0.3">
      <c r="D13487" s="1"/>
      <c r="G13487" s="13"/>
      <c r="AL13487" s="13"/>
      <c r="AM13487" s="14"/>
    </row>
    <row r="13488" spans="4:39" x14ac:dyDescent="0.3">
      <c r="D13488" s="1"/>
      <c r="G13488" s="13"/>
      <c r="AL13488" s="13"/>
      <c r="AM13488" s="14"/>
    </row>
    <row r="13489" spans="4:39" x14ac:dyDescent="0.3">
      <c r="D13489" s="1"/>
      <c r="G13489" s="13"/>
      <c r="AL13489" s="13"/>
      <c r="AM13489" s="14"/>
    </row>
    <row r="13490" spans="4:39" x14ac:dyDescent="0.3">
      <c r="D13490" s="1"/>
      <c r="G13490" s="13"/>
      <c r="AL13490" s="13"/>
    </row>
    <row r="13491" spans="4:39" x14ac:dyDescent="0.3">
      <c r="D13491" s="1"/>
      <c r="G13491" s="13"/>
      <c r="AL13491" s="13"/>
      <c r="AM13491" s="14"/>
    </row>
    <row r="13492" spans="4:39" x14ac:dyDescent="0.3">
      <c r="D13492" s="1"/>
      <c r="G13492" s="13"/>
      <c r="AL13492" s="13"/>
    </row>
    <row r="13493" spans="4:39" x14ac:dyDescent="0.3">
      <c r="D13493" s="1"/>
      <c r="G13493" s="13"/>
      <c r="AL13493" s="13"/>
    </row>
    <row r="13494" spans="4:39" x14ac:dyDescent="0.3">
      <c r="D13494" s="1"/>
      <c r="G13494" s="13"/>
      <c r="AL13494" s="13"/>
    </row>
    <row r="13495" spans="4:39" x14ac:dyDescent="0.3">
      <c r="D13495" s="1"/>
      <c r="G13495" s="13"/>
      <c r="AL13495" s="13"/>
    </row>
    <row r="13496" spans="4:39" x14ac:dyDescent="0.3">
      <c r="D13496" s="1"/>
      <c r="G13496" s="13"/>
      <c r="AL13496" s="13"/>
    </row>
    <row r="13497" spans="4:39" x14ac:dyDescent="0.3">
      <c r="D13497" s="1"/>
      <c r="G13497" s="13"/>
      <c r="AL13497" s="13"/>
    </row>
    <row r="13498" spans="4:39" x14ac:dyDescent="0.3">
      <c r="D13498" s="1"/>
      <c r="G13498" s="13"/>
      <c r="AL13498" s="13"/>
    </row>
    <row r="13499" spans="4:39" x14ac:dyDescent="0.3">
      <c r="D13499" s="1"/>
      <c r="G13499" s="13"/>
      <c r="AL13499" s="13"/>
    </row>
    <row r="13500" spans="4:39" x14ac:dyDescent="0.3">
      <c r="D13500" s="1"/>
      <c r="G13500" s="13"/>
      <c r="AL13500" s="13"/>
    </row>
    <row r="13501" spans="4:39" x14ac:dyDescent="0.3">
      <c r="D13501" s="1"/>
      <c r="G13501" s="13"/>
      <c r="AL13501" s="13"/>
    </row>
    <row r="13502" spans="4:39" x14ac:dyDescent="0.3">
      <c r="D13502" s="1"/>
      <c r="G13502" s="13"/>
      <c r="AL13502" s="13"/>
    </row>
    <row r="13503" spans="4:39" x14ac:dyDescent="0.3">
      <c r="D13503" s="1"/>
      <c r="G13503" s="13"/>
      <c r="AL13503" s="13"/>
    </row>
    <row r="13504" spans="4:39" x14ac:dyDescent="0.3">
      <c r="D13504" s="1"/>
      <c r="G13504" s="13"/>
      <c r="AL13504" s="13"/>
    </row>
    <row r="13505" spans="4:38" x14ac:dyDescent="0.3">
      <c r="D13505" s="1"/>
      <c r="G13505" s="13"/>
      <c r="AL13505" s="13"/>
    </row>
    <row r="13506" spans="4:38" x14ac:dyDescent="0.3">
      <c r="D13506" s="1"/>
      <c r="G13506" s="13"/>
      <c r="AL13506" s="13"/>
    </row>
    <row r="13507" spans="4:38" x14ac:dyDescent="0.3">
      <c r="D13507" s="1"/>
      <c r="G13507" s="13"/>
      <c r="AL13507" s="13"/>
    </row>
    <row r="13508" spans="4:38" x14ac:dyDescent="0.3">
      <c r="D13508" s="1"/>
      <c r="G13508" s="13"/>
      <c r="AL13508" s="13"/>
    </row>
    <row r="13509" spans="4:38" x14ac:dyDescent="0.3">
      <c r="D13509" s="1"/>
      <c r="G13509" s="13"/>
      <c r="AL13509" s="13"/>
    </row>
    <row r="13510" spans="4:38" x14ac:dyDescent="0.3">
      <c r="D13510" s="1"/>
      <c r="G13510" s="13"/>
      <c r="AL13510" s="13"/>
    </row>
    <row r="13511" spans="4:38" x14ac:dyDescent="0.3">
      <c r="D13511" s="1"/>
      <c r="G13511" s="13"/>
      <c r="AL13511" s="13"/>
    </row>
    <row r="13512" spans="4:38" x14ac:dyDescent="0.3">
      <c r="D13512" s="1"/>
      <c r="G13512" s="13"/>
      <c r="AL13512" s="13"/>
    </row>
    <row r="13513" spans="4:38" x14ac:dyDescent="0.3">
      <c r="D13513" s="1"/>
      <c r="G13513" s="13"/>
      <c r="AL13513" s="13"/>
    </row>
    <row r="13514" spans="4:38" x14ac:dyDescent="0.3">
      <c r="D13514" s="1"/>
      <c r="G13514" s="13"/>
      <c r="AL13514" s="13"/>
    </row>
    <row r="13515" spans="4:38" x14ac:dyDescent="0.3">
      <c r="D13515" s="1"/>
      <c r="G13515" s="13"/>
      <c r="AL13515" s="13"/>
    </row>
    <row r="13516" spans="4:38" x14ac:dyDescent="0.3">
      <c r="D13516" s="1"/>
      <c r="G13516" s="13"/>
      <c r="AL13516" s="13"/>
    </row>
    <row r="13517" spans="4:38" x14ac:dyDescent="0.3">
      <c r="D13517" s="1"/>
      <c r="G13517" s="13"/>
      <c r="AL13517" s="13"/>
    </row>
    <row r="13518" spans="4:38" x14ac:dyDescent="0.3">
      <c r="D13518" s="1"/>
      <c r="G13518" s="13"/>
      <c r="AL13518" s="13"/>
    </row>
    <row r="13519" spans="4:38" x14ac:dyDescent="0.3">
      <c r="D13519" s="1"/>
      <c r="G13519" s="13"/>
      <c r="AL13519" s="13"/>
    </row>
    <row r="13520" spans="4:38" x14ac:dyDescent="0.3">
      <c r="D13520" s="1"/>
      <c r="G13520" s="13"/>
      <c r="AL13520" s="13"/>
    </row>
    <row r="13521" spans="4:39" x14ac:dyDescent="0.3">
      <c r="D13521" s="1"/>
      <c r="G13521" s="13"/>
      <c r="AL13521" s="13"/>
    </row>
    <row r="13522" spans="4:39" x14ac:dyDescent="0.3">
      <c r="D13522" s="1"/>
      <c r="G13522" s="13"/>
      <c r="AL13522" s="13"/>
    </row>
    <row r="13523" spans="4:39" x14ac:dyDescent="0.3">
      <c r="D13523" s="1"/>
      <c r="G13523" s="13"/>
      <c r="AL13523" s="13"/>
    </row>
    <row r="13524" spans="4:39" x14ac:dyDescent="0.3">
      <c r="D13524" s="1"/>
      <c r="G13524" s="13"/>
      <c r="AL13524" s="13"/>
    </row>
    <row r="13525" spans="4:39" x14ac:dyDescent="0.3">
      <c r="D13525" s="1"/>
      <c r="G13525" s="13"/>
      <c r="AL13525" s="13"/>
    </row>
    <row r="13526" spans="4:39" x14ac:dyDescent="0.3">
      <c r="D13526" s="1"/>
      <c r="G13526" s="13"/>
      <c r="AL13526" s="13"/>
    </row>
    <row r="13527" spans="4:39" x14ac:dyDescent="0.3">
      <c r="D13527" s="1"/>
      <c r="G13527" s="13"/>
      <c r="AL13527" s="13"/>
    </row>
    <row r="13528" spans="4:39" x14ac:dyDescent="0.3">
      <c r="D13528" s="1"/>
      <c r="G13528" s="13"/>
      <c r="AL13528" s="13"/>
    </row>
    <row r="13529" spans="4:39" x14ac:dyDescent="0.3">
      <c r="D13529" s="1"/>
      <c r="G13529" s="13"/>
      <c r="AL13529" s="13"/>
    </row>
    <row r="13530" spans="4:39" x14ac:dyDescent="0.3">
      <c r="D13530" s="1"/>
      <c r="G13530" s="13"/>
      <c r="AL13530" s="13"/>
    </row>
    <row r="13531" spans="4:39" x14ac:dyDescent="0.3">
      <c r="D13531" s="1"/>
      <c r="G13531" s="13"/>
      <c r="AL13531" s="13"/>
    </row>
    <row r="13532" spans="4:39" x14ac:dyDescent="0.3">
      <c r="D13532" s="1"/>
      <c r="G13532" s="13"/>
      <c r="AL13532" s="13"/>
      <c r="AM13532" s="14"/>
    </row>
    <row r="13533" spans="4:39" x14ac:dyDescent="0.3">
      <c r="D13533" s="1"/>
      <c r="G13533" s="13"/>
      <c r="AL13533" s="13"/>
    </row>
    <row r="13534" spans="4:39" x14ac:dyDescent="0.3">
      <c r="D13534" s="1"/>
      <c r="G13534" s="13"/>
      <c r="AL13534" s="13"/>
    </row>
    <row r="13535" spans="4:39" x14ac:dyDescent="0.3">
      <c r="D13535" s="1"/>
      <c r="G13535" s="13"/>
      <c r="AL13535" s="13"/>
    </row>
    <row r="13536" spans="4:39" x14ac:dyDescent="0.3">
      <c r="D13536" s="1"/>
      <c r="G13536" s="13"/>
      <c r="AL13536" s="13"/>
    </row>
    <row r="13537" spans="4:39" x14ac:dyDescent="0.3">
      <c r="D13537" s="1"/>
      <c r="G13537" s="13"/>
      <c r="AL13537" s="13"/>
    </row>
    <row r="13538" spans="4:39" x14ac:dyDescent="0.3">
      <c r="D13538" s="1"/>
      <c r="G13538" s="13"/>
      <c r="AL13538" s="13"/>
    </row>
    <row r="13539" spans="4:39" x14ac:dyDescent="0.3">
      <c r="D13539" s="1"/>
      <c r="G13539" s="13"/>
      <c r="AL13539" s="13"/>
      <c r="AM13539" s="14"/>
    </row>
    <row r="13540" spans="4:39" x14ac:dyDescent="0.3">
      <c r="D13540" s="1"/>
      <c r="G13540" s="13"/>
      <c r="AL13540" s="13"/>
    </row>
    <row r="13541" spans="4:39" x14ac:dyDescent="0.3">
      <c r="D13541" s="1"/>
      <c r="G13541" s="13"/>
      <c r="AL13541" s="13"/>
      <c r="AM13541" s="14"/>
    </row>
    <row r="13542" spans="4:39" x14ac:dyDescent="0.3">
      <c r="D13542" s="1"/>
      <c r="G13542" s="13"/>
      <c r="AL13542" s="13"/>
    </row>
    <row r="13543" spans="4:39" x14ac:dyDescent="0.3">
      <c r="D13543" s="1"/>
      <c r="G13543" s="13"/>
      <c r="AL13543" s="13"/>
    </row>
    <row r="13544" spans="4:39" x14ac:dyDescent="0.3">
      <c r="D13544" s="1"/>
      <c r="G13544" s="13"/>
      <c r="AL13544" s="13"/>
    </row>
    <row r="13545" spans="4:39" x14ac:dyDescent="0.3">
      <c r="D13545" s="1"/>
      <c r="G13545" s="13"/>
      <c r="AL13545" s="13"/>
      <c r="AM13545" s="14"/>
    </row>
    <row r="13546" spans="4:39" x14ac:dyDescent="0.3">
      <c r="D13546" s="1"/>
      <c r="G13546" s="13"/>
      <c r="AL13546" s="13"/>
      <c r="AM13546" s="14"/>
    </row>
    <row r="13547" spans="4:39" x14ac:dyDescent="0.3">
      <c r="D13547" s="1"/>
      <c r="G13547" s="13"/>
      <c r="AL13547" s="13"/>
    </row>
    <row r="13548" spans="4:39" x14ac:dyDescent="0.3">
      <c r="D13548" s="1"/>
      <c r="G13548" s="13"/>
      <c r="AL13548" s="13"/>
    </row>
    <row r="13549" spans="4:39" x14ac:dyDescent="0.3">
      <c r="D13549" s="1"/>
      <c r="G13549" s="13"/>
      <c r="AL13549" s="13"/>
    </row>
    <row r="13550" spans="4:39" x14ac:dyDescent="0.3">
      <c r="D13550" s="1"/>
      <c r="G13550" s="13"/>
      <c r="AL13550" s="13"/>
      <c r="AM13550" s="14"/>
    </row>
    <row r="13551" spans="4:39" x14ac:dyDescent="0.3">
      <c r="D13551" s="1"/>
      <c r="G13551" s="13"/>
      <c r="AL13551" s="13"/>
      <c r="AM13551" s="14"/>
    </row>
    <row r="13552" spans="4:39" x14ac:dyDescent="0.3">
      <c r="D13552" s="1"/>
      <c r="G13552" s="13"/>
      <c r="AL13552" s="13"/>
      <c r="AM13552" s="14"/>
    </row>
    <row r="13553" spans="4:39" x14ac:dyDescent="0.3">
      <c r="D13553" s="1"/>
      <c r="G13553" s="13"/>
      <c r="AL13553" s="13"/>
      <c r="AM13553" s="14"/>
    </row>
    <row r="13554" spans="4:39" x14ac:dyDescent="0.3">
      <c r="D13554" s="1"/>
      <c r="G13554" s="13"/>
      <c r="AL13554" s="13"/>
    </row>
    <row r="13555" spans="4:39" x14ac:dyDescent="0.3">
      <c r="D13555" s="1"/>
      <c r="G13555" s="13"/>
      <c r="AL13555" s="13"/>
      <c r="AM13555" s="14"/>
    </row>
    <row r="13556" spans="4:39" x14ac:dyDescent="0.3">
      <c r="D13556" s="1"/>
      <c r="G13556" s="13"/>
      <c r="AL13556" s="13"/>
      <c r="AM13556" s="14"/>
    </row>
    <row r="13557" spans="4:39" x14ac:dyDescent="0.3">
      <c r="D13557" s="1"/>
      <c r="G13557" s="13"/>
      <c r="AL13557" s="13"/>
    </row>
    <row r="13558" spans="4:39" x14ac:dyDescent="0.3">
      <c r="D13558" s="1"/>
      <c r="G13558" s="13"/>
      <c r="AL13558" s="13"/>
    </row>
    <row r="13559" spans="4:39" x14ac:dyDescent="0.3">
      <c r="D13559" s="1"/>
      <c r="G13559" s="13"/>
      <c r="AL13559" s="13"/>
    </row>
    <row r="13560" spans="4:39" x14ac:dyDescent="0.3">
      <c r="D13560" s="1"/>
      <c r="G13560" s="13"/>
      <c r="AL13560" s="13"/>
    </row>
    <row r="13561" spans="4:39" x14ac:dyDescent="0.3">
      <c r="D13561" s="1"/>
      <c r="G13561" s="13"/>
      <c r="AL13561" s="13"/>
      <c r="AM13561" s="14"/>
    </row>
    <row r="13562" spans="4:39" x14ac:dyDescent="0.3">
      <c r="D13562" s="1"/>
      <c r="G13562" s="13"/>
      <c r="AL13562" s="13"/>
    </row>
    <row r="13563" spans="4:39" x14ac:dyDescent="0.3">
      <c r="D13563" s="1"/>
      <c r="G13563" s="13"/>
      <c r="AL13563" s="13"/>
    </row>
    <row r="13564" spans="4:39" x14ac:dyDescent="0.3">
      <c r="D13564" s="1"/>
      <c r="G13564" s="13"/>
      <c r="AL13564" s="13"/>
      <c r="AM13564" s="14"/>
    </row>
    <row r="13565" spans="4:39" x14ac:dyDescent="0.3">
      <c r="D13565" s="1"/>
      <c r="G13565" s="13"/>
      <c r="AL13565" s="13"/>
      <c r="AM13565" s="14"/>
    </row>
    <row r="13566" spans="4:39" x14ac:dyDescent="0.3">
      <c r="D13566" s="1"/>
      <c r="G13566" s="13"/>
      <c r="AL13566" s="13"/>
      <c r="AM13566" s="14"/>
    </row>
    <row r="13567" spans="4:39" x14ac:dyDescent="0.3">
      <c r="D13567" s="1"/>
      <c r="G13567" s="13"/>
      <c r="AL13567" s="13"/>
    </row>
    <row r="13568" spans="4:39" x14ac:dyDescent="0.3">
      <c r="D13568" s="1"/>
      <c r="G13568" s="13"/>
      <c r="AL13568" s="13"/>
    </row>
    <row r="13569" spans="4:39" x14ac:dyDescent="0.3">
      <c r="D13569" s="1"/>
      <c r="G13569" s="13"/>
      <c r="AL13569" s="13"/>
    </row>
    <row r="13570" spans="4:39" x14ac:dyDescent="0.3">
      <c r="D13570" s="1"/>
      <c r="G13570" s="13"/>
      <c r="AL13570" s="13"/>
    </row>
    <row r="13571" spans="4:39" x14ac:dyDescent="0.3">
      <c r="D13571" s="1"/>
      <c r="G13571" s="13"/>
      <c r="AL13571" s="13"/>
      <c r="AM13571" s="14"/>
    </row>
    <row r="13572" spans="4:39" x14ac:dyDescent="0.3">
      <c r="D13572" s="1"/>
      <c r="G13572" s="13"/>
      <c r="AL13572" s="13"/>
    </row>
    <row r="13573" spans="4:39" x14ac:dyDescent="0.3">
      <c r="D13573" s="1"/>
      <c r="G13573" s="13"/>
      <c r="AL13573" s="13"/>
    </row>
    <row r="13574" spans="4:39" x14ac:dyDescent="0.3">
      <c r="D13574" s="1"/>
      <c r="G13574" s="13"/>
      <c r="AL13574" s="13"/>
      <c r="AM13574" s="14"/>
    </row>
    <row r="13575" spans="4:39" x14ac:dyDescent="0.3">
      <c r="D13575" s="1"/>
      <c r="G13575" s="13"/>
      <c r="AL13575" s="13"/>
    </row>
    <row r="13576" spans="4:39" x14ac:dyDescent="0.3">
      <c r="D13576" s="1"/>
      <c r="G13576" s="13"/>
      <c r="AL13576" s="13"/>
    </row>
    <row r="13577" spans="4:39" x14ac:dyDescent="0.3">
      <c r="D13577" s="1"/>
      <c r="G13577" s="13"/>
      <c r="AL13577" s="13"/>
    </row>
    <row r="13578" spans="4:39" x14ac:dyDescent="0.3">
      <c r="D13578" s="1"/>
      <c r="G13578" s="13"/>
      <c r="AL13578" s="13"/>
      <c r="AM13578" s="14"/>
    </row>
    <row r="13579" spans="4:39" x14ac:dyDescent="0.3">
      <c r="D13579" s="1"/>
      <c r="G13579" s="13"/>
      <c r="AL13579" s="13"/>
    </row>
    <row r="13580" spans="4:39" x14ac:dyDescent="0.3">
      <c r="D13580" s="1"/>
      <c r="G13580" s="13"/>
      <c r="AL13580" s="13"/>
      <c r="AM13580" s="14"/>
    </row>
    <row r="13581" spans="4:39" x14ac:dyDescent="0.3">
      <c r="D13581" s="1"/>
      <c r="G13581" s="13"/>
      <c r="AL13581" s="13"/>
    </row>
    <row r="13582" spans="4:39" x14ac:dyDescent="0.3">
      <c r="D13582" s="1"/>
      <c r="G13582" s="13"/>
      <c r="AL13582" s="13"/>
    </row>
    <row r="13583" spans="4:39" x14ac:dyDescent="0.3">
      <c r="D13583" s="1"/>
      <c r="G13583" s="13"/>
      <c r="AL13583" s="13"/>
    </row>
    <row r="13584" spans="4:39" x14ac:dyDescent="0.3">
      <c r="D13584" s="1"/>
      <c r="G13584" s="13"/>
      <c r="AL13584" s="13"/>
      <c r="AM13584" s="14"/>
    </row>
    <row r="13585" spans="4:39" x14ac:dyDescent="0.3">
      <c r="D13585" s="1"/>
      <c r="G13585" s="13"/>
      <c r="AL13585" s="13"/>
      <c r="AM13585" s="14"/>
    </row>
    <row r="13586" spans="4:39" x14ac:dyDescent="0.3">
      <c r="D13586" s="1"/>
      <c r="G13586" s="13"/>
      <c r="AL13586" s="13"/>
      <c r="AM13586" s="14"/>
    </row>
    <row r="13587" spans="4:39" x14ac:dyDescent="0.3">
      <c r="D13587" s="1"/>
      <c r="G13587" s="13"/>
      <c r="AL13587" s="13"/>
    </row>
    <row r="13588" spans="4:39" x14ac:dyDescent="0.3">
      <c r="D13588" s="1"/>
      <c r="G13588" s="13"/>
      <c r="AL13588" s="13"/>
    </row>
    <row r="13589" spans="4:39" x14ac:dyDescent="0.3">
      <c r="D13589" s="1"/>
      <c r="G13589" s="13"/>
      <c r="AL13589" s="13"/>
      <c r="AM13589" s="14"/>
    </row>
    <row r="13590" spans="4:39" x14ac:dyDescent="0.3">
      <c r="D13590" s="1"/>
      <c r="G13590" s="13"/>
      <c r="AL13590" s="13"/>
      <c r="AM13590" s="14"/>
    </row>
    <row r="13591" spans="4:39" x14ac:dyDescent="0.3">
      <c r="D13591" s="1"/>
      <c r="G13591" s="13"/>
      <c r="AL13591" s="13"/>
      <c r="AM13591" s="14"/>
    </row>
    <row r="13592" spans="4:39" x14ac:dyDescent="0.3">
      <c r="D13592" s="1"/>
      <c r="G13592" s="13"/>
      <c r="AL13592" s="13"/>
    </row>
    <row r="13593" spans="4:39" x14ac:dyDescent="0.3">
      <c r="D13593" s="1"/>
      <c r="G13593" s="13"/>
      <c r="AL13593" s="13"/>
    </row>
    <row r="13594" spans="4:39" x14ac:dyDescent="0.3">
      <c r="D13594" s="1"/>
      <c r="G13594" s="13"/>
      <c r="AL13594" s="13"/>
    </row>
    <row r="13595" spans="4:39" x14ac:dyDescent="0.3">
      <c r="D13595" s="1"/>
      <c r="G13595" s="13"/>
      <c r="AL13595" s="13"/>
    </row>
    <row r="13596" spans="4:39" x14ac:dyDescent="0.3">
      <c r="D13596" s="1"/>
      <c r="G13596" s="13"/>
      <c r="AL13596" s="13"/>
    </row>
    <row r="13597" spans="4:39" x14ac:dyDescent="0.3">
      <c r="D13597" s="1"/>
      <c r="G13597" s="13"/>
      <c r="AL13597" s="13"/>
      <c r="AM13597" s="14"/>
    </row>
    <row r="13598" spans="4:39" x14ac:dyDescent="0.3">
      <c r="D13598" s="1"/>
      <c r="G13598" s="13"/>
      <c r="AL13598" s="13"/>
    </row>
    <row r="13599" spans="4:39" x14ac:dyDescent="0.3">
      <c r="D13599" s="1"/>
      <c r="G13599" s="13"/>
      <c r="AL13599" s="13"/>
    </row>
    <row r="13600" spans="4:39" x14ac:dyDescent="0.3">
      <c r="D13600" s="1"/>
      <c r="G13600" s="13"/>
      <c r="AL13600" s="13"/>
    </row>
    <row r="13601" spans="4:39" x14ac:dyDescent="0.3">
      <c r="D13601" s="1"/>
      <c r="G13601" s="13"/>
      <c r="AL13601" s="13"/>
    </row>
    <row r="13602" spans="4:39" x14ac:dyDescent="0.3">
      <c r="D13602" s="1"/>
      <c r="G13602" s="13"/>
      <c r="AL13602" s="13"/>
      <c r="AM13602" s="14"/>
    </row>
    <row r="13603" spans="4:39" x14ac:dyDescent="0.3">
      <c r="D13603" s="1"/>
      <c r="G13603" s="13"/>
      <c r="AL13603" s="13"/>
    </row>
    <row r="13604" spans="4:39" x14ac:dyDescent="0.3">
      <c r="D13604" s="1"/>
      <c r="G13604" s="13"/>
      <c r="AL13604" s="13"/>
    </row>
    <row r="13605" spans="4:39" x14ac:dyDescent="0.3">
      <c r="D13605" s="1"/>
      <c r="G13605" s="13"/>
      <c r="AL13605" s="13"/>
    </row>
    <row r="13606" spans="4:39" x14ac:dyDescent="0.3">
      <c r="D13606" s="1"/>
      <c r="G13606" s="13"/>
      <c r="AL13606" s="13"/>
    </row>
    <row r="13607" spans="4:39" x14ac:dyDescent="0.3">
      <c r="D13607" s="1"/>
      <c r="G13607" s="13"/>
      <c r="AL13607" s="13"/>
    </row>
    <row r="13608" spans="4:39" x14ac:dyDescent="0.3">
      <c r="D13608" s="1"/>
      <c r="G13608" s="13"/>
      <c r="AL13608" s="13"/>
      <c r="AM13608" s="14"/>
    </row>
    <row r="13609" spans="4:39" x14ac:dyDescent="0.3">
      <c r="D13609" s="1"/>
      <c r="G13609" s="13"/>
      <c r="AL13609" s="13"/>
    </row>
    <row r="13610" spans="4:39" x14ac:dyDescent="0.3">
      <c r="D13610" s="1"/>
      <c r="G13610" s="13"/>
      <c r="AL13610" s="13"/>
    </row>
    <row r="13611" spans="4:39" x14ac:dyDescent="0.3">
      <c r="D13611" s="1"/>
      <c r="G13611" s="13"/>
      <c r="AL13611" s="13"/>
      <c r="AM13611" s="14"/>
    </row>
    <row r="13612" spans="4:39" x14ac:dyDescent="0.3">
      <c r="D13612" s="1"/>
      <c r="G13612" s="13"/>
      <c r="AL13612" s="13"/>
    </row>
    <row r="13613" spans="4:39" x14ac:dyDescent="0.3">
      <c r="D13613" s="1"/>
      <c r="G13613" s="13"/>
      <c r="AL13613" s="13"/>
    </row>
    <row r="13614" spans="4:39" x14ac:dyDescent="0.3">
      <c r="D13614" s="1"/>
      <c r="G13614" s="13"/>
      <c r="AL13614" s="13"/>
      <c r="AM13614" s="14"/>
    </row>
    <row r="13615" spans="4:39" x14ac:dyDescent="0.3">
      <c r="D13615" s="1"/>
      <c r="G13615" s="13"/>
      <c r="AL13615" s="13"/>
    </row>
    <row r="13616" spans="4:39" x14ac:dyDescent="0.3">
      <c r="D13616" s="1"/>
      <c r="G13616" s="13"/>
      <c r="AL13616" s="13"/>
    </row>
    <row r="13617" spans="4:39" x14ac:dyDescent="0.3">
      <c r="D13617" s="1"/>
      <c r="G13617" s="13"/>
      <c r="AL13617" s="13"/>
      <c r="AM13617" s="14"/>
    </row>
    <row r="13618" spans="4:39" x14ac:dyDescent="0.3">
      <c r="D13618" s="1"/>
      <c r="G13618" s="13"/>
      <c r="AL13618" s="13"/>
    </row>
    <row r="13619" spans="4:39" x14ac:dyDescent="0.3">
      <c r="D13619" s="1"/>
      <c r="G13619" s="13"/>
      <c r="AL13619" s="13"/>
    </row>
    <row r="13620" spans="4:39" x14ac:dyDescent="0.3">
      <c r="D13620" s="1"/>
      <c r="G13620" s="13"/>
      <c r="AL13620" s="13"/>
    </row>
    <row r="13621" spans="4:39" x14ac:dyDescent="0.3">
      <c r="D13621" s="1"/>
      <c r="G13621" s="13"/>
      <c r="AL13621" s="13"/>
    </row>
    <row r="13622" spans="4:39" x14ac:dyDescent="0.3">
      <c r="D13622" s="1"/>
      <c r="G13622" s="13"/>
      <c r="AL13622" s="13"/>
    </row>
    <row r="13623" spans="4:39" x14ac:dyDescent="0.3">
      <c r="D13623" s="1"/>
      <c r="G13623" s="13"/>
      <c r="AL13623" s="13"/>
    </row>
    <row r="13624" spans="4:39" x14ac:dyDescent="0.3">
      <c r="D13624" s="1"/>
      <c r="G13624" s="13"/>
      <c r="AL13624" s="13"/>
    </row>
    <row r="13625" spans="4:39" x14ac:dyDescent="0.3">
      <c r="D13625" s="1"/>
      <c r="G13625" s="13"/>
      <c r="AL13625" s="13"/>
    </row>
    <row r="13626" spans="4:39" x14ac:dyDescent="0.3">
      <c r="D13626" s="1"/>
      <c r="G13626" s="13"/>
      <c r="AL13626" s="13"/>
    </row>
    <row r="13627" spans="4:39" x14ac:dyDescent="0.3">
      <c r="D13627" s="1"/>
      <c r="G13627" s="13"/>
      <c r="AL13627" s="13"/>
    </row>
    <row r="13628" spans="4:39" x14ac:dyDescent="0.3">
      <c r="D13628" s="1"/>
      <c r="G13628" s="13"/>
      <c r="AL13628" s="13"/>
      <c r="AM13628" s="14"/>
    </row>
    <row r="13629" spans="4:39" x14ac:dyDescent="0.3">
      <c r="D13629" s="1"/>
      <c r="G13629" s="13"/>
      <c r="AL13629" s="13"/>
    </row>
    <row r="13630" spans="4:39" x14ac:dyDescent="0.3">
      <c r="D13630" s="1"/>
      <c r="G13630" s="13"/>
      <c r="AL13630" s="13"/>
    </row>
    <row r="13631" spans="4:39" x14ac:dyDescent="0.3">
      <c r="D13631" s="1"/>
      <c r="G13631" s="13"/>
      <c r="AL13631" s="13"/>
    </row>
    <row r="13632" spans="4:39" x14ac:dyDescent="0.3">
      <c r="D13632" s="1"/>
      <c r="G13632" s="13"/>
      <c r="AL13632" s="13"/>
    </row>
    <row r="13633" spans="4:39" x14ac:dyDescent="0.3">
      <c r="D13633" s="1"/>
      <c r="G13633" s="13"/>
      <c r="AL13633" s="13"/>
    </row>
    <row r="13634" spans="4:39" x14ac:dyDescent="0.3">
      <c r="D13634" s="1"/>
      <c r="G13634" s="13"/>
      <c r="AL13634" s="13"/>
    </row>
    <row r="13635" spans="4:39" x14ac:dyDescent="0.3">
      <c r="D13635" s="1"/>
      <c r="G13635" s="13"/>
      <c r="AL13635" s="13"/>
    </row>
    <row r="13636" spans="4:39" x14ac:dyDescent="0.3">
      <c r="D13636" s="1"/>
      <c r="G13636" s="13"/>
      <c r="AL13636" s="13"/>
    </row>
    <row r="13637" spans="4:39" x14ac:dyDescent="0.3">
      <c r="D13637" s="1"/>
      <c r="G13637" s="13"/>
      <c r="AL13637" s="13"/>
    </row>
    <row r="13638" spans="4:39" x14ac:dyDescent="0.3">
      <c r="D13638" s="1"/>
      <c r="G13638" s="13"/>
      <c r="AL13638" s="13"/>
    </row>
    <row r="13639" spans="4:39" x14ac:dyDescent="0.3">
      <c r="D13639" s="1"/>
      <c r="G13639" s="13"/>
      <c r="AL13639" s="13"/>
    </row>
    <row r="13640" spans="4:39" x14ac:dyDescent="0.3">
      <c r="D13640" s="1"/>
      <c r="G13640" s="13"/>
      <c r="AL13640" s="13"/>
      <c r="AM13640" s="14"/>
    </row>
    <row r="13641" spans="4:39" x14ac:dyDescent="0.3">
      <c r="D13641" s="1"/>
      <c r="G13641" s="13"/>
      <c r="AL13641" s="13"/>
    </row>
    <row r="13642" spans="4:39" x14ac:dyDescent="0.3">
      <c r="D13642" s="1"/>
      <c r="G13642" s="13"/>
      <c r="AL13642" s="13"/>
    </row>
    <row r="13643" spans="4:39" x14ac:dyDescent="0.3">
      <c r="D13643" s="1"/>
      <c r="G13643" s="13"/>
      <c r="AL13643" s="13"/>
    </row>
    <row r="13644" spans="4:39" x14ac:dyDescent="0.3">
      <c r="D13644" s="1"/>
      <c r="G13644" s="13"/>
      <c r="AL13644" s="13"/>
    </row>
    <row r="13645" spans="4:39" x14ac:dyDescent="0.3">
      <c r="D13645" s="1"/>
      <c r="G13645" s="13"/>
      <c r="AL13645" s="13"/>
    </row>
    <row r="13646" spans="4:39" x14ac:dyDescent="0.3">
      <c r="D13646" s="1"/>
      <c r="G13646" s="13"/>
      <c r="AL13646" s="13"/>
    </row>
    <row r="13647" spans="4:39" x14ac:dyDescent="0.3">
      <c r="D13647" s="1"/>
      <c r="G13647" s="13"/>
      <c r="AL13647" s="13"/>
    </row>
    <row r="13648" spans="4:39" x14ac:dyDescent="0.3">
      <c r="D13648" s="1"/>
      <c r="G13648" s="13"/>
      <c r="AL13648" s="13"/>
    </row>
    <row r="13649" spans="4:39" x14ac:dyDescent="0.3">
      <c r="D13649" s="1"/>
      <c r="G13649" s="13"/>
      <c r="AL13649" s="13"/>
    </row>
    <row r="13650" spans="4:39" x14ac:dyDescent="0.3">
      <c r="D13650" s="1"/>
      <c r="G13650" s="13"/>
      <c r="AL13650" s="13"/>
      <c r="AM13650" s="14"/>
    </row>
    <row r="13651" spans="4:39" x14ac:dyDescent="0.3">
      <c r="D13651" s="1"/>
      <c r="G13651" s="13"/>
      <c r="AL13651" s="13"/>
    </row>
    <row r="13652" spans="4:39" x14ac:dyDescent="0.3">
      <c r="D13652" s="1"/>
      <c r="G13652" s="13"/>
      <c r="AL13652" s="13"/>
    </row>
    <row r="13653" spans="4:39" x14ac:dyDescent="0.3">
      <c r="D13653" s="1"/>
      <c r="G13653" s="13"/>
      <c r="AL13653" s="13"/>
    </row>
    <row r="13654" spans="4:39" x14ac:dyDescent="0.3">
      <c r="D13654" s="1"/>
      <c r="G13654" s="13"/>
      <c r="AL13654" s="13"/>
    </row>
    <row r="13655" spans="4:39" x14ac:dyDescent="0.3">
      <c r="D13655" s="1"/>
      <c r="G13655" s="13"/>
      <c r="AL13655" s="13"/>
    </row>
    <row r="13656" spans="4:39" x14ac:dyDescent="0.3">
      <c r="D13656" s="1"/>
      <c r="G13656" s="13"/>
      <c r="AL13656" s="13"/>
    </row>
    <row r="13657" spans="4:39" x14ac:dyDescent="0.3">
      <c r="D13657" s="1"/>
      <c r="G13657" s="13"/>
      <c r="AL13657" s="13"/>
    </row>
    <row r="13658" spans="4:39" x14ac:dyDescent="0.3">
      <c r="D13658" s="1"/>
      <c r="G13658" s="13"/>
      <c r="AL13658" s="13"/>
    </row>
    <row r="13659" spans="4:39" x14ac:dyDescent="0.3">
      <c r="D13659" s="1"/>
      <c r="G13659" s="13"/>
      <c r="AL13659" s="13"/>
      <c r="AM13659" s="14"/>
    </row>
    <row r="13660" spans="4:39" x14ac:dyDescent="0.3">
      <c r="D13660" s="1"/>
      <c r="G13660" s="13"/>
      <c r="AL13660" s="13"/>
      <c r="AM13660" s="14"/>
    </row>
    <row r="13661" spans="4:39" x14ac:dyDescent="0.3">
      <c r="D13661" s="1"/>
      <c r="G13661" s="13"/>
      <c r="AL13661" s="13"/>
      <c r="AM13661" s="14"/>
    </row>
    <row r="13662" spans="4:39" x14ac:dyDescent="0.3">
      <c r="D13662" s="1"/>
      <c r="G13662" s="13"/>
      <c r="AL13662" s="13"/>
    </row>
    <row r="13663" spans="4:39" x14ac:dyDescent="0.3">
      <c r="D13663" s="1"/>
      <c r="G13663" s="13"/>
      <c r="AL13663" s="13"/>
    </row>
    <row r="13664" spans="4:39" x14ac:dyDescent="0.3">
      <c r="D13664" s="1"/>
      <c r="G13664" s="13"/>
      <c r="AL13664" s="13"/>
    </row>
    <row r="13665" spans="4:39" x14ac:dyDescent="0.3">
      <c r="D13665" s="1"/>
      <c r="G13665" s="13"/>
      <c r="AL13665" s="13"/>
    </row>
    <row r="13666" spans="4:39" x14ac:dyDescent="0.3">
      <c r="D13666" s="1"/>
      <c r="G13666" s="13"/>
      <c r="AL13666" s="13"/>
    </row>
    <row r="13667" spans="4:39" x14ac:dyDescent="0.3">
      <c r="D13667" s="1"/>
      <c r="G13667" s="13"/>
      <c r="AL13667" s="13"/>
    </row>
    <row r="13668" spans="4:39" x14ac:dyDescent="0.3">
      <c r="D13668" s="1"/>
      <c r="G13668" s="13"/>
      <c r="AL13668" s="13"/>
      <c r="AM13668" s="14"/>
    </row>
    <row r="13669" spans="4:39" x14ac:dyDescent="0.3">
      <c r="D13669" s="1"/>
      <c r="G13669" s="13"/>
      <c r="AL13669" s="13"/>
      <c r="AM13669" s="14"/>
    </row>
    <row r="13670" spans="4:39" x14ac:dyDescent="0.3">
      <c r="D13670" s="1"/>
      <c r="G13670" s="13"/>
      <c r="AL13670" s="13"/>
    </row>
    <row r="13671" spans="4:39" x14ac:dyDescent="0.3">
      <c r="D13671" s="1"/>
      <c r="G13671" s="13"/>
      <c r="AL13671" s="13"/>
    </row>
    <row r="13672" spans="4:39" x14ac:dyDescent="0.3">
      <c r="D13672" s="1"/>
      <c r="G13672" s="13"/>
      <c r="AL13672" s="13"/>
      <c r="AM13672" s="14"/>
    </row>
    <row r="13673" spans="4:39" x14ac:dyDescent="0.3">
      <c r="D13673" s="1"/>
      <c r="G13673" s="13"/>
      <c r="AL13673" s="13"/>
    </row>
    <row r="13674" spans="4:39" x14ac:dyDescent="0.3">
      <c r="D13674" s="1"/>
      <c r="G13674" s="13"/>
      <c r="AL13674" s="13"/>
    </row>
    <row r="13675" spans="4:39" x14ac:dyDescent="0.3">
      <c r="D13675" s="1"/>
      <c r="G13675" s="13"/>
      <c r="AL13675" s="13"/>
    </row>
    <row r="13676" spans="4:39" x14ac:dyDescent="0.3">
      <c r="D13676" s="1"/>
      <c r="G13676" s="13"/>
      <c r="AL13676" s="13"/>
      <c r="AM13676" s="14"/>
    </row>
    <row r="13677" spans="4:39" x14ac:dyDescent="0.3">
      <c r="D13677" s="1"/>
      <c r="G13677" s="13"/>
      <c r="AL13677" s="13"/>
    </row>
    <row r="13678" spans="4:39" x14ac:dyDescent="0.3">
      <c r="D13678" s="1"/>
      <c r="G13678" s="13"/>
      <c r="AL13678" s="13"/>
    </row>
    <row r="13679" spans="4:39" x14ac:dyDescent="0.3">
      <c r="D13679" s="1"/>
      <c r="G13679" s="13"/>
      <c r="AL13679" s="13"/>
    </row>
    <row r="13680" spans="4:39" x14ac:dyDescent="0.3">
      <c r="D13680" s="1"/>
      <c r="G13680" s="13"/>
      <c r="AL13680" s="13"/>
    </row>
    <row r="13681" spans="4:39" x14ac:dyDescent="0.3">
      <c r="D13681" s="1"/>
      <c r="G13681" s="13"/>
      <c r="AL13681" s="13"/>
    </row>
    <row r="13682" spans="4:39" x14ac:dyDescent="0.3">
      <c r="D13682" s="1"/>
      <c r="G13682" s="13"/>
      <c r="AL13682" s="13"/>
    </row>
    <row r="13683" spans="4:39" x14ac:dyDescent="0.3">
      <c r="D13683" s="1"/>
      <c r="G13683" s="13"/>
      <c r="AL13683" s="13"/>
    </row>
    <row r="13684" spans="4:39" x14ac:dyDescent="0.3">
      <c r="D13684" s="1"/>
      <c r="G13684" s="13"/>
      <c r="AL13684" s="13"/>
    </row>
    <row r="13685" spans="4:39" x14ac:dyDescent="0.3">
      <c r="D13685" s="1"/>
      <c r="G13685" s="13"/>
      <c r="AL13685" s="13"/>
    </row>
    <row r="13686" spans="4:39" x14ac:dyDescent="0.3">
      <c r="D13686" s="1"/>
      <c r="G13686" s="13"/>
      <c r="AL13686" s="13"/>
    </row>
    <row r="13687" spans="4:39" x14ac:dyDescent="0.3">
      <c r="D13687" s="1"/>
      <c r="G13687" s="13"/>
      <c r="AL13687" s="13"/>
    </row>
    <row r="13688" spans="4:39" x14ac:dyDescent="0.3">
      <c r="D13688" s="1"/>
      <c r="G13688" s="13"/>
      <c r="AL13688" s="13"/>
    </row>
    <row r="13689" spans="4:39" x14ac:dyDescent="0.3">
      <c r="D13689" s="1"/>
      <c r="G13689" s="13"/>
      <c r="AL13689" s="13"/>
      <c r="AM13689" s="14"/>
    </row>
    <row r="13690" spans="4:39" x14ac:dyDescent="0.3">
      <c r="D13690" s="1"/>
      <c r="G13690" s="13"/>
      <c r="AL13690" s="13"/>
    </row>
    <row r="13691" spans="4:39" x14ac:dyDescent="0.3">
      <c r="D13691" s="1"/>
      <c r="G13691" s="13"/>
      <c r="AL13691" s="13"/>
      <c r="AM13691" s="14"/>
    </row>
    <row r="13692" spans="4:39" x14ac:dyDescent="0.3">
      <c r="D13692" s="1"/>
      <c r="G13692" s="13"/>
      <c r="AL13692" s="13"/>
    </row>
    <row r="13693" spans="4:39" x14ac:dyDescent="0.3">
      <c r="D13693" s="1"/>
      <c r="G13693" s="13"/>
      <c r="AL13693" s="13"/>
      <c r="AM13693" s="14"/>
    </row>
    <row r="13694" spans="4:39" x14ac:dyDescent="0.3">
      <c r="D13694" s="1"/>
      <c r="G13694" s="13"/>
      <c r="AL13694" s="13"/>
    </row>
    <row r="13695" spans="4:39" x14ac:dyDescent="0.3">
      <c r="D13695" s="1"/>
      <c r="G13695" s="13"/>
      <c r="AL13695" s="13"/>
    </row>
    <row r="13696" spans="4:39" x14ac:dyDescent="0.3">
      <c r="D13696" s="1"/>
      <c r="G13696" s="13"/>
      <c r="AL13696" s="13"/>
    </row>
    <row r="13697" spans="4:39" x14ac:dyDescent="0.3">
      <c r="D13697" s="1"/>
      <c r="G13697" s="13"/>
      <c r="AL13697" s="13"/>
      <c r="AM13697" s="14"/>
    </row>
    <row r="13698" spans="4:39" x14ac:dyDescent="0.3">
      <c r="D13698" s="1"/>
      <c r="G13698" s="13"/>
      <c r="AL13698" s="13"/>
      <c r="AM13698" s="14"/>
    </row>
    <row r="13699" spans="4:39" x14ac:dyDescent="0.3">
      <c r="D13699" s="1"/>
      <c r="G13699" s="13"/>
      <c r="AL13699" s="13"/>
    </row>
    <row r="13700" spans="4:39" x14ac:dyDescent="0.3">
      <c r="D13700" s="1"/>
      <c r="G13700" s="13"/>
      <c r="AL13700" s="13"/>
    </row>
    <row r="13701" spans="4:39" x14ac:dyDescent="0.3">
      <c r="D13701" s="1"/>
      <c r="G13701" s="13"/>
      <c r="AL13701" s="13"/>
      <c r="AM13701" s="14"/>
    </row>
    <row r="13702" spans="4:39" x14ac:dyDescent="0.3">
      <c r="D13702" s="1"/>
      <c r="G13702" s="13"/>
      <c r="AL13702" s="13"/>
    </row>
    <row r="13703" spans="4:39" x14ac:dyDescent="0.3">
      <c r="D13703" s="1"/>
      <c r="G13703" s="13"/>
      <c r="AL13703" s="13"/>
    </row>
    <row r="13704" spans="4:39" x14ac:dyDescent="0.3">
      <c r="D13704" s="1"/>
      <c r="G13704" s="13"/>
      <c r="AL13704" s="13"/>
    </row>
    <row r="13705" spans="4:39" x14ac:dyDescent="0.3">
      <c r="D13705" s="1"/>
      <c r="G13705" s="13"/>
      <c r="AL13705" s="13"/>
    </row>
    <row r="13706" spans="4:39" x14ac:dyDescent="0.3">
      <c r="D13706" s="1"/>
      <c r="G13706" s="13"/>
      <c r="AL13706" s="13"/>
    </row>
    <row r="13707" spans="4:39" x14ac:dyDescent="0.3">
      <c r="D13707" s="1"/>
      <c r="G13707" s="13"/>
      <c r="AL13707" s="13"/>
    </row>
    <row r="13708" spans="4:39" x14ac:dyDescent="0.3">
      <c r="D13708" s="1"/>
      <c r="G13708" s="13"/>
      <c r="AL13708" s="13"/>
    </row>
    <row r="13709" spans="4:39" x14ac:dyDescent="0.3">
      <c r="D13709" s="1"/>
      <c r="G13709" s="13"/>
      <c r="AL13709" s="13"/>
    </row>
    <row r="13710" spans="4:39" x14ac:dyDescent="0.3">
      <c r="D13710" s="1"/>
      <c r="G13710" s="13"/>
      <c r="AL13710" s="13"/>
    </row>
    <row r="13711" spans="4:39" x14ac:dyDescent="0.3">
      <c r="D13711" s="1"/>
      <c r="G13711" s="13"/>
      <c r="AL13711" s="13"/>
    </row>
    <row r="13712" spans="4:39" x14ac:dyDescent="0.3">
      <c r="D13712" s="1"/>
      <c r="G13712" s="13"/>
      <c r="AL13712" s="13"/>
    </row>
    <row r="13713" spans="4:39" x14ac:dyDescent="0.3">
      <c r="D13713" s="1"/>
      <c r="G13713" s="13"/>
      <c r="AL13713" s="13"/>
      <c r="AM13713" s="14"/>
    </row>
    <row r="13714" spans="4:39" x14ac:dyDescent="0.3">
      <c r="D13714" s="1"/>
      <c r="G13714" s="13"/>
      <c r="AL13714" s="13"/>
    </row>
    <row r="13715" spans="4:39" x14ac:dyDescent="0.3">
      <c r="D13715" s="1"/>
      <c r="G13715" s="13"/>
      <c r="AL13715" s="13"/>
      <c r="AM13715" s="14"/>
    </row>
    <row r="13716" spans="4:39" x14ac:dyDescent="0.3">
      <c r="D13716" s="1"/>
      <c r="G13716" s="13"/>
      <c r="AL13716" s="13"/>
    </row>
    <row r="13717" spans="4:39" x14ac:dyDescent="0.3">
      <c r="D13717" s="1"/>
      <c r="G13717" s="13"/>
      <c r="AL13717" s="13"/>
      <c r="AM13717" s="14"/>
    </row>
    <row r="13718" spans="4:39" x14ac:dyDescent="0.3">
      <c r="D13718" s="1"/>
      <c r="G13718" s="13"/>
      <c r="AL13718" s="13"/>
    </row>
    <row r="13719" spans="4:39" x14ac:dyDescent="0.3">
      <c r="D13719" s="1"/>
      <c r="G13719" s="13"/>
      <c r="AL13719" s="13"/>
      <c r="AM13719" s="14"/>
    </row>
    <row r="13720" spans="4:39" x14ac:dyDescent="0.3">
      <c r="D13720" s="1"/>
      <c r="G13720" s="13"/>
      <c r="AL13720" s="13"/>
    </row>
    <row r="13721" spans="4:39" x14ac:dyDescent="0.3">
      <c r="D13721" s="1"/>
      <c r="G13721" s="13"/>
      <c r="AL13721" s="13"/>
      <c r="AM13721" s="14"/>
    </row>
    <row r="13722" spans="4:39" x14ac:dyDescent="0.3">
      <c r="D13722" s="1"/>
      <c r="G13722" s="13"/>
      <c r="AL13722" s="13"/>
      <c r="AM13722" s="14"/>
    </row>
    <row r="13723" spans="4:39" x14ac:dyDescent="0.3">
      <c r="D13723" s="1"/>
      <c r="G13723" s="13"/>
      <c r="AL13723" s="13"/>
    </row>
    <row r="13724" spans="4:39" x14ac:dyDescent="0.3">
      <c r="D13724" s="1"/>
      <c r="G13724" s="13"/>
      <c r="AL13724" s="13"/>
      <c r="AM13724" s="14"/>
    </row>
    <row r="13725" spans="4:39" x14ac:dyDescent="0.3">
      <c r="D13725" s="1"/>
      <c r="G13725" s="13"/>
      <c r="AL13725" s="13"/>
    </row>
    <row r="13726" spans="4:39" x14ac:dyDescent="0.3">
      <c r="D13726" s="1"/>
      <c r="G13726" s="13"/>
      <c r="AL13726" s="13"/>
      <c r="AM13726" s="14"/>
    </row>
    <row r="13727" spans="4:39" x14ac:dyDescent="0.3">
      <c r="D13727" s="1"/>
      <c r="G13727" s="13"/>
      <c r="AL13727" s="13"/>
    </row>
    <row r="13728" spans="4:39" x14ac:dyDescent="0.3">
      <c r="D13728" s="1"/>
      <c r="G13728" s="13"/>
      <c r="AL13728" s="13"/>
    </row>
    <row r="13729" spans="4:39" x14ac:dyDescent="0.3">
      <c r="D13729" s="1"/>
      <c r="G13729" s="13"/>
      <c r="AL13729" s="13"/>
    </row>
    <row r="13730" spans="4:39" x14ac:dyDescent="0.3">
      <c r="D13730" s="1"/>
      <c r="G13730" s="13"/>
      <c r="AL13730" s="13"/>
    </row>
    <row r="13731" spans="4:39" x14ac:dyDescent="0.3">
      <c r="D13731" s="1"/>
      <c r="G13731" s="13"/>
      <c r="AL13731" s="13"/>
    </row>
    <row r="13732" spans="4:39" x14ac:dyDescent="0.3">
      <c r="D13732" s="1"/>
      <c r="G13732" s="13"/>
      <c r="AL13732" s="13"/>
      <c r="AM13732" s="14"/>
    </row>
    <row r="13733" spans="4:39" x14ac:dyDescent="0.3">
      <c r="D13733" s="1"/>
      <c r="G13733" s="13"/>
      <c r="AL13733" s="13"/>
    </row>
    <row r="13734" spans="4:39" x14ac:dyDescent="0.3">
      <c r="D13734" s="1"/>
      <c r="G13734" s="13"/>
      <c r="AL13734" s="13"/>
    </row>
    <row r="13735" spans="4:39" x14ac:dyDescent="0.3">
      <c r="D13735" s="1"/>
      <c r="G13735" s="13"/>
      <c r="AL13735" s="13"/>
    </row>
    <row r="13736" spans="4:39" x14ac:dyDescent="0.3">
      <c r="D13736" s="1"/>
      <c r="G13736" s="13"/>
      <c r="AL13736" s="13"/>
    </row>
    <row r="13737" spans="4:39" x14ac:dyDescent="0.3">
      <c r="D13737" s="1"/>
      <c r="G13737" s="13"/>
      <c r="AL13737" s="13"/>
    </row>
    <row r="13738" spans="4:39" x14ac:dyDescent="0.3">
      <c r="D13738" s="1"/>
      <c r="G13738" s="13"/>
      <c r="AL13738" s="13"/>
    </row>
    <row r="13739" spans="4:39" x14ac:dyDescent="0.3">
      <c r="D13739" s="1"/>
      <c r="G13739" s="13"/>
      <c r="AL13739" s="13"/>
      <c r="AM13739" s="14"/>
    </row>
    <row r="13740" spans="4:39" x14ac:dyDescent="0.3">
      <c r="D13740" s="1"/>
      <c r="G13740" s="13"/>
      <c r="AL13740" s="13"/>
    </row>
    <row r="13741" spans="4:39" x14ac:dyDescent="0.3">
      <c r="D13741" s="1"/>
      <c r="G13741" s="13"/>
      <c r="AL13741" s="13"/>
      <c r="AM13741" s="14"/>
    </row>
    <row r="13742" spans="4:39" x14ac:dyDescent="0.3">
      <c r="D13742" s="1"/>
      <c r="G13742" s="13"/>
      <c r="AL13742" s="13"/>
      <c r="AM13742" s="14"/>
    </row>
    <row r="13743" spans="4:39" x14ac:dyDescent="0.3">
      <c r="D13743" s="1"/>
      <c r="G13743" s="13"/>
      <c r="AL13743" s="13"/>
      <c r="AM13743" s="14"/>
    </row>
    <row r="13744" spans="4:39" x14ac:dyDescent="0.3">
      <c r="D13744" s="1"/>
      <c r="G13744" s="13"/>
      <c r="AL13744" s="13"/>
      <c r="AM13744" s="14"/>
    </row>
    <row r="13745" spans="4:39" x14ac:dyDescent="0.3">
      <c r="D13745" s="1"/>
      <c r="G13745" s="13"/>
      <c r="AL13745" s="13"/>
      <c r="AM13745" s="14"/>
    </row>
    <row r="13746" spans="4:39" x14ac:dyDescent="0.3">
      <c r="D13746" s="1"/>
      <c r="G13746" s="13"/>
      <c r="AL13746" s="13"/>
    </row>
    <row r="13747" spans="4:39" x14ac:dyDescent="0.3">
      <c r="D13747" s="1"/>
      <c r="G13747" s="13"/>
      <c r="AL13747" s="13"/>
    </row>
    <row r="13748" spans="4:39" x14ac:dyDescent="0.3">
      <c r="D13748" s="1"/>
      <c r="G13748" s="13"/>
      <c r="AL13748" s="13"/>
    </row>
    <row r="13749" spans="4:39" x14ac:dyDescent="0.3">
      <c r="D13749" s="1"/>
      <c r="G13749" s="13"/>
      <c r="AL13749" s="13"/>
    </row>
    <row r="13750" spans="4:39" x14ac:dyDescent="0.3">
      <c r="D13750" s="1"/>
      <c r="G13750" s="13"/>
      <c r="AL13750" s="13"/>
    </row>
    <row r="13751" spans="4:39" x14ac:dyDescent="0.3">
      <c r="D13751" s="1"/>
      <c r="G13751" s="13"/>
      <c r="AL13751" s="13"/>
      <c r="AM13751" s="14"/>
    </row>
    <row r="13752" spans="4:39" x14ac:dyDescent="0.3">
      <c r="D13752" s="1"/>
      <c r="G13752" s="13"/>
      <c r="AL13752" s="13"/>
    </row>
    <row r="13753" spans="4:39" x14ac:dyDescent="0.3">
      <c r="D13753" s="1"/>
      <c r="G13753" s="13"/>
      <c r="AL13753" s="13"/>
      <c r="AM13753" s="14"/>
    </row>
    <row r="13754" spans="4:39" x14ac:dyDescent="0.3">
      <c r="D13754" s="1"/>
      <c r="G13754" s="13"/>
      <c r="AL13754" s="13"/>
    </row>
    <row r="13755" spans="4:39" x14ac:dyDescent="0.3">
      <c r="D13755" s="1"/>
      <c r="G13755" s="13"/>
      <c r="AL13755" s="13"/>
    </row>
    <row r="13756" spans="4:39" x14ac:dyDescent="0.3">
      <c r="D13756" s="1"/>
      <c r="G13756" s="13"/>
      <c r="AL13756" s="13"/>
    </row>
    <row r="13757" spans="4:39" x14ac:dyDescent="0.3">
      <c r="D13757" s="1"/>
      <c r="G13757" s="13"/>
      <c r="AL13757" s="13"/>
    </row>
    <row r="13758" spans="4:39" x14ac:dyDescent="0.3">
      <c r="D13758" s="1"/>
      <c r="G13758" s="13"/>
      <c r="AL13758" s="13"/>
    </row>
    <row r="13759" spans="4:39" x14ac:dyDescent="0.3">
      <c r="D13759" s="1"/>
      <c r="G13759" s="13"/>
      <c r="AL13759" s="13"/>
      <c r="AM13759" s="14"/>
    </row>
    <row r="13760" spans="4:39" x14ac:dyDescent="0.3">
      <c r="D13760" s="1"/>
      <c r="G13760" s="13"/>
      <c r="AL13760" s="13"/>
    </row>
    <row r="13761" spans="4:39" x14ac:dyDescent="0.3">
      <c r="D13761" s="1"/>
      <c r="G13761" s="13"/>
      <c r="AL13761" s="13"/>
      <c r="AM13761" s="14"/>
    </row>
    <row r="13762" spans="4:39" x14ac:dyDescent="0.3">
      <c r="D13762" s="1"/>
      <c r="G13762" s="13"/>
      <c r="AL13762" s="13"/>
    </row>
    <row r="13763" spans="4:39" x14ac:dyDescent="0.3">
      <c r="D13763" s="1"/>
      <c r="G13763" s="13"/>
      <c r="AL13763" s="13"/>
      <c r="AM13763" s="14"/>
    </row>
    <row r="13764" spans="4:39" x14ac:dyDescent="0.3">
      <c r="D13764" s="1"/>
      <c r="G13764" s="13"/>
      <c r="AL13764" s="13"/>
      <c r="AM13764" s="14"/>
    </row>
    <row r="13765" spans="4:39" x14ac:dyDescent="0.3">
      <c r="D13765" s="1"/>
      <c r="G13765" s="13"/>
      <c r="AL13765" s="13"/>
    </row>
    <row r="13766" spans="4:39" x14ac:dyDescent="0.3">
      <c r="D13766" s="1"/>
      <c r="G13766" s="13"/>
      <c r="AL13766" s="13"/>
    </row>
    <row r="13767" spans="4:39" x14ac:dyDescent="0.3">
      <c r="D13767" s="1"/>
      <c r="G13767" s="13"/>
      <c r="AL13767" s="13"/>
    </row>
    <row r="13768" spans="4:39" x14ac:dyDescent="0.3">
      <c r="D13768" s="1"/>
      <c r="G13768" s="13"/>
      <c r="AL13768" s="13"/>
    </row>
    <row r="13769" spans="4:39" x14ac:dyDescent="0.3">
      <c r="D13769" s="1"/>
      <c r="G13769" s="13"/>
    </row>
    <row r="13770" spans="4:39" x14ac:dyDescent="0.3">
      <c r="D13770" s="1"/>
      <c r="G13770" s="13"/>
      <c r="AL13770" s="13"/>
      <c r="AM13770" s="14"/>
    </row>
    <row r="13771" spans="4:39" x14ac:dyDescent="0.3">
      <c r="D13771" s="1"/>
      <c r="G13771" s="13"/>
      <c r="AL13771" s="13"/>
      <c r="AM13771" s="14"/>
    </row>
    <row r="13772" spans="4:39" x14ac:dyDescent="0.3">
      <c r="D13772" s="1"/>
      <c r="G13772" s="13"/>
      <c r="AL13772" s="13"/>
      <c r="AM13772" s="14"/>
    </row>
    <row r="13773" spans="4:39" x14ac:dyDescent="0.3">
      <c r="D13773" s="1"/>
      <c r="G13773" s="13"/>
      <c r="AL13773" s="13"/>
    </row>
    <row r="13774" spans="4:39" x14ac:dyDescent="0.3">
      <c r="D13774" s="1"/>
      <c r="G13774" s="13"/>
      <c r="AL13774" s="13"/>
    </row>
    <row r="13775" spans="4:39" x14ac:dyDescent="0.3">
      <c r="D13775" s="1"/>
      <c r="G13775" s="13"/>
      <c r="AL13775" s="13"/>
    </row>
    <row r="13776" spans="4:39" x14ac:dyDescent="0.3">
      <c r="D13776" s="1"/>
      <c r="G13776" s="13"/>
      <c r="AL13776" s="13"/>
      <c r="AM13776" s="14"/>
    </row>
    <row r="13777" spans="4:39" x14ac:dyDescent="0.3">
      <c r="D13777" s="1"/>
      <c r="G13777" s="13"/>
      <c r="AL13777" s="13"/>
    </row>
    <row r="13778" spans="4:39" x14ac:dyDescent="0.3">
      <c r="D13778" s="1"/>
      <c r="G13778" s="13"/>
      <c r="AL13778" s="13"/>
    </row>
    <row r="13779" spans="4:39" x14ac:dyDescent="0.3">
      <c r="D13779" s="1"/>
      <c r="G13779" s="13"/>
      <c r="AL13779" s="13"/>
    </row>
    <row r="13780" spans="4:39" x14ac:dyDescent="0.3">
      <c r="D13780" s="1"/>
      <c r="G13780" s="13"/>
      <c r="AL13780" s="13"/>
      <c r="AM13780" s="14"/>
    </row>
    <row r="13781" spans="4:39" x14ac:dyDescent="0.3">
      <c r="D13781" s="1"/>
      <c r="G13781" s="13"/>
      <c r="AL13781" s="13"/>
    </row>
    <row r="13782" spans="4:39" x14ac:dyDescent="0.3">
      <c r="D13782" s="1"/>
      <c r="G13782" s="13"/>
      <c r="AL13782" s="13"/>
    </row>
    <row r="13783" spans="4:39" x14ac:dyDescent="0.3">
      <c r="D13783" s="1"/>
      <c r="G13783" s="13"/>
      <c r="AL13783" s="13"/>
    </row>
    <row r="13784" spans="4:39" x14ac:dyDescent="0.3">
      <c r="D13784" s="1"/>
      <c r="G13784" s="13"/>
      <c r="AL13784" s="13"/>
      <c r="AM13784" s="14"/>
    </row>
    <row r="13785" spans="4:39" x14ac:dyDescent="0.3">
      <c r="D13785" s="1"/>
      <c r="G13785" s="13"/>
      <c r="AL13785" s="13"/>
    </row>
    <row r="13786" spans="4:39" x14ac:dyDescent="0.3">
      <c r="D13786" s="1"/>
      <c r="G13786" s="13"/>
      <c r="AL13786" s="13"/>
    </row>
    <row r="13787" spans="4:39" x14ac:dyDescent="0.3">
      <c r="D13787" s="1"/>
      <c r="G13787" s="13"/>
      <c r="AL13787" s="13"/>
    </row>
    <row r="13788" spans="4:39" x14ac:dyDescent="0.3">
      <c r="D13788" s="1"/>
      <c r="G13788" s="13"/>
      <c r="AL13788" s="13"/>
      <c r="AM13788" s="14"/>
    </row>
    <row r="13789" spans="4:39" x14ac:dyDescent="0.3">
      <c r="D13789" s="1"/>
      <c r="G13789" s="13"/>
      <c r="AL13789" s="13"/>
    </row>
    <row r="13790" spans="4:39" x14ac:dyDescent="0.3">
      <c r="D13790" s="1"/>
      <c r="G13790" s="13"/>
      <c r="AL13790" s="13"/>
    </row>
    <row r="13791" spans="4:39" x14ac:dyDescent="0.3">
      <c r="D13791" s="1"/>
      <c r="G13791" s="13"/>
      <c r="AL13791" s="13"/>
    </row>
    <row r="13792" spans="4:39" x14ac:dyDescent="0.3">
      <c r="D13792" s="1"/>
      <c r="G13792" s="13"/>
      <c r="AL13792" s="13"/>
    </row>
    <row r="13793" spans="4:39" x14ac:dyDescent="0.3">
      <c r="D13793" s="1"/>
      <c r="G13793" s="13"/>
      <c r="AL13793" s="13"/>
      <c r="AM13793" s="14"/>
    </row>
    <row r="13794" spans="4:39" x14ac:dyDescent="0.3">
      <c r="D13794" s="1"/>
      <c r="G13794" s="13"/>
      <c r="AL13794" s="13"/>
      <c r="AM13794" s="14"/>
    </row>
    <row r="13795" spans="4:39" x14ac:dyDescent="0.3">
      <c r="D13795" s="1"/>
      <c r="G13795" s="13"/>
      <c r="AL13795" s="13"/>
      <c r="AM13795" s="14"/>
    </row>
    <row r="13796" spans="4:39" x14ac:dyDescent="0.3">
      <c r="D13796" s="1"/>
      <c r="G13796" s="13"/>
      <c r="AL13796" s="13"/>
    </row>
    <row r="13797" spans="4:39" x14ac:dyDescent="0.3">
      <c r="D13797" s="1"/>
      <c r="G13797" s="13"/>
      <c r="AL13797" s="13"/>
      <c r="AM13797" s="14"/>
    </row>
    <row r="13798" spans="4:39" x14ac:dyDescent="0.3">
      <c r="D13798" s="1"/>
      <c r="G13798" s="13"/>
      <c r="AL13798" s="13"/>
    </row>
    <row r="13799" spans="4:39" x14ac:dyDescent="0.3">
      <c r="D13799" s="1"/>
      <c r="G13799" s="13"/>
      <c r="AL13799" s="13"/>
      <c r="AM13799" s="14"/>
    </row>
    <row r="13800" spans="4:39" x14ac:dyDescent="0.3">
      <c r="D13800" s="1"/>
      <c r="G13800" s="13"/>
      <c r="AL13800" s="13"/>
    </row>
    <row r="13801" spans="4:39" x14ac:dyDescent="0.3">
      <c r="D13801" s="1"/>
      <c r="G13801" s="13"/>
      <c r="AL13801" s="13"/>
      <c r="AM13801" s="14"/>
    </row>
    <row r="13802" spans="4:39" x14ac:dyDescent="0.3">
      <c r="D13802" s="1"/>
      <c r="G13802" s="13"/>
      <c r="AL13802" s="13"/>
    </row>
    <row r="13803" spans="4:39" x14ac:dyDescent="0.3">
      <c r="D13803" s="1"/>
      <c r="G13803" s="13"/>
      <c r="AL13803" s="13"/>
    </row>
    <row r="13804" spans="4:39" x14ac:dyDescent="0.3">
      <c r="D13804" s="1"/>
      <c r="G13804" s="13"/>
      <c r="AL13804" s="13"/>
    </row>
    <row r="13805" spans="4:39" x14ac:dyDescent="0.3">
      <c r="D13805" s="1"/>
      <c r="G13805" s="13"/>
      <c r="AL13805" s="13"/>
    </row>
    <row r="13806" spans="4:39" x14ac:dyDescent="0.3">
      <c r="D13806" s="1"/>
      <c r="G13806" s="13"/>
      <c r="AL13806" s="13"/>
      <c r="AM13806" s="14"/>
    </row>
    <row r="13807" spans="4:39" x14ac:dyDescent="0.3">
      <c r="D13807" s="1"/>
      <c r="G13807" s="13"/>
      <c r="AL13807" s="13"/>
      <c r="AM13807" s="14"/>
    </row>
    <row r="13808" spans="4:39" x14ac:dyDescent="0.3">
      <c r="D13808" s="1"/>
      <c r="G13808" s="13"/>
      <c r="AL13808" s="13"/>
    </row>
    <row r="13809" spans="4:39" x14ac:dyDescent="0.3">
      <c r="D13809" s="1"/>
      <c r="G13809" s="13"/>
      <c r="AL13809" s="13"/>
    </row>
    <row r="13810" spans="4:39" x14ac:dyDescent="0.3">
      <c r="D13810" s="1"/>
      <c r="G13810" s="13"/>
      <c r="AL13810" s="13"/>
      <c r="AM13810" s="14"/>
    </row>
    <row r="13811" spans="4:39" x14ac:dyDescent="0.3">
      <c r="D13811" s="1"/>
      <c r="G13811" s="13"/>
      <c r="AL13811" s="13"/>
      <c r="AM13811" s="14"/>
    </row>
    <row r="13812" spans="4:39" x14ac:dyDescent="0.3">
      <c r="D13812" s="1"/>
      <c r="G13812" s="13"/>
      <c r="AL13812" s="13"/>
      <c r="AM13812" s="14"/>
    </row>
    <row r="13813" spans="4:39" x14ac:dyDescent="0.3">
      <c r="D13813" s="1"/>
      <c r="G13813" s="13"/>
      <c r="AL13813" s="13"/>
    </row>
    <row r="13814" spans="4:39" x14ac:dyDescent="0.3">
      <c r="D13814" s="1"/>
      <c r="G13814" s="13"/>
      <c r="AL13814" s="13"/>
    </row>
    <row r="13815" spans="4:39" x14ac:dyDescent="0.3">
      <c r="D13815" s="1"/>
      <c r="G13815" s="13"/>
      <c r="AL13815" s="13"/>
      <c r="AM13815" s="14"/>
    </row>
    <row r="13816" spans="4:39" x14ac:dyDescent="0.3">
      <c r="D13816" s="1"/>
      <c r="G13816" s="13"/>
      <c r="AL13816" s="13"/>
      <c r="AM13816" s="14"/>
    </row>
    <row r="13817" spans="4:39" x14ac:dyDescent="0.3">
      <c r="D13817" s="1"/>
      <c r="G13817" s="13"/>
      <c r="AL13817" s="13"/>
      <c r="AM13817" s="14"/>
    </row>
    <row r="13818" spans="4:39" x14ac:dyDescent="0.3">
      <c r="D13818" s="1"/>
      <c r="G13818" s="13"/>
      <c r="AL13818" s="13"/>
      <c r="AM13818" s="14"/>
    </row>
    <row r="13819" spans="4:39" x14ac:dyDescent="0.3">
      <c r="D13819" s="1"/>
      <c r="G13819" s="13"/>
      <c r="AL13819" s="13"/>
      <c r="AM13819" s="14"/>
    </row>
    <row r="13820" spans="4:39" x14ac:dyDescent="0.3">
      <c r="D13820" s="1"/>
      <c r="G13820" s="13"/>
      <c r="AL13820" s="13"/>
    </row>
    <row r="13821" spans="4:39" x14ac:dyDescent="0.3">
      <c r="D13821" s="1"/>
      <c r="G13821" s="13"/>
      <c r="AL13821" s="13"/>
      <c r="AM13821" s="14"/>
    </row>
    <row r="13822" spans="4:39" x14ac:dyDescent="0.3">
      <c r="D13822" s="1"/>
      <c r="G13822" s="13"/>
      <c r="AL13822" s="13"/>
    </row>
    <row r="13823" spans="4:39" x14ac:dyDescent="0.3">
      <c r="D13823" s="1"/>
      <c r="G13823" s="13"/>
      <c r="AL13823" s="13"/>
      <c r="AM13823" s="14"/>
    </row>
    <row r="13824" spans="4:39" x14ac:dyDescent="0.3">
      <c r="D13824" s="1"/>
      <c r="G13824" s="13"/>
      <c r="AL13824" s="13"/>
    </row>
    <row r="13825" spans="4:39" x14ac:dyDescent="0.3">
      <c r="D13825" s="1"/>
      <c r="G13825" s="13"/>
      <c r="AL13825" s="13"/>
    </row>
    <row r="13826" spans="4:39" x14ac:dyDescent="0.3">
      <c r="D13826" s="1"/>
      <c r="G13826" s="13"/>
      <c r="AL13826" s="13"/>
      <c r="AM13826" s="14"/>
    </row>
    <row r="13827" spans="4:39" x14ac:dyDescent="0.3">
      <c r="D13827" s="1"/>
      <c r="G13827" s="13"/>
      <c r="AL13827" s="13"/>
    </row>
    <row r="13828" spans="4:39" x14ac:dyDescent="0.3">
      <c r="D13828" s="1"/>
      <c r="G13828" s="13"/>
      <c r="AL13828" s="13"/>
    </row>
    <row r="13829" spans="4:39" x14ac:dyDescent="0.3">
      <c r="D13829" s="1"/>
      <c r="G13829" s="13"/>
      <c r="AL13829" s="13"/>
    </row>
    <row r="13830" spans="4:39" x14ac:dyDescent="0.3">
      <c r="D13830" s="1"/>
      <c r="G13830" s="13"/>
      <c r="AL13830" s="13"/>
      <c r="AM13830" s="14"/>
    </row>
    <row r="13831" spans="4:39" x14ac:dyDescent="0.3">
      <c r="D13831" s="1"/>
      <c r="G13831" s="13"/>
      <c r="AL13831" s="13"/>
    </row>
    <row r="13832" spans="4:39" x14ac:dyDescent="0.3">
      <c r="D13832" s="1"/>
      <c r="G13832" s="13"/>
      <c r="AL13832" s="13"/>
    </row>
    <row r="13833" spans="4:39" x14ac:dyDescent="0.3">
      <c r="D13833" s="1"/>
      <c r="G13833" s="13"/>
      <c r="AL13833" s="13"/>
    </row>
    <row r="13834" spans="4:39" x14ac:dyDescent="0.3">
      <c r="D13834" s="1"/>
      <c r="G13834" s="13"/>
      <c r="AL13834" s="13"/>
    </row>
    <row r="13835" spans="4:39" x14ac:dyDescent="0.3">
      <c r="D13835" s="1"/>
      <c r="G13835" s="13"/>
      <c r="AL13835" s="13"/>
    </row>
    <row r="13836" spans="4:39" x14ac:dyDescent="0.3">
      <c r="D13836" s="1"/>
      <c r="G13836" s="13"/>
      <c r="AL13836" s="13"/>
    </row>
    <row r="13837" spans="4:39" x14ac:dyDescent="0.3">
      <c r="D13837" s="1"/>
      <c r="G13837" s="13"/>
      <c r="AL13837" s="13"/>
    </row>
    <row r="13838" spans="4:39" x14ac:dyDescent="0.3">
      <c r="D13838" s="1"/>
      <c r="G13838" s="13"/>
      <c r="AL13838" s="13"/>
    </row>
    <row r="13839" spans="4:39" x14ac:dyDescent="0.3">
      <c r="D13839" s="1"/>
      <c r="G13839" s="13"/>
      <c r="AL13839" s="13"/>
    </row>
    <row r="13840" spans="4:39" x14ac:dyDescent="0.3">
      <c r="D13840" s="1"/>
      <c r="G13840" s="13"/>
      <c r="AL13840" s="13"/>
    </row>
    <row r="13841" spans="4:39" x14ac:dyDescent="0.3">
      <c r="D13841" s="1"/>
      <c r="G13841" s="13"/>
      <c r="AL13841" s="13"/>
    </row>
    <row r="13842" spans="4:39" x14ac:dyDescent="0.3">
      <c r="D13842" s="1"/>
      <c r="G13842" s="13"/>
      <c r="AL13842" s="13"/>
    </row>
    <row r="13843" spans="4:39" x14ac:dyDescent="0.3">
      <c r="D13843" s="1"/>
      <c r="G13843" s="13"/>
      <c r="AL13843" s="13"/>
    </row>
    <row r="13844" spans="4:39" x14ac:dyDescent="0.3">
      <c r="D13844" s="1"/>
      <c r="G13844" s="13"/>
      <c r="AL13844" s="13"/>
    </row>
    <row r="13845" spans="4:39" x14ac:dyDescent="0.3">
      <c r="D13845" s="1"/>
      <c r="G13845" s="13"/>
      <c r="AL13845" s="13"/>
    </row>
    <row r="13846" spans="4:39" x14ac:dyDescent="0.3">
      <c r="D13846" s="1"/>
      <c r="G13846" s="13"/>
      <c r="AL13846" s="13"/>
      <c r="AM13846" s="14"/>
    </row>
    <row r="13847" spans="4:39" x14ac:dyDescent="0.3">
      <c r="D13847" s="1"/>
      <c r="G13847" s="13"/>
      <c r="AL13847" s="13"/>
      <c r="AM13847" s="14"/>
    </row>
    <row r="13848" spans="4:39" x14ac:dyDescent="0.3">
      <c r="D13848" s="1"/>
      <c r="G13848" s="13"/>
      <c r="AL13848" s="13"/>
      <c r="AM13848" s="14"/>
    </row>
    <row r="13849" spans="4:39" x14ac:dyDescent="0.3">
      <c r="D13849" s="1"/>
      <c r="G13849" s="13"/>
      <c r="AL13849" s="13"/>
      <c r="AM13849" s="14"/>
    </row>
    <row r="13850" spans="4:39" x14ac:dyDescent="0.3">
      <c r="D13850" s="1"/>
      <c r="G13850" s="13"/>
      <c r="AL13850" s="13"/>
      <c r="AM13850" s="14"/>
    </row>
    <row r="13851" spans="4:39" x14ac:dyDescent="0.3">
      <c r="D13851" s="1"/>
      <c r="G13851" s="13"/>
      <c r="AL13851" s="13"/>
      <c r="AM13851" s="14"/>
    </row>
    <row r="13852" spans="4:39" x14ac:dyDescent="0.3">
      <c r="D13852" s="1"/>
      <c r="G13852" s="13"/>
      <c r="AL13852" s="13"/>
      <c r="AM13852" s="14"/>
    </row>
    <row r="13853" spans="4:39" x14ac:dyDescent="0.3">
      <c r="D13853" s="1"/>
      <c r="G13853" s="13"/>
      <c r="AL13853" s="13"/>
      <c r="AM13853" s="14"/>
    </row>
    <row r="13854" spans="4:39" x14ac:dyDescent="0.3">
      <c r="D13854" s="1"/>
      <c r="G13854" s="13"/>
      <c r="AL13854" s="13"/>
    </row>
    <row r="13855" spans="4:39" x14ac:dyDescent="0.3">
      <c r="D13855" s="1"/>
      <c r="G13855" s="13"/>
      <c r="AL13855" s="13"/>
    </row>
    <row r="13856" spans="4:39" x14ac:dyDescent="0.3">
      <c r="D13856" s="1"/>
      <c r="G13856" s="13"/>
      <c r="AL13856" s="13"/>
    </row>
    <row r="13857" spans="4:38" x14ac:dyDescent="0.3">
      <c r="D13857" s="1"/>
      <c r="G13857" s="13"/>
      <c r="AL13857" s="13"/>
    </row>
    <row r="13858" spans="4:38" x14ac:dyDescent="0.3">
      <c r="D13858" s="1"/>
      <c r="G13858" s="13"/>
      <c r="AL13858" s="13"/>
    </row>
    <row r="13859" spans="4:38" x14ac:dyDescent="0.3">
      <c r="D13859" s="1"/>
      <c r="G13859" s="13"/>
      <c r="AL13859" s="13"/>
    </row>
    <row r="13860" spans="4:38" x14ac:dyDescent="0.3">
      <c r="D13860" s="1"/>
      <c r="G13860" s="13"/>
      <c r="AL13860" s="13"/>
    </row>
    <row r="13861" spans="4:38" x14ac:dyDescent="0.3">
      <c r="D13861" s="1"/>
      <c r="G13861" s="13"/>
      <c r="AL13861" s="13"/>
    </row>
    <row r="13862" spans="4:38" x14ac:dyDescent="0.3">
      <c r="D13862" s="1"/>
      <c r="G13862" s="13"/>
      <c r="AL13862" s="13"/>
    </row>
    <row r="13863" spans="4:38" x14ac:dyDescent="0.3">
      <c r="D13863" s="1"/>
      <c r="G13863" s="13"/>
      <c r="AL13863" s="13"/>
    </row>
    <row r="13864" spans="4:38" x14ac:dyDescent="0.3">
      <c r="D13864" s="1"/>
      <c r="G13864" s="13"/>
      <c r="AL13864" s="13"/>
    </row>
    <row r="13865" spans="4:38" x14ac:dyDescent="0.3">
      <c r="D13865" s="1"/>
      <c r="G13865" s="13"/>
      <c r="AL13865" s="13"/>
    </row>
    <row r="13866" spans="4:38" x14ac:dyDescent="0.3">
      <c r="D13866" s="1"/>
      <c r="G13866" s="13"/>
      <c r="AL13866" s="13"/>
    </row>
    <row r="13867" spans="4:38" x14ac:dyDescent="0.3">
      <c r="D13867" s="1"/>
      <c r="G13867" s="13"/>
      <c r="AL13867" s="13"/>
    </row>
    <row r="13868" spans="4:38" x14ac:dyDescent="0.3">
      <c r="D13868" s="1"/>
      <c r="G13868" s="13"/>
      <c r="AL13868" s="13"/>
    </row>
    <row r="13869" spans="4:38" x14ac:dyDescent="0.3">
      <c r="D13869" s="1"/>
      <c r="G13869" s="13"/>
      <c r="AL13869" s="13"/>
    </row>
    <row r="13870" spans="4:38" x14ac:dyDescent="0.3">
      <c r="D13870" s="1"/>
      <c r="G13870" s="13"/>
      <c r="AL13870" s="13"/>
    </row>
    <row r="13871" spans="4:38" x14ac:dyDescent="0.3">
      <c r="D13871" s="1"/>
      <c r="G13871" s="13"/>
      <c r="AL13871" s="13"/>
    </row>
    <row r="13872" spans="4:38" x14ac:dyDescent="0.3">
      <c r="D13872" s="1"/>
      <c r="G13872" s="13"/>
      <c r="AL13872" s="13"/>
    </row>
    <row r="13873" spans="4:39" x14ac:dyDescent="0.3">
      <c r="D13873" s="1"/>
      <c r="G13873" s="13"/>
      <c r="AL13873" s="13"/>
    </row>
    <row r="13874" spans="4:39" x14ac:dyDescent="0.3">
      <c r="D13874" s="1"/>
      <c r="G13874" s="13"/>
      <c r="AL13874" s="13"/>
    </row>
    <row r="13875" spans="4:39" x14ac:dyDescent="0.3">
      <c r="D13875" s="1"/>
      <c r="G13875" s="13"/>
      <c r="AL13875" s="13"/>
    </row>
    <row r="13876" spans="4:39" x14ac:dyDescent="0.3">
      <c r="D13876" s="1"/>
      <c r="G13876" s="13"/>
      <c r="AL13876" s="13"/>
    </row>
    <row r="13877" spans="4:39" x14ac:dyDescent="0.3">
      <c r="D13877" s="1"/>
      <c r="G13877" s="13"/>
      <c r="AL13877" s="13"/>
    </row>
    <row r="13878" spans="4:39" x14ac:dyDescent="0.3">
      <c r="D13878" s="1"/>
      <c r="G13878" s="13"/>
      <c r="AL13878" s="13"/>
    </row>
    <row r="13879" spans="4:39" x14ac:dyDescent="0.3">
      <c r="D13879" s="1"/>
      <c r="G13879" s="13"/>
      <c r="AL13879" s="13"/>
    </row>
    <row r="13880" spans="4:39" x14ac:dyDescent="0.3">
      <c r="D13880" s="1"/>
      <c r="G13880" s="13"/>
      <c r="AL13880" s="13"/>
    </row>
    <row r="13881" spans="4:39" x14ac:dyDescent="0.3">
      <c r="D13881" s="1"/>
      <c r="G13881" s="13"/>
      <c r="AL13881" s="13"/>
    </row>
    <row r="13882" spans="4:39" x14ac:dyDescent="0.3">
      <c r="D13882" s="1"/>
      <c r="G13882" s="13"/>
      <c r="AL13882" s="13"/>
      <c r="AM13882" s="14"/>
    </row>
    <row r="13883" spans="4:39" x14ac:dyDescent="0.3">
      <c r="D13883" s="1"/>
      <c r="G13883" s="13"/>
      <c r="AL13883" s="13"/>
    </row>
    <row r="13884" spans="4:39" x14ac:dyDescent="0.3">
      <c r="D13884" s="1"/>
      <c r="G13884" s="13"/>
      <c r="AL13884" s="13"/>
    </row>
    <row r="13885" spans="4:39" x14ac:dyDescent="0.3">
      <c r="D13885" s="1"/>
      <c r="G13885" s="13"/>
      <c r="AL13885" s="13"/>
    </row>
    <row r="13886" spans="4:39" x14ac:dyDescent="0.3">
      <c r="D13886" s="1"/>
      <c r="G13886" s="13"/>
      <c r="AL13886" s="13"/>
    </row>
    <row r="13887" spans="4:39" x14ac:dyDescent="0.3">
      <c r="D13887" s="1"/>
      <c r="G13887" s="13"/>
      <c r="AL13887" s="13"/>
    </row>
    <row r="13888" spans="4:39" x14ac:dyDescent="0.3">
      <c r="D13888" s="1"/>
      <c r="G13888" s="13"/>
      <c r="AL13888" s="13"/>
    </row>
    <row r="13889" spans="4:38" x14ac:dyDescent="0.3">
      <c r="D13889" s="1"/>
      <c r="G13889" s="13"/>
      <c r="AL13889" s="13"/>
    </row>
    <row r="13890" spans="4:38" x14ac:dyDescent="0.3">
      <c r="D13890" s="1"/>
      <c r="G13890" s="13"/>
      <c r="AL13890" s="13"/>
    </row>
    <row r="13891" spans="4:38" x14ac:dyDescent="0.3">
      <c r="D13891" s="1"/>
      <c r="G13891" s="13"/>
      <c r="AL13891" s="13"/>
    </row>
    <row r="13892" spans="4:38" x14ac:dyDescent="0.3">
      <c r="D13892" s="1"/>
      <c r="G13892" s="13"/>
      <c r="AL13892" s="13"/>
    </row>
    <row r="13893" spans="4:38" x14ac:dyDescent="0.3">
      <c r="D13893" s="1"/>
      <c r="G13893" s="13"/>
      <c r="AL13893" s="13"/>
    </row>
    <row r="13894" spans="4:38" x14ac:dyDescent="0.3">
      <c r="D13894" s="1"/>
      <c r="G13894" s="13"/>
      <c r="AL13894" s="13"/>
    </row>
    <row r="13895" spans="4:38" x14ac:dyDescent="0.3">
      <c r="D13895" s="1"/>
      <c r="G13895" s="13"/>
      <c r="AL13895" s="13"/>
    </row>
    <row r="13896" spans="4:38" x14ac:dyDescent="0.3">
      <c r="D13896" s="1"/>
      <c r="G13896" s="13"/>
      <c r="AL13896" s="13"/>
    </row>
    <row r="13897" spans="4:38" x14ac:dyDescent="0.3">
      <c r="D13897" s="1"/>
      <c r="G13897" s="13"/>
      <c r="AL13897" s="13"/>
    </row>
    <row r="13898" spans="4:38" x14ac:dyDescent="0.3">
      <c r="D13898" s="1"/>
      <c r="G13898" s="13"/>
      <c r="AL13898" s="13"/>
    </row>
    <row r="13899" spans="4:38" x14ac:dyDescent="0.3">
      <c r="D13899" s="1"/>
      <c r="G13899" s="13"/>
      <c r="AL13899" s="13"/>
    </row>
    <row r="13900" spans="4:38" x14ac:dyDescent="0.3">
      <c r="D13900" s="1"/>
      <c r="G13900" s="13"/>
      <c r="AL13900" s="13"/>
    </row>
    <row r="13901" spans="4:38" x14ac:dyDescent="0.3">
      <c r="D13901" s="1"/>
      <c r="G13901" s="13"/>
      <c r="AL13901" s="13"/>
    </row>
    <row r="13902" spans="4:38" x14ac:dyDescent="0.3">
      <c r="D13902" s="1"/>
      <c r="G13902" s="13"/>
      <c r="AL13902" s="13"/>
    </row>
    <row r="13903" spans="4:38" x14ac:dyDescent="0.3">
      <c r="D13903" s="1"/>
      <c r="G13903" s="13"/>
      <c r="AL13903" s="13"/>
    </row>
    <row r="13904" spans="4:38" x14ac:dyDescent="0.3">
      <c r="D13904" s="1"/>
      <c r="G13904" s="13"/>
      <c r="AL13904" s="13"/>
    </row>
    <row r="13905" spans="4:39" x14ac:dyDescent="0.3">
      <c r="D13905" s="1"/>
      <c r="G13905" s="13"/>
      <c r="AL13905" s="13"/>
      <c r="AM13905" s="14"/>
    </row>
    <row r="13906" spans="4:39" x14ac:dyDescent="0.3">
      <c r="D13906" s="1"/>
      <c r="G13906" s="13"/>
      <c r="AL13906" s="13"/>
    </row>
    <row r="13907" spans="4:39" x14ac:dyDescent="0.3">
      <c r="D13907" s="1"/>
      <c r="G13907" s="13"/>
      <c r="AL13907" s="13"/>
    </row>
    <row r="13908" spans="4:39" x14ac:dyDescent="0.3">
      <c r="D13908" s="1"/>
      <c r="G13908" s="13"/>
      <c r="AL13908" s="13"/>
    </row>
    <row r="13909" spans="4:39" x14ac:dyDescent="0.3">
      <c r="D13909" s="1"/>
      <c r="G13909" s="13"/>
      <c r="AL13909" s="13"/>
    </row>
    <row r="13910" spans="4:39" x14ac:dyDescent="0.3">
      <c r="D13910" s="1"/>
      <c r="G13910" s="13"/>
      <c r="AL13910" s="13"/>
    </row>
    <row r="13911" spans="4:39" x14ac:dyDescent="0.3">
      <c r="D13911" s="1"/>
      <c r="G13911" s="13"/>
      <c r="AL13911" s="13"/>
    </row>
    <row r="13912" spans="4:39" x14ac:dyDescent="0.3">
      <c r="D13912" s="1"/>
      <c r="G13912" s="13"/>
      <c r="AL13912" s="13"/>
    </row>
    <row r="13913" spans="4:39" x14ac:dyDescent="0.3">
      <c r="D13913" s="1"/>
      <c r="G13913" s="13"/>
      <c r="AL13913" s="13"/>
    </row>
    <row r="13914" spans="4:39" x14ac:dyDescent="0.3">
      <c r="D13914" s="1"/>
      <c r="G13914" s="13"/>
      <c r="AL13914" s="13"/>
    </row>
    <row r="13915" spans="4:39" x14ac:dyDescent="0.3">
      <c r="D13915" s="1"/>
      <c r="G13915" s="13"/>
      <c r="AL13915" s="13"/>
    </row>
    <row r="13916" spans="4:39" x14ac:dyDescent="0.3">
      <c r="D13916" s="1"/>
      <c r="G13916" s="13"/>
      <c r="AL13916" s="13"/>
    </row>
    <row r="13917" spans="4:39" x14ac:dyDescent="0.3">
      <c r="D13917" s="1"/>
      <c r="G13917" s="13"/>
      <c r="AL13917" s="13"/>
    </row>
    <row r="13918" spans="4:39" x14ac:dyDescent="0.3">
      <c r="D13918" s="1"/>
      <c r="G13918" s="13"/>
      <c r="AL13918" s="13"/>
    </row>
    <row r="13919" spans="4:39" x14ac:dyDescent="0.3">
      <c r="D13919" s="1"/>
      <c r="G13919" s="13"/>
      <c r="AL13919" s="13"/>
    </row>
    <row r="13920" spans="4:39" x14ac:dyDescent="0.3">
      <c r="D13920" s="1"/>
      <c r="G13920" s="13"/>
      <c r="AL13920" s="13"/>
    </row>
    <row r="13921" spans="4:38" x14ac:dyDescent="0.3">
      <c r="D13921" s="1"/>
      <c r="G13921" s="13"/>
      <c r="AL13921" s="13"/>
    </row>
    <row r="13922" spans="4:38" x14ac:dyDescent="0.3">
      <c r="D13922" s="1"/>
      <c r="G13922" s="13"/>
      <c r="AL13922" s="13"/>
    </row>
    <row r="13923" spans="4:38" x14ac:dyDescent="0.3">
      <c r="D13923" s="1"/>
      <c r="G13923" s="13"/>
      <c r="AL13923" s="13"/>
    </row>
    <row r="13924" spans="4:38" x14ac:dyDescent="0.3">
      <c r="D13924" s="1"/>
      <c r="G13924" s="13"/>
      <c r="AL13924" s="13"/>
    </row>
    <row r="13925" spans="4:38" x14ac:dyDescent="0.3">
      <c r="D13925" s="1"/>
      <c r="G13925" s="13"/>
      <c r="AL13925" s="13"/>
    </row>
    <row r="13926" spans="4:38" x14ac:dyDescent="0.3">
      <c r="D13926" s="1"/>
      <c r="G13926" s="13"/>
      <c r="AL13926" s="13"/>
    </row>
    <row r="13927" spans="4:38" x14ac:dyDescent="0.3">
      <c r="D13927" s="1"/>
      <c r="G13927" s="13"/>
      <c r="AL13927" s="13"/>
    </row>
    <row r="13928" spans="4:38" x14ac:dyDescent="0.3">
      <c r="D13928" s="1"/>
      <c r="G13928" s="13"/>
      <c r="AL13928" s="13"/>
    </row>
    <row r="13929" spans="4:38" x14ac:dyDescent="0.3">
      <c r="D13929" s="1"/>
      <c r="G13929" s="13"/>
      <c r="AL13929" s="13"/>
    </row>
    <row r="13930" spans="4:38" x14ac:dyDescent="0.3">
      <c r="D13930" s="1"/>
      <c r="G13930" s="13"/>
      <c r="AL13930" s="13"/>
    </row>
    <row r="13931" spans="4:38" x14ac:dyDescent="0.3">
      <c r="D13931" s="1"/>
      <c r="G13931" s="13"/>
      <c r="AL13931" s="13"/>
    </row>
    <row r="13932" spans="4:38" x14ac:dyDescent="0.3">
      <c r="D13932" s="1"/>
      <c r="G13932" s="13"/>
      <c r="AL13932" s="13"/>
    </row>
    <row r="13933" spans="4:38" x14ac:dyDescent="0.3">
      <c r="D13933" s="1"/>
      <c r="G13933" s="13"/>
      <c r="AL13933" s="13"/>
    </row>
    <row r="13934" spans="4:38" x14ac:dyDescent="0.3">
      <c r="D13934" s="1"/>
      <c r="G13934" s="13"/>
      <c r="AL13934" s="13"/>
    </row>
    <row r="13935" spans="4:38" x14ac:dyDescent="0.3">
      <c r="D13935" s="1"/>
      <c r="G13935" s="13"/>
      <c r="AL13935" s="13"/>
    </row>
    <row r="13936" spans="4:38" x14ac:dyDescent="0.3">
      <c r="D13936" s="1"/>
      <c r="G13936" s="13"/>
      <c r="AL13936" s="13"/>
    </row>
    <row r="13937" spans="4:39" x14ac:dyDescent="0.3">
      <c r="D13937" s="1"/>
      <c r="G13937" s="13"/>
      <c r="AL13937" s="13"/>
    </row>
    <row r="13938" spans="4:39" x14ac:dyDescent="0.3">
      <c r="D13938" s="1"/>
      <c r="G13938" s="13"/>
      <c r="AL13938" s="13"/>
    </row>
    <row r="13939" spans="4:39" x14ac:dyDescent="0.3">
      <c r="D13939" s="1"/>
      <c r="G13939" s="13"/>
      <c r="AL13939" s="13"/>
    </row>
    <row r="13940" spans="4:39" x14ac:dyDescent="0.3">
      <c r="D13940" s="1"/>
      <c r="G13940" s="13"/>
      <c r="AL13940" s="13"/>
    </row>
    <row r="13941" spans="4:39" x14ac:dyDescent="0.3">
      <c r="D13941" s="1"/>
      <c r="G13941" s="13"/>
      <c r="AL13941" s="13"/>
    </row>
    <row r="13942" spans="4:39" x14ac:dyDescent="0.3">
      <c r="D13942" s="1"/>
      <c r="G13942" s="13"/>
      <c r="AL13942" s="13"/>
    </row>
    <row r="13943" spans="4:39" x14ac:dyDescent="0.3">
      <c r="D13943" s="1"/>
      <c r="G13943" s="13"/>
      <c r="AL13943" s="13"/>
    </row>
    <row r="13944" spans="4:39" x14ac:dyDescent="0.3">
      <c r="D13944" s="1"/>
      <c r="G13944" s="13"/>
      <c r="AL13944" s="13"/>
    </row>
    <row r="13945" spans="4:39" x14ac:dyDescent="0.3">
      <c r="D13945" s="1"/>
      <c r="G13945" s="13"/>
      <c r="AL13945" s="13"/>
    </row>
    <row r="13946" spans="4:39" x14ac:dyDescent="0.3">
      <c r="D13946" s="1"/>
      <c r="G13946" s="13"/>
      <c r="AL13946" s="13"/>
    </row>
    <row r="13947" spans="4:39" x14ac:dyDescent="0.3">
      <c r="D13947" s="1"/>
      <c r="G13947" s="13"/>
      <c r="AL13947" s="13"/>
      <c r="AM13947" s="14"/>
    </row>
    <row r="13948" spans="4:39" x14ac:dyDescent="0.3">
      <c r="D13948" s="1"/>
      <c r="G13948" s="13"/>
      <c r="AL13948" s="13"/>
    </row>
    <row r="13949" spans="4:39" x14ac:dyDescent="0.3">
      <c r="D13949" s="1"/>
      <c r="G13949" s="13"/>
      <c r="AL13949" s="13"/>
    </row>
    <row r="13950" spans="4:39" x14ac:dyDescent="0.3">
      <c r="D13950" s="1"/>
      <c r="G13950" s="13"/>
      <c r="AL13950" s="13"/>
    </row>
    <row r="13951" spans="4:39" x14ac:dyDescent="0.3">
      <c r="D13951" s="1"/>
      <c r="G13951" s="13"/>
      <c r="AL13951" s="13"/>
      <c r="AM13951" s="14"/>
    </row>
    <row r="13952" spans="4:39" x14ac:dyDescent="0.3">
      <c r="D13952" s="1"/>
      <c r="G13952" s="13"/>
      <c r="AL13952" s="13"/>
    </row>
    <row r="13953" spans="4:38" x14ac:dyDescent="0.3">
      <c r="D13953" s="1"/>
      <c r="G13953" s="13"/>
      <c r="AL13953" s="13"/>
    </row>
    <row r="13954" spans="4:38" x14ac:dyDescent="0.3">
      <c r="D13954" s="1"/>
      <c r="G13954" s="13"/>
      <c r="AL13954" s="13"/>
    </row>
    <row r="13955" spans="4:38" x14ac:dyDescent="0.3">
      <c r="D13955" s="1"/>
      <c r="G13955" s="13"/>
      <c r="AL13955" s="13"/>
    </row>
    <row r="13956" spans="4:38" x14ac:dyDescent="0.3">
      <c r="D13956" s="1"/>
      <c r="G13956" s="13"/>
      <c r="AL13956" s="13"/>
    </row>
    <row r="13957" spans="4:38" x14ac:dyDescent="0.3">
      <c r="D13957" s="1"/>
      <c r="G13957" s="13"/>
      <c r="AL13957" s="13"/>
    </row>
    <row r="13958" spans="4:38" x14ac:dyDescent="0.3">
      <c r="D13958" s="1"/>
      <c r="G13958" s="13"/>
      <c r="AL13958" s="13"/>
    </row>
    <row r="13959" spans="4:38" x14ac:dyDescent="0.3">
      <c r="D13959" s="1"/>
      <c r="G13959" s="13"/>
      <c r="AL13959" s="13"/>
    </row>
    <row r="13960" spans="4:38" x14ac:dyDescent="0.3">
      <c r="D13960" s="1"/>
      <c r="G13960" s="13"/>
      <c r="AL13960" s="13"/>
    </row>
    <row r="13961" spans="4:38" x14ac:dyDescent="0.3">
      <c r="D13961" s="1"/>
      <c r="G13961" s="13"/>
      <c r="AL13961" s="13"/>
    </row>
    <row r="13962" spans="4:38" x14ac:dyDescent="0.3">
      <c r="D13962" s="1"/>
      <c r="G13962" s="13"/>
      <c r="AL13962" s="13"/>
    </row>
    <row r="13963" spans="4:38" x14ac:dyDescent="0.3">
      <c r="D13963" s="1"/>
      <c r="G13963" s="13"/>
      <c r="AL13963" s="13"/>
    </row>
    <row r="13964" spans="4:38" x14ac:dyDescent="0.3">
      <c r="D13964" s="1"/>
      <c r="G13964" s="13"/>
      <c r="AL13964" s="13"/>
    </row>
    <row r="13965" spans="4:38" x14ac:dyDescent="0.3">
      <c r="D13965" s="1"/>
      <c r="G13965" s="13"/>
      <c r="AL13965" s="13"/>
    </row>
    <row r="13966" spans="4:38" x14ac:dyDescent="0.3">
      <c r="D13966" s="1"/>
      <c r="G13966" s="13"/>
      <c r="AL13966" s="13"/>
    </row>
    <row r="13967" spans="4:38" x14ac:dyDescent="0.3">
      <c r="D13967" s="1"/>
      <c r="G13967" s="13"/>
      <c r="AL13967" s="13"/>
    </row>
    <row r="13968" spans="4:38" x14ac:dyDescent="0.3">
      <c r="D13968" s="1"/>
      <c r="G13968" s="13"/>
      <c r="AL13968" s="13"/>
    </row>
    <row r="13969" spans="4:38" x14ac:dyDescent="0.3">
      <c r="D13969" s="1"/>
      <c r="G13969" s="13"/>
      <c r="AL13969" s="13"/>
    </row>
    <row r="13970" spans="4:38" x14ac:dyDescent="0.3">
      <c r="D13970" s="1"/>
      <c r="G13970" s="13"/>
      <c r="AL13970" s="13"/>
    </row>
    <row r="13971" spans="4:38" x14ac:dyDescent="0.3">
      <c r="D13971" s="1"/>
      <c r="G13971" s="13"/>
      <c r="AL13971" s="13"/>
    </row>
    <row r="13972" spans="4:38" x14ac:dyDescent="0.3">
      <c r="D13972" s="1"/>
      <c r="G13972" s="13"/>
      <c r="AL13972" s="13"/>
    </row>
    <row r="13973" spans="4:38" x14ac:dyDescent="0.3">
      <c r="D13973" s="1"/>
      <c r="G13973" s="13"/>
      <c r="AL13973" s="13"/>
    </row>
    <row r="13974" spans="4:38" x14ac:dyDescent="0.3">
      <c r="D13974" s="1"/>
      <c r="G13974" s="13"/>
      <c r="AL13974" s="13"/>
    </row>
    <row r="13975" spans="4:38" x14ac:dyDescent="0.3">
      <c r="D13975" s="1"/>
      <c r="G13975" s="13"/>
      <c r="AL13975" s="13"/>
    </row>
    <row r="13976" spans="4:38" x14ac:dyDescent="0.3">
      <c r="D13976" s="1"/>
      <c r="G13976" s="13"/>
      <c r="AL13976" s="13"/>
    </row>
    <row r="13977" spans="4:38" x14ac:dyDescent="0.3">
      <c r="D13977" s="1"/>
      <c r="G13977" s="13"/>
      <c r="AL13977" s="13"/>
    </row>
    <row r="13978" spans="4:38" x14ac:dyDescent="0.3">
      <c r="D13978" s="1"/>
      <c r="G13978" s="13"/>
      <c r="AL13978" s="13"/>
    </row>
    <row r="13979" spans="4:38" x14ac:dyDescent="0.3">
      <c r="D13979" s="1"/>
      <c r="G13979" s="13"/>
      <c r="AL13979" s="13"/>
    </row>
    <row r="13980" spans="4:38" x14ac:dyDescent="0.3">
      <c r="D13980" s="1"/>
      <c r="G13980" s="13"/>
      <c r="AL13980" s="13"/>
    </row>
    <row r="13981" spans="4:38" x14ac:dyDescent="0.3">
      <c r="D13981" s="1"/>
      <c r="G13981" s="13"/>
      <c r="AL13981" s="13"/>
    </row>
    <row r="13982" spans="4:38" x14ac:dyDescent="0.3">
      <c r="D13982" s="1"/>
      <c r="G13982" s="13"/>
      <c r="AL13982" s="13"/>
    </row>
    <row r="13983" spans="4:38" x14ac:dyDescent="0.3">
      <c r="D13983" s="1"/>
      <c r="G13983" s="13"/>
      <c r="AL13983" s="13"/>
    </row>
    <row r="13984" spans="4:38" x14ac:dyDescent="0.3">
      <c r="D13984" s="1"/>
      <c r="G13984" s="13"/>
      <c r="AL13984" s="13"/>
    </row>
    <row r="13985" spans="4:38" x14ac:dyDescent="0.3">
      <c r="D13985" s="1"/>
      <c r="G13985" s="13"/>
      <c r="AL13985" s="13"/>
    </row>
    <row r="13986" spans="4:38" x14ac:dyDescent="0.3">
      <c r="D13986" s="1"/>
      <c r="G13986" s="13"/>
      <c r="AL13986" s="13"/>
    </row>
    <row r="13987" spans="4:38" x14ac:dyDescent="0.3">
      <c r="D13987" s="1"/>
      <c r="G13987" s="13"/>
      <c r="AL13987" s="13"/>
    </row>
    <row r="13988" spans="4:38" x14ac:dyDescent="0.3">
      <c r="D13988" s="1"/>
      <c r="G13988" s="13"/>
      <c r="AL13988" s="13"/>
    </row>
    <row r="13989" spans="4:38" x14ac:dyDescent="0.3">
      <c r="D13989" s="1"/>
      <c r="G13989" s="13"/>
      <c r="AL13989" s="13"/>
    </row>
    <row r="13990" spans="4:38" x14ac:dyDescent="0.3">
      <c r="D13990" s="1"/>
      <c r="G13990" s="13"/>
      <c r="AL13990" s="13"/>
    </row>
    <row r="13991" spans="4:38" x14ac:dyDescent="0.3">
      <c r="D13991" s="1"/>
      <c r="G13991" s="13"/>
      <c r="AL13991" s="13"/>
    </row>
    <row r="13992" spans="4:38" x14ac:dyDescent="0.3">
      <c r="D13992" s="1"/>
      <c r="G13992" s="13"/>
      <c r="AL13992" s="13"/>
    </row>
    <row r="13993" spans="4:38" x14ac:dyDescent="0.3">
      <c r="D13993" s="1"/>
      <c r="G13993" s="13"/>
      <c r="AL13993" s="13"/>
    </row>
    <row r="13994" spans="4:38" x14ac:dyDescent="0.3">
      <c r="D13994" s="1"/>
      <c r="G13994" s="13"/>
      <c r="AL13994" s="13"/>
    </row>
    <row r="13995" spans="4:38" x14ac:dyDescent="0.3">
      <c r="D13995" s="1"/>
      <c r="G13995" s="13"/>
      <c r="AL13995" s="13"/>
    </row>
    <row r="13996" spans="4:38" x14ac:dyDescent="0.3">
      <c r="D13996" s="1"/>
      <c r="G13996" s="13"/>
      <c r="AL13996" s="13"/>
    </row>
    <row r="13997" spans="4:38" x14ac:dyDescent="0.3">
      <c r="D13997" s="1"/>
      <c r="G13997" s="13"/>
      <c r="AL13997" s="13"/>
    </row>
    <row r="13998" spans="4:38" x14ac:dyDescent="0.3">
      <c r="D13998" s="1"/>
      <c r="G13998" s="13"/>
      <c r="AL13998" s="13"/>
    </row>
    <row r="13999" spans="4:38" x14ac:dyDescent="0.3">
      <c r="D13999" s="1"/>
      <c r="G13999" s="13"/>
      <c r="AL13999" s="13"/>
    </row>
    <row r="14000" spans="4:38" x14ac:dyDescent="0.3">
      <c r="D14000" s="1"/>
      <c r="G14000" s="13"/>
      <c r="AL14000" s="13"/>
    </row>
    <row r="14001" spans="4:38" x14ac:dyDescent="0.3">
      <c r="D14001" s="1"/>
      <c r="G14001" s="13"/>
      <c r="AL14001" s="13"/>
    </row>
    <row r="14002" spans="4:38" x14ac:dyDescent="0.3">
      <c r="D14002" s="1"/>
      <c r="G14002" s="13"/>
      <c r="AL14002" s="13"/>
    </row>
    <row r="14003" spans="4:38" x14ac:dyDescent="0.3">
      <c r="D14003" s="1"/>
      <c r="G14003" s="13"/>
      <c r="AL14003" s="13"/>
    </row>
    <row r="14004" spans="4:38" x14ac:dyDescent="0.3">
      <c r="D14004" s="1"/>
      <c r="G14004" s="13"/>
      <c r="AL14004" s="13"/>
    </row>
    <row r="14005" spans="4:38" x14ac:dyDescent="0.3">
      <c r="D14005" s="1"/>
      <c r="G14005" s="13"/>
      <c r="AL14005" s="13"/>
    </row>
    <row r="14006" spans="4:38" x14ac:dyDescent="0.3">
      <c r="D14006" s="1"/>
      <c r="G14006" s="13"/>
      <c r="AL14006" s="13"/>
    </row>
    <row r="14007" spans="4:38" x14ac:dyDescent="0.3">
      <c r="D14007" s="1"/>
      <c r="G14007" s="13"/>
      <c r="AL14007" s="13"/>
    </row>
    <row r="14008" spans="4:38" x14ac:dyDescent="0.3">
      <c r="D14008" s="1"/>
      <c r="G14008" s="13"/>
      <c r="AL14008" s="13"/>
    </row>
    <row r="14009" spans="4:38" x14ac:dyDescent="0.3">
      <c r="D14009" s="1"/>
      <c r="G14009" s="13"/>
      <c r="AL14009" s="13"/>
    </row>
    <row r="14010" spans="4:38" x14ac:dyDescent="0.3">
      <c r="D14010" s="1"/>
      <c r="G14010" s="13"/>
      <c r="AL14010" s="13"/>
    </row>
    <row r="14011" spans="4:38" x14ac:dyDescent="0.3">
      <c r="D14011" s="1"/>
      <c r="G14011" s="13"/>
      <c r="AL14011" s="13"/>
    </row>
    <row r="14012" spans="4:38" x14ac:dyDescent="0.3">
      <c r="D14012" s="1"/>
      <c r="G14012" s="13"/>
      <c r="AL14012" s="13"/>
    </row>
    <row r="14013" spans="4:38" x14ac:dyDescent="0.3">
      <c r="D14013" s="1"/>
      <c r="G14013" s="13"/>
      <c r="AL14013" s="13"/>
    </row>
    <row r="14014" spans="4:38" x14ac:dyDescent="0.3">
      <c r="D14014" s="1"/>
      <c r="G14014" s="13"/>
      <c r="AL14014" s="13"/>
    </row>
    <row r="14015" spans="4:38" x14ac:dyDescent="0.3">
      <c r="D14015" s="1"/>
      <c r="G14015" s="13"/>
      <c r="AL14015" s="13"/>
    </row>
    <row r="14016" spans="4:38" x14ac:dyDescent="0.3">
      <c r="D14016" s="1"/>
      <c r="G14016" s="13"/>
      <c r="AL14016" s="13"/>
    </row>
    <row r="14017" spans="4:38" x14ac:dyDescent="0.3">
      <c r="D14017" s="1"/>
      <c r="G14017" s="13"/>
      <c r="AL14017" s="13"/>
    </row>
    <row r="14018" spans="4:38" x14ac:dyDescent="0.3">
      <c r="D14018" s="1"/>
      <c r="G14018" s="13"/>
      <c r="AL14018" s="13"/>
    </row>
    <row r="14019" spans="4:38" x14ac:dyDescent="0.3">
      <c r="D14019" s="1"/>
      <c r="G14019" s="13"/>
      <c r="AL14019" s="13"/>
    </row>
    <row r="14020" spans="4:38" x14ac:dyDescent="0.3">
      <c r="D14020" s="1"/>
      <c r="G14020" s="13"/>
      <c r="AL14020" s="13"/>
    </row>
    <row r="14021" spans="4:38" x14ac:dyDescent="0.3">
      <c r="D14021" s="1"/>
      <c r="G14021" s="13"/>
      <c r="AL14021" s="13"/>
    </row>
    <row r="14022" spans="4:38" x14ac:dyDescent="0.3">
      <c r="D14022" s="1"/>
      <c r="G14022" s="13"/>
      <c r="AL14022" s="13"/>
    </row>
    <row r="14023" spans="4:38" x14ac:dyDescent="0.3">
      <c r="D14023" s="1"/>
      <c r="G14023" s="13"/>
      <c r="AL14023" s="13"/>
    </row>
    <row r="14024" spans="4:38" x14ac:dyDescent="0.3">
      <c r="D14024" s="1"/>
      <c r="G14024" s="13"/>
      <c r="AL14024" s="13"/>
    </row>
    <row r="14025" spans="4:38" x14ac:dyDescent="0.3">
      <c r="D14025" s="1"/>
      <c r="G14025" s="13"/>
      <c r="AL14025" s="13"/>
    </row>
    <row r="14026" spans="4:38" x14ac:dyDescent="0.3">
      <c r="D14026" s="1"/>
      <c r="G14026" s="13"/>
      <c r="AL14026" s="13"/>
    </row>
    <row r="14027" spans="4:38" x14ac:dyDescent="0.3">
      <c r="D14027" s="1"/>
      <c r="G14027" s="13"/>
      <c r="AL14027" s="13"/>
    </row>
    <row r="14028" spans="4:38" x14ac:dyDescent="0.3">
      <c r="D14028" s="1"/>
      <c r="G14028" s="13"/>
      <c r="AL14028" s="13"/>
    </row>
    <row r="14029" spans="4:38" x14ac:dyDescent="0.3">
      <c r="D14029" s="1"/>
      <c r="G14029" s="13"/>
      <c r="AL14029" s="13"/>
    </row>
    <row r="14030" spans="4:38" x14ac:dyDescent="0.3">
      <c r="D14030" s="1"/>
      <c r="G14030" s="13"/>
      <c r="AL14030" s="13"/>
    </row>
    <row r="14031" spans="4:38" x14ac:dyDescent="0.3">
      <c r="D14031" s="1"/>
      <c r="G14031" s="13"/>
      <c r="AL14031" s="13"/>
    </row>
    <row r="14032" spans="4:38" x14ac:dyDescent="0.3">
      <c r="D14032" s="1"/>
      <c r="G14032" s="13"/>
      <c r="AL14032" s="13"/>
    </row>
    <row r="14033" spans="4:38" x14ac:dyDescent="0.3">
      <c r="D14033" s="1"/>
      <c r="G14033" s="13"/>
      <c r="AL14033" s="13"/>
    </row>
    <row r="14034" spans="4:38" x14ac:dyDescent="0.3">
      <c r="D14034" s="1"/>
      <c r="G14034" s="13"/>
      <c r="AL14034" s="13"/>
    </row>
    <row r="14035" spans="4:38" x14ac:dyDescent="0.3">
      <c r="D14035" s="1"/>
      <c r="G14035" s="13"/>
      <c r="AL14035" s="13"/>
    </row>
    <row r="14036" spans="4:38" x14ac:dyDescent="0.3">
      <c r="D14036" s="1"/>
      <c r="G14036" s="13"/>
      <c r="AL14036" s="13"/>
    </row>
    <row r="14037" spans="4:38" x14ac:dyDescent="0.3">
      <c r="D14037" s="1"/>
      <c r="G14037" s="13"/>
      <c r="AL14037" s="13"/>
    </row>
    <row r="14038" spans="4:38" x14ac:dyDescent="0.3">
      <c r="D14038" s="1"/>
      <c r="G14038" s="13"/>
      <c r="AL14038" s="13"/>
    </row>
    <row r="14039" spans="4:38" x14ac:dyDescent="0.3">
      <c r="D14039" s="1"/>
      <c r="G14039" s="13"/>
      <c r="AL14039" s="13"/>
    </row>
    <row r="14040" spans="4:38" x14ac:dyDescent="0.3">
      <c r="D14040" s="1"/>
      <c r="G14040" s="13"/>
      <c r="AL14040" s="13"/>
    </row>
    <row r="14041" spans="4:38" x14ac:dyDescent="0.3">
      <c r="D14041" s="1"/>
      <c r="G14041" s="13"/>
      <c r="AL14041" s="13"/>
    </row>
    <row r="14042" spans="4:38" x14ac:dyDescent="0.3">
      <c r="D14042" s="1"/>
      <c r="G14042" s="13"/>
      <c r="AL14042" s="13"/>
    </row>
    <row r="14043" spans="4:38" x14ac:dyDescent="0.3">
      <c r="D14043" s="1"/>
      <c r="G14043" s="13"/>
      <c r="AL14043" s="13"/>
    </row>
    <row r="14044" spans="4:38" x14ac:dyDescent="0.3">
      <c r="D14044" s="1"/>
      <c r="G14044" s="13"/>
      <c r="AL14044" s="13"/>
    </row>
    <row r="14045" spans="4:38" x14ac:dyDescent="0.3">
      <c r="D14045" s="1"/>
      <c r="G14045" s="13"/>
      <c r="AL14045" s="13"/>
    </row>
    <row r="14046" spans="4:38" x14ac:dyDescent="0.3">
      <c r="D14046" s="1"/>
      <c r="G14046" s="13"/>
      <c r="AL14046" s="13"/>
    </row>
    <row r="14047" spans="4:38" x14ac:dyDescent="0.3">
      <c r="D14047" s="1"/>
      <c r="G14047" s="13"/>
      <c r="AL14047" s="13"/>
    </row>
    <row r="14048" spans="4:38" x14ac:dyDescent="0.3">
      <c r="D14048" s="1"/>
      <c r="G14048" s="13"/>
      <c r="AL14048" s="13"/>
    </row>
    <row r="14049" spans="4:38" x14ac:dyDescent="0.3">
      <c r="D14049" s="1"/>
      <c r="G14049" s="13"/>
      <c r="AL14049" s="13"/>
    </row>
    <row r="14050" spans="4:38" x14ac:dyDescent="0.3">
      <c r="D14050" s="1"/>
      <c r="G14050" s="13"/>
      <c r="AL14050" s="13"/>
    </row>
    <row r="14051" spans="4:38" x14ac:dyDescent="0.3">
      <c r="D14051" s="1"/>
      <c r="G14051" s="13"/>
      <c r="AL14051" s="13"/>
    </row>
    <row r="14052" spans="4:38" x14ac:dyDescent="0.3">
      <c r="D14052" s="1"/>
      <c r="G14052" s="13"/>
      <c r="AL14052" s="13"/>
    </row>
    <row r="14053" spans="4:38" x14ac:dyDescent="0.3">
      <c r="D14053" s="1"/>
      <c r="G14053" s="13"/>
      <c r="AL14053" s="13"/>
    </row>
    <row r="14054" spans="4:38" x14ac:dyDescent="0.3">
      <c r="D14054" s="1"/>
      <c r="G14054" s="13"/>
      <c r="AL14054" s="13"/>
    </row>
    <row r="14055" spans="4:38" x14ac:dyDescent="0.3">
      <c r="D14055" s="1"/>
      <c r="G14055" s="13"/>
      <c r="AL14055" s="13"/>
    </row>
    <row r="14056" spans="4:38" x14ac:dyDescent="0.3">
      <c r="D14056" s="1"/>
      <c r="G14056" s="13"/>
      <c r="AL14056" s="13"/>
    </row>
    <row r="14057" spans="4:38" x14ac:dyDescent="0.3">
      <c r="D14057" s="1"/>
      <c r="G14057" s="13"/>
      <c r="AL14057" s="13"/>
    </row>
    <row r="14058" spans="4:38" x14ac:dyDescent="0.3">
      <c r="D14058" s="1"/>
      <c r="G14058" s="13"/>
      <c r="AL14058" s="13"/>
    </row>
    <row r="14059" spans="4:38" x14ac:dyDescent="0.3">
      <c r="D14059" s="1"/>
      <c r="G14059" s="13"/>
      <c r="AL14059" s="13"/>
    </row>
    <row r="14060" spans="4:38" x14ac:dyDescent="0.3">
      <c r="D14060" s="1"/>
      <c r="G14060" s="13"/>
      <c r="AL14060" s="13"/>
    </row>
    <row r="14061" spans="4:38" x14ac:dyDescent="0.3">
      <c r="D14061" s="1"/>
      <c r="G14061" s="13"/>
      <c r="AL14061" s="13"/>
    </row>
    <row r="14062" spans="4:38" x14ac:dyDescent="0.3">
      <c r="D14062" s="1"/>
      <c r="G14062" s="13"/>
      <c r="AL14062" s="13"/>
    </row>
    <row r="14063" spans="4:38" x14ac:dyDescent="0.3">
      <c r="D14063" s="1"/>
      <c r="G14063" s="13"/>
      <c r="AL14063" s="13"/>
    </row>
    <row r="14064" spans="4:38" x14ac:dyDescent="0.3">
      <c r="D14064" s="1"/>
      <c r="G14064" s="13"/>
      <c r="AL14064" s="13"/>
    </row>
    <row r="14065" spans="4:38" x14ac:dyDescent="0.3">
      <c r="D14065" s="1"/>
      <c r="G14065" s="13"/>
      <c r="AL14065" s="13"/>
    </row>
    <row r="14066" spans="4:38" x14ac:dyDescent="0.3">
      <c r="D14066" s="1"/>
      <c r="G14066" s="13"/>
      <c r="AL14066" s="13"/>
    </row>
    <row r="14067" spans="4:38" x14ac:dyDescent="0.3">
      <c r="D14067" s="1"/>
      <c r="G14067" s="13"/>
      <c r="AL14067" s="13"/>
    </row>
    <row r="14068" spans="4:38" x14ac:dyDescent="0.3">
      <c r="D14068" s="1"/>
      <c r="G14068" s="13"/>
      <c r="AL14068" s="13"/>
    </row>
    <row r="14069" spans="4:38" x14ac:dyDescent="0.3">
      <c r="D14069" s="1"/>
      <c r="G14069" s="13"/>
      <c r="AL14069" s="13"/>
    </row>
    <row r="14070" spans="4:38" x14ac:dyDescent="0.3">
      <c r="D14070" s="1"/>
      <c r="G14070" s="13"/>
      <c r="AL14070" s="13"/>
    </row>
    <row r="14071" spans="4:38" x14ac:dyDescent="0.3">
      <c r="D14071" s="1"/>
      <c r="G14071" s="13"/>
      <c r="AL14071" s="13"/>
    </row>
    <row r="14072" spans="4:38" x14ac:dyDescent="0.3">
      <c r="D14072" s="1"/>
      <c r="G14072" s="13"/>
      <c r="AL14072" s="13"/>
    </row>
    <row r="14073" spans="4:38" x14ac:dyDescent="0.3">
      <c r="D14073" s="1"/>
      <c r="G14073" s="13"/>
      <c r="AL14073" s="13"/>
    </row>
    <row r="14074" spans="4:38" x14ac:dyDescent="0.3">
      <c r="D14074" s="1"/>
      <c r="G14074" s="13"/>
      <c r="AL14074" s="13"/>
    </row>
    <row r="14075" spans="4:38" x14ac:dyDescent="0.3">
      <c r="D14075" s="1"/>
      <c r="G14075" s="13"/>
      <c r="AL14075" s="13"/>
    </row>
    <row r="14076" spans="4:38" x14ac:dyDescent="0.3">
      <c r="D14076" s="1"/>
      <c r="G14076" s="13"/>
      <c r="AL14076" s="13"/>
    </row>
    <row r="14077" spans="4:38" x14ac:dyDescent="0.3">
      <c r="D14077" s="1"/>
      <c r="G14077" s="13"/>
      <c r="AL14077" s="13"/>
    </row>
    <row r="14078" spans="4:38" x14ac:dyDescent="0.3">
      <c r="D14078" s="1"/>
      <c r="G14078" s="13"/>
      <c r="AL14078" s="13"/>
    </row>
    <row r="14079" spans="4:38" x14ac:dyDescent="0.3">
      <c r="D14079" s="1"/>
      <c r="G14079" s="13"/>
      <c r="AL14079" s="13"/>
    </row>
    <row r="14080" spans="4:38" x14ac:dyDescent="0.3">
      <c r="D14080" s="1"/>
      <c r="G14080" s="13"/>
      <c r="AL14080" s="13"/>
    </row>
    <row r="14081" spans="4:38" x14ac:dyDescent="0.3">
      <c r="D14081" s="1"/>
      <c r="G14081" s="13"/>
      <c r="AL14081" s="13"/>
    </row>
    <row r="14082" spans="4:38" x14ac:dyDescent="0.3">
      <c r="D14082" s="1"/>
      <c r="G14082" s="13"/>
      <c r="AL14082" s="13"/>
    </row>
    <row r="14083" spans="4:38" x14ac:dyDescent="0.3">
      <c r="D14083" s="1"/>
      <c r="G14083" s="13"/>
      <c r="AL14083" s="13"/>
    </row>
    <row r="14084" spans="4:38" x14ac:dyDescent="0.3">
      <c r="D14084" s="1"/>
      <c r="G14084" s="13"/>
      <c r="AL14084" s="13"/>
    </row>
    <row r="14085" spans="4:38" x14ac:dyDescent="0.3">
      <c r="D14085" s="1"/>
      <c r="G14085" s="13"/>
      <c r="AL14085" s="13"/>
    </row>
    <row r="14086" spans="4:38" x14ac:dyDescent="0.3">
      <c r="D14086" s="1"/>
      <c r="G14086" s="13"/>
      <c r="AL14086" s="13"/>
    </row>
    <row r="14087" spans="4:38" x14ac:dyDescent="0.3">
      <c r="D14087" s="1"/>
      <c r="G14087" s="13"/>
      <c r="AL14087" s="13"/>
    </row>
    <row r="14088" spans="4:38" x14ac:dyDescent="0.3">
      <c r="D14088" s="1"/>
      <c r="G14088" s="13"/>
      <c r="AL14088" s="13"/>
    </row>
    <row r="14089" spans="4:38" x14ac:dyDescent="0.3">
      <c r="D14089" s="1"/>
      <c r="G14089" s="13"/>
      <c r="AL14089" s="13"/>
    </row>
    <row r="14090" spans="4:38" x14ac:dyDescent="0.3">
      <c r="D14090" s="1"/>
      <c r="G14090" s="13"/>
      <c r="AL14090" s="13"/>
    </row>
    <row r="14091" spans="4:38" x14ac:dyDescent="0.3">
      <c r="D14091" s="1"/>
      <c r="G14091" s="13"/>
      <c r="AL14091" s="13"/>
    </row>
    <row r="14092" spans="4:38" x14ac:dyDescent="0.3">
      <c r="D14092" s="1"/>
      <c r="G14092" s="13"/>
      <c r="AL14092" s="13"/>
    </row>
    <row r="14093" spans="4:38" x14ac:dyDescent="0.3">
      <c r="D14093" s="1"/>
      <c r="G14093" s="13"/>
      <c r="AL14093" s="13"/>
    </row>
    <row r="14094" spans="4:38" x14ac:dyDescent="0.3">
      <c r="D14094" s="1"/>
      <c r="G14094" s="13"/>
      <c r="AL14094" s="13"/>
    </row>
    <row r="14095" spans="4:38" x14ac:dyDescent="0.3">
      <c r="D14095" s="1"/>
      <c r="G14095" s="13"/>
      <c r="AL14095" s="13"/>
    </row>
    <row r="14096" spans="4:38" x14ac:dyDescent="0.3">
      <c r="D14096" s="1"/>
      <c r="G14096" s="13"/>
      <c r="AL14096" s="13"/>
    </row>
    <row r="14097" spans="4:38" x14ac:dyDescent="0.3">
      <c r="D14097" s="1"/>
      <c r="G14097" s="13"/>
      <c r="AL14097" s="13"/>
    </row>
    <row r="14098" spans="4:38" x14ac:dyDescent="0.3">
      <c r="D14098" s="1"/>
      <c r="G14098" s="13"/>
      <c r="AL14098" s="13"/>
    </row>
    <row r="14099" spans="4:38" x14ac:dyDescent="0.3">
      <c r="D14099" s="1"/>
      <c r="G14099" s="13"/>
      <c r="AL14099" s="13"/>
    </row>
    <row r="14100" spans="4:38" x14ac:dyDescent="0.3">
      <c r="D14100" s="1"/>
      <c r="G14100" s="13"/>
      <c r="AL14100" s="13"/>
    </row>
    <row r="14101" spans="4:38" x14ac:dyDescent="0.3">
      <c r="D14101" s="1"/>
      <c r="G14101" s="13"/>
      <c r="AL14101" s="13"/>
    </row>
    <row r="14102" spans="4:38" x14ac:dyDescent="0.3">
      <c r="D14102" s="1"/>
      <c r="G14102" s="13"/>
      <c r="AL14102" s="13"/>
    </row>
    <row r="14103" spans="4:38" x14ac:dyDescent="0.3">
      <c r="D14103" s="1"/>
      <c r="G14103" s="13"/>
      <c r="AL14103" s="13"/>
    </row>
    <row r="14104" spans="4:38" x14ac:dyDescent="0.3">
      <c r="D14104" s="1"/>
      <c r="G14104" s="13"/>
      <c r="AL14104" s="13"/>
    </row>
    <row r="14105" spans="4:38" x14ac:dyDescent="0.3">
      <c r="D14105" s="1"/>
      <c r="G14105" s="13"/>
      <c r="AL14105" s="13"/>
    </row>
    <row r="14106" spans="4:38" x14ac:dyDescent="0.3">
      <c r="D14106" s="1"/>
      <c r="G14106" s="13"/>
      <c r="AL14106" s="13"/>
    </row>
    <row r="14107" spans="4:38" x14ac:dyDescent="0.3">
      <c r="D14107" s="1"/>
      <c r="G14107" s="13"/>
      <c r="AL14107" s="13"/>
    </row>
    <row r="14108" spans="4:38" x14ac:dyDescent="0.3">
      <c r="D14108" s="1"/>
      <c r="G14108" s="13"/>
      <c r="AL14108" s="13"/>
    </row>
    <row r="14109" spans="4:38" x14ac:dyDescent="0.3">
      <c r="D14109" s="1"/>
      <c r="G14109" s="13"/>
      <c r="AL14109" s="13"/>
    </row>
    <row r="14110" spans="4:38" x14ac:dyDescent="0.3">
      <c r="D14110" s="1"/>
      <c r="G14110" s="13"/>
      <c r="AL14110" s="13"/>
    </row>
    <row r="14111" spans="4:38" x14ac:dyDescent="0.3">
      <c r="D14111" s="1"/>
      <c r="G14111" s="13"/>
      <c r="AL14111" s="13"/>
    </row>
    <row r="14112" spans="4:38" x14ac:dyDescent="0.3">
      <c r="D14112" s="1"/>
      <c r="G14112" s="13"/>
      <c r="AL14112" s="13"/>
    </row>
    <row r="14113" spans="4:38" x14ac:dyDescent="0.3">
      <c r="D14113" s="1"/>
      <c r="G14113" s="13"/>
      <c r="AL14113" s="13"/>
    </row>
    <row r="14114" spans="4:38" x14ac:dyDescent="0.3">
      <c r="D14114" s="1"/>
      <c r="G14114" s="13"/>
      <c r="AL14114" s="13"/>
    </row>
    <row r="14115" spans="4:38" x14ac:dyDescent="0.3">
      <c r="D14115" s="1"/>
      <c r="G14115" s="13"/>
      <c r="AL14115" s="13"/>
    </row>
    <row r="14116" spans="4:38" x14ac:dyDescent="0.3">
      <c r="D14116" s="1"/>
      <c r="G14116" s="13"/>
      <c r="AL14116" s="13"/>
    </row>
    <row r="14117" spans="4:38" x14ac:dyDescent="0.3">
      <c r="D14117" s="1"/>
      <c r="G14117" s="13"/>
      <c r="AL14117" s="13"/>
    </row>
    <row r="14118" spans="4:38" x14ac:dyDescent="0.3">
      <c r="D14118" s="1"/>
      <c r="G14118" s="13"/>
      <c r="AL14118" s="13"/>
    </row>
    <row r="14119" spans="4:38" x14ac:dyDescent="0.3">
      <c r="D14119" s="1"/>
      <c r="G14119" s="13"/>
      <c r="AL14119" s="13"/>
    </row>
    <row r="14120" spans="4:38" x14ac:dyDescent="0.3">
      <c r="D14120" s="1"/>
      <c r="G14120" s="13"/>
      <c r="AL14120" s="13"/>
    </row>
    <row r="14121" spans="4:38" x14ac:dyDescent="0.3">
      <c r="D14121" s="1"/>
      <c r="G14121" s="13"/>
      <c r="AL14121" s="13"/>
    </row>
    <row r="14122" spans="4:38" x14ac:dyDescent="0.3">
      <c r="D14122" s="1"/>
      <c r="G14122" s="13"/>
      <c r="AL14122" s="13"/>
    </row>
    <row r="14123" spans="4:38" x14ac:dyDescent="0.3">
      <c r="D14123" s="1"/>
      <c r="G14123" s="13"/>
      <c r="AL14123" s="13"/>
    </row>
    <row r="14124" spans="4:38" x14ac:dyDescent="0.3">
      <c r="D14124" s="1"/>
      <c r="G14124" s="13"/>
      <c r="AL14124" s="13"/>
    </row>
    <row r="14125" spans="4:38" x14ac:dyDescent="0.3">
      <c r="D14125" s="1"/>
      <c r="G14125" s="13"/>
      <c r="AL14125" s="13"/>
    </row>
    <row r="14126" spans="4:38" x14ac:dyDescent="0.3">
      <c r="D14126" s="1"/>
      <c r="G14126" s="13"/>
      <c r="AL14126" s="13"/>
    </row>
    <row r="14127" spans="4:38" x14ac:dyDescent="0.3">
      <c r="D14127" s="1"/>
      <c r="G14127" s="13"/>
      <c r="AL14127" s="13"/>
    </row>
    <row r="14128" spans="4:38" x14ac:dyDescent="0.3">
      <c r="D14128" s="1"/>
      <c r="G14128" s="13"/>
      <c r="AL14128" s="13"/>
    </row>
    <row r="14129" spans="4:38" x14ac:dyDescent="0.3">
      <c r="D14129" s="1"/>
      <c r="G14129" s="13"/>
      <c r="AL14129" s="13"/>
    </row>
    <row r="14130" spans="4:38" x14ac:dyDescent="0.3">
      <c r="D14130" s="1"/>
      <c r="G14130" s="13"/>
      <c r="AL14130" s="13"/>
    </row>
    <row r="14131" spans="4:38" x14ac:dyDescent="0.3">
      <c r="D14131" s="1"/>
      <c r="G14131" s="13"/>
      <c r="AL14131" s="13"/>
    </row>
    <row r="14132" spans="4:38" x14ac:dyDescent="0.3">
      <c r="D14132" s="1"/>
      <c r="G14132" s="13"/>
      <c r="AL14132" s="13"/>
    </row>
    <row r="14133" spans="4:38" x14ac:dyDescent="0.3">
      <c r="D14133" s="1"/>
      <c r="G14133" s="13"/>
      <c r="AL14133" s="13"/>
    </row>
    <row r="14134" spans="4:38" x14ac:dyDescent="0.3">
      <c r="D14134" s="1"/>
      <c r="G14134" s="13"/>
      <c r="AL14134" s="13"/>
    </row>
    <row r="14135" spans="4:38" x14ac:dyDescent="0.3">
      <c r="D14135" s="1"/>
      <c r="G14135" s="13"/>
      <c r="AL14135" s="13"/>
    </row>
    <row r="14136" spans="4:38" x14ac:dyDescent="0.3">
      <c r="D14136" s="1"/>
      <c r="G14136" s="13"/>
      <c r="AL14136" s="13"/>
    </row>
    <row r="14137" spans="4:38" x14ac:dyDescent="0.3">
      <c r="D14137" s="1"/>
      <c r="G14137" s="13"/>
      <c r="AL14137" s="13"/>
    </row>
    <row r="14138" spans="4:38" x14ac:dyDescent="0.3">
      <c r="D14138" s="1"/>
      <c r="G14138" s="13"/>
      <c r="AL14138" s="13"/>
    </row>
    <row r="14139" spans="4:38" x14ac:dyDescent="0.3">
      <c r="D14139" s="1"/>
      <c r="G14139" s="13"/>
      <c r="AL14139" s="13"/>
    </row>
    <row r="14140" spans="4:38" x14ac:dyDescent="0.3">
      <c r="D14140" s="1"/>
      <c r="G14140" s="13"/>
      <c r="AL14140" s="13"/>
    </row>
    <row r="14141" spans="4:38" x14ac:dyDescent="0.3">
      <c r="D14141" s="1"/>
      <c r="G14141" s="13"/>
      <c r="AL14141" s="13"/>
    </row>
    <row r="14142" spans="4:38" x14ac:dyDescent="0.3">
      <c r="D14142" s="1"/>
      <c r="G14142" s="13"/>
      <c r="AL14142" s="13"/>
    </row>
    <row r="14143" spans="4:38" x14ac:dyDescent="0.3">
      <c r="D14143" s="1"/>
      <c r="G14143" s="13"/>
      <c r="AL14143" s="13"/>
    </row>
    <row r="14144" spans="4:38" x14ac:dyDescent="0.3">
      <c r="D14144" s="1"/>
      <c r="G14144" s="13"/>
      <c r="AL14144" s="13"/>
    </row>
    <row r="14145" spans="4:38" x14ac:dyDescent="0.3">
      <c r="D14145" s="1"/>
      <c r="G14145" s="13"/>
      <c r="AL14145" s="13"/>
    </row>
    <row r="14146" spans="4:38" x14ac:dyDescent="0.3">
      <c r="D14146" s="1"/>
      <c r="G14146" s="13"/>
      <c r="AL14146" s="13"/>
    </row>
    <row r="14147" spans="4:38" x14ac:dyDescent="0.3">
      <c r="D14147" s="1"/>
      <c r="G14147" s="13"/>
      <c r="AL14147" s="13"/>
    </row>
    <row r="14148" spans="4:38" x14ac:dyDescent="0.3">
      <c r="D14148" s="1"/>
      <c r="G14148" s="13"/>
      <c r="AL14148" s="13"/>
    </row>
    <row r="14149" spans="4:38" x14ac:dyDescent="0.3">
      <c r="D14149" s="1"/>
      <c r="G14149" s="13"/>
      <c r="AL14149" s="13"/>
    </row>
    <row r="14150" spans="4:38" x14ac:dyDescent="0.3">
      <c r="D14150" s="1"/>
      <c r="G14150" s="13"/>
      <c r="AL14150" s="13"/>
    </row>
    <row r="14151" spans="4:38" x14ac:dyDescent="0.3">
      <c r="D14151" s="1"/>
      <c r="G14151" s="13"/>
      <c r="AL14151" s="13"/>
    </row>
    <row r="14152" spans="4:38" x14ac:dyDescent="0.3">
      <c r="D14152" s="1"/>
      <c r="G14152" s="13"/>
      <c r="AL14152" s="13"/>
    </row>
    <row r="14153" spans="4:38" x14ac:dyDescent="0.3">
      <c r="D14153" s="1"/>
      <c r="G14153" s="13"/>
      <c r="AL14153" s="13"/>
    </row>
    <row r="14154" spans="4:38" x14ac:dyDescent="0.3">
      <c r="D14154" s="1"/>
      <c r="G14154" s="13"/>
      <c r="AL14154" s="13"/>
    </row>
    <row r="14155" spans="4:38" x14ac:dyDescent="0.3">
      <c r="D14155" s="1"/>
      <c r="G14155" s="13"/>
      <c r="AL14155" s="13"/>
    </row>
    <row r="14156" spans="4:38" x14ac:dyDescent="0.3">
      <c r="D14156" s="1"/>
      <c r="G14156" s="13"/>
      <c r="AL14156" s="13"/>
    </row>
    <row r="14157" spans="4:38" x14ac:dyDescent="0.3">
      <c r="D14157" s="1"/>
      <c r="G14157" s="13"/>
      <c r="AL14157" s="13"/>
    </row>
    <row r="14158" spans="4:38" x14ac:dyDescent="0.3">
      <c r="D14158" s="1"/>
      <c r="G14158" s="13"/>
      <c r="AL14158" s="13"/>
    </row>
    <row r="14159" spans="4:38" x14ac:dyDescent="0.3">
      <c r="D14159" s="1"/>
      <c r="G14159" s="13"/>
      <c r="AL14159" s="13"/>
    </row>
    <row r="14160" spans="4:38" x14ac:dyDescent="0.3">
      <c r="D14160" s="1"/>
      <c r="G14160" s="13"/>
      <c r="AL14160" s="13"/>
    </row>
    <row r="14161" spans="4:38" x14ac:dyDescent="0.3">
      <c r="D14161" s="1"/>
      <c r="G14161" s="13"/>
      <c r="AL14161" s="13"/>
    </row>
    <row r="14162" spans="4:38" x14ac:dyDescent="0.3">
      <c r="D14162" s="1"/>
      <c r="G14162" s="13"/>
      <c r="AL14162" s="13"/>
    </row>
    <row r="14163" spans="4:38" x14ac:dyDescent="0.3">
      <c r="D14163" s="1"/>
      <c r="G14163" s="13"/>
      <c r="AL14163" s="13"/>
    </row>
    <row r="14164" spans="4:38" x14ac:dyDescent="0.3">
      <c r="D14164" s="1"/>
      <c r="G14164" s="13"/>
      <c r="AL14164" s="13"/>
    </row>
    <row r="14165" spans="4:38" x14ac:dyDescent="0.3">
      <c r="D14165" s="1"/>
      <c r="G14165" s="13"/>
      <c r="AL14165" s="13"/>
    </row>
    <row r="14166" spans="4:38" x14ac:dyDescent="0.3">
      <c r="D14166" s="1"/>
      <c r="G14166" s="13"/>
      <c r="AL14166" s="13"/>
    </row>
    <row r="14167" spans="4:38" x14ac:dyDescent="0.3">
      <c r="D14167" s="1"/>
      <c r="G14167" s="13"/>
      <c r="AL14167" s="13"/>
    </row>
    <row r="14168" spans="4:38" x14ac:dyDescent="0.3">
      <c r="D14168" s="1"/>
      <c r="G14168" s="13"/>
      <c r="AL14168" s="13"/>
    </row>
    <row r="14169" spans="4:38" x14ac:dyDescent="0.3">
      <c r="D14169" s="1"/>
      <c r="G14169" s="13"/>
      <c r="AL14169" s="13"/>
    </row>
    <row r="14170" spans="4:38" x14ac:dyDescent="0.3">
      <c r="D14170" s="1"/>
      <c r="G14170" s="13"/>
      <c r="AL14170" s="13"/>
    </row>
    <row r="14171" spans="4:38" x14ac:dyDescent="0.3">
      <c r="D14171" s="1"/>
      <c r="G14171" s="13"/>
      <c r="AL14171" s="13"/>
    </row>
    <row r="14172" spans="4:38" x14ac:dyDescent="0.3">
      <c r="D14172" s="1"/>
      <c r="G14172" s="13"/>
      <c r="AL14172" s="13"/>
    </row>
    <row r="14173" spans="4:38" x14ac:dyDescent="0.3">
      <c r="D14173" s="1"/>
      <c r="G14173" s="13"/>
      <c r="AL14173" s="13"/>
    </row>
    <row r="14174" spans="4:38" x14ac:dyDescent="0.3">
      <c r="D14174" s="1"/>
      <c r="G14174" s="13"/>
      <c r="AL14174" s="13"/>
    </row>
    <row r="14175" spans="4:38" x14ac:dyDescent="0.3">
      <c r="D14175" s="1"/>
      <c r="G14175" s="13"/>
      <c r="AL14175" s="13"/>
    </row>
    <row r="14176" spans="4:38" x14ac:dyDescent="0.3">
      <c r="D14176" s="1"/>
      <c r="G14176" s="13"/>
      <c r="AL14176" s="13"/>
    </row>
    <row r="14177" spans="4:38" x14ac:dyDescent="0.3">
      <c r="D14177" s="1"/>
      <c r="G14177" s="13"/>
      <c r="AL14177" s="13"/>
    </row>
    <row r="14178" spans="4:38" x14ac:dyDescent="0.3">
      <c r="D14178" s="1"/>
      <c r="G14178" s="13"/>
      <c r="AL14178" s="13"/>
    </row>
    <row r="14179" spans="4:38" x14ac:dyDescent="0.3">
      <c r="D14179" s="1"/>
      <c r="G14179" s="13"/>
      <c r="AL14179" s="13"/>
    </row>
    <row r="14180" spans="4:38" x14ac:dyDescent="0.3">
      <c r="D14180" s="1"/>
      <c r="G14180" s="13"/>
      <c r="AL14180" s="13"/>
    </row>
    <row r="14181" spans="4:38" x14ac:dyDescent="0.3">
      <c r="D14181" s="1"/>
      <c r="G14181" s="13"/>
      <c r="AL14181" s="13"/>
    </row>
    <row r="14182" spans="4:38" x14ac:dyDescent="0.3">
      <c r="D14182" s="1"/>
      <c r="G14182" s="13"/>
      <c r="AL14182" s="13"/>
    </row>
    <row r="14183" spans="4:38" x14ac:dyDescent="0.3">
      <c r="D14183" s="1"/>
      <c r="G14183" s="13"/>
      <c r="AL14183" s="13"/>
    </row>
    <row r="14184" spans="4:38" x14ac:dyDescent="0.3">
      <c r="D14184" s="1"/>
      <c r="G14184" s="13"/>
      <c r="AL14184" s="13"/>
    </row>
    <row r="14185" spans="4:38" x14ac:dyDescent="0.3">
      <c r="D14185" s="1"/>
      <c r="G14185" s="13"/>
      <c r="AL14185" s="13"/>
    </row>
    <row r="14186" spans="4:38" x14ac:dyDescent="0.3">
      <c r="D14186" s="1"/>
      <c r="G14186" s="13"/>
      <c r="AL14186" s="13"/>
    </row>
    <row r="14187" spans="4:38" x14ac:dyDescent="0.3">
      <c r="D14187" s="1"/>
      <c r="G14187" s="13"/>
      <c r="AL14187" s="13"/>
    </row>
    <row r="14188" spans="4:38" x14ac:dyDescent="0.3">
      <c r="D14188" s="1"/>
      <c r="G14188" s="13"/>
      <c r="AL14188" s="13"/>
    </row>
    <row r="14189" spans="4:38" x14ac:dyDescent="0.3">
      <c r="D14189" s="1"/>
      <c r="G14189" s="13"/>
      <c r="AL14189" s="13"/>
    </row>
    <row r="14190" spans="4:38" x14ac:dyDescent="0.3">
      <c r="D14190" s="1"/>
      <c r="G14190" s="13"/>
      <c r="AL14190" s="13"/>
    </row>
    <row r="14191" spans="4:38" x14ac:dyDescent="0.3">
      <c r="D14191" s="1"/>
      <c r="G14191" s="13"/>
      <c r="AL14191" s="13"/>
    </row>
    <row r="14192" spans="4:38" x14ac:dyDescent="0.3">
      <c r="D14192" s="1"/>
      <c r="G14192" s="13"/>
      <c r="AL14192" s="13"/>
    </row>
    <row r="14193" spans="4:38" x14ac:dyDescent="0.3">
      <c r="D14193" s="1"/>
      <c r="G14193" s="13"/>
      <c r="AL14193" s="13"/>
    </row>
    <row r="14194" spans="4:38" x14ac:dyDescent="0.3">
      <c r="D14194" s="1"/>
      <c r="G14194" s="13"/>
      <c r="AL14194" s="13"/>
    </row>
    <row r="14195" spans="4:38" x14ac:dyDescent="0.3">
      <c r="D14195" s="1"/>
      <c r="G14195" s="13"/>
      <c r="AL14195" s="13"/>
    </row>
    <row r="14196" spans="4:38" x14ac:dyDescent="0.3">
      <c r="D14196" s="1"/>
      <c r="G14196" s="13"/>
      <c r="AL14196" s="13"/>
    </row>
    <row r="14197" spans="4:38" x14ac:dyDescent="0.3">
      <c r="D14197" s="1"/>
      <c r="G14197" s="13"/>
      <c r="AL14197" s="13"/>
    </row>
    <row r="14198" spans="4:38" x14ac:dyDescent="0.3">
      <c r="D14198" s="1"/>
      <c r="G14198" s="13"/>
      <c r="AL14198" s="13"/>
    </row>
    <row r="14199" spans="4:38" x14ac:dyDescent="0.3">
      <c r="D14199" s="1"/>
      <c r="G14199" s="13"/>
      <c r="AL14199" s="13"/>
    </row>
    <row r="14200" spans="4:38" x14ac:dyDescent="0.3">
      <c r="D14200" s="1"/>
      <c r="G14200" s="13"/>
      <c r="AL14200" s="13"/>
    </row>
    <row r="14201" spans="4:38" x14ac:dyDescent="0.3">
      <c r="D14201" s="1"/>
      <c r="G14201" s="13"/>
      <c r="AL14201" s="13"/>
    </row>
    <row r="14202" spans="4:38" x14ac:dyDescent="0.3">
      <c r="D14202" s="1"/>
      <c r="G14202" s="13"/>
      <c r="AL14202" s="13"/>
    </row>
    <row r="14203" spans="4:38" x14ac:dyDescent="0.3">
      <c r="D14203" s="1"/>
      <c r="G14203" s="13"/>
      <c r="AL14203" s="13"/>
    </row>
    <row r="14204" spans="4:38" x14ac:dyDescent="0.3">
      <c r="D14204" s="1"/>
      <c r="G14204" s="13"/>
      <c r="AL14204" s="13"/>
    </row>
    <row r="14205" spans="4:38" x14ac:dyDescent="0.3">
      <c r="D14205" s="1"/>
      <c r="G14205" s="13"/>
      <c r="AL14205" s="13"/>
    </row>
    <row r="14206" spans="4:38" x14ac:dyDescent="0.3">
      <c r="D14206" s="1"/>
      <c r="G14206" s="13"/>
      <c r="AL14206" s="13"/>
    </row>
    <row r="14207" spans="4:38" x14ac:dyDescent="0.3">
      <c r="D14207" s="1"/>
      <c r="G14207" s="13"/>
      <c r="AL14207" s="13"/>
    </row>
    <row r="14208" spans="4:38" x14ac:dyDescent="0.3">
      <c r="D14208" s="1"/>
      <c r="G14208" s="13"/>
      <c r="AL14208" s="13"/>
    </row>
    <row r="14209" spans="4:39" x14ac:dyDescent="0.3">
      <c r="D14209" s="1"/>
      <c r="G14209" s="13"/>
      <c r="AL14209" s="13"/>
    </row>
    <row r="14210" spans="4:39" x14ac:dyDescent="0.3">
      <c r="D14210" s="1"/>
      <c r="G14210" s="13"/>
      <c r="AL14210" s="13"/>
    </row>
    <row r="14211" spans="4:39" x14ac:dyDescent="0.3">
      <c r="D14211" s="1"/>
      <c r="G14211" s="13"/>
      <c r="AL14211" s="13"/>
    </row>
    <row r="14212" spans="4:39" x14ac:dyDescent="0.3">
      <c r="D14212" s="1"/>
      <c r="G14212" s="13"/>
      <c r="AL14212" s="13"/>
    </row>
    <row r="14213" spans="4:39" x14ac:dyDescent="0.3">
      <c r="D14213" s="1"/>
      <c r="G14213" s="13"/>
      <c r="AL14213" s="13"/>
      <c r="AM14213" s="14"/>
    </row>
    <row r="14214" spans="4:39" x14ac:dyDescent="0.3">
      <c r="D14214" s="1"/>
      <c r="G14214" s="13"/>
      <c r="AL14214" s="13"/>
    </row>
    <row r="14215" spans="4:39" x14ac:dyDescent="0.3">
      <c r="D14215" s="1"/>
      <c r="G14215" s="13"/>
      <c r="AL14215" s="13"/>
    </row>
    <row r="14216" spans="4:39" x14ac:dyDescent="0.3">
      <c r="D14216" s="1"/>
      <c r="G14216" s="13"/>
      <c r="AL14216" s="13"/>
    </row>
    <row r="14217" spans="4:39" x14ac:dyDescent="0.3">
      <c r="D14217" s="1"/>
      <c r="G14217" s="13"/>
      <c r="AL14217" s="13"/>
    </row>
    <row r="14218" spans="4:39" x14ac:dyDescent="0.3">
      <c r="D14218" s="1"/>
      <c r="G14218" s="13"/>
      <c r="AL14218" s="13"/>
    </row>
    <row r="14219" spans="4:39" x14ac:dyDescent="0.3">
      <c r="D14219" s="1"/>
      <c r="G14219" s="13"/>
      <c r="AL14219" s="13"/>
    </row>
    <row r="14220" spans="4:39" x14ac:dyDescent="0.3">
      <c r="D14220" s="1"/>
      <c r="G14220" s="13"/>
      <c r="AL14220" s="13"/>
    </row>
    <row r="14221" spans="4:39" x14ac:dyDescent="0.3">
      <c r="D14221" s="1"/>
      <c r="G14221" s="13"/>
      <c r="AL14221" s="13"/>
    </row>
    <row r="14222" spans="4:39" x14ac:dyDescent="0.3">
      <c r="D14222" s="1"/>
      <c r="G14222" s="13"/>
      <c r="AL14222" s="13"/>
    </row>
    <row r="14223" spans="4:39" x14ac:dyDescent="0.3">
      <c r="D14223" s="1"/>
      <c r="G14223" s="13"/>
      <c r="AL14223" s="13"/>
    </row>
    <row r="14224" spans="4:39" x14ac:dyDescent="0.3">
      <c r="D14224" s="1"/>
      <c r="G14224" s="13"/>
      <c r="AL14224" s="13"/>
    </row>
    <row r="14225" spans="4:39" x14ac:dyDescent="0.3">
      <c r="D14225" s="1"/>
      <c r="G14225" s="13"/>
      <c r="AL14225" s="13"/>
    </row>
    <row r="14226" spans="4:39" x14ac:dyDescent="0.3">
      <c r="D14226" s="1"/>
      <c r="G14226" s="13"/>
      <c r="AL14226" s="13"/>
    </row>
    <row r="14227" spans="4:39" x14ac:dyDescent="0.3">
      <c r="D14227" s="1"/>
      <c r="G14227" s="13"/>
      <c r="AL14227" s="13"/>
    </row>
    <row r="14228" spans="4:39" x14ac:dyDescent="0.3">
      <c r="D14228" s="1"/>
      <c r="G14228" s="13"/>
      <c r="AL14228" s="13"/>
    </row>
    <row r="14229" spans="4:39" x14ac:dyDescent="0.3">
      <c r="D14229" s="1"/>
      <c r="G14229" s="13"/>
      <c r="AL14229" s="13"/>
    </row>
    <row r="14230" spans="4:39" x14ac:dyDescent="0.3">
      <c r="D14230" s="1"/>
      <c r="G14230" s="13"/>
      <c r="AL14230" s="13"/>
    </row>
    <row r="14231" spans="4:39" x14ac:dyDescent="0.3">
      <c r="D14231" s="1"/>
      <c r="G14231" s="13"/>
      <c r="AL14231" s="13"/>
    </row>
    <row r="14232" spans="4:39" x14ac:dyDescent="0.3">
      <c r="D14232" s="1"/>
      <c r="G14232" s="13"/>
      <c r="AL14232" s="13"/>
    </row>
    <row r="14233" spans="4:39" x14ac:dyDescent="0.3">
      <c r="D14233" s="1"/>
      <c r="G14233" s="13"/>
      <c r="AL14233" s="13"/>
    </row>
    <row r="14234" spans="4:39" x14ac:dyDescent="0.3">
      <c r="D14234" s="1"/>
      <c r="G14234" s="13"/>
      <c r="AL14234" s="13"/>
    </row>
    <row r="14235" spans="4:39" x14ac:dyDescent="0.3">
      <c r="D14235" s="1"/>
      <c r="G14235" s="13"/>
      <c r="AL14235" s="13"/>
      <c r="AM14235" s="14"/>
    </row>
    <row r="14236" spans="4:39" x14ac:dyDescent="0.3">
      <c r="D14236" s="1"/>
      <c r="G14236" s="13"/>
      <c r="AL14236" s="13"/>
    </row>
    <row r="14237" spans="4:39" x14ac:dyDescent="0.3">
      <c r="D14237" s="1"/>
      <c r="G14237" s="13"/>
      <c r="AL14237" s="13"/>
    </row>
    <row r="14238" spans="4:39" x14ac:dyDescent="0.3">
      <c r="D14238" s="1"/>
      <c r="G14238" s="13"/>
      <c r="AL14238" s="13"/>
      <c r="AM14238" s="14"/>
    </row>
    <row r="14239" spans="4:39" x14ac:dyDescent="0.3">
      <c r="D14239" s="1"/>
      <c r="G14239" s="13"/>
      <c r="AL14239" s="13"/>
    </row>
    <row r="14240" spans="4:39" x14ac:dyDescent="0.3">
      <c r="D14240" s="1"/>
      <c r="G14240" s="13"/>
      <c r="AL14240" s="13"/>
      <c r="AM14240" s="14"/>
    </row>
    <row r="14241" spans="4:39" x14ac:dyDescent="0.3">
      <c r="D14241" s="1"/>
      <c r="G14241" s="13"/>
      <c r="AL14241" s="13"/>
    </row>
    <row r="14242" spans="4:39" x14ac:dyDescent="0.3">
      <c r="D14242" s="1"/>
      <c r="G14242" s="13"/>
      <c r="AL14242" s="13"/>
    </row>
    <row r="14243" spans="4:39" x14ac:dyDescent="0.3">
      <c r="D14243" s="1"/>
      <c r="G14243" s="13"/>
      <c r="AL14243" s="13"/>
    </row>
    <row r="14244" spans="4:39" x14ac:dyDescent="0.3">
      <c r="D14244" s="1"/>
      <c r="G14244" s="13"/>
      <c r="AL14244" s="13"/>
    </row>
    <row r="14245" spans="4:39" x14ac:dyDescent="0.3">
      <c r="D14245" s="1"/>
      <c r="G14245" s="13"/>
      <c r="AL14245" s="13"/>
    </row>
    <row r="14246" spans="4:39" x14ac:dyDescent="0.3">
      <c r="D14246" s="1"/>
      <c r="G14246" s="13"/>
      <c r="AL14246" s="13"/>
    </row>
    <row r="14247" spans="4:39" x14ac:dyDescent="0.3">
      <c r="D14247" s="1"/>
      <c r="G14247" s="13"/>
      <c r="AL14247" s="13"/>
      <c r="AM14247" s="14"/>
    </row>
    <row r="14248" spans="4:39" x14ac:dyDescent="0.3">
      <c r="D14248" s="1"/>
      <c r="G14248" s="13"/>
      <c r="AL14248" s="13"/>
    </row>
    <row r="14249" spans="4:39" x14ac:dyDescent="0.3">
      <c r="D14249" s="1"/>
      <c r="G14249" s="13"/>
      <c r="AL14249" s="13"/>
    </row>
    <row r="14250" spans="4:39" x14ac:dyDescent="0.3">
      <c r="D14250" s="1"/>
      <c r="G14250" s="13"/>
      <c r="AL14250" s="13"/>
    </row>
    <row r="14251" spans="4:39" x14ac:dyDescent="0.3">
      <c r="D14251" s="1"/>
      <c r="G14251" s="13"/>
      <c r="AL14251" s="13"/>
    </row>
    <row r="14252" spans="4:39" x14ac:dyDescent="0.3">
      <c r="D14252" s="1"/>
      <c r="G14252" s="13"/>
      <c r="AL14252" s="13"/>
    </row>
    <row r="14253" spans="4:39" x14ac:dyDescent="0.3">
      <c r="D14253" s="1"/>
      <c r="G14253" s="13"/>
      <c r="AL14253" s="13"/>
    </row>
    <row r="14254" spans="4:39" x14ac:dyDescent="0.3">
      <c r="D14254" s="1"/>
      <c r="G14254" s="13"/>
      <c r="AL14254" s="13"/>
    </row>
    <row r="14255" spans="4:39" x14ac:dyDescent="0.3">
      <c r="D14255" s="1"/>
      <c r="G14255" s="13"/>
      <c r="AL14255" s="13"/>
      <c r="AM14255" s="14"/>
    </row>
    <row r="14256" spans="4:39" x14ac:dyDescent="0.3">
      <c r="D14256" s="1"/>
      <c r="G14256" s="13"/>
      <c r="AL14256" s="13"/>
    </row>
    <row r="14257" spans="4:39" x14ac:dyDescent="0.3">
      <c r="D14257" s="1"/>
      <c r="G14257" s="13"/>
      <c r="AL14257" s="13"/>
      <c r="AM14257" s="14"/>
    </row>
    <row r="14258" spans="4:39" x14ac:dyDescent="0.3">
      <c r="D14258" s="1"/>
      <c r="G14258" s="13"/>
      <c r="AL14258" s="13"/>
    </row>
    <row r="14259" spans="4:39" x14ac:dyDescent="0.3">
      <c r="D14259" s="1"/>
      <c r="G14259" s="13"/>
      <c r="AL14259" s="13"/>
      <c r="AM14259" s="14"/>
    </row>
    <row r="14260" spans="4:39" x14ac:dyDescent="0.3">
      <c r="D14260" s="1"/>
      <c r="G14260" s="13"/>
      <c r="AL14260" s="13"/>
    </row>
    <row r="14261" spans="4:39" x14ac:dyDescent="0.3">
      <c r="D14261" s="1"/>
      <c r="G14261" s="13"/>
      <c r="AL14261" s="13"/>
      <c r="AM14261" s="14"/>
    </row>
    <row r="14262" spans="4:39" x14ac:dyDescent="0.3">
      <c r="D14262" s="1"/>
      <c r="G14262" s="13"/>
      <c r="AL14262" s="13"/>
    </row>
    <row r="14263" spans="4:39" x14ac:dyDescent="0.3">
      <c r="D14263" s="1"/>
      <c r="G14263" s="13"/>
      <c r="AL14263" s="13"/>
    </row>
    <row r="14264" spans="4:39" x14ac:dyDescent="0.3">
      <c r="D14264" s="1"/>
      <c r="G14264" s="13"/>
      <c r="AL14264" s="13"/>
      <c r="AM14264" s="14"/>
    </row>
    <row r="14265" spans="4:39" x14ac:dyDescent="0.3">
      <c r="D14265" s="1"/>
      <c r="G14265" s="13"/>
      <c r="AL14265" s="13"/>
    </row>
    <row r="14266" spans="4:39" x14ac:dyDescent="0.3">
      <c r="D14266" s="1"/>
      <c r="G14266" s="13"/>
      <c r="AL14266" s="13"/>
      <c r="AM14266" s="14"/>
    </row>
    <row r="14267" spans="4:39" x14ac:dyDescent="0.3">
      <c r="D14267" s="1"/>
      <c r="G14267" s="13"/>
      <c r="AL14267" s="13"/>
    </row>
    <row r="14268" spans="4:39" x14ac:dyDescent="0.3">
      <c r="D14268" s="1"/>
      <c r="G14268" s="13"/>
      <c r="AL14268" s="13"/>
      <c r="AM14268" s="14"/>
    </row>
    <row r="14269" spans="4:39" x14ac:dyDescent="0.3">
      <c r="D14269" s="1"/>
      <c r="G14269" s="13"/>
      <c r="AL14269" s="13"/>
    </row>
    <row r="14270" spans="4:39" x14ac:dyDescent="0.3">
      <c r="D14270" s="1"/>
      <c r="G14270" s="13"/>
      <c r="AL14270" s="13"/>
      <c r="AM14270" s="14"/>
    </row>
    <row r="14271" spans="4:39" x14ac:dyDescent="0.3">
      <c r="D14271" s="1"/>
      <c r="G14271" s="13"/>
      <c r="AL14271" s="13"/>
    </row>
    <row r="14272" spans="4:39" x14ac:dyDescent="0.3">
      <c r="D14272" s="1"/>
      <c r="G14272" s="13"/>
      <c r="AL14272" s="13"/>
      <c r="AM14272" s="14"/>
    </row>
    <row r="14273" spans="4:39" x14ac:dyDescent="0.3">
      <c r="D14273" s="1"/>
      <c r="G14273" s="13"/>
      <c r="AL14273" s="13"/>
    </row>
    <row r="14274" spans="4:39" x14ac:dyDescent="0.3">
      <c r="D14274" s="1"/>
      <c r="G14274" s="13"/>
      <c r="AL14274" s="13"/>
    </row>
    <row r="14275" spans="4:39" x14ac:dyDescent="0.3">
      <c r="D14275" s="1"/>
      <c r="G14275" s="13"/>
      <c r="AL14275" s="13"/>
      <c r="AM14275" s="14"/>
    </row>
    <row r="14276" spans="4:39" x14ac:dyDescent="0.3">
      <c r="D14276" s="1"/>
      <c r="G14276" s="13"/>
      <c r="AL14276" s="13"/>
    </row>
    <row r="14277" spans="4:39" x14ac:dyDescent="0.3">
      <c r="D14277" s="1"/>
      <c r="G14277" s="13"/>
      <c r="AL14277" s="13"/>
    </row>
    <row r="14278" spans="4:39" x14ac:dyDescent="0.3">
      <c r="D14278" s="1"/>
      <c r="G14278" s="13"/>
      <c r="AL14278" s="13"/>
      <c r="AM14278" s="14"/>
    </row>
    <row r="14279" spans="4:39" x14ac:dyDescent="0.3">
      <c r="D14279" s="1"/>
      <c r="G14279" s="13"/>
      <c r="AL14279" s="13"/>
    </row>
    <row r="14280" spans="4:39" x14ac:dyDescent="0.3">
      <c r="D14280" s="1"/>
      <c r="G14280" s="13"/>
      <c r="AL14280" s="13"/>
      <c r="AM14280" s="14"/>
    </row>
    <row r="14281" spans="4:39" x14ac:dyDescent="0.3">
      <c r="D14281" s="1"/>
      <c r="G14281" s="13"/>
      <c r="AL14281" s="13"/>
      <c r="AM14281" s="14"/>
    </row>
    <row r="14282" spans="4:39" x14ac:dyDescent="0.3">
      <c r="D14282" s="1"/>
      <c r="G14282" s="13"/>
      <c r="AL14282" s="13"/>
    </row>
    <row r="14283" spans="4:39" x14ac:dyDescent="0.3">
      <c r="D14283" s="1"/>
      <c r="G14283" s="13"/>
      <c r="AL14283" s="13"/>
    </row>
    <row r="14284" spans="4:39" x14ac:dyDescent="0.3">
      <c r="D14284" s="1"/>
      <c r="G14284" s="13"/>
      <c r="AL14284" s="13"/>
    </row>
    <row r="14285" spans="4:39" x14ac:dyDescent="0.3">
      <c r="D14285" s="1"/>
      <c r="G14285" s="13"/>
      <c r="AL14285" s="13"/>
    </row>
    <row r="14286" spans="4:39" x14ac:dyDescent="0.3">
      <c r="D14286" s="1"/>
      <c r="G14286" s="13"/>
      <c r="AL14286" s="13"/>
    </row>
    <row r="14287" spans="4:39" x14ac:dyDescent="0.3">
      <c r="D14287" s="1"/>
      <c r="G14287" s="13"/>
      <c r="AL14287" s="13"/>
    </row>
    <row r="14288" spans="4:39" x14ac:dyDescent="0.3">
      <c r="D14288" s="1"/>
      <c r="G14288" s="13"/>
      <c r="AL14288" s="13"/>
    </row>
    <row r="14289" spans="4:39" x14ac:dyDescent="0.3">
      <c r="D14289" s="1"/>
      <c r="G14289" s="13"/>
      <c r="AL14289" s="13"/>
    </row>
    <row r="14290" spans="4:39" x14ac:dyDescent="0.3">
      <c r="D14290" s="1"/>
      <c r="G14290" s="13"/>
      <c r="AL14290" s="13"/>
    </row>
    <row r="14291" spans="4:39" x14ac:dyDescent="0.3">
      <c r="D14291" s="1"/>
      <c r="G14291" s="13"/>
      <c r="AL14291" s="13"/>
    </row>
    <row r="14292" spans="4:39" x14ac:dyDescent="0.3">
      <c r="D14292" s="1"/>
      <c r="G14292" s="13"/>
      <c r="AL14292" s="13"/>
    </row>
    <row r="14293" spans="4:39" x14ac:dyDescent="0.3">
      <c r="D14293" s="1"/>
      <c r="G14293" s="13"/>
      <c r="AL14293" s="13"/>
    </row>
    <row r="14294" spans="4:39" x14ac:dyDescent="0.3">
      <c r="D14294" s="1"/>
      <c r="G14294" s="13"/>
      <c r="AL14294" s="13"/>
    </row>
    <row r="14295" spans="4:39" x14ac:dyDescent="0.3">
      <c r="D14295" s="1"/>
      <c r="G14295" s="13"/>
      <c r="AL14295" s="13"/>
    </row>
    <row r="14296" spans="4:39" x14ac:dyDescent="0.3">
      <c r="D14296" s="1"/>
      <c r="G14296" s="13"/>
      <c r="AL14296" s="13"/>
    </row>
    <row r="14297" spans="4:39" x14ac:dyDescent="0.3">
      <c r="D14297" s="1"/>
      <c r="G14297" s="13"/>
      <c r="AL14297" s="13"/>
      <c r="AM14297" s="14"/>
    </row>
    <row r="14298" spans="4:39" x14ac:dyDescent="0.3">
      <c r="D14298" s="1"/>
      <c r="G14298" s="13"/>
      <c r="AL14298" s="13"/>
      <c r="AM14298" s="14"/>
    </row>
    <row r="14299" spans="4:39" x14ac:dyDescent="0.3">
      <c r="D14299" s="1"/>
      <c r="G14299" s="13"/>
      <c r="AL14299" s="13"/>
    </row>
    <row r="14300" spans="4:39" x14ac:dyDescent="0.3">
      <c r="D14300" s="1"/>
      <c r="G14300" s="13"/>
      <c r="AL14300" s="13"/>
    </row>
    <row r="14301" spans="4:39" x14ac:dyDescent="0.3">
      <c r="D14301" s="1"/>
      <c r="G14301" s="13"/>
      <c r="AL14301" s="13"/>
      <c r="AM14301" s="14"/>
    </row>
    <row r="14302" spans="4:39" x14ac:dyDescent="0.3">
      <c r="D14302" s="1"/>
      <c r="G14302" s="13"/>
      <c r="AL14302" s="13"/>
    </row>
    <row r="14303" spans="4:39" x14ac:dyDescent="0.3">
      <c r="D14303" s="1"/>
      <c r="G14303" s="13"/>
      <c r="AL14303" s="13"/>
      <c r="AM14303" s="14"/>
    </row>
    <row r="14304" spans="4:39" x14ac:dyDescent="0.3">
      <c r="D14304" s="1"/>
      <c r="G14304" s="13"/>
      <c r="AL14304" s="13"/>
    </row>
    <row r="14305" spans="4:39" x14ac:dyDescent="0.3">
      <c r="D14305" s="1"/>
      <c r="G14305" s="13"/>
      <c r="AL14305" s="13"/>
    </row>
    <row r="14306" spans="4:39" x14ac:dyDescent="0.3">
      <c r="D14306" s="1"/>
      <c r="G14306" s="13"/>
      <c r="AL14306" s="13"/>
    </row>
    <row r="14307" spans="4:39" x14ac:dyDescent="0.3">
      <c r="D14307" s="1"/>
      <c r="G14307" s="13"/>
      <c r="AL14307" s="13"/>
    </row>
    <row r="14308" spans="4:39" x14ac:dyDescent="0.3">
      <c r="D14308" s="1"/>
      <c r="G14308" s="13"/>
      <c r="AL14308" s="13"/>
      <c r="AM14308" s="14"/>
    </row>
    <row r="14309" spans="4:39" x14ac:dyDescent="0.3">
      <c r="D14309" s="1"/>
      <c r="G14309" s="13"/>
      <c r="AL14309" s="13"/>
    </row>
    <row r="14310" spans="4:39" x14ac:dyDescent="0.3">
      <c r="D14310" s="1"/>
      <c r="G14310" s="13"/>
      <c r="AL14310" s="13"/>
      <c r="AM14310" s="14"/>
    </row>
    <row r="14311" spans="4:39" x14ac:dyDescent="0.3">
      <c r="D14311" s="1"/>
      <c r="G14311" s="13"/>
      <c r="AL14311" s="13"/>
    </row>
    <row r="14312" spans="4:39" x14ac:dyDescent="0.3">
      <c r="D14312" s="1"/>
      <c r="G14312" s="13"/>
      <c r="AL14312" s="13"/>
    </row>
    <row r="14313" spans="4:39" x14ac:dyDescent="0.3">
      <c r="D14313" s="1"/>
      <c r="G14313" s="13"/>
      <c r="AL14313" s="13"/>
    </row>
    <row r="14314" spans="4:39" x14ac:dyDescent="0.3">
      <c r="D14314" s="1"/>
      <c r="G14314" s="13"/>
      <c r="AL14314" s="13"/>
    </row>
    <row r="14315" spans="4:39" x14ac:dyDescent="0.3">
      <c r="D14315" s="1"/>
      <c r="G14315" s="13"/>
      <c r="AL14315" s="13"/>
    </row>
    <row r="14316" spans="4:39" x14ac:dyDescent="0.3">
      <c r="D14316" s="1"/>
      <c r="G14316" s="13"/>
      <c r="AL14316" s="13"/>
    </row>
    <row r="14317" spans="4:39" x14ac:dyDescent="0.3">
      <c r="D14317" s="1"/>
      <c r="G14317" s="13"/>
      <c r="AL14317" s="13"/>
    </row>
    <row r="14318" spans="4:39" x14ac:dyDescent="0.3">
      <c r="D14318" s="1"/>
      <c r="G14318" s="13"/>
      <c r="AL14318" s="13"/>
    </row>
    <row r="14319" spans="4:39" x14ac:dyDescent="0.3">
      <c r="D14319" s="1"/>
      <c r="G14319" s="13"/>
      <c r="AL14319" s="13"/>
    </row>
    <row r="14320" spans="4:39" x14ac:dyDescent="0.3">
      <c r="D14320" s="1"/>
      <c r="G14320" s="13"/>
      <c r="AL14320" s="13"/>
    </row>
    <row r="14321" spans="4:39" x14ac:dyDescent="0.3">
      <c r="D14321" s="1"/>
      <c r="G14321" s="13"/>
      <c r="AL14321" s="13"/>
      <c r="AM14321" s="14"/>
    </row>
    <row r="14322" spans="4:39" x14ac:dyDescent="0.3">
      <c r="D14322" s="1"/>
      <c r="G14322" s="13"/>
      <c r="AL14322" s="13"/>
    </row>
    <row r="14323" spans="4:39" x14ac:dyDescent="0.3">
      <c r="D14323" s="1"/>
      <c r="G14323" s="13"/>
      <c r="AL14323" s="13"/>
    </row>
    <row r="14324" spans="4:39" x14ac:dyDescent="0.3">
      <c r="D14324" s="1"/>
      <c r="G14324" s="13"/>
      <c r="AL14324" s="13"/>
      <c r="AM14324" s="14"/>
    </row>
    <row r="14325" spans="4:39" x14ac:dyDescent="0.3">
      <c r="D14325" s="1"/>
      <c r="G14325" s="13"/>
      <c r="AL14325" s="13"/>
      <c r="AM14325" s="14"/>
    </row>
    <row r="14326" spans="4:39" x14ac:dyDescent="0.3">
      <c r="D14326" s="1"/>
      <c r="G14326" s="13"/>
      <c r="AL14326" s="13"/>
      <c r="AM14326" s="14"/>
    </row>
    <row r="14327" spans="4:39" x14ac:dyDescent="0.3">
      <c r="D14327" s="1"/>
      <c r="G14327" s="13"/>
      <c r="AL14327" s="13"/>
    </row>
    <row r="14328" spans="4:39" x14ac:dyDescent="0.3">
      <c r="D14328" s="1"/>
      <c r="G14328" s="13"/>
      <c r="AL14328" s="13"/>
      <c r="AM14328" s="14"/>
    </row>
    <row r="14329" spans="4:39" x14ac:dyDescent="0.3">
      <c r="D14329" s="1"/>
      <c r="G14329" s="13"/>
      <c r="AL14329" s="13"/>
      <c r="AM14329" s="14"/>
    </row>
    <row r="14330" spans="4:39" x14ac:dyDescent="0.3">
      <c r="D14330" s="1"/>
      <c r="G14330" s="13"/>
      <c r="AL14330" s="13"/>
      <c r="AM14330" s="14"/>
    </row>
    <row r="14331" spans="4:39" x14ac:dyDescent="0.3">
      <c r="D14331" s="1"/>
      <c r="G14331" s="13"/>
      <c r="AL14331" s="13"/>
    </row>
    <row r="14332" spans="4:39" x14ac:dyDescent="0.3">
      <c r="D14332" s="1"/>
      <c r="G14332" s="13"/>
      <c r="AL14332" s="13"/>
    </row>
    <row r="14333" spans="4:39" x14ac:dyDescent="0.3">
      <c r="D14333" s="1"/>
      <c r="G14333" s="13"/>
      <c r="AL14333" s="13"/>
      <c r="AM14333" s="14"/>
    </row>
    <row r="14334" spans="4:39" x14ac:dyDescent="0.3">
      <c r="D14334" s="1"/>
      <c r="G14334" s="13"/>
      <c r="AL14334" s="13"/>
    </row>
    <row r="14335" spans="4:39" x14ac:dyDescent="0.3">
      <c r="D14335" s="1"/>
      <c r="G14335" s="13"/>
      <c r="AL14335" s="13"/>
    </row>
    <row r="14336" spans="4:39" x14ac:dyDescent="0.3">
      <c r="D14336" s="1"/>
      <c r="G14336" s="13"/>
      <c r="AL14336" s="13"/>
      <c r="AM14336" s="14"/>
    </row>
    <row r="14337" spans="4:39" x14ac:dyDescent="0.3">
      <c r="D14337" s="1"/>
      <c r="G14337" s="13"/>
      <c r="AL14337" s="13"/>
      <c r="AM14337" s="14"/>
    </row>
    <row r="14338" spans="4:39" x14ac:dyDescent="0.3">
      <c r="D14338" s="1"/>
      <c r="G14338" s="13"/>
      <c r="AL14338" s="13"/>
      <c r="AM14338" s="14"/>
    </row>
    <row r="14339" spans="4:39" x14ac:dyDescent="0.3">
      <c r="D14339" s="1"/>
      <c r="G14339" s="13"/>
      <c r="AL14339" s="13"/>
    </row>
    <row r="14340" spans="4:39" x14ac:dyDescent="0.3">
      <c r="D14340" s="1"/>
      <c r="G14340" s="13"/>
      <c r="AL14340" s="13"/>
      <c r="AM14340" s="14"/>
    </row>
    <row r="14341" spans="4:39" x14ac:dyDescent="0.3">
      <c r="D14341" s="1"/>
      <c r="G14341" s="13"/>
      <c r="AL14341" s="13"/>
      <c r="AM14341" s="14"/>
    </row>
    <row r="14342" spans="4:39" x14ac:dyDescent="0.3">
      <c r="D14342" s="1"/>
      <c r="G14342" s="13"/>
      <c r="AL14342" s="13"/>
      <c r="AM14342" s="14"/>
    </row>
    <row r="14343" spans="4:39" x14ac:dyDescent="0.3">
      <c r="D14343" s="1"/>
      <c r="G14343" s="13"/>
      <c r="AL14343" s="13"/>
      <c r="AM14343" s="14"/>
    </row>
    <row r="14344" spans="4:39" x14ac:dyDescent="0.3">
      <c r="D14344" s="1"/>
      <c r="G14344" s="13"/>
      <c r="AL14344" s="13"/>
      <c r="AM14344" s="14"/>
    </row>
    <row r="14345" spans="4:39" x14ac:dyDescent="0.3">
      <c r="D14345" s="1"/>
      <c r="G14345" s="13"/>
      <c r="AL14345" s="13"/>
    </row>
    <row r="14346" spans="4:39" x14ac:dyDescent="0.3">
      <c r="D14346" s="1"/>
      <c r="G14346" s="13"/>
      <c r="AL14346" s="13"/>
      <c r="AM14346" s="14"/>
    </row>
    <row r="14347" spans="4:39" x14ac:dyDescent="0.3">
      <c r="D14347" s="1"/>
      <c r="G14347" s="13"/>
      <c r="AL14347" s="13"/>
      <c r="AM14347" s="14"/>
    </row>
    <row r="14348" spans="4:39" x14ac:dyDescent="0.3">
      <c r="D14348" s="1"/>
      <c r="G14348" s="13"/>
      <c r="AL14348" s="13"/>
      <c r="AM14348" s="14"/>
    </row>
    <row r="14349" spans="4:39" x14ac:dyDescent="0.3">
      <c r="D14349" s="1"/>
      <c r="G14349" s="13"/>
      <c r="AL14349" s="13"/>
      <c r="AM14349" s="14"/>
    </row>
    <row r="14350" spans="4:39" x14ac:dyDescent="0.3">
      <c r="D14350" s="1"/>
      <c r="G14350" s="13"/>
      <c r="AL14350" s="13"/>
      <c r="AM14350" s="14"/>
    </row>
    <row r="14351" spans="4:39" x14ac:dyDescent="0.3">
      <c r="D14351" s="1"/>
      <c r="G14351" s="13"/>
      <c r="AL14351" s="13"/>
      <c r="AM14351" s="14"/>
    </row>
    <row r="14352" spans="4:39" x14ac:dyDescent="0.3">
      <c r="D14352" s="1"/>
      <c r="G14352" s="13"/>
      <c r="AL14352" s="13"/>
      <c r="AM14352" s="14"/>
    </row>
    <row r="14353" spans="4:39" x14ac:dyDescent="0.3">
      <c r="D14353" s="1"/>
      <c r="G14353" s="13"/>
      <c r="AL14353" s="13"/>
    </row>
    <row r="14354" spans="4:39" x14ac:dyDescent="0.3">
      <c r="D14354" s="1"/>
      <c r="G14354" s="13"/>
      <c r="AL14354" s="13"/>
    </row>
    <row r="14355" spans="4:39" x14ac:dyDescent="0.3">
      <c r="D14355" s="1"/>
      <c r="G14355" s="13"/>
      <c r="AL14355" s="13"/>
    </row>
    <row r="14356" spans="4:39" x14ac:dyDescent="0.3">
      <c r="D14356" s="1"/>
      <c r="G14356" s="13"/>
      <c r="AL14356" s="13"/>
    </row>
    <row r="14357" spans="4:39" x14ac:dyDescent="0.3">
      <c r="D14357" s="1"/>
      <c r="G14357" s="13"/>
      <c r="AL14357" s="13"/>
    </row>
    <row r="14358" spans="4:39" x14ac:dyDescent="0.3">
      <c r="D14358" s="1"/>
      <c r="G14358" s="13"/>
      <c r="AL14358" s="13"/>
    </row>
    <row r="14359" spans="4:39" x14ac:dyDescent="0.3">
      <c r="D14359" s="1"/>
      <c r="G14359" s="13"/>
      <c r="AL14359" s="13"/>
    </row>
    <row r="14360" spans="4:39" x14ac:dyDescent="0.3">
      <c r="D14360" s="1"/>
      <c r="G14360" s="13"/>
      <c r="AL14360" s="13"/>
    </row>
    <row r="14361" spans="4:39" x14ac:dyDescent="0.3">
      <c r="D14361" s="1"/>
      <c r="G14361" s="13"/>
      <c r="AL14361" s="13"/>
    </row>
    <row r="14362" spans="4:39" x14ac:dyDescent="0.3">
      <c r="D14362" s="1"/>
      <c r="G14362" s="13"/>
      <c r="AL14362" s="13"/>
      <c r="AM14362" s="14"/>
    </row>
    <row r="14363" spans="4:39" x14ac:dyDescent="0.3">
      <c r="D14363" s="1"/>
      <c r="G14363" s="13"/>
      <c r="AL14363" s="13"/>
    </row>
    <row r="14364" spans="4:39" x14ac:dyDescent="0.3">
      <c r="D14364" s="1"/>
      <c r="G14364" s="13"/>
      <c r="AL14364" s="13"/>
    </row>
    <row r="14365" spans="4:39" x14ac:dyDescent="0.3">
      <c r="D14365" s="1"/>
      <c r="G14365" s="13"/>
      <c r="AL14365" s="13"/>
      <c r="AM14365" s="14"/>
    </row>
    <row r="14366" spans="4:39" x14ac:dyDescent="0.3">
      <c r="D14366" s="1"/>
      <c r="G14366" s="13"/>
      <c r="AL14366" s="13"/>
      <c r="AM14366" s="14"/>
    </row>
    <row r="14367" spans="4:39" x14ac:dyDescent="0.3">
      <c r="D14367" s="1"/>
      <c r="G14367" s="13"/>
      <c r="AL14367" s="13"/>
    </row>
    <row r="14368" spans="4:39" x14ac:dyDescent="0.3">
      <c r="D14368" s="1"/>
      <c r="G14368" s="13"/>
      <c r="AL14368" s="13"/>
      <c r="AM14368" s="14"/>
    </row>
    <row r="14369" spans="4:39" x14ac:dyDescent="0.3">
      <c r="D14369" s="1"/>
      <c r="G14369" s="13"/>
      <c r="AL14369" s="13"/>
      <c r="AM14369" s="14"/>
    </row>
    <row r="14370" spans="4:39" x14ac:dyDescent="0.3">
      <c r="D14370" s="1"/>
      <c r="G14370" s="13"/>
      <c r="AL14370" s="13"/>
      <c r="AM14370" s="14"/>
    </row>
    <row r="14371" spans="4:39" x14ac:dyDescent="0.3">
      <c r="D14371" s="1"/>
      <c r="G14371" s="13"/>
      <c r="AL14371" s="13"/>
      <c r="AM14371" s="14"/>
    </row>
    <row r="14372" spans="4:39" x14ac:dyDescent="0.3">
      <c r="D14372" s="1"/>
      <c r="G14372" s="13"/>
      <c r="AL14372" s="13"/>
      <c r="AM14372" s="14"/>
    </row>
    <row r="14373" spans="4:39" x14ac:dyDescent="0.3">
      <c r="D14373" s="1"/>
      <c r="G14373" s="13"/>
      <c r="AL14373" s="13"/>
      <c r="AM14373" s="14"/>
    </row>
    <row r="14374" spans="4:39" x14ac:dyDescent="0.3">
      <c r="D14374" s="1"/>
      <c r="G14374" s="13"/>
      <c r="AL14374" s="13"/>
    </row>
    <row r="14375" spans="4:39" x14ac:dyDescent="0.3">
      <c r="D14375" s="1"/>
      <c r="G14375" s="13"/>
      <c r="AL14375" s="13"/>
    </row>
    <row r="14376" spans="4:39" x14ac:dyDescent="0.3">
      <c r="D14376" s="1"/>
      <c r="G14376" s="13"/>
      <c r="AL14376" s="13"/>
    </row>
    <row r="14377" spans="4:39" x14ac:dyDescent="0.3">
      <c r="D14377" s="1"/>
      <c r="G14377" s="13"/>
      <c r="AL14377" s="13"/>
    </row>
    <row r="14378" spans="4:39" x14ac:dyDescent="0.3">
      <c r="D14378" s="1"/>
      <c r="G14378" s="13"/>
      <c r="AL14378" s="13"/>
    </row>
    <row r="14379" spans="4:39" x14ac:dyDescent="0.3">
      <c r="D14379" s="1"/>
      <c r="G14379" s="13"/>
      <c r="AL14379" s="13"/>
    </row>
    <row r="14380" spans="4:39" x14ac:dyDescent="0.3">
      <c r="D14380" s="1"/>
      <c r="G14380" s="13"/>
      <c r="AL14380" s="13"/>
    </row>
    <row r="14381" spans="4:39" x14ac:dyDescent="0.3">
      <c r="D14381" s="1"/>
      <c r="G14381" s="13"/>
      <c r="AL14381" s="13"/>
    </row>
    <row r="14382" spans="4:39" x14ac:dyDescent="0.3">
      <c r="D14382" s="1"/>
      <c r="G14382" s="13"/>
      <c r="AL14382" s="13"/>
    </row>
    <row r="14383" spans="4:39" x14ac:dyDescent="0.3">
      <c r="D14383" s="1"/>
      <c r="G14383" s="13"/>
      <c r="AL14383" s="13"/>
    </row>
    <row r="14384" spans="4:39" x14ac:dyDescent="0.3">
      <c r="D14384" s="1"/>
      <c r="G14384" s="13"/>
      <c r="AL14384" s="13"/>
    </row>
    <row r="14385" spans="4:38" x14ac:dyDescent="0.3">
      <c r="D14385" s="1"/>
      <c r="G14385" s="13"/>
      <c r="AL14385" s="13"/>
    </row>
    <row r="14386" spans="4:38" x14ac:dyDescent="0.3">
      <c r="D14386" s="1"/>
      <c r="G14386" s="13"/>
      <c r="AL14386" s="13"/>
    </row>
    <row r="14387" spans="4:38" x14ac:dyDescent="0.3">
      <c r="D14387" s="1"/>
      <c r="G14387" s="13"/>
      <c r="AL14387" s="13"/>
    </row>
    <row r="14388" spans="4:38" x14ac:dyDescent="0.3">
      <c r="D14388" s="1"/>
      <c r="G14388" s="13"/>
      <c r="AL14388" s="13"/>
    </row>
    <row r="14389" spans="4:38" x14ac:dyDescent="0.3">
      <c r="D14389" s="1"/>
      <c r="G14389" s="13"/>
      <c r="AL14389" s="13"/>
    </row>
    <row r="14390" spans="4:38" x14ac:dyDescent="0.3">
      <c r="D14390" s="1"/>
      <c r="G14390" s="13"/>
      <c r="AL14390" s="13"/>
    </row>
    <row r="14391" spans="4:38" x14ac:dyDescent="0.3">
      <c r="D14391" s="1"/>
      <c r="G14391" s="13"/>
      <c r="AL14391" s="13"/>
    </row>
    <row r="14392" spans="4:38" x14ac:dyDescent="0.3">
      <c r="D14392" s="1"/>
      <c r="G14392" s="13"/>
      <c r="AL14392" s="13"/>
    </row>
    <row r="14393" spans="4:38" x14ac:dyDescent="0.3">
      <c r="D14393" s="1"/>
      <c r="G14393" s="13"/>
      <c r="AL14393" s="13"/>
    </row>
    <row r="14394" spans="4:38" x14ac:dyDescent="0.3">
      <c r="D14394" s="1"/>
      <c r="G14394" s="13"/>
      <c r="AL14394" s="13"/>
    </row>
    <row r="14395" spans="4:38" x14ac:dyDescent="0.3">
      <c r="D14395" s="1"/>
      <c r="G14395" s="13"/>
      <c r="AL14395" s="13"/>
    </row>
    <row r="14396" spans="4:38" x14ac:dyDescent="0.3">
      <c r="D14396" s="1"/>
      <c r="G14396" s="13"/>
      <c r="AL14396" s="13"/>
    </row>
    <row r="14397" spans="4:38" x14ac:dyDescent="0.3">
      <c r="D14397" s="1"/>
      <c r="G14397" s="13"/>
      <c r="AL14397" s="13"/>
    </row>
    <row r="14398" spans="4:38" x14ac:dyDescent="0.3">
      <c r="D14398" s="1"/>
      <c r="G14398" s="13"/>
      <c r="AL14398" s="13"/>
    </row>
    <row r="14399" spans="4:38" x14ac:dyDescent="0.3">
      <c r="D14399" s="1"/>
      <c r="G14399" s="13"/>
      <c r="AL14399" s="13"/>
    </row>
    <row r="14400" spans="4:38" x14ac:dyDescent="0.3">
      <c r="D14400" s="1"/>
      <c r="G14400" s="13"/>
      <c r="AL14400" s="13"/>
    </row>
    <row r="14401" spans="4:39" x14ac:dyDescent="0.3">
      <c r="D14401" s="1"/>
      <c r="G14401" s="13"/>
      <c r="AL14401" s="13"/>
    </row>
    <row r="14402" spans="4:39" x14ac:dyDescent="0.3">
      <c r="D14402" s="1"/>
      <c r="G14402" s="13"/>
      <c r="AL14402" s="13"/>
    </row>
    <row r="14403" spans="4:39" x14ac:dyDescent="0.3">
      <c r="D14403" s="1"/>
      <c r="G14403" s="13"/>
      <c r="AL14403" s="13"/>
    </row>
    <row r="14404" spans="4:39" x14ac:dyDescent="0.3">
      <c r="D14404" s="1"/>
      <c r="G14404" s="13"/>
      <c r="AL14404" s="13"/>
      <c r="AM14404" s="14"/>
    </row>
    <row r="14405" spans="4:39" x14ac:dyDescent="0.3">
      <c r="D14405" s="1"/>
      <c r="G14405" s="13"/>
      <c r="AL14405" s="13"/>
    </row>
    <row r="14406" spans="4:39" x14ac:dyDescent="0.3">
      <c r="D14406" s="1"/>
      <c r="G14406" s="13"/>
      <c r="AL14406" s="13"/>
    </row>
    <row r="14407" spans="4:39" x14ac:dyDescent="0.3">
      <c r="D14407" s="1"/>
      <c r="G14407" s="13"/>
      <c r="AL14407" s="13"/>
    </row>
    <row r="14408" spans="4:39" x14ac:dyDescent="0.3">
      <c r="D14408" s="1"/>
      <c r="G14408" s="13"/>
      <c r="AL14408" s="13"/>
      <c r="AM14408" s="14"/>
    </row>
    <row r="14409" spans="4:39" x14ac:dyDescent="0.3">
      <c r="D14409" s="1"/>
      <c r="G14409" s="13"/>
      <c r="AL14409" s="13"/>
      <c r="AM14409" s="14"/>
    </row>
    <row r="14410" spans="4:39" x14ac:dyDescent="0.3">
      <c r="D14410" s="1"/>
      <c r="G14410" s="13"/>
      <c r="AL14410" s="13"/>
      <c r="AM14410" s="14"/>
    </row>
    <row r="14411" spans="4:39" x14ac:dyDescent="0.3">
      <c r="D14411" s="1"/>
      <c r="G14411" s="13"/>
      <c r="AL14411" s="13"/>
    </row>
    <row r="14412" spans="4:39" x14ac:dyDescent="0.3">
      <c r="D14412" s="1"/>
      <c r="G14412" s="13"/>
      <c r="AL14412" s="13"/>
    </row>
    <row r="14413" spans="4:39" x14ac:dyDescent="0.3">
      <c r="D14413" s="1"/>
      <c r="G14413" s="13"/>
      <c r="AL14413" s="13"/>
    </row>
    <row r="14414" spans="4:39" x14ac:dyDescent="0.3">
      <c r="D14414" s="1"/>
      <c r="G14414" s="13"/>
      <c r="AL14414" s="13"/>
    </row>
    <row r="14415" spans="4:39" x14ac:dyDescent="0.3">
      <c r="D14415" s="1"/>
      <c r="G14415" s="13"/>
      <c r="AL14415" s="13"/>
      <c r="AM14415" s="14"/>
    </row>
    <row r="14416" spans="4:39" x14ac:dyDescent="0.3">
      <c r="D14416" s="1"/>
      <c r="G14416" s="13"/>
      <c r="AL14416" s="13"/>
    </row>
    <row r="14417" spans="4:39" x14ac:dyDescent="0.3">
      <c r="D14417" s="1"/>
      <c r="G14417" s="13"/>
      <c r="AL14417" s="13"/>
      <c r="AM14417" s="14"/>
    </row>
    <row r="14418" spans="4:39" x14ac:dyDescent="0.3">
      <c r="D14418" s="1"/>
      <c r="G14418" s="13"/>
      <c r="AL14418" s="13"/>
      <c r="AM14418" s="14"/>
    </row>
    <row r="14419" spans="4:39" x14ac:dyDescent="0.3">
      <c r="D14419" s="1"/>
      <c r="G14419" s="13"/>
      <c r="AL14419" s="13"/>
      <c r="AM14419" s="14"/>
    </row>
    <row r="14420" spans="4:39" x14ac:dyDescent="0.3">
      <c r="D14420" s="1"/>
      <c r="G14420" s="13"/>
      <c r="AL14420" s="13"/>
      <c r="AM14420" s="14"/>
    </row>
    <row r="14421" spans="4:39" x14ac:dyDescent="0.3">
      <c r="D14421" s="1"/>
      <c r="G14421" s="13"/>
      <c r="AL14421" s="13"/>
      <c r="AM14421" s="14"/>
    </row>
    <row r="14422" spans="4:39" x14ac:dyDescent="0.3">
      <c r="D14422" s="1"/>
      <c r="G14422" s="13"/>
      <c r="AL14422" s="13"/>
    </row>
    <row r="14423" spans="4:39" x14ac:dyDescent="0.3">
      <c r="D14423" s="1"/>
      <c r="G14423" s="13"/>
      <c r="AL14423" s="13"/>
    </row>
    <row r="14424" spans="4:39" x14ac:dyDescent="0.3">
      <c r="D14424" s="1"/>
      <c r="G14424" s="13"/>
      <c r="AL14424" s="13"/>
    </row>
    <row r="14425" spans="4:39" x14ac:dyDescent="0.3">
      <c r="D14425" s="1"/>
      <c r="G14425" s="13"/>
      <c r="AL14425" s="13"/>
      <c r="AM14425" s="14"/>
    </row>
    <row r="14426" spans="4:39" x14ac:dyDescent="0.3">
      <c r="D14426" s="1"/>
      <c r="G14426" s="13"/>
      <c r="AL14426" s="13"/>
    </row>
    <row r="14427" spans="4:39" x14ac:dyDescent="0.3">
      <c r="D14427" s="1"/>
      <c r="G14427" s="13"/>
      <c r="AL14427" s="13"/>
      <c r="AM14427" s="14"/>
    </row>
    <row r="14428" spans="4:39" x14ac:dyDescent="0.3">
      <c r="D14428" s="1"/>
      <c r="G14428" s="13"/>
      <c r="AL14428" s="13"/>
      <c r="AM14428" s="14"/>
    </row>
    <row r="14429" spans="4:39" x14ac:dyDescent="0.3">
      <c r="D14429" s="1"/>
      <c r="G14429" s="13"/>
      <c r="AL14429" s="13"/>
      <c r="AM14429" s="14"/>
    </row>
    <row r="14430" spans="4:39" x14ac:dyDescent="0.3">
      <c r="D14430" s="1"/>
      <c r="G14430" s="13"/>
      <c r="AL14430" s="13"/>
    </row>
    <row r="14431" spans="4:39" x14ac:dyDescent="0.3">
      <c r="D14431" s="1"/>
      <c r="G14431" s="13"/>
      <c r="AL14431" s="13"/>
    </row>
    <row r="14432" spans="4:39" x14ac:dyDescent="0.3">
      <c r="D14432" s="1"/>
      <c r="G14432" s="13"/>
      <c r="AL14432" s="13"/>
    </row>
    <row r="14433" spans="4:39" x14ac:dyDescent="0.3">
      <c r="D14433" s="1"/>
      <c r="G14433" s="13"/>
      <c r="AL14433" s="13"/>
    </row>
    <row r="14434" spans="4:39" x14ac:dyDescent="0.3">
      <c r="D14434" s="1"/>
      <c r="G14434" s="13"/>
      <c r="AL14434" s="13"/>
    </row>
    <row r="14435" spans="4:39" x14ac:dyDescent="0.3">
      <c r="D14435" s="1"/>
      <c r="G14435" s="13"/>
      <c r="AL14435" s="13"/>
    </row>
    <row r="14436" spans="4:39" x14ac:dyDescent="0.3">
      <c r="D14436" s="1"/>
      <c r="G14436" s="13"/>
      <c r="AL14436" s="13"/>
    </row>
    <row r="14437" spans="4:39" x14ac:dyDescent="0.3">
      <c r="D14437" s="1"/>
      <c r="G14437" s="13"/>
      <c r="AL14437" s="13"/>
    </row>
    <row r="14438" spans="4:39" x14ac:dyDescent="0.3">
      <c r="D14438" s="1"/>
      <c r="G14438" s="13"/>
      <c r="AL14438" s="13"/>
    </row>
    <row r="14439" spans="4:39" x14ac:dyDescent="0.3">
      <c r="D14439" s="1"/>
      <c r="G14439" s="13"/>
      <c r="AL14439" s="13"/>
    </row>
    <row r="14440" spans="4:39" x14ac:dyDescent="0.3">
      <c r="D14440" s="1"/>
      <c r="G14440" s="13"/>
      <c r="AL14440" s="13"/>
    </row>
    <row r="14441" spans="4:39" x14ac:dyDescent="0.3">
      <c r="D14441" s="1"/>
      <c r="G14441" s="13"/>
      <c r="AL14441" s="13"/>
    </row>
    <row r="14442" spans="4:39" x14ac:dyDescent="0.3">
      <c r="D14442" s="1"/>
      <c r="G14442" s="13"/>
      <c r="AL14442" s="13"/>
    </row>
    <row r="14443" spans="4:39" x14ac:dyDescent="0.3">
      <c r="D14443" s="1"/>
      <c r="G14443" s="13"/>
      <c r="AL14443" s="13"/>
    </row>
    <row r="14444" spans="4:39" x14ac:dyDescent="0.3">
      <c r="D14444" s="1"/>
      <c r="G14444" s="13"/>
      <c r="AL14444" s="13"/>
      <c r="AM14444" s="14"/>
    </row>
    <row r="14445" spans="4:39" x14ac:dyDescent="0.3">
      <c r="D14445" s="1"/>
      <c r="G14445" s="13"/>
      <c r="AL14445" s="13"/>
    </row>
    <row r="14446" spans="4:39" x14ac:dyDescent="0.3">
      <c r="D14446" s="1"/>
      <c r="G14446" s="13"/>
      <c r="AL14446" s="13"/>
    </row>
    <row r="14447" spans="4:39" x14ac:dyDescent="0.3">
      <c r="D14447" s="1"/>
      <c r="G14447" s="13"/>
      <c r="AL14447" s="13"/>
    </row>
    <row r="14448" spans="4:39" x14ac:dyDescent="0.3">
      <c r="D14448" s="1"/>
      <c r="G14448" s="13"/>
      <c r="AL14448" s="13"/>
    </row>
    <row r="14449" spans="4:39" x14ac:dyDescent="0.3">
      <c r="D14449" s="1"/>
      <c r="G14449" s="13"/>
      <c r="AL14449" s="13"/>
    </row>
    <row r="14450" spans="4:39" x14ac:dyDescent="0.3">
      <c r="D14450" s="1"/>
      <c r="G14450" s="13"/>
      <c r="AL14450" s="13"/>
    </row>
    <row r="14451" spans="4:39" x14ac:dyDescent="0.3">
      <c r="D14451" s="1"/>
      <c r="G14451" s="13"/>
      <c r="AL14451" s="13"/>
    </row>
    <row r="14452" spans="4:39" x14ac:dyDescent="0.3">
      <c r="D14452" s="1"/>
      <c r="G14452" s="13"/>
      <c r="AL14452" s="13"/>
      <c r="AM14452" s="14"/>
    </row>
    <row r="14453" spans="4:39" x14ac:dyDescent="0.3">
      <c r="D14453" s="1"/>
      <c r="G14453" s="13"/>
      <c r="AL14453" s="13"/>
      <c r="AM14453" s="14"/>
    </row>
    <row r="14454" spans="4:39" x14ac:dyDescent="0.3">
      <c r="D14454" s="1"/>
      <c r="G14454" s="13"/>
      <c r="AL14454" s="13"/>
    </row>
    <row r="14455" spans="4:39" x14ac:dyDescent="0.3">
      <c r="D14455" s="1"/>
      <c r="G14455" s="13"/>
      <c r="AL14455" s="13"/>
      <c r="AM14455" s="14"/>
    </row>
    <row r="14456" spans="4:39" x14ac:dyDescent="0.3">
      <c r="D14456" s="1"/>
      <c r="G14456" s="13"/>
      <c r="AL14456" s="13"/>
      <c r="AM14456" s="14"/>
    </row>
    <row r="14457" spans="4:39" x14ac:dyDescent="0.3">
      <c r="D14457" s="1"/>
      <c r="G14457" s="13"/>
      <c r="AL14457" s="13"/>
      <c r="AM14457" s="14"/>
    </row>
    <row r="14458" spans="4:39" x14ac:dyDescent="0.3">
      <c r="D14458" s="1"/>
      <c r="G14458" s="13"/>
      <c r="AL14458" s="13"/>
    </row>
    <row r="14459" spans="4:39" x14ac:dyDescent="0.3">
      <c r="D14459" s="1"/>
      <c r="G14459" s="13"/>
      <c r="AL14459" s="13"/>
    </row>
    <row r="14460" spans="4:39" x14ac:dyDescent="0.3">
      <c r="D14460" s="1"/>
      <c r="G14460" s="13"/>
      <c r="AL14460" s="13"/>
    </row>
    <row r="14461" spans="4:39" x14ac:dyDescent="0.3">
      <c r="D14461" s="1"/>
      <c r="G14461" s="13"/>
      <c r="AL14461" s="13"/>
    </row>
    <row r="14462" spans="4:39" x14ac:dyDescent="0.3">
      <c r="D14462" s="1"/>
      <c r="G14462" s="13"/>
      <c r="AL14462" s="13"/>
    </row>
    <row r="14463" spans="4:39" x14ac:dyDescent="0.3">
      <c r="D14463" s="1"/>
      <c r="G14463" s="13"/>
      <c r="AL14463" s="13"/>
    </row>
    <row r="14464" spans="4:39" x14ac:dyDescent="0.3">
      <c r="D14464" s="1"/>
      <c r="G14464" s="13"/>
      <c r="AL14464" s="13"/>
    </row>
    <row r="14465" spans="4:39" x14ac:dyDescent="0.3">
      <c r="D14465" s="1"/>
      <c r="G14465" s="13"/>
      <c r="AL14465" s="13"/>
    </row>
    <row r="14466" spans="4:39" x14ac:dyDescent="0.3">
      <c r="D14466" s="1"/>
      <c r="G14466" s="13"/>
      <c r="AL14466" s="13"/>
    </row>
    <row r="14467" spans="4:39" x14ac:dyDescent="0.3">
      <c r="D14467" s="1"/>
      <c r="G14467" s="13"/>
      <c r="AL14467" s="13"/>
    </row>
    <row r="14468" spans="4:39" x14ac:dyDescent="0.3">
      <c r="D14468" s="1"/>
      <c r="G14468" s="13"/>
      <c r="AL14468" s="13"/>
    </row>
    <row r="14469" spans="4:39" x14ac:dyDescent="0.3">
      <c r="D14469" s="1"/>
      <c r="G14469" s="13"/>
      <c r="AL14469" s="13"/>
    </row>
    <row r="14470" spans="4:39" x14ac:dyDescent="0.3">
      <c r="D14470" s="1"/>
      <c r="G14470" s="13"/>
      <c r="AL14470" s="13"/>
    </row>
    <row r="14471" spans="4:39" x14ac:dyDescent="0.3">
      <c r="D14471" s="1"/>
      <c r="G14471" s="13"/>
      <c r="AL14471" s="13"/>
      <c r="AM14471" s="14"/>
    </row>
    <row r="14472" spans="4:39" x14ac:dyDescent="0.3">
      <c r="D14472" s="1"/>
      <c r="G14472" s="13"/>
      <c r="AL14472" s="13"/>
    </row>
    <row r="14473" spans="4:39" x14ac:dyDescent="0.3">
      <c r="D14473" s="1"/>
      <c r="G14473" s="13"/>
      <c r="AL14473" s="13"/>
    </row>
    <row r="14474" spans="4:39" x14ac:dyDescent="0.3">
      <c r="D14474" s="1"/>
      <c r="G14474" s="13"/>
      <c r="AL14474" s="13"/>
    </row>
    <row r="14475" spans="4:39" x14ac:dyDescent="0.3">
      <c r="D14475" s="1"/>
      <c r="G14475" s="13"/>
      <c r="AL14475" s="13"/>
    </row>
    <row r="14476" spans="4:39" x14ac:dyDescent="0.3">
      <c r="D14476" s="1"/>
      <c r="G14476" s="13"/>
      <c r="AL14476" s="13"/>
    </row>
    <row r="14477" spans="4:39" x14ac:dyDescent="0.3">
      <c r="D14477" s="1"/>
      <c r="G14477" s="13"/>
      <c r="AL14477" s="13"/>
    </row>
    <row r="14478" spans="4:39" x14ac:dyDescent="0.3">
      <c r="D14478" s="1"/>
      <c r="G14478" s="13"/>
      <c r="AL14478" s="13"/>
    </row>
    <row r="14479" spans="4:39" x14ac:dyDescent="0.3">
      <c r="D14479" s="1"/>
      <c r="G14479" s="13"/>
      <c r="AL14479" s="13"/>
      <c r="AM14479" s="14"/>
    </row>
    <row r="14480" spans="4:39" x14ac:dyDescent="0.3">
      <c r="D14480" s="1"/>
      <c r="G14480" s="13"/>
      <c r="AL14480" s="13"/>
    </row>
    <row r="14481" spans="4:39" x14ac:dyDescent="0.3">
      <c r="D14481" s="1"/>
      <c r="G14481" s="13"/>
      <c r="AL14481" s="13"/>
    </row>
    <row r="14482" spans="4:39" x14ac:dyDescent="0.3">
      <c r="D14482" s="1"/>
      <c r="G14482" s="13"/>
      <c r="AL14482" s="13"/>
    </row>
    <row r="14483" spans="4:39" x14ac:dyDescent="0.3">
      <c r="D14483" s="1"/>
      <c r="G14483" s="13"/>
      <c r="AL14483" s="13"/>
    </row>
    <row r="14484" spans="4:39" x14ac:dyDescent="0.3">
      <c r="D14484" s="1"/>
      <c r="G14484" s="13"/>
      <c r="AL14484" s="13"/>
      <c r="AM14484" s="14"/>
    </row>
    <row r="14485" spans="4:39" x14ac:dyDescent="0.3">
      <c r="D14485" s="1"/>
      <c r="G14485" s="13"/>
      <c r="AL14485" s="13"/>
    </row>
    <row r="14486" spans="4:39" x14ac:dyDescent="0.3">
      <c r="D14486" s="1"/>
      <c r="G14486" s="13"/>
      <c r="AL14486" s="13"/>
    </row>
    <row r="14487" spans="4:39" x14ac:dyDescent="0.3">
      <c r="D14487" s="1"/>
      <c r="G14487" s="13"/>
      <c r="AL14487" s="13"/>
      <c r="AM14487" s="14"/>
    </row>
    <row r="14488" spans="4:39" x14ac:dyDescent="0.3">
      <c r="D14488" s="1"/>
      <c r="G14488" s="13"/>
      <c r="AL14488" s="13"/>
    </row>
    <row r="14489" spans="4:39" x14ac:dyDescent="0.3">
      <c r="D14489" s="1"/>
      <c r="G14489" s="13"/>
      <c r="AL14489" s="13"/>
    </row>
    <row r="14490" spans="4:39" x14ac:dyDescent="0.3">
      <c r="D14490" s="1"/>
      <c r="G14490" s="13"/>
      <c r="AL14490" s="13"/>
    </row>
    <row r="14491" spans="4:39" x14ac:dyDescent="0.3">
      <c r="D14491" s="1"/>
      <c r="G14491" s="13"/>
      <c r="AL14491" s="13"/>
    </row>
    <row r="14492" spans="4:39" x14ac:dyDescent="0.3">
      <c r="D14492" s="1"/>
      <c r="G14492" s="13"/>
      <c r="AL14492" s="13"/>
    </row>
    <row r="14493" spans="4:39" x14ac:dyDescent="0.3">
      <c r="D14493" s="1"/>
      <c r="G14493" s="13"/>
      <c r="AL14493" s="13"/>
    </row>
    <row r="14494" spans="4:39" x14ac:dyDescent="0.3">
      <c r="D14494" s="1"/>
      <c r="G14494" s="13"/>
      <c r="AL14494" s="13"/>
    </row>
    <row r="14495" spans="4:39" x14ac:dyDescent="0.3">
      <c r="D14495" s="1"/>
      <c r="G14495" s="13"/>
      <c r="AL14495" s="13"/>
      <c r="AM14495" s="14"/>
    </row>
    <row r="14496" spans="4:39" x14ac:dyDescent="0.3">
      <c r="D14496" s="1"/>
      <c r="G14496" s="13"/>
      <c r="AL14496" s="13"/>
      <c r="AM14496" s="14"/>
    </row>
    <row r="14497" spans="4:39" x14ac:dyDescent="0.3">
      <c r="D14497" s="1"/>
      <c r="G14497" s="13"/>
      <c r="AL14497" s="13"/>
      <c r="AM14497" s="14"/>
    </row>
    <row r="14498" spans="4:39" x14ac:dyDescent="0.3">
      <c r="D14498" s="1"/>
      <c r="G14498" s="13"/>
      <c r="AL14498" s="13"/>
      <c r="AM14498" s="14"/>
    </row>
    <row r="14499" spans="4:39" x14ac:dyDescent="0.3">
      <c r="D14499" s="1"/>
      <c r="G14499" s="13"/>
      <c r="AL14499" s="13"/>
      <c r="AM14499" s="14"/>
    </row>
    <row r="14500" spans="4:39" x14ac:dyDescent="0.3">
      <c r="D14500" s="1"/>
      <c r="G14500" s="13"/>
      <c r="AL14500" s="13"/>
    </row>
    <row r="14501" spans="4:39" x14ac:dyDescent="0.3">
      <c r="D14501" s="1"/>
      <c r="G14501" s="13"/>
      <c r="AL14501" s="13"/>
      <c r="AM14501" s="14"/>
    </row>
    <row r="14502" spans="4:39" x14ac:dyDescent="0.3">
      <c r="D14502" s="1"/>
      <c r="G14502" s="13"/>
      <c r="AL14502" s="13"/>
      <c r="AM14502" s="14"/>
    </row>
    <row r="14503" spans="4:39" x14ac:dyDescent="0.3">
      <c r="D14503" s="1"/>
      <c r="G14503" s="13"/>
      <c r="AL14503" s="13"/>
      <c r="AM14503" s="14"/>
    </row>
    <row r="14504" spans="4:39" x14ac:dyDescent="0.3">
      <c r="D14504" s="1"/>
      <c r="G14504" s="13"/>
      <c r="AL14504" s="13"/>
      <c r="AM14504" s="14"/>
    </row>
    <row r="14505" spans="4:39" x14ac:dyDescent="0.3">
      <c r="D14505" s="1"/>
      <c r="G14505" s="13"/>
      <c r="AL14505" s="13"/>
      <c r="AM14505" s="14"/>
    </row>
    <row r="14506" spans="4:39" x14ac:dyDescent="0.3">
      <c r="D14506" s="1"/>
      <c r="G14506" s="13"/>
      <c r="AL14506" s="13"/>
      <c r="AM14506" s="14"/>
    </row>
    <row r="14507" spans="4:39" x14ac:dyDescent="0.3">
      <c r="D14507" s="1"/>
      <c r="G14507" s="13"/>
      <c r="AL14507" s="13"/>
      <c r="AM14507" s="14"/>
    </row>
    <row r="14508" spans="4:39" x14ac:dyDescent="0.3">
      <c r="D14508" s="1"/>
      <c r="G14508" s="13"/>
      <c r="AL14508" s="13"/>
    </row>
    <row r="14509" spans="4:39" x14ac:dyDescent="0.3">
      <c r="D14509" s="1"/>
      <c r="G14509" s="13"/>
      <c r="AL14509" s="13"/>
      <c r="AM14509" s="14"/>
    </row>
    <row r="14510" spans="4:39" x14ac:dyDescent="0.3">
      <c r="D14510" s="1"/>
      <c r="G14510" s="13"/>
      <c r="AL14510" s="13"/>
      <c r="AM14510" s="14"/>
    </row>
    <row r="14511" spans="4:39" x14ac:dyDescent="0.3">
      <c r="D14511" s="1"/>
      <c r="G14511" s="13"/>
      <c r="AL14511" s="13"/>
    </row>
    <row r="14512" spans="4:39" x14ac:dyDescent="0.3">
      <c r="D14512" s="1"/>
      <c r="G14512" s="13"/>
      <c r="AL14512" s="13"/>
      <c r="AM14512" s="14"/>
    </row>
    <row r="14513" spans="4:39" x14ac:dyDescent="0.3">
      <c r="D14513" s="1"/>
      <c r="G14513" s="13"/>
      <c r="AL14513" s="13"/>
      <c r="AM14513" s="14"/>
    </row>
    <row r="14514" spans="4:39" x14ac:dyDescent="0.3">
      <c r="D14514" s="1"/>
      <c r="G14514" s="13"/>
      <c r="AL14514" s="13"/>
      <c r="AM14514" s="14"/>
    </row>
    <row r="14515" spans="4:39" x14ac:dyDescent="0.3">
      <c r="D14515" s="1"/>
      <c r="G14515" s="13"/>
      <c r="AL14515" s="13"/>
      <c r="AM14515" s="14"/>
    </row>
    <row r="14516" spans="4:39" x14ac:dyDescent="0.3">
      <c r="D14516" s="1"/>
      <c r="G14516" s="13"/>
      <c r="AL14516" s="13"/>
    </row>
    <row r="14517" spans="4:39" x14ac:dyDescent="0.3">
      <c r="D14517" s="1"/>
      <c r="G14517" s="13"/>
      <c r="AL14517" s="13"/>
      <c r="AM14517" s="14"/>
    </row>
    <row r="14518" spans="4:39" x14ac:dyDescent="0.3">
      <c r="D14518" s="1"/>
      <c r="G14518" s="13"/>
      <c r="AL14518" s="13"/>
      <c r="AM14518" s="14"/>
    </row>
    <row r="14519" spans="4:39" x14ac:dyDescent="0.3">
      <c r="D14519" s="1"/>
      <c r="G14519" s="13"/>
      <c r="AL14519" s="13"/>
      <c r="AM14519" s="14"/>
    </row>
    <row r="14520" spans="4:39" x14ac:dyDescent="0.3">
      <c r="D14520" s="1"/>
      <c r="G14520" s="13"/>
      <c r="AL14520" s="13"/>
    </row>
    <row r="14521" spans="4:39" x14ac:dyDescent="0.3">
      <c r="D14521" s="1"/>
      <c r="G14521" s="13"/>
      <c r="AL14521" s="13"/>
      <c r="AM14521" s="14"/>
    </row>
    <row r="14522" spans="4:39" x14ac:dyDescent="0.3">
      <c r="D14522" s="1"/>
      <c r="G14522" s="13"/>
      <c r="AL14522" s="13"/>
    </row>
    <row r="14523" spans="4:39" x14ac:dyDescent="0.3">
      <c r="D14523" s="1"/>
      <c r="G14523" s="13"/>
      <c r="AL14523" s="13"/>
      <c r="AM14523" s="14"/>
    </row>
    <row r="14524" spans="4:39" x14ac:dyDescent="0.3">
      <c r="D14524" s="1"/>
      <c r="G14524" s="13"/>
      <c r="AL14524" s="13"/>
    </row>
    <row r="14525" spans="4:39" x14ac:dyDescent="0.3">
      <c r="D14525" s="1"/>
      <c r="G14525" s="13"/>
      <c r="AL14525" s="13"/>
    </row>
    <row r="14526" spans="4:39" x14ac:dyDescent="0.3">
      <c r="D14526" s="1"/>
      <c r="G14526" s="13"/>
      <c r="AL14526" s="13"/>
    </row>
    <row r="14527" spans="4:39" x14ac:dyDescent="0.3">
      <c r="D14527" s="1"/>
      <c r="G14527" s="13"/>
      <c r="AL14527" s="13"/>
    </row>
    <row r="14528" spans="4:39" x14ac:dyDescent="0.3">
      <c r="D14528" s="1"/>
      <c r="G14528" s="13"/>
      <c r="AL14528" s="13"/>
    </row>
    <row r="14529" spans="4:39" x14ac:dyDescent="0.3">
      <c r="D14529" s="1"/>
      <c r="G14529" s="13"/>
      <c r="AL14529" s="13"/>
    </row>
    <row r="14530" spans="4:39" x14ac:dyDescent="0.3">
      <c r="D14530" s="1"/>
      <c r="G14530" s="13"/>
      <c r="AL14530" s="13"/>
      <c r="AM14530" s="14"/>
    </row>
    <row r="14531" spans="4:39" x14ac:dyDescent="0.3">
      <c r="D14531" s="1"/>
      <c r="G14531" s="13"/>
      <c r="AL14531" s="13"/>
      <c r="AM14531" s="14"/>
    </row>
    <row r="14532" spans="4:39" x14ac:dyDescent="0.3">
      <c r="D14532" s="1"/>
      <c r="G14532" s="13"/>
      <c r="AL14532" s="13"/>
    </row>
    <row r="14533" spans="4:39" x14ac:dyDescent="0.3">
      <c r="D14533" s="1"/>
      <c r="G14533" s="13"/>
      <c r="AL14533" s="13"/>
    </row>
    <row r="14534" spans="4:39" x14ac:dyDescent="0.3">
      <c r="D14534" s="1"/>
      <c r="G14534" s="13"/>
      <c r="AL14534" s="13"/>
    </row>
    <row r="14535" spans="4:39" x14ac:dyDescent="0.3">
      <c r="D14535" s="1"/>
      <c r="G14535" s="13"/>
      <c r="AL14535" s="13"/>
    </row>
    <row r="14536" spans="4:39" x14ac:dyDescent="0.3">
      <c r="D14536" s="1"/>
      <c r="G14536" s="13"/>
      <c r="AL14536" s="13"/>
      <c r="AM14536" s="14"/>
    </row>
    <row r="14537" spans="4:39" x14ac:dyDescent="0.3">
      <c r="D14537" s="1"/>
      <c r="G14537" s="13"/>
      <c r="AL14537" s="13"/>
    </row>
    <row r="14538" spans="4:39" x14ac:dyDescent="0.3">
      <c r="D14538" s="1"/>
      <c r="G14538" s="13"/>
      <c r="AL14538" s="13"/>
    </row>
    <row r="14539" spans="4:39" x14ac:dyDescent="0.3">
      <c r="D14539" s="1"/>
      <c r="G14539" s="13"/>
      <c r="AL14539" s="13"/>
      <c r="AM14539" s="14"/>
    </row>
    <row r="14540" spans="4:39" x14ac:dyDescent="0.3">
      <c r="D14540" s="1"/>
      <c r="G14540" s="13"/>
      <c r="AL14540" s="13"/>
    </row>
    <row r="14541" spans="4:39" x14ac:dyDescent="0.3">
      <c r="D14541" s="1"/>
      <c r="G14541" s="13"/>
      <c r="AL14541" s="13"/>
      <c r="AM14541" s="14"/>
    </row>
    <row r="14542" spans="4:39" x14ac:dyDescent="0.3">
      <c r="D14542" s="1"/>
      <c r="G14542" s="13"/>
      <c r="AL14542" s="13"/>
    </row>
    <row r="14543" spans="4:39" x14ac:dyDescent="0.3">
      <c r="D14543" s="1"/>
      <c r="G14543" s="13"/>
      <c r="AL14543" s="13"/>
    </row>
    <row r="14544" spans="4:39" x14ac:dyDescent="0.3">
      <c r="D14544" s="1"/>
      <c r="G14544" s="13"/>
      <c r="AL14544" s="13"/>
    </row>
    <row r="14545" spans="4:39" x14ac:dyDescent="0.3">
      <c r="D14545" s="1"/>
      <c r="G14545" s="13"/>
      <c r="AL14545" s="13"/>
    </row>
    <row r="14546" spans="4:39" x14ac:dyDescent="0.3">
      <c r="D14546" s="1"/>
      <c r="G14546" s="13"/>
      <c r="AL14546" s="13"/>
    </row>
    <row r="14547" spans="4:39" x14ac:dyDescent="0.3">
      <c r="D14547" s="1"/>
      <c r="G14547" s="13"/>
      <c r="AL14547" s="13"/>
      <c r="AM14547" s="14"/>
    </row>
    <row r="14548" spans="4:39" x14ac:dyDescent="0.3">
      <c r="D14548" s="1"/>
      <c r="G14548" s="13"/>
      <c r="AL14548" s="13"/>
    </row>
    <row r="14549" spans="4:39" x14ac:dyDescent="0.3">
      <c r="D14549" s="1"/>
      <c r="G14549" s="13"/>
      <c r="AL14549" s="13"/>
    </row>
    <row r="14550" spans="4:39" x14ac:dyDescent="0.3">
      <c r="D14550" s="1"/>
      <c r="G14550" s="13"/>
      <c r="AL14550" s="13"/>
    </row>
    <row r="14551" spans="4:39" x14ac:dyDescent="0.3">
      <c r="D14551" s="1"/>
      <c r="G14551" s="13"/>
      <c r="AL14551" s="13"/>
    </row>
    <row r="14552" spans="4:39" x14ac:dyDescent="0.3">
      <c r="D14552" s="1"/>
      <c r="G14552" s="13"/>
      <c r="AL14552" s="13"/>
    </row>
    <row r="14553" spans="4:39" x14ac:dyDescent="0.3">
      <c r="D14553" s="1"/>
      <c r="G14553" s="13"/>
    </row>
    <row r="14554" spans="4:39" x14ac:dyDescent="0.3">
      <c r="D14554" s="1"/>
      <c r="G14554" s="13"/>
      <c r="AL14554" s="13"/>
    </row>
    <row r="14555" spans="4:39" x14ac:dyDescent="0.3">
      <c r="D14555" s="1"/>
      <c r="G14555" s="13"/>
      <c r="AL14555" s="13"/>
    </row>
    <row r="14556" spans="4:39" x14ac:dyDescent="0.3">
      <c r="D14556" s="1"/>
      <c r="G14556" s="13"/>
      <c r="AL14556" s="13"/>
    </row>
    <row r="14557" spans="4:39" x14ac:dyDescent="0.3">
      <c r="D14557" s="1"/>
      <c r="G14557" s="13"/>
      <c r="AL14557" s="13"/>
    </row>
    <row r="14558" spans="4:39" x14ac:dyDescent="0.3">
      <c r="D14558" s="1"/>
      <c r="G14558" s="13"/>
      <c r="AL14558" s="13"/>
    </row>
    <row r="14559" spans="4:39" x14ac:dyDescent="0.3">
      <c r="D14559" s="1"/>
      <c r="G14559" s="13"/>
      <c r="AL14559" s="13"/>
    </row>
    <row r="14560" spans="4:39" x14ac:dyDescent="0.3">
      <c r="D14560" s="1"/>
      <c r="G14560" s="13"/>
      <c r="AL14560" s="13"/>
    </row>
    <row r="14561" spans="4:39" x14ac:dyDescent="0.3">
      <c r="D14561" s="1"/>
      <c r="G14561" s="13"/>
      <c r="AL14561" s="13"/>
    </row>
    <row r="14562" spans="4:39" x14ac:dyDescent="0.3">
      <c r="D14562" s="1"/>
      <c r="G14562" s="13"/>
      <c r="AL14562" s="13"/>
    </row>
    <row r="14563" spans="4:39" x14ac:dyDescent="0.3">
      <c r="D14563" s="1"/>
      <c r="G14563" s="13"/>
      <c r="AL14563" s="13"/>
    </row>
    <row r="14564" spans="4:39" x14ac:dyDescent="0.3">
      <c r="D14564" s="1"/>
      <c r="G14564" s="13"/>
      <c r="AL14564" s="13"/>
    </row>
    <row r="14565" spans="4:39" x14ac:dyDescent="0.3">
      <c r="D14565" s="1"/>
      <c r="G14565" s="13"/>
      <c r="AL14565" s="13"/>
      <c r="AM14565" s="14"/>
    </row>
    <row r="14566" spans="4:39" x14ac:dyDescent="0.3">
      <c r="D14566" s="1"/>
      <c r="G14566" s="13"/>
    </row>
    <row r="14567" spans="4:39" x14ac:dyDescent="0.3">
      <c r="D14567" s="1"/>
      <c r="G14567" s="13"/>
      <c r="AL14567" s="13"/>
    </row>
    <row r="14568" spans="4:39" x14ac:dyDescent="0.3">
      <c r="D14568" s="1"/>
      <c r="G14568" s="13"/>
    </row>
    <row r="14569" spans="4:39" x14ac:dyDescent="0.3">
      <c r="D14569" s="1"/>
      <c r="G14569" s="13"/>
    </row>
    <row r="14570" spans="4:39" x14ac:dyDescent="0.3">
      <c r="D14570" s="1"/>
      <c r="G14570" s="13"/>
    </row>
    <row r="14571" spans="4:39" x14ac:dyDescent="0.3">
      <c r="D14571" s="1"/>
      <c r="G14571" s="13"/>
    </row>
    <row r="14572" spans="4:39" x14ac:dyDescent="0.3">
      <c r="D14572" s="1"/>
      <c r="G14572" s="13"/>
    </row>
    <row r="14573" spans="4:39" x14ac:dyDescent="0.3">
      <c r="D14573" s="1"/>
      <c r="G14573" s="13"/>
    </row>
    <row r="14574" spans="4:39" x14ac:dyDescent="0.3">
      <c r="D14574" s="1"/>
      <c r="G14574" s="13"/>
    </row>
    <row r="14575" spans="4:39" x14ac:dyDescent="0.3">
      <c r="D14575" s="1"/>
      <c r="G14575" s="13"/>
    </row>
    <row r="14576" spans="4:39" x14ac:dyDescent="0.3">
      <c r="D14576" s="1"/>
      <c r="G14576" s="13"/>
      <c r="AL14576" s="13"/>
    </row>
    <row r="14577" spans="4:38" x14ac:dyDescent="0.3">
      <c r="D14577" s="1"/>
      <c r="G14577" s="13"/>
    </row>
    <row r="14578" spans="4:38" x14ac:dyDescent="0.3">
      <c r="D14578" s="1"/>
      <c r="G14578" s="13"/>
    </row>
    <row r="14579" spans="4:38" x14ac:dyDescent="0.3">
      <c r="D14579" s="1"/>
      <c r="G14579" s="13"/>
    </row>
    <row r="14580" spans="4:38" x14ac:dyDescent="0.3">
      <c r="D14580" s="1"/>
      <c r="G14580" s="13"/>
    </row>
    <row r="14581" spans="4:38" x14ac:dyDescent="0.3">
      <c r="D14581" s="1"/>
      <c r="G14581" s="13"/>
    </row>
    <row r="14582" spans="4:38" x14ac:dyDescent="0.3">
      <c r="D14582" s="1"/>
      <c r="G14582" s="13"/>
    </row>
    <row r="14583" spans="4:38" x14ac:dyDescent="0.3">
      <c r="D14583" s="1"/>
      <c r="G14583" s="13"/>
    </row>
    <row r="14584" spans="4:38" x14ac:dyDescent="0.3">
      <c r="D14584" s="1"/>
      <c r="G14584" s="13"/>
    </row>
    <row r="14585" spans="4:38" x14ac:dyDescent="0.3">
      <c r="D14585" s="1"/>
      <c r="G14585" s="13"/>
    </row>
    <row r="14586" spans="4:38" x14ac:dyDescent="0.3">
      <c r="D14586" s="1"/>
      <c r="G14586" s="13"/>
    </row>
    <row r="14587" spans="4:38" x14ac:dyDescent="0.3">
      <c r="D14587" s="1"/>
      <c r="G14587" s="13"/>
    </row>
    <row r="14588" spans="4:38" x14ac:dyDescent="0.3">
      <c r="D14588" s="1"/>
      <c r="G14588" s="13"/>
    </row>
    <row r="14589" spans="4:38" x14ac:dyDescent="0.3">
      <c r="D14589" s="1"/>
      <c r="G14589" s="13"/>
    </row>
    <row r="14590" spans="4:38" x14ac:dyDescent="0.3">
      <c r="D14590" s="1"/>
      <c r="G14590" s="13"/>
    </row>
    <row r="14591" spans="4:38" x14ac:dyDescent="0.3">
      <c r="D14591" s="1"/>
      <c r="G14591" s="13"/>
    </row>
    <row r="14592" spans="4:38" x14ac:dyDescent="0.3">
      <c r="D14592" s="1"/>
      <c r="G14592" s="13"/>
      <c r="AL14592" s="13"/>
    </row>
    <row r="14593" spans="4:38" x14ac:dyDescent="0.3">
      <c r="D14593" s="1"/>
      <c r="G14593" s="13"/>
    </row>
    <row r="14594" spans="4:38" x14ac:dyDescent="0.3">
      <c r="D14594" s="1"/>
      <c r="G14594" s="13"/>
    </row>
    <row r="14595" spans="4:38" x14ac:dyDescent="0.3">
      <c r="D14595" s="1"/>
      <c r="G14595" s="13"/>
    </row>
    <row r="14596" spans="4:38" x14ac:dyDescent="0.3">
      <c r="D14596" s="1"/>
      <c r="G14596" s="13"/>
    </row>
    <row r="14597" spans="4:38" x14ac:dyDescent="0.3">
      <c r="D14597" s="1"/>
      <c r="G14597" s="13"/>
      <c r="AL14597" s="13"/>
    </row>
    <row r="14598" spans="4:38" x14ac:dyDescent="0.3">
      <c r="D14598" s="1"/>
      <c r="G14598" s="13"/>
    </row>
    <row r="14599" spans="4:38" x14ac:dyDescent="0.3">
      <c r="D14599" s="1"/>
      <c r="G14599" s="13"/>
    </row>
    <row r="14600" spans="4:38" x14ac:dyDescent="0.3">
      <c r="D14600" s="1"/>
      <c r="G14600" s="13"/>
    </row>
    <row r="14601" spans="4:38" x14ac:dyDescent="0.3">
      <c r="D14601" s="1"/>
      <c r="G14601" s="13"/>
    </row>
    <row r="14602" spans="4:38" x14ac:dyDescent="0.3">
      <c r="D14602" s="1"/>
      <c r="G14602" s="13"/>
    </row>
    <row r="14603" spans="4:38" x14ac:dyDescent="0.3">
      <c r="D14603" s="1"/>
      <c r="G14603" s="13"/>
    </row>
    <row r="14604" spans="4:38" x14ac:dyDescent="0.3">
      <c r="D14604" s="1"/>
      <c r="G14604" s="13"/>
    </row>
    <row r="14605" spans="4:38" x14ac:dyDescent="0.3">
      <c r="D14605" s="1"/>
      <c r="G14605" s="13"/>
    </row>
    <row r="14606" spans="4:38" x14ac:dyDescent="0.3">
      <c r="D14606" s="1"/>
      <c r="G14606" s="13"/>
      <c r="AL14606" s="13"/>
    </row>
    <row r="14607" spans="4:38" x14ac:dyDescent="0.3">
      <c r="D14607" s="1"/>
      <c r="G14607" s="13"/>
    </row>
    <row r="14608" spans="4:38" x14ac:dyDescent="0.3">
      <c r="D14608" s="1"/>
      <c r="G14608" s="13"/>
    </row>
    <row r="14609" spans="4:38" x14ac:dyDescent="0.3">
      <c r="D14609" s="1"/>
      <c r="G14609" s="13"/>
    </row>
    <row r="14610" spans="4:38" x14ac:dyDescent="0.3">
      <c r="D14610" s="1"/>
      <c r="G14610" s="13"/>
    </row>
    <row r="14611" spans="4:38" x14ac:dyDescent="0.3">
      <c r="D14611" s="1"/>
      <c r="G14611" s="13"/>
    </row>
    <row r="14612" spans="4:38" x14ac:dyDescent="0.3">
      <c r="D14612" s="1"/>
      <c r="G14612" s="13"/>
      <c r="AL14612" s="13"/>
    </row>
    <row r="14613" spans="4:38" x14ac:dyDescent="0.3">
      <c r="D14613" s="1"/>
      <c r="G14613" s="13"/>
      <c r="AL14613" s="13"/>
    </row>
    <row r="14614" spans="4:38" x14ac:dyDescent="0.3">
      <c r="D14614" s="1"/>
      <c r="G14614" s="13"/>
    </row>
    <row r="14615" spans="4:38" x14ac:dyDescent="0.3">
      <c r="D14615" s="1"/>
      <c r="G14615" s="13"/>
      <c r="AL14615" s="13"/>
    </row>
    <row r="14616" spans="4:38" x14ac:dyDescent="0.3">
      <c r="D14616" s="1"/>
      <c r="G14616" s="13"/>
      <c r="AL14616" s="13"/>
    </row>
    <row r="14617" spans="4:38" x14ac:dyDescent="0.3">
      <c r="D14617" s="1"/>
      <c r="G14617" s="13"/>
      <c r="AL14617" s="13"/>
    </row>
    <row r="14618" spans="4:38" x14ac:dyDescent="0.3">
      <c r="D14618" s="1"/>
      <c r="G14618" s="13"/>
      <c r="AL14618" s="13"/>
    </row>
    <row r="14619" spans="4:38" x14ac:dyDescent="0.3">
      <c r="D14619" s="1"/>
      <c r="G14619" s="13"/>
      <c r="AL14619" s="13"/>
    </row>
    <row r="14620" spans="4:38" x14ac:dyDescent="0.3">
      <c r="D14620" s="1"/>
      <c r="G14620" s="13"/>
      <c r="AL14620" s="13"/>
    </row>
    <row r="14621" spans="4:38" x14ac:dyDescent="0.3">
      <c r="D14621" s="1"/>
      <c r="G14621" s="13"/>
      <c r="AL14621" s="13"/>
    </row>
    <row r="14622" spans="4:38" x14ac:dyDescent="0.3">
      <c r="D14622" s="1"/>
      <c r="G14622" s="13"/>
      <c r="AL14622" s="13"/>
    </row>
    <row r="14623" spans="4:38" x14ac:dyDescent="0.3">
      <c r="D14623" s="1"/>
      <c r="G14623" s="13"/>
      <c r="AL14623" s="13"/>
    </row>
    <row r="14624" spans="4:38" x14ac:dyDescent="0.3">
      <c r="D14624" s="1"/>
      <c r="G14624" s="13"/>
      <c r="AL14624" s="13"/>
    </row>
    <row r="14625" spans="4:38" x14ac:dyDescent="0.3">
      <c r="D14625" s="1"/>
      <c r="G14625" s="13"/>
      <c r="AL14625" s="13"/>
    </row>
    <row r="14626" spans="4:38" x14ac:dyDescent="0.3">
      <c r="D14626" s="1"/>
      <c r="G14626" s="13"/>
      <c r="AL14626" s="13"/>
    </row>
    <row r="14627" spans="4:38" x14ac:dyDescent="0.3">
      <c r="D14627" s="1"/>
      <c r="G14627" s="13"/>
      <c r="AL14627" s="13"/>
    </row>
    <row r="14628" spans="4:38" x14ac:dyDescent="0.3">
      <c r="D14628" s="1"/>
      <c r="G14628" s="13"/>
      <c r="AL14628" s="13"/>
    </row>
    <row r="14629" spans="4:38" x14ac:dyDescent="0.3">
      <c r="D14629" s="1"/>
      <c r="G14629" s="13"/>
      <c r="AL14629" s="13"/>
    </row>
    <row r="14630" spans="4:38" x14ac:dyDescent="0.3">
      <c r="D14630" s="1"/>
      <c r="G14630" s="13"/>
      <c r="AL14630" s="13"/>
    </row>
    <row r="14631" spans="4:38" x14ac:dyDescent="0.3">
      <c r="D14631" s="1"/>
      <c r="G14631" s="13"/>
      <c r="AL14631" s="13"/>
    </row>
    <row r="14632" spans="4:38" x14ac:dyDescent="0.3">
      <c r="D14632" s="1"/>
      <c r="G14632" s="13"/>
      <c r="AL14632" s="13"/>
    </row>
    <row r="14633" spans="4:38" x14ac:dyDescent="0.3">
      <c r="D14633" s="1"/>
      <c r="G14633" s="13"/>
      <c r="AL14633" s="13"/>
    </row>
    <row r="14634" spans="4:38" x14ac:dyDescent="0.3">
      <c r="D14634" s="1"/>
      <c r="G14634" s="13"/>
      <c r="AL14634" s="13"/>
    </row>
    <row r="14635" spans="4:38" x14ac:dyDescent="0.3">
      <c r="D14635" s="1"/>
      <c r="G14635" s="13"/>
      <c r="AL14635" s="13"/>
    </row>
    <row r="14636" spans="4:38" x14ac:dyDescent="0.3">
      <c r="D14636" s="1"/>
      <c r="G14636" s="13"/>
      <c r="AL14636" s="13"/>
    </row>
    <row r="14637" spans="4:38" x14ac:dyDescent="0.3">
      <c r="D14637" s="1"/>
      <c r="G14637" s="13"/>
      <c r="AL14637" s="13"/>
    </row>
    <row r="14638" spans="4:38" x14ac:dyDescent="0.3">
      <c r="D14638" s="1"/>
      <c r="G14638" s="13"/>
      <c r="AL14638" s="13"/>
    </row>
    <row r="14639" spans="4:38" x14ac:dyDescent="0.3">
      <c r="D14639" s="1"/>
      <c r="G14639" s="13"/>
      <c r="AL14639" s="13"/>
    </row>
    <row r="14640" spans="4:38" x14ac:dyDescent="0.3">
      <c r="D14640" s="1"/>
      <c r="G14640" s="13"/>
      <c r="AL14640" s="13"/>
    </row>
    <row r="14641" spans="4:38" x14ac:dyDescent="0.3">
      <c r="D14641" s="1"/>
      <c r="G14641" s="13"/>
      <c r="AL14641" s="13"/>
    </row>
    <row r="14642" spans="4:38" x14ac:dyDescent="0.3">
      <c r="D14642" s="1"/>
      <c r="G14642" s="13"/>
      <c r="AL14642" s="13"/>
    </row>
    <row r="14643" spans="4:38" x14ac:dyDescent="0.3">
      <c r="D14643" s="1"/>
      <c r="G14643" s="13"/>
      <c r="AL14643" s="13"/>
    </row>
    <row r="14644" spans="4:38" x14ac:dyDescent="0.3">
      <c r="D14644" s="1"/>
      <c r="G14644" s="13"/>
      <c r="AL14644" s="13"/>
    </row>
    <row r="14645" spans="4:38" x14ac:dyDescent="0.3">
      <c r="D14645" s="1"/>
      <c r="G14645" s="13"/>
      <c r="AL14645" s="13"/>
    </row>
    <row r="14646" spans="4:38" x14ac:dyDescent="0.3">
      <c r="D14646" s="1"/>
      <c r="G14646" s="13"/>
      <c r="AL14646" s="13"/>
    </row>
    <row r="14647" spans="4:38" x14ac:dyDescent="0.3">
      <c r="D14647" s="1"/>
      <c r="G14647" s="13"/>
      <c r="AL14647" s="13"/>
    </row>
    <row r="14648" spans="4:38" x14ac:dyDescent="0.3">
      <c r="D14648" s="1"/>
      <c r="G14648" s="13"/>
      <c r="AL14648" s="13"/>
    </row>
    <row r="14649" spans="4:38" x14ac:dyDescent="0.3">
      <c r="D14649" s="1"/>
      <c r="G14649" s="13"/>
      <c r="AL14649" s="13"/>
    </row>
    <row r="14650" spans="4:38" x14ac:dyDescent="0.3">
      <c r="D14650" s="1"/>
      <c r="G14650" s="13"/>
      <c r="AL14650" s="13"/>
    </row>
    <row r="14651" spans="4:38" x14ac:dyDescent="0.3">
      <c r="D14651" s="1"/>
      <c r="G14651" s="13"/>
      <c r="AL14651" s="13"/>
    </row>
    <row r="14652" spans="4:38" x14ac:dyDescent="0.3">
      <c r="D14652" s="1"/>
      <c r="G14652" s="13"/>
      <c r="AL14652" s="13"/>
    </row>
    <row r="14653" spans="4:38" x14ac:dyDescent="0.3">
      <c r="D14653" s="1"/>
      <c r="G14653" s="13"/>
      <c r="AL14653" s="13"/>
    </row>
    <row r="14654" spans="4:38" x14ac:dyDescent="0.3">
      <c r="D14654" s="1"/>
      <c r="G14654" s="13"/>
      <c r="AL14654" s="13"/>
    </row>
    <row r="14655" spans="4:38" x14ac:dyDescent="0.3">
      <c r="D14655" s="1"/>
      <c r="G14655" s="13"/>
      <c r="AL14655" s="13"/>
    </row>
    <row r="14656" spans="4:38" x14ac:dyDescent="0.3">
      <c r="D14656" s="1"/>
      <c r="G14656" s="13"/>
      <c r="AL14656" s="13"/>
    </row>
    <row r="14657" spans="4:38" x14ac:dyDescent="0.3">
      <c r="D14657" s="1"/>
      <c r="G14657" s="13"/>
      <c r="AL14657" s="13"/>
    </row>
    <row r="14658" spans="4:38" x14ac:dyDescent="0.3">
      <c r="D14658" s="1"/>
      <c r="G14658" s="13"/>
      <c r="AL14658" s="13"/>
    </row>
    <row r="14659" spans="4:38" x14ac:dyDescent="0.3">
      <c r="D14659" s="1"/>
      <c r="G14659" s="13"/>
      <c r="AL14659" s="13"/>
    </row>
    <row r="14660" spans="4:38" x14ac:dyDescent="0.3">
      <c r="D14660" s="1"/>
      <c r="G14660" s="13"/>
      <c r="AL14660" s="13"/>
    </row>
    <row r="14661" spans="4:38" x14ac:dyDescent="0.3">
      <c r="D14661" s="1"/>
      <c r="G14661" s="13"/>
      <c r="AL14661" s="13"/>
    </row>
    <row r="14662" spans="4:38" x14ac:dyDescent="0.3">
      <c r="D14662" s="1"/>
      <c r="G14662" s="13"/>
      <c r="AL14662" s="13"/>
    </row>
    <row r="14663" spans="4:38" x14ac:dyDescent="0.3">
      <c r="D14663" s="1"/>
      <c r="G14663" s="13"/>
      <c r="AL14663" s="13"/>
    </row>
    <row r="14664" spans="4:38" x14ac:dyDescent="0.3">
      <c r="D14664" s="1"/>
      <c r="G14664" s="13"/>
      <c r="AL14664" s="13"/>
    </row>
    <row r="14665" spans="4:38" x14ac:dyDescent="0.3">
      <c r="D14665" s="1"/>
      <c r="G14665" s="13"/>
      <c r="AL14665" s="13"/>
    </row>
    <row r="14666" spans="4:38" x14ac:dyDescent="0.3">
      <c r="D14666" s="1"/>
      <c r="G14666" s="13"/>
      <c r="AL14666" s="13"/>
    </row>
    <row r="14667" spans="4:38" x14ac:dyDescent="0.3">
      <c r="D14667" s="1"/>
      <c r="G14667" s="13"/>
      <c r="AL14667" s="13"/>
    </row>
    <row r="14668" spans="4:38" x14ac:dyDescent="0.3">
      <c r="D14668" s="1"/>
      <c r="G14668" s="13"/>
      <c r="AL14668" s="13"/>
    </row>
    <row r="14669" spans="4:38" x14ac:dyDescent="0.3">
      <c r="D14669" s="1"/>
      <c r="G14669" s="13"/>
      <c r="AL14669" s="13"/>
    </row>
    <row r="14670" spans="4:38" x14ac:dyDescent="0.3">
      <c r="D14670" s="1"/>
      <c r="G14670" s="13"/>
      <c r="AL14670" s="13"/>
    </row>
    <row r="14671" spans="4:38" x14ac:dyDescent="0.3">
      <c r="D14671" s="1"/>
      <c r="G14671" s="13"/>
      <c r="AL14671" s="13"/>
    </row>
    <row r="14672" spans="4:38" x14ac:dyDescent="0.3">
      <c r="D14672" s="1"/>
      <c r="G14672" s="13"/>
      <c r="AL14672" s="13"/>
    </row>
    <row r="14673" spans="4:38" x14ac:dyDescent="0.3">
      <c r="D14673" s="1"/>
      <c r="G14673" s="13"/>
      <c r="AL14673" s="13"/>
    </row>
    <row r="14674" spans="4:38" x14ac:dyDescent="0.3">
      <c r="D14674" s="1"/>
      <c r="G14674" s="13"/>
      <c r="AL14674" s="13"/>
    </row>
    <row r="14675" spans="4:38" x14ac:dyDescent="0.3">
      <c r="D14675" s="1"/>
      <c r="G14675" s="13"/>
      <c r="AL14675" s="13"/>
    </row>
    <row r="14676" spans="4:38" x14ac:dyDescent="0.3">
      <c r="D14676" s="1"/>
      <c r="G14676" s="13"/>
      <c r="AL14676" s="13"/>
    </row>
    <row r="14677" spans="4:38" x14ac:dyDescent="0.3">
      <c r="D14677" s="1"/>
      <c r="G14677" s="13"/>
      <c r="AL14677" s="13"/>
    </row>
    <row r="14678" spans="4:38" x14ac:dyDescent="0.3">
      <c r="D14678" s="1"/>
      <c r="G14678" s="13"/>
      <c r="AL14678" s="13"/>
    </row>
    <row r="14679" spans="4:38" x14ac:dyDescent="0.3">
      <c r="D14679" s="1"/>
      <c r="G14679" s="13"/>
      <c r="AL14679" s="13"/>
    </row>
    <row r="14680" spans="4:38" x14ac:dyDescent="0.3">
      <c r="D14680" s="1"/>
      <c r="G14680" s="13"/>
      <c r="AL14680" s="13"/>
    </row>
    <row r="14681" spans="4:38" x14ac:dyDescent="0.3">
      <c r="D14681" s="1"/>
      <c r="G14681" s="13"/>
      <c r="AL14681" s="13"/>
    </row>
    <row r="14682" spans="4:38" x14ac:dyDescent="0.3">
      <c r="D14682" s="1"/>
      <c r="G14682" s="13"/>
      <c r="AL14682" s="13"/>
    </row>
    <row r="14683" spans="4:38" x14ac:dyDescent="0.3">
      <c r="D14683" s="1"/>
      <c r="G14683" s="13"/>
      <c r="AL14683" s="13"/>
    </row>
    <row r="14684" spans="4:38" x14ac:dyDescent="0.3">
      <c r="D14684" s="1"/>
      <c r="G14684" s="13"/>
      <c r="AL14684" s="13"/>
    </row>
    <row r="14685" spans="4:38" x14ac:dyDescent="0.3">
      <c r="D14685" s="1"/>
      <c r="G14685" s="13"/>
      <c r="AL14685" s="13"/>
    </row>
    <row r="14686" spans="4:38" x14ac:dyDescent="0.3">
      <c r="D14686" s="1"/>
      <c r="G14686" s="13"/>
      <c r="AL14686" s="13"/>
    </row>
    <row r="14687" spans="4:38" x14ac:dyDescent="0.3">
      <c r="D14687" s="1"/>
      <c r="G14687" s="13"/>
      <c r="AL14687" s="13"/>
    </row>
    <row r="14688" spans="4:38" x14ac:dyDescent="0.3">
      <c r="D14688" s="1"/>
      <c r="G14688" s="13"/>
      <c r="AL14688" s="13"/>
    </row>
    <row r="14689" spans="4:38" x14ac:dyDescent="0.3">
      <c r="D14689" s="1"/>
      <c r="G14689" s="13"/>
      <c r="AL14689" s="13"/>
    </row>
    <row r="14690" spans="4:38" x14ac:dyDescent="0.3">
      <c r="D14690" s="1"/>
      <c r="G14690" s="13"/>
      <c r="AL14690" s="13"/>
    </row>
    <row r="14691" spans="4:38" x14ac:dyDescent="0.3">
      <c r="D14691" s="1"/>
      <c r="G14691" s="13"/>
      <c r="AL14691" s="13"/>
    </row>
    <row r="14692" spans="4:38" x14ac:dyDescent="0.3">
      <c r="D14692" s="1"/>
      <c r="G14692" s="13"/>
      <c r="AL14692" s="13"/>
    </row>
    <row r="14693" spans="4:38" x14ac:dyDescent="0.3">
      <c r="D14693" s="1"/>
      <c r="G14693" s="13"/>
      <c r="AL14693" s="13"/>
    </row>
    <row r="14694" spans="4:38" x14ac:dyDescent="0.3">
      <c r="D14694" s="1"/>
      <c r="G14694" s="13"/>
      <c r="AL14694" s="13"/>
    </row>
    <row r="14695" spans="4:38" x14ac:dyDescent="0.3">
      <c r="D14695" s="1"/>
      <c r="G14695" s="13"/>
      <c r="AL14695" s="13"/>
    </row>
    <row r="14696" spans="4:38" x14ac:dyDescent="0.3">
      <c r="D14696" s="1"/>
      <c r="G14696" s="13"/>
      <c r="AL14696" s="13"/>
    </row>
    <row r="14697" spans="4:38" x14ac:dyDescent="0.3">
      <c r="D14697" s="1"/>
      <c r="G14697" s="13"/>
      <c r="AL14697" s="13"/>
    </row>
    <row r="14698" spans="4:38" x14ac:dyDescent="0.3">
      <c r="D14698" s="1"/>
      <c r="G14698" s="13"/>
      <c r="AL14698" s="13"/>
    </row>
    <row r="14699" spans="4:38" x14ac:dyDescent="0.3">
      <c r="D14699" s="1"/>
      <c r="G14699" s="13"/>
      <c r="AL14699" s="13"/>
    </row>
    <row r="14700" spans="4:38" x14ac:dyDescent="0.3">
      <c r="D14700" s="1"/>
      <c r="G14700" s="13"/>
      <c r="AL14700" s="13"/>
    </row>
    <row r="14701" spans="4:38" x14ac:dyDescent="0.3">
      <c r="D14701" s="1"/>
      <c r="G14701" s="13"/>
      <c r="AL14701" s="13"/>
    </row>
    <row r="14702" spans="4:38" x14ac:dyDescent="0.3">
      <c r="D14702" s="1"/>
      <c r="G14702" s="13"/>
      <c r="AL14702" s="13"/>
    </row>
    <row r="14703" spans="4:38" x14ac:dyDescent="0.3">
      <c r="D14703" s="1"/>
      <c r="G14703" s="13"/>
      <c r="AL14703" s="13"/>
    </row>
    <row r="14704" spans="4:38" x14ac:dyDescent="0.3">
      <c r="D14704" s="1"/>
      <c r="G14704" s="13"/>
      <c r="AL14704" s="13"/>
    </row>
    <row r="14705" spans="4:38" x14ac:dyDescent="0.3">
      <c r="D14705" s="1"/>
      <c r="G14705" s="13"/>
      <c r="AL14705" s="13"/>
    </row>
    <row r="14706" spans="4:38" x14ac:dyDescent="0.3">
      <c r="D14706" s="1"/>
      <c r="G14706" s="13"/>
      <c r="AL14706" s="13"/>
    </row>
    <row r="14707" spans="4:38" x14ac:dyDescent="0.3">
      <c r="D14707" s="1"/>
      <c r="G14707" s="13"/>
      <c r="AL14707" s="13"/>
    </row>
    <row r="14708" spans="4:38" x14ac:dyDescent="0.3">
      <c r="D14708" s="1"/>
      <c r="G14708" s="13"/>
      <c r="AL14708" s="13"/>
    </row>
    <row r="14709" spans="4:38" x14ac:dyDescent="0.3">
      <c r="D14709" s="1"/>
      <c r="G14709" s="13"/>
      <c r="AL14709" s="13"/>
    </row>
    <row r="14710" spans="4:38" x14ac:dyDescent="0.3">
      <c r="D14710" s="1"/>
      <c r="G14710" s="13"/>
      <c r="AL14710" s="13"/>
    </row>
    <row r="14711" spans="4:38" x14ac:dyDescent="0.3">
      <c r="D14711" s="1"/>
      <c r="G14711" s="13"/>
      <c r="AL14711" s="13"/>
    </row>
    <row r="14712" spans="4:38" x14ac:dyDescent="0.3">
      <c r="D14712" s="1"/>
      <c r="G14712" s="13"/>
      <c r="AL14712" s="13"/>
    </row>
    <row r="14713" spans="4:38" x14ac:dyDescent="0.3">
      <c r="D14713" s="1"/>
      <c r="G14713" s="13"/>
      <c r="AL14713" s="13"/>
    </row>
    <row r="14714" spans="4:38" x14ac:dyDescent="0.3">
      <c r="D14714" s="1"/>
      <c r="G14714" s="13"/>
      <c r="AL14714" s="13"/>
    </row>
    <row r="14715" spans="4:38" x14ac:dyDescent="0.3">
      <c r="D14715" s="1"/>
      <c r="G14715" s="13"/>
      <c r="AL14715" s="13"/>
    </row>
    <row r="14716" spans="4:38" x14ac:dyDescent="0.3">
      <c r="D14716" s="1"/>
      <c r="G14716" s="13"/>
      <c r="AL14716" s="13"/>
    </row>
    <row r="14717" spans="4:38" x14ac:dyDescent="0.3">
      <c r="D14717" s="1"/>
      <c r="G14717" s="13"/>
      <c r="AL14717" s="13"/>
    </row>
    <row r="14718" spans="4:38" x14ac:dyDescent="0.3">
      <c r="D14718" s="1"/>
      <c r="G14718" s="13"/>
      <c r="AL14718" s="13"/>
    </row>
    <row r="14719" spans="4:38" x14ac:dyDescent="0.3">
      <c r="D14719" s="1"/>
      <c r="G14719" s="13"/>
      <c r="AL14719" s="13"/>
    </row>
    <row r="14720" spans="4:38" x14ac:dyDescent="0.3">
      <c r="D14720" s="1"/>
      <c r="G14720" s="13"/>
      <c r="AL14720" s="13"/>
    </row>
    <row r="14721" spans="4:39" x14ac:dyDescent="0.3">
      <c r="D14721" s="1"/>
      <c r="G14721" s="13"/>
      <c r="AL14721" s="13"/>
    </row>
    <row r="14722" spans="4:39" x14ac:dyDescent="0.3">
      <c r="D14722" s="1"/>
      <c r="G14722" s="13"/>
      <c r="AL14722" s="13"/>
    </row>
    <row r="14723" spans="4:39" x14ac:dyDescent="0.3">
      <c r="D14723" s="1"/>
      <c r="G14723" s="13"/>
      <c r="AL14723" s="13"/>
    </row>
    <row r="14724" spans="4:39" x14ac:dyDescent="0.3">
      <c r="D14724" s="1"/>
      <c r="G14724" s="13"/>
      <c r="AL14724" s="13"/>
    </row>
    <row r="14725" spans="4:39" x14ac:dyDescent="0.3">
      <c r="D14725" s="1"/>
      <c r="G14725" s="13"/>
      <c r="AL14725" s="13"/>
    </row>
    <row r="14726" spans="4:39" x14ac:dyDescent="0.3">
      <c r="D14726" s="1"/>
      <c r="G14726" s="13"/>
      <c r="AL14726" s="13"/>
    </row>
    <row r="14727" spans="4:39" x14ac:dyDescent="0.3">
      <c r="D14727" s="1"/>
      <c r="G14727" s="13"/>
      <c r="AL14727" s="13"/>
    </row>
    <row r="14728" spans="4:39" x14ac:dyDescent="0.3">
      <c r="D14728" s="1"/>
      <c r="G14728" s="13"/>
      <c r="AL14728" s="13"/>
    </row>
    <row r="14729" spans="4:39" x14ac:dyDescent="0.3">
      <c r="D14729" s="1"/>
      <c r="G14729" s="13"/>
      <c r="AL14729" s="13"/>
    </row>
    <row r="14730" spans="4:39" x14ac:dyDescent="0.3">
      <c r="D14730" s="1"/>
      <c r="G14730" s="13"/>
      <c r="AL14730" s="13"/>
      <c r="AM14730" s="14"/>
    </row>
    <row r="14731" spans="4:39" x14ac:dyDescent="0.3">
      <c r="D14731" s="1"/>
      <c r="G14731" s="13"/>
      <c r="AL14731" s="13"/>
    </row>
    <row r="14732" spans="4:39" x14ac:dyDescent="0.3">
      <c r="D14732" s="1"/>
      <c r="G14732" s="13"/>
      <c r="AL14732" s="13"/>
    </row>
    <row r="14733" spans="4:39" x14ac:dyDescent="0.3">
      <c r="D14733" s="1"/>
      <c r="G14733" s="13"/>
      <c r="AL14733" s="13"/>
    </row>
    <row r="14734" spans="4:39" x14ac:dyDescent="0.3">
      <c r="D14734" s="1"/>
      <c r="G14734" s="13"/>
      <c r="AL14734" s="13"/>
    </row>
    <row r="14735" spans="4:39" x14ac:dyDescent="0.3">
      <c r="D14735" s="1"/>
      <c r="G14735" s="13"/>
      <c r="AL14735" s="13"/>
      <c r="AM14735" s="14"/>
    </row>
    <row r="14736" spans="4:39" x14ac:dyDescent="0.3">
      <c r="D14736" s="1"/>
      <c r="G14736" s="13"/>
      <c r="AL14736" s="13"/>
    </row>
    <row r="14737" spans="4:39" x14ac:dyDescent="0.3">
      <c r="D14737" s="1"/>
      <c r="G14737" s="13"/>
      <c r="AL14737" s="13"/>
    </row>
    <row r="14738" spans="4:39" x14ac:dyDescent="0.3">
      <c r="D14738" s="1"/>
      <c r="G14738" s="13"/>
      <c r="AL14738" s="13"/>
    </row>
    <row r="14739" spans="4:39" x14ac:dyDescent="0.3">
      <c r="D14739" s="1"/>
      <c r="G14739" s="13"/>
      <c r="AL14739" s="13"/>
    </row>
    <row r="14740" spans="4:39" x14ac:dyDescent="0.3">
      <c r="D14740" s="1"/>
      <c r="G14740" s="13"/>
      <c r="AL14740" s="13"/>
      <c r="AM14740" s="14"/>
    </row>
    <row r="14741" spans="4:39" x14ac:dyDescent="0.3">
      <c r="D14741" s="1"/>
      <c r="G14741" s="13"/>
      <c r="AL14741" s="13"/>
      <c r="AM14741" s="14"/>
    </row>
    <row r="14742" spans="4:39" x14ac:dyDescent="0.3">
      <c r="D14742" s="1"/>
      <c r="G14742" s="13"/>
      <c r="AL14742" s="13"/>
    </row>
    <row r="14743" spans="4:39" x14ac:dyDescent="0.3">
      <c r="D14743" s="1"/>
      <c r="G14743" s="13"/>
      <c r="AL14743" s="13"/>
    </row>
    <row r="14744" spans="4:39" x14ac:dyDescent="0.3">
      <c r="D14744" s="1"/>
      <c r="G14744" s="13"/>
      <c r="AL14744" s="13"/>
      <c r="AM14744" s="14"/>
    </row>
    <row r="14745" spans="4:39" x14ac:dyDescent="0.3">
      <c r="D14745" s="1"/>
      <c r="G14745" s="13"/>
      <c r="AL14745" s="13"/>
    </row>
    <row r="14746" spans="4:39" x14ac:dyDescent="0.3">
      <c r="D14746" s="1"/>
      <c r="G14746" s="13"/>
      <c r="AL14746" s="13"/>
    </row>
    <row r="14747" spans="4:39" x14ac:dyDescent="0.3">
      <c r="D14747" s="1"/>
      <c r="G14747" s="13"/>
      <c r="AL14747" s="13"/>
      <c r="AM14747" s="14"/>
    </row>
    <row r="14748" spans="4:39" x14ac:dyDescent="0.3">
      <c r="D14748" s="1"/>
      <c r="G14748" s="13"/>
      <c r="AL14748" s="13"/>
    </row>
    <row r="14749" spans="4:39" x14ac:dyDescent="0.3">
      <c r="D14749" s="1"/>
      <c r="G14749" s="13"/>
      <c r="AL14749" s="13"/>
    </row>
    <row r="14750" spans="4:39" x14ac:dyDescent="0.3">
      <c r="D14750" s="1"/>
      <c r="G14750" s="13"/>
      <c r="AL14750" s="13"/>
    </row>
    <row r="14751" spans="4:39" x14ac:dyDescent="0.3">
      <c r="D14751" s="1"/>
      <c r="G14751" s="13"/>
      <c r="AL14751" s="13"/>
    </row>
    <row r="14752" spans="4:39" x14ac:dyDescent="0.3">
      <c r="D14752" s="1"/>
      <c r="G14752" s="13"/>
      <c r="AL14752" s="13"/>
    </row>
    <row r="14753" spans="4:39" x14ac:dyDescent="0.3">
      <c r="D14753" s="1"/>
      <c r="G14753" s="13"/>
      <c r="AL14753" s="13"/>
    </row>
    <row r="14754" spans="4:39" x14ac:dyDescent="0.3">
      <c r="D14754" s="1"/>
      <c r="G14754" s="13"/>
      <c r="AL14754" s="13"/>
    </row>
    <row r="14755" spans="4:39" x14ac:dyDescent="0.3">
      <c r="D14755" s="1"/>
      <c r="G14755" s="13"/>
      <c r="AL14755" s="13"/>
      <c r="AM14755" s="14"/>
    </row>
    <row r="14756" spans="4:39" x14ac:dyDescent="0.3">
      <c r="D14756" s="1"/>
      <c r="G14756" s="13"/>
      <c r="AL14756" s="13"/>
    </row>
    <row r="14757" spans="4:39" x14ac:dyDescent="0.3">
      <c r="D14757" s="1"/>
      <c r="G14757" s="13"/>
      <c r="AL14757" s="13"/>
    </row>
    <row r="14758" spans="4:39" x14ac:dyDescent="0.3">
      <c r="D14758" s="1"/>
      <c r="G14758" s="13"/>
      <c r="AL14758" s="13"/>
    </row>
    <row r="14759" spans="4:39" x14ac:dyDescent="0.3">
      <c r="D14759" s="1"/>
      <c r="G14759" s="13"/>
      <c r="AL14759" s="13"/>
      <c r="AM14759" s="14"/>
    </row>
    <row r="14760" spans="4:39" x14ac:dyDescent="0.3">
      <c r="D14760" s="1"/>
      <c r="G14760" s="13"/>
      <c r="AL14760" s="13"/>
    </row>
    <row r="14761" spans="4:39" x14ac:dyDescent="0.3">
      <c r="D14761" s="1"/>
      <c r="G14761" s="13"/>
      <c r="AL14761" s="13"/>
    </row>
    <row r="14762" spans="4:39" x14ac:dyDescent="0.3">
      <c r="D14762" s="1"/>
      <c r="G14762" s="13"/>
      <c r="AL14762" s="13"/>
    </row>
    <row r="14763" spans="4:39" x14ac:dyDescent="0.3">
      <c r="D14763" s="1"/>
      <c r="G14763" s="13"/>
      <c r="AL14763" s="13"/>
    </row>
    <row r="14764" spans="4:39" x14ac:dyDescent="0.3">
      <c r="D14764" s="1"/>
      <c r="G14764" s="13"/>
      <c r="AL14764" s="13"/>
    </row>
    <row r="14765" spans="4:39" x14ac:dyDescent="0.3">
      <c r="D14765" s="1"/>
      <c r="G14765" s="13"/>
      <c r="AL14765" s="13"/>
    </row>
    <row r="14766" spans="4:39" x14ac:dyDescent="0.3">
      <c r="D14766" s="1"/>
      <c r="G14766" s="13"/>
      <c r="AL14766" s="13"/>
    </row>
    <row r="14767" spans="4:39" x14ac:dyDescent="0.3">
      <c r="D14767" s="1"/>
      <c r="G14767" s="13"/>
      <c r="AL14767" s="13"/>
    </row>
    <row r="14768" spans="4:39" x14ac:dyDescent="0.3">
      <c r="D14768" s="1"/>
      <c r="G14768" s="13"/>
      <c r="AL14768" s="13"/>
    </row>
    <row r="14769" spans="4:39" x14ac:dyDescent="0.3">
      <c r="D14769" s="1"/>
      <c r="G14769" s="13"/>
      <c r="AL14769" s="13"/>
    </row>
    <row r="14770" spans="4:39" x14ac:dyDescent="0.3">
      <c r="D14770" s="1"/>
      <c r="G14770" s="13"/>
      <c r="AL14770" s="13"/>
      <c r="AM14770" s="14"/>
    </row>
    <row r="14771" spans="4:39" x14ac:dyDescent="0.3">
      <c r="D14771" s="1"/>
      <c r="G14771" s="13"/>
      <c r="AL14771" s="13"/>
      <c r="AM14771" s="14"/>
    </row>
    <row r="14772" spans="4:39" x14ac:dyDescent="0.3">
      <c r="D14772" s="1"/>
      <c r="G14772" s="13"/>
      <c r="AL14772" s="13"/>
    </row>
    <row r="14773" spans="4:39" x14ac:dyDescent="0.3">
      <c r="D14773" s="1"/>
      <c r="G14773" s="13"/>
      <c r="AL14773" s="13"/>
    </row>
    <row r="14774" spans="4:39" x14ac:dyDescent="0.3">
      <c r="D14774" s="1"/>
      <c r="G14774" s="13"/>
      <c r="AL14774" s="13"/>
    </row>
    <row r="14775" spans="4:39" x14ac:dyDescent="0.3">
      <c r="D14775" s="1"/>
      <c r="G14775" s="13"/>
      <c r="AL14775" s="13"/>
    </row>
    <row r="14776" spans="4:39" x14ac:dyDescent="0.3">
      <c r="D14776" s="1"/>
      <c r="G14776" s="13"/>
      <c r="AL14776" s="13"/>
      <c r="AM14776" s="14"/>
    </row>
    <row r="14777" spans="4:39" x14ac:dyDescent="0.3">
      <c r="D14777" s="1"/>
      <c r="G14777" s="13"/>
      <c r="AL14777" s="13"/>
    </row>
    <row r="14778" spans="4:39" x14ac:dyDescent="0.3">
      <c r="D14778" s="1"/>
      <c r="G14778" s="13"/>
      <c r="AL14778" s="13"/>
    </row>
    <row r="14779" spans="4:39" x14ac:dyDescent="0.3">
      <c r="D14779" s="1"/>
      <c r="G14779" s="13"/>
      <c r="AL14779" s="13"/>
      <c r="AM14779" s="14"/>
    </row>
    <row r="14780" spans="4:39" x14ac:dyDescent="0.3">
      <c r="D14780" s="1"/>
      <c r="G14780" s="13"/>
      <c r="AL14780" s="13"/>
    </row>
    <row r="14781" spans="4:39" x14ac:dyDescent="0.3">
      <c r="D14781" s="1"/>
      <c r="G14781" s="13"/>
      <c r="AL14781" s="13"/>
      <c r="AM14781" s="14"/>
    </row>
    <row r="14782" spans="4:39" x14ac:dyDescent="0.3">
      <c r="D14782" s="1"/>
      <c r="G14782" s="13"/>
      <c r="AL14782" s="13"/>
    </row>
    <row r="14783" spans="4:39" x14ac:dyDescent="0.3">
      <c r="D14783" s="1"/>
      <c r="G14783" s="13"/>
      <c r="AL14783" s="13"/>
    </row>
    <row r="14784" spans="4:39" x14ac:dyDescent="0.3">
      <c r="D14784" s="1"/>
      <c r="G14784" s="13"/>
      <c r="AL14784" s="13"/>
    </row>
    <row r="14785" spans="4:39" x14ac:dyDescent="0.3">
      <c r="D14785" s="1"/>
      <c r="G14785" s="13"/>
      <c r="AL14785" s="13"/>
    </row>
    <row r="14786" spans="4:39" x14ac:dyDescent="0.3">
      <c r="D14786" s="1"/>
      <c r="G14786" s="13"/>
      <c r="AL14786" s="13"/>
      <c r="AM14786" s="14"/>
    </row>
    <row r="14787" spans="4:39" x14ac:dyDescent="0.3">
      <c r="D14787" s="1"/>
      <c r="G14787" s="13"/>
      <c r="AL14787" s="13"/>
      <c r="AM14787" s="14"/>
    </row>
    <row r="14788" spans="4:39" x14ac:dyDescent="0.3">
      <c r="D14788" s="1"/>
      <c r="G14788" s="13"/>
      <c r="AL14788" s="13"/>
    </row>
    <row r="14789" spans="4:39" x14ac:dyDescent="0.3">
      <c r="D14789" s="1"/>
      <c r="G14789" s="13"/>
      <c r="AL14789" s="13"/>
    </row>
    <row r="14790" spans="4:39" x14ac:dyDescent="0.3">
      <c r="D14790" s="1"/>
      <c r="G14790" s="13"/>
      <c r="AL14790" s="13"/>
    </row>
    <row r="14791" spans="4:39" x14ac:dyDescent="0.3">
      <c r="D14791" s="1"/>
      <c r="G14791" s="13"/>
      <c r="AL14791" s="13"/>
    </row>
    <row r="14792" spans="4:39" x14ac:dyDescent="0.3">
      <c r="D14792" s="1"/>
      <c r="G14792" s="13"/>
      <c r="AL14792" s="13"/>
    </row>
    <row r="14793" spans="4:39" x14ac:dyDescent="0.3">
      <c r="D14793" s="1"/>
      <c r="G14793" s="13"/>
      <c r="AL14793" s="13"/>
    </row>
    <row r="14794" spans="4:39" x14ac:dyDescent="0.3">
      <c r="D14794" s="1"/>
      <c r="G14794" s="13"/>
      <c r="AL14794" s="13"/>
    </row>
    <row r="14795" spans="4:39" x14ac:dyDescent="0.3">
      <c r="D14795" s="1"/>
      <c r="G14795" s="13"/>
      <c r="AL14795" s="13"/>
    </row>
    <row r="14796" spans="4:39" x14ac:dyDescent="0.3">
      <c r="D14796" s="1"/>
      <c r="G14796" s="13"/>
      <c r="AL14796" s="13"/>
    </row>
    <row r="14797" spans="4:39" x14ac:dyDescent="0.3">
      <c r="D14797" s="1"/>
      <c r="G14797" s="13"/>
      <c r="AL14797" s="13"/>
      <c r="AM14797" s="14"/>
    </row>
    <row r="14798" spans="4:39" x14ac:dyDescent="0.3">
      <c r="D14798" s="1"/>
      <c r="G14798" s="13"/>
      <c r="AL14798" s="13"/>
      <c r="AM14798" s="14"/>
    </row>
    <row r="14799" spans="4:39" x14ac:dyDescent="0.3">
      <c r="D14799" s="1"/>
      <c r="G14799" s="13"/>
      <c r="AL14799" s="13"/>
    </row>
    <row r="14800" spans="4:39" x14ac:dyDescent="0.3">
      <c r="D14800" s="1"/>
      <c r="G14800" s="13"/>
      <c r="AL14800" s="13"/>
    </row>
    <row r="14801" spans="4:39" x14ac:dyDescent="0.3">
      <c r="D14801" s="1"/>
      <c r="G14801" s="13"/>
      <c r="AL14801" s="13"/>
    </row>
    <row r="14802" spans="4:39" x14ac:dyDescent="0.3">
      <c r="D14802" s="1"/>
      <c r="G14802" s="13"/>
      <c r="AL14802" s="13"/>
    </row>
    <row r="14803" spans="4:39" x14ac:dyDescent="0.3">
      <c r="D14803" s="1"/>
      <c r="G14803" s="13"/>
      <c r="AL14803" s="13"/>
    </row>
    <row r="14804" spans="4:39" x14ac:dyDescent="0.3">
      <c r="D14804" s="1"/>
      <c r="G14804" s="13"/>
      <c r="AL14804" s="13"/>
    </row>
    <row r="14805" spans="4:39" x14ac:dyDescent="0.3">
      <c r="D14805" s="1"/>
      <c r="G14805" s="13"/>
      <c r="AL14805" s="13"/>
      <c r="AM14805" s="14"/>
    </row>
    <row r="14806" spans="4:39" x14ac:dyDescent="0.3">
      <c r="D14806" s="1"/>
      <c r="G14806" s="13"/>
      <c r="AL14806" s="13"/>
    </row>
    <row r="14807" spans="4:39" x14ac:dyDescent="0.3">
      <c r="D14807" s="1"/>
      <c r="G14807" s="13"/>
      <c r="AL14807" s="13"/>
    </row>
    <row r="14808" spans="4:39" x14ac:dyDescent="0.3">
      <c r="D14808" s="1"/>
      <c r="G14808" s="13"/>
      <c r="AL14808" s="13"/>
    </row>
    <row r="14809" spans="4:39" x14ac:dyDescent="0.3">
      <c r="D14809" s="1"/>
      <c r="G14809" s="13"/>
      <c r="AL14809" s="13"/>
    </row>
    <row r="14810" spans="4:39" x14ac:dyDescent="0.3">
      <c r="D14810" s="1"/>
      <c r="G14810" s="13"/>
      <c r="AL14810" s="13"/>
    </row>
    <row r="14811" spans="4:39" x14ac:dyDescent="0.3">
      <c r="D14811" s="1"/>
      <c r="G14811" s="13"/>
      <c r="AL14811" s="13"/>
    </row>
    <row r="14812" spans="4:39" x14ac:dyDescent="0.3">
      <c r="D14812" s="1"/>
      <c r="G14812" s="13"/>
      <c r="AL14812" s="13"/>
    </row>
    <row r="14813" spans="4:39" x14ac:dyDescent="0.3">
      <c r="D14813" s="1"/>
      <c r="G14813" s="13"/>
      <c r="AL14813" s="13"/>
    </row>
    <row r="14814" spans="4:39" x14ac:dyDescent="0.3">
      <c r="D14814" s="1"/>
      <c r="G14814" s="13"/>
      <c r="AL14814" s="13"/>
    </row>
    <row r="14815" spans="4:39" x14ac:dyDescent="0.3">
      <c r="D14815" s="1"/>
      <c r="G14815" s="13"/>
      <c r="AL14815" s="13"/>
      <c r="AM14815" s="14"/>
    </row>
    <row r="14816" spans="4:39" x14ac:dyDescent="0.3">
      <c r="D14816" s="1"/>
      <c r="G14816" s="13"/>
      <c r="AL14816" s="13"/>
      <c r="AM14816" s="14"/>
    </row>
    <row r="14817" spans="4:38" x14ac:dyDescent="0.3">
      <c r="D14817" s="1"/>
      <c r="G14817" s="13"/>
      <c r="AL14817" s="13"/>
    </row>
    <row r="14818" spans="4:38" x14ac:dyDescent="0.3">
      <c r="D14818" s="1"/>
      <c r="G14818" s="13"/>
      <c r="AL14818" s="13"/>
    </row>
    <row r="14819" spans="4:38" x14ac:dyDescent="0.3">
      <c r="D14819" s="1"/>
      <c r="G14819" s="13"/>
      <c r="AL14819" s="13"/>
    </row>
    <row r="14820" spans="4:38" x14ac:dyDescent="0.3">
      <c r="D14820" s="1"/>
      <c r="G14820" s="13"/>
      <c r="AL14820" s="13"/>
    </row>
    <row r="14821" spans="4:38" x14ac:dyDescent="0.3">
      <c r="D14821" s="1"/>
      <c r="G14821" s="13"/>
      <c r="AL14821" s="13"/>
    </row>
    <row r="14822" spans="4:38" x14ac:dyDescent="0.3">
      <c r="D14822" s="1"/>
      <c r="G14822" s="13"/>
      <c r="AL14822" s="13"/>
    </row>
    <row r="14823" spans="4:38" x14ac:dyDescent="0.3">
      <c r="D14823" s="1"/>
      <c r="G14823" s="13"/>
      <c r="AL14823" s="13"/>
    </row>
    <row r="14824" spans="4:38" x14ac:dyDescent="0.3">
      <c r="D14824" s="1"/>
      <c r="G14824" s="13"/>
      <c r="AL14824" s="13"/>
    </row>
    <row r="14825" spans="4:38" x14ac:dyDescent="0.3">
      <c r="D14825" s="1"/>
      <c r="G14825" s="13"/>
      <c r="AL14825" s="13"/>
    </row>
    <row r="14826" spans="4:38" x14ac:dyDescent="0.3">
      <c r="D14826" s="1"/>
      <c r="G14826" s="13"/>
      <c r="AL14826" s="13"/>
    </row>
    <row r="14827" spans="4:38" x14ac:dyDescent="0.3">
      <c r="D14827" s="1"/>
      <c r="G14827" s="13"/>
      <c r="AL14827" s="13"/>
    </row>
    <row r="14828" spans="4:38" x14ac:dyDescent="0.3">
      <c r="D14828" s="1"/>
      <c r="G14828" s="13"/>
      <c r="AL14828" s="13"/>
    </row>
    <row r="14829" spans="4:38" x14ac:dyDescent="0.3">
      <c r="D14829" s="1"/>
      <c r="G14829" s="13"/>
      <c r="AL14829" s="13"/>
    </row>
    <row r="14830" spans="4:38" x14ac:dyDescent="0.3">
      <c r="D14830" s="1"/>
      <c r="G14830" s="13"/>
      <c r="AL14830" s="13"/>
    </row>
    <row r="14831" spans="4:38" x14ac:dyDescent="0.3">
      <c r="D14831" s="1"/>
      <c r="G14831" s="13"/>
      <c r="AL14831" s="13"/>
    </row>
    <row r="14832" spans="4:38" x14ac:dyDescent="0.3">
      <c r="D14832" s="1"/>
      <c r="G14832" s="13"/>
      <c r="AL14832" s="13"/>
    </row>
    <row r="14833" spans="4:39" x14ac:dyDescent="0.3">
      <c r="D14833" s="1"/>
      <c r="G14833" s="13"/>
      <c r="AL14833" s="13"/>
      <c r="AM14833" s="14"/>
    </row>
    <row r="14834" spans="4:39" x14ac:dyDescent="0.3">
      <c r="D14834" s="1"/>
      <c r="G14834" s="13"/>
      <c r="AL14834" s="13"/>
      <c r="AM14834" s="14"/>
    </row>
    <row r="14835" spans="4:39" x14ac:dyDescent="0.3">
      <c r="D14835" s="1"/>
      <c r="G14835" s="13"/>
      <c r="AL14835" s="13"/>
      <c r="AM14835" s="14"/>
    </row>
    <row r="14836" spans="4:39" x14ac:dyDescent="0.3">
      <c r="D14836" s="1"/>
      <c r="G14836" s="13"/>
      <c r="AL14836" s="13"/>
    </row>
    <row r="14837" spans="4:39" x14ac:dyDescent="0.3">
      <c r="D14837" s="1"/>
      <c r="G14837" s="13"/>
      <c r="AL14837" s="13"/>
    </row>
    <row r="14838" spans="4:39" x14ac:dyDescent="0.3">
      <c r="D14838" s="1"/>
      <c r="G14838" s="13"/>
      <c r="AL14838" s="13"/>
      <c r="AM14838" s="14"/>
    </row>
    <row r="14839" spans="4:39" x14ac:dyDescent="0.3">
      <c r="D14839" s="1"/>
      <c r="G14839" s="13"/>
      <c r="AL14839" s="13"/>
    </row>
    <row r="14840" spans="4:39" x14ac:dyDescent="0.3">
      <c r="D14840" s="1"/>
      <c r="G14840" s="13"/>
      <c r="AL14840" s="13"/>
    </row>
    <row r="14841" spans="4:39" x14ac:dyDescent="0.3">
      <c r="D14841" s="1"/>
      <c r="G14841" s="13"/>
      <c r="AL14841" s="13"/>
    </row>
    <row r="14842" spans="4:39" x14ac:dyDescent="0.3">
      <c r="D14842" s="1"/>
      <c r="G14842" s="13"/>
      <c r="AL14842" s="13"/>
    </row>
    <row r="14843" spans="4:39" x14ac:dyDescent="0.3">
      <c r="D14843" s="1"/>
      <c r="G14843" s="13"/>
      <c r="AL14843" s="13"/>
      <c r="AM14843" s="14"/>
    </row>
    <row r="14844" spans="4:39" x14ac:dyDescent="0.3">
      <c r="D14844" s="1"/>
      <c r="G14844" s="13"/>
      <c r="AL14844" s="13"/>
    </row>
    <row r="14845" spans="4:39" x14ac:dyDescent="0.3">
      <c r="D14845" s="1"/>
      <c r="G14845" s="13"/>
      <c r="AL14845" s="13"/>
    </row>
    <row r="14846" spans="4:39" x14ac:dyDescent="0.3">
      <c r="D14846" s="1"/>
      <c r="G14846" s="13"/>
      <c r="AL14846" s="13"/>
      <c r="AM14846" s="14"/>
    </row>
    <row r="14847" spans="4:39" x14ac:dyDescent="0.3">
      <c r="D14847" s="1"/>
      <c r="G14847" s="13"/>
      <c r="AL14847" s="13"/>
      <c r="AM14847" s="14"/>
    </row>
    <row r="14848" spans="4:39" x14ac:dyDescent="0.3">
      <c r="D14848" s="1"/>
      <c r="G14848" s="13"/>
      <c r="AL14848" s="13"/>
      <c r="AM14848" s="14"/>
    </row>
    <row r="14849" spans="4:39" x14ac:dyDescent="0.3">
      <c r="D14849" s="1"/>
      <c r="G14849" s="13"/>
      <c r="AL14849" s="13"/>
      <c r="AM14849" s="14"/>
    </row>
    <row r="14850" spans="4:39" x14ac:dyDescent="0.3">
      <c r="D14850" s="1"/>
      <c r="G14850" s="13"/>
      <c r="AL14850" s="13"/>
      <c r="AM14850" s="14"/>
    </row>
    <row r="14851" spans="4:39" x14ac:dyDescent="0.3">
      <c r="D14851" s="1"/>
      <c r="G14851" s="13"/>
      <c r="AL14851" s="13"/>
    </row>
    <row r="14852" spans="4:39" x14ac:dyDescent="0.3">
      <c r="D14852" s="1"/>
      <c r="G14852" s="13"/>
      <c r="AL14852" s="13"/>
    </row>
    <row r="14853" spans="4:39" x14ac:dyDescent="0.3">
      <c r="D14853" s="1"/>
      <c r="G14853" s="13"/>
      <c r="AL14853" s="13"/>
    </row>
    <row r="14854" spans="4:39" x14ac:dyDescent="0.3">
      <c r="D14854" s="1"/>
      <c r="G14854" s="13"/>
      <c r="AL14854" s="13"/>
    </row>
    <row r="14855" spans="4:39" x14ac:dyDescent="0.3">
      <c r="D14855" s="1"/>
      <c r="G14855" s="13"/>
      <c r="AL14855" s="13"/>
    </row>
    <row r="14856" spans="4:39" x14ac:dyDescent="0.3">
      <c r="D14856" s="1"/>
      <c r="G14856" s="13"/>
      <c r="AL14856" s="13"/>
    </row>
    <row r="14857" spans="4:39" x14ac:dyDescent="0.3">
      <c r="D14857" s="1"/>
      <c r="G14857" s="13"/>
      <c r="AL14857" s="13"/>
      <c r="AM14857" s="14"/>
    </row>
    <row r="14858" spans="4:39" x14ac:dyDescent="0.3">
      <c r="D14858" s="1"/>
      <c r="G14858" s="13"/>
      <c r="AL14858" s="13"/>
    </row>
    <row r="14859" spans="4:39" x14ac:dyDescent="0.3">
      <c r="D14859" s="1"/>
      <c r="G14859" s="13"/>
      <c r="AL14859" s="13"/>
    </row>
    <row r="14860" spans="4:39" x14ac:dyDescent="0.3">
      <c r="D14860" s="1"/>
      <c r="G14860" s="13"/>
      <c r="AL14860" s="13"/>
    </row>
    <row r="14861" spans="4:39" x14ac:dyDescent="0.3">
      <c r="D14861" s="1"/>
      <c r="G14861" s="13"/>
      <c r="AL14861" s="13"/>
      <c r="AM14861" s="14"/>
    </row>
    <row r="14862" spans="4:39" x14ac:dyDescent="0.3">
      <c r="D14862" s="1"/>
      <c r="G14862" s="13"/>
      <c r="AL14862" s="13"/>
    </row>
    <row r="14863" spans="4:39" x14ac:dyDescent="0.3">
      <c r="D14863" s="1"/>
      <c r="G14863" s="13"/>
      <c r="AL14863" s="13"/>
    </row>
    <row r="14864" spans="4:39" x14ac:dyDescent="0.3">
      <c r="D14864" s="1"/>
      <c r="G14864" s="13"/>
      <c r="AL14864" s="13"/>
    </row>
    <row r="14865" spans="4:39" x14ac:dyDescent="0.3">
      <c r="D14865" s="1"/>
      <c r="G14865" s="13"/>
      <c r="AL14865" s="13"/>
      <c r="AM14865" s="14"/>
    </row>
    <row r="14866" spans="4:39" x14ac:dyDescent="0.3">
      <c r="D14866" s="1"/>
      <c r="G14866" s="13"/>
      <c r="AL14866" s="13"/>
    </row>
    <row r="14867" spans="4:39" x14ac:dyDescent="0.3">
      <c r="D14867" s="1"/>
      <c r="G14867" s="13"/>
      <c r="AL14867" s="13"/>
    </row>
    <row r="14868" spans="4:39" x14ac:dyDescent="0.3">
      <c r="D14868" s="1"/>
      <c r="G14868" s="13"/>
      <c r="AL14868" s="13"/>
    </row>
    <row r="14869" spans="4:39" x14ac:dyDescent="0.3">
      <c r="D14869" s="1"/>
      <c r="G14869" s="13"/>
      <c r="AL14869" s="13"/>
      <c r="AM14869" s="14"/>
    </row>
    <row r="14870" spans="4:39" x14ac:dyDescent="0.3">
      <c r="D14870" s="1"/>
      <c r="G14870" s="13"/>
      <c r="AL14870" s="13"/>
    </row>
    <row r="14871" spans="4:39" x14ac:dyDescent="0.3">
      <c r="D14871" s="1"/>
      <c r="G14871" s="13"/>
      <c r="AL14871" s="13"/>
    </row>
    <row r="14872" spans="4:39" x14ac:dyDescent="0.3">
      <c r="D14872" s="1"/>
      <c r="G14872" s="13"/>
      <c r="AL14872" s="13"/>
    </row>
    <row r="14873" spans="4:39" x14ac:dyDescent="0.3">
      <c r="D14873" s="1"/>
      <c r="G14873" s="13"/>
      <c r="AL14873" s="13"/>
    </row>
    <row r="14874" spans="4:39" x14ac:dyDescent="0.3">
      <c r="D14874" s="1"/>
      <c r="G14874" s="13"/>
      <c r="AL14874" s="13"/>
    </row>
    <row r="14875" spans="4:39" x14ac:dyDescent="0.3">
      <c r="D14875" s="1"/>
      <c r="G14875" s="13"/>
      <c r="AL14875" s="13"/>
    </row>
    <row r="14876" spans="4:39" x14ac:dyDescent="0.3">
      <c r="D14876" s="1"/>
      <c r="G14876" s="13"/>
      <c r="AL14876" s="13"/>
    </row>
    <row r="14877" spans="4:39" x14ac:dyDescent="0.3">
      <c r="D14877" s="1"/>
      <c r="G14877" s="13"/>
      <c r="AL14877" s="13"/>
    </row>
    <row r="14878" spans="4:39" x14ac:dyDescent="0.3">
      <c r="D14878" s="1"/>
      <c r="G14878" s="13"/>
      <c r="AL14878" s="13"/>
    </row>
    <row r="14879" spans="4:39" x14ac:dyDescent="0.3">
      <c r="D14879" s="1"/>
      <c r="G14879" s="13"/>
      <c r="AL14879" s="13"/>
    </row>
    <row r="14880" spans="4:39" x14ac:dyDescent="0.3">
      <c r="D14880" s="1"/>
      <c r="G14880" s="13"/>
      <c r="AL14880" s="13"/>
      <c r="AM14880" s="14"/>
    </row>
    <row r="14881" spans="4:39" x14ac:dyDescent="0.3">
      <c r="D14881" s="1"/>
      <c r="G14881" s="13"/>
      <c r="AL14881" s="13"/>
    </row>
    <row r="14882" spans="4:39" x14ac:dyDescent="0.3">
      <c r="D14882" s="1"/>
      <c r="G14882" s="13"/>
      <c r="AL14882" s="13"/>
    </row>
    <row r="14883" spans="4:39" x14ac:dyDescent="0.3">
      <c r="D14883" s="1"/>
      <c r="G14883" s="13"/>
      <c r="AL14883" s="13"/>
    </row>
    <row r="14884" spans="4:39" x14ac:dyDescent="0.3">
      <c r="D14884" s="1"/>
      <c r="G14884" s="13"/>
      <c r="AL14884" s="13"/>
    </row>
    <row r="14885" spans="4:39" x14ac:dyDescent="0.3">
      <c r="D14885" s="1"/>
      <c r="G14885" s="13"/>
      <c r="AL14885" s="13"/>
      <c r="AM14885" s="14"/>
    </row>
    <row r="14886" spans="4:39" x14ac:dyDescent="0.3">
      <c r="D14886" s="1"/>
      <c r="G14886" s="13"/>
      <c r="AL14886" s="13"/>
    </row>
    <row r="14887" spans="4:39" x14ac:dyDescent="0.3">
      <c r="D14887" s="1"/>
      <c r="G14887" s="13"/>
      <c r="AL14887" s="13"/>
    </row>
    <row r="14888" spans="4:39" x14ac:dyDescent="0.3">
      <c r="D14888" s="1"/>
      <c r="G14888" s="13"/>
      <c r="AL14888" s="13"/>
    </row>
    <row r="14889" spans="4:39" x14ac:dyDescent="0.3">
      <c r="D14889" s="1"/>
      <c r="G14889" s="13"/>
      <c r="AL14889" s="13"/>
      <c r="AM14889" s="14"/>
    </row>
    <row r="14890" spans="4:39" x14ac:dyDescent="0.3">
      <c r="D14890" s="1"/>
      <c r="G14890" s="13"/>
      <c r="AL14890" s="13"/>
    </row>
    <row r="14891" spans="4:39" x14ac:dyDescent="0.3">
      <c r="D14891" s="1"/>
      <c r="G14891" s="13"/>
      <c r="AL14891" s="13"/>
    </row>
    <row r="14892" spans="4:39" x14ac:dyDescent="0.3">
      <c r="D14892" s="1"/>
      <c r="G14892" s="13"/>
      <c r="AL14892" s="13"/>
      <c r="AM14892" s="14"/>
    </row>
    <row r="14893" spans="4:39" x14ac:dyDescent="0.3">
      <c r="D14893" s="1"/>
      <c r="G14893" s="13"/>
      <c r="AL14893" s="13"/>
    </row>
    <row r="14894" spans="4:39" x14ac:dyDescent="0.3">
      <c r="D14894" s="1"/>
      <c r="G14894" s="13"/>
      <c r="AL14894" s="13"/>
    </row>
    <row r="14895" spans="4:39" x14ac:dyDescent="0.3">
      <c r="D14895" s="1"/>
      <c r="G14895" s="13"/>
      <c r="AL14895" s="13"/>
    </row>
    <row r="14896" spans="4:39" x14ac:dyDescent="0.3">
      <c r="D14896" s="1"/>
      <c r="G14896" s="13"/>
      <c r="AL14896" s="13"/>
      <c r="AM14896" s="14"/>
    </row>
    <row r="14897" spans="4:39" x14ac:dyDescent="0.3">
      <c r="D14897" s="1"/>
      <c r="G14897" s="13"/>
      <c r="AL14897" s="13"/>
    </row>
    <row r="14898" spans="4:39" x14ac:dyDescent="0.3">
      <c r="D14898" s="1"/>
      <c r="G14898" s="13"/>
      <c r="AL14898" s="13"/>
      <c r="AM14898" s="14"/>
    </row>
    <row r="14899" spans="4:39" x14ac:dyDescent="0.3">
      <c r="D14899" s="1"/>
      <c r="G14899" s="13"/>
      <c r="AL14899" s="13"/>
      <c r="AM14899" s="14"/>
    </row>
    <row r="14900" spans="4:39" x14ac:dyDescent="0.3">
      <c r="D14900" s="1"/>
      <c r="G14900" s="13"/>
      <c r="AL14900" s="13"/>
    </row>
    <row r="14901" spans="4:39" x14ac:dyDescent="0.3">
      <c r="D14901" s="1"/>
      <c r="G14901" s="13"/>
      <c r="AL14901" s="13"/>
    </row>
    <row r="14902" spans="4:39" x14ac:dyDescent="0.3">
      <c r="D14902" s="1"/>
      <c r="G14902" s="13"/>
      <c r="AL14902" s="13"/>
    </row>
    <row r="14903" spans="4:39" x14ac:dyDescent="0.3">
      <c r="D14903" s="1"/>
      <c r="G14903" s="13"/>
      <c r="AL14903" s="13"/>
    </row>
    <row r="14904" spans="4:39" x14ac:dyDescent="0.3">
      <c r="D14904" s="1"/>
      <c r="G14904" s="13"/>
      <c r="AL14904" s="13"/>
    </row>
    <row r="14905" spans="4:39" x14ac:dyDescent="0.3">
      <c r="D14905" s="1"/>
      <c r="G14905" s="13"/>
      <c r="AL14905" s="13"/>
    </row>
    <row r="14906" spans="4:39" x14ac:dyDescent="0.3">
      <c r="D14906" s="1"/>
      <c r="G14906" s="13"/>
      <c r="AL14906" s="13"/>
    </row>
    <row r="14907" spans="4:39" x14ac:dyDescent="0.3">
      <c r="D14907" s="1"/>
      <c r="G14907" s="13"/>
      <c r="AL14907" s="13"/>
    </row>
    <row r="14908" spans="4:39" x14ac:dyDescent="0.3">
      <c r="D14908" s="1"/>
      <c r="G14908" s="13"/>
      <c r="AL14908" s="13"/>
    </row>
    <row r="14909" spans="4:39" x14ac:dyDescent="0.3">
      <c r="D14909" s="1"/>
      <c r="G14909" s="13"/>
      <c r="AL14909" s="13"/>
    </row>
    <row r="14910" spans="4:39" x14ac:dyDescent="0.3">
      <c r="D14910" s="1"/>
      <c r="G14910" s="13"/>
      <c r="AL14910" s="13"/>
    </row>
    <row r="14911" spans="4:39" x14ac:dyDescent="0.3">
      <c r="D14911" s="1"/>
      <c r="G14911" s="13"/>
      <c r="AL14911" s="13"/>
    </row>
    <row r="14912" spans="4:39" x14ac:dyDescent="0.3">
      <c r="D14912" s="1"/>
      <c r="G14912" s="13"/>
      <c r="AL14912" s="13"/>
      <c r="AM14912" s="14"/>
    </row>
    <row r="14913" spans="4:39" x14ac:dyDescent="0.3">
      <c r="D14913" s="1"/>
      <c r="G14913" s="13"/>
      <c r="AL14913" s="13"/>
    </row>
    <row r="14914" spans="4:39" x14ac:dyDescent="0.3">
      <c r="D14914" s="1"/>
      <c r="G14914" s="13"/>
      <c r="AL14914" s="13"/>
      <c r="AM14914" s="14"/>
    </row>
    <row r="14915" spans="4:39" x14ac:dyDescent="0.3">
      <c r="D14915" s="1"/>
      <c r="G14915" s="13"/>
      <c r="AL14915" s="13"/>
    </row>
    <row r="14916" spans="4:39" x14ac:dyDescent="0.3">
      <c r="D14916" s="1"/>
      <c r="G14916" s="13"/>
      <c r="AL14916" s="13"/>
    </row>
    <row r="14917" spans="4:39" x14ac:dyDescent="0.3">
      <c r="D14917" s="1"/>
      <c r="G14917" s="13"/>
      <c r="AL14917" s="13"/>
    </row>
    <row r="14918" spans="4:39" x14ac:dyDescent="0.3">
      <c r="D14918" s="1"/>
      <c r="G14918" s="13"/>
      <c r="AL14918" s="13"/>
    </row>
    <row r="14919" spans="4:39" x14ac:dyDescent="0.3">
      <c r="D14919" s="1"/>
      <c r="G14919" s="13"/>
      <c r="AL14919" s="13"/>
      <c r="AM14919" s="14"/>
    </row>
    <row r="14920" spans="4:39" x14ac:dyDescent="0.3">
      <c r="D14920" s="1"/>
      <c r="G14920" s="13"/>
      <c r="AL14920" s="13"/>
      <c r="AM14920" s="14"/>
    </row>
    <row r="14921" spans="4:39" x14ac:dyDescent="0.3">
      <c r="D14921" s="1"/>
      <c r="G14921" s="13"/>
      <c r="AL14921" s="13"/>
    </row>
    <row r="14922" spans="4:39" x14ac:dyDescent="0.3">
      <c r="D14922" s="1"/>
      <c r="G14922" s="13"/>
      <c r="AL14922" s="13"/>
    </row>
    <row r="14923" spans="4:39" x14ac:dyDescent="0.3">
      <c r="D14923" s="1"/>
      <c r="G14923" s="13"/>
      <c r="AL14923" s="13"/>
      <c r="AM14923" s="14"/>
    </row>
    <row r="14924" spans="4:39" x14ac:dyDescent="0.3">
      <c r="D14924" s="1"/>
      <c r="G14924" s="13"/>
      <c r="AL14924" s="13"/>
      <c r="AM14924" s="14"/>
    </row>
    <row r="14925" spans="4:39" x14ac:dyDescent="0.3">
      <c r="D14925" s="1"/>
      <c r="G14925" s="13"/>
      <c r="AL14925" s="13"/>
    </row>
    <row r="14926" spans="4:39" x14ac:dyDescent="0.3">
      <c r="D14926" s="1"/>
      <c r="G14926" s="13"/>
      <c r="AL14926" s="13"/>
    </row>
    <row r="14927" spans="4:39" x14ac:dyDescent="0.3">
      <c r="D14927" s="1"/>
      <c r="G14927" s="13"/>
      <c r="AL14927" s="13"/>
      <c r="AM14927" s="14"/>
    </row>
    <row r="14928" spans="4:39" x14ac:dyDescent="0.3">
      <c r="D14928" s="1"/>
      <c r="G14928" s="13"/>
      <c r="AL14928" s="13"/>
    </row>
    <row r="14929" spans="4:39" x14ac:dyDescent="0.3">
      <c r="D14929" s="1"/>
      <c r="G14929" s="13"/>
      <c r="AL14929" s="13"/>
    </row>
    <row r="14930" spans="4:39" x14ac:dyDescent="0.3">
      <c r="D14930" s="1"/>
      <c r="G14930" s="13"/>
      <c r="AL14930" s="13"/>
    </row>
    <row r="14931" spans="4:39" x14ac:dyDescent="0.3">
      <c r="D14931" s="1"/>
      <c r="G14931" s="13"/>
      <c r="AL14931" s="13"/>
    </row>
    <row r="14932" spans="4:39" x14ac:dyDescent="0.3">
      <c r="D14932" s="1"/>
      <c r="G14932" s="13"/>
      <c r="AL14932" s="13"/>
      <c r="AM14932" s="14"/>
    </row>
    <row r="14933" spans="4:39" x14ac:dyDescent="0.3">
      <c r="D14933" s="1"/>
      <c r="G14933" s="13"/>
      <c r="AL14933" s="13"/>
    </row>
    <row r="14934" spans="4:39" x14ac:dyDescent="0.3">
      <c r="D14934" s="1"/>
      <c r="G14934" s="13"/>
      <c r="AL14934" s="13"/>
    </row>
    <row r="14935" spans="4:39" x14ac:dyDescent="0.3">
      <c r="D14935" s="1"/>
      <c r="G14935" s="13"/>
      <c r="AL14935" s="13"/>
    </row>
    <row r="14936" spans="4:39" x14ac:dyDescent="0.3">
      <c r="D14936" s="1"/>
      <c r="G14936" s="13"/>
      <c r="AL14936" s="13"/>
    </row>
    <row r="14937" spans="4:39" x14ac:dyDescent="0.3">
      <c r="D14937" s="1"/>
      <c r="G14937" s="13"/>
      <c r="AL14937" s="13"/>
      <c r="AM14937" s="14"/>
    </row>
    <row r="14938" spans="4:39" x14ac:dyDescent="0.3">
      <c r="D14938" s="1"/>
      <c r="G14938" s="13"/>
      <c r="AL14938" s="13"/>
      <c r="AM14938" s="14"/>
    </row>
    <row r="14939" spans="4:39" x14ac:dyDescent="0.3">
      <c r="D14939" s="1"/>
      <c r="G14939" s="13"/>
      <c r="AL14939" s="13"/>
    </row>
    <row r="14940" spans="4:39" x14ac:dyDescent="0.3">
      <c r="D14940" s="1"/>
      <c r="G14940" s="13"/>
      <c r="AL14940" s="13"/>
    </row>
    <row r="14941" spans="4:39" x14ac:dyDescent="0.3">
      <c r="D14941" s="1"/>
      <c r="G14941" s="13"/>
      <c r="AL14941" s="13"/>
    </row>
    <row r="14942" spans="4:39" x14ac:dyDescent="0.3">
      <c r="D14942" s="1"/>
      <c r="G14942" s="13"/>
      <c r="AL14942" s="13"/>
    </row>
    <row r="14943" spans="4:39" x14ac:dyDescent="0.3">
      <c r="D14943" s="1"/>
      <c r="G14943" s="13"/>
      <c r="AL14943" s="13"/>
    </row>
    <row r="14944" spans="4:39" x14ac:dyDescent="0.3">
      <c r="D14944" s="1"/>
      <c r="G14944" s="13"/>
      <c r="AL14944" s="13"/>
    </row>
    <row r="14945" spans="4:39" x14ac:dyDescent="0.3">
      <c r="D14945" s="1"/>
      <c r="G14945" s="13"/>
      <c r="AL14945" s="13"/>
    </row>
    <row r="14946" spans="4:39" x14ac:dyDescent="0.3">
      <c r="D14946" s="1"/>
      <c r="G14946" s="13"/>
      <c r="AL14946" s="13"/>
      <c r="AM14946" s="14"/>
    </row>
    <row r="14947" spans="4:39" x14ac:dyDescent="0.3">
      <c r="D14947" s="1"/>
      <c r="G14947" s="13"/>
      <c r="AL14947" s="13"/>
      <c r="AM14947" s="14"/>
    </row>
    <row r="14948" spans="4:39" x14ac:dyDescent="0.3">
      <c r="D14948" s="1"/>
      <c r="G14948" s="13"/>
      <c r="AL14948" s="13"/>
    </row>
    <row r="14949" spans="4:39" x14ac:dyDescent="0.3">
      <c r="D14949" s="1"/>
      <c r="G14949" s="13"/>
      <c r="AL14949" s="13"/>
      <c r="AM14949" s="14"/>
    </row>
    <row r="14950" spans="4:39" x14ac:dyDescent="0.3">
      <c r="D14950" s="1"/>
      <c r="G14950" s="13"/>
      <c r="AL14950" s="13"/>
    </row>
    <row r="14951" spans="4:39" x14ac:dyDescent="0.3">
      <c r="D14951" s="1"/>
      <c r="G14951" s="13"/>
      <c r="AL14951" s="13"/>
      <c r="AM14951" s="14"/>
    </row>
    <row r="14952" spans="4:39" x14ac:dyDescent="0.3">
      <c r="D14952" s="1"/>
      <c r="G14952" s="13"/>
      <c r="AL14952" s="13"/>
    </row>
    <row r="14953" spans="4:39" x14ac:dyDescent="0.3">
      <c r="D14953" s="1"/>
      <c r="G14953" s="13"/>
      <c r="AL14953" s="13"/>
      <c r="AM14953" s="14"/>
    </row>
    <row r="14954" spans="4:39" x14ac:dyDescent="0.3">
      <c r="D14954" s="1"/>
      <c r="G14954" s="13"/>
      <c r="AL14954" s="13"/>
    </row>
    <row r="14955" spans="4:39" x14ac:dyDescent="0.3">
      <c r="D14955" s="1"/>
      <c r="G14955" s="13"/>
      <c r="AL14955" s="13"/>
    </row>
    <row r="14956" spans="4:39" x14ac:dyDescent="0.3">
      <c r="D14956" s="1"/>
      <c r="G14956" s="13"/>
      <c r="AL14956" s="13"/>
      <c r="AM14956" s="14"/>
    </row>
    <row r="14957" spans="4:39" x14ac:dyDescent="0.3">
      <c r="D14957" s="1"/>
      <c r="G14957" s="13"/>
      <c r="AL14957" s="13"/>
    </row>
    <row r="14958" spans="4:39" x14ac:dyDescent="0.3">
      <c r="D14958" s="1"/>
      <c r="G14958" s="13"/>
      <c r="AL14958" s="13"/>
      <c r="AM14958" s="14"/>
    </row>
    <row r="14959" spans="4:39" x14ac:dyDescent="0.3">
      <c r="D14959" s="1"/>
      <c r="G14959" s="13"/>
      <c r="AL14959" s="13"/>
    </row>
    <row r="14960" spans="4:39" x14ac:dyDescent="0.3">
      <c r="D14960" s="1"/>
      <c r="G14960" s="13"/>
      <c r="AL14960" s="13"/>
    </row>
    <row r="14961" spans="4:39" x14ac:dyDescent="0.3">
      <c r="D14961" s="1"/>
      <c r="G14961" s="13"/>
      <c r="AL14961" s="13"/>
    </row>
    <row r="14962" spans="4:39" x14ac:dyDescent="0.3">
      <c r="D14962" s="1"/>
      <c r="G14962" s="13"/>
      <c r="AL14962" s="13"/>
    </row>
    <row r="14963" spans="4:39" x14ac:dyDescent="0.3">
      <c r="D14963" s="1"/>
      <c r="G14963" s="13"/>
      <c r="AL14963" s="13"/>
    </row>
    <row r="14964" spans="4:39" x14ac:dyDescent="0.3">
      <c r="D14964" s="1"/>
      <c r="G14964" s="13"/>
      <c r="AL14964" s="13"/>
    </row>
    <row r="14965" spans="4:39" x14ac:dyDescent="0.3">
      <c r="D14965" s="1"/>
      <c r="G14965" s="13"/>
      <c r="AL14965" s="13"/>
    </row>
    <row r="14966" spans="4:39" x14ac:dyDescent="0.3">
      <c r="D14966" s="1"/>
      <c r="G14966" s="13"/>
      <c r="AL14966" s="13"/>
      <c r="AM14966" s="14"/>
    </row>
    <row r="14967" spans="4:39" x14ac:dyDescent="0.3">
      <c r="D14967" s="1"/>
      <c r="G14967" s="13"/>
      <c r="AL14967" s="13"/>
    </row>
    <row r="14968" spans="4:39" x14ac:dyDescent="0.3">
      <c r="D14968" s="1"/>
      <c r="G14968" s="13"/>
      <c r="AL14968" s="13"/>
    </row>
    <row r="14969" spans="4:39" x14ac:dyDescent="0.3">
      <c r="D14969" s="1"/>
      <c r="G14969" s="13"/>
      <c r="AL14969" s="13"/>
    </row>
    <row r="14970" spans="4:39" x14ac:dyDescent="0.3">
      <c r="D14970" s="1"/>
      <c r="G14970" s="13"/>
      <c r="AL14970" s="13"/>
    </row>
    <row r="14971" spans="4:39" x14ac:dyDescent="0.3">
      <c r="D14971" s="1"/>
      <c r="G14971" s="13"/>
      <c r="AL14971" s="13"/>
    </row>
    <row r="14972" spans="4:39" x14ac:dyDescent="0.3">
      <c r="D14972" s="1"/>
      <c r="G14972" s="13"/>
      <c r="AL14972" s="13"/>
    </row>
    <row r="14973" spans="4:39" x14ac:dyDescent="0.3">
      <c r="D14973" s="1"/>
      <c r="G14973" s="13"/>
      <c r="AL14973" s="13"/>
      <c r="AM14973" s="14"/>
    </row>
    <row r="14974" spans="4:39" x14ac:dyDescent="0.3">
      <c r="D14974" s="1"/>
      <c r="G14974" s="13"/>
      <c r="AL14974" s="13"/>
    </row>
    <row r="14975" spans="4:39" x14ac:dyDescent="0.3">
      <c r="D14975" s="1"/>
      <c r="G14975" s="13"/>
      <c r="AL14975" s="13"/>
    </row>
    <row r="14976" spans="4:39" x14ac:dyDescent="0.3">
      <c r="D14976" s="1"/>
      <c r="G14976" s="13"/>
      <c r="AL14976" s="13"/>
    </row>
    <row r="14977" spans="4:39" x14ac:dyDescent="0.3">
      <c r="D14977" s="1"/>
      <c r="G14977" s="13"/>
      <c r="AL14977" s="13"/>
    </row>
    <row r="14978" spans="4:39" x14ac:dyDescent="0.3">
      <c r="D14978" s="1"/>
      <c r="G14978" s="13"/>
      <c r="AL14978" s="13"/>
    </row>
    <row r="14979" spans="4:39" x14ac:dyDescent="0.3">
      <c r="D14979" s="1"/>
      <c r="G14979" s="13"/>
      <c r="AL14979" s="13"/>
      <c r="AM14979" s="14"/>
    </row>
    <row r="14980" spans="4:39" x14ac:dyDescent="0.3">
      <c r="D14980" s="1"/>
      <c r="G14980" s="13"/>
      <c r="AL14980" s="13"/>
    </row>
    <row r="14981" spans="4:39" x14ac:dyDescent="0.3">
      <c r="D14981" s="1"/>
      <c r="G14981" s="13"/>
      <c r="AL14981" s="13"/>
    </row>
    <row r="14982" spans="4:39" x14ac:dyDescent="0.3">
      <c r="D14982" s="1"/>
      <c r="G14982" s="13"/>
      <c r="AL14982" s="13"/>
    </row>
    <row r="14983" spans="4:39" x14ac:dyDescent="0.3">
      <c r="D14983" s="1"/>
      <c r="G14983" s="13"/>
      <c r="AL14983" s="13"/>
      <c r="AM14983" s="14"/>
    </row>
    <row r="14984" spans="4:39" x14ac:dyDescent="0.3">
      <c r="D14984" s="1"/>
      <c r="G14984" s="13"/>
      <c r="AL14984" s="13"/>
      <c r="AM14984" s="14"/>
    </row>
    <row r="14985" spans="4:39" x14ac:dyDescent="0.3">
      <c r="D14985" s="1"/>
      <c r="G14985" s="13"/>
      <c r="AL14985" s="13"/>
      <c r="AM14985" s="14"/>
    </row>
    <row r="14986" spans="4:39" x14ac:dyDescent="0.3">
      <c r="D14986" s="1"/>
      <c r="G14986" s="13"/>
      <c r="AL14986" s="13"/>
    </row>
    <row r="14987" spans="4:39" x14ac:dyDescent="0.3">
      <c r="D14987" s="1"/>
      <c r="G14987" s="13"/>
      <c r="AL14987" s="13"/>
    </row>
    <row r="14988" spans="4:39" x14ac:dyDescent="0.3">
      <c r="D14988" s="1"/>
      <c r="G14988" s="13"/>
      <c r="AL14988" s="13"/>
    </row>
    <row r="14989" spans="4:39" x14ac:dyDescent="0.3">
      <c r="D14989" s="1"/>
      <c r="G14989" s="13"/>
      <c r="AL14989" s="13"/>
    </row>
    <row r="14990" spans="4:39" x14ac:dyDescent="0.3">
      <c r="D14990" s="1"/>
      <c r="G14990" s="13"/>
      <c r="AL14990" s="13"/>
    </row>
    <row r="14991" spans="4:39" x14ac:dyDescent="0.3">
      <c r="D14991" s="1"/>
      <c r="G14991" s="13"/>
      <c r="AL14991" s="13"/>
    </row>
    <row r="14992" spans="4:39" x14ac:dyDescent="0.3">
      <c r="D14992" s="1"/>
      <c r="G14992" s="13"/>
      <c r="AL14992" s="13"/>
    </row>
    <row r="14993" spans="4:39" x14ac:dyDescent="0.3">
      <c r="D14993" s="1"/>
      <c r="G14993" s="13"/>
      <c r="AL14993" s="13"/>
    </row>
    <row r="14994" spans="4:39" x14ac:dyDescent="0.3">
      <c r="D14994" s="1"/>
      <c r="G14994" s="13"/>
      <c r="AL14994" s="13"/>
    </row>
    <row r="14995" spans="4:39" x14ac:dyDescent="0.3">
      <c r="D14995" s="1"/>
      <c r="G14995" s="13"/>
      <c r="AL14995" s="13"/>
      <c r="AM14995" s="14"/>
    </row>
    <row r="14996" spans="4:39" x14ac:dyDescent="0.3">
      <c r="D14996" s="1"/>
      <c r="G14996" s="13"/>
      <c r="AL14996" s="13"/>
    </row>
    <row r="14997" spans="4:39" x14ac:dyDescent="0.3">
      <c r="D14997" s="1"/>
      <c r="G14997" s="13"/>
      <c r="AL14997" s="13"/>
    </row>
    <row r="14998" spans="4:39" x14ac:dyDescent="0.3">
      <c r="D14998" s="1"/>
      <c r="G14998" s="13"/>
      <c r="AL14998" s="13"/>
    </row>
    <row r="14999" spans="4:39" x14ac:dyDescent="0.3">
      <c r="D14999" s="1"/>
      <c r="G14999" s="13"/>
      <c r="AL14999" s="13"/>
      <c r="AM14999" s="14"/>
    </row>
    <row r="15000" spans="4:39" x14ac:dyDescent="0.3">
      <c r="D15000" s="1"/>
      <c r="G15000" s="13"/>
      <c r="AL15000" s="13"/>
      <c r="AM15000" s="14"/>
    </row>
    <row r="15001" spans="4:39" x14ac:dyDescent="0.3">
      <c r="D15001" s="1"/>
      <c r="G15001" s="13"/>
      <c r="AL15001" s="13"/>
    </row>
    <row r="15002" spans="4:39" x14ac:dyDescent="0.3">
      <c r="D15002" s="1"/>
      <c r="G15002" s="13"/>
      <c r="AL15002" s="13"/>
      <c r="AM15002" s="14"/>
    </row>
    <row r="15003" spans="4:39" x14ac:dyDescent="0.3">
      <c r="D15003" s="1"/>
      <c r="G15003" s="13"/>
      <c r="AL15003" s="13"/>
      <c r="AM15003" s="14"/>
    </row>
    <row r="15004" spans="4:39" x14ac:dyDescent="0.3">
      <c r="D15004" s="1"/>
      <c r="G15004" s="13"/>
      <c r="AL15004" s="13"/>
    </row>
    <row r="15005" spans="4:39" x14ac:dyDescent="0.3">
      <c r="D15005" s="1"/>
      <c r="G15005" s="13"/>
      <c r="AL15005" s="13"/>
    </row>
    <row r="15006" spans="4:39" x14ac:dyDescent="0.3">
      <c r="D15006" s="1"/>
      <c r="G15006" s="13"/>
      <c r="AL15006" s="13"/>
    </row>
    <row r="15007" spans="4:39" x14ac:dyDescent="0.3">
      <c r="D15007" s="1"/>
      <c r="G15007" s="13"/>
      <c r="AL15007" s="13"/>
    </row>
    <row r="15008" spans="4:39" x14ac:dyDescent="0.3">
      <c r="D15008" s="1"/>
      <c r="G15008" s="13"/>
      <c r="AL15008" s="13"/>
      <c r="AM15008" s="14"/>
    </row>
    <row r="15009" spans="4:39" x14ac:dyDescent="0.3">
      <c r="D15009" s="1"/>
      <c r="G15009" s="13"/>
      <c r="AL15009" s="13"/>
    </row>
    <row r="15010" spans="4:39" x14ac:dyDescent="0.3">
      <c r="D15010" s="1"/>
      <c r="G15010" s="13"/>
      <c r="AL15010" s="13"/>
      <c r="AM15010" s="14"/>
    </row>
    <row r="15011" spans="4:39" x14ac:dyDescent="0.3">
      <c r="D15011" s="1"/>
      <c r="G15011" s="13"/>
      <c r="AL15011" s="13"/>
    </row>
    <row r="15012" spans="4:39" x14ac:dyDescent="0.3">
      <c r="D15012" s="1"/>
      <c r="G15012" s="13"/>
      <c r="AL15012" s="13"/>
    </row>
    <row r="15013" spans="4:39" x14ac:dyDescent="0.3">
      <c r="D15013" s="1"/>
      <c r="G15013" s="13"/>
      <c r="AL15013" s="13"/>
      <c r="AM15013" s="14"/>
    </row>
    <row r="15014" spans="4:39" x14ac:dyDescent="0.3">
      <c r="D15014" s="1"/>
      <c r="G15014" s="13"/>
      <c r="AL15014" s="13"/>
    </row>
    <row r="15015" spans="4:39" x14ac:dyDescent="0.3">
      <c r="D15015" s="1"/>
      <c r="G15015" s="13"/>
      <c r="AL15015" s="13"/>
    </row>
    <row r="15016" spans="4:39" x14ac:dyDescent="0.3">
      <c r="D15016" s="1"/>
      <c r="G15016" s="13"/>
      <c r="AL15016" s="13"/>
    </row>
    <row r="15017" spans="4:39" x14ac:dyDescent="0.3">
      <c r="D15017" s="1"/>
      <c r="G15017" s="13"/>
      <c r="AL15017" s="13"/>
    </row>
    <row r="15018" spans="4:39" x14ac:dyDescent="0.3">
      <c r="D15018" s="1"/>
      <c r="G15018" s="13"/>
      <c r="AL15018" s="13"/>
    </row>
    <row r="15019" spans="4:39" x14ac:dyDescent="0.3">
      <c r="D15019" s="1"/>
      <c r="G15019" s="13"/>
      <c r="AL15019" s="13"/>
    </row>
    <row r="15020" spans="4:39" x14ac:dyDescent="0.3">
      <c r="D15020" s="1"/>
      <c r="G15020" s="13"/>
      <c r="AL15020" s="13"/>
    </row>
    <row r="15021" spans="4:39" x14ac:dyDescent="0.3">
      <c r="D15021" s="1"/>
      <c r="G15021" s="13"/>
      <c r="AL15021" s="13"/>
      <c r="AM15021" s="14"/>
    </row>
    <row r="15022" spans="4:39" x14ac:dyDescent="0.3">
      <c r="D15022" s="1"/>
      <c r="G15022" s="13"/>
      <c r="AL15022" s="13"/>
    </row>
    <row r="15023" spans="4:39" x14ac:dyDescent="0.3">
      <c r="D15023" s="1"/>
      <c r="G15023" s="13"/>
      <c r="AL15023" s="13"/>
    </row>
    <row r="15024" spans="4:39" x14ac:dyDescent="0.3">
      <c r="D15024" s="1"/>
      <c r="G15024" s="13"/>
      <c r="AL15024" s="13"/>
    </row>
    <row r="15025" spans="4:39" x14ac:dyDescent="0.3">
      <c r="D15025" s="1"/>
      <c r="G15025" s="13"/>
      <c r="AL15025" s="13"/>
      <c r="AM15025" s="14"/>
    </row>
    <row r="15026" spans="4:39" x14ac:dyDescent="0.3">
      <c r="D15026" s="1"/>
      <c r="G15026" s="13"/>
      <c r="AL15026" s="13"/>
    </row>
    <row r="15027" spans="4:39" x14ac:dyDescent="0.3">
      <c r="D15027" s="1"/>
      <c r="G15027" s="13"/>
      <c r="AL15027" s="13"/>
      <c r="AM15027" s="14"/>
    </row>
    <row r="15028" spans="4:39" x14ac:dyDescent="0.3">
      <c r="D15028" s="1"/>
      <c r="G15028" s="13"/>
      <c r="AL15028" s="13"/>
    </row>
    <row r="15029" spans="4:39" x14ac:dyDescent="0.3">
      <c r="D15029" s="1"/>
      <c r="G15029" s="13"/>
      <c r="AL15029" s="13"/>
    </row>
    <row r="15030" spans="4:39" x14ac:dyDescent="0.3">
      <c r="D15030" s="1"/>
      <c r="G15030" s="13"/>
      <c r="AL15030" s="13"/>
    </row>
    <row r="15031" spans="4:39" x14ac:dyDescent="0.3">
      <c r="D15031" s="1"/>
      <c r="G15031" s="13"/>
      <c r="AL15031" s="13"/>
    </row>
    <row r="15032" spans="4:39" x14ac:dyDescent="0.3">
      <c r="D15032" s="1"/>
      <c r="G15032" s="13"/>
      <c r="AL15032" s="13"/>
      <c r="AM15032" s="14"/>
    </row>
    <row r="15033" spans="4:39" x14ac:dyDescent="0.3">
      <c r="D15033" s="1"/>
      <c r="G15033" s="13"/>
      <c r="AL15033" s="13"/>
    </row>
    <row r="15034" spans="4:39" x14ac:dyDescent="0.3">
      <c r="D15034" s="1"/>
      <c r="G15034" s="13"/>
      <c r="AL15034" s="13"/>
    </row>
    <row r="15035" spans="4:39" x14ac:dyDescent="0.3">
      <c r="D15035" s="1"/>
      <c r="G15035" s="13"/>
      <c r="AL15035" s="13"/>
    </row>
    <row r="15036" spans="4:39" x14ac:dyDescent="0.3">
      <c r="D15036" s="1"/>
      <c r="G15036" s="13"/>
      <c r="AL15036" s="13"/>
    </row>
    <row r="15037" spans="4:39" x14ac:dyDescent="0.3">
      <c r="D15037" s="1"/>
      <c r="G15037" s="13"/>
      <c r="AL15037" s="13"/>
    </row>
    <row r="15038" spans="4:39" x14ac:dyDescent="0.3">
      <c r="D15038" s="1"/>
      <c r="G15038" s="13"/>
      <c r="AL15038" s="13"/>
    </row>
    <row r="15039" spans="4:39" x14ac:dyDescent="0.3">
      <c r="D15039" s="1"/>
      <c r="G15039" s="13"/>
      <c r="AL15039" s="13"/>
    </row>
    <row r="15040" spans="4:39" x14ac:dyDescent="0.3">
      <c r="D15040" s="1"/>
      <c r="G15040" s="13"/>
      <c r="AL15040" s="13"/>
      <c r="AM15040" s="14"/>
    </row>
    <row r="15041" spans="4:39" x14ac:dyDescent="0.3">
      <c r="D15041" s="1"/>
      <c r="G15041" s="13"/>
      <c r="AL15041" s="13"/>
    </row>
    <row r="15042" spans="4:39" x14ac:dyDescent="0.3">
      <c r="D15042" s="1"/>
      <c r="G15042" s="13"/>
      <c r="AL15042" s="13"/>
    </row>
    <row r="15043" spans="4:39" x14ac:dyDescent="0.3">
      <c r="D15043" s="1"/>
      <c r="G15043" s="13"/>
      <c r="AL15043" s="13"/>
      <c r="AM15043" s="14"/>
    </row>
    <row r="15044" spans="4:39" x14ac:dyDescent="0.3">
      <c r="D15044" s="1"/>
      <c r="G15044" s="13"/>
      <c r="AL15044" s="13"/>
      <c r="AM15044" s="14"/>
    </row>
    <row r="15045" spans="4:39" x14ac:dyDescent="0.3">
      <c r="D15045" s="1"/>
      <c r="G15045" s="13"/>
      <c r="AL15045" s="13"/>
    </row>
    <row r="15046" spans="4:39" x14ac:dyDescent="0.3">
      <c r="D15046" s="1"/>
      <c r="G15046" s="13"/>
      <c r="AL15046" s="13"/>
    </row>
    <row r="15047" spans="4:39" x14ac:dyDescent="0.3">
      <c r="D15047" s="1"/>
      <c r="G15047" s="13"/>
      <c r="AL15047" s="13"/>
    </row>
    <row r="15048" spans="4:39" x14ac:dyDescent="0.3">
      <c r="D15048" s="1"/>
      <c r="G15048" s="13"/>
      <c r="AL15048" s="13"/>
    </row>
    <row r="15049" spans="4:39" x14ac:dyDescent="0.3">
      <c r="D15049" s="1"/>
      <c r="G15049" s="13"/>
      <c r="AL15049" s="13"/>
    </row>
    <row r="15050" spans="4:39" x14ac:dyDescent="0.3">
      <c r="D15050" s="1"/>
      <c r="G15050" s="13"/>
      <c r="AL15050" s="13"/>
      <c r="AM15050" s="14"/>
    </row>
    <row r="15051" spans="4:39" x14ac:dyDescent="0.3">
      <c r="D15051" s="1"/>
      <c r="G15051" s="13"/>
      <c r="AL15051" s="13"/>
    </row>
    <row r="15052" spans="4:39" x14ac:dyDescent="0.3">
      <c r="D15052" s="1"/>
      <c r="G15052" s="13"/>
      <c r="AL15052" s="13"/>
    </row>
    <row r="15053" spans="4:39" x14ac:dyDescent="0.3">
      <c r="D15053" s="1"/>
      <c r="G15053" s="13"/>
      <c r="AL15053" s="13"/>
    </row>
    <row r="15054" spans="4:39" x14ac:dyDescent="0.3">
      <c r="D15054" s="1"/>
      <c r="G15054" s="13"/>
      <c r="AL15054" s="13"/>
    </row>
    <row r="15055" spans="4:39" x14ac:dyDescent="0.3">
      <c r="D15055" s="1"/>
      <c r="G15055" s="13"/>
      <c r="AL15055" s="13"/>
    </row>
    <row r="15056" spans="4:39" x14ac:dyDescent="0.3">
      <c r="D15056" s="1"/>
      <c r="G15056" s="13"/>
      <c r="AL15056" s="13"/>
      <c r="AM15056" s="14"/>
    </row>
    <row r="15057" spans="4:39" x14ac:dyDescent="0.3">
      <c r="D15057" s="1"/>
      <c r="G15057" s="13"/>
      <c r="AL15057" s="13"/>
      <c r="AM15057" s="14"/>
    </row>
    <row r="15058" spans="4:39" x14ac:dyDescent="0.3">
      <c r="D15058" s="1"/>
      <c r="G15058" s="13"/>
      <c r="AL15058" s="13"/>
      <c r="AM15058" s="14"/>
    </row>
    <row r="15059" spans="4:39" x14ac:dyDescent="0.3">
      <c r="D15059" s="1"/>
      <c r="G15059" s="13"/>
      <c r="AL15059" s="13"/>
    </row>
    <row r="15060" spans="4:39" x14ac:dyDescent="0.3">
      <c r="D15060" s="1"/>
      <c r="G15060" s="13"/>
      <c r="AL15060" s="13"/>
      <c r="AM15060" s="14"/>
    </row>
    <row r="15061" spans="4:39" x14ac:dyDescent="0.3">
      <c r="D15061" s="1"/>
      <c r="G15061" s="13"/>
      <c r="AL15061" s="13"/>
    </row>
    <row r="15062" spans="4:39" x14ac:dyDescent="0.3">
      <c r="D15062" s="1"/>
      <c r="G15062" s="13"/>
      <c r="AL15062" s="13"/>
    </row>
    <row r="15063" spans="4:39" x14ac:dyDescent="0.3">
      <c r="D15063" s="1"/>
      <c r="G15063" s="13"/>
      <c r="AL15063" s="13"/>
      <c r="AM15063" s="14"/>
    </row>
    <row r="15064" spans="4:39" x14ac:dyDescent="0.3">
      <c r="D15064" s="1"/>
      <c r="G15064" s="13"/>
      <c r="AL15064" s="13"/>
    </row>
    <row r="15065" spans="4:39" x14ac:dyDescent="0.3">
      <c r="D15065" s="1"/>
      <c r="G15065" s="13"/>
      <c r="AL15065" s="13"/>
      <c r="AM15065" s="14"/>
    </row>
    <row r="15066" spans="4:39" x14ac:dyDescent="0.3">
      <c r="D15066" s="1"/>
      <c r="G15066" s="13"/>
      <c r="AL15066" s="13"/>
    </row>
    <row r="15067" spans="4:39" x14ac:dyDescent="0.3">
      <c r="D15067" s="1"/>
      <c r="G15067" s="13"/>
      <c r="AL15067" s="13"/>
    </row>
    <row r="15068" spans="4:39" x14ac:dyDescent="0.3">
      <c r="D15068" s="1"/>
      <c r="G15068" s="13"/>
      <c r="AL15068" s="13"/>
    </row>
    <row r="15069" spans="4:39" x14ac:dyDescent="0.3">
      <c r="D15069" s="1"/>
      <c r="G15069" s="13"/>
      <c r="AL15069" s="13"/>
      <c r="AM15069" s="14"/>
    </row>
    <row r="15070" spans="4:39" x14ac:dyDescent="0.3">
      <c r="D15070" s="1"/>
      <c r="G15070" s="13"/>
      <c r="AL15070" s="13"/>
    </row>
    <row r="15071" spans="4:39" x14ac:dyDescent="0.3">
      <c r="D15071" s="1"/>
      <c r="G15071" s="13"/>
      <c r="AL15071" s="13"/>
    </row>
    <row r="15072" spans="4:39" x14ac:dyDescent="0.3">
      <c r="D15072" s="1"/>
      <c r="G15072" s="13"/>
      <c r="AL15072" s="13"/>
    </row>
    <row r="15073" spans="4:39" x14ac:dyDescent="0.3">
      <c r="D15073" s="1"/>
      <c r="G15073" s="13"/>
      <c r="AL15073" s="13"/>
      <c r="AM15073" s="14"/>
    </row>
    <row r="15074" spans="4:39" x14ac:dyDescent="0.3">
      <c r="D15074" s="1"/>
      <c r="G15074" s="13"/>
      <c r="AL15074" s="13"/>
    </row>
    <row r="15075" spans="4:39" x14ac:dyDescent="0.3">
      <c r="D15075" s="1"/>
      <c r="G15075" s="13"/>
      <c r="AL15075" s="13"/>
      <c r="AM15075" s="14"/>
    </row>
    <row r="15076" spans="4:39" x14ac:dyDescent="0.3">
      <c r="D15076" s="1"/>
      <c r="G15076" s="13"/>
      <c r="AL15076" s="13"/>
    </row>
    <row r="15077" spans="4:39" x14ac:dyDescent="0.3">
      <c r="D15077" s="1"/>
      <c r="G15077" s="13"/>
      <c r="AL15077" s="13"/>
    </row>
    <row r="15078" spans="4:39" x14ac:dyDescent="0.3">
      <c r="D15078" s="1"/>
      <c r="G15078" s="13"/>
      <c r="AL15078" s="13"/>
    </row>
    <row r="15079" spans="4:39" x14ac:dyDescent="0.3">
      <c r="D15079" s="1"/>
      <c r="G15079" s="13"/>
      <c r="AL15079" s="13"/>
    </row>
    <row r="15080" spans="4:39" x14ac:dyDescent="0.3">
      <c r="D15080" s="1"/>
      <c r="G15080" s="13"/>
      <c r="AL15080" s="13"/>
    </row>
    <row r="15081" spans="4:39" x14ac:dyDescent="0.3">
      <c r="D15081" s="1"/>
      <c r="G15081" s="13"/>
      <c r="AL15081" s="13"/>
      <c r="AM15081" s="14"/>
    </row>
    <row r="15082" spans="4:39" x14ac:dyDescent="0.3">
      <c r="D15082" s="1"/>
      <c r="G15082" s="13"/>
      <c r="AL15082" s="13"/>
    </row>
    <row r="15083" spans="4:39" x14ac:dyDescent="0.3">
      <c r="D15083" s="1"/>
      <c r="G15083" s="13"/>
      <c r="AL15083" s="13"/>
    </row>
    <row r="15084" spans="4:39" x14ac:dyDescent="0.3">
      <c r="D15084" s="1"/>
      <c r="G15084" s="13"/>
      <c r="AL15084" s="13"/>
      <c r="AM15084" s="14"/>
    </row>
    <row r="15085" spans="4:39" x14ac:dyDescent="0.3">
      <c r="D15085" s="1"/>
      <c r="G15085" s="13"/>
      <c r="AL15085" s="13"/>
    </row>
    <row r="15086" spans="4:39" x14ac:dyDescent="0.3">
      <c r="D15086" s="1"/>
      <c r="G15086" s="13"/>
      <c r="AL15086" s="13"/>
    </row>
    <row r="15087" spans="4:39" x14ac:dyDescent="0.3">
      <c r="D15087" s="1"/>
      <c r="G15087" s="13"/>
      <c r="AL15087" s="13"/>
    </row>
    <row r="15088" spans="4:39" x14ac:dyDescent="0.3">
      <c r="D15088" s="1"/>
      <c r="G15088" s="13"/>
      <c r="AL15088" s="13"/>
    </row>
    <row r="15089" spans="4:39" x14ac:dyDescent="0.3">
      <c r="D15089" s="1"/>
      <c r="G15089" s="13"/>
      <c r="AL15089" s="13"/>
      <c r="AM15089" s="14"/>
    </row>
    <row r="15090" spans="4:39" x14ac:dyDescent="0.3">
      <c r="D15090" s="1"/>
      <c r="G15090" s="13"/>
      <c r="AL15090" s="13"/>
      <c r="AM15090" s="14"/>
    </row>
    <row r="15091" spans="4:39" x14ac:dyDescent="0.3">
      <c r="D15091" s="1"/>
      <c r="G15091" s="13"/>
      <c r="AL15091" s="13"/>
    </row>
    <row r="15092" spans="4:39" x14ac:dyDescent="0.3">
      <c r="D15092" s="1"/>
      <c r="G15092" s="13"/>
      <c r="AL15092" s="13"/>
      <c r="AM15092" s="14"/>
    </row>
    <row r="15093" spans="4:39" x14ac:dyDescent="0.3">
      <c r="D15093" s="1"/>
      <c r="G15093" s="13"/>
      <c r="AL15093" s="13"/>
    </row>
    <row r="15094" spans="4:39" x14ac:dyDescent="0.3">
      <c r="D15094" s="1"/>
      <c r="G15094" s="13"/>
      <c r="AL15094" s="13"/>
    </row>
    <row r="15095" spans="4:39" x14ac:dyDescent="0.3">
      <c r="D15095" s="1"/>
      <c r="G15095" s="13"/>
      <c r="AL15095" s="13"/>
    </row>
    <row r="15096" spans="4:39" x14ac:dyDescent="0.3">
      <c r="D15096" s="1"/>
      <c r="G15096" s="13"/>
      <c r="AL15096" s="13"/>
    </row>
    <row r="15097" spans="4:39" x14ac:dyDescent="0.3">
      <c r="D15097" s="1"/>
      <c r="G15097" s="13"/>
      <c r="AL15097" s="13"/>
    </row>
    <row r="15098" spans="4:39" x14ac:dyDescent="0.3">
      <c r="D15098" s="1"/>
      <c r="G15098" s="13"/>
      <c r="AL15098" s="13"/>
    </row>
    <row r="15099" spans="4:39" x14ac:dyDescent="0.3">
      <c r="D15099" s="1"/>
      <c r="G15099" s="13"/>
      <c r="AL15099" s="13"/>
    </row>
    <row r="15100" spans="4:39" x14ac:dyDescent="0.3">
      <c r="D15100" s="1"/>
      <c r="G15100" s="13"/>
      <c r="AL15100" s="13"/>
    </row>
    <row r="15101" spans="4:39" x14ac:dyDescent="0.3">
      <c r="D15101" s="1"/>
      <c r="G15101" s="13"/>
      <c r="AL15101" s="13"/>
    </row>
    <row r="15102" spans="4:39" x14ac:dyDescent="0.3">
      <c r="D15102" s="1"/>
      <c r="G15102" s="13"/>
      <c r="AL15102" s="13"/>
    </row>
    <row r="15103" spans="4:39" x14ac:dyDescent="0.3">
      <c r="D15103" s="1"/>
      <c r="G15103" s="13"/>
      <c r="AL15103" s="13"/>
    </row>
    <row r="15104" spans="4:39" x14ac:dyDescent="0.3">
      <c r="D15104" s="1"/>
      <c r="G15104" s="13"/>
      <c r="AL15104" s="13"/>
    </row>
    <row r="15105" spans="4:39" x14ac:dyDescent="0.3">
      <c r="D15105" s="1"/>
      <c r="G15105" s="13"/>
      <c r="AL15105" s="13"/>
    </row>
    <row r="15106" spans="4:39" x14ac:dyDescent="0.3">
      <c r="D15106" s="1"/>
      <c r="G15106" s="13"/>
      <c r="AL15106" s="13"/>
    </row>
    <row r="15107" spans="4:39" x14ac:dyDescent="0.3">
      <c r="D15107" s="1"/>
      <c r="G15107" s="13"/>
      <c r="AL15107" s="13"/>
    </row>
    <row r="15108" spans="4:39" x14ac:dyDescent="0.3">
      <c r="D15108" s="1"/>
      <c r="G15108" s="13"/>
      <c r="AL15108" s="13"/>
    </row>
    <row r="15109" spans="4:39" x14ac:dyDescent="0.3">
      <c r="D15109" s="1"/>
      <c r="G15109" s="13"/>
      <c r="AL15109" s="13"/>
    </row>
    <row r="15110" spans="4:39" x14ac:dyDescent="0.3">
      <c r="D15110" s="1"/>
      <c r="G15110" s="13"/>
      <c r="AL15110" s="13"/>
    </row>
    <row r="15111" spans="4:39" x14ac:dyDescent="0.3">
      <c r="D15111" s="1"/>
      <c r="G15111" s="13"/>
      <c r="AL15111" s="13"/>
    </row>
    <row r="15112" spans="4:39" x14ac:dyDescent="0.3">
      <c r="D15112" s="1"/>
      <c r="G15112" s="13"/>
      <c r="AL15112" s="13"/>
    </row>
    <row r="15113" spans="4:39" x14ac:dyDescent="0.3">
      <c r="D15113" s="1"/>
      <c r="G15113" s="13"/>
      <c r="AL15113" s="13"/>
    </row>
    <row r="15114" spans="4:39" x14ac:dyDescent="0.3">
      <c r="D15114" s="1"/>
      <c r="G15114" s="13"/>
      <c r="AL15114" s="13"/>
    </row>
    <row r="15115" spans="4:39" x14ac:dyDescent="0.3">
      <c r="D15115" s="1"/>
      <c r="G15115" s="13"/>
      <c r="AL15115" s="13"/>
    </row>
    <row r="15116" spans="4:39" x14ac:dyDescent="0.3">
      <c r="D15116" s="1"/>
      <c r="G15116" s="13"/>
      <c r="AL15116" s="13"/>
    </row>
    <row r="15117" spans="4:39" x14ac:dyDescent="0.3">
      <c r="D15117" s="1"/>
      <c r="G15117" s="13"/>
      <c r="AL15117" s="13"/>
      <c r="AM15117" s="14"/>
    </row>
    <row r="15118" spans="4:39" x14ac:dyDescent="0.3">
      <c r="D15118" s="1"/>
      <c r="G15118" s="13"/>
      <c r="AL15118" s="13"/>
    </row>
    <row r="15119" spans="4:39" x14ac:dyDescent="0.3">
      <c r="D15119" s="1"/>
      <c r="G15119" s="13"/>
      <c r="AL15119" s="13"/>
    </row>
    <row r="15120" spans="4:39" x14ac:dyDescent="0.3">
      <c r="D15120" s="1"/>
      <c r="G15120" s="13"/>
      <c r="AL15120" s="13"/>
    </row>
    <row r="15121" spans="4:39" x14ac:dyDescent="0.3">
      <c r="D15121" s="1"/>
      <c r="G15121" s="13"/>
      <c r="AL15121" s="13"/>
    </row>
    <row r="15122" spans="4:39" x14ac:dyDescent="0.3">
      <c r="D15122" s="1"/>
      <c r="G15122" s="13"/>
      <c r="AL15122" s="13"/>
    </row>
    <row r="15123" spans="4:39" x14ac:dyDescent="0.3">
      <c r="D15123" s="1"/>
      <c r="G15123" s="13"/>
      <c r="AL15123" s="13"/>
    </row>
    <row r="15124" spans="4:39" x14ac:dyDescent="0.3">
      <c r="D15124" s="1"/>
      <c r="G15124" s="13"/>
      <c r="AL15124" s="13"/>
    </row>
    <row r="15125" spans="4:39" x14ac:dyDescent="0.3">
      <c r="D15125" s="1"/>
      <c r="G15125" s="13"/>
      <c r="AL15125" s="13"/>
    </row>
    <row r="15126" spans="4:39" x14ac:dyDescent="0.3">
      <c r="D15126" s="1"/>
      <c r="G15126" s="13"/>
      <c r="AL15126" s="13"/>
    </row>
    <row r="15127" spans="4:39" x14ac:dyDescent="0.3">
      <c r="D15127" s="1"/>
      <c r="G15127" s="13"/>
      <c r="AL15127" s="13"/>
    </row>
    <row r="15128" spans="4:39" x14ac:dyDescent="0.3">
      <c r="D15128" s="1"/>
      <c r="G15128" s="13"/>
      <c r="AL15128" s="13"/>
      <c r="AM15128" s="14"/>
    </row>
    <row r="15129" spans="4:39" x14ac:dyDescent="0.3">
      <c r="D15129" s="1"/>
      <c r="G15129" s="13"/>
      <c r="AL15129" s="13"/>
    </row>
    <row r="15130" spans="4:39" x14ac:dyDescent="0.3">
      <c r="D15130" s="1"/>
      <c r="G15130" s="13"/>
      <c r="AL15130" s="13"/>
    </row>
    <row r="15131" spans="4:39" x14ac:dyDescent="0.3">
      <c r="D15131" s="1"/>
      <c r="G15131" s="13"/>
      <c r="AL15131" s="13"/>
    </row>
    <row r="15132" spans="4:39" x14ac:dyDescent="0.3">
      <c r="D15132" s="1"/>
      <c r="G15132" s="13"/>
      <c r="AL15132" s="13"/>
      <c r="AM15132" s="14"/>
    </row>
    <row r="15133" spans="4:39" x14ac:dyDescent="0.3">
      <c r="D15133" s="1"/>
      <c r="G15133" s="13"/>
      <c r="AL15133" s="13"/>
    </row>
    <row r="15134" spans="4:39" x14ac:dyDescent="0.3">
      <c r="D15134" s="1"/>
      <c r="G15134" s="13"/>
      <c r="AL15134" s="13"/>
    </row>
    <row r="15135" spans="4:39" x14ac:dyDescent="0.3">
      <c r="D15135" s="1"/>
      <c r="G15135" s="13"/>
      <c r="AL15135" s="13"/>
    </row>
    <row r="15136" spans="4:39" x14ac:dyDescent="0.3">
      <c r="D15136" s="1"/>
      <c r="G15136" s="13"/>
      <c r="AL15136" s="13"/>
    </row>
    <row r="15137" spans="4:39" x14ac:dyDescent="0.3">
      <c r="D15137" s="1"/>
      <c r="G15137" s="13"/>
      <c r="AL15137" s="13"/>
      <c r="AM15137" s="14"/>
    </row>
    <row r="15138" spans="4:39" x14ac:dyDescent="0.3">
      <c r="D15138" s="1"/>
      <c r="G15138" s="13"/>
      <c r="AL15138" s="13"/>
    </row>
    <row r="15139" spans="4:39" x14ac:dyDescent="0.3">
      <c r="D15139" s="1"/>
      <c r="G15139" s="13"/>
      <c r="AL15139" s="13"/>
      <c r="AM15139" s="14"/>
    </row>
    <row r="15140" spans="4:39" x14ac:dyDescent="0.3">
      <c r="D15140" s="1"/>
      <c r="G15140" s="13"/>
      <c r="AL15140" s="13"/>
    </row>
    <row r="15141" spans="4:39" x14ac:dyDescent="0.3">
      <c r="D15141" s="1"/>
      <c r="G15141" s="13"/>
      <c r="AL15141" s="13"/>
      <c r="AM15141" s="14"/>
    </row>
    <row r="15142" spans="4:39" x14ac:dyDescent="0.3">
      <c r="D15142" s="1"/>
      <c r="G15142" s="13"/>
      <c r="AL15142" s="13"/>
    </row>
    <row r="15143" spans="4:39" x14ac:dyDescent="0.3">
      <c r="D15143" s="1"/>
      <c r="G15143" s="13"/>
      <c r="AL15143" s="13"/>
      <c r="AM15143" s="14"/>
    </row>
    <row r="15144" spans="4:39" x14ac:dyDescent="0.3">
      <c r="D15144" s="1"/>
      <c r="G15144" s="13"/>
      <c r="AL15144" s="13"/>
    </row>
    <row r="15145" spans="4:39" x14ac:dyDescent="0.3">
      <c r="D15145" s="1"/>
      <c r="G15145" s="13"/>
      <c r="AL15145" s="13"/>
    </row>
    <row r="15146" spans="4:39" x14ac:dyDescent="0.3">
      <c r="D15146" s="1"/>
      <c r="G15146" s="13"/>
      <c r="AL15146" s="13"/>
    </row>
    <row r="15147" spans="4:39" x14ac:dyDescent="0.3">
      <c r="D15147" s="1"/>
      <c r="G15147" s="13"/>
      <c r="AL15147" s="13"/>
    </row>
    <row r="15148" spans="4:39" x14ac:dyDescent="0.3">
      <c r="D15148" s="1"/>
      <c r="G15148" s="13"/>
      <c r="AL15148" s="13"/>
    </row>
    <row r="15149" spans="4:39" x14ac:dyDescent="0.3">
      <c r="D15149" s="1"/>
      <c r="G15149" s="13"/>
      <c r="AL15149" s="13"/>
    </row>
    <row r="15150" spans="4:39" x14ac:dyDescent="0.3">
      <c r="D15150" s="1"/>
      <c r="G15150" s="13"/>
      <c r="AL15150" s="13"/>
      <c r="AM15150" s="14"/>
    </row>
    <row r="15151" spans="4:39" x14ac:dyDescent="0.3">
      <c r="D15151" s="1"/>
      <c r="G15151" s="13"/>
      <c r="AL15151" s="13"/>
      <c r="AM15151" s="14"/>
    </row>
    <row r="15152" spans="4:39" x14ac:dyDescent="0.3">
      <c r="D15152" s="1"/>
      <c r="G15152" s="13"/>
      <c r="AL15152" s="13"/>
      <c r="AM15152" s="14"/>
    </row>
    <row r="15153" spans="4:39" x14ac:dyDescent="0.3">
      <c r="D15153" s="1"/>
      <c r="G15153" s="13"/>
      <c r="AL15153" s="13"/>
      <c r="AM15153" s="14"/>
    </row>
    <row r="15154" spans="4:39" x14ac:dyDescent="0.3">
      <c r="D15154" s="1"/>
      <c r="G15154" s="13"/>
      <c r="AL15154" s="13"/>
    </row>
    <row r="15155" spans="4:39" x14ac:dyDescent="0.3">
      <c r="D15155" s="1"/>
      <c r="G15155" s="13"/>
      <c r="AL15155" s="13"/>
    </row>
    <row r="15156" spans="4:39" x14ac:dyDescent="0.3">
      <c r="D15156" s="1"/>
      <c r="G15156" s="13"/>
      <c r="AL15156" s="13"/>
      <c r="AM15156" s="14"/>
    </row>
    <row r="15157" spans="4:39" x14ac:dyDescent="0.3">
      <c r="D15157" s="1"/>
      <c r="G15157" s="13"/>
      <c r="AL15157" s="13"/>
      <c r="AM15157" s="14"/>
    </row>
    <row r="15158" spans="4:39" x14ac:dyDescent="0.3">
      <c r="D15158" s="1"/>
      <c r="G15158" s="13"/>
      <c r="AL15158" s="13"/>
    </row>
    <row r="15159" spans="4:39" x14ac:dyDescent="0.3">
      <c r="D15159" s="1"/>
      <c r="G15159" s="13"/>
      <c r="AL15159" s="13"/>
    </row>
    <row r="15160" spans="4:39" x14ac:dyDescent="0.3">
      <c r="D15160" s="1"/>
      <c r="G15160" s="13"/>
      <c r="AL15160" s="13"/>
    </row>
    <row r="15161" spans="4:39" x14ac:dyDescent="0.3">
      <c r="D15161" s="1"/>
      <c r="G15161" s="13"/>
      <c r="AL15161" s="13"/>
    </row>
    <row r="15162" spans="4:39" x14ac:dyDescent="0.3">
      <c r="D15162" s="1"/>
      <c r="G15162" s="13"/>
      <c r="AL15162" s="13"/>
    </row>
    <row r="15163" spans="4:39" x14ac:dyDescent="0.3">
      <c r="D15163" s="1"/>
      <c r="G15163" s="13"/>
      <c r="AL15163" s="13"/>
    </row>
    <row r="15164" spans="4:39" x14ac:dyDescent="0.3">
      <c r="D15164" s="1"/>
      <c r="G15164" s="13"/>
      <c r="AL15164" s="13"/>
    </row>
    <row r="15165" spans="4:39" x14ac:dyDescent="0.3">
      <c r="D15165" s="1"/>
      <c r="G15165" s="13"/>
      <c r="AL15165" s="13"/>
    </row>
    <row r="15166" spans="4:39" x14ac:dyDescent="0.3">
      <c r="D15166" s="1"/>
      <c r="G15166" s="13"/>
      <c r="AL15166" s="13"/>
    </row>
    <row r="15167" spans="4:39" x14ac:dyDescent="0.3">
      <c r="D15167" s="1"/>
      <c r="G15167" s="13"/>
      <c r="AL15167" s="13"/>
    </row>
    <row r="15168" spans="4:39" x14ac:dyDescent="0.3">
      <c r="D15168" s="1"/>
      <c r="G15168" s="13"/>
      <c r="AL15168" s="13"/>
    </row>
    <row r="15169" spans="4:39" x14ac:dyDescent="0.3">
      <c r="D15169" s="1"/>
      <c r="G15169" s="13"/>
      <c r="AL15169" s="13"/>
      <c r="AM15169" s="14"/>
    </row>
    <row r="15170" spans="4:39" x14ac:dyDescent="0.3">
      <c r="D15170" s="1"/>
      <c r="G15170" s="13"/>
      <c r="AL15170" s="13"/>
      <c r="AM15170" s="14"/>
    </row>
    <row r="15171" spans="4:39" x14ac:dyDescent="0.3">
      <c r="D15171" s="1"/>
      <c r="G15171" s="13"/>
      <c r="AL15171" s="13"/>
      <c r="AM15171" s="14"/>
    </row>
    <row r="15172" spans="4:39" x14ac:dyDescent="0.3">
      <c r="D15172" s="1"/>
      <c r="G15172" s="13"/>
      <c r="AL15172" s="13"/>
    </row>
    <row r="15173" spans="4:39" x14ac:dyDescent="0.3">
      <c r="D15173" s="1"/>
      <c r="G15173" s="13"/>
      <c r="AL15173" s="13"/>
      <c r="AM15173" s="14"/>
    </row>
    <row r="15174" spans="4:39" x14ac:dyDescent="0.3">
      <c r="D15174" s="1"/>
      <c r="G15174" s="13"/>
      <c r="AL15174" s="13"/>
      <c r="AM15174" s="14"/>
    </row>
    <row r="15175" spans="4:39" x14ac:dyDescent="0.3">
      <c r="D15175" s="1"/>
      <c r="G15175" s="13"/>
      <c r="AL15175" s="13"/>
      <c r="AM15175" s="14"/>
    </row>
    <row r="15176" spans="4:39" x14ac:dyDescent="0.3">
      <c r="D15176" s="1"/>
      <c r="G15176" s="13"/>
      <c r="AL15176" s="13"/>
    </row>
    <row r="15177" spans="4:39" x14ac:dyDescent="0.3">
      <c r="D15177" s="1"/>
      <c r="G15177" s="13"/>
      <c r="AL15177" s="13"/>
    </row>
    <row r="15178" spans="4:39" x14ac:dyDescent="0.3">
      <c r="D15178" s="1"/>
      <c r="G15178" s="13"/>
      <c r="AL15178" s="13"/>
    </row>
    <row r="15179" spans="4:39" x14ac:dyDescent="0.3">
      <c r="D15179" s="1"/>
      <c r="G15179" s="13"/>
      <c r="AL15179" s="13"/>
    </row>
    <row r="15180" spans="4:39" x14ac:dyDescent="0.3">
      <c r="D15180" s="1"/>
      <c r="G15180" s="13"/>
      <c r="AL15180" s="13"/>
    </row>
    <row r="15181" spans="4:39" x14ac:dyDescent="0.3">
      <c r="D15181" s="1"/>
      <c r="G15181" s="13"/>
      <c r="AL15181" s="13"/>
      <c r="AM15181" s="14"/>
    </row>
    <row r="15182" spans="4:39" x14ac:dyDescent="0.3">
      <c r="D15182" s="1"/>
      <c r="G15182" s="13"/>
      <c r="AL15182" s="13"/>
      <c r="AM15182" s="14"/>
    </row>
    <row r="15183" spans="4:39" x14ac:dyDescent="0.3">
      <c r="D15183" s="1"/>
      <c r="G15183" s="13"/>
      <c r="AL15183" s="13"/>
    </row>
    <row r="15184" spans="4:39" x14ac:dyDescent="0.3">
      <c r="D15184" s="1"/>
      <c r="G15184" s="13"/>
      <c r="AL15184" s="13"/>
    </row>
    <row r="15185" spans="4:39" x14ac:dyDescent="0.3">
      <c r="D15185" s="1"/>
      <c r="G15185" s="13"/>
      <c r="AL15185" s="13"/>
    </row>
    <row r="15186" spans="4:39" x14ac:dyDescent="0.3">
      <c r="D15186" s="1"/>
      <c r="G15186" s="13"/>
      <c r="AL15186" s="13"/>
    </row>
    <row r="15187" spans="4:39" x14ac:dyDescent="0.3">
      <c r="D15187" s="1"/>
      <c r="G15187" s="13"/>
      <c r="AL15187" s="13"/>
      <c r="AM15187" s="14"/>
    </row>
    <row r="15188" spans="4:39" x14ac:dyDescent="0.3">
      <c r="D15188" s="1"/>
      <c r="G15188" s="13"/>
      <c r="AL15188" s="13"/>
    </row>
    <row r="15189" spans="4:39" x14ac:dyDescent="0.3">
      <c r="D15189" s="1"/>
      <c r="G15189" s="13"/>
      <c r="AL15189" s="13"/>
    </row>
    <row r="15190" spans="4:39" x14ac:dyDescent="0.3">
      <c r="D15190" s="1"/>
      <c r="G15190" s="13"/>
      <c r="AL15190" s="13"/>
    </row>
    <row r="15191" spans="4:39" x14ac:dyDescent="0.3">
      <c r="D15191" s="1"/>
      <c r="G15191" s="13"/>
      <c r="AL15191" s="13"/>
    </row>
    <row r="15192" spans="4:39" x14ac:dyDescent="0.3">
      <c r="D15192" s="1"/>
      <c r="G15192" s="13"/>
      <c r="AL15192" s="13"/>
    </row>
    <row r="15193" spans="4:39" x14ac:dyDescent="0.3">
      <c r="D15193" s="1"/>
      <c r="G15193" s="13"/>
      <c r="AL15193" s="13"/>
    </row>
    <row r="15194" spans="4:39" x14ac:dyDescent="0.3">
      <c r="D15194" s="1"/>
      <c r="G15194" s="13"/>
      <c r="AL15194" s="13"/>
    </row>
    <row r="15195" spans="4:39" x14ac:dyDescent="0.3">
      <c r="D15195" s="1"/>
      <c r="G15195" s="13"/>
      <c r="AL15195" s="13"/>
    </row>
    <row r="15196" spans="4:39" x14ac:dyDescent="0.3">
      <c r="D15196" s="1"/>
      <c r="G15196" s="13"/>
      <c r="AL15196" s="13"/>
    </row>
    <row r="15197" spans="4:39" x14ac:dyDescent="0.3">
      <c r="D15197" s="1"/>
      <c r="G15197" s="13"/>
      <c r="AL15197" s="13"/>
    </row>
    <row r="15198" spans="4:39" x14ac:dyDescent="0.3">
      <c r="D15198" s="1"/>
      <c r="G15198" s="13"/>
      <c r="AL15198" s="13"/>
    </row>
    <row r="15199" spans="4:39" x14ac:dyDescent="0.3">
      <c r="D15199" s="1"/>
      <c r="G15199" s="13"/>
      <c r="AL15199" s="13"/>
    </row>
    <row r="15200" spans="4:39" x14ac:dyDescent="0.3">
      <c r="D15200" s="1"/>
      <c r="G15200" s="13"/>
      <c r="AL15200" s="13"/>
    </row>
    <row r="15201" spans="4:39" x14ac:dyDescent="0.3">
      <c r="D15201" s="1"/>
      <c r="G15201" s="13"/>
      <c r="AL15201" s="13"/>
    </row>
    <row r="15202" spans="4:39" x14ac:dyDescent="0.3">
      <c r="D15202" s="1"/>
      <c r="G15202" s="13"/>
      <c r="AL15202" s="13"/>
    </row>
    <row r="15203" spans="4:39" x14ac:dyDescent="0.3">
      <c r="D15203" s="1"/>
      <c r="G15203" s="13"/>
      <c r="AL15203" s="13"/>
    </row>
    <row r="15204" spans="4:39" x14ac:dyDescent="0.3">
      <c r="D15204" s="1"/>
      <c r="G15204" s="13"/>
      <c r="AL15204" s="13"/>
    </row>
    <row r="15205" spans="4:39" x14ac:dyDescent="0.3">
      <c r="D15205" s="1"/>
      <c r="G15205" s="13"/>
      <c r="AL15205" s="13"/>
    </row>
    <row r="15206" spans="4:39" x14ac:dyDescent="0.3">
      <c r="D15206" s="1"/>
      <c r="G15206" s="13"/>
      <c r="AL15206" s="13"/>
    </row>
    <row r="15207" spans="4:39" x14ac:dyDescent="0.3">
      <c r="D15207" s="1"/>
      <c r="G15207" s="13"/>
      <c r="AL15207" s="13"/>
    </row>
    <row r="15208" spans="4:39" x14ac:dyDescent="0.3">
      <c r="D15208" s="1"/>
      <c r="G15208" s="13"/>
      <c r="AL15208" s="13"/>
    </row>
    <row r="15209" spans="4:39" x14ac:dyDescent="0.3">
      <c r="D15209" s="1"/>
      <c r="G15209" s="13"/>
      <c r="AL15209" s="13"/>
    </row>
    <row r="15210" spans="4:39" x14ac:dyDescent="0.3">
      <c r="D15210" s="1"/>
      <c r="G15210" s="13"/>
      <c r="AL15210" s="13"/>
    </row>
    <row r="15211" spans="4:39" x14ac:dyDescent="0.3">
      <c r="D15211" s="1"/>
      <c r="G15211" s="13"/>
      <c r="AL15211" s="13"/>
    </row>
    <row r="15212" spans="4:39" x14ac:dyDescent="0.3">
      <c r="D15212" s="1"/>
      <c r="G15212" s="13"/>
      <c r="AL15212" s="13"/>
    </row>
    <row r="15213" spans="4:39" x14ac:dyDescent="0.3">
      <c r="D15213" s="1"/>
      <c r="G15213" s="13"/>
      <c r="AL15213" s="13"/>
    </row>
    <row r="15214" spans="4:39" x14ac:dyDescent="0.3">
      <c r="D15214" s="1"/>
      <c r="G15214" s="13"/>
      <c r="AL15214" s="13"/>
      <c r="AM15214" s="14"/>
    </row>
    <row r="15215" spans="4:39" x14ac:dyDescent="0.3">
      <c r="D15215" s="1"/>
      <c r="G15215" s="13"/>
      <c r="AL15215" s="13"/>
    </row>
    <row r="15216" spans="4:39" x14ac:dyDescent="0.3">
      <c r="D15216" s="1"/>
      <c r="G15216" s="13"/>
      <c r="AL15216" s="13"/>
    </row>
    <row r="15217" spans="4:39" x14ac:dyDescent="0.3">
      <c r="D15217" s="1"/>
      <c r="G15217" s="13"/>
      <c r="AL15217" s="13"/>
    </row>
    <row r="15218" spans="4:39" x14ac:dyDescent="0.3">
      <c r="D15218" s="1"/>
      <c r="G15218" s="13"/>
      <c r="AL15218" s="13"/>
    </row>
    <row r="15219" spans="4:39" x14ac:dyDescent="0.3">
      <c r="D15219" s="1"/>
      <c r="G15219" s="13"/>
      <c r="AL15219" s="13"/>
    </row>
    <row r="15220" spans="4:39" x14ac:dyDescent="0.3">
      <c r="D15220" s="1"/>
      <c r="G15220" s="13"/>
      <c r="AL15220" s="13"/>
    </row>
    <row r="15221" spans="4:39" x14ac:dyDescent="0.3">
      <c r="D15221" s="1"/>
      <c r="G15221" s="13"/>
      <c r="AL15221" s="13"/>
    </row>
    <row r="15222" spans="4:39" x14ac:dyDescent="0.3">
      <c r="D15222" s="1"/>
      <c r="G15222" s="13"/>
      <c r="AL15222" s="13"/>
    </row>
    <row r="15223" spans="4:39" x14ac:dyDescent="0.3">
      <c r="D15223" s="1"/>
      <c r="G15223" s="13"/>
      <c r="AL15223" s="13"/>
    </row>
    <row r="15224" spans="4:39" x14ac:dyDescent="0.3">
      <c r="D15224" s="1"/>
      <c r="G15224" s="13"/>
      <c r="AL15224" s="13"/>
    </row>
    <row r="15225" spans="4:39" x14ac:dyDescent="0.3">
      <c r="D15225" s="1"/>
      <c r="G15225" s="13"/>
      <c r="AL15225" s="13"/>
    </row>
    <row r="15226" spans="4:39" x14ac:dyDescent="0.3">
      <c r="D15226" s="1"/>
      <c r="G15226" s="13"/>
      <c r="AL15226" s="13"/>
    </row>
    <row r="15227" spans="4:39" x14ac:dyDescent="0.3">
      <c r="D15227" s="1"/>
      <c r="G15227" s="13"/>
      <c r="AL15227" s="13"/>
    </row>
    <row r="15228" spans="4:39" x14ac:dyDescent="0.3">
      <c r="D15228" s="1"/>
      <c r="G15228" s="13"/>
      <c r="AL15228" s="13"/>
    </row>
    <row r="15229" spans="4:39" x14ac:dyDescent="0.3">
      <c r="D15229" s="1"/>
      <c r="G15229" s="13"/>
      <c r="AL15229" s="13"/>
    </row>
    <row r="15230" spans="4:39" x14ac:dyDescent="0.3">
      <c r="D15230" s="1"/>
      <c r="G15230" s="13"/>
      <c r="AL15230" s="13"/>
      <c r="AM15230" s="14"/>
    </row>
    <row r="15231" spans="4:39" x14ac:dyDescent="0.3">
      <c r="D15231" s="1"/>
      <c r="G15231" s="13"/>
      <c r="AL15231" s="13"/>
      <c r="AM15231" s="14"/>
    </row>
    <row r="15232" spans="4:39" x14ac:dyDescent="0.3">
      <c r="D15232" s="1"/>
      <c r="G15232" s="13"/>
      <c r="AL15232" s="13"/>
    </row>
    <row r="15233" spans="4:39" x14ac:dyDescent="0.3">
      <c r="D15233" s="1"/>
      <c r="G15233" s="13"/>
      <c r="AL15233" s="13"/>
    </row>
    <row r="15234" spans="4:39" x14ac:dyDescent="0.3">
      <c r="D15234" s="1"/>
      <c r="G15234" s="13"/>
      <c r="AL15234" s="13"/>
    </row>
    <row r="15235" spans="4:39" x14ac:dyDescent="0.3">
      <c r="D15235" s="1"/>
      <c r="G15235" s="13"/>
      <c r="AL15235" s="13"/>
    </row>
    <row r="15236" spans="4:39" x14ac:dyDescent="0.3">
      <c r="D15236" s="1"/>
      <c r="G15236" s="13"/>
      <c r="AL15236" s="13"/>
      <c r="AM15236" s="14"/>
    </row>
    <row r="15237" spans="4:39" x14ac:dyDescent="0.3">
      <c r="D15237" s="1"/>
      <c r="G15237" s="13"/>
      <c r="AL15237" s="13"/>
    </row>
    <row r="15238" spans="4:39" x14ac:dyDescent="0.3">
      <c r="D15238" s="1"/>
      <c r="G15238" s="13"/>
      <c r="AL15238" s="13"/>
      <c r="AM15238" s="14"/>
    </row>
    <row r="15239" spans="4:39" x14ac:dyDescent="0.3">
      <c r="D15239" s="1"/>
      <c r="G15239" s="13"/>
      <c r="AL15239" s="13"/>
    </row>
    <row r="15240" spans="4:39" x14ac:dyDescent="0.3">
      <c r="D15240" s="1"/>
      <c r="G15240" s="13"/>
      <c r="AL15240" s="13"/>
    </row>
    <row r="15241" spans="4:39" x14ac:dyDescent="0.3">
      <c r="D15241" s="1"/>
      <c r="G15241" s="13"/>
      <c r="AL15241" s="13"/>
    </row>
    <row r="15242" spans="4:39" x14ac:dyDescent="0.3">
      <c r="D15242" s="1"/>
      <c r="G15242" s="13"/>
      <c r="AL15242" s="13"/>
    </row>
    <row r="15243" spans="4:39" x14ac:dyDescent="0.3">
      <c r="D15243" s="1"/>
      <c r="G15243" s="13"/>
      <c r="AL15243" s="13"/>
    </row>
    <row r="15244" spans="4:39" x14ac:dyDescent="0.3">
      <c r="D15244" s="1"/>
      <c r="G15244" s="13"/>
      <c r="AL15244" s="13"/>
    </row>
    <row r="15245" spans="4:39" x14ac:dyDescent="0.3">
      <c r="D15245" s="1"/>
      <c r="G15245" s="13"/>
      <c r="AL15245" s="13"/>
    </row>
    <row r="15246" spans="4:39" x14ac:dyDescent="0.3">
      <c r="D15246" s="1"/>
      <c r="G15246" s="13"/>
      <c r="AL15246" s="13"/>
    </row>
    <row r="15247" spans="4:39" x14ac:dyDescent="0.3">
      <c r="D15247" s="1"/>
      <c r="G15247" s="13"/>
      <c r="AL15247" s="13"/>
    </row>
    <row r="15248" spans="4:39" x14ac:dyDescent="0.3">
      <c r="D15248" s="1"/>
      <c r="G15248" s="13"/>
      <c r="AL15248" s="13"/>
    </row>
    <row r="15249" spans="4:39" x14ac:dyDescent="0.3">
      <c r="D15249" s="1"/>
      <c r="G15249" s="13"/>
      <c r="AL15249" s="13"/>
    </row>
    <row r="15250" spans="4:39" x14ac:dyDescent="0.3">
      <c r="D15250" s="1"/>
      <c r="G15250" s="13"/>
      <c r="AL15250" s="13"/>
    </row>
    <row r="15251" spans="4:39" x14ac:dyDescent="0.3">
      <c r="D15251" s="1"/>
      <c r="G15251" s="13"/>
      <c r="AL15251" s="13"/>
    </row>
    <row r="15252" spans="4:39" x14ac:dyDescent="0.3">
      <c r="D15252" s="1"/>
      <c r="G15252" s="13"/>
      <c r="AL15252" s="13"/>
    </row>
    <row r="15253" spans="4:39" x14ac:dyDescent="0.3">
      <c r="D15253" s="1"/>
      <c r="G15253" s="13"/>
      <c r="AL15253" s="13"/>
    </row>
    <row r="15254" spans="4:39" x14ac:dyDescent="0.3">
      <c r="D15254" s="1"/>
      <c r="G15254" s="13"/>
      <c r="AL15254" s="13"/>
    </row>
    <row r="15255" spans="4:39" x14ac:dyDescent="0.3">
      <c r="D15255" s="1"/>
      <c r="G15255" s="13"/>
      <c r="AL15255" s="13"/>
      <c r="AM15255" s="14"/>
    </row>
    <row r="15256" spans="4:39" x14ac:dyDescent="0.3">
      <c r="D15256" s="1"/>
      <c r="G15256" s="13"/>
      <c r="AL15256" s="13"/>
    </row>
    <row r="15257" spans="4:39" x14ac:dyDescent="0.3">
      <c r="D15257" s="1"/>
      <c r="G15257" s="13"/>
      <c r="AL15257" s="13"/>
    </row>
    <row r="15258" spans="4:39" x14ac:dyDescent="0.3">
      <c r="D15258" s="1"/>
      <c r="G15258" s="13"/>
      <c r="AL15258" s="13"/>
    </row>
    <row r="15259" spans="4:39" x14ac:dyDescent="0.3">
      <c r="D15259" s="1"/>
      <c r="G15259" s="13"/>
      <c r="AL15259" s="13"/>
    </row>
    <row r="15260" spans="4:39" x14ac:dyDescent="0.3">
      <c r="D15260" s="1"/>
      <c r="G15260" s="13"/>
      <c r="AL15260" s="13"/>
    </row>
    <row r="15261" spans="4:39" x14ac:dyDescent="0.3">
      <c r="D15261" s="1"/>
      <c r="G15261" s="13"/>
      <c r="AL15261" s="13"/>
    </row>
    <row r="15262" spans="4:39" x14ac:dyDescent="0.3">
      <c r="D15262" s="1"/>
      <c r="G15262" s="13"/>
      <c r="AL15262" s="13"/>
    </row>
    <row r="15263" spans="4:39" x14ac:dyDescent="0.3">
      <c r="D15263" s="1"/>
      <c r="G15263" s="13"/>
      <c r="AL15263" s="13"/>
    </row>
    <row r="15264" spans="4:39" x14ac:dyDescent="0.3">
      <c r="D15264" s="1"/>
      <c r="G15264" s="13"/>
      <c r="AL15264" s="13"/>
    </row>
    <row r="15265" spans="4:39" x14ac:dyDescent="0.3">
      <c r="D15265" s="1"/>
      <c r="G15265" s="13"/>
      <c r="AL15265" s="13"/>
    </row>
    <row r="15266" spans="4:39" x14ac:dyDescent="0.3">
      <c r="D15266" s="1"/>
      <c r="G15266" s="13"/>
      <c r="AL15266" s="13"/>
    </row>
    <row r="15267" spans="4:39" x14ac:dyDescent="0.3">
      <c r="D15267" s="1"/>
      <c r="G15267" s="13"/>
      <c r="AL15267" s="13"/>
    </row>
    <row r="15268" spans="4:39" x14ac:dyDescent="0.3">
      <c r="D15268" s="1"/>
      <c r="G15268" s="13"/>
      <c r="AL15268" s="13"/>
    </row>
    <row r="15269" spans="4:39" x14ac:dyDescent="0.3">
      <c r="D15269" s="1"/>
      <c r="G15269" s="13"/>
      <c r="AL15269" s="13"/>
    </row>
    <row r="15270" spans="4:39" x14ac:dyDescent="0.3">
      <c r="D15270" s="1"/>
      <c r="G15270" s="13"/>
      <c r="AL15270" s="13"/>
    </row>
    <row r="15271" spans="4:39" x14ac:dyDescent="0.3">
      <c r="D15271" s="1"/>
      <c r="G15271" s="13"/>
      <c r="AL15271" s="13"/>
    </row>
    <row r="15272" spans="4:39" x14ac:dyDescent="0.3">
      <c r="D15272" s="1"/>
      <c r="G15272" s="13"/>
      <c r="AL15272" s="13"/>
    </row>
    <row r="15273" spans="4:39" x14ac:dyDescent="0.3">
      <c r="D15273" s="1"/>
      <c r="G15273" s="13"/>
      <c r="AL15273" s="13"/>
    </row>
    <row r="15274" spans="4:39" x14ac:dyDescent="0.3">
      <c r="D15274" s="1"/>
      <c r="G15274" s="13"/>
      <c r="AL15274" s="13"/>
      <c r="AM15274" s="14"/>
    </row>
    <row r="15275" spans="4:39" x14ac:dyDescent="0.3">
      <c r="D15275" s="1"/>
      <c r="G15275" s="13"/>
      <c r="AL15275" s="13"/>
    </row>
    <row r="15276" spans="4:39" x14ac:dyDescent="0.3">
      <c r="D15276" s="1"/>
      <c r="G15276" s="13"/>
      <c r="AL15276" s="13"/>
    </row>
    <row r="15277" spans="4:39" x14ac:dyDescent="0.3">
      <c r="D15277" s="1"/>
      <c r="G15277" s="13"/>
      <c r="AL15277" s="13"/>
    </row>
    <row r="15278" spans="4:39" x14ac:dyDescent="0.3">
      <c r="D15278" s="1"/>
      <c r="G15278" s="13"/>
      <c r="AL15278" s="13"/>
    </row>
    <row r="15279" spans="4:39" x14ac:dyDescent="0.3">
      <c r="D15279" s="1"/>
      <c r="G15279" s="13"/>
      <c r="AL15279" s="13"/>
    </row>
    <row r="15280" spans="4:39" x14ac:dyDescent="0.3">
      <c r="D15280" s="1"/>
      <c r="G15280" s="13"/>
      <c r="AL15280" s="13"/>
      <c r="AM15280" s="14"/>
    </row>
    <row r="15281" spans="4:39" x14ac:dyDescent="0.3">
      <c r="D15281" s="1"/>
      <c r="G15281" s="13"/>
      <c r="AL15281" s="13"/>
      <c r="AM15281" s="14"/>
    </row>
    <row r="15282" spans="4:39" x14ac:dyDescent="0.3">
      <c r="D15282" s="1"/>
      <c r="G15282" s="13"/>
      <c r="AL15282" s="13"/>
      <c r="AM15282" s="14"/>
    </row>
    <row r="15283" spans="4:39" x14ac:dyDescent="0.3">
      <c r="D15283" s="1"/>
      <c r="G15283" s="13"/>
      <c r="AL15283" s="13"/>
      <c r="AM15283" s="14"/>
    </row>
    <row r="15284" spans="4:39" x14ac:dyDescent="0.3">
      <c r="D15284" s="1"/>
      <c r="G15284" s="13"/>
      <c r="AL15284" s="13"/>
      <c r="AM15284" s="14"/>
    </row>
    <row r="15285" spans="4:39" x14ac:dyDescent="0.3">
      <c r="D15285" s="1"/>
      <c r="G15285" s="13"/>
      <c r="AL15285" s="13"/>
      <c r="AM15285" s="14"/>
    </row>
    <row r="15286" spans="4:39" x14ac:dyDescent="0.3">
      <c r="D15286" s="1"/>
      <c r="G15286" s="13"/>
      <c r="AL15286" s="13"/>
      <c r="AM15286" s="14"/>
    </row>
    <row r="15287" spans="4:39" x14ac:dyDescent="0.3">
      <c r="D15287" s="1"/>
      <c r="G15287" s="13"/>
      <c r="AL15287" s="13"/>
      <c r="AM15287" s="14"/>
    </row>
    <row r="15288" spans="4:39" x14ac:dyDescent="0.3">
      <c r="D15288" s="1"/>
      <c r="G15288" s="13"/>
      <c r="AL15288" s="13"/>
      <c r="AM15288" s="14"/>
    </row>
    <row r="15289" spans="4:39" x14ac:dyDescent="0.3">
      <c r="D15289" s="1"/>
      <c r="G15289" s="13"/>
      <c r="AL15289" s="13"/>
    </row>
    <row r="15290" spans="4:39" x14ac:dyDescent="0.3">
      <c r="D15290" s="1"/>
      <c r="G15290" s="13"/>
      <c r="AL15290" s="13"/>
      <c r="AM15290" s="14"/>
    </row>
    <row r="15291" spans="4:39" x14ac:dyDescent="0.3">
      <c r="D15291" s="1"/>
      <c r="G15291" s="13"/>
      <c r="AL15291" s="13"/>
      <c r="AM15291" s="14"/>
    </row>
    <row r="15292" spans="4:39" x14ac:dyDescent="0.3">
      <c r="D15292" s="1"/>
      <c r="G15292" s="13"/>
      <c r="AL15292" s="13"/>
      <c r="AM15292" s="14"/>
    </row>
    <row r="15293" spans="4:39" x14ac:dyDescent="0.3">
      <c r="D15293" s="1"/>
      <c r="G15293" s="13"/>
      <c r="AL15293" s="13"/>
    </row>
    <row r="15294" spans="4:39" x14ac:dyDescent="0.3">
      <c r="D15294" s="1"/>
      <c r="G15294" s="13"/>
      <c r="AL15294" s="13"/>
    </row>
    <row r="15295" spans="4:39" x14ac:dyDescent="0.3">
      <c r="D15295" s="1"/>
      <c r="G15295" s="13"/>
      <c r="AL15295" s="13"/>
      <c r="AM15295" s="14"/>
    </row>
    <row r="15296" spans="4:39" x14ac:dyDescent="0.3">
      <c r="D15296" s="1"/>
      <c r="G15296" s="13"/>
      <c r="AL15296" s="13"/>
      <c r="AM15296" s="14"/>
    </row>
    <row r="15297" spans="4:39" x14ac:dyDescent="0.3">
      <c r="D15297" s="1"/>
      <c r="G15297" s="13"/>
      <c r="AL15297" s="13"/>
    </row>
    <row r="15298" spans="4:39" x14ac:dyDescent="0.3">
      <c r="D15298" s="1"/>
      <c r="G15298" s="13"/>
      <c r="AL15298" s="13"/>
    </row>
    <row r="15299" spans="4:39" x14ac:dyDescent="0.3">
      <c r="D15299" s="1"/>
      <c r="G15299" s="13"/>
      <c r="AL15299" s="13"/>
      <c r="AM15299" s="14"/>
    </row>
    <row r="15300" spans="4:39" x14ac:dyDescent="0.3">
      <c r="D15300" s="1"/>
      <c r="G15300" s="13"/>
      <c r="AL15300" s="13"/>
      <c r="AM15300" s="14"/>
    </row>
    <row r="15301" spans="4:39" x14ac:dyDescent="0.3">
      <c r="D15301" s="1"/>
      <c r="G15301" s="13"/>
      <c r="AL15301" s="13"/>
      <c r="AM15301" s="14"/>
    </row>
    <row r="15302" spans="4:39" x14ac:dyDescent="0.3">
      <c r="D15302" s="1"/>
      <c r="G15302" s="13"/>
      <c r="AL15302" s="13"/>
      <c r="AM15302" s="14"/>
    </row>
    <row r="15303" spans="4:39" x14ac:dyDescent="0.3">
      <c r="D15303" s="1"/>
      <c r="G15303" s="13"/>
      <c r="AL15303" s="13"/>
      <c r="AM15303" s="14"/>
    </row>
    <row r="15304" spans="4:39" x14ac:dyDescent="0.3">
      <c r="D15304" s="1"/>
      <c r="G15304" s="13"/>
      <c r="AL15304" s="13"/>
    </row>
    <row r="15305" spans="4:39" x14ac:dyDescent="0.3">
      <c r="D15305" s="1"/>
      <c r="G15305" s="13"/>
      <c r="AL15305" s="13"/>
      <c r="AM15305" s="14"/>
    </row>
    <row r="15306" spans="4:39" x14ac:dyDescent="0.3">
      <c r="D15306" s="1"/>
      <c r="G15306" s="13"/>
      <c r="AL15306" s="13"/>
      <c r="AM15306" s="14"/>
    </row>
    <row r="15307" spans="4:39" x14ac:dyDescent="0.3">
      <c r="D15307" s="1"/>
      <c r="G15307" s="13"/>
      <c r="AL15307" s="13"/>
      <c r="AM15307" s="14"/>
    </row>
    <row r="15308" spans="4:39" x14ac:dyDescent="0.3">
      <c r="D15308" s="1"/>
      <c r="G15308" s="13"/>
      <c r="AL15308" s="13"/>
      <c r="AM15308" s="14"/>
    </row>
    <row r="15309" spans="4:39" x14ac:dyDescent="0.3">
      <c r="D15309" s="1"/>
      <c r="G15309" s="13"/>
      <c r="AL15309" s="13"/>
      <c r="AM15309" s="14"/>
    </row>
    <row r="15310" spans="4:39" x14ac:dyDescent="0.3">
      <c r="D15310" s="1"/>
      <c r="G15310" s="13"/>
      <c r="AL15310" s="13"/>
    </row>
    <row r="15311" spans="4:39" x14ac:dyDescent="0.3">
      <c r="D15311" s="1"/>
      <c r="G15311" s="13"/>
      <c r="AL15311" s="13"/>
      <c r="AM15311" s="14"/>
    </row>
    <row r="15312" spans="4:39" x14ac:dyDescent="0.3">
      <c r="D15312" s="1"/>
      <c r="G15312" s="13"/>
      <c r="AL15312" s="13"/>
    </row>
    <row r="15313" spans="4:39" x14ac:dyDescent="0.3">
      <c r="D15313" s="1"/>
      <c r="G15313" s="13"/>
      <c r="AL15313" s="13"/>
      <c r="AM15313" s="14"/>
    </row>
    <row r="15314" spans="4:39" x14ac:dyDescent="0.3">
      <c r="D15314" s="1"/>
      <c r="G15314" s="13"/>
      <c r="AL15314" s="13"/>
      <c r="AM15314" s="14"/>
    </row>
    <row r="15315" spans="4:39" x14ac:dyDescent="0.3">
      <c r="D15315" s="1"/>
      <c r="G15315" s="13"/>
      <c r="AL15315" s="13"/>
    </row>
    <row r="15316" spans="4:39" x14ac:dyDescent="0.3">
      <c r="D15316" s="1"/>
      <c r="G15316" s="13"/>
      <c r="AL15316" s="13"/>
      <c r="AM15316" s="14"/>
    </row>
    <row r="15317" spans="4:39" x14ac:dyDescent="0.3">
      <c r="D15317" s="1"/>
      <c r="G15317" s="13"/>
      <c r="AL15317" s="13"/>
    </row>
    <row r="15318" spans="4:39" x14ac:dyDescent="0.3">
      <c r="D15318" s="1"/>
      <c r="G15318" s="13"/>
      <c r="AL15318" s="13"/>
      <c r="AM15318" s="14"/>
    </row>
    <row r="15319" spans="4:39" x14ac:dyDescent="0.3">
      <c r="D15319" s="1"/>
      <c r="G15319" s="13"/>
      <c r="AL15319" s="13"/>
      <c r="AM15319" s="14"/>
    </row>
    <row r="15320" spans="4:39" x14ac:dyDescent="0.3">
      <c r="D15320" s="1"/>
      <c r="G15320" s="13"/>
      <c r="AL15320" s="13"/>
    </row>
    <row r="15321" spans="4:39" x14ac:dyDescent="0.3">
      <c r="D15321" s="1"/>
      <c r="G15321" s="13"/>
      <c r="AL15321" s="13"/>
      <c r="AM15321" s="14"/>
    </row>
    <row r="15322" spans="4:39" x14ac:dyDescent="0.3">
      <c r="D15322" s="1"/>
      <c r="G15322" s="13"/>
      <c r="AL15322" s="13"/>
      <c r="AM15322" s="14"/>
    </row>
    <row r="15323" spans="4:39" x14ac:dyDescent="0.3">
      <c r="D15323" s="1"/>
      <c r="G15323" s="13"/>
      <c r="AL15323" s="13"/>
      <c r="AM15323" s="14"/>
    </row>
    <row r="15324" spans="4:39" x14ac:dyDescent="0.3">
      <c r="D15324" s="1"/>
      <c r="G15324" s="13"/>
      <c r="AL15324" s="13"/>
    </row>
    <row r="15325" spans="4:39" x14ac:dyDescent="0.3">
      <c r="D15325" s="1"/>
      <c r="G15325" s="13"/>
      <c r="AL15325" s="13"/>
    </row>
    <row r="15326" spans="4:39" x14ac:dyDescent="0.3">
      <c r="D15326" s="1"/>
      <c r="G15326" s="13"/>
      <c r="AL15326" s="13"/>
    </row>
    <row r="15327" spans="4:39" x14ac:dyDescent="0.3">
      <c r="D15327" s="1"/>
      <c r="G15327" s="13"/>
      <c r="AL15327" s="13"/>
    </row>
    <row r="15328" spans="4:39" x14ac:dyDescent="0.3">
      <c r="D15328" s="1"/>
      <c r="G15328" s="13"/>
      <c r="AL15328" s="13"/>
    </row>
    <row r="15329" spans="4:39" x14ac:dyDescent="0.3">
      <c r="D15329" s="1"/>
      <c r="G15329" s="13"/>
      <c r="AL15329" s="13"/>
    </row>
    <row r="15330" spans="4:39" x14ac:dyDescent="0.3">
      <c r="D15330" s="1"/>
      <c r="G15330" s="13"/>
      <c r="AL15330" s="13"/>
    </row>
    <row r="15331" spans="4:39" x14ac:dyDescent="0.3">
      <c r="D15331" s="1"/>
      <c r="G15331" s="13"/>
      <c r="AL15331" s="13"/>
    </row>
    <row r="15332" spans="4:39" x14ac:dyDescent="0.3">
      <c r="D15332" s="1"/>
      <c r="G15332" s="13"/>
      <c r="AL15332" s="13"/>
    </row>
    <row r="15333" spans="4:39" x14ac:dyDescent="0.3">
      <c r="D15333" s="1"/>
      <c r="G15333" s="13"/>
      <c r="AL15333" s="13"/>
    </row>
    <row r="15334" spans="4:39" x14ac:dyDescent="0.3">
      <c r="D15334" s="1"/>
      <c r="G15334" s="13"/>
      <c r="AL15334" s="13"/>
      <c r="AM15334" s="14"/>
    </row>
    <row r="15335" spans="4:39" x14ac:dyDescent="0.3">
      <c r="D15335" s="1"/>
      <c r="G15335" s="13"/>
      <c r="AL15335" s="13"/>
      <c r="AM15335" s="14"/>
    </row>
    <row r="15336" spans="4:39" x14ac:dyDescent="0.3">
      <c r="D15336" s="1"/>
      <c r="G15336" s="13"/>
      <c r="AL15336" s="13"/>
      <c r="AM15336" s="14"/>
    </row>
    <row r="15337" spans="4:39" x14ac:dyDescent="0.3">
      <c r="D15337" s="1"/>
      <c r="G15337" s="13"/>
      <c r="AL15337" s="13"/>
      <c r="AM15337" s="14"/>
    </row>
    <row r="15338" spans="4:39" x14ac:dyDescent="0.3">
      <c r="D15338" s="1"/>
      <c r="G15338" s="13"/>
      <c r="AL15338" s="13"/>
    </row>
    <row r="15339" spans="4:39" x14ac:dyDescent="0.3">
      <c r="D15339" s="1"/>
      <c r="G15339" s="13"/>
      <c r="AL15339" s="13"/>
      <c r="AM15339" s="14"/>
    </row>
    <row r="15340" spans="4:39" x14ac:dyDescent="0.3">
      <c r="D15340" s="1"/>
      <c r="G15340" s="13"/>
      <c r="AL15340" s="13"/>
      <c r="AM15340" s="14"/>
    </row>
    <row r="15341" spans="4:39" x14ac:dyDescent="0.3">
      <c r="D15341" s="1"/>
      <c r="G15341" s="13"/>
      <c r="AL15341" s="13"/>
    </row>
    <row r="15342" spans="4:39" x14ac:dyDescent="0.3">
      <c r="D15342" s="1"/>
      <c r="G15342" s="13"/>
      <c r="AL15342" s="13"/>
      <c r="AM15342" s="14"/>
    </row>
    <row r="15343" spans="4:39" x14ac:dyDescent="0.3">
      <c r="D15343" s="1"/>
      <c r="G15343" s="13"/>
      <c r="AL15343" s="13"/>
      <c r="AM15343" s="14"/>
    </row>
    <row r="15344" spans="4:39" x14ac:dyDescent="0.3">
      <c r="D15344" s="1"/>
      <c r="G15344" s="13"/>
      <c r="AL15344" s="13"/>
    </row>
    <row r="15345" spans="4:38" x14ac:dyDescent="0.3">
      <c r="D15345" s="1"/>
      <c r="G15345" s="13"/>
      <c r="AL15345" s="13"/>
    </row>
    <row r="15346" spans="4:38" x14ac:dyDescent="0.3">
      <c r="D15346" s="1"/>
      <c r="G15346" s="13"/>
      <c r="AL15346" s="13"/>
    </row>
    <row r="15347" spans="4:38" x14ac:dyDescent="0.3">
      <c r="D15347" s="1"/>
      <c r="G15347" s="13"/>
      <c r="AL15347" s="13"/>
    </row>
    <row r="15348" spans="4:38" x14ac:dyDescent="0.3">
      <c r="D15348" s="1"/>
      <c r="G15348" s="13"/>
      <c r="AL15348" s="13"/>
    </row>
    <row r="15349" spans="4:38" x14ac:dyDescent="0.3">
      <c r="D15349" s="1"/>
      <c r="G15349" s="13"/>
      <c r="AL15349" s="13"/>
    </row>
    <row r="15350" spans="4:38" x14ac:dyDescent="0.3">
      <c r="D15350" s="1"/>
      <c r="G15350" s="13"/>
      <c r="AL15350" s="13"/>
    </row>
    <row r="15351" spans="4:38" x14ac:dyDescent="0.3">
      <c r="D15351" s="1"/>
      <c r="G15351" s="13"/>
      <c r="AL15351" s="13"/>
    </row>
    <row r="15352" spans="4:38" x14ac:dyDescent="0.3">
      <c r="D15352" s="1"/>
      <c r="G15352" s="13"/>
      <c r="AL15352" s="13"/>
    </row>
    <row r="15353" spans="4:38" x14ac:dyDescent="0.3">
      <c r="D15353" s="1"/>
      <c r="G15353" s="13"/>
      <c r="AL15353" s="13"/>
    </row>
    <row r="15354" spans="4:38" x14ac:dyDescent="0.3">
      <c r="D15354" s="1"/>
      <c r="G15354" s="13"/>
      <c r="AL15354" s="13"/>
    </row>
    <row r="15355" spans="4:38" x14ac:dyDescent="0.3">
      <c r="D15355" s="1"/>
      <c r="G15355" s="13"/>
      <c r="AL15355" s="13"/>
    </row>
    <row r="15356" spans="4:38" x14ac:dyDescent="0.3">
      <c r="D15356" s="1"/>
      <c r="G15356" s="13"/>
      <c r="AL15356" s="13"/>
    </row>
    <row r="15357" spans="4:38" x14ac:dyDescent="0.3">
      <c r="D15357" s="1"/>
      <c r="G15357" s="13"/>
      <c r="AL15357" s="13"/>
    </row>
    <row r="15358" spans="4:38" x14ac:dyDescent="0.3">
      <c r="D15358" s="1"/>
      <c r="G15358" s="13"/>
      <c r="AL15358" s="13"/>
    </row>
    <row r="15359" spans="4:38" x14ac:dyDescent="0.3">
      <c r="D15359" s="1"/>
      <c r="G15359" s="13"/>
      <c r="AL15359" s="13"/>
    </row>
    <row r="15360" spans="4:38" x14ac:dyDescent="0.3">
      <c r="D15360" s="1"/>
      <c r="G15360" s="13"/>
      <c r="AL15360" s="13"/>
    </row>
    <row r="15361" spans="4:39" x14ac:dyDescent="0.3">
      <c r="D15361" s="1"/>
      <c r="G15361" s="13"/>
      <c r="AL15361" s="13"/>
      <c r="AM15361" s="14"/>
    </row>
    <row r="15362" spans="4:39" x14ac:dyDescent="0.3">
      <c r="D15362" s="1"/>
      <c r="G15362" s="13"/>
      <c r="AL15362" s="13"/>
    </row>
    <row r="15363" spans="4:39" x14ac:dyDescent="0.3">
      <c r="D15363" s="1"/>
      <c r="G15363" s="13"/>
      <c r="AL15363" s="13"/>
      <c r="AM15363" s="14"/>
    </row>
    <row r="15364" spans="4:39" x14ac:dyDescent="0.3">
      <c r="D15364" s="1"/>
      <c r="G15364" s="13"/>
      <c r="AL15364" s="13"/>
    </row>
    <row r="15365" spans="4:39" x14ac:dyDescent="0.3">
      <c r="D15365" s="1"/>
      <c r="G15365" s="13"/>
      <c r="AL15365" s="13"/>
      <c r="AM15365" s="14"/>
    </row>
    <row r="15366" spans="4:39" x14ac:dyDescent="0.3">
      <c r="D15366" s="1"/>
      <c r="G15366" s="13"/>
    </row>
    <row r="15367" spans="4:39" x14ac:dyDescent="0.3">
      <c r="D15367" s="1"/>
      <c r="G15367" s="13"/>
      <c r="AL15367" s="13"/>
    </row>
    <row r="15368" spans="4:39" x14ac:dyDescent="0.3">
      <c r="D15368" s="1"/>
      <c r="G15368" s="13"/>
      <c r="AL15368" s="13"/>
    </row>
    <row r="15369" spans="4:39" x14ac:dyDescent="0.3">
      <c r="D15369" s="1"/>
      <c r="G15369" s="13"/>
      <c r="AL15369" s="13"/>
      <c r="AM15369" s="14"/>
    </row>
    <row r="15370" spans="4:39" x14ac:dyDescent="0.3">
      <c r="D15370" s="1"/>
      <c r="G15370" s="13"/>
      <c r="AL15370" s="13"/>
      <c r="AM15370" s="14"/>
    </row>
    <row r="15371" spans="4:39" x14ac:dyDescent="0.3">
      <c r="D15371" s="1"/>
      <c r="G15371" s="13"/>
      <c r="AL15371" s="13"/>
    </row>
    <row r="15372" spans="4:39" x14ac:dyDescent="0.3">
      <c r="D15372" s="1"/>
      <c r="G15372" s="13"/>
      <c r="AL15372" s="13"/>
    </row>
    <row r="15373" spans="4:39" x14ac:dyDescent="0.3">
      <c r="D15373" s="1"/>
      <c r="G15373" s="13"/>
      <c r="AL15373" s="13"/>
      <c r="AM15373" s="14"/>
    </row>
    <row r="15374" spans="4:39" x14ac:dyDescent="0.3">
      <c r="D15374" s="1"/>
      <c r="G15374" s="13"/>
      <c r="AL15374" s="13"/>
      <c r="AM15374" s="14"/>
    </row>
    <row r="15375" spans="4:39" x14ac:dyDescent="0.3">
      <c r="D15375" s="1"/>
      <c r="G15375" s="13"/>
      <c r="AL15375" s="13"/>
    </row>
    <row r="15376" spans="4:39" x14ac:dyDescent="0.3">
      <c r="D15376" s="1"/>
      <c r="G15376" s="13"/>
      <c r="AL15376" s="13"/>
      <c r="AM15376" s="14"/>
    </row>
    <row r="15377" spans="4:39" x14ac:dyDescent="0.3">
      <c r="D15377" s="1"/>
      <c r="G15377" s="13"/>
    </row>
    <row r="15378" spans="4:39" x14ac:dyDescent="0.3">
      <c r="D15378" s="1"/>
      <c r="G15378" s="13"/>
      <c r="AL15378" s="13"/>
    </row>
    <row r="15379" spans="4:39" x14ac:dyDescent="0.3">
      <c r="D15379" s="1"/>
      <c r="G15379" s="13"/>
      <c r="AL15379" s="13"/>
    </row>
    <row r="15380" spans="4:39" x14ac:dyDescent="0.3">
      <c r="D15380" s="1"/>
      <c r="G15380" s="13"/>
      <c r="AL15380" s="13"/>
    </row>
    <row r="15381" spans="4:39" x14ac:dyDescent="0.3">
      <c r="D15381" s="1"/>
      <c r="G15381" s="13"/>
      <c r="AL15381" s="13"/>
    </row>
    <row r="15382" spans="4:39" x14ac:dyDescent="0.3">
      <c r="D15382" s="1"/>
      <c r="G15382" s="13"/>
      <c r="AL15382" s="13"/>
      <c r="AM15382" s="14"/>
    </row>
    <row r="15383" spans="4:39" x14ac:dyDescent="0.3">
      <c r="D15383" s="1"/>
      <c r="G15383" s="13"/>
      <c r="AL15383" s="13"/>
      <c r="AM15383" s="14"/>
    </row>
    <row r="15384" spans="4:39" x14ac:dyDescent="0.3">
      <c r="D15384" s="1"/>
      <c r="G15384" s="13"/>
      <c r="AL15384" s="13"/>
      <c r="AM15384" s="14"/>
    </row>
    <row r="15385" spans="4:39" x14ac:dyDescent="0.3">
      <c r="D15385" s="1"/>
      <c r="G15385" s="13"/>
      <c r="AL15385" s="13"/>
    </row>
    <row r="15386" spans="4:39" x14ac:dyDescent="0.3">
      <c r="D15386" s="1"/>
      <c r="G15386" s="13"/>
      <c r="AL15386" s="13"/>
    </row>
    <row r="15387" spans="4:39" x14ac:dyDescent="0.3">
      <c r="D15387" s="1"/>
      <c r="G15387" s="13"/>
      <c r="AL15387" s="13"/>
    </row>
    <row r="15388" spans="4:39" x14ac:dyDescent="0.3">
      <c r="D15388" s="1"/>
      <c r="G15388" s="13"/>
      <c r="AL15388" s="13"/>
      <c r="AM15388" s="14"/>
    </row>
    <row r="15389" spans="4:39" x14ac:dyDescent="0.3">
      <c r="D15389" s="1"/>
      <c r="G15389" s="13"/>
      <c r="AL15389" s="13"/>
      <c r="AM15389" s="14"/>
    </row>
    <row r="15390" spans="4:39" x14ac:dyDescent="0.3">
      <c r="D15390" s="1"/>
      <c r="G15390" s="13"/>
      <c r="AL15390" s="13"/>
      <c r="AM15390" s="14"/>
    </row>
    <row r="15391" spans="4:39" x14ac:dyDescent="0.3">
      <c r="D15391" s="1"/>
      <c r="G15391" s="13"/>
      <c r="AL15391" s="13"/>
      <c r="AM15391" s="14"/>
    </row>
    <row r="15392" spans="4:39" x14ac:dyDescent="0.3">
      <c r="D15392" s="1"/>
      <c r="G15392" s="13"/>
      <c r="AL15392" s="13"/>
      <c r="AM15392" s="14"/>
    </row>
    <row r="15393" spans="4:39" x14ac:dyDescent="0.3">
      <c r="D15393" s="1"/>
      <c r="G15393" s="13"/>
      <c r="AL15393" s="13"/>
      <c r="AM15393" s="14"/>
    </row>
    <row r="15394" spans="4:39" x14ac:dyDescent="0.3">
      <c r="D15394" s="1"/>
      <c r="G15394" s="13"/>
      <c r="AL15394" s="13"/>
    </row>
    <row r="15395" spans="4:39" x14ac:dyDescent="0.3">
      <c r="D15395" s="1"/>
      <c r="G15395" s="13"/>
      <c r="AL15395" s="13"/>
      <c r="AM15395" s="14"/>
    </row>
    <row r="15396" spans="4:39" x14ac:dyDescent="0.3">
      <c r="D15396" s="1"/>
      <c r="G15396" s="13"/>
      <c r="AL15396" s="13"/>
      <c r="AM15396" s="14"/>
    </row>
    <row r="15397" spans="4:39" x14ac:dyDescent="0.3">
      <c r="D15397" s="1"/>
      <c r="G15397" s="13"/>
      <c r="AL15397" s="13"/>
      <c r="AM15397" s="14"/>
    </row>
    <row r="15398" spans="4:39" x14ac:dyDescent="0.3">
      <c r="D15398" s="1"/>
      <c r="G15398" s="13"/>
      <c r="AL15398" s="13"/>
      <c r="AM15398" s="14"/>
    </row>
    <row r="15399" spans="4:39" x14ac:dyDescent="0.3">
      <c r="D15399" s="1"/>
      <c r="G15399" s="13"/>
      <c r="AL15399" s="13"/>
    </row>
    <row r="15400" spans="4:39" x14ac:dyDescent="0.3">
      <c r="D15400" s="1"/>
      <c r="G15400" s="13"/>
      <c r="AL15400" s="13"/>
    </row>
    <row r="15401" spans="4:39" x14ac:dyDescent="0.3">
      <c r="D15401" s="1"/>
      <c r="G15401" s="13"/>
      <c r="AL15401" s="13"/>
    </row>
    <row r="15402" spans="4:39" x14ac:dyDescent="0.3">
      <c r="D15402" s="1"/>
      <c r="G15402" s="13"/>
      <c r="AL15402" s="13"/>
    </row>
    <row r="15403" spans="4:39" x14ac:dyDescent="0.3">
      <c r="D15403" s="1"/>
      <c r="G15403" s="13"/>
      <c r="AL15403" s="13"/>
    </row>
    <row r="15404" spans="4:39" x14ac:dyDescent="0.3">
      <c r="D15404" s="1"/>
      <c r="G15404" s="13"/>
      <c r="AL15404" s="13"/>
    </row>
    <row r="15405" spans="4:39" x14ac:dyDescent="0.3">
      <c r="D15405" s="1"/>
      <c r="G15405" s="13"/>
      <c r="AL15405" s="13"/>
    </row>
    <row r="15406" spans="4:39" x14ac:dyDescent="0.3">
      <c r="D15406" s="1"/>
      <c r="G15406" s="13"/>
      <c r="AL15406" s="13"/>
    </row>
    <row r="15407" spans="4:39" x14ac:dyDescent="0.3">
      <c r="D15407" s="1"/>
      <c r="G15407" s="13"/>
      <c r="AL15407" s="13"/>
    </row>
    <row r="15408" spans="4:39" x14ac:dyDescent="0.3">
      <c r="D15408" s="1"/>
      <c r="G15408" s="13"/>
      <c r="AL15408" s="13"/>
    </row>
    <row r="15409" spans="4:38" x14ac:dyDescent="0.3">
      <c r="D15409" s="1"/>
      <c r="G15409" s="13"/>
      <c r="AL15409" s="13"/>
    </row>
    <row r="15410" spans="4:38" x14ac:dyDescent="0.3">
      <c r="D15410" s="1"/>
      <c r="G15410" s="13"/>
      <c r="AL15410" s="13"/>
    </row>
    <row r="15411" spans="4:38" x14ac:dyDescent="0.3">
      <c r="D15411" s="1"/>
      <c r="G15411" s="13"/>
      <c r="AL15411" s="13"/>
    </row>
    <row r="15412" spans="4:38" x14ac:dyDescent="0.3">
      <c r="D15412" s="1"/>
      <c r="G15412" s="13"/>
      <c r="AL15412" s="13"/>
    </row>
    <row r="15413" spans="4:38" x14ac:dyDescent="0.3">
      <c r="D15413" s="1"/>
      <c r="G15413" s="13"/>
      <c r="AL15413" s="13"/>
    </row>
    <row r="15414" spans="4:38" x14ac:dyDescent="0.3">
      <c r="D15414" s="1"/>
      <c r="G15414" s="13"/>
      <c r="AL15414" s="13"/>
    </row>
    <row r="15415" spans="4:38" x14ac:dyDescent="0.3">
      <c r="D15415" s="1"/>
      <c r="G15415" s="13"/>
      <c r="AL15415" s="13"/>
    </row>
    <row r="15416" spans="4:38" x14ac:dyDescent="0.3">
      <c r="D15416" s="1"/>
      <c r="G15416" s="13"/>
      <c r="AL15416" s="13"/>
    </row>
    <row r="15417" spans="4:38" x14ac:dyDescent="0.3">
      <c r="D15417" s="1"/>
      <c r="G15417" s="13"/>
    </row>
    <row r="15418" spans="4:38" x14ac:dyDescent="0.3">
      <c r="D15418" s="1"/>
      <c r="G15418" s="13"/>
      <c r="AL15418" s="13"/>
    </row>
    <row r="15419" spans="4:38" x14ac:dyDescent="0.3">
      <c r="D15419" s="1"/>
      <c r="G15419" s="13"/>
    </row>
    <row r="15420" spans="4:38" x14ac:dyDescent="0.3">
      <c r="D15420" s="1"/>
      <c r="G15420" s="13"/>
      <c r="AL15420" s="13"/>
    </row>
    <row r="15421" spans="4:38" x14ac:dyDescent="0.3">
      <c r="D15421" s="1"/>
      <c r="G15421" s="13"/>
      <c r="AL15421" s="13"/>
    </row>
    <row r="15422" spans="4:38" x14ac:dyDescent="0.3">
      <c r="D15422" s="1"/>
      <c r="G15422" s="13"/>
    </row>
    <row r="15423" spans="4:38" x14ac:dyDescent="0.3">
      <c r="D15423" s="1"/>
      <c r="G15423" s="13"/>
      <c r="AL15423" s="13"/>
    </row>
    <row r="15424" spans="4:38" x14ac:dyDescent="0.3">
      <c r="D15424" s="1"/>
      <c r="G15424" s="13"/>
      <c r="AL15424" s="13"/>
    </row>
    <row r="15425" spans="4:38" x14ac:dyDescent="0.3">
      <c r="D15425" s="1"/>
      <c r="G15425" s="13"/>
      <c r="AL15425" s="13"/>
    </row>
    <row r="15426" spans="4:38" x14ac:dyDescent="0.3">
      <c r="D15426" s="1"/>
      <c r="G15426" s="13"/>
      <c r="AL15426" s="13"/>
    </row>
    <row r="15427" spans="4:38" x14ac:dyDescent="0.3">
      <c r="D15427" s="1"/>
      <c r="G15427" s="13"/>
      <c r="AL15427" s="13"/>
    </row>
    <row r="15428" spans="4:38" x14ac:dyDescent="0.3">
      <c r="D15428" s="1"/>
      <c r="G15428" s="13"/>
      <c r="AL15428" s="13"/>
    </row>
    <row r="15429" spans="4:38" x14ac:dyDescent="0.3">
      <c r="D15429" s="1"/>
      <c r="G15429" s="13"/>
      <c r="AL15429" s="13"/>
    </row>
    <row r="15430" spans="4:38" x14ac:dyDescent="0.3">
      <c r="D15430" s="1"/>
      <c r="G15430" s="13"/>
      <c r="AL15430" s="13"/>
    </row>
    <row r="15431" spans="4:38" x14ac:dyDescent="0.3">
      <c r="D15431" s="1"/>
      <c r="G15431" s="13"/>
      <c r="AL15431" s="13"/>
    </row>
    <row r="15432" spans="4:38" x14ac:dyDescent="0.3">
      <c r="D15432" s="1"/>
      <c r="G15432" s="13"/>
      <c r="AL15432" s="13"/>
    </row>
    <row r="15433" spans="4:38" x14ac:dyDescent="0.3">
      <c r="D15433" s="1"/>
      <c r="G15433" s="13"/>
      <c r="AL15433" s="13"/>
    </row>
    <row r="15434" spans="4:38" x14ac:dyDescent="0.3">
      <c r="D15434" s="1"/>
      <c r="G15434" s="13"/>
      <c r="AL15434" s="13"/>
    </row>
    <row r="15435" spans="4:38" x14ac:dyDescent="0.3">
      <c r="D15435" s="1"/>
      <c r="G15435" s="13"/>
      <c r="AL15435" s="13"/>
    </row>
    <row r="15436" spans="4:38" x14ac:dyDescent="0.3">
      <c r="D15436" s="1"/>
      <c r="G15436" s="13"/>
    </row>
    <row r="15437" spans="4:38" x14ac:dyDescent="0.3">
      <c r="D15437" s="1"/>
      <c r="G15437" s="13"/>
    </row>
    <row r="15438" spans="4:38" x14ac:dyDescent="0.3">
      <c r="D15438" s="1"/>
      <c r="G15438" s="13"/>
    </row>
    <row r="15439" spans="4:38" x14ac:dyDescent="0.3">
      <c r="D15439" s="1"/>
      <c r="G15439" s="13"/>
    </row>
    <row r="15440" spans="4:38" x14ac:dyDescent="0.3">
      <c r="D15440" s="1"/>
      <c r="G15440" s="13"/>
    </row>
    <row r="15441" spans="4:38" x14ac:dyDescent="0.3">
      <c r="D15441" s="1"/>
      <c r="G15441" s="13"/>
    </row>
    <row r="15442" spans="4:38" x14ac:dyDescent="0.3">
      <c r="D15442" s="1"/>
      <c r="G15442" s="13"/>
    </row>
    <row r="15443" spans="4:38" x14ac:dyDescent="0.3">
      <c r="D15443" s="1"/>
      <c r="G15443" s="13"/>
    </row>
    <row r="15444" spans="4:38" x14ac:dyDescent="0.3">
      <c r="D15444" s="1"/>
      <c r="G15444" s="13"/>
    </row>
    <row r="15445" spans="4:38" x14ac:dyDescent="0.3">
      <c r="D15445" s="1"/>
      <c r="G15445" s="13"/>
    </row>
    <row r="15446" spans="4:38" x14ac:dyDescent="0.3">
      <c r="D15446" s="1"/>
      <c r="G15446" s="13"/>
    </row>
    <row r="15447" spans="4:38" x14ac:dyDescent="0.3">
      <c r="D15447" s="1"/>
      <c r="G15447" s="13"/>
      <c r="AL15447" s="13"/>
    </row>
    <row r="15448" spans="4:38" x14ac:dyDescent="0.3">
      <c r="D15448" s="1"/>
      <c r="G15448" s="13"/>
    </row>
    <row r="15449" spans="4:38" x14ac:dyDescent="0.3">
      <c r="D15449" s="1"/>
      <c r="G15449" s="13"/>
    </row>
    <row r="15450" spans="4:38" x14ac:dyDescent="0.3">
      <c r="D15450" s="1"/>
      <c r="G15450" s="13"/>
    </row>
    <row r="15451" spans="4:38" x14ac:dyDescent="0.3">
      <c r="D15451" s="1"/>
      <c r="G15451" s="13"/>
    </row>
    <row r="15452" spans="4:38" x14ac:dyDescent="0.3">
      <c r="D15452" s="1"/>
      <c r="G15452" s="13"/>
    </row>
    <row r="15453" spans="4:38" x14ac:dyDescent="0.3">
      <c r="D15453" s="1"/>
      <c r="G15453" s="13"/>
    </row>
    <row r="15454" spans="4:38" x14ac:dyDescent="0.3">
      <c r="D15454" s="1"/>
      <c r="G15454" s="13"/>
    </row>
    <row r="15455" spans="4:38" x14ac:dyDescent="0.3">
      <c r="D15455" s="1"/>
      <c r="G15455" s="13"/>
      <c r="AL15455" s="13"/>
    </row>
    <row r="15456" spans="4:38" x14ac:dyDescent="0.3">
      <c r="D15456" s="1"/>
      <c r="G15456" s="13"/>
      <c r="AL15456" s="13"/>
    </row>
    <row r="15457" spans="4:38" x14ac:dyDescent="0.3">
      <c r="D15457" s="1"/>
      <c r="G15457" s="13"/>
      <c r="AL15457" s="13"/>
    </row>
    <row r="15458" spans="4:38" x14ac:dyDescent="0.3">
      <c r="D15458" s="1"/>
      <c r="G15458" s="13"/>
      <c r="AL15458" s="13"/>
    </row>
    <row r="15459" spans="4:38" x14ac:dyDescent="0.3">
      <c r="D15459" s="1"/>
      <c r="G15459" s="13"/>
      <c r="AL15459" s="13"/>
    </row>
    <row r="15460" spans="4:38" x14ac:dyDescent="0.3">
      <c r="D15460" s="1"/>
      <c r="G15460" s="13"/>
      <c r="AL15460" s="13"/>
    </row>
    <row r="15461" spans="4:38" x14ac:dyDescent="0.3">
      <c r="D15461" s="1"/>
      <c r="G15461" s="13"/>
    </row>
    <row r="15462" spans="4:38" x14ac:dyDescent="0.3">
      <c r="D15462" s="1"/>
      <c r="G15462" s="13"/>
      <c r="AL15462" s="13"/>
    </row>
    <row r="15463" spans="4:38" x14ac:dyDescent="0.3">
      <c r="D15463" s="1"/>
      <c r="G15463" s="13"/>
    </row>
    <row r="15464" spans="4:38" x14ac:dyDescent="0.3">
      <c r="D15464" s="1"/>
      <c r="G15464" s="13"/>
      <c r="AL15464" s="13"/>
    </row>
    <row r="15465" spans="4:38" x14ac:dyDescent="0.3">
      <c r="D15465" s="1"/>
      <c r="G15465" s="13"/>
    </row>
    <row r="15466" spans="4:38" x14ac:dyDescent="0.3">
      <c r="D15466" s="1"/>
      <c r="G15466" s="13"/>
    </row>
    <row r="15467" spans="4:38" x14ac:dyDescent="0.3">
      <c r="D15467" s="1"/>
      <c r="G15467" s="13"/>
    </row>
    <row r="15468" spans="4:38" x14ac:dyDescent="0.3">
      <c r="D15468" s="1"/>
      <c r="G15468" s="13"/>
    </row>
    <row r="15469" spans="4:38" x14ac:dyDescent="0.3">
      <c r="D15469" s="1"/>
      <c r="G15469" s="13"/>
      <c r="AL15469" s="13"/>
    </row>
    <row r="15470" spans="4:38" x14ac:dyDescent="0.3">
      <c r="D15470" s="1"/>
      <c r="G15470" s="13"/>
    </row>
    <row r="15471" spans="4:38" x14ac:dyDescent="0.3">
      <c r="D15471" s="1"/>
      <c r="G15471" s="13"/>
    </row>
    <row r="15472" spans="4:38" x14ac:dyDescent="0.3">
      <c r="D15472" s="1"/>
      <c r="G15472" s="13"/>
    </row>
    <row r="15473" spans="4:38" x14ac:dyDescent="0.3">
      <c r="D15473" s="1"/>
      <c r="G15473" s="13"/>
    </row>
    <row r="15474" spans="4:38" x14ac:dyDescent="0.3">
      <c r="D15474" s="1"/>
      <c r="G15474" s="13"/>
    </row>
    <row r="15475" spans="4:38" x14ac:dyDescent="0.3">
      <c r="D15475" s="1"/>
      <c r="G15475" s="13"/>
      <c r="AL15475" s="13"/>
    </row>
    <row r="15476" spans="4:38" x14ac:dyDescent="0.3">
      <c r="D15476" s="1"/>
      <c r="G15476" s="13"/>
    </row>
    <row r="15477" spans="4:38" x14ac:dyDescent="0.3">
      <c r="D15477" s="1"/>
      <c r="G15477" s="13"/>
    </row>
    <row r="15478" spans="4:38" x14ac:dyDescent="0.3">
      <c r="D15478" s="1"/>
      <c r="G15478" s="13"/>
    </row>
    <row r="15479" spans="4:38" x14ac:dyDescent="0.3">
      <c r="D15479" s="1"/>
      <c r="G15479" s="13"/>
    </row>
    <row r="15480" spans="4:38" x14ac:dyDescent="0.3">
      <c r="D15480" s="1"/>
      <c r="G15480" s="13"/>
    </row>
    <row r="15481" spans="4:38" x14ac:dyDescent="0.3">
      <c r="D15481" s="1"/>
      <c r="G15481" s="13"/>
    </row>
    <row r="15482" spans="4:38" x14ac:dyDescent="0.3">
      <c r="D15482" s="1"/>
      <c r="G15482" s="13"/>
    </row>
    <row r="15483" spans="4:38" x14ac:dyDescent="0.3">
      <c r="D15483" s="1"/>
      <c r="G15483" s="13"/>
    </row>
    <row r="15484" spans="4:38" x14ac:dyDescent="0.3">
      <c r="D15484" s="1"/>
      <c r="G15484" s="13"/>
    </row>
    <row r="15485" spans="4:38" x14ac:dyDescent="0.3">
      <c r="D15485" s="1"/>
      <c r="G15485" s="13"/>
    </row>
    <row r="15486" spans="4:38" x14ac:dyDescent="0.3">
      <c r="D15486" s="1"/>
      <c r="G15486" s="13"/>
    </row>
    <row r="15487" spans="4:38" x14ac:dyDescent="0.3">
      <c r="D15487" s="1"/>
      <c r="G15487" s="13"/>
      <c r="AL15487" s="13"/>
    </row>
    <row r="15488" spans="4:38" x14ac:dyDescent="0.3">
      <c r="D15488" s="1"/>
      <c r="G15488" s="13"/>
      <c r="AL15488" s="13"/>
    </row>
    <row r="15489" spans="4:38" x14ac:dyDescent="0.3">
      <c r="D15489" s="1"/>
      <c r="G15489" s="13"/>
      <c r="AL15489" s="13"/>
    </row>
    <row r="15490" spans="4:38" x14ac:dyDescent="0.3">
      <c r="D15490" s="1"/>
      <c r="G15490" s="13"/>
      <c r="AL15490" s="13"/>
    </row>
    <row r="15491" spans="4:38" x14ac:dyDescent="0.3">
      <c r="D15491" s="1"/>
      <c r="G15491" s="13"/>
      <c r="AL15491" s="13"/>
    </row>
    <row r="15492" spans="4:38" x14ac:dyDescent="0.3">
      <c r="D15492" s="1"/>
      <c r="G15492" s="13"/>
      <c r="AL15492" s="13"/>
    </row>
    <row r="15493" spans="4:38" x14ac:dyDescent="0.3">
      <c r="D15493" s="1"/>
      <c r="G15493" s="13"/>
      <c r="AL15493" s="13"/>
    </row>
    <row r="15494" spans="4:38" x14ac:dyDescent="0.3">
      <c r="D15494" s="1"/>
      <c r="G15494" s="13"/>
      <c r="AL15494" s="13"/>
    </row>
    <row r="15495" spans="4:38" x14ac:dyDescent="0.3">
      <c r="D15495" s="1"/>
      <c r="G15495" s="13"/>
      <c r="AL15495" s="13"/>
    </row>
    <row r="15496" spans="4:38" x14ac:dyDescent="0.3">
      <c r="D15496" s="1"/>
      <c r="G15496" s="13"/>
      <c r="AL15496" s="13"/>
    </row>
    <row r="15497" spans="4:38" x14ac:dyDescent="0.3">
      <c r="D15497" s="1"/>
      <c r="G15497" s="13"/>
      <c r="AL15497" s="13"/>
    </row>
    <row r="15498" spans="4:38" x14ac:dyDescent="0.3">
      <c r="D15498" s="1"/>
      <c r="G15498" s="13"/>
      <c r="AL15498" s="13"/>
    </row>
    <row r="15499" spans="4:38" x14ac:dyDescent="0.3">
      <c r="D15499" s="1"/>
      <c r="G15499" s="13"/>
      <c r="AL15499" s="13"/>
    </row>
    <row r="15500" spans="4:38" x14ac:dyDescent="0.3">
      <c r="D15500" s="1"/>
      <c r="G15500" s="13"/>
      <c r="AL15500" s="13"/>
    </row>
    <row r="15501" spans="4:38" x14ac:dyDescent="0.3">
      <c r="D15501" s="1"/>
      <c r="G15501" s="13"/>
      <c r="AL15501" s="13"/>
    </row>
    <row r="15502" spans="4:38" x14ac:dyDescent="0.3">
      <c r="D15502" s="1"/>
      <c r="G15502" s="13"/>
      <c r="AL15502" s="13"/>
    </row>
    <row r="15503" spans="4:38" x14ac:dyDescent="0.3">
      <c r="D15503" s="1"/>
      <c r="G15503" s="13"/>
      <c r="AL15503" s="13"/>
    </row>
    <row r="15504" spans="4:38" x14ac:dyDescent="0.3">
      <c r="D15504" s="1"/>
      <c r="G15504" s="13"/>
      <c r="AL15504" s="13"/>
    </row>
    <row r="15505" spans="4:38" x14ac:dyDescent="0.3">
      <c r="D15505" s="1"/>
      <c r="G15505" s="13"/>
      <c r="AL15505" s="13"/>
    </row>
    <row r="15506" spans="4:38" x14ac:dyDescent="0.3">
      <c r="D15506" s="1"/>
      <c r="G15506" s="13"/>
      <c r="AL15506" s="13"/>
    </row>
    <row r="15507" spans="4:38" x14ac:dyDescent="0.3">
      <c r="D15507" s="1"/>
      <c r="G15507" s="13"/>
      <c r="AL15507" s="13"/>
    </row>
    <row r="15508" spans="4:38" x14ac:dyDescent="0.3">
      <c r="D15508" s="1"/>
      <c r="G15508" s="13"/>
      <c r="AL15508" s="13"/>
    </row>
    <row r="15509" spans="4:38" x14ac:dyDescent="0.3">
      <c r="D15509" s="1"/>
      <c r="G15509" s="13"/>
      <c r="AL15509" s="13"/>
    </row>
    <row r="15510" spans="4:38" x14ac:dyDescent="0.3">
      <c r="D15510" s="1"/>
      <c r="G15510" s="13"/>
      <c r="AL15510" s="13"/>
    </row>
    <row r="15511" spans="4:38" x14ac:dyDescent="0.3">
      <c r="D15511" s="1"/>
      <c r="G15511" s="13"/>
      <c r="AL15511" s="13"/>
    </row>
    <row r="15512" spans="4:38" x14ac:dyDescent="0.3">
      <c r="D15512" s="1"/>
      <c r="G15512" s="13"/>
      <c r="AL15512" s="13"/>
    </row>
    <row r="15513" spans="4:38" x14ac:dyDescent="0.3">
      <c r="D15513" s="1"/>
      <c r="G15513" s="13"/>
      <c r="AL15513" s="13"/>
    </row>
    <row r="15514" spans="4:38" x14ac:dyDescent="0.3">
      <c r="D15514" s="1"/>
      <c r="G15514" s="13"/>
      <c r="AL15514" s="13"/>
    </row>
    <row r="15515" spans="4:38" x14ac:dyDescent="0.3">
      <c r="D15515" s="1"/>
      <c r="G15515" s="13"/>
      <c r="AL15515" s="13"/>
    </row>
    <row r="15516" spans="4:38" x14ac:dyDescent="0.3">
      <c r="D15516" s="1"/>
      <c r="G15516" s="13"/>
      <c r="AL15516" s="13"/>
    </row>
    <row r="15517" spans="4:38" x14ac:dyDescent="0.3">
      <c r="D15517" s="1"/>
      <c r="G15517" s="13"/>
      <c r="AL15517" s="13"/>
    </row>
    <row r="15518" spans="4:38" x14ac:dyDescent="0.3">
      <c r="D15518" s="1"/>
      <c r="G15518" s="13"/>
      <c r="AL15518" s="13"/>
    </row>
    <row r="15519" spans="4:38" x14ac:dyDescent="0.3">
      <c r="D15519" s="1"/>
      <c r="G15519" s="13"/>
      <c r="AL15519" s="13"/>
    </row>
    <row r="15520" spans="4:38" x14ac:dyDescent="0.3">
      <c r="D15520" s="1"/>
      <c r="G15520" s="13"/>
      <c r="AL15520" s="13"/>
    </row>
    <row r="15521" spans="4:38" x14ac:dyDescent="0.3">
      <c r="D15521" s="1"/>
      <c r="G15521" s="13"/>
      <c r="AL15521" s="13"/>
    </row>
    <row r="15522" spans="4:38" x14ac:dyDescent="0.3">
      <c r="D15522" s="1"/>
      <c r="G15522" s="13"/>
      <c r="AL15522" s="13"/>
    </row>
    <row r="15523" spans="4:38" x14ac:dyDescent="0.3">
      <c r="D15523" s="1"/>
      <c r="G15523" s="13"/>
      <c r="AL15523" s="13"/>
    </row>
    <row r="15524" spans="4:38" x14ac:dyDescent="0.3">
      <c r="D15524" s="1"/>
      <c r="G15524" s="13"/>
      <c r="AL15524" s="13"/>
    </row>
    <row r="15525" spans="4:38" x14ac:dyDescent="0.3">
      <c r="D15525" s="1"/>
      <c r="G15525" s="13"/>
      <c r="AL15525" s="13"/>
    </row>
    <row r="15526" spans="4:38" x14ac:dyDescent="0.3">
      <c r="D15526" s="1"/>
      <c r="G15526" s="13"/>
      <c r="AL15526" s="13"/>
    </row>
    <row r="15527" spans="4:38" x14ac:dyDescent="0.3">
      <c r="D15527" s="1"/>
      <c r="G15527" s="13"/>
      <c r="AL15527" s="13"/>
    </row>
    <row r="15528" spans="4:38" x14ac:dyDescent="0.3">
      <c r="D15528" s="1"/>
      <c r="G15528" s="13"/>
      <c r="AL15528" s="13"/>
    </row>
    <row r="15529" spans="4:38" x14ac:dyDescent="0.3">
      <c r="D15529" s="1"/>
      <c r="G15529" s="13"/>
      <c r="AL15529" s="13"/>
    </row>
    <row r="15530" spans="4:38" x14ac:dyDescent="0.3">
      <c r="D15530" s="1"/>
      <c r="G15530" s="13"/>
      <c r="AL15530" s="13"/>
    </row>
    <row r="15531" spans="4:38" x14ac:dyDescent="0.3">
      <c r="D15531" s="1"/>
      <c r="G15531" s="13"/>
      <c r="AL15531" s="13"/>
    </row>
    <row r="15532" spans="4:38" x14ac:dyDescent="0.3">
      <c r="D15532" s="1"/>
      <c r="G15532" s="13"/>
      <c r="AL15532" s="13"/>
    </row>
    <row r="15533" spans="4:38" x14ac:dyDescent="0.3">
      <c r="D15533" s="1"/>
      <c r="G15533" s="13"/>
      <c r="AL15533" s="13"/>
    </row>
    <row r="15534" spans="4:38" x14ac:dyDescent="0.3">
      <c r="D15534" s="1"/>
      <c r="G15534" s="13"/>
      <c r="AL15534" s="13"/>
    </row>
    <row r="15535" spans="4:38" x14ac:dyDescent="0.3">
      <c r="D15535" s="1"/>
      <c r="G15535" s="13"/>
      <c r="AL15535" s="13"/>
    </row>
    <row r="15536" spans="4:38" x14ac:dyDescent="0.3">
      <c r="D15536" s="1"/>
      <c r="G15536" s="13"/>
      <c r="AL15536" s="13"/>
    </row>
    <row r="15537" spans="4:39" x14ac:dyDescent="0.3">
      <c r="D15537" s="1"/>
      <c r="G15537" s="13"/>
      <c r="AL15537" s="13"/>
    </row>
    <row r="15538" spans="4:39" x14ac:dyDescent="0.3">
      <c r="D15538" s="1"/>
      <c r="G15538" s="13"/>
      <c r="AL15538" s="13"/>
    </row>
    <row r="15539" spans="4:39" x14ac:dyDescent="0.3">
      <c r="D15539" s="1"/>
      <c r="G15539" s="13"/>
      <c r="AL15539" s="13"/>
    </row>
    <row r="15540" spans="4:39" x14ac:dyDescent="0.3">
      <c r="D15540" s="1"/>
      <c r="G15540" s="13"/>
      <c r="AL15540" s="13"/>
    </row>
    <row r="15541" spans="4:39" x14ac:dyDescent="0.3">
      <c r="D15541" s="1"/>
      <c r="G15541" s="13"/>
      <c r="AL15541" s="13"/>
    </row>
    <row r="15542" spans="4:39" x14ac:dyDescent="0.3">
      <c r="D15542" s="1"/>
      <c r="G15542" s="13"/>
      <c r="AL15542" s="13"/>
    </row>
    <row r="15543" spans="4:39" x14ac:dyDescent="0.3">
      <c r="D15543" s="1"/>
      <c r="G15543" s="13"/>
      <c r="AL15543" s="13"/>
    </row>
    <row r="15544" spans="4:39" x14ac:dyDescent="0.3">
      <c r="D15544" s="1"/>
      <c r="G15544" s="13"/>
      <c r="AL15544" s="13"/>
    </row>
    <row r="15545" spans="4:39" x14ac:dyDescent="0.3">
      <c r="D15545" s="1"/>
      <c r="G15545" s="13"/>
      <c r="AL15545" s="13"/>
    </row>
    <row r="15546" spans="4:39" x14ac:dyDescent="0.3">
      <c r="D15546" s="1"/>
      <c r="G15546" s="13"/>
      <c r="AL15546" s="13"/>
    </row>
    <row r="15547" spans="4:39" x14ac:dyDescent="0.3">
      <c r="D15547" s="1"/>
      <c r="G15547" s="13"/>
      <c r="AL15547" s="13"/>
    </row>
    <row r="15548" spans="4:39" x14ac:dyDescent="0.3">
      <c r="D15548" s="1"/>
      <c r="G15548" s="13"/>
      <c r="AL15548" s="13"/>
    </row>
    <row r="15549" spans="4:39" x14ac:dyDescent="0.3">
      <c r="D15549" s="1"/>
      <c r="G15549" s="13"/>
      <c r="AL15549" s="13"/>
    </row>
    <row r="15550" spans="4:39" x14ac:dyDescent="0.3">
      <c r="D15550" s="1"/>
      <c r="G15550" s="13"/>
      <c r="AL15550" s="13"/>
      <c r="AM15550" s="14"/>
    </row>
    <row r="15551" spans="4:39" x14ac:dyDescent="0.3">
      <c r="D15551" s="1"/>
      <c r="G15551" s="13"/>
      <c r="AL15551" s="13"/>
    </row>
    <row r="15552" spans="4:39" x14ac:dyDescent="0.3">
      <c r="D15552" s="1"/>
      <c r="G15552" s="13"/>
    </row>
    <row r="15553" spans="4:39" x14ac:dyDescent="0.3">
      <c r="D15553" s="1"/>
      <c r="G15553" s="13"/>
      <c r="AL15553" s="13"/>
    </row>
    <row r="15554" spans="4:39" x14ac:dyDescent="0.3">
      <c r="D15554" s="1"/>
      <c r="G15554" s="13"/>
    </row>
    <row r="15555" spans="4:39" x14ac:dyDescent="0.3">
      <c r="D15555" s="1"/>
      <c r="G15555" s="13"/>
      <c r="AL15555" s="13"/>
    </row>
    <row r="15556" spans="4:39" x14ac:dyDescent="0.3">
      <c r="D15556" s="1"/>
      <c r="G15556" s="13"/>
      <c r="AL15556" s="13"/>
    </row>
    <row r="15557" spans="4:39" x14ac:dyDescent="0.3">
      <c r="D15557" s="1"/>
      <c r="G15557" s="13"/>
      <c r="AL15557" s="13"/>
      <c r="AM15557" s="14"/>
    </row>
    <row r="15558" spans="4:39" x14ac:dyDescent="0.3">
      <c r="D15558" s="1"/>
      <c r="G15558" s="13"/>
      <c r="AL15558" s="13"/>
    </row>
    <row r="15559" spans="4:39" x14ac:dyDescent="0.3">
      <c r="D15559" s="1"/>
      <c r="G15559" s="13"/>
      <c r="AL15559" s="13"/>
    </row>
    <row r="15560" spans="4:39" x14ac:dyDescent="0.3">
      <c r="D15560" s="1"/>
      <c r="G15560" s="13"/>
      <c r="AL15560" s="13"/>
    </row>
    <row r="15561" spans="4:39" x14ac:dyDescent="0.3">
      <c r="D15561" s="1"/>
      <c r="G15561" s="13"/>
      <c r="AL15561" s="13"/>
      <c r="AM15561" s="14"/>
    </row>
    <row r="15562" spans="4:39" x14ac:dyDescent="0.3">
      <c r="D15562" s="1"/>
      <c r="G15562" s="13"/>
      <c r="AL15562" s="13"/>
      <c r="AM15562" s="14"/>
    </row>
    <row r="15563" spans="4:39" x14ac:dyDescent="0.3">
      <c r="D15563" s="1"/>
      <c r="G15563" s="13"/>
      <c r="AL15563" s="13"/>
      <c r="AM15563" s="14"/>
    </row>
    <row r="15564" spans="4:39" x14ac:dyDescent="0.3">
      <c r="D15564" s="1"/>
      <c r="G15564" s="13"/>
      <c r="AL15564" s="13"/>
      <c r="AM15564" s="14"/>
    </row>
    <row r="15565" spans="4:39" x14ac:dyDescent="0.3">
      <c r="D15565" s="1"/>
      <c r="G15565" s="13"/>
      <c r="AL15565" s="13"/>
      <c r="AM15565" s="14"/>
    </row>
    <row r="15566" spans="4:39" x14ac:dyDescent="0.3">
      <c r="D15566" s="1"/>
      <c r="G15566" s="13"/>
      <c r="AL15566" s="13"/>
    </row>
    <row r="15567" spans="4:39" x14ac:dyDescent="0.3">
      <c r="D15567" s="1"/>
      <c r="G15567" s="13"/>
      <c r="AL15567" s="13"/>
    </row>
    <row r="15568" spans="4:39" x14ac:dyDescent="0.3">
      <c r="D15568" s="1"/>
      <c r="G15568" s="13"/>
      <c r="AL15568" s="13"/>
      <c r="AM15568" s="14"/>
    </row>
    <row r="15569" spans="4:39" x14ac:dyDescent="0.3">
      <c r="D15569" s="1"/>
      <c r="G15569" s="13"/>
      <c r="AL15569" s="13"/>
      <c r="AM15569" s="14"/>
    </row>
    <row r="15570" spans="4:39" x14ac:dyDescent="0.3">
      <c r="D15570" s="1"/>
      <c r="G15570" s="13"/>
      <c r="AL15570" s="13"/>
    </row>
    <row r="15571" spans="4:39" x14ac:dyDescent="0.3">
      <c r="D15571" s="1"/>
      <c r="G15571" s="13"/>
      <c r="AL15571" s="13"/>
    </row>
    <row r="15572" spans="4:39" x14ac:dyDescent="0.3">
      <c r="D15572" s="1"/>
      <c r="G15572" s="13"/>
      <c r="AL15572" s="13"/>
      <c r="AM15572" s="14"/>
    </row>
    <row r="15573" spans="4:39" x14ac:dyDescent="0.3">
      <c r="D15573" s="1"/>
      <c r="G15573" s="13"/>
      <c r="AL15573" s="13"/>
    </row>
    <row r="15574" spans="4:39" x14ac:dyDescent="0.3">
      <c r="D15574" s="1"/>
      <c r="G15574" s="13"/>
      <c r="AL15574" s="13"/>
    </row>
    <row r="15575" spans="4:39" x14ac:dyDescent="0.3">
      <c r="D15575" s="1"/>
      <c r="G15575" s="13"/>
      <c r="AL15575" s="13"/>
    </row>
    <row r="15576" spans="4:39" x14ac:dyDescent="0.3">
      <c r="D15576" s="1"/>
      <c r="G15576" s="13"/>
      <c r="AL15576" s="13"/>
    </row>
    <row r="15577" spans="4:39" x14ac:dyDescent="0.3">
      <c r="D15577" s="1"/>
      <c r="G15577" s="13"/>
      <c r="AL15577" s="13"/>
    </row>
    <row r="15578" spans="4:39" x14ac:dyDescent="0.3">
      <c r="D15578" s="1"/>
      <c r="G15578" s="13"/>
      <c r="AL15578" s="13"/>
    </row>
    <row r="15579" spans="4:39" x14ac:dyDescent="0.3">
      <c r="D15579" s="1"/>
      <c r="G15579" s="13"/>
    </row>
    <row r="15580" spans="4:39" x14ac:dyDescent="0.3">
      <c r="D15580" s="1"/>
      <c r="G15580" s="13"/>
    </row>
    <row r="15581" spans="4:39" x14ac:dyDescent="0.3">
      <c r="D15581" s="1"/>
      <c r="G15581" s="13"/>
      <c r="AL15581" s="13"/>
    </row>
    <row r="15582" spans="4:39" x14ac:dyDescent="0.3">
      <c r="D15582" s="1"/>
      <c r="G15582" s="13"/>
      <c r="AL15582" s="13"/>
    </row>
    <row r="15583" spans="4:39" x14ac:dyDescent="0.3">
      <c r="D15583" s="1"/>
      <c r="G15583" s="13"/>
      <c r="AL15583" s="13"/>
    </row>
    <row r="15584" spans="4:39" x14ac:dyDescent="0.3">
      <c r="D15584" s="1"/>
      <c r="G15584" s="13"/>
      <c r="AL15584" s="13"/>
    </row>
    <row r="15585" spans="4:39" x14ac:dyDescent="0.3">
      <c r="D15585" s="1"/>
      <c r="G15585" s="13"/>
      <c r="AL15585" s="13"/>
      <c r="AM15585" s="14"/>
    </row>
    <row r="15586" spans="4:39" x14ac:dyDescent="0.3">
      <c r="D15586" s="1"/>
      <c r="G15586" s="13"/>
    </row>
    <row r="15587" spans="4:39" x14ac:dyDescent="0.3">
      <c r="D15587" s="1"/>
      <c r="G15587" s="13"/>
      <c r="AL15587" s="13"/>
    </row>
    <row r="15588" spans="4:39" x14ac:dyDescent="0.3">
      <c r="D15588" s="1"/>
      <c r="G15588" s="13"/>
      <c r="AL15588" s="13"/>
    </row>
    <row r="15589" spans="4:39" x14ac:dyDescent="0.3">
      <c r="D15589" s="1"/>
      <c r="G15589" s="13"/>
      <c r="AL15589" s="13"/>
    </row>
    <row r="15590" spans="4:39" x14ac:dyDescent="0.3">
      <c r="D15590" s="1"/>
      <c r="G15590" s="13"/>
      <c r="AL15590" s="13"/>
    </row>
    <row r="15591" spans="4:39" x14ac:dyDescent="0.3">
      <c r="D15591" s="1"/>
      <c r="G15591" s="13"/>
      <c r="AL15591" s="13"/>
      <c r="AM15591" s="14"/>
    </row>
    <row r="15592" spans="4:39" x14ac:dyDescent="0.3">
      <c r="D15592" s="1"/>
      <c r="G15592" s="13"/>
      <c r="AL15592" s="13"/>
      <c r="AM15592" s="14"/>
    </row>
    <row r="15593" spans="4:39" x14ac:dyDescent="0.3">
      <c r="D15593" s="1"/>
      <c r="G15593" s="13"/>
      <c r="AL15593" s="13"/>
      <c r="AM15593" s="14"/>
    </row>
    <row r="15594" spans="4:39" x14ac:dyDescent="0.3">
      <c r="D15594" s="1"/>
      <c r="G15594" s="13"/>
      <c r="AL15594" s="13"/>
      <c r="AM15594" s="14"/>
    </row>
    <row r="15595" spans="4:39" x14ac:dyDescent="0.3">
      <c r="D15595" s="1"/>
      <c r="G15595" s="13"/>
      <c r="AL15595" s="13"/>
      <c r="AM15595" s="14"/>
    </row>
    <row r="15596" spans="4:39" x14ac:dyDescent="0.3">
      <c r="D15596" s="1"/>
      <c r="G15596" s="13"/>
      <c r="AL15596" s="13"/>
    </row>
    <row r="15597" spans="4:39" x14ac:dyDescent="0.3">
      <c r="D15597" s="1"/>
      <c r="G15597" s="13"/>
      <c r="AL15597" s="13"/>
    </row>
    <row r="15598" spans="4:39" x14ac:dyDescent="0.3">
      <c r="D15598" s="1"/>
      <c r="G15598" s="13"/>
      <c r="AL15598" s="13"/>
    </row>
    <row r="15599" spans="4:39" x14ac:dyDescent="0.3">
      <c r="D15599" s="1"/>
      <c r="G15599" s="13"/>
      <c r="AL15599" s="13"/>
      <c r="AM15599" s="14"/>
    </row>
    <row r="15600" spans="4:39" x14ac:dyDescent="0.3">
      <c r="D15600" s="1"/>
      <c r="G15600" s="13"/>
      <c r="AL15600" s="13"/>
    </row>
    <row r="15601" spans="4:39" x14ac:dyDescent="0.3">
      <c r="D15601" s="1"/>
      <c r="G15601" s="13"/>
      <c r="AL15601" s="13"/>
    </row>
    <row r="15602" spans="4:39" x14ac:dyDescent="0.3">
      <c r="D15602" s="1"/>
      <c r="G15602" s="13"/>
      <c r="AL15602" s="13"/>
      <c r="AM15602" s="14"/>
    </row>
    <row r="15603" spans="4:39" x14ac:dyDescent="0.3">
      <c r="D15603" s="1"/>
      <c r="G15603" s="13"/>
      <c r="AL15603" s="13"/>
    </row>
    <row r="15604" spans="4:39" x14ac:dyDescent="0.3">
      <c r="D15604" s="1"/>
      <c r="G15604" s="13"/>
      <c r="AL15604" s="13"/>
    </row>
    <row r="15605" spans="4:39" x14ac:dyDescent="0.3">
      <c r="D15605" s="1"/>
      <c r="G15605" s="13"/>
      <c r="AL15605" s="13"/>
      <c r="AM15605" s="14"/>
    </row>
    <row r="15606" spans="4:39" x14ac:dyDescent="0.3">
      <c r="D15606" s="1"/>
      <c r="G15606" s="13"/>
      <c r="AL15606" s="13"/>
    </row>
    <row r="15607" spans="4:39" x14ac:dyDescent="0.3">
      <c r="D15607" s="1"/>
      <c r="G15607" s="13"/>
      <c r="AL15607" s="13"/>
    </row>
    <row r="15608" spans="4:39" x14ac:dyDescent="0.3">
      <c r="D15608" s="1"/>
      <c r="G15608" s="13"/>
      <c r="AL15608" s="13"/>
    </row>
    <row r="15609" spans="4:39" x14ac:dyDescent="0.3">
      <c r="D15609" s="1"/>
      <c r="G15609" s="13"/>
      <c r="AL15609" s="13"/>
    </row>
    <row r="15610" spans="4:39" x14ac:dyDescent="0.3">
      <c r="D15610" s="1"/>
      <c r="G15610" s="13"/>
      <c r="AL15610" s="13"/>
      <c r="AM15610" s="14"/>
    </row>
    <row r="15611" spans="4:39" x14ac:dyDescent="0.3">
      <c r="D15611" s="1"/>
      <c r="G15611" s="13"/>
      <c r="AL15611" s="13"/>
    </row>
    <row r="15612" spans="4:39" x14ac:dyDescent="0.3">
      <c r="D15612" s="1"/>
      <c r="G15612" s="13"/>
      <c r="AL15612" s="13"/>
    </row>
    <row r="15613" spans="4:39" x14ac:dyDescent="0.3">
      <c r="D15613" s="1"/>
      <c r="G15613" s="13"/>
      <c r="AL15613" s="13"/>
    </row>
    <row r="15614" spans="4:39" x14ac:dyDescent="0.3">
      <c r="D15614" s="1"/>
      <c r="G15614" s="13"/>
      <c r="AL15614" s="13"/>
    </row>
    <row r="15615" spans="4:39" x14ac:dyDescent="0.3">
      <c r="D15615" s="1"/>
      <c r="G15615" s="13"/>
      <c r="AL15615" s="13"/>
    </row>
    <row r="15616" spans="4:39" x14ac:dyDescent="0.3">
      <c r="D15616" s="1"/>
      <c r="G15616" s="13"/>
      <c r="AL15616" s="13"/>
    </row>
    <row r="15617" spans="4:38" x14ac:dyDescent="0.3">
      <c r="D15617" s="1"/>
      <c r="G15617" s="13"/>
      <c r="AL15617" s="13"/>
    </row>
    <row r="15618" spans="4:38" x14ac:dyDescent="0.3">
      <c r="D15618" s="1"/>
      <c r="G15618" s="13"/>
      <c r="AL15618" s="13"/>
    </row>
    <row r="15619" spans="4:38" x14ac:dyDescent="0.3">
      <c r="D15619" s="1"/>
      <c r="G15619" s="13"/>
      <c r="AL15619" s="13"/>
    </row>
    <row r="15620" spans="4:38" x14ac:dyDescent="0.3">
      <c r="D15620" s="1"/>
      <c r="G15620" s="13"/>
      <c r="AL15620" s="13"/>
    </row>
    <row r="15621" spans="4:38" x14ac:dyDescent="0.3">
      <c r="D15621" s="1"/>
      <c r="G15621" s="13"/>
      <c r="AL15621" s="13"/>
    </row>
    <row r="15622" spans="4:38" x14ac:dyDescent="0.3">
      <c r="D15622" s="1"/>
      <c r="G15622" s="13"/>
      <c r="AL15622" s="13"/>
    </row>
    <row r="15623" spans="4:38" x14ac:dyDescent="0.3">
      <c r="D15623" s="1"/>
      <c r="G15623" s="13"/>
      <c r="AL15623" s="13"/>
    </row>
    <row r="15624" spans="4:38" x14ac:dyDescent="0.3">
      <c r="D15624" s="1"/>
      <c r="G15624" s="13"/>
      <c r="AL15624" s="13"/>
    </row>
    <row r="15625" spans="4:38" x14ac:dyDescent="0.3">
      <c r="D15625" s="1"/>
      <c r="G15625" s="13"/>
      <c r="AL15625" s="13"/>
    </row>
    <row r="15626" spans="4:38" x14ac:dyDescent="0.3">
      <c r="D15626" s="1"/>
      <c r="G15626" s="13"/>
      <c r="AL15626" s="13"/>
    </row>
    <row r="15627" spans="4:38" x14ac:dyDescent="0.3">
      <c r="D15627" s="1"/>
      <c r="G15627" s="13"/>
      <c r="AL15627" s="13"/>
    </row>
    <row r="15628" spans="4:38" x14ac:dyDescent="0.3">
      <c r="D15628" s="1"/>
      <c r="G15628" s="13"/>
      <c r="AL15628" s="13"/>
    </row>
    <row r="15629" spans="4:38" x14ac:dyDescent="0.3">
      <c r="D15629" s="1"/>
      <c r="G15629" s="13"/>
      <c r="AL15629" s="13"/>
    </row>
    <row r="15630" spans="4:38" x14ac:dyDescent="0.3">
      <c r="D15630" s="1"/>
      <c r="G15630" s="13"/>
    </row>
    <row r="15631" spans="4:38" x14ac:dyDescent="0.3">
      <c r="D15631" s="1"/>
      <c r="G15631" s="13"/>
    </row>
    <row r="15632" spans="4:38" x14ac:dyDescent="0.3">
      <c r="D15632" s="1"/>
      <c r="G15632" s="13"/>
    </row>
    <row r="15633" spans="4:39" x14ac:dyDescent="0.3">
      <c r="D15633" s="1"/>
      <c r="G15633" s="13"/>
      <c r="AL15633" s="13"/>
      <c r="AM15633" s="14"/>
    </row>
    <row r="15634" spans="4:39" x14ac:dyDescent="0.3">
      <c r="D15634" s="1"/>
      <c r="G15634" s="13"/>
      <c r="AL15634" s="13"/>
      <c r="AM15634" s="14"/>
    </row>
    <row r="15635" spans="4:39" x14ac:dyDescent="0.3">
      <c r="D15635" s="1"/>
      <c r="G15635" s="13"/>
    </row>
    <row r="15636" spans="4:39" x14ac:dyDescent="0.3">
      <c r="D15636" s="1"/>
      <c r="G15636" s="13"/>
    </row>
    <row r="15637" spans="4:39" x14ac:dyDescent="0.3">
      <c r="D15637" s="1"/>
      <c r="G15637" s="13"/>
      <c r="AL15637" s="13"/>
    </row>
    <row r="15638" spans="4:39" x14ac:dyDescent="0.3">
      <c r="D15638" s="1"/>
      <c r="G15638" s="13"/>
      <c r="AL15638" s="13"/>
    </row>
    <row r="15639" spans="4:39" x14ac:dyDescent="0.3">
      <c r="D15639" s="1"/>
      <c r="G15639" s="13"/>
    </row>
    <row r="15640" spans="4:39" x14ac:dyDescent="0.3">
      <c r="D15640" s="1"/>
      <c r="G15640" s="13"/>
    </row>
    <row r="15641" spans="4:39" x14ac:dyDescent="0.3">
      <c r="D15641" s="1"/>
      <c r="G15641" s="13"/>
      <c r="AL15641" s="13"/>
      <c r="AM15641" s="14"/>
    </row>
    <row r="15642" spans="4:39" x14ac:dyDescent="0.3">
      <c r="D15642" s="1"/>
      <c r="G15642" s="13"/>
      <c r="AL15642" s="13"/>
    </row>
    <row r="15643" spans="4:39" x14ac:dyDescent="0.3">
      <c r="D15643" s="1"/>
      <c r="G15643" s="13"/>
    </row>
    <row r="15644" spans="4:39" x14ac:dyDescent="0.3">
      <c r="D15644" s="1"/>
      <c r="G15644" s="13"/>
      <c r="AL15644" s="13"/>
    </row>
    <row r="15645" spans="4:39" x14ac:dyDescent="0.3">
      <c r="D15645" s="1"/>
      <c r="G15645" s="13"/>
      <c r="AL15645" s="13"/>
    </row>
    <row r="15646" spans="4:39" x14ac:dyDescent="0.3">
      <c r="D15646" s="1"/>
      <c r="G15646" s="13"/>
      <c r="AL15646" s="13"/>
      <c r="AM15646" s="14"/>
    </row>
    <row r="15647" spans="4:39" x14ac:dyDescent="0.3">
      <c r="D15647" s="1"/>
      <c r="G15647" s="13"/>
      <c r="AL15647" s="13"/>
    </row>
    <row r="15648" spans="4:39" x14ac:dyDescent="0.3">
      <c r="D15648" s="1"/>
      <c r="G15648" s="13"/>
      <c r="AL15648" s="13"/>
    </row>
    <row r="15649" spans="4:39" x14ac:dyDescent="0.3">
      <c r="D15649" s="1"/>
      <c r="G15649" s="13"/>
      <c r="AL15649" s="13"/>
    </row>
    <row r="15650" spans="4:39" x14ac:dyDescent="0.3">
      <c r="D15650" s="1"/>
      <c r="G15650" s="13"/>
      <c r="AL15650" s="13"/>
    </row>
    <row r="15651" spans="4:39" x14ac:dyDescent="0.3">
      <c r="D15651" s="1"/>
      <c r="G15651" s="13"/>
      <c r="AL15651" s="13"/>
    </row>
    <row r="15652" spans="4:39" x14ac:dyDescent="0.3">
      <c r="D15652" s="1"/>
      <c r="G15652" s="13"/>
      <c r="AL15652" s="13"/>
    </row>
    <row r="15653" spans="4:39" x14ac:dyDescent="0.3">
      <c r="D15653" s="1"/>
      <c r="G15653" s="13"/>
      <c r="AL15653" s="13"/>
    </row>
    <row r="15654" spans="4:39" x14ac:dyDescent="0.3">
      <c r="D15654" s="1"/>
      <c r="G15654" s="13"/>
      <c r="AL15654" s="13"/>
    </row>
    <row r="15655" spans="4:39" x14ac:dyDescent="0.3">
      <c r="D15655" s="1"/>
      <c r="G15655" s="13"/>
      <c r="AL15655" s="13"/>
    </row>
    <row r="15656" spans="4:39" x14ac:dyDescent="0.3">
      <c r="D15656" s="1"/>
      <c r="G15656" s="13"/>
      <c r="AL15656" s="13"/>
    </row>
    <row r="15657" spans="4:39" x14ac:dyDescent="0.3">
      <c r="D15657" s="1"/>
      <c r="G15657" s="13"/>
      <c r="AL15657" s="13"/>
      <c r="AM15657" s="14"/>
    </row>
    <row r="15658" spans="4:39" x14ac:dyDescent="0.3">
      <c r="D15658" s="1"/>
      <c r="G15658" s="13"/>
      <c r="AL15658" s="13"/>
    </row>
    <row r="15659" spans="4:39" x14ac:dyDescent="0.3">
      <c r="D15659" s="1"/>
      <c r="G15659" s="13"/>
      <c r="AL15659" s="13"/>
    </row>
    <row r="15660" spans="4:39" x14ac:dyDescent="0.3">
      <c r="D15660" s="1"/>
      <c r="G15660" s="13"/>
      <c r="AL15660" s="13"/>
      <c r="AM15660" s="14"/>
    </row>
    <row r="15661" spans="4:39" x14ac:dyDescent="0.3">
      <c r="D15661" s="1"/>
      <c r="G15661" s="13"/>
      <c r="AL15661" s="13"/>
    </row>
    <row r="15662" spans="4:39" x14ac:dyDescent="0.3">
      <c r="D15662" s="1"/>
      <c r="G15662" s="13"/>
      <c r="AL15662" s="13"/>
    </row>
    <row r="15663" spans="4:39" x14ac:dyDescent="0.3">
      <c r="D15663" s="1"/>
      <c r="G15663" s="13"/>
      <c r="AL15663" s="13"/>
    </row>
    <row r="15664" spans="4:39" x14ac:dyDescent="0.3">
      <c r="D15664" s="1"/>
      <c r="G15664" s="13"/>
      <c r="AL15664" s="13"/>
    </row>
    <row r="15665" spans="4:39" x14ac:dyDescent="0.3">
      <c r="D15665" s="1"/>
      <c r="G15665" s="13"/>
      <c r="AL15665" s="13"/>
      <c r="AM15665" s="14"/>
    </row>
    <row r="15666" spans="4:39" x14ac:dyDescent="0.3">
      <c r="D15666" s="1"/>
      <c r="G15666" s="13"/>
      <c r="AL15666" s="13"/>
    </row>
    <row r="15667" spans="4:39" x14ac:dyDescent="0.3">
      <c r="D15667" s="1"/>
      <c r="G15667" s="13"/>
      <c r="AL15667" s="13"/>
    </row>
    <row r="15668" spans="4:39" x14ac:dyDescent="0.3">
      <c r="D15668" s="1"/>
      <c r="G15668" s="13"/>
      <c r="AL15668" s="13"/>
      <c r="AM15668" s="14"/>
    </row>
    <row r="15669" spans="4:39" x14ac:dyDescent="0.3">
      <c r="D15669" s="1"/>
      <c r="G15669" s="13"/>
      <c r="AL15669" s="13"/>
    </row>
    <row r="15670" spans="4:39" x14ac:dyDescent="0.3">
      <c r="D15670" s="1"/>
      <c r="G15670" s="13"/>
      <c r="AL15670" s="13"/>
    </row>
    <row r="15671" spans="4:39" x14ac:dyDescent="0.3">
      <c r="D15671" s="1"/>
      <c r="G15671" s="13"/>
      <c r="AL15671" s="13"/>
    </row>
    <row r="15672" spans="4:39" x14ac:dyDescent="0.3">
      <c r="D15672" s="1"/>
      <c r="G15672" s="13"/>
      <c r="AL15672" s="13"/>
    </row>
    <row r="15673" spans="4:39" x14ac:dyDescent="0.3">
      <c r="D15673" s="1"/>
      <c r="G15673" s="13"/>
      <c r="AL15673" s="13"/>
    </row>
    <row r="15674" spans="4:39" x14ac:dyDescent="0.3">
      <c r="D15674" s="1"/>
      <c r="G15674" s="13"/>
      <c r="AL15674" s="13"/>
      <c r="AM15674" s="14"/>
    </row>
    <row r="15675" spans="4:39" x14ac:dyDescent="0.3">
      <c r="D15675" s="1"/>
      <c r="G15675" s="13"/>
      <c r="AL15675" s="13"/>
    </row>
    <row r="15676" spans="4:39" x14ac:dyDescent="0.3">
      <c r="D15676" s="1"/>
      <c r="G15676" s="13"/>
      <c r="AL15676" s="13"/>
      <c r="AM15676" s="14"/>
    </row>
    <row r="15677" spans="4:39" x14ac:dyDescent="0.3">
      <c r="D15677" s="1"/>
      <c r="G15677" s="13"/>
      <c r="AL15677" s="13"/>
      <c r="AM15677" s="14"/>
    </row>
    <row r="15678" spans="4:39" x14ac:dyDescent="0.3">
      <c r="D15678" s="1"/>
      <c r="G15678" s="13"/>
      <c r="AL15678" s="13"/>
      <c r="AM15678" s="14"/>
    </row>
    <row r="15679" spans="4:39" x14ac:dyDescent="0.3">
      <c r="D15679" s="1"/>
      <c r="G15679" s="13"/>
      <c r="AL15679" s="13"/>
      <c r="AM15679" s="14"/>
    </row>
    <row r="15680" spans="4:39" x14ac:dyDescent="0.3">
      <c r="D15680" s="1"/>
      <c r="G15680" s="13"/>
      <c r="AL15680" s="13"/>
    </row>
    <row r="15681" spans="4:39" x14ac:dyDescent="0.3">
      <c r="D15681" s="1"/>
      <c r="G15681" s="13"/>
      <c r="AL15681" s="13"/>
      <c r="AM15681" s="14"/>
    </row>
    <row r="15682" spans="4:39" x14ac:dyDescent="0.3">
      <c r="D15682" s="1"/>
      <c r="G15682" s="13"/>
      <c r="AL15682" s="13"/>
      <c r="AM15682" s="14"/>
    </row>
    <row r="15683" spans="4:39" x14ac:dyDescent="0.3">
      <c r="D15683" s="1"/>
      <c r="G15683" s="13"/>
      <c r="AL15683" s="13"/>
      <c r="AM15683" s="14"/>
    </row>
    <row r="15684" spans="4:39" x14ac:dyDescent="0.3">
      <c r="D15684" s="1"/>
      <c r="G15684" s="13"/>
      <c r="AL15684" s="13"/>
      <c r="AM15684" s="14"/>
    </row>
    <row r="15685" spans="4:39" x14ac:dyDescent="0.3">
      <c r="D15685" s="1"/>
      <c r="G15685" s="13"/>
      <c r="AL15685" s="13"/>
      <c r="AM15685" s="14"/>
    </row>
    <row r="15686" spans="4:39" x14ac:dyDescent="0.3">
      <c r="D15686" s="1"/>
      <c r="G15686" s="13"/>
      <c r="AL15686" s="13"/>
    </row>
    <row r="15687" spans="4:39" x14ac:dyDescent="0.3">
      <c r="D15687" s="1"/>
      <c r="G15687" s="13"/>
      <c r="AL15687" s="13"/>
      <c r="AM15687" s="14"/>
    </row>
    <row r="15688" spans="4:39" x14ac:dyDescent="0.3">
      <c r="D15688" s="1"/>
      <c r="G15688" s="13"/>
      <c r="AL15688" s="13"/>
      <c r="AM15688" s="14"/>
    </row>
    <row r="15689" spans="4:39" x14ac:dyDescent="0.3">
      <c r="D15689" s="1"/>
      <c r="G15689" s="13"/>
      <c r="AL15689" s="13"/>
    </row>
    <row r="15690" spans="4:39" x14ac:dyDescent="0.3">
      <c r="D15690" s="1"/>
      <c r="G15690" s="13"/>
      <c r="AL15690" s="13"/>
      <c r="AM15690" s="14"/>
    </row>
    <row r="15691" spans="4:39" x14ac:dyDescent="0.3">
      <c r="D15691" s="1"/>
      <c r="G15691" s="13"/>
      <c r="AL15691" s="13"/>
    </row>
    <row r="15692" spans="4:39" x14ac:dyDescent="0.3">
      <c r="D15692" s="1"/>
      <c r="G15692" s="13"/>
      <c r="AL15692" s="13"/>
      <c r="AM15692" s="14"/>
    </row>
    <row r="15693" spans="4:39" x14ac:dyDescent="0.3">
      <c r="D15693" s="1"/>
      <c r="G15693" s="13"/>
      <c r="AL15693" s="13"/>
      <c r="AM15693" s="14"/>
    </row>
    <row r="15694" spans="4:39" x14ac:dyDescent="0.3">
      <c r="D15694" s="1"/>
      <c r="G15694" s="13"/>
      <c r="AL15694" s="13"/>
    </row>
    <row r="15695" spans="4:39" x14ac:dyDescent="0.3">
      <c r="D15695" s="1"/>
      <c r="G15695" s="13"/>
      <c r="AL15695" s="13"/>
    </row>
    <row r="15696" spans="4:39" x14ac:dyDescent="0.3">
      <c r="D15696" s="1"/>
      <c r="G15696" s="13"/>
      <c r="AL15696" s="13"/>
    </row>
    <row r="15697" spans="4:39" x14ac:dyDescent="0.3">
      <c r="D15697" s="1"/>
      <c r="G15697" s="13"/>
      <c r="AL15697" s="13"/>
    </row>
    <row r="15698" spans="4:39" x14ac:dyDescent="0.3">
      <c r="D15698" s="1"/>
      <c r="G15698" s="13"/>
      <c r="AL15698" s="13"/>
    </row>
    <row r="15699" spans="4:39" x14ac:dyDescent="0.3">
      <c r="D15699" s="1"/>
      <c r="G15699" s="13"/>
      <c r="AL15699" s="13"/>
      <c r="AM15699" s="14"/>
    </row>
    <row r="15700" spans="4:39" x14ac:dyDescent="0.3">
      <c r="D15700" s="1"/>
      <c r="G15700" s="13"/>
      <c r="AL15700" s="13"/>
    </row>
    <row r="15701" spans="4:39" x14ac:dyDescent="0.3">
      <c r="D15701" s="1"/>
      <c r="G15701" s="13"/>
      <c r="AL15701" s="13"/>
      <c r="AM15701" s="14"/>
    </row>
    <row r="15702" spans="4:39" x14ac:dyDescent="0.3">
      <c r="D15702" s="1"/>
      <c r="G15702" s="13"/>
      <c r="AL15702" s="13"/>
    </row>
    <row r="15703" spans="4:39" x14ac:dyDescent="0.3">
      <c r="D15703" s="1"/>
      <c r="G15703" s="13"/>
      <c r="AL15703" s="13"/>
      <c r="AM15703" s="14"/>
    </row>
    <row r="15704" spans="4:39" x14ac:dyDescent="0.3">
      <c r="D15704" s="1"/>
      <c r="G15704" s="13"/>
      <c r="AL15704" s="13"/>
      <c r="AM15704" s="14"/>
    </row>
    <row r="15705" spans="4:39" x14ac:dyDescent="0.3">
      <c r="D15705" s="1"/>
      <c r="G15705" s="13"/>
      <c r="AL15705" s="13"/>
      <c r="AM15705" s="14"/>
    </row>
    <row r="15706" spans="4:39" x14ac:dyDescent="0.3">
      <c r="D15706" s="1"/>
      <c r="G15706" s="13"/>
      <c r="AL15706" s="13"/>
      <c r="AM15706" s="14"/>
    </row>
    <row r="15707" spans="4:39" x14ac:dyDescent="0.3">
      <c r="D15707" s="1"/>
      <c r="G15707" s="13"/>
      <c r="AL15707" s="13"/>
    </row>
    <row r="15708" spans="4:39" x14ac:dyDescent="0.3">
      <c r="D15708" s="1"/>
      <c r="G15708" s="13"/>
      <c r="AL15708" s="13"/>
    </row>
    <row r="15709" spans="4:39" x14ac:dyDescent="0.3">
      <c r="D15709" s="1"/>
      <c r="G15709" s="13"/>
      <c r="AL15709" s="13"/>
      <c r="AM15709" s="14"/>
    </row>
    <row r="15710" spans="4:39" x14ac:dyDescent="0.3">
      <c r="D15710" s="1"/>
      <c r="G15710" s="13"/>
      <c r="AL15710" s="13"/>
      <c r="AM15710" s="14"/>
    </row>
    <row r="15711" spans="4:39" x14ac:dyDescent="0.3">
      <c r="D15711" s="1"/>
      <c r="G15711" s="13"/>
      <c r="AL15711" s="13"/>
    </row>
    <row r="15712" spans="4:39" x14ac:dyDescent="0.3">
      <c r="D15712" s="1"/>
      <c r="G15712" s="13"/>
      <c r="AL15712" s="13"/>
    </row>
    <row r="15713" spans="4:39" x14ac:dyDescent="0.3">
      <c r="D15713" s="1"/>
      <c r="G15713" s="13"/>
      <c r="AL15713" s="13"/>
    </row>
    <row r="15714" spans="4:39" x14ac:dyDescent="0.3">
      <c r="D15714" s="1"/>
      <c r="G15714" s="13"/>
      <c r="AL15714" s="13"/>
      <c r="AM15714" s="14"/>
    </row>
    <row r="15715" spans="4:39" x14ac:dyDescent="0.3">
      <c r="D15715" s="1"/>
      <c r="G15715" s="13"/>
      <c r="AL15715" s="13"/>
    </row>
    <row r="15716" spans="4:39" x14ac:dyDescent="0.3">
      <c r="D15716" s="1"/>
      <c r="G15716" s="13"/>
      <c r="AL15716" s="13"/>
    </row>
    <row r="15717" spans="4:39" x14ac:dyDescent="0.3">
      <c r="D15717" s="1"/>
      <c r="G15717" s="13"/>
      <c r="AL15717" s="13"/>
      <c r="AM15717" s="14"/>
    </row>
    <row r="15718" spans="4:39" x14ac:dyDescent="0.3">
      <c r="D15718" s="1"/>
      <c r="G15718" s="13"/>
      <c r="AL15718" s="13"/>
    </row>
    <row r="15719" spans="4:39" x14ac:dyDescent="0.3">
      <c r="D15719" s="1"/>
      <c r="G15719" s="13"/>
      <c r="AL15719" s="13"/>
    </row>
    <row r="15720" spans="4:39" x14ac:dyDescent="0.3">
      <c r="D15720" s="1"/>
      <c r="G15720" s="13"/>
      <c r="AL15720" s="13"/>
      <c r="AM15720" s="14"/>
    </row>
    <row r="15721" spans="4:39" x14ac:dyDescent="0.3">
      <c r="D15721" s="1"/>
      <c r="G15721" s="13"/>
      <c r="AL15721" s="13"/>
      <c r="AM15721" s="14"/>
    </row>
    <row r="15722" spans="4:39" x14ac:dyDescent="0.3">
      <c r="D15722" s="1"/>
      <c r="G15722" s="13"/>
      <c r="AL15722" s="13"/>
    </row>
    <row r="15723" spans="4:39" x14ac:dyDescent="0.3">
      <c r="D15723" s="1"/>
      <c r="G15723" s="13"/>
      <c r="AL15723" s="13"/>
    </row>
    <row r="15724" spans="4:39" x14ac:dyDescent="0.3">
      <c r="D15724" s="1"/>
      <c r="G15724" s="13"/>
      <c r="AL15724" s="13"/>
    </row>
    <row r="15725" spans="4:39" x14ac:dyDescent="0.3">
      <c r="D15725" s="1"/>
      <c r="G15725" s="13"/>
      <c r="AL15725" s="13"/>
    </row>
    <row r="15726" spans="4:39" x14ac:dyDescent="0.3">
      <c r="D15726" s="1"/>
      <c r="G15726" s="13"/>
      <c r="AL15726" s="13"/>
      <c r="AM15726" s="14"/>
    </row>
    <row r="15727" spans="4:39" x14ac:dyDescent="0.3">
      <c r="D15727" s="1"/>
      <c r="G15727" s="13"/>
      <c r="AL15727" s="13"/>
    </row>
    <row r="15728" spans="4:39" x14ac:dyDescent="0.3">
      <c r="D15728" s="1"/>
      <c r="G15728" s="13"/>
      <c r="AL15728" s="13"/>
    </row>
    <row r="15729" spans="4:39" x14ac:dyDescent="0.3">
      <c r="D15729" s="1"/>
      <c r="G15729" s="13"/>
      <c r="AL15729" s="13"/>
    </row>
    <row r="15730" spans="4:39" x14ac:dyDescent="0.3">
      <c r="D15730" s="1"/>
      <c r="G15730" s="13"/>
      <c r="AL15730" s="13"/>
    </row>
    <row r="15731" spans="4:39" x14ac:dyDescent="0.3">
      <c r="D15731" s="1"/>
      <c r="G15731" s="13"/>
      <c r="AL15731" s="13"/>
    </row>
    <row r="15732" spans="4:39" x14ac:dyDescent="0.3">
      <c r="D15732" s="1"/>
      <c r="G15732" s="13"/>
      <c r="AL15732" s="13"/>
    </row>
    <row r="15733" spans="4:39" x14ac:dyDescent="0.3">
      <c r="D15733" s="1"/>
      <c r="G15733" s="13"/>
      <c r="AL15733" s="13"/>
    </row>
    <row r="15734" spans="4:39" x14ac:dyDescent="0.3">
      <c r="D15734" s="1"/>
      <c r="G15734" s="13"/>
      <c r="AL15734" s="13"/>
    </row>
    <row r="15735" spans="4:39" x14ac:dyDescent="0.3">
      <c r="D15735" s="1"/>
      <c r="G15735" s="13"/>
      <c r="AL15735" s="13"/>
    </row>
    <row r="15736" spans="4:39" x14ac:dyDescent="0.3">
      <c r="D15736" s="1"/>
      <c r="G15736" s="13"/>
      <c r="AL15736" s="13"/>
      <c r="AM15736" s="14"/>
    </row>
    <row r="15737" spans="4:39" x14ac:dyDescent="0.3">
      <c r="D15737" s="1"/>
      <c r="G15737" s="13"/>
      <c r="AL15737" s="13"/>
      <c r="AM15737" s="14"/>
    </row>
    <row r="15738" spans="4:39" x14ac:dyDescent="0.3">
      <c r="D15738" s="1"/>
      <c r="G15738" s="13"/>
      <c r="AL15738" s="13"/>
    </row>
    <row r="15739" spans="4:39" x14ac:dyDescent="0.3">
      <c r="D15739" s="1"/>
      <c r="G15739" s="13"/>
      <c r="AL15739" s="13"/>
    </row>
    <row r="15740" spans="4:39" x14ac:dyDescent="0.3">
      <c r="D15740" s="1"/>
      <c r="G15740" s="13"/>
      <c r="AL15740" s="13"/>
    </row>
    <row r="15741" spans="4:39" x14ac:dyDescent="0.3">
      <c r="D15741" s="1"/>
      <c r="G15741" s="13"/>
      <c r="AL15741" s="13"/>
    </row>
    <row r="15742" spans="4:39" x14ac:dyDescent="0.3">
      <c r="D15742" s="1"/>
      <c r="G15742" s="13"/>
      <c r="AL15742" s="13"/>
    </row>
    <row r="15743" spans="4:39" x14ac:dyDescent="0.3">
      <c r="D15743" s="1"/>
      <c r="G15743" s="13"/>
      <c r="AL15743" s="13"/>
      <c r="AM15743" s="14"/>
    </row>
    <row r="15744" spans="4:39" x14ac:dyDescent="0.3">
      <c r="D15744" s="1"/>
      <c r="G15744" s="13"/>
      <c r="AL15744" s="13"/>
      <c r="AM15744" s="14"/>
    </row>
    <row r="15745" spans="4:39" x14ac:dyDescent="0.3">
      <c r="D15745" s="1"/>
      <c r="G15745" s="13"/>
      <c r="AL15745" s="13"/>
      <c r="AM15745" s="14"/>
    </row>
    <row r="15746" spans="4:39" x14ac:dyDescent="0.3">
      <c r="D15746" s="1"/>
      <c r="G15746" s="13"/>
      <c r="AL15746" s="13"/>
      <c r="AM15746" s="14"/>
    </row>
    <row r="15747" spans="4:39" x14ac:dyDescent="0.3">
      <c r="D15747" s="1"/>
      <c r="G15747" s="13"/>
      <c r="AL15747" s="13"/>
    </row>
    <row r="15748" spans="4:39" x14ac:dyDescent="0.3">
      <c r="D15748" s="1"/>
      <c r="G15748" s="13"/>
      <c r="AL15748" s="13"/>
    </row>
    <row r="15749" spans="4:39" x14ac:dyDescent="0.3">
      <c r="D15749" s="1"/>
      <c r="G15749" s="13"/>
      <c r="AL15749" s="13"/>
    </row>
    <row r="15750" spans="4:39" x14ac:dyDescent="0.3">
      <c r="D15750" s="1"/>
      <c r="G15750" s="13"/>
      <c r="AL15750" s="13"/>
      <c r="AM15750" s="14"/>
    </row>
    <row r="15751" spans="4:39" x14ac:dyDescent="0.3">
      <c r="D15751" s="1"/>
      <c r="G15751" s="13"/>
      <c r="AL15751" s="13"/>
      <c r="AM15751" s="14"/>
    </row>
    <row r="15752" spans="4:39" x14ac:dyDescent="0.3">
      <c r="D15752" s="1"/>
      <c r="G15752" s="13"/>
      <c r="AL15752" s="13"/>
    </row>
    <row r="15753" spans="4:39" x14ac:dyDescent="0.3">
      <c r="D15753" s="1"/>
      <c r="G15753" s="13"/>
      <c r="AL15753" s="13"/>
    </row>
    <row r="15754" spans="4:39" x14ac:dyDescent="0.3">
      <c r="D15754" s="1"/>
      <c r="G15754" s="13"/>
      <c r="AL15754" s="13"/>
      <c r="AM15754" s="14"/>
    </row>
    <row r="15755" spans="4:39" x14ac:dyDescent="0.3">
      <c r="D15755" s="1"/>
      <c r="G15755" s="13"/>
      <c r="AL15755" s="13"/>
    </row>
    <row r="15756" spans="4:39" x14ac:dyDescent="0.3">
      <c r="D15756" s="1"/>
      <c r="G15756" s="13"/>
      <c r="AL15756" s="13"/>
      <c r="AM15756" s="14"/>
    </row>
    <row r="15757" spans="4:39" x14ac:dyDescent="0.3">
      <c r="D15757" s="1"/>
      <c r="G15757" s="13"/>
      <c r="AL15757" s="13"/>
    </row>
    <row r="15758" spans="4:39" x14ac:dyDescent="0.3">
      <c r="D15758" s="1"/>
      <c r="G15758" s="13"/>
      <c r="AL15758" s="13"/>
    </row>
    <row r="15759" spans="4:39" x14ac:dyDescent="0.3">
      <c r="D15759" s="1"/>
      <c r="G15759" s="13"/>
      <c r="AL15759" s="13"/>
    </row>
    <row r="15760" spans="4:39" x14ac:dyDescent="0.3">
      <c r="D15760" s="1"/>
      <c r="G15760" s="13"/>
      <c r="AL15760" s="13"/>
    </row>
    <row r="15761" spans="4:39" x14ac:dyDescent="0.3">
      <c r="D15761" s="1"/>
      <c r="G15761" s="13"/>
      <c r="AL15761" s="13"/>
    </row>
    <row r="15762" spans="4:39" x14ac:dyDescent="0.3">
      <c r="D15762" s="1"/>
      <c r="G15762" s="13"/>
      <c r="AL15762" s="13"/>
    </row>
    <row r="15763" spans="4:39" x14ac:dyDescent="0.3">
      <c r="D15763" s="1"/>
      <c r="G15763" s="13"/>
      <c r="AL15763" s="13"/>
    </row>
    <row r="15764" spans="4:39" x14ac:dyDescent="0.3">
      <c r="D15764" s="1"/>
      <c r="G15764" s="13"/>
      <c r="AL15764" s="13"/>
    </row>
    <row r="15765" spans="4:39" x14ac:dyDescent="0.3">
      <c r="D15765" s="1"/>
      <c r="G15765" s="13"/>
      <c r="AL15765" s="13"/>
      <c r="AM15765" s="14"/>
    </row>
    <row r="15766" spans="4:39" x14ac:dyDescent="0.3">
      <c r="D15766" s="1"/>
      <c r="G15766" s="13"/>
      <c r="AL15766" s="13"/>
    </row>
    <row r="15767" spans="4:39" x14ac:dyDescent="0.3">
      <c r="D15767" s="1"/>
      <c r="G15767" s="13"/>
      <c r="AL15767" s="13"/>
    </row>
    <row r="15768" spans="4:39" x14ac:dyDescent="0.3">
      <c r="D15768" s="1"/>
      <c r="G15768" s="13"/>
      <c r="AL15768" s="13"/>
      <c r="AM15768" s="14"/>
    </row>
    <row r="15769" spans="4:39" x14ac:dyDescent="0.3">
      <c r="D15769" s="1"/>
      <c r="G15769" s="13"/>
      <c r="AL15769" s="13"/>
    </row>
    <row r="15770" spans="4:39" x14ac:dyDescent="0.3">
      <c r="D15770" s="1"/>
      <c r="G15770" s="13"/>
      <c r="AL15770" s="13"/>
      <c r="AM15770" s="14"/>
    </row>
    <row r="15771" spans="4:39" x14ac:dyDescent="0.3">
      <c r="D15771" s="1"/>
      <c r="G15771" s="13"/>
      <c r="AL15771" s="13"/>
      <c r="AM15771" s="14"/>
    </row>
    <row r="15772" spans="4:39" x14ac:dyDescent="0.3">
      <c r="D15772" s="1"/>
      <c r="G15772" s="13"/>
      <c r="AL15772" s="13"/>
    </row>
    <row r="15773" spans="4:39" x14ac:dyDescent="0.3">
      <c r="D15773" s="1"/>
      <c r="G15773" s="13"/>
      <c r="AL15773" s="13"/>
    </row>
    <row r="15774" spans="4:39" x14ac:dyDescent="0.3">
      <c r="D15774" s="1"/>
      <c r="G15774" s="13"/>
      <c r="AL15774" s="13"/>
    </row>
    <row r="15775" spans="4:39" x14ac:dyDescent="0.3">
      <c r="D15775" s="1"/>
      <c r="G15775" s="13"/>
      <c r="AL15775" s="13"/>
      <c r="AM15775" s="14"/>
    </row>
    <row r="15776" spans="4:39" x14ac:dyDescent="0.3">
      <c r="D15776" s="1"/>
      <c r="G15776" s="13"/>
      <c r="AL15776" s="13"/>
      <c r="AM15776" s="14"/>
    </row>
    <row r="15777" spans="4:39" x14ac:dyDescent="0.3">
      <c r="D15777" s="1"/>
      <c r="G15777" s="13"/>
      <c r="AL15777" s="13"/>
      <c r="AM15777" s="14"/>
    </row>
    <row r="15778" spans="4:39" x14ac:dyDescent="0.3">
      <c r="D15778" s="1"/>
      <c r="G15778" s="13"/>
      <c r="AL15778" s="13"/>
      <c r="AM15778" s="14"/>
    </row>
    <row r="15779" spans="4:39" x14ac:dyDescent="0.3">
      <c r="D15779" s="1"/>
      <c r="G15779" s="13"/>
      <c r="AL15779" s="13"/>
    </row>
    <row r="15780" spans="4:39" x14ac:dyDescent="0.3">
      <c r="D15780" s="1"/>
      <c r="G15780" s="13"/>
      <c r="AL15780" s="13"/>
    </row>
    <row r="15781" spans="4:39" x14ac:dyDescent="0.3">
      <c r="D15781" s="1"/>
      <c r="G15781" s="13"/>
      <c r="AL15781" s="13"/>
    </row>
    <row r="15782" spans="4:39" x14ac:dyDescent="0.3">
      <c r="D15782" s="1"/>
      <c r="G15782" s="13"/>
      <c r="AL15782" s="13"/>
    </row>
    <row r="15783" spans="4:39" x14ac:dyDescent="0.3">
      <c r="D15783" s="1"/>
      <c r="G15783" s="13"/>
      <c r="AL15783" s="13"/>
    </row>
    <row r="15784" spans="4:39" x14ac:dyDescent="0.3">
      <c r="D15784" s="1"/>
      <c r="G15784" s="13"/>
      <c r="AL15784" s="13"/>
    </row>
    <row r="15785" spans="4:39" x14ac:dyDescent="0.3">
      <c r="D15785" s="1"/>
      <c r="G15785" s="13"/>
      <c r="AL15785" s="13"/>
    </row>
    <row r="15786" spans="4:39" x14ac:dyDescent="0.3">
      <c r="D15786" s="1"/>
      <c r="G15786" s="13"/>
    </row>
    <row r="15787" spans="4:39" x14ac:dyDescent="0.3">
      <c r="D15787" s="1"/>
      <c r="G15787" s="13"/>
      <c r="AL15787" s="13"/>
      <c r="AM15787" s="14"/>
    </row>
    <row r="15788" spans="4:39" x14ac:dyDescent="0.3">
      <c r="D15788" s="1"/>
      <c r="G15788" s="13"/>
      <c r="AL15788" s="13"/>
      <c r="AM15788" s="14"/>
    </row>
    <row r="15789" spans="4:39" x14ac:dyDescent="0.3">
      <c r="D15789" s="1"/>
      <c r="G15789" s="13"/>
      <c r="AL15789" s="13"/>
      <c r="AM15789" s="14"/>
    </row>
    <row r="15790" spans="4:39" x14ac:dyDescent="0.3">
      <c r="D15790" s="1"/>
      <c r="G15790" s="13"/>
    </row>
    <row r="15791" spans="4:39" x14ac:dyDescent="0.3">
      <c r="D15791" s="1"/>
      <c r="G15791" s="13"/>
      <c r="AL15791" s="13"/>
      <c r="AM15791" s="14"/>
    </row>
    <row r="15792" spans="4:39" x14ac:dyDescent="0.3">
      <c r="D15792" s="1"/>
      <c r="G15792" s="13"/>
      <c r="AL15792" s="13"/>
      <c r="AM15792" s="14"/>
    </row>
    <row r="15793" spans="4:39" x14ac:dyDescent="0.3">
      <c r="D15793" s="1"/>
      <c r="G15793" s="13"/>
    </row>
    <row r="15794" spans="4:39" x14ac:dyDescent="0.3">
      <c r="D15794" s="1"/>
      <c r="G15794" s="13"/>
      <c r="AL15794" s="13"/>
      <c r="AM15794" s="14"/>
    </row>
    <row r="15795" spans="4:39" x14ac:dyDescent="0.3">
      <c r="D15795" s="1"/>
      <c r="G15795" s="13"/>
    </row>
    <row r="15796" spans="4:39" x14ac:dyDescent="0.3">
      <c r="D15796" s="1"/>
      <c r="G15796" s="13"/>
      <c r="AL15796" s="13"/>
    </row>
    <row r="15797" spans="4:39" x14ac:dyDescent="0.3">
      <c r="D15797" s="1"/>
      <c r="G15797" s="13"/>
      <c r="AL15797" s="13"/>
    </row>
    <row r="15798" spans="4:39" x14ac:dyDescent="0.3">
      <c r="D15798" s="1"/>
      <c r="G15798" s="13"/>
      <c r="AL15798" s="13"/>
      <c r="AM15798" s="14"/>
    </row>
    <row r="15799" spans="4:39" x14ac:dyDescent="0.3">
      <c r="D15799" s="1"/>
      <c r="G15799" s="13"/>
      <c r="AL15799" s="13"/>
      <c r="AM15799" s="14"/>
    </row>
    <row r="15800" spans="4:39" x14ac:dyDescent="0.3">
      <c r="D15800" s="1"/>
      <c r="G15800" s="13"/>
      <c r="AL15800" s="13"/>
    </row>
    <row r="15801" spans="4:39" x14ac:dyDescent="0.3">
      <c r="D15801" s="1"/>
      <c r="G15801" s="13"/>
    </row>
    <row r="15802" spans="4:39" x14ac:dyDescent="0.3">
      <c r="D15802" s="1"/>
      <c r="G15802" s="13"/>
      <c r="AL15802" s="13"/>
    </row>
    <row r="15803" spans="4:39" x14ac:dyDescent="0.3">
      <c r="D15803" s="1"/>
      <c r="G15803" s="13"/>
    </row>
    <row r="15804" spans="4:39" x14ac:dyDescent="0.3">
      <c r="D15804" s="1"/>
      <c r="G15804" s="13"/>
      <c r="AL15804" s="13"/>
    </row>
    <row r="15805" spans="4:39" x14ac:dyDescent="0.3">
      <c r="D15805" s="1"/>
      <c r="G15805" s="13"/>
      <c r="AL15805" s="13"/>
    </row>
    <row r="15806" spans="4:39" x14ac:dyDescent="0.3">
      <c r="D15806" s="1"/>
      <c r="G15806" s="13"/>
      <c r="AL15806" s="13"/>
    </row>
    <row r="15807" spans="4:39" x14ac:dyDescent="0.3">
      <c r="D15807" s="1"/>
      <c r="G15807" s="13"/>
      <c r="AL15807" s="13"/>
      <c r="AM15807" s="14"/>
    </row>
    <row r="15808" spans="4:39" x14ac:dyDescent="0.3">
      <c r="D15808" s="1"/>
      <c r="G15808" s="13"/>
    </row>
    <row r="15809" spans="4:39" x14ac:dyDescent="0.3">
      <c r="D15809" s="1"/>
      <c r="G15809" s="13"/>
      <c r="AL15809" s="13"/>
    </row>
    <row r="15810" spans="4:39" x14ac:dyDescent="0.3">
      <c r="D15810" s="1"/>
      <c r="G15810" s="13"/>
    </row>
    <row r="15811" spans="4:39" x14ac:dyDescent="0.3">
      <c r="D15811" s="1"/>
      <c r="G15811" s="13"/>
      <c r="AL15811" s="13"/>
    </row>
    <row r="15812" spans="4:39" x14ac:dyDescent="0.3">
      <c r="D15812" s="1"/>
      <c r="G15812" s="13"/>
    </row>
    <row r="15813" spans="4:39" x14ac:dyDescent="0.3">
      <c r="D15813" s="1"/>
      <c r="G15813" s="13"/>
    </row>
    <row r="15814" spans="4:39" x14ac:dyDescent="0.3">
      <c r="D15814" s="1"/>
      <c r="G15814" s="13"/>
    </row>
    <row r="15815" spans="4:39" x14ac:dyDescent="0.3">
      <c r="D15815" s="1"/>
      <c r="G15815" s="13"/>
      <c r="AL15815" s="13"/>
    </row>
    <row r="15816" spans="4:39" x14ac:dyDescent="0.3">
      <c r="D15816" s="1"/>
      <c r="G15816" s="13"/>
      <c r="AL15816" s="13"/>
    </row>
    <row r="15817" spans="4:39" x14ac:dyDescent="0.3">
      <c r="D15817" s="1"/>
      <c r="G15817" s="13"/>
    </row>
    <row r="15818" spans="4:39" x14ac:dyDescent="0.3">
      <c r="D15818" s="1"/>
      <c r="G15818" s="13"/>
      <c r="AL15818" s="13"/>
      <c r="AM15818" s="14"/>
    </row>
    <row r="15819" spans="4:39" x14ac:dyDescent="0.3">
      <c r="D15819" s="1"/>
      <c r="G15819" s="13"/>
    </row>
    <row r="15820" spans="4:39" x14ac:dyDescent="0.3">
      <c r="D15820" s="1"/>
      <c r="G15820" s="13"/>
      <c r="AL15820" s="13"/>
      <c r="AM15820" s="14"/>
    </row>
    <row r="15821" spans="4:39" x14ac:dyDescent="0.3">
      <c r="D15821" s="1"/>
      <c r="G15821" s="13"/>
      <c r="AL15821" s="13"/>
      <c r="AM15821" s="14"/>
    </row>
    <row r="15822" spans="4:39" x14ac:dyDescent="0.3">
      <c r="D15822" s="1"/>
      <c r="G15822" s="13"/>
      <c r="AL15822" s="13"/>
      <c r="AM15822" s="14"/>
    </row>
    <row r="15823" spans="4:39" x14ac:dyDescent="0.3">
      <c r="D15823" s="1"/>
      <c r="G15823" s="13"/>
    </row>
    <row r="15824" spans="4:39" x14ac:dyDescent="0.3">
      <c r="D15824" s="1"/>
      <c r="G15824" s="13"/>
    </row>
    <row r="15825" spans="4:39" x14ac:dyDescent="0.3">
      <c r="D15825" s="1"/>
      <c r="G15825" s="13"/>
    </row>
    <row r="15826" spans="4:39" x14ac:dyDescent="0.3">
      <c r="D15826" s="1"/>
      <c r="G15826" s="13"/>
      <c r="AL15826" s="13"/>
      <c r="AM15826" s="14"/>
    </row>
    <row r="15827" spans="4:39" x14ac:dyDescent="0.3">
      <c r="D15827" s="1"/>
      <c r="G15827" s="13"/>
    </row>
    <row r="15828" spans="4:39" x14ac:dyDescent="0.3">
      <c r="D15828" s="1"/>
      <c r="G15828" s="13"/>
    </row>
    <row r="15829" spans="4:39" x14ac:dyDescent="0.3">
      <c r="D15829" s="1"/>
      <c r="G15829" s="13"/>
    </row>
    <row r="15830" spans="4:39" x14ac:dyDescent="0.3">
      <c r="D15830" s="1"/>
      <c r="G15830" s="13"/>
      <c r="AL15830" s="13"/>
      <c r="AM15830" s="14"/>
    </row>
    <row r="15831" spans="4:39" x14ac:dyDescent="0.3">
      <c r="D15831" s="1"/>
      <c r="G15831" s="13"/>
      <c r="AL15831" s="13"/>
      <c r="AM15831" s="14"/>
    </row>
    <row r="15832" spans="4:39" x14ac:dyDescent="0.3">
      <c r="D15832" s="1"/>
      <c r="G15832" s="13"/>
      <c r="AL15832" s="13"/>
    </row>
    <row r="15833" spans="4:39" x14ac:dyDescent="0.3">
      <c r="D15833" s="1"/>
      <c r="G15833" s="13"/>
      <c r="AL15833" s="13"/>
      <c r="AM15833" s="14"/>
    </row>
    <row r="15834" spans="4:39" x14ac:dyDescent="0.3">
      <c r="D15834" s="1"/>
      <c r="G15834" s="13"/>
      <c r="AL15834" s="13"/>
    </row>
    <row r="15835" spans="4:39" x14ac:dyDescent="0.3">
      <c r="D15835" s="1"/>
      <c r="G15835" s="13"/>
      <c r="AL15835" s="13"/>
      <c r="AM15835" s="14"/>
    </row>
    <row r="15836" spans="4:39" x14ac:dyDescent="0.3">
      <c r="D15836" s="1"/>
      <c r="G15836" s="13"/>
      <c r="AL15836" s="13"/>
      <c r="AM15836" s="14"/>
    </row>
    <row r="15837" spans="4:39" x14ac:dyDescent="0.3">
      <c r="D15837" s="1"/>
      <c r="G15837" s="13"/>
      <c r="AL15837" s="13"/>
      <c r="AM15837" s="14"/>
    </row>
    <row r="15838" spans="4:39" x14ac:dyDescent="0.3">
      <c r="D15838" s="1"/>
      <c r="G15838" s="13"/>
      <c r="AL15838" s="13"/>
      <c r="AM15838" s="14"/>
    </row>
    <row r="15839" spans="4:39" x14ac:dyDescent="0.3">
      <c r="D15839" s="1"/>
      <c r="G15839" s="13"/>
      <c r="AL15839" s="13"/>
      <c r="AM15839" s="14"/>
    </row>
    <row r="15840" spans="4:39" x14ac:dyDescent="0.3">
      <c r="D15840" s="1"/>
      <c r="G15840" s="13"/>
      <c r="AL15840" s="13"/>
    </row>
    <row r="15841" spans="4:39" x14ac:dyDescent="0.3">
      <c r="D15841" s="1"/>
      <c r="G15841" s="13"/>
      <c r="AL15841" s="13"/>
      <c r="AM15841" s="14"/>
    </row>
    <row r="15842" spans="4:39" x14ac:dyDescent="0.3">
      <c r="D15842" s="1"/>
      <c r="G15842" s="13"/>
      <c r="AL15842" s="13"/>
    </row>
    <row r="15843" spans="4:39" x14ac:dyDescent="0.3">
      <c r="D15843" s="1"/>
      <c r="G15843" s="13"/>
      <c r="AL15843" s="13"/>
      <c r="AM15843" s="14"/>
    </row>
    <row r="15844" spans="4:39" x14ac:dyDescent="0.3">
      <c r="D15844" s="1"/>
      <c r="G15844" s="13"/>
      <c r="AL15844" s="13"/>
      <c r="AM15844" s="14"/>
    </row>
    <row r="15845" spans="4:39" x14ac:dyDescent="0.3">
      <c r="D15845" s="1"/>
      <c r="G15845" s="13"/>
    </row>
    <row r="15846" spans="4:39" x14ac:dyDescent="0.3">
      <c r="D15846" s="1"/>
      <c r="G15846" s="13"/>
      <c r="AL15846" s="13"/>
    </row>
    <row r="15847" spans="4:39" x14ac:dyDescent="0.3">
      <c r="D15847" s="1"/>
      <c r="G15847" s="13"/>
    </row>
    <row r="15848" spans="4:39" x14ac:dyDescent="0.3">
      <c r="D15848" s="1"/>
      <c r="G15848" s="13"/>
      <c r="AL15848" s="13"/>
    </row>
    <row r="15849" spans="4:39" x14ac:dyDescent="0.3">
      <c r="D15849" s="1"/>
      <c r="G15849" s="13"/>
      <c r="AL15849" s="13"/>
      <c r="AM15849" s="14"/>
    </row>
    <row r="15850" spans="4:39" x14ac:dyDescent="0.3">
      <c r="D15850" s="1"/>
      <c r="G15850" s="13"/>
      <c r="AL15850" s="13"/>
    </row>
    <row r="15851" spans="4:39" x14ac:dyDescent="0.3">
      <c r="D15851" s="1"/>
      <c r="G15851" s="13"/>
      <c r="AL15851" s="13"/>
    </row>
    <row r="15852" spans="4:39" x14ac:dyDescent="0.3">
      <c r="D15852" s="1"/>
      <c r="G15852" s="13"/>
      <c r="AL15852" s="13"/>
      <c r="AM15852" s="14"/>
    </row>
    <row r="15853" spans="4:39" x14ac:dyDescent="0.3">
      <c r="D15853" s="1"/>
      <c r="G15853" s="13"/>
      <c r="AL15853" s="13"/>
      <c r="AM15853" s="14"/>
    </row>
    <row r="15854" spans="4:39" x14ac:dyDescent="0.3">
      <c r="D15854" s="1"/>
      <c r="G15854" s="13"/>
      <c r="AL15854" s="13"/>
      <c r="AM15854" s="14"/>
    </row>
    <row r="15855" spans="4:39" x14ac:dyDescent="0.3">
      <c r="D15855" s="1"/>
      <c r="G15855" s="13"/>
      <c r="AL15855" s="13"/>
      <c r="AM15855" s="14"/>
    </row>
    <row r="15856" spans="4:39" x14ac:dyDescent="0.3">
      <c r="D15856" s="1"/>
      <c r="G15856" s="13"/>
      <c r="AL15856" s="13"/>
      <c r="AM15856" s="14"/>
    </row>
    <row r="15857" spans="4:39" x14ac:dyDescent="0.3">
      <c r="D15857" s="1"/>
      <c r="G15857" s="13"/>
      <c r="AL15857" s="13"/>
    </row>
    <row r="15858" spans="4:39" x14ac:dyDescent="0.3">
      <c r="D15858" s="1"/>
      <c r="G15858" s="13"/>
      <c r="AL15858" s="13"/>
      <c r="AM15858" s="14"/>
    </row>
    <row r="15859" spans="4:39" x14ac:dyDescent="0.3">
      <c r="D15859" s="1"/>
      <c r="G15859" s="13"/>
    </row>
    <row r="15860" spans="4:39" x14ac:dyDescent="0.3">
      <c r="D15860" s="1"/>
      <c r="G15860" s="13"/>
    </row>
    <row r="15861" spans="4:39" x14ac:dyDescent="0.3">
      <c r="D15861" s="1"/>
      <c r="G15861" s="13"/>
      <c r="AL15861" s="13"/>
      <c r="AM15861" s="14"/>
    </row>
    <row r="15862" spans="4:39" x14ac:dyDescent="0.3">
      <c r="D15862" s="1"/>
      <c r="G15862" s="13"/>
      <c r="AL15862" s="13"/>
      <c r="AM15862" s="14"/>
    </row>
    <row r="15863" spans="4:39" x14ac:dyDescent="0.3">
      <c r="D15863" s="1"/>
      <c r="G15863" s="13"/>
      <c r="AL15863" s="13"/>
    </row>
    <row r="15864" spans="4:39" x14ac:dyDescent="0.3">
      <c r="D15864" s="1"/>
      <c r="G15864" s="13"/>
    </row>
    <row r="15865" spans="4:39" x14ac:dyDescent="0.3">
      <c r="D15865" s="1"/>
      <c r="G15865" s="13"/>
    </row>
    <row r="15866" spans="4:39" x14ac:dyDescent="0.3">
      <c r="D15866" s="1"/>
      <c r="G15866" s="13"/>
      <c r="AL15866" s="13"/>
      <c r="AM15866" s="14"/>
    </row>
    <row r="15867" spans="4:39" x14ac:dyDescent="0.3">
      <c r="D15867" s="1"/>
      <c r="G15867" s="13"/>
      <c r="AL15867" s="13"/>
    </row>
    <row r="15868" spans="4:39" x14ac:dyDescent="0.3">
      <c r="D15868" s="1"/>
      <c r="G15868" s="13"/>
      <c r="AL15868" s="13"/>
    </row>
    <row r="15869" spans="4:39" x14ac:dyDescent="0.3">
      <c r="D15869" s="1"/>
      <c r="G15869" s="13"/>
      <c r="AL15869" s="13"/>
      <c r="AM15869" s="14"/>
    </row>
    <row r="15870" spans="4:39" x14ac:dyDescent="0.3">
      <c r="D15870" s="1"/>
      <c r="G15870" s="13"/>
      <c r="AL15870" s="13"/>
      <c r="AM15870" s="14"/>
    </row>
    <row r="15871" spans="4:39" x14ac:dyDescent="0.3">
      <c r="D15871" s="1"/>
      <c r="G15871" s="13"/>
      <c r="AL15871" s="13"/>
    </row>
    <row r="15872" spans="4:39" x14ac:dyDescent="0.3">
      <c r="D15872" s="1"/>
      <c r="G15872" s="13"/>
      <c r="AL15872" s="13"/>
    </row>
    <row r="15873" spans="4:39" x14ac:dyDescent="0.3">
      <c r="D15873" s="1"/>
      <c r="G15873" s="13"/>
      <c r="AL15873" s="13"/>
    </row>
    <row r="15874" spans="4:39" x14ac:dyDescent="0.3">
      <c r="D15874" s="1"/>
      <c r="G15874" s="13"/>
      <c r="AL15874" s="13"/>
    </row>
    <row r="15875" spans="4:39" x14ac:dyDescent="0.3">
      <c r="D15875" s="1"/>
      <c r="G15875" s="13"/>
      <c r="AL15875" s="13"/>
    </row>
    <row r="15876" spans="4:39" x14ac:dyDescent="0.3">
      <c r="D15876" s="1"/>
      <c r="G15876" s="13"/>
      <c r="AL15876" s="13"/>
      <c r="AM15876" s="14"/>
    </row>
    <row r="15877" spans="4:39" x14ac:dyDescent="0.3">
      <c r="D15877" s="1"/>
      <c r="G15877" s="13"/>
      <c r="AL15877" s="13"/>
    </row>
    <row r="15878" spans="4:39" x14ac:dyDescent="0.3">
      <c r="D15878" s="1"/>
      <c r="G15878" s="13"/>
      <c r="AL15878" s="13"/>
      <c r="AM15878" s="14"/>
    </row>
    <row r="15879" spans="4:39" x14ac:dyDescent="0.3">
      <c r="D15879" s="1"/>
      <c r="G15879" s="13"/>
      <c r="AL15879" s="13"/>
    </row>
    <row r="15880" spans="4:39" x14ac:dyDescent="0.3">
      <c r="D15880" s="1"/>
      <c r="G15880" s="13"/>
      <c r="AL15880" s="13"/>
    </row>
    <row r="15881" spans="4:39" x14ac:dyDescent="0.3">
      <c r="D15881" s="1"/>
      <c r="G15881" s="13"/>
    </row>
    <row r="15882" spans="4:39" x14ac:dyDescent="0.3">
      <c r="D15882" s="1"/>
      <c r="G15882" s="13"/>
    </row>
    <row r="15883" spans="4:39" x14ac:dyDescent="0.3">
      <c r="D15883" s="1"/>
      <c r="G15883" s="13"/>
    </row>
    <row r="15884" spans="4:39" x14ac:dyDescent="0.3">
      <c r="D15884" s="1"/>
      <c r="G15884" s="13"/>
      <c r="AL15884" s="13"/>
    </row>
    <row r="15885" spans="4:39" x14ac:dyDescent="0.3">
      <c r="D15885" s="1"/>
      <c r="G15885" s="13"/>
      <c r="AL15885" s="13"/>
      <c r="AM15885" s="14"/>
    </row>
    <row r="15886" spans="4:39" x14ac:dyDescent="0.3">
      <c r="D15886" s="1"/>
      <c r="G15886" s="13"/>
      <c r="AL15886" s="13"/>
    </row>
    <row r="15887" spans="4:39" x14ac:dyDescent="0.3">
      <c r="D15887" s="1"/>
      <c r="G15887" s="13"/>
      <c r="AL15887" s="13"/>
    </row>
    <row r="15888" spans="4:39" x14ac:dyDescent="0.3">
      <c r="D15888" s="1"/>
      <c r="G15888" s="13"/>
      <c r="AL15888" s="13"/>
    </row>
    <row r="15889" spans="4:39" x14ac:dyDescent="0.3">
      <c r="D15889" s="1"/>
      <c r="G15889" s="13"/>
      <c r="AL15889" s="13"/>
    </row>
    <row r="15890" spans="4:39" x14ac:dyDescent="0.3">
      <c r="D15890" s="1"/>
      <c r="G15890" s="13"/>
      <c r="AL15890" s="13"/>
    </row>
    <row r="15891" spans="4:39" x14ac:dyDescent="0.3">
      <c r="D15891" s="1"/>
      <c r="G15891" s="13"/>
      <c r="AL15891" s="13"/>
    </row>
    <row r="15892" spans="4:39" x14ac:dyDescent="0.3">
      <c r="D15892" s="1"/>
      <c r="G15892" s="13"/>
    </row>
    <row r="15893" spans="4:39" x14ac:dyDescent="0.3">
      <c r="D15893" s="1"/>
      <c r="G15893" s="13"/>
      <c r="AL15893" s="13"/>
    </row>
    <row r="15894" spans="4:39" x14ac:dyDescent="0.3">
      <c r="D15894" s="1"/>
      <c r="G15894" s="13"/>
    </row>
    <row r="15895" spans="4:39" x14ac:dyDescent="0.3">
      <c r="D15895" s="1"/>
      <c r="G15895" s="13"/>
    </row>
    <row r="15896" spans="4:39" x14ac:dyDescent="0.3">
      <c r="D15896" s="1"/>
      <c r="G15896" s="13"/>
    </row>
    <row r="15897" spans="4:39" x14ac:dyDescent="0.3">
      <c r="D15897" s="1"/>
      <c r="G15897" s="13"/>
    </row>
    <row r="15898" spans="4:39" x14ac:dyDescent="0.3">
      <c r="D15898" s="1"/>
      <c r="G15898" s="13"/>
      <c r="AL15898" s="13"/>
      <c r="AM15898" s="14"/>
    </row>
    <row r="15899" spans="4:39" x14ac:dyDescent="0.3">
      <c r="D15899" s="1"/>
      <c r="G15899" s="13"/>
    </row>
    <row r="15900" spans="4:39" x14ac:dyDescent="0.3">
      <c r="D15900" s="1"/>
      <c r="G15900" s="13"/>
      <c r="AL15900" s="13"/>
      <c r="AM15900" s="14"/>
    </row>
    <row r="15901" spans="4:39" x14ac:dyDescent="0.3">
      <c r="D15901" s="1"/>
      <c r="G15901" s="13"/>
      <c r="AL15901" s="13"/>
      <c r="AM15901" s="14"/>
    </row>
    <row r="15902" spans="4:39" x14ac:dyDescent="0.3">
      <c r="D15902" s="1"/>
      <c r="G15902" s="13"/>
    </row>
    <row r="15903" spans="4:39" x14ac:dyDescent="0.3">
      <c r="D15903" s="1"/>
      <c r="G15903" s="13"/>
    </row>
    <row r="15904" spans="4:39" x14ac:dyDescent="0.3">
      <c r="D15904" s="1"/>
      <c r="G15904" s="13"/>
      <c r="AL15904" s="13"/>
    </row>
    <row r="15905" spans="4:39" x14ac:dyDescent="0.3">
      <c r="D15905" s="1"/>
      <c r="G15905" s="13"/>
      <c r="AL15905" s="13"/>
    </row>
    <row r="15906" spans="4:39" x14ac:dyDescent="0.3">
      <c r="D15906" s="1"/>
      <c r="G15906" s="13"/>
      <c r="AL15906" s="13"/>
    </row>
    <row r="15907" spans="4:39" x14ac:dyDescent="0.3">
      <c r="D15907" s="1"/>
      <c r="G15907" s="13"/>
      <c r="AL15907" s="13"/>
    </row>
    <row r="15908" spans="4:39" x14ac:dyDescent="0.3">
      <c r="D15908" s="1"/>
      <c r="G15908" s="13"/>
      <c r="AL15908" s="13"/>
    </row>
    <row r="15909" spans="4:39" x14ac:dyDescent="0.3">
      <c r="D15909" s="1"/>
      <c r="G15909" s="13"/>
    </row>
    <row r="15910" spans="4:39" x14ac:dyDescent="0.3">
      <c r="D15910" s="1"/>
      <c r="G15910" s="13"/>
    </row>
    <row r="15911" spans="4:39" x14ac:dyDescent="0.3">
      <c r="D15911" s="1"/>
      <c r="G15911" s="13"/>
      <c r="AL15911" s="13"/>
    </row>
    <row r="15912" spans="4:39" x14ac:dyDescent="0.3">
      <c r="D15912" s="1"/>
      <c r="G15912" s="13"/>
      <c r="AL15912" s="13"/>
    </row>
    <row r="15913" spans="4:39" x14ac:dyDescent="0.3">
      <c r="D15913" s="1"/>
      <c r="G15913" s="13"/>
      <c r="AL15913" s="13"/>
    </row>
    <row r="15914" spans="4:39" x14ac:dyDescent="0.3">
      <c r="D15914" s="1"/>
      <c r="G15914" s="13"/>
      <c r="AL15914" s="13"/>
    </row>
    <row r="15915" spans="4:39" x14ac:dyDescent="0.3">
      <c r="D15915" s="1"/>
      <c r="G15915" s="13"/>
      <c r="AL15915" s="13"/>
    </row>
    <row r="15916" spans="4:39" x14ac:dyDescent="0.3">
      <c r="D15916" s="1"/>
      <c r="G15916" s="13"/>
      <c r="AL15916" s="13"/>
      <c r="AM15916" s="14"/>
    </row>
    <row r="15917" spans="4:39" x14ac:dyDescent="0.3">
      <c r="D15917" s="1"/>
      <c r="G15917" s="13"/>
      <c r="AL15917" s="13"/>
      <c r="AM15917" s="14"/>
    </row>
    <row r="15918" spans="4:39" x14ac:dyDescent="0.3">
      <c r="D15918" s="1"/>
      <c r="G15918" s="13"/>
      <c r="AL15918" s="13"/>
      <c r="AM15918" s="14"/>
    </row>
    <row r="15919" spans="4:39" x14ac:dyDescent="0.3">
      <c r="D15919" s="1"/>
      <c r="G15919" s="13"/>
      <c r="AL15919" s="13"/>
      <c r="AM15919" s="14"/>
    </row>
    <row r="15920" spans="4:39" x14ac:dyDescent="0.3">
      <c r="D15920" s="1"/>
      <c r="G15920" s="13"/>
      <c r="AL15920" s="13"/>
    </row>
    <row r="15921" spans="4:39" x14ac:dyDescent="0.3">
      <c r="D15921" s="1"/>
      <c r="G15921" s="13"/>
      <c r="AL15921" s="13"/>
    </row>
    <row r="15922" spans="4:39" x14ac:dyDescent="0.3">
      <c r="D15922" s="1"/>
      <c r="G15922" s="13"/>
      <c r="AL15922" s="13"/>
    </row>
    <row r="15923" spans="4:39" x14ac:dyDescent="0.3">
      <c r="D15923" s="1"/>
      <c r="G15923" s="13"/>
      <c r="AL15923" s="13"/>
    </row>
    <row r="15924" spans="4:39" x14ac:dyDescent="0.3">
      <c r="D15924" s="1"/>
      <c r="G15924" s="13"/>
      <c r="AL15924" s="13"/>
      <c r="AM15924" s="14"/>
    </row>
    <row r="15925" spans="4:39" x14ac:dyDescent="0.3">
      <c r="D15925" s="1"/>
      <c r="G15925" s="13"/>
      <c r="AL15925" s="13"/>
    </row>
    <row r="15926" spans="4:39" x14ac:dyDescent="0.3">
      <c r="D15926" s="1"/>
      <c r="G15926" s="13"/>
      <c r="AL15926" s="13"/>
      <c r="AM15926" s="14"/>
    </row>
    <row r="15927" spans="4:39" x14ac:dyDescent="0.3">
      <c r="D15927" s="1"/>
      <c r="G15927" s="13"/>
    </row>
    <row r="15928" spans="4:39" x14ac:dyDescent="0.3">
      <c r="D15928" s="1"/>
      <c r="G15928" s="13"/>
      <c r="AL15928" s="13"/>
    </row>
    <row r="15929" spans="4:39" x14ac:dyDescent="0.3">
      <c r="D15929" s="1"/>
      <c r="G15929" s="13"/>
      <c r="AL15929" s="13"/>
    </row>
    <row r="15930" spans="4:39" x14ac:dyDescent="0.3">
      <c r="D15930" s="1"/>
      <c r="G15930" s="13"/>
      <c r="AL15930" s="13"/>
    </row>
    <row r="15931" spans="4:39" x14ac:dyDescent="0.3">
      <c r="D15931" s="1"/>
      <c r="G15931" s="13"/>
      <c r="AL15931" s="13"/>
    </row>
    <row r="15932" spans="4:39" x14ac:dyDescent="0.3">
      <c r="D15932" s="1"/>
      <c r="G15932" s="13"/>
      <c r="AL15932" s="13"/>
    </row>
    <row r="15933" spans="4:39" x14ac:dyDescent="0.3">
      <c r="D15933" s="1"/>
      <c r="G15933" s="13"/>
      <c r="AL15933" s="13"/>
    </row>
    <row r="15934" spans="4:39" x14ac:dyDescent="0.3">
      <c r="D15934" s="1"/>
      <c r="G15934" s="13"/>
      <c r="AL15934" s="13"/>
    </row>
    <row r="15935" spans="4:39" x14ac:dyDescent="0.3">
      <c r="D15935" s="1"/>
      <c r="G15935" s="13"/>
      <c r="AL15935" s="13"/>
      <c r="AM15935" s="14"/>
    </row>
    <row r="15936" spans="4:39" x14ac:dyDescent="0.3">
      <c r="D15936" s="1"/>
      <c r="G15936" s="13"/>
      <c r="AL15936" s="13"/>
    </row>
    <row r="15937" spans="4:39" x14ac:dyDescent="0.3">
      <c r="D15937" s="1"/>
      <c r="G15937" s="13"/>
      <c r="AL15937" s="13"/>
    </row>
    <row r="15938" spans="4:39" x14ac:dyDescent="0.3">
      <c r="D15938" s="1"/>
      <c r="G15938" s="13"/>
      <c r="AL15938" s="13"/>
    </row>
    <row r="15939" spans="4:39" x14ac:dyDescent="0.3">
      <c r="D15939" s="1"/>
      <c r="G15939" s="13"/>
      <c r="AL15939" s="13"/>
      <c r="AM15939" s="14"/>
    </row>
    <row r="15940" spans="4:39" x14ac:dyDescent="0.3">
      <c r="D15940" s="1"/>
      <c r="G15940" s="13"/>
      <c r="AL15940" s="13"/>
    </row>
    <row r="15941" spans="4:39" x14ac:dyDescent="0.3">
      <c r="D15941" s="1"/>
      <c r="G15941" s="13"/>
    </row>
    <row r="15942" spans="4:39" x14ac:dyDescent="0.3">
      <c r="D15942" s="1"/>
      <c r="G15942" s="13"/>
      <c r="AL15942" s="13"/>
    </row>
    <row r="15943" spans="4:39" x14ac:dyDescent="0.3">
      <c r="D15943" s="1"/>
      <c r="G15943" s="13"/>
      <c r="AL15943" s="13"/>
      <c r="AM15943" s="14"/>
    </row>
    <row r="15944" spans="4:39" x14ac:dyDescent="0.3">
      <c r="D15944" s="1"/>
      <c r="G15944" s="13"/>
    </row>
    <row r="15945" spans="4:39" x14ac:dyDescent="0.3">
      <c r="D15945" s="1"/>
      <c r="G15945" s="13"/>
      <c r="AL15945" s="13"/>
    </row>
    <row r="15946" spans="4:39" x14ac:dyDescent="0.3">
      <c r="D15946" s="1"/>
      <c r="G15946" s="13"/>
      <c r="AL15946" s="13"/>
    </row>
    <row r="15947" spans="4:39" x14ac:dyDescent="0.3">
      <c r="D15947" s="1"/>
      <c r="G15947" s="13"/>
      <c r="AL15947" s="13"/>
      <c r="AM15947" s="14"/>
    </row>
    <row r="15948" spans="4:39" x14ac:dyDescent="0.3">
      <c r="D15948" s="1"/>
      <c r="G15948" s="13"/>
      <c r="AL15948" s="13"/>
    </row>
    <row r="15949" spans="4:39" x14ac:dyDescent="0.3">
      <c r="D15949" s="1"/>
      <c r="G15949" s="13"/>
      <c r="AL15949" s="13"/>
    </row>
    <row r="15950" spans="4:39" x14ac:dyDescent="0.3">
      <c r="D15950" s="1"/>
      <c r="G15950" s="13"/>
      <c r="AL15950" s="13"/>
    </row>
    <row r="15951" spans="4:39" x14ac:dyDescent="0.3">
      <c r="D15951" s="1"/>
      <c r="G15951" s="13"/>
      <c r="AL15951" s="13"/>
    </row>
    <row r="15952" spans="4:39" x14ac:dyDescent="0.3">
      <c r="D15952" s="1"/>
      <c r="G15952" s="13"/>
      <c r="AL15952" s="13"/>
    </row>
    <row r="15953" spans="4:39" x14ac:dyDescent="0.3">
      <c r="D15953" s="1"/>
      <c r="G15953" s="13"/>
      <c r="AL15953" s="13"/>
      <c r="AM15953" s="14"/>
    </row>
    <row r="15954" spans="4:39" x14ac:dyDescent="0.3">
      <c r="D15954" s="1"/>
      <c r="G15954" s="13"/>
      <c r="AL15954" s="13"/>
    </row>
    <row r="15955" spans="4:39" x14ac:dyDescent="0.3">
      <c r="D15955" s="1"/>
      <c r="G15955" s="13"/>
      <c r="AL15955" s="13"/>
    </row>
    <row r="15956" spans="4:39" x14ac:dyDescent="0.3">
      <c r="D15956" s="1"/>
      <c r="G15956" s="13"/>
      <c r="AL15956" s="13"/>
      <c r="AM15956" s="14"/>
    </row>
    <row r="15957" spans="4:39" x14ac:dyDescent="0.3">
      <c r="D15957" s="1"/>
      <c r="G15957" s="13"/>
      <c r="AL15957" s="13"/>
      <c r="AM15957" s="14"/>
    </row>
    <row r="15958" spans="4:39" x14ac:dyDescent="0.3">
      <c r="D15958" s="1"/>
      <c r="G15958" s="13"/>
      <c r="AL15958" s="13"/>
      <c r="AM15958" s="14"/>
    </row>
    <row r="15959" spans="4:39" x14ac:dyDescent="0.3">
      <c r="D15959" s="1"/>
      <c r="G15959" s="13"/>
      <c r="AL15959" s="13"/>
    </row>
    <row r="15960" spans="4:39" x14ac:dyDescent="0.3">
      <c r="D15960" s="1"/>
      <c r="G15960" s="13"/>
      <c r="AL15960" s="13"/>
      <c r="AM15960" s="14"/>
    </row>
    <row r="15961" spans="4:39" x14ac:dyDescent="0.3">
      <c r="D15961" s="1"/>
      <c r="G15961" s="13"/>
      <c r="AL15961" s="13"/>
      <c r="AM15961" s="14"/>
    </row>
    <row r="15962" spans="4:39" x14ac:dyDescent="0.3">
      <c r="D15962" s="1"/>
      <c r="G15962" s="13"/>
    </row>
    <row r="15963" spans="4:39" x14ac:dyDescent="0.3">
      <c r="D15963" s="1"/>
      <c r="G15963" s="13"/>
      <c r="AL15963" s="13"/>
      <c r="AM15963" s="14"/>
    </row>
    <row r="15964" spans="4:39" x14ac:dyDescent="0.3">
      <c r="D15964" s="1"/>
      <c r="G15964" s="13"/>
    </row>
    <row r="15965" spans="4:39" x14ac:dyDescent="0.3">
      <c r="D15965" s="1"/>
      <c r="G15965" s="13"/>
      <c r="AL15965" s="13"/>
    </row>
    <row r="15966" spans="4:39" x14ac:dyDescent="0.3">
      <c r="D15966" s="1"/>
      <c r="G15966" s="13"/>
      <c r="AL15966" s="13"/>
      <c r="AM15966" s="14"/>
    </row>
    <row r="15967" spans="4:39" x14ac:dyDescent="0.3">
      <c r="D15967" s="1"/>
      <c r="G15967" s="13"/>
      <c r="AL15967" s="13"/>
      <c r="AM15967" s="14"/>
    </row>
    <row r="15968" spans="4:39" x14ac:dyDescent="0.3">
      <c r="D15968" s="1"/>
      <c r="G15968" s="13"/>
      <c r="AL15968" s="13"/>
    </row>
    <row r="15969" spans="4:39" x14ac:dyDescent="0.3">
      <c r="D15969" s="1"/>
      <c r="G15969" s="13"/>
      <c r="AL15969" s="13"/>
    </row>
    <row r="15970" spans="4:39" x14ac:dyDescent="0.3">
      <c r="D15970" s="1"/>
      <c r="G15970" s="13"/>
    </row>
    <row r="15971" spans="4:39" x14ac:dyDescent="0.3">
      <c r="D15971" s="1"/>
      <c r="G15971" s="13"/>
      <c r="AL15971" s="13"/>
    </row>
    <row r="15972" spans="4:39" x14ac:dyDescent="0.3">
      <c r="D15972" s="1"/>
      <c r="G15972" s="13"/>
      <c r="AL15972" s="13"/>
      <c r="AM15972" s="14"/>
    </row>
    <row r="15973" spans="4:39" x14ac:dyDescent="0.3">
      <c r="D15973" s="1"/>
      <c r="G15973" s="13"/>
      <c r="AL15973" s="13"/>
      <c r="AM15973" s="14"/>
    </row>
    <row r="15974" spans="4:39" x14ac:dyDescent="0.3">
      <c r="D15974" s="1"/>
      <c r="G15974" s="13"/>
      <c r="AL15974" s="13"/>
      <c r="AM15974" s="14"/>
    </row>
    <row r="15975" spans="4:39" x14ac:dyDescent="0.3">
      <c r="D15975" s="1"/>
      <c r="G15975" s="13"/>
      <c r="AL15975" s="13"/>
    </row>
    <row r="15976" spans="4:39" x14ac:dyDescent="0.3">
      <c r="D15976" s="1"/>
      <c r="G15976" s="13"/>
      <c r="AL15976" s="13"/>
      <c r="AM15976" s="14"/>
    </row>
    <row r="15977" spans="4:39" x14ac:dyDescent="0.3">
      <c r="D15977" s="1"/>
      <c r="G15977" s="13"/>
    </row>
    <row r="15978" spans="4:39" x14ac:dyDescent="0.3">
      <c r="D15978" s="1"/>
      <c r="G15978" s="13"/>
    </row>
    <row r="15979" spans="4:39" x14ac:dyDescent="0.3">
      <c r="D15979" s="1"/>
      <c r="G15979" s="13"/>
      <c r="AL15979" s="13"/>
      <c r="AM15979" s="14"/>
    </row>
    <row r="15980" spans="4:39" x14ac:dyDescent="0.3">
      <c r="D15980" s="1"/>
      <c r="G15980" s="13"/>
      <c r="AL15980" s="13"/>
      <c r="AM15980" s="14"/>
    </row>
    <row r="15981" spans="4:39" x14ac:dyDescent="0.3">
      <c r="D15981" s="1"/>
      <c r="G15981" s="13"/>
      <c r="AL15981" s="13"/>
      <c r="AM15981" s="14"/>
    </row>
    <row r="15982" spans="4:39" x14ac:dyDescent="0.3">
      <c r="D15982" s="1"/>
      <c r="G15982" s="13"/>
      <c r="AL15982" s="13"/>
      <c r="AM15982" s="14"/>
    </row>
    <row r="15983" spans="4:39" x14ac:dyDescent="0.3">
      <c r="D15983" s="1"/>
      <c r="G15983" s="13"/>
      <c r="AL15983" s="13"/>
      <c r="AM15983" s="14"/>
    </row>
    <row r="15984" spans="4:39" x14ac:dyDescent="0.3">
      <c r="D15984" s="1"/>
      <c r="G15984" s="13"/>
    </row>
    <row r="15985" spans="4:39" x14ac:dyDescent="0.3">
      <c r="D15985" s="1"/>
      <c r="G15985" s="13"/>
      <c r="AL15985" s="13"/>
      <c r="AM15985" s="14"/>
    </row>
    <row r="15986" spans="4:39" x14ac:dyDescent="0.3">
      <c r="D15986" s="1"/>
      <c r="G15986" s="13"/>
      <c r="AL15986" s="13"/>
    </row>
    <row r="15987" spans="4:39" x14ac:dyDescent="0.3">
      <c r="D15987" s="1"/>
      <c r="G15987" s="13"/>
      <c r="AL15987" s="13"/>
      <c r="AM15987" s="14"/>
    </row>
    <row r="15988" spans="4:39" x14ac:dyDescent="0.3">
      <c r="D15988" s="1"/>
      <c r="G15988" s="13"/>
    </row>
    <row r="15989" spans="4:39" x14ac:dyDescent="0.3">
      <c r="D15989" s="1"/>
      <c r="G15989" s="13"/>
      <c r="AL15989" s="13"/>
      <c r="AM15989" s="14"/>
    </row>
    <row r="15990" spans="4:39" x14ac:dyDescent="0.3">
      <c r="D15990" s="1"/>
      <c r="G15990" s="13"/>
      <c r="AL15990" s="13"/>
      <c r="AM15990" s="14"/>
    </row>
    <row r="15991" spans="4:39" x14ac:dyDescent="0.3">
      <c r="D15991" s="1"/>
      <c r="G15991" s="13"/>
      <c r="AL15991" s="13"/>
    </row>
    <row r="15992" spans="4:39" x14ac:dyDescent="0.3">
      <c r="D15992" s="1"/>
      <c r="G15992" s="13"/>
      <c r="AL15992" s="13"/>
    </row>
    <row r="15993" spans="4:39" x14ac:dyDescent="0.3">
      <c r="D15993" s="1"/>
      <c r="G15993" s="13"/>
      <c r="AL15993" s="13"/>
    </row>
    <row r="15994" spans="4:39" x14ac:dyDescent="0.3">
      <c r="D15994" s="1"/>
      <c r="G15994" s="13"/>
      <c r="AL15994" s="13"/>
      <c r="AM15994" s="14"/>
    </row>
    <row r="15995" spans="4:39" x14ac:dyDescent="0.3">
      <c r="D15995" s="1"/>
      <c r="G15995" s="13"/>
      <c r="AL15995" s="13"/>
    </row>
    <row r="15996" spans="4:39" x14ac:dyDescent="0.3">
      <c r="D15996" s="1"/>
      <c r="G15996" s="13"/>
      <c r="AL15996" s="13"/>
      <c r="AM15996" s="14"/>
    </row>
    <row r="15997" spans="4:39" x14ac:dyDescent="0.3">
      <c r="D15997" s="1"/>
      <c r="G15997" s="13"/>
      <c r="AL15997" s="13"/>
    </row>
    <row r="15998" spans="4:39" x14ac:dyDescent="0.3">
      <c r="D15998" s="1"/>
      <c r="G15998" s="13"/>
      <c r="AL15998" s="13"/>
      <c r="AM15998" s="14"/>
    </row>
    <row r="15999" spans="4:39" x14ac:dyDescent="0.3">
      <c r="D15999" s="1"/>
      <c r="G15999" s="13"/>
    </row>
    <row r="16000" spans="4:39" x14ac:dyDescent="0.3">
      <c r="D16000" s="1"/>
      <c r="G16000" s="13"/>
      <c r="AL16000" s="13"/>
    </row>
    <row r="16001" spans="4:39" x14ac:dyDescent="0.3">
      <c r="D16001" s="1"/>
      <c r="G16001" s="13"/>
      <c r="AL16001" s="13"/>
      <c r="AM16001" s="14"/>
    </row>
    <row r="16002" spans="4:39" x14ac:dyDescent="0.3">
      <c r="D16002" s="1"/>
      <c r="G16002" s="13"/>
      <c r="AL16002" s="13"/>
      <c r="AM16002" s="14"/>
    </row>
    <row r="16003" spans="4:39" x14ac:dyDescent="0.3">
      <c r="D16003" s="1"/>
      <c r="G16003" s="13"/>
      <c r="AL16003" s="13"/>
    </row>
    <row r="16004" spans="4:39" x14ac:dyDescent="0.3">
      <c r="D16004" s="1"/>
      <c r="G16004" s="13"/>
      <c r="AL16004" s="13"/>
      <c r="AM16004" s="14"/>
    </row>
    <row r="16005" spans="4:39" x14ac:dyDescent="0.3">
      <c r="D16005" s="1"/>
      <c r="G16005" s="13"/>
      <c r="AL16005" s="13"/>
      <c r="AM16005" s="14"/>
    </row>
    <row r="16006" spans="4:39" x14ac:dyDescent="0.3">
      <c r="D16006" s="1"/>
      <c r="G16006" s="13"/>
      <c r="AL16006" s="13"/>
    </row>
    <row r="16007" spans="4:39" x14ac:dyDescent="0.3">
      <c r="D16007" s="1"/>
      <c r="G16007" s="13"/>
      <c r="AL16007" s="13"/>
      <c r="AM16007" s="14"/>
    </row>
    <row r="16008" spans="4:39" x14ac:dyDescent="0.3">
      <c r="D16008" s="1"/>
      <c r="G16008" s="13"/>
      <c r="AL16008" s="13"/>
      <c r="AM16008" s="14"/>
    </row>
    <row r="16009" spans="4:39" x14ac:dyDescent="0.3">
      <c r="D16009" s="1"/>
      <c r="G16009" s="13"/>
      <c r="AL16009" s="13"/>
      <c r="AM16009" s="14"/>
    </row>
    <row r="16010" spans="4:39" x14ac:dyDescent="0.3">
      <c r="D16010" s="1"/>
      <c r="G16010" s="13"/>
      <c r="AL16010" s="13"/>
    </row>
    <row r="16011" spans="4:39" x14ac:dyDescent="0.3">
      <c r="D16011" s="1"/>
      <c r="G16011" s="13"/>
      <c r="AL16011" s="13"/>
      <c r="AM16011" s="14"/>
    </row>
    <row r="16012" spans="4:39" x14ac:dyDescent="0.3">
      <c r="D16012" s="1"/>
      <c r="G16012" s="13"/>
      <c r="AL16012" s="13"/>
      <c r="AM16012" s="14"/>
    </row>
    <row r="16013" spans="4:39" x14ac:dyDescent="0.3">
      <c r="D16013" s="1"/>
      <c r="G16013" s="13"/>
      <c r="AL16013" s="13"/>
      <c r="AM16013" s="14"/>
    </row>
    <row r="16014" spans="4:39" x14ac:dyDescent="0.3">
      <c r="D16014" s="1"/>
      <c r="G16014" s="13"/>
      <c r="AL16014" s="13"/>
      <c r="AM16014" s="14"/>
    </row>
    <row r="16015" spans="4:39" x14ac:dyDescent="0.3">
      <c r="D16015" s="1"/>
      <c r="G16015" s="13"/>
      <c r="AL16015" s="13"/>
      <c r="AM16015" s="14"/>
    </row>
    <row r="16016" spans="4:39" x14ac:dyDescent="0.3">
      <c r="D16016" s="1"/>
      <c r="G16016" s="13"/>
      <c r="AL16016" s="13"/>
    </row>
    <row r="16017" spans="4:39" x14ac:dyDescent="0.3">
      <c r="D16017" s="1"/>
      <c r="G16017" s="13"/>
      <c r="AL16017" s="13"/>
      <c r="AM16017" s="14"/>
    </row>
    <row r="16018" spans="4:39" x14ac:dyDescent="0.3">
      <c r="D16018" s="1"/>
      <c r="G16018" s="13"/>
      <c r="AL16018" s="13"/>
      <c r="AM16018" s="14"/>
    </row>
    <row r="16019" spans="4:39" x14ac:dyDescent="0.3">
      <c r="D16019" s="1"/>
      <c r="G16019" s="13"/>
      <c r="AL16019" s="13"/>
    </row>
    <row r="16020" spans="4:39" x14ac:dyDescent="0.3">
      <c r="D16020" s="1"/>
      <c r="G16020" s="13"/>
      <c r="AL16020" s="13"/>
    </row>
    <row r="16021" spans="4:39" x14ac:dyDescent="0.3">
      <c r="D16021" s="1"/>
      <c r="G16021" s="13"/>
      <c r="AL16021" s="13"/>
    </row>
    <row r="16022" spans="4:39" x14ac:dyDescent="0.3">
      <c r="D16022" s="1"/>
      <c r="G16022" s="13"/>
      <c r="AL16022" s="13"/>
      <c r="AM16022" s="14"/>
    </row>
    <row r="16023" spans="4:39" x14ac:dyDescent="0.3">
      <c r="D16023" s="1"/>
      <c r="G16023" s="13"/>
      <c r="AL16023" s="13"/>
    </row>
    <row r="16024" spans="4:39" x14ac:dyDescent="0.3">
      <c r="D16024" s="1"/>
      <c r="G16024" s="13"/>
      <c r="AL16024" s="13"/>
    </row>
    <row r="16025" spans="4:39" x14ac:dyDescent="0.3">
      <c r="D16025" s="1"/>
      <c r="G16025" s="13"/>
      <c r="AL16025" s="13"/>
    </row>
    <row r="16026" spans="4:39" x14ac:dyDescent="0.3">
      <c r="D16026" s="1"/>
      <c r="G16026" s="13"/>
      <c r="AL16026" s="13"/>
      <c r="AM16026" s="14"/>
    </row>
    <row r="16027" spans="4:39" x14ac:dyDescent="0.3">
      <c r="D16027" s="1"/>
      <c r="G16027" s="13"/>
      <c r="AL16027" s="13"/>
    </row>
    <row r="16028" spans="4:39" x14ac:dyDescent="0.3">
      <c r="D16028" s="1"/>
      <c r="G16028" s="13"/>
      <c r="AL16028" s="13"/>
    </row>
    <row r="16029" spans="4:39" x14ac:dyDescent="0.3">
      <c r="D16029" s="1"/>
      <c r="G16029" s="13"/>
      <c r="AL16029" s="13"/>
      <c r="AM16029" s="14"/>
    </row>
    <row r="16030" spans="4:39" x14ac:dyDescent="0.3">
      <c r="D16030" s="1"/>
      <c r="G16030" s="13"/>
      <c r="AL16030" s="13"/>
    </row>
    <row r="16031" spans="4:39" x14ac:dyDescent="0.3">
      <c r="D16031" s="1"/>
      <c r="G16031" s="13"/>
      <c r="AL16031" s="13"/>
    </row>
    <row r="16032" spans="4:39" x14ac:dyDescent="0.3">
      <c r="D16032" s="1"/>
      <c r="G16032" s="13"/>
      <c r="AL16032" s="13"/>
    </row>
    <row r="16033" spans="4:39" x14ac:dyDescent="0.3">
      <c r="D16033" s="1"/>
      <c r="G16033" s="13"/>
      <c r="AL16033" s="13"/>
    </row>
    <row r="16034" spans="4:39" x14ac:dyDescent="0.3">
      <c r="D16034" s="1"/>
      <c r="G16034" s="13"/>
      <c r="AL16034" s="13"/>
    </row>
    <row r="16035" spans="4:39" x14ac:dyDescent="0.3">
      <c r="D16035" s="1"/>
      <c r="G16035" s="13"/>
      <c r="AL16035" s="13"/>
      <c r="AM16035" s="14"/>
    </row>
    <row r="16036" spans="4:39" x14ac:dyDescent="0.3">
      <c r="D16036" s="1"/>
      <c r="G16036" s="13"/>
      <c r="AL16036" s="13"/>
    </row>
    <row r="16037" spans="4:39" x14ac:dyDescent="0.3">
      <c r="D16037" s="1"/>
      <c r="G16037" s="13"/>
      <c r="AL16037" s="13"/>
    </row>
    <row r="16038" spans="4:39" x14ac:dyDescent="0.3">
      <c r="D16038" s="1"/>
      <c r="G16038" s="13"/>
      <c r="AL16038" s="13"/>
    </row>
    <row r="16039" spans="4:39" x14ac:dyDescent="0.3">
      <c r="D16039" s="1"/>
      <c r="G16039" s="13"/>
      <c r="AL16039" s="13"/>
    </row>
    <row r="16040" spans="4:39" x14ac:dyDescent="0.3">
      <c r="D16040" s="1"/>
      <c r="G16040" s="13"/>
      <c r="AL16040" s="13"/>
      <c r="AM16040" s="14"/>
    </row>
    <row r="16041" spans="4:39" x14ac:dyDescent="0.3">
      <c r="D16041" s="1"/>
      <c r="G16041" s="13"/>
      <c r="AL16041" s="13"/>
    </row>
    <row r="16042" spans="4:39" x14ac:dyDescent="0.3">
      <c r="D16042" s="1"/>
      <c r="G16042" s="13"/>
      <c r="AL16042" s="13"/>
    </row>
    <row r="16043" spans="4:39" x14ac:dyDescent="0.3">
      <c r="D16043" s="1"/>
      <c r="G16043" s="13"/>
      <c r="AL16043" s="13"/>
    </row>
    <row r="16044" spans="4:39" x14ac:dyDescent="0.3">
      <c r="D16044" s="1"/>
      <c r="G16044" s="13"/>
      <c r="AL16044" s="13"/>
    </row>
    <row r="16045" spans="4:39" x14ac:dyDescent="0.3">
      <c r="D16045" s="1"/>
      <c r="G16045" s="13"/>
      <c r="AL16045" s="13"/>
    </row>
    <row r="16046" spans="4:39" x14ac:dyDescent="0.3">
      <c r="D16046" s="1"/>
      <c r="G16046" s="13"/>
      <c r="AL16046" s="13"/>
    </row>
    <row r="16047" spans="4:39" x14ac:dyDescent="0.3">
      <c r="D16047" s="1"/>
      <c r="G16047" s="13"/>
      <c r="AL16047" s="13"/>
    </row>
    <row r="16048" spans="4:39" x14ac:dyDescent="0.3">
      <c r="D16048" s="1"/>
      <c r="G16048" s="13"/>
      <c r="AL16048" s="13"/>
    </row>
    <row r="16049" spans="4:39" x14ac:dyDescent="0.3">
      <c r="D16049" s="1"/>
      <c r="G16049" s="13"/>
      <c r="AL16049" s="13"/>
    </row>
    <row r="16050" spans="4:39" x14ac:dyDescent="0.3">
      <c r="D16050" s="1"/>
      <c r="G16050" s="13"/>
      <c r="AL16050" s="13"/>
    </row>
    <row r="16051" spans="4:39" x14ac:dyDescent="0.3">
      <c r="D16051" s="1"/>
      <c r="G16051" s="13"/>
      <c r="AL16051" s="13"/>
      <c r="AM16051" s="14"/>
    </row>
    <row r="16052" spans="4:39" x14ac:dyDescent="0.3">
      <c r="D16052" s="1"/>
      <c r="G16052" s="13"/>
      <c r="AL16052" s="13"/>
      <c r="AM16052" s="14"/>
    </row>
    <row r="16053" spans="4:39" x14ac:dyDescent="0.3">
      <c r="D16053" s="1"/>
      <c r="G16053" s="13"/>
      <c r="AL16053" s="13"/>
    </row>
    <row r="16054" spans="4:39" x14ac:dyDescent="0.3">
      <c r="D16054" s="1"/>
      <c r="G16054" s="13"/>
    </row>
    <row r="16055" spans="4:39" x14ac:dyDescent="0.3">
      <c r="D16055" s="1"/>
      <c r="G16055" s="13"/>
    </row>
    <row r="16056" spans="4:39" x14ac:dyDescent="0.3">
      <c r="D16056" s="1"/>
      <c r="G16056" s="13"/>
      <c r="AL16056" s="13"/>
      <c r="AM16056" s="14"/>
    </row>
    <row r="16057" spans="4:39" x14ac:dyDescent="0.3">
      <c r="D16057" s="1"/>
      <c r="G16057" s="13"/>
      <c r="AL16057" s="13"/>
    </row>
    <row r="16058" spans="4:39" x14ac:dyDescent="0.3">
      <c r="D16058" s="1"/>
      <c r="G16058" s="13"/>
      <c r="AL16058" s="13"/>
      <c r="AM16058" s="14"/>
    </row>
    <row r="16059" spans="4:39" x14ac:dyDescent="0.3">
      <c r="D16059" s="1"/>
      <c r="G16059" s="13"/>
      <c r="AL16059" s="13"/>
    </row>
    <row r="16060" spans="4:39" x14ac:dyDescent="0.3">
      <c r="D16060" s="1"/>
      <c r="G16060" s="13"/>
      <c r="AL16060" s="13"/>
    </row>
    <row r="16061" spans="4:39" x14ac:dyDescent="0.3">
      <c r="D16061" s="1"/>
      <c r="G16061" s="13"/>
      <c r="AL16061" s="13"/>
    </row>
    <row r="16062" spans="4:39" x14ac:dyDescent="0.3">
      <c r="D16062" s="1"/>
      <c r="G16062" s="13"/>
      <c r="AL16062" s="13"/>
    </row>
    <row r="16063" spans="4:39" x14ac:dyDescent="0.3">
      <c r="D16063" s="1"/>
      <c r="G16063" s="13"/>
      <c r="AL16063" s="13"/>
    </row>
    <row r="16064" spans="4:39" x14ac:dyDescent="0.3">
      <c r="D16064" s="1"/>
      <c r="G16064" s="13"/>
      <c r="AL16064" s="13"/>
    </row>
    <row r="16065" spans="4:39" x14ac:dyDescent="0.3">
      <c r="D16065" s="1"/>
      <c r="G16065" s="13"/>
      <c r="AL16065" s="13"/>
      <c r="AM16065" s="14"/>
    </row>
    <row r="16066" spans="4:39" x14ac:dyDescent="0.3">
      <c r="D16066" s="1"/>
      <c r="G16066" s="13"/>
      <c r="AL16066" s="13"/>
      <c r="AM16066" s="14"/>
    </row>
    <row r="16067" spans="4:39" x14ac:dyDescent="0.3">
      <c r="D16067" s="1"/>
      <c r="G16067" s="13"/>
      <c r="AL16067" s="13"/>
      <c r="AM16067" s="14"/>
    </row>
    <row r="16068" spans="4:39" x14ac:dyDescent="0.3">
      <c r="D16068" s="1"/>
      <c r="G16068" s="13"/>
      <c r="AL16068" s="13"/>
    </row>
    <row r="16069" spans="4:39" x14ac:dyDescent="0.3">
      <c r="D16069" s="1"/>
      <c r="G16069" s="13"/>
      <c r="AL16069" s="13"/>
      <c r="AM16069" s="14"/>
    </row>
    <row r="16070" spans="4:39" x14ac:dyDescent="0.3">
      <c r="D16070" s="1"/>
      <c r="G16070" s="13"/>
      <c r="AL16070" s="13"/>
    </row>
    <row r="16071" spans="4:39" x14ac:dyDescent="0.3">
      <c r="D16071" s="1"/>
      <c r="G16071" s="13"/>
      <c r="AL16071" s="13"/>
    </row>
    <row r="16072" spans="4:39" x14ac:dyDescent="0.3">
      <c r="D16072" s="1"/>
      <c r="G16072" s="13"/>
      <c r="AL16072" s="13"/>
    </row>
    <row r="16073" spans="4:39" x14ac:dyDescent="0.3">
      <c r="D16073" s="1"/>
      <c r="G16073" s="13"/>
      <c r="AL16073" s="13"/>
      <c r="AM16073" s="14"/>
    </row>
    <row r="16074" spans="4:39" x14ac:dyDescent="0.3">
      <c r="D16074" s="1"/>
      <c r="G16074" s="13"/>
      <c r="AL16074" s="13"/>
      <c r="AM16074" s="14"/>
    </row>
    <row r="16075" spans="4:39" x14ac:dyDescent="0.3">
      <c r="D16075" s="1"/>
      <c r="G16075" s="13"/>
      <c r="AL16075" s="13"/>
      <c r="AM16075" s="14"/>
    </row>
    <row r="16076" spans="4:39" x14ac:dyDescent="0.3">
      <c r="D16076" s="1"/>
      <c r="G16076" s="13"/>
      <c r="AL16076" s="13"/>
      <c r="AM16076" s="14"/>
    </row>
    <row r="16077" spans="4:39" x14ac:dyDescent="0.3">
      <c r="D16077" s="1"/>
      <c r="G16077" s="13"/>
      <c r="AL16077" s="13"/>
      <c r="AM16077" s="14"/>
    </row>
    <row r="16078" spans="4:39" x14ac:dyDescent="0.3">
      <c r="D16078" s="1"/>
      <c r="G16078" s="13"/>
      <c r="AL16078" s="13"/>
    </row>
    <row r="16079" spans="4:39" x14ac:dyDescent="0.3">
      <c r="D16079" s="1"/>
      <c r="G16079" s="13"/>
      <c r="AL16079" s="13"/>
    </row>
    <row r="16080" spans="4:39" x14ac:dyDescent="0.3">
      <c r="D16080" s="1"/>
      <c r="G16080" s="13"/>
      <c r="AL16080" s="13"/>
      <c r="AM16080" s="14"/>
    </row>
    <row r="16081" spans="4:39" x14ac:dyDescent="0.3">
      <c r="D16081" s="1"/>
      <c r="G16081" s="13"/>
      <c r="AL16081" s="13"/>
    </row>
    <row r="16082" spans="4:39" x14ac:dyDescent="0.3">
      <c r="D16082" s="1"/>
      <c r="G16082" s="13"/>
      <c r="AL16082" s="13"/>
    </row>
    <row r="16083" spans="4:39" x14ac:dyDescent="0.3">
      <c r="D16083" s="1"/>
      <c r="G16083" s="13"/>
      <c r="AL16083" s="13"/>
    </row>
    <row r="16084" spans="4:39" x14ac:dyDescent="0.3">
      <c r="D16084" s="1"/>
      <c r="G16084" s="13"/>
      <c r="AL16084" s="13"/>
    </row>
    <row r="16085" spans="4:39" x14ac:dyDescent="0.3">
      <c r="D16085" s="1"/>
      <c r="G16085" s="13"/>
      <c r="AL16085" s="13"/>
    </row>
    <row r="16086" spans="4:39" x14ac:dyDescent="0.3">
      <c r="D16086" s="1"/>
      <c r="G16086" s="13"/>
      <c r="AL16086" s="13"/>
      <c r="AM16086" s="14"/>
    </row>
    <row r="16087" spans="4:39" x14ac:dyDescent="0.3">
      <c r="D16087" s="1"/>
      <c r="G16087" s="13"/>
      <c r="AL16087" s="13"/>
    </row>
    <row r="16088" spans="4:39" x14ac:dyDescent="0.3">
      <c r="D16088" s="1"/>
      <c r="G16088" s="13"/>
      <c r="AL16088" s="13"/>
      <c r="AM16088" s="14"/>
    </row>
    <row r="16089" spans="4:39" x14ac:dyDescent="0.3">
      <c r="D16089" s="1"/>
      <c r="G16089" s="13"/>
      <c r="AL16089" s="13"/>
    </row>
    <row r="16090" spans="4:39" x14ac:dyDescent="0.3">
      <c r="D16090" s="1"/>
      <c r="G16090" s="13"/>
      <c r="AL16090" s="13"/>
    </row>
    <row r="16091" spans="4:39" x14ac:dyDescent="0.3">
      <c r="D16091" s="1"/>
      <c r="G16091" s="13"/>
      <c r="AL16091" s="13"/>
    </row>
    <row r="16092" spans="4:39" x14ac:dyDescent="0.3">
      <c r="D16092" s="1"/>
      <c r="G16092" s="13"/>
      <c r="AL16092" s="13"/>
    </row>
    <row r="16093" spans="4:39" x14ac:dyDescent="0.3">
      <c r="D16093" s="1"/>
      <c r="G16093" s="13"/>
      <c r="AL16093" s="13"/>
    </row>
    <row r="16094" spans="4:39" x14ac:dyDescent="0.3">
      <c r="D16094" s="1"/>
      <c r="G16094" s="13"/>
      <c r="AL16094" s="13"/>
    </row>
    <row r="16095" spans="4:39" x14ac:dyDescent="0.3">
      <c r="D16095" s="1"/>
      <c r="G16095" s="13"/>
      <c r="AL16095" s="13"/>
    </row>
    <row r="16096" spans="4:39" x14ac:dyDescent="0.3">
      <c r="D16096" s="1"/>
      <c r="G16096" s="13"/>
      <c r="AL16096" s="13"/>
    </row>
    <row r="16097" spans="4:39" x14ac:dyDescent="0.3">
      <c r="D16097" s="1"/>
      <c r="G16097" s="13"/>
      <c r="AL16097" s="13"/>
    </row>
    <row r="16098" spans="4:39" x14ac:dyDescent="0.3">
      <c r="D16098" s="1"/>
      <c r="G16098" s="13"/>
      <c r="AL16098" s="13"/>
      <c r="AM16098" s="14"/>
    </row>
    <row r="16099" spans="4:39" x14ac:dyDescent="0.3">
      <c r="D16099" s="1"/>
      <c r="G16099" s="13"/>
      <c r="AL16099" s="13"/>
      <c r="AM16099" s="14"/>
    </row>
    <row r="16100" spans="4:39" x14ac:dyDescent="0.3">
      <c r="D16100" s="1"/>
      <c r="G16100" s="13"/>
      <c r="AL16100" s="13"/>
      <c r="AM16100" s="14"/>
    </row>
    <row r="16101" spans="4:39" x14ac:dyDescent="0.3">
      <c r="D16101" s="1"/>
      <c r="G16101" s="13"/>
      <c r="AL16101" s="13"/>
      <c r="AM16101" s="14"/>
    </row>
    <row r="16102" spans="4:39" x14ac:dyDescent="0.3">
      <c r="D16102" s="1"/>
      <c r="G16102" s="13"/>
      <c r="AL16102" s="13"/>
      <c r="AM16102" s="14"/>
    </row>
    <row r="16103" spans="4:39" x14ac:dyDescent="0.3">
      <c r="D16103" s="1"/>
      <c r="G16103" s="13"/>
    </row>
    <row r="16104" spans="4:39" x14ac:dyDescent="0.3">
      <c r="D16104" s="1"/>
      <c r="G16104" s="13"/>
      <c r="AL16104" s="13"/>
    </row>
    <row r="16105" spans="4:39" x14ac:dyDescent="0.3">
      <c r="D16105" s="1"/>
      <c r="G16105" s="13"/>
    </row>
    <row r="16106" spans="4:39" x14ac:dyDescent="0.3">
      <c r="D16106" s="1"/>
      <c r="G16106" s="13"/>
      <c r="AL16106" s="13"/>
      <c r="AM16106" s="14"/>
    </row>
    <row r="16107" spans="4:39" x14ac:dyDescent="0.3">
      <c r="D16107" s="1"/>
      <c r="G16107" s="13"/>
      <c r="AL16107" s="13"/>
      <c r="AM16107" s="14"/>
    </row>
    <row r="16108" spans="4:39" x14ac:dyDescent="0.3">
      <c r="D16108" s="1"/>
      <c r="G16108" s="13"/>
      <c r="AL16108" s="13"/>
    </row>
    <row r="16109" spans="4:39" x14ac:dyDescent="0.3">
      <c r="D16109" s="1"/>
      <c r="G16109" s="13"/>
      <c r="AL16109" s="13"/>
      <c r="AM16109" s="14"/>
    </row>
    <row r="16110" spans="4:39" x14ac:dyDescent="0.3">
      <c r="D16110" s="1"/>
      <c r="G16110" s="13"/>
      <c r="AL16110" s="13"/>
    </row>
    <row r="16111" spans="4:39" x14ac:dyDescent="0.3">
      <c r="D16111" s="1"/>
      <c r="G16111" s="13"/>
      <c r="AL16111" s="13"/>
      <c r="AM16111" s="14"/>
    </row>
    <row r="16112" spans="4:39" x14ac:dyDescent="0.3">
      <c r="D16112" s="1"/>
      <c r="G16112" s="13"/>
      <c r="AL16112" s="13"/>
      <c r="AM16112" s="14"/>
    </row>
    <row r="16113" spans="4:39" x14ac:dyDescent="0.3">
      <c r="D16113" s="1"/>
      <c r="G16113" s="13"/>
      <c r="AL16113" s="13"/>
      <c r="AM16113" s="14"/>
    </row>
    <row r="16114" spans="4:39" x14ac:dyDescent="0.3">
      <c r="D16114" s="1"/>
      <c r="G16114" s="13"/>
      <c r="AL16114" s="13"/>
    </row>
    <row r="16115" spans="4:39" x14ac:dyDescent="0.3">
      <c r="D16115" s="1"/>
      <c r="G16115" s="13"/>
      <c r="AL16115" s="13"/>
      <c r="AM16115" s="14"/>
    </row>
    <row r="16116" spans="4:39" x14ac:dyDescent="0.3">
      <c r="D16116" s="1"/>
      <c r="G16116" s="13"/>
    </row>
    <row r="16117" spans="4:39" x14ac:dyDescent="0.3">
      <c r="D16117" s="1"/>
      <c r="G16117" s="13"/>
      <c r="AL16117" s="13"/>
    </row>
    <row r="16118" spans="4:39" x14ac:dyDescent="0.3">
      <c r="D16118" s="1"/>
      <c r="G16118" s="13"/>
      <c r="AL16118" s="13"/>
      <c r="AM16118" s="14"/>
    </row>
    <row r="16119" spans="4:39" x14ac:dyDescent="0.3">
      <c r="D16119" s="1"/>
      <c r="G16119" s="13"/>
      <c r="AL16119" s="13"/>
      <c r="AM16119" s="14"/>
    </row>
    <row r="16120" spans="4:39" x14ac:dyDescent="0.3">
      <c r="D16120" s="1"/>
      <c r="G16120" s="13"/>
      <c r="AL16120" s="13"/>
      <c r="AM16120" s="14"/>
    </row>
    <row r="16121" spans="4:39" x14ac:dyDescent="0.3">
      <c r="D16121" s="1"/>
      <c r="G16121" s="13"/>
    </row>
    <row r="16122" spans="4:39" x14ac:dyDescent="0.3">
      <c r="D16122" s="1"/>
      <c r="G16122" s="13"/>
      <c r="AL16122" s="13"/>
    </row>
    <row r="16123" spans="4:39" x14ac:dyDescent="0.3">
      <c r="D16123" s="1"/>
      <c r="G16123" s="13"/>
      <c r="AL16123" s="13"/>
    </row>
    <row r="16124" spans="4:39" x14ac:dyDescent="0.3">
      <c r="D16124" s="1"/>
      <c r="G16124" s="13"/>
    </row>
    <row r="16125" spans="4:39" x14ac:dyDescent="0.3">
      <c r="D16125" s="1"/>
      <c r="G16125" s="13"/>
    </row>
    <row r="16126" spans="4:39" x14ac:dyDescent="0.3">
      <c r="D16126" s="1"/>
      <c r="G16126" s="13"/>
      <c r="AL16126" s="13"/>
    </row>
    <row r="16127" spans="4:39" x14ac:dyDescent="0.3">
      <c r="D16127" s="1"/>
      <c r="G16127" s="13"/>
    </row>
    <row r="16128" spans="4:39" x14ac:dyDescent="0.3">
      <c r="D16128" s="1"/>
      <c r="G16128" s="13"/>
    </row>
    <row r="16129" spans="4:39" x14ac:dyDescent="0.3">
      <c r="D16129" s="1"/>
      <c r="G16129" s="13"/>
      <c r="AL16129" s="13"/>
      <c r="AM16129" s="14"/>
    </row>
    <row r="16130" spans="4:39" x14ac:dyDescent="0.3">
      <c r="D16130" s="1"/>
      <c r="G16130" s="13"/>
      <c r="AL16130" s="13"/>
      <c r="AM16130" s="14"/>
    </row>
    <row r="16131" spans="4:39" x14ac:dyDescent="0.3">
      <c r="D16131" s="1"/>
      <c r="G16131" s="13"/>
      <c r="AL16131" s="13"/>
      <c r="AM16131" s="14"/>
    </row>
    <row r="16132" spans="4:39" x14ac:dyDescent="0.3">
      <c r="D16132" s="1"/>
      <c r="G16132" s="13"/>
      <c r="AL16132" s="13"/>
      <c r="AM16132" s="14"/>
    </row>
    <row r="16133" spans="4:39" x14ac:dyDescent="0.3">
      <c r="D16133" s="1"/>
      <c r="G16133" s="13"/>
    </row>
    <row r="16134" spans="4:39" x14ac:dyDescent="0.3">
      <c r="D16134" s="1"/>
      <c r="G16134" s="13"/>
    </row>
    <row r="16135" spans="4:39" x14ac:dyDescent="0.3">
      <c r="D16135" s="1"/>
      <c r="G16135" s="13"/>
      <c r="AL16135" s="13"/>
      <c r="AM16135" s="14"/>
    </row>
    <row r="16136" spans="4:39" x14ac:dyDescent="0.3">
      <c r="D16136" s="1"/>
      <c r="G16136" s="13"/>
      <c r="AL16136" s="13"/>
    </row>
    <row r="16137" spans="4:39" x14ac:dyDescent="0.3">
      <c r="D16137" s="1"/>
      <c r="G16137" s="13"/>
      <c r="AL16137" s="13"/>
    </row>
    <row r="16138" spans="4:39" x14ac:dyDescent="0.3">
      <c r="D16138" s="1"/>
      <c r="G16138" s="13"/>
    </row>
    <row r="16139" spans="4:39" x14ac:dyDescent="0.3">
      <c r="D16139" s="1"/>
      <c r="G16139" s="13"/>
      <c r="AL16139" s="13"/>
    </row>
    <row r="16140" spans="4:39" x14ac:dyDescent="0.3">
      <c r="D16140" s="1"/>
      <c r="G16140" s="13"/>
    </row>
    <row r="16141" spans="4:39" x14ac:dyDescent="0.3">
      <c r="D16141" s="1"/>
      <c r="G16141" s="13"/>
      <c r="AL16141" s="13"/>
      <c r="AM16141" s="14"/>
    </row>
    <row r="16142" spans="4:39" x14ac:dyDescent="0.3">
      <c r="D16142" s="1"/>
      <c r="G16142" s="13"/>
      <c r="AL16142" s="13"/>
      <c r="AM16142" s="14"/>
    </row>
    <row r="16143" spans="4:39" x14ac:dyDescent="0.3">
      <c r="D16143" s="1"/>
      <c r="G16143" s="13"/>
      <c r="AL16143" s="13"/>
      <c r="AM16143" s="14"/>
    </row>
    <row r="16144" spans="4:39" x14ac:dyDescent="0.3">
      <c r="D16144" s="1"/>
      <c r="G16144" s="13"/>
    </row>
    <row r="16145" spans="4:39" x14ac:dyDescent="0.3">
      <c r="D16145" s="1"/>
      <c r="G16145" s="13"/>
      <c r="AL16145" s="13"/>
      <c r="AM16145" s="14"/>
    </row>
    <row r="16146" spans="4:39" x14ac:dyDescent="0.3">
      <c r="D16146" s="1"/>
      <c r="G16146" s="13"/>
      <c r="AL16146" s="13"/>
      <c r="AM16146" s="14"/>
    </row>
    <row r="16147" spans="4:39" x14ac:dyDescent="0.3">
      <c r="D16147" s="1"/>
      <c r="G16147" s="13"/>
      <c r="AL16147" s="13"/>
    </row>
    <row r="16148" spans="4:39" x14ac:dyDescent="0.3">
      <c r="D16148" s="1"/>
      <c r="G16148" s="13"/>
      <c r="AL16148" s="13"/>
      <c r="AM16148" s="14"/>
    </row>
    <row r="16149" spans="4:39" x14ac:dyDescent="0.3">
      <c r="D16149" s="1"/>
      <c r="G16149" s="13"/>
      <c r="AL16149" s="13"/>
      <c r="AM16149" s="14"/>
    </row>
    <row r="16150" spans="4:39" x14ac:dyDescent="0.3">
      <c r="D16150" s="1"/>
      <c r="G16150" s="13"/>
      <c r="AL16150" s="13"/>
      <c r="AM16150" s="14"/>
    </row>
    <row r="16151" spans="4:39" x14ac:dyDescent="0.3">
      <c r="D16151" s="1"/>
      <c r="G16151" s="13"/>
      <c r="AL16151" s="13"/>
    </row>
    <row r="16152" spans="4:39" x14ac:dyDescent="0.3">
      <c r="D16152" s="1"/>
      <c r="G16152" s="13"/>
      <c r="AL16152" s="13"/>
      <c r="AM16152" s="14"/>
    </row>
    <row r="16153" spans="4:39" x14ac:dyDescent="0.3">
      <c r="D16153" s="1"/>
      <c r="G16153" s="13"/>
      <c r="AL16153" s="13"/>
      <c r="AM16153" s="14"/>
    </row>
    <row r="16154" spans="4:39" x14ac:dyDescent="0.3">
      <c r="D16154" s="1"/>
      <c r="G16154" s="13"/>
      <c r="AL16154" s="13"/>
    </row>
    <row r="16155" spans="4:39" x14ac:dyDescent="0.3">
      <c r="D16155" s="1"/>
      <c r="G16155" s="13"/>
      <c r="AL16155" s="13"/>
      <c r="AM16155" s="14"/>
    </row>
    <row r="16156" spans="4:39" x14ac:dyDescent="0.3">
      <c r="D16156" s="1"/>
      <c r="G16156" s="13"/>
      <c r="AL16156" s="13"/>
      <c r="AM16156" s="14"/>
    </row>
    <row r="16157" spans="4:39" x14ac:dyDescent="0.3">
      <c r="D16157" s="1"/>
      <c r="G16157" s="13"/>
      <c r="AL16157" s="13"/>
    </row>
    <row r="16158" spans="4:39" x14ac:dyDescent="0.3">
      <c r="D16158" s="1"/>
      <c r="G16158" s="13"/>
      <c r="AL16158" s="13"/>
    </row>
    <row r="16159" spans="4:39" x14ac:dyDescent="0.3">
      <c r="D16159" s="1"/>
      <c r="G16159" s="13"/>
      <c r="AL16159" s="13"/>
    </row>
    <row r="16160" spans="4:39" x14ac:dyDescent="0.3">
      <c r="D16160" s="1"/>
      <c r="G16160" s="13"/>
      <c r="AL16160" s="13"/>
    </row>
    <row r="16161" spans="4:39" x14ac:dyDescent="0.3">
      <c r="D16161" s="1"/>
      <c r="G16161" s="13"/>
      <c r="AL16161" s="13"/>
    </row>
    <row r="16162" spans="4:39" x14ac:dyDescent="0.3">
      <c r="D16162" s="1"/>
      <c r="G16162" s="13"/>
      <c r="AL16162" s="13"/>
      <c r="AM16162" s="14"/>
    </row>
    <row r="16163" spans="4:39" x14ac:dyDescent="0.3">
      <c r="D16163" s="1"/>
      <c r="G16163" s="13"/>
      <c r="AL16163" s="13"/>
    </row>
    <row r="16164" spans="4:39" x14ac:dyDescent="0.3">
      <c r="D16164" s="1"/>
      <c r="G16164" s="13"/>
      <c r="AL16164" s="13"/>
    </row>
    <row r="16165" spans="4:39" x14ac:dyDescent="0.3">
      <c r="D16165" s="1"/>
      <c r="G16165" s="13"/>
      <c r="AL16165" s="13"/>
    </row>
    <row r="16166" spans="4:39" x14ac:dyDescent="0.3">
      <c r="D16166" s="1"/>
      <c r="G16166" s="13"/>
      <c r="AL16166" s="13"/>
    </row>
    <row r="16167" spans="4:39" x14ac:dyDescent="0.3">
      <c r="D16167" s="1"/>
      <c r="G16167" s="13"/>
      <c r="AL16167" s="13"/>
    </row>
    <row r="16168" spans="4:39" x14ac:dyDescent="0.3">
      <c r="D16168" s="1"/>
      <c r="G16168" s="13"/>
      <c r="AL16168" s="13"/>
    </row>
    <row r="16169" spans="4:39" x14ac:dyDescent="0.3">
      <c r="D16169" s="1"/>
      <c r="G16169" s="13"/>
      <c r="AL16169" s="13"/>
    </row>
    <row r="16170" spans="4:39" x14ac:dyDescent="0.3">
      <c r="D16170" s="1"/>
      <c r="G16170" s="13"/>
      <c r="AL16170" s="13"/>
      <c r="AM16170" s="14"/>
    </row>
    <row r="16171" spans="4:39" x14ac:dyDescent="0.3">
      <c r="D16171" s="1"/>
      <c r="G16171" s="13"/>
      <c r="AL16171" s="13"/>
    </row>
    <row r="16172" spans="4:39" x14ac:dyDescent="0.3">
      <c r="D16172" s="1"/>
      <c r="G16172" s="13"/>
      <c r="AL16172" s="13"/>
    </row>
    <row r="16173" spans="4:39" x14ac:dyDescent="0.3">
      <c r="D16173" s="1"/>
      <c r="G16173" s="13"/>
      <c r="AL16173" s="13"/>
    </row>
    <row r="16174" spans="4:39" x14ac:dyDescent="0.3">
      <c r="D16174" s="1"/>
      <c r="G16174" s="13"/>
      <c r="AL16174" s="13"/>
    </row>
    <row r="16175" spans="4:39" x14ac:dyDescent="0.3">
      <c r="D16175" s="1"/>
      <c r="G16175" s="13"/>
      <c r="AL16175" s="13"/>
    </row>
    <row r="16176" spans="4:39" x14ac:dyDescent="0.3">
      <c r="D16176" s="1"/>
      <c r="G16176" s="13"/>
      <c r="AL16176" s="13"/>
      <c r="AM16176" s="14"/>
    </row>
    <row r="16177" spans="4:39" x14ac:dyDescent="0.3">
      <c r="D16177" s="1"/>
      <c r="G16177" s="13"/>
      <c r="AL16177" s="13"/>
    </row>
    <row r="16178" spans="4:39" x14ac:dyDescent="0.3">
      <c r="D16178" s="1"/>
      <c r="G16178" s="13"/>
      <c r="AL16178" s="13"/>
      <c r="AM16178" s="14"/>
    </row>
    <row r="16179" spans="4:39" x14ac:dyDescent="0.3">
      <c r="D16179" s="1"/>
      <c r="G16179" s="13"/>
      <c r="AL16179" s="13"/>
      <c r="AM16179" s="14"/>
    </row>
    <row r="16180" spans="4:39" x14ac:dyDescent="0.3">
      <c r="D16180" s="1"/>
      <c r="G16180" s="13"/>
      <c r="AL16180" s="13"/>
    </row>
    <row r="16181" spans="4:39" x14ac:dyDescent="0.3">
      <c r="D16181" s="1"/>
      <c r="G16181" s="13"/>
      <c r="AL16181" s="13"/>
    </row>
    <row r="16182" spans="4:39" x14ac:dyDescent="0.3">
      <c r="D16182" s="1"/>
      <c r="G16182" s="13"/>
      <c r="AL16182" s="13"/>
    </row>
    <row r="16183" spans="4:39" x14ac:dyDescent="0.3">
      <c r="D16183" s="1"/>
      <c r="G16183" s="13"/>
    </row>
    <row r="16184" spans="4:39" x14ac:dyDescent="0.3">
      <c r="D16184" s="1"/>
      <c r="G16184" s="13"/>
    </row>
    <row r="16185" spans="4:39" x14ac:dyDescent="0.3">
      <c r="D16185" s="1"/>
      <c r="G16185" s="13"/>
    </row>
    <row r="16186" spans="4:39" x14ac:dyDescent="0.3">
      <c r="D16186" s="1"/>
      <c r="G16186" s="13"/>
    </row>
    <row r="16187" spans="4:39" x14ac:dyDescent="0.3">
      <c r="D16187" s="1"/>
      <c r="G16187" s="13"/>
    </row>
    <row r="16188" spans="4:39" x14ac:dyDescent="0.3">
      <c r="D16188" s="1"/>
      <c r="G16188" s="13"/>
    </row>
    <row r="16189" spans="4:39" x14ac:dyDescent="0.3">
      <c r="D16189" s="1"/>
      <c r="G16189" s="13"/>
    </row>
    <row r="16190" spans="4:39" x14ac:dyDescent="0.3">
      <c r="D16190" s="1"/>
      <c r="G16190" s="13"/>
      <c r="AL16190" s="13"/>
    </row>
    <row r="16191" spans="4:39" x14ac:dyDescent="0.3">
      <c r="D16191" s="1"/>
      <c r="G16191" s="13"/>
    </row>
    <row r="16192" spans="4:39" x14ac:dyDescent="0.3">
      <c r="D16192" s="1"/>
      <c r="G16192" s="13"/>
      <c r="AL16192" s="13"/>
    </row>
    <row r="16193" spans="4:39" x14ac:dyDescent="0.3">
      <c r="D16193" s="1"/>
      <c r="G16193" s="13"/>
      <c r="AL16193" s="13"/>
    </row>
    <row r="16194" spans="4:39" x14ac:dyDescent="0.3">
      <c r="D16194" s="1"/>
      <c r="G16194" s="13"/>
      <c r="AL16194" s="13"/>
    </row>
    <row r="16195" spans="4:39" x14ac:dyDescent="0.3">
      <c r="D16195" s="1"/>
      <c r="G16195" s="13"/>
    </row>
    <row r="16196" spans="4:39" x14ac:dyDescent="0.3">
      <c r="D16196" s="1"/>
      <c r="G16196" s="13"/>
    </row>
    <row r="16197" spans="4:39" x14ac:dyDescent="0.3">
      <c r="D16197" s="1"/>
      <c r="G16197" s="13"/>
      <c r="AL16197" s="13"/>
    </row>
    <row r="16198" spans="4:39" x14ac:dyDescent="0.3">
      <c r="D16198" s="1"/>
      <c r="G16198" s="13"/>
    </row>
    <row r="16199" spans="4:39" x14ac:dyDescent="0.3">
      <c r="D16199" s="1"/>
      <c r="G16199" s="13"/>
    </row>
    <row r="16200" spans="4:39" x14ac:dyDescent="0.3">
      <c r="D16200" s="1"/>
      <c r="G16200" s="13"/>
      <c r="AL16200" s="13"/>
    </row>
    <row r="16201" spans="4:39" x14ac:dyDescent="0.3">
      <c r="D16201" s="1"/>
      <c r="G16201" s="13"/>
      <c r="AL16201" s="13"/>
    </row>
    <row r="16202" spans="4:39" x14ac:dyDescent="0.3">
      <c r="D16202" s="1"/>
      <c r="G16202" s="13"/>
      <c r="AL16202" s="13"/>
    </row>
    <row r="16203" spans="4:39" x14ac:dyDescent="0.3">
      <c r="D16203" s="1"/>
      <c r="G16203" s="13"/>
    </row>
    <row r="16204" spans="4:39" x14ac:dyDescent="0.3">
      <c r="D16204" s="1"/>
      <c r="G16204" s="13"/>
    </row>
    <row r="16205" spans="4:39" x14ac:dyDescent="0.3">
      <c r="D16205" s="1"/>
      <c r="G16205" s="13"/>
      <c r="AL16205" s="13"/>
    </row>
    <row r="16206" spans="4:39" x14ac:dyDescent="0.3">
      <c r="D16206" s="1"/>
      <c r="G16206" s="13"/>
    </row>
    <row r="16207" spans="4:39" x14ac:dyDescent="0.3">
      <c r="D16207" s="1"/>
      <c r="G16207" s="13"/>
      <c r="AL16207" s="13"/>
      <c r="AM16207" s="14"/>
    </row>
    <row r="16208" spans="4:39" x14ac:dyDescent="0.3">
      <c r="D16208" s="1"/>
      <c r="G16208" s="13"/>
      <c r="AL16208" s="13"/>
      <c r="AM16208" s="14"/>
    </row>
    <row r="16209" spans="4:39" x14ac:dyDescent="0.3">
      <c r="D16209" s="1"/>
      <c r="G16209" s="13"/>
    </row>
    <row r="16210" spans="4:39" x14ac:dyDescent="0.3">
      <c r="D16210" s="1"/>
      <c r="G16210" s="13"/>
      <c r="AL16210" s="13"/>
      <c r="AM16210" s="14"/>
    </row>
    <row r="16211" spans="4:39" x14ac:dyDescent="0.3">
      <c r="D16211" s="1"/>
      <c r="G16211" s="13"/>
      <c r="AL16211" s="13"/>
      <c r="AM16211" s="14"/>
    </row>
    <row r="16212" spans="4:39" x14ac:dyDescent="0.3">
      <c r="D16212" s="1"/>
      <c r="G16212" s="13"/>
      <c r="AL16212" s="13"/>
      <c r="AM16212" s="14"/>
    </row>
    <row r="16213" spans="4:39" x14ac:dyDescent="0.3">
      <c r="D16213" s="1"/>
      <c r="G16213" s="13"/>
      <c r="AL16213" s="13"/>
      <c r="AM16213" s="14"/>
    </row>
    <row r="16214" spans="4:39" x14ac:dyDescent="0.3">
      <c r="D16214" s="1"/>
      <c r="G16214" s="13"/>
      <c r="AL16214" s="13"/>
    </row>
    <row r="16215" spans="4:39" x14ac:dyDescent="0.3">
      <c r="D16215" s="1"/>
      <c r="G16215" s="13"/>
      <c r="AL16215" s="13"/>
      <c r="AM16215" s="14"/>
    </row>
    <row r="16216" spans="4:39" x14ac:dyDescent="0.3">
      <c r="D16216" s="1"/>
      <c r="G16216" s="13"/>
      <c r="AL16216" s="13"/>
      <c r="AM16216" s="14"/>
    </row>
    <row r="16217" spans="4:39" x14ac:dyDescent="0.3">
      <c r="D16217" s="1"/>
      <c r="G16217" s="13"/>
      <c r="AL16217" s="13"/>
      <c r="AM16217" s="14"/>
    </row>
    <row r="16218" spans="4:39" x14ac:dyDescent="0.3">
      <c r="D16218" s="1"/>
      <c r="G16218" s="13"/>
      <c r="AL16218" s="13"/>
      <c r="AM16218" s="14"/>
    </row>
    <row r="16219" spans="4:39" x14ac:dyDescent="0.3">
      <c r="D16219" s="1"/>
      <c r="G16219" s="13"/>
    </row>
    <row r="16220" spans="4:39" x14ac:dyDescent="0.3">
      <c r="D16220" s="1"/>
      <c r="G16220" s="13"/>
      <c r="AL16220" s="13"/>
      <c r="AM16220" s="14"/>
    </row>
    <row r="16221" spans="4:39" x14ac:dyDescent="0.3">
      <c r="D16221" s="1"/>
      <c r="G16221" s="13"/>
      <c r="AL16221" s="13"/>
      <c r="AM16221" s="14"/>
    </row>
    <row r="16222" spans="4:39" x14ac:dyDescent="0.3">
      <c r="D16222" s="1"/>
      <c r="G16222" s="13"/>
      <c r="AL16222" s="13"/>
      <c r="AM16222" s="14"/>
    </row>
    <row r="16223" spans="4:39" x14ac:dyDescent="0.3">
      <c r="D16223" s="1"/>
      <c r="G16223" s="13"/>
      <c r="AL16223" s="13"/>
    </row>
    <row r="16224" spans="4:39" x14ac:dyDescent="0.3">
      <c r="D16224" s="1"/>
      <c r="G16224" s="13"/>
      <c r="AL16224" s="13"/>
    </row>
    <row r="16225" spans="4:39" x14ac:dyDescent="0.3">
      <c r="D16225" s="1"/>
      <c r="G16225" s="13"/>
      <c r="AL16225" s="13"/>
      <c r="AM16225" s="14"/>
    </row>
    <row r="16226" spans="4:39" x14ac:dyDescent="0.3">
      <c r="D16226" s="1"/>
      <c r="G16226" s="13"/>
      <c r="AL16226" s="13"/>
    </row>
    <row r="16227" spans="4:39" x14ac:dyDescent="0.3">
      <c r="D16227" s="1"/>
      <c r="G16227" s="13"/>
      <c r="AL16227" s="13"/>
    </row>
    <row r="16228" spans="4:39" x14ac:dyDescent="0.3">
      <c r="D16228" s="1"/>
      <c r="G16228" s="13"/>
      <c r="AL16228" s="13"/>
    </row>
    <row r="16229" spans="4:39" x14ac:dyDescent="0.3">
      <c r="D16229" s="1"/>
      <c r="G16229" s="13"/>
      <c r="AL16229" s="13"/>
      <c r="AM16229" s="14"/>
    </row>
    <row r="16230" spans="4:39" x14ac:dyDescent="0.3">
      <c r="D16230" s="1"/>
      <c r="G16230" s="13"/>
      <c r="AL16230" s="13"/>
      <c r="AM16230" s="14"/>
    </row>
    <row r="16231" spans="4:39" x14ac:dyDescent="0.3">
      <c r="D16231" s="1"/>
      <c r="G16231" s="13"/>
      <c r="AL16231" s="13"/>
    </row>
    <row r="16232" spans="4:39" x14ac:dyDescent="0.3">
      <c r="D16232" s="1"/>
      <c r="G16232" s="13"/>
    </row>
    <row r="16233" spans="4:39" x14ac:dyDescent="0.3">
      <c r="D16233" s="1"/>
      <c r="G16233" s="13"/>
      <c r="AL16233" s="13"/>
      <c r="AM16233" s="14"/>
    </row>
    <row r="16234" spans="4:39" x14ac:dyDescent="0.3">
      <c r="D16234" s="1"/>
      <c r="G16234" s="13"/>
      <c r="AL16234" s="13"/>
    </row>
    <row r="16235" spans="4:39" x14ac:dyDescent="0.3">
      <c r="D16235" s="1"/>
      <c r="G16235" s="13"/>
      <c r="AL16235" s="13"/>
    </row>
    <row r="16236" spans="4:39" x14ac:dyDescent="0.3">
      <c r="D16236" s="1"/>
      <c r="G16236" s="13"/>
      <c r="AL16236" s="13"/>
    </row>
    <row r="16237" spans="4:39" x14ac:dyDescent="0.3">
      <c r="D16237" s="1"/>
      <c r="G16237" s="13"/>
      <c r="AL16237" s="13"/>
    </row>
    <row r="16238" spans="4:39" x14ac:dyDescent="0.3">
      <c r="D16238" s="1"/>
      <c r="G16238" s="13"/>
      <c r="AL16238" s="13"/>
    </row>
    <row r="16239" spans="4:39" x14ac:dyDescent="0.3">
      <c r="D16239" s="1"/>
      <c r="G16239" s="13"/>
      <c r="AL16239" s="13"/>
    </row>
    <row r="16240" spans="4:39" x14ac:dyDescent="0.3">
      <c r="D16240" s="1"/>
      <c r="G16240" s="13"/>
      <c r="AL16240" s="13"/>
    </row>
    <row r="16241" spans="4:39" x14ac:dyDescent="0.3">
      <c r="D16241" s="1"/>
      <c r="G16241" s="13"/>
      <c r="AL16241" s="13"/>
    </row>
    <row r="16242" spans="4:39" x14ac:dyDescent="0.3">
      <c r="D16242" s="1"/>
      <c r="G16242" s="13"/>
      <c r="AL16242" s="13"/>
    </row>
    <row r="16243" spans="4:39" x14ac:dyDescent="0.3">
      <c r="D16243" s="1"/>
      <c r="G16243" s="13"/>
      <c r="AL16243" s="13"/>
    </row>
    <row r="16244" spans="4:39" x14ac:dyDescent="0.3">
      <c r="D16244" s="1"/>
      <c r="G16244" s="13"/>
      <c r="AL16244" s="13"/>
    </row>
    <row r="16245" spans="4:39" x14ac:dyDescent="0.3">
      <c r="D16245" s="1"/>
      <c r="G16245" s="13"/>
      <c r="AL16245" s="13"/>
      <c r="AM16245" s="14"/>
    </row>
    <row r="16246" spans="4:39" x14ac:dyDescent="0.3">
      <c r="D16246" s="1"/>
      <c r="G16246" s="13"/>
      <c r="AL16246" s="13"/>
      <c r="AM16246" s="14"/>
    </row>
    <row r="16247" spans="4:39" x14ac:dyDescent="0.3">
      <c r="D16247" s="1"/>
      <c r="G16247" s="13"/>
      <c r="AL16247" s="13"/>
    </row>
    <row r="16248" spans="4:39" x14ac:dyDescent="0.3">
      <c r="D16248" s="1"/>
      <c r="G16248" s="13"/>
      <c r="AL16248" s="13"/>
    </row>
    <row r="16249" spans="4:39" x14ac:dyDescent="0.3">
      <c r="D16249" s="1"/>
      <c r="G16249" s="13"/>
      <c r="AL16249" s="13"/>
    </row>
    <row r="16250" spans="4:39" x14ac:dyDescent="0.3">
      <c r="D16250" s="1"/>
      <c r="G16250" s="13"/>
      <c r="AL16250" s="13"/>
    </row>
    <row r="16251" spans="4:39" x14ac:dyDescent="0.3">
      <c r="D16251" s="1"/>
      <c r="G16251" s="13"/>
      <c r="AL16251" s="13"/>
      <c r="AM16251" s="14"/>
    </row>
    <row r="16252" spans="4:39" x14ac:dyDescent="0.3">
      <c r="D16252" s="1"/>
      <c r="G16252" s="13"/>
      <c r="AL16252" s="13"/>
      <c r="AM16252" s="14"/>
    </row>
    <row r="16253" spans="4:39" x14ac:dyDescent="0.3">
      <c r="D16253" s="1"/>
      <c r="G16253" s="13"/>
      <c r="AL16253" s="13"/>
    </row>
    <row r="16254" spans="4:39" x14ac:dyDescent="0.3">
      <c r="D16254" s="1"/>
      <c r="G16254" s="13"/>
      <c r="AL16254" s="13"/>
    </row>
    <row r="16255" spans="4:39" x14ac:dyDescent="0.3">
      <c r="D16255" s="1"/>
      <c r="G16255" s="13"/>
      <c r="AL16255" s="13"/>
    </row>
    <row r="16256" spans="4:39" x14ac:dyDescent="0.3">
      <c r="D16256" s="1"/>
      <c r="G16256" s="13"/>
      <c r="AL16256" s="13"/>
    </row>
    <row r="16257" spans="4:39" x14ac:dyDescent="0.3">
      <c r="D16257" s="1"/>
      <c r="G16257" s="13"/>
      <c r="AL16257" s="13"/>
      <c r="AM16257" s="14"/>
    </row>
    <row r="16258" spans="4:39" x14ac:dyDescent="0.3">
      <c r="D16258" s="1"/>
      <c r="G16258" s="13"/>
      <c r="AL16258" s="13"/>
      <c r="AM16258" s="14"/>
    </row>
    <row r="16259" spans="4:39" x14ac:dyDescent="0.3">
      <c r="D16259" s="1"/>
      <c r="G16259" s="13"/>
      <c r="AL16259" s="13"/>
      <c r="AM16259" s="14"/>
    </row>
    <row r="16260" spans="4:39" x14ac:dyDescent="0.3">
      <c r="D16260" s="1"/>
      <c r="G16260" s="13"/>
      <c r="AL16260" s="13"/>
      <c r="AM16260" s="14"/>
    </row>
    <row r="16261" spans="4:39" x14ac:dyDescent="0.3">
      <c r="D16261" s="1"/>
      <c r="G16261" s="13"/>
      <c r="AL16261" s="13"/>
      <c r="AM16261" s="14"/>
    </row>
    <row r="16262" spans="4:39" x14ac:dyDescent="0.3">
      <c r="D16262" s="1"/>
      <c r="G16262" s="13"/>
      <c r="AL16262" s="13"/>
      <c r="AM16262" s="14"/>
    </row>
    <row r="16263" spans="4:39" x14ac:dyDescent="0.3">
      <c r="D16263" s="1"/>
      <c r="G16263" s="13"/>
      <c r="AL16263" s="13"/>
      <c r="AM16263" s="14"/>
    </row>
    <row r="16264" spans="4:39" x14ac:dyDescent="0.3">
      <c r="D16264" s="1"/>
      <c r="G16264" s="13"/>
      <c r="AL16264" s="13"/>
      <c r="AM16264" s="14"/>
    </row>
    <row r="16265" spans="4:39" x14ac:dyDescent="0.3">
      <c r="D16265" s="1"/>
      <c r="G16265" s="13"/>
      <c r="AL16265" s="13"/>
    </row>
    <row r="16266" spans="4:39" x14ac:dyDescent="0.3">
      <c r="D16266" s="1"/>
      <c r="G16266" s="13"/>
      <c r="AL16266" s="13"/>
    </row>
    <row r="16267" spans="4:39" x14ac:dyDescent="0.3">
      <c r="D16267" s="1"/>
      <c r="G16267" s="13"/>
      <c r="AL16267" s="13"/>
    </row>
    <row r="16268" spans="4:39" x14ac:dyDescent="0.3">
      <c r="D16268" s="1"/>
      <c r="G16268" s="13"/>
      <c r="AL16268" s="13"/>
      <c r="AM16268" s="14"/>
    </row>
    <row r="16269" spans="4:39" x14ac:dyDescent="0.3">
      <c r="D16269" s="1"/>
      <c r="G16269" s="13"/>
      <c r="AL16269" s="13"/>
      <c r="AM16269" s="14"/>
    </row>
    <row r="16270" spans="4:39" x14ac:dyDescent="0.3">
      <c r="D16270" s="1"/>
      <c r="G16270" s="13"/>
      <c r="AL16270" s="13"/>
    </row>
    <row r="16271" spans="4:39" x14ac:dyDescent="0.3">
      <c r="D16271" s="1"/>
      <c r="G16271" s="13"/>
      <c r="AL16271" s="13"/>
    </row>
    <row r="16272" spans="4:39" x14ac:dyDescent="0.3">
      <c r="D16272" s="1"/>
      <c r="G16272" s="13"/>
      <c r="AL16272" s="13"/>
      <c r="AM16272" s="14"/>
    </row>
    <row r="16273" spans="4:39" x14ac:dyDescent="0.3">
      <c r="D16273" s="1"/>
      <c r="G16273" s="13"/>
      <c r="AL16273" s="13"/>
      <c r="AM16273" s="14"/>
    </row>
    <row r="16274" spans="4:39" x14ac:dyDescent="0.3">
      <c r="D16274" s="1"/>
      <c r="G16274" s="13"/>
      <c r="AL16274" s="13"/>
    </row>
    <row r="16275" spans="4:39" x14ac:dyDescent="0.3">
      <c r="D16275" s="1"/>
      <c r="G16275" s="13"/>
      <c r="AL16275" s="13"/>
      <c r="AM16275" s="14"/>
    </row>
    <row r="16276" spans="4:39" x14ac:dyDescent="0.3">
      <c r="D16276" s="1"/>
      <c r="G16276" s="13"/>
      <c r="AL16276" s="13"/>
    </row>
    <row r="16277" spans="4:39" x14ac:dyDescent="0.3">
      <c r="D16277" s="1"/>
      <c r="G16277" s="13"/>
      <c r="AL16277" s="13"/>
    </row>
    <row r="16278" spans="4:39" x14ac:dyDescent="0.3">
      <c r="D16278" s="1"/>
      <c r="G16278" s="13"/>
      <c r="AL16278" s="13"/>
      <c r="AM16278" s="14"/>
    </row>
    <row r="16279" spans="4:39" x14ac:dyDescent="0.3">
      <c r="D16279" s="1"/>
      <c r="G16279" s="13"/>
      <c r="AL16279" s="13"/>
    </row>
    <row r="16280" spans="4:39" x14ac:dyDescent="0.3">
      <c r="D16280" s="1"/>
      <c r="G16280" s="13"/>
      <c r="AL16280" s="13"/>
      <c r="AM16280" s="14"/>
    </row>
    <row r="16281" spans="4:39" x14ac:dyDescent="0.3">
      <c r="D16281" s="1"/>
      <c r="G16281" s="13"/>
      <c r="AL16281" s="13"/>
    </row>
    <row r="16282" spans="4:39" x14ac:dyDescent="0.3">
      <c r="D16282" s="1"/>
      <c r="G16282" s="13"/>
      <c r="AL16282" s="13"/>
    </row>
    <row r="16283" spans="4:39" x14ac:dyDescent="0.3">
      <c r="D16283" s="1"/>
      <c r="G16283" s="13"/>
      <c r="AL16283" s="13"/>
    </row>
    <row r="16284" spans="4:39" x14ac:dyDescent="0.3">
      <c r="D16284" s="1"/>
      <c r="G16284" s="13"/>
      <c r="AL16284" s="13"/>
    </row>
    <row r="16285" spans="4:39" x14ac:dyDescent="0.3">
      <c r="D16285" s="1"/>
      <c r="G16285" s="13"/>
      <c r="AL16285" s="13"/>
    </row>
    <row r="16286" spans="4:39" x14ac:dyDescent="0.3">
      <c r="D16286" s="1"/>
      <c r="G16286" s="13"/>
      <c r="AL16286" s="13"/>
    </row>
    <row r="16287" spans="4:39" x14ac:dyDescent="0.3">
      <c r="D16287" s="1"/>
      <c r="G16287" s="13"/>
      <c r="AL16287" s="13"/>
    </row>
    <row r="16288" spans="4:39" x14ac:dyDescent="0.3">
      <c r="D16288" s="1"/>
      <c r="G16288" s="13"/>
      <c r="AL16288" s="13"/>
    </row>
    <row r="16289" spans="4:39" x14ac:dyDescent="0.3">
      <c r="D16289" s="1"/>
      <c r="G16289" s="13"/>
      <c r="AL16289" s="13"/>
    </row>
    <row r="16290" spans="4:39" x14ac:dyDescent="0.3">
      <c r="D16290" s="1"/>
      <c r="G16290" s="13"/>
      <c r="AL16290" s="13"/>
    </row>
    <row r="16291" spans="4:39" x14ac:dyDescent="0.3">
      <c r="D16291" s="1"/>
      <c r="G16291" s="13"/>
      <c r="AL16291" s="13"/>
    </row>
    <row r="16292" spans="4:39" x14ac:dyDescent="0.3">
      <c r="D16292" s="1"/>
      <c r="G16292" s="13"/>
      <c r="AL16292" s="13"/>
    </row>
    <row r="16293" spans="4:39" x14ac:dyDescent="0.3">
      <c r="D16293" s="1"/>
      <c r="G16293" s="13"/>
      <c r="AL16293" s="13"/>
    </row>
    <row r="16294" spans="4:39" x14ac:dyDescent="0.3">
      <c r="D16294" s="1"/>
      <c r="G16294" s="13"/>
      <c r="AL16294" s="13"/>
      <c r="AM16294" s="14"/>
    </row>
    <row r="16295" spans="4:39" x14ac:dyDescent="0.3">
      <c r="D16295" s="1"/>
      <c r="G16295" s="13"/>
      <c r="AL16295" s="13"/>
    </row>
    <row r="16296" spans="4:39" x14ac:dyDescent="0.3">
      <c r="D16296" s="1"/>
      <c r="G16296" s="13"/>
      <c r="AL16296" s="13"/>
    </row>
    <row r="16297" spans="4:39" x14ac:dyDescent="0.3">
      <c r="D16297" s="1"/>
      <c r="G16297" s="13"/>
      <c r="AL16297" s="13"/>
    </row>
    <row r="16298" spans="4:39" x14ac:dyDescent="0.3">
      <c r="D16298" s="1"/>
      <c r="G16298" s="13"/>
      <c r="AL16298" s="13"/>
    </row>
    <row r="16299" spans="4:39" x14ac:dyDescent="0.3">
      <c r="D16299" s="1"/>
      <c r="G16299" s="13"/>
      <c r="AL16299" s="13"/>
    </row>
    <row r="16300" spans="4:39" x14ac:dyDescent="0.3">
      <c r="D16300" s="1"/>
      <c r="G16300" s="13"/>
      <c r="AL16300" s="13"/>
    </row>
    <row r="16301" spans="4:39" x14ac:dyDescent="0.3">
      <c r="D16301" s="1"/>
      <c r="G16301" s="13"/>
      <c r="AL16301" s="13"/>
    </row>
    <row r="16302" spans="4:39" x14ac:dyDescent="0.3">
      <c r="D16302" s="1"/>
      <c r="G16302" s="13"/>
      <c r="AL16302" s="13"/>
    </row>
    <row r="16303" spans="4:39" x14ac:dyDescent="0.3">
      <c r="D16303" s="1"/>
      <c r="G16303" s="13"/>
      <c r="AL16303" s="13"/>
    </row>
    <row r="16304" spans="4:39" x14ac:dyDescent="0.3">
      <c r="D16304" s="1"/>
      <c r="G16304" s="13"/>
      <c r="AL16304" s="13"/>
    </row>
    <row r="16305" spans="4:39" x14ac:dyDescent="0.3">
      <c r="D16305" s="1"/>
      <c r="G16305" s="13"/>
      <c r="AL16305" s="13"/>
    </row>
    <row r="16306" spans="4:39" x14ac:dyDescent="0.3">
      <c r="D16306" s="1"/>
      <c r="G16306" s="13"/>
      <c r="AL16306" s="13"/>
    </row>
    <row r="16307" spans="4:39" x14ac:dyDescent="0.3">
      <c r="D16307" s="1"/>
      <c r="G16307" s="13"/>
      <c r="AL16307" s="13"/>
    </row>
    <row r="16308" spans="4:39" x14ac:dyDescent="0.3">
      <c r="D16308" s="1"/>
      <c r="G16308" s="13"/>
      <c r="AL16308" s="13"/>
    </row>
    <row r="16309" spans="4:39" x14ac:dyDescent="0.3">
      <c r="D16309" s="1"/>
      <c r="G16309" s="13"/>
      <c r="AL16309" s="13"/>
    </row>
    <row r="16310" spans="4:39" x14ac:dyDescent="0.3">
      <c r="D16310" s="1"/>
      <c r="G16310" s="13"/>
      <c r="AL16310" s="13"/>
    </row>
    <row r="16311" spans="4:39" x14ac:dyDescent="0.3">
      <c r="D16311" s="1"/>
      <c r="G16311" s="13"/>
      <c r="AL16311" s="13"/>
    </row>
    <row r="16312" spans="4:39" x14ac:dyDescent="0.3">
      <c r="D16312" s="1"/>
      <c r="G16312" s="13"/>
      <c r="AL16312" s="13"/>
    </row>
    <row r="16313" spans="4:39" x14ac:dyDescent="0.3">
      <c r="D16313" s="1"/>
      <c r="G16313" s="13"/>
      <c r="AL16313" s="13"/>
    </row>
    <row r="16314" spans="4:39" x14ac:dyDescent="0.3">
      <c r="D16314" s="1"/>
      <c r="G16314" s="13"/>
      <c r="AL16314" s="13"/>
    </row>
    <row r="16315" spans="4:39" x14ac:dyDescent="0.3">
      <c r="D16315" s="1"/>
      <c r="G16315" s="13"/>
      <c r="AL16315" s="13"/>
      <c r="AM16315" s="14"/>
    </row>
    <row r="16316" spans="4:39" x14ac:dyDescent="0.3">
      <c r="D16316" s="1"/>
      <c r="G16316" s="13"/>
      <c r="AL16316" s="13"/>
    </row>
    <row r="16317" spans="4:39" x14ac:dyDescent="0.3">
      <c r="D16317" s="1"/>
      <c r="G16317" s="13"/>
      <c r="AL16317" s="13"/>
    </row>
    <row r="16318" spans="4:39" x14ac:dyDescent="0.3">
      <c r="D16318" s="1"/>
      <c r="G16318" s="13"/>
      <c r="AL16318" s="13"/>
      <c r="AM16318" s="14"/>
    </row>
    <row r="16319" spans="4:39" x14ac:dyDescent="0.3">
      <c r="D16319" s="1"/>
      <c r="G16319" s="13"/>
      <c r="AL16319" s="13"/>
    </row>
    <row r="16320" spans="4:39" x14ac:dyDescent="0.3">
      <c r="D16320" s="1"/>
      <c r="G16320" s="13"/>
      <c r="AL16320" s="13"/>
    </row>
    <row r="16321" spans="4:39" x14ac:dyDescent="0.3">
      <c r="D16321" s="1"/>
      <c r="G16321" s="13"/>
      <c r="AL16321" s="13"/>
    </row>
    <row r="16322" spans="4:39" x14ac:dyDescent="0.3">
      <c r="D16322" s="1"/>
      <c r="G16322" s="13"/>
      <c r="AL16322" s="13"/>
      <c r="AM16322" s="14"/>
    </row>
    <row r="16323" spans="4:39" x14ac:dyDescent="0.3">
      <c r="D16323" s="1"/>
      <c r="G16323" s="13"/>
      <c r="AL16323" s="13"/>
    </row>
    <row r="16324" spans="4:39" x14ac:dyDescent="0.3">
      <c r="D16324" s="1"/>
      <c r="G16324" s="13"/>
      <c r="AL16324" s="13"/>
    </row>
    <row r="16325" spans="4:39" x14ac:dyDescent="0.3">
      <c r="D16325" s="1"/>
      <c r="G16325" s="13"/>
      <c r="AL16325" s="13"/>
    </row>
    <row r="16326" spans="4:39" x14ac:dyDescent="0.3">
      <c r="D16326" s="1"/>
      <c r="G16326" s="13"/>
      <c r="AL16326" s="13"/>
    </row>
    <row r="16327" spans="4:39" x14ac:dyDescent="0.3">
      <c r="D16327" s="1"/>
      <c r="G16327" s="13"/>
      <c r="AL16327" s="13"/>
    </row>
    <row r="16328" spans="4:39" x14ac:dyDescent="0.3">
      <c r="D16328" s="1"/>
      <c r="G16328" s="13"/>
      <c r="AL16328" s="13"/>
    </row>
    <row r="16329" spans="4:39" x14ac:dyDescent="0.3">
      <c r="D16329" s="1"/>
      <c r="G16329" s="13"/>
      <c r="AL16329" s="13"/>
    </row>
    <row r="16330" spans="4:39" x14ac:dyDescent="0.3">
      <c r="D16330" s="1"/>
      <c r="G16330" s="13"/>
      <c r="AL16330" s="13"/>
    </row>
    <row r="16331" spans="4:39" x14ac:dyDescent="0.3">
      <c r="D16331" s="1"/>
      <c r="G16331" s="13"/>
      <c r="AL16331" s="13"/>
    </row>
    <row r="16332" spans="4:39" x14ac:dyDescent="0.3">
      <c r="D16332" s="1"/>
      <c r="G16332" s="13"/>
      <c r="AL16332" s="13"/>
      <c r="AM16332" s="14"/>
    </row>
    <row r="16333" spans="4:39" x14ac:dyDescent="0.3">
      <c r="D16333" s="1"/>
      <c r="G16333" s="13"/>
      <c r="AL16333" s="13"/>
      <c r="AM16333" s="14"/>
    </row>
    <row r="16334" spans="4:39" x14ac:dyDescent="0.3">
      <c r="D16334" s="1"/>
      <c r="G16334" s="13"/>
      <c r="AL16334" s="13"/>
    </row>
    <row r="16335" spans="4:39" x14ac:dyDescent="0.3">
      <c r="D16335" s="1"/>
      <c r="G16335" s="13"/>
      <c r="AL16335" s="13"/>
    </row>
    <row r="16336" spans="4:39" x14ac:dyDescent="0.3">
      <c r="D16336" s="1"/>
      <c r="G16336" s="13"/>
      <c r="AL16336" s="13"/>
    </row>
    <row r="16337" spans="4:39" x14ac:dyDescent="0.3">
      <c r="D16337" s="1"/>
      <c r="G16337" s="13"/>
      <c r="AL16337" s="13"/>
    </row>
    <row r="16338" spans="4:39" x14ac:dyDescent="0.3">
      <c r="D16338" s="1"/>
      <c r="G16338" s="13"/>
      <c r="AL16338" s="13"/>
      <c r="AM16338" s="14"/>
    </row>
    <row r="16339" spans="4:39" x14ac:dyDescent="0.3">
      <c r="D16339" s="1"/>
      <c r="G16339" s="13"/>
      <c r="AL16339" s="13"/>
      <c r="AM16339" s="14"/>
    </row>
    <row r="16340" spans="4:39" x14ac:dyDescent="0.3">
      <c r="D16340" s="1"/>
      <c r="G16340" s="13"/>
      <c r="AL16340" s="13"/>
    </row>
    <row r="16341" spans="4:39" x14ac:dyDescent="0.3">
      <c r="D16341" s="1"/>
      <c r="G16341" s="13"/>
      <c r="AL16341" s="13"/>
      <c r="AM16341" s="14"/>
    </row>
    <row r="16342" spans="4:39" x14ac:dyDescent="0.3">
      <c r="D16342" s="1"/>
      <c r="G16342" s="13"/>
      <c r="AL16342" s="13"/>
      <c r="AM16342" s="14"/>
    </row>
    <row r="16343" spans="4:39" x14ac:dyDescent="0.3">
      <c r="D16343" s="1"/>
      <c r="G16343" s="13"/>
      <c r="AL16343" s="13"/>
    </row>
    <row r="16344" spans="4:39" x14ac:dyDescent="0.3">
      <c r="D16344" s="1"/>
      <c r="G16344" s="13"/>
      <c r="AL16344" s="13"/>
      <c r="AM16344" s="14"/>
    </row>
    <row r="16345" spans="4:39" x14ac:dyDescent="0.3">
      <c r="D16345" s="1"/>
      <c r="G16345" s="13"/>
      <c r="AL16345" s="13"/>
    </row>
    <row r="16346" spans="4:39" x14ac:dyDescent="0.3">
      <c r="D16346" s="1"/>
      <c r="G16346" s="13"/>
      <c r="AL16346" s="13"/>
    </row>
    <row r="16347" spans="4:39" x14ac:dyDescent="0.3">
      <c r="D16347" s="1"/>
      <c r="G16347" s="13"/>
      <c r="AL16347" s="13"/>
      <c r="AM16347" s="14"/>
    </row>
    <row r="16348" spans="4:39" x14ac:dyDescent="0.3">
      <c r="D16348" s="1"/>
      <c r="G16348" s="13"/>
      <c r="AL16348" s="13"/>
    </row>
    <row r="16349" spans="4:39" x14ac:dyDescent="0.3">
      <c r="D16349" s="1"/>
      <c r="G16349" s="13"/>
      <c r="AL16349" s="13"/>
    </row>
    <row r="16350" spans="4:39" x14ac:dyDescent="0.3">
      <c r="D16350" s="1"/>
      <c r="G16350" s="13"/>
      <c r="AL16350" s="13"/>
    </row>
    <row r="16351" spans="4:39" x14ac:dyDescent="0.3">
      <c r="D16351" s="1"/>
      <c r="G16351" s="13"/>
      <c r="AL16351" s="13"/>
      <c r="AM16351" s="14"/>
    </row>
    <row r="16352" spans="4:39" x14ac:dyDescent="0.3">
      <c r="D16352" s="1"/>
      <c r="G16352" s="13"/>
      <c r="AL16352" s="13"/>
      <c r="AM16352" s="14"/>
    </row>
    <row r="16353" spans="4:39" x14ac:dyDescent="0.3">
      <c r="D16353" s="1"/>
      <c r="G16353" s="13"/>
      <c r="AL16353" s="13"/>
    </row>
    <row r="16354" spans="4:39" x14ac:dyDescent="0.3">
      <c r="D16354" s="1"/>
      <c r="G16354" s="13"/>
      <c r="AL16354" s="13"/>
    </row>
    <row r="16355" spans="4:39" x14ac:dyDescent="0.3">
      <c r="D16355" s="1"/>
      <c r="G16355" s="13"/>
      <c r="AL16355" s="13"/>
    </row>
    <row r="16356" spans="4:39" x14ac:dyDescent="0.3">
      <c r="D16356" s="1"/>
      <c r="G16356" s="13"/>
      <c r="AL16356" s="13"/>
    </row>
    <row r="16357" spans="4:39" x14ac:dyDescent="0.3">
      <c r="D16357" s="1"/>
      <c r="G16357" s="13"/>
      <c r="AL16357" s="13"/>
    </row>
    <row r="16358" spans="4:39" x14ac:dyDescent="0.3">
      <c r="D16358" s="1"/>
      <c r="G16358" s="13"/>
      <c r="AL16358" s="13"/>
    </row>
    <row r="16359" spans="4:39" x14ac:dyDescent="0.3">
      <c r="D16359" s="1"/>
      <c r="G16359" s="13"/>
      <c r="AL16359" s="13"/>
    </row>
    <row r="16360" spans="4:39" x14ac:dyDescent="0.3">
      <c r="D16360" s="1"/>
      <c r="G16360" s="13"/>
      <c r="AL16360" s="13"/>
    </row>
    <row r="16361" spans="4:39" x14ac:dyDescent="0.3">
      <c r="D16361" s="1"/>
      <c r="G16361" s="13"/>
      <c r="AL16361" s="13"/>
    </row>
    <row r="16362" spans="4:39" x14ac:dyDescent="0.3">
      <c r="D16362" s="1"/>
      <c r="G16362" s="13"/>
      <c r="AL16362" s="13"/>
    </row>
    <row r="16363" spans="4:39" x14ac:dyDescent="0.3">
      <c r="D16363" s="1"/>
      <c r="G16363" s="13"/>
      <c r="AL16363" s="13"/>
    </row>
    <row r="16364" spans="4:39" x14ac:dyDescent="0.3">
      <c r="D16364" s="1"/>
      <c r="G16364" s="13"/>
      <c r="AL16364" s="13"/>
    </row>
    <row r="16365" spans="4:39" x14ac:dyDescent="0.3">
      <c r="D16365" s="1"/>
      <c r="G16365" s="13"/>
      <c r="AL16365" s="13"/>
    </row>
    <row r="16366" spans="4:39" x14ac:dyDescent="0.3">
      <c r="D16366" s="1"/>
      <c r="G16366" s="13"/>
      <c r="AL16366" s="13"/>
    </row>
    <row r="16367" spans="4:39" x14ac:dyDescent="0.3">
      <c r="D16367" s="1"/>
      <c r="G16367" s="13"/>
      <c r="AL16367" s="13"/>
      <c r="AM16367" s="14"/>
    </row>
    <row r="16368" spans="4:39" x14ac:dyDescent="0.3">
      <c r="D16368" s="1"/>
      <c r="G16368" s="13"/>
      <c r="AL16368" s="13"/>
      <c r="AM16368" s="14"/>
    </row>
    <row r="16369" spans="4:39" x14ac:dyDescent="0.3">
      <c r="D16369" s="1"/>
      <c r="G16369" s="13"/>
      <c r="AL16369" s="13"/>
    </row>
    <row r="16370" spans="4:39" x14ac:dyDescent="0.3">
      <c r="D16370" s="1"/>
      <c r="G16370" s="13"/>
      <c r="AL16370" s="13"/>
    </row>
    <row r="16371" spans="4:39" x14ac:dyDescent="0.3">
      <c r="D16371" s="1"/>
      <c r="G16371" s="13"/>
      <c r="AL16371" s="13"/>
      <c r="AM16371" s="14"/>
    </row>
    <row r="16372" spans="4:39" x14ac:dyDescent="0.3">
      <c r="D16372" s="1"/>
      <c r="G16372" s="13"/>
      <c r="AL16372" s="13"/>
    </row>
    <row r="16373" spans="4:39" x14ac:dyDescent="0.3">
      <c r="D16373" s="1"/>
      <c r="G16373" s="13"/>
      <c r="AL16373" s="13"/>
      <c r="AM16373" s="14"/>
    </row>
    <row r="16374" spans="4:39" x14ac:dyDescent="0.3">
      <c r="D16374" s="1"/>
      <c r="G16374" s="13"/>
      <c r="AL16374" s="13"/>
    </row>
    <row r="16375" spans="4:39" x14ac:dyDescent="0.3">
      <c r="D16375" s="1"/>
      <c r="G16375" s="13"/>
      <c r="AL16375" s="13"/>
      <c r="AM16375" s="14"/>
    </row>
    <row r="16376" spans="4:39" x14ac:dyDescent="0.3">
      <c r="D16376" s="1"/>
      <c r="G16376" s="13"/>
      <c r="AL16376" s="13"/>
      <c r="AM16376" s="14"/>
    </row>
    <row r="16377" spans="4:39" x14ac:dyDescent="0.3">
      <c r="D16377" s="1"/>
      <c r="G16377" s="13"/>
      <c r="AL16377" s="13"/>
    </row>
    <row r="16378" spans="4:39" x14ac:dyDescent="0.3">
      <c r="D16378" s="1"/>
      <c r="G16378" s="13"/>
      <c r="AL16378" s="13"/>
      <c r="AM16378" s="14"/>
    </row>
    <row r="16379" spans="4:39" x14ac:dyDescent="0.3">
      <c r="D16379" s="1"/>
      <c r="G16379" s="13"/>
      <c r="AL16379" s="13"/>
    </row>
    <row r="16380" spans="4:39" x14ac:dyDescent="0.3">
      <c r="D16380" s="1"/>
      <c r="G16380" s="13"/>
      <c r="AL16380" s="13"/>
    </row>
    <row r="16381" spans="4:39" x14ac:dyDescent="0.3">
      <c r="D16381" s="1"/>
      <c r="G16381" s="13"/>
      <c r="AL16381" s="13"/>
    </row>
    <row r="16382" spans="4:39" x14ac:dyDescent="0.3">
      <c r="D16382" s="1"/>
      <c r="G16382" s="13"/>
      <c r="AL16382" s="13"/>
    </row>
    <row r="16383" spans="4:39" x14ac:dyDescent="0.3">
      <c r="D16383" s="1"/>
      <c r="G16383" s="13"/>
      <c r="AL16383" s="13"/>
    </row>
    <row r="16384" spans="4:39" x14ac:dyDescent="0.3">
      <c r="D16384" s="1"/>
      <c r="G16384" s="13"/>
      <c r="AL16384" s="13"/>
    </row>
    <row r="16385" spans="4:39" x14ac:dyDescent="0.3">
      <c r="D16385" s="1"/>
      <c r="G16385" s="13"/>
      <c r="AL16385" s="13"/>
    </row>
    <row r="16386" spans="4:39" x14ac:dyDescent="0.3">
      <c r="D16386" s="1"/>
      <c r="G16386" s="13"/>
      <c r="AL16386" s="13"/>
      <c r="AM16386" s="14"/>
    </row>
    <row r="16387" spans="4:39" x14ac:dyDescent="0.3">
      <c r="D16387" s="1"/>
      <c r="G16387" s="13"/>
      <c r="AL16387" s="13"/>
      <c r="AM16387" s="14"/>
    </row>
    <row r="16388" spans="4:39" x14ac:dyDescent="0.3">
      <c r="D16388" s="1"/>
      <c r="G16388" s="13"/>
      <c r="AL16388" s="13"/>
      <c r="AM16388" s="14"/>
    </row>
    <row r="16389" spans="4:39" x14ac:dyDescent="0.3">
      <c r="D16389" s="1"/>
      <c r="G16389" s="13"/>
      <c r="AL16389" s="13"/>
    </row>
    <row r="16390" spans="4:39" x14ac:dyDescent="0.3">
      <c r="D16390" s="1"/>
      <c r="G16390" s="13"/>
      <c r="AL16390" s="13"/>
    </row>
    <row r="16391" spans="4:39" x14ac:dyDescent="0.3">
      <c r="D16391" s="1"/>
      <c r="G16391" s="13"/>
      <c r="AL16391" s="13"/>
    </row>
    <row r="16392" spans="4:39" x14ac:dyDescent="0.3">
      <c r="D16392" s="1"/>
      <c r="G16392" s="13"/>
      <c r="AL16392" s="13"/>
    </row>
    <row r="16393" spans="4:39" x14ac:dyDescent="0.3">
      <c r="D16393" s="1"/>
      <c r="G16393" s="13"/>
      <c r="AL16393" s="13"/>
    </row>
    <row r="16394" spans="4:39" x14ac:dyDescent="0.3">
      <c r="D16394" s="1"/>
      <c r="G16394" s="13"/>
      <c r="AL16394" s="13"/>
    </row>
    <row r="16395" spans="4:39" x14ac:dyDescent="0.3">
      <c r="D16395" s="1"/>
      <c r="G16395" s="13"/>
      <c r="AL16395" s="13"/>
    </row>
    <row r="16396" spans="4:39" x14ac:dyDescent="0.3">
      <c r="D16396" s="1"/>
      <c r="G16396" s="13"/>
      <c r="AL16396" s="13"/>
      <c r="AM16396" s="14"/>
    </row>
    <row r="16397" spans="4:39" x14ac:dyDescent="0.3">
      <c r="D16397" s="1"/>
      <c r="G16397" s="13"/>
      <c r="AL16397" s="13"/>
    </row>
    <row r="16398" spans="4:39" x14ac:dyDescent="0.3">
      <c r="D16398" s="1"/>
      <c r="G16398" s="13"/>
      <c r="AL16398" s="13"/>
    </row>
    <row r="16399" spans="4:39" x14ac:dyDescent="0.3">
      <c r="D16399" s="1"/>
      <c r="G16399" s="13"/>
      <c r="AL16399" s="13"/>
      <c r="AM16399" s="14"/>
    </row>
    <row r="16400" spans="4:39" x14ac:dyDescent="0.3">
      <c r="D16400" s="1"/>
      <c r="G16400" s="13"/>
      <c r="AL16400" s="13"/>
      <c r="AM16400" s="14"/>
    </row>
    <row r="16401" spans="4:39" x14ac:dyDescent="0.3">
      <c r="D16401" s="1"/>
      <c r="G16401" s="13"/>
      <c r="AL16401" s="13"/>
      <c r="AM16401" s="14"/>
    </row>
    <row r="16402" spans="4:39" x14ac:dyDescent="0.3">
      <c r="D16402" s="1"/>
      <c r="G16402" s="13"/>
      <c r="AL16402" s="13"/>
      <c r="AM16402" s="14"/>
    </row>
    <row r="16403" spans="4:39" x14ac:dyDescent="0.3">
      <c r="D16403" s="1"/>
      <c r="G16403" s="13"/>
      <c r="AL16403" s="13"/>
      <c r="AM16403" s="14"/>
    </row>
    <row r="16404" spans="4:39" x14ac:dyDescent="0.3">
      <c r="D16404" s="1"/>
      <c r="G16404" s="13"/>
      <c r="AL16404" s="13"/>
      <c r="AM16404" s="14"/>
    </row>
    <row r="16405" spans="4:39" x14ac:dyDescent="0.3">
      <c r="D16405" s="1"/>
      <c r="G16405" s="13"/>
      <c r="AL16405" s="13"/>
      <c r="AM16405" s="14"/>
    </row>
    <row r="16406" spans="4:39" x14ac:dyDescent="0.3">
      <c r="D16406" s="1"/>
      <c r="G16406" s="13"/>
      <c r="AL16406" s="13"/>
      <c r="AM16406" s="14"/>
    </row>
    <row r="16407" spans="4:39" x14ac:dyDescent="0.3">
      <c r="D16407" s="1"/>
      <c r="G16407" s="13"/>
      <c r="AL16407" s="13"/>
      <c r="AM16407" s="14"/>
    </row>
    <row r="16408" spans="4:39" x14ac:dyDescent="0.3">
      <c r="D16408" s="1"/>
      <c r="G16408" s="13"/>
      <c r="AL16408" s="13"/>
      <c r="AM16408" s="14"/>
    </row>
    <row r="16409" spans="4:39" x14ac:dyDescent="0.3">
      <c r="D16409" s="1"/>
      <c r="G16409" s="13"/>
      <c r="AL16409" s="13"/>
      <c r="AM16409" s="14"/>
    </row>
    <row r="16410" spans="4:39" x14ac:dyDescent="0.3">
      <c r="D16410" s="1"/>
      <c r="G16410" s="13"/>
      <c r="AL16410" s="13"/>
      <c r="AM16410" s="14"/>
    </row>
    <row r="16411" spans="4:39" x14ac:dyDescent="0.3">
      <c r="D16411" s="1"/>
      <c r="G16411" s="13"/>
      <c r="AL16411" s="13"/>
      <c r="AM16411" s="14"/>
    </row>
    <row r="16412" spans="4:39" x14ac:dyDescent="0.3">
      <c r="D16412" s="1"/>
      <c r="G16412" s="13"/>
      <c r="AL16412" s="13"/>
    </row>
    <row r="16413" spans="4:39" x14ac:dyDescent="0.3">
      <c r="D16413" s="1"/>
      <c r="G16413" s="13"/>
      <c r="AL16413" s="13"/>
    </row>
    <row r="16414" spans="4:39" x14ac:dyDescent="0.3">
      <c r="D16414" s="1"/>
      <c r="G16414" s="13"/>
      <c r="AL16414" s="13"/>
    </row>
    <row r="16415" spans="4:39" x14ac:dyDescent="0.3">
      <c r="D16415" s="1"/>
      <c r="G16415" s="13"/>
      <c r="AL16415" s="13"/>
    </row>
    <row r="16416" spans="4:39" x14ac:dyDescent="0.3">
      <c r="D16416" s="1"/>
      <c r="G16416" s="13"/>
      <c r="AL16416" s="13"/>
    </row>
    <row r="16417" spans="4:39" x14ac:dyDescent="0.3">
      <c r="D16417" s="1"/>
      <c r="G16417" s="13"/>
      <c r="AL16417" s="13"/>
    </row>
    <row r="16418" spans="4:39" x14ac:dyDescent="0.3">
      <c r="D16418" s="1"/>
      <c r="G16418" s="13"/>
      <c r="AL16418" s="13"/>
    </row>
    <row r="16419" spans="4:39" x14ac:dyDescent="0.3">
      <c r="D16419" s="1"/>
      <c r="G16419" s="13"/>
      <c r="AL16419" s="13"/>
    </row>
    <row r="16420" spans="4:39" x14ac:dyDescent="0.3">
      <c r="D16420" s="1"/>
      <c r="G16420" s="13"/>
      <c r="AL16420" s="13"/>
    </row>
    <row r="16421" spans="4:39" x14ac:dyDescent="0.3">
      <c r="D16421" s="1"/>
      <c r="G16421" s="13"/>
      <c r="AL16421" s="13"/>
    </row>
    <row r="16422" spans="4:39" x14ac:dyDescent="0.3">
      <c r="D16422" s="1"/>
      <c r="G16422" s="13"/>
      <c r="AL16422" s="13"/>
    </row>
    <row r="16423" spans="4:39" x14ac:dyDescent="0.3">
      <c r="D16423" s="1"/>
      <c r="G16423" s="13"/>
      <c r="AL16423" s="13"/>
      <c r="AM16423" s="14"/>
    </row>
    <row r="16424" spans="4:39" x14ac:dyDescent="0.3">
      <c r="D16424" s="1"/>
      <c r="G16424" s="13"/>
      <c r="AL16424" s="13"/>
    </row>
    <row r="16425" spans="4:39" x14ac:dyDescent="0.3">
      <c r="D16425" s="1"/>
      <c r="G16425" s="13"/>
      <c r="AL16425" s="13"/>
      <c r="AM16425" s="14"/>
    </row>
    <row r="16426" spans="4:39" x14ac:dyDescent="0.3">
      <c r="D16426" s="1"/>
      <c r="G16426" s="13"/>
      <c r="AL16426" s="13"/>
      <c r="AM16426" s="14"/>
    </row>
    <row r="16427" spans="4:39" x14ac:dyDescent="0.3">
      <c r="D16427" s="1"/>
      <c r="G16427" s="13"/>
      <c r="AL16427" s="13"/>
      <c r="AM16427" s="14"/>
    </row>
    <row r="16428" spans="4:39" x14ac:dyDescent="0.3">
      <c r="D16428" s="1"/>
      <c r="G16428" s="13"/>
      <c r="AL16428" s="13"/>
      <c r="AM16428" s="14"/>
    </row>
    <row r="16429" spans="4:39" x14ac:dyDescent="0.3">
      <c r="D16429" s="1"/>
      <c r="G16429" s="13"/>
      <c r="AL16429" s="13"/>
    </row>
    <row r="16430" spans="4:39" x14ac:dyDescent="0.3">
      <c r="D16430" s="1"/>
      <c r="G16430" s="13"/>
      <c r="AL16430" s="13"/>
    </row>
    <row r="16431" spans="4:39" x14ac:dyDescent="0.3">
      <c r="D16431" s="1"/>
      <c r="G16431" s="13"/>
      <c r="AL16431" s="13"/>
    </row>
    <row r="16432" spans="4:39" x14ac:dyDescent="0.3">
      <c r="D16432" s="1"/>
      <c r="G16432" s="13"/>
      <c r="AL16432" s="13"/>
    </row>
    <row r="16433" spans="4:38" x14ac:dyDescent="0.3">
      <c r="D16433" s="1"/>
      <c r="G16433" s="13"/>
      <c r="AL16433" s="13"/>
    </row>
    <row r="16434" spans="4:38" x14ac:dyDescent="0.3">
      <c r="D16434" s="1"/>
      <c r="G16434" s="13"/>
      <c r="AL16434" s="13"/>
    </row>
    <row r="16435" spans="4:38" x14ac:dyDescent="0.3">
      <c r="D16435" s="1"/>
      <c r="G16435" s="13"/>
      <c r="AL16435" s="13"/>
    </row>
    <row r="16436" spans="4:38" x14ac:dyDescent="0.3">
      <c r="D16436" s="1"/>
      <c r="G16436" s="13"/>
      <c r="AL16436" s="13"/>
    </row>
    <row r="16437" spans="4:38" x14ac:dyDescent="0.3">
      <c r="D16437" s="1"/>
      <c r="G16437" s="13"/>
      <c r="AL16437" s="13"/>
    </row>
    <row r="16438" spans="4:38" x14ac:dyDescent="0.3">
      <c r="D16438" s="1"/>
      <c r="G16438" s="13"/>
      <c r="AL16438" s="13"/>
    </row>
    <row r="16439" spans="4:38" x14ac:dyDescent="0.3">
      <c r="D16439" s="1"/>
      <c r="G16439" s="13"/>
      <c r="AL16439" s="13"/>
    </row>
    <row r="16440" spans="4:38" x14ac:dyDescent="0.3">
      <c r="D16440" s="1"/>
      <c r="G16440" s="13"/>
      <c r="AL16440" s="13"/>
    </row>
    <row r="16441" spans="4:38" x14ac:dyDescent="0.3">
      <c r="D16441" s="1"/>
      <c r="G16441" s="13"/>
      <c r="AL16441" s="13"/>
    </row>
    <row r="16442" spans="4:38" x14ac:dyDescent="0.3">
      <c r="D16442" s="1"/>
      <c r="G16442" s="13"/>
      <c r="AL16442" s="13"/>
    </row>
    <row r="16443" spans="4:38" x14ac:dyDescent="0.3">
      <c r="D16443" s="1"/>
      <c r="G16443" s="13"/>
      <c r="AL16443" s="13"/>
    </row>
    <row r="16444" spans="4:38" x14ac:dyDescent="0.3">
      <c r="D16444" s="1"/>
      <c r="G16444" s="13"/>
      <c r="AL16444" s="13"/>
    </row>
    <row r="16445" spans="4:38" x14ac:dyDescent="0.3">
      <c r="D16445" s="1"/>
      <c r="G16445" s="13"/>
      <c r="AL16445" s="13"/>
    </row>
    <row r="16446" spans="4:38" x14ac:dyDescent="0.3">
      <c r="D16446" s="1"/>
      <c r="G16446" s="13"/>
      <c r="AL16446" s="13"/>
    </row>
    <row r="16447" spans="4:38" x14ac:dyDescent="0.3">
      <c r="D16447" s="1"/>
      <c r="G16447" s="13"/>
      <c r="AL16447" s="13"/>
    </row>
    <row r="16448" spans="4:38" x14ac:dyDescent="0.3">
      <c r="D16448" s="1"/>
      <c r="G16448" s="13"/>
      <c r="AL16448" s="13"/>
    </row>
    <row r="16449" spans="4:38" x14ac:dyDescent="0.3">
      <c r="D16449" s="1"/>
      <c r="G16449" s="13"/>
      <c r="AL16449" s="13"/>
    </row>
    <row r="16450" spans="4:38" x14ac:dyDescent="0.3">
      <c r="D16450" s="1"/>
      <c r="G16450" s="13"/>
      <c r="AL16450" s="13"/>
    </row>
    <row r="16451" spans="4:38" x14ac:dyDescent="0.3">
      <c r="D16451" s="1"/>
      <c r="G16451" s="13"/>
      <c r="AL16451" s="13"/>
    </row>
    <row r="16452" spans="4:38" x14ac:dyDescent="0.3">
      <c r="D16452" s="1"/>
      <c r="G16452" s="13"/>
      <c r="AL16452" s="13"/>
    </row>
    <row r="16453" spans="4:38" x14ac:dyDescent="0.3">
      <c r="D16453" s="1"/>
      <c r="G16453" s="13"/>
      <c r="AL16453" s="13"/>
    </row>
    <row r="16454" spans="4:38" x14ac:dyDescent="0.3">
      <c r="D16454" s="1"/>
      <c r="G16454" s="13"/>
      <c r="AL16454" s="13"/>
    </row>
    <row r="16455" spans="4:38" x14ac:dyDescent="0.3">
      <c r="D16455" s="1"/>
      <c r="G16455" s="13"/>
      <c r="AL16455" s="13"/>
    </row>
    <row r="16456" spans="4:38" x14ac:dyDescent="0.3">
      <c r="D16456" s="1"/>
      <c r="G16456" s="13"/>
      <c r="AL16456" s="13"/>
    </row>
    <row r="16457" spans="4:38" x14ac:dyDescent="0.3">
      <c r="D16457" s="1"/>
      <c r="G16457" s="13"/>
      <c r="AL16457" s="13"/>
    </row>
    <row r="16458" spans="4:38" x14ac:dyDescent="0.3">
      <c r="D16458" s="1"/>
      <c r="G16458" s="13"/>
      <c r="AL16458" s="13"/>
    </row>
    <row r="16459" spans="4:38" x14ac:dyDescent="0.3">
      <c r="D16459" s="1"/>
      <c r="G16459" s="13"/>
      <c r="AL16459" s="13"/>
    </row>
    <row r="16460" spans="4:38" x14ac:dyDescent="0.3">
      <c r="D16460" s="1"/>
      <c r="G16460" s="13"/>
      <c r="AL16460" s="13"/>
    </row>
    <row r="16461" spans="4:38" x14ac:dyDescent="0.3">
      <c r="D16461" s="1"/>
      <c r="G16461" s="13"/>
      <c r="AL16461" s="13"/>
    </row>
    <row r="16462" spans="4:38" x14ac:dyDescent="0.3">
      <c r="D16462" s="1"/>
      <c r="G16462" s="13"/>
      <c r="AL16462" s="13"/>
    </row>
    <row r="16463" spans="4:38" x14ac:dyDescent="0.3">
      <c r="D16463" s="1"/>
      <c r="G16463" s="13"/>
      <c r="AL16463" s="13"/>
    </row>
    <row r="16464" spans="4:38" x14ac:dyDescent="0.3">
      <c r="D16464" s="1"/>
      <c r="G16464" s="13"/>
      <c r="AL16464" s="13"/>
    </row>
    <row r="16465" spans="4:39" x14ac:dyDescent="0.3">
      <c r="D16465" s="1"/>
      <c r="G16465" s="13"/>
      <c r="AL16465" s="13"/>
    </row>
    <row r="16466" spans="4:39" x14ac:dyDescent="0.3">
      <c r="D16466" s="1"/>
      <c r="G16466" s="13"/>
      <c r="AL16466" s="13"/>
    </row>
    <row r="16467" spans="4:39" x14ac:dyDescent="0.3">
      <c r="D16467" s="1"/>
      <c r="G16467" s="13"/>
      <c r="AL16467" s="13"/>
    </row>
    <row r="16468" spans="4:39" x14ac:dyDescent="0.3">
      <c r="D16468" s="1"/>
      <c r="G16468" s="13"/>
      <c r="AL16468" s="13"/>
      <c r="AM16468" s="14"/>
    </row>
    <row r="16469" spans="4:39" x14ac:dyDescent="0.3">
      <c r="D16469" s="1"/>
      <c r="G16469" s="13"/>
      <c r="AL16469" s="13"/>
      <c r="AM16469" s="14"/>
    </row>
    <row r="16470" spans="4:39" x14ac:dyDescent="0.3">
      <c r="D16470" s="1"/>
      <c r="G16470" s="13"/>
      <c r="AL16470" s="13"/>
    </row>
    <row r="16471" spans="4:39" x14ac:dyDescent="0.3">
      <c r="D16471" s="1"/>
      <c r="G16471" s="13"/>
      <c r="AL16471" s="13"/>
    </row>
    <row r="16472" spans="4:39" x14ac:dyDescent="0.3">
      <c r="D16472" s="1"/>
      <c r="G16472" s="13"/>
      <c r="AL16472" s="13"/>
      <c r="AM16472" s="14"/>
    </row>
    <row r="16473" spans="4:39" x14ac:dyDescent="0.3">
      <c r="D16473" s="1"/>
      <c r="G16473" s="13"/>
      <c r="AL16473" s="13"/>
      <c r="AM16473" s="14"/>
    </row>
    <row r="16474" spans="4:39" x14ac:dyDescent="0.3">
      <c r="D16474" s="1"/>
      <c r="G16474" s="13"/>
      <c r="AL16474" s="13"/>
    </row>
    <row r="16475" spans="4:39" x14ac:dyDescent="0.3">
      <c r="D16475" s="1"/>
      <c r="G16475" s="13"/>
      <c r="AL16475" s="13"/>
    </row>
    <row r="16476" spans="4:39" x14ac:dyDescent="0.3">
      <c r="D16476" s="1"/>
      <c r="G16476" s="13"/>
      <c r="AL16476" s="13"/>
      <c r="AM16476" s="14"/>
    </row>
    <row r="16477" spans="4:39" x14ac:dyDescent="0.3">
      <c r="D16477" s="1"/>
      <c r="G16477" s="13"/>
      <c r="AL16477" s="13"/>
      <c r="AM16477" s="14"/>
    </row>
    <row r="16478" spans="4:39" x14ac:dyDescent="0.3">
      <c r="D16478" s="1"/>
      <c r="G16478" s="13"/>
      <c r="AL16478" s="13"/>
    </row>
    <row r="16479" spans="4:39" x14ac:dyDescent="0.3">
      <c r="D16479" s="1"/>
      <c r="G16479" s="13"/>
      <c r="AL16479" s="13"/>
      <c r="AM16479" s="14"/>
    </row>
    <row r="16480" spans="4:39" x14ac:dyDescent="0.3">
      <c r="D16480" s="1"/>
      <c r="G16480" s="13"/>
      <c r="AL16480" s="13"/>
      <c r="AM16480" s="14"/>
    </row>
    <row r="16481" spans="4:39" x14ac:dyDescent="0.3">
      <c r="D16481" s="1"/>
      <c r="G16481" s="13"/>
      <c r="AL16481" s="13"/>
      <c r="AM16481" s="14"/>
    </row>
    <row r="16482" spans="4:39" x14ac:dyDescent="0.3">
      <c r="D16482" s="1"/>
      <c r="G16482" s="13"/>
      <c r="AL16482" s="13"/>
      <c r="AM16482" s="14"/>
    </row>
    <row r="16483" spans="4:39" x14ac:dyDescent="0.3">
      <c r="D16483" s="1"/>
      <c r="G16483" s="13"/>
      <c r="AL16483" s="13"/>
      <c r="AM16483" s="14"/>
    </row>
    <row r="16484" spans="4:39" x14ac:dyDescent="0.3">
      <c r="D16484" s="1"/>
      <c r="G16484" s="13"/>
      <c r="AL16484" s="13"/>
      <c r="AM16484" s="14"/>
    </row>
    <row r="16485" spans="4:39" x14ac:dyDescent="0.3">
      <c r="D16485" s="1"/>
      <c r="G16485" s="13"/>
      <c r="AL16485" s="13"/>
      <c r="AM16485" s="14"/>
    </row>
    <row r="16486" spans="4:39" x14ac:dyDescent="0.3">
      <c r="D16486" s="1"/>
      <c r="G16486" s="13"/>
      <c r="AL16486" s="13"/>
      <c r="AM16486" s="14"/>
    </row>
    <row r="16487" spans="4:39" x14ac:dyDescent="0.3">
      <c r="D16487" s="1"/>
      <c r="G16487" s="13"/>
      <c r="AL16487" s="13"/>
    </row>
    <row r="16488" spans="4:39" x14ac:dyDescent="0.3">
      <c r="D16488" s="1"/>
      <c r="G16488" s="13"/>
      <c r="AL16488" s="13"/>
    </row>
    <row r="16489" spans="4:39" x14ac:dyDescent="0.3">
      <c r="D16489" s="1"/>
      <c r="G16489" s="13"/>
      <c r="AL16489" s="13"/>
    </row>
    <row r="16490" spans="4:39" x14ac:dyDescent="0.3">
      <c r="D16490" s="1"/>
      <c r="G16490" s="13"/>
      <c r="AL16490" s="13"/>
    </row>
    <row r="16491" spans="4:39" x14ac:dyDescent="0.3">
      <c r="D16491" s="1"/>
      <c r="G16491" s="13"/>
      <c r="AL16491" s="13"/>
    </row>
    <row r="16492" spans="4:39" x14ac:dyDescent="0.3">
      <c r="D16492" s="1"/>
      <c r="G16492" s="13"/>
      <c r="AL16492" s="13"/>
    </row>
    <row r="16493" spans="4:39" x14ac:dyDescent="0.3">
      <c r="D16493" s="1"/>
      <c r="G16493" s="13"/>
      <c r="AL16493" s="13"/>
    </row>
    <row r="16494" spans="4:39" x14ac:dyDescent="0.3">
      <c r="D16494" s="1"/>
      <c r="G16494" s="13"/>
      <c r="AL16494" s="13"/>
    </row>
    <row r="16495" spans="4:39" x14ac:dyDescent="0.3">
      <c r="D16495" s="1"/>
      <c r="G16495" s="13"/>
      <c r="AL16495" s="13"/>
    </row>
    <row r="16496" spans="4:39" x14ac:dyDescent="0.3">
      <c r="D16496" s="1"/>
      <c r="G16496" s="13"/>
      <c r="AL16496" s="13"/>
    </row>
    <row r="16497" spans="4:39" x14ac:dyDescent="0.3">
      <c r="D16497" s="1"/>
      <c r="G16497" s="13"/>
      <c r="AL16497" s="13"/>
    </row>
    <row r="16498" spans="4:39" x14ac:dyDescent="0.3">
      <c r="D16498" s="1"/>
      <c r="G16498" s="13"/>
      <c r="AL16498" s="13"/>
      <c r="AM16498" s="14"/>
    </row>
    <row r="16499" spans="4:39" x14ac:dyDescent="0.3">
      <c r="D16499" s="1"/>
      <c r="G16499" s="13"/>
      <c r="AL16499" s="13"/>
    </row>
    <row r="16500" spans="4:39" x14ac:dyDescent="0.3">
      <c r="D16500" s="1"/>
      <c r="G16500" s="13"/>
      <c r="AL16500" s="13"/>
      <c r="AM16500" s="14"/>
    </row>
    <row r="16501" spans="4:39" x14ac:dyDescent="0.3">
      <c r="D16501" s="1"/>
      <c r="G16501" s="13"/>
      <c r="AL16501" s="13"/>
    </row>
    <row r="16502" spans="4:39" x14ac:dyDescent="0.3">
      <c r="D16502" s="1"/>
      <c r="G16502" s="13"/>
      <c r="AL16502" s="13"/>
    </row>
    <row r="16503" spans="4:39" x14ac:dyDescent="0.3">
      <c r="D16503" s="1"/>
      <c r="G16503" s="13"/>
      <c r="AL16503" s="13"/>
    </row>
    <row r="16504" spans="4:39" x14ac:dyDescent="0.3">
      <c r="D16504" s="1"/>
      <c r="G16504" s="13"/>
      <c r="AL16504" s="13"/>
    </row>
    <row r="16505" spans="4:39" x14ac:dyDescent="0.3">
      <c r="D16505" s="1"/>
      <c r="G16505" s="13"/>
      <c r="AL16505" s="13"/>
    </row>
    <row r="16506" spans="4:39" x14ac:dyDescent="0.3">
      <c r="D16506" s="1"/>
      <c r="G16506" s="13"/>
      <c r="AL16506" s="13"/>
    </row>
    <row r="16507" spans="4:39" x14ac:dyDescent="0.3">
      <c r="D16507" s="1"/>
      <c r="G16507" s="13"/>
      <c r="AL16507" s="13"/>
    </row>
    <row r="16508" spans="4:39" x14ac:dyDescent="0.3">
      <c r="D16508" s="1"/>
      <c r="G16508" s="13"/>
      <c r="AL16508" s="13"/>
      <c r="AM16508" s="14"/>
    </row>
    <row r="16509" spans="4:39" x14ac:dyDescent="0.3">
      <c r="D16509" s="1"/>
      <c r="G16509" s="13"/>
      <c r="AL16509" s="13"/>
    </row>
    <row r="16510" spans="4:39" x14ac:dyDescent="0.3">
      <c r="D16510" s="1"/>
      <c r="G16510" s="13"/>
      <c r="AL16510" s="13"/>
    </row>
    <row r="16511" spans="4:39" x14ac:dyDescent="0.3">
      <c r="D16511" s="1"/>
      <c r="G16511" s="13"/>
      <c r="AL16511" s="13"/>
    </row>
    <row r="16512" spans="4:39" x14ac:dyDescent="0.3">
      <c r="D16512" s="1"/>
      <c r="G16512" s="13"/>
      <c r="AL16512" s="13"/>
    </row>
    <row r="16513" spans="4:38" x14ac:dyDescent="0.3">
      <c r="D16513" s="1"/>
      <c r="G16513" s="13"/>
      <c r="AL16513" s="13"/>
    </row>
    <row r="16514" spans="4:38" x14ac:dyDescent="0.3">
      <c r="D16514" s="1"/>
      <c r="G16514" s="13"/>
      <c r="AL16514" s="13"/>
    </row>
    <row r="16515" spans="4:38" x14ac:dyDescent="0.3">
      <c r="D16515" s="1"/>
      <c r="G16515" s="13"/>
      <c r="AL16515" s="13"/>
    </row>
    <row r="16516" spans="4:38" x14ac:dyDescent="0.3">
      <c r="D16516" s="1"/>
      <c r="G16516" s="13"/>
      <c r="AL16516" s="13"/>
    </row>
    <row r="16517" spans="4:38" x14ac:dyDescent="0.3">
      <c r="D16517" s="1"/>
      <c r="G16517" s="13"/>
      <c r="AL16517" s="13"/>
    </row>
    <row r="16518" spans="4:38" x14ac:dyDescent="0.3">
      <c r="D16518" s="1"/>
      <c r="G16518" s="13"/>
      <c r="AL16518" s="13"/>
    </row>
    <row r="16519" spans="4:38" x14ac:dyDescent="0.3">
      <c r="D16519" s="1"/>
      <c r="G16519" s="13"/>
      <c r="AL16519" s="13"/>
    </row>
    <row r="16520" spans="4:38" x14ac:dyDescent="0.3">
      <c r="D16520" s="1"/>
      <c r="G16520" s="13"/>
      <c r="AL16520" s="13"/>
    </row>
    <row r="16521" spans="4:38" x14ac:dyDescent="0.3">
      <c r="D16521" s="1"/>
      <c r="G16521" s="13"/>
      <c r="AL16521" s="13"/>
    </row>
    <row r="16522" spans="4:38" x14ac:dyDescent="0.3">
      <c r="D16522" s="1"/>
      <c r="G16522" s="13"/>
      <c r="AL16522" s="13"/>
    </row>
    <row r="16523" spans="4:38" x14ac:dyDescent="0.3">
      <c r="D16523" s="1"/>
      <c r="G16523" s="13"/>
      <c r="AL16523" s="13"/>
    </row>
    <row r="16524" spans="4:38" x14ac:dyDescent="0.3">
      <c r="D16524" s="1"/>
      <c r="G16524" s="13"/>
      <c r="AL16524" s="13"/>
    </row>
    <row r="16525" spans="4:38" x14ac:dyDescent="0.3">
      <c r="D16525" s="1"/>
      <c r="G16525" s="13"/>
      <c r="AL16525" s="13"/>
    </row>
    <row r="16526" spans="4:38" x14ac:dyDescent="0.3">
      <c r="D16526" s="1"/>
      <c r="G16526" s="13"/>
      <c r="AL16526" s="13"/>
    </row>
    <row r="16527" spans="4:38" x14ac:dyDescent="0.3">
      <c r="D16527" s="1"/>
      <c r="G16527" s="13"/>
      <c r="AL16527" s="13"/>
    </row>
    <row r="16528" spans="4:38" x14ac:dyDescent="0.3">
      <c r="D16528" s="1"/>
      <c r="G16528" s="13"/>
      <c r="AL16528" s="13"/>
    </row>
    <row r="16529" spans="4:38" x14ac:dyDescent="0.3">
      <c r="D16529" s="1"/>
      <c r="G16529" s="13"/>
      <c r="AL16529" s="13"/>
    </row>
    <row r="16530" spans="4:38" x14ac:dyDescent="0.3">
      <c r="D16530" s="1"/>
      <c r="G16530" s="13"/>
      <c r="AL16530" s="13"/>
    </row>
    <row r="16531" spans="4:38" x14ac:dyDescent="0.3">
      <c r="D16531" s="1"/>
      <c r="G16531" s="13"/>
      <c r="AL16531" s="13"/>
    </row>
    <row r="16532" spans="4:38" x14ac:dyDescent="0.3">
      <c r="D16532" s="1"/>
      <c r="G16532" s="13"/>
      <c r="AL16532" s="13"/>
    </row>
    <row r="16533" spans="4:38" x14ac:dyDescent="0.3">
      <c r="D16533" s="1"/>
      <c r="G16533" s="13"/>
      <c r="AL16533" s="13"/>
    </row>
    <row r="16534" spans="4:38" x14ac:dyDescent="0.3">
      <c r="D16534" s="1"/>
      <c r="G16534" s="13"/>
      <c r="AL16534" s="13"/>
    </row>
    <row r="16535" spans="4:38" x14ac:dyDescent="0.3">
      <c r="D16535" s="1"/>
      <c r="G16535" s="13"/>
      <c r="AL16535" s="13"/>
    </row>
    <row r="16536" spans="4:38" x14ac:dyDescent="0.3">
      <c r="D16536" s="1"/>
      <c r="G16536" s="13"/>
      <c r="AL16536" s="13"/>
    </row>
    <row r="16537" spans="4:38" x14ac:dyDescent="0.3">
      <c r="D16537" s="1"/>
      <c r="G16537" s="13"/>
      <c r="AL16537" s="13"/>
    </row>
    <row r="16538" spans="4:38" x14ac:dyDescent="0.3">
      <c r="D16538" s="1"/>
      <c r="G16538" s="13"/>
      <c r="AL16538" s="13"/>
    </row>
    <row r="16539" spans="4:38" x14ac:dyDescent="0.3">
      <c r="D16539" s="1"/>
      <c r="G16539" s="13"/>
      <c r="AL16539" s="13"/>
    </row>
    <row r="16540" spans="4:38" x14ac:dyDescent="0.3">
      <c r="D16540" s="1"/>
      <c r="G16540" s="13"/>
      <c r="AL16540" s="13"/>
    </row>
    <row r="16541" spans="4:38" x14ac:dyDescent="0.3">
      <c r="D16541" s="1"/>
      <c r="G16541" s="13"/>
      <c r="AL16541" s="13"/>
    </row>
    <row r="16542" spans="4:38" x14ac:dyDescent="0.3">
      <c r="D16542" s="1"/>
      <c r="G16542" s="13"/>
      <c r="AL16542" s="13"/>
    </row>
    <row r="16543" spans="4:38" x14ac:dyDescent="0.3">
      <c r="D16543" s="1"/>
      <c r="G16543" s="13"/>
      <c r="AL16543" s="13"/>
    </row>
    <row r="16544" spans="4:38" x14ac:dyDescent="0.3">
      <c r="D16544" s="1"/>
      <c r="G16544" s="13"/>
      <c r="AL16544" s="13"/>
    </row>
    <row r="16545" spans="4:38" x14ac:dyDescent="0.3">
      <c r="D16545" s="1"/>
      <c r="G16545" s="13"/>
      <c r="AL16545" s="13"/>
    </row>
    <row r="16546" spans="4:38" x14ac:dyDescent="0.3">
      <c r="D16546" s="1"/>
      <c r="G16546" s="13"/>
      <c r="AL16546" s="13"/>
    </row>
    <row r="16547" spans="4:38" x14ac:dyDescent="0.3">
      <c r="D16547" s="1"/>
      <c r="G16547" s="13"/>
      <c r="AL16547" s="13"/>
    </row>
    <row r="16548" spans="4:38" x14ac:dyDescent="0.3">
      <c r="D16548" s="1"/>
      <c r="G16548" s="13"/>
      <c r="AL16548" s="13"/>
    </row>
    <row r="16549" spans="4:38" x14ac:dyDescent="0.3">
      <c r="D16549" s="1"/>
      <c r="G16549" s="13"/>
      <c r="AL16549" s="13"/>
    </row>
    <row r="16550" spans="4:38" x14ac:dyDescent="0.3">
      <c r="D16550" s="1"/>
      <c r="G16550" s="13"/>
      <c r="AL16550" s="13"/>
    </row>
    <row r="16551" spans="4:38" x14ac:dyDescent="0.3">
      <c r="D16551" s="1"/>
      <c r="G16551" s="13"/>
      <c r="AL16551" s="13"/>
    </row>
    <row r="16552" spans="4:38" x14ac:dyDescent="0.3">
      <c r="D16552" s="1"/>
      <c r="G16552" s="13"/>
      <c r="AL16552" s="13"/>
    </row>
    <row r="16553" spans="4:38" x14ac:dyDescent="0.3">
      <c r="D16553" s="1"/>
      <c r="G16553" s="13"/>
      <c r="AL16553" s="13"/>
    </row>
    <row r="16554" spans="4:38" x14ac:dyDescent="0.3">
      <c r="D16554" s="1"/>
      <c r="G16554" s="13"/>
      <c r="AL16554" s="13"/>
    </row>
    <row r="16555" spans="4:38" x14ac:dyDescent="0.3">
      <c r="D16555" s="1"/>
      <c r="G16555" s="13"/>
      <c r="AL16555" s="13"/>
    </row>
    <row r="16556" spans="4:38" x14ac:dyDescent="0.3">
      <c r="D16556" s="1"/>
      <c r="G16556" s="13"/>
      <c r="AL16556" s="13"/>
    </row>
    <row r="16557" spans="4:38" x14ac:dyDescent="0.3">
      <c r="D16557" s="1"/>
      <c r="G16557" s="13"/>
      <c r="AL16557" s="13"/>
    </row>
    <row r="16558" spans="4:38" x14ac:dyDescent="0.3">
      <c r="D16558" s="1"/>
      <c r="G16558" s="13"/>
      <c r="AL16558" s="13"/>
    </row>
    <row r="16559" spans="4:38" x14ac:dyDescent="0.3">
      <c r="D16559" s="1"/>
      <c r="G16559" s="13"/>
      <c r="AL16559" s="13"/>
    </row>
    <row r="16560" spans="4:38" x14ac:dyDescent="0.3">
      <c r="D16560" s="1"/>
      <c r="G16560" s="13"/>
      <c r="AL16560" s="13"/>
    </row>
    <row r="16561" spans="4:38" x14ac:dyDescent="0.3">
      <c r="D16561" s="1"/>
      <c r="G16561" s="13"/>
      <c r="AL16561" s="13"/>
    </row>
    <row r="16562" spans="4:38" x14ac:dyDescent="0.3">
      <c r="D16562" s="1"/>
      <c r="G16562" s="13"/>
      <c r="AL16562" s="13"/>
    </row>
    <row r="16563" spans="4:38" x14ac:dyDescent="0.3">
      <c r="D16563" s="1"/>
      <c r="G16563" s="13"/>
      <c r="AL16563" s="13"/>
    </row>
    <row r="16564" spans="4:38" x14ac:dyDescent="0.3">
      <c r="D16564" s="1"/>
      <c r="G16564" s="13"/>
      <c r="AL16564" s="13"/>
    </row>
    <row r="16565" spans="4:38" x14ac:dyDescent="0.3">
      <c r="D16565" s="1"/>
      <c r="G16565" s="13"/>
      <c r="AL16565" s="13"/>
    </row>
    <row r="16566" spans="4:38" x14ac:dyDescent="0.3">
      <c r="D16566" s="1"/>
      <c r="G16566" s="13"/>
      <c r="AL16566" s="13"/>
    </row>
    <row r="16567" spans="4:38" x14ac:dyDescent="0.3">
      <c r="D16567" s="1"/>
      <c r="G16567" s="13"/>
      <c r="AL16567" s="13"/>
    </row>
    <row r="16568" spans="4:38" x14ac:dyDescent="0.3">
      <c r="D16568" s="1"/>
      <c r="G16568" s="13"/>
      <c r="AL16568" s="13"/>
    </row>
    <row r="16569" spans="4:38" x14ac:dyDescent="0.3">
      <c r="D16569" s="1"/>
      <c r="G16569" s="13"/>
      <c r="AL16569" s="13"/>
    </row>
    <row r="16570" spans="4:38" x14ac:dyDescent="0.3">
      <c r="D16570" s="1"/>
      <c r="G16570" s="13"/>
      <c r="AL16570" s="13"/>
    </row>
    <row r="16571" spans="4:38" x14ac:dyDescent="0.3">
      <c r="D16571" s="1"/>
      <c r="G16571" s="13"/>
      <c r="AL16571" s="13"/>
    </row>
    <row r="16572" spans="4:38" x14ac:dyDescent="0.3">
      <c r="D16572" s="1"/>
      <c r="G16572" s="13"/>
      <c r="AL16572" s="13"/>
    </row>
    <row r="16573" spans="4:38" x14ac:dyDescent="0.3">
      <c r="D16573" s="1"/>
      <c r="G16573" s="13"/>
      <c r="AL16573" s="13"/>
    </row>
    <row r="16574" spans="4:38" x14ac:dyDescent="0.3">
      <c r="D16574" s="1"/>
      <c r="G16574" s="13"/>
      <c r="AL16574" s="13"/>
    </row>
    <row r="16575" spans="4:38" x14ac:dyDescent="0.3">
      <c r="D16575" s="1"/>
      <c r="G16575" s="13"/>
      <c r="AL16575" s="13"/>
    </row>
    <row r="16576" spans="4:38" x14ac:dyDescent="0.3">
      <c r="D16576" s="1"/>
      <c r="G16576" s="13"/>
      <c r="AL16576" s="13"/>
    </row>
    <row r="16577" spans="4:39" x14ac:dyDescent="0.3">
      <c r="D16577" s="1"/>
      <c r="G16577" s="13"/>
      <c r="AL16577" s="13"/>
    </row>
    <row r="16578" spans="4:39" x14ac:dyDescent="0.3">
      <c r="D16578" s="1"/>
      <c r="G16578" s="13"/>
      <c r="AL16578" s="13"/>
    </row>
    <row r="16579" spans="4:39" x14ac:dyDescent="0.3">
      <c r="D16579" s="1"/>
      <c r="G16579" s="13"/>
      <c r="AL16579" s="13"/>
      <c r="AM16579" s="14"/>
    </row>
    <row r="16580" spans="4:39" x14ac:dyDescent="0.3">
      <c r="D16580" s="1"/>
      <c r="G16580" s="13"/>
      <c r="AL16580" s="13"/>
    </row>
    <row r="16581" spans="4:39" x14ac:dyDescent="0.3">
      <c r="D16581" s="1"/>
      <c r="G16581" s="13"/>
      <c r="AL16581" s="13"/>
    </row>
    <row r="16582" spans="4:39" x14ac:dyDescent="0.3">
      <c r="D16582" s="1"/>
      <c r="G16582" s="13"/>
      <c r="AL16582" s="13"/>
    </row>
    <row r="16583" spans="4:39" x14ac:dyDescent="0.3">
      <c r="D16583" s="1"/>
      <c r="G16583" s="13"/>
      <c r="AL16583" s="13"/>
    </row>
    <row r="16584" spans="4:39" x14ac:dyDescent="0.3">
      <c r="D16584" s="1"/>
      <c r="G16584" s="13"/>
      <c r="AL16584" s="13"/>
    </row>
    <row r="16585" spans="4:39" x14ac:dyDescent="0.3">
      <c r="D16585" s="1"/>
      <c r="G16585" s="13"/>
      <c r="AL16585" s="13"/>
    </row>
    <row r="16586" spans="4:39" x14ac:dyDescent="0.3">
      <c r="D16586" s="1"/>
      <c r="G16586" s="13"/>
      <c r="AL16586" s="13"/>
    </row>
    <row r="16587" spans="4:39" x14ac:dyDescent="0.3">
      <c r="D16587" s="1"/>
      <c r="G16587" s="13"/>
      <c r="AL16587" s="13"/>
    </row>
    <row r="16588" spans="4:39" x14ac:dyDescent="0.3">
      <c r="D16588" s="1"/>
      <c r="G16588" s="13"/>
      <c r="AL16588" s="13"/>
    </row>
    <row r="16589" spans="4:39" x14ac:dyDescent="0.3">
      <c r="D16589" s="1"/>
      <c r="G16589" s="13"/>
      <c r="AL16589" s="13"/>
    </row>
    <row r="16590" spans="4:39" x14ac:dyDescent="0.3">
      <c r="D16590" s="1"/>
      <c r="G16590" s="13"/>
      <c r="AL16590" s="13"/>
      <c r="AM16590" s="14"/>
    </row>
    <row r="16591" spans="4:39" x14ac:dyDescent="0.3">
      <c r="D16591" s="1"/>
      <c r="G16591" s="13"/>
      <c r="AL16591" s="13"/>
    </row>
    <row r="16592" spans="4:39" x14ac:dyDescent="0.3">
      <c r="D16592" s="1"/>
      <c r="G16592" s="13"/>
      <c r="AL16592" s="13"/>
    </row>
    <row r="16593" spans="4:39" x14ac:dyDescent="0.3">
      <c r="D16593" s="1"/>
      <c r="G16593" s="13"/>
      <c r="AL16593" s="13"/>
    </row>
    <row r="16594" spans="4:39" x14ac:dyDescent="0.3">
      <c r="D16594" s="1"/>
      <c r="G16594" s="13"/>
    </row>
    <row r="16595" spans="4:39" x14ac:dyDescent="0.3">
      <c r="D16595" s="1"/>
      <c r="G16595" s="13"/>
    </row>
    <row r="16596" spans="4:39" x14ac:dyDescent="0.3">
      <c r="D16596" s="1"/>
      <c r="G16596" s="13"/>
    </row>
    <row r="16597" spans="4:39" x14ac:dyDescent="0.3">
      <c r="D16597" s="1"/>
      <c r="G16597" s="13"/>
    </row>
    <row r="16598" spans="4:39" x14ac:dyDescent="0.3">
      <c r="D16598" s="1"/>
      <c r="G16598" s="13"/>
      <c r="AL16598" s="13"/>
    </row>
    <row r="16599" spans="4:39" x14ac:dyDescent="0.3">
      <c r="D16599" s="1"/>
      <c r="G16599" s="13"/>
      <c r="AL16599" s="13"/>
    </row>
    <row r="16600" spans="4:39" x14ac:dyDescent="0.3">
      <c r="D16600" s="1"/>
      <c r="G16600" s="13"/>
      <c r="AL16600" s="13"/>
    </row>
    <row r="16601" spans="4:39" x14ac:dyDescent="0.3">
      <c r="D16601" s="1"/>
      <c r="G16601" s="13"/>
      <c r="AL16601" s="13"/>
    </row>
    <row r="16602" spans="4:39" x14ac:dyDescent="0.3">
      <c r="D16602" s="1"/>
      <c r="G16602" s="13"/>
      <c r="AL16602" s="13"/>
    </row>
    <row r="16603" spans="4:39" x14ac:dyDescent="0.3">
      <c r="D16603" s="1"/>
      <c r="G16603" s="13"/>
      <c r="AL16603" s="13"/>
    </row>
    <row r="16604" spans="4:39" x14ac:dyDescent="0.3">
      <c r="D16604" s="1"/>
      <c r="G16604" s="13"/>
      <c r="AL16604" s="13"/>
    </row>
    <row r="16605" spans="4:39" x14ac:dyDescent="0.3">
      <c r="D16605" s="1"/>
      <c r="G16605" s="13"/>
      <c r="AL16605" s="13"/>
    </row>
    <row r="16606" spans="4:39" x14ac:dyDescent="0.3">
      <c r="D16606" s="1"/>
      <c r="G16606" s="13"/>
      <c r="AL16606" s="13"/>
    </row>
    <row r="16607" spans="4:39" x14ac:dyDescent="0.3">
      <c r="D16607" s="1"/>
      <c r="G16607" s="13"/>
      <c r="AL16607" s="13"/>
      <c r="AM16607" s="14"/>
    </row>
    <row r="16608" spans="4:39" x14ac:dyDescent="0.3">
      <c r="D16608" s="1"/>
      <c r="G16608" s="13"/>
      <c r="AL16608" s="13"/>
    </row>
    <row r="16609" spans="4:39" x14ac:dyDescent="0.3">
      <c r="D16609" s="1"/>
      <c r="G16609" s="13"/>
      <c r="AL16609" s="13"/>
    </row>
    <row r="16610" spans="4:39" x14ac:dyDescent="0.3">
      <c r="D16610" s="1"/>
      <c r="G16610" s="13"/>
      <c r="AL16610" s="13"/>
    </row>
    <row r="16611" spans="4:39" x14ac:dyDescent="0.3">
      <c r="D16611" s="1"/>
      <c r="G16611" s="13"/>
      <c r="AL16611" s="13"/>
    </row>
    <row r="16612" spans="4:39" x14ac:dyDescent="0.3">
      <c r="D16612" s="1"/>
      <c r="G16612" s="13"/>
      <c r="AL16612" s="13"/>
    </row>
    <row r="16613" spans="4:39" x14ac:dyDescent="0.3">
      <c r="D16613" s="1"/>
      <c r="G16613" s="13"/>
      <c r="AL16613" s="13"/>
      <c r="AM16613" s="14"/>
    </row>
    <row r="16614" spans="4:39" x14ac:dyDescent="0.3">
      <c r="D16614" s="1"/>
      <c r="G16614" s="13"/>
      <c r="AL16614" s="13"/>
    </row>
    <row r="16615" spans="4:39" x14ac:dyDescent="0.3">
      <c r="D16615" s="1"/>
      <c r="G16615" s="13"/>
      <c r="AL16615" s="13"/>
      <c r="AM16615" s="14"/>
    </row>
    <row r="16616" spans="4:39" x14ac:dyDescent="0.3">
      <c r="D16616" s="1"/>
      <c r="G16616" s="13"/>
      <c r="AL16616" s="13"/>
    </row>
    <row r="16617" spans="4:39" x14ac:dyDescent="0.3">
      <c r="D16617" s="1"/>
      <c r="G16617" s="13"/>
      <c r="AL16617" s="13"/>
    </row>
    <row r="16618" spans="4:39" x14ac:dyDescent="0.3">
      <c r="D16618" s="1"/>
      <c r="G16618" s="13"/>
      <c r="AL16618" s="13"/>
    </row>
    <row r="16619" spans="4:39" x14ac:dyDescent="0.3">
      <c r="D16619" s="1"/>
      <c r="G16619" s="13"/>
      <c r="AL16619" s="13"/>
      <c r="AM16619" s="14"/>
    </row>
    <row r="16620" spans="4:39" x14ac:dyDescent="0.3">
      <c r="D16620" s="1"/>
      <c r="G16620" s="13"/>
      <c r="AL16620" s="13"/>
      <c r="AM16620" s="14"/>
    </row>
    <row r="16621" spans="4:39" x14ac:dyDescent="0.3">
      <c r="D16621" s="1"/>
      <c r="G16621" s="13"/>
      <c r="AL16621" s="13"/>
    </row>
    <row r="16622" spans="4:39" x14ac:dyDescent="0.3">
      <c r="D16622" s="1"/>
      <c r="G16622" s="13"/>
      <c r="AL16622" s="13"/>
      <c r="AM16622" s="14"/>
    </row>
    <row r="16623" spans="4:39" x14ac:dyDescent="0.3">
      <c r="D16623" s="1"/>
      <c r="G16623" s="13"/>
      <c r="AL16623" s="13"/>
    </row>
    <row r="16624" spans="4:39" x14ac:dyDescent="0.3">
      <c r="D16624" s="1"/>
      <c r="G16624" s="13"/>
      <c r="AL16624" s="13"/>
      <c r="AM16624" s="14"/>
    </row>
    <row r="16625" spans="4:39" x14ac:dyDescent="0.3">
      <c r="D16625" s="1"/>
      <c r="G16625" s="13"/>
      <c r="AL16625" s="13"/>
    </row>
    <row r="16626" spans="4:39" x14ac:dyDescent="0.3">
      <c r="D16626" s="1"/>
      <c r="G16626" s="13"/>
      <c r="AL16626" s="13"/>
      <c r="AM16626" s="14"/>
    </row>
    <row r="16627" spans="4:39" x14ac:dyDescent="0.3">
      <c r="D16627" s="1"/>
      <c r="G16627" s="13"/>
      <c r="AL16627" s="13"/>
      <c r="AM16627" s="14"/>
    </row>
    <row r="16628" spans="4:39" x14ac:dyDescent="0.3">
      <c r="D16628" s="1"/>
      <c r="G16628" s="13"/>
      <c r="AL16628" s="13"/>
      <c r="AM16628" s="14"/>
    </row>
    <row r="16629" spans="4:39" x14ac:dyDescent="0.3">
      <c r="D16629" s="1"/>
      <c r="G16629" s="13"/>
      <c r="AL16629" s="13"/>
      <c r="AM16629" s="14"/>
    </row>
    <row r="16630" spans="4:39" x14ac:dyDescent="0.3">
      <c r="D16630" s="1"/>
      <c r="G16630" s="13"/>
      <c r="AL16630" s="13"/>
      <c r="AM16630" s="14"/>
    </row>
    <row r="16631" spans="4:39" x14ac:dyDescent="0.3">
      <c r="D16631" s="1"/>
      <c r="G16631" s="13"/>
      <c r="AL16631" s="13"/>
      <c r="AM16631" s="14"/>
    </row>
    <row r="16632" spans="4:39" x14ac:dyDescent="0.3">
      <c r="D16632" s="1"/>
      <c r="G16632" s="13"/>
      <c r="AL16632" s="13"/>
    </row>
    <row r="16633" spans="4:39" x14ac:dyDescent="0.3">
      <c r="D16633" s="1"/>
      <c r="G16633" s="13"/>
      <c r="AL16633" s="13"/>
    </row>
    <row r="16634" spans="4:39" x14ac:dyDescent="0.3">
      <c r="D16634" s="1"/>
      <c r="G16634" s="13"/>
      <c r="AL16634" s="13"/>
    </row>
    <row r="16635" spans="4:39" x14ac:dyDescent="0.3">
      <c r="D16635" s="1"/>
      <c r="G16635" s="13"/>
      <c r="AL16635" s="13"/>
    </row>
    <row r="16636" spans="4:39" x14ac:dyDescent="0.3">
      <c r="D16636" s="1"/>
      <c r="G16636" s="13"/>
      <c r="AL16636" s="13"/>
    </row>
    <row r="16637" spans="4:39" x14ac:dyDescent="0.3">
      <c r="D16637" s="1"/>
      <c r="G16637" s="13"/>
      <c r="AL16637" s="13"/>
    </row>
    <row r="16638" spans="4:39" x14ac:dyDescent="0.3">
      <c r="D16638" s="1"/>
      <c r="G16638" s="13"/>
      <c r="AL16638" s="13"/>
    </row>
    <row r="16639" spans="4:39" x14ac:dyDescent="0.3">
      <c r="D16639" s="1"/>
      <c r="G16639" s="13"/>
      <c r="AL16639" s="13"/>
    </row>
    <row r="16640" spans="4:39" x14ac:dyDescent="0.3">
      <c r="D16640" s="1"/>
      <c r="G16640" s="13"/>
      <c r="AL16640" s="13"/>
    </row>
    <row r="16641" spans="4:39" x14ac:dyDescent="0.3">
      <c r="D16641" s="1"/>
      <c r="G16641" s="13"/>
      <c r="AL16641" s="13"/>
    </row>
    <row r="16642" spans="4:39" x14ac:dyDescent="0.3">
      <c r="D16642" s="1"/>
      <c r="G16642" s="13"/>
      <c r="AL16642" s="13"/>
    </row>
    <row r="16643" spans="4:39" x14ac:dyDescent="0.3">
      <c r="D16643" s="1"/>
      <c r="G16643" s="13"/>
      <c r="AL16643" s="13"/>
      <c r="AM16643" s="14"/>
    </row>
    <row r="16644" spans="4:39" x14ac:dyDescent="0.3">
      <c r="D16644" s="1"/>
      <c r="G16644" s="13"/>
      <c r="AL16644" s="13"/>
      <c r="AM16644" s="14"/>
    </row>
    <row r="16645" spans="4:39" x14ac:dyDescent="0.3">
      <c r="D16645" s="1"/>
      <c r="G16645" s="13"/>
      <c r="AL16645" s="13"/>
      <c r="AM16645" s="14"/>
    </row>
    <row r="16646" spans="4:39" x14ac:dyDescent="0.3">
      <c r="D16646" s="1"/>
      <c r="G16646" s="13"/>
      <c r="AL16646" s="13"/>
      <c r="AM16646" s="14"/>
    </row>
    <row r="16647" spans="4:39" x14ac:dyDescent="0.3">
      <c r="D16647" s="1"/>
      <c r="G16647" s="13"/>
      <c r="AL16647" s="13"/>
    </row>
    <row r="16648" spans="4:39" x14ac:dyDescent="0.3">
      <c r="D16648" s="1"/>
      <c r="G16648" s="13"/>
      <c r="AL16648" s="13"/>
    </row>
    <row r="16649" spans="4:39" x14ac:dyDescent="0.3">
      <c r="D16649" s="1"/>
      <c r="G16649" s="13"/>
      <c r="AL16649" s="13"/>
    </row>
    <row r="16650" spans="4:39" x14ac:dyDescent="0.3">
      <c r="D16650" s="1"/>
      <c r="G16650" s="13"/>
      <c r="AL16650" s="13"/>
    </row>
    <row r="16651" spans="4:39" x14ac:dyDescent="0.3">
      <c r="D16651" s="1"/>
      <c r="G16651" s="13"/>
      <c r="AL16651" s="13"/>
    </row>
    <row r="16652" spans="4:39" x14ac:dyDescent="0.3">
      <c r="D16652" s="1"/>
      <c r="G16652" s="13"/>
      <c r="AL16652" s="13"/>
    </row>
    <row r="16653" spans="4:39" x14ac:dyDescent="0.3">
      <c r="D16653" s="1"/>
      <c r="G16653" s="13"/>
      <c r="AL16653" s="13"/>
    </row>
    <row r="16654" spans="4:39" x14ac:dyDescent="0.3">
      <c r="D16654" s="1"/>
      <c r="G16654" s="13"/>
      <c r="AL16654" s="13"/>
    </row>
    <row r="16655" spans="4:39" x14ac:dyDescent="0.3">
      <c r="D16655" s="1"/>
      <c r="G16655" s="13"/>
      <c r="AL16655" s="13"/>
    </row>
    <row r="16656" spans="4:39" x14ac:dyDescent="0.3">
      <c r="D16656" s="1"/>
      <c r="G16656" s="13"/>
      <c r="AL16656" s="13"/>
      <c r="AM16656" s="14"/>
    </row>
    <row r="16657" spans="4:39" x14ac:dyDescent="0.3">
      <c r="D16657" s="1"/>
      <c r="G16657" s="13"/>
      <c r="AL16657" s="13"/>
    </row>
    <row r="16658" spans="4:39" x14ac:dyDescent="0.3">
      <c r="D16658" s="1"/>
      <c r="G16658" s="13"/>
      <c r="AL16658" s="13"/>
    </row>
    <row r="16659" spans="4:39" x14ac:dyDescent="0.3">
      <c r="D16659" s="1"/>
      <c r="G16659" s="13"/>
      <c r="AL16659" s="13"/>
      <c r="AM16659" s="14"/>
    </row>
    <row r="16660" spans="4:39" x14ac:dyDescent="0.3">
      <c r="D16660" s="1"/>
      <c r="G16660" s="13"/>
      <c r="AL16660" s="13"/>
    </row>
    <row r="16661" spans="4:39" x14ac:dyDescent="0.3">
      <c r="D16661" s="1"/>
      <c r="G16661" s="13"/>
      <c r="AL16661" s="13"/>
      <c r="AM16661" s="14"/>
    </row>
    <row r="16662" spans="4:39" x14ac:dyDescent="0.3">
      <c r="D16662" s="1"/>
      <c r="G16662" s="13"/>
      <c r="AL16662" s="13"/>
      <c r="AM16662" s="14"/>
    </row>
    <row r="16663" spans="4:39" x14ac:dyDescent="0.3">
      <c r="D16663" s="1"/>
      <c r="G16663" s="13"/>
      <c r="AL16663" s="13"/>
    </row>
    <row r="16664" spans="4:39" x14ac:dyDescent="0.3">
      <c r="D16664" s="1"/>
      <c r="G16664" s="13"/>
      <c r="AL16664" s="13"/>
      <c r="AM16664" s="14"/>
    </row>
    <row r="16665" spans="4:39" x14ac:dyDescent="0.3">
      <c r="D16665" s="1"/>
      <c r="G16665" s="13"/>
      <c r="AL16665" s="13"/>
    </row>
    <row r="16666" spans="4:39" x14ac:dyDescent="0.3">
      <c r="D16666" s="1"/>
      <c r="G16666" s="13"/>
      <c r="AL16666" s="13"/>
    </row>
    <row r="16667" spans="4:39" x14ac:dyDescent="0.3">
      <c r="D16667" s="1"/>
      <c r="G16667" s="13"/>
      <c r="AL16667" s="13"/>
    </row>
    <row r="16668" spans="4:39" x14ac:dyDescent="0.3">
      <c r="D16668" s="1"/>
      <c r="G16668" s="13"/>
      <c r="AL16668" s="13"/>
      <c r="AM16668" s="14"/>
    </row>
    <row r="16669" spans="4:39" x14ac:dyDescent="0.3">
      <c r="D16669" s="1"/>
      <c r="G16669" s="13"/>
      <c r="AL16669" s="13"/>
    </row>
    <row r="16670" spans="4:39" x14ac:dyDescent="0.3">
      <c r="D16670" s="1"/>
      <c r="G16670" s="13"/>
      <c r="AL16670" s="13"/>
    </row>
    <row r="16671" spans="4:39" x14ac:dyDescent="0.3">
      <c r="D16671" s="1"/>
      <c r="G16671" s="13"/>
      <c r="AL16671" s="13"/>
      <c r="AM16671" s="14"/>
    </row>
    <row r="16672" spans="4:39" x14ac:dyDescent="0.3">
      <c r="D16672" s="1"/>
      <c r="G16672" s="13"/>
      <c r="AL16672" s="13"/>
    </row>
    <row r="16673" spans="4:39" x14ac:dyDescent="0.3">
      <c r="D16673" s="1"/>
      <c r="G16673" s="13"/>
      <c r="AL16673" s="13"/>
      <c r="AM16673" s="14"/>
    </row>
    <row r="16674" spans="4:39" x14ac:dyDescent="0.3">
      <c r="D16674" s="1"/>
      <c r="G16674" s="13"/>
      <c r="AL16674" s="13"/>
    </row>
    <row r="16675" spans="4:39" x14ac:dyDescent="0.3">
      <c r="D16675" s="1"/>
      <c r="G16675" s="13"/>
      <c r="AL16675" s="13"/>
    </row>
    <row r="16676" spans="4:39" x14ac:dyDescent="0.3">
      <c r="D16676" s="1"/>
      <c r="G16676" s="13"/>
      <c r="AL16676" s="13"/>
    </row>
    <row r="16677" spans="4:39" x14ac:dyDescent="0.3">
      <c r="D16677" s="1"/>
      <c r="G16677" s="13"/>
      <c r="AL16677" s="13"/>
    </row>
    <row r="16678" spans="4:39" x14ac:dyDescent="0.3">
      <c r="D16678" s="1"/>
      <c r="G16678" s="13"/>
      <c r="AL16678" s="13"/>
    </row>
    <row r="16679" spans="4:39" x14ac:dyDescent="0.3">
      <c r="D16679" s="1"/>
      <c r="G16679" s="13"/>
      <c r="AL16679" s="13"/>
    </row>
    <row r="16680" spans="4:39" x14ac:dyDescent="0.3">
      <c r="D16680" s="1"/>
      <c r="G16680" s="13"/>
      <c r="AL16680" s="13"/>
    </row>
    <row r="16681" spans="4:39" x14ac:dyDescent="0.3">
      <c r="D16681" s="1"/>
      <c r="G16681" s="13"/>
      <c r="AL16681" s="13"/>
      <c r="AM16681" s="14"/>
    </row>
    <row r="16682" spans="4:39" x14ac:dyDescent="0.3">
      <c r="D16682" s="1"/>
      <c r="G16682" s="13"/>
      <c r="AL16682" s="13"/>
      <c r="AM16682" s="14"/>
    </row>
    <row r="16683" spans="4:39" x14ac:dyDescent="0.3">
      <c r="D16683" s="1"/>
      <c r="G16683" s="13"/>
      <c r="AL16683" s="13"/>
      <c r="AM16683" s="14"/>
    </row>
    <row r="16684" spans="4:39" x14ac:dyDescent="0.3">
      <c r="D16684" s="1"/>
      <c r="G16684" s="13"/>
      <c r="AL16684" s="13"/>
      <c r="AM16684" s="14"/>
    </row>
    <row r="16685" spans="4:39" x14ac:dyDescent="0.3">
      <c r="D16685" s="1"/>
      <c r="G16685" s="13"/>
      <c r="AL16685" s="13"/>
      <c r="AM16685" s="14"/>
    </row>
    <row r="16686" spans="4:39" x14ac:dyDescent="0.3">
      <c r="D16686" s="1"/>
      <c r="G16686" s="13"/>
      <c r="AL16686" s="13"/>
      <c r="AM16686" s="14"/>
    </row>
    <row r="16687" spans="4:39" x14ac:dyDescent="0.3">
      <c r="D16687" s="1"/>
      <c r="G16687" s="13"/>
      <c r="AL16687" s="13"/>
      <c r="AM16687" s="14"/>
    </row>
    <row r="16688" spans="4:39" x14ac:dyDescent="0.3">
      <c r="D16688" s="1"/>
      <c r="G16688" s="13"/>
      <c r="AL16688" s="13"/>
    </row>
    <row r="16689" spans="4:39" x14ac:dyDescent="0.3">
      <c r="D16689" s="1"/>
      <c r="G16689" s="13"/>
      <c r="AL16689" s="13"/>
    </row>
    <row r="16690" spans="4:39" x14ac:dyDescent="0.3">
      <c r="D16690" s="1"/>
      <c r="G16690" s="13"/>
      <c r="AL16690" s="13"/>
      <c r="AM16690" s="14"/>
    </row>
    <row r="16691" spans="4:39" x14ac:dyDescent="0.3">
      <c r="D16691" s="1"/>
      <c r="G16691" s="13"/>
      <c r="AL16691" s="13"/>
    </row>
    <row r="16692" spans="4:39" x14ac:dyDescent="0.3">
      <c r="D16692" s="1"/>
      <c r="G16692" s="13"/>
      <c r="AL16692" s="13"/>
      <c r="AM16692" s="14"/>
    </row>
    <row r="16693" spans="4:39" x14ac:dyDescent="0.3">
      <c r="D16693" s="1"/>
      <c r="G16693" s="13"/>
      <c r="AL16693" s="13"/>
      <c r="AM16693" s="14"/>
    </row>
    <row r="16694" spans="4:39" x14ac:dyDescent="0.3">
      <c r="D16694" s="1"/>
      <c r="G16694" s="13"/>
      <c r="AL16694" s="13"/>
    </row>
    <row r="16695" spans="4:39" x14ac:dyDescent="0.3">
      <c r="D16695" s="1"/>
      <c r="G16695" s="13"/>
      <c r="AL16695" s="13"/>
      <c r="AM16695" s="14"/>
    </row>
    <row r="16696" spans="4:39" x14ac:dyDescent="0.3">
      <c r="D16696" s="1"/>
      <c r="G16696" s="13"/>
      <c r="AL16696" s="13"/>
    </row>
    <row r="16697" spans="4:39" x14ac:dyDescent="0.3">
      <c r="D16697" s="1"/>
      <c r="G16697" s="13"/>
      <c r="AL16697" s="13"/>
    </row>
    <row r="16698" spans="4:39" x14ac:dyDescent="0.3">
      <c r="D16698" s="1"/>
      <c r="G16698" s="13"/>
      <c r="AL16698" s="13"/>
      <c r="AM16698" s="14"/>
    </row>
    <row r="16699" spans="4:39" x14ac:dyDescent="0.3">
      <c r="D16699" s="1"/>
      <c r="G16699" s="13"/>
      <c r="AL16699" s="13"/>
    </row>
    <row r="16700" spans="4:39" x14ac:dyDescent="0.3">
      <c r="D16700" s="1"/>
      <c r="G16700" s="13"/>
      <c r="AL16700" s="13"/>
    </row>
    <row r="16701" spans="4:39" x14ac:dyDescent="0.3">
      <c r="D16701" s="1"/>
      <c r="G16701" s="13"/>
      <c r="AL16701" s="13"/>
    </row>
    <row r="16702" spans="4:39" x14ac:dyDescent="0.3">
      <c r="D16702" s="1"/>
      <c r="G16702" s="13"/>
      <c r="AL16702" s="13"/>
    </row>
    <row r="16703" spans="4:39" x14ac:dyDescent="0.3">
      <c r="D16703" s="1"/>
      <c r="G16703" s="13"/>
      <c r="AL16703" s="13"/>
      <c r="AM16703" s="14"/>
    </row>
    <row r="16704" spans="4:39" x14ac:dyDescent="0.3">
      <c r="D16704" s="1"/>
      <c r="G16704" s="13"/>
      <c r="AL16704" s="13"/>
    </row>
    <row r="16705" spans="4:39" x14ac:dyDescent="0.3">
      <c r="D16705" s="1"/>
      <c r="G16705" s="13"/>
      <c r="AL16705" s="13"/>
    </row>
    <row r="16706" spans="4:39" x14ac:dyDescent="0.3">
      <c r="D16706" s="1"/>
      <c r="G16706" s="13"/>
      <c r="AL16706" s="13"/>
    </row>
    <row r="16707" spans="4:39" x14ac:dyDescent="0.3">
      <c r="D16707" s="1"/>
      <c r="G16707" s="13"/>
      <c r="AL16707" s="13"/>
    </row>
    <row r="16708" spans="4:39" x14ac:dyDescent="0.3">
      <c r="D16708" s="1"/>
      <c r="G16708" s="13"/>
      <c r="AL16708" s="13"/>
    </row>
    <row r="16709" spans="4:39" x14ac:dyDescent="0.3">
      <c r="D16709" s="1"/>
      <c r="G16709" s="13"/>
      <c r="AL16709" s="13"/>
      <c r="AM16709" s="14"/>
    </row>
    <row r="16710" spans="4:39" x14ac:dyDescent="0.3">
      <c r="D16710" s="1"/>
      <c r="G16710" s="13"/>
      <c r="AL16710" s="13"/>
      <c r="AM16710" s="14"/>
    </row>
    <row r="16711" spans="4:39" x14ac:dyDescent="0.3">
      <c r="D16711" s="1"/>
      <c r="G16711" s="13"/>
      <c r="AL16711" s="13"/>
    </row>
    <row r="16712" spans="4:39" x14ac:dyDescent="0.3">
      <c r="D16712" s="1"/>
      <c r="G16712" s="13"/>
      <c r="AL16712" s="13"/>
    </row>
    <row r="16713" spans="4:39" x14ac:dyDescent="0.3">
      <c r="D16713" s="1"/>
      <c r="G16713" s="13"/>
      <c r="AL16713" s="13"/>
      <c r="AM16713" s="14"/>
    </row>
    <row r="16714" spans="4:39" x14ac:dyDescent="0.3">
      <c r="D16714" s="1"/>
      <c r="G16714" s="13"/>
      <c r="AL16714" s="13"/>
    </row>
    <row r="16715" spans="4:39" x14ac:dyDescent="0.3">
      <c r="D16715" s="1"/>
      <c r="G16715" s="13"/>
      <c r="AL16715" s="13"/>
      <c r="AM16715" s="14"/>
    </row>
    <row r="16716" spans="4:39" x14ac:dyDescent="0.3">
      <c r="D16716" s="1"/>
      <c r="G16716" s="13"/>
      <c r="AL16716" s="13"/>
      <c r="AM16716" s="14"/>
    </row>
    <row r="16717" spans="4:39" x14ac:dyDescent="0.3">
      <c r="D16717" s="1"/>
      <c r="G16717" s="13"/>
      <c r="AL16717" s="13"/>
    </row>
    <row r="16718" spans="4:39" x14ac:dyDescent="0.3">
      <c r="D16718" s="1"/>
      <c r="G16718" s="13"/>
      <c r="AL16718" s="13"/>
      <c r="AM16718" s="14"/>
    </row>
    <row r="16719" spans="4:39" x14ac:dyDescent="0.3">
      <c r="D16719" s="1"/>
      <c r="G16719" s="13"/>
      <c r="AL16719" s="13"/>
      <c r="AM16719" s="14"/>
    </row>
    <row r="16720" spans="4:39" x14ac:dyDescent="0.3">
      <c r="D16720" s="1"/>
      <c r="G16720" s="13"/>
      <c r="AL16720" s="13"/>
    </row>
    <row r="16721" spans="4:39" x14ac:dyDescent="0.3">
      <c r="D16721" s="1"/>
      <c r="G16721" s="13"/>
      <c r="AL16721" s="13"/>
      <c r="AM16721" s="14"/>
    </row>
    <row r="16722" spans="4:39" x14ac:dyDescent="0.3">
      <c r="D16722" s="1"/>
      <c r="G16722" s="13"/>
      <c r="AL16722" s="13"/>
    </row>
    <row r="16723" spans="4:39" x14ac:dyDescent="0.3">
      <c r="D16723" s="1"/>
      <c r="G16723" s="13"/>
      <c r="AL16723" s="13"/>
    </row>
    <row r="16724" spans="4:39" x14ac:dyDescent="0.3">
      <c r="D16724" s="1"/>
      <c r="G16724" s="13"/>
      <c r="AL16724" s="13"/>
      <c r="AM16724" s="14"/>
    </row>
    <row r="16725" spans="4:39" x14ac:dyDescent="0.3">
      <c r="D16725" s="1"/>
      <c r="G16725" s="13"/>
      <c r="AL16725" s="13"/>
      <c r="AM16725" s="14"/>
    </row>
    <row r="16726" spans="4:39" x14ac:dyDescent="0.3">
      <c r="D16726" s="1"/>
      <c r="G16726" s="13"/>
      <c r="AL16726" s="13"/>
    </row>
    <row r="16727" spans="4:39" x14ac:dyDescent="0.3">
      <c r="D16727" s="1"/>
      <c r="G16727" s="13"/>
      <c r="AL16727" s="13"/>
    </row>
    <row r="16728" spans="4:39" x14ac:dyDescent="0.3">
      <c r="D16728" s="1"/>
      <c r="G16728" s="13"/>
      <c r="AL16728" s="13"/>
    </row>
    <row r="16729" spans="4:39" x14ac:dyDescent="0.3">
      <c r="D16729" s="1"/>
      <c r="G16729" s="13"/>
      <c r="AL16729" s="13"/>
    </row>
    <row r="16730" spans="4:39" x14ac:dyDescent="0.3">
      <c r="D16730" s="1"/>
      <c r="G16730" s="13"/>
      <c r="AL16730" s="13"/>
    </row>
    <row r="16731" spans="4:39" x14ac:dyDescent="0.3">
      <c r="D16731" s="1"/>
      <c r="G16731" s="13"/>
      <c r="AL16731" s="13"/>
    </row>
    <row r="16732" spans="4:39" x14ac:dyDescent="0.3">
      <c r="D16732" s="1"/>
      <c r="G16732" s="13"/>
      <c r="AL16732" s="13"/>
    </row>
    <row r="16733" spans="4:39" x14ac:dyDescent="0.3">
      <c r="D16733" s="1"/>
      <c r="G16733" s="13"/>
      <c r="AL16733" s="13"/>
    </row>
    <row r="16734" spans="4:39" x14ac:dyDescent="0.3">
      <c r="D16734" s="1"/>
      <c r="G16734" s="13"/>
      <c r="AL16734" s="13"/>
    </row>
    <row r="16735" spans="4:39" x14ac:dyDescent="0.3">
      <c r="D16735" s="1"/>
      <c r="G16735" s="13"/>
      <c r="AL16735" s="13"/>
    </row>
    <row r="16736" spans="4:39" x14ac:dyDescent="0.3">
      <c r="D16736" s="1"/>
      <c r="G16736" s="13"/>
      <c r="AL16736" s="13"/>
      <c r="AM16736" s="14"/>
    </row>
    <row r="16737" spans="4:39" x14ac:dyDescent="0.3">
      <c r="D16737" s="1"/>
      <c r="G16737" s="13"/>
      <c r="AL16737" s="13"/>
    </row>
    <row r="16738" spans="4:39" x14ac:dyDescent="0.3">
      <c r="D16738" s="1"/>
      <c r="G16738" s="13"/>
      <c r="AL16738" s="13"/>
    </row>
    <row r="16739" spans="4:39" x14ac:dyDescent="0.3">
      <c r="D16739" s="1"/>
      <c r="G16739" s="13"/>
      <c r="AL16739" s="13"/>
    </row>
    <row r="16740" spans="4:39" x14ac:dyDescent="0.3">
      <c r="D16740" s="1"/>
      <c r="G16740" s="13"/>
      <c r="AL16740" s="13"/>
    </row>
    <row r="16741" spans="4:39" x14ac:dyDescent="0.3">
      <c r="D16741" s="1"/>
      <c r="G16741" s="13"/>
      <c r="AL16741" s="13"/>
    </row>
    <row r="16742" spans="4:39" x14ac:dyDescent="0.3">
      <c r="D16742" s="1"/>
      <c r="G16742" s="13"/>
      <c r="AL16742" s="13"/>
    </row>
    <row r="16743" spans="4:39" x14ac:dyDescent="0.3">
      <c r="D16743" s="1"/>
      <c r="G16743" s="13"/>
      <c r="AL16743" s="13"/>
    </row>
    <row r="16744" spans="4:39" x14ac:dyDescent="0.3">
      <c r="D16744" s="1"/>
      <c r="G16744" s="13"/>
      <c r="AL16744" s="13"/>
    </row>
    <row r="16745" spans="4:39" x14ac:dyDescent="0.3">
      <c r="D16745" s="1"/>
      <c r="G16745" s="13"/>
      <c r="AL16745" s="13"/>
    </row>
    <row r="16746" spans="4:39" x14ac:dyDescent="0.3">
      <c r="D16746" s="1"/>
      <c r="G16746" s="13"/>
      <c r="AL16746" s="13"/>
      <c r="AM16746" s="14"/>
    </row>
    <row r="16747" spans="4:39" x14ac:dyDescent="0.3">
      <c r="D16747" s="1"/>
      <c r="G16747" s="13"/>
      <c r="AL16747" s="13"/>
      <c r="AM16747" s="14"/>
    </row>
    <row r="16748" spans="4:39" x14ac:dyDescent="0.3">
      <c r="D16748" s="1"/>
      <c r="G16748" s="13"/>
      <c r="AL16748" s="13"/>
      <c r="AM16748" s="14"/>
    </row>
    <row r="16749" spans="4:39" x14ac:dyDescent="0.3">
      <c r="D16749" s="1"/>
      <c r="G16749" s="13"/>
      <c r="AL16749" s="13"/>
    </row>
    <row r="16750" spans="4:39" x14ac:dyDescent="0.3">
      <c r="D16750" s="1"/>
      <c r="G16750" s="13"/>
      <c r="AL16750" s="13"/>
    </row>
    <row r="16751" spans="4:39" x14ac:dyDescent="0.3">
      <c r="D16751" s="1"/>
      <c r="G16751" s="13"/>
      <c r="AL16751" s="13"/>
      <c r="AM16751" s="14"/>
    </row>
    <row r="16752" spans="4:39" x14ac:dyDescent="0.3">
      <c r="D16752" s="1"/>
      <c r="G16752" s="13"/>
      <c r="AL16752" s="13"/>
    </row>
    <row r="16753" spans="4:39" x14ac:dyDescent="0.3">
      <c r="D16753" s="1"/>
      <c r="G16753" s="13"/>
      <c r="AL16753" s="13"/>
    </row>
    <row r="16754" spans="4:39" x14ac:dyDescent="0.3">
      <c r="D16754" s="1"/>
      <c r="G16754" s="13"/>
      <c r="AL16754" s="13"/>
      <c r="AM16754" s="14"/>
    </row>
    <row r="16755" spans="4:39" x14ac:dyDescent="0.3">
      <c r="D16755" s="1"/>
      <c r="G16755" s="13"/>
      <c r="AL16755" s="13"/>
      <c r="AM16755" s="14"/>
    </row>
    <row r="16756" spans="4:39" x14ac:dyDescent="0.3">
      <c r="D16756" s="1"/>
      <c r="G16756" s="13"/>
      <c r="AL16756" s="13"/>
      <c r="AM16756" s="14"/>
    </row>
    <row r="16757" spans="4:39" x14ac:dyDescent="0.3">
      <c r="D16757" s="1"/>
      <c r="G16757" s="13"/>
      <c r="AL16757" s="13"/>
    </row>
    <row r="16758" spans="4:39" x14ac:dyDescent="0.3">
      <c r="D16758" s="1"/>
      <c r="G16758" s="13"/>
      <c r="AL16758" s="13"/>
      <c r="AM16758" s="14"/>
    </row>
    <row r="16759" spans="4:39" x14ac:dyDescent="0.3">
      <c r="D16759" s="1"/>
      <c r="G16759" s="13"/>
      <c r="AL16759" s="13"/>
      <c r="AM16759" s="14"/>
    </row>
    <row r="16760" spans="4:39" x14ac:dyDescent="0.3">
      <c r="D16760" s="1"/>
      <c r="G16760" s="13"/>
      <c r="AL16760" s="13"/>
    </row>
    <row r="16761" spans="4:39" x14ac:dyDescent="0.3">
      <c r="D16761" s="1"/>
      <c r="G16761" s="13"/>
      <c r="AL16761" s="13"/>
      <c r="AM16761" s="14"/>
    </row>
    <row r="16762" spans="4:39" x14ac:dyDescent="0.3">
      <c r="D16762" s="1"/>
      <c r="G16762" s="13"/>
      <c r="AL16762" s="13"/>
      <c r="AM16762" s="14"/>
    </row>
    <row r="16763" spans="4:39" x14ac:dyDescent="0.3">
      <c r="D16763" s="1"/>
      <c r="G16763" s="13"/>
      <c r="AL16763" s="13"/>
    </row>
    <row r="16764" spans="4:39" x14ac:dyDescent="0.3">
      <c r="D16764" s="1"/>
      <c r="G16764" s="13"/>
      <c r="AL16764" s="13"/>
      <c r="AM16764" s="14"/>
    </row>
    <row r="16765" spans="4:39" x14ac:dyDescent="0.3">
      <c r="D16765" s="1"/>
      <c r="G16765" s="13"/>
      <c r="AL16765" s="13"/>
      <c r="AM16765" s="14"/>
    </row>
    <row r="16766" spans="4:39" x14ac:dyDescent="0.3">
      <c r="D16766" s="1"/>
      <c r="G16766" s="13"/>
      <c r="AL16766" s="13"/>
      <c r="AM16766" s="14"/>
    </row>
    <row r="16767" spans="4:39" x14ac:dyDescent="0.3">
      <c r="D16767" s="1"/>
      <c r="G16767" s="13"/>
      <c r="AL16767" s="13"/>
    </row>
    <row r="16768" spans="4:39" x14ac:dyDescent="0.3">
      <c r="D16768" s="1"/>
      <c r="G16768" s="13"/>
      <c r="AL16768" s="13"/>
    </row>
    <row r="16769" spans="4:39" x14ac:dyDescent="0.3">
      <c r="D16769" s="1"/>
      <c r="G16769" s="13"/>
      <c r="AL16769" s="13"/>
    </row>
    <row r="16770" spans="4:39" x14ac:dyDescent="0.3">
      <c r="D16770" s="1"/>
      <c r="G16770" s="13"/>
      <c r="AL16770" s="13"/>
      <c r="AM16770" s="14"/>
    </row>
    <row r="16771" spans="4:39" x14ac:dyDescent="0.3">
      <c r="D16771" s="1"/>
      <c r="G16771" s="13"/>
      <c r="AL16771" s="13"/>
      <c r="AM16771" s="14"/>
    </row>
    <row r="16772" spans="4:39" x14ac:dyDescent="0.3">
      <c r="D16772" s="1"/>
      <c r="G16772" s="13"/>
      <c r="AL16772" s="13"/>
      <c r="AM16772" s="14"/>
    </row>
    <row r="16773" spans="4:39" x14ac:dyDescent="0.3">
      <c r="D16773" s="1"/>
      <c r="G16773" s="13"/>
      <c r="AL16773" s="13"/>
    </row>
    <row r="16774" spans="4:39" x14ac:dyDescent="0.3">
      <c r="D16774" s="1"/>
      <c r="G16774" s="13"/>
      <c r="AL16774" s="13"/>
    </row>
    <row r="16775" spans="4:39" x14ac:dyDescent="0.3">
      <c r="D16775" s="1"/>
      <c r="G16775" s="13"/>
      <c r="AL16775" s="13"/>
      <c r="AM16775" s="14"/>
    </row>
    <row r="16776" spans="4:39" x14ac:dyDescent="0.3">
      <c r="D16776" s="1"/>
      <c r="G16776" s="13"/>
      <c r="AL16776" s="13"/>
    </row>
    <row r="16777" spans="4:39" x14ac:dyDescent="0.3">
      <c r="D16777" s="1"/>
      <c r="G16777" s="13"/>
      <c r="AL16777" s="13"/>
    </row>
    <row r="16778" spans="4:39" x14ac:dyDescent="0.3">
      <c r="D16778" s="1"/>
      <c r="G16778" s="13"/>
      <c r="AL16778" s="13"/>
    </row>
    <row r="16779" spans="4:39" x14ac:dyDescent="0.3">
      <c r="D16779" s="1"/>
      <c r="G16779" s="13"/>
      <c r="AL16779" s="13"/>
    </row>
    <row r="16780" spans="4:39" x14ac:dyDescent="0.3">
      <c r="D16780" s="1"/>
      <c r="G16780" s="13"/>
      <c r="AL16780" s="13"/>
    </row>
    <row r="16781" spans="4:39" x14ac:dyDescent="0.3">
      <c r="D16781" s="1"/>
      <c r="G16781" s="13"/>
      <c r="AL16781" s="13"/>
    </row>
    <row r="16782" spans="4:39" x14ac:dyDescent="0.3">
      <c r="D16782" s="1"/>
      <c r="G16782" s="13"/>
      <c r="AL16782" s="13"/>
    </row>
    <row r="16783" spans="4:39" x14ac:dyDescent="0.3">
      <c r="D16783" s="1"/>
      <c r="G16783" s="13"/>
      <c r="AL16783" s="13"/>
      <c r="AM16783" s="14"/>
    </row>
    <row r="16784" spans="4:39" x14ac:dyDescent="0.3">
      <c r="D16784" s="1"/>
      <c r="G16784" s="13"/>
      <c r="AL16784" s="13"/>
    </row>
    <row r="16785" spans="4:39" x14ac:dyDescent="0.3">
      <c r="D16785" s="1"/>
      <c r="G16785" s="13"/>
      <c r="AL16785" s="13"/>
    </row>
    <row r="16786" spans="4:39" x14ac:dyDescent="0.3">
      <c r="D16786" s="1"/>
      <c r="G16786" s="13"/>
      <c r="AL16786" s="13"/>
      <c r="AM16786" s="14"/>
    </row>
    <row r="16787" spans="4:39" x14ac:dyDescent="0.3">
      <c r="D16787" s="1"/>
      <c r="G16787" s="13"/>
      <c r="AL16787" s="13"/>
    </row>
    <row r="16788" spans="4:39" x14ac:dyDescent="0.3">
      <c r="D16788" s="1"/>
      <c r="G16788" s="13"/>
      <c r="AL16788" s="13"/>
    </row>
    <row r="16789" spans="4:39" x14ac:dyDescent="0.3">
      <c r="D16789" s="1"/>
      <c r="G16789" s="13"/>
      <c r="AL16789" s="13"/>
    </row>
    <row r="16790" spans="4:39" x14ac:dyDescent="0.3">
      <c r="D16790" s="1"/>
      <c r="G16790" s="13"/>
      <c r="AL16790" s="13"/>
    </row>
    <row r="16791" spans="4:39" x14ac:dyDescent="0.3">
      <c r="D16791" s="1"/>
      <c r="G16791" s="13"/>
      <c r="AL16791" s="13"/>
    </row>
    <row r="16792" spans="4:39" x14ac:dyDescent="0.3">
      <c r="D16792" s="1"/>
      <c r="G16792" s="13"/>
      <c r="AL16792" s="13"/>
    </row>
    <row r="16793" spans="4:39" x14ac:dyDescent="0.3">
      <c r="D16793" s="1"/>
      <c r="G16793" s="13"/>
      <c r="AL16793" s="13"/>
    </row>
    <row r="16794" spans="4:39" x14ac:dyDescent="0.3">
      <c r="D16794" s="1"/>
      <c r="G16794" s="13"/>
      <c r="AL16794" s="13"/>
    </row>
    <row r="16795" spans="4:39" x14ac:dyDescent="0.3">
      <c r="D16795" s="1"/>
      <c r="G16795" s="13"/>
      <c r="AL16795" s="13"/>
    </row>
    <row r="16796" spans="4:39" x14ac:dyDescent="0.3">
      <c r="D16796" s="1"/>
      <c r="G16796" s="13"/>
      <c r="AL16796" s="13"/>
      <c r="AM16796" s="14"/>
    </row>
    <row r="16797" spans="4:39" x14ac:dyDescent="0.3">
      <c r="D16797" s="1"/>
      <c r="G16797" s="13"/>
      <c r="AL16797" s="13"/>
    </row>
    <row r="16798" spans="4:39" x14ac:dyDescent="0.3">
      <c r="D16798" s="1"/>
      <c r="G16798" s="13"/>
      <c r="AL16798" s="13"/>
    </row>
    <row r="16799" spans="4:39" x14ac:dyDescent="0.3">
      <c r="D16799" s="1"/>
      <c r="G16799" s="13"/>
      <c r="AL16799" s="13"/>
    </row>
    <row r="16800" spans="4:39" x14ac:dyDescent="0.3">
      <c r="D16800" s="1"/>
      <c r="G16800" s="13"/>
      <c r="AL16800" s="13"/>
    </row>
    <row r="16801" spans="4:39" x14ac:dyDescent="0.3">
      <c r="D16801" s="1"/>
      <c r="G16801" s="13"/>
      <c r="AL16801" s="13"/>
    </row>
    <row r="16802" spans="4:39" x14ac:dyDescent="0.3">
      <c r="D16802" s="1"/>
      <c r="G16802" s="13"/>
      <c r="AL16802" s="13"/>
    </row>
    <row r="16803" spans="4:39" x14ac:dyDescent="0.3">
      <c r="D16803" s="1"/>
      <c r="G16803" s="13"/>
      <c r="AL16803" s="13"/>
    </row>
    <row r="16804" spans="4:39" x14ac:dyDescent="0.3">
      <c r="D16804" s="1"/>
      <c r="G16804" s="13"/>
      <c r="AL16804" s="13"/>
    </row>
    <row r="16805" spans="4:39" x14ac:dyDescent="0.3">
      <c r="D16805" s="1"/>
      <c r="G16805" s="13"/>
      <c r="AL16805" s="13"/>
      <c r="AM16805" s="14"/>
    </row>
    <row r="16806" spans="4:39" x14ac:dyDescent="0.3">
      <c r="D16806" s="1"/>
      <c r="G16806" s="13"/>
      <c r="AL16806" s="13"/>
    </row>
    <row r="16807" spans="4:39" x14ac:dyDescent="0.3">
      <c r="D16807" s="1"/>
      <c r="G16807" s="13"/>
      <c r="AL16807" s="13"/>
    </row>
    <row r="16808" spans="4:39" x14ac:dyDescent="0.3">
      <c r="D16808" s="1"/>
      <c r="G16808" s="13"/>
      <c r="AL16808" s="13"/>
    </row>
    <row r="16809" spans="4:39" x14ac:dyDescent="0.3">
      <c r="D16809" s="1"/>
      <c r="G16809" s="13"/>
      <c r="AL16809" s="13"/>
    </row>
    <row r="16810" spans="4:39" x14ac:dyDescent="0.3">
      <c r="D16810" s="1"/>
      <c r="G16810" s="13"/>
      <c r="AL16810" s="13"/>
    </row>
    <row r="16811" spans="4:39" x14ac:dyDescent="0.3">
      <c r="D16811" s="1"/>
      <c r="G16811" s="13"/>
      <c r="AL16811" s="13"/>
    </row>
    <row r="16812" spans="4:39" x14ac:dyDescent="0.3">
      <c r="D16812" s="1"/>
      <c r="G16812" s="13"/>
      <c r="AL16812" s="13"/>
    </row>
    <row r="16813" spans="4:39" x14ac:dyDescent="0.3">
      <c r="D16813" s="1"/>
      <c r="G16813" s="13"/>
      <c r="AL16813" s="13"/>
    </row>
    <row r="16814" spans="4:39" x14ac:dyDescent="0.3">
      <c r="D16814" s="1"/>
      <c r="G16814" s="13"/>
      <c r="AL16814" s="13"/>
    </row>
    <row r="16815" spans="4:39" x14ac:dyDescent="0.3">
      <c r="D16815" s="1"/>
      <c r="G16815" s="13"/>
      <c r="AL16815" s="13"/>
    </row>
    <row r="16816" spans="4:39" x14ac:dyDescent="0.3">
      <c r="D16816" s="1"/>
      <c r="G16816" s="13"/>
      <c r="AL16816" s="13"/>
    </row>
    <row r="16817" spans="4:39" x14ac:dyDescent="0.3">
      <c r="D16817" s="1"/>
      <c r="G16817" s="13"/>
      <c r="AL16817" s="13"/>
    </row>
    <row r="16818" spans="4:39" x14ac:dyDescent="0.3">
      <c r="D16818" s="1"/>
      <c r="G16818" s="13"/>
      <c r="AL16818" s="13"/>
    </row>
    <row r="16819" spans="4:39" x14ac:dyDescent="0.3">
      <c r="D16819" s="1"/>
      <c r="G16819" s="13"/>
      <c r="AL16819" s="13"/>
    </row>
    <row r="16820" spans="4:39" x14ac:dyDescent="0.3">
      <c r="D16820" s="1"/>
      <c r="G16820" s="13"/>
      <c r="AL16820" s="13"/>
    </row>
    <row r="16821" spans="4:39" x14ac:dyDescent="0.3">
      <c r="D16821" s="1"/>
      <c r="G16821" s="13"/>
      <c r="AL16821" s="13"/>
      <c r="AM16821" s="14"/>
    </row>
    <row r="16822" spans="4:39" x14ac:dyDescent="0.3">
      <c r="D16822" s="1"/>
      <c r="G16822" s="13"/>
      <c r="AL16822" s="13"/>
    </row>
    <row r="16823" spans="4:39" x14ac:dyDescent="0.3">
      <c r="D16823" s="1"/>
      <c r="G16823" s="13"/>
      <c r="AL16823" s="13"/>
      <c r="AM16823" s="14"/>
    </row>
    <row r="16824" spans="4:39" x14ac:dyDescent="0.3">
      <c r="D16824" s="1"/>
      <c r="G16824" s="13"/>
      <c r="AL16824" s="13"/>
      <c r="AM16824" s="14"/>
    </row>
    <row r="16825" spans="4:39" x14ac:dyDescent="0.3">
      <c r="D16825" s="1"/>
      <c r="G16825" s="13"/>
      <c r="AL16825" s="13"/>
    </row>
    <row r="16826" spans="4:39" x14ac:dyDescent="0.3">
      <c r="D16826" s="1"/>
      <c r="G16826" s="13"/>
      <c r="AL16826" s="13"/>
    </row>
    <row r="16827" spans="4:39" x14ac:dyDescent="0.3">
      <c r="D16827" s="1"/>
      <c r="G16827" s="13"/>
      <c r="AL16827" s="13"/>
      <c r="AM16827" s="14"/>
    </row>
    <row r="16828" spans="4:39" x14ac:dyDescent="0.3">
      <c r="D16828" s="1"/>
      <c r="G16828" s="13"/>
      <c r="AL16828" s="13"/>
    </row>
    <row r="16829" spans="4:39" x14ac:dyDescent="0.3">
      <c r="D16829" s="1"/>
      <c r="G16829" s="13"/>
      <c r="AL16829" s="13"/>
    </row>
    <row r="16830" spans="4:39" x14ac:dyDescent="0.3">
      <c r="D16830" s="1"/>
      <c r="G16830" s="13"/>
      <c r="AL16830" s="13"/>
    </row>
    <row r="16831" spans="4:39" x14ac:dyDescent="0.3">
      <c r="D16831" s="1"/>
      <c r="G16831" s="13"/>
      <c r="AL16831" s="13"/>
      <c r="AM16831" s="14"/>
    </row>
    <row r="16832" spans="4:39" x14ac:dyDescent="0.3">
      <c r="D16832" s="1"/>
      <c r="G16832" s="13"/>
      <c r="AL16832" s="13"/>
    </row>
    <row r="16833" spans="4:39" x14ac:dyDescent="0.3">
      <c r="D16833" s="1"/>
      <c r="G16833" s="13"/>
      <c r="AL16833" s="13"/>
    </row>
    <row r="16834" spans="4:39" x14ac:dyDescent="0.3">
      <c r="D16834" s="1"/>
      <c r="G16834" s="13"/>
      <c r="AL16834" s="13"/>
    </row>
    <row r="16835" spans="4:39" x14ac:dyDescent="0.3">
      <c r="D16835" s="1"/>
      <c r="G16835" s="13"/>
      <c r="AL16835" s="13"/>
    </row>
    <row r="16836" spans="4:39" x14ac:dyDescent="0.3">
      <c r="D16836" s="1"/>
      <c r="G16836" s="13"/>
      <c r="AL16836" s="13"/>
    </row>
    <row r="16837" spans="4:39" x14ac:dyDescent="0.3">
      <c r="D16837" s="1"/>
      <c r="G16837" s="13"/>
      <c r="AL16837" s="13"/>
    </row>
    <row r="16838" spans="4:39" x14ac:dyDescent="0.3">
      <c r="D16838" s="1"/>
      <c r="G16838" s="13"/>
      <c r="AL16838" s="13"/>
    </row>
    <row r="16839" spans="4:39" x14ac:dyDescent="0.3">
      <c r="D16839" s="1"/>
      <c r="G16839" s="13"/>
      <c r="AL16839" s="13"/>
    </row>
    <row r="16840" spans="4:39" x14ac:dyDescent="0.3">
      <c r="D16840" s="1"/>
      <c r="G16840" s="13"/>
      <c r="AL16840" s="13"/>
    </row>
    <row r="16841" spans="4:39" x14ac:dyDescent="0.3">
      <c r="D16841" s="1"/>
      <c r="G16841" s="13"/>
      <c r="AL16841" s="13"/>
    </row>
    <row r="16842" spans="4:39" x14ac:dyDescent="0.3">
      <c r="D16842" s="1"/>
      <c r="G16842" s="13"/>
      <c r="AL16842" s="13"/>
      <c r="AM16842" s="14"/>
    </row>
    <row r="16843" spans="4:39" x14ac:dyDescent="0.3">
      <c r="D16843" s="1"/>
      <c r="G16843" s="13"/>
      <c r="AL16843" s="13"/>
    </row>
    <row r="16844" spans="4:39" x14ac:dyDescent="0.3">
      <c r="D16844" s="1"/>
      <c r="G16844" s="13"/>
      <c r="AL16844" s="13"/>
      <c r="AM16844" s="14"/>
    </row>
    <row r="16845" spans="4:39" x14ac:dyDescent="0.3">
      <c r="D16845" s="1"/>
      <c r="G16845" s="13"/>
      <c r="AL16845" s="13"/>
    </row>
    <row r="16846" spans="4:39" x14ac:dyDescent="0.3">
      <c r="D16846" s="1"/>
      <c r="G16846" s="13"/>
      <c r="AL16846" s="13"/>
      <c r="AM16846" s="14"/>
    </row>
    <row r="16847" spans="4:39" x14ac:dyDescent="0.3">
      <c r="D16847" s="1"/>
      <c r="G16847" s="13"/>
      <c r="AL16847" s="13"/>
      <c r="AM16847" s="14"/>
    </row>
    <row r="16848" spans="4:39" x14ac:dyDescent="0.3">
      <c r="D16848" s="1"/>
      <c r="G16848" s="13"/>
      <c r="AL16848" s="13"/>
    </row>
    <row r="16849" spans="4:39" x14ac:dyDescent="0.3">
      <c r="D16849" s="1"/>
      <c r="G16849" s="13"/>
      <c r="AL16849" s="13"/>
      <c r="AM16849" s="14"/>
    </row>
    <row r="16850" spans="4:39" x14ac:dyDescent="0.3">
      <c r="D16850" s="1"/>
      <c r="G16850" s="13"/>
      <c r="AL16850" s="13"/>
    </row>
    <row r="16851" spans="4:39" x14ac:dyDescent="0.3">
      <c r="D16851" s="1"/>
      <c r="G16851" s="13"/>
      <c r="AL16851" s="13"/>
    </row>
    <row r="16852" spans="4:39" x14ac:dyDescent="0.3">
      <c r="D16852" s="1"/>
      <c r="G16852" s="13"/>
      <c r="AL16852" s="13"/>
    </row>
    <row r="16853" spans="4:39" x14ac:dyDescent="0.3">
      <c r="D16853" s="1"/>
      <c r="G16853" s="13"/>
      <c r="AL16853" s="13"/>
    </row>
    <row r="16854" spans="4:39" x14ac:dyDescent="0.3">
      <c r="D16854" s="1"/>
      <c r="G16854" s="13"/>
      <c r="AL16854" s="13"/>
    </row>
    <row r="16855" spans="4:39" x14ac:dyDescent="0.3">
      <c r="D16855" s="1"/>
      <c r="G16855" s="13"/>
      <c r="AL16855" s="13"/>
    </row>
    <row r="16856" spans="4:39" x14ac:dyDescent="0.3">
      <c r="D16856" s="1"/>
      <c r="G16856" s="13"/>
      <c r="AL16856" s="13"/>
    </row>
    <row r="16857" spans="4:39" x14ac:dyDescent="0.3">
      <c r="D16857" s="1"/>
      <c r="G16857" s="13"/>
      <c r="AL16857" s="13"/>
    </row>
    <row r="16858" spans="4:39" x14ac:dyDescent="0.3">
      <c r="D16858" s="1"/>
      <c r="G16858" s="13"/>
      <c r="AL16858" s="13"/>
    </row>
    <row r="16859" spans="4:39" x14ac:dyDescent="0.3">
      <c r="D16859" s="1"/>
      <c r="G16859" s="13"/>
      <c r="AL16859" s="13"/>
      <c r="AM16859" s="14"/>
    </row>
    <row r="16860" spans="4:39" x14ac:dyDescent="0.3">
      <c r="D16860" s="1"/>
      <c r="G16860" s="13"/>
      <c r="AL16860" s="13"/>
    </row>
    <row r="16861" spans="4:39" x14ac:dyDescent="0.3">
      <c r="D16861" s="1"/>
      <c r="G16861" s="13"/>
      <c r="AL16861" s="13"/>
    </row>
    <row r="16862" spans="4:39" x14ac:dyDescent="0.3">
      <c r="D16862" s="1"/>
      <c r="G16862" s="13"/>
      <c r="AL16862" s="13"/>
      <c r="AM16862" s="14"/>
    </row>
    <row r="16863" spans="4:39" x14ac:dyDescent="0.3">
      <c r="D16863" s="1"/>
      <c r="G16863" s="13"/>
      <c r="AL16863" s="13"/>
    </row>
    <row r="16864" spans="4:39" x14ac:dyDescent="0.3">
      <c r="D16864" s="1"/>
      <c r="G16864" s="13"/>
      <c r="AL16864" s="13"/>
    </row>
    <row r="16865" spans="4:39" x14ac:dyDescent="0.3">
      <c r="D16865" s="1"/>
      <c r="G16865" s="13"/>
      <c r="AL16865" s="13"/>
      <c r="AM16865" s="14"/>
    </row>
    <row r="16866" spans="4:39" x14ac:dyDescent="0.3">
      <c r="D16866" s="1"/>
      <c r="G16866" s="13"/>
      <c r="AL16866" s="13"/>
    </row>
    <row r="16867" spans="4:39" x14ac:dyDescent="0.3">
      <c r="D16867" s="1"/>
      <c r="G16867" s="13"/>
      <c r="AL16867" s="13"/>
    </row>
    <row r="16868" spans="4:39" x14ac:dyDescent="0.3">
      <c r="D16868" s="1"/>
      <c r="G16868" s="13"/>
      <c r="AL16868" s="13"/>
      <c r="AM16868" s="14"/>
    </row>
    <row r="16869" spans="4:39" x14ac:dyDescent="0.3">
      <c r="D16869" s="1"/>
      <c r="G16869" s="13"/>
      <c r="AL16869" s="13"/>
    </row>
    <row r="16870" spans="4:39" x14ac:dyDescent="0.3">
      <c r="D16870" s="1"/>
      <c r="G16870" s="13"/>
      <c r="AL16870" s="13"/>
    </row>
    <row r="16871" spans="4:39" x14ac:dyDescent="0.3">
      <c r="D16871" s="1"/>
      <c r="G16871" s="13"/>
      <c r="AL16871" s="13"/>
    </row>
    <row r="16872" spans="4:39" x14ac:dyDescent="0.3">
      <c r="D16872" s="1"/>
      <c r="G16872" s="13"/>
      <c r="AL16872" s="13"/>
      <c r="AM16872" s="14"/>
    </row>
    <row r="16873" spans="4:39" x14ac:dyDescent="0.3">
      <c r="D16873" s="1"/>
      <c r="G16873" s="13"/>
      <c r="AL16873" s="13"/>
    </row>
    <row r="16874" spans="4:39" x14ac:dyDescent="0.3">
      <c r="D16874" s="1"/>
      <c r="G16874" s="13"/>
      <c r="AL16874" s="13"/>
    </row>
    <row r="16875" spans="4:39" x14ac:dyDescent="0.3">
      <c r="D16875" s="1"/>
      <c r="G16875" s="13"/>
      <c r="AL16875" s="13"/>
    </row>
    <row r="16876" spans="4:39" x14ac:dyDescent="0.3">
      <c r="D16876" s="1"/>
      <c r="G16876" s="13"/>
      <c r="AL16876" s="13"/>
    </row>
    <row r="16877" spans="4:39" x14ac:dyDescent="0.3">
      <c r="D16877" s="1"/>
      <c r="G16877" s="13"/>
      <c r="AL16877" s="13"/>
    </row>
    <row r="16878" spans="4:39" x14ac:dyDescent="0.3">
      <c r="D16878" s="1"/>
      <c r="G16878" s="13"/>
      <c r="AL16878" s="13"/>
    </row>
    <row r="16879" spans="4:39" x14ac:dyDescent="0.3">
      <c r="D16879" s="1"/>
      <c r="G16879" s="13"/>
      <c r="AL16879" s="13"/>
    </row>
    <row r="16880" spans="4:39" x14ac:dyDescent="0.3">
      <c r="D16880" s="1"/>
      <c r="G16880" s="13"/>
      <c r="AL16880" s="13"/>
    </row>
    <row r="16881" spans="4:39" x14ac:dyDescent="0.3">
      <c r="D16881" s="1"/>
      <c r="G16881" s="13"/>
      <c r="AL16881" s="13"/>
    </row>
    <row r="16882" spans="4:39" x14ac:dyDescent="0.3">
      <c r="D16882" s="1"/>
      <c r="G16882" s="13"/>
      <c r="AL16882" s="13"/>
    </row>
    <row r="16883" spans="4:39" x14ac:dyDescent="0.3">
      <c r="D16883" s="1"/>
      <c r="G16883" s="13"/>
      <c r="AL16883" s="13"/>
    </row>
    <row r="16884" spans="4:39" x14ac:dyDescent="0.3">
      <c r="D16884" s="1"/>
      <c r="G16884" s="13"/>
      <c r="AL16884" s="13"/>
      <c r="AM16884" s="14"/>
    </row>
    <row r="16885" spans="4:39" x14ac:dyDescent="0.3">
      <c r="D16885" s="1"/>
      <c r="G16885" s="13"/>
      <c r="AL16885" s="13"/>
      <c r="AM16885" s="14"/>
    </row>
    <row r="16886" spans="4:39" x14ac:dyDescent="0.3">
      <c r="D16886" s="1"/>
      <c r="G16886" s="13"/>
      <c r="AL16886" s="13"/>
    </row>
    <row r="16887" spans="4:39" x14ac:dyDescent="0.3">
      <c r="D16887" s="1"/>
      <c r="G16887" s="13"/>
      <c r="AL16887" s="13"/>
    </row>
    <row r="16888" spans="4:39" x14ac:dyDescent="0.3">
      <c r="D16888" s="1"/>
      <c r="G16888" s="13"/>
      <c r="AL16888" s="13"/>
    </row>
    <row r="16889" spans="4:39" x14ac:dyDescent="0.3">
      <c r="D16889" s="1"/>
      <c r="G16889" s="13"/>
      <c r="AL16889" s="13"/>
    </row>
    <row r="16890" spans="4:39" x14ac:dyDescent="0.3">
      <c r="D16890" s="1"/>
      <c r="G16890" s="13"/>
      <c r="AL16890" s="13"/>
    </row>
    <row r="16891" spans="4:39" x14ac:dyDescent="0.3">
      <c r="D16891" s="1"/>
      <c r="G16891" s="13"/>
      <c r="AL16891" s="13"/>
      <c r="AM16891" s="14"/>
    </row>
    <row r="16892" spans="4:39" x14ac:dyDescent="0.3">
      <c r="D16892" s="1"/>
      <c r="G16892" s="13"/>
      <c r="AL16892" s="13"/>
    </row>
    <row r="16893" spans="4:39" x14ac:dyDescent="0.3">
      <c r="D16893" s="1"/>
      <c r="G16893" s="13"/>
      <c r="AL16893" s="13"/>
    </row>
    <row r="16894" spans="4:39" x14ac:dyDescent="0.3">
      <c r="D16894" s="1"/>
      <c r="G16894" s="13"/>
      <c r="AL16894" s="13"/>
    </row>
    <row r="16895" spans="4:39" x14ac:dyDescent="0.3">
      <c r="D16895" s="1"/>
      <c r="G16895" s="13"/>
      <c r="AL16895" s="13"/>
    </row>
    <row r="16896" spans="4:39" x14ac:dyDescent="0.3">
      <c r="D16896" s="1"/>
      <c r="G16896" s="13"/>
      <c r="AL16896" s="13"/>
    </row>
    <row r="16897" spans="4:39" x14ac:dyDescent="0.3">
      <c r="D16897" s="1"/>
      <c r="G16897" s="13"/>
      <c r="AL16897" s="13"/>
    </row>
    <row r="16898" spans="4:39" x14ac:dyDescent="0.3">
      <c r="D16898" s="1"/>
      <c r="G16898" s="13"/>
      <c r="AL16898" s="13"/>
    </row>
    <row r="16899" spans="4:39" x14ac:dyDescent="0.3">
      <c r="D16899" s="1"/>
      <c r="G16899" s="13"/>
      <c r="AL16899" s="13"/>
    </row>
    <row r="16900" spans="4:39" x14ac:dyDescent="0.3">
      <c r="D16900" s="1"/>
      <c r="G16900" s="13"/>
      <c r="AL16900" s="13"/>
    </row>
    <row r="16901" spans="4:39" x14ac:dyDescent="0.3">
      <c r="D16901" s="1"/>
      <c r="G16901" s="13"/>
      <c r="AL16901" s="13"/>
    </row>
    <row r="16902" spans="4:39" x14ac:dyDescent="0.3">
      <c r="D16902" s="1"/>
      <c r="G16902" s="13"/>
      <c r="AL16902" s="13"/>
    </row>
    <row r="16903" spans="4:39" x14ac:dyDescent="0.3">
      <c r="D16903" s="1"/>
      <c r="G16903" s="13"/>
      <c r="AL16903" s="13"/>
    </row>
    <row r="16904" spans="4:39" x14ac:dyDescent="0.3">
      <c r="D16904" s="1"/>
      <c r="G16904" s="13"/>
      <c r="AL16904" s="13"/>
    </row>
    <row r="16905" spans="4:39" x14ac:dyDescent="0.3">
      <c r="D16905" s="1"/>
      <c r="G16905" s="13"/>
      <c r="AL16905" s="13"/>
    </row>
    <row r="16906" spans="4:39" x14ac:dyDescent="0.3">
      <c r="D16906" s="1"/>
      <c r="G16906" s="13"/>
      <c r="AL16906" s="13"/>
    </row>
    <row r="16907" spans="4:39" x14ac:dyDescent="0.3">
      <c r="D16907" s="1"/>
      <c r="G16907" s="13"/>
      <c r="AL16907" s="13"/>
    </row>
    <row r="16908" spans="4:39" x14ac:dyDescent="0.3">
      <c r="D16908" s="1"/>
      <c r="G16908" s="13"/>
      <c r="AL16908" s="13"/>
      <c r="AM16908" s="14"/>
    </row>
    <row r="16909" spans="4:39" x14ac:dyDescent="0.3">
      <c r="D16909" s="1"/>
      <c r="G16909" s="13"/>
      <c r="AL16909" s="13"/>
    </row>
    <row r="16910" spans="4:39" x14ac:dyDescent="0.3">
      <c r="D16910" s="1"/>
      <c r="G16910" s="13"/>
      <c r="AL16910" s="13"/>
      <c r="AM16910" s="14"/>
    </row>
    <row r="16911" spans="4:39" x14ac:dyDescent="0.3">
      <c r="D16911" s="1"/>
      <c r="G16911" s="13"/>
      <c r="AL16911" s="13"/>
      <c r="AM16911" s="14"/>
    </row>
    <row r="16912" spans="4:39" x14ac:dyDescent="0.3">
      <c r="D16912" s="1"/>
      <c r="G16912" s="13"/>
      <c r="AL16912" s="13"/>
    </row>
    <row r="16913" spans="4:39" x14ac:dyDescent="0.3">
      <c r="D16913" s="1"/>
      <c r="G16913" s="13"/>
      <c r="AL16913" s="13"/>
      <c r="AM16913" s="14"/>
    </row>
    <row r="16914" spans="4:39" x14ac:dyDescent="0.3">
      <c r="D16914" s="1"/>
      <c r="G16914" s="13"/>
      <c r="AL16914" s="13"/>
    </row>
    <row r="16915" spans="4:39" x14ac:dyDescent="0.3">
      <c r="D16915" s="1"/>
      <c r="G16915" s="13"/>
      <c r="AL16915" s="13"/>
      <c r="AM16915" s="14"/>
    </row>
    <row r="16916" spans="4:39" x14ac:dyDescent="0.3">
      <c r="D16916" s="1"/>
      <c r="G16916" s="13"/>
      <c r="AL16916" s="13"/>
      <c r="AM16916" s="14"/>
    </row>
    <row r="16917" spans="4:39" x14ac:dyDescent="0.3">
      <c r="D16917" s="1"/>
      <c r="G16917" s="13"/>
      <c r="AL16917" s="13"/>
    </row>
    <row r="16918" spans="4:39" x14ac:dyDescent="0.3">
      <c r="D16918" s="1"/>
      <c r="G16918" s="13"/>
      <c r="AL16918" s="13"/>
    </row>
    <row r="16919" spans="4:39" x14ac:dyDescent="0.3">
      <c r="D16919" s="1"/>
      <c r="G16919" s="13"/>
      <c r="AL16919" s="13"/>
      <c r="AM16919" s="14"/>
    </row>
    <row r="16920" spans="4:39" x14ac:dyDescent="0.3">
      <c r="D16920" s="1"/>
      <c r="G16920" s="13"/>
      <c r="AL16920" s="13"/>
    </row>
    <row r="16921" spans="4:39" x14ac:dyDescent="0.3">
      <c r="D16921" s="1"/>
      <c r="G16921" s="13"/>
      <c r="AL16921" s="13"/>
    </row>
    <row r="16922" spans="4:39" x14ac:dyDescent="0.3">
      <c r="D16922" s="1"/>
      <c r="G16922" s="13"/>
      <c r="AL16922" s="13"/>
    </row>
    <row r="16923" spans="4:39" x14ac:dyDescent="0.3">
      <c r="D16923" s="1"/>
      <c r="G16923" s="13"/>
      <c r="AL16923" s="13"/>
    </row>
    <row r="16924" spans="4:39" x14ac:dyDescent="0.3">
      <c r="D16924" s="1"/>
      <c r="G16924" s="13"/>
      <c r="AL16924" s="13"/>
    </row>
    <row r="16925" spans="4:39" x14ac:dyDescent="0.3">
      <c r="D16925" s="1"/>
      <c r="G16925" s="13"/>
      <c r="AL16925" s="13"/>
    </row>
    <row r="16926" spans="4:39" x14ac:dyDescent="0.3">
      <c r="D16926" s="1"/>
      <c r="G16926" s="13"/>
      <c r="AL16926" s="13"/>
      <c r="AM16926" s="14"/>
    </row>
    <row r="16927" spans="4:39" x14ac:dyDescent="0.3">
      <c r="D16927" s="1"/>
      <c r="G16927" s="13"/>
      <c r="AL16927" s="13"/>
      <c r="AM16927" s="14"/>
    </row>
    <row r="16928" spans="4:39" x14ac:dyDescent="0.3">
      <c r="D16928" s="1"/>
      <c r="G16928" s="13"/>
      <c r="AL16928" s="13"/>
    </row>
    <row r="16929" spans="4:39" x14ac:dyDescent="0.3">
      <c r="D16929" s="1"/>
      <c r="G16929" s="13"/>
      <c r="AL16929" s="13"/>
    </row>
    <row r="16930" spans="4:39" x14ac:dyDescent="0.3">
      <c r="D16930" s="1"/>
      <c r="G16930" s="13"/>
      <c r="AL16930" s="13"/>
    </row>
    <row r="16931" spans="4:39" x14ac:dyDescent="0.3">
      <c r="D16931" s="1"/>
      <c r="G16931" s="13"/>
      <c r="AL16931" s="13"/>
    </row>
    <row r="16932" spans="4:39" x14ac:dyDescent="0.3">
      <c r="D16932" s="1"/>
      <c r="G16932" s="13"/>
      <c r="AL16932" s="13"/>
      <c r="AM16932" s="14"/>
    </row>
    <row r="16933" spans="4:39" x14ac:dyDescent="0.3">
      <c r="D16933" s="1"/>
      <c r="G16933" s="13"/>
      <c r="AL16933" s="13"/>
    </row>
    <row r="16934" spans="4:39" x14ac:dyDescent="0.3">
      <c r="D16934" s="1"/>
      <c r="G16934" s="13"/>
      <c r="AL16934" s="13"/>
    </row>
    <row r="16935" spans="4:39" x14ac:dyDescent="0.3">
      <c r="D16935" s="1"/>
      <c r="G16935" s="13"/>
      <c r="AL16935" s="13"/>
    </row>
    <row r="16936" spans="4:39" x14ac:dyDescent="0.3">
      <c r="D16936" s="1"/>
      <c r="G16936" s="13"/>
      <c r="AL16936" s="13"/>
      <c r="AM16936" s="14"/>
    </row>
    <row r="16937" spans="4:39" x14ac:dyDescent="0.3">
      <c r="D16937" s="1"/>
      <c r="G16937" s="13"/>
      <c r="AL16937" s="13"/>
    </row>
    <row r="16938" spans="4:39" x14ac:dyDescent="0.3">
      <c r="D16938" s="1"/>
      <c r="G16938" s="13"/>
      <c r="AL16938" s="13"/>
      <c r="AM16938" s="14"/>
    </row>
    <row r="16939" spans="4:39" x14ac:dyDescent="0.3">
      <c r="D16939" s="1"/>
      <c r="G16939" s="13"/>
      <c r="AL16939" s="13"/>
      <c r="AM16939" s="14"/>
    </row>
    <row r="16940" spans="4:39" x14ac:dyDescent="0.3">
      <c r="D16940" s="1"/>
      <c r="G16940" s="13"/>
      <c r="AL16940" s="13"/>
    </row>
    <row r="16941" spans="4:39" x14ac:dyDescent="0.3">
      <c r="D16941" s="1"/>
      <c r="G16941" s="13"/>
      <c r="AL16941" s="13"/>
      <c r="AM16941" s="14"/>
    </row>
    <row r="16942" spans="4:39" x14ac:dyDescent="0.3">
      <c r="D16942" s="1"/>
      <c r="G16942" s="13"/>
      <c r="AL16942" s="13"/>
      <c r="AM16942" s="14"/>
    </row>
    <row r="16943" spans="4:39" x14ac:dyDescent="0.3">
      <c r="D16943" s="1"/>
      <c r="G16943" s="13"/>
      <c r="AL16943" s="13"/>
      <c r="AM16943" s="14"/>
    </row>
    <row r="16944" spans="4:39" x14ac:dyDescent="0.3">
      <c r="D16944" s="1"/>
      <c r="G16944" s="13"/>
      <c r="AL16944" s="13"/>
      <c r="AM16944" s="14"/>
    </row>
    <row r="16945" spans="4:39" x14ac:dyDescent="0.3">
      <c r="D16945" s="1"/>
      <c r="G16945" s="13"/>
      <c r="AL16945" s="13"/>
    </row>
    <row r="16946" spans="4:39" x14ac:dyDescent="0.3">
      <c r="D16946" s="1"/>
      <c r="G16946" s="13"/>
      <c r="AL16946" s="13"/>
      <c r="AM16946" s="14"/>
    </row>
    <row r="16947" spans="4:39" x14ac:dyDescent="0.3">
      <c r="D16947" s="1"/>
      <c r="G16947" s="13"/>
      <c r="AL16947" s="13"/>
    </row>
    <row r="16948" spans="4:39" x14ac:dyDescent="0.3">
      <c r="D16948" s="1"/>
      <c r="G16948" s="13"/>
      <c r="AL16948" s="13"/>
    </row>
    <row r="16949" spans="4:39" x14ac:dyDescent="0.3">
      <c r="D16949" s="1"/>
      <c r="G16949" s="13"/>
      <c r="AL16949" s="13"/>
    </row>
    <row r="16950" spans="4:39" x14ac:dyDescent="0.3">
      <c r="D16950" s="1"/>
      <c r="G16950" s="13"/>
      <c r="AL16950" s="13"/>
    </row>
    <row r="16951" spans="4:39" x14ac:dyDescent="0.3">
      <c r="D16951" s="1"/>
      <c r="G16951" s="13"/>
      <c r="AL16951" s="13"/>
    </row>
    <row r="16952" spans="4:39" x14ac:dyDescent="0.3">
      <c r="D16952" s="1"/>
      <c r="G16952" s="13"/>
      <c r="AL16952" s="13"/>
    </row>
    <row r="16953" spans="4:39" x14ac:dyDescent="0.3">
      <c r="D16953" s="1"/>
      <c r="G16953" s="13"/>
      <c r="AL16953" s="13"/>
    </row>
    <row r="16954" spans="4:39" x14ac:dyDescent="0.3">
      <c r="D16954" s="1"/>
      <c r="G16954" s="13"/>
      <c r="AL16954" s="13"/>
    </row>
    <row r="16955" spans="4:39" x14ac:dyDescent="0.3">
      <c r="D16955" s="1"/>
      <c r="G16955" s="13"/>
      <c r="AL16955" s="13"/>
    </row>
    <row r="16956" spans="4:39" x14ac:dyDescent="0.3">
      <c r="D16956" s="1"/>
      <c r="G16956" s="13"/>
      <c r="AL16956" s="13"/>
    </row>
    <row r="16957" spans="4:39" x14ac:dyDescent="0.3">
      <c r="D16957" s="1"/>
      <c r="G16957" s="13"/>
      <c r="AL16957" s="13"/>
      <c r="AM16957" s="14"/>
    </row>
    <row r="16958" spans="4:39" x14ac:dyDescent="0.3">
      <c r="D16958" s="1"/>
      <c r="G16958" s="13"/>
      <c r="AL16958" s="13"/>
    </row>
    <row r="16959" spans="4:39" x14ac:dyDescent="0.3">
      <c r="D16959" s="1"/>
      <c r="G16959" s="13"/>
      <c r="AL16959" s="13"/>
    </row>
    <row r="16960" spans="4:39" x14ac:dyDescent="0.3">
      <c r="D16960" s="1"/>
      <c r="G16960" s="13"/>
      <c r="AL16960" s="13"/>
    </row>
    <row r="16961" spans="4:39" x14ac:dyDescent="0.3">
      <c r="D16961" s="1"/>
      <c r="G16961" s="13"/>
      <c r="AL16961" s="13"/>
    </row>
    <row r="16962" spans="4:39" x14ac:dyDescent="0.3">
      <c r="D16962" s="1"/>
      <c r="G16962" s="13"/>
      <c r="AL16962" s="13"/>
      <c r="AM16962" s="14"/>
    </row>
    <row r="16963" spans="4:39" x14ac:dyDescent="0.3">
      <c r="D16963" s="1"/>
      <c r="G16963" s="13"/>
      <c r="AL16963" s="13"/>
    </row>
    <row r="16964" spans="4:39" x14ac:dyDescent="0.3">
      <c r="D16964" s="1"/>
      <c r="G16964" s="13"/>
      <c r="AL16964" s="13"/>
    </row>
    <row r="16965" spans="4:39" x14ac:dyDescent="0.3">
      <c r="D16965" s="1"/>
      <c r="G16965" s="13"/>
      <c r="AL16965" s="13"/>
    </row>
    <row r="16966" spans="4:39" x14ac:dyDescent="0.3">
      <c r="D16966" s="1"/>
      <c r="G16966" s="13"/>
      <c r="AL16966" s="13"/>
    </row>
    <row r="16967" spans="4:39" x14ac:dyDescent="0.3">
      <c r="D16967" s="1"/>
      <c r="G16967" s="13"/>
      <c r="AL16967" s="13"/>
    </row>
    <row r="16968" spans="4:39" x14ac:dyDescent="0.3">
      <c r="D16968" s="1"/>
      <c r="G16968" s="13"/>
      <c r="AL16968" s="13"/>
    </row>
    <row r="16969" spans="4:39" x14ac:dyDescent="0.3">
      <c r="D16969" s="1"/>
      <c r="G16969" s="13"/>
      <c r="AL16969" s="13"/>
      <c r="AM16969" s="14"/>
    </row>
    <row r="16970" spans="4:39" x14ac:dyDescent="0.3">
      <c r="D16970" s="1"/>
      <c r="G16970" s="13"/>
      <c r="AL16970" s="13"/>
    </row>
    <row r="16971" spans="4:39" x14ac:dyDescent="0.3">
      <c r="D16971" s="1"/>
      <c r="G16971" s="13"/>
      <c r="AL16971" s="13"/>
    </row>
    <row r="16972" spans="4:39" x14ac:dyDescent="0.3">
      <c r="D16972" s="1"/>
      <c r="G16972" s="13"/>
      <c r="AL16972" s="13"/>
    </row>
    <row r="16973" spans="4:39" x14ac:dyDescent="0.3">
      <c r="D16973" s="1"/>
      <c r="G16973" s="13"/>
      <c r="AL16973" s="13"/>
    </row>
    <row r="16974" spans="4:39" x14ac:dyDescent="0.3">
      <c r="D16974" s="1"/>
      <c r="G16974" s="13"/>
      <c r="AL16974" s="13"/>
    </row>
    <row r="16975" spans="4:39" x14ac:dyDescent="0.3">
      <c r="D16975" s="1"/>
      <c r="G16975" s="13"/>
      <c r="AL16975" s="13"/>
    </row>
    <row r="16976" spans="4:39" x14ac:dyDescent="0.3">
      <c r="D16976" s="1"/>
      <c r="G16976" s="13"/>
      <c r="AL16976" s="13"/>
    </row>
    <row r="16977" spans="4:39" x14ac:dyDescent="0.3">
      <c r="D16977" s="1"/>
      <c r="G16977" s="13"/>
      <c r="AL16977" s="13"/>
    </row>
    <row r="16978" spans="4:39" x14ac:dyDescent="0.3">
      <c r="D16978" s="1"/>
      <c r="G16978" s="13"/>
      <c r="AL16978" s="13"/>
    </row>
    <row r="16979" spans="4:39" x14ac:dyDescent="0.3">
      <c r="D16979" s="1"/>
      <c r="G16979" s="13"/>
      <c r="AL16979" s="13"/>
    </row>
    <row r="16980" spans="4:39" x14ac:dyDescent="0.3">
      <c r="D16980" s="1"/>
      <c r="G16980" s="13"/>
      <c r="AL16980" s="13"/>
    </row>
    <row r="16981" spans="4:39" x14ac:dyDescent="0.3">
      <c r="D16981" s="1"/>
      <c r="G16981" s="13"/>
      <c r="AL16981" s="13"/>
      <c r="AM16981" s="14"/>
    </row>
    <row r="16982" spans="4:39" x14ac:dyDescent="0.3">
      <c r="D16982" s="1"/>
      <c r="G16982" s="13"/>
      <c r="AL16982" s="13"/>
    </row>
    <row r="16983" spans="4:39" x14ac:dyDescent="0.3">
      <c r="D16983" s="1"/>
      <c r="G16983" s="13"/>
      <c r="AL16983" s="13"/>
    </row>
    <row r="16984" spans="4:39" x14ac:dyDescent="0.3">
      <c r="D16984" s="1"/>
      <c r="G16984" s="13"/>
      <c r="AL16984" s="13"/>
    </row>
    <row r="16985" spans="4:39" x14ac:dyDescent="0.3">
      <c r="D16985" s="1"/>
      <c r="G16985" s="13"/>
      <c r="AL16985" s="13"/>
    </row>
    <row r="16986" spans="4:39" x14ac:dyDescent="0.3">
      <c r="D16986" s="1"/>
      <c r="G16986" s="13"/>
      <c r="AL16986" s="13"/>
    </row>
    <row r="16987" spans="4:39" x14ac:dyDescent="0.3">
      <c r="D16987" s="1"/>
      <c r="G16987" s="13"/>
      <c r="AL16987" s="13"/>
    </row>
    <row r="16988" spans="4:39" x14ac:dyDescent="0.3">
      <c r="D16988" s="1"/>
      <c r="G16988" s="13"/>
      <c r="AL16988" s="13"/>
    </row>
    <row r="16989" spans="4:39" x14ac:dyDescent="0.3">
      <c r="D16989" s="1"/>
      <c r="G16989" s="13"/>
      <c r="AL16989" s="13"/>
    </row>
    <row r="16990" spans="4:39" x14ac:dyDescent="0.3">
      <c r="D16990" s="1"/>
      <c r="G16990" s="13"/>
      <c r="AL16990" s="13"/>
      <c r="AM16990" s="14"/>
    </row>
    <row r="16991" spans="4:39" x14ac:dyDescent="0.3">
      <c r="D16991" s="1"/>
      <c r="G16991" s="13"/>
      <c r="AL16991" s="13"/>
    </row>
    <row r="16992" spans="4:39" x14ac:dyDescent="0.3">
      <c r="D16992" s="1"/>
      <c r="G16992" s="13"/>
      <c r="AL16992" s="13"/>
    </row>
    <row r="16993" spans="4:39" x14ac:dyDescent="0.3">
      <c r="D16993" s="1"/>
      <c r="G16993" s="13"/>
      <c r="AL16993" s="13"/>
    </row>
    <row r="16994" spans="4:39" x14ac:dyDescent="0.3">
      <c r="D16994" s="1"/>
      <c r="G16994" s="13"/>
      <c r="AL16994" s="13"/>
      <c r="AM16994" s="14"/>
    </row>
    <row r="16995" spans="4:39" x14ac:dyDescent="0.3">
      <c r="D16995" s="1"/>
      <c r="G16995" s="13"/>
      <c r="AL16995" s="13"/>
      <c r="AM16995" s="14"/>
    </row>
    <row r="16996" spans="4:39" x14ac:dyDescent="0.3">
      <c r="D16996" s="1"/>
      <c r="G16996" s="13"/>
      <c r="AL16996" s="13"/>
      <c r="AM16996" s="14"/>
    </row>
    <row r="16997" spans="4:39" x14ac:dyDescent="0.3">
      <c r="D16997" s="1"/>
      <c r="G16997" s="13"/>
      <c r="AL16997" s="13"/>
      <c r="AM16997" s="14"/>
    </row>
    <row r="16998" spans="4:39" x14ac:dyDescent="0.3">
      <c r="D16998" s="1"/>
      <c r="G16998" s="13"/>
      <c r="AL16998" s="13"/>
    </row>
    <row r="16999" spans="4:39" x14ac:dyDescent="0.3">
      <c r="D16999" s="1"/>
      <c r="G16999" s="13"/>
      <c r="AL16999" s="13"/>
    </row>
    <row r="17000" spans="4:39" x14ac:dyDescent="0.3">
      <c r="D17000" s="1"/>
      <c r="G17000" s="13"/>
      <c r="AL17000" s="13"/>
    </row>
    <row r="17001" spans="4:39" x14ac:dyDescent="0.3">
      <c r="D17001" s="1"/>
      <c r="G17001" s="13"/>
      <c r="AL17001" s="13"/>
    </row>
    <row r="17002" spans="4:39" x14ac:dyDescent="0.3">
      <c r="D17002" s="1"/>
      <c r="G17002" s="13"/>
      <c r="AL17002" s="13"/>
    </row>
    <row r="17003" spans="4:39" x14ac:dyDescent="0.3">
      <c r="D17003" s="1"/>
      <c r="G17003" s="13"/>
      <c r="AL17003" s="13"/>
      <c r="AM17003" s="14"/>
    </row>
    <row r="17004" spans="4:39" x14ac:dyDescent="0.3">
      <c r="D17004" s="1"/>
      <c r="G17004" s="13"/>
      <c r="AL17004" s="13"/>
      <c r="AM17004" s="14"/>
    </row>
    <row r="17005" spans="4:39" x14ac:dyDescent="0.3">
      <c r="D17005" s="1"/>
      <c r="G17005" s="13"/>
      <c r="AL17005" s="13"/>
      <c r="AM17005" s="14"/>
    </row>
    <row r="17006" spans="4:39" x14ac:dyDescent="0.3">
      <c r="D17006" s="1"/>
      <c r="G17006" s="13"/>
      <c r="AL17006" s="13"/>
      <c r="AM17006" s="14"/>
    </row>
    <row r="17007" spans="4:39" x14ac:dyDescent="0.3">
      <c r="D17007" s="1"/>
      <c r="G17007" s="13"/>
      <c r="AL17007" s="13"/>
    </row>
    <row r="17008" spans="4:39" x14ac:dyDescent="0.3">
      <c r="D17008" s="1"/>
      <c r="G17008" s="13"/>
      <c r="AL17008" s="13"/>
      <c r="AM17008" s="14"/>
    </row>
    <row r="17009" spans="4:39" x14ac:dyDescent="0.3">
      <c r="D17009" s="1"/>
      <c r="G17009" s="13"/>
      <c r="AL17009" s="13"/>
      <c r="AM17009" s="14"/>
    </row>
    <row r="17010" spans="4:39" x14ac:dyDescent="0.3">
      <c r="D17010" s="1"/>
      <c r="G17010" s="13"/>
      <c r="AL17010" s="13"/>
      <c r="AM17010" s="14"/>
    </row>
    <row r="17011" spans="4:39" x14ac:dyDescent="0.3">
      <c r="D17011" s="1"/>
      <c r="G17011" s="13"/>
      <c r="AL17011" s="13"/>
    </row>
    <row r="17012" spans="4:39" x14ac:dyDescent="0.3">
      <c r="D17012" s="1"/>
      <c r="G17012" s="13"/>
      <c r="AL17012" s="13"/>
    </row>
    <row r="17013" spans="4:39" x14ac:dyDescent="0.3">
      <c r="D17013" s="1"/>
      <c r="G17013" s="13"/>
      <c r="AL17013" s="13"/>
    </row>
    <row r="17014" spans="4:39" x14ac:dyDescent="0.3">
      <c r="D17014" s="1"/>
      <c r="G17014" s="13"/>
      <c r="AL17014" s="13"/>
      <c r="AM17014" s="14"/>
    </row>
    <row r="17015" spans="4:39" x14ac:dyDescent="0.3">
      <c r="D17015" s="1"/>
      <c r="G17015" s="13"/>
      <c r="AL17015" s="13"/>
    </row>
    <row r="17016" spans="4:39" x14ac:dyDescent="0.3">
      <c r="D17016" s="1"/>
      <c r="G17016" s="13"/>
      <c r="AL17016" s="13"/>
    </row>
    <row r="17017" spans="4:39" x14ac:dyDescent="0.3">
      <c r="D17017" s="1"/>
      <c r="G17017" s="13"/>
      <c r="AL17017" s="13"/>
      <c r="AM17017" s="14"/>
    </row>
    <row r="17018" spans="4:39" x14ac:dyDescent="0.3">
      <c r="D17018" s="1"/>
      <c r="G17018" s="13"/>
      <c r="AL17018" s="13"/>
    </row>
    <row r="17019" spans="4:39" x14ac:dyDescent="0.3">
      <c r="D17019" s="1"/>
      <c r="G17019" s="13"/>
      <c r="AL17019" s="13"/>
    </row>
    <row r="17020" spans="4:39" x14ac:dyDescent="0.3">
      <c r="D17020" s="1"/>
      <c r="G17020" s="13"/>
      <c r="AL17020" s="13"/>
    </row>
    <row r="17021" spans="4:39" x14ac:dyDescent="0.3">
      <c r="D17021" s="1"/>
      <c r="G17021" s="13"/>
      <c r="AL17021" s="13"/>
    </row>
    <row r="17022" spans="4:39" x14ac:dyDescent="0.3">
      <c r="D17022" s="1"/>
      <c r="G17022" s="13"/>
      <c r="AL17022" s="13"/>
      <c r="AM17022" s="14"/>
    </row>
    <row r="17023" spans="4:39" x14ac:dyDescent="0.3">
      <c r="D17023" s="1"/>
      <c r="G17023" s="13"/>
      <c r="AL17023" s="13"/>
    </row>
    <row r="17024" spans="4:39" x14ac:dyDescent="0.3">
      <c r="D17024" s="1"/>
      <c r="G17024" s="13"/>
      <c r="AL17024" s="13"/>
    </row>
    <row r="17025" spans="4:39" x14ac:dyDescent="0.3">
      <c r="D17025" s="1"/>
      <c r="G17025" s="13"/>
      <c r="AL17025" s="13"/>
      <c r="AM17025" s="14"/>
    </row>
    <row r="17026" spans="4:39" x14ac:dyDescent="0.3">
      <c r="D17026" s="1"/>
      <c r="G17026" s="13"/>
      <c r="AL17026" s="13"/>
    </row>
    <row r="17027" spans="4:39" x14ac:dyDescent="0.3">
      <c r="D17027" s="1"/>
      <c r="G17027" s="13"/>
      <c r="AL17027" s="13"/>
      <c r="AM17027" s="14"/>
    </row>
    <row r="17028" spans="4:39" x14ac:dyDescent="0.3">
      <c r="D17028" s="1"/>
      <c r="G17028" s="13"/>
      <c r="AL17028" s="13"/>
    </row>
    <row r="17029" spans="4:39" x14ac:dyDescent="0.3">
      <c r="D17029" s="1"/>
      <c r="G17029" s="13"/>
      <c r="AL17029" s="13"/>
      <c r="AM17029" s="14"/>
    </row>
    <row r="17030" spans="4:39" x14ac:dyDescent="0.3">
      <c r="D17030" s="1"/>
      <c r="G17030" s="13"/>
      <c r="AL17030" s="13"/>
    </row>
    <row r="17031" spans="4:39" x14ac:dyDescent="0.3">
      <c r="D17031" s="1"/>
      <c r="G17031" s="13"/>
      <c r="AL17031" s="13"/>
      <c r="AM17031" s="14"/>
    </row>
    <row r="17032" spans="4:39" x14ac:dyDescent="0.3">
      <c r="D17032" s="1"/>
      <c r="G17032" s="13"/>
      <c r="AL17032" s="13"/>
    </row>
    <row r="17033" spans="4:39" x14ac:dyDescent="0.3">
      <c r="D17033" s="1"/>
      <c r="G17033" s="13"/>
      <c r="AL17033" s="13"/>
    </row>
    <row r="17034" spans="4:39" x14ac:dyDescent="0.3">
      <c r="D17034" s="1"/>
      <c r="G17034" s="13"/>
      <c r="AL17034" s="13"/>
    </row>
    <row r="17035" spans="4:39" x14ac:dyDescent="0.3">
      <c r="D17035" s="1"/>
      <c r="G17035" s="13"/>
      <c r="AL17035" s="13"/>
    </row>
    <row r="17036" spans="4:39" x14ac:dyDescent="0.3">
      <c r="D17036" s="1"/>
      <c r="G17036" s="13"/>
      <c r="AL17036" s="13"/>
    </row>
    <row r="17037" spans="4:39" x14ac:dyDescent="0.3">
      <c r="D17037" s="1"/>
      <c r="G17037" s="13"/>
      <c r="AL17037" s="13"/>
    </row>
    <row r="17038" spans="4:39" x14ac:dyDescent="0.3">
      <c r="D17038" s="1"/>
      <c r="G17038" s="13"/>
      <c r="AL17038" s="13"/>
    </row>
    <row r="17039" spans="4:39" x14ac:dyDescent="0.3">
      <c r="D17039" s="1"/>
      <c r="G17039" s="13"/>
      <c r="AL17039" s="13"/>
      <c r="AM17039" s="14"/>
    </row>
    <row r="17040" spans="4:39" x14ac:dyDescent="0.3">
      <c r="D17040" s="1"/>
      <c r="G17040" s="13"/>
      <c r="AL17040" s="13"/>
      <c r="AM17040" s="14"/>
    </row>
    <row r="17041" spans="4:39" x14ac:dyDescent="0.3">
      <c r="D17041" s="1"/>
      <c r="G17041" s="13"/>
      <c r="AL17041" s="13"/>
      <c r="AM17041" s="14"/>
    </row>
    <row r="17042" spans="4:39" x14ac:dyDescent="0.3">
      <c r="D17042" s="1"/>
      <c r="G17042" s="13"/>
      <c r="AL17042" s="13"/>
      <c r="AM17042" s="14"/>
    </row>
    <row r="17043" spans="4:39" x14ac:dyDescent="0.3">
      <c r="D17043" s="1"/>
      <c r="G17043" s="13"/>
      <c r="AL17043" s="13"/>
      <c r="AM17043" s="14"/>
    </row>
    <row r="17044" spans="4:39" x14ac:dyDescent="0.3">
      <c r="D17044" s="1"/>
      <c r="G17044" s="13"/>
      <c r="AL17044" s="13"/>
      <c r="AM17044" s="14"/>
    </row>
    <row r="17045" spans="4:39" x14ac:dyDescent="0.3">
      <c r="D17045" s="1"/>
      <c r="G17045" s="13"/>
      <c r="AL17045" s="13"/>
      <c r="AM17045" s="14"/>
    </row>
    <row r="17046" spans="4:39" x14ac:dyDescent="0.3">
      <c r="D17046" s="1"/>
      <c r="G17046" s="13"/>
      <c r="AL17046" s="13"/>
      <c r="AM17046" s="14"/>
    </row>
    <row r="17047" spans="4:39" x14ac:dyDescent="0.3">
      <c r="D17047" s="1"/>
      <c r="G17047" s="13"/>
      <c r="AL17047" s="13"/>
    </row>
    <row r="17048" spans="4:39" x14ac:dyDescent="0.3">
      <c r="D17048" s="1"/>
      <c r="G17048" s="13"/>
      <c r="AL17048" s="13"/>
      <c r="AM17048" s="14"/>
    </row>
    <row r="17049" spans="4:39" x14ac:dyDescent="0.3">
      <c r="D17049" s="1"/>
      <c r="G17049" s="13"/>
      <c r="AL17049" s="13"/>
    </row>
    <row r="17050" spans="4:39" x14ac:dyDescent="0.3">
      <c r="D17050" s="1"/>
      <c r="G17050" s="13"/>
      <c r="AL17050" s="13"/>
      <c r="AM17050" s="14"/>
    </row>
    <row r="17051" spans="4:39" x14ac:dyDescent="0.3">
      <c r="D17051" s="1"/>
      <c r="G17051" s="13"/>
      <c r="AL17051" s="13"/>
      <c r="AM17051" s="14"/>
    </row>
    <row r="17052" spans="4:39" x14ac:dyDescent="0.3">
      <c r="D17052" s="1"/>
      <c r="G17052" s="13"/>
      <c r="AL17052" s="13"/>
      <c r="AM17052" s="14"/>
    </row>
    <row r="17053" spans="4:39" x14ac:dyDescent="0.3">
      <c r="D17053" s="1"/>
      <c r="G17053" s="13"/>
      <c r="AL17053" s="13"/>
      <c r="AM17053" s="14"/>
    </row>
    <row r="17054" spans="4:39" x14ac:dyDescent="0.3">
      <c r="D17054" s="1"/>
      <c r="G17054" s="13"/>
      <c r="AL17054" s="13"/>
      <c r="AM17054" s="14"/>
    </row>
    <row r="17055" spans="4:39" x14ac:dyDescent="0.3">
      <c r="D17055" s="1"/>
      <c r="G17055" s="13"/>
      <c r="AL17055" s="13"/>
      <c r="AM17055" s="14"/>
    </row>
    <row r="17056" spans="4:39" x14ac:dyDescent="0.3">
      <c r="D17056" s="1"/>
      <c r="G17056" s="13"/>
      <c r="AL17056" s="13"/>
      <c r="AM17056" s="14"/>
    </row>
    <row r="17057" spans="4:39" x14ac:dyDescent="0.3">
      <c r="D17057" s="1"/>
      <c r="G17057" s="13"/>
      <c r="AL17057" s="13"/>
      <c r="AM17057" s="14"/>
    </row>
    <row r="17058" spans="4:39" x14ac:dyDescent="0.3">
      <c r="D17058" s="1"/>
      <c r="G17058" s="13"/>
      <c r="AL17058" s="13"/>
      <c r="AM17058" s="14"/>
    </row>
    <row r="17059" spans="4:39" x14ac:dyDescent="0.3">
      <c r="D17059" s="1"/>
      <c r="G17059" s="13"/>
      <c r="AL17059" s="13"/>
      <c r="AM17059" s="14"/>
    </row>
    <row r="17060" spans="4:39" x14ac:dyDescent="0.3">
      <c r="D17060" s="1"/>
      <c r="G17060" s="13"/>
      <c r="AL17060" s="13"/>
      <c r="AM17060" s="14"/>
    </row>
    <row r="17061" spans="4:39" x14ac:dyDescent="0.3">
      <c r="D17061" s="1"/>
      <c r="G17061" s="13"/>
      <c r="AL17061" s="13"/>
      <c r="AM17061" s="14"/>
    </row>
    <row r="17062" spans="4:39" x14ac:dyDescent="0.3">
      <c r="D17062" s="1"/>
      <c r="G17062" s="13"/>
      <c r="AL17062" s="13"/>
      <c r="AM17062" s="14"/>
    </row>
    <row r="17063" spans="4:39" x14ac:dyDescent="0.3">
      <c r="D17063" s="1"/>
      <c r="G17063" s="13"/>
      <c r="AL17063" s="13"/>
      <c r="AM17063" s="14"/>
    </row>
    <row r="17064" spans="4:39" x14ac:dyDescent="0.3">
      <c r="D17064" s="1"/>
      <c r="G17064" s="13"/>
      <c r="AL17064" s="13"/>
      <c r="AM17064" s="14"/>
    </row>
    <row r="17065" spans="4:39" x14ac:dyDescent="0.3">
      <c r="D17065" s="1"/>
      <c r="G17065" s="13"/>
      <c r="AL17065" s="13"/>
      <c r="AM17065" s="14"/>
    </row>
    <row r="17066" spans="4:39" x14ac:dyDescent="0.3">
      <c r="D17066" s="1"/>
      <c r="G17066" s="13"/>
      <c r="AL17066" s="13"/>
      <c r="AM17066" s="14"/>
    </row>
    <row r="17067" spans="4:39" x14ac:dyDescent="0.3">
      <c r="D17067" s="1"/>
      <c r="G17067" s="13"/>
      <c r="AL17067" s="13"/>
      <c r="AM17067" s="14"/>
    </row>
    <row r="17068" spans="4:39" x14ac:dyDescent="0.3">
      <c r="D17068" s="1"/>
      <c r="G17068" s="13"/>
      <c r="AL17068" s="13"/>
      <c r="AM17068" s="14"/>
    </row>
    <row r="17069" spans="4:39" x14ac:dyDescent="0.3">
      <c r="D17069" s="1"/>
      <c r="G17069" s="13"/>
      <c r="AL17069" s="13"/>
    </row>
    <row r="17070" spans="4:39" x14ac:dyDescent="0.3">
      <c r="D17070" s="1"/>
      <c r="G17070" s="13"/>
      <c r="AL17070" s="13"/>
      <c r="AM17070" s="14"/>
    </row>
    <row r="17071" spans="4:39" x14ac:dyDescent="0.3">
      <c r="D17071" s="1"/>
      <c r="G17071" s="13"/>
      <c r="AL17071" s="13"/>
      <c r="AM17071" s="14"/>
    </row>
    <row r="17072" spans="4:39" x14ac:dyDescent="0.3">
      <c r="D17072" s="1"/>
      <c r="G17072" s="13"/>
      <c r="AL17072" s="13"/>
      <c r="AM17072" s="14"/>
    </row>
    <row r="17073" spans="4:39" x14ac:dyDescent="0.3">
      <c r="D17073" s="1"/>
      <c r="G17073" s="13"/>
      <c r="AL17073" s="13"/>
      <c r="AM17073" s="14"/>
    </row>
    <row r="17074" spans="4:39" x14ac:dyDescent="0.3">
      <c r="D17074" s="1"/>
      <c r="G17074" s="13"/>
      <c r="AL17074" s="13"/>
    </row>
    <row r="17075" spans="4:39" x14ac:dyDescent="0.3">
      <c r="D17075" s="1"/>
      <c r="G17075" s="13"/>
      <c r="AL17075" s="13"/>
      <c r="AM17075" s="14"/>
    </row>
    <row r="17076" spans="4:39" x14ac:dyDescent="0.3">
      <c r="D17076" s="1"/>
      <c r="G17076" s="13"/>
      <c r="AL17076" s="13"/>
      <c r="AM17076" s="14"/>
    </row>
    <row r="17077" spans="4:39" x14ac:dyDescent="0.3">
      <c r="D17077" s="1"/>
      <c r="G17077" s="13"/>
      <c r="AL17077" s="13"/>
    </row>
    <row r="17078" spans="4:39" x14ac:dyDescent="0.3">
      <c r="D17078" s="1"/>
      <c r="G17078" s="13"/>
      <c r="AL17078" s="13"/>
      <c r="AM17078" s="14"/>
    </row>
    <row r="17079" spans="4:39" x14ac:dyDescent="0.3">
      <c r="D17079" s="1"/>
      <c r="G17079" s="13"/>
      <c r="AL17079" s="13"/>
      <c r="AM17079" s="14"/>
    </row>
    <row r="17080" spans="4:39" x14ac:dyDescent="0.3">
      <c r="D17080" s="1"/>
      <c r="G17080" s="13"/>
      <c r="AL17080" s="13"/>
      <c r="AM17080" s="14"/>
    </row>
    <row r="17081" spans="4:39" x14ac:dyDescent="0.3">
      <c r="D17081" s="1"/>
      <c r="G17081" s="13"/>
      <c r="AL17081" s="13"/>
      <c r="AM17081" s="14"/>
    </row>
    <row r="17082" spans="4:39" x14ac:dyDescent="0.3">
      <c r="D17082" s="1"/>
      <c r="G17082" s="13"/>
      <c r="AL17082" s="13"/>
      <c r="AM17082" s="14"/>
    </row>
    <row r="17083" spans="4:39" x14ac:dyDescent="0.3">
      <c r="D17083" s="1"/>
      <c r="G17083" s="13"/>
      <c r="AL17083" s="13"/>
      <c r="AM17083" s="14"/>
    </row>
    <row r="17084" spans="4:39" x14ac:dyDescent="0.3">
      <c r="D17084" s="1"/>
      <c r="G17084" s="13"/>
      <c r="AL17084" s="13"/>
    </row>
    <row r="17085" spans="4:39" x14ac:dyDescent="0.3">
      <c r="D17085" s="1"/>
      <c r="G17085" s="13"/>
      <c r="AL17085" s="13"/>
      <c r="AM17085" s="14"/>
    </row>
    <row r="17086" spans="4:39" x14ac:dyDescent="0.3">
      <c r="D17086" s="1"/>
      <c r="G17086" s="13"/>
      <c r="AL17086" s="13"/>
      <c r="AM17086" s="14"/>
    </row>
    <row r="17087" spans="4:39" x14ac:dyDescent="0.3">
      <c r="D17087" s="1"/>
      <c r="G17087" s="13"/>
      <c r="AL17087" s="13"/>
      <c r="AM17087" s="14"/>
    </row>
    <row r="17088" spans="4:39" x14ac:dyDescent="0.3">
      <c r="D17088" s="1"/>
      <c r="G17088" s="13"/>
      <c r="AL17088" s="13"/>
      <c r="AM17088" s="14"/>
    </row>
    <row r="17089" spans="4:39" x14ac:dyDescent="0.3">
      <c r="D17089" s="1"/>
      <c r="G17089" s="13"/>
      <c r="AL17089" s="13"/>
      <c r="AM17089" s="14"/>
    </row>
    <row r="17090" spans="4:39" x14ac:dyDescent="0.3">
      <c r="D17090" s="1"/>
      <c r="G17090" s="13"/>
      <c r="AL17090" s="13"/>
    </row>
    <row r="17091" spans="4:39" x14ac:dyDescent="0.3">
      <c r="D17091" s="1"/>
      <c r="G17091" s="13"/>
      <c r="AL17091" s="13"/>
    </row>
    <row r="17092" spans="4:39" x14ac:dyDescent="0.3">
      <c r="D17092" s="1"/>
      <c r="G17092" s="13"/>
      <c r="AL17092" s="13"/>
    </row>
    <row r="17093" spans="4:39" x14ac:dyDescent="0.3">
      <c r="D17093" s="1"/>
      <c r="G17093" s="13"/>
      <c r="AL17093" s="13"/>
    </row>
    <row r="17094" spans="4:39" x14ac:dyDescent="0.3">
      <c r="D17094" s="1"/>
      <c r="G17094" s="13"/>
      <c r="AL17094" s="13"/>
    </row>
    <row r="17095" spans="4:39" x14ac:dyDescent="0.3">
      <c r="D17095" s="1"/>
      <c r="G17095" s="13"/>
      <c r="AL17095" s="13"/>
    </row>
    <row r="17096" spans="4:39" x14ac:dyDescent="0.3">
      <c r="D17096" s="1"/>
      <c r="G17096" s="13"/>
      <c r="AL17096" s="13"/>
    </row>
    <row r="17097" spans="4:39" x14ac:dyDescent="0.3">
      <c r="D17097" s="1"/>
      <c r="G17097" s="13"/>
      <c r="AL17097" s="13"/>
    </row>
    <row r="17098" spans="4:39" x14ac:dyDescent="0.3">
      <c r="D17098" s="1"/>
      <c r="G17098" s="13"/>
      <c r="AL17098" s="13"/>
    </row>
    <row r="17099" spans="4:39" x14ac:dyDescent="0.3">
      <c r="D17099" s="1"/>
      <c r="G17099" s="13"/>
      <c r="AL17099" s="13"/>
    </row>
    <row r="17100" spans="4:39" x14ac:dyDescent="0.3">
      <c r="D17100" s="1"/>
      <c r="G17100" s="13"/>
      <c r="AL17100" s="13"/>
    </row>
    <row r="17101" spans="4:39" x14ac:dyDescent="0.3">
      <c r="D17101" s="1"/>
      <c r="G17101" s="13"/>
      <c r="AL17101" s="13"/>
    </row>
    <row r="17102" spans="4:39" x14ac:dyDescent="0.3">
      <c r="D17102" s="1"/>
      <c r="G17102" s="13"/>
      <c r="AL17102" s="13"/>
    </row>
    <row r="17103" spans="4:39" x14ac:dyDescent="0.3">
      <c r="D17103" s="1"/>
      <c r="G17103" s="13"/>
      <c r="AL17103" s="13"/>
    </row>
    <row r="17104" spans="4:39" x14ac:dyDescent="0.3">
      <c r="D17104" s="1"/>
      <c r="G17104" s="13"/>
      <c r="AL17104" s="13"/>
    </row>
    <row r="17105" spans="4:39" x14ac:dyDescent="0.3">
      <c r="D17105" s="1"/>
      <c r="G17105" s="13"/>
      <c r="AL17105" s="13"/>
    </row>
    <row r="17106" spans="4:39" x14ac:dyDescent="0.3">
      <c r="D17106" s="1"/>
      <c r="G17106" s="13"/>
      <c r="AL17106" s="13"/>
    </row>
    <row r="17107" spans="4:39" x14ac:dyDescent="0.3">
      <c r="D17107" s="1"/>
      <c r="G17107" s="13"/>
      <c r="AL17107" s="13"/>
    </row>
    <row r="17108" spans="4:39" x14ac:dyDescent="0.3">
      <c r="D17108" s="1"/>
      <c r="G17108" s="13"/>
      <c r="AL17108" s="13"/>
    </row>
    <row r="17109" spans="4:39" x14ac:dyDescent="0.3">
      <c r="D17109" s="1"/>
      <c r="G17109" s="13"/>
      <c r="AL17109" s="13"/>
    </row>
    <row r="17110" spans="4:39" x14ac:dyDescent="0.3">
      <c r="D17110" s="1"/>
      <c r="G17110" s="13"/>
      <c r="AL17110" s="13"/>
    </row>
    <row r="17111" spans="4:39" x14ac:dyDescent="0.3">
      <c r="D17111" s="1"/>
      <c r="G17111" s="13"/>
      <c r="AL17111" s="13"/>
    </row>
    <row r="17112" spans="4:39" x14ac:dyDescent="0.3">
      <c r="D17112" s="1"/>
      <c r="G17112" s="13"/>
      <c r="AL17112" s="13"/>
    </row>
    <row r="17113" spans="4:39" x14ac:dyDescent="0.3">
      <c r="D17113" s="1"/>
      <c r="G17113" s="13"/>
      <c r="AL17113" s="13"/>
    </row>
    <row r="17114" spans="4:39" x14ac:dyDescent="0.3">
      <c r="D17114" s="1"/>
      <c r="G17114" s="13"/>
      <c r="AL17114" s="13"/>
      <c r="AM17114" s="14"/>
    </row>
    <row r="17115" spans="4:39" x14ac:dyDescent="0.3">
      <c r="D17115" s="1"/>
      <c r="G17115" s="13"/>
      <c r="AL17115" s="13"/>
      <c r="AM17115" s="14"/>
    </row>
    <row r="17116" spans="4:39" x14ac:dyDescent="0.3">
      <c r="D17116" s="1"/>
      <c r="G17116" s="13"/>
      <c r="AL17116" s="13"/>
      <c r="AM17116" s="14"/>
    </row>
    <row r="17117" spans="4:39" x14ac:dyDescent="0.3">
      <c r="D17117" s="1"/>
      <c r="G17117" s="13"/>
      <c r="AL17117" s="13"/>
      <c r="AM17117" s="14"/>
    </row>
    <row r="17118" spans="4:39" x14ac:dyDescent="0.3">
      <c r="D17118" s="1"/>
      <c r="G17118" s="13"/>
      <c r="AL17118" s="13"/>
      <c r="AM17118" s="14"/>
    </row>
    <row r="17119" spans="4:39" x14ac:dyDescent="0.3">
      <c r="D17119" s="1"/>
      <c r="G17119" s="13"/>
      <c r="AL17119" s="13"/>
      <c r="AM17119" s="14"/>
    </row>
    <row r="17120" spans="4:39" x14ac:dyDescent="0.3">
      <c r="D17120" s="1"/>
      <c r="G17120" s="13"/>
      <c r="AL17120" s="13"/>
    </row>
    <row r="17121" spans="4:39" x14ac:dyDescent="0.3">
      <c r="D17121" s="1"/>
      <c r="G17121" s="13"/>
      <c r="AL17121" s="13"/>
    </row>
    <row r="17122" spans="4:39" x14ac:dyDescent="0.3">
      <c r="D17122" s="1"/>
      <c r="G17122" s="13"/>
      <c r="AL17122" s="13"/>
    </row>
    <row r="17123" spans="4:39" x14ac:dyDescent="0.3">
      <c r="D17123" s="1"/>
      <c r="G17123" s="13"/>
      <c r="AL17123" s="13"/>
      <c r="AM17123" s="14"/>
    </row>
    <row r="17124" spans="4:39" x14ac:dyDescent="0.3">
      <c r="D17124" s="1"/>
      <c r="G17124" s="13"/>
      <c r="AL17124" s="13"/>
      <c r="AM17124" s="14"/>
    </row>
    <row r="17125" spans="4:39" x14ac:dyDescent="0.3">
      <c r="D17125" s="1"/>
      <c r="G17125" s="13"/>
      <c r="AL17125" s="13"/>
      <c r="AM17125" s="14"/>
    </row>
    <row r="17126" spans="4:39" x14ac:dyDescent="0.3">
      <c r="D17126" s="1"/>
      <c r="G17126" s="13"/>
      <c r="AL17126" s="13"/>
    </row>
    <row r="17127" spans="4:39" x14ac:dyDescent="0.3">
      <c r="D17127" s="1"/>
      <c r="G17127" s="13"/>
      <c r="AL17127" s="13"/>
    </row>
    <row r="17128" spans="4:39" x14ac:dyDescent="0.3">
      <c r="D17128" s="1"/>
      <c r="G17128" s="13"/>
      <c r="AL17128" s="13"/>
      <c r="AM17128" s="14"/>
    </row>
    <row r="17129" spans="4:39" x14ac:dyDescent="0.3">
      <c r="D17129" s="1"/>
      <c r="G17129" s="13"/>
      <c r="AL17129" s="13"/>
    </row>
    <row r="17130" spans="4:39" x14ac:dyDescent="0.3">
      <c r="D17130" s="1"/>
      <c r="G17130" s="13"/>
      <c r="AL17130" s="13"/>
    </row>
    <row r="17131" spans="4:39" x14ac:dyDescent="0.3">
      <c r="D17131" s="1"/>
      <c r="G17131" s="13"/>
      <c r="AL17131" s="13"/>
      <c r="AM17131" s="14"/>
    </row>
    <row r="17132" spans="4:39" x14ac:dyDescent="0.3">
      <c r="D17132" s="1"/>
      <c r="G17132" s="13"/>
      <c r="AL17132" s="13"/>
    </row>
    <row r="17133" spans="4:39" x14ac:dyDescent="0.3">
      <c r="D17133" s="1"/>
      <c r="G17133" s="13"/>
      <c r="AL17133" s="13"/>
      <c r="AM17133" s="14"/>
    </row>
    <row r="17134" spans="4:39" x14ac:dyDescent="0.3">
      <c r="D17134" s="1"/>
      <c r="G17134" s="13"/>
      <c r="AL17134" s="13"/>
      <c r="AM17134" s="14"/>
    </row>
    <row r="17135" spans="4:39" x14ac:dyDescent="0.3">
      <c r="D17135" s="1"/>
      <c r="G17135" s="13"/>
      <c r="AL17135" s="13"/>
      <c r="AM17135" s="14"/>
    </row>
    <row r="17136" spans="4:39" x14ac:dyDescent="0.3">
      <c r="D17136" s="1"/>
      <c r="G17136" s="13"/>
      <c r="AL17136" s="13"/>
    </row>
    <row r="17137" spans="4:39" x14ac:dyDescent="0.3">
      <c r="D17137" s="1"/>
      <c r="G17137" s="13"/>
      <c r="AL17137" s="13"/>
      <c r="AM17137" s="14"/>
    </row>
    <row r="17138" spans="4:39" x14ac:dyDescent="0.3">
      <c r="D17138" s="1"/>
      <c r="G17138" s="13"/>
      <c r="AL17138" s="13"/>
      <c r="AM17138" s="14"/>
    </row>
    <row r="17139" spans="4:39" x14ac:dyDescent="0.3">
      <c r="D17139" s="1"/>
      <c r="G17139" s="13"/>
      <c r="AL17139" s="13"/>
    </row>
    <row r="17140" spans="4:39" x14ac:dyDescent="0.3">
      <c r="D17140" s="1"/>
      <c r="G17140" s="13"/>
      <c r="AL17140" s="13"/>
    </row>
    <row r="17141" spans="4:39" x14ac:dyDescent="0.3">
      <c r="D17141" s="1"/>
      <c r="G17141" s="13"/>
      <c r="AL17141" s="13"/>
      <c r="AM17141" s="14"/>
    </row>
    <row r="17142" spans="4:39" x14ac:dyDescent="0.3">
      <c r="D17142" s="1"/>
      <c r="G17142" s="13"/>
      <c r="AL17142" s="13"/>
    </row>
    <row r="17143" spans="4:39" x14ac:dyDescent="0.3">
      <c r="D17143" s="1"/>
      <c r="G17143" s="13"/>
      <c r="AL17143" s="13"/>
    </row>
    <row r="17144" spans="4:39" x14ac:dyDescent="0.3">
      <c r="D17144" s="1"/>
      <c r="G17144" s="13"/>
      <c r="AL17144" s="13"/>
    </row>
    <row r="17145" spans="4:39" x14ac:dyDescent="0.3">
      <c r="D17145" s="1"/>
      <c r="G17145" s="13"/>
      <c r="AL17145" s="13"/>
      <c r="AM17145" s="14"/>
    </row>
    <row r="17146" spans="4:39" x14ac:dyDescent="0.3">
      <c r="D17146" s="1"/>
      <c r="G17146" s="13"/>
      <c r="AL17146" s="13"/>
      <c r="AM17146" s="14"/>
    </row>
    <row r="17147" spans="4:39" x14ac:dyDescent="0.3">
      <c r="D17147" s="1"/>
      <c r="G17147" s="13"/>
      <c r="AL17147" s="13"/>
      <c r="AM17147" s="14"/>
    </row>
    <row r="17148" spans="4:39" x14ac:dyDescent="0.3">
      <c r="D17148" s="1"/>
      <c r="G17148" s="13"/>
      <c r="AL17148" s="13"/>
      <c r="AM17148" s="14"/>
    </row>
    <row r="17149" spans="4:39" x14ac:dyDescent="0.3">
      <c r="D17149" s="1"/>
      <c r="G17149" s="13"/>
      <c r="AL17149" s="13"/>
      <c r="AM17149" s="14"/>
    </row>
    <row r="17150" spans="4:39" x14ac:dyDescent="0.3">
      <c r="D17150" s="1"/>
      <c r="G17150" s="13"/>
      <c r="AL17150" s="13"/>
    </row>
    <row r="17151" spans="4:39" x14ac:dyDescent="0.3">
      <c r="D17151" s="1"/>
      <c r="G17151" s="13"/>
      <c r="AL17151" s="13"/>
    </row>
    <row r="17152" spans="4:39" x14ac:dyDescent="0.3">
      <c r="D17152" s="1"/>
      <c r="G17152" s="13"/>
      <c r="AL17152" s="13"/>
    </row>
    <row r="17153" spans="4:39" x14ac:dyDescent="0.3">
      <c r="D17153" s="1"/>
      <c r="G17153" s="13"/>
      <c r="AL17153" s="13"/>
    </row>
    <row r="17154" spans="4:39" x14ac:dyDescent="0.3">
      <c r="D17154" s="1"/>
      <c r="G17154" s="13"/>
      <c r="AL17154" s="13"/>
      <c r="AM17154" s="14"/>
    </row>
    <row r="17155" spans="4:39" x14ac:dyDescent="0.3">
      <c r="D17155" s="1"/>
      <c r="G17155" s="13"/>
      <c r="AL17155" s="13"/>
      <c r="AM17155" s="14"/>
    </row>
    <row r="17156" spans="4:39" x14ac:dyDescent="0.3">
      <c r="D17156" s="1"/>
      <c r="G17156" s="13"/>
      <c r="AL17156" s="13"/>
    </row>
    <row r="17157" spans="4:39" x14ac:dyDescent="0.3">
      <c r="D17157" s="1"/>
      <c r="G17157" s="13"/>
      <c r="AL17157" s="13"/>
    </row>
    <row r="17158" spans="4:39" x14ac:dyDescent="0.3">
      <c r="D17158" s="1"/>
      <c r="G17158" s="13"/>
      <c r="AL17158" s="13"/>
    </row>
    <row r="17159" spans="4:39" x14ac:dyDescent="0.3">
      <c r="D17159" s="1"/>
      <c r="G17159" s="13"/>
      <c r="AL17159" s="13"/>
    </row>
    <row r="17160" spans="4:39" x14ac:dyDescent="0.3">
      <c r="D17160" s="1"/>
      <c r="G17160" s="13"/>
      <c r="AL17160" s="13"/>
      <c r="AM17160" s="14"/>
    </row>
    <row r="17161" spans="4:39" x14ac:dyDescent="0.3">
      <c r="D17161" s="1"/>
      <c r="G17161" s="13"/>
      <c r="AL17161" s="13"/>
      <c r="AM17161" s="14"/>
    </row>
    <row r="17162" spans="4:39" x14ac:dyDescent="0.3">
      <c r="D17162" s="1"/>
      <c r="G17162" s="13"/>
      <c r="AL17162" s="13"/>
      <c r="AM17162" s="14"/>
    </row>
    <row r="17163" spans="4:39" x14ac:dyDescent="0.3">
      <c r="D17163" s="1"/>
      <c r="G17163" s="13"/>
      <c r="AL17163" s="13"/>
      <c r="AM17163" s="14"/>
    </row>
    <row r="17164" spans="4:39" x14ac:dyDescent="0.3">
      <c r="D17164" s="1"/>
      <c r="G17164" s="13"/>
      <c r="AL17164" s="13"/>
    </row>
    <row r="17165" spans="4:39" x14ac:dyDescent="0.3">
      <c r="D17165" s="1"/>
      <c r="G17165" s="13"/>
      <c r="AL17165" s="13"/>
    </row>
    <row r="17166" spans="4:39" x14ac:dyDescent="0.3">
      <c r="D17166" s="1"/>
      <c r="G17166" s="13"/>
      <c r="AL17166" s="13"/>
      <c r="AM17166" s="14"/>
    </row>
    <row r="17167" spans="4:39" x14ac:dyDescent="0.3">
      <c r="D17167" s="1"/>
      <c r="G17167" s="13"/>
      <c r="AL17167" s="13"/>
    </row>
    <row r="17168" spans="4:39" x14ac:dyDescent="0.3">
      <c r="D17168" s="1"/>
      <c r="G17168" s="13"/>
      <c r="AL17168" s="13"/>
    </row>
    <row r="17169" spans="4:39" x14ac:dyDescent="0.3">
      <c r="D17169" s="1"/>
      <c r="G17169" s="13"/>
      <c r="AL17169" s="13"/>
      <c r="AM17169" s="14"/>
    </row>
    <row r="17170" spans="4:39" x14ac:dyDescent="0.3">
      <c r="D17170" s="1"/>
      <c r="G17170" s="13"/>
      <c r="AL17170" s="13"/>
    </row>
    <row r="17171" spans="4:39" x14ac:dyDescent="0.3">
      <c r="D17171" s="1"/>
      <c r="G17171" s="13"/>
      <c r="AL17171" s="13"/>
    </row>
    <row r="17172" spans="4:39" x14ac:dyDescent="0.3">
      <c r="D17172" s="1"/>
      <c r="G17172" s="13"/>
      <c r="AL17172" s="13"/>
    </row>
    <row r="17173" spans="4:39" x14ac:dyDescent="0.3">
      <c r="D17173" s="1"/>
      <c r="G17173" s="13"/>
      <c r="AL17173" s="13"/>
    </row>
    <row r="17174" spans="4:39" x14ac:dyDescent="0.3">
      <c r="D17174" s="1"/>
      <c r="G17174" s="13"/>
      <c r="AL17174" s="13"/>
    </row>
    <row r="17175" spans="4:39" x14ac:dyDescent="0.3">
      <c r="D17175" s="1"/>
      <c r="G17175" s="13"/>
      <c r="AL17175" s="13"/>
      <c r="AM17175" s="14"/>
    </row>
    <row r="17176" spans="4:39" x14ac:dyDescent="0.3">
      <c r="D17176" s="1"/>
      <c r="G17176" s="13"/>
      <c r="AL17176" s="13"/>
      <c r="AM17176" s="14"/>
    </row>
    <row r="17177" spans="4:39" x14ac:dyDescent="0.3">
      <c r="D17177" s="1"/>
      <c r="G17177" s="13"/>
      <c r="AL17177" s="13"/>
    </row>
    <row r="17178" spans="4:39" x14ac:dyDescent="0.3">
      <c r="D17178" s="1"/>
      <c r="G17178" s="13"/>
      <c r="AL17178" s="13"/>
    </row>
    <row r="17179" spans="4:39" x14ac:dyDescent="0.3">
      <c r="D17179" s="1"/>
      <c r="G17179" s="13"/>
      <c r="AL17179" s="13"/>
    </row>
    <row r="17180" spans="4:39" x14ac:dyDescent="0.3">
      <c r="D17180" s="1"/>
      <c r="G17180" s="13"/>
      <c r="AL17180" s="13"/>
    </row>
    <row r="17181" spans="4:39" x14ac:dyDescent="0.3">
      <c r="D17181" s="1"/>
      <c r="G17181" s="13"/>
      <c r="AL17181" s="13"/>
    </row>
    <row r="17182" spans="4:39" x14ac:dyDescent="0.3">
      <c r="D17182" s="1"/>
      <c r="G17182" s="13"/>
      <c r="AL17182" s="13"/>
      <c r="AM17182" s="14"/>
    </row>
    <row r="17183" spans="4:39" x14ac:dyDescent="0.3">
      <c r="D17183" s="1"/>
      <c r="G17183" s="13"/>
      <c r="AL17183" s="13"/>
      <c r="AM17183" s="14"/>
    </row>
    <row r="17184" spans="4:39" x14ac:dyDescent="0.3">
      <c r="D17184" s="1"/>
      <c r="G17184" s="13"/>
      <c r="AL17184" s="13"/>
      <c r="AM17184" s="14"/>
    </row>
    <row r="17185" spans="4:39" x14ac:dyDescent="0.3">
      <c r="D17185" s="1"/>
      <c r="G17185" s="13"/>
      <c r="AL17185" s="13"/>
    </row>
    <row r="17186" spans="4:39" x14ac:dyDescent="0.3">
      <c r="D17186" s="1"/>
      <c r="G17186" s="13"/>
      <c r="AL17186" s="13"/>
    </row>
    <row r="17187" spans="4:39" x14ac:dyDescent="0.3">
      <c r="D17187" s="1"/>
      <c r="G17187" s="13"/>
      <c r="AL17187" s="13"/>
      <c r="AM17187" s="14"/>
    </row>
    <row r="17188" spans="4:39" x14ac:dyDescent="0.3">
      <c r="D17188" s="1"/>
      <c r="G17188" s="13"/>
      <c r="AL17188" s="13"/>
      <c r="AM17188" s="14"/>
    </row>
    <row r="17189" spans="4:39" x14ac:dyDescent="0.3">
      <c r="D17189" s="1"/>
      <c r="G17189" s="13"/>
      <c r="AL17189" s="13"/>
    </row>
    <row r="17190" spans="4:39" x14ac:dyDescent="0.3">
      <c r="D17190" s="1"/>
      <c r="G17190" s="13"/>
      <c r="AL17190" s="13"/>
      <c r="AM17190" s="14"/>
    </row>
    <row r="17191" spans="4:39" x14ac:dyDescent="0.3">
      <c r="D17191" s="1"/>
      <c r="G17191" s="13"/>
      <c r="AL17191" s="13"/>
    </row>
    <row r="17192" spans="4:39" x14ac:dyDescent="0.3">
      <c r="D17192" s="1"/>
      <c r="G17192" s="13"/>
      <c r="AL17192" s="13"/>
    </row>
    <row r="17193" spans="4:39" x14ac:dyDescent="0.3">
      <c r="D17193" s="1"/>
      <c r="G17193" s="13"/>
      <c r="AL17193" s="13"/>
      <c r="AM17193" s="14"/>
    </row>
    <row r="17194" spans="4:39" x14ac:dyDescent="0.3">
      <c r="D17194" s="1"/>
      <c r="G17194" s="13"/>
      <c r="AL17194" s="13"/>
      <c r="AM17194" s="14"/>
    </row>
    <row r="17195" spans="4:39" x14ac:dyDescent="0.3">
      <c r="D17195" s="1"/>
      <c r="G17195" s="13"/>
      <c r="AL17195" s="13"/>
    </row>
    <row r="17196" spans="4:39" x14ac:dyDescent="0.3">
      <c r="D17196" s="1"/>
      <c r="G17196" s="13"/>
      <c r="AL17196" s="13"/>
      <c r="AM17196" s="14"/>
    </row>
    <row r="17197" spans="4:39" x14ac:dyDescent="0.3">
      <c r="D17197" s="1"/>
      <c r="G17197" s="13"/>
      <c r="AL17197" s="13"/>
    </row>
    <row r="17198" spans="4:39" x14ac:dyDescent="0.3">
      <c r="D17198" s="1"/>
      <c r="G17198" s="13"/>
      <c r="AL17198" s="13"/>
      <c r="AM17198" s="14"/>
    </row>
    <row r="17199" spans="4:39" x14ac:dyDescent="0.3">
      <c r="D17199" s="1"/>
      <c r="G17199" s="13"/>
      <c r="AL17199" s="13"/>
    </row>
    <row r="17200" spans="4:39" x14ac:dyDescent="0.3">
      <c r="D17200" s="1"/>
      <c r="G17200" s="13"/>
      <c r="AL17200" s="13"/>
      <c r="AM17200" s="14"/>
    </row>
    <row r="17201" spans="4:39" x14ac:dyDescent="0.3">
      <c r="D17201" s="1"/>
      <c r="G17201" s="13"/>
      <c r="AL17201" s="13"/>
      <c r="AM17201" s="14"/>
    </row>
    <row r="17202" spans="4:39" x14ac:dyDescent="0.3">
      <c r="D17202" s="1"/>
      <c r="G17202" s="13"/>
      <c r="AL17202" s="13"/>
      <c r="AM17202" s="14"/>
    </row>
    <row r="17203" spans="4:39" x14ac:dyDescent="0.3">
      <c r="D17203" s="1"/>
      <c r="G17203" s="13"/>
      <c r="AL17203" s="13"/>
    </row>
    <row r="17204" spans="4:39" x14ac:dyDescent="0.3">
      <c r="D17204" s="1"/>
      <c r="G17204" s="13"/>
      <c r="AL17204" s="13"/>
    </row>
    <row r="17205" spans="4:39" x14ac:dyDescent="0.3">
      <c r="D17205" s="1"/>
      <c r="G17205" s="13"/>
      <c r="AL17205" s="13"/>
    </row>
    <row r="17206" spans="4:39" x14ac:dyDescent="0.3">
      <c r="D17206" s="1"/>
      <c r="G17206" s="13"/>
      <c r="AL17206" s="13"/>
    </row>
    <row r="17207" spans="4:39" x14ac:dyDescent="0.3">
      <c r="D17207" s="1"/>
      <c r="G17207" s="13"/>
      <c r="AL17207" s="13"/>
    </row>
    <row r="17208" spans="4:39" x14ac:dyDescent="0.3">
      <c r="D17208" s="1"/>
      <c r="G17208" s="13"/>
      <c r="AL17208" s="13"/>
    </row>
    <row r="17209" spans="4:39" x14ac:dyDescent="0.3">
      <c r="D17209" s="1"/>
      <c r="G17209" s="13"/>
      <c r="AL17209" s="13"/>
    </row>
    <row r="17210" spans="4:39" x14ac:dyDescent="0.3">
      <c r="D17210" s="1"/>
      <c r="G17210" s="13"/>
      <c r="AL17210" s="13"/>
    </row>
    <row r="17211" spans="4:39" x14ac:dyDescent="0.3">
      <c r="D17211" s="1"/>
      <c r="G17211" s="13"/>
      <c r="AL17211" s="13"/>
    </row>
    <row r="17212" spans="4:39" x14ac:dyDescent="0.3">
      <c r="D17212" s="1"/>
      <c r="G17212" s="13"/>
      <c r="AL17212" s="13"/>
    </row>
    <row r="17213" spans="4:39" x14ac:dyDescent="0.3">
      <c r="D17213" s="1"/>
      <c r="G17213" s="13"/>
      <c r="AL17213" s="13"/>
    </row>
    <row r="17214" spans="4:39" x14ac:dyDescent="0.3">
      <c r="D17214" s="1"/>
      <c r="G17214" s="13"/>
      <c r="AL17214" s="13"/>
    </row>
    <row r="17215" spans="4:39" x14ac:dyDescent="0.3">
      <c r="D17215" s="1"/>
      <c r="G17215" s="13"/>
      <c r="AL17215" s="13"/>
    </row>
    <row r="17216" spans="4:39" x14ac:dyDescent="0.3">
      <c r="D17216" s="1"/>
      <c r="G17216" s="13"/>
      <c r="AL17216" s="13"/>
    </row>
    <row r="17217" spans="4:39" x14ac:dyDescent="0.3">
      <c r="D17217" s="1"/>
      <c r="G17217" s="13"/>
      <c r="AL17217" s="13"/>
    </row>
    <row r="17218" spans="4:39" x14ac:dyDescent="0.3">
      <c r="D17218" s="1"/>
      <c r="G17218" s="13"/>
      <c r="AL17218" s="13"/>
    </row>
    <row r="17219" spans="4:39" x14ac:dyDescent="0.3">
      <c r="D17219" s="1"/>
      <c r="G17219" s="13"/>
      <c r="AL17219" s="13"/>
    </row>
    <row r="17220" spans="4:39" x14ac:dyDescent="0.3">
      <c r="D17220" s="1"/>
      <c r="G17220" s="13"/>
      <c r="AL17220" s="13"/>
    </row>
    <row r="17221" spans="4:39" x14ac:dyDescent="0.3">
      <c r="D17221" s="1"/>
      <c r="G17221" s="13"/>
      <c r="AL17221" s="13"/>
    </row>
    <row r="17222" spans="4:39" x14ac:dyDescent="0.3">
      <c r="D17222" s="1"/>
      <c r="G17222" s="13"/>
      <c r="AL17222" s="13"/>
    </row>
    <row r="17223" spans="4:39" x14ac:dyDescent="0.3">
      <c r="D17223" s="1"/>
      <c r="G17223" s="13"/>
      <c r="AL17223" s="13"/>
    </row>
    <row r="17224" spans="4:39" x14ac:dyDescent="0.3">
      <c r="D17224" s="1"/>
      <c r="G17224" s="13"/>
      <c r="AL17224" s="13"/>
    </row>
    <row r="17225" spans="4:39" x14ac:dyDescent="0.3">
      <c r="D17225" s="1"/>
      <c r="G17225" s="13"/>
      <c r="AL17225" s="13"/>
      <c r="AM17225" s="14"/>
    </row>
    <row r="17226" spans="4:39" x14ac:dyDescent="0.3">
      <c r="D17226" s="1"/>
      <c r="G17226" s="13"/>
      <c r="AL17226" s="13"/>
    </row>
    <row r="17227" spans="4:39" x14ac:dyDescent="0.3">
      <c r="D17227" s="1"/>
      <c r="G17227" s="13"/>
      <c r="AL17227" s="13"/>
    </row>
    <row r="17228" spans="4:39" x14ac:dyDescent="0.3">
      <c r="D17228" s="1"/>
      <c r="G17228" s="13"/>
      <c r="AL17228" s="13"/>
      <c r="AM17228" s="14"/>
    </row>
    <row r="17229" spans="4:39" x14ac:dyDescent="0.3">
      <c r="D17229" s="1"/>
      <c r="G17229" s="13"/>
      <c r="AL17229" s="13"/>
    </row>
    <row r="17230" spans="4:39" x14ac:dyDescent="0.3">
      <c r="D17230" s="1"/>
      <c r="G17230" s="13"/>
      <c r="AL17230" s="13"/>
    </row>
    <row r="17231" spans="4:39" x14ac:dyDescent="0.3">
      <c r="D17231" s="1"/>
      <c r="G17231" s="13"/>
      <c r="AL17231" s="13"/>
      <c r="AM17231" s="14"/>
    </row>
    <row r="17232" spans="4:39" x14ac:dyDescent="0.3">
      <c r="D17232" s="1"/>
      <c r="G17232" s="13"/>
      <c r="AL17232" s="13"/>
    </row>
    <row r="17233" spans="4:39" x14ac:dyDescent="0.3">
      <c r="D17233" s="1"/>
      <c r="G17233" s="13"/>
      <c r="AL17233" s="13"/>
    </row>
    <row r="17234" spans="4:39" x14ac:dyDescent="0.3">
      <c r="D17234" s="1"/>
      <c r="G17234" s="13"/>
      <c r="AL17234" s="13"/>
    </row>
    <row r="17235" spans="4:39" x14ac:dyDescent="0.3">
      <c r="D17235" s="1"/>
      <c r="G17235" s="13"/>
      <c r="AL17235" s="13"/>
    </row>
    <row r="17236" spans="4:39" x14ac:dyDescent="0.3">
      <c r="D17236" s="1"/>
      <c r="G17236" s="13"/>
      <c r="AL17236" s="13"/>
    </row>
    <row r="17237" spans="4:39" x14ac:dyDescent="0.3">
      <c r="D17237" s="1"/>
      <c r="G17237" s="13"/>
      <c r="AL17237" s="13"/>
    </row>
    <row r="17238" spans="4:39" x14ac:dyDescent="0.3">
      <c r="D17238" s="1"/>
      <c r="G17238" s="13"/>
      <c r="AL17238" s="13"/>
      <c r="AM17238" s="14"/>
    </row>
    <row r="17239" spans="4:39" x14ac:dyDescent="0.3">
      <c r="D17239" s="1"/>
      <c r="G17239" s="13"/>
      <c r="AL17239" s="13"/>
    </row>
    <row r="17240" spans="4:39" x14ac:dyDescent="0.3">
      <c r="D17240" s="1"/>
      <c r="G17240" s="13"/>
      <c r="AL17240" s="13"/>
    </row>
    <row r="17241" spans="4:39" x14ac:dyDescent="0.3">
      <c r="D17241" s="1"/>
      <c r="G17241" s="13"/>
      <c r="AL17241" s="13"/>
    </row>
    <row r="17242" spans="4:39" x14ac:dyDescent="0.3">
      <c r="D17242" s="1"/>
      <c r="G17242" s="13"/>
      <c r="AL17242" s="13"/>
    </row>
    <row r="17243" spans="4:39" x14ac:dyDescent="0.3">
      <c r="D17243" s="1"/>
      <c r="G17243" s="13"/>
      <c r="AL17243" s="13"/>
    </row>
    <row r="17244" spans="4:39" x14ac:dyDescent="0.3">
      <c r="D17244" s="1"/>
      <c r="G17244" s="13"/>
      <c r="AL17244" s="13"/>
    </row>
    <row r="17245" spans="4:39" x14ac:dyDescent="0.3">
      <c r="D17245" s="1"/>
      <c r="G17245" s="13"/>
      <c r="AL17245" s="13"/>
    </row>
    <row r="17246" spans="4:39" x14ac:dyDescent="0.3">
      <c r="D17246" s="1"/>
      <c r="G17246" s="13"/>
      <c r="AL17246" s="13"/>
    </row>
    <row r="17247" spans="4:39" x14ac:dyDescent="0.3">
      <c r="D17247" s="1"/>
      <c r="G17247" s="13"/>
      <c r="AL17247" s="13"/>
    </row>
    <row r="17248" spans="4:39" x14ac:dyDescent="0.3">
      <c r="D17248" s="1"/>
      <c r="G17248" s="13"/>
      <c r="AL17248" s="13"/>
    </row>
    <row r="17249" spans="4:38" x14ac:dyDescent="0.3">
      <c r="D17249" s="1"/>
      <c r="G17249" s="13"/>
      <c r="AL17249" s="13"/>
    </row>
    <row r="17250" spans="4:38" x14ac:dyDescent="0.3">
      <c r="D17250" s="1"/>
      <c r="G17250" s="13"/>
      <c r="AL17250" s="13"/>
    </row>
    <row r="17251" spans="4:38" x14ac:dyDescent="0.3">
      <c r="D17251" s="1"/>
      <c r="G17251" s="13"/>
      <c r="AL17251" s="13"/>
    </row>
    <row r="17252" spans="4:38" x14ac:dyDescent="0.3">
      <c r="D17252" s="1"/>
      <c r="G17252" s="13"/>
      <c r="AL17252" s="13"/>
    </row>
    <row r="17253" spans="4:38" x14ac:dyDescent="0.3">
      <c r="D17253" s="1"/>
      <c r="G17253" s="13"/>
      <c r="AL17253" s="13"/>
    </row>
    <row r="17254" spans="4:38" x14ac:dyDescent="0.3">
      <c r="D17254" s="1"/>
      <c r="G17254" s="13"/>
      <c r="AL17254" s="13"/>
    </row>
    <row r="17255" spans="4:38" x14ac:dyDescent="0.3">
      <c r="D17255" s="1"/>
      <c r="G17255" s="13"/>
      <c r="AL17255" s="13"/>
    </row>
    <row r="17256" spans="4:38" x14ac:dyDescent="0.3">
      <c r="D17256" s="1"/>
      <c r="G17256" s="13"/>
      <c r="AL17256" s="13"/>
    </row>
    <row r="17257" spans="4:38" x14ac:dyDescent="0.3">
      <c r="D17257" s="1"/>
      <c r="G17257" s="13"/>
      <c r="AL17257" s="13"/>
    </row>
    <row r="17258" spans="4:38" x14ac:dyDescent="0.3">
      <c r="D17258" s="1"/>
      <c r="G17258" s="13"/>
      <c r="AL17258" s="13"/>
    </row>
    <row r="17259" spans="4:38" x14ac:dyDescent="0.3">
      <c r="D17259" s="1"/>
      <c r="G17259" s="13"/>
      <c r="AL17259" s="13"/>
    </row>
    <row r="17260" spans="4:38" x14ac:dyDescent="0.3">
      <c r="D17260" s="1"/>
      <c r="G17260" s="13"/>
      <c r="AL17260" s="13"/>
    </row>
    <row r="17261" spans="4:38" x14ac:dyDescent="0.3">
      <c r="D17261" s="1"/>
      <c r="G17261" s="13"/>
      <c r="AL17261" s="13"/>
    </row>
    <row r="17262" spans="4:38" x14ac:dyDescent="0.3">
      <c r="D17262" s="1"/>
      <c r="G17262" s="13"/>
      <c r="AL17262" s="13"/>
    </row>
    <row r="17263" spans="4:38" x14ac:dyDescent="0.3">
      <c r="D17263" s="1"/>
      <c r="G17263" s="13"/>
      <c r="AL17263" s="13"/>
    </row>
    <row r="17264" spans="4:38" x14ac:dyDescent="0.3">
      <c r="D17264" s="1"/>
      <c r="G17264" s="13"/>
      <c r="AL17264" s="13"/>
    </row>
    <row r="17265" spans="4:38" x14ac:dyDescent="0.3">
      <c r="D17265" s="1"/>
      <c r="G17265" s="13"/>
      <c r="AL17265" s="13"/>
    </row>
    <row r="17266" spans="4:38" x14ac:dyDescent="0.3">
      <c r="D17266" s="1"/>
      <c r="G17266" s="13"/>
      <c r="AL17266" s="13"/>
    </row>
    <row r="17267" spans="4:38" x14ac:dyDescent="0.3">
      <c r="D17267" s="1"/>
      <c r="G17267" s="13"/>
      <c r="AL17267" s="13"/>
    </row>
    <row r="17268" spans="4:38" x14ac:dyDescent="0.3">
      <c r="D17268" s="1"/>
      <c r="G17268" s="13"/>
      <c r="AL17268" s="13"/>
    </row>
    <row r="17269" spans="4:38" x14ac:dyDescent="0.3">
      <c r="D17269" s="1"/>
      <c r="G17269" s="13"/>
      <c r="AL17269" s="13"/>
    </row>
    <row r="17270" spans="4:38" x14ac:dyDescent="0.3">
      <c r="D17270" s="1"/>
      <c r="G17270" s="13"/>
      <c r="AL17270" s="13"/>
    </row>
    <row r="17271" spans="4:38" x14ac:dyDescent="0.3">
      <c r="D17271" s="1"/>
      <c r="G17271" s="13"/>
      <c r="AL17271" s="13"/>
    </row>
    <row r="17272" spans="4:38" x14ac:dyDescent="0.3">
      <c r="D17272" s="1"/>
      <c r="G17272" s="13"/>
      <c r="AL17272" s="13"/>
    </row>
    <row r="17273" spans="4:38" x14ac:dyDescent="0.3">
      <c r="D17273" s="1"/>
      <c r="G17273" s="13"/>
      <c r="AL17273" s="13"/>
    </row>
    <row r="17274" spans="4:38" x14ac:dyDescent="0.3">
      <c r="D17274" s="1"/>
      <c r="G17274" s="13"/>
      <c r="AL17274" s="13"/>
    </row>
    <row r="17275" spans="4:38" x14ac:dyDescent="0.3">
      <c r="D17275" s="1"/>
      <c r="G17275" s="13"/>
      <c r="AL17275" s="13"/>
    </row>
    <row r="17276" spans="4:38" x14ac:dyDescent="0.3">
      <c r="D17276" s="1"/>
      <c r="G17276" s="13"/>
      <c r="AL17276" s="13"/>
    </row>
    <row r="17277" spans="4:38" x14ac:dyDescent="0.3">
      <c r="D17277" s="1"/>
      <c r="G17277" s="13"/>
      <c r="AL17277" s="13"/>
    </row>
    <row r="17278" spans="4:38" x14ac:dyDescent="0.3">
      <c r="D17278" s="1"/>
      <c r="G17278" s="13"/>
      <c r="AL17278" s="13"/>
    </row>
    <row r="17279" spans="4:38" x14ac:dyDescent="0.3">
      <c r="D17279" s="1"/>
      <c r="G17279" s="13"/>
      <c r="AL17279" s="13"/>
    </row>
    <row r="17280" spans="4:38" x14ac:dyDescent="0.3">
      <c r="D17280" s="1"/>
      <c r="G17280" s="13"/>
      <c r="AL17280" s="13"/>
    </row>
    <row r="17281" spans="4:38" x14ac:dyDescent="0.3">
      <c r="D17281" s="1"/>
      <c r="G17281" s="13"/>
      <c r="AL17281" s="13"/>
    </row>
    <row r="17282" spans="4:38" x14ac:dyDescent="0.3">
      <c r="D17282" s="1"/>
      <c r="G17282" s="13"/>
      <c r="AL17282" s="13"/>
    </row>
    <row r="17283" spans="4:38" x14ac:dyDescent="0.3">
      <c r="D17283" s="1"/>
      <c r="G17283" s="13"/>
      <c r="AL17283" s="13"/>
    </row>
    <row r="17284" spans="4:38" x14ac:dyDescent="0.3">
      <c r="D17284" s="1"/>
      <c r="G17284" s="13"/>
      <c r="AL17284" s="13"/>
    </row>
    <row r="17285" spans="4:38" x14ac:dyDescent="0.3">
      <c r="D17285" s="1"/>
      <c r="G17285" s="13"/>
      <c r="AL17285" s="13"/>
    </row>
    <row r="17286" spans="4:38" x14ac:dyDescent="0.3">
      <c r="D17286" s="1"/>
      <c r="G17286" s="13"/>
      <c r="AL17286" s="13"/>
    </row>
    <row r="17287" spans="4:38" x14ac:dyDescent="0.3">
      <c r="D17287" s="1"/>
      <c r="G17287" s="13"/>
      <c r="AL17287" s="13"/>
    </row>
    <row r="17288" spans="4:38" x14ac:dyDescent="0.3">
      <c r="D17288" s="1"/>
      <c r="G17288" s="13"/>
      <c r="AL17288" s="13"/>
    </row>
    <row r="17289" spans="4:38" x14ac:dyDescent="0.3">
      <c r="D17289" s="1"/>
      <c r="G17289" s="13"/>
      <c r="AL17289" s="13"/>
    </row>
    <row r="17290" spans="4:38" x14ac:dyDescent="0.3">
      <c r="D17290" s="1"/>
      <c r="G17290" s="13"/>
      <c r="AL17290" s="13"/>
    </row>
    <row r="17291" spans="4:38" x14ac:dyDescent="0.3">
      <c r="D17291" s="1"/>
      <c r="G17291" s="13"/>
      <c r="AL17291" s="13"/>
    </row>
    <row r="17292" spans="4:38" x14ac:dyDescent="0.3">
      <c r="D17292" s="1"/>
      <c r="G17292" s="13"/>
      <c r="AL17292" s="13"/>
    </row>
    <row r="17293" spans="4:38" x14ac:dyDescent="0.3">
      <c r="D17293" s="1"/>
      <c r="G17293" s="13"/>
      <c r="AL17293" s="13"/>
    </row>
    <row r="17294" spans="4:38" x14ac:dyDescent="0.3">
      <c r="D17294" s="1"/>
      <c r="G17294" s="13"/>
      <c r="AL17294" s="13"/>
    </row>
    <row r="17295" spans="4:38" x14ac:dyDescent="0.3">
      <c r="D17295" s="1"/>
      <c r="G17295" s="13"/>
      <c r="AL17295" s="13"/>
    </row>
    <row r="17296" spans="4:38" x14ac:dyDescent="0.3">
      <c r="D17296" s="1"/>
      <c r="G17296" s="13"/>
      <c r="AL17296" s="13"/>
    </row>
    <row r="17297" spans="4:39" x14ac:dyDescent="0.3">
      <c r="D17297" s="1"/>
      <c r="G17297" s="13"/>
      <c r="AL17297" s="13"/>
    </row>
    <row r="17298" spans="4:39" x14ac:dyDescent="0.3">
      <c r="D17298" s="1"/>
      <c r="G17298" s="13"/>
      <c r="AL17298" s="13"/>
    </row>
    <row r="17299" spans="4:39" x14ac:dyDescent="0.3">
      <c r="D17299" s="1"/>
      <c r="G17299" s="13"/>
      <c r="AL17299" s="13"/>
    </row>
    <row r="17300" spans="4:39" x14ac:dyDescent="0.3">
      <c r="D17300" s="1"/>
      <c r="G17300" s="13"/>
      <c r="AL17300" s="13"/>
    </row>
    <row r="17301" spans="4:39" x14ac:dyDescent="0.3">
      <c r="D17301" s="1"/>
      <c r="G17301" s="13"/>
      <c r="AL17301" s="13"/>
    </row>
    <row r="17302" spans="4:39" x14ac:dyDescent="0.3">
      <c r="D17302" s="1"/>
      <c r="G17302" s="13"/>
      <c r="AL17302" s="13"/>
    </row>
    <row r="17303" spans="4:39" x14ac:dyDescent="0.3">
      <c r="D17303" s="1"/>
      <c r="G17303" s="13"/>
      <c r="AL17303" s="13"/>
    </row>
    <row r="17304" spans="4:39" x14ac:dyDescent="0.3">
      <c r="D17304" s="1"/>
      <c r="G17304" s="13"/>
      <c r="AL17304" s="13"/>
    </row>
    <row r="17305" spans="4:39" x14ac:dyDescent="0.3">
      <c r="D17305" s="1"/>
      <c r="G17305" s="13"/>
      <c r="AL17305" s="13"/>
    </row>
    <row r="17306" spans="4:39" x14ac:dyDescent="0.3">
      <c r="D17306" s="1"/>
      <c r="G17306" s="13"/>
      <c r="AL17306" s="13"/>
      <c r="AM17306" s="14"/>
    </row>
    <row r="17307" spans="4:39" x14ac:dyDescent="0.3">
      <c r="D17307" s="1"/>
      <c r="G17307" s="13"/>
      <c r="AL17307" s="13"/>
    </row>
    <row r="17308" spans="4:39" x14ac:dyDescent="0.3">
      <c r="D17308" s="1"/>
      <c r="G17308" s="13"/>
      <c r="AL17308" s="13"/>
    </row>
    <row r="17309" spans="4:39" x14ac:dyDescent="0.3">
      <c r="D17309" s="1"/>
      <c r="G17309" s="13"/>
      <c r="AL17309" s="13"/>
      <c r="AM17309" s="14"/>
    </row>
    <row r="17310" spans="4:39" x14ac:dyDescent="0.3">
      <c r="D17310" s="1"/>
      <c r="G17310" s="13"/>
      <c r="AL17310" s="13"/>
    </row>
    <row r="17311" spans="4:39" x14ac:dyDescent="0.3">
      <c r="D17311" s="1"/>
      <c r="G17311" s="13"/>
      <c r="AL17311" s="13"/>
    </row>
    <row r="17312" spans="4:39" x14ac:dyDescent="0.3">
      <c r="D17312" s="1"/>
      <c r="G17312" s="13"/>
      <c r="AL17312" s="13"/>
    </row>
    <row r="17313" spans="4:39" x14ac:dyDescent="0.3">
      <c r="D17313" s="1"/>
      <c r="G17313" s="13"/>
      <c r="AL17313" s="13"/>
      <c r="AM17313" s="14"/>
    </row>
    <row r="17314" spans="4:39" x14ac:dyDescent="0.3">
      <c r="D17314" s="1"/>
      <c r="G17314" s="13"/>
      <c r="AL17314" s="13"/>
    </row>
    <row r="17315" spans="4:39" x14ac:dyDescent="0.3">
      <c r="D17315" s="1"/>
      <c r="G17315" s="13"/>
      <c r="AL17315" s="13"/>
    </row>
    <row r="17316" spans="4:39" x14ac:dyDescent="0.3">
      <c r="D17316" s="1"/>
      <c r="G17316" s="13"/>
      <c r="AL17316" s="13"/>
    </row>
    <row r="17317" spans="4:39" x14ac:dyDescent="0.3">
      <c r="D17317" s="1"/>
      <c r="G17317" s="13"/>
      <c r="AL17317" s="13"/>
      <c r="AM17317" s="14"/>
    </row>
    <row r="17318" spans="4:39" x14ac:dyDescent="0.3">
      <c r="D17318" s="1"/>
      <c r="G17318" s="13"/>
      <c r="AL17318" s="13"/>
    </row>
    <row r="17319" spans="4:39" x14ac:dyDescent="0.3">
      <c r="D17319" s="1"/>
      <c r="G17319" s="13"/>
      <c r="AL17319" s="13"/>
    </row>
    <row r="17320" spans="4:39" x14ac:dyDescent="0.3">
      <c r="D17320" s="1"/>
      <c r="G17320" s="13"/>
      <c r="AL17320" s="13"/>
    </row>
    <row r="17321" spans="4:39" x14ac:dyDescent="0.3">
      <c r="D17321" s="1"/>
      <c r="G17321" s="13"/>
      <c r="AL17321" s="13"/>
    </row>
    <row r="17322" spans="4:39" x14ac:dyDescent="0.3">
      <c r="D17322" s="1"/>
      <c r="G17322" s="13"/>
      <c r="AL17322" s="13"/>
      <c r="AM17322" s="14"/>
    </row>
    <row r="17323" spans="4:39" x14ac:dyDescent="0.3">
      <c r="D17323" s="1"/>
      <c r="G17323" s="13"/>
      <c r="AL17323" s="13"/>
    </row>
    <row r="17324" spans="4:39" x14ac:dyDescent="0.3">
      <c r="D17324" s="1"/>
      <c r="G17324" s="13"/>
      <c r="AL17324" s="13"/>
    </row>
    <row r="17325" spans="4:39" x14ac:dyDescent="0.3">
      <c r="D17325" s="1"/>
      <c r="G17325" s="13"/>
      <c r="AL17325" s="13"/>
    </row>
    <row r="17326" spans="4:39" x14ac:dyDescent="0.3">
      <c r="D17326" s="1"/>
      <c r="G17326" s="13"/>
      <c r="AL17326" s="13"/>
      <c r="AM17326" s="14"/>
    </row>
    <row r="17327" spans="4:39" x14ac:dyDescent="0.3">
      <c r="D17327" s="1"/>
      <c r="G17327" s="13"/>
      <c r="AL17327" s="13"/>
    </row>
    <row r="17328" spans="4:39" x14ac:dyDescent="0.3">
      <c r="D17328" s="1"/>
      <c r="G17328" s="13"/>
      <c r="AL17328" s="13"/>
    </row>
    <row r="17329" spans="4:39" x14ac:dyDescent="0.3">
      <c r="D17329" s="1"/>
      <c r="G17329" s="13"/>
      <c r="AL17329" s="13"/>
    </row>
    <row r="17330" spans="4:39" x14ac:dyDescent="0.3">
      <c r="D17330" s="1"/>
      <c r="G17330" s="13"/>
      <c r="AL17330" s="13"/>
    </row>
    <row r="17331" spans="4:39" x14ac:dyDescent="0.3">
      <c r="D17331" s="1"/>
      <c r="G17331" s="13"/>
      <c r="AL17331" s="13"/>
    </row>
    <row r="17332" spans="4:39" x14ac:dyDescent="0.3">
      <c r="D17332" s="1"/>
      <c r="G17332" s="13"/>
      <c r="AL17332" s="13"/>
    </row>
    <row r="17333" spans="4:39" x14ac:dyDescent="0.3">
      <c r="D17333" s="1"/>
      <c r="G17333" s="13"/>
      <c r="AL17333" s="13"/>
    </row>
    <row r="17334" spans="4:39" x14ac:dyDescent="0.3">
      <c r="D17334" s="1"/>
      <c r="G17334" s="13"/>
      <c r="AL17334" s="13"/>
    </row>
    <row r="17335" spans="4:39" x14ac:dyDescent="0.3">
      <c r="D17335" s="1"/>
      <c r="G17335" s="13"/>
      <c r="AL17335" s="13"/>
      <c r="AM17335" s="14"/>
    </row>
    <row r="17336" spans="4:39" x14ac:dyDescent="0.3">
      <c r="D17336" s="1"/>
      <c r="G17336" s="13"/>
      <c r="AL17336" s="13"/>
    </row>
    <row r="17337" spans="4:39" x14ac:dyDescent="0.3">
      <c r="D17337" s="1"/>
      <c r="G17337" s="13"/>
      <c r="AL17337" s="13"/>
      <c r="AM17337" s="14"/>
    </row>
    <row r="17338" spans="4:39" x14ac:dyDescent="0.3">
      <c r="D17338" s="1"/>
      <c r="G17338" s="13"/>
      <c r="AL17338" s="13"/>
    </row>
    <row r="17339" spans="4:39" x14ac:dyDescent="0.3">
      <c r="D17339" s="1"/>
      <c r="G17339" s="13"/>
      <c r="AL17339" s="13"/>
      <c r="AM17339" s="14"/>
    </row>
    <row r="17340" spans="4:39" x14ac:dyDescent="0.3">
      <c r="D17340" s="1"/>
      <c r="G17340" s="13"/>
      <c r="AL17340" s="13"/>
    </row>
    <row r="17341" spans="4:39" x14ac:dyDescent="0.3">
      <c r="D17341" s="1"/>
      <c r="G17341" s="13"/>
      <c r="AL17341" s="13"/>
      <c r="AM17341" s="14"/>
    </row>
    <row r="17342" spans="4:39" x14ac:dyDescent="0.3">
      <c r="D17342" s="1"/>
      <c r="G17342" s="13"/>
      <c r="AL17342" s="13"/>
      <c r="AM17342" s="14"/>
    </row>
    <row r="17343" spans="4:39" x14ac:dyDescent="0.3">
      <c r="D17343" s="1"/>
      <c r="G17343" s="13"/>
      <c r="AL17343" s="13"/>
    </row>
    <row r="17344" spans="4:39" x14ac:dyDescent="0.3">
      <c r="D17344" s="1"/>
      <c r="G17344" s="13"/>
      <c r="AL17344" s="13"/>
    </row>
    <row r="17345" spans="4:39" x14ac:dyDescent="0.3">
      <c r="D17345" s="1"/>
      <c r="G17345" s="13"/>
      <c r="AL17345" s="13"/>
      <c r="AM17345" s="14"/>
    </row>
    <row r="17346" spans="4:39" x14ac:dyDescent="0.3">
      <c r="D17346" s="1"/>
      <c r="G17346" s="13"/>
      <c r="AL17346" s="13"/>
    </row>
    <row r="17347" spans="4:39" x14ac:dyDescent="0.3">
      <c r="D17347" s="1"/>
      <c r="G17347" s="13"/>
      <c r="AL17347" s="13"/>
    </row>
    <row r="17348" spans="4:39" x14ac:dyDescent="0.3">
      <c r="D17348" s="1"/>
      <c r="G17348" s="13"/>
      <c r="AL17348" s="13"/>
    </row>
    <row r="17349" spans="4:39" x14ac:dyDescent="0.3">
      <c r="D17349" s="1"/>
      <c r="G17349" s="13"/>
      <c r="AL17349" s="13"/>
      <c r="AM17349" s="14"/>
    </row>
    <row r="17350" spans="4:39" x14ac:dyDescent="0.3">
      <c r="D17350" s="1"/>
      <c r="G17350" s="13"/>
      <c r="AL17350" s="13"/>
      <c r="AM17350" s="14"/>
    </row>
    <row r="17351" spans="4:39" x14ac:dyDescent="0.3">
      <c r="D17351" s="1"/>
      <c r="G17351" s="13"/>
      <c r="AL17351" s="13"/>
    </row>
    <row r="17352" spans="4:39" x14ac:dyDescent="0.3">
      <c r="D17352" s="1"/>
      <c r="G17352" s="13"/>
      <c r="AL17352" s="13"/>
      <c r="AM17352" s="14"/>
    </row>
    <row r="17353" spans="4:39" x14ac:dyDescent="0.3">
      <c r="D17353" s="1"/>
      <c r="G17353" s="13"/>
      <c r="AL17353" s="13"/>
    </row>
    <row r="17354" spans="4:39" x14ac:dyDescent="0.3">
      <c r="D17354" s="1"/>
      <c r="G17354" s="13"/>
      <c r="AL17354" s="13"/>
      <c r="AM17354" s="14"/>
    </row>
    <row r="17355" spans="4:39" x14ac:dyDescent="0.3">
      <c r="D17355" s="1"/>
      <c r="G17355" s="13"/>
      <c r="AL17355" s="13"/>
    </row>
    <row r="17356" spans="4:39" x14ac:dyDescent="0.3">
      <c r="D17356" s="1"/>
      <c r="G17356" s="13"/>
      <c r="AL17356" s="13"/>
      <c r="AM17356" s="14"/>
    </row>
    <row r="17357" spans="4:39" x14ac:dyDescent="0.3">
      <c r="D17357" s="1"/>
      <c r="G17357" s="13"/>
      <c r="AL17357" s="13"/>
      <c r="AM17357" s="14"/>
    </row>
    <row r="17358" spans="4:39" x14ac:dyDescent="0.3">
      <c r="D17358" s="1"/>
      <c r="G17358" s="13"/>
      <c r="AL17358" s="13"/>
    </row>
    <row r="17359" spans="4:39" x14ac:dyDescent="0.3">
      <c r="D17359" s="1"/>
      <c r="G17359" s="13"/>
      <c r="AL17359" s="13"/>
    </row>
    <row r="17360" spans="4:39" x14ac:dyDescent="0.3">
      <c r="D17360" s="1"/>
      <c r="G17360" s="13"/>
      <c r="AL17360" s="13"/>
    </row>
    <row r="17361" spans="4:39" x14ac:dyDescent="0.3">
      <c r="D17361" s="1"/>
      <c r="G17361" s="13"/>
      <c r="AL17361" s="13"/>
    </row>
    <row r="17362" spans="4:39" x14ac:dyDescent="0.3">
      <c r="D17362" s="1"/>
      <c r="G17362" s="13"/>
      <c r="AL17362" s="13"/>
      <c r="AM17362" s="14"/>
    </row>
    <row r="17363" spans="4:39" x14ac:dyDescent="0.3">
      <c r="D17363" s="1"/>
      <c r="G17363" s="13"/>
      <c r="AL17363" s="13"/>
    </row>
    <row r="17364" spans="4:39" x14ac:dyDescent="0.3">
      <c r="D17364" s="1"/>
      <c r="G17364" s="13"/>
      <c r="AL17364" s="13"/>
    </row>
    <row r="17365" spans="4:39" x14ac:dyDescent="0.3">
      <c r="D17365" s="1"/>
      <c r="G17365" s="13"/>
      <c r="AL17365" s="13"/>
    </row>
    <row r="17366" spans="4:39" x14ac:dyDescent="0.3">
      <c r="D17366" s="1"/>
      <c r="G17366" s="13"/>
      <c r="AL17366" s="13"/>
    </row>
    <row r="17367" spans="4:39" x14ac:dyDescent="0.3">
      <c r="D17367" s="1"/>
      <c r="G17367" s="13"/>
      <c r="AL17367" s="13"/>
    </row>
    <row r="17368" spans="4:39" x14ac:dyDescent="0.3">
      <c r="D17368" s="1"/>
      <c r="G17368" s="13"/>
      <c r="AL17368" s="13"/>
    </row>
    <row r="17369" spans="4:39" x14ac:dyDescent="0.3">
      <c r="D17369" s="1"/>
      <c r="G17369" s="13"/>
      <c r="AL17369" s="13"/>
    </row>
    <row r="17370" spans="4:39" x14ac:dyDescent="0.3">
      <c r="D17370" s="1"/>
      <c r="G17370" s="13"/>
      <c r="AL17370" s="13"/>
      <c r="AM17370" s="14"/>
    </row>
    <row r="17371" spans="4:39" x14ac:dyDescent="0.3">
      <c r="D17371" s="1"/>
      <c r="G17371" s="13"/>
      <c r="AL17371" s="13"/>
    </row>
    <row r="17372" spans="4:39" x14ac:dyDescent="0.3">
      <c r="D17372" s="1"/>
      <c r="G17372" s="13"/>
      <c r="AL17372" s="13"/>
    </row>
    <row r="17373" spans="4:39" x14ac:dyDescent="0.3">
      <c r="D17373" s="1"/>
      <c r="G17373" s="13"/>
      <c r="AL17373" s="13"/>
    </row>
    <row r="17374" spans="4:39" x14ac:dyDescent="0.3">
      <c r="D17374" s="1"/>
      <c r="G17374" s="13"/>
      <c r="AL17374" s="13"/>
      <c r="AM17374" s="14"/>
    </row>
    <row r="17375" spans="4:39" x14ac:dyDescent="0.3">
      <c r="D17375" s="1"/>
      <c r="G17375" s="13"/>
      <c r="AL17375" s="13"/>
    </row>
    <row r="17376" spans="4:39" x14ac:dyDescent="0.3">
      <c r="D17376" s="1"/>
      <c r="G17376" s="13"/>
      <c r="AL17376" s="13"/>
    </row>
    <row r="17377" spans="4:39" x14ac:dyDescent="0.3">
      <c r="D17377" s="1"/>
      <c r="G17377" s="13"/>
      <c r="AL17377" s="13"/>
      <c r="AM17377" s="14"/>
    </row>
    <row r="17378" spans="4:39" x14ac:dyDescent="0.3">
      <c r="D17378" s="1"/>
      <c r="G17378" s="13"/>
      <c r="AL17378" s="13"/>
    </row>
    <row r="17379" spans="4:39" x14ac:dyDescent="0.3">
      <c r="D17379" s="1"/>
      <c r="G17379" s="13"/>
      <c r="AL17379" s="13"/>
    </row>
    <row r="17380" spans="4:39" x14ac:dyDescent="0.3">
      <c r="D17380" s="1"/>
      <c r="G17380" s="13"/>
      <c r="AL17380" s="13"/>
    </row>
    <row r="17381" spans="4:39" x14ac:dyDescent="0.3">
      <c r="D17381" s="1"/>
      <c r="G17381" s="13"/>
      <c r="AL17381" s="13"/>
    </row>
    <row r="17382" spans="4:39" x14ac:dyDescent="0.3">
      <c r="D17382" s="1"/>
      <c r="G17382" s="13"/>
      <c r="AL17382" s="13"/>
    </row>
    <row r="17383" spans="4:39" x14ac:dyDescent="0.3">
      <c r="D17383" s="1"/>
      <c r="G17383" s="13"/>
      <c r="AL17383" s="13"/>
      <c r="AM17383" s="14"/>
    </row>
    <row r="17384" spans="4:39" x14ac:dyDescent="0.3">
      <c r="D17384" s="1"/>
      <c r="G17384" s="13"/>
      <c r="AL17384" s="13"/>
    </row>
    <row r="17385" spans="4:39" x14ac:dyDescent="0.3">
      <c r="D17385" s="1"/>
      <c r="G17385" s="13"/>
      <c r="AL17385" s="13"/>
    </row>
    <row r="17386" spans="4:39" x14ac:dyDescent="0.3">
      <c r="D17386" s="1"/>
      <c r="G17386" s="13"/>
      <c r="AL17386" s="13"/>
    </row>
    <row r="17387" spans="4:39" x14ac:dyDescent="0.3">
      <c r="D17387" s="1"/>
      <c r="G17387" s="13"/>
      <c r="AL17387" s="13"/>
      <c r="AM17387" s="14"/>
    </row>
    <row r="17388" spans="4:39" x14ac:dyDescent="0.3">
      <c r="D17388" s="1"/>
      <c r="G17388" s="13"/>
      <c r="AL17388" s="13"/>
      <c r="AM17388" s="14"/>
    </row>
    <row r="17389" spans="4:39" x14ac:dyDescent="0.3">
      <c r="D17389" s="1"/>
      <c r="G17389" s="13"/>
      <c r="AL17389" s="13"/>
    </row>
    <row r="17390" spans="4:39" x14ac:dyDescent="0.3">
      <c r="D17390" s="1"/>
      <c r="G17390" s="13"/>
      <c r="AL17390" s="13"/>
    </row>
    <row r="17391" spans="4:39" x14ac:dyDescent="0.3">
      <c r="D17391" s="1"/>
      <c r="G17391" s="13"/>
      <c r="AL17391" s="13"/>
    </row>
    <row r="17392" spans="4:39" x14ac:dyDescent="0.3">
      <c r="D17392" s="1"/>
      <c r="G17392" s="13"/>
      <c r="AL17392" s="13"/>
    </row>
    <row r="17393" spans="4:39" x14ac:dyDescent="0.3">
      <c r="D17393" s="1"/>
      <c r="G17393" s="13"/>
      <c r="AL17393" s="13"/>
    </row>
    <row r="17394" spans="4:39" x14ac:dyDescent="0.3">
      <c r="D17394" s="1"/>
      <c r="G17394" s="13"/>
      <c r="AL17394" s="13"/>
    </row>
    <row r="17395" spans="4:39" x14ac:dyDescent="0.3">
      <c r="D17395" s="1"/>
      <c r="G17395" s="13"/>
      <c r="AL17395" s="13"/>
    </row>
    <row r="17396" spans="4:39" x14ac:dyDescent="0.3">
      <c r="D17396" s="1"/>
      <c r="G17396" s="13"/>
      <c r="AL17396" s="13"/>
      <c r="AM17396" s="14"/>
    </row>
    <row r="17397" spans="4:39" x14ac:dyDescent="0.3">
      <c r="D17397" s="1"/>
      <c r="G17397" s="13"/>
      <c r="AL17397" s="13"/>
    </row>
    <row r="17398" spans="4:39" x14ac:dyDescent="0.3">
      <c r="D17398" s="1"/>
      <c r="G17398" s="13"/>
      <c r="AL17398" s="13"/>
      <c r="AM17398" s="14"/>
    </row>
    <row r="17399" spans="4:39" x14ac:dyDescent="0.3">
      <c r="D17399" s="1"/>
      <c r="G17399" s="13"/>
      <c r="AL17399" s="13"/>
      <c r="AM17399" s="14"/>
    </row>
    <row r="17400" spans="4:39" x14ac:dyDescent="0.3">
      <c r="D17400" s="1"/>
      <c r="G17400" s="13"/>
      <c r="AL17400" s="13"/>
      <c r="AM17400" s="14"/>
    </row>
    <row r="17401" spans="4:39" x14ac:dyDescent="0.3">
      <c r="D17401" s="1"/>
      <c r="G17401" s="13"/>
      <c r="AL17401" s="13"/>
      <c r="AM17401" s="14"/>
    </row>
    <row r="17402" spans="4:39" x14ac:dyDescent="0.3">
      <c r="D17402" s="1"/>
      <c r="G17402" s="13"/>
      <c r="AL17402" s="13"/>
      <c r="AM17402" s="14"/>
    </row>
    <row r="17403" spans="4:39" x14ac:dyDescent="0.3">
      <c r="D17403" s="1"/>
      <c r="G17403" s="13"/>
      <c r="AL17403" s="13"/>
      <c r="AM17403" s="14"/>
    </row>
    <row r="17404" spans="4:39" x14ac:dyDescent="0.3">
      <c r="D17404" s="1"/>
      <c r="G17404" s="13"/>
      <c r="AL17404" s="13"/>
    </row>
    <row r="17405" spans="4:39" x14ac:dyDescent="0.3">
      <c r="D17405" s="1"/>
      <c r="G17405" s="13"/>
      <c r="AL17405" s="13"/>
      <c r="AM17405" s="14"/>
    </row>
    <row r="17406" spans="4:39" x14ac:dyDescent="0.3">
      <c r="D17406" s="1"/>
      <c r="G17406" s="13"/>
      <c r="AL17406" s="13"/>
      <c r="AM17406" s="14"/>
    </row>
    <row r="17407" spans="4:39" x14ac:dyDescent="0.3">
      <c r="D17407" s="1"/>
      <c r="G17407" s="13"/>
      <c r="AL17407" s="13"/>
    </row>
    <row r="17408" spans="4:39" x14ac:dyDescent="0.3">
      <c r="D17408" s="1"/>
      <c r="G17408" s="13"/>
      <c r="AL17408" s="13"/>
    </row>
    <row r="17409" spans="4:39" x14ac:dyDescent="0.3">
      <c r="D17409" s="1"/>
      <c r="G17409" s="13"/>
      <c r="AL17409" s="13"/>
    </row>
    <row r="17410" spans="4:39" x14ac:dyDescent="0.3">
      <c r="D17410" s="1"/>
      <c r="G17410" s="13"/>
      <c r="AL17410" s="13"/>
    </row>
    <row r="17411" spans="4:39" x14ac:dyDescent="0.3">
      <c r="D17411" s="1"/>
      <c r="G17411" s="13"/>
      <c r="AL17411" s="13"/>
      <c r="AM17411" s="14"/>
    </row>
    <row r="17412" spans="4:39" x14ac:dyDescent="0.3">
      <c r="D17412" s="1"/>
      <c r="G17412" s="13"/>
      <c r="AL17412" s="13"/>
    </row>
    <row r="17413" spans="4:39" x14ac:dyDescent="0.3">
      <c r="D17413" s="1"/>
      <c r="G17413" s="13"/>
      <c r="AL17413" s="13"/>
      <c r="AM17413" s="14"/>
    </row>
    <row r="17414" spans="4:39" x14ac:dyDescent="0.3">
      <c r="D17414" s="1"/>
      <c r="G17414" s="13"/>
      <c r="AL17414" s="13"/>
    </row>
    <row r="17415" spans="4:39" x14ac:dyDescent="0.3">
      <c r="D17415" s="1"/>
      <c r="G17415" s="13"/>
      <c r="AL17415" s="13"/>
    </row>
    <row r="17416" spans="4:39" x14ac:dyDescent="0.3">
      <c r="D17416" s="1"/>
      <c r="G17416" s="13"/>
      <c r="AL17416" s="13"/>
    </row>
    <row r="17417" spans="4:39" x14ac:dyDescent="0.3">
      <c r="D17417" s="1"/>
      <c r="G17417" s="13"/>
      <c r="AL17417" s="13"/>
      <c r="AM17417" s="14"/>
    </row>
    <row r="17418" spans="4:39" x14ac:dyDescent="0.3">
      <c r="D17418" s="1"/>
      <c r="G17418" s="13"/>
      <c r="AL17418" s="13"/>
    </row>
    <row r="17419" spans="4:39" x14ac:dyDescent="0.3">
      <c r="D17419" s="1"/>
      <c r="G17419" s="13"/>
      <c r="AL17419" s="13"/>
    </row>
    <row r="17420" spans="4:39" x14ac:dyDescent="0.3">
      <c r="D17420" s="1"/>
      <c r="G17420" s="13"/>
      <c r="AL17420" s="13"/>
      <c r="AM17420" s="14"/>
    </row>
    <row r="17421" spans="4:39" x14ac:dyDescent="0.3">
      <c r="D17421" s="1"/>
      <c r="G17421" s="13"/>
      <c r="AL17421" s="13"/>
    </row>
    <row r="17422" spans="4:39" x14ac:dyDescent="0.3">
      <c r="D17422" s="1"/>
      <c r="G17422" s="13"/>
      <c r="AL17422" s="13"/>
      <c r="AM17422" s="14"/>
    </row>
    <row r="17423" spans="4:39" x14ac:dyDescent="0.3">
      <c r="D17423" s="1"/>
      <c r="G17423" s="13"/>
      <c r="AL17423" s="13"/>
      <c r="AM17423" s="14"/>
    </row>
    <row r="17424" spans="4:39" x14ac:dyDescent="0.3">
      <c r="D17424" s="1"/>
      <c r="G17424" s="13"/>
      <c r="AL17424" s="13"/>
      <c r="AM17424" s="14"/>
    </row>
    <row r="17425" spans="4:39" x14ac:dyDescent="0.3">
      <c r="D17425" s="1"/>
      <c r="G17425" s="13"/>
      <c r="AL17425" s="13"/>
    </row>
    <row r="17426" spans="4:39" x14ac:dyDescent="0.3">
      <c r="D17426" s="1"/>
      <c r="G17426" s="13"/>
      <c r="AL17426" s="13"/>
    </row>
    <row r="17427" spans="4:39" x14ac:dyDescent="0.3">
      <c r="D17427" s="1"/>
      <c r="G17427" s="13"/>
      <c r="AL17427" s="13"/>
    </row>
    <row r="17428" spans="4:39" x14ac:dyDescent="0.3">
      <c r="D17428" s="1"/>
      <c r="G17428" s="13"/>
      <c r="AL17428" s="13"/>
    </row>
    <row r="17429" spans="4:39" x14ac:dyDescent="0.3">
      <c r="D17429" s="1"/>
      <c r="G17429" s="13"/>
      <c r="AL17429" s="13"/>
    </row>
    <row r="17430" spans="4:39" x14ac:dyDescent="0.3">
      <c r="D17430" s="1"/>
      <c r="G17430" s="13"/>
      <c r="AL17430" s="13"/>
      <c r="AM17430" s="14"/>
    </row>
    <row r="17431" spans="4:39" x14ac:dyDescent="0.3">
      <c r="D17431" s="1"/>
      <c r="G17431" s="13"/>
      <c r="AL17431" s="13"/>
      <c r="AM17431" s="14"/>
    </row>
    <row r="17432" spans="4:39" x14ac:dyDescent="0.3">
      <c r="D17432" s="1"/>
      <c r="G17432" s="13"/>
      <c r="AL17432" s="13"/>
      <c r="AM17432" s="14"/>
    </row>
    <row r="17433" spans="4:39" x14ac:dyDescent="0.3">
      <c r="D17433" s="1"/>
      <c r="G17433" s="13"/>
      <c r="AL17433" s="13"/>
    </row>
    <row r="17434" spans="4:39" x14ac:dyDescent="0.3">
      <c r="D17434" s="1"/>
      <c r="G17434" s="13"/>
      <c r="AL17434" s="13"/>
    </row>
    <row r="17435" spans="4:39" x14ac:dyDescent="0.3">
      <c r="D17435" s="1"/>
      <c r="G17435" s="13"/>
      <c r="AL17435" s="13"/>
      <c r="AM17435" s="14"/>
    </row>
    <row r="17436" spans="4:39" x14ac:dyDescent="0.3">
      <c r="D17436" s="1"/>
      <c r="G17436" s="13"/>
      <c r="AL17436" s="13"/>
      <c r="AM17436" s="14"/>
    </row>
    <row r="17437" spans="4:39" x14ac:dyDescent="0.3">
      <c r="D17437" s="1"/>
      <c r="G17437" s="13"/>
      <c r="AL17437" s="13"/>
      <c r="AM17437" s="14"/>
    </row>
    <row r="17438" spans="4:39" x14ac:dyDescent="0.3">
      <c r="D17438" s="1"/>
      <c r="G17438" s="13"/>
      <c r="AL17438" s="13"/>
    </row>
    <row r="17439" spans="4:39" x14ac:dyDescent="0.3">
      <c r="D17439" s="1"/>
      <c r="G17439" s="13"/>
      <c r="AL17439" s="13"/>
    </row>
    <row r="17440" spans="4:39" x14ac:dyDescent="0.3">
      <c r="D17440" s="1"/>
      <c r="G17440" s="13"/>
      <c r="AL17440" s="13"/>
      <c r="AM17440" s="14"/>
    </row>
    <row r="17441" spans="4:39" x14ac:dyDescent="0.3">
      <c r="D17441" s="1"/>
      <c r="G17441" s="13"/>
      <c r="AL17441" s="13"/>
    </row>
    <row r="17442" spans="4:39" x14ac:dyDescent="0.3">
      <c r="D17442" s="1"/>
      <c r="G17442" s="13"/>
      <c r="AL17442" s="13"/>
    </row>
    <row r="17443" spans="4:39" x14ac:dyDescent="0.3">
      <c r="D17443" s="1"/>
      <c r="G17443" s="13"/>
      <c r="AL17443" s="13"/>
    </row>
    <row r="17444" spans="4:39" x14ac:dyDescent="0.3">
      <c r="D17444" s="1"/>
      <c r="G17444" s="13"/>
      <c r="AL17444" s="13"/>
    </row>
    <row r="17445" spans="4:39" x14ac:dyDescent="0.3">
      <c r="D17445" s="1"/>
      <c r="G17445" s="13"/>
      <c r="AL17445" s="13"/>
    </row>
    <row r="17446" spans="4:39" x14ac:dyDescent="0.3">
      <c r="D17446" s="1"/>
      <c r="G17446" s="13"/>
      <c r="AL17446" s="13"/>
      <c r="AM17446" s="14"/>
    </row>
    <row r="17447" spans="4:39" x14ac:dyDescent="0.3">
      <c r="D17447" s="1"/>
      <c r="G17447" s="13"/>
      <c r="AL17447" s="13"/>
    </row>
    <row r="17448" spans="4:39" x14ac:dyDescent="0.3">
      <c r="D17448" s="1"/>
      <c r="G17448" s="13"/>
      <c r="AL17448" s="13"/>
    </row>
    <row r="17449" spans="4:39" x14ac:dyDescent="0.3">
      <c r="D17449" s="1"/>
      <c r="G17449" s="13"/>
      <c r="AL17449" s="13"/>
      <c r="AM17449" s="14"/>
    </row>
    <row r="17450" spans="4:39" x14ac:dyDescent="0.3">
      <c r="D17450" s="1"/>
      <c r="G17450" s="13"/>
      <c r="AL17450" s="13"/>
      <c r="AM17450" s="14"/>
    </row>
    <row r="17451" spans="4:39" x14ac:dyDescent="0.3">
      <c r="D17451" s="1"/>
      <c r="G17451" s="13"/>
      <c r="AL17451" s="13"/>
      <c r="AM17451" s="14"/>
    </row>
    <row r="17452" spans="4:39" x14ac:dyDescent="0.3">
      <c r="D17452" s="1"/>
      <c r="G17452" s="13"/>
      <c r="AL17452" s="13"/>
      <c r="AM17452" s="14"/>
    </row>
    <row r="17453" spans="4:39" x14ac:dyDescent="0.3">
      <c r="D17453" s="1"/>
      <c r="G17453" s="13"/>
      <c r="AL17453" s="13"/>
      <c r="AM17453" s="14"/>
    </row>
    <row r="17454" spans="4:39" x14ac:dyDescent="0.3">
      <c r="D17454" s="1"/>
      <c r="G17454" s="13"/>
      <c r="AL17454" s="13"/>
    </row>
    <row r="17455" spans="4:39" x14ac:dyDescent="0.3">
      <c r="D17455" s="1"/>
      <c r="G17455" s="13"/>
      <c r="AL17455" s="13"/>
    </row>
    <row r="17456" spans="4:39" x14ac:dyDescent="0.3">
      <c r="D17456" s="1"/>
      <c r="G17456" s="13"/>
      <c r="AL17456" s="13"/>
    </row>
    <row r="17457" spans="4:39" x14ac:dyDescent="0.3">
      <c r="D17457" s="1"/>
      <c r="G17457" s="13"/>
      <c r="AL17457" s="13"/>
      <c r="AM17457" s="14"/>
    </row>
    <row r="17458" spans="4:39" x14ac:dyDescent="0.3">
      <c r="D17458" s="1"/>
      <c r="G17458" s="13"/>
      <c r="AL17458" s="13"/>
    </row>
    <row r="17459" spans="4:39" x14ac:dyDescent="0.3">
      <c r="D17459" s="1"/>
      <c r="G17459" s="13"/>
      <c r="AL17459" s="13"/>
    </row>
    <row r="17460" spans="4:39" x14ac:dyDescent="0.3">
      <c r="D17460" s="1"/>
      <c r="G17460" s="13"/>
      <c r="AL17460" s="13"/>
    </row>
    <row r="17461" spans="4:39" x14ac:dyDescent="0.3">
      <c r="D17461" s="1"/>
      <c r="G17461" s="13"/>
      <c r="AL17461" s="13"/>
    </row>
    <row r="17462" spans="4:39" x14ac:dyDescent="0.3">
      <c r="D17462" s="1"/>
      <c r="G17462" s="13"/>
      <c r="AL17462" s="13"/>
    </row>
    <row r="17463" spans="4:39" x14ac:dyDescent="0.3">
      <c r="D17463" s="1"/>
      <c r="G17463" s="13"/>
      <c r="AL17463" s="13"/>
    </row>
    <row r="17464" spans="4:39" x14ac:dyDescent="0.3">
      <c r="D17464" s="1"/>
      <c r="G17464" s="13"/>
      <c r="AL17464" s="13"/>
    </row>
    <row r="17465" spans="4:39" x14ac:dyDescent="0.3">
      <c r="D17465" s="1"/>
      <c r="G17465" s="13"/>
      <c r="AL17465" s="13"/>
    </row>
    <row r="17466" spans="4:39" x14ac:dyDescent="0.3">
      <c r="D17466" s="1"/>
      <c r="G17466" s="13"/>
      <c r="AL17466" s="13"/>
      <c r="AM17466" s="14"/>
    </row>
    <row r="17467" spans="4:39" x14ac:dyDescent="0.3">
      <c r="D17467" s="1"/>
      <c r="G17467" s="13"/>
      <c r="AL17467" s="13"/>
    </row>
    <row r="17468" spans="4:39" x14ac:dyDescent="0.3">
      <c r="D17468" s="1"/>
      <c r="G17468" s="13"/>
      <c r="AL17468" s="13"/>
      <c r="AM17468" s="14"/>
    </row>
    <row r="17469" spans="4:39" x14ac:dyDescent="0.3">
      <c r="D17469" s="1"/>
      <c r="G17469" s="13"/>
      <c r="AL17469" s="13"/>
    </row>
    <row r="17470" spans="4:39" x14ac:dyDescent="0.3">
      <c r="D17470" s="1"/>
      <c r="G17470" s="13"/>
      <c r="AL17470" s="13"/>
    </row>
    <row r="17471" spans="4:39" x14ac:dyDescent="0.3">
      <c r="D17471" s="1"/>
      <c r="G17471" s="13"/>
      <c r="AL17471" s="13"/>
    </row>
    <row r="17472" spans="4:39" x14ac:dyDescent="0.3">
      <c r="D17472" s="1"/>
      <c r="G17472" s="13"/>
      <c r="AL17472" s="13"/>
    </row>
    <row r="17473" spans="4:39" x14ac:dyDescent="0.3">
      <c r="D17473" s="1"/>
      <c r="G17473" s="13"/>
      <c r="AL17473" s="13"/>
    </row>
    <row r="17474" spans="4:39" x14ac:dyDescent="0.3">
      <c r="D17474" s="1"/>
      <c r="G17474" s="13"/>
      <c r="AL17474" s="13"/>
    </row>
    <row r="17475" spans="4:39" x14ac:dyDescent="0.3">
      <c r="D17475" s="1"/>
      <c r="G17475" s="13"/>
      <c r="AL17475" s="13"/>
    </row>
    <row r="17476" spans="4:39" x14ac:dyDescent="0.3">
      <c r="D17476" s="1"/>
      <c r="G17476" s="13"/>
      <c r="AL17476" s="13"/>
      <c r="AM17476" s="14"/>
    </row>
    <row r="17477" spans="4:39" x14ac:dyDescent="0.3">
      <c r="D17477" s="1"/>
      <c r="G17477" s="13"/>
      <c r="AL17477" s="13"/>
    </row>
    <row r="17478" spans="4:39" x14ac:dyDescent="0.3">
      <c r="D17478" s="1"/>
      <c r="G17478" s="13"/>
      <c r="AL17478" s="13"/>
    </row>
    <row r="17479" spans="4:39" x14ac:dyDescent="0.3">
      <c r="D17479" s="1"/>
      <c r="G17479" s="13"/>
      <c r="AL17479" s="13"/>
    </row>
    <row r="17480" spans="4:39" x14ac:dyDescent="0.3">
      <c r="D17480" s="1"/>
      <c r="G17480" s="13"/>
      <c r="AL17480" s="13"/>
    </row>
    <row r="17481" spans="4:39" x14ac:dyDescent="0.3">
      <c r="D17481" s="1"/>
      <c r="G17481" s="13"/>
      <c r="AL17481" s="13"/>
      <c r="AM17481" s="14"/>
    </row>
    <row r="17482" spans="4:39" x14ac:dyDescent="0.3">
      <c r="D17482" s="1"/>
      <c r="G17482" s="13"/>
      <c r="AL17482" s="13"/>
    </row>
    <row r="17483" spans="4:39" x14ac:dyDescent="0.3">
      <c r="D17483" s="1"/>
      <c r="G17483" s="13"/>
      <c r="AL17483" s="13"/>
      <c r="AM17483" s="14"/>
    </row>
    <row r="17484" spans="4:39" x14ac:dyDescent="0.3">
      <c r="D17484" s="1"/>
      <c r="G17484" s="13"/>
      <c r="AL17484" s="13"/>
    </row>
    <row r="17485" spans="4:39" x14ac:dyDescent="0.3">
      <c r="D17485" s="1"/>
      <c r="G17485" s="13"/>
      <c r="AL17485" s="13"/>
      <c r="AM17485" s="14"/>
    </row>
    <row r="17486" spans="4:39" x14ac:dyDescent="0.3">
      <c r="D17486" s="1"/>
      <c r="G17486" s="13"/>
      <c r="AL17486" s="13"/>
    </row>
    <row r="17487" spans="4:39" x14ac:dyDescent="0.3">
      <c r="D17487" s="1"/>
      <c r="G17487" s="13"/>
      <c r="AL17487" s="13"/>
    </row>
    <row r="17488" spans="4:39" x14ac:dyDescent="0.3">
      <c r="D17488" s="1"/>
      <c r="G17488" s="13"/>
      <c r="AL17488" s="13"/>
    </row>
    <row r="17489" spans="4:39" x14ac:dyDescent="0.3">
      <c r="D17489" s="1"/>
      <c r="G17489" s="13"/>
      <c r="AL17489" s="13"/>
      <c r="AM17489" s="14"/>
    </row>
    <row r="17490" spans="4:39" x14ac:dyDescent="0.3">
      <c r="D17490" s="1"/>
      <c r="G17490" s="13"/>
      <c r="AL17490" s="13"/>
    </row>
    <row r="17491" spans="4:39" x14ac:dyDescent="0.3">
      <c r="D17491" s="1"/>
      <c r="G17491" s="13"/>
      <c r="AL17491" s="13"/>
    </row>
    <row r="17492" spans="4:39" x14ac:dyDescent="0.3">
      <c r="D17492" s="1"/>
      <c r="G17492" s="13"/>
      <c r="AL17492" s="13"/>
    </row>
    <row r="17493" spans="4:39" x14ac:dyDescent="0.3">
      <c r="D17493" s="1"/>
      <c r="G17493" s="13"/>
      <c r="AL17493" s="13"/>
    </row>
    <row r="17494" spans="4:39" x14ac:dyDescent="0.3">
      <c r="D17494" s="1"/>
      <c r="G17494" s="13"/>
      <c r="AL17494" s="13"/>
      <c r="AM17494" s="14"/>
    </row>
    <row r="17495" spans="4:39" x14ac:dyDescent="0.3">
      <c r="D17495" s="1"/>
      <c r="G17495" s="13"/>
      <c r="AL17495" s="13"/>
    </row>
    <row r="17496" spans="4:39" x14ac:dyDescent="0.3">
      <c r="D17496" s="1"/>
      <c r="G17496" s="13"/>
      <c r="AL17496" s="13"/>
    </row>
    <row r="17497" spans="4:39" x14ac:dyDescent="0.3">
      <c r="D17497" s="1"/>
      <c r="G17497" s="13"/>
      <c r="AL17497" s="13"/>
    </row>
    <row r="17498" spans="4:39" x14ac:dyDescent="0.3">
      <c r="D17498" s="1"/>
      <c r="G17498" s="13"/>
      <c r="AL17498" s="13"/>
    </row>
    <row r="17499" spans="4:39" x14ac:dyDescent="0.3">
      <c r="D17499" s="1"/>
      <c r="G17499" s="13"/>
      <c r="AL17499" s="13"/>
    </row>
    <row r="17500" spans="4:39" x14ac:dyDescent="0.3">
      <c r="D17500" s="1"/>
      <c r="G17500" s="13"/>
      <c r="AL17500" s="13"/>
    </row>
    <row r="17501" spans="4:39" x14ac:dyDescent="0.3">
      <c r="D17501" s="1"/>
      <c r="G17501" s="13"/>
      <c r="AL17501" s="13"/>
      <c r="AM17501" s="14"/>
    </row>
    <row r="17502" spans="4:39" x14ac:dyDescent="0.3">
      <c r="D17502" s="1"/>
      <c r="G17502" s="13"/>
      <c r="AL17502" s="13"/>
    </row>
    <row r="17503" spans="4:39" x14ac:dyDescent="0.3">
      <c r="D17503" s="1"/>
      <c r="G17503" s="13"/>
      <c r="AL17503" s="13"/>
    </row>
    <row r="17504" spans="4:39" x14ac:dyDescent="0.3">
      <c r="D17504" s="1"/>
      <c r="G17504" s="13"/>
      <c r="AL17504" s="13"/>
    </row>
    <row r="17505" spans="4:39" x14ac:dyDescent="0.3">
      <c r="D17505" s="1"/>
      <c r="G17505" s="13"/>
      <c r="AL17505" s="13"/>
    </row>
    <row r="17506" spans="4:39" x14ac:dyDescent="0.3">
      <c r="D17506" s="1"/>
      <c r="G17506" s="13"/>
      <c r="AL17506" s="13"/>
    </row>
    <row r="17507" spans="4:39" x14ac:dyDescent="0.3">
      <c r="D17507" s="1"/>
      <c r="G17507" s="13"/>
      <c r="AL17507" s="13"/>
    </row>
    <row r="17508" spans="4:39" x14ac:dyDescent="0.3">
      <c r="D17508" s="1"/>
      <c r="G17508" s="13"/>
      <c r="AL17508" s="13"/>
    </row>
    <row r="17509" spans="4:39" x14ac:dyDescent="0.3">
      <c r="D17509" s="1"/>
      <c r="G17509" s="13"/>
      <c r="AL17509" s="13"/>
    </row>
    <row r="17510" spans="4:39" x14ac:dyDescent="0.3">
      <c r="D17510" s="1"/>
      <c r="G17510" s="13"/>
      <c r="AL17510" s="13"/>
      <c r="AM17510" s="14"/>
    </row>
    <row r="17511" spans="4:39" x14ac:dyDescent="0.3">
      <c r="D17511" s="1"/>
      <c r="G17511" s="13"/>
      <c r="AL17511" s="13"/>
    </row>
    <row r="17512" spans="4:39" x14ac:dyDescent="0.3">
      <c r="D17512" s="1"/>
      <c r="G17512" s="13"/>
      <c r="AL17512" s="13"/>
    </row>
    <row r="17513" spans="4:39" x14ac:dyDescent="0.3">
      <c r="D17513" s="1"/>
      <c r="G17513" s="13"/>
      <c r="AL17513" s="13"/>
    </row>
    <row r="17514" spans="4:39" x14ac:dyDescent="0.3">
      <c r="D17514" s="1"/>
      <c r="G17514" s="13"/>
      <c r="AL17514" s="13"/>
    </row>
    <row r="17515" spans="4:39" x14ac:dyDescent="0.3">
      <c r="D17515" s="1"/>
      <c r="G17515" s="13"/>
      <c r="AL17515" s="13"/>
    </row>
    <row r="17516" spans="4:39" x14ac:dyDescent="0.3">
      <c r="D17516" s="1"/>
      <c r="G17516" s="13"/>
      <c r="AL17516" s="13"/>
    </row>
    <row r="17517" spans="4:39" x14ac:dyDescent="0.3">
      <c r="D17517" s="1"/>
      <c r="G17517" s="13"/>
      <c r="AL17517" s="13"/>
    </row>
    <row r="17518" spans="4:39" x14ac:dyDescent="0.3">
      <c r="D17518" s="1"/>
      <c r="G17518" s="13"/>
      <c r="AL17518" s="13"/>
    </row>
    <row r="17519" spans="4:39" x14ac:dyDescent="0.3">
      <c r="D17519" s="1"/>
      <c r="G17519" s="13"/>
      <c r="AL17519" s="13"/>
    </row>
    <row r="17520" spans="4:39" x14ac:dyDescent="0.3">
      <c r="D17520" s="1"/>
      <c r="G17520" s="13"/>
      <c r="AL17520" s="13"/>
    </row>
    <row r="17521" spans="4:38" x14ac:dyDescent="0.3">
      <c r="D17521" s="1"/>
      <c r="G17521" s="13"/>
      <c r="AL17521" s="13"/>
    </row>
    <row r="17522" spans="4:38" x14ac:dyDescent="0.3">
      <c r="D17522" s="1"/>
      <c r="G17522" s="13"/>
      <c r="AL17522" s="13"/>
    </row>
    <row r="17523" spans="4:38" x14ac:dyDescent="0.3">
      <c r="D17523" s="1"/>
      <c r="G17523" s="13"/>
      <c r="AL17523" s="13"/>
    </row>
    <row r="17524" spans="4:38" x14ac:dyDescent="0.3">
      <c r="D17524" s="1"/>
      <c r="G17524" s="13"/>
      <c r="AL17524" s="13"/>
    </row>
    <row r="17525" spans="4:38" x14ac:dyDescent="0.3">
      <c r="D17525" s="1"/>
      <c r="G17525" s="13"/>
      <c r="AL17525" s="13"/>
    </row>
    <row r="17526" spans="4:38" x14ac:dyDescent="0.3">
      <c r="D17526" s="1"/>
      <c r="G17526" s="13"/>
      <c r="AL17526" s="13"/>
    </row>
    <row r="17527" spans="4:38" x14ac:dyDescent="0.3">
      <c r="D17527" s="1"/>
      <c r="G17527" s="13"/>
      <c r="AL17527" s="13"/>
    </row>
    <row r="17528" spans="4:38" x14ac:dyDescent="0.3">
      <c r="D17528" s="1"/>
      <c r="G17528" s="13"/>
      <c r="AL17528" s="13"/>
    </row>
    <row r="17529" spans="4:38" x14ac:dyDescent="0.3">
      <c r="D17529" s="1"/>
      <c r="G17529" s="13"/>
      <c r="AL17529" s="13"/>
    </row>
    <row r="17530" spans="4:38" x14ac:dyDescent="0.3">
      <c r="D17530" s="1"/>
      <c r="G17530" s="13"/>
      <c r="AL17530" s="13"/>
    </row>
    <row r="17531" spans="4:38" x14ac:dyDescent="0.3">
      <c r="D17531" s="1"/>
      <c r="G17531" s="13"/>
      <c r="AL17531" s="13"/>
    </row>
    <row r="17532" spans="4:38" x14ac:dyDescent="0.3">
      <c r="D17532" s="1"/>
      <c r="G17532" s="13"/>
      <c r="AL17532" s="13"/>
    </row>
    <row r="17533" spans="4:38" x14ac:dyDescent="0.3">
      <c r="D17533" s="1"/>
      <c r="G17533" s="13"/>
      <c r="AL17533" s="13"/>
    </row>
    <row r="17534" spans="4:38" x14ac:dyDescent="0.3">
      <c r="D17534" s="1"/>
      <c r="G17534" s="13"/>
      <c r="AL17534" s="13"/>
    </row>
    <row r="17535" spans="4:38" x14ac:dyDescent="0.3">
      <c r="D17535" s="1"/>
      <c r="G17535" s="13"/>
      <c r="AL17535" s="13"/>
    </row>
    <row r="17536" spans="4:38" x14ac:dyDescent="0.3">
      <c r="D17536" s="1"/>
      <c r="G17536" s="13"/>
      <c r="AL17536" s="13"/>
    </row>
    <row r="17537" spans="4:39" x14ac:dyDescent="0.3">
      <c r="D17537" s="1"/>
      <c r="G17537" s="13"/>
      <c r="AL17537" s="13"/>
    </row>
    <row r="17538" spans="4:39" x14ac:dyDescent="0.3">
      <c r="D17538" s="1"/>
      <c r="G17538" s="13"/>
      <c r="AL17538" s="13"/>
    </row>
    <row r="17539" spans="4:39" x14ac:dyDescent="0.3">
      <c r="D17539" s="1"/>
      <c r="G17539" s="13"/>
      <c r="AL17539" s="13"/>
      <c r="AM17539" s="14"/>
    </row>
    <row r="17540" spans="4:39" x14ac:dyDescent="0.3">
      <c r="D17540" s="1"/>
      <c r="G17540" s="13"/>
      <c r="AL17540" s="13"/>
    </row>
    <row r="17541" spans="4:39" x14ac:dyDescent="0.3">
      <c r="D17541" s="1"/>
      <c r="G17541" s="13"/>
      <c r="AL17541" s="13"/>
      <c r="AM17541" s="14"/>
    </row>
    <row r="17542" spans="4:39" x14ac:dyDescent="0.3">
      <c r="D17542" s="1"/>
      <c r="G17542" s="13"/>
      <c r="AL17542" s="13"/>
    </row>
    <row r="17543" spans="4:39" x14ac:dyDescent="0.3">
      <c r="D17543" s="1"/>
      <c r="G17543" s="13"/>
      <c r="AL17543" s="13"/>
    </row>
    <row r="17544" spans="4:39" x14ac:dyDescent="0.3">
      <c r="D17544" s="1"/>
      <c r="G17544" s="13"/>
      <c r="AL17544" s="13"/>
    </row>
    <row r="17545" spans="4:39" x14ac:dyDescent="0.3">
      <c r="D17545" s="1"/>
      <c r="G17545" s="13"/>
      <c r="AL17545" s="13"/>
    </row>
    <row r="17546" spans="4:39" x14ac:dyDescent="0.3">
      <c r="D17546" s="1"/>
      <c r="G17546" s="13"/>
      <c r="AL17546" s="13"/>
    </row>
    <row r="17547" spans="4:39" x14ac:dyDescent="0.3">
      <c r="D17547" s="1"/>
      <c r="G17547" s="13"/>
      <c r="AL17547" s="13"/>
    </row>
    <row r="17548" spans="4:39" x14ac:dyDescent="0.3">
      <c r="D17548" s="1"/>
      <c r="G17548" s="13"/>
      <c r="AL17548" s="13"/>
    </row>
    <row r="17549" spans="4:39" x14ac:dyDescent="0.3">
      <c r="D17549" s="1"/>
      <c r="G17549" s="13"/>
      <c r="AL17549" s="13"/>
    </row>
    <row r="17550" spans="4:39" x14ac:dyDescent="0.3">
      <c r="D17550" s="1"/>
      <c r="G17550" s="13"/>
      <c r="AL17550" s="13"/>
    </row>
    <row r="17551" spans="4:39" x14ac:dyDescent="0.3">
      <c r="D17551" s="1"/>
      <c r="G17551" s="13"/>
      <c r="AL17551" s="13"/>
      <c r="AM17551" s="14"/>
    </row>
    <row r="17552" spans="4:39" x14ac:dyDescent="0.3">
      <c r="D17552" s="1"/>
      <c r="G17552" s="13"/>
      <c r="AL17552" s="13"/>
    </row>
    <row r="17553" spans="4:39" x14ac:dyDescent="0.3">
      <c r="D17553" s="1"/>
      <c r="G17553" s="13"/>
      <c r="AL17553" s="13"/>
    </row>
    <row r="17554" spans="4:39" x14ac:dyDescent="0.3">
      <c r="D17554" s="1"/>
      <c r="G17554" s="13"/>
      <c r="AL17554" s="13"/>
    </row>
    <row r="17555" spans="4:39" x14ac:dyDescent="0.3">
      <c r="D17555" s="1"/>
      <c r="G17555" s="13"/>
      <c r="AL17555" s="13"/>
    </row>
    <row r="17556" spans="4:39" x14ac:dyDescent="0.3">
      <c r="D17556" s="1"/>
      <c r="G17556" s="13"/>
      <c r="AL17556" s="13"/>
    </row>
    <row r="17557" spans="4:39" x14ac:dyDescent="0.3">
      <c r="D17557" s="1"/>
      <c r="G17557" s="13"/>
      <c r="AL17557" s="13"/>
    </row>
    <row r="17558" spans="4:39" x14ac:dyDescent="0.3">
      <c r="D17558" s="1"/>
      <c r="G17558" s="13"/>
      <c r="AL17558" s="13"/>
      <c r="AM17558" s="14"/>
    </row>
    <row r="17559" spans="4:39" x14ac:dyDescent="0.3">
      <c r="D17559" s="1"/>
      <c r="G17559" s="13"/>
      <c r="AL17559" s="13"/>
    </row>
    <row r="17560" spans="4:39" x14ac:dyDescent="0.3">
      <c r="D17560" s="1"/>
      <c r="G17560" s="13"/>
      <c r="AL17560" s="13"/>
    </row>
    <row r="17561" spans="4:39" x14ac:dyDescent="0.3">
      <c r="D17561" s="1"/>
      <c r="G17561" s="13"/>
      <c r="AL17561" s="13"/>
    </row>
    <row r="17562" spans="4:39" x14ac:dyDescent="0.3">
      <c r="D17562" s="1"/>
      <c r="G17562" s="13"/>
      <c r="AL17562" s="13"/>
    </row>
    <row r="17563" spans="4:39" x14ac:dyDescent="0.3">
      <c r="D17563" s="1"/>
      <c r="G17563" s="13"/>
      <c r="AL17563" s="13"/>
    </row>
    <row r="17564" spans="4:39" x14ac:dyDescent="0.3">
      <c r="D17564" s="1"/>
      <c r="G17564" s="13"/>
      <c r="AL17564" s="13"/>
    </row>
    <row r="17565" spans="4:39" x14ac:dyDescent="0.3">
      <c r="D17565" s="1"/>
      <c r="G17565" s="13"/>
      <c r="AL17565" s="13"/>
      <c r="AM17565" s="14"/>
    </row>
    <row r="17566" spans="4:39" x14ac:dyDescent="0.3">
      <c r="D17566" s="1"/>
      <c r="G17566" s="13"/>
      <c r="AL17566" s="13"/>
    </row>
    <row r="17567" spans="4:39" x14ac:dyDescent="0.3">
      <c r="D17567" s="1"/>
      <c r="G17567" s="13"/>
      <c r="AL17567" s="13"/>
    </row>
    <row r="17568" spans="4:39" x14ac:dyDescent="0.3">
      <c r="D17568" s="1"/>
      <c r="G17568" s="13"/>
      <c r="AL17568" s="13"/>
      <c r="AM17568" s="14"/>
    </row>
    <row r="17569" spans="4:39" x14ac:dyDescent="0.3">
      <c r="D17569" s="1"/>
      <c r="G17569" s="13"/>
      <c r="AL17569" s="13"/>
    </row>
    <row r="17570" spans="4:39" x14ac:dyDescent="0.3">
      <c r="D17570" s="1"/>
      <c r="G17570" s="13"/>
      <c r="AL17570" s="13"/>
    </row>
    <row r="17571" spans="4:39" x14ac:dyDescent="0.3">
      <c r="D17571" s="1"/>
      <c r="G17571" s="13"/>
      <c r="AL17571" s="13"/>
    </row>
    <row r="17572" spans="4:39" x14ac:dyDescent="0.3">
      <c r="D17572" s="1"/>
      <c r="G17572" s="13"/>
      <c r="AL17572" s="13"/>
    </row>
    <row r="17573" spans="4:39" x14ac:dyDescent="0.3">
      <c r="D17573" s="1"/>
      <c r="G17573" s="13"/>
      <c r="AL17573" s="13"/>
    </row>
    <row r="17574" spans="4:39" x14ac:dyDescent="0.3">
      <c r="D17574" s="1"/>
      <c r="G17574" s="13"/>
      <c r="AL17574" s="13"/>
    </row>
    <row r="17575" spans="4:39" x14ac:dyDescent="0.3">
      <c r="D17575" s="1"/>
      <c r="G17575" s="13"/>
      <c r="AL17575" s="13"/>
    </row>
    <row r="17576" spans="4:39" x14ac:dyDescent="0.3">
      <c r="D17576" s="1"/>
      <c r="G17576" s="13"/>
      <c r="AL17576" s="13"/>
      <c r="AM17576" s="14"/>
    </row>
    <row r="17577" spans="4:39" x14ac:dyDescent="0.3">
      <c r="D17577" s="1"/>
      <c r="G17577" s="13"/>
      <c r="AL17577" s="13"/>
      <c r="AM17577" s="14"/>
    </row>
    <row r="17578" spans="4:39" x14ac:dyDescent="0.3">
      <c r="D17578" s="1"/>
      <c r="G17578" s="13"/>
      <c r="AL17578" s="13"/>
      <c r="AM17578" s="14"/>
    </row>
    <row r="17579" spans="4:39" x14ac:dyDescent="0.3">
      <c r="D17579" s="1"/>
      <c r="G17579" s="13"/>
      <c r="AL17579" s="13"/>
    </row>
    <row r="17580" spans="4:39" x14ac:dyDescent="0.3">
      <c r="D17580" s="1"/>
      <c r="G17580" s="13"/>
      <c r="AL17580" s="13"/>
    </row>
    <row r="17581" spans="4:39" x14ac:dyDescent="0.3">
      <c r="D17581" s="1"/>
      <c r="G17581" s="13"/>
      <c r="AL17581" s="13"/>
    </row>
    <row r="17582" spans="4:39" x14ac:dyDescent="0.3">
      <c r="D17582" s="1"/>
      <c r="G17582" s="13"/>
      <c r="AL17582" s="13"/>
      <c r="AM17582" s="14"/>
    </row>
    <row r="17583" spans="4:39" x14ac:dyDescent="0.3">
      <c r="D17583" s="1"/>
      <c r="G17583" s="13"/>
      <c r="AL17583" s="13"/>
      <c r="AM17583" s="14"/>
    </row>
    <row r="17584" spans="4:39" x14ac:dyDescent="0.3">
      <c r="D17584" s="1"/>
      <c r="G17584" s="13"/>
      <c r="AL17584" s="13"/>
      <c r="AM17584" s="14"/>
    </row>
    <row r="17585" spans="4:39" x14ac:dyDescent="0.3">
      <c r="D17585" s="1"/>
      <c r="G17585" s="13"/>
      <c r="AL17585" s="13"/>
    </row>
    <row r="17586" spans="4:39" x14ac:dyDescent="0.3">
      <c r="D17586" s="1"/>
      <c r="G17586" s="13"/>
      <c r="AL17586" s="13"/>
      <c r="AM17586" s="14"/>
    </row>
    <row r="17587" spans="4:39" x14ac:dyDescent="0.3">
      <c r="D17587" s="1"/>
      <c r="G17587" s="13"/>
      <c r="AL17587" s="13"/>
      <c r="AM17587" s="14"/>
    </row>
    <row r="17588" spans="4:39" x14ac:dyDescent="0.3">
      <c r="D17588" s="1"/>
      <c r="G17588" s="13"/>
      <c r="AL17588" s="13"/>
    </row>
    <row r="17589" spans="4:39" x14ac:dyDescent="0.3">
      <c r="D17589" s="1"/>
      <c r="G17589" s="13"/>
      <c r="AL17589" s="13"/>
    </row>
    <row r="17590" spans="4:39" x14ac:dyDescent="0.3">
      <c r="D17590" s="1"/>
      <c r="G17590" s="13"/>
      <c r="AL17590" s="13"/>
    </row>
    <row r="17591" spans="4:39" x14ac:dyDescent="0.3">
      <c r="D17591" s="1"/>
      <c r="G17591" s="13"/>
      <c r="AL17591" s="13"/>
    </row>
    <row r="17592" spans="4:39" x14ac:dyDescent="0.3">
      <c r="D17592" s="1"/>
      <c r="G17592" s="13"/>
      <c r="AL17592" s="13"/>
      <c r="AM17592" s="14"/>
    </row>
    <row r="17593" spans="4:39" x14ac:dyDescent="0.3">
      <c r="D17593" s="1"/>
      <c r="G17593" s="13"/>
      <c r="AL17593" s="13"/>
    </row>
    <row r="17594" spans="4:39" x14ac:dyDescent="0.3">
      <c r="D17594" s="1"/>
      <c r="G17594" s="13"/>
      <c r="AL17594" s="13"/>
    </row>
    <row r="17595" spans="4:39" x14ac:dyDescent="0.3">
      <c r="D17595" s="1"/>
      <c r="G17595" s="13"/>
      <c r="AL17595" s="13"/>
      <c r="AM17595" s="14"/>
    </row>
    <row r="17596" spans="4:39" x14ac:dyDescent="0.3">
      <c r="D17596" s="1"/>
      <c r="G17596" s="13"/>
      <c r="AL17596" s="13"/>
    </row>
    <row r="17597" spans="4:39" x14ac:dyDescent="0.3">
      <c r="D17597" s="1"/>
      <c r="G17597" s="13"/>
      <c r="AL17597" s="13"/>
    </row>
    <row r="17598" spans="4:39" x14ac:dyDescent="0.3">
      <c r="D17598" s="1"/>
      <c r="G17598" s="13"/>
      <c r="AL17598" s="13"/>
      <c r="AM17598" s="14"/>
    </row>
    <row r="17599" spans="4:39" x14ac:dyDescent="0.3">
      <c r="D17599" s="1"/>
      <c r="G17599" s="13"/>
      <c r="AL17599" s="13"/>
      <c r="AM17599" s="14"/>
    </row>
    <row r="17600" spans="4:39" x14ac:dyDescent="0.3">
      <c r="D17600" s="1"/>
      <c r="G17600" s="13"/>
      <c r="AL17600" s="13"/>
      <c r="AM17600" s="14"/>
    </row>
    <row r="17601" spans="4:39" x14ac:dyDescent="0.3">
      <c r="D17601" s="1"/>
      <c r="G17601" s="13"/>
      <c r="AL17601" s="13"/>
    </row>
    <row r="17602" spans="4:39" x14ac:dyDescent="0.3">
      <c r="D17602" s="1"/>
      <c r="G17602" s="13"/>
      <c r="AL17602" s="13"/>
      <c r="AM17602" s="14"/>
    </row>
    <row r="17603" spans="4:39" x14ac:dyDescent="0.3">
      <c r="D17603" s="1"/>
      <c r="G17603" s="13"/>
      <c r="AL17603" s="13"/>
      <c r="AM17603" s="14"/>
    </row>
    <row r="17604" spans="4:39" x14ac:dyDescent="0.3">
      <c r="D17604" s="1"/>
      <c r="G17604" s="13"/>
      <c r="AL17604" s="13"/>
      <c r="AM17604" s="14"/>
    </row>
    <row r="17605" spans="4:39" x14ac:dyDescent="0.3">
      <c r="D17605" s="1"/>
      <c r="G17605" s="13"/>
      <c r="AL17605" s="13"/>
    </row>
    <row r="17606" spans="4:39" x14ac:dyDescent="0.3">
      <c r="D17606" s="1"/>
      <c r="G17606" s="13"/>
      <c r="AL17606" s="13"/>
      <c r="AM17606" s="14"/>
    </row>
    <row r="17607" spans="4:39" x14ac:dyDescent="0.3">
      <c r="D17607" s="1"/>
      <c r="G17607" s="13"/>
      <c r="AL17607" s="13"/>
      <c r="AM17607" s="14"/>
    </row>
    <row r="17608" spans="4:39" x14ac:dyDescent="0.3">
      <c r="D17608" s="1"/>
      <c r="G17608" s="13"/>
      <c r="AL17608" s="13"/>
    </row>
    <row r="17609" spans="4:39" x14ac:dyDescent="0.3">
      <c r="D17609" s="1"/>
      <c r="G17609" s="13"/>
      <c r="AL17609" s="13"/>
    </row>
    <row r="17610" spans="4:39" x14ac:dyDescent="0.3">
      <c r="D17610" s="1"/>
      <c r="G17610" s="13"/>
      <c r="AL17610" s="13"/>
    </row>
    <row r="17611" spans="4:39" x14ac:dyDescent="0.3">
      <c r="D17611" s="1"/>
      <c r="G17611" s="13"/>
      <c r="AL17611" s="13"/>
      <c r="AM17611" s="14"/>
    </row>
    <row r="17612" spans="4:39" x14ac:dyDescent="0.3">
      <c r="D17612" s="1"/>
      <c r="G17612" s="13"/>
      <c r="AL17612" s="13"/>
    </row>
    <row r="17613" spans="4:39" x14ac:dyDescent="0.3">
      <c r="D17613" s="1"/>
      <c r="G17613" s="13"/>
      <c r="AL17613" s="13"/>
    </row>
    <row r="17614" spans="4:39" x14ac:dyDescent="0.3">
      <c r="D17614" s="1"/>
      <c r="G17614" s="13"/>
      <c r="AL17614" s="13"/>
      <c r="AM17614" s="14"/>
    </row>
    <row r="17615" spans="4:39" x14ac:dyDescent="0.3">
      <c r="D17615" s="1"/>
      <c r="G17615" s="13"/>
      <c r="AL17615" s="13"/>
    </row>
    <row r="17616" spans="4:39" x14ac:dyDescent="0.3">
      <c r="D17616" s="1"/>
      <c r="G17616" s="13"/>
      <c r="AL17616" s="13"/>
    </row>
    <row r="17617" spans="4:39" x14ac:dyDescent="0.3">
      <c r="D17617" s="1"/>
      <c r="G17617" s="13"/>
      <c r="AL17617" s="13"/>
    </row>
    <row r="17618" spans="4:39" x14ac:dyDescent="0.3">
      <c r="D17618" s="1"/>
      <c r="G17618" s="13"/>
      <c r="AL17618" s="13"/>
      <c r="AM17618" s="14"/>
    </row>
    <row r="17619" spans="4:39" x14ac:dyDescent="0.3">
      <c r="D17619" s="1"/>
      <c r="G17619" s="13"/>
      <c r="AL17619" s="13"/>
    </row>
    <row r="17620" spans="4:39" x14ac:dyDescent="0.3">
      <c r="D17620" s="1"/>
      <c r="G17620" s="13"/>
      <c r="AL17620" s="13"/>
    </row>
    <row r="17621" spans="4:39" x14ac:dyDescent="0.3">
      <c r="D17621" s="1"/>
      <c r="G17621" s="13"/>
      <c r="AL17621" s="13"/>
    </row>
    <row r="17622" spans="4:39" x14ac:dyDescent="0.3">
      <c r="D17622" s="1"/>
      <c r="G17622" s="13"/>
      <c r="AL17622" s="13"/>
    </row>
    <row r="17623" spans="4:39" x14ac:dyDescent="0.3">
      <c r="D17623" s="1"/>
      <c r="G17623" s="13"/>
      <c r="AL17623" s="13"/>
    </row>
    <row r="17624" spans="4:39" x14ac:dyDescent="0.3">
      <c r="D17624" s="1"/>
      <c r="G17624" s="13"/>
      <c r="AL17624" s="13"/>
    </row>
    <row r="17625" spans="4:39" x14ac:dyDescent="0.3">
      <c r="D17625" s="1"/>
      <c r="G17625" s="13"/>
      <c r="AL17625" s="13"/>
    </row>
    <row r="17626" spans="4:39" x14ac:dyDescent="0.3">
      <c r="D17626" s="1"/>
      <c r="G17626" s="13"/>
      <c r="AL17626" s="13"/>
    </row>
    <row r="17627" spans="4:39" x14ac:dyDescent="0.3">
      <c r="D17627" s="1"/>
      <c r="G17627" s="13"/>
      <c r="AL17627" s="13"/>
    </row>
    <row r="17628" spans="4:39" x14ac:dyDescent="0.3">
      <c r="D17628" s="1"/>
      <c r="G17628" s="13"/>
      <c r="AL17628" s="13"/>
    </row>
    <row r="17629" spans="4:39" x14ac:dyDescent="0.3">
      <c r="D17629" s="1"/>
      <c r="G17629" s="13"/>
      <c r="AL17629" s="13"/>
    </row>
    <row r="17630" spans="4:39" x14ac:dyDescent="0.3">
      <c r="D17630" s="1"/>
      <c r="G17630" s="13"/>
      <c r="AL17630" s="13"/>
    </row>
    <row r="17631" spans="4:39" x14ac:dyDescent="0.3">
      <c r="D17631" s="1"/>
      <c r="G17631" s="13"/>
      <c r="AL17631" s="13"/>
    </row>
    <row r="17632" spans="4:39" x14ac:dyDescent="0.3">
      <c r="D17632" s="1"/>
      <c r="G17632" s="13"/>
      <c r="AL17632" s="13"/>
    </row>
    <row r="17633" spans="4:39" x14ac:dyDescent="0.3">
      <c r="D17633" s="1"/>
      <c r="G17633" s="13"/>
      <c r="AL17633" s="13"/>
    </row>
    <row r="17634" spans="4:39" x14ac:dyDescent="0.3">
      <c r="D17634" s="1"/>
      <c r="G17634" s="13"/>
      <c r="AL17634" s="13"/>
    </row>
    <row r="17635" spans="4:39" x14ac:dyDescent="0.3">
      <c r="D17635" s="1"/>
      <c r="G17635" s="13"/>
      <c r="AL17635" s="13"/>
    </row>
    <row r="17636" spans="4:39" x14ac:dyDescent="0.3">
      <c r="D17636" s="1"/>
      <c r="G17636" s="13"/>
      <c r="AL17636" s="13"/>
    </row>
    <row r="17637" spans="4:39" x14ac:dyDescent="0.3">
      <c r="D17637" s="1"/>
      <c r="G17637" s="13"/>
      <c r="AL17637" s="13"/>
    </row>
    <row r="17638" spans="4:39" x14ac:dyDescent="0.3">
      <c r="D17638" s="1"/>
      <c r="G17638" s="13"/>
      <c r="AL17638" s="13"/>
    </row>
    <row r="17639" spans="4:39" x14ac:dyDescent="0.3">
      <c r="D17639" s="1"/>
      <c r="G17639" s="13"/>
      <c r="AL17639" s="13"/>
    </row>
    <row r="17640" spans="4:39" x14ac:dyDescent="0.3">
      <c r="D17640" s="1"/>
      <c r="G17640" s="13"/>
      <c r="AL17640" s="13"/>
    </row>
    <row r="17641" spans="4:39" x14ac:dyDescent="0.3">
      <c r="D17641" s="1"/>
      <c r="G17641" s="13"/>
      <c r="AL17641" s="13"/>
    </row>
    <row r="17642" spans="4:39" x14ac:dyDescent="0.3">
      <c r="D17642" s="1"/>
      <c r="G17642" s="13"/>
      <c r="AL17642" s="13"/>
    </row>
    <row r="17643" spans="4:39" x14ac:dyDescent="0.3">
      <c r="D17643" s="1"/>
      <c r="G17643" s="13"/>
      <c r="AL17643" s="13"/>
      <c r="AM17643" s="14"/>
    </row>
    <row r="17644" spans="4:39" x14ac:dyDescent="0.3">
      <c r="D17644" s="1"/>
      <c r="G17644" s="13"/>
      <c r="AL17644" s="13"/>
    </row>
    <row r="17645" spans="4:39" x14ac:dyDescent="0.3">
      <c r="D17645" s="1"/>
      <c r="G17645" s="13"/>
      <c r="AL17645" s="13"/>
      <c r="AM17645" s="14"/>
    </row>
    <row r="17646" spans="4:39" x14ac:dyDescent="0.3">
      <c r="D17646" s="1"/>
      <c r="G17646" s="13"/>
      <c r="AL17646" s="13"/>
    </row>
    <row r="17647" spans="4:39" x14ac:dyDescent="0.3">
      <c r="D17647" s="1"/>
      <c r="G17647" s="13"/>
      <c r="AL17647" s="13"/>
    </row>
    <row r="17648" spans="4:39" x14ac:dyDescent="0.3">
      <c r="D17648" s="1"/>
      <c r="G17648" s="13"/>
      <c r="AL17648" s="13"/>
    </row>
    <row r="17649" spans="4:39" x14ac:dyDescent="0.3">
      <c r="D17649" s="1"/>
      <c r="G17649" s="13"/>
      <c r="AL17649" s="13"/>
      <c r="AM17649" s="14"/>
    </row>
    <row r="17650" spans="4:39" x14ac:dyDescent="0.3">
      <c r="D17650" s="1"/>
      <c r="G17650" s="13"/>
      <c r="AL17650" s="13"/>
    </row>
    <row r="17651" spans="4:39" x14ac:dyDescent="0.3">
      <c r="D17651" s="1"/>
      <c r="G17651" s="13"/>
      <c r="AL17651" s="13"/>
    </row>
    <row r="17652" spans="4:39" x14ac:dyDescent="0.3">
      <c r="D17652" s="1"/>
      <c r="G17652" s="13"/>
      <c r="AL17652" s="13"/>
    </row>
    <row r="17653" spans="4:39" x14ac:dyDescent="0.3">
      <c r="D17653" s="1"/>
      <c r="G17653" s="13"/>
      <c r="AL17653" s="13"/>
      <c r="AM17653" s="14"/>
    </row>
    <row r="17654" spans="4:39" x14ac:dyDescent="0.3">
      <c r="D17654" s="1"/>
      <c r="G17654" s="13"/>
      <c r="AL17654" s="13"/>
    </row>
    <row r="17655" spans="4:39" x14ac:dyDescent="0.3">
      <c r="D17655" s="1"/>
      <c r="G17655" s="13"/>
      <c r="AL17655" s="13"/>
      <c r="AM17655" s="14"/>
    </row>
    <row r="17656" spans="4:39" x14ac:dyDescent="0.3">
      <c r="D17656" s="1"/>
      <c r="G17656" s="13"/>
      <c r="AL17656" s="13"/>
    </row>
    <row r="17657" spans="4:39" x14ac:dyDescent="0.3">
      <c r="D17657" s="1"/>
      <c r="G17657" s="13"/>
      <c r="AL17657" s="13"/>
    </row>
    <row r="17658" spans="4:39" x14ac:dyDescent="0.3">
      <c r="D17658" s="1"/>
      <c r="G17658" s="13"/>
      <c r="AL17658" s="13"/>
    </row>
    <row r="17659" spans="4:39" x14ac:dyDescent="0.3">
      <c r="D17659" s="1"/>
      <c r="G17659" s="13"/>
      <c r="AL17659" s="13"/>
    </row>
    <row r="17660" spans="4:39" x14ac:dyDescent="0.3">
      <c r="D17660" s="1"/>
      <c r="G17660" s="13"/>
      <c r="AL17660" s="13"/>
    </row>
    <row r="17661" spans="4:39" x14ac:dyDescent="0.3">
      <c r="D17661" s="1"/>
      <c r="G17661" s="13"/>
      <c r="AL17661" s="13"/>
      <c r="AM17661" s="14"/>
    </row>
    <row r="17662" spans="4:39" x14ac:dyDescent="0.3">
      <c r="D17662" s="1"/>
      <c r="G17662" s="13"/>
      <c r="AL17662" s="13"/>
      <c r="AM17662" s="14"/>
    </row>
    <row r="17663" spans="4:39" x14ac:dyDescent="0.3">
      <c r="D17663" s="1"/>
      <c r="G17663" s="13"/>
      <c r="AL17663" s="13"/>
      <c r="AM17663" s="14"/>
    </row>
    <row r="17664" spans="4:39" x14ac:dyDescent="0.3">
      <c r="D17664" s="1"/>
      <c r="G17664" s="13"/>
      <c r="AL17664" s="13"/>
    </row>
    <row r="17665" spans="4:39" x14ac:dyDescent="0.3">
      <c r="D17665" s="1"/>
      <c r="G17665" s="13"/>
      <c r="AL17665" s="13"/>
      <c r="AM17665" s="14"/>
    </row>
    <row r="17666" spans="4:39" x14ac:dyDescent="0.3">
      <c r="D17666" s="1"/>
      <c r="G17666" s="13"/>
      <c r="AL17666" s="13"/>
      <c r="AM17666" s="14"/>
    </row>
    <row r="17667" spans="4:39" x14ac:dyDescent="0.3">
      <c r="D17667" s="1"/>
      <c r="G17667" s="13"/>
      <c r="AL17667" s="13"/>
      <c r="AM17667" s="14"/>
    </row>
    <row r="17668" spans="4:39" x14ac:dyDescent="0.3">
      <c r="D17668" s="1"/>
      <c r="G17668" s="13"/>
      <c r="AL17668" s="13"/>
      <c r="AM17668" s="14"/>
    </row>
    <row r="17669" spans="4:39" x14ac:dyDescent="0.3">
      <c r="D17669" s="1"/>
      <c r="G17669" s="13"/>
      <c r="AL17669" s="13"/>
    </row>
    <row r="17670" spans="4:39" x14ac:dyDescent="0.3">
      <c r="D17670" s="1"/>
      <c r="G17670" s="13"/>
      <c r="AL17670" s="13"/>
      <c r="AM17670" s="14"/>
    </row>
    <row r="17671" spans="4:39" x14ac:dyDescent="0.3">
      <c r="D17671" s="1"/>
      <c r="G17671" s="13"/>
      <c r="AL17671" s="13"/>
    </row>
    <row r="17672" spans="4:39" x14ac:dyDescent="0.3">
      <c r="D17672" s="1"/>
      <c r="G17672" s="13"/>
      <c r="AL17672" s="13"/>
      <c r="AM17672" s="14"/>
    </row>
    <row r="17673" spans="4:39" x14ac:dyDescent="0.3">
      <c r="D17673" s="1"/>
      <c r="G17673" s="13"/>
      <c r="AL17673" s="13"/>
      <c r="AM17673" s="14"/>
    </row>
    <row r="17674" spans="4:39" x14ac:dyDescent="0.3">
      <c r="D17674" s="1"/>
      <c r="G17674" s="13"/>
      <c r="AL17674" s="13"/>
    </row>
    <row r="17675" spans="4:39" x14ac:dyDescent="0.3">
      <c r="D17675" s="1"/>
      <c r="G17675" s="13"/>
      <c r="AL17675" s="13"/>
    </row>
    <row r="17676" spans="4:39" x14ac:dyDescent="0.3">
      <c r="D17676" s="1"/>
      <c r="G17676" s="13"/>
      <c r="AL17676" s="13"/>
    </row>
    <row r="17677" spans="4:39" x14ac:dyDescent="0.3">
      <c r="D17677" s="1"/>
      <c r="G17677" s="13"/>
      <c r="AL17677" s="13"/>
    </row>
    <row r="17678" spans="4:39" x14ac:dyDescent="0.3">
      <c r="D17678" s="1"/>
      <c r="G17678" s="13"/>
      <c r="AL17678" s="13"/>
    </row>
    <row r="17679" spans="4:39" x14ac:dyDescent="0.3">
      <c r="D17679" s="1"/>
      <c r="G17679" s="13"/>
      <c r="AL17679" s="13"/>
    </row>
    <row r="17680" spans="4:39" x14ac:dyDescent="0.3">
      <c r="D17680" s="1"/>
      <c r="G17680" s="13"/>
      <c r="AL17680" s="13"/>
      <c r="AM17680" s="14"/>
    </row>
    <row r="17681" spans="4:39" x14ac:dyDescent="0.3">
      <c r="D17681" s="1"/>
      <c r="G17681" s="13"/>
      <c r="AL17681" s="13"/>
    </row>
    <row r="17682" spans="4:39" x14ac:dyDescent="0.3">
      <c r="D17682" s="1"/>
      <c r="G17682" s="13"/>
      <c r="AL17682" s="13"/>
    </row>
    <row r="17683" spans="4:39" x14ac:dyDescent="0.3">
      <c r="D17683" s="1"/>
      <c r="G17683" s="13"/>
      <c r="AL17683" s="13"/>
      <c r="AM17683" s="14"/>
    </row>
    <row r="17684" spans="4:39" x14ac:dyDescent="0.3">
      <c r="D17684" s="1"/>
      <c r="G17684" s="13"/>
      <c r="AL17684" s="13"/>
    </row>
    <row r="17685" spans="4:39" x14ac:dyDescent="0.3">
      <c r="D17685" s="1"/>
      <c r="G17685" s="13"/>
      <c r="AL17685" s="13"/>
    </row>
    <row r="17686" spans="4:39" x14ac:dyDescent="0.3">
      <c r="D17686" s="1"/>
      <c r="G17686" s="13"/>
      <c r="AL17686" s="13"/>
    </row>
    <row r="17687" spans="4:39" x14ac:dyDescent="0.3">
      <c r="D17687" s="1"/>
      <c r="G17687" s="13"/>
      <c r="AL17687" s="13"/>
    </row>
    <row r="17688" spans="4:39" x14ac:dyDescent="0.3">
      <c r="D17688" s="1"/>
      <c r="G17688" s="13"/>
      <c r="AL17688" s="13"/>
    </row>
    <row r="17689" spans="4:39" x14ac:dyDescent="0.3">
      <c r="D17689" s="1"/>
      <c r="G17689" s="13"/>
      <c r="AL17689" s="13"/>
    </row>
    <row r="17690" spans="4:39" x14ac:dyDescent="0.3">
      <c r="D17690" s="1"/>
      <c r="G17690" s="13"/>
      <c r="AL17690" s="13"/>
    </row>
    <row r="17691" spans="4:39" x14ac:dyDescent="0.3">
      <c r="D17691" s="1"/>
      <c r="G17691" s="13"/>
      <c r="AL17691" s="13"/>
    </row>
    <row r="17692" spans="4:39" x14ac:dyDescent="0.3">
      <c r="D17692" s="1"/>
      <c r="G17692" s="13"/>
      <c r="AL17692" s="13"/>
    </row>
    <row r="17693" spans="4:39" x14ac:dyDescent="0.3">
      <c r="D17693" s="1"/>
      <c r="G17693" s="13"/>
      <c r="AL17693" s="13"/>
    </row>
    <row r="17694" spans="4:39" x14ac:dyDescent="0.3">
      <c r="D17694" s="1"/>
      <c r="G17694" s="13"/>
      <c r="AL17694" s="13"/>
    </row>
    <row r="17695" spans="4:39" x14ac:dyDescent="0.3">
      <c r="D17695" s="1"/>
      <c r="G17695" s="13"/>
      <c r="AL17695" s="13"/>
    </row>
    <row r="17696" spans="4:39" x14ac:dyDescent="0.3">
      <c r="D17696" s="1"/>
      <c r="G17696" s="13"/>
      <c r="AL17696" s="13"/>
    </row>
    <row r="17697" spans="4:39" x14ac:dyDescent="0.3">
      <c r="D17697" s="1"/>
      <c r="G17697" s="13"/>
      <c r="AL17697" s="13"/>
    </row>
    <row r="17698" spans="4:39" x14ac:dyDescent="0.3">
      <c r="D17698" s="1"/>
      <c r="G17698" s="13"/>
      <c r="AL17698" s="13"/>
    </row>
    <row r="17699" spans="4:39" x14ac:dyDescent="0.3">
      <c r="D17699" s="1"/>
      <c r="G17699" s="13"/>
      <c r="AL17699" s="13"/>
      <c r="AM17699" s="14"/>
    </row>
    <row r="17700" spans="4:39" x14ac:dyDescent="0.3">
      <c r="D17700" s="1"/>
      <c r="G17700" s="13"/>
      <c r="AL17700" s="13"/>
    </row>
    <row r="17701" spans="4:39" x14ac:dyDescent="0.3">
      <c r="D17701" s="1"/>
      <c r="G17701" s="13"/>
      <c r="AL17701" s="13"/>
      <c r="AM17701" s="14"/>
    </row>
    <row r="17702" spans="4:39" x14ac:dyDescent="0.3">
      <c r="D17702" s="1"/>
      <c r="G17702" s="13"/>
      <c r="AL17702" s="13"/>
      <c r="AM17702" s="14"/>
    </row>
    <row r="17703" spans="4:39" x14ac:dyDescent="0.3">
      <c r="D17703" s="1"/>
      <c r="G17703" s="13"/>
      <c r="AL17703" s="13"/>
    </row>
    <row r="17704" spans="4:39" x14ac:dyDescent="0.3">
      <c r="D17704" s="1"/>
      <c r="G17704" s="13"/>
      <c r="AL17704" s="13"/>
    </row>
    <row r="17705" spans="4:39" x14ac:dyDescent="0.3">
      <c r="D17705" s="1"/>
      <c r="G17705" s="13"/>
      <c r="AL17705" s="13"/>
    </row>
    <row r="17706" spans="4:39" x14ac:dyDescent="0.3">
      <c r="D17706" s="1"/>
      <c r="G17706" s="13"/>
      <c r="AL17706" s="13"/>
      <c r="AM17706" s="14"/>
    </row>
    <row r="17707" spans="4:39" x14ac:dyDescent="0.3">
      <c r="D17707" s="1"/>
      <c r="G17707" s="13"/>
      <c r="AL17707" s="13"/>
    </row>
    <row r="17708" spans="4:39" x14ac:dyDescent="0.3">
      <c r="D17708" s="1"/>
      <c r="G17708" s="13"/>
      <c r="AL17708" s="13"/>
    </row>
    <row r="17709" spans="4:39" x14ac:dyDescent="0.3">
      <c r="D17709" s="1"/>
      <c r="G17709" s="13"/>
      <c r="AL17709" s="13"/>
    </row>
    <row r="17710" spans="4:39" x14ac:dyDescent="0.3">
      <c r="D17710" s="1"/>
      <c r="G17710" s="13"/>
      <c r="AL17710" s="13"/>
    </row>
    <row r="17711" spans="4:39" x14ac:dyDescent="0.3">
      <c r="D17711" s="1"/>
      <c r="G17711" s="13"/>
      <c r="AL17711" s="13"/>
    </row>
    <row r="17712" spans="4:39" x14ac:dyDescent="0.3">
      <c r="D17712" s="1"/>
      <c r="G17712" s="13"/>
      <c r="AL17712" s="13"/>
    </row>
    <row r="17713" spans="4:39" x14ac:dyDescent="0.3">
      <c r="D17713" s="1"/>
      <c r="G17713" s="13"/>
      <c r="AL17713" s="13"/>
    </row>
    <row r="17714" spans="4:39" x14ac:dyDescent="0.3">
      <c r="D17714" s="1"/>
      <c r="G17714" s="13"/>
      <c r="AL17714" s="13"/>
    </row>
    <row r="17715" spans="4:39" x14ac:dyDescent="0.3">
      <c r="D17715" s="1"/>
      <c r="G17715" s="13"/>
      <c r="AL17715" s="13"/>
      <c r="AM17715" s="14"/>
    </row>
    <row r="17716" spans="4:39" x14ac:dyDescent="0.3">
      <c r="D17716" s="1"/>
      <c r="G17716" s="13"/>
      <c r="AL17716" s="13"/>
      <c r="AM17716" s="14"/>
    </row>
    <row r="17717" spans="4:39" x14ac:dyDescent="0.3">
      <c r="D17717" s="1"/>
      <c r="G17717" s="13"/>
      <c r="AL17717" s="13"/>
      <c r="AM17717" s="14"/>
    </row>
    <row r="17718" spans="4:39" x14ac:dyDescent="0.3">
      <c r="D17718" s="1"/>
      <c r="G17718" s="13"/>
      <c r="AL17718" s="13"/>
    </row>
    <row r="17719" spans="4:39" x14ac:dyDescent="0.3">
      <c r="D17719" s="1"/>
      <c r="G17719" s="13"/>
      <c r="AL17719" s="13"/>
    </row>
    <row r="17720" spans="4:39" x14ac:dyDescent="0.3">
      <c r="D17720" s="1"/>
      <c r="G17720" s="13"/>
      <c r="AL17720" s="13"/>
    </row>
    <row r="17721" spans="4:39" x14ac:dyDescent="0.3">
      <c r="D17721" s="1"/>
      <c r="G17721" s="13"/>
      <c r="AL17721" s="13"/>
    </row>
    <row r="17722" spans="4:39" x14ac:dyDescent="0.3">
      <c r="D17722" s="1"/>
      <c r="G17722" s="13"/>
      <c r="AL17722" s="13"/>
      <c r="AM17722" s="14"/>
    </row>
    <row r="17723" spans="4:39" x14ac:dyDescent="0.3">
      <c r="D17723" s="1"/>
      <c r="G17723" s="13"/>
      <c r="AL17723" s="13"/>
    </row>
    <row r="17724" spans="4:39" x14ac:dyDescent="0.3">
      <c r="D17724" s="1"/>
      <c r="G17724" s="13"/>
      <c r="AL17724" s="13"/>
      <c r="AM17724" s="14"/>
    </row>
    <row r="17725" spans="4:39" x14ac:dyDescent="0.3">
      <c r="D17725" s="1"/>
      <c r="G17725" s="13"/>
      <c r="AL17725" s="13"/>
    </row>
    <row r="17726" spans="4:39" x14ac:dyDescent="0.3">
      <c r="D17726" s="1"/>
      <c r="G17726" s="13"/>
      <c r="AL17726" s="13"/>
      <c r="AM17726" s="14"/>
    </row>
    <row r="17727" spans="4:39" x14ac:dyDescent="0.3">
      <c r="D17727" s="1"/>
      <c r="G17727" s="13"/>
      <c r="AL17727" s="13"/>
    </row>
    <row r="17728" spans="4:39" x14ac:dyDescent="0.3">
      <c r="D17728" s="1"/>
      <c r="G17728" s="13"/>
      <c r="AL17728" s="13"/>
    </row>
    <row r="17729" spans="4:38" x14ac:dyDescent="0.3">
      <c r="D17729" s="1"/>
      <c r="G17729" s="13"/>
      <c r="AL17729" s="13"/>
    </row>
    <row r="17730" spans="4:38" x14ac:dyDescent="0.3">
      <c r="D17730" s="1"/>
      <c r="G17730" s="13"/>
      <c r="AL17730" s="13"/>
    </row>
    <row r="17731" spans="4:38" x14ac:dyDescent="0.3">
      <c r="D17731" s="1"/>
      <c r="G17731" s="13"/>
      <c r="AL17731" s="13"/>
    </row>
    <row r="17732" spans="4:38" x14ac:dyDescent="0.3">
      <c r="D17732" s="1"/>
      <c r="G17732" s="13"/>
      <c r="AL17732" s="13"/>
    </row>
    <row r="17733" spans="4:38" x14ac:dyDescent="0.3">
      <c r="D17733" s="1"/>
      <c r="G17733" s="13"/>
      <c r="AL17733" s="13"/>
    </row>
    <row r="17734" spans="4:38" x14ac:dyDescent="0.3">
      <c r="D17734" s="1"/>
      <c r="G17734" s="13"/>
      <c r="AL17734" s="13"/>
    </row>
    <row r="17735" spans="4:38" x14ac:dyDescent="0.3">
      <c r="D17735" s="1"/>
      <c r="G17735" s="13"/>
      <c r="AL17735" s="13"/>
    </row>
    <row r="17736" spans="4:38" x14ac:dyDescent="0.3">
      <c r="D17736" s="1"/>
      <c r="G17736" s="13"/>
      <c r="AL17736" s="13"/>
    </row>
    <row r="17737" spans="4:38" x14ac:dyDescent="0.3">
      <c r="D17737" s="1"/>
      <c r="G17737" s="13"/>
      <c r="AL17737" s="13"/>
    </row>
    <row r="17738" spans="4:38" x14ac:dyDescent="0.3">
      <c r="D17738" s="1"/>
      <c r="G17738" s="13"/>
      <c r="AL17738" s="13"/>
    </row>
    <row r="17739" spans="4:38" x14ac:dyDescent="0.3">
      <c r="D17739" s="1"/>
      <c r="G17739" s="13"/>
      <c r="AL17739" s="13"/>
    </row>
    <row r="17740" spans="4:38" x14ac:dyDescent="0.3">
      <c r="D17740" s="1"/>
      <c r="G17740" s="13"/>
      <c r="AL17740" s="13"/>
    </row>
    <row r="17741" spans="4:38" x14ac:dyDescent="0.3">
      <c r="D17741" s="1"/>
      <c r="G17741" s="13"/>
      <c r="AL17741" s="13"/>
    </row>
    <row r="17742" spans="4:38" x14ac:dyDescent="0.3">
      <c r="D17742" s="1"/>
      <c r="G17742" s="13"/>
      <c r="AL17742" s="13"/>
    </row>
    <row r="17743" spans="4:38" x14ac:dyDescent="0.3">
      <c r="D17743" s="1"/>
      <c r="G17743" s="13"/>
      <c r="AL17743" s="13"/>
    </row>
    <row r="17744" spans="4:38" x14ac:dyDescent="0.3">
      <c r="D17744" s="1"/>
      <c r="G17744" s="13"/>
      <c r="AL17744" s="13"/>
    </row>
    <row r="17745" spans="4:39" x14ac:dyDescent="0.3">
      <c r="D17745" s="1"/>
      <c r="G17745" s="13"/>
      <c r="AL17745" s="13"/>
    </row>
    <row r="17746" spans="4:39" x14ac:dyDescent="0.3">
      <c r="D17746" s="1"/>
      <c r="G17746" s="13"/>
      <c r="AL17746" s="13"/>
    </row>
    <row r="17747" spans="4:39" x14ac:dyDescent="0.3">
      <c r="D17747" s="1"/>
      <c r="G17747" s="13"/>
      <c r="AL17747" s="13"/>
    </row>
    <row r="17748" spans="4:39" x14ac:dyDescent="0.3">
      <c r="D17748" s="1"/>
      <c r="G17748" s="13"/>
      <c r="AL17748" s="13"/>
    </row>
    <row r="17749" spans="4:39" x14ac:dyDescent="0.3">
      <c r="D17749" s="1"/>
      <c r="G17749" s="13"/>
      <c r="AL17749" s="13"/>
    </row>
    <row r="17750" spans="4:39" x14ac:dyDescent="0.3">
      <c r="D17750" s="1"/>
      <c r="G17750" s="13"/>
      <c r="AL17750" s="13"/>
    </row>
    <row r="17751" spans="4:39" x14ac:dyDescent="0.3">
      <c r="D17751" s="1"/>
      <c r="G17751" s="13"/>
      <c r="AL17751" s="13"/>
      <c r="AM17751" s="14"/>
    </row>
    <row r="17752" spans="4:39" x14ac:dyDescent="0.3">
      <c r="D17752" s="1"/>
      <c r="G17752" s="13"/>
      <c r="AL17752" s="13"/>
    </row>
    <row r="17753" spans="4:39" x14ac:dyDescent="0.3">
      <c r="D17753" s="1"/>
      <c r="G17753" s="13"/>
      <c r="AL17753" s="13"/>
    </row>
    <row r="17754" spans="4:39" x14ac:dyDescent="0.3">
      <c r="D17754" s="1"/>
      <c r="G17754" s="13"/>
      <c r="AL17754" s="13"/>
      <c r="AM17754" s="14"/>
    </row>
    <row r="17755" spans="4:39" x14ac:dyDescent="0.3">
      <c r="D17755" s="1"/>
      <c r="G17755" s="13"/>
      <c r="AL17755" s="13"/>
      <c r="AM17755" s="14"/>
    </row>
    <row r="17756" spans="4:39" x14ac:dyDescent="0.3">
      <c r="D17756" s="1"/>
      <c r="G17756" s="13"/>
      <c r="AL17756" s="13"/>
    </row>
    <row r="17757" spans="4:39" x14ac:dyDescent="0.3">
      <c r="D17757" s="1"/>
      <c r="G17757" s="13"/>
      <c r="AL17757" s="13"/>
    </row>
    <row r="17758" spans="4:39" x14ac:dyDescent="0.3">
      <c r="D17758" s="1"/>
      <c r="G17758" s="13"/>
      <c r="AL17758" s="13"/>
      <c r="AM17758" s="14"/>
    </row>
    <row r="17759" spans="4:39" x14ac:dyDescent="0.3">
      <c r="D17759" s="1"/>
      <c r="G17759" s="13"/>
      <c r="AL17759" s="13"/>
    </row>
    <row r="17760" spans="4:39" x14ac:dyDescent="0.3">
      <c r="D17760" s="1"/>
      <c r="G17760" s="13"/>
      <c r="AL17760" s="13"/>
    </row>
    <row r="17761" spans="4:39" x14ac:dyDescent="0.3">
      <c r="D17761" s="1"/>
      <c r="G17761" s="13"/>
      <c r="AL17761" s="13"/>
    </row>
    <row r="17762" spans="4:39" x14ac:dyDescent="0.3">
      <c r="D17762" s="1"/>
      <c r="G17762" s="13"/>
      <c r="AL17762" s="13"/>
    </row>
    <row r="17763" spans="4:39" x14ac:dyDescent="0.3">
      <c r="D17763" s="1"/>
      <c r="G17763" s="13"/>
      <c r="AL17763" s="13"/>
    </row>
    <row r="17764" spans="4:39" x14ac:dyDescent="0.3">
      <c r="D17764" s="1"/>
      <c r="G17764" s="13"/>
      <c r="AL17764" s="13"/>
    </row>
    <row r="17765" spans="4:39" x14ac:dyDescent="0.3">
      <c r="D17765" s="1"/>
      <c r="G17765" s="13"/>
      <c r="AL17765" s="13"/>
      <c r="AM17765" s="14"/>
    </row>
    <row r="17766" spans="4:39" x14ac:dyDescent="0.3">
      <c r="D17766" s="1"/>
      <c r="G17766" s="13"/>
      <c r="AL17766" s="13"/>
      <c r="AM17766" s="14"/>
    </row>
    <row r="17767" spans="4:39" x14ac:dyDescent="0.3">
      <c r="D17767" s="1"/>
      <c r="G17767" s="13"/>
      <c r="AL17767" s="13"/>
      <c r="AM17767" s="14"/>
    </row>
    <row r="17768" spans="4:39" x14ac:dyDescent="0.3">
      <c r="D17768" s="1"/>
      <c r="G17768" s="13"/>
      <c r="AL17768" s="13"/>
      <c r="AM17768" s="14"/>
    </row>
    <row r="17769" spans="4:39" x14ac:dyDescent="0.3">
      <c r="D17769" s="1"/>
      <c r="G17769" s="13"/>
      <c r="AL17769" s="13"/>
    </row>
    <row r="17770" spans="4:39" x14ac:dyDescent="0.3">
      <c r="D17770" s="1"/>
      <c r="G17770" s="13"/>
      <c r="AL17770" s="13"/>
    </row>
    <row r="17771" spans="4:39" x14ac:dyDescent="0.3">
      <c r="D17771" s="1"/>
      <c r="G17771" s="13"/>
      <c r="AL17771" s="13"/>
    </row>
    <row r="17772" spans="4:39" x14ac:dyDescent="0.3">
      <c r="D17772" s="1"/>
      <c r="G17772" s="13"/>
      <c r="AL17772" s="13"/>
    </row>
    <row r="17773" spans="4:39" x14ac:dyDescent="0.3">
      <c r="D17773" s="1"/>
      <c r="G17773" s="13"/>
      <c r="AL17773" s="13"/>
    </row>
    <row r="17774" spans="4:39" x14ac:dyDescent="0.3">
      <c r="D17774" s="1"/>
      <c r="G17774" s="13"/>
      <c r="AL17774" s="13"/>
    </row>
    <row r="17775" spans="4:39" x14ac:dyDescent="0.3">
      <c r="D17775" s="1"/>
      <c r="G17775" s="13"/>
      <c r="AL17775" s="13"/>
      <c r="AM17775" s="14"/>
    </row>
    <row r="17776" spans="4:39" x14ac:dyDescent="0.3">
      <c r="D17776" s="1"/>
      <c r="G17776" s="13"/>
      <c r="AL17776" s="13"/>
    </row>
    <row r="17777" spans="4:39" x14ac:dyDescent="0.3">
      <c r="D17777" s="1"/>
      <c r="G17777" s="13"/>
      <c r="AL17777" s="13"/>
    </row>
    <row r="17778" spans="4:39" x14ac:dyDescent="0.3">
      <c r="D17778" s="1"/>
      <c r="G17778" s="13"/>
      <c r="AL17778" s="13"/>
    </row>
    <row r="17779" spans="4:39" x14ac:dyDescent="0.3">
      <c r="D17779" s="1"/>
      <c r="G17779" s="13"/>
      <c r="AL17779" s="13"/>
    </row>
    <row r="17780" spans="4:39" x14ac:dyDescent="0.3">
      <c r="D17780" s="1"/>
      <c r="G17780" s="13"/>
      <c r="AL17780" s="13"/>
      <c r="AM17780" s="14"/>
    </row>
    <row r="17781" spans="4:39" x14ac:dyDescent="0.3">
      <c r="D17781" s="1"/>
      <c r="G17781" s="13"/>
      <c r="AL17781" s="13"/>
    </row>
    <row r="17782" spans="4:39" x14ac:dyDescent="0.3">
      <c r="D17782" s="1"/>
      <c r="G17782" s="13"/>
      <c r="AL17782" s="13"/>
    </row>
    <row r="17783" spans="4:39" x14ac:dyDescent="0.3">
      <c r="D17783" s="1"/>
      <c r="G17783" s="13"/>
      <c r="AL17783" s="13"/>
    </row>
    <row r="17784" spans="4:39" x14ac:dyDescent="0.3">
      <c r="D17784" s="1"/>
      <c r="G17784" s="13"/>
      <c r="AL17784" s="13"/>
      <c r="AM17784" s="14"/>
    </row>
    <row r="17785" spans="4:39" x14ac:dyDescent="0.3">
      <c r="D17785" s="1"/>
      <c r="G17785" s="13"/>
      <c r="AL17785" s="13"/>
      <c r="AM17785" s="14"/>
    </row>
    <row r="17786" spans="4:39" x14ac:dyDescent="0.3">
      <c r="D17786" s="1"/>
      <c r="G17786" s="13"/>
      <c r="AL17786" s="13"/>
      <c r="AM17786" s="14"/>
    </row>
    <row r="17787" spans="4:39" x14ac:dyDescent="0.3">
      <c r="D17787" s="1"/>
      <c r="G17787" s="13"/>
      <c r="AL17787" s="13"/>
    </row>
    <row r="17788" spans="4:39" x14ac:dyDescent="0.3">
      <c r="D17788" s="1"/>
      <c r="G17788" s="13"/>
      <c r="AL17788" s="13"/>
      <c r="AM17788" s="14"/>
    </row>
    <row r="17789" spans="4:39" x14ac:dyDescent="0.3">
      <c r="D17789" s="1"/>
      <c r="G17789" s="13"/>
      <c r="AL17789" s="13"/>
      <c r="AM17789" s="14"/>
    </row>
    <row r="17790" spans="4:39" x14ac:dyDescent="0.3">
      <c r="D17790" s="1"/>
      <c r="G17790" s="13"/>
      <c r="AL17790" s="13"/>
    </row>
    <row r="17791" spans="4:39" x14ac:dyDescent="0.3">
      <c r="D17791" s="1"/>
      <c r="G17791" s="13"/>
      <c r="AL17791" s="13"/>
    </row>
    <row r="17792" spans="4:39" x14ac:dyDescent="0.3">
      <c r="D17792" s="1"/>
      <c r="G17792" s="13"/>
      <c r="AL17792" s="13"/>
    </row>
    <row r="17793" spans="4:39" x14ac:dyDescent="0.3">
      <c r="D17793" s="1"/>
      <c r="G17793" s="13"/>
      <c r="AL17793" s="13"/>
      <c r="AM17793" s="14"/>
    </row>
    <row r="17794" spans="4:39" x14ac:dyDescent="0.3">
      <c r="D17794" s="1"/>
      <c r="G17794" s="13"/>
      <c r="AL17794" s="13"/>
    </row>
    <row r="17795" spans="4:39" x14ac:dyDescent="0.3">
      <c r="D17795" s="1"/>
      <c r="G17795" s="13"/>
      <c r="AL17795" s="13"/>
      <c r="AM17795" s="14"/>
    </row>
    <row r="17796" spans="4:39" x14ac:dyDescent="0.3">
      <c r="D17796" s="1"/>
      <c r="G17796" s="13"/>
      <c r="AL17796" s="13"/>
    </row>
    <row r="17797" spans="4:39" x14ac:dyDescent="0.3">
      <c r="D17797" s="1"/>
      <c r="G17797" s="13"/>
      <c r="AL17797" s="13"/>
    </row>
    <row r="17798" spans="4:39" x14ac:dyDescent="0.3">
      <c r="D17798" s="1"/>
      <c r="G17798" s="13"/>
      <c r="AL17798" s="13"/>
    </row>
    <row r="17799" spans="4:39" x14ac:dyDescent="0.3">
      <c r="D17799" s="1"/>
      <c r="G17799" s="13"/>
      <c r="AL17799" s="13"/>
    </row>
    <row r="17800" spans="4:39" x14ac:dyDescent="0.3">
      <c r="D17800" s="1"/>
      <c r="G17800" s="13"/>
      <c r="AL17800" s="13"/>
    </row>
    <row r="17801" spans="4:39" x14ac:dyDescent="0.3">
      <c r="D17801" s="1"/>
      <c r="G17801" s="13"/>
      <c r="AL17801" s="13"/>
    </row>
    <row r="17802" spans="4:39" x14ac:dyDescent="0.3">
      <c r="D17802" s="1"/>
      <c r="G17802" s="13"/>
      <c r="AL17802" s="13"/>
    </row>
    <row r="17803" spans="4:39" x14ac:dyDescent="0.3">
      <c r="D17803" s="1"/>
      <c r="G17803" s="13"/>
      <c r="AL17803" s="13"/>
    </row>
    <row r="17804" spans="4:39" x14ac:dyDescent="0.3">
      <c r="D17804" s="1"/>
      <c r="G17804" s="13"/>
      <c r="AL17804" s="13"/>
    </row>
    <row r="17805" spans="4:39" x14ac:dyDescent="0.3">
      <c r="D17805" s="1"/>
      <c r="G17805" s="13"/>
      <c r="AL17805" s="13"/>
    </row>
    <row r="17806" spans="4:39" x14ac:dyDescent="0.3">
      <c r="D17806" s="1"/>
      <c r="G17806" s="13"/>
      <c r="AL17806" s="13"/>
    </row>
    <row r="17807" spans="4:39" x14ac:dyDescent="0.3">
      <c r="D17807" s="1"/>
      <c r="G17807" s="13"/>
      <c r="AL17807" s="13"/>
    </row>
    <row r="17808" spans="4:39" x14ac:dyDescent="0.3">
      <c r="D17808" s="1"/>
      <c r="G17808" s="13"/>
      <c r="AL17808" s="13"/>
    </row>
    <row r="17809" spans="4:38" x14ac:dyDescent="0.3">
      <c r="D17809" s="1"/>
      <c r="G17809" s="13"/>
      <c r="AL17809" s="13"/>
    </row>
    <row r="17810" spans="4:38" x14ac:dyDescent="0.3">
      <c r="D17810" s="1"/>
      <c r="G17810" s="13"/>
      <c r="AL17810" s="13"/>
    </row>
    <row r="17811" spans="4:38" x14ac:dyDescent="0.3">
      <c r="D17811" s="1"/>
      <c r="G17811" s="13"/>
      <c r="AL17811" s="13"/>
    </row>
    <row r="17812" spans="4:38" x14ac:dyDescent="0.3">
      <c r="D17812" s="1"/>
      <c r="G17812" s="13"/>
      <c r="AL17812" s="13"/>
    </row>
    <row r="17813" spans="4:38" x14ac:dyDescent="0.3">
      <c r="D17813" s="1"/>
      <c r="G17813" s="13"/>
      <c r="AL17813" s="13"/>
    </row>
    <row r="17814" spans="4:38" x14ac:dyDescent="0.3">
      <c r="D17814" s="1"/>
      <c r="G17814" s="13"/>
      <c r="AL17814" s="13"/>
    </row>
    <row r="17815" spans="4:38" x14ac:dyDescent="0.3">
      <c r="D17815" s="1"/>
      <c r="G17815" s="13"/>
      <c r="AL17815" s="13"/>
    </row>
    <row r="17816" spans="4:38" x14ac:dyDescent="0.3">
      <c r="D17816" s="1"/>
      <c r="G17816" s="13"/>
      <c r="AL17816" s="13"/>
    </row>
    <row r="17817" spans="4:38" x14ac:dyDescent="0.3">
      <c r="D17817" s="1"/>
      <c r="G17817" s="13"/>
      <c r="AL17817" s="13"/>
    </row>
    <row r="17818" spans="4:38" x14ac:dyDescent="0.3">
      <c r="D17818" s="1"/>
      <c r="G17818" s="13"/>
      <c r="AL17818" s="13"/>
    </row>
    <row r="17819" spans="4:38" x14ac:dyDescent="0.3">
      <c r="D17819" s="1"/>
      <c r="G17819" s="13"/>
      <c r="AL17819" s="13"/>
    </row>
    <row r="17820" spans="4:38" x14ac:dyDescent="0.3">
      <c r="D17820" s="1"/>
      <c r="G17820" s="13"/>
      <c r="AL17820" s="13"/>
    </row>
    <row r="17821" spans="4:38" x14ac:dyDescent="0.3">
      <c r="D17821" s="1"/>
      <c r="G17821" s="13"/>
      <c r="AL17821" s="13"/>
    </row>
    <row r="17822" spans="4:38" x14ac:dyDescent="0.3">
      <c r="D17822" s="1"/>
      <c r="G17822" s="13"/>
      <c r="AL17822" s="13"/>
    </row>
    <row r="17823" spans="4:38" x14ac:dyDescent="0.3">
      <c r="D17823" s="1"/>
      <c r="G17823" s="13"/>
      <c r="AL17823" s="13"/>
    </row>
    <row r="17824" spans="4:38" x14ac:dyDescent="0.3">
      <c r="D17824" s="1"/>
      <c r="G17824" s="13"/>
      <c r="AL17824" s="13"/>
    </row>
    <row r="17825" spans="4:38" x14ac:dyDescent="0.3">
      <c r="D17825" s="1"/>
      <c r="G17825" s="13"/>
      <c r="AL17825" s="13"/>
    </row>
    <row r="17826" spans="4:38" x14ac:dyDescent="0.3">
      <c r="D17826" s="1"/>
      <c r="G17826" s="13"/>
      <c r="AL17826" s="13"/>
    </row>
    <row r="17827" spans="4:38" x14ac:dyDescent="0.3">
      <c r="D17827" s="1"/>
      <c r="G17827" s="13"/>
      <c r="AL17827" s="13"/>
    </row>
    <row r="17828" spans="4:38" x14ac:dyDescent="0.3">
      <c r="D17828" s="1"/>
      <c r="G17828" s="13"/>
      <c r="AL17828" s="13"/>
    </row>
    <row r="17829" spans="4:38" x14ac:dyDescent="0.3">
      <c r="D17829" s="1"/>
      <c r="G17829" s="13"/>
      <c r="AL17829" s="13"/>
    </row>
    <row r="17830" spans="4:38" x14ac:dyDescent="0.3">
      <c r="D17830" s="1"/>
      <c r="G17830" s="13"/>
      <c r="AL17830" s="13"/>
    </row>
    <row r="17831" spans="4:38" x14ac:dyDescent="0.3">
      <c r="D17831" s="1"/>
      <c r="G17831" s="13"/>
      <c r="AL17831" s="13"/>
    </row>
    <row r="17832" spans="4:38" x14ac:dyDescent="0.3">
      <c r="D17832" s="1"/>
      <c r="G17832" s="13"/>
      <c r="AL17832" s="13"/>
    </row>
    <row r="17833" spans="4:38" x14ac:dyDescent="0.3">
      <c r="D17833" s="1"/>
      <c r="G17833" s="13"/>
      <c r="AL17833" s="13"/>
    </row>
    <row r="17834" spans="4:38" x14ac:dyDescent="0.3">
      <c r="D17834" s="1"/>
      <c r="G17834" s="13"/>
      <c r="AL17834" s="13"/>
    </row>
    <row r="17835" spans="4:38" x14ac:dyDescent="0.3">
      <c r="D17835" s="1"/>
      <c r="G17835" s="13"/>
      <c r="AL17835" s="13"/>
    </row>
    <row r="17836" spans="4:38" x14ac:dyDescent="0.3">
      <c r="D17836" s="1"/>
      <c r="G17836" s="13"/>
      <c r="AL17836" s="13"/>
    </row>
    <row r="17837" spans="4:38" x14ac:dyDescent="0.3">
      <c r="D17837" s="1"/>
      <c r="G17837" s="13"/>
      <c r="AL17837" s="13"/>
    </row>
    <row r="17838" spans="4:38" x14ac:dyDescent="0.3">
      <c r="D17838" s="1"/>
      <c r="G17838" s="13"/>
      <c r="AL17838" s="13"/>
    </row>
    <row r="17839" spans="4:38" x14ac:dyDescent="0.3">
      <c r="D17839" s="1"/>
      <c r="G17839" s="13"/>
      <c r="AL17839" s="13"/>
    </row>
    <row r="17840" spans="4:38" x14ac:dyDescent="0.3">
      <c r="D17840" s="1"/>
      <c r="G17840" s="13"/>
      <c r="AL17840" s="13"/>
    </row>
    <row r="17841" spans="4:38" x14ac:dyDescent="0.3">
      <c r="D17841" s="1"/>
      <c r="G17841" s="13"/>
      <c r="AL17841" s="13"/>
    </row>
    <row r="17842" spans="4:38" x14ac:dyDescent="0.3">
      <c r="D17842" s="1"/>
      <c r="G17842" s="13"/>
      <c r="AL17842" s="13"/>
    </row>
    <row r="17843" spans="4:38" x14ac:dyDescent="0.3">
      <c r="D17843" s="1"/>
      <c r="G17843" s="13"/>
      <c r="AL17843" s="13"/>
    </row>
    <row r="17844" spans="4:38" x14ac:dyDescent="0.3">
      <c r="D17844" s="1"/>
      <c r="G17844" s="13"/>
      <c r="AL17844" s="13"/>
    </row>
    <row r="17845" spans="4:38" x14ac:dyDescent="0.3">
      <c r="D17845" s="1"/>
      <c r="G17845" s="13"/>
      <c r="AL17845" s="13"/>
    </row>
    <row r="17846" spans="4:38" x14ac:dyDescent="0.3">
      <c r="D17846" s="1"/>
      <c r="G17846" s="13"/>
      <c r="AL17846" s="13"/>
    </row>
    <row r="17847" spans="4:38" x14ac:dyDescent="0.3">
      <c r="D17847" s="1"/>
      <c r="G17847" s="13"/>
      <c r="AL17847" s="13"/>
    </row>
    <row r="17848" spans="4:38" x14ac:dyDescent="0.3">
      <c r="D17848" s="1"/>
      <c r="G17848" s="13"/>
      <c r="AL17848" s="13"/>
    </row>
    <row r="17849" spans="4:38" x14ac:dyDescent="0.3">
      <c r="D17849" s="1"/>
      <c r="G17849" s="13"/>
      <c r="AL17849" s="13"/>
    </row>
    <row r="17850" spans="4:38" x14ac:dyDescent="0.3">
      <c r="D17850" s="1"/>
      <c r="G17850" s="13"/>
      <c r="AL17850" s="13"/>
    </row>
    <row r="17851" spans="4:38" x14ac:dyDescent="0.3">
      <c r="D17851" s="1"/>
      <c r="G17851" s="13"/>
      <c r="AL17851" s="13"/>
    </row>
    <row r="17852" spans="4:38" x14ac:dyDescent="0.3">
      <c r="D17852" s="1"/>
      <c r="G17852" s="13"/>
      <c r="AL17852" s="13"/>
    </row>
    <row r="17853" spans="4:38" x14ac:dyDescent="0.3">
      <c r="D17853" s="1"/>
      <c r="G17853" s="13"/>
      <c r="AL17853" s="13"/>
    </row>
    <row r="17854" spans="4:38" x14ac:dyDescent="0.3">
      <c r="D17854" s="1"/>
      <c r="G17854" s="13"/>
      <c r="AL17854" s="13"/>
    </row>
    <row r="17855" spans="4:38" x14ac:dyDescent="0.3">
      <c r="D17855" s="1"/>
      <c r="G17855" s="13"/>
      <c r="AL17855" s="13"/>
    </row>
    <row r="17856" spans="4:38" x14ac:dyDescent="0.3">
      <c r="D17856" s="1"/>
      <c r="G17856" s="13"/>
      <c r="AL17856" s="13"/>
    </row>
    <row r="17857" spans="4:39" x14ac:dyDescent="0.3">
      <c r="D17857" s="1"/>
      <c r="G17857" s="13"/>
      <c r="AL17857" s="13"/>
    </row>
    <row r="17858" spans="4:39" x14ac:dyDescent="0.3">
      <c r="D17858" s="1"/>
      <c r="G17858" s="13"/>
      <c r="AL17858" s="13"/>
    </row>
    <row r="17859" spans="4:39" x14ac:dyDescent="0.3">
      <c r="D17859" s="1"/>
      <c r="G17859" s="13"/>
      <c r="AL17859" s="13"/>
    </row>
    <row r="17860" spans="4:39" x14ac:dyDescent="0.3">
      <c r="D17860" s="1"/>
      <c r="G17860" s="13"/>
      <c r="AL17860" s="13"/>
    </row>
    <row r="17861" spans="4:39" x14ac:dyDescent="0.3">
      <c r="D17861" s="1"/>
      <c r="G17861" s="13"/>
      <c r="AL17861" s="13"/>
    </row>
    <row r="17862" spans="4:39" x14ac:dyDescent="0.3">
      <c r="D17862" s="1"/>
      <c r="G17862" s="13"/>
      <c r="AL17862" s="13"/>
    </row>
    <row r="17863" spans="4:39" x14ac:dyDescent="0.3">
      <c r="D17863" s="1"/>
      <c r="G17863" s="13"/>
      <c r="AL17863" s="13"/>
    </row>
    <row r="17864" spans="4:39" x14ac:dyDescent="0.3">
      <c r="D17864" s="1"/>
      <c r="G17864" s="13"/>
      <c r="AL17864" s="13"/>
      <c r="AM17864" s="14"/>
    </row>
    <row r="17865" spans="4:39" x14ac:dyDescent="0.3">
      <c r="D17865" s="1"/>
      <c r="G17865" s="13"/>
      <c r="AL17865" s="13"/>
      <c r="AM17865" s="14"/>
    </row>
    <row r="17866" spans="4:39" x14ac:dyDescent="0.3">
      <c r="D17866" s="1"/>
      <c r="G17866" s="13"/>
      <c r="AL17866" s="13"/>
    </row>
    <row r="17867" spans="4:39" x14ac:dyDescent="0.3">
      <c r="D17867" s="1"/>
      <c r="G17867" s="13"/>
      <c r="AL17867" s="13"/>
    </row>
    <row r="17868" spans="4:39" x14ac:dyDescent="0.3">
      <c r="D17868" s="1"/>
      <c r="G17868" s="13"/>
      <c r="AL17868" s="13"/>
    </row>
    <row r="17869" spans="4:39" x14ac:dyDescent="0.3">
      <c r="D17869" s="1"/>
      <c r="G17869" s="13"/>
      <c r="AL17869" s="13"/>
    </row>
    <row r="17870" spans="4:39" x14ac:dyDescent="0.3">
      <c r="D17870" s="1"/>
      <c r="G17870" s="13"/>
      <c r="AL17870" s="13"/>
    </row>
    <row r="17871" spans="4:39" x14ac:dyDescent="0.3">
      <c r="D17871" s="1"/>
      <c r="G17871" s="13"/>
      <c r="AL17871" s="13"/>
    </row>
    <row r="17872" spans="4:39" x14ac:dyDescent="0.3">
      <c r="D17872" s="1"/>
      <c r="G17872" s="13"/>
      <c r="AL17872" s="13"/>
    </row>
    <row r="17873" spans="4:39" x14ac:dyDescent="0.3">
      <c r="D17873" s="1"/>
      <c r="G17873" s="13"/>
      <c r="AL17873" s="13"/>
    </row>
    <row r="17874" spans="4:39" x14ac:dyDescent="0.3">
      <c r="D17874" s="1"/>
      <c r="G17874" s="13"/>
      <c r="AL17874" s="13"/>
    </row>
    <row r="17875" spans="4:39" x14ac:dyDescent="0.3">
      <c r="D17875" s="1"/>
      <c r="G17875" s="13"/>
      <c r="AL17875" s="13"/>
    </row>
    <row r="17876" spans="4:39" x14ac:dyDescent="0.3">
      <c r="D17876" s="1"/>
      <c r="G17876" s="13"/>
      <c r="AL17876" s="13"/>
    </row>
    <row r="17877" spans="4:39" x14ac:dyDescent="0.3">
      <c r="D17877" s="1"/>
      <c r="G17877" s="13"/>
      <c r="AL17877" s="13"/>
    </row>
    <row r="17878" spans="4:39" x14ac:dyDescent="0.3">
      <c r="D17878" s="1"/>
      <c r="G17878" s="13"/>
      <c r="AL17878" s="13"/>
    </row>
    <row r="17879" spans="4:39" x14ac:dyDescent="0.3">
      <c r="D17879" s="1"/>
      <c r="G17879" s="13"/>
      <c r="AL17879" s="13"/>
    </row>
    <row r="17880" spans="4:39" x14ac:dyDescent="0.3">
      <c r="D17880" s="1"/>
      <c r="G17880" s="13"/>
      <c r="AL17880" s="13"/>
    </row>
    <row r="17881" spans="4:39" x14ac:dyDescent="0.3">
      <c r="D17881" s="1"/>
      <c r="G17881" s="13"/>
      <c r="AL17881" s="13"/>
      <c r="AM17881" s="14"/>
    </row>
    <row r="17882" spans="4:39" x14ac:dyDescent="0.3">
      <c r="D17882" s="1"/>
      <c r="G17882" s="13"/>
      <c r="AL17882" s="13"/>
      <c r="AM17882" s="14"/>
    </row>
    <row r="17883" spans="4:39" x14ac:dyDescent="0.3">
      <c r="D17883" s="1"/>
      <c r="G17883" s="13"/>
      <c r="AL17883" s="13"/>
    </row>
    <row r="17884" spans="4:39" x14ac:dyDescent="0.3">
      <c r="D17884" s="1"/>
      <c r="G17884" s="13"/>
      <c r="AL17884" s="13"/>
    </row>
    <row r="17885" spans="4:39" x14ac:dyDescent="0.3">
      <c r="D17885" s="1"/>
      <c r="G17885" s="13"/>
      <c r="AL17885" s="13"/>
    </row>
    <row r="17886" spans="4:39" x14ac:dyDescent="0.3">
      <c r="D17886" s="1"/>
      <c r="G17886" s="13"/>
      <c r="AL17886" s="13"/>
      <c r="AM17886" s="14"/>
    </row>
    <row r="17887" spans="4:39" x14ac:dyDescent="0.3">
      <c r="D17887" s="1"/>
      <c r="G17887" s="13"/>
      <c r="AL17887" s="13"/>
    </row>
    <row r="17888" spans="4:39" x14ac:dyDescent="0.3">
      <c r="D17888" s="1"/>
      <c r="G17888" s="13"/>
      <c r="AL17888" s="13"/>
    </row>
    <row r="17889" spans="4:39" x14ac:dyDescent="0.3">
      <c r="D17889" s="1"/>
      <c r="G17889" s="13"/>
      <c r="AL17889" s="13"/>
      <c r="AM17889" s="14"/>
    </row>
    <row r="17890" spans="4:39" x14ac:dyDescent="0.3">
      <c r="D17890" s="1"/>
      <c r="G17890" s="13"/>
      <c r="AL17890" s="13"/>
    </row>
    <row r="17891" spans="4:39" x14ac:dyDescent="0.3">
      <c r="D17891" s="1"/>
      <c r="G17891" s="13"/>
      <c r="AL17891" s="13"/>
    </row>
    <row r="17892" spans="4:39" x14ac:dyDescent="0.3">
      <c r="D17892" s="1"/>
      <c r="G17892" s="13"/>
      <c r="AL17892" s="13"/>
    </row>
    <row r="17893" spans="4:39" x14ac:dyDescent="0.3">
      <c r="D17893" s="1"/>
      <c r="G17893" s="13"/>
      <c r="AL17893" s="13"/>
    </row>
    <row r="17894" spans="4:39" x14ac:dyDescent="0.3">
      <c r="D17894" s="1"/>
      <c r="G17894" s="13"/>
      <c r="AL17894" s="13"/>
    </row>
    <row r="17895" spans="4:39" x14ac:dyDescent="0.3">
      <c r="D17895" s="1"/>
      <c r="G17895" s="13"/>
      <c r="AL17895" s="13"/>
    </row>
    <row r="17896" spans="4:39" x14ac:dyDescent="0.3">
      <c r="D17896" s="1"/>
      <c r="G17896" s="13"/>
      <c r="AL17896" s="13"/>
      <c r="AM17896" s="14"/>
    </row>
    <row r="17897" spans="4:39" x14ac:dyDescent="0.3">
      <c r="D17897" s="1"/>
      <c r="G17897" s="13"/>
      <c r="AL17897" s="13"/>
    </row>
    <row r="17898" spans="4:39" x14ac:dyDescent="0.3">
      <c r="D17898" s="1"/>
      <c r="G17898" s="13"/>
      <c r="AL17898" s="13"/>
    </row>
    <row r="17899" spans="4:39" x14ac:dyDescent="0.3">
      <c r="D17899" s="1"/>
      <c r="G17899" s="13"/>
      <c r="AL17899" s="13"/>
      <c r="AM17899" s="14"/>
    </row>
    <row r="17900" spans="4:39" x14ac:dyDescent="0.3">
      <c r="D17900" s="1"/>
      <c r="G17900" s="13"/>
      <c r="AL17900" s="13"/>
    </row>
    <row r="17901" spans="4:39" x14ac:dyDescent="0.3">
      <c r="D17901" s="1"/>
      <c r="G17901" s="13"/>
      <c r="AL17901" s="13"/>
    </row>
    <row r="17902" spans="4:39" x14ac:dyDescent="0.3">
      <c r="D17902" s="1"/>
      <c r="G17902" s="13"/>
      <c r="AL17902" s="13"/>
      <c r="AM17902" s="14"/>
    </row>
    <row r="17903" spans="4:39" x14ac:dyDescent="0.3">
      <c r="D17903" s="1"/>
      <c r="G17903" s="13"/>
      <c r="AL17903" s="13"/>
    </row>
    <row r="17904" spans="4:39" x14ac:dyDescent="0.3">
      <c r="D17904" s="1"/>
      <c r="G17904" s="13"/>
      <c r="AL17904" s="13"/>
      <c r="AM17904" s="14"/>
    </row>
    <row r="17905" spans="4:39" x14ac:dyDescent="0.3">
      <c r="D17905" s="1"/>
      <c r="G17905" s="13"/>
      <c r="AL17905" s="13"/>
      <c r="AM17905" s="14"/>
    </row>
    <row r="17906" spans="4:39" x14ac:dyDescent="0.3">
      <c r="D17906" s="1"/>
      <c r="G17906" s="13"/>
      <c r="AL17906" s="13"/>
    </row>
    <row r="17907" spans="4:39" x14ac:dyDescent="0.3">
      <c r="D17907" s="1"/>
      <c r="G17907" s="13"/>
      <c r="AL17907" s="13"/>
    </row>
    <row r="17908" spans="4:39" x14ac:dyDescent="0.3">
      <c r="D17908" s="1"/>
      <c r="G17908" s="13"/>
      <c r="AL17908" s="13"/>
    </row>
    <row r="17909" spans="4:39" x14ac:dyDescent="0.3">
      <c r="D17909" s="1"/>
      <c r="G17909" s="13"/>
      <c r="AL17909" s="13"/>
    </row>
    <row r="17910" spans="4:39" x14ac:dyDescent="0.3">
      <c r="D17910" s="1"/>
      <c r="G17910" s="13"/>
      <c r="AL17910" s="13"/>
      <c r="AM17910" s="14"/>
    </row>
    <row r="17911" spans="4:39" x14ac:dyDescent="0.3">
      <c r="D17911" s="1"/>
      <c r="G17911" s="13"/>
      <c r="AL17911" s="13"/>
    </row>
    <row r="17912" spans="4:39" x14ac:dyDescent="0.3">
      <c r="D17912" s="1"/>
      <c r="G17912" s="13"/>
      <c r="AL17912" s="13"/>
    </row>
    <row r="17913" spans="4:39" x14ac:dyDescent="0.3">
      <c r="D17913" s="1"/>
      <c r="G17913" s="13"/>
      <c r="AL17913" s="13"/>
      <c r="AM17913" s="14"/>
    </row>
    <row r="17914" spans="4:39" x14ac:dyDescent="0.3">
      <c r="D17914" s="1"/>
      <c r="G17914" s="13"/>
      <c r="AL17914" s="13"/>
    </row>
    <row r="17915" spans="4:39" x14ac:dyDescent="0.3">
      <c r="D17915" s="1"/>
      <c r="G17915" s="13"/>
      <c r="AL17915" s="13"/>
    </row>
    <row r="17916" spans="4:39" x14ac:dyDescent="0.3">
      <c r="D17916" s="1"/>
      <c r="G17916" s="13"/>
      <c r="AL17916" s="13"/>
    </row>
    <row r="17917" spans="4:39" x14ac:dyDescent="0.3">
      <c r="D17917" s="1"/>
      <c r="G17917" s="13"/>
      <c r="AL17917" s="13"/>
    </row>
    <row r="17918" spans="4:39" x14ac:dyDescent="0.3">
      <c r="D17918" s="1"/>
      <c r="G17918" s="13"/>
      <c r="AL17918" s="13"/>
    </row>
    <row r="17919" spans="4:39" x14ac:dyDescent="0.3">
      <c r="D17919" s="1"/>
      <c r="G17919" s="13"/>
      <c r="AL17919" s="13"/>
    </row>
    <row r="17920" spans="4:39" x14ac:dyDescent="0.3">
      <c r="D17920" s="1"/>
      <c r="G17920" s="13"/>
      <c r="AL17920" s="13"/>
    </row>
    <row r="17921" spans="4:38" x14ac:dyDescent="0.3">
      <c r="D17921" s="1"/>
      <c r="G17921" s="13"/>
      <c r="AL17921" s="13"/>
    </row>
    <row r="17922" spans="4:38" x14ac:dyDescent="0.3">
      <c r="D17922" s="1"/>
      <c r="G17922" s="13"/>
      <c r="AL17922" s="13"/>
    </row>
    <row r="17923" spans="4:38" x14ac:dyDescent="0.3">
      <c r="D17923" s="1"/>
      <c r="G17923" s="13"/>
      <c r="AL17923" s="13"/>
    </row>
    <row r="17924" spans="4:38" x14ac:dyDescent="0.3">
      <c r="D17924" s="1"/>
      <c r="G17924" s="13"/>
      <c r="AL17924" s="13"/>
    </row>
    <row r="17925" spans="4:38" x14ac:dyDescent="0.3">
      <c r="D17925" s="1"/>
      <c r="G17925" s="13"/>
      <c r="AL17925" s="13"/>
    </row>
    <row r="17926" spans="4:38" x14ac:dyDescent="0.3">
      <c r="D17926" s="1"/>
      <c r="G17926" s="13"/>
      <c r="AL17926" s="13"/>
    </row>
    <row r="17927" spans="4:38" x14ac:dyDescent="0.3">
      <c r="D17927" s="1"/>
      <c r="G17927" s="13"/>
      <c r="AL17927" s="13"/>
    </row>
    <row r="17928" spans="4:38" x14ac:dyDescent="0.3">
      <c r="D17928" s="1"/>
      <c r="G17928" s="13"/>
      <c r="AL17928" s="13"/>
    </row>
    <row r="17929" spans="4:38" x14ac:dyDescent="0.3">
      <c r="D17929" s="1"/>
      <c r="G17929" s="13"/>
      <c r="AL17929" s="13"/>
    </row>
    <row r="17930" spans="4:38" x14ac:dyDescent="0.3">
      <c r="D17930" s="1"/>
      <c r="G17930" s="13"/>
      <c r="AL17930" s="13"/>
    </row>
    <row r="17931" spans="4:38" x14ac:dyDescent="0.3">
      <c r="D17931" s="1"/>
      <c r="G17931" s="13"/>
      <c r="AL17931" s="13"/>
    </row>
    <row r="17932" spans="4:38" x14ac:dyDescent="0.3">
      <c r="D17932" s="1"/>
      <c r="G17932" s="13"/>
      <c r="AL17932" s="13"/>
    </row>
    <row r="17933" spans="4:38" x14ac:dyDescent="0.3">
      <c r="D17933" s="1"/>
      <c r="G17933" s="13"/>
      <c r="AL17933" s="13"/>
    </row>
    <row r="17934" spans="4:38" x14ac:dyDescent="0.3">
      <c r="D17934" s="1"/>
      <c r="G17934" s="13"/>
      <c r="AL17934" s="13"/>
    </row>
    <row r="17935" spans="4:38" x14ac:dyDescent="0.3">
      <c r="D17935" s="1"/>
      <c r="G17935" s="13"/>
      <c r="AL17935" s="13"/>
    </row>
    <row r="17936" spans="4:38" x14ac:dyDescent="0.3">
      <c r="D17936" s="1"/>
      <c r="G17936" s="13"/>
      <c r="AL17936" s="13"/>
    </row>
    <row r="17937" spans="4:38" x14ac:dyDescent="0.3">
      <c r="D17937" s="1"/>
      <c r="G17937" s="13"/>
      <c r="AL17937" s="13"/>
    </row>
    <row r="17938" spans="4:38" x14ac:dyDescent="0.3">
      <c r="D17938" s="1"/>
      <c r="G17938" s="13"/>
      <c r="AL17938" s="13"/>
    </row>
    <row r="17939" spans="4:38" x14ac:dyDescent="0.3">
      <c r="D17939" s="1"/>
      <c r="G17939" s="13"/>
      <c r="AL17939" s="13"/>
    </row>
    <row r="17940" spans="4:38" x14ac:dyDescent="0.3">
      <c r="D17940" s="1"/>
      <c r="G17940" s="13"/>
      <c r="AL17940" s="13"/>
    </row>
    <row r="17941" spans="4:38" x14ac:dyDescent="0.3">
      <c r="D17941" s="1"/>
      <c r="G17941" s="13"/>
      <c r="AL17941" s="13"/>
    </row>
    <row r="17942" spans="4:38" x14ac:dyDescent="0.3">
      <c r="D17942" s="1"/>
      <c r="G17942" s="13"/>
      <c r="AL17942" s="13"/>
    </row>
    <row r="17943" spans="4:38" x14ac:dyDescent="0.3">
      <c r="D17943" s="1"/>
      <c r="G17943" s="13"/>
      <c r="AL17943" s="13"/>
    </row>
    <row r="17944" spans="4:38" x14ac:dyDescent="0.3">
      <c r="D17944" s="1"/>
      <c r="G17944" s="13"/>
      <c r="AL17944" s="13"/>
    </row>
    <row r="17945" spans="4:38" x14ac:dyDescent="0.3">
      <c r="D17945" s="1"/>
      <c r="G17945" s="13"/>
      <c r="AL17945" s="13"/>
    </row>
    <row r="17946" spans="4:38" x14ac:dyDescent="0.3">
      <c r="D17946" s="1"/>
      <c r="G17946" s="13"/>
      <c r="AL17946" s="13"/>
    </row>
    <row r="17947" spans="4:38" x14ac:dyDescent="0.3">
      <c r="D17947" s="1"/>
      <c r="G17947" s="13"/>
      <c r="AL17947" s="13"/>
    </row>
    <row r="17948" spans="4:38" x14ac:dyDescent="0.3">
      <c r="D17948" s="1"/>
      <c r="G17948" s="13"/>
      <c r="AL17948" s="13"/>
    </row>
    <row r="17949" spans="4:38" x14ac:dyDescent="0.3">
      <c r="D17949" s="1"/>
      <c r="G17949" s="13"/>
      <c r="AL17949" s="13"/>
    </row>
    <row r="17950" spans="4:38" x14ac:dyDescent="0.3">
      <c r="D17950" s="1"/>
      <c r="G17950" s="13"/>
      <c r="AL17950" s="13"/>
    </row>
    <row r="17951" spans="4:38" x14ac:dyDescent="0.3">
      <c r="D17951" s="1"/>
      <c r="G17951" s="13"/>
      <c r="AL17951" s="13"/>
    </row>
    <row r="17952" spans="4:38" x14ac:dyDescent="0.3">
      <c r="D17952" s="1"/>
      <c r="G17952" s="13"/>
      <c r="AL17952" s="13"/>
    </row>
    <row r="17953" spans="4:38" x14ac:dyDescent="0.3">
      <c r="D17953" s="1"/>
      <c r="G17953" s="13"/>
      <c r="AL17953" s="13"/>
    </row>
    <row r="17954" spans="4:38" x14ac:dyDescent="0.3">
      <c r="D17954" s="1"/>
      <c r="G17954" s="13"/>
      <c r="AL17954" s="13"/>
    </row>
    <row r="17955" spans="4:38" x14ac:dyDescent="0.3">
      <c r="D17955" s="1"/>
      <c r="G17955" s="13"/>
      <c r="AL17955" s="13"/>
    </row>
    <row r="17956" spans="4:38" x14ac:dyDescent="0.3">
      <c r="D17956" s="1"/>
      <c r="G17956" s="13"/>
      <c r="AL17956" s="13"/>
    </row>
    <row r="17957" spans="4:38" x14ac:dyDescent="0.3">
      <c r="D17957" s="1"/>
      <c r="G17957" s="13"/>
      <c r="AL17957" s="13"/>
    </row>
    <row r="17958" spans="4:38" x14ac:dyDescent="0.3">
      <c r="D17958" s="1"/>
      <c r="G17958" s="13"/>
      <c r="AL17958" s="13"/>
    </row>
    <row r="17959" spans="4:38" x14ac:dyDescent="0.3">
      <c r="D17959" s="1"/>
      <c r="G17959" s="13"/>
      <c r="AL17959" s="13"/>
    </row>
    <row r="17960" spans="4:38" x14ac:dyDescent="0.3">
      <c r="D17960" s="1"/>
      <c r="G17960" s="13"/>
      <c r="AL17960" s="13"/>
    </row>
    <row r="17961" spans="4:38" x14ac:dyDescent="0.3">
      <c r="D17961" s="1"/>
      <c r="G17961" s="13"/>
      <c r="AL17961" s="13"/>
    </row>
    <row r="17962" spans="4:38" x14ac:dyDescent="0.3">
      <c r="D17962" s="1"/>
      <c r="G17962" s="13"/>
      <c r="AL17962" s="13"/>
    </row>
    <row r="17963" spans="4:38" x14ac:dyDescent="0.3">
      <c r="D17963" s="1"/>
      <c r="G17963" s="13"/>
      <c r="AL17963" s="13"/>
    </row>
    <row r="17964" spans="4:38" x14ac:dyDescent="0.3">
      <c r="D17964" s="1"/>
      <c r="G17964" s="13"/>
      <c r="AL17964" s="13"/>
    </row>
    <row r="17965" spans="4:38" x14ac:dyDescent="0.3">
      <c r="D17965" s="1"/>
      <c r="G17965" s="13"/>
      <c r="AL17965" s="13"/>
    </row>
    <row r="17966" spans="4:38" x14ac:dyDescent="0.3">
      <c r="D17966" s="1"/>
      <c r="G17966" s="13"/>
      <c r="AL17966" s="13"/>
    </row>
    <row r="17967" spans="4:38" x14ac:dyDescent="0.3">
      <c r="D17967" s="1"/>
      <c r="G17967" s="13"/>
      <c r="AL17967" s="13"/>
    </row>
    <row r="17968" spans="4:38" x14ac:dyDescent="0.3">
      <c r="D17968" s="1"/>
      <c r="G17968" s="13"/>
      <c r="AL17968" s="13"/>
    </row>
    <row r="17969" spans="4:39" x14ac:dyDescent="0.3">
      <c r="D17969" s="1"/>
      <c r="G17969" s="13"/>
      <c r="AL17969" s="13"/>
    </row>
    <row r="17970" spans="4:39" x14ac:dyDescent="0.3">
      <c r="D17970" s="1"/>
      <c r="G17970" s="13"/>
      <c r="AL17970" s="13"/>
    </row>
    <row r="17971" spans="4:39" x14ac:dyDescent="0.3">
      <c r="D17971" s="1"/>
      <c r="G17971" s="13"/>
      <c r="AL17971" s="13"/>
    </row>
    <row r="17972" spans="4:39" x14ac:dyDescent="0.3">
      <c r="D17972" s="1"/>
      <c r="G17972" s="13"/>
      <c r="AL17972" s="13"/>
    </row>
    <row r="17973" spans="4:39" x14ac:dyDescent="0.3">
      <c r="D17973" s="1"/>
      <c r="G17973" s="13"/>
      <c r="AL17973" s="13"/>
      <c r="AM17973" s="14"/>
    </row>
    <row r="17974" spans="4:39" x14ac:dyDescent="0.3">
      <c r="D17974" s="1"/>
      <c r="G17974" s="13"/>
      <c r="AL17974" s="13"/>
    </row>
    <row r="17975" spans="4:39" x14ac:dyDescent="0.3">
      <c r="D17975" s="1"/>
      <c r="G17975" s="13"/>
      <c r="AL17975" s="13"/>
    </row>
    <row r="17976" spans="4:39" x14ac:dyDescent="0.3">
      <c r="D17976" s="1"/>
      <c r="G17976" s="13"/>
      <c r="AL17976" s="13"/>
    </row>
    <row r="17977" spans="4:39" x14ac:dyDescent="0.3">
      <c r="D17977" s="1"/>
      <c r="G17977" s="13"/>
      <c r="AL17977" s="13"/>
      <c r="AM17977" s="14"/>
    </row>
    <row r="17978" spans="4:39" x14ac:dyDescent="0.3">
      <c r="D17978" s="1"/>
      <c r="G17978" s="13"/>
      <c r="AL17978" s="13"/>
      <c r="AM17978" s="14"/>
    </row>
    <row r="17979" spans="4:39" x14ac:dyDescent="0.3">
      <c r="D17979" s="1"/>
      <c r="G17979" s="13"/>
      <c r="AL17979" s="13"/>
    </row>
    <row r="17980" spans="4:39" x14ac:dyDescent="0.3">
      <c r="D17980" s="1"/>
      <c r="G17980" s="13"/>
      <c r="AL17980" s="13"/>
    </row>
    <row r="17981" spans="4:39" x14ac:dyDescent="0.3">
      <c r="D17981" s="1"/>
      <c r="G17981" s="13"/>
      <c r="AL17981" s="13"/>
    </row>
    <row r="17982" spans="4:39" x14ac:dyDescent="0.3">
      <c r="D17982" s="1"/>
      <c r="G17982" s="13"/>
      <c r="AL17982" s="13"/>
      <c r="AM17982" s="14"/>
    </row>
    <row r="17983" spans="4:39" x14ac:dyDescent="0.3">
      <c r="D17983" s="1"/>
      <c r="G17983" s="13"/>
      <c r="AL17983" s="13"/>
    </row>
    <row r="17984" spans="4:39" x14ac:dyDescent="0.3">
      <c r="D17984" s="1"/>
      <c r="G17984" s="13"/>
      <c r="AL17984" s="13"/>
    </row>
    <row r="17985" spans="4:38" x14ac:dyDescent="0.3">
      <c r="D17985" s="1"/>
      <c r="G17985" s="13"/>
      <c r="AL17985" s="13"/>
    </row>
    <row r="17986" spans="4:38" x14ac:dyDescent="0.3">
      <c r="D17986" s="1"/>
      <c r="G17986" s="13"/>
      <c r="AL17986" s="13"/>
    </row>
    <row r="17987" spans="4:38" x14ac:dyDescent="0.3">
      <c r="D17987" s="1"/>
      <c r="G17987" s="13"/>
      <c r="AL17987" s="13"/>
    </row>
    <row r="17988" spans="4:38" x14ac:dyDescent="0.3">
      <c r="D17988" s="1"/>
      <c r="G17988" s="13"/>
      <c r="AL17988" s="13"/>
    </row>
    <row r="17989" spans="4:38" x14ac:dyDescent="0.3">
      <c r="D17989" s="1"/>
      <c r="G17989" s="13"/>
      <c r="AL17989" s="13"/>
    </row>
    <row r="17990" spans="4:38" x14ac:dyDescent="0.3">
      <c r="D17990" s="1"/>
      <c r="G17990" s="13"/>
      <c r="AL17990" s="13"/>
    </row>
    <row r="17991" spans="4:38" x14ac:dyDescent="0.3">
      <c r="D17991" s="1"/>
      <c r="G17991" s="13"/>
      <c r="AL17991" s="13"/>
    </row>
    <row r="17992" spans="4:38" x14ac:dyDescent="0.3">
      <c r="D17992" s="1"/>
      <c r="G17992" s="13"/>
      <c r="AL17992" s="13"/>
    </row>
    <row r="17993" spans="4:38" x14ac:dyDescent="0.3">
      <c r="D17993" s="1"/>
      <c r="G17993" s="13"/>
      <c r="AL17993" s="13"/>
    </row>
    <row r="17994" spans="4:38" x14ac:dyDescent="0.3">
      <c r="D17994" s="1"/>
      <c r="G17994" s="13"/>
      <c r="AL17994" s="13"/>
    </row>
    <row r="17995" spans="4:38" x14ac:dyDescent="0.3">
      <c r="D17995" s="1"/>
      <c r="G17995" s="13"/>
      <c r="AL17995" s="13"/>
    </row>
    <row r="17996" spans="4:38" x14ac:dyDescent="0.3">
      <c r="D17996" s="1"/>
      <c r="G17996" s="13"/>
      <c r="AL17996" s="13"/>
    </row>
    <row r="17997" spans="4:38" x14ac:dyDescent="0.3">
      <c r="D17997" s="1"/>
      <c r="G17997" s="13"/>
      <c r="AL17997" s="13"/>
    </row>
    <row r="17998" spans="4:38" x14ac:dyDescent="0.3">
      <c r="D17998" s="1"/>
      <c r="G17998" s="13"/>
      <c r="AL17998" s="13"/>
    </row>
    <row r="17999" spans="4:38" x14ac:dyDescent="0.3">
      <c r="D17999" s="1"/>
      <c r="G17999" s="13"/>
      <c r="AL17999" s="13"/>
    </row>
    <row r="18000" spans="4:38" x14ac:dyDescent="0.3">
      <c r="D18000" s="1"/>
      <c r="G18000" s="13"/>
      <c r="AL18000" s="13"/>
    </row>
    <row r="18001" spans="4:38" x14ac:dyDescent="0.3">
      <c r="D18001" s="1"/>
      <c r="G18001" s="13"/>
      <c r="AL18001" s="13"/>
    </row>
    <row r="18002" spans="4:38" x14ac:dyDescent="0.3">
      <c r="D18002" s="1"/>
      <c r="G18002" s="13"/>
      <c r="AL18002" s="13"/>
    </row>
    <row r="18003" spans="4:38" x14ac:dyDescent="0.3">
      <c r="D18003" s="1"/>
      <c r="G18003" s="13"/>
      <c r="AL18003" s="13"/>
    </row>
    <row r="18004" spans="4:38" x14ac:dyDescent="0.3">
      <c r="D18004" s="1"/>
      <c r="G18004" s="13"/>
      <c r="AL18004" s="13"/>
    </row>
    <row r="18005" spans="4:38" x14ac:dyDescent="0.3">
      <c r="D18005" s="1"/>
      <c r="G18005" s="13"/>
      <c r="AL18005" s="13"/>
    </row>
    <row r="18006" spans="4:38" x14ac:dyDescent="0.3">
      <c r="D18006" s="1"/>
      <c r="G18006" s="13"/>
      <c r="AL18006" s="13"/>
    </row>
    <row r="18007" spans="4:38" x14ac:dyDescent="0.3">
      <c r="D18007" s="1"/>
      <c r="G18007" s="13"/>
      <c r="AL18007" s="13"/>
    </row>
    <row r="18008" spans="4:38" x14ac:dyDescent="0.3">
      <c r="D18008" s="1"/>
      <c r="G18008" s="13"/>
      <c r="AL18008" s="13"/>
    </row>
    <row r="18009" spans="4:38" x14ac:dyDescent="0.3">
      <c r="D18009" s="1"/>
      <c r="G18009" s="13"/>
      <c r="AL18009" s="13"/>
    </row>
    <row r="18010" spans="4:38" x14ac:dyDescent="0.3">
      <c r="D18010" s="1"/>
      <c r="G18010" s="13"/>
      <c r="AL18010" s="13"/>
    </row>
    <row r="18011" spans="4:38" x14ac:dyDescent="0.3">
      <c r="D18011" s="1"/>
      <c r="G18011" s="13"/>
      <c r="AL18011" s="13"/>
    </row>
    <row r="18012" spans="4:38" x14ac:dyDescent="0.3">
      <c r="D18012" s="1"/>
      <c r="G18012" s="13"/>
      <c r="AL18012" s="13"/>
    </row>
    <row r="18013" spans="4:38" x14ac:dyDescent="0.3">
      <c r="D18013" s="1"/>
      <c r="G18013" s="13"/>
      <c r="AL18013" s="13"/>
    </row>
    <row r="18014" spans="4:38" x14ac:dyDescent="0.3">
      <c r="D18014" s="1"/>
      <c r="G18014" s="13"/>
      <c r="AL18014" s="13"/>
    </row>
    <row r="18015" spans="4:38" x14ac:dyDescent="0.3">
      <c r="D18015" s="1"/>
      <c r="G18015" s="13"/>
      <c r="AL18015" s="13"/>
    </row>
    <row r="18016" spans="4:38" x14ac:dyDescent="0.3">
      <c r="D18016" s="1"/>
      <c r="G18016" s="13"/>
      <c r="AL18016" s="13"/>
    </row>
    <row r="18017" spans="4:38" x14ac:dyDescent="0.3">
      <c r="D18017" s="1"/>
      <c r="G18017" s="13"/>
      <c r="AL18017" s="13"/>
    </row>
    <row r="18018" spans="4:38" x14ac:dyDescent="0.3">
      <c r="D18018" s="1"/>
      <c r="G18018" s="13"/>
      <c r="AL18018" s="13"/>
    </row>
    <row r="18019" spans="4:38" x14ac:dyDescent="0.3">
      <c r="D18019" s="1"/>
      <c r="G18019" s="13"/>
      <c r="AL18019" s="13"/>
    </row>
    <row r="18020" spans="4:38" x14ac:dyDescent="0.3">
      <c r="D18020" s="1"/>
      <c r="G18020" s="13"/>
      <c r="AL18020" s="13"/>
    </row>
    <row r="18021" spans="4:38" x14ac:dyDescent="0.3">
      <c r="D18021" s="1"/>
      <c r="G18021" s="13"/>
      <c r="AL18021" s="13"/>
    </row>
    <row r="18022" spans="4:38" x14ac:dyDescent="0.3">
      <c r="D18022" s="1"/>
      <c r="G18022" s="13"/>
      <c r="AL18022" s="13"/>
    </row>
    <row r="18023" spans="4:38" x14ac:dyDescent="0.3">
      <c r="D18023" s="1"/>
      <c r="G18023" s="13"/>
      <c r="AL18023" s="13"/>
    </row>
    <row r="18024" spans="4:38" x14ac:dyDescent="0.3">
      <c r="D18024" s="1"/>
      <c r="G18024" s="13"/>
      <c r="AL18024" s="13"/>
    </row>
    <row r="18025" spans="4:38" x14ac:dyDescent="0.3">
      <c r="D18025" s="1"/>
      <c r="G18025" s="13"/>
      <c r="AL18025" s="13"/>
    </row>
    <row r="18026" spans="4:38" x14ac:dyDescent="0.3">
      <c r="D18026" s="1"/>
      <c r="G18026" s="13"/>
      <c r="AL18026" s="13"/>
    </row>
    <row r="18027" spans="4:38" x14ac:dyDescent="0.3">
      <c r="D18027" s="1"/>
      <c r="G18027" s="13"/>
      <c r="AL18027" s="13"/>
    </row>
    <row r="18028" spans="4:38" x14ac:dyDescent="0.3">
      <c r="D18028" s="1"/>
      <c r="G18028" s="13"/>
      <c r="AL18028" s="13"/>
    </row>
    <row r="18029" spans="4:38" x14ac:dyDescent="0.3">
      <c r="D18029" s="1"/>
      <c r="G18029" s="13"/>
      <c r="AL18029" s="13"/>
    </row>
    <row r="18030" spans="4:38" x14ac:dyDescent="0.3">
      <c r="D18030" s="1"/>
      <c r="G18030" s="13"/>
      <c r="AL18030" s="13"/>
    </row>
    <row r="18031" spans="4:38" x14ac:dyDescent="0.3">
      <c r="D18031" s="1"/>
      <c r="G18031" s="13"/>
      <c r="AL18031" s="13"/>
    </row>
    <row r="18032" spans="4:38" x14ac:dyDescent="0.3">
      <c r="D18032" s="1"/>
      <c r="G18032" s="13"/>
      <c r="AL18032" s="13"/>
    </row>
    <row r="18033" spans="4:38" x14ac:dyDescent="0.3">
      <c r="D18033" s="1"/>
      <c r="G18033" s="13"/>
      <c r="AL18033" s="13"/>
    </row>
    <row r="18034" spans="4:38" x14ac:dyDescent="0.3">
      <c r="D18034" s="1"/>
      <c r="G18034" s="13"/>
      <c r="AL18034" s="13"/>
    </row>
    <row r="18035" spans="4:38" x14ac:dyDescent="0.3">
      <c r="D18035" s="1"/>
      <c r="G18035" s="13"/>
      <c r="AL18035" s="13"/>
    </row>
    <row r="18036" spans="4:38" x14ac:dyDescent="0.3">
      <c r="D18036" s="1"/>
      <c r="G18036" s="13"/>
      <c r="AL18036" s="13"/>
    </row>
    <row r="18037" spans="4:38" x14ac:dyDescent="0.3">
      <c r="D18037" s="1"/>
      <c r="G18037" s="13"/>
      <c r="AL18037" s="13"/>
    </row>
    <row r="18038" spans="4:38" x14ac:dyDescent="0.3">
      <c r="D18038" s="1"/>
      <c r="G18038" s="13"/>
      <c r="AL18038" s="13"/>
    </row>
    <row r="18039" spans="4:38" x14ac:dyDescent="0.3">
      <c r="D18039" s="1"/>
      <c r="G18039" s="13"/>
      <c r="AL18039" s="13"/>
    </row>
    <row r="18040" spans="4:38" x14ac:dyDescent="0.3">
      <c r="D18040" s="1"/>
      <c r="G18040" s="13"/>
      <c r="AL18040" s="13"/>
    </row>
    <row r="18041" spans="4:38" x14ac:dyDescent="0.3">
      <c r="D18041" s="1"/>
      <c r="G18041" s="13"/>
      <c r="AL18041" s="13"/>
    </row>
    <row r="18042" spans="4:38" x14ac:dyDescent="0.3">
      <c r="D18042" s="1"/>
      <c r="G18042" s="13"/>
      <c r="AL18042" s="13"/>
    </row>
    <row r="18043" spans="4:38" x14ac:dyDescent="0.3">
      <c r="D18043" s="1"/>
      <c r="G18043" s="13"/>
      <c r="AL18043" s="13"/>
    </row>
    <row r="18044" spans="4:38" x14ac:dyDescent="0.3">
      <c r="D18044" s="1"/>
      <c r="G18044" s="13"/>
      <c r="AL18044" s="13"/>
    </row>
    <row r="18045" spans="4:38" x14ac:dyDescent="0.3">
      <c r="D18045" s="1"/>
      <c r="G18045" s="13"/>
      <c r="AL18045" s="13"/>
    </row>
    <row r="18046" spans="4:38" x14ac:dyDescent="0.3">
      <c r="D18046" s="1"/>
      <c r="G18046" s="13"/>
      <c r="AL18046" s="13"/>
    </row>
    <row r="18047" spans="4:38" x14ac:dyDescent="0.3">
      <c r="D18047" s="1"/>
      <c r="G18047" s="13"/>
      <c r="AL18047" s="13"/>
    </row>
    <row r="18048" spans="4:38" x14ac:dyDescent="0.3">
      <c r="D18048" s="1"/>
      <c r="G18048" s="13"/>
      <c r="AL18048" s="13"/>
    </row>
    <row r="18049" spans="4:38" x14ac:dyDescent="0.3">
      <c r="D18049" s="1"/>
      <c r="G18049" s="13"/>
      <c r="AL18049" s="13"/>
    </row>
    <row r="18050" spans="4:38" x14ac:dyDescent="0.3">
      <c r="D18050" s="1"/>
      <c r="G18050" s="13"/>
      <c r="AL18050" s="13"/>
    </row>
    <row r="18051" spans="4:38" x14ac:dyDescent="0.3">
      <c r="D18051" s="1"/>
      <c r="G18051" s="13"/>
      <c r="AL18051" s="13"/>
    </row>
    <row r="18052" spans="4:38" x14ac:dyDescent="0.3">
      <c r="D18052" s="1"/>
      <c r="G18052" s="13"/>
      <c r="AL18052" s="13"/>
    </row>
    <row r="18053" spans="4:38" x14ac:dyDescent="0.3">
      <c r="D18053" s="1"/>
      <c r="G18053" s="13"/>
      <c r="AL18053" s="13"/>
    </row>
    <row r="18054" spans="4:38" x14ac:dyDescent="0.3">
      <c r="D18054" s="1"/>
      <c r="G18054" s="13"/>
      <c r="AL18054" s="13"/>
    </row>
    <row r="18055" spans="4:38" x14ac:dyDescent="0.3">
      <c r="D18055" s="1"/>
      <c r="G18055" s="13"/>
      <c r="AL18055" s="13"/>
    </row>
    <row r="18056" spans="4:38" x14ac:dyDescent="0.3">
      <c r="D18056" s="1"/>
      <c r="G18056" s="13"/>
      <c r="AL18056" s="13"/>
    </row>
    <row r="18057" spans="4:38" x14ac:dyDescent="0.3">
      <c r="D18057" s="1"/>
      <c r="G18057" s="13"/>
      <c r="AL18057" s="13"/>
    </row>
    <row r="18058" spans="4:38" x14ac:dyDescent="0.3">
      <c r="D18058" s="1"/>
      <c r="G18058" s="13"/>
      <c r="AL18058" s="13"/>
    </row>
    <row r="18059" spans="4:38" x14ac:dyDescent="0.3">
      <c r="D18059" s="1"/>
      <c r="G18059" s="13"/>
      <c r="AL18059" s="13"/>
    </row>
    <row r="18060" spans="4:38" x14ac:dyDescent="0.3">
      <c r="D18060" s="1"/>
      <c r="G18060" s="13"/>
      <c r="AL18060" s="13"/>
    </row>
    <row r="18061" spans="4:38" x14ac:dyDescent="0.3">
      <c r="D18061" s="1"/>
      <c r="G18061" s="13"/>
      <c r="AL18061" s="13"/>
    </row>
    <row r="18062" spans="4:38" x14ac:dyDescent="0.3">
      <c r="D18062" s="1"/>
      <c r="G18062" s="13"/>
      <c r="AL18062" s="13"/>
    </row>
    <row r="18063" spans="4:38" x14ac:dyDescent="0.3">
      <c r="D18063" s="1"/>
      <c r="G18063" s="13"/>
      <c r="AL18063" s="13"/>
    </row>
    <row r="18064" spans="4:38" x14ac:dyDescent="0.3">
      <c r="D18064" s="1"/>
      <c r="G18064" s="13"/>
      <c r="AL18064" s="13"/>
    </row>
    <row r="18065" spans="4:38" x14ac:dyDescent="0.3">
      <c r="D18065" s="1"/>
      <c r="G18065" s="13"/>
      <c r="AL18065" s="13"/>
    </row>
    <row r="18066" spans="4:38" x14ac:dyDescent="0.3">
      <c r="D18066" s="1"/>
      <c r="G18066" s="13"/>
      <c r="AL18066" s="13"/>
    </row>
    <row r="18067" spans="4:38" x14ac:dyDescent="0.3">
      <c r="D18067" s="1"/>
      <c r="G18067" s="13"/>
      <c r="AL18067" s="13"/>
    </row>
    <row r="18068" spans="4:38" x14ac:dyDescent="0.3">
      <c r="D18068" s="1"/>
      <c r="G18068" s="13"/>
      <c r="AL18068" s="13"/>
    </row>
    <row r="18069" spans="4:38" x14ac:dyDescent="0.3">
      <c r="D18069" s="1"/>
      <c r="G18069" s="13"/>
      <c r="AL18069" s="13"/>
    </row>
    <row r="18070" spans="4:38" x14ac:dyDescent="0.3">
      <c r="D18070" s="1"/>
      <c r="G18070" s="13"/>
      <c r="AL18070" s="13"/>
    </row>
    <row r="18071" spans="4:38" x14ac:dyDescent="0.3">
      <c r="D18071" s="1"/>
      <c r="G18071" s="13"/>
      <c r="AL18071" s="13"/>
    </row>
    <row r="18072" spans="4:38" x14ac:dyDescent="0.3">
      <c r="D18072" s="1"/>
      <c r="G18072" s="13"/>
      <c r="AL18072" s="13"/>
    </row>
    <row r="18073" spans="4:38" x14ac:dyDescent="0.3">
      <c r="D18073" s="1"/>
      <c r="G18073" s="13"/>
      <c r="AL18073" s="13"/>
    </row>
    <row r="18074" spans="4:38" x14ac:dyDescent="0.3">
      <c r="D18074" s="1"/>
      <c r="G18074" s="13"/>
      <c r="AL18074" s="13"/>
    </row>
    <row r="18075" spans="4:38" x14ac:dyDescent="0.3">
      <c r="D18075" s="1"/>
      <c r="G18075" s="13"/>
      <c r="AL18075" s="13"/>
    </row>
    <row r="18076" spans="4:38" x14ac:dyDescent="0.3">
      <c r="D18076" s="1"/>
      <c r="G18076" s="13"/>
      <c r="AL18076" s="13"/>
    </row>
    <row r="18077" spans="4:38" x14ac:dyDescent="0.3">
      <c r="D18077" s="1"/>
      <c r="G18077" s="13"/>
      <c r="AL18077" s="13"/>
    </row>
    <row r="18078" spans="4:38" x14ac:dyDescent="0.3">
      <c r="D18078" s="1"/>
      <c r="G18078" s="13"/>
      <c r="AL18078" s="13"/>
    </row>
    <row r="18079" spans="4:38" x14ac:dyDescent="0.3">
      <c r="D18079" s="1"/>
      <c r="G18079" s="13"/>
      <c r="AL18079" s="13"/>
    </row>
    <row r="18080" spans="4:38" x14ac:dyDescent="0.3">
      <c r="D18080" s="1"/>
      <c r="G18080" s="13"/>
      <c r="AL18080" s="13"/>
    </row>
    <row r="18081" spans="4:38" x14ac:dyDescent="0.3">
      <c r="D18081" s="1"/>
      <c r="G18081" s="13"/>
      <c r="AL18081" s="13"/>
    </row>
    <row r="18082" spans="4:38" x14ac:dyDescent="0.3">
      <c r="D18082" s="1"/>
      <c r="G18082" s="13"/>
      <c r="AL18082" s="13"/>
    </row>
    <row r="18083" spans="4:38" x14ac:dyDescent="0.3">
      <c r="D18083" s="1"/>
      <c r="G18083" s="13"/>
      <c r="AL18083" s="13"/>
    </row>
    <row r="18084" spans="4:38" x14ac:dyDescent="0.3">
      <c r="D18084" s="1"/>
      <c r="G18084" s="13"/>
      <c r="AL18084" s="13"/>
    </row>
    <row r="18085" spans="4:38" x14ac:dyDescent="0.3">
      <c r="D18085" s="1"/>
      <c r="G18085" s="13"/>
      <c r="AL18085" s="13"/>
    </row>
    <row r="18086" spans="4:38" x14ac:dyDescent="0.3">
      <c r="D18086" s="1"/>
      <c r="G18086" s="13"/>
      <c r="AL18086" s="13"/>
    </row>
    <row r="18087" spans="4:38" x14ac:dyDescent="0.3">
      <c r="D18087" s="1"/>
      <c r="G18087" s="13"/>
      <c r="AL18087" s="13"/>
    </row>
    <row r="18088" spans="4:38" x14ac:dyDescent="0.3">
      <c r="D18088" s="1"/>
      <c r="G18088" s="13"/>
      <c r="AL18088" s="13"/>
    </row>
    <row r="18089" spans="4:38" x14ac:dyDescent="0.3">
      <c r="D18089" s="1"/>
      <c r="G18089" s="13"/>
      <c r="AL18089" s="13"/>
    </row>
    <row r="18090" spans="4:38" x14ac:dyDescent="0.3">
      <c r="D18090" s="1"/>
      <c r="G18090" s="13"/>
      <c r="AL18090" s="13"/>
    </row>
    <row r="18091" spans="4:38" x14ac:dyDescent="0.3">
      <c r="D18091" s="1"/>
      <c r="G18091" s="13"/>
      <c r="AL18091" s="13"/>
    </row>
    <row r="18092" spans="4:38" x14ac:dyDescent="0.3">
      <c r="D18092" s="1"/>
      <c r="G18092" s="13"/>
      <c r="AL18092" s="13"/>
    </row>
    <row r="18093" spans="4:38" x14ac:dyDescent="0.3">
      <c r="D18093" s="1"/>
      <c r="G18093" s="13"/>
      <c r="AL18093" s="13"/>
    </row>
    <row r="18094" spans="4:38" x14ac:dyDescent="0.3">
      <c r="D18094" s="1"/>
      <c r="G18094" s="13"/>
      <c r="AL18094" s="13"/>
    </row>
    <row r="18095" spans="4:38" x14ac:dyDescent="0.3">
      <c r="D18095" s="1"/>
      <c r="G18095" s="13"/>
      <c r="AL18095" s="13"/>
    </row>
    <row r="18096" spans="4:38" x14ac:dyDescent="0.3">
      <c r="D18096" s="1"/>
      <c r="G18096" s="13"/>
      <c r="AL18096" s="13"/>
    </row>
    <row r="18097" spans="4:38" x14ac:dyDescent="0.3">
      <c r="D18097" s="1"/>
      <c r="G18097" s="13"/>
      <c r="AL18097" s="13"/>
    </row>
    <row r="18098" spans="4:38" x14ac:dyDescent="0.3">
      <c r="D18098" s="1"/>
      <c r="G18098" s="13"/>
      <c r="AL18098" s="13"/>
    </row>
    <row r="18099" spans="4:38" x14ac:dyDescent="0.3">
      <c r="D18099" s="1"/>
      <c r="G18099" s="13"/>
      <c r="AL18099" s="13"/>
    </row>
    <row r="18100" spans="4:38" x14ac:dyDescent="0.3">
      <c r="D18100" s="1"/>
      <c r="G18100" s="13"/>
      <c r="AL18100" s="13"/>
    </row>
    <row r="18101" spans="4:38" x14ac:dyDescent="0.3">
      <c r="D18101" s="1"/>
      <c r="G18101" s="13"/>
      <c r="AL18101" s="13"/>
    </row>
    <row r="18102" spans="4:38" x14ac:dyDescent="0.3">
      <c r="D18102" s="1"/>
      <c r="G18102" s="13"/>
      <c r="AL18102" s="13"/>
    </row>
    <row r="18103" spans="4:38" x14ac:dyDescent="0.3">
      <c r="D18103" s="1"/>
      <c r="G18103" s="13"/>
      <c r="AL18103" s="13"/>
    </row>
    <row r="18104" spans="4:38" x14ac:dyDescent="0.3">
      <c r="D18104" s="1"/>
      <c r="G18104" s="13"/>
      <c r="AL18104" s="13"/>
    </row>
    <row r="18105" spans="4:38" x14ac:dyDescent="0.3">
      <c r="D18105" s="1"/>
      <c r="G18105" s="13"/>
      <c r="AL18105" s="13"/>
    </row>
    <row r="18106" spans="4:38" x14ac:dyDescent="0.3">
      <c r="D18106" s="1"/>
      <c r="G18106" s="13"/>
      <c r="AL18106" s="13"/>
    </row>
    <row r="18107" spans="4:38" x14ac:dyDescent="0.3">
      <c r="D18107" s="1"/>
      <c r="G18107" s="13"/>
      <c r="AL18107" s="13"/>
    </row>
    <row r="18108" spans="4:38" x14ac:dyDescent="0.3">
      <c r="D18108" s="1"/>
      <c r="G18108" s="13"/>
      <c r="AL18108" s="13"/>
    </row>
    <row r="18109" spans="4:38" x14ac:dyDescent="0.3">
      <c r="D18109" s="1"/>
      <c r="G18109" s="13"/>
      <c r="AL18109" s="13"/>
    </row>
    <row r="18110" spans="4:38" x14ac:dyDescent="0.3">
      <c r="D18110" s="1"/>
      <c r="G18110" s="13"/>
      <c r="AL18110" s="13"/>
    </row>
    <row r="18111" spans="4:38" x14ac:dyDescent="0.3">
      <c r="D18111" s="1"/>
      <c r="G18111" s="13"/>
      <c r="AL18111" s="13"/>
    </row>
    <row r="18112" spans="4:38" x14ac:dyDescent="0.3">
      <c r="D18112" s="1"/>
      <c r="G18112" s="13"/>
      <c r="AL18112" s="13"/>
    </row>
    <row r="18113" spans="4:38" x14ac:dyDescent="0.3">
      <c r="D18113" s="1"/>
      <c r="G18113" s="13"/>
      <c r="AL18113" s="13"/>
    </row>
    <row r="18114" spans="4:38" x14ac:dyDescent="0.3">
      <c r="D18114" s="1"/>
      <c r="G18114" s="13"/>
      <c r="AL18114" s="13"/>
    </row>
    <row r="18115" spans="4:38" x14ac:dyDescent="0.3">
      <c r="D18115" s="1"/>
      <c r="G18115" s="13"/>
      <c r="AL18115" s="13"/>
    </row>
    <row r="18116" spans="4:38" x14ac:dyDescent="0.3">
      <c r="D18116" s="1"/>
      <c r="G18116" s="13"/>
      <c r="AL18116" s="13"/>
    </row>
    <row r="18117" spans="4:38" x14ac:dyDescent="0.3">
      <c r="D18117" s="1"/>
      <c r="G18117" s="13"/>
      <c r="AL18117" s="13"/>
    </row>
    <row r="18118" spans="4:38" x14ac:dyDescent="0.3">
      <c r="D18118" s="1"/>
      <c r="G18118" s="13"/>
      <c r="AL18118" s="13"/>
    </row>
    <row r="18119" spans="4:38" x14ac:dyDescent="0.3">
      <c r="D18119" s="1"/>
      <c r="G18119" s="13"/>
      <c r="AL18119" s="13"/>
    </row>
    <row r="18120" spans="4:38" x14ac:dyDescent="0.3">
      <c r="D18120" s="1"/>
      <c r="G18120" s="13"/>
      <c r="AL18120" s="13"/>
    </row>
    <row r="18121" spans="4:38" x14ac:dyDescent="0.3">
      <c r="D18121" s="1"/>
      <c r="G18121" s="13"/>
      <c r="AL18121" s="13"/>
    </row>
    <row r="18122" spans="4:38" x14ac:dyDescent="0.3">
      <c r="D18122" s="1"/>
      <c r="G18122" s="13"/>
      <c r="AL18122" s="13"/>
    </row>
    <row r="18123" spans="4:38" x14ac:dyDescent="0.3">
      <c r="D18123" s="1"/>
      <c r="G18123" s="13"/>
      <c r="AL18123" s="13"/>
    </row>
    <row r="18124" spans="4:38" x14ac:dyDescent="0.3">
      <c r="D18124" s="1"/>
      <c r="G18124" s="13"/>
      <c r="AL18124" s="13"/>
    </row>
    <row r="18125" spans="4:38" x14ac:dyDescent="0.3">
      <c r="D18125" s="1"/>
      <c r="G18125" s="13"/>
      <c r="AL18125" s="13"/>
    </row>
    <row r="18126" spans="4:38" x14ac:dyDescent="0.3">
      <c r="D18126" s="1"/>
      <c r="G18126" s="13"/>
      <c r="AL18126" s="13"/>
    </row>
    <row r="18127" spans="4:38" x14ac:dyDescent="0.3">
      <c r="D18127" s="1"/>
      <c r="G18127" s="13"/>
      <c r="AL18127" s="13"/>
    </row>
    <row r="18128" spans="4:38" x14ac:dyDescent="0.3">
      <c r="D18128" s="1"/>
      <c r="G18128" s="13"/>
      <c r="AL18128" s="13"/>
    </row>
    <row r="18129" spans="4:38" x14ac:dyDescent="0.3">
      <c r="D18129" s="1"/>
      <c r="G18129" s="13"/>
      <c r="AL18129" s="13"/>
    </row>
    <row r="18130" spans="4:38" x14ac:dyDescent="0.3">
      <c r="D18130" s="1"/>
      <c r="G18130" s="13"/>
      <c r="AL18130" s="13"/>
    </row>
    <row r="18131" spans="4:38" x14ac:dyDescent="0.3">
      <c r="D18131" s="1"/>
      <c r="G18131" s="13"/>
      <c r="AL18131" s="13"/>
    </row>
    <row r="18132" spans="4:38" x14ac:dyDescent="0.3">
      <c r="D18132" s="1"/>
      <c r="G18132" s="13"/>
      <c r="AL18132" s="13"/>
    </row>
    <row r="18133" spans="4:38" x14ac:dyDescent="0.3">
      <c r="D18133" s="1"/>
      <c r="G18133" s="13"/>
      <c r="AL18133" s="13"/>
    </row>
    <row r="18134" spans="4:38" x14ac:dyDescent="0.3">
      <c r="D18134" s="1"/>
      <c r="G18134" s="13"/>
      <c r="AL18134" s="13"/>
    </row>
    <row r="18135" spans="4:38" x14ac:dyDescent="0.3">
      <c r="D18135" s="1"/>
      <c r="G18135" s="13"/>
      <c r="AL18135" s="13"/>
    </row>
    <row r="18136" spans="4:38" x14ac:dyDescent="0.3">
      <c r="D18136" s="1"/>
      <c r="G18136" s="13"/>
      <c r="AL18136" s="13"/>
    </row>
    <row r="18137" spans="4:38" x14ac:dyDescent="0.3">
      <c r="D18137" s="1"/>
      <c r="G18137" s="13"/>
      <c r="AL18137" s="13"/>
    </row>
    <row r="18138" spans="4:38" x14ac:dyDescent="0.3">
      <c r="D18138" s="1"/>
      <c r="G18138" s="13"/>
      <c r="AL18138" s="13"/>
    </row>
    <row r="18139" spans="4:38" x14ac:dyDescent="0.3">
      <c r="D18139" s="1"/>
      <c r="G18139" s="13"/>
      <c r="AL18139" s="13"/>
    </row>
    <row r="18140" spans="4:38" x14ac:dyDescent="0.3">
      <c r="D18140" s="1"/>
      <c r="G18140" s="13"/>
      <c r="AL18140" s="13"/>
    </row>
    <row r="18141" spans="4:38" x14ac:dyDescent="0.3">
      <c r="D18141" s="1"/>
      <c r="G18141" s="13"/>
      <c r="AL18141" s="13"/>
    </row>
    <row r="18142" spans="4:38" x14ac:dyDescent="0.3">
      <c r="D18142" s="1"/>
      <c r="G18142" s="13"/>
      <c r="AL18142" s="13"/>
    </row>
    <row r="18143" spans="4:38" x14ac:dyDescent="0.3">
      <c r="D18143" s="1"/>
      <c r="G18143" s="13"/>
      <c r="AL18143" s="13"/>
    </row>
    <row r="18144" spans="4:38" x14ac:dyDescent="0.3">
      <c r="D18144" s="1"/>
      <c r="G18144" s="13"/>
      <c r="AL18144" s="13"/>
    </row>
    <row r="18145" spans="4:38" x14ac:dyDescent="0.3">
      <c r="D18145" s="1"/>
      <c r="G18145" s="13"/>
      <c r="AL18145" s="13"/>
    </row>
    <row r="18146" spans="4:38" x14ac:dyDescent="0.3">
      <c r="D18146" s="1"/>
      <c r="G18146" s="13"/>
      <c r="AL18146" s="13"/>
    </row>
    <row r="18147" spans="4:38" x14ac:dyDescent="0.3">
      <c r="D18147" s="1"/>
      <c r="G18147" s="13"/>
      <c r="AL18147" s="13"/>
    </row>
    <row r="18148" spans="4:38" x14ac:dyDescent="0.3">
      <c r="D18148" s="1"/>
      <c r="G18148" s="13"/>
      <c r="AL18148" s="13"/>
    </row>
    <row r="18149" spans="4:38" x14ac:dyDescent="0.3">
      <c r="D18149" s="1"/>
      <c r="G18149" s="13"/>
      <c r="AL18149" s="13"/>
    </row>
    <row r="18150" spans="4:38" x14ac:dyDescent="0.3">
      <c r="D18150" s="1"/>
      <c r="G18150" s="13"/>
      <c r="AL18150" s="13"/>
    </row>
    <row r="18151" spans="4:38" x14ac:dyDescent="0.3">
      <c r="D18151" s="1"/>
      <c r="G18151" s="13"/>
      <c r="AL18151" s="13"/>
    </row>
    <row r="18152" spans="4:38" x14ac:dyDescent="0.3">
      <c r="D18152" s="1"/>
      <c r="G18152" s="13"/>
      <c r="AL18152" s="13"/>
    </row>
    <row r="18153" spans="4:38" x14ac:dyDescent="0.3">
      <c r="D18153" s="1"/>
      <c r="G18153" s="13"/>
      <c r="AL18153" s="13"/>
    </row>
    <row r="18154" spans="4:38" x14ac:dyDescent="0.3">
      <c r="D18154" s="1"/>
      <c r="G18154" s="13"/>
      <c r="AL18154" s="13"/>
    </row>
    <row r="18155" spans="4:38" x14ac:dyDescent="0.3">
      <c r="D18155" s="1"/>
      <c r="G18155" s="13"/>
      <c r="AL18155" s="13"/>
    </row>
    <row r="18156" spans="4:38" x14ac:dyDescent="0.3">
      <c r="D18156" s="1"/>
      <c r="G18156" s="13"/>
      <c r="AL18156" s="13"/>
    </row>
    <row r="18157" spans="4:38" x14ac:dyDescent="0.3">
      <c r="D18157" s="1"/>
      <c r="G18157" s="13"/>
      <c r="AL18157" s="13"/>
    </row>
    <row r="18158" spans="4:38" x14ac:dyDescent="0.3">
      <c r="D18158" s="1"/>
      <c r="G18158" s="13"/>
      <c r="AL18158" s="13"/>
    </row>
    <row r="18159" spans="4:38" x14ac:dyDescent="0.3">
      <c r="D18159" s="1"/>
      <c r="G18159" s="13"/>
      <c r="AL18159" s="13"/>
    </row>
    <row r="18160" spans="4:38" x14ac:dyDescent="0.3">
      <c r="D18160" s="1"/>
      <c r="G18160" s="13"/>
      <c r="AL18160" s="13"/>
    </row>
    <row r="18161" spans="4:38" x14ac:dyDescent="0.3">
      <c r="D18161" s="1"/>
      <c r="G18161" s="13"/>
      <c r="AL18161" s="13"/>
    </row>
    <row r="18162" spans="4:38" x14ac:dyDescent="0.3">
      <c r="D18162" s="1"/>
      <c r="G18162" s="13"/>
      <c r="AL18162" s="13"/>
    </row>
    <row r="18163" spans="4:38" x14ac:dyDescent="0.3">
      <c r="D18163" s="1"/>
      <c r="G18163" s="13"/>
      <c r="AL18163" s="13"/>
    </row>
    <row r="18164" spans="4:38" x14ac:dyDescent="0.3">
      <c r="D18164" s="1"/>
      <c r="G18164" s="13"/>
      <c r="AL18164" s="13"/>
    </row>
    <row r="18165" spans="4:38" x14ac:dyDescent="0.3">
      <c r="D18165" s="1"/>
      <c r="G18165" s="13"/>
      <c r="AL18165" s="13"/>
    </row>
    <row r="18166" spans="4:38" x14ac:dyDescent="0.3">
      <c r="D18166" s="1"/>
      <c r="G18166" s="13"/>
      <c r="AL18166" s="13"/>
    </row>
    <row r="18167" spans="4:38" x14ac:dyDescent="0.3">
      <c r="D18167" s="1"/>
      <c r="G18167" s="13"/>
      <c r="AL18167" s="13"/>
    </row>
    <row r="18168" spans="4:38" x14ac:dyDescent="0.3">
      <c r="D18168" s="1"/>
      <c r="G18168" s="13"/>
      <c r="AL18168" s="13"/>
    </row>
    <row r="18169" spans="4:38" x14ac:dyDescent="0.3">
      <c r="D18169" s="1"/>
      <c r="G18169" s="13"/>
      <c r="AL18169" s="13"/>
    </row>
    <row r="18170" spans="4:38" x14ac:dyDescent="0.3">
      <c r="D18170" s="1"/>
      <c r="G18170" s="13"/>
      <c r="AL18170" s="13"/>
    </row>
    <row r="18171" spans="4:38" x14ac:dyDescent="0.3">
      <c r="D18171" s="1"/>
      <c r="G18171" s="13"/>
      <c r="AL18171" s="13"/>
    </row>
    <row r="18172" spans="4:38" x14ac:dyDescent="0.3">
      <c r="D18172" s="1"/>
      <c r="G18172" s="13"/>
      <c r="AL18172" s="13"/>
    </row>
    <row r="18173" spans="4:38" x14ac:dyDescent="0.3">
      <c r="D18173" s="1"/>
      <c r="G18173" s="13"/>
      <c r="AL18173" s="13"/>
    </row>
    <row r="18174" spans="4:38" x14ac:dyDescent="0.3">
      <c r="D18174" s="1"/>
      <c r="G18174" s="13"/>
      <c r="AL18174" s="13"/>
    </row>
    <row r="18175" spans="4:38" x14ac:dyDescent="0.3">
      <c r="D18175" s="1"/>
      <c r="G18175" s="13"/>
      <c r="AL18175" s="13"/>
    </row>
    <row r="18176" spans="4:38" x14ac:dyDescent="0.3">
      <c r="D18176" s="1"/>
      <c r="G18176" s="13"/>
      <c r="AL18176" s="13"/>
    </row>
    <row r="18177" spans="4:38" x14ac:dyDescent="0.3">
      <c r="D18177" s="1"/>
      <c r="G18177" s="13"/>
      <c r="AL18177" s="13"/>
    </row>
    <row r="18178" spans="4:38" x14ac:dyDescent="0.3">
      <c r="D18178" s="1"/>
      <c r="G18178" s="13"/>
      <c r="AL18178" s="13"/>
    </row>
    <row r="18179" spans="4:38" x14ac:dyDescent="0.3">
      <c r="D18179" s="1"/>
      <c r="G18179" s="13"/>
      <c r="AL18179" s="13"/>
    </row>
    <row r="18180" spans="4:38" x14ac:dyDescent="0.3">
      <c r="D18180" s="1"/>
      <c r="G18180" s="13"/>
      <c r="AL18180" s="13"/>
    </row>
    <row r="18181" spans="4:38" x14ac:dyDescent="0.3">
      <c r="D18181" s="1"/>
      <c r="G18181" s="13"/>
      <c r="AL18181" s="13"/>
    </row>
    <row r="18182" spans="4:38" x14ac:dyDescent="0.3">
      <c r="D18182" s="1"/>
      <c r="G18182" s="13"/>
      <c r="AL18182" s="13"/>
    </row>
    <row r="18183" spans="4:38" x14ac:dyDescent="0.3">
      <c r="D18183" s="1"/>
      <c r="G18183" s="13"/>
      <c r="AL18183" s="13"/>
    </row>
    <row r="18184" spans="4:38" x14ac:dyDescent="0.3">
      <c r="D18184" s="1"/>
      <c r="G18184" s="13"/>
      <c r="AL18184" s="13"/>
    </row>
    <row r="18185" spans="4:38" x14ac:dyDescent="0.3">
      <c r="D18185" s="1"/>
      <c r="G18185" s="13"/>
      <c r="AL18185" s="13"/>
    </row>
    <row r="18186" spans="4:38" x14ac:dyDescent="0.3">
      <c r="D18186" s="1"/>
      <c r="G18186" s="13"/>
      <c r="AL18186" s="13"/>
    </row>
    <row r="18187" spans="4:38" x14ac:dyDescent="0.3">
      <c r="D18187" s="1"/>
      <c r="G18187" s="13"/>
      <c r="AL18187" s="13"/>
    </row>
    <row r="18188" spans="4:38" x14ac:dyDescent="0.3">
      <c r="D18188" s="1"/>
      <c r="G18188" s="13"/>
      <c r="AL18188" s="13"/>
    </row>
    <row r="18189" spans="4:38" x14ac:dyDescent="0.3">
      <c r="D18189" s="1"/>
      <c r="G18189" s="13"/>
      <c r="AL18189" s="13"/>
    </row>
    <row r="18190" spans="4:38" x14ac:dyDescent="0.3">
      <c r="D18190" s="1"/>
      <c r="G18190" s="13"/>
      <c r="AL18190" s="13"/>
    </row>
    <row r="18191" spans="4:38" x14ac:dyDescent="0.3">
      <c r="D18191" s="1"/>
      <c r="G18191" s="13"/>
      <c r="AL18191" s="13"/>
    </row>
    <row r="18192" spans="4:38" x14ac:dyDescent="0.3">
      <c r="D18192" s="1"/>
      <c r="G18192" s="13"/>
      <c r="AL18192" s="13"/>
    </row>
    <row r="18193" spans="4:38" x14ac:dyDescent="0.3">
      <c r="D18193" s="1"/>
      <c r="G18193" s="13"/>
      <c r="AL18193" s="13"/>
    </row>
    <row r="18194" spans="4:38" x14ac:dyDescent="0.3">
      <c r="D18194" s="1"/>
      <c r="G18194" s="13"/>
      <c r="AL18194" s="13"/>
    </row>
    <row r="18195" spans="4:38" x14ac:dyDescent="0.3">
      <c r="D18195" s="1"/>
      <c r="G18195" s="13"/>
      <c r="AL18195" s="13"/>
    </row>
    <row r="18196" spans="4:38" x14ac:dyDescent="0.3">
      <c r="D18196" s="1"/>
      <c r="G18196" s="13"/>
      <c r="AL18196" s="13"/>
    </row>
    <row r="18197" spans="4:38" x14ac:dyDescent="0.3">
      <c r="D18197" s="1"/>
      <c r="G18197" s="13"/>
      <c r="AL18197" s="13"/>
    </row>
    <row r="18198" spans="4:38" x14ac:dyDescent="0.3">
      <c r="D18198" s="1"/>
      <c r="G18198" s="13"/>
      <c r="AL18198" s="13"/>
    </row>
    <row r="18199" spans="4:38" x14ac:dyDescent="0.3">
      <c r="D18199" s="1"/>
      <c r="G18199" s="13"/>
      <c r="AL18199" s="13"/>
    </row>
    <row r="18200" spans="4:38" x14ac:dyDescent="0.3">
      <c r="D18200" s="1"/>
      <c r="G18200" s="13"/>
      <c r="AL18200" s="13"/>
    </row>
    <row r="18201" spans="4:38" x14ac:dyDescent="0.3">
      <c r="D18201" s="1"/>
      <c r="G18201" s="13"/>
      <c r="AL18201" s="13"/>
    </row>
    <row r="18202" spans="4:38" x14ac:dyDescent="0.3">
      <c r="D18202" s="1"/>
      <c r="G18202" s="13"/>
      <c r="AL18202" s="13"/>
    </row>
    <row r="18203" spans="4:38" x14ac:dyDescent="0.3">
      <c r="D18203" s="1"/>
      <c r="G18203" s="13"/>
      <c r="AL18203" s="13"/>
    </row>
    <row r="18204" spans="4:38" x14ac:dyDescent="0.3">
      <c r="D18204" s="1"/>
      <c r="G18204" s="13"/>
      <c r="AL18204" s="13"/>
    </row>
    <row r="18205" spans="4:38" x14ac:dyDescent="0.3">
      <c r="D18205" s="1"/>
      <c r="G18205" s="13"/>
      <c r="AL18205" s="13"/>
    </row>
    <row r="18206" spans="4:38" x14ac:dyDescent="0.3">
      <c r="D18206" s="1"/>
      <c r="G18206" s="13"/>
      <c r="AL18206" s="13"/>
    </row>
    <row r="18207" spans="4:38" x14ac:dyDescent="0.3">
      <c r="D18207" s="1"/>
      <c r="G18207" s="13"/>
      <c r="AL18207" s="13"/>
    </row>
    <row r="18208" spans="4:38" x14ac:dyDescent="0.3">
      <c r="D18208" s="1"/>
      <c r="G18208" s="13"/>
      <c r="AL18208" s="13"/>
    </row>
    <row r="18209" spans="4:38" x14ac:dyDescent="0.3">
      <c r="D18209" s="1"/>
      <c r="G18209" s="13"/>
      <c r="AL18209" s="13"/>
    </row>
    <row r="18210" spans="4:38" x14ac:dyDescent="0.3">
      <c r="D18210" s="1"/>
      <c r="G18210" s="13"/>
      <c r="AL18210" s="13"/>
    </row>
    <row r="18211" spans="4:38" x14ac:dyDescent="0.3">
      <c r="D18211" s="1"/>
      <c r="G18211" s="13"/>
      <c r="AL18211" s="13"/>
    </row>
    <row r="18212" spans="4:38" x14ac:dyDescent="0.3">
      <c r="D18212" s="1"/>
      <c r="G18212" s="13"/>
      <c r="AL18212" s="13"/>
    </row>
    <row r="18213" spans="4:38" x14ac:dyDescent="0.3">
      <c r="D18213" s="1"/>
      <c r="G18213" s="13"/>
      <c r="AL18213" s="13"/>
    </row>
    <row r="18214" spans="4:38" x14ac:dyDescent="0.3">
      <c r="D18214" s="1"/>
      <c r="G18214" s="13"/>
      <c r="AL18214" s="13"/>
    </row>
    <row r="18215" spans="4:38" x14ac:dyDescent="0.3">
      <c r="D18215" s="1"/>
      <c r="G18215" s="13"/>
      <c r="AL18215" s="13"/>
    </row>
    <row r="18216" spans="4:38" x14ac:dyDescent="0.3">
      <c r="D18216" s="1"/>
      <c r="G18216" s="13"/>
      <c r="AL18216" s="13"/>
    </row>
    <row r="18217" spans="4:38" x14ac:dyDescent="0.3">
      <c r="D18217" s="1"/>
      <c r="G18217" s="13"/>
      <c r="AL18217" s="13"/>
    </row>
    <row r="18218" spans="4:38" x14ac:dyDescent="0.3">
      <c r="D18218" s="1"/>
      <c r="G18218" s="13"/>
      <c r="AL18218" s="13"/>
    </row>
    <row r="18219" spans="4:38" x14ac:dyDescent="0.3">
      <c r="D18219" s="1"/>
      <c r="G18219" s="13"/>
      <c r="AL18219" s="13"/>
    </row>
    <row r="18220" spans="4:38" x14ac:dyDescent="0.3">
      <c r="D18220" s="1"/>
      <c r="G18220" s="13"/>
      <c r="AL18220" s="13"/>
    </row>
    <row r="18221" spans="4:38" x14ac:dyDescent="0.3">
      <c r="D18221" s="1"/>
      <c r="G18221" s="13"/>
      <c r="AL18221" s="13"/>
    </row>
    <row r="18222" spans="4:38" x14ac:dyDescent="0.3">
      <c r="D18222" s="1"/>
      <c r="G18222" s="13"/>
      <c r="AL18222" s="13"/>
    </row>
    <row r="18223" spans="4:38" x14ac:dyDescent="0.3">
      <c r="D18223" s="1"/>
      <c r="G18223" s="13"/>
      <c r="AL18223" s="13"/>
    </row>
    <row r="18224" spans="4:38" x14ac:dyDescent="0.3">
      <c r="D18224" s="1"/>
      <c r="G18224" s="13"/>
      <c r="AL18224" s="13"/>
    </row>
    <row r="18225" spans="4:38" x14ac:dyDescent="0.3">
      <c r="D18225" s="1"/>
      <c r="G18225" s="13"/>
      <c r="AL18225" s="13"/>
    </row>
    <row r="18226" spans="4:38" x14ac:dyDescent="0.3">
      <c r="D18226" s="1"/>
      <c r="G18226" s="13"/>
      <c r="AL18226" s="13"/>
    </row>
    <row r="18227" spans="4:38" x14ac:dyDescent="0.3">
      <c r="D18227" s="1"/>
      <c r="G18227" s="13"/>
      <c r="AL18227" s="13"/>
    </row>
    <row r="18228" spans="4:38" x14ac:dyDescent="0.3">
      <c r="D18228" s="1"/>
      <c r="G18228" s="13"/>
      <c r="AL18228" s="13"/>
    </row>
    <row r="18229" spans="4:38" x14ac:dyDescent="0.3">
      <c r="D18229" s="1"/>
      <c r="G18229" s="13"/>
      <c r="AL18229" s="13"/>
    </row>
    <row r="18230" spans="4:38" x14ac:dyDescent="0.3">
      <c r="D18230" s="1"/>
      <c r="G18230" s="13"/>
      <c r="AL18230" s="13"/>
    </row>
    <row r="18231" spans="4:38" x14ac:dyDescent="0.3">
      <c r="D18231" s="1"/>
      <c r="G18231" s="13"/>
      <c r="AL18231" s="13"/>
    </row>
    <row r="18232" spans="4:38" x14ac:dyDescent="0.3">
      <c r="D18232" s="1"/>
      <c r="G18232" s="13"/>
      <c r="AL18232" s="13"/>
    </row>
    <row r="18233" spans="4:38" x14ac:dyDescent="0.3">
      <c r="D18233" s="1"/>
      <c r="G18233" s="13"/>
      <c r="AL18233" s="13"/>
    </row>
    <row r="18234" spans="4:38" x14ac:dyDescent="0.3">
      <c r="D18234" s="1"/>
      <c r="G18234" s="13"/>
      <c r="AL18234" s="13"/>
    </row>
    <row r="18235" spans="4:38" x14ac:dyDescent="0.3">
      <c r="D18235" s="1"/>
      <c r="G18235" s="13"/>
      <c r="AL18235" s="13"/>
    </row>
    <row r="18236" spans="4:38" x14ac:dyDescent="0.3">
      <c r="D18236" s="1"/>
      <c r="G18236" s="13"/>
      <c r="AL18236" s="13"/>
    </row>
    <row r="18237" spans="4:38" x14ac:dyDescent="0.3">
      <c r="D18237" s="1"/>
      <c r="G18237" s="13"/>
      <c r="AL18237" s="13"/>
    </row>
    <row r="18238" spans="4:38" x14ac:dyDescent="0.3">
      <c r="D18238" s="1"/>
      <c r="G18238" s="13"/>
      <c r="AL18238" s="13"/>
    </row>
    <row r="18239" spans="4:38" x14ac:dyDescent="0.3">
      <c r="D18239" s="1"/>
      <c r="G18239" s="13"/>
      <c r="AL18239" s="13"/>
    </row>
    <row r="18240" spans="4:38" x14ac:dyDescent="0.3">
      <c r="D18240" s="1"/>
      <c r="G18240" s="13"/>
      <c r="AL18240" s="13"/>
    </row>
    <row r="18241" spans="4:38" x14ac:dyDescent="0.3">
      <c r="D18241" s="1"/>
      <c r="G18241" s="13"/>
      <c r="AL18241" s="13"/>
    </row>
    <row r="18242" spans="4:38" x14ac:dyDescent="0.3">
      <c r="D18242" s="1"/>
      <c r="G18242" s="13"/>
      <c r="AL18242" s="13"/>
    </row>
    <row r="18243" spans="4:38" x14ac:dyDescent="0.3">
      <c r="D18243" s="1"/>
      <c r="G18243" s="13"/>
      <c r="AL18243" s="13"/>
    </row>
    <row r="18244" spans="4:38" x14ac:dyDescent="0.3">
      <c r="D18244" s="1"/>
      <c r="G18244" s="13"/>
      <c r="AL18244" s="13"/>
    </row>
    <row r="18245" spans="4:38" x14ac:dyDescent="0.3">
      <c r="D18245" s="1"/>
      <c r="G18245" s="13"/>
      <c r="AL18245" s="13"/>
    </row>
    <row r="18246" spans="4:38" x14ac:dyDescent="0.3">
      <c r="D18246" s="1"/>
      <c r="G18246" s="13"/>
      <c r="AL18246" s="13"/>
    </row>
    <row r="18247" spans="4:38" x14ac:dyDescent="0.3">
      <c r="D18247" s="1"/>
      <c r="G18247" s="13"/>
      <c r="AL18247" s="13"/>
    </row>
    <row r="18248" spans="4:38" x14ac:dyDescent="0.3">
      <c r="D18248" s="1"/>
      <c r="G18248" s="13"/>
      <c r="AL18248" s="13"/>
    </row>
    <row r="18249" spans="4:38" x14ac:dyDescent="0.3">
      <c r="D18249" s="1"/>
      <c r="G18249" s="13"/>
      <c r="AL18249" s="13"/>
    </row>
    <row r="18250" spans="4:38" x14ac:dyDescent="0.3">
      <c r="D18250" s="1"/>
      <c r="G18250" s="13"/>
      <c r="AL18250" s="13"/>
    </row>
    <row r="18251" spans="4:38" x14ac:dyDescent="0.3">
      <c r="D18251" s="1"/>
      <c r="G18251" s="13"/>
      <c r="AL18251" s="13"/>
    </row>
    <row r="18252" spans="4:38" x14ac:dyDescent="0.3">
      <c r="D18252" s="1"/>
      <c r="G18252" s="13"/>
      <c r="AL18252" s="13"/>
    </row>
    <row r="18253" spans="4:38" x14ac:dyDescent="0.3">
      <c r="D18253" s="1"/>
      <c r="G18253" s="13"/>
      <c r="AL18253" s="13"/>
    </row>
    <row r="18254" spans="4:38" x14ac:dyDescent="0.3">
      <c r="D18254" s="1"/>
      <c r="G18254" s="13"/>
      <c r="AL18254" s="13"/>
    </row>
    <row r="18255" spans="4:38" x14ac:dyDescent="0.3">
      <c r="D18255" s="1"/>
      <c r="G18255" s="13"/>
      <c r="AL18255" s="13"/>
    </row>
    <row r="18256" spans="4:38" x14ac:dyDescent="0.3">
      <c r="D18256" s="1"/>
      <c r="G18256" s="13"/>
      <c r="AL18256" s="13"/>
    </row>
    <row r="18257" spans="4:38" x14ac:dyDescent="0.3">
      <c r="D18257" s="1"/>
      <c r="G18257" s="13"/>
      <c r="AL18257" s="13"/>
    </row>
    <row r="18258" spans="4:38" x14ac:dyDescent="0.3">
      <c r="D18258" s="1"/>
      <c r="G18258" s="13"/>
      <c r="AL18258" s="13"/>
    </row>
    <row r="18259" spans="4:38" x14ac:dyDescent="0.3">
      <c r="D18259" s="1"/>
      <c r="G18259" s="13"/>
      <c r="AL18259" s="13"/>
    </row>
    <row r="18260" spans="4:38" x14ac:dyDescent="0.3">
      <c r="D18260" s="1"/>
      <c r="G18260" s="13"/>
      <c r="AL18260" s="13"/>
    </row>
    <row r="18261" spans="4:38" x14ac:dyDescent="0.3">
      <c r="D18261" s="1"/>
      <c r="G18261" s="13"/>
      <c r="AL18261" s="13"/>
    </row>
    <row r="18262" spans="4:38" x14ac:dyDescent="0.3">
      <c r="D18262" s="1"/>
      <c r="G18262" s="13"/>
      <c r="AL18262" s="13"/>
    </row>
    <row r="18263" spans="4:38" x14ac:dyDescent="0.3">
      <c r="D18263" s="1"/>
      <c r="G18263" s="13"/>
      <c r="AL18263" s="13"/>
    </row>
    <row r="18264" spans="4:38" x14ac:dyDescent="0.3">
      <c r="D18264" s="1"/>
      <c r="G18264" s="13"/>
      <c r="AL18264" s="13"/>
    </row>
    <row r="18265" spans="4:38" x14ac:dyDescent="0.3">
      <c r="D18265" s="1"/>
      <c r="G18265" s="13"/>
      <c r="AL18265" s="13"/>
    </row>
    <row r="18266" spans="4:38" x14ac:dyDescent="0.3">
      <c r="D18266" s="1"/>
      <c r="G18266" s="13"/>
      <c r="AL18266" s="13"/>
    </row>
    <row r="18267" spans="4:38" x14ac:dyDescent="0.3">
      <c r="D18267" s="1"/>
      <c r="G18267" s="13"/>
      <c r="AL18267" s="13"/>
    </row>
    <row r="18268" spans="4:38" x14ac:dyDescent="0.3">
      <c r="D18268" s="1"/>
      <c r="G18268" s="13"/>
      <c r="AL18268" s="13"/>
    </row>
    <row r="18269" spans="4:38" x14ac:dyDescent="0.3">
      <c r="D18269" s="1"/>
      <c r="G18269" s="13"/>
      <c r="AL18269" s="13"/>
    </row>
    <row r="18270" spans="4:38" x14ac:dyDescent="0.3">
      <c r="D18270" s="1"/>
      <c r="G18270" s="13"/>
      <c r="AL18270" s="13"/>
    </row>
    <row r="18271" spans="4:38" x14ac:dyDescent="0.3">
      <c r="D18271" s="1"/>
      <c r="G18271" s="13"/>
      <c r="AL18271" s="13"/>
    </row>
    <row r="18272" spans="4:38" x14ac:dyDescent="0.3">
      <c r="D18272" s="1"/>
      <c r="G18272" s="13"/>
      <c r="AL18272" s="13"/>
    </row>
    <row r="18273" spans="4:38" x14ac:dyDescent="0.3">
      <c r="D18273" s="1"/>
      <c r="G18273" s="13"/>
      <c r="AL18273" s="13"/>
    </row>
    <row r="18274" spans="4:38" x14ac:dyDescent="0.3">
      <c r="D18274" s="1"/>
      <c r="G18274" s="13"/>
      <c r="AL18274" s="13"/>
    </row>
    <row r="18275" spans="4:38" x14ac:dyDescent="0.3">
      <c r="D18275" s="1"/>
      <c r="G18275" s="13"/>
      <c r="AL18275" s="13"/>
    </row>
    <row r="18276" spans="4:38" x14ac:dyDescent="0.3">
      <c r="D18276" s="1"/>
      <c r="G18276" s="13"/>
      <c r="AL18276" s="13"/>
    </row>
    <row r="18277" spans="4:38" x14ac:dyDescent="0.3">
      <c r="D18277" s="1"/>
      <c r="G18277" s="13"/>
      <c r="AL18277" s="13"/>
    </row>
    <row r="18278" spans="4:38" x14ac:dyDescent="0.3">
      <c r="D18278" s="1"/>
      <c r="G18278" s="13"/>
      <c r="AL18278" s="13"/>
    </row>
    <row r="18279" spans="4:38" x14ac:dyDescent="0.3">
      <c r="D18279" s="1"/>
      <c r="G18279" s="13"/>
      <c r="AL18279" s="13"/>
    </row>
    <row r="18280" spans="4:38" x14ac:dyDescent="0.3">
      <c r="D18280" s="1"/>
      <c r="G18280" s="13"/>
      <c r="AL18280" s="13"/>
    </row>
    <row r="18281" spans="4:38" x14ac:dyDescent="0.3">
      <c r="D18281" s="1"/>
      <c r="G18281" s="13"/>
      <c r="AL18281" s="13"/>
    </row>
    <row r="18282" spans="4:38" x14ac:dyDescent="0.3">
      <c r="D18282" s="1"/>
      <c r="G18282" s="13"/>
      <c r="AL18282" s="13"/>
    </row>
    <row r="18283" spans="4:38" x14ac:dyDescent="0.3">
      <c r="D18283" s="1"/>
      <c r="G18283" s="13"/>
      <c r="AL18283" s="13"/>
    </row>
    <row r="18284" spans="4:38" x14ac:dyDescent="0.3">
      <c r="D18284" s="1"/>
      <c r="G18284" s="13"/>
      <c r="AL18284" s="13"/>
    </row>
    <row r="18285" spans="4:38" x14ac:dyDescent="0.3">
      <c r="D18285" s="1"/>
      <c r="G18285" s="13"/>
      <c r="AL18285" s="13"/>
    </row>
    <row r="18286" spans="4:38" x14ac:dyDescent="0.3">
      <c r="D18286" s="1"/>
      <c r="G18286" s="13"/>
      <c r="AL18286" s="13"/>
    </row>
    <row r="18287" spans="4:38" x14ac:dyDescent="0.3">
      <c r="D18287" s="1"/>
      <c r="G18287" s="13"/>
      <c r="AL18287" s="13"/>
    </row>
    <row r="18288" spans="4:38" x14ac:dyDescent="0.3">
      <c r="D18288" s="1"/>
      <c r="G18288" s="13"/>
      <c r="AL18288" s="13"/>
    </row>
    <row r="18289" spans="4:38" x14ac:dyDescent="0.3">
      <c r="D18289" s="1"/>
      <c r="G18289" s="13"/>
      <c r="AL18289" s="13"/>
    </row>
    <row r="18290" spans="4:38" x14ac:dyDescent="0.3">
      <c r="D18290" s="1"/>
      <c r="G18290" s="13"/>
      <c r="AL18290" s="13"/>
    </row>
    <row r="18291" spans="4:38" x14ac:dyDescent="0.3">
      <c r="D18291" s="1"/>
      <c r="G18291" s="13"/>
      <c r="AL18291" s="13"/>
    </row>
    <row r="18292" spans="4:38" x14ac:dyDescent="0.3">
      <c r="D18292" s="1"/>
      <c r="G18292" s="13"/>
      <c r="AL18292" s="13"/>
    </row>
    <row r="18293" spans="4:38" x14ac:dyDescent="0.3">
      <c r="D18293" s="1"/>
      <c r="G18293" s="13"/>
      <c r="AL18293" s="13"/>
    </row>
    <row r="18294" spans="4:38" x14ac:dyDescent="0.3">
      <c r="D18294" s="1"/>
      <c r="G18294" s="13"/>
      <c r="AL18294" s="13"/>
    </row>
    <row r="18295" spans="4:38" x14ac:dyDescent="0.3">
      <c r="D18295" s="1"/>
      <c r="G18295" s="13"/>
      <c r="AL18295" s="13"/>
    </row>
    <row r="18296" spans="4:38" x14ac:dyDescent="0.3">
      <c r="D18296" s="1"/>
      <c r="G18296" s="13"/>
      <c r="AL18296" s="13"/>
    </row>
    <row r="18297" spans="4:38" x14ac:dyDescent="0.3">
      <c r="D18297" s="1"/>
      <c r="G18297" s="13"/>
      <c r="AL18297" s="13"/>
    </row>
    <row r="18298" spans="4:38" x14ac:dyDescent="0.3">
      <c r="D18298" s="1"/>
      <c r="G18298" s="13"/>
      <c r="AL18298" s="13"/>
    </row>
    <row r="18299" spans="4:38" x14ac:dyDescent="0.3">
      <c r="D18299" s="1"/>
      <c r="G18299" s="13"/>
      <c r="AL18299" s="13"/>
    </row>
    <row r="18300" spans="4:38" x14ac:dyDescent="0.3">
      <c r="D18300" s="1"/>
      <c r="G18300" s="13"/>
      <c r="AL18300" s="13"/>
    </row>
    <row r="18301" spans="4:38" x14ac:dyDescent="0.3">
      <c r="D18301" s="1"/>
      <c r="G18301" s="13"/>
      <c r="AL18301" s="13"/>
    </row>
    <row r="18302" spans="4:38" x14ac:dyDescent="0.3">
      <c r="D18302" s="1"/>
      <c r="G18302" s="13"/>
      <c r="AL18302" s="13"/>
    </row>
    <row r="18303" spans="4:38" x14ac:dyDescent="0.3">
      <c r="D18303" s="1"/>
      <c r="G18303" s="13"/>
      <c r="AL18303" s="13"/>
    </row>
    <row r="18304" spans="4:38" x14ac:dyDescent="0.3">
      <c r="D18304" s="1"/>
      <c r="G18304" s="13"/>
      <c r="AL18304" s="13"/>
    </row>
    <row r="18305" spans="4:38" x14ac:dyDescent="0.3">
      <c r="D18305" s="1"/>
      <c r="G18305" s="13"/>
      <c r="AL18305" s="13"/>
    </row>
    <row r="18306" spans="4:38" x14ac:dyDescent="0.3">
      <c r="D18306" s="1"/>
      <c r="G18306" s="13"/>
      <c r="AL18306" s="13"/>
    </row>
    <row r="18307" spans="4:38" x14ac:dyDescent="0.3">
      <c r="D18307" s="1"/>
      <c r="G18307" s="13"/>
      <c r="AL18307" s="13"/>
    </row>
    <row r="18308" spans="4:38" x14ac:dyDescent="0.3">
      <c r="D18308" s="1"/>
      <c r="G18308" s="13"/>
      <c r="AL18308" s="13"/>
    </row>
    <row r="18309" spans="4:38" x14ac:dyDescent="0.3">
      <c r="D18309" s="1"/>
      <c r="G18309" s="13"/>
      <c r="AL18309" s="13"/>
    </row>
    <row r="18310" spans="4:38" x14ac:dyDescent="0.3">
      <c r="D18310" s="1"/>
      <c r="G18310" s="13"/>
      <c r="AL18310" s="13"/>
    </row>
    <row r="18311" spans="4:38" x14ac:dyDescent="0.3">
      <c r="D18311" s="1"/>
      <c r="G18311" s="13"/>
      <c r="AL18311" s="13"/>
    </row>
    <row r="18312" spans="4:38" x14ac:dyDescent="0.3">
      <c r="D18312" s="1"/>
      <c r="G18312" s="13"/>
      <c r="AL18312" s="13"/>
    </row>
    <row r="18313" spans="4:38" x14ac:dyDescent="0.3">
      <c r="D18313" s="1"/>
      <c r="G18313" s="13"/>
      <c r="AL18313" s="13"/>
    </row>
    <row r="18314" spans="4:38" x14ac:dyDescent="0.3">
      <c r="D18314" s="1"/>
      <c r="G18314" s="13"/>
      <c r="AL18314" s="13"/>
    </row>
    <row r="18315" spans="4:38" x14ac:dyDescent="0.3">
      <c r="D18315" s="1"/>
      <c r="G18315" s="13"/>
      <c r="AL18315" s="13"/>
    </row>
    <row r="18316" spans="4:38" x14ac:dyDescent="0.3">
      <c r="D18316" s="1"/>
      <c r="G18316" s="13"/>
      <c r="AL18316" s="13"/>
    </row>
    <row r="18317" spans="4:38" x14ac:dyDescent="0.3">
      <c r="D18317" s="1"/>
      <c r="G18317" s="13"/>
      <c r="AL18317" s="13"/>
    </row>
    <row r="18318" spans="4:38" x14ac:dyDescent="0.3">
      <c r="D18318" s="1"/>
      <c r="G18318" s="13"/>
      <c r="AL18318" s="13"/>
    </row>
    <row r="18319" spans="4:38" x14ac:dyDescent="0.3">
      <c r="D18319" s="1"/>
      <c r="G18319" s="13"/>
      <c r="AL18319" s="13"/>
    </row>
    <row r="18320" spans="4:38" x14ac:dyDescent="0.3">
      <c r="D18320" s="1"/>
      <c r="G18320" s="13"/>
      <c r="AL18320" s="13"/>
    </row>
    <row r="18321" spans="4:38" x14ac:dyDescent="0.3">
      <c r="D18321" s="1"/>
      <c r="G18321" s="13"/>
      <c r="AL18321" s="13"/>
    </row>
    <row r="18322" spans="4:38" x14ac:dyDescent="0.3">
      <c r="D18322" s="1"/>
      <c r="G18322" s="13"/>
      <c r="AL18322" s="13"/>
    </row>
    <row r="18323" spans="4:38" x14ac:dyDescent="0.3">
      <c r="D18323" s="1"/>
      <c r="G18323" s="13"/>
      <c r="AL18323" s="13"/>
    </row>
    <row r="18324" spans="4:38" x14ac:dyDescent="0.3">
      <c r="D18324" s="1"/>
      <c r="G18324" s="13"/>
      <c r="AL18324" s="13"/>
    </row>
    <row r="18325" spans="4:38" x14ac:dyDescent="0.3">
      <c r="D18325" s="1"/>
      <c r="G18325" s="13"/>
      <c r="AL18325" s="13"/>
    </row>
    <row r="18326" spans="4:38" x14ac:dyDescent="0.3">
      <c r="D18326" s="1"/>
      <c r="G18326" s="13"/>
      <c r="AL18326" s="13"/>
    </row>
    <row r="18327" spans="4:38" x14ac:dyDescent="0.3">
      <c r="D18327" s="1"/>
      <c r="G18327" s="13"/>
      <c r="AL18327" s="13"/>
    </row>
    <row r="18328" spans="4:38" x14ac:dyDescent="0.3">
      <c r="D18328" s="1"/>
      <c r="G18328" s="13"/>
      <c r="AL18328" s="13"/>
    </row>
    <row r="18329" spans="4:38" x14ac:dyDescent="0.3">
      <c r="D18329" s="1"/>
      <c r="G18329" s="13"/>
      <c r="AL18329" s="13"/>
    </row>
    <row r="18330" spans="4:38" x14ac:dyDescent="0.3">
      <c r="D18330" s="1"/>
      <c r="G18330" s="13"/>
      <c r="AL18330" s="13"/>
    </row>
    <row r="18331" spans="4:38" x14ac:dyDescent="0.3">
      <c r="D18331" s="1"/>
      <c r="G18331" s="13"/>
      <c r="AL18331" s="13"/>
    </row>
    <row r="18332" spans="4:38" x14ac:dyDescent="0.3">
      <c r="D18332" s="1"/>
      <c r="G18332" s="13"/>
      <c r="AL18332" s="13"/>
    </row>
    <row r="18333" spans="4:38" x14ac:dyDescent="0.3">
      <c r="D18333" s="1"/>
      <c r="G18333" s="13"/>
      <c r="AL18333" s="13"/>
    </row>
    <row r="18334" spans="4:38" x14ac:dyDescent="0.3">
      <c r="D18334" s="1"/>
      <c r="G18334" s="13"/>
      <c r="AL18334" s="13"/>
    </row>
    <row r="18335" spans="4:38" x14ac:dyDescent="0.3">
      <c r="D18335" s="1"/>
      <c r="G18335" s="13"/>
      <c r="AL18335" s="13"/>
    </row>
    <row r="18336" spans="4:38" x14ac:dyDescent="0.3">
      <c r="D18336" s="1"/>
      <c r="G18336" s="13"/>
      <c r="AL18336" s="13"/>
    </row>
    <row r="18337" spans="4:38" x14ac:dyDescent="0.3">
      <c r="D18337" s="1"/>
      <c r="G18337" s="13"/>
      <c r="AL18337" s="13"/>
    </row>
    <row r="18338" spans="4:38" x14ac:dyDescent="0.3">
      <c r="D18338" s="1"/>
      <c r="G18338" s="13"/>
      <c r="AL18338" s="13"/>
    </row>
    <row r="18339" spans="4:38" x14ac:dyDescent="0.3">
      <c r="D18339" s="1"/>
      <c r="G18339" s="13"/>
      <c r="AL18339" s="13"/>
    </row>
    <row r="18340" spans="4:38" x14ac:dyDescent="0.3">
      <c r="D18340" s="1"/>
      <c r="G18340" s="13"/>
      <c r="AL18340" s="13"/>
    </row>
    <row r="18341" spans="4:38" x14ac:dyDescent="0.3">
      <c r="D18341" s="1"/>
      <c r="G18341" s="13"/>
      <c r="AL18341" s="13"/>
    </row>
    <row r="18342" spans="4:38" x14ac:dyDescent="0.3">
      <c r="D18342" s="1"/>
      <c r="G18342" s="13"/>
      <c r="AL18342" s="13"/>
    </row>
    <row r="18343" spans="4:38" x14ac:dyDescent="0.3">
      <c r="D18343" s="1"/>
      <c r="G18343" s="13"/>
      <c r="AL18343" s="13"/>
    </row>
    <row r="18344" spans="4:38" x14ac:dyDescent="0.3">
      <c r="D18344" s="1"/>
      <c r="G18344" s="13"/>
      <c r="AL18344" s="13"/>
    </row>
    <row r="18345" spans="4:38" x14ac:dyDescent="0.3">
      <c r="D18345" s="1"/>
      <c r="G18345" s="13"/>
      <c r="AL18345" s="13"/>
    </row>
    <row r="18346" spans="4:38" x14ac:dyDescent="0.3">
      <c r="D18346" s="1"/>
      <c r="G18346" s="13"/>
      <c r="AL18346" s="13"/>
    </row>
    <row r="18347" spans="4:38" x14ac:dyDescent="0.3">
      <c r="D18347" s="1"/>
      <c r="G18347" s="13"/>
      <c r="AL18347" s="13"/>
    </row>
    <row r="18348" spans="4:38" x14ac:dyDescent="0.3">
      <c r="D18348" s="1"/>
      <c r="G18348" s="13"/>
      <c r="AL18348" s="13"/>
    </row>
    <row r="18349" spans="4:38" x14ac:dyDescent="0.3">
      <c r="D18349" s="1"/>
      <c r="G18349" s="13"/>
      <c r="AL18349" s="13"/>
    </row>
    <row r="18350" spans="4:38" x14ac:dyDescent="0.3">
      <c r="D18350" s="1"/>
      <c r="G18350" s="13"/>
      <c r="AL18350" s="13"/>
    </row>
    <row r="18351" spans="4:38" x14ac:dyDescent="0.3">
      <c r="D18351" s="1"/>
      <c r="G18351" s="13"/>
      <c r="AL18351" s="13"/>
    </row>
    <row r="18352" spans="4:38" x14ac:dyDescent="0.3">
      <c r="D18352" s="1"/>
      <c r="G18352" s="13"/>
      <c r="AL18352" s="13"/>
    </row>
    <row r="18353" spans="4:38" x14ac:dyDescent="0.3">
      <c r="D18353" s="1"/>
      <c r="G18353" s="13"/>
      <c r="AL18353" s="13"/>
    </row>
    <row r="18354" spans="4:38" x14ac:dyDescent="0.3">
      <c r="D18354" s="1"/>
      <c r="G18354" s="13"/>
      <c r="AL18354" s="13"/>
    </row>
    <row r="18355" spans="4:38" x14ac:dyDescent="0.3">
      <c r="D18355" s="1"/>
      <c r="G18355" s="13"/>
      <c r="AL18355" s="13"/>
    </row>
    <row r="18356" spans="4:38" x14ac:dyDescent="0.3">
      <c r="D18356" s="1"/>
      <c r="G18356" s="13"/>
      <c r="AL18356" s="13"/>
    </row>
    <row r="18357" spans="4:38" x14ac:dyDescent="0.3">
      <c r="D18357" s="1"/>
      <c r="G18357" s="13"/>
      <c r="AL18357" s="13"/>
    </row>
    <row r="18358" spans="4:38" x14ac:dyDescent="0.3">
      <c r="D18358" s="1"/>
      <c r="G18358" s="13"/>
      <c r="AL18358" s="13"/>
    </row>
    <row r="18359" spans="4:38" x14ac:dyDescent="0.3">
      <c r="D18359" s="1"/>
      <c r="G18359" s="13"/>
      <c r="AL18359" s="13"/>
    </row>
    <row r="18360" spans="4:38" x14ac:dyDescent="0.3">
      <c r="D18360" s="1"/>
      <c r="G18360" s="13"/>
      <c r="AL18360" s="13"/>
    </row>
    <row r="18361" spans="4:38" x14ac:dyDescent="0.3">
      <c r="D18361" s="1"/>
      <c r="G18361" s="13"/>
      <c r="AL18361" s="13"/>
    </row>
    <row r="18362" spans="4:38" x14ac:dyDescent="0.3">
      <c r="D18362" s="1"/>
      <c r="G18362" s="13"/>
      <c r="AL18362" s="13"/>
    </row>
    <row r="18363" spans="4:38" x14ac:dyDescent="0.3">
      <c r="D18363" s="1"/>
      <c r="G18363" s="13"/>
      <c r="AL18363" s="13"/>
    </row>
    <row r="18364" spans="4:38" x14ac:dyDescent="0.3">
      <c r="D18364" s="1"/>
      <c r="G18364" s="13"/>
      <c r="AL18364" s="13"/>
    </row>
    <row r="18365" spans="4:38" x14ac:dyDescent="0.3">
      <c r="D18365" s="1"/>
      <c r="G18365" s="13"/>
      <c r="AL18365" s="13"/>
    </row>
    <row r="18366" spans="4:38" x14ac:dyDescent="0.3">
      <c r="D18366" s="1"/>
      <c r="G18366" s="13"/>
      <c r="AL18366" s="13"/>
    </row>
    <row r="18367" spans="4:38" x14ac:dyDescent="0.3">
      <c r="D18367" s="1"/>
      <c r="G18367" s="13"/>
      <c r="AL18367" s="13"/>
    </row>
    <row r="18368" spans="4:38" x14ac:dyDescent="0.3">
      <c r="D18368" s="1"/>
      <c r="G18368" s="13"/>
      <c r="AL18368" s="13"/>
    </row>
    <row r="18369" spans="4:38" x14ac:dyDescent="0.3">
      <c r="D18369" s="1"/>
      <c r="G18369" s="13"/>
      <c r="AL18369" s="13"/>
    </row>
    <row r="18370" spans="4:38" x14ac:dyDescent="0.3">
      <c r="D18370" s="1"/>
      <c r="G18370" s="13"/>
      <c r="AL18370" s="13"/>
    </row>
    <row r="18371" spans="4:38" x14ac:dyDescent="0.3">
      <c r="D18371" s="1"/>
      <c r="G18371" s="13"/>
      <c r="AL18371" s="13"/>
    </row>
    <row r="18372" spans="4:38" x14ac:dyDescent="0.3">
      <c r="D18372" s="1"/>
      <c r="G18372" s="13"/>
      <c r="AL18372" s="13"/>
    </row>
    <row r="18373" spans="4:38" x14ac:dyDescent="0.3">
      <c r="D18373" s="1"/>
      <c r="G18373" s="13"/>
      <c r="AL18373" s="13"/>
    </row>
    <row r="18374" spans="4:38" x14ac:dyDescent="0.3">
      <c r="D18374" s="1"/>
      <c r="G18374" s="13"/>
      <c r="AL18374" s="13"/>
    </row>
    <row r="18375" spans="4:38" x14ac:dyDescent="0.3">
      <c r="D18375" s="1"/>
      <c r="G18375" s="13"/>
      <c r="AL18375" s="13"/>
    </row>
    <row r="18376" spans="4:38" x14ac:dyDescent="0.3">
      <c r="D18376" s="1"/>
      <c r="G18376" s="13"/>
      <c r="AL18376" s="13"/>
    </row>
    <row r="18377" spans="4:38" x14ac:dyDescent="0.3">
      <c r="D18377" s="1"/>
      <c r="G18377" s="13"/>
      <c r="AL18377" s="13"/>
    </row>
    <row r="18378" spans="4:38" x14ac:dyDescent="0.3">
      <c r="D18378" s="1"/>
      <c r="G18378" s="13"/>
      <c r="AL18378" s="13"/>
    </row>
    <row r="18379" spans="4:38" x14ac:dyDescent="0.3">
      <c r="D18379" s="1"/>
      <c r="G18379" s="13"/>
      <c r="AL18379" s="13"/>
    </row>
    <row r="18380" spans="4:38" x14ac:dyDescent="0.3">
      <c r="D18380" s="1"/>
      <c r="G18380" s="13"/>
      <c r="AL18380" s="13"/>
    </row>
    <row r="18381" spans="4:38" x14ac:dyDescent="0.3">
      <c r="D18381" s="1"/>
      <c r="G18381" s="13"/>
      <c r="AL18381" s="13"/>
    </row>
    <row r="18382" spans="4:38" x14ac:dyDescent="0.3">
      <c r="D18382" s="1"/>
      <c r="G18382" s="13"/>
      <c r="AL18382" s="13"/>
    </row>
    <row r="18383" spans="4:38" x14ac:dyDescent="0.3">
      <c r="D18383" s="1"/>
      <c r="G18383" s="13"/>
      <c r="AL18383" s="13"/>
    </row>
    <row r="18384" spans="4:38" x14ac:dyDescent="0.3">
      <c r="D18384" s="1"/>
      <c r="G18384" s="13"/>
      <c r="AL18384" s="13"/>
    </row>
    <row r="18385" spans="4:38" x14ac:dyDescent="0.3">
      <c r="D18385" s="1"/>
      <c r="G18385" s="13"/>
      <c r="AL18385" s="13"/>
    </row>
    <row r="18386" spans="4:38" x14ac:dyDescent="0.3">
      <c r="D18386" s="1"/>
      <c r="G18386" s="13"/>
      <c r="AL18386" s="13"/>
    </row>
    <row r="18387" spans="4:38" x14ac:dyDescent="0.3">
      <c r="D18387" s="1"/>
      <c r="G18387" s="13"/>
      <c r="AL18387" s="13"/>
    </row>
    <row r="18388" spans="4:38" x14ac:dyDescent="0.3">
      <c r="D18388" s="1"/>
      <c r="G18388" s="13"/>
      <c r="AL18388" s="13"/>
    </row>
    <row r="18389" spans="4:38" x14ac:dyDescent="0.3">
      <c r="D18389" s="1"/>
      <c r="G18389" s="13"/>
      <c r="AL18389" s="13"/>
    </row>
    <row r="18390" spans="4:38" x14ac:dyDescent="0.3">
      <c r="D18390" s="1"/>
      <c r="G18390" s="13"/>
      <c r="AL18390" s="13"/>
    </row>
    <row r="18391" spans="4:38" x14ac:dyDescent="0.3">
      <c r="D18391" s="1"/>
      <c r="G18391" s="13"/>
      <c r="AL18391" s="13"/>
    </row>
    <row r="18392" spans="4:38" x14ac:dyDescent="0.3">
      <c r="D18392" s="1"/>
      <c r="G18392" s="13"/>
      <c r="AL18392" s="13"/>
    </row>
    <row r="18393" spans="4:38" x14ac:dyDescent="0.3">
      <c r="D18393" s="1"/>
      <c r="G18393" s="13"/>
      <c r="AL18393" s="13"/>
    </row>
    <row r="18394" spans="4:38" x14ac:dyDescent="0.3">
      <c r="D18394" s="1"/>
      <c r="G18394" s="13"/>
      <c r="AL18394" s="13"/>
    </row>
    <row r="18395" spans="4:38" x14ac:dyDescent="0.3">
      <c r="D18395" s="1"/>
      <c r="G18395" s="13"/>
      <c r="AL18395" s="13"/>
    </row>
    <row r="18396" spans="4:38" x14ac:dyDescent="0.3">
      <c r="D18396" s="1"/>
      <c r="G18396" s="13"/>
      <c r="AL18396" s="13"/>
    </row>
    <row r="18397" spans="4:38" x14ac:dyDescent="0.3">
      <c r="D18397" s="1"/>
      <c r="G18397" s="13"/>
      <c r="AL18397" s="13"/>
    </row>
    <row r="18398" spans="4:38" x14ac:dyDescent="0.3">
      <c r="D18398" s="1"/>
      <c r="G18398" s="13"/>
      <c r="AL18398" s="13"/>
    </row>
    <row r="18399" spans="4:38" x14ac:dyDescent="0.3">
      <c r="D18399" s="1"/>
      <c r="G18399" s="13"/>
      <c r="AL18399" s="13"/>
    </row>
    <row r="18400" spans="4:38" x14ac:dyDescent="0.3">
      <c r="D18400" s="1"/>
      <c r="G18400" s="13"/>
      <c r="AL18400" s="13"/>
    </row>
    <row r="18401" spans="4:39" x14ac:dyDescent="0.3">
      <c r="D18401" s="1"/>
      <c r="G18401" s="13"/>
      <c r="AL18401" s="13"/>
    </row>
    <row r="18402" spans="4:39" x14ac:dyDescent="0.3">
      <c r="D18402" s="1"/>
      <c r="G18402" s="13"/>
      <c r="AL18402" s="13"/>
    </row>
    <row r="18403" spans="4:39" x14ac:dyDescent="0.3">
      <c r="D18403" s="1"/>
      <c r="G18403" s="13"/>
      <c r="AL18403" s="13"/>
    </row>
    <row r="18404" spans="4:39" x14ac:dyDescent="0.3">
      <c r="D18404" s="1"/>
      <c r="G18404" s="13"/>
      <c r="AL18404" s="13"/>
    </row>
    <row r="18405" spans="4:39" x14ac:dyDescent="0.3">
      <c r="D18405" s="1"/>
      <c r="G18405" s="13"/>
      <c r="AL18405" s="13"/>
    </row>
    <row r="18406" spans="4:39" x14ac:dyDescent="0.3">
      <c r="D18406" s="1"/>
      <c r="G18406" s="13"/>
      <c r="AL18406" s="13"/>
    </row>
    <row r="18407" spans="4:39" x14ac:dyDescent="0.3">
      <c r="D18407" s="1"/>
      <c r="G18407" s="13"/>
      <c r="AL18407" s="13"/>
    </row>
    <row r="18408" spans="4:39" x14ac:dyDescent="0.3">
      <c r="D18408" s="1"/>
      <c r="G18408" s="13"/>
      <c r="AL18408" s="13"/>
      <c r="AM18408" s="14"/>
    </row>
    <row r="18409" spans="4:39" x14ac:dyDescent="0.3">
      <c r="D18409" s="1"/>
      <c r="G18409" s="13"/>
    </row>
    <row r="18410" spans="4:39" x14ac:dyDescent="0.3">
      <c r="D18410" s="1"/>
      <c r="G18410" s="13"/>
      <c r="AL18410" s="13"/>
    </row>
    <row r="18411" spans="4:39" x14ac:dyDescent="0.3">
      <c r="D18411" s="1"/>
      <c r="G18411" s="13"/>
      <c r="AL18411" s="13"/>
    </row>
    <row r="18412" spans="4:39" x14ac:dyDescent="0.3">
      <c r="D18412" s="1"/>
      <c r="G18412" s="13"/>
      <c r="AL18412" s="13"/>
      <c r="AM18412" s="14"/>
    </row>
    <row r="18413" spans="4:39" x14ac:dyDescent="0.3">
      <c r="D18413" s="1"/>
      <c r="G18413" s="13"/>
      <c r="AL18413" s="13"/>
    </row>
    <row r="18414" spans="4:39" x14ac:dyDescent="0.3">
      <c r="D18414" s="1"/>
      <c r="G18414" s="13"/>
    </row>
    <row r="18415" spans="4:39" x14ac:dyDescent="0.3">
      <c r="D18415" s="1"/>
      <c r="G18415" s="13"/>
      <c r="AL18415" s="13"/>
      <c r="AM18415" s="14"/>
    </row>
    <row r="18416" spans="4:39" x14ac:dyDescent="0.3">
      <c r="D18416" s="1"/>
      <c r="G18416" s="13"/>
      <c r="AL18416" s="13"/>
    </row>
    <row r="18417" spans="4:39" x14ac:dyDescent="0.3">
      <c r="D18417" s="1"/>
      <c r="G18417" s="13"/>
      <c r="AL18417" s="13"/>
    </row>
    <row r="18418" spans="4:39" x14ac:dyDescent="0.3">
      <c r="D18418" s="1"/>
      <c r="G18418" s="13"/>
    </row>
    <row r="18419" spans="4:39" x14ac:dyDescent="0.3">
      <c r="D18419" s="1"/>
      <c r="G18419" s="13"/>
      <c r="AL18419" s="13"/>
    </row>
    <row r="18420" spans="4:39" x14ac:dyDescent="0.3">
      <c r="D18420" s="1"/>
      <c r="G18420" s="13"/>
      <c r="AL18420" s="13"/>
      <c r="AM18420" s="14"/>
    </row>
    <row r="18421" spans="4:39" x14ac:dyDescent="0.3">
      <c r="D18421" s="1"/>
      <c r="G18421" s="13"/>
      <c r="AL18421" s="13"/>
    </row>
    <row r="18422" spans="4:39" x14ac:dyDescent="0.3">
      <c r="D18422" s="1"/>
      <c r="G18422" s="13"/>
    </row>
    <row r="18423" spans="4:39" x14ac:dyDescent="0.3">
      <c r="D18423" s="1"/>
      <c r="G18423" s="13"/>
    </row>
    <row r="18424" spans="4:39" x14ac:dyDescent="0.3">
      <c r="D18424" s="1"/>
      <c r="G18424" s="13"/>
      <c r="AL18424" s="13"/>
    </row>
    <row r="18425" spans="4:39" x14ac:dyDescent="0.3">
      <c r="D18425" s="1"/>
      <c r="G18425" s="13"/>
      <c r="AL18425" s="13"/>
    </row>
    <row r="18426" spans="4:39" x14ac:dyDescent="0.3">
      <c r="D18426" s="1"/>
      <c r="G18426" s="13"/>
      <c r="AL18426" s="13"/>
      <c r="AM18426" s="14"/>
    </row>
    <row r="18427" spans="4:39" x14ac:dyDescent="0.3">
      <c r="D18427" s="1"/>
      <c r="G18427" s="13"/>
      <c r="AL18427" s="13"/>
    </row>
    <row r="18428" spans="4:39" x14ac:dyDescent="0.3">
      <c r="D18428" s="1"/>
      <c r="G18428" s="13"/>
      <c r="AL18428" s="13"/>
    </row>
    <row r="18429" spans="4:39" x14ac:dyDescent="0.3">
      <c r="D18429" s="1"/>
      <c r="G18429" s="13"/>
      <c r="AL18429" s="13"/>
    </row>
    <row r="18430" spans="4:39" x14ac:dyDescent="0.3">
      <c r="D18430" s="1"/>
      <c r="G18430" s="13"/>
      <c r="AL18430" s="13"/>
      <c r="AM18430" s="14"/>
    </row>
    <row r="18431" spans="4:39" x14ac:dyDescent="0.3">
      <c r="D18431" s="1"/>
      <c r="G18431" s="13"/>
      <c r="AL18431" s="13"/>
    </row>
    <row r="18432" spans="4:39" x14ac:dyDescent="0.3">
      <c r="D18432" s="1"/>
      <c r="G18432" s="13"/>
      <c r="AL18432" s="13"/>
    </row>
    <row r="18433" spans="4:39" x14ac:dyDescent="0.3">
      <c r="D18433" s="1"/>
      <c r="G18433" s="13"/>
    </row>
    <row r="18434" spans="4:39" x14ac:dyDescent="0.3">
      <c r="D18434" s="1"/>
      <c r="G18434" s="13"/>
      <c r="AL18434" s="13"/>
    </row>
    <row r="18435" spans="4:39" x14ac:dyDescent="0.3">
      <c r="D18435" s="1"/>
      <c r="G18435" s="13"/>
      <c r="AL18435" s="13"/>
    </row>
    <row r="18436" spans="4:39" x14ac:dyDescent="0.3">
      <c r="D18436" s="1"/>
      <c r="G18436" s="13"/>
    </row>
    <row r="18437" spans="4:39" x14ac:dyDescent="0.3">
      <c r="D18437" s="1"/>
      <c r="G18437" s="13"/>
      <c r="AL18437" s="13"/>
    </row>
    <row r="18438" spans="4:39" x14ac:dyDescent="0.3">
      <c r="D18438" s="1"/>
      <c r="G18438" s="13"/>
    </row>
    <row r="18439" spans="4:39" x14ac:dyDescent="0.3">
      <c r="D18439" s="1"/>
      <c r="G18439" s="13"/>
      <c r="AL18439" s="13"/>
    </row>
    <row r="18440" spans="4:39" x14ac:dyDescent="0.3">
      <c r="D18440" s="1"/>
      <c r="G18440" s="13"/>
      <c r="AL18440" s="13"/>
      <c r="AM18440" s="14"/>
    </row>
    <row r="18441" spans="4:39" x14ac:dyDescent="0.3">
      <c r="D18441" s="1"/>
      <c r="G18441" s="13"/>
      <c r="AL18441" s="13"/>
    </row>
    <row r="18442" spans="4:39" x14ac:dyDescent="0.3">
      <c r="D18442" s="1"/>
      <c r="G18442" s="13"/>
      <c r="AL18442" s="13"/>
    </row>
    <row r="18443" spans="4:39" x14ac:dyDescent="0.3">
      <c r="D18443" s="1"/>
      <c r="G18443" s="13"/>
      <c r="AL18443" s="13"/>
    </row>
    <row r="18444" spans="4:39" x14ac:dyDescent="0.3">
      <c r="D18444" s="1"/>
      <c r="G18444" s="13"/>
      <c r="AL18444" s="13"/>
      <c r="AM18444" s="14"/>
    </row>
    <row r="18445" spans="4:39" x14ac:dyDescent="0.3">
      <c r="D18445" s="1"/>
      <c r="G18445" s="13"/>
      <c r="AL18445" s="13"/>
      <c r="AM18445" s="14"/>
    </row>
    <row r="18446" spans="4:39" x14ac:dyDescent="0.3">
      <c r="D18446" s="1"/>
      <c r="G18446" s="13"/>
      <c r="AL18446" s="13"/>
    </row>
    <row r="18447" spans="4:39" x14ac:dyDescent="0.3">
      <c r="D18447" s="1"/>
      <c r="G18447" s="13"/>
      <c r="AL18447" s="13"/>
    </row>
    <row r="18448" spans="4:39" x14ac:dyDescent="0.3">
      <c r="D18448" s="1"/>
      <c r="G18448" s="13"/>
      <c r="AL18448" s="13"/>
      <c r="AM18448" s="14"/>
    </row>
    <row r="18449" spans="4:39" x14ac:dyDescent="0.3">
      <c r="D18449" s="1"/>
      <c r="G18449" s="13"/>
      <c r="AL18449" s="13"/>
    </row>
    <row r="18450" spans="4:39" x14ac:dyDescent="0.3">
      <c r="D18450" s="1"/>
      <c r="G18450" s="13"/>
      <c r="AL18450" s="13"/>
    </row>
    <row r="18451" spans="4:39" x14ac:dyDescent="0.3">
      <c r="D18451" s="1"/>
      <c r="G18451" s="13"/>
    </row>
    <row r="18452" spans="4:39" x14ac:dyDescent="0.3">
      <c r="D18452" s="1"/>
      <c r="G18452" s="13"/>
      <c r="AL18452" s="13"/>
    </row>
    <row r="18453" spans="4:39" x14ac:dyDescent="0.3">
      <c r="D18453" s="1"/>
      <c r="G18453" s="13"/>
    </row>
    <row r="18454" spans="4:39" x14ac:dyDescent="0.3">
      <c r="D18454" s="1"/>
      <c r="G18454" s="13"/>
      <c r="AL18454" s="13"/>
      <c r="AM18454" s="14"/>
    </row>
    <row r="18455" spans="4:39" x14ac:dyDescent="0.3">
      <c r="D18455" s="1"/>
      <c r="G18455" s="13"/>
    </row>
    <row r="18456" spans="4:39" x14ac:dyDescent="0.3">
      <c r="D18456" s="1"/>
      <c r="G18456" s="13"/>
    </row>
    <row r="18457" spans="4:39" x14ac:dyDescent="0.3">
      <c r="D18457" s="1"/>
      <c r="G18457" s="13"/>
    </row>
    <row r="18458" spans="4:39" x14ac:dyDescent="0.3">
      <c r="D18458" s="1"/>
      <c r="G18458" s="13"/>
    </row>
    <row r="18459" spans="4:39" x14ac:dyDescent="0.3">
      <c r="D18459" s="1"/>
      <c r="G18459" s="13"/>
      <c r="AL18459" s="13"/>
    </row>
    <row r="18460" spans="4:39" x14ac:dyDescent="0.3">
      <c r="D18460" s="1"/>
      <c r="G18460" s="13"/>
      <c r="AL18460" s="13"/>
      <c r="AM18460" s="14"/>
    </row>
    <row r="18461" spans="4:39" x14ac:dyDescent="0.3">
      <c r="D18461" s="1"/>
      <c r="G18461" s="13"/>
      <c r="AL18461" s="13"/>
    </row>
    <row r="18462" spans="4:39" x14ac:dyDescent="0.3">
      <c r="D18462" s="1"/>
      <c r="G18462" s="13"/>
      <c r="AL18462" s="13"/>
    </row>
    <row r="18463" spans="4:39" x14ac:dyDescent="0.3">
      <c r="D18463" s="1"/>
      <c r="G18463" s="13"/>
      <c r="AL18463" s="13"/>
    </row>
    <row r="18464" spans="4:39" x14ac:dyDescent="0.3">
      <c r="D18464" s="1"/>
      <c r="G18464" s="13"/>
    </row>
    <row r="18465" spans="4:39" x14ac:dyDescent="0.3">
      <c r="D18465" s="1"/>
      <c r="G18465" s="13"/>
      <c r="AL18465" s="13"/>
    </row>
    <row r="18466" spans="4:39" x14ac:dyDescent="0.3">
      <c r="D18466" s="1"/>
      <c r="G18466" s="13"/>
      <c r="AL18466" s="13"/>
    </row>
    <row r="18467" spans="4:39" x14ac:dyDescent="0.3">
      <c r="D18467" s="1"/>
      <c r="G18467" s="13"/>
      <c r="AL18467" s="13"/>
      <c r="AM18467" s="14"/>
    </row>
    <row r="18468" spans="4:39" x14ac:dyDescent="0.3">
      <c r="D18468" s="1"/>
      <c r="G18468" s="13"/>
      <c r="AL18468" s="13"/>
    </row>
    <row r="18469" spans="4:39" x14ac:dyDescent="0.3">
      <c r="D18469" s="1"/>
      <c r="G18469" s="13"/>
      <c r="AL18469" s="13"/>
      <c r="AM18469" s="14"/>
    </row>
    <row r="18470" spans="4:39" x14ac:dyDescent="0.3">
      <c r="D18470" s="1"/>
      <c r="G18470" s="13"/>
      <c r="AL18470" s="13"/>
    </row>
    <row r="18471" spans="4:39" x14ac:dyDescent="0.3">
      <c r="D18471" s="1"/>
      <c r="G18471" s="13"/>
    </row>
    <row r="18472" spans="4:39" x14ac:dyDescent="0.3">
      <c r="D18472" s="1"/>
      <c r="G18472" s="13"/>
    </row>
    <row r="18473" spans="4:39" x14ac:dyDescent="0.3">
      <c r="D18473" s="1"/>
      <c r="G18473" s="13"/>
      <c r="AL18473" s="13"/>
      <c r="AM18473" s="14"/>
    </row>
    <row r="18474" spans="4:39" x14ac:dyDescent="0.3">
      <c r="D18474" s="1"/>
      <c r="G18474" s="13"/>
      <c r="AL18474" s="13"/>
      <c r="AM18474" s="14"/>
    </row>
    <row r="18475" spans="4:39" x14ac:dyDescent="0.3">
      <c r="D18475" s="1"/>
      <c r="G18475" s="13"/>
      <c r="AL18475" s="13"/>
    </row>
    <row r="18476" spans="4:39" x14ac:dyDescent="0.3">
      <c r="D18476" s="1"/>
      <c r="G18476" s="13"/>
      <c r="AL18476" s="13"/>
    </row>
    <row r="18477" spans="4:39" x14ac:dyDescent="0.3">
      <c r="D18477" s="1"/>
      <c r="G18477" s="13"/>
      <c r="AL18477" s="13"/>
    </row>
    <row r="18478" spans="4:39" x14ac:dyDescent="0.3">
      <c r="D18478" s="1"/>
      <c r="G18478" s="13"/>
      <c r="AL18478" s="13"/>
    </row>
    <row r="18479" spans="4:39" x14ac:dyDescent="0.3">
      <c r="D18479" s="1"/>
      <c r="G18479" s="13"/>
      <c r="AL18479" s="13"/>
      <c r="AM18479" s="14"/>
    </row>
    <row r="18480" spans="4:39" x14ac:dyDescent="0.3">
      <c r="D18480" s="1"/>
      <c r="G18480" s="13"/>
      <c r="AL18480" s="13"/>
    </row>
    <row r="18481" spans="4:39" x14ac:dyDescent="0.3">
      <c r="D18481" s="1"/>
      <c r="G18481" s="13"/>
      <c r="AL18481" s="13"/>
      <c r="AM18481" s="14"/>
    </row>
    <row r="18482" spans="4:39" x14ac:dyDescent="0.3">
      <c r="D18482" s="1"/>
      <c r="G18482" s="13"/>
      <c r="AL18482" s="13"/>
      <c r="AM18482" s="14"/>
    </row>
    <row r="18483" spans="4:39" x14ac:dyDescent="0.3">
      <c r="D18483" s="1"/>
      <c r="G18483" s="13"/>
      <c r="AL18483" s="13"/>
    </row>
    <row r="18484" spans="4:39" x14ac:dyDescent="0.3">
      <c r="D18484" s="1"/>
      <c r="G18484" s="13"/>
      <c r="AL18484" s="13"/>
    </row>
    <row r="18485" spans="4:39" x14ac:dyDescent="0.3">
      <c r="D18485" s="1"/>
      <c r="G18485" s="13"/>
      <c r="AL18485" s="13"/>
      <c r="AM18485" s="14"/>
    </row>
    <row r="18486" spans="4:39" x14ac:dyDescent="0.3">
      <c r="D18486" s="1"/>
      <c r="G18486" s="13"/>
      <c r="AL18486" s="13"/>
    </row>
    <row r="18487" spans="4:39" x14ac:dyDescent="0.3">
      <c r="D18487" s="1"/>
      <c r="G18487" s="13"/>
      <c r="AL18487" s="13"/>
      <c r="AM18487" s="14"/>
    </row>
    <row r="18488" spans="4:39" x14ac:dyDescent="0.3">
      <c r="D18488" s="1"/>
      <c r="G18488" s="13"/>
      <c r="AL18488" s="13"/>
    </row>
    <row r="18489" spans="4:39" x14ac:dyDescent="0.3">
      <c r="D18489" s="1"/>
      <c r="G18489" s="13"/>
      <c r="AL18489" s="13"/>
    </row>
    <row r="18490" spans="4:39" x14ac:dyDescent="0.3">
      <c r="D18490" s="1"/>
      <c r="G18490" s="13"/>
      <c r="AL18490" s="13"/>
    </row>
    <row r="18491" spans="4:39" x14ac:dyDescent="0.3">
      <c r="D18491" s="1"/>
      <c r="G18491" s="13"/>
      <c r="AL18491" s="13"/>
      <c r="AM18491" s="14"/>
    </row>
    <row r="18492" spans="4:39" x14ac:dyDescent="0.3">
      <c r="D18492" s="1"/>
      <c r="G18492" s="13"/>
      <c r="AL18492" s="13"/>
    </row>
    <row r="18493" spans="4:39" x14ac:dyDescent="0.3">
      <c r="D18493" s="1"/>
      <c r="G18493" s="13"/>
      <c r="AL18493" s="13"/>
    </row>
    <row r="18494" spans="4:39" x14ac:dyDescent="0.3">
      <c r="D18494" s="1"/>
      <c r="G18494" s="13"/>
      <c r="AL18494" s="13"/>
    </row>
    <row r="18495" spans="4:39" x14ac:dyDescent="0.3">
      <c r="D18495" s="1"/>
      <c r="G18495" s="13"/>
      <c r="AL18495" s="13"/>
    </row>
    <row r="18496" spans="4:39" x14ac:dyDescent="0.3">
      <c r="D18496" s="1"/>
      <c r="G18496" s="13"/>
    </row>
    <row r="18497" spans="4:39" x14ac:dyDescent="0.3">
      <c r="D18497" s="1"/>
      <c r="G18497" s="13"/>
      <c r="AL18497" s="13"/>
    </row>
    <row r="18498" spans="4:39" x14ac:dyDescent="0.3">
      <c r="D18498" s="1"/>
      <c r="G18498" s="13"/>
    </row>
    <row r="18499" spans="4:39" x14ac:dyDescent="0.3">
      <c r="D18499" s="1"/>
      <c r="G18499" s="13"/>
    </row>
    <row r="18500" spans="4:39" x14ac:dyDescent="0.3">
      <c r="D18500" s="1"/>
      <c r="G18500" s="13"/>
      <c r="AL18500" s="13"/>
    </row>
    <row r="18501" spans="4:39" x14ac:dyDescent="0.3">
      <c r="D18501" s="1"/>
      <c r="G18501" s="13"/>
      <c r="AL18501" s="13"/>
    </row>
    <row r="18502" spans="4:39" x14ac:dyDescent="0.3">
      <c r="D18502" s="1"/>
      <c r="G18502" s="13"/>
    </row>
    <row r="18503" spans="4:39" x14ac:dyDescent="0.3">
      <c r="D18503" s="1"/>
      <c r="G18503" s="13"/>
      <c r="AL18503" s="13"/>
    </row>
    <row r="18504" spans="4:39" x14ac:dyDescent="0.3">
      <c r="D18504" s="1"/>
      <c r="G18504" s="13"/>
      <c r="AL18504" s="13"/>
    </row>
    <row r="18505" spans="4:39" x14ac:dyDescent="0.3">
      <c r="D18505" s="1"/>
      <c r="G18505" s="13"/>
      <c r="AL18505" s="13"/>
    </row>
    <row r="18506" spans="4:39" x14ac:dyDescent="0.3">
      <c r="D18506" s="1"/>
      <c r="G18506" s="13"/>
      <c r="AL18506" s="13"/>
      <c r="AM18506" s="14"/>
    </row>
    <row r="18507" spans="4:39" x14ac:dyDescent="0.3">
      <c r="D18507" s="1"/>
      <c r="G18507" s="13"/>
    </row>
    <row r="18508" spans="4:39" x14ac:dyDescent="0.3">
      <c r="D18508" s="1"/>
      <c r="G18508" s="13"/>
    </row>
    <row r="18509" spans="4:39" x14ac:dyDescent="0.3">
      <c r="D18509" s="1"/>
      <c r="G18509" s="13"/>
      <c r="AL18509" s="13"/>
    </row>
    <row r="18510" spans="4:39" x14ac:dyDescent="0.3">
      <c r="D18510" s="1"/>
      <c r="G18510" s="13"/>
      <c r="AL18510" s="13"/>
    </row>
    <row r="18511" spans="4:39" x14ac:dyDescent="0.3">
      <c r="D18511" s="1"/>
      <c r="G18511" s="13"/>
      <c r="AL18511" s="13"/>
    </row>
    <row r="18512" spans="4:39" x14ac:dyDescent="0.3">
      <c r="D18512" s="1"/>
      <c r="G18512" s="13"/>
    </row>
    <row r="18513" spans="4:39" x14ac:dyDescent="0.3">
      <c r="D18513" s="1"/>
      <c r="G18513" s="13"/>
      <c r="AL18513" s="13"/>
      <c r="AM18513" s="14"/>
    </row>
    <row r="18514" spans="4:39" x14ac:dyDescent="0.3">
      <c r="D18514" s="1"/>
      <c r="G18514" s="13"/>
      <c r="AL18514" s="13"/>
    </row>
    <row r="18515" spans="4:39" x14ac:dyDescent="0.3">
      <c r="D18515" s="1"/>
      <c r="G18515" s="13"/>
      <c r="AL18515" s="13"/>
    </row>
    <row r="18516" spans="4:39" x14ac:dyDescent="0.3">
      <c r="D18516" s="1"/>
      <c r="G18516" s="13"/>
      <c r="AL18516" s="13"/>
    </row>
    <row r="18517" spans="4:39" x14ac:dyDescent="0.3">
      <c r="D18517" s="1"/>
      <c r="G18517" s="13"/>
      <c r="AL18517" s="13"/>
    </row>
    <row r="18518" spans="4:39" x14ac:dyDescent="0.3">
      <c r="D18518" s="1"/>
      <c r="G18518" s="13"/>
    </row>
    <row r="18519" spans="4:39" x14ac:dyDescent="0.3">
      <c r="D18519" s="1"/>
      <c r="G18519" s="13"/>
      <c r="AL18519" s="13"/>
      <c r="AM18519" s="14"/>
    </row>
    <row r="18520" spans="4:39" x14ac:dyDescent="0.3">
      <c r="D18520" s="1"/>
      <c r="G18520" s="13"/>
      <c r="AL18520" s="13"/>
    </row>
    <row r="18521" spans="4:39" x14ac:dyDescent="0.3">
      <c r="D18521" s="1"/>
      <c r="G18521" s="13"/>
      <c r="AL18521" s="13"/>
      <c r="AM18521" s="14"/>
    </row>
    <row r="18522" spans="4:39" x14ac:dyDescent="0.3">
      <c r="D18522" s="1"/>
      <c r="G18522" s="13"/>
      <c r="AL18522" s="13"/>
    </row>
    <row r="18523" spans="4:39" x14ac:dyDescent="0.3">
      <c r="D18523" s="1"/>
      <c r="G18523" s="13"/>
      <c r="AL18523" s="13"/>
    </row>
    <row r="18524" spans="4:39" x14ac:dyDescent="0.3">
      <c r="D18524" s="1"/>
      <c r="G18524" s="13"/>
      <c r="AL18524" s="13"/>
    </row>
    <row r="18525" spans="4:39" x14ac:dyDescent="0.3">
      <c r="D18525" s="1"/>
      <c r="G18525" s="13"/>
      <c r="AL18525" s="13"/>
    </row>
    <row r="18526" spans="4:39" x14ac:dyDescent="0.3">
      <c r="D18526" s="1"/>
      <c r="G18526" s="13"/>
      <c r="AL18526" s="13"/>
      <c r="AM18526" s="14"/>
    </row>
    <row r="18527" spans="4:39" x14ac:dyDescent="0.3">
      <c r="D18527" s="1"/>
      <c r="G18527" s="13"/>
      <c r="AL18527" s="13"/>
    </row>
    <row r="18528" spans="4:39" x14ac:dyDescent="0.3">
      <c r="D18528" s="1"/>
      <c r="G18528" s="13"/>
      <c r="AL18528" s="13"/>
    </row>
    <row r="18529" spans="4:39" x14ac:dyDescent="0.3">
      <c r="D18529" s="1"/>
      <c r="G18529" s="13"/>
      <c r="AL18529" s="13"/>
    </row>
    <row r="18530" spans="4:39" x14ac:dyDescent="0.3">
      <c r="D18530" s="1"/>
      <c r="G18530" s="13"/>
      <c r="AL18530" s="13"/>
    </row>
    <row r="18531" spans="4:39" x14ac:dyDescent="0.3">
      <c r="D18531" s="1"/>
      <c r="G18531" s="13"/>
      <c r="AL18531" s="13"/>
    </row>
    <row r="18532" spans="4:39" x14ac:dyDescent="0.3">
      <c r="D18532" s="1"/>
      <c r="G18532" s="13"/>
      <c r="AL18532" s="13"/>
    </row>
    <row r="18533" spans="4:39" x14ac:dyDescent="0.3">
      <c r="D18533" s="1"/>
      <c r="G18533" s="13"/>
      <c r="AL18533" s="13"/>
    </row>
    <row r="18534" spans="4:39" x14ac:dyDescent="0.3">
      <c r="D18534" s="1"/>
      <c r="G18534" s="13"/>
      <c r="AL18534" s="13"/>
    </row>
    <row r="18535" spans="4:39" x14ac:dyDescent="0.3">
      <c r="D18535" s="1"/>
      <c r="G18535" s="13"/>
      <c r="AL18535" s="13"/>
    </row>
    <row r="18536" spans="4:39" x14ac:dyDescent="0.3">
      <c r="D18536" s="1"/>
      <c r="G18536" s="13"/>
      <c r="AL18536" s="13"/>
      <c r="AM18536" s="14"/>
    </row>
    <row r="18537" spans="4:39" x14ac:dyDescent="0.3">
      <c r="D18537" s="1"/>
      <c r="G18537" s="13"/>
      <c r="AL18537" s="13"/>
    </row>
    <row r="18538" spans="4:39" x14ac:dyDescent="0.3">
      <c r="D18538" s="1"/>
      <c r="G18538" s="13"/>
      <c r="AL18538" s="13"/>
    </row>
    <row r="18539" spans="4:39" x14ac:dyDescent="0.3">
      <c r="D18539" s="1"/>
      <c r="G18539" s="13"/>
      <c r="AL18539" s="13"/>
    </row>
    <row r="18540" spans="4:39" x14ac:dyDescent="0.3">
      <c r="D18540" s="1"/>
      <c r="G18540" s="13"/>
      <c r="AL18540" s="13"/>
    </row>
    <row r="18541" spans="4:39" x14ac:dyDescent="0.3">
      <c r="D18541" s="1"/>
      <c r="G18541" s="13"/>
      <c r="AL18541" s="13"/>
      <c r="AM18541" s="14"/>
    </row>
    <row r="18542" spans="4:39" x14ac:dyDescent="0.3">
      <c r="D18542" s="1"/>
      <c r="G18542" s="13"/>
      <c r="AL18542" s="13"/>
    </row>
    <row r="18543" spans="4:39" x14ac:dyDescent="0.3">
      <c r="D18543" s="1"/>
      <c r="G18543" s="13"/>
      <c r="AL18543" s="13"/>
    </row>
    <row r="18544" spans="4:39" x14ac:dyDescent="0.3">
      <c r="D18544" s="1"/>
      <c r="G18544" s="13"/>
      <c r="AL18544" s="13"/>
    </row>
    <row r="18545" spans="4:39" x14ac:dyDescent="0.3">
      <c r="D18545" s="1"/>
      <c r="G18545" s="13"/>
      <c r="AL18545" s="13"/>
    </row>
    <row r="18546" spans="4:39" x14ac:dyDescent="0.3">
      <c r="D18546" s="1"/>
      <c r="G18546" s="13"/>
      <c r="AL18546" s="13"/>
    </row>
    <row r="18547" spans="4:39" x14ac:dyDescent="0.3">
      <c r="D18547" s="1"/>
      <c r="G18547" s="13"/>
      <c r="AL18547" s="13"/>
    </row>
    <row r="18548" spans="4:39" x14ac:dyDescent="0.3">
      <c r="D18548" s="1"/>
      <c r="G18548" s="13"/>
      <c r="AL18548" s="13"/>
    </row>
    <row r="18549" spans="4:39" x14ac:dyDescent="0.3">
      <c r="D18549" s="1"/>
      <c r="G18549" s="13"/>
      <c r="AL18549" s="13"/>
      <c r="AM18549" s="14"/>
    </row>
    <row r="18550" spans="4:39" x14ac:dyDescent="0.3">
      <c r="D18550" s="1"/>
      <c r="G18550" s="13"/>
      <c r="AL18550" s="13"/>
      <c r="AM18550" s="14"/>
    </row>
    <row r="18551" spans="4:39" x14ac:dyDescent="0.3">
      <c r="D18551" s="1"/>
      <c r="G18551" s="13"/>
      <c r="AL18551" s="13"/>
    </row>
    <row r="18552" spans="4:39" x14ac:dyDescent="0.3">
      <c r="D18552" s="1"/>
      <c r="G18552" s="13"/>
      <c r="AL18552" s="13"/>
    </row>
    <row r="18553" spans="4:39" x14ac:dyDescent="0.3">
      <c r="D18553" s="1"/>
      <c r="G18553" s="13"/>
      <c r="AL18553" s="13"/>
    </row>
    <row r="18554" spans="4:39" x14ac:dyDescent="0.3">
      <c r="D18554" s="1"/>
      <c r="G18554" s="13"/>
      <c r="AL18554" s="13"/>
    </row>
    <row r="18555" spans="4:39" x14ac:dyDescent="0.3">
      <c r="D18555" s="1"/>
      <c r="G18555" s="13"/>
      <c r="AL18555" s="13"/>
      <c r="AM18555" s="14"/>
    </row>
    <row r="18556" spans="4:39" x14ac:dyDescent="0.3">
      <c r="D18556" s="1"/>
      <c r="G18556" s="13"/>
      <c r="AL18556" s="13"/>
    </row>
    <row r="18557" spans="4:39" x14ac:dyDescent="0.3">
      <c r="D18557" s="1"/>
      <c r="G18557" s="13"/>
      <c r="AL18557" s="13"/>
    </row>
    <row r="18558" spans="4:39" x14ac:dyDescent="0.3">
      <c r="D18558" s="1"/>
      <c r="G18558" s="13"/>
      <c r="AL18558" s="13"/>
    </row>
    <row r="18559" spans="4:39" x14ac:dyDescent="0.3">
      <c r="D18559" s="1"/>
      <c r="G18559" s="13"/>
      <c r="AL18559" s="13"/>
    </row>
    <row r="18560" spans="4:39" x14ac:dyDescent="0.3">
      <c r="D18560" s="1"/>
      <c r="G18560" s="13"/>
      <c r="AL18560" s="13"/>
    </row>
    <row r="18561" spans="4:39" x14ac:dyDescent="0.3">
      <c r="D18561" s="1"/>
      <c r="G18561" s="13"/>
      <c r="AL18561" s="13"/>
    </row>
    <row r="18562" spans="4:39" x14ac:dyDescent="0.3">
      <c r="D18562" s="1"/>
      <c r="G18562" s="13"/>
      <c r="AL18562" s="13"/>
    </row>
    <row r="18563" spans="4:39" x14ac:dyDescent="0.3">
      <c r="D18563" s="1"/>
      <c r="G18563" s="13"/>
      <c r="AL18563" s="13"/>
      <c r="AM18563" s="14"/>
    </row>
    <row r="18564" spans="4:39" x14ac:dyDescent="0.3">
      <c r="D18564" s="1"/>
      <c r="G18564" s="13"/>
      <c r="AL18564" s="13"/>
    </row>
    <row r="18565" spans="4:39" x14ac:dyDescent="0.3">
      <c r="D18565" s="1"/>
      <c r="G18565" s="13"/>
      <c r="AL18565" s="13"/>
    </row>
    <row r="18566" spans="4:39" x14ac:dyDescent="0.3">
      <c r="D18566" s="1"/>
      <c r="G18566" s="13"/>
      <c r="AL18566" s="13"/>
    </row>
    <row r="18567" spans="4:39" x14ac:dyDescent="0.3">
      <c r="D18567" s="1"/>
      <c r="G18567" s="13"/>
      <c r="AL18567" s="13"/>
    </row>
    <row r="18568" spans="4:39" x14ac:dyDescent="0.3">
      <c r="D18568" s="1"/>
      <c r="G18568" s="13"/>
      <c r="AL18568" s="13"/>
    </row>
    <row r="18569" spans="4:39" x14ac:dyDescent="0.3">
      <c r="D18569" s="1"/>
      <c r="G18569" s="13"/>
      <c r="AL18569" s="13"/>
    </row>
    <row r="18570" spans="4:39" x14ac:dyDescent="0.3">
      <c r="D18570" s="1"/>
      <c r="G18570" s="13"/>
      <c r="AL18570" s="13"/>
    </row>
    <row r="18571" spans="4:39" x14ac:dyDescent="0.3">
      <c r="D18571" s="1"/>
      <c r="G18571" s="13"/>
      <c r="AL18571" s="13"/>
    </row>
    <row r="18572" spans="4:39" x14ac:dyDescent="0.3">
      <c r="D18572" s="1"/>
      <c r="G18572" s="13"/>
      <c r="AL18572" s="13"/>
    </row>
    <row r="18573" spans="4:39" x14ac:dyDescent="0.3">
      <c r="D18573" s="1"/>
      <c r="G18573" s="13"/>
      <c r="AL18573" s="13"/>
    </row>
    <row r="18574" spans="4:39" x14ac:dyDescent="0.3">
      <c r="D18574" s="1"/>
      <c r="G18574" s="13"/>
      <c r="AL18574" s="13"/>
    </row>
    <row r="18575" spans="4:39" x14ac:dyDescent="0.3">
      <c r="D18575" s="1"/>
      <c r="G18575" s="13"/>
      <c r="AL18575" s="13"/>
    </row>
    <row r="18576" spans="4:39" x14ac:dyDescent="0.3">
      <c r="D18576" s="1"/>
      <c r="G18576" s="13"/>
      <c r="AL18576" s="13"/>
    </row>
    <row r="18577" spans="4:39" x14ac:dyDescent="0.3">
      <c r="D18577" s="1"/>
      <c r="G18577" s="13"/>
      <c r="AL18577" s="13"/>
    </row>
    <row r="18578" spans="4:39" x14ac:dyDescent="0.3">
      <c r="D18578" s="1"/>
      <c r="G18578" s="13"/>
      <c r="AL18578" s="13"/>
    </row>
    <row r="18579" spans="4:39" x14ac:dyDescent="0.3">
      <c r="D18579" s="1"/>
      <c r="G18579" s="13"/>
      <c r="AL18579" s="13"/>
    </row>
    <row r="18580" spans="4:39" x14ac:dyDescent="0.3">
      <c r="D18580" s="1"/>
      <c r="G18580" s="13"/>
      <c r="AL18580" s="13"/>
    </row>
    <row r="18581" spans="4:39" x14ac:dyDescent="0.3">
      <c r="D18581" s="1"/>
      <c r="G18581" s="13"/>
      <c r="AL18581" s="13"/>
    </row>
    <row r="18582" spans="4:39" x14ac:dyDescent="0.3">
      <c r="D18582" s="1"/>
      <c r="G18582" s="13"/>
      <c r="AL18582" s="13"/>
    </row>
    <row r="18583" spans="4:39" x14ac:dyDescent="0.3">
      <c r="D18583" s="1"/>
      <c r="G18583" s="13"/>
      <c r="AL18583" s="13"/>
    </row>
    <row r="18584" spans="4:39" x14ac:dyDescent="0.3">
      <c r="D18584" s="1"/>
      <c r="G18584" s="13"/>
      <c r="AL18584" s="13"/>
      <c r="AM18584" s="14"/>
    </row>
    <row r="18585" spans="4:39" x14ac:dyDescent="0.3">
      <c r="D18585" s="1"/>
      <c r="G18585" s="13"/>
      <c r="AL18585" s="13"/>
    </row>
    <row r="18586" spans="4:39" x14ac:dyDescent="0.3">
      <c r="D18586" s="1"/>
      <c r="G18586" s="13"/>
      <c r="AL18586" s="13"/>
    </row>
    <row r="18587" spans="4:39" x14ac:dyDescent="0.3">
      <c r="D18587" s="1"/>
      <c r="G18587" s="13"/>
      <c r="AL18587" s="13"/>
    </row>
    <row r="18588" spans="4:39" x14ac:dyDescent="0.3">
      <c r="D18588" s="1"/>
      <c r="G18588" s="13"/>
      <c r="AL18588" s="13"/>
    </row>
    <row r="18589" spans="4:39" x14ac:dyDescent="0.3">
      <c r="D18589" s="1"/>
      <c r="G18589" s="13"/>
      <c r="AL18589" s="13"/>
    </row>
    <row r="18590" spans="4:39" x14ac:dyDescent="0.3">
      <c r="D18590" s="1"/>
      <c r="G18590" s="13"/>
      <c r="AL18590" s="13"/>
    </row>
    <row r="18591" spans="4:39" x14ac:dyDescent="0.3">
      <c r="D18591" s="1"/>
      <c r="G18591" s="13"/>
      <c r="AL18591" s="13"/>
    </row>
    <row r="18592" spans="4:39" x14ac:dyDescent="0.3">
      <c r="D18592" s="1"/>
      <c r="G18592" s="13"/>
      <c r="AL18592" s="13"/>
    </row>
    <row r="18593" spans="4:39" x14ac:dyDescent="0.3">
      <c r="D18593" s="1"/>
      <c r="G18593" s="13"/>
      <c r="AL18593" s="13"/>
    </row>
    <row r="18594" spans="4:39" x14ac:dyDescent="0.3">
      <c r="D18594" s="1"/>
      <c r="G18594" s="13"/>
      <c r="AL18594" s="13"/>
    </row>
    <row r="18595" spans="4:39" x14ac:dyDescent="0.3">
      <c r="D18595" s="1"/>
      <c r="G18595" s="13"/>
      <c r="AL18595" s="13"/>
    </row>
    <row r="18596" spans="4:39" x14ac:dyDescent="0.3">
      <c r="D18596" s="1"/>
      <c r="G18596" s="13"/>
      <c r="AL18596" s="13"/>
      <c r="AM18596" s="14"/>
    </row>
    <row r="18597" spans="4:39" x14ac:dyDescent="0.3">
      <c r="D18597" s="1"/>
      <c r="G18597" s="13"/>
      <c r="AL18597" s="13"/>
    </row>
    <row r="18598" spans="4:39" x14ac:dyDescent="0.3">
      <c r="D18598" s="1"/>
      <c r="G18598" s="13"/>
      <c r="AL18598" s="13"/>
    </row>
    <row r="18599" spans="4:39" x14ac:dyDescent="0.3">
      <c r="D18599" s="1"/>
      <c r="G18599" s="13"/>
      <c r="AL18599" s="13"/>
    </row>
    <row r="18600" spans="4:39" x14ac:dyDescent="0.3">
      <c r="D18600" s="1"/>
      <c r="G18600" s="13"/>
      <c r="AL18600" s="13"/>
    </row>
    <row r="18601" spans="4:39" x14ac:dyDescent="0.3">
      <c r="D18601" s="1"/>
      <c r="G18601" s="13"/>
      <c r="AL18601" s="13"/>
    </row>
    <row r="18602" spans="4:39" x14ac:dyDescent="0.3">
      <c r="D18602" s="1"/>
      <c r="G18602" s="13"/>
      <c r="AL18602" s="13"/>
    </row>
    <row r="18603" spans="4:39" x14ac:dyDescent="0.3">
      <c r="D18603" s="1"/>
      <c r="G18603" s="13"/>
      <c r="AL18603" s="13"/>
    </row>
    <row r="18604" spans="4:39" x14ac:dyDescent="0.3">
      <c r="D18604" s="1"/>
      <c r="G18604" s="13"/>
      <c r="AL18604" s="13"/>
    </row>
    <row r="18605" spans="4:39" x14ac:dyDescent="0.3">
      <c r="D18605" s="1"/>
      <c r="G18605" s="13"/>
      <c r="AL18605" s="13"/>
      <c r="AM18605" s="14"/>
    </row>
    <row r="18606" spans="4:39" x14ac:dyDescent="0.3">
      <c r="D18606" s="1"/>
      <c r="G18606" s="13"/>
      <c r="AL18606" s="13"/>
    </row>
    <row r="18607" spans="4:39" x14ac:dyDescent="0.3">
      <c r="D18607" s="1"/>
      <c r="G18607" s="13"/>
      <c r="AL18607" s="13"/>
    </row>
    <row r="18608" spans="4:39" x14ac:dyDescent="0.3">
      <c r="D18608" s="1"/>
      <c r="G18608" s="13"/>
      <c r="AL18608" s="13"/>
    </row>
    <row r="18609" spans="4:39" x14ac:dyDescent="0.3">
      <c r="D18609" s="1"/>
      <c r="G18609" s="13"/>
      <c r="AL18609" s="13"/>
    </row>
    <row r="18610" spans="4:39" x14ac:dyDescent="0.3">
      <c r="D18610" s="1"/>
      <c r="G18610" s="13"/>
      <c r="AL18610" s="13"/>
    </row>
    <row r="18611" spans="4:39" x14ac:dyDescent="0.3">
      <c r="D18611" s="1"/>
      <c r="G18611" s="13"/>
      <c r="AL18611" s="13"/>
    </row>
    <row r="18612" spans="4:39" x14ac:dyDescent="0.3">
      <c r="D18612" s="1"/>
      <c r="G18612" s="13"/>
      <c r="AL18612" s="13"/>
    </row>
    <row r="18613" spans="4:39" x14ac:dyDescent="0.3">
      <c r="D18613" s="1"/>
      <c r="G18613" s="13"/>
      <c r="AL18613" s="13"/>
    </row>
    <row r="18614" spans="4:39" x14ac:dyDescent="0.3">
      <c r="D18614" s="1"/>
      <c r="G18614" s="13"/>
      <c r="AL18614" s="13"/>
    </row>
    <row r="18615" spans="4:39" x14ac:dyDescent="0.3">
      <c r="D18615" s="1"/>
      <c r="G18615" s="13"/>
      <c r="AL18615" s="13"/>
      <c r="AM18615" s="14"/>
    </row>
    <row r="18616" spans="4:39" x14ac:dyDescent="0.3">
      <c r="D18616" s="1"/>
      <c r="G18616" s="13"/>
      <c r="AL18616" s="13"/>
      <c r="AM18616" s="14"/>
    </row>
    <row r="18617" spans="4:39" x14ac:dyDescent="0.3">
      <c r="D18617" s="1"/>
      <c r="G18617" s="13"/>
      <c r="AL18617" s="13"/>
    </row>
    <row r="18618" spans="4:39" x14ac:dyDescent="0.3">
      <c r="D18618" s="1"/>
      <c r="G18618" s="13"/>
      <c r="AL18618" s="13"/>
    </row>
    <row r="18619" spans="4:39" x14ac:dyDescent="0.3">
      <c r="D18619" s="1"/>
      <c r="G18619" s="13"/>
      <c r="AL18619" s="13"/>
      <c r="AM18619" s="14"/>
    </row>
    <row r="18620" spans="4:39" x14ac:dyDescent="0.3">
      <c r="D18620" s="1"/>
      <c r="G18620" s="13"/>
      <c r="AL18620" s="13"/>
    </row>
    <row r="18621" spans="4:39" x14ac:dyDescent="0.3">
      <c r="D18621" s="1"/>
      <c r="G18621" s="13"/>
      <c r="AL18621" s="13"/>
    </row>
    <row r="18622" spans="4:39" x14ac:dyDescent="0.3">
      <c r="D18622" s="1"/>
      <c r="G18622" s="13"/>
      <c r="AL18622" s="13"/>
      <c r="AM18622" s="14"/>
    </row>
    <row r="18623" spans="4:39" x14ac:dyDescent="0.3">
      <c r="D18623" s="1"/>
      <c r="G18623" s="13"/>
      <c r="AL18623" s="13"/>
    </row>
    <row r="18624" spans="4:39" x14ac:dyDescent="0.3">
      <c r="D18624" s="1"/>
      <c r="G18624" s="13"/>
      <c r="AL18624" s="13"/>
    </row>
    <row r="18625" spans="4:39" x14ac:dyDescent="0.3">
      <c r="D18625" s="1"/>
      <c r="G18625" s="13"/>
      <c r="AL18625" s="13"/>
    </row>
    <row r="18626" spans="4:39" x14ac:dyDescent="0.3">
      <c r="D18626" s="1"/>
      <c r="G18626" s="13"/>
      <c r="AL18626" s="13"/>
    </row>
    <row r="18627" spans="4:39" x14ac:dyDescent="0.3">
      <c r="D18627" s="1"/>
      <c r="G18627" s="13"/>
      <c r="AL18627" s="13"/>
    </row>
    <row r="18628" spans="4:39" x14ac:dyDescent="0.3">
      <c r="D18628" s="1"/>
      <c r="G18628" s="13"/>
      <c r="AL18628" s="13"/>
    </row>
    <row r="18629" spans="4:39" x14ac:dyDescent="0.3">
      <c r="D18629" s="1"/>
      <c r="G18629" s="13"/>
      <c r="AL18629" s="13"/>
      <c r="AM18629" s="14"/>
    </row>
    <row r="18630" spans="4:39" x14ac:dyDescent="0.3">
      <c r="D18630" s="1"/>
      <c r="G18630" s="13"/>
      <c r="AL18630" s="13"/>
    </row>
    <row r="18631" spans="4:39" x14ac:dyDescent="0.3">
      <c r="D18631" s="1"/>
      <c r="G18631" s="13"/>
      <c r="AL18631" s="13"/>
    </row>
    <row r="18632" spans="4:39" x14ac:dyDescent="0.3">
      <c r="D18632" s="1"/>
      <c r="G18632" s="13"/>
      <c r="AL18632" s="13"/>
    </row>
    <row r="18633" spans="4:39" x14ac:dyDescent="0.3">
      <c r="D18633" s="1"/>
      <c r="G18633" s="13"/>
      <c r="AL18633" s="13"/>
    </row>
    <row r="18634" spans="4:39" x14ac:dyDescent="0.3">
      <c r="D18634" s="1"/>
      <c r="G18634" s="13"/>
      <c r="AL18634" s="13"/>
      <c r="AM18634" s="14"/>
    </row>
    <row r="18635" spans="4:39" x14ac:dyDescent="0.3">
      <c r="D18635" s="1"/>
      <c r="G18635" s="13"/>
      <c r="AL18635" s="13"/>
    </row>
    <row r="18636" spans="4:39" x14ac:dyDescent="0.3">
      <c r="D18636" s="1"/>
      <c r="G18636" s="13"/>
      <c r="AL18636" s="13"/>
    </row>
    <row r="18637" spans="4:39" x14ac:dyDescent="0.3">
      <c r="D18637" s="1"/>
      <c r="G18637" s="13"/>
      <c r="AL18637" s="13"/>
    </row>
    <row r="18638" spans="4:39" x14ac:dyDescent="0.3">
      <c r="D18638" s="1"/>
      <c r="G18638" s="13"/>
      <c r="AL18638" s="13"/>
    </row>
    <row r="18639" spans="4:39" x14ac:dyDescent="0.3">
      <c r="D18639" s="1"/>
      <c r="G18639" s="13"/>
      <c r="AL18639" s="13"/>
    </row>
    <row r="18640" spans="4:39" x14ac:dyDescent="0.3">
      <c r="D18640" s="1"/>
      <c r="G18640" s="13"/>
      <c r="AL18640" s="13"/>
      <c r="AM18640" s="14"/>
    </row>
    <row r="18641" spans="4:39" x14ac:dyDescent="0.3">
      <c r="D18641" s="1"/>
      <c r="G18641" s="13"/>
      <c r="AL18641" s="13"/>
    </row>
    <row r="18642" spans="4:39" x14ac:dyDescent="0.3">
      <c r="D18642" s="1"/>
      <c r="G18642" s="13"/>
      <c r="AL18642" s="13"/>
    </row>
    <row r="18643" spans="4:39" x14ac:dyDescent="0.3">
      <c r="D18643" s="1"/>
      <c r="G18643" s="13"/>
      <c r="AL18643" s="13"/>
    </row>
    <row r="18644" spans="4:39" x14ac:dyDescent="0.3">
      <c r="D18644" s="1"/>
      <c r="G18644" s="13"/>
      <c r="AL18644" s="13"/>
    </row>
    <row r="18645" spans="4:39" x14ac:dyDescent="0.3">
      <c r="D18645" s="1"/>
      <c r="G18645" s="13"/>
      <c r="AL18645" s="13"/>
    </row>
    <row r="18646" spans="4:39" x14ac:dyDescent="0.3">
      <c r="D18646" s="1"/>
      <c r="G18646" s="13"/>
      <c r="AL18646" s="13"/>
    </row>
    <row r="18647" spans="4:39" x14ac:dyDescent="0.3">
      <c r="D18647" s="1"/>
      <c r="G18647" s="13"/>
      <c r="AL18647" s="13"/>
      <c r="AM18647" s="14"/>
    </row>
    <row r="18648" spans="4:39" x14ac:dyDescent="0.3">
      <c r="D18648" s="1"/>
      <c r="G18648" s="13"/>
      <c r="AL18648" s="13"/>
      <c r="AM18648" s="14"/>
    </row>
    <row r="18649" spans="4:39" x14ac:dyDescent="0.3">
      <c r="D18649" s="1"/>
      <c r="G18649" s="13"/>
      <c r="AL18649" s="13"/>
      <c r="AM18649" s="14"/>
    </row>
    <row r="18650" spans="4:39" x14ac:dyDescent="0.3">
      <c r="D18650" s="1"/>
      <c r="G18650" s="13"/>
      <c r="AL18650" s="13"/>
    </row>
    <row r="18651" spans="4:39" x14ac:dyDescent="0.3">
      <c r="D18651" s="1"/>
      <c r="G18651" s="13"/>
      <c r="AL18651" s="13"/>
      <c r="AM18651" s="14"/>
    </row>
    <row r="18652" spans="4:39" x14ac:dyDescent="0.3">
      <c r="D18652" s="1"/>
      <c r="G18652" s="13"/>
      <c r="AL18652" s="13"/>
      <c r="AM18652" s="14"/>
    </row>
    <row r="18653" spans="4:39" x14ac:dyDescent="0.3">
      <c r="D18653" s="1"/>
      <c r="G18653" s="13"/>
      <c r="AL18653" s="13"/>
      <c r="AM18653" s="14"/>
    </row>
    <row r="18654" spans="4:39" x14ac:dyDescent="0.3">
      <c r="D18654" s="1"/>
      <c r="G18654" s="13"/>
      <c r="AL18654" s="13"/>
    </row>
    <row r="18655" spans="4:39" x14ac:dyDescent="0.3">
      <c r="D18655" s="1"/>
      <c r="G18655" s="13"/>
      <c r="AL18655" s="13"/>
    </row>
    <row r="18656" spans="4:39" x14ac:dyDescent="0.3">
      <c r="D18656" s="1"/>
      <c r="G18656" s="13"/>
      <c r="AL18656" s="13"/>
      <c r="AM18656" s="14"/>
    </row>
    <row r="18657" spans="4:39" x14ac:dyDescent="0.3">
      <c r="D18657" s="1"/>
      <c r="G18657" s="13"/>
      <c r="AL18657" s="13"/>
      <c r="AM18657" s="14"/>
    </row>
    <row r="18658" spans="4:39" x14ac:dyDescent="0.3">
      <c r="D18658" s="1"/>
      <c r="G18658" s="13"/>
      <c r="AL18658" s="13"/>
    </row>
    <row r="18659" spans="4:39" x14ac:dyDescent="0.3">
      <c r="D18659" s="1"/>
      <c r="G18659" s="13"/>
      <c r="AL18659" s="13"/>
    </row>
    <row r="18660" spans="4:39" x14ac:dyDescent="0.3">
      <c r="D18660" s="1"/>
      <c r="G18660" s="13"/>
      <c r="AL18660" s="13"/>
    </row>
    <row r="18661" spans="4:39" x14ac:dyDescent="0.3">
      <c r="D18661" s="1"/>
      <c r="G18661" s="13"/>
      <c r="AL18661" s="13"/>
    </row>
    <row r="18662" spans="4:39" x14ac:dyDescent="0.3">
      <c r="D18662" s="1"/>
      <c r="G18662" s="13"/>
      <c r="AL18662" s="13"/>
    </row>
    <row r="18663" spans="4:39" x14ac:dyDescent="0.3">
      <c r="D18663" s="1"/>
      <c r="G18663" s="13"/>
    </row>
    <row r="18664" spans="4:39" x14ac:dyDescent="0.3">
      <c r="D18664" s="1"/>
      <c r="G18664" s="13"/>
      <c r="AL18664" s="13"/>
    </row>
    <row r="18665" spans="4:39" x14ac:dyDescent="0.3">
      <c r="D18665" s="1"/>
      <c r="G18665" s="13"/>
      <c r="AL18665" s="13"/>
    </row>
    <row r="18666" spans="4:39" x14ac:dyDescent="0.3">
      <c r="D18666" s="1"/>
      <c r="G18666" s="13"/>
    </row>
    <row r="18667" spans="4:39" x14ac:dyDescent="0.3">
      <c r="D18667" s="1"/>
      <c r="G18667" s="13"/>
      <c r="AL18667" s="13"/>
    </row>
    <row r="18668" spans="4:39" x14ac:dyDescent="0.3">
      <c r="D18668" s="1"/>
      <c r="G18668" s="13"/>
    </row>
    <row r="18669" spans="4:39" x14ac:dyDescent="0.3">
      <c r="D18669" s="1"/>
      <c r="G18669" s="13"/>
      <c r="AL18669" s="13"/>
    </row>
    <row r="18670" spans="4:39" x14ac:dyDescent="0.3">
      <c r="D18670" s="1"/>
      <c r="G18670" s="13"/>
    </row>
    <row r="18671" spans="4:39" x14ac:dyDescent="0.3">
      <c r="D18671" s="1"/>
      <c r="G18671" s="13"/>
      <c r="AL18671" s="13"/>
    </row>
    <row r="18672" spans="4:39" x14ac:dyDescent="0.3">
      <c r="D18672" s="1"/>
      <c r="G18672" s="13"/>
    </row>
    <row r="18673" spans="4:39" x14ac:dyDescent="0.3">
      <c r="D18673" s="1"/>
      <c r="G18673" s="13"/>
    </row>
    <row r="18674" spans="4:39" x14ac:dyDescent="0.3">
      <c r="D18674" s="1"/>
      <c r="G18674" s="13"/>
      <c r="AL18674" s="13"/>
    </row>
    <row r="18675" spans="4:39" x14ac:dyDescent="0.3">
      <c r="D18675" s="1"/>
      <c r="G18675" s="13"/>
      <c r="AL18675" s="13"/>
    </row>
    <row r="18676" spans="4:39" x14ac:dyDescent="0.3">
      <c r="D18676" s="1"/>
      <c r="G18676" s="13"/>
      <c r="AL18676" s="13"/>
    </row>
    <row r="18677" spans="4:39" x14ac:dyDescent="0.3">
      <c r="D18677" s="1"/>
      <c r="G18677" s="13"/>
      <c r="AL18677" s="13"/>
    </row>
    <row r="18678" spans="4:39" x14ac:dyDescent="0.3">
      <c r="D18678" s="1"/>
      <c r="G18678" s="13"/>
      <c r="AL18678" s="13"/>
    </row>
    <row r="18679" spans="4:39" x14ac:dyDescent="0.3">
      <c r="D18679" s="1"/>
      <c r="G18679" s="13"/>
    </row>
    <row r="18680" spans="4:39" x14ac:dyDescent="0.3">
      <c r="D18680" s="1"/>
      <c r="G18680" s="13"/>
      <c r="AL18680" s="13"/>
    </row>
    <row r="18681" spans="4:39" x14ac:dyDescent="0.3">
      <c r="D18681" s="1"/>
      <c r="G18681" s="13"/>
    </row>
    <row r="18682" spans="4:39" x14ac:dyDescent="0.3">
      <c r="D18682" s="1"/>
      <c r="G18682" s="13"/>
    </row>
    <row r="18683" spans="4:39" x14ac:dyDescent="0.3">
      <c r="D18683" s="1"/>
      <c r="G18683" s="13"/>
    </row>
    <row r="18684" spans="4:39" x14ac:dyDescent="0.3">
      <c r="D18684" s="1"/>
      <c r="G18684" s="13"/>
    </row>
    <row r="18685" spans="4:39" x14ac:dyDescent="0.3">
      <c r="D18685" s="1"/>
      <c r="G18685" s="13"/>
    </row>
    <row r="18686" spans="4:39" x14ac:dyDescent="0.3">
      <c r="D18686" s="1"/>
      <c r="G18686" s="13"/>
    </row>
    <row r="18687" spans="4:39" x14ac:dyDescent="0.3">
      <c r="D18687" s="1"/>
      <c r="G18687" s="13"/>
      <c r="AL18687" s="13"/>
    </row>
    <row r="18688" spans="4:39" x14ac:dyDescent="0.3">
      <c r="D18688" s="1"/>
      <c r="G18688" s="13"/>
      <c r="AL18688" s="13"/>
      <c r="AM18688" s="14"/>
    </row>
    <row r="18689" spans="4:38" x14ac:dyDescent="0.3">
      <c r="D18689" s="1"/>
      <c r="G18689" s="13"/>
    </row>
    <row r="18690" spans="4:38" x14ac:dyDescent="0.3">
      <c r="D18690" s="1"/>
      <c r="G18690" s="13"/>
      <c r="AL18690" s="13"/>
    </row>
    <row r="18691" spans="4:38" x14ac:dyDescent="0.3">
      <c r="D18691" s="1"/>
      <c r="G18691" s="13"/>
    </row>
    <row r="18692" spans="4:38" x14ac:dyDescent="0.3">
      <c r="D18692" s="1"/>
      <c r="G18692" s="13"/>
    </row>
    <row r="18693" spans="4:38" x14ac:dyDescent="0.3">
      <c r="D18693" s="1"/>
      <c r="G18693" s="13"/>
      <c r="AL18693" s="13"/>
    </row>
    <row r="18694" spans="4:38" x14ac:dyDescent="0.3">
      <c r="D18694" s="1"/>
      <c r="G18694" s="13"/>
      <c r="AL18694" s="13"/>
    </row>
    <row r="18695" spans="4:38" x14ac:dyDescent="0.3">
      <c r="D18695" s="1"/>
      <c r="G18695" s="13"/>
      <c r="AL18695" s="13"/>
    </row>
    <row r="18696" spans="4:38" x14ac:dyDescent="0.3">
      <c r="D18696" s="1"/>
      <c r="G18696" s="13"/>
      <c r="AL18696" s="13"/>
    </row>
    <row r="18697" spans="4:38" x14ac:dyDescent="0.3">
      <c r="D18697" s="1"/>
      <c r="G18697" s="13"/>
      <c r="AL18697" s="13"/>
    </row>
    <row r="18698" spans="4:38" x14ac:dyDescent="0.3">
      <c r="D18698" s="1"/>
      <c r="G18698" s="13"/>
      <c r="AL18698" s="13"/>
    </row>
    <row r="18699" spans="4:38" x14ac:dyDescent="0.3">
      <c r="D18699" s="1"/>
      <c r="G18699" s="13"/>
      <c r="AL18699" s="13"/>
    </row>
    <row r="18700" spans="4:38" x14ac:dyDescent="0.3">
      <c r="D18700" s="1"/>
      <c r="G18700" s="13"/>
      <c r="AL18700" s="13"/>
    </row>
    <row r="18701" spans="4:38" x14ac:dyDescent="0.3">
      <c r="D18701" s="1"/>
      <c r="G18701" s="13"/>
      <c r="AL18701" s="13"/>
    </row>
    <row r="18702" spans="4:38" x14ac:dyDescent="0.3">
      <c r="D18702" s="1"/>
      <c r="G18702" s="13"/>
      <c r="AL18702" s="13"/>
    </row>
    <row r="18703" spans="4:38" x14ac:dyDescent="0.3">
      <c r="D18703" s="1"/>
      <c r="G18703" s="13"/>
      <c r="AL18703" s="13"/>
    </row>
    <row r="18704" spans="4:38" x14ac:dyDescent="0.3">
      <c r="D18704" s="1"/>
      <c r="G18704" s="13"/>
      <c r="AL18704" s="13"/>
    </row>
    <row r="18705" spans="4:39" x14ac:dyDescent="0.3">
      <c r="D18705" s="1"/>
      <c r="G18705" s="13"/>
      <c r="AL18705" s="13"/>
    </row>
    <row r="18706" spans="4:39" x14ac:dyDescent="0.3">
      <c r="D18706" s="1"/>
      <c r="G18706" s="13"/>
      <c r="AL18706" s="13"/>
    </row>
    <row r="18707" spans="4:39" x14ac:dyDescent="0.3">
      <c r="D18707" s="1"/>
      <c r="G18707" s="13"/>
      <c r="AL18707" s="13"/>
    </row>
    <row r="18708" spans="4:39" x14ac:dyDescent="0.3">
      <c r="D18708" s="1"/>
      <c r="G18708" s="13"/>
      <c r="AL18708" s="13"/>
      <c r="AM18708" s="14"/>
    </row>
    <row r="18709" spans="4:39" x14ac:dyDescent="0.3">
      <c r="D18709" s="1"/>
      <c r="G18709" s="13"/>
      <c r="AL18709" s="13"/>
    </row>
    <row r="18710" spans="4:39" x14ac:dyDescent="0.3">
      <c r="D18710" s="1"/>
      <c r="G18710" s="13"/>
      <c r="AL18710" s="13"/>
      <c r="AM18710" s="14"/>
    </row>
    <row r="18711" spans="4:39" x14ac:dyDescent="0.3">
      <c r="D18711" s="1"/>
      <c r="G18711" s="13"/>
      <c r="AL18711" s="13"/>
    </row>
    <row r="18712" spans="4:39" x14ac:dyDescent="0.3">
      <c r="D18712" s="1"/>
      <c r="G18712" s="13"/>
      <c r="AL18712" s="13"/>
    </row>
    <row r="18713" spans="4:39" x14ac:dyDescent="0.3">
      <c r="D18713" s="1"/>
      <c r="G18713" s="13"/>
      <c r="AL18713" s="13"/>
    </row>
    <row r="18714" spans="4:39" x14ac:dyDescent="0.3">
      <c r="D18714" s="1"/>
      <c r="G18714" s="13"/>
      <c r="AL18714" s="13"/>
      <c r="AM18714" s="14"/>
    </row>
    <row r="18715" spans="4:39" x14ac:dyDescent="0.3">
      <c r="D18715" s="1"/>
      <c r="G18715" s="13"/>
      <c r="AL18715" s="13"/>
    </row>
    <row r="18716" spans="4:39" x14ac:dyDescent="0.3">
      <c r="D18716" s="1"/>
      <c r="G18716" s="13"/>
      <c r="AL18716" s="13"/>
    </row>
    <row r="18717" spans="4:39" x14ac:dyDescent="0.3">
      <c r="D18717" s="1"/>
      <c r="G18717" s="13"/>
      <c r="AL18717" s="13"/>
    </row>
    <row r="18718" spans="4:39" x14ac:dyDescent="0.3">
      <c r="D18718" s="1"/>
      <c r="G18718" s="13"/>
      <c r="AL18718" s="13"/>
    </row>
    <row r="18719" spans="4:39" x14ac:dyDescent="0.3">
      <c r="D18719" s="1"/>
      <c r="G18719" s="13"/>
      <c r="AL18719" s="13"/>
      <c r="AM18719" s="14"/>
    </row>
    <row r="18720" spans="4:39" x14ac:dyDescent="0.3">
      <c r="D18720" s="1"/>
      <c r="G18720" s="13"/>
      <c r="AL18720" s="13"/>
    </row>
    <row r="18721" spans="4:39" x14ac:dyDescent="0.3">
      <c r="D18721" s="1"/>
      <c r="G18721" s="13"/>
      <c r="AL18721" s="13"/>
    </row>
    <row r="18722" spans="4:39" x14ac:dyDescent="0.3">
      <c r="D18722" s="1"/>
      <c r="G18722" s="13"/>
      <c r="AL18722" s="13"/>
      <c r="AM18722" s="14"/>
    </row>
    <row r="18723" spans="4:39" x14ac:dyDescent="0.3">
      <c r="D18723" s="1"/>
      <c r="G18723" s="13"/>
      <c r="AL18723" s="13"/>
    </row>
    <row r="18724" spans="4:39" x14ac:dyDescent="0.3">
      <c r="D18724" s="1"/>
      <c r="G18724" s="13"/>
      <c r="AL18724" s="13"/>
    </row>
    <row r="18725" spans="4:39" x14ac:dyDescent="0.3">
      <c r="D18725" s="1"/>
      <c r="G18725" s="13"/>
      <c r="AL18725" s="13"/>
      <c r="AM18725" s="14"/>
    </row>
    <row r="18726" spans="4:39" x14ac:dyDescent="0.3">
      <c r="D18726" s="1"/>
      <c r="G18726" s="13"/>
      <c r="AL18726" s="13"/>
    </row>
    <row r="18727" spans="4:39" x14ac:dyDescent="0.3">
      <c r="D18727" s="1"/>
      <c r="G18727" s="13"/>
      <c r="AL18727" s="13"/>
      <c r="AM18727" s="14"/>
    </row>
    <row r="18728" spans="4:39" x14ac:dyDescent="0.3">
      <c r="D18728" s="1"/>
      <c r="G18728" s="13"/>
      <c r="AL18728" s="13"/>
    </row>
    <row r="18729" spans="4:39" x14ac:dyDescent="0.3">
      <c r="D18729" s="1"/>
      <c r="G18729" s="13"/>
      <c r="AL18729" s="13"/>
      <c r="AM18729" s="14"/>
    </row>
    <row r="18730" spans="4:39" x14ac:dyDescent="0.3">
      <c r="D18730" s="1"/>
      <c r="G18730" s="13"/>
      <c r="AL18730" s="13"/>
    </row>
    <row r="18731" spans="4:39" x14ac:dyDescent="0.3">
      <c r="D18731" s="1"/>
      <c r="G18731" s="13"/>
      <c r="AL18731" s="13"/>
    </row>
    <row r="18732" spans="4:39" x14ac:dyDescent="0.3">
      <c r="D18732" s="1"/>
      <c r="G18732" s="13"/>
      <c r="AL18732" s="13"/>
    </row>
    <row r="18733" spans="4:39" x14ac:dyDescent="0.3">
      <c r="D18733" s="1"/>
      <c r="G18733" s="13"/>
      <c r="AL18733" s="13"/>
      <c r="AM18733" s="14"/>
    </row>
    <row r="18734" spans="4:39" x14ac:dyDescent="0.3">
      <c r="D18734" s="1"/>
      <c r="G18734" s="13"/>
      <c r="AL18734" s="13"/>
      <c r="AM18734" s="14"/>
    </row>
    <row r="18735" spans="4:39" x14ac:dyDescent="0.3">
      <c r="D18735" s="1"/>
      <c r="G18735" s="13"/>
      <c r="AL18735" s="13"/>
    </row>
    <row r="18736" spans="4:39" x14ac:dyDescent="0.3">
      <c r="D18736" s="1"/>
      <c r="G18736" s="13"/>
      <c r="AL18736" s="13"/>
    </row>
    <row r="18737" spans="4:39" x14ac:dyDescent="0.3">
      <c r="D18737" s="1"/>
      <c r="G18737" s="13"/>
      <c r="AL18737" s="13"/>
    </row>
    <row r="18738" spans="4:39" x14ac:dyDescent="0.3">
      <c r="D18738" s="1"/>
      <c r="G18738" s="13"/>
      <c r="AL18738" s="13"/>
      <c r="AM18738" s="14"/>
    </row>
    <row r="18739" spans="4:39" x14ac:dyDescent="0.3">
      <c r="D18739" s="1"/>
      <c r="G18739" s="13"/>
      <c r="AL18739" s="13"/>
    </row>
    <row r="18740" spans="4:39" x14ac:dyDescent="0.3">
      <c r="D18740" s="1"/>
      <c r="G18740" s="13"/>
      <c r="AL18740" s="13"/>
    </row>
    <row r="18741" spans="4:39" x14ac:dyDescent="0.3">
      <c r="D18741" s="1"/>
      <c r="G18741" s="13"/>
      <c r="AL18741" s="13"/>
      <c r="AM18741" s="14"/>
    </row>
    <row r="18742" spans="4:39" x14ac:dyDescent="0.3">
      <c r="D18742" s="1"/>
      <c r="G18742" s="13"/>
      <c r="AL18742" s="13"/>
    </row>
    <row r="18743" spans="4:39" x14ac:dyDescent="0.3">
      <c r="D18743" s="1"/>
      <c r="G18743" s="13"/>
      <c r="AL18743" s="13"/>
      <c r="AM18743" s="14"/>
    </row>
    <row r="18744" spans="4:39" x14ac:dyDescent="0.3">
      <c r="D18744" s="1"/>
      <c r="G18744" s="13"/>
      <c r="AL18744" s="13"/>
    </row>
    <row r="18745" spans="4:39" x14ac:dyDescent="0.3">
      <c r="D18745" s="1"/>
      <c r="G18745" s="13"/>
      <c r="AL18745" s="13"/>
      <c r="AM18745" s="14"/>
    </row>
    <row r="18746" spans="4:39" x14ac:dyDescent="0.3">
      <c r="D18746" s="1"/>
      <c r="G18746" s="13"/>
      <c r="AL18746" s="13"/>
    </row>
    <row r="18747" spans="4:39" x14ac:dyDescent="0.3">
      <c r="D18747" s="1"/>
      <c r="G18747" s="13"/>
      <c r="AL18747" s="13"/>
    </row>
    <row r="18748" spans="4:39" x14ac:dyDescent="0.3">
      <c r="D18748" s="1"/>
      <c r="G18748" s="13"/>
      <c r="AL18748" s="13"/>
    </row>
    <row r="18749" spans="4:39" x14ac:dyDescent="0.3">
      <c r="D18749" s="1"/>
      <c r="G18749" s="13"/>
      <c r="AL18749" s="13"/>
    </row>
    <row r="18750" spans="4:39" x14ac:dyDescent="0.3">
      <c r="D18750" s="1"/>
      <c r="G18750" s="13"/>
      <c r="AL18750" s="13"/>
    </row>
    <row r="18751" spans="4:39" x14ac:dyDescent="0.3">
      <c r="D18751" s="1"/>
      <c r="G18751" s="13"/>
      <c r="AL18751" s="13"/>
    </row>
    <row r="18752" spans="4:39" x14ac:dyDescent="0.3">
      <c r="D18752" s="1"/>
      <c r="G18752" s="13"/>
      <c r="AL18752" s="13"/>
    </row>
    <row r="18753" spans="4:39" x14ac:dyDescent="0.3">
      <c r="D18753" s="1"/>
      <c r="G18753" s="13"/>
      <c r="AL18753" s="13"/>
    </row>
    <row r="18754" spans="4:39" x14ac:dyDescent="0.3">
      <c r="D18754" s="1"/>
      <c r="G18754" s="13"/>
      <c r="AL18754" s="13"/>
    </row>
    <row r="18755" spans="4:39" x14ac:dyDescent="0.3">
      <c r="D18755" s="1"/>
      <c r="G18755" s="13"/>
      <c r="AL18755" s="13"/>
    </row>
    <row r="18756" spans="4:39" x14ac:dyDescent="0.3">
      <c r="D18756" s="1"/>
      <c r="G18756" s="13"/>
      <c r="AL18756" s="13"/>
    </row>
    <row r="18757" spans="4:39" x14ac:dyDescent="0.3">
      <c r="D18757" s="1"/>
      <c r="G18757" s="13"/>
      <c r="AL18757" s="13"/>
      <c r="AM18757" s="14"/>
    </row>
    <row r="18758" spans="4:39" x14ac:dyDescent="0.3">
      <c r="D18758" s="1"/>
      <c r="G18758" s="13"/>
      <c r="AL18758" s="13"/>
    </row>
    <row r="18759" spans="4:39" x14ac:dyDescent="0.3">
      <c r="D18759" s="1"/>
      <c r="G18759" s="13"/>
      <c r="AL18759" s="13"/>
      <c r="AM18759" s="14"/>
    </row>
    <row r="18760" spans="4:39" x14ac:dyDescent="0.3">
      <c r="D18760" s="1"/>
      <c r="G18760" s="13"/>
      <c r="AL18760" s="13"/>
      <c r="AM18760" s="14"/>
    </row>
    <row r="18761" spans="4:39" x14ac:dyDescent="0.3">
      <c r="D18761" s="1"/>
      <c r="G18761" s="13"/>
      <c r="AL18761" s="13"/>
    </row>
    <row r="18762" spans="4:39" x14ac:dyDescent="0.3">
      <c r="D18762" s="1"/>
      <c r="G18762" s="13"/>
      <c r="AL18762" s="13"/>
      <c r="AM18762" s="14"/>
    </row>
    <row r="18763" spans="4:39" x14ac:dyDescent="0.3">
      <c r="D18763" s="1"/>
      <c r="G18763" s="13"/>
      <c r="AL18763" s="13"/>
    </row>
    <row r="18764" spans="4:39" x14ac:dyDescent="0.3">
      <c r="D18764" s="1"/>
      <c r="G18764" s="13"/>
      <c r="AL18764" s="13"/>
      <c r="AM18764" s="14"/>
    </row>
    <row r="18765" spans="4:39" x14ac:dyDescent="0.3">
      <c r="D18765" s="1"/>
      <c r="G18765" s="13"/>
      <c r="AL18765" s="13"/>
      <c r="AM18765" s="14"/>
    </row>
    <row r="18766" spans="4:39" x14ac:dyDescent="0.3">
      <c r="D18766" s="1"/>
      <c r="G18766" s="13"/>
      <c r="AL18766" s="13"/>
    </row>
    <row r="18767" spans="4:39" x14ac:dyDescent="0.3">
      <c r="D18767" s="1"/>
      <c r="G18767" s="13"/>
      <c r="AL18767" s="13"/>
      <c r="AM18767" s="14"/>
    </row>
    <row r="18768" spans="4:39" x14ac:dyDescent="0.3">
      <c r="D18768" s="1"/>
      <c r="G18768" s="13"/>
      <c r="AL18768" s="13"/>
    </row>
    <row r="18769" spans="4:39" x14ac:dyDescent="0.3">
      <c r="D18769" s="1"/>
      <c r="G18769" s="13"/>
      <c r="AL18769" s="13"/>
    </row>
    <row r="18770" spans="4:39" x14ac:dyDescent="0.3">
      <c r="D18770" s="1"/>
      <c r="G18770" s="13"/>
      <c r="AL18770" s="13"/>
      <c r="AM18770" s="14"/>
    </row>
    <row r="18771" spans="4:39" x14ac:dyDescent="0.3">
      <c r="D18771" s="1"/>
      <c r="G18771" s="13"/>
      <c r="AL18771" s="13"/>
      <c r="AM18771" s="14"/>
    </row>
    <row r="18772" spans="4:39" x14ac:dyDescent="0.3">
      <c r="D18772" s="1"/>
      <c r="G18772" s="13"/>
      <c r="AL18772" s="13"/>
    </row>
    <row r="18773" spans="4:39" x14ac:dyDescent="0.3">
      <c r="D18773" s="1"/>
      <c r="G18773" s="13"/>
      <c r="AL18773" s="13"/>
    </row>
    <row r="18774" spans="4:39" x14ac:dyDescent="0.3">
      <c r="D18774" s="1"/>
      <c r="G18774" s="13"/>
      <c r="AL18774" s="13"/>
      <c r="AM18774" s="14"/>
    </row>
    <row r="18775" spans="4:39" x14ac:dyDescent="0.3">
      <c r="D18775" s="1"/>
      <c r="G18775" s="13"/>
      <c r="AL18775" s="13"/>
      <c r="AM18775" s="14"/>
    </row>
    <row r="18776" spans="4:39" x14ac:dyDescent="0.3">
      <c r="D18776" s="1"/>
      <c r="G18776" s="13"/>
      <c r="AL18776" s="13"/>
    </row>
    <row r="18777" spans="4:39" x14ac:dyDescent="0.3">
      <c r="D18777" s="1"/>
      <c r="G18777" s="13"/>
      <c r="AL18777" s="13"/>
      <c r="AM18777" s="14"/>
    </row>
    <row r="18778" spans="4:39" x14ac:dyDescent="0.3">
      <c r="D18778" s="1"/>
      <c r="G18778" s="13"/>
      <c r="AL18778" s="13"/>
      <c r="AM18778" s="14"/>
    </row>
    <row r="18779" spans="4:39" x14ac:dyDescent="0.3">
      <c r="D18779" s="1"/>
      <c r="G18779" s="13"/>
      <c r="AL18779" s="13"/>
    </row>
    <row r="18780" spans="4:39" x14ac:dyDescent="0.3">
      <c r="D18780" s="1"/>
      <c r="G18780" s="13"/>
      <c r="AL18780" s="13"/>
    </row>
    <row r="18781" spans="4:39" x14ac:dyDescent="0.3">
      <c r="D18781" s="1"/>
      <c r="G18781" s="13"/>
      <c r="AL18781" s="13"/>
      <c r="AM18781" s="14"/>
    </row>
    <row r="18782" spans="4:39" x14ac:dyDescent="0.3">
      <c r="D18782" s="1"/>
      <c r="G18782" s="13"/>
      <c r="AL18782" s="13"/>
      <c r="AM18782" s="14"/>
    </row>
    <row r="18783" spans="4:39" x14ac:dyDescent="0.3">
      <c r="D18783" s="1"/>
      <c r="G18783" s="13"/>
      <c r="AL18783" s="13"/>
      <c r="AM18783" s="14"/>
    </row>
    <row r="18784" spans="4:39" x14ac:dyDescent="0.3">
      <c r="D18784" s="1"/>
      <c r="G18784" s="13"/>
      <c r="AL18784" s="13"/>
    </row>
    <row r="18785" spans="4:39" x14ac:dyDescent="0.3">
      <c r="D18785" s="1"/>
      <c r="G18785" s="13"/>
      <c r="AL18785" s="13"/>
    </row>
    <row r="18786" spans="4:39" x14ac:dyDescent="0.3">
      <c r="D18786" s="1"/>
      <c r="G18786" s="13"/>
      <c r="AL18786" s="13"/>
      <c r="AM18786" s="14"/>
    </row>
    <row r="18787" spans="4:39" x14ac:dyDescent="0.3">
      <c r="D18787" s="1"/>
      <c r="G18787" s="13"/>
      <c r="AL18787" s="13"/>
      <c r="AM18787" s="14"/>
    </row>
    <row r="18788" spans="4:39" x14ac:dyDescent="0.3">
      <c r="D18788" s="1"/>
      <c r="G18788" s="13"/>
      <c r="AL18788" s="13"/>
      <c r="AM18788" s="14"/>
    </row>
    <row r="18789" spans="4:39" x14ac:dyDescent="0.3">
      <c r="D18789" s="1"/>
      <c r="G18789" s="13"/>
      <c r="AL18789" s="13"/>
      <c r="AM18789" s="14"/>
    </row>
    <row r="18790" spans="4:39" x14ac:dyDescent="0.3">
      <c r="D18790" s="1"/>
      <c r="G18790" s="13"/>
      <c r="AL18790" s="13"/>
    </row>
    <row r="18791" spans="4:39" x14ac:dyDescent="0.3">
      <c r="D18791" s="1"/>
      <c r="G18791" s="13"/>
      <c r="AL18791" s="13"/>
    </row>
    <row r="18792" spans="4:39" x14ac:dyDescent="0.3">
      <c r="D18792" s="1"/>
      <c r="G18792" s="13"/>
      <c r="AL18792" s="13"/>
      <c r="AM18792" s="14"/>
    </row>
    <row r="18793" spans="4:39" x14ac:dyDescent="0.3">
      <c r="D18793" s="1"/>
      <c r="G18793" s="13"/>
      <c r="AL18793" s="13"/>
    </row>
    <row r="18794" spans="4:39" x14ac:dyDescent="0.3">
      <c r="D18794" s="1"/>
      <c r="G18794" s="13"/>
      <c r="AL18794" s="13"/>
    </row>
    <row r="18795" spans="4:39" x14ac:dyDescent="0.3">
      <c r="D18795" s="1"/>
      <c r="G18795" s="13"/>
      <c r="AL18795" s="13"/>
    </row>
    <row r="18796" spans="4:39" x14ac:dyDescent="0.3">
      <c r="D18796" s="1"/>
      <c r="G18796" s="13"/>
      <c r="AL18796" s="13"/>
    </row>
    <row r="18797" spans="4:39" x14ac:dyDescent="0.3">
      <c r="D18797" s="1"/>
      <c r="G18797" s="13"/>
      <c r="AL18797" s="13"/>
      <c r="AM18797" s="14"/>
    </row>
    <row r="18798" spans="4:39" x14ac:dyDescent="0.3">
      <c r="D18798" s="1"/>
      <c r="G18798" s="13"/>
      <c r="AL18798" s="13"/>
    </row>
    <row r="18799" spans="4:39" x14ac:dyDescent="0.3">
      <c r="D18799" s="1"/>
      <c r="G18799" s="13"/>
      <c r="AL18799" s="13"/>
    </row>
    <row r="18800" spans="4:39" x14ac:dyDescent="0.3">
      <c r="D18800" s="1"/>
      <c r="G18800" s="13"/>
      <c r="AL18800" s="13"/>
      <c r="AM18800" s="14"/>
    </row>
    <row r="18801" spans="4:39" x14ac:dyDescent="0.3">
      <c r="D18801" s="1"/>
      <c r="G18801" s="13"/>
      <c r="AL18801" s="13"/>
    </row>
    <row r="18802" spans="4:39" x14ac:dyDescent="0.3">
      <c r="D18802" s="1"/>
      <c r="G18802" s="13"/>
      <c r="AL18802" s="13"/>
      <c r="AM18802" s="14"/>
    </row>
    <row r="18803" spans="4:39" x14ac:dyDescent="0.3">
      <c r="D18803" s="1"/>
      <c r="G18803" s="13"/>
      <c r="AL18803" s="13"/>
      <c r="AM18803" s="14"/>
    </row>
    <row r="18804" spans="4:39" x14ac:dyDescent="0.3">
      <c r="D18804" s="1"/>
      <c r="G18804" s="13"/>
      <c r="AL18804" s="13"/>
    </row>
    <row r="18805" spans="4:39" x14ac:dyDescent="0.3">
      <c r="D18805" s="1"/>
      <c r="G18805" s="13"/>
      <c r="AL18805" s="13"/>
    </row>
    <row r="18806" spans="4:39" x14ac:dyDescent="0.3">
      <c r="D18806" s="1"/>
      <c r="G18806" s="13"/>
      <c r="AL18806" s="13"/>
    </row>
    <row r="18807" spans="4:39" x14ac:dyDescent="0.3">
      <c r="D18807" s="1"/>
      <c r="G18807" s="13"/>
      <c r="AL18807" s="13"/>
    </row>
    <row r="18808" spans="4:39" x14ac:dyDescent="0.3">
      <c r="D18808" s="1"/>
      <c r="G18808" s="13"/>
      <c r="AL18808" s="13"/>
    </row>
    <row r="18809" spans="4:39" x14ac:dyDescent="0.3">
      <c r="D18809" s="1"/>
      <c r="G18809" s="13"/>
      <c r="AL18809" s="13"/>
    </row>
    <row r="18810" spans="4:39" x14ac:dyDescent="0.3">
      <c r="D18810" s="1"/>
      <c r="G18810" s="13"/>
      <c r="AL18810" s="13"/>
      <c r="AM18810" s="14"/>
    </row>
    <row r="18811" spans="4:39" x14ac:dyDescent="0.3">
      <c r="D18811" s="1"/>
      <c r="G18811" s="13"/>
      <c r="AL18811" s="13"/>
      <c r="AM18811" s="14"/>
    </row>
    <row r="18812" spans="4:39" x14ac:dyDescent="0.3">
      <c r="D18812" s="1"/>
      <c r="G18812" s="13"/>
      <c r="AL18812" s="13"/>
    </row>
    <row r="18813" spans="4:39" x14ac:dyDescent="0.3">
      <c r="D18813" s="1"/>
      <c r="G18813" s="13"/>
      <c r="AL18813" s="13"/>
    </row>
    <row r="18814" spans="4:39" x14ac:dyDescent="0.3">
      <c r="D18814" s="1"/>
      <c r="G18814" s="13"/>
      <c r="AL18814" s="13"/>
      <c r="AM18814" s="14"/>
    </row>
    <row r="18815" spans="4:39" x14ac:dyDescent="0.3">
      <c r="D18815" s="1"/>
      <c r="G18815" s="13"/>
      <c r="AL18815" s="13"/>
    </row>
    <row r="18816" spans="4:39" x14ac:dyDescent="0.3">
      <c r="D18816" s="1"/>
      <c r="G18816" s="13"/>
      <c r="AL18816" s="13"/>
    </row>
    <row r="18817" spans="4:39" x14ac:dyDescent="0.3">
      <c r="D18817" s="1"/>
      <c r="G18817" s="13"/>
      <c r="AL18817" s="13"/>
    </row>
    <row r="18818" spans="4:39" x14ac:dyDescent="0.3">
      <c r="D18818" s="1"/>
      <c r="G18818" s="13"/>
      <c r="AL18818" s="13"/>
      <c r="AM18818" s="14"/>
    </row>
    <row r="18819" spans="4:39" x14ac:dyDescent="0.3">
      <c r="D18819" s="1"/>
      <c r="G18819" s="13"/>
      <c r="AL18819" s="13"/>
    </row>
    <row r="18820" spans="4:39" x14ac:dyDescent="0.3">
      <c r="D18820" s="1"/>
      <c r="G18820" s="13"/>
      <c r="AL18820" s="13"/>
    </row>
    <row r="18821" spans="4:39" x14ac:dyDescent="0.3">
      <c r="D18821" s="1"/>
      <c r="G18821" s="13"/>
      <c r="AL18821" s="13"/>
    </row>
    <row r="18822" spans="4:39" x14ac:dyDescent="0.3">
      <c r="D18822" s="1"/>
      <c r="G18822" s="13"/>
      <c r="AL18822" s="13"/>
    </row>
    <row r="18823" spans="4:39" x14ac:dyDescent="0.3">
      <c r="D18823" s="1"/>
      <c r="G18823" s="13"/>
      <c r="AL18823" s="13"/>
    </row>
    <row r="18824" spans="4:39" x14ac:dyDescent="0.3">
      <c r="D18824" s="1"/>
      <c r="G18824" s="13"/>
      <c r="AL18824" s="13"/>
      <c r="AM18824" s="14"/>
    </row>
    <row r="18825" spans="4:39" x14ac:dyDescent="0.3">
      <c r="D18825" s="1"/>
      <c r="G18825" s="13"/>
      <c r="AL18825" s="13"/>
    </row>
    <row r="18826" spans="4:39" x14ac:dyDescent="0.3">
      <c r="D18826" s="1"/>
      <c r="G18826" s="13"/>
      <c r="AL18826" s="13"/>
      <c r="AM18826" s="14"/>
    </row>
    <row r="18827" spans="4:39" x14ac:dyDescent="0.3">
      <c r="D18827" s="1"/>
      <c r="G18827" s="13"/>
      <c r="AL18827" s="13"/>
      <c r="AM18827" s="14"/>
    </row>
    <row r="18828" spans="4:39" x14ac:dyDescent="0.3">
      <c r="D18828" s="1"/>
      <c r="G18828" s="13"/>
      <c r="AL18828" s="13"/>
    </row>
    <row r="18829" spans="4:39" x14ac:dyDescent="0.3">
      <c r="D18829" s="1"/>
      <c r="G18829" s="13"/>
      <c r="AL18829" s="13"/>
      <c r="AM18829" s="14"/>
    </row>
    <row r="18830" spans="4:39" x14ac:dyDescent="0.3">
      <c r="D18830" s="1"/>
      <c r="G18830" s="13"/>
      <c r="AL18830" s="13"/>
    </row>
    <row r="18831" spans="4:39" x14ac:dyDescent="0.3">
      <c r="D18831" s="1"/>
      <c r="G18831" s="13"/>
      <c r="AL18831" s="13"/>
    </row>
    <row r="18832" spans="4:39" x14ac:dyDescent="0.3">
      <c r="D18832" s="1"/>
      <c r="G18832" s="13"/>
      <c r="AL18832" s="13"/>
    </row>
    <row r="18833" spans="4:39" x14ac:dyDescent="0.3">
      <c r="D18833" s="1"/>
      <c r="G18833" s="13"/>
      <c r="AL18833" s="13"/>
      <c r="AM18833" s="14"/>
    </row>
    <row r="18834" spans="4:39" x14ac:dyDescent="0.3">
      <c r="D18834" s="1"/>
      <c r="G18834" s="13"/>
      <c r="AL18834" s="13"/>
    </row>
    <row r="18835" spans="4:39" x14ac:dyDescent="0.3">
      <c r="D18835" s="1"/>
      <c r="G18835" s="13"/>
      <c r="AL18835" s="13"/>
      <c r="AM18835" s="14"/>
    </row>
    <row r="18836" spans="4:39" x14ac:dyDescent="0.3">
      <c r="D18836" s="1"/>
      <c r="G18836" s="13"/>
      <c r="AL18836" s="13"/>
      <c r="AM18836" s="14"/>
    </row>
    <row r="18837" spans="4:39" x14ac:dyDescent="0.3">
      <c r="D18837" s="1"/>
      <c r="G18837" s="13"/>
      <c r="AL18837" s="13"/>
      <c r="AM18837" s="14"/>
    </row>
    <row r="18838" spans="4:39" x14ac:dyDescent="0.3">
      <c r="D18838" s="1"/>
      <c r="G18838" s="13"/>
      <c r="AL18838" s="13"/>
    </row>
    <row r="18839" spans="4:39" x14ac:dyDescent="0.3">
      <c r="D18839" s="1"/>
      <c r="G18839" s="13"/>
      <c r="AL18839" s="13"/>
    </row>
    <row r="18840" spans="4:39" x14ac:dyDescent="0.3">
      <c r="D18840" s="1"/>
      <c r="G18840" s="13"/>
      <c r="AL18840" s="13"/>
    </row>
    <row r="18841" spans="4:39" x14ac:dyDescent="0.3">
      <c r="D18841" s="1"/>
      <c r="G18841" s="13"/>
      <c r="AL18841" s="13"/>
      <c r="AM18841" s="14"/>
    </row>
    <row r="18842" spans="4:39" x14ac:dyDescent="0.3">
      <c r="D18842" s="1"/>
      <c r="G18842" s="13"/>
      <c r="AL18842" s="13"/>
      <c r="AM18842" s="14"/>
    </row>
    <row r="18843" spans="4:39" x14ac:dyDescent="0.3">
      <c r="D18843" s="1"/>
      <c r="G18843" s="13"/>
      <c r="AL18843" s="13"/>
    </row>
    <row r="18844" spans="4:39" x14ac:dyDescent="0.3">
      <c r="D18844" s="1"/>
      <c r="G18844" s="13"/>
      <c r="AL18844" s="13"/>
    </row>
    <row r="18845" spans="4:39" x14ac:dyDescent="0.3">
      <c r="D18845" s="1"/>
      <c r="G18845" s="13"/>
      <c r="AL18845" s="13"/>
      <c r="AM18845" s="14"/>
    </row>
    <row r="18846" spans="4:39" x14ac:dyDescent="0.3">
      <c r="D18846" s="1"/>
      <c r="G18846" s="13"/>
      <c r="AL18846" s="13"/>
    </row>
    <row r="18847" spans="4:39" x14ac:dyDescent="0.3">
      <c r="D18847" s="1"/>
      <c r="G18847" s="13"/>
      <c r="AL18847" s="13"/>
      <c r="AM18847" s="14"/>
    </row>
    <row r="18848" spans="4:39" x14ac:dyDescent="0.3">
      <c r="D18848" s="1"/>
      <c r="G18848" s="13"/>
      <c r="AL18848" s="13"/>
    </row>
    <row r="18849" spans="4:39" x14ac:dyDescent="0.3">
      <c r="D18849" s="1"/>
      <c r="G18849" s="13"/>
      <c r="AL18849" s="13"/>
    </row>
    <row r="18850" spans="4:39" x14ac:dyDescent="0.3">
      <c r="D18850" s="1"/>
      <c r="G18850" s="13"/>
      <c r="AL18850" s="13"/>
    </row>
    <row r="18851" spans="4:39" x14ac:dyDescent="0.3">
      <c r="D18851" s="1"/>
      <c r="G18851" s="13"/>
      <c r="AL18851" s="13"/>
      <c r="AM18851" s="14"/>
    </row>
    <row r="18852" spans="4:39" x14ac:dyDescent="0.3">
      <c r="D18852" s="1"/>
      <c r="G18852" s="13"/>
      <c r="AL18852" s="13"/>
      <c r="AM18852" s="14"/>
    </row>
    <row r="18853" spans="4:39" x14ac:dyDescent="0.3">
      <c r="D18853" s="1"/>
      <c r="G18853" s="13"/>
      <c r="AL18853" s="13"/>
      <c r="AM18853" s="14"/>
    </row>
    <row r="18854" spans="4:39" x14ac:dyDescent="0.3">
      <c r="D18854" s="1"/>
      <c r="G18854" s="13"/>
      <c r="AL18854" s="13"/>
    </row>
    <row r="18855" spans="4:39" x14ac:dyDescent="0.3">
      <c r="D18855" s="1"/>
      <c r="G18855" s="13"/>
      <c r="AL18855" s="13"/>
      <c r="AM18855" s="14"/>
    </row>
    <row r="18856" spans="4:39" x14ac:dyDescent="0.3">
      <c r="D18856" s="1"/>
      <c r="G18856" s="13"/>
      <c r="AL18856" s="13"/>
    </row>
    <row r="18857" spans="4:39" x14ac:dyDescent="0.3">
      <c r="D18857" s="1"/>
      <c r="G18857" s="13"/>
      <c r="AL18857" s="13"/>
    </row>
    <row r="18858" spans="4:39" x14ac:dyDescent="0.3">
      <c r="D18858" s="1"/>
      <c r="G18858" s="13"/>
      <c r="AL18858" s="13"/>
    </row>
    <row r="18859" spans="4:39" x14ac:dyDescent="0.3">
      <c r="D18859" s="1"/>
      <c r="G18859" s="13"/>
      <c r="AL18859" s="13"/>
      <c r="AM18859" s="14"/>
    </row>
    <row r="18860" spans="4:39" x14ac:dyDescent="0.3">
      <c r="D18860" s="1"/>
      <c r="G18860" s="13"/>
      <c r="AL18860" s="13"/>
      <c r="AM18860" s="14"/>
    </row>
    <row r="18861" spans="4:39" x14ac:dyDescent="0.3">
      <c r="D18861" s="1"/>
      <c r="G18861" s="13"/>
      <c r="AL18861" s="13"/>
    </row>
    <row r="18862" spans="4:39" x14ac:dyDescent="0.3">
      <c r="D18862" s="1"/>
      <c r="G18862" s="13"/>
      <c r="AL18862" s="13"/>
      <c r="AM18862" s="14"/>
    </row>
    <row r="18863" spans="4:39" x14ac:dyDescent="0.3">
      <c r="D18863" s="1"/>
      <c r="G18863" s="13"/>
      <c r="AL18863" s="13"/>
      <c r="AM18863" s="14"/>
    </row>
    <row r="18864" spans="4:39" x14ac:dyDescent="0.3">
      <c r="D18864" s="1"/>
      <c r="G18864" s="13"/>
      <c r="AL18864" s="13"/>
    </row>
    <row r="18865" spans="4:39" x14ac:dyDescent="0.3">
      <c r="D18865" s="1"/>
      <c r="G18865" s="13"/>
      <c r="AL18865" s="13"/>
      <c r="AM18865" s="14"/>
    </row>
    <row r="18866" spans="4:39" x14ac:dyDescent="0.3">
      <c r="D18866" s="1"/>
      <c r="G18866" s="13"/>
      <c r="AL18866" s="13"/>
      <c r="AM18866" s="14"/>
    </row>
    <row r="18867" spans="4:39" x14ac:dyDescent="0.3">
      <c r="D18867" s="1"/>
      <c r="G18867" s="13"/>
      <c r="AL18867" s="13"/>
    </row>
    <row r="18868" spans="4:39" x14ac:dyDescent="0.3">
      <c r="D18868" s="1"/>
      <c r="G18868" s="13"/>
      <c r="AL18868" s="13"/>
      <c r="AM18868" s="14"/>
    </row>
    <row r="18869" spans="4:39" x14ac:dyDescent="0.3">
      <c r="D18869" s="1"/>
      <c r="G18869" s="13"/>
      <c r="AL18869" s="13"/>
      <c r="AM18869" s="14"/>
    </row>
    <row r="18870" spans="4:39" x14ac:dyDescent="0.3">
      <c r="D18870" s="1"/>
      <c r="G18870" s="13"/>
      <c r="AL18870" s="13"/>
      <c r="AM18870" s="14"/>
    </row>
    <row r="18871" spans="4:39" x14ac:dyDescent="0.3">
      <c r="D18871" s="1"/>
      <c r="G18871" s="13"/>
      <c r="AL18871" s="13"/>
      <c r="AM18871" s="14"/>
    </row>
    <row r="18872" spans="4:39" x14ac:dyDescent="0.3">
      <c r="D18872" s="1"/>
      <c r="G18872" s="13"/>
      <c r="AL18872" s="13"/>
    </row>
    <row r="18873" spans="4:39" x14ac:dyDescent="0.3">
      <c r="D18873" s="1"/>
      <c r="G18873" s="13"/>
      <c r="AL18873" s="13"/>
      <c r="AM18873" s="14"/>
    </row>
    <row r="18874" spans="4:39" x14ac:dyDescent="0.3">
      <c r="D18874" s="1"/>
      <c r="G18874" s="13"/>
      <c r="AL18874" s="13"/>
    </row>
    <row r="18875" spans="4:39" x14ac:dyDescent="0.3">
      <c r="D18875" s="1"/>
      <c r="G18875" s="13"/>
      <c r="AL18875" s="13"/>
    </row>
    <row r="18876" spans="4:39" x14ac:dyDescent="0.3">
      <c r="D18876" s="1"/>
      <c r="G18876" s="13"/>
      <c r="AL18876" s="13"/>
    </row>
    <row r="18877" spans="4:39" x14ac:dyDescent="0.3">
      <c r="D18877" s="1"/>
      <c r="G18877" s="13"/>
      <c r="AL18877" s="13"/>
      <c r="AM18877" s="14"/>
    </row>
    <row r="18878" spans="4:39" x14ac:dyDescent="0.3">
      <c r="D18878" s="1"/>
      <c r="G18878" s="13"/>
      <c r="AL18878" s="13"/>
      <c r="AM18878" s="14"/>
    </row>
    <row r="18879" spans="4:39" x14ac:dyDescent="0.3">
      <c r="D18879" s="1"/>
      <c r="G18879" s="13"/>
      <c r="AL18879" s="13"/>
      <c r="AM18879" s="14"/>
    </row>
    <row r="18880" spans="4:39" x14ac:dyDescent="0.3">
      <c r="D18880" s="1"/>
      <c r="G18880" s="13"/>
      <c r="AL18880" s="13"/>
      <c r="AM18880" s="14"/>
    </row>
    <row r="18881" spans="4:39" x14ac:dyDescent="0.3">
      <c r="D18881" s="1"/>
      <c r="G18881" s="13"/>
      <c r="AL18881" s="13"/>
    </row>
    <row r="18882" spans="4:39" x14ac:dyDescent="0.3">
      <c r="D18882" s="1"/>
      <c r="G18882" s="13"/>
      <c r="AL18882" s="13"/>
    </row>
    <row r="18883" spans="4:39" x14ac:dyDescent="0.3">
      <c r="D18883" s="1"/>
      <c r="G18883" s="13"/>
      <c r="AL18883" s="13"/>
    </row>
    <row r="18884" spans="4:39" x14ac:dyDescent="0.3">
      <c r="D18884" s="1"/>
      <c r="G18884" s="13"/>
      <c r="AL18884" s="13"/>
    </row>
    <row r="18885" spans="4:39" x14ac:dyDescent="0.3">
      <c r="D18885" s="1"/>
      <c r="G18885" s="13"/>
      <c r="AL18885" s="13"/>
      <c r="AM18885" s="14"/>
    </row>
    <row r="18886" spans="4:39" x14ac:dyDescent="0.3">
      <c r="D18886" s="1"/>
      <c r="G18886" s="13"/>
      <c r="AL18886" s="13"/>
      <c r="AM18886" s="14"/>
    </row>
    <row r="18887" spans="4:39" x14ac:dyDescent="0.3">
      <c r="D18887" s="1"/>
      <c r="G18887" s="13"/>
      <c r="AL18887" s="13"/>
    </row>
    <row r="18888" spans="4:39" x14ac:dyDescent="0.3">
      <c r="D18888" s="1"/>
      <c r="G18888" s="13"/>
      <c r="AL18888" s="13"/>
    </row>
    <row r="18889" spans="4:39" x14ac:dyDescent="0.3">
      <c r="D18889" s="1"/>
      <c r="G18889" s="13"/>
      <c r="AL18889" s="13"/>
      <c r="AM18889" s="14"/>
    </row>
    <row r="18890" spans="4:39" x14ac:dyDescent="0.3">
      <c r="D18890" s="1"/>
      <c r="G18890" s="13"/>
      <c r="AL18890" s="13"/>
      <c r="AM18890" s="14"/>
    </row>
    <row r="18891" spans="4:39" x14ac:dyDescent="0.3">
      <c r="D18891" s="1"/>
      <c r="G18891" s="13"/>
      <c r="AL18891" s="13"/>
    </row>
    <row r="18892" spans="4:39" x14ac:dyDescent="0.3">
      <c r="D18892" s="1"/>
      <c r="G18892" s="13"/>
      <c r="AL18892" s="13"/>
      <c r="AM18892" s="14"/>
    </row>
    <row r="18893" spans="4:39" x14ac:dyDescent="0.3">
      <c r="D18893" s="1"/>
      <c r="G18893" s="13"/>
      <c r="AL18893" s="13"/>
    </row>
    <row r="18894" spans="4:39" x14ac:dyDescent="0.3">
      <c r="D18894" s="1"/>
      <c r="G18894" s="13"/>
      <c r="AL18894" s="13"/>
    </row>
    <row r="18895" spans="4:39" x14ac:dyDescent="0.3">
      <c r="D18895" s="1"/>
      <c r="G18895" s="13"/>
      <c r="AL18895" s="13"/>
      <c r="AM18895" s="14"/>
    </row>
    <row r="18896" spans="4:39" x14ac:dyDescent="0.3">
      <c r="D18896" s="1"/>
      <c r="G18896" s="13"/>
      <c r="AL18896" s="13"/>
    </row>
    <row r="18897" spans="4:39" x14ac:dyDescent="0.3">
      <c r="D18897" s="1"/>
      <c r="G18897" s="13"/>
      <c r="AL18897" s="13"/>
    </row>
    <row r="18898" spans="4:39" x14ac:dyDescent="0.3">
      <c r="D18898" s="1"/>
      <c r="G18898" s="13"/>
      <c r="AL18898" s="13"/>
      <c r="AM18898" s="14"/>
    </row>
    <row r="18899" spans="4:39" x14ac:dyDescent="0.3">
      <c r="D18899" s="1"/>
      <c r="G18899" s="13"/>
      <c r="AL18899" s="13"/>
    </row>
    <row r="18900" spans="4:39" x14ac:dyDescent="0.3">
      <c r="D18900" s="1"/>
      <c r="G18900" s="13"/>
      <c r="AL18900" s="13"/>
    </row>
    <row r="18901" spans="4:39" x14ac:dyDescent="0.3">
      <c r="D18901" s="1"/>
      <c r="G18901" s="13"/>
      <c r="AL18901" s="13"/>
    </row>
    <row r="18902" spans="4:39" x14ac:dyDescent="0.3">
      <c r="D18902" s="1"/>
      <c r="G18902" s="13"/>
      <c r="AL18902" s="13"/>
    </row>
    <row r="18903" spans="4:39" x14ac:dyDescent="0.3">
      <c r="D18903" s="1"/>
      <c r="G18903" s="13"/>
      <c r="AL18903" s="13"/>
    </row>
    <row r="18904" spans="4:39" x14ac:dyDescent="0.3">
      <c r="D18904" s="1"/>
      <c r="G18904" s="13"/>
      <c r="AL18904" s="13"/>
      <c r="AM18904" s="14"/>
    </row>
    <row r="18905" spans="4:39" x14ac:dyDescent="0.3">
      <c r="D18905" s="1"/>
      <c r="G18905" s="13"/>
      <c r="AL18905" s="13"/>
    </row>
    <row r="18906" spans="4:39" x14ac:dyDescent="0.3">
      <c r="D18906" s="1"/>
      <c r="G18906" s="13"/>
      <c r="AL18906" s="13"/>
      <c r="AM18906" s="14"/>
    </row>
    <row r="18907" spans="4:39" x14ac:dyDescent="0.3">
      <c r="D18907" s="1"/>
      <c r="G18907" s="13"/>
      <c r="AL18907" s="13"/>
      <c r="AM18907" s="14"/>
    </row>
    <row r="18908" spans="4:39" x14ac:dyDescent="0.3">
      <c r="D18908" s="1"/>
      <c r="G18908" s="13"/>
      <c r="AL18908" s="13"/>
      <c r="AM18908" s="14"/>
    </row>
    <row r="18909" spans="4:39" x14ac:dyDescent="0.3">
      <c r="D18909" s="1"/>
      <c r="G18909" s="13"/>
      <c r="AL18909" s="13"/>
    </row>
    <row r="18910" spans="4:39" x14ac:dyDescent="0.3">
      <c r="D18910" s="1"/>
      <c r="G18910" s="13"/>
      <c r="AL18910" s="13"/>
      <c r="AM18910" s="14"/>
    </row>
    <row r="18911" spans="4:39" x14ac:dyDescent="0.3">
      <c r="D18911" s="1"/>
      <c r="G18911" s="13"/>
      <c r="AL18911" s="13"/>
    </row>
    <row r="18912" spans="4:39" x14ac:dyDescent="0.3">
      <c r="D18912" s="1"/>
      <c r="G18912" s="13"/>
      <c r="AL18912" s="13"/>
    </row>
    <row r="18913" spans="4:39" x14ac:dyDescent="0.3">
      <c r="D18913" s="1"/>
      <c r="G18913" s="13"/>
      <c r="AL18913" s="13"/>
    </row>
    <row r="18914" spans="4:39" x14ac:dyDescent="0.3">
      <c r="D18914" s="1"/>
      <c r="G18914" s="13"/>
      <c r="AL18914" s="13"/>
    </row>
    <row r="18915" spans="4:39" x14ac:dyDescent="0.3">
      <c r="D18915" s="1"/>
      <c r="G18915" s="13"/>
      <c r="AL18915" s="13"/>
      <c r="AM18915" s="14"/>
    </row>
    <row r="18916" spans="4:39" x14ac:dyDescent="0.3">
      <c r="D18916" s="1"/>
      <c r="G18916" s="13"/>
      <c r="AL18916" s="13"/>
    </row>
    <row r="18917" spans="4:39" x14ac:dyDescent="0.3">
      <c r="D18917" s="1"/>
      <c r="G18917" s="13"/>
      <c r="AL18917" s="13"/>
      <c r="AM18917" s="14"/>
    </row>
    <row r="18918" spans="4:39" x14ac:dyDescent="0.3">
      <c r="D18918" s="1"/>
      <c r="G18918" s="13"/>
      <c r="AL18918" s="13"/>
      <c r="AM18918" s="14"/>
    </row>
    <row r="18919" spans="4:39" x14ac:dyDescent="0.3">
      <c r="D18919" s="1"/>
      <c r="G18919" s="13"/>
      <c r="AL18919" s="13"/>
    </row>
    <row r="18920" spans="4:39" x14ac:dyDescent="0.3">
      <c r="D18920" s="1"/>
      <c r="G18920" s="13"/>
      <c r="AL18920" s="13"/>
    </row>
    <row r="18921" spans="4:39" x14ac:dyDescent="0.3">
      <c r="D18921" s="1"/>
      <c r="G18921" s="13"/>
      <c r="AL18921" s="13"/>
    </row>
    <row r="18922" spans="4:39" x14ac:dyDescent="0.3">
      <c r="D18922" s="1"/>
      <c r="G18922" s="13"/>
      <c r="AL18922" s="13"/>
    </row>
    <row r="18923" spans="4:39" x14ac:dyDescent="0.3">
      <c r="D18923" s="1"/>
      <c r="G18923" s="13"/>
      <c r="AL18923" s="13"/>
      <c r="AM18923" s="14"/>
    </row>
    <row r="18924" spans="4:39" x14ac:dyDescent="0.3">
      <c r="D18924" s="1"/>
      <c r="G18924" s="13"/>
      <c r="AL18924" s="13"/>
      <c r="AM18924" s="14"/>
    </row>
    <row r="18925" spans="4:39" x14ac:dyDescent="0.3">
      <c r="D18925" s="1"/>
      <c r="G18925" s="13"/>
      <c r="AL18925" s="13"/>
      <c r="AM18925" s="14"/>
    </row>
    <row r="18926" spans="4:39" x14ac:dyDescent="0.3">
      <c r="D18926" s="1"/>
      <c r="G18926" s="13"/>
      <c r="AL18926" s="13"/>
    </row>
    <row r="18927" spans="4:39" x14ac:dyDescent="0.3">
      <c r="D18927" s="1"/>
      <c r="G18927" s="13"/>
      <c r="AL18927" s="13"/>
    </row>
    <row r="18928" spans="4:39" x14ac:dyDescent="0.3">
      <c r="D18928" s="1"/>
      <c r="G18928" s="13"/>
      <c r="AL18928" s="13"/>
      <c r="AM18928" s="14"/>
    </row>
    <row r="18929" spans="4:39" x14ac:dyDescent="0.3">
      <c r="D18929" s="1"/>
      <c r="G18929" s="13"/>
      <c r="AL18929" s="13"/>
    </row>
    <row r="18930" spans="4:39" x14ac:dyDescent="0.3">
      <c r="D18930" s="1"/>
      <c r="G18930" s="13"/>
      <c r="AL18930" s="13"/>
    </row>
    <row r="18931" spans="4:39" x14ac:dyDescent="0.3">
      <c r="D18931" s="1"/>
      <c r="G18931" s="13"/>
      <c r="AL18931" s="13"/>
    </row>
    <row r="18932" spans="4:39" x14ac:dyDescent="0.3">
      <c r="D18932" s="1"/>
      <c r="G18932" s="13"/>
      <c r="AL18932" s="13"/>
      <c r="AM18932" s="14"/>
    </row>
    <row r="18933" spans="4:39" x14ac:dyDescent="0.3">
      <c r="D18933" s="1"/>
      <c r="G18933" s="13"/>
      <c r="AL18933" s="13"/>
    </row>
    <row r="18934" spans="4:39" x14ac:dyDescent="0.3">
      <c r="D18934" s="1"/>
      <c r="G18934" s="13"/>
      <c r="AL18934" s="13"/>
    </row>
    <row r="18935" spans="4:39" x14ac:dyDescent="0.3">
      <c r="D18935" s="1"/>
      <c r="G18935" s="13"/>
      <c r="AL18935" s="13"/>
      <c r="AM18935" s="14"/>
    </row>
    <row r="18936" spans="4:39" x14ac:dyDescent="0.3">
      <c r="D18936" s="1"/>
      <c r="G18936" s="13"/>
      <c r="AL18936" s="13"/>
      <c r="AM18936" s="14"/>
    </row>
    <row r="18937" spans="4:39" x14ac:dyDescent="0.3">
      <c r="D18937" s="1"/>
      <c r="G18937" s="13"/>
      <c r="AL18937" s="13"/>
    </row>
    <row r="18938" spans="4:39" x14ac:dyDescent="0.3">
      <c r="D18938" s="1"/>
      <c r="G18938" s="13"/>
      <c r="AL18938" s="13"/>
      <c r="AM18938" s="14"/>
    </row>
    <row r="18939" spans="4:39" x14ac:dyDescent="0.3">
      <c r="D18939" s="1"/>
      <c r="G18939" s="13"/>
      <c r="AL18939" s="13"/>
    </row>
    <row r="18940" spans="4:39" x14ac:dyDescent="0.3">
      <c r="D18940" s="1"/>
      <c r="G18940" s="13"/>
      <c r="AL18940" s="13"/>
    </row>
    <row r="18941" spans="4:39" x14ac:dyDescent="0.3">
      <c r="D18941" s="1"/>
      <c r="G18941" s="13"/>
      <c r="AL18941" s="13"/>
    </row>
    <row r="18942" spans="4:39" x14ac:dyDescent="0.3">
      <c r="D18942" s="1"/>
      <c r="G18942" s="13"/>
      <c r="AL18942" s="13"/>
      <c r="AM18942" s="14"/>
    </row>
    <row r="18943" spans="4:39" x14ac:dyDescent="0.3">
      <c r="D18943" s="1"/>
      <c r="G18943" s="13"/>
      <c r="AL18943" s="13"/>
    </row>
    <row r="18944" spans="4:39" x14ac:dyDescent="0.3">
      <c r="D18944" s="1"/>
      <c r="G18944" s="13"/>
      <c r="AL18944" s="13"/>
      <c r="AM18944" s="14"/>
    </row>
    <row r="18945" spans="4:39" x14ac:dyDescent="0.3">
      <c r="D18945" s="1"/>
      <c r="G18945" s="13"/>
      <c r="AL18945" s="13"/>
    </row>
    <row r="18946" spans="4:39" x14ac:dyDescent="0.3">
      <c r="D18946" s="1"/>
      <c r="G18946" s="13"/>
      <c r="AL18946" s="13"/>
    </row>
    <row r="18947" spans="4:39" x14ac:dyDescent="0.3">
      <c r="D18947" s="1"/>
      <c r="G18947" s="13"/>
      <c r="AL18947" s="13"/>
    </row>
    <row r="18948" spans="4:39" x14ac:dyDescent="0.3">
      <c r="D18948" s="1"/>
      <c r="G18948" s="13"/>
      <c r="AL18948" s="13"/>
    </row>
    <row r="18949" spans="4:39" x14ac:dyDescent="0.3">
      <c r="D18949" s="1"/>
      <c r="G18949" s="13"/>
      <c r="AL18949" s="13"/>
    </row>
    <row r="18950" spans="4:39" x14ac:dyDescent="0.3">
      <c r="D18950" s="1"/>
      <c r="G18950" s="13"/>
      <c r="AL18950" s="13"/>
      <c r="AM18950" s="14"/>
    </row>
    <row r="18951" spans="4:39" x14ac:dyDescent="0.3">
      <c r="D18951" s="1"/>
      <c r="G18951" s="13"/>
      <c r="AL18951" s="13"/>
    </row>
    <row r="18952" spans="4:39" x14ac:dyDescent="0.3">
      <c r="D18952" s="1"/>
      <c r="G18952" s="13"/>
      <c r="AL18952" s="13"/>
    </row>
    <row r="18953" spans="4:39" x14ac:dyDescent="0.3">
      <c r="D18953" s="1"/>
      <c r="G18953" s="13"/>
      <c r="AL18953" s="13"/>
    </row>
    <row r="18954" spans="4:39" x14ac:dyDescent="0.3">
      <c r="D18954" s="1"/>
      <c r="G18954" s="13"/>
      <c r="AL18954" s="13"/>
    </row>
    <row r="18955" spans="4:39" x14ac:dyDescent="0.3">
      <c r="D18955" s="1"/>
      <c r="G18955" s="13"/>
      <c r="AL18955" s="13"/>
    </row>
    <row r="18956" spans="4:39" x14ac:dyDescent="0.3">
      <c r="D18956" s="1"/>
      <c r="G18956" s="13"/>
      <c r="AL18956" s="13"/>
    </row>
    <row r="18957" spans="4:39" x14ac:dyDescent="0.3">
      <c r="D18957" s="1"/>
      <c r="G18957" s="13"/>
      <c r="AL18957" s="13"/>
    </row>
    <row r="18958" spans="4:39" x14ac:dyDescent="0.3">
      <c r="D18958" s="1"/>
      <c r="G18958" s="13"/>
      <c r="AL18958" s="13"/>
    </row>
    <row r="18959" spans="4:39" x14ac:dyDescent="0.3">
      <c r="D18959" s="1"/>
      <c r="G18959" s="13"/>
      <c r="AL18959" s="13"/>
    </row>
    <row r="18960" spans="4:39" x14ac:dyDescent="0.3">
      <c r="D18960" s="1"/>
      <c r="G18960" s="13"/>
      <c r="AL18960" s="13"/>
    </row>
    <row r="18961" spans="4:39" x14ac:dyDescent="0.3">
      <c r="D18961" s="1"/>
      <c r="G18961" s="13"/>
      <c r="AL18961" s="13"/>
    </row>
    <row r="18962" spans="4:39" x14ac:dyDescent="0.3">
      <c r="D18962" s="1"/>
      <c r="G18962" s="13"/>
      <c r="AL18962" s="13"/>
    </row>
    <row r="18963" spans="4:39" x14ac:dyDescent="0.3">
      <c r="D18963" s="1"/>
      <c r="G18963" s="13"/>
      <c r="AL18963" s="13"/>
    </row>
    <row r="18964" spans="4:39" x14ac:dyDescent="0.3">
      <c r="D18964" s="1"/>
      <c r="G18964" s="13"/>
      <c r="AL18964" s="13"/>
      <c r="AM18964" s="14"/>
    </row>
    <row r="18965" spans="4:39" x14ac:dyDescent="0.3">
      <c r="D18965" s="1"/>
      <c r="G18965" s="13"/>
      <c r="AL18965" s="13"/>
    </row>
    <row r="18966" spans="4:39" x14ac:dyDescent="0.3">
      <c r="D18966" s="1"/>
      <c r="G18966" s="13"/>
      <c r="AL18966" s="13"/>
      <c r="AM18966" s="14"/>
    </row>
    <row r="18967" spans="4:39" x14ac:dyDescent="0.3">
      <c r="D18967" s="1"/>
      <c r="G18967" s="13"/>
      <c r="AL18967" s="13"/>
      <c r="AM18967" s="14"/>
    </row>
    <row r="18968" spans="4:39" x14ac:dyDescent="0.3">
      <c r="D18968" s="1"/>
      <c r="G18968" s="13"/>
      <c r="AL18968" s="13"/>
    </row>
    <row r="18969" spans="4:39" x14ac:dyDescent="0.3">
      <c r="D18969" s="1"/>
      <c r="G18969" s="13"/>
      <c r="AL18969" s="13"/>
    </row>
    <row r="18970" spans="4:39" x14ac:dyDescent="0.3">
      <c r="D18970" s="1"/>
      <c r="G18970" s="13"/>
      <c r="AL18970" s="13"/>
      <c r="AM18970" s="14"/>
    </row>
    <row r="18971" spans="4:39" x14ac:dyDescent="0.3">
      <c r="D18971" s="1"/>
      <c r="G18971" s="13"/>
      <c r="AL18971" s="13"/>
    </row>
    <row r="18972" spans="4:39" x14ac:dyDescent="0.3">
      <c r="D18972" s="1"/>
      <c r="G18972" s="13"/>
      <c r="AL18972" s="13"/>
    </row>
    <row r="18973" spans="4:39" x14ac:dyDescent="0.3">
      <c r="D18973" s="1"/>
      <c r="G18973" s="13"/>
      <c r="AL18973" s="13"/>
    </row>
    <row r="18974" spans="4:39" x14ac:dyDescent="0.3">
      <c r="D18974" s="1"/>
      <c r="G18974" s="13"/>
      <c r="AL18974" s="13"/>
    </row>
    <row r="18975" spans="4:39" x14ac:dyDescent="0.3">
      <c r="D18975" s="1"/>
      <c r="G18975" s="13"/>
      <c r="AL18975" s="13"/>
    </row>
    <row r="18976" spans="4:39" x14ac:dyDescent="0.3">
      <c r="D18976" s="1"/>
      <c r="G18976" s="13"/>
      <c r="AL18976" s="13"/>
    </row>
    <row r="18977" spans="4:38" x14ac:dyDescent="0.3">
      <c r="D18977" s="1"/>
      <c r="G18977" s="13"/>
      <c r="AL18977" s="13"/>
    </row>
    <row r="18978" spans="4:38" x14ac:dyDescent="0.3">
      <c r="D18978" s="1"/>
      <c r="G18978" s="13"/>
      <c r="AL18978" s="13"/>
    </row>
    <row r="18979" spans="4:38" x14ac:dyDescent="0.3">
      <c r="D18979" s="1"/>
      <c r="G18979" s="13"/>
      <c r="AL18979" s="13"/>
    </row>
    <row r="18980" spans="4:38" x14ac:dyDescent="0.3">
      <c r="D18980" s="1"/>
      <c r="G18980" s="13"/>
      <c r="AL18980" s="13"/>
    </row>
    <row r="18981" spans="4:38" x14ac:dyDescent="0.3">
      <c r="D18981" s="1"/>
      <c r="G18981" s="13"/>
      <c r="AL18981" s="13"/>
    </row>
    <row r="18982" spans="4:38" x14ac:dyDescent="0.3">
      <c r="D18982" s="1"/>
      <c r="G18982" s="13"/>
      <c r="AL18982" s="13"/>
    </row>
    <row r="18983" spans="4:38" x14ac:dyDescent="0.3">
      <c r="D18983" s="1"/>
      <c r="G18983" s="13"/>
      <c r="AL18983" s="13"/>
    </row>
    <row r="18984" spans="4:38" x14ac:dyDescent="0.3">
      <c r="D18984" s="1"/>
      <c r="G18984" s="13"/>
      <c r="AL18984" s="13"/>
    </row>
    <row r="18985" spans="4:38" x14ac:dyDescent="0.3">
      <c r="D18985" s="1"/>
      <c r="G18985" s="13"/>
      <c r="AL18985" s="13"/>
    </row>
    <row r="18986" spans="4:38" x14ac:dyDescent="0.3">
      <c r="D18986" s="1"/>
      <c r="G18986" s="13"/>
      <c r="AL18986" s="13"/>
    </row>
    <row r="18987" spans="4:38" x14ac:dyDescent="0.3">
      <c r="D18987" s="1"/>
      <c r="G18987" s="13"/>
      <c r="AL18987" s="13"/>
    </row>
    <row r="18988" spans="4:38" x14ac:dyDescent="0.3">
      <c r="D18988" s="1"/>
      <c r="G18988" s="13"/>
      <c r="AL18988" s="13"/>
    </row>
    <row r="18989" spans="4:38" x14ac:dyDescent="0.3">
      <c r="D18989" s="1"/>
      <c r="G18989" s="13"/>
      <c r="AL18989" s="13"/>
    </row>
    <row r="18990" spans="4:38" x14ac:dyDescent="0.3">
      <c r="D18990" s="1"/>
      <c r="G18990" s="13"/>
      <c r="AL18990" s="13"/>
    </row>
    <row r="18991" spans="4:38" x14ac:dyDescent="0.3">
      <c r="D18991" s="1"/>
      <c r="G18991" s="13"/>
      <c r="AL18991" s="13"/>
    </row>
    <row r="18992" spans="4:38" x14ac:dyDescent="0.3">
      <c r="D18992" s="1"/>
      <c r="G18992" s="13"/>
      <c r="AL18992" s="13"/>
    </row>
    <row r="18993" spans="4:39" x14ac:dyDescent="0.3">
      <c r="D18993" s="1"/>
      <c r="G18993" s="13"/>
      <c r="AL18993" s="13"/>
    </row>
    <row r="18994" spans="4:39" x14ac:dyDescent="0.3">
      <c r="D18994" s="1"/>
      <c r="G18994" s="13"/>
      <c r="AL18994" s="13"/>
    </row>
    <row r="18995" spans="4:39" x14ac:dyDescent="0.3">
      <c r="D18995" s="1"/>
      <c r="G18995" s="13"/>
      <c r="AL18995" s="13"/>
    </row>
    <row r="18996" spans="4:39" x14ac:dyDescent="0.3">
      <c r="D18996" s="1"/>
      <c r="G18996" s="13"/>
      <c r="AL18996" s="13"/>
    </row>
    <row r="18997" spans="4:39" x14ac:dyDescent="0.3">
      <c r="D18997" s="1"/>
      <c r="G18997" s="13"/>
      <c r="AL18997" s="13"/>
    </row>
    <row r="18998" spans="4:39" x14ac:dyDescent="0.3">
      <c r="D18998" s="1"/>
      <c r="G18998" s="13"/>
      <c r="AL18998" s="13"/>
    </row>
    <row r="18999" spans="4:39" x14ac:dyDescent="0.3">
      <c r="D18999" s="1"/>
      <c r="G18999" s="13"/>
      <c r="AL18999" s="13"/>
      <c r="AM18999" s="14"/>
    </row>
    <row r="19000" spans="4:39" x14ac:dyDescent="0.3">
      <c r="D19000" s="1"/>
      <c r="G19000" s="13"/>
      <c r="AL19000" s="13"/>
    </row>
    <row r="19001" spans="4:39" x14ac:dyDescent="0.3">
      <c r="D19001" s="1"/>
      <c r="G19001" s="13"/>
      <c r="AL19001" s="13"/>
      <c r="AM19001" s="14"/>
    </row>
    <row r="19002" spans="4:39" x14ac:dyDescent="0.3">
      <c r="D19002" s="1"/>
      <c r="G19002" s="13"/>
      <c r="AL19002" s="13"/>
      <c r="AM19002" s="14"/>
    </row>
    <row r="19003" spans="4:39" x14ac:dyDescent="0.3">
      <c r="D19003" s="1"/>
      <c r="G19003" s="13"/>
      <c r="AL19003" s="13"/>
    </row>
    <row r="19004" spans="4:39" x14ac:dyDescent="0.3">
      <c r="D19004" s="1"/>
      <c r="G19004" s="13"/>
      <c r="AL19004" s="13"/>
      <c r="AM19004" s="14"/>
    </row>
    <row r="19005" spans="4:39" x14ac:dyDescent="0.3">
      <c r="D19005" s="1"/>
      <c r="G19005" s="13"/>
      <c r="AL19005" s="13"/>
    </row>
    <row r="19006" spans="4:39" x14ac:dyDescent="0.3">
      <c r="D19006" s="1"/>
      <c r="G19006" s="13"/>
      <c r="AL19006" s="13"/>
      <c r="AM19006" s="14"/>
    </row>
    <row r="19007" spans="4:39" x14ac:dyDescent="0.3">
      <c r="D19007" s="1"/>
      <c r="G19007" s="13"/>
      <c r="AL19007" s="13"/>
    </row>
    <row r="19008" spans="4:39" x14ac:dyDescent="0.3">
      <c r="D19008" s="1"/>
      <c r="G19008" s="13"/>
      <c r="AL19008" s="13"/>
    </row>
    <row r="19009" spans="4:39" x14ac:dyDescent="0.3">
      <c r="D19009" s="1"/>
      <c r="G19009" s="13"/>
      <c r="AL19009" s="13"/>
    </row>
    <row r="19010" spans="4:39" x14ac:dyDescent="0.3">
      <c r="D19010" s="1"/>
      <c r="G19010" s="13"/>
      <c r="AL19010" s="13"/>
    </row>
    <row r="19011" spans="4:39" x14ac:dyDescent="0.3">
      <c r="D19011" s="1"/>
      <c r="G19011" s="13"/>
      <c r="AL19011" s="13"/>
      <c r="AM19011" s="14"/>
    </row>
    <row r="19012" spans="4:39" x14ac:dyDescent="0.3">
      <c r="D19012" s="1"/>
      <c r="G19012" s="13"/>
      <c r="AL19012" s="13"/>
      <c r="AM19012" s="14"/>
    </row>
    <row r="19013" spans="4:39" x14ac:dyDescent="0.3">
      <c r="D19013" s="1"/>
      <c r="G19013" s="13"/>
      <c r="AL19013" s="13"/>
    </row>
    <row r="19014" spans="4:39" x14ac:dyDescent="0.3">
      <c r="D19014" s="1"/>
      <c r="G19014" s="13"/>
      <c r="AL19014" s="13"/>
    </row>
    <row r="19015" spans="4:39" x14ac:dyDescent="0.3">
      <c r="D19015" s="1"/>
      <c r="G19015" s="13"/>
      <c r="AL19015" s="13"/>
      <c r="AM19015" s="14"/>
    </row>
    <row r="19016" spans="4:39" x14ac:dyDescent="0.3">
      <c r="D19016" s="1"/>
      <c r="G19016" s="13"/>
      <c r="AL19016" s="13"/>
    </row>
    <row r="19017" spans="4:39" x14ac:dyDescent="0.3">
      <c r="D19017" s="1"/>
      <c r="G19017" s="13"/>
      <c r="AL19017" s="13"/>
      <c r="AM19017" s="14"/>
    </row>
    <row r="19018" spans="4:39" x14ac:dyDescent="0.3">
      <c r="D19018" s="1"/>
      <c r="G19018" s="13"/>
      <c r="AL19018" s="13"/>
      <c r="AM19018" s="14"/>
    </row>
    <row r="19019" spans="4:39" x14ac:dyDescent="0.3">
      <c r="D19019" s="1"/>
      <c r="G19019" s="13"/>
      <c r="AL19019" s="13"/>
      <c r="AM19019" s="14"/>
    </row>
    <row r="19020" spans="4:39" x14ac:dyDescent="0.3">
      <c r="D19020" s="1"/>
      <c r="G19020" s="13"/>
      <c r="AL19020" s="13"/>
    </row>
    <row r="19021" spans="4:39" x14ac:dyDescent="0.3">
      <c r="D19021" s="1"/>
      <c r="G19021" s="13"/>
      <c r="AL19021" s="13"/>
      <c r="AM19021" s="14"/>
    </row>
    <row r="19022" spans="4:39" x14ac:dyDescent="0.3">
      <c r="D19022" s="1"/>
      <c r="G19022" s="13"/>
      <c r="AL19022" s="13"/>
      <c r="AM19022" s="14"/>
    </row>
    <row r="19023" spans="4:39" x14ac:dyDescent="0.3">
      <c r="D19023" s="1"/>
      <c r="G19023" s="13"/>
      <c r="AL19023" s="13"/>
    </row>
    <row r="19024" spans="4:39" x14ac:dyDescent="0.3">
      <c r="D19024" s="1"/>
      <c r="G19024" s="13"/>
      <c r="AL19024" s="13"/>
    </row>
    <row r="19025" spans="4:39" x14ac:dyDescent="0.3">
      <c r="D19025" s="1"/>
      <c r="G19025" s="13"/>
      <c r="AL19025" s="13"/>
      <c r="AM19025" s="14"/>
    </row>
    <row r="19026" spans="4:39" x14ac:dyDescent="0.3">
      <c r="D19026" s="1"/>
      <c r="G19026" s="13"/>
      <c r="AL19026" s="13"/>
      <c r="AM19026" s="14"/>
    </row>
    <row r="19027" spans="4:39" x14ac:dyDescent="0.3">
      <c r="D19027" s="1"/>
      <c r="G19027" s="13"/>
      <c r="AL19027" s="13"/>
      <c r="AM19027" s="14"/>
    </row>
    <row r="19028" spans="4:39" x14ac:dyDescent="0.3">
      <c r="D19028" s="1"/>
      <c r="G19028" s="13"/>
      <c r="AL19028" s="13"/>
    </row>
    <row r="19029" spans="4:39" x14ac:dyDescent="0.3">
      <c r="D19029" s="1"/>
      <c r="G19029" s="13"/>
      <c r="AL19029" s="13"/>
      <c r="AM19029" s="14"/>
    </row>
    <row r="19030" spans="4:39" x14ac:dyDescent="0.3">
      <c r="D19030" s="1"/>
      <c r="G19030" s="13"/>
      <c r="AL19030" s="13"/>
    </row>
    <row r="19031" spans="4:39" x14ac:dyDescent="0.3">
      <c r="D19031" s="1"/>
      <c r="G19031" s="13"/>
      <c r="AL19031" s="13"/>
      <c r="AM19031" s="14"/>
    </row>
    <row r="19032" spans="4:39" x14ac:dyDescent="0.3">
      <c r="D19032" s="1"/>
      <c r="G19032" s="13"/>
      <c r="AL19032" s="13"/>
    </row>
    <row r="19033" spans="4:39" x14ac:dyDescent="0.3">
      <c r="D19033" s="1"/>
      <c r="G19033" s="13"/>
      <c r="AL19033" s="13"/>
      <c r="AM19033" s="14"/>
    </row>
    <row r="19034" spans="4:39" x14ac:dyDescent="0.3">
      <c r="D19034" s="1"/>
      <c r="G19034" s="13"/>
      <c r="AL19034" s="13"/>
      <c r="AM19034" s="14"/>
    </row>
    <row r="19035" spans="4:39" x14ac:dyDescent="0.3">
      <c r="D19035" s="1"/>
      <c r="G19035" s="13"/>
      <c r="AL19035" s="13"/>
    </row>
    <row r="19036" spans="4:39" x14ac:dyDescent="0.3">
      <c r="D19036" s="1"/>
      <c r="G19036" s="13"/>
      <c r="AL19036" s="13"/>
      <c r="AM19036" s="14"/>
    </row>
    <row r="19037" spans="4:39" x14ac:dyDescent="0.3">
      <c r="D19037" s="1"/>
      <c r="G19037" s="13"/>
      <c r="AL19037" s="13"/>
    </row>
    <row r="19038" spans="4:39" x14ac:dyDescent="0.3">
      <c r="D19038" s="1"/>
      <c r="G19038" s="13"/>
      <c r="AL19038" s="13"/>
    </row>
    <row r="19039" spans="4:39" x14ac:dyDescent="0.3">
      <c r="D19039" s="1"/>
      <c r="G19039" s="13"/>
      <c r="AL19039" s="13"/>
      <c r="AM19039" s="14"/>
    </row>
    <row r="19040" spans="4:39" x14ac:dyDescent="0.3">
      <c r="D19040" s="1"/>
      <c r="G19040" s="13"/>
      <c r="AL19040" s="13"/>
      <c r="AM19040" s="14"/>
    </row>
    <row r="19041" spans="4:39" x14ac:dyDescent="0.3">
      <c r="D19041" s="1"/>
      <c r="G19041" s="13"/>
      <c r="AL19041" s="13"/>
      <c r="AM19041" s="14"/>
    </row>
    <row r="19042" spans="4:39" x14ac:dyDescent="0.3">
      <c r="D19042" s="1"/>
      <c r="G19042" s="13"/>
      <c r="AL19042" s="13"/>
      <c r="AM19042" s="14"/>
    </row>
    <row r="19043" spans="4:39" x14ac:dyDescent="0.3">
      <c r="D19043" s="1"/>
      <c r="G19043" s="13"/>
      <c r="AL19043" s="13"/>
      <c r="AM19043" s="14"/>
    </row>
    <row r="19044" spans="4:39" x14ac:dyDescent="0.3">
      <c r="D19044" s="1"/>
      <c r="G19044" s="13"/>
      <c r="AL19044" s="13"/>
      <c r="AM19044" s="14"/>
    </row>
    <row r="19045" spans="4:39" x14ac:dyDescent="0.3">
      <c r="D19045" s="1"/>
      <c r="G19045" s="13"/>
      <c r="AL19045" s="13"/>
    </row>
    <row r="19046" spans="4:39" x14ac:dyDescent="0.3">
      <c r="D19046" s="1"/>
      <c r="G19046" s="13"/>
      <c r="AL19046" s="13"/>
    </row>
    <row r="19047" spans="4:39" x14ac:dyDescent="0.3">
      <c r="D19047" s="1"/>
      <c r="G19047" s="13"/>
      <c r="AL19047" s="13"/>
      <c r="AM19047" s="14"/>
    </row>
    <row r="19048" spans="4:39" x14ac:dyDescent="0.3">
      <c r="D19048" s="1"/>
      <c r="G19048" s="13"/>
      <c r="AL19048" s="13"/>
    </row>
    <row r="19049" spans="4:39" x14ac:dyDescent="0.3">
      <c r="D19049" s="1"/>
      <c r="G19049" s="13"/>
      <c r="AL19049" s="13"/>
      <c r="AM19049" s="14"/>
    </row>
    <row r="19050" spans="4:39" x14ac:dyDescent="0.3">
      <c r="D19050" s="1"/>
      <c r="G19050" s="13"/>
      <c r="AL19050" s="13"/>
      <c r="AM19050" s="14"/>
    </row>
    <row r="19051" spans="4:39" x14ac:dyDescent="0.3">
      <c r="D19051" s="1"/>
      <c r="G19051" s="13"/>
      <c r="AL19051" s="13"/>
      <c r="AM19051" s="14"/>
    </row>
    <row r="19052" spans="4:39" x14ac:dyDescent="0.3">
      <c r="D19052" s="1"/>
      <c r="G19052" s="13"/>
      <c r="AL19052" s="13"/>
      <c r="AM19052" s="14"/>
    </row>
    <row r="19053" spans="4:39" x14ac:dyDescent="0.3">
      <c r="D19053" s="1"/>
      <c r="G19053" s="13"/>
      <c r="AL19053" s="13"/>
      <c r="AM19053" s="14"/>
    </row>
    <row r="19054" spans="4:39" x14ac:dyDescent="0.3">
      <c r="D19054" s="1"/>
      <c r="G19054" s="13"/>
      <c r="AL19054" s="13"/>
    </row>
    <row r="19055" spans="4:39" x14ac:dyDescent="0.3">
      <c r="D19055" s="1"/>
      <c r="G19055" s="13"/>
      <c r="AL19055" s="13"/>
      <c r="AM19055" s="14"/>
    </row>
    <row r="19056" spans="4:39" x14ac:dyDescent="0.3">
      <c r="D19056" s="1"/>
      <c r="G19056" s="13"/>
      <c r="AL19056" s="13"/>
      <c r="AM19056" s="14"/>
    </row>
    <row r="19057" spans="4:39" x14ac:dyDescent="0.3">
      <c r="D19057" s="1"/>
      <c r="G19057" s="13"/>
      <c r="AL19057" s="13"/>
      <c r="AM19057" s="14"/>
    </row>
    <row r="19058" spans="4:39" x14ac:dyDescent="0.3">
      <c r="D19058" s="1"/>
      <c r="G19058" s="13"/>
      <c r="AL19058" s="13"/>
      <c r="AM19058" s="14"/>
    </row>
    <row r="19059" spans="4:39" x14ac:dyDescent="0.3">
      <c r="D19059" s="1"/>
      <c r="G19059" s="13"/>
      <c r="AL19059" s="13"/>
      <c r="AM19059" s="14"/>
    </row>
    <row r="19060" spans="4:39" x14ac:dyDescent="0.3">
      <c r="D19060" s="1"/>
      <c r="G19060" s="13"/>
      <c r="AL19060" s="13"/>
      <c r="AM19060" s="14"/>
    </row>
    <row r="19061" spans="4:39" x14ac:dyDescent="0.3">
      <c r="D19061" s="1"/>
      <c r="G19061" s="13"/>
      <c r="AL19061" s="13"/>
      <c r="AM19061" s="14"/>
    </row>
    <row r="19062" spans="4:39" x14ac:dyDescent="0.3">
      <c r="D19062" s="1"/>
      <c r="G19062" s="13"/>
      <c r="AL19062" s="13"/>
      <c r="AM19062" s="14"/>
    </row>
    <row r="19063" spans="4:39" x14ac:dyDescent="0.3">
      <c r="D19063" s="1"/>
      <c r="G19063" s="13"/>
      <c r="AL19063" s="13"/>
      <c r="AM19063" s="14"/>
    </row>
    <row r="19064" spans="4:39" x14ac:dyDescent="0.3">
      <c r="D19064" s="1"/>
      <c r="G19064" s="13"/>
      <c r="AL19064" s="13"/>
    </row>
    <row r="19065" spans="4:39" x14ac:dyDescent="0.3">
      <c r="D19065" s="1"/>
      <c r="G19065" s="13"/>
      <c r="AL19065" s="13"/>
      <c r="AM19065" s="14"/>
    </row>
    <row r="19066" spans="4:39" x14ac:dyDescent="0.3">
      <c r="D19066" s="1"/>
      <c r="G19066" s="13"/>
      <c r="AL19066" s="13"/>
    </row>
    <row r="19067" spans="4:39" x14ac:dyDescent="0.3">
      <c r="D19067" s="1"/>
      <c r="G19067" s="13"/>
      <c r="AL19067" s="13"/>
    </row>
    <row r="19068" spans="4:39" x14ac:dyDescent="0.3">
      <c r="D19068" s="1"/>
      <c r="G19068" s="13"/>
      <c r="AL19068" s="13"/>
    </row>
    <row r="19069" spans="4:39" x14ac:dyDescent="0.3">
      <c r="D19069" s="1"/>
      <c r="G19069" s="13"/>
      <c r="AL19069" s="13"/>
      <c r="AM19069" s="14"/>
    </row>
    <row r="19070" spans="4:39" x14ac:dyDescent="0.3">
      <c r="D19070" s="1"/>
      <c r="G19070" s="13"/>
      <c r="AL19070" s="13"/>
    </row>
    <row r="19071" spans="4:39" x14ac:dyDescent="0.3">
      <c r="D19071" s="1"/>
      <c r="G19071" s="13"/>
      <c r="AL19071" s="13"/>
      <c r="AM19071" s="14"/>
    </row>
    <row r="19072" spans="4:39" x14ac:dyDescent="0.3">
      <c r="D19072" s="1"/>
      <c r="G19072" s="13"/>
      <c r="AL19072" s="13"/>
    </row>
    <row r="19073" spans="4:39" x14ac:dyDescent="0.3">
      <c r="D19073" s="1"/>
      <c r="G19073" s="13"/>
      <c r="AL19073" s="13"/>
    </row>
    <row r="19074" spans="4:39" x14ac:dyDescent="0.3">
      <c r="D19074" s="1"/>
      <c r="G19074" s="13"/>
      <c r="AL19074" s="13"/>
      <c r="AM19074" s="14"/>
    </row>
    <row r="19075" spans="4:39" x14ac:dyDescent="0.3">
      <c r="D19075" s="1"/>
      <c r="G19075" s="13"/>
      <c r="AL19075" s="13"/>
      <c r="AM19075" s="14"/>
    </row>
    <row r="19076" spans="4:39" x14ac:dyDescent="0.3">
      <c r="D19076" s="1"/>
      <c r="G19076" s="13"/>
      <c r="AL19076" s="13"/>
    </row>
    <row r="19077" spans="4:39" x14ac:dyDescent="0.3">
      <c r="D19077" s="1"/>
      <c r="G19077" s="13"/>
      <c r="AL19077" s="13"/>
      <c r="AM19077" s="14"/>
    </row>
    <row r="19078" spans="4:39" x14ac:dyDescent="0.3">
      <c r="D19078" s="1"/>
      <c r="G19078" s="13"/>
      <c r="AL19078" s="13"/>
    </row>
    <row r="19079" spans="4:39" x14ac:dyDescent="0.3">
      <c r="D19079" s="1"/>
      <c r="G19079" s="13"/>
      <c r="AL19079" s="13"/>
      <c r="AM19079" s="14"/>
    </row>
    <row r="19080" spans="4:39" x14ac:dyDescent="0.3">
      <c r="D19080" s="1"/>
      <c r="G19080" s="13"/>
      <c r="AL19080" s="13"/>
      <c r="AM19080" s="14"/>
    </row>
    <row r="19081" spans="4:39" x14ac:dyDescent="0.3">
      <c r="D19081" s="1"/>
      <c r="G19081" s="13"/>
      <c r="AL19081" s="13"/>
    </row>
    <row r="19082" spans="4:39" x14ac:dyDescent="0.3">
      <c r="D19082" s="1"/>
      <c r="G19082" s="13"/>
      <c r="AL19082" s="13"/>
    </row>
    <row r="19083" spans="4:39" x14ac:dyDescent="0.3">
      <c r="D19083" s="1"/>
      <c r="G19083" s="13"/>
      <c r="AL19083" s="13"/>
    </row>
    <row r="19084" spans="4:39" x14ac:dyDescent="0.3">
      <c r="D19084" s="1"/>
      <c r="G19084" s="13"/>
      <c r="AL19084" s="13"/>
      <c r="AM19084" s="14"/>
    </row>
    <row r="19085" spans="4:39" x14ac:dyDescent="0.3">
      <c r="D19085" s="1"/>
      <c r="G19085" s="13"/>
      <c r="AL19085" s="13"/>
    </row>
    <row r="19086" spans="4:39" x14ac:dyDescent="0.3">
      <c r="D19086" s="1"/>
      <c r="G19086" s="13"/>
      <c r="AL19086" s="13"/>
    </row>
    <row r="19087" spans="4:39" x14ac:dyDescent="0.3">
      <c r="D19087" s="1"/>
      <c r="G19087" s="13"/>
      <c r="AL19087" s="13"/>
    </row>
    <row r="19088" spans="4:39" x14ac:dyDescent="0.3">
      <c r="D19088" s="1"/>
      <c r="G19088" s="13"/>
      <c r="AL19088" s="13"/>
      <c r="AM19088" s="14"/>
    </row>
    <row r="19089" spans="4:39" x14ac:dyDescent="0.3">
      <c r="D19089" s="1"/>
      <c r="G19089" s="13"/>
      <c r="AL19089" s="13"/>
    </row>
    <row r="19090" spans="4:39" x14ac:dyDescent="0.3">
      <c r="D19090" s="1"/>
      <c r="G19090" s="13"/>
      <c r="AL19090" s="13"/>
      <c r="AM19090" s="14"/>
    </row>
    <row r="19091" spans="4:39" x14ac:dyDescent="0.3">
      <c r="D19091" s="1"/>
      <c r="G19091" s="13"/>
      <c r="AL19091" s="13"/>
    </row>
    <row r="19092" spans="4:39" x14ac:dyDescent="0.3">
      <c r="D19092" s="1"/>
      <c r="G19092" s="13"/>
      <c r="AL19092" s="13"/>
      <c r="AM19092" s="14"/>
    </row>
    <row r="19093" spans="4:39" x14ac:dyDescent="0.3">
      <c r="D19093" s="1"/>
      <c r="G19093" s="13"/>
      <c r="AL19093" s="13"/>
      <c r="AM19093" s="14"/>
    </row>
    <row r="19094" spans="4:39" x14ac:dyDescent="0.3">
      <c r="D19094" s="1"/>
      <c r="G19094" s="13"/>
      <c r="AL19094" s="13"/>
      <c r="AM19094" s="14"/>
    </row>
    <row r="19095" spans="4:39" x14ac:dyDescent="0.3">
      <c r="D19095" s="1"/>
      <c r="G19095" s="13"/>
      <c r="AL19095" s="13"/>
    </row>
    <row r="19096" spans="4:39" x14ac:dyDescent="0.3">
      <c r="D19096" s="1"/>
      <c r="G19096" s="13"/>
      <c r="AL19096" s="13"/>
    </row>
    <row r="19097" spans="4:39" x14ac:dyDescent="0.3">
      <c r="D19097" s="1"/>
      <c r="G19097" s="13"/>
      <c r="AL19097" s="13"/>
      <c r="AM19097" s="14"/>
    </row>
    <row r="19098" spans="4:39" x14ac:dyDescent="0.3">
      <c r="D19098" s="1"/>
      <c r="G19098" s="13"/>
      <c r="AL19098" s="13"/>
    </row>
    <row r="19099" spans="4:39" x14ac:dyDescent="0.3">
      <c r="D19099" s="1"/>
      <c r="G19099" s="13"/>
      <c r="AL19099" s="13"/>
      <c r="AM19099" s="14"/>
    </row>
    <row r="19100" spans="4:39" x14ac:dyDescent="0.3">
      <c r="D19100" s="1"/>
      <c r="G19100" s="13"/>
      <c r="AL19100" s="13"/>
    </row>
    <row r="19101" spans="4:39" x14ac:dyDescent="0.3">
      <c r="D19101" s="1"/>
      <c r="G19101" s="13"/>
      <c r="AL19101" s="13"/>
      <c r="AM19101" s="14"/>
    </row>
    <row r="19102" spans="4:39" x14ac:dyDescent="0.3">
      <c r="D19102" s="1"/>
      <c r="G19102" s="13"/>
      <c r="AL19102" s="13"/>
      <c r="AM19102" s="14"/>
    </row>
    <row r="19103" spans="4:39" x14ac:dyDescent="0.3">
      <c r="D19103" s="1"/>
      <c r="G19103" s="13"/>
      <c r="AL19103" s="13"/>
    </row>
    <row r="19104" spans="4:39" x14ac:dyDescent="0.3">
      <c r="D19104" s="1"/>
      <c r="G19104" s="13"/>
      <c r="AL19104" s="13"/>
    </row>
    <row r="19105" spans="4:39" x14ac:dyDescent="0.3">
      <c r="D19105" s="1"/>
      <c r="G19105" s="13"/>
      <c r="AL19105" s="13"/>
    </row>
    <row r="19106" spans="4:39" x14ac:dyDescent="0.3">
      <c r="D19106" s="1"/>
      <c r="G19106" s="13"/>
      <c r="AL19106" s="13"/>
    </row>
    <row r="19107" spans="4:39" x14ac:dyDescent="0.3">
      <c r="D19107" s="1"/>
      <c r="G19107" s="13"/>
      <c r="AL19107" s="13"/>
      <c r="AM19107" s="14"/>
    </row>
    <row r="19108" spans="4:39" x14ac:dyDescent="0.3">
      <c r="D19108" s="1"/>
      <c r="G19108" s="13"/>
      <c r="AL19108" s="13"/>
    </row>
    <row r="19109" spans="4:39" x14ac:dyDescent="0.3">
      <c r="D19109" s="1"/>
      <c r="G19109" s="13"/>
      <c r="AL19109" s="13"/>
    </row>
    <row r="19110" spans="4:39" x14ac:dyDescent="0.3">
      <c r="D19110" s="1"/>
      <c r="G19110" s="13"/>
      <c r="AL19110" s="13"/>
    </row>
    <row r="19111" spans="4:39" x14ac:dyDescent="0.3">
      <c r="D19111" s="1"/>
      <c r="G19111" s="13"/>
      <c r="AL19111" s="13"/>
    </row>
    <row r="19112" spans="4:39" x14ac:dyDescent="0.3">
      <c r="D19112" s="1"/>
      <c r="G19112" s="13"/>
      <c r="AL19112" s="13"/>
    </row>
    <row r="19113" spans="4:39" x14ac:dyDescent="0.3">
      <c r="D19113" s="1"/>
      <c r="G19113" s="13"/>
      <c r="AL19113" s="13"/>
    </row>
    <row r="19114" spans="4:39" x14ac:dyDescent="0.3">
      <c r="D19114" s="1"/>
      <c r="G19114" s="13"/>
      <c r="AL19114" s="13"/>
    </row>
    <row r="19115" spans="4:39" x14ac:dyDescent="0.3">
      <c r="D19115" s="1"/>
      <c r="G19115" s="13"/>
      <c r="AL19115" s="13"/>
    </row>
    <row r="19116" spans="4:39" x14ac:dyDescent="0.3">
      <c r="D19116" s="1"/>
      <c r="G19116" s="13"/>
      <c r="AL19116" s="13"/>
    </row>
    <row r="19117" spans="4:39" x14ac:dyDescent="0.3">
      <c r="D19117" s="1"/>
      <c r="G19117" s="13"/>
      <c r="AL19117" s="13"/>
    </row>
    <row r="19118" spans="4:39" x14ac:dyDescent="0.3">
      <c r="D19118" s="1"/>
      <c r="G19118" s="13"/>
      <c r="AL19118" s="13"/>
    </row>
    <row r="19119" spans="4:39" x14ac:dyDescent="0.3">
      <c r="D19119" s="1"/>
      <c r="G19119" s="13"/>
      <c r="AL19119" s="13"/>
    </row>
    <row r="19120" spans="4:39" x14ac:dyDescent="0.3">
      <c r="D19120" s="1"/>
      <c r="G19120" s="13"/>
      <c r="AL19120" s="13"/>
    </row>
    <row r="19121" spans="4:39" x14ac:dyDescent="0.3">
      <c r="D19121" s="1"/>
      <c r="G19121" s="13"/>
      <c r="AL19121" s="13"/>
    </row>
    <row r="19122" spans="4:39" x14ac:dyDescent="0.3">
      <c r="D19122" s="1"/>
      <c r="G19122" s="13"/>
      <c r="AL19122" s="13"/>
    </row>
    <row r="19123" spans="4:39" x14ac:dyDescent="0.3">
      <c r="D19123" s="1"/>
      <c r="G19123" s="13"/>
      <c r="AL19123" s="13"/>
    </row>
    <row r="19124" spans="4:39" x14ac:dyDescent="0.3">
      <c r="D19124" s="1"/>
      <c r="G19124" s="13"/>
      <c r="AL19124" s="13"/>
    </row>
    <row r="19125" spans="4:39" x14ac:dyDescent="0.3">
      <c r="D19125" s="1"/>
      <c r="G19125" s="13"/>
      <c r="AL19125" s="13"/>
    </row>
    <row r="19126" spans="4:39" x14ac:dyDescent="0.3">
      <c r="D19126" s="1"/>
      <c r="G19126" s="13"/>
      <c r="AL19126" s="13"/>
    </row>
    <row r="19127" spans="4:39" x14ac:dyDescent="0.3">
      <c r="D19127" s="1"/>
      <c r="G19127" s="13"/>
      <c r="AL19127" s="13"/>
      <c r="AM19127" s="14"/>
    </row>
    <row r="19128" spans="4:39" x14ac:dyDescent="0.3">
      <c r="D19128" s="1"/>
      <c r="G19128" s="13"/>
      <c r="AL19128" s="13"/>
    </row>
    <row r="19129" spans="4:39" x14ac:dyDescent="0.3">
      <c r="D19129" s="1"/>
      <c r="G19129" s="13"/>
      <c r="AL19129" s="13"/>
    </row>
    <row r="19130" spans="4:39" x14ac:dyDescent="0.3">
      <c r="D19130" s="1"/>
      <c r="G19130" s="13"/>
      <c r="AL19130" s="13"/>
    </row>
    <row r="19131" spans="4:39" x14ac:dyDescent="0.3">
      <c r="D19131" s="1"/>
      <c r="G19131" s="13"/>
      <c r="AL19131" s="13"/>
    </row>
    <row r="19132" spans="4:39" x14ac:dyDescent="0.3">
      <c r="D19132" s="1"/>
      <c r="G19132" s="13"/>
      <c r="AL19132" s="13"/>
    </row>
    <row r="19133" spans="4:39" x14ac:dyDescent="0.3">
      <c r="D19133" s="1"/>
      <c r="G19133" s="13"/>
      <c r="AL19133" s="13"/>
    </row>
    <row r="19134" spans="4:39" x14ac:dyDescent="0.3">
      <c r="D19134" s="1"/>
      <c r="G19134" s="13"/>
      <c r="AL19134" s="13"/>
    </row>
    <row r="19135" spans="4:39" x14ac:dyDescent="0.3">
      <c r="D19135" s="1"/>
      <c r="G19135" s="13"/>
      <c r="AL19135" s="13"/>
    </row>
    <row r="19136" spans="4:39" x14ac:dyDescent="0.3">
      <c r="D19136" s="1"/>
      <c r="G19136" s="13"/>
      <c r="AL19136" s="13"/>
    </row>
    <row r="19137" spans="4:39" x14ac:dyDescent="0.3">
      <c r="D19137" s="1"/>
      <c r="G19137" s="13"/>
      <c r="AL19137" s="13"/>
    </row>
    <row r="19138" spans="4:39" x14ac:dyDescent="0.3">
      <c r="D19138" s="1"/>
      <c r="G19138" s="13"/>
      <c r="AL19138" s="13"/>
    </row>
    <row r="19139" spans="4:39" x14ac:dyDescent="0.3">
      <c r="D19139" s="1"/>
      <c r="G19139" s="13"/>
      <c r="AL19139" s="13"/>
    </row>
    <row r="19140" spans="4:39" x14ac:dyDescent="0.3">
      <c r="D19140" s="1"/>
      <c r="G19140" s="13"/>
      <c r="AL19140" s="13"/>
    </row>
    <row r="19141" spans="4:39" x14ac:dyDescent="0.3">
      <c r="D19141" s="1"/>
      <c r="G19141" s="13"/>
      <c r="AL19141" s="13"/>
    </row>
    <row r="19142" spans="4:39" x14ac:dyDescent="0.3">
      <c r="D19142" s="1"/>
      <c r="G19142" s="13"/>
      <c r="AL19142" s="13"/>
    </row>
    <row r="19143" spans="4:39" x14ac:dyDescent="0.3">
      <c r="D19143" s="1"/>
      <c r="G19143" s="13"/>
      <c r="AL19143" s="13"/>
    </row>
    <row r="19144" spans="4:39" x14ac:dyDescent="0.3">
      <c r="D19144" s="1"/>
      <c r="G19144" s="13"/>
      <c r="AL19144" s="13"/>
    </row>
    <row r="19145" spans="4:39" x14ac:dyDescent="0.3">
      <c r="D19145" s="1"/>
      <c r="G19145" s="13"/>
      <c r="AL19145" s="13"/>
      <c r="AM19145" s="14"/>
    </row>
    <row r="19146" spans="4:39" x14ac:dyDescent="0.3">
      <c r="D19146" s="1"/>
      <c r="G19146" s="13"/>
      <c r="AL19146" s="13"/>
    </row>
    <row r="19147" spans="4:39" x14ac:dyDescent="0.3">
      <c r="D19147" s="1"/>
      <c r="G19147" s="13"/>
      <c r="AL19147" s="13"/>
    </row>
    <row r="19148" spans="4:39" x14ac:dyDescent="0.3">
      <c r="D19148" s="1"/>
      <c r="G19148" s="13"/>
      <c r="AL19148" s="13"/>
    </row>
    <row r="19149" spans="4:39" x14ac:dyDescent="0.3">
      <c r="D19149" s="1"/>
      <c r="G19149" s="13"/>
      <c r="AL19149" s="13"/>
    </row>
    <row r="19150" spans="4:39" x14ac:dyDescent="0.3">
      <c r="D19150" s="1"/>
      <c r="G19150" s="13"/>
      <c r="AL19150" s="13"/>
    </row>
    <row r="19151" spans="4:39" x14ac:dyDescent="0.3">
      <c r="D19151" s="1"/>
      <c r="G19151" s="13"/>
      <c r="AL19151" s="13"/>
    </row>
    <row r="19152" spans="4:39" x14ac:dyDescent="0.3">
      <c r="D19152" s="1"/>
      <c r="G19152" s="13"/>
      <c r="AL19152" s="13"/>
    </row>
    <row r="19153" spans="4:39" x14ac:dyDescent="0.3">
      <c r="D19153" s="1"/>
      <c r="G19153" s="13"/>
      <c r="AL19153" s="13"/>
      <c r="AM19153" s="14"/>
    </row>
    <row r="19154" spans="4:39" x14ac:dyDescent="0.3">
      <c r="D19154" s="1"/>
      <c r="G19154" s="13"/>
      <c r="AL19154" s="13"/>
    </row>
    <row r="19155" spans="4:39" x14ac:dyDescent="0.3">
      <c r="D19155" s="1"/>
      <c r="G19155" s="13"/>
      <c r="AL19155" s="13"/>
    </row>
    <row r="19156" spans="4:39" x14ac:dyDescent="0.3">
      <c r="D19156" s="1"/>
      <c r="G19156" s="13"/>
      <c r="AL19156" s="13"/>
    </row>
    <row r="19157" spans="4:39" x14ac:dyDescent="0.3">
      <c r="D19157" s="1"/>
      <c r="G19157" s="13"/>
      <c r="AL19157" s="13"/>
    </row>
    <row r="19158" spans="4:39" x14ac:dyDescent="0.3">
      <c r="D19158" s="1"/>
      <c r="G19158" s="13"/>
      <c r="AL19158" s="13"/>
    </row>
    <row r="19159" spans="4:39" x14ac:dyDescent="0.3">
      <c r="D19159" s="1"/>
      <c r="G19159" s="13"/>
      <c r="AL19159" s="13"/>
    </row>
    <row r="19160" spans="4:39" x14ac:dyDescent="0.3">
      <c r="D19160" s="1"/>
      <c r="G19160" s="13"/>
      <c r="AL19160" s="13"/>
    </row>
    <row r="19161" spans="4:39" x14ac:dyDescent="0.3">
      <c r="D19161" s="1"/>
      <c r="G19161" s="13"/>
      <c r="AL19161" s="13"/>
    </row>
    <row r="19162" spans="4:39" x14ac:dyDescent="0.3">
      <c r="D19162" s="1"/>
      <c r="G19162" s="13"/>
      <c r="AL19162" s="13"/>
    </row>
    <row r="19163" spans="4:39" x14ac:dyDescent="0.3">
      <c r="D19163" s="1"/>
      <c r="G19163" s="13"/>
      <c r="AL19163" s="13"/>
    </row>
    <row r="19164" spans="4:39" x14ac:dyDescent="0.3">
      <c r="D19164" s="1"/>
      <c r="G19164" s="13"/>
      <c r="AL19164" s="13"/>
    </row>
    <row r="19165" spans="4:39" x14ac:dyDescent="0.3">
      <c r="D19165" s="1"/>
      <c r="G19165" s="13"/>
      <c r="AL19165" s="13"/>
    </row>
    <row r="19166" spans="4:39" x14ac:dyDescent="0.3">
      <c r="D19166" s="1"/>
      <c r="G19166" s="13"/>
      <c r="AL19166" s="13"/>
    </row>
    <row r="19167" spans="4:39" x14ac:dyDescent="0.3">
      <c r="D19167" s="1"/>
      <c r="G19167" s="13"/>
      <c r="AL19167" s="13"/>
    </row>
    <row r="19168" spans="4:39" x14ac:dyDescent="0.3">
      <c r="D19168" s="1"/>
      <c r="G19168" s="13"/>
      <c r="AL19168" s="13"/>
    </row>
    <row r="19169" spans="4:39" x14ac:dyDescent="0.3">
      <c r="D19169" s="1"/>
      <c r="G19169" s="13"/>
      <c r="AL19169" s="13"/>
    </row>
    <row r="19170" spans="4:39" x14ac:dyDescent="0.3">
      <c r="D19170" s="1"/>
      <c r="G19170" s="13"/>
      <c r="AL19170" s="13"/>
    </row>
    <row r="19171" spans="4:39" x14ac:dyDescent="0.3">
      <c r="D19171" s="1"/>
      <c r="G19171" s="13"/>
      <c r="AL19171" s="13"/>
    </row>
    <row r="19172" spans="4:39" x14ac:dyDescent="0.3">
      <c r="D19172" s="1"/>
      <c r="G19172" s="13"/>
      <c r="AL19172" s="13"/>
    </row>
    <row r="19173" spans="4:39" x14ac:dyDescent="0.3">
      <c r="D19173" s="1"/>
      <c r="G19173" s="13"/>
      <c r="AL19173" s="13"/>
      <c r="AM19173" s="14"/>
    </row>
    <row r="19174" spans="4:39" x14ac:dyDescent="0.3">
      <c r="D19174" s="1"/>
      <c r="G19174" s="13"/>
      <c r="AL19174" s="13"/>
    </row>
    <row r="19175" spans="4:39" x14ac:dyDescent="0.3">
      <c r="D19175" s="1"/>
      <c r="G19175" s="13"/>
      <c r="AL19175" s="13"/>
    </row>
    <row r="19176" spans="4:39" x14ac:dyDescent="0.3">
      <c r="D19176" s="1"/>
      <c r="G19176" s="13"/>
      <c r="AL19176" s="13"/>
    </row>
    <row r="19177" spans="4:39" x14ac:dyDescent="0.3">
      <c r="D19177" s="1"/>
      <c r="G19177" s="13"/>
      <c r="AL19177" s="13"/>
    </row>
    <row r="19178" spans="4:39" x14ac:dyDescent="0.3">
      <c r="D19178" s="1"/>
      <c r="G19178" s="13"/>
      <c r="AL19178" s="13"/>
    </row>
    <row r="19179" spans="4:39" x14ac:dyDescent="0.3">
      <c r="D19179" s="1"/>
      <c r="G19179" s="13"/>
      <c r="AL19179" s="13"/>
    </row>
    <row r="19180" spans="4:39" x14ac:dyDescent="0.3">
      <c r="D19180" s="1"/>
      <c r="G19180" s="13"/>
      <c r="AL19180" s="13"/>
    </row>
    <row r="19181" spans="4:39" x14ac:dyDescent="0.3">
      <c r="D19181" s="1"/>
      <c r="G19181" s="13"/>
      <c r="AL19181" s="13"/>
    </row>
    <row r="19182" spans="4:39" x14ac:dyDescent="0.3">
      <c r="D19182" s="1"/>
      <c r="G19182" s="13"/>
      <c r="AL19182" s="13"/>
    </row>
    <row r="19183" spans="4:39" x14ac:dyDescent="0.3">
      <c r="D19183" s="1"/>
      <c r="G19183" s="13"/>
      <c r="AL19183" s="13"/>
    </row>
    <row r="19184" spans="4:39" x14ac:dyDescent="0.3">
      <c r="D19184" s="1"/>
      <c r="G19184" s="13"/>
      <c r="AL19184" s="13"/>
    </row>
    <row r="19185" spans="4:38" x14ac:dyDescent="0.3">
      <c r="D19185" s="1"/>
      <c r="G19185" s="13"/>
      <c r="AL19185" s="13"/>
    </row>
    <row r="19186" spans="4:38" x14ac:dyDescent="0.3">
      <c r="D19186" s="1"/>
      <c r="G19186" s="13"/>
      <c r="AL19186" s="13"/>
    </row>
    <row r="19187" spans="4:38" x14ac:dyDescent="0.3">
      <c r="D19187" s="1"/>
      <c r="G19187" s="13"/>
      <c r="AL19187" s="13"/>
    </row>
    <row r="19188" spans="4:38" x14ac:dyDescent="0.3">
      <c r="D19188" s="1"/>
      <c r="G19188" s="13"/>
      <c r="AL19188" s="13"/>
    </row>
    <row r="19189" spans="4:38" x14ac:dyDescent="0.3">
      <c r="D19189" s="1"/>
      <c r="G19189" s="13"/>
      <c r="AL19189" s="13"/>
    </row>
    <row r="19190" spans="4:38" x14ac:dyDescent="0.3">
      <c r="D19190" s="1"/>
      <c r="G19190" s="13"/>
      <c r="AL19190" s="13"/>
    </row>
    <row r="19191" spans="4:38" x14ac:dyDescent="0.3">
      <c r="D19191" s="1"/>
      <c r="G19191" s="13"/>
      <c r="AL19191" s="13"/>
    </row>
    <row r="19192" spans="4:38" x14ac:dyDescent="0.3">
      <c r="D19192" s="1"/>
      <c r="G19192" s="13"/>
      <c r="AL19192" s="13"/>
    </row>
    <row r="19193" spans="4:38" x14ac:dyDescent="0.3">
      <c r="D19193" s="1"/>
      <c r="G19193" s="13"/>
      <c r="AL19193" s="13"/>
    </row>
    <row r="19194" spans="4:38" x14ac:dyDescent="0.3">
      <c r="D19194" s="1"/>
      <c r="G19194" s="13"/>
      <c r="AL19194" s="13"/>
    </row>
    <row r="19195" spans="4:38" x14ac:dyDescent="0.3">
      <c r="D19195" s="1"/>
      <c r="G19195" s="13"/>
      <c r="AL19195" s="13"/>
    </row>
    <row r="19196" spans="4:38" x14ac:dyDescent="0.3">
      <c r="D19196" s="1"/>
      <c r="G19196" s="13"/>
      <c r="AL19196" s="13"/>
    </row>
    <row r="19197" spans="4:38" x14ac:dyDescent="0.3">
      <c r="D19197" s="1"/>
      <c r="G19197" s="13"/>
      <c r="AL19197" s="13"/>
    </row>
    <row r="19198" spans="4:38" x14ac:dyDescent="0.3">
      <c r="D19198" s="1"/>
      <c r="G19198" s="13"/>
      <c r="AL19198" s="13"/>
    </row>
    <row r="19199" spans="4:38" x14ac:dyDescent="0.3">
      <c r="D19199" s="1"/>
      <c r="G19199" s="13"/>
      <c r="AL19199" s="13"/>
    </row>
    <row r="19200" spans="4:38" x14ac:dyDescent="0.3">
      <c r="D19200" s="1"/>
      <c r="G19200" s="13"/>
      <c r="AL19200" s="13"/>
    </row>
    <row r="19201" spans="4:38" x14ac:dyDescent="0.3">
      <c r="D19201" s="1"/>
      <c r="G19201" s="13"/>
      <c r="AL19201" s="13"/>
    </row>
    <row r="19202" spans="4:38" x14ac:dyDescent="0.3">
      <c r="D19202" s="1"/>
      <c r="G19202" s="13"/>
      <c r="AL19202" s="13"/>
    </row>
    <row r="19203" spans="4:38" x14ac:dyDescent="0.3">
      <c r="D19203" s="1"/>
      <c r="G19203" s="13"/>
      <c r="AL19203" s="13"/>
    </row>
    <row r="19204" spans="4:38" x14ac:dyDescent="0.3">
      <c r="D19204" s="1"/>
      <c r="G19204" s="13"/>
      <c r="AL19204" s="13"/>
    </row>
    <row r="19205" spans="4:38" x14ac:dyDescent="0.3">
      <c r="D19205" s="1"/>
      <c r="G19205" s="13"/>
      <c r="AL19205" s="13"/>
    </row>
    <row r="19206" spans="4:38" x14ac:dyDescent="0.3">
      <c r="D19206" s="1"/>
      <c r="G19206" s="13"/>
      <c r="AL19206" s="13"/>
    </row>
    <row r="19207" spans="4:38" x14ac:dyDescent="0.3">
      <c r="D19207" s="1"/>
      <c r="G19207" s="13"/>
      <c r="AL19207" s="13"/>
    </row>
    <row r="19208" spans="4:38" x14ac:dyDescent="0.3">
      <c r="D19208" s="1"/>
      <c r="G19208" s="13"/>
      <c r="AL19208" s="13"/>
    </row>
    <row r="19209" spans="4:38" x14ac:dyDescent="0.3">
      <c r="D19209" s="1"/>
      <c r="G19209" s="13"/>
      <c r="AL19209" s="13"/>
    </row>
    <row r="19210" spans="4:38" x14ac:dyDescent="0.3">
      <c r="D19210" s="1"/>
      <c r="G19210" s="13"/>
      <c r="AL19210" s="13"/>
    </row>
    <row r="19211" spans="4:38" x14ac:dyDescent="0.3">
      <c r="D19211" s="1"/>
      <c r="G19211" s="13"/>
      <c r="AL19211" s="13"/>
    </row>
    <row r="19212" spans="4:38" x14ac:dyDescent="0.3">
      <c r="D19212" s="1"/>
      <c r="G19212" s="13"/>
      <c r="AL19212" s="13"/>
    </row>
    <row r="19213" spans="4:38" x14ac:dyDescent="0.3">
      <c r="D19213" s="1"/>
      <c r="G19213" s="13"/>
      <c r="AL19213" s="13"/>
    </row>
    <row r="19214" spans="4:38" x14ac:dyDescent="0.3">
      <c r="D19214" s="1"/>
      <c r="G19214" s="13"/>
      <c r="AL19214" s="13"/>
    </row>
    <row r="19215" spans="4:38" x14ac:dyDescent="0.3">
      <c r="D19215" s="1"/>
      <c r="G19215" s="13"/>
      <c r="AL19215" s="13"/>
    </row>
    <row r="19216" spans="4:38" x14ac:dyDescent="0.3">
      <c r="D19216" s="1"/>
      <c r="G19216" s="13"/>
      <c r="AL19216" s="13"/>
    </row>
    <row r="19217" spans="4:38" x14ac:dyDescent="0.3">
      <c r="D19217" s="1"/>
      <c r="G19217" s="13"/>
      <c r="AL19217" s="13"/>
    </row>
    <row r="19218" spans="4:38" x14ac:dyDescent="0.3">
      <c r="D19218" s="1"/>
      <c r="G19218" s="13"/>
      <c r="AL19218" s="13"/>
    </row>
    <row r="19219" spans="4:38" x14ac:dyDescent="0.3">
      <c r="D19219" s="1"/>
      <c r="G19219" s="13"/>
      <c r="AL19219" s="13"/>
    </row>
    <row r="19220" spans="4:38" x14ac:dyDescent="0.3">
      <c r="D19220" s="1"/>
      <c r="G19220" s="13"/>
      <c r="AL19220" s="13"/>
    </row>
    <row r="19221" spans="4:38" x14ac:dyDescent="0.3">
      <c r="D19221" s="1"/>
      <c r="G19221" s="13"/>
      <c r="AL19221" s="13"/>
    </row>
    <row r="19222" spans="4:38" x14ac:dyDescent="0.3">
      <c r="D19222" s="1"/>
      <c r="G19222" s="13"/>
      <c r="AL19222" s="13"/>
    </row>
    <row r="19223" spans="4:38" x14ac:dyDescent="0.3">
      <c r="D19223" s="1"/>
      <c r="G19223" s="13"/>
      <c r="AL19223" s="13"/>
    </row>
    <row r="19224" spans="4:38" x14ac:dyDescent="0.3">
      <c r="D19224" s="1"/>
      <c r="G19224" s="13"/>
      <c r="AL19224" s="13"/>
    </row>
    <row r="19225" spans="4:38" x14ac:dyDescent="0.3">
      <c r="D19225" s="1"/>
      <c r="G19225" s="13"/>
      <c r="AL19225" s="13"/>
    </row>
    <row r="19226" spans="4:38" x14ac:dyDescent="0.3">
      <c r="D19226" s="1"/>
      <c r="G19226" s="13"/>
      <c r="AL19226" s="13"/>
    </row>
    <row r="19227" spans="4:38" x14ac:dyDescent="0.3">
      <c r="D19227" s="1"/>
      <c r="G19227" s="13"/>
      <c r="AL19227" s="13"/>
    </row>
    <row r="19228" spans="4:38" x14ac:dyDescent="0.3">
      <c r="D19228" s="1"/>
      <c r="G19228" s="13"/>
      <c r="AL19228" s="13"/>
    </row>
    <row r="19229" spans="4:38" x14ac:dyDescent="0.3">
      <c r="D19229" s="1"/>
      <c r="G19229" s="13"/>
      <c r="AL19229" s="13"/>
    </row>
    <row r="19230" spans="4:38" x14ac:dyDescent="0.3">
      <c r="D19230" s="1"/>
      <c r="G19230" s="13"/>
      <c r="AL19230" s="13"/>
    </row>
    <row r="19231" spans="4:38" x14ac:dyDescent="0.3">
      <c r="D19231" s="1"/>
      <c r="G19231" s="13"/>
      <c r="AL19231" s="13"/>
    </row>
    <row r="19232" spans="4:38" x14ac:dyDescent="0.3">
      <c r="D19232" s="1"/>
      <c r="G19232" s="13"/>
      <c r="AL19232" s="13"/>
    </row>
    <row r="19233" spans="4:38" x14ac:dyDescent="0.3">
      <c r="D19233" s="1"/>
      <c r="G19233" s="13"/>
      <c r="AL19233" s="13"/>
    </row>
    <row r="19234" spans="4:38" x14ac:dyDescent="0.3">
      <c r="D19234" s="1"/>
      <c r="G19234" s="13"/>
      <c r="AL19234" s="13"/>
    </row>
    <row r="19235" spans="4:38" x14ac:dyDescent="0.3">
      <c r="D19235" s="1"/>
      <c r="G19235" s="13"/>
      <c r="AL19235" s="13"/>
    </row>
    <row r="19236" spans="4:38" x14ac:dyDescent="0.3">
      <c r="D19236" s="1"/>
      <c r="G19236" s="13"/>
      <c r="AL19236" s="13"/>
    </row>
    <row r="19237" spans="4:38" x14ac:dyDescent="0.3">
      <c r="D19237" s="1"/>
      <c r="G19237" s="13"/>
      <c r="AL19237" s="13"/>
    </row>
    <row r="19238" spans="4:38" x14ac:dyDescent="0.3">
      <c r="D19238" s="1"/>
      <c r="G19238" s="13"/>
      <c r="AL19238" s="13"/>
    </row>
    <row r="19239" spans="4:38" x14ac:dyDescent="0.3">
      <c r="D19239" s="1"/>
      <c r="G19239" s="13"/>
      <c r="AL19239" s="13"/>
    </row>
    <row r="19240" spans="4:38" x14ac:dyDescent="0.3">
      <c r="D19240" s="1"/>
      <c r="G19240" s="13"/>
      <c r="AL19240" s="13"/>
    </row>
    <row r="19241" spans="4:38" x14ac:dyDescent="0.3">
      <c r="D19241" s="1"/>
      <c r="G19241" s="13"/>
      <c r="AL19241" s="13"/>
    </row>
    <row r="19242" spans="4:38" x14ac:dyDescent="0.3">
      <c r="D19242" s="1"/>
      <c r="G19242" s="13"/>
      <c r="AL19242" s="13"/>
    </row>
    <row r="19243" spans="4:38" x14ac:dyDescent="0.3">
      <c r="D19243" s="1"/>
      <c r="G19243" s="13"/>
      <c r="AL19243" s="13"/>
    </row>
    <row r="19244" spans="4:38" x14ac:dyDescent="0.3">
      <c r="D19244" s="1"/>
      <c r="G19244" s="13"/>
      <c r="AL19244" s="13"/>
    </row>
    <row r="19245" spans="4:38" x14ac:dyDescent="0.3">
      <c r="D19245" s="1"/>
      <c r="G19245" s="13"/>
      <c r="AL19245" s="13"/>
    </row>
    <row r="19246" spans="4:38" x14ac:dyDescent="0.3">
      <c r="D19246" s="1"/>
      <c r="G19246" s="13"/>
      <c r="AL19246" s="13"/>
    </row>
    <row r="19247" spans="4:38" x14ac:dyDescent="0.3">
      <c r="D19247" s="1"/>
      <c r="G19247" s="13"/>
      <c r="AL19247" s="13"/>
    </row>
    <row r="19248" spans="4:38" x14ac:dyDescent="0.3">
      <c r="D19248" s="1"/>
      <c r="G19248" s="13"/>
      <c r="AL19248" s="13"/>
    </row>
    <row r="19249" spans="4:38" x14ac:dyDescent="0.3">
      <c r="D19249" s="1"/>
      <c r="G19249" s="13"/>
      <c r="AL19249" s="13"/>
    </row>
    <row r="19250" spans="4:38" x14ac:dyDescent="0.3">
      <c r="D19250" s="1"/>
      <c r="G19250" s="13"/>
      <c r="AL19250" s="13"/>
    </row>
    <row r="19251" spans="4:38" x14ac:dyDescent="0.3">
      <c r="D19251" s="1"/>
      <c r="G19251" s="13"/>
      <c r="AL19251" s="13"/>
    </row>
    <row r="19252" spans="4:38" x14ac:dyDescent="0.3">
      <c r="D19252" s="1"/>
      <c r="G19252" s="13"/>
      <c r="AL19252" s="13"/>
    </row>
    <row r="19253" spans="4:38" x14ac:dyDescent="0.3">
      <c r="D19253" s="1"/>
      <c r="G19253" s="13"/>
      <c r="AL19253" s="13"/>
    </row>
    <row r="19254" spans="4:38" x14ac:dyDescent="0.3">
      <c r="D19254" s="1"/>
      <c r="G19254" s="13"/>
      <c r="AL19254" s="13"/>
    </row>
    <row r="19255" spans="4:38" x14ac:dyDescent="0.3">
      <c r="D19255" s="1"/>
      <c r="G19255" s="13"/>
      <c r="AL19255" s="13"/>
    </row>
    <row r="19256" spans="4:38" x14ac:dyDescent="0.3">
      <c r="D19256" s="1"/>
      <c r="G19256" s="13"/>
      <c r="AL19256" s="13"/>
    </row>
    <row r="19257" spans="4:38" x14ac:dyDescent="0.3">
      <c r="D19257" s="1"/>
      <c r="G19257" s="13"/>
      <c r="AL19257" s="13"/>
    </row>
    <row r="19258" spans="4:38" x14ac:dyDescent="0.3">
      <c r="D19258" s="1"/>
      <c r="G19258" s="13"/>
      <c r="AL19258" s="13"/>
    </row>
    <row r="19259" spans="4:38" x14ac:dyDescent="0.3">
      <c r="D19259" s="1"/>
      <c r="G19259" s="13"/>
      <c r="AL19259" s="13"/>
    </row>
    <row r="19260" spans="4:38" x14ac:dyDescent="0.3">
      <c r="D19260" s="1"/>
      <c r="G19260" s="13"/>
      <c r="AL19260" s="13"/>
    </row>
    <row r="19261" spans="4:38" x14ac:dyDescent="0.3">
      <c r="D19261" s="1"/>
      <c r="G19261" s="13"/>
      <c r="AL19261" s="13"/>
    </row>
    <row r="19262" spans="4:38" x14ac:dyDescent="0.3">
      <c r="D19262" s="1"/>
      <c r="G19262" s="13"/>
      <c r="AL19262" s="13"/>
    </row>
    <row r="19263" spans="4:38" x14ac:dyDescent="0.3">
      <c r="D19263" s="1"/>
      <c r="G19263" s="13"/>
      <c r="AL19263" s="13"/>
    </row>
    <row r="19264" spans="4:38" x14ac:dyDescent="0.3">
      <c r="D19264" s="1"/>
      <c r="G19264" s="13"/>
      <c r="AL19264" s="13"/>
    </row>
    <row r="19265" spans="4:38" x14ac:dyDescent="0.3">
      <c r="D19265" s="1"/>
      <c r="G19265" s="13"/>
      <c r="AL19265" s="13"/>
    </row>
    <row r="19266" spans="4:38" x14ac:dyDescent="0.3">
      <c r="D19266" s="1"/>
      <c r="G19266" s="13"/>
      <c r="AL19266" s="13"/>
    </row>
    <row r="19267" spans="4:38" x14ac:dyDescent="0.3">
      <c r="D19267" s="1"/>
      <c r="G19267" s="13"/>
      <c r="AL19267" s="13"/>
    </row>
    <row r="19268" spans="4:38" x14ac:dyDescent="0.3">
      <c r="D19268" s="1"/>
      <c r="G19268" s="13"/>
      <c r="AL19268" s="13"/>
    </row>
    <row r="19269" spans="4:38" x14ac:dyDescent="0.3">
      <c r="D19269" s="1"/>
      <c r="G19269" s="13"/>
      <c r="AL19269" s="13"/>
    </row>
    <row r="19270" spans="4:38" x14ac:dyDescent="0.3">
      <c r="D19270" s="1"/>
      <c r="G19270" s="13"/>
      <c r="AL19270" s="13"/>
    </row>
    <row r="19271" spans="4:38" x14ac:dyDescent="0.3">
      <c r="D19271" s="1"/>
      <c r="G19271" s="13"/>
      <c r="AL19271" s="13"/>
    </row>
    <row r="19272" spans="4:38" x14ac:dyDescent="0.3">
      <c r="D19272" s="1"/>
      <c r="G19272" s="13"/>
      <c r="AL19272" s="13"/>
    </row>
    <row r="19273" spans="4:38" x14ac:dyDescent="0.3">
      <c r="D19273" s="1"/>
      <c r="G19273" s="13"/>
      <c r="AL19273" s="13"/>
    </row>
    <row r="19274" spans="4:38" x14ac:dyDescent="0.3">
      <c r="D19274" s="1"/>
      <c r="G19274" s="13"/>
      <c r="AL19274" s="13"/>
    </row>
    <row r="19275" spans="4:38" x14ac:dyDescent="0.3">
      <c r="D19275" s="1"/>
      <c r="G19275" s="13"/>
      <c r="AL19275" s="13"/>
    </row>
    <row r="19276" spans="4:38" x14ac:dyDescent="0.3">
      <c r="D19276" s="1"/>
      <c r="G19276" s="13"/>
      <c r="AL19276" s="13"/>
    </row>
    <row r="19277" spans="4:38" x14ac:dyDescent="0.3">
      <c r="D19277" s="1"/>
      <c r="G19277" s="13"/>
      <c r="AL19277" s="13"/>
    </row>
    <row r="19278" spans="4:38" x14ac:dyDescent="0.3">
      <c r="D19278" s="1"/>
      <c r="G19278" s="13"/>
      <c r="AL19278" s="13"/>
    </row>
    <row r="19279" spans="4:38" x14ac:dyDescent="0.3">
      <c r="D19279" s="1"/>
      <c r="G19279" s="13"/>
      <c r="AL19279" s="13"/>
    </row>
    <row r="19280" spans="4:38" x14ac:dyDescent="0.3">
      <c r="D19280" s="1"/>
      <c r="G19280" s="13"/>
      <c r="AL19280" s="13"/>
    </row>
    <row r="19281" spans="4:38" x14ac:dyDescent="0.3">
      <c r="D19281" s="1"/>
      <c r="G19281" s="13"/>
      <c r="AL19281" s="13"/>
    </row>
    <row r="19282" spans="4:38" x14ac:dyDescent="0.3">
      <c r="D19282" s="1"/>
      <c r="G19282" s="13"/>
      <c r="AL19282" s="13"/>
    </row>
    <row r="19283" spans="4:38" x14ac:dyDescent="0.3">
      <c r="D19283" s="1"/>
      <c r="G19283" s="13"/>
      <c r="AL19283" s="13"/>
    </row>
    <row r="19284" spans="4:38" x14ac:dyDescent="0.3">
      <c r="D19284" s="1"/>
      <c r="G19284" s="13"/>
      <c r="AL19284" s="13"/>
    </row>
    <row r="19285" spans="4:38" x14ac:dyDescent="0.3">
      <c r="D19285" s="1"/>
      <c r="G19285" s="13"/>
      <c r="AL19285" s="13"/>
    </row>
    <row r="19286" spans="4:38" x14ac:dyDescent="0.3">
      <c r="D19286" s="1"/>
      <c r="G19286" s="13"/>
      <c r="AL19286" s="13"/>
    </row>
    <row r="19287" spans="4:38" x14ac:dyDescent="0.3">
      <c r="D19287" s="1"/>
      <c r="G19287" s="13"/>
      <c r="AL19287" s="13"/>
    </row>
    <row r="19288" spans="4:38" x14ac:dyDescent="0.3">
      <c r="D19288" s="1"/>
      <c r="G19288" s="13"/>
      <c r="AL19288" s="13"/>
    </row>
    <row r="19289" spans="4:38" x14ac:dyDescent="0.3">
      <c r="D19289" s="1"/>
      <c r="G19289" s="13"/>
      <c r="AL19289" s="13"/>
    </row>
    <row r="19290" spans="4:38" x14ac:dyDescent="0.3">
      <c r="D19290" s="1"/>
      <c r="G19290" s="13"/>
      <c r="AL19290" s="13"/>
    </row>
    <row r="19291" spans="4:38" x14ac:dyDescent="0.3">
      <c r="D19291" s="1"/>
      <c r="G19291" s="13"/>
      <c r="AL19291" s="13"/>
    </row>
    <row r="19292" spans="4:38" x14ac:dyDescent="0.3">
      <c r="D19292" s="1"/>
      <c r="G19292" s="13"/>
      <c r="AL19292" s="13"/>
    </row>
    <row r="19293" spans="4:38" x14ac:dyDescent="0.3">
      <c r="D19293" s="1"/>
      <c r="G19293" s="13"/>
      <c r="AL19293" s="13"/>
    </row>
    <row r="19294" spans="4:38" x14ac:dyDescent="0.3">
      <c r="D19294" s="1"/>
      <c r="G19294" s="13"/>
      <c r="AL19294" s="13"/>
    </row>
    <row r="19295" spans="4:38" x14ac:dyDescent="0.3">
      <c r="D19295" s="1"/>
      <c r="G19295" s="13"/>
      <c r="AL19295" s="13"/>
    </row>
    <row r="19296" spans="4:38" x14ac:dyDescent="0.3">
      <c r="D19296" s="1"/>
      <c r="G19296" s="13"/>
      <c r="AL19296" s="13"/>
    </row>
    <row r="19297" spans="4:38" x14ac:dyDescent="0.3">
      <c r="D19297" s="1"/>
      <c r="G19297" s="13"/>
      <c r="AL19297" s="13"/>
    </row>
    <row r="19298" spans="4:38" x14ac:dyDescent="0.3">
      <c r="D19298" s="1"/>
      <c r="G19298" s="13"/>
      <c r="AL19298" s="13"/>
    </row>
    <row r="19299" spans="4:38" x14ac:dyDescent="0.3">
      <c r="D19299" s="1"/>
      <c r="G19299" s="13"/>
      <c r="AL19299" s="13"/>
    </row>
    <row r="19300" spans="4:38" x14ac:dyDescent="0.3">
      <c r="D19300" s="1"/>
      <c r="G19300" s="13"/>
      <c r="AL19300" s="13"/>
    </row>
    <row r="19301" spans="4:38" x14ac:dyDescent="0.3">
      <c r="D19301" s="1"/>
      <c r="G19301" s="13"/>
      <c r="AL19301" s="13"/>
    </row>
    <row r="19302" spans="4:38" x14ac:dyDescent="0.3">
      <c r="D19302" s="1"/>
      <c r="G19302" s="13"/>
      <c r="AL19302" s="13"/>
    </row>
    <row r="19303" spans="4:38" x14ac:dyDescent="0.3">
      <c r="D19303" s="1"/>
      <c r="G19303" s="13"/>
      <c r="AL19303" s="13"/>
    </row>
    <row r="19304" spans="4:38" x14ac:dyDescent="0.3">
      <c r="D19304" s="1"/>
      <c r="G19304" s="13"/>
      <c r="AL19304" s="13"/>
    </row>
    <row r="19305" spans="4:38" x14ac:dyDescent="0.3">
      <c r="D19305" s="1"/>
      <c r="G19305" s="13"/>
      <c r="AL19305" s="13"/>
    </row>
    <row r="19306" spans="4:38" x14ac:dyDescent="0.3">
      <c r="D19306" s="1"/>
      <c r="G19306" s="13"/>
      <c r="AL19306" s="13"/>
    </row>
    <row r="19307" spans="4:38" x14ac:dyDescent="0.3">
      <c r="D19307" s="1"/>
      <c r="G19307" s="13"/>
      <c r="AL19307" s="13"/>
    </row>
    <row r="19308" spans="4:38" x14ac:dyDescent="0.3">
      <c r="D19308" s="1"/>
      <c r="G19308" s="13"/>
      <c r="AL19308" s="13"/>
    </row>
    <row r="19309" spans="4:38" x14ac:dyDescent="0.3">
      <c r="D19309" s="1"/>
      <c r="G19309" s="13"/>
      <c r="AL19309" s="13"/>
    </row>
    <row r="19310" spans="4:38" x14ac:dyDescent="0.3">
      <c r="D19310" s="1"/>
      <c r="G19310" s="13"/>
      <c r="AL19310" s="13"/>
    </row>
    <row r="19311" spans="4:38" x14ac:dyDescent="0.3">
      <c r="D19311" s="1"/>
      <c r="G19311" s="13"/>
      <c r="AL19311" s="13"/>
    </row>
    <row r="19312" spans="4:38" x14ac:dyDescent="0.3">
      <c r="D19312" s="1"/>
      <c r="G19312" s="13"/>
      <c r="AL19312" s="13"/>
    </row>
    <row r="19313" spans="4:38" x14ac:dyDescent="0.3">
      <c r="D19313" s="1"/>
      <c r="G19313" s="13"/>
      <c r="AL19313" s="13"/>
    </row>
    <row r="19314" spans="4:38" x14ac:dyDescent="0.3">
      <c r="D19314" s="1"/>
      <c r="G19314" s="13"/>
      <c r="AL19314" s="13"/>
    </row>
    <row r="19315" spans="4:38" x14ac:dyDescent="0.3">
      <c r="D19315" s="1"/>
      <c r="G19315" s="13"/>
      <c r="AL19315" s="13"/>
    </row>
    <row r="19316" spans="4:38" x14ac:dyDescent="0.3">
      <c r="D19316" s="1"/>
      <c r="G19316" s="13"/>
      <c r="AL19316" s="13"/>
    </row>
    <row r="19317" spans="4:38" x14ac:dyDescent="0.3">
      <c r="D19317" s="1"/>
      <c r="G19317" s="13"/>
      <c r="AL19317" s="13"/>
    </row>
    <row r="19318" spans="4:38" x14ac:dyDescent="0.3">
      <c r="D19318" s="1"/>
      <c r="G19318" s="13"/>
      <c r="AL19318" s="13"/>
    </row>
    <row r="19319" spans="4:38" x14ac:dyDescent="0.3">
      <c r="D19319" s="1"/>
      <c r="G19319" s="13"/>
      <c r="AL19319" s="13"/>
    </row>
    <row r="19320" spans="4:38" x14ac:dyDescent="0.3">
      <c r="D19320" s="1"/>
      <c r="G19320" s="13"/>
      <c r="AL19320" s="13"/>
    </row>
    <row r="19321" spans="4:38" x14ac:dyDescent="0.3">
      <c r="D19321" s="1"/>
      <c r="G19321" s="13"/>
      <c r="AL19321" s="13"/>
    </row>
    <row r="19322" spans="4:38" x14ac:dyDescent="0.3">
      <c r="D19322" s="1"/>
      <c r="G19322" s="13"/>
      <c r="AL19322" s="13"/>
    </row>
    <row r="19323" spans="4:38" x14ac:dyDescent="0.3">
      <c r="D19323" s="1"/>
      <c r="G19323" s="13"/>
      <c r="AL19323" s="13"/>
    </row>
    <row r="19324" spans="4:38" x14ac:dyDescent="0.3">
      <c r="D19324" s="1"/>
      <c r="G19324" s="13"/>
      <c r="AL19324" s="13"/>
    </row>
    <row r="19325" spans="4:38" x14ac:dyDescent="0.3">
      <c r="D19325" s="1"/>
      <c r="G19325" s="13"/>
      <c r="AL19325" s="13"/>
    </row>
    <row r="19326" spans="4:38" x14ac:dyDescent="0.3">
      <c r="D19326" s="1"/>
      <c r="G19326" s="13"/>
      <c r="AL19326" s="13"/>
    </row>
    <row r="19327" spans="4:38" x14ac:dyDescent="0.3">
      <c r="D19327" s="1"/>
      <c r="G19327" s="13"/>
      <c r="AL19327" s="13"/>
    </row>
    <row r="19328" spans="4:38" x14ac:dyDescent="0.3">
      <c r="D19328" s="1"/>
      <c r="G19328" s="13"/>
      <c r="AL19328" s="13"/>
    </row>
    <row r="19329" spans="4:38" x14ac:dyDescent="0.3">
      <c r="D19329" s="1"/>
      <c r="G19329" s="13"/>
      <c r="AL19329" s="13"/>
    </row>
    <row r="19330" spans="4:38" x14ac:dyDescent="0.3">
      <c r="D19330" s="1"/>
      <c r="G19330" s="13"/>
      <c r="AL19330" s="13"/>
    </row>
    <row r="19331" spans="4:38" x14ac:dyDescent="0.3">
      <c r="D19331" s="1"/>
      <c r="G19331" s="13"/>
      <c r="AL19331" s="13"/>
    </row>
    <row r="19332" spans="4:38" x14ac:dyDescent="0.3">
      <c r="D19332" s="1"/>
      <c r="G19332" s="13"/>
      <c r="AL19332" s="13"/>
    </row>
    <row r="19333" spans="4:38" x14ac:dyDescent="0.3">
      <c r="D19333" s="1"/>
      <c r="G19333" s="13"/>
      <c r="AL19333" s="13"/>
    </row>
    <row r="19334" spans="4:38" x14ac:dyDescent="0.3">
      <c r="D19334" s="1"/>
      <c r="G19334" s="13"/>
      <c r="AL19334" s="13"/>
    </row>
    <row r="19335" spans="4:38" x14ac:dyDescent="0.3">
      <c r="D19335" s="1"/>
      <c r="G19335" s="13"/>
      <c r="AL19335" s="13"/>
    </row>
    <row r="19336" spans="4:38" x14ac:dyDescent="0.3">
      <c r="D19336" s="1"/>
      <c r="G19336" s="13"/>
      <c r="AL19336" s="13"/>
    </row>
    <row r="19337" spans="4:38" x14ac:dyDescent="0.3">
      <c r="D19337" s="1"/>
      <c r="G19337" s="13"/>
      <c r="AL19337" s="13"/>
    </row>
    <row r="19338" spans="4:38" x14ac:dyDescent="0.3">
      <c r="D19338" s="1"/>
      <c r="G19338" s="13"/>
      <c r="AL19338" s="13"/>
    </row>
    <row r="19339" spans="4:38" x14ac:dyDescent="0.3">
      <c r="D19339" s="1"/>
      <c r="G19339" s="13"/>
      <c r="AL19339" s="13"/>
    </row>
    <row r="19340" spans="4:38" x14ac:dyDescent="0.3">
      <c r="D19340" s="1"/>
      <c r="G19340" s="13"/>
      <c r="AL19340" s="13"/>
    </row>
    <row r="19341" spans="4:38" x14ac:dyDescent="0.3">
      <c r="D19341" s="1"/>
      <c r="G19341" s="13"/>
      <c r="AL19341" s="13"/>
    </row>
    <row r="19342" spans="4:38" x14ac:dyDescent="0.3">
      <c r="D19342" s="1"/>
      <c r="G19342" s="13"/>
      <c r="AL19342" s="13"/>
    </row>
    <row r="19343" spans="4:38" x14ac:dyDescent="0.3">
      <c r="D19343" s="1"/>
      <c r="G19343" s="13"/>
      <c r="AL19343" s="13"/>
    </row>
    <row r="19344" spans="4:38" x14ac:dyDescent="0.3">
      <c r="D19344" s="1"/>
      <c r="G19344" s="13"/>
      <c r="AL19344" s="13"/>
    </row>
    <row r="19345" spans="4:38" x14ac:dyDescent="0.3">
      <c r="D19345" s="1"/>
      <c r="G19345" s="13"/>
      <c r="AL19345" s="13"/>
    </row>
    <row r="19346" spans="4:38" x14ac:dyDescent="0.3">
      <c r="D19346" s="1"/>
      <c r="G19346" s="13"/>
      <c r="AL19346" s="13"/>
    </row>
    <row r="19347" spans="4:38" x14ac:dyDescent="0.3">
      <c r="D19347" s="1"/>
      <c r="G19347" s="13"/>
      <c r="AL19347" s="13"/>
    </row>
    <row r="19348" spans="4:38" x14ac:dyDescent="0.3">
      <c r="D19348" s="1"/>
      <c r="G19348" s="13"/>
      <c r="AL19348" s="13"/>
    </row>
    <row r="19349" spans="4:38" x14ac:dyDescent="0.3">
      <c r="D19349" s="1"/>
      <c r="G19349" s="13"/>
      <c r="AL19349" s="13"/>
    </row>
    <row r="19350" spans="4:38" x14ac:dyDescent="0.3">
      <c r="D19350" s="1"/>
      <c r="G19350" s="13"/>
      <c r="AL19350" s="13"/>
    </row>
    <row r="19351" spans="4:38" x14ac:dyDescent="0.3">
      <c r="D19351" s="1"/>
      <c r="G19351" s="13"/>
      <c r="AL19351" s="13"/>
    </row>
    <row r="19352" spans="4:38" x14ac:dyDescent="0.3">
      <c r="D19352" s="1"/>
      <c r="G19352" s="13"/>
      <c r="AL19352" s="13"/>
    </row>
    <row r="19353" spans="4:38" x14ac:dyDescent="0.3">
      <c r="D19353" s="1"/>
      <c r="G19353" s="13"/>
      <c r="AL19353" s="13"/>
    </row>
    <row r="19354" spans="4:38" x14ac:dyDescent="0.3">
      <c r="D19354" s="1"/>
      <c r="G19354" s="13"/>
      <c r="AL19354" s="13"/>
    </row>
    <row r="19355" spans="4:38" x14ac:dyDescent="0.3">
      <c r="D19355" s="1"/>
      <c r="G19355" s="13"/>
      <c r="AL19355" s="13"/>
    </row>
    <row r="19356" spans="4:38" x14ac:dyDescent="0.3">
      <c r="D19356" s="1"/>
      <c r="G19356" s="13"/>
      <c r="AL19356" s="13"/>
    </row>
    <row r="19357" spans="4:38" x14ac:dyDescent="0.3">
      <c r="D19357" s="1"/>
      <c r="G19357" s="13"/>
      <c r="AL19357" s="13"/>
    </row>
    <row r="19358" spans="4:38" x14ac:dyDescent="0.3">
      <c r="D19358" s="1"/>
      <c r="G19358" s="13"/>
      <c r="AL19358" s="13"/>
    </row>
    <row r="19359" spans="4:38" x14ac:dyDescent="0.3">
      <c r="D19359" s="1"/>
      <c r="G19359" s="13"/>
      <c r="AL19359" s="13"/>
    </row>
    <row r="19360" spans="4:38" x14ac:dyDescent="0.3">
      <c r="D19360" s="1"/>
      <c r="G19360" s="13"/>
      <c r="AL19360" s="13"/>
    </row>
    <row r="19361" spans="4:38" x14ac:dyDescent="0.3">
      <c r="D19361" s="1"/>
      <c r="G19361" s="13"/>
      <c r="AL19361" s="13"/>
    </row>
    <row r="19362" spans="4:38" x14ac:dyDescent="0.3">
      <c r="D19362" s="1"/>
      <c r="G19362" s="13"/>
      <c r="AL19362" s="13"/>
    </row>
    <row r="19363" spans="4:38" x14ac:dyDescent="0.3">
      <c r="D19363" s="1"/>
      <c r="G19363" s="13"/>
      <c r="AL19363" s="13"/>
    </row>
    <row r="19364" spans="4:38" x14ac:dyDescent="0.3">
      <c r="D19364" s="1"/>
      <c r="G19364" s="13"/>
      <c r="AL19364" s="13"/>
    </row>
    <row r="19365" spans="4:38" x14ac:dyDescent="0.3">
      <c r="D19365" s="1"/>
      <c r="G19365" s="13"/>
      <c r="AL19365" s="13"/>
    </row>
    <row r="19366" spans="4:38" x14ac:dyDescent="0.3">
      <c r="D19366" s="1"/>
      <c r="G19366" s="13"/>
      <c r="AL19366" s="13"/>
    </row>
    <row r="19367" spans="4:38" x14ac:dyDescent="0.3">
      <c r="D19367" s="1"/>
      <c r="G19367" s="13"/>
      <c r="AL19367" s="13"/>
    </row>
    <row r="19368" spans="4:38" x14ac:dyDescent="0.3">
      <c r="D19368" s="1"/>
      <c r="G19368" s="13"/>
      <c r="AL19368" s="13"/>
    </row>
    <row r="19369" spans="4:38" x14ac:dyDescent="0.3">
      <c r="D19369" s="1"/>
      <c r="G19369" s="13"/>
      <c r="AL19369" s="13"/>
    </row>
    <row r="19370" spans="4:38" x14ac:dyDescent="0.3">
      <c r="D19370" s="1"/>
      <c r="G19370" s="13"/>
      <c r="AL19370" s="13"/>
    </row>
    <row r="19371" spans="4:38" x14ac:dyDescent="0.3">
      <c r="D19371" s="1"/>
      <c r="G19371" s="13"/>
      <c r="AL19371" s="13"/>
    </row>
    <row r="19372" spans="4:38" x14ac:dyDescent="0.3">
      <c r="D19372" s="1"/>
      <c r="G19372" s="13"/>
      <c r="AL19372" s="13"/>
    </row>
    <row r="19373" spans="4:38" x14ac:dyDescent="0.3">
      <c r="D19373" s="1"/>
      <c r="G19373" s="13"/>
      <c r="AL19373" s="13"/>
    </row>
    <row r="19374" spans="4:38" x14ac:dyDescent="0.3">
      <c r="D19374" s="1"/>
      <c r="G19374" s="13"/>
      <c r="AL19374" s="13"/>
    </row>
    <row r="19375" spans="4:38" x14ac:dyDescent="0.3">
      <c r="D19375" s="1"/>
      <c r="G19375" s="13"/>
      <c r="AL19375" s="13"/>
    </row>
    <row r="19376" spans="4:38" x14ac:dyDescent="0.3">
      <c r="D19376" s="1"/>
      <c r="G19376" s="13"/>
      <c r="AL19376" s="13"/>
    </row>
    <row r="19377" spans="4:38" x14ac:dyDescent="0.3">
      <c r="D19377" s="1"/>
      <c r="G19377" s="13"/>
      <c r="AL19377" s="13"/>
    </row>
    <row r="19378" spans="4:38" x14ac:dyDescent="0.3">
      <c r="D19378" s="1"/>
      <c r="G19378" s="13"/>
      <c r="AL19378" s="13"/>
    </row>
    <row r="19379" spans="4:38" x14ac:dyDescent="0.3">
      <c r="D19379" s="1"/>
      <c r="G19379" s="13"/>
      <c r="AL19379" s="13"/>
    </row>
    <row r="19380" spans="4:38" x14ac:dyDescent="0.3">
      <c r="D19380" s="1"/>
      <c r="G19380" s="13"/>
      <c r="AL19380" s="13"/>
    </row>
    <row r="19381" spans="4:38" x14ac:dyDescent="0.3">
      <c r="D19381" s="1"/>
      <c r="G19381" s="13"/>
      <c r="AL19381" s="13"/>
    </row>
    <row r="19382" spans="4:38" x14ac:dyDescent="0.3">
      <c r="D19382" s="1"/>
      <c r="G19382" s="13"/>
      <c r="AL19382" s="13"/>
    </row>
    <row r="19383" spans="4:38" x14ac:dyDescent="0.3">
      <c r="D19383" s="1"/>
      <c r="G19383" s="13"/>
      <c r="AL19383" s="13"/>
    </row>
    <row r="19384" spans="4:38" x14ac:dyDescent="0.3">
      <c r="D19384" s="1"/>
      <c r="G19384" s="13"/>
      <c r="AL19384" s="13"/>
    </row>
    <row r="19385" spans="4:38" x14ac:dyDescent="0.3">
      <c r="D19385" s="1"/>
      <c r="G19385" s="13"/>
      <c r="AL19385" s="13"/>
    </row>
    <row r="19386" spans="4:38" x14ac:dyDescent="0.3">
      <c r="D19386" s="1"/>
      <c r="G19386" s="13"/>
      <c r="AL19386" s="13"/>
    </row>
    <row r="19387" spans="4:38" x14ac:dyDescent="0.3">
      <c r="D19387" s="1"/>
      <c r="G19387" s="13"/>
      <c r="AL19387" s="13"/>
    </row>
    <row r="19388" spans="4:38" x14ac:dyDescent="0.3">
      <c r="D19388" s="1"/>
      <c r="G19388" s="13"/>
      <c r="AL19388" s="13"/>
    </row>
    <row r="19389" spans="4:38" x14ac:dyDescent="0.3">
      <c r="D19389" s="1"/>
      <c r="G19389" s="13"/>
      <c r="AL19389" s="13"/>
    </row>
    <row r="19390" spans="4:38" x14ac:dyDescent="0.3">
      <c r="D19390" s="1"/>
      <c r="G19390" s="13"/>
      <c r="AL19390" s="13"/>
    </row>
    <row r="19391" spans="4:38" x14ac:dyDescent="0.3">
      <c r="D19391" s="1"/>
      <c r="G19391" s="13"/>
      <c r="AL19391" s="13"/>
    </row>
    <row r="19392" spans="4:38" x14ac:dyDescent="0.3">
      <c r="D19392" s="1"/>
      <c r="G19392" s="13"/>
      <c r="AL19392" s="13"/>
    </row>
    <row r="19393" spans="4:38" x14ac:dyDescent="0.3">
      <c r="D19393" s="1"/>
      <c r="G19393" s="13"/>
      <c r="AL19393" s="13"/>
    </row>
    <row r="19394" spans="4:38" x14ac:dyDescent="0.3">
      <c r="D19394" s="1"/>
      <c r="G19394" s="13"/>
      <c r="AL19394" s="13"/>
    </row>
    <row r="19395" spans="4:38" x14ac:dyDescent="0.3">
      <c r="D19395" s="1"/>
      <c r="G19395" s="13"/>
      <c r="AL19395" s="13"/>
    </row>
    <row r="19396" spans="4:38" x14ac:dyDescent="0.3">
      <c r="D19396" s="1"/>
      <c r="G19396" s="13"/>
      <c r="AL19396" s="13"/>
    </row>
    <row r="19397" spans="4:38" x14ac:dyDescent="0.3">
      <c r="D19397" s="1"/>
      <c r="G19397" s="13"/>
      <c r="AL19397" s="13"/>
    </row>
    <row r="19398" spans="4:38" x14ac:dyDescent="0.3">
      <c r="D19398" s="1"/>
      <c r="G19398" s="13"/>
      <c r="AL19398" s="13"/>
    </row>
    <row r="19399" spans="4:38" x14ac:dyDescent="0.3">
      <c r="D19399" s="1"/>
      <c r="G19399" s="13"/>
      <c r="AL19399" s="13"/>
    </row>
    <row r="19400" spans="4:38" x14ac:dyDescent="0.3">
      <c r="D19400" s="1"/>
      <c r="G19400" s="13"/>
      <c r="AL19400" s="13"/>
    </row>
    <row r="19401" spans="4:38" x14ac:dyDescent="0.3">
      <c r="D19401" s="1"/>
      <c r="G19401" s="13"/>
      <c r="AL19401" s="13"/>
    </row>
    <row r="19402" spans="4:38" x14ac:dyDescent="0.3">
      <c r="D19402" s="1"/>
      <c r="G19402" s="13"/>
      <c r="AL19402" s="13"/>
    </row>
    <row r="19403" spans="4:38" x14ac:dyDescent="0.3">
      <c r="D19403" s="1"/>
      <c r="G19403" s="13"/>
      <c r="AL19403" s="13"/>
    </row>
    <row r="19404" spans="4:38" x14ac:dyDescent="0.3">
      <c r="D19404" s="1"/>
      <c r="G19404" s="13"/>
      <c r="AL19404" s="13"/>
    </row>
    <row r="19405" spans="4:38" x14ac:dyDescent="0.3">
      <c r="D19405" s="1"/>
      <c r="G19405" s="13"/>
      <c r="AL19405" s="13"/>
    </row>
    <row r="19406" spans="4:38" x14ac:dyDescent="0.3">
      <c r="D19406" s="1"/>
      <c r="G19406" s="13"/>
      <c r="AL19406" s="13"/>
    </row>
    <row r="19407" spans="4:38" x14ac:dyDescent="0.3">
      <c r="D19407" s="1"/>
      <c r="G19407" s="13"/>
      <c r="AL19407" s="13"/>
    </row>
    <row r="19408" spans="4:38" x14ac:dyDescent="0.3">
      <c r="D19408" s="1"/>
      <c r="G19408" s="13"/>
      <c r="AL19408" s="13"/>
    </row>
    <row r="19409" spans="4:38" x14ac:dyDescent="0.3">
      <c r="D19409" s="1"/>
      <c r="G19409" s="13"/>
      <c r="AL19409" s="13"/>
    </row>
    <row r="19410" spans="4:38" x14ac:dyDescent="0.3">
      <c r="D19410" s="1"/>
      <c r="G19410" s="13"/>
      <c r="AL19410" s="13"/>
    </row>
    <row r="19411" spans="4:38" x14ac:dyDescent="0.3">
      <c r="D19411" s="1"/>
      <c r="G19411" s="13"/>
      <c r="AL19411" s="13"/>
    </row>
    <row r="19412" spans="4:38" x14ac:dyDescent="0.3">
      <c r="D19412" s="1"/>
      <c r="G19412" s="13"/>
      <c r="AL19412" s="13"/>
    </row>
    <row r="19413" spans="4:38" x14ac:dyDescent="0.3">
      <c r="D19413" s="1"/>
      <c r="G19413" s="13"/>
      <c r="AL19413" s="13"/>
    </row>
    <row r="19414" spans="4:38" x14ac:dyDescent="0.3">
      <c r="D19414" s="1"/>
      <c r="G19414" s="13"/>
      <c r="AL19414" s="13"/>
    </row>
    <row r="19415" spans="4:38" x14ac:dyDescent="0.3">
      <c r="D19415" s="1"/>
      <c r="G19415" s="13"/>
      <c r="AL19415" s="13"/>
    </row>
    <row r="19416" spans="4:38" x14ac:dyDescent="0.3">
      <c r="D19416" s="1"/>
      <c r="G19416" s="13"/>
      <c r="AL19416" s="13"/>
    </row>
    <row r="19417" spans="4:38" x14ac:dyDescent="0.3">
      <c r="D19417" s="1"/>
      <c r="G19417" s="13"/>
      <c r="AL19417" s="13"/>
    </row>
    <row r="19418" spans="4:38" x14ac:dyDescent="0.3">
      <c r="D19418" s="1"/>
      <c r="G19418" s="13"/>
      <c r="AL19418" s="13"/>
    </row>
    <row r="19419" spans="4:38" x14ac:dyDescent="0.3">
      <c r="D19419" s="1"/>
      <c r="G19419" s="13"/>
      <c r="AL19419" s="13"/>
    </row>
    <row r="19420" spans="4:38" x14ac:dyDescent="0.3">
      <c r="D19420" s="1"/>
      <c r="G19420" s="13"/>
      <c r="AL19420" s="13"/>
    </row>
    <row r="19421" spans="4:38" x14ac:dyDescent="0.3">
      <c r="D19421" s="1"/>
      <c r="G19421" s="13"/>
      <c r="AL19421" s="13"/>
    </row>
    <row r="19422" spans="4:38" x14ac:dyDescent="0.3">
      <c r="D19422" s="1"/>
      <c r="G19422" s="13"/>
      <c r="AL19422" s="13"/>
    </row>
    <row r="19423" spans="4:38" x14ac:dyDescent="0.3">
      <c r="D19423" s="1"/>
      <c r="G19423" s="13"/>
      <c r="AL19423" s="13"/>
    </row>
    <row r="19424" spans="4:38" x14ac:dyDescent="0.3">
      <c r="D19424" s="1"/>
      <c r="G19424" s="13"/>
      <c r="AL19424" s="13"/>
    </row>
    <row r="19425" spans="4:38" x14ac:dyDescent="0.3">
      <c r="D19425" s="1"/>
      <c r="G19425" s="13"/>
      <c r="AL19425" s="13"/>
    </row>
    <row r="19426" spans="4:38" x14ac:dyDescent="0.3">
      <c r="D19426" s="1"/>
      <c r="G19426" s="13"/>
      <c r="AL19426" s="13"/>
    </row>
    <row r="19427" spans="4:38" x14ac:dyDescent="0.3">
      <c r="D19427" s="1"/>
      <c r="G19427" s="13"/>
      <c r="AL19427" s="13"/>
    </row>
    <row r="19428" spans="4:38" x14ac:dyDescent="0.3">
      <c r="D19428" s="1"/>
      <c r="G19428" s="13"/>
      <c r="AL19428" s="13"/>
    </row>
    <row r="19429" spans="4:38" x14ac:dyDescent="0.3">
      <c r="D19429" s="1"/>
      <c r="G19429" s="13"/>
      <c r="AL19429" s="13"/>
    </row>
    <row r="19430" spans="4:38" x14ac:dyDescent="0.3">
      <c r="D19430" s="1"/>
      <c r="G19430" s="13"/>
      <c r="AL19430" s="13"/>
    </row>
    <row r="19431" spans="4:38" x14ac:dyDescent="0.3">
      <c r="D19431" s="1"/>
      <c r="G19431" s="13"/>
      <c r="AL19431" s="13"/>
    </row>
    <row r="19432" spans="4:38" x14ac:dyDescent="0.3">
      <c r="D19432" s="1"/>
      <c r="G19432" s="13"/>
      <c r="AL19432" s="13"/>
    </row>
    <row r="19433" spans="4:38" x14ac:dyDescent="0.3">
      <c r="D19433" s="1"/>
      <c r="G19433" s="13"/>
      <c r="AL19433" s="13"/>
    </row>
    <row r="19434" spans="4:38" x14ac:dyDescent="0.3">
      <c r="D19434" s="1"/>
      <c r="G19434" s="13"/>
      <c r="AL19434" s="13"/>
    </row>
    <row r="19435" spans="4:38" x14ac:dyDescent="0.3">
      <c r="D19435" s="1"/>
      <c r="G19435" s="13"/>
      <c r="AL19435" s="13"/>
    </row>
    <row r="19436" spans="4:38" x14ac:dyDescent="0.3">
      <c r="D19436" s="1"/>
      <c r="G19436" s="13"/>
      <c r="AL19436" s="13"/>
    </row>
    <row r="19437" spans="4:38" x14ac:dyDescent="0.3">
      <c r="D19437" s="1"/>
      <c r="G19437" s="13"/>
      <c r="AL19437" s="13"/>
    </row>
    <row r="19438" spans="4:38" x14ac:dyDescent="0.3">
      <c r="D19438" s="1"/>
      <c r="G19438" s="13"/>
      <c r="AL19438" s="13"/>
    </row>
    <row r="19439" spans="4:38" x14ac:dyDescent="0.3">
      <c r="D19439" s="1"/>
      <c r="G19439" s="13"/>
      <c r="AL19439" s="13"/>
    </row>
    <row r="19440" spans="4:38" x14ac:dyDescent="0.3">
      <c r="D19440" s="1"/>
      <c r="G19440" s="13"/>
      <c r="AL19440" s="13"/>
    </row>
    <row r="19441" spans="4:38" x14ac:dyDescent="0.3">
      <c r="D19441" s="1"/>
      <c r="G19441" s="13"/>
      <c r="AL19441" s="13"/>
    </row>
    <row r="19442" spans="4:38" x14ac:dyDescent="0.3">
      <c r="D19442" s="1"/>
      <c r="G19442" s="13"/>
      <c r="AL19442" s="13"/>
    </row>
    <row r="19443" spans="4:38" x14ac:dyDescent="0.3">
      <c r="D19443" s="1"/>
      <c r="G19443" s="13"/>
      <c r="AL19443" s="13"/>
    </row>
    <row r="19444" spans="4:38" x14ac:dyDescent="0.3">
      <c r="D19444" s="1"/>
      <c r="G19444" s="13"/>
      <c r="AL19444" s="13"/>
    </row>
    <row r="19445" spans="4:38" x14ac:dyDescent="0.3">
      <c r="D19445" s="1"/>
      <c r="G19445" s="13"/>
      <c r="AL19445" s="13"/>
    </row>
    <row r="19446" spans="4:38" x14ac:dyDescent="0.3">
      <c r="D19446" s="1"/>
      <c r="G19446" s="13"/>
      <c r="AL19446" s="13"/>
    </row>
    <row r="19447" spans="4:38" x14ac:dyDescent="0.3">
      <c r="D19447" s="1"/>
      <c r="G19447" s="13"/>
      <c r="AL19447" s="13"/>
    </row>
    <row r="19448" spans="4:38" x14ac:dyDescent="0.3">
      <c r="D19448" s="1"/>
      <c r="G19448" s="13"/>
      <c r="AL19448" s="13"/>
    </row>
    <row r="19449" spans="4:38" x14ac:dyDescent="0.3">
      <c r="D19449" s="1"/>
      <c r="G19449" s="13"/>
      <c r="AL19449" s="13"/>
    </row>
    <row r="19450" spans="4:38" x14ac:dyDescent="0.3">
      <c r="D19450" s="1"/>
      <c r="G19450" s="13"/>
      <c r="AL19450" s="13"/>
    </row>
    <row r="19451" spans="4:38" x14ac:dyDescent="0.3">
      <c r="D19451" s="1"/>
      <c r="G19451" s="13"/>
      <c r="AL19451" s="13"/>
    </row>
    <row r="19452" spans="4:38" x14ac:dyDescent="0.3">
      <c r="D19452" s="1"/>
      <c r="G19452" s="13"/>
      <c r="AL19452" s="13"/>
    </row>
    <row r="19453" spans="4:38" x14ac:dyDescent="0.3">
      <c r="D19453" s="1"/>
      <c r="G19453" s="13"/>
      <c r="AL19453" s="13"/>
    </row>
    <row r="19454" spans="4:38" x14ac:dyDescent="0.3">
      <c r="D19454" s="1"/>
      <c r="G19454" s="13"/>
      <c r="AL19454" s="13"/>
    </row>
    <row r="19455" spans="4:38" x14ac:dyDescent="0.3">
      <c r="D19455" s="1"/>
      <c r="G19455" s="13"/>
      <c r="AL19455" s="13"/>
    </row>
    <row r="19456" spans="4:38" x14ac:dyDescent="0.3">
      <c r="D19456" s="1"/>
      <c r="G19456" s="13"/>
      <c r="AL19456" s="13"/>
    </row>
    <row r="19457" spans="4:38" x14ac:dyDescent="0.3">
      <c r="D19457" s="1"/>
      <c r="G19457" s="13"/>
      <c r="AL19457" s="13"/>
    </row>
    <row r="19458" spans="4:38" x14ac:dyDescent="0.3">
      <c r="D19458" s="1"/>
      <c r="G19458" s="13"/>
      <c r="AL19458" s="13"/>
    </row>
    <row r="19459" spans="4:38" x14ac:dyDescent="0.3">
      <c r="D19459" s="1"/>
      <c r="G19459" s="13"/>
      <c r="AL19459" s="13"/>
    </row>
    <row r="19460" spans="4:38" x14ac:dyDescent="0.3">
      <c r="D19460" s="1"/>
      <c r="G19460" s="13"/>
      <c r="AL19460" s="13"/>
    </row>
    <row r="19461" spans="4:38" x14ac:dyDescent="0.3">
      <c r="D19461" s="1"/>
      <c r="G19461" s="13"/>
      <c r="AL19461" s="13"/>
    </row>
    <row r="19462" spans="4:38" x14ac:dyDescent="0.3">
      <c r="D19462" s="1"/>
      <c r="G19462" s="13"/>
      <c r="AL19462" s="13"/>
    </row>
    <row r="19463" spans="4:38" x14ac:dyDescent="0.3">
      <c r="D19463" s="1"/>
      <c r="G19463" s="13"/>
      <c r="AL19463" s="13"/>
    </row>
    <row r="19464" spans="4:38" x14ac:dyDescent="0.3">
      <c r="D19464" s="1"/>
      <c r="G19464" s="13"/>
      <c r="AL19464" s="13"/>
    </row>
    <row r="19465" spans="4:38" x14ac:dyDescent="0.3">
      <c r="D19465" s="1"/>
      <c r="G19465" s="13"/>
      <c r="AL19465" s="13"/>
    </row>
    <row r="19466" spans="4:38" x14ac:dyDescent="0.3">
      <c r="D19466" s="1"/>
      <c r="G19466" s="13"/>
      <c r="AL19466" s="13"/>
    </row>
    <row r="19467" spans="4:38" x14ac:dyDescent="0.3">
      <c r="D19467" s="1"/>
      <c r="G19467" s="13"/>
      <c r="AL19467" s="13"/>
    </row>
    <row r="19468" spans="4:38" x14ac:dyDescent="0.3">
      <c r="D19468" s="1"/>
      <c r="G19468" s="13"/>
      <c r="AL19468" s="13"/>
    </row>
    <row r="19469" spans="4:38" x14ac:dyDescent="0.3">
      <c r="D19469" s="1"/>
      <c r="G19469" s="13"/>
      <c r="AL19469" s="13"/>
    </row>
    <row r="19470" spans="4:38" x14ac:dyDescent="0.3">
      <c r="D19470" s="1"/>
      <c r="G19470" s="13"/>
      <c r="AL19470" s="13"/>
    </row>
    <row r="19471" spans="4:38" x14ac:dyDescent="0.3">
      <c r="D19471" s="1"/>
      <c r="G19471" s="13"/>
      <c r="AL19471" s="13"/>
    </row>
    <row r="19472" spans="4:38" x14ac:dyDescent="0.3">
      <c r="D19472" s="1"/>
      <c r="G19472" s="13"/>
      <c r="AL19472" s="13"/>
    </row>
    <row r="19473" spans="4:38" x14ac:dyDescent="0.3">
      <c r="D19473" s="1"/>
      <c r="G19473" s="13"/>
      <c r="AL19473" s="13"/>
    </row>
    <row r="19474" spans="4:38" x14ac:dyDescent="0.3">
      <c r="D19474" s="1"/>
      <c r="G19474" s="13"/>
      <c r="AL19474" s="13"/>
    </row>
    <row r="19475" spans="4:38" x14ac:dyDescent="0.3">
      <c r="D19475" s="1"/>
      <c r="G19475" s="13"/>
      <c r="AL19475" s="13"/>
    </row>
    <row r="19476" spans="4:38" x14ac:dyDescent="0.3">
      <c r="D19476" s="1"/>
      <c r="G19476" s="13"/>
      <c r="AL19476" s="13"/>
    </row>
    <row r="19477" spans="4:38" x14ac:dyDescent="0.3">
      <c r="D19477" s="1"/>
      <c r="G19477" s="13"/>
      <c r="AL19477" s="13"/>
    </row>
    <row r="19478" spans="4:38" x14ac:dyDescent="0.3">
      <c r="D19478" s="1"/>
      <c r="G19478" s="13"/>
      <c r="AL19478" s="13"/>
    </row>
    <row r="19479" spans="4:38" x14ac:dyDescent="0.3">
      <c r="D19479" s="1"/>
      <c r="G19479" s="13"/>
      <c r="AL19479" s="13"/>
    </row>
    <row r="19480" spans="4:38" x14ac:dyDescent="0.3">
      <c r="D19480" s="1"/>
      <c r="G19480" s="13"/>
      <c r="AL19480" s="13"/>
    </row>
    <row r="19481" spans="4:38" x14ac:dyDescent="0.3">
      <c r="D19481" s="1"/>
      <c r="G19481" s="13"/>
      <c r="AL19481" s="13"/>
    </row>
    <row r="19482" spans="4:38" x14ac:dyDescent="0.3">
      <c r="D19482" s="1"/>
      <c r="G19482" s="13"/>
      <c r="AL19482" s="13"/>
    </row>
    <row r="19483" spans="4:38" x14ac:dyDescent="0.3">
      <c r="D19483" s="1"/>
      <c r="G19483" s="13"/>
      <c r="AL19483" s="13"/>
    </row>
    <row r="19484" spans="4:38" x14ac:dyDescent="0.3">
      <c r="D19484" s="1"/>
      <c r="G19484" s="13"/>
      <c r="AL19484" s="13"/>
    </row>
    <row r="19485" spans="4:38" x14ac:dyDescent="0.3">
      <c r="D19485" s="1"/>
      <c r="G19485" s="13"/>
      <c r="AL19485" s="13"/>
    </row>
    <row r="19486" spans="4:38" x14ac:dyDescent="0.3">
      <c r="D19486" s="1"/>
      <c r="G19486" s="13"/>
      <c r="AL19486" s="13"/>
    </row>
    <row r="19487" spans="4:38" x14ac:dyDescent="0.3">
      <c r="D19487" s="1"/>
      <c r="G19487" s="13"/>
      <c r="AL19487" s="13"/>
    </row>
    <row r="19488" spans="4:38" x14ac:dyDescent="0.3">
      <c r="D19488" s="1"/>
      <c r="G19488" s="13"/>
      <c r="AL19488" s="13"/>
    </row>
    <row r="19489" spans="4:38" x14ac:dyDescent="0.3">
      <c r="D19489" s="1"/>
      <c r="G19489" s="13"/>
      <c r="AL19489" s="13"/>
    </row>
    <row r="19490" spans="4:38" x14ac:dyDescent="0.3">
      <c r="D19490" s="1"/>
      <c r="G19490" s="13"/>
      <c r="AL19490" s="13"/>
    </row>
    <row r="19491" spans="4:38" x14ac:dyDescent="0.3">
      <c r="D19491" s="1"/>
      <c r="G19491" s="13"/>
      <c r="AL19491" s="13"/>
    </row>
    <row r="19492" spans="4:38" x14ac:dyDescent="0.3">
      <c r="D19492" s="1"/>
      <c r="G19492" s="13"/>
      <c r="AL19492" s="13"/>
    </row>
    <row r="19493" spans="4:38" x14ac:dyDescent="0.3">
      <c r="D19493" s="1"/>
      <c r="G19493" s="13"/>
      <c r="AL19493" s="13"/>
    </row>
    <row r="19494" spans="4:38" x14ac:dyDescent="0.3">
      <c r="D19494" s="1"/>
      <c r="G19494" s="13"/>
      <c r="AL19494" s="13"/>
    </row>
    <row r="19495" spans="4:38" x14ac:dyDescent="0.3">
      <c r="D19495" s="1"/>
      <c r="G19495" s="13"/>
      <c r="AL19495" s="13"/>
    </row>
    <row r="19496" spans="4:38" x14ac:dyDescent="0.3">
      <c r="D19496" s="1"/>
      <c r="G19496" s="13"/>
      <c r="AL19496" s="13"/>
    </row>
    <row r="19497" spans="4:38" x14ac:dyDescent="0.3">
      <c r="D19497" s="1"/>
      <c r="G19497" s="13"/>
      <c r="AL19497" s="13"/>
    </row>
    <row r="19498" spans="4:38" x14ac:dyDescent="0.3">
      <c r="D19498" s="1"/>
      <c r="G19498" s="13"/>
      <c r="AL19498" s="13"/>
    </row>
    <row r="19499" spans="4:38" x14ac:dyDescent="0.3">
      <c r="D19499" s="1"/>
      <c r="G19499" s="13"/>
      <c r="AL19499" s="13"/>
    </row>
    <row r="19500" spans="4:38" x14ac:dyDescent="0.3">
      <c r="D19500" s="1"/>
      <c r="G19500" s="13"/>
      <c r="AL19500" s="13"/>
    </row>
    <row r="19501" spans="4:38" x14ac:dyDescent="0.3">
      <c r="D19501" s="1"/>
      <c r="G19501" s="13"/>
      <c r="AL19501" s="13"/>
    </row>
    <row r="19502" spans="4:38" x14ac:dyDescent="0.3">
      <c r="D19502" s="1"/>
      <c r="G19502" s="13"/>
      <c r="AL19502" s="13"/>
    </row>
    <row r="19503" spans="4:38" x14ac:dyDescent="0.3">
      <c r="D19503" s="1"/>
      <c r="G19503" s="13"/>
      <c r="AL19503" s="13"/>
    </row>
    <row r="19504" spans="4:38" x14ac:dyDescent="0.3">
      <c r="D19504" s="1"/>
      <c r="G19504" s="13"/>
      <c r="AL19504" s="13"/>
    </row>
    <row r="19505" spans="4:38" x14ac:dyDescent="0.3">
      <c r="D19505" s="1"/>
      <c r="G19505" s="13"/>
      <c r="AL19505" s="13"/>
    </row>
    <row r="19506" spans="4:38" x14ac:dyDescent="0.3">
      <c r="D19506" s="1"/>
      <c r="G19506" s="13"/>
      <c r="AL19506" s="13"/>
    </row>
    <row r="19507" spans="4:38" x14ac:dyDescent="0.3">
      <c r="D19507" s="1"/>
      <c r="G19507" s="13"/>
      <c r="AL19507" s="13"/>
    </row>
    <row r="19508" spans="4:38" x14ac:dyDescent="0.3">
      <c r="D19508" s="1"/>
      <c r="G19508" s="13"/>
      <c r="AL19508" s="13"/>
    </row>
    <row r="19509" spans="4:38" x14ac:dyDescent="0.3">
      <c r="D19509" s="1"/>
      <c r="G19509" s="13"/>
      <c r="AL19509" s="13"/>
    </row>
    <row r="19510" spans="4:38" x14ac:dyDescent="0.3">
      <c r="D19510" s="1"/>
      <c r="G19510" s="13"/>
      <c r="AL19510" s="13"/>
    </row>
    <row r="19511" spans="4:38" x14ac:dyDescent="0.3">
      <c r="D19511" s="1"/>
      <c r="G19511" s="13"/>
      <c r="AL19511" s="13"/>
    </row>
    <row r="19512" spans="4:38" x14ac:dyDescent="0.3">
      <c r="D19512" s="1"/>
      <c r="G19512" s="13"/>
      <c r="AL19512" s="13"/>
    </row>
    <row r="19513" spans="4:38" x14ac:dyDescent="0.3">
      <c r="D19513" s="1"/>
      <c r="G19513" s="13"/>
      <c r="AL19513" s="13"/>
    </row>
    <row r="19514" spans="4:38" x14ac:dyDescent="0.3">
      <c r="D19514" s="1"/>
      <c r="G19514" s="13"/>
      <c r="AL19514" s="13"/>
    </row>
    <row r="19515" spans="4:38" x14ac:dyDescent="0.3">
      <c r="D19515" s="1"/>
      <c r="G19515" s="13"/>
      <c r="AL19515" s="13"/>
    </row>
    <row r="19516" spans="4:38" x14ac:dyDescent="0.3">
      <c r="D19516" s="1"/>
      <c r="G19516" s="13"/>
      <c r="AL19516" s="13"/>
    </row>
    <row r="19517" spans="4:38" x14ac:dyDescent="0.3">
      <c r="D19517" s="1"/>
      <c r="G19517" s="13"/>
      <c r="AL19517" s="13"/>
    </row>
    <row r="19518" spans="4:38" x14ac:dyDescent="0.3">
      <c r="D19518" s="1"/>
      <c r="G19518" s="13"/>
      <c r="AL19518" s="13"/>
    </row>
    <row r="19519" spans="4:38" x14ac:dyDescent="0.3">
      <c r="D19519" s="1"/>
      <c r="G19519" s="13"/>
      <c r="AL19519" s="13"/>
    </row>
    <row r="19520" spans="4:38" x14ac:dyDescent="0.3">
      <c r="D19520" s="1"/>
      <c r="G19520" s="13"/>
      <c r="AL19520" s="13"/>
    </row>
    <row r="19521" spans="4:38" x14ac:dyDescent="0.3">
      <c r="D19521" s="1"/>
      <c r="G19521" s="13"/>
      <c r="AL19521" s="13"/>
    </row>
    <row r="19522" spans="4:38" x14ac:dyDescent="0.3">
      <c r="D19522" s="1"/>
      <c r="G19522" s="13"/>
      <c r="AL19522" s="13"/>
    </row>
    <row r="19523" spans="4:38" x14ac:dyDescent="0.3">
      <c r="D19523" s="1"/>
      <c r="G19523" s="13"/>
      <c r="AL19523" s="13"/>
    </row>
    <row r="19524" spans="4:38" x14ac:dyDescent="0.3">
      <c r="D19524" s="1"/>
      <c r="G19524" s="13"/>
      <c r="AL19524" s="13"/>
    </row>
    <row r="19525" spans="4:38" x14ac:dyDescent="0.3">
      <c r="D19525" s="1"/>
      <c r="G19525" s="13"/>
      <c r="AL19525" s="13"/>
    </row>
    <row r="19526" spans="4:38" x14ac:dyDescent="0.3">
      <c r="D19526" s="1"/>
      <c r="G19526" s="13"/>
      <c r="AL19526" s="13"/>
    </row>
    <row r="19527" spans="4:38" x14ac:dyDescent="0.3">
      <c r="D19527" s="1"/>
      <c r="G19527" s="13"/>
      <c r="AL19527" s="13"/>
    </row>
    <row r="19528" spans="4:38" x14ac:dyDescent="0.3">
      <c r="D19528" s="1"/>
      <c r="G19528" s="13"/>
      <c r="AL19528" s="13"/>
    </row>
    <row r="19529" spans="4:38" x14ac:dyDescent="0.3">
      <c r="D19529" s="1"/>
      <c r="G19529" s="13"/>
      <c r="AL19529" s="13"/>
    </row>
    <row r="19530" spans="4:38" x14ac:dyDescent="0.3">
      <c r="D19530" s="1"/>
      <c r="G19530" s="13"/>
      <c r="AL19530" s="13"/>
    </row>
    <row r="19531" spans="4:38" x14ac:dyDescent="0.3">
      <c r="D19531" s="1"/>
      <c r="G19531" s="13"/>
      <c r="AL19531" s="13"/>
    </row>
    <row r="19532" spans="4:38" x14ac:dyDescent="0.3">
      <c r="D19532" s="1"/>
      <c r="G19532" s="13"/>
      <c r="AL19532" s="13"/>
    </row>
    <row r="19533" spans="4:38" x14ac:dyDescent="0.3">
      <c r="D19533" s="1"/>
      <c r="G19533" s="13"/>
      <c r="AL19533" s="13"/>
    </row>
    <row r="19534" spans="4:38" x14ac:dyDescent="0.3">
      <c r="D19534" s="1"/>
      <c r="G19534" s="13"/>
      <c r="AL19534" s="13"/>
    </row>
    <row r="19535" spans="4:38" x14ac:dyDescent="0.3">
      <c r="D19535" s="1"/>
      <c r="G19535" s="13"/>
      <c r="AL19535" s="13"/>
    </row>
    <row r="19536" spans="4:38" x14ac:dyDescent="0.3">
      <c r="D19536" s="1"/>
      <c r="G19536" s="13"/>
      <c r="AL19536" s="13"/>
    </row>
    <row r="19537" spans="4:38" x14ac:dyDescent="0.3">
      <c r="D19537" s="1"/>
      <c r="G19537" s="13"/>
      <c r="AL19537" s="13"/>
    </row>
    <row r="19538" spans="4:38" x14ac:dyDescent="0.3">
      <c r="D19538" s="1"/>
      <c r="G19538" s="13"/>
      <c r="AL19538" s="13"/>
    </row>
    <row r="19539" spans="4:38" x14ac:dyDescent="0.3">
      <c r="D19539" s="1"/>
      <c r="G19539" s="13"/>
      <c r="AL19539" s="13"/>
    </row>
    <row r="19540" spans="4:38" x14ac:dyDescent="0.3">
      <c r="D19540" s="1"/>
      <c r="G19540" s="13"/>
      <c r="AL19540" s="13"/>
    </row>
    <row r="19541" spans="4:38" x14ac:dyDescent="0.3">
      <c r="D19541" s="1"/>
      <c r="G19541" s="13"/>
      <c r="AL19541" s="13"/>
    </row>
    <row r="19542" spans="4:38" x14ac:dyDescent="0.3">
      <c r="D19542" s="1"/>
      <c r="G19542" s="13"/>
      <c r="AL19542" s="13"/>
    </row>
    <row r="19543" spans="4:38" x14ac:dyDescent="0.3">
      <c r="D19543" s="1"/>
      <c r="G19543" s="13"/>
      <c r="AL19543" s="13"/>
    </row>
    <row r="19544" spans="4:38" x14ac:dyDescent="0.3">
      <c r="D19544" s="1"/>
      <c r="G19544" s="13"/>
      <c r="AL19544" s="13"/>
    </row>
    <row r="19545" spans="4:38" x14ac:dyDescent="0.3">
      <c r="D19545" s="1"/>
      <c r="G19545" s="13"/>
      <c r="AL19545" s="13"/>
    </row>
    <row r="19546" spans="4:38" x14ac:dyDescent="0.3">
      <c r="D19546" s="1"/>
      <c r="G19546" s="13"/>
      <c r="AL19546" s="13"/>
    </row>
    <row r="19547" spans="4:38" x14ac:dyDescent="0.3">
      <c r="D19547" s="1"/>
      <c r="G19547" s="13"/>
      <c r="AL19547" s="13"/>
    </row>
    <row r="19548" spans="4:38" x14ac:dyDescent="0.3">
      <c r="D19548" s="1"/>
      <c r="G19548" s="13"/>
      <c r="AL19548" s="13"/>
    </row>
    <row r="19549" spans="4:38" x14ac:dyDescent="0.3">
      <c r="D19549" s="1"/>
      <c r="G19549" s="13"/>
      <c r="AL19549" s="13"/>
    </row>
    <row r="19550" spans="4:38" x14ac:dyDescent="0.3">
      <c r="D19550" s="1"/>
      <c r="G19550" s="13"/>
      <c r="AL19550" s="13"/>
    </row>
    <row r="19551" spans="4:38" x14ac:dyDescent="0.3">
      <c r="D19551" s="1"/>
      <c r="G19551" s="13"/>
      <c r="AL19551" s="13"/>
    </row>
    <row r="19552" spans="4:38" x14ac:dyDescent="0.3">
      <c r="D19552" s="1"/>
      <c r="G19552" s="13"/>
      <c r="AL19552" s="13"/>
    </row>
    <row r="19553" spans="4:38" x14ac:dyDescent="0.3">
      <c r="D19553" s="1"/>
      <c r="G19553" s="13"/>
      <c r="AL19553" s="13"/>
    </row>
    <row r="19554" spans="4:38" x14ac:dyDescent="0.3">
      <c r="D19554" s="1"/>
      <c r="G19554" s="13"/>
      <c r="AL19554" s="13"/>
    </row>
    <row r="19555" spans="4:38" x14ac:dyDescent="0.3">
      <c r="D19555" s="1"/>
      <c r="G19555" s="13"/>
      <c r="AL19555" s="13"/>
    </row>
    <row r="19556" spans="4:38" x14ac:dyDescent="0.3">
      <c r="D19556" s="1"/>
      <c r="G19556" s="13"/>
      <c r="AL19556" s="13"/>
    </row>
    <row r="19557" spans="4:38" x14ac:dyDescent="0.3">
      <c r="D19557" s="1"/>
      <c r="G19557" s="13"/>
      <c r="AL19557" s="13"/>
    </row>
    <row r="19558" spans="4:38" x14ac:dyDescent="0.3">
      <c r="D19558" s="1"/>
      <c r="G19558" s="13"/>
      <c r="AL19558" s="13"/>
    </row>
    <row r="19559" spans="4:38" x14ac:dyDescent="0.3">
      <c r="D19559" s="1"/>
      <c r="G19559" s="13"/>
      <c r="AL19559" s="13"/>
    </row>
    <row r="19560" spans="4:38" x14ac:dyDescent="0.3">
      <c r="D19560" s="1"/>
      <c r="G19560" s="13"/>
      <c r="AL19560" s="13"/>
    </row>
    <row r="19561" spans="4:38" x14ac:dyDescent="0.3">
      <c r="D19561" s="1"/>
      <c r="G19561" s="13"/>
      <c r="AL19561" s="13"/>
    </row>
    <row r="19562" spans="4:38" x14ac:dyDescent="0.3">
      <c r="D19562" s="1"/>
      <c r="G19562" s="13"/>
      <c r="AL19562" s="13"/>
    </row>
    <row r="19563" spans="4:38" x14ac:dyDescent="0.3">
      <c r="D19563" s="1"/>
      <c r="G19563" s="13"/>
      <c r="AL19563" s="13"/>
    </row>
    <row r="19564" spans="4:38" x14ac:dyDescent="0.3">
      <c r="D19564" s="1"/>
      <c r="G19564" s="13"/>
      <c r="AL19564" s="13"/>
    </row>
    <row r="19565" spans="4:38" x14ac:dyDescent="0.3">
      <c r="D19565" s="1"/>
      <c r="G19565" s="13"/>
      <c r="AL19565" s="13"/>
    </row>
    <row r="19566" spans="4:38" x14ac:dyDescent="0.3">
      <c r="D19566" s="1"/>
      <c r="G19566" s="13"/>
      <c r="AL19566" s="13"/>
    </row>
    <row r="19567" spans="4:38" x14ac:dyDescent="0.3">
      <c r="D19567" s="1"/>
      <c r="G19567" s="13"/>
      <c r="AL19567" s="13"/>
    </row>
    <row r="19568" spans="4:38" x14ac:dyDescent="0.3">
      <c r="D19568" s="1"/>
      <c r="G19568" s="13"/>
      <c r="AL19568" s="13"/>
    </row>
    <row r="19569" spans="4:38" x14ac:dyDescent="0.3">
      <c r="D19569" s="1"/>
      <c r="G19569" s="13"/>
      <c r="AL19569" s="13"/>
    </row>
    <row r="19570" spans="4:38" x14ac:dyDescent="0.3">
      <c r="D19570" s="1"/>
      <c r="G19570" s="13"/>
      <c r="AL19570" s="13"/>
    </row>
    <row r="19571" spans="4:38" x14ac:dyDescent="0.3">
      <c r="D19571" s="1"/>
      <c r="G19571" s="13"/>
      <c r="AL19571" s="13"/>
    </row>
    <row r="19572" spans="4:38" x14ac:dyDescent="0.3">
      <c r="D19572" s="1"/>
      <c r="G19572" s="13"/>
      <c r="AL19572" s="13"/>
    </row>
    <row r="19573" spans="4:38" x14ac:dyDescent="0.3">
      <c r="D19573" s="1"/>
      <c r="G19573" s="13"/>
      <c r="AL19573" s="13"/>
    </row>
    <row r="19574" spans="4:38" x14ac:dyDescent="0.3">
      <c r="D19574" s="1"/>
      <c r="G19574" s="13"/>
      <c r="AL19574" s="13"/>
    </row>
    <row r="19575" spans="4:38" x14ac:dyDescent="0.3">
      <c r="D19575" s="1"/>
      <c r="G19575" s="13"/>
      <c r="AL19575" s="13"/>
    </row>
    <row r="19576" spans="4:38" x14ac:dyDescent="0.3">
      <c r="D19576" s="1"/>
      <c r="G19576" s="13"/>
      <c r="AL19576" s="13"/>
    </row>
    <row r="19577" spans="4:38" x14ac:dyDescent="0.3">
      <c r="D19577" s="1"/>
      <c r="G19577" s="13"/>
      <c r="AL19577" s="13"/>
    </row>
    <row r="19578" spans="4:38" x14ac:dyDescent="0.3">
      <c r="D19578" s="1"/>
      <c r="G19578" s="13"/>
      <c r="AL19578" s="13"/>
    </row>
    <row r="19579" spans="4:38" x14ac:dyDescent="0.3">
      <c r="D19579" s="1"/>
      <c r="G19579" s="13"/>
      <c r="AL19579" s="13"/>
    </row>
    <row r="19580" spans="4:38" x14ac:dyDescent="0.3">
      <c r="D19580" s="1"/>
      <c r="G19580" s="13"/>
      <c r="AL19580" s="13"/>
    </row>
    <row r="19581" spans="4:38" x14ac:dyDescent="0.3">
      <c r="D19581" s="1"/>
      <c r="G19581" s="13"/>
      <c r="AL19581" s="13"/>
    </row>
    <row r="19582" spans="4:38" x14ac:dyDescent="0.3">
      <c r="D19582" s="1"/>
      <c r="G19582" s="13"/>
      <c r="AL19582" s="13"/>
    </row>
    <row r="19583" spans="4:38" x14ac:dyDescent="0.3">
      <c r="D19583" s="1"/>
      <c r="G19583" s="13"/>
      <c r="AL19583" s="13"/>
    </row>
    <row r="19584" spans="4:38" x14ac:dyDescent="0.3">
      <c r="D19584" s="1"/>
      <c r="G19584" s="13"/>
      <c r="AL19584" s="13"/>
    </row>
    <row r="19585" spans="4:38" x14ac:dyDescent="0.3">
      <c r="D19585" s="1"/>
      <c r="G19585" s="13"/>
      <c r="AL19585" s="13"/>
    </row>
    <row r="19586" spans="4:38" x14ac:dyDescent="0.3">
      <c r="D19586" s="1"/>
      <c r="G19586" s="13"/>
      <c r="AL19586" s="13"/>
    </row>
    <row r="19587" spans="4:38" x14ac:dyDescent="0.3">
      <c r="D19587" s="1"/>
      <c r="G19587" s="13"/>
      <c r="AL19587" s="13"/>
    </row>
    <row r="19588" spans="4:38" x14ac:dyDescent="0.3">
      <c r="D19588" s="1"/>
      <c r="G19588" s="13"/>
      <c r="AL19588" s="13"/>
    </row>
    <row r="19589" spans="4:38" x14ac:dyDescent="0.3">
      <c r="D19589" s="1"/>
      <c r="G19589" s="13"/>
      <c r="AL19589" s="13"/>
    </row>
    <row r="19590" spans="4:38" x14ac:dyDescent="0.3">
      <c r="D19590" s="1"/>
      <c r="G19590" s="13"/>
      <c r="AL19590" s="13"/>
    </row>
    <row r="19591" spans="4:38" x14ac:dyDescent="0.3">
      <c r="D19591" s="1"/>
      <c r="G19591" s="13"/>
      <c r="AL19591" s="13"/>
    </row>
    <row r="19592" spans="4:38" x14ac:dyDescent="0.3">
      <c r="D19592" s="1"/>
      <c r="G19592" s="13"/>
      <c r="AL19592" s="13"/>
    </row>
    <row r="19593" spans="4:38" x14ac:dyDescent="0.3">
      <c r="D19593" s="1"/>
      <c r="G19593" s="13"/>
      <c r="AL19593" s="13"/>
    </row>
    <row r="19594" spans="4:38" x14ac:dyDescent="0.3">
      <c r="D19594" s="1"/>
      <c r="G19594" s="13"/>
      <c r="AL19594" s="13"/>
    </row>
    <row r="19595" spans="4:38" x14ac:dyDescent="0.3">
      <c r="D19595" s="1"/>
      <c r="G19595" s="13"/>
      <c r="AL19595" s="13"/>
    </row>
    <row r="19596" spans="4:38" x14ac:dyDescent="0.3">
      <c r="D19596" s="1"/>
      <c r="G19596" s="13"/>
      <c r="AL19596" s="13"/>
    </row>
    <row r="19597" spans="4:38" x14ac:dyDescent="0.3">
      <c r="D19597" s="1"/>
      <c r="G19597" s="13"/>
      <c r="AL19597" s="13"/>
    </row>
    <row r="19598" spans="4:38" x14ac:dyDescent="0.3">
      <c r="D19598" s="1"/>
      <c r="G19598" s="13"/>
      <c r="AL19598" s="13"/>
    </row>
    <row r="19599" spans="4:38" x14ac:dyDescent="0.3">
      <c r="D19599" s="1"/>
      <c r="G19599" s="13"/>
      <c r="AL19599" s="13"/>
    </row>
    <row r="19600" spans="4:38" x14ac:dyDescent="0.3">
      <c r="D19600" s="1"/>
      <c r="G19600" s="13"/>
      <c r="AL19600" s="13"/>
    </row>
    <row r="19601" spans="4:38" x14ac:dyDescent="0.3">
      <c r="D19601" s="1"/>
      <c r="G19601" s="13"/>
      <c r="AL19601" s="13"/>
    </row>
    <row r="19602" spans="4:38" x14ac:dyDescent="0.3">
      <c r="D19602" s="1"/>
      <c r="G19602" s="13"/>
      <c r="AL19602" s="13"/>
    </row>
    <row r="19603" spans="4:38" x14ac:dyDescent="0.3">
      <c r="D19603" s="1"/>
      <c r="G19603" s="13"/>
      <c r="AL19603" s="13"/>
    </row>
    <row r="19604" spans="4:38" x14ac:dyDescent="0.3">
      <c r="D19604" s="1"/>
      <c r="G19604" s="13"/>
      <c r="AL19604" s="13"/>
    </row>
    <row r="19605" spans="4:38" x14ac:dyDescent="0.3">
      <c r="D19605" s="1"/>
      <c r="G19605" s="13"/>
      <c r="AL19605" s="13"/>
    </row>
    <row r="19606" spans="4:38" x14ac:dyDescent="0.3">
      <c r="D19606" s="1"/>
      <c r="G19606" s="13"/>
      <c r="AL19606" s="13"/>
    </row>
    <row r="19607" spans="4:38" x14ac:dyDescent="0.3">
      <c r="D19607" s="1"/>
      <c r="G19607" s="13"/>
      <c r="AL19607" s="13"/>
    </row>
    <row r="19608" spans="4:38" x14ac:dyDescent="0.3">
      <c r="D19608" s="1"/>
      <c r="G19608" s="13"/>
      <c r="AL19608" s="13"/>
    </row>
    <row r="19609" spans="4:38" x14ac:dyDescent="0.3">
      <c r="D19609" s="1"/>
      <c r="G19609" s="13"/>
      <c r="AL19609" s="13"/>
    </row>
    <row r="19610" spans="4:38" x14ac:dyDescent="0.3">
      <c r="D19610" s="1"/>
      <c r="G19610" s="13"/>
      <c r="AL19610" s="13"/>
    </row>
    <row r="19611" spans="4:38" x14ac:dyDescent="0.3">
      <c r="D19611" s="1"/>
      <c r="G19611" s="13"/>
      <c r="AL19611" s="13"/>
    </row>
    <row r="19612" spans="4:38" x14ac:dyDescent="0.3">
      <c r="D19612" s="1"/>
      <c r="G19612" s="13"/>
      <c r="AL19612" s="13"/>
    </row>
    <row r="19613" spans="4:38" x14ac:dyDescent="0.3">
      <c r="D19613" s="1"/>
      <c r="G19613" s="13"/>
      <c r="AL19613" s="13"/>
    </row>
    <row r="19614" spans="4:38" x14ac:dyDescent="0.3">
      <c r="D19614" s="1"/>
      <c r="G19614" s="13"/>
      <c r="AL19614" s="13"/>
    </row>
    <row r="19615" spans="4:38" x14ac:dyDescent="0.3">
      <c r="D19615" s="1"/>
      <c r="G19615" s="13"/>
      <c r="AL19615" s="13"/>
    </row>
    <row r="19616" spans="4:38" x14ac:dyDescent="0.3">
      <c r="D19616" s="1"/>
      <c r="G19616" s="13"/>
      <c r="AL19616" s="13"/>
    </row>
    <row r="19617" spans="4:38" x14ac:dyDescent="0.3">
      <c r="D19617" s="1"/>
      <c r="G19617" s="13"/>
      <c r="AL19617" s="13"/>
    </row>
    <row r="19618" spans="4:38" x14ac:dyDescent="0.3">
      <c r="D19618" s="1"/>
      <c r="G19618" s="13"/>
      <c r="AL19618" s="13"/>
    </row>
    <row r="19619" spans="4:38" x14ac:dyDescent="0.3">
      <c r="D19619" s="1"/>
      <c r="G19619" s="13"/>
      <c r="AL19619" s="13"/>
    </row>
    <row r="19620" spans="4:38" x14ac:dyDescent="0.3">
      <c r="D19620" s="1"/>
      <c r="G19620" s="13"/>
      <c r="AL19620" s="13"/>
    </row>
    <row r="19621" spans="4:38" x14ac:dyDescent="0.3">
      <c r="D19621" s="1"/>
      <c r="G19621" s="13"/>
      <c r="AL19621" s="13"/>
    </row>
    <row r="19622" spans="4:38" x14ac:dyDescent="0.3">
      <c r="D19622" s="1"/>
      <c r="G19622" s="13"/>
      <c r="AL19622" s="13"/>
    </row>
    <row r="19623" spans="4:38" x14ac:dyDescent="0.3">
      <c r="D19623" s="1"/>
      <c r="G19623" s="13"/>
      <c r="AL19623" s="13"/>
    </row>
    <row r="19624" spans="4:38" x14ac:dyDescent="0.3">
      <c r="D19624" s="1"/>
      <c r="G19624" s="13"/>
      <c r="AL19624" s="13"/>
    </row>
    <row r="19625" spans="4:38" x14ac:dyDescent="0.3">
      <c r="D19625" s="1"/>
      <c r="G19625" s="13"/>
      <c r="AL19625" s="13"/>
    </row>
    <row r="19626" spans="4:38" x14ac:dyDescent="0.3">
      <c r="D19626" s="1"/>
      <c r="G19626" s="13"/>
      <c r="AL19626" s="13"/>
    </row>
    <row r="19627" spans="4:38" x14ac:dyDescent="0.3">
      <c r="D19627" s="1"/>
      <c r="G19627" s="13"/>
      <c r="AL19627" s="13"/>
    </row>
    <row r="19628" spans="4:38" x14ac:dyDescent="0.3">
      <c r="D19628" s="1"/>
      <c r="G19628" s="13"/>
      <c r="AL19628" s="13"/>
    </row>
    <row r="19629" spans="4:38" x14ac:dyDescent="0.3">
      <c r="D19629" s="1"/>
      <c r="G19629" s="13"/>
      <c r="AL19629" s="13"/>
    </row>
    <row r="19630" spans="4:38" x14ac:dyDescent="0.3">
      <c r="D19630" s="1"/>
      <c r="G19630" s="13"/>
      <c r="AL19630" s="13"/>
    </row>
    <row r="19631" spans="4:38" x14ac:dyDescent="0.3">
      <c r="D19631" s="1"/>
      <c r="G19631" s="13"/>
      <c r="AL19631" s="13"/>
    </row>
    <row r="19632" spans="4:38" x14ac:dyDescent="0.3">
      <c r="D19632" s="1"/>
      <c r="G19632" s="13"/>
      <c r="AL19632" s="13"/>
    </row>
    <row r="19633" spans="4:38" x14ac:dyDescent="0.3">
      <c r="D19633" s="1"/>
      <c r="G19633" s="13"/>
      <c r="AL19633" s="13"/>
    </row>
    <row r="19634" spans="4:38" x14ac:dyDescent="0.3">
      <c r="D19634" s="1"/>
      <c r="G19634" s="13"/>
      <c r="AL19634" s="13"/>
    </row>
    <row r="19635" spans="4:38" x14ac:dyDescent="0.3">
      <c r="D19635" s="1"/>
      <c r="G19635" s="13"/>
      <c r="AL19635" s="13"/>
    </row>
    <row r="19636" spans="4:38" x14ac:dyDescent="0.3">
      <c r="D19636" s="1"/>
      <c r="G19636" s="13"/>
      <c r="AL19636" s="13"/>
    </row>
    <row r="19637" spans="4:38" x14ac:dyDescent="0.3">
      <c r="D19637" s="1"/>
      <c r="G19637" s="13"/>
      <c r="AL19637" s="13"/>
    </row>
    <row r="19638" spans="4:38" x14ac:dyDescent="0.3">
      <c r="D19638" s="1"/>
      <c r="G19638" s="13"/>
      <c r="AL19638" s="13"/>
    </row>
    <row r="19639" spans="4:38" x14ac:dyDescent="0.3">
      <c r="D19639" s="1"/>
      <c r="G19639" s="13"/>
      <c r="AL19639" s="13"/>
    </row>
    <row r="19640" spans="4:38" x14ac:dyDescent="0.3">
      <c r="D19640" s="1"/>
      <c r="G19640" s="13"/>
      <c r="AL19640" s="13"/>
    </row>
    <row r="19641" spans="4:38" x14ac:dyDescent="0.3">
      <c r="D19641" s="1"/>
      <c r="G19641" s="13"/>
      <c r="AL19641" s="13"/>
    </row>
    <row r="19642" spans="4:38" x14ac:dyDescent="0.3">
      <c r="D19642" s="1"/>
      <c r="G19642" s="13"/>
      <c r="AL19642" s="13"/>
    </row>
    <row r="19643" spans="4:38" x14ac:dyDescent="0.3">
      <c r="D19643" s="1"/>
      <c r="G19643" s="13"/>
      <c r="AL19643" s="13"/>
    </row>
    <row r="19644" spans="4:38" x14ac:dyDescent="0.3">
      <c r="D19644" s="1"/>
      <c r="G19644" s="13"/>
      <c r="AL19644" s="13"/>
    </row>
    <row r="19645" spans="4:38" x14ac:dyDescent="0.3">
      <c r="D19645" s="1"/>
      <c r="G19645" s="13"/>
      <c r="AL19645" s="13"/>
    </row>
    <row r="19646" spans="4:38" x14ac:dyDescent="0.3">
      <c r="D19646" s="1"/>
      <c r="G19646" s="13"/>
      <c r="AL19646" s="13"/>
    </row>
    <row r="19647" spans="4:38" x14ac:dyDescent="0.3">
      <c r="D19647" s="1"/>
      <c r="G19647" s="13"/>
      <c r="AL19647" s="13"/>
    </row>
    <row r="19648" spans="4:38" x14ac:dyDescent="0.3">
      <c r="D19648" s="1"/>
      <c r="G19648" s="13"/>
      <c r="AL19648" s="13"/>
    </row>
    <row r="19649" spans="4:38" x14ac:dyDescent="0.3">
      <c r="D19649" s="1"/>
      <c r="G19649" s="13"/>
      <c r="AL19649" s="13"/>
    </row>
    <row r="19650" spans="4:38" x14ac:dyDescent="0.3">
      <c r="D19650" s="1"/>
      <c r="G19650" s="13"/>
      <c r="AL19650" s="13"/>
    </row>
    <row r="19651" spans="4:38" x14ac:dyDescent="0.3">
      <c r="D19651" s="1"/>
      <c r="G19651" s="13"/>
      <c r="AL19651" s="13"/>
    </row>
    <row r="19652" spans="4:38" x14ac:dyDescent="0.3">
      <c r="D19652" s="1"/>
      <c r="G19652" s="13"/>
      <c r="AL19652" s="13"/>
    </row>
    <row r="19653" spans="4:38" x14ac:dyDescent="0.3">
      <c r="D19653" s="1"/>
      <c r="G19653" s="13"/>
      <c r="AL19653" s="13"/>
    </row>
    <row r="19654" spans="4:38" x14ac:dyDescent="0.3">
      <c r="D19654" s="1"/>
      <c r="G19654" s="13"/>
      <c r="AL19654" s="13"/>
    </row>
    <row r="19655" spans="4:38" x14ac:dyDescent="0.3">
      <c r="D19655" s="1"/>
      <c r="G19655" s="13"/>
      <c r="AL19655" s="13"/>
    </row>
    <row r="19656" spans="4:38" x14ac:dyDescent="0.3">
      <c r="D19656" s="1"/>
      <c r="G19656" s="13"/>
      <c r="AL19656" s="13"/>
    </row>
    <row r="19657" spans="4:38" x14ac:dyDescent="0.3">
      <c r="D19657" s="1"/>
      <c r="G19657" s="13"/>
      <c r="AL19657" s="13"/>
    </row>
    <row r="19658" spans="4:38" x14ac:dyDescent="0.3">
      <c r="D19658" s="1"/>
      <c r="G19658" s="13"/>
      <c r="AL19658" s="13"/>
    </row>
    <row r="19659" spans="4:38" x14ac:dyDescent="0.3">
      <c r="D19659" s="1"/>
      <c r="G19659" s="13"/>
      <c r="AL19659" s="13"/>
    </row>
    <row r="19660" spans="4:38" x14ac:dyDescent="0.3">
      <c r="D19660" s="1"/>
      <c r="G19660" s="13"/>
      <c r="AL19660" s="13"/>
    </row>
    <row r="19661" spans="4:38" x14ac:dyDescent="0.3">
      <c r="D19661" s="1"/>
      <c r="G19661" s="13"/>
      <c r="AL19661" s="13"/>
    </row>
    <row r="19662" spans="4:38" x14ac:dyDescent="0.3">
      <c r="D19662" s="1"/>
      <c r="G19662" s="13"/>
      <c r="AL19662" s="13"/>
    </row>
    <row r="19663" spans="4:38" x14ac:dyDescent="0.3">
      <c r="D19663" s="1"/>
      <c r="G19663" s="13"/>
      <c r="AL19663" s="13"/>
    </row>
    <row r="19664" spans="4:38" x14ac:dyDescent="0.3">
      <c r="D19664" s="1"/>
      <c r="G19664" s="13"/>
      <c r="AL19664" s="13"/>
    </row>
    <row r="19665" spans="4:38" x14ac:dyDescent="0.3">
      <c r="D19665" s="1"/>
      <c r="G19665" s="13"/>
      <c r="AL19665" s="13"/>
    </row>
    <row r="19666" spans="4:38" x14ac:dyDescent="0.3">
      <c r="D19666" s="1"/>
      <c r="G19666" s="13"/>
      <c r="AL19666" s="13"/>
    </row>
    <row r="19667" spans="4:38" x14ac:dyDescent="0.3">
      <c r="D19667" s="1"/>
      <c r="G19667" s="13"/>
      <c r="AL19667" s="13"/>
    </row>
    <row r="19668" spans="4:38" x14ac:dyDescent="0.3">
      <c r="D19668" s="1"/>
      <c r="G19668" s="13"/>
      <c r="AL19668" s="13"/>
    </row>
    <row r="19669" spans="4:38" x14ac:dyDescent="0.3">
      <c r="D19669" s="1"/>
      <c r="G19669" s="13"/>
      <c r="AL19669" s="13"/>
    </row>
    <row r="19670" spans="4:38" x14ac:dyDescent="0.3">
      <c r="D19670" s="1"/>
      <c r="G19670" s="13"/>
      <c r="AL19670" s="13"/>
    </row>
    <row r="19671" spans="4:38" x14ac:dyDescent="0.3">
      <c r="D19671" s="1"/>
      <c r="G19671" s="13"/>
      <c r="AL19671" s="13"/>
    </row>
    <row r="19672" spans="4:38" x14ac:dyDescent="0.3">
      <c r="D19672" s="1"/>
      <c r="G19672" s="13"/>
      <c r="AL19672" s="13"/>
    </row>
    <row r="19673" spans="4:38" x14ac:dyDescent="0.3">
      <c r="D19673" s="1"/>
      <c r="G19673" s="13"/>
      <c r="AL19673" s="13"/>
    </row>
    <row r="19674" spans="4:38" x14ac:dyDescent="0.3">
      <c r="D19674" s="1"/>
      <c r="G19674" s="13"/>
      <c r="AL19674" s="13"/>
    </row>
    <row r="19675" spans="4:38" x14ac:dyDescent="0.3">
      <c r="D19675" s="1"/>
      <c r="G19675" s="13"/>
      <c r="AL19675" s="13"/>
    </row>
    <row r="19676" spans="4:38" x14ac:dyDescent="0.3">
      <c r="D19676" s="1"/>
      <c r="G19676" s="13"/>
      <c r="AL19676" s="13"/>
    </row>
    <row r="19677" spans="4:38" x14ac:dyDescent="0.3">
      <c r="D19677" s="1"/>
      <c r="G19677" s="13"/>
      <c r="AL19677" s="13"/>
    </row>
    <row r="19678" spans="4:38" x14ac:dyDescent="0.3">
      <c r="D19678" s="1"/>
      <c r="G19678" s="13"/>
      <c r="AL19678" s="13"/>
    </row>
    <row r="19679" spans="4:38" x14ac:dyDescent="0.3">
      <c r="D19679" s="1"/>
      <c r="G19679" s="13"/>
      <c r="AL19679" s="13"/>
    </row>
    <row r="19680" spans="4:38" x14ac:dyDescent="0.3">
      <c r="D19680" s="1"/>
      <c r="G19680" s="13"/>
      <c r="AL19680" s="13"/>
    </row>
    <row r="19681" spans="4:38" x14ac:dyDescent="0.3">
      <c r="D19681" s="1"/>
      <c r="G19681" s="13"/>
      <c r="AL19681" s="13"/>
    </row>
    <row r="19682" spans="4:38" x14ac:dyDescent="0.3">
      <c r="D19682" s="1"/>
      <c r="G19682" s="13"/>
      <c r="AL19682" s="13"/>
    </row>
    <row r="19683" spans="4:38" x14ac:dyDescent="0.3">
      <c r="D19683" s="1"/>
      <c r="G19683" s="13"/>
      <c r="AL19683" s="13"/>
    </row>
    <row r="19684" spans="4:38" x14ac:dyDescent="0.3">
      <c r="D19684" s="1"/>
      <c r="G19684" s="13"/>
      <c r="AL19684" s="13"/>
    </row>
    <row r="19685" spans="4:38" x14ac:dyDescent="0.3">
      <c r="D19685" s="1"/>
      <c r="G19685" s="13"/>
      <c r="AL19685" s="13"/>
    </row>
    <row r="19686" spans="4:38" x14ac:dyDescent="0.3">
      <c r="D19686" s="1"/>
      <c r="G19686" s="13"/>
      <c r="AL19686" s="13"/>
    </row>
    <row r="19687" spans="4:38" x14ac:dyDescent="0.3">
      <c r="D19687" s="1"/>
      <c r="G19687" s="13"/>
      <c r="AL19687" s="13"/>
    </row>
    <row r="19688" spans="4:38" x14ac:dyDescent="0.3">
      <c r="D19688" s="1"/>
      <c r="G19688" s="13"/>
      <c r="AL19688" s="13"/>
    </row>
    <row r="19689" spans="4:38" x14ac:dyDescent="0.3">
      <c r="D19689" s="1"/>
      <c r="G19689" s="13"/>
      <c r="AL19689" s="13"/>
    </row>
    <row r="19690" spans="4:38" x14ac:dyDescent="0.3">
      <c r="D19690" s="1"/>
      <c r="G19690" s="13"/>
      <c r="AL19690" s="13"/>
    </row>
    <row r="19691" spans="4:38" x14ac:dyDescent="0.3">
      <c r="D19691" s="1"/>
      <c r="G19691" s="13"/>
      <c r="AL19691" s="13"/>
    </row>
    <row r="19692" spans="4:38" x14ac:dyDescent="0.3">
      <c r="D19692" s="1"/>
      <c r="G19692" s="13"/>
      <c r="AL19692" s="13"/>
    </row>
    <row r="19693" spans="4:38" x14ac:dyDescent="0.3">
      <c r="D19693" s="1"/>
      <c r="G19693" s="13"/>
      <c r="AL19693" s="13"/>
    </row>
    <row r="19694" spans="4:38" x14ac:dyDescent="0.3">
      <c r="D19694" s="1"/>
      <c r="G19694" s="13"/>
      <c r="AL19694" s="13"/>
    </row>
    <row r="19695" spans="4:38" x14ac:dyDescent="0.3">
      <c r="D19695" s="1"/>
      <c r="G19695" s="13"/>
      <c r="AL19695" s="13"/>
    </row>
    <row r="19696" spans="4:38" x14ac:dyDescent="0.3">
      <c r="D19696" s="1"/>
      <c r="G19696" s="13"/>
      <c r="AL19696" s="13"/>
    </row>
    <row r="19697" spans="4:38" x14ac:dyDescent="0.3">
      <c r="D19697" s="1"/>
      <c r="G19697" s="13"/>
      <c r="AL19697" s="13"/>
    </row>
    <row r="19698" spans="4:38" x14ac:dyDescent="0.3">
      <c r="D19698" s="1"/>
      <c r="G19698" s="13"/>
      <c r="AL19698" s="13"/>
    </row>
    <row r="19699" spans="4:38" x14ac:dyDescent="0.3">
      <c r="D19699" s="1"/>
      <c r="G19699" s="13"/>
      <c r="AL19699" s="13"/>
    </row>
    <row r="19700" spans="4:38" x14ac:dyDescent="0.3">
      <c r="D19700" s="1"/>
      <c r="G19700" s="13"/>
      <c r="AL19700" s="13"/>
    </row>
    <row r="19701" spans="4:38" x14ac:dyDescent="0.3">
      <c r="D19701" s="1"/>
      <c r="G19701" s="13"/>
      <c r="AL19701" s="13"/>
    </row>
    <row r="19702" spans="4:38" x14ac:dyDescent="0.3">
      <c r="D19702" s="1"/>
      <c r="G19702" s="13"/>
      <c r="AL19702" s="13"/>
    </row>
    <row r="19703" spans="4:38" x14ac:dyDescent="0.3">
      <c r="D19703" s="1"/>
      <c r="G19703" s="13"/>
      <c r="AL19703" s="13"/>
    </row>
    <row r="19704" spans="4:38" x14ac:dyDescent="0.3">
      <c r="D19704" s="1"/>
      <c r="G19704" s="13"/>
      <c r="AL19704" s="13"/>
    </row>
    <row r="19705" spans="4:38" x14ac:dyDescent="0.3">
      <c r="D19705" s="1"/>
      <c r="G19705" s="13"/>
      <c r="AL19705" s="13"/>
    </row>
    <row r="19706" spans="4:38" x14ac:dyDescent="0.3">
      <c r="D19706" s="1"/>
      <c r="G19706" s="13"/>
      <c r="AL19706" s="13"/>
    </row>
    <row r="19707" spans="4:38" x14ac:dyDescent="0.3">
      <c r="D19707" s="1"/>
      <c r="G19707" s="13"/>
      <c r="AL19707" s="13"/>
    </row>
    <row r="19708" spans="4:38" x14ac:dyDescent="0.3">
      <c r="D19708" s="1"/>
      <c r="G19708" s="13"/>
      <c r="AL19708" s="13"/>
    </row>
    <row r="19709" spans="4:38" x14ac:dyDescent="0.3">
      <c r="D19709" s="1"/>
      <c r="G19709" s="13"/>
      <c r="AL19709" s="13"/>
    </row>
    <row r="19710" spans="4:38" x14ac:dyDescent="0.3">
      <c r="D19710" s="1"/>
      <c r="G19710" s="13"/>
      <c r="AL19710" s="13"/>
    </row>
    <row r="19711" spans="4:38" x14ac:dyDescent="0.3">
      <c r="D19711" s="1"/>
      <c r="G19711" s="13"/>
      <c r="AL19711" s="13"/>
    </row>
    <row r="19712" spans="4:38" x14ac:dyDescent="0.3">
      <c r="D19712" s="1"/>
      <c r="G19712" s="13"/>
      <c r="AL19712" s="13"/>
    </row>
    <row r="19713" spans="4:38" x14ac:dyDescent="0.3">
      <c r="D19713" s="1"/>
      <c r="G19713" s="13"/>
      <c r="AL19713" s="13"/>
    </row>
    <row r="19714" spans="4:38" x14ac:dyDescent="0.3">
      <c r="D19714" s="1"/>
      <c r="G19714" s="13"/>
      <c r="AL19714" s="13"/>
    </row>
    <row r="19715" spans="4:38" x14ac:dyDescent="0.3">
      <c r="D19715" s="1"/>
      <c r="G19715" s="13"/>
      <c r="AL19715" s="13"/>
    </row>
    <row r="19716" spans="4:38" x14ac:dyDescent="0.3">
      <c r="D19716" s="1"/>
      <c r="G19716" s="13"/>
      <c r="AL19716" s="13"/>
    </row>
    <row r="19717" spans="4:38" x14ac:dyDescent="0.3">
      <c r="D19717" s="1"/>
      <c r="G19717" s="13"/>
      <c r="AL19717" s="13"/>
    </row>
    <row r="19718" spans="4:38" x14ac:dyDescent="0.3">
      <c r="D19718" s="1"/>
      <c r="G19718" s="13"/>
      <c r="AL19718" s="13"/>
    </row>
    <row r="19719" spans="4:38" x14ac:dyDescent="0.3">
      <c r="D19719" s="1"/>
      <c r="G19719" s="13"/>
      <c r="AL19719" s="13"/>
    </row>
    <row r="19720" spans="4:38" x14ac:dyDescent="0.3">
      <c r="D19720" s="1"/>
      <c r="G19720" s="13"/>
      <c r="AL19720" s="13"/>
    </row>
    <row r="19721" spans="4:38" x14ac:dyDescent="0.3">
      <c r="D19721" s="1"/>
      <c r="G19721" s="13"/>
      <c r="AL19721" s="13"/>
    </row>
    <row r="19722" spans="4:38" x14ac:dyDescent="0.3">
      <c r="D19722" s="1"/>
      <c r="G19722" s="13"/>
      <c r="AL19722" s="13"/>
    </row>
    <row r="19723" spans="4:38" x14ac:dyDescent="0.3">
      <c r="D19723" s="1"/>
      <c r="G19723" s="13"/>
      <c r="AL19723" s="13"/>
    </row>
    <row r="19724" spans="4:38" x14ac:dyDescent="0.3">
      <c r="D19724" s="1"/>
      <c r="G19724" s="13"/>
      <c r="AL19724" s="13"/>
    </row>
    <row r="19725" spans="4:38" x14ac:dyDescent="0.3">
      <c r="D19725" s="1"/>
      <c r="G19725" s="13"/>
      <c r="AL19725" s="13"/>
    </row>
    <row r="19726" spans="4:38" x14ac:dyDescent="0.3">
      <c r="D19726" s="1"/>
      <c r="G19726" s="13"/>
      <c r="AL19726" s="13"/>
    </row>
    <row r="19727" spans="4:38" x14ac:dyDescent="0.3">
      <c r="D19727" s="1"/>
      <c r="G19727" s="13"/>
      <c r="AL19727" s="13"/>
    </row>
    <row r="19728" spans="4:38" x14ac:dyDescent="0.3">
      <c r="D19728" s="1"/>
      <c r="G19728" s="13"/>
      <c r="AL19728" s="13"/>
    </row>
    <row r="19729" spans="4:38" x14ac:dyDescent="0.3">
      <c r="D19729" s="1"/>
      <c r="G19729" s="13"/>
      <c r="AL19729" s="13"/>
    </row>
    <row r="19730" spans="4:38" x14ac:dyDescent="0.3">
      <c r="D19730" s="1"/>
      <c r="G19730" s="13"/>
      <c r="AL19730" s="13"/>
    </row>
    <row r="19731" spans="4:38" x14ac:dyDescent="0.3">
      <c r="D19731" s="1"/>
      <c r="G19731" s="13"/>
      <c r="AL19731" s="13"/>
    </row>
    <row r="19732" spans="4:38" x14ac:dyDescent="0.3">
      <c r="D19732" s="1"/>
      <c r="G19732" s="13"/>
      <c r="AL19732" s="13"/>
    </row>
    <row r="19733" spans="4:38" x14ac:dyDescent="0.3">
      <c r="D19733" s="1"/>
      <c r="G19733" s="13"/>
      <c r="AL19733" s="13"/>
    </row>
    <row r="19734" spans="4:38" x14ac:dyDescent="0.3">
      <c r="D19734" s="1"/>
      <c r="G19734" s="13"/>
      <c r="AL19734" s="13"/>
    </row>
    <row r="19735" spans="4:38" x14ac:dyDescent="0.3">
      <c r="D19735" s="1"/>
      <c r="G19735" s="13"/>
      <c r="AL19735" s="13"/>
    </row>
    <row r="19736" spans="4:38" x14ac:dyDescent="0.3">
      <c r="D19736" s="1"/>
      <c r="G19736" s="13"/>
      <c r="AL19736" s="13"/>
    </row>
    <row r="19737" spans="4:38" x14ac:dyDescent="0.3">
      <c r="D19737" s="1"/>
      <c r="G19737" s="13"/>
      <c r="AL19737" s="13"/>
    </row>
    <row r="19738" spans="4:38" x14ac:dyDescent="0.3">
      <c r="D19738" s="1"/>
      <c r="G19738" s="13"/>
      <c r="AL19738" s="13"/>
    </row>
    <row r="19739" spans="4:38" x14ac:dyDescent="0.3">
      <c r="D19739" s="1"/>
      <c r="G19739" s="13"/>
      <c r="AL19739" s="13"/>
    </row>
    <row r="19740" spans="4:38" x14ac:dyDescent="0.3">
      <c r="D19740" s="1"/>
      <c r="G19740" s="13"/>
      <c r="AL19740" s="13"/>
    </row>
    <row r="19741" spans="4:38" x14ac:dyDescent="0.3">
      <c r="D19741" s="1"/>
      <c r="G19741" s="13"/>
      <c r="AL19741" s="13"/>
    </row>
    <row r="19742" spans="4:38" x14ac:dyDescent="0.3">
      <c r="D19742" s="1"/>
      <c r="G19742" s="13"/>
      <c r="AL19742" s="13"/>
    </row>
    <row r="19743" spans="4:38" x14ac:dyDescent="0.3">
      <c r="D19743" s="1"/>
      <c r="G19743" s="13"/>
      <c r="AL19743" s="13"/>
    </row>
    <row r="19744" spans="4:38" x14ac:dyDescent="0.3">
      <c r="D19744" s="1"/>
      <c r="G19744" s="13"/>
      <c r="AL19744" s="13"/>
    </row>
    <row r="19745" spans="4:38" x14ac:dyDescent="0.3">
      <c r="D19745" s="1"/>
      <c r="G19745" s="13"/>
      <c r="AL19745" s="13"/>
    </row>
    <row r="19746" spans="4:38" x14ac:dyDescent="0.3">
      <c r="D19746" s="1"/>
      <c r="G19746" s="13"/>
      <c r="AL19746" s="13"/>
    </row>
    <row r="19747" spans="4:38" x14ac:dyDescent="0.3">
      <c r="D19747" s="1"/>
      <c r="G19747" s="13"/>
      <c r="AL19747" s="13"/>
    </row>
    <row r="19748" spans="4:38" x14ac:dyDescent="0.3">
      <c r="D19748" s="1"/>
      <c r="G19748" s="13"/>
      <c r="AL19748" s="13"/>
    </row>
    <row r="19749" spans="4:38" x14ac:dyDescent="0.3">
      <c r="D19749" s="1"/>
      <c r="G19749" s="13"/>
      <c r="AL19749" s="13"/>
    </row>
    <row r="19750" spans="4:38" x14ac:dyDescent="0.3">
      <c r="D19750" s="1"/>
      <c r="G19750" s="13"/>
      <c r="AL19750" s="13"/>
    </row>
    <row r="19751" spans="4:38" x14ac:dyDescent="0.3">
      <c r="D19751" s="1"/>
      <c r="G19751" s="13"/>
      <c r="AL19751" s="13"/>
    </row>
    <row r="19752" spans="4:38" x14ac:dyDescent="0.3">
      <c r="D19752" s="1"/>
      <c r="G19752" s="13"/>
      <c r="AL19752" s="13"/>
    </row>
    <row r="19753" spans="4:38" x14ac:dyDescent="0.3">
      <c r="D19753" s="1"/>
      <c r="G19753" s="13"/>
      <c r="AL19753" s="13"/>
    </row>
    <row r="19754" spans="4:38" x14ac:dyDescent="0.3">
      <c r="D19754" s="1"/>
      <c r="G19754" s="13"/>
      <c r="AL19754" s="13"/>
    </row>
    <row r="19755" spans="4:38" x14ac:dyDescent="0.3">
      <c r="D19755" s="1"/>
      <c r="G19755" s="13"/>
      <c r="AL19755" s="13"/>
    </row>
    <row r="19756" spans="4:38" x14ac:dyDescent="0.3">
      <c r="D19756" s="1"/>
      <c r="G19756" s="13"/>
      <c r="AL19756" s="13"/>
    </row>
    <row r="19757" spans="4:38" x14ac:dyDescent="0.3">
      <c r="D19757" s="1"/>
      <c r="G19757" s="13"/>
      <c r="AL19757" s="13"/>
    </row>
    <row r="19758" spans="4:38" x14ac:dyDescent="0.3">
      <c r="D19758" s="1"/>
      <c r="G19758" s="13"/>
      <c r="AL19758" s="13"/>
    </row>
    <row r="19759" spans="4:38" x14ac:dyDescent="0.3">
      <c r="D19759" s="1"/>
      <c r="G19759" s="13"/>
      <c r="AL19759" s="13"/>
    </row>
    <row r="19760" spans="4:38" x14ac:dyDescent="0.3">
      <c r="D19760" s="1"/>
      <c r="G19760" s="13"/>
      <c r="AL19760" s="13"/>
    </row>
    <row r="19761" spans="4:38" x14ac:dyDescent="0.3">
      <c r="D19761" s="1"/>
      <c r="G19761" s="13"/>
      <c r="AL19761" s="13"/>
    </row>
    <row r="19762" spans="4:38" x14ac:dyDescent="0.3">
      <c r="D19762" s="1"/>
      <c r="G19762" s="13"/>
      <c r="AL19762" s="13"/>
    </row>
    <row r="19763" spans="4:38" x14ac:dyDescent="0.3">
      <c r="D19763" s="1"/>
      <c r="G19763" s="13"/>
      <c r="AL19763" s="13"/>
    </row>
    <row r="19764" spans="4:38" x14ac:dyDescent="0.3">
      <c r="D19764" s="1"/>
      <c r="G19764" s="13"/>
      <c r="AL19764" s="13"/>
    </row>
    <row r="19765" spans="4:38" x14ac:dyDescent="0.3">
      <c r="D19765" s="1"/>
      <c r="G19765" s="13"/>
      <c r="AL19765" s="13"/>
    </row>
    <row r="19766" spans="4:38" x14ac:dyDescent="0.3">
      <c r="D19766" s="1"/>
      <c r="G19766" s="13"/>
      <c r="AL19766" s="13"/>
    </row>
    <row r="19767" spans="4:38" x14ac:dyDescent="0.3">
      <c r="D19767" s="1"/>
      <c r="G19767" s="13"/>
      <c r="AL19767" s="13"/>
    </row>
    <row r="19768" spans="4:38" x14ac:dyDescent="0.3">
      <c r="D19768" s="1"/>
      <c r="G19768" s="13"/>
      <c r="AL19768" s="13"/>
    </row>
    <row r="19769" spans="4:38" x14ac:dyDescent="0.3">
      <c r="D19769" s="1"/>
      <c r="G19769" s="13"/>
      <c r="AL19769" s="13"/>
    </row>
    <row r="19770" spans="4:38" x14ac:dyDescent="0.3">
      <c r="D19770" s="1"/>
      <c r="G19770" s="13"/>
      <c r="AL19770" s="13"/>
    </row>
    <row r="19771" spans="4:38" x14ac:dyDescent="0.3">
      <c r="D19771" s="1"/>
      <c r="G19771" s="13"/>
      <c r="AL19771" s="13"/>
    </row>
    <row r="19772" spans="4:38" x14ac:dyDescent="0.3">
      <c r="D19772" s="1"/>
      <c r="G19772" s="13"/>
      <c r="AL19772" s="13"/>
    </row>
    <row r="19773" spans="4:38" x14ac:dyDescent="0.3">
      <c r="D19773" s="1"/>
      <c r="G19773" s="13"/>
      <c r="AL19773" s="13"/>
    </row>
    <row r="19774" spans="4:38" x14ac:dyDescent="0.3">
      <c r="D19774" s="1"/>
      <c r="G19774" s="13"/>
      <c r="AL19774" s="13"/>
    </row>
    <row r="19775" spans="4:38" x14ac:dyDescent="0.3">
      <c r="D19775" s="1"/>
      <c r="G19775" s="13"/>
      <c r="AL19775" s="13"/>
    </row>
    <row r="19776" spans="4:38" x14ac:dyDescent="0.3">
      <c r="D19776" s="1"/>
      <c r="G19776" s="13"/>
      <c r="AL19776" s="13"/>
    </row>
    <row r="19777" spans="4:38" x14ac:dyDescent="0.3">
      <c r="D19777" s="1"/>
      <c r="G19777" s="13"/>
      <c r="AL19777" s="13"/>
    </row>
    <row r="19778" spans="4:38" x14ac:dyDescent="0.3">
      <c r="D19778" s="1"/>
      <c r="G19778" s="13"/>
      <c r="AL19778" s="13"/>
    </row>
    <row r="19779" spans="4:38" x14ac:dyDescent="0.3">
      <c r="D19779" s="1"/>
      <c r="G19779" s="13"/>
      <c r="AL19779" s="13"/>
    </row>
    <row r="19780" spans="4:38" x14ac:dyDescent="0.3">
      <c r="D19780" s="1"/>
      <c r="G19780" s="13"/>
      <c r="AL19780" s="13"/>
    </row>
    <row r="19781" spans="4:38" x14ac:dyDescent="0.3">
      <c r="D19781" s="1"/>
      <c r="G19781" s="13"/>
      <c r="AL19781" s="13"/>
    </row>
    <row r="19782" spans="4:38" x14ac:dyDescent="0.3">
      <c r="D19782" s="1"/>
      <c r="G19782" s="13"/>
      <c r="AL19782" s="13"/>
    </row>
    <row r="19783" spans="4:38" x14ac:dyDescent="0.3">
      <c r="D19783" s="1"/>
      <c r="G19783" s="13"/>
      <c r="AL19783" s="13"/>
    </row>
    <row r="19784" spans="4:38" x14ac:dyDescent="0.3">
      <c r="D19784" s="1"/>
      <c r="G19784" s="13"/>
      <c r="AL19784" s="13"/>
    </row>
    <row r="19785" spans="4:38" x14ac:dyDescent="0.3">
      <c r="D19785" s="1"/>
      <c r="G19785" s="13"/>
      <c r="AL19785" s="13"/>
    </row>
    <row r="19786" spans="4:38" x14ac:dyDescent="0.3">
      <c r="D19786" s="1"/>
      <c r="G19786" s="13"/>
      <c r="AL19786" s="13"/>
    </row>
    <row r="19787" spans="4:38" x14ac:dyDescent="0.3">
      <c r="D19787" s="1"/>
      <c r="G19787" s="13"/>
      <c r="AL19787" s="13"/>
    </row>
    <row r="19788" spans="4:38" x14ac:dyDescent="0.3">
      <c r="D19788" s="1"/>
      <c r="G19788" s="13"/>
      <c r="AL19788" s="13"/>
    </row>
    <row r="19789" spans="4:38" x14ac:dyDescent="0.3">
      <c r="D19789" s="1"/>
      <c r="G19789" s="13"/>
      <c r="AL19789" s="13"/>
    </row>
    <row r="19790" spans="4:38" x14ac:dyDescent="0.3">
      <c r="D19790" s="1"/>
      <c r="G19790" s="13"/>
      <c r="AL19790" s="13"/>
    </row>
    <row r="19791" spans="4:38" x14ac:dyDescent="0.3">
      <c r="D19791" s="1"/>
      <c r="G19791" s="13"/>
      <c r="AL19791" s="13"/>
    </row>
    <row r="19792" spans="4:38" x14ac:dyDescent="0.3">
      <c r="D19792" s="1"/>
      <c r="G19792" s="13"/>
      <c r="AL19792" s="13"/>
    </row>
    <row r="19793" spans="4:38" x14ac:dyDescent="0.3">
      <c r="D19793" s="1"/>
      <c r="G19793" s="13"/>
      <c r="AL19793" s="13"/>
    </row>
    <row r="19794" spans="4:38" x14ac:dyDescent="0.3">
      <c r="D19794" s="1"/>
      <c r="G19794" s="13"/>
      <c r="AL19794" s="13"/>
    </row>
    <row r="19795" spans="4:38" x14ac:dyDescent="0.3">
      <c r="D19795" s="1"/>
      <c r="G19795" s="13"/>
      <c r="AL19795" s="13"/>
    </row>
    <row r="19796" spans="4:38" x14ac:dyDescent="0.3">
      <c r="D19796" s="1"/>
      <c r="G19796" s="13"/>
      <c r="AL19796" s="13"/>
    </row>
    <row r="19797" spans="4:38" x14ac:dyDescent="0.3">
      <c r="D19797" s="1"/>
      <c r="G19797" s="13"/>
      <c r="AL19797" s="13"/>
    </row>
    <row r="19798" spans="4:38" x14ac:dyDescent="0.3">
      <c r="D19798" s="1"/>
      <c r="G19798" s="13"/>
      <c r="AL19798" s="13"/>
    </row>
    <row r="19799" spans="4:38" x14ac:dyDescent="0.3">
      <c r="D19799" s="1"/>
      <c r="G19799" s="13"/>
      <c r="AL19799" s="13"/>
    </row>
    <row r="19800" spans="4:38" x14ac:dyDescent="0.3">
      <c r="D19800" s="1"/>
      <c r="G19800" s="13"/>
      <c r="AL19800" s="13"/>
    </row>
    <row r="19801" spans="4:38" x14ac:dyDescent="0.3">
      <c r="D19801" s="1"/>
      <c r="G19801" s="13"/>
      <c r="AL19801" s="13"/>
    </row>
    <row r="19802" spans="4:38" x14ac:dyDescent="0.3">
      <c r="D19802" s="1"/>
      <c r="G19802" s="13"/>
      <c r="AL19802" s="13"/>
    </row>
    <row r="19803" spans="4:38" x14ac:dyDescent="0.3">
      <c r="D19803" s="1"/>
      <c r="G19803" s="13"/>
      <c r="AL19803" s="13"/>
    </row>
    <row r="19804" spans="4:38" x14ac:dyDescent="0.3">
      <c r="D19804" s="1"/>
      <c r="G19804" s="13"/>
      <c r="AL19804" s="13"/>
    </row>
    <row r="19805" spans="4:38" x14ac:dyDescent="0.3">
      <c r="D19805" s="1"/>
      <c r="G19805" s="13"/>
      <c r="AL19805" s="13"/>
    </row>
    <row r="19806" spans="4:38" x14ac:dyDescent="0.3">
      <c r="D19806" s="1"/>
      <c r="G19806" s="13"/>
      <c r="AL19806" s="13"/>
    </row>
    <row r="19807" spans="4:38" x14ac:dyDescent="0.3">
      <c r="D19807" s="1"/>
      <c r="G19807" s="13"/>
      <c r="AL19807" s="13"/>
    </row>
    <row r="19808" spans="4:38" x14ac:dyDescent="0.3">
      <c r="D19808" s="1"/>
      <c r="G19808" s="13"/>
      <c r="AL19808" s="13"/>
    </row>
    <row r="19809" spans="4:38" x14ac:dyDescent="0.3">
      <c r="D19809" s="1"/>
      <c r="G19809" s="13"/>
      <c r="AL19809" s="13"/>
    </row>
    <row r="19810" spans="4:38" x14ac:dyDescent="0.3">
      <c r="D19810" s="1"/>
      <c r="G19810" s="13"/>
      <c r="AL19810" s="13"/>
    </row>
    <row r="19811" spans="4:38" x14ac:dyDescent="0.3">
      <c r="D19811" s="1"/>
      <c r="G19811" s="13"/>
      <c r="AL19811" s="13"/>
    </row>
    <row r="19812" spans="4:38" x14ac:dyDescent="0.3">
      <c r="D19812" s="1"/>
      <c r="G19812" s="13"/>
      <c r="AL19812" s="13"/>
    </row>
    <row r="19813" spans="4:38" x14ac:dyDescent="0.3">
      <c r="D19813" s="1"/>
      <c r="G19813" s="13"/>
      <c r="AL19813" s="13"/>
    </row>
    <row r="19814" spans="4:38" x14ac:dyDescent="0.3">
      <c r="D19814" s="1"/>
      <c r="G19814" s="13"/>
      <c r="AL19814" s="13"/>
    </row>
    <row r="19815" spans="4:38" x14ac:dyDescent="0.3">
      <c r="D19815" s="1"/>
      <c r="G19815" s="13"/>
      <c r="AL19815" s="13"/>
    </row>
    <row r="19816" spans="4:38" x14ac:dyDescent="0.3">
      <c r="D19816" s="1"/>
      <c r="G19816" s="13"/>
      <c r="AL19816" s="13"/>
    </row>
    <row r="19817" spans="4:38" x14ac:dyDescent="0.3">
      <c r="D19817" s="1"/>
      <c r="G19817" s="13"/>
      <c r="AL19817" s="13"/>
    </row>
    <row r="19818" spans="4:38" x14ac:dyDescent="0.3">
      <c r="D19818" s="1"/>
      <c r="G19818" s="13"/>
      <c r="AL19818" s="13"/>
    </row>
    <row r="19819" spans="4:38" x14ac:dyDescent="0.3">
      <c r="D19819" s="1"/>
      <c r="G19819" s="13"/>
      <c r="AL19819" s="13"/>
    </row>
    <row r="19820" spans="4:38" x14ac:dyDescent="0.3">
      <c r="D19820" s="1"/>
      <c r="G19820" s="13"/>
      <c r="AL19820" s="13"/>
    </row>
    <row r="19821" spans="4:38" x14ac:dyDescent="0.3">
      <c r="D19821" s="1"/>
      <c r="G19821" s="13"/>
      <c r="AL19821" s="13"/>
    </row>
    <row r="19822" spans="4:38" x14ac:dyDescent="0.3">
      <c r="D19822" s="1"/>
      <c r="G19822" s="13"/>
      <c r="AL19822" s="13"/>
    </row>
    <row r="19823" spans="4:38" x14ac:dyDescent="0.3">
      <c r="D19823" s="1"/>
      <c r="G19823" s="13"/>
      <c r="AL19823" s="13"/>
    </row>
    <row r="19824" spans="4:38" x14ac:dyDescent="0.3">
      <c r="D19824" s="1"/>
      <c r="G19824" s="13"/>
      <c r="AL19824" s="13"/>
    </row>
    <row r="19825" spans="4:38" x14ac:dyDescent="0.3">
      <c r="D19825" s="1"/>
      <c r="G19825" s="13"/>
      <c r="AL19825" s="13"/>
    </row>
    <row r="19826" spans="4:38" x14ac:dyDescent="0.3">
      <c r="D19826" s="1"/>
      <c r="G19826" s="13"/>
      <c r="AL19826" s="13"/>
    </row>
    <row r="19827" spans="4:38" x14ac:dyDescent="0.3">
      <c r="D19827" s="1"/>
      <c r="G19827" s="13"/>
      <c r="AL19827" s="13"/>
    </row>
    <row r="19828" spans="4:38" x14ac:dyDescent="0.3">
      <c r="D19828" s="1"/>
      <c r="G19828" s="13"/>
      <c r="AL19828" s="13"/>
    </row>
    <row r="19829" spans="4:38" x14ac:dyDescent="0.3">
      <c r="D19829" s="1"/>
      <c r="G19829" s="13"/>
      <c r="AL19829" s="13"/>
    </row>
    <row r="19830" spans="4:38" x14ac:dyDescent="0.3">
      <c r="D19830" s="1"/>
      <c r="G19830" s="13"/>
      <c r="AL19830" s="13"/>
    </row>
    <row r="19831" spans="4:38" x14ac:dyDescent="0.3">
      <c r="D19831" s="1"/>
      <c r="G19831" s="13"/>
      <c r="AL19831" s="13"/>
    </row>
    <row r="19832" spans="4:38" x14ac:dyDescent="0.3">
      <c r="D19832" s="1"/>
      <c r="G19832" s="13"/>
      <c r="AL19832" s="13"/>
    </row>
    <row r="19833" spans="4:38" x14ac:dyDescent="0.3">
      <c r="D19833" s="1"/>
      <c r="G19833" s="13"/>
      <c r="AL19833" s="13"/>
    </row>
    <row r="19834" spans="4:38" x14ac:dyDescent="0.3">
      <c r="D19834" s="1"/>
      <c r="G19834" s="13"/>
      <c r="AL19834" s="13"/>
    </row>
    <row r="19835" spans="4:38" x14ac:dyDescent="0.3">
      <c r="D19835" s="1"/>
      <c r="G19835" s="13"/>
      <c r="AL19835" s="13"/>
    </row>
    <row r="19836" spans="4:38" x14ac:dyDescent="0.3">
      <c r="D19836" s="1"/>
      <c r="G19836" s="13"/>
      <c r="AL19836" s="13"/>
    </row>
    <row r="19837" spans="4:38" x14ac:dyDescent="0.3">
      <c r="D19837" s="1"/>
      <c r="G19837" s="13"/>
      <c r="AL19837" s="13"/>
    </row>
    <row r="19838" spans="4:38" x14ac:dyDescent="0.3">
      <c r="D19838" s="1"/>
      <c r="G19838" s="13"/>
      <c r="AL19838" s="13"/>
    </row>
    <row r="19839" spans="4:38" x14ac:dyDescent="0.3">
      <c r="D19839" s="1"/>
      <c r="G19839" s="13"/>
      <c r="AL19839" s="13"/>
    </row>
    <row r="19840" spans="4:38" x14ac:dyDescent="0.3">
      <c r="D19840" s="1"/>
      <c r="G19840" s="13"/>
      <c r="AL19840" s="13"/>
    </row>
    <row r="19841" spans="4:38" x14ac:dyDescent="0.3">
      <c r="D19841" s="1"/>
      <c r="G19841" s="13"/>
      <c r="AL19841" s="13"/>
    </row>
    <row r="19842" spans="4:38" x14ac:dyDescent="0.3">
      <c r="D19842" s="1"/>
      <c r="G19842" s="13"/>
      <c r="AL19842" s="13"/>
    </row>
    <row r="19843" spans="4:38" x14ac:dyDescent="0.3">
      <c r="D19843" s="1"/>
      <c r="G19843" s="13"/>
      <c r="AL19843" s="13"/>
    </row>
    <row r="19844" spans="4:38" x14ac:dyDescent="0.3">
      <c r="D19844" s="1"/>
      <c r="G19844" s="13"/>
      <c r="AL19844" s="13"/>
    </row>
    <row r="19845" spans="4:38" x14ac:dyDescent="0.3">
      <c r="D19845" s="1"/>
      <c r="G19845" s="13"/>
      <c r="AL19845" s="13"/>
    </row>
    <row r="19846" spans="4:38" x14ac:dyDescent="0.3">
      <c r="D19846" s="1"/>
      <c r="G19846" s="13"/>
      <c r="AL19846" s="13"/>
    </row>
    <row r="19847" spans="4:38" x14ac:dyDescent="0.3">
      <c r="D19847" s="1"/>
      <c r="G19847" s="13"/>
      <c r="AL19847" s="13"/>
    </row>
    <row r="19848" spans="4:38" x14ac:dyDescent="0.3">
      <c r="D19848" s="1"/>
      <c r="G19848" s="13"/>
      <c r="AL19848" s="13"/>
    </row>
    <row r="19849" spans="4:38" x14ac:dyDescent="0.3">
      <c r="D19849" s="1"/>
      <c r="G19849" s="13"/>
      <c r="AL19849" s="13"/>
    </row>
    <row r="19850" spans="4:38" x14ac:dyDescent="0.3">
      <c r="D19850" s="1"/>
      <c r="G19850" s="13"/>
      <c r="AL19850" s="13"/>
    </row>
    <row r="19851" spans="4:38" x14ac:dyDescent="0.3">
      <c r="D19851" s="1"/>
      <c r="G19851" s="13"/>
      <c r="AL19851" s="13"/>
    </row>
    <row r="19852" spans="4:38" x14ac:dyDescent="0.3">
      <c r="D19852" s="1"/>
      <c r="G19852" s="13"/>
      <c r="AL19852" s="13"/>
    </row>
    <row r="19853" spans="4:38" x14ac:dyDescent="0.3">
      <c r="D19853" s="1"/>
      <c r="G19853" s="13"/>
      <c r="AL19853" s="13"/>
    </row>
    <row r="19854" spans="4:38" x14ac:dyDescent="0.3">
      <c r="D19854" s="1"/>
      <c r="G19854" s="13"/>
      <c r="AL19854" s="13"/>
    </row>
    <row r="19855" spans="4:38" x14ac:dyDescent="0.3">
      <c r="D19855" s="1"/>
      <c r="G19855" s="13"/>
      <c r="AL19855" s="13"/>
    </row>
    <row r="19856" spans="4:38" x14ac:dyDescent="0.3">
      <c r="D19856" s="1"/>
      <c r="G19856" s="13"/>
      <c r="AL19856" s="13"/>
    </row>
    <row r="19857" spans="4:39" x14ac:dyDescent="0.3">
      <c r="D19857" s="1"/>
      <c r="G19857" s="13"/>
      <c r="AL19857" s="13"/>
    </row>
    <row r="19858" spans="4:39" x14ac:dyDescent="0.3">
      <c r="D19858" s="1"/>
      <c r="G19858" s="13"/>
      <c r="AL19858" s="13"/>
    </row>
    <row r="19859" spans="4:39" x14ac:dyDescent="0.3">
      <c r="D19859" s="1"/>
      <c r="G19859" s="13"/>
      <c r="AL19859" s="13"/>
    </row>
    <row r="19860" spans="4:39" x14ac:dyDescent="0.3">
      <c r="D19860" s="1"/>
      <c r="G19860" s="13"/>
      <c r="AL19860" s="13"/>
    </row>
    <row r="19861" spans="4:39" x14ac:dyDescent="0.3">
      <c r="D19861" s="1"/>
      <c r="G19861" s="13"/>
      <c r="AL19861" s="13"/>
    </row>
    <row r="19862" spans="4:39" x14ac:dyDescent="0.3">
      <c r="D19862" s="1"/>
      <c r="G19862" s="13"/>
      <c r="AL19862" s="13"/>
    </row>
    <row r="19863" spans="4:39" x14ac:dyDescent="0.3">
      <c r="D19863" s="1"/>
      <c r="G19863" s="13"/>
      <c r="AL19863" s="13"/>
    </row>
    <row r="19864" spans="4:39" x14ac:dyDescent="0.3">
      <c r="D19864" s="1"/>
      <c r="G19864" s="13"/>
      <c r="AL19864" s="13"/>
    </row>
    <row r="19865" spans="4:39" x14ac:dyDescent="0.3">
      <c r="D19865" s="1"/>
      <c r="G19865" s="13"/>
      <c r="AL19865" s="13"/>
    </row>
    <row r="19866" spans="4:39" x14ac:dyDescent="0.3">
      <c r="D19866" s="1"/>
      <c r="G19866" s="13"/>
      <c r="AL19866" s="13"/>
    </row>
    <row r="19867" spans="4:39" x14ac:dyDescent="0.3">
      <c r="D19867" s="1"/>
      <c r="G19867" s="13"/>
      <c r="AL19867" s="13"/>
    </row>
    <row r="19868" spans="4:39" x14ac:dyDescent="0.3">
      <c r="D19868" s="1"/>
      <c r="G19868" s="13"/>
      <c r="AL19868" s="13"/>
    </row>
    <row r="19869" spans="4:39" x14ac:dyDescent="0.3">
      <c r="D19869" s="1"/>
      <c r="G19869" s="13"/>
      <c r="AL19869" s="13"/>
    </row>
    <row r="19870" spans="4:39" x14ac:dyDescent="0.3">
      <c r="D19870" s="1"/>
      <c r="G19870" s="13"/>
      <c r="AL19870" s="13"/>
    </row>
    <row r="19871" spans="4:39" x14ac:dyDescent="0.3">
      <c r="D19871" s="1"/>
      <c r="G19871" s="13"/>
      <c r="AL19871" s="13"/>
      <c r="AM19871" s="14"/>
    </row>
    <row r="19872" spans="4:39" x14ac:dyDescent="0.3">
      <c r="D19872" s="1"/>
      <c r="G19872" s="13"/>
      <c r="AL19872" s="13"/>
    </row>
    <row r="19873" spans="4:39" x14ac:dyDescent="0.3">
      <c r="D19873" s="1"/>
      <c r="G19873" s="13"/>
      <c r="AL19873" s="13"/>
    </row>
    <row r="19874" spans="4:39" x14ac:dyDescent="0.3">
      <c r="D19874" s="1"/>
      <c r="G19874" s="13"/>
      <c r="AL19874" s="13"/>
      <c r="AM19874" s="14"/>
    </row>
    <row r="19875" spans="4:39" x14ac:dyDescent="0.3">
      <c r="D19875" s="1"/>
      <c r="G19875" s="13"/>
      <c r="AL19875" s="13"/>
    </row>
    <row r="19876" spans="4:39" x14ac:dyDescent="0.3">
      <c r="D19876" s="1"/>
      <c r="G19876" s="13"/>
      <c r="AL19876" s="13"/>
    </row>
    <row r="19877" spans="4:39" x14ac:dyDescent="0.3">
      <c r="D19877" s="1"/>
      <c r="G19877" s="13"/>
      <c r="AL19877" s="13"/>
    </row>
    <row r="19878" spans="4:39" x14ac:dyDescent="0.3">
      <c r="D19878" s="1"/>
      <c r="G19878" s="13"/>
      <c r="AL19878" s="13"/>
    </row>
    <row r="19879" spans="4:39" x14ac:dyDescent="0.3">
      <c r="D19879" s="1"/>
      <c r="G19879" s="13"/>
      <c r="AL19879" s="13"/>
    </row>
    <row r="19880" spans="4:39" x14ac:dyDescent="0.3">
      <c r="D19880" s="1"/>
      <c r="G19880" s="13"/>
      <c r="AL19880" s="13"/>
    </row>
    <row r="19881" spans="4:39" x14ac:dyDescent="0.3">
      <c r="D19881" s="1"/>
      <c r="G19881" s="13"/>
      <c r="AL19881" s="13"/>
    </row>
    <row r="19882" spans="4:39" x14ac:dyDescent="0.3">
      <c r="D19882" s="1"/>
      <c r="G19882" s="13"/>
      <c r="AL19882" s="13"/>
    </row>
    <row r="19883" spans="4:39" x14ac:dyDescent="0.3">
      <c r="D19883" s="1"/>
      <c r="G19883" s="13"/>
      <c r="AL19883" s="13"/>
    </row>
    <row r="19884" spans="4:39" x14ac:dyDescent="0.3">
      <c r="D19884" s="1"/>
      <c r="G19884" s="13"/>
      <c r="AL19884" s="13"/>
    </row>
    <row r="19885" spans="4:39" x14ac:dyDescent="0.3">
      <c r="D19885" s="1"/>
      <c r="G19885" s="13"/>
      <c r="AL19885" s="13"/>
    </row>
    <row r="19886" spans="4:39" x14ac:dyDescent="0.3">
      <c r="D19886" s="1"/>
      <c r="G19886" s="13"/>
      <c r="AL19886" s="13"/>
    </row>
    <row r="19887" spans="4:39" x14ac:dyDescent="0.3">
      <c r="D19887" s="1"/>
      <c r="G19887" s="13"/>
      <c r="AL19887" s="13"/>
    </row>
    <row r="19888" spans="4:39" x14ac:dyDescent="0.3">
      <c r="D19888" s="1"/>
      <c r="G19888" s="13"/>
      <c r="AL19888" s="13"/>
    </row>
    <row r="19889" spans="4:39" x14ac:dyDescent="0.3">
      <c r="D19889" s="1"/>
      <c r="G19889" s="13"/>
      <c r="AL19889" s="13"/>
    </row>
    <row r="19890" spans="4:39" x14ac:dyDescent="0.3">
      <c r="D19890" s="1"/>
      <c r="G19890" s="13"/>
      <c r="AL19890" s="13"/>
    </row>
    <row r="19891" spans="4:39" x14ac:dyDescent="0.3">
      <c r="D19891" s="1"/>
      <c r="G19891" s="13"/>
      <c r="AL19891" s="13"/>
    </row>
    <row r="19892" spans="4:39" x14ac:dyDescent="0.3">
      <c r="D19892" s="1"/>
      <c r="G19892" s="13"/>
      <c r="AL19892" s="13"/>
      <c r="AM19892" s="14"/>
    </row>
    <row r="19893" spans="4:39" x14ac:dyDescent="0.3">
      <c r="D19893" s="1"/>
      <c r="G19893" s="13"/>
      <c r="AL19893" s="13"/>
    </row>
    <row r="19894" spans="4:39" x14ac:dyDescent="0.3">
      <c r="D19894" s="1"/>
      <c r="G19894" s="13"/>
      <c r="AL19894" s="13"/>
    </row>
    <row r="19895" spans="4:39" x14ac:dyDescent="0.3">
      <c r="D19895" s="1"/>
      <c r="G19895" s="13"/>
      <c r="AL19895" s="13"/>
    </row>
    <row r="19896" spans="4:39" x14ac:dyDescent="0.3">
      <c r="D19896" s="1"/>
      <c r="G19896" s="13"/>
      <c r="AL19896" s="13"/>
    </row>
    <row r="19897" spans="4:39" x14ac:dyDescent="0.3">
      <c r="D19897" s="1"/>
      <c r="G19897" s="13"/>
      <c r="AL19897" s="13"/>
    </row>
    <row r="19898" spans="4:39" x14ac:dyDescent="0.3">
      <c r="D19898" s="1"/>
      <c r="G19898" s="13"/>
      <c r="AL19898" s="13"/>
    </row>
    <row r="19899" spans="4:39" x14ac:dyDescent="0.3">
      <c r="D19899" s="1"/>
      <c r="G19899" s="13"/>
      <c r="AL19899" s="13"/>
    </row>
    <row r="19900" spans="4:39" x14ac:dyDescent="0.3">
      <c r="D19900" s="1"/>
      <c r="G19900" s="13"/>
      <c r="AL19900" s="13"/>
    </row>
    <row r="19901" spans="4:39" x14ac:dyDescent="0.3">
      <c r="D19901" s="1"/>
      <c r="G19901" s="13"/>
      <c r="AL19901" s="13"/>
      <c r="AM19901" s="14"/>
    </row>
    <row r="19902" spans="4:39" x14ac:dyDescent="0.3">
      <c r="D19902" s="1"/>
      <c r="G19902" s="13"/>
      <c r="AL19902" s="13"/>
    </row>
    <row r="19903" spans="4:39" x14ac:dyDescent="0.3">
      <c r="D19903" s="1"/>
      <c r="G19903" s="13"/>
      <c r="AL19903" s="13"/>
    </row>
    <row r="19904" spans="4:39" x14ac:dyDescent="0.3">
      <c r="D19904" s="1"/>
      <c r="G19904" s="13"/>
      <c r="AL19904" s="13"/>
    </row>
    <row r="19905" spans="4:39" x14ac:dyDescent="0.3">
      <c r="D19905" s="1"/>
      <c r="G19905" s="13"/>
      <c r="AL19905" s="13"/>
    </row>
    <row r="19906" spans="4:39" x14ac:dyDescent="0.3">
      <c r="D19906" s="1"/>
      <c r="G19906" s="13"/>
      <c r="AL19906" s="13"/>
    </row>
    <row r="19907" spans="4:39" x14ac:dyDescent="0.3">
      <c r="D19907" s="1"/>
      <c r="G19907" s="13"/>
      <c r="AL19907" s="13"/>
    </row>
    <row r="19908" spans="4:39" x14ac:dyDescent="0.3">
      <c r="D19908" s="1"/>
      <c r="G19908" s="13"/>
      <c r="AL19908" s="13"/>
    </row>
    <row r="19909" spans="4:39" x14ac:dyDescent="0.3">
      <c r="D19909" s="1"/>
      <c r="G19909" s="13"/>
      <c r="AL19909" s="13"/>
    </row>
    <row r="19910" spans="4:39" x14ac:dyDescent="0.3">
      <c r="D19910" s="1"/>
      <c r="G19910" s="13"/>
      <c r="AL19910" s="13"/>
    </row>
    <row r="19911" spans="4:39" x14ac:dyDescent="0.3">
      <c r="D19911" s="1"/>
      <c r="G19911" s="13"/>
      <c r="AL19911" s="13"/>
    </row>
    <row r="19912" spans="4:39" x14ac:dyDescent="0.3">
      <c r="D19912" s="1"/>
      <c r="G19912" s="13"/>
      <c r="AL19912" s="13"/>
      <c r="AM19912" s="14"/>
    </row>
    <row r="19913" spans="4:39" x14ac:dyDescent="0.3">
      <c r="D19913" s="1"/>
      <c r="G19913" s="13"/>
      <c r="AL19913" s="13"/>
    </row>
    <row r="19914" spans="4:39" x14ac:dyDescent="0.3">
      <c r="D19914" s="1"/>
      <c r="G19914" s="13"/>
      <c r="AL19914" s="13"/>
    </row>
    <row r="19915" spans="4:39" x14ac:dyDescent="0.3">
      <c r="D19915" s="1"/>
      <c r="G19915" s="13"/>
      <c r="AL19915" s="13"/>
    </row>
    <row r="19916" spans="4:39" x14ac:dyDescent="0.3">
      <c r="D19916" s="1"/>
      <c r="G19916" s="13"/>
      <c r="AL19916" s="13"/>
    </row>
    <row r="19917" spans="4:39" x14ac:dyDescent="0.3">
      <c r="D19917" s="1"/>
      <c r="G19917" s="13"/>
      <c r="AL19917" s="13"/>
    </row>
    <row r="19918" spans="4:39" x14ac:dyDescent="0.3">
      <c r="D19918" s="1"/>
      <c r="G19918" s="13"/>
      <c r="AL19918" s="13"/>
    </row>
    <row r="19919" spans="4:39" x14ac:dyDescent="0.3">
      <c r="D19919" s="1"/>
      <c r="G19919" s="13"/>
      <c r="AL19919" s="13"/>
    </row>
    <row r="19920" spans="4:39" x14ac:dyDescent="0.3">
      <c r="D19920" s="1"/>
      <c r="G19920" s="13"/>
      <c r="AL19920" s="13"/>
    </row>
    <row r="19921" spans="4:39" x14ac:dyDescent="0.3">
      <c r="D19921" s="1"/>
      <c r="G19921" s="13"/>
      <c r="AL19921" s="13"/>
    </row>
    <row r="19922" spans="4:39" x14ac:dyDescent="0.3">
      <c r="D19922" s="1"/>
      <c r="G19922" s="13"/>
      <c r="AL19922" s="13"/>
    </row>
    <row r="19923" spans="4:39" x14ac:dyDescent="0.3">
      <c r="D19923" s="1"/>
      <c r="G19923" s="13"/>
      <c r="AL19923" s="13"/>
    </row>
    <row r="19924" spans="4:39" x14ac:dyDescent="0.3">
      <c r="D19924" s="1"/>
      <c r="G19924" s="13"/>
      <c r="AL19924" s="13"/>
    </row>
    <row r="19925" spans="4:39" x14ac:dyDescent="0.3">
      <c r="D19925" s="1"/>
      <c r="G19925" s="13"/>
      <c r="AL19925" s="13"/>
    </row>
    <row r="19926" spans="4:39" x14ac:dyDescent="0.3">
      <c r="D19926" s="1"/>
      <c r="G19926" s="13"/>
      <c r="AL19926" s="13"/>
    </row>
    <row r="19927" spans="4:39" x14ac:dyDescent="0.3">
      <c r="D19927" s="1"/>
      <c r="G19927" s="13"/>
      <c r="AL19927" s="13"/>
      <c r="AM19927" s="14"/>
    </row>
    <row r="19928" spans="4:39" x14ac:dyDescent="0.3">
      <c r="D19928" s="1"/>
      <c r="G19928" s="13"/>
      <c r="AL19928" s="13"/>
    </row>
    <row r="19929" spans="4:39" x14ac:dyDescent="0.3">
      <c r="D19929" s="1"/>
      <c r="G19929" s="13"/>
      <c r="AL19929" s="13"/>
    </row>
    <row r="19930" spans="4:39" x14ac:dyDescent="0.3">
      <c r="D19930" s="1"/>
      <c r="G19930" s="13"/>
      <c r="AL19930" s="13"/>
    </row>
    <row r="19931" spans="4:39" x14ac:dyDescent="0.3">
      <c r="D19931" s="1"/>
      <c r="G19931" s="13"/>
      <c r="AL19931" s="13"/>
      <c r="AM19931" s="14"/>
    </row>
    <row r="19932" spans="4:39" x14ac:dyDescent="0.3">
      <c r="D19932" s="1"/>
      <c r="G19932" s="13"/>
      <c r="AL19932" s="13"/>
    </row>
    <row r="19933" spans="4:39" x14ac:dyDescent="0.3">
      <c r="D19933" s="1"/>
      <c r="G19933" s="13"/>
      <c r="AL19933" s="13"/>
    </row>
    <row r="19934" spans="4:39" x14ac:dyDescent="0.3">
      <c r="D19934" s="1"/>
      <c r="G19934" s="13"/>
      <c r="AL19934" s="13"/>
    </row>
    <row r="19935" spans="4:39" x14ac:dyDescent="0.3">
      <c r="D19935" s="1"/>
      <c r="G19935" s="13"/>
      <c r="AL19935" s="13"/>
    </row>
    <row r="19936" spans="4:39" x14ac:dyDescent="0.3">
      <c r="D19936" s="1"/>
      <c r="G19936" s="13"/>
      <c r="AL19936" s="13"/>
    </row>
    <row r="19937" spans="4:39" x14ac:dyDescent="0.3">
      <c r="D19937" s="1"/>
      <c r="G19937" s="13"/>
      <c r="AL19937" s="13"/>
    </row>
    <row r="19938" spans="4:39" x14ac:dyDescent="0.3">
      <c r="D19938" s="1"/>
      <c r="G19938" s="13"/>
      <c r="AL19938" s="13"/>
    </row>
    <row r="19939" spans="4:39" x14ac:dyDescent="0.3">
      <c r="D19939" s="1"/>
      <c r="G19939" s="13"/>
      <c r="AL19939" s="13"/>
    </row>
    <row r="19940" spans="4:39" x14ac:dyDescent="0.3">
      <c r="D19940" s="1"/>
      <c r="G19940" s="13"/>
      <c r="AL19940" s="13"/>
    </row>
    <row r="19941" spans="4:39" x14ac:dyDescent="0.3">
      <c r="D19941" s="1"/>
      <c r="G19941" s="13"/>
      <c r="AL19941" s="13"/>
    </row>
    <row r="19942" spans="4:39" x14ac:dyDescent="0.3">
      <c r="D19942" s="1"/>
      <c r="G19942" s="13"/>
      <c r="AL19942" s="13"/>
    </row>
    <row r="19943" spans="4:39" x14ac:dyDescent="0.3">
      <c r="D19943" s="1"/>
      <c r="G19943" s="13"/>
      <c r="AL19943" s="13"/>
    </row>
    <row r="19944" spans="4:39" x14ac:dyDescent="0.3">
      <c r="D19944" s="1"/>
      <c r="G19944" s="13"/>
      <c r="AL19944" s="13"/>
    </row>
    <row r="19945" spans="4:39" x14ac:dyDescent="0.3">
      <c r="D19945" s="1"/>
      <c r="G19945" s="13"/>
      <c r="AL19945" s="13"/>
    </row>
    <row r="19946" spans="4:39" x14ac:dyDescent="0.3">
      <c r="D19946" s="1"/>
      <c r="G19946" s="13"/>
      <c r="AL19946" s="13"/>
      <c r="AM19946" s="14"/>
    </row>
    <row r="19947" spans="4:39" x14ac:dyDescent="0.3">
      <c r="D19947" s="1"/>
      <c r="G19947" s="13"/>
      <c r="AL19947" s="13"/>
    </row>
    <row r="19948" spans="4:39" x14ac:dyDescent="0.3">
      <c r="D19948" s="1"/>
      <c r="G19948" s="13"/>
      <c r="AL19948" s="13"/>
    </row>
    <row r="19949" spans="4:39" x14ac:dyDescent="0.3">
      <c r="D19949" s="1"/>
      <c r="G19949" s="13"/>
      <c r="AL19949" s="13"/>
    </row>
    <row r="19950" spans="4:39" x14ac:dyDescent="0.3">
      <c r="D19950" s="1"/>
      <c r="G19950" s="13"/>
      <c r="AL19950" s="13"/>
    </row>
    <row r="19951" spans="4:39" x14ac:dyDescent="0.3">
      <c r="D19951" s="1"/>
      <c r="G19951" s="13"/>
      <c r="AL19951" s="13"/>
    </row>
    <row r="19952" spans="4:39" x14ac:dyDescent="0.3">
      <c r="D19952" s="1"/>
      <c r="G19952" s="13"/>
      <c r="AL19952" s="13"/>
    </row>
    <row r="19953" spans="4:38" x14ac:dyDescent="0.3">
      <c r="D19953" s="1"/>
      <c r="G19953" s="13"/>
      <c r="AL19953" s="13"/>
    </row>
    <row r="19954" spans="4:38" x14ac:dyDescent="0.3">
      <c r="D19954" s="1"/>
      <c r="G19954" s="13"/>
      <c r="AL19954" s="13"/>
    </row>
    <row r="19955" spans="4:38" x14ac:dyDescent="0.3">
      <c r="D19955" s="1"/>
      <c r="G19955" s="13"/>
      <c r="AL19955" s="13"/>
    </row>
    <row r="19956" spans="4:38" x14ac:dyDescent="0.3">
      <c r="D19956" s="1"/>
      <c r="G19956" s="13"/>
      <c r="AL19956" s="13"/>
    </row>
    <row r="19957" spans="4:38" x14ac:dyDescent="0.3">
      <c r="D19957" s="1"/>
      <c r="G19957" s="13"/>
      <c r="AL19957" s="13"/>
    </row>
    <row r="19958" spans="4:38" x14ac:dyDescent="0.3">
      <c r="D19958" s="1"/>
      <c r="G19958" s="13"/>
      <c r="AL19958" s="13"/>
    </row>
    <row r="19959" spans="4:38" x14ac:dyDescent="0.3">
      <c r="D19959" s="1"/>
      <c r="G19959" s="13"/>
      <c r="AL19959" s="13"/>
    </row>
    <row r="19960" spans="4:38" x14ac:dyDescent="0.3">
      <c r="D19960" s="1"/>
      <c r="G19960" s="13"/>
      <c r="AL19960" s="13"/>
    </row>
    <row r="19961" spans="4:38" x14ac:dyDescent="0.3">
      <c r="D19961" s="1"/>
      <c r="G19961" s="13"/>
      <c r="AL19961" s="13"/>
    </row>
    <row r="19962" spans="4:38" x14ac:dyDescent="0.3">
      <c r="D19962" s="1"/>
      <c r="G19962" s="13"/>
      <c r="AL19962" s="13"/>
    </row>
    <row r="19963" spans="4:38" x14ac:dyDescent="0.3">
      <c r="D19963" s="1"/>
      <c r="G19963" s="13"/>
      <c r="AL19963" s="13"/>
    </row>
    <row r="19964" spans="4:38" x14ac:dyDescent="0.3">
      <c r="D19964" s="1"/>
      <c r="G19964" s="13"/>
      <c r="AL19964" s="13"/>
    </row>
    <row r="19965" spans="4:38" x14ac:dyDescent="0.3">
      <c r="D19965" s="1"/>
      <c r="G19965" s="13"/>
      <c r="AL19965" s="13"/>
    </row>
    <row r="19966" spans="4:38" x14ac:dyDescent="0.3">
      <c r="D19966" s="1"/>
      <c r="G19966" s="13"/>
      <c r="AL19966" s="13"/>
    </row>
    <row r="19967" spans="4:38" x14ac:dyDescent="0.3">
      <c r="D19967" s="1"/>
      <c r="G19967" s="13"/>
      <c r="AL19967" s="13"/>
    </row>
    <row r="19968" spans="4:38" x14ac:dyDescent="0.3">
      <c r="D19968" s="1"/>
      <c r="G19968" s="13"/>
      <c r="AL19968" s="13"/>
    </row>
    <row r="19969" spans="4:39" x14ac:dyDescent="0.3">
      <c r="D19969" s="1"/>
      <c r="G19969" s="13"/>
      <c r="AL19969" s="13"/>
    </row>
    <row r="19970" spans="4:39" x14ac:dyDescent="0.3">
      <c r="D19970" s="1"/>
      <c r="G19970" s="13"/>
      <c r="AL19970" s="13"/>
      <c r="AM19970" s="14"/>
    </row>
    <row r="19971" spans="4:39" x14ac:dyDescent="0.3">
      <c r="D19971" s="1"/>
      <c r="G19971" s="13"/>
      <c r="AL19971" s="13"/>
    </row>
    <row r="19972" spans="4:39" x14ac:dyDescent="0.3">
      <c r="D19972" s="1"/>
      <c r="G19972" s="13"/>
      <c r="AL19972" s="13"/>
    </row>
    <row r="19973" spans="4:39" x14ac:dyDescent="0.3">
      <c r="D19973" s="1"/>
      <c r="G19973" s="13"/>
      <c r="AL19973" s="13"/>
    </row>
    <row r="19974" spans="4:39" x14ac:dyDescent="0.3">
      <c r="D19974" s="1"/>
      <c r="G19974" s="13"/>
      <c r="AL19974" s="13"/>
      <c r="AM19974" s="14"/>
    </row>
    <row r="19975" spans="4:39" x14ac:dyDescent="0.3">
      <c r="D19975" s="1"/>
      <c r="G19975" s="13"/>
      <c r="AL19975" s="13"/>
    </row>
    <row r="19976" spans="4:39" x14ac:dyDescent="0.3">
      <c r="D19976" s="1"/>
      <c r="G19976" s="13"/>
      <c r="AL19976" s="13"/>
      <c r="AM19976" s="14"/>
    </row>
    <row r="19977" spans="4:39" x14ac:dyDescent="0.3">
      <c r="D19977" s="1"/>
      <c r="G19977" s="13"/>
      <c r="AL19977" s="13"/>
    </row>
    <row r="19978" spans="4:39" x14ac:dyDescent="0.3">
      <c r="D19978" s="1"/>
      <c r="G19978" s="13"/>
      <c r="AL19978" s="13"/>
    </row>
    <row r="19979" spans="4:39" x14ac:dyDescent="0.3">
      <c r="D19979" s="1"/>
      <c r="G19979" s="13"/>
      <c r="AL19979" s="13"/>
    </row>
    <row r="19980" spans="4:39" x14ac:dyDescent="0.3">
      <c r="D19980" s="1"/>
      <c r="G19980" s="13"/>
      <c r="AL19980" s="13"/>
    </row>
    <row r="19981" spans="4:39" x14ac:dyDescent="0.3">
      <c r="D19981" s="1"/>
      <c r="G19981" s="13"/>
      <c r="AL19981" s="13"/>
    </row>
    <row r="19982" spans="4:39" x14ac:dyDescent="0.3">
      <c r="D19982" s="1"/>
      <c r="G19982" s="13"/>
      <c r="AL19982" s="13"/>
    </row>
    <row r="19983" spans="4:39" x14ac:dyDescent="0.3">
      <c r="D19983" s="1"/>
      <c r="G19983" s="13"/>
      <c r="AL19983" s="13"/>
      <c r="AM19983" s="14"/>
    </row>
    <row r="19984" spans="4:39" x14ac:dyDescent="0.3">
      <c r="D19984" s="1"/>
      <c r="G19984" s="13"/>
      <c r="AL19984" s="13"/>
      <c r="AM19984" s="14"/>
    </row>
    <row r="19985" spans="4:39" x14ac:dyDescent="0.3">
      <c r="D19985" s="1"/>
      <c r="G19985" s="13"/>
      <c r="AL19985" s="13"/>
    </row>
    <row r="19986" spans="4:39" x14ac:dyDescent="0.3">
      <c r="D19986" s="1"/>
      <c r="G19986" s="13"/>
      <c r="AL19986" s="13"/>
    </row>
    <row r="19987" spans="4:39" x14ac:dyDescent="0.3">
      <c r="D19987" s="1"/>
      <c r="G19987" s="13"/>
      <c r="AL19987" s="13"/>
    </row>
    <row r="19988" spans="4:39" x14ac:dyDescent="0.3">
      <c r="D19988" s="1"/>
      <c r="G19988" s="13"/>
      <c r="AL19988" s="13"/>
    </row>
    <row r="19989" spans="4:39" x14ac:dyDescent="0.3">
      <c r="D19989" s="1"/>
      <c r="G19989" s="13"/>
      <c r="AL19989" s="13"/>
    </row>
    <row r="19990" spans="4:39" x14ac:dyDescent="0.3">
      <c r="D19990" s="1"/>
      <c r="G19990" s="13"/>
      <c r="AL19990" s="13"/>
    </row>
    <row r="19991" spans="4:39" x14ac:dyDescent="0.3">
      <c r="D19991" s="1"/>
      <c r="G19991" s="13"/>
      <c r="AL19991" s="13"/>
    </row>
    <row r="19992" spans="4:39" x14ac:dyDescent="0.3">
      <c r="D19992" s="1"/>
      <c r="G19992" s="13"/>
      <c r="AL19992" s="13"/>
    </row>
    <row r="19993" spans="4:39" x14ac:dyDescent="0.3">
      <c r="D19993" s="1"/>
      <c r="G19993" s="13"/>
      <c r="AL19993" s="13"/>
    </row>
    <row r="19994" spans="4:39" x14ac:dyDescent="0.3">
      <c r="D19994" s="1"/>
      <c r="G19994" s="13"/>
      <c r="AL19994" s="13"/>
    </row>
    <row r="19995" spans="4:39" x14ac:dyDescent="0.3">
      <c r="D19995" s="1"/>
      <c r="G19995" s="13"/>
      <c r="AL19995" s="13"/>
    </row>
    <row r="19996" spans="4:39" x14ac:dyDescent="0.3">
      <c r="D19996" s="1"/>
      <c r="G19996" s="13"/>
      <c r="AL19996" s="13"/>
    </row>
    <row r="19997" spans="4:39" x14ac:dyDescent="0.3">
      <c r="D19997" s="1"/>
      <c r="G19997" s="13"/>
      <c r="AL19997" s="13"/>
    </row>
    <row r="19998" spans="4:39" x14ac:dyDescent="0.3">
      <c r="D19998" s="1"/>
      <c r="G19998" s="13"/>
      <c r="AL19998" s="13"/>
    </row>
    <row r="19999" spans="4:39" x14ac:dyDescent="0.3">
      <c r="D19999" s="1"/>
      <c r="G19999" s="13"/>
      <c r="AL19999" s="13"/>
    </row>
    <row r="20000" spans="4:39" x14ac:dyDescent="0.3">
      <c r="D20000" s="1"/>
      <c r="G20000" s="13"/>
      <c r="AL20000" s="13"/>
      <c r="AM20000" s="14"/>
    </row>
    <row r="20001" spans="4:39" x14ac:dyDescent="0.3">
      <c r="D20001" s="1"/>
      <c r="G20001" s="13"/>
      <c r="AL20001" s="13"/>
      <c r="AM20001" s="14"/>
    </row>
    <row r="20002" spans="4:39" x14ac:dyDescent="0.3">
      <c r="D20002" s="1"/>
      <c r="G20002" s="13"/>
      <c r="AL20002" s="13"/>
    </row>
    <row r="20003" spans="4:39" x14ac:dyDescent="0.3">
      <c r="D20003" s="1"/>
      <c r="G20003" s="13"/>
      <c r="AL20003" s="13"/>
    </row>
    <row r="20004" spans="4:39" x14ac:dyDescent="0.3">
      <c r="D20004" s="1"/>
      <c r="G20004" s="13"/>
      <c r="AL20004" s="13"/>
    </row>
    <row r="20005" spans="4:39" x14ac:dyDescent="0.3">
      <c r="D20005" s="1"/>
      <c r="G20005" s="13"/>
      <c r="AL20005" s="13"/>
    </row>
    <row r="20006" spans="4:39" x14ac:dyDescent="0.3">
      <c r="D20006" s="1"/>
      <c r="G20006" s="13"/>
      <c r="AL20006" s="13"/>
    </row>
    <row r="20007" spans="4:39" x14ac:dyDescent="0.3">
      <c r="D20007" s="1"/>
      <c r="G20007" s="13"/>
      <c r="AL20007" s="13"/>
    </row>
    <row r="20008" spans="4:39" x14ac:dyDescent="0.3">
      <c r="D20008" s="1"/>
      <c r="G20008" s="13"/>
      <c r="AL20008" s="13"/>
    </row>
    <row r="20009" spans="4:39" x14ac:dyDescent="0.3">
      <c r="D20009" s="1"/>
      <c r="G20009" s="13"/>
      <c r="AL20009" s="13"/>
    </row>
    <row r="20010" spans="4:39" x14ac:dyDescent="0.3">
      <c r="D20010" s="1"/>
      <c r="G20010" s="13"/>
      <c r="AL20010" s="13"/>
    </row>
    <row r="20011" spans="4:39" x14ac:dyDescent="0.3">
      <c r="D20011" s="1"/>
      <c r="G20011" s="13"/>
      <c r="AL20011" s="13"/>
    </row>
    <row r="20012" spans="4:39" x14ac:dyDescent="0.3">
      <c r="D20012" s="1"/>
      <c r="G20012" s="13"/>
      <c r="AL20012" s="13"/>
    </row>
    <row r="20013" spans="4:39" x14ac:dyDescent="0.3">
      <c r="D20013" s="1"/>
      <c r="G20013" s="13"/>
      <c r="AL20013" s="13"/>
    </row>
    <row r="20014" spans="4:39" x14ac:dyDescent="0.3">
      <c r="D20014" s="1"/>
      <c r="G20014" s="13"/>
      <c r="AL20014" s="13"/>
      <c r="AM20014" s="14"/>
    </row>
    <row r="20015" spans="4:39" x14ac:dyDescent="0.3">
      <c r="D20015" s="1"/>
      <c r="G20015" s="13"/>
      <c r="AL20015" s="13"/>
    </row>
    <row r="20016" spans="4:39" x14ac:dyDescent="0.3">
      <c r="D20016" s="1"/>
      <c r="G20016" s="13"/>
      <c r="AL20016" s="13"/>
    </row>
    <row r="20017" spans="4:38" x14ac:dyDescent="0.3">
      <c r="D20017" s="1"/>
      <c r="G20017" s="13"/>
      <c r="AL20017" s="13"/>
    </row>
    <row r="20018" spans="4:38" x14ac:dyDescent="0.3">
      <c r="D20018" s="1"/>
      <c r="G20018" s="13"/>
      <c r="AL20018" s="13"/>
    </row>
    <row r="20019" spans="4:38" x14ac:dyDescent="0.3">
      <c r="D20019" s="1"/>
      <c r="G20019" s="13"/>
      <c r="AL20019" s="13"/>
    </row>
    <row r="20020" spans="4:38" x14ac:dyDescent="0.3">
      <c r="D20020" s="1"/>
      <c r="G20020" s="13"/>
      <c r="AL20020" s="13"/>
    </row>
    <row r="20021" spans="4:38" x14ac:dyDescent="0.3">
      <c r="D20021" s="1"/>
      <c r="G20021" s="13"/>
      <c r="AL20021" s="13"/>
    </row>
    <row r="20022" spans="4:38" x14ac:dyDescent="0.3">
      <c r="D20022" s="1"/>
      <c r="G20022" s="13"/>
      <c r="AL20022" s="13"/>
    </row>
    <row r="20023" spans="4:38" x14ac:dyDescent="0.3">
      <c r="D20023" s="1"/>
      <c r="G20023" s="13"/>
      <c r="AL20023" s="13"/>
    </row>
    <row r="20024" spans="4:38" x14ac:dyDescent="0.3">
      <c r="D20024" s="1"/>
      <c r="G20024" s="13"/>
      <c r="AL20024" s="13"/>
    </row>
    <row r="20025" spans="4:38" x14ac:dyDescent="0.3">
      <c r="D20025" s="1"/>
      <c r="G20025" s="13"/>
      <c r="AL20025" s="13"/>
    </row>
    <row r="20026" spans="4:38" x14ac:dyDescent="0.3">
      <c r="D20026" s="1"/>
      <c r="G20026" s="13"/>
      <c r="AL20026" s="13"/>
    </row>
    <row r="20027" spans="4:38" x14ac:dyDescent="0.3">
      <c r="D20027" s="1"/>
      <c r="G20027" s="13"/>
      <c r="AL20027" s="13"/>
    </row>
    <row r="20028" spans="4:38" x14ac:dyDescent="0.3">
      <c r="D20028" s="1"/>
      <c r="G20028" s="13"/>
      <c r="AL20028" s="13"/>
    </row>
    <row r="20029" spans="4:38" x14ac:dyDescent="0.3">
      <c r="D20029" s="1"/>
      <c r="G20029" s="13"/>
      <c r="AL20029" s="13"/>
    </row>
    <row r="20030" spans="4:38" x14ac:dyDescent="0.3">
      <c r="D20030" s="1"/>
      <c r="G20030" s="13"/>
      <c r="AL20030" s="13"/>
    </row>
    <row r="20031" spans="4:38" x14ac:dyDescent="0.3">
      <c r="D20031" s="1"/>
      <c r="G20031" s="13"/>
      <c r="AL20031" s="13"/>
    </row>
    <row r="20032" spans="4:38" x14ac:dyDescent="0.3">
      <c r="D20032" s="1"/>
      <c r="G20032" s="13"/>
      <c r="AL20032" s="13"/>
    </row>
    <row r="20033" spans="4:39" x14ac:dyDescent="0.3">
      <c r="D20033" s="1"/>
      <c r="G20033" s="13"/>
      <c r="AL20033" s="13"/>
    </row>
    <row r="20034" spans="4:39" x14ac:dyDescent="0.3">
      <c r="D20034" s="1"/>
      <c r="G20034" s="13"/>
      <c r="AL20034" s="13"/>
    </row>
    <row r="20035" spans="4:39" x14ac:dyDescent="0.3">
      <c r="D20035" s="1"/>
      <c r="G20035" s="13"/>
      <c r="AL20035" s="13"/>
    </row>
    <row r="20036" spans="4:39" x14ac:dyDescent="0.3">
      <c r="D20036" s="1"/>
      <c r="G20036" s="13"/>
      <c r="AL20036" s="13"/>
    </row>
    <row r="20037" spans="4:39" x14ac:dyDescent="0.3">
      <c r="D20037" s="1"/>
      <c r="G20037" s="13"/>
      <c r="AL20037" s="13"/>
      <c r="AM20037" s="14"/>
    </row>
    <row r="20038" spans="4:39" x14ac:dyDescent="0.3">
      <c r="D20038" s="1"/>
      <c r="G20038" s="13"/>
      <c r="AL20038" s="13"/>
    </row>
    <row r="20039" spans="4:39" x14ac:dyDescent="0.3">
      <c r="D20039" s="1"/>
      <c r="G20039" s="13"/>
      <c r="AL20039" s="13"/>
    </row>
    <row r="20040" spans="4:39" x14ac:dyDescent="0.3">
      <c r="D20040" s="1"/>
      <c r="G20040" s="13"/>
      <c r="AL20040" s="13"/>
      <c r="AM20040" s="14"/>
    </row>
    <row r="20041" spans="4:39" x14ac:dyDescent="0.3">
      <c r="D20041" s="1"/>
      <c r="G20041" s="13"/>
      <c r="AL20041" s="13"/>
    </row>
    <row r="20042" spans="4:39" x14ac:dyDescent="0.3">
      <c r="D20042" s="1"/>
      <c r="G20042" s="13"/>
      <c r="AL20042" s="13"/>
    </row>
    <row r="20043" spans="4:39" x14ac:dyDescent="0.3">
      <c r="D20043" s="1"/>
      <c r="G20043" s="13"/>
      <c r="AL20043" s="13"/>
    </row>
    <row r="20044" spans="4:39" x14ac:dyDescent="0.3">
      <c r="D20044" s="1"/>
      <c r="G20044" s="13"/>
      <c r="AL20044" s="13"/>
    </row>
    <row r="20045" spans="4:39" x14ac:dyDescent="0.3">
      <c r="D20045" s="1"/>
      <c r="G20045" s="13"/>
      <c r="AL20045" s="13"/>
    </row>
    <row r="20046" spans="4:39" x14ac:dyDescent="0.3">
      <c r="D20046" s="1"/>
      <c r="G20046" s="13"/>
      <c r="AL20046" s="13"/>
    </row>
    <row r="20047" spans="4:39" x14ac:dyDescent="0.3">
      <c r="D20047" s="1"/>
      <c r="G20047" s="13"/>
      <c r="AL20047" s="13"/>
    </row>
    <row r="20048" spans="4:39" x14ac:dyDescent="0.3">
      <c r="D20048" s="1"/>
      <c r="G20048" s="13"/>
      <c r="AL20048" s="13"/>
    </row>
    <row r="20049" spans="4:39" x14ac:dyDescent="0.3">
      <c r="D20049" s="1"/>
      <c r="G20049" s="13"/>
      <c r="AL20049" s="13"/>
    </row>
    <row r="20050" spans="4:39" x14ac:dyDescent="0.3">
      <c r="D20050" s="1"/>
      <c r="G20050" s="13"/>
      <c r="AL20050" s="13"/>
    </row>
    <row r="20051" spans="4:39" x14ac:dyDescent="0.3">
      <c r="D20051" s="1"/>
      <c r="G20051" s="13"/>
      <c r="AL20051" s="13"/>
    </row>
    <row r="20052" spans="4:39" x14ac:dyDescent="0.3">
      <c r="D20052" s="1"/>
      <c r="G20052" s="13"/>
      <c r="AL20052" s="13"/>
    </row>
    <row r="20053" spans="4:39" x14ac:dyDescent="0.3">
      <c r="D20053" s="1"/>
      <c r="G20053" s="13"/>
      <c r="AL20053" s="13"/>
    </row>
    <row r="20054" spans="4:39" x14ac:dyDescent="0.3">
      <c r="D20054" s="1"/>
      <c r="G20054" s="13"/>
      <c r="AL20054" s="13"/>
    </row>
    <row r="20055" spans="4:39" x14ac:dyDescent="0.3">
      <c r="D20055" s="1"/>
      <c r="G20055" s="13"/>
      <c r="AL20055" s="13"/>
    </row>
    <row r="20056" spans="4:39" x14ac:dyDescent="0.3">
      <c r="D20056" s="1"/>
      <c r="G20056" s="13"/>
      <c r="AL20056" s="13"/>
      <c r="AM20056" s="14"/>
    </row>
    <row r="20057" spans="4:39" x14ac:dyDescent="0.3">
      <c r="D20057" s="1"/>
      <c r="G20057" s="13"/>
      <c r="AL20057" s="13"/>
    </row>
    <row r="20058" spans="4:39" x14ac:dyDescent="0.3">
      <c r="D20058" s="1"/>
      <c r="G20058" s="13"/>
      <c r="AL20058" s="13"/>
    </row>
    <row r="20059" spans="4:39" x14ac:dyDescent="0.3">
      <c r="D20059" s="1"/>
      <c r="G20059" s="13"/>
      <c r="AL20059" s="13"/>
    </row>
    <row r="20060" spans="4:39" x14ac:dyDescent="0.3">
      <c r="D20060" s="1"/>
      <c r="G20060" s="13"/>
      <c r="AL20060" s="13"/>
    </row>
    <row r="20061" spans="4:39" x14ac:dyDescent="0.3">
      <c r="D20061" s="1"/>
      <c r="G20061" s="13"/>
      <c r="AL20061" s="13"/>
    </row>
    <row r="20062" spans="4:39" x14ac:dyDescent="0.3">
      <c r="D20062" s="1"/>
      <c r="G20062" s="13"/>
      <c r="AL20062" s="13"/>
    </row>
    <row r="20063" spans="4:39" x14ac:dyDescent="0.3">
      <c r="D20063" s="1"/>
      <c r="G20063" s="13"/>
      <c r="AL20063" s="13"/>
      <c r="AM20063" s="14"/>
    </row>
    <row r="20064" spans="4:39" x14ac:dyDescent="0.3">
      <c r="D20064" s="1"/>
      <c r="G20064" s="13"/>
      <c r="AL20064" s="13"/>
    </row>
    <row r="20065" spans="4:39" x14ac:dyDescent="0.3">
      <c r="D20065" s="1"/>
      <c r="G20065" s="13"/>
      <c r="AL20065" s="13"/>
    </row>
    <row r="20066" spans="4:39" x14ac:dyDescent="0.3">
      <c r="D20066" s="1"/>
      <c r="G20066" s="13"/>
      <c r="AL20066" s="13"/>
    </row>
    <row r="20067" spans="4:39" x14ac:dyDescent="0.3">
      <c r="D20067" s="1"/>
      <c r="G20067" s="13"/>
      <c r="AL20067" s="13"/>
    </row>
    <row r="20068" spans="4:39" x14ac:dyDescent="0.3">
      <c r="D20068" s="1"/>
      <c r="G20068" s="13"/>
      <c r="AL20068" s="13"/>
    </row>
    <row r="20069" spans="4:39" x14ac:dyDescent="0.3">
      <c r="D20069" s="1"/>
      <c r="G20069" s="13"/>
      <c r="AL20069" s="13"/>
    </row>
    <row r="20070" spans="4:39" x14ac:dyDescent="0.3">
      <c r="D20070" s="1"/>
      <c r="G20070" s="13"/>
      <c r="AL20070" s="13"/>
    </row>
    <row r="20071" spans="4:39" x14ac:dyDescent="0.3">
      <c r="D20071" s="1"/>
      <c r="G20071" s="13"/>
      <c r="AL20071" s="13"/>
    </row>
    <row r="20072" spans="4:39" x14ac:dyDescent="0.3">
      <c r="D20072" s="1"/>
      <c r="G20072" s="13"/>
      <c r="AL20072" s="13"/>
    </row>
    <row r="20073" spans="4:39" x14ac:dyDescent="0.3">
      <c r="D20073" s="1"/>
      <c r="G20073" s="13"/>
      <c r="AL20073" s="13"/>
    </row>
    <row r="20074" spans="4:39" x14ac:dyDescent="0.3">
      <c r="D20074" s="1"/>
      <c r="G20074" s="13"/>
      <c r="AL20074" s="13"/>
    </row>
    <row r="20075" spans="4:39" x14ac:dyDescent="0.3">
      <c r="D20075" s="1"/>
      <c r="G20075" s="13"/>
      <c r="AL20075" s="13"/>
    </row>
    <row r="20076" spans="4:39" x14ac:dyDescent="0.3">
      <c r="D20076" s="1"/>
      <c r="G20076" s="13"/>
      <c r="AL20076" s="13"/>
    </row>
    <row r="20077" spans="4:39" x14ac:dyDescent="0.3">
      <c r="D20077" s="1"/>
      <c r="G20077" s="13"/>
      <c r="AL20077" s="13"/>
    </row>
    <row r="20078" spans="4:39" x14ac:dyDescent="0.3">
      <c r="D20078" s="1"/>
      <c r="G20078" s="13"/>
      <c r="AL20078" s="13"/>
    </row>
    <row r="20079" spans="4:39" x14ac:dyDescent="0.3">
      <c r="D20079" s="1"/>
      <c r="G20079" s="13"/>
      <c r="AL20079" s="13"/>
      <c r="AM20079" s="14"/>
    </row>
    <row r="20080" spans="4:39" x14ac:dyDescent="0.3">
      <c r="D20080" s="1"/>
      <c r="G20080" s="13"/>
      <c r="AL20080" s="13"/>
    </row>
    <row r="20081" spans="4:39" x14ac:dyDescent="0.3">
      <c r="D20081" s="1"/>
      <c r="G20081" s="13"/>
      <c r="AL20081" s="13"/>
    </row>
    <row r="20082" spans="4:39" x14ac:dyDescent="0.3">
      <c r="D20082" s="1"/>
      <c r="G20082" s="13"/>
      <c r="AL20082" s="13"/>
      <c r="AM20082" s="14"/>
    </row>
    <row r="20083" spans="4:39" x14ac:dyDescent="0.3">
      <c r="D20083" s="1"/>
      <c r="G20083" s="13"/>
      <c r="AL20083" s="13"/>
    </row>
    <row r="20084" spans="4:39" x14ac:dyDescent="0.3">
      <c r="D20084" s="1"/>
      <c r="G20084" s="13"/>
      <c r="AL20084" s="13"/>
    </row>
    <row r="20085" spans="4:39" x14ac:dyDescent="0.3">
      <c r="D20085" s="1"/>
      <c r="G20085" s="13"/>
      <c r="AL20085" s="13"/>
    </row>
    <row r="20086" spans="4:39" x14ac:dyDescent="0.3">
      <c r="D20086" s="1"/>
      <c r="G20086" s="13"/>
      <c r="AL20086" s="13"/>
    </row>
    <row r="20087" spans="4:39" x14ac:dyDescent="0.3">
      <c r="D20087" s="1"/>
      <c r="G20087" s="13"/>
      <c r="AL20087" s="13"/>
    </row>
    <row r="20088" spans="4:39" x14ac:dyDescent="0.3">
      <c r="D20088" s="1"/>
      <c r="G20088" s="13"/>
      <c r="AL20088" s="13"/>
      <c r="AM20088" s="14"/>
    </row>
    <row r="20089" spans="4:39" x14ac:dyDescent="0.3">
      <c r="D20089" s="1"/>
      <c r="G20089" s="13"/>
      <c r="AL20089" s="13"/>
    </row>
    <row r="20090" spans="4:39" x14ac:dyDescent="0.3">
      <c r="D20090" s="1"/>
      <c r="G20090" s="13"/>
      <c r="AL20090" s="13"/>
    </row>
    <row r="20091" spans="4:39" x14ac:dyDescent="0.3">
      <c r="D20091" s="1"/>
      <c r="G20091" s="13"/>
      <c r="AL20091" s="13"/>
    </row>
    <row r="20092" spans="4:39" x14ac:dyDescent="0.3">
      <c r="D20092" s="1"/>
      <c r="G20092" s="13"/>
      <c r="AL20092" s="13"/>
    </row>
    <row r="20093" spans="4:39" x14ac:dyDescent="0.3">
      <c r="D20093" s="1"/>
      <c r="G20093" s="13"/>
      <c r="AL20093" s="13"/>
      <c r="AM20093" s="14"/>
    </row>
    <row r="20094" spans="4:39" x14ac:dyDescent="0.3">
      <c r="D20094" s="1"/>
      <c r="G20094" s="13"/>
      <c r="AL20094" s="13"/>
    </row>
    <row r="20095" spans="4:39" x14ac:dyDescent="0.3">
      <c r="D20095" s="1"/>
      <c r="G20095" s="13"/>
      <c r="AL20095" s="13"/>
    </row>
    <row r="20096" spans="4:39" x14ac:dyDescent="0.3">
      <c r="D20096" s="1"/>
      <c r="G20096" s="13"/>
      <c r="AL20096" s="13"/>
    </row>
    <row r="20097" spans="4:39" x14ac:dyDescent="0.3">
      <c r="D20097" s="1"/>
      <c r="G20097" s="13"/>
      <c r="AL20097" s="13"/>
    </row>
    <row r="20098" spans="4:39" x14ac:dyDescent="0.3">
      <c r="D20098" s="1"/>
      <c r="G20098" s="13"/>
      <c r="AL20098" s="13"/>
    </row>
    <row r="20099" spans="4:39" x14ac:dyDescent="0.3">
      <c r="D20099" s="1"/>
      <c r="G20099" s="13"/>
      <c r="AL20099" s="13"/>
    </row>
    <row r="20100" spans="4:39" x14ac:dyDescent="0.3">
      <c r="D20100" s="1"/>
      <c r="G20100" s="13"/>
      <c r="AL20100" s="13"/>
    </row>
    <row r="20101" spans="4:39" x14ac:dyDescent="0.3">
      <c r="D20101" s="1"/>
      <c r="G20101" s="13"/>
      <c r="AL20101" s="13"/>
    </row>
    <row r="20102" spans="4:39" x14ac:dyDescent="0.3">
      <c r="D20102" s="1"/>
      <c r="G20102" s="13"/>
      <c r="AL20102" s="13"/>
    </row>
    <row r="20103" spans="4:39" x14ac:dyDescent="0.3">
      <c r="D20103" s="1"/>
      <c r="G20103" s="13"/>
      <c r="AL20103" s="13"/>
    </row>
    <row r="20104" spans="4:39" x14ac:dyDescent="0.3">
      <c r="D20104" s="1"/>
      <c r="G20104" s="13"/>
      <c r="AL20104" s="13"/>
    </row>
    <row r="20105" spans="4:39" x14ac:dyDescent="0.3">
      <c r="D20105" s="1"/>
      <c r="G20105" s="13"/>
      <c r="AL20105" s="13"/>
      <c r="AM20105" s="14"/>
    </row>
    <row r="20106" spans="4:39" x14ac:dyDescent="0.3">
      <c r="D20106" s="1"/>
      <c r="G20106" s="13"/>
      <c r="AL20106" s="13"/>
    </row>
    <row r="20107" spans="4:39" x14ac:dyDescent="0.3">
      <c r="D20107" s="1"/>
      <c r="G20107" s="13"/>
      <c r="AL20107" s="13"/>
    </row>
    <row r="20108" spans="4:39" x14ac:dyDescent="0.3">
      <c r="D20108" s="1"/>
      <c r="G20108" s="13"/>
      <c r="AL20108" s="13"/>
    </row>
    <row r="20109" spans="4:39" x14ac:dyDescent="0.3">
      <c r="D20109" s="1"/>
      <c r="G20109" s="13"/>
      <c r="AL20109" s="13"/>
    </row>
    <row r="20110" spans="4:39" x14ac:dyDescent="0.3">
      <c r="D20110" s="1"/>
      <c r="G20110" s="13"/>
      <c r="AL20110" s="13"/>
    </row>
    <row r="20111" spans="4:39" x14ac:dyDescent="0.3">
      <c r="D20111" s="1"/>
      <c r="G20111" s="13"/>
      <c r="AL20111" s="13"/>
    </row>
    <row r="20112" spans="4:39" x14ac:dyDescent="0.3">
      <c r="D20112" s="1"/>
      <c r="G20112" s="13"/>
      <c r="AL20112" s="13"/>
    </row>
    <row r="20113" spans="4:39" x14ac:dyDescent="0.3">
      <c r="D20113" s="1"/>
      <c r="G20113" s="13"/>
      <c r="AL20113" s="13"/>
    </row>
    <row r="20114" spans="4:39" x14ac:dyDescent="0.3">
      <c r="D20114" s="1"/>
      <c r="G20114" s="13"/>
      <c r="AL20114" s="13"/>
      <c r="AM20114" s="14"/>
    </row>
    <row r="20115" spans="4:39" x14ac:dyDescent="0.3">
      <c r="D20115" s="1"/>
      <c r="G20115" s="13"/>
      <c r="AL20115" s="13"/>
    </row>
    <row r="20116" spans="4:39" x14ac:dyDescent="0.3">
      <c r="D20116" s="1"/>
      <c r="G20116" s="13"/>
      <c r="AL20116" s="13"/>
    </row>
    <row r="20117" spans="4:39" x14ac:dyDescent="0.3">
      <c r="D20117" s="1"/>
      <c r="G20117" s="13"/>
      <c r="AL20117" s="13"/>
    </row>
    <row r="20118" spans="4:39" x14ac:dyDescent="0.3">
      <c r="D20118" s="1"/>
      <c r="G20118" s="13"/>
      <c r="AL20118" s="13"/>
    </row>
    <row r="20119" spans="4:39" x14ac:dyDescent="0.3">
      <c r="D20119" s="1"/>
      <c r="G20119" s="13"/>
      <c r="AL20119" s="13"/>
    </row>
    <row r="20120" spans="4:39" x14ac:dyDescent="0.3">
      <c r="D20120" s="1"/>
      <c r="G20120" s="13"/>
      <c r="AL20120" s="13"/>
      <c r="AM20120" s="14"/>
    </row>
    <row r="20121" spans="4:39" x14ac:dyDescent="0.3">
      <c r="D20121" s="1"/>
      <c r="G20121" s="13"/>
      <c r="AL20121" s="13"/>
    </row>
    <row r="20122" spans="4:39" x14ac:dyDescent="0.3">
      <c r="D20122" s="1"/>
      <c r="G20122" s="13"/>
      <c r="AL20122" s="13"/>
    </row>
    <row r="20123" spans="4:39" x14ac:dyDescent="0.3">
      <c r="D20123" s="1"/>
      <c r="G20123" s="13"/>
      <c r="AL20123" s="13"/>
    </row>
    <row r="20124" spans="4:39" x14ac:dyDescent="0.3">
      <c r="D20124" s="1"/>
      <c r="G20124" s="13"/>
      <c r="AL20124" s="13"/>
    </row>
    <row r="20125" spans="4:39" x14ac:dyDescent="0.3">
      <c r="D20125" s="1"/>
      <c r="G20125" s="13"/>
      <c r="AL20125" s="13"/>
    </row>
    <row r="20126" spans="4:39" x14ac:dyDescent="0.3">
      <c r="D20126" s="1"/>
      <c r="G20126" s="13"/>
      <c r="AL20126" s="13"/>
    </row>
    <row r="20127" spans="4:39" x14ac:dyDescent="0.3">
      <c r="D20127" s="1"/>
      <c r="G20127" s="13"/>
      <c r="AL20127" s="13"/>
    </row>
    <row r="20128" spans="4:39" x14ac:dyDescent="0.3">
      <c r="D20128" s="1"/>
      <c r="G20128" s="13"/>
      <c r="AL20128" s="13"/>
    </row>
    <row r="20129" spans="4:39" x14ac:dyDescent="0.3">
      <c r="D20129" s="1"/>
      <c r="G20129" s="13"/>
      <c r="AL20129" s="13"/>
    </row>
    <row r="20130" spans="4:39" x14ac:dyDescent="0.3">
      <c r="D20130" s="1"/>
      <c r="G20130" s="13"/>
      <c r="AL20130" s="13"/>
    </row>
    <row r="20131" spans="4:39" x14ac:dyDescent="0.3">
      <c r="D20131" s="1"/>
      <c r="G20131" s="13"/>
      <c r="AL20131" s="13"/>
    </row>
    <row r="20132" spans="4:39" x14ac:dyDescent="0.3">
      <c r="D20132" s="1"/>
      <c r="G20132" s="13"/>
      <c r="AL20132" s="13"/>
    </row>
    <row r="20133" spans="4:39" x14ac:dyDescent="0.3">
      <c r="D20133" s="1"/>
      <c r="G20133" s="13"/>
      <c r="AL20133" s="13"/>
    </row>
    <row r="20134" spans="4:39" x14ac:dyDescent="0.3">
      <c r="D20134" s="1"/>
      <c r="G20134" s="13"/>
      <c r="AL20134" s="13"/>
    </row>
    <row r="20135" spans="4:39" x14ac:dyDescent="0.3">
      <c r="D20135" s="1"/>
      <c r="G20135" s="13"/>
      <c r="AL20135" s="13"/>
    </row>
    <row r="20136" spans="4:39" x14ac:dyDescent="0.3">
      <c r="D20136" s="1"/>
      <c r="G20136" s="13"/>
      <c r="AL20136" s="13"/>
      <c r="AM20136" s="14"/>
    </row>
    <row r="20137" spans="4:39" x14ac:dyDescent="0.3">
      <c r="D20137" s="1"/>
      <c r="G20137" s="13"/>
      <c r="AL20137" s="13"/>
    </row>
    <row r="20138" spans="4:39" x14ac:dyDescent="0.3">
      <c r="D20138" s="1"/>
      <c r="G20138" s="13"/>
      <c r="AL20138" s="13"/>
      <c r="AM20138" s="14"/>
    </row>
    <row r="20139" spans="4:39" x14ac:dyDescent="0.3">
      <c r="D20139" s="1"/>
      <c r="G20139" s="13"/>
      <c r="AL20139" s="13"/>
    </row>
    <row r="20140" spans="4:39" x14ac:dyDescent="0.3">
      <c r="D20140" s="1"/>
      <c r="G20140" s="13"/>
      <c r="AL20140" s="13"/>
    </row>
    <row r="20141" spans="4:39" x14ac:dyDescent="0.3">
      <c r="D20141" s="1"/>
      <c r="G20141" s="13"/>
      <c r="AL20141" s="13"/>
    </row>
    <row r="20142" spans="4:39" x14ac:dyDescent="0.3">
      <c r="D20142" s="1"/>
      <c r="G20142" s="13"/>
      <c r="AL20142" s="13"/>
    </row>
    <row r="20143" spans="4:39" x14ac:dyDescent="0.3">
      <c r="D20143" s="1"/>
      <c r="G20143" s="13"/>
      <c r="AL20143" s="13"/>
    </row>
    <row r="20144" spans="4:39" x14ac:dyDescent="0.3">
      <c r="D20144" s="1"/>
      <c r="G20144" s="13"/>
      <c r="AL20144" s="13"/>
    </row>
    <row r="20145" spans="4:39" x14ac:dyDescent="0.3">
      <c r="D20145" s="1"/>
      <c r="G20145" s="13"/>
      <c r="AL20145" s="13"/>
    </row>
    <row r="20146" spans="4:39" x14ac:dyDescent="0.3">
      <c r="D20146" s="1"/>
      <c r="G20146" s="13"/>
      <c r="AL20146" s="13"/>
    </row>
    <row r="20147" spans="4:39" x14ac:dyDescent="0.3">
      <c r="D20147" s="1"/>
      <c r="G20147" s="13"/>
      <c r="AL20147" s="13"/>
    </row>
    <row r="20148" spans="4:39" x14ac:dyDescent="0.3">
      <c r="D20148" s="1"/>
      <c r="G20148" s="13"/>
      <c r="AL20148" s="13"/>
    </row>
    <row r="20149" spans="4:39" x14ac:dyDescent="0.3">
      <c r="D20149" s="1"/>
      <c r="G20149" s="13"/>
      <c r="AL20149" s="13"/>
    </row>
    <row r="20150" spans="4:39" x14ac:dyDescent="0.3">
      <c r="D20150" s="1"/>
      <c r="G20150" s="13"/>
      <c r="AL20150" s="13"/>
    </row>
    <row r="20151" spans="4:39" x14ac:dyDescent="0.3">
      <c r="D20151" s="1"/>
      <c r="G20151" s="13"/>
      <c r="AL20151" s="13"/>
    </row>
    <row r="20152" spans="4:39" x14ac:dyDescent="0.3">
      <c r="D20152" s="1"/>
      <c r="G20152" s="13"/>
      <c r="AL20152" s="13"/>
    </row>
    <row r="20153" spans="4:39" x14ac:dyDescent="0.3">
      <c r="D20153" s="1"/>
      <c r="G20153" s="13"/>
      <c r="AL20153" s="13"/>
    </row>
    <row r="20154" spans="4:39" x14ac:dyDescent="0.3">
      <c r="D20154" s="1"/>
      <c r="G20154" s="13"/>
      <c r="AL20154" s="13"/>
    </row>
    <row r="20155" spans="4:39" x14ac:dyDescent="0.3">
      <c r="D20155" s="1"/>
      <c r="G20155" s="13"/>
      <c r="AL20155" s="13"/>
    </row>
    <row r="20156" spans="4:39" x14ac:dyDescent="0.3">
      <c r="D20156" s="1"/>
      <c r="G20156" s="13"/>
      <c r="AL20156" s="13"/>
    </row>
    <row r="20157" spans="4:39" x14ac:dyDescent="0.3">
      <c r="D20157" s="1"/>
      <c r="G20157" s="13"/>
      <c r="AL20157" s="13"/>
    </row>
    <row r="20158" spans="4:39" x14ac:dyDescent="0.3">
      <c r="D20158" s="1"/>
      <c r="G20158" s="13"/>
      <c r="AL20158" s="13"/>
      <c r="AM20158" s="14"/>
    </row>
    <row r="20159" spans="4:39" x14ac:dyDescent="0.3">
      <c r="D20159" s="1"/>
      <c r="G20159" s="13"/>
      <c r="AL20159" s="13"/>
    </row>
    <row r="20160" spans="4:39" x14ac:dyDescent="0.3">
      <c r="D20160" s="1"/>
      <c r="G20160" s="13"/>
      <c r="AL20160" s="13"/>
      <c r="AM20160" s="14"/>
    </row>
    <row r="20161" spans="4:39" x14ac:dyDescent="0.3">
      <c r="D20161" s="1"/>
      <c r="G20161" s="13"/>
      <c r="AL20161" s="13"/>
    </row>
    <row r="20162" spans="4:39" x14ac:dyDescent="0.3">
      <c r="D20162" s="1"/>
      <c r="G20162" s="13"/>
      <c r="AL20162" s="13"/>
    </row>
    <row r="20163" spans="4:39" x14ac:dyDescent="0.3">
      <c r="D20163" s="1"/>
      <c r="G20163" s="13"/>
      <c r="AL20163" s="13"/>
    </row>
    <row r="20164" spans="4:39" x14ac:dyDescent="0.3">
      <c r="D20164" s="1"/>
      <c r="G20164" s="13"/>
      <c r="AL20164" s="13"/>
    </row>
    <row r="20165" spans="4:39" x14ac:dyDescent="0.3">
      <c r="D20165" s="1"/>
      <c r="G20165" s="13"/>
      <c r="AL20165" s="13"/>
    </row>
    <row r="20166" spans="4:39" x14ac:dyDescent="0.3">
      <c r="D20166" s="1"/>
      <c r="G20166" s="13"/>
      <c r="AL20166" s="13"/>
      <c r="AM20166" s="14"/>
    </row>
    <row r="20167" spans="4:39" x14ac:dyDescent="0.3">
      <c r="D20167" s="1"/>
      <c r="G20167" s="13"/>
      <c r="AL20167" s="13"/>
    </row>
    <row r="20168" spans="4:39" x14ac:dyDescent="0.3">
      <c r="D20168" s="1"/>
      <c r="G20168" s="13"/>
      <c r="AL20168" s="13"/>
    </row>
    <row r="20169" spans="4:39" x14ac:dyDescent="0.3">
      <c r="D20169" s="1"/>
      <c r="G20169" s="13"/>
      <c r="AL20169" s="13"/>
    </row>
    <row r="20170" spans="4:39" x14ac:dyDescent="0.3">
      <c r="D20170" s="1"/>
      <c r="G20170" s="13"/>
      <c r="AL20170" s="13"/>
    </row>
    <row r="20171" spans="4:39" x14ac:dyDescent="0.3">
      <c r="D20171" s="1"/>
      <c r="G20171" s="13"/>
      <c r="AL20171" s="13"/>
    </row>
    <row r="20172" spans="4:39" x14ac:dyDescent="0.3">
      <c r="D20172" s="1"/>
      <c r="G20172" s="13"/>
      <c r="AL20172" s="13"/>
    </row>
    <row r="20173" spans="4:39" x14ac:dyDescent="0.3">
      <c r="D20173" s="1"/>
      <c r="G20173" s="13"/>
      <c r="AL20173" s="13"/>
    </row>
    <row r="20174" spans="4:39" x14ac:dyDescent="0.3">
      <c r="D20174" s="1"/>
      <c r="G20174" s="13"/>
      <c r="AL20174" s="13"/>
    </row>
    <row r="20175" spans="4:39" x14ac:dyDescent="0.3">
      <c r="D20175" s="1"/>
      <c r="G20175" s="13"/>
      <c r="AL20175" s="13"/>
    </row>
    <row r="20176" spans="4:39" x14ac:dyDescent="0.3">
      <c r="D20176" s="1"/>
      <c r="G20176" s="13"/>
      <c r="AL20176" s="13"/>
    </row>
    <row r="20177" spans="4:38" x14ac:dyDescent="0.3">
      <c r="D20177" s="1"/>
      <c r="G20177" s="13"/>
      <c r="AL20177" s="13"/>
    </row>
    <row r="20178" spans="4:38" x14ac:dyDescent="0.3">
      <c r="D20178" s="1"/>
      <c r="G20178" s="13"/>
      <c r="AL20178" s="13"/>
    </row>
    <row r="20179" spans="4:38" x14ac:dyDescent="0.3">
      <c r="D20179" s="1"/>
      <c r="G20179" s="13"/>
      <c r="AL20179" s="13"/>
    </row>
    <row r="20180" spans="4:38" x14ac:dyDescent="0.3">
      <c r="D20180" s="1"/>
      <c r="G20180" s="13"/>
      <c r="AL20180" s="13"/>
    </row>
    <row r="20181" spans="4:38" x14ac:dyDescent="0.3">
      <c r="D20181" s="1"/>
      <c r="G20181" s="13"/>
      <c r="AL20181" s="13"/>
    </row>
    <row r="20182" spans="4:38" x14ac:dyDescent="0.3">
      <c r="D20182" s="1"/>
      <c r="G20182" s="13"/>
      <c r="AL20182" s="13"/>
    </row>
    <row r="20183" spans="4:38" x14ac:dyDescent="0.3">
      <c r="D20183" s="1"/>
      <c r="G20183" s="13"/>
      <c r="AL20183" s="13"/>
    </row>
    <row r="20184" spans="4:38" x14ac:dyDescent="0.3">
      <c r="D20184" s="1"/>
      <c r="G20184" s="13"/>
      <c r="AL20184" s="13"/>
    </row>
    <row r="20185" spans="4:38" x14ac:dyDescent="0.3">
      <c r="D20185" s="1"/>
      <c r="G20185" s="13"/>
      <c r="AL20185" s="13"/>
    </row>
    <row r="20186" spans="4:38" x14ac:dyDescent="0.3">
      <c r="D20186" s="1"/>
      <c r="G20186" s="13"/>
      <c r="AL20186" s="13"/>
    </row>
    <row r="20187" spans="4:38" x14ac:dyDescent="0.3">
      <c r="D20187" s="1"/>
      <c r="G20187" s="13"/>
      <c r="AL20187" s="13"/>
    </row>
    <row r="20188" spans="4:38" x14ac:dyDescent="0.3">
      <c r="D20188" s="1"/>
      <c r="G20188" s="13"/>
      <c r="AL20188" s="13"/>
    </row>
    <row r="20189" spans="4:38" x14ac:dyDescent="0.3">
      <c r="D20189" s="1"/>
      <c r="G20189" s="13"/>
      <c r="AL20189" s="13"/>
    </row>
    <row r="20190" spans="4:38" x14ac:dyDescent="0.3">
      <c r="D20190" s="1"/>
      <c r="G20190" s="13"/>
      <c r="AL20190" s="13"/>
    </row>
    <row r="20191" spans="4:38" x14ac:dyDescent="0.3">
      <c r="D20191" s="1"/>
      <c r="G20191" s="13"/>
      <c r="AL20191" s="13"/>
    </row>
    <row r="20192" spans="4:38" x14ac:dyDescent="0.3">
      <c r="D20192" s="1"/>
      <c r="G20192" s="13"/>
      <c r="AL20192" s="13"/>
    </row>
    <row r="20193" spans="4:38" x14ac:dyDescent="0.3">
      <c r="D20193" s="1"/>
      <c r="G20193" s="13"/>
      <c r="AL20193" s="13"/>
    </row>
    <row r="20194" spans="4:38" x14ac:dyDescent="0.3">
      <c r="D20194" s="1"/>
      <c r="G20194" s="13"/>
      <c r="AL20194" s="13"/>
    </row>
    <row r="20195" spans="4:38" x14ac:dyDescent="0.3">
      <c r="D20195" s="1"/>
      <c r="G20195" s="13"/>
      <c r="AL20195" s="13"/>
    </row>
    <row r="20196" spans="4:38" x14ac:dyDescent="0.3">
      <c r="D20196" s="1"/>
      <c r="G20196" s="13"/>
      <c r="AL20196" s="13"/>
    </row>
    <row r="20197" spans="4:38" x14ac:dyDescent="0.3">
      <c r="D20197" s="1"/>
      <c r="G20197" s="13"/>
      <c r="AL20197" s="13"/>
    </row>
    <row r="20198" spans="4:38" x14ac:dyDescent="0.3">
      <c r="D20198" s="1"/>
      <c r="G20198" s="13"/>
      <c r="AL20198" s="13"/>
    </row>
    <row r="20199" spans="4:38" x14ac:dyDescent="0.3">
      <c r="D20199" s="1"/>
      <c r="G20199" s="13"/>
      <c r="AL20199" s="13"/>
    </row>
    <row r="20200" spans="4:38" x14ac:dyDescent="0.3">
      <c r="D20200" s="1"/>
      <c r="G20200" s="13"/>
      <c r="AL20200" s="13"/>
    </row>
    <row r="20201" spans="4:38" x14ac:dyDescent="0.3">
      <c r="D20201" s="1"/>
      <c r="G20201" s="13"/>
      <c r="AL20201" s="13"/>
    </row>
    <row r="20202" spans="4:38" x14ac:dyDescent="0.3">
      <c r="D20202" s="1"/>
      <c r="G20202" s="13"/>
      <c r="AL20202" s="13"/>
    </row>
    <row r="20203" spans="4:38" x14ac:dyDescent="0.3">
      <c r="D20203" s="1"/>
      <c r="G20203" s="13"/>
      <c r="AL20203" s="13"/>
    </row>
    <row r="20204" spans="4:38" x14ac:dyDescent="0.3">
      <c r="D20204" s="1"/>
      <c r="G20204" s="13"/>
      <c r="AL20204" s="13"/>
    </row>
    <row r="20205" spans="4:38" x14ac:dyDescent="0.3">
      <c r="D20205" s="1"/>
      <c r="G20205" s="13"/>
      <c r="AL20205" s="13"/>
    </row>
    <row r="20206" spans="4:38" x14ac:dyDescent="0.3">
      <c r="D20206" s="1"/>
      <c r="G20206" s="13"/>
      <c r="AL20206" s="13"/>
    </row>
    <row r="20207" spans="4:38" x14ac:dyDescent="0.3">
      <c r="D20207" s="1"/>
      <c r="G20207" s="13"/>
      <c r="AL20207" s="13"/>
    </row>
    <row r="20208" spans="4:38" x14ac:dyDescent="0.3">
      <c r="D20208" s="1"/>
      <c r="G20208" s="13"/>
      <c r="AL20208" s="13"/>
    </row>
    <row r="20209" spans="4:38" x14ac:dyDescent="0.3">
      <c r="D20209" s="1"/>
      <c r="G20209" s="13"/>
      <c r="AL20209" s="13"/>
    </row>
    <row r="20210" spans="4:38" x14ac:dyDescent="0.3">
      <c r="D20210" s="1"/>
      <c r="G20210" s="13"/>
      <c r="AL20210" s="13"/>
    </row>
    <row r="20211" spans="4:38" x14ac:dyDescent="0.3">
      <c r="D20211" s="1"/>
      <c r="G20211" s="13"/>
      <c r="AL20211" s="13"/>
    </row>
    <row r="20212" spans="4:38" x14ac:dyDescent="0.3">
      <c r="D20212" s="1"/>
      <c r="G20212" s="13"/>
      <c r="AL20212" s="13"/>
    </row>
    <row r="20213" spans="4:38" x14ac:dyDescent="0.3">
      <c r="D20213" s="1"/>
      <c r="G20213" s="13"/>
      <c r="AL20213" s="13"/>
    </row>
    <row r="20214" spans="4:38" x14ac:dyDescent="0.3">
      <c r="D20214" s="1"/>
      <c r="G20214" s="13"/>
      <c r="AL20214" s="13"/>
    </row>
    <row r="20215" spans="4:38" x14ac:dyDescent="0.3">
      <c r="D20215" s="1"/>
      <c r="G20215" s="13"/>
      <c r="AL20215" s="13"/>
    </row>
    <row r="20216" spans="4:38" x14ac:dyDescent="0.3">
      <c r="D20216" s="1"/>
      <c r="G20216" s="13"/>
      <c r="AL20216" s="13"/>
    </row>
    <row r="20217" spans="4:38" x14ac:dyDescent="0.3">
      <c r="D20217" s="1"/>
      <c r="G20217" s="13"/>
      <c r="AL20217" s="13"/>
    </row>
    <row r="20218" spans="4:38" x14ac:dyDescent="0.3">
      <c r="D20218" s="1"/>
      <c r="G20218" s="13"/>
      <c r="AL20218" s="13"/>
    </row>
    <row r="20219" spans="4:38" x14ac:dyDescent="0.3">
      <c r="D20219" s="1"/>
      <c r="G20219" s="13"/>
      <c r="AL20219" s="13"/>
    </row>
    <row r="20220" spans="4:38" x14ac:dyDescent="0.3">
      <c r="D20220" s="1"/>
      <c r="G20220" s="13"/>
      <c r="AL20220" s="13"/>
    </row>
    <row r="20221" spans="4:38" x14ac:dyDescent="0.3">
      <c r="D20221" s="1"/>
      <c r="G20221" s="13"/>
      <c r="AL20221" s="13"/>
    </row>
    <row r="20222" spans="4:38" x14ac:dyDescent="0.3">
      <c r="D20222" s="1"/>
      <c r="G20222" s="13"/>
      <c r="AL20222" s="13"/>
    </row>
    <row r="20223" spans="4:38" x14ac:dyDescent="0.3">
      <c r="D20223" s="1"/>
      <c r="G20223" s="13"/>
      <c r="AL20223" s="13"/>
    </row>
    <row r="20224" spans="4:38" x14ac:dyDescent="0.3">
      <c r="D20224" s="1"/>
      <c r="G20224" s="13"/>
      <c r="AL20224" s="13"/>
    </row>
    <row r="20225" spans="4:38" x14ac:dyDescent="0.3">
      <c r="D20225" s="1"/>
      <c r="G20225" s="13"/>
      <c r="AL20225" s="13"/>
    </row>
    <row r="20226" spans="4:38" x14ac:dyDescent="0.3">
      <c r="D20226" s="1"/>
      <c r="G20226" s="13"/>
      <c r="AL20226" s="13"/>
    </row>
    <row r="20227" spans="4:38" x14ac:dyDescent="0.3">
      <c r="D20227" s="1"/>
      <c r="G20227" s="13"/>
      <c r="AL20227" s="13"/>
    </row>
    <row r="20228" spans="4:38" x14ac:dyDescent="0.3">
      <c r="D20228" s="1"/>
      <c r="G20228" s="13"/>
      <c r="AL20228" s="13"/>
    </row>
    <row r="20229" spans="4:38" x14ac:dyDescent="0.3">
      <c r="D20229" s="1"/>
      <c r="G20229" s="13"/>
      <c r="AL20229" s="13"/>
    </row>
    <row r="20230" spans="4:38" x14ac:dyDescent="0.3">
      <c r="D20230" s="1"/>
      <c r="G20230" s="13"/>
      <c r="AL20230" s="13"/>
    </row>
    <row r="20231" spans="4:38" x14ac:dyDescent="0.3">
      <c r="D20231" s="1"/>
      <c r="G20231" s="13"/>
      <c r="AL20231" s="13"/>
    </row>
    <row r="20232" spans="4:38" x14ac:dyDescent="0.3">
      <c r="D20232" s="1"/>
      <c r="G20232" s="13"/>
      <c r="AL20232" s="13"/>
    </row>
    <row r="20233" spans="4:38" x14ac:dyDescent="0.3">
      <c r="D20233" s="1"/>
      <c r="G20233" s="13"/>
      <c r="AL20233" s="13"/>
    </row>
    <row r="20234" spans="4:38" x14ac:dyDescent="0.3">
      <c r="D20234" s="1"/>
      <c r="G20234" s="13"/>
      <c r="AL20234" s="13"/>
    </row>
    <row r="20235" spans="4:38" x14ac:dyDescent="0.3">
      <c r="D20235" s="1"/>
      <c r="G20235" s="13"/>
      <c r="AL20235" s="13"/>
    </row>
    <row r="20236" spans="4:38" x14ac:dyDescent="0.3">
      <c r="D20236" s="1"/>
      <c r="G20236" s="13"/>
      <c r="AL20236" s="13"/>
    </row>
    <row r="20237" spans="4:38" x14ac:dyDescent="0.3">
      <c r="D20237" s="1"/>
      <c r="G20237" s="13"/>
      <c r="AL20237" s="13"/>
    </row>
    <row r="20238" spans="4:38" x14ac:dyDescent="0.3">
      <c r="D20238" s="1"/>
      <c r="G20238" s="13"/>
      <c r="AL20238" s="13"/>
    </row>
    <row r="20239" spans="4:38" x14ac:dyDescent="0.3">
      <c r="D20239" s="1"/>
      <c r="G20239" s="13"/>
      <c r="AL20239" s="13"/>
    </row>
    <row r="20240" spans="4:38" x14ac:dyDescent="0.3">
      <c r="D20240" s="1"/>
      <c r="G20240" s="13"/>
      <c r="AL20240" s="13"/>
    </row>
    <row r="20241" spans="4:39" x14ac:dyDescent="0.3">
      <c r="D20241" s="1"/>
      <c r="G20241" s="13"/>
      <c r="AL20241" s="13"/>
    </row>
    <row r="20242" spans="4:39" x14ac:dyDescent="0.3">
      <c r="D20242" s="1"/>
      <c r="G20242" s="13"/>
      <c r="AL20242" s="13"/>
    </row>
    <row r="20243" spans="4:39" x14ac:dyDescent="0.3">
      <c r="D20243" s="1"/>
      <c r="G20243" s="13"/>
      <c r="AL20243" s="13"/>
    </row>
    <row r="20244" spans="4:39" x14ac:dyDescent="0.3">
      <c r="D20244" s="1"/>
      <c r="G20244" s="13"/>
      <c r="AL20244" s="13"/>
    </row>
    <row r="20245" spans="4:39" x14ac:dyDescent="0.3">
      <c r="D20245" s="1"/>
      <c r="G20245" s="13"/>
      <c r="AL20245" s="13"/>
    </row>
    <row r="20246" spans="4:39" x14ac:dyDescent="0.3">
      <c r="D20246" s="1"/>
      <c r="G20246" s="13"/>
      <c r="AL20246" s="13"/>
    </row>
    <row r="20247" spans="4:39" x14ac:dyDescent="0.3">
      <c r="D20247" s="1"/>
      <c r="G20247" s="13"/>
      <c r="AL20247" s="13"/>
    </row>
    <row r="20248" spans="4:39" x14ac:dyDescent="0.3">
      <c r="D20248" s="1"/>
      <c r="G20248" s="13"/>
      <c r="AL20248" s="13"/>
    </row>
    <row r="20249" spans="4:39" x14ac:dyDescent="0.3">
      <c r="D20249" s="1"/>
      <c r="G20249" s="13"/>
      <c r="AL20249" s="13"/>
      <c r="AM20249" s="14"/>
    </row>
    <row r="20250" spans="4:39" x14ac:dyDescent="0.3">
      <c r="D20250" s="1"/>
      <c r="G20250" s="13"/>
      <c r="AL20250" s="13"/>
      <c r="AM20250" s="14"/>
    </row>
    <row r="20251" spans="4:39" x14ac:dyDescent="0.3">
      <c r="D20251" s="1"/>
      <c r="G20251" s="13"/>
      <c r="AL20251" s="13"/>
    </row>
    <row r="20252" spans="4:39" x14ac:dyDescent="0.3">
      <c r="D20252" s="1"/>
      <c r="G20252" s="13"/>
      <c r="AL20252" s="13"/>
      <c r="AM20252" s="14"/>
    </row>
    <row r="20253" spans="4:39" x14ac:dyDescent="0.3">
      <c r="D20253" s="1"/>
      <c r="G20253" s="13"/>
      <c r="AL20253" s="13"/>
    </row>
    <row r="20254" spans="4:39" x14ac:dyDescent="0.3">
      <c r="D20254" s="1"/>
      <c r="G20254" s="13"/>
      <c r="AL20254" s="13"/>
    </row>
    <row r="20255" spans="4:39" x14ac:dyDescent="0.3">
      <c r="D20255" s="1"/>
      <c r="G20255" s="13"/>
      <c r="AL20255" s="13"/>
      <c r="AM20255" s="14"/>
    </row>
    <row r="20256" spans="4:39" x14ac:dyDescent="0.3">
      <c r="D20256" s="1"/>
      <c r="G20256" s="13"/>
      <c r="AL20256" s="13"/>
      <c r="AM20256" s="14"/>
    </row>
    <row r="20257" spans="4:39" x14ac:dyDescent="0.3">
      <c r="D20257" s="1"/>
      <c r="G20257" s="13"/>
      <c r="AL20257" s="13"/>
    </row>
    <row r="20258" spans="4:39" x14ac:dyDescent="0.3">
      <c r="D20258" s="1"/>
      <c r="G20258" s="13"/>
      <c r="AL20258" s="13"/>
    </row>
    <row r="20259" spans="4:39" x14ac:dyDescent="0.3">
      <c r="D20259" s="1"/>
      <c r="G20259" s="13"/>
      <c r="AL20259" s="13"/>
    </row>
    <row r="20260" spans="4:39" x14ac:dyDescent="0.3">
      <c r="D20260" s="1"/>
      <c r="G20260" s="13"/>
      <c r="AL20260" s="13"/>
    </row>
    <row r="20261" spans="4:39" x14ac:dyDescent="0.3">
      <c r="D20261" s="1"/>
      <c r="G20261" s="13"/>
      <c r="AL20261" s="13"/>
    </row>
    <row r="20262" spans="4:39" x14ac:dyDescent="0.3">
      <c r="D20262" s="1"/>
      <c r="G20262" s="13"/>
      <c r="AL20262" s="13"/>
    </row>
    <row r="20263" spans="4:39" x14ac:dyDescent="0.3">
      <c r="D20263" s="1"/>
      <c r="G20263" s="13"/>
      <c r="AL20263" s="13"/>
      <c r="AM20263" s="14"/>
    </row>
    <row r="20264" spans="4:39" x14ac:dyDescent="0.3">
      <c r="D20264" s="1"/>
      <c r="G20264" s="13"/>
      <c r="AL20264" s="13"/>
    </row>
    <row r="20265" spans="4:39" x14ac:dyDescent="0.3">
      <c r="D20265" s="1"/>
      <c r="G20265" s="13"/>
      <c r="AL20265" s="13"/>
    </row>
    <row r="20266" spans="4:39" x14ac:dyDescent="0.3">
      <c r="D20266" s="1"/>
      <c r="G20266" s="13"/>
      <c r="AL20266" s="13"/>
      <c r="AM20266" s="14"/>
    </row>
    <row r="20267" spans="4:39" x14ac:dyDescent="0.3">
      <c r="D20267" s="1"/>
      <c r="G20267" s="13"/>
      <c r="AL20267" s="13"/>
      <c r="AM20267" s="14"/>
    </row>
    <row r="20268" spans="4:39" x14ac:dyDescent="0.3">
      <c r="D20268" s="1"/>
      <c r="G20268" s="13"/>
      <c r="AL20268" s="13"/>
      <c r="AM20268" s="14"/>
    </row>
    <row r="20269" spans="4:39" x14ac:dyDescent="0.3">
      <c r="D20269" s="1"/>
      <c r="G20269" s="13"/>
      <c r="AL20269" s="13"/>
      <c r="AM20269" s="14"/>
    </row>
    <row r="20270" spans="4:39" x14ac:dyDescent="0.3">
      <c r="D20270" s="1"/>
      <c r="G20270" s="13"/>
      <c r="AL20270" s="13"/>
    </row>
    <row r="20271" spans="4:39" x14ac:dyDescent="0.3">
      <c r="D20271" s="1"/>
      <c r="G20271" s="13"/>
      <c r="AL20271" s="13"/>
    </row>
    <row r="20272" spans="4:39" x14ac:dyDescent="0.3">
      <c r="D20272" s="1"/>
      <c r="G20272" s="13"/>
      <c r="AL20272" s="13"/>
    </row>
    <row r="20273" spans="4:39" x14ac:dyDescent="0.3">
      <c r="D20273" s="1"/>
      <c r="G20273" s="13"/>
      <c r="AL20273" s="13"/>
      <c r="AM20273" s="14"/>
    </row>
    <row r="20274" spans="4:39" x14ac:dyDescent="0.3">
      <c r="D20274" s="1"/>
      <c r="G20274" s="13"/>
      <c r="AL20274" s="13"/>
      <c r="AM20274" s="14"/>
    </row>
    <row r="20275" spans="4:39" x14ac:dyDescent="0.3">
      <c r="D20275" s="1"/>
      <c r="G20275" s="13"/>
      <c r="AL20275" s="13"/>
    </row>
    <row r="20276" spans="4:39" x14ac:dyDescent="0.3">
      <c r="D20276" s="1"/>
      <c r="G20276" s="13"/>
      <c r="AL20276" s="13"/>
    </row>
    <row r="20277" spans="4:39" x14ac:dyDescent="0.3">
      <c r="D20277" s="1"/>
      <c r="G20277" s="13"/>
      <c r="AL20277" s="13"/>
    </row>
    <row r="20278" spans="4:39" x14ac:dyDescent="0.3">
      <c r="D20278" s="1"/>
      <c r="G20278" s="13"/>
      <c r="AL20278" s="13"/>
    </row>
    <row r="20279" spans="4:39" x14ac:dyDescent="0.3">
      <c r="D20279" s="1"/>
      <c r="G20279" s="13"/>
      <c r="AL20279" s="13"/>
    </row>
    <row r="20280" spans="4:39" x14ac:dyDescent="0.3">
      <c r="D20280" s="1"/>
      <c r="G20280" s="13"/>
      <c r="AL20280" s="13"/>
    </row>
    <row r="20281" spans="4:39" x14ac:dyDescent="0.3">
      <c r="D20281" s="1"/>
      <c r="G20281" s="13"/>
      <c r="AL20281" s="13"/>
      <c r="AM20281" s="14"/>
    </row>
    <row r="20282" spans="4:39" x14ac:dyDescent="0.3">
      <c r="D20282" s="1"/>
      <c r="G20282" s="13"/>
      <c r="AL20282" s="13"/>
      <c r="AM20282" s="14"/>
    </row>
    <row r="20283" spans="4:39" x14ac:dyDescent="0.3">
      <c r="D20283" s="1"/>
      <c r="G20283" s="13"/>
      <c r="AL20283" s="13"/>
    </row>
    <row r="20284" spans="4:39" x14ac:dyDescent="0.3">
      <c r="D20284" s="1"/>
      <c r="G20284" s="13"/>
      <c r="AL20284" s="13"/>
    </row>
    <row r="20285" spans="4:39" x14ac:dyDescent="0.3">
      <c r="D20285" s="1"/>
      <c r="G20285" s="13"/>
      <c r="AL20285" s="13"/>
    </row>
    <row r="20286" spans="4:39" x14ac:dyDescent="0.3">
      <c r="D20286" s="1"/>
      <c r="G20286" s="13"/>
      <c r="AL20286" s="13"/>
    </row>
    <row r="20287" spans="4:39" x14ac:dyDescent="0.3">
      <c r="D20287" s="1"/>
      <c r="G20287" s="13"/>
      <c r="AL20287" s="13"/>
    </row>
    <row r="20288" spans="4:39" x14ac:dyDescent="0.3">
      <c r="D20288" s="1"/>
      <c r="G20288" s="13"/>
      <c r="AL20288" s="13"/>
    </row>
    <row r="20289" spans="4:39" x14ac:dyDescent="0.3">
      <c r="D20289" s="1"/>
      <c r="G20289" s="13"/>
      <c r="AL20289" s="13"/>
    </row>
    <row r="20290" spans="4:39" x14ac:dyDescent="0.3">
      <c r="D20290" s="1"/>
      <c r="G20290" s="13"/>
      <c r="AL20290" s="13"/>
    </row>
    <row r="20291" spans="4:39" x14ac:dyDescent="0.3">
      <c r="D20291" s="1"/>
      <c r="G20291" s="13"/>
      <c r="AL20291" s="13"/>
    </row>
    <row r="20292" spans="4:39" x14ac:dyDescent="0.3">
      <c r="D20292" s="1"/>
      <c r="G20292" s="13"/>
      <c r="AL20292" s="13"/>
    </row>
    <row r="20293" spans="4:39" x14ac:dyDescent="0.3">
      <c r="D20293" s="1"/>
      <c r="G20293" s="13"/>
      <c r="AL20293" s="13"/>
    </row>
    <row r="20294" spans="4:39" x14ac:dyDescent="0.3">
      <c r="D20294" s="1"/>
      <c r="G20294" s="13"/>
      <c r="AL20294" s="13"/>
      <c r="AM20294" s="14"/>
    </row>
    <row r="20295" spans="4:39" x14ac:dyDescent="0.3">
      <c r="D20295" s="1"/>
      <c r="G20295" s="13"/>
      <c r="AL20295" s="13"/>
      <c r="AM20295" s="14"/>
    </row>
    <row r="20296" spans="4:39" x14ac:dyDescent="0.3">
      <c r="D20296" s="1"/>
      <c r="G20296" s="13"/>
      <c r="AL20296" s="13"/>
    </row>
    <row r="20297" spans="4:39" x14ac:dyDescent="0.3">
      <c r="D20297" s="1"/>
      <c r="G20297" s="13"/>
      <c r="AL20297" s="13"/>
      <c r="AM20297" s="14"/>
    </row>
    <row r="20298" spans="4:39" x14ac:dyDescent="0.3">
      <c r="D20298" s="1"/>
      <c r="G20298" s="13"/>
      <c r="AL20298" s="13"/>
      <c r="AM20298" s="14"/>
    </row>
    <row r="20299" spans="4:39" x14ac:dyDescent="0.3">
      <c r="D20299" s="1"/>
      <c r="G20299" s="13"/>
      <c r="AL20299" s="13"/>
    </row>
    <row r="20300" spans="4:39" x14ac:dyDescent="0.3">
      <c r="D20300" s="1"/>
      <c r="G20300" s="13"/>
      <c r="AL20300" s="13"/>
    </row>
    <row r="20301" spans="4:39" x14ac:dyDescent="0.3">
      <c r="D20301" s="1"/>
      <c r="G20301" s="13"/>
      <c r="AL20301" s="13"/>
    </row>
    <row r="20302" spans="4:39" x14ac:dyDescent="0.3">
      <c r="D20302" s="1"/>
      <c r="G20302" s="13"/>
      <c r="AL20302" s="13"/>
      <c r="AM20302" s="14"/>
    </row>
    <row r="20303" spans="4:39" x14ac:dyDescent="0.3">
      <c r="D20303" s="1"/>
      <c r="G20303" s="13"/>
      <c r="AL20303" s="13"/>
    </row>
    <row r="20304" spans="4:39" x14ac:dyDescent="0.3">
      <c r="D20304" s="1"/>
      <c r="G20304" s="13"/>
      <c r="AL20304" s="13"/>
    </row>
    <row r="20305" spans="4:39" x14ac:dyDescent="0.3">
      <c r="D20305" s="1"/>
      <c r="G20305" s="13"/>
      <c r="AL20305" s="13"/>
    </row>
    <row r="20306" spans="4:39" x14ac:dyDescent="0.3">
      <c r="D20306" s="1"/>
      <c r="G20306" s="13"/>
      <c r="AL20306" s="13"/>
    </row>
    <row r="20307" spans="4:39" x14ac:dyDescent="0.3">
      <c r="D20307" s="1"/>
      <c r="G20307" s="13"/>
      <c r="AL20307" s="13"/>
    </row>
    <row r="20308" spans="4:39" x14ac:dyDescent="0.3">
      <c r="D20308" s="1"/>
      <c r="G20308" s="13"/>
      <c r="AL20308" s="13"/>
    </row>
    <row r="20309" spans="4:39" x14ac:dyDescent="0.3">
      <c r="D20309" s="1"/>
      <c r="G20309" s="13"/>
      <c r="AL20309" s="13"/>
    </row>
    <row r="20310" spans="4:39" x14ac:dyDescent="0.3">
      <c r="D20310" s="1"/>
      <c r="G20310" s="13"/>
      <c r="AL20310" s="13"/>
      <c r="AM20310" s="14"/>
    </row>
    <row r="20311" spans="4:39" x14ac:dyDescent="0.3">
      <c r="D20311" s="1"/>
      <c r="G20311" s="13"/>
      <c r="AL20311" s="13"/>
    </row>
    <row r="20312" spans="4:39" x14ac:dyDescent="0.3">
      <c r="D20312" s="1"/>
      <c r="G20312" s="13"/>
      <c r="AL20312" s="13"/>
    </row>
    <row r="20313" spans="4:39" x14ac:dyDescent="0.3">
      <c r="D20313" s="1"/>
      <c r="G20313" s="13"/>
      <c r="AL20313" s="13"/>
    </row>
    <row r="20314" spans="4:39" x14ac:dyDescent="0.3">
      <c r="D20314" s="1"/>
      <c r="G20314" s="13"/>
      <c r="AL20314" s="13"/>
    </row>
    <row r="20315" spans="4:39" x14ac:dyDescent="0.3">
      <c r="D20315" s="1"/>
      <c r="G20315" s="13"/>
      <c r="AL20315" s="13"/>
    </row>
    <row r="20316" spans="4:39" x14ac:dyDescent="0.3">
      <c r="D20316" s="1"/>
      <c r="G20316" s="13"/>
      <c r="AL20316" s="13"/>
      <c r="AM20316" s="14"/>
    </row>
    <row r="20317" spans="4:39" x14ac:dyDescent="0.3">
      <c r="D20317" s="1"/>
      <c r="G20317" s="13"/>
      <c r="AL20317" s="13"/>
    </row>
    <row r="20318" spans="4:39" x14ac:dyDescent="0.3">
      <c r="D20318" s="1"/>
      <c r="G20318" s="13"/>
      <c r="AL20318" s="13"/>
    </row>
    <row r="20319" spans="4:39" x14ac:dyDescent="0.3">
      <c r="D20319" s="1"/>
      <c r="G20319" s="13"/>
      <c r="AL20319" s="13"/>
    </row>
    <row r="20320" spans="4:39" x14ac:dyDescent="0.3">
      <c r="D20320" s="1"/>
      <c r="G20320" s="13"/>
      <c r="AL20320" s="13"/>
    </row>
    <row r="20321" spans="4:38" x14ac:dyDescent="0.3">
      <c r="D20321" s="1"/>
      <c r="G20321" s="13"/>
      <c r="AL20321" s="13"/>
    </row>
    <row r="20322" spans="4:38" x14ac:dyDescent="0.3">
      <c r="D20322" s="1"/>
      <c r="G20322" s="13"/>
      <c r="AL20322" s="13"/>
    </row>
    <row r="20323" spans="4:38" x14ac:dyDescent="0.3">
      <c r="D20323" s="1"/>
      <c r="G20323" s="13"/>
      <c r="AL20323" s="13"/>
    </row>
    <row r="20324" spans="4:38" x14ac:dyDescent="0.3">
      <c r="D20324" s="1"/>
      <c r="G20324" s="13"/>
      <c r="AL20324" s="13"/>
    </row>
    <row r="20325" spans="4:38" x14ac:dyDescent="0.3">
      <c r="D20325" s="1"/>
      <c r="G20325" s="13"/>
      <c r="AL20325" s="13"/>
    </row>
    <row r="20326" spans="4:38" x14ac:dyDescent="0.3">
      <c r="D20326" s="1"/>
      <c r="G20326" s="13"/>
      <c r="AL20326" s="13"/>
    </row>
    <row r="20327" spans="4:38" x14ac:dyDescent="0.3">
      <c r="D20327" s="1"/>
      <c r="G20327" s="13"/>
      <c r="AL20327" s="13"/>
    </row>
    <row r="20328" spans="4:38" x14ac:dyDescent="0.3">
      <c r="D20328" s="1"/>
      <c r="G20328" s="13"/>
      <c r="AL20328" s="13"/>
    </row>
    <row r="20329" spans="4:38" x14ac:dyDescent="0.3">
      <c r="D20329" s="1"/>
      <c r="G20329" s="13"/>
      <c r="AL20329" s="13"/>
    </row>
    <row r="20330" spans="4:38" x14ac:dyDescent="0.3">
      <c r="D20330" s="1"/>
      <c r="G20330" s="13"/>
      <c r="AL20330" s="13"/>
    </row>
    <row r="20331" spans="4:38" x14ac:dyDescent="0.3">
      <c r="D20331" s="1"/>
      <c r="G20331" s="13"/>
      <c r="AL20331" s="13"/>
    </row>
    <row r="20332" spans="4:38" x14ac:dyDescent="0.3">
      <c r="D20332" s="1"/>
      <c r="G20332" s="13"/>
      <c r="AL20332" s="13"/>
    </row>
    <row r="20333" spans="4:38" x14ac:dyDescent="0.3">
      <c r="D20333" s="1"/>
      <c r="G20333" s="13"/>
      <c r="AL20333" s="13"/>
    </row>
    <row r="20334" spans="4:38" x14ac:dyDescent="0.3">
      <c r="D20334" s="1"/>
      <c r="G20334" s="13"/>
      <c r="AL20334" s="13"/>
    </row>
    <row r="20335" spans="4:38" x14ac:dyDescent="0.3">
      <c r="D20335" s="1"/>
      <c r="G20335" s="13"/>
      <c r="AL20335" s="13"/>
    </row>
    <row r="20336" spans="4:38" x14ac:dyDescent="0.3">
      <c r="D20336" s="1"/>
      <c r="G20336" s="13"/>
      <c r="AL20336" s="13"/>
    </row>
    <row r="20337" spans="4:38" x14ac:dyDescent="0.3">
      <c r="D20337" s="1"/>
      <c r="G20337" s="13"/>
      <c r="AL20337" s="13"/>
    </row>
    <row r="20338" spans="4:38" x14ac:dyDescent="0.3">
      <c r="D20338" s="1"/>
      <c r="G20338" s="13"/>
      <c r="AL20338" s="13"/>
    </row>
    <row r="20339" spans="4:38" x14ac:dyDescent="0.3">
      <c r="D20339" s="1"/>
      <c r="G20339" s="13"/>
      <c r="AL20339" s="13"/>
    </row>
    <row r="20340" spans="4:38" x14ac:dyDescent="0.3">
      <c r="D20340" s="1"/>
      <c r="G20340" s="13"/>
      <c r="AL20340" s="13"/>
    </row>
    <row r="20341" spans="4:38" x14ac:dyDescent="0.3">
      <c r="D20341" s="1"/>
      <c r="G20341" s="13"/>
      <c r="AL20341" s="13"/>
    </row>
    <row r="20342" spans="4:38" x14ac:dyDescent="0.3">
      <c r="D20342" s="1"/>
      <c r="G20342" s="13"/>
      <c r="AL20342" s="13"/>
    </row>
    <row r="20343" spans="4:38" x14ac:dyDescent="0.3">
      <c r="D20343" s="1"/>
      <c r="G20343" s="13"/>
      <c r="AL20343" s="13"/>
    </row>
    <row r="20344" spans="4:38" x14ac:dyDescent="0.3">
      <c r="D20344" s="1"/>
      <c r="G20344" s="13"/>
      <c r="AL20344" s="13"/>
    </row>
    <row r="20345" spans="4:38" x14ac:dyDescent="0.3">
      <c r="D20345" s="1"/>
      <c r="G20345" s="13"/>
      <c r="AL20345" s="13"/>
    </row>
    <row r="20346" spans="4:38" x14ac:dyDescent="0.3">
      <c r="D20346" s="1"/>
      <c r="G20346" s="13"/>
      <c r="AL20346" s="13"/>
    </row>
    <row r="20347" spans="4:38" x14ac:dyDescent="0.3">
      <c r="D20347" s="1"/>
      <c r="G20347" s="13"/>
      <c r="AL20347" s="13"/>
    </row>
    <row r="20348" spans="4:38" x14ac:dyDescent="0.3">
      <c r="D20348" s="1"/>
      <c r="G20348" s="13"/>
      <c r="AL20348" s="13"/>
    </row>
    <row r="20349" spans="4:38" x14ac:dyDescent="0.3">
      <c r="D20349" s="1"/>
      <c r="G20349" s="13"/>
      <c r="AL20349" s="13"/>
    </row>
    <row r="20350" spans="4:38" x14ac:dyDescent="0.3">
      <c r="D20350" s="1"/>
      <c r="G20350" s="13"/>
      <c r="AL20350" s="13"/>
    </row>
    <row r="20351" spans="4:38" x14ac:dyDescent="0.3">
      <c r="D20351" s="1"/>
      <c r="G20351" s="13"/>
      <c r="AL20351" s="13"/>
    </row>
    <row r="20352" spans="4:38" x14ac:dyDescent="0.3">
      <c r="D20352" s="1"/>
      <c r="G20352" s="13"/>
      <c r="AL20352" s="13"/>
    </row>
    <row r="20353" spans="4:38" x14ac:dyDescent="0.3">
      <c r="D20353" s="1"/>
      <c r="G20353" s="13"/>
      <c r="AL20353" s="13"/>
    </row>
    <row r="20354" spans="4:38" x14ac:dyDescent="0.3">
      <c r="D20354" s="1"/>
      <c r="G20354" s="13"/>
      <c r="AL20354" s="13"/>
    </row>
    <row r="20355" spans="4:38" x14ac:dyDescent="0.3">
      <c r="D20355" s="1"/>
      <c r="G20355" s="13"/>
      <c r="AL20355" s="13"/>
    </row>
    <row r="20356" spans="4:38" x14ac:dyDescent="0.3">
      <c r="D20356" s="1"/>
      <c r="G20356" s="13"/>
      <c r="AL20356" s="13"/>
    </row>
    <row r="20357" spans="4:38" x14ac:dyDescent="0.3">
      <c r="D20357" s="1"/>
      <c r="G20357" s="13"/>
      <c r="AL20357" s="13"/>
    </row>
    <row r="20358" spans="4:38" x14ac:dyDescent="0.3">
      <c r="D20358" s="1"/>
      <c r="G20358" s="13"/>
      <c r="AL20358" s="13"/>
    </row>
    <row r="20359" spans="4:38" x14ac:dyDescent="0.3">
      <c r="D20359" s="1"/>
      <c r="G20359" s="13"/>
      <c r="AL20359" s="13"/>
    </row>
    <row r="20360" spans="4:38" x14ac:dyDescent="0.3">
      <c r="D20360" s="1"/>
      <c r="G20360" s="13"/>
      <c r="AL20360" s="13"/>
    </row>
    <row r="20361" spans="4:38" x14ac:dyDescent="0.3">
      <c r="D20361" s="1"/>
      <c r="G20361" s="13"/>
      <c r="AL20361" s="13"/>
    </row>
    <row r="20362" spans="4:38" x14ac:dyDescent="0.3">
      <c r="D20362" s="1"/>
      <c r="G20362" s="13"/>
      <c r="AL20362" s="13"/>
    </row>
    <row r="20363" spans="4:38" x14ac:dyDescent="0.3">
      <c r="D20363" s="1"/>
      <c r="G20363" s="13"/>
      <c r="AL20363" s="13"/>
    </row>
    <row r="20364" spans="4:38" x14ac:dyDescent="0.3">
      <c r="D20364" s="1"/>
      <c r="G20364" s="13"/>
      <c r="AL20364" s="13"/>
    </row>
    <row r="20365" spans="4:38" x14ac:dyDescent="0.3">
      <c r="D20365" s="1"/>
      <c r="G20365" s="13"/>
      <c r="AL20365" s="13"/>
    </row>
    <row r="20366" spans="4:38" x14ac:dyDescent="0.3">
      <c r="D20366" s="1"/>
      <c r="G20366" s="13"/>
      <c r="AL20366" s="13"/>
    </row>
    <row r="20367" spans="4:38" x14ac:dyDescent="0.3">
      <c r="D20367" s="1"/>
      <c r="G20367" s="13"/>
      <c r="AL20367" s="13"/>
    </row>
    <row r="20368" spans="4:38" x14ac:dyDescent="0.3">
      <c r="D20368" s="1"/>
      <c r="G20368" s="13"/>
      <c r="AL20368" s="13"/>
    </row>
    <row r="20369" spans="4:38" x14ac:dyDescent="0.3">
      <c r="D20369" s="1"/>
      <c r="G20369" s="13"/>
      <c r="AL20369" s="13"/>
    </row>
    <row r="20370" spans="4:38" x14ac:dyDescent="0.3">
      <c r="D20370" s="1"/>
      <c r="G20370" s="13"/>
      <c r="AL20370" s="13"/>
    </row>
    <row r="20371" spans="4:38" x14ac:dyDescent="0.3">
      <c r="D20371" s="1"/>
      <c r="G20371" s="13"/>
      <c r="AL20371" s="13"/>
    </row>
    <row r="20372" spans="4:38" x14ac:dyDescent="0.3">
      <c r="D20372" s="1"/>
      <c r="G20372" s="13"/>
      <c r="AL20372" s="13"/>
    </row>
    <row r="20373" spans="4:38" x14ac:dyDescent="0.3">
      <c r="D20373" s="1"/>
      <c r="G20373" s="13"/>
      <c r="AL20373" s="13"/>
    </row>
    <row r="20374" spans="4:38" x14ac:dyDescent="0.3">
      <c r="D20374" s="1"/>
      <c r="G20374" s="13"/>
      <c r="AL20374" s="13"/>
    </row>
    <row r="20375" spans="4:38" x14ac:dyDescent="0.3">
      <c r="D20375" s="1"/>
      <c r="G20375" s="13"/>
      <c r="AL20375" s="13"/>
    </row>
    <row r="20376" spans="4:38" x14ac:dyDescent="0.3">
      <c r="D20376" s="1"/>
      <c r="G20376" s="13"/>
      <c r="AL20376" s="13"/>
    </row>
    <row r="20377" spans="4:38" x14ac:dyDescent="0.3">
      <c r="D20377" s="1"/>
      <c r="G20377" s="13"/>
      <c r="AL20377" s="13"/>
    </row>
    <row r="20378" spans="4:38" x14ac:dyDescent="0.3">
      <c r="D20378" s="1"/>
      <c r="G20378" s="13"/>
      <c r="AL20378" s="13"/>
    </row>
    <row r="20379" spans="4:38" x14ac:dyDescent="0.3">
      <c r="D20379" s="1"/>
      <c r="G20379" s="13"/>
      <c r="AL20379" s="13"/>
    </row>
    <row r="20380" spans="4:38" x14ac:dyDescent="0.3">
      <c r="D20380" s="1"/>
      <c r="G20380" s="13"/>
      <c r="AL20380" s="13"/>
    </row>
    <row r="20381" spans="4:38" x14ac:dyDescent="0.3">
      <c r="D20381" s="1"/>
      <c r="G20381" s="13"/>
      <c r="AL20381" s="13"/>
    </row>
    <row r="20382" spans="4:38" x14ac:dyDescent="0.3">
      <c r="D20382" s="1"/>
      <c r="G20382" s="13"/>
      <c r="AL20382" s="13"/>
    </row>
    <row r="20383" spans="4:38" x14ac:dyDescent="0.3">
      <c r="D20383" s="1"/>
      <c r="G20383" s="13"/>
      <c r="AL20383" s="13"/>
    </row>
    <row r="20384" spans="4:38" x14ac:dyDescent="0.3">
      <c r="D20384" s="1"/>
      <c r="G20384" s="13"/>
      <c r="AL20384" s="13"/>
    </row>
    <row r="20385" spans="4:38" x14ac:dyDescent="0.3">
      <c r="D20385" s="1"/>
      <c r="G20385" s="13"/>
      <c r="AL20385" s="13"/>
    </row>
    <row r="20386" spans="4:38" x14ac:dyDescent="0.3">
      <c r="D20386" s="1"/>
      <c r="G20386" s="13"/>
      <c r="AL20386" s="13"/>
    </row>
    <row r="20387" spans="4:38" x14ac:dyDescent="0.3">
      <c r="D20387" s="1"/>
      <c r="G20387" s="13"/>
      <c r="AL20387" s="13"/>
    </row>
    <row r="20388" spans="4:38" x14ac:dyDescent="0.3">
      <c r="D20388" s="1"/>
      <c r="G20388" s="13"/>
      <c r="AL20388" s="13"/>
    </row>
    <row r="20389" spans="4:38" x14ac:dyDescent="0.3">
      <c r="D20389" s="1"/>
      <c r="G20389" s="13"/>
      <c r="AL20389" s="13"/>
    </row>
    <row r="20390" spans="4:38" x14ac:dyDescent="0.3">
      <c r="D20390" s="1"/>
      <c r="G20390" s="13"/>
      <c r="AL20390" s="13"/>
    </row>
    <row r="20391" spans="4:38" x14ac:dyDescent="0.3">
      <c r="D20391" s="1"/>
      <c r="G20391" s="13"/>
      <c r="AL20391" s="13"/>
    </row>
    <row r="20392" spans="4:38" x14ac:dyDescent="0.3">
      <c r="D20392" s="1"/>
      <c r="G20392" s="13"/>
      <c r="AL20392" s="13"/>
    </row>
    <row r="20393" spans="4:38" x14ac:dyDescent="0.3">
      <c r="D20393" s="1"/>
      <c r="G20393" s="13"/>
      <c r="AL20393" s="13"/>
    </row>
    <row r="20394" spans="4:38" x14ac:dyDescent="0.3">
      <c r="D20394" s="1"/>
      <c r="G20394" s="13"/>
      <c r="AL20394" s="13"/>
    </row>
    <row r="20395" spans="4:38" x14ac:dyDescent="0.3">
      <c r="D20395" s="1"/>
      <c r="G20395" s="13"/>
      <c r="AL20395" s="13"/>
    </row>
    <row r="20396" spans="4:38" x14ac:dyDescent="0.3">
      <c r="D20396" s="1"/>
      <c r="G20396" s="13"/>
      <c r="AL20396" s="13"/>
    </row>
    <row r="20397" spans="4:38" x14ac:dyDescent="0.3">
      <c r="D20397" s="1"/>
      <c r="G20397" s="13"/>
      <c r="AL20397" s="13"/>
    </row>
    <row r="20398" spans="4:38" x14ac:dyDescent="0.3">
      <c r="D20398" s="1"/>
      <c r="G20398" s="13"/>
      <c r="AL20398" s="13"/>
    </row>
    <row r="20399" spans="4:38" x14ac:dyDescent="0.3">
      <c r="D20399" s="1"/>
      <c r="G20399" s="13"/>
      <c r="AL20399" s="13"/>
    </row>
    <row r="20400" spans="4:38" x14ac:dyDescent="0.3">
      <c r="D20400" s="1"/>
      <c r="G20400" s="13"/>
      <c r="AL20400" s="13"/>
    </row>
    <row r="20401" spans="4:38" x14ac:dyDescent="0.3">
      <c r="D20401" s="1"/>
      <c r="G20401" s="13"/>
      <c r="AL20401" s="13"/>
    </row>
    <row r="20402" spans="4:38" x14ac:dyDescent="0.3">
      <c r="D20402" s="1"/>
      <c r="G20402" s="13"/>
      <c r="AL20402" s="13"/>
    </row>
    <row r="20403" spans="4:38" x14ac:dyDescent="0.3">
      <c r="D20403" s="1"/>
      <c r="G20403" s="13"/>
      <c r="AL20403" s="13"/>
    </row>
    <row r="20404" spans="4:38" x14ac:dyDescent="0.3">
      <c r="D20404" s="1"/>
      <c r="G20404" s="13"/>
      <c r="AL20404" s="13"/>
    </row>
    <row r="20405" spans="4:38" x14ac:dyDescent="0.3">
      <c r="D20405" s="1"/>
      <c r="G20405" s="13"/>
      <c r="AL20405" s="13"/>
    </row>
    <row r="20406" spans="4:38" x14ac:dyDescent="0.3">
      <c r="D20406" s="1"/>
      <c r="G20406" s="13"/>
      <c r="AL20406" s="13"/>
    </row>
    <row r="20407" spans="4:38" x14ac:dyDescent="0.3">
      <c r="D20407" s="1"/>
      <c r="G20407" s="13"/>
      <c r="AL20407" s="13"/>
    </row>
    <row r="20408" spans="4:38" x14ac:dyDescent="0.3">
      <c r="D20408" s="1"/>
      <c r="G20408" s="13"/>
      <c r="AL20408" s="13"/>
    </row>
    <row r="20409" spans="4:38" x14ac:dyDescent="0.3">
      <c r="D20409" s="1"/>
      <c r="G20409" s="13"/>
      <c r="AL20409" s="13"/>
    </row>
    <row r="20410" spans="4:38" x14ac:dyDescent="0.3">
      <c r="D20410" s="1"/>
      <c r="G20410" s="13"/>
      <c r="AL20410" s="13"/>
    </row>
    <row r="20411" spans="4:38" x14ac:dyDescent="0.3">
      <c r="D20411" s="1"/>
      <c r="G20411" s="13"/>
      <c r="AL20411" s="13"/>
    </row>
    <row r="20412" spans="4:38" x14ac:dyDescent="0.3">
      <c r="D20412" s="1"/>
      <c r="G20412" s="13"/>
      <c r="AL20412" s="13"/>
    </row>
    <row r="20413" spans="4:38" x14ac:dyDescent="0.3">
      <c r="D20413" s="1"/>
      <c r="G20413" s="13"/>
      <c r="AL20413" s="13"/>
    </row>
    <row r="20414" spans="4:38" x14ac:dyDescent="0.3">
      <c r="D20414" s="1"/>
      <c r="G20414" s="13"/>
      <c r="AL20414" s="13"/>
    </row>
    <row r="20415" spans="4:38" x14ac:dyDescent="0.3">
      <c r="D20415" s="1"/>
      <c r="G20415" s="13"/>
      <c r="AL20415" s="13"/>
    </row>
    <row r="20416" spans="4:38" x14ac:dyDescent="0.3">
      <c r="D20416" s="1"/>
      <c r="G20416" s="13"/>
      <c r="AL20416" s="13"/>
    </row>
    <row r="20417" spans="4:38" x14ac:dyDescent="0.3">
      <c r="D20417" s="1"/>
      <c r="G20417" s="13"/>
      <c r="AL20417" s="13"/>
    </row>
    <row r="20418" spans="4:38" x14ac:dyDescent="0.3">
      <c r="D20418" s="1"/>
      <c r="G20418" s="13"/>
      <c r="AL20418" s="13"/>
    </row>
    <row r="20419" spans="4:38" x14ac:dyDescent="0.3">
      <c r="D20419" s="1"/>
      <c r="G20419" s="13"/>
      <c r="AL20419" s="13"/>
    </row>
    <row r="20420" spans="4:38" x14ac:dyDescent="0.3">
      <c r="D20420" s="1"/>
      <c r="G20420" s="13"/>
      <c r="AL20420" s="13"/>
    </row>
    <row r="20421" spans="4:38" x14ac:dyDescent="0.3">
      <c r="D20421" s="1"/>
      <c r="G20421" s="13"/>
      <c r="AL20421" s="13"/>
    </row>
    <row r="20422" spans="4:38" x14ac:dyDescent="0.3">
      <c r="D20422" s="1"/>
      <c r="G20422" s="13"/>
      <c r="AL20422" s="13"/>
    </row>
    <row r="20423" spans="4:38" x14ac:dyDescent="0.3">
      <c r="D20423" s="1"/>
      <c r="G20423" s="13"/>
      <c r="AL20423" s="13"/>
    </row>
    <row r="20424" spans="4:38" x14ac:dyDescent="0.3">
      <c r="D20424" s="1"/>
      <c r="G20424" s="13"/>
      <c r="AL20424" s="13"/>
    </row>
    <row r="20425" spans="4:38" x14ac:dyDescent="0.3">
      <c r="D20425" s="1"/>
      <c r="G20425" s="13"/>
      <c r="AL20425" s="13"/>
    </row>
    <row r="20426" spans="4:38" x14ac:dyDescent="0.3">
      <c r="D20426" s="1"/>
      <c r="G20426" s="13"/>
      <c r="AL20426" s="13"/>
    </row>
    <row r="20427" spans="4:38" x14ac:dyDescent="0.3">
      <c r="D20427" s="1"/>
      <c r="G20427" s="13"/>
      <c r="AL20427" s="13"/>
    </row>
    <row r="20428" spans="4:38" x14ac:dyDescent="0.3">
      <c r="D20428" s="1"/>
      <c r="G20428" s="13"/>
      <c r="AL20428" s="13"/>
    </row>
    <row r="20429" spans="4:38" x14ac:dyDescent="0.3">
      <c r="D20429" s="1"/>
      <c r="G20429" s="13"/>
      <c r="AL20429" s="13"/>
    </row>
    <row r="20430" spans="4:38" x14ac:dyDescent="0.3">
      <c r="D20430" s="1"/>
      <c r="G20430" s="13"/>
      <c r="AL20430" s="13"/>
    </row>
    <row r="20431" spans="4:38" x14ac:dyDescent="0.3">
      <c r="D20431" s="1"/>
      <c r="G20431" s="13"/>
      <c r="AL20431" s="13"/>
    </row>
    <row r="20432" spans="4:38" x14ac:dyDescent="0.3">
      <c r="D20432" s="1"/>
      <c r="G20432" s="13"/>
      <c r="AL20432" s="13"/>
    </row>
    <row r="20433" spans="4:38" x14ac:dyDescent="0.3">
      <c r="D20433" s="1"/>
      <c r="G20433" s="13"/>
      <c r="AL20433" s="13"/>
    </row>
    <row r="20434" spans="4:38" x14ac:dyDescent="0.3">
      <c r="D20434" s="1"/>
      <c r="G20434" s="13"/>
      <c r="AL20434" s="13"/>
    </row>
    <row r="20435" spans="4:38" x14ac:dyDescent="0.3">
      <c r="D20435" s="1"/>
      <c r="G20435" s="13"/>
      <c r="AL20435" s="13"/>
    </row>
    <row r="20436" spans="4:38" x14ac:dyDescent="0.3">
      <c r="D20436" s="1"/>
      <c r="G20436" s="13"/>
      <c r="AL20436" s="13"/>
    </row>
    <row r="20437" spans="4:38" x14ac:dyDescent="0.3">
      <c r="D20437" s="1"/>
      <c r="G20437" s="13"/>
      <c r="AL20437" s="13"/>
    </row>
    <row r="20438" spans="4:38" x14ac:dyDescent="0.3">
      <c r="D20438" s="1"/>
      <c r="G20438" s="13"/>
      <c r="AL20438" s="13"/>
    </row>
    <row r="20439" spans="4:38" x14ac:dyDescent="0.3">
      <c r="D20439" s="1"/>
      <c r="G20439" s="13"/>
      <c r="AL20439" s="13"/>
    </row>
    <row r="20440" spans="4:38" x14ac:dyDescent="0.3">
      <c r="D20440" s="1"/>
      <c r="G20440" s="13"/>
      <c r="AL20440" s="13"/>
    </row>
    <row r="20441" spans="4:38" x14ac:dyDescent="0.3">
      <c r="D20441" s="1"/>
      <c r="G20441" s="13"/>
      <c r="AL20441" s="13"/>
    </row>
    <row r="20442" spans="4:38" x14ac:dyDescent="0.3">
      <c r="D20442" s="1"/>
      <c r="G20442" s="13"/>
      <c r="AL20442" s="13"/>
    </row>
    <row r="20443" spans="4:38" x14ac:dyDescent="0.3">
      <c r="D20443" s="1"/>
      <c r="G20443" s="13"/>
      <c r="AL20443" s="13"/>
    </row>
    <row r="20444" spans="4:38" x14ac:dyDescent="0.3">
      <c r="D20444" s="1"/>
      <c r="G20444" s="13"/>
      <c r="AL20444" s="13"/>
    </row>
    <row r="20445" spans="4:38" x14ac:dyDescent="0.3">
      <c r="D20445" s="1"/>
      <c r="G20445" s="13"/>
      <c r="AL20445" s="13"/>
    </row>
    <row r="20446" spans="4:38" x14ac:dyDescent="0.3">
      <c r="D20446" s="1"/>
      <c r="G20446" s="13"/>
      <c r="AL20446" s="13"/>
    </row>
    <row r="20447" spans="4:38" x14ac:dyDescent="0.3">
      <c r="D20447" s="1"/>
      <c r="G20447" s="13"/>
      <c r="AL20447" s="13"/>
    </row>
    <row r="20448" spans="4:38" x14ac:dyDescent="0.3">
      <c r="D20448" s="1"/>
      <c r="G20448" s="13"/>
      <c r="AL20448" s="13"/>
    </row>
    <row r="20449" spans="4:38" x14ac:dyDescent="0.3">
      <c r="D20449" s="1"/>
      <c r="G20449" s="13"/>
      <c r="AL20449" s="13"/>
    </row>
    <row r="20450" spans="4:38" x14ac:dyDescent="0.3">
      <c r="D20450" s="1"/>
      <c r="G20450" s="13"/>
      <c r="AL20450" s="13"/>
    </row>
    <row r="20451" spans="4:38" x14ac:dyDescent="0.3">
      <c r="D20451" s="1"/>
      <c r="G20451" s="13"/>
      <c r="AL20451" s="13"/>
    </row>
    <row r="20452" spans="4:38" x14ac:dyDescent="0.3">
      <c r="D20452" s="1"/>
      <c r="G20452" s="13"/>
      <c r="AL20452" s="13"/>
    </row>
    <row r="20453" spans="4:38" x14ac:dyDescent="0.3">
      <c r="D20453" s="1"/>
      <c r="G20453" s="13"/>
      <c r="AL20453" s="13"/>
    </row>
    <row r="20454" spans="4:38" x14ac:dyDescent="0.3">
      <c r="D20454" s="1"/>
      <c r="G20454" s="13"/>
      <c r="AL20454" s="13"/>
    </row>
    <row r="20455" spans="4:38" x14ac:dyDescent="0.3">
      <c r="D20455" s="1"/>
      <c r="G20455" s="13"/>
      <c r="AL20455" s="13"/>
    </row>
    <row r="20456" spans="4:38" x14ac:dyDescent="0.3">
      <c r="D20456" s="1"/>
      <c r="G20456" s="13"/>
      <c r="AL20456" s="13"/>
    </row>
    <row r="20457" spans="4:38" x14ac:dyDescent="0.3">
      <c r="D20457" s="1"/>
      <c r="G20457" s="13"/>
      <c r="AL20457" s="13"/>
    </row>
    <row r="20458" spans="4:38" x14ac:dyDescent="0.3">
      <c r="D20458" s="1"/>
      <c r="G20458" s="13"/>
      <c r="AL20458" s="13"/>
    </row>
    <row r="20459" spans="4:38" x14ac:dyDescent="0.3">
      <c r="D20459" s="1"/>
      <c r="G20459" s="13"/>
      <c r="AL20459" s="13"/>
    </row>
    <row r="20460" spans="4:38" x14ac:dyDescent="0.3">
      <c r="D20460" s="1"/>
      <c r="G20460" s="13"/>
      <c r="AL20460" s="13"/>
    </row>
    <row r="20461" spans="4:38" x14ac:dyDescent="0.3">
      <c r="D20461" s="1"/>
      <c r="G20461" s="13"/>
      <c r="AL20461" s="13"/>
    </row>
    <row r="20462" spans="4:38" x14ac:dyDescent="0.3">
      <c r="D20462" s="1"/>
      <c r="G20462" s="13"/>
      <c r="AL20462" s="13"/>
    </row>
    <row r="20463" spans="4:38" x14ac:dyDescent="0.3">
      <c r="D20463" s="1"/>
      <c r="G20463" s="13"/>
      <c r="AL20463" s="13"/>
    </row>
    <row r="20464" spans="4:38" x14ac:dyDescent="0.3">
      <c r="D20464" s="1"/>
      <c r="G20464" s="13"/>
      <c r="AL20464" s="13"/>
    </row>
    <row r="20465" spans="4:38" x14ac:dyDescent="0.3">
      <c r="D20465" s="1"/>
      <c r="G20465" s="13"/>
      <c r="AL20465" s="13"/>
    </row>
    <row r="20466" spans="4:38" x14ac:dyDescent="0.3">
      <c r="D20466" s="1"/>
      <c r="G20466" s="13"/>
      <c r="AL20466" s="13"/>
    </row>
    <row r="20467" spans="4:38" x14ac:dyDescent="0.3">
      <c r="D20467" s="1"/>
      <c r="G20467" s="13"/>
      <c r="AL20467" s="13"/>
    </row>
    <row r="20468" spans="4:38" x14ac:dyDescent="0.3">
      <c r="D20468" s="1"/>
      <c r="G20468" s="13"/>
      <c r="AL20468" s="13"/>
    </row>
    <row r="20469" spans="4:38" x14ac:dyDescent="0.3">
      <c r="D20469" s="1"/>
      <c r="G20469" s="13"/>
      <c r="AL20469" s="13"/>
    </row>
    <row r="20470" spans="4:38" x14ac:dyDescent="0.3">
      <c r="D20470" s="1"/>
      <c r="G20470" s="13"/>
      <c r="AL20470" s="13"/>
    </row>
    <row r="20471" spans="4:38" x14ac:dyDescent="0.3">
      <c r="D20471" s="1"/>
      <c r="G20471" s="13"/>
      <c r="AL20471" s="13"/>
    </row>
    <row r="20472" spans="4:38" x14ac:dyDescent="0.3">
      <c r="D20472" s="1"/>
      <c r="G20472" s="13"/>
      <c r="AL20472" s="13"/>
    </row>
    <row r="20473" spans="4:38" x14ac:dyDescent="0.3">
      <c r="D20473" s="1"/>
      <c r="G20473" s="13"/>
      <c r="AL20473" s="13"/>
    </row>
    <row r="20474" spans="4:38" x14ac:dyDescent="0.3">
      <c r="D20474" s="1"/>
      <c r="G20474" s="13"/>
      <c r="AL20474" s="13"/>
    </row>
    <row r="20475" spans="4:38" x14ac:dyDescent="0.3">
      <c r="D20475" s="1"/>
      <c r="G20475" s="13"/>
      <c r="AL20475" s="13"/>
    </row>
    <row r="20476" spans="4:38" x14ac:dyDescent="0.3">
      <c r="D20476" s="1"/>
      <c r="G20476" s="13"/>
      <c r="AL20476" s="13"/>
    </row>
    <row r="20477" spans="4:38" x14ac:dyDescent="0.3">
      <c r="D20477" s="1"/>
      <c r="G20477" s="13"/>
      <c r="AL20477" s="13"/>
    </row>
    <row r="20478" spans="4:38" x14ac:dyDescent="0.3">
      <c r="D20478" s="1"/>
      <c r="G20478" s="13"/>
      <c r="AL20478" s="13"/>
    </row>
    <row r="20479" spans="4:38" x14ac:dyDescent="0.3">
      <c r="D20479" s="1"/>
      <c r="G20479" s="13"/>
      <c r="AL20479" s="13"/>
    </row>
    <row r="20480" spans="4:38" x14ac:dyDescent="0.3">
      <c r="D20480" s="1"/>
      <c r="G20480" s="13"/>
      <c r="AL20480" s="13"/>
    </row>
    <row r="20481" spans="4:38" x14ac:dyDescent="0.3">
      <c r="D20481" s="1"/>
      <c r="G20481" s="13"/>
      <c r="AL20481" s="13"/>
    </row>
    <row r="20482" spans="4:38" x14ac:dyDescent="0.3">
      <c r="D20482" s="1"/>
      <c r="G20482" s="13"/>
      <c r="AL20482" s="13"/>
    </row>
    <row r="20483" spans="4:38" x14ac:dyDescent="0.3">
      <c r="D20483" s="1"/>
      <c r="G20483" s="13"/>
      <c r="AL20483" s="13"/>
    </row>
    <row r="20484" spans="4:38" x14ac:dyDescent="0.3">
      <c r="D20484" s="1"/>
      <c r="G20484" s="13"/>
      <c r="AL20484" s="13"/>
    </row>
    <row r="20485" spans="4:38" x14ac:dyDescent="0.3">
      <c r="D20485" s="1"/>
      <c r="G20485" s="13"/>
      <c r="AL20485" s="13"/>
    </row>
    <row r="20486" spans="4:38" x14ac:dyDescent="0.3">
      <c r="D20486" s="1"/>
      <c r="G20486" s="13"/>
      <c r="AL20486" s="13"/>
    </row>
    <row r="20487" spans="4:38" x14ac:dyDescent="0.3">
      <c r="D20487" s="1"/>
      <c r="G20487" s="13"/>
      <c r="AL20487" s="13"/>
    </row>
    <row r="20488" spans="4:38" x14ac:dyDescent="0.3">
      <c r="D20488" s="1"/>
      <c r="G20488" s="13"/>
      <c r="AL20488" s="13"/>
    </row>
    <row r="20489" spans="4:38" x14ac:dyDescent="0.3">
      <c r="D20489" s="1"/>
      <c r="G20489" s="13"/>
      <c r="AL20489" s="13"/>
    </row>
    <row r="20490" spans="4:38" x14ac:dyDescent="0.3">
      <c r="D20490" s="1"/>
      <c r="G20490" s="13"/>
      <c r="AL20490" s="13"/>
    </row>
    <row r="20491" spans="4:38" x14ac:dyDescent="0.3">
      <c r="D20491" s="1"/>
      <c r="G20491" s="13"/>
      <c r="AL20491" s="13"/>
    </row>
    <row r="20492" spans="4:38" x14ac:dyDescent="0.3">
      <c r="D20492" s="1"/>
      <c r="G20492" s="13"/>
      <c r="AL20492" s="13"/>
    </row>
    <row r="20493" spans="4:38" x14ac:dyDescent="0.3">
      <c r="D20493" s="1"/>
      <c r="G20493" s="13"/>
      <c r="AL20493" s="13"/>
    </row>
    <row r="20494" spans="4:38" x14ac:dyDescent="0.3">
      <c r="D20494" s="1"/>
      <c r="G20494" s="13"/>
      <c r="AL20494" s="13"/>
    </row>
    <row r="20495" spans="4:38" x14ac:dyDescent="0.3">
      <c r="D20495" s="1"/>
      <c r="G20495" s="13"/>
      <c r="AL20495" s="13"/>
    </row>
    <row r="20496" spans="4:38" x14ac:dyDescent="0.3">
      <c r="D20496" s="1"/>
      <c r="G20496" s="13"/>
      <c r="AL20496" s="13"/>
    </row>
    <row r="20497" spans="4:38" x14ac:dyDescent="0.3">
      <c r="D20497" s="1"/>
      <c r="G20497" s="13"/>
      <c r="AL20497" s="13"/>
    </row>
    <row r="20498" spans="4:38" x14ac:dyDescent="0.3">
      <c r="D20498" s="1"/>
      <c r="G20498" s="13"/>
      <c r="AL20498" s="13"/>
    </row>
    <row r="20499" spans="4:38" x14ac:dyDescent="0.3">
      <c r="D20499" s="1"/>
      <c r="G20499" s="13"/>
      <c r="AL20499" s="13"/>
    </row>
    <row r="20500" spans="4:38" x14ac:dyDescent="0.3">
      <c r="D20500" s="1"/>
      <c r="G20500" s="13"/>
      <c r="AL20500" s="13"/>
    </row>
    <row r="20501" spans="4:38" x14ac:dyDescent="0.3">
      <c r="D20501" s="1"/>
      <c r="G20501" s="13"/>
      <c r="AL20501" s="13"/>
    </row>
    <row r="20502" spans="4:38" x14ac:dyDescent="0.3">
      <c r="D20502" s="1"/>
      <c r="G20502" s="13"/>
      <c r="AL20502" s="13"/>
    </row>
    <row r="20503" spans="4:38" x14ac:dyDescent="0.3">
      <c r="D20503" s="1"/>
      <c r="G20503" s="13"/>
      <c r="AL20503" s="13"/>
    </row>
    <row r="20504" spans="4:38" x14ac:dyDescent="0.3">
      <c r="D20504" s="1"/>
      <c r="G20504" s="13"/>
      <c r="AL20504" s="13"/>
    </row>
    <row r="20505" spans="4:38" x14ac:dyDescent="0.3">
      <c r="D20505" s="1"/>
      <c r="G20505" s="13"/>
      <c r="AL20505" s="13"/>
    </row>
    <row r="20506" spans="4:38" x14ac:dyDescent="0.3">
      <c r="D20506" s="1"/>
      <c r="G20506" s="13"/>
      <c r="AL20506" s="13"/>
    </row>
    <row r="20507" spans="4:38" x14ac:dyDescent="0.3">
      <c r="D20507" s="1"/>
      <c r="G20507" s="13"/>
      <c r="AL20507" s="13"/>
    </row>
    <row r="20508" spans="4:38" x14ac:dyDescent="0.3">
      <c r="D20508" s="1"/>
      <c r="G20508" s="13"/>
      <c r="AL20508" s="13"/>
    </row>
    <row r="20509" spans="4:38" x14ac:dyDescent="0.3">
      <c r="D20509" s="1"/>
      <c r="G20509" s="13"/>
      <c r="AL20509" s="13"/>
    </row>
    <row r="20510" spans="4:38" x14ac:dyDescent="0.3">
      <c r="D20510" s="1"/>
      <c r="G20510" s="13"/>
      <c r="AL20510" s="13"/>
    </row>
    <row r="20511" spans="4:38" x14ac:dyDescent="0.3">
      <c r="D20511" s="1"/>
      <c r="G20511" s="13"/>
      <c r="AL20511" s="13"/>
    </row>
    <row r="20512" spans="4:38" x14ac:dyDescent="0.3">
      <c r="D20512" s="1"/>
      <c r="G20512" s="13"/>
      <c r="AL20512" s="13"/>
    </row>
    <row r="20513" spans="4:38" x14ac:dyDescent="0.3">
      <c r="D20513" s="1"/>
      <c r="G20513" s="13"/>
      <c r="AL20513" s="13"/>
    </row>
    <row r="20514" spans="4:38" x14ac:dyDescent="0.3">
      <c r="D20514" s="1"/>
      <c r="G20514" s="13"/>
    </row>
    <row r="20515" spans="4:38" x14ac:dyDescent="0.3">
      <c r="D20515" s="1"/>
      <c r="G20515" s="13"/>
      <c r="AL20515" s="13"/>
    </row>
    <row r="20516" spans="4:38" x14ac:dyDescent="0.3">
      <c r="D20516" s="1"/>
      <c r="G20516" s="13"/>
      <c r="AL20516" s="13"/>
    </row>
    <row r="20517" spans="4:38" x14ac:dyDescent="0.3">
      <c r="D20517" s="1"/>
      <c r="G20517" s="13"/>
      <c r="AL20517" s="13"/>
    </row>
    <row r="20518" spans="4:38" x14ac:dyDescent="0.3">
      <c r="D20518" s="1"/>
      <c r="G20518" s="13"/>
      <c r="AL20518" s="13"/>
    </row>
    <row r="20519" spans="4:38" x14ac:dyDescent="0.3">
      <c r="D20519" s="1"/>
      <c r="G20519" s="13"/>
      <c r="AL20519" s="13"/>
    </row>
    <row r="20520" spans="4:38" x14ac:dyDescent="0.3">
      <c r="D20520" s="1"/>
      <c r="G20520" s="13"/>
    </row>
    <row r="20521" spans="4:38" x14ac:dyDescent="0.3">
      <c r="D20521" s="1"/>
      <c r="G20521" s="13"/>
      <c r="AL20521" s="13"/>
    </row>
    <row r="20522" spans="4:38" x14ac:dyDescent="0.3">
      <c r="D20522" s="1"/>
      <c r="G20522" s="13"/>
      <c r="AL20522" s="13"/>
    </row>
    <row r="20523" spans="4:38" x14ac:dyDescent="0.3">
      <c r="D20523" s="1"/>
      <c r="G20523" s="13"/>
      <c r="AL20523" s="13"/>
    </row>
    <row r="20524" spans="4:38" x14ac:dyDescent="0.3">
      <c r="D20524" s="1"/>
      <c r="G20524" s="13"/>
      <c r="AL20524" s="13"/>
    </row>
    <row r="20525" spans="4:38" x14ac:dyDescent="0.3">
      <c r="D20525" s="1"/>
      <c r="G20525" s="13"/>
      <c r="AL20525" s="13"/>
    </row>
    <row r="20526" spans="4:38" x14ac:dyDescent="0.3">
      <c r="D20526" s="1"/>
      <c r="G20526" s="13"/>
      <c r="AL20526" s="13"/>
    </row>
    <row r="20527" spans="4:38" x14ac:dyDescent="0.3">
      <c r="D20527" s="1"/>
      <c r="G20527" s="13"/>
      <c r="AL20527" s="13"/>
    </row>
    <row r="20528" spans="4:38" x14ac:dyDescent="0.3">
      <c r="D20528" s="1"/>
      <c r="G20528" s="13"/>
      <c r="AL20528" s="13"/>
    </row>
    <row r="20529" spans="4:38" x14ac:dyDescent="0.3">
      <c r="D20529" s="1"/>
      <c r="G20529" s="13"/>
      <c r="AL20529" s="13"/>
    </row>
    <row r="20530" spans="4:38" x14ac:dyDescent="0.3">
      <c r="D20530" s="1"/>
      <c r="G20530" s="13"/>
      <c r="AL20530" s="13"/>
    </row>
    <row r="20531" spans="4:38" x14ac:dyDescent="0.3">
      <c r="D20531" s="1"/>
      <c r="G20531" s="13"/>
      <c r="AL20531" s="13"/>
    </row>
    <row r="20532" spans="4:38" x14ac:dyDescent="0.3">
      <c r="D20532" s="1"/>
      <c r="G20532" s="13"/>
      <c r="AL20532" s="13"/>
    </row>
    <row r="20533" spans="4:38" x14ac:dyDescent="0.3">
      <c r="D20533" s="1"/>
      <c r="G20533" s="13"/>
      <c r="AL20533" s="13"/>
    </row>
    <row r="20534" spans="4:38" x14ac:dyDescent="0.3">
      <c r="D20534" s="1"/>
      <c r="G20534" s="13"/>
      <c r="AL20534" s="13"/>
    </row>
    <row r="20535" spans="4:38" x14ac:dyDescent="0.3">
      <c r="D20535" s="1"/>
      <c r="G20535" s="13"/>
      <c r="AL20535" s="13"/>
    </row>
    <row r="20536" spans="4:38" x14ac:dyDescent="0.3">
      <c r="D20536" s="1"/>
      <c r="G20536" s="13"/>
      <c r="AL20536" s="13"/>
    </row>
    <row r="20537" spans="4:38" x14ac:dyDescent="0.3">
      <c r="D20537" s="1"/>
      <c r="G20537" s="13"/>
      <c r="AL20537" s="13"/>
    </row>
    <row r="20538" spans="4:38" x14ac:dyDescent="0.3">
      <c r="D20538" s="1"/>
      <c r="G20538" s="13"/>
      <c r="AL20538" s="13"/>
    </row>
    <row r="20539" spans="4:38" x14ac:dyDescent="0.3">
      <c r="D20539" s="1"/>
      <c r="G20539" s="13"/>
      <c r="AL20539" s="13"/>
    </row>
    <row r="20540" spans="4:38" x14ac:dyDescent="0.3">
      <c r="D20540" s="1"/>
      <c r="G20540" s="13"/>
      <c r="AL20540" s="13"/>
    </row>
    <row r="20541" spans="4:38" x14ac:dyDescent="0.3">
      <c r="D20541" s="1"/>
      <c r="G20541" s="13"/>
      <c r="AL20541" s="13"/>
    </row>
    <row r="20542" spans="4:38" x14ac:dyDescent="0.3">
      <c r="D20542" s="1"/>
      <c r="G20542" s="13"/>
      <c r="AL20542" s="13"/>
    </row>
    <row r="20543" spans="4:38" x14ac:dyDescent="0.3">
      <c r="D20543" s="1"/>
      <c r="G20543" s="13"/>
      <c r="AL20543" s="13"/>
    </row>
    <row r="20544" spans="4:38" x14ac:dyDescent="0.3">
      <c r="D20544" s="1"/>
      <c r="G20544" s="13"/>
      <c r="AL20544" s="13"/>
    </row>
    <row r="20545" spans="4:38" x14ac:dyDescent="0.3">
      <c r="D20545" s="1"/>
      <c r="G20545" s="13"/>
      <c r="AL20545" s="13"/>
    </row>
    <row r="20546" spans="4:38" x14ac:dyDescent="0.3">
      <c r="D20546" s="1"/>
      <c r="G20546" s="13"/>
      <c r="AL20546" s="13"/>
    </row>
    <row r="20547" spans="4:38" x14ac:dyDescent="0.3">
      <c r="D20547" s="1"/>
      <c r="G20547" s="13"/>
      <c r="AL20547" s="13"/>
    </row>
    <row r="20548" spans="4:38" x14ac:dyDescent="0.3">
      <c r="D20548" s="1"/>
      <c r="G20548" s="13"/>
      <c r="AL20548" s="13"/>
    </row>
    <row r="20549" spans="4:38" x14ac:dyDescent="0.3">
      <c r="D20549" s="1"/>
      <c r="G20549" s="13"/>
      <c r="AL20549" s="13"/>
    </row>
    <row r="20550" spans="4:38" x14ac:dyDescent="0.3">
      <c r="D20550" s="1"/>
      <c r="G20550" s="13"/>
      <c r="AL20550" s="13"/>
    </row>
    <row r="20551" spans="4:38" x14ac:dyDescent="0.3">
      <c r="D20551" s="1"/>
      <c r="G20551" s="13"/>
      <c r="AL20551" s="13"/>
    </row>
    <row r="20552" spans="4:38" x14ac:dyDescent="0.3">
      <c r="D20552" s="1"/>
      <c r="G20552" s="13"/>
      <c r="AL20552" s="13"/>
    </row>
    <row r="20553" spans="4:38" x14ac:dyDescent="0.3">
      <c r="D20553" s="1"/>
      <c r="G20553" s="13"/>
      <c r="AL20553" s="13"/>
    </row>
    <row r="20554" spans="4:38" x14ac:dyDescent="0.3">
      <c r="D20554" s="1"/>
      <c r="G20554" s="13"/>
      <c r="AL20554" s="13"/>
    </row>
    <row r="20555" spans="4:38" x14ac:dyDescent="0.3">
      <c r="D20555" s="1"/>
      <c r="G20555" s="13"/>
      <c r="AL20555" s="13"/>
    </row>
    <row r="20556" spans="4:38" x14ac:dyDescent="0.3">
      <c r="D20556" s="1"/>
      <c r="G20556" s="13"/>
      <c r="AL20556" s="13"/>
    </row>
    <row r="20557" spans="4:38" x14ac:dyDescent="0.3">
      <c r="D20557" s="1"/>
      <c r="G20557" s="13"/>
      <c r="AL20557" s="13"/>
    </row>
    <row r="20558" spans="4:38" x14ac:dyDescent="0.3">
      <c r="D20558" s="1"/>
      <c r="G20558" s="13"/>
      <c r="AL20558" s="13"/>
    </row>
    <row r="20559" spans="4:38" x14ac:dyDescent="0.3">
      <c r="D20559" s="1"/>
      <c r="G20559" s="13"/>
      <c r="AL20559" s="13"/>
    </row>
    <row r="20560" spans="4:38" x14ac:dyDescent="0.3">
      <c r="D20560" s="1"/>
      <c r="G20560" s="13"/>
      <c r="AL20560" s="13"/>
    </row>
    <row r="20561" spans="4:38" x14ac:dyDescent="0.3">
      <c r="D20561" s="1"/>
      <c r="G20561" s="13"/>
      <c r="AL20561" s="13"/>
    </row>
    <row r="20562" spans="4:38" x14ac:dyDescent="0.3">
      <c r="D20562" s="1"/>
      <c r="G20562" s="13"/>
      <c r="AL20562" s="13"/>
    </row>
    <row r="20563" spans="4:38" x14ac:dyDescent="0.3">
      <c r="D20563" s="1"/>
      <c r="G20563" s="13"/>
      <c r="AL20563" s="13"/>
    </row>
    <row r="20564" spans="4:38" x14ac:dyDescent="0.3">
      <c r="D20564" s="1"/>
      <c r="G20564" s="13"/>
      <c r="AL20564" s="13"/>
    </row>
    <row r="20565" spans="4:38" x14ac:dyDescent="0.3">
      <c r="D20565" s="1"/>
      <c r="G20565" s="13"/>
      <c r="AL20565" s="13"/>
    </row>
    <row r="20566" spans="4:38" x14ac:dyDescent="0.3">
      <c r="D20566" s="1"/>
      <c r="G20566" s="13"/>
      <c r="AL20566" s="13"/>
    </row>
    <row r="20567" spans="4:38" x14ac:dyDescent="0.3">
      <c r="D20567" s="1"/>
      <c r="G20567" s="13"/>
      <c r="AL20567" s="13"/>
    </row>
    <row r="20568" spans="4:38" x14ac:dyDescent="0.3">
      <c r="D20568" s="1"/>
      <c r="G20568" s="13"/>
      <c r="AL20568" s="13"/>
    </row>
    <row r="20569" spans="4:38" x14ac:dyDescent="0.3">
      <c r="D20569" s="1"/>
      <c r="G20569" s="13"/>
      <c r="AL20569" s="13"/>
    </row>
    <row r="20570" spans="4:38" x14ac:dyDescent="0.3">
      <c r="D20570" s="1"/>
      <c r="G20570" s="13"/>
      <c r="AL20570" s="13"/>
    </row>
    <row r="20571" spans="4:38" x14ac:dyDescent="0.3">
      <c r="D20571" s="1"/>
      <c r="G20571" s="13"/>
      <c r="AL20571" s="13"/>
    </row>
    <row r="20572" spans="4:38" x14ac:dyDescent="0.3">
      <c r="D20572" s="1"/>
      <c r="G20572" s="13"/>
      <c r="AL20572" s="13"/>
    </row>
    <row r="20573" spans="4:38" x14ac:dyDescent="0.3">
      <c r="D20573" s="1"/>
      <c r="G20573" s="13"/>
      <c r="AL20573" s="13"/>
    </row>
    <row r="20574" spans="4:38" x14ac:dyDescent="0.3">
      <c r="D20574" s="1"/>
      <c r="G20574" s="13"/>
      <c r="AL20574" s="13"/>
    </row>
    <row r="20575" spans="4:38" x14ac:dyDescent="0.3">
      <c r="D20575" s="1"/>
      <c r="G20575" s="13"/>
      <c r="AL20575" s="13"/>
    </row>
    <row r="20576" spans="4:38" x14ac:dyDescent="0.3">
      <c r="D20576" s="1"/>
      <c r="G20576" s="13"/>
      <c r="AL20576" s="13"/>
    </row>
    <row r="20577" spans="4:38" x14ac:dyDescent="0.3">
      <c r="D20577" s="1"/>
      <c r="G20577" s="13"/>
      <c r="AL20577" s="13"/>
    </row>
    <row r="20578" spans="4:38" x14ac:dyDescent="0.3">
      <c r="D20578" s="1"/>
      <c r="G20578" s="13"/>
      <c r="AL20578" s="13"/>
    </row>
    <row r="20579" spans="4:38" x14ac:dyDescent="0.3">
      <c r="D20579" s="1"/>
      <c r="G20579" s="13"/>
      <c r="AL20579" s="13"/>
    </row>
    <row r="20580" spans="4:38" x14ac:dyDescent="0.3">
      <c r="D20580" s="1"/>
      <c r="G20580" s="13"/>
      <c r="AL20580" s="13"/>
    </row>
    <row r="20581" spans="4:38" x14ac:dyDescent="0.3">
      <c r="D20581" s="1"/>
      <c r="G20581" s="13"/>
      <c r="AL20581" s="13"/>
    </row>
    <row r="20582" spans="4:38" x14ac:dyDescent="0.3">
      <c r="D20582" s="1"/>
      <c r="G20582" s="13"/>
      <c r="AL20582" s="13"/>
    </row>
    <row r="20583" spans="4:38" x14ac:dyDescent="0.3">
      <c r="D20583" s="1"/>
      <c r="G20583" s="13"/>
      <c r="AL20583" s="13"/>
    </row>
    <row r="20584" spans="4:38" x14ac:dyDescent="0.3">
      <c r="D20584" s="1"/>
      <c r="G20584" s="13"/>
      <c r="AL20584" s="13"/>
    </row>
    <row r="20585" spans="4:38" x14ac:dyDescent="0.3">
      <c r="D20585" s="1"/>
      <c r="G20585" s="13"/>
      <c r="AL20585" s="13"/>
    </row>
    <row r="20586" spans="4:38" x14ac:dyDescent="0.3">
      <c r="D20586" s="1"/>
      <c r="G20586" s="13"/>
      <c r="AL20586" s="13"/>
    </row>
    <row r="20587" spans="4:38" x14ac:dyDescent="0.3">
      <c r="D20587" s="1"/>
      <c r="G20587" s="13"/>
      <c r="AL20587" s="13"/>
    </row>
    <row r="20588" spans="4:38" x14ac:dyDescent="0.3">
      <c r="D20588" s="1"/>
      <c r="G20588" s="13"/>
      <c r="AL20588" s="13"/>
    </row>
    <row r="20589" spans="4:38" x14ac:dyDescent="0.3">
      <c r="D20589" s="1"/>
      <c r="G20589" s="13"/>
      <c r="AL20589" s="13"/>
    </row>
    <row r="20590" spans="4:38" x14ac:dyDescent="0.3">
      <c r="D20590" s="1"/>
      <c r="G20590" s="13"/>
      <c r="AL20590" s="13"/>
    </row>
    <row r="20591" spans="4:38" x14ac:dyDescent="0.3">
      <c r="D20591" s="1"/>
      <c r="G20591" s="13"/>
      <c r="AL20591" s="13"/>
    </row>
    <row r="20592" spans="4:38" x14ac:dyDescent="0.3">
      <c r="D20592" s="1"/>
      <c r="G20592" s="13"/>
      <c r="AL20592" s="13"/>
    </row>
    <row r="20593" spans="4:39" x14ac:dyDescent="0.3">
      <c r="D20593" s="1"/>
      <c r="G20593" s="13"/>
      <c r="AL20593" s="13"/>
    </row>
    <row r="20594" spans="4:39" x14ac:dyDescent="0.3">
      <c r="D20594" s="1"/>
      <c r="G20594" s="13"/>
      <c r="AL20594" s="13"/>
    </row>
    <row r="20595" spans="4:39" x14ac:dyDescent="0.3">
      <c r="D20595" s="1"/>
      <c r="G20595" s="13"/>
      <c r="AL20595" s="13"/>
      <c r="AM20595" s="14"/>
    </row>
    <row r="20596" spans="4:39" x14ac:dyDescent="0.3">
      <c r="D20596" s="1"/>
      <c r="G20596" s="13"/>
      <c r="AL20596" s="13"/>
    </row>
    <row r="20597" spans="4:39" x14ac:dyDescent="0.3">
      <c r="D20597" s="1"/>
      <c r="G20597" s="13"/>
      <c r="AL20597" s="13"/>
    </row>
    <row r="20598" spans="4:39" x14ac:dyDescent="0.3">
      <c r="D20598" s="1"/>
      <c r="G20598" s="13"/>
      <c r="AL20598" s="13"/>
    </row>
    <row r="20599" spans="4:39" x14ac:dyDescent="0.3">
      <c r="D20599" s="1"/>
      <c r="G20599" s="13"/>
      <c r="AL20599" s="13"/>
    </row>
    <row r="20600" spans="4:39" x14ac:dyDescent="0.3">
      <c r="D20600" s="1"/>
      <c r="G20600" s="13"/>
      <c r="AL20600" s="13"/>
    </row>
    <row r="20601" spans="4:39" x14ac:dyDescent="0.3">
      <c r="D20601" s="1"/>
      <c r="G20601" s="13"/>
      <c r="AL20601" s="13"/>
    </row>
    <row r="20602" spans="4:39" x14ac:dyDescent="0.3">
      <c r="D20602" s="1"/>
      <c r="G20602" s="13"/>
      <c r="AL20602" s="13"/>
    </row>
    <row r="20603" spans="4:39" x14ac:dyDescent="0.3">
      <c r="D20603" s="1"/>
      <c r="G20603" s="13"/>
      <c r="AL20603" s="13"/>
    </row>
    <row r="20604" spans="4:39" x14ac:dyDescent="0.3">
      <c r="D20604" s="1"/>
      <c r="G20604" s="13"/>
      <c r="AL20604" s="13"/>
    </row>
    <row r="20605" spans="4:39" x14ac:dyDescent="0.3">
      <c r="D20605" s="1"/>
      <c r="G20605" s="13"/>
      <c r="AL20605" s="13"/>
      <c r="AM20605" s="14"/>
    </row>
    <row r="20606" spans="4:39" x14ac:dyDescent="0.3">
      <c r="D20606" s="1"/>
      <c r="G20606" s="13"/>
      <c r="AL20606" s="13"/>
    </row>
    <row r="20607" spans="4:39" x14ac:dyDescent="0.3">
      <c r="D20607" s="1"/>
      <c r="G20607" s="13"/>
      <c r="AL20607" s="13"/>
    </row>
    <row r="20608" spans="4:39" x14ac:dyDescent="0.3">
      <c r="D20608" s="1"/>
      <c r="G20608" s="13"/>
      <c r="AL20608" s="13"/>
      <c r="AM20608" s="14"/>
    </row>
    <row r="20609" spans="4:39" x14ac:dyDescent="0.3">
      <c r="D20609" s="1"/>
      <c r="G20609" s="13"/>
      <c r="AL20609" s="13"/>
      <c r="AM20609" s="14"/>
    </row>
    <row r="20610" spans="4:39" x14ac:dyDescent="0.3">
      <c r="D20610" s="1"/>
      <c r="G20610" s="13"/>
      <c r="AL20610" s="13"/>
      <c r="AM20610" s="14"/>
    </row>
    <row r="20611" spans="4:39" x14ac:dyDescent="0.3">
      <c r="D20611" s="1"/>
      <c r="G20611" s="13"/>
      <c r="AL20611" s="13"/>
      <c r="AM20611" s="14"/>
    </row>
    <row r="20612" spans="4:39" x14ac:dyDescent="0.3">
      <c r="D20612" s="1"/>
      <c r="G20612" s="13"/>
      <c r="AL20612" s="13"/>
      <c r="AM20612" s="14"/>
    </row>
    <row r="20613" spans="4:39" x14ac:dyDescent="0.3">
      <c r="D20613" s="1"/>
      <c r="G20613" s="13"/>
      <c r="AL20613" s="13"/>
    </row>
    <row r="20614" spans="4:39" x14ac:dyDescent="0.3">
      <c r="D20614" s="1"/>
      <c r="G20614" s="13"/>
      <c r="AL20614" s="13"/>
    </row>
    <row r="20615" spans="4:39" x14ac:dyDescent="0.3">
      <c r="D20615" s="1"/>
      <c r="G20615" s="13"/>
      <c r="AL20615" s="13"/>
    </row>
    <row r="20616" spans="4:39" x14ac:dyDescent="0.3">
      <c r="D20616" s="1"/>
      <c r="G20616" s="13"/>
      <c r="AL20616" s="13"/>
      <c r="AM20616" s="14"/>
    </row>
    <row r="20617" spans="4:39" x14ac:dyDescent="0.3">
      <c r="D20617" s="1"/>
      <c r="G20617" s="13"/>
      <c r="AL20617" s="13"/>
      <c r="AM20617" s="14"/>
    </row>
    <row r="20618" spans="4:39" x14ac:dyDescent="0.3">
      <c r="D20618" s="1"/>
      <c r="G20618" s="13"/>
      <c r="AL20618" s="13"/>
    </row>
    <row r="20619" spans="4:39" x14ac:dyDescent="0.3">
      <c r="D20619" s="1"/>
      <c r="G20619" s="13"/>
      <c r="AL20619" s="13"/>
      <c r="AM20619" s="14"/>
    </row>
    <row r="20620" spans="4:39" x14ac:dyDescent="0.3">
      <c r="D20620" s="1"/>
      <c r="G20620" s="13"/>
      <c r="AL20620" s="13"/>
    </row>
    <row r="20621" spans="4:39" x14ac:dyDescent="0.3">
      <c r="D20621" s="1"/>
      <c r="G20621" s="13"/>
      <c r="AL20621" s="13"/>
    </row>
    <row r="20622" spans="4:39" x14ac:dyDescent="0.3">
      <c r="D20622" s="1"/>
      <c r="G20622" s="13"/>
      <c r="AL20622" s="13"/>
    </row>
    <row r="20623" spans="4:39" x14ac:dyDescent="0.3">
      <c r="D20623" s="1"/>
      <c r="G20623" s="13"/>
      <c r="AL20623" s="13"/>
    </row>
    <row r="20624" spans="4:39" x14ac:dyDescent="0.3">
      <c r="D20624" s="1"/>
      <c r="G20624" s="13"/>
      <c r="AL20624" s="13"/>
    </row>
    <row r="20625" spans="4:39" x14ac:dyDescent="0.3">
      <c r="D20625" s="1"/>
      <c r="G20625" s="13"/>
      <c r="AL20625" s="13"/>
      <c r="AM20625" s="14"/>
    </row>
    <row r="20626" spans="4:39" x14ac:dyDescent="0.3">
      <c r="D20626" s="1"/>
      <c r="G20626" s="13"/>
      <c r="AL20626" s="13"/>
      <c r="AM20626" s="14"/>
    </row>
    <row r="20627" spans="4:39" x14ac:dyDescent="0.3">
      <c r="D20627" s="1"/>
      <c r="G20627" s="13"/>
      <c r="AL20627" s="13"/>
    </row>
    <row r="20628" spans="4:39" x14ac:dyDescent="0.3">
      <c r="D20628" s="1"/>
      <c r="G20628" s="13"/>
      <c r="AL20628" s="13"/>
    </row>
    <row r="20629" spans="4:39" x14ac:dyDescent="0.3">
      <c r="D20629" s="1"/>
      <c r="G20629" s="13"/>
      <c r="AL20629" s="13"/>
    </row>
    <row r="20630" spans="4:39" x14ac:dyDescent="0.3">
      <c r="D20630" s="1"/>
      <c r="G20630" s="13"/>
      <c r="AL20630" s="13"/>
    </row>
    <row r="20631" spans="4:39" x14ac:dyDescent="0.3">
      <c r="D20631" s="1"/>
      <c r="G20631" s="13"/>
      <c r="AL20631" s="13"/>
    </row>
    <row r="20632" spans="4:39" x14ac:dyDescent="0.3">
      <c r="D20632" s="1"/>
      <c r="G20632" s="13"/>
      <c r="AL20632" s="13"/>
      <c r="AM20632" s="14"/>
    </row>
    <row r="20633" spans="4:39" x14ac:dyDescent="0.3">
      <c r="D20633" s="1"/>
      <c r="G20633" s="13"/>
      <c r="AL20633" s="13"/>
    </row>
    <row r="20634" spans="4:39" x14ac:dyDescent="0.3">
      <c r="D20634" s="1"/>
      <c r="G20634" s="13"/>
      <c r="AL20634" s="13"/>
    </row>
    <row r="20635" spans="4:39" x14ac:dyDescent="0.3">
      <c r="D20635" s="1"/>
      <c r="G20635" s="13"/>
      <c r="AL20635" s="13"/>
    </row>
    <row r="20636" spans="4:39" x14ac:dyDescent="0.3">
      <c r="D20636" s="1"/>
      <c r="G20636" s="13"/>
      <c r="AL20636" s="13"/>
    </row>
    <row r="20637" spans="4:39" x14ac:dyDescent="0.3">
      <c r="D20637" s="1"/>
      <c r="G20637" s="13"/>
      <c r="AL20637" s="13"/>
    </row>
    <row r="20638" spans="4:39" x14ac:dyDescent="0.3">
      <c r="D20638" s="1"/>
      <c r="G20638" s="13"/>
      <c r="AL20638" s="13"/>
      <c r="AM20638" s="14"/>
    </row>
    <row r="20639" spans="4:39" x14ac:dyDescent="0.3">
      <c r="D20639" s="1"/>
      <c r="G20639" s="13"/>
      <c r="AL20639" s="13"/>
      <c r="AM20639" s="14"/>
    </row>
    <row r="20640" spans="4:39" x14ac:dyDescent="0.3">
      <c r="D20640" s="1"/>
      <c r="G20640" s="13"/>
      <c r="AL20640" s="13"/>
    </row>
    <row r="20641" spans="4:39" x14ac:dyDescent="0.3">
      <c r="D20641" s="1"/>
      <c r="G20641" s="13"/>
      <c r="AL20641" s="13"/>
    </row>
    <row r="20642" spans="4:39" x14ac:dyDescent="0.3">
      <c r="D20642" s="1"/>
      <c r="G20642" s="13"/>
      <c r="AL20642" s="13"/>
    </row>
    <row r="20643" spans="4:39" x14ac:dyDescent="0.3">
      <c r="D20643" s="1"/>
      <c r="G20643" s="13"/>
      <c r="AL20643" s="13"/>
      <c r="AM20643" s="14"/>
    </row>
    <row r="20644" spans="4:39" x14ac:dyDescent="0.3">
      <c r="D20644" s="1"/>
      <c r="G20644" s="13"/>
      <c r="AL20644" s="13"/>
      <c r="AM20644" s="14"/>
    </row>
    <row r="20645" spans="4:39" x14ac:dyDescent="0.3">
      <c r="D20645" s="1"/>
      <c r="G20645" s="13"/>
      <c r="AL20645" s="13"/>
      <c r="AM20645" s="14"/>
    </row>
    <row r="20646" spans="4:39" x14ac:dyDescent="0.3">
      <c r="D20646" s="1"/>
      <c r="G20646" s="13"/>
      <c r="AL20646" s="13"/>
    </row>
    <row r="20647" spans="4:39" x14ac:dyDescent="0.3">
      <c r="D20647" s="1"/>
      <c r="G20647" s="13"/>
      <c r="AL20647" s="13"/>
      <c r="AM20647" s="14"/>
    </row>
    <row r="20648" spans="4:39" x14ac:dyDescent="0.3">
      <c r="D20648" s="1"/>
      <c r="G20648" s="13"/>
      <c r="AL20648" s="13"/>
    </row>
    <row r="20649" spans="4:39" x14ac:dyDescent="0.3">
      <c r="D20649" s="1"/>
      <c r="G20649" s="13"/>
      <c r="AL20649" s="13"/>
    </row>
    <row r="20650" spans="4:39" x14ac:dyDescent="0.3">
      <c r="D20650" s="1"/>
      <c r="G20650" s="13"/>
      <c r="AL20650" s="13"/>
      <c r="AM20650" s="14"/>
    </row>
    <row r="20651" spans="4:39" x14ac:dyDescent="0.3">
      <c r="D20651" s="1"/>
      <c r="G20651" s="13"/>
      <c r="AL20651" s="13"/>
      <c r="AM20651" s="14"/>
    </row>
    <row r="20652" spans="4:39" x14ac:dyDescent="0.3">
      <c r="D20652" s="1"/>
      <c r="G20652" s="13"/>
      <c r="AL20652" s="13"/>
      <c r="AM20652" s="14"/>
    </row>
    <row r="20653" spans="4:39" x14ac:dyDescent="0.3">
      <c r="D20653" s="1"/>
      <c r="G20653" s="13"/>
      <c r="AL20653" s="13"/>
      <c r="AM20653" s="14"/>
    </row>
    <row r="20654" spans="4:39" x14ac:dyDescent="0.3">
      <c r="D20654" s="1"/>
      <c r="G20654" s="13"/>
      <c r="AL20654" s="13"/>
    </row>
    <row r="20655" spans="4:39" x14ac:dyDescent="0.3">
      <c r="D20655" s="1"/>
      <c r="G20655" s="13"/>
      <c r="AL20655" s="13"/>
      <c r="AM20655" s="14"/>
    </row>
    <row r="20656" spans="4:39" x14ac:dyDescent="0.3">
      <c r="D20656" s="1"/>
      <c r="G20656" s="13"/>
      <c r="AL20656" s="13"/>
    </row>
    <row r="20657" spans="4:39" x14ac:dyDescent="0.3">
      <c r="D20657" s="1"/>
      <c r="G20657" s="13"/>
      <c r="AL20657" s="13"/>
    </row>
    <row r="20658" spans="4:39" x14ac:dyDescent="0.3">
      <c r="D20658" s="1"/>
      <c r="G20658" s="13"/>
      <c r="AL20658" s="13"/>
    </row>
    <row r="20659" spans="4:39" x14ac:dyDescent="0.3">
      <c r="D20659" s="1"/>
      <c r="G20659" s="13"/>
      <c r="AL20659" s="13"/>
    </row>
    <row r="20660" spans="4:39" x14ac:dyDescent="0.3">
      <c r="D20660" s="1"/>
      <c r="G20660" s="13"/>
      <c r="AL20660" s="13"/>
    </row>
    <row r="20661" spans="4:39" x14ac:dyDescent="0.3">
      <c r="D20661" s="1"/>
      <c r="G20661" s="13"/>
      <c r="AL20661" s="13"/>
    </row>
    <row r="20662" spans="4:39" x14ac:dyDescent="0.3">
      <c r="D20662" s="1"/>
      <c r="G20662" s="13"/>
      <c r="AL20662" s="13"/>
    </row>
    <row r="20663" spans="4:39" x14ac:dyDescent="0.3">
      <c r="D20663" s="1"/>
      <c r="G20663" s="13"/>
      <c r="AL20663" s="13"/>
    </row>
    <row r="20664" spans="4:39" x14ac:dyDescent="0.3">
      <c r="D20664" s="1"/>
      <c r="G20664" s="13"/>
      <c r="AL20664" s="13"/>
    </row>
    <row r="20665" spans="4:39" x14ac:dyDescent="0.3">
      <c r="D20665" s="1"/>
      <c r="G20665" s="13"/>
      <c r="AL20665" s="13"/>
    </row>
    <row r="20666" spans="4:39" x14ac:dyDescent="0.3">
      <c r="D20666" s="1"/>
      <c r="G20666" s="13"/>
      <c r="AL20666" s="13"/>
    </row>
    <row r="20667" spans="4:39" x14ac:dyDescent="0.3">
      <c r="D20667" s="1"/>
      <c r="G20667" s="13"/>
      <c r="AL20667" s="13"/>
      <c r="AM20667" s="14"/>
    </row>
    <row r="20668" spans="4:39" x14ac:dyDescent="0.3">
      <c r="D20668" s="1"/>
      <c r="G20668" s="13"/>
      <c r="AL20668" s="13"/>
    </row>
    <row r="20669" spans="4:39" x14ac:dyDescent="0.3">
      <c r="D20669" s="1"/>
      <c r="G20669" s="13"/>
      <c r="AL20669" s="13"/>
    </row>
    <row r="20670" spans="4:39" x14ac:dyDescent="0.3">
      <c r="D20670" s="1"/>
      <c r="G20670" s="13"/>
      <c r="AL20670" s="13"/>
    </row>
    <row r="20671" spans="4:39" x14ac:dyDescent="0.3">
      <c r="D20671" s="1"/>
      <c r="G20671" s="13"/>
      <c r="AL20671" s="13"/>
    </row>
    <row r="20672" spans="4:39" x14ac:dyDescent="0.3">
      <c r="D20672" s="1"/>
      <c r="G20672" s="13"/>
      <c r="AL20672" s="13"/>
    </row>
    <row r="20673" spans="4:39" x14ac:dyDescent="0.3">
      <c r="D20673" s="1"/>
      <c r="G20673" s="13"/>
      <c r="AL20673" s="13"/>
    </row>
    <row r="20674" spans="4:39" x14ac:dyDescent="0.3">
      <c r="D20674" s="1"/>
      <c r="G20674" s="13"/>
      <c r="AL20674" s="13"/>
      <c r="AM20674" s="14"/>
    </row>
    <row r="20675" spans="4:39" x14ac:dyDescent="0.3">
      <c r="D20675" s="1"/>
      <c r="G20675" s="13"/>
      <c r="AL20675" s="13"/>
      <c r="AM20675" s="14"/>
    </row>
    <row r="20676" spans="4:39" x14ac:dyDescent="0.3">
      <c r="D20676" s="1"/>
      <c r="G20676" s="13"/>
      <c r="AL20676" s="13"/>
    </row>
    <row r="20677" spans="4:39" x14ac:dyDescent="0.3">
      <c r="D20677" s="1"/>
      <c r="G20677" s="13"/>
      <c r="AL20677" s="13"/>
    </row>
    <row r="20678" spans="4:39" x14ac:dyDescent="0.3">
      <c r="D20678" s="1"/>
      <c r="G20678" s="13"/>
      <c r="AL20678" s="13"/>
    </row>
    <row r="20679" spans="4:39" x14ac:dyDescent="0.3">
      <c r="D20679" s="1"/>
      <c r="G20679" s="13"/>
      <c r="AL20679" s="13"/>
    </row>
    <row r="20680" spans="4:39" x14ac:dyDescent="0.3">
      <c r="D20680" s="1"/>
      <c r="G20680" s="13"/>
      <c r="AL20680" s="13"/>
    </row>
    <row r="20681" spans="4:39" x14ac:dyDescent="0.3">
      <c r="D20681" s="1"/>
      <c r="G20681" s="13"/>
      <c r="AL20681" s="13"/>
    </row>
    <row r="20682" spans="4:39" x14ac:dyDescent="0.3">
      <c r="D20682" s="1"/>
      <c r="G20682" s="13"/>
      <c r="AL20682" s="13"/>
    </row>
    <row r="20683" spans="4:39" x14ac:dyDescent="0.3">
      <c r="D20683" s="1"/>
      <c r="G20683" s="13"/>
      <c r="AL20683" s="13"/>
    </row>
    <row r="20684" spans="4:39" x14ac:dyDescent="0.3">
      <c r="D20684" s="1"/>
      <c r="G20684" s="13"/>
      <c r="AL20684" s="13"/>
      <c r="AM20684" s="14"/>
    </row>
    <row r="20685" spans="4:39" x14ac:dyDescent="0.3">
      <c r="D20685" s="1"/>
      <c r="G20685" s="13"/>
      <c r="AL20685" s="13"/>
      <c r="AM20685" s="14"/>
    </row>
    <row r="20686" spans="4:39" x14ac:dyDescent="0.3">
      <c r="D20686" s="1"/>
      <c r="G20686" s="13"/>
      <c r="AL20686" s="13"/>
    </row>
    <row r="20687" spans="4:39" x14ac:dyDescent="0.3">
      <c r="D20687" s="1"/>
      <c r="G20687" s="13"/>
      <c r="AL20687" s="13"/>
    </row>
    <row r="20688" spans="4:39" x14ac:dyDescent="0.3">
      <c r="D20688" s="1"/>
      <c r="G20688" s="13"/>
      <c r="AL20688" s="13"/>
    </row>
    <row r="20689" spans="4:38" x14ac:dyDescent="0.3">
      <c r="D20689" s="1"/>
      <c r="G20689" s="13"/>
      <c r="AL20689" s="13"/>
    </row>
    <row r="20690" spans="4:38" x14ac:dyDescent="0.3">
      <c r="D20690" s="1"/>
      <c r="G20690" s="13"/>
      <c r="AL20690" s="13"/>
    </row>
    <row r="20691" spans="4:38" x14ac:dyDescent="0.3">
      <c r="D20691" s="1"/>
      <c r="G20691" s="13"/>
      <c r="AL20691" s="13"/>
    </row>
    <row r="20692" spans="4:38" x14ac:dyDescent="0.3">
      <c r="D20692" s="1"/>
      <c r="G20692" s="13"/>
      <c r="AL20692" s="13"/>
    </row>
    <row r="20693" spans="4:38" x14ac:dyDescent="0.3">
      <c r="D20693" s="1"/>
      <c r="G20693" s="13"/>
      <c r="AL20693" s="13"/>
    </row>
    <row r="20694" spans="4:38" x14ac:dyDescent="0.3">
      <c r="D20694" s="1"/>
      <c r="G20694" s="13"/>
      <c r="AL20694" s="13"/>
    </row>
    <row r="20695" spans="4:38" x14ac:dyDescent="0.3">
      <c r="D20695" s="1"/>
      <c r="G20695" s="13"/>
      <c r="AL20695" s="13"/>
    </row>
    <row r="20696" spans="4:38" x14ac:dyDescent="0.3">
      <c r="D20696" s="1"/>
      <c r="G20696" s="13"/>
      <c r="AL20696" s="13"/>
    </row>
    <row r="20697" spans="4:38" x14ac:dyDescent="0.3">
      <c r="D20697" s="1"/>
      <c r="G20697" s="13"/>
      <c r="AL20697" s="13"/>
    </row>
    <row r="20698" spans="4:38" x14ac:dyDescent="0.3">
      <c r="D20698" s="1"/>
      <c r="G20698" s="13"/>
      <c r="AL20698" s="13"/>
    </row>
    <row r="20699" spans="4:38" x14ac:dyDescent="0.3">
      <c r="D20699" s="1"/>
      <c r="G20699" s="13"/>
      <c r="AL20699" s="13"/>
    </row>
    <row r="20700" spans="4:38" x14ac:dyDescent="0.3">
      <c r="D20700" s="1"/>
      <c r="G20700" s="13"/>
      <c r="AL20700" s="13"/>
    </row>
    <row r="20701" spans="4:38" x14ac:dyDescent="0.3">
      <c r="D20701" s="1"/>
      <c r="G20701" s="13"/>
      <c r="AL20701" s="13"/>
    </row>
    <row r="20702" spans="4:38" x14ac:dyDescent="0.3">
      <c r="D20702" s="1"/>
      <c r="G20702" s="13"/>
      <c r="AL20702" s="13"/>
    </row>
    <row r="20703" spans="4:38" x14ac:dyDescent="0.3">
      <c r="D20703" s="1"/>
      <c r="G20703" s="13"/>
      <c r="AL20703" s="13"/>
    </row>
    <row r="20704" spans="4:38" x14ac:dyDescent="0.3">
      <c r="D20704" s="1"/>
      <c r="G20704" s="13"/>
      <c r="AL20704" s="13"/>
    </row>
    <row r="20705" spans="4:38" x14ac:dyDescent="0.3">
      <c r="D20705" s="1"/>
      <c r="G20705" s="13"/>
      <c r="AL20705" s="13"/>
    </row>
    <row r="20706" spans="4:38" x14ac:dyDescent="0.3">
      <c r="D20706" s="1"/>
      <c r="G20706" s="13"/>
      <c r="AL20706" s="13"/>
    </row>
    <row r="20707" spans="4:38" x14ac:dyDescent="0.3">
      <c r="D20707" s="1"/>
      <c r="G20707" s="13"/>
      <c r="AL20707" s="13"/>
    </row>
    <row r="20708" spans="4:38" x14ac:dyDescent="0.3">
      <c r="D20708" s="1"/>
      <c r="G20708" s="13"/>
      <c r="AL20708" s="13"/>
    </row>
    <row r="20709" spans="4:38" x14ac:dyDescent="0.3">
      <c r="D20709" s="1"/>
      <c r="G20709" s="13"/>
      <c r="AL20709" s="13"/>
    </row>
    <row r="20710" spans="4:38" x14ac:dyDescent="0.3">
      <c r="D20710" s="1"/>
      <c r="G20710" s="13"/>
      <c r="AL20710" s="13"/>
    </row>
    <row r="20711" spans="4:38" x14ac:dyDescent="0.3">
      <c r="D20711" s="1"/>
      <c r="G20711" s="13"/>
      <c r="AL20711" s="13"/>
    </row>
    <row r="20712" spans="4:38" x14ac:dyDescent="0.3">
      <c r="D20712" s="1"/>
      <c r="G20712" s="13"/>
      <c r="AL20712" s="13"/>
    </row>
    <row r="20713" spans="4:38" x14ac:dyDescent="0.3">
      <c r="D20713" s="1"/>
      <c r="G20713" s="13"/>
      <c r="AL20713" s="13"/>
    </row>
    <row r="20714" spans="4:38" x14ac:dyDescent="0.3">
      <c r="D20714" s="1"/>
      <c r="G20714" s="13"/>
      <c r="AL20714" s="13"/>
    </row>
    <row r="20715" spans="4:38" x14ac:dyDescent="0.3">
      <c r="D20715" s="1"/>
      <c r="G20715" s="13"/>
      <c r="AL20715" s="13"/>
    </row>
    <row r="20716" spans="4:38" x14ac:dyDescent="0.3">
      <c r="D20716" s="1"/>
      <c r="G20716" s="13"/>
      <c r="AL20716" s="13"/>
    </row>
    <row r="20717" spans="4:38" x14ac:dyDescent="0.3">
      <c r="D20717" s="1"/>
      <c r="G20717" s="13"/>
      <c r="AL20717" s="13"/>
    </row>
    <row r="20718" spans="4:38" x14ac:dyDescent="0.3">
      <c r="D20718" s="1"/>
      <c r="G20718" s="13"/>
      <c r="AL20718" s="13"/>
    </row>
    <row r="20719" spans="4:38" x14ac:dyDescent="0.3">
      <c r="D20719" s="1"/>
      <c r="G20719" s="13"/>
      <c r="AL20719" s="13"/>
    </row>
    <row r="20720" spans="4:38" x14ac:dyDescent="0.3">
      <c r="D20720" s="1"/>
      <c r="G20720" s="13"/>
      <c r="AL20720" s="13"/>
    </row>
    <row r="20721" spans="4:38" x14ac:dyDescent="0.3">
      <c r="D20721" s="1"/>
      <c r="G20721" s="13"/>
      <c r="AL20721" s="13"/>
    </row>
    <row r="20722" spans="4:38" x14ac:dyDescent="0.3">
      <c r="D20722" s="1"/>
      <c r="G20722" s="13"/>
      <c r="AL20722" s="13"/>
    </row>
    <row r="20723" spans="4:38" x14ac:dyDescent="0.3">
      <c r="D20723" s="1"/>
      <c r="G20723" s="13"/>
      <c r="AL20723" s="13"/>
    </row>
    <row r="20724" spans="4:38" x14ac:dyDescent="0.3">
      <c r="D20724" s="1"/>
      <c r="G20724" s="13"/>
      <c r="AL20724" s="13"/>
    </row>
    <row r="20725" spans="4:38" x14ac:dyDescent="0.3">
      <c r="D20725" s="1"/>
      <c r="G20725" s="13"/>
      <c r="AL20725" s="13"/>
    </row>
    <row r="20726" spans="4:38" x14ac:dyDescent="0.3">
      <c r="D20726" s="1"/>
      <c r="G20726" s="13"/>
      <c r="AL20726" s="13"/>
    </row>
    <row r="20727" spans="4:38" x14ac:dyDescent="0.3">
      <c r="D20727" s="1"/>
      <c r="G20727" s="13"/>
      <c r="AL20727" s="13"/>
    </row>
    <row r="20728" spans="4:38" x14ac:dyDescent="0.3">
      <c r="D20728" s="1"/>
      <c r="G20728" s="13"/>
      <c r="AL20728" s="13"/>
    </row>
    <row r="20729" spans="4:38" x14ac:dyDescent="0.3">
      <c r="D20729" s="1"/>
      <c r="G20729" s="13"/>
      <c r="AL20729" s="13"/>
    </row>
    <row r="20730" spans="4:38" x14ac:dyDescent="0.3">
      <c r="D20730" s="1"/>
      <c r="G20730" s="13"/>
      <c r="AL20730" s="13"/>
    </row>
    <row r="20731" spans="4:38" x14ac:dyDescent="0.3">
      <c r="D20731" s="1"/>
      <c r="G20731" s="13"/>
      <c r="AL20731" s="13"/>
    </row>
    <row r="20732" spans="4:38" x14ac:dyDescent="0.3">
      <c r="D20732" s="1"/>
      <c r="G20732" s="13"/>
      <c r="AL20732" s="13"/>
    </row>
    <row r="20733" spans="4:38" x14ac:dyDescent="0.3">
      <c r="D20733" s="1"/>
      <c r="G20733" s="13"/>
      <c r="AL20733" s="13"/>
    </row>
    <row r="20734" spans="4:38" x14ac:dyDescent="0.3">
      <c r="D20734" s="1"/>
      <c r="G20734" s="13"/>
      <c r="AL20734" s="13"/>
    </row>
    <row r="20735" spans="4:38" x14ac:dyDescent="0.3">
      <c r="D20735" s="1"/>
      <c r="G20735" s="13"/>
      <c r="AL20735" s="13"/>
    </row>
    <row r="20736" spans="4:38" x14ac:dyDescent="0.3">
      <c r="D20736" s="1"/>
      <c r="G20736" s="13"/>
      <c r="AL20736" s="13"/>
    </row>
    <row r="20737" spans="4:38" x14ac:dyDescent="0.3">
      <c r="D20737" s="1"/>
      <c r="G20737" s="13"/>
      <c r="AL20737" s="13"/>
    </row>
    <row r="20738" spans="4:38" x14ac:dyDescent="0.3">
      <c r="D20738" s="1"/>
      <c r="G20738" s="13"/>
      <c r="AL20738" s="13"/>
    </row>
    <row r="20739" spans="4:38" x14ac:dyDescent="0.3">
      <c r="D20739" s="1"/>
      <c r="G20739" s="13"/>
      <c r="AL20739" s="13"/>
    </row>
    <row r="20740" spans="4:38" x14ac:dyDescent="0.3">
      <c r="D20740" s="1"/>
      <c r="G20740" s="13"/>
      <c r="AL20740" s="13"/>
    </row>
    <row r="20741" spans="4:38" x14ac:dyDescent="0.3">
      <c r="D20741" s="1"/>
      <c r="G20741" s="13"/>
      <c r="AL20741" s="13"/>
    </row>
    <row r="20742" spans="4:38" x14ac:dyDescent="0.3">
      <c r="D20742" s="1"/>
      <c r="G20742" s="13"/>
      <c r="AL20742" s="13"/>
    </row>
    <row r="20743" spans="4:38" x14ac:dyDescent="0.3">
      <c r="D20743" s="1"/>
      <c r="G20743" s="13"/>
      <c r="AL20743" s="13"/>
    </row>
    <row r="20744" spans="4:38" x14ac:dyDescent="0.3">
      <c r="D20744" s="1"/>
      <c r="G20744" s="13"/>
      <c r="AL20744" s="13"/>
    </row>
    <row r="20745" spans="4:38" x14ac:dyDescent="0.3">
      <c r="D20745" s="1"/>
      <c r="G20745" s="13"/>
      <c r="AL20745" s="13"/>
    </row>
    <row r="20746" spans="4:38" x14ac:dyDescent="0.3">
      <c r="D20746" s="1"/>
      <c r="G20746" s="13"/>
      <c r="AL20746" s="13"/>
    </row>
    <row r="20747" spans="4:38" x14ac:dyDescent="0.3">
      <c r="D20747" s="1"/>
      <c r="G20747" s="13"/>
      <c r="AL20747" s="13"/>
    </row>
    <row r="20748" spans="4:38" x14ac:dyDescent="0.3">
      <c r="D20748" s="1"/>
      <c r="G20748" s="13"/>
      <c r="AL20748" s="13"/>
    </row>
    <row r="20749" spans="4:38" x14ac:dyDescent="0.3">
      <c r="D20749" s="1"/>
      <c r="G20749" s="13"/>
      <c r="AL20749" s="13"/>
    </row>
    <row r="20750" spans="4:38" x14ac:dyDescent="0.3">
      <c r="D20750" s="1"/>
      <c r="G20750" s="13"/>
      <c r="AL20750" s="13"/>
    </row>
    <row r="20751" spans="4:38" x14ac:dyDescent="0.3">
      <c r="D20751" s="1"/>
      <c r="G20751" s="13"/>
      <c r="AL20751" s="13"/>
    </row>
    <row r="20752" spans="4:38" x14ac:dyDescent="0.3">
      <c r="D20752" s="1"/>
      <c r="G20752" s="13"/>
      <c r="AL20752" s="13"/>
    </row>
    <row r="20753" spans="4:38" x14ac:dyDescent="0.3">
      <c r="D20753" s="1"/>
      <c r="G20753" s="13"/>
      <c r="AL20753" s="13"/>
    </row>
    <row r="20754" spans="4:38" x14ac:dyDescent="0.3">
      <c r="D20754" s="1"/>
      <c r="G20754" s="13"/>
      <c r="AL20754" s="13"/>
    </row>
    <row r="20755" spans="4:38" x14ac:dyDescent="0.3">
      <c r="D20755" s="1"/>
      <c r="G20755" s="13"/>
      <c r="AL20755" s="13"/>
    </row>
    <row r="20756" spans="4:38" x14ac:dyDescent="0.3">
      <c r="D20756" s="1"/>
      <c r="G20756" s="13"/>
      <c r="AL20756" s="13"/>
    </row>
    <row r="20757" spans="4:38" x14ac:dyDescent="0.3">
      <c r="D20757" s="1"/>
      <c r="G20757" s="13"/>
      <c r="AL20757" s="13"/>
    </row>
    <row r="20758" spans="4:38" x14ac:dyDescent="0.3">
      <c r="D20758" s="1"/>
      <c r="G20758" s="13"/>
      <c r="AL20758" s="13"/>
    </row>
    <row r="20759" spans="4:38" x14ac:dyDescent="0.3">
      <c r="D20759" s="1"/>
      <c r="G20759" s="13"/>
      <c r="AL20759" s="13"/>
    </row>
    <row r="20760" spans="4:38" x14ac:dyDescent="0.3">
      <c r="D20760" s="1"/>
      <c r="G20760" s="13"/>
      <c r="AL20760" s="13"/>
    </row>
    <row r="20761" spans="4:38" x14ac:dyDescent="0.3">
      <c r="D20761" s="1"/>
      <c r="G20761" s="13"/>
      <c r="AL20761" s="13"/>
    </row>
    <row r="20762" spans="4:38" x14ac:dyDescent="0.3">
      <c r="D20762" s="1"/>
      <c r="G20762" s="13"/>
      <c r="AL20762" s="13"/>
    </row>
    <row r="20763" spans="4:38" x14ac:dyDescent="0.3">
      <c r="D20763" s="1"/>
      <c r="G20763" s="13"/>
      <c r="AL20763" s="13"/>
    </row>
    <row r="20764" spans="4:38" x14ac:dyDescent="0.3">
      <c r="D20764" s="1"/>
      <c r="G20764" s="13"/>
      <c r="AL20764" s="13"/>
    </row>
    <row r="20765" spans="4:38" x14ac:dyDescent="0.3">
      <c r="D20765" s="1"/>
      <c r="G20765" s="13"/>
      <c r="AL20765" s="13"/>
    </row>
    <row r="20766" spans="4:38" x14ac:dyDescent="0.3">
      <c r="D20766" s="1"/>
      <c r="G20766" s="13"/>
      <c r="AL20766" s="13"/>
    </row>
    <row r="20767" spans="4:38" x14ac:dyDescent="0.3">
      <c r="D20767" s="1"/>
      <c r="G20767" s="13"/>
      <c r="AL20767" s="13"/>
    </row>
    <row r="20768" spans="4:38" x14ac:dyDescent="0.3">
      <c r="D20768" s="1"/>
      <c r="G20768" s="13"/>
      <c r="AL20768" s="13"/>
    </row>
    <row r="20769" spans="4:38" x14ac:dyDescent="0.3">
      <c r="D20769" s="1"/>
      <c r="G20769" s="13"/>
      <c r="AL20769" s="13"/>
    </row>
    <row r="20770" spans="4:38" x14ac:dyDescent="0.3">
      <c r="D20770" s="1"/>
      <c r="G20770" s="13"/>
      <c r="AL20770" s="13"/>
    </row>
    <row r="20771" spans="4:38" x14ac:dyDescent="0.3">
      <c r="D20771" s="1"/>
      <c r="G20771" s="13"/>
      <c r="AL20771" s="13"/>
    </row>
    <row r="20772" spans="4:38" x14ac:dyDescent="0.3">
      <c r="D20772" s="1"/>
      <c r="G20772" s="13"/>
      <c r="AL20772" s="13"/>
    </row>
    <row r="20773" spans="4:38" x14ac:dyDescent="0.3">
      <c r="D20773" s="1"/>
      <c r="G20773" s="13"/>
      <c r="AL20773" s="13"/>
    </row>
    <row r="20774" spans="4:38" x14ac:dyDescent="0.3">
      <c r="D20774" s="1"/>
      <c r="G20774" s="13"/>
      <c r="AL20774" s="13"/>
    </row>
    <row r="20775" spans="4:38" x14ac:dyDescent="0.3">
      <c r="D20775" s="1"/>
      <c r="G20775" s="13"/>
      <c r="AL20775" s="13"/>
    </row>
    <row r="20776" spans="4:38" x14ac:dyDescent="0.3">
      <c r="D20776" s="1"/>
      <c r="G20776" s="13"/>
      <c r="AL20776" s="13"/>
    </row>
    <row r="20777" spans="4:38" x14ac:dyDescent="0.3">
      <c r="D20777" s="1"/>
      <c r="G20777" s="13"/>
      <c r="AL20777" s="13"/>
    </row>
    <row r="20778" spans="4:38" x14ac:dyDescent="0.3">
      <c r="D20778" s="1"/>
      <c r="G20778" s="13"/>
      <c r="AL20778" s="13"/>
    </row>
    <row r="20779" spans="4:38" x14ac:dyDescent="0.3">
      <c r="D20779" s="1"/>
      <c r="G20779" s="13"/>
      <c r="AL20779" s="13"/>
    </row>
    <row r="20780" spans="4:38" x14ac:dyDescent="0.3">
      <c r="D20780" s="1"/>
      <c r="G20780" s="13"/>
      <c r="AL20780" s="13"/>
    </row>
    <row r="20781" spans="4:38" x14ac:dyDescent="0.3">
      <c r="D20781" s="1"/>
      <c r="G20781" s="13"/>
      <c r="AL20781" s="13"/>
    </row>
    <row r="20782" spans="4:38" x14ac:dyDescent="0.3">
      <c r="D20782" s="1"/>
      <c r="G20782" s="13"/>
      <c r="AL20782" s="13"/>
    </row>
    <row r="20783" spans="4:38" x14ac:dyDescent="0.3">
      <c r="D20783" s="1"/>
      <c r="G20783" s="13"/>
      <c r="AL20783" s="13"/>
    </row>
    <row r="20784" spans="4:38" x14ac:dyDescent="0.3">
      <c r="D20784" s="1"/>
      <c r="G20784" s="13"/>
      <c r="AL20784" s="13"/>
    </row>
    <row r="20785" spans="4:38" x14ac:dyDescent="0.3">
      <c r="D20785" s="1"/>
      <c r="G20785" s="13"/>
      <c r="AL20785" s="13"/>
    </row>
    <row r="20786" spans="4:38" x14ac:dyDescent="0.3">
      <c r="D20786" s="1"/>
      <c r="G20786" s="13"/>
      <c r="AL20786" s="13"/>
    </row>
    <row r="20787" spans="4:38" x14ac:dyDescent="0.3">
      <c r="D20787" s="1"/>
      <c r="G20787" s="13"/>
      <c r="AL20787" s="13"/>
    </row>
    <row r="20788" spans="4:38" x14ac:dyDescent="0.3">
      <c r="D20788" s="1"/>
      <c r="G20788" s="13"/>
      <c r="AL20788" s="13"/>
    </row>
    <row r="20789" spans="4:38" x14ac:dyDescent="0.3">
      <c r="D20789" s="1"/>
      <c r="G20789" s="13"/>
      <c r="AL20789" s="13"/>
    </row>
    <row r="20790" spans="4:38" x14ac:dyDescent="0.3">
      <c r="D20790" s="1"/>
      <c r="G20790" s="13"/>
      <c r="AL20790" s="13"/>
    </row>
    <row r="20791" spans="4:38" x14ac:dyDescent="0.3">
      <c r="D20791" s="1"/>
      <c r="G20791" s="13"/>
      <c r="AL20791" s="13"/>
    </row>
    <row r="20792" spans="4:38" x14ac:dyDescent="0.3">
      <c r="D20792" s="1"/>
      <c r="G20792" s="13"/>
      <c r="AL20792" s="13"/>
    </row>
    <row r="20793" spans="4:38" x14ac:dyDescent="0.3">
      <c r="D20793" s="1"/>
      <c r="G20793" s="13"/>
      <c r="AL20793" s="13"/>
    </row>
    <row r="20794" spans="4:38" x14ac:dyDescent="0.3">
      <c r="D20794" s="1"/>
      <c r="G20794" s="13"/>
      <c r="AL20794" s="13"/>
    </row>
    <row r="20795" spans="4:38" x14ac:dyDescent="0.3">
      <c r="D20795" s="1"/>
      <c r="G20795" s="13"/>
      <c r="AL20795" s="13"/>
    </row>
    <row r="20796" spans="4:38" x14ac:dyDescent="0.3">
      <c r="D20796" s="1"/>
      <c r="G20796" s="13"/>
      <c r="AL20796" s="13"/>
    </row>
    <row r="20797" spans="4:38" x14ac:dyDescent="0.3">
      <c r="D20797" s="1"/>
      <c r="G20797" s="13"/>
      <c r="AL20797" s="13"/>
    </row>
    <row r="20798" spans="4:38" x14ac:dyDescent="0.3">
      <c r="D20798" s="1"/>
      <c r="G20798" s="13"/>
      <c r="AL20798" s="13"/>
    </row>
    <row r="20799" spans="4:38" x14ac:dyDescent="0.3">
      <c r="D20799" s="1"/>
      <c r="G20799" s="13"/>
      <c r="AL20799" s="13"/>
    </row>
    <row r="20800" spans="4:38" x14ac:dyDescent="0.3">
      <c r="D20800" s="1"/>
      <c r="G20800" s="13"/>
      <c r="AL20800" s="13"/>
    </row>
    <row r="20801" spans="4:38" x14ac:dyDescent="0.3">
      <c r="D20801" s="1"/>
      <c r="G20801" s="13"/>
      <c r="AL20801" s="13"/>
    </row>
    <row r="20802" spans="4:38" x14ac:dyDescent="0.3">
      <c r="D20802" s="1"/>
      <c r="G20802" s="13"/>
      <c r="AL20802" s="13"/>
    </row>
    <row r="20803" spans="4:38" x14ac:dyDescent="0.3">
      <c r="D20803" s="1"/>
      <c r="G20803" s="13"/>
      <c r="AL20803" s="13"/>
    </row>
    <row r="20804" spans="4:38" x14ac:dyDescent="0.3">
      <c r="D20804" s="1"/>
      <c r="G20804" s="13"/>
      <c r="AL20804" s="13"/>
    </row>
    <row r="20805" spans="4:38" x14ac:dyDescent="0.3">
      <c r="D20805" s="1"/>
      <c r="G20805" s="13"/>
      <c r="AL20805" s="13"/>
    </row>
    <row r="20806" spans="4:38" x14ac:dyDescent="0.3">
      <c r="D20806" s="1"/>
      <c r="G20806" s="13"/>
      <c r="AL20806" s="13"/>
    </row>
    <row r="20807" spans="4:38" x14ac:dyDescent="0.3">
      <c r="D20807" s="1"/>
      <c r="G20807" s="13"/>
      <c r="AL20807" s="13"/>
    </row>
    <row r="20808" spans="4:38" x14ac:dyDescent="0.3">
      <c r="D20808" s="1"/>
      <c r="G20808" s="13"/>
      <c r="AL20808" s="13"/>
    </row>
    <row r="20809" spans="4:38" x14ac:dyDescent="0.3">
      <c r="D20809" s="1"/>
      <c r="G20809" s="13"/>
      <c r="AL20809" s="13"/>
    </row>
    <row r="20810" spans="4:38" x14ac:dyDescent="0.3">
      <c r="D20810" s="1"/>
      <c r="G20810" s="13"/>
      <c r="AL20810" s="13"/>
    </row>
    <row r="20811" spans="4:38" x14ac:dyDescent="0.3">
      <c r="D20811" s="1"/>
      <c r="G20811" s="13"/>
      <c r="AL20811" s="13"/>
    </row>
    <row r="20812" spans="4:38" x14ac:dyDescent="0.3">
      <c r="D20812" s="1"/>
      <c r="G20812" s="13"/>
      <c r="AL20812" s="13"/>
    </row>
    <row r="20813" spans="4:38" x14ac:dyDescent="0.3">
      <c r="D20813" s="1"/>
      <c r="G20813" s="13"/>
      <c r="AL20813" s="13"/>
    </row>
    <row r="20814" spans="4:38" x14ac:dyDescent="0.3">
      <c r="D20814" s="1"/>
      <c r="G20814" s="13"/>
      <c r="AL20814" s="13"/>
    </row>
    <row r="20815" spans="4:38" x14ac:dyDescent="0.3">
      <c r="D20815" s="1"/>
      <c r="G20815" s="13"/>
      <c r="AL20815" s="13"/>
    </row>
    <row r="20816" spans="4:38" x14ac:dyDescent="0.3">
      <c r="D20816" s="1"/>
      <c r="G20816" s="13"/>
      <c r="AL20816" s="13"/>
    </row>
    <row r="20817" spans="4:38" x14ac:dyDescent="0.3">
      <c r="D20817" s="1"/>
      <c r="G20817" s="13"/>
      <c r="AL20817" s="13"/>
    </row>
    <row r="20818" spans="4:38" x14ac:dyDescent="0.3">
      <c r="D20818" s="1"/>
      <c r="G20818" s="13"/>
      <c r="AL20818" s="13"/>
    </row>
    <row r="20819" spans="4:38" x14ac:dyDescent="0.3">
      <c r="D20819" s="1"/>
      <c r="G20819" s="13"/>
      <c r="AL20819" s="13"/>
    </row>
    <row r="20820" spans="4:38" x14ac:dyDescent="0.3">
      <c r="D20820" s="1"/>
      <c r="G20820" s="13"/>
      <c r="AL20820" s="13"/>
    </row>
    <row r="20821" spans="4:38" x14ac:dyDescent="0.3">
      <c r="D20821" s="1"/>
      <c r="G20821" s="13"/>
      <c r="AL20821" s="13"/>
    </row>
    <row r="20822" spans="4:38" x14ac:dyDescent="0.3">
      <c r="D20822" s="1"/>
      <c r="G20822" s="13"/>
      <c r="AL20822" s="13"/>
    </row>
    <row r="20823" spans="4:38" x14ac:dyDescent="0.3">
      <c r="D20823" s="1"/>
      <c r="G20823" s="13"/>
      <c r="AL20823" s="13"/>
    </row>
    <row r="20824" spans="4:38" x14ac:dyDescent="0.3">
      <c r="D20824" s="1"/>
      <c r="G20824" s="13"/>
      <c r="AL20824" s="13"/>
    </row>
    <row r="20825" spans="4:38" x14ac:dyDescent="0.3">
      <c r="D20825" s="1"/>
      <c r="G20825" s="13"/>
      <c r="AL20825" s="13"/>
    </row>
    <row r="20826" spans="4:38" x14ac:dyDescent="0.3">
      <c r="D20826" s="1"/>
      <c r="G20826" s="13"/>
      <c r="AL20826" s="13"/>
    </row>
    <row r="20827" spans="4:38" x14ac:dyDescent="0.3">
      <c r="D20827" s="1"/>
      <c r="G20827" s="13"/>
      <c r="AL20827" s="13"/>
    </row>
    <row r="20828" spans="4:38" x14ac:dyDescent="0.3">
      <c r="D20828" s="1"/>
      <c r="G20828" s="13"/>
      <c r="AL20828" s="13"/>
    </row>
    <row r="20829" spans="4:38" x14ac:dyDescent="0.3">
      <c r="D20829" s="1"/>
      <c r="G20829" s="13"/>
      <c r="AL20829" s="13"/>
    </row>
    <row r="20830" spans="4:38" x14ac:dyDescent="0.3">
      <c r="D20830" s="1"/>
      <c r="G20830" s="13"/>
      <c r="AL20830" s="13"/>
    </row>
    <row r="20831" spans="4:38" x14ac:dyDescent="0.3">
      <c r="D20831" s="1"/>
      <c r="G20831" s="13"/>
      <c r="AL20831" s="13"/>
    </row>
    <row r="20832" spans="4:38" x14ac:dyDescent="0.3">
      <c r="D20832" s="1"/>
      <c r="G20832" s="13"/>
      <c r="AL20832" s="13"/>
    </row>
    <row r="20833" spans="4:38" x14ac:dyDescent="0.3">
      <c r="D20833" s="1"/>
      <c r="G20833" s="13"/>
      <c r="AL20833" s="13"/>
    </row>
    <row r="20834" spans="4:38" x14ac:dyDescent="0.3">
      <c r="D20834" s="1"/>
      <c r="G20834" s="13"/>
      <c r="AL20834" s="13"/>
    </row>
    <row r="20835" spans="4:38" x14ac:dyDescent="0.3">
      <c r="D20835" s="1"/>
      <c r="G20835" s="13"/>
      <c r="AL20835" s="13"/>
    </row>
    <row r="20836" spans="4:38" x14ac:dyDescent="0.3">
      <c r="D20836" s="1"/>
      <c r="G20836" s="13"/>
      <c r="AL20836" s="13"/>
    </row>
    <row r="20837" spans="4:38" x14ac:dyDescent="0.3">
      <c r="D20837" s="1"/>
      <c r="G20837" s="13"/>
      <c r="AL20837" s="13"/>
    </row>
    <row r="20838" spans="4:38" x14ac:dyDescent="0.3">
      <c r="D20838" s="1"/>
      <c r="G20838" s="13"/>
      <c r="AL20838" s="13"/>
    </row>
    <row r="20839" spans="4:38" x14ac:dyDescent="0.3">
      <c r="D20839" s="1"/>
      <c r="G20839" s="13"/>
      <c r="AL20839" s="13"/>
    </row>
    <row r="20840" spans="4:38" x14ac:dyDescent="0.3">
      <c r="D20840" s="1"/>
      <c r="G20840" s="13"/>
      <c r="AL20840" s="13"/>
    </row>
    <row r="20841" spans="4:38" x14ac:dyDescent="0.3">
      <c r="D20841" s="1"/>
      <c r="G20841" s="13"/>
      <c r="AL20841" s="13"/>
    </row>
    <row r="20842" spans="4:38" x14ac:dyDescent="0.3">
      <c r="D20842" s="1"/>
      <c r="G20842" s="13"/>
      <c r="AL20842" s="13"/>
    </row>
    <row r="20843" spans="4:38" x14ac:dyDescent="0.3">
      <c r="D20843" s="1"/>
      <c r="G20843" s="13"/>
      <c r="AL20843" s="13"/>
    </row>
    <row r="20844" spans="4:38" x14ac:dyDescent="0.3">
      <c r="D20844" s="1"/>
      <c r="G20844" s="13"/>
      <c r="AL20844" s="13"/>
    </row>
    <row r="20845" spans="4:38" x14ac:dyDescent="0.3">
      <c r="D20845" s="1"/>
      <c r="G20845" s="13"/>
      <c r="AL20845" s="13"/>
    </row>
    <row r="20846" spans="4:38" x14ac:dyDescent="0.3">
      <c r="D20846" s="1"/>
      <c r="G20846" s="13"/>
      <c r="AL20846" s="13"/>
    </row>
    <row r="20847" spans="4:38" x14ac:dyDescent="0.3">
      <c r="D20847" s="1"/>
      <c r="G20847" s="13"/>
      <c r="AL20847" s="13"/>
    </row>
    <row r="20848" spans="4:38" x14ac:dyDescent="0.3">
      <c r="D20848" s="1"/>
      <c r="G20848" s="13"/>
      <c r="AL20848" s="13"/>
    </row>
    <row r="20849" spans="4:38" x14ac:dyDescent="0.3">
      <c r="D20849" s="1"/>
      <c r="G20849" s="13"/>
      <c r="AL20849" s="13"/>
    </row>
    <row r="20850" spans="4:38" x14ac:dyDescent="0.3">
      <c r="D20850" s="1"/>
      <c r="G20850" s="13"/>
      <c r="AL20850" s="13"/>
    </row>
    <row r="20851" spans="4:38" x14ac:dyDescent="0.3">
      <c r="D20851" s="1"/>
      <c r="G20851" s="13"/>
      <c r="AL20851" s="13"/>
    </row>
    <row r="20852" spans="4:38" x14ac:dyDescent="0.3">
      <c r="D20852" s="1"/>
      <c r="G20852" s="13"/>
      <c r="AL20852" s="13"/>
    </row>
    <row r="20853" spans="4:38" x14ac:dyDescent="0.3">
      <c r="D20853" s="1"/>
      <c r="G20853" s="13"/>
      <c r="AL20853" s="13"/>
    </row>
    <row r="20854" spans="4:38" x14ac:dyDescent="0.3">
      <c r="D20854" s="1"/>
      <c r="G20854" s="13"/>
      <c r="AL20854" s="13"/>
    </row>
    <row r="20855" spans="4:38" x14ac:dyDescent="0.3">
      <c r="D20855" s="1"/>
      <c r="G20855" s="13"/>
      <c r="AL20855" s="13"/>
    </row>
    <row r="20856" spans="4:38" x14ac:dyDescent="0.3">
      <c r="D20856" s="1"/>
      <c r="G20856" s="13"/>
      <c r="AL20856" s="13"/>
    </row>
    <row r="20857" spans="4:38" x14ac:dyDescent="0.3">
      <c r="D20857" s="1"/>
      <c r="G20857" s="13"/>
      <c r="AL20857" s="13"/>
    </row>
    <row r="20858" spans="4:38" x14ac:dyDescent="0.3">
      <c r="D20858" s="1"/>
      <c r="G20858" s="13"/>
      <c r="AL20858" s="13"/>
    </row>
    <row r="20859" spans="4:38" x14ac:dyDescent="0.3">
      <c r="D20859" s="1"/>
      <c r="G20859" s="13"/>
      <c r="AL20859" s="13"/>
    </row>
    <row r="20860" spans="4:38" x14ac:dyDescent="0.3">
      <c r="D20860" s="1"/>
      <c r="G20860" s="13"/>
      <c r="AL20860" s="13"/>
    </row>
    <row r="20861" spans="4:38" x14ac:dyDescent="0.3">
      <c r="D20861" s="1"/>
      <c r="G20861" s="13"/>
      <c r="AL20861" s="13"/>
    </row>
    <row r="20862" spans="4:38" x14ac:dyDescent="0.3">
      <c r="D20862" s="1"/>
      <c r="G20862" s="13"/>
      <c r="AL20862" s="13"/>
    </row>
    <row r="20863" spans="4:38" x14ac:dyDescent="0.3">
      <c r="D20863" s="1"/>
      <c r="G20863" s="13"/>
      <c r="AL20863" s="13"/>
    </row>
    <row r="20864" spans="4:38" x14ac:dyDescent="0.3">
      <c r="D20864" s="1"/>
      <c r="G20864" s="13"/>
      <c r="AL20864" s="13"/>
    </row>
    <row r="20865" spans="4:38" x14ac:dyDescent="0.3">
      <c r="D20865" s="1"/>
      <c r="G20865" s="13"/>
      <c r="AL20865" s="13"/>
    </row>
    <row r="20866" spans="4:38" x14ac:dyDescent="0.3">
      <c r="D20866" s="1"/>
      <c r="G20866" s="13"/>
      <c r="AL20866" s="13"/>
    </row>
    <row r="20867" spans="4:38" x14ac:dyDescent="0.3">
      <c r="D20867" s="1"/>
      <c r="G20867" s="13"/>
      <c r="AL20867" s="13"/>
    </row>
    <row r="20868" spans="4:38" x14ac:dyDescent="0.3">
      <c r="D20868" s="1"/>
      <c r="G20868" s="13"/>
      <c r="AL20868" s="13"/>
    </row>
    <row r="20869" spans="4:38" x14ac:dyDescent="0.3">
      <c r="D20869" s="1"/>
      <c r="G20869" s="13"/>
      <c r="AL20869" s="13"/>
    </row>
    <row r="20870" spans="4:38" x14ac:dyDescent="0.3">
      <c r="D20870" s="1"/>
      <c r="G20870" s="13"/>
      <c r="AL20870" s="13"/>
    </row>
    <row r="20871" spans="4:38" x14ac:dyDescent="0.3">
      <c r="D20871" s="1"/>
      <c r="G20871" s="13"/>
      <c r="AL20871" s="13"/>
    </row>
    <row r="20872" spans="4:38" x14ac:dyDescent="0.3">
      <c r="D20872" s="1"/>
      <c r="G20872" s="13"/>
      <c r="AL20872" s="13"/>
    </row>
    <row r="20873" spans="4:38" x14ac:dyDescent="0.3">
      <c r="D20873" s="1"/>
      <c r="G20873" s="13"/>
      <c r="AL20873" s="13"/>
    </row>
    <row r="20874" spans="4:38" x14ac:dyDescent="0.3">
      <c r="D20874" s="1"/>
      <c r="G20874" s="13"/>
      <c r="AL20874" s="13"/>
    </row>
    <row r="20875" spans="4:38" x14ac:dyDescent="0.3">
      <c r="D20875" s="1"/>
      <c r="G20875" s="13"/>
      <c r="AL20875" s="13"/>
    </row>
    <row r="20876" spans="4:38" x14ac:dyDescent="0.3">
      <c r="D20876" s="1"/>
      <c r="G20876" s="13"/>
      <c r="AL20876" s="13"/>
    </row>
    <row r="20877" spans="4:38" x14ac:dyDescent="0.3">
      <c r="D20877" s="1"/>
      <c r="G20877" s="13"/>
      <c r="AL20877" s="13"/>
    </row>
    <row r="20878" spans="4:38" x14ac:dyDescent="0.3">
      <c r="D20878" s="1"/>
      <c r="G20878" s="13"/>
      <c r="AL20878" s="13"/>
    </row>
    <row r="20879" spans="4:38" x14ac:dyDescent="0.3">
      <c r="D20879" s="1"/>
      <c r="G20879" s="13"/>
      <c r="AL20879" s="13"/>
    </row>
    <row r="20880" spans="4:38" x14ac:dyDescent="0.3">
      <c r="D20880" s="1"/>
      <c r="G20880" s="13"/>
      <c r="AL20880" s="13"/>
    </row>
    <row r="20881" spans="4:38" x14ac:dyDescent="0.3">
      <c r="D20881" s="1"/>
      <c r="G20881" s="13"/>
      <c r="AL20881" s="13"/>
    </row>
    <row r="20882" spans="4:38" x14ac:dyDescent="0.3">
      <c r="D20882" s="1"/>
      <c r="G20882" s="13"/>
      <c r="AL20882" s="13"/>
    </row>
    <row r="20883" spans="4:38" x14ac:dyDescent="0.3">
      <c r="D20883" s="1"/>
      <c r="G20883" s="13"/>
      <c r="AL20883" s="13"/>
    </row>
    <row r="20884" spans="4:38" x14ac:dyDescent="0.3">
      <c r="D20884" s="1"/>
      <c r="G20884" s="13"/>
      <c r="AL20884" s="13"/>
    </row>
    <row r="20885" spans="4:38" x14ac:dyDescent="0.3">
      <c r="D20885" s="1"/>
      <c r="G20885" s="13"/>
      <c r="AL20885" s="13"/>
    </row>
    <row r="20886" spans="4:38" x14ac:dyDescent="0.3">
      <c r="D20886" s="1"/>
      <c r="G20886" s="13"/>
      <c r="AL20886" s="13"/>
    </row>
    <row r="20887" spans="4:38" x14ac:dyDescent="0.3">
      <c r="D20887" s="1"/>
      <c r="G20887" s="13"/>
      <c r="AL20887" s="13"/>
    </row>
    <row r="20888" spans="4:38" x14ac:dyDescent="0.3">
      <c r="D20888" s="1"/>
      <c r="G20888" s="13"/>
      <c r="AL20888" s="13"/>
    </row>
    <row r="20889" spans="4:38" x14ac:dyDescent="0.3">
      <c r="D20889" s="1"/>
      <c r="G20889" s="13"/>
      <c r="AL20889" s="13"/>
    </row>
    <row r="20890" spans="4:38" x14ac:dyDescent="0.3">
      <c r="D20890" s="1"/>
      <c r="G20890" s="13"/>
      <c r="AL20890" s="13"/>
    </row>
    <row r="20891" spans="4:38" x14ac:dyDescent="0.3">
      <c r="D20891" s="1"/>
      <c r="G20891" s="13"/>
      <c r="AL20891" s="13"/>
    </row>
    <row r="20892" spans="4:38" x14ac:dyDescent="0.3">
      <c r="D20892" s="1"/>
      <c r="G20892" s="13"/>
      <c r="AL20892" s="13"/>
    </row>
    <row r="20893" spans="4:38" x14ac:dyDescent="0.3">
      <c r="D20893" s="1"/>
      <c r="G20893" s="13"/>
      <c r="AL20893" s="13"/>
    </row>
    <row r="20894" spans="4:38" x14ac:dyDescent="0.3">
      <c r="D20894" s="1"/>
      <c r="G20894" s="13"/>
      <c r="AL20894" s="13"/>
    </row>
    <row r="20895" spans="4:38" x14ac:dyDescent="0.3">
      <c r="D20895" s="1"/>
      <c r="G20895" s="13"/>
      <c r="AL20895" s="13"/>
    </row>
    <row r="20896" spans="4:38" x14ac:dyDescent="0.3">
      <c r="D20896" s="1"/>
      <c r="G20896" s="13"/>
      <c r="AL20896" s="13"/>
    </row>
    <row r="20897" spans="4:38" x14ac:dyDescent="0.3">
      <c r="D20897" s="1"/>
      <c r="G20897" s="13"/>
      <c r="AL20897" s="13"/>
    </row>
    <row r="20898" spans="4:38" x14ac:dyDescent="0.3">
      <c r="D20898" s="1"/>
      <c r="G20898" s="13"/>
      <c r="AL20898" s="13"/>
    </row>
    <row r="20899" spans="4:38" x14ac:dyDescent="0.3">
      <c r="D20899" s="1"/>
      <c r="G20899" s="13"/>
      <c r="AL20899" s="13"/>
    </row>
    <row r="20900" spans="4:38" x14ac:dyDescent="0.3">
      <c r="D20900" s="1"/>
      <c r="G20900" s="13"/>
      <c r="AL20900" s="13"/>
    </row>
    <row r="20901" spans="4:38" x14ac:dyDescent="0.3">
      <c r="D20901" s="1"/>
      <c r="G20901" s="13"/>
      <c r="AL20901" s="13"/>
    </row>
    <row r="20902" spans="4:38" x14ac:dyDescent="0.3">
      <c r="D20902" s="1"/>
      <c r="G20902" s="13"/>
      <c r="AL20902" s="13"/>
    </row>
    <row r="20903" spans="4:38" x14ac:dyDescent="0.3">
      <c r="D20903" s="1"/>
      <c r="G20903" s="13"/>
      <c r="AL20903" s="13"/>
    </row>
    <row r="20904" spans="4:38" x14ac:dyDescent="0.3">
      <c r="D20904" s="1"/>
      <c r="G20904" s="13"/>
      <c r="AL20904" s="13"/>
    </row>
    <row r="20905" spans="4:38" x14ac:dyDescent="0.3">
      <c r="D20905" s="1"/>
      <c r="G20905" s="13"/>
      <c r="AL20905" s="13"/>
    </row>
    <row r="20906" spans="4:38" x14ac:dyDescent="0.3">
      <c r="D20906" s="1"/>
      <c r="G20906" s="13"/>
      <c r="AL20906" s="13"/>
    </row>
    <row r="20907" spans="4:38" x14ac:dyDescent="0.3">
      <c r="D20907" s="1"/>
      <c r="G20907" s="13"/>
      <c r="AL20907" s="13"/>
    </row>
    <row r="20908" spans="4:38" x14ac:dyDescent="0.3">
      <c r="D20908" s="1"/>
      <c r="G20908" s="13"/>
      <c r="AL20908" s="13"/>
    </row>
    <row r="20909" spans="4:38" x14ac:dyDescent="0.3">
      <c r="D20909" s="1"/>
      <c r="G20909" s="13"/>
      <c r="AL20909" s="13"/>
    </row>
    <row r="20910" spans="4:38" x14ac:dyDescent="0.3">
      <c r="D20910" s="1"/>
      <c r="G20910" s="13"/>
      <c r="AL20910" s="13"/>
    </row>
    <row r="20911" spans="4:38" x14ac:dyDescent="0.3">
      <c r="D20911" s="1"/>
      <c r="G20911" s="13"/>
      <c r="AL20911" s="13"/>
    </row>
    <row r="20912" spans="4:38" x14ac:dyDescent="0.3">
      <c r="D20912" s="1"/>
      <c r="G20912" s="13"/>
      <c r="AL20912" s="13"/>
    </row>
    <row r="20913" spans="4:38" x14ac:dyDescent="0.3">
      <c r="D20913" s="1"/>
      <c r="G20913" s="13"/>
      <c r="AL20913" s="13"/>
    </row>
    <row r="20914" spans="4:38" x14ac:dyDescent="0.3">
      <c r="D20914" s="1"/>
      <c r="G20914" s="13"/>
      <c r="AL20914" s="13"/>
    </row>
    <row r="20915" spans="4:38" x14ac:dyDescent="0.3">
      <c r="D20915" s="1"/>
      <c r="G20915" s="13"/>
      <c r="AL20915" s="13"/>
    </row>
    <row r="20916" spans="4:38" x14ac:dyDescent="0.3">
      <c r="D20916" s="1"/>
      <c r="G20916" s="13"/>
      <c r="AL20916" s="13"/>
    </row>
    <row r="20917" spans="4:38" x14ac:dyDescent="0.3">
      <c r="D20917" s="1"/>
      <c r="G20917" s="13"/>
      <c r="AL20917" s="13"/>
    </row>
    <row r="20918" spans="4:38" x14ac:dyDescent="0.3">
      <c r="D20918" s="1"/>
      <c r="G20918" s="13"/>
      <c r="AL20918" s="13"/>
    </row>
    <row r="20919" spans="4:38" x14ac:dyDescent="0.3">
      <c r="D20919" s="1"/>
      <c r="G20919" s="13"/>
      <c r="AL20919" s="13"/>
    </row>
    <row r="20920" spans="4:38" x14ac:dyDescent="0.3">
      <c r="D20920" s="1"/>
      <c r="G20920" s="13"/>
      <c r="AL20920" s="13"/>
    </row>
    <row r="20921" spans="4:38" x14ac:dyDescent="0.3">
      <c r="D20921" s="1"/>
      <c r="G20921" s="13"/>
      <c r="AL20921" s="13"/>
    </row>
    <row r="20922" spans="4:38" x14ac:dyDescent="0.3">
      <c r="D20922" s="1"/>
      <c r="G20922" s="13"/>
      <c r="AL20922" s="13"/>
    </row>
    <row r="20923" spans="4:38" x14ac:dyDescent="0.3">
      <c r="D20923" s="1"/>
      <c r="G20923" s="13"/>
      <c r="AL20923" s="13"/>
    </row>
    <row r="20924" spans="4:38" x14ac:dyDescent="0.3">
      <c r="D20924" s="1"/>
      <c r="G20924" s="13"/>
      <c r="AL20924" s="13"/>
    </row>
    <row r="20925" spans="4:38" x14ac:dyDescent="0.3">
      <c r="D20925" s="1"/>
      <c r="G20925" s="13"/>
      <c r="AL20925" s="13"/>
    </row>
    <row r="20926" spans="4:38" x14ac:dyDescent="0.3">
      <c r="D20926" s="1"/>
      <c r="G20926" s="13"/>
      <c r="AL20926" s="13"/>
    </row>
    <row r="20927" spans="4:38" x14ac:dyDescent="0.3">
      <c r="D20927" s="1"/>
      <c r="G20927" s="13"/>
      <c r="AL20927" s="13"/>
    </row>
    <row r="20928" spans="4:38" x14ac:dyDescent="0.3">
      <c r="D20928" s="1"/>
      <c r="G20928" s="13"/>
      <c r="AL20928" s="13"/>
    </row>
    <row r="20929" spans="4:38" x14ac:dyDescent="0.3">
      <c r="D20929" s="1"/>
      <c r="G20929" s="13"/>
      <c r="AL20929" s="13"/>
    </row>
    <row r="20930" spans="4:38" x14ac:dyDescent="0.3">
      <c r="D20930" s="1"/>
      <c r="G20930" s="13"/>
      <c r="AL20930" s="13"/>
    </row>
    <row r="20931" spans="4:38" x14ac:dyDescent="0.3">
      <c r="D20931" s="1"/>
      <c r="G20931" s="13"/>
      <c r="AL20931" s="13"/>
    </row>
    <row r="20932" spans="4:38" x14ac:dyDescent="0.3">
      <c r="D20932" s="1"/>
      <c r="G20932" s="13"/>
      <c r="AL20932" s="13"/>
    </row>
    <row r="20933" spans="4:38" x14ac:dyDescent="0.3">
      <c r="D20933" s="1"/>
      <c r="G20933" s="13"/>
      <c r="AL20933" s="13"/>
    </row>
    <row r="20934" spans="4:38" x14ac:dyDescent="0.3">
      <c r="D20934" s="1"/>
      <c r="G20934" s="13"/>
      <c r="AL20934" s="13"/>
    </row>
    <row r="20935" spans="4:38" x14ac:dyDescent="0.3">
      <c r="D20935" s="1"/>
      <c r="G20935" s="13"/>
      <c r="AL20935" s="13"/>
    </row>
    <row r="20936" spans="4:38" x14ac:dyDescent="0.3">
      <c r="D20936" s="1"/>
      <c r="G20936" s="13"/>
      <c r="AL20936" s="13"/>
    </row>
    <row r="20937" spans="4:38" x14ac:dyDescent="0.3">
      <c r="D20937" s="1"/>
      <c r="G20937" s="13"/>
      <c r="AL20937" s="13"/>
    </row>
    <row r="20938" spans="4:38" x14ac:dyDescent="0.3">
      <c r="D20938" s="1"/>
      <c r="G20938" s="13"/>
      <c r="AL20938" s="13"/>
    </row>
    <row r="20939" spans="4:38" x14ac:dyDescent="0.3">
      <c r="D20939" s="1"/>
      <c r="G20939" s="13"/>
      <c r="AL20939" s="13"/>
    </row>
    <row r="20940" spans="4:38" x14ac:dyDescent="0.3">
      <c r="D20940" s="1"/>
      <c r="G20940" s="13"/>
      <c r="AL20940" s="13"/>
    </row>
    <row r="20941" spans="4:38" x14ac:dyDescent="0.3">
      <c r="D20941" s="1"/>
      <c r="G20941" s="13"/>
      <c r="AL20941" s="13"/>
    </row>
    <row r="20942" spans="4:38" x14ac:dyDescent="0.3">
      <c r="D20942" s="1"/>
      <c r="G20942" s="13"/>
      <c r="AL20942" s="13"/>
    </row>
    <row r="20943" spans="4:38" x14ac:dyDescent="0.3">
      <c r="D20943" s="1"/>
      <c r="G20943" s="13"/>
      <c r="AL20943" s="13"/>
    </row>
    <row r="20944" spans="4:38" x14ac:dyDescent="0.3">
      <c r="D20944" s="1"/>
      <c r="G20944" s="13"/>
      <c r="AL20944" s="13"/>
    </row>
    <row r="20945" spans="4:38" x14ac:dyDescent="0.3">
      <c r="D20945" s="1"/>
      <c r="G20945" s="13"/>
      <c r="AL20945" s="13"/>
    </row>
    <row r="20946" spans="4:38" x14ac:dyDescent="0.3">
      <c r="D20946" s="1"/>
      <c r="G20946" s="13"/>
      <c r="AL20946" s="13"/>
    </row>
    <row r="20947" spans="4:38" x14ac:dyDescent="0.3">
      <c r="D20947" s="1"/>
      <c r="G20947" s="13"/>
      <c r="AL20947" s="13"/>
    </row>
    <row r="20948" spans="4:38" x14ac:dyDescent="0.3">
      <c r="D20948" s="1"/>
      <c r="G20948" s="13"/>
      <c r="AL20948" s="13"/>
    </row>
    <row r="20949" spans="4:38" x14ac:dyDescent="0.3">
      <c r="D20949" s="1"/>
      <c r="G20949" s="13"/>
      <c r="AL20949" s="13"/>
    </row>
    <row r="20950" spans="4:38" x14ac:dyDescent="0.3">
      <c r="D20950" s="1"/>
      <c r="G20950" s="13"/>
      <c r="AL20950" s="13"/>
    </row>
    <row r="20951" spans="4:38" x14ac:dyDescent="0.3">
      <c r="D20951" s="1"/>
      <c r="G20951" s="13"/>
      <c r="AL20951" s="13"/>
    </row>
    <row r="20952" spans="4:38" x14ac:dyDescent="0.3">
      <c r="D20952" s="1"/>
      <c r="G20952" s="13"/>
      <c r="AL20952" s="13"/>
    </row>
    <row r="20953" spans="4:38" x14ac:dyDescent="0.3">
      <c r="D20953" s="1"/>
      <c r="G20953" s="13"/>
      <c r="AL20953" s="13"/>
    </row>
    <row r="20954" spans="4:38" x14ac:dyDescent="0.3">
      <c r="D20954" s="1"/>
      <c r="G20954" s="13"/>
      <c r="AL20954" s="13"/>
    </row>
    <row r="20955" spans="4:38" x14ac:dyDescent="0.3">
      <c r="D20955" s="1"/>
      <c r="G20955" s="13"/>
      <c r="AL20955" s="13"/>
    </row>
    <row r="20956" spans="4:38" x14ac:dyDescent="0.3">
      <c r="D20956" s="1"/>
      <c r="G20956" s="13"/>
      <c r="AL20956" s="13"/>
    </row>
    <row r="20957" spans="4:38" x14ac:dyDescent="0.3">
      <c r="D20957" s="1"/>
      <c r="G20957" s="13"/>
      <c r="AL20957" s="13"/>
    </row>
    <row r="20958" spans="4:38" x14ac:dyDescent="0.3">
      <c r="D20958" s="1"/>
      <c r="G20958" s="13"/>
      <c r="AL20958" s="13"/>
    </row>
    <row r="20959" spans="4:38" x14ac:dyDescent="0.3">
      <c r="D20959" s="1"/>
      <c r="G20959" s="13"/>
      <c r="AL20959" s="13"/>
    </row>
    <row r="20960" spans="4:38" x14ac:dyDescent="0.3">
      <c r="D20960" s="1"/>
      <c r="G20960" s="13"/>
      <c r="AL20960" s="13"/>
    </row>
    <row r="20961" spans="4:38" x14ac:dyDescent="0.3">
      <c r="D20961" s="1"/>
      <c r="G20961" s="13"/>
      <c r="AL20961" s="13"/>
    </row>
    <row r="20962" spans="4:38" x14ac:dyDescent="0.3">
      <c r="D20962" s="1"/>
      <c r="G20962" s="13"/>
      <c r="AL20962" s="13"/>
    </row>
    <row r="20963" spans="4:38" x14ac:dyDescent="0.3">
      <c r="D20963" s="1"/>
      <c r="G20963" s="13"/>
      <c r="AL20963" s="13"/>
    </row>
    <row r="20964" spans="4:38" x14ac:dyDescent="0.3">
      <c r="D20964" s="1"/>
      <c r="G20964" s="13"/>
      <c r="AL20964" s="13"/>
    </row>
    <row r="20965" spans="4:38" x14ac:dyDescent="0.3">
      <c r="D20965" s="1"/>
      <c r="G20965" s="13"/>
      <c r="AL20965" s="13"/>
    </row>
    <row r="20966" spans="4:38" x14ac:dyDescent="0.3">
      <c r="D20966" s="1"/>
      <c r="G20966" s="13"/>
      <c r="AL20966" s="13"/>
    </row>
    <row r="20967" spans="4:38" x14ac:dyDescent="0.3">
      <c r="D20967" s="1"/>
      <c r="G20967" s="13"/>
      <c r="AL20967" s="13"/>
    </row>
    <row r="20968" spans="4:38" x14ac:dyDescent="0.3">
      <c r="D20968" s="1"/>
      <c r="G20968" s="13"/>
      <c r="AL20968" s="13"/>
    </row>
    <row r="20969" spans="4:38" x14ac:dyDescent="0.3">
      <c r="D20969" s="1"/>
      <c r="G20969" s="13"/>
      <c r="AL20969" s="13"/>
    </row>
    <row r="20970" spans="4:38" x14ac:dyDescent="0.3">
      <c r="D20970" s="1"/>
      <c r="G20970" s="13"/>
      <c r="AL20970" s="13"/>
    </row>
    <row r="20971" spans="4:38" x14ac:dyDescent="0.3">
      <c r="D20971" s="1"/>
      <c r="G20971" s="13"/>
      <c r="AL20971" s="13"/>
    </row>
    <row r="20972" spans="4:38" x14ac:dyDescent="0.3">
      <c r="D20972" s="1"/>
      <c r="G20972" s="13"/>
      <c r="AL20972" s="13"/>
    </row>
    <row r="20973" spans="4:38" x14ac:dyDescent="0.3">
      <c r="D20973" s="1"/>
      <c r="G20973" s="13"/>
      <c r="AL20973" s="13"/>
    </row>
    <row r="20974" spans="4:38" x14ac:dyDescent="0.3">
      <c r="D20974" s="1"/>
      <c r="G20974" s="13"/>
      <c r="AL20974" s="13"/>
    </row>
    <row r="20975" spans="4:38" x14ac:dyDescent="0.3">
      <c r="D20975" s="1"/>
      <c r="G20975" s="13"/>
      <c r="AL20975" s="13"/>
    </row>
    <row r="20976" spans="4:38" x14ac:dyDescent="0.3">
      <c r="D20976" s="1"/>
      <c r="G20976" s="13"/>
      <c r="AL20976" s="13"/>
    </row>
    <row r="20977" spans="4:38" x14ac:dyDescent="0.3">
      <c r="D20977" s="1"/>
      <c r="G20977" s="13"/>
      <c r="AL20977" s="13"/>
    </row>
    <row r="20978" spans="4:38" x14ac:dyDescent="0.3">
      <c r="D20978" s="1"/>
      <c r="G20978" s="13"/>
      <c r="AL20978" s="13"/>
    </row>
    <row r="20979" spans="4:38" x14ac:dyDescent="0.3">
      <c r="D20979" s="1"/>
      <c r="G20979" s="13"/>
      <c r="AL20979" s="13"/>
    </row>
    <row r="20980" spans="4:38" x14ac:dyDescent="0.3">
      <c r="D20980" s="1"/>
      <c r="G20980" s="13"/>
      <c r="AL20980" s="13"/>
    </row>
    <row r="20981" spans="4:38" x14ac:dyDescent="0.3">
      <c r="D20981" s="1"/>
      <c r="G20981" s="13"/>
      <c r="AL20981" s="13"/>
    </row>
    <row r="20982" spans="4:38" x14ac:dyDescent="0.3">
      <c r="D20982" s="1"/>
      <c r="G20982" s="13"/>
      <c r="AL20982" s="13"/>
    </row>
    <row r="20983" spans="4:38" x14ac:dyDescent="0.3">
      <c r="D20983" s="1"/>
      <c r="G20983" s="13"/>
      <c r="AL20983" s="13"/>
    </row>
    <row r="20984" spans="4:38" x14ac:dyDescent="0.3">
      <c r="D20984" s="1"/>
      <c r="G20984" s="13"/>
      <c r="AL20984" s="13"/>
    </row>
    <row r="20985" spans="4:38" x14ac:dyDescent="0.3">
      <c r="D20985" s="1"/>
      <c r="G20985" s="13"/>
      <c r="AL20985" s="13"/>
    </row>
    <row r="20986" spans="4:38" x14ac:dyDescent="0.3">
      <c r="D20986" s="1"/>
      <c r="G20986" s="13"/>
      <c r="AL20986" s="13"/>
    </row>
    <row r="20987" spans="4:38" x14ac:dyDescent="0.3">
      <c r="D20987" s="1"/>
      <c r="G20987" s="13"/>
      <c r="AL20987" s="13"/>
    </row>
    <row r="20988" spans="4:38" x14ac:dyDescent="0.3">
      <c r="D20988" s="1"/>
      <c r="G20988" s="13"/>
      <c r="AL20988" s="13"/>
    </row>
    <row r="20989" spans="4:38" x14ac:dyDescent="0.3">
      <c r="D20989" s="1"/>
      <c r="G20989" s="13"/>
      <c r="AL20989" s="13"/>
    </row>
    <row r="20990" spans="4:38" x14ac:dyDescent="0.3">
      <c r="D20990" s="1"/>
      <c r="G20990" s="13"/>
      <c r="AL20990" s="13"/>
    </row>
    <row r="20991" spans="4:38" x14ac:dyDescent="0.3">
      <c r="D20991" s="1"/>
      <c r="G20991" s="13"/>
      <c r="AL20991" s="13"/>
    </row>
    <row r="20992" spans="4:38" x14ac:dyDescent="0.3">
      <c r="D20992" s="1"/>
      <c r="G20992" s="13"/>
      <c r="AL20992" s="13"/>
    </row>
    <row r="20993" spans="4:38" x14ac:dyDescent="0.3">
      <c r="D20993" s="1"/>
      <c r="G20993" s="13"/>
      <c r="AL20993" s="13"/>
    </row>
    <row r="20994" spans="4:38" x14ac:dyDescent="0.3">
      <c r="D20994" s="1"/>
      <c r="G20994" s="13"/>
      <c r="AL20994" s="13"/>
    </row>
    <row r="20995" spans="4:38" x14ac:dyDescent="0.3">
      <c r="D20995" s="1"/>
      <c r="G20995" s="13"/>
      <c r="AL20995" s="13"/>
    </row>
    <row r="20996" spans="4:38" x14ac:dyDescent="0.3">
      <c r="D20996" s="1"/>
      <c r="G20996" s="13"/>
      <c r="AL20996" s="13"/>
    </row>
    <row r="20997" spans="4:38" x14ac:dyDescent="0.3">
      <c r="D20997" s="1"/>
      <c r="G20997" s="13"/>
      <c r="AL20997" s="13"/>
    </row>
    <row r="20998" spans="4:38" x14ac:dyDescent="0.3">
      <c r="D20998" s="1"/>
      <c r="G20998" s="13"/>
      <c r="AL20998" s="13"/>
    </row>
    <row r="20999" spans="4:38" x14ac:dyDescent="0.3">
      <c r="D20999" s="1"/>
      <c r="G20999" s="13"/>
      <c r="AL20999" s="13"/>
    </row>
    <row r="21000" spans="4:38" x14ac:dyDescent="0.3">
      <c r="D21000" s="1"/>
      <c r="G21000" s="13"/>
      <c r="AL21000" s="13"/>
    </row>
    <row r="21001" spans="4:38" x14ac:dyDescent="0.3">
      <c r="D21001" s="1"/>
      <c r="G21001" s="13"/>
      <c r="AL21001" s="13"/>
    </row>
    <row r="21002" spans="4:38" x14ac:dyDescent="0.3">
      <c r="D21002" s="1"/>
      <c r="G21002" s="13"/>
      <c r="AL21002" s="13"/>
    </row>
    <row r="21003" spans="4:38" x14ac:dyDescent="0.3">
      <c r="D21003" s="1"/>
      <c r="G21003" s="13"/>
      <c r="AL21003" s="13"/>
    </row>
    <row r="21004" spans="4:38" x14ac:dyDescent="0.3">
      <c r="D21004" s="1"/>
      <c r="G21004" s="13"/>
      <c r="AL21004" s="13"/>
    </row>
    <row r="21005" spans="4:38" x14ac:dyDescent="0.3">
      <c r="D21005" s="1"/>
      <c r="G21005" s="13"/>
      <c r="AL21005" s="13"/>
    </row>
    <row r="21006" spans="4:38" x14ac:dyDescent="0.3">
      <c r="D21006" s="1"/>
      <c r="G21006" s="13"/>
      <c r="AL21006" s="13"/>
    </row>
    <row r="21007" spans="4:38" x14ac:dyDescent="0.3">
      <c r="D21007" s="1"/>
      <c r="G21007" s="13"/>
      <c r="AL21007" s="13"/>
    </row>
    <row r="21008" spans="4:38" x14ac:dyDescent="0.3">
      <c r="D21008" s="1"/>
      <c r="G21008" s="13"/>
      <c r="AL21008" s="13"/>
    </row>
    <row r="21009" spans="4:38" x14ac:dyDescent="0.3">
      <c r="D21009" s="1"/>
      <c r="G21009" s="13"/>
      <c r="AL21009" s="13"/>
    </row>
    <row r="21010" spans="4:38" x14ac:dyDescent="0.3">
      <c r="D21010" s="1"/>
      <c r="G21010" s="13"/>
      <c r="AL21010" s="13"/>
    </row>
    <row r="21011" spans="4:38" x14ac:dyDescent="0.3">
      <c r="D21011" s="1"/>
      <c r="G21011" s="13"/>
      <c r="AL21011" s="13"/>
    </row>
    <row r="21012" spans="4:38" x14ac:dyDescent="0.3">
      <c r="D21012" s="1"/>
      <c r="G21012" s="13"/>
      <c r="AL21012" s="13"/>
    </row>
    <row r="21013" spans="4:38" x14ac:dyDescent="0.3">
      <c r="D21013" s="1"/>
      <c r="G21013" s="13"/>
      <c r="AL21013" s="13"/>
    </row>
    <row r="21014" spans="4:38" x14ac:dyDescent="0.3">
      <c r="D21014" s="1"/>
      <c r="G21014" s="13"/>
      <c r="AL21014" s="13"/>
    </row>
    <row r="21015" spans="4:38" x14ac:dyDescent="0.3">
      <c r="D21015" s="1"/>
      <c r="G21015" s="13"/>
      <c r="AL21015" s="13"/>
    </row>
    <row r="21016" spans="4:38" x14ac:dyDescent="0.3">
      <c r="D21016" s="1"/>
      <c r="G21016" s="13"/>
      <c r="AL21016" s="13"/>
    </row>
    <row r="21017" spans="4:38" x14ac:dyDescent="0.3">
      <c r="D21017" s="1"/>
      <c r="G21017" s="13"/>
      <c r="AL21017" s="13"/>
    </row>
    <row r="21018" spans="4:38" x14ac:dyDescent="0.3">
      <c r="D21018" s="1"/>
      <c r="G21018" s="13"/>
      <c r="AL21018" s="13"/>
    </row>
    <row r="21019" spans="4:38" x14ac:dyDescent="0.3">
      <c r="D21019" s="1"/>
      <c r="G21019" s="13"/>
      <c r="AL21019" s="13"/>
    </row>
    <row r="21020" spans="4:38" x14ac:dyDescent="0.3">
      <c r="D21020" s="1"/>
      <c r="G21020" s="13"/>
      <c r="AL21020" s="13"/>
    </row>
    <row r="21021" spans="4:38" x14ac:dyDescent="0.3">
      <c r="D21021" s="1"/>
      <c r="G21021" s="13"/>
      <c r="AL21021" s="13"/>
    </row>
    <row r="21022" spans="4:38" x14ac:dyDescent="0.3">
      <c r="D21022" s="1"/>
      <c r="G21022" s="13"/>
      <c r="AL21022" s="13"/>
    </row>
    <row r="21023" spans="4:38" x14ac:dyDescent="0.3">
      <c r="D21023" s="1"/>
      <c r="G21023" s="13"/>
      <c r="AL21023" s="13"/>
    </row>
    <row r="21024" spans="4:38" x14ac:dyDescent="0.3">
      <c r="D21024" s="1"/>
      <c r="G21024" s="13"/>
      <c r="AL21024" s="13"/>
    </row>
    <row r="21025" spans="4:38" x14ac:dyDescent="0.3">
      <c r="D21025" s="1"/>
      <c r="G21025" s="13"/>
      <c r="AL21025" s="13"/>
    </row>
    <row r="21026" spans="4:38" x14ac:dyDescent="0.3">
      <c r="D21026" s="1"/>
      <c r="G21026" s="13"/>
      <c r="AL21026" s="13"/>
    </row>
    <row r="21027" spans="4:38" x14ac:dyDescent="0.3">
      <c r="D21027" s="1"/>
      <c r="G21027" s="13"/>
      <c r="AL21027" s="13"/>
    </row>
    <row r="21028" spans="4:38" x14ac:dyDescent="0.3">
      <c r="D21028" s="1"/>
      <c r="G21028" s="13"/>
      <c r="AL21028" s="13"/>
    </row>
    <row r="21029" spans="4:38" x14ac:dyDescent="0.3">
      <c r="D21029" s="1"/>
      <c r="G21029" s="13"/>
      <c r="AL21029" s="13"/>
    </row>
    <row r="21030" spans="4:38" x14ac:dyDescent="0.3">
      <c r="D21030" s="1"/>
      <c r="G21030" s="13"/>
      <c r="AL21030" s="13"/>
    </row>
    <row r="21031" spans="4:38" x14ac:dyDescent="0.3">
      <c r="D21031" s="1"/>
      <c r="G21031" s="13"/>
      <c r="AL21031" s="13"/>
    </row>
    <row r="21032" spans="4:38" x14ac:dyDescent="0.3">
      <c r="D21032" s="1"/>
      <c r="G21032" s="13"/>
      <c r="AL21032" s="13"/>
    </row>
    <row r="21033" spans="4:38" x14ac:dyDescent="0.3">
      <c r="D21033" s="1"/>
      <c r="G21033" s="13"/>
      <c r="AL21033" s="13"/>
    </row>
    <row r="21034" spans="4:38" x14ac:dyDescent="0.3">
      <c r="D21034" s="1"/>
      <c r="G21034" s="13"/>
      <c r="AL21034" s="13"/>
    </row>
    <row r="21035" spans="4:38" x14ac:dyDescent="0.3">
      <c r="D21035" s="1"/>
      <c r="G21035" s="13"/>
      <c r="AL21035" s="13"/>
    </row>
    <row r="21036" spans="4:38" x14ac:dyDescent="0.3">
      <c r="D21036" s="1"/>
      <c r="G21036" s="13"/>
      <c r="AL21036" s="13"/>
    </row>
    <row r="21037" spans="4:38" x14ac:dyDescent="0.3">
      <c r="D21037" s="1"/>
      <c r="G21037" s="13"/>
      <c r="AL21037" s="13"/>
    </row>
    <row r="21038" spans="4:38" x14ac:dyDescent="0.3">
      <c r="D21038" s="1"/>
      <c r="G21038" s="13"/>
      <c r="AL21038" s="13"/>
    </row>
    <row r="21039" spans="4:38" x14ac:dyDescent="0.3">
      <c r="D21039" s="1"/>
      <c r="G21039" s="13"/>
      <c r="AL21039" s="13"/>
    </row>
    <row r="21040" spans="4:38" x14ac:dyDescent="0.3">
      <c r="D21040" s="1"/>
      <c r="G21040" s="13"/>
      <c r="AL21040" s="13"/>
    </row>
    <row r="21041" spans="4:38" x14ac:dyDescent="0.3">
      <c r="D21041" s="1"/>
      <c r="G21041" s="13"/>
      <c r="AL21041" s="13"/>
    </row>
    <row r="21042" spans="4:38" x14ac:dyDescent="0.3">
      <c r="D21042" s="1"/>
      <c r="G21042" s="13"/>
      <c r="AL21042" s="13"/>
    </row>
    <row r="21043" spans="4:38" x14ac:dyDescent="0.3">
      <c r="D21043" s="1"/>
      <c r="G21043" s="13"/>
      <c r="AL21043" s="13"/>
    </row>
    <row r="21044" spans="4:38" x14ac:dyDescent="0.3">
      <c r="D21044" s="1"/>
      <c r="G21044" s="13"/>
      <c r="AL21044" s="13"/>
    </row>
    <row r="21045" spans="4:38" x14ac:dyDescent="0.3">
      <c r="D21045" s="1"/>
      <c r="G21045" s="13"/>
      <c r="AL21045" s="13"/>
    </row>
    <row r="21046" spans="4:38" x14ac:dyDescent="0.3">
      <c r="D21046" s="1"/>
      <c r="G21046" s="13"/>
      <c r="AL21046" s="13"/>
    </row>
    <row r="21047" spans="4:38" x14ac:dyDescent="0.3">
      <c r="D21047" s="1"/>
      <c r="G21047" s="13"/>
      <c r="AL21047" s="13"/>
    </row>
    <row r="21048" spans="4:38" x14ac:dyDescent="0.3">
      <c r="D21048" s="1"/>
      <c r="G21048" s="13"/>
      <c r="AL21048" s="13"/>
    </row>
    <row r="21049" spans="4:38" x14ac:dyDescent="0.3">
      <c r="D21049" s="1"/>
      <c r="G21049" s="13"/>
      <c r="AL21049" s="13"/>
    </row>
    <row r="21050" spans="4:38" x14ac:dyDescent="0.3">
      <c r="D21050" s="1"/>
      <c r="G21050" s="13"/>
      <c r="AL21050" s="13"/>
    </row>
    <row r="21051" spans="4:38" x14ac:dyDescent="0.3">
      <c r="D21051" s="1"/>
      <c r="G21051" s="13"/>
      <c r="AL21051" s="13"/>
    </row>
    <row r="21052" spans="4:38" x14ac:dyDescent="0.3">
      <c r="D21052" s="1"/>
      <c r="G21052" s="13"/>
      <c r="AL21052" s="13"/>
    </row>
    <row r="21053" spans="4:38" x14ac:dyDescent="0.3">
      <c r="D21053" s="1"/>
      <c r="G21053" s="13"/>
      <c r="AL21053" s="13"/>
    </row>
    <row r="21054" spans="4:38" x14ac:dyDescent="0.3">
      <c r="D21054" s="1"/>
      <c r="G21054" s="13"/>
      <c r="AL21054" s="13"/>
    </row>
    <row r="21055" spans="4:38" x14ac:dyDescent="0.3">
      <c r="D21055" s="1"/>
      <c r="G21055" s="13"/>
      <c r="AL21055" s="13"/>
    </row>
    <row r="21056" spans="4:38" x14ac:dyDescent="0.3">
      <c r="D21056" s="1"/>
      <c r="G21056" s="13"/>
      <c r="AL21056" s="13"/>
    </row>
    <row r="21057" spans="4:38" x14ac:dyDescent="0.3">
      <c r="D21057" s="1"/>
      <c r="G21057" s="13"/>
      <c r="AL21057" s="13"/>
    </row>
    <row r="21058" spans="4:38" x14ac:dyDescent="0.3">
      <c r="D21058" s="1"/>
      <c r="G21058" s="13"/>
      <c r="AL21058" s="13"/>
    </row>
    <row r="21059" spans="4:38" x14ac:dyDescent="0.3">
      <c r="D21059" s="1"/>
      <c r="G21059" s="13"/>
      <c r="AL21059" s="13"/>
    </row>
    <row r="21060" spans="4:38" x14ac:dyDescent="0.3">
      <c r="D21060" s="1"/>
      <c r="G21060" s="13"/>
      <c r="AL21060" s="13"/>
    </row>
    <row r="21061" spans="4:38" x14ac:dyDescent="0.3">
      <c r="D21061" s="1"/>
      <c r="G21061" s="13"/>
      <c r="AL21061" s="13"/>
    </row>
    <row r="21062" spans="4:38" x14ac:dyDescent="0.3">
      <c r="D21062" s="1"/>
      <c r="G21062" s="13"/>
      <c r="AL21062" s="13"/>
    </row>
    <row r="21063" spans="4:38" x14ac:dyDescent="0.3">
      <c r="D21063" s="1"/>
      <c r="G21063" s="13"/>
      <c r="AL21063" s="13"/>
    </row>
    <row r="21064" spans="4:38" x14ac:dyDescent="0.3">
      <c r="D21064" s="1"/>
      <c r="G21064" s="13"/>
      <c r="AL21064" s="13"/>
    </row>
    <row r="21065" spans="4:38" x14ac:dyDescent="0.3">
      <c r="D21065" s="1"/>
      <c r="G21065" s="13"/>
      <c r="AL21065" s="13"/>
    </row>
    <row r="21066" spans="4:38" x14ac:dyDescent="0.3">
      <c r="D21066" s="1"/>
      <c r="G21066" s="13"/>
      <c r="AL21066" s="13"/>
    </row>
    <row r="21067" spans="4:38" x14ac:dyDescent="0.3">
      <c r="D21067" s="1"/>
      <c r="G21067" s="13"/>
      <c r="AL21067" s="13"/>
    </row>
    <row r="21068" spans="4:38" x14ac:dyDescent="0.3">
      <c r="D21068" s="1"/>
      <c r="G21068" s="13"/>
      <c r="AL21068" s="13"/>
    </row>
    <row r="21069" spans="4:38" x14ac:dyDescent="0.3">
      <c r="D21069" s="1"/>
      <c r="G21069" s="13"/>
      <c r="AL21069" s="13"/>
    </row>
    <row r="21070" spans="4:38" x14ac:dyDescent="0.3">
      <c r="D21070" s="1"/>
      <c r="G21070" s="13"/>
      <c r="AL21070" s="13"/>
    </row>
    <row r="21071" spans="4:38" x14ac:dyDescent="0.3">
      <c r="D21071" s="1"/>
      <c r="G21071" s="13"/>
      <c r="AL21071" s="13"/>
    </row>
    <row r="21072" spans="4:38" x14ac:dyDescent="0.3">
      <c r="D21072" s="1"/>
      <c r="G21072" s="13"/>
      <c r="AL21072" s="13"/>
    </row>
    <row r="21073" spans="4:38" x14ac:dyDescent="0.3">
      <c r="D21073" s="1"/>
      <c r="G21073" s="13"/>
      <c r="AL21073" s="13"/>
    </row>
    <row r="21074" spans="4:38" x14ac:dyDescent="0.3">
      <c r="D21074" s="1"/>
      <c r="G21074" s="13"/>
      <c r="AL21074" s="13"/>
    </row>
    <row r="21075" spans="4:38" x14ac:dyDescent="0.3">
      <c r="D21075" s="1"/>
      <c r="G21075" s="13"/>
      <c r="AL21075" s="13"/>
    </row>
    <row r="21076" spans="4:38" x14ac:dyDescent="0.3">
      <c r="D21076" s="1"/>
      <c r="G21076" s="13"/>
      <c r="AL21076" s="13"/>
    </row>
    <row r="21077" spans="4:38" x14ac:dyDescent="0.3">
      <c r="D21077" s="1"/>
      <c r="G21077" s="13"/>
      <c r="AL21077" s="13"/>
    </row>
    <row r="21078" spans="4:38" x14ac:dyDescent="0.3">
      <c r="D21078" s="1"/>
      <c r="G21078" s="13"/>
      <c r="AL21078" s="13"/>
    </row>
    <row r="21079" spans="4:38" x14ac:dyDescent="0.3">
      <c r="D21079" s="1"/>
      <c r="G21079" s="13"/>
      <c r="AL21079" s="13"/>
    </row>
    <row r="21080" spans="4:38" x14ac:dyDescent="0.3">
      <c r="D21080" s="1"/>
      <c r="G21080" s="13"/>
      <c r="AL21080" s="13"/>
    </row>
    <row r="21081" spans="4:38" x14ac:dyDescent="0.3">
      <c r="D21081" s="1"/>
      <c r="G21081" s="13"/>
      <c r="AL21081" s="13"/>
    </row>
    <row r="21082" spans="4:38" x14ac:dyDescent="0.3">
      <c r="D21082" s="1"/>
      <c r="G21082" s="13"/>
      <c r="AL21082" s="13"/>
    </row>
    <row r="21083" spans="4:38" x14ac:dyDescent="0.3">
      <c r="D21083" s="1"/>
      <c r="G21083" s="13"/>
      <c r="AL21083" s="13"/>
    </row>
    <row r="21084" spans="4:38" x14ac:dyDescent="0.3">
      <c r="D21084" s="1"/>
      <c r="G21084" s="13"/>
      <c r="AL21084" s="13"/>
    </row>
    <row r="21085" spans="4:38" x14ac:dyDescent="0.3">
      <c r="D21085" s="1"/>
      <c r="G21085" s="13"/>
      <c r="AL21085" s="13"/>
    </row>
    <row r="21086" spans="4:38" x14ac:dyDescent="0.3">
      <c r="D21086" s="1"/>
      <c r="G21086" s="13"/>
      <c r="AL21086" s="13"/>
    </row>
    <row r="21087" spans="4:38" x14ac:dyDescent="0.3">
      <c r="D21087" s="1"/>
      <c r="G21087" s="13"/>
      <c r="AL21087" s="13"/>
    </row>
    <row r="21088" spans="4:38" x14ac:dyDescent="0.3">
      <c r="D21088" s="1"/>
      <c r="G21088" s="13"/>
      <c r="AL21088" s="13"/>
    </row>
    <row r="21089" spans="4:38" x14ac:dyDescent="0.3">
      <c r="D21089" s="1"/>
      <c r="G21089" s="13"/>
      <c r="AL21089" s="13"/>
    </row>
    <row r="21090" spans="4:38" x14ac:dyDescent="0.3">
      <c r="D21090" s="1"/>
      <c r="G21090" s="13"/>
      <c r="AL21090" s="13"/>
    </row>
    <row r="21091" spans="4:38" x14ac:dyDescent="0.3">
      <c r="D21091" s="1"/>
      <c r="G21091" s="13"/>
      <c r="AL21091" s="13"/>
    </row>
    <row r="21092" spans="4:38" x14ac:dyDescent="0.3">
      <c r="D21092" s="1"/>
      <c r="G21092" s="13"/>
      <c r="AL21092" s="13"/>
    </row>
    <row r="21093" spans="4:38" x14ac:dyDescent="0.3">
      <c r="D21093" s="1"/>
      <c r="G21093" s="13"/>
      <c r="AL21093" s="13"/>
    </row>
    <row r="21094" spans="4:38" x14ac:dyDescent="0.3">
      <c r="D21094" s="1"/>
      <c r="G21094" s="13"/>
      <c r="AL21094" s="13"/>
    </row>
    <row r="21095" spans="4:38" x14ac:dyDescent="0.3">
      <c r="D21095" s="1"/>
      <c r="G21095" s="13"/>
      <c r="AL21095" s="13"/>
    </row>
    <row r="21096" spans="4:38" x14ac:dyDescent="0.3">
      <c r="D21096" s="1"/>
      <c r="G21096" s="13"/>
      <c r="AL21096" s="13"/>
    </row>
    <row r="21097" spans="4:38" x14ac:dyDescent="0.3">
      <c r="D21097" s="1"/>
      <c r="G21097" s="13"/>
      <c r="AL21097" s="13"/>
    </row>
    <row r="21098" spans="4:38" x14ac:dyDescent="0.3">
      <c r="D21098" s="1"/>
      <c r="G21098" s="13"/>
      <c r="AL21098" s="13"/>
    </row>
    <row r="21099" spans="4:38" x14ac:dyDescent="0.3">
      <c r="D21099" s="1"/>
      <c r="G21099" s="13"/>
      <c r="AL21099" s="13"/>
    </row>
    <row r="21100" spans="4:38" x14ac:dyDescent="0.3">
      <c r="D21100" s="1"/>
      <c r="G21100" s="13"/>
      <c r="AL21100" s="13"/>
    </row>
    <row r="21101" spans="4:38" x14ac:dyDescent="0.3">
      <c r="D21101" s="1"/>
      <c r="G21101" s="13"/>
      <c r="AL21101" s="13"/>
    </row>
    <row r="21102" spans="4:38" x14ac:dyDescent="0.3">
      <c r="D21102" s="1"/>
      <c r="G21102" s="13"/>
      <c r="AL21102" s="13"/>
    </row>
    <row r="21103" spans="4:38" x14ac:dyDescent="0.3">
      <c r="D21103" s="1"/>
      <c r="G21103" s="13"/>
      <c r="AL21103" s="13"/>
    </row>
    <row r="21104" spans="4:38" x14ac:dyDescent="0.3">
      <c r="D21104" s="1"/>
      <c r="G21104" s="13"/>
      <c r="AL21104" s="13"/>
    </row>
    <row r="21105" spans="4:38" x14ac:dyDescent="0.3">
      <c r="D21105" s="1"/>
      <c r="G21105" s="13"/>
      <c r="AL21105" s="13"/>
    </row>
    <row r="21106" spans="4:38" x14ac:dyDescent="0.3">
      <c r="D21106" s="1"/>
      <c r="G21106" s="13"/>
      <c r="AL21106" s="13"/>
    </row>
    <row r="21107" spans="4:38" x14ac:dyDescent="0.3">
      <c r="D21107" s="1"/>
      <c r="G21107" s="13"/>
      <c r="AL21107" s="13"/>
    </row>
    <row r="21108" spans="4:38" x14ac:dyDescent="0.3">
      <c r="D21108" s="1"/>
      <c r="G21108" s="13"/>
      <c r="AL21108" s="13"/>
    </row>
    <row r="21109" spans="4:38" x14ac:dyDescent="0.3">
      <c r="D21109" s="1"/>
      <c r="G21109" s="13"/>
      <c r="AL21109" s="13"/>
    </row>
    <row r="21110" spans="4:38" x14ac:dyDescent="0.3">
      <c r="D21110" s="1"/>
      <c r="G21110" s="13"/>
      <c r="AL21110" s="13"/>
    </row>
    <row r="21111" spans="4:38" x14ac:dyDescent="0.3">
      <c r="D21111" s="1"/>
      <c r="G21111" s="13"/>
      <c r="AL21111" s="13"/>
    </row>
    <row r="21112" spans="4:38" x14ac:dyDescent="0.3">
      <c r="D21112" s="1"/>
      <c r="G21112" s="13"/>
      <c r="AL21112" s="13"/>
    </row>
    <row r="21113" spans="4:38" x14ac:dyDescent="0.3">
      <c r="D21113" s="1"/>
      <c r="G21113" s="13"/>
      <c r="AL21113" s="13"/>
    </row>
    <row r="21114" spans="4:38" x14ac:dyDescent="0.3">
      <c r="D21114" s="1"/>
      <c r="G21114" s="13"/>
      <c r="AL21114" s="13"/>
    </row>
    <row r="21115" spans="4:38" x14ac:dyDescent="0.3">
      <c r="D21115" s="1"/>
      <c r="G21115" s="13"/>
      <c r="AL21115" s="13"/>
    </row>
    <row r="21116" spans="4:38" x14ac:dyDescent="0.3">
      <c r="D21116" s="1"/>
      <c r="G21116" s="13"/>
      <c r="AL21116" s="13"/>
    </row>
    <row r="21117" spans="4:38" x14ac:dyDescent="0.3">
      <c r="D21117" s="1"/>
      <c r="G21117" s="13"/>
      <c r="AL21117" s="13"/>
    </row>
    <row r="21118" spans="4:38" x14ac:dyDescent="0.3">
      <c r="D21118" s="1"/>
      <c r="G21118" s="13"/>
      <c r="AL21118" s="13"/>
    </row>
    <row r="21119" spans="4:38" x14ac:dyDescent="0.3">
      <c r="D21119" s="1"/>
      <c r="G21119" s="13"/>
      <c r="AL21119" s="13"/>
    </row>
    <row r="21120" spans="4:38" x14ac:dyDescent="0.3">
      <c r="D21120" s="1"/>
      <c r="G21120" s="13"/>
      <c r="AL21120" s="13"/>
    </row>
    <row r="21121" spans="4:38" x14ac:dyDescent="0.3">
      <c r="D21121" s="1"/>
      <c r="G21121" s="13"/>
      <c r="AL21121" s="13"/>
    </row>
    <row r="21122" spans="4:38" x14ac:dyDescent="0.3">
      <c r="D21122" s="1"/>
      <c r="G21122" s="13"/>
      <c r="AL21122" s="13"/>
    </row>
    <row r="21123" spans="4:38" x14ac:dyDescent="0.3">
      <c r="D21123" s="1"/>
      <c r="G21123" s="13"/>
      <c r="AL21123" s="13"/>
    </row>
    <row r="21124" spans="4:38" x14ac:dyDescent="0.3">
      <c r="D21124" s="1"/>
      <c r="G21124" s="13"/>
      <c r="AL21124" s="13"/>
    </row>
    <row r="21125" spans="4:38" x14ac:dyDescent="0.3">
      <c r="D21125" s="1"/>
      <c r="G21125" s="13"/>
      <c r="AL21125" s="13"/>
    </row>
    <row r="21126" spans="4:38" x14ac:dyDescent="0.3">
      <c r="D21126" s="1"/>
      <c r="G21126" s="13"/>
      <c r="AL21126" s="13"/>
    </row>
    <row r="21127" spans="4:38" x14ac:dyDescent="0.3">
      <c r="D21127" s="1"/>
      <c r="G21127" s="13"/>
      <c r="AL21127" s="13"/>
    </row>
    <row r="21128" spans="4:38" x14ac:dyDescent="0.3">
      <c r="D21128" s="1"/>
      <c r="G21128" s="13"/>
      <c r="AL21128" s="13"/>
    </row>
    <row r="21129" spans="4:38" x14ac:dyDescent="0.3">
      <c r="D21129" s="1"/>
      <c r="G21129" s="13"/>
      <c r="AL21129" s="13"/>
    </row>
    <row r="21130" spans="4:38" x14ac:dyDescent="0.3">
      <c r="D21130" s="1"/>
      <c r="G21130" s="13"/>
      <c r="AL21130" s="13"/>
    </row>
    <row r="21131" spans="4:38" x14ac:dyDescent="0.3">
      <c r="D21131" s="1"/>
      <c r="G21131" s="13"/>
      <c r="AL21131" s="13"/>
    </row>
    <row r="21132" spans="4:38" x14ac:dyDescent="0.3">
      <c r="D21132" s="1"/>
      <c r="G21132" s="13"/>
      <c r="AL21132" s="13"/>
    </row>
    <row r="21133" spans="4:38" x14ac:dyDescent="0.3">
      <c r="D21133" s="1"/>
      <c r="G21133" s="13"/>
      <c r="AL21133" s="13"/>
    </row>
    <row r="21134" spans="4:38" x14ac:dyDescent="0.3">
      <c r="D21134" s="1"/>
      <c r="G21134" s="13"/>
      <c r="AL21134" s="13"/>
    </row>
    <row r="21135" spans="4:38" x14ac:dyDescent="0.3">
      <c r="D21135" s="1"/>
      <c r="G21135" s="13"/>
      <c r="AL21135" s="13"/>
    </row>
    <row r="21136" spans="4:38" x14ac:dyDescent="0.3">
      <c r="D21136" s="1"/>
      <c r="G21136" s="13"/>
      <c r="AL21136" s="13"/>
    </row>
    <row r="21137" spans="4:38" x14ac:dyDescent="0.3">
      <c r="D21137" s="1"/>
      <c r="G21137" s="13"/>
      <c r="AL21137" s="13"/>
    </row>
    <row r="21138" spans="4:38" x14ac:dyDescent="0.3">
      <c r="D21138" s="1"/>
      <c r="G21138" s="13"/>
      <c r="AL21138" s="13"/>
    </row>
    <row r="21139" spans="4:38" x14ac:dyDescent="0.3">
      <c r="D21139" s="1"/>
      <c r="G21139" s="13"/>
      <c r="AL21139" s="13"/>
    </row>
    <row r="21140" spans="4:38" x14ac:dyDescent="0.3">
      <c r="D21140" s="1"/>
      <c r="G21140" s="13"/>
      <c r="AL21140" s="13"/>
    </row>
    <row r="21141" spans="4:38" x14ac:dyDescent="0.3">
      <c r="D21141" s="1"/>
      <c r="G21141" s="13"/>
      <c r="AL21141" s="13"/>
    </row>
    <row r="21142" spans="4:38" x14ac:dyDescent="0.3">
      <c r="D21142" s="1"/>
      <c r="G21142" s="13"/>
      <c r="AL21142" s="13"/>
    </row>
    <row r="21143" spans="4:38" x14ac:dyDescent="0.3">
      <c r="D21143" s="1"/>
      <c r="G21143" s="13"/>
      <c r="AL21143" s="13"/>
    </row>
    <row r="21144" spans="4:38" x14ac:dyDescent="0.3">
      <c r="D21144" s="1"/>
      <c r="G21144" s="13"/>
      <c r="AL21144" s="13"/>
    </row>
    <row r="21145" spans="4:38" x14ac:dyDescent="0.3">
      <c r="D21145" s="1"/>
      <c r="G21145" s="13"/>
      <c r="AL21145" s="13"/>
    </row>
    <row r="21146" spans="4:38" x14ac:dyDescent="0.3">
      <c r="D21146" s="1"/>
      <c r="G21146" s="13"/>
      <c r="AL21146" s="13"/>
    </row>
    <row r="21147" spans="4:38" x14ac:dyDescent="0.3">
      <c r="D21147" s="1"/>
      <c r="G21147" s="13"/>
      <c r="AL21147" s="13"/>
    </row>
    <row r="21148" spans="4:38" x14ac:dyDescent="0.3">
      <c r="D21148" s="1"/>
      <c r="G21148" s="13"/>
      <c r="AL21148" s="13"/>
    </row>
    <row r="21149" spans="4:38" x14ac:dyDescent="0.3">
      <c r="D21149" s="1"/>
      <c r="G21149" s="13"/>
      <c r="AL21149" s="13"/>
    </row>
    <row r="21150" spans="4:38" x14ac:dyDescent="0.3">
      <c r="D21150" s="1"/>
      <c r="G21150" s="13"/>
      <c r="AL21150" s="13"/>
    </row>
    <row r="21151" spans="4:38" x14ac:dyDescent="0.3">
      <c r="D21151" s="1"/>
      <c r="G21151" s="13"/>
      <c r="AL21151" s="13"/>
    </row>
    <row r="21152" spans="4:38" x14ac:dyDescent="0.3">
      <c r="D21152" s="1"/>
      <c r="G21152" s="13"/>
      <c r="AL21152" s="13"/>
    </row>
    <row r="21153" spans="4:38" x14ac:dyDescent="0.3">
      <c r="D21153" s="1"/>
      <c r="G21153" s="13"/>
      <c r="AL21153" s="13"/>
    </row>
    <row r="21154" spans="4:38" x14ac:dyDescent="0.3">
      <c r="D21154" s="1"/>
      <c r="G21154" s="13"/>
      <c r="AL21154" s="13"/>
    </row>
    <row r="21155" spans="4:38" x14ac:dyDescent="0.3">
      <c r="D21155" s="1"/>
      <c r="G21155" s="13"/>
      <c r="AL21155" s="13"/>
    </row>
    <row r="21156" spans="4:38" x14ac:dyDescent="0.3">
      <c r="D21156" s="1"/>
      <c r="G21156" s="13"/>
      <c r="AL21156" s="13"/>
    </row>
    <row r="21157" spans="4:38" x14ac:dyDescent="0.3">
      <c r="D21157" s="1"/>
      <c r="G21157" s="13"/>
      <c r="AL21157" s="13"/>
    </row>
    <row r="21158" spans="4:38" x14ac:dyDescent="0.3">
      <c r="D21158" s="1"/>
      <c r="G21158" s="13"/>
      <c r="AL21158" s="13"/>
    </row>
    <row r="21159" spans="4:38" x14ac:dyDescent="0.3">
      <c r="D21159" s="1"/>
      <c r="G21159" s="13"/>
      <c r="AL21159" s="13"/>
    </row>
    <row r="21160" spans="4:38" x14ac:dyDescent="0.3">
      <c r="D21160" s="1"/>
      <c r="G21160" s="13"/>
      <c r="AL21160" s="13"/>
    </row>
    <row r="21161" spans="4:38" x14ac:dyDescent="0.3">
      <c r="D21161" s="1"/>
      <c r="G21161" s="13"/>
      <c r="AL21161" s="13"/>
    </row>
    <row r="21162" spans="4:38" x14ac:dyDescent="0.3">
      <c r="D21162" s="1"/>
      <c r="G21162" s="13"/>
      <c r="AL21162" s="13"/>
    </row>
    <row r="21163" spans="4:38" x14ac:dyDescent="0.3">
      <c r="D21163" s="1"/>
      <c r="G21163" s="13"/>
      <c r="AL21163" s="13"/>
    </row>
    <row r="21164" spans="4:38" x14ac:dyDescent="0.3">
      <c r="D21164" s="1"/>
      <c r="G21164" s="13"/>
      <c r="AL21164" s="13"/>
    </row>
    <row r="21165" spans="4:38" x14ac:dyDescent="0.3">
      <c r="D21165" s="1"/>
      <c r="G21165" s="13"/>
      <c r="AL21165" s="13"/>
    </row>
    <row r="21166" spans="4:38" x14ac:dyDescent="0.3">
      <c r="D21166" s="1"/>
      <c r="G21166" s="13"/>
      <c r="AL21166" s="13"/>
    </row>
    <row r="21167" spans="4:38" x14ac:dyDescent="0.3">
      <c r="D21167" s="1"/>
      <c r="G21167" s="13"/>
      <c r="AL21167" s="13"/>
    </row>
    <row r="21168" spans="4:38" x14ac:dyDescent="0.3">
      <c r="D21168" s="1"/>
      <c r="G21168" s="13"/>
      <c r="AL21168" s="13"/>
    </row>
    <row r="21169" spans="4:38" x14ac:dyDescent="0.3">
      <c r="D21169" s="1"/>
      <c r="G21169" s="13"/>
      <c r="AL21169" s="13"/>
    </row>
    <row r="21170" spans="4:38" x14ac:dyDescent="0.3">
      <c r="D21170" s="1"/>
      <c r="G21170" s="13"/>
      <c r="AL21170" s="13"/>
    </row>
    <row r="21171" spans="4:38" x14ac:dyDescent="0.3">
      <c r="D21171" s="1"/>
      <c r="G21171" s="13"/>
      <c r="AL21171" s="13"/>
    </row>
    <row r="21172" spans="4:38" x14ac:dyDescent="0.3">
      <c r="D21172" s="1"/>
      <c r="G21172" s="13"/>
      <c r="AL21172" s="13"/>
    </row>
    <row r="21173" spans="4:38" x14ac:dyDescent="0.3">
      <c r="D21173" s="1"/>
      <c r="G21173" s="13"/>
      <c r="AL21173" s="13"/>
    </row>
    <row r="21174" spans="4:38" x14ac:dyDescent="0.3">
      <c r="D21174" s="1"/>
      <c r="G21174" s="13"/>
      <c r="AL21174" s="13"/>
    </row>
    <row r="21175" spans="4:38" x14ac:dyDescent="0.3">
      <c r="D21175" s="1"/>
      <c r="G21175" s="13"/>
      <c r="AL21175" s="13"/>
    </row>
    <row r="21176" spans="4:38" x14ac:dyDescent="0.3">
      <c r="D21176" s="1"/>
      <c r="G21176" s="13"/>
      <c r="AL21176" s="13"/>
    </row>
    <row r="21177" spans="4:38" x14ac:dyDescent="0.3">
      <c r="D21177" s="1"/>
      <c r="G21177" s="13"/>
      <c r="AL21177" s="13"/>
    </row>
    <row r="21178" spans="4:38" x14ac:dyDescent="0.3">
      <c r="D21178" s="1"/>
      <c r="G21178" s="13"/>
      <c r="AL21178" s="13"/>
    </row>
    <row r="21179" spans="4:38" x14ac:dyDescent="0.3">
      <c r="D21179" s="1"/>
      <c r="G21179" s="13"/>
      <c r="AL21179" s="13"/>
    </row>
    <row r="21180" spans="4:38" x14ac:dyDescent="0.3">
      <c r="D21180" s="1"/>
      <c r="G21180" s="13"/>
      <c r="AL21180" s="13"/>
    </row>
    <row r="21181" spans="4:38" x14ac:dyDescent="0.3">
      <c r="D21181" s="1"/>
      <c r="G21181" s="13"/>
      <c r="AL21181" s="13"/>
    </row>
    <row r="21182" spans="4:38" x14ac:dyDescent="0.3">
      <c r="D21182" s="1"/>
      <c r="G21182" s="13"/>
      <c r="AL21182" s="13"/>
    </row>
    <row r="21183" spans="4:38" x14ac:dyDescent="0.3">
      <c r="D21183" s="1"/>
      <c r="G21183" s="13"/>
      <c r="AL21183" s="13"/>
    </row>
    <row r="21184" spans="4:38" x14ac:dyDescent="0.3">
      <c r="D21184" s="1"/>
      <c r="G21184" s="13"/>
      <c r="AL21184" s="13"/>
    </row>
    <row r="21185" spans="4:38" x14ac:dyDescent="0.3">
      <c r="D21185" s="1"/>
      <c r="G21185" s="13"/>
      <c r="AL21185" s="13"/>
    </row>
    <row r="21186" spans="4:38" x14ac:dyDescent="0.3">
      <c r="D21186" s="1"/>
      <c r="G21186" s="13"/>
      <c r="AL21186" s="13"/>
    </row>
    <row r="21187" spans="4:38" x14ac:dyDescent="0.3">
      <c r="D21187" s="1"/>
      <c r="G21187" s="13"/>
      <c r="AL21187" s="13"/>
    </row>
    <row r="21188" spans="4:38" x14ac:dyDescent="0.3">
      <c r="D21188" s="1"/>
      <c r="G21188" s="13"/>
      <c r="AL21188" s="13"/>
    </row>
    <row r="21189" spans="4:38" x14ac:dyDescent="0.3">
      <c r="D21189" s="1"/>
      <c r="G21189" s="13"/>
      <c r="AL21189" s="13"/>
    </row>
    <row r="21190" spans="4:38" x14ac:dyDescent="0.3">
      <c r="D21190" s="1"/>
      <c r="G21190" s="13"/>
      <c r="AL21190" s="13"/>
    </row>
    <row r="21191" spans="4:38" x14ac:dyDescent="0.3">
      <c r="D21191" s="1"/>
      <c r="G21191" s="13"/>
      <c r="AL21191" s="13"/>
    </row>
    <row r="21192" spans="4:38" x14ac:dyDescent="0.3">
      <c r="D21192" s="1"/>
      <c r="G21192" s="13"/>
      <c r="AL21192" s="13"/>
    </row>
    <row r="21193" spans="4:38" x14ac:dyDescent="0.3">
      <c r="D21193" s="1"/>
      <c r="G21193" s="13"/>
      <c r="AL21193" s="13"/>
    </row>
    <row r="21194" spans="4:38" x14ac:dyDescent="0.3">
      <c r="D21194" s="1"/>
      <c r="G21194" s="13"/>
      <c r="AL21194" s="13"/>
    </row>
    <row r="21195" spans="4:38" x14ac:dyDescent="0.3">
      <c r="D21195" s="1"/>
      <c r="G21195" s="13"/>
      <c r="AL21195" s="13"/>
    </row>
    <row r="21196" spans="4:38" x14ac:dyDescent="0.3">
      <c r="D21196" s="1"/>
      <c r="G21196" s="13"/>
      <c r="AL21196" s="13"/>
    </row>
    <row r="21197" spans="4:38" x14ac:dyDescent="0.3">
      <c r="D21197" s="1"/>
      <c r="G21197" s="13"/>
      <c r="AL21197" s="13"/>
    </row>
    <row r="21198" spans="4:38" x14ac:dyDescent="0.3">
      <c r="D21198" s="1"/>
      <c r="G21198" s="13"/>
      <c r="AL21198" s="13"/>
    </row>
    <row r="21199" spans="4:38" x14ac:dyDescent="0.3">
      <c r="D21199" s="1"/>
      <c r="G21199" s="13"/>
      <c r="AL21199" s="13"/>
    </row>
    <row r="21200" spans="4:38" x14ac:dyDescent="0.3">
      <c r="D21200" s="1"/>
      <c r="G21200" s="13"/>
      <c r="AL21200" s="13"/>
    </row>
    <row r="21201" spans="4:38" x14ac:dyDescent="0.3">
      <c r="D21201" s="1"/>
      <c r="G21201" s="13"/>
      <c r="AL21201" s="13"/>
    </row>
    <row r="21202" spans="4:38" x14ac:dyDescent="0.3">
      <c r="D21202" s="1"/>
      <c r="G21202" s="13"/>
      <c r="AL21202" s="13"/>
    </row>
    <row r="21203" spans="4:38" x14ac:dyDescent="0.3">
      <c r="D21203" s="1"/>
      <c r="G21203" s="13"/>
      <c r="AL21203" s="13"/>
    </row>
    <row r="21204" spans="4:38" x14ac:dyDescent="0.3">
      <c r="D21204" s="1"/>
      <c r="G21204" s="13"/>
      <c r="AL21204" s="13"/>
    </row>
    <row r="21205" spans="4:38" x14ac:dyDescent="0.3">
      <c r="D21205" s="1"/>
      <c r="G21205" s="13"/>
      <c r="AL21205" s="13"/>
    </row>
    <row r="21206" spans="4:38" x14ac:dyDescent="0.3">
      <c r="D21206" s="1"/>
      <c r="G21206" s="13"/>
      <c r="AL21206" s="13"/>
    </row>
    <row r="21207" spans="4:38" x14ac:dyDescent="0.3">
      <c r="D21207" s="1"/>
      <c r="G21207" s="13"/>
      <c r="AL21207" s="13"/>
    </row>
    <row r="21208" spans="4:38" x14ac:dyDescent="0.3">
      <c r="D21208" s="1"/>
      <c r="G21208" s="13"/>
      <c r="AL21208" s="13"/>
    </row>
    <row r="21209" spans="4:38" x14ac:dyDescent="0.3">
      <c r="D21209" s="1"/>
      <c r="G21209" s="13"/>
      <c r="AL21209" s="13"/>
    </row>
    <row r="21210" spans="4:38" x14ac:dyDescent="0.3">
      <c r="D21210" s="1"/>
      <c r="G21210" s="13"/>
      <c r="AL21210" s="13"/>
    </row>
    <row r="21211" spans="4:38" x14ac:dyDescent="0.3">
      <c r="D21211" s="1"/>
      <c r="G21211" s="13"/>
      <c r="AL21211" s="13"/>
    </row>
    <row r="21212" spans="4:38" x14ac:dyDescent="0.3">
      <c r="D21212" s="1"/>
      <c r="G21212" s="13"/>
      <c r="AL21212" s="13"/>
    </row>
    <row r="21213" spans="4:38" x14ac:dyDescent="0.3">
      <c r="D21213" s="1"/>
      <c r="G21213" s="13"/>
      <c r="AL21213" s="13"/>
    </row>
    <row r="21214" spans="4:38" x14ac:dyDescent="0.3">
      <c r="D21214" s="1"/>
      <c r="G21214" s="13"/>
      <c r="AL21214" s="13"/>
    </row>
    <row r="21215" spans="4:38" x14ac:dyDescent="0.3">
      <c r="D21215" s="1"/>
      <c r="G21215" s="13"/>
      <c r="AL21215" s="13"/>
    </row>
    <row r="21216" spans="4:38" x14ac:dyDescent="0.3">
      <c r="D21216" s="1"/>
      <c r="G21216" s="13"/>
      <c r="AL21216" s="13"/>
    </row>
    <row r="21217" spans="4:38" x14ac:dyDescent="0.3">
      <c r="D21217" s="1"/>
      <c r="G21217" s="13"/>
      <c r="AL21217" s="13"/>
    </row>
    <row r="21218" spans="4:38" x14ac:dyDescent="0.3">
      <c r="D21218" s="1"/>
      <c r="G21218" s="13"/>
      <c r="AL21218" s="13"/>
    </row>
    <row r="21219" spans="4:38" x14ac:dyDescent="0.3">
      <c r="D21219" s="1"/>
      <c r="G21219" s="13"/>
      <c r="AL21219" s="13"/>
    </row>
    <row r="21220" spans="4:38" x14ac:dyDescent="0.3">
      <c r="D21220" s="1"/>
      <c r="G21220" s="13"/>
      <c r="AL21220" s="13"/>
    </row>
    <row r="21221" spans="4:38" x14ac:dyDescent="0.3">
      <c r="D21221" s="1"/>
      <c r="G21221" s="13"/>
      <c r="AL21221" s="13"/>
    </row>
    <row r="21222" spans="4:38" x14ac:dyDescent="0.3">
      <c r="D21222" s="1"/>
      <c r="G21222" s="13"/>
      <c r="AL21222" s="13"/>
    </row>
    <row r="21223" spans="4:38" x14ac:dyDescent="0.3">
      <c r="D21223" s="1"/>
      <c r="G21223" s="13"/>
      <c r="AL21223" s="13"/>
    </row>
    <row r="21224" spans="4:38" x14ac:dyDescent="0.3">
      <c r="D21224" s="1"/>
      <c r="G21224" s="13"/>
      <c r="AL21224" s="13"/>
    </row>
    <row r="21225" spans="4:38" x14ac:dyDescent="0.3">
      <c r="D21225" s="1"/>
      <c r="G21225" s="13"/>
      <c r="AL21225" s="13"/>
    </row>
    <row r="21226" spans="4:38" x14ac:dyDescent="0.3">
      <c r="D21226" s="1"/>
      <c r="G21226" s="13"/>
      <c r="AL21226" s="13"/>
    </row>
    <row r="21227" spans="4:38" x14ac:dyDescent="0.3">
      <c r="D21227" s="1"/>
      <c r="G21227" s="13"/>
      <c r="AL21227" s="13"/>
    </row>
    <row r="21228" spans="4:38" x14ac:dyDescent="0.3">
      <c r="D21228" s="1"/>
      <c r="G21228" s="13"/>
      <c r="AL21228" s="13"/>
    </row>
    <row r="21229" spans="4:38" x14ac:dyDescent="0.3">
      <c r="D21229" s="1"/>
      <c r="G21229" s="13"/>
      <c r="AL21229" s="13"/>
    </row>
    <row r="21230" spans="4:38" x14ac:dyDescent="0.3">
      <c r="D21230" s="1"/>
      <c r="G21230" s="13"/>
      <c r="AL21230" s="13"/>
    </row>
    <row r="21231" spans="4:38" x14ac:dyDescent="0.3">
      <c r="D21231" s="1"/>
      <c r="G21231" s="13"/>
      <c r="AL21231" s="13"/>
    </row>
    <row r="21232" spans="4:38" x14ac:dyDescent="0.3">
      <c r="D21232" s="1"/>
      <c r="G21232" s="13"/>
      <c r="AL21232" s="13"/>
    </row>
    <row r="21233" spans="4:38" x14ac:dyDescent="0.3">
      <c r="D21233" s="1"/>
      <c r="G21233" s="13"/>
      <c r="AL21233" s="13"/>
    </row>
    <row r="21234" spans="4:38" x14ac:dyDescent="0.3">
      <c r="D21234" s="1"/>
      <c r="G21234" s="13"/>
      <c r="AL21234" s="13"/>
    </row>
    <row r="21235" spans="4:38" x14ac:dyDescent="0.3">
      <c r="D21235" s="1"/>
      <c r="G21235" s="13"/>
      <c r="AL21235" s="13"/>
    </row>
    <row r="21236" spans="4:38" x14ac:dyDescent="0.3">
      <c r="D21236" s="1"/>
      <c r="G21236" s="13"/>
      <c r="AL21236" s="13"/>
    </row>
    <row r="21237" spans="4:38" x14ac:dyDescent="0.3">
      <c r="D21237" s="1"/>
      <c r="G21237" s="13"/>
      <c r="AL21237" s="13"/>
    </row>
    <row r="21238" spans="4:38" x14ac:dyDescent="0.3">
      <c r="D21238" s="1"/>
      <c r="G21238" s="13"/>
      <c r="AL21238" s="13"/>
    </row>
    <row r="21239" spans="4:38" x14ac:dyDescent="0.3">
      <c r="D21239" s="1"/>
      <c r="G21239" s="13"/>
      <c r="AL21239" s="13"/>
    </row>
    <row r="21240" spans="4:38" x14ac:dyDescent="0.3">
      <c r="D21240" s="1"/>
      <c r="G21240" s="13"/>
      <c r="AL21240" s="13"/>
    </row>
    <row r="21241" spans="4:38" x14ac:dyDescent="0.3">
      <c r="D21241" s="1"/>
      <c r="G21241" s="13"/>
      <c r="AL21241" s="13"/>
    </row>
    <row r="21242" spans="4:38" x14ac:dyDescent="0.3">
      <c r="D21242" s="1"/>
      <c r="G21242" s="13"/>
      <c r="AL21242" s="13"/>
    </row>
    <row r="21243" spans="4:38" x14ac:dyDescent="0.3">
      <c r="D21243" s="1"/>
      <c r="G21243" s="13"/>
      <c r="AL21243" s="13"/>
    </row>
    <row r="21244" spans="4:38" x14ac:dyDescent="0.3">
      <c r="D21244" s="1"/>
      <c r="G21244" s="13"/>
      <c r="AL21244" s="13"/>
    </row>
    <row r="21245" spans="4:38" x14ac:dyDescent="0.3">
      <c r="D21245" s="1"/>
      <c r="G21245" s="13"/>
      <c r="AL21245" s="13"/>
    </row>
    <row r="21246" spans="4:38" x14ac:dyDescent="0.3">
      <c r="D21246" s="1"/>
      <c r="G21246" s="13"/>
      <c r="AL21246" s="13"/>
    </row>
    <row r="21247" spans="4:38" x14ac:dyDescent="0.3">
      <c r="D21247" s="1"/>
      <c r="G21247" s="13"/>
      <c r="AL21247" s="13"/>
    </row>
    <row r="21248" spans="4:38" x14ac:dyDescent="0.3">
      <c r="D21248" s="1"/>
      <c r="G21248" s="13"/>
      <c r="AL21248" s="13"/>
    </row>
    <row r="21249" spans="4:38" x14ac:dyDescent="0.3">
      <c r="D21249" s="1"/>
      <c r="G21249" s="13"/>
      <c r="AL21249" s="13"/>
    </row>
    <row r="21250" spans="4:38" x14ac:dyDescent="0.3">
      <c r="D21250" s="1"/>
      <c r="G21250" s="13"/>
      <c r="AL21250" s="13"/>
    </row>
    <row r="21251" spans="4:38" x14ac:dyDescent="0.3">
      <c r="D21251" s="1"/>
      <c r="G21251" s="13"/>
      <c r="AL21251" s="13"/>
    </row>
    <row r="21252" spans="4:38" x14ac:dyDescent="0.3">
      <c r="D21252" s="1"/>
      <c r="G21252" s="13"/>
      <c r="AL21252" s="13"/>
    </row>
    <row r="21253" spans="4:38" x14ac:dyDescent="0.3">
      <c r="D21253" s="1"/>
      <c r="G21253" s="13"/>
      <c r="AL21253" s="13"/>
    </row>
    <row r="21254" spans="4:38" x14ac:dyDescent="0.3">
      <c r="D21254" s="1"/>
      <c r="G21254" s="13"/>
      <c r="AL21254" s="13"/>
    </row>
    <row r="21255" spans="4:38" x14ac:dyDescent="0.3">
      <c r="D21255" s="1"/>
      <c r="G21255" s="13"/>
      <c r="AL21255" s="13"/>
    </row>
    <row r="21256" spans="4:38" x14ac:dyDescent="0.3">
      <c r="D21256" s="1"/>
      <c r="G21256" s="13"/>
      <c r="AL21256" s="13"/>
    </row>
    <row r="21257" spans="4:38" x14ac:dyDescent="0.3">
      <c r="D21257" s="1"/>
      <c r="G21257" s="13"/>
      <c r="AL21257" s="13"/>
    </row>
    <row r="21258" spans="4:38" x14ac:dyDescent="0.3">
      <c r="D21258" s="1"/>
      <c r="G21258" s="13"/>
      <c r="AL21258" s="13"/>
    </row>
    <row r="21259" spans="4:38" x14ac:dyDescent="0.3">
      <c r="D21259" s="1"/>
      <c r="G21259" s="13"/>
      <c r="AL21259" s="13"/>
    </row>
    <row r="21260" spans="4:38" x14ac:dyDescent="0.3">
      <c r="D21260" s="1"/>
      <c r="G21260" s="13"/>
      <c r="AL21260" s="13"/>
    </row>
    <row r="21261" spans="4:38" x14ac:dyDescent="0.3">
      <c r="D21261" s="1"/>
      <c r="G21261" s="13"/>
      <c r="AL21261" s="13"/>
    </row>
    <row r="21262" spans="4:38" x14ac:dyDescent="0.3">
      <c r="D21262" s="1"/>
      <c r="G21262" s="13"/>
      <c r="AL21262" s="13"/>
    </row>
    <row r="21263" spans="4:38" x14ac:dyDescent="0.3">
      <c r="D21263" s="1"/>
      <c r="G21263" s="13"/>
      <c r="AL21263" s="13"/>
    </row>
    <row r="21264" spans="4:38" x14ac:dyDescent="0.3">
      <c r="D21264" s="1"/>
      <c r="G21264" s="13"/>
      <c r="AL21264" s="13"/>
    </row>
    <row r="21265" spans="4:38" x14ac:dyDescent="0.3">
      <c r="D21265" s="1"/>
      <c r="G21265" s="13"/>
      <c r="AL21265" s="13"/>
    </row>
    <row r="21266" spans="4:38" x14ac:dyDescent="0.3">
      <c r="D21266" s="1"/>
      <c r="G21266" s="13"/>
      <c r="AL21266" s="13"/>
    </row>
    <row r="21267" spans="4:38" x14ac:dyDescent="0.3">
      <c r="D21267" s="1"/>
      <c r="G21267" s="13"/>
      <c r="AL21267" s="13"/>
    </row>
    <row r="21268" spans="4:38" x14ac:dyDescent="0.3">
      <c r="D21268" s="1"/>
      <c r="G21268" s="13"/>
      <c r="AL21268" s="13"/>
    </row>
    <row r="21269" spans="4:38" x14ac:dyDescent="0.3">
      <c r="D21269" s="1"/>
      <c r="G21269" s="13"/>
      <c r="AL21269" s="13"/>
    </row>
    <row r="21270" spans="4:38" x14ac:dyDescent="0.3">
      <c r="D21270" s="1"/>
      <c r="G21270" s="13"/>
      <c r="AL21270" s="13"/>
    </row>
    <row r="21271" spans="4:38" x14ac:dyDescent="0.3">
      <c r="D21271" s="1"/>
      <c r="G21271" s="13"/>
      <c r="AL21271" s="13"/>
    </row>
    <row r="21272" spans="4:38" x14ac:dyDescent="0.3">
      <c r="D21272" s="1"/>
      <c r="G21272" s="13"/>
      <c r="AL21272" s="13"/>
    </row>
    <row r="21273" spans="4:38" x14ac:dyDescent="0.3">
      <c r="D21273" s="1"/>
      <c r="G21273" s="13"/>
      <c r="AL21273" s="13"/>
    </row>
    <row r="21274" spans="4:38" x14ac:dyDescent="0.3">
      <c r="D21274" s="1"/>
      <c r="G21274" s="13"/>
      <c r="AL21274" s="13"/>
    </row>
    <row r="21275" spans="4:38" x14ac:dyDescent="0.3">
      <c r="D21275" s="1"/>
      <c r="G21275" s="13"/>
      <c r="AL21275" s="13"/>
    </row>
    <row r="21276" spans="4:38" x14ac:dyDescent="0.3">
      <c r="D21276" s="1"/>
      <c r="G21276" s="13"/>
      <c r="AL21276" s="13"/>
    </row>
    <row r="21277" spans="4:38" x14ac:dyDescent="0.3">
      <c r="D21277" s="1"/>
      <c r="G21277" s="13"/>
      <c r="AL21277" s="13"/>
    </row>
    <row r="21278" spans="4:38" x14ac:dyDescent="0.3">
      <c r="D21278" s="1"/>
      <c r="G21278" s="13"/>
      <c r="AL21278" s="13"/>
    </row>
    <row r="21279" spans="4:38" x14ac:dyDescent="0.3">
      <c r="D21279" s="1"/>
      <c r="G21279" s="13"/>
      <c r="AL21279" s="13"/>
    </row>
    <row r="21280" spans="4:38" x14ac:dyDescent="0.3">
      <c r="D21280" s="1"/>
      <c r="G21280" s="13"/>
      <c r="AL21280" s="13"/>
    </row>
    <row r="21281" spans="4:38" x14ac:dyDescent="0.3">
      <c r="D21281" s="1"/>
      <c r="G21281" s="13"/>
      <c r="AL21281" s="13"/>
    </row>
    <row r="21282" spans="4:38" x14ac:dyDescent="0.3">
      <c r="D21282" s="1"/>
      <c r="G21282" s="13"/>
      <c r="AL21282" s="13"/>
    </row>
    <row r="21283" spans="4:38" x14ac:dyDescent="0.3">
      <c r="D21283" s="1"/>
      <c r="G21283" s="13"/>
      <c r="AL21283" s="13"/>
    </row>
    <row r="21284" spans="4:38" x14ac:dyDescent="0.3">
      <c r="D21284" s="1"/>
      <c r="G21284" s="13"/>
      <c r="AL21284" s="13"/>
    </row>
    <row r="21285" spans="4:38" x14ac:dyDescent="0.3">
      <c r="D21285" s="1"/>
      <c r="G21285" s="13"/>
      <c r="AL21285" s="13"/>
    </row>
    <row r="21286" spans="4:38" x14ac:dyDescent="0.3">
      <c r="D21286" s="1"/>
      <c r="G21286" s="13"/>
      <c r="AL21286" s="13"/>
    </row>
    <row r="21287" spans="4:38" x14ac:dyDescent="0.3">
      <c r="D21287" s="1"/>
      <c r="G21287" s="13"/>
      <c r="AL21287" s="13"/>
    </row>
    <row r="21288" spans="4:38" x14ac:dyDescent="0.3">
      <c r="D21288" s="1"/>
      <c r="G21288" s="13"/>
      <c r="AL21288" s="13"/>
    </row>
    <row r="21289" spans="4:38" x14ac:dyDescent="0.3">
      <c r="D21289" s="1"/>
      <c r="G21289" s="13"/>
      <c r="AL21289" s="13"/>
    </row>
    <row r="21290" spans="4:38" x14ac:dyDescent="0.3">
      <c r="D21290" s="1"/>
      <c r="G21290" s="13"/>
      <c r="AL21290" s="13"/>
    </row>
    <row r="21291" spans="4:38" x14ac:dyDescent="0.3">
      <c r="D21291" s="1"/>
      <c r="G21291" s="13"/>
      <c r="AL21291" s="13"/>
    </row>
    <row r="21292" spans="4:38" x14ac:dyDescent="0.3">
      <c r="D21292" s="1"/>
      <c r="G21292" s="13"/>
      <c r="AL21292" s="13"/>
    </row>
    <row r="21293" spans="4:38" x14ac:dyDescent="0.3">
      <c r="D21293" s="1"/>
      <c r="G21293" s="13"/>
      <c r="AL21293" s="13"/>
    </row>
    <row r="21294" spans="4:38" x14ac:dyDescent="0.3">
      <c r="D21294" s="1"/>
      <c r="G21294" s="13"/>
      <c r="AL21294" s="13"/>
    </row>
    <row r="21295" spans="4:38" x14ac:dyDescent="0.3">
      <c r="D21295" s="1"/>
      <c r="G21295" s="13"/>
      <c r="AL21295" s="13"/>
    </row>
    <row r="21296" spans="4:38" x14ac:dyDescent="0.3">
      <c r="D21296" s="1"/>
      <c r="G21296" s="13"/>
      <c r="AL21296" s="13"/>
    </row>
    <row r="21297" spans="4:38" x14ac:dyDescent="0.3">
      <c r="D21297" s="1"/>
      <c r="G21297" s="13"/>
      <c r="AL21297" s="13"/>
    </row>
    <row r="21298" spans="4:38" x14ac:dyDescent="0.3">
      <c r="D21298" s="1"/>
      <c r="G21298" s="13"/>
      <c r="AL21298" s="13"/>
    </row>
    <row r="21299" spans="4:38" x14ac:dyDescent="0.3">
      <c r="D21299" s="1"/>
      <c r="G21299" s="13"/>
      <c r="AL21299" s="13"/>
    </row>
    <row r="21300" spans="4:38" x14ac:dyDescent="0.3">
      <c r="D21300" s="1"/>
      <c r="G21300" s="13"/>
      <c r="AL21300" s="13"/>
    </row>
    <row r="21301" spans="4:38" x14ac:dyDescent="0.3">
      <c r="D21301" s="1"/>
      <c r="G21301" s="13"/>
      <c r="AL21301" s="13"/>
    </row>
    <row r="21302" spans="4:38" x14ac:dyDescent="0.3">
      <c r="D21302" s="1"/>
      <c r="G21302" s="13"/>
      <c r="AL21302" s="13"/>
    </row>
    <row r="21303" spans="4:38" x14ac:dyDescent="0.3">
      <c r="D21303" s="1"/>
      <c r="G21303" s="13"/>
      <c r="AL21303" s="13"/>
    </row>
    <row r="21304" spans="4:38" x14ac:dyDescent="0.3">
      <c r="D21304" s="1"/>
      <c r="G21304" s="13"/>
      <c r="AL21304" s="13"/>
    </row>
    <row r="21305" spans="4:38" x14ac:dyDescent="0.3">
      <c r="D21305" s="1"/>
      <c r="G21305" s="13"/>
      <c r="AL21305" s="13"/>
    </row>
    <row r="21306" spans="4:38" x14ac:dyDescent="0.3">
      <c r="D21306" s="1"/>
      <c r="G21306" s="13"/>
      <c r="AL21306" s="13"/>
    </row>
    <row r="21307" spans="4:38" x14ac:dyDescent="0.3">
      <c r="D21307" s="1"/>
      <c r="G21307" s="13"/>
      <c r="AL21307" s="13"/>
    </row>
    <row r="21308" spans="4:38" x14ac:dyDescent="0.3">
      <c r="D21308" s="1"/>
      <c r="G21308" s="13"/>
      <c r="AL21308" s="13"/>
    </row>
    <row r="21309" spans="4:38" x14ac:dyDescent="0.3">
      <c r="D21309" s="1"/>
      <c r="G21309" s="13"/>
      <c r="AL21309" s="13"/>
    </row>
    <row r="21310" spans="4:38" x14ac:dyDescent="0.3">
      <c r="D21310" s="1"/>
      <c r="G21310" s="13"/>
      <c r="AL21310" s="13"/>
    </row>
    <row r="21311" spans="4:38" x14ac:dyDescent="0.3">
      <c r="D21311" s="1"/>
      <c r="G21311" s="13"/>
      <c r="AL21311" s="13"/>
    </row>
    <row r="21312" spans="4:38" x14ac:dyDescent="0.3">
      <c r="D21312" s="1"/>
      <c r="G21312" s="13"/>
      <c r="AL21312" s="13"/>
    </row>
    <row r="21313" spans="4:38" x14ac:dyDescent="0.3">
      <c r="D21313" s="1"/>
      <c r="G21313" s="13"/>
      <c r="AL21313" s="13"/>
    </row>
    <row r="21314" spans="4:38" x14ac:dyDescent="0.3">
      <c r="D21314" s="1"/>
      <c r="G21314" s="13"/>
      <c r="AL21314" s="13"/>
    </row>
    <row r="21315" spans="4:38" x14ac:dyDescent="0.3">
      <c r="D21315" s="1"/>
      <c r="G21315" s="13"/>
      <c r="AL21315" s="13"/>
    </row>
    <row r="21316" spans="4:38" x14ac:dyDescent="0.3">
      <c r="D21316" s="1"/>
      <c r="G21316" s="13"/>
      <c r="AL21316" s="13"/>
    </row>
    <row r="21317" spans="4:38" x14ac:dyDescent="0.3">
      <c r="D21317" s="1"/>
      <c r="G21317" s="13"/>
      <c r="AL21317" s="13"/>
    </row>
    <row r="21318" spans="4:38" x14ac:dyDescent="0.3">
      <c r="D21318" s="1"/>
      <c r="G21318" s="13"/>
      <c r="AL21318" s="13"/>
    </row>
    <row r="21319" spans="4:38" x14ac:dyDescent="0.3">
      <c r="D21319" s="1"/>
      <c r="G21319" s="13"/>
      <c r="AL21319" s="13"/>
    </row>
    <row r="21320" spans="4:38" x14ac:dyDescent="0.3">
      <c r="D21320" s="1"/>
      <c r="G21320" s="13"/>
      <c r="AL21320" s="13"/>
    </row>
    <row r="21321" spans="4:38" x14ac:dyDescent="0.3">
      <c r="D21321" s="1"/>
      <c r="G21321" s="13"/>
      <c r="AL21321" s="13"/>
    </row>
    <row r="21322" spans="4:38" x14ac:dyDescent="0.3">
      <c r="D21322" s="1"/>
      <c r="G21322" s="13"/>
      <c r="AL21322" s="13"/>
    </row>
    <row r="21323" spans="4:38" x14ac:dyDescent="0.3">
      <c r="D21323" s="1"/>
      <c r="G21323" s="13"/>
      <c r="AL21323" s="13"/>
    </row>
    <row r="21324" spans="4:38" x14ac:dyDescent="0.3">
      <c r="D21324" s="1"/>
      <c r="G21324" s="13"/>
      <c r="AL21324" s="13"/>
    </row>
    <row r="21325" spans="4:38" x14ac:dyDescent="0.3">
      <c r="D21325" s="1"/>
      <c r="G21325" s="13"/>
      <c r="AL21325" s="13"/>
    </row>
    <row r="21326" spans="4:38" x14ac:dyDescent="0.3">
      <c r="D21326" s="1"/>
      <c r="G21326" s="13"/>
      <c r="AL21326" s="13"/>
    </row>
    <row r="21327" spans="4:38" x14ac:dyDescent="0.3">
      <c r="D21327" s="1"/>
      <c r="G21327" s="13"/>
      <c r="AL21327" s="13"/>
    </row>
    <row r="21328" spans="4:38" x14ac:dyDescent="0.3">
      <c r="D21328" s="1"/>
      <c r="G21328" s="13"/>
      <c r="AL21328" s="13"/>
    </row>
    <row r="21329" spans="4:38" x14ac:dyDescent="0.3">
      <c r="D21329" s="1"/>
      <c r="G21329" s="13"/>
      <c r="AL21329" s="13"/>
    </row>
    <row r="21330" spans="4:38" x14ac:dyDescent="0.3">
      <c r="D21330" s="1"/>
      <c r="G21330" s="13"/>
      <c r="AL21330" s="13"/>
    </row>
    <row r="21331" spans="4:38" x14ac:dyDescent="0.3">
      <c r="D21331" s="1"/>
      <c r="G21331" s="13"/>
      <c r="AL21331" s="13"/>
    </row>
    <row r="21332" spans="4:38" x14ac:dyDescent="0.3">
      <c r="D21332" s="1"/>
      <c r="G21332" s="13"/>
      <c r="AL21332" s="13"/>
    </row>
    <row r="21333" spans="4:38" x14ac:dyDescent="0.3">
      <c r="D21333" s="1"/>
      <c r="G21333" s="13"/>
      <c r="AL21333" s="13"/>
    </row>
    <row r="21334" spans="4:38" x14ac:dyDescent="0.3">
      <c r="D21334" s="1"/>
      <c r="G21334" s="13"/>
      <c r="AL21334" s="13"/>
    </row>
    <row r="21335" spans="4:38" x14ac:dyDescent="0.3">
      <c r="D21335" s="1"/>
      <c r="G21335" s="13"/>
      <c r="AL21335" s="13"/>
    </row>
    <row r="21336" spans="4:38" x14ac:dyDescent="0.3">
      <c r="D21336" s="1"/>
      <c r="G21336" s="13"/>
      <c r="AL21336" s="13"/>
    </row>
    <row r="21337" spans="4:38" x14ac:dyDescent="0.3">
      <c r="D21337" s="1"/>
      <c r="G21337" s="13"/>
      <c r="AL21337" s="13"/>
    </row>
    <row r="21338" spans="4:38" x14ac:dyDescent="0.3">
      <c r="D21338" s="1"/>
      <c r="G21338" s="13"/>
      <c r="AL21338" s="13"/>
    </row>
    <row r="21339" spans="4:38" x14ac:dyDescent="0.3">
      <c r="D21339" s="1"/>
      <c r="G21339" s="13"/>
      <c r="AL21339" s="13"/>
    </row>
    <row r="21340" spans="4:38" x14ac:dyDescent="0.3">
      <c r="D21340" s="1"/>
      <c r="G21340" s="13"/>
      <c r="AL21340" s="13"/>
    </row>
    <row r="21341" spans="4:38" x14ac:dyDescent="0.3">
      <c r="D21341" s="1"/>
      <c r="G21341" s="13"/>
      <c r="AL21341" s="13"/>
    </row>
    <row r="21342" spans="4:38" x14ac:dyDescent="0.3">
      <c r="D21342" s="1"/>
      <c r="G21342" s="13"/>
      <c r="AL21342" s="13"/>
    </row>
    <row r="21343" spans="4:38" x14ac:dyDescent="0.3">
      <c r="D21343" s="1"/>
      <c r="G21343" s="13"/>
      <c r="AL21343" s="13"/>
    </row>
    <row r="21344" spans="4:38" x14ac:dyDescent="0.3">
      <c r="D21344" s="1"/>
      <c r="G21344" s="13"/>
      <c r="AL21344" s="13"/>
    </row>
    <row r="21345" spans="4:38" x14ac:dyDescent="0.3">
      <c r="D21345" s="1"/>
      <c r="G21345" s="13"/>
      <c r="AL21345" s="13"/>
    </row>
    <row r="21346" spans="4:38" x14ac:dyDescent="0.3">
      <c r="D21346" s="1"/>
      <c r="G21346" s="13"/>
      <c r="AL21346" s="13"/>
    </row>
    <row r="21347" spans="4:38" x14ac:dyDescent="0.3">
      <c r="D21347" s="1"/>
      <c r="G21347" s="13"/>
      <c r="AL21347" s="13"/>
    </row>
    <row r="21348" spans="4:38" x14ac:dyDescent="0.3">
      <c r="D21348" s="1"/>
      <c r="G21348" s="13"/>
      <c r="AL21348" s="13"/>
    </row>
    <row r="21349" spans="4:38" x14ac:dyDescent="0.3">
      <c r="D21349" s="1"/>
      <c r="G21349" s="13"/>
      <c r="AL21349" s="13"/>
    </row>
    <row r="21350" spans="4:38" x14ac:dyDescent="0.3">
      <c r="D21350" s="1"/>
      <c r="G21350" s="13"/>
      <c r="AL21350" s="13"/>
    </row>
    <row r="21351" spans="4:38" x14ac:dyDescent="0.3">
      <c r="D21351" s="1"/>
      <c r="G21351" s="13"/>
      <c r="AL21351" s="13"/>
    </row>
    <row r="21352" spans="4:38" x14ac:dyDescent="0.3">
      <c r="D21352" s="1"/>
      <c r="G21352" s="13"/>
      <c r="AL21352" s="13"/>
    </row>
    <row r="21353" spans="4:38" x14ac:dyDescent="0.3">
      <c r="D21353" s="1"/>
      <c r="G21353" s="13"/>
      <c r="AL21353" s="13"/>
    </row>
    <row r="21354" spans="4:38" x14ac:dyDescent="0.3">
      <c r="D21354" s="1"/>
      <c r="G21354" s="13"/>
      <c r="AL21354" s="13"/>
    </row>
    <row r="21355" spans="4:38" x14ac:dyDescent="0.3">
      <c r="D21355" s="1"/>
      <c r="G21355" s="13"/>
      <c r="AL21355" s="13"/>
    </row>
    <row r="21356" spans="4:38" x14ac:dyDescent="0.3">
      <c r="D21356" s="1"/>
      <c r="G21356" s="13"/>
      <c r="AL21356" s="13"/>
    </row>
    <row r="21357" spans="4:38" x14ac:dyDescent="0.3">
      <c r="D21357" s="1"/>
      <c r="G21357" s="13"/>
      <c r="AL21357" s="13"/>
    </row>
    <row r="21358" spans="4:38" x14ac:dyDescent="0.3">
      <c r="D21358" s="1"/>
      <c r="G21358" s="13"/>
      <c r="AL21358" s="13"/>
    </row>
    <row r="21359" spans="4:38" x14ac:dyDescent="0.3">
      <c r="D21359" s="1"/>
      <c r="G21359" s="13"/>
      <c r="AL21359" s="13"/>
    </row>
    <row r="21360" spans="4:38" x14ac:dyDescent="0.3">
      <c r="D21360" s="1"/>
      <c r="G21360" s="13"/>
      <c r="AL21360" s="13"/>
    </row>
    <row r="21361" spans="4:38" x14ac:dyDescent="0.3">
      <c r="D21361" s="1"/>
      <c r="G21361" s="13"/>
      <c r="AL21361" s="13"/>
    </row>
    <row r="21362" spans="4:38" x14ac:dyDescent="0.3">
      <c r="D21362" s="1"/>
      <c r="G21362" s="13"/>
      <c r="AL21362" s="13"/>
    </row>
    <row r="21363" spans="4:38" x14ac:dyDescent="0.3">
      <c r="D21363" s="1"/>
      <c r="G21363" s="13"/>
      <c r="AL21363" s="13"/>
    </row>
    <row r="21364" spans="4:38" x14ac:dyDescent="0.3">
      <c r="D21364" s="1"/>
      <c r="G21364" s="13"/>
      <c r="AL21364" s="13"/>
    </row>
    <row r="21365" spans="4:38" x14ac:dyDescent="0.3">
      <c r="D21365" s="1"/>
      <c r="G21365" s="13"/>
      <c r="AL21365" s="13"/>
    </row>
    <row r="21366" spans="4:38" x14ac:dyDescent="0.3">
      <c r="D21366" s="1"/>
      <c r="G21366" s="13"/>
      <c r="AL21366" s="13"/>
    </row>
    <row r="21367" spans="4:38" x14ac:dyDescent="0.3">
      <c r="D21367" s="1"/>
      <c r="G21367" s="13"/>
      <c r="AL21367" s="13"/>
    </row>
    <row r="21368" spans="4:38" x14ac:dyDescent="0.3">
      <c r="D21368" s="1"/>
      <c r="G21368" s="13"/>
      <c r="AL21368" s="13"/>
    </row>
    <row r="21369" spans="4:38" x14ac:dyDescent="0.3">
      <c r="D21369" s="1"/>
      <c r="G21369" s="13"/>
      <c r="AL21369" s="13"/>
    </row>
    <row r="21370" spans="4:38" x14ac:dyDescent="0.3">
      <c r="D21370" s="1"/>
      <c r="G21370" s="13"/>
      <c r="AL21370" s="13"/>
    </row>
    <row r="21371" spans="4:38" x14ac:dyDescent="0.3">
      <c r="D21371" s="1"/>
      <c r="G21371" s="13"/>
      <c r="AL21371" s="13"/>
    </row>
    <row r="21372" spans="4:38" x14ac:dyDescent="0.3">
      <c r="D21372" s="1"/>
      <c r="G21372" s="13"/>
      <c r="AL21372" s="13"/>
    </row>
    <row r="21373" spans="4:38" x14ac:dyDescent="0.3">
      <c r="D21373" s="1"/>
      <c r="G21373" s="13"/>
      <c r="AL21373" s="13"/>
    </row>
    <row r="21374" spans="4:38" x14ac:dyDescent="0.3">
      <c r="D21374" s="1"/>
      <c r="G21374" s="13"/>
      <c r="AL21374" s="13"/>
    </row>
    <row r="21375" spans="4:38" x14ac:dyDescent="0.3">
      <c r="D21375" s="1"/>
      <c r="G21375" s="13"/>
      <c r="AL21375" s="13"/>
    </row>
    <row r="21376" spans="4:38" x14ac:dyDescent="0.3">
      <c r="D21376" s="1"/>
      <c r="G21376" s="13"/>
      <c r="AL21376" s="13"/>
    </row>
    <row r="21377" spans="4:38" x14ac:dyDescent="0.3">
      <c r="D21377" s="1"/>
      <c r="G21377" s="13"/>
      <c r="AL21377" s="13"/>
    </row>
    <row r="21378" spans="4:38" x14ac:dyDescent="0.3">
      <c r="D21378" s="1"/>
      <c r="G21378" s="13"/>
      <c r="AL21378" s="13"/>
    </row>
    <row r="21379" spans="4:38" x14ac:dyDescent="0.3">
      <c r="D21379" s="1"/>
      <c r="G21379" s="13"/>
      <c r="AL21379" s="13"/>
    </row>
    <row r="21380" spans="4:38" x14ac:dyDescent="0.3">
      <c r="D21380" s="1"/>
      <c r="G21380" s="13"/>
      <c r="AL21380" s="13"/>
    </row>
    <row r="21381" spans="4:38" x14ac:dyDescent="0.3">
      <c r="D21381" s="1"/>
      <c r="G21381" s="13"/>
      <c r="AL21381" s="13"/>
    </row>
    <row r="21382" spans="4:38" x14ac:dyDescent="0.3">
      <c r="D21382" s="1"/>
      <c r="G21382" s="13"/>
      <c r="AL21382" s="13"/>
    </row>
    <row r="21383" spans="4:38" x14ac:dyDescent="0.3">
      <c r="D21383" s="1"/>
      <c r="G21383" s="13"/>
      <c r="AL21383" s="13"/>
    </row>
    <row r="21384" spans="4:38" x14ac:dyDescent="0.3">
      <c r="D21384" s="1"/>
      <c r="G21384" s="13"/>
      <c r="AL21384" s="13"/>
    </row>
    <row r="21385" spans="4:38" x14ac:dyDescent="0.3">
      <c r="D21385" s="1"/>
      <c r="G21385" s="13"/>
      <c r="AL21385" s="13"/>
    </row>
    <row r="21386" spans="4:38" x14ac:dyDescent="0.3">
      <c r="D21386" s="1"/>
      <c r="G21386" s="13"/>
      <c r="AL21386" s="13"/>
    </row>
    <row r="21387" spans="4:38" x14ac:dyDescent="0.3">
      <c r="D21387" s="1"/>
      <c r="G21387" s="13"/>
      <c r="AL21387" s="13"/>
    </row>
    <row r="21388" spans="4:38" x14ac:dyDescent="0.3">
      <c r="D21388" s="1"/>
      <c r="G21388" s="13"/>
      <c r="AL21388" s="13"/>
    </row>
    <row r="21389" spans="4:38" x14ac:dyDescent="0.3">
      <c r="D21389" s="1"/>
      <c r="G21389" s="13"/>
      <c r="AL21389" s="13"/>
    </row>
    <row r="21390" spans="4:38" x14ac:dyDescent="0.3">
      <c r="D21390" s="1"/>
      <c r="G21390" s="13"/>
      <c r="AL21390" s="13"/>
    </row>
    <row r="21391" spans="4:38" x14ac:dyDescent="0.3">
      <c r="D21391" s="1"/>
      <c r="G21391" s="13"/>
      <c r="AL21391" s="13"/>
    </row>
    <row r="21392" spans="4:38" x14ac:dyDescent="0.3">
      <c r="D21392" s="1"/>
      <c r="G21392" s="13"/>
      <c r="AL21392" s="13"/>
    </row>
    <row r="21393" spans="4:38" x14ac:dyDescent="0.3">
      <c r="D21393" s="1"/>
      <c r="G21393" s="13"/>
      <c r="AL21393" s="13"/>
    </row>
    <row r="21394" spans="4:38" x14ac:dyDescent="0.3">
      <c r="D21394" s="1"/>
      <c r="G21394" s="13"/>
      <c r="AL21394" s="13"/>
    </row>
    <row r="21395" spans="4:38" x14ac:dyDescent="0.3">
      <c r="D21395" s="1"/>
      <c r="G21395" s="13"/>
      <c r="AL21395" s="13"/>
    </row>
    <row r="21396" spans="4:38" x14ac:dyDescent="0.3">
      <c r="D21396" s="1"/>
      <c r="G21396" s="13"/>
      <c r="AL21396" s="13"/>
    </row>
    <row r="21397" spans="4:38" x14ac:dyDescent="0.3">
      <c r="D21397" s="1"/>
      <c r="G21397" s="13"/>
      <c r="AL21397" s="13"/>
    </row>
    <row r="21398" spans="4:38" x14ac:dyDescent="0.3">
      <c r="D21398" s="1"/>
      <c r="G21398" s="13"/>
      <c r="AL21398" s="13"/>
    </row>
    <row r="21399" spans="4:38" x14ac:dyDescent="0.3">
      <c r="D21399" s="1"/>
      <c r="G21399" s="13"/>
      <c r="AL21399" s="13"/>
    </row>
    <row r="21400" spans="4:38" x14ac:dyDescent="0.3">
      <c r="D21400" s="1"/>
      <c r="G21400" s="13"/>
      <c r="AL21400" s="13"/>
    </row>
    <row r="21401" spans="4:38" x14ac:dyDescent="0.3">
      <c r="D21401" s="1"/>
      <c r="G21401" s="13"/>
      <c r="AL21401" s="13"/>
    </row>
    <row r="21402" spans="4:38" x14ac:dyDescent="0.3">
      <c r="D21402" s="1"/>
      <c r="G21402" s="13"/>
      <c r="AL21402" s="13"/>
    </row>
    <row r="21403" spans="4:38" x14ac:dyDescent="0.3">
      <c r="D21403" s="1"/>
      <c r="G21403" s="13"/>
      <c r="AL21403" s="13"/>
    </row>
    <row r="21404" spans="4:38" x14ac:dyDescent="0.3">
      <c r="D21404" s="1"/>
      <c r="G21404" s="13"/>
      <c r="AL21404" s="13"/>
    </row>
    <row r="21405" spans="4:38" x14ac:dyDescent="0.3">
      <c r="D21405" s="1"/>
      <c r="G21405" s="13"/>
      <c r="AL21405" s="13"/>
    </row>
    <row r="21406" spans="4:38" x14ac:dyDescent="0.3">
      <c r="D21406" s="1"/>
      <c r="G21406" s="13"/>
      <c r="AL21406" s="13"/>
    </row>
    <row r="21407" spans="4:38" x14ac:dyDescent="0.3">
      <c r="D21407" s="1"/>
      <c r="G21407" s="13"/>
      <c r="AL21407" s="13"/>
    </row>
    <row r="21408" spans="4:38" x14ac:dyDescent="0.3">
      <c r="D21408" s="1"/>
      <c r="G21408" s="13"/>
      <c r="AL21408" s="13"/>
    </row>
    <row r="21409" spans="4:38" x14ac:dyDescent="0.3">
      <c r="D21409" s="1"/>
      <c r="G21409" s="13"/>
      <c r="AL21409" s="13"/>
    </row>
    <row r="21410" spans="4:38" x14ac:dyDescent="0.3">
      <c r="D21410" s="1"/>
      <c r="G21410" s="13"/>
      <c r="AL21410" s="13"/>
    </row>
    <row r="21411" spans="4:38" x14ac:dyDescent="0.3">
      <c r="D21411" s="1"/>
      <c r="G21411" s="13"/>
      <c r="AL21411" s="13"/>
    </row>
    <row r="21412" spans="4:38" x14ac:dyDescent="0.3">
      <c r="D21412" s="1"/>
      <c r="G21412" s="13"/>
      <c r="AL21412" s="13"/>
    </row>
    <row r="21413" spans="4:38" x14ac:dyDescent="0.3">
      <c r="D21413" s="1"/>
      <c r="G21413" s="13"/>
      <c r="AL21413" s="13"/>
    </row>
    <row r="21414" spans="4:38" x14ac:dyDescent="0.3">
      <c r="D21414" s="1"/>
      <c r="G21414" s="13"/>
      <c r="AL21414" s="13"/>
    </row>
    <row r="21415" spans="4:38" x14ac:dyDescent="0.3">
      <c r="D21415" s="1"/>
      <c r="G21415" s="13"/>
      <c r="AL21415" s="13"/>
    </row>
    <row r="21416" spans="4:38" x14ac:dyDescent="0.3">
      <c r="D21416" s="1"/>
      <c r="G21416" s="13"/>
      <c r="AL21416" s="13"/>
    </row>
    <row r="21417" spans="4:38" x14ac:dyDescent="0.3">
      <c r="D21417" s="1"/>
      <c r="G21417" s="13"/>
      <c r="AL21417" s="13"/>
    </row>
    <row r="21418" spans="4:38" x14ac:dyDescent="0.3">
      <c r="D21418" s="1"/>
      <c r="G21418" s="13"/>
      <c r="AL21418" s="13"/>
    </row>
    <row r="21419" spans="4:38" x14ac:dyDescent="0.3">
      <c r="D21419" s="1"/>
      <c r="G21419" s="13"/>
      <c r="AL21419" s="13"/>
    </row>
    <row r="21420" spans="4:38" x14ac:dyDescent="0.3">
      <c r="D21420" s="1"/>
      <c r="G21420" s="13"/>
      <c r="AL21420" s="13"/>
    </row>
    <row r="21421" spans="4:38" x14ac:dyDescent="0.3">
      <c r="D21421" s="1"/>
      <c r="G21421" s="13"/>
      <c r="AL21421" s="13"/>
    </row>
    <row r="21422" spans="4:38" x14ac:dyDescent="0.3">
      <c r="D21422" s="1"/>
      <c r="G21422" s="13"/>
      <c r="AL21422" s="13"/>
    </row>
    <row r="21423" spans="4:38" x14ac:dyDescent="0.3">
      <c r="D21423" s="1"/>
      <c r="G21423" s="13"/>
      <c r="AL21423" s="13"/>
    </row>
    <row r="21424" spans="4:38" x14ac:dyDescent="0.3">
      <c r="D21424" s="1"/>
      <c r="G21424" s="13"/>
      <c r="AL21424" s="13"/>
    </row>
    <row r="21425" spans="4:38" x14ac:dyDescent="0.3">
      <c r="D21425" s="1"/>
      <c r="G21425" s="13"/>
      <c r="AL21425" s="13"/>
    </row>
    <row r="21426" spans="4:38" x14ac:dyDescent="0.3">
      <c r="D21426" s="1"/>
      <c r="G21426" s="13"/>
      <c r="AL21426" s="13"/>
    </row>
    <row r="21427" spans="4:38" x14ac:dyDescent="0.3">
      <c r="D21427" s="1"/>
      <c r="G21427" s="13"/>
      <c r="AL21427" s="13"/>
    </row>
    <row r="21428" spans="4:38" x14ac:dyDescent="0.3">
      <c r="D21428" s="1"/>
      <c r="G21428" s="13"/>
      <c r="AL21428" s="13"/>
    </row>
    <row r="21429" spans="4:38" x14ac:dyDescent="0.3">
      <c r="D21429" s="1"/>
      <c r="G21429" s="13"/>
      <c r="AL21429" s="13"/>
    </row>
    <row r="21430" spans="4:38" x14ac:dyDescent="0.3">
      <c r="D21430" s="1"/>
      <c r="G21430" s="13"/>
      <c r="AL21430" s="13"/>
    </row>
    <row r="21431" spans="4:38" x14ac:dyDescent="0.3">
      <c r="D21431" s="1"/>
      <c r="G21431" s="13"/>
      <c r="AL21431" s="13"/>
    </row>
    <row r="21432" spans="4:38" x14ac:dyDescent="0.3">
      <c r="D21432" s="1"/>
      <c r="G21432" s="13"/>
      <c r="AL21432" s="13"/>
    </row>
    <row r="21433" spans="4:38" x14ac:dyDescent="0.3">
      <c r="D21433" s="1"/>
      <c r="G21433" s="13"/>
      <c r="AL21433" s="13"/>
    </row>
    <row r="21434" spans="4:38" x14ac:dyDescent="0.3">
      <c r="D21434" s="1"/>
      <c r="G21434" s="13"/>
      <c r="AL21434" s="13"/>
    </row>
    <row r="21435" spans="4:38" x14ac:dyDescent="0.3">
      <c r="D21435" s="1"/>
      <c r="G21435" s="13"/>
      <c r="AL21435" s="13"/>
    </row>
    <row r="21436" spans="4:38" x14ac:dyDescent="0.3">
      <c r="D21436" s="1"/>
      <c r="G21436" s="13"/>
      <c r="AL21436" s="13"/>
    </row>
    <row r="21437" spans="4:38" x14ac:dyDescent="0.3">
      <c r="D21437" s="1"/>
      <c r="G21437" s="13"/>
      <c r="AL21437" s="13"/>
    </row>
    <row r="21438" spans="4:38" x14ac:dyDescent="0.3">
      <c r="D21438" s="1"/>
      <c r="G21438" s="13"/>
      <c r="AL21438" s="13"/>
    </row>
    <row r="21439" spans="4:38" x14ac:dyDescent="0.3">
      <c r="D21439" s="1"/>
      <c r="G21439" s="13"/>
      <c r="AL21439" s="13"/>
    </row>
    <row r="21440" spans="4:38" x14ac:dyDescent="0.3">
      <c r="D21440" s="1"/>
      <c r="G21440" s="13"/>
      <c r="AL21440" s="13"/>
    </row>
    <row r="21441" spans="4:38" x14ac:dyDescent="0.3">
      <c r="D21441" s="1"/>
      <c r="G21441" s="13"/>
      <c r="AL21441" s="13"/>
    </row>
    <row r="21442" spans="4:38" x14ac:dyDescent="0.3">
      <c r="D21442" s="1"/>
      <c r="G21442" s="13"/>
      <c r="AL21442" s="13"/>
    </row>
    <row r="21443" spans="4:38" x14ac:dyDescent="0.3">
      <c r="D21443" s="1"/>
      <c r="G21443" s="13"/>
      <c r="AL21443" s="13"/>
    </row>
    <row r="21444" spans="4:38" x14ac:dyDescent="0.3">
      <c r="D21444" s="1"/>
      <c r="G21444" s="13"/>
      <c r="AL21444" s="13"/>
    </row>
    <row r="21445" spans="4:38" x14ac:dyDescent="0.3">
      <c r="D21445" s="1"/>
      <c r="G21445" s="13"/>
      <c r="AL21445" s="13"/>
    </row>
    <row r="21446" spans="4:38" x14ac:dyDescent="0.3">
      <c r="D21446" s="1"/>
      <c r="G21446" s="13"/>
      <c r="AL21446" s="13"/>
    </row>
    <row r="21447" spans="4:38" x14ac:dyDescent="0.3">
      <c r="D21447" s="1"/>
      <c r="G21447" s="13"/>
      <c r="AL21447" s="13"/>
    </row>
    <row r="21448" spans="4:38" x14ac:dyDescent="0.3">
      <c r="D21448" s="1"/>
      <c r="G21448" s="13"/>
      <c r="AL21448" s="13"/>
    </row>
    <row r="21449" spans="4:38" x14ac:dyDescent="0.3">
      <c r="D21449" s="1"/>
      <c r="G21449" s="13"/>
      <c r="AL21449" s="13"/>
    </row>
    <row r="21450" spans="4:38" x14ac:dyDescent="0.3">
      <c r="D21450" s="1"/>
      <c r="G21450" s="13"/>
      <c r="AL21450" s="13"/>
    </row>
    <row r="21451" spans="4:38" x14ac:dyDescent="0.3">
      <c r="D21451" s="1"/>
      <c r="G21451" s="13"/>
      <c r="AL21451" s="13"/>
    </row>
    <row r="21452" spans="4:38" x14ac:dyDescent="0.3">
      <c r="D21452" s="1"/>
      <c r="G21452" s="13"/>
      <c r="AL21452" s="13"/>
    </row>
    <row r="21453" spans="4:38" x14ac:dyDescent="0.3">
      <c r="D21453" s="1"/>
      <c r="G21453" s="13"/>
      <c r="AL21453" s="13"/>
    </row>
    <row r="21454" spans="4:38" x14ac:dyDescent="0.3">
      <c r="D21454" s="1"/>
      <c r="G21454" s="13"/>
      <c r="AL21454" s="13"/>
    </row>
    <row r="21455" spans="4:38" x14ac:dyDescent="0.3">
      <c r="D21455" s="1"/>
      <c r="G21455" s="13"/>
      <c r="AL21455" s="13"/>
    </row>
    <row r="21456" spans="4:38" x14ac:dyDescent="0.3">
      <c r="D21456" s="1"/>
      <c r="G21456" s="13"/>
      <c r="AL21456" s="13"/>
    </row>
    <row r="21457" spans="4:38" x14ac:dyDescent="0.3">
      <c r="D21457" s="1"/>
      <c r="G21457" s="13"/>
      <c r="AL21457" s="13"/>
    </row>
    <row r="21458" spans="4:38" x14ac:dyDescent="0.3">
      <c r="D21458" s="1"/>
      <c r="G21458" s="13"/>
      <c r="AL21458" s="13"/>
    </row>
    <row r="21459" spans="4:38" x14ac:dyDescent="0.3">
      <c r="D21459" s="1"/>
      <c r="G21459" s="13"/>
      <c r="AL21459" s="13"/>
    </row>
    <row r="21460" spans="4:38" x14ac:dyDescent="0.3">
      <c r="D21460" s="1"/>
      <c r="G21460" s="13"/>
      <c r="AL21460" s="13"/>
    </row>
    <row r="21461" spans="4:38" x14ac:dyDescent="0.3">
      <c r="D21461" s="1"/>
      <c r="G21461" s="13"/>
      <c r="AL21461" s="13"/>
    </row>
    <row r="21462" spans="4:38" x14ac:dyDescent="0.3">
      <c r="D21462" s="1"/>
      <c r="G21462" s="13"/>
      <c r="AL21462" s="13"/>
    </row>
    <row r="21463" spans="4:38" x14ac:dyDescent="0.3">
      <c r="D21463" s="1"/>
      <c r="G21463" s="13"/>
      <c r="AL21463" s="13"/>
    </row>
    <row r="21464" spans="4:38" x14ac:dyDescent="0.3">
      <c r="D21464" s="1"/>
      <c r="G21464" s="13"/>
      <c r="AL21464" s="13"/>
    </row>
    <row r="21465" spans="4:38" x14ac:dyDescent="0.3">
      <c r="D21465" s="1"/>
      <c r="G21465" s="13"/>
      <c r="AL21465" s="13"/>
    </row>
    <row r="21466" spans="4:38" x14ac:dyDescent="0.3">
      <c r="D21466" s="1"/>
      <c r="G21466" s="13"/>
      <c r="AL21466" s="13"/>
    </row>
    <row r="21467" spans="4:38" x14ac:dyDescent="0.3">
      <c r="D21467" s="1"/>
      <c r="G21467" s="13"/>
      <c r="AL21467" s="13"/>
    </row>
    <row r="21468" spans="4:38" x14ac:dyDescent="0.3">
      <c r="D21468" s="1"/>
      <c r="G21468" s="13"/>
      <c r="AL21468" s="13"/>
    </row>
    <row r="21469" spans="4:38" x14ac:dyDescent="0.3">
      <c r="D21469" s="1"/>
      <c r="G21469" s="13"/>
      <c r="AL21469" s="13"/>
    </row>
    <row r="21470" spans="4:38" x14ac:dyDescent="0.3">
      <c r="D21470" s="1"/>
      <c r="G21470" s="13"/>
      <c r="AL21470" s="13"/>
    </row>
    <row r="21471" spans="4:38" x14ac:dyDescent="0.3">
      <c r="D21471" s="1"/>
      <c r="G21471" s="13"/>
      <c r="AL21471" s="13"/>
    </row>
    <row r="21472" spans="4:38" x14ac:dyDescent="0.3">
      <c r="D21472" s="1"/>
      <c r="G21472" s="13"/>
      <c r="AL21472" s="13"/>
    </row>
    <row r="21473" spans="4:38" x14ac:dyDescent="0.3">
      <c r="D21473" s="1"/>
      <c r="G21473" s="13"/>
      <c r="AL21473" s="13"/>
    </row>
    <row r="21474" spans="4:38" x14ac:dyDescent="0.3">
      <c r="D21474" s="1"/>
      <c r="G21474" s="13"/>
      <c r="AL21474" s="13"/>
    </row>
    <row r="21475" spans="4:38" x14ac:dyDescent="0.3">
      <c r="D21475" s="1"/>
      <c r="G21475" s="13"/>
      <c r="AL21475" s="13"/>
    </row>
    <row r="21476" spans="4:38" x14ac:dyDescent="0.3">
      <c r="D21476" s="1"/>
      <c r="G21476" s="13"/>
      <c r="AL21476" s="13"/>
    </row>
    <row r="21477" spans="4:38" x14ac:dyDescent="0.3">
      <c r="D21477" s="1"/>
      <c r="G21477" s="13"/>
      <c r="AL21477" s="13"/>
    </row>
    <row r="21478" spans="4:38" x14ac:dyDescent="0.3">
      <c r="D21478" s="1"/>
      <c r="G21478" s="13"/>
      <c r="AL21478" s="13"/>
    </row>
    <row r="21479" spans="4:38" x14ac:dyDescent="0.3">
      <c r="D21479" s="1"/>
      <c r="G21479" s="13"/>
      <c r="AL21479" s="13"/>
    </row>
    <row r="21480" spans="4:38" x14ac:dyDescent="0.3">
      <c r="D21480" s="1"/>
      <c r="G21480" s="13"/>
      <c r="AL21480" s="13"/>
    </row>
    <row r="21481" spans="4:38" x14ac:dyDescent="0.3">
      <c r="D21481" s="1"/>
      <c r="G21481" s="13"/>
      <c r="AL21481" s="13"/>
    </row>
    <row r="21482" spans="4:38" x14ac:dyDescent="0.3">
      <c r="D21482" s="1"/>
      <c r="G21482" s="13"/>
      <c r="AL21482" s="13"/>
    </row>
    <row r="21483" spans="4:38" x14ac:dyDescent="0.3">
      <c r="D21483" s="1"/>
      <c r="G21483" s="13"/>
      <c r="AL21483" s="13"/>
    </row>
    <row r="21484" spans="4:38" x14ac:dyDescent="0.3">
      <c r="D21484" s="1"/>
      <c r="G21484" s="13"/>
      <c r="AL21484" s="13"/>
    </row>
    <row r="21485" spans="4:38" x14ac:dyDescent="0.3">
      <c r="D21485" s="1"/>
      <c r="G21485" s="13"/>
      <c r="AL21485" s="13"/>
    </row>
    <row r="21486" spans="4:38" x14ac:dyDescent="0.3">
      <c r="D21486" s="1"/>
      <c r="G21486" s="13"/>
      <c r="AL21486" s="13"/>
    </row>
    <row r="21487" spans="4:38" x14ac:dyDescent="0.3">
      <c r="D21487" s="1"/>
      <c r="G21487" s="13"/>
      <c r="AL21487" s="13"/>
    </row>
    <row r="21488" spans="4:38" x14ac:dyDescent="0.3">
      <c r="D21488" s="1"/>
      <c r="G21488" s="13"/>
      <c r="AL21488" s="13"/>
    </row>
    <row r="21489" spans="4:38" x14ac:dyDescent="0.3">
      <c r="D21489" s="1"/>
      <c r="G21489" s="13"/>
      <c r="AL21489" s="13"/>
    </row>
    <row r="21490" spans="4:38" x14ac:dyDescent="0.3">
      <c r="D21490" s="1"/>
      <c r="G21490" s="13"/>
      <c r="AL21490" s="13"/>
    </row>
    <row r="21491" spans="4:38" x14ac:dyDescent="0.3">
      <c r="D21491" s="1"/>
      <c r="G21491" s="13"/>
      <c r="AL21491" s="13"/>
    </row>
    <row r="21492" spans="4:38" x14ac:dyDescent="0.3">
      <c r="D21492" s="1"/>
      <c r="G21492" s="13"/>
      <c r="AL21492" s="13"/>
    </row>
    <row r="21493" spans="4:38" x14ac:dyDescent="0.3">
      <c r="D21493" s="1"/>
      <c r="G21493" s="13"/>
      <c r="AL21493" s="13"/>
    </row>
    <row r="21494" spans="4:38" x14ac:dyDescent="0.3">
      <c r="D21494" s="1"/>
      <c r="G21494" s="13"/>
      <c r="AL21494" s="13"/>
    </row>
    <row r="21495" spans="4:38" x14ac:dyDescent="0.3">
      <c r="D21495" s="1"/>
      <c r="G21495" s="13"/>
      <c r="AL21495" s="13"/>
    </row>
    <row r="21496" spans="4:38" x14ac:dyDescent="0.3">
      <c r="D21496" s="1"/>
      <c r="G21496" s="13"/>
      <c r="AL21496" s="13"/>
    </row>
    <row r="21497" spans="4:38" x14ac:dyDescent="0.3">
      <c r="D21497" s="1"/>
      <c r="G21497" s="13"/>
      <c r="AL21497" s="13"/>
    </row>
    <row r="21498" spans="4:38" x14ac:dyDescent="0.3">
      <c r="D21498" s="1"/>
      <c r="G21498" s="13"/>
      <c r="AL21498" s="13"/>
    </row>
    <row r="21499" spans="4:38" x14ac:dyDescent="0.3">
      <c r="D21499" s="1"/>
      <c r="G21499" s="13"/>
      <c r="AL21499" s="13"/>
    </row>
    <row r="21500" spans="4:38" x14ac:dyDescent="0.3">
      <c r="D21500" s="1"/>
      <c r="G21500" s="13"/>
      <c r="AL21500" s="13"/>
    </row>
    <row r="21501" spans="4:38" x14ac:dyDescent="0.3">
      <c r="D21501" s="1"/>
      <c r="G21501" s="13"/>
      <c r="AL21501" s="13"/>
    </row>
    <row r="21502" spans="4:38" x14ac:dyDescent="0.3">
      <c r="D21502" s="1"/>
      <c r="G21502" s="13"/>
      <c r="AL21502" s="13"/>
    </row>
    <row r="21503" spans="4:38" x14ac:dyDescent="0.3">
      <c r="D21503" s="1"/>
      <c r="G21503" s="13"/>
      <c r="AL21503" s="13"/>
    </row>
    <row r="21504" spans="4:38" x14ac:dyDescent="0.3">
      <c r="D21504" s="1"/>
      <c r="G21504" s="13"/>
      <c r="AL21504" s="13"/>
    </row>
    <row r="21505" spans="4:38" x14ac:dyDescent="0.3">
      <c r="D21505" s="1"/>
      <c r="G21505" s="13"/>
      <c r="AL21505" s="13"/>
    </row>
    <row r="21506" spans="4:38" x14ac:dyDescent="0.3">
      <c r="D21506" s="1"/>
      <c r="G21506" s="13"/>
      <c r="AL21506" s="13"/>
    </row>
    <row r="21507" spans="4:38" x14ac:dyDescent="0.3">
      <c r="D21507" s="1"/>
      <c r="G21507" s="13"/>
      <c r="AL21507" s="13"/>
    </row>
    <row r="21508" spans="4:38" x14ac:dyDescent="0.3">
      <c r="D21508" s="1"/>
      <c r="G21508" s="13"/>
      <c r="AL21508" s="13"/>
    </row>
    <row r="21509" spans="4:38" x14ac:dyDescent="0.3">
      <c r="D21509" s="1"/>
      <c r="G21509" s="13"/>
      <c r="AL21509" s="13"/>
    </row>
    <row r="21510" spans="4:38" x14ac:dyDescent="0.3">
      <c r="D21510" s="1"/>
      <c r="G21510" s="13"/>
      <c r="AL21510" s="13"/>
    </row>
    <row r="21511" spans="4:38" x14ac:dyDescent="0.3">
      <c r="D21511" s="1"/>
      <c r="G21511" s="13"/>
      <c r="AL21511" s="13"/>
    </row>
    <row r="21512" spans="4:38" x14ac:dyDescent="0.3">
      <c r="D21512" s="1"/>
      <c r="G21512" s="13"/>
      <c r="AL21512" s="13"/>
    </row>
    <row r="21513" spans="4:38" x14ac:dyDescent="0.3">
      <c r="D21513" s="1"/>
      <c r="G21513" s="13"/>
      <c r="AL21513" s="13"/>
    </row>
    <row r="21514" spans="4:38" x14ac:dyDescent="0.3">
      <c r="D21514" s="1"/>
      <c r="G21514" s="13"/>
      <c r="AL21514" s="13"/>
    </row>
    <row r="21515" spans="4:38" x14ac:dyDescent="0.3">
      <c r="D21515" s="1"/>
      <c r="G21515" s="13"/>
      <c r="AL21515" s="13"/>
    </row>
    <row r="21516" spans="4:38" x14ac:dyDescent="0.3">
      <c r="D21516" s="1"/>
      <c r="G21516" s="13"/>
      <c r="AL21516" s="13"/>
    </row>
    <row r="21517" spans="4:38" x14ac:dyDescent="0.3">
      <c r="D21517" s="1"/>
      <c r="G21517" s="13"/>
      <c r="AL21517" s="13"/>
    </row>
    <row r="21518" spans="4:38" x14ac:dyDescent="0.3">
      <c r="D21518" s="1"/>
      <c r="G21518" s="13"/>
      <c r="AL21518" s="13"/>
    </row>
    <row r="21519" spans="4:38" x14ac:dyDescent="0.3">
      <c r="D21519" s="1"/>
      <c r="G21519" s="13"/>
      <c r="AL21519" s="13"/>
    </row>
    <row r="21520" spans="4:38" x14ac:dyDescent="0.3">
      <c r="D21520" s="1"/>
      <c r="G21520" s="13"/>
      <c r="AL21520" s="13"/>
    </row>
    <row r="21521" spans="4:38" x14ac:dyDescent="0.3">
      <c r="D21521" s="1"/>
      <c r="G21521" s="13"/>
      <c r="AL21521" s="13"/>
    </row>
    <row r="21522" spans="4:38" x14ac:dyDescent="0.3">
      <c r="D21522" s="1"/>
      <c r="G21522" s="13"/>
      <c r="AL21522" s="13"/>
    </row>
    <row r="21523" spans="4:38" x14ac:dyDescent="0.3">
      <c r="D21523" s="1"/>
      <c r="G21523" s="13"/>
      <c r="AL21523" s="13"/>
    </row>
    <row r="21524" spans="4:38" x14ac:dyDescent="0.3">
      <c r="D21524" s="1"/>
      <c r="G21524" s="13"/>
      <c r="AL21524" s="13"/>
    </row>
    <row r="21525" spans="4:38" x14ac:dyDescent="0.3">
      <c r="D21525" s="1"/>
      <c r="G21525" s="13"/>
      <c r="AL21525" s="13"/>
    </row>
    <row r="21526" spans="4:38" x14ac:dyDescent="0.3">
      <c r="D21526" s="1"/>
      <c r="G21526" s="13"/>
      <c r="AL21526" s="13"/>
    </row>
    <row r="21527" spans="4:38" x14ac:dyDescent="0.3">
      <c r="D21527" s="1"/>
      <c r="G21527" s="13"/>
      <c r="AL21527" s="13"/>
    </row>
    <row r="21528" spans="4:38" x14ac:dyDescent="0.3">
      <c r="D21528" s="1"/>
      <c r="G21528" s="13"/>
      <c r="AL21528" s="13"/>
    </row>
    <row r="21529" spans="4:38" x14ac:dyDescent="0.3">
      <c r="D21529" s="1"/>
      <c r="G21529" s="13"/>
      <c r="AL21529" s="13"/>
    </row>
    <row r="21530" spans="4:38" x14ac:dyDescent="0.3">
      <c r="D21530" s="1"/>
      <c r="G21530" s="13"/>
      <c r="AL21530" s="13"/>
    </row>
    <row r="21531" spans="4:38" x14ac:dyDescent="0.3">
      <c r="D21531" s="1"/>
      <c r="G21531" s="13"/>
      <c r="AL21531" s="13"/>
    </row>
    <row r="21532" spans="4:38" x14ac:dyDescent="0.3">
      <c r="D21532" s="1"/>
      <c r="G21532" s="13"/>
      <c r="AL21532" s="13"/>
    </row>
    <row r="21533" spans="4:38" x14ac:dyDescent="0.3">
      <c r="D21533" s="1"/>
      <c r="G21533" s="13"/>
      <c r="AL21533" s="13"/>
    </row>
    <row r="21534" spans="4:38" x14ac:dyDescent="0.3">
      <c r="D21534" s="1"/>
      <c r="G21534" s="13"/>
      <c r="AL21534" s="13"/>
    </row>
    <row r="21535" spans="4:38" x14ac:dyDescent="0.3">
      <c r="D21535" s="1"/>
      <c r="G21535" s="13"/>
      <c r="AL21535" s="13"/>
    </row>
    <row r="21536" spans="4:38" x14ac:dyDescent="0.3">
      <c r="D21536" s="1"/>
      <c r="G21536" s="13"/>
      <c r="AL21536" s="13"/>
    </row>
    <row r="21537" spans="4:38" x14ac:dyDescent="0.3">
      <c r="D21537" s="1"/>
      <c r="G21537" s="13"/>
      <c r="AL21537" s="13"/>
    </row>
    <row r="21538" spans="4:38" x14ac:dyDescent="0.3">
      <c r="D21538" s="1"/>
      <c r="G21538" s="13"/>
      <c r="AL21538" s="13"/>
    </row>
    <row r="21539" spans="4:38" x14ac:dyDescent="0.3">
      <c r="D21539" s="1"/>
      <c r="G21539" s="13"/>
      <c r="AL21539" s="13"/>
    </row>
    <row r="21540" spans="4:38" x14ac:dyDescent="0.3">
      <c r="D21540" s="1"/>
      <c r="G21540" s="13"/>
      <c r="AL21540" s="13"/>
    </row>
    <row r="21541" spans="4:38" x14ac:dyDescent="0.3">
      <c r="D21541" s="1"/>
      <c r="G21541" s="13"/>
      <c r="AL21541" s="13"/>
    </row>
    <row r="21542" spans="4:38" x14ac:dyDescent="0.3">
      <c r="D21542" s="1"/>
      <c r="G21542" s="13"/>
      <c r="AL21542" s="13"/>
    </row>
    <row r="21543" spans="4:38" x14ac:dyDescent="0.3">
      <c r="D21543" s="1"/>
      <c r="G21543" s="13"/>
      <c r="AL21543" s="13"/>
    </row>
    <row r="21544" spans="4:38" x14ac:dyDescent="0.3">
      <c r="D21544" s="1"/>
      <c r="G21544" s="13"/>
      <c r="AL21544" s="13"/>
    </row>
    <row r="21545" spans="4:38" x14ac:dyDescent="0.3">
      <c r="D21545" s="1"/>
      <c r="G21545" s="13"/>
      <c r="AL21545" s="13"/>
    </row>
    <row r="21546" spans="4:38" x14ac:dyDescent="0.3">
      <c r="D21546" s="1"/>
      <c r="G21546" s="13"/>
      <c r="AL21546" s="13"/>
    </row>
    <row r="21547" spans="4:38" x14ac:dyDescent="0.3">
      <c r="D21547" s="1"/>
      <c r="G21547" s="13"/>
      <c r="AL21547" s="13"/>
    </row>
    <row r="21548" spans="4:38" x14ac:dyDescent="0.3">
      <c r="D21548" s="1"/>
      <c r="G21548" s="13"/>
      <c r="AL21548" s="13"/>
    </row>
    <row r="21549" spans="4:38" x14ac:dyDescent="0.3">
      <c r="D21549" s="1"/>
      <c r="G21549" s="13"/>
      <c r="AL21549" s="13"/>
    </row>
    <row r="21550" spans="4:38" x14ac:dyDescent="0.3">
      <c r="D21550" s="1"/>
      <c r="G21550" s="13"/>
      <c r="AL21550" s="13"/>
    </row>
    <row r="21551" spans="4:38" x14ac:dyDescent="0.3">
      <c r="D21551" s="1"/>
      <c r="G21551" s="13"/>
      <c r="AL21551" s="13"/>
    </row>
    <row r="21552" spans="4:38" x14ac:dyDescent="0.3">
      <c r="D21552" s="1"/>
      <c r="G21552" s="13"/>
      <c r="AL21552" s="13"/>
    </row>
    <row r="21553" spans="4:38" x14ac:dyDescent="0.3">
      <c r="D21553" s="1"/>
      <c r="G21553" s="13"/>
      <c r="AL21553" s="13"/>
    </row>
    <row r="21554" spans="4:38" x14ac:dyDescent="0.3">
      <c r="D21554" s="1"/>
      <c r="G21554" s="13"/>
      <c r="AL21554" s="13"/>
    </row>
    <row r="21555" spans="4:38" x14ac:dyDescent="0.3">
      <c r="D21555" s="1"/>
      <c r="G21555" s="13"/>
      <c r="AL21555" s="13"/>
    </row>
    <row r="21556" spans="4:38" x14ac:dyDescent="0.3">
      <c r="D21556" s="1"/>
      <c r="G21556" s="13"/>
      <c r="AL21556" s="13"/>
    </row>
    <row r="21557" spans="4:38" x14ac:dyDescent="0.3">
      <c r="D21557" s="1"/>
      <c r="G21557" s="13"/>
      <c r="AL21557" s="13"/>
    </row>
    <row r="21558" spans="4:38" x14ac:dyDescent="0.3">
      <c r="D21558" s="1"/>
      <c r="G21558" s="13"/>
      <c r="AL21558" s="13"/>
    </row>
    <row r="21559" spans="4:38" x14ac:dyDescent="0.3">
      <c r="D21559" s="1"/>
      <c r="G21559" s="13"/>
      <c r="AL21559" s="13"/>
    </row>
    <row r="21560" spans="4:38" x14ac:dyDescent="0.3">
      <c r="D21560" s="1"/>
      <c r="G21560" s="13"/>
      <c r="AL21560" s="13"/>
    </row>
    <row r="21561" spans="4:38" x14ac:dyDescent="0.3">
      <c r="D21561" s="1"/>
      <c r="G21561" s="13"/>
      <c r="AL21561" s="13"/>
    </row>
    <row r="21562" spans="4:38" x14ac:dyDescent="0.3">
      <c r="D21562" s="1"/>
      <c r="G21562" s="13"/>
      <c r="AL21562" s="13"/>
    </row>
    <row r="21563" spans="4:38" x14ac:dyDescent="0.3">
      <c r="D21563" s="1"/>
      <c r="G21563" s="13"/>
      <c r="AL21563" s="13"/>
    </row>
    <row r="21564" spans="4:38" x14ac:dyDescent="0.3">
      <c r="D21564" s="1"/>
      <c r="G21564" s="13"/>
      <c r="AL21564" s="13"/>
    </row>
    <row r="21565" spans="4:38" x14ac:dyDescent="0.3">
      <c r="D21565" s="1"/>
      <c r="G21565" s="13"/>
      <c r="AL21565" s="13"/>
    </row>
    <row r="21566" spans="4:38" x14ac:dyDescent="0.3">
      <c r="D21566" s="1"/>
      <c r="G21566" s="13"/>
      <c r="AL21566" s="13"/>
    </row>
    <row r="21567" spans="4:38" x14ac:dyDescent="0.3">
      <c r="D21567" s="1"/>
      <c r="AL21567" s="13"/>
    </row>
    <row r="21568" spans="4:38" x14ac:dyDescent="0.3">
      <c r="D21568" s="1"/>
      <c r="G21568" s="13"/>
      <c r="AL21568" s="13"/>
    </row>
    <row r="21569" spans="4:38" x14ac:dyDescent="0.3">
      <c r="D21569" s="1"/>
      <c r="G21569" s="13"/>
      <c r="AL21569" s="13"/>
    </row>
    <row r="21570" spans="4:38" x14ac:dyDescent="0.3">
      <c r="D21570" s="1"/>
      <c r="G21570" s="13"/>
      <c r="AL21570" s="13"/>
    </row>
    <row r="21571" spans="4:38" x14ac:dyDescent="0.3">
      <c r="G21571" s="13"/>
      <c r="AL21571" s="13"/>
    </row>
    <row r="21572" spans="4:38" x14ac:dyDescent="0.3">
      <c r="D21572" s="1"/>
      <c r="G21572" s="13"/>
      <c r="AL21572" s="13"/>
    </row>
    <row r="21573" spans="4:38" x14ac:dyDescent="0.3">
      <c r="D21573" s="1"/>
      <c r="G21573" s="13"/>
      <c r="AL21573" s="13"/>
    </row>
    <row r="21574" spans="4:38" x14ac:dyDescent="0.3">
      <c r="D21574" s="1"/>
      <c r="G21574" s="13"/>
      <c r="AL21574" s="13"/>
    </row>
    <row r="21575" spans="4:38" x14ac:dyDescent="0.3">
      <c r="D21575" s="1"/>
      <c r="G21575" s="13"/>
      <c r="AL21575" s="13"/>
    </row>
    <row r="21576" spans="4:38" x14ac:dyDescent="0.3">
      <c r="D21576" s="1"/>
      <c r="G21576" s="13"/>
      <c r="AL21576" s="13"/>
    </row>
    <row r="21577" spans="4:38" x14ac:dyDescent="0.3">
      <c r="D21577" s="1"/>
      <c r="G21577" s="13"/>
      <c r="AL21577" s="13"/>
    </row>
    <row r="21578" spans="4:38" x14ac:dyDescent="0.3">
      <c r="D21578" s="1"/>
      <c r="G21578" s="13"/>
      <c r="AL21578" s="13"/>
    </row>
    <row r="21579" spans="4:38" x14ac:dyDescent="0.3">
      <c r="D21579" s="1"/>
      <c r="G21579" s="13"/>
      <c r="AL21579" s="13"/>
    </row>
    <row r="21580" spans="4:38" x14ac:dyDescent="0.3">
      <c r="D21580" s="1"/>
      <c r="G21580" s="13"/>
      <c r="AL21580" s="13"/>
    </row>
    <row r="21581" spans="4:38" x14ac:dyDescent="0.3">
      <c r="D21581" s="1"/>
      <c r="G21581" s="13"/>
      <c r="AL21581" s="13"/>
    </row>
    <row r="21582" spans="4:38" x14ac:dyDescent="0.3">
      <c r="D21582" s="1"/>
      <c r="G21582" s="13"/>
      <c r="AL21582" s="13"/>
    </row>
    <row r="21583" spans="4:38" x14ac:dyDescent="0.3">
      <c r="D21583" s="1"/>
      <c r="G21583" s="13"/>
      <c r="AL21583" s="13"/>
    </row>
    <row r="21584" spans="4:38" x14ac:dyDescent="0.3">
      <c r="D21584" s="1"/>
      <c r="G21584" s="13"/>
      <c r="AL21584" s="13"/>
    </row>
    <row r="21585" spans="4:38" x14ac:dyDescent="0.3">
      <c r="D21585" s="1"/>
      <c r="G21585" s="13"/>
      <c r="AL21585" s="13"/>
    </row>
    <row r="21586" spans="4:38" x14ac:dyDescent="0.3">
      <c r="D21586" s="1"/>
      <c r="G21586" s="13"/>
      <c r="AL21586" s="13"/>
    </row>
    <row r="21587" spans="4:38" x14ac:dyDescent="0.3">
      <c r="D21587" s="1"/>
      <c r="G21587" s="13"/>
      <c r="AL21587" s="13"/>
    </row>
    <row r="21588" spans="4:38" x14ac:dyDescent="0.3">
      <c r="D21588" s="1"/>
      <c r="G21588" s="13"/>
      <c r="AL21588" s="13"/>
    </row>
    <row r="21589" spans="4:38" x14ac:dyDescent="0.3">
      <c r="D21589" s="1"/>
      <c r="G21589" s="13"/>
      <c r="AL21589" s="13"/>
    </row>
    <row r="21590" spans="4:38" x14ac:dyDescent="0.3">
      <c r="D21590" s="1"/>
      <c r="G21590" s="13"/>
      <c r="AL21590" s="13"/>
    </row>
    <row r="21591" spans="4:38" x14ac:dyDescent="0.3">
      <c r="D21591" s="1"/>
      <c r="G21591" s="13"/>
      <c r="AL21591" s="13"/>
    </row>
    <row r="21592" spans="4:38" x14ac:dyDescent="0.3">
      <c r="D21592" s="1"/>
      <c r="G21592" s="13"/>
      <c r="AL21592" s="13"/>
    </row>
    <row r="21593" spans="4:38" x14ac:dyDescent="0.3">
      <c r="D21593" s="1"/>
      <c r="G21593" s="13"/>
      <c r="AL21593" s="13"/>
    </row>
    <row r="21594" spans="4:38" x14ac:dyDescent="0.3">
      <c r="D21594" s="1"/>
      <c r="G21594" s="13"/>
      <c r="AL21594" s="13"/>
    </row>
    <row r="21595" spans="4:38" x14ac:dyDescent="0.3">
      <c r="D21595" s="1"/>
      <c r="G21595" s="13"/>
      <c r="AL21595" s="13"/>
    </row>
    <row r="21596" spans="4:38" x14ac:dyDescent="0.3">
      <c r="D21596" s="1"/>
      <c r="AL21596" s="13"/>
    </row>
    <row r="21597" spans="4:38" x14ac:dyDescent="0.3">
      <c r="D21597" s="1"/>
      <c r="G21597" s="13"/>
      <c r="AL21597" s="13"/>
    </row>
    <row r="21598" spans="4:38" x14ac:dyDescent="0.3">
      <c r="D21598" s="1"/>
      <c r="G21598" s="13"/>
      <c r="AL21598" s="13"/>
    </row>
    <row r="21599" spans="4:38" x14ac:dyDescent="0.3">
      <c r="D21599" s="1"/>
      <c r="G21599" s="13"/>
      <c r="AL21599" s="13"/>
    </row>
    <row r="21600" spans="4:38" x14ac:dyDescent="0.3">
      <c r="D21600" s="1"/>
      <c r="G21600" s="13"/>
      <c r="AL21600" s="13"/>
    </row>
    <row r="21601" spans="4:38" x14ac:dyDescent="0.3">
      <c r="D21601" s="1"/>
      <c r="G21601" s="13"/>
      <c r="AL21601" s="13"/>
    </row>
    <row r="21602" spans="4:38" x14ac:dyDescent="0.3">
      <c r="D21602" s="1"/>
      <c r="G21602" s="13"/>
      <c r="AL21602" s="13"/>
    </row>
    <row r="21603" spans="4:38" x14ac:dyDescent="0.3">
      <c r="D21603" s="1"/>
      <c r="G21603" s="13"/>
      <c r="AL21603" s="13"/>
    </row>
    <row r="21604" spans="4:38" x14ac:dyDescent="0.3">
      <c r="D21604" s="1"/>
      <c r="G21604" s="13"/>
      <c r="AL21604" s="13"/>
    </row>
    <row r="21605" spans="4:38" x14ac:dyDescent="0.3">
      <c r="D21605" s="1"/>
      <c r="G21605" s="13"/>
      <c r="AL21605" s="13"/>
    </row>
    <row r="21606" spans="4:38" x14ac:dyDescent="0.3">
      <c r="D21606" s="1"/>
      <c r="G21606" s="13"/>
      <c r="AL21606" s="13"/>
    </row>
    <row r="21607" spans="4:38" x14ac:dyDescent="0.3">
      <c r="D21607" s="1"/>
      <c r="G21607" s="13"/>
      <c r="AL21607" s="13"/>
    </row>
    <row r="21608" spans="4:38" x14ac:dyDescent="0.3">
      <c r="D21608" s="1"/>
      <c r="G21608" s="13"/>
      <c r="AL21608" s="13"/>
    </row>
    <row r="21609" spans="4:38" x14ac:dyDescent="0.3">
      <c r="G21609" s="13"/>
      <c r="AL21609" s="13"/>
    </row>
    <row r="21610" spans="4:38" x14ac:dyDescent="0.3">
      <c r="D21610" s="1"/>
      <c r="G21610" s="13"/>
      <c r="AL21610" s="13"/>
    </row>
    <row r="21611" spans="4:38" x14ac:dyDescent="0.3">
      <c r="D21611" s="1"/>
      <c r="G21611" s="13"/>
      <c r="AL21611" s="13"/>
    </row>
    <row r="21612" spans="4:38" x14ac:dyDescent="0.3">
      <c r="D21612" s="1"/>
      <c r="G21612" s="13"/>
      <c r="AL21612" s="13"/>
    </row>
    <row r="21613" spans="4:38" x14ac:dyDescent="0.3">
      <c r="D21613" s="1"/>
      <c r="G21613" s="13"/>
      <c r="AL21613" s="13"/>
    </row>
    <row r="21614" spans="4:38" x14ac:dyDescent="0.3">
      <c r="D21614" s="1"/>
      <c r="G21614" s="13"/>
      <c r="AL21614" s="13"/>
    </row>
    <row r="21615" spans="4:38" x14ac:dyDescent="0.3">
      <c r="D21615" s="1"/>
      <c r="G21615" s="13"/>
      <c r="AL21615" s="13"/>
    </row>
    <row r="21616" spans="4:38" x14ac:dyDescent="0.3">
      <c r="D21616" s="1"/>
      <c r="G21616" s="13"/>
      <c r="AL21616" s="13"/>
    </row>
    <row r="21617" spans="4:38" x14ac:dyDescent="0.3">
      <c r="D21617" s="1"/>
      <c r="G21617" s="13"/>
      <c r="AL21617" s="13"/>
    </row>
    <row r="21618" spans="4:38" x14ac:dyDescent="0.3">
      <c r="D21618" s="1"/>
      <c r="G21618" s="13"/>
      <c r="AL21618" s="13"/>
    </row>
    <row r="21619" spans="4:38" x14ac:dyDescent="0.3">
      <c r="D21619" s="1"/>
      <c r="G21619" s="13"/>
      <c r="AL21619" s="13"/>
    </row>
    <row r="21620" spans="4:38" x14ac:dyDescent="0.3">
      <c r="D21620" s="1"/>
      <c r="G21620" s="13"/>
      <c r="AL21620" s="13"/>
    </row>
    <row r="21621" spans="4:38" x14ac:dyDescent="0.3">
      <c r="G21621" s="13"/>
      <c r="AL21621" s="13"/>
    </row>
    <row r="21622" spans="4:38" x14ac:dyDescent="0.3">
      <c r="D21622" s="1"/>
      <c r="G21622" s="13"/>
      <c r="AL21622" s="13"/>
    </row>
    <row r="21623" spans="4:38" x14ac:dyDescent="0.3">
      <c r="D21623" s="1"/>
      <c r="G21623" s="13"/>
      <c r="AL21623" s="13"/>
    </row>
    <row r="21624" spans="4:38" x14ac:dyDescent="0.3">
      <c r="G21624" s="13"/>
      <c r="AL21624" s="13"/>
    </row>
    <row r="21625" spans="4:38" x14ac:dyDescent="0.3">
      <c r="D21625" s="1"/>
      <c r="G21625" s="13"/>
      <c r="AL21625" s="13"/>
    </row>
    <row r="21626" spans="4:38" x14ac:dyDescent="0.3">
      <c r="D21626" s="1"/>
      <c r="G21626" s="13"/>
      <c r="AL21626" s="13"/>
    </row>
    <row r="21627" spans="4:38" x14ac:dyDescent="0.3">
      <c r="D21627" s="1"/>
      <c r="G21627" s="13"/>
      <c r="AL21627" s="13"/>
    </row>
    <row r="21628" spans="4:38" x14ac:dyDescent="0.3">
      <c r="D21628" s="1"/>
      <c r="G21628" s="13"/>
      <c r="AL21628" s="13"/>
    </row>
    <row r="21629" spans="4:38" x14ac:dyDescent="0.3">
      <c r="D21629" s="1"/>
      <c r="G21629" s="13"/>
      <c r="AL21629" s="13"/>
    </row>
    <row r="21630" spans="4:38" x14ac:dyDescent="0.3">
      <c r="D21630" s="1"/>
      <c r="G21630" s="13"/>
      <c r="AL21630" s="13"/>
    </row>
    <row r="21631" spans="4:38" x14ac:dyDescent="0.3">
      <c r="D21631" s="1"/>
      <c r="G21631" s="13"/>
      <c r="AL21631" s="13"/>
    </row>
    <row r="21632" spans="4:38" x14ac:dyDescent="0.3">
      <c r="D21632" s="1"/>
      <c r="G21632" s="13"/>
      <c r="AL21632" s="13"/>
    </row>
    <row r="21633" spans="4:38" x14ac:dyDescent="0.3">
      <c r="D21633" s="1"/>
      <c r="G21633" s="13"/>
      <c r="AL21633" s="13"/>
    </row>
    <row r="21634" spans="4:38" x14ac:dyDescent="0.3">
      <c r="D21634" s="1"/>
      <c r="G21634" s="13"/>
      <c r="AL21634" s="13"/>
    </row>
    <row r="21635" spans="4:38" x14ac:dyDescent="0.3">
      <c r="D21635" s="1"/>
      <c r="G21635" s="13"/>
      <c r="AL21635" s="13"/>
    </row>
    <row r="21636" spans="4:38" x14ac:dyDescent="0.3">
      <c r="D21636" s="1"/>
      <c r="G21636" s="13"/>
      <c r="AL21636" s="13"/>
    </row>
    <row r="21637" spans="4:38" x14ac:dyDescent="0.3">
      <c r="D21637" s="1"/>
      <c r="G21637" s="13"/>
      <c r="AL21637" s="13"/>
    </row>
    <row r="21638" spans="4:38" x14ac:dyDescent="0.3">
      <c r="D21638" s="1"/>
      <c r="G21638" s="13"/>
      <c r="AL21638" s="13"/>
    </row>
    <row r="21639" spans="4:38" x14ac:dyDescent="0.3">
      <c r="D21639" s="1"/>
      <c r="G21639" s="13"/>
      <c r="AL21639" s="13"/>
    </row>
    <row r="21640" spans="4:38" x14ac:dyDescent="0.3">
      <c r="D21640" s="1"/>
      <c r="G21640" s="13"/>
      <c r="AL21640" s="13"/>
    </row>
    <row r="21641" spans="4:38" x14ac:dyDescent="0.3">
      <c r="D21641" s="1"/>
      <c r="G21641" s="13"/>
      <c r="AL21641" s="13"/>
    </row>
    <row r="21642" spans="4:38" x14ac:dyDescent="0.3">
      <c r="D21642" s="1"/>
      <c r="G21642" s="13"/>
      <c r="AL21642" s="13"/>
    </row>
    <row r="21643" spans="4:38" x14ac:dyDescent="0.3">
      <c r="D21643" s="1"/>
      <c r="G21643" s="13"/>
      <c r="AL21643" s="13"/>
    </row>
    <row r="21644" spans="4:38" x14ac:dyDescent="0.3">
      <c r="D21644" s="1"/>
      <c r="G21644" s="13"/>
      <c r="AL21644" s="13"/>
    </row>
    <row r="21645" spans="4:38" x14ac:dyDescent="0.3">
      <c r="D21645" s="1"/>
      <c r="G21645" s="13"/>
      <c r="AL21645" s="13"/>
    </row>
    <row r="21646" spans="4:38" x14ac:dyDescent="0.3">
      <c r="D21646" s="1"/>
      <c r="G21646" s="13"/>
      <c r="AL21646" s="13"/>
    </row>
    <row r="21647" spans="4:38" x14ac:dyDescent="0.3">
      <c r="D21647" s="1"/>
      <c r="G21647" s="13"/>
      <c r="AL21647" s="13"/>
    </row>
    <row r="21648" spans="4:38" x14ac:dyDescent="0.3">
      <c r="D21648" s="1"/>
      <c r="G21648" s="13"/>
      <c r="AL21648" s="13"/>
    </row>
    <row r="21649" spans="4:38" x14ac:dyDescent="0.3">
      <c r="D21649" s="1"/>
      <c r="G21649" s="13"/>
      <c r="AL21649" s="13"/>
    </row>
    <row r="21650" spans="4:38" x14ac:dyDescent="0.3">
      <c r="D21650" s="1"/>
      <c r="G21650" s="13"/>
      <c r="AL21650" s="13"/>
    </row>
    <row r="21651" spans="4:38" x14ac:dyDescent="0.3">
      <c r="D21651" s="1"/>
      <c r="G21651" s="13"/>
      <c r="AL21651" s="13"/>
    </row>
    <row r="21652" spans="4:38" x14ac:dyDescent="0.3">
      <c r="D21652" s="1"/>
      <c r="G21652" s="13"/>
      <c r="AL21652" s="13"/>
    </row>
    <row r="21653" spans="4:38" x14ac:dyDescent="0.3">
      <c r="D21653" s="1"/>
      <c r="G21653" s="13"/>
      <c r="AL21653" s="13"/>
    </row>
    <row r="21654" spans="4:38" x14ac:dyDescent="0.3">
      <c r="D21654" s="1"/>
      <c r="G21654" s="13"/>
      <c r="AL21654" s="13"/>
    </row>
    <row r="21655" spans="4:38" x14ac:dyDescent="0.3">
      <c r="D21655" s="1"/>
      <c r="G21655" s="13"/>
      <c r="AL21655" s="13"/>
    </row>
    <row r="21656" spans="4:38" x14ac:dyDescent="0.3">
      <c r="D21656" s="1"/>
      <c r="G21656" s="13"/>
      <c r="AL21656" s="13"/>
    </row>
    <row r="21657" spans="4:38" x14ac:dyDescent="0.3">
      <c r="D21657" s="1"/>
      <c r="G21657" s="13"/>
      <c r="AL21657" s="13"/>
    </row>
    <row r="21658" spans="4:38" x14ac:dyDescent="0.3">
      <c r="D21658" s="1"/>
      <c r="G21658" s="13"/>
      <c r="AL21658" s="13"/>
    </row>
    <row r="21659" spans="4:38" x14ac:dyDescent="0.3">
      <c r="D21659" s="1"/>
      <c r="G21659" s="13"/>
      <c r="AL21659" s="13"/>
    </row>
    <row r="21660" spans="4:38" x14ac:dyDescent="0.3">
      <c r="D21660" s="1"/>
      <c r="G21660" s="13"/>
      <c r="AL21660" s="13"/>
    </row>
    <row r="21661" spans="4:38" x14ac:dyDescent="0.3">
      <c r="D21661" s="1"/>
      <c r="G21661" s="13"/>
      <c r="AL21661" s="13"/>
    </row>
    <row r="21662" spans="4:38" x14ac:dyDescent="0.3">
      <c r="D21662" s="1"/>
      <c r="G21662" s="13"/>
      <c r="AL21662" s="13"/>
    </row>
    <row r="21663" spans="4:38" x14ac:dyDescent="0.3">
      <c r="D21663" s="1"/>
      <c r="G21663" s="13"/>
      <c r="AL21663" s="13"/>
    </row>
    <row r="21664" spans="4:38" x14ac:dyDescent="0.3">
      <c r="D21664" s="1"/>
      <c r="G21664" s="13"/>
      <c r="AL21664" s="13"/>
    </row>
    <row r="21665" spans="4:38" x14ac:dyDescent="0.3">
      <c r="D21665" s="1"/>
      <c r="G21665" s="13"/>
      <c r="AL21665" s="13"/>
    </row>
    <row r="21666" spans="4:38" x14ac:dyDescent="0.3">
      <c r="D21666" s="1"/>
      <c r="G21666" s="13"/>
      <c r="AL21666" s="13"/>
    </row>
    <row r="21667" spans="4:38" x14ac:dyDescent="0.3">
      <c r="D21667" s="1"/>
      <c r="G21667" s="13"/>
      <c r="AL21667" s="13"/>
    </row>
    <row r="21668" spans="4:38" x14ac:dyDescent="0.3">
      <c r="D21668" s="1"/>
      <c r="G21668" s="13"/>
      <c r="AL21668" s="13"/>
    </row>
    <row r="21669" spans="4:38" x14ac:dyDescent="0.3">
      <c r="D21669" s="1"/>
      <c r="G21669" s="13"/>
      <c r="AL21669" s="13"/>
    </row>
    <row r="21670" spans="4:38" x14ac:dyDescent="0.3">
      <c r="D21670" s="1"/>
      <c r="G21670" s="13"/>
      <c r="AL21670" s="13"/>
    </row>
    <row r="21671" spans="4:38" x14ac:dyDescent="0.3">
      <c r="D21671" s="1"/>
      <c r="G21671" s="13"/>
      <c r="AL21671" s="13"/>
    </row>
    <row r="21672" spans="4:38" x14ac:dyDescent="0.3">
      <c r="D21672" s="1"/>
      <c r="G21672" s="13"/>
      <c r="AL21672" s="13"/>
    </row>
    <row r="21673" spans="4:38" x14ac:dyDescent="0.3">
      <c r="D21673" s="1"/>
      <c r="G21673" s="13"/>
      <c r="AL21673" s="13"/>
    </row>
    <row r="21674" spans="4:38" x14ac:dyDescent="0.3">
      <c r="D21674" s="1"/>
      <c r="G21674" s="13"/>
      <c r="AL21674" s="13"/>
    </row>
    <row r="21675" spans="4:38" x14ac:dyDescent="0.3">
      <c r="D21675" s="1"/>
      <c r="G21675" s="13"/>
      <c r="AL21675" s="13"/>
    </row>
    <row r="21676" spans="4:38" x14ac:dyDescent="0.3">
      <c r="D21676" s="1"/>
      <c r="G21676" s="13"/>
      <c r="AL21676" s="13"/>
    </row>
    <row r="21677" spans="4:38" x14ac:dyDescent="0.3">
      <c r="D21677" s="1"/>
      <c r="G21677" s="13"/>
      <c r="AL21677" s="13"/>
    </row>
    <row r="21678" spans="4:38" x14ac:dyDescent="0.3">
      <c r="D21678" s="1"/>
      <c r="G21678" s="13"/>
      <c r="AL21678" s="13"/>
    </row>
    <row r="21679" spans="4:38" x14ac:dyDescent="0.3">
      <c r="D21679" s="1"/>
      <c r="G21679" s="13"/>
      <c r="AL21679" s="13"/>
    </row>
    <row r="21680" spans="4:38" x14ac:dyDescent="0.3">
      <c r="D21680" s="1"/>
      <c r="G21680" s="13"/>
      <c r="AL21680" s="13"/>
    </row>
    <row r="21681" spans="4:38" x14ac:dyDescent="0.3">
      <c r="D21681" s="1"/>
      <c r="G21681" s="13"/>
      <c r="AL21681" s="13"/>
    </row>
    <row r="21682" spans="4:38" x14ac:dyDescent="0.3">
      <c r="D21682" s="1"/>
      <c r="G21682" s="13"/>
      <c r="AL21682" s="13"/>
    </row>
    <row r="21683" spans="4:38" x14ac:dyDescent="0.3">
      <c r="D21683" s="1"/>
      <c r="G21683" s="13"/>
      <c r="AL21683" s="13"/>
    </row>
    <row r="21684" spans="4:38" x14ac:dyDescent="0.3">
      <c r="D21684" s="1"/>
      <c r="G21684" s="13"/>
      <c r="AL21684" s="13"/>
    </row>
    <row r="21685" spans="4:38" x14ac:dyDescent="0.3">
      <c r="D21685" s="1"/>
      <c r="G21685" s="13"/>
      <c r="AL21685" s="13"/>
    </row>
    <row r="21686" spans="4:38" x14ac:dyDescent="0.3">
      <c r="D21686" s="1"/>
      <c r="G21686" s="13"/>
      <c r="AL21686" s="13"/>
    </row>
    <row r="21687" spans="4:38" x14ac:dyDescent="0.3">
      <c r="D21687" s="1"/>
      <c r="G21687" s="13"/>
      <c r="AL21687" s="13"/>
    </row>
    <row r="21688" spans="4:38" x14ac:dyDescent="0.3">
      <c r="D21688" s="1"/>
      <c r="G21688" s="13"/>
      <c r="AL21688" s="13"/>
    </row>
    <row r="21689" spans="4:38" x14ac:dyDescent="0.3">
      <c r="D21689" s="1"/>
      <c r="G21689" s="13"/>
      <c r="AL21689" s="13"/>
    </row>
    <row r="21690" spans="4:38" x14ac:dyDescent="0.3">
      <c r="D21690" s="1"/>
      <c r="G21690" s="13"/>
      <c r="AL21690" s="13"/>
    </row>
    <row r="21691" spans="4:38" x14ac:dyDescent="0.3">
      <c r="D21691" s="1"/>
      <c r="G21691" s="13"/>
      <c r="AL21691" s="13"/>
    </row>
    <row r="21692" spans="4:38" x14ac:dyDescent="0.3">
      <c r="D21692" s="1"/>
      <c r="G21692" s="13"/>
      <c r="AL21692" s="13"/>
    </row>
    <row r="21693" spans="4:38" x14ac:dyDescent="0.3">
      <c r="D21693" s="1"/>
      <c r="G21693" s="13"/>
      <c r="AL21693" s="13"/>
    </row>
    <row r="21694" spans="4:38" x14ac:dyDescent="0.3">
      <c r="D21694" s="1"/>
      <c r="G21694" s="13"/>
      <c r="AL21694" s="13"/>
    </row>
    <row r="21695" spans="4:38" x14ac:dyDescent="0.3">
      <c r="D21695" s="1"/>
      <c r="G21695" s="13"/>
      <c r="AL21695" s="13"/>
    </row>
    <row r="21696" spans="4:38" x14ac:dyDescent="0.3">
      <c r="D21696" s="1"/>
      <c r="G21696" s="13"/>
      <c r="AL21696" s="13"/>
    </row>
    <row r="21697" spans="4:38" x14ac:dyDescent="0.3">
      <c r="D21697" s="1"/>
      <c r="G21697" s="13"/>
      <c r="AL21697" s="13"/>
    </row>
    <row r="21698" spans="4:38" x14ac:dyDescent="0.3">
      <c r="D21698" s="1"/>
      <c r="G21698" s="13"/>
      <c r="AL21698" s="13"/>
    </row>
    <row r="21699" spans="4:38" x14ac:dyDescent="0.3">
      <c r="D21699" s="1"/>
      <c r="G21699" s="13"/>
      <c r="AL21699" s="13"/>
    </row>
    <row r="21700" spans="4:38" x14ac:dyDescent="0.3">
      <c r="D21700" s="1"/>
      <c r="G21700" s="13"/>
      <c r="AL21700" s="13"/>
    </row>
    <row r="21701" spans="4:38" x14ac:dyDescent="0.3">
      <c r="D21701" s="1"/>
      <c r="G21701" s="13"/>
      <c r="AL21701" s="13"/>
    </row>
    <row r="21702" spans="4:38" x14ac:dyDescent="0.3">
      <c r="D21702" s="1"/>
      <c r="G21702" s="13"/>
      <c r="AL21702" s="13"/>
    </row>
    <row r="21703" spans="4:38" x14ac:dyDescent="0.3">
      <c r="D21703" s="1"/>
      <c r="G21703" s="13"/>
      <c r="AL21703" s="13"/>
    </row>
    <row r="21704" spans="4:38" x14ac:dyDescent="0.3">
      <c r="D21704" s="1"/>
      <c r="G21704" s="13"/>
      <c r="AL21704" s="13"/>
    </row>
    <row r="21705" spans="4:38" x14ac:dyDescent="0.3">
      <c r="D21705" s="1"/>
      <c r="G21705" s="13"/>
      <c r="AL21705" s="13"/>
    </row>
    <row r="21706" spans="4:38" x14ac:dyDescent="0.3">
      <c r="D21706" s="1"/>
      <c r="G21706" s="13"/>
      <c r="AL21706" s="13"/>
    </row>
    <row r="21707" spans="4:38" x14ac:dyDescent="0.3">
      <c r="D21707" s="1"/>
      <c r="G21707" s="13"/>
      <c r="AL21707" s="13"/>
    </row>
    <row r="21708" spans="4:38" x14ac:dyDescent="0.3">
      <c r="D21708" s="1"/>
      <c r="G21708" s="13"/>
      <c r="AL21708" s="13"/>
    </row>
    <row r="21709" spans="4:38" x14ac:dyDescent="0.3">
      <c r="D21709" s="1"/>
      <c r="G21709" s="13"/>
      <c r="AL21709" s="13"/>
    </row>
    <row r="21710" spans="4:38" x14ac:dyDescent="0.3">
      <c r="D21710" s="1"/>
      <c r="G21710" s="13"/>
      <c r="AL21710" s="13"/>
    </row>
    <row r="21711" spans="4:38" x14ac:dyDescent="0.3">
      <c r="D21711" s="1"/>
      <c r="G21711" s="13"/>
      <c r="AL21711" s="13"/>
    </row>
    <row r="21712" spans="4:38" x14ac:dyDescent="0.3">
      <c r="D21712" s="1"/>
      <c r="G21712" s="13"/>
      <c r="AL21712" s="13"/>
    </row>
    <row r="21713" spans="4:38" x14ac:dyDescent="0.3">
      <c r="D21713" s="1"/>
      <c r="G21713" s="13"/>
      <c r="AL21713" s="13"/>
    </row>
    <row r="21714" spans="4:38" x14ac:dyDescent="0.3">
      <c r="D21714" s="1"/>
      <c r="G21714" s="13"/>
      <c r="AL21714" s="13"/>
    </row>
    <row r="21715" spans="4:38" x14ac:dyDescent="0.3">
      <c r="D21715" s="1"/>
      <c r="G21715" s="13"/>
      <c r="AL21715" s="13"/>
    </row>
    <row r="21716" spans="4:38" x14ac:dyDescent="0.3">
      <c r="D21716" s="1"/>
      <c r="G21716" s="13"/>
      <c r="AL21716" s="13"/>
    </row>
    <row r="21717" spans="4:38" x14ac:dyDescent="0.3">
      <c r="D21717" s="1"/>
      <c r="G21717" s="13"/>
      <c r="AL21717" s="13"/>
    </row>
    <row r="21718" spans="4:38" x14ac:dyDescent="0.3">
      <c r="D21718" s="1"/>
      <c r="G21718" s="13"/>
      <c r="AL21718" s="13"/>
    </row>
    <row r="21719" spans="4:38" x14ac:dyDescent="0.3">
      <c r="D21719" s="1"/>
      <c r="G21719" s="13"/>
      <c r="AL21719" s="13"/>
    </row>
    <row r="21720" spans="4:38" x14ac:dyDescent="0.3">
      <c r="D21720" s="1"/>
      <c r="G21720" s="13"/>
      <c r="AL21720" s="13"/>
    </row>
    <row r="21721" spans="4:38" x14ac:dyDescent="0.3">
      <c r="D21721" s="1"/>
      <c r="G21721" s="13"/>
      <c r="AL21721" s="13"/>
    </row>
    <row r="21722" spans="4:38" x14ac:dyDescent="0.3">
      <c r="D21722" s="1"/>
      <c r="G21722" s="13"/>
      <c r="AL21722" s="13"/>
    </row>
    <row r="21723" spans="4:38" x14ac:dyDescent="0.3">
      <c r="D21723" s="1"/>
      <c r="G21723" s="13"/>
      <c r="AL21723" s="13"/>
    </row>
    <row r="21724" spans="4:38" x14ac:dyDescent="0.3">
      <c r="D21724" s="1"/>
      <c r="G21724" s="13"/>
      <c r="AL21724" s="13"/>
    </row>
    <row r="21725" spans="4:38" x14ac:dyDescent="0.3">
      <c r="D21725" s="1"/>
      <c r="G21725" s="13"/>
      <c r="AL21725" s="13"/>
    </row>
    <row r="21726" spans="4:38" x14ac:dyDescent="0.3">
      <c r="D21726" s="1"/>
      <c r="G21726" s="13"/>
      <c r="AL21726" s="13"/>
    </row>
    <row r="21727" spans="4:38" x14ac:dyDescent="0.3">
      <c r="D21727" s="1"/>
      <c r="G21727" s="13"/>
      <c r="AL21727" s="13"/>
    </row>
    <row r="21728" spans="4:38" x14ac:dyDescent="0.3">
      <c r="D21728" s="1"/>
      <c r="G21728" s="13"/>
      <c r="AL21728" s="13"/>
    </row>
    <row r="21729" spans="4:38" x14ac:dyDescent="0.3">
      <c r="D21729" s="1"/>
      <c r="G21729" s="13"/>
      <c r="AL21729" s="13"/>
    </row>
    <row r="21730" spans="4:38" x14ac:dyDescent="0.3">
      <c r="D21730" s="1"/>
      <c r="G21730" s="13"/>
      <c r="AL21730" s="13"/>
    </row>
    <row r="21731" spans="4:38" x14ac:dyDescent="0.3">
      <c r="D21731" s="1"/>
      <c r="G21731" s="13"/>
      <c r="AL21731" s="13"/>
    </row>
    <row r="21732" spans="4:38" x14ac:dyDescent="0.3">
      <c r="D21732" s="1"/>
      <c r="G21732" s="13"/>
      <c r="AL21732" s="13"/>
    </row>
    <row r="21733" spans="4:38" x14ac:dyDescent="0.3">
      <c r="D21733" s="1"/>
      <c r="G21733" s="13"/>
      <c r="AL21733" s="13"/>
    </row>
    <row r="21734" spans="4:38" x14ac:dyDescent="0.3">
      <c r="D21734" s="1"/>
      <c r="G21734" s="13"/>
      <c r="AL21734" s="13"/>
    </row>
    <row r="21735" spans="4:38" x14ac:dyDescent="0.3">
      <c r="D21735" s="1"/>
      <c r="G21735" s="13"/>
      <c r="AL21735" s="13"/>
    </row>
    <row r="21736" spans="4:38" x14ac:dyDescent="0.3">
      <c r="D21736" s="1"/>
      <c r="G21736" s="13"/>
      <c r="AL21736" s="13"/>
    </row>
    <row r="21737" spans="4:38" x14ac:dyDescent="0.3">
      <c r="D21737" s="1"/>
      <c r="G21737" s="13"/>
      <c r="AL21737" s="13"/>
    </row>
    <row r="21738" spans="4:38" x14ac:dyDescent="0.3">
      <c r="D21738" s="1"/>
      <c r="G21738" s="13"/>
      <c r="AL21738" s="13"/>
    </row>
    <row r="21739" spans="4:38" x14ac:dyDescent="0.3">
      <c r="D21739" s="1"/>
      <c r="G21739" s="13"/>
      <c r="AL21739" s="13"/>
    </row>
    <row r="21740" spans="4:38" x14ac:dyDescent="0.3">
      <c r="D21740" s="1"/>
      <c r="G21740" s="13"/>
      <c r="AL21740" s="13"/>
    </row>
    <row r="21741" spans="4:38" x14ac:dyDescent="0.3">
      <c r="D21741" s="1"/>
      <c r="G21741" s="13"/>
      <c r="AL21741" s="13"/>
    </row>
    <row r="21742" spans="4:38" x14ac:dyDescent="0.3">
      <c r="D21742" s="1"/>
      <c r="G21742" s="13"/>
      <c r="AL21742" s="13"/>
    </row>
    <row r="21743" spans="4:38" x14ac:dyDescent="0.3">
      <c r="D21743" s="1"/>
      <c r="G21743" s="13"/>
      <c r="AL21743" s="13"/>
    </row>
    <row r="21744" spans="4:38" x14ac:dyDescent="0.3">
      <c r="D21744" s="1"/>
      <c r="G21744" s="13"/>
      <c r="AL21744" s="13"/>
    </row>
    <row r="21745" spans="4:38" x14ac:dyDescent="0.3">
      <c r="D21745" s="1"/>
      <c r="G21745" s="13"/>
      <c r="AL21745" s="13"/>
    </row>
    <row r="21746" spans="4:38" x14ac:dyDescent="0.3">
      <c r="D21746" s="1"/>
      <c r="G21746" s="13"/>
      <c r="AL21746" s="13"/>
    </row>
    <row r="21747" spans="4:38" x14ac:dyDescent="0.3">
      <c r="D21747" s="1"/>
      <c r="G21747" s="13"/>
      <c r="AL21747" s="13"/>
    </row>
    <row r="21748" spans="4:38" x14ac:dyDescent="0.3">
      <c r="D21748" s="1"/>
      <c r="G21748" s="13"/>
      <c r="AL21748" s="13"/>
    </row>
    <row r="21749" spans="4:38" x14ac:dyDescent="0.3">
      <c r="D21749" s="1"/>
      <c r="G21749" s="13"/>
      <c r="AL21749" s="13"/>
    </row>
    <row r="21750" spans="4:38" x14ac:dyDescent="0.3">
      <c r="D21750" s="1"/>
      <c r="G21750" s="13"/>
      <c r="AL21750" s="13"/>
    </row>
    <row r="21751" spans="4:38" x14ac:dyDescent="0.3">
      <c r="D21751" s="1"/>
      <c r="G21751" s="13"/>
      <c r="AL21751" s="13"/>
    </row>
    <row r="21752" spans="4:38" x14ac:dyDescent="0.3">
      <c r="D21752" s="1"/>
      <c r="G21752" s="13"/>
      <c r="AL21752" s="13"/>
    </row>
    <row r="21753" spans="4:38" x14ac:dyDescent="0.3">
      <c r="G21753" s="13"/>
      <c r="AL21753" s="13"/>
    </row>
    <row r="21754" spans="4:38" x14ac:dyDescent="0.3">
      <c r="D21754" s="1"/>
      <c r="G21754" s="13"/>
      <c r="AL21754" s="13"/>
    </row>
    <row r="21755" spans="4:38" x14ac:dyDescent="0.3">
      <c r="D21755" s="1"/>
      <c r="G21755" s="13"/>
      <c r="AL21755" s="13"/>
    </row>
    <row r="21756" spans="4:38" x14ac:dyDescent="0.3">
      <c r="D21756" s="1"/>
      <c r="G21756" s="13"/>
      <c r="AL21756" s="13"/>
    </row>
    <row r="21757" spans="4:38" x14ac:dyDescent="0.3">
      <c r="D21757" s="1"/>
      <c r="G21757" s="13"/>
      <c r="AL21757" s="13"/>
    </row>
    <row r="21758" spans="4:38" x14ac:dyDescent="0.3">
      <c r="G21758" s="13"/>
      <c r="AL21758" s="13"/>
    </row>
    <row r="21759" spans="4:38" x14ac:dyDescent="0.3">
      <c r="D21759" s="1"/>
      <c r="G21759" s="13"/>
      <c r="AL21759" s="13"/>
    </row>
    <row r="21760" spans="4:38" x14ac:dyDescent="0.3">
      <c r="D21760" s="1"/>
      <c r="G21760" s="13"/>
      <c r="AL21760" s="13"/>
    </row>
    <row r="21761" spans="4:38" x14ac:dyDescent="0.3">
      <c r="D21761" s="1"/>
      <c r="G21761" s="13"/>
      <c r="AL21761" s="13"/>
    </row>
    <row r="21762" spans="4:38" x14ac:dyDescent="0.3">
      <c r="D21762" s="1"/>
      <c r="G21762" s="13"/>
      <c r="AL21762" s="13"/>
    </row>
    <row r="21763" spans="4:38" x14ac:dyDescent="0.3">
      <c r="D21763" s="1"/>
      <c r="G21763" s="13"/>
      <c r="AL21763" s="13"/>
    </row>
    <row r="21764" spans="4:38" x14ac:dyDescent="0.3">
      <c r="D21764" s="1"/>
      <c r="G21764" s="13"/>
      <c r="AL21764" s="13"/>
    </row>
    <row r="21765" spans="4:38" x14ac:dyDescent="0.3">
      <c r="D21765" s="1"/>
      <c r="G21765" s="13"/>
      <c r="AL21765" s="13"/>
    </row>
    <row r="21766" spans="4:38" x14ac:dyDescent="0.3">
      <c r="G21766" s="13"/>
      <c r="AL21766" s="13"/>
    </row>
    <row r="21767" spans="4:38" x14ac:dyDescent="0.3">
      <c r="D21767" s="1"/>
      <c r="G21767" s="13"/>
      <c r="AL21767" s="13"/>
    </row>
    <row r="21768" spans="4:38" x14ac:dyDescent="0.3">
      <c r="D21768" s="1"/>
      <c r="G21768" s="13"/>
      <c r="AL21768" s="13"/>
    </row>
    <row r="21769" spans="4:38" x14ac:dyDescent="0.3">
      <c r="D21769" s="1"/>
      <c r="G21769" s="13"/>
      <c r="AL21769" s="13"/>
    </row>
    <row r="21770" spans="4:38" x14ac:dyDescent="0.3">
      <c r="D21770" s="1"/>
      <c r="G21770" s="13"/>
      <c r="AL21770" s="13"/>
    </row>
    <row r="21771" spans="4:38" x14ac:dyDescent="0.3">
      <c r="D21771" s="1"/>
      <c r="G21771" s="13"/>
      <c r="AL21771" s="13"/>
    </row>
    <row r="21772" spans="4:38" x14ac:dyDescent="0.3">
      <c r="D21772" s="1"/>
      <c r="G21772" s="13"/>
      <c r="AL21772" s="13"/>
    </row>
    <row r="21773" spans="4:38" x14ac:dyDescent="0.3">
      <c r="D21773" s="1"/>
      <c r="G21773" s="13"/>
      <c r="AL21773" s="13"/>
    </row>
    <row r="21774" spans="4:38" x14ac:dyDescent="0.3">
      <c r="D21774" s="1"/>
      <c r="G21774" s="13"/>
      <c r="AL21774" s="13"/>
    </row>
    <row r="21775" spans="4:38" x14ac:dyDescent="0.3">
      <c r="D21775" s="1"/>
      <c r="G21775" s="13"/>
      <c r="AL21775" s="13"/>
    </row>
    <row r="21776" spans="4:38" x14ac:dyDescent="0.3">
      <c r="D21776" s="1"/>
      <c r="G21776" s="13"/>
      <c r="AL21776" s="13"/>
    </row>
    <row r="21777" spans="4:38" x14ac:dyDescent="0.3">
      <c r="D21777" s="1"/>
      <c r="G21777" s="13"/>
      <c r="AL21777" s="13"/>
    </row>
    <row r="21778" spans="4:38" x14ac:dyDescent="0.3">
      <c r="D21778" s="1"/>
      <c r="G21778" s="13"/>
      <c r="AL21778" s="13"/>
    </row>
    <row r="21779" spans="4:38" x14ac:dyDescent="0.3">
      <c r="D21779" s="1"/>
      <c r="G21779" s="13"/>
      <c r="AL21779" s="13"/>
    </row>
    <row r="21780" spans="4:38" x14ac:dyDescent="0.3">
      <c r="D21780" s="1"/>
      <c r="G21780" s="13"/>
      <c r="AL21780" s="13"/>
    </row>
    <row r="21781" spans="4:38" x14ac:dyDescent="0.3">
      <c r="D21781" s="1"/>
      <c r="G21781" s="13"/>
      <c r="AL21781" s="13"/>
    </row>
    <row r="21782" spans="4:38" x14ac:dyDescent="0.3">
      <c r="D21782" s="1"/>
      <c r="G21782" s="13"/>
      <c r="AL21782" s="13"/>
    </row>
    <row r="21783" spans="4:38" x14ac:dyDescent="0.3">
      <c r="D21783" s="1"/>
      <c r="G21783" s="13"/>
      <c r="AL21783" s="13"/>
    </row>
    <row r="21784" spans="4:38" x14ac:dyDescent="0.3">
      <c r="D21784" s="1"/>
      <c r="G21784" s="13"/>
      <c r="AL21784" s="13"/>
    </row>
    <row r="21785" spans="4:38" x14ac:dyDescent="0.3">
      <c r="D21785" s="1"/>
      <c r="G21785" s="13"/>
      <c r="AL21785" s="13"/>
    </row>
    <row r="21786" spans="4:38" x14ac:dyDescent="0.3">
      <c r="G21786" s="13"/>
      <c r="AL21786" s="13"/>
    </row>
    <row r="21787" spans="4:38" x14ac:dyDescent="0.3">
      <c r="D21787" s="1"/>
      <c r="G21787" s="13"/>
      <c r="AL21787" s="13"/>
    </row>
    <row r="21788" spans="4:38" x14ac:dyDescent="0.3">
      <c r="D21788" s="1"/>
      <c r="G21788" s="13"/>
      <c r="AL21788" s="13"/>
    </row>
    <row r="21789" spans="4:38" x14ac:dyDescent="0.3">
      <c r="D21789" s="1"/>
      <c r="G21789" s="13"/>
      <c r="AL21789" s="13"/>
    </row>
    <row r="21790" spans="4:38" x14ac:dyDescent="0.3">
      <c r="D21790" s="1"/>
      <c r="G21790" s="13"/>
      <c r="AL21790" s="13"/>
    </row>
    <row r="21791" spans="4:38" x14ac:dyDescent="0.3">
      <c r="D21791" s="1"/>
      <c r="G21791" s="13"/>
      <c r="AL21791" s="13"/>
    </row>
    <row r="21792" spans="4:38" x14ac:dyDescent="0.3">
      <c r="D21792" s="1"/>
      <c r="G21792" s="13"/>
      <c r="AL21792" s="13"/>
    </row>
    <row r="21793" spans="4:38" x14ac:dyDescent="0.3">
      <c r="D21793" s="1"/>
      <c r="G21793" s="13"/>
      <c r="AL21793" s="13"/>
    </row>
    <row r="21794" spans="4:38" x14ac:dyDescent="0.3">
      <c r="D21794" s="1"/>
      <c r="G21794" s="13"/>
      <c r="AL21794" s="13"/>
    </row>
    <row r="21795" spans="4:38" x14ac:dyDescent="0.3">
      <c r="D21795" s="1"/>
      <c r="G21795" s="13"/>
      <c r="AL21795" s="13"/>
    </row>
    <row r="21796" spans="4:38" x14ac:dyDescent="0.3">
      <c r="D21796" s="1"/>
      <c r="G21796" s="13"/>
      <c r="AL21796" s="13"/>
    </row>
    <row r="21797" spans="4:38" x14ac:dyDescent="0.3">
      <c r="D21797" s="1"/>
      <c r="G21797" s="13"/>
      <c r="AL21797" s="13"/>
    </row>
    <row r="21798" spans="4:38" x14ac:dyDescent="0.3">
      <c r="D21798" s="1"/>
      <c r="G21798" s="13"/>
      <c r="AL21798" s="13"/>
    </row>
    <row r="21799" spans="4:38" x14ac:dyDescent="0.3">
      <c r="D21799" s="1"/>
      <c r="G21799" s="13"/>
      <c r="AL21799" s="13"/>
    </row>
    <row r="21800" spans="4:38" x14ac:dyDescent="0.3">
      <c r="D21800" s="1"/>
      <c r="G21800" s="13"/>
      <c r="AL21800" s="13"/>
    </row>
    <row r="21801" spans="4:38" x14ac:dyDescent="0.3">
      <c r="D21801" s="1"/>
      <c r="G21801" s="13"/>
      <c r="AL21801" s="13"/>
    </row>
    <row r="21802" spans="4:38" x14ac:dyDescent="0.3">
      <c r="D21802" s="1"/>
      <c r="G21802" s="13"/>
      <c r="AL21802" s="13"/>
    </row>
    <row r="21803" spans="4:38" x14ac:dyDescent="0.3">
      <c r="D21803" s="1"/>
      <c r="G21803" s="13"/>
      <c r="AL21803" s="13"/>
    </row>
    <row r="21804" spans="4:38" x14ac:dyDescent="0.3">
      <c r="D21804" s="1"/>
      <c r="G21804" s="13"/>
      <c r="AL21804" s="13"/>
    </row>
    <row r="21805" spans="4:38" x14ac:dyDescent="0.3">
      <c r="D21805" s="1"/>
      <c r="G21805" s="13"/>
      <c r="AL21805" s="13"/>
    </row>
    <row r="21806" spans="4:38" x14ac:dyDescent="0.3">
      <c r="D21806" s="1"/>
      <c r="G21806" s="13"/>
      <c r="AL21806" s="13"/>
    </row>
    <row r="21807" spans="4:38" x14ac:dyDescent="0.3">
      <c r="D21807" s="1"/>
      <c r="G21807" s="13"/>
      <c r="AL21807" s="13"/>
    </row>
    <row r="21808" spans="4:38" x14ac:dyDescent="0.3">
      <c r="D21808" s="1"/>
      <c r="G21808" s="13"/>
      <c r="AL21808" s="13"/>
    </row>
    <row r="21809" spans="4:38" x14ac:dyDescent="0.3">
      <c r="D21809" s="1"/>
      <c r="G21809" s="13"/>
      <c r="AL21809" s="13"/>
    </row>
    <row r="21810" spans="4:38" x14ac:dyDescent="0.3">
      <c r="D21810" s="1"/>
      <c r="G21810" s="13"/>
      <c r="AL21810" s="13"/>
    </row>
    <row r="21811" spans="4:38" x14ac:dyDescent="0.3">
      <c r="D21811" s="1"/>
      <c r="G21811" s="13"/>
      <c r="AL21811" s="13"/>
    </row>
    <row r="21812" spans="4:38" x14ac:dyDescent="0.3">
      <c r="D21812" s="1"/>
      <c r="G21812" s="13"/>
      <c r="AL21812" s="13"/>
    </row>
    <row r="21813" spans="4:38" x14ac:dyDescent="0.3">
      <c r="D21813" s="1"/>
      <c r="G21813" s="13"/>
      <c r="AL21813" s="13"/>
    </row>
    <row r="21814" spans="4:38" x14ac:dyDescent="0.3">
      <c r="D21814" s="1"/>
      <c r="G21814" s="13"/>
      <c r="AL21814" s="13"/>
    </row>
    <row r="21815" spans="4:38" x14ac:dyDescent="0.3">
      <c r="D21815" s="1"/>
      <c r="G21815" s="13"/>
      <c r="AL21815" s="13"/>
    </row>
    <row r="21816" spans="4:38" x14ac:dyDescent="0.3">
      <c r="D21816" s="1"/>
      <c r="G21816" s="13"/>
      <c r="AL21816" s="13"/>
    </row>
    <row r="21817" spans="4:38" x14ac:dyDescent="0.3">
      <c r="D21817" s="1"/>
      <c r="G21817" s="13"/>
      <c r="AL21817" s="13"/>
    </row>
    <row r="21818" spans="4:38" x14ac:dyDescent="0.3">
      <c r="D21818" s="1"/>
      <c r="G21818" s="13"/>
      <c r="AL21818" s="13"/>
    </row>
    <row r="21819" spans="4:38" x14ac:dyDescent="0.3">
      <c r="D21819" s="1"/>
      <c r="G21819" s="13"/>
      <c r="AL21819" s="13"/>
    </row>
    <row r="21820" spans="4:38" x14ac:dyDescent="0.3">
      <c r="D21820" s="1"/>
      <c r="G21820" s="13"/>
      <c r="AL21820" s="13"/>
    </row>
    <row r="21821" spans="4:38" x14ac:dyDescent="0.3">
      <c r="D21821" s="1"/>
      <c r="G21821" s="13"/>
      <c r="AL21821" s="13"/>
    </row>
    <row r="21822" spans="4:38" x14ac:dyDescent="0.3">
      <c r="D21822" s="1"/>
      <c r="G21822" s="13"/>
      <c r="AL21822" s="13"/>
    </row>
    <row r="21823" spans="4:38" x14ac:dyDescent="0.3">
      <c r="D21823" s="1"/>
      <c r="G21823" s="13"/>
      <c r="AL21823" s="13"/>
    </row>
    <row r="21824" spans="4:38" x14ac:dyDescent="0.3">
      <c r="D21824" s="1"/>
      <c r="G21824" s="13"/>
      <c r="AL21824" s="13"/>
    </row>
    <row r="21825" spans="4:38" x14ac:dyDescent="0.3">
      <c r="D21825" s="1"/>
      <c r="G21825" s="13"/>
      <c r="AL21825" s="13"/>
    </row>
    <row r="21826" spans="4:38" x14ac:dyDescent="0.3">
      <c r="D21826" s="1"/>
      <c r="G21826" s="13"/>
      <c r="AL21826" s="13"/>
    </row>
    <row r="21827" spans="4:38" x14ac:dyDescent="0.3">
      <c r="D21827" s="1"/>
      <c r="G21827" s="13"/>
      <c r="AL21827" s="13"/>
    </row>
    <row r="21828" spans="4:38" x14ac:dyDescent="0.3">
      <c r="D21828" s="1"/>
      <c r="G21828" s="13"/>
      <c r="AL21828" s="13"/>
    </row>
    <row r="21829" spans="4:38" x14ac:dyDescent="0.3">
      <c r="D21829" s="1"/>
      <c r="G21829" s="13"/>
      <c r="AL21829" s="13"/>
    </row>
    <row r="21830" spans="4:38" x14ac:dyDescent="0.3">
      <c r="D21830" s="1"/>
      <c r="G21830" s="13"/>
      <c r="AL21830" s="13"/>
    </row>
    <row r="21831" spans="4:38" x14ac:dyDescent="0.3">
      <c r="D21831" s="1"/>
      <c r="G21831" s="13"/>
      <c r="AL21831" s="13"/>
    </row>
    <row r="21832" spans="4:38" x14ac:dyDescent="0.3">
      <c r="D21832" s="1"/>
      <c r="G21832" s="13"/>
      <c r="AL21832" s="13"/>
    </row>
    <row r="21833" spans="4:38" x14ac:dyDescent="0.3">
      <c r="D21833" s="1"/>
      <c r="G21833" s="13"/>
      <c r="AL21833" s="13"/>
    </row>
    <row r="21834" spans="4:38" x14ac:dyDescent="0.3">
      <c r="D21834" s="1"/>
      <c r="G21834" s="13"/>
      <c r="AL21834" s="13"/>
    </row>
    <row r="21835" spans="4:38" x14ac:dyDescent="0.3">
      <c r="D21835" s="1"/>
      <c r="G21835" s="13"/>
      <c r="AL21835" s="13"/>
    </row>
    <row r="21836" spans="4:38" x14ac:dyDescent="0.3">
      <c r="D21836" s="1"/>
      <c r="G21836" s="13"/>
      <c r="AL21836" s="13"/>
    </row>
    <row r="21837" spans="4:38" x14ac:dyDescent="0.3">
      <c r="D21837" s="1"/>
      <c r="G21837" s="13"/>
      <c r="AL21837" s="13"/>
    </row>
    <row r="21838" spans="4:38" x14ac:dyDescent="0.3">
      <c r="D21838" s="1"/>
      <c r="G21838" s="13"/>
      <c r="AL21838" s="13"/>
    </row>
    <row r="21839" spans="4:38" x14ac:dyDescent="0.3">
      <c r="D21839" s="1"/>
      <c r="G21839" s="13"/>
      <c r="AL21839" s="13"/>
    </row>
    <row r="21840" spans="4:38" x14ac:dyDescent="0.3">
      <c r="D21840" s="1"/>
      <c r="G21840" s="13"/>
      <c r="AL21840" s="13"/>
    </row>
    <row r="21841" spans="4:38" x14ac:dyDescent="0.3">
      <c r="D21841" s="1"/>
      <c r="G21841" s="13"/>
      <c r="AL21841" s="13"/>
    </row>
    <row r="21842" spans="4:38" x14ac:dyDescent="0.3">
      <c r="D21842" s="1"/>
      <c r="G21842" s="13"/>
      <c r="AL21842" s="13"/>
    </row>
    <row r="21843" spans="4:38" x14ac:dyDescent="0.3">
      <c r="D21843" s="1"/>
      <c r="G21843" s="13"/>
      <c r="AL21843" s="13"/>
    </row>
    <row r="21844" spans="4:38" x14ac:dyDescent="0.3">
      <c r="D21844" s="1"/>
      <c r="G21844" s="13"/>
      <c r="AL21844" s="13"/>
    </row>
    <row r="21845" spans="4:38" x14ac:dyDescent="0.3">
      <c r="D21845" s="1"/>
      <c r="G21845" s="13"/>
      <c r="AL21845" s="13"/>
    </row>
    <row r="21846" spans="4:38" x14ac:dyDescent="0.3">
      <c r="D21846" s="1"/>
      <c r="G21846" s="13"/>
      <c r="AL21846" s="13"/>
    </row>
    <row r="21847" spans="4:38" x14ac:dyDescent="0.3">
      <c r="D21847" s="1"/>
      <c r="G21847" s="13"/>
      <c r="AL21847" s="13"/>
    </row>
    <row r="21848" spans="4:38" x14ac:dyDescent="0.3">
      <c r="G21848" s="13"/>
      <c r="AL21848" s="13"/>
    </row>
    <row r="21849" spans="4:38" x14ac:dyDescent="0.3">
      <c r="D21849" s="1"/>
      <c r="G21849" s="13"/>
      <c r="AL21849" s="13"/>
    </row>
    <row r="21850" spans="4:38" x14ac:dyDescent="0.3">
      <c r="D21850" s="1"/>
      <c r="G21850" s="13"/>
      <c r="AL21850" s="13"/>
    </row>
    <row r="21851" spans="4:38" x14ac:dyDescent="0.3">
      <c r="D21851" s="1"/>
      <c r="G21851" s="13"/>
      <c r="AL21851" s="13"/>
    </row>
    <row r="21852" spans="4:38" x14ac:dyDescent="0.3">
      <c r="D21852" s="1"/>
      <c r="G21852" s="13"/>
      <c r="AL21852" s="13"/>
    </row>
    <row r="21853" spans="4:38" x14ac:dyDescent="0.3">
      <c r="D21853" s="1"/>
      <c r="G21853" s="13"/>
      <c r="AL21853" s="13"/>
    </row>
    <row r="21854" spans="4:38" x14ac:dyDescent="0.3">
      <c r="D21854" s="1"/>
      <c r="G21854" s="13"/>
      <c r="AL21854" s="13"/>
    </row>
    <row r="21855" spans="4:38" x14ac:dyDescent="0.3">
      <c r="D21855" s="1"/>
      <c r="G21855" s="13"/>
      <c r="AL21855" s="13"/>
    </row>
    <row r="21856" spans="4:38" x14ac:dyDescent="0.3">
      <c r="D21856" s="1"/>
      <c r="G21856" s="13"/>
      <c r="AL21856" s="13"/>
    </row>
    <row r="21857" spans="4:38" x14ac:dyDescent="0.3">
      <c r="D21857" s="1"/>
      <c r="G21857" s="13"/>
      <c r="AL21857" s="13"/>
    </row>
    <row r="21858" spans="4:38" x14ac:dyDescent="0.3">
      <c r="D21858" s="1"/>
      <c r="G21858" s="13"/>
      <c r="AL21858" s="13"/>
    </row>
    <row r="21859" spans="4:38" x14ac:dyDescent="0.3">
      <c r="D21859" s="1"/>
      <c r="G21859" s="13"/>
      <c r="AL21859" s="13"/>
    </row>
    <row r="21860" spans="4:38" x14ac:dyDescent="0.3">
      <c r="D21860" s="1"/>
      <c r="G21860" s="13"/>
      <c r="AL21860" s="13"/>
    </row>
    <row r="21861" spans="4:38" x14ac:dyDescent="0.3">
      <c r="D21861" s="1"/>
      <c r="G21861" s="13"/>
      <c r="AL21861" s="13"/>
    </row>
    <row r="21862" spans="4:38" x14ac:dyDescent="0.3">
      <c r="D21862" s="1"/>
      <c r="G21862" s="13"/>
      <c r="AL21862" s="13"/>
    </row>
    <row r="21863" spans="4:38" x14ac:dyDescent="0.3">
      <c r="D21863" s="1"/>
      <c r="G21863" s="13"/>
      <c r="AL21863" s="13"/>
    </row>
    <row r="21864" spans="4:38" x14ac:dyDescent="0.3">
      <c r="D21864" s="1"/>
      <c r="G21864" s="13"/>
      <c r="AL21864" s="13"/>
    </row>
    <row r="21865" spans="4:38" x14ac:dyDescent="0.3">
      <c r="D21865" s="1"/>
      <c r="G21865" s="13"/>
      <c r="AL21865" s="13"/>
    </row>
    <row r="21866" spans="4:38" x14ac:dyDescent="0.3">
      <c r="D21866" s="1"/>
      <c r="G21866" s="13"/>
      <c r="AL21866" s="13"/>
    </row>
    <row r="21867" spans="4:38" x14ac:dyDescent="0.3">
      <c r="D21867" s="1"/>
      <c r="G21867" s="13"/>
      <c r="AL21867" s="13"/>
    </row>
    <row r="21868" spans="4:38" x14ac:dyDescent="0.3">
      <c r="D21868" s="1"/>
      <c r="G21868" s="13"/>
      <c r="AL21868" s="13"/>
    </row>
    <row r="21869" spans="4:38" x14ac:dyDescent="0.3">
      <c r="D21869" s="1"/>
      <c r="G21869" s="13"/>
      <c r="AL21869" s="13"/>
    </row>
    <row r="21870" spans="4:38" x14ac:dyDescent="0.3">
      <c r="D21870" s="1"/>
      <c r="G21870" s="13"/>
      <c r="AL21870" s="13"/>
    </row>
    <row r="21871" spans="4:38" x14ac:dyDescent="0.3">
      <c r="D21871" s="1"/>
      <c r="G21871" s="13"/>
      <c r="AL21871" s="13"/>
    </row>
    <row r="21872" spans="4:38" x14ac:dyDescent="0.3">
      <c r="D21872" s="1"/>
      <c r="G21872" s="13"/>
      <c r="AL21872" s="13"/>
    </row>
    <row r="21873" spans="4:38" x14ac:dyDescent="0.3">
      <c r="D21873" s="1"/>
      <c r="G21873" s="13"/>
      <c r="AL21873" s="13"/>
    </row>
    <row r="21874" spans="4:38" x14ac:dyDescent="0.3">
      <c r="D21874" s="1"/>
      <c r="G21874" s="13"/>
      <c r="AL21874" s="13"/>
    </row>
    <row r="21875" spans="4:38" x14ac:dyDescent="0.3">
      <c r="D21875" s="1"/>
      <c r="G21875" s="13"/>
      <c r="AL21875" s="13"/>
    </row>
    <row r="21876" spans="4:38" x14ac:dyDescent="0.3">
      <c r="D21876" s="1"/>
      <c r="G21876" s="13"/>
      <c r="AL21876" s="13"/>
    </row>
    <row r="21877" spans="4:38" x14ac:dyDescent="0.3">
      <c r="D21877" s="1"/>
      <c r="G21877" s="13"/>
      <c r="AL21877" s="13"/>
    </row>
    <row r="21878" spans="4:38" x14ac:dyDescent="0.3">
      <c r="D21878" s="1"/>
      <c r="G21878" s="13"/>
      <c r="AL21878" s="13"/>
    </row>
    <row r="21879" spans="4:38" x14ac:dyDescent="0.3">
      <c r="D21879" s="1"/>
      <c r="G21879" s="13"/>
      <c r="AL21879" s="13"/>
    </row>
    <row r="21880" spans="4:38" x14ac:dyDescent="0.3">
      <c r="D21880" s="1"/>
      <c r="G21880" s="13"/>
      <c r="AL21880" s="13"/>
    </row>
    <row r="21881" spans="4:38" x14ac:dyDescent="0.3">
      <c r="D21881" s="1"/>
      <c r="G21881" s="13"/>
      <c r="AL21881" s="13"/>
    </row>
    <row r="21882" spans="4:38" x14ac:dyDescent="0.3">
      <c r="D21882" s="1"/>
      <c r="G21882" s="13"/>
      <c r="AL21882" s="13"/>
    </row>
    <row r="21883" spans="4:38" x14ac:dyDescent="0.3">
      <c r="D21883" s="1"/>
      <c r="G21883" s="13"/>
      <c r="AL21883" s="13"/>
    </row>
    <row r="21884" spans="4:38" x14ac:dyDescent="0.3">
      <c r="D21884" s="1"/>
      <c r="G21884" s="13"/>
      <c r="AL21884" s="13"/>
    </row>
    <row r="21885" spans="4:38" x14ac:dyDescent="0.3">
      <c r="D21885" s="1"/>
      <c r="G21885" s="13"/>
      <c r="AL21885" s="13"/>
    </row>
    <row r="21886" spans="4:38" x14ac:dyDescent="0.3">
      <c r="D21886" s="1"/>
      <c r="G21886" s="13"/>
      <c r="AL21886" s="13"/>
    </row>
    <row r="21887" spans="4:38" x14ac:dyDescent="0.3">
      <c r="D21887" s="1"/>
      <c r="G21887" s="13"/>
      <c r="AL21887" s="13"/>
    </row>
    <row r="21888" spans="4:38" x14ac:dyDescent="0.3">
      <c r="D21888" s="1"/>
      <c r="G21888" s="13"/>
      <c r="AL21888" s="13"/>
    </row>
    <row r="21889" spans="4:38" x14ac:dyDescent="0.3">
      <c r="D21889" s="1"/>
      <c r="G21889" s="13"/>
      <c r="AL21889" s="13"/>
    </row>
    <row r="21890" spans="4:38" x14ac:dyDescent="0.3">
      <c r="D21890" s="1"/>
      <c r="G21890" s="13"/>
      <c r="AL21890" s="13"/>
    </row>
    <row r="21891" spans="4:38" x14ac:dyDescent="0.3">
      <c r="D21891" s="1"/>
      <c r="G21891" s="13"/>
      <c r="AL21891" s="13"/>
    </row>
    <row r="21892" spans="4:38" x14ac:dyDescent="0.3">
      <c r="D21892" s="1"/>
      <c r="G21892" s="13"/>
      <c r="AL21892" s="13"/>
    </row>
    <row r="21893" spans="4:38" x14ac:dyDescent="0.3">
      <c r="D21893" s="1"/>
      <c r="G21893" s="13"/>
      <c r="AL21893" s="13"/>
    </row>
    <row r="21894" spans="4:38" x14ac:dyDescent="0.3">
      <c r="D21894" s="1"/>
      <c r="G21894" s="13"/>
      <c r="AL21894" s="13"/>
    </row>
    <row r="21895" spans="4:38" x14ac:dyDescent="0.3">
      <c r="D21895" s="1"/>
      <c r="G21895" s="13"/>
      <c r="AL21895" s="13"/>
    </row>
    <row r="21896" spans="4:38" x14ac:dyDescent="0.3">
      <c r="D21896" s="1"/>
      <c r="G21896" s="13"/>
      <c r="AL21896" s="13"/>
    </row>
    <row r="21897" spans="4:38" x14ac:dyDescent="0.3">
      <c r="D21897" s="1"/>
      <c r="G21897" s="13"/>
      <c r="AL21897" s="13"/>
    </row>
    <row r="21898" spans="4:38" x14ac:dyDescent="0.3">
      <c r="D21898" s="1"/>
      <c r="G21898" s="13"/>
      <c r="AL21898" s="13"/>
    </row>
    <row r="21899" spans="4:38" x14ac:dyDescent="0.3">
      <c r="D21899" s="1"/>
      <c r="G21899" s="13"/>
      <c r="AL21899" s="13"/>
    </row>
    <row r="21900" spans="4:38" x14ac:dyDescent="0.3">
      <c r="D21900" s="1"/>
      <c r="G21900" s="13"/>
      <c r="AL21900" s="13"/>
    </row>
    <row r="21901" spans="4:38" x14ac:dyDescent="0.3">
      <c r="D21901" s="1"/>
      <c r="G21901" s="13"/>
      <c r="AL21901" s="13"/>
    </row>
    <row r="21902" spans="4:38" x14ac:dyDescent="0.3">
      <c r="D21902" s="1"/>
      <c r="G21902" s="13"/>
      <c r="AL21902" s="13"/>
    </row>
    <row r="21903" spans="4:38" x14ac:dyDescent="0.3">
      <c r="D21903" s="1"/>
      <c r="G21903" s="13"/>
      <c r="AL21903" s="13"/>
    </row>
    <row r="21904" spans="4:38" x14ac:dyDescent="0.3">
      <c r="D21904" s="1"/>
      <c r="G21904" s="13"/>
      <c r="AL21904" s="13"/>
    </row>
    <row r="21905" spans="4:38" x14ac:dyDescent="0.3">
      <c r="D21905" s="1"/>
      <c r="G21905" s="13"/>
      <c r="AL21905" s="13"/>
    </row>
    <row r="21906" spans="4:38" x14ac:dyDescent="0.3">
      <c r="D21906" s="1"/>
      <c r="G21906" s="13"/>
      <c r="AL21906" s="13"/>
    </row>
    <row r="21907" spans="4:38" x14ac:dyDescent="0.3">
      <c r="D21907" s="1"/>
      <c r="G21907" s="13"/>
      <c r="AL21907" s="13"/>
    </row>
    <row r="21908" spans="4:38" x14ac:dyDescent="0.3">
      <c r="D21908" s="1"/>
      <c r="G21908" s="13"/>
      <c r="AL21908" s="13"/>
    </row>
    <row r="21909" spans="4:38" x14ac:dyDescent="0.3">
      <c r="D21909" s="1"/>
      <c r="G21909" s="13"/>
      <c r="AL21909" s="13"/>
    </row>
    <row r="21910" spans="4:38" x14ac:dyDescent="0.3">
      <c r="D21910" s="1"/>
      <c r="G21910" s="13"/>
      <c r="AL21910" s="13"/>
    </row>
    <row r="21911" spans="4:38" x14ac:dyDescent="0.3">
      <c r="D21911" s="1"/>
      <c r="G21911" s="13"/>
      <c r="AL21911" s="13"/>
    </row>
    <row r="21912" spans="4:38" x14ac:dyDescent="0.3">
      <c r="D21912" s="1"/>
      <c r="G21912" s="13"/>
      <c r="AL21912" s="13"/>
    </row>
    <row r="21913" spans="4:38" x14ac:dyDescent="0.3">
      <c r="D21913" s="1"/>
      <c r="G21913" s="13"/>
      <c r="AL21913" s="13"/>
    </row>
    <row r="21914" spans="4:38" x14ac:dyDescent="0.3">
      <c r="D21914" s="1"/>
      <c r="G21914" s="13"/>
      <c r="AL21914" s="13"/>
    </row>
    <row r="21915" spans="4:38" x14ac:dyDescent="0.3">
      <c r="D21915" s="1"/>
      <c r="G21915" s="13"/>
      <c r="AL21915" s="13"/>
    </row>
    <row r="21916" spans="4:38" x14ac:dyDescent="0.3">
      <c r="D21916" s="1"/>
      <c r="G21916" s="13"/>
      <c r="AL21916" s="13"/>
    </row>
    <row r="21917" spans="4:38" x14ac:dyDescent="0.3">
      <c r="D21917" s="1"/>
      <c r="G21917" s="13"/>
      <c r="AL21917" s="13"/>
    </row>
    <row r="21918" spans="4:38" x14ac:dyDescent="0.3">
      <c r="D21918" s="1"/>
      <c r="G21918" s="13"/>
      <c r="AL21918" s="13"/>
    </row>
    <row r="21919" spans="4:38" x14ac:dyDescent="0.3">
      <c r="D21919" s="1"/>
      <c r="G21919" s="13"/>
      <c r="AL21919" s="13"/>
    </row>
    <row r="21920" spans="4:38" x14ac:dyDescent="0.3">
      <c r="D21920" s="1"/>
      <c r="G21920" s="13"/>
      <c r="AL21920" s="13"/>
    </row>
    <row r="21921" spans="4:38" x14ac:dyDescent="0.3">
      <c r="D21921" s="1"/>
      <c r="G21921" s="13"/>
      <c r="AL21921" s="13"/>
    </row>
    <row r="21922" spans="4:38" x14ac:dyDescent="0.3">
      <c r="D21922" s="1"/>
      <c r="G21922" s="13"/>
      <c r="AL21922" s="13"/>
    </row>
    <row r="21923" spans="4:38" x14ac:dyDescent="0.3">
      <c r="D21923" s="1"/>
      <c r="G21923" s="13"/>
      <c r="AL21923" s="13"/>
    </row>
    <row r="21924" spans="4:38" x14ac:dyDescent="0.3">
      <c r="D21924" s="1"/>
      <c r="G21924" s="13"/>
      <c r="AL21924" s="13"/>
    </row>
    <row r="21925" spans="4:38" x14ac:dyDescent="0.3">
      <c r="D21925" s="1"/>
      <c r="G21925" s="13"/>
      <c r="AL21925" s="13"/>
    </row>
    <row r="21926" spans="4:38" x14ac:dyDescent="0.3">
      <c r="D21926" s="1"/>
      <c r="G21926" s="13"/>
      <c r="AL21926" s="13"/>
    </row>
    <row r="21927" spans="4:38" x14ac:dyDescent="0.3">
      <c r="D21927" s="1"/>
      <c r="G21927" s="13"/>
      <c r="AL21927" s="13"/>
    </row>
    <row r="21928" spans="4:38" x14ac:dyDescent="0.3">
      <c r="D21928" s="1"/>
      <c r="G21928" s="13"/>
      <c r="AL21928" s="13"/>
    </row>
    <row r="21929" spans="4:38" x14ac:dyDescent="0.3">
      <c r="D21929" s="1"/>
      <c r="G21929" s="13"/>
      <c r="AL21929" s="13"/>
    </row>
    <row r="21930" spans="4:38" x14ac:dyDescent="0.3">
      <c r="D21930" s="1"/>
      <c r="G21930" s="13"/>
      <c r="AL21930" s="13"/>
    </row>
    <row r="21931" spans="4:38" x14ac:dyDescent="0.3">
      <c r="D21931" s="1"/>
      <c r="G21931" s="13"/>
      <c r="AL21931" s="13"/>
    </row>
    <row r="21932" spans="4:38" x14ac:dyDescent="0.3">
      <c r="D21932" s="1"/>
      <c r="G21932" s="13"/>
      <c r="AL21932" s="13"/>
    </row>
    <row r="21933" spans="4:38" x14ac:dyDescent="0.3">
      <c r="D21933" s="1"/>
      <c r="G21933" s="13"/>
      <c r="AL21933" s="13"/>
    </row>
    <row r="21934" spans="4:38" x14ac:dyDescent="0.3">
      <c r="D21934" s="1"/>
      <c r="G21934" s="13"/>
      <c r="AL21934" s="13"/>
    </row>
    <row r="21935" spans="4:38" x14ac:dyDescent="0.3">
      <c r="D21935" s="1"/>
      <c r="G21935" s="13"/>
      <c r="AL21935" s="13"/>
    </row>
    <row r="21936" spans="4:38" x14ac:dyDescent="0.3">
      <c r="D21936" s="1"/>
      <c r="G21936" s="13"/>
      <c r="AL21936" s="13"/>
    </row>
    <row r="21937" spans="4:38" x14ac:dyDescent="0.3">
      <c r="D21937" s="1"/>
      <c r="G21937" s="13"/>
      <c r="AL21937" s="13"/>
    </row>
    <row r="21938" spans="4:38" x14ac:dyDescent="0.3">
      <c r="D21938" s="1"/>
      <c r="G21938" s="13"/>
      <c r="AL21938" s="13"/>
    </row>
    <row r="21939" spans="4:38" x14ac:dyDescent="0.3">
      <c r="D21939" s="1"/>
      <c r="G21939" s="13"/>
      <c r="AL21939" s="13"/>
    </row>
    <row r="21940" spans="4:38" x14ac:dyDescent="0.3">
      <c r="D21940" s="1"/>
      <c r="G21940" s="13"/>
      <c r="AL21940" s="13"/>
    </row>
    <row r="21941" spans="4:38" x14ac:dyDescent="0.3">
      <c r="D21941" s="1"/>
      <c r="G21941" s="13"/>
      <c r="AL21941" s="13"/>
    </row>
    <row r="21942" spans="4:38" x14ac:dyDescent="0.3">
      <c r="D21942" s="1"/>
      <c r="G21942" s="13"/>
      <c r="AL21942" s="13"/>
    </row>
    <row r="21943" spans="4:38" x14ac:dyDescent="0.3">
      <c r="D21943" s="1"/>
      <c r="G21943" s="13"/>
      <c r="AL21943" s="13"/>
    </row>
    <row r="21944" spans="4:38" x14ac:dyDescent="0.3">
      <c r="D21944" s="1"/>
      <c r="G21944" s="13"/>
      <c r="AL21944" s="13"/>
    </row>
    <row r="21945" spans="4:38" x14ac:dyDescent="0.3">
      <c r="D21945" s="1"/>
      <c r="G21945" s="13"/>
      <c r="AL21945" s="13"/>
    </row>
    <row r="21946" spans="4:38" x14ac:dyDescent="0.3">
      <c r="D21946" s="1"/>
      <c r="G21946" s="13"/>
      <c r="AL21946" s="13"/>
    </row>
    <row r="21947" spans="4:38" x14ac:dyDescent="0.3">
      <c r="D21947" s="1"/>
      <c r="G21947" s="13"/>
      <c r="AL21947" s="13"/>
    </row>
    <row r="21948" spans="4:38" x14ac:dyDescent="0.3">
      <c r="D21948" s="1"/>
      <c r="G21948" s="13"/>
      <c r="AL21948" s="13"/>
    </row>
    <row r="21949" spans="4:38" x14ac:dyDescent="0.3">
      <c r="D21949" s="1"/>
      <c r="G21949" s="13"/>
      <c r="AL21949" s="13"/>
    </row>
    <row r="21950" spans="4:38" x14ac:dyDescent="0.3">
      <c r="D21950" s="1"/>
      <c r="G21950" s="13"/>
      <c r="AL21950" s="13"/>
    </row>
    <row r="21951" spans="4:38" x14ac:dyDescent="0.3">
      <c r="D21951" s="1"/>
      <c r="G21951" s="13"/>
      <c r="AL21951" s="13"/>
    </row>
    <row r="21952" spans="4:38" x14ac:dyDescent="0.3">
      <c r="D21952" s="1"/>
      <c r="G21952" s="13"/>
      <c r="AL21952" s="13"/>
    </row>
    <row r="21953" spans="4:38" x14ac:dyDescent="0.3">
      <c r="D21953" s="1"/>
      <c r="G21953" s="13"/>
      <c r="AL21953" s="13"/>
    </row>
    <row r="21954" spans="4:38" x14ac:dyDescent="0.3">
      <c r="D21954" s="1"/>
      <c r="G21954" s="13"/>
      <c r="AL21954" s="13"/>
    </row>
    <row r="21955" spans="4:38" x14ac:dyDescent="0.3">
      <c r="D21955" s="1"/>
      <c r="G21955" s="13"/>
      <c r="AL21955" s="13"/>
    </row>
    <row r="21956" spans="4:38" x14ac:dyDescent="0.3">
      <c r="D21956" s="1"/>
      <c r="G21956" s="13"/>
      <c r="AL21956" s="13"/>
    </row>
    <row r="21957" spans="4:38" x14ac:dyDescent="0.3">
      <c r="D21957" s="1"/>
      <c r="G21957" s="13"/>
      <c r="AL21957" s="13"/>
    </row>
    <row r="21958" spans="4:38" x14ac:dyDescent="0.3">
      <c r="D21958" s="1"/>
      <c r="G21958" s="13"/>
      <c r="AL21958" s="13"/>
    </row>
    <row r="21959" spans="4:38" x14ac:dyDescent="0.3">
      <c r="D21959" s="1"/>
      <c r="G21959" s="13"/>
      <c r="AL21959" s="13"/>
    </row>
    <row r="21960" spans="4:38" x14ac:dyDescent="0.3">
      <c r="D21960" s="1"/>
      <c r="G21960" s="13"/>
      <c r="AL21960" s="13"/>
    </row>
    <row r="21961" spans="4:38" x14ac:dyDescent="0.3">
      <c r="D21961" s="1"/>
      <c r="G21961" s="13"/>
      <c r="AL21961" s="13"/>
    </row>
    <row r="21962" spans="4:38" x14ac:dyDescent="0.3">
      <c r="D21962" s="1"/>
      <c r="G21962" s="13"/>
      <c r="AL21962" s="13"/>
    </row>
    <row r="21963" spans="4:38" x14ac:dyDescent="0.3">
      <c r="D21963" s="1"/>
      <c r="G21963" s="13"/>
      <c r="AL21963" s="13"/>
    </row>
    <row r="21964" spans="4:38" x14ac:dyDescent="0.3">
      <c r="D21964" s="1"/>
      <c r="G21964" s="13"/>
      <c r="AL21964" s="13"/>
    </row>
    <row r="21965" spans="4:38" x14ac:dyDescent="0.3">
      <c r="D21965" s="1"/>
      <c r="G21965" s="13"/>
      <c r="AL21965" s="13"/>
    </row>
    <row r="21966" spans="4:38" x14ac:dyDescent="0.3">
      <c r="D21966" s="1"/>
      <c r="G21966" s="13"/>
      <c r="AL21966" s="13"/>
    </row>
    <row r="21967" spans="4:38" x14ac:dyDescent="0.3">
      <c r="D21967" s="1"/>
      <c r="G21967" s="13"/>
      <c r="AL21967" s="13"/>
    </row>
    <row r="21968" spans="4:38" x14ac:dyDescent="0.3">
      <c r="D21968" s="1"/>
      <c r="G21968" s="13"/>
      <c r="AL21968" s="13"/>
    </row>
    <row r="21969" spans="4:38" x14ac:dyDescent="0.3">
      <c r="D21969" s="1"/>
      <c r="G21969" s="13"/>
      <c r="AL21969" s="13"/>
    </row>
    <row r="21970" spans="4:38" x14ac:dyDescent="0.3">
      <c r="D21970" s="1"/>
      <c r="G21970" s="13"/>
      <c r="AL21970" s="13"/>
    </row>
    <row r="21971" spans="4:38" x14ac:dyDescent="0.3">
      <c r="D21971" s="1"/>
      <c r="G21971" s="13"/>
      <c r="AL21971" s="13"/>
    </row>
    <row r="21972" spans="4:38" x14ac:dyDescent="0.3">
      <c r="D21972" s="1"/>
      <c r="G21972" s="13"/>
      <c r="AL21972" s="13"/>
    </row>
    <row r="21973" spans="4:38" x14ac:dyDescent="0.3">
      <c r="D21973" s="1"/>
      <c r="G21973" s="13"/>
      <c r="AL21973" s="13"/>
    </row>
    <row r="21974" spans="4:38" x14ac:dyDescent="0.3">
      <c r="D21974" s="1"/>
      <c r="G21974" s="13"/>
      <c r="AL21974" s="13"/>
    </row>
    <row r="21975" spans="4:38" x14ac:dyDescent="0.3">
      <c r="D21975" s="1"/>
      <c r="G21975" s="13"/>
      <c r="AL21975" s="13"/>
    </row>
    <row r="21976" spans="4:38" x14ac:dyDescent="0.3">
      <c r="D21976" s="1"/>
      <c r="G21976" s="13"/>
      <c r="AL21976" s="13"/>
    </row>
    <row r="21977" spans="4:38" x14ac:dyDescent="0.3">
      <c r="D21977" s="1"/>
      <c r="G21977" s="13"/>
      <c r="AL21977" s="13"/>
    </row>
    <row r="21978" spans="4:38" x14ac:dyDescent="0.3">
      <c r="D21978" s="1"/>
      <c r="G21978" s="13"/>
      <c r="AL21978" s="13"/>
    </row>
    <row r="21979" spans="4:38" x14ac:dyDescent="0.3">
      <c r="D21979" s="1"/>
      <c r="G21979" s="13"/>
      <c r="AL21979" s="13"/>
    </row>
    <row r="21980" spans="4:38" x14ac:dyDescent="0.3">
      <c r="D21980" s="1"/>
      <c r="G21980" s="13"/>
      <c r="AL21980" s="13"/>
    </row>
    <row r="21981" spans="4:38" x14ac:dyDescent="0.3">
      <c r="D21981" s="1"/>
      <c r="G21981" s="13"/>
      <c r="AL21981" s="13"/>
    </row>
    <row r="21982" spans="4:38" x14ac:dyDescent="0.3">
      <c r="D21982" s="1"/>
      <c r="G21982" s="13"/>
      <c r="AL21982" s="13"/>
    </row>
    <row r="21983" spans="4:38" x14ac:dyDescent="0.3">
      <c r="D21983" s="1"/>
      <c r="G21983" s="13"/>
      <c r="AL21983" s="13"/>
    </row>
    <row r="21984" spans="4:38" x14ac:dyDescent="0.3">
      <c r="D21984" s="1"/>
      <c r="G21984" s="13"/>
      <c r="AL21984" s="13"/>
    </row>
    <row r="21985" spans="4:38" x14ac:dyDescent="0.3">
      <c r="D21985" s="1"/>
      <c r="G21985" s="13"/>
    </row>
    <row r="21986" spans="4:38" x14ac:dyDescent="0.3">
      <c r="D21986" s="1"/>
      <c r="G21986" s="13"/>
    </row>
    <row r="21987" spans="4:38" x14ac:dyDescent="0.3">
      <c r="D21987" s="1"/>
      <c r="G21987" s="13"/>
    </row>
    <row r="21988" spans="4:38" x14ac:dyDescent="0.3">
      <c r="D21988" s="1"/>
      <c r="G21988" s="13"/>
      <c r="AL21988" s="13"/>
    </row>
    <row r="21989" spans="4:38" x14ac:dyDescent="0.3">
      <c r="D21989" s="1"/>
      <c r="G21989" s="13"/>
      <c r="AL21989" s="13"/>
    </row>
    <row r="21990" spans="4:38" x14ac:dyDescent="0.3">
      <c r="D21990" s="1"/>
      <c r="G21990" s="13"/>
      <c r="AL21990" s="13"/>
    </row>
    <row r="21991" spans="4:38" x14ac:dyDescent="0.3">
      <c r="D21991" s="1"/>
      <c r="G21991" s="13"/>
      <c r="AL21991" s="13"/>
    </row>
    <row r="21992" spans="4:38" x14ac:dyDescent="0.3">
      <c r="D21992" s="1"/>
      <c r="G21992" s="13"/>
      <c r="AL21992" s="13"/>
    </row>
    <row r="21993" spans="4:38" x14ac:dyDescent="0.3">
      <c r="D21993" s="1"/>
      <c r="G21993" s="13"/>
      <c r="AL21993" s="13"/>
    </row>
    <row r="21994" spans="4:38" x14ac:dyDescent="0.3">
      <c r="D21994" s="1"/>
      <c r="G21994" s="13"/>
      <c r="AL21994" s="13"/>
    </row>
    <row r="21995" spans="4:38" x14ac:dyDescent="0.3">
      <c r="D21995" s="1"/>
      <c r="G21995" s="13"/>
      <c r="AL21995" s="13"/>
    </row>
    <row r="21996" spans="4:38" x14ac:dyDescent="0.3">
      <c r="D21996" s="1"/>
      <c r="G21996" s="13"/>
      <c r="AL21996" s="13"/>
    </row>
    <row r="21997" spans="4:38" x14ac:dyDescent="0.3">
      <c r="D21997" s="1"/>
      <c r="G21997" s="13"/>
      <c r="AL21997" s="13"/>
    </row>
    <row r="21998" spans="4:38" x14ac:dyDescent="0.3">
      <c r="D21998" s="1"/>
      <c r="G21998" s="13"/>
      <c r="AL21998" s="13"/>
    </row>
    <row r="21999" spans="4:38" x14ac:dyDescent="0.3">
      <c r="D21999" s="1"/>
      <c r="G21999" s="13"/>
      <c r="AL21999" s="13"/>
    </row>
    <row r="22000" spans="4:38" x14ac:dyDescent="0.3">
      <c r="D22000" s="1"/>
      <c r="G22000" s="13"/>
      <c r="AL22000" s="13"/>
    </row>
    <row r="22001" spans="4:38" x14ac:dyDescent="0.3">
      <c r="D22001" s="1"/>
      <c r="G22001" s="13"/>
      <c r="AL22001" s="13"/>
    </row>
    <row r="22002" spans="4:38" x14ac:dyDescent="0.3">
      <c r="D22002" s="1"/>
      <c r="G22002" s="13"/>
      <c r="AL22002" s="13"/>
    </row>
    <row r="22003" spans="4:38" x14ac:dyDescent="0.3">
      <c r="D22003" s="1"/>
      <c r="G22003" s="13"/>
      <c r="AL22003" s="13"/>
    </row>
    <row r="22004" spans="4:38" x14ac:dyDescent="0.3">
      <c r="D22004" s="1"/>
      <c r="G22004" s="13"/>
      <c r="AL22004" s="13"/>
    </row>
    <row r="22005" spans="4:38" x14ac:dyDescent="0.3">
      <c r="D22005" s="1"/>
      <c r="G22005" s="13"/>
      <c r="AL22005" s="13"/>
    </row>
    <row r="22006" spans="4:38" x14ac:dyDescent="0.3">
      <c r="D22006" s="1"/>
      <c r="G22006" s="13"/>
      <c r="AL22006" s="13"/>
    </row>
    <row r="22007" spans="4:38" x14ac:dyDescent="0.3">
      <c r="D22007" s="1"/>
      <c r="G22007" s="13"/>
      <c r="AL22007" s="13"/>
    </row>
    <row r="22008" spans="4:38" x14ac:dyDescent="0.3">
      <c r="D22008" s="1"/>
      <c r="G22008" s="13"/>
      <c r="AL22008" s="13"/>
    </row>
    <row r="22009" spans="4:38" x14ac:dyDescent="0.3">
      <c r="D22009" s="1"/>
      <c r="G22009" s="13"/>
      <c r="AL22009" s="13"/>
    </row>
    <row r="22010" spans="4:38" x14ac:dyDescent="0.3">
      <c r="D22010" s="1"/>
      <c r="G22010" s="13"/>
      <c r="AL22010" s="13"/>
    </row>
    <row r="22011" spans="4:38" x14ac:dyDescent="0.3">
      <c r="D22011" s="1"/>
      <c r="G22011" s="13"/>
      <c r="AL22011" s="13"/>
    </row>
    <row r="22012" spans="4:38" x14ac:dyDescent="0.3">
      <c r="D22012" s="1"/>
      <c r="G22012" s="13"/>
      <c r="AL22012" s="13"/>
    </row>
    <row r="22013" spans="4:38" x14ac:dyDescent="0.3">
      <c r="D22013" s="1"/>
      <c r="G22013" s="13"/>
      <c r="AL22013" s="13"/>
    </row>
    <row r="22014" spans="4:38" x14ac:dyDescent="0.3">
      <c r="D22014" s="1"/>
      <c r="G22014" s="13"/>
      <c r="AL22014" s="13"/>
    </row>
    <row r="22015" spans="4:38" x14ac:dyDescent="0.3">
      <c r="D22015" s="1"/>
      <c r="G22015" s="13"/>
      <c r="AL22015" s="13"/>
    </row>
    <row r="22016" spans="4:38" x14ac:dyDescent="0.3">
      <c r="D22016" s="1"/>
      <c r="G22016" s="13"/>
      <c r="AL22016" s="13"/>
    </row>
    <row r="22017" spans="4:38" x14ac:dyDescent="0.3">
      <c r="D22017" s="1"/>
      <c r="G22017" s="13"/>
      <c r="AL22017" s="13"/>
    </row>
    <row r="22018" spans="4:38" x14ac:dyDescent="0.3">
      <c r="D22018" s="1"/>
      <c r="G22018" s="13"/>
      <c r="AL22018" s="13"/>
    </row>
    <row r="22019" spans="4:38" x14ac:dyDescent="0.3">
      <c r="D22019" s="1"/>
      <c r="G22019" s="13"/>
      <c r="AL22019" s="13"/>
    </row>
    <row r="22020" spans="4:38" x14ac:dyDescent="0.3">
      <c r="D22020" s="1"/>
      <c r="G22020" s="13"/>
      <c r="AL22020" s="13"/>
    </row>
    <row r="22021" spans="4:38" x14ac:dyDescent="0.3">
      <c r="D22021" s="1"/>
      <c r="G22021" s="13"/>
      <c r="AL22021" s="13"/>
    </row>
    <row r="22022" spans="4:38" x14ac:dyDescent="0.3">
      <c r="D22022" s="1"/>
      <c r="G22022" s="13"/>
      <c r="AL22022" s="13"/>
    </row>
    <row r="22023" spans="4:38" x14ac:dyDescent="0.3">
      <c r="D22023" s="1"/>
      <c r="G22023" s="13"/>
      <c r="AL22023" s="13"/>
    </row>
    <row r="22024" spans="4:38" x14ac:dyDescent="0.3">
      <c r="D22024" s="1"/>
      <c r="G22024" s="13"/>
      <c r="AL22024" s="13"/>
    </row>
    <row r="22025" spans="4:38" x14ac:dyDescent="0.3">
      <c r="D22025" s="1"/>
      <c r="G22025" s="13"/>
      <c r="AL22025" s="13"/>
    </row>
    <row r="22026" spans="4:38" x14ac:dyDescent="0.3">
      <c r="D22026" s="1"/>
      <c r="G22026" s="13"/>
      <c r="AL22026" s="13"/>
    </row>
    <row r="22027" spans="4:38" x14ac:dyDescent="0.3">
      <c r="D22027" s="1"/>
      <c r="G22027" s="13"/>
      <c r="AL22027" s="13"/>
    </row>
    <row r="22028" spans="4:38" x14ac:dyDescent="0.3">
      <c r="D22028" s="1"/>
      <c r="G22028" s="13"/>
      <c r="AL22028" s="13"/>
    </row>
    <row r="22029" spans="4:38" x14ac:dyDescent="0.3">
      <c r="D22029" s="1"/>
      <c r="G22029" s="13"/>
      <c r="AL22029" s="13"/>
    </row>
    <row r="22030" spans="4:38" x14ac:dyDescent="0.3">
      <c r="D22030" s="1"/>
      <c r="G22030" s="13"/>
      <c r="AL22030" s="13"/>
    </row>
    <row r="22031" spans="4:38" x14ac:dyDescent="0.3">
      <c r="D22031" s="1"/>
      <c r="G22031" s="13"/>
      <c r="AL22031" s="13"/>
    </row>
    <row r="22032" spans="4:38" x14ac:dyDescent="0.3">
      <c r="D22032" s="1"/>
      <c r="G22032" s="13"/>
      <c r="AL22032" s="13"/>
    </row>
    <row r="22033" spans="4:38" x14ac:dyDescent="0.3">
      <c r="D22033" s="1"/>
      <c r="AL22033" s="13"/>
    </row>
    <row r="22034" spans="4:38" x14ac:dyDescent="0.3">
      <c r="D22034" s="1"/>
      <c r="G22034" s="13"/>
      <c r="AL22034" s="13"/>
    </row>
    <row r="22035" spans="4:38" x14ac:dyDescent="0.3">
      <c r="D22035" s="1"/>
      <c r="G22035" s="13"/>
      <c r="AL22035" s="13"/>
    </row>
    <row r="22036" spans="4:38" x14ac:dyDescent="0.3">
      <c r="D22036" s="1"/>
      <c r="G22036" s="13"/>
      <c r="AL22036" s="13"/>
    </row>
    <row r="22037" spans="4:38" x14ac:dyDescent="0.3">
      <c r="D22037" s="1"/>
      <c r="G22037" s="13"/>
      <c r="AL22037" s="13"/>
    </row>
    <row r="22038" spans="4:38" x14ac:dyDescent="0.3">
      <c r="D22038" s="1"/>
      <c r="G22038" s="13"/>
      <c r="AL22038" s="13"/>
    </row>
    <row r="22039" spans="4:38" x14ac:dyDescent="0.3">
      <c r="D22039" s="1"/>
      <c r="G22039" s="13"/>
      <c r="AL22039" s="13"/>
    </row>
    <row r="22040" spans="4:38" x14ac:dyDescent="0.3">
      <c r="D22040" s="1"/>
      <c r="G22040" s="13"/>
      <c r="AL22040" s="13"/>
    </row>
    <row r="22041" spans="4:38" x14ac:dyDescent="0.3">
      <c r="D22041" s="1"/>
      <c r="G22041" s="13"/>
      <c r="AL22041" s="13"/>
    </row>
    <row r="22042" spans="4:38" x14ac:dyDescent="0.3">
      <c r="D22042" s="1"/>
      <c r="G22042" s="13"/>
      <c r="AL22042" s="13"/>
    </row>
    <row r="22043" spans="4:38" x14ac:dyDescent="0.3">
      <c r="D22043" s="1"/>
      <c r="G22043" s="13"/>
      <c r="AL22043" s="13"/>
    </row>
    <row r="22044" spans="4:38" x14ac:dyDescent="0.3">
      <c r="D22044" s="1"/>
      <c r="G22044" s="13"/>
      <c r="AL22044" s="13"/>
    </row>
    <row r="22045" spans="4:38" x14ac:dyDescent="0.3">
      <c r="D22045" s="1"/>
      <c r="G22045" s="13"/>
      <c r="AL22045" s="13"/>
    </row>
    <row r="22046" spans="4:38" x14ac:dyDescent="0.3">
      <c r="D22046" s="1"/>
      <c r="G22046" s="13"/>
      <c r="AL22046" s="13"/>
    </row>
    <row r="22047" spans="4:38" x14ac:dyDescent="0.3">
      <c r="D22047" s="1"/>
      <c r="G22047" s="13"/>
      <c r="AL22047" s="13"/>
    </row>
    <row r="22048" spans="4:38" x14ac:dyDescent="0.3">
      <c r="D22048" s="1"/>
      <c r="G22048" s="13"/>
      <c r="AL22048" s="13"/>
    </row>
    <row r="22049" spans="4:38" x14ac:dyDescent="0.3">
      <c r="D22049" s="1"/>
      <c r="G22049" s="13"/>
      <c r="AL22049" s="13"/>
    </row>
    <row r="22050" spans="4:38" x14ac:dyDescent="0.3">
      <c r="D22050" s="1"/>
      <c r="G22050" s="13"/>
      <c r="AL22050" s="13"/>
    </row>
    <row r="22051" spans="4:38" x14ac:dyDescent="0.3">
      <c r="D22051" s="1"/>
      <c r="AL22051" s="13"/>
    </row>
    <row r="22052" spans="4:38" x14ac:dyDescent="0.3">
      <c r="D22052" s="1"/>
      <c r="G22052" s="13"/>
      <c r="AL22052" s="13"/>
    </row>
    <row r="22053" spans="4:38" x14ac:dyDescent="0.3">
      <c r="D22053" s="1"/>
      <c r="G22053" s="13"/>
      <c r="AL22053" s="13"/>
    </row>
    <row r="22054" spans="4:38" x14ac:dyDescent="0.3">
      <c r="D22054" s="1"/>
      <c r="G22054" s="13"/>
      <c r="AL22054" s="13"/>
    </row>
    <row r="22055" spans="4:38" x14ac:dyDescent="0.3">
      <c r="D22055" s="1"/>
      <c r="G22055" s="13"/>
      <c r="AL22055" s="13"/>
    </row>
    <row r="22056" spans="4:38" x14ac:dyDescent="0.3">
      <c r="D22056" s="1"/>
      <c r="G22056" s="13"/>
      <c r="AL22056" s="13"/>
    </row>
    <row r="22057" spans="4:38" x14ac:dyDescent="0.3">
      <c r="D22057" s="1"/>
      <c r="G22057" s="13"/>
      <c r="AL22057" s="13"/>
    </row>
    <row r="22058" spans="4:38" x14ac:dyDescent="0.3">
      <c r="D22058" s="1"/>
      <c r="G22058" s="13"/>
      <c r="AL22058" s="13"/>
    </row>
    <row r="22059" spans="4:38" x14ac:dyDescent="0.3">
      <c r="D22059" s="1"/>
      <c r="G22059" s="13"/>
      <c r="AL22059" s="13"/>
    </row>
    <row r="22060" spans="4:38" x14ac:dyDescent="0.3">
      <c r="D22060" s="1"/>
      <c r="G22060" s="13"/>
      <c r="AL22060" s="13"/>
    </row>
    <row r="22061" spans="4:38" x14ac:dyDescent="0.3">
      <c r="D22061" s="1"/>
      <c r="G22061" s="13"/>
      <c r="AL22061" s="13"/>
    </row>
    <row r="22062" spans="4:38" x14ac:dyDescent="0.3">
      <c r="D22062" s="1"/>
      <c r="G22062" s="13"/>
      <c r="AL22062" s="13"/>
    </row>
    <row r="22063" spans="4:38" x14ac:dyDescent="0.3">
      <c r="D22063" s="1"/>
      <c r="G22063" s="13"/>
      <c r="AL22063" s="13"/>
    </row>
    <row r="22064" spans="4:38" x14ac:dyDescent="0.3">
      <c r="D22064" s="1"/>
      <c r="G22064" s="13"/>
      <c r="AL22064" s="13"/>
    </row>
    <row r="22065" spans="4:38" x14ac:dyDescent="0.3">
      <c r="D22065" s="1"/>
      <c r="G22065" s="13"/>
      <c r="AL22065" s="13"/>
    </row>
    <row r="22066" spans="4:38" x14ac:dyDescent="0.3">
      <c r="D22066" s="1"/>
      <c r="G22066" s="13"/>
      <c r="AL22066" s="13"/>
    </row>
    <row r="22067" spans="4:38" x14ac:dyDescent="0.3">
      <c r="D22067" s="1"/>
      <c r="G22067" s="13"/>
      <c r="AL22067" s="13"/>
    </row>
    <row r="22068" spans="4:38" x14ac:dyDescent="0.3">
      <c r="D22068" s="1"/>
      <c r="G22068" s="13"/>
      <c r="AL22068" s="13"/>
    </row>
    <row r="22069" spans="4:38" x14ac:dyDescent="0.3">
      <c r="D22069" s="1"/>
      <c r="G22069" s="13"/>
      <c r="AL22069" s="13"/>
    </row>
    <row r="22070" spans="4:38" x14ac:dyDescent="0.3">
      <c r="D22070" s="1"/>
      <c r="G22070" s="13"/>
      <c r="AL22070" s="13"/>
    </row>
    <row r="22071" spans="4:38" x14ac:dyDescent="0.3">
      <c r="D22071" s="1"/>
      <c r="G22071" s="13"/>
      <c r="AL22071" s="13"/>
    </row>
    <row r="22072" spans="4:38" x14ac:dyDescent="0.3">
      <c r="D22072" s="1"/>
      <c r="G22072" s="13"/>
      <c r="AL22072" s="13"/>
    </row>
    <row r="22073" spans="4:38" x14ac:dyDescent="0.3">
      <c r="D22073" s="1"/>
      <c r="G22073" s="13"/>
      <c r="AL22073" s="13"/>
    </row>
    <row r="22074" spans="4:38" x14ac:dyDescent="0.3">
      <c r="D22074" s="1"/>
      <c r="G22074" s="13"/>
      <c r="AL22074" s="13"/>
    </row>
    <row r="22075" spans="4:38" x14ac:dyDescent="0.3">
      <c r="D22075" s="1"/>
      <c r="G22075" s="13"/>
      <c r="AL22075" s="13"/>
    </row>
    <row r="22076" spans="4:38" x14ac:dyDescent="0.3">
      <c r="D22076" s="1"/>
      <c r="G22076" s="13"/>
      <c r="AL22076" s="13"/>
    </row>
    <row r="22077" spans="4:38" x14ac:dyDescent="0.3">
      <c r="D22077" s="1"/>
      <c r="G22077" s="13"/>
      <c r="AL22077" s="13"/>
    </row>
    <row r="22078" spans="4:38" x14ac:dyDescent="0.3">
      <c r="D22078" s="1"/>
      <c r="G22078" s="13"/>
      <c r="AL22078" s="13"/>
    </row>
    <row r="22079" spans="4:38" x14ac:dyDescent="0.3">
      <c r="D22079" s="1"/>
      <c r="G22079" s="13"/>
      <c r="AL22079" s="13"/>
    </row>
    <row r="22080" spans="4:38" x14ac:dyDescent="0.3">
      <c r="D22080" s="1"/>
      <c r="G22080" s="13"/>
      <c r="AL22080" s="13"/>
    </row>
    <row r="22081" spans="4:38" x14ac:dyDescent="0.3">
      <c r="D22081" s="1"/>
      <c r="G22081" s="13"/>
      <c r="AL22081" s="13"/>
    </row>
    <row r="22082" spans="4:38" x14ac:dyDescent="0.3">
      <c r="D22082" s="1"/>
      <c r="G22082" s="13"/>
      <c r="AL22082" s="13"/>
    </row>
    <row r="22083" spans="4:38" x14ac:dyDescent="0.3">
      <c r="D22083" s="1"/>
      <c r="G22083" s="13"/>
      <c r="AL22083" s="13"/>
    </row>
    <row r="22084" spans="4:38" x14ac:dyDescent="0.3">
      <c r="D22084" s="1"/>
      <c r="G22084" s="13"/>
      <c r="AL22084" s="13"/>
    </row>
    <row r="22085" spans="4:38" x14ac:dyDescent="0.3">
      <c r="D22085" s="1"/>
      <c r="G22085" s="13"/>
      <c r="AL22085" s="13"/>
    </row>
    <row r="22086" spans="4:38" x14ac:dyDescent="0.3">
      <c r="D22086" s="1"/>
      <c r="G22086" s="13"/>
      <c r="AL22086" s="13"/>
    </row>
    <row r="22087" spans="4:38" x14ac:dyDescent="0.3">
      <c r="D22087" s="1"/>
      <c r="G22087" s="13"/>
      <c r="AL22087" s="13"/>
    </row>
    <row r="22088" spans="4:38" x14ac:dyDescent="0.3">
      <c r="D22088" s="1"/>
      <c r="G22088" s="13"/>
      <c r="AL22088" s="13"/>
    </row>
    <row r="22089" spans="4:38" x14ac:dyDescent="0.3">
      <c r="D22089" s="1"/>
      <c r="G22089" s="13"/>
      <c r="AL22089" s="13"/>
    </row>
    <row r="22090" spans="4:38" x14ac:dyDescent="0.3">
      <c r="D22090" s="1"/>
      <c r="G22090" s="13"/>
      <c r="AL22090" s="13"/>
    </row>
    <row r="22091" spans="4:38" x14ac:dyDescent="0.3">
      <c r="D22091" s="1"/>
      <c r="G22091" s="13"/>
      <c r="AL22091" s="13"/>
    </row>
    <row r="22092" spans="4:38" x14ac:dyDescent="0.3">
      <c r="D22092" s="1"/>
      <c r="G22092" s="13"/>
      <c r="AL22092" s="13"/>
    </row>
    <row r="22093" spans="4:38" x14ac:dyDescent="0.3">
      <c r="D22093" s="1"/>
      <c r="G22093" s="13"/>
      <c r="AL22093" s="13"/>
    </row>
    <row r="22094" spans="4:38" x14ac:dyDescent="0.3">
      <c r="D22094" s="1"/>
      <c r="G22094" s="13"/>
      <c r="AL22094" s="13"/>
    </row>
    <row r="22095" spans="4:38" x14ac:dyDescent="0.3">
      <c r="D22095" s="1"/>
      <c r="G22095" s="13"/>
      <c r="AL22095" s="13"/>
    </row>
    <row r="22096" spans="4:38" x14ac:dyDescent="0.3">
      <c r="D22096" s="1"/>
      <c r="G22096" s="13"/>
      <c r="AL22096" s="13"/>
    </row>
    <row r="22097" spans="4:38" x14ac:dyDescent="0.3">
      <c r="D22097" s="1"/>
      <c r="G22097" s="13"/>
      <c r="AL22097" s="13"/>
    </row>
    <row r="22098" spans="4:38" x14ac:dyDescent="0.3">
      <c r="D22098" s="1"/>
      <c r="G22098" s="13"/>
      <c r="AL22098" s="13"/>
    </row>
    <row r="22099" spans="4:38" x14ac:dyDescent="0.3">
      <c r="D22099" s="1"/>
      <c r="G22099" s="13"/>
      <c r="AL22099" s="13"/>
    </row>
    <row r="22100" spans="4:38" x14ac:dyDescent="0.3">
      <c r="D22100" s="1"/>
      <c r="G22100" s="13"/>
      <c r="AL22100" s="13"/>
    </row>
    <row r="22101" spans="4:38" x14ac:dyDescent="0.3">
      <c r="D22101" s="1"/>
      <c r="G22101" s="13"/>
      <c r="AL22101" s="13"/>
    </row>
    <row r="22102" spans="4:38" x14ac:dyDescent="0.3">
      <c r="D22102" s="1"/>
      <c r="G22102" s="13"/>
      <c r="AL22102" s="13"/>
    </row>
    <row r="22103" spans="4:38" x14ac:dyDescent="0.3">
      <c r="D22103" s="1"/>
      <c r="G22103" s="13"/>
      <c r="AL22103" s="13"/>
    </row>
    <row r="22104" spans="4:38" x14ac:dyDescent="0.3">
      <c r="D22104" s="1"/>
      <c r="G22104" s="13"/>
      <c r="AL22104" s="13"/>
    </row>
    <row r="22105" spans="4:38" x14ac:dyDescent="0.3">
      <c r="D22105" s="1"/>
      <c r="G22105" s="13"/>
      <c r="AL22105" s="13"/>
    </row>
    <row r="22106" spans="4:38" x14ac:dyDescent="0.3">
      <c r="D22106" s="1"/>
      <c r="G22106" s="13"/>
      <c r="AL22106" s="13"/>
    </row>
    <row r="22107" spans="4:38" x14ac:dyDescent="0.3">
      <c r="D22107" s="1"/>
      <c r="G22107" s="13"/>
      <c r="AL22107" s="13"/>
    </row>
    <row r="22108" spans="4:38" x14ac:dyDescent="0.3">
      <c r="D22108" s="1"/>
      <c r="G22108" s="13"/>
      <c r="AL22108" s="13"/>
    </row>
    <row r="22109" spans="4:38" x14ac:dyDescent="0.3">
      <c r="D22109" s="1"/>
      <c r="G22109" s="13"/>
      <c r="AL22109" s="13"/>
    </row>
    <row r="22110" spans="4:38" x14ac:dyDescent="0.3">
      <c r="D22110" s="1"/>
      <c r="G22110" s="13"/>
      <c r="AL22110" s="13"/>
    </row>
    <row r="22111" spans="4:38" x14ac:dyDescent="0.3">
      <c r="D22111" s="1"/>
      <c r="G22111" s="13"/>
      <c r="AL22111" s="13"/>
    </row>
    <row r="22112" spans="4:38" x14ac:dyDescent="0.3">
      <c r="D22112" s="1"/>
      <c r="G22112" s="13"/>
      <c r="AL22112" s="13"/>
    </row>
    <row r="22113" spans="4:38" x14ac:dyDescent="0.3">
      <c r="D22113" s="1"/>
      <c r="G22113" s="13"/>
      <c r="AL22113" s="13"/>
    </row>
    <row r="22114" spans="4:38" x14ac:dyDescent="0.3">
      <c r="D22114" s="1"/>
      <c r="G22114" s="13"/>
      <c r="AL22114" s="13"/>
    </row>
    <row r="22115" spans="4:38" x14ac:dyDescent="0.3">
      <c r="D22115" s="1"/>
      <c r="G22115" s="13"/>
      <c r="AL22115" s="13"/>
    </row>
    <row r="22116" spans="4:38" x14ac:dyDescent="0.3">
      <c r="D22116" s="1"/>
      <c r="G22116" s="13"/>
      <c r="AL22116" s="13"/>
    </row>
    <row r="22117" spans="4:38" x14ac:dyDescent="0.3">
      <c r="D22117" s="1"/>
      <c r="G22117" s="13"/>
      <c r="AL22117" s="13"/>
    </row>
    <row r="22118" spans="4:38" x14ac:dyDescent="0.3">
      <c r="D22118" s="1"/>
      <c r="G22118" s="13"/>
      <c r="AL22118" s="13"/>
    </row>
    <row r="22119" spans="4:38" x14ac:dyDescent="0.3">
      <c r="D22119" s="1"/>
      <c r="G22119" s="13"/>
      <c r="AL22119" s="13"/>
    </row>
    <row r="22120" spans="4:38" x14ac:dyDescent="0.3">
      <c r="D22120" s="1"/>
      <c r="G22120" s="13"/>
      <c r="AL22120" s="13"/>
    </row>
    <row r="22121" spans="4:38" x14ac:dyDescent="0.3">
      <c r="D22121" s="1"/>
      <c r="G22121" s="13"/>
      <c r="AL22121" s="13"/>
    </row>
    <row r="22122" spans="4:38" x14ac:dyDescent="0.3">
      <c r="D22122" s="1"/>
      <c r="G22122" s="13"/>
      <c r="AL22122" s="13"/>
    </row>
    <row r="22123" spans="4:38" x14ac:dyDescent="0.3">
      <c r="D22123" s="1"/>
      <c r="G22123" s="13"/>
      <c r="AL22123" s="13"/>
    </row>
    <row r="22124" spans="4:38" x14ac:dyDescent="0.3">
      <c r="D22124" s="1"/>
      <c r="G22124" s="13"/>
      <c r="AL22124" s="13"/>
    </row>
    <row r="22125" spans="4:38" x14ac:dyDescent="0.3">
      <c r="D22125" s="1"/>
      <c r="G22125" s="13"/>
      <c r="AL22125" s="13"/>
    </row>
    <row r="22126" spans="4:38" x14ac:dyDescent="0.3">
      <c r="D22126" s="1"/>
      <c r="G22126" s="13"/>
      <c r="AL22126" s="13"/>
    </row>
    <row r="22127" spans="4:38" x14ac:dyDescent="0.3">
      <c r="D22127" s="1"/>
      <c r="G22127" s="13"/>
      <c r="AL22127" s="13"/>
    </row>
    <row r="22128" spans="4:38" x14ac:dyDescent="0.3">
      <c r="D22128" s="1"/>
      <c r="G22128" s="13"/>
      <c r="AL22128" s="13"/>
    </row>
    <row r="22129" spans="4:38" x14ac:dyDescent="0.3">
      <c r="D22129" s="1"/>
      <c r="G22129" s="13"/>
      <c r="AL22129" s="13"/>
    </row>
    <row r="22130" spans="4:38" x14ac:dyDescent="0.3">
      <c r="D22130" s="1"/>
      <c r="G22130" s="13"/>
      <c r="AL22130" s="13"/>
    </row>
    <row r="22131" spans="4:38" x14ac:dyDescent="0.3">
      <c r="D22131" s="1"/>
      <c r="G22131" s="13"/>
      <c r="AL22131" s="13"/>
    </row>
    <row r="22132" spans="4:38" x14ac:dyDescent="0.3">
      <c r="D22132" s="1"/>
      <c r="G22132" s="13"/>
      <c r="AL22132" s="13"/>
    </row>
    <row r="22133" spans="4:38" x14ac:dyDescent="0.3">
      <c r="D22133" s="1"/>
      <c r="G22133" s="13"/>
      <c r="AL22133" s="13"/>
    </row>
    <row r="22134" spans="4:38" x14ac:dyDescent="0.3">
      <c r="D22134" s="1"/>
      <c r="G22134" s="13"/>
      <c r="AL22134" s="13"/>
    </row>
    <row r="22135" spans="4:38" x14ac:dyDescent="0.3">
      <c r="D22135" s="1"/>
      <c r="G22135" s="13"/>
      <c r="AL22135" s="13"/>
    </row>
    <row r="22136" spans="4:38" x14ac:dyDescent="0.3">
      <c r="D22136" s="1"/>
      <c r="G22136" s="13"/>
      <c r="AL22136" s="13"/>
    </row>
    <row r="22137" spans="4:38" x14ac:dyDescent="0.3">
      <c r="D22137" s="1"/>
      <c r="G22137" s="13"/>
      <c r="AL22137" s="13"/>
    </row>
    <row r="22138" spans="4:38" x14ac:dyDescent="0.3">
      <c r="D22138" s="1"/>
      <c r="G22138" s="13"/>
      <c r="AL22138" s="13"/>
    </row>
    <row r="22139" spans="4:38" x14ac:dyDescent="0.3">
      <c r="D22139" s="1"/>
      <c r="G22139" s="13"/>
      <c r="AL22139" s="13"/>
    </row>
    <row r="22140" spans="4:38" x14ac:dyDescent="0.3">
      <c r="D22140" s="1"/>
      <c r="G22140" s="13"/>
      <c r="AL22140" s="13"/>
    </row>
    <row r="22141" spans="4:38" x14ac:dyDescent="0.3">
      <c r="D22141" s="1"/>
      <c r="G22141" s="13"/>
      <c r="AL22141" s="13"/>
    </row>
    <row r="22142" spans="4:38" x14ac:dyDescent="0.3">
      <c r="D22142" s="1"/>
      <c r="G22142" s="13"/>
      <c r="AL22142" s="13"/>
    </row>
    <row r="22143" spans="4:38" x14ac:dyDescent="0.3">
      <c r="D22143" s="1"/>
      <c r="G22143" s="13"/>
      <c r="AL22143" s="13"/>
    </row>
    <row r="22144" spans="4:38" x14ac:dyDescent="0.3">
      <c r="D22144" s="1"/>
      <c r="G22144" s="13"/>
      <c r="AL22144" s="13"/>
    </row>
    <row r="22145" spans="4:38" x14ac:dyDescent="0.3">
      <c r="D22145" s="1"/>
      <c r="G22145" s="13"/>
      <c r="AL22145" s="13"/>
    </row>
    <row r="22146" spans="4:38" x14ac:dyDescent="0.3">
      <c r="D22146" s="1"/>
      <c r="G22146" s="13"/>
      <c r="AL22146" s="13"/>
    </row>
    <row r="22147" spans="4:38" x14ac:dyDescent="0.3">
      <c r="D22147" s="1"/>
      <c r="G22147" s="13"/>
      <c r="AL22147" s="13"/>
    </row>
    <row r="22148" spans="4:38" x14ac:dyDescent="0.3">
      <c r="D22148" s="1"/>
      <c r="G22148" s="13"/>
      <c r="AL22148" s="13"/>
    </row>
    <row r="22149" spans="4:38" x14ac:dyDescent="0.3">
      <c r="D22149" s="1"/>
      <c r="G22149" s="13"/>
      <c r="AL22149" s="13"/>
    </row>
    <row r="22150" spans="4:38" x14ac:dyDescent="0.3">
      <c r="D22150" s="1"/>
      <c r="G22150" s="13"/>
      <c r="AL22150" s="13"/>
    </row>
    <row r="22151" spans="4:38" x14ac:dyDescent="0.3">
      <c r="D22151" s="1"/>
      <c r="G22151" s="13"/>
      <c r="AL22151" s="13"/>
    </row>
    <row r="22152" spans="4:38" x14ac:dyDescent="0.3">
      <c r="D22152" s="1"/>
      <c r="G22152" s="13"/>
      <c r="AL22152" s="13"/>
    </row>
    <row r="22153" spans="4:38" x14ac:dyDescent="0.3">
      <c r="D22153" s="1"/>
      <c r="G22153" s="13"/>
      <c r="AL22153" s="13"/>
    </row>
    <row r="22154" spans="4:38" x14ac:dyDescent="0.3">
      <c r="D22154" s="1"/>
      <c r="G22154" s="13"/>
      <c r="AL22154" s="13"/>
    </row>
    <row r="22155" spans="4:38" x14ac:dyDescent="0.3">
      <c r="D22155" s="1"/>
      <c r="G22155" s="13"/>
      <c r="AL22155" s="13"/>
    </row>
    <row r="22156" spans="4:38" x14ac:dyDescent="0.3">
      <c r="D22156" s="1"/>
      <c r="G22156" s="13"/>
      <c r="AL22156" s="13"/>
    </row>
    <row r="22157" spans="4:38" x14ac:dyDescent="0.3">
      <c r="D22157" s="1"/>
      <c r="G22157" s="13"/>
      <c r="AL22157" s="13"/>
    </row>
    <row r="22158" spans="4:38" x14ac:dyDescent="0.3">
      <c r="D22158" s="1"/>
      <c r="G22158" s="13"/>
      <c r="AL22158" s="13"/>
    </row>
    <row r="22159" spans="4:38" x14ac:dyDescent="0.3">
      <c r="D22159" s="1"/>
      <c r="G22159" s="13"/>
      <c r="AL22159" s="13"/>
    </row>
    <row r="22160" spans="4:38" x14ac:dyDescent="0.3">
      <c r="D22160" s="1"/>
      <c r="G22160" s="13"/>
      <c r="AL22160" s="13"/>
    </row>
    <row r="22161" spans="4:38" x14ac:dyDescent="0.3">
      <c r="D22161" s="1"/>
      <c r="G22161" s="13"/>
      <c r="AL22161" s="13"/>
    </row>
    <row r="22162" spans="4:38" x14ac:dyDescent="0.3">
      <c r="D22162" s="1"/>
      <c r="G22162" s="13"/>
      <c r="AL22162" s="13"/>
    </row>
    <row r="22163" spans="4:38" x14ac:dyDescent="0.3">
      <c r="D22163" s="1"/>
      <c r="G22163" s="13"/>
      <c r="AL22163" s="13"/>
    </row>
    <row r="22164" spans="4:38" x14ac:dyDescent="0.3">
      <c r="D22164" s="1"/>
      <c r="G22164" s="13"/>
      <c r="AL22164" s="13"/>
    </row>
    <row r="22165" spans="4:38" x14ac:dyDescent="0.3">
      <c r="D22165" s="1"/>
      <c r="G22165" s="13"/>
      <c r="AL22165" s="13"/>
    </row>
    <row r="22166" spans="4:38" x14ac:dyDescent="0.3">
      <c r="D22166" s="1"/>
      <c r="G22166" s="13"/>
      <c r="AL22166" s="13"/>
    </row>
    <row r="22167" spans="4:38" x14ac:dyDescent="0.3">
      <c r="D22167" s="1"/>
      <c r="G22167" s="13"/>
      <c r="AL22167" s="13"/>
    </row>
    <row r="22168" spans="4:38" x14ac:dyDescent="0.3">
      <c r="D22168" s="1"/>
      <c r="G22168" s="13"/>
      <c r="AL22168" s="13"/>
    </row>
    <row r="22169" spans="4:38" x14ac:dyDescent="0.3">
      <c r="D22169" s="1"/>
      <c r="G22169" s="13"/>
      <c r="AL22169" s="13"/>
    </row>
    <row r="22170" spans="4:38" x14ac:dyDescent="0.3">
      <c r="D22170" s="1"/>
      <c r="G22170" s="13"/>
      <c r="AL22170" s="13"/>
    </row>
    <row r="22171" spans="4:38" x14ac:dyDescent="0.3">
      <c r="D22171" s="1"/>
      <c r="G22171" s="13"/>
      <c r="AL22171" s="13"/>
    </row>
    <row r="22172" spans="4:38" x14ac:dyDescent="0.3">
      <c r="D22172" s="1"/>
      <c r="G22172" s="13"/>
      <c r="AL22172" s="13"/>
    </row>
    <row r="22173" spans="4:38" x14ac:dyDescent="0.3">
      <c r="D22173" s="1"/>
      <c r="G22173" s="13"/>
      <c r="AL22173" s="13"/>
    </row>
    <row r="22174" spans="4:38" x14ac:dyDescent="0.3">
      <c r="D22174" s="1"/>
      <c r="G22174" s="13"/>
      <c r="AL22174" s="13"/>
    </row>
    <row r="22175" spans="4:38" x14ac:dyDescent="0.3">
      <c r="D22175" s="1"/>
      <c r="G22175" s="13"/>
      <c r="AL22175" s="13"/>
    </row>
    <row r="22176" spans="4:38" x14ac:dyDescent="0.3">
      <c r="D22176" s="1"/>
      <c r="G22176" s="13"/>
      <c r="AL22176" s="13"/>
    </row>
    <row r="22177" spans="4:38" x14ac:dyDescent="0.3">
      <c r="D22177" s="1"/>
      <c r="G22177" s="13"/>
      <c r="AL22177" s="13"/>
    </row>
    <row r="22178" spans="4:38" x14ac:dyDescent="0.3">
      <c r="D22178" s="1"/>
      <c r="G22178" s="13"/>
      <c r="AL22178" s="13"/>
    </row>
    <row r="22179" spans="4:38" x14ac:dyDescent="0.3">
      <c r="D22179" s="1"/>
      <c r="G22179" s="13"/>
      <c r="AL22179" s="13"/>
    </row>
    <row r="22180" spans="4:38" x14ac:dyDescent="0.3">
      <c r="D22180" s="1"/>
      <c r="G22180" s="13"/>
      <c r="AL22180" s="13"/>
    </row>
    <row r="22181" spans="4:38" x14ac:dyDescent="0.3">
      <c r="D22181" s="1"/>
      <c r="G22181" s="13"/>
      <c r="AL22181" s="13"/>
    </row>
    <row r="22182" spans="4:38" x14ac:dyDescent="0.3">
      <c r="D22182" s="1"/>
      <c r="G22182" s="13"/>
      <c r="AL22182" s="13"/>
    </row>
    <row r="22183" spans="4:38" x14ac:dyDescent="0.3">
      <c r="D22183" s="1"/>
      <c r="G22183" s="13"/>
      <c r="AL22183" s="13"/>
    </row>
    <row r="22184" spans="4:38" x14ac:dyDescent="0.3">
      <c r="D22184" s="1"/>
      <c r="G22184" s="13"/>
      <c r="AL22184" s="13"/>
    </row>
    <row r="22185" spans="4:38" x14ac:dyDescent="0.3">
      <c r="D22185" s="1"/>
      <c r="G22185" s="13"/>
      <c r="AL22185" s="13"/>
    </row>
    <row r="22186" spans="4:38" x14ac:dyDescent="0.3">
      <c r="D22186" s="1"/>
      <c r="G22186" s="13"/>
      <c r="AL22186" s="13"/>
    </row>
    <row r="22187" spans="4:38" x14ac:dyDescent="0.3">
      <c r="D22187" s="1"/>
      <c r="G22187" s="13"/>
      <c r="AL22187" s="13"/>
    </row>
    <row r="22188" spans="4:38" x14ac:dyDescent="0.3">
      <c r="D22188" s="1"/>
      <c r="G22188" s="13"/>
      <c r="AL22188" s="13"/>
    </row>
    <row r="22189" spans="4:38" x14ac:dyDescent="0.3">
      <c r="D22189" s="1"/>
      <c r="G22189" s="13"/>
      <c r="AL22189" s="13"/>
    </row>
    <row r="22190" spans="4:38" x14ac:dyDescent="0.3">
      <c r="D22190" s="1"/>
      <c r="G22190" s="13"/>
      <c r="AL22190" s="13"/>
    </row>
    <row r="22191" spans="4:38" x14ac:dyDescent="0.3">
      <c r="D22191" s="1"/>
      <c r="G22191" s="13"/>
      <c r="AL22191" s="13"/>
    </row>
    <row r="22192" spans="4:38" x14ac:dyDescent="0.3">
      <c r="D22192" s="1"/>
      <c r="G22192" s="13"/>
      <c r="AL22192" s="13"/>
    </row>
    <row r="22193" spans="4:38" x14ac:dyDescent="0.3">
      <c r="D22193" s="1"/>
      <c r="G22193" s="13"/>
      <c r="AL22193" s="13"/>
    </row>
    <row r="22194" spans="4:38" x14ac:dyDescent="0.3">
      <c r="D22194" s="1"/>
      <c r="G22194" s="13"/>
      <c r="AL22194" s="13"/>
    </row>
    <row r="22195" spans="4:38" x14ac:dyDescent="0.3">
      <c r="D22195" s="1"/>
      <c r="G22195" s="13"/>
      <c r="AL22195" s="13"/>
    </row>
    <row r="22196" spans="4:38" x14ac:dyDescent="0.3">
      <c r="D22196" s="1"/>
      <c r="G22196" s="13"/>
      <c r="AL22196" s="13"/>
    </row>
    <row r="22197" spans="4:38" x14ac:dyDescent="0.3">
      <c r="D22197" s="1"/>
      <c r="G22197" s="13"/>
      <c r="AL22197" s="13"/>
    </row>
    <row r="22198" spans="4:38" x14ac:dyDescent="0.3">
      <c r="D22198" s="1"/>
      <c r="G22198" s="13"/>
      <c r="AL22198" s="13"/>
    </row>
    <row r="22199" spans="4:38" x14ac:dyDescent="0.3">
      <c r="D22199" s="1"/>
      <c r="G22199" s="13"/>
      <c r="AL22199" s="13"/>
    </row>
    <row r="22200" spans="4:38" x14ac:dyDescent="0.3">
      <c r="D22200" s="1"/>
      <c r="G22200" s="13"/>
      <c r="AL22200" s="13"/>
    </row>
    <row r="22201" spans="4:38" x14ac:dyDescent="0.3">
      <c r="D22201" s="1"/>
      <c r="G22201" s="13"/>
      <c r="AL22201" s="13"/>
    </row>
    <row r="22202" spans="4:38" x14ac:dyDescent="0.3">
      <c r="D22202" s="1"/>
      <c r="G22202" s="13"/>
      <c r="AL22202" s="13"/>
    </row>
    <row r="22203" spans="4:38" x14ac:dyDescent="0.3">
      <c r="D22203" s="1"/>
      <c r="G22203" s="13"/>
      <c r="AL22203" s="13"/>
    </row>
    <row r="22204" spans="4:38" x14ac:dyDescent="0.3">
      <c r="D22204" s="1"/>
      <c r="G22204" s="13"/>
      <c r="AL22204" s="13"/>
    </row>
    <row r="22205" spans="4:38" x14ac:dyDescent="0.3">
      <c r="D22205" s="1"/>
      <c r="G22205" s="13"/>
      <c r="AL22205" s="13"/>
    </row>
    <row r="22206" spans="4:38" x14ac:dyDescent="0.3">
      <c r="D22206" s="1"/>
      <c r="G22206" s="13"/>
      <c r="AL22206" s="13"/>
    </row>
    <row r="22207" spans="4:38" x14ac:dyDescent="0.3">
      <c r="D22207" s="1"/>
      <c r="G22207" s="13"/>
      <c r="AL22207" s="13"/>
    </row>
    <row r="22208" spans="4:38" x14ac:dyDescent="0.3">
      <c r="D22208" s="1"/>
      <c r="G22208" s="13"/>
      <c r="AL22208" s="13"/>
    </row>
    <row r="22209" spans="4:38" x14ac:dyDescent="0.3">
      <c r="D22209" s="1"/>
      <c r="G22209" s="13"/>
      <c r="AL22209" s="13"/>
    </row>
    <row r="22210" spans="4:38" x14ac:dyDescent="0.3">
      <c r="D22210" s="1"/>
      <c r="G22210" s="13"/>
      <c r="AL22210" s="13"/>
    </row>
    <row r="22211" spans="4:38" x14ac:dyDescent="0.3">
      <c r="D22211" s="1"/>
      <c r="G22211" s="13"/>
      <c r="AL22211" s="13"/>
    </row>
    <row r="22212" spans="4:38" x14ac:dyDescent="0.3">
      <c r="D22212" s="1"/>
      <c r="G22212" s="13"/>
      <c r="AL22212" s="13"/>
    </row>
    <row r="22213" spans="4:38" x14ac:dyDescent="0.3">
      <c r="D22213" s="1"/>
      <c r="G22213" s="13"/>
      <c r="AL22213" s="13"/>
    </row>
    <row r="22214" spans="4:38" x14ac:dyDescent="0.3">
      <c r="D22214" s="1"/>
      <c r="G22214" s="13"/>
      <c r="AL22214" s="13"/>
    </row>
    <row r="22215" spans="4:38" x14ac:dyDescent="0.3">
      <c r="D22215" s="1"/>
      <c r="G22215" s="13"/>
      <c r="AL22215" s="13"/>
    </row>
    <row r="22216" spans="4:38" x14ac:dyDescent="0.3">
      <c r="D22216" s="1"/>
      <c r="G22216" s="13"/>
      <c r="AL22216" s="13"/>
    </row>
    <row r="22217" spans="4:38" x14ac:dyDescent="0.3">
      <c r="D22217" s="1"/>
      <c r="G22217" s="13"/>
      <c r="AL22217" s="13"/>
    </row>
    <row r="22218" spans="4:38" x14ac:dyDescent="0.3">
      <c r="D22218" s="1"/>
      <c r="G22218" s="13"/>
      <c r="AL22218" s="13"/>
    </row>
    <row r="22219" spans="4:38" x14ac:dyDescent="0.3">
      <c r="D22219" s="1"/>
      <c r="G22219" s="13"/>
      <c r="AL22219" s="13"/>
    </row>
    <row r="22220" spans="4:38" x14ac:dyDescent="0.3">
      <c r="D22220" s="1"/>
      <c r="G22220" s="13"/>
      <c r="AL22220" s="13"/>
    </row>
    <row r="22221" spans="4:38" x14ac:dyDescent="0.3">
      <c r="D22221" s="1"/>
      <c r="G22221" s="13"/>
      <c r="AL22221" s="13"/>
    </row>
    <row r="22222" spans="4:38" x14ac:dyDescent="0.3">
      <c r="D22222" s="1"/>
      <c r="G22222" s="13"/>
      <c r="AL22222" s="13"/>
    </row>
    <row r="22223" spans="4:38" x14ac:dyDescent="0.3">
      <c r="D22223" s="1"/>
      <c r="G22223" s="13"/>
      <c r="AL22223" s="13"/>
    </row>
    <row r="22224" spans="4:38" x14ac:dyDescent="0.3">
      <c r="D22224" s="1"/>
      <c r="G22224" s="13"/>
      <c r="AL22224" s="13"/>
    </row>
    <row r="22225" spans="4:38" x14ac:dyDescent="0.3">
      <c r="D22225" s="1"/>
      <c r="G22225" s="13"/>
      <c r="AL22225" s="13"/>
    </row>
    <row r="22226" spans="4:38" x14ac:dyDescent="0.3">
      <c r="D22226" s="1"/>
      <c r="G22226" s="13"/>
      <c r="AL22226" s="13"/>
    </row>
    <row r="22227" spans="4:38" x14ac:dyDescent="0.3">
      <c r="D22227" s="1"/>
      <c r="G22227" s="13"/>
      <c r="AL22227" s="13"/>
    </row>
    <row r="22228" spans="4:38" x14ac:dyDescent="0.3">
      <c r="D22228" s="1"/>
      <c r="G22228" s="13"/>
      <c r="AL22228" s="13"/>
    </row>
    <row r="22229" spans="4:38" x14ac:dyDescent="0.3">
      <c r="D22229" s="1"/>
      <c r="G22229" s="13"/>
      <c r="AL22229" s="13"/>
    </row>
    <row r="22230" spans="4:38" x14ac:dyDescent="0.3">
      <c r="D22230" s="1"/>
      <c r="G22230" s="13"/>
      <c r="AL22230" s="13"/>
    </row>
    <row r="22231" spans="4:38" x14ac:dyDescent="0.3">
      <c r="D22231" s="1"/>
      <c r="G22231" s="13"/>
      <c r="AL22231" s="13"/>
    </row>
    <row r="22232" spans="4:38" x14ac:dyDescent="0.3">
      <c r="D22232" s="1"/>
      <c r="G22232" s="13"/>
      <c r="AL22232" s="13"/>
    </row>
    <row r="22233" spans="4:38" x14ac:dyDescent="0.3">
      <c r="D22233" s="1"/>
      <c r="G22233" s="13"/>
      <c r="AL22233" s="13"/>
    </row>
    <row r="22234" spans="4:38" x14ac:dyDescent="0.3">
      <c r="D22234" s="1"/>
      <c r="G22234" s="13"/>
      <c r="AL22234" s="13"/>
    </row>
    <row r="22235" spans="4:38" x14ac:dyDescent="0.3">
      <c r="D22235" s="1"/>
      <c r="G22235" s="13"/>
      <c r="AL22235" s="13"/>
    </row>
    <row r="22236" spans="4:38" x14ac:dyDescent="0.3">
      <c r="D22236" s="1"/>
      <c r="G22236" s="13"/>
      <c r="AL22236" s="13"/>
    </row>
    <row r="22237" spans="4:38" x14ac:dyDescent="0.3">
      <c r="D22237" s="1"/>
      <c r="G22237" s="13"/>
      <c r="AL22237" s="13"/>
    </row>
    <row r="22238" spans="4:38" x14ac:dyDescent="0.3">
      <c r="D22238" s="1"/>
      <c r="G22238" s="13"/>
      <c r="AL22238" s="13"/>
    </row>
    <row r="22239" spans="4:38" x14ac:dyDescent="0.3">
      <c r="D22239" s="1"/>
      <c r="G22239" s="13"/>
      <c r="AL22239" s="13"/>
    </row>
    <row r="22240" spans="4:38" x14ac:dyDescent="0.3">
      <c r="D22240" s="1"/>
      <c r="G22240" s="13"/>
      <c r="AL22240" s="13"/>
    </row>
    <row r="22241" spans="4:38" x14ac:dyDescent="0.3">
      <c r="D22241" s="1"/>
      <c r="G22241" s="13"/>
      <c r="AL22241" s="13"/>
    </row>
    <row r="22242" spans="4:38" x14ac:dyDescent="0.3">
      <c r="D22242" s="1"/>
      <c r="G22242" s="13"/>
      <c r="AL22242" s="13"/>
    </row>
    <row r="22243" spans="4:38" x14ac:dyDescent="0.3">
      <c r="D22243" s="1"/>
      <c r="G22243" s="13"/>
      <c r="AL22243" s="13"/>
    </row>
    <row r="22244" spans="4:38" x14ac:dyDescent="0.3">
      <c r="D22244" s="1"/>
      <c r="G22244" s="13"/>
      <c r="AL22244" s="13"/>
    </row>
    <row r="22245" spans="4:38" x14ac:dyDescent="0.3">
      <c r="D22245" s="1"/>
      <c r="G22245" s="13"/>
      <c r="AL22245" s="13"/>
    </row>
    <row r="22246" spans="4:38" x14ac:dyDescent="0.3">
      <c r="D22246" s="1"/>
      <c r="G22246" s="13"/>
      <c r="AL22246" s="13"/>
    </row>
    <row r="22247" spans="4:38" x14ac:dyDescent="0.3">
      <c r="D22247" s="1"/>
      <c r="G22247" s="13"/>
      <c r="AL22247" s="13"/>
    </row>
    <row r="22248" spans="4:38" x14ac:dyDescent="0.3">
      <c r="D22248" s="1"/>
      <c r="G22248" s="13"/>
      <c r="AL22248" s="13"/>
    </row>
    <row r="22249" spans="4:38" x14ac:dyDescent="0.3">
      <c r="D22249" s="1"/>
      <c r="G22249" s="13"/>
      <c r="AL22249" s="13"/>
    </row>
    <row r="22250" spans="4:38" x14ac:dyDescent="0.3">
      <c r="D22250" s="1"/>
      <c r="G22250" s="13"/>
      <c r="AL22250" s="13"/>
    </row>
    <row r="22251" spans="4:38" x14ac:dyDescent="0.3">
      <c r="D22251" s="1"/>
      <c r="G22251" s="13"/>
      <c r="AL22251" s="13"/>
    </row>
    <row r="22252" spans="4:38" x14ac:dyDescent="0.3">
      <c r="G22252" s="13"/>
      <c r="AL22252" s="13"/>
    </row>
    <row r="22253" spans="4:38" x14ac:dyDescent="0.3">
      <c r="G22253" s="13"/>
      <c r="AL22253" s="13"/>
    </row>
    <row r="22254" spans="4:38" x14ac:dyDescent="0.3">
      <c r="D22254" s="1"/>
      <c r="G22254" s="13"/>
      <c r="AL22254" s="13"/>
    </row>
    <row r="22255" spans="4:38" x14ac:dyDescent="0.3">
      <c r="G22255" s="13"/>
      <c r="AL22255" s="13"/>
    </row>
    <row r="22256" spans="4:38" x14ac:dyDescent="0.3">
      <c r="D22256" s="1"/>
      <c r="G22256" s="13"/>
      <c r="AL22256" s="13"/>
    </row>
    <row r="22257" spans="4:38" x14ac:dyDescent="0.3">
      <c r="G22257" s="13"/>
      <c r="AL22257" s="13"/>
    </row>
    <row r="22258" spans="4:38" x14ac:dyDescent="0.3">
      <c r="D22258" s="1"/>
      <c r="G22258" s="13"/>
      <c r="AL22258" s="13"/>
    </row>
    <row r="22259" spans="4:38" x14ac:dyDescent="0.3">
      <c r="D22259" s="1"/>
      <c r="G22259" s="13"/>
      <c r="AL22259" s="13"/>
    </row>
    <row r="22260" spans="4:38" x14ac:dyDescent="0.3">
      <c r="D22260" s="1"/>
      <c r="G22260" s="13"/>
      <c r="AL22260" s="13"/>
    </row>
    <row r="22261" spans="4:38" x14ac:dyDescent="0.3">
      <c r="D22261" s="1"/>
      <c r="G22261" s="13"/>
      <c r="AL22261" s="13"/>
    </row>
    <row r="22262" spans="4:38" x14ac:dyDescent="0.3">
      <c r="D22262" s="1"/>
      <c r="G22262" s="13"/>
      <c r="AL22262" s="13"/>
    </row>
    <row r="22263" spans="4:38" x14ac:dyDescent="0.3">
      <c r="D22263" s="1"/>
      <c r="G22263" s="13"/>
      <c r="AL22263" s="13"/>
    </row>
    <row r="22264" spans="4:38" x14ac:dyDescent="0.3">
      <c r="D22264" s="1"/>
      <c r="G22264" s="13"/>
      <c r="AL22264" s="13"/>
    </row>
    <row r="22265" spans="4:38" x14ac:dyDescent="0.3">
      <c r="D22265" s="1"/>
      <c r="G22265" s="13"/>
      <c r="AL22265" s="13"/>
    </row>
    <row r="22266" spans="4:38" x14ac:dyDescent="0.3">
      <c r="D22266" s="1"/>
      <c r="G22266" s="13"/>
      <c r="AL22266" s="13"/>
    </row>
    <row r="22267" spans="4:38" x14ac:dyDescent="0.3">
      <c r="D22267" s="1"/>
      <c r="G22267" s="13"/>
      <c r="AL22267" s="13"/>
    </row>
    <row r="22268" spans="4:38" x14ac:dyDescent="0.3">
      <c r="D22268" s="1"/>
      <c r="G22268" s="13"/>
      <c r="AL22268" s="13"/>
    </row>
    <row r="22269" spans="4:38" x14ac:dyDescent="0.3">
      <c r="D22269" s="1"/>
      <c r="G22269" s="13"/>
      <c r="AL22269" s="13"/>
    </row>
    <row r="22270" spans="4:38" x14ac:dyDescent="0.3">
      <c r="D22270" s="1"/>
      <c r="G22270" s="13"/>
      <c r="AL22270" s="13"/>
    </row>
    <row r="22271" spans="4:38" x14ac:dyDescent="0.3">
      <c r="D22271" s="1"/>
      <c r="G22271" s="13"/>
      <c r="AL22271" s="13"/>
    </row>
    <row r="22272" spans="4:38" x14ac:dyDescent="0.3">
      <c r="D22272" s="1"/>
      <c r="G22272" s="13"/>
      <c r="AL22272" s="13"/>
    </row>
    <row r="22273" spans="4:38" x14ac:dyDescent="0.3">
      <c r="D22273" s="1"/>
      <c r="G22273" s="13"/>
      <c r="AL22273" s="13"/>
    </row>
    <row r="22274" spans="4:38" x14ac:dyDescent="0.3">
      <c r="D22274" s="1"/>
      <c r="G22274" s="13"/>
      <c r="AL22274" s="13"/>
    </row>
    <row r="22275" spans="4:38" x14ac:dyDescent="0.3">
      <c r="D22275" s="1"/>
      <c r="G22275" s="13"/>
      <c r="AL22275" s="13"/>
    </row>
    <row r="22276" spans="4:38" x14ac:dyDescent="0.3">
      <c r="D22276" s="1"/>
      <c r="G22276" s="13"/>
      <c r="AL22276" s="13"/>
    </row>
    <row r="22277" spans="4:38" x14ac:dyDescent="0.3">
      <c r="D22277" s="1"/>
      <c r="G22277" s="13"/>
      <c r="AL22277" s="13"/>
    </row>
    <row r="22278" spans="4:38" x14ac:dyDescent="0.3">
      <c r="D22278" s="1"/>
      <c r="G22278" s="13"/>
      <c r="AL22278" s="13"/>
    </row>
    <row r="22279" spans="4:38" x14ac:dyDescent="0.3">
      <c r="D22279" s="1"/>
      <c r="G22279" s="13"/>
      <c r="AL22279" s="13"/>
    </row>
    <row r="22280" spans="4:38" x14ac:dyDescent="0.3">
      <c r="D22280" s="1"/>
      <c r="G22280" s="13"/>
      <c r="AL22280" s="13"/>
    </row>
    <row r="22281" spans="4:38" x14ac:dyDescent="0.3">
      <c r="D22281" s="1"/>
      <c r="G22281" s="13"/>
      <c r="AL22281" s="13"/>
    </row>
    <row r="22282" spans="4:38" x14ac:dyDescent="0.3">
      <c r="D22282" s="1"/>
      <c r="G22282" s="13"/>
      <c r="AL22282" s="13"/>
    </row>
    <row r="22283" spans="4:38" x14ac:dyDescent="0.3">
      <c r="D22283" s="1"/>
      <c r="G22283" s="13"/>
      <c r="AL22283" s="13"/>
    </row>
    <row r="22284" spans="4:38" x14ac:dyDescent="0.3">
      <c r="D22284" s="1"/>
      <c r="G22284" s="13"/>
      <c r="AL22284" s="13"/>
    </row>
    <row r="22285" spans="4:38" x14ac:dyDescent="0.3">
      <c r="D22285" s="1"/>
      <c r="G22285" s="13"/>
      <c r="AL22285" s="13"/>
    </row>
    <row r="22286" spans="4:38" x14ac:dyDescent="0.3">
      <c r="D22286" s="1"/>
      <c r="G22286" s="13"/>
      <c r="AL22286" s="13"/>
    </row>
    <row r="22287" spans="4:38" x14ac:dyDescent="0.3">
      <c r="D22287" s="1"/>
      <c r="G22287" s="13"/>
      <c r="AL22287" s="13"/>
    </row>
    <row r="22288" spans="4:38" x14ac:dyDescent="0.3">
      <c r="D22288" s="1"/>
      <c r="G22288" s="13"/>
      <c r="AL22288" s="13"/>
    </row>
    <row r="22289" spans="4:38" x14ac:dyDescent="0.3">
      <c r="D22289" s="1"/>
      <c r="G22289" s="13"/>
      <c r="AL22289" s="13"/>
    </row>
    <row r="22290" spans="4:38" x14ac:dyDescent="0.3">
      <c r="D22290" s="1"/>
      <c r="G22290" s="13"/>
      <c r="AL22290" s="13"/>
    </row>
    <row r="22291" spans="4:38" x14ac:dyDescent="0.3">
      <c r="D22291" s="1"/>
      <c r="G22291" s="13"/>
      <c r="AL22291" s="13"/>
    </row>
    <row r="22292" spans="4:38" x14ac:dyDescent="0.3">
      <c r="D22292" s="1"/>
      <c r="G22292" s="13"/>
      <c r="AL22292" s="13"/>
    </row>
    <row r="22293" spans="4:38" x14ac:dyDescent="0.3">
      <c r="D22293" s="1"/>
      <c r="G22293" s="13"/>
      <c r="AL22293" s="13"/>
    </row>
    <row r="22294" spans="4:38" x14ac:dyDescent="0.3">
      <c r="D22294" s="1"/>
      <c r="G22294" s="13"/>
      <c r="AL22294" s="13"/>
    </row>
    <row r="22295" spans="4:38" x14ac:dyDescent="0.3">
      <c r="D22295" s="1"/>
      <c r="G22295" s="13"/>
      <c r="AL22295" s="13"/>
    </row>
    <row r="22296" spans="4:38" x14ac:dyDescent="0.3">
      <c r="D22296" s="1"/>
      <c r="G22296" s="13"/>
      <c r="AL22296" s="13"/>
    </row>
    <row r="22297" spans="4:38" x14ac:dyDescent="0.3">
      <c r="D22297" s="1"/>
      <c r="G22297" s="13"/>
      <c r="AL22297" s="13"/>
    </row>
    <row r="22298" spans="4:38" x14ac:dyDescent="0.3">
      <c r="D22298" s="1"/>
      <c r="G22298" s="13"/>
      <c r="AL22298" s="13"/>
    </row>
    <row r="22299" spans="4:38" x14ac:dyDescent="0.3">
      <c r="D22299" s="1"/>
      <c r="G22299" s="13"/>
      <c r="AL22299" s="13"/>
    </row>
    <row r="22300" spans="4:38" x14ac:dyDescent="0.3">
      <c r="D22300" s="1"/>
      <c r="G22300" s="13"/>
      <c r="AL22300" s="13"/>
    </row>
    <row r="22301" spans="4:38" x14ac:dyDescent="0.3">
      <c r="D22301" s="1"/>
      <c r="G22301" s="13"/>
      <c r="AL22301" s="13"/>
    </row>
    <row r="22302" spans="4:38" x14ac:dyDescent="0.3">
      <c r="D22302" s="1"/>
      <c r="G22302" s="13"/>
      <c r="AL22302" s="13"/>
    </row>
    <row r="22303" spans="4:38" x14ac:dyDescent="0.3">
      <c r="D22303" s="1"/>
      <c r="G22303" s="13"/>
      <c r="AL22303" s="13"/>
    </row>
    <row r="22304" spans="4:38" x14ac:dyDescent="0.3">
      <c r="D22304" s="1"/>
      <c r="G22304" s="13"/>
      <c r="AL22304" s="13"/>
    </row>
    <row r="22305" spans="4:38" x14ac:dyDescent="0.3">
      <c r="D22305" s="1"/>
      <c r="G22305" s="13"/>
      <c r="AL22305" s="13"/>
    </row>
    <row r="22306" spans="4:38" x14ac:dyDescent="0.3">
      <c r="D22306" s="1"/>
      <c r="G22306" s="13"/>
      <c r="AL22306" s="13"/>
    </row>
    <row r="22307" spans="4:38" x14ac:dyDescent="0.3">
      <c r="D22307" s="1"/>
      <c r="G22307" s="13"/>
      <c r="AL22307" s="13"/>
    </row>
    <row r="22308" spans="4:38" x14ac:dyDescent="0.3">
      <c r="D22308" s="1"/>
      <c r="G22308" s="13"/>
      <c r="AL22308" s="13"/>
    </row>
    <row r="22309" spans="4:38" x14ac:dyDescent="0.3">
      <c r="D22309" s="1"/>
      <c r="G22309" s="13"/>
      <c r="AL22309" s="13"/>
    </row>
    <row r="22310" spans="4:38" x14ac:dyDescent="0.3">
      <c r="D22310" s="1"/>
      <c r="G22310" s="13"/>
      <c r="AL22310" s="13"/>
    </row>
    <row r="22311" spans="4:38" x14ac:dyDescent="0.3">
      <c r="D22311" s="1"/>
      <c r="G22311" s="13"/>
      <c r="AL22311" s="13"/>
    </row>
    <row r="22312" spans="4:38" x14ac:dyDescent="0.3">
      <c r="D22312" s="1"/>
      <c r="G22312" s="13"/>
      <c r="AL22312" s="13"/>
    </row>
    <row r="22313" spans="4:38" x14ac:dyDescent="0.3">
      <c r="D22313" s="1"/>
      <c r="G22313" s="13"/>
      <c r="AL22313" s="13"/>
    </row>
    <row r="22314" spans="4:38" x14ac:dyDescent="0.3">
      <c r="D22314" s="1"/>
      <c r="G22314" s="13"/>
      <c r="AL22314" s="13"/>
    </row>
    <row r="22315" spans="4:38" x14ac:dyDescent="0.3">
      <c r="D22315" s="1"/>
      <c r="G22315" s="13"/>
      <c r="AL22315" s="13"/>
    </row>
    <row r="22316" spans="4:38" x14ac:dyDescent="0.3">
      <c r="D22316" s="1"/>
      <c r="G22316" s="13"/>
      <c r="AL22316" s="13"/>
    </row>
    <row r="22317" spans="4:38" x14ac:dyDescent="0.3">
      <c r="D22317" s="1"/>
      <c r="G22317" s="13"/>
      <c r="AL22317" s="13"/>
    </row>
    <row r="22318" spans="4:38" x14ac:dyDescent="0.3">
      <c r="D22318" s="1"/>
      <c r="G22318" s="13"/>
      <c r="AL22318" s="13"/>
    </row>
    <row r="22319" spans="4:38" x14ac:dyDescent="0.3">
      <c r="D22319" s="1"/>
      <c r="G22319" s="13"/>
      <c r="AL22319" s="13"/>
    </row>
    <row r="22320" spans="4:38" x14ac:dyDescent="0.3">
      <c r="D22320" s="1"/>
      <c r="G22320" s="13"/>
      <c r="AL22320" s="13"/>
    </row>
    <row r="22321" spans="4:38" x14ac:dyDescent="0.3">
      <c r="D22321" s="1"/>
      <c r="G22321" s="13"/>
      <c r="AL22321" s="13"/>
    </row>
    <row r="22322" spans="4:38" x14ac:dyDescent="0.3">
      <c r="D22322" s="1"/>
      <c r="G22322" s="13"/>
      <c r="AL22322" s="13"/>
    </row>
    <row r="22323" spans="4:38" x14ac:dyDescent="0.3">
      <c r="D22323" s="1"/>
      <c r="G22323" s="13"/>
      <c r="AL22323" s="13"/>
    </row>
    <row r="22324" spans="4:38" x14ac:dyDescent="0.3">
      <c r="D22324" s="1"/>
      <c r="G22324" s="13"/>
      <c r="AL22324" s="13"/>
    </row>
    <row r="22325" spans="4:38" x14ac:dyDescent="0.3">
      <c r="D22325" s="1"/>
      <c r="G22325" s="13"/>
      <c r="AL22325" s="13"/>
    </row>
    <row r="22326" spans="4:38" x14ac:dyDescent="0.3">
      <c r="D22326" s="1"/>
      <c r="G22326" s="13"/>
      <c r="AL22326" s="13"/>
    </row>
    <row r="22327" spans="4:38" x14ac:dyDescent="0.3">
      <c r="D22327" s="1"/>
      <c r="G22327" s="13"/>
      <c r="AL22327" s="13"/>
    </row>
    <row r="22328" spans="4:38" x14ac:dyDescent="0.3">
      <c r="D22328" s="1"/>
      <c r="G22328" s="13"/>
      <c r="AL22328" s="13"/>
    </row>
    <row r="22329" spans="4:38" x14ac:dyDescent="0.3">
      <c r="D22329" s="1"/>
      <c r="G22329" s="13"/>
      <c r="AL22329" s="13"/>
    </row>
    <row r="22330" spans="4:38" x14ac:dyDescent="0.3">
      <c r="D22330" s="1"/>
      <c r="G22330" s="13"/>
      <c r="AL22330" s="13"/>
    </row>
    <row r="22331" spans="4:38" x14ac:dyDescent="0.3">
      <c r="D22331" s="1"/>
      <c r="G22331" s="13"/>
      <c r="AL22331" s="13"/>
    </row>
    <row r="22332" spans="4:38" x14ac:dyDescent="0.3">
      <c r="D22332" s="1"/>
      <c r="G22332" s="13"/>
      <c r="AL22332" s="13"/>
    </row>
    <row r="22333" spans="4:38" x14ac:dyDescent="0.3">
      <c r="D22333" s="1"/>
      <c r="G22333" s="13"/>
      <c r="AL22333" s="13"/>
    </row>
    <row r="22334" spans="4:38" x14ac:dyDescent="0.3">
      <c r="D22334" s="1"/>
      <c r="G22334" s="13"/>
      <c r="AL22334" s="13"/>
    </row>
    <row r="22335" spans="4:38" x14ac:dyDescent="0.3">
      <c r="D22335" s="1"/>
      <c r="G22335" s="13"/>
      <c r="AL22335" s="13"/>
    </row>
    <row r="22336" spans="4:38" x14ac:dyDescent="0.3">
      <c r="D22336" s="1"/>
      <c r="G22336" s="13"/>
      <c r="AL22336" s="13"/>
    </row>
    <row r="22337" spans="4:38" x14ac:dyDescent="0.3">
      <c r="D22337" s="1"/>
      <c r="G22337" s="13"/>
      <c r="AL22337" s="13"/>
    </row>
    <row r="22338" spans="4:38" x14ac:dyDescent="0.3">
      <c r="D22338" s="1"/>
      <c r="G22338" s="13"/>
      <c r="AL22338" s="13"/>
    </row>
    <row r="22339" spans="4:38" x14ac:dyDescent="0.3">
      <c r="D22339" s="1"/>
      <c r="G22339" s="13"/>
      <c r="AL22339" s="13"/>
    </row>
    <row r="22340" spans="4:38" x14ac:dyDescent="0.3">
      <c r="D22340" s="1"/>
      <c r="G22340" s="13"/>
      <c r="AL22340" s="13"/>
    </row>
    <row r="22341" spans="4:38" x14ac:dyDescent="0.3">
      <c r="D22341" s="1"/>
      <c r="G22341" s="13"/>
      <c r="AL22341" s="13"/>
    </row>
    <row r="22342" spans="4:38" x14ac:dyDescent="0.3">
      <c r="D22342" s="1"/>
      <c r="G22342" s="13"/>
      <c r="AL22342" s="13"/>
    </row>
    <row r="22343" spans="4:38" x14ac:dyDescent="0.3">
      <c r="D22343" s="1"/>
      <c r="G22343" s="13"/>
      <c r="AL22343" s="13"/>
    </row>
    <row r="22344" spans="4:38" x14ac:dyDescent="0.3">
      <c r="D22344" s="1"/>
      <c r="G22344" s="13"/>
      <c r="AL22344" s="13"/>
    </row>
    <row r="22345" spans="4:38" x14ac:dyDescent="0.3">
      <c r="D22345" s="1"/>
      <c r="G22345" s="13"/>
      <c r="AL22345" s="13"/>
    </row>
    <row r="22346" spans="4:38" x14ac:dyDescent="0.3">
      <c r="D22346" s="1"/>
      <c r="G22346" s="13"/>
      <c r="AL22346" s="13"/>
    </row>
    <row r="22347" spans="4:38" x14ac:dyDescent="0.3">
      <c r="D22347" s="1"/>
      <c r="G22347" s="13"/>
      <c r="AL22347" s="13"/>
    </row>
    <row r="22348" spans="4:38" x14ac:dyDescent="0.3">
      <c r="D22348" s="1"/>
      <c r="G22348" s="13"/>
      <c r="AL22348" s="13"/>
    </row>
    <row r="22349" spans="4:38" x14ac:dyDescent="0.3">
      <c r="D22349" s="1"/>
      <c r="G22349" s="13"/>
      <c r="AL22349" s="13"/>
    </row>
    <row r="22350" spans="4:38" x14ac:dyDescent="0.3">
      <c r="D22350" s="1"/>
      <c r="G22350" s="13"/>
      <c r="AL22350" s="13"/>
    </row>
    <row r="22351" spans="4:38" x14ac:dyDescent="0.3">
      <c r="D22351" s="1"/>
      <c r="G22351" s="13"/>
      <c r="AL22351" s="13"/>
    </row>
    <row r="22352" spans="4:38" x14ac:dyDescent="0.3">
      <c r="D22352" s="1"/>
      <c r="G22352" s="13"/>
      <c r="AL22352" s="13"/>
    </row>
    <row r="22353" spans="4:38" x14ac:dyDescent="0.3">
      <c r="D22353" s="1"/>
      <c r="G22353" s="13"/>
      <c r="AL22353" s="13"/>
    </row>
    <row r="22354" spans="4:38" x14ac:dyDescent="0.3">
      <c r="D22354" s="1"/>
      <c r="G22354" s="13"/>
      <c r="AL22354" s="13"/>
    </row>
    <row r="22355" spans="4:38" x14ac:dyDescent="0.3">
      <c r="D22355" s="1"/>
      <c r="G22355" s="13"/>
      <c r="AL22355" s="13"/>
    </row>
    <row r="22356" spans="4:38" x14ac:dyDescent="0.3">
      <c r="D22356" s="1"/>
      <c r="G22356" s="13"/>
      <c r="AL22356" s="13"/>
    </row>
    <row r="22357" spans="4:38" x14ac:dyDescent="0.3">
      <c r="D22357" s="1"/>
      <c r="G22357" s="13"/>
      <c r="AL22357" s="13"/>
    </row>
    <row r="22358" spans="4:38" x14ac:dyDescent="0.3">
      <c r="D22358" s="1"/>
      <c r="G22358" s="13"/>
      <c r="AL22358" s="13"/>
    </row>
    <row r="22359" spans="4:38" x14ac:dyDescent="0.3">
      <c r="D22359" s="1"/>
      <c r="G22359" s="13"/>
      <c r="AL22359" s="13"/>
    </row>
    <row r="22360" spans="4:38" x14ac:dyDescent="0.3">
      <c r="D22360" s="1"/>
      <c r="G22360" s="13"/>
      <c r="AL22360" s="13"/>
    </row>
    <row r="22361" spans="4:38" x14ac:dyDescent="0.3">
      <c r="D22361" s="1"/>
      <c r="G22361" s="13"/>
      <c r="AL22361" s="13"/>
    </row>
    <row r="22362" spans="4:38" x14ac:dyDescent="0.3">
      <c r="G22362" s="13"/>
      <c r="AL22362" s="13"/>
    </row>
    <row r="22363" spans="4:38" x14ac:dyDescent="0.3">
      <c r="D22363" s="1"/>
      <c r="G22363" s="13"/>
      <c r="AL22363" s="13"/>
    </row>
    <row r="22364" spans="4:38" x14ac:dyDescent="0.3">
      <c r="D22364" s="1"/>
      <c r="G22364" s="13"/>
      <c r="AL22364" s="13"/>
    </row>
    <row r="22365" spans="4:38" x14ac:dyDescent="0.3">
      <c r="D22365" s="1"/>
      <c r="G22365" s="13"/>
      <c r="AL22365" s="13"/>
    </row>
    <row r="22366" spans="4:38" x14ac:dyDescent="0.3">
      <c r="D22366" s="1"/>
      <c r="G22366" s="13"/>
      <c r="AL22366" s="13"/>
    </row>
    <row r="22367" spans="4:38" x14ac:dyDescent="0.3">
      <c r="D22367" s="1"/>
      <c r="G22367" s="13"/>
      <c r="AL22367" s="13"/>
    </row>
    <row r="22368" spans="4:38" x14ac:dyDescent="0.3">
      <c r="D22368" s="1"/>
      <c r="G22368" s="13"/>
      <c r="AL22368" s="13"/>
    </row>
    <row r="22369" spans="4:38" x14ac:dyDescent="0.3">
      <c r="D22369" s="1"/>
      <c r="G22369" s="13"/>
      <c r="AL22369" s="13"/>
    </row>
    <row r="22370" spans="4:38" x14ac:dyDescent="0.3">
      <c r="D22370" s="1"/>
      <c r="G22370" s="13"/>
      <c r="AL22370" s="13"/>
    </row>
    <row r="22371" spans="4:38" x14ac:dyDescent="0.3">
      <c r="D22371" s="1"/>
      <c r="G22371" s="13"/>
      <c r="AL22371" s="13"/>
    </row>
    <row r="22372" spans="4:38" x14ac:dyDescent="0.3">
      <c r="D22372" s="1"/>
      <c r="G22372" s="13"/>
      <c r="AL22372" s="13"/>
    </row>
    <row r="22373" spans="4:38" x14ac:dyDescent="0.3">
      <c r="D22373" s="1"/>
      <c r="G22373" s="13"/>
      <c r="AL22373" s="13"/>
    </row>
    <row r="22374" spans="4:38" x14ac:dyDescent="0.3">
      <c r="D22374" s="1"/>
      <c r="G22374" s="13"/>
      <c r="AL22374" s="13"/>
    </row>
    <row r="22375" spans="4:38" x14ac:dyDescent="0.3">
      <c r="D22375" s="1"/>
      <c r="G22375" s="13"/>
      <c r="AL22375" s="13"/>
    </row>
    <row r="22376" spans="4:38" x14ac:dyDescent="0.3">
      <c r="D22376" s="1"/>
      <c r="G22376" s="13"/>
      <c r="AL22376" s="13"/>
    </row>
    <row r="22377" spans="4:38" x14ac:dyDescent="0.3">
      <c r="D22377" s="1"/>
      <c r="G22377" s="13"/>
      <c r="AL22377" s="13"/>
    </row>
    <row r="22378" spans="4:38" x14ac:dyDescent="0.3">
      <c r="D22378" s="1"/>
      <c r="G22378" s="13"/>
      <c r="AL22378" s="13"/>
    </row>
    <row r="22379" spans="4:38" x14ac:dyDescent="0.3">
      <c r="D22379" s="1"/>
      <c r="G22379" s="13"/>
      <c r="AL22379" s="13"/>
    </row>
    <row r="22380" spans="4:38" x14ac:dyDescent="0.3">
      <c r="D22380" s="1"/>
      <c r="G22380" s="13"/>
      <c r="AL22380" s="13"/>
    </row>
    <row r="22381" spans="4:38" x14ac:dyDescent="0.3">
      <c r="D22381" s="1"/>
      <c r="G22381" s="13"/>
      <c r="AL22381" s="13"/>
    </row>
    <row r="22382" spans="4:38" x14ac:dyDescent="0.3">
      <c r="D22382" s="1"/>
      <c r="G22382" s="13"/>
      <c r="AL22382" s="13"/>
    </row>
    <row r="22383" spans="4:38" x14ac:dyDescent="0.3">
      <c r="D22383" s="1"/>
      <c r="G22383" s="13"/>
      <c r="AL22383" s="13"/>
    </row>
    <row r="22384" spans="4:38" x14ac:dyDescent="0.3">
      <c r="D22384" s="1"/>
      <c r="G22384" s="13"/>
      <c r="AL22384" s="13"/>
    </row>
    <row r="22385" spans="4:38" x14ac:dyDescent="0.3">
      <c r="D22385" s="1"/>
      <c r="G22385" s="13"/>
      <c r="AL22385" s="13"/>
    </row>
    <row r="22386" spans="4:38" x14ac:dyDescent="0.3">
      <c r="D22386" s="1"/>
      <c r="G22386" s="13"/>
      <c r="AL22386" s="13"/>
    </row>
    <row r="22387" spans="4:38" x14ac:dyDescent="0.3">
      <c r="D22387" s="1"/>
      <c r="G22387" s="13"/>
      <c r="AL22387" s="13"/>
    </row>
    <row r="22388" spans="4:38" x14ac:dyDescent="0.3">
      <c r="D22388" s="1"/>
      <c r="G22388" s="13"/>
      <c r="AL22388" s="13"/>
    </row>
    <row r="22389" spans="4:38" x14ac:dyDescent="0.3">
      <c r="D22389" s="1"/>
      <c r="G22389" s="13"/>
      <c r="AL22389" s="13"/>
    </row>
    <row r="22390" spans="4:38" x14ac:dyDescent="0.3">
      <c r="D22390" s="1"/>
      <c r="G22390" s="13"/>
      <c r="AL22390" s="13"/>
    </row>
    <row r="22391" spans="4:38" x14ac:dyDescent="0.3">
      <c r="D22391" s="1"/>
      <c r="G22391" s="13"/>
      <c r="AL22391" s="13"/>
    </row>
    <row r="22392" spans="4:38" x14ac:dyDescent="0.3">
      <c r="D22392" s="1"/>
      <c r="G22392" s="13"/>
      <c r="AL22392" s="13"/>
    </row>
    <row r="22393" spans="4:38" x14ac:dyDescent="0.3">
      <c r="D22393" s="1"/>
      <c r="G22393" s="13"/>
      <c r="AL22393" s="13"/>
    </row>
    <row r="22394" spans="4:38" x14ac:dyDescent="0.3">
      <c r="D22394" s="1"/>
      <c r="G22394" s="13"/>
      <c r="AL22394" s="13"/>
    </row>
    <row r="22395" spans="4:38" x14ac:dyDescent="0.3">
      <c r="D22395" s="1"/>
      <c r="G22395" s="13"/>
      <c r="AL22395" s="13"/>
    </row>
    <row r="22396" spans="4:38" x14ac:dyDescent="0.3">
      <c r="D22396" s="1"/>
      <c r="G22396" s="13"/>
      <c r="AL22396" s="13"/>
    </row>
    <row r="22397" spans="4:38" x14ac:dyDescent="0.3">
      <c r="D22397" s="1"/>
      <c r="G22397" s="13"/>
      <c r="AL22397" s="13"/>
    </row>
    <row r="22398" spans="4:38" x14ac:dyDescent="0.3">
      <c r="D22398" s="1"/>
      <c r="G22398" s="13"/>
      <c r="AL22398" s="13"/>
    </row>
    <row r="22399" spans="4:38" x14ac:dyDescent="0.3">
      <c r="D22399" s="1"/>
      <c r="G22399" s="13"/>
      <c r="AL22399" s="13"/>
    </row>
    <row r="22400" spans="4:38" x14ac:dyDescent="0.3">
      <c r="D22400" s="1"/>
      <c r="G22400" s="13"/>
      <c r="AL22400" s="13"/>
    </row>
    <row r="22401" spans="4:38" x14ac:dyDescent="0.3">
      <c r="D22401" s="1"/>
      <c r="G22401" s="13"/>
      <c r="AL22401" s="13"/>
    </row>
    <row r="22402" spans="4:38" x14ac:dyDescent="0.3">
      <c r="D22402" s="1"/>
      <c r="G22402" s="13"/>
      <c r="AL22402" s="13"/>
    </row>
    <row r="22403" spans="4:38" x14ac:dyDescent="0.3">
      <c r="D22403" s="1"/>
      <c r="G22403" s="13"/>
      <c r="AL22403" s="13"/>
    </row>
    <row r="22404" spans="4:38" x14ac:dyDescent="0.3">
      <c r="D22404" s="1"/>
      <c r="G22404" s="13"/>
      <c r="AL22404" s="13"/>
    </row>
    <row r="22405" spans="4:38" x14ac:dyDescent="0.3">
      <c r="D22405" s="1"/>
      <c r="G22405" s="13"/>
      <c r="AL22405" s="13"/>
    </row>
    <row r="22406" spans="4:38" x14ac:dyDescent="0.3">
      <c r="D22406" s="1"/>
      <c r="G22406" s="13"/>
      <c r="AL22406" s="13"/>
    </row>
    <row r="22407" spans="4:38" x14ac:dyDescent="0.3">
      <c r="D22407" s="1"/>
      <c r="G22407" s="13"/>
      <c r="AL22407" s="13"/>
    </row>
    <row r="22408" spans="4:38" x14ac:dyDescent="0.3">
      <c r="D22408" s="1"/>
      <c r="G22408" s="13"/>
      <c r="AL22408" s="13"/>
    </row>
    <row r="22409" spans="4:38" x14ac:dyDescent="0.3">
      <c r="D22409" s="1"/>
      <c r="G22409" s="13"/>
      <c r="AL22409" s="13"/>
    </row>
    <row r="22410" spans="4:38" x14ac:dyDescent="0.3">
      <c r="D22410" s="1"/>
      <c r="G22410" s="13"/>
      <c r="AL22410" s="13"/>
    </row>
    <row r="22411" spans="4:38" x14ac:dyDescent="0.3">
      <c r="D22411" s="1"/>
      <c r="G22411" s="13"/>
      <c r="AL22411" s="13"/>
    </row>
    <row r="22412" spans="4:38" x14ac:dyDescent="0.3">
      <c r="D22412" s="1"/>
      <c r="G22412" s="13"/>
      <c r="AL22412" s="13"/>
    </row>
    <row r="22413" spans="4:38" x14ac:dyDescent="0.3">
      <c r="D22413" s="1"/>
      <c r="G22413" s="13"/>
      <c r="AL22413" s="13"/>
    </row>
    <row r="22414" spans="4:38" x14ac:dyDescent="0.3">
      <c r="D22414" s="1"/>
      <c r="G22414" s="13"/>
      <c r="AL22414" s="13"/>
    </row>
    <row r="22415" spans="4:38" x14ac:dyDescent="0.3">
      <c r="D22415" s="1"/>
      <c r="G22415" s="13"/>
      <c r="AL22415" s="13"/>
    </row>
    <row r="22416" spans="4:38" x14ac:dyDescent="0.3">
      <c r="D22416" s="1"/>
      <c r="G22416" s="13"/>
      <c r="AL22416" s="13"/>
    </row>
    <row r="22417" spans="4:38" x14ac:dyDescent="0.3">
      <c r="D22417" s="1"/>
      <c r="G22417" s="13"/>
      <c r="AL22417" s="13"/>
    </row>
    <row r="22418" spans="4:38" x14ac:dyDescent="0.3">
      <c r="D22418" s="1"/>
      <c r="G22418" s="13"/>
      <c r="AL22418" s="13"/>
    </row>
    <row r="22419" spans="4:38" x14ac:dyDescent="0.3">
      <c r="D22419" s="1"/>
      <c r="G22419" s="13"/>
      <c r="AL22419" s="13"/>
    </row>
    <row r="22420" spans="4:38" x14ac:dyDescent="0.3">
      <c r="D22420" s="1"/>
      <c r="G22420" s="13"/>
      <c r="AL22420" s="13"/>
    </row>
    <row r="22421" spans="4:38" x14ac:dyDescent="0.3">
      <c r="D22421" s="1"/>
      <c r="G22421" s="13"/>
      <c r="AL22421" s="13"/>
    </row>
    <row r="22422" spans="4:38" x14ac:dyDescent="0.3">
      <c r="D22422" s="1"/>
      <c r="G22422" s="13"/>
      <c r="AL22422" s="13"/>
    </row>
    <row r="22423" spans="4:38" x14ac:dyDescent="0.3">
      <c r="D22423" s="1"/>
      <c r="G22423" s="13"/>
      <c r="AL22423" s="13"/>
    </row>
    <row r="22424" spans="4:38" x14ac:dyDescent="0.3">
      <c r="D22424" s="1"/>
      <c r="G22424" s="13"/>
      <c r="AL22424" s="13"/>
    </row>
    <row r="22425" spans="4:38" x14ac:dyDescent="0.3">
      <c r="D22425" s="1"/>
      <c r="G22425" s="13"/>
      <c r="AL22425" s="13"/>
    </row>
    <row r="22426" spans="4:38" x14ac:dyDescent="0.3">
      <c r="D22426" s="1"/>
      <c r="G22426" s="13"/>
      <c r="AL22426" s="13"/>
    </row>
    <row r="22427" spans="4:38" x14ac:dyDescent="0.3">
      <c r="D22427" s="1"/>
      <c r="G22427" s="13"/>
      <c r="AL22427" s="13"/>
    </row>
    <row r="22428" spans="4:38" x14ac:dyDescent="0.3">
      <c r="D22428" s="1"/>
      <c r="G22428" s="13"/>
      <c r="AL22428" s="13"/>
    </row>
    <row r="22429" spans="4:38" x14ac:dyDescent="0.3">
      <c r="D22429" s="1"/>
      <c r="G22429" s="13"/>
      <c r="AL22429" s="13"/>
    </row>
    <row r="22430" spans="4:38" x14ac:dyDescent="0.3">
      <c r="D22430" s="1"/>
      <c r="G22430" s="13"/>
      <c r="AL22430" s="13"/>
    </row>
    <row r="22431" spans="4:38" x14ac:dyDescent="0.3">
      <c r="D22431" s="1"/>
      <c r="G22431" s="13"/>
      <c r="AL22431" s="13"/>
    </row>
    <row r="22432" spans="4:38" x14ac:dyDescent="0.3">
      <c r="D22432" s="1"/>
      <c r="G22432" s="13"/>
      <c r="AL22432" s="13"/>
    </row>
    <row r="22433" spans="4:38" x14ac:dyDescent="0.3">
      <c r="D22433" s="1"/>
      <c r="G22433" s="13"/>
      <c r="AL22433" s="13"/>
    </row>
    <row r="22434" spans="4:38" x14ac:dyDescent="0.3">
      <c r="D22434" s="1"/>
      <c r="G22434" s="13"/>
      <c r="AL22434" s="13"/>
    </row>
    <row r="22435" spans="4:38" x14ac:dyDescent="0.3">
      <c r="D22435" s="1"/>
      <c r="G22435" s="13"/>
      <c r="AL22435" s="13"/>
    </row>
    <row r="22436" spans="4:38" x14ac:dyDescent="0.3">
      <c r="D22436" s="1"/>
      <c r="G22436" s="13"/>
      <c r="AL22436" s="13"/>
    </row>
    <row r="22437" spans="4:38" x14ac:dyDescent="0.3">
      <c r="D22437" s="1"/>
      <c r="G22437" s="13"/>
      <c r="AL22437" s="13"/>
    </row>
    <row r="22438" spans="4:38" x14ac:dyDescent="0.3">
      <c r="D22438" s="1"/>
      <c r="G22438" s="13"/>
      <c r="AL22438" s="13"/>
    </row>
    <row r="22439" spans="4:38" x14ac:dyDescent="0.3">
      <c r="D22439" s="1"/>
      <c r="G22439" s="13"/>
      <c r="AL22439" s="13"/>
    </row>
    <row r="22440" spans="4:38" x14ac:dyDescent="0.3">
      <c r="D22440" s="1"/>
      <c r="G22440" s="13"/>
      <c r="AL22440" s="13"/>
    </row>
    <row r="22441" spans="4:38" x14ac:dyDescent="0.3">
      <c r="D22441" s="1"/>
      <c r="G22441" s="13"/>
      <c r="AL22441" s="13"/>
    </row>
    <row r="22442" spans="4:38" x14ac:dyDescent="0.3">
      <c r="D22442" s="1"/>
      <c r="G22442" s="13"/>
      <c r="AL22442" s="13"/>
    </row>
    <row r="22443" spans="4:38" x14ac:dyDescent="0.3">
      <c r="D22443" s="1"/>
      <c r="G22443" s="13"/>
      <c r="AL22443" s="13"/>
    </row>
    <row r="22444" spans="4:38" x14ac:dyDescent="0.3">
      <c r="D22444" s="1"/>
      <c r="G22444" s="13"/>
      <c r="AL22444" s="13"/>
    </row>
    <row r="22445" spans="4:38" x14ac:dyDescent="0.3">
      <c r="D22445" s="1"/>
      <c r="G22445" s="13"/>
      <c r="AL22445" s="13"/>
    </row>
    <row r="22446" spans="4:38" x14ac:dyDescent="0.3">
      <c r="D22446" s="1"/>
      <c r="G22446" s="13"/>
      <c r="AL22446" s="13"/>
    </row>
    <row r="22447" spans="4:38" x14ac:dyDescent="0.3">
      <c r="D22447" s="1"/>
      <c r="G22447" s="13"/>
      <c r="AL22447" s="13"/>
    </row>
    <row r="22448" spans="4:38" x14ac:dyDescent="0.3">
      <c r="D22448" s="1"/>
      <c r="G22448" s="13"/>
      <c r="AL22448" s="13"/>
    </row>
    <row r="22449" spans="4:38" x14ac:dyDescent="0.3">
      <c r="D22449" s="1"/>
      <c r="G22449" s="13"/>
      <c r="AL22449" s="13"/>
    </row>
    <row r="22450" spans="4:38" x14ac:dyDescent="0.3">
      <c r="D22450" s="1"/>
      <c r="G22450" s="13"/>
      <c r="AL22450" s="13"/>
    </row>
    <row r="22451" spans="4:38" x14ac:dyDescent="0.3">
      <c r="D22451" s="1"/>
      <c r="G22451" s="13"/>
      <c r="AL22451" s="13"/>
    </row>
    <row r="22452" spans="4:38" x14ac:dyDescent="0.3">
      <c r="D22452" s="1"/>
      <c r="G22452" s="13"/>
      <c r="AL22452" s="13"/>
    </row>
    <row r="22453" spans="4:38" x14ac:dyDescent="0.3">
      <c r="D22453" s="1"/>
      <c r="G22453" s="13"/>
      <c r="AL22453" s="13"/>
    </row>
    <row r="22454" spans="4:38" x14ac:dyDescent="0.3">
      <c r="D22454" s="1"/>
      <c r="G22454" s="13"/>
      <c r="AL22454" s="13"/>
    </row>
    <row r="22455" spans="4:38" x14ac:dyDescent="0.3">
      <c r="D22455" s="1"/>
      <c r="G22455" s="13"/>
      <c r="AL22455" s="13"/>
    </row>
    <row r="22456" spans="4:38" x14ac:dyDescent="0.3">
      <c r="D22456" s="1"/>
      <c r="G22456" s="13"/>
      <c r="AL22456" s="13"/>
    </row>
    <row r="22457" spans="4:38" x14ac:dyDescent="0.3">
      <c r="D22457" s="1"/>
      <c r="G22457" s="13"/>
      <c r="AL22457" s="13"/>
    </row>
    <row r="22458" spans="4:38" x14ac:dyDescent="0.3">
      <c r="D22458" s="1"/>
      <c r="G22458" s="13"/>
      <c r="AL22458" s="13"/>
    </row>
    <row r="22459" spans="4:38" x14ac:dyDescent="0.3">
      <c r="D22459" s="1"/>
      <c r="G22459" s="13"/>
      <c r="AL22459" s="13"/>
    </row>
    <row r="22460" spans="4:38" x14ac:dyDescent="0.3">
      <c r="D22460" s="1"/>
      <c r="G22460" s="13"/>
      <c r="AL22460" s="13"/>
    </row>
    <row r="22461" spans="4:38" x14ac:dyDescent="0.3">
      <c r="D22461" s="1"/>
      <c r="G22461" s="13"/>
      <c r="AL22461" s="13"/>
    </row>
    <row r="22462" spans="4:38" x14ac:dyDescent="0.3">
      <c r="D22462" s="1"/>
      <c r="G22462" s="13"/>
      <c r="AL22462" s="13"/>
    </row>
    <row r="22463" spans="4:38" x14ac:dyDescent="0.3">
      <c r="D22463" s="1"/>
      <c r="G22463" s="13"/>
      <c r="AL22463" s="13"/>
    </row>
    <row r="22464" spans="4:38" x14ac:dyDescent="0.3">
      <c r="D22464" s="1"/>
      <c r="G22464" s="13"/>
      <c r="AL22464" s="13"/>
    </row>
    <row r="22465" spans="4:38" x14ac:dyDescent="0.3">
      <c r="D22465" s="1"/>
      <c r="G22465" s="13"/>
      <c r="AL22465" s="13"/>
    </row>
    <row r="22466" spans="4:38" x14ac:dyDescent="0.3">
      <c r="D22466" s="1"/>
      <c r="G22466" s="13"/>
      <c r="AL22466" s="13"/>
    </row>
    <row r="22467" spans="4:38" x14ac:dyDescent="0.3">
      <c r="D22467" s="1"/>
      <c r="G22467" s="13"/>
      <c r="AL22467" s="13"/>
    </row>
    <row r="22468" spans="4:38" x14ac:dyDescent="0.3">
      <c r="G22468" s="13"/>
      <c r="AL22468" s="13"/>
    </row>
    <row r="22469" spans="4:38" x14ac:dyDescent="0.3">
      <c r="D22469" s="1"/>
      <c r="G22469" s="13"/>
      <c r="AL22469" s="13"/>
    </row>
    <row r="22470" spans="4:38" x14ac:dyDescent="0.3">
      <c r="D22470" s="1"/>
      <c r="G22470" s="13"/>
      <c r="AL22470" s="13"/>
    </row>
    <row r="22471" spans="4:38" x14ac:dyDescent="0.3">
      <c r="D22471" s="1"/>
      <c r="G22471" s="13"/>
      <c r="AL22471" s="13"/>
    </row>
    <row r="22472" spans="4:38" x14ac:dyDescent="0.3">
      <c r="D22472" s="1"/>
      <c r="G22472" s="13"/>
      <c r="AL22472" s="13"/>
    </row>
    <row r="22473" spans="4:38" x14ac:dyDescent="0.3">
      <c r="D22473" s="1"/>
      <c r="G22473" s="13"/>
      <c r="AL22473" s="13"/>
    </row>
    <row r="22474" spans="4:38" x14ac:dyDescent="0.3">
      <c r="D22474" s="1"/>
      <c r="G22474" s="13"/>
      <c r="AL22474" s="13"/>
    </row>
    <row r="22475" spans="4:38" x14ac:dyDescent="0.3">
      <c r="D22475" s="1"/>
      <c r="G22475" s="13"/>
      <c r="AL22475" s="13"/>
    </row>
    <row r="22476" spans="4:38" x14ac:dyDescent="0.3">
      <c r="D22476" s="1"/>
      <c r="G22476" s="13"/>
      <c r="AL22476" s="13"/>
    </row>
    <row r="22477" spans="4:38" x14ac:dyDescent="0.3">
      <c r="D22477" s="1"/>
      <c r="G22477" s="13"/>
      <c r="AL22477" s="13"/>
    </row>
    <row r="22478" spans="4:38" x14ac:dyDescent="0.3">
      <c r="D22478" s="1"/>
      <c r="G22478" s="13"/>
      <c r="AL22478" s="13"/>
    </row>
    <row r="22479" spans="4:38" x14ac:dyDescent="0.3">
      <c r="D22479" s="1"/>
      <c r="G22479" s="13"/>
      <c r="AL22479" s="13"/>
    </row>
    <row r="22480" spans="4:38" x14ac:dyDescent="0.3">
      <c r="D22480" s="1"/>
      <c r="G22480" s="13"/>
      <c r="AL22480" s="13"/>
    </row>
    <row r="22481" spans="4:38" x14ac:dyDescent="0.3">
      <c r="D22481" s="1"/>
      <c r="G22481" s="13"/>
      <c r="AL22481" s="13"/>
    </row>
    <row r="22482" spans="4:38" x14ac:dyDescent="0.3">
      <c r="D22482" s="1"/>
      <c r="G22482" s="13"/>
      <c r="AL22482" s="13"/>
    </row>
    <row r="22483" spans="4:38" x14ac:dyDescent="0.3">
      <c r="D22483" s="1"/>
      <c r="G22483" s="13"/>
      <c r="AL22483" s="13"/>
    </row>
    <row r="22484" spans="4:38" x14ac:dyDescent="0.3">
      <c r="D22484" s="1"/>
      <c r="G22484" s="13"/>
      <c r="AL22484" s="13"/>
    </row>
    <row r="22485" spans="4:38" x14ac:dyDescent="0.3">
      <c r="D22485" s="1"/>
      <c r="G22485" s="13"/>
      <c r="AL22485" s="13"/>
    </row>
    <row r="22486" spans="4:38" x14ac:dyDescent="0.3">
      <c r="D22486" s="1"/>
      <c r="G22486" s="13"/>
      <c r="AL22486" s="13"/>
    </row>
    <row r="22487" spans="4:38" x14ac:dyDescent="0.3">
      <c r="D22487" s="1"/>
      <c r="G22487" s="13"/>
      <c r="AL22487" s="13"/>
    </row>
    <row r="22488" spans="4:38" x14ac:dyDescent="0.3">
      <c r="D22488" s="1"/>
      <c r="G22488" s="13"/>
      <c r="AL22488" s="13"/>
    </row>
    <row r="22489" spans="4:38" x14ac:dyDescent="0.3">
      <c r="D22489" s="1"/>
      <c r="G22489" s="13"/>
      <c r="AL22489" s="13"/>
    </row>
    <row r="22490" spans="4:38" x14ac:dyDescent="0.3">
      <c r="D22490" s="1"/>
      <c r="G22490" s="13"/>
      <c r="AL22490" s="13"/>
    </row>
    <row r="22491" spans="4:38" x14ac:dyDescent="0.3">
      <c r="D22491" s="1"/>
      <c r="G22491" s="13"/>
      <c r="AL22491" s="13"/>
    </row>
    <row r="22492" spans="4:38" x14ac:dyDescent="0.3">
      <c r="D22492" s="1"/>
      <c r="G22492" s="13"/>
      <c r="AL22492" s="13"/>
    </row>
    <row r="22493" spans="4:38" x14ac:dyDescent="0.3">
      <c r="D22493" s="1"/>
      <c r="G22493" s="13"/>
      <c r="AL22493" s="13"/>
    </row>
    <row r="22494" spans="4:38" x14ac:dyDescent="0.3">
      <c r="D22494" s="1"/>
      <c r="G22494" s="13"/>
      <c r="AL22494" s="13"/>
    </row>
    <row r="22495" spans="4:38" x14ac:dyDescent="0.3">
      <c r="D22495" s="1"/>
      <c r="G22495" s="13"/>
      <c r="AL22495" s="13"/>
    </row>
    <row r="22496" spans="4:38" x14ac:dyDescent="0.3">
      <c r="D22496" s="1"/>
      <c r="G22496" s="13"/>
      <c r="AL22496" s="13"/>
    </row>
    <row r="22497" spans="4:38" x14ac:dyDescent="0.3">
      <c r="D22497" s="1"/>
      <c r="G22497" s="13"/>
      <c r="AL22497" s="13"/>
    </row>
    <row r="22498" spans="4:38" x14ac:dyDescent="0.3">
      <c r="D22498" s="1"/>
      <c r="G22498" s="13"/>
      <c r="AL22498" s="13"/>
    </row>
    <row r="22499" spans="4:38" x14ac:dyDescent="0.3">
      <c r="D22499" s="1"/>
      <c r="G22499" s="13"/>
      <c r="AL22499" s="13"/>
    </row>
    <row r="22500" spans="4:38" x14ac:dyDescent="0.3">
      <c r="D22500" s="1"/>
      <c r="G22500" s="13"/>
      <c r="AL22500" s="13"/>
    </row>
    <row r="22501" spans="4:38" x14ac:dyDescent="0.3">
      <c r="D22501" s="1"/>
      <c r="G22501" s="13"/>
      <c r="AL22501" s="13"/>
    </row>
    <row r="22502" spans="4:38" x14ac:dyDescent="0.3">
      <c r="D22502" s="1"/>
      <c r="G22502" s="13"/>
      <c r="AL22502" s="13"/>
    </row>
    <row r="22503" spans="4:38" x14ac:dyDescent="0.3">
      <c r="D22503" s="1"/>
      <c r="G22503" s="13"/>
      <c r="AL22503" s="13"/>
    </row>
    <row r="22504" spans="4:38" x14ac:dyDescent="0.3">
      <c r="D22504" s="1"/>
      <c r="G22504" s="13"/>
      <c r="AL22504" s="13"/>
    </row>
    <row r="22505" spans="4:38" x14ac:dyDescent="0.3">
      <c r="D22505" s="1"/>
      <c r="G22505" s="13"/>
      <c r="AL22505" s="13"/>
    </row>
    <row r="22506" spans="4:38" x14ac:dyDescent="0.3">
      <c r="D22506" s="1"/>
      <c r="G22506" s="13"/>
      <c r="AL22506" s="13"/>
    </row>
    <row r="22507" spans="4:38" x14ac:dyDescent="0.3">
      <c r="D22507" s="1"/>
      <c r="G22507" s="13"/>
      <c r="AL22507" s="13"/>
    </row>
    <row r="22508" spans="4:38" x14ac:dyDescent="0.3">
      <c r="D22508" s="1"/>
      <c r="G22508" s="13"/>
      <c r="AL22508" s="13"/>
    </row>
    <row r="22509" spans="4:38" x14ac:dyDescent="0.3">
      <c r="D22509" s="1"/>
      <c r="G22509" s="13"/>
      <c r="AL22509" s="13"/>
    </row>
    <row r="22510" spans="4:38" x14ac:dyDescent="0.3">
      <c r="D22510" s="1"/>
      <c r="G22510" s="13"/>
      <c r="AL22510" s="13"/>
    </row>
    <row r="22511" spans="4:38" x14ac:dyDescent="0.3">
      <c r="D22511" s="1"/>
      <c r="G22511" s="13"/>
      <c r="AL22511" s="13"/>
    </row>
    <row r="22512" spans="4:38" x14ac:dyDescent="0.3">
      <c r="D22512" s="1"/>
      <c r="G22512" s="13"/>
      <c r="AL22512" s="13"/>
    </row>
    <row r="22513" spans="4:38" x14ac:dyDescent="0.3">
      <c r="D22513" s="1"/>
      <c r="G22513" s="13"/>
      <c r="AL22513" s="13"/>
    </row>
    <row r="22514" spans="4:38" x14ac:dyDescent="0.3">
      <c r="D22514" s="1"/>
      <c r="G22514" s="13"/>
      <c r="AL22514" s="13"/>
    </row>
    <row r="22515" spans="4:38" x14ac:dyDescent="0.3">
      <c r="D22515" s="1"/>
      <c r="G22515" s="13"/>
      <c r="AL22515" s="13"/>
    </row>
    <row r="22516" spans="4:38" x14ac:dyDescent="0.3">
      <c r="D22516" s="1"/>
      <c r="G22516" s="13"/>
      <c r="AL22516" s="13"/>
    </row>
    <row r="22517" spans="4:38" x14ac:dyDescent="0.3">
      <c r="D22517" s="1"/>
      <c r="G22517" s="13"/>
      <c r="AL22517" s="13"/>
    </row>
    <row r="22518" spans="4:38" x14ac:dyDescent="0.3">
      <c r="D22518" s="1"/>
      <c r="G22518" s="13"/>
      <c r="AL22518" s="13"/>
    </row>
    <row r="22519" spans="4:38" x14ac:dyDescent="0.3">
      <c r="D22519" s="1"/>
      <c r="G22519" s="13"/>
      <c r="AL22519" s="13"/>
    </row>
    <row r="22520" spans="4:38" x14ac:dyDescent="0.3">
      <c r="D22520" s="1"/>
      <c r="G22520" s="13"/>
      <c r="AL22520" s="13"/>
    </row>
    <row r="22521" spans="4:38" x14ac:dyDescent="0.3">
      <c r="D22521" s="1"/>
      <c r="G22521" s="13"/>
      <c r="AL22521" s="13"/>
    </row>
    <row r="22522" spans="4:38" x14ac:dyDescent="0.3">
      <c r="D22522" s="1"/>
      <c r="G22522" s="13"/>
      <c r="AL22522" s="13"/>
    </row>
    <row r="22523" spans="4:38" x14ac:dyDescent="0.3">
      <c r="D22523" s="1"/>
      <c r="G22523" s="13"/>
      <c r="AL22523" s="13"/>
    </row>
    <row r="22524" spans="4:38" x14ac:dyDescent="0.3">
      <c r="D22524" s="1"/>
      <c r="G22524" s="13"/>
      <c r="AL22524" s="13"/>
    </row>
    <row r="22525" spans="4:38" x14ac:dyDescent="0.3">
      <c r="D22525" s="1"/>
      <c r="G22525" s="13"/>
      <c r="AL22525" s="13"/>
    </row>
    <row r="22526" spans="4:38" x14ac:dyDescent="0.3">
      <c r="D22526" s="1"/>
      <c r="G22526" s="13"/>
      <c r="AL22526" s="13"/>
    </row>
    <row r="22527" spans="4:38" x14ac:dyDescent="0.3">
      <c r="D22527" s="1"/>
      <c r="G22527" s="13"/>
      <c r="AL22527" s="13"/>
    </row>
    <row r="22528" spans="4:38" x14ac:dyDescent="0.3">
      <c r="D22528" s="1"/>
      <c r="G22528" s="13"/>
      <c r="AL22528" s="13"/>
    </row>
    <row r="22529" spans="4:38" x14ac:dyDescent="0.3">
      <c r="D22529" s="1"/>
      <c r="G22529" s="13"/>
      <c r="AL22529" s="13"/>
    </row>
    <row r="22530" spans="4:38" x14ac:dyDescent="0.3">
      <c r="D22530" s="1"/>
      <c r="G22530" s="13"/>
      <c r="AL22530" s="13"/>
    </row>
    <row r="22531" spans="4:38" x14ac:dyDescent="0.3">
      <c r="D22531" s="1"/>
      <c r="G22531" s="13"/>
      <c r="AL22531" s="13"/>
    </row>
    <row r="22532" spans="4:38" x14ac:dyDescent="0.3">
      <c r="D22532" s="1"/>
      <c r="G22532" s="13"/>
      <c r="AL22532" s="13"/>
    </row>
    <row r="22533" spans="4:38" x14ac:dyDescent="0.3">
      <c r="D22533" s="1"/>
      <c r="G22533" s="13"/>
      <c r="AL22533" s="13"/>
    </row>
    <row r="22534" spans="4:38" x14ac:dyDescent="0.3">
      <c r="D22534" s="1"/>
      <c r="G22534" s="13"/>
      <c r="AL22534" s="13"/>
    </row>
    <row r="22535" spans="4:38" x14ac:dyDescent="0.3">
      <c r="D22535" s="1"/>
      <c r="G22535" s="13"/>
      <c r="AL22535" s="13"/>
    </row>
    <row r="22536" spans="4:38" x14ac:dyDescent="0.3">
      <c r="D22536" s="1"/>
      <c r="G22536" s="13"/>
      <c r="AL22536" s="13"/>
    </row>
    <row r="22537" spans="4:38" x14ac:dyDescent="0.3">
      <c r="D22537" s="1"/>
      <c r="G22537" s="13"/>
      <c r="AL22537" s="13"/>
    </row>
    <row r="22538" spans="4:38" x14ac:dyDescent="0.3">
      <c r="D22538" s="1"/>
      <c r="G22538" s="13"/>
      <c r="AL22538" s="13"/>
    </row>
    <row r="22539" spans="4:38" x14ac:dyDescent="0.3">
      <c r="D22539" s="1"/>
      <c r="G22539" s="13"/>
      <c r="AL22539" s="13"/>
    </row>
    <row r="22540" spans="4:38" x14ac:dyDescent="0.3">
      <c r="D22540" s="1"/>
      <c r="G22540" s="13"/>
      <c r="AL22540" s="13"/>
    </row>
    <row r="22541" spans="4:38" x14ac:dyDescent="0.3">
      <c r="G22541" s="13"/>
      <c r="AL22541" s="13"/>
    </row>
    <row r="22542" spans="4:38" x14ac:dyDescent="0.3">
      <c r="D22542" s="1"/>
      <c r="G22542" s="13"/>
      <c r="AL22542" s="13"/>
    </row>
    <row r="22543" spans="4:38" x14ac:dyDescent="0.3">
      <c r="D22543" s="1"/>
      <c r="G22543" s="13"/>
      <c r="AL22543" s="13"/>
    </row>
    <row r="22544" spans="4:38" x14ac:dyDescent="0.3">
      <c r="D22544" s="1"/>
      <c r="G22544" s="13"/>
      <c r="AL22544" s="13"/>
    </row>
    <row r="22545" spans="4:38" x14ac:dyDescent="0.3">
      <c r="D22545" s="1"/>
      <c r="G22545" s="13"/>
      <c r="AL22545" s="13"/>
    </row>
    <row r="22546" spans="4:38" x14ac:dyDescent="0.3">
      <c r="D22546" s="1"/>
      <c r="G22546" s="13"/>
      <c r="AL22546" s="13"/>
    </row>
    <row r="22547" spans="4:38" x14ac:dyDescent="0.3">
      <c r="G22547" s="13"/>
      <c r="AL22547" s="13"/>
    </row>
    <row r="22548" spans="4:38" x14ac:dyDescent="0.3">
      <c r="D22548" s="1"/>
      <c r="G22548" s="13"/>
      <c r="AL22548" s="13"/>
    </row>
    <row r="22549" spans="4:38" x14ac:dyDescent="0.3">
      <c r="G22549" s="13"/>
      <c r="AL22549" s="13"/>
    </row>
    <row r="22550" spans="4:38" x14ac:dyDescent="0.3">
      <c r="D22550" s="1"/>
      <c r="G22550" s="13"/>
      <c r="AL22550" s="13"/>
    </row>
    <row r="22551" spans="4:38" x14ac:dyDescent="0.3">
      <c r="D22551" s="1"/>
      <c r="G22551" s="13"/>
      <c r="AL22551" s="13"/>
    </row>
    <row r="22552" spans="4:38" x14ac:dyDescent="0.3">
      <c r="D22552" s="1"/>
      <c r="G22552" s="13"/>
      <c r="AL22552" s="13"/>
    </row>
    <row r="22553" spans="4:38" x14ac:dyDescent="0.3">
      <c r="G22553" s="13"/>
      <c r="AL22553" s="13"/>
    </row>
    <row r="22554" spans="4:38" x14ac:dyDescent="0.3">
      <c r="G22554" s="13"/>
      <c r="AL22554" s="13"/>
    </row>
    <row r="22555" spans="4:38" x14ac:dyDescent="0.3">
      <c r="D22555" s="1"/>
      <c r="G22555" s="13"/>
      <c r="AL22555" s="13"/>
    </row>
    <row r="22556" spans="4:38" x14ac:dyDescent="0.3">
      <c r="D22556" s="1"/>
      <c r="G22556" s="13"/>
      <c r="AL22556" s="13"/>
    </row>
    <row r="22557" spans="4:38" x14ac:dyDescent="0.3">
      <c r="D22557" s="1"/>
      <c r="G22557" s="13"/>
      <c r="AL22557" s="13"/>
    </row>
    <row r="22558" spans="4:38" x14ac:dyDescent="0.3">
      <c r="D22558" s="1"/>
      <c r="G22558" s="13"/>
      <c r="AL22558" s="13"/>
    </row>
    <row r="22559" spans="4:38" x14ac:dyDescent="0.3">
      <c r="D22559" s="1"/>
      <c r="G22559" s="13"/>
      <c r="AL22559" s="13"/>
    </row>
    <row r="22560" spans="4:38" x14ac:dyDescent="0.3">
      <c r="D22560" s="1"/>
      <c r="G22560" s="13"/>
      <c r="AL22560" s="13"/>
    </row>
    <row r="22561" spans="4:38" x14ac:dyDescent="0.3">
      <c r="D22561" s="1"/>
      <c r="G22561" s="13"/>
      <c r="AL22561" s="13"/>
    </row>
    <row r="22562" spans="4:38" x14ac:dyDescent="0.3">
      <c r="D22562" s="1"/>
      <c r="G22562" s="13"/>
      <c r="AL22562" s="13"/>
    </row>
    <row r="22563" spans="4:38" x14ac:dyDescent="0.3">
      <c r="D22563" s="1"/>
      <c r="G22563" s="13"/>
      <c r="AL22563" s="13"/>
    </row>
    <row r="22564" spans="4:38" x14ac:dyDescent="0.3">
      <c r="D22564" s="1"/>
      <c r="G22564" s="13"/>
      <c r="AL22564" s="13"/>
    </row>
    <row r="22565" spans="4:38" x14ac:dyDescent="0.3">
      <c r="D22565" s="1"/>
      <c r="G22565" s="13"/>
      <c r="AL22565" s="13"/>
    </row>
    <row r="22566" spans="4:38" x14ac:dyDescent="0.3">
      <c r="D22566" s="1"/>
      <c r="G22566" s="13"/>
      <c r="AL22566" s="13"/>
    </row>
    <row r="22567" spans="4:38" x14ac:dyDescent="0.3">
      <c r="D22567" s="1"/>
      <c r="G22567" s="13"/>
      <c r="AL22567" s="13"/>
    </row>
    <row r="22568" spans="4:38" x14ac:dyDescent="0.3">
      <c r="D22568" s="1"/>
      <c r="G22568" s="13"/>
      <c r="AL22568" s="13"/>
    </row>
    <row r="22569" spans="4:38" x14ac:dyDescent="0.3">
      <c r="D22569" s="1"/>
      <c r="G22569" s="13"/>
      <c r="AL22569" s="13"/>
    </row>
    <row r="22570" spans="4:38" x14ac:dyDescent="0.3">
      <c r="D22570" s="1"/>
      <c r="G22570" s="13"/>
      <c r="AL22570" s="13"/>
    </row>
    <row r="22571" spans="4:38" x14ac:dyDescent="0.3">
      <c r="D22571" s="1"/>
      <c r="G22571" s="13"/>
      <c r="AL22571" s="13"/>
    </row>
    <row r="22572" spans="4:38" x14ac:dyDescent="0.3">
      <c r="D22572" s="1"/>
      <c r="G22572" s="13"/>
      <c r="AL22572" s="13"/>
    </row>
    <row r="22573" spans="4:38" x14ac:dyDescent="0.3">
      <c r="D22573" s="1"/>
      <c r="G22573" s="13"/>
      <c r="AL22573" s="13"/>
    </row>
    <row r="22574" spans="4:38" x14ac:dyDescent="0.3">
      <c r="D22574" s="1"/>
      <c r="G22574" s="13"/>
      <c r="AL22574" s="13"/>
    </row>
    <row r="22575" spans="4:38" x14ac:dyDescent="0.3">
      <c r="D22575" s="1"/>
      <c r="G22575" s="13"/>
      <c r="AL22575" s="13"/>
    </row>
    <row r="22576" spans="4:38" x14ac:dyDescent="0.3">
      <c r="D22576" s="1"/>
      <c r="G22576" s="13"/>
      <c r="AL22576" s="13"/>
    </row>
    <row r="22577" spans="4:38" x14ac:dyDescent="0.3">
      <c r="D22577" s="1"/>
      <c r="G22577" s="13"/>
      <c r="AL22577" s="13"/>
    </row>
    <row r="22578" spans="4:38" x14ac:dyDescent="0.3">
      <c r="G22578" s="13"/>
      <c r="AL22578" s="13"/>
    </row>
    <row r="22579" spans="4:38" x14ac:dyDescent="0.3">
      <c r="D22579" s="1"/>
      <c r="G22579" s="13"/>
      <c r="AL22579" s="13"/>
    </row>
    <row r="22580" spans="4:38" x14ac:dyDescent="0.3">
      <c r="G22580" s="13"/>
      <c r="AL22580" s="13"/>
    </row>
    <row r="22581" spans="4:38" x14ac:dyDescent="0.3">
      <c r="G22581" s="13"/>
      <c r="AL22581" s="13"/>
    </row>
    <row r="22582" spans="4:38" x14ac:dyDescent="0.3">
      <c r="D22582" s="1"/>
      <c r="G22582" s="13"/>
      <c r="AL22582" s="13"/>
    </row>
    <row r="22583" spans="4:38" x14ac:dyDescent="0.3">
      <c r="D22583" s="1"/>
      <c r="G22583" s="13"/>
      <c r="AL22583" s="13"/>
    </row>
    <row r="22584" spans="4:38" x14ac:dyDescent="0.3">
      <c r="D22584" s="1"/>
      <c r="G22584" s="13"/>
      <c r="AL22584" s="13"/>
    </row>
    <row r="22585" spans="4:38" x14ac:dyDescent="0.3">
      <c r="D22585" s="1"/>
      <c r="G22585" s="13"/>
      <c r="AL22585" s="13"/>
    </row>
    <row r="22586" spans="4:38" x14ac:dyDescent="0.3">
      <c r="D22586" s="1"/>
      <c r="G22586" s="13"/>
      <c r="AL22586" s="13"/>
    </row>
    <row r="22587" spans="4:38" x14ac:dyDescent="0.3">
      <c r="G22587" s="13"/>
      <c r="AL22587" s="13"/>
    </row>
    <row r="22588" spans="4:38" x14ac:dyDescent="0.3">
      <c r="D22588" s="1"/>
      <c r="G22588" s="13"/>
      <c r="AL22588" s="13"/>
    </row>
    <row r="22589" spans="4:38" x14ac:dyDescent="0.3">
      <c r="D22589" s="1"/>
      <c r="G22589" s="13"/>
      <c r="AL22589" s="13"/>
    </row>
    <row r="22590" spans="4:38" x14ac:dyDescent="0.3">
      <c r="G22590" s="13"/>
      <c r="AL22590" s="13"/>
    </row>
    <row r="22591" spans="4:38" x14ac:dyDescent="0.3">
      <c r="D22591" s="1"/>
      <c r="G22591" s="13"/>
      <c r="AL22591" s="13"/>
    </row>
    <row r="22592" spans="4:38" x14ac:dyDescent="0.3">
      <c r="G22592" s="13"/>
      <c r="AL22592" s="13"/>
    </row>
    <row r="22593" spans="4:38" x14ac:dyDescent="0.3">
      <c r="D22593" s="1"/>
      <c r="G22593" s="13"/>
      <c r="AL22593" s="13"/>
    </row>
    <row r="22594" spans="4:38" x14ac:dyDescent="0.3">
      <c r="D22594" s="1"/>
      <c r="G22594" s="13"/>
      <c r="AL22594" s="13"/>
    </row>
    <row r="22595" spans="4:38" x14ac:dyDescent="0.3">
      <c r="G22595" s="13"/>
      <c r="AL22595" s="13"/>
    </row>
    <row r="22596" spans="4:38" x14ac:dyDescent="0.3">
      <c r="G22596" s="13"/>
      <c r="AL22596" s="13"/>
    </row>
    <row r="22597" spans="4:38" x14ac:dyDescent="0.3">
      <c r="D22597" s="1"/>
      <c r="G22597" s="13"/>
      <c r="AL22597" s="13"/>
    </row>
    <row r="22598" spans="4:38" x14ac:dyDescent="0.3">
      <c r="D22598" s="1"/>
      <c r="G22598" s="13"/>
      <c r="AL22598" s="13"/>
    </row>
    <row r="22599" spans="4:38" x14ac:dyDescent="0.3">
      <c r="G22599" s="13"/>
      <c r="AL22599" s="13"/>
    </row>
    <row r="22600" spans="4:38" x14ac:dyDescent="0.3">
      <c r="D22600" s="1"/>
      <c r="G22600" s="13"/>
      <c r="AL22600" s="13"/>
    </row>
    <row r="22601" spans="4:38" x14ac:dyDescent="0.3">
      <c r="G22601" s="13"/>
      <c r="AL22601" s="13"/>
    </row>
    <row r="22602" spans="4:38" x14ac:dyDescent="0.3">
      <c r="D22602" s="1"/>
      <c r="G22602" s="13"/>
      <c r="AL22602" s="13"/>
    </row>
    <row r="22603" spans="4:38" x14ac:dyDescent="0.3">
      <c r="D22603" s="1"/>
      <c r="G22603" s="13"/>
      <c r="AL22603" s="13"/>
    </row>
    <row r="22604" spans="4:38" x14ac:dyDescent="0.3">
      <c r="D22604" s="1"/>
      <c r="G22604" s="13"/>
      <c r="AL22604" s="13"/>
    </row>
    <row r="22605" spans="4:38" x14ac:dyDescent="0.3">
      <c r="G22605" s="13"/>
      <c r="AL22605" s="13"/>
    </row>
    <row r="22606" spans="4:38" x14ac:dyDescent="0.3">
      <c r="D22606" s="1"/>
      <c r="G22606" s="13"/>
      <c r="AL22606" s="13"/>
    </row>
    <row r="22607" spans="4:38" x14ac:dyDescent="0.3">
      <c r="G22607" s="13"/>
      <c r="AL22607" s="13"/>
    </row>
    <row r="22608" spans="4:38" x14ac:dyDescent="0.3">
      <c r="D22608" s="1"/>
      <c r="G22608" s="13"/>
      <c r="AL22608" s="13"/>
    </row>
    <row r="22609" spans="4:38" x14ac:dyDescent="0.3">
      <c r="D22609" s="1"/>
      <c r="G22609" s="13"/>
      <c r="AL22609" s="13"/>
    </row>
    <row r="22610" spans="4:38" x14ac:dyDescent="0.3">
      <c r="D22610" s="1"/>
      <c r="G22610" s="13"/>
      <c r="AL22610" s="13"/>
    </row>
    <row r="22611" spans="4:38" x14ac:dyDescent="0.3">
      <c r="D22611" s="1"/>
      <c r="G22611" s="13"/>
      <c r="AL22611" s="13"/>
    </row>
    <row r="22612" spans="4:38" x14ac:dyDescent="0.3">
      <c r="D22612" s="1"/>
      <c r="G22612" s="13"/>
      <c r="AL22612" s="13"/>
    </row>
    <row r="22613" spans="4:38" x14ac:dyDescent="0.3">
      <c r="G22613" s="13"/>
      <c r="AL22613" s="13"/>
    </row>
    <row r="22614" spans="4:38" x14ac:dyDescent="0.3">
      <c r="D22614" s="1"/>
      <c r="G22614" s="13"/>
      <c r="AL22614" s="13"/>
    </row>
    <row r="22615" spans="4:38" x14ac:dyDescent="0.3">
      <c r="D22615" s="1"/>
      <c r="G22615" s="13"/>
      <c r="AL22615" s="13"/>
    </row>
    <row r="22616" spans="4:38" x14ac:dyDescent="0.3">
      <c r="D22616" s="1"/>
      <c r="G22616" s="13"/>
      <c r="AL22616" s="13"/>
    </row>
    <row r="22617" spans="4:38" x14ac:dyDescent="0.3">
      <c r="G22617" s="13"/>
      <c r="AL22617" s="13"/>
    </row>
    <row r="22618" spans="4:38" x14ac:dyDescent="0.3">
      <c r="G22618" s="13"/>
      <c r="AL22618" s="13"/>
    </row>
    <row r="22619" spans="4:38" x14ac:dyDescent="0.3">
      <c r="D22619" s="1"/>
      <c r="G22619" s="13"/>
      <c r="AL22619" s="13"/>
    </row>
    <row r="22620" spans="4:38" x14ac:dyDescent="0.3">
      <c r="G22620" s="13"/>
      <c r="AL22620" s="13"/>
    </row>
    <row r="22621" spans="4:38" x14ac:dyDescent="0.3">
      <c r="D22621" s="1"/>
      <c r="G22621" s="13"/>
      <c r="AL22621" s="13"/>
    </row>
    <row r="22622" spans="4:38" x14ac:dyDescent="0.3">
      <c r="G22622" s="13"/>
      <c r="AL22622" s="13"/>
    </row>
    <row r="22623" spans="4:38" x14ac:dyDescent="0.3">
      <c r="D22623" s="1"/>
      <c r="G22623" s="13"/>
      <c r="AL22623" s="13"/>
    </row>
    <row r="22624" spans="4:38" x14ac:dyDescent="0.3">
      <c r="G22624" s="13"/>
      <c r="AL22624" s="13"/>
    </row>
    <row r="22625" spans="4:38" x14ac:dyDescent="0.3">
      <c r="D22625" s="1"/>
      <c r="G22625" s="13"/>
      <c r="AL22625" s="13"/>
    </row>
    <row r="22626" spans="4:38" x14ac:dyDescent="0.3">
      <c r="G22626" s="13"/>
      <c r="AL22626" s="13"/>
    </row>
    <row r="22627" spans="4:38" x14ac:dyDescent="0.3">
      <c r="D22627" s="1"/>
      <c r="G22627" s="13"/>
      <c r="AL22627" s="13"/>
    </row>
    <row r="22628" spans="4:38" x14ac:dyDescent="0.3">
      <c r="D22628" s="1"/>
      <c r="G22628" s="13"/>
      <c r="AL22628" s="13"/>
    </row>
    <row r="22629" spans="4:38" x14ac:dyDescent="0.3">
      <c r="D22629" s="1"/>
      <c r="G22629" s="13"/>
      <c r="AL22629" s="13"/>
    </row>
    <row r="22630" spans="4:38" x14ac:dyDescent="0.3">
      <c r="D22630" s="1"/>
      <c r="G22630" s="13"/>
      <c r="AL22630" s="13"/>
    </row>
    <row r="22631" spans="4:38" x14ac:dyDescent="0.3">
      <c r="D22631" s="1"/>
      <c r="G22631" s="13"/>
      <c r="AL22631" s="13"/>
    </row>
    <row r="22632" spans="4:38" x14ac:dyDescent="0.3">
      <c r="D22632" s="1"/>
      <c r="G22632" s="13"/>
      <c r="AL22632" s="13"/>
    </row>
    <row r="22633" spans="4:38" x14ac:dyDescent="0.3">
      <c r="D22633" s="1"/>
      <c r="G22633" s="13"/>
      <c r="AL22633" s="13"/>
    </row>
    <row r="22634" spans="4:38" x14ac:dyDescent="0.3">
      <c r="D22634" s="1"/>
      <c r="G22634" s="13"/>
      <c r="AL22634" s="13"/>
    </row>
    <row r="22635" spans="4:38" x14ac:dyDescent="0.3">
      <c r="D22635" s="1"/>
      <c r="G22635" s="13"/>
      <c r="AL22635" s="13"/>
    </row>
    <row r="22636" spans="4:38" x14ac:dyDescent="0.3">
      <c r="D22636" s="1"/>
      <c r="G22636" s="13"/>
      <c r="AL22636" s="13"/>
    </row>
    <row r="22637" spans="4:38" x14ac:dyDescent="0.3">
      <c r="D22637" s="1"/>
      <c r="G22637" s="13"/>
      <c r="AL22637" s="13"/>
    </row>
    <row r="22638" spans="4:38" x14ac:dyDescent="0.3">
      <c r="D22638" s="1"/>
      <c r="G22638" s="13"/>
      <c r="AL22638" s="13"/>
    </row>
    <row r="22639" spans="4:38" x14ac:dyDescent="0.3">
      <c r="D22639" s="1"/>
      <c r="G22639" s="13"/>
      <c r="AL22639" s="13"/>
    </row>
    <row r="22640" spans="4:38" x14ac:dyDescent="0.3">
      <c r="D22640" s="1"/>
      <c r="G22640" s="13"/>
      <c r="AL22640" s="13"/>
    </row>
    <row r="22641" spans="4:38" x14ac:dyDescent="0.3">
      <c r="G22641" s="13"/>
      <c r="AL22641" s="13"/>
    </row>
    <row r="22642" spans="4:38" x14ac:dyDescent="0.3">
      <c r="D22642" s="1"/>
      <c r="G22642" s="13"/>
      <c r="AL22642" s="13"/>
    </row>
    <row r="22643" spans="4:38" x14ac:dyDescent="0.3">
      <c r="D22643" s="1"/>
      <c r="G22643" s="13"/>
      <c r="AL22643" s="13"/>
    </row>
    <row r="22644" spans="4:38" x14ac:dyDescent="0.3">
      <c r="D22644" s="1"/>
      <c r="G22644" s="13"/>
      <c r="AL22644" s="13"/>
    </row>
    <row r="22645" spans="4:38" x14ac:dyDescent="0.3">
      <c r="D22645" s="1"/>
      <c r="G22645" s="13"/>
      <c r="AL22645" s="13"/>
    </row>
    <row r="22646" spans="4:38" x14ac:dyDescent="0.3">
      <c r="D22646" s="1"/>
      <c r="G22646" s="13"/>
      <c r="AL22646" s="13"/>
    </row>
    <row r="22647" spans="4:38" x14ac:dyDescent="0.3">
      <c r="D22647" s="1"/>
      <c r="G22647" s="13"/>
      <c r="AL22647" s="13"/>
    </row>
    <row r="22648" spans="4:38" x14ac:dyDescent="0.3">
      <c r="D22648" s="1"/>
      <c r="G22648" s="13"/>
      <c r="AL22648" s="13"/>
    </row>
    <row r="22649" spans="4:38" x14ac:dyDescent="0.3">
      <c r="D22649" s="1"/>
      <c r="G22649" s="13"/>
      <c r="AL22649" s="13"/>
    </row>
    <row r="22650" spans="4:38" x14ac:dyDescent="0.3">
      <c r="D22650" s="1"/>
      <c r="G22650" s="13"/>
      <c r="AL22650" s="13"/>
    </row>
    <row r="22651" spans="4:38" x14ac:dyDescent="0.3">
      <c r="D22651" s="1"/>
      <c r="G22651" s="13"/>
      <c r="AL22651" s="13"/>
    </row>
    <row r="22652" spans="4:38" x14ac:dyDescent="0.3">
      <c r="D22652" s="1"/>
      <c r="G22652" s="13"/>
      <c r="AL22652" s="13"/>
    </row>
    <row r="22653" spans="4:38" x14ac:dyDescent="0.3">
      <c r="D22653" s="1"/>
      <c r="G22653" s="13"/>
      <c r="AL22653" s="13"/>
    </row>
    <row r="22654" spans="4:38" x14ac:dyDescent="0.3">
      <c r="G22654" s="13"/>
      <c r="AL22654" s="13"/>
    </row>
    <row r="22655" spans="4:38" x14ac:dyDescent="0.3">
      <c r="D22655" s="1"/>
      <c r="G22655" s="13"/>
      <c r="AL22655" s="13"/>
    </row>
    <row r="22656" spans="4:38" x14ac:dyDescent="0.3">
      <c r="D22656" s="1"/>
      <c r="G22656" s="13"/>
      <c r="AL22656" s="13"/>
    </row>
    <row r="22657" spans="4:38" x14ac:dyDescent="0.3">
      <c r="D22657" s="1"/>
      <c r="G22657" s="13"/>
      <c r="AL22657" s="13"/>
    </row>
    <row r="22658" spans="4:38" x14ac:dyDescent="0.3">
      <c r="D22658" s="1"/>
      <c r="G22658" s="13"/>
      <c r="AL22658" s="13"/>
    </row>
    <row r="22659" spans="4:38" x14ac:dyDescent="0.3">
      <c r="G22659" s="13"/>
      <c r="AL22659" s="13"/>
    </row>
    <row r="22660" spans="4:38" x14ac:dyDescent="0.3">
      <c r="D22660" s="1"/>
      <c r="G22660" s="13"/>
      <c r="AL22660" s="13"/>
    </row>
    <row r="22661" spans="4:38" x14ac:dyDescent="0.3">
      <c r="D22661" s="1"/>
      <c r="G22661" s="13"/>
      <c r="AL22661" s="13"/>
    </row>
    <row r="22662" spans="4:38" x14ac:dyDescent="0.3">
      <c r="D22662" s="1"/>
      <c r="G22662" s="13"/>
      <c r="AL22662" s="13"/>
    </row>
    <row r="22663" spans="4:38" x14ac:dyDescent="0.3">
      <c r="G22663" s="13"/>
      <c r="AL22663" s="13"/>
    </row>
    <row r="22664" spans="4:38" x14ac:dyDescent="0.3">
      <c r="D22664" s="1"/>
      <c r="G22664" s="13"/>
      <c r="AL22664" s="13"/>
    </row>
    <row r="22665" spans="4:38" x14ac:dyDescent="0.3">
      <c r="D22665" s="1"/>
      <c r="G22665" s="13"/>
      <c r="AL22665" s="13"/>
    </row>
    <row r="22666" spans="4:38" x14ac:dyDescent="0.3">
      <c r="D22666" s="1"/>
      <c r="G22666" s="13"/>
      <c r="AL22666" s="13"/>
    </row>
    <row r="22667" spans="4:38" x14ac:dyDescent="0.3">
      <c r="D22667" s="1"/>
      <c r="G22667" s="13"/>
      <c r="AL22667" s="13"/>
    </row>
    <row r="22668" spans="4:38" x14ac:dyDescent="0.3">
      <c r="D22668" s="1"/>
      <c r="G22668" s="13"/>
      <c r="AL22668" s="13"/>
    </row>
    <row r="22669" spans="4:38" x14ac:dyDescent="0.3">
      <c r="G22669" s="13"/>
      <c r="AL22669" s="13"/>
    </row>
    <row r="22670" spans="4:38" x14ac:dyDescent="0.3">
      <c r="D22670" s="1"/>
      <c r="G22670" s="13"/>
      <c r="AL22670" s="13"/>
    </row>
    <row r="22671" spans="4:38" x14ac:dyDescent="0.3">
      <c r="D22671" s="1"/>
      <c r="G22671" s="13"/>
      <c r="AL22671" s="13"/>
    </row>
    <row r="22672" spans="4:38" x14ac:dyDescent="0.3">
      <c r="G22672" s="13"/>
      <c r="AL22672" s="13"/>
    </row>
    <row r="22673" spans="4:38" x14ac:dyDescent="0.3">
      <c r="D22673" s="1"/>
      <c r="G22673" s="13"/>
      <c r="AL22673" s="13"/>
    </row>
    <row r="22674" spans="4:38" x14ac:dyDescent="0.3">
      <c r="D22674" s="1"/>
      <c r="G22674" s="13"/>
      <c r="AL22674" s="13"/>
    </row>
    <row r="22675" spans="4:38" x14ac:dyDescent="0.3">
      <c r="D22675" s="1"/>
      <c r="G22675" s="13"/>
      <c r="AL22675" s="13"/>
    </row>
    <row r="22676" spans="4:38" x14ac:dyDescent="0.3">
      <c r="G22676" s="13"/>
      <c r="AL22676" s="13"/>
    </row>
    <row r="22677" spans="4:38" x14ac:dyDescent="0.3">
      <c r="D22677" s="1"/>
      <c r="G22677" s="13"/>
      <c r="AL22677" s="13"/>
    </row>
    <row r="22678" spans="4:38" x14ac:dyDescent="0.3">
      <c r="D22678" s="1"/>
      <c r="G22678" s="13"/>
      <c r="AL22678" s="13"/>
    </row>
    <row r="22679" spans="4:38" x14ac:dyDescent="0.3">
      <c r="D22679" s="1"/>
      <c r="G22679" s="13"/>
    </row>
    <row r="22680" spans="4:38" x14ac:dyDescent="0.3">
      <c r="D22680" s="1"/>
      <c r="G22680" s="13"/>
    </row>
    <row r="22681" spans="4:38" x14ac:dyDescent="0.3">
      <c r="D22681" s="1"/>
      <c r="G22681" s="13"/>
    </row>
    <row r="22682" spans="4:38" x14ac:dyDescent="0.3">
      <c r="D22682" s="1"/>
      <c r="G22682" s="13"/>
    </row>
    <row r="22683" spans="4:38" x14ac:dyDescent="0.3">
      <c r="D22683" s="1"/>
      <c r="G22683" s="13"/>
    </row>
    <row r="22684" spans="4:38" x14ac:dyDescent="0.3">
      <c r="D22684" s="1"/>
      <c r="G22684" s="13"/>
    </row>
    <row r="22685" spans="4:38" x14ac:dyDescent="0.3">
      <c r="D22685" s="1"/>
      <c r="G22685" s="13"/>
    </row>
    <row r="22686" spans="4:38" x14ac:dyDescent="0.3">
      <c r="D22686" s="1"/>
      <c r="G22686" s="13"/>
    </row>
    <row r="22687" spans="4:38" x14ac:dyDescent="0.3">
      <c r="D22687" s="1"/>
      <c r="G22687" s="13"/>
    </row>
    <row r="22688" spans="4:38" x14ac:dyDescent="0.3">
      <c r="D22688" s="1"/>
      <c r="G22688" s="13"/>
    </row>
    <row r="22689" spans="4:7" x14ac:dyDescent="0.3">
      <c r="D22689" s="1"/>
      <c r="G22689" s="13"/>
    </row>
    <row r="22690" spans="4:7" x14ac:dyDescent="0.3">
      <c r="D22690" s="1"/>
      <c r="G22690" s="13"/>
    </row>
    <row r="22691" spans="4:7" x14ac:dyDescent="0.3">
      <c r="D22691" s="1"/>
      <c r="G22691" s="13"/>
    </row>
    <row r="22692" spans="4:7" x14ac:dyDescent="0.3">
      <c r="D22692" s="1"/>
      <c r="G22692" s="13"/>
    </row>
    <row r="22693" spans="4:7" x14ac:dyDescent="0.3">
      <c r="D22693" s="1"/>
      <c r="G22693" s="13"/>
    </row>
    <row r="22694" spans="4:7" x14ac:dyDescent="0.3">
      <c r="D22694" s="1"/>
      <c r="G22694" s="13"/>
    </row>
    <row r="22695" spans="4:7" x14ac:dyDescent="0.3">
      <c r="D22695" s="1"/>
      <c r="G22695" s="13"/>
    </row>
    <row r="22696" spans="4:7" x14ac:dyDescent="0.3">
      <c r="D22696" s="1"/>
      <c r="G22696" s="13"/>
    </row>
    <row r="22697" spans="4:7" x14ac:dyDescent="0.3">
      <c r="D22697" s="1"/>
      <c r="G22697" s="13"/>
    </row>
    <row r="22698" spans="4:7" x14ac:dyDescent="0.3">
      <c r="D22698" s="1"/>
      <c r="G22698" s="13"/>
    </row>
    <row r="22699" spans="4:7" x14ac:dyDescent="0.3">
      <c r="D22699" s="1"/>
      <c r="G22699" s="13"/>
    </row>
    <row r="22700" spans="4:7" x14ac:dyDescent="0.3">
      <c r="D22700" s="1"/>
      <c r="G22700" s="13"/>
    </row>
    <row r="22701" spans="4:7" x14ac:dyDescent="0.3">
      <c r="D22701" s="1"/>
      <c r="G22701" s="13"/>
    </row>
    <row r="22702" spans="4:7" x14ac:dyDescent="0.3">
      <c r="D22702" s="1"/>
      <c r="G22702" s="13"/>
    </row>
    <row r="22703" spans="4:7" x14ac:dyDescent="0.3">
      <c r="D22703" s="1"/>
      <c r="G22703" s="13"/>
    </row>
    <row r="22704" spans="4:7" x14ac:dyDescent="0.3">
      <c r="D22704" s="1"/>
      <c r="G22704" s="13"/>
    </row>
    <row r="22705" spans="4:7" x14ac:dyDescent="0.3">
      <c r="D22705" s="1"/>
      <c r="G22705" s="13"/>
    </row>
    <row r="22706" spans="4:7" x14ac:dyDescent="0.3">
      <c r="D22706" s="1"/>
      <c r="G22706" s="13"/>
    </row>
    <row r="22707" spans="4:7" x14ac:dyDescent="0.3">
      <c r="D22707" s="1"/>
      <c r="G22707" s="13"/>
    </row>
    <row r="22708" spans="4:7" x14ac:dyDescent="0.3">
      <c r="G22708" s="13"/>
    </row>
    <row r="22709" spans="4:7" x14ac:dyDescent="0.3">
      <c r="D22709" s="1"/>
      <c r="G22709" s="13"/>
    </row>
    <row r="22710" spans="4:7" x14ac:dyDescent="0.3">
      <c r="D22710" s="1"/>
      <c r="G22710" s="13"/>
    </row>
    <row r="22711" spans="4:7" x14ac:dyDescent="0.3">
      <c r="D22711" s="1"/>
      <c r="G22711" s="13"/>
    </row>
    <row r="22712" spans="4:7" x14ac:dyDescent="0.3">
      <c r="D22712" s="1"/>
      <c r="G22712" s="13"/>
    </row>
    <row r="22713" spans="4:7" x14ac:dyDescent="0.3">
      <c r="D22713" s="1"/>
      <c r="G22713" s="13"/>
    </row>
    <row r="22714" spans="4:7" x14ac:dyDescent="0.3">
      <c r="D22714" s="1"/>
      <c r="G22714" s="13"/>
    </row>
    <row r="22715" spans="4:7" x14ac:dyDescent="0.3">
      <c r="D22715" s="1"/>
      <c r="G22715" s="13"/>
    </row>
    <row r="22716" spans="4:7" x14ac:dyDescent="0.3">
      <c r="D22716" s="1"/>
      <c r="G22716" s="13"/>
    </row>
    <row r="22717" spans="4:7" x14ac:dyDescent="0.3">
      <c r="D22717" s="1"/>
      <c r="G22717" s="13"/>
    </row>
    <row r="22718" spans="4:7" x14ac:dyDescent="0.3">
      <c r="D22718" s="1"/>
      <c r="G22718" s="13"/>
    </row>
    <row r="22719" spans="4:7" x14ac:dyDescent="0.3">
      <c r="D22719" s="1"/>
      <c r="G22719" s="13"/>
    </row>
    <row r="22720" spans="4:7" x14ac:dyDescent="0.3">
      <c r="D22720" s="1"/>
      <c r="G22720" s="13"/>
    </row>
    <row r="22721" spans="4:7" x14ac:dyDescent="0.3">
      <c r="D22721" s="1"/>
      <c r="G22721" s="13"/>
    </row>
    <row r="22722" spans="4:7" x14ac:dyDescent="0.3">
      <c r="D22722" s="1"/>
      <c r="G22722" s="13"/>
    </row>
    <row r="22723" spans="4:7" x14ac:dyDescent="0.3">
      <c r="D22723" s="1"/>
      <c r="G22723" s="13"/>
    </row>
    <row r="22724" spans="4:7" x14ac:dyDescent="0.3">
      <c r="D22724" s="1"/>
      <c r="G22724" s="13"/>
    </row>
    <row r="22725" spans="4:7" x14ac:dyDescent="0.3">
      <c r="D22725" s="1"/>
      <c r="G22725" s="13"/>
    </row>
    <row r="22726" spans="4:7" x14ac:dyDescent="0.3">
      <c r="D22726" s="1"/>
      <c r="G22726" s="13"/>
    </row>
    <row r="22727" spans="4:7" x14ac:dyDescent="0.3">
      <c r="D22727" s="1"/>
      <c r="G22727" s="13"/>
    </row>
    <row r="22728" spans="4:7" x14ac:dyDescent="0.3">
      <c r="D22728" s="1"/>
      <c r="G22728" s="13"/>
    </row>
    <row r="22729" spans="4:7" x14ac:dyDescent="0.3">
      <c r="D22729" s="1"/>
      <c r="G22729" s="13"/>
    </row>
    <row r="22730" spans="4:7" x14ac:dyDescent="0.3">
      <c r="D22730" s="1"/>
      <c r="G22730" s="13"/>
    </row>
    <row r="22731" spans="4:7" x14ac:dyDescent="0.3">
      <c r="D22731" s="1"/>
      <c r="G22731" s="13"/>
    </row>
    <row r="22732" spans="4:7" x14ac:dyDescent="0.3">
      <c r="D22732" s="1"/>
      <c r="G22732" s="13"/>
    </row>
    <row r="22733" spans="4:7" x14ac:dyDescent="0.3">
      <c r="D22733" s="1"/>
      <c r="G22733" s="13"/>
    </row>
    <row r="22734" spans="4:7" x14ac:dyDescent="0.3">
      <c r="D22734" s="1"/>
      <c r="G22734" s="13"/>
    </row>
    <row r="22735" spans="4:7" x14ac:dyDescent="0.3">
      <c r="D22735" s="1"/>
      <c r="G22735" s="13"/>
    </row>
    <row r="22736" spans="4:7" x14ac:dyDescent="0.3">
      <c r="D22736" s="1"/>
      <c r="G22736" s="13"/>
    </row>
    <row r="22737" spans="4:7" x14ac:dyDescent="0.3">
      <c r="D22737" s="1"/>
      <c r="G22737" s="13"/>
    </row>
    <row r="22738" spans="4:7" x14ac:dyDescent="0.3">
      <c r="D22738" s="1"/>
      <c r="G22738" s="13"/>
    </row>
    <row r="22739" spans="4:7" x14ac:dyDescent="0.3">
      <c r="D22739" s="1"/>
      <c r="G22739" s="13"/>
    </row>
    <row r="22740" spans="4:7" x14ac:dyDescent="0.3">
      <c r="D22740" s="1"/>
      <c r="G22740" s="13"/>
    </row>
    <row r="22741" spans="4:7" x14ac:dyDescent="0.3">
      <c r="D22741" s="1"/>
      <c r="G22741" s="13"/>
    </row>
    <row r="22742" spans="4:7" x14ac:dyDescent="0.3">
      <c r="D22742" s="1"/>
      <c r="G22742" s="13"/>
    </row>
    <row r="22743" spans="4:7" x14ac:dyDescent="0.3">
      <c r="D22743" s="1"/>
      <c r="G22743" s="13"/>
    </row>
    <row r="22744" spans="4:7" x14ac:dyDescent="0.3">
      <c r="D22744" s="1"/>
      <c r="G22744" s="13"/>
    </row>
    <row r="22745" spans="4:7" x14ac:dyDescent="0.3">
      <c r="D22745" s="1"/>
      <c r="G22745" s="13"/>
    </row>
    <row r="22746" spans="4:7" x14ac:dyDescent="0.3">
      <c r="D22746" s="1"/>
      <c r="G22746" s="13"/>
    </row>
    <row r="22747" spans="4:7" x14ac:dyDescent="0.3">
      <c r="D22747" s="1"/>
      <c r="G22747" s="13"/>
    </row>
    <row r="22748" spans="4:7" x14ac:dyDescent="0.3">
      <c r="D22748" s="1"/>
      <c r="G22748" s="13"/>
    </row>
    <row r="22749" spans="4:7" x14ac:dyDescent="0.3">
      <c r="D22749" s="1"/>
      <c r="G22749" s="13"/>
    </row>
    <row r="22750" spans="4:7" x14ac:dyDescent="0.3">
      <c r="D22750" s="1"/>
      <c r="G22750" s="13"/>
    </row>
    <row r="22751" spans="4:7" x14ac:dyDescent="0.3">
      <c r="D22751" s="1"/>
      <c r="G22751" s="13"/>
    </row>
    <row r="22752" spans="4:7" x14ac:dyDescent="0.3">
      <c r="D22752" s="1"/>
      <c r="G22752" s="13"/>
    </row>
    <row r="22753" spans="4:7" x14ac:dyDescent="0.3">
      <c r="D22753" s="1"/>
      <c r="G22753" s="13"/>
    </row>
    <row r="22754" spans="4:7" x14ac:dyDescent="0.3">
      <c r="D22754" s="1"/>
      <c r="G22754" s="13"/>
    </row>
    <row r="22755" spans="4:7" x14ac:dyDescent="0.3">
      <c r="D22755" s="1"/>
      <c r="G22755" s="13"/>
    </row>
    <row r="22756" spans="4:7" x14ac:dyDescent="0.3">
      <c r="D22756" s="1"/>
      <c r="G22756" s="13"/>
    </row>
    <row r="22757" spans="4:7" x14ac:dyDescent="0.3">
      <c r="D22757" s="1"/>
      <c r="G22757" s="13"/>
    </row>
    <row r="22758" spans="4:7" x14ac:dyDescent="0.3">
      <c r="D22758" s="1"/>
      <c r="G22758" s="13"/>
    </row>
    <row r="22759" spans="4:7" x14ac:dyDescent="0.3">
      <c r="D22759" s="1"/>
      <c r="G22759" s="13"/>
    </row>
    <row r="22760" spans="4:7" x14ac:dyDescent="0.3">
      <c r="D22760" s="1"/>
      <c r="G22760" s="13"/>
    </row>
    <row r="22761" spans="4:7" x14ac:dyDescent="0.3">
      <c r="D22761" s="1"/>
      <c r="G22761" s="13"/>
    </row>
    <row r="22762" spans="4:7" x14ac:dyDescent="0.3">
      <c r="D22762" s="1"/>
      <c r="G22762" s="13"/>
    </row>
    <row r="22763" spans="4:7" x14ac:dyDescent="0.3">
      <c r="D22763" s="1"/>
      <c r="G22763" s="13"/>
    </row>
    <row r="22764" spans="4:7" x14ac:dyDescent="0.3">
      <c r="D22764" s="1"/>
      <c r="G22764" s="13"/>
    </row>
    <row r="22765" spans="4:7" x14ac:dyDescent="0.3">
      <c r="D22765" s="1"/>
      <c r="G22765" s="13"/>
    </row>
    <row r="22766" spans="4:7" x14ac:dyDescent="0.3">
      <c r="D22766" s="1"/>
      <c r="G22766" s="13"/>
    </row>
    <row r="22767" spans="4:7" x14ac:dyDescent="0.3">
      <c r="D22767" s="1"/>
      <c r="G22767" s="13"/>
    </row>
    <row r="22768" spans="4:7" x14ac:dyDescent="0.3">
      <c r="G22768" s="13"/>
    </row>
    <row r="22769" spans="4:7" x14ac:dyDescent="0.3">
      <c r="D22769" s="1"/>
      <c r="G22769" s="13"/>
    </row>
    <row r="22770" spans="4:7" x14ac:dyDescent="0.3">
      <c r="D22770" s="1"/>
      <c r="G22770" s="13"/>
    </row>
    <row r="22771" spans="4:7" x14ac:dyDescent="0.3">
      <c r="D22771" s="1"/>
      <c r="G22771" s="13"/>
    </row>
    <row r="22772" spans="4:7" x14ac:dyDescent="0.3">
      <c r="D22772" s="1"/>
      <c r="G22772" s="13"/>
    </row>
    <row r="22773" spans="4:7" x14ac:dyDescent="0.3">
      <c r="D22773" s="1"/>
      <c r="G22773" s="13"/>
    </row>
    <row r="22774" spans="4:7" x14ac:dyDescent="0.3">
      <c r="D22774" s="1"/>
      <c r="G22774" s="13"/>
    </row>
    <row r="22775" spans="4:7" x14ac:dyDescent="0.3">
      <c r="D22775" s="1"/>
      <c r="G22775" s="13"/>
    </row>
    <row r="22776" spans="4:7" x14ac:dyDescent="0.3">
      <c r="D22776" s="1"/>
      <c r="G22776" s="13"/>
    </row>
    <row r="22777" spans="4:7" x14ac:dyDescent="0.3">
      <c r="D22777" s="1"/>
      <c r="G22777" s="13"/>
    </row>
    <row r="22778" spans="4:7" x14ac:dyDescent="0.3">
      <c r="D22778" s="1"/>
      <c r="G22778" s="13"/>
    </row>
    <row r="22779" spans="4:7" x14ac:dyDescent="0.3">
      <c r="D22779" s="1"/>
      <c r="G22779" s="13"/>
    </row>
    <row r="22780" spans="4:7" x14ac:dyDescent="0.3">
      <c r="D22780" s="1"/>
      <c r="G22780" s="13"/>
    </row>
    <row r="22781" spans="4:7" x14ac:dyDescent="0.3">
      <c r="D22781" s="1"/>
      <c r="G22781" s="13"/>
    </row>
    <row r="22782" spans="4:7" x14ac:dyDescent="0.3">
      <c r="D22782" s="1"/>
      <c r="G22782" s="13"/>
    </row>
    <row r="22783" spans="4:7" x14ac:dyDescent="0.3">
      <c r="D22783" s="1"/>
    </row>
    <row r="22784" spans="4:7" x14ac:dyDescent="0.3">
      <c r="D22784" s="1"/>
      <c r="G22784" s="13"/>
    </row>
    <row r="22785" spans="4:7" x14ac:dyDescent="0.3">
      <c r="D22785" s="1"/>
      <c r="G22785" s="13"/>
    </row>
    <row r="22786" spans="4:7" x14ac:dyDescent="0.3">
      <c r="D22786" s="1"/>
      <c r="G22786" s="13"/>
    </row>
    <row r="22787" spans="4:7" x14ac:dyDescent="0.3">
      <c r="D22787" s="1"/>
      <c r="G22787" s="13"/>
    </row>
    <row r="22788" spans="4:7" x14ac:dyDescent="0.3">
      <c r="D22788" s="1"/>
      <c r="G22788" s="13"/>
    </row>
    <row r="22789" spans="4:7" x14ac:dyDescent="0.3">
      <c r="D22789" s="1"/>
      <c r="G22789" s="13"/>
    </row>
    <row r="22790" spans="4:7" x14ac:dyDescent="0.3">
      <c r="D22790" s="1"/>
      <c r="G22790" s="13"/>
    </row>
    <row r="22791" spans="4:7" x14ac:dyDescent="0.3">
      <c r="D22791" s="1"/>
      <c r="G22791" s="13"/>
    </row>
    <row r="22792" spans="4:7" x14ac:dyDescent="0.3">
      <c r="D22792" s="1"/>
      <c r="G22792" s="13"/>
    </row>
    <row r="22793" spans="4:7" x14ac:dyDescent="0.3">
      <c r="D22793" s="1"/>
      <c r="G22793" s="13"/>
    </row>
    <row r="22794" spans="4:7" x14ac:dyDescent="0.3">
      <c r="D22794" s="1"/>
      <c r="G22794" s="13"/>
    </row>
    <row r="22795" spans="4:7" x14ac:dyDescent="0.3">
      <c r="D22795" s="1"/>
      <c r="G22795" s="13"/>
    </row>
    <row r="22796" spans="4:7" x14ac:dyDescent="0.3">
      <c r="D22796" s="1"/>
      <c r="G22796" s="13"/>
    </row>
    <row r="22797" spans="4:7" x14ac:dyDescent="0.3">
      <c r="D22797" s="1"/>
      <c r="G22797" s="13"/>
    </row>
    <row r="22798" spans="4:7" x14ac:dyDescent="0.3">
      <c r="D22798" s="1"/>
      <c r="G22798" s="13"/>
    </row>
    <row r="22799" spans="4:7" x14ac:dyDescent="0.3">
      <c r="D22799" s="1"/>
      <c r="G22799" s="13"/>
    </row>
    <row r="22800" spans="4:7" x14ac:dyDescent="0.3">
      <c r="D22800" s="1"/>
      <c r="G22800" s="13"/>
    </row>
    <row r="22801" spans="4:7" x14ac:dyDescent="0.3">
      <c r="D22801" s="1"/>
      <c r="G22801" s="13"/>
    </row>
    <row r="22802" spans="4:7" x14ac:dyDescent="0.3">
      <c r="D22802" s="1"/>
      <c r="G22802" s="13"/>
    </row>
    <row r="22803" spans="4:7" x14ac:dyDescent="0.3">
      <c r="G22803" s="13"/>
    </row>
    <row r="22804" spans="4:7" x14ac:dyDescent="0.3">
      <c r="G22804" s="13"/>
    </row>
    <row r="22805" spans="4:7" x14ac:dyDescent="0.3">
      <c r="D22805" s="1"/>
      <c r="G22805" s="13"/>
    </row>
    <row r="22806" spans="4:7" x14ac:dyDescent="0.3">
      <c r="G22806" s="13"/>
    </row>
    <row r="22807" spans="4:7" x14ac:dyDescent="0.3">
      <c r="D22807" s="1"/>
      <c r="G22807" s="13"/>
    </row>
    <row r="22808" spans="4:7" x14ac:dyDescent="0.3">
      <c r="D22808" s="1"/>
      <c r="G22808" s="13"/>
    </row>
    <row r="22809" spans="4:7" x14ac:dyDescent="0.3">
      <c r="D22809" s="1"/>
      <c r="G22809" s="13"/>
    </row>
    <row r="22810" spans="4:7" x14ac:dyDescent="0.3">
      <c r="D22810" s="1"/>
      <c r="G22810" s="13"/>
    </row>
    <row r="22811" spans="4:7" x14ac:dyDescent="0.3">
      <c r="D22811" s="1"/>
      <c r="G22811" s="13"/>
    </row>
    <row r="22812" spans="4:7" x14ac:dyDescent="0.3">
      <c r="D22812" s="1"/>
      <c r="G22812" s="13"/>
    </row>
    <row r="22813" spans="4:7" x14ac:dyDescent="0.3">
      <c r="D22813" s="1"/>
      <c r="G22813" s="13"/>
    </row>
    <row r="22814" spans="4:7" x14ac:dyDescent="0.3">
      <c r="D22814" s="1"/>
      <c r="G22814" s="13"/>
    </row>
    <row r="22815" spans="4:7" x14ac:dyDescent="0.3">
      <c r="D22815" s="1"/>
      <c r="G22815" s="13"/>
    </row>
    <row r="22816" spans="4:7" x14ac:dyDescent="0.3">
      <c r="D22816" s="1"/>
      <c r="G22816" s="13"/>
    </row>
    <row r="22817" spans="4:7" x14ac:dyDescent="0.3">
      <c r="D22817" s="1"/>
      <c r="G22817" s="13"/>
    </row>
    <row r="22818" spans="4:7" x14ac:dyDescent="0.3">
      <c r="D22818" s="1"/>
      <c r="G22818" s="13"/>
    </row>
    <row r="22819" spans="4:7" x14ac:dyDescent="0.3">
      <c r="D22819" s="1"/>
      <c r="G22819" s="13"/>
    </row>
    <row r="22820" spans="4:7" x14ac:dyDescent="0.3">
      <c r="D22820" s="1"/>
      <c r="G22820" s="13"/>
    </row>
    <row r="22821" spans="4:7" x14ac:dyDescent="0.3">
      <c r="D22821" s="1"/>
      <c r="G22821" s="13"/>
    </row>
    <row r="22822" spans="4:7" x14ac:dyDescent="0.3">
      <c r="D22822" s="1"/>
      <c r="G22822" s="13"/>
    </row>
    <row r="22823" spans="4:7" x14ac:dyDescent="0.3">
      <c r="D22823" s="1"/>
      <c r="G22823" s="13"/>
    </row>
    <row r="22824" spans="4:7" x14ac:dyDescent="0.3">
      <c r="D22824" s="1"/>
      <c r="G22824" s="13"/>
    </row>
    <row r="22825" spans="4:7" x14ac:dyDescent="0.3">
      <c r="D22825" s="1"/>
      <c r="G22825" s="13"/>
    </row>
    <row r="22826" spans="4:7" x14ac:dyDescent="0.3">
      <c r="D22826" s="1"/>
      <c r="G22826" s="13"/>
    </row>
    <row r="22827" spans="4:7" x14ac:dyDescent="0.3">
      <c r="D22827" s="1"/>
      <c r="G22827" s="13"/>
    </row>
    <row r="22828" spans="4:7" x14ac:dyDescent="0.3">
      <c r="D22828" s="1"/>
      <c r="G22828" s="13"/>
    </row>
    <row r="22829" spans="4:7" x14ac:dyDescent="0.3">
      <c r="D22829" s="1"/>
      <c r="G22829" s="13"/>
    </row>
    <row r="22830" spans="4:7" x14ac:dyDescent="0.3">
      <c r="D22830" s="1"/>
      <c r="G22830" s="13"/>
    </row>
    <row r="22831" spans="4:7" x14ac:dyDescent="0.3">
      <c r="D22831" s="1"/>
      <c r="G22831" s="13"/>
    </row>
    <row r="22832" spans="4:7" x14ac:dyDescent="0.3">
      <c r="D22832" s="1"/>
      <c r="G22832" s="13"/>
    </row>
    <row r="22833" spans="4:7" x14ac:dyDescent="0.3">
      <c r="D22833" s="1"/>
      <c r="G22833" s="13"/>
    </row>
    <row r="22834" spans="4:7" x14ac:dyDescent="0.3">
      <c r="D22834" s="1"/>
      <c r="G22834" s="13"/>
    </row>
    <row r="22835" spans="4:7" x14ac:dyDescent="0.3">
      <c r="D22835" s="1"/>
      <c r="G22835" s="13"/>
    </row>
    <row r="22836" spans="4:7" x14ac:dyDescent="0.3">
      <c r="D22836" s="1"/>
      <c r="G22836" s="13"/>
    </row>
    <row r="22837" spans="4:7" x14ac:dyDescent="0.3">
      <c r="D22837" s="1"/>
      <c r="G22837" s="13"/>
    </row>
    <row r="22838" spans="4:7" x14ac:dyDescent="0.3">
      <c r="D22838" s="1"/>
      <c r="G22838" s="13"/>
    </row>
    <row r="22839" spans="4:7" x14ac:dyDescent="0.3">
      <c r="D22839" s="1"/>
      <c r="G22839" s="13"/>
    </row>
    <row r="22840" spans="4:7" x14ac:dyDescent="0.3">
      <c r="D22840" s="1"/>
      <c r="G22840" s="13"/>
    </row>
    <row r="22841" spans="4:7" x14ac:dyDescent="0.3">
      <c r="D22841" s="1"/>
      <c r="G22841" s="13"/>
    </row>
    <row r="22842" spans="4:7" x14ac:dyDescent="0.3">
      <c r="D22842" s="1"/>
      <c r="G22842" s="13"/>
    </row>
    <row r="22843" spans="4:7" x14ac:dyDescent="0.3">
      <c r="D22843" s="1"/>
      <c r="G22843" s="13"/>
    </row>
    <row r="22844" spans="4:7" x14ac:dyDescent="0.3">
      <c r="D22844" s="1"/>
      <c r="G22844" s="13"/>
    </row>
    <row r="22845" spans="4:7" x14ac:dyDescent="0.3">
      <c r="D22845" s="1"/>
      <c r="G22845" s="13"/>
    </row>
    <row r="22846" spans="4:7" x14ac:dyDescent="0.3">
      <c r="D22846" s="1"/>
      <c r="G22846" s="13"/>
    </row>
    <row r="22847" spans="4:7" x14ac:dyDescent="0.3">
      <c r="D22847" s="1"/>
      <c r="G22847" s="13"/>
    </row>
    <row r="22848" spans="4:7" x14ac:dyDescent="0.3">
      <c r="D22848" s="1"/>
      <c r="G22848" s="13"/>
    </row>
    <row r="22849" spans="4:7" x14ac:dyDescent="0.3">
      <c r="D22849" s="1"/>
      <c r="G22849" s="13"/>
    </row>
    <row r="22850" spans="4:7" x14ac:dyDescent="0.3">
      <c r="D22850" s="1"/>
      <c r="G22850" s="13"/>
    </row>
    <row r="22851" spans="4:7" x14ac:dyDescent="0.3">
      <c r="D22851" s="1"/>
      <c r="G22851" s="13"/>
    </row>
    <row r="22852" spans="4:7" x14ac:dyDescent="0.3">
      <c r="D22852" s="1"/>
      <c r="G22852" s="13"/>
    </row>
    <row r="22853" spans="4:7" x14ac:dyDescent="0.3">
      <c r="D22853" s="1"/>
      <c r="G22853" s="13"/>
    </row>
    <row r="22854" spans="4:7" x14ac:dyDescent="0.3">
      <c r="D22854" s="1"/>
      <c r="G22854" s="13"/>
    </row>
    <row r="22855" spans="4:7" x14ac:dyDescent="0.3">
      <c r="D22855" s="1"/>
      <c r="G22855" s="13"/>
    </row>
    <row r="22856" spans="4:7" x14ac:dyDescent="0.3">
      <c r="D22856" s="1"/>
      <c r="G22856" s="13"/>
    </row>
    <row r="22857" spans="4:7" x14ac:dyDescent="0.3">
      <c r="D22857" s="1"/>
      <c r="G22857" s="13"/>
    </row>
    <row r="22858" spans="4:7" x14ac:dyDescent="0.3">
      <c r="D22858" s="1"/>
      <c r="G22858" s="13"/>
    </row>
    <row r="22859" spans="4:7" x14ac:dyDescent="0.3">
      <c r="D22859" s="1"/>
      <c r="G22859" s="13"/>
    </row>
    <row r="22860" spans="4:7" x14ac:dyDescent="0.3">
      <c r="D22860" s="1"/>
      <c r="G22860" s="13"/>
    </row>
    <row r="22861" spans="4:7" x14ac:dyDescent="0.3">
      <c r="D22861" s="1"/>
      <c r="G22861" s="13"/>
    </row>
    <row r="22862" spans="4:7" x14ac:dyDescent="0.3">
      <c r="D22862" s="1"/>
      <c r="G22862" s="13"/>
    </row>
    <row r="22863" spans="4:7" x14ac:dyDescent="0.3">
      <c r="D22863" s="1"/>
      <c r="G22863" s="13"/>
    </row>
    <row r="22864" spans="4:7" x14ac:dyDescent="0.3">
      <c r="D22864" s="1"/>
      <c r="G22864" s="13"/>
    </row>
    <row r="22865" spans="4:7" x14ac:dyDescent="0.3">
      <c r="D22865" s="1"/>
      <c r="G22865" s="13"/>
    </row>
    <row r="22866" spans="4:7" x14ac:dyDescent="0.3">
      <c r="D22866" s="1"/>
      <c r="G22866" s="13"/>
    </row>
    <row r="22867" spans="4:7" x14ac:dyDescent="0.3">
      <c r="D22867" s="1"/>
      <c r="G22867" s="13"/>
    </row>
    <row r="22868" spans="4:7" x14ac:dyDescent="0.3">
      <c r="D22868" s="1"/>
      <c r="G22868" s="13"/>
    </row>
    <row r="22869" spans="4:7" x14ac:dyDescent="0.3">
      <c r="D22869" s="1"/>
      <c r="G22869" s="13"/>
    </row>
    <row r="22870" spans="4:7" x14ac:dyDescent="0.3">
      <c r="D22870" s="1"/>
      <c r="G22870" s="13"/>
    </row>
    <row r="22871" spans="4:7" x14ac:dyDescent="0.3">
      <c r="D22871" s="1"/>
      <c r="G22871" s="13"/>
    </row>
    <row r="22872" spans="4:7" x14ac:dyDescent="0.3">
      <c r="D22872" s="1"/>
      <c r="G22872" s="13"/>
    </row>
    <row r="22873" spans="4:7" x14ac:dyDescent="0.3">
      <c r="D22873" s="1"/>
      <c r="G22873" s="13"/>
    </row>
    <row r="22874" spans="4:7" x14ac:dyDescent="0.3">
      <c r="D22874" s="1"/>
      <c r="G22874" s="13"/>
    </row>
    <row r="22875" spans="4:7" x14ac:dyDescent="0.3">
      <c r="D22875" s="1"/>
      <c r="G22875" s="13"/>
    </row>
    <row r="22876" spans="4:7" x14ac:dyDescent="0.3">
      <c r="D22876" s="1"/>
      <c r="G22876" s="13"/>
    </row>
    <row r="22877" spans="4:7" x14ac:dyDescent="0.3">
      <c r="D22877" s="1"/>
      <c r="G22877" s="13"/>
    </row>
    <row r="22878" spans="4:7" x14ac:dyDescent="0.3">
      <c r="D22878" s="1"/>
      <c r="G22878" s="13"/>
    </row>
    <row r="22879" spans="4:7" x14ac:dyDescent="0.3">
      <c r="D22879" s="1"/>
      <c r="G22879" s="13"/>
    </row>
    <row r="22880" spans="4:7" x14ac:dyDescent="0.3">
      <c r="D22880" s="1"/>
      <c r="G22880" s="13"/>
    </row>
    <row r="22881" spans="4:7" x14ac:dyDescent="0.3">
      <c r="D22881" s="1"/>
      <c r="G22881" s="13"/>
    </row>
    <row r="22882" spans="4:7" x14ac:dyDescent="0.3">
      <c r="D22882" s="1"/>
      <c r="G22882" s="13"/>
    </row>
    <row r="22883" spans="4:7" x14ac:dyDescent="0.3">
      <c r="D22883" s="1"/>
      <c r="G22883" s="13"/>
    </row>
    <row r="22884" spans="4:7" x14ac:dyDescent="0.3">
      <c r="D22884" s="1"/>
      <c r="G22884" s="13"/>
    </row>
    <row r="22885" spans="4:7" x14ac:dyDescent="0.3">
      <c r="D22885" s="1"/>
      <c r="G22885" s="13"/>
    </row>
    <row r="22886" spans="4:7" x14ac:dyDescent="0.3">
      <c r="D22886" s="1"/>
      <c r="G22886" s="13"/>
    </row>
    <row r="22887" spans="4:7" x14ac:dyDescent="0.3">
      <c r="D22887" s="1"/>
      <c r="G22887" s="13"/>
    </row>
    <row r="22888" spans="4:7" x14ac:dyDescent="0.3">
      <c r="D22888" s="1"/>
      <c r="G22888" s="13"/>
    </row>
    <row r="22889" spans="4:7" x14ac:dyDescent="0.3">
      <c r="D22889" s="1"/>
      <c r="G22889" s="13"/>
    </row>
    <row r="22890" spans="4:7" x14ac:dyDescent="0.3">
      <c r="D22890" s="1"/>
      <c r="G22890" s="13"/>
    </row>
    <row r="22891" spans="4:7" x14ac:dyDescent="0.3">
      <c r="D22891" s="1"/>
      <c r="G22891" s="13"/>
    </row>
    <row r="22892" spans="4:7" x14ac:dyDescent="0.3">
      <c r="D22892" s="1"/>
      <c r="G22892" s="13"/>
    </row>
    <row r="22893" spans="4:7" x14ac:dyDescent="0.3">
      <c r="D22893" s="1"/>
      <c r="G22893" s="13"/>
    </row>
    <row r="22894" spans="4:7" x14ac:dyDescent="0.3">
      <c r="D22894" s="1"/>
      <c r="G22894" s="13"/>
    </row>
    <row r="22895" spans="4:7" x14ac:dyDescent="0.3">
      <c r="D22895" s="1"/>
      <c r="G22895" s="13"/>
    </row>
    <row r="22896" spans="4:7" x14ac:dyDescent="0.3">
      <c r="D22896" s="1"/>
      <c r="G22896" s="13"/>
    </row>
    <row r="22897" spans="4:7" x14ac:dyDescent="0.3">
      <c r="D22897" s="1"/>
      <c r="G22897" s="13"/>
    </row>
    <row r="22898" spans="4:7" x14ac:dyDescent="0.3">
      <c r="D22898" s="1"/>
      <c r="G22898" s="13"/>
    </row>
    <row r="22899" spans="4:7" x14ac:dyDescent="0.3">
      <c r="D22899" s="1"/>
      <c r="G22899" s="13"/>
    </row>
    <row r="22900" spans="4:7" x14ac:dyDescent="0.3">
      <c r="D22900" s="1"/>
      <c r="G22900" s="13"/>
    </row>
    <row r="22901" spans="4:7" x14ac:dyDescent="0.3">
      <c r="D22901" s="1"/>
      <c r="G22901" s="13"/>
    </row>
    <row r="22902" spans="4:7" x14ac:dyDescent="0.3">
      <c r="D22902" s="1"/>
      <c r="G22902" s="13"/>
    </row>
    <row r="22903" spans="4:7" x14ac:dyDescent="0.3">
      <c r="D22903" s="1"/>
      <c r="G22903" s="13"/>
    </row>
    <row r="22904" spans="4:7" x14ac:dyDescent="0.3">
      <c r="D22904" s="1"/>
      <c r="G22904" s="13"/>
    </row>
    <row r="22905" spans="4:7" x14ac:dyDescent="0.3">
      <c r="D22905" s="1"/>
      <c r="G22905" s="13"/>
    </row>
    <row r="22906" spans="4:7" x14ac:dyDescent="0.3">
      <c r="D22906" s="1"/>
      <c r="G22906" s="13"/>
    </row>
    <row r="22907" spans="4:7" x14ac:dyDescent="0.3">
      <c r="D22907" s="1"/>
      <c r="G22907" s="13"/>
    </row>
    <row r="22908" spans="4:7" x14ac:dyDescent="0.3">
      <c r="D22908" s="1"/>
      <c r="G22908" s="13"/>
    </row>
    <row r="22909" spans="4:7" x14ac:dyDescent="0.3">
      <c r="D22909" s="1"/>
      <c r="G22909" s="13"/>
    </row>
    <row r="22910" spans="4:7" x14ac:dyDescent="0.3">
      <c r="D22910" s="1"/>
      <c r="G22910" s="13"/>
    </row>
    <row r="22911" spans="4:7" x14ac:dyDescent="0.3">
      <c r="D22911" s="1"/>
      <c r="G22911" s="13"/>
    </row>
    <row r="22912" spans="4:7" x14ac:dyDescent="0.3">
      <c r="D22912" s="1"/>
      <c r="G22912" s="13"/>
    </row>
    <row r="22913" spans="4:7" x14ac:dyDescent="0.3">
      <c r="D22913" s="1"/>
      <c r="G22913" s="13"/>
    </row>
    <row r="22914" spans="4:7" x14ac:dyDescent="0.3">
      <c r="D22914" s="1"/>
      <c r="G22914" s="13"/>
    </row>
    <row r="22915" spans="4:7" x14ac:dyDescent="0.3">
      <c r="D22915" s="1"/>
      <c r="G22915" s="13"/>
    </row>
    <row r="22916" spans="4:7" x14ac:dyDescent="0.3">
      <c r="D22916" s="1"/>
      <c r="G22916" s="13"/>
    </row>
    <row r="22917" spans="4:7" x14ac:dyDescent="0.3">
      <c r="D22917" s="1"/>
      <c r="G22917" s="13"/>
    </row>
    <row r="22918" spans="4:7" x14ac:dyDescent="0.3">
      <c r="D22918" s="1"/>
      <c r="G22918" s="13"/>
    </row>
    <row r="22919" spans="4:7" x14ac:dyDescent="0.3">
      <c r="D22919" s="1"/>
      <c r="G22919" s="13"/>
    </row>
    <row r="22920" spans="4:7" x14ac:dyDescent="0.3">
      <c r="D22920" s="1"/>
      <c r="G22920" s="13"/>
    </row>
    <row r="22921" spans="4:7" x14ac:dyDescent="0.3">
      <c r="D22921" s="1"/>
      <c r="G22921" s="13"/>
    </row>
    <row r="22922" spans="4:7" x14ac:dyDescent="0.3">
      <c r="D22922" s="1"/>
      <c r="G22922" s="13"/>
    </row>
    <row r="22923" spans="4:7" x14ac:dyDescent="0.3">
      <c r="D22923" s="1"/>
      <c r="G22923" s="13"/>
    </row>
    <row r="22924" spans="4:7" x14ac:dyDescent="0.3">
      <c r="D22924" s="1"/>
      <c r="G22924" s="13"/>
    </row>
    <row r="22925" spans="4:7" x14ac:dyDescent="0.3">
      <c r="D22925" s="1"/>
      <c r="G22925" s="13"/>
    </row>
    <row r="22926" spans="4:7" x14ac:dyDescent="0.3">
      <c r="D22926" s="1"/>
      <c r="G22926" s="13"/>
    </row>
    <row r="22927" spans="4:7" x14ac:dyDescent="0.3">
      <c r="D22927" s="1"/>
      <c r="G22927" s="13"/>
    </row>
    <row r="22928" spans="4:7" x14ac:dyDescent="0.3">
      <c r="D22928" s="1"/>
      <c r="G22928" s="13"/>
    </row>
    <row r="22929" spans="4:7" x14ac:dyDescent="0.3">
      <c r="D22929" s="1"/>
      <c r="G22929" s="13"/>
    </row>
    <row r="22930" spans="4:7" x14ac:dyDescent="0.3">
      <c r="D22930" s="1"/>
      <c r="G22930" s="13"/>
    </row>
    <row r="22931" spans="4:7" x14ac:dyDescent="0.3">
      <c r="D22931" s="1"/>
      <c r="G22931" s="13"/>
    </row>
    <row r="22932" spans="4:7" x14ac:dyDescent="0.3">
      <c r="D22932" s="1"/>
      <c r="G22932" s="13"/>
    </row>
    <row r="22933" spans="4:7" x14ac:dyDescent="0.3">
      <c r="D22933" s="1"/>
      <c r="G22933" s="13"/>
    </row>
    <row r="22934" spans="4:7" x14ac:dyDescent="0.3">
      <c r="D22934" s="1"/>
      <c r="G22934" s="13"/>
    </row>
    <row r="22935" spans="4:7" x14ac:dyDescent="0.3">
      <c r="D22935" s="1"/>
      <c r="G22935" s="13"/>
    </row>
    <row r="22936" spans="4:7" x14ac:dyDescent="0.3">
      <c r="D22936" s="1"/>
      <c r="G22936" s="13"/>
    </row>
    <row r="22937" spans="4:7" x14ac:dyDescent="0.3">
      <c r="D22937" s="1"/>
      <c r="G22937" s="13"/>
    </row>
    <row r="22938" spans="4:7" x14ac:dyDescent="0.3">
      <c r="D22938" s="1"/>
      <c r="G22938" s="13"/>
    </row>
    <row r="22939" spans="4:7" x14ac:dyDescent="0.3">
      <c r="D22939" s="1"/>
      <c r="G22939" s="13"/>
    </row>
    <row r="22940" spans="4:7" x14ac:dyDescent="0.3">
      <c r="D22940" s="1"/>
      <c r="G22940" s="13"/>
    </row>
    <row r="22941" spans="4:7" x14ac:dyDescent="0.3">
      <c r="D22941" s="1"/>
      <c r="G22941" s="13"/>
    </row>
    <row r="22942" spans="4:7" x14ac:dyDescent="0.3">
      <c r="D22942" s="1"/>
      <c r="G22942" s="13"/>
    </row>
    <row r="22943" spans="4:7" x14ac:dyDescent="0.3">
      <c r="D22943" s="1"/>
      <c r="G22943" s="13"/>
    </row>
    <row r="22944" spans="4:7" x14ac:dyDescent="0.3">
      <c r="D22944" s="1"/>
      <c r="G22944" s="13"/>
    </row>
    <row r="22945" spans="4:7" x14ac:dyDescent="0.3">
      <c r="D22945" s="1"/>
      <c r="G22945" s="13"/>
    </row>
    <row r="22946" spans="4:7" x14ac:dyDescent="0.3">
      <c r="D22946" s="1"/>
      <c r="G22946" s="13"/>
    </row>
    <row r="22947" spans="4:7" x14ac:dyDescent="0.3">
      <c r="D22947" s="1"/>
      <c r="G22947" s="13"/>
    </row>
    <row r="22948" spans="4:7" x14ac:dyDescent="0.3">
      <c r="D22948" s="1"/>
      <c r="G22948" s="13"/>
    </row>
    <row r="22949" spans="4:7" x14ac:dyDescent="0.3">
      <c r="D22949" s="1"/>
      <c r="G22949" s="13"/>
    </row>
    <row r="22950" spans="4:7" x14ac:dyDescent="0.3">
      <c r="D22950" s="1"/>
      <c r="G22950" s="13"/>
    </row>
    <row r="22951" spans="4:7" x14ac:dyDescent="0.3">
      <c r="D22951" s="1"/>
      <c r="G22951" s="13"/>
    </row>
    <row r="22952" spans="4:7" x14ac:dyDescent="0.3">
      <c r="D22952" s="1"/>
      <c r="G22952" s="13"/>
    </row>
    <row r="22953" spans="4:7" x14ac:dyDescent="0.3">
      <c r="D22953" s="1"/>
      <c r="G22953" s="13"/>
    </row>
    <row r="22954" spans="4:7" x14ac:dyDescent="0.3">
      <c r="D22954" s="1"/>
      <c r="G22954" s="13"/>
    </row>
    <row r="22955" spans="4:7" x14ac:dyDescent="0.3">
      <c r="D22955" s="1"/>
      <c r="G22955" s="13"/>
    </row>
    <row r="22956" spans="4:7" x14ac:dyDescent="0.3">
      <c r="D22956" s="1"/>
      <c r="G22956" s="13"/>
    </row>
    <row r="22957" spans="4:7" x14ac:dyDescent="0.3">
      <c r="D22957" s="1"/>
      <c r="G22957" s="13"/>
    </row>
    <row r="22958" spans="4:7" x14ac:dyDescent="0.3">
      <c r="D22958" s="1"/>
      <c r="G22958" s="13"/>
    </row>
    <row r="22959" spans="4:7" x14ac:dyDescent="0.3">
      <c r="D22959" s="1"/>
      <c r="G22959" s="13"/>
    </row>
    <row r="22960" spans="4:7" x14ac:dyDescent="0.3">
      <c r="D22960" s="1"/>
      <c r="G22960" s="13"/>
    </row>
    <row r="22961" spans="4:7" x14ac:dyDescent="0.3">
      <c r="D22961" s="1"/>
      <c r="G22961" s="13"/>
    </row>
    <row r="22962" spans="4:7" x14ac:dyDescent="0.3">
      <c r="D22962" s="1"/>
      <c r="G22962" s="13"/>
    </row>
    <row r="22963" spans="4:7" x14ac:dyDescent="0.3">
      <c r="D22963" s="1"/>
      <c r="G22963" s="13"/>
    </row>
    <row r="22964" spans="4:7" x14ac:dyDescent="0.3">
      <c r="D22964" s="1"/>
      <c r="G22964" s="13"/>
    </row>
    <row r="22965" spans="4:7" x14ac:dyDescent="0.3">
      <c r="D22965" s="1"/>
      <c r="G22965" s="13"/>
    </row>
    <row r="22966" spans="4:7" x14ac:dyDescent="0.3">
      <c r="D22966" s="1"/>
      <c r="G22966" s="13"/>
    </row>
    <row r="22967" spans="4:7" x14ac:dyDescent="0.3">
      <c r="D22967" s="1"/>
      <c r="G22967" s="13"/>
    </row>
    <row r="22968" spans="4:7" x14ac:dyDescent="0.3">
      <c r="D22968" s="1"/>
      <c r="G22968" s="13"/>
    </row>
    <row r="22969" spans="4:7" x14ac:dyDescent="0.3">
      <c r="D22969" s="1"/>
      <c r="G22969" s="13"/>
    </row>
    <row r="22970" spans="4:7" x14ac:dyDescent="0.3">
      <c r="D22970" s="1"/>
      <c r="G22970" s="13"/>
    </row>
    <row r="22971" spans="4:7" x14ac:dyDescent="0.3">
      <c r="D22971" s="1"/>
      <c r="G22971" s="13"/>
    </row>
    <row r="22972" spans="4:7" x14ac:dyDescent="0.3">
      <c r="D22972" s="1"/>
      <c r="G22972" s="13"/>
    </row>
    <row r="22973" spans="4:7" x14ac:dyDescent="0.3">
      <c r="D22973" s="1"/>
      <c r="G22973" s="13"/>
    </row>
    <row r="22974" spans="4:7" x14ac:dyDescent="0.3">
      <c r="D22974" s="1"/>
      <c r="G22974" s="13"/>
    </row>
    <row r="22975" spans="4:7" x14ac:dyDescent="0.3">
      <c r="D22975" s="1"/>
      <c r="G22975" s="13"/>
    </row>
    <row r="22976" spans="4:7" x14ac:dyDescent="0.3">
      <c r="D22976" s="1"/>
      <c r="G22976" s="13"/>
    </row>
    <row r="22977" spans="4:7" x14ac:dyDescent="0.3">
      <c r="D22977" s="1"/>
      <c r="G22977" s="13"/>
    </row>
    <row r="22978" spans="4:7" x14ac:dyDescent="0.3">
      <c r="D22978" s="1"/>
      <c r="G22978" s="13"/>
    </row>
    <row r="22979" spans="4:7" x14ac:dyDescent="0.3">
      <c r="D22979" s="1"/>
      <c r="G22979" s="13"/>
    </row>
    <row r="22980" spans="4:7" x14ac:dyDescent="0.3">
      <c r="D22980" s="1"/>
      <c r="G22980" s="13"/>
    </row>
    <row r="22981" spans="4:7" x14ac:dyDescent="0.3">
      <c r="D22981" s="1"/>
      <c r="G22981" s="13"/>
    </row>
    <row r="22982" spans="4:7" x14ac:dyDescent="0.3">
      <c r="D22982" s="1"/>
      <c r="G22982" s="13"/>
    </row>
    <row r="22983" spans="4:7" x14ac:dyDescent="0.3">
      <c r="D22983" s="1"/>
      <c r="G22983" s="13"/>
    </row>
    <row r="22984" spans="4:7" x14ac:dyDescent="0.3">
      <c r="D22984" s="1"/>
      <c r="G22984" s="13"/>
    </row>
    <row r="22985" spans="4:7" x14ac:dyDescent="0.3">
      <c r="D22985" s="1"/>
      <c r="G22985" s="13"/>
    </row>
    <row r="22986" spans="4:7" x14ac:dyDescent="0.3">
      <c r="D22986" s="1"/>
      <c r="G22986" s="13"/>
    </row>
    <row r="22987" spans="4:7" x14ac:dyDescent="0.3">
      <c r="D22987" s="1"/>
      <c r="G22987" s="13"/>
    </row>
    <row r="22988" spans="4:7" x14ac:dyDescent="0.3">
      <c r="D22988" s="1"/>
      <c r="G22988" s="13"/>
    </row>
    <row r="22989" spans="4:7" x14ac:dyDescent="0.3">
      <c r="D22989" s="1"/>
      <c r="G22989" s="13"/>
    </row>
    <row r="22990" spans="4:7" x14ac:dyDescent="0.3">
      <c r="D22990" s="1"/>
      <c r="G22990" s="13"/>
    </row>
    <row r="22991" spans="4:7" x14ac:dyDescent="0.3">
      <c r="D22991" s="1"/>
      <c r="G22991" s="13"/>
    </row>
    <row r="22992" spans="4:7" x14ac:dyDescent="0.3">
      <c r="D22992" s="1"/>
      <c r="G22992" s="13"/>
    </row>
    <row r="22993" spans="4:7" x14ac:dyDescent="0.3">
      <c r="D22993" s="1"/>
      <c r="G22993" s="13"/>
    </row>
    <row r="22994" spans="4:7" x14ac:dyDescent="0.3">
      <c r="D22994" s="1"/>
      <c r="G22994" s="13"/>
    </row>
    <row r="22995" spans="4:7" x14ac:dyDescent="0.3">
      <c r="D22995" s="1"/>
      <c r="G22995" s="13"/>
    </row>
    <row r="22996" spans="4:7" x14ac:dyDescent="0.3">
      <c r="D22996" s="1"/>
      <c r="G22996" s="13"/>
    </row>
    <row r="22997" spans="4:7" x14ac:dyDescent="0.3">
      <c r="D22997" s="1"/>
      <c r="G22997" s="13"/>
    </row>
    <row r="22998" spans="4:7" x14ac:dyDescent="0.3">
      <c r="D22998" s="1"/>
      <c r="G22998" s="13"/>
    </row>
    <row r="22999" spans="4:7" x14ac:dyDescent="0.3">
      <c r="D22999" s="1"/>
      <c r="G22999" s="13"/>
    </row>
    <row r="23000" spans="4:7" x14ac:dyDescent="0.3">
      <c r="D23000" s="1"/>
      <c r="G23000" s="13"/>
    </row>
    <row r="23001" spans="4:7" x14ac:dyDescent="0.3">
      <c r="D23001" s="1"/>
      <c r="G23001" s="13"/>
    </row>
    <row r="23002" spans="4:7" x14ac:dyDescent="0.3">
      <c r="D23002" s="1"/>
      <c r="G23002" s="13"/>
    </row>
    <row r="23003" spans="4:7" x14ac:dyDescent="0.3">
      <c r="D23003" s="1"/>
      <c r="G23003" s="13"/>
    </row>
    <row r="23004" spans="4:7" x14ac:dyDescent="0.3">
      <c r="D23004" s="1"/>
      <c r="G23004" s="13"/>
    </row>
    <row r="23005" spans="4:7" x14ac:dyDescent="0.3">
      <c r="D23005" s="1"/>
      <c r="G23005" s="13"/>
    </row>
    <row r="23006" spans="4:7" x14ac:dyDescent="0.3">
      <c r="D23006" s="1"/>
      <c r="G23006" s="13"/>
    </row>
    <row r="23007" spans="4:7" x14ac:dyDescent="0.3">
      <c r="D23007" s="1"/>
      <c r="G23007" s="13"/>
    </row>
    <row r="23008" spans="4:7" x14ac:dyDescent="0.3">
      <c r="D23008" s="1"/>
      <c r="G23008" s="13"/>
    </row>
    <row r="23009" spans="4:7" x14ac:dyDescent="0.3">
      <c r="D23009" s="1"/>
      <c r="G23009" s="13"/>
    </row>
    <row r="23010" spans="4:7" x14ac:dyDescent="0.3">
      <c r="D23010" s="1"/>
      <c r="G23010" s="13"/>
    </row>
    <row r="23011" spans="4:7" x14ac:dyDescent="0.3">
      <c r="D23011" s="1"/>
      <c r="G23011" s="13"/>
    </row>
    <row r="23012" spans="4:7" x14ac:dyDescent="0.3">
      <c r="D23012" s="1"/>
      <c r="G23012" s="13"/>
    </row>
    <row r="23013" spans="4:7" x14ac:dyDescent="0.3">
      <c r="D23013" s="1"/>
      <c r="G23013" s="13"/>
    </row>
    <row r="23014" spans="4:7" x14ac:dyDescent="0.3">
      <c r="D23014" s="1"/>
      <c r="G23014" s="13"/>
    </row>
    <row r="23015" spans="4:7" x14ac:dyDescent="0.3">
      <c r="D23015" s="1"/>
      <c r="G23015" s="13"/>
    </row>
    <row r="23016" spans="4:7" x14ac:dyDescent="0.3">
      <c r="D23016" s="1"/>
      <c r="G23016" s="13"/>
    </row>
    <row r="23017" spans="4:7" x14ac:dyDescent="0.3">
      <c r="D23017" s="1"/>
      <c r="G23017" s="13"/>
    </row>
    <row r="23018" spans="4:7" x14ac:dyDescent="0.3">
      <c r="D23018" s="1"/>
      <c r="G23018" s="13"/>
    </row>
    <row r="23019" spans="4:7" x14ac:dyDescent="0.3">
      <c r="D23019" s="1"/>
      <c r="G23019" s="13"/>
    </row>
    <row r="23020" spans="4:7" x14ac:dyDescent="0.3">
      <c r="D23020" s="1"/>
      <c r="G23020" s="13"/>
    </row>
    <row r="23021" spans="4:7" x14ac:dyDescent="0.3">
      <c r="D23021" s="1"/>
      <c r="G23021" s="13"/>
    </row>
    <row r="23022" spans="4:7" x14ac:dyDescent="0.3">
      <c r="D23022" s="1"/>
      <c r="G23022" s="13"/>
    </row>
    <row r="23023" spans="4:7" x14ac:dyDescent="0.3">
      <c r="D23023" s="1"/>
      <c r="G23023" s="13"/>
    </row>
    <row r="23024" spans="4:7" x14ac:dyDescent="0.3">
      <c r="D23024" s="1"/>
      <c r="G23024" s="13"/>
    </row>
    <row r="23025" spans="4:7" x14ac:dyDescent="0.3">
      <c r="D23025" s="1"/>
      <c r="G23025" s="13"/>
    </row>
    <row r="23026" spans="4:7" x14ac:dyDescent="0.3">
      <c r="D23026" s="1"/>
      <c r="G23026" s="13"/>
    </row>
    <row r="23027" spans="4:7" x14ac:dyDescent="0.3">
      <c r="D23027" s="1"/>
      <c r="G23027" s="13"/>
    </row>
    <row r="23028" spans="4:7" x14ac:dyDescent="0.3">
      <c r="D23028" s="1"/>
      <c r="G23028" s="13"/>
    </row>
    <row r="23029" spans="4:7" x14ac:dyDescent="0.3">
      <c r="D23029" s="1"/>
      <c r="G23029" s="13"/>
    </row>
    <row r="23030" spans="4:7" x14ac:dyDescent="0.3">
      <c r="D23030" s="1"/>
      <c r="G23030" s="13"/>
    </row>
    <row r="23031" spans="4:7" x14ac:dyDescent="0.3">
      <c r="D23031" s="1"/>
      <c r="G23031" s="13"/>
    </row>
    <row r="23032" spans="4:7" x14ac:dyDescent="0.3">
      <c r="D23032" s="1"/>
      <c r="G23032" s="13"/>
    </row>
    <row r="23033" spans="4:7" x14ac:dyDescent="0.3">
      <c r="D23033" s="1"/>
      <c r="G23033" s="13"/>
    </row>
    <row r="23034" spans="4:7" x14ac:dyDescent="0.3">
      <c r="D23034" s="1"/>
      <c r="G23034" s="13"/>
    </row>
    <row r="23035" spans="4:7" x14ac:dyDescent="0.3">
      <c r="D23035" s="1"/>
      <c r="G23035" s="13"/>
    </row>
    <row r="23036" spans="4:7" x14ac:dyDescent="0.3">
      <c r="D23036" s="1"/>
      <c r="G23036" s="13"/>
    </row>
    <row r="23037" spans="4:7" x14ac:dyDescent="0.3">
      <c r="D23037" s="1"/>
      <c r="G23037" s="13"/>
    </row>
    <row r="23038" spans="4:7" x14ac:dyDescent="0.3">
      <c r="D23038" s="1"/>
      <c r="G23038" s="13"/>
    </row>
    <row r="23039" spans="4:7" x14ac:dyDescent="0.3">
      <c r="D23039" s="1"/>
      <c r="G23039" s="13"/>
    </row>
    <row r="23040" spans="4:7" x14ac:dyDescent="0.3">
      <c r="D23040" s="1"/>
      <c r="G23040" s="13"/>
    </row>
    <row r="23041" spans="4:7" x14ac:dyDescent="0.3">
      <c r="D23041" s="1"/>
      <c r="G23041" s="13"/>
    </row>
    <row r="23042" spans="4:7" x14ac:dyDescent="0.3">
      <c r="D23042" s="1"/>
      <c r="G23042" s="13"/>
    </row>
    <row r="23043" spans="4:7" x14ac:dyDescent="0.3">
      <c r="D23043" s="1"/>
      <c r="G23043" s="13"/>
    </row>
    <row r="23044" spans="4:7" x14ac:dyDescent="0.3">
      <c r="D23044" s="1"/>
      <c r="G23044" s="13"/>
    </row>
    <row r="23045" spans="4:7" x14ac:dyDescent="0.3">
      <c r="D23045" s="1"/>
      <c r="G23045" s="13"/>
    </row>
    <row r="23046" spans="4:7" x14ac:dyDescent="0.3">
      <c r="D23046" s="1"/>
      <c r="G23046" s="13"/>
    </row>
    <row r="23047" spans="4:7" x14ac:dyDescent="0.3">
      <c r="D23047" s="1"/>
      <c r="G23047" s="13"/>
    </row>
    <row r="23048" spans="4:7" x14ac:dyDescent="0.3">
      <c r="D23048" s="1"/>
      <c r="G23048" s="13"/>
    </row>
    <row r="23049" spans="4:7" x14ac:dyDescent="0.3">
      <c r="D23049" s="1"/>
      <c r="G23049" s="13"/>
    </row>
    <row r="23050" spans="4:7" x14ac:dyDescent="0.3">
      <c r="D23050" s="1"/>
      <c r="G23050" s="13"/>
    </row>
    <row r="23051" spans="4:7" x14ac:dyDescent="0.3">
      <c r="D23051" s="1"/>
      <c r="G23051" s="13"/>
    </row>
    <row r="23052" spans="4:7" x14ac:dyDescent="0.3">
      <c r="D23052" s="1"/>
      <c r="G23052" s="13"/>
    </row>
    <row r="23053" spans="4:7" x14ac:dyDescent="0.3">
      <c r="D23053" s="1"/>
      <c r="G23053" s="13"/>
    </row>
    <row r="23054" spans="4:7" x14ac:dyDescent="0.3">
      <c r="D23054" s="1"/>
      <c r="G23054" s="13"/>
    </row>
    <row r="23055" spans="4:7" x14ac:dyDescent="0.3">
      <c r="D23055" s="1"/>
      <c r="G23055" s="13"/>
    </row>
    <row r="23056" spans="4:7" x14ac:dyDescent="0.3">
      <c r="D23056" s="1"/>
      <c r="G23056" s="13"/>
    </row>
    <row r="23057" spans="4:7" x14ac:dyDescent="0.3">
      <c r="D23057" s="1"/>
      <c r="G23057" s="13"/>
    </row>
    <row r="23058" spans="4:7" x14ac:dyDescent="0.3">
      <c r="D23058" s="1"/>
      <c r="G23058" s="13"/>
    </row>
    <row r="23059" spans="4:7" x14ac:dyDescent="0.3">
      <c r="D23059" s="1"/>
      <c r="G23059" s="13"/>
    </row>
    <row r="23060" spans="4:7" x14ac:dyDescent="0.3">
      <c r="D23060" s="1"/>
      <c r="G23060" s="13"/>
    </row>
    <row r="23061" spans="4:7" x14ac:dyDescent="0.3">
      <c r="D23061" s="1"/>
      <c r="G23061" s="13"/>
    </row>
    <row r="23062" spans="4:7" x14ac:dyDescent="0.3">
      <c r="D23062" s="1"/>
      <c r="G23062" s="13"/>
    </row>
    <row r="23063" spans="4:7" x14ac:dyDescent="0.3">
      <c r="D23063" s="1"/>
      <c r="G23063" s="13"/>
    </row>
    <row r="23064" spans="4:7" x14ac:dyDescent="0.3">
      <c r="D23064" s="1"/>
      <c r="G23064" s="13"/>
    </row>
    <row r="23065" spans="4:7" x14ac:dyDescent="0.3">
      <c r="D23065" s="1"/>
      <c r="G23065" s="13"/>
    </row>
    <row r="23066" spans="4:7" x14ac:dyDescent="0.3">
      <c r="D23066" s="1"/>
      <c r="G23066" s="13"/>
    </row>
    <row r="23067" spans="4:7" x14ac:dyDescent="0.3">
      <c r="D23067" s="1"/>
      <c r="G23067" s="13"/>
    </row>
    <row r="23068" spans="4:7" x14ac:dyDescent="0.3">
      <c r="D23068" s="1"/>
      <c r="G23068" s="13"/>
    </row>
    <row r="23069" spans="4:7" x14ac:dyDescent="0.3">
      <c r="D23069" s="1"/>
      <c r="G23069" s="13"/>
    </row>
    <row r="23070" spans="4:7" x14ac:dyDescent="0.3">
      <c r="D23070" s="1"/>
      <c r="G23070" s="13"/>
    </row>
    <row r="23071" spans="4:7" x14ac:dyDescent="0.3">
      <c r="D23071" s="1"/>
      <c r="G23071" s="13"/>
    </row>
    <row r="23072" spans="4:7" x14ac:dyDescent="0.3">
      <c r="D23072" s="1"/>
      <c r="G23072" s="13"/>
    </row>
    <row r="23073" spans="4:38" x14ac:dyDescent="0.3">
      <c r="D23073" s="1"/>
      <c r="G23073" s="13"/>
    </row>
    <row r="23074" spans="4:38" x14ac:dyDescent="0.3">
      <c r="D23074" s="1"/>
      <c r="G23074" s="13"/>
    </row>
    <row r="23075" spans="4:38" x14ac:dyDescent="0.3">
      <c r="D23075" s="1"/>
      <c r="G23075" s="13"/>
    </row>
    <row r="23076" spans="4:38" x14ac:dyDescent="0.3">
      <c r="D23076" s="1"/>
      <c r="G23076" s="13"/>
    </row>
    <row r="23077" spans="4:38" x14ac:dyDescent="0.3">
      <c r="D23077" s="1"/>
      <c r="G23077" s="13"/>
    </row>
    <row r="23078" spans="4:38" x14ac:dyDescent="0.3">
      <c r="D23078" s="1"/>
      <c r="G23078" s="13"/>
    </row>
    <row r="23079" spans="4:38" x14ac:dyDescent="0.3">
      <c r="D23079" s="1"/>
      <c r="G23079" s="13"/>
    </row>
    <row r="23080" spans="4:38" x14ac:dyDescent="0.3">
      <c r="D23080" s="1"/>
      <c r="G23080" s="13"/>
    </row>
    <row r="23081" spans="4:38" x14ac:dyDescent="0.3">
      <c r="D23081" s="1"/>
      <c r="G23081" s="13"/>
    </row>
    <row r="23082" spans="4:38" x14ac:dyDescent="0.3">
      <c r="D23082" s="1"/>
      <c r="G23082" s="13"/>
    </row>
    <row r="23083" spans="4:38" x14ac:dyDescent="0.3">
      <c r="D23083" s="1"/>
      <c r="G23083" s="13"/>
    </row>
    <row r="23084" spans="4:38" x14ac:dyDescent="0.3">
      <c r="D23084" s="1"/>
      <c r="G23084" s="13"/>
      <c r="AL23084" s="13"/>
    </row>
    <row r="23085" spans="4:38" x14ac:dyDescent="0.3">
      <c r="D23085" s="1"/>
      <c r="G23085" s="13"/>
      <c r="AL23085" s="13"/>
    </row>
    <row r="23086" spans="4:38" x14ac:dyDescent="0.3">
      <c r="D23086" s="1"/>
      <c r="G23086" s="13"/>
      <c r="AL23086" s="13"/>
    </row>
    <row r="23087" spans="4:38" x14ac:dyDescent="0.3">
      <c r="D23087" s="1"/>
      <c r="G23087" s="13"/>
      <c r="AL23087" s="13"/>
    </row>
    <row r="23088" spans="4:38" x14ac:dyDescent="0.3">
      <c r="D23088" s="1"/>
      <c r="G23088" s="13"/>
      <c r="AL23088" s="13"/>
    </row>
    <row r="23089" spans="4:38" x14ac:dyDescent="0.3">
      <c r="D23089" s="1"/>
      <c r="G23089" s="13"/>
      <c r="AL23089" s="13"/>
    </row>
    <row r="23090" spans="4:38" x14ac:dyDescent="0.3">
      <c r="D23090" s="1"/>
      <c r="G23090" s="13"/>
      <c r="AL23090" s="13"/>
    </row>
    <row r="23091" spans="4:38" x14ac:dyDescent="0.3">
      <c r="D23091" s="1"/>
      <c r="G23091" s="13"/>
      <c r="AL23091" s="13"/>
    </row>
    <row r="23092" spans="4:38" x14ac:dyDescent="0.3">
      <c r="D23092" s="1"/>
      <c r="G23092" s="13"/>
      <c r="AL23092" s="13"/>
    </row>
    <row r="23093" spans="4:38" x14ac:dyDescent="0.3">
      <c r="D23093" s="1"/>
      <c r="G23093" s="13"/>
    </row>
    <row r="23094" spans="4:38" x14ac:dyDescent="0.3">
      <c r="D23094" s="1"/>
      <c r="G23094" s="13"/>
    </row>
    <row r="23095" spans="4:38" x14ac:dyDescent="0.3">
      <c r="D23095" s="1"/>
      <c r="G23095" s="13"/>
    </row>
    <row r="23096" spans="4:38" x14ac:dyDescent="0.3">
      <c r="D23096" s="1"/>
      <c r="G23096" s="13"/>
    </row>
    <row r="23097" spans="4:38" x14ac:dyDescent="0.3">
      <c r="D23097" s="1"/>
      <c r="G23097" s="13"/>
    </row>
    <row r="23098" spans="4:38" x14ac:dyDescent="0.3">
      <c r="D23098" s="1"/>
      <c r="G23098" s="13"/>
    </row>
    <row r="23099" spans="4:38" x14ac:dyDescent="0.3">
      <c r="D23099" s="1"/>
      <c r="G23099" s="13"/>
    </row>
    <row r="23100" spans="4:38" x14ac:dyDescent="0.3">
      <c r="D23100" s="1"/>
      <c r="G23100" s="13"/>
    </row>
    <row r="23101" spans="4:38" x14ac:dyDescent="0.3">
      <c r="D23101" s="1"/>
      <c r="G23101" s="13"/>
    </row>
    <row r="23102" spans="4:38" x14ac:dyDescent="0.3">
      <c r="D23102" s="1"/>
      <c r="G23102" s="13"/>
    </row>
    <row r="23103" spans="4:38" x14ac:dyDescent="0.3">
      <c r="D23103" s="1"/>
      <c r="G23103" s="13"/>
    </row>
    <row r="23104" spans="4:38" x14ac:dyDescent="0.3">
      <c r="D23104" s="1"/>
      <c r="G23104" s="13"/>
    </row>
    <row r="23105" spans="4:7" x14ac:dyDescent="0.3">
      <c r="D23105" s="1"/>
      <c r="G23105" s="13"/>
    </row>
    <row r="23106" spans="4:7" x14ac:dyDescent="0.3">
      <c r="G23106" s="13"/>
    </row>
    <row r="23107" spans="4:7" x14ac:dyDescent="0.3">
      <c r="D23107" s="1"/>
      <c r="G23107" s="13"/>
    </row>
    <row r="23108" spans="4:7" x14ac:dyDescent="0.3">
      <c r="G23108" s="13"/>
    </row>
    <row r="23109" spans="4:7" x14ac:dyDescent="0.3">
      <c r="D23109" s="1"/>
      <c r="G23109" s="13"/>
    </row>
    <row r="23110" spans="4:7" x14ac:dyDescent="0.3">
      <c r="D23110" s="1"/>
      <c r="G23110" s="13"/>
    </row>
    <row r="23111" spans="4:7" x14ac:dyDescent="0.3">
      <c r="D23111" s="1"/>
      <c r="G23111" s="13"/>
    </row>
    <row r="23112" spans="4:7" x14ac:dyDescent="0.3">
      <c r="D23112" s="1"/>
      <c r="G23112" s="13"/>
    </row>
    <row r="23113" spans="4:7" x14ac:dyDescent="0.3">
      <c r="D23113" s="1"/>
      <c r="G23113" s="13"/>
    </row>
    <row r="23114" spans="4:7" x14ac:dyDescent="0.3">
      <c r="D23114" s="1"/>
      <c r="G23114" s="13"/>
    </row>
    <row r="23115" spans="4:7" x14ac:dyDescent="0.3">
      <c r="D23115" s="1"/>
      <c r="G23115" s="13"/>
    </row>
    <row r="23116" spans="4:7" x14ac:dyDescent="0.3">
      <c r="G23116" s="13"/>
    </row>
    <row r="23117" spans="4:7" x14ac:dyDescent="0.3">
      <c r="D23117" s="1"/>
      <c r="G23117" s="13"/>
    </row>
    <row r="23118" spans="4:7" x14ac:dyDescent="0.3">
      <c r="D23118" s="1"/>
      <c r="G23118" s="13"/>
    </row>
    <row r="23119" spans="4:7" x14ac:dyDescent="0.3">
      <c r="D23119" s="1"/>
      <c r="G23119" s="13"/>
    </row>
    <row r="23120" spans="4:7" x14ac:dyDescent="0.3">
      <c r="D23120" s="1"/>
      <c r="G23120" s="13"/>
    </row>
    <row r="23121" spans="4:7" x14ac:dyDescent="0.3">
      <c r="D23121" s="1"/>
      <c r="G23121" s="13"/>
    </row>
    <row r="23122" spans="4:7" x14ac:dyDescent="0.3">
      <c r="D23122" s="1"/>
      <c r="G23122" s="13"/>
    </row>
    <row r="23123" spans="4:7" x14ac:dyDescent="0.3">
      <c r="D23123" s="1"/>
      <c r="G23123" s="13"/>
    </row>
    <row r="23124" spans="4:7" x14ac:dyDescent="0.3">
      <c r="D23124" s="1"/>
      <c r="G23124" s="13"/>
    </row>
    <row r="23125" spans="4:7" x14ac:dyDescent="0.3">
      <c r="D23125" s="1"/>
      <c r="G23125" s="13"/>
    </row>
    <row r="23126" spans="4:7" x14ac:dyDescent="0.3">
      <c r="D23126" s="1"/>
      <c r="G23126" s="13"/>
    </row>
    <row r="23127" spans="4:7" x14ac:dyDescent="0.3">
      <c r="D23127" s="1"/>
      <c r="G23127" s="13"/>
    </row>
    <row r="23128" spans="4:7" x14ac:dyDescent="0.3">
      <c r="D23128" s="1"/>
      <c r="G23128" s="13"/>
    </row>
    <row r="23129" spans="4:7" x14ac:dyDescent="0.3">
      <c r="D23129" s="1"/>
      <c r="G23129" s="13"/>
    </row>
    <row r="23130" spans="4:7" x14ac:dyDescent="0.3">
      <c r="D23130" s="1"/>
      <c r="G23130" s="13"/>
    </row>
    <row r="23131" spans="4:7" x14ac:dyDescent="0.3">
      <c r="D23131" s="1"/>
      <c r="G23131" s="13"/>
    </row>
    <row r="23132" spans="4:7" x14ac:dyDescent="0.3">
      <c r="D23132" s="1"/>
      <c r="G23132" s="13"/>
    </row>
    <row r="23133" spans="4:7" x14ac:dyDescent="0.3">
      <c r="D23133" s="1"/>
      <c r="G23133" s="13"/>
    </row>
    <row r="23134" spans="4:7" x14ac:dyDescent="0.3">
      <c r="D23134" s="1"/>
      <c r="G23134" s="13"/>
    </row>
    <row r="23135" spans="4:7" x14ac:dyDescent="0.3">
      <c r="D23135" s="1"/>
      <c r="G23135" s="13"/>
    </row>
    <row r="23136" spans="4:7" x14ac:dyDescent="0.3">
      <c r="G23136" s="13"/>
    </row>
    <row r="23137" spans="4:7" x14ac:dyDescent="0.3">
      <c r="D23137" s="1"/>
      <c r="G23137" s="13"/>
    </row>
    <row r="23138" spans="4:7" x14ac:dyDescent="0.3">
      <c r="D23138" s="1"/>
      <c r="G23138" s="13"/>
    </row>
    <row r="23139" spans="4:7" x14ac:dyDescent="0.3">
      <c r="D23139" s="1"/>
      <c r="G23139" s="13"/>
    </row>
    <row r="23140" spans="4:7" x14ac:dyDescent="0.3">
      <c r="D23140" s="1"/>
      <c r="G23140" s="13"/>
    </row>
    <row r="23141" spans="4:7" x14ac:dyDescent="0.3">
      <c r="D23141" s="1"/>
      <c r="G23141" s="13"/>
    </row>
    <row r="23142" spans="4:7" x14ac:dyDescent="0.3">
      <c r="D23142" s="1"/>
      <c r="G23142" s="13"/>
    </row>
    <row r="23143" spans="4:7" x14ac:dyDescent="0.3">
      <c r="D23143" s="1"/>
      <c r="G23143" s="13"/>
    </row>
    <row r="23144" spans="4:7" x14ac:dyDescent="0.3">
      <c r="D23144" s="1"/>
      <c r="G23144" s="13"/>
    </row>
    <row r="23145" spans="4:7" x14ac:dyDescent="0.3">
      <c r="D23145" s="1"/>
      <c r="G23145" s="13"/>
    </row>
    <row r="23146" spans="4:7" x14ac:dyDescent="0.3">
      <c r="D23146" s="1"/>
      <c r="G23146" s="13"/>
    </row>
    <row r="23147" spans="4:7" x14ac:dyDescent="0.3">
      <c r="D23147" s="1"/>
      <c r="G23147" s="13"/>
    </row>
    <row r="23148" spans="4:7" x14ac:dyDescent="0.3">
      <c r="D23148" s="1"/>
      <c r="G23148" s="13"/>
    </row>
    <row r="23149" spans="4:7" x14ac:dyDescent="0.3">
      <c r="D23149" s="1"/>
      <c r="G23149" s="13"/>
    </row>
    <row r="23150" spans="4:7" x14ac:dyDescent="0.3">
      <c r="D23150" s="1"/>
      <c r="G23150" s="13"/>
    </row>
    <row r="23151" spans="4:7" x14ac:dyDescent="0.3">
      <c r="D23151" s="1"/>
      <c r="G23151" s="13"/>
    </row>
    <row r="23152" spans="4:7" x14ac:dyDescent="0.3">
      <c r="D23152" s="1"/>
      <c r="G23152" s="13"/>
    </row>
    <row r="23153" spans="4:7" x14ac:dyDescent="0.3">
      <c r="D23153" s="1"/>
      <c r="G23153" s="13"/>
    </row>
    <row r="23154" spans="4:7" x14ac:dyDescent="0.3">
      <c r="D23154" s="1"/>
      <c r="G23154" s="13"/>
    </row>
    <row r="23155" spans="4:7" x14ac:dyDescent="0.3">
      <c r="D23155" s="1"/>
      <c r="G23155" s="13"/>
    </row>
    <row r="23156" spans="4:7" x14ac:dyDescent="0.3">
      <c r="D23156" s="1"/>
      <c r="G23156" s="13"/>
    </row>
    <row r="23157" spans="4:7" x14ac:dyDescent="0.3">
      <c r="D23157" s="1"/>
      <c r="G23157" s="13"/>
    </row>
    <row r="23158" spans="4:7" x14ac:dyDescent="0.3">
      <c r="D23158" s="1"/>
      <c r="G23158" s="13"/>
    </row>
    <row r="23159" spans="4:7" x14ac:dyDescent="0.3">
      <c r="D23159" s="1"/>
      <c r="G23159" s="13"/>
    </row>
    <row r="23160" spans="4:7" x14ac:dyDescent="0.3">
      <c r="D23160" s="1"/>
      <c r="G23160" s="13"/>
    </row>
    <row r="23161" spans="4:7" x14ac:dyDescent="0.3">
      <c r="D23161" s="1"/>
      <c r="G23161" s="13"/>
    </row>
    <row r="23162" spans="4:7" x14ac:dyDescent="0.3">
      <c r="D23162" s="1"/>
      <c r="G23162" s="13"/>
    </row>
    <row r="23163" spans="4:7" x14ac:dyDescent="0.3">
      <c r="D23163" s="1"/>
      <c r="G23163" s="13"/>
    </row>
    <row r="23164" spans="4:7" x14ac:dyDescent="0.3">
      <c r="D23164" s="1"/>
      <c r="G23164" s="13"/>
    </row>
    <row r="23165" spans="4:7" x14ac:dyDescent="0.3">
      <c r="D23165" s="1"/>
      <c r="G23165" s="13"/>
    </row>
    <row r="23166" spans="4:7" x14ac:dyDescent="0.3">
      <c r="D23166" s="1"/>
      <c r="G23166" s="13"/>
    </row>
    <row r="23167" spans="4:7" x14ac:dyDescent="0.3">
      <c r="D23167" s="1"/>
      <c r="G23167" s="13"/>
    </row>
    <row r="23168" spans="4:7" x14ac:dyDescent="0.3">
      <c r="D23168" s="1"/>
      <c r="G23168" s="13"/>
    </row>
    <row r="23169" spans="4:38" x14ac:dyDescent="0.3">
      <c r="D23169" s="1"/>
      <c r="G23169" s="13"/>
    </row>
    <row r="23170" spans="4:38" x14ac:dyDescent="0.3">
      <c r="D23170" s="1"/>
      <c r="G23170" s="13"/>
    </row>
    <row r="23171" spans="4:38" x14ac:dyDescent="0.3">
      <c r="D23171" s="1"/>
      <c r="G23171" s="13"/>
    </row>
    <row r="23172" spans="4:38" x14ac:dyDescent="0.3">
      <c r="D23172" s="1"/>
      <c r="G23172" s="13"/>
    </row>
    <row r="23173" spans="4:38" x14ac:dyDescent="0.3">
      <c r="D23173" s="1"/>
      <c r="G23173" s="13"/>
    </row>
    <row r="23174" spans="4:38" x14ac:dyDescent="0.3">
      <c r="D23174" s="1"/>
      <c r="G23174" s="13"/>
    </row>
    <row r="23175" spans="4:38" x14ac:dyDescent="0.3">
      <c r="D23175" s="1"/>
      <c r="G23175" s="13"/>
    </row>
    <row r="23176" spans="4:38" x14ac:dyDescent="0.3">
      <c r="D23176" s="1"/>
      <c r="G23176" s="13"/>
    </row>
    <row r="23177" spans="4:38" x14ac:dyDescent="0.3">
      <c r="D23177" s="1"/>
      <c r="G23177" s="13"/>
      <c r="AL23177" s="13"/>
    </row>
    <row r="23178" spans="4:38" x14ac:dyDescent="0.3">
      <c r="D23178" s="1"/>
      <c r="G23178" s="13"/>
      <c r="AL23178" s="13"/>
    </row>
    <row r="23179" spans="4:38" x14ac:dyDescent="0.3">
      <c r="D23179" s="1"/>
      <c r="G23179" s="13"/>
      <c r="AL23179" s="13"/>
    </row>
    <row r="23180" spans="4:38" x14ac:dyDescent="0.3">
      <c r="D23180" s="1"/>
      <c r="G23180" s="13"/>
      <c r="AL23180" s="13"/>
    </row>
    <row r="23181" spans="4:38" x14ac:dyDescent="0.3">
      <c r="D23181" s="1"/>
      <c r="G23181" s="13"/>
      <c r="AL23181" s="13"/>
    </row>
    <row r="23182" spans="4:38" x14ac:dyDescent="0.3">
      <c r="D23182" s="1"/>
      <c r="G23182" s="13"/>
      <c r="AL23182" s="13"/>
    </row>
    <row r="23183" spans="4:38" x14ac:dyDescent="0.3">
      <c r="D23183" s="1"/>
      <c r="G23183" s="13"/>
      <c r="AL23183" s="13"/>
    </row>
    <row r="23184" spans="4:38" x14ac:dyDescent="0.3">
      <c r="D23184" s="1"/>
      <c r="G23184" s="13"/>
      <c r="AL23184" s="13"/>
    </row>
    <row r="23185" spans="4:38" x14ac:dyDescent="0.3">
      <c r="D23185" s="1"/>
      <c r="G23185" s="13"/>
      <c r="AL23185" s="13"/>
    </row>
    <row r="23186" spans="4:38" x14ac:dyDescent="0.3">
      <c r="D23186" s="1"/>
      <c r="G23186" s="13"/>
      <c r="AL23186" s="13"/>
    </row>
    <row r="23187" spans="4:38" x14ac:dyDescent="0.3">
      <c r="D23187" s="1"/>
      <c r="G23187" s="13"/>
      <c r="AL23187" s="13"/>
    </row>
    <row r="23188" spans="4:38" x14ac:dyDescent="0.3">
      <c r="D23188" s="1"/>
      <c r="G23188" s="13"/>
      <c r="AL23188" s="13"/>
    </row>
    <row r="23189" spans="4:38" x14ac:dyDescent="0.3">
      <c r="D23189" s="1"/>
      <c r="G23189" s="13"/>
    </row>
    <row r="23190" spans="4:38" x14ac:dyDescent="0.3">
      <c r="D23190" s="1"/>
      <c r="G23190" s="13"/>
    </row>
    <row r="23191" spans="4:38" x14ac:dyDescent="0.3">
      <c r="D23191" s="1"/>
      <c r="G23191" s="13"/>
    </row>
    <row r="23192" spans="4:38" x14ac:dyDescent="0.3">
      <c r="D23192" s="1"/>
      <c r="G23192" s="13"/>
    </row>
    <row r="23193" spans="4:38" x14ac:dyDescent="0.3">
      <c r="D23193" s="1"/>
      <c r="G23193" s="13"/>
    </row>
    <row r="23194" spans="4:38" x14ac:dyDescent="0.3">
      <c r="D23194" s="1"/>
      <c r="G23194" s="13"/>
    </row>
    <row r="23195" spans="4:38" x14ac:dyDescent="0.3">
      <c r="D23195" s="1"/>
      <c r="G23195" s="13"/>
    </row>
    <row r="23196" spans="4:38" x14ac:dyDescent="0.3">
      <c r="D23196" s="1"/>
      <c r="G23196" s="13"/>
    </row>
    <row r="23197" spans="4:38" x14ac:dyDescent="0.3">
      <c r="D23197" s="1"/>
      <c r="G23197" s="13"/>
    </row>
    <row r="23198" spans="4:38" x14ac:dyDescent="0.3">
      <c r="D23198" s="1"/>
      <c r="G23198" s="13"/>
    </row>
    <row r="23199" spans="4:38" x14ac:dyDescent="0.3">
      <c r="D23199" s="1"/>
      <c r="G23199" s="13"/>
    </row>
    <row r="23200" spans="4:38" x14ac:dyDescent="0.3">
      <c r="D23200" s="1"/>
      <c r="G23200" s="13"/>
    </row>
    <row r="23201" spans="4:7" x14ac:dyDescent="0.3">
      <c r="D23201" s="1"/>
      <c r="G23201" s="13"/>
    </row>
    <row r="23202" spans="4:7" x14ac:dyDescent="0.3">
      <c r="D23202" s="1"/>
      <c r="G23202" s="13"/>
    </row>
    <row r="23203" spans="4:7" x14ac:dyDescent="0.3">
      <c r="D23203" s="1"/>
      <c r="G23203" s="13"/>
    </row>
    <row r="23204" spans="4:7" x14ac:dyDescent="0.3">
      <c r="D23204" s="1"/>
      <c r="G23204" s="13"/>
    </row>
    <row r="23205" spans="4:7" x14ac:dyDescent="0.3">
      <c r="D23205" s="1"/>
      <c r="G23205" s="13"/>
    </row>
    <row r="23206" spans="4:7" x14ac:dyDescent="0.3">
      <c r="D23206" s="1"/>
      <c r="G23206" s="13"/>
    </row>
    <row r="23207" spans="4:7" x14ac:dyDescent="0.3">
      <c r="D23207" s="1"/>
      <c r="G23207" s="13"/>
    </row>
    <row r="23208" spans="4:7" x14ac:dyDescent="0.3">
      <c r="D23208" s="1"/>
      <c r="G23208" s="13"/>
    </row>
    <row r="23209" spans="4:7" x14ac:dyDescent="0.3">
      <c r="D23209" s="1"/>
      <c r="G23209" s="13"/>
    </row>
    <row r="23210" spans="4:7" x14ac:dyDescent="0.3">
      <c r="D23210" s="1"/>
      <c r="G23210" s="13"/>
    </row>
    <row r="23211" spans="4:7" x14ac:dyDescent="0.3">
      <c r="D23211" s="1"/>
      <c r="G23211" s="13"/>
    </row>
    <row r="23212" spans="4:7" x14ac:dyDescent="0.3">
      <c r="D23212" s="1"/>
      <c r="G23212" s="13"/>
    </row>
    <row r="23213" spans="4:7" x14ac:dyDescent="0.3">
      <c r="D23213" s="1"/>
      <c r="G23213" s="13"/>
    </row>
    <row r="23214" spans="4:7" x14ac:dyDescent="0.3">
      <c r="D23214" s="1"/>
      <c r="G23214" s="13"/>
    </row>
    <row r="23215" spans="4:7" x14ac:dyDescent="0.3">
      <c r="D23215" s="1"/>
      <c r="G23215" s="13"/>
    </row>
    <row r="23216" spans="4:7" x14ac:dyDescent="0.3">
      <c r="D23216" s="1"/>
      <c r="G23216" s="13"/>
    </row>
    <row r="23217" spans="4:7" x14ac:dyDescent="0.3">
      <c r="D23217" s="1"/>
      <c r="G23217" s="13"/>
    </row>
    <row r="23218" spans="4:7" x14ac:dyDescent="0.3">
      <c r="D23218" s="1"/>
      <c r="G23218" s="13"/>
    </row>
    <row r="23219" spans="4:7" x14ac:dyDescent="0.3">
      <c r="D23219" s="1"/>
      <c r="G23219" s="13"/>
    </row>
    <row r="23220" spans="4:7" x14ac:dyDescent="0.3">
      <c r="D23220" s="1"/>
      <c r="G23220" s="13"/>
    </row>
    <row r="23221" spans="4:7" x14ac:dyDescent="0.3">
      <c r="D23221" s="1"/>
      <c r="G23221" s="13"/>
    </row>
    <row r="23222" spans="4:7" x14ac:dyDescent="0.3">
      <c r="D23222" s="1"/>
      <c r="G23222" s="13"/>
    </row>
    <row r="23223" spans="4:7" x14ac:dyDescent="0.3">
      <c r="D23223" s="1"/>
      <c r="G23223" s="13"/>
    </row>
    <row r="23224" spans="4:7" x14ac:dyDescent="0.3">
      <c r="D23224" s="1"/>
      <c r="G23224" s="13"/>
    </row>
    <row r="23225" spans="4:7" x14ac:dyDescent="0.3">
      <c r="D23225" s="1"/>
      <c r="G23225" s="13"/>
    </row>
    <row r="23226" spans="4:7" x14ac:dyDescent="0.3">
      <c r="D23226" s="1"/>
      <c r="G23226" s="13"/>
    </row>
    <row r="23227" spans="4:7" x14ac:dyDescent="0.3">
      <c r="D23227" s="1"/>
      <c r="G23227" s="13"/>
    </row>
    <row r="23228" spans="4:7" x14ac:dyDescent="0.3">
      <c r="D23228" s="1"/>
      <c r="G23228" s="13"/>
    </row>
    <row r="23229" spans="4:7" x14ac:dyDescent="0.3">
      <c r="D23229" s="1"/>
      <c r="G23229" s="13"/>
    </row>
    <row r="23230" spans="4:7" x14ac:dyDescent="0.3">
      <c r="D23230" s="1"/>
      <c r="G23230" s="13"/>
    </row>
    <row r="23231" spans="4:7" x14ac:dyDescent="0.3">
      <c r="D23231" s="1"/>
      <c r="G23231" s="13"/>
    </row>
    <row r="23232" spans="4:7" x14ac:dyDescent="0.3">
      <c r="D23232" s="1"/>
      <c r="G23232" s="13"/>
    </row>
    <row r="23233" spans="4:7" x14ac:dyDescent="0.3">
      <c r="G23233" s="13"/>
    </row>
    <row r="23234" spans="4:7" x14ac:dyDescent="0.3">
      <c r="D23234" s="1"/>
      <c r="G23234" s="13"/>
    </row>
    <row r="23235" spans="4:7" x14ac:dyDescent="0.3">
      <c r="D23235" s="1"/>
      <c r="G23235" s="13"/>
    </row>
    <row r="23236" spans="4:7" x14ac:dyDescent="0.3">
      <c r="D23236" s="1"/>
      <c r="G23236" s="13"/>
    </row>
    <row r="23237" spans="4:7" x14ac:dyDescent="0.3">
      <c r="D23237" s="1"/>
      <c r="G23237" s="13"/>
    </row>
    <row r="23238" spans="4:7" x14ac:dyDescent="0.3">
      <c r="D23238" s="1"/>
      <c r="G23238" s="13"/>
    </row>
    <row r="23239" spans="4:7" x14ac:dyDescent="0.3">
      <c r="D23239" s="1"/>
      <c r="G23239" s="13"/>
    </row>
    <row r="23240" spans="4:7" x14ac:dyDescent="0.3">
      <c r="D23240" s="1"/>
      <c r="G23240" s="13"/>
    </row>
    <row r="23241" spans="4:7" x14ac:dyDescent="0.3">
      <c r="D23241" s="1"/>
      <c r="G23241" s="13"/>
    </row>
    <row r="23242" spans="4:7" x14ac:dyDescent="0.3">
      <c r="D23242" s="1"/>
      <c r="G23242" s="13"/>
    </row>
    <row r="23243" spans="4:7" x14ac:dyDescent="0.3">
      <c r="D23243" s="1"/>
      <c r="G23243" s="13"/>
    </row>
    <row r="23244" spans="4:7" x14ac:dyDescent="0.3">
      <c r="D23244" s="1"/>
      <c r="G23244" s="13"/>
    </row>
    <row r="23245" spans="4:7" x14ac:dyDescent="0.3">
      <c r="D23245" s="1"/>
      <c r="G23245" s="13"/>
    </row>
    <row r="23246" spans="4:7" x14ac:dyDescent="0.3">
      <c r="D23246" s="1"/>
      <c r="G23246" s="13"/>
    </row>
    <row r="23247" spans="4:7" x14ac:dyDescent="0.3">
      <c r="D23247" s="1"/>
      <c r="G23247" s="13"/>
    </row>
    <row r="23248" spans="4:7" x14ac:dyDescent="0.3">
      <c r="D23248" s="1"/>
      <c r="G23248" s="13"/>
    </row>
    <row r="23249" spans="4:7" x14ac:dyDescent="0.3">
      <c r="D23249" s="1"/>
      <c r="G23249" s="13"/>
    </row>
    <row r="23250" spans="4:7" x14ac:dyDescent="0.3">
      <c r="D23250" s="1"/>
      <c r="G23250" s="13"/>
    </row>
    <row r="23251" spans="4:7" x14ac:dyDescent="0.3">
      <c r="D23251" s="1"/>
      <c r="G23251" s="13"/>
    </row>
    <row r="23252" spans="4:7" x14ac:dyDescent="0.3">
      <c r="D23252" s="1"/>
      <c r="G23252" s="13"/>
    </row>
    <row r="23253" spans="4:7" x14ac:dyDescent="0.3">
      <c r="D23253" s="1"/>
      <c r="G23253" s="13"/>
    </row>
    <row r="23254" spans="4:7" x14ac:dyDescent="0.3">
      <c r="D23254" s="1"/>
      <c r="G23254" s="13"/>
    </row>
    <row r="23255" spans="4:7" x14ac:dyDescent="0.3">
      <c r="D23255" s="1"/>
      <c r="G23255" s="13"/>
    </row>
    <row r="23256" spans="4:7" x14ac:dyDescent="0.3">
      <c r="D23256" s="1"/>
      <c r="G23256" s="13"/>
    </row>
    <row r="23257" spans="4:7" x14ac:dyDescent="0.3">
      <c r="D23257" s="1"/>
      <c r="G23257" s="13"/>
    </row>
    <row r="23258" spans="4:7" x14ac:dyDescent="0.3">
      <c r="D23258" s="1"/>
      <c r="G23258" s="13"/>
    </row>
    <row r="23259" spans="4:7" x14ac:dyDescent="0.3">
      <c r="D23259" s="1"/>
      <c r="G23259" s="13"/>
    </row>
    <row r="23260" spans="4:7" x14ac:dyDescent="0.3">
      <c r="D23260" s="1"/>
      <c r="G23260" s="13"/>
    </row>
    <row r="23261" spans="4:7" x14ac:dyDescent="0.3">
      <c r="D23261" s="1"/>
      <c r="G23261" s="13"/>
    </row>
    <row r="23262" spans="4:7" x14ac:dyDescent="0.3">
      <c r="D23262" s="1"/>
      <c r="G23262" s="13"/>
    </row>
    <row r="23263" spans="4:7" x14ac:dyDescent="0.3">
      <c r="D23263" s="1"/>
      <c r="G23263" s="13"/>
    </row>
    <row r="23264" spans="4:7" x14ac:dyDescent="0.3">
      <c r="D23264" s="1"/>
      <c r="G23264" s="13"/>
    </row>
    <row r="23265" spans="4:7" x14ac:dyDescent="0.3">
      <c r="D23265" s="1"/>
      <c r="G23265" s="13"/>
    </row>
    <row r="23266" spans="4:7" x14ac:dyDescent="0.3">
      <c r="D23266" s="1"/>
      <c r="G23266" s="13"/>
    </row>
    <row r="23267" spans="4:7" x14ac:dyDescent="0.3">
      <c r="D23267" s="1"/>
      <c r="G23267" s="13"/>
    </row>
    <row r="23268" spans="4:7" x14ac:dyDescent="0.3">
      <c r="D23268" s="1"/>
      <c r="G23268" s="13"/>
    </row>
    <row r="23269" spans="4:7" x14ac:dyDescent="0.3">
      <c r="D23269" s="1"/>
      <c r="G23269" s="13"/>
    </row>
    <row r="23270" spans="4:7" x14ac:dyDescent="0.3">
      <c r="D23270" s="1"/>
      <c r="G23270" s="13"/>
    </row>
    <row r="23271" spans="4:7" x14ac:dyDescent="0.3">
      <c r="D23271" s="1"/>
      <c r="G23271" s="13"/>
    </row>
    <row r="23272" spans="4:7" x14ac:dyDescent="0.3">
      <c r="D23272" s="1"/>
      <c r="G23272" s="13"/>
    </row>
    <row r="23273" spans="4:7" x14ac:dyDescent="0.3">
      <c r="D23273" s="1"/>
      <c r="G23273" s="13"/>
    </row>
    <row r="23274" spans="4:7" x14ac:dyDescent="0.3">
      <c r="D23274" s="1"/>
      <c r="G23274" s="13"/>
    </row>
    <row r="23275" spans="4:7" x14ac:dyDescent="0.3">
      <c r="D23275" s="1"/>
      <c r="G23275" s="13"/>
    </row>
    <row r="23276" spans="4:7" x14ac:dyDescent="0.3">
      <c r="D23276" s="1"/>
      <c r="G23276" s="13"/>
    </row>
    <row r="23277" spans="4:7" x14ac:dyDescent="0.3">
      <c r="D23277" s="1"/>
      <c r="G23277" s="13"/>
    </row>
    <row r="23278" spans="4:7" x14ac:dyDescent="0.3">
      <c r="D23278" s="1"/>
      <c r="G23278" s="13"/>
    </row>
    <row r="23279" spans="4:7" x14ac:dyDescent="0.3">
      <c r="D23279" s="1"/>
      <c r="G23279" s="13"/>
    </row>
    <row r="23280" spans="4:7" x14ac:dyDescent="0.3">
      <c r="D23280" s="1"/>
      <c r="G23280" s="13"/>
    </row>
    <row r="23281" spans="4:7" x14ac:dyDescent="0.3">
      <c r="D23281" s="1"/>
      <c r="G23281" s="13"/>
    </row>
    <row r="23282" spans="4:7" x14ac:dyDescent="0.3">
      <c r="D23282" s="1"/>
      <c r="G23282" s="13"/>
    </row>
    <row r="23283" spans="4:7" x14ac:dyDescent="0.3">
      <c r="D23283" s="1"/>
      <c r="G23283" s="13"/>
    </row>
    <row r="23284" spans="4:7" x14ac:dyDescent="0.3">
      <c r="D23284" s="1"/>
      <c r="G23284" s="13"/>
    </row>
    <row r="23285" spans="4:7" x14ac:dyDescent="0.3">
      <c r="D23285" s="1"/>
      <c r="G23285" s="13"/>
    </row>
    <row r="23286" spans="4:7" x14ac:dyDescent="0.3">
      <c r="D23286" s="1"/>
      <c r="G23286" s="13"/>
    </row>
    <row r="23287" spans="4:7" x14ac:dyDescent="0.3">
      <c r="D23287" s="1"/>
      <c r="G23287" s="13"/>
    </row>
    <row r="23288" spans="4:7" x14ac:dyDescent="0.3">
      <c r="D23288" s="1"/>
      <c r="G23288" s="13"/>
    </row>
    <row r="23289" spans="4:7" x14ac:dyDescent="0.3">
      <c r="D23289" s="1"/>
      <c r="G23289" s="13"/>
    </row>
    <row r="23290" spans="4:7" x14ac:dyDescent="0.3">
      <c r="D23290" s="1"/>
      <c r="G23290" s="13"/>
    </row>
    <row r="23291" spans="4:7" x14ac:dyDescent="0.3">
      <c r="D23291" s="1"/>
      <c r="G23291" s="13"/>
    </row>
    <row r="23292" spans="4:7" x14ac:dyDescent="0.3">
      <c r="D23292" s="1"/>
      <c r="G23292" s="13"/>
    </row>
    <row r="23293" spans="4:7" x14ac:dyDescent="0.3">
      <c r="D23293" s="1"/>
      <c r="G23293" s="13"/>
    </row>
    <row r="23294" spans="4:7" x14ac:dyDescent="0.3">
      <c r="D23294" s="1"/>
      <c r="G23294" s="13"/>
    </row>
    <row r="23295" spans="4:7" x14ac:dyDescent="0.3">
      <c r="D23295" s="1"/>
      <c r="G23295" s="13"/>
    </row>
    <row r="23296" spans="4:7" x14ac:dyDescent="0.3">
      <c r="D23296" s="1"/>
      <c r="G23296" s="13"/>
    </row>
    <row r="23297" spans="4:7" x14ac:dyDescent="0.3">
      <c r="D23297" s="1"/>
      <c r="G23297" s="13"/>
    </row>
    <row r="23298" spans="4:7" x14ac:dyDescent="0.3">
      <c r="D23298" s="1"/>
      <c r="G23298" s="13"/>
    </row>
    <row r="23299" spans="4:7" x14ac:dyDescent="0.3">
      <c r="D23299" s="1"/>
      <c r="G23299" s="13"/>
    </row>
    <row r="23300" spans="4:7" x14ac:dyDescent="0.3">
      <c r="D23300" s="1"/>
      <c r="G23300" s="13"/>
    </row>
    <row r="23301" spans="4:7" x14ac:dyDescent="0.3">
      <c r="D23301" s="1"/>
      <c r="G23301" s="13"/>
    </row>
    <row r="23302" spans="4:7" x14ac:dyDescent="0.3">
      <c r="D23302" s="1"/>
      <c r="G23302" s="13"/>
    </row>
    <row r="23303" spans="4:7" x14ac:dyDescent="0.3">
      <c r="D23303" s="1"/>
      <c r="G23303" s="13"/>
    </row>
    <row r="23304" spans="4:7" x14ac:dyDescent="0.3">
      <c r="D23304" s="1"/>
      <c r="G23304" s="13"/>
    </row>
    <row r="23305" spans="4:7" x14ac:dyDescent="0.3">
      <c r="D23305" s="1"/>
      <c r="G23305" s="13"/>
    </row>
    <row r="23306" spans="4:7" x14ac:dyDescent="0.3">
      <c r="D23306" s="1"/>
      <c r="G23306" s="13"/>
    </row>
    <row r="23307" spans="4:7" x14ac:dyDescent="0.3">
      <c r="D23307" s="1"/>
      <c r="G23307" s="13"/>
    </row>
    <row r="23308" spans="4:7" x14ac:dyDescent="0.3">
      <c r="D23308" s="1"/>
      <c r="G23308" s="13"/>
    </row>
    <row r="23309" spans="4:7" x14ac:dyDescent="0.3">
      <c r="D23309" s="1"/>
      <c r="G23309" s="13"/>
    </row>
    <row r="23310" spans="4:7" x14ac:dyDescent="0.3">
      <c r="D23310" s="1"/>
      <c r="G23310" s="13"/>
    </row>
    <row r="23311" spans="4:7" x14ac:dyDescent="0.3">
      <c r="D23311" s="1"/>
      <c r="G23311" s="13"/>
    </row>
    <row r="23312" spans="4:7" x14ac:dyDescent="0.3">
      <c r="D23312" s="1"/>
      <c r="G23312" s="13"/>
    </row>
    <row r="23313" spans="4:7" x14ac:dyDescent="0.3">
      <c r="D23313" s="1"/>
      <c r="G23313" s="13"/>
    </row>
    <row r="23314" spans="4:7" x14ac:dyDescent="0.3">
      <c r="D23314" s="1"/>
      <c r="G23314" s="13"/>
    </row>
    <row r="23315" spans="4:7" x14ac:dyDescent="0.3">
      <c r="D23315" s="1"/>
      <c r="G23315" s="13"/>
    </row>
    <row r="23316" spans="4:7" x14ac:dyDescent="0.3">
      <c r="D23316" s="1"/>
      <c r="G23316" s="13"/>
    </row>
    <row r="23317" spans="4:7" x14ac:dyDescent="0.3">
      <c r="D23317" s="1"/>
      <c r="G23317" s="13"/>
    </row>
    <row r="23318" spans="4:7" x14ac:dyDescent="0.3">
      <c r="D23318" s="1"/>
      <c r="G23318" s="13"/>
    </row>
    <row r="23319" spans="4:7" x14ac:dyDescent="0.3">
      <c r="D23319" s="1"/>
      <c r="G23319" s="13"/>
    </row>
    <row r="23320" spans="4:7" x14ac:dyDescent="0.3">
      <c r="D23320" s="1"/>
      <c r="G23320" s="13"/>
    </row>
    <row r="23321" spans="4:7" x14ac:dyDescent="0.3">
      <c r="D23321" s="1"/>
      <c r="G23321" s="13"/>
    </row>
    <row r="23322" spans="4:7" x14ac:dyDescent="0.3">
      <c r="D23322" s="1"/>
      <c r="G23322" s="13"/>
    </row>
    <row r="23323" spans="4:7" x14ac:dyDescent="0.3">
      <c r="D23323" s="1"/>
      <c r="G23323" s="13"/>
    </row>
    <row r="23324" spans="4:7" x14ac:dyDescent="0.3">
      <c r="D23324" s="1"/>
      <c r="G23324" s="13"/>
    </row>
    <row r="23325" spans="4:7" x14ac:dyDescent="0.3">
      <c r="D23325" s="1"/>
      <c r="G23325" s="13"/>
    </row>
    <row r="23326" spans="4:7" x14ac:dyDescent="0.3">
      <c r="D23326" s="1"/>
      <c r="G23326" s="13"/>
    </row>
    <row r="23327" spans="4:7" x14ac:dyDescent="0.3">
      <c r="G23327" s="13"/>
    </row>
    <row r="23328" spans="4:7" x14ac:dyDescent="0.3">
      <c r="D23328" s="1"/>
      <c r="G23328" s="13"/>
    </row>
    <row r="23329" spans="4:7" x14ac:dyDescent="0.3">
      <c r="D23329" s="1"/>
      <c r="G23329" s="13"/>
    </row>
    <row r="23330" spans="4:7" x14ac:dyDescent="0.3">
      <c r="D23330" s="1"/>
      <c r="G23330" s="13"/>
    </row>
    <row r="23331" spans="4:7" x14ac:dyDescent="0.3">
      <c r="D23331" s="1"/>
      <c r="G23331" s="13"/>
    </row>
    <row r="23332" spans="4:7" x14ac:dyDescent="0.3">
      <c r="D23332" s="1"/>
      <c r="G23332" s="13"/>
    </row>
    <row r="23333" spans="4:7" x14ac:dyDescent="0.3">
      <c r="D23333" s="1"/>
      <c r="G23333" s="13"/>
    </row>
    <row r="23334" spans="4:7" x14ac:dyDescent="0.3">
      <c r="D23334" s="1"/>
      <c r="G23334" s="13"/>
    </row>
    <row r="23335" spans="4:7" x14ac:dyDescent="0.3">
      <c r="D23335" s="1"/>
      <c r="G23335" s="13"/>
    </row>
    <row r="23336" spans="4:7" x14ac:dyDescent="0.3">
      <c r="D23336" s="1"/>
      <c r="G23336" s="13"/>
    </row>
    <row r="23337" spans="4:7" x14ac:dyDescent="0.3">
      <c r="D23337" s="1"/>
      <c r="G23337" s="13"/>
    </row>
    <row r="23338" spans="4:7" x14ac:dyDescent="0.3">
      <c r="D23338" s="1"/>
      <c r="G23338" s="13"/>
    </row>
    <row r="23339" spans="4:7" x14ac:dyDescent="0.3">
      <c r="D23339" s="1"/>
      <c r="G23339" s="13"/>
    </row>
    <row r="23340" spans="4:7" x14ac:dyDescent="0.3">
      <c r="D23340" s="1"/>
      <c r="G23340" s="13"/>
    </row>
    <row r="23341" spans="4:7" x14ac:dyDescent="0.3">
      <c r="D23341" s="1"/>
      <c r="G23341" s="13"/>
    </row>
    <row r="23342" spans="4:7" x14ac:dyDescent="0.3">
      <c r="D23342" s="1"/>
      <c r="G23342" s="13"/>
    </row>
    <row r="23343" spans="4:7" x14ac:dyDescent="0.3">
      <c r="D23343" s="1"/>
      <c r="G23343" s="13"/>
    </row>
    <row r="23344" spans="4:7" x14ac:dyDescent="0.3">
      <c r="D23344" s="1"/>
      <c r="G23344" s="13"/>
    </row>
    <row r="23345" spans="4:7" x14ac:dyDescent="0.3">
      <c r="D23345" s="1"/>
      <c r="G23345" s="13"/>
    </row>
    <row r="23346" spans="4:7" x14ac:dyDescent="0.3">
      <c r="D23346" s="1"/>
      <c r="G23346" s="13"/>
    </row>
    <row r="23347" spans="4:7" x14ac:dyDescent="0.3">
      <c r="D23347" s="1"/>
      <c r="G23347" s="13"/>
    </row>
    <row r="23348" spans="4:7" x14ac:dyDescent="0.3">
      <c r="D23348" s="1"/>
      <c r="G23348" s="13"/>
    </row>
    <row r="23349" spans="4:7" x14ac:dyDescent="0.3">
      <c r="D23349" s="1"/>
      <c r="G23349" s="13"/>
    </row>
    <row r="23350" spans="4:7" x14ac:dyDescent="0.3">
      <c r="D23350" s="1"/>
      <c r="G23350" s="13"/>
    </row>
    <row r="23351" spans="4:7" x14ac:dyDescent="0.3">
      <c r="D23351" s="1"/>
      <c r="G23351" s="13"/>
    </row>
    <row r="23352" spans="4:7" x14ac:dyDescent="0.3">
      <c r="D23352" s="1"/>
      <c r="G23352" s="13"/>
    </row>
    <row r="23353" spans="4:7" x14ac:dyDescent="0.3">
      <c r="D23353" s="1"/>
      <c r="G23353" s="13"/>
    </row>
    <row r="23354" spans="4:7" x14ac:dyDescent="0.3">
      <c r="D23354" s="1"/>
      <c r="G23354" s="13"/>
    </row>
    <row r="23355" spans="4:7" x14ac:dyDescent="0.3">
      <c r="D23355" s="1"/>
      <c r="G23355" s="13"/>
    </row>
    <row r="23356" spans="4:7" x14ac:dyDescent="0.3">
      <c r="D23356" s="1"/>
      <c r="G23356" s="13"/>
    </row>
    <row r="23357" spans="4:7" x14ac:dyDescent="0.3">
      <c r="D23357" s="1"/>
      <c r="G23357" s="13"/>
    </row>
    <row r="23358" spans="4:7" x14ac:dyDescent="0.3">
      <c r="D23358" s="1"/>
      <c r="G23358" s="13"/>
    </row>
    <row r="23359" spans="4:7" x14ac:dyDescent="0.3">
      <c r="D23359" s="1"/>
      <c r="G23359" s="13"/>
    </row>
    <row r="23360" spans="4:7" x14ac:dyDescent="0.3">
      <c r="D23360" s="1"/>
      <c r="G23360" s="13"/>
    </row>
    <row r="23361" spans="4:7" x14ac:dyDescent="0.3">
      <c r="D23361" s="1"/>
      <c r="G23361" s="13"/>
    </row>
    <row r="23362" spans="4:7" x14ac:dyDescent="0.3">
      <c r="D23362" s="1"/>
      <c r="G23362" s="13"/>
    </row>
    <row r="23363" spans="4:7" x14ac:dyDescent="0.3">
      <c r="D23363" s="1"/>
      <c r="G23363" s="13"/>
    </row>
    <row r="23364" spans="4:7" x14ac:dyDescent="0.3">
      <c r="D23364" s="1"/>
      <c r="G23364" s="13"/>
    </row>
    <row r="23365" spans="4:7" x14ac:dyDescent="0.3">
      <c r="D23365" s="1"/>
      <c r="G23365" s="13"/>
    </row>
    <row r="23366" spans="4:7" x14ac:dyDescent="0.3">
      <c r="D23366" s="1"/>
      <c r="G23366" s="13"/>
    </row>
    <row r="23367" spans="4:7" x14ac:dyDescent="0.3">
      <c r="D23367" s="1"/>
      <c r="G23367" s="13"/>
    </row>
    <row r="23368" spans="4:7" x14ac:dyDescent="0.3">
      <c r="D23368" s="1"/>
      <c r="G23368" s="13"/>
    </row>
    <row r="23369" spans="4:7" x14ac:dyDescent="0.3">
      <c r="D23369" s="1"/>
      <c r="G23369" s="13"/>
    </row>
    <row r="23370" spans="4:7" x14ac:dyDescent="0.3">
      <c r="G23370" s="13"/>
    </row>
    <row r="23371" spans="4:7" x14ac:dyDescent="0.3">
      <c r="D23371" s="1"/>
      <c r="G23371" s="13"/>
    </row>
    <row r="23372" spans="4:7" x14ac:dyDescent="0.3">
      <c r="D23372" s="1"/>
      <c r="G23372" s="13"/>
    </row>
    <row r="23373" spans="4:7" x14ac:dyDescent="0.3">
      <c r="D23373" s="1"/>
      <c r="G23373" s="13"/>
    </row>
    <row r="23374" spans="4:7" x14ac:dyDescent="0.3">
      <c r="D23374" s="1"/>
      <c r="G23374" s="13"/>
    </row>
    <row r="23375" spans="4:7" x14ac:dyDescent="0.3">
      <c r="D23375" s="1"/>
      <c r="G23375" s="13"/>
    </row>
    <row r="23376" spans="4:7" x14ac:dyDescent="0.3">
      <c r="D23376" s="1"/>
      <c r="G23376" s="13"/>
    </row>
    <row r="23377" spans="4:38" x14ac:dyDescent="0.3">
      <c r="D23377" s="1"/>
      <c r="G23377" s="13"/>
    </row>
    <row r="23378" spans="4:38" x14ac:dyDescent="0.3">
      <c r="D23378" s="1"/>
      <c r="G23378" s="13"/>
    </row>
    <row r="23379" spans="4:38" x14ac:dyDescent="0.3">
      <c r="D23379" s="1"/>
      <c r="G23379" s="13"/>
    </row>
    <row r="23380" spans="4:38" x14ac:dyDescent="0.3">
      <c r="D23380" s="1"/>
      <c r="G23380" s="13"/>
    </row>
    <row r="23381" spans="4:38" x14ac:dyDescent="0.3">
      <c r="D23381" s="1"/>
      <c r="G23381" s="13"/>
    </row>
    <row r="23382" spans="4:38" x14ac:dyDescent="0.3">
      <c r="D23382" s="1"/>
      <c r="G23382" s="13"/>
    </row>
    <row r="23383" spans="4:38" x14ac:dyDescent="0.3">
      <c r="D23383" s="1"/>
      <c r="G23383" s="13"/>
    </row>
    <row r="23384" spans="4:38" x14ac:dyDescent="0.3">
      <c r="D23384" s="1"/>
      <c r="G23384" s="13"/>
    </row>
    <row r="23385" spans="4:38" x14ac:dyDescent="0.3">
      <c r="D23385" s="1"/>
      <c r="G23385" s="13"/>
    </row>
    <row r="23386" spans="4:38" x14ac:dyDescent="0.3">
      <c r="D23386" s="1"/>
      <c r="G23386" s="13"/>
    </row>
    <row r="23387" spans="4:38" x14ac:dyDescent="0.3">
      <c r="D23387" s="1"/>
      <c r="G23387" s="13"/>
    </row>
    <row r="23388" spans="4:38" x14ac:dyDescent="0.3">
      <c r="D23388" s="1"/>
      <c r="G23388" s="13"/>
    </row>
    <row r="23389" spans="4:38" x14ac:dyDescent="0.3">
      <c r="D23389" s="1"/>
      <c r="G23389" s="13"/>
    </row>
    <row r="23390" spans="4:38" x14ac:dyDescent="0.3">
      <c r="D23390" s="1"/>
      <c r="G23390" s="13"/>
      <c r="AL23390" s="13"/>
    </row>
    <row r="23391" spans="4:38" x14ac:dyDescent="0.3">
      <c r="D23391" s="1"/>
      <c r="G23391" s="13"/>
      <c r="AL23391" s="13"/>
    </row>
    <row r="23392" spans="4:38" x14ac:dyDescent="0.3">
      <c r="D23392" s="1"/>
      <c r="G23392" s="13"/>
      <c r="AL23392" s="13"/>
    </row>
    <row r="23393" spans="4:38" x14ac:dyDescent="0.3">
      <c r="D23393" s="1"/>
      <c r="G23393" s="13"/>
      <c r="AL23393" s="13"/>
    </row>
    <row r="23394" spans="4:38" x14ac:dyDescent="0.3">
      <c r="D23394" s="1"/>
      <c r="G23394" s="13"/>
      <c r="AL23394" s="13"/>
    </row>
    <row r="23395" spans="4:38" x14ac:dyDescent="0.3">
      <c r="D23395" s="1"/>
      <c r="G23395" s="13"/>
      <c r="AL23395" s="13"/>
    </row>
    <row r="23396" spans="4:38" x14ac:dyDescent="0.3">
      <c r="D23396" s="1"/>
      <c r="G23396" s="13"/>
      <c r="AL23396" s="13"/>
    </row>
    <row r="23397" spans="4:38" x14ac:dyDescent="0.3">
      <c r="D23397" s="1"/>
      <c r="G23397" s="13"/>
      <c r="AL23397" s="13"/>
    </row>
    <row r="23398" spans="4:38" x14ac:dyDescent="0.3">
      <c r="D23398" s="1"/>
      <c r="G23398" s="13"/>
      <c r="AL23398" s="13"/>
    </row>
    <row r="23399" spans="4:38" x14ac:dyDescent="0.3">
      <c r="D23399" s="1"/>
      <c r="G23399" s="13"/>
      <c r="AL23399" s="13"/>
    </row>
    <row r="23400" spans="4:38" x14ac:dyDescent="0.3">
      <c r="D23400" s="1"/>
      <c r="G23400" s="13"/>
      <c r="AL23400" s="13"/>
    </row>
    <row r="23401" spans="4:38" x14ac:dyDescent="0.3">
      <c r="D23401" s="1"/>
      <c r="G23401" s="13"/>
      <c r="AL23401" s="13"/>
    </row>
    <row r="23402" spans="4:38" x14ac:dyDescent="0.3">
      <c r="D23402" s="1"/>
      <c r="G23402" s="13"/>
      <c r="AL23402" s="13"/>
    </row>
    <row r="23403" spans="4:38" x14ac:dyDescent="0.3">
      <c r="D23403" s="1"/>
      <c r="G23403" s="13"/>
      <c r="AL23403" s="13"/>
    </row>
    <row r="23404" spans="4:38" x14ac:dyDescent="0.3">
      <c r="D23404" s="1"/>
      <c r="G23404" s="13"/>
      <c r="AL23404" s="13"/>
    </row>
    <row r="23405" spans="4:38" x14ac:dyDescent="0.3">
      <c r="D23405" s="1"/>
      <c r="G23405" s="13"/>
      <c r="AL23405" s="13"/>
    </row>
    <row r="23406" spans="4:38" x14ac:dyDescent="0.3">
      <c r="D23406" s="1"/>
      <c r="G23406" s="13"/>
      <c r="AL23406" s="13"/>
    </row>
    <row r="23407" spans="4:38" x14ac:dyDescent="0.3">
      <c r="D23407" s="1"/>
      <c r="G23407" s="13"/>
      <c r="AL23407" s="13"/>
    </row>
    <row r="23408" spans="4:38" x14ac:dyDescent="0.3">
      <c r="D23408" s="1"/>
      <c r="G23408" s="13"/>
      <c r="AL23408" s="13"/>
    </row>
    <row r="23409" spans="4:38" x14ac:dyDescent="0.3">
      <c r="D23409" s="1"/>
      <c r="G23409" s="13"/>
      <c r="AL23409" s="13"/>
    </row>
    <row r="23410" spans="4:38" x14ac:dyDescent="0.3">
      <c r="D23410" s="1"/>
      <c r="G23410" s="13"/>
      <c r="AL23410" s="13"/>
    </row>
    <row r="23411" spans="4:38" x14ac:dyDescent="0.3">
      <c r="D23411" s="1"/>
      <c r="G23411" s="13"/>
      <c r="AL23411" s="13"/>
    </row>
    <row r="23412" spans="4:38" x14ac:dyDescent="0.3">
      <c r="D23412" s="1"/>
      <c r="G23412" s="13"/>
      <c r="AL23412" s="13"/>
    </row>
    <row r="23413" spans="4:38" x14ac:dyDescent="0.3">
      <c r="D23413" s="1"/>
      <c r="G23413" s="13"/>
      <c r="AL23413" s="13"/>
    </row>
    <row r="23414" spans="4:38" x14ac:dyDescent="0.3">
      <c r="D23414" s="1"/>
      <c r="G23414" s="13"/>
      <c r="AL23414" s="13"/>
    </row>
    <row r="23415" spans="4:38" x14ac:dyDescent="0.3">
      <c r="D23415" s="1"/>
      <c r="G23415" s="13"/>
      <c r="AL23415" s="13"/>
    </row>
    <row r="23416" spans="4:38" x14ac:dyDescent="0.3">
      <c r="D23416" s="1"/>
      <c r="G23416" s="13"/>
      <c r="AL23416" s="13"/>
    </row>
    <row r="23417" spans="4:38" x14ac:dyDescent="0.3">
      <c r="D23417" s="1"/>
      <c r="G23417" s="13"/>
      <c r="AL23417" s="13"/>
    </row>
    <row r="23418" spans="4:38" x14ac:dyDescent="0.3">
      <c r="D23418" s="1"/>
      <c r="G23418" s="13"/>
      <c r="AL23418" s="13"/>
    </row>
    <row r="23419" spans="4:38" x14ac:dyDescent="0.3">
      <c r="D23419" s="1"/>
      <c r="G23419" s="13"/>
      <c r="AL23419" s="13"/>
    </row>
    <row r="23420" spans="4:38" x14ac:dyDescent="0.3">
      <c r="D23420" s="1"/>
      <c r="G23420" s="13"/>
      <c r="AL23420" s="13"/>
    </row>
    <row r="23421" spans="4:38" x14ac:dyDescent="0.3">
      <c r="D23421" s="1"/>
      <c r="G23421" s="13"/>
      <c r="AL23421" s="13"/>
    </row>
    <row r="23422" spans="4:38" x14ac:dyDescent="0.3">
      <c r="D23422" s="1"/>
      <c r="G23422" s="13"/>
      <c r="AL23422" s="13"/>
    </row>
    <row r="23423" spans="4:38" x14ac:dyDescent="0.3">
      <c r="D23423" s="1"/>
      <c r="G23423" s="13"/>
      <c r="AL23423" s="13"/>
    </row>
    <row r="23424" spans="4:38" x14ac:dyDescent="0.3">
      <c r="D23424" s="1"/>
      <c r="G23424" s="13"/>
      <c r="AL23424" s="13"/>
    </row>
    <row r="23425" spans="4:38" x14ac:dyDescent="0.3">
      <c r="D23425" s="1"/>
      <c r="G23425" s="13"/>
      <c r="AL23425" s="13"/>
    </row>
    <row r="23426" spans="4:38" x14ac:dyDescent="0.3">
      <c r="D23426" s="1"/>
      <c r="G23426" s="13"/>
      <c r="AL23426" s="13"/>
    </row>
    <row r="23427" spans="4:38" x14ac:dyDescent="0.3">
      <c r="D23427" s="1"/>
      <c r="G23427" s="13"/>
      <c r="AL23427" s="13"/>
    </row>
    <row r="23428" spans="4:38" x14ac:dyDescent="0.3">
      <c r="D23428" s="1"/>
      <c r="G23428" s="13"/>
      <c r="AL23428" s="13"/>
    </row>
    <row r="23429" spans="4:38" x14ac:dyDescent="0.3">
      <c r="D23429" s="1"/>
      <c r="G23429" s="13"/>
      <c r="AL23429" s="13"/>
    </row>
    <row r="23430" spans="4:38" x14ac:dyDescent="0.3">
      <c r="D23430" s="1"/>
      <c r="G23430" s="13"/>
      <c r="AL23430" s="13"/>
    </row>
    <row r="23431" spans="4:38" x14ac:dyDescent="0.3">
      <c r="D23431" s="1"/>
      <c r="G23431" s="13"/>
      <c r="AL23431" s="13"/>
    </row>
    <row r="23432" spans="4:38" x14ac:dyDescent="0.3">
      <c r="D23432" s="1"/>
      <c r="G23432" s="13"/>
      <c r="AL23432" s="13"/>
    </row>
    <row r="23433" spans="4:38" x14ac:dyDescent="0.3">
      <c r="D23433" s="1"/>
      <c r="G23433" s="13"/>
      <c r="AL23433" s="13"/>
    </row>
    <row r="23434" spans="4:38" x14ac:dyDescent="0.3">
      <c r="D23434" s="1"/>
      <c r="G23434" s="13"/>
      <c r="AL23434" s="13"/>
    </row>
    <row r="23435" spans="4:38" x14ac:dyDescent="0.3">
      <c r="D23435" s="1"/>
      <c r="G23435" s="13"/>
      <c r="AL23435" s="13"/>
    </row>
    <row r="23436" spans="4:38" x14ac:dyDescent="0.3">
      <c r="D23436" s="1"/>
      <c r="G23436" s="13"/>
      <c r="AL23436" s="13"/>
    </row>
    <row r="23437" spans="4:38" x14ac:dyDescent="0.3">
      <c r="D23437" s="1"/>
      <c r="G23437" s="13"/>
      <c r="AL23437" s="13"/>
    </row>
    <row r="23438" spans="4:38" x14ac:dyDescent="0.3">
      <c r="D23438" s="1"/>
      <c r="G23438" s="13"/>
      <c r="AL23438" s="13"/>
    </row>
    <row r="23439" spans="4:38" x14ac:dyDescent="0.3">
      <c r="D23439" s="1"/>
      <c r="G23439" s="13"/>
      <c r="AL23439" s="13"/>
    </row>
    <row r="23440" spans="4:38" x14ac:dyDescent="0.3">
      <c r="D23440" s="1"/>
      <c r="G23440" s="13"/>
      <c r="AL23440" s="13"/>
    </row>
    <row r="23441" spans="4:38" x14ac:dyDescent="0.3">
      <c r="D23441" s="1"/>
      <c r="G23441" s="13"/>
      <c r="AL23441" s="13"/>
    </row>
    <row r="23442" spans="4:38" x14ac:dyDescent="0.3">
      <c r="D23442" s="1"/>
      <c r="G23442" s="13"/>
      <c r="AL23442" s="13"/>
    </row>
    <row r="23443" spans="4:38" x14ac:dyDescent="0.3">
      <c r="D23443" s="1"/>
      <c r="G23443" s="13"/>
      <c r="AL23443" s="13"/>
    </row>
    <row r="23444" spans="4:38" x14ac:dyDescent="0.3">
      <c r="D23444" s="1"/>
      <c r="G23444" s="13"/>
      <c r="AL23444" s="13"/>
    </row>
    <row r="23445" spans="4:38" x14ac:dyDescent="0.3">
      <c r="D23445" s="1"/>
      <c r="G23445" s="13"/>
      <c r="AL23445" s="13"/>
    </row>
    <row r="23446" spans="4:38" x14ac:dyDescent="0.3">
      <c r="D23446" s="1"/>
      <c r="G23446" s="13"/>
      <c r="AL23446" s="13"/>
    </row>
    <row r="23447" spans="4:38" x14ac:dyDescent="0.3">
      <c r="D23447" s="1"/>
      <c r="G23447" s="13"/>
      <c r="AL23447" s="13"/>
    </row>
    <row r="23448" spans="4:38" x14ac:dyDescent="0.3">
      <c r="D23448" s="1"/>
      <c r="G23448" s="13"/>
      <c r="AL23448" s="13"/>
    </row>
    <row r="23449" spans="4:38" x14ac:dyDescent="0.3">
      <c r="D23449" s="1"/>
      <c r="G23449" s="13"/>
      <c r="AL23449" s="13"/>
    </row>
    <row r="23450" spans="4:38" x14ac:dyDescent="0.3">
      <c r="D23450" s="1"/>
      <c r="G23450" s="13"/>
      <c r="AL23450" s="13"/>
    </row>
    <row r="23451" spans="4:38" x14ac:dyDescent="0.3">
      <c r="D23451" s="1"/>
      <c r="G23451" s="13"/>
      <c r="AL23451" s="13"/>
    </row>
    <row r="23452" spans="4:38" x14ac:dyDescent="0.3">
      <c r="D23452" s="1"/>
      <c r="G23452" s="13"/>
      <c r="AL23452" s="13"/>
    </row>
    <row r="23453" spans="4:38" x14ac:dyDescent="0.3">
      <c r="D23453" s="1"/>
      <c r="G23453" s="13"/>
      <c r="AL23453" s="13"/>
    </row>
    <row r="23454" spans="4:38" x14ac:dyDescent="0.3">
      <c r="D23454" s="1"/>
      <c r="G23454" s="13"/>
      <c r="AL23454" s="13"/>
    </row>
    <row r="23455" spans="4:38" x14ac:dyDescent="0.3">
      <c r="D23455" s="1"/>
      <c r="G23455" s="13"/>
      <c r="AL23455" s="13"/>
    </row>
    <row r="23456" spans="4:38" x14ac:dyDescent="0.3">
      <c r="G23456" s="13"/>
      <c r="AL23456" s="13"/>
    </row>
    <row r="23457" spans="4:38" x14ac:dyDescent="0.3">
      <c r="G23457" s="13"/>
      <c r="AL23457" s="13"/>
    </row>
    <row r="23458" spans="4:38" x14ac:dyDescent="0.3">
      <c r="D23458" s="1"/>
      <c r="G23458" s="13"/>
      <c r="AL23458" s="13"/>
    </row>
    <row r="23459" spans="4:38" x14ac:dyDescent="0.3">
      <c r="G23459" s="13"/>
      <c r="AL23459" s="13"/>
    </row>
    <row r="23460" spans="4:38" x14ac:dyDescent="0.3">
      <c r="D23460" s="1"/>
      <c r="G23460" s="13"/>
      <c r="AL23460" s="13"/>
    </row>
    <row r="23461" spans="4:38" x14ac:dyDescent="0.3">
      <c r="D23461" s="1"/>
      <c r="G23461" s="13"/>
      <c r="AL23461" s="13"/>
    </row>
    <row r="23462" spans="4:38" x14ac:dyDescent="0.3">
      <c r="D23462" s="1"/>
      <c r="G23462" s="13"/>
      <c r="AL23462" s="13"/>
    </row>
    <row r="23463" spans="4:38" x14ac:dyDescent="0.3">
      <c r="D23463" s="1"/>
      <c r="G23463" s="13"/>
      <c r="AL23463" s="13"/>
    </row>
    <row r="23464" spans="4:38" x14ac:dyDescent="0.3">
      <c r="D23464" s="1"/>
      <c r="G23464" s="13"/>
      <c r="AL23464" s="13"/>
    </row>
    <row r="23465" spans="4:38" x14ac:dyDescent="0.3">
      <c r="D23465" s="1"/>
      <c r="G23465" s="13"/>
      <c r="AL23465" s="13"/>
    </row>
    <row r="23466" spans="4:38" x14ac:dyDescent="0.3">
      <c r="D23466" s="1"/>
      <c r="G23466" s="13"/>
      <c r="AL23466" s="13"/>
    </row>
    <row r="23467" spans="4:38" x14ac:dyDescent="0.3">
      <c r="D23467" s="1"/>
      <c r="G23467" s="13"/>
      <c r="AL23467" s="13"/>
    </row>
    <row r="23468" spans="4:38" x14ac:dyDescent="0.3">
      <c r="D23468" s="1"/>
      <c r="G23468" s="13"/>
      <c r="AL23468" s="13"/>
    </row>
    <row r="23469" spans="4:38" x14ac:dyDescent="0.3">
      <c r="G23469" s="13"/>
      <c r="AL23469" s="13"/>
    </row>
    <row r="23470" spans="4:38" x14ac:dyDescent="0.3">
      <c r="D23470" s="1"/>
      <c r="G23470" s="13"/>
      <c r="AL23470" s="13"/>
    </row>
    <row r="23471" spans="4:38" x14ac:dyDescent="0.3">
      <c r="D23471" s="1"/>
      <c r="G23471" s="13"/>
      <c r="AL23471" s="13"/>
    </row>
    <row r="23472" spans="4:38" x14ac:dyDescent="0.3">
      <c r="D23472" s="1"/>
      <c r="G23472" s="13"/>
      <c r="AL23472" s="13"/>
    </row>
    <row r="23473" spans="4:38" x14ac:dyDescent="0.3">
      <c r="D23473" s="1"/>
      <c r="G23473" s="13"/>
      <c r="AL23473" s="13"/>
    </row>
    <row r="23474" spans="4:38" x14ac:dyDescent="0.3">
      <c r="D23474" s="1"/>
      <c r="G23474" s="13"/>
      <c r="AL23474" s="13"/>
    </row>
    <row r="23475" spans="4:38" x14ac:dyDescent="0.3">
      <c r="D23475" s="1"/>
      <c r="G23475" s="13"/>
      <c r="AL23475" s="13"/>
    </row>
    <row r="23476" spans="4:38" x14ac:dyDescent="0.3">
      <c r="D23476" s="1"/>
      <c r="G23476" s="13"/>
      <c r="AL23476" s="13"/>
    </row>
    <row r="23477" spans="4:38" x14ac:dyDescent="0.3">
      <c r="D23477" s="1"/>
      <c r="G23477" s="13"/>
      <c r="AL23477" s="13"/>
    </row>
    <row r="23478" spans="4:38" x14ac:dyDescent="0.3">
      <c r="D23478" s="1"/>
      <c r="G23478" s="13"/>
      <c r="AL23478" s="13"/>
    </row>
    <row r="23479" spans="4:38" x14ac:dyDescent="0.3">
      <c r="D23479" s="1"/>
      <c r="G23479" s="13"/>
      <c r="AL23479" s="13"/>
    </row>
    <row r="23480" spans="4:38" x14ac:dyDescent="0.3">
      <c r="D23480" s="1"/>
      <c r="G23480" s="13"/>
      <c r="AL23480" s="13"/>
    </row>
    <row r="23481" spans="4:38" x14ac:dyDescent="0.3">
      <c r="D23481" s="1"/>
      <c r="G23481" s="13"/>
      <c r="AL23481" s="13"/>
    </row>
    <row r="23482" spans="4:38" x14ac:dyDescent="0.3">
      <c r="D23482" s="1"/>
      <c r="G23482" s="13"/>
      <c r="AL23482" s="13"/>
    </row>
    <row r="23483" spans="4:38" x14ac:dyDescent="0.3">
      <c r="D23483" s="1"/>
      <c r="G23483" s="13"/>
      <c r="AL23483" s="13"/>
    </row>
    <row r="23484" spans="4:38" x14ac:dyDescent="0.3">
      <c r="D23484" s="1"/>
      <c r="G23484" s="13"/>
      <c r="AL23484" s="13"/>
    </row>
    <row r="23485" spans="4:38" x14ac:dyDescent="0.3">
      <c r="D23485" s="1"/>
      <c r="G23485" s="13"/>
      <c r="AL23485" s="13"/>
    </row>
    <row r="23486" spans="4:38" x14ac:dyDescent="0.3">
      <c r="D23486" s="1"/>
      <c r="G23486" s="13"/>
      <c r="AL23486" s="13"/>
    </row>
    <row r="23487" spans="4:38" x14ac:dyDescent="0.3">
      <c r="D23487" s="1"/>
      <c r="G23487" s="13"/>
      <c r="AL23487" s="13"/>
    </row>
    <row r="23488" spans="4:38" x14ac:dyDescent="0.3">
      <c r="D23488" s="1"/>
      <c r="G23488" s="13"/>
      <c r="AL23488" s="13"/>
    </row>
    <row r="23489" spans="4:38" x14ac:dyDescent="0.3">
      <c r="D23489" s="1"/>
      <c r="G23489" s="13"/>
      <c r="AL23489" s="13"/>
    </row>
    <row r="23490" spans="4:38" x14ac:dyDescent="0.3">
      <c r="D23490" s="1"/>
      <c r="G23490" s="13"/>
      <c r="AL23490" s="13"/>
    </row>
    <row r="23491" spans="4:38" x14ac:dyDescent="0.3">
      <c r="D23491" s="1"/>
      <c r="G23491" s="13"/>
      <c r="AL23491" s="13"/>
    </row>
    <row r="23492" spans="4:38" x14ac:dyDescent="0.3">
      <c r="D23492" s="1"/>
      <c r="G23492" s="13"/>
      <c r="AL23492" s="13"/>
    </row>
    <row r="23493" spans="4:38" x14ac:dyDescent="0.3">
      <c r="D23493" s="1"/>
      <c r="G23493" s="13"/>
      <c r="AL23493" s="13"/>
    </row>
    <row r="23494" spans="4:38" x14ac:dyDescent="0.3">
      <c r="D23494" s="1"/>
      <c r="G23494" s="13"/>
      <c r="AL23494" s="13"/>
    </row>
    <row r="23495" spans="4:38" x14ac:dyDescent="0.3">
      <c r="D23495" s="1"/>
      <c r="G23495" s="13"/>
      <c r="AL23495" s="13"/>
    </row>
    <row r="23496" spans="4:38" x14ac:dyDescent="0.3">
      <c r="D23496" s="1"/>
      <c r="G23496" s="13"/>
      <c r="AL23496" s="13"/>
    </row>
    <row r="23497" spans="4:38" x14ac:dyDescent="0.3">
      <c r="D23497" s="1"/>
      <c r="G23497" s="13"/>
      <c r="AL23497" s="13"/>
    </row>
    <row r="23498" spans="4:38" x14ac:dyDescent="0.3">
      <c r="D23498" s="1"/>
      <c r="G23498" s="13"/>
      <c r="AL23498" s="13"/>
    </row>
    <row r="23499" spans="4:38" x14ac:dyDescent="0.3">
      <c r="D23499" s="1"/>
      <c r="G23499" s="13"/>
      <c r="AL23499" s="13"/>
    </row>
    <row r="23500" spans="4:38" x14ac:dyDescent="0.3">
      <c r="D23500" s="1"/>
      <c r="G23500" s="13"/>
      <c r="AL23500" s="13"/>
    </row>
    <row r="23501" spans="4:38" x14ac:dyDescent="0.3">
      <c r="D23501" s="1"/>
      <c r="G23501" s="13"/>
      <c r="AL23501" s="13"/>
    </row>
    <row r="23502" spans="4:38" x14ac:dyDescent="0.3">
      <c r="D23502" s="1"/>
      <c r="G23502" s="13"/>
      <c r="AL23502" s="13"/>
    </row>
    <row r="23503" spans="4:38" x14ac:dyDescent="0.3">
      <c r="D23503" s="1"/>
      <c r="G23503" s="13"/>
      <c r="AL23503" s="13"/>
    </row>
    <row r="23504" spans="4:38" x14ac:dyDescent="0.3">
      <c r="D23504" s="1"/>
      <c r="G23504" s="13"/>
      <c r="AL23504" s="13"/>
    </row>
    <row r="23505" spans="4:38" x14ac:dyDescent="0.3">
      <c r="D23505" s="1"/>
      <c r="G23505" s="13"/>
      <c r="AL23505" s="13"/>
    </row>
    <row r="23506" spans="4:38" x14ac:dyDescent="0.3">
      <c r="D23506" s="1"/>
      <c r="G23506" s="13"/>
      <c r="AL23506" s="13"/>
    </row>
    <row r="23507" spans="4:38" x14ac:dyDescent="0.3">
      <c r="D23507" s="1"/>
      <c r="G23507" s="13"/>
      <c r="AL23507" s="13"/>
    </row>
    <row r="23508" spans="4:38" x14ac:dyDescent="0.3">
      <c r="D23508" s="1"/>
      <c r="G23508" s="13"/>
      <c r="AL23508" s="13"/>
    </row>
    <row r="23509" spans="4:38" x14ac:dyDescent="0.3">
      <c r="D23509" s="1"/>
      <c r="G23509" s="13"/>
      <c r="AL23509" s="13"/>
    </row>
    <row r="23510" spans="4:38" x14ac:dyDescent="0.3">
      <c r="D23510" s="1"/>
      <c r="G23510" s="13"/>
      <c r="AL23510" s="13"/>
    </row>
    <row r="23511" spans="4:38" x14ac:dyDescent="0.3">
      <c r="D23511" s="1"/>
      <c r="G23511" s="13"/>
      <c r="AL23511" s="13"/>
    </row>
    <row r="23512" spans="4:38" x14ac:dyDescent="0.3">
      <c r="D23512" s="1"/>
      <c r="G23512" s="13"/>
      <c r="AL23512" s="13"/>
    </row>
    <row r="23513" spans="4:38" x14ac:dyDescent="0.3">
      <c r="D23513" s="1"/>
      <c r="G23513" s="13"/>
      <c r="AL23513" s="13"/>
    </row>
    <row r="23514" spans="4:38" x14ac:dyDescent="0.3">
      <c r="D23514" s="1"/>
      <c r="G23514" s="13"/>
      <c r="AL23514" s="13"/>
    </row>
    <row r="23515" spans="4:38" x14ac:dyDescent="0.3">
      <c r="D23515" s="1"/>
      <c r="G23515" s="13"/>
      <c r="AL23515" s="13"/>
    </row>
    <row r="23516" spans="4:38" x14ac:dyDescent="0.3">
      <c r="D23516" s="1"/>
      <c r="G23516" s="13"/>
      <c r="AL23516" s="13"/>
    </row>
    <row r="23517" spans="4:38" x14ac:dyDescent="0.3">
      <c r="D23517" s="1"/>
      <c r="G23517" s="13"/>
      <c r="AL23517" s="13"/>
    </row>
    <row r="23518" spans="4:38" x14ac:dyDescent="0.3">
      <c r="D23518" s="1"/>
      <c r="G23518" s="13"/>
      <c r="AL23518" s="13"/>
    </row>
    <row r="23519" spans="4:38" x14ac:dyDescent="0.3">
      <c r="D23519" s="1"/>
      <c r="G23519" s="13"/>
      <c r="AL23519" s="13"/>
    </row>
    <row r="23520" spans="4:38" x14ac:dyDescent="0.3">
      <c r="D23520" s="1"/>
      <c r="G23520" s="13"/>
      <c r="AL23520" s="13"/>
    </row>
    <row r="23521" spans="4:38" x14ac:dyDescent="0.3">
      <c r="D23521" s="1"/>
      <c r="G23521" s="13"/>
      <c r="AL23521" s="13"/>
    </row>
    <row r="23522" spans="4:38" x14ac:dyDescent="0.3">
      <c r="D23522" s="1"/>
      <c r="G23522" s="13"/>
      <c r="AL23522" s="13"/>
    </row>
    <row r="23523" spans="4:38" x14ac:dyDescent="0.3">
      <c r="D23523" s="1"/>
      <c r="G23523" s="13"/>
      <c r="AL23523" s="13"/>
    </row>
    <row r="23524" spans="4:38" x14ac:dyDescent="0.3">
      <c r="D23524" s="1"/>
      <c r="G23524" s="13"/>
      <c r="AL23524" s="13"/>
    </row>
    <row r="23525" spans="4:38" x14ac:dyDescent="0.3">
      <c r="D23525" s="1"/>
      <c r="G23525" s="13"/>
      <c r="AL23525" s="13"/>
    </row>
    <row r="23526" spans="4:38" x14ac:dyDescent="0.3">
      <c r="D23526" s="1"/>
      <c r="G23526" s="13"/>
      <c r="AL23526" s="13"/>
    </row>
    <row r="23527" spans="4:38" x14ac:dyDescent="0.3">
      <c r="D23527" s="1"/>
      <c r="G23527" s="13"/>
      <c r="AL23527" s="13"/>
    </row>
    <row r="23528" spans="4:38" x14ac:dyDescent="0.3">
      <c r="D23528" s="1"/>
      <c r="G23528" s="13"/>
      <c r="AL23528" s="13"/>
    </row>
    <row r="23529" spans="4:38" x14ac:dyDescent="0.3">
      <c r="D23529" s="1"/>
      <c r="G23529" s="13"/>
      <c r="AL23529" s="13"/>
    </row>
    <row r="23530" spans="4:38" x14ac:dyDescent="0.3">
      <c r="D23530" s="1"/>
      <c r="G23530" s="13"/>
      <c r="AL23530" s="13"/>
    </row>
    <row r="23531" spans="4:38" x14ac:dyDescent="0.3">
      <c r="D23531" s="1"/>
      <c r="G23531" s="13"/>
      <c r="AL23531" s="13"/>
    </row>
    <row r="23532" spans="4:38" x14ac:dyDescent="0.3">
      <c r="D23532" s="1"/>
      <c r="G23532" s="13"/>
      <c r="AL23532" s="13"/>
    </row>
    <row r="23533" spans="4:38" x14ac:dyDescent="0.3">
      <c r="D23533" s="1"/>
      <c r="G23533" s="13"/>
      <c r="AL23533" s="13"/>
    </row>
    <row r="23534" spans="4:38" x14ac:dyDescent="0.3">
      <c r="D23534" s="1"/>
      <c r="G23534" s="13"/>
      <c r="AL23534" s="13"/>
    </row>
    <row r="23535" spans="4:38" x14ac:dyDescent="0.3">
      <c r="D23535" s="1"/>
      <c r="G23535" s="13"/>
      <c r="AL23535" s="13"/>
    </row>
    <row r="23536" spans="4:38" x14ac:dyDescent="0.3">
      <c r="D23536" s="1"/>
      <c r="G23536" s="13"/>
      <c r="AL23536" s="13"/>
    </row>
    <row r="23537" spans="4:38" x14ac:dyDescent="0.3">
      <c r="D23537" s="1"/>
      <c r="G23537" s="13"/>
      <c r="AL23537" s="13"/>
    </row>
    <row r="23538" spans="4:38" x14ac:dyDescent="0.3">
      <c r="D23538" s="1"/>
      <c r="G23538" s="13"/>
      <c r="AL23538" s="13"/>
    </row>
    <row r="23539" spans="4:38" x14ac:dyDescent="0.3">
      <c r="D23539" s="1"/>
      <c r="G23539" s="13"/>
      <c r="AL23539" s="13"/>
    </row>
    <row r="23540" spans="4:38" x14ac:dyDescent="0.3">
      <c r="D23540" s="1"/>
      <c r="G23540" s="13"/>
      <c r="AL23540" s="13"/>
    </row>
    <row r="23541" spans="4:38" x14ac:dyDescent="0.3">
      <c r="D23541" s="1"/>
      <c r="G23541" s="13"/>
      <c r="AL23541" s="13"/>
    </row>
    <row r="23542" spans="4:38" x14ac:dyDescent="0.3">
      <c r="D23542" s="1"/>
      <c r="G23542" s="13"/>
      <c r="AL23542" s="13"/>
    </row>
    <row r="23543" spans="4:38" x14ac:dyDescent="0.3">
      <c r="D23543" s="1"/>
      <c r="G23543" s="13"/>
      <c r="AL23543" s="13"/>
    </row>
    <row r="23544" spans="4:38" x14ac:dyDescent="0.3">
      <c r="D23544" s="1"/>
      <c r="G23544" s="13"/>
      <c r="AL23544" s="13"/>
    </row>
    <row r="23545" spans="4:38" x14ac:dyDescent="0.3">
      <c r="D23545" s="1"/>
      <c r="G23545" s="13"/>
      <c r="AL23545" s="13"/>
    </row>
    <row r="23546" spans="4:38" x14ac:dyDescent="0.3">
      <c r="D23546" s="1"/>
      <c r="G23546" s="13"/>
      <c r="AL23546" s="13"/>
    </row>
    <row r="23547" spans="4:38" x14ac:dyDescent="0.3">
      <c r="D23547" s="1"/>
      <c r="G23547" s="13"/>
      <c r="AL23547" s="13"/>
    </row>
    <row r="23548" spans="4:38" x14ac:dyDescent="0.3">
      <c r="D23548" s="1"/>
      <c r="G23548" s="13"/>
      <c r="AL23548" s="13"/>
    </row>
    <row r="23549" spans="4:38" x14ac:dyDescent="0.3">
      <c r="D23549" s="1"/>
      <c r="G23549" s="13"/>
      <c r="AL23549" s="13"/>
    </row>
    <row r="23550" spans="4:38" x14ac:dyDescent="0.3">
      <c r="D23550" s="1"/>
      <c r="G23550" s="13"/>
      <c r="AL23550" s="13"/>
    </row>
    <row r="23551" spans="4:38" x14ac:dyDescent="0.3">
      <c r="D23551" s="1"/>
      <c r="G23551" s="13"/>
      <c r="AL23551" s="13"/>
    </row>
    <row r="23552" spans="4:38" x14ac:dyDescent="0.3">
      <c r="D23552" s="1"/>
      <c r="G23552" s="13"/>
      <c r="AL23552" s="13"/>
    </row>
    <row r="23553" spans="4:38" x14ac:dyDescent="0.3">
      <c r="D23553" s="1"/>
      <c r="G23553" s="13"/>
      <c r="AL23553" s="13"/>
    </row>
    <row r="23554" spans="4:38" x14ac:dyDescent="0.3">
      <c r="D23554" s="1"/>
      <c r="G23554" s="13"/>
      <c r="AL23554" s="13"/>
    </row>
    <row r="23555" spans="4:38" x14ac:dyDescent="0.3">
      <c r="D23555" s="1"/>
      <c r="G23555" s="13"/>
      <c r="AL23555" s="13"/>
    </row>
    <row r="23556" spans="4:38" x14ac:dyDescent="0.3">
      <c r="D23556" s="1"/>
      <c r="G23556" s="13"/>
      <c r="AL23556" s="13"/>
    </row>
    <row r="23557" spans="4:38" x14ac:dyDescent="0.3">
      <c r="D23557" s="1"/>
      <c r="G23557" s="13"/>
      <c r="AL23557" s="13"/>
    </row>
    <row r="23558" spans="4:38" x14ac:dyDescent="0.3">
      <c r="D23558" s="1"/>
      <c r="G23558" s="13"/>
      <c r="AL23558" s="13"/>
    </row>
    <row r="23559" spans="4:38" x14ac:dyDescent="0.3">
      <c r="D23559" s="1"/>
      <c r="G23559" s="13"/>
      <c r="AL23559" s="13"/>
    </row>
    <row r="23560" spans="4:38" x14ac:dyDescent="0.3">
      <c r="D23560" s="1"/>
      <c r="G23560" s="13"/>
      <c r="AL23560" s="13"/>
    </row>
    <row r="23561" spans="4:38" x14ac:dyDescent="0.3">
      <c r="D23561" s="1"/>
      <c r="G23561" s="13"/>
      <c r="AL23561" s="13"/>
    </row>
    <row r="23562" spans="4:38" x14ac:dyDescent="0.3">
      <c r="D23562" s="1"/>
      <c r="G23562" s="13"/>
      <c r="AL23562" s="13"/>
    </row>
    <row r="23563" spans="4:38" x14ac:dyDescent="0.3">
      <c r="D23563" s="1"/>
      <c r="G23563" s="13"/>
      <c r="AL23563" s="13"/>
    </row>
    <row r="23564" spans="4:38" x14ac:dyDescent="0.3">
      <c r="D23564" s="1"/>
      <c r="G23564" s="13"/>
      <c r="AL23564" s="13"/>
    </row>
    <row r="23565" spans="4:38" x14ac:dyDescent="0.3">
      <c r="D23565" s="1"/>
      <c r="G23565" s="13"/>
      <c r="AL23565" s="13"/>
    </row>
    <row r="23566" spans="4:38" x14ac:dyDescent="0.3">
      <c r="D23566" s="1"/>
      <c r="G23566" s="13"/>
      <c r="AL23566" s="13"/>
    </row>
    <row r="23567" spans="4:38" x14ac:dyDescent="0.3">
      <c r="D23567" s="1"/>
      <c r="G23567" s="13"/>
      <c r="AL23567" s="13"/>
    </row>
    <row r="23568" spans="4:38" x14ac:dyDescent="0.3">
      <c r="D23568" s="1"/>
      <c r="G23568" s="13"/>
      <c r="AL23568" s="13"/>
    </row>
    <row r="23569" spans="4:38" x14ac:dyDescent="0.3">
      <c r="D23569" s="1"/>
      <c r="G23569" s="13"/>
      <c r="AL23569" s="13"/>
    </row>
    <row r="23570" spans="4:38" x14ac:dyDescent="0.3">
      <c r="D23570" s="1"/>
      <c r="G23570" s="13"/>
      <c r="AL23570" s="13"/>
    </row>
    <row r="23571" spans="4:38" x14ac:dyDescent="0.3">
      <c r="D23571" s="1"/>
      <c r="G23571" s="13"/>
      <c r="AL23571" s="13"/>
    </row>
    <row r="23572" spans="4:38" x14ac:dyDescent="0.3">
      <c r="D23572" s="1"/>
      <c r="G23572" s="13"/>
      <c r="AL23572" s="13"/>
    </row>
    <row r="23573" spans="4:38" x14ac:dyDescent="0.3">
      <c r="D23573" s="1"/>
      <c r="G23573" s="13"/>
      <c r="AL23573" s="13"/>
    </row>
    <row r="23574" spans="4:38" x14ac:dyDescent="0.3">
      <c r="D23574" s="1"/>
      <c r="G23574" s="13"/>
      <c r="AL23574" s="13"/>
    </row>
    <row r="23575" spans="4:38" x14ac:dyDescent="0.3">
      <c r="D23575" s="1"/>
      <c r="G23575" s="13"/>
      <c r="AL23575" s="13"/>
    </row>
    <row r="23576" spans="4:38" x14ac:dyDescent="0.3">
      <c r="D23576" s="1"/>
      <c r="G23576" s="13"/>
      <c r="AL23576" s="13"/>
    </row>
    <row r="23577" spans="4:38" x14ac:dyDescent="0.3">
      <c r="D23577" s="1"/>
      <c r="G23577" s="13"/>
      <c r="AL23577" s="13"/>
    </row>
    <row r="23578" spans="4:38" x14ac:dyDescent="0.3">
      <c r="D23578" s="1"/>
      <c r="G23578" s="13"/>
      <c r="AL23578" s="13"/>
    </row>
    <row r="23579" spans="4:38" x14ac:dyDescent="0.3">
      <c r="D23579" s="1"/>
      <c r="G23579" s="13"/>
      <c r="AL23579" s="13"/>
    </row>
    <row r="23580" spans="4:38" x14ac:dyDescent="0.3">
      <c r="D23580" s="1"/>
      <c r="G23580" s="13"/>
      <c r="AL23580" s="13"/>
    </row>
    <row r="23581" spans="4:38" x14ac:dyDescent="0.3">
      <c r="D23581" s="1"/>
      <c r="G23581" s="13"/>
      <c r="AL23581" s="13"/>
    </row>
    <row r="23582" spans="4:38" x14ac:dyDescent="0.3">
      <c r="D23582" s="1"/>
      <c r="G23582" s="13"/>
      <c r="AL23582" s="13"/>
    </row>
    <row r="23583" spans="4:38" x14ac:dyDescent="0.3">
      <c r="D23583" s="1"/>
      <c r="G23583" s="13"/>
      <c r="AL23583" s="13"/>
    </row>
    <row r="23584" spans="4:38" x14ac:dyDescent="0.3">
      <c r="D23584" s="1"/>
      <c r="G23584" s="13"/>
      <c r="AL23584" s="13"/>
    </row>
    <row r="23585" spans="4:38" x14ac:dyDescent="0.3">
      <c r="D23585" s="1"/>
      <c r="G23585" s="13"/>
      <c r="AL23585" s="13"/>
    </row>
    <row r="23586" spans="4:38" x14ac:dyDescent="0.3">
      <c r="D23586" s="1"/>
      <c r="G23586" s="13"/>
    </row>
    <row r="23587" spans="4:38" x14ac:dyDescent="0.3">
      <c r="D23587" s="1"/>
      <c r="G23587" s="13"/>
    </row>
    <row r="23588" spans="4:38" x14ac:dyDescent="0.3">
      <c r="D23588" s="1"/>
      <c r="G23588" s="13"/>
    </row>
    <row r="23589" spans="4:38" x14ac:dyDescent="0.3">
      <c r="D23589" s="1"/>
      <c r="G23589" s="13"/>
    </row>
    <row r="23590" spans="4:38" x14ac:dyDescent="0.3">
      <c r="D23590" s="1"/>
      <c r="G23590" s="13"/>
    </row>
    <row r="23591" spans="4:38" x14ac:dyDescent="0.3">
      <c r="D23591" s="1"/>
      <c r="G23591" s="13"/>
    </row>
    <row r="23592" spans="4:38" x14ac:dyDescent="0.3">
      <c r="D23592" s="1"/>
      <c r="G23592" s="13"/>
    </row>
    <row r="23593" spans="4:38" x14ac:dyDescent="0.3">
      <c r="D23593" s="1"/>
      <c r="G23593" s="13"/>
    </row>
    <row r="23594" spans="4:38" x14ac:dyDescent="0.3">
      <c r="D23594" s="1"/>
      <c r="G23594" s="13"/>
    </row>
    <row r="23595" spans="4:38" x14ac:dyDescent="0.3">
      <c r="D23595" s="1"/>
      <c r="G23595" s="13"/>
    </row>
    <row r="23596" spans="4:38" x14ac:dyDescent="0.3">
      <c r="D23596" s="1"/>
      <c r="G23596" s="13"/>
    </row>
    <row r="23597" spans="4:38" x14ac:dyDescent="0.3">
      <c r="D23597" s="1"/>
      <c r="G23597" s="13"/>
    </row>
    <row r="23598" spans="4:38" x14ac:dyDescent="0.3">
      <c r="D23598" s="1"/>
      <c r="G23598" s="13"/>
    </row>
    <row r="23599" spans="4:38" x14ac:dyDescent="0.3">
      <c r="D23599" s="1"/>
      <c r="G23599" s="13"/>
    </row>
    <row r="23600" spans="4:38" x14ac:dyDescent="0.3">
      <c r="D23600" s="1"/>
      <c r="G23600" s="13"/>
    </row>
    <row r="23601" spans="4:7" x14ac:dyDescent="0.3">
      <c r="D23601" s="1"/>
      <c r="G23601" s="13"/>
    </row>
    <row r="23602" spans="4:7" x14ac:dyDescent="0.3">
      <c r="D23602" s="1"/>
      <c r="G23602" s="13"/>
    </row>
    <row r="23603" spans="4:7" x14ac:dyDescent="0.3">
      <c r="D23603" s="1"/>
      <c r="G23603" s="13"/>
    </row>
    <row r="23604" spans="4:7" x14ac:dyDescent="0.3">
      <c r="D23604" s="1"/>
      <c r="G23604" s="13"/>
    </row>
    <row r="23605" spans="4:7" x14ac:dyDescent="0.3">
      <c r="D23605" s="1"/>
      <c r="G23605" s="13"/>
    </row>
    <row r="23606" spans="4:7" x14ac:dyDescent="0.3">
      <c r="D23606" s="1"/>
      <c r="G23606" s="13"/>
    </row>
    <row r="23607" spans="4:7" x14ac:dyDescent="0.3">
      <c r="D23607" s="1"/>
      <c r="G23607" s="13"/>
    </row>
    <row r="23608" spans="4:7" x14ac:dyDescent="0.3">
      <c r="D23608" s="1"/>
      <c r="G23608" s="13"/>
    </row>
    <row r="23609" spans="4:7" x14ac:dyDescent="0.3">
      <c r="D23609" s="1"/>
      <c r="G23609" s="13"/>
    </row>
    <row r="23610" spans="4:7" x14ac:dyDescent="0.3">
      <c r="D23610" s="1"/>
      <c r="G23610" s="13"/>
    </row>
    <row r="23611" spans="4:7" x14ac:dyDescent="0.3">
      <c r="D23611" s="1"/>
      <c r="G23611" s="13"/>
    </row>
    <row r="23612" spans="4:7" x14ac:dyDescent="0.3">
      <c r="D23612" s="1"/>
      <c r="G23612" s="13"/>
    </row>
    <row r="23613" spans="4:7" x14ac:dyDescent="0.3">
      <c r="D23613" s="1"/>
      <c r="G23613" s="13"/>
    </row>
    <row r="23614" spans="4:7" x14ac:dyDescent="0.3">
      <c r="D23614" s="1"/>
      <c r="G23614" s="13"/>
    </row>
    <row r="23615" spans="4:7" x14ac:dyDescent="0.3">
      <c r="D23615" s="1"/>
      <c r="G23615" s="13"/>
    </row>
    <row r="23616" spans="4:7" x14ac:dyDescent="0.3">
      <c r="D23616" s="1"/>
      <c r="G23616" s="13"/>
    </row>
    <row r="23617" spans="4:7" x14ac:dyDescent="0.3">
      <c r="D23617" s="1"/>
      <c r="G23617" s="13"/>
    </row>
    <row r="23618" spans="4:7" x14ac:dyDescent="0.3">
      <c r="D23618" s="1"/>
      <c r="G23618" s="13"/>
    </row>
    <row r="23619" spans="4:7" x14ac:dyDescent="0.3">
      <c r="D23619" s="1"/>
      <c r="G23619" s="13"/>
    </row>
    <row r="23620" spans="4:7" x14ac:dyDescent="0.3">
      <c r="D23620" s="1"/>
      <c r="G23620" s="13"/>
    </row>
    <row r="23621" spans="4:7" x14ac:dyDescent="0.3">
      <c r="D23621" s="1"/>
      <c r="G23621" s="13"/>
    </row>
    <row r="23622" spans="4:7" x14ac:dyDescent="0.3">
      <c r="D23622" s="1"/>
      <c r="G23622" s="13"/>
    </row>
    <row r="23623" spans="4:7" x14ac:dyDescent="0.3">
      <c r="D23623" s="1"/>
      <c r="G23623" s="13"/>
    </row>
    <row r="23624" spans="4:7" x14ac:dyDescent="0.3">
      <c r="D23624" s="1"/>
      <c r="G23624" s="13"/>
    </row>
    <row r="23625" spans="4:7" x14ac:dyDescent="0.3">
      <c r="D23625" s="1"/>
      <c r="G23625" s="13"/>
    </row>
    <row r="23626" spans="4:7" x14ac:dyDescent="0.3">
      <c r="D23626" s="1"/>
      <c r="G23626" s="13"/>
    </row>
    <row r="23627" spans="4:7" x14ac:dyDescent="0.3">
      <c r="D23627" s="1"/>
      <c r="G23627" s="13"/>
    </row>
    <row r="23628" spans="4:7" x14ac:dyDescent="0.3">
      <c r="D23628" s="1"/>
      <c r="G23628" s="13"/>
    </row>
    <row r="23629" spans="4:7" x14ac:dyDescent="0.3">
      <c r="D23629" s="1"/>
      <c r="G23629" s="13"/>
    </row>
    <row r="23630" spans="4:7" x14ac:dyDescent="0.3">
      <c r="D23630" s="1"/>
      <c r="G23630" s="13"/>
    </row>
    <row r="23631" spans="4:7" x14ac:dyDescent="0.3">
      <c r="D23631" s="1"/>
      <c r="G23631" s="13"/>
    </row>
    <row r="23632" spans="4:7" x14ac:dyDescent="0.3">
      <c r="D23632" s="1"/>
      <c r="G23632" s="13"/>
    </row>
    <row r="23633" spans="4:7" x14ac:dyDescent="0.3">
      <c r="D23633" s="1"/>
      <c r="G23633" s="13"/>
    </row>
    <row r="23634" spans="4:7" x14ac:dyDescent="0.3">
      <c r="D23634" s="1"/>
      <c r="G23634" s="13"/>
    </row>
    <row r="23635" spans="4:7" x14ac:dyDescent="0.3">
      <c r="D23635" s="1"/>
      <c r="G23635" s="13"/>
    </row>
    <row r="23636" spans="4:7" x14ac:dyDescent="0.3">
      <c r="D23636" s="1"/>
      <c r="G23636" s="13"/>
    </row>
    <row r="23637" spans="4:7" x14ac:dyDescent="0.3">
      <c r="D23637" s="1"/>
      <c r="G23637" s="13"/>
    </row>
    <row r="23638" spans="4:7" x14ac:dyDescent="0.3">
      <c r="D23638" s="1"/>
      <c r="G23638" s="13"/>
    </row>
    <row r="23639" spans="4:7" x14ac:dyDescent="0.3">
      <c r="D23639" s="1"/>
      <c r="G23639" s="13"/>
    </row>
    <row r="23640" spans="4:7" x14ac:dyDescent="0.3">
      <c r="D23640" s="1"/>
      <c r="G23640" s="13"/>
    </row>
    <row r="23641" spans="4:7" x14ac:dyDescent="0.3">
      <c r="D23641" s="1"/>
      <c r="G23641" s="13"/>
    </row>
    <row r="23642" spans="4:7" x14ac:dyDescent="0.3">
      <c r="D23642" s="1"/>
      <c r="G23642" s="13"/>
    </row>
    <row r="23643" spans="4:7" x14ac:dyDescent="0.3">
      <c r="D23643" s="1"/>
      <c r="G23643" s="13"/>
    </row>
    <row r="23644" spans="4:7" x14ac:dyDescent="0.3">
      <c r="D23644" s="1"/>
      <c r="G23644" s="13"/>
    </row>
    <row r="23645" spans="4:7" x14ac:dyDescent="0.3">
      <c r="D23645" s="1"/>
      <c r="G23645" s="13"/>
    </row>
    <row r="23646" spans="4:7" x14ac:dyDescent="0.3">
      <c r="D23646" s="1"/>
      <c r="G23646" s="13"/>
    </row>
    <row r="23647" spans="4:7" x14ac:dyDescent="0.3">
      <c r="D23647" s="1"/>
      <c r="G23647" s="13"/>
    </row>
    <row r="23648" spans="4:7" x14ac:dyDescent="0.3">
      <c r="D23648" s="1"/>
      <c r="G23648" s="13"/>
    </row>
    <row r="23649" spans="4:38" x14ac:dyDescent="0.3">
      <c r="D23649" s="1"/>
      <c r="G23649" s="13"/>
      <c r="AL23649" s="13"/>
    </row>
    <row r="23650" spans="4:38" x14ac:dyDescent="0.3">
      <c r="D23650" s="1"/>
      <c r="G23650" s="13"/>
      <c r="AL23650" s="13"/>
    </row>
    <row r="23651" spans="4:38" x14ac:dyDescent="0.3">
      <c r="D23651" s="1"/>
      <c r="G23651" s="13"/>
      <c r="AL23651" s="13"/>
    </row>
    <row r="23652" spans="4:38" x14ac:dyDescent="0.3">
      <c r="D23652" s="1"/>
      <c r="G23652" s="13"/>
      <c r="AL23652" s="13"/>
    </row>
    <row r="23653" spans="4:38" x14ac:dyDescent="0.3">
      <c r="D23653" s="1"/>
      <c r="G23653" s="13"/>
      <c r="AL23653" s="13"/>
    </row>
    <row r="23654" spans="4:38" x14ac:dyDescent="0.3">
      <c r="D23654" s="1"/>
      <c r="G23654" s="13"/>
      <c r="AL23654" s="13"/>
    </row>
    <row r="23655" spans="4:38" x14ac:dyDescent="0.3">
      <c r="D23655" s="1"/>
      <c r="G23655" s="13"/>
      <c r="AL23655" s="13"/>
    </row>
    <row r="23656" spans="4:38" x14ac:dyDescent="0.3">
      <c r="D23656" s="1"/>
      <c r="G23656" s="13"/>
      <c r="AL23656" s="13"/>
    </row>
    <row r="23657" spans="4:38" x14ac:dyDescent="0.3">
      <c r="D23657" s="1"/>
      <c r="G23657" s="13"/>
      <c r="AL23657" s="13"/>
    </row>
    <row r="23658" spans="4:38" x14ac:dyDescent="0.3">
      <c r="D23658" s="1"/>
      <c r="G23658" s="13"/>
      <c r="AL23658" s="13"/>
    </row>
    <row r="23659" spans="4:38" x14ac:dyDescent="0.3">
      <c r="D23659" s="1"/>
      <c r="G23659" s="13"/>
      <c r="AL23659" s="13"/>
    </row>
    <row r="23660" spans="4:38" x14ac:dyDescent="0.3">
      <c r="D23660" s="1"/>
      <c r="G23660" s="13"/>
      <c r="AL23660" s="13"/>
    </row>
    <row r="23661" spans="4:38" x14ac:dyDescent="0.3">
      <c r="D23661" s="1"/>
      <c r="G23661" s="13"/>
      <c r="AL23661" s="13"/>
    </row>
    <row r="23662" spans="4:38" x14ac:dyDescent="0.3">
      <c r="D23662" s="1"/>
      <c r="G23662" s="13"/>
      <c r="AL23662" s="13"/>
    </row>
    <row r="23663" spans="4:38" x14ac:dyDescent="0.3">
      <c r="D23663" s="1"/>
      <c r="G23663" s="13"/>
      <c r="AL23663" s="13"/>
    </row>
    <row r="23664" spans="4:38" x14ac:dyDescent="0.3">
      <c r="D23664" s="1"/>
      <c r="G23664" s="13"/>
      <c r="AL23664" s="13"/>
    </row>
    <row r="23665" spans="4:38" x14ac:dyDescent="0.3">
      <c r="D23665" s="1"/>
      <c r="G23665" s="13"/>
      <c r="AL23665" s="13"/>
    </row>
    <row r="23666" spans="4:38" x14ac:dyDescent="0.3">
      <c r="D23666" s="1"/>
      <c r="G23666" s="13"/>
      <c r="AL23666" s="13"/>
    </row>
    <row r="23667" spans="4:38" x14ac:dyDescent="0.3">
      <c r="D23667" s="1"/>
      <c r="G23667" s="13"/>
      <c r="AL23667" s="13"/>
    </row>
    <row r="23668" spans="4:38" x14ac:dyDescent="0.3">
      <c r="D23668" s="1"/>
      <c r="G23668" s="13"/>
      <c r="AL23668" s="13"/>
    </row>
    <row r="23669" spans="4:38" x14ac:dyDescent="0.3">
      <c r="D23669" s="1"/>
      <c r="G23669" s="13"/>
      <c r="AL23669" s="13"/>
    </row>
    <row r="23670" spans="4:38" x14ac:dyDescent="0.3">
      <c r="D23670" s="1"/>
      <c r="G23670" s="13"/>
      <c r="AL23670" s="13"/>
    </row>
    <row r="23671" spans="4:38" x14ac:dyDescent="0.3">
      <c r="D23671" s="1"/>
      <c r="G23671" s="13"/>
      <c r="AL23671" s="13"/>
    </row>
    <row r="23672" spans="4:38" x14ac:dyDescent="0.3">
      <c r="D23672" s="1"/>
      <c r="AL23672" s="13"/>
    </row>
    <row r="23673" spans="4:38" x14ac:dyDescent="0.3">
      <c r="D23673" s="1"/>
      <c r="G23673" s="13"/>
      <c r="AL23673" s="13"/>
    </row>
    <row r="23674" spans="4:38" x14ac:dyDescent="0.3">
      <c r="D23674" s="1"/>
      <c r="G23674" s="13"/>
      <c r="AL23674" s="13"/>
    </row>
    <row r="23675" spans="4:38" x14ac:dyDescent="0.3">
      <c r="D23675" s="1"/>
      <c r="G23675" s="13"/>
      <c r="AL23675" s="13"/>
    </row>
    <row r="23676" spans="4:38" x14ac:dyDescent="0.3">
      <c r="D23676" s="1"/>
      <c r="G23676" s="13"/>
      <c r="AL23676" s="13"/>
    </row>
    <row r="23677" spans="4:38" x14ac:dyDescent="0.3">
      <c r="D23677" s="1"/>
      <c r="G23677" s="13"/>
      <c r="AL23677" s="13"/>
    </row>
    <row r="23678" spans="4:38" x14ac:dyDescent="0.3">
      <c r="D23678" s="1"/>
      <c r="G23678" s="13"/>
      <c r="AL23678" s="13"/>
    </row>
    <row r="23679" spans="4:38" x14ac:dyDescent="0.3">
      <c r="D23679" s="1"/>
      <c r="G23679" s="13"/>
      <c r="AL23679" s="13"/>
    </row>
    <row r="23680" spans="4:38" x14ac:dyDescent="0.3">
      <c r="D23680" s="1"/>
      <c r="G23680" s="13"/>
      <c r="AL23680" s="13"/>
    </row>
    <row r="23681" spans="4:38" x14ac:dyDescent="0.3">
      <c r="D23681" s="1"/>
      <c r="G23681" s="13"/>
      <c r="AL23681" s="13"/>
    </row>
    <row r="23682" spans="4:38" x14ac:dyDescent="0.3">
      <c r="D23682" s="1"/>
      <c r="G23682" s="13"/>
      <c r="AL23682" s="13"/>
    </row>
    <row r="23683" spans="4:38" x14ac:dyDescent="0.3">
      <c r="D23683" s="1"/>
      <c r="G23683" s="13"/>
      <c r="AL23683" s="13"/>
    </row>
    <row r="23684" spans="4:38" x14ac:dyDescent="0.3">
      <c r="D23684" s="1"/>
      <c r="G23684" s="13"/>
      <c r="AL23684" s="13"/>
    </row>
    <row r="23685" spans="4:38" x14ac:dyDescent="0.3">
      <c r="D23685" s="1"/>
      <c r="G23685" s="13"/>
      <c r="AL23685" s="13"/>
    </row>
    <row r="23686" spans="4:38" x14ac:dyDescent="0.3">
      <c r="D23686" s="1"/>
      <c r="G23686" s="13"/>
      <c r="AL23686" s="13"/>
    </row>
    <row r="23687" spans="4:38" x14ac:dyDescent="0.3">
      <c r="D23687" s="1"/>
      <c r="G23687" s="13"/>
      <c r="AL23687" s="13"/>
    </row>
    <row r="23688" spans="4:38" x14ac:dyDescent="0.3">
      <c r="D23688" s="1"/>
      <c r="G23688" s="13"/>
      <c r="AL23688" s="13"/>
    </row>
    <row r="23689" spans="4:38" x14ac:dyDescent="0.3">
      <c r="D23689" s="1"/>
      <c r="G23689" s="13"/>
      <c r="AL23689" s="13"/>
    </row>
    <row r="23690" spans="4:38" x14ac:dyDescent="0.3">
      <c r="D23690" s="1"/>
      <c r="G23690" s="13"/>
      <c r="AL23690" s="13"/>
    </row>
    <row r="23691" spans="4:38" x14ac:dyDescent="0.3">
      <c r="D23691" s="1"/>
      <c r="G23691" s="13"/>
      <c r="AL23691" s="13"/>
    </row>
    <row r="23692" spans="4:38" x14ac:dyDescent="0.3">
      <c r="D23692" s="1"/>
      <c r="G23692" s="13"/>
      <c r="AL23692" s="13"/>
    </row>
    <row r="23693" spans="4:38" x14ac:dyDescent="0.3">
      <c r="D23693" s="1"/>
      <c r="G23693" s="13"/>
      <c r="AL23693" s="13"/>
    </row>
    <row r="23694" spans="4:38" x14ac:dyDescent="0.3">
      <c r="D23694" s="1"/>
      <c r="G23694" s="13"/>
      <c r="AL23694" s="13"/>
    </row>
    <row r="23695" spans="4:38" x14ac:dyDescent="0.3">
      <c r="D23695" s="1"/>
      <c r="G23695" s="13"/>
      <c r="AL23695" s="13"/>
    </row>
    <row r="23696" spans="4:38" x14ac:dyDescent="0.3">
      <c r="D23696" s="1"/>
      <c r="G23696" s="13"/>
      <c r="AL23696" s="13"/>
    </row>
    <row r="23697" spans="4:38" x14ac:dyDescent="0.3">
      <c r="D23697" s="1"/>
      <c r="G23697" s="13"/>
      <c r="AL23697" s="13"/>
    </row>
    <row r="23698" spans="4:38" x14ac:dyDescent="0.3">
      <c r="D23698" s="1"/>
      <c r="G23698" s="13"/>
      <c r="AL23698" s="13"/>
    </row>
    <row r="23699" spans="4:38" x14ac:dyDescent="0.3">
      <c r="D23699" s="1"/>
      <c r="G23699" s="13"/>
      <c r="AL23699" s="13"/>
    </row>
    <row r="23700" spans="4:38" x14ac:dyDescent="0.3">
      <c r="D23700" s="1"/>
      <c r="G23700" s="13"/>
      <c r="AL23700" s="13"/>
    </row>
    <row r="23701" spans="4:38" x14ac:dyDescent="0.3">
      <c r="D23701" s="1"/>
      <c r="G23701" s="13"/>
      <c r="AL23701" s="13"/>
    </row>
    <row r="23702" spans="4:38" x14ac:dyDescent="0.3">
      <c r="D23702" s="1"/>
      <c r="G23702" s="13"/>
      <c r="AL23702" s="13"/>
    </row>
    <row r="23703" spans="4:38" x14ac:dyDescent="0.3">
      <c r="D23703" s="1"/>
      <c r="G23703" s="13"/>
      <c r="AL23703" s="13"/>
    </row>
    <row r="23704" spans="4:38" x14ac:dyDescent="0.3">
      <c r="D23704" s="1"/>
      <c r="G23704" s="13"/>
      <c r="AL23704" s="13"/>
    </row>
    <row r="23705" spans="4:38" x14ac:dyDescent="0.3">
      <c r="D23705" s="1"/>
      <c r="G23705" s="13"/>
      <c r="AL23705" s="13"/>
    </row>
    <row r="23706" spans="4:38" x14ac:dyDescent="0.3">
      <c r="D23706" s="1"/>
      <c r="G23706" s="13"/>
      <c r="AL23706" s="13"/>
    </row>
    <row r="23707" spans="4:38" x14ac:dyDescent="0.3">
      <c r="D23707" s="1"/>
      <c r="G23707" s="13"/>
      <c r="AL23707" s="13"/>
    </row>
    <row r="23708" spans="4:38" x14ac:dyDescent="0.3">
      <c r="D23708" s="1"/>
      <c r="G23708" s="13"/>
      <c r="AL23708" s="13"/>
    </row>
    <row r="23709" spans="4:38" x14ac:dyDescent="0.3">
      <c r="D23709" s="1"/>
      <c r="G23709" s="13"/>
      <c r="AL23709" s="13"/>
    </row>
    <row r="23710" spans="4:38" x14ac:dyDescent="0.3">
      <c r="D23710" s="1"/>
      <c r="G23710" s="13"/>
      <c r="AL23710" s="13"/>
    </row>
    <row r="23711" spans="4:38" x14ac:dyDescent="0.3">
      <c r="D23711" s="1"/>
      <c r="G23711" s="13"/>
      <c r="AL23711" s="13"/>
    </row>
    <row r="23712" spans="4:38" x14ac:dyDescent="0.3">
      <c r="D23712" s="1"/>
      <c r="G23712" s="13"/>
      <c r="AL23712" s="13"/>
    </row>
    <row r="23713" spans="4:38" x14ac:dyDescent="0.3">
      <c r="D23713" s="1"/>
      <c r="G23713" s="13"/>
      <c r="AL23713" s="13"/>
    </row>
    <row r="23714" spans="4:38" x14ac:dyDescent="0.3">
      <c r="D23714" s="1"/>
      <c r="G23714" s="13"/>
      <c r="AL23714" s="13"/>
    </row>
    <row r="23715" spans="4:38" x14ac:dyDescent="0.3">
      <c r="D23715" s="1"/>
      <c r="G23715" s="13"/>
      <c r="AL23715" s="13"/>
    </row>
    <row r="23716" spans="4:38" x14ac:dyDescent="0.3">
      <c r="D23716" s="1"/>
      <c r="G23716" s="13"/>
      <c r="AL23716" s="13"/>
    </row>
    <row r="23717" spans="4:38" x14ac:dyDescent="0.3">
      <c r="D23717" s="1"/>
      <c r="G23717" s="13"/>
      <c r="AL23717" s="13"/>
    </row>
    <row r="23718" spans="4:38" x14ac:dyDescent="0.3">
      <c r="D23718" s="1"/>
      <c r="G23718" s="13"/>
      <c r="AL23718" s="13"/>
    </row>
    <row r="23719" spans="4:38" x14ac:dyDescent="0.3">
      <c r="D23719" s="1"/>
      <c r="G23719" s="13"/>
      <c r="AL23719" s="13"/>
    </row>
    <row r="23720" spans="4:38" x14ac:dyDescent="0.3">
      <c r="D23720" s="1"/>
      <c r="G23720" s="13"/>
      <c r="AL23720" s="13"/>
    </row>
    <row r="23721" spans="4:38" x14ac:dyDescent="0.3">
      <c r="D23721" s="1"/>
      <c r="G23721" s="13"/>
      <c r="AL23721" s="13"/>
    </row>
    <row r="23722" spans="4:38" x14ac:dyDescent="0.3">
      <c r="D23722" s="1"/>
      <c r="G23722" s="13"/>
      <c r="AL23722" s="13"/>
    </row>
    <row r="23723" spans="4:38" x14ac:dyDescent="0.3">
      <c r="D23723" s="1"/>
      <c r="G23723" s="13"/>
      <c r="AL23723" s="13"/>
    </row>
    <row r="23724" spans="4:38" x14ac:dyDescent="0.3">
      <c r="D23724" s="1"/>
      <c r="G23724" s="13"/>
      <c r="AL23724" s="13"/>
    </row>
    <row r="23725" spans="4:38" x14ac:dyDescent="0.3">
      <c r="D23725" s="1"/>
      <c r="G23725" s="13"/>
      <c r="AL23725" s="13"/>
    </row>
    <row r="23726" spans="4:38" x14ac:dyDescent="0.3">
      <c r="D23726" s="1"/>
      <c r="G23726" s="13"/>
      <c r="AL23726" s="13"/>
    </row>
    <row r="23727" spans="4:38" x14ac:dyDescent="0.3">
      <c r="D23727" s="1"/>
      <c r="G23727" s="13"/>
      <c r="AL23727" s="13"/>
    </row>
    <row r="23728" spans="4:38" x14ac:dyDescent="0.3">
      <c r="D23728" s="1"/>
      <c r="G23728" s="13"/>
      <c r="AL23728" s="13"/>
    </row>
    <row r="23729" spans="4:38" x14ac:dyDescent="0.3">
      <c r="D23729" s="1"/>
      <c r="G23729" s="13"/>
      <c r="AL23729" s="13"/>
    </row>
    <row r="23730" spans="4:38" x14ac:dyDescent="0.3">
      <c r="D23730" s="1"/>
      <c r="G23730" s="13"/>
      <c r="AL23730" s="13"/>
    </row>
    <row r="23731" spans="4:38" x14ac:dyDescent="0.3">
      <c r="D23731" s="1"/>
      <c r="G23731" s="13"/>
      <c r="AL23731" s="13"/>
    </row>
    <row r="23732" spans="4:38" x14ac:dyDescent="0.3">
      <c r="D23732" s="1"/>
      <c r="G23732" s="13"/>
      <c r="AL23732" s="13"/>
    </row>
    <row r="23733" spans="4:38" x14ac:dyDescent="0.3">
      <c r="D23733" s="1"/>
      <c r="G23733" s="13"/>
      <c r="AL23733" s="13"/>
    </row>
    <row r="23734" spans="4:38" x14ac:dyDescent="0.3">
      <c r="D23734" s="1"/>
      <c r="G23734" s="13"/>
      <c r="AL23734" s="13"/>
    </row>
    <row r="23735" spans="4:38" x14ac:dyDescent="0.3">
      <c r="D23735" s="1"/>
      <c r="G23735" s="13"/>
      <c r="AL23735" s="13"/>
    </row>
    <row r="23736" spans="4:38" x14ac:dyDescent="0.3">
      <c r="D23736" s="1"/>
      <c r="G23736" s="13"/>
      <c r="AL23736" s="13"/>
    </row>
    <row r="23737" spans="4:38" x14ac:dyDescent="0.3">
      <c r="D23737" s="1"/>
      <c r="G23737" s="13"/>
      <c r="AL23737" s="13"/>
    </row>
    <row r="23738" spans="4:38" x14ac:dyDescent="0.3">
      <c r="D23738" s="1"/>
      <c r="G23738" s="13"/>
      <c r="AL23738" s="13"/>
    </row>
    <row r="23739" spans="4:38" x14ac:dyDescent="0.3">
      <c r="D23739" s="1"/>
      <c r="G23739" s="13"/>
      <c r="AL23739" s="13"/>
    </row>
    <row r="23740" spans="4:38" x14ac:dyDescent="0.3">
      <c r="D23740" s="1"/>
      <c r="G23740" s="13"/>
      <c r="AL23740" s="13"/>
    </row>
    <row r="23741" spans="4:38" x14ac:dyDescent="0.3">
      <c r="D23741" s="1"/>
      <c r="G23741" s="13"/>
      <c r="AL23741" s="13"/>
    </row>
    <row r="23742" spans="4:38" x14ac:dyDescent="0.3">
      <c r="D23742" s="1"/>
      <c r="G23742" s="13"/>
      <c r="AL23742" s="13"/>
    </row>
    <row r="23743" spans="4:38" x14ac:dyDescent="0.3">
      <c r="D23743" s="1"/>
      <c r="G23743" s="13"/>
      <c r="AL23743" s="13"/>
    </row>
    <row r="23744" spans="4:38" x14ac:dyDescent="0.3">
      <c r="D23744" s="1"/>
      <c r="G23744" s="13"/>
      <c r="AL23744" s="13"/>
    </row>
    <row r="23745" spans="4:38" x14ac:dyDescent="0.3">
      <c r="D23745" s="1"/>
      <c r="G23745" s="13"/>
      <c r="AL23745" s="13"/>
    </row>
    <row r="23746" spans="4:38" x14ac:dyDescent="0.3">
      <c r="D23746" s="1"/>
      <c r="G23746" s="13"/>
      <c r="AL23746" s="13"/>
    </row>
    <row r="23747" spans="4:38" x14ac:dyDescent="0.3">
      <c r="D23747" s="1"/>
      <c r="G23747" s="13"/>
      <c r="AL23747" s="13"/>
    </row>
    <row r="23748" spans="4:38" x14ac:dyDescent="0.3">
      <c r="D23748" s="1"/>
      <c r="G23748" s="13"/>
      <c r="AL23748" s="13"/>
    </row>
    <row r="23749" spans="4:38" x14ac:dyDescent="0.3">
      <c r="D23749" s="1"/>
      <c r="G23749" s="13"/>
      <c r="AL23749" s="13"/>
    </row>
    <row r="23750" spans="4:38" x14ac:dyDescent="0.3">
      <c r="D23750" s="1"/>
      <c r="G23750" s="13"/>
      <c r="AL23750" s="13"/>
    </row>
    <row r="23751" spans="4:38" x14ac:dyDescent="0.3">
      <c r="D23751" s="1"/>
      <c r="G23751" s="13"/>
      <c r="AL23751" s="13"/>
    </row>
    <row r="23752" spans="4:38" x14ac:dyDescent="0.3">
      <c r="D23752" s="1"/>
      <c r="G23752" s="13"/>
      <c r="AL23752" s="13"/>
    </row>
    <row r="23753" spans="4:38" x14ac:dyDescent="0.3">
      <c r="D23753" s="1"/>
      <c r="G23753" s="13"/>
      <c r="AL23753" s="13"/>
    </row>
    <row r="23754" spans="4:38" x14ac:dyDescent="0.3">
      <c r="D23754" s="1"/>
      <c r="G23754" s="13"/>
      <c r="AL23754" s="13"/>
    </row>
    <row r="23755" spans="4:38" x14ac:dyDescent="0.3">
      <c r="D23755" s="1"/>
      <c r="G23755" s="13"/>
      <c r="AL23755" s="13"/>
    </row>
    <row r="23756" spans="4:38" x14ac:dyDescent="0.3">
      <c r="D23756" s="1"/>
      <c r="G23756" s="13"/>
      <c r="AL23756" s="13"/>
    </row>
    <row r="23757" spans="4:38" x14ac:dyDescent="0.3">
      <c r="D23757" s="1"/>
      <c r="G23757" s="13"/>
      <c r="AL23757" s="13"/>
    </row>
    <row r="23758" spans="4:38" x14ac:dyDescent="0.3">
      <c r="D23758" s="1"/>
      <c r="G23758" s="13"/>
      <c r="AL23758" s="13"/>
    </row>
    <row r="23759" spans="4:38" x14ac:dyDescent="0.3">
      <c r="D23759" s="1"/>
      <c r="G23759" s="13"/>
      <c r="AL23759" s="13"/>
    </row>
    <row r="23760" spans="4:38" x14ac:dyDescent="0.3">
      <c r="D23760" s="1"/>
      <c r="G23760" s="13"/>
      <c r="AL23760" s="13"/>
    </row>
    <row r="23761" spans="4:38" x14ac:dyDescent="0.3">
      <c r="D23761" s="1"/>
      <c r="AL23761" s="13"/>
    </row>
    <row r="23762" spans="4:38" x14ac:dyDescent="0.3">
      <c r="D23762" s="1"/>
      <c r="G23762" s="13"/>
      <c r="AL23762" s="13"/>
    </row>
    <row r="23763" spans="4:38" x14ac:dyDescent="0.3">
      <c r="D23763" s="1"/>
      <c r="G23763" s="13"/>
      <c r="AL23763" s="13"/>
    </row>
    <row r="23764" spans="4:38" x14ac:dyDescent="0.3">
      <c r="D23764" s="1"/>
      <c r="G23764" s="13"/>
      <c r="AL23764" s="13"/>
    </row>
    <row r="23765" spans="4:38" x14ac:dyDescent="0.3">
      <c r="D23765" s="1"/>
      <c r="G23765" s="13"/>
      <c r="AL23765" s="13"/>
    </row>
    <row r="23766" spans="4:38" x14ac:dyDescent="0.3">
      <c r="D23766" s="1"/>
      <c r="G23766" s="13"/>
      <c r="AL23766" s="13"/>
    </row>
    <row r="23767" spans="4:38" x14ac:dyDescent="0.3">
      <c r="D23767" s="1"/>
      <c r="G23767" s="13"/>
      <c r="AL23767" s="13"/>
    </row>
    <row r="23768" spans="4:38" x14ac:dyDescent="0.3">
      <c r="D23768" s="1"/>
      <c r="G23768" s="13"/>
      <c r="AL23768" s="13"/>
    </row>
    <row r="23769" spans="4:38" x14ac:dyDescent="0.3">
      <c r="D23769" s="1"/>
      <c r="G23769" s="13"/>
      <c r="AL23769" s="13"/>
    </row>
    <row r="23770" spans="4:38" x14ac:dyDescent="0.3">
      <c r="D23770" s="1"/>
      <c r="G23770" s="13"/>
      <c r="AL23770" s="13"/>
    </row>
    <row r="23771" spans="4:38" x14ac:dyDescent="0.3">
      <c r="D23771" s="1"/>
      <c r="G23771" s="13"/>
      <c r="AL23771" s="13"/>
    </row>
    <row r="23772" spans="4:38" x14ac:dyDescent="0.3">
      <c r="D23772" s="1"/>
      <c r="G23772" s="13"/>
      <c r="AL23772" s="13"/>
    </row>
    <row r="23773" spans="4:38" x14ac:dyDescent="0.3">
      <c r="D23773" s="1"/>
      <c r="G23773" s="13"/>
      <c r="AL23773" s="13"/>
    </row>
    <row r="23774" spans="4:38" x14ac:dyDescent="0.3">
      <c r="D23774" s="1"/>
      <c r="G23774" s="13"/>
      <c r="AL23774" s="13"/>
    </row>
    <row r="23775" spans="4:38" x14ac:dyDescent="0.3">
      <c r="D23775" s="1"/>
      <c r="G23775" s="13"/>
      <c r="AL23775" s="13"/>
    </row>
    <row r="23776" spans="4:38" x14ac:dyDescent="0.3">
      <c r="D23776" s="1"/>
      <c r="G23776" s="13"/>
      <c r="AL23776" s="13"/>
    </row>
    <row r="23777" spans="4:38" x14ac:dyDescent="0.3">
      <c r="D23777" s="1"/>
      <c r="G23777" s="13"/>
      <c r="AL23777" s="13"/>
    </row>
    <row r="23778" spans="4:38" x14ac:dyDescent="0.3">
      <c r="D23778" s="1"/>
      <c r="G23778" s="13"/>
      <c r="AL23778" s="13"/>
    </row>
    <row r="23779" spans="4:38" x14ac:dyDescent="0.3">
      <c r="D23779" s="1"/>
      <c r="G23779" s="13"/>
      <c r="AL23779" s="13"/>
    </row>
    <row r="23780" spans="4:38" x14ac:dyDescent="0.3">
      <c r="D23780" s="1"/>
      <c r="G23780" s="13"/>
      <c r="AL23780" s="13"/>
    </row>
    <row r="23781" spans="4:38" x14ac:dyDescent="0.3">
      <c r="D23781" s="1"/>
      <c r="G23781" s="13"/>
      <c r="AL23781" s="13"/>
    </row>
    <row r="23782" spans="4:38" x14ac:dyDescent="0.3">
      <c r="D23782" s="1"/>
      <c r="G23782" s="13"/>
      <c r="AL23782" s="13"/>
    </row>
    <row r="23783" spans="4:38" x14ac:dyDescent="0.3">
      <c r="D23783" s="1"/>
      <c r="G23783" s="13"/>
      <c r="AL23783" s="13"/>
    </row>
    <row r="23784" spans="4:38" x14ac:dyDescent="0.3">
      <c r="D23784" s="1"/>
      <c r="G23784" s="13"/>
      <c r="AL23784" s="13"/>
    </row>
    <row r="23785" spans="4:38" x14ac:dyDescent="0.3">
      <c r="D23785" s="1"/>
      <c r="G23785" s="13"/>
      <c r="AL23785" s="13"/>
    </row>
    <row r="23786" spans="4:38" x14ac:dyDescent="0.3">
      <c r="D23786" s="1"/>
      <c r="G23786" s="13"/>
      <c r="AL23786" s="13"/>
    </row>
    <row r="23787" spans="4:38" x14ac:dyDescent="0.3">
      <c r="D23787" s="1"/>
      <c r="G23787" s="13"/>
      <c r="AL23787" s="13"/>
    </row>
    <row r="23788" spans="4:38" x14ac:dyDescent="0.3">
      <c r="D23788" s="1"/>
      <c r="G23788" s="13"/>
      <c r="AL23788" s="13"/>
    </row>
    <row r="23789" spans="4:38" x14ac:dyDescent="0.3">
      <c r="D23789" s="1"/>
      <c r="G23789" s="13"/>
      <c r="AL23789" s="13"/>
    </row>
    <row r="23790" spans="4:38" x14ac:dyDescent="0.3">
      <c r="D23790" s="1"/>
      <c r="G23790" s="13"/>
      <c r="AL23790" s="13"/>
    </row>
    <row r="23791" spans="4:38" x14ac:dyDescent="0.3">
      <c r="D23791" s="1"/>
      <c r="G23791" s="13"/>
      <c r="AL23791" s="13"/>
    </row>
    <row r="23792" spans="4:38" x14ac:dyDescent="0.3">
      <c r="D23792" s="1"/>
      <c r="G23792" s="13"/>
      <c r="AL23792" s="13"/>
    </row>
    <row r="23793" spans="4:38" x14ac:dyDescent="0.3">
      <c r="D23793" s="1"/>
      <c r="G23793" s="13"/>
      <c r="AL23793" s="13"/>
    </row>
    <row r="23794" spans="4:38" x14ac:dyDescent="0.3">
      <c r="D23794" s="1"/>
      <c r="G23794" s="13"/>
      <c r="AL23794" s="13"/>
    </row>
    <row r="23795" spans="4:38" x14ac:dyDescent="0.3">
      <c r="D23795" s="1"/>
      <c r="G23795" s="13"/>
      <c r="AL23795" s="13"/>
    </row>
    <row r="23796" spans="4:38" x14ac:dyDescent="0.3">
      <c r="D23796" s="1"/>
      <c r="G23796" s="13"/>
      <c r="AL23796" s="13"/>
    </row>
    <row r="23797" spans="4:38" x14ac:dyDescent="0.3">
      <c r="D23797" s="1"/>
      <c r="G23797" s="13"/>
      <c r="AL23797" s="13"/>
    </row>
    <row r="23798" spans="4:38" x14ac:dyDescent="0.3">
      <c r="D23798" s="1"/>
      <c r="G23798" s="13"/>
      <c r="AL23798" s="13"/>
    </row>
    <row r="23799" spans="4:38" x14ac:dyDescent="0.3">
      <c r="D23799" s="1"/>
      <c r="G23799" s="13"/>
      <c r="AL23799" s="13"/>
    </row>
    <row r="23800" spans="4:38" x14ac:dyDescent="0.3">
      <c r="D23800" s="1"/>
      <c r="G23800" s="13"/>
      <c r="AL23800" s="13"/>
    </row>
    <row r="23801" spans="4:38" x14ac:dyDescent="0.3">
      <c r="D23801" s="1"/>
      <c r="G23801" s="13"/>
      <c r="AL23801" s="13"/>
    </row>
    <row r="23802" spans="4:38" x14ac:dyDescent="0.3">
      <c r="D23802" s="1"/>
      <c r="G23802" s="13"/>
      <c r="AL23802" s="13"/>
    </row>
    <row r="23803" spans="4:38" x14ac:dyDescent="0.3">
      <c r="D23803" s="1"/>
      <c r="G23803" s="13"/>
      <c r="AL23803" s="13"/>
    </row>
    <row r="23804" spans="4:38" x14ac:dyDescent="0.3">
      <c r="D23804" s="1"/>
      <c r="G23804" s="13"/>
      <c r="AL23804" s="13"/>
    </row>
    <row r="23805" spans="4:38" x14ac:dyDescent="0.3">
      <c r="D23805" s="1"/>
      <c r="G23805" s="13"/>
      <c r="AL23805" s="13"/>
    </row>
    <row r="23806" spans="4:38" x14ac:dyDescent="0.3">
      <c r="D23806" s="1"/>
      <c r="G23806" s="13"/>
      <c r="AL23806" s="13"/>
    </row>
    <row r="23807" spans="4:38" x14ac:dyDescent="0.3">
      <c r="D23807" s="1"/>
      <c r="G23807" s="13"/>
      <c r="AL23807" s="13"/>
    </row>
    <row r="23808" spans="4:38" x14ac:dyDescent="0.3">
      <c r="D23808" s="1"/>
      <c r="G23808" s="13"/>
      <c r="AL23808" s="13"/>
    </row>
    <row r="23809" spans="4:38" x14ac:dyDescent="0.3">
      <c r="D23809" s="1"/>
      <c r="G23809" s="13"/>
      <c r="AL23809" s="13"/>
    </row>
    <row r="23810" spans="4:38" x14ac:dyDescent="0.3">
      <c r="D23810" s="1"/>
      <c r="G23810" s="13"/>
      <c r="AL23810" s="13"/>
    </row>
    <row r="23811" spans="4:38" x14ac:dyDescent="0.3">
      <c r="D23811" s="1"/>
      <c r="G23811" s="13"/>
      <c r="AL23811" s="13"/>
    </row>
    <row r="23812" spans="4:38" x14ac:dyDescent="0.3">
      <c r="D23812" s="1"/>
      <c r="G23812" s="13"/>
      <c r="AL23812" s="13"/>
    </row>
    <row r="23813" spans="4:38" x14ac:dyDescent="0.3">
      <c r="D23813" s="1"/>
      <c r="G23813" s="13"/>
      <c r="AL23813" s="13"/>
    </row>
    <row r="23814" spans="4:38" x14ac:dyDescent="0.3">
      <c r="D23814" s="1"/>
      <c r="G23814" s="13"/>
      <c r="AL23814" s="13"/>
    </row>
    <row r="23815" spans="4:38" x14ac:dyDescent="0.3">
      <c r="D23815" s="1"/>
      <c r="G23815" s="13"/>
      <c r="AL23815" s="13"/>
    </row>
    <row r="23816" spans="4:38" x14ac:dyDescent="0.3">
      <c r="D23816" s="1"/>
      <c r="G23816" s="13"/>
      <c r="AL23816" s="13"/>
    </row>
    <row r="23817" spans="4:38" x14ac:dyDescent="0.3">
      <c r="D23817" s="1"/>
      <c r="G23817" s="13"/>
      <c r="AL23817" s="13"/>
    </row>
    <row r="23818" spans="4:38" x14ac:dyDescent="0.3">
      <c r="D23818" s="1"/>
      <c r="G23818" s="13"/>
      <c r="AL23818" s="13"/>
    </row>
    <row r="23819" spans="4:38" x14ac:dyDescent="0.3">
      <c r="D23819" s="1"/>
      <c r="G23819" s="13"/>
      <c r="AL23819" s="13"/>
    </row>
    <row r="23820" spans="4:38" x14ac:dyDescent="0.3">
      <c r="D23820" s="1"/>
      <c r="G23820" s="13"/>
      <c r="AL23820" s="13"/>
    </row>
    <row r="23821" spans="4:38" x14ac:dyDescent="0.3">
      <c r="D23821" s="1"/>
      <c r="G23821" s="13"/>
      <c r="AL23821" s="13"/>
    </row>
    <row r="23822" spans="4:38" x14ac:dyDescent="0.3">
      <c r="D23822" s="1"/>
      <c r="G23822" s="13"/>
      <c r="AL23822" s="13"/>
    </row>
    <row r="23823" spans="4:38" x14ac:dyDescent="0.3">
      <c r="D23823" s="1"/>
      <c r="G23823" s="13"/>
      <c r="AL23823" s="13"/>
    </row>
    <row r="23824" spans="4:38" x14ac:dyDescent="0.3">
      <c r="D23824" s="1"/>
      <c r="G23824" s="13"/>
      <c r="AL23824" s="13"/>
    </row>
    <row r="23825" spans="4:38" x14ac:dyDescent="0.3">
      <c r="D23825" s="1"/>
      <c r="G23825" s="13"/>
      <c r="AL23825" s="13"/>
    </row>
    <row r="23826" spans="4:38" x14ac:dyDescent="0.3">
      <c r="D23826" s="1"/>
      <c r="G23826" s="13"/>
      <c r="AL23826" s="13"/>
    </row>
    <row r="23827" spans="4:38" x14ac:dyDescent="0.3">
      <c r="D23827" s="1"/>
      <c r="G23827" s="13"/>
      <c r="AL23827" s="13"/>
    </row>
    <row r="23828" spans="4:38" x14ac:dyDescent="0.3">
      <c r="D23828" s="1"/>
      <c r="G23828" s="13"/>
      <c r="AL23828" s="13"/>
    </row>
    <row r="23829" spans="4:38" x14ac:dyDescent="0.3">
      <c r="D23829" s="1"/>
      <c r="G23829" s="13"/>
      <c r="AL23829" s="13"/>
    </row>
    <row r="23830" spans="4:38" x14ac:dyDescent="0.3">
      <c r="D23830" s="1"/>
      <c r="G23830" s="13"/>
      <c r="AL23830" s="13"/>
    </row>
    <row r="23831" spans="4:38" x14ac:dyDescent="0.3">
      <c r="D23831" s="1"/>
      <c r="G23831" s="13"/>
      <c r="AL23831" s="13"/>
    </row>
    <row r="23832" spans="4:38" x14ac:dyDescent="0.3">
      <c r="D23832" s="1"/>
      <c r="G23832" s="13"/>
      <c r="AL23832" s="13"/>
    </row>
    <row r="23833" spans="4:38" x14ac:dyDescent="0.3">
      <c r="D23833" s="1"/>
      <c r="G23833" s="13"/>
      <c r="AL23833" s="13"/>
    </row>
    <row r="23834" spans="4:38" x14ac:dyDescent="0.3">
      <c r="D23834" s="1"/>
      <c r="G23834" s="13"/>
      <c r="AL23834" s="13"/>
    </row>
    <row r="23835" spans="4:38" x14ac:dyDescent="0.3">
      <c r="D23835" s="1"/>
      <c r="G23835" s="13"/>
      <c r="AL23835" s="13"/>
    </row>
    <row r="23836" spans="4:38" x14ac:dyDescent="0.3">
      <c r="D23836" s="1"/>
      <c r="G23836" s="13"/>
      <c r="AL23836" s="13"/>
    </row>
    <row r="23837" spans="4:38" x14ac:dyDescent="0.3">
      <c r="D23837" s="1"/>
      <c r="G23837" s="13"/>
      <c r="AL23837" s="13"/>
    </row>
    <row r="23838" spans="4:38" x14ac:dyDescent="0.3">
      <c r="D23838" s="1"/>
      <c r="G23838" s="13"/>
      <c r="AL23838" s="13"/>
    </row>
    <row r="23839" spans="4:38" x14ac:dyDescent="0.3">
      <c r="D23839" s="1"/>
      <c r="G23839" s="13"/>
      <c r="AL23839" s="13"/>
    </row>
    <row r="23840" spans="4:38" x14ac:dyDescent="0.3">
      <c r="D23840" s="1"/>
      <c r="G23840" s="13"/>
      <c r="AL23840" s="13"/>
    </row>
    <row r="23841" spans="4:38" x14ac:dyDescent="0.3">
      <c r="D23841" s="1"/>
      <c r="G23841" s="13"/>
      <c r="AL23841" s="13"/>
    </row>
    <row r="23842" spans="4:38" x14ac:dyDescent="0.3">
      <c r="D23842" s="1"/>
      <c r="G23842" s="13"/>
      <c r="AL23842" s="13"/>
    </row>
    <row r="23843" spans="4:38" x14ac:dyDescent="0.3">
      <c r="D23843" s="1"/>
      <c r="G23843" s="13"/>
      <c r="AL23843" s="13"/>
    </row>
    <row r="23844" spans="4:38" x14ac:dyDescent="0.3">
      <c r="D23844" s="1"/>
      <c r="G23844" s="13"/>
      <c r="AL23844" s="13"/>
    </row>
    <row r="23845" spans="4:38" x14ac:dyDescent="0.3">
      <c r="D23845" s="1"/>
      <c r="G23845" s="13"/>
      <c r="AL23845" s="13"/>
    </row>
    <row r="23846" spans="4:38" x14ac:dyDescent="0.3">
      <c r="D23846" s="1"/>
      <c r="G23846" s="13"/>
      <c r="AL23846" s="13"/>
    </row>
    <row r="23847" spans="4:38" x14ac:dyDescent="0.3">
      <c r="D23847" s="1"/>
      <c r="G23847" s="13"/>
      <c r="AL23847" s="13"/>
    </row>
    <row r="23848" spans="4:38" x14ac:dyDescent="0.3">
      <c r="D23848" s="1"/>
      <c r="G23848" s="13"/>
      <c r="AL23848" s="13"/>
    </row>
    <row r="23849" spans="4:38" x14ac:dyDescent="0.3">
      <c r="D23849" s="1"/>
      <c r="G23849" s="13"/>
      <c r="AL23849" s="13"/>
    </row>
    <row r="23850" spans="4:38" x14ac:dyDescent="0.3">
      <c r="D23850" s="1"/>
      <c r="G23850" s="13"/>
      <c r="AL23850" s="13"/>
    </row>
    <row r="23851" spans="4:38" x14ac:dyDescent="0.3">
      <c r="D23851" s="1"/>
      <c r="G23851" s="13"/>
      <c r="AL23851" s="13"/>
    </row>
    <row r="23852" spans="4:38" x14ac:dyDescent="0.3">
      <c r="D23852" s="1"/>
      <c r="G23852" s="13"/>
      <c r="AL23852" s="13"/>
    </row>
    <row r="23853" spans="4:38" x14ac:dyDescent="0.3">
      <c r="D23853" s="1"/>
      <c r="G23853" s="13"/>
      <c r="AL23853" s="13"/>
    </row>
    <row r="23854" spans="4:38" x14ac:dyDescent="0.3">
      <c r="D23854" s="1"/>
      <c r="G23854" s="13"/>
      <c r="AL23854" s="13"/>
    </row>
    <row r="23855" spans="4:38" x14ac:dyDescent="0.3">
      <c r="D23855" s="1"/>
      <c r="G23855" s="13"/>
      <c r="AL23855" s="13"/>
    </row>
    <row r="23856" spans="4:38" x14ac:dyDescent="0.3">
      <c r="D23856" s="1"/>
      <c r="G23856" s="13"/>
    </row>
    <row r="23857" spans="4:7" x14ac:dyDescent="0.3">
      <c r="D23857" s="1"/>
      <c r="G23857" s="13"/>
    </row>
    <row r="23858" spans="4:7" x14ac:dyDescent="0.3">
      <c r="D23858" s="1"/>
      <c r="G23858" s="13"/>
    </row>
    <row r="23859" spans="4:7" x14ac:dyDescent="0.3">
      <c r="D23859" s="1"/>
      <c r="G23859" s="13"/>
    </row>
    <row r="23860" spans="4:7" x14ac:dyDescent="0.3">
      <c r="D23860" s="1"/>
      <c r="G23860" s="13"/>
    </row>
    <row r="23861" spans="4:7" x14ac:dyDescent="0.3">
      <c r="D23861" s="1"/>
      <c r="G23861" s="13"/>
    </row>
    <row r="23862" spans="4:7" x14ac:dyDescent="0.3">
      <c r="D23862" s="1"/>
      <c r="G23862" s="13"/>
    </row>
    <row r="23863" spans="4:7" x14ac:dyDescent="0.3">
      <c r="D23863" s="1"/>
      <c r="G23863" s="13"/>
    </row>
    <row r="23864" spans="4:7" x14ac:dyDescent="0.3">
      <c r="D23864" s="1"/>
      <c r="G23864" s="13"/>
    </row>
    <row r="23865" spans="4:7" x14ac:dyDescent="0.3">
      <c r="D23865" s="1"/>
      <c r="G23865" s="13"/>
    </row>
    <row r="23866" spans="4:7" x14ac:dyDescent="0.3">
      <c r="D23866" s="1"/>
      <c r="G23866" s="13"/>
    </row>
    <row r="23867" spans="4:7" x14ac:dyDescent="0.3">
      <c r="D23867" s="1"/>
      <c r="G23867" s="13"/>
    </row>
    <row r="23868" spans="4:7" x14ac:dyDescent="0.3">
      <c r="D23868" s="1"/>
      <c r="G23868" s="13"/>
    </row>
    <row r="23869" spans="4:7" x14ac:dyDescent="0.3">
      <c r="D23869" s="1"/>
      <c r="G23869" s="13"/>
    </row>
    <row r="23870" spans="4:7" x14ac:dyDescent="0.3">
      <c r="D23870" s="1"/>
      <c r="G23870" s="13"/>
    </row>
    <row r="23871" spans="4:7" x14ac:dyDescent="0.3">
      <c r="D23871" s="1"/>
      <c r="G23871" s="13"/>
    </row>
    <row r="23872" spans="4:7" x14ac:dyDescent="0.3">
      <c r="D23872" s="1"/>
      <c r="G23872" s="13"/>
    </row>
    <row r="23873" spans="4:7" x14ac:dyDescent="0.3">
      <c r="D23873" s="1"/>
      <c r="G23873" s="13"/>
    </row>
    <row r="23874" spans="4:7" x14ac:dyDescent="0.3">
      <c r="D23874" s="1"/>
      <c r="G23874" s="13"/>
    </row>
    <row r="23875" spans="4:7" x14ac:dyDescent="0.3">
      <c r="D23875" s="1"/>
      <c r="G23875" s="13"/>
    </row>
    <row r="23876" spans="4:7" x14ac:dyDescent="0.3">
      <c r="D23876" s="1"/>
      <c r="G23876" s="13"/>
    </row>
    <row r="23877" spans="4:7" x14ac:dyDescent="0.3">
      <c r="D23877" s="1"/>
      <c r="G23877" s="13"/>
    </row>
    <row r="23878" spans="4:7" x14ac:dyDescent="0.3">
      <c r="D23878" s="1"/>
      <c r="G23878" s="13"/>
    </row>
    <row r="23879" spans="4:7" x14ac:dyDescent="0.3">
      <c r="D23879" s="1"/>
      <c r="G23879" s="13"/>
    </row>
    <row r="23880" spans="4:7" x14ac:dyDescent="0.3">
      <c r="D23880" s="1"/>
      <c r="G23880" s="13"/>
    </row>
    <row r="23881" spans="4:7" x14ac:dyDescent="0.3">
      <c r="D23881" s="1"/>
      <c r="G23881" s="13"/>
    </row>
    <row r="23882" spans="4:7" x14ac:dyDescent="0.3">
      <c r="D23882" s="1"/>
      <c r="G23882" s="13"/>
    </row>
    <row r="23883" spans="4:7" x14ac:dyDescent="0.3">
      <c r="D23883" s="1"/>
      <c r="G23883" s="13"/>
    </row>
    <row r="23884" spans="4:7" x14ac:dyDescent="0.3">
      <c r="D23884" s="1"/>
      <c r="G23884" s="13"/>
    </row>
    <row r="23885" spans="4:7" x14ac:dyDescent="0.3">
      <c r="D23885" s="1"/>
      <c r="G23885" s="13"/>
    </row>
    <row r="23886" spans="4:7" x14ac:dyDescent="0.3">
      <c r="D23886" s="1"/>
      <c r="G23886" s="13"/>
    </row>
    <row r="23887" spans="4:7" x14ac:dyDescent="0.3">
      <c r="D23887" s="1"/>
      <c r="G23887" s="13"/>
    </row>
    <row r="23888" spans="4:7" x14ac:dyDescent="0.3">
      <c r="D23888" s="1"/>
      <c r="G23888" s="13"/>
    </row>
    <row r="23889" spans="4:7" x14ac:dyDescent="0.3">
      <c r="D23889" s="1"/>
      <c r="G23889" s="13"/>
    </row>
    <row r="23890" spans="4:7" x14ac:dyDescent="0.3">
      <c r="D23890" s="1"/>
      <c r="G23890" s="13"/>
    </row>
    <row r="23891" spans="4:7" x14ac:dyDescent="0.3">
      <c r="D23891" s="1"/>
      <c r="G23891" s="13"/>
    </row>
    <row r="23892" spans="4:7" x14ac:dyDescent="0.3">
      <c r="D23892" s="1"/>
      <c r="G23892" s="13"/>
    </row>
    <row r="23893" spans="4:7" x14ac:dyDescent="0.3">
      <c r="D23893" s="1"/>
      <c r="G23893" s="13"/>
    </row>
    <row r="23894" spans="4:7" x14ac:dyDescent="0.3">
      <c r="D23894" s="1"/>
      <c r="G23894" s="13"/>
    </row>
    <row r="23895" spans="4:7" x14ac:dyDescent="0.3">
      <c r="D23895" s="1"/>
      <c r="G23895" s="13"/>
    </row>
    <row r="23896" spans="4:7" x14ac:dyDescent="0.3">
      <c r="D23896" s="1"/>
      <c r="G23896" s="13"/>
    </row>
    <row r="23897" spans="4:7" x14ac:dyDescent="0.3">
      <c r="D23897" s="1"/>
      <c r="G23897" s="13"/>
    </row>
    <row r="23898" spans="4:7" x14ac:dyDescent="0.3">
      <c r="D23898" s="1"/>
      <c r="G23898" s="13"/>
    </row>
    <row r="23899" spans="4:7" x14ac:dyDescent="0.3">
      <c r="D23899" s="1"/>
      <c r="G23899" s="13"/>
    </row>
    <row r="23900" spans="4:7" x14ac:dyDescent="0.3">
      <c r="D23900" s="1"/>
      <c r="G23900" s="13"/>
    </row>
    <row r="23901" spans="4:7" x14ac:dyDescent="0.3">
      <c r="D23901" s="1"/>
      <c r="G23901" s="13"/>
    </row>
    <row r="23902" spans="4:7" x14ac:dyDescent="0.3">
      <c r="D23902" s="1"/>
      <c r="G23902" s="13"/>
    </row>
    <row r="23903" spans="4:7" x14ac:dyDescent="0.3">
      <c r="D23903" s="1"/>
      <c r="G23903" s="13"/>
    </row>
    <row r="23904" spans="4:7" x14ac:dyDescent="0.3">
      <c r="D23904" s="1"/>
      <c r="G23904" s="13"/>
    </row>
    <row r="23905" spans="4:7" x14ac:dyDescent="0.3">
      <c r="D23905" s="1"/>
      <c r="G23905" s="13"/>
    </row>
    <row r="23906" spans="4:7" x14ac:dyDescent="0.3">
      <c r="D23906" s="1"/>
      <c r="G23906" s="13"/>
    </row>
    <row r="23907" spans="4:7" x14ac:dyDescent="0.3">
      <c r="D23907" s="1"/>
      <c r="G23907" s="13"/>
    </row>
    <row r="23908" spans="4:7" x14ac:dyDescent="0.3">
      <c r="D23908" s="1"/>
      <c r="G23908" s="13"/>
    </row>
    <row r="23909" spans="4:7" x14ac:dyDescent="0.3">
      <c r="D23909" s="1"/>
      <c r="G23909" s="13"/>
    </row>
    <row r="23910" spans="4:7" x14ac:dyDescent="0.3">
      <c r="D23910" s="1"/>
      <c r="G23910" s="13"/>
    </row>
    <row r="23911" spans="4:7" x14ac:dyDescent="0.3">
      <c r="D23911" s="1"/>
      <c r="G23911" s="13"/>
    </row>
    <row r="23912" spans="4:7" x14ac:dyDescent="0.3">
      <c r="D23912" s="1"/>
      <c r="G23912" s="13"/>
    </row>
    <row r="23913" spans="4:7" x14ac:dyDescent="0.3">
      <c r="D23913" s="1"/>
      <c r="G23913" s="13"/>
    </row>
    <row r="23914" spans="4:7" x14ac:dyDescent="0.3">
      <c r="D23914" s="1"/>
      <c r="G23914" s="13"/>
    </row>
    <row r="23915" spans="4:7" x14ac:dyDescent="0.3">
      <c r="D23915" s="1"/>
      <c r="G23915" s="13"/>
    </row>
    <row r="23916" spans="4:7" x14ac:dyDescent="0.3">
      <c r="D23916" s="1"/>
      <c r="G23916" s="13"/>
    </row>
    <row r="23917" spans="4:7" x14ac:dyDescent="0.3">
      <c r="D23917" s="1"/>
      <c r="G23917" s="13"/>
    </row>
    <row r="23918" spans="4:7" x14ac:dyDescent="0.3">
      <c r="D23918" s="1"/>
      <c r="G23918" s="13"/>
    </row>
    <row r="23919" spans="4:7" x14ac:dyDescent="0.3">
      <c r="D23919" s="1"/>
      <c r="G23919" s="13"/>
    </row>
    <row r="23920" spans="4:7" x14ac:dyDescent="0.3">
      <c r="D23920" s="1"/>
      <c r="G23920" s="13"/>
    </row>
    <row r="23921" spans="4:7" x14ac:dyDescent="0.3">
      <c r="D23921" s="1"/>
      <c r="G23921" s="13"/>
    </row>
    <row r="23922" spans="4:7" x14ac:dyDescent="0.3">
      <c r="D23922" s="1"/>
      <c r="G23922" s="13"/>
    </row>
    <row r="23923" spans="4:7" x14ac:dyDescent="0.3">
      <c r="D23923" s="1"/>
      <c r="G23923" s="13"/>
    </row>
    <row r="23924" spans="4:7" x14ac:dyDescent="0.3">
      <c r="D23924" s="1"/>
      <c r="G23924" s="13"/>
    </row>
    <row r="23925" spans="4:7" x14ac:dyDescent="0.3">
      <c r="D23925" s="1"/>
      <c r="G23925" s="13"/>
    </row>
    <row r="23926" spans="4:7" x14ac:dyDescent="0.3">
      <c r="D23926" s="1"/>
      <c r="G23926" s="13"/>
    </row>
    <row r="23927" spans="4:7" x14ac:dyDescent="0.3">
      <c r="D23927" s="1"/>
      <c r="G23927" s="13"/>
    </row>
    <row r="23928" spans="4:7" x14ac:dyDescent="0.3">
      <c r="D23928" s="1"/>
      <c r="G23928" s="13"/>
    </row>
    <row r="23929" spans="4:7" x14ac:dyDescent="0.3">
      <c r="D23929" s="1"/>
      <c r="G23929" s="13"/>
    </row>
    <row r="23930" spans="4:7" x14ac:dyDescent="0.3">
      <c r="D23930" s="1"/>
      <c r="G23930" s="13"/>
    </row>
    <row r="23931" spans="4:7" x14ac:dyDescent="0.3">
      <c r="D23931" s="1"/>
      <c r="G23931" s="13"/>
    </row>
    <row r="23932" spans="4:7" x14ac:dyDescent="0.3">
      <c r="D23932" s="1"/>
      <c r="G23932" s="13"/>
    </row>
    <row r="23933" spans="4:7" x14ac:dyDescent="0.3">
      <c r="D23933" s="1"/>
      <c r="G23933" s="13"/>
    </row>
    <row r="23934" spans="4:7" x14ac:dyDescent="0.3">
      <c r="D23934" s="1"/>
      <c r="G23934" s="13"/>
    </row>
    <row r="23935" spans="4:7" x14ac:dyDescent="0.3">
      <c r="D23935" s="1"/>
      <c r="G23935" s="13"/>
    </row>
    <row r="23936" spans="4:7" x14ac:dyDescent="0.3">
      <c r="D23936" s="1"/>
      <c r="G23936" s="13"/>
    </row>
    <row r="23937" spans="4:7" x14ac:dyDescent="0.3">
      <c r="D23937" s="1"/>
      <c r="G23937" s="13"/>
    </row>
    <row r="23938" spans="4:7" x14ac:dyDescent="0.3">
      <c r="D23938" s="1"/>
      <c r="G23938" s="13"/>
    </row>
    <row r="23939" spans="4:7" x14ac:dyDescent="0.3">
      <c r="D23939" s="1"/>
      <c r="G23939" s="13"/>
    </row>
    <row r="23940" spans="4:7" x14ac:dyDescent="0.3">
      <c r="D23940" s="1"/>
      <c r="G23940" s="13"/>
    </row>
    <row r="23941" spans="4:7" x14ac:dyDescent="0.3">
      <c r="D23941" s="1"/>
      <c r="G23941" s="13"/>
    </row>
    <row r="23942" spans="4:7" x14ac:dyDescent="0.3">
      <c r="D23942" s="1"/>
      <c r="G23942" s="13"/>
    </row>
    <row r="23943" spans="4:7" x14ac:dyDescent="0.3">
      <c r="D23943" s="1"/>
      <c r="G23943" s="13"/>
    </row>
    <row r="23944" spans="4:7" x14ac:dyDescent="0.3">
      <c r="D23944" s="1"/>
      <c r="G23944" s="13"/>
    </row>
    <row r="23945" spans="4:7" x14ac:dyDescent="0.3">
      <c r="D23945" s="1"/>
      <c r="G23945" s="13"/>
    </row>
    <row r="23946" spans="4:7" x14ac:dyDescent="0.3">
      <c r="D23946" s="1"/>
      <c r="G23946" s="13"/>
    </row>
    <row r="23947" spans="4:7" x14ac:dyDescent="0.3">
      <c r="D23947" s="1"/>
      <c r="G23947" s="13"/>
    </row>
    <row r="23948" spans="4:7" x14ac:dyDescent="0.3">
      <c r="D23948" s="1"/>
      <c r="G23948" s="13"/>
    </row>
    <row r="23949" spans="4:7" x14ac:dyDescent="0.3">
      <c r="D23949" s="1"/>
      <c r="G23949" s="13"/>
    </row>
    <row r="23950" spans="4:7" x14ac:dyDescent="0.3">
      <c r="D23950" s="1"/>
      <c r="G23950" s="13"/>
    </row>
    <row r="23951" spans="4:7" x14ac:dyDescent="0.3">
      <c r="D23951" s="1"/>
      <c r="G23951" s="13"/>
    </row>
    <row r="23952" spans="4:7" x14ac:dyDescent="0.3">
      <c r="D23952" s="1"/>
      <c r="G23952" s="13"/>
    </row>
    <row r="23953" spans="4:7" x14ac:dyDescent="0.3">
      <c r="D23953" s="1"/>
      <c r="G23953" s="13"/>
    </row>
    <row r="23954" spans="4:7" x14ac:dyDescent="0.3">
      <c r="D23954" s="1"/>
      <c r="G23954" s="13"/>
    </row>
    <row r="23955" spans="4:7" x14ac:dyDescent="0.3">
      <c r="D23955" s="1"/>
      <c r="G23955" s="13"/>
    </row>
    <row r="23956" spans="4:7" x14ac:dyDescent="0.3">
      <c r="D23956" s="1"/>
      <c r="G23956" s="13"/>
    </row>
    <row r="23957" spans="4:7" x14ac:dyDescent="0.3">
      <c r="D23957" s="1"/>
      <c r="G23957" s="13"/>
    </row>
    <row r="23958" spans="4:7" x14ac:dyDescent="0.3">
      <c r="D23958" s="1"/>
      <c r="G23958" s="13"/>
    </row>
    <row r="23959" spans="4:7" x14ac:dyDescent="0.3">
      <c r="D23959" s="1"/>
      <c r="G23959" s="13"/>
    </row>
    <row r="23960" spans="4:7" x14ac:dyDescent="0.3">
      <c r="D23960" s="1"/>
      <c r="G23960" s="13"/>
    </row>
    <row r="23961" spans="4:7" x14ac:dyDescent="0.3">
      <c r="D23961" s="1"/>
      <c r="G23961" s="13"/>
    </row>
    <row r="23962" spans="4:7" x14ac:dyDescent="0.3">
      <c r="D23962" s="1"/>
      <c r="G23962" s="13"/>
    </row>
    <row r="23963" spans="4:7" x14ac:dyDescent="0.3">
      <c r="D23963" s="1"/>
    </row>
    <row r="23964" spans="4:7" x14ac:dyDescent="0.3">
      <c r="D23964" s="1"/>
      <c r="G23964" s="13"/>
    </row>
    <row r="23965" spans="4:7" x14ac:dyDescent="0.3">
      <c r="D23965" s="1"/>
      <c r="G23965" s="13"/>
    </row>
    <row r="23966" spans="4:7" x14ac:dyDescent="0.3">
      <c r="D23966" s="1"/>
      <c r="G23966" s="13"/>
    </row>
    <row r="23967" spans="4:7" x14ac:dyDescent="0.3">
      <c r="D23967" s="1"/>
      <c r="G23967" s="13"/>
    </row>
    <row r="23968" spans="4:7" x14ac:dyDescent="0.3">
      <c r="D23968" s="1"/>
      <c r="G23968" s="13"/>
    </row>
    <row r="23969" spans="4:7" x14ac:dyDescent="0.3">
      <c r="D23969" s="1"/>
      <c r="G23969" s="13"/>
    </row>
    <row r="23970" spans="4:7" x14ac:dyDescent="0.3">
      <c r="D23970" s="1"/>
      <c r="G23970" s="13"/>
    </row>
    <row r="23971" spans="4:7" x14ac:dyDescent="0.3">
      <c r="D23971" s="1"/>
      <c r="G23971" s="13"/>
    </row>
    <row r="23972" spans="4:7" x14ac:dyDescent="0.3">
      <c r="D23972" s="1"/>
      <c r="G23972" s="13"/>
    </row>
    <row r="23973" spans="4:7" x14ac:dyDescent="0.3">
      <c r="D23973" s="1"/>
      <c r="G23973" s="13"/>
    </row>
    <row r="23974" spans="4:7" x14ac:dyDescent="0.3">
      <c r="D23974" s="1"/>
      <c r="G23974" s="13"/>
    </row>
    <row r="23975" spans="4:7" x14ac:dyDescent="0.3">
      <c r="D23975" s="1"/>
      <c r="G23975" s="13"/>
    </row>
    <row r="23976" spans="4:7" x14ac:dyDescent="0.3">
      <c r="D23976" s="1"/>
      <c r="G23976" s="13"/>
    </row>
    <row r="23977" spans="4:7" x14ac:dyDescent="0.3">
      <c r="D23977" s="1"/>
      <c r="G23977" s="13"/>
    </row>
    <row r="23978" spans="4:7" x14ac:dyDescent="0.3">
      <c r="D23978" s="1"/>
      <c r="G23978" s="13"/>
    </row>
    <row r="23979" spans="4:7" x14ac:dyDescent="0.3">
      <c r="D23979" s="1"/>
      <c r="G23979" s="13"/>
    </row>
    <row r="23980" spans="4:7" x14ac:dyDescent="0.3">
      <c r="D23980" s="1"/>
      <c r="G23980" s="13"/>
    </row>
    <row r="23981" spans="4:7" x14ac:dyDescent="0.3">
      <c r="D23981" s="1"/>
      <c r="G23981" s="13"/>
    </row>
    <row r="23982" spans="4:7" x14ac:dyDescent="0.3">
      <c r="D23982" s="1"/>
      <c r="G23982" s="13"/>
    </row>
    <row r="23983" spans="4:7" x14ac:dyDescent="0.3">
      <c r="D23983" s="1"/>
      <c r="G23983" s="13"/>
    </row>
    <row r="23984" spans="4:7" x14ac:dyDescent="0.3">
      <c r="D23984" s="1"/>
      <c r="G23984" s="13"/>
    </row>
    <row r="23985" spans="4:7" x14ac:dyDescent="0.3">
      <c r="D23985" s="1"/>
      <c r="G23985" s="13"/>
    </row>
    <row r="23986" spans="4:7" x14ac:dyDescent="0.3">
      <c r="D23986" s="1"/>
      <c r="G23986" s="13"/>
    </row>
    <row r="23987" spans="4:7" x14ac:dyDescent="0.3">
      <c r="D23987" s="1"/>
      <c r="G23987" s="13"/>
    </row>
    <row r="23988" spans="4:7" x14ac:dyDescent="0.3">
      <c r="D23988" s="1"/>
      <c r="G23988" s="13"/>
    </row>
    <row r="23989" spans="4:7" x14ac:dyDescent="0.3">
      <c r="D23989" s="1"/>
      <c r="G23989" s="13"/>
    </row>
    <row r="23990" spans="4:7" x14ac:dyDescent="0.3">
      <c r="D23990" s="1"/>
      <c r="G23990" s="13"/>
    </row>
    <row r="23991" spans="4:7" x14ac:dyDescent="0.3">
      <c r="D23991" s="1"/>
      <c r="G23991" s="13"/>
    </row>
    <row r="23992" spans="4:7" x14ac:dyDescent="0.3">
      <c r="D23992" s="1"/>
      <c r="G23992" s="13"/>
    </row>
    <row r="23993" spans="4:7" x14ac:dyDescent="0.3">
      <c r="G23993" s="13"/>
    </row>
    <row r="23994" spans="4:7" x14ac:dyDescent="0.3">
      <c r="D23994" s="1"/>
      <c r="G23994" s="13"/>
    </row>
    <row r="23995" spans="4:7" x14ac:dyDescent="0.3">
      <c r="D23995" s="1"/>
      <c r="G23995" s="13"/>
    </row>
    <row r="23996" spans="4:7" x14ac:dyDescent="0.3">
      <c r="D23996" s="1"/>
    </row>
    <row r="23997" spans="4:7" x14ac:dyDescent="0.3">
      <c r="D23997" s="1"/>
      <c r="G23997" s="13"/>
    </row>
    <row r="23998" spans="4:7" x14ac:dyDescent="0.3">
      <c r="D23998" s="1"/>
    </row>
    <row r="23999" spans="4:7" x14ac:dyDescent="0.3">
      <c r="D23999" s="1"/>
      <c r="G23999" s="13"/>
    </row>
    <row r="24000" spans="4:7" x14ac:dyDescent="0.3">
      <c r="D24000" s="1"/>
    </row>
    <row r="24001" spans="4:7" x14ac:dyDescent="0.3">
      <c r="D24001" s="1"/>
      <c r="G24001" s="13"/>
    </row>
    <row r="24002" spans="4:7" x14ac:dyDescent="0.3">
      <c r="D24002" s="1"/>
      <c r="G24002" s="13"/>
    </row>
    <row r="24003" spans="4:7" x14ac:dyDescent="0.3">
      <c r="D24003" s="1"/>
      <c r="G24003" s="13"/>
    </row>
    <row r="24004" spans="4:7" x14ac:dyDescent="0.3">
      <c r="D24004" s="1"/>
      <c r="G24004" s="13"/>
    </row>
    <row r="24005" spans="4:7" x14ac:dyDescent="0.3">
      <c r="D24005" s="1"/>
      <c r="G24005" s="13"/>
    </row>
    <row r="24006" spans="4:7" x14ac:dyDescent="0.3">
      <c r="D24006" s="1"/>
      <c r="G24006" s="13"/>
    </row>
    <row r="24007" spans="4:7" x14ac:dyDescent="0.3">
      <c r="D24007" s="1"/>
      <c r="G24007" s="13"/>
    </row>
    <row r="24008" spans="4:7" x14ac:dyDescent="0.3">
      <c r="D24008" s="1"/>
      <c r="G24008" s="13"/>
    </row>
    <row r="24009" spans="4:7" x14ac:dyDescent="0.3">
      <c r="D24009" s="1"/>
      <c r="G24009" s="13"/>
    </row>
    <row r="24010" spans="4:7" x14ac:dyDescent="0.3">
      <c r="D24010" s="1"/>
      <c r="G24010" s="13"/>
    </row>
    <row r="24011" spans="4:7" x14ac:dyDescent="0.3">
      <c r="D24011" s="1"/>
      <c r="G24011" s="13"/>
    </row>
    <row r="24012" spans="4:7" x14ac:dyDescent="0.3">
      <c r="D24012" s="1"/>
      <c r="G24012" s="13"/>
    </row>
    <row r="24013" spans="4:7" x14ac:dyDescent="0.3">
      <c r="D24013" s="1"/>
      <c r="G24013" s="13"/>
    </row>
    <row r="24014" spans="4:7" x14ac:dyDescent="0.3">
      <c r="D24014" s="1"/>
      <c r="G24014" s="13"/>
    </row>
    <row r="24015" spans="4:7" x14ac:dyDescent="0.3">
      <c r="G24015" s="13"/>
    </row>
    <row r="24016" spans="4:7" x14ac:dyDescent="0.3">
      <c r="D24016" s="1"/>
      <c r="G24016" s="13"/>
    </row>
    <row r="24017" spans="4:7" x14ac:dyDescent="0.3">
      <c r="D24017" s="1"/>
      <c r="G24017" s="13"/>
    </row>
    <row r="24018" spans="4:7" x14ac:dyDescent="0.3">
      <c r="D24018" s="1"/>
      <c r="G24018" s="13"/>
    </row>
    <row r="24019" spans="4:7" x14ac:dyDescent="0.3">
      <c r="D24019" s="1"/>
      <c r="G24019" s="13"/>
    </row>
    <row r="24020" spans="4:7" x14ac:dyDescent="0.3">
      <c r="D24020" s="1"/>
      <c r="G24020" s="13"/>
    </row>
    <row r="24021" spans="4:7" x14ac:dyDescent="0.3">
      <c r="D24021" s="1"/>
      <c r="G24021" s="13"/>
    </row>
    <row r="24022" spans="4:7" x14ac:dyDescent="0.3">
      <c r="D24022" s="1"/>
      <c r="G24022" s="13"/>
    </row>
    <row r="24023" spans="4:7" x14ac:dyDescent="0.3">
      <c r="D24023" s="1"/>
      <c r="G24023" s="13"/>
    </row>
    <row r="24024" spans="4:7" x14ac:dyDescent="0.3">
      <c r="D24024" s="1"/>
      <c r="G24024" s="13"/>
    </row>
    <row r="24025" spans="4:7" x14ac:dyDescent="0.3">
      <c r="D24025" s="1"/>
      <c r="G24025" s="13"/>
    </row>
    <row r="24026" spans="4:7" x14ac:dyDescent="0.3">
      <c r="D24026" s="1"/>
      <c r="G24026" s="13"/>
    </row>
    <row r="24027" spans="4:7" x14ac:dyDescent="0.3">
      <c r="D24027" s="1"/>
      <c r="G24027" s="13"/>
    </row>
    <row r="24028" spans="4:7" x14ac:dyDescent="0.3">
      <c r="D24028" s="1"/>
      <c r="G24028" s="13"/>
    </row>
    <row r="24029" spans="4:7" x14ac:dyDescent="0.3">
      <c r="D24029" s="1"/>
      <c r="G24029" s="13"/>
    </row>
    <row r="24030" spans="4:7" x14ac:dyDescent="0.3">
      <c r="D24030" s="1"/>
      <c r="G24030" s="13"/>
    </row>
    <row r="24031" spans="4:7" x14ac:dyDescent="0.3">
      <c r="D24031" s="1"/>
      <c r="G24031" s="13"/>
    </row>
    <row r="24032" spans="4:7" x14ac:dyDescent="0.3">
      <c r="D24032" s="1"/>
      <c r="G24032" s="13"/>
    </row>
    <row r="24033" spans="4:7" x14ac:dyDescent="0.3">
      <c r="D24033" s="1"/>
      <c r="G24033" s="13"/>
    </row>
    <row r="24034" spans="4:7" x14ac:dyDescent="0.3">
      <c r="D24034" s="1"/>
      <c r="G24034" s="13"/>
    </row>
    <row r="24035" spans="4:7" x14ac:dyDescent="0.3">
      <c r="D24035" s="1"/>
      <c r="G24035" s="13"/>
    </row>
    <row r="24036" spans="4:7" x14ac:dyDescent="0.3">
      <c r="D24036" s="1"/>
      <c r="G24036" s="13"/>
    </row>
    <row r="24037" spans="4:7" x14ac:dyDescent="0.3">
      <c r="D24037" s="1"/>
      <c r="G24037" s="13"/>
    </row>
    <row r="24038" spans="4:7" x14ac:dyDescent="0.3">
      <c r="D24038" s="1"/>
      <c r="G24038" s="13"/>
    </row>
    <row r="24039" spans="4:7" x14ac:dyDescent="0.3">
      <c r="D24039" s="1"/>
      <c r="G24039" s="13"/>
    </row>
    <row r="24040" spans="4:7" x14ac:dyDescent="0.3">
      <c r="D24040" s="1"/>
      <c r="G24040" s="13"/>
    </row>
    <row r="24041" spans="4:7" x14ac:dyDescent="0.3">
      <c r="D24041" s="1"/>
      <c r="G24041" s="13"/>
    </row>
    <row r="24042" spans="4:7" x14ac:dyDescent="0.3">
      <c r="D24042" s="1"/>
      <c r="G24042" s="13"/>
    </row>
    <row r="24043" spans="4:7" x14ac:dyDescent="0.3">
      <c r="D24043" s="1"/>
      <c r="G24043" s="13"/>
    </row>
    <row r="24044" spans="4:7" x14ac:dyDescent="0.3">
      <c r="D24044" s="1"/>
      <c r="G24044" s="13"/>
    </row>
    <row r="24045" spans="4:7" x14ac:dyDescent="0.3">
      <c r="D24045" s="1"/>
      <c r="G24045" s="13"/>
    </row>
    <row r="24046" spans="4:7" x14ac:dyDescent="0.3">
      <c r="D24046" s="1"/>
      <c r="G24046" s="13"/>
    </row>
    <row r="24047" spans="4:7" x14ac:dyDescent="0.3">
      <c r="D24047" s="1"/>
      <c r="G24047" s="13"/>
    </row>
    <row r="24048" spans="4:7" x14ac:dyDescent="0.3">
      <c r="D24048" s="1"/>
      <c r="G24048" s="13"/>
    </row>
    <row r="24049" spans="4:7" x14ac:dyDescent="0.3">
      <c r="D24049" s="1"/>
      <c r="G24049" s="13"/>
    </row>
    <row r="24050" spans="4:7" x14ac:dyDescent="0.3">
      <c r="D24050" s="1"/>
      <c r="G24050" s="13"/>
    </row>
    <row r="24051" spans="4:7" x14ac:dyDescent="0.3">
      <c r="D24051" s="1"/>
      <c r="G24051" s="13"/>
    </row>
    <row r="24052" spans="4:7" x14ac:dyDescent="0.3">
      <c r="D24052" s="1"/>
      <c r="G24052" s="13"/>
    </row>
    <row r="24053" spans="4:7" x14ac:dyDescent="0.3">
      <c r="D24053" s="1"/>
      <c r="G24053" s="13"/>
    </row>
    <row r="24054" spans="4:7" x14ac:dyDescent="0.3">
      <c r="D24054" s="1"/>
      <c r="G24054" s="13"/>
    </row>
    <row r="24055" spans="4:7" x14ac:dyDescent="0.3">
      <c r="D24055" s="1"/>
      <c r="G24055" s="13"/>
    </row>
    <row r="24056" spans="4:7" x14ac:dyDescent="0.3">
      <c r="D24056" s="1"/>
      <c r="G24056" s="13"/>
    </row>
    <row r="24057" spans="4:7" x14ac:dyDescent="0.3">
      <c r="D24057" s="1"/>
      <c r="G24057" s="13"/>
    </row>
    <row r="24058" spans="4:7" x14ac:dyDescent="0.3">
      <c r="D24058" s="1"/>
      <c r="G24058" s="13"/>
    </row>
    <row r="24059" spans="4:7" x14ac:dyDescent="0.3">
      <c r="D24059" s="1"/>
      <c r="G24059" s="13"/>
    </row>
    <row r="24060" spans="4:7" x14ac:dyDescent="0.3">
      <c r="D24060" s="1"/>
      <c r="G24060" s="13"/>
    </row>
    <row r="24061" spans="4:7" x14ac:dyDescent="0.3">
      <c r="D24061" s="1"/>
      <c r="G24061" s="13"/>
    </row>
    <row r="24062" spans="4:7" x14ac:dyDescent="0.3">
      <c r="D24062" s="1"/>
      <c r="G24062" s="13"/>
    </row>
    <row r="24063" spans="4:7" x14ac:dyDescent="0.3">
      <c r="D24063" s="1"/>
      <c r="G24063" s="13"/>
    </row>
    <row r="24064" spans="4:7" x14ac:dyDescent="0.3">
      <c r="D24064" s="1"/>
      <c r="G24064" s="13"/>
    </row>
    <row r="24065" spans="4:7" x14ac:dyDescent="0.3">
      <c r="D24065" s="1"/>
      <c r="G24065" s="13"/>
    </row>
    <row r="24066" spans="4:7" x14ac:dyDescent="0.3">
      <c r="D24066" s="1"/>
      <c r="G24066" s="13"/>
    </row>
    <row r="24067" spans="4:7" x14ac:dyDescent="0.3">
      <c r="D24067" s="1"/>
      <c r="G24067" s="13"/>
    </row>
    <row r="24068" spans="4:7" x14ac:dyDescent="0.3">
      <c r="D24068" s="1"/>
      <c r="G24068" s="13"/>
    </row>
    <row r="24069" spans="4:7" x14ac:dyDescent="0.3">
      <c r="D24069" s="1"/>
      <c r="G24069" s="13"/>
    </row>
    <row r="24070" spans="4:7" x14ac:dyDescent="0.3">
      <c r="D24070" s="1"/>
      <c r="G24070" s="13"/>
    </row>
    <row r="24071" spans="4:7" x14ac:dyDescent="0.3">
      <c r="D24071" s="1"/>
      <c r="G24071" s="13"/>
    </row>
    <row r="24072" spans="4:7" x14ac:dyDescent="0.3">
      <c r="D24072" s="1"/>
      <c r="G24072" s="13"/>
    </row>
    <row r="24073" spans="4:7" x14ac:dyDescent="0.3">
      <c r="D24073" s="1"/>
      <c r="G24073" s="13"/>
    </row>
    <row r="24074" spans="4:7" x14ac:dyDescent="0.3">
      <c r="D24074" s="1"/>
      <c r="G24074" s="13"/>
    </row>
    <row r="24075" spans="4:7" x14ac:dyDescent="0.3">
      <c r="D24075" s="1"/>
      <c r="G24075" s="13"/>
    </row>
    <row r="24076" spans="4:7" x14ac:dyDescent="0.3">
      <c r="D24076" s="1"/>
      <c r="G24076" s="13"/>
    </row>
    <row r="24077" spans="4:7" x14ac:dyDescent="0.3">
      <c r="G24077" s="13"/>
    </row>
    <row r="24078" spans="4:7" x14ac:dyDescent="0.3">
      <c r="D24078" s="1"/>
      <c r="G24078" s="13"/>
    </row>
    <row r="24079" spans="4:7" x14ac:dyDescent="0.3">
      <c r="D24079" s="1"/>
      <c r="G24079" s="13"/>
    </row>
    <row r="24080" spans="4:7" x14ac:dyDescent="0.3">
      <c r="D24080" s="1"/>
      <c r="G24080" s="13"/>
    </row>
    <row r="24081" spans="4:7" x14ac:dyDescent="0.3">
      <c r="D24081" s="1"/>
      <c r="G24081" s="13"/>
    </row>
    <row r="24082" spans="4:7" x14ac:dyDescent="0.3">
      <c r="D24082" s="1"/>
      <c r="G24082" s="13"/>
    </row>
    <row r="24083" spans="4:7" x14ac:dyDescent="0.3">
      <c r="D24083" s="1"/>
      <c r="G24083" s="13"/>
    </row>
    <row r="24084" spans="4:7" x14ac:dyDescent="0.3">
      <c r="D24084" s="1"/>
      <c r="G24084" s="13"/>
    </row>
    <row r="24085" spans="4:7" x14ac:dyDescent="0.3">
      <c r="G24085" s="13"/>
    </row>
    <row r="24086" spans="4:7" x14ac:dyDescent="0.3">
      <c r="D24086" s="1"/>
      <c r="G24086" s="13"/>
    </row>
    <row r="24087" spans="4:7" x14ac:dyDescent="0.3">
      <c r="D24087" s="1"/>
      <c r="G24087" s="13"/>
    </row>
    <row r="24088" spans="4:7" x14ac:dyDescent="0.3">
      <c r="D24088" s="1"/>
      <c r="G24088" s="13"/>
    </row>
    <row r="24089" spans="4:7" x14ac:dyDescent="0.3">
      <c r="D24089" s="1"/>
      <c r="G24089" s="13"/>
    </row>
    <row r="24090" spans="4:7" x14ac:dyDescent="0.3">
      <c r="D24090" s="1"/>
      <c r="G24090" s="13"/>
    </row>
    <row r="24091" spans="4:7" x14ac:dyDescent="0.3">
      <c r="D24091" s="1"/>
      <c r="G24091" s="13"/>
    </row>
    <row r="24092" spans="4:7" x14ac:dyDescent="0.3">
      <c r="D24092" s="1"/>
      <c r="G24092" s="13"/>
    </row>
    <row r="24093" spans="4:7" x14ac:dyDescent="0.3">
      <c r="D24093" s="1"/>
      <c r="G24093" s="13"/>
    </row>
    <row r="24094" spans="4:7" x14ac:dyDescent="0.3">
      <c r="D24094" s="1"/>
      <c r="G24094" s="13"/>
    </row>
    <row r="24095" spans="4:7" x14ac:dyDescent="0.3">
      <c r="D24095" s="1"/>
      <c r="G24095" s="13"/>
    </row>
    <row r="24096" spans="4:7" x14ac:dyDescent="0.3">
      <c r="D24096" s="1"/>
      <c r="G24096" s="13"/>
    </row>
    <row r="24097" spans="4:7" x14ac:dyDescent="0.3">
      <c r="D24097" s="1"/>
      <c r="G24097" s="13"/>
    </row>
    <row r="24098" spans="4:7" x14ac:dyDescent="0.3">
      <c r="D24098" s="1"/>
      <c r="G24098" s="13"/>
    </row>
    <row r="24099" spans="4:7" x14ac:dyDescent="0.3">
      <c r="G24099" s="13"/>
    </row>
    <row r="24100" spans="4:7" x14ac:dyDescent="0.3">
      <c r="G24100" s="13"/>
    </row>
    <row r="24101" spans="4:7" x14ac:dyDescent="0.3">
      <c r="D24101" s="1"/>
      <c r="G24101" s="13"/>
    </row>
    <row r="24102" spans="4:7" x14ac:dyDescent="0.3">
      <c r="D24102" s="1"/>
      <c r="G24102" s="13"/>
    </row>
    <row r="24103" spans="4:7" x14ac:dyDescent="0.3">
      <c r="D24103" s="1"/>
      <c r="G24103" s="13"/>
    </row>
    <row r="24104" spans="4:7" x14ac:dyDescent="0.3">
      <c r="D24104" s="1"/>
      <c r="G24104" s="13"/>
    </row>
    <row r="24105" spans="4:7" x14ac:dyDescent="0.3">
      <c r="D24105" s="1"/>
      <c r="G24105" s="13"/>
    </row>
    <row r="24106" spans="4:7" x14ac:dyDescent="0.3">
      <c r="D24106" s="1"/>
      <c r="G24106" s="13"/>
    </row>
    <row r="24107" spans="4:7" x14ac:dyDescent="0.3">
      <c r="D24107" s="1"/>
      <c r="G24107" s="13"/>
    </row>
    <row r="24108" spans="4:7" x14ac:dyDescent="0.3">
      <c r="D24108" s="1"/>
      <c r="G24108" s="13"/>
    </row>
    <row r="24109" spans="4:7" x14ac:dyDescent="0.3">
      <c r="D24109" s="1"/>
      <c r="G24109" s="13"/>
    </row>
    <row r="24110" spans="4:7" x14ac:dyDescent="0.3">
      <c r="D24110" s="1"/>
      <c r="G24110" s="13"/>
    </row>
    <row r="24111" spans="4:7" x14ac:dyDescent="0.3">
      <c r="D24111" s="1"/>
      <c r="G24111" s="13"/>
    </row>
    <row r="24112" spans="4:7" x14ac:dyDescent="0.3">
      <c r="D24112" s="1"/>
      <c r="G24112" s="13"/>
    </row>
    <row r="24113" spans="4:7" x14ac:dyDescent="0.3">
      <c r="D24113" s="1"/>
      <c r="G24113" s="13"/>
    </row>
    <row r="24114" spans="4:7" x14ac:dyDescent="0.3">
      <c r="D24114" s="1"/>
      <c r="G24114" s="13"/>
    </row>
    <row r="24115" spans="4:7" x14ac:dyDescent="0.3">
      <c r="D24115" s="1"/>
      <c r="G24115" s="13"/>
    </row>
    <row r="24116" spans="4:7" x14ac:dyDescent="0.3">
      <c r="D24116" s="1"/>
      <c r="G24116" s="13"/>
    </row>
    <row r="24117" spans="4:7" x14ac:dyDescent="0.3">
      <c r="D24117" s="1"/>
      <c r="G24117" s="13"/>
    </row>
    <row r="24118" spans="4:7" x14ac:dyDescent="0.3">
      <c r="D24118" s="1"/>
      <c r="G24118" s="13"/>
    </row>
    <row r="24119" spans="4:7" x14ac:dyDescent="0.3">
      <c r="D24119" s="1"/>
      <c r="G24119" s="13"/>
    </row>
    <row r="24120" spans="4:7" x14ac:dyDescent="0.3">
      <c r="D24120" s="1"/>
      <c r="G24120" s="13"/>
    </row>
    <row r="24121" spans="4:7" x14ac:dyDescent="0.3">
      <c r="D24121" s="1"/>
      <c r="G24121" s="13"/>
    </row>
    <row r="24122" spans="4:7" x14ac:dyDescent="0.3">
      <c r="D24122" s="1"/>
      <c r="G24122" s="13"/>
    </row>
    <row r="24123" spans="4:7" x14ac:dyDescent="0.3">
      <c r="G24123" s="13"/>
    </row>
    <row r="24124" spans="4:7" x14ac:dyDescent="0.3">
      <c r="D24124" s="1"/>
      <c r="G24124" s="13"/>
    </row>
    <row r="24125" spans="4:7" x14ac:dyDescent="0.3">
      <c r="D24125" s="1"/>
      <c r="G24125" s="13"/>
    </row>
    <row r="24126" spans="4:7" x14ac:dyDescent="0.3">
      <c r="D24126" s="1"/>
      <c r="G24126" s="13"/>
    </row>
    <row r="24127" spans="4:7" x14ac:dyDescent="0.3">
      <c r="D24127" s="1"/>
      <c r="G24127" s="13"/>
    </row>
    <row r="24128" spans="4:7" x14ac:dyDescent="0.3">
      <c r="D24128" s="1"/>
      <c r="G24128" s="13"/>
    </row>
    <row r="24129" spans="4:7" x14ac:dyDescent="0.3">
      <c r="D24129" s="1"/>
      <c r="G24129" s="13"/>
    </row>
    <row r="24130" spans="4:7" x14ac:dyDescent="0.3">
      <c r="D24130" s="1"/>
      <c r="G24130" s="13"/>
    </row>
    <row r="24131" spans="4:7" x14ac:dyDescent="0.3">
      <c r="D24131" s="1"/>
      <c r="G24131" s="13"/>
    </row>
    <row r="24132" spans="4:7" x14ac:dyDescent="0.3">
      <c r="D24132" s="1"/>
      <c r="G24132" s="13"/>
    </row>
    <row r="24133" spans="4:7" x14ac:dyDescent="0.3">
      <c r="D24133" s="1"/>
      <c r="G24133" s="13"/>
    </row>
    <row r="24134" spans="4:7" x14ac:dyDescent="0.3">
      <c r="D24134" s="1"/>
      <c r="G24134" s="13"/>
    </row>
    <row r="24135" spans="4:7" x14ac:dyDescent="0.3">
      <c r="D24135" s="1"/>
      <c r="G24135" s="13"/>
    </row>
    <row r="24136" spans="4:7" x14ac:dyDescent="0.3">
      <c r="D24136" s="1"/>
      <c r="G24136" s="13"/>
    </row>
    <row r="24137" spans="4:7" x14ac:dyDescent="0.3">
      <c r="D24137" s="1"/>
    </row>
    <row r="24138" spans="4:7" x14ac:dyDescent="0.3">
      <c r="D24138" s="1"/>
      <c r="G24138" s="13"/>
    </row>
    <row r="24139" spans="4:7" x14ac:dyDescent="0.3">
      <c r="D24139" s="1"/>
      <c r="G24139" s="13"/>
    </row>
    <row r="24140" spans="4:7" x14ac:dyDescent="0.3">
      <c r="D24140" s="1"/>
      <c r="G24140" s="13"/>
    </row>
    <row r="24141" spans="4:7" x14ac:dyDescent="0.3">
      <c r="D24141" s="1"/>
      <c r="G24141" s="13"/>
    </row>
    <row r="24142" spans="4:7" x14ac:dyDescent="0.3">
      <c r="D24142" s="1"/>
      <c r="G24142" s="13"/>
    </row>
    <row r="24143" spans="4:7" x14ac:dyDescent="0.3">
      <c r="D24143" s="1"/>
      <c r="G24143" s="13"/>
    </row>
    <row r="24144" spans="4:7" x14ac:dyDescent="0.3">
      <c r="D24144" s="1"/>
      <c r="G24144" s="13"/>
    </row>
    <row r="24145" spans="4:7" x14ac:dyDescent="0.3">
      <c r="D24145" s="1"/>
      <c r="G24145" s="13"/>
    </row>
    <row r="24146" spans="4:7" x14ac:dyDescent="0.3">
      <c r="D24146" s="1"/>
      <c r="G24146" s="13"/>
    </row>
    <row r="24147" spans="4:7" x14ac:dyDescent="0.3">
      <c r="D24147" s="1"/>
      <c r="G24147" s="13"/>
    </row>
    <row r="24148" spans="4:7" x14ac:dyDescent="0.3">
      <c r="D24148" s="1"/>
      <c r="G24148" s="13"/>
    </row>
    <row r="24149" spans="4:7" x14ac:dyDescent="0.3">
      <c r="D24149" s="1"/>
      <c r="G24149" s="13"/>
    </row>
    <row r="24150" spans="4:7" x14ac:dyDescent="0.3">
      <c r="D24150" s="1"/>
      <c r="G24150" s="13"/>
    </row>
    <row r="24151" spans="4:7" x14ac:dyDescent="0.3">
      <c r="D24151" s="1"/>
      <c r="G24151" s="13"/>
    </row>
    <row r="24152" spans="4:7" x14ac:dyDescent="0.3">
      <c r="D24152" s="1"/>
      <c r="G24152" s="13"/>
    </row>
    <row r="24153" spans="4:7" x14ac:dyDescent="0.3">
      <c r="D24153" s="1"/>
      <c r="G24153" s="13"/>
    </row>
    <row r="24154" spans="4:7" x14ac:dyDescent="0.3">
      <c r="D24154" s="1"/>
      <c r="G24154" s="13"/>
    </row>
    <row r="24155" spans="4:7" x14ac:dyDescent="0.3">
      <c r="D24155" s="1"/>
      <c r="G24155" s="13"/>
    </row>
    <row r="24156" spans="4:7" x14ac:dyDescent="0.3">
      <c r="D24156" s="1"/>
      <c r="G24156" s="13"/>
    </row>
    <row r="24157" spans="4:7" x14ac:dyDescent="0.3">
      <c r="D24157" s="1"/>
      <c r="G24157" s="13"/>
    </row>
    <row r="24158" spans="4:7" x14ac:dyDescent="0.3">
      <c r="D24158" s="1"/>
      <c r="G24158" s="13"/>
    </row>
    <row r="24159" spans="4:7" x14ac:dyDescent="0.3">
      <c r="D24159" s="1"/>
      <c r="G24159" s="13"/>
    </row>
    <row r="24160" spans="4:7" x14ac:dyDescent="0.3">
      <c r="D24160" s="1"/>
      <c r="G24160" s="13"/>
    </row>
    <row r="24161" spans="4:7" x14ac:dyDescent="0.3">
      <c r="D24161" s="1"/>
      <c r="G24161" s="13"/>
    </row>
    <row r="24162" spans="4:7" x14ac:dyDescent="0.3">
      <c r="D24162" s="1"/>
      <c r="G24162" s="13"/>
    </row>
    <row r="24163" spans="4:7" x14ac:dyDescent="0.3">
      <c r="D24163" s="1"/>
      <c r="G24163" s="13"/>
    </row>
    <row r="24164" spans="4:7" x14ac:dyDescent="0.3">
      <c r="D24164" s="1"/>
      <c r="G24164" s="13"/>
    </row>
    <row r="24165" spans="4:7" x14ac:dyDescent="0.3">
      <c r="D24165" s="1"/>
      <c r="G24165" s="13"/>
    </row>
    <row r="24166" spans="4:7" x14ac:dyDescent="0.3">
      <c r="D24166" s="1"/>
      <c r="G24166" s="13"/>
    </row>
    <row r="24167" spans="4:7" x14ac:dyDescent="0.3">
      <c r="D24167" s="1"/>
      <c r="G24167" s="13"/>
    </row>
    <row r="24168" spans="4:7" x14ac:dyDescent="0.3">
      <c r="D24168" s="1"/>
      <c r="G24168" s="13"/>
    </row>
    <row r="24169" spans="4:7" x14ac:dyDescent="0.3">
      <c r="D24169" s="1"/>
      <c r="G24169" s="13"/>
    </row>
    <row r="24170" spans="4:7" x14ac:dyDescent="0.3">
      <c r="D24170" s="1"/>
      <c r="G24170" s="13"/>
    </row>
    <row r="24171" spans="4:7" x14ac:dyDescent="0.3">
      <c r="D24171" s="1"/>
      <c r="G24171" s="13"/>
    </row>
    <row r="24172" spans="4:7" x14ac:dyDescent="0.3">
      <c r="D24172" s="1"/>
      <c r="G24172" s="13"/>
    </row>
    <row r="24173" spans="4:7" x14ac:dyDescent="0.3">
      <c r="D24173" s="1"/>
      <c r="G24173" s="13"/>
    </row>
    <row r="24174" spans="4:7" x14ac:dyDescent="0.3">
      <c r="D24174" s="1"/>
      <c r="G24174" s="13"/>
    </row>
    <row r="24175" spans="4:7" x14ac:dyDescent="0.3">
      <c r="D24175" s="1"/>
      <c r="G24175" s="13"/>
    </row>
    <row r="24176" spans="4:7" x14ac:dyDescent="0.3">
      <c r="D24176" s="1"/>
      <c r="G24176" s="13"/>
    </row>
    <row r="24177" spans="4:7" x14ac:dyDescent="0.3">
      <c r="D24177" s="1"/>
      <c r="G24177" s="13"/>
    </row>
    <row r="24178" spans="4:7" x14ac:dyDescent="0.3">
      <c r="D24178" s="1"/>
      <c r="G24178" s="13"/>
    </row>
    <row r="24179" spans="4:7" x14ac:dyDescent="0.3">
      <c r="D24179" s="1"/>
      <c r="G24179" s="13"/>
    </row>
    <row r="24180" spans="4:7" x14ac:dyDescent="0.3">
      <c r="D24180" s="1"/>
      <c r="G24180" s="13"/>
    </row>
    <row r="24181" spans="4:7" x14ac:dyDescent="0.3">
      <c r="D24181" s="1"/>
      <c r="G24181" s="13"/>
    </row>
    <row r="24182" spans="4:7" x14ac:dyDescent="0.3">
      <c r="D24182" s="1"/>
      <c r="G24182" s="13"/>
    </row>
    <row r="24183" spans="4:7" x14ac:dyDescent="0.3">
      <c r="D24183" s="1"/>
      <c r="G24183" s="13"/>
    </row>
    <row r="24184" spans="4:7" x14ac:dyDescent="0.3">
      <c r="D24184" s="1"/>
      <c r="G24184" s="13"/>
    </row>
    <row r="24185" spans="4:7" x14ac:dyDescent="0.3">
      <c r="D24185" s="1"/>
      <c r="G24185" s="13"/>
    </row>
    <row r="24186" spans="4:7" x14ac:dyDescent="0.3">
      <c r="D24186" s="1"/>
      <c r="G24186" s="13"/>
    </row>
    <row r="24187" spans="4:7" x14ac:dyDescent="0.3">
      <c r="D24187" s="1"/>
      <c r="G24187" s="13"/>
    </row>
    <row r="24188" spans="4:7" x14ac:dyDescent="0.3">
      <c r="D24188" s="1"/>
      <c r="G24188" s="13"/>
    </row>
    <row r="24189" spans="4:7" x14ac:dyDescent="0.3">
      <c r="D24189" s="1"/>
      <c r="G24189" s="13"/>
    </row>
    <row r="24190" spans="4:7" x14ac:dyDescent="0.3">
      <c r="D24190" s="1"/>
      <c r="G24190" s="13"/>
    </row>
    <row r="24191" spans="4:7" x14ac:dyDescent="0.3">
      <c r="D24191" s="1"/>
      <c r="G24191" s="13"/>
    </row>
    <row r="24192" spans="4:7" x14ac:dyDescent="0.3">
      <c r="D24192" s="1"/>
      <c r="G24192" s="13"/>
    </row>
    <row r="24193" spans="4:7" x14ac:dyDescent="0.3">
      <c r="D24193" s="1"/>
      <c r="G24193" s="13"/>
    </row>
    <row r="24194" spans="4:7" x14ac:dyDescent="0.3">
      <c r="D24194" s="1"/>
      <c r="G24194" s="13"/>
    </row>
    <row r="24195" spans="4:7" x14ac:dyDescent="0.3">
      <c r="D24195" s="1"/>
      <c r="G24195" s="13"/>
    </row>
    <row r="24196" spans="4:7" x14ac:dyDescent="0.3">
      <c r="D24196" s="1"/>
    </row>
    <row r="24197" spans="4:7" x14ac:dyDescent="0.3">
      <c r="D24197" s="1"/>
      <c r="G24197" s="13"/>
    </row>
    <row r="24198" spans="4:7" x14ac:dyDescent="0.3">
      <c r="D24198" s="1"/>
      <c r="G24198" s="13"/>
    </row>
    <row r="24199" spans="4:7" x14ac:dyDescent="0.3">
      <c r="D24199" s="1"/>
      <c r="G24199" s="13"/>
    </row>
    <row r="24200" spans="4:7" x14ac:dyDescent="0.3">
      <c r="D24200" s="1"/>
      <c r="G24200" s="13"/>
    </row>
    <row r="24201" spans="4:7" x14ac:dyDescent="0.3">
      <c r="D24201" s="1"/>
      <c r="G24201" s="13"/>
    </row>
    <row r="24202" spans="4:7" x14ac:dyDescent="0.3">
      <c r="D24202" s="1"/>
      <c r="G24202" s="13"/>
    </row>
    <row r="24203" spans="4:7" x14ac:dyDescent="0.3">
      <c r="D24203" s="1"/>
      <c r="G24203" s="13"/>
    </row>
    <row r="24204" spans="4:7" x14ac:dyDescent="0.3">
      <c r="D24204" s="1"/>
      <c r="G24204" s="13"/>
    </row>
    <row r="24205" spans="4:7" x14ac:dyDescent="0.3">
      <c r="D24205" s="1"/>
      <c r="G24205" s="13"/>
    </row>
    <row r="24206" spans="4:7" x14ac:dyDescent="0.3">
      <c r="D24206" s="1"/>
      <c r="G24206" s="13"/>
    </row>
    <row r="24207" spans="4:7" x14ac:dyDescent="0.3">
      <c r="D24207" s="1"/>
      <c r="G24207" s="13"/>
    </row>
    <row r="24208" spans="4:7" x14ac:dyDescent="0.3">
      <c r="D24208" s="1"/>
      <c r="G24208" s="13"/>
    </row>
    <row r="24209" spans="4:7" x14ac:dyDescent="0.3">
      <c r="D24209" s="1"/>
      <c r="G24209" s="13"/>
    </row>
    <row r="24210" spans="4:7" x14ac:dyDescent="0.3">
      <c r="D24210" s="1"/>
      <c r="G24210" s="13"/>
    </row>
    <row r="24211" spans="4:7" x14ac:dyDescent="0.3">
      <c r="D24211" s="1"/>
      <c r="G24211" s="13"/>
    </row>
    <row r="24212" spans="4:7" x14ac:dyDescent="0.3">
      <c r="D24212" s="1"/>
      <c r="G24212" s="13"/>
    </row>
    <row r="24213" spans="4:7" x14ac:dyDescent="0.3">
      <c r="D24213" s="1"/>
      <c r="G24213" s="13"/>
    </row>
    <row r="24214" spans="4:7" x14ac:dyDescent="0.3">
      <c r="D24214" s="1"/>
      <c r="G24214" s="13"/>
    </row>
    <row r="24215" spans="4:7" x14ac:dyDescent="0.3">
      <c r="D24215" s="1"/>
      <c r="G24215" s="13"/>
    </row>
    <row r="24216" spans="4:7" x14ac:dyDescent="0.3">
      <c r="D24216" s="1"/>
      <c r="G24216" s="13"/>
    </row>
    <row r="24217" spans="4:7" x14ac:dyDescent="0.3">
      <c r="D24217" s="1"/>
      <c r="G24217" s="13"/>
    </row>
    <row r="24218" spans="4:7" x14ac:dyDescent="0.3">
      <c r="D24218" s="1"/>
      <c r="G24218" s="13"/>
    </row>
    <row r="24219" spans="4:7" x14ac:dyDescent="0.3">
      <c r="D24219" s="1"/>
      <c r="G24219" s="13"/>
    </row>
    <row r="24220" spans="4:7" x14ac:dyDescent="0.3">
      <c r="D24220" s="1"/>
      <c r="G24220" s="13"/>
    </row>
    <row r="24221" spans="4:7" x14ac:dyDescent="0.3">
      <c r="D24221" s="1"/>
      <c r="G24221" s="13"/>
    </row>
    <row r="24222" spans="4:7" x14ac:dyDescent="0.3">
      <c r="D24222" s="1"/>
      <c r="G24222" s="13"/>
    </row>
    <row r="24223" spans="4:7" x14ac:dyDescent="0.3">
      <c r="D24223" s="1"/>
      <c r="G24223" s="13"/>
    </row>
    <row r="24224" spans="4:7" x14ac:dyDescent="0.3">
      <c r="D24224" s="1"/>
      <c r="G24224" s="13"/>
    </row>
    <row r="24225" spans="4:7" x14ac:dyDescent="0.3">
      <c r="D24225" s="1"/>
      <c r="G24225" s="13"/>
    </row>
    <row r="24226" spans="4:7" x14ac:dyDescent="0.3">
      <c r="D24226" s="1"/>
      <c r="G24226" s="13"/>
    </row>
    <row r="24227" spans="4:7" x14ac:dyDescent="0.3">
      <c r="D24227" s="1"/>
      <c r="G24227" s="13"/>
    </row>
    <row r="24228" spans="4:7" x14ac:dyDescent="0.3">
      <c r="D24228" s="1"/>
      <c r="G24228" s="13"/>
    </row>
    <row r="24229" spans="4:7" x14ac:dyDescent="0.3">
      <c r="D24229" s="1"/>
      <c r="G24229" s="13"/>
    </row>
    <row r="24230" spans="4:7" x14ac:dyDescent="0.3">
      <c r="D24230" s="1"/>
      <c r="G24230" s="13"/>
    </row>
    <row r="24231" spans="4:7" x14ac:dyDescent="0.3">
      <c r="D24231" s="1"/>
      <c r="G24231" s="13"/>
    </row>
    <row r="24232" spans="4:7" x14ac:dyDescent="0.3">
      <c r="D24232" s="1"/>
      <c r="G24232" s="13"/>
    </row>
    <row r="24233" spans="4:7" x14ac:dyDescent="0.3">
      <c r="D24233" s="1"/>
      <c r="G24233" s="13"/>
    </row>
    <row r="24234" spans="4:7" x14ac:dyDescent="0.3">
      <c r="D24234" s="1"/>
      <c r="G24234" s="13"/>
    </row>
    <row r="24235" spans="4:7" x14ac:dyDescent="0.3">
      <c r="D24235" s="1"/>
      <c r="G24235" s="13"/>
    </row>
    <row r="24236" spans="4:7" x14ac:dyDescent="0.3">
      <c r="D24236" s="1"/>
      <c r="G24236" s="13"/>
    </row>
    <row r="24237" spans="4:7" x14ac:dyDescent="0.3">
      <c r="D24237" s="1"/>
      <c r="G24237" s="13"/>
    </row>
    <row r="24238" spans="4:7" x14ac:dyDescent="0.3">
      <c r="D24238" s="1"/>
      <c r="G24238" s="13"/>
    </row>
    <row r="24239" spans="4:7" x14ac:dyDescent="0.3">
      <c r="D24239" s="1"/>
      <c r="G24239" s="13"/>
    </row>
    <row r="24240" spans="4:7" x14ac:dyDescent="0.3">
      <c r="D24240" s="1"/>
      <c r="G24240" s="13"/>
    </row>
    <row r="24241" spans="4:7" x14ac:dyDescent="0.3">
      <c r="D24241" s="1"/>
      <c r="G24241" s="13"/>
    </row>
    <row r="24242" spans="4:7" x14ac:dyDescent="0.3">
      <c r="D24242" s="1"/>
      <c r="G24242" s="13"/>
    </row>
    <row r="24243" spans="4:7" x14ac:dyDescent="0.3">
      <c r="D24243" s="1"/>
      <c r="G24243" s="13"/>
    </row>
    <row r="24244" spans="4:7" x14ac:dyDescent="0.3">
      <c r="D24244" s="1"/>
      <c r="G24244" s="13"/>
    </row>
    <row r="24245" spans="4:7" x14ac:dyDescent="0.3">
      <c r="D24245" s="1"/>
      <c r="G24245" s="13"/>
    </row>
    <row r="24246" spans="4:7" x14ac:dyDescent="0.3">
      <c r="D24246" s="1"/>
      <c r="G24246" s="13"/>
    </row>
    <row r="24247" spans="4:7" x14ac:dyDescent="0.3">
      <c r="D24247" s="1"/>
      <c r="G24247" s="13"/>
    </row>
    <row r="24248" spans="4:7" x14ac:dyDescent="0.3">
      <c r="D24248" s="1"/>
      <c r="G24248" s="13"/>
    </row>
    <row r="24249" spans="4:7" x14ac:dyDescent="0.3">
      <c r="D24249" s="1"/>
      <c r="G24249" s="13"/>
    </row>
    <row r="24250" spans="4:7" x14ac:dyDescent="0.3">
      <c r="D24250" s="1"/>
      <c r="G24250" s="13"/>
    </row>
    <row r="24251" spans="4:7" x14ac:dyDescent="0.3">
      <c r="D24251" s="1"/>
      <c r="G24251" s="13"/>
    </row>
    <row r="24252" spans="4:7" x14ac:dyDescent="0.3">
      <c r="D24252" s="1"/>
      <c r="G24252" s="13"/>
    </row>
    <row r="24253" spans="4:7" x14ac:dyDescent="0.3">
      <c r="D24253" s="1"/>
      <c r="G24253" s="13"/>
    </row>
    <row r="24254" spans="4:7" x14ac:dyDescent="0.3">
      <c r="D24254" s="1"/>
      <c r="G24254" s="13"/>
    </row>
    <row r="24255" spans="4:7" x14ac:dyDescent="0.3">
      <c r="D24255" s="1"/>
      <c r="G24255" s="13"/>
    </row>
    <row r="24256" spans="4:7" x14ac:dyDescent="0.3">
      <c r="D24256" s="1"/>
      <c r="G24256" s="13"/>
    </row>
    <row r="24257" spans="4:7" x14ac:dyDescent="0.3">
      <c r="D24257" s="1"/>
      <c r="G24257" s="13"/>
    </row>
    <row r="24258" spans="4:7" x14ac:dyDescent="0.3">
      <c r="D24258" s="1"/>
      <c r="G24258" s="13"/>
    </row>
    <row r="24259" spans="4:7" x14ac:dyDescent="0.3">
      <c r="D24259" s="1"/>
      <c r="G24259" s="13"/>
    </row>
    <row r="24260" spans="4:7" x14ac:dyDescent="0.3">
      <c r="G24260" s="13"/>
    </row>
    <row r="24261" spans="4:7" x14ac:dyDescent="0.3">
      <c r="D24261" s="1"/>
      <c r="G24261" s="13"/>
    </row>
    <row r="24262" spans="4:7" x14ac:dyDescent="0.3">
      <c r="D24262" s="1"/>
      <c r="G24262" s="13"/>
    </row>
    <row r="24263" spans="4:7" x14ac:dyDescent="0.3">
      <c r="D24263" s="1"/>
      <c r="G24263" s="13"/>
    </row>
    <row r="24264" spans="4:7" x14ac:dyDescent="0.3">
      <c r="D24264" s="1"/>
      <c r="G24264" s="13"/>
    </row>
    <row r="24265" spans="4:7" x14ac:dyDescent="0.3">
      <c r="D24265" s="1"/>
      <c r="G24265" s="13"/>
    </row>
    <row r="24266" spans="4:7" x14ac:dyDescent="0.3">
      <c r="D24266" s="1"/>
    </row>
    <row r="24267" spans="4:7" x14ac:dyDescent="0.3">
      <c r="D24267" s="1"/>
      <c r="G24267" s="13"/>
    </row>
    <row r="24268" spans="4:7" x14ac:dyDescent="0.3">
      <c r="D24268" s="1"/>
      <c r="G24268" s="13"/>
    </row>
    <row r="24269" spans="4:7" x14ac:dyDescent="0.3">
      <c r="D24269" s="1"/>
      <c r="G24269" s="13"/>
    </row>
    <row r="24270" spans="4:7" x14ac:dyDescent="0.3">
      <c r="D24270" s="1"/>
      <c r="G24270" s="13"/>
    </row>
    <row r="24271" spans="4:7" x14ac:dyDescent="0.3">
      <c r="D24271" s="1"/>
      <c r="G24271" s="13"/>
    </row>
    <row r="24272" spans="4:7" x14ac:dyDescent="0.3">
      <c r="D24272" s="1"/>
      <c r="G24272" s="13"/>
    </row>
    <row r="24273" spans="4:7" x14ac:dyDescent="0.3">
      <c r="D24273" s="1"/>
      <c r="G24273" s="13"/>
    </row>
    <row r="24274" spans="4:7" x14ac:dyDescent="0.3">
      <c r="D24274" s="1"/>
      <c r="G24274" s="13"/>
    </row>
    <row r="24275" spans="4:7" x14ac:dyDescent="0.3">
      <c r="D24275" s="1"/>
      <c r="G24275" s="13"/>
    </row>
    <row r="24276" spans="4:7" x14ac:dyDescent="0.3">
      <c r="D24276" s="1"/>
      <c r="G24276" s="13"/>
    </row>
    <row r="24277" spans="4:7" x14ac:dyDescent="0.3">
      <c r="D24277" s="1"/>
      <c r="G24277" s="13"/>
    </row>
    <row r="24278" spans="4:7" x14ac:dyDescent="0.3">
      <c r="D24278" s="1"/>
      <c r="G24278" s="13"/>
    </row>
    <row r="24279" spans="4:7" x14ac:dyDescent="0.3">
      <c r="D24279" s="1"/>
      <c r="G24279" s="13"/>
    </row>
    <row r="24280" spans="4:7" x14ac:dyDescent="0.3">
      <c r="D24280" s="1"/>
      <c r="G24280" s="13"/>
    </row>
    <row r="24281" spans="4:7" x14ac:dyDescent="0.3">
      <c r="D24281" s="1"/>
      <c r="G24281" s="13"/>
    </row>
    <row r="24282" spans="4:7" x14ac:dyDescent="0.3">
      <c r="D24282" s="1"/>
    </row>
    <row r="24283" spans="4:7" x14ac:dyDescent="0.3">
      <c r="D24283" s="1"/>
    </row>
    <row r="24284" spans="4:7" x14ac:dyDescent="0.3">
      <c r="D24284" s="1"/>
    </row>
    <row r="24285" spans="4:7" x14ac:dyDescent="0.3">
      <c r="D24285" s="1"/>
      <c r="G24285" s="13"/>
    </row>
    <row r="24286" spans="4:7" x14ac:dyDescent="0.3">
      <c r="D24286" s="1"/>
      <c r="G24286" s="13"/>
    </row>
    <row r="24287" spans="4:7" x14ac:dyDescent="0.3">
      <c r="D24287" s="1"/>
      <c r="G24287" s="13"/>
    </row>
    <row r="24288" spans="4:7" x14ac:dyDescent="0.3">
      <c r="D24288" s="1"/>
      <c r="G24288" s="13"/>
    </row>
    <row r="24289" spans="4:7" x14ac:dyDescent="0.3">
      <c r="D24289" s="1"/>
    </row>
    <row r="24290" spans="4:7" x14ac:dyDescent="0.3">
      <c r="D24290" s="1"/>
      <c r="G24290" s="13"/>
    </row>
    <row r="24291" spans="4:7" x14ac:dyDescent="0.3">
      <c r="D24291" s="1"/>
      <c r="G24291" s="13"/>
    </row>
    <row r="24292" spans="4:7" x14ac:dyDescent="0.3">
      <c r="D24292" s="1"/>
      <c r="G24292" s="13"/>
    </row>
    <row r="24293" spans="4:7" x14ac:dyDescent="0.3">
      <c r="D24293" s="1"/>
      <c r="G24293" s="13"/>
    </row>
    <row r="24294" spans="4:7" x14ac:dyDescent="0.3">
      <c r="D24294" s="1"/>
      <c r="G24294" s="13"/>
    </row>
    <row r="24295" spans="4:7" x14ac:dyDescent="0.3">
      <c r="D24295" s="1"/>
      <c r="G24295" s="13"/>
    </row>
    <row r="24296" spans="4:7" x14ac:dyDescent="0.3">
      <c r="D24296" s="1"/>
      <c r="G24296" s="13"/>
    </row>
    <row r="24297" spans="4:7" x14ac:dyDescent="0.3">
      <c r="D24297" s="1"/>
      <c r="G24297" s="13"/>
    </row>
    <row r="24298" spans="4:7" x14ac:dyDescent="0.3">
      <c r="D24298" s="1"/>
      <c r="G24298" s="13"/>
    </row>
    <row r="24299" spans="4:7" x14ac:dyDescent="0.3">
      <c r="D24299" s="1"/>
      <c r="G24299" s="13"/>
    </row>
    <row r="24300" spans="4:7" x14ac:dyDescent="0.3">
      <c r="D24300" s="1"/>
      <c r="G24300" s="13"/>
    </row>
    <row r="24301" spans="4:7" x14ac:dyDescent="0.3">
      <c r="D24301" s="1"/>
      <c r="G24301" s="13"/>
    </row>
    <row r="24302" spans="4:7" x14ac:dyDescent="0.3">
      <c r="D24302" s="1"/>
      <c r="G24302" s="13"/>
    </row>
    <row r="24303" spans="4:7" x14ac:dyDescent="0.3">
      <c r="D24303" s="1"/>
      <c r="G24303" s="13"/>
    </row>
    <row r="24304" spans="4:7" x14ac:dyDescent="0.3">
      <c r="D24304" s="1"/>
      <c r="G24304" s="13"/>
    </row>
    <row r="24305" spans="4:7" x14ac:dyDescent="0.3">
      <c r="D24305" s="1"/>
      <c r="G24305" s="13"/>
    </row>
    <row r="24306" spans="4:7" x14ac:dyDescent="0.3">
      <c r="D24306" s="1"/>
      <c r="G24306" s="13"/>
    </row>
    <row r="24307" spans="4:7" x14ac:dyDescent="0.3">
      <c r="D24307" s="1"/>
      <c r="G24307" s="13"/>
    </row>
    <row r="24308" spans="4:7" x14ac:dyDescent="0.3">
      <c r="D24308" s="1"/>
      <c r="G24308" s="13"/>
    </row>
    <row r="24309" spans="4:7" x14ac:dyDescent="0.3">
      <c r="D24309" s="1"/>
      <c r="G24309" s="13"/>
    </row>
    <row r="24310" spans="4:7" x14ac:dyDescent="0.3">
      <c r="D24310" s="1"/>
      <c r="G24310" s="13"/>
    </row>
    <row r="24311" spans="4:7" x14ac:dyDescent="0.3">
      <c r="D24311" s="1"/>
      <c r="G24311" s="13"/>
    </row>
    <row r="24312" spans="4:7" x14ac:dyDescent="0.3">
      <c r="D24312" s="1"/>
      <c r="G24312" s="13"/>
    </row>
    <row r="24313" spans="4:7" x14ac:dyDescent="0.3">
      <c r="D24313" s="1"/>
      <c r="G24313" s="13"/>
    </row>
    <row r="24314" spans="4:7" x14ac:dyDescent="0.3">
      <c r="D24314" s="1"/>
      <c r="G24314" s="13"/>
    </row>
    <row r="24315" spans="4:7" x14ac:dyDescent="0.3">
      <c r="D24315" s="1"/>
      <c r="G24315" s="13"/>
    </row>
    <row r="24316" spans="4:7" x14ac:dyDescent="0.3">
      <c r="D24316" s="1"/>
      <c r="G24316" s="13"/>
    </row>
    <row r="24317" spans="4:7" x14ac:dyDescent="0.3">
      <c r="D24317" s="1"/>
      <c r="G24317" s="13"/>
    </row>
    <row r="24318" spans="4:7" x14ac:dyDescent="0.3">
      <c r="D24318" s="1"/>
      <c r="G24318" s="13"/>
    </row>
    <row r="24319" spans="4:7" x14ac:dyDescent="0.3">
      <c r="D24319" s="1"/>
      <c r="G24319" s="13"/>
    </row>
    <row r="24320" spans="4:7" x14ac:dyDescent="0.3">
      <c r="D24320" s="1"/>
      <c r="G24320" s="13"/>
    </row>
    <row r="24321" spans="4:7" x14ac:dyDescent="0.3">
      <c r="D24321" s="1"/>
      <c r="G24321" s="13"/>
    </row>
    <row r="24322" spans="4:7" x14ac:dyDescent="0.3">
      <c r="D24322" s="1"/>
      <c r="G24322" s="13"/>
    </row>
    <row r="24323" spans="4:7" x14ac:dyDescent="0.3">
      <c r="D24323" s="1"/>
      <c r="G24323" s="13"/>
    </row>
    <row r="24324" spans="4:7" x14ac:dyDescent="0.3">
      <c r="D24324" s="1"/>
      <c r="G24324" s="13"/>
    </row>
    <row r="24325" spans="4:7" x14ac:dyDescent="0.3">
      <c r="D24325" s="1"/>
      <c r="G24325" s="13"/>
    </row>
    <row r="24326" spans="4:7" x14ac:dyDescent="0.3">
      <c r="D24326" s="1"/>
      <c r="G24326" s="13"/>
    </row>
    <row r="24327" spans="4:7" x14ac:dyDescent="0.3">
      <c r="D24327" s="1"/>
      <c r="G24327" s="13"/>
    </row>
    <row r="24328" spans="4:7" x14ac:dyDescent="0.3">
      <c r="D24328" s="1"/>
      <c r="G24328" s="13"/>
    </row>
    <row r="24329" spans="4:7" x14ac:dyDescent="0.3">
      <c r="D24329" s="1"/>
      <c r="G24329" s="13"/>
    </row>
    <row r="24330" spans="4:7" x14ac:dyDescent="0.3">
      <c r="D24330" s="1"/>
      <c r="G24330" s="13"/>
    </row>
    <row r="24331" spans="4:7" x14ac:dyDescent="0.3">
      <c r="D24331" s="1"/>
      <c r="G24331" s="13"/>
    </row>
    <row r="24332" spans="4:7" x14ac:dyDescent="0.3">
      <c r="D24332" s="1"/>
      <c r="G24332" s="13"/>
    </row>
    <row r="24333" spans="4:7" x14ac:dyDescent="0.3">
      <c r="D24333" s="1"/>
      <c r="G24333" s="13"/>
    </row>
    <row r="24334" spans="4:7" x14ac:dyDescent="0.3">
      <c r="D24334" s="1"/>
      <c r="G24334" s="13"/>
    </row>
    <row r="24335" spans="4:7" x14ac:dyDescent="0.3">
      <c r="D24335" s="1"/>
      <c r="G24335" s="13"/>
    </row>
    <row r="24336" spans="4:7" x14ac:dyDescent="0.3">
      <c r="D24336" s="1"/>
      <c r="G24336" s="13"/>
    </row>
    <row r="24337" spans="4:7" x14ac:dyDescent="0.3">
      <c r="D24337" s="1"/>
      <c r="G24337" s="13"/>
    </row>
    <row r="24338" spans="4:7" x14ac:dyDescent="0.3">
      <c r="D24338" s="1"/>
      <c r="G24338" s="13"/>
    </row>
    <row r="24339" spans="4:7" x14ac:dyDescent="0.3">
      <c r="D24339" s="1"/>
      <c r="G24339" s="13"/>
    </row>
    <row r="24340" spans="4:7" x14ac:dyDescent="0.3">
      <c r="D24340" s="1"/>
      <c r="G24340" s="13"/>
    </row>
    <row r="24341" spans="4:7" x14ac:dyDescent="0.3">
      <c r="D24341" s="1"/>
      <c r="G24341" s="13"/>
    </row>
    <row r="24342" spans="4:7" x14ac:dyDescent="0.3">
      <c r="D24342" s="1"/>
      <c r="G24342" s="13"/>
    </row>
    <row r="24343" spans="4:7" x14ac:dyDescent="0.3">
      <c r="D24343" s="1"/>
      <c r="G24343" s="13"/>
    </row>
    <row r="24344" spans="4:7" x14ac:dyDescent="0.3">
      <c r="D24344" s="1"/>
      <c r="G24344" s="13"/>
    </row>
    <row r="24345" spans="4:7" x14ac:dyDescent="0.3">
      <c r="D24345" s="1"/>
      <c r="G24345" s="13"/>
    </row>
    <row r="24346" spans="4:7" x14ac:dyDescent="0.3">
      <c r="D24346" s="1"/>
      <c r="G24346" s="13"/>
    </row>
    <row r="24347" spans="4:7" x14ac:dyDescent="0.3">
      <c r="D24347" s="1"/>
      <c r="G24347" s="13"/>
    </row>
    <row r="24348" spans="4:7" x14ac:dyDescent="0.3">
      <c r="D24348" s="1"/>
      <c r="G24348" s="13"/>
    </row>
    <row r="24349" spans="4:7" x14ac:dyDescent="0.3">
      <c r="D24349" s="1"/>
      <c r="G24349" s="13"/>
    </row>
    <row r="24350" spans="4:7" x14ac:dyDescent="0.3">
      <c r="D24350" s="1"/>
      <c r="G24350" s="13"/>
    </row>
    <row r="24351" spans="4:7" x14ac:dyDescent="0.3">
      <c r="D24351" s="1"/>
      <c r="G24351" s="13"/>
    </row>
    <row r="24352" spans="4:7" x14ac:dyDescent="0.3">
      <c r="D24352" s="1"/>
      <c r="G24352" s="13"/>
    </row>
    <row r="24353" spans="4:7" x14ac:dyDescent="0.3">
      <c r="D24353" s="1"/>
      <c r="G24353" s="13"/>
    </row>
    <row r="24354" spans="4:7" x14ac:dyDescent="0.3">
      <c r="D24354" s="1"/>
      <c r="G24354" s="13"/>
    </row>
    <row r="24355" spans="4:7" x14ac:dyDescent="0.3">
      <c r="D24355" s="1"/>
      <c r="G24355" s="13"/>
    </row>
    <row r="24356" spans="4:7" x14ac:dyDescent="0.3">
      <c r="D24356" s="1"/>
      <c r="G24356" s="13"/>
    </row>
    <row r="24357" spans="4:7" x14ac:dyDescent="0.3">
      <c r="D24357" s="1"/>
      <c r="G24357" s="13"/>
    </row>
    <row r="24358" spans="4:7" x14ac:dyDescent="0.3">
      <c r="D24358" s="1"/>
      <c r="G24358" s="13"/>
    </row>
    <row r="24359" spans="4:7" x14ac:dyDescent="0.3">
      <c r="D24359" s="1"/>
      <c r="G24359" s="13"/>
    </row>
    <row r="24360" spans="4:7" x14ac:dyDescent="0.3">
      <c r="D24360" s="1"/>
      <c r="G24360" s="13"/>
    </row>
    <row r="24361" spans="4:7" x14ac:dyDescent="0.3">
      <c r="D24361" s="1"/>
      <c r="G24361" s="13"/>
    </row>
    <row r="24362" spans="4:7" x14ac:dyDescent="0.3">
      <c r="D24362" s="1"/>
      <c r="G24362" s="13"/>
    </row>
    <row r="24363" spans="4:7" x14ac:dyDescent="0.3">
      <c r="D24363" s="1"/>
      <c r="G24363" s="13"/>
    </row>
    <row r="24364" spans="4:7" x14ac:dyDescent="0.3">
      <c r="D24364" s="1"/>
      <c r="G24364" s="13"/>
    </row>
    <row r="24365" spans="4:7" x14ac:dyDescent="0.3">
      <c r="D24365" s="1"/>
      <c r="G24365" s="13"/>
    </row>
    <row r="24366" spans="4:7" x14ac:dyDescent="0.3">
      <c r="D24366" s="1"/>
    </row>
    <row r="24367" spans="4:7" x14ac:dyDescent="0.3">
      <c r="D24367" s="1"/>
      <c r="G24367" s="13"/>
    </row>
    <row r="24368" spans="4:7" x14ac:dyDescent="0.3">
      <c r="D24368" s="1"/>
      <c r="G24368" s="13"/>
    </row>
    <row r="24369" spans="4:7" x14ac:dyDescent="0.3">
      <c r="D24369" s="1"/>
      <c r="G24369" s="13"/>
    </row>
    <row r="24370" spans="4:7" x14ac:dyDescent="0.3">
      <c r="D24370" s="1"/>
      <c r="G24370" s="13"/>
    </row>
    <row r="24371" spans="4:7" x14ac:dyDescent="0.3">
      <c r="D24371" s="1"/>
      <c r="G24371" s="13"/>
    </row>
    <row r="24372" spans="4:7" x14ac:dyDescent="0.3">
      <c r="D24372" s="1"/>
      <c r="G24372" s="13"/>
    </row>
    <row r="24373" spans="4:7" x14ac:dyDescent="0.3">
      <c r="D24373" s="1"/>
      <c r="G24373" s="13"/>
    </row>
    <row r="24374" spans="4:7" x14ac:dyDescent="0.3">
      <c r="D24374" s="1"/>
      <c r="G24374" s="13"/>
    </row>
    <row r="24375" spans="4:7" x14ac:dyDescent="0.3">
      <c r="D24375" s="1"/>
      <c r="G24375" s="13"/>
    </row>
    <row r="24376" spans="4:7" x14ac:dyDescent="0.3">
      <c r="D24376" s="1"/>
      <c r="G24376" s="13"/>
    </row>
    <row r="24377" spans="4:7" x14ac:dyDescent="0.3">
      <c r="D24377" s="1"/>
      <c r="G24377" s="13"/>
    </row>
    <row r="24378" spans="4:7" x14ac:dyDescent="0.3">
      <c r="D24378" s="1"/>
      <c r="G24378" s="13"/>
    </row>
    <row r="24379" spans="4:7" x14ac:dyDescent="0.3">
      <c r="D24379" s="1"/>
      <c r="G24379" s="13"/>
    </row>
    <row r="24380" spans="4:7" x14ac:dyDescent="0.3">
      <c r="D24380" s="1"/>
      <c r="G24380" s="13"/>
    </row>
    <row r="24381" spans="4:7" x14ac:dyDescent="0.3">
      <c r="D24381" s="1"/>
      <c r="G24381" s="13"/>
    </row>
    <row r="24382" spans="4:7" x14ac:dyDescent="0.3">
      <c r="D24382" s="1"/>
      <c r="G24382" s="13"/>
    </row>
    <row r="24383" spans="4:7" x14ac:dyDescent="0.3">
      <c r="D24383" s="1"/>
      <c r="G24383" s="13"/>
    </row>
    <row r="24384" spans="4:7" x14ac:dyDescent="0.3">
      <c r="D24384" s="1"/>
      <c r="G24384" s="13"/>
    </row>
    <row r="24385" spans="4:7" x14ac:dyDescent="0.3">
      <c r="D24385" s="1"/>
      <c r="G24385" s="13"/>
    </row>
    <row r="24386" spans="4:7" x14ac:dyDescent="0.3">
      <c r="D24386" s="1"/>
      <c r="G24386" s="13"/>
    </row>
    <row r="24387" spans="4:7" x14ac:dyDescent="0.3">
      <c r="D24387" s="1"/>
      <c r="G24387" s="13"/>
    </row>
    <row r="24388" spans="4:7" x14ac:dyDescent="0.3">
      <c r="D24388" s="1"/>
      <c r="G24388" s="13"/>
    </row>
    <row r="24389" spans="4:7" x14ac:dyDescent="0.3">
      <c r="D24389" s="1"/>
      <c r="G24389" s="13"/>
    </row>
    <row r="24390" spans="4:7" x14ac:dyDescent="0.3">
      <c r="D24390" s="1"/>
      <c r="G24390" s="13"/>
    </row>
    <row r="24391" spans="4:7" x14ac:dyDescent="0.3">
      <c r="D24391" s="1"/>
      <c r="G24391" s="13"/>
    </row>
    <row r="24392" spans="4:7" x14ac:dyDescent="0.3">
      <c r="D24392" s="1"/>
      <c r="G24392" s="13"/>
    </row>
    <row r="24393" spans="4:7" x14ac:dyDescent="0.3">
      <c r="D24393" s="1"/>
      <c r="G24393" s="13"/>
    </row>
    <row r="24394" spans="4:7" x14ac:dyDescent="0.3">
      <c r="D24394" s="1"/>
      <c r="G24394" s="13"/>
    </row>
    <row r="24395" spans="4:7" x14ac:dyDescent="0.3">
      <c r="D24395" s="1"/>
      <c r="G24395" s="13"/>
    </row>
    <row r="24396" spans="4:7" x14ac:dyDescent="0.3">
      <c r="D24396" s="1"/>
      <c r="G24396" s="13"/>
    </row>
    <row r="24397" spans="4:7" x14ac:dyDescent="0.3">
      <c r="D24397" s="1"/>
      <c r="G24397" s="13"/>
    </row>
    <row r="24398" spans="4:7" x14ac:dyDescent="0.3">
      <c r="D24398" s="1"/>
      <c r="G24398" s="13"/>
    </row>
    <row r="24399" spans="4:7" x14ac:dyDescent="0.3">
      <c r="D24399" s="1"/>
      <c r="G24399" s="13"/>
    </row>
    <row r="24400" spans="4:7" x14ac:dyDescent="0.3">
      <c r="D24400" s="1"/>
      <c r="G24400" s="13"/>
    </row>
    <row r="24401" spans="4:7" x14ac:dyDescent="0.3">
      <c r="D24401" s="1"/>
      <c r="G24401" s="13"/>
    </row>
    <row r="24402" spans="4:7" x14ac:dyDescent="0.3">
      <c r="D24402" s="1"/>
      <c r="G24402" s="13"/>
    </row>
    <row r="24403" spans="4:7" x14ac:dyDescent="0.3">
      <c r="D24403" s="1"/>
      <c r="G24403" s="13"/>
    </row>
    <row r="24404" spans="4:7" x14ac:dyDescent="0.3">
      <c r="D24404" s="1"/>
      <c r="G24404" s="13"/>
    </row>
    <row r="24405" spans="4:7" x14ac:dyDescent="0.3">
      <c r="D24405" s="1"/>
      <c r="G24405" s="13"/>
    </row>
    <row r="24406" spans="4:7" x14ac:dyDescent="0.3">
      <c r="D24406" s="1"/>
      <c r="G24406" s="13"/>
    </row>
    <row r="24407" spans="4:7" x14ac:dyDescent="0.3">
      <c r="D24407" s="1"/>
      <c r="G24407" s="13"/>
    </row>
    <row r="24408" spans="4:7" x14ac:dyDescent="0.3">
      <c r="D24408" s="1"/>
      <c r="G24408" s="13"/>
    </row>
    <row r="24409" spans="4:7" x14ac:dyDescent="0.3">
      <c r="D24409" s="1"/>
      <c r="G24409" s="13"/>
    </row>
    <row r="24410" spans="4:7" x14ac:dyDescent="0.3">
      <c r="D24410" s="1"/>
      <c r="G24410" s="13"/>
    </row>
    <row r="24411" spans="4:7" x14ac:dyDescent="0.3">
      <c r="D24411" s="1"/>
      <c r="G24411" s="13"/>
    </row>
    <row r="24412" spans="4:7" x14ac:dyDescent="0.3">
      <c r="D24412" s="1"/>
      <c r="G24412" s="13"/>
    </row>
    <row r="24413" spans="4:7" x14ac:dyDescent="0.3">
      <c r="D24413" s="1"/>
      <c r="G24413" s="13"/>
    </row>
    <row r="24414" spans="4:7" x14ac:dyDescent="0.3">
      <c r="D24414" s="1"/>
      <c r="G24414" s="13"/>
    </row>
    <row r="24415" spans="4:7" x14ac:dyDescent="0.3">
      <c r="D24415" s="1"/>
      <c r="G24415" s="13"/>
    </row>
    <row r="24416" spans="4:7" x14ac:dyDescent="0.3">
      <c r="D24416" s="1"/>
      <c r="G24416" s="13"/>
    </row>
    <row r="24417" spans="4:7" x14ac:dyDescent="0.3">
      <c r="D24417" s="1"/>
      <c r="G24417" s="13"/>
    </row>
    <row r="24418" spans="4:7" x14ac:dyDescent="0.3">
      <c r="D24418" s="1"/>
      <c r="G24418" s="13"/>
    </row>
    <row r="24419" spans="4:7" x14ac:dyDescent="0.3">
      <c r="D24419" s="1"/>
      <c r="G24419" s="13"/>
    </row>
    <row r="24420" spans="4:7" x14ac:dyDescent="0.3">
      <c r="D24420" s="1"/>
      <c r="G24420" s="13"/>
    </row>
    <row r="24421" spans="4:7" x14ac:dyDescent="0.3">
      <c r="D24421" s="1"/>
      <c r="G24421" s="13"/>
    </row>
    <row r="24422" spans="4:7" x14ac:dyDescent="0.3">
      <c r="D24422" s="1"/>
      <c r="G24422" s="13"/>
    </row>
    <row r="24423" spans="4:7" x14ac:dyDescent="0.3">
      <c r="D24423" s="1"/>
      <c r="G24423" s="13"/>
    </row>
    <row r="24424" spans="4:7" x14ac:dyDescent="0.3">
      <c r="D24424" s="1"/>
      <c r="G24424" s="13"/>
    </row>
    <row r="24425" spans="4:7" x14ac:dyDescent="0.3">
      <c r="D24425" s="1"/>
      <c r="G24425" s="13"/>
    </row>
    <row r="24426" spans="4:7" x14ac:dyDescent="0.3">
      <c r="D24426" s="1"/>
      <c r="G24426" s="13"/>
    </row>
    <row r="24427" spans="4:7" x14ac:dyDescent="0.3">
      <c r="D24427" s="1"/>
      <c r="G24427" s="13"/>
    </row>
    <row r="24428" spans="4:7" x14ac:dyDescent="0.3">
      <c r="D24428" s="1"/>
      <c r="G24428" s="13"/>
    </row>
    <row r="24429" spans="4:7" x14ac:dyDescent="0.3">
      <c r="D24429" s="1"/>
      <c r="G24429" s="13"/>
    </row>
    <row r="24430" spans="4:7" x14ac:dyDescent="0.3">
      <c r="D24430" s="1"/>
      <c r="G24430" s="13"/>
    </row>
    <row r="24431" spans="4:7" x14ac:dyDescent="0.3">
      <c r="D24431" s="1"/>
      <c r="G24431" s="13"/>
    </row>
    <row r="24432" spans="4:7" x14ac:dyDescent="0.3">
      <c r="D24432" s="1"/>
      <c r="G24432" s="13"/>
    </row>
    <row r="24433" spans="4:7" x14ac:dyDescent="0.3">
      <c r="D24433" s="1"/>
      <c r="G24433" s="13"/>
    </row>
    <row r="24434" spans="4:7" x14ac:dyDescent="0.3">
      <c r="D24434" s="1"/>
      <c r="G24434" s="13"/>
    </row>
    <row r="24435" spans="4:7" x14ac:dyDescent="0.3">
      <c r="D24435" s="1"/>
      <c r="G24435" s="13"/>
    </row>
    <row r="24436" spans="4:7" x14ac:dyDescent="0.3">
      <c r="D24436" s="1"/>
      <c r="G24436" s="13"/>
    </row>
    <row r="24437" spans="4:7" x14ac:dyDescent="0.3">
      <c r="D24437" s="1"/>
      <c r="G24437" s="13"/>
    </row>
    <row r="24438" spans="4:7" x14ac:dyDescent="0.3">
      <c r="D24438" s="1"/>
      <c r="G24438" s="13"/>
    </row>
    <row r="24439" spans="4:7" x14ac:dyDescent="0.3">
      <c r="D24439" s="1"/>
      <c r="G24439" s="13"/>
    </row>
    <row r="24440" spans="4:7" x14ac:dyDescent="0.3">
      <c r="D24440" s="1"/>
      <c r="G24440" s="13"/>
    </row>
    <row r="24441" spans="4:7" x14ac:dyDescent="0.3">
      <c r="D24441" s="1"/>
      <c r="G24441" s="13"/>
    </row>
    <row r="24442" spans="4:7" x14ac:dyDescent="0.3">
      <c r="D24442" s="1"/>
      <c r="G24442" s="13"/>
    </row>
    <row r="24443" spans="4:7" x14ac:dyDescent="0.3">
      <c r="D24443" s="1"/>
      <c r="G24443" s="13"/>
    </row>
    <row r="24444" spans="4:7" x14ac:dyDescent="0.3">
      <c r="D24444" s="1"/>
      <c r="G24444" s="13"/>
    </row>
    <row r="24445" spans="4:7" x14ac:dyDescent="0.3">
      <c r="D24445" s="1"/>
      <c r="G24445" s="13"/>
    </row>
    <row r="24446" spans="4:7" x14ac:dyDescent="0.3">
      <c r="D24446" s="1"/>
      <c r="G24446" s="13"/>
    </row>
    <row r="24447" spans="4:7" x14ac:dyDescent="0.3">
      <c r="D24447" s="1"/>
      <c r="G24447" s="13"/>
    </row>
    <row r="24448" spans="4:7" x14ac:dyDescent="0.3">
      <c r="D24448" s="1"/>
      <c r="G24448" s="13"/>
    </row>
    <row r="24449" spans="4:7" x14ac:dyDescent="0.3">
      <c r="D24449" s="1"/>
      <c r="G24449" s="13"/>
    </row>
    <row r="24450" spans="4:7" x14ac:dyDescent="0.3">
      <c r="D24450" s="1"/>
      <c r="G24450" s="13"/>
    </row>
    <row r="24451" spans="4:7" x14ac:dyDescent="0.3">
      <c r="D24451" s="1"/>
      <c r="G24451" s="13"/>
    </row>
    <row r="24452" spans="4:7" x14ac:dyDescent="0.3">
      <c r="D24452" s="1"/>
      <c r="G24452" s="13"/>
    </row>
    <row r="24453" spans="4:7" x14ac:dyDescent="0.3">
      <c r="D24453" s="1"/>
      <c r="G24453" s="13"/>
    </row>
    <row r="24454" spans="4:7" x14ac:dyDescent="0.3">
      <c r="D24454" s="1"/>
      <c r="G24454" s="13"/>
    </row>
    <row r="24455" spans="4:7" x14ac:dyDescent="0.3">
      <c r="D24455" s="1"/>
      <c r="G24455" s="13"/>
    </row>
    <row r="24456" spans="4:7" x14ac:dyDescent="0.3">
      <c r="D24456" s="1"/>
      <c r="G24456" s="13"/>
    </row>
    <row r="24457" spans="4:7" x14ac:dyDescent="0.3">
      <c r="D24457" s="1"/>
      <c r="G24457" s="13"/>
    </row>
    <row r="24458" spans="4:7" x14ac:dyDescent="0.3">
      <c r="D24458" s="1"/>
      <c r="G24458" s="13"/>
    </row>
    <row r="24459" spans="4:7" x14ac:dyDescent="0.3">
      <c r="D24459" s="1"/>
      <c r="G24459" s="13"/>
    </row>
    <row r="24460" spans="4:7" x14ac:dyDescent="0.3">
      <c r="D24460" s="1"/>
      <c r="G24460" s="13"/>
    </row>
    <row r="24461" spans="4:7" x14ac:dyDescent="0.3">
      <c r="D24461" s="1"/>
      <c r="G24461" s="13"/>
    </row>
    <row r="24462" spans="4:7" x14ac:dyDescent="0.3">
      <c r="D24462" s="1"/>
      <c r="G24462" s="13"/>
    </row>
    <row r="24463" spans="4:7" x14ac:dyDescent="0.3">
      <c r="D24463" s="1"/>
      <c r="G24463" s="13"/>
    </row>
    <row r="24464" spans="4:7" x14ac:dyDescent="0.3">
      <c r="D24464" s="1"/>
      <c r="G24464" s="13"/>
    </row>
    <row r="24465" spans="4:7" x14ac:dyDescent="0.3">
      <c r="D24465" s="1"/>
      <c r="G24465" s="13"/>
    </row>
    <row r="24466" spans="4:7" x14ac:dyDescent="0.3">
      <c r="D24466" s="1"/>
      <c r="G24466" s="13"/>
    </row>
    <row r="24467" spans="4:7" x14ac:dyDescent="0.3">
      <c r="D24467" s="1"/>
      <c r="G24467" s="13"/>
    </row>
    <row r="24468" spans="4:7" x14ac:dyDescent="0.3">
      <c r="D24468" s="1"/>
      <c r="G24468" s="13"/>
    </row>
    <row r="24469" spans="4:7" x14ac:dyDescent="0.3">
      <c r="D24469" s="1"/>
      <c r="G24469" s="13"/>
    </row>
    <row r="24470" spans="4:7" x14ac:dyDescent="0.3">
      <c r="D24470" s="1"/>
      <c r="G24470" s="13"/>
    </row>
    <row r="24471" spans="4:7" x14ac:dyDescent="0.3">
      <c r="D24471" s="1"/>
      <c r="G24471" s="13"/>
    </row>
    <row r="24472" spans="4:7" x14ac:dyDescent="0.3">
      <c r="D24472" s="1"/>
      <c r="G24472" s="13"/>
    </row>
    <row r="24473" spans="4:7" x14ac:dyDescent="0.3">
      <c r="D24473" s="1"/>
      <c r="G24473" s="13"/>
    </row>
    <row r="24474" spans="4:7" x14ac:dyDescent="0.3">
      <c r="D24474" s="1"/>
      <c r="G24474" s="13"/>
    </row>
    <row r="24475" spans="4:7" x14ac:dyDescent="0.3">
      <c r="D24475" s="1"/>
      <c r="G24475" s="13"/>
    </row>
    <row r="24476" spans="4:7" x14ac:dyDescent="0.3">
      <c r="D24476" s="1"/>
      <c r="G24476" s="13"/>
    </row>
    <row r="24477" spans="4:7" x14ac:dyDescent="0.3">
      <c r="D24477" s="1"/>
      <c r="G24477" s="13"/>
    </row>
    <row r="24478" spans="4:7" x14ac:dyDescent="0.3">
      <c r="D24478" s="1"/>
      <c r="G24478" s="13"/>
    </row>
    <row r="24479" spans="4:7" x14ac:dyDescent="0.3">
      <c r="D24479" s="1"/>
      <c r="G24479" s="13"/>
    </row>
    <row r="24480" spans="4:7" x14ac:dyDescent="0.3">
      <c r="D24480" s="1"/>
      <c r="G24480" s="13"/>
    </row>
    <row r="24481" spans="4:7" x14ac:dyDescent="0.3">
      <c r="D24481" s="1"/>
      <c r="G24481" s="13"/>
    </row>
    <row r="24482" spans="4:7" x14ac:dyDescent="0.3">
      <c r="D24482" s="1"/>
      <c r="G24482" s="13"/>
    </row>
    <row r="24483" spans="4:7" x14ac:dyDescent="0.3">
      <c r="D24483" s="1"/>
      <c r="G24483" s="13"/>
    </row>
    <row r="24484" spans="4:7" x14ac:dyDescent="0.3">
      <c r="D24484" s="1"/>
      <c r="G24484" s="13"/>
    </row>
    <row r="24485" spans="4:7" x14ac:dyDescent="0.3">
      <c r="D24485" s="1"/>
      <c r="G24485" s="13"/>
    </row>
    <row r="24486" spans="4:7" x14ac:dyDescent="0.3">
      <c r="D24486" s="1"/>
      <c r="G24486" s="13"/>
    </row>
    <row r="24487" spans="4:7" x14ac:dyDescent="0.3">
      <c r="D24487" s="1"/>
      <c r="G24487" s="13"/>
    </row>
    <row r="24488" spans="4:7" x14ac:dyDescent="0.3">
      <c r="D24488" s="1"/>
      <c r="G24488" s="13"/>
    </row>
    <row r="24489" spans="4:7" x14ac:dyDescent="0.3">
      <c r="D24489" s="1"/>
      <c r="G24489" s="13"/>
    </row>
    <row r="24490" spans="4:7" x14ac:dyDescent="0.3">
      <c r="D24490" s="1"/>
      <c r="G24490" s="13"/>
    </row>
    <row r="24491" spans="4:7" x14ac:dyDescent="0.3">
      <c r="D24491" s="1"/>
      <c r="G24491" s="13"/>
    </row>
    <row r="24492" spans="4:7" x14ac:dyDescent="0.3">
      <c r="D24492" s="1"/>
      <c r="G24492" s="13"/>
    </row>
    <row r="24493" spans="4:7" x14ac:dyDescent="0.3">
      <c r="D24493" s="1"/>
      <c r="G24493" s="13"/>
    </row>
    <row r="24494" spans="4:7" x14ac:dyDescent="0.3">
      <c r="D24494" s="1"/>
      <c r="G24494" s="13"/>
    </row>
    <row r="24495" spans="4:7" x14ac:dyDescent="0.3">
      <c r="D24495" s="1"/>
      <c r="G24495" s="13"/>
    </row>
    <row r="24496" spans="4:7" x14ac:dyDescent="0.3">
      <c r="D24496" s="1"/>
      <c r="G24496" s="13"/>
    </row>
    <row r="24497" spans="4:7" x14ac:dyDescent="0.3">
      <c r="D24497" s="1"/>
      <c r="G24497" s="13"/>
    </row>
    <row r="24498" spans="4:7" x14ac:dyDescent="0.3">
      <c r="D24498" s="1"/>
      <c r="G24498" s="13"/>
    </row>
    <row r="24499" spans="4:7" x14ac:dyDescent="0.3">
      <c r="D24499" s="1"/>
      <c r="G24499" s="13"/>
    </row>
    <row r="24500" spans="4:7" x14ac:dyDescent="0.3">
      <c r="D24500" s="1"/>
      <c r="G24500" s="13"/>
    </row>
    <row r="24501" spans="4:7" x14ac:dyDescent="0.3">
      <c r="D24501" s="1"/>
      <c r="G24501" s="13"/>
    </row>
    <row r="24502" spans="4:7" x14ac:dyDescent="0.3">
      <c r="D24502" s="1"/>
      <c r="G24502" s="13"/>
    </row>
    <row r="24503" spans="4:7" x14ac:dyDescent="0.3">
      <c r="D24503" s="1"/>
      <c r="G24503" s="13"/>
    </row>
    <row r="24504" spans="4:7" x14ac:dyDescent="0.3">
      <c r="D24504" s="1"/>
      <c r="G24504" s="13"/>
    </row>
    <row r="24505" spans="4:7" x14ac:dyDescent="0.3">
      <c r="D24505" s="1"/>
      <c r="G24505" s="13"/>
    </row>
    <row r="24506" spans="4:7" x14ac:dyDescent="0.3">
      <c r="D24506" s="1"/>
      <c r="G24506" s="13"/>
    </row>
    <row r="24507" spans="4:7" x14ac:dyDescent="0.3">
      <c r="D24507" s="1"/>
      <c r="G24507" s="13"/>
    </row>
    <row r="24508" spans="4:7" x14ac:dyDescent="0.3">
      <c r="D24508" s="1"/>
      <c r="G24508" s="13"/>
    </row>
    <row r="24509" spans="4:7" x14ac:dyDescent="0.3">
      <c r="D24509" s="1"/>
      <c r="G24509" s="13"/>
    </row>
    <row r="24510" spans="4:7" x14ac:dyDescent="0.3">
      <c r="D24510" s="1"/>
      <c r="G24510" s="13"/>
    </row>
    <row r="24511" spans="4:7" x14ac:dyDescent="0.3">
      <c r="D24511" s="1"/>
      <c r="G24511" s="13"/>
    </row>
    <row r="24512" spans="4:7" x14ac:dyDescent="0.3">
      <c r="D24512" s="1"/>
      <c r="G24512" s="13"/>
    </row>
    <row r="24513" spans="4:7" x14ac:dyDescent="0.3">
      <c r="D24513" s="1"/>
      <c r="G24513" s="13"/>
    </row>
    <row r="24514" spans="4:7" x14ac:dyDescent="0.3">
      <c r="D24514" s="1"/>
      <c r="G24514" s="13"/>
    </row>
    <row r="24515" spans="4:7" x14ac:dyDescent="0.3">
      <c r="D24515" s="1"/>
      <c r="G24515" s="13"/>
    </row>
    <row r="24516" spans="4:7" x14ac:dyDescent="0.3">
      <c r="D24516" s="1"/>
      <c r="G24516" s="13"/>
    </row>
    <row r="24517" spans="4:7" x14ac:dyDescent="0.3">
      <c r="D24517" s="1"/>
      <c r="G24517" s="13"/>
    </row>
    <row r="24518" spans="4:7" x14ac:dyDescent="0.3">
      <c r="D24518" s="1"/>
      <c r="G24518" s="13"/>
    </row>
    <row r="24519" spans="4:7" x14ac:dyDescent="0.3">
      <c r="D24519" s="1"/>
      <c r="G24519" s="13"/>
    </row>
    <row r="24520" spans="4:7" x14ac:dyDescent="0.3">
      <c r="D24520" s="1"/>
      <c r="G24520" s="13"/>
    </row>
    <row r="24521" spans="4:7" x14ac:dyDescent="0.3">
      <c r="D24521" s="1"/>
      <c r="G24521" s="13"/>
    </row>
    <row r="24522" spans="4:7" x14ac:dyDescent="0.3">
      <c r="D24522" s="1"/>
      <c r="G24522" s="13"/>
    </row>
    <row r="24523" spans="4:7" x14ac:dyDescent="0.3">
      <c r="D24523" s="1"/>
      <c r="G24523" s="13"/>
    </row>
    <row r="24524" spans="4:7" x14ac:dyDescent="0.3">
      <c r="D24524" s="1"/>
      <c r="G24524" s="13"/>
    </row>
    <row r="24525" spans="4:7" x14ac:dyDescent="0.3">
      <c r="D24525" s="1"/>
      <c r="G24525" s="13"/>
    </row>
    <row r="24526" spans="4:7" x14ac:dyDescent="0.3">
      <c r="D24526" s="1"/>
      <c r="G24526" s="13"/>
    </row>
    <row r="24527" spans="4:7" x14ac:dyDescent="0.3">
      <c r="D24527" s="1"/>
      <c r="G24527" s="13"/>
    </row>
    <row r="24528" spans="4:7" x14ac:dyDescent="0.3">
      <c r="D24528" s="1"/>
      <c r="G24528" s="13"/>
    </row>
    <row r="24529" spans="4:7" x14ac:dyDescent="0.3">
      <c r="D24529" s="1"/>
      <c r="G24529" s="13"/>
    </row>
    <row r="24530" spans="4:7" x14ac:dyDescent="0.3">
      <c r="D24530" s="1"/>
      <c r="G24530" s="13"/>
    </row>
    <row r="24531" spans="4:7" x14ac:dyDescent="0.3">
      <c r="D24531" s="1"/>
      <c r="G24531" s="13"/>
    </row>
    <row r="24532" spans="4:7" x14ac:dyDescent="0.3">
      <c r="D24532" s="1"/>
      <c r="G24532" s="13"/>
    </row>
    <row r="24533" spans="4:7" x14ac:dyDescent="0.3">
      <c r="D24533" s="1"/>
      <c r="G24533" s="13"/>
    </row>
    <row r="24534" spans="4:7" x14ac:dyDescent="0.3">
      <c r="D24534" s="1"/>
      <c r="G24534" s="13"/>
    </row>
    <row r="24535" spans="4:7" x14ac:dyDescent="0.3">
      <c r="D24535" s="1"/>
      <c r="G24535" s="13"/>
    </row>
    <row r="24536" spans="4:7" x14ac:dyDescent="0.3">
      <c r="D24536" s="1"/>
      <c r="G24536" s="13"/>
    </row>
    <row r="24537" spans="4:7" x14ac:dyDescent="0.3">
      <c r="D24537" s="1"/>
      <c r="G24537" s="13"/>
    </row>
    <row r="24538" spans="4:7" x14ac:dyDescent="0.3">
      <c r="D24538" s="1"/>
      <c r="G24538" s="13"/>
    </row>
    <row r="24539" spans="4:7" x14ac:dyDescent="0.3">
      <c r="D24539" s="1"/>
      <c r="G24539" s="13"/>
    </row>
    <row r="24540" spans="4:7" x14ac:dyDescent="0.3">
      <c r="D24540" s="1"/>
      <c r="G24540" s="13"/>
    </row>
    <row r="24541" spans="4:7" x14ac:dyDescent="0.3">
      <c r="D24541" s="1"/>
      <c r="G24541" s="13"/>
    </row>
    <row r="24542" spans="4:7" x14ac:dyDescent="0.3">
      <c r="D24542" s="1"/>
      <c r="G24542" s="13"/>
    </row>
    <row r="24543" spans="4:7" x14ac:dyDescent="0.3">
      <c r="D24543" s="1"/>
      <c r="G24543" s="13"/>
    </row>
    <row r="24544" spans="4:7" x14ac:dyDescent="0.3">
      <c r="D24544" s="1"/>
      <c r="G24544" s="13"/>
    </row>
    <row r="24545" spans="4:7" x14ac:dyDescent="0.3">
      <c r="D24545" s="1"/>
      <c r="G24545" s="13"/>
    </row>
    <row r="24546" spans="4:7" x14ac:dyDescent="0.3">
      <c r="D24546" s="1"/>
      <c r="G24546" s="13"/>
    </row>
    <row r="24547" spans="4:7" x14ac:dyDescent="0.3">
      <c r="D24547" s="1"/>
      <c r="G24547" s="13"/>
    </row>
    <row r="24548" spans="4:7" x14ac:dyDescent="0.3">
      <c r="D24548" s="1"/>
      <c r="G24548" s="13"/>
    </row>
    <row r="24549" spans="4:7" x14ac:dyDescent="0.3">
      <c r="D24549" s="1"/>
      <c r="G24549" s="13"/>
    </row>
    <row r="24550" spans="4:7" x14ac:dyDescent="0.3">
      <c r="D24550" s="1"/>
      <c r="G24550" s="13"/>
    </row>
    <row r="24551" spans="4:7" x14ac:dyDescent="0.3">
      <c r="D24551" s="1"/>
      <c r="G24551" s="13"/>
    </row>
    <row r="24552" spans="4:7" x14ac:dyDescent="0.3">
      <c r="D24552" s="1"/>
      <c r="G24552" s="13"/>
    </row>
    <row r="24553" spans="4:7" x14ac:dyDescent="0.3">
      <c r="D24553" s="1"/>
      <c r="G24553" s="13"/>
    </row>
    <row r="24554" spans="4:7" x14ac:dyDescent="0.3">
      <c r="D24554" s="1"/>
      <c r="G24554" s="13"/>
    </row>
    <row r="24555" spans="4:7" x14ac:dyDescent="0.3">
      <c r="D24555" s="1"/>
      <c r="G24555" s="13"/>
    </row>
    <row r="24556" spans="4:7" x14ac:dyDescent="0.3">
      <c r="D24556" s="1"/>
      <c r="G24556" s="13"/>
    </row>
    <row r="24557" spans="4:7" x14ac:dyDescent="0.3">
      <c r="D24557" s="1"/>
      <c r="G24557" s="13"/>
    </row>
    <row r="24558" spans="4:7" x14ac:dyDescent="0.3">
      <c r="D24558" s="1"/>
      <c r="G24558" s="13"/>
    </row>
    <row r="24559" spans="4:7" x14ac:dyDescent="0.3">
      <c r="D24559" s="1"/>
      <c r="G24559" s="13"/>
    </row>
    <row r="24560" spans="4:7" x14ac:dyDescent="0.3">
      <c r="D24560" s="1"/>
      <c r="G24560" s="13"/>
    </row>
    <row r="24561" spans="4:7" x14ac:dyDescent="0.3">
      <c r="D24561" s="1"/>
      <c r="G24561" s="13"/>
    </row>
    <row r="24562" spans="4:7" x14ac:dyDescent="0.3">
      <c r="D24562" s="1"/>
      <c r="G24562" s="13"/>
    </row>
    <row r="24563" spans="4:7" x14ac:dyDescent="0.3">
      <c r="D24563" s="1"/>
      <c r="G24563" s="13"/>
    </row>
    <row r="24564" spans="4:7" x14ac:dyDescent="0.3">
      <c r="D24564" s="1"/>
      <c r="G24564" s="13"/>
    </row>
    <row r="24565" spans="4:7" x14ac:dyDescent="0.3">
      <c r="D24565" s="1"/>
      <c r="G24565" s="13"/>
    </row>
    <row r="24566" spans="4:7" x14ac:dyDescent="0.3">
      <c r="D24566" s="1"/>
      <c r="G24566" s="13"/>
    </row>
    <row r="24567" spans="4:7" x14ac:dyDescent="0.3">
      <c r="D24567" s="1"/>
      <c r="G24567" s="13"/>
    </row>
    <row r="24568" spans="4:7" x14ac:dyDescent="0.3">
      <c r="D24568" s="1"/>
      <c r="G24568" s="13"/>
    </row>
    <row r="24569" spans="4:7" x14ac:dyDescent="0.3">
      <c r="D24569" s="1"/>
      <c r="G24569" s="13"/>
    </row>
    <row r="24570" spans="4:7" x14ac:dyDescent="0.3">
      <c r="D24570" s="1"/>
      <c r="G24570" s="13"/>
    </row>
    <row r="24571" spans="4:7" x14ac:dyDescent="0.3">
      <c r="D24571" s="1"/>
      <c r="G24571" s="13"/>
    </row>
    <row r="24572" spans="4:7" x14ac:dyDescent="0.3">
      <c r="D24572" s="1"/>
      <c r="G24572" s="13"/>
    </row>
    <row r="24573" spans="4:7" x14ac:dyDescent="0.3">
      <c r="D24573" s="1"/>
      <c r="G24573" s="13"/>
    </row>
    <row r="24574" spans="4:7" x14ac:dyDescent="0.3">
      <c r="D24574" s="1"/>
      <c r="G24574" s="13"/>
    </row>
    <row r="24575" spans="4:7" x14ac:dyDescent="0.3">
      <c r="D24575" s="1"/>
      <c r="G24575" s="13"/>
    </row>
    <row r="24576" spans="4:7" x14ac:dyDescent="0.3">
      <c r="D24576" s="1"/>
      <c r="G24576" s="13"/>
    </row>
    <row r="24577" spans="4:7" x14ac:dyDescent="0.3">
      <c r="D24577" s="1"/>
      <c r="G24577" s="13"/>
    </row>
    <row r="24578" spans="4:7" x14ac:dyDescent="0.3">
      <c r="D24578" s="1"/>
      <c r="G24578" s="13"/>
    </row>
    <row r="24579" spans="4:7" x14ac:dyDescent="0.3">
      <c r="D24579" s="1"/>
      <c r="G24579" s="13"/>
    </row>
    <row r="24580" spans="4:7" x14ac:dyDescent="0.3">
      <c r="D24580" s="1"/>
      <c r="G24580" s="13"/>
    </row>
    <row r="24581" spans="4:7" x14ac:dyDescent="0.3">
      <c r="D24581" s="1"/>
      <c r="G24581" s="13"/>
    </row>
    <row r="24582" spans="4:7" x14ac:dyDescent="0.3">
      <c r="D24582" s="1"/>
      <c r="G24582" s="13"/>
    </row>
    <row r="24583" spans="4:7" x14ac:dyDescent="0.3">
      <c r="D24583" s="1"/>
      <c r="G24583" s="13"/>
    </row>
    <row r="24584" spans="4:7" x14ac:dyDescent="0.3">
      <c r="D24584" s="1"/>
      <c r="G24584" s="13"/>
    </row>
    <row r="24585" spans="4:7" x14ac:dyDescent="0.3">
      <c r="D24585" s="1"/>
      <c r="G24585" s="13"/>
    </row>
    <row r="24586" spans="4:7" x14ac:dyDescent="0.3">
      <c r="D24586" s="1"/>
      <c r="G24586" s="13"/>
    </row>
    <row r="24587" spans="4:7" x14ac:dyDescent="0.3">
      <c r="D24587" s="1"/>
      <c r="G24587" s="13"/>
    </row>
    <row r="24588" spans="4:7" x14ac:dyDescent="0.3">
      <c r="D24588" s="1"/>
      <c r="G24588" s="13"/>
    </row>
    <row r="24589" spans="4:7" x14ac:dyDescent="0.3">
      <c r="D24589" s="1"/>
      <c r="G24589" s="13"/>
    </row>
    <row r="24590" spans="4:7" x14ac:dyDescent="0.3">
      <c r="D24590" s="1"/>
      <c r="G24590" s="13"/>
    </row>
    <row r="24591" spans="4:7" x14ac:dyDescent="0.3">
      <c r="D24591" s="1"/>
      <c r="G24591" s="13"/>
    </row>
    <row r="24592" spans="4:7" x14ac:dyDescent="0.3">
      <c r="D24592" s="1"/>
      <c r="G24592" s="13"/>
    </row>
    <row r="24593" spans="4:7" x14ac:dyDescent="0.3">
      <c r="D24593" s="1"/>
      <c r="G24593" s="13"/>
    </row>
    <row r="24594" spans="4:7" x14ac:dyDescent="0.3">
      <c r="D24594" s="1"/>
      <c r="G24594" s="13"/>
    </row>
    <row r="24595" spans="4:7" x14ac:dyDescent="0.3">
      <c r="D24595" s="1"/>
      <c r="G24595" s="13"/>
    </row>
    <row r="24596" spans="4:7" x14ac:dyDescent="0.3">
      <c r="D24596" s="1"/>
      <c r="G24596" s="13"/>
    </row>
    <row r="24597" spans="4:7" x14ac:dyDescent="0.3">
      <c r="D24597" s="1"/>
      <c r="G24597" s="13"/>
    </row>
    <row r="24598" spans="4:7" x14ac:dyDescent="0.3">
      <c r="D24598" s="1"/>
      <c r="G24598" s="13"/>
    </row>
    <row r="24599" spans="4:7" x14ac:dyDescent="0.3">
      <c r="D24599" s="1"/>
      <c r="G24599" s="13"/>
    </row>
    <row r="24600" spans="4:7" x14ac:dyDescent="0.3">
      <c r="D24600" s="1"/>
      <c r="G24600" s="13"/>
    </row>
    <row r="24601" spans="4:7" x14ac:dyDescent="0.3">
      <c r="D24601" s="1"/>
      <c r="G24601" s="13"/>
    </row>
    <row r="24602" spans="4:7" x14ac:dyDescent="0.3">
      <c r="D24602" s="1"/>
      <c r="G24602" s="13"/>
    </row>
    <row r="24603" spans="4:7" x14ac:dyDescent="0.3">
      <c r="D24603" s="1"/>
      <c r="G24603" s="13"/>
    </row>
    <row r="24604" spans="4:7" x14ac:dyDescent="0.3">
      <c r="D24604" s="1"/>
      <c r="G24604" s="13"/>
    </row>
    <row r="24605" spans="4:7" x14ac:dyDescent="0.3">
      <c r="D24605" s="1"/>
      <c r="G24605" s="13"/>
    </row>
    <row r="24606" spans="4:7" x14ac:dyDescent="0.3">
      <c r="D24606" s="1"/>
      <c r="G24606" s="13"/>
    </row>
    <row r="24607" spans="4:7" x14ac:dyDescent="0.3">
      <c r="D24607" s="1"/>
      <c r="G24607" s="13"/>
    </row>
    <row r="24608" spans="4:7" x14ac:dyDescent="0.3">
      <c r="D24608" s="1"/>
      <c r="G24608" s="13"/>
    </row>
    <row r="24609" spans="4:7" x14ac:dyDescent="0.3">
      <c r="D24609" s="1"/>
      <c r="G24609" s="13"/>
    </row>
    <row r="24610" spans="4:7" x14ac:dyDescent="0.3">
      <c r="D24610" s="1"/>
      <c r="G24610" s="13"/>
    </row>
    <row r="24611" spans="4:7" x14ac:dyDescent="0.3">
      <c r="D24611" s="1"/>
      <c r="G24611" s="13"/>
    </row>
    <row r="24612" spans="4:7" x14ac:dyDescent="0.3">
      <c r="D24612" s="1"/>
      <c r="G24612" s="13"/>
    </row>
    <row r="24613" spans="4:7" x14ac:dyDescent="0.3">
      <c r="D24613" s="1"/>
      <c r="G24613" s="13"/>
    </row>
    <row r="24614" spans="4:7" x14ac:dyDescent="0.3">
      <c r="D24614" s="1"/>
      <c r="G24614" s="13"/>
    </row>
    <row r="24615" spans="4:7" x14ac:dyDescent="0.3">
      <c r="D24615" s="1"/>
      <c r="G24615" s="13"/>
    </row>
    <row r="24616" spans="4:7" x14ac:dyDescent="0.3">
      <c r="D24616" s="1"/>
      <c r="G24616" s="13"/>
    </row>
    <row r="24617" spans="4:7" x14ac:dyDescent="0.3">
      <c r="D24617" s="1"/>
      <c r="G24617" s="13"/>
    </row>
    <row r="24618" spans="4:7" x14ac:dyDescent="0.3">
      <c r="D24618" s="1"/>
      <c r="G24618" s="13"/>
    </row>
    <row r="24619" spans="4:7" x14ac:dyDescent="0.3">
      <c r="D24619" s="1"/>
      <c r="G24619" s="13"/>
    </row>
    <row r="24620" spans="4:7" x14ac:dyDescent="0.3">
      <c r="D24620" s="1"/>
      <c r="G24620" s="13"/>
    </row>
    <row r="24621" spans="4:7" x14ac:dyDescent="0.3">
      <c r="D24621" s="1"/>
      <c r="G24621" s="13"/>
    </row>
    <row r="24622" spans="4:7" x14ac:dyDescent="0.3">
      <c r="D24622" s="1"/>
      <c r="G24622" s="13"/>
    </row>
    <row r="24623" spans="4:7" x14ac:dyDescent="0.3">
      <c r="D24623" s="1"/>
      <c r="G24623" s="13"/>
    </row>
    <row r="24624" spans="4:7" x14ac:dyDescent="0.3">
      <c r="D24624" s="1"/>
      <c r="G24624" s="13"/>
    </row>
    <row r="24625" spans="4:7" x14ac:dyDescent="0.3">
      <c r="D24625" s="1"/>
      <c r="G24625" s="13"/>
    </row>
    <row r="24626" spans="4:7" x14ac:dyDescent="0.3">
      <c r="D24626" s="1"/>
      <c r="G24626" s="13"/>
    </row>
    <row r="24627" spans="4:7" x14ac:dyDescent="0.3">
      <c r="D24627" s="1"/>
      <c r="G24627" s="13"/>
    </row>
    <row r="24628" spans="4:7" x14ac:dyDescent="0.3">
      <c r="D24628" s="1"/>
      <c r="G24628" s="13"/>
    </row>
    <row r="24629" spans="4:7" x14ac:dyDescent="0.3">
      <c r="D24629" s="1"/>
      <c r="G24629" s="13"/>
    </row>
    <row r="24630" spans="4:7" x14ac:dyDescent="0.3">
      <c r="D24630" s="1"/>
      <c r="G24630" s="13"/>
    </row>
    <row r="24631" spans="4:7" x14ac:dyDescent="0.3">
      <c r="D24631" s="1"/>
      <c r="G24631" s="13"/>
    </row>
    <row r="24632" spans="4:7" x14ac:dyDescent="0.3">
      <c r="D24632" s="1"/>
      <c r="G24632" s="13"/>
    </row>
    <row r="24633" spans="4:7" x14ac:dyDescent="0.3">
      <c r="D24633" s="1"/>
      <c r="G24633" s="13"/>
    </row>
    <row r="24634" spans="4:7" x14ac:dyDescent="0.3">
      <c r="D24634" s="1"/>
      <c r="G24634" s="13"/>
    </row>
    <row r="24635" spans="4:7" x14ac:dyDescent="0.3">
      <c r="D24635" s="1"/>
      <c r="G24635" s="13"/>
    </row>
    <row r="24636" spans="4:7" x14ac:dyDescent="0.3">
      <c r="D24636" s="1"/>
      <c r="G24636" s="13"/>
    </row>
    <row r="24637" spans="4:7" x14ac:dyDescent="0.3">
      <c r="D24637" s="1"/>
      <c r="G24637" s="13"/>
    </row>
    <row r="24638" spans="4:7" x14ac:dyDescent="0.3">
      <c r="D24638" s="1"/>
      <c r="G24638" s="13"/>
    </row>
    <row r="24639" spans="4:7" x14ac:dyDescent="0.3">
      <c r="D24639" s="1"/>
      <c r="G24639" s="13"/>
    </row>
    <row r="24640" spans="4:7" x14ac:dyDescent="0.3">
      <c r="D24640" s="1"/>
      <c r="G24640" s="13"/>
    </row>
    <row r="24641" spans="4:7" x14ac:dyDescent="0.3">
      <c r="D24641" s="1"/>
      <c r="G24641" s="13"/>
    </row>
    <row r="24642" spans="4:7" x14ac:dyDescent="0.3">
      <c r="D24642" s="1"/>
      <c r="G24642" s="13"/>
    </row>
    <row r="24643" spans="4:7" x14ac:dyDescent="0.3">
      <c r="D24643" s="1"/>
      <c r="G24643" s="13"/>
    </row>
    <row r="24644" spans="4:7" x14ac:dyDescent="0.3">
      <c r="D24644" s="1"/>
      <c r="G24644" s="13"/>
    </row>
    <row r="24645" spans="4:7" x14ac:dyDescent="0.3">
      <c r="D24645" s="1"/>
      <c r="G24645" s="13"/>
    </row>
    <row r="24646" spans="4:7" x14ac:dyDescent="0.3">
      <c r="D24646" s="1"/>
      <c r="G24646" s="13"/>
    </row>
    <row r="24647" spans="4:7" x14ac:dyDescent="0.3">
      <c r="D24647" s="1"/>
      <c r="G24647" s="13"/>
    </row>
    <row r="24648" spans="4:7" x14ac:dyDescent="0.3">
      <c r="D24648" s="1"/>
      <c r="G24648" s="13"/>
    </row>
    <row r="24649" spans="4:7" x14ac:dyDescent="0.3">
      <c r="D24649" s="1"/>
      <c r="G24649" s="13"/>
    </row>
    <row r="24650" spans="4:7" x14ac:dyDescent="0.3">
      <c r="D24650" s="1"/>
      <c r="G24650" s="13"/>
    </row>
    <row r="24651" spans="4:7" x14ac:dyDescent="0.3">
      <c r="D24651" s="1"/>
      <c r="G24651" s="13"/>
    </row>
    <row r="24652" spans="4:7" x14ac:dyDescent="0.3">
      <c r="D24652" s="1"/>
    </row>
    <row r="24653" spans="4:7" x14ac:dyDescent="0.3">
      <c r="D24653" s="1"/>
      <c r="G24653" s="13"/>
    </row>
    <row r="24654" spans="4:7" x14ac:dyDescent="0.3">
      <c r="D24654" s="1"/>
      <c r="G24654" s="13"/>
    </row>
    <row r="24655" spans="4:7" x14ac:dyDescent="0.3">
      <c r="D24655" s="1"/>
      <c r="G24655" s="13"/>
    </row>
    <row r="24656" spans="4:7" x14ac:dyDescent="0.3">
      <c r="D24656" s="1"/>
      <c r="G24656" s="13"/>
    </row>
    <row r="24657" spans="4:7" x14ac:dyDescent="0.3">
      <c r="D24657" s="1"/>
      <c r="G24657" s="13"/>
    </row>
    <row r="24658" spans="4:7" x14ac:dyDescent="0.3">
      <c r="D24658" s="1"/>
      <c r="G24658" s="13"/>
    </row>
    <row r="24659" spans="4:7" x14ac:dyDescent="0.3">
      <c r="D24659" s="1"/>
      <c r="G24659" s="13"/>
    </row>
    <row r="24660" spans="4:7" x14ac:dyDescent="0.3">
      <c r="D24660" s="1"/>
      <c r="G24660" s="13"/>
    </row>
    <row r="24661" spans="4:7" x14ac:dyDescent="0.3">
      <c r="D24661" s="1"/>
      <c r="G24661" s="13"/>
    </row>
    <row r="24662" spans="4:7" x14ac:dyDescent="0.3">
      <c r="D24662" s="1"/>
      <c r="G24662" s="13"/>
    </row>
    <row r="24663" spans="4:7" x14ac:dyDescent="0.3">
      <c r="D24663" s="1"/>
      <c r="G24663" s="13"/>
    </row>
    <row r="24664" spans="4:7" x14ac:dyDescent="0.3">
      <c r="D24664" s="1"/>
      <c r="G24664" s="13"/>
    </row>
    <row r="24665" spans="4:7" x14ac:dyDescent="0.3">
      <c r="D24665" s="1"/>
      <c r="G24665" s="13"/>
    </row>
    <row r="24666" spans="4:7" x14ac:dyDescent="0.3">
      <c r="D24666" s="1"/>
      <c r="G24666" s="13"/>
    </row>
    <row r="24667" spans="4:7" x14ac:dyDescent="0.3">
      <c r="D24667" s="1"/>
      <c r="G24667" s="13"/>
    </row>
    <row r="24668" spans="4:7" x14ac:dyDescent="0.3">
      <c r="D24668" s="1"/>
      <c r="G24668" s="13"/>
    </row>
    <row r="24669" spans="4:7" x14ac:dyDescent="0.3">
      <c r="D24669" s="1"/>
      <c r="G24669" s="13"/>
    </row>
    <row r="24670" spans="4:7" x14ac:dyDescent="0.3">
      <c r="D24670" s="1"/>
      <c r="G24670" s="13"/>
    </row>
    <row r="24671" spans="4:7" x14ac:dyDescent="0.3">
      <c r="D24671" s="1"/>
      <c r="G24671" s="13"/>
    </row>
    <row r="24672" spans="4:7" x14ac:dyDescent="0.3">
      <c r="D24672" s="1"/>
      <c r="G24672" s="13"/>
    </row>
    <row r="24673" spans="4:7" x14ac:dyDescent="0.3">
      <c r="D24673" s="1"/>
      <c r="G24673" s="13"/>
    </row>
    <row r="24674" spans="4:7" x14ac:dyDescent="0.3">
      <c r="D24674" s="1"/>
      <c r="G24674" s="13"/>
    </row>
    <row r="24675" spans="4:7" x14ac:dyDescent="0.3">
      <c r="D24675" s="1"/>
      <c r="G24675" s="13"/>
    </row>
    <row r="24676" spans="4:7" x14ac:dyDescent="0.3">
      <c r="D24676" s="1"/>
      <c r="G24676" s="13"/>
    </row>
    <row r="24677" spans="4:7" x14ac:dyDescent="0.3">
      <c r="D24677" s="1"/>
      <c r="G24677" s="13"/>
    </row>
    <row r="24678" spans="4:7" x14ac:dyDescent="0.3">
      <c r="D24678" s="1"/>
      <c r="G24678" s="13"/>
    </row>
    <row r="24679" spans="4:7" x14ac:dyDescent="0.3">
      <c r="D24679" s="1"/>
      <c r="G24679" s="13"/>
    </row>
    <row r="24680" spans="4:7" x14ac:dyDescent="0.3">
      <c r="D24680" s="1"/>
      <c r="G24680" s="13"/>
    </row>
    <row r="24681" spans="4:7" x14ac:dyDescent="0.3">
      <c r="D24681" s="1"/>
      <c r="G24681" s="13"/>
    </row>
    <row r="24682" spans="4:7" x14ac:dyDescent="0.3">
      <c r="D24682" s="1"/>
      <c r="G24682" s="13"/>
    </row>
    <row r="24683" spans="4:7" x14ac:dyDescent="0.3">
      <c r="D24683" s="1"/>
      <c r="G24683" s="13"/>
    </row>
    <row r="24684" spans="4:7" x14ac:dyDescent="0.3">
      <c r="D24684" s="1"/>
      <c r="G24684" s="13"/>
    </row>
    <row r="24685" spans="4:7" x14ac:dyDescent="0.3">
      <c r="D24685" s="1"/>
      <c r="G24685" s="13"/>
    </row>
    <row r="24686" spans="4:7" x14ac:dyDescent="0.3">
      <c r="D24686" s="1"/>
      <c r="G24686" s="13"/>
    </row>
    <row r="24687" spans="4:7" x14ac:dyDescent="0.3">
      <c r="D24687" s="1"/>
      <c r="G24687" s="13"/>
    </row>
    <row r="24688" spans="4:7" x14ac:dyDescent="0.3">
      <c r="D24688" s="1"/>
      <c r="G24688" s="13"/>
    </row>
    <row r="24689" spans="4:7" x14ac:dyDescent="0.3">
      <c r="D24689" s="1"/>
      <c r="G24689" s="13"/>
    </row>
    <row r="24690" spans="4:7" x14ac:dyDescent="0.3">
      <c r="D24690" s="1"/>
      <c r="G24690" s="13"/>
    </row>
    <row r="24691" spans="4:7" x14ac:dyDescent="0.3">
      <c r="D24691" s="1"/>
      <c r="G24691" s="13"/>
    </row>
    <row r="24692" spans="4:7" x14ac:dyDescent="0.3">
      <c r="D24692" s="1"/>
      <c r="G24692" s="13"/>
    </row>
    <row r="24693" spans="4:7" x14ac:dyDescent="0.3">
      <c r="D24693" s="1"/>
      <c r="G24693" s="13"/>
    </row>
    <row r="24694" spans="4:7" x14ac:dyDescent="0.3">
      <c r="D24694" s="1"/>
      <c r="G24694" s="13"/>
    </row>
    <row r="24695" spans="4:7" x14ac:dyDescent="0.3">
      <c r="D24695" s="1"/>
      <c r="G24695" s="13"/>
    </row>
    <row r="24696" spans="4:7" x14ac:dyDescent="0.3">
      <c r="D24696" s="1"/>
      <c r="G24696" s="13"/>
    </row>
    <row r="24697" spans="4:7" x14ac:dyDescent="0.3">
      <c r="D24697" s="1"/>
      <c r="G24697" s="13"/>
    </row>
    <row r="24698" spans="4:7" x14ac:dyDescent="0.3">
      <c r="D24698" s="1"/>
      <c r="G24698" s="13"/>
    </row>
    <row r="24699" spans="4:7" x14ac:dyDescent="0.3">
      <c r="D24699" s="1"/>
      <c r="G24699" s="13"/>
    </row>
    <row r="24700" spans="4:7" x14ac:dyDescent="0.3">
      <c r="D24700" s="1"/>
      <c r="G24700" s="13"/>
    </row>
    <row r="24701" spans="4:7" x14ac:dyDescent="0.3">
      <c r="D24701" s="1"/>
      <c r="G24701" s="13"/>
    </row>
    <row r="24702" spans="4:7" x14ac:dyDescent="0.3">
      <c r="D24702" s="1"/>
      <c r="G24702" s="13"/>
    </row>
    <row r="24703" spans="4:7" x14ac:dyDescent="0.3">
      <c r="D24703" s="1"/>
      <c r="G24703" s="13"/>
    </row>
    <row r="24704" spans="4:7" x14ac:dyDescent="0.3">
      <c r="D24704" s="1"/>
      <c r="G24704" s="13"/>
    </row>
    <row r="24705" spans="4:38" x14ac:dyDescent="0.3">
      <c r="D24705" s="1"/>
      <c r="G24705" s="13"/>
    </row>
    <row r="24706" spans="4:38" x14ac:dyDescent="0.3">
      <c r="D24706" s="1"/>
      <c r="G24706" s="13"/>
    </row>
    <row r="24707" spans="4:38" x14ac:dyDescent="0.3">
      <c r="D24707" s="1"/>
      <c r="G24707" s="13"/>
    </row>
    <row r="24708" spans="4:38" x14ac:dyDescent="0.3">
      <c r="D24708" s="1"/>
      <c r="G24708" s="13"/>
      <c r="AL24708" s="13"/>
    </row>
    <row r="24709" spans="4:38" x14ac:dyDescent="0.3">
      <c r="D24709" s="1"/>
      <c r="G24709" s="13"/>
      <c r="AL24709" s="13"/>
    </row>
    <row r="24710" spans="4:38" x14ac:dyDescent="0.3">
      <c r="D24710" s="1"/>
      <c r="G24710" s="13"/>
      <c r="AL24710" s="13"/>
    </row>
    <row r="24711" spans="4:38" x14ac:dyDescent="0.3">
      <c r="D24711" s="1"/>
      <c r="G24711" s="13"/>
      <c r="AL24711" s="13"/>
    </row>
    <row r="24712" spans="4:38" x14ac:dyDescent="0.3">
      <c r="D24712" s="1"/>
      <c r="G24712" s="13"/>
      <c r="AL24712" s="13"/>
    </row>
    <row r="24713" spans="4:38" x14ac:dyDescent="0.3">
      <c r="D24713" s="1"/>
      <c r="G24713" s="13"/>
      <c r="AL24713" s="13"/>
    </row>
    <row r="24714" spans="4:38" x14ac:dyDescent="0.3">
      <c r="D24714" s="1"/>
      <c r="G24714" s="13"/>
      <c r="AL24714" s="13"/>
    </row>
    <row r="24715" spans="4:38" x14ac:dyDescent="0.3">
      <c r="G24715" s="13"/>
      <c r="AL24715" s="13"/>
    </row>
    <row r="24716" spans="4:38" x14ac:dyDescent="0.3">
      <c r="D24716" s="1"/>
      <c r="G24716" s="13"/>
      <c r="AL24716" s="13"/>
    </row>
    <row r="24717" spans="4:38" x14ac:dyDescent="0.3">
      <c r="D24717" s="1"/>
      <c r="G24717" s="13"/>
      <c r="AL24717" s="13"/>
    </row>
    <row r="24718" spans="4:38" x14ac:dyDescent="0.3">
      <c r="D24718" s="1"/>
      <c r="G24718" s="13"/>
      <c r="AL24718" s="13"/>
    </row>
    <row r="24719" spans="4:38" x14ac:dyDescent="0.3">
      <c r="D24719" s="1"/>
      <c r="G24719" s="13"/>
      <c r="AL24719" s="13"/>
    </row>
    <row r="24720" spans="4:38" x14ac:dyDescent="0.3">
      <c r="D24720" s="1"/>
      <c r="G24720" s="13"/>
      <c r="AL24720" s="13"/>
    </row>
    <row r="24721" spans="4:38" x14ac:dyDescent="0.3">
      <c r="D24721" s="1"/>
      <c r="G24721" s="13"/>
      <c r="AL24721" s="13"/>
    </row>
    <row r="24722" spans="4:38" x14ac:dyDescent="0.3">
      <c r="D24722" s="1"/>
      <c r="G24722" s="13"/>
      <c r="AL24722" s="13"/>
    </row>
    <row r="24723" spans="4:38" x14ac:dyDescent="0.3">
      <c r="D24723" s="1"/>
      <c r="G24723" s="13"/>
      <c r="AL24723" s="13"/>
    </row>
    <row r="24724" spans="4:38" x14ac:dyDescent="0.3">
      <c r="D24724" s="1"/>
      <c r="G24724" s="13"/>
      <c r="AL24724" s="13"/>
    </row>
    <row r="24725" spans="4:38" x14ac:dyDescent="0.3">
      <c r="D24725" s="1"/>
      <c r="G24725" s="13"/>
      <c r="AL24725" s="13"/>
    </row>
    <row r="24726" spans="4:38" x14ac:dyDescent="0.3">
      <c r="D24726" s="1"/>
      <c r="G24726" s="13"/>
      <c r="AL24726" s="13"/>
    </row>
    <row r="24727" spans="4:38" x14ac:dyDescent="0.3">
      <c r="D24727" s="1"/>
      <c r="G24727" s="13"/>
      <c r="AL24727" s="13"/>
    </row>
    <row r="24728" spans="4:38" x14ac:dyDescent="0.3">
      <c r="D24728" s="1"/>
      <c r="G24728" s="13"/>
      <c r="AL24728" s="13"/>
    </row>
    <row r="24729" spans="4:38" x14ac:dyDescent="0.3">
      <c r="D24729" s="1"/>
      <c r="G24729" s="13"/>
      <c r="AL24729" s="13"/>
    </row>
    <row r="24730" spans="4:38" x14ac:dyDescent="0.3">
      <c r="D24730" s="1"/>
      <c r="G24730" s="13"/>
      <c r="AL24730" s="13"/>
    </row>
    <row r="24731" spans="4:38" x14ac:dyDescent="0.3">
      <c r="D24731" s="1"/>
      <c r="G24731" s="13"/>
      <c r="AL24731" s="13"/>
    </row>
    <row r="24732" spans="4:38" x14ac:dyDescent="0.3">
      <c r="D24732" s="1"/>
      <c r="G24732" s="13"/>
      <c r="AL24732" s="13"/>
    </row>
    <row r="24733" spans="4:38" x14ac:dyDescent="0.3">
      <c r="D24733" s="1"/>
      <c r="G24733" s="13"/>
      <c r="AL24733" s="13"/>
    </row>
    <row r="24734" spans="4:38" x14ac:dyDescent="0.3">
      <c r="D24734" s="1"/>
      <c r="G24734" s="13"/>
      <c r="AL24734" s="13"/>
    </row>
    <row r="24735" spans="4:38" x14ac:dyDescent="0.3">
      <c r="D24735" s="1"/>
      <c r="G24735" s="13"/>
      <c r="AL24735" s="13"/>
    </row>
    <row r="24736" spans="4:38" x14ac:dyDescent="0.3">
      <c r="D24736" s="1"/>
      <c r="G24736" s="13"/>
      <c r="AL24736" s="13"/>
    </row>
    <row r="24737" spans="4:38" x14ac:dyDescent="0.3">
      <c r="D24737" s="1"/>
      <c r="G24737" s="13"/>
      <c r="AL24737" s="13"/>
    </row>
    <row r="24738" spans="4:38" x14ac:dyDescent="0.3">
      <c r="D24738" s="1"/>
      <c r="G24738" s="13"/>
      <c r="AL24738" s="13"/>
    </row>
    <row r="24739" spans="4:38" x14ac:dyDescent="0.3">
      <c r="D24739" s="1"/>
      <c r="G24739" s="13"/>
      <c r="AL24739" s="13"/>
    </row>
    <row r="24740" spans="4:38" x14ac:dyDescent="0.3">
      <c r="D24740" s="1"/>
      <c r="G24740" s="13"/>
      <c r="AL24740" s="13"/>
    </row>
    <row r="24741" spans="4:38" x14ac:dyDescent="0.3">
      <c r="D24741" s="1"/>
      <c r="G24741" s="13"/>
      <c r="AL24741" s="13"/>
    </row>
    <row r="24742" spans="4:38" x14ac:dyDescent="0.3">
      <c r="D24742" s="1"/>
      <c r="G24742" s="13"/>
      <c r="AL24742" s="13"/>
    </row>
    <row r="24743" spans="4:38" x14ac:dyDescent="0.3">
      <c r="D24743" s="1"/>
      <c r="G24743" s="13"/>
      <c r="AL24743" s="13"/>
    </row>
    <row r="24744" spans="4:38" x14ac:dyDescent="0.3">
      <c r="D24744" s="1"/>
      <c r="G24744" s="13"/>
      <c r="AL24744" s="13"/>
    </row>
    <row r="24745" spans="4:38" x14ac:dyDescent="0.3">
      <c r="D24745" s="1"/>
      <c r="G24745" s="13"/>
      <c r="AL24745" s="13"/>
    </row>
    <row r="24746" spans="4:38" x14ac:dyDescent="0.3">
      <c r="D24746" s="1"/>
      <c r="G24746" s="13"/>
      <c r="AL24746" s="13"/>
    </row>
    <row r="24747" spans="4:38" x14ac:dyDescent="0.3">
      <c r="D24747" s="1"/>
      <c r="G24747" s="13"/>
      <c r="AL24747" s="13"/>
    </row>
    <row r="24748" spans="4:38" x14ac:dyDescent="0.3">
      <c r="D24748" s="1"/>
      <c r="G24748" s="13"/>
      <c r="AL24748" s="13"/>
    </row>
    <row r="24749" spans="4:38" x14ac:dyDescent="0.3">
      <c r="D24749" s="1"/>
      <c r="G24749" s="13"/>
      <c r="AL24749" s="13"/>
    </row>
    <row r="24750" spans="4:38" x14ac:dyDescent="0.3">
      <c r="D24750" s="1"/>
      <c r="G24750" s="13"/>
      <c r="AL24750" s="13"/>
    </row>
    <row r="24751" spans="4:38" x14ac:dyDescent="0.3">
      <c r="D24751" s="1"/>
      <c r="G24751" s="13"/>
      <c r="AL24751" s="13"/>
    </row>
    <row r="24752" spans="4:38" x14ac:dyDescent="0.3">
      <c r="D24752" s="1"/>
      <c r="G24752" s="13"/>
      <c r="AL24752" s="13"/>
    </row>
    <row r="24753" spans="4:38" x14ac:dyDescent="0.3">
      <c r="D24753" s="1"/>
      <c r="G24753" s="13"/>
      <c r="AL24753" s="13"/>
    </row>
    <row r="24754" spans="4:38" x14ac:dyDescent="0.3">
      <c r="D24754" s="1"/>
      <c r="G24754" s="13"/>
      <c r="AL24754" s="13"/>
    </row>
    <row r="24755" spans="4:38" x14ac:dyDescent="0.3">
      <c r="D24755" s="1"/>
      <c r="G24755" s="13"/>
      <c r="AL24755" s="13"/>
    </row>
    <row r="24756" spans="4:38" x14ac:dyDescent="0.3">
      <c r="D24756" s="1"/>
      <c r="G24756" s="13"/>
      <c r="AL24756" s="13"/>
    </row>
    <row r="24757" spans="4:38" x14ac:dyDescent="0.3">
      <c r="D24757" s="1"/>
      <c r="G24757" s="13"/>
      <c r="AL24757" s="13"/>
    </row>
    <row r="24758" spans="4:38" x14ac:dyDescent="0.3">
      <c r="D24758" s="1"/>
      <c r="G24758" s="13"/>
      <c r="AL24758" s="13"/>
    </row>
    <row r="24759" spans="4:38" x14ac:dyDescent="0.3">
      <c r="D24759" s="1"/>
      <c r="G24759" s="13"/>
      <c r="AL24759" s="13"/>
    </row>
    <row r="24760" spans="4:38" x14ac:dyDescent="0.3">
      <c r="D24760" s="1"/>
      <c r="G24760" s="13"/>
      <c r="AL24760" s="13"/>
    </row>
    <row r="24761" spans="4:38" x14ac:dyDescent="0.3">
      <c r="D24761" s="1"/>
      <c r="G24761" s="13"/>
      <c r="AL24761" s="13"/>
    </row>
    <row r="24762" spans="4:38" x14ac:dyDescent="0.3">
      <c r="D24762" s="1"/>
      <c r="G24762" s="13"/>
      <c r="AL24762" s="13"/>
    </row>
    <row r="24763" spans="4:38" x14ac:dyDescent="0.3">
      <c r="D24763" s="1"/>
      <c r="G24763" s="13"/>
      <c r="AL24763" s="13"/>
    </row>
    <row r="24764" spans="4:38" x14ac:dyDescent="0.3">
      <c r="D24764" s="1"/>
      <c r="G24764" s="13"/>
      <c r="AL24764" s="13"/>
    </row>
    <row r="24765" spans="4:38" x14ac:dyDescent="0.3">
      <c r="D24765" s="1"/>
      <c r="G24765" s="13"/>
      <c r="AL24765" s="13"/>
    </row>
    <row r="24766" spans="4:38" x14ac:dyDescent="0.3">
      <c r="D24766" s="1"/>
      <c r="G24766" s="13"/>
      <c r="AL24766" s="13"/>
    </row>
    <row r="24767" spans="4:38" x14ac:dyDescent="0.3">
      <c r="D24767" s="1"/>
      <c r="G24767" s="13"/>
      <c r="AL24767" s="13"/>
    </row>
    <row r="24768" spans="4:38" x14ac:dyDescent="0.3">
      <c r="D24768" s="1"/>
      <c r="G24768" s="13"/>
      <c r="AL24768" s="13"/>
    </row>
    <row r="24769" spans="4:38" x14ac:dyDescent="0.3">
      <c r="D24769" s="1"/>
      <c r="G24769" s="13"/>
      <c r="AL24769" s="13"/>
    </row>
    <row r="24770" spans="4:38" x14ac:dyDescent="0.3">
      <c r="D24770" s="1"/>
      <c r="G24770" s="13"/>
      <c r="AL24770" s="13"/>
    </row>
    <row r="24771" spans="4:38" x14ac:dyDescent="0.3">
      <c r="D24771" s="1"/>
      <c r="G24771" s="13"/>
      <c r="AL24771" s="13"/>
    </row>
    <row r="24772" spans="4:38" x14ac:dyDescent="0.3">
      <c r="D24772" s="1"/>
      <c r="G24772" s="13"/>
      <c r="AL24772" s="13"/>
    </row>
    <row r="24773" spans="4:38" x14ac:dyDescent="0.3">
      <c r="D24773" s="1"/>
      <c r="G24773" s="13"/>
      <c r="AL24773" s="13"/>
    </row>
    <row r="24774" spans="4:38" x14ac:dyDescent="0.3">
      <c r="D24774" s="1"/>
      <c r="G24774" s="13"/>
      <c r="AL24774" s="13"/>
    </row>
    <row r="24775" spans="4:38" x14ac:dyDescent="0.3">
      <c r="D24775" s="1"/>
      <c r="G24775" s="13"/>
      <c r="AL24775" s="13"/>
    </row>
    <row r="24776" spans="4:38" x14ac:dyDescent="0.3">
      <c r="D24776" s="1"/>
      <c r="G24776" s="13"/>
      <c r="AL24776" s="13"/>
    </row>
    <row r="24777" spans="4:38" x14ac:dyDescent="0.3">
      <c r="D24777" s="1"/>
      <c r="G24777" s="13"/>
      <c r="AL24777" s="13"/>
    </row>
    <row r="24778" spans="4:38" x14ac:dyDescent="0.3">
      <c r="D24778" s="1"/>
      <c r="G24778" s="13"/>
      <c r="AL24778" s="13"/>
    </row>
    <row r="24779" spans="4:38" x14ac:dyDescent="0.3">
      <c r="D24779" s="1"/>
      <c r="G24779" s="13"/>
      <c r="AL24779" s="13"/>
    </row>
    <row r="24780" spans="4:38" x14ac:dyDescent="0.3">
      <c r="D24780" s="1"/>
      <c r="G24780" s="13"/>
      <c r="AL24780" s="13"/>
    </row>
    <row r="24781" spans="4:38" x14ac:dyDescent="0.3">
      <c r="D24781" s="1"/>
      <c r="G24781" s="13"/>
      <c r="AL24781" s="13"/>
    </row>
    <row r="24782" spans="4:38" x14ac:dyDescent="0.3">
      <c r="D24782" s="1"/>
      <c r="G24782" s="13"/>
      <c r="AL24782" s="13"/>
    </row>
    <row r="24783" spans="4:38" x14ac:dyDescent="0.3">
      <c r="D24783" s="1"/>
      <c r="G24783" s="13"/>
      <c r="AL24783" s="13"/>
    </row>
    <row r="24784" spans="4:38" x14ac:dyDescent="0.3">
      <c r="D24784" s="1"/>
      <c r="G24784" s="13"/>
      <c r="AL24784" s="13"/>
    </row>
    <row r="24785" spans="4:38" x14ac:dyDescent="0.3">
      <c r="D24785" s="1"/>
      <c r="G24785" s="13"/>
      <c r="AL24785" s="13"/>
    </row>
    <row r="24786" spans="4:38" x14ac:dyDescent="0.3">
      <c r="D24786" s="1"/>
      <c r="G24786" s="13"/>
      <c r="AL24786" s="13"/>
    </row>
    <row r="24787" spans="4:38" x14ac:dyDescent="0.3">
      <c r="D24787" s="1"/>
      <c r="G24787" s="13"/>
      <c r="AL24787" s="13"/>
    </row>
    <row r="24788" spans="4:38" x14ac:dyDescent="0.3">
      <c r="D24788" s="1"/>
      <c r="G24788" s="13"/>
      <c r="AL24788" s="13"/>
    </row>
    <row r="24789" spans="4:38" x14ac:dyDescent="0.3">
      <c r="D24789" s="1"/>
      <c r="G24789" s="13"/>
      <c r="AL24789" s="13"/>
    </row>
    <row r="24790" spans="4:38" x14ac:dyDescent="0.3">
      <c r="D24790" s="1"/>
      <c r="G24790" s="13"/>
      <c r="AL24790" s="13"/>
    </row>
    <row r="24791" spans="4:38" x14ac:dyDescent="0.3">
      <c r="D24791" s="1"/>
      <c r="G24791" s="13"/>
      <c r="AL24791" s="13"/>
    </row>
    <row r="24792" spans="4:38" x14ac:dyDescent="0.3">
      <c r="D24792" s="1"/>
      <c r="G24792" s="13"/>
      <c r="AL24792" s="13"/>
    </row>
    <row r="24793" spans="4:38" x14ac:dyDescent="0.3">
      <c r="D24793" s="1"/>
      <c r="G24793" s="13"/>
      <c r="AL24793" s="13"/>
    </row>
    <row r="24794" spans="4:38" x14ac:dyDescent="0.3">
      <c r="D24794" s="1"/>
      <c r="G24794" s="13"/>
      <c r="AL24794" s="13"/>
    </row>
    <row r="24795" spans="4:38" x14ac:dyDescent="0.3">
      <c r="D24795" s="1"/>
      <c r="G24795" s="13"/>
      <c r="AL24795" s="13"/>
    </row>
    <row r="24796" spans="4:38" x14ac:dyDescent="0.3">
      <c r="D24796" s="1"/>
      <c r="G24796" s="13"/>
      <c r="AL24796" s="13"/>
    </row>
    <row r="24797" spans="4:38" x14ac:dyDescent="0.3">
      <c r="D24797" s="1"/>
      <c r="G24797" s="13"/>
      <c r="AL24797" s="13"/>
    </row>
    <row r="24798" spans="4:38" x14ac:dyDescent="0.3">
      <c r="D24798" s="1"/>
      <c r="G24798" s="13"/>
      <c r="AL24798" s="13"/>
    </row>
    <row r="24799" spans="4:38" x14ac:dyDescent="0.3">
      <c r="D24799" s="1"/>
      <c r="G24799" s="13"/>
      <c r="AL24799" s="13"/>
    </row>
    <row r="24800" spans="4:38" x14ac:dyDescent="0.3">
      <c r="D24800" s="1"/>
      <c r="G24800" s="13"/>
      <c r="AL24800" s="13"/>
    </row>
    <row r="24801" spans="4:38" x14ac:dyDescent="0.3">
      <c r="D24801" s="1"/>
      <c r="G24801" s="13"/>
      <c r="AL24801" s="13"/>
    </row>
    <row r="24802" spans="4:38" x14ac:dyDescent="0.3">
      <c r="D24802" s="1"/>
      <c r="G24802" s="13"/>
      <c r="AL24802" s="13"/>
    </row>
    <row r="24803" spans="4:38" x14ac:dyDescent="0.3">
      <c r="D24803" s="1"/>
      <c r="G24803" s="13"/>
      <c r="AL24803" s="13"/>
    </row>
    <row r="24804" spans="4:38" x14ac:dyDescent="0.3">
      <c r="D24804" s="1"/>
      <c r="G24804" s="13"/>
      <c r="AL24804" s="13"/>
    </row>
    <row r="24805" spans="4:38" x14ac:dyDescent="0.3">
      <c r="D24805" s="1"/>
      <c r="G24805" s="13"/>
      <c r="AL24805" s="13"/>
    </row>
    <row r="24806" spans="4:38" x14ac:dyDescent="0.3">
      <c r="D24806" s="1"/>
      <c r="G24806" s="13"/>
      <c r="AL24806" s="13"/>
    </row>
    <row r="24807" spans="4:38" x14ac:dyDescent="0.3">
      <c r="D24807" s="1"/>
      <c r="G24807" s="13"/>
      <c r="AL24807" s="13"/>
    </row>
    <row r="24808" spans="4:38" x14ac:dyDescent="0.3">
      <c r="D24808" s="1"/>
      <c r="G24808" s="13"/>
      <c r="AL24808" s="13"/>
    </row>
    <row r="24809" spans="4:38" x14ac:dyDescent="0.3">
      <c r="D24809" s="1"/>
      <c r="G24809" s="13"/>
      <c r="AL24809" s="13"/>
    </row>
    <row r="24810" spans="4:38" x14ac:dyDescent="0.3">
      <c r="D24810" s="1"/>
      <c r="G24810" s="13"/>
      <c r="AL24810" s="13"/>
    </row>
    <row r="24811" spans="4:38" x14ac:dyDescent="0.3">
      <c r="D24811" s="1"/>
      <c r="G24811" s="13"/>
      <c r="AL24811" s="13"/>
    </row>
    <row r="24812" spans="4:38" x14ac:dyDescent="0.3">
      <c r="D24812" s="1"/>
      <c r="G24812" s="13"/>
      <c r="AL24812" s="13"/>
    </row>
    <row r="24813" spans="4:38" x14ac:dyDescent="0.3">
      <c r="D24813" s="1"/>
      <c r="G24813" s="13"/>
      <c r="AL24813" s="13"/>
    </row>
    <row r="24814" spans="4:38" x14ac:dyDescent="0.3">
      <c r="D24814" s="1"/>
      <c r="G24814" s="13"/>
      <c r="AL24814" s="13"/>
    </row>
    <row r="24815" spans="4:38" x14ac:dyDescent="0.3">
      <c r="D24815" s="1"/>
      <c r="G24815" s="13"/>
      <c r="AL24815" s="13"/>
    </row>
    <row r="24816" spans="4:38" x14ac:dyDescent="0.3">
      <c r="D24816" s="1"/>
      <c r="G24816" s="13"/>
      <c r="AL24816" s="13"/>
    </row>
    <row r="24817" spans="4:38" x14ac:dyDescent="0.3">
      <c r="D24817" s="1"/>
      <c r="G24817" s="13"/>
      <c r="AL24817" s="13"/>
    </row>
    <row r="24818" spans="4:38" x14ac:dyDescent="0.3">
      <c r="D24818" s="1"/>
      <c r="G24818" s="13"/>
      <c r="AL24818" s="13"/>
    </row>
    <row r="24819" spans="4:38" x14ac:dyDescent="0.3">
      <c r="D24819" s="1"/>
      <c r="G24819" s="13"/>
      <c r="AL24819" s="13"/>
    </row>
    <row r="24820" spans="4:38" x14ac:dyDescent="0.3">
      <c r="D24820" s="1"/>
      <c r="G24820" s="13"/>
      <c r="AL24820" s="13"/>
    </row>
    <row r="24821" spans="4:38" x14ac:dyDescent="0.3">
      <c r="D24821" s="1"/>
      <c r="G24821" s="13"/>
      <c r="AL24821" s="13"/>
    </row>
    <row r="24822" spans="4:38" x14ac:dyDescent="0.3">
      <c r="D24822" s="1"/>
      <c r="G24822" s="13"/>
      <c r="AL24822" s="13"/>
    </row>
    <row r="24823" spans="4:38" x14ac:dyDescent="0.3">
      <c r="D24823" s="1"/>
      <c r="G24823" s="13"/>
      <c r="AL24823" s="13"/>
    </row>
    <row r="24824" spans="4:38" x14ac:dyDescent="0.3">
      <c r="D24824" s="1"/>
      <c r="G24824" s="13"/>
      <c r="AL24824" s="13"/>
    </row>
    <row r="24825" spans="4:38" x14ac:dyDescent="0.3">
      <c r="D24825" s="1"/>
      <c r="G24825" s="13"/>
      <c r="AL24825" s="13"/>
    </row>
    <row r="24826" spans="4:38" x14ac:dyDescent="0.3">
      <c r="D24826" s="1"/>
      <c r="G24826" s="13"/>
      <c r="AL24826" s="13"/>
    </row>
    <row r="24827" spans="4:38" x14ac:dyDescent="0.3">
      <c r="D24827" s="1"/>
      <c r="G24827" s="13"/>
      <c r="AL24827" s="13"/>
    </row>
    <row r="24828" spans="4:38" x14ac:dyDescent="0.3">
      <c r="D24828" s="1"/>
      <c r="G24828" s="13"/>
      <c r="AL24828" s="13"/>
    </row>
    <row r="24829" spans="4:38" x14ac:dyDescent="0.3">
      <c r="D24829" s="1"/>
      <c r="G24829" s="13"/>
      <c r="AL24829" s="13"/>
    </row>
    <row r="24830" spans="4:38" x14ac:dyDescent="0.3">
      <c r="D24830" s="1"/>
      <c r="G24830" s="13"/>
      <c r="AL24830" s="13"/>
    </row>
    <row r="24831" spans="4:38" x14ac:dyDescent="0.3">
      <c r="D24831" s="1"/>
      <c r="G24831" s="13"/>
      <c r="AL24831" s="13"/>
    </row>
    <row r="24832" spans="4:38" x14ac:dyDescent="0.3">
      <c r="D24832" s="1"/>
      <c r="G24832" s="13"/>
      <c r="AL24832" s="13"/>
    </row>
    <row r="24833" spans="4:38" x14ac:dyDescent="0.3">
      <c r="D24833" s="1"/>
      <c r="G24833" s="13"/>
      <c r="AL24833" s="13"/>
    </row>
    <row r="24834" spans="4:38" x14ac:dyDescent="0.3">
      <c r="D24834" s="1"/>
      <c r="G24834" s="13"/>
      <c r="AL24834" s="13"/>
    </row>
    <row r="24835" spans="4:38" x14ac:dyDescent="0.3">
      <c r="D24835" s="1"/>
      <c r="G24835" s="13"/>
      <c r="AL24835" s="13"/>
    </row>
    <row r="24836" spans="4:38" x14ac:dyDescent="0.3">
      <c r="D24836" s="1"/>
      <c r="G24836" s="13"/>
      <c r="AL24836" s="13"/>
    </row>
    <row r="24837" spans="4:38" x14ac:dyDescent="0.3">
      <c r="D24837" s="1"/>
      <c r="G24837" s="13"/>
      <c r="AL24837" s="13"/>
    </row>
    <row r="24838" spans="4:38" x14ac:dyDescent="0.3">
      <c r="D24838" s="1"/>
      <c r="G24838" s="13"/>
      <c r="AL24838" s="13"/>
    </row>
    <row r="24839" spans="4:38" x14ac:dyDescent="0.3">
      <c r="D24839" s="1"/>
      <c r="G24839" s="13"/>
      <c r="AL24839" s="13"/>
    </row>
    <row r="24840" spans="4:38" x14ac:dyDescent="0.3">
      <c r="D24840" s="1"/>
      <c r="G24840" s="13"/>
      <c r="AL24840" s="13"/>
    </row>
    <row r="24841" spans="4:38" x14ac:dyDescent="0.3">
      <c r="D24841" s="1"/>
      <c r="G24841" s="13"/>
      <c r="AL24841" s="13"/>
    </row>
    <row r="24842" spans="4:38" x14ac:dyDescent="0.3">
      <c r="D24842" s="1"/>
      <c r="G24842" s="13"/>
      <c r="AL24842" s="13"/>
    </row>
    <row r="24843" spans="4:38" x14ac:dyDescent="0.3">
      <c r="D24843" s="1"/>
      <c r="G24843" s="13"/>
      <c r="AL24843" s="13"/>
    </row>
    <row r="24844" spans="4:38" x14ac:dyDescent="0.3">
      <c r="D24844" s="1"/>
      <c r="G24844" s="13"/>
      <c r="AL24844" s="13"/>
    </row>
    <row r="24845" spans="4:38" x14ac:dyDescent="0.3">
      <c r="D24845" s="1"/>
      <c r="G24845" s="13"/>
      <c r="AL24845" s="13"/>
    </row>
    <row r="24846" spans="4:38" x14ac:dyDescent="0.3">
      <c r="D24846" s="1"/>
      <c r="G24846" s="13"/>
      <c r="AL24846" s="13"/>
    </row>
    <row r="24847" spans="4:38" x14ac:dyDescent="0.3">
      <c r="D24847" s="1"/>
      <c r="G24847" s="13"/>
      <c r="AL24847" s="13"/>
    </row>
    <row r="24848" spans="4:38" x14ac:dyDescent="0.3">
      <c r="D24848" s="1"/>
      <c r="G24848" s="13"/>
      <c r="AL24848" s="13"/>
    </row>
    <row r="24849" spans="4:38" x14ac:dyDescent="0.3">
      <c r="D24849" s="1"/>
      <c r="G24849" s="13"/>
      <c r="AL24849" s="13"/>
    </row>
    <row r="24850" spans="4:38" x14ac:dyDescent="0.3">
      <c r="D24850" s="1"/>
      <c r="G24850" s="13"/>
      <c r="AL24850" s="13"/>
    </row>
    <row r="24851" spans="4:38" x14ac:dyDescent="0.3">
      <c r="D24851" s="1"/>
      <c r="G24851" s="13"/>
      <c r="AL24851" s="13"/>
    </row>
    <row r="24852" spans="4:38" x14ac:dyDescent="0.3">
      <c r="D24852" s="1"/>
      <c r="G24852" s="13"/>
      <c r="AL24852" s="13"/>
    </row>
    <row r="24853" spans="4:38" x14ac:dyDescent="0.3">
      <c r="D24853" s="1"/>
      <c r="G24853" s="13"/>
      <c r="AL24853" s="13"/>
    </row>
    <row r="24854" spans="4:38" x14ac:dyDescent="0.3">
      <c r="D24854" s="1"/>
      <c r="G24854" s="13"/>
      <c r="AL24854" s="13"/>
    </row>
    <row r="24855" spans="4:38" x14ac:dyDescent="0.3">
      <c r="D24855" s="1"/>
      <c r="G24855" s="13"/>
      <c r="AL24855" s="13"/>
    </row>
    <row r="24856" spans="4:38" x14ac:dyDescent="0.3">
      <c r="D24856" s="1"/>
      <c r="G24856" s="13"/>
      <c r="AL24856" s="13"/>
    </row>
    <row r="24857" spans="4:38" x14ac:dyDescent="0.3">
      <c r="D24857" s="1"/>
      <c r="G24857" s="13"/>
      <c r="AL24857" s="13"/>
    </row>
    <row r="24858" spans="4:38" x14ac:dyDescent="0.3">
      <c r="D24858" s="1"/>
      <c r="G24858" s="13"/>
      <c r="AL24858" s="13"/>
    </row>
    <row r="24859" spans="4:38" x14ac:dyDescent="0.3">
      <c r="D24859" s="1"/>
      <c r="G24859" s="13"/>
      <c r="AL24859" s="13"/>
    </row>
    <row r="24860" spans="4:38" x14ac:dyDescent="0.3">
      <c r="D24860" s="1"/>
      <c r="G24860" s="13"/>
      <c r="AL24860" s="13"/>
    </row>
    <row r="24861" spans="4:38" x14ac:dyDescent="0.3">
      <c r="D24861" s="1"/>
      <c r="G24861" s="13"/>
      <c r="AL24861" s="13"/>
    </row>
    <row r="24862" spans="4:38" x14ac:dyDescent="0.3">
      <c r="D24862" s="1"/>
      <c r="G24862" s="13"/>
      <c r="AL24862" s="13"/>
    </row>
    <row r="24863" spans="4:38" x14ac:dyDescent="0.3">
      <c r="D24863" s="1"/>
      <c r="G24863" s="13"/>
      <c r="AL24863" s="13"/>
    </row>
    <row r="24864" spans="4:38" x14ac:dyDescent="0.3">
      <c r="D24864" s="1"/>
      <c r="G24864" s="13"/>
      <c r="AL24864" s="13"/>
    </row>
    <row r="24865" spans="4:38" x14ac:dyDescent="0.3">
      <c r="D24865" s="1"/>
      <c r="G24865" s="13"/>
      <c r="AL24865" s="13"/>
    </row>
    <row r="24866" spans="4:38" x14ac:dyDescent="0.3">
      <c r="D24866" s="1"/>
      <c r="G24866" s="13"/>
      <c r="AL24866" s="13"/>
    </row>
    <row r="24867" spans="4:38" x14ac:dyDescent="0.3">
      <c r="D24867" s="1"/>
      <c r="G24867" s="13"/>
      <c r="AL24867" s="13"/>
    </row>
    <row r="24868" spans="4:38" x14ac:dyDescent="0.3">
      <c r="D24868" s="1"/>
      <c r="G24868" s="13"/>
      <c r="AL24868" s="13"/>
    </row>
    <row r="24869" spans="4:38" x14ac:dyDescent="0.3">
      <c r="D24869" s="1"/>
      <c r="G24869" s="13"/>
      <c r="AL24869" s="13"/>
    </row>
    <row r="24870" spans="4:38" x14ac:dyDescent="0.3">
      <c r="D24870" s="1"/>
      <c r="G24870" s="13"/>
      <c r="AL24870" s="13"/>
    </row>
    <row r="24871" spans="4:38" x14ac:dyDescent="0.3">
      <c r="D24871" s="1"/>
      <c r="G24871" s="13"/>
      <c r="AL24871" s="13"/>
    </row>
    <row r="24872" spans="4:38" x14ac:dyDescent="0.3">
      <c r="D24872" s="1"/>
      <c r="G24872" s="13"/>
      <c r="AL24872" s="13"/>
    </row>
    <row r="24873" spans="4:38" x14ac:dyDescent="0.3">
      <c r="D24873" s="1"/>
      <c r="G24873" s="13"/>
      <c r="AL24873" s="13"/>
    </row>
    <row r="24874" spans="4:38" x14ac:dyDescent="0.3">
      <c r="D24874" s="1"/>
      <c r="G24874" s="13"/>
      <c r="AL24874" s="13"/>
    </row>
    <row r="24875" spans="4:38" x14ac:dyDescent="0.3">
      <c r="D24875" s="1"/>
      <c r="G24875" s="13"/>
      <c r="AL24875" s="13"/>
    </row>
    <row r="24876" spans="4:38" x14ac:dyDescent="0.3">
      <c r="D24876" s="1"/>
      <c r="G24876" s="13"/>
      <c r="AL24876" s="13"/>
    </row>
    <row r="24877" spans="4:38" x14ac:dyDescent="0.3">
      <c r="D24877" s="1"/>
      <c r="G24877" s="13"/>
      <c r="AL24877" s="13"/>
    </row>
    <row r="24878" spans="4:38" x14ac:dyDescent="0.3">
      <c r="D24878" s="1"/>
      <c r="G24878" s="13"/>
      <c r="AL24878" s="13"/>
    </row>
    <row r="24879" spans="4:38" x14ac:dyDescent="0.3">
      <c r="D24879" s="1"/>
      <c r="G24879" s="13"/>
      <c r="AL24879" s="13"/>
    </row>
    <row r="24880" spans="4:38" x14ac:dyDescent="0.3">
      <c r="D24880" s="1"/>
      <c r="G24880" s="13"/>
      <c r="AL24880" s="13"/>
    </row>
    <row r="24881" spans="4:38" x14ac:dyDescent="0.3">
      <c r="D24881" s="1"/>
      <c r="G24881" s="13"/>
      <c r="AL24881" s="13"/>
    </row>
    <row r="24882" spans="4:38" x14ac:dyDescent="0.3">
      <c r="D24882" s="1"/>
      <c r="G24882" s="13"/>
      <c r="AL24882" s="13"/>
    </row>
    <row r="24883" spans="4:38" x14ac:dyDescent="0.3">
      <c r="D24883" s="1"/>
      <c r="G24883" s="13"/>
      <c r="AL24883" s="13"/>
    </row>
    <row r="24884" spans="4:38" x14ac:dyDescent="0.3">
      <c r="D24884" s="1"/>
      <c r="G24884" s="13"/>
      <c r="AL24884" s="13"/>
    </row>
    <row r="24885" spans="4:38" x14ac:dyDescent="0.3">
      <c r="D24885" s="1"/>
      <c r="G24885" s="13"/>
      <c r="AL24885" s="13"/>
    </row>
    <row r="24886" spans="4:38" x14ac:dyDescent="0.3">
      <c r="D24886" s="1"/>
      <c r="G24886" s="13"/>
      <c r="AL24886" s="13"/>
    </row>
    <row r="24887" spans="4:38" x14ac:dyDescent="0.3">
      <c r="D24887" s="1"/>
      <c r="G24887" s="13"/>
      <c r="AL24887" s="13"/>
    </row>
    <row r="24888" spans="4:38" x14ac:dyDescent="0.3">
      <c r="D24888" s="1"/>
      <c r="G24888" s="13"/>
      <c r="AL24888" s="13"/>
    </row>
    <row r="24889" spans="4:38" x14ac:dyDescent="0.3">
      <c r="D24889" s="1"/>
      <c r="G24889" s="13"/>
      <c r="AL24889" s="13"/>
    </row>
    <row r="24890" spans="4:38" x14ac:dyDescent="0.3">
      <c r="D24890" s="1"/>
      <c r="G24890" s="13"/>
      <c r="AL24890" s="13"/>
    </row>
    <row r="24891" spans="4:38" x14ac:dyDescent="0.3">
      <c r="D24891" s="1"/>
      <c r="G24891" s="13"/>
      <c r="AL24891" s="13"/>
    </row>
    <row r="24892" spans="4:38" x14ac:dyDescent="0.3">
      <c r="D24892" s="1"/>
      <c r="G24892" s="13"/>
      <c r="AL24892" s="13"/>
    </row>
    <row r="24893" spans="4:38" x14ac:dyDescent="0.3">
      <c r="D24893" s="1"/>
      <c r="G24893" s="13"/>
      <c r="AL24893" s="13"/>
    </row>
    <row r="24894" spans="4:38" x14ac:dyDescent="0.3">
      <c r="D24894" s="1"/>
      <c r="G24894" s="13"/>
      <c r="AL24894" s="13"/>
    </row>
    <row r="24895" spans="4:38" x14ac:dyDescent="0.3">
      <c r="D24895" s="1"/>
      <c r="G24895" s="13"/>
      <c r="AL24895" s="13"/>
    </row>
    <row r="24896" spans="4:38" x14ac:dyDescent="0.3">
      <c r="D24896" s="1"/>
      <c r="G24896" s="13"/>
      <c r="AL24896" s="13"/>
    </row>
    <row r="24897" spans="4:38" x14ac:dyDescent="0.3">
      <c r="D24897" s="1"/>
      <c r="G24897" s="13"/>
      <c r="AL24897" s="13"/>
    </row>
    <row r="24898" spans="4:38" x14ac:dyDescent="0.3">
      <c r="D24898" s="1"/>
      <c r="G24898" s="13"/>
      <c r="AL24898" s="13"/>
    </row>
    <row r="24899" spans="4:38" x14ac:dyDescent="0.3">
      <c r="D24899" s="1"/>
      <c r="G24899" s="13"/>
      <c r="AL24899" s="13"/>
    </row>
    <row r="24900" spans="4:38" x14ac:dyDescent="0.3">
      <c r="D24900" s="1"/>
      <c r="G24900" s="13"/>
      <c r="AL24900" s="13"/>
    </row>
    <row r="24901" spans="4:38" x14ac:dyDescent="0.3">
      <c r="D24901" s="1"/>
      <c r="G24901" s="13"/>
      <c r="AL24901" s="13"/>
    </row>
    <row r="24902" spans="4:38" x14ac:dyDescent="0.3">
      <c r="D24902" s="1"/>
      <c r="G24902" s="13"/>
      <c r="AL24902" s="13"/>
    </row>
    <row r="24903" spans="4:38" x14ac:dyDescent="0.3">
      <c r="D24903" s="1"/>
      <c r="G24903" s="13"/>
      <c r="AL24903" s="13"/>
    </row>
    <row r="24904" spans="4:38" x14ac:dyDescent="0.3">
      <c r="D24904" s="1"/>
      <c r="G24904" s="13"/>
      <c r="AL24904" s="13"/>
    </row>
    <row r="24905" spans="4:38" x14ac:dyDescent="0.3">
      <c r="D24905" s="1"/>
      <c r="G24905" s="13"/>
      <c r="AL24905" s="13"/>
    </row>
    <row r="24906" spans="4:38" x14ac:dyDescent="0.3">
      <c r="D24906" s="1"/>
      <c r="G24906" s="13"/>
      <c r="AL24906" s="13"/>
    </row>
    <row r="24907" spans="4:38" x14ac:dyDescent="0.3">
      <c r="D24907" s="1"/>
      <c r="G24907" s="13"/>
      <c r="AL24907" s="13"/>
    </row>
    <row r="24908" spans="4:38" x14ac:dyDescent="0.3">
      <c r="D24908" s="1"/>
      <c r="G24908" s="13"/>
      <c r="AL24908" s="13"/>
    </row>
    <row r="24909" spans="4:38" x14ac:dyDescent="0.3">
      <c r="D24909" s="1"/>
      <c r="G24909" s="13"/>
      <c r="AL24909" s="13"/>
    </row>
    <row r="24910" spans="4:38" x14ac:dyDescent="0.3">
      <c r="D24910" s="1"/>
      <c r="G24910" s="13"/>
      <c r="AL24910" s="13"/>
    </row>
    <row r="24911" spans="4:38" x14ac:dyDescent="0.3">
      <c r="D24911" s="1"/>
      <c r="G24911" s="13"/>
      <c r="AL24911" s="13"/>
    </row>
    <row r="24912" spans="4:38" x14ac:dyDescent="0.3">
      <c r="D24912" s="1"/>
      <c r="G24912" s="13"/>
      <c r="AL24912" s="13"/>
    </row>
    <row r="24913" spans="4:38" x14ac:dyDescent="0.3">
      <c r="D24913" s="1"/>
      <c r="G24913" s="13"/>
      <c r="AL24913" s="13"/>
    </row>
    <row r="24914" spans="4:38" x14ac:dyDescent="0.3">
      <c r="D24914" s="1"/>
      <c r="G24914" s="13"/>
      <c r="AL24914" s="13"/>
    </row>
    <row r="24915" spans="4:38" x14ac:dyDescent="0.3">
      <c r="D24915" s="1"/>
      <c r="G24915" s="13"/>
      <c r="AL24915" s="13"/>
    </row>
    <row r="24916" spans="4:38" x14ac:dyDescent="0.3">
      <c r="D24916" s="1"/>
      <c r="G24916" s="13"/>
      <c r="AL24916" s="13"/>
    </row>
    <row r="24917" spans="4:38" x14ac:dyDescent="0.3">
      <c r="D24917" s="1"/>
      <c r="G24917" s="13"/>
      <c r="AL24917" s="13"/>
    </row>
    <row r="24918" spans="4:38" x14ac:dyDescent="0.3">
      <c r="D24918" s="1"/>
      <c r="G24918" s="13"/>
      <c r="AL24918" s="13"/>
    </row>
    <row r="24919" spans="4:38" x14ac:dyDescent="0.3">
      <c r="D24919" s="1"/>
      <c r="G24919" s="13"/>
      <c r="AL24919" s="13"/>
    </row>
    <row r="24920" spans="4:38" x14ac:dyDescent="0.3">
      <c r="D24920" s="1"/>
      <c r="G24920" s="13"/>
      <c r="AL24920" s="13"/>
    </row>
    <row r="24921" spans="4:38" x14ac:dyDescent="0.3">
      <c r="D24921" s="1"/>
      <c r="G24921" s="13"/>
      <c r="AL24921" s="13"/>
    </row>
    <row r="24922" spans="4:38" x14ac:dyDescent="0.3">
      <c r="D24922" s="1"/>
      <c r="G24922" s="13"/>
      <c r="AL24922" s="13"/>
    </row>
    <row r="24923" spans="4:38" x14ac:dyDescent="0.3">
      <c r="D24923" s="1"/>
      <c r="G24923" s="13"/>
      <c r="AL24923" s="13"/>
    </row>
    <row r="24924" spans="4:38" x14ac:dyDescent="0.3">
      <c r="D24924" s="1"/>
      <c r="G24924" s="13"/>
      <c r="AL24924" s="13"/>
    </row>
    <row r="24925" spans="4:38" x14ac:dyDescent="0.3">
      <c r="D24925" s="1"/>
      <c r="G24925" s="13"/>
      <c r="AL24925" s="13"/>
    </row>
    <row r="24926" spans="4:38" x14ac:dyDescent="0.3">
      <c r="D24926" s="1"/>
      <c r="G24926" s="13"/>
      <c r="AL24926" s="13"/>
    </row>
    <row r="24927" spans="4:38" x14ac:dyDescent="0.3">
      <c r="D24927" s="1"/>
      <c r="G24927" s="13"/>
      <c r="AL24927" s="13"/>
    </row>
    <row r="24928" spans="4:38" x14ac:dyDescent="0.3">
      <c r="D24928" s="1"/>
      <c r="G24928" s="13"/>
      <c r="AL24928" s="13"/>
    </row>
    <row r="24929" spans="4:38" x14ac:dyDescent="0.3">
      <c r="D24929" s="1"/>
      <c r="G24929" s="13"/>
      <c r="AL24929" s="13"/>
    </row>
    <row r="24930" spans="4:38" x14ac:dyDescent="0.3">
      <c r="D24930" s="1"/>
      <c r="G24930" s="13"/>
      <c r="AL24930" s="13"/>
    </row>
    <row r="24931" spans="4:38" x14ac:dyDescent="0.3">
      <c r="D24931" s="1"/>
      <c r="G24931" s="13"/>
      <c r="AL24931" s="13"/>
    </row>
    <row r="24932" spans="4:38" x14ac:dyDescent="0.3">
      <c r="D24932" s="1"/>
      <c r="G24932" s="13"/>
      <c r="AL24932" s="13"/>
    </row>
    <row r="24933" spans="4:38" x14ac:dyDescent="0.3">
      <c r="D24933" s="1"/>
      <c r="G24933" s="13"/>
      <c r="AL24933" s="13"/>
    </row>
    <row r="24934" spans="4:38" x14ac:dyDescent="0.3">
      <c r="D24934" s="1"/>
      <c r="G24934" s="13"/>
      <c r="AL24934" s="13"/>
    </row>
    <row r="24935" spans="4:38" x14ac:dyDescent="0.3">
      <c r="D24935" s="1"/>
      <c r="G24935" s="13"/>
      <c r="AL24935" s="13"/>
    </row>
    <row r="24936" spans="4:38" x14ac:dyDescent="0.3">
      <c r="D24936" s="1"/>
      <c r="G24936" s="13"/>
      <c r="AL24936" s="13"/>
    </row>
    <row r="24937" spans="4:38" x14ac:dyDescent="0.3">
      <c r="D24937" s="1"/>
      <c r="G24937" s="13"/>
      <c r="AL24937" s="13"/>
    </row>
    <row r="24938" spans="4:38" x14ac:dyDescent="0.3">
      <c r="D24938" s="1"/>
      <c r="G24938" s="13"/>
      <c r="AL24938" s="13"/>
    </row>
    <row r="24939" spans="4:38" x14ac:dyDescent="0.3">
      <c r="D24939" s="1"/>
      <c r="G24939" s="13"/>
      <c r="AL24939" s="13"/>
    </row>
    <row r="24940" spans="4:38" x14ac:dyDescent="0.3">
      <c r="D24940" s="1"/>
      <c r="G24940" s="13"/>
      <c r="AL24940" s="13"/>
    </row>
    <row r="24941" spans="4:38" x14ac:dyDescent="0.3">
      <c r="D24941" s="1"/>
      <c r="G24941" s="13"/>
      <c r="AL24941" s="13"/>
    </row>
    <row r="24942" spans="4:38" x14ac:dyDescent="0.3">
      <c r="D24942" s="1"/>
      <c r="G24942" s="13"/>
      <c r="AL24942" s="13"/>
    </row>
    <row r="24943" spans="4:38" x14ac:dyDescent="0.3">
      <c r="D24943" s="1"/>
      <c r="G24943" s="13"/>
      <c r="AL24943" s="13"/>
    </row>
    <row r="24944" spans="4:38" x14ac:dyDescent="0.3">
      <c r="D24944" s="1"/>
      <c r="G24944" s="13"/>
      <c r="AL24944" s="13"/>
    </row>
    <row r="24945" spans="4:38" x14ac:dyDescent="0.3">
      <c r="D24945" s="1"/>
      <c r="G24945" s="13"/>
      <c r="AL24945" s="13"/>
    </row>
    <row r="24946" spans="4:38" x14ac:dyDescent="0.3">
      <c r="D24946" s="1"/>
      <c r="G24946" s="13"/>
      <c r="AL24946" s="13"/>
    </row>
    <row r="24947" spans="4:38" x14ac:dyDescent="0.3">
      <c r="D24947" s="1"/>
      <c r="G24947" s="13"/>
      <c r="AL24947" s="13"/>
    </row>
    <row r="24948" spans="4:38" x14ac:dyDescent="0.3">
      <c r="D24948" s="1"/>
      <c r="G24948" s="13"/>
      <c r="AL24948" s="13"/>
    </row>
    <row r="24949" spans="4:38" x14ac:dyDescent="0.3">
      <c r="D24949" s="1"/>
      <c r="G24949" s="13"/>
      <c r="AL24949" s="13"/>
    </row>
    <row r="24950" spans="4:38" x14ac:dyDescent="0.3">
      <c r="D24950" s="1"/>
      <c r="G24950" s="13"/>
      <c r="AL24950" s="13"/>
    </row>
    <row r="24951" spans="4:38" x14ac:dyDescent="0.3">
      <c r="D24951" s="1"/>
      <c r="G24951" s="13"/>
      <c r="AL24951" s="13"/>
    </row>
    <row r="24952" spans="4:38" x14ac:dyDescent="0.3">
      <c r="D24952" s="1"/>
      <c r="G24952" s="13"/>
      <c r="AL24952" s="13"/>
    </row>
    <row r="24953" spans="4:38" x14ac:dyDescent="0.3">
      <c r="D24953" s="1"/>
      <c r="G24953" s="13"/>
      <c r="AL24953" s="13"/>
    </row>
    <row r="24954" spans="4:38" x14ac:dyDescent="0.3">
      <c r="D24954" s="1"/>
      <c r="G24954" s="13"/>
      <c r="AL24954" s="13"/>
    </row>
    <row r="24955" spans="4:38" x14ac:dyDescent="0.3">
      <c r="D24955" s="1"/>
      <c r="G24955" s="13"/>
      <c r="AL24955" s="13"/>
    </row>
    <row r="24956" spans="4:38" x14ac:dyDescent="0.3">
      <c r="D24956" s="1"/>
      <c r="G24956" s="13"/>
      <c r="AL24956" s="13"/>
    </row>
    <row r="24957" spans="4:38" x14ac:dyDescent="0.3">
      <c r="D24957" s="1"/>
      <c r="G24957" s="13"/>
      <c r="AL24957" s="13"/>
    </row>
    <row r="24958" spans="4:38" x14ac:dyDescent="0.3">
      <c r="D24958" s="1"/>
      <c r="G24958" s="13"/>
      <c r="AL24958" s="13"/>
    </row>
    <row r="24959" spans="4:38" x14ac:dyDescent="0.3">
      <c r="D24959" s="1"/>
      <c r="G24959" s="13"/>
      <c r="AL24959" s="13"/>
    </row>
    <row r="24960" spans="4:38" x14ac:dyDescent="0.3">
      <c r="D24960" s="1"/>
      <c r="G24960" s="13"/>
      <c r="AL24960" s="13"/>
    </row>
    <row r="24961" spans="4:38" x14ac:dyDescent="0.3">
      <c r="D24961" s="1"/>
      <c r="G24961" s="13"/>
      <c r="AL24961" s="13"/>
    </row>
    <row r="24962" spans="4:38" x14ac:dyDescent="0.3">
      <c r="D24962" s="1"/>
      <c r="G24962" s="13"/>
      <c r="AL24962" s="13"/>
    </row>
    <row r="24963" spans="4:38" x14ac:dyDescent="0.3">
      <c r="D24963" s="1"/>
      <c r="G24963" s="13"/>
      <c r="AL24963" s="13"/>
    </row>
    <row r="24964" spans="4:38" x14ac:dyDescent="0.3">
      <c r="D24964" s="1"/>
      <c r="G24964" s="13"/>
      <c r="AL24964" s="13"/>
    </row>
    <row r="24965" spans="4:38" x14ac:dyDescent="0.3">
      <c r="D24965" s="1"/>
      <c r="G24965" s="13"/>
      <c r="AL24965" s="13"/>
    </row>
    <row r="24966" spans="4:38" x14ac:dyDescent="0.3">
      <c r="D24966" s="1"/>
      <c r="G24966" s="13"/>
      <c r="AL24966" s="13"/>
    </row>
    <row r="24967" spans="4:38" x14ac:dyDescent="0.3">
      <c r="D24967" s="1"/>
      <c r="G24967" s="13"/>
      <c r="AL24967" s="13"/>
    </row>
    <row r="24968" spans="4:38" x14ac:dyDescent="0.3">
      <c r="D24968" s="1"/>
      <c r="G24968" s="13"/>
      <c r="AL24968" s="13"/>
    </row>
    <row r="24969" spans="4:38" x14ac:dyDescent="0.3">
      <c r="D24969" s="1"/>
      <c r="G24969" s="13"/>
      <c r="AL24969" s="13"/>
    </row>
    <row r="24970" spans="4:38" x14ac:dyDescent="0.3">
      <c r="D24970" s="1"/>
      <c r="G24970" s="13"/>
      <c r="AL24970" s="13"/>
    </row>
    <row r="24971" spans="4:38" x14ac:dyDescent="0.3">
      <c r="D24971" s="1"/>
      <c r="G24971" s="13"/>
      <c r="AL24971" s="13"/>
    </row>
    <row r="24972" spans="4:38" x14ac:dyDescent="0.3">
      <c r="D24972" s="1"/>
      <c r="G24972" s="13"/>
      <c r="AL24972" s="13"/>
    </row>
    <row r="24973" spans="4:38" x14ac:dyDescent="0.3">
      <c r="D24973" s="1"/>
      <c r="G24973" s="13"/>
      <c r="AL24973" s="13"/>
    </row>
    <row r="24974" spans="4:38" x14ac:dyDescent="0.3">
      <c r="D24974" s="1"/>
      <c r="G24974" s="13"/>
      <c r="AL24974" s="13"/>
    </row>
    <row r="24975" spans="4:38" x14ac:dyDescent="0.3">
      <c r="D24975" s="1"/>
      <c r="G24975" s="13"/>
      <c r="AL24975" s="13"/>
    </row>
    <row r="24976" spans="4:38" x14ac:dyDescent="0.3">
      <c r="D24976" s="1"/>
      <c r="G24976" s="13"/>
      <c r="AL24976" s="13"/>
    </row>
    <row r="24977" spans="4:38" x14ac:dyDescent="0.3">
      <c r="D24977" s="1"/>
      <c r="G24977" s="13"/>
      <c r="AL24977" s="13"/>
    </row>
    <row r="24978" spans="4:38" x14ac:dyDescent="0.3">
      <c r="D24978" s="1"/>
      <c r="G24978" s="13"/>
      <c r="AL24978" s="13"/>
    </row>
    <row r="24979" spans="4:38" x14ac:dyDescent="0.3">
      <c r="D24979" s="1"/>
      <c r="G24979" s="13"/>
      <c r="AL24979" s="13"/>
    </row>
    <row r="24980" spans="4:38" x14ac:dyDescent="0.3">
      <c r="D24980" s="1"/>
      <c r="G24980" s="13"/>
      <c r="AL24980" s="13"/>
    </row>
    <row r="24981" spans="4:38" x14ac:dyDescent="0.3">
      <c r="D24981" s="1"/>
      <c r="G24981" s="13"/>
      <c r="AL24981" s="13"/>
    </row>
    <row r="24982" spans="4:38" x14ac:dyDescent="0.3">
      <c r="D24982" s="1"/>
      <c r="G24982" s="13"/>
      <c r="AL24982" s="13"/>
    </row>
    <row r="24983" spans="4:38" x14ac:dyDescent="0.3">
      <c r="D24983" s="1"/>
      <c r="G24983" s="13"/>
      <c r="AL24983" s="13"/>
    </row>
    <row r="24984" spans="4:38" x14ac:dyDescent="0.3">
      <c r="D24984" s="1"/>
      <c r="G24984" s="13"/>
      <c r="AL24984" s="13"/>
    </row>
    <row r="24985" spans="4:38" x14ac:dyDescent="0.3">
      <c r="D24985" s="1"/>
      <c r="G24985" s="13"/>
      <c r="AL24985" s="13"/>
    </row>
    <row r="24986" spans="4:38" x14ac:dyDescent="0.3">
      <c r="D24986" s="1"/>
      <c r="G24986" s="13"/>
      <c r="AL24986" s="13"/>
    </row>
    <row r="24987" spans="4:38" x14ac:dyDescent="0.3">
      <c r="D24987" s="1"/>
      <c r="G24987" s="13"/>
      <c r="AL24987" s="13"/>
    </row>
    <row r="24988" spans="4:38" x14ac:dyDescent="0.3">
      <c r="D24988" s="1"/>
      <c r="G24988" s="13"/>
      <c r="AL24988" s="13"/>
    </row>
    <row r="24989" spans="4:38" x14ac:dyDescent="0.3">
      <c r="D24989" s="1"/>
      <c r="G24989" s="13"/>
      <c r="AL24989" s="13"/>
    </row>
    <row r="24990" spans="4:38" x14ac:dyDescent="0.3">
      <c r="D24990" s="1"/>
      <c r="G24990" s="13"/>
      <c r="AL24990" s="13"/>
    </row>
    <row r="24991" spans="4:38" x14ac:dyDescent="0.3">
      <c r="D24991" s="1"/>
      <c r="G24991" s="13"/>
      <c r="AL24991" s="13"/>
    </row>
    <row r="24992" spans="4:38" x14ac:dyDescent="0.3">
      <c r="D24992" s="1"/>
      <c r="G24992" s="13"/>
      <c r="AL24992" s="13"/>
    </row>
    <row r="24993" spans="4:38" x14ac:dyDescent="0.3">
      <c r="D24993" s="1"/>
      <c r="G24993" s="13"/>
      <c r="AL24993" s="13"/>
    </row>
    <row r="24994" spans="4:38" x14ac:dyDescent="0.3">
      <c r="D24994" s="1"/>
      <c r="G24994" s="13"/>
      <c r="AL24994" s="13"/>
    </row>
    <row r="24995" spans="4:38" x14ac:dyDescent="0.3">
      <c r="D24995" s="1"/>
      <c r="G24995" s="13"/>
      <c r="AL24995" s="13"/>
    </row>
    <row r="24996" spans="4:38" x14ac:dyDescent="0.3">
      <c r="D24996" s="1"/>
      <c r="G24996" s="13"/>
      <c r="AL24996" s="13"/>
    </row>
    <row r="24997" spans="4:38" x14ac:dyDescent="0.3">
      <c r="D24997" s="1"/>
      <c r="G24997" s="13"/>
      <c r="AL24997" s="13"/>
    </row>
    <row r="24998" spans="4:38" x14ac:dyDescent="0.3">
      <c r="D24998" s="1"/>
      <c r="G24998" s="13"/>
      <c r="AL24998" s="13"/>
    </row>
    <row r="24999" spans="4:38" x14ac:dyDescent="0.3">
      <c r="D24999" s="1"/>
      <c r="G24999" s="13"/>
      <c r="AL24999" s="13"/>
    </row>
    <row r="25000" spans="4:38" x14ac:dyDescent="0.3">
      <c r="D25000" s="1"/>
      <c r="G25000" s="13"/>
      <c r="AL25000" s="13"/>
    </row>
    <row r="25001" spans="4:38" x14ac:dyDescent="0.3">
      <c r="D25001" s="1"/>
      <c r="G25001" s="13"/>
      <c r="AL25001" s="13"/>
    </row>
    <row r="25002" spans="4:38" x14ac:dyDescent="0.3">
      <c r="D25002" s="1"/>
      <c r="G25002" s="13"/>
      <c r="AL25002" s="13"/>
    </row>
    <row r="25003" spans="4:38" x14ac:dyDescent="0.3">
      <c r="D25003" s="1"/>
      <c r="G25003" s="13"/>
      <c r="AL25003" s="13"/>
    </row>
    <row r="25004" spans="4:38" x14ac:dyDescent="0.3">
      <c r="D25004" s="1"/>
      <c r="G25004" s="13"/>
      <c r="AL25004" s="13"/>
    </row>
    <row r="25005" spans="4:38" x14ac:dyDescent="0.3">
      <c r="D25005" s="1"/>
      <c r="G25005" s="13"/>
      <c r="AL25005" s="13"/>
    </row>
    <row r="25006" spans="4:38" x14ac:dyDescent="0.3">
      <c r="D25006" s="1"/>
      <c r="G25006" s="13"/>
      <c r="AL25006" s="13"/>
    </row>
    <row r="25007" spans="4:38" x14ac:dyDescent="0.3">
      <c r="D25007" s="1"/>
      <c r="G25007" s="13"/>
      <c r="AL25007" s="13"/>
    </row>
    <row r="25008" spans="4:38" x14ac:dyDescent="0.3">
      <c r="D25008" s="1"/>
      <c r="G25008" s="13"/>
      <c r="AL25008" s="13"/>
    </row>
    <row r="25009" spans="4:38" x14ac:dyDescent="0.3">
      <c r="D25009" s="1"/>
      <c r="G25009" s="13"/>
      <c r="AL25009" s="13"/>
    </row>
    <row r="25010" spans="4:38" x14ac:dyDescent="0.3">
      <c r="D25010" s="1"/>
      <c r="G25010" s="13"/>
      <c r="AL25010" s="13"/>
    </row>
    <row r="25011" spans="4:38" x14ac:dyDescent="0.3">
      <c r="D25011" s="1"/>
      <c r="G25011" s="13"/>
      <c r="AL25011" s="13"/>
    </row>
    <row r="25012" spans="4:38" x14ac:dyDescent="0.3">
      <c r="D25012" s="1"/>
      <c r="G25012" s="13"/>
      <c r="AL25012" s="13"/>
    </row>
    <row r="25013" spans="4:38" x14ac:dyDescent="0.3">
      <c r="D25013" s="1"/>
      <c r="G25013" s="13"/>
      <c r="AL25013" s="13"/>
    </row>
    <row r="25014" spans="4:38" x14ac:dyDescent="0.3">
      <c r="D25014" s="1"/>
      <c r="G25014" s="13"/>
      <c r="AL25014" s="13"/>
    </row>
    <row r="25015" spans="4:38" x14ac:dyDescent="0.3">
      <c r="D25015" s="1"/>
      <c r="G25015" s="13"/>
      <c r="AL25015" s="13"/>
    </row>
    <row r="25016" spans="4:38" x14ac:dyDescent="0.3">
      <c r="D25016" s="1"/>
      <c r="G25016" s="13"/>
      <c r="AL25016" s="13"/>
    </row>
    <row r="25017" spans="4:38" x14ac:dyDescent="0.3">
      <c r="D25017" s="1"/>
      <c r="G25017" s="13"/>
      <c r="AL25017" s="13"/>
    </row>
    <row r="25018" spans="4:38" x14ac:dyDescent="0.3">
      <c r="D25018" s="1"/>
      <c r="G25018" s="13"/>
      <c r="AL25018" s="13"/>
    </row>
    <row r="25019" spans="4:38" x14ac:dyDescent="0.3">
      <c r="D25019" s="1"/>
      <c r="G25019" s="13"/>
      <c r="AL25019" s="13"/>
    </row>
    <row r="25020" spans="4:38" x14ac:dyDescent="0.3">
      <c r="D25020" s="1"/>
      <c r="G25020" s="13"/>
      <c r="AL25020" s="13"/>
    </row>
    <row r="25021" spans="4:38" x14ac:dyDescent="0.3">
      <c r="D25021" s="1"/>
      <c r="G25021" s="13"/>
      <c r="AL25021" s="13"/>
    </row>
    <row r="25022" spans="4:38" x14ac:dyDescent="0.3">
      <c r="D25022" s="1"/>
      <c r="G25022" s="13"/>
      <c r="AL25022" s="13"/>
    </row>
    <row r="25023" spans="4:38" x14ac:dyDescent="0.3">
      <c r="D25023" s="1"/>
      <c r="G25023" s="13"/>
      <c r="AL25023" s="13"/>
    </row>
    <row r="25024" spans="4:38" x14ac:dyDescent="0.3">
      <c r="D25024" s="1"/>
      <c r="G25024" s="13"/>
      <c r="AL25024" s="13"/>
    </row>
    <row r="25025" spans="4:38" x14ac:dyDescent="0.3">
      <c r="D25025" s="1"/>
      <c r="G25025" s="13"/>
      <c r="AL25025" s="13"/>
    </row>
    <row r="25026" spans="4:38" x14ac:dyDescent="0.3">
      <c r="D25026" s="1"/>
      <c r="G25026" s="13"/>
      <c r="AL25026" s="13"/>
    </row>
    <row r="25027" spans="4:38" x14ac:dyDescent="0.3">
      <c r="D25027" s="1"/>
      <c r="G25027" s="13"/>
      <c r="AL25027" s="13"/>
    </row>
    <row r="25028" spans="4:38" x14ac:dyDescent="0.3">
      <c r="D25028" s="1"/>
      <c r="G25028" s="13"/>
      <c r="AL25028" s="13"/>
    </row>
    <row r="25029" spans="4:38" x14ac:dyDescent="0.3">
      <c r="D25029" s="1"/>
      <c r="G25029" s="13"/>
    </row>
    <row r="25030" spans="4:38" x14ac:dyDescent="0.3">
      <c r="D25030" s="1"/>
      <c r="G25030" s="13"/>
    </row>
    <row r="25031" spans="4:38" x14ac:dyDescent="0.3">
      <c r="D25031" s="1"/>
      <c r="G25031" s="13"/>
    </row>
    <row r="25032" spans="4:38" x14ac:dyDescent="0.3">
      <c r="D25032" s="1"/>
      <c r="G25032" s="13"/>
    </row>
    <row r="25033" spans="4:38" x14ac:dyDescent="0.3">
      <c r="D25033" s="1"/>
      <c r="G25033" s="13"/>
    </row>
    <row r="25034" spans="4:38" x14ac:dyDescent="0.3">
      <c r="D25034" s="1"/>
      <c r="G25034" s="13"/>
    </row>
    <row r="25035" spans="4:38" x14ac:dyDescent="0.3">
      <c r="D25035" s="1"/>
      <c r="G25035" s="13"/>
    </row>
    <row r="25036" spans="4:38" x14ac:dyDescent="0.3">
      <c r="D25036" s="1"/>
      <c r="G25036" s="13"/>
      <c r="AL25036" s="13"/>
    </row>
    <row r="25037" spans="4:38" x14ac:dyDescent="0.3">
      <c r="D25037" s="1"/>
      <c r="G25037" s="13"/>
      <c r="AL25037" s="13"/>
    </row>
    <row r="25038" spans="4:38" x14ac:dyDescent="0.3">
      <c r="D25038" s="1"/>
      <c r="G25038" s="13"/>
      <c r="AL25038" s="13"/>
    </row>
    <row r="25039" spans="4:38" x14ac:dyDescent="0.3">
      <c r="D25039" s="1"/>
      <c r="G25039" s="13"/>
      <c r="AL25039" s="13"/>
    </row>
    <row r="25040" spans="4:38" x14ac:dyDescent="0.3">
      <c r="D25040" s="1"/>
      <c r="G25040" s="13"/>
      <c r="AL25040" s="13"/>
    </row>
    <row r="25041" spans="4:38" x14ac:dyDescent="0.3">
      <c r="D25041" s="1"/>
      <c r="G25041" s="13"/>
      <c r="AL25041" s="13"/>
    </row>
    <row r="25042" spans="4:38" x14ac:dyDescent="0.3">
      <c r="D25042" s="1"/>
      <c r="G25042" s="13"/>
      <c r="AL25042" s="13"/>
    </row>
    <row r="25043" spans="4:38" x14ac:dyDescent="0.3">
      <c r="D25043" s="1"/>
      <c r="G25043" s="13"/>
      <c r="AL25043" s="13"/>
    </row>
    <row r="25044" spans="4:38" x14ac:dyDescent="0.3">
      <c r="D25044" s="1"/>
      <c r="G25044" s="13"/>
      <c r="AL25044" s="13"/>
    </row>
    <row r="25045" spans="4:38" x14ac:dyDescent="0.3">
      <c r="D25045" s="1"/>
      <c r="G25045" s="13"/>
      <c r="AL25045" s="13"/>
    </row>
    <row r="25046" spans="4:38" x14ac:dyDescent="0.3">
      <c r="D25046" s="1"/>
      <c r="G25046" s="13"/>
      <c r="AL25046" s="13"/>
    </row>
    <row r="25047" spans="4:38" x14ac:dyDescent="0.3">
      <c r="D25047" s="1"/>
      <c r="G25047" s="13"/>
      <c r="AL25047" s="13"/>
    </row>
    <row r="25048" spans="4:38" x14ac:dyDescent="0.3">
      <c r="D25048" s="1"/>
      <c r="G25048" s="13"/>
      <c r="AL25048" s="13"/>
    </row>
    <row r="25049" spans="4:38" x14ac:dyDescent="0.3">
      <c r="D25049" s="1"/>
      <c r="G25049" s="13"/>
      <c r="AL25049" s="13"/>
    </row>
    <row r="25050" spans="4:38" x14ac:dyDescent="0.3">
      <c r="D25050" s="1"/>
      <c r="G25050" s="13"/>
      <c r="AL25050" s="13"/>
    </row>
    <row r="25051" spans="4:38" x14ac:dyDescent="0.3">
      <c r="D25051" s="1"/>
      <c r="G25051" s="13"/>
      <c r="AL25051" s="13"/>
    </row>
    <row r="25052" spans="4:38" x14ac:dyDescent="0.3">
      <c r="D25052" s="1"/>
      <c r="G25052" s="13"/>
      <c r="AL25052" s="13"/>
    </row>
    <row r="25053" spans="4:38" x14ac:dyDescent="0.3">
      <c r="D25053" s="1"/>
      <c r="G25053" s="13"/>
      <c r="AL25053" s="13"/>
    </row>
    <row r="25054" spans="4:38" x14ac:dyDescent="0.3">
      <c r="D25054" s="1"/>
      <c r="G25054" s="13"/>
      <c r="AL25054" s="13"/>
    </row>
    <row r="25055" spans="4:38" x14ac:dyDescent="0.3">
      <c r="D25055" s="1"/>
      <c r="G25055" s="13"/>
      <c r="AL25055" s="13"/>
    </row>
    <row r="25056" spans="4:38" x14ac:dyDescent="0.3">
      <c r="D25056" s="1"/>
      <c r="G25056" s="13"/>
    </row>
    <row r="25057" spans="4:38" x14ac:dyDescent="0.3">
      <c r="D25057" s="1"/>
      <c r="G25057" s="13"/>
    </row>
    <row r="25058" spans="4:38" x14ac:dyDescent="0.3">
      <c r="D25058" s="1"/>
      <c r="G25058" s="13"/>
    </row>
    <row r="25059" spans="4:38" x14ac:dyDescent="0.3">
      <c r="G25059" s="13"/>
      <c r="AL25059" s="13"/>
    </row>
    <row r="25060" spans="4:38" x14ac:dyDescent="0.3">
      <c r="D25060" s="1"/>
      <c r="G25060" s="13"/>
      <c r="AL25060" s="13"/>
    </row>
    <row r="25061" spans="4:38" x14ac:dyDescent="0.3">
      <c r="D25061" s="1"/>
      <c r="G25061" s="13"/>
      <c r="AL25061" s="13"/>
    </row>
    <row r="25062" spans="4:38" x14ac:dyDescent="0.3">
      <c r="D25062" s="1"/>
      <c r="G25062" s="13"/>
      <c r="AL25062" s="13"/>
    </row>
    <row r="25063" spans="4:38" x14ac:dyDescent="0.3">
      <c r="D25063" s="1"/>
      <c r="G25063" s="13"/>
      <c r="AL25063" s="13"/>
    </row>
    <row r="25064" spans="4:38" x14ac:dyDescent="0.3">
      <c r="D25064" s="1"/>
      <c r="G25064" s="13"/>
      <c r="AL25064" s="13"/>
    </row>
    <row r="25065" spans="4:38" x14ac:dyDescent="0.3">
      <c r="D25065" s="1"/>
      <c r="G25065" s="13"/>
      <c r="AL25065" s="13"/>
    </row>
    <row r="25066" spans="4:38" x14ac:dyDescent="0.3">
      <c r="D25066" s="1"/>
      <c r="G25066" s="13"/>
      <c r="AL25066" s="13"/>
    </row>
    <row r="25067" spans="4:38" x14ac:dyDescent="0.3">
      <c r="D25067" s="1"/>
      <c r="G25067" s="13"/>
      <c r="AL25067" s="13"/>
    </row>
    <row r="25068" spans="4:38" x14ac:dyDescent="0.3">
      <c r="D25068" s="1"/>
      <c r="G25068" s="13"/>
      <c r="AL25068" s="13"/>
    </row>
    <row r="25069" spans="4:38" x14ac:dyDescent="0.3">
      <c r="D25069" s="1"/>
      <c r="G25069" s="13"/>
      <c r="AL25069" s="13"/>
    </row>
    <row r="25070" spans="4:38" x14ac:dyDescent="0.3">
      <c r="D25070" s="1"/>
      <c r="G25070" s="13"/>
      <c r="AL25070" s="13"/>
    </row>
    <row r="25071" spans="4:38" x14ac:dyDescent="0.3">
      <c r="D25071" s="1"/>
      <c r="G25071" s="13"/>
      <c r="AL25071" s="13"/>
    </row>
    <row r="25072" spans="4:38" x14ac:dyDescent="0.3">
      <c r="D25072" s="1"/>
      <c r="G25072" s="13"/>
      <c r="AL25072" s="13"/>
    </row>
    <row r="25073" spans="4:38" x14ac:dyDescent="0.3">
      <c r="D25073" s="1"/>
      <c r="G25073" s="13"/>
      <c r="AL25073" s="13"/>
    </row>
    <row r="25074" spans="4:38" x14ac:dyDescent="0.3">
      <c r="D25074" s="1"/>
      <c r="G25074" s="13"/>
      <c r="AL25074" s="13"/>
    </row>
    <row r="25075" spans="4:38" x14ac:dyDescent="0.3">
      <c r="D25075" s="1"/>
      <c r="G25075" s="13"/>
      <c r="AL25075" s="13"/>
    </row>
    <row r="25076" spans="4:38" x14ac:dyDescent="0.3">
      <c r="D25076" s="1"/>
      <c r="G25076" s="13"/>
      <c r="AL25076" s="13"/>
    </row>
    <row r="25077" spans="4:38" x14ac:dyDescent="0.3">
      <c r="D25077" s="1"/>
      <c r="G25077" s="13"/>
      <c r="AL25077" s="13"/>
    </row>
    <row r="25078" spans="4:38" x14ac:dyDescent="0.3">
      <c r="D25078" s="1"/>
      <c r="G25078" s="13"/>
      <c r="AL25078" s="13"/>
    </row>
    <row r="25079" spans="4:38" x14ac:dyDescent="0.3">
      <c r="D25079" s="1"/>
      <c r="G25079" s="13"/>
      <c r="AL25079" s="13"/>
    </row>
    <row r="25080" spans="4:38" x14ac:dyDescent="0.3">
      <c r="D25080" s="1"/>
      <c r="G25080" s="13"/>
      <c r="AL25080" s="13"/>
    </row>
    <row r="25081" spans="4:38" x14ac:dyDescent="0.3">
      <c r="D25081" s="1"/>
      <c r="G25081" s="13"/>
      <c r="AL25081" s="13"/>
    </row>
    <row r="25082" spans="4:38" x14ac:dyDescent="0.3">
      <c r="D25082" s="1"/>
      <c r="G25082" s="13"/>
      <c r="AL25082" s="13"/>
    </row>
    <row r="25083" spans="4:38" x14ac:dyDescent="0.3">
      <c r="D25083" s="1"/>
      <c r="G25083" s="13"/>
      <c r="AL25083" s="13"/>
    </row>
    <row r="25084" spans="4:38" x14ac:dyDescent="0.3">
      <c r="D25084" s="1"/>
      <c r="G25084" s="13"/>
      <c r="AL25084" s="13"/>
    </row>
    <row r="25085" spans="4:38" x14ac:dyDescent="0.3">
      <c r="D25085" s="1"/>
      <c r="G25085" s="13"/>
      <c r="AL25085" s="13"/>
    </row>
    <row r="25086" spans="4:38" x14ac:dyDescent="0.3">
      <c r="D25086" s="1"/>
      <c r="G25086" s="13"/>
      <c r="AL25086" s="13"/>
    </row>
    <row r="25087" spans="4:38" x14ac:dyDescent="0.3">
      <c r="D25087" s="1"/>
      <c r="G25087" s="13"/>
      <c r="AL25087" s="13"/>
    </row>
    <row r="25088" spans="4:38" x14ac:dyDescent="0.3">
      <c r="D25088" s="1"/>
      <c r="G25088" s="13"/>
      <c r="AL25088" s="13"/>
    </row>
    <row r="25089" spans="4:38" x14ac:dyDescent="0.3">
      <c r="D25089" s="1"/>
      <c r="G25089" s="13"/>
      <c r="AL25089" s="13"/>
    </row>
    <row r="25090" spans="4:38" x14ac:dyDescent="0.3">
      <c r="D25090" s="1"/>
      <c r="G25090" s="13"/>
      <c r="AL25090" s="13"/>
    </row>
    <row r="25091" spans="4:38" x14ac:dyDescent="0.3">
      <c r="D25091" s="1"/>
      <c r="G25091" s="13"/>
      <c r="AL25091" s="13"/>
    </row>
    <row r="25092" spans="4:38" x14ac:dyDescent="0.3">
      <c r="D25092" s="1"/>
      <c r="G25092" s="13"/>
      <c r="AL25092" s="13"/>
    </row>
    <row r="25093" spans="4:38" x14ac:dyDescent="0.3">
      <c r="D25093" s="1"/>
      <c r="G25093" s="13"/>
      <c r="AL25093" s="13"/>
    </row>
    <row r="25094" spans="4:38" x14ac:dyDescent="0.3">
      <c r="D25094" s="1"/>
      <c r="G25094" s="13"/>
      <c r="AL25094" s="13"/>
    </row>
    <row r="25095" spans="4:38" x14ac:dyDescent="0.3">
      <c r="D25095" s="1"/>
      <c r="G25095" s="13"/>
      <c r="AL25095" s="13"/>
    </row>
    <row r="25096" spans="4:38" x14ac:dyDescent="0.3">
      <c r="D25096" s="1"/>
      <c r="G25096" s="13"/>
      <c r="AL25096" s="13"/>
    </row>
    <row r="25097" spans="4:38" x14ac:dyDescent="0.3">
      <c r="D25097" s="1"/>
      <c r="G25097" s="13"/>
      <c r="AL25097" s="13"/>
    </row>
    <row r="25098" spans="4:38" x14ac:dyDescent="0.3">
      <c r="D25098" s="1"/>
      <c r="G25098" s="13"/>
      <c r="AL25098" s="13"/>
    </row>
    <row r="25099" spans="4:38" x14ac:dyDescent="0.3">
      <c r="D25099" s="1"/>
      <c r="G25099" s="13"/>
      <c r="AL25099" s="13"/>
    </row>
    <row r="25100" spans="4:38" x14ac:dyDescent="0.3">
      <c r="D25100" s="1"/>
      <c r="G25100" s="13"/>
      <c r="AL25100" s="13"/>
    </row>
    <row r="25101" spans="4:38" x14ac:dyDescent="0.3">
      <c r="D25101" s="1"/>
      <c r="G25101" s="13"/>
      <c r="AL25101" s="13"/>
    </row>
    <row r="25102" spans="4:38" x14ac:dyDescent="0.3">
      <c r="D25102" s="1"/>
      <c r="G25102" s="13"/>
    </row>
    <row r="25103" spans="4:38" x14ac:dyDescent="0.3">
      <c r="D25103" s="1"/>
      <c r="G25103" s="13"/>
    </row>
    <row r="25104" spans="4:38" x14ac:dyDescent="0.3">
      <c r="D25104" s="1"/>
      <c r="G25104" s="13"/>
    </row>
    <row r="25105" spans="4:38" x14ac:dyDescent="0.3">
      <c r="G25105" s="13"/>
    </row>
    <row r="25106" spans="4:38" x14ac:dyDescent="0.3">
      <c r="D25106" s="1"/>
      <c r="G25106" s="13"/>
    </row>
    <row r="25107" spans="4:38" x14ac:dyDescent="0.3">
      <c r="D25107" s="1"/>
      <c r="G25107" s="13"/>
    </row>
    <row r="25108" spans="4:38" x14ac:dyDescent="0.3">
      <c r="G25108" s="13"/>
    </row>
    <row r="25109" spans="4:38" x14ac:dyDescent="0.3">
      <c r="D25109" s="1"/>
      <c r="G25109" s="13"/>
    </row>
    <row r="25110" spans="4:38" x14ac:dyDescent="0.3">
      <c r="D25110" s="1"/>
      <c r="G25110" s="13"/>
    </row>
    <row r="25111" spans="4:38" x14ac:dyDescent="0.3">
      <c r="D25111" s="1"/>
      <c r="G25111" s="13"/>
    </row>
    <row r="25112" spans="4:38" x14ac:dyDescent="0.3">
      <c r="D25112" s="1"/>
      <c r="G25112" s="13"/>
    </row>
    <row r="25113" spans="4:38" x14ac:dyDescent="0.3">
      <c r="D25113" s="1"/>
      <c r="G25113" s="13"/>
    </row>
    <row r="25114" spans="4:38" x14ac:dyDescent="0.3">
      <c r="G25114" s="13"/>
    </row>
    <row r="25115" spans="4:38" x14ac:dyDescent="0.3">
      <c r="D25115" s="1"/>
      <c r="G25115" s="13"/>
      <c r="AL25115" s="13"/>
    </row>
    <row r="25116" spans="4:38" x14ac:dyDescent="0.3">
      <c r="D25116" s="1"/>
      <c r="G25116" s="13"/>
      <c r="AL25116" s="13"/>
    </row>
    <row r="25117" spans="4:38" x14ac:dyDescent="0.3">
      <c r="D25117" s="1"/>
      <c r="G25117" s="13"/>
      <c r="AL25117" s="13"/>
    </row>
    <row r="25118" spans="4:38" x14ac:dyDescent="0.3">
      <c r="D25118" s="1"/>
      <c r="G25118" s="13"/>
      <c r="AL25118" s="13"/>
    </row>
    <row r="25119" spans="4:38" x14ac:dyDescent="0.3">
      <c r="D25119" s="1"/>
      <c r="G25119" s="13"/>
      <c r="AL25119" s="13"/>
    </row>
    <row r="25120" spans="4:38" x14ac:dyDescent="0.3">
      <c r="D25120" s="1"/>
      <c r="G25120" s="13"/>
      <c r="AL25120" s="13"/>
    </row>
    <row r="25121" spans="4:38" x14ac:dyDescent="0.3">
      <c r="D25121" s="1"/>
      <c r="G25121" s="13"/>
      <c r="AL25121" s="13"/>
    </row>
    <row r="25122" spans="4:38" x14ac:dyDescent="0.3">
      <c r="D25122" s="1"/>
      <c r="G25122" s="13"/>
      <c r="AL25122" s="13"/>
    </row>
    <row r="25123" spans="4:38" x14ac:dyDescent="0.3">
      <c r="D25123" s="1"/>
      <c r="G25123" s="13"/>
      <c r="AL25123" s="13"/>
    </row>
    <row r="25124" spans="4:38" x14ac:dyDescent="0.3">
      <c r="D25124" s="1"/>
      <c r="G25124" s="13"/>
      <c r="AL25124" s="13"/>
    </row>
    <row r="25125" spans="4:38" x14ac:dyDescent="0.3">
      <c r="D25125" s="1"/>
      <c r="G25125" s="13"/>
      <c r="AL25125" s="13"/>
    </row>
    <row r="25126" spans="4:38" x14ac:dyDescent="0.3">
      <c r="D25126" s="1"/>
      <c r="G25126" s="13"/>
      <c r="AL25126" s="13"/>
    </row>
    <row r="25127" spans="4:38" x14ac:dyDescent="0.3">
      <c r="D25127" s="1"/>
      <c r="G25127" s="13"/>
      <c r="AL25127" s="13"/>
    </row>
    <row r="25128" spans="4:38" x14ac:dyDescent="0.3">
      <c r="D25128" s="1"/>
      <c r="G25128" s="13"/>
      <c r="AL25128" s="13"/>
    </row>
    <row r="25129" spans="4:38" x14ac:dyDescent="0.3">
      <c r="D25129" s="1"/>
      <c r="G25129" s="13"/>
      <c r="AL25129" s="13"/>
    </row>
    <row r="25130" spans="4:38" x14ac:dyDescent="0.3">
      <c r="D25130" s="1"/>
      <c r="G25130" s="13"/>
      <c r="AL25130" s="13"/>
    </row>
    <row r="25131" spans="4:38" x14ac:dyDescent="0.3">
      <c r="D25131" s="1"/>
      <c r="G25131" s="13"/>
      <c r="AL25131" s="13"/>
    </row>
    <row r="25132" spans="4:38" x14ac:dyDescent="0.3">
      <c r="D25132" s="1"/>
      <c r="G25132" s="13"/>
      <c r="AL25132" s="13"/>
    </row>
    <row r="25133" spans="4:38" x14ac:dyDescent="0.3">
      <c r="D25133" s="1"/>
      <c r="G25133" s="13"/>
      <c r="AL25133" s="13"/>
    </row>
    <row r="25134" spans="4:38" x14ac:dyDescent="0.3">
      <c r="D25134" s="1"/>
      <c r="G25134" s="13"/>
      <c r="AL25134" s="13"/>
    </row>
    <row r="25135" spans="4:38" x14ac:dyDescent="0.3">
      <c r="D25135" s="1"/>
      <c r="G25135" s="13"/>
      <c r="AL25135" s="13"/>
    </row>
    <row r="25136" spans="4:38" x14ac:dyDescent="0.3">
      <c r="D25136" s="1"/>
      <c r="G25136" s="13"/>
      <c r="AL25136" s="13"/>
    </row>
    <row r="25137" spans="4:38" x14ac:dyDescent="0.3">
      <c r="D25137" s="1"/>
      <c r="G25137" s="13"/>
      <c r="AL25137" s="13"/>
    </row>
    <row r="25138" spans="4:38" x14ac:dyDescent="0.3">
      <c r="D25138" s="1"/>
      <c r="G25138" s="13"/>
      <c r="AL25138" s="13"/>
    </row>
    <row r="25139" spans="4:38" x14ac:dyDescent="0.3">
      <c r="D25139" s="1"/>
      <c r="G25139" s="13"/>
      <c r="AL25139" s="13"/>
    </row>
    <row r="25140" spans="4:38" x14ac:dyDescent="0.3">
      <c r="D25140" s="1"/>
      <c r="G25140" s="13"/>
      <c r="AL25140" s="13"/>
    </row>
    <row r="25141" spans="4:38" x14ac:dyDescent="0.3">
      <c r="D25141" s="1"/>
      <c r="G25141" s="13"/>
      <c r="AL25141" s="13"/>
    </row>
    <row r="25142" spans="4:38" x14ac:dyDescent="0.3">
      <c r="D25142" s="1"/>
      <c r="G25142" s="13"/>
      <c r="AL25142" s="13"/>
    </row>
    <row r="25143" spans="4:38" x14ac:dyDescent="0.3">
      <c r="D25143" s="1"/>
      <c r="G25143" s="13"/>
      <c r="AL25143" s="13"/>
    </row>
    <row r="25144" spans="4:38" x14ac:dyDescent="0.3">
      <c r="D25144" s="1"/>
      <c r="G25144" s="13"/>
      <c r="AL25144" s="13"/>
    </row>
    <row r="25145" spans="4:38" x14ac:dyDescent="0.3">
      <c r="D25145" s="1"/>
      <c r="G25145" s="13"/>
      <c r="AL25145" s="13"/>
    </row>
    <row r="25146" spans="4:38" x14ac:dyDescent="0.3">
      <c r="D25146" s="1"/>
      <c r="G25146" s="13"/>
      <c r="AL25146" s="13"/>
    </row>
    <row r="25147" spans="4:38" x14ac:dyDescent="0.3">
      <c r="D25147" s="1"/>
      <c r="G25147" s="13"/>
      <c r="AL25147" s="13"/>
    </row>
    <row r="25148" spans="4:38" x14ac:dyDescent="0.3">
      <c r="D25148" s="1"/>
      <c r="G25148" s="13"/>
      <c r="AL25148" s="13"/>
    </row>
    <row r="25149" spans="4:38" x14ac:dyDescent="0.3">
      <c r="D25149" s="1"/>
      <c r="G25149" s="13"/>
      <c r="AL25149" s="13"/>
    </row>
    <row r="25150" spans="4:38" x14ac:dyDescent="0.3">
      <c r="D25150" s="1"/>
      <c r="G25150" s="13"/>
      <c r="AL25150" s="13"/>
    </row>
    <row r="25151" spans="4:38" x14ac:dyDescent="0.3">
      <c r="D25151" s="1"/>
      <c r="G25151" s="13"/>
      <c r="AL25151" s="13"/>
    </row>
    <row r="25152" spans="4:38" x14ac:dyDescent="0.3">
      <c r="D25152" s="1"/>
      <c r="G25152" s="13"/>
      <c r="AL25152" s="13"/>
    </row>
    <row r="25153" spans="4:38" x14ac:dyDescent="0.3">
      <c r="D25153" s="1"/>
      <c r="G25153" s="13"/>
      <c r="AL25153" s="13"/>
    </row>
    <row r="25154" spans="4:38" x14ac:dyDescent="0.3">
      <c r="D25154" s="1"/>
      <c r="G25154" s="13"/>
      <c r="AL25154" s="13"/>
    </row>
    <row r="25155" spans="4:38" x14ac:dyDescent="0.3">
      <c r="G25155" s="13"/>
      <c r="AL25155" s="13"/>
    </row>
    <row r="25156" spans="4:38" x14ac:dyDescent="0.3">
      <c r="D25156" s="1"/>
      <c r="G25156" s="13"/>
      <c r="AL25156" s="13"/>
    </row>
    <row r="25157" spans="4:38" x14ac:dyDescent="0.3">
      <c r="D25157" s="1"/>
      <c r="G25157" s="13"/>
      <c r="AL25157" s="13"/>
    </row>
    <row r="25158" spans="4:38" x14ac:dyDescent="0.3">
      <c r="D25158" s="1"/>
      <c r="G25158" s="13"/>
      <c r="AL25158" s="13"/>
    </row>
    <row r="25159" spans="4:38" x14ac:dyDescent="0.3">
      <c r="D25159" s="1"/>
      <c r="G25159" s="13"/>
      <c r="AL25159" s="13"/>
    </row>
    <row r="25160" spans="4:38" x14ac:dyDescent="0.3">
      <c r="G25160" s="13"/>
      <c r="AL25160" s="13"/>
    </row>
    <row r="25161" spans="4:38" x14ac:dyDescent="0.3">
      <c r="D25161" s="1"/>
      <c r="G25161" s="13"/>
      <c r="AL25161" s="13"/>
    </row>
    <row r="25162" spans="4:38" x14ac:dyDescent="0.3">
      <c r="D25162" s="1"/>
      <c r="G25162" s="13"/>
      <c r="AL25162" s="13"/>
    </row>
    <row r="25163" spans="4:38" x14ac:dyDescent="0.3">
      <c r="D25163" s="1"/>
      <c r="G25163" s="13"/>
      <c r="AL25163" s="13"/>
    </row>
    <row r="25164" spans="4:38" x14ac:dyDescent="0.3">
      <c r="D25164" s="1"/>
      <c r="G25164" s="13"/>
      <c r="AL25164" s="13"/>
    </row>
    <row r="25165" spans="4:38" x14ac:dyDescent="0.3">
      <c r="D25165" s="1"/>
      <c r="G25165" s="13"/>
      <c r="AL25165" s="13"/>
    </row>
    <row r="25166" spans="4:38" x14ac:dyDescent="0.3">
      <c r="D25166" s="1"/>
      <c r="G25166" s="13"/>
      <c r="AL25166" s="13"/>
    </row>
    <row r="25167" spans="4:38" x14ac:dyDescent="0.3">
      <c r="D25167" s="1"/>
      <c r="G25167" s="13"/>
      <c r="AL25167" s="13"/>
    </row>
    <row r="25168" spans="4:38" x14ac:dyDescent="0.3">
      <c r="D25168" s="1"/>
      <c r="G25168" s="13"/>
      <c r="AL25168" s="13"/>
    </row>
    <row r="25169" spans="4:38" x14ac:dyDescent="0.3">
      <c r="D25169" s="1"/>
      <c r="G25169" s="13"/>
      <c r="AL25169" s="13"/>
    </row>
    <row r="25170" spans="4:38" x14ac:dyDescent="0.3">
      <c r="D25170" s="1"/>
      <c r="G25170" s="13"/>
      <c r="AL25170" s="13"/>
    </row>
    <row r="25171" spans="4:38" x14ac:dyDescent="0.3">
      <c r="D25171" s="1"/>
      <c r="G25171" s="13"/>
      <c r="AL25171" s="13"/>
    </row>
    <row r="25172" spans="4:38" x14ac:dyDescent="0.3">
      <c r="D25172" s="1"/>
      <c r="G25172" s="13"/>
      <c r="AL25172" s="13"/>
    </row>
    <row r="25173" spans="4:38" x14ac:dyDescent="0.3">
      <c r="D25173" s="1"/>
      <c r="G25173" s="13"/>
      <c r="AL25173" s="13"/>
    </row>
    <row r="25174" spans="4:38" x14ac:dyDescent="0.3">
      <c r="D25174" s="1"/>
      <c r="G25174" s="13"/>
      <c r="AL25174" s="13"/>
    </row>
    <row r="25175" spans="4:38" x14ac:dyDescent="0.3">
      <c r="D25175" s="1"/>
      <c r="G25175" s="13"/>
      <c r="AL25175" s="13"/>
    </row>
    <row r="25176" spans="4:38" x14ac:dyDescent="0.3">
      <c r="D25176" s="1"/>
      <c r="G25176" s="13"/>
      <c r="AL25176" s="13"/>
    </row>
    <row r="25177" spans="4:38" x14ac:dyDescent="0.3">
      <c r="D25177" s="1"/>
      <c r="G25177" s="13"/>
      <c r="AL25177" s="13"/>
    </row>
    <row r="25178" spans="4:38" x14ac:dyDescent="0.3">
      <c r="D25178" s="1"/>
      <c r="G25178" s="13"/>
      <c r="AL25178" s="13"/>
    </row>
    <row r="25179" spans="4:38" x14ac:dyDescent="0.3">
      <c r="D25179" s="1"/>
      <c r="G25179" s="13"/>
      <c r="AL25179" s="13"/>
    </row>
    <row r="25180" spans="4:38" x14ac:dyDescent="0.3">
      <c r="D25180" s="1"/>
      <c r="G25180" s="13"/>
      <c r="AL25180" s="13"/>
    </row>
    <row r="25181" spans="4:38" x14ac:dyDescent="0.3">
      <c r="D25181" s="1"/>
      <c r="G25181" s="13"/>
      <c r="AL25181" s="13"/>
    </row>
    <row r="25182" spans="4:38" x14ac:dyDescent="0.3">
      <c r="G25182" s="13"/>
      <c r="AL25182" s="13"/>
    </row>
    <row r="25183" spans="4:38" x14ac:dyDescent="0.3">
      <c r="G25183" s="13"/>
      <c r="AL25183" s="13"/>
    </row>
    <row r="25184" spans="4:38" x14ac:dyDescent="0.3">
      <c r="D25184" s="1"/>
      <c r="G25184" s="13"/>
      <c r="AL25184" s="13"/>
    </row>
    <row r="25185" spans="4:38" x14ac:dyDescent="0.3">
      <c r="D25185" s="1"/>
      <c r="G25185" s="13"/>
      <c r="AL25185" s="13"/>
    </row>
    <row r="25186" spans="4:38" x14ac:dyDescent="0.3">
      <c r="D25186" s="1"/>
      <c r="G25186" s="13"/>
      <c r="AL25186" s="13"/>
    </row>
    <row r="25187" spans="4:38" x14ac:dyDescent="0.3">
      <c r="D25187" s="1"/>
      <c r="G25187" s="13"/>
      <c r="AL25187" s="13"/>
    </row>
    <row r="25188" spans="4:38" x14ac:dyDescent="0.3">
      <c r="D25188" s="1"/>
      <c r="G25188" s="13"/>
      <c r="AL25188" s="13"/>
    </row>
    <row r="25189" spans="4:38" x14ac:dyDescent="0.3">
      <c r="D25189" s="1"/>
      <c r="G25189" s="13"/>
      <c r="AL25189" s="13"/>
    </row>
    <row r="25190" spans="4:38" x14ac:dyDescent="0.3">
      <c r="D25190" s="1"/>
      <c r="G25190" s="13"/>
      <c r="AL25190" s="13"/>
    </row>
    <row r="25191" spans="4:38" x14ac:dyDescent="0.3">
      <c r="D25191" s="1"/>
      <c r="G25191" s="13"/>
      <c r="AL25191" s="13"/>
    </row>
    <row r="25192" spans="4:38" x14ac:dyDescent="0.3">
      <c r="D25192" s="1"/>
      <c r="G25192" s="13"/>
      <c r="AL25192" s="13"/>
    </row>
    <row r="25193" spans="4:38" x14ac:dyDescent="0.3">
      <c r="D25193" s="1"/>
      <c r="G25193" s="13"/>
      <c r="AL25193" s="13"/>
    </row>
    <row r="25194" spans="4:38" x14ac:dyDescent="0.3">
      <c r="D25194" s="1"/>
      <c r="G25194" s="13"/>
      <c r="AL25194" s="13"/>
    </row>
    <row r="25195" spans="4:38" x14ac:dyDescent="0.3">
      <c r="D25195" s="1"/>
      <c r="G25195" s="13"/>
      <c r="AL25195" s="13"/>
    </row>
    <row r="25196" spans="4:38" x14ac:dyDescent="0.3">
      <c r="D25196" s="1"/>
      <c r="G25196" s="13"/>
      <c r="AL25196" s="13"/>
    </row>
    <row r="25197" spans="4:38" x14ac:dyDescent="0.3">
      <c r="D25197" s="1"/>
      <c r="G25197" s="13"/>
      <c r="AL25197" s="13"/>
    </row>
    <row r="25198" spans="4:38" x14ac:dyDescent="0.3">
      <c r="D25198" s="1"/>
      <c r="G25198" s="13"/>
    </row>
    <row r="25199" spans="4:38" x14ac:dyDescent="0.3">
      <c r="D25199" s="1"/>
      <c r="G25199" s="13"/>
    </row>
    <row r="25200" spans="4:38" x14ac:dyDescent="0.3">
      <c r="D25200" s="1"/>
      <c r="G25200" s="13"/>
    </row>
    <row r="25201" spans="4:7" x14ac:dyDescent="0.3">
      <c r="D25201" s="1"/>
      <c r="G25201" s="13"/>
    </row>
    <row r="25202" spans="4:7" x14ac:dyDescent="0.3">
      <c r="D25202" s="1"/>
      <c r="G25202" s="13"/>
    </row>
    <row r="25203" spans="4:7" x14ac:dyDescent="0.3">
      <c r="D25203" s="1"/>
      <c r="G25203" s="13"/>
    </row>
    <row r="25204" spans="4:7" x14ac:dyDescent="0.3">
      <c r="D25204" s="1"/>
      <c r="G25204" s="13"/>
    </row>
    <row r="25205" spans="4:7" x14ac:dyDescent="0.3">
      <c r="D25205" s="1"/>
      <c r="G25205" s="13"/>
    </row>
    <row r="25206" spans="4:7" x14ac:dyDescent="0.3">
      <c r="D25206" s="1"/>
      <c r="G25206" s="13"/>
    </row>
    <row r="25207" spans="4:7" x14ac:dyDescent="0.3">
      <c r="D25207" s="1"/>
      <c r="G25207" s="13"/>
    </row>
    <row r="25208" spans="4:7" x14ac:dyDescent="0.3">
      <c r="D25208" s="1"/>
      <c r="G25208" s="13"/>
    </row>
    <row r="25209" spans="4:7" x14ac:dyDescent="0.3">
      <c r="D25209" s="1"/>
      <c r="G25209" s="13"/>
    </row>
    <row r="25210" spans="4:7" x14ac:dyDescent="0.3">
      <c r="D25210" s="1"/>
      <c r="G25210" s="13"/>
    </row>
    <row r="25211" spans="4:7" x14ac:dyDescent="0.3">
      <c r="D25211" s="1"/>
      <c r="G25211" s="13"/>
    </row>
    <row r="25212" spans="4:7" x14ac:dyDescent="0.3">
      <c r="D25212" s="1"/>
      <c r="G25212" s="13"/>
    </row>
    <row r="25213" spans="4:7" x14ac:dyDescent="0.3">
      <c r="D25213" s="1"/>
      <c r="G25213" s="13"/>
    </row>
    <row r="25214" spans="4:7" x14ac:dyDescent="0.3">
      <c r="D25214" s="1"/>
      <c r="G25214" s="13"/>
    </row>
    <row r="25215" spans="4:7" x14ac:dyDescent="0.3">
      <c r="D25215" s="1"/>
      <c r="G25215" s="13"/>
    </row>
    <row r="25216" spans="4:7" x14ac:dyDescent="0.3">
      <c r="D25216" s="1"/>
      <c r="G25216" s="13"/>
    </row>
    <row r="25217" spans="4:7" x14ac:dyDescent="0.3">
      <c r="D25217" s="1"/>
      <c r="G25217" s="13"/>
    </row>
    <row r="25218" spans="4:7" x14ac:dyDescent="0.3">
      <c r="D25218" s="1"/>
      <c r="G25218" s="13"/>
    </row>
    <row r="25219" spans="4:7" x14ac:dyDescent="0.3">
      <c r="D25219" s="1"/>
      <c r="G25219" s="13"/>
    </row>
    <row r="25220" spans="4:7" x14ac:dyDescent="0.3">
      <c r="D25220" s="1"/>
      <c r="G25220" s="13"/>
    </row>
    <row r="25221" spans="4:7" x14ac:dyDescent="0.3">
      <c r="D25221" s="1"/>
      <c r="G25221" s="13"/>
    </row>
    <row r="25222" spans="4:7" x14ac:dyDescent="0.3">
      <c r="D25222" s="1"/>
      <c r="G25222" s="13"/>
    </row>
    <row r="25223" spans="4:7" x14ac:dyDescent="0.3">
      <c r="D25223" s="1"/>
      <c r="G25223" s="13"/>
    </row>
    <row r="25224" spans="4:7" x14ac:dyDescent="0.3">
      <c r="D25224" s="1"/>
      <c r="G25224" s="13"/>
    </row>
    <row r="25225" spans="4:7" x14ac:dyDescent="0.3">
      <c r="D25225" s="1"/>
      <c r="G25225" s="13"/>
    </row>
    <row r="25226" spans="4:7" x14ac:dyDescent="0.3">
      <c r="D25226" s="1"/>
      <c r="G25226" s="13"/>
    </row>
    <row r="25227" spans="4:7" x14ac:dyDescent="0.3">
      <c r="D25227" s="1"/>
      <c r="G25227" s="13"/>
    </row>
    <row r="25228" spans="4:7" x14ac:dyDescent="0.3">
      <c r="D25228" s="1"/>
      <c r="G25228" s="13"/>
    </row>
    <row r="25229" spans="4:7" x14ac:dyDescent="0.3">
      <c r="D25229" s="1"/>
      <c r="G25229" s="13"/>
    </row>
    <row r="25230" spans="4:7" x14ac:dyDescent="0.3">
      <c r="D25230" s="1"/>
      <c r="G25230" s="13"/>
    </row>
    <row r="25231" spans="4:7" x14ac:dyDescent="0.3">
      <c r="D25231" s="1"/>
      <c r="G25231" s="13"/>
    </row>
    <row r="25232" spans="4:7" x14ac:dyDescent="0.3">
      <c r="D25232" s="1"/>
      <c r="G25232" s="13"/>
    </row>
    <row r="25233" spans="4:7" x14ac:dyDescent="0.3">
      <c r="D25233" s="1"/>
      <c r="G25233" s="13"/>
    </row>
    <row r="25234" spans="4:7" x14ac:dyDescent="0.3">
      <c r="D25234" s="1"/>
      <c r="G25234" s="13"/>
    </row>
    <row r="25235" spans="4:7" x14ac:dyDescent="0.3">
      <c r="D25235" s="1"/>
      <c r="G25235" s="13"/>
    </row>
    <row r="25236" spans="4:7" x14ac:dyDescent="0.3">
      <c r="D25236" s="1"/>
      <c r="G25236" s="13"/>
    </row>
    <row r="25237" spans="4:7" x14ac:dyDescent="0.3">
      <c r="D25237" s="1"/>
      <c r="G25237" s="13"/>
    </row>
    <row r="25238" spans="4:7" x14ac:dyDescent="0.3">
      <c r="D25238" s="1"/>
      <c r="G25238" s="13"/>
    </row>
    <row r="25239" spans="4:7" x14ac:dyDescent="0.3">
      <c r="D25239" s="1"/>
      <c r="G25239" s="13"/>
    </row>
    <row r="25240" spans="4:7" x14ac:dyDescent="0.3">
      <c r="D25240" s="1"/>
      <c r="G25240" s="13"/>
    </row>
    <row r="25241" spans="4:7" x14ac:dyDescent="0.3">
      <c r="D25241" s="1"/>
      <c r="G25241" s="13"/>
    </row>
    <row r="25242" spans="4:7" x14ac:dyDescent="0.3">
      <c r="D25242" s="1"/>
      <c r="G25242" s="13"/>
    </row>
    <row r="25243" spans="4:7" x14ac:dyDescent="0.3">
      <c r="D25243" s="1"/>
      <c r="G25243" s="13"/>
    </row>
    <row r="25244" spans="4:7" x14ac:dyDescent="0.3">
      <c r="D25244" s="1"/>
      <c r="G25244" s="13"/>
    </row>
    <row r="25245" spans="4:7" x14ac:dyDescent="0.3">
      <c r="D25245" s="1"/>
      <c r="G25245" s="13"/>
    </row>
    <row r="25246" spans="4:7" x14ac:dyDescent="0.3">
      <c r="G25246" s="13"/>
    </row>
    <row r="25247" spans="4:7" x14ac:dyDescent="0.3">
      <c r="D25247" s="1"/>
      <c r="G25247" s="13"/>
    </row>
    <row r="25248" spans="4:7" x14ac:dyDescent="0.3">
      <c r="D25248" s="1"/>
      <c r="G25248" s="13"/>
    </row>
    <row r="25249" spans="4:7" x14ac:dyDescent="0.3">
      <c r="D25249" s="1"/>
      <c r="G25249" s="13"/>
    </row>
    <row r="25250" spans="4:7" x14ac:dyDescent="0.3">
      <c r="D25250" s="1"/>
      <c r="G25250" s="13"/>
    </row>
    <row r="25251" spans="4:7" x14ac:dyDescent="0.3">
      <c r="D25251" s="1"/>
      <c r="G25251" s="13"/>
    </row>
    <row r="25252" spans="4:7" x14ac:dyDescent="0.3">
      <c r="D25252" s="1"/>
      <c r="G25252" s="13"/>
    </row>
    <row r="25253" spans="4:7" x14ac:dyDescent="0.3">
      <c r="D25253" s="1"/>
      <c r="G25253" s="13"/>
    </row>
    <row r="25254" spans="4:7" x14ac:dyDescent="0.3">
      <c r="D25254" s="1"/>
      <c r="G25254" s="13"/>
    </row>
    <row r="25255" spans="4:7" x14ac:dyDescent="0.3">
      <c r="D25255" s="1"/>
      <c r="G25255" s="13"/>
    </row>
    <row r="25256" spans="4:7" x14ac:dyDescent="0.3">
      <c r="D25256" s="1"/>
      <c r="G25256" s="13"/>
    </row>
    <row r="25257" spans="4:7" x14ac:dyDescent="0.3">
      <c r="D25257" s="1"/>
      <c r="G25257" s="13"/>
    </row>
    <row r="25258" spans="4:7" x14ac:dyDescent="0.3">
      <c r="D25258" s="1"/>
      <c r="G25258" s="13"/>
    </row>
    <row r="25259" spans="4:7" x14ac:dyDescent="0.3">
      <c r="D25259" s="1"/>
      <c r="G25259" s="13"/>
    </row>
    <row r="25260" spans="4:7" x14ac:dyDescent="0.3">
      <c r="D25260" s="1"/>
      <c r="G25260" s="13"/>
    </row>
    <row r="25261" spans="4:7" x14ac:dyDescent="0.3">
      <c r="D25261" s="1"/>
      <c r="G25261" s="13"/>
    </row>
    <row r="25262" spans="4:7" x14ac:dyDescent="0.3">
      <c r="D25262" s="1"/>
      <c r="G25262" s="13"/>
    </row>
    <row r="25263" spans="4:7" x14ac:dyDescent="0.3">
      <c r="D25263" s="1"/>
      <c r="G25263" s="13"/>
    </row>
    <row r="25264" spans="4:7" x14ac:dyDescent="0.3">
      <c r="D25264" s="1"/>
      <c r="G25264" s="13"/>
    </row>
    <row r="25265" spans="4:38" x14ac:dyDescent="0.3">
      <c r="D25265" s="1"/>
      <c r="G25265" s="13"/>
    </row>
    <row r="25266" spans="4:38" x14ac:dyDescent="0.3">
      <c r="D25266" s="1"/>
      <c r="G25266" s="13"/>
    </row>
    <row r="25267" spans="4:38" x14ac:dyDescent="0.3">
      <c r="D25267" s="1"/>
      <c r="G25267" s="13"/>
    </row>
    <row r="25268" spans="4:38" x14ac:dyDescent="0.3">
      <c r="D25268" s="1"/>
      <c r="G25268" s="13"/>
    </row>
    <row r="25269" spans="4:38" x14ac:dyDescent="0.3">
      <c r="D25269" s="1"/>
      <c r="G25269" s="13"/>
    </row>
    <row r="25270" spans="4:38" x14ac:dyDescent="0.3">
      <c r="D25270" s="1"/>
      <c r="G25270" s="13"/>
    </row>
    <row r="25271" spans="4:38" x14ac:dyDescent="0.3">
      <c r="D25271" s="1"/>
      <c r="G25271" s="13"/>
    </row>
    <row r="25272" spans="4:38" x14ac:dyDescent="0.3">
      <c r="D25272" s="1"/>
      <c r="G25272" s="13"/>
    </row>
    <row r="25273" spans="4:38" x14ac:dyDescent="0.3">
      <c r="D25273" s="1"/>
      <c r="G25273" s="13"/>
    </row>
    <row r="25274" spans="4:38" x14ac:dyDescent="0.3">
      <c r="D25274" s="1"/>
      <c r="G25274" s="13"/>
    </row>
    <row r="25275" spans="4:38" x14ac:dyDescent="0.3">
      <c r="D25275" s="1"/>
      <c r="G25275" s="13"/>
      <c r="AL25275" s="13"/>
    </row>
    <row r="25276" spans="4:38" x14ac:dyDescent="0.3">
      <c r="D25276" s="1"/>
      <c r="G25276" s="13"/>
      <c r="AL25276" s="13"/>
    </row>
    <row r="25277" spans="4:38" x14ac:dyDescent="0.3">
      <c r="D25277" s="1"/>
      <c r="G25277" s="13"/>
      <c r="AL25277" s="13"/>
    </row>
    <row r="25278" spans="4:38" x14ac:dyDescent="0.3">
      <c r="D25278" s="1"/>
      <c r="G25278" s="13"/>
      <c r="AL25278" s="13"/>
    </row>
    <row r="25279" spans="4:38" x14ac:dyDescent="0.3">
      <c r="D25279" s="1"/>
      <c r="G25279" s="13"/>
      <c r="AL25279" s="13"/>
    </row>
    <row r="25280" spans="4:38" x14ac:dyDescent="0.3">
      <c r="D25280" s="1"/>
      <c r="G25280" s="13"/>
      <c r="AL25280" s="13"/>
    </row>
    <row r="25281" spans="4:38" x14ac:dyDescent="0.3">
      <c r="D25281" s="1"/>
      <c r="G25281" s="13"/>
      <c r="AL25281" s="13"/>
    </row>
    <row r="25282" spans="4:38" x14ac:dyDescent="0.3">
      <c r="D25282" s="1"/>
      <c r="G25282" s="13"/>
      <c r="AL25282" s="13"/>
    </row>
    <row r="25283" spans="4:38" x14ac:dyDescent="0.3">
      <c r="D25283" s="1"/>
      <c r="G25283" s="13"/>
      <c r="AL25283" s="13"/>
    </row>
    <row r="25284" spans="4:38" x14ac:dyDescent="0.3">
      <c r="D25284" s="1"/>
      <c r="G25284" s="13"/>
      <c r="AL25284" s="13"/>
    </row>
    <row r="25285" spans="4:38" x14ac:dyDescent="0.3">
      <c r="D25285" s="1"/>
      <c r="G25285" s="13"/>
      <c r="AL25285" s="13"/>
    </row>
    <row r="25286" spans="4:38" x14ac:dyDescent="0.3">
      <c r="D25286" s="1"/>
      <c r="G25286" s="13"/>
      <c r="AL25286" s="13"/>
    </row>
    <row r="25287" spans="4:38" x14ac:dyDescent="0.3">
      <c r="D25287" s="1"/>
      <c r="G25287" s="13"/>
      <c r="AL25287" s="13"/>
    </row>
    <row r="25288" spans="4:38" x14ac:dyDescent="0.3">
      <c r="D25288" s="1"/>
      <c r="G25288" s="13"/>
      <c r="AL25288" s="13"/>
    </row>
    <row r="25289" spans="4:38" x14ac:dyDescent="0.3">
      <c r="D25289" s="1"/>
      <c r="G25289" s="13"/>
      <c r="AL25289" s="13"/>
    </row>
    <row r="25290" spans="4:38" x14ac:dyDescent="0.3">
      <c r="D25290" s="1"/>
      <c r="G25290" s="13"/>
      <c r="AL25290" s="13"/>
    </row>
    <row r="25291" spans="4:38" x14ac:dyDescent="0.3">
      <c r="D25291" s="1"/>
      <c r="G25291" s="13"/>
      <c r="AL25291" s="13"/>
    </row>
    <row r="25292" spans="4:38" x14ac:dyDescent="0.3">
      <c r="D25292" s="1"/>
      <c r="G25292" s="13"/>
      <c r="AL25292" s="13"/>
    </row>
    <row r="25293" spans="4:38" x14ac:dyDescent="0.3">
      <c r="D25293" s="1"/>
      <c r="G25293" s="13"/>
      <c r="AL25293" s="13"/>
    </row>
    <row r="25294" spans="4:38" x14ac:dyDescent="0.3">
      <c r="D25294" s="1"/>
      <c r="G25294" s="13"/>
      <c r="AL25294" s="13"/>
    </row>
    <row r="25295" spans="4:38" x14ac:dyDescent="0.3">
      <c r="D25295" s="1"/>
      <c r="G25295" s="13"/>
      <c r="AL25295" s="13"/>
    </row>
    <row r="25296" spans="4:38" x14ac:dyDescent="0.3">
      <c r="D25296" s="1"/>
      <c r="G25296" s="13"/>
      <c r="AL25296" s="13"/>
    </row>
    <row r="25297" spans="4:38" x14ac:dyDescent="0.3">
      <c r="D25297" s="1"/>
      <c r="G25297" s="13"/>
      <c r="AL25297" s="13"/>
    </row>
    <row r="25298" spans="4:38" x14ac:dyDescent="0.3">
      <c r="D25298" s="1"/>
      <c r="G25298" s="13"/>
      <c r="AL25298" s="13"/>
    </row>
    <row r="25299" spans="4:38" x14ac:dyDescent="0.3">
      <c r="D25299" s="1"/>
      <c r="G25299" s="13"/>
      <c r="AL25299" s="13"/>
    </row>
    <row r="25300" spans="4:38" x14ac:dyDescent="0.3">
      <c r="D25300" s="1"/>
      <c r="G25300" s="13"/>
      <c r="AL25300" s="13"/>
    </row>
    <row r="25301" spans="4:38" x14ac:dyDescent="0.3">
      <c r="D25301" s="1"/>
      <c r="G25301" s="13"/>
      <c r="AL25301" s="13"/>
    </row>
    <row r="25302" spans="4:38" x14ac:dyDescent="0.3">
      <c r="D25302" s="1"/>
      <c r="G25302" s="13"/>
      <c r="AL25302" s="13"/>
    </row>
    <row r="25303" spans="4:38" x14ac:dyDescent="0.3">
      <c r="D25303" s="1"/>
      <c r="G25303" s="13"/>
      <c r="AL25303" s="13"/>
    </row>
    <row r="25304" spans="4:38" x14ac:dyDescent="0.3">
      <c r="D25304" s="1"/>
      <c r="G25304" s="13"/>
      <c r="AL25304" s="13"/>
    </row>
    <row r="25305" spans="4:38" x14ac:dyDescent="0.3">
      <c r="D25305" s="1"/>
      <c r="G25305" s="13"/>
      <c r="AL25305" s="13"/>
    </row>
    <row r="25306" spans="4:38" x14ac:dyDescent="0.3">
      <c r="D25306" s="1"/>
      <c r="G25306" s="13"/>
      <c r="AL25306" s="13"/>
    </row>
    <row r="25307" spans="4:38" x14ac:dyDescent="0.3">
      <c r="D25307" s="1"/>
      <c r="G25307" s="13"/>
      <c r="AL25307" s="13"/>
    </row>
    <row r="25308" spans="4:38" x14ac:dyDescent="0.3">
      <c r="D25308" s="1"/>
      <c r="G25308" s="13"/>
      <c r="AL25308" s="13"/>
    </row>
    <row r="25309" spans="4:38" x14ac:dyDescent="0.3">
      <c r="D25309" s="1"/>
      <c r="G25309" s="13"/>
      <c r="AL25309" s="13"/>
    </row>
    <row r="25310" spans="4:38" x14ac:dyDescent="0.3">
      <c r="D25310" s="1"/>
      <c r="G25310" s="13"/>
      <c r="AL25310" s="13"/>
    </row>
    <row r="25311" spans="4:38" x14ac:dyDescent="0.3">
      <c r="D25311" s="1"/>
      <c r="G25311" s="13"/>
      <c r="AL25311" s="13"/>
    </row>
    <row r="25312" spans="4:38" x14ac:dyDescent="0.3">
      <c r="D25312" s="1"/>
      <c r="G25312" s="13"/>
      <c r="AL25312" s="13"/>
    </row>
    <row r="25313" spans="4:38" x14ac:dyDescent="0.3">
      <c r="D25313" s="1"/>
      <c r="G25313" s="13"/>
      <c r="AL25313" s="13"/>
    </row>
    <row r="25314" spans="4:38" x14ac:dyDescent="0.3">
      <c r="D25314" s="1"/>
      <c r="G25314" s="13"/>
      <c r="AL25314" s="13"/>
    </row>
    <row r="25315" spans="4:38" x14ac:dyDescent="0.3">
      <c r="D25315" s="1"/>
      <c r="G25315" s="13"/>
      <c r="AL25315" s="13"/>
    </row>
    <row r="25316" spans="4:38" x14ac:dyDescent="0.3">
      <c r="D25316" s="1"/>
      <c r="G25316" s="13"/>
      <c r="AL25316" s="13"/>
    </row>
    <row r="25317" spans="4:38" x14ac:dyDescent="0.3">
      <c r="D25317" s="1"/>
      <c r="G25317" s="13"/>
      <c r="AL25317" s="13"/>
    </row>
    <row r="25318" spans="4:38" x14ac:dyDescent="0.3">
      <c r="D25318" s="1"/>
      <c r="G25318" s="13"/>
      <c r="AL25318" s="13"/>
    </row>
    <row r="25319" spans="4:38" x14ac:dyDescent="0.3">
      <c r="D25319" s="1"/>
      <c r="G25319" s="13"/>
      <c r="AL25319" s="13"/>
    </row>
    <row r="25320" spans="4:38" x14ac:dyDescent="0.3">
      <c r="D25320" s="1"/>
      <c r="G25320" s="13"/>
      <c r="AL25320" s="13"/>
    </row>
    <row r="25321" spans="4:38" x14ac:dyDescent="0.3">
      <c r="D25321" s="1"/>
      <c r="G25321" s="13"/>
      <c r="AL25321" s="13"/>
    </row>
    <row r="25322" spans="4:38" x14ac:dyDescent="0.3">
      <c r="D25322" s="1"/>
      <c r="G25322" s="13"/>
      <c r="AL25322" s="13"/>
    </row>
    <row r="25323" spans="4:38" x14ac:dyDescent="0.3">
      <c r="D25323" s="1"/>
      <c r="G25323" s="13"/>
      <c r="AL25323" s="13"/>
    </row>
    <row r="25324" spans="4:38" x14ac:dyDescent="0.3">
      <c r="D25324" s="1"/>
      <c r="G25324" s="13"/>
      <c r="AL25324" s="13"/>
    </row>
    <row r="25325" spans="4:38" x14ac:dyDescent="0.3">
      <c r="D25325" s="1"/>
      <c r="G25325" s="13"/>
      <c r="AL25325" s="13"/>
    </row>
    <row r="25326" spans="4:38" x14ac:dyDescent="0.3">
      <c r="D25326" s="1"/>
      <c r="G25326" s="13"/>
      <c r="AL25326" s="13"/>
    </row>
    <row r="25327" spans="4:38" x14ac:dyDescent="0.3">
      <c r="D25327" s="1"/>
      <c r="G25327" s="13"/>
      <c r="AL25327" s="13"/>
    </row>
    <row r="25328" spans="4:38" x14ac:dyDescent="0.3">
      <c r="D25328" s="1"/>
      <c r="G25328" s="13"/>
      <c r="AL25328" s="13"/>
    </row>
    <row r="25329" spans="4:38" x14ac:dyDescent="0.3">
      <c r="D25329" s="1"/>
      <c r="G25329" s="13"/>
      <c r="AL25329" s="13"/>
    </row>
    <row r="25330" spans="4:38" x14ac:dyDescent="0.3">
      <c r="D25330" s="1"/>
      <c r="G25330" s="13"/>
      <c r="AL25330" s="13"/>
    </row>
    <row r="25331" spans="4:38" x14ac:dyDescent="0.3">
      <c r="D25331" s="1"/>
      <c r="G25331" s="13"/>
      <c r="AL25331" s="13"/>
    </row>
    <row r="25332" spans="4:38" x14ac:dyDescent="0.3">
      <c r="D25332" s="1"/>
      <c r="G25332" s="13"/>
      <c r="AL25332" s="13"/>
    </row>
    <row r="25333" spans="4:38" x14ac:dyDescent="0.3">
      <c r="D25333" s="1"/>
      <c r="G25333" s="13"/>
      <c r="AL25333" s="13"/>
    </row>
    <row r="25334" spans="4:38" x14ac:dyDescent="0.3">
      <c r="D25334" s="1"/>
      <c r="G25334" s="13"/>
      <c r="AL25334" s="13"/>
    </row>
    <row r="25335" spans="4:38" x14ac:dyDescent="0.3">
      <c r="D25335" s="1"/>
      <c r="G25335" s="13"/>
      <c r="AL25335" s="13"/>
    </row>
    <row r="25336" spans="4:38" x14ac:dyDescent="0.3">
      <c r="D25336" s="1"/>
      <c r="G25336" s="13"/>
      <c r="AL25336" s="13"/>
    </row>
    <row r="25337" spans="4:38" x14ac:dyDescent="0.3">
      <c r="D25337" s="1"/>
      <c r="G25337" s="13"/>
      <c r="AL25337" s="13"/>
    </row>
    <row r="25338" spans="4:38" x14ac:dyDescent="0.3">
      <c r="D25338" s="1"/>
      <c r="G25338" s="13"/>
      <c r="AL25338" s="13"/>
    </row>
    <row r="25339" spans="4:38" x14ac:dyDescent="0.3">
      <c r="D25339" s="1"/>
      <c r="G25339" s="13"/>
      <c r="AL25339" s="13"/>
    </row>
    <row r="25340" spans="4:38" x14ac:dyDescent="0.3">
      <c r="D25340" s="1"/>
      <c r="G25340" s="13"/>
      <c r="AL25340" s="13"/>
    </row>
    <row r="25341" spans="4:38" x14ac:dyDescent="0.3">
      <c r="D25341" s="1"/>
      <c r="G25341" s="13"/>
      <c r="AL25341" s="13"/>
    </row>
    <row r="25342" spans="4:38" x14ac:dyDescent="0.3">
      <c r="D25342" s="1"/>
      <c r="G25342" s="13"/>
      <c r="AL25342" s="13"/>
    </row>
    <row r="25343" spans="4:38" x14ac:dyDescent="0.3">
      <c r="D25343" s="1"/>
      <c r="G25343" s="13"/>
      <c r="AL25343" s="13"/>
    </row>
    <row r="25344" spans="4:38" x14ac:dyDescent="0.3">
      <c r="D25344" s="1"/>
      <c r="G25344" s="13"/>
      <c r="AL25344" s="13"/>
    </row>
    <row r="25345" spans="4:38" x14ac:dyDescent="0.3">
      <c r="D25345" s="1"/>
      <c r="G25345" s="13"/>
      <c r="AL25345" s="13"/>
    </row>
    <row r="25346" spans="4:38" x14ac:dyDescent="0.3">
      <c r="D25346" s="1"/>
      <c r="G25346" s="13"/>
      <c r="AL25346" s="13"/>
    </row>
    <row r="25347" spans="4:38" x14ac:dyDescent="0.3">
      <c r="D25347" s="1"/>
      <c r="G25347" s="13"/>
      <c r="AL25347" s="13"/>
    </row>
    <row r="25348" spans="4:38" x14ac:dyDescent="0.3">
      <c r="D25348" s="1"/>
      <c r="G25348" s="13"/>
      <c r="AL25348" s="13"/>
    </row>
    <row r="25349" spans="4:38" x14ac:dyDescent="0.3">
      <c r="D25349" s="1"/>
      <c r="G25349" s="13"/>
      <c r="AL25349" s="13"/>
    </row>
    <row r="25350" spans="4:38" x14ac:dyDescent="0.3">
      <c r="D25350" s="1"/>
      <c r="G25350" s="13"/>
      <c r="AL25350" s="13"/>
    </row>
    <row r="25351" spans="4:38" x14ac:dyDescent="0.3">
      <c r="D25351" s="1"/>
      <c r="G25351" s="13"/>
      <c r="AL25351" s="13"/>
    </row>
    <row r="25352" spans="4:38" x14ac:dyDescent="0.3">
      <c r="D25352" s="1"/>
      <c r="G25352" s="13"/>
      <c r="AL25352" s="13"/>
    </row>
    <row r="25353" spans="4:38" x14ac:dyDescent="0.3">
      <c r="D25353" s="1"/>
      <c r="G25353" s="13"/>
      <c r="AL25353" s="13"/>
    </row>
    <row r="25354" spans="4:38" x14ac:dyDescent="0.3">
      <c r="D25354" s="1"/>
      <c r="G25354" s="13"/>
      <c r="AL25354" s="13"/>
    </row>
    <row r="25355" spans="4:38" x14ac:dyDescent="0.3">
      <c r="D25355" s="1"/>
      <c r="G25355" s="13"/>
      <c r="AL25355" s="13"/>
    </row>
    <row r="25356" spans="4:38" x14ac:dyDescent="0.3">
      <c r="D25356" s="1"/>
      <c r="G25356" s="13"/>
      <c r="AL25356" s="13"/>
    </row>
    <row r="25357" spans="4:38" x14ac:dyDescent="0.3">
      <c r="D25357" s="1"/>
      <c r="G25357" s="13"/>
      <c r="AL25357" s="13"/>
    </row>
    <row r="25358" spans="4:38" x14ac:dyDescent="0.3">
      <c r="D25358" s="1"/>
      <c r="G25358" s="13"/>
      <c r="AL25358" s="13"/>
    </row>
    <row r="25359" spans="4:38" x14ac:dyDescent="0.3">
      <c r="D25359" s="1"/>
      <c r="G25359" s="13"/>
      <c r="AL25359" s="13"/>
    </row>
    <row r="25360" spans="4:38" x14ac:dyDescent="0.3">
      <c r="D25360" s="1"/>
      <c r="G25360" s="13"/>
      <c r="AL25360" s="13"/>
    </row>
    <row r="25361" spans="4:38" x14ac:dyDescent="0.3">
      <c r="D25361" s="1"/>
      <c r="G25361" s="13"/>
      <c r="AL25361" s="13"/>
    </row>
    <row r="25362" spans="4:38" x14ac:dyDescent="0.3">
      <c r="D25362" s="1"/>
      <c r="G25362" s="13"/>
      <c r="AL25362" s="13"/>
    </row>
    <row r="25363" spans="4:38" x14ac:dyDescent="0.3">
      <c r="D25363" s="1"/>
      <c r="G25363" s="13"/>
      <c r="AL25363" s="13"/>
    </row>
    <row r="25364" spans="4:38" x14ac:dyDescent="0.3">
      <c r="D25364" s="1"/>
      <c r="G25364" s="13"/>
      <c r="AL25364" s="13"/>
    </row>
    <row r="25365" spans="4:38" x14ac:dyDescent="0.3">
      <c r="D25365" s="1"/>
      <c r="G25365" s="13"/>
      <c r="AL25365" s="13"/>
    </row>
    <row r="25366" spans="4:38" x14ac:dyDescent="0.3">
      <c r="D25366" s="1"/>
      <c r="G25366" s="13"/>
      <c r="AL25366" s="13"/>
    </row>
    <row r="25367" spans="4:38" x14ac:dyDescent="0.3">
      <c r="D25367" s="1"/>
      <c r="G25367" s="13"/>
      <c r="AL25367" s="13"/>
    </row>
    <row r="25368" spans="4:38" x14ac:dyDescent="0.3">
      <c r="D25368" s="1"/>
      <c r="G25368" s="13"/>
      <c r="AL25368" s="13"/>
    </row>
    <row r="25369" spans="4:38" x14ac:dyDescent="0.3">
      <c r="D25369" s="1"/>
      <c r="G25369" s="13"/>
      <c r="AL25369" s="13"/>
    </row>
    <row r="25370" spans="4:38" x14ac:dyDescent="0.3">
      <c r="D25370" s="1"/>
      <c r="G25370" s="13"/>
      <c r="AL25370" s="13"/>
    </row>
    <row r="25371" spans="4:38" x14ac:dyDescent="0.3">
      <c r="D25371" s="1"/>
      <c r="G25371" s="13"/>
      <c r="AL25371" s="13"/>
    </row>
    <row r="25372" spans="4:38" x14ac:dyDescent="0.3">
      <c r="D25372" s="1"/>
      <c r="G25372" s="13"/>
      <c r="AL25372" s="13"/>
    </row>
    <row r="25373" spans="4:38" x14ac:dyDescent="0.3">
      <c r="D25373" s="1"/>
      <c r="G25373" s="13"/>
      <c r="AL25373" s="13"/>
    </row>
    <row r="25374" spans="4:38" x14ac:dyDescent="0.3">
      <c r="D25374" s="1"/>
      <c r="G25374" s="13"/>
      <c r="AL25374" s="13"/>
    </row>
    <row r="25375" spans="4:38" x14ac:dyDescent="0.3">
      <c r="D25375" s="1"/>
      <c r="G25375" s="13"/>
      <c r="AL25375" s="13"/>
    </row>
    <row r="25376" spans="4:38" x14ac:dyDescent="0.3">
      <c r="G25376" s="13"/>
    </row>
    <row r="25377" spans="4:38" x14ac:dyDescent="0.3">
      <c r="D25377" s="1"/>
      <c r="G25377" s="13"/>
    </row>
    <row r="25378" spans="4:38" x14ac:dyDescent="0.3">
      <c r="D25378" s="1"/>
      <c r="G25378" s="13"/>
    </row>
    <row r="25379" spans="4:38" x14ac:dyDescent="0.3">
      <c r="D25379" s="1"/>
      <c r="G25379" s="13"/>
    </row>
    <row r="25380" spans="4:38" x14ac:dyDescent="0.3">
      <c r="D25380" s="1"/>
      <c r="G25380" s="13"/>
    </row>
    <row r="25381" spans="4:38" x14ac:dyDescent="0.3">
      <c r="G25381" s="13"/>
    </row>
    <row r="25382" spans="4:38" x14ac:dyDescent="0.3">
      <c r="G25382" s="13"/>
    </row>
    <row r="25383" spans="4:38" x14ac:dyDescent="0.3">
      <c r="G25383" s="13"/>
    </row>
    <row r="25384" spans="4:38" x14ac:dyDescent="0.3">
      <c r="D25384" s="1"/>
      <c r="G25384" s="13"/>
    </row>
    <row r="25385" spans="4:38" x14ac:dyDescent="0.3">
      <c r="D25385" s="1"/>
      <c r="G25385" s="13"/>
    </row>
    <row r="25386" spans="4:38" x14ac:dyDescent="0.3">
      <c r="G25386" s="13"/>
    </row>
    <row r="25387" spans="4:38" x14ac:dyDescent="0.3">
      <c r="D25387" s="1"/>
      <c r="G25387" s="13"/>
      <c r="AL25387" s="13"/>
    </row>
    <row r="25388" spans="4:38" x14ac:dyDescent="0.3">
      <c r="D25388" s="1"/>
      <c r="G25388" s="13"/>
      <c r="AL25388" s="13"/>
    </row>
    <row r="25389" spans="4:38" x14ac:dyDescent="0.3">
      <c r="D25389" s="1"/>
      <c r="G25389" s="13"/>
      <c r="AL25389" s="13"/>
    </row>
    <row r="25390" spans="4:38" x14ac:dyDescent="0.3">
      <c r="D25390" s="1"/>
      <c r="G25390" s="13"/>
      <c r="AL25390" s="13"/>
    </row>
    <row r="25391" spans="4:38" x14ac:dyDescent="0.3">
      <c r="D25391" s="1"/>
      <c r="G25391" s="13"/>
      <c r="AL25391" s="13"/>
    </row>
    <row r="25392" spans="4:38" x14ac:dyDescent="0.3">
      <c r="D25392" s="1"/>
      <c r="G25392" s="13"/>
      <c r="AL25392" s="13"/>
    </row>
    <row r="25393" spans="4:38" x14ac:dyDescent="0.3">
      <c r="D25393" s="1"/>
      <c r="G25393" s="13"/>
      <c r="AL25393" s="13"/>
    </row>
    <row r="25394" spans="4:38" x14ac:dyDescent="0.3">
      <c r="D25394" s="1"/>
      <c r="G25394" s="13"/>
      <c r="AL25394" s="13"/>
    </row>
    <row r="25395" spans="4:38" x14ac:dyDescent="0.3">
      <c r="D25395" s="1"/>
      <c r="G25395" s="13"/>
      <c r="AL25395" s="13"/>
    </row>
    <row r="25396" spans="4:38" x14ac:dyDescent="0.3">
      <c r="D25396" s="1"/>
      <c r="G25396" s="13"/>
      <c r="AL25396" s="13"/>
    </row>
    <row r="25397" spans="4:38" x14ac:dyDescent="0.3">
      <c r="D25397" s="1"/>
      <c r="G25397" s="13"/>
      <c r="AL25397" s="13"/>
    </row>
    <row r="25398" spans="4:38" x14ac:dyDescent="0.3">
      <c r="D25398" s="1"/>
      <c r="G25398" s="13"/>
      <c r="AL25398" s="13"/>
    </row>
    <row r="25399" spans="4:38" x14ac:dyDescent="0.3">
      <c r="D25399" s="1"/>
      <c r="G25399" s="13"/>
      <c r="AL25399" s="13"/>
    </row>
    <row r="25400" spans="4:38" x14ac:dyDescent="0.3">
      <c r="D25400" s="1"/>
      <c r="G25400" s="13"/>
      <c r="AL25400" s="13"/>
    </row>
    <row r="25401" spans="4:38" x14ac:dyDescent="0.3">
      <c r="D25401" s="1"/>
      <c r="G25401" s="13"/>
      <c r="AL25401" s="13"/>
    </row>
    <row r="25402" spans="4:38" x14ac:dyDescent="0.3">
      <c r="D25402" s="1"/>
      <c r="G25402" s="13"/>
      <c r="AL25402" s="13"/>
    </row>
    <row r="25403" spans="4:38" x14ac:dyDescent="0.3">
      <c r="D25403" s="1"/>
      <c r="G25403" s="13"/>
      <c r="AL25403" s="13"/>
    </row>
    <row r="25404" spans="4:38" x14ac:dyDescent="0.3">
      <c r="D25404" s="1"/>
      <c r="G25404" s="13"/>
      <c r="AL25404" s="13"/>
    </row>
    <row r="25405" spans="4:38" x14ac:dyDescent="0.3">
      <c r="D25405" s="1"/>
      <c r="G25405" s="13"/>
      <c r="AL25405" s="13"/>
    </row>
    <row r="25406" spans="4:38" x14ac:dyDescent="0.3">
      <c r="D25406" s="1"/>
      <c r="G25406" s="13"/>
      <c r="AL25406" s="13"/>
    </row>
    <row r="25407" spans="4:38" x14ac:dyDescent="0.3">
      <c r="D25407" s="1"/>
      <c r="G25407" s="13"/>
      <c r="AL25407" s="13"/>
    </row>
    <row r="25408" spans="4:38" x14ac:dyDescent="0.3">
      <c r="D25408" s="1"/>
      <c r="G25408" s="13"/>
      <c r="AL25408" s="13"/>
    </row>
    <row r="25409" spans="4:38" x14ac:dyDescent="0.3">
      <c r="D25409" s="1"/>
      <c r="G25409" s="13"/>
      <c r="AL25409" s="13"/>
    </row>
    <row r="25410" spans="4:38" x14ac:dyDescent="0.3">
      <c r="D25410" s="1"/>
      <c r="G25410" s="13"/>
      <c r="AL25410" s="13"/>
    </row>
    <row r="25411" spans="4:38" x14ac:dyDescent="0.3">
      <c r="D25411" s="1"/>
      <c r="G25411" s="13"/>
      <c r="AL25411" s="13"/>
    </row>
    <row r="25412" spans="4:38" x14ac:dyDescent="0.3">
      <c r="D25412" s="1"/>
      <c r="G25412" s="13"/>
      <c r="AL25412" s="13"/>
    </row>
    <row r="25413" spans="4:38" x14ac:dyDescent="0.3">
      <c r="D25413" s="1"/>
      <c r="G25413" s="13"/>
      <c r="AL25413" s="13"/>
    </row>
    <row r="25414" spans="4:38" x14ac:dyDescent="0.3">
      <c r="D25414" s="1"/>
      <c r="G25414" s="13"/>
      <c r="AL25414" s="13"/>
    </row>
    <row r="25415" spans="4:38" x14ac:dyDescent="0.3">
      <c r="D25415" s="1"/>
      <c r="G25415" s="13"/>
      <c r="AL25415" s="13"/>
    </row>
    <row r="25416" spans="4:38" x14ac:dyDescent="0.3">
      <c r="D25416" s="1"/>
      <c r="G25416" s="13"/>
      <c r="AL25416" s="13"/>
    </row>
    <row r="25417" spans="4:38" x14ac:dyDescent="0.3">
      <c r="D25417" s="1"/>
      <c r="G25417" s="13"/>
      <c r="AL25417" s="13"/>
    </row>
    <row r="25418" spans="4:38" x14ac:dyDescent="0.3">
      <c r="D25418" s="1"/>
      <c r="G25418" s="13"/>
      <c r="AL25418" s="13"/>
    </row>
    <row r="25419" spans="4:38" x14ac:dyDescent="0.3">
      <c r="D25419" s="1"/>
      <c r="G25419" s="13"/>
      <c r="AL25419" s="13"/>
    </row>
    <row r="25420" spans="4:38" x14ac:dyDescent="0.3">
      <c r="D25420" s="1"/>
      <c r="G25420" s="13"/>
      <c r="AL25420" s="13"/>
    </row>
    <row r="25421" spans="4:38" x14ac:dyDescent="0.3">
      <c r="D25421" s="1"/>
      <c r="G25421" s="13"/>
      <c r="AL25421" s="13"/>
    </row>
    <row r="25422" spans="4:38" x14ac:dyDescent="0.3">
      <c r="D25422" s="1"/>
      <c r="G25422" s="13"/>
      <c r="AL25422" s="13"/>
    </row>
    <row r="25423" spans="4:38" x14ac:dyDescent="0.3">
      <c r="D25423" s="1"/>
      <c r="G25423" s="13"/>
      <c r="AL25423" s="13"/>
    </row>
    <row r="25424" spans="4:38" x14ac:dyDescent="0.3">
      <c r="D25424" s="1"/>
      <c r="G25424" s="13"/>
      <c r="AL25424" s="13"/>
    </row>
    <row r="25425" spans="4:38" x14ac:dyDescent="0.3">
      <c r="D25425" s="1"/>
      <c r="AL25425" s="13"/>
    </row>
    <row r="25426" spans="4:38" x14ac:dyDescent="0.3">
      <c r="D25426" s="1"/>
      <c r="G25426" s="13"/>
      <c r="AL25426" s="13"/>
    </row>
    <row r="25427" spans="4:38" x14ac:dyDescent="0.3">
      <c r="D25427" s="1"/>
      <c r="G25427" s="13"/>
      <c r="AL25427" s="13"/>
    </row>
    <row r="25428" spans="4:38" x14ac:dyDescent="0.3">
      <c r="D25428" s="1"/>
      <c r="G25428" s="13"/>
      <c r="AL25428" s="13"/>
    </row>
    <row r="25429" spans="4:38" x14ac:dyDescent="0.3">
      <c r="D25429" s="1"/>
      <c r="G25429" s="13"/>
      <c r="AL25429" s="13"/>
    </row>
    <row r="25430" spans="4:38" x14ac:dyDescent="0.3">
      <c r="D25430" s="1"/>
      <c r="G25430" s="13"/>
      <c r="AL25430" s="13"/>
    </row>
    <row r="25431" spans="4:38" x14ac:dyDescent="0.3">
      <c r="D25431" s="1"/>
      <c r="G25431" s="13"/>
      <c r="AL25431" s="13"/>
    </row>
    <row r="25432" spans="4:38" x14ac:dyDescent="0.3">
      <c r="D25432" s="1"/>
      <c r="G25432" s="13"/>
    </row>
    <row r="25433" spans="4:38" x14ac:dyDescent="0.3">
      <c r="D25433" s="1"/>
      <c r="G25433" s="13"/>
    </row>
    <row r="25434" spans="4:38" x14ac:dyDescent="0.3">
      <c r="D25434" s="1"/>
      <c r="G25434" s="13"/>
      <c r="AL25434" s="13"/>
    </row>
    <row r="25435" spans="4:38" x14ac:dyDescent="0.3">
      <c r="D25435" s="1"/>
      <c r="G25435" s="13"/>
    </row>
    <row r="25436" spans="4:38" x14ac:dyDescent="0.3">
      <c r="D25436" s="1"/>
      <c r="G25436" s="13"/>
    </row>
    <row r="25437" spans="4:38" x14ac:dyDescent="0.3">
      <c r="D25437" s="1"/>
      <c r="G25437" s="13"/>
    </row>
    <row r="25438" spans="4:38" x14ac:dyDescent="0.3">
      <c r="D25438" s="1"/>
      <c r="G25438" s="13"/>
    </row>
    <row r="25439" spans="4:38" x14ac:dyDescent="0.3">
      <c r="D25439" s="1"/>
      <c r="G25439" s="13"/>
    </row>
    <row r="25440" spans="4:38" x14ac:dyDescent="0.3">
      <c r="D25440" s="1"/>
      <c r="G25440" s="13"/>
    </row>
    <row r="25441" spans="4:7" x14ac:dyDescent="0.3">
      <c r="D25441" s="1"/>
      <c r="G25441" s="13"/>
    </row>
    <row r="25442" spans="4:7" x14ac:dyDescent="0.3">
      <c r="D25442" s="1"/>
      <c r="G25442" s="13"/>
    </row>
    <row r="25443" spans="4:7" x14ac:dyDescent="0.3">
      <c r="D25443" s="1"/>
      <c r="G25443" s="13"/>
    </row>
    <row r="25444" spans="4:7" x14ac:dyDescent="0.3">
      <c r="D25444" s="1"/>
      <c r="G25444" s="13"/>
    </row>
    <row r="25445" spans="4:7" x14ac:dyDescent="0.3">
      <c r="D25445" s="1"/>
      <c r="G25445" s="13"/>
    </row>
    <row r="25446" spans="4:7" x14ac:dyDescent="0.3">
      <c r="D25446" s="1"/>
      <c r="G25446" s="13"/>
    </row>
    <row r="25447" spans="4:7" x14ac:dyDescent="0.3">
      <c r="D25447" s="1"/>
      <c r="G25447" s="13"/>
    </row>
    <row r="25448" spans="4:7" x14ac:dyDescent="0.3">
      <c r="D25448" s="1"/>
      <c r="G25448" s="13"/>
    </row>
    <row r="25449" spans="4:7" x14ac:dyDescent="0.3">
      <c r="D25449" s="1"/>
      <c r="G25449" s="13"/>
    </row>
    <row r="25450" spans="4:7" x14ac:dyDescent="0.3">
      <c r="D25450" s="1"/>
      <c r="G25450" s="13"/>
    </row>
    <row r="25451" spans="4:7" x14ac:dyDescent="0.3">
      <c r="D25451" s="1"/>
      <c r="G25451" s="13"/>
    </row>
    <row r="25452" spans="4:7" x14ac:dyDescent="0.3">
      <c r="D25452" s="1"/>
      <c r="G25452" s="13"/>
    </row>
    <row r="25453" spans="4:7" x14ac:dyDescent="0.3">
      <c r="D25453" s="1"/>
      <c r="G25453" s="13"/>
    </row>
    <row r="25454" spans="4:7" x14ac:dyDescent="0.3">
      <c r="D25454" s="1"/>
      <c r="G25454" s="13"/>
    </row>
    <row r="25455" spans="4:7" x14ac:dyDescent="0.3">
      <c r="D25455" s="1"/>
      <c r="G25455" s="13"/>
    </row>
    <row r="25456" spans="4:7" x14ac:dyDescent="0.3">
      <c r="D25456" s="1"/>
      <c r="G25456" s="13"/>
    </row>
    <row r="25457" spans="4:7" x14ac:dyDescent="0.3">
      <c r="D25457" s="1"/>
      <c r="G25457" s="13"/>
    </row>
    <row r="25458" spans="4:7" x14ac:dyDescent="0.3">
      <c r="D25458" s="1"/>
      <c r="G25458" s="13"/>
    </row>
    <row r="25459" spans="4:7" x14ac:dyDescent="0.3">
      <c r="D25459" s="1"/>
      <c r="G25459" s="13"/>
    </row>
    <row r="25460" spans="4:7" x14ac:dyDescent="0.3">
      <c r="D25460" s="1"/>
      <c r="G25460" s="13"/>
    </row>
    <row r="25461" spans="4:7" x14ac:dyDescent="0.3">
      <c r="D25461" s="1"/>
      <c r="G25461" s="13"/>
    </row>
    <row r="25462" spans="4:7" x14ac:dyDescent="0.3">
      <c r="D25462" s="1"/>
      <c r="G25462" s="13"/>
    </row>
    <row r="25463" spans="4:7" x14ac:dyDescent="0.3">
      <c r="D25463" s="1"/>
      <c r="G25463" s="13"/>
    </row>
    <row r="25464" spans="4:7" x14ac:dyDescent="0.3">
      <c r="D25464" s="1"/>
      <c r="G25464" s="13"/>
    </row>
    <row r="25465" spans="4:7" x14ac:dyDescent="0.3">
      <c r="D25465" s="1"/>
      <c r="G25465" s="13"/>
    </row>
    <row r="25466" spans="4:7" x14ac:dyDescent="0.3">
      <c r="D25466" s="1"/>
      <c r="G25466" s="13"/>
    </row>
    <row r="25467" spans="4:7" x14ac:dyDescent="0.3">
      <c r="D25467" s="1"/>
      <c r="G25467" s="13"/>
    </row>
    <row r="25468" spans="4:7" x14ac:dyDescent="0.3">
      <c r="D25468" s="1"/>
      <c r="G25468" s="13"/>
    </row>
    <row r="25469" spans="4:7" x14ac:dyDescent="0.3">
      <c r="D25469" s="1"/>
      <c r="G25469" s="13"/>
    </row>
    <row r="25470" spans="4:7" x14ac:dyDescent="0.3">
      <c r="D25470" s="1"/>
      <c r="G25470" s="13"/>
    </row>
    <row r="25471" spans="4:7" x14ac:dyDescent="0.3">
      <c r="D25471" s="1"/>
      <c r="G25471" s="13"/>
    </row>
    <row r="25472" spans="4:7" x14ac:dyDescent="0.3">
      <c r="D25472" s="1"/>
      <c r="G25472" s="13"/>
    </row>
    <row r="25473" spans="4:7" x14ac:dyDescent="0.3">
      <c r="D25473" s="1"/>
      <c r="G25473" s="13"/>
    </row>
    <row r="25474" spans="4:7" x14ac:dyDescent="0.3">
      <c r="D25474" s="1"/>
      <c r="G25474" s="13"/>
    </row>
    <row r="25475" spans="4:7" x14ac:dyDescent="0.3">
      <c r="D25475" s="1"/>
      <c r="G25475" s="13"/>
    </row>
    <row r="25476" spans="4:7" x14ac:dyDescent="0.3">
      <c r="D25476" s="1"/>
      <c r="G25476" s="13"/>
    </row>
    <row r="25477" spans="4:7" x14ac:dyDescent="0.3">
      <c r="D25477" s="1"/>
      <c r="G25477" s="13"/>
    </row>
    <row r="25478" spans="4:7" x14ac:dyDescent="0.3">
      <c r="D25478" s="1"/>
      <c r="G25478" s="13"/>
    </row>
    <row r="25479" spans="4:7" x14ac:dyDescent="0.3">
      <c r="D25479" s="1"/>
      <c r="G25479" s="13"/>
    </row>
    <row r="25480" spans="4:7" x14ac:dyDescent="0.3">
      <c r="D25480" s="1"/>
      <c r="G25480" s="13"/>
    </row>
    <row r="25481" spans="4:7" x14ac:dyDescent="0.3">
      <c r="D25481" s="1"/>
      <c r="G25481" s="13"/>
    </row>
    <row r="25482" spans="4:7" x14ac:dyDescent="0.3">
      <c r="D25482" s="1"/>
      <c r="G25482" s="13"/>
    </row>
    <row r="25483" spans="4:7" x14ac:dyDescent="0.3">
      <c r="D25483" s="1"/>
      <c r="G25483" s="13"/>
    </row>
    <row r="25484" spans="4:7" x14ac:dyDescent="0.3">
      <c r="D25484" s="1"/>
      <c r="G25484" s="13"/>
    </row>
    <row r="25485" spans="4:7" x14ac:dyDescent="0.3">
      <c r="D25485" s="1"/>
      <c r="G25485" s="13"/>
    </row>
    <row r="25486" spans="4:7" x14ac:dyDescent="0.3">
      <c r="D25486" s="1"/>
      <c r="G25486" s="13"/>
    </row>
    <row r="25487" spans="4:7" x14ac:dyDescent="0.3">
      <c r="D25487" s="1"/>
      <c r="G25487" s="13"/>
    </row>
    <row r="25488" spans="4:7" x14ac:dyDescent="0.3">
      <c r="D25488" s="1"/>
      <c r="G25488" s="13"/>
    </row>
    <row r="25489" spans="4:7" x14ac:dyDescent="0.3">
      <c r="D25489" s="1"/>
      <c r="G25489" s="13"/>
    </row>
    <row r="25490" spans="4:7" x14ac:dyDescent="0.3">
      <c r="D25490" s="1"/>
      <c r="G25490" s="13"/>
    </row>
    <row r="25491" spans="4:7" x14ac:dyDescent="0.3">
      <c r="D25491" s="1"/>
      <c r="G25491" s="13"/>
    </row>
    <row r="25492" spans="4:7" x14ac:dyDescent="0.3">
      <c r="D25492" s="1"/>
      <c r="G25492" s="13"/>
    </row>
    <row r="25493" spans="4:7" x14ac:dyDescent="0.3">
      <c r="D25493" s="1"/>
      <c r="G25493" s="13"/>
    </row>
    <row r="25494" spans="4:7" x14ac:dyDescent="0.3">
      <c r="D25494" s="1"/>
      <c r="G25494" s="13"/>
    </row>
    <row r="25495" spans="4:7" x14ac:dyDescent="0.3">
      <c r="D25495" s="1"/>
      <c r="G25495" s="13"/>
    </row>
    <row r="25496" spans="4:7" x14ac:dyDescent="0.3">
      <c r="D25496" s="1"/>
      <c r="G25496" s="13"/>
    </row>
    <row r="25497" spans="4:7" x14ac:dyDescent="0.3">
      <c r="D25497" s="1"/>
      <c r="G25497" s="13"/>
    </row>
    <row r="25498" spans="4:7" x14ac:dyDescent="0.3">
      <c r="D25498" s="1"/>
      <c r="G25498" s="13"/>
    </row>
    <row r="25499" spans="4:7" x14ac:dyDescent="0.3">
      <c r="D25499" s="1"/>
      <c r="G25499" s="13"/>
    </row>
    <row r="25500" spans="4:7" x14ac:dyDescent="0.3">
      <c r="D25500" s="1"/>
      <c r="G25500" s="13"/>
    </row>
    <row r="25501" spans="4:7" x14ac:dyDescent="0.3">
      <c r="D25501" s="1"/>
      <c r="G25501" s="13"/>
    </row>
    <row r="25502" spans="4:7" x14ac:dyDescent="0.3">
      <c r="D25502" s="1"/>
      <c r="G25502" s="13"/>
    </row>
    <row r="25503" spans="4:7" x14ac:dyDescent="0.3">
      <c r="D25503" s="1"/>
      <c r="G25503" s="13"/>
    </row>
    <row r="25504" spans="4:7" x14ac:dyDescent="0.3">
      <c r="D25504" s="1"/>
      <c r="G25504" s="13"/>
    </row>
    <row r="25505" spans="4:7" x14ac:dyDescent="0.3">
      <c r="D25505" s="1"/>
      <c r="G25505" s="13"/>
    </row>
    <row r="25506" spans="4:7" x14ac:dyDescent="0.3">
      <c r="D25506" s="1"/>
      <c r="G25506" s="13"/>
    </row>
    <row r="25507" spans="4:7" x14ac:dyDescent="0.3">
      <c r="D25507" s="1"/>
      <c r="G25507" s="13"/>
    </row>
    <row r="25508" spans="4:7" x14ac:dyDescent="0.3">
      <c r="D25508" s="1"/>
      <c r="G25508" s="13"/>
    </row>
    <row r="25509" spans="4:7" x14ac:dyDescent="0.3">
      <c r="D25509" s="1"/>
      <c r="G25509" s="13"/>
    </row>
    <row r="25510" spans="4:7" x14ac:dyDescent="0.3">
      <c r="D25510" s="1"/>
      <c r="G25510" s="13"/>
    </row>
    <row r="25511" spans="4:7" x14ac:dyDescent="0.3">
      <c r="D25511" s="1"/>
      <c r="G25511" s="13"/>
    </row>
    <row r="25512" spans="4:7" x14ac:dyDescent="0.3">
      <c r="D25512" s="1"/>
      <c r="G25512" s="13"/>
    </row>
    <row r="25513" spans="4:7" x14ac:dyDescent="0.3">
      <c r="D25513" s="1"/>
      <c r="G25513" s="13"/>
    </row>
    <row r="25514" spans="4:7" x14ac:dyDescent="0.3">
      <c r="D25514" s="1"/>
      <c r="G25514" s="13"/>
    </row>
    <row r="25515" spans="4:7" x14ac:dyDescent="0.3">
      <c r="D25515" s="1"/>
      <c r="G25515" s="13"/>
    </row>
    <row r="25516" spans="4:7" x14ac:dyDescent="0.3">
      <c r="D25516" s="1"/>
      <c r="G25516" s="13"/>
    </row>
    <row r="25517" spans="4:7" x14ac:dyDescent="0.3">
      <c r="D25517" s="1"/>
      <c r="G25517" s="13"/>
    </row>
    <row r="25518" spans="4:7" x14ac:dyDescent="0.3">
      <c r="D25518" s="1"/>
      <c r="G25518" s="13"/>
    </row>
    <row r="25519" spans="4:7" x14ac:dyDescent="0.3">
      <c r="D25519" s="1"/>
      <c r="G25519" s="13"/>
    </row>
    <row r="25520" spans="4:7" x14ac:dyDescent="0.3">
      <c r="D25520" s="1"/>
      <c r="G25520" s="13"/>
    </row>
    <row r="25521" spans="4:7" x14ac:dyDescent="0.3">
      <c r="D25521" s="1"/>
      <c r="G25521" s="13"/>
    </row>
    <row r="25522" spans="4:7" x14ac:dyDescent="0.3">
      <c r="D25522" s="1"/>
      <c r="G25522" s="13"/>
    </row>
    <row r="25523" spans="4:7" x14ac:dyDescent="0.3">
      <c r="D25523" s="1"/>
      <c r="G25523" s="13"/>
    </row>
    <row r="25524" spans="4:7" x14ac:dyDescent="0.3">
      <c r="D25524" s="1"/>
      <c r="G25524" s="13"/>
    </row>
    <row r="25525" spans="4:7" x14ac:dyDescent="0.3">
      <c r="D25525" s="1"/>
      <c r="G25525" s="13"/>
    </row>
    <row r="25526" spans="4:7" x14ac:dyDescent="0.3">
      <c r="D25526" s="1"/>
      <c r="G25526" s="13"/>
    </row>
    <row r="25527" spans="4:7" x14ac:dyDescent="0.3">
      <c r="D25527" s="1"/>
      <c r="G25527" s="13"/>
    </row>
    <row r="25528" spans="4:7" x14ac:dyDescent="0.3">
      <c r="D25528" s="1"/>
      <c r="G25528" s="13"/>
    </row>
    <row r="25529" spans="4:7" x14ac:dyDescent="0.3">
      <c r="D25529" s="1"/>
      <c r="G25529" s="13"/>
    </row>
    <row r="25530" spans="4:7" x14ac:dyDescent="0.3">
      <c r="D25530" s="1"/>
      <c r="G25530" s="13"/>
    </row>
    <row r="25531" spans="4:7" x14ac:dyDescent="0.3">
      <c r="D25531" s="1"/>
      <c r="G25531" s="13"/>
    </row>
    <row r="25532" spans="4:7" x14ac:dyDescent="0.3">
      <c r="D25532" s="1"/>
      <c r="G25532" s="13"/>
    </row>
    <row r="25533" spans="4:7" x14ac:dyDescent="0.3">
      <c r="D25533" s="1"/>
      <c r="G25533" s="13"/>
    </row>
    <row r="25534" spans="4:7" x14ac:dyDescent="0.3">
      <c r="D25534" s="1"/>
      <c r="G25534" s="13"/>
    </row>
    <row r="25535" spans="4:7" x14ac:dyDescent="0.3">
      <c r="D25535" s="1"/>
      <c r="G25535" s="13"/>
    </row>
    <row r="25536" spans="4:7" x14ac:dyDescent="0.3">
      <c r="D25536" s="1"/>
      <c r="G25536" s="13"/>
    </row>
    <row r="25537" spans="4:7" x14ac:dyDescent="0.3">
      <c r="D25537" s="1"/>
      <c r="G25537" s="13"/>
    </row>
    <row r="25538" spans="4:7" x14ac:dyDescent="0.3">
      <c r="D25538" s="1"/>
      <c r="G25538" s="13"/>
    </row>
    <row r="25539" spans="4:7" x14ac:dyDescent="0.3">
      <c r="D25539" s="1"/>
      <c r="G25539" s="13"/>
    </row>
    <row r="25540" spans="4:7" x14ac:dyDescent="0.3">
      <c r="D25540" s="1"/>
      <c r="G25540" s="13"/>
    </row>
    <row r="25541" spans="4:7" x14ac:dyDescent="0.3">
      <c r="D25541" s="1"/>
      <c r="G25541" s="13"/>
    </row>
    <row r="25542" spans="4:7" x14ac:dyDescent="0.3">
      <c r="D25542" s="1"/>
      <c r="G25542" s="13"/>
    </row>
    <row r="25543" spans="4:7" x14ac:dyDescent="0.3">
      <c r="D25543" s="1"/>
      <c r="G25543" s="13"/>
    </row>
    <row r="25544" spans="4:7" x14ac:dyDescent="0.3">
      <c r="D25544" s="1"/>
      <c r="G25544" s="13"/>
    </row>
    <row r="25545" spans="4:7" x14ac:dyDescent="0.3">
      <c r="D25545" s="1"/>
      <c r="G25545" s="13"/>
    </row>
    <row r="25546" spans="4:7" x14ac:dyDescent="0.3">
      <c r="D25546" s="1"/>
      <c r="G25546" s="13"/>
    </row>
    <row r="25547" spans="4:7" x14ac:dyDescent="0.3">
      <c r="D25547" s="1"/>
      <c r="G25547" s="13"/>
    </row>
    <row r="25548" spans="4:7" x14ac:dyDescent="0.3">
      <c r="D25548" s="1"/>
      <c r="G25548" s="13"/>
    </row>
    <row r="25549" spans="4:7" x14ac:dyDescent="0.3">
      <c r="D25549" s="1"/>
      <c r="G25549" s="13"/>
    </row>
    <row r="25550" spans="4:7" x14ac:dyDescent="0.3">
      <c r="D25550" s="1"/>
      <c r="G25550" s="13"/>
    </row>
    <row r="25551" spans="4:7" x14ac:dyDescent="0.3">
      <c r="D25551" s="1"/>
      <c r="G25551" s="13"/>
    </row>
    <row r="25552" spans="4:7" x14ac:dyDescent="0.3">
      <c r="D25552" s="1"/>
      <c r="G25552" s="13"/>
    </row>
    <row r="25553" spans="4:7" x14ac:dyDescent="0.3">
      <c r="D25553" s="1"/>
      <c r="G25553" s="13"/>
    </row>
    <row r="25554" spans="4:7" x14ac:dyDescent="0.3">
      <c r="D25554" s="1"/>
      <c r="G25554" s="13"/>
    </row>
    <row r="25555" spans="4:7" x14ac:dyDescent="0.3">
      <c r="D25555" s="1"/>
      <c r="G25555" s="13"/>
    </row>
    <row r="25556" spans="4:7" x14ac:dyDescent="0.3">
      <c r="D25556" s="1"/>
      <c r="G25556" s="13"/>
    </row>
    <row r="25557" spans="4:7" x14ac:dyDescent="0.3">
      <c r="D25557" s="1"/>
      <c r="G25557" s="13"/>
    </row>
    <row r="25558" spans="4:7" x14ac:dyDescent="0.3">
      <c r="D25558" s="1"/>
      <c r="G25558" s="13"/>
    </row>
    <row r="25559" spans="4:7" x14ac:dyDescent="0.3">
      <c r="D25559" s="1"/>
      <c r="G25559" s="13"/>
    </row>
    <row r="25560" spans="4:7" x14ac:dyDescent="0.3">
      <c r="G25560" s="13"/>
    </row>
    <row r="25561" spans="4:7" x14ac:dyDescent="0.3">
      <c r="D25561" s="1"/>
      <c r="G25561" s="13"/>
    </row>
    <row r="25562" spans="4:7" x14ac:dyDescent="0.3">
      <c r="G25562" s="13"/>
    </row>
    <row r="25563" spans="4:7" x14ac:dyDescent="0.3">
      <c r="D25563" s="1"/>
      <c r="G25563" s="13"/>
    </row>
    <row r="25564" spans="4:7" x14ac:dyDescent="0.3">
      <c r="D25564" s="1"/>
      <c r="G25564" s="13"/>
    </row>
    <row r="25565" spans="4:7" x14ac:dyDescent="0.3">
      <c r="D25565" s="1"/>
      <c r="G25565" s="13"/>
    </row>
    <row r="25566" spans="4:7" x14ac:dyDescent="0.3">
      <c r="D25566" s="1"/>
      <c r="G25566" s="13"/>
    </row>
    <row r="25567" spans="4:7" x14ac:dyDescent="0.3">
      <c r="D25567" s="1"/>
      <c r="G25567" s="13"/>
    </row>
    <row r="25568" spans="4:7" x14ac:dyDescent="0.3">
      <c r="D25568" s="1"/>
      <c r="G25568" s="13"/>
    </row>
    <row r="25569" spans="4:7" x14ac:dyDescent="0.3">
      <c r="D25569" s="1"/>
      <c r="G25569" s="13"/>
    </row>
    <row r="25570" spans="4:7" x14ac:dyDescent="0.3">
      <c r="D25570" s="1"/>
      <c r="G25570" s="13"/>
    </row>
    <row r="25571" spans="4:7" x14ac:dyDescent="0.3">
      <c r="D25571" s="1"/>
      <c r="G25571" s="13"/>
    </row>
    <row r="25572" spans="4:7" x14ac:dyDescent="0.3">
      <c r="D25572" s="1"/>
      <c r="G25572" s="13"/>
    </row>
    <row r="25573" spans="4:7" x14ac:dyDescent="0.3">
      <c r="D25573" s="1"/>
      <c r="G25573" s="13"/>
    </row>
    <row r="25574" spans="4:7" x14ac:dyDescent="0.3">
      <c r="D25574" s="1"/>
      <c r="G25574" s="13"/>
    </row>
    <row r="25575" spans="4:7" x14ac:dyDescent="0.3">
      <c r="D25575" s="1"/>
      <c r="G25575" s="13"/>
    </row>
    <row r="25576" spans="4:7" x14ac:dyDescent="0.3">
      <c r="D25576" s="1"/>
      <c r="G25576" s="13"/>
    </row>
    <row r="25577" spans="4:7" x14ac:dyDescent="0.3">
      <c r="D25577" s="1"/>
      <c r="G25577" s="13"/>
    </row>
    <row r="25578" spans="4:7" x14ac:dyDescent="0.3">
      <c r="D25578" s="1"/>
      <c r="G25578" s="13"/>
    </row>
    <row r="25579" spans="4:7" x14ac:dyDescent="0.3">
      <c r="D25579" s="1"/>
      <c r="G25579" s="13"/>
    </row>
    <row r="25580" spans="4:7" x14ac:dyDescent="0.3">
      <c r="D25580" s="1"/>
      <c r="G25580" s="13"/>
    </row>
    <row r="25581" spans="4:7" x14ac:dyDescent="0.3">
      <c r="D25581" s="1"/>
      <c r="G25581" s="13"/>
    </row>
    <row r="25582" spans="4:7" x14ac:dyDescent="0.3">
      <c r="D25582" s="1"/>
      <c r="G25582" s="13"/>
    </row>
    <row r="25583" spans="4:7" x14ac:dyDescent="0.3">
      <c r="D25583" s="1"/>
      <c r="G25583" s="13"/>
    </row>
    <row r="25584" spans="4:7" x14ac:dyDescent="0.3">
      <c r="D25584" s="1"/>
      <c r="G25584" s="13"/>
    </row>
    <row r="25585" spans="4:7" x14ac:dyDescent="0.3">
      <c r="D25585" s="1"/>
      <c r="G25585" s="13"/>
    </row>
    <row r="25586" spans="4:7" x14ac:dyDescent="0.3">
      <c r="D25586" s="1"/>
      <c r="G25586" s="13"/>
    </row>
    <row r="25587" spans="4:7" x14ac:dyDescent="0.3">
      <c r="G25587" s="13"/>
    </row>
    <row r="25588" spans="4:7" x14ac:dyDescent="0.3">
      <c r="D25588" s="1"/>
      <c r="G25588" s="13"/>
    </row>
    <row r="25589" spans="4:7" x14ac:dyDescent="0.3">
      <c r="D25589" s="1"/>
      <c r="G25589" s="13"/>
    </row>
    <row r="25590" spans="4:7" x14ac:dyDescent="0.3">
      <c r="D25590" s="1"/>
      <c r="G25590" s="13"/>
    </row>
    <row r="25591" spans="4:7" x14ac:dyDescent="0.3">
      <c r="G25591" s="13"/>
    </row>
    <row r="25592" spans="4:7" x14ac:dyDescent="0.3">
      <c r="D25592" s="1"/>
      <c r="G25592" s="13"/>
    </row>
    <row r="25593" spans="4:7" x14ac:dyDescent="0.3">
      <c r="D25593" s="1"/>
      <c r="G25593" s="13"/>
    </row>
    <row r="25594" spans="4:7" x14ac:dyDescent="0.3">
      <c r="D25594" s="1"/>
      <c r="G25594" s="13"/>
    </row>
    <row r="25595" spans="4:7" x14ac:dyDescent="0.3">
      <c r="D25595" s="1"/>
      <c r="G25595" s="13"/>
    </row>
    <row r="25596" spans="4:7" x14ac:dyDescent="0.3">
      <c r="D25596" s="1"/>
      <c r="G25596" s="13"/>
    </row>
    <row r="25597" spans="4:7" x14ac:dyDescent="0.3">
      <c r="D25597" s="1"/>
      <c r="G25597" s="13"/>
    </row>
    <row r="25598" spans="4:7" x14ac:dyDescent="0.3">
      <c r="D25598" s="1"/>
      <c r="G25598" s="13"/>
    </row>
    <row r="25599" spans="4:7" x14ac:dyDescent="0.3">
      <c r="D25599" s="1"/>
      <c r="G25599" s="13"/>
    </row>
    <row r="25600" spans="4:7" x14ac:dyDescent="0.3">
      <c r="D25600" s="1"/>
      <c r="G25600" s="13"/>
    </row>
    <row r="25601" spans="4:7" x14ac:dyDescent="0.3">
      <c r="D25601" s="1"/>
      <c r="G25601" s="13"/>
    </row>
    <row r="25602" spans="4:7" x14ac:dyDescent="0.3">
      <c r="D25602" s="1"/>
      <c r="G25602" s="13"/>
    </row>
    <row r="25603" spans="4:7" x14ac:dyDescent="0.3">
      <c r="D25603" s="1"/>
      <c r="G25603" s="13"/>
    </row>
    <row r="25604" spans="4:7" x14ac:dyDescent="0.3">
      <c r="D25604" s="1"/>
      <c r="G25604" s="13"/>
    </row>
    <row r="25605" spans="4:7" x14ac:dyDescent="0.3">
      <c r="D25605" s="1"/>
      <c r="G25605" s="13"/>
    </row>
    <row r="25606" spans="4:7" x14ac:dyDescent="0.3">
      <c r="D25606" s="1"/>
      <c r="G25606" s="13"/>
    </row>
    <row r="25607" spans="4:7" x14ac:dyDescent="0.3">
      <c r="D25607" s="1"/>
      <c r="G25607" s="13"/>
    </row>
    <row r="25608" spans="4:7" x14ac:dyDescent="0.3">
      <c r="D25608" s="1"/>
      <c r="G25608" s="13"/>
    </row>
    <row r="25609" spans="4:7" x14ac:dyDescent="0.3">
      <c r="D25609" s="1"/>
      <c r="G25609" s="13"/>
    </row>
    <row r="25610" spans="4:7" x14ac:dyDescent="0.3">
      <c r="D25610" s="1"/>
      <c r="G25610" s="13"/>
    </row>
    <row r="25611" spans="4:7" x14ac:dyDescent="0.3">
      <c r="D25611" s="1"/>
      <c r="G25611" s="13"/>
    </row>
    <row r="25612" spans="4:7" x14ac:dyDescent="0.3">
      <c r="D25612" s="1"/>
      <c r="G25612" s="13"/>
    </row>
    <row r="25613" spans="4:7" x14ac:dyDescent="0.3">
      <c r="D25613" s="1"/>
      <c r="G25613" s="13"/>
    </row>
    <row r="25614" spans="4:7" x14ac:dyDescent="0.3">
      <c r="D25614" s="1"/>
      <c r="G25614" s="13"/>
    </row>
    <row r="25615" spans="4:7" x14ac:dyDescent="0.3">
      <c r="D25615" s="1"/>
      <c r="G25615" s="13"/>
    </row>
    <row r="25616" spans="4:7" x14ac:dyDescent="0.3">
      <c r="D25616" s="1"/>
      <c r="G25616" s="13"/>
    </row>
    <row r="25617" spans="4:7" x14ac:dyDescent="0.3">
      <c r="D25617" s="1"/>
      <c r="G25617" s="13"/>
    </row>
    <row r="25618" spans="4:7" x14ac:dyDescent="0.3">
      <c r="D25618" s="1"/>
      <c r="G25618" s="13"/>
    </row>
    <row r="25619" spans="4:7" x14ac:dyDescent="0.3">
      <c r="D25619" s="1"/>
      <c r="G25619" s="13"/>
    </row>
    <row r="25620" spans="4:7" x14ac:dyDescent="0.3">
      <c r="D25620" s="1"/>
      <c r="G25620" s="13"/>
    </row>
    <row r="25621" spans="4:7" x14ac:dyDescent="0.3">
      <c r="D25621" s="1"/>
      <c r="G25621" s="13"/>
    </row>
    <row r="25622" spans="4:7" x14ac:dyDescent="0.3">
      <c r="D25622" s="1"/>
      <c r="G25622" s="13"/>
    </row>
    <row r="25623" spans="4:7" x14ac:dyDescent="0.3">
      <c r="D25623" s="1"/>
      <c r="G25623" s="13"/>
    </row>
    <row r="25624" spans="4:7" x14ac:dyDescent="0.3">
      <c r="D25624" s="1"/>
      <c r="G25624" s="13"/>
    </row>
    <row r="25625" spans="4:7" x14ac:dyDescent="0.3">
      <c r="D25625" s="1"/>
      <c r="G25625" s="13"/>
    </row>
    <row r="25626" spans="4:7" x14ac:dyDescent="0.3">
      <c r="D25626" s="1"/>
      <c r="G25626" s="13"/>
    </row>
    <row r="25627" spans="4:7" x14ac:dyDescent="0.3">
      <c r="D25627" s="1"/>
      <c r="G25627" s="13"/>
    </row>
    <row r="25628" spans="4:7" x14ac:dyDescent="0.3">
      <c r="D25628" s="1"/>
      <c r="G25628" s="13"/>
    </row>
    <row r="25629" spans="4:7" x14ac:dyDescent="0.3">
      <c r="D25629" s="1"/>
      <c r="G25629" s="13"/>
    </row>
    <row r="25630" spans="4:7" x14ac:dyDescent="0.3">
      <c r="D25630" s="1"/>
      <c r="G25630" s="13"/>
    </row>
    <row r="25631" spans="4:7" x14ac:dyDescent="0.3">
      <c r="D25631" s="1"/>
      <c r="G25631" s="13"/>
    </row>
    <row r="25632" spans="4:7" x14ac:dyDescent="0.3">
      <c r="D25632" s="1"/>
      <c r="G25632" s="13"/>
    </row>
    <row r="25633" spans="4:7" x14ac:dyDescent="0.3">
      <c r="D25633" s="1"/>
      <c r="G25633" s="13"/>
    </row>
    <row r="25634" spans="4:7" x14ac:dyDescent="0.3">
      <c r="D25634" s="1"/>
      <c r="G25634" s="13"/>
    </row>
    <row r="25635" spans="4:7" x14ac:dyDescent="0.3">
      <c r="D25635" s="1"/>
      <c r="G25635" s="13"/>
    </row>
    <row r="25636" spans="4:7" x14ac:dyDescent="0.3">
      <c r="D25636" s="1"/>
      <c r="G25636" s="13"/>
    </row>
    <row r="25637" spans="4:7" x14ac:dyDescent="0.3">
      <c r="D25637" s="1"/>
      <c r="G25637" s="13"/>
    </row>
    <row r="25638" spans="4:7" x14ac:dyDescent="0.3">
      <c r="D25638" s="1"/>
      <c r="G25638" s="13"/>
    </row>
    <row r="25639" spans="4:7" x14ac:dyDescent="0.3">
      <c r="D25639" s="1"/>
      <c r="G25639" s="13"/>
    </row>
    <row r="25640" spans="4:7" x14ac:dyDescent="0.3">
      <c r="D25640" s="1"/>
      <c r="G25640" s="13"/>
    </row>
    <row r="25641" spans="4:7" x14ac:dyDescent="0.3">
      <c r="G25641" s="13"/>
    </row>
    <row r="25642" spans="4:7" x14ac:dyDescent="0.3">
      <c r="D25642" s="1"/>
      <c r="G25642" s="13"/>
    </row>
    <row r="25643" spans="4:7" x14ac:dyDescent="0.3">
      <c r="D25643" s="1"/>
      <c r="G25643" s="13"/>
    </row>
    <row r="25644" spans="4:7" x14ac:dyDescent="0.3">
      <c r="D25644" s="1"/>
      <c r="G25644" s="13"/>
    </row>
    <row r="25645" spans="4:7" x14ac:dyDescent="0.3">
      <c r="D25645" s="1"/>
      <c r="G25645" s="13"/>
    </row>
    <row r="25646" spans="4:7" x14ac:dyDescent="0.3">
      <c r="D25646" s="1"/>
      <c r="G25646" s="13"/>
    </row>
    <row r="25647" spans="4:7" x14ac:dyDescent="0.3">
      <c r="D25647" s="1"/>
      <c r="G25647" s="13"/>
    </row>
    <row r="25648" spans="4:7" x14ac:dyDescent="0.3">
      <c r="D25648" s="1"/>
      <c r="G25648" s="13"/>
    </row>
    <row r="25649" spans="4:7" x14ac:dyDescent="0.3">
      <c r="D25649" s="1"/>
      <c r="G25649" s="13"/>
    </row>
    <row r="25650" spans="4:7" x14ac:dyDescent="0.3">
      <c r="D25650" s="1"/>
      <c r="G25650" s="13"/>
    </row>
    <row r="25651" spans="4:7" x14ac:dyDescent="0.3">
      <c r="D25651" s="1"/>
      <c r="G25651" s="13"/>
    </row>
    <row r="25652" spans="4:7" x14ac:dyDescent="0.3">
      <c r="D25652" s="1"/>
      <c r="G25652" s="13"/>
    </row>
    <row r="25653" spans="4:7" x14ac:dyDescent="0.3">
      <c r="D25653" s="1"/>
      <c r="G25653" s="13"/>
    </row>
    <row r="25654" spans="4:7" x14ac:dyDescent="0.3">
      <c r="D25654" s="1"/>
      <c r="G25654" s="13"/>
    </row>
    <row r="25655" spans="4:7" x14ac:dyDescent="0.3">
      <c r="D25655" s="1"/>
      <c r="G25655" s="13"/>
    </row>
    <row r="25656" spans="4:7" x14ac:dyDescent="0.3">
      <c r="D25656" s="1"/>
      <c r="G25656" s="13"/>
    </row>
    <row r="25657" spans="4:7" x14ac:dyDescent="0.3">
      <c r="D25657" s="1"/>
      <c r="G25657" s="13"/>
    </row>
    <row r="25658" spans="4:7" x14ac:dyDescent="0.3">
      <c r="D25658" s="1"/>
      <c r="G25658" s="13"/>
    </row>
    <row r="25659" spans="4:7" x14ac:dyDescent="0.3">
      <c r="D25659" s="1"/>
      <c r="G25659" s="13"/>
    </row>
    <row r="25660" spans="4:7" x14ac:dyDescent="0.3">
      <c r="D25660" s="1"/>
      <c r="G25660" s="13"/>
    </row>
    <row r="25661" spans="4:7" x14ac:dyDescent="0.3">
      <c r="D25661" s="1"/>
      <c r="G25661" s="13"/>
    </row>
    <row r="25662" spans="4:7" x14ac:dyDescent="0.3">
      <c r="D25662" s="1"/>
      <c r="G25662" s="13"/>
    </row>
    <row r="25663" spans="4:7" x14ac:dyDescent="0.3">
      <c r="D25663" s="1"/>
      <c r="G25663" s="13"/>
    </row>
    <row r="25664" spans="4:7" x14ac:dyDescent="0.3">
      <c r="D25664" s="1"/>
      <c r="G25664" s="13"/>
    </row>
    <row r="25665" spans="4:7" x14ac:dyDescent="0.3">
      <c r="D25665" s="1"/>
      <c r="G25665" s="13"/>
    </row>
    <row r="25666" spans="4:7" x14ac:dyDescent="0.3">
      <c r="D25666" s="1"/>
      <c r="G25666" s="13"/>
    </row>
    <row r="25667" spans="4:7" x14ac:dyDescent="0.3">
      <c r="D25667" s="1"/>
      <c r="G25667" s="13"/>
    </row>
    <row r="25668" spans="4:7" x14ac:dyDescent="0.3">
      <c r="D25668" s="1"/>
      <c r="G25668" s="13"/>
    </row>
    <row r="25669" spans="4:7" x14ac:dyDescent="0.3">
      <c r="D25669" s="1"/>
      <c r="G25669" s="13"/>
    </row>
    <row r="25670" spans="4:7" x14ac:dyDescent="0.3">
      <c r="D25670" s="1"/>
      <c r="G25670" s="13"/>
    </row>
    <row r="25671" spans="4:7" x14ac:dyDescent="0.3">
      <c r="D25671" s="1"/>
      <c r="G25671" s="13"/>
    </row>
    <row r="25672" spans="4:7" x14ac:dyDescent="0.3">
      <c r="D25672" s="1"/>
      <c r="G25672" s="13"/>
    </row>
    <row r="25673" spans="4:7" x14ac:dyDescent="0.3">
      <c r="D25673" s="1"/>
      <c r="G25673" s="13"/>
    </row>
    <row r="25674" spans="4:7" x14ac:dyDescent="0.3">
      <c r="D25674" s="1"/>
      <c r="G25674" s="13"/>
    </row>
    <row r="25675" spans="4:7" x14ac:dyDescent="0.3">
      <c r="D25675" s="1"/>
      <c r="G25675" s="13"/>
    </row>
    <row r="25676" spans="4:7" x14ac:dyDescent="0.3">
      <c r="D25676" s="1"/>
      <c r="G25676" s="13"/>
    </row>
    <row r="25677" spans="4:7" x14ac:dyDescent="0.3">
      <c r="D25677" s="1"/>
      <c r="G25677" s="13"/>
    </row>
    <row r="25678" spans="4:7" x14ac:dyDescent="0.3">
      <c r="D25678" s="1"/>
      <c r="G25678" s="13"/>
    </row>
    <row r="25679" spans="4:7" x14ac:dyDescent="0.3">
      <c r="D25679" s="1"/>
      <c r="G25679" s="13"/>
    </row>
    <row r="25680" spans="4:7" x14ac:dyDescent="0.3">
      <c r="D25680" s="1"/>
      <c r="G25680" s="13"/>
    </row>
    <row r="25681" spans="4:7" x14ac:dyDescent="0.3">
      <c r="D25681" s="1"/>
      <c r="G25681" s="13"/>
    </row>
    <row r="25682" spans="4:7" x14ac:dyDescent="0.3">
      <c r="D25682" s="1"/>
      <c r="G25682" s="13"/>
    </row>
    <row r="25683" spans="4:7" x14ac:dyDescent="0.3">
      <c r="D25683" s="1"/>
      <c r="G25683" s="13"/>
    </row>
    <row r="25684" spans="4:7" x14ac:dyDescent="0.3">
      <c r="D25684" s="1"/>
      <c r="G25684" s="13"/>
    </row>
    <row r="25685" spans="4:7" x14ac:dyDescent="0.3">
      <c r="D25685" s="1"/>
      <c r="G25685" s="13"/>
    </row>
    <row r="25686" spans="4:7" x14ac:dyDescent="0.3">
      <c r="D25686" s="1"/>
      <c r="G25686" s="13"/>
    </row>
    <row r="25687" spans="4:7" x14ac:dyDescent="0.3">
      <c r="D25687" s="1"/>
      <c r="G25687" s="13"/>
    </row>
    <row r="25688" spans="4:7" x14ac:dyDescent="0.3">
      <c r="D25688" s="1"/>
      <c r="G25688" s="13"/>
    </row>
    <row r="25689" spans="4:7" x14ac:dyDescent="0.3">
      <c r="D25689" s="1"/>
      <c r="G25689" s="13"/>
    </row>
    <row r="25690" spans="4:7" x14ac:dyDescent="0.3">
      <c r="D25690" s="1"/>
      <c r="G25690" s="13"/>
    </row>
    <row r="25691" spans="4:7" x14ac:dyDescent="0.3">
      <c r="D25691" s="1"/>
      <c r="G25691" s="13"/>
    </row>
    <row r="25692" spans="4:7" x14ac:dyDescent="0.3">
      <c r="D25692" s="1"/>
      <c r="G25692" s="13"/>
    </row>
    <row r="25693" spans="4:7" x14ac:dyDescent="0.3">
      <c r="D25693" s="1"/>
      <c r="G25693" s="13"/>
    </row>
    <row r="25694" spans="4:7" x14ac:dyDescent="0.3">
      <c r="D25694" s="1"/>
      <c r="G25694" s="13"/>
    </row>
    <row r="25695" spans="4:7" x14ac:dyDescent="0.3">
      <c r="D25695" s="1"/>
      <c r="G25695" s="13"/>
    </row>
    <row r="25696" spans="4:7" x14ac:dyDescent="0.3">
      <c r="D25696" s="1"/>
      <c r="G25696" s="13"/>
    </row>
    <row r="25697" spans="4:7" x14ac:dyDescent="0.3">
      <c r="D25697" s="1"/>
      <c r="G25697" s="13"/>
    </row>
    <row r="25698" spans="4:7" x14ac:dyDescent="0.3">
      <c r="D25698" s="1"/>
      <c r="G25698" s="13"/>
    </row>
    <row r="25699" spans="4:7" x14ac:dyDescent="0.3">
      <c r="D25699" s="1"/>
      <c r="G25699" s="13"/>
    </row>
    <row r="25700" spans="4:7" x14ac:dyDescent="0.3">
      <c r="D25700" s="1"/>
      <c r="G25700" s="13"/>
    </row>
    <row r="25701" spans="4:7" x14ac:dyDescent="0.3">
      <c r="D25701" s="1"/>
      <c r="G25701" s="13"/>
    </row>
    <row r="25702" spans="4:7" x14ac:dyDescent="0.3">
      <c r="D25702" s="1"/>
      <c r="G25702" s="13"/>
    </row>
    <row r="25703" spans="4:7" x14ac:dyDescent="0.3">
      <c r="D25703" s="1"/>
      <c r="G25703" s="13"/>
    </row>
    <row r="25704" spans="4:7" x14ac:dyDescent="0.3">
      <c r="D25704" s="1"/>
      <c r="G25704" s="13"/>
    </row>
    <row r="25705" spans="4:7" x14ac:dyDescent="0.3">
      <c r="D25705" s="1"/>
      <c r="G25705" s="13"/>
    </row>
    <row r="25706" spans="4:7" x14ac:dyDescent="0.3">
      <c r="D25706" s="1"/>
      <c r="G25706" s="13"/>
    </row>
    <row r="25707" spans="4:7" x14ac:dyDescent="0.3">
      <c r="D25707" s="1"/>
      <c r="G25707" s="13"/>
    </row>
    <row r="25708" spans="4:7" x14ac:dyDescent="0.3">
      <c r="D25708" s="1"/>
      <c r="G25708" s="13"/>
    </row>
    <row r="25709" spans="4:7" x14ac:dyDescent="0.3">
      <c r="D25709" s="1"/>
      <c r="G25709" s="13"/>
    </row>
    <row r="25710" spans="4:7" x14ac:dyDescent="0.3">
      <c r="D25710" s="1"/>
      <c r="G25710" s="13"/>
    </row>
    <row r="25711" spans="4:7" x14ac:dyDescent="0.3">
      <c r="D25711" s="1"/>
      <c r="G25711" s="13"/>
    </row>
    <row r="25712" spans="4:7" x14ac:dyDescent="0.3">
      <c r="D25712" s="1"/>
      <c r="G25712" s="13"/>
    </row>
    <row r="25713" spans="4:7" x14ac:dyDescent="0.3">
      <c r="D25713" s="1"/>
      <c r="G25713" s="13"/>
    </row>
    <row r="25714" spans="4:7" x14ac:dyDescent="0.3">
      <c r="D25714" s="1"/>
      <c r="G25714" s="13"/>
    </row>
    <row r="25715" spans="4:7" x14ac:dyDescent="0.3">
      <c r="D25715" s="1"/>
      <c r="G25715" s="13"/>
    </row>
    <row r="25716" spans="4:7" x14ac:dyDescent="0.3">
      <c r="D25716" s="1"/>
      <c r="G25716" s="13"/>
    </row>
    <row r="25717" spans="4:7" x14ac:dyDescent="0.3">
      <c r="D25717" s="1"/>
      <c r="G25717" s="13"/>
    </row>
    <row r="25718" spans="4:7" x14ac:dyDescent="0.3">
      <c r="D25718" s="1"/>
      <c r="G25718" s="13"/>
    </row>
    <row r="25719" spans="4:7" x14ac:dyDescent="0.3">
      <c r="D25719" s="1"/>
      <c r="G25719" s="13"/>
    </row>
    <row r="25720" spans="4:7" x14ac:dyDescent="0.3">
      <c r="D25720" s="1"/>
      <c r="G25720" s="13"/>
    </row>
    <row r="25721" spans="4:7" x14ac:dyDescent="0.3">
      <c r="D25721" s="1"/>
    </row>
    <row r="25722" spans="4:7" x14ac:dyDescent="0.3">
      <c r="D25722" s="1"/>
      <c r="G25722" s="13"/>
    </row>
    <row r="25723" spans="4:7" x14ac:dyDescent="0.3">
      <c r="D25723" s="1"/>
      <c r="G25723" s="13"/>
    </row>
    <row r="25724" spans="4:7" x14ac:dyDescent="0.3">
      <c r="D25724" s="1"/>
      <c r="G25724" s="13"/>
    </row>
    <row r="25725" spans="4:7" x14ac:dyDescent="0.3">
      <c r="D25725" s="1"/>
      <c r="G25725" s="13"/>
    </row>
    <row r="25726" spans="4:7" x14ac:dyDescent="0.3">
      <c r="D25726" s="1"/>
      <c r="G25726" s="13"/>
    </row>
    <row r="25727" spans="4:7" x14ac:dyDescent="0.3">
      <c r="D25727" s="1"/>
      <c r="G25727" s="13"/>
    </row>
    <row r="25728" spans="4:7" x14ac:dyDescent="0.3">
      <c r="D25728" s="1"/>
      <c r="G25728" s="13"/>
    </row>
    <row r="25729" spans="4:7" x14ac:dyDescent="0.3">
      <c r="D25729" s="1"/>
      <c r="G25729" s="13"/>
    </row>
    <row r="25730" spans="4:7" x14ac:dyDescent="0.3">
      <c r="D25730" s="1"/>
      <c r="G25730" s="13"/>
    </row>
    <row r="25731" spans="4:7" x14ac:dyDescent="0.3">
      <c r="D25731" s="1"/>
      <c r="G25731" s="13"/>
    </row>
    <row r="25732" spans="4:7" x14ac:dyDescent="0.3">
      <c r="D25732" s="1"/>
      <c r="G25732" s="13"/>
    </row>
    <row r="25733" spans="4:7" x14ac:dyDescent="0.3">
      <c r="D25733" s="1"/>
      <c r="G25733" s="13"/>
    </row>
    <row r="25734" spans="4:7" x14ac:dyDescent="0.3">
      <c r="D25734" s="1"/>
      <c r="G25734" s="13"/>
    </row>
    <row r="25735" spans="4:7" x14ac:dyDescent="0.3">
      <c r="D25735" s="1"/>
      <c r="G25735" s="13"/>
    </row>
    <row r="25736" spans="4:7" x14ac:dyDescent="0.3">
      <c r="D25736" s="1"/>
      <c r="G25736" s="13"/>
    </row>
    <row r="25737" spans="4:7" x14ac:dyDescent="0.3">
      <c r="D25737" s="1"/>
      <c r="G25737" s="13"/>
    </row>
    <row r="25738" spans="4:7" x14ac:dyDescent="0.3">
      <c r="D25738" s="1"/>
      <c r="G25738" s="13"/>
    </row>
    <row r="25739" spans="4:7" x14ac:dyDescent="0.3">
      <c r="D25739" s="1"/>
      <c r="G25739" s="13"/>
    </row>
    <row r="25740" spans="4:7" x14ac:dyDescent="0.3">
      <c r="D25740" s="1"/>
      <c r="G25740" s="13"/>
    </row>
    <row r="25741" spans="4:7" x14ac:dyDescent="0.3">
      <c r="D25741" s="1"/>
      <c r="G25741" s="13"/>
    </row>
    <row r="25742" spans="4:7" x14ac:dyDescent="0.3">
      <c r="D25742" s="1"/>
      <c r="G25742" s="13"/>
    </row>
    <row r="25743" spans="4:7" x14ac:dyDescent="0.3">
      <c r="D25743" s="1"/>
      <c r="G25743" s="13"/>
    </row>
    <row r="25744" spans="4:7" x14ac:dyDescent="0.3">
      <c r="D25744" s="1"/>
      <c r="G25744" s="13"/>
    </row>
    <row r="25745" spans="4:7" x14ac:dyDescent="0.3">
      <c r="D25745" s="1"/>
      <c r="G25745" s="13"/>
    </row>
    <row r="25746" spans="4:7" x14ac:dyDescent="0.3">
      <c r="D25746" s="1"/>
      <c r="G25746" s="13"/>
    </row>
    <row r="25747" spans="4:7" x14ac:dyDescent="0.3">
      <c r="D25747" s="1"/>
      <c r="G25747" s="13"/>
    </row>
    <row r="25748" spans="4:7" x14ac:dyDescent="0.3">
      <c r="D25748" s="1"/>
      <c r="G25748" s="13"/>
    </row>
    <row r="25749" spans="4:7" x14ac:dyDescent="0.3">
      <c r="D25749" s="1"/>
      <c r="G25749" s="13"/>
    </row>
    <row r="25750" spans="4:7" x14ac:dyDescent="0.3">
      <c r="D25750" s="1"/>
      <c r="G25750" s="13"/>
    </row>
    <row r="25751" spans="4:7" x14ac:dyDescent="0.3">
      <c r="D25751" s="1"/>
      <c r="G25751" s="13"/>
    </row>
    <row r="25752" spans="4:7" x14ac:dyDescent="0.3">
      <c r="D25752" s="1"/>
      <c r="G25752" s="13"/>
    </row>
    <row r="25753" spans="4:7" x14ac:dyDescent="0.3">
      <c r="D25753" s="1"/>
      <c r="G25753" s="13"/>
    </row>
    <row r="25754" spans="4:7" x14ac:dyDescent="0.3">
      <c r="D25754" s="1"/>
      <c r="G25754" s="13"/>
    </row>
    <row r="25755" spans="4:7" x14ac:dyDescent="0.3">
      <c r="D25755" s="1"/>
      <c r="G25755" s="13"/>
    </row>
    <row r="25756" spans="4:7" x14ac:dyDescent="0.3">
      <c r="D25756" s="1"/>
      <c r="G25756" s="13"/>
    </row>
    <row r="25757" spans="4:7" x14ac:dyDescent="0.3">
      <c r="D25757" s="1"/>
      <c r="G25757" s="13"/>
    </row>
    <row r="25758" spans="4:7" x14ac:dyDescent="0.3">
      <c r="D25758" s="1"/>
      <c r="G25758" s="13"/>
    </row>
    <row r="25759" spans="4:7" x14ac:dyDescent="0.3">
      <c r="D25759" s="1"/>
      <c r="G25759" s="13"/>
    </row>
    <row r="25760" spans="4:7" x14ac:dyDescent="0.3">
      <c r="D25760" s="1"/>
      <c r="G25760" s="13"/>
    </row>
    <row r="25761" spans="4:7" x14ac:dyDescent="0.3">
      <c r="D25761" s="1"/>
      <c r="G25761" s="13"/>
    </row>
    <row r="25762" spans="4:7" x14ac:dyDescent="0.3">
      <c r="D25762" s="1"/>
      <c r="G25762" s="13"/>
    </row>
    <row r="25763" spans="4:7" x14ac:dyDescent="0.3">
      <c r="D25763" s="1"/>
      <c r="G25763" s="13"/>
    </row>
    <row r="25764" spans="4:7" x14ac:dyDescent="0.3">
      <c r="D25764" s="1"/>
      <c r="G25764" s="13"/>
    </row>
    <row r="25765" spans="4:7" x14ac:dyDescent="0.3">
      <c r="D25765" s="1"/>
      <c r="G25765" s="13"/>
    </row>
    <row r="25766" spans="4:7" x14ac:dyDescent="0.3">
      <c r="D25766" s="1"/>
      <c r="G25766" s="13"/>
    </row>
    <row r="25767" spans="4:7" x14ac:dyDescent="0.3">
      <c r="D25767" s="1"/>
      <c r="G25767" s="13"/>
    </row>
    <row r="25768" spans="4:7" x14ac:dyDescent="0.3">
      <c r="D25768" s="1"/>
      <c r="G25768" s="13"/>
    </row>
    <row r="25769" spans="4:7" x14ac:dyDescent="0.3">
      <c r="D25769" s="1"/>
      <c r="G25769" s="13"/>
    </row>
    <row r="25770" spans="4:7" x14ac:dyDescent="0.3">
      <c r="D25770" s="1"/>
      <c r="G25770" s="13"/>
    </row>
    <row r="25771" spans="4:7" x14ac:dyDescent="0.3">
      <c r="D25771" s="1"/>
      <c r="G25771" s="13"/>
    </row>
    <row r="25772" spans="4:7" x14ac:dyDescent="0.3">
      <c r="D25772" s="1"/>
      <c r="G25772" s="13"/>
    </row>
    <row r="25773" spans="4:7" x14ac:dyDescent="0.3">
      <c r="D25773" s="1"/>
      <c r="G25773" s="13"/>
    </row>
    <row r="25774" spans="4:7" x14ac:dyDescent="0.3">
      <c r="D25774" s="1"/>
      <c r="G25774" s="13"/>
    </row>
    <row r="25775" spans="4:7" x14ac:dyDescent="0.3">
      <c r="D25775" s="1"/>
      <c r="G25775" s="13"/>
    </row>
    <row r="25776" spans="4:7" x14ac:dyDescent="0.3">
      <c r="D25776" s="1"/>
      <c r="G25776" s="13"/>
    </row>
    <row r="25777" spans="4:7" x14ac:dyDescent="0.3">
      <c r="D25777" s="1"/>
      <c r="G25777" s="13"/>
    </row>
    <row r="25778" spans="4:7" x14ac:dyDescent="0.3">
      <c r="D25778" s="1"/>
      <c r="G25778" s="13"/>
    </row>
    <row r="25779" spans="4:7" x14ac:dyDescent="0.3">
      <c r="D25779" s="1"/>
      <c r="G25779" s="13"/>
    </row>
    <row r="25780" spans="4:7" x14ac:dyDescent="0.3">
      <c r="D25780" s="1"/>
      <c r="G25780" s="13"/>
    </row>
    <row r="25781" spans="4:7" x14ac:dyDescent="0.3">
      <c r="D25781" s="1"/>
      <c r="G25781" s="13"/>
    </row>
    <row r="25782" spans="4:7" x14ac:dyDescent="0.3">
      <c r="D25782" s="1"/>
      <c r="G25782" s="13"/>
    </row>
    <row r="25783" spans="4:7" x14ac:dyDescent="0.3">
      <c r="D25783" s="1"/>
      <c r="G25783" s="13"/>
    </row>
    <row r="25784" spans="4:7" x14ac:dyDescent="0.3">
      <c r="D25784" s="1"/>
      <c r="G25784" s="13"/>
    </row>
    <row r="25785" spans="4:7" x14ac:dyDescent="0.3">
      <c r="D25785" s="1"/>
      <c r="G25785" s="13"/>
    </row>
    <row r="25786" spans="4:7" x14ac:dyDescent="0.3">
      <c r="D25786" s="1"/>
      <c r="G25786" s="13"/>
    </row>
    <row r="25787" spans="4:7" x14ac:dyDescent="0.3">
      <c r="D25787" s="1"/>
      <c r="G25787" s="13"/>
    </row>
    <row r="25788" spans="4:7" x14ac:dyDescent="0.3">
      <c r="D25788" s="1"/>
      <c r="G25788" s="13"/>
    </row>
    <row r="25789" spans="4:7" x14ac:dyDescent="0.3">
      <c r="D25789" s="1"/>
      <c r="G25789" s="13"/>
    </row>
    <row r="25790" spans="4:7" x14ac:dyDescent="0.3">
      <c r="D25790" s="1"/>
      <c r="G25790" s="13"/>
    </row>
    <row r="25791" spans="4:7" x14ac:dyDescent="0.3">
      <c r="D25791" s="1"/>
      <c r="G25791" s="13"/>
    </row>
    <row r="25792" spans="4:7" x14ac:dyDescent="0.3">
      <c r="D25792" s="1"/>
      <c r="G25792" s="13"/>
    </row>
    <row r="25793" spans="4:7" x14ac:dyDescent="0.3">
      <c r="D25793" s="1"/>
      <c r="G25793" s="13"/>
    </row>
    <row r="25794" spans="4:7" x14ac:dyDescent="0.3">
      <c r="D25794" s="1"/>
      <c r="G25794" s="13"/>
    </row>
    <row r="25795" spans="4:7" x14ac:dyDescent="0.3">
      <c r="D25795" s="1"/>
      <c r="G25795" s="13"/>
    </row>
    <row r="25796" spans="4:7" x14ac:dyDescent="0.3">
      <c r="D25796" s="1"/>
      <c r="G25796" s="13"/>
    </row>
    <row r="25797" spans="4:7" x14ac:dyDescent="0.3">
      <c r="D25797" s="1"/>
      <c r="G25797" s="13"/>
    </row>
    <row r="25798" spans="4:7" x14ac:dyDescent="0.3">
      <c r="D25798" s="1"/>
      <c r="G25798" s="13"/>
    </row>
    <row r="25799" spans="4:7" x14ac:dyDescent="0.3">
      <c r="D25799" s="1"/>
      <c r="G25799" s="13"/>
    </row>
    <row r="25800" spans="4:7" x14ac:dyDescent="0.3">
      <c r="D25800" s="1"/>
      <c r="G25800" s="13"/>
    </row>
    <row r="25801" spans="4:7" x14ac:dyDescent="0.3">
      <c r="D25801" s="1"/>
      <c r="G25801" s="13"/>
    </row>
    <row r="25802" spans="4:7" x14ac:dyDescent="0.3">
      <c r="D25802" s="1"/>
      <c r="G25802" s="13"/>
    </row>
    <row r="25803" spans="4:7" x14ac:dyDescent="0.3">
      <c r="D25803" s="1"/>
      <c r="G25803" s="13"/>
    </row>
    <row r="25804" spans="4:7" x14ac:dyDescent="0.3">
      <c r="D25804" s="1"/>
      <c r="G25804" s="13"/>
    </row>
    <row r="25805" spans="4:7" x14ac:dyDescent="0.3">
      <c r="D25805" s="1"/>
      <c r="G25805" s="13"/>
    </row>
    <row r="25806" spans="4:7" x14ac:dyDescent="0.3">
      <c r="D25806" s="1"/>
      <c r="G25806" s="13"/>
    </row>
    <row r="25807" spans="4:7" x14ac:dyDescent="0.3">
      <c r="D25807" s="1"/>
      <c r="G25807" s="13"/>
    </row>
    <row r="25808" spans="4:7" x14ac:dyDescent="0.3">
      <c r="D25808" s="1"/>
      <c r="G25808" s="13"/>
    </row>
    <row r="25809" spans="4:7" x14ac:dyDescent="0.3">
      <c r="D25809" s="1"/>
      <c r="G25809" s="13"/>
    </row>
    <row r="25810" spans="4:7" x14ac:dyDescent="0.3">
      <c r="D25810" s="1"/>
      <c r="G25810" s="13"/>
    </row>
    <row r="25811" spans="4:7" x14ac:dyDescent="0.3">
      <c r="D25811" s="1"/>
      <c r="G25811" s="13"/>
    </row>
    <row r="25812" spans="4:7" x14ac:dyDescent="0.3">
      <c r="D25812" s="1"/>
      <c r="G25812" s="13"/>
    </row>
    <row r="25813" spans="4:7" x14ac:dyDescent="0.3">
      <c r="D25813" s="1"/>
      <c r="G25813" s="13"/>
    </row>
    <row r="25814" spans="4:7" x14ac:dyDescent="0.3">
      <c r="D25814" s="1"/>
      <c r="G25814" s="13"/>
    </row>
    <row r="25815" spans="4:7" x14ac:dyDescent="0.3">
      <c r="D25815" s="1"/>
      <c r="G25815" s="13"/>
    </row>
    <row r="25816" spans="4:7" x14ac:dyDescent="0.3">
      <c r="D25816" s="1"/>
      <c r="G25816" s="13"/>
    </row>
    <row r="25817" spans="4:7" x14ac:dyDescent="0.3">
      <c r="D25817" s="1"/>
      <c r="G25817" s="13"/>
    </row>
    <row r="25818" spans="4:7" x14ac:dyDescent="0.3">
      <c r="D25818" s="1"/>
      <c r="G25818" s="13"/>
    </row>
    <row r="25819" spans="4:7" x14ac:dyDescent="0.3">
      <c r="D25819" s="1"/>
      <c r="G25819" s="13"/>
    </row>
    <row r="25820" spans="4:7" x14ac:dyDescent="0.3">
      <c r="D25820" s="1"/>
      <c r="G25820" s="13"/>
    </row>
    <row r="25821" spans="4:7" x14ac:dyDescent="0.3">
      <c r="D25821" s="1"/>
      <c r="G25821" s="13"/>
    </row>
    <row r="25822" spans="4:7" x14ac:dyDescent="0.3">
      <c r="D25822" s="1"/>
      <c r="G25822" s="13"/>
    </row>
    <row r="25823" spans="4:7" x14ac:dyDescent="0.3">
      <c r="D25823" s="1"/>
      <c r="G25823" s="13"/>
    </row>
    <row r="25824" spans="4:7" x14ac:dyDescent="0.3">
      <c r="D25824" s="1"/>
      <c r="G25824" s="13"/>
    </row>
    <row r="25825" spans="4:7" x14ac:dyDescent="0.3">
      <c r="D25825" s="1"/>
      <c r="G25825" s="13"/>
    </row>
    <row r="25826" spans="4:7" x14ac:dyDescent="0.3">
      <c r="D25826" s="1"/>
      <c r="G25826" s="13"/>
    </row>
    <row r="25827" spans="4:7" x14ac:dyDescent="0.3">
      <c r="D25827" s="1"/>
      <c r="G25827" s="13"/>
    </row>
    <row r="25828" spans="4:7" x14ac:dyDescent="0.3">
      <c r="D25828" s="1"/>
      <c r="G25828" s="13"/>
    </row>
    <row r="25829" spans="4:7" x14ac:dyDescent="0.3">
      <c r="D25829" s="1"/>
      <c r="G25829" s="13"/>
    </row>
    <row r="25830" spans="4:7" x14ac:dyDescent="0.3">
      <c r="D25830" s="1"/>
      <c r="G25830" s="13"/>
    </row>
    <row r="25831" spans="4:7" x14ac:dyDescent="0.3">
      <c r="D25831" s="1"/>
      <c r="G25831" s="13"/>
    </row>
    <row r="25832" spans="4:7" x14ac:dyDescent="0.3">
      <c r="D25832" s="1"/>
      <c r="G25832" s="13"/>
    </row>
    <row r="25833" spans="4:7" x14ac:dyDescent="0.3">
      <c r="D25833" s="1"/>
      <c r="G25833" s="13"/>
    </row>
    <row r="25834" spans="4:7" x14ac:dyDescent="0.3">
      <c r="D25834" s="1"/>
      <c r="G25834" s="13"/>
    </row>
    <row r="25835" spans="4:7" x14ac:dyDescent="0.3">
      <c r="D25835" s="1"/>
      <c r="G25835" s="13"/>
    </row>
    <row r="25836" spans="4:7" x14ac:dyDescent="0.3">
      <c r="D25836" s="1"/>
      <c r="G25836" s="13"/>
    </row>
    <row r="25837" spans="4:7" x14ac:dyDescent="0.3">
      <c r="D25837" s="1"/>
      <c r="G25837" s="13"/>
    </row>
    <row r="25838" spans="4:7" x14ac:dyDescent="0.3">
      <c r="D25838" s="1"/>
      <c r="G25838" s="13"/>
    </row>
    <row r="25839" spans="4:7" x14ac:dyDescent="0.3">
      <c r="D25839" s="1"/>
      <c r="G25839" s="13"/>
    </row>
    <row r="25840" spans="4:7" x14ac:dyDescent="0.3">
      <c r="D25840" s="1"/>
      <c r="G25840" s="13"/>
    </row>
    <row r="25841" spans="4:7" x14ac:dyDescent="0.3">
      <c r="D25841" s="1"/>
      <c r="G25841" s="13"/>
    </row>
    <row r="25842" spans="4:7" x14ac:dyDescent="0.3">
      <c r="D25842" s="1"/>
      <c r="G25842" s="13"/>
    </row>
    <row r="25843" spans="4:7" x14ac:dyDescent="0.3">
      <c r="D25843" s="1"/>
      <c r="G25843" s="13"/>
    </row>
    <row r="25844" spans="4:7" x14ac:dyDescent="0.3">
      <c r="D25844" s="1"/>
      <c r="G25844" s="13"/>
    </row>
    <row r="25845" spans="4:7" x14ac:dyDescent="0.3">
      <c r="D25845" s="1"/>
      <c r="G25845" s="13"/>
    </row>
    <row r="25846" spans="4:7" x14ac:dyDescent="0.3">
      <c r="D25846" s="1"/>
      <c r="G25846" s="13"/>
    </row>
    <row r="25847" spans="4:7" x14ac:dyDescent="0.3">
      <c r="D25847" s="1"/>
      <c r="G25847" s="13"/>
    </row>
    <row r="25848" spans="4:7" x14ac:dyDescent="0.3">
      <c r="D25848" s="1"/>
      <c r="G25848" s="13"/>
    </row>
    <row r="25849" spans="4:7" x14ac:dyDescent="0.3">
      <c r="D25849" s="1"/>
      <c r="G25849" s="13"/>
    </row>
    <row r="25850" spans="4:7" x14ac:dyDescent="0.3">
      <c r="D25850" s="1"/>
      <c r="G25850" s="13"/>
    </row>
    <row r="25851" spans="4:7" x14ac:dyDescent="0.3">
      <c r="D25851" s="1"/>
      <c r="G25851" s="13"/>
    </row>
    <row r="25852" spans="4:7" x14ac:dyDescent="0.3">
      <c r="D25852" s="1"/>
      <c r="G25852" s="13"/>
    </row>
    <row r="25853" spans="4:7" x14ac:dyDescent="0.3">
      <c r="D25853" s="1"/>
      <c r="G25853" s="13"/>
    </row>
    <row r="25854" spans="4:7" x14ac:dyDescent="0.3">
      <c r="D25854" s="1"/>
      <c r="G25854" s="13"/>
    </row>
    <row r="25855" spans="4:7" x14ac:dyDescent="0.3">
      <c r="D25855" s="1"/>
      <c r="G25855" s="13"/>
    </row>
    <row r="25856" spans="4:7" x14ac:dyDescent="0.3">
      <c r="D25856" s="1"/>
      <c r="G25856" s="13"/>
    </row>
    <row r="25857" spans="4:7" x14ac:dyDescent="0.3">
      <c r="D25857" s="1"/>
      <c r="G25857" s="13"/>
    </row>
    <row r="25858" spans="4:7" x14ac:dyDescent="0.3">
      <c r="D25858" s="1"/>
      <c r="G25858" s="13"/>
    </row>
    <row r="25859" spans="4:7" x14ac:dyDescent="0.3">
      <c r="D25859" s="1"/>
      <c r="G25859" s="13"/>
    </row>
    <row r="25860" spans="4:7" x14ac:dyDescent="0.3">
      <c r="D25860" s="1"/>
      <c r="G25860" s="13"/>
    </row>
    <row r="25861" spans="4:7" x14ac:dyDescent="0.3">
      <c r="D25861" s="1"/>
      <c r="G25861" s="13"/>
    </row>
    <row r="25862" spans="4:7" x14ac:dyDescent="0.3">
      <c r="D25862" s="1"/>
      <c r="G25862" s="13"/>
    </row>
    <row r="25863" spans="4:7" x14ac:dyDescent="0.3">
      <c r="D25863" s="1"/>
      <c r="G25863" s="13"/>
    </row>
    <row r="25864" spans="4:7" x14ac:dyDescent="0.3">
      <c r="D25864" s="1"/>
      <c r="G25864" s="13"/>
    </row>
    <row r="25865" spans="4:7" x14ac:dyDescent="0.3">
      <c r="D25865" s="1"/>
      <c r="G25865" s="13"/>
    </row>
    <row r="25866" spans="4:7" x14ac:dyDescent="0.3">
      <c r="D25866" s="1"/>
      <c r="G25866" s="13"/>
    </row>
    <row r="25867" spans="4:7" x14ac:dyDescent="0.3">
      <c r="D25867" s="1"/>
      <c r="G25867" s="13"/>
    </row>
    <row r="25868" spans="4:7" x14ac:dyDescent="0.3">
      <c r="D25868" s="1"/>
      <c r="G25868" s="13"/>
    </row>
    <row r="25869" spans="4:7" x14ac:dyDescent="0.3">
      <c r="D25869" s="1"/>
      <c r="G25869" s="13"/>
    </row>
    <row r="25870" spans="4:7" x14ac:dyDescent="0.3">
      <c r="D25870" s="1"/>
      <c r="G25870" s="13"/>
    </row>
    <row r="25871" spans="4:7" x14ac:dyDescent="0.3">
      <c r="D25871" s="1"/>
      <c r="G25871" s="13"/>
    </row>
    <row r="25872" spans="4:7" x14ac:dyDescent="0.3">
      <c r="D25872" s="1"/>
      <c r="G25872" s="13"/>
    </row>
    <row r="25873" spans="4:7" x14ac:dyDescent="0.3">
      <c r="D25873" s="1"/>
      <c r="G25873" s="13"/>
    </row>
    <row r="25874" spans="4:7" x14ac:dyDescent="0.3">
      <c r="D25874" s="1"/>
      <c r="G25874" s="13"/>
    </row>
    <row r="25875" spans="4:7" x14ac:dyDescent="0.3">
      <c r="D25875" s="1"/>
      <c r="G25875" s="13"/>
    </row>
    <row r="25876" spans="4:7" x14ac:dyDescent="0.3">
      <c r="D25876" s="1"/>
      <c r="G25876" s="13"/>
    </row>
    <row r="25877" spans="4:7" x14ac:dyDescent="0.3">
      <c r="D25877" s="1"/>
      <c r="G25877" s="13"/>
    </row>
    <row r="25878" spans="4:7" x14ac:dyDescent="0.3">
      <c r="D25878" s="1"/>
      <c r="G25878" s="13"/>
    </row>
    <row r="25879" spans="4:7" x14ac:dyDescent="0.3">
      <c r="D25879" s="1"/>
      <c r="G25879" s="13"/>
    </row>
    <row r="25880" spans="4:7" x14ac:dyDescent="0.3">
      <c r="D25880" s="1"/>
      <c r="G25880" s="13"/>
    </row>
    <row r="25881" spans="4:7" x14ac:dyDescent="0.3">
      <c r="D25881" s="1"/>
      <c r="G25881" s="13"/>
    </row>
    <row r="25882" spans="4:7" x14ac:dyDescent="0.3">
      <c r="D25882" s="1"/>
      <c r="G25882" s="13"/>
    </row>
    <row r="25883" spans="4:7" x14ac:dyDescent="0.3">
      <c r="D25883" s="1"/>
      <c r="G25883" s="13"/>
    </row>
    <row r="25884" spans="4:7" x14ac:dyDescent="0.3">
      <c r="D25884" s="1"/>
      <c r="G25884" s="13"/>
    </row>
    <row r="25885" spans="4:7" x14ac:dyDescent="0.3">
      <c r="D25885" s="1"/>
      <c r="G25885" s="13"/>
    </row>
    <row r="25886" spans="4:7" x14ac:dyDescent="0.3">
      <c r="D25886" s="1"/>
      <c r="G25886" s="13"/>
    </row>
    <row r="25887" spans="4:7" x14ac:dyDescent="0.3">
      <c r="D25887" s="1"/>
      <c r="G25887" s="13"/>
    </row>
    <row r="25888" spans="4:7" x14ac:dyDescent="0.3">
      <c r="D25888" s="1"/>
      <c r="G25888" s="13"/>
    </row>
    <row r="25889" spans="4:7" x14ac:dyDescent="0.3">
      <c r="D25889" s="1"/>
      <c r="G25889" s="13"/>
    </row>
    <row r="25890" spans="4:7" x14ac:dyDescent="0.3">
      <c r="D25890" s="1"/>
      <c r="G25890" s="13"/>
    </row>
    <row r="25891" spans="4:7" x14ac:dyDescent="0.3">
      <c r="D25891" s="1"/>
      <c r="G25891" s="13"/>
    </row>
    <row r="25892" spans="4:7" x14ac:dyDescent="0.3">
      <c r="D25892" s="1"/>
      <c r="G25892" s="13"/>
    </row>
    <row r="25893" spans="4:7" x14ac:dyDescent="0.3">
      <c r="D25893" s="1"/>
      <c r="G25893" s="13"/>
    </row>
    <row r="25894" spans="4:7" x14ac:dyDescent="0.3">
      <c r="D25894" s="1"/>
      <c r="G25894" s="13"/>
    </row>
    <row r="25895" spans="4:7" x14ac:dyDescent="0.3">
      <c r="D25895" s="1"/>
      <c r="G25895" s="13"/>
    </row>
    <row r="25896" spans="4:7" x14ac:dyDescent="0.3">
      <c r="D25896" s="1"/>
      <c r="G25896" s="13"/>
    </row>
    <row r="25897" spans="4:7" x14ac:dyDescent="0.3">
      <c r="D25897" s="1"/>
      <c r="G25897" s="13"/>
    </row>
    <row r="25898" spans="4:7" x14ac:dyDescent="0.3">
      <c r="D25898" s="1"/>
      <c r="G25898" s="13"/>
    </row>
    <row r="25899" spans="4:7" x14ac:dyDescent="0.3">
      <c r="D25899" s="1"/>
      <c r="G25899" s="13"/>
    </row>
    <row r="25900" spans="4:7" x14ac:dyDescent="0.3">
      <c r="D25900" s="1"/>
      <c r="G25900" s="13"/>
    </row>
    <row r="25901" spans="4:7" x14ac:dyDescent="0.3">
      <c r="D25901" s="1"/>
      <c r="G25901" s="13"/>
    </row>
    <row r="25902" spans="4:7" x14ac:dyDescent="0.3">
      <c r="D25902" s="1"/>
      <c r="G25902" s="13"/>
    </row>
    <row r="25903" spans="4:7" x14ac:dyDescent="0.3">
      <c r="D25903" s="1"/>
      <c r="G25903" s="13"/>
    </row>
    <row r="25904" spans="4:7" x14ac:dyDescent="0.3">
      <c r="D25904" s="1"/>
      <c r="G25904" s="13"/>
    </row>
    <row r="25905" spans="4:7" x14ac:dyDescent="0.3">
      <c r="D25905" s="1"/>
      <c r="G25905" s="13"/>
    </row>
    <row r="25906" spans="4:7" x14ac:dyDescent="0.3">
      <c r="D25906" s="1"/>
      <c r="G25906" s="13"/>
    </row>
    <row r="25907" spans="4:7" x14ac:dyDescent="0.3">
      <c r="D25907" s="1"/>
      <c r="G25907" s="13"/>
    </row>
    <row r="25908" spans="4:7" x14ac:dyDescent="0.3">
      <c r="D25908" s="1"/>
      <c r="G25908" s="13"/>
    </row>
    <row r="25909" spans="4:7" x14ac:dyDescent="0.3">
      <c r="D25909" s="1"/>
      <c r="G25909" s="13"/>
    </row>
    <row r="25910" spans="4:7" x14ac:dyDescent="0.3">
      <c r="D25910" s="1"/>
      <c r="G25910" s="13"/>
    </row>
    <row r="25911" spans="4:7" x14ac:dyDescent="0.3">
      <c r="D25911" s="1"/>
      <c r="G25911" s="13"/>
    </row>
    <row r="25912" spans="4:7" x14ac:dyDescent="0.3">
      <c r="D25912" s="1"/>
      <c r="G25912" s="13"/>
    </row>
    <row r="25913" spans="4:7" x14ac:dyDescent="0.3">
      <c r="D25913" s="1"/>
      <c r="G25913" s="13"/>
    </row>
    <row r="25914" spans="4:7" x14ac:dyDescent="0.3">
      <c r="D25914" s="1"/>
      <c r="G25914" s="13"/>
    </row>
    <row r="25915" spans="4:7" x14ac:dyDescent="0.3">
      <c r="D25915" s="1"/>
      <c r="G25915" s="13"/>
    </row>
    <row r="25916" spans="4:7" x14ac:dyDescent="0.3">
      <c r="D25916" s="1"/>
      <c r="G25916" s="13"/>
    </row>
    <row r="25917" spans="4:7" x14ac:dyDescent="0.3">
      <c r="D25917" s="1"/>
      <c r="G25917" s="13"/>
    </row>
    <row r="25918" spans="4:7" x14ac:dyDescent="0.3">
      <c r="D25918" s="1"/>
      <c r="G25918" s="13"/>
    </row>
    <row r="25919" spans="4:7" x14ac:dyDescent="0.3">
      <c r="D25919" s="1"/>
      <c r="G25919" s="13"/>
    </row>
    <row r="25920" spans="4:7" x14ac:dyDescent="0.3">
      <c r="D25920" s="1"/>
      <c r="G25920" s="13"/>
    </row>
    <row r="25921" spans="4:7" x14ac:dyDescent="0.3">
      <c r="D25921" s="1"/>
      <c r="G25921" s="13"/>
    </row>
    <row r="25922" spans="4:7" x14ac:dyDescent="0.3">
      <c r="D25922" s="1"/>
      <c r="G25922" s="13"/>
    </row>
    <row r="25923" spans="4:7" x14ac:dyDescent="0.3">
      <c r="D25923" s="1"/>
      <c r="G25923" s="13"/>
    </row>
    <row r="25924" spans="4:7" x14ac:dyDescent="0.3">
      <c r="D25924" s="1"/>
      <c r="G25924" s="13"/>
    </row>
    <row r="25925" spans="4:7" x14ac:dyDescent="0.3">
      <c r="D25925" s="1"/>
      <c r="G25925" s="13"/>
    </row>
    <row r="25926" spans="4:7" x14ac:dyDescent="0.3">
      <c r="D25926" s="1"/>
      <c r="G25926" s="13"/>
    </row>
    <row r="25927" spans="4:7" x14ac:dyDescent="0.3">
      <c r="D25927" s="1"/>
      <c r="G25927" s="13"/>
    </row>
    <row r="25928" spans="4:7" x14ac:dyDescent="0.3">
      <c r="D25928" s="1"/>
      <c r="G25928" s="13"/>
    </row>
    <row r="25929" spans="4:7" x14ac:dyDescent="0.3">
      <c r="D25929" s="1"/>
      <c r="G25929" s="13"/>
    </row>
    <row r="25930" spans="4:7" x14ac:dyDescent="0.3">
      <c r="D25930" s="1"/>
      <c r="G25930" s="13"/>
    </row>
    <row r="25931" spans="4:7" x14ac:dyDescent="0.3">
      <c r="D25931" s="1"/>
      <c r="G25931" s="13"/>
    </row>
    <row r="25932" spans="4:7" x14ac:dyDescent="0.3">
      <c r="D25932" s="1"/>
      <c r="G25932" s="13"/>
    </row>
    <row r="25933" spans="4:7" x14ac:dyDescent="0.3">
      <c r="D25933" s="1"/>
      <c r="G25933" s="13"/>
    </row>
    <row r="25934" spans="4:7" x14ac:dyDescent="0.3">
      <c r="D25934" s="1"/>
      <c r="G25934" s="13"/>
    </row>
    <row r="25935" spans="4:7" x14ac:dyDescent="0.3">
      <c r="D25935" s="1"/>
      <c r="G25935" s="13"/>
    </row>
    <row r="25936" spans="4:7" x14ac:dyDescent="0.3">
      <c r="D25936" s="1"/>
      <c r="G25936" s="13"/>
    </row>
    <row r="25937" spans="4:7" x14ac:dyDescent="0.3">
      <c r="D25937" s="1"/>
      <c r="G25937" s="13"/>
    </row>
    <row r="25938" spans="4:7" x14ac:dyDescent="0.3">
      <c r="D25938" s="1"/>
      <c r="G25938" s="13"/>
    </row>
    <row r="25939" spans="4:7" x14ac:dyDescent="0.3">
      <c r="D25939" s="1"/>
      <c r="G25939" s="13"/>
    </row>
    <row r="25940" spans="4:7" x14ac:dyDescent="0.3">
      <c r="D25940" s="1"/>
      <c r="G25940" s="13"/>
    </row>
    <row r="25941" spans="4:7" x14ac:dyDescent="0.3">
      <c r="D25941" s="1"/>
      <c r="G25941" s="13"/>
    </row>
    <row r="25942" spans="4:7" x14ac:dyDescent="0.3">
      <c r="D25942" s="1"/>
      <c r="G25942" s="13"/>
    </row>
    <row r="25943" spans="4:7" x14ac:dyDescent="0.3">
      <c r="D25943" s="1"/>
      <c r="G25943" s="13"/>
    </row>
    <row r="25944" spans="4:7" x14ac:dyDescent="0.3">
      <c r="D25944" s="1"/>
      <c r="G25944" s="13"/>
    </row>
    <row r="25945" spans="4:7" x14ac:dyDescent="0.3">
      <c r="D25945" s="1"/>
      <c r="G25945" s="13"/>
    </row>
    <row r="25946" spans="4:7" x14ac:dyDescent="0.3">
      <c r="D25946" s="1"/>
      <c r="G25946" s="13"/>
    </row>
    <row r="25947" spans="4:7" x14ac:dyDescent="0.3">
      <c r="D25947" s="1"/>
      <c r="G25947" s="13"/>
    </row>
    <row r="25948" spans="4:7" x14ac:dyDescent="0.3">
      <c r="D25948" s="1"/>
      <c r="G25948" s="13"/>
    </row>
    <row r="25949" spans="4:7" x14ac:dyDescent="0.3">
      <c r="D25949" s="1"/>
      <c r="G25949" s="13"/>
    </row>
    <row r="25950" spans="4:7" x14ac:dyDescent="0.3">
      <c r="D25950" s="1"/>
      <c r="G25950" s="13"/>
    </row>
    <row r="25951" spans="4:7" x14ac:dyDescent="0.3">
      <c r="D25951" s="1"/>
      <c r="G25951" s="13"/>
    </row>
    <row r="25952" spans="4:7" x14ac:dyDescent="0.3">
      <c r="D25952" s="1"/>
      <c r="G25952" s="13"/>
    </row>
    <row r="25953" spans="4:7" x14ac:dyDescent="0.3">
      <c r="D25953" s="1"/>
      <c r="G25953" s="13"/>
    </row>
    <row r="25954" spans="4:7" x14ac:dyDescent="0.3">
      <c r="D25954" s="1"/>
      <c r="G25954" s="13"/>
    </row>
    <row r="25955" spans="4:7" x14ac:dyDescent="0.3">
      <c r="D25955" s="1"/>
      <c r="G25955" s="13"/>
    </row>
    <row r="25956" spans="4:7" x14ac:dyDescent="0.3">
      <c r="D25956" s="1"/>
      <c r="G25956" s="13"/>
    </row>
    <row r="25957" spans="4:7" x14ac:dyDescent="0.3">
      <c r="D25957" s="1"/>
      <c r="G25957" s="13"/>
    </row>
    <row r="25958" spans="4:7" x14ac:dyDescent="0.3">
      <c r="D25958" s="1"/>
      <c r="G25958" s="13"/>
    </row>
    <row r="25959" spans="4:7" x14ac:dyDescent="0.3">
      <c r="D25959" s="1"/>
      <c r="G25959" s="13"/>
    </row>
    <row r="25960" spans="4:7" x14ac:dyDescent="0.3">
      <c r="D25960" s="1"/>
      <c r="G25960" s="13"/>
    </row>
    <row r="25961" spans="4:7" x14ac:dyDescent="0.3">
      <c r="D25961" s="1"/>
      <c r="G25961" s="13"/>
    </row>
    <row r="25962" spans="4:7" x14ac:dyDescent="0.3">
      <c r="D25962" s="1"/>
      <c r="G25962" s="13"/>
    </row>
    <row r="25963" spans="4:7" x14ac:dyDescent="0.3">
      <c r="D25963" s="1"/>
      <c r="G25963" s="13"/>
    </row>
    <row r="25964" spans="4:7" x14ac:dyDescent="0.3">
      <c r="D25964" s="1"/>
      <c r="G25964" s="13"/>
    </row>
    <row r="25965" spans="4:7" x14ac:dyDescent="0.3">
      <c r="D25965" s="1"/>
      <c r="G25965" s="13"/>
    </row>
    <row r="25966" spans="4:7" x14ac:dyDescent="0.3">
      <c r="D25966" s="1"/>
      <c r="G25966" s="13"/>
    </row>
    <row r="25967" spans="4:7" x14ac:dyDescent="0.3">
      <c r="D25967" s="1"/>
      <c r="G25967" s="13"/>
    </row>
    <row r="25968" spans="4:7" x14ac:dyDescent="0.3">
      <c r="D25968" s="1"/>
      <c r="G25968" s="13"/>
    </row>
    <row r="25969" spans="4:7" x14ac:dyDescent="0.3">
      <c r="D25969" s="1"/>
      <c r="G25969" s="13"/>
    </row>
    <row r="25970" spans="4:7" x14ac:dyDescent="0.3">
      <c r="D25970" s="1"/>
      <c r="G25970" s="13"/>
    </row>
    <row r="25971" spans="4:7" x14ac:dyDescent="0.3">
      <c r="D25971" s="1"/>
      <c r="G25971" s="13"/>
    </row>
    <row r="25972" spans="4:7" x14ac:dyDescent="0.3">
      <c r="D25972" s="1"/>
      <c r="G25972" s="13"/>
    </row>
    <row r="25973" spans="4:7" x14ac:dyDescent="0.3">
      <c r="D25973" s="1"/>
      <c r="G25973" s="13"/>
    </row>
    <row r="25974" spans="4:7" x14ac:dyDescent="0.3">
      <c r="D25974" s="1"/>
      <c r="G25974" s="13"/>
    </row>
    <row r="25975" spans="4:7" x14ac:dyDescent="0.3">
      <c r="D25975" s="1"/>
      <c r="G25975" s="13"/>
    </row>
    <row r="25976" spans="4:7" x14ac:dyDescent="0.3">
      <c r="D25976" s="1"/>
      <c r="G25976" s="13"/>
    </row>
    <row r="25977" spans="4:7" x14ac:dyDescent="0.3">
      <c r="D25977" s="1"/>
      <c r="G25977" s="13"/>
    </row>
    <row r="25978" spans="4:7" x14ac:dyDescent="0.3">
      <c r="D25978" s="1"/>
      <c r="G25978" s="13"/>
    </row>
    <row r="25979" spans="4:7" x14ac:dyDescent="0.3">
      <c r="D25979" s="1"/>
      <c r="G25979" s="13"/>
    </row>
    <row r="25980" spans="4:7" x14ac:dyDescent="0.3">
      <c r="D25980" s="1"/>
      <c r="G25980" s="13"/>
    </row>
    <row r="25981" spans="4:7" x14ac:dyDescent="0.3">
      <c r="D25981" s="1"/>
      <c r="G25981" s="13"/>
    </row>
    <row r="25982" spans="4:7" x14ac:dyDescent="0.3">
      <c r="D25982" s="1"/>
      <c r="G25982" s="13"/>
    </row>
    <row r="25983" spans="4:7" x14ac:dyDescent="0.3">
      <c r="D25983" s="1"/>
      <c r="G25983" s="13"/>
    </row>
    <row r="25984" spans="4:7" x14ac:dyDescent="0.3">
      <c r="D25984" s="1"/>
      <c r="G25984" s="13"/>
    </row>
    <row r="25985" spans="4:7" x14ac:dyDescent="0.3">
      <c r="D25985" s="1"/>
      <c r="G25985" s="13"/>
    </row>
    <row r="25986" spans="4:7" x14ac:dyDescent="0.3">
      <c r="D25986" s="1"/>
      <c r="G25986" s="13"/>
    </row>
    <row r="25987" spans="4:7" x14ac:dyDescent="0.3">
      <c r="D25987" s="1"/>
      <c r="G25987" s="13"/>
    </row>
    <row r="25988" spans="4:7" x14ac:dyDescent="0.3">
      <c r="D25988" s="1"/>
      <c r="G25988" s="13"/>
    </row>
    <row r="25989" spans="4:7" x14ac:dyDescent="0.3">
      <c r="D25989" s="1"/>
      <c r="G25989" s="13"/>
    </row>
    <row r="25990" spans="4:7" x14ac:dyDescent="0.3">
      <c r="D25990" s="1"/>
      <c r="G25990" s="13"/>
    </row>
    <row r="25991" spans="4:7" x14ac:dyDescent="0.3">
      <c r="D25991" s="1"/>
      <c r="G25991" s="13"/>
    </row>
    <row r="25992" spans="4:7" x14ac:dyDescent="0.3">
      <c r="D25992" s="1"/>
      <c r="G25992" s="13"/>
    </row>
    <row r="25993" spans="4:7" x14ac:dyDescent="0.3">
      <c r="D25993" s="1"/>
      <c r="G25993" s="13"/>
    </row>
    <row r="25994" spans="4:7" x14ac:dyDescent="0.3">
      <c r="D25994" s="1"/>
      <c r="G25994" s="13"/>
    </row>
    <row r="25995" spans="4:7" x14ac:dyDescent="0.3">
      <c r="D25995" s="1"/>
      <c r="G25995" s="13"/>
    </row>
    <row r="25996" spans="4:7" x14ac:dyDescent="0.3">
      <c r="D25996" s="1"/>
      <c r="G25996" s="13"/>
    </row>
    <row r="25997" spans="4:7" x14ac:dyDescent="0.3">
      <c r="D25997" s="1"/>
      <c r="G25997" s="13"/>
    </row>
    <row r="25998" spans="4:7" x14ac:dyDescent="0.3">
      <c r="D25998" s="1"/>
      <c r="G25998" s="13"/>
    </row>
    <row r="25999" spans="4:7" x14ac:dyDescent="0.3">
      <c r="D25999" s="1"/>
      <c r="G25999" s="13"/>
    </row>
    <row r="26000" spans="4:7" x14ac:dyDescent="0.3">
      <c r="D26000" s="1"/>
      <c r="G26000" s="13"/>
    </row>
    <row r="26001" spans="4:7" x14ac:dyDescent="0.3">
      <c r="D26001" s="1"/>
      <c r="G26001" s="13"/>
    </row>
    <row r="26002" spans="4:7" x14ac:dyDescent="0.3">
      <c r="D26002" s="1"/>
      <c r="G26002" s="13"/>
    </row>
    <row r="26003" spans="4:7" x14ac:dyDescent="0.3">
      <c r="D26003" s="1"/>
      <c r="G26003" s="13"/>
    </row>
    <row r="26004" spans="4:7" x14ac:dyDescent="0.3">
      <c r="D26004" s="1"/>
      <c r="G26004" s="13"/>
    </row>
    <row r="26005" spans="4:7" x14ac:dyDescent="0.3">
      <c r="D26005" s="1"/>
      <c r="G26005" s="13"/>
    </row>
    <row r="26006" spans="4:7" x14ac:dyDescent="0.3">
      <c r="D26006" s="1"/>
      <c r="G26006" s="13"/>
    </row>
    <row r="26007" spans="4:7" x14ac:dyDescent="0.3">
      <c r="D26007" s="1"/>
      <c r="G26007" s="13"/>
    </row>
    <row r="26008" spans="4:7" x14ac:dyDescent="0.3">
      <c r="D26008" s="1"/>
      <c r="G26008" s="13"/>
    </row>
    <row r="26009" spans="4:7" x14ac:dyDescent="0.3">
      <c r="D26009" s="1"/>
      <c r="G26009" s="13"/>
    </row>
    <row r="26010" spans="4:7" x14ac:dyDescent="0.3">
      <c r="D26010" s="1"/>
      <c r="G26010" s="13"/>
    </row>
    <row r="26011" spans="4:7" x14ac:dyDescent="0.3">
      <c r="D26011" s="1"/>
      <c r="G26011" s="13"/>
    </row>
    <row r="26012" spans="4:7" x14ac:dyDescent="0.3">
      <c r="D26012" s="1"/>
      <c r="G26012" s="13"/>
    </row>
    <row r="26013" spans="4:7" x14ac:dyDescent="0.3">
      <c r="D26013" s="1"/>
      <c r="G26013" s="13"/>
    </row>
    <row r="26014" spans="4:7" x14ac:dyDescent="0.3">
      <c r="D26014" s="1"/>
      <c r="G26014" s="13"/>
    </row>
    <row r="26015" spans="4:7" x14ac:dyDescent="0.3">
      <c r="D26015" s="1"/>
      <c r="G26015" s="13"/>
    </row>
    <row r="26016" spans="4:7" x14ac:dyDescent="0.3">
      <c r="D26016" s="1"/>
      <c r="G26016" s="13"/>
    </row>
    <row r="26017" spans="4:7" x14ac:dyDescent="0.3">
      <c r="D26017" s="1"/>
      <c r="G26017" s="13"/>
    </row>
    <row r="26018" spans="4:7" x14ac:dyDescent="0.3">
      <c r="D26018" s="1"/>
      <c r="G26018" s="13"/>
    </row>
    <row r="26019" spans="4:7" x14ac:dyDescent="0.3">
      <c r="D26019" s="1"/>
      <c r="G26019" s="13"/>
    </row>
    <row r="26020" spans="4:7" x14ac:dyDescent="0.3">
      <c r="D26020" s="1"/>
      <c r="G26020" s="13"/>
    </row>
    <row r="26021" spans="4:7" x14ac:dyDescent="0.3">
      <c r="D26021" s="1"/>
      <c r="G26021" s="13"/>
    </row>
    <row r="26022" spans="4:7" x14ac:dyDescent="0.3">
      <c r="D26022" s="1"/>
      <c r="G26022" s="13"/>
    </row>
    <row r="26023" spans="4:7" x14ac:dyDescent="0.3">
      <c r="D26023" s="1"/>
      <c r="G26023" s="13"/>
    </row>
    <row r="26024" spans="4:7" x14ac:dyDescent="0.3">
      <c r="D26024" s="1"/>
      <c r="G26024" s="13"/>
    </row>
    <row r="26025" spans="4:7" x14ac:dyDescent="0.3">
      <c r="D26025" s="1"/>
      <c r="G26025" s="13"/>
    </row>
    <row r="26026" spans="4:7" x14ac:dyDescent="0.3">
      <c r="D26026" s="1"/>
      <c r="G26026" s="13"/>
    </row>
    <row r="26027" spans="4:7" x14ac:dyDescent="0.3">
      <c r="D26027" s="1"/>
      <c r="G26027" s="13"/>
    </row>
    <row r="26028" spans="4:7" x14ac:dyDescent="0.3">
      <c r="D26028" s="1"/>
      <c r="G26028" s="13"/>
    </row>
    <row r="26029" spans="4:7" x14ac:dyDescent="0.3">
      <c r="D26029" s="1"/>
      <c r="G26029" s="13"/>
    </row>
    <row r="26030" spans="4:7" x14ac:dyDescent="0.3">
      <c r="D26030" s="1"/>
      <c r="G26030" s="13"/>
    </row>
    <row r="26031" spans="4:7" x14ac:dyDescent="0.3">
      <c r="D26031" s="1"/>
      <c r="G26031" s="13"/>
    </row>
    <row r="26032" spans="4:7" x14ac:dyDescent="0.3">
      <c r="D26032" s="1"/>
      <c r="G26032" s="13"/>
    </row>
    <row r="26033" spans="4:7" x14ac:dyDescent="0.3">
      <c r="D26033" s="1"/>
      <c r="G26033" s="13"/>
    </row>
    <row r="26034" spans="4:7" x14ac:dyDescent="0.3">
      <c r="D26034" s="1"/>
      <c r="G26034" s="13"/>
    </row>
    <row r="26035" spans="4:7" x14ac:dyDescent="0.3">
      <c r="D26035" s="1"/>
      <c r="G26035" s="13"/>
    </row>
    <row r="26036" spans="4:7" x14ac:dyDescent="0.3">
      <c r="D26036" s="1"/>
      <c r="G26036" s="13"/>
    </row>
    <row r="26037" spans="4:7" x14ac:dyDescent="0.3">
      <c r="D26037" s="1"/>
      <c r="G26037" s="13"/>
    </row>
    <row r="26038" spans="4:7" x14ac:dyDescent="0.3">
      <c r="D26038" s="1"/>
      <c r="G26038" s="13"/>
    </row>
    <row r="26039" spans="4:7" x14ac:dyDescent="0.3">
      <c r="D26039" s="1"/>
      <c r="G26039" s="13"/>
    </row>
    <row r="26040" spans="4:7" x14ac:dyDescent="0.3">
      <c r="D26040" s="1"/>
      <c r="G26040" s="13"/>
    </row>
    <row r="26041" spans="4:7" x14ac:dyDescent="0.3">
      <c r="D26041" s="1"/>
      <c r="G26041" s="13"/>
    </row>
    <row r="26042" spans="4:7" x14ac:dyDescent="0.3">
      <c r="D26042" s="1"/>
      <c r="G26042" s="13"/>
    </row>
    <row r="26043" spans="4:7" x14ac:dyDescent="0.3">
      <c r="D26043" s="1"/>
      <c r="G26043" s="13"/>
    </row>
    <row r="26044" spans="4:7" x14ac:dyDescent="0.3">
      <c r="D26044" s="1"/>
      <c r="G26044" s="13"/>
    </row>
    <row r="26045" spans="4:7" x14ac:dyDescent="0.3">
      <c r="D26045" s="1"/>
      <c r="G26045" s="13"/>
    </row>
    <row r="26046" spans="4:7" x14ac:dyDescent="0.3">
      <c r="D26046" s="1"/>
      <c r="G26046" s="13"/>
    </row>
    <row r="26047" spans="4:7" x14ac:dyDescent="0.3">
      <c r="D26047" s="1"/>
      <c r="G26047" s="13"/>
    </row>
    <row r="26048" spans="4:7" x14ac:dyDescent="0.3">
      <c r="D26048" s="1"/>
      <c r="G26048" s="13"/>
    </row>
    <row r="26049" spans="4:7" x14ac:dyDescent="0.3">
      <c r="D26049" s="1"/>
      <c r="G26049" s="13"/>
    </row>
    <row r="26050" spans="4:7" x14ac:dyDescent="0.3">
      <c r="D26050" s="1"/>
      <c r="G26050" s="13"/>
    </row>
    <row r="26051" spans="4:7" x14ac:dyDescent="0.3">
      <c r="D26051" s="1"/>
      <c r="G26051" s="13"/>
    </row>
    <row r="26052" spans="4:7" x14ac:dyDescent="0.3">
      <c r="D26052" s="1"/>
      <c r="G26052" s="13"/>
    </row>
    <row r="26053" spans="4:7" x14ac:dyDescent="0.3">
      <c r="D26053" s="1"/>
      <c r="G26053" s="13"/>
    </row>
    <row r="26054" spans="4:7" x14ac:dyDescent="0.3">
      <c r="D26054" s="1"/>
      <c r="G26054" s="13"/>
    </row>
    <row r="26055" spans="4:7" x14ac:dyDescent="0.3">
      <c r="D26055" s="1"/>
      <c r="G26055" s="13"/>
    </row>
    <row r="26056" spans="4:7" x14ac:dyDescent="0.3">
      <c r="D26056" s="1"/>
      <c r="G26056" s="13"/>
    </row>
    <row r="26057" spans="4:7" x14ac:dyDescent="0.3">
      <c r="D26057" s="1"/>
      <c r="G26057" s="13"/>
    </row>
    <row r="26058" spans="4:7" x14ac:dyDescent="0.3">
      <c r="D26058" s="1"/>
      <c r="G26058" s="13"/>
    </row>
    <row r="26059" spans="4:7" x14ac:dyDescent="0.3">
      <c r="D26059" s="1"/>
      <c r="G26059" s="13"/>
    </row>
    <row r="26060" spans="4:7" x14ac:dyDescent="0.3">
      <c r="D26060" s="1"/>
      <c r="G26060" s="13"/>
    </row>
    <row r="26061" spans="4:7" x14ac:dyDescent="0.3">
      <c r="D26061" s="1"/>
      <c r="G26061" s="13"/>
    </row>
    <row r="26062" spans="4:7" x14ac:dyDescent="0.3">
      <c r="D26062" s="1"/>
      <c r="G26062" s="13"/>
    </row>
    <row r="26063" spans="4:7" x14ac:dyDescent="0.3">
      <c r="D26063" s="1"/>
      <c r="G26063" s="13"/>
    </row>
    <row r="26064" spans="4:7" x14ac:dyDescent="0.3">
      <c r="G26064" s="13"/>
    </row>
    <row r="26065" spans="4:7" x14ac:dyDescent="0.3">
      <c r="D26065" s="1"/>
      <c r="G26065" s="13"/>
    </row>
    <row r="26066" spans="4:7" x14ac:dyDescent="0.3">
      <c r="D26066" s="1"/>
      <c r="G26066" s="13"/>
    </row>
    <row r="26067" spans="4:7" x14ac:dyDescent="0.3">
      <c r="D26067" s="1"/>
      <c r="G26067" s="13"/>
    </row>
    <row r="26068" spans="4:7" x14ac:dyDescent="0.3">
      <c r="D26068" s="1"/>
      <c r="G26068" s="13"/>
    </row>
    <row r="26069" spans="4:7" x14ac:dyDescent="0.3">
      <c r="D26069" s="1"/>
      <c r="G26069" s="13"/>
    </row>
    <row r="26070" spans="4:7" x14ac:dyDescent="0.3">
      <c r="D26070" s="1"/>
      <c r="G26070" s="13"/>
    </row>
    <row r="26071" spans="4:7" x14ac:dyDescent="0.3">
      <c r="D26071" s="1"/>
      <c r="G26071" s="13"/>
    </row>
    <row r="26072" spans="4:7" x14ac:dyDescent="0.3">
      <c r="D26072" s="1"/>
      <c r="G26072" s="13"/>
    </row>
    <row r="26073" spans="4:7" x14ac:dyDescent="0.3">
      <c r="D26073" s="1"/>
      <c r="G26073" s="13"/>
    </row>
    <row r="26074" spans="4:7" x14ac:dyDescent="0.3">
      <c r="D26074" s="1"/>
      <c r="G26074" s="13"/>
    </row>
    <row r="26075" spans="4:7" x14ac:dyDescent="0.3">
      <c r="D26075" s="1"/>
      <c r="G26075" s="13"/>
    </row>
    <row r="26076" spans="4:7" x14ac:dyDescent="0.3">
      <c r="D26076" s="1"/>
      <c r="G26076" s="13"/>
    </row>
    <row r="26077" spans="4:7" x14ac:dyDescent="0.3">
      <c r="D26077" s="1"/>
      <c r="G26077" s="13"/>
    </row>
    <row r="26078" spans="4:7" x14ac:dyDescent="0.3">
      <c r="D26078" s="1"/>
      <c r="G26078" s="13"/>
    </row>
    <row r="26079" spans="4:7" x14ac:dyDescent="0.3">
      <c r="D26079" s="1"/>
      <c r="G26079" s="13"/>
    </row>
    <row r="26080" spans="4:7" x14ac:dyDescent="0.3">
      <c r="D26080" s="1"/>
      <c r="G26080" s="13"/>
    </row>
    <row r="26081" spans="4:7" x14ac:dyDescent="0.3">
      <c r="D26081" s="1"/>
      <c r="G26081" s="13"/>
    </row>
    <row r="26082" spans="4:7" x14ac:dyDescent="0.3">
      <c r="D26082" s="1"/>
      <c r="G26082" s="13"/>
    </row>
    <row r="26083" spans="4:7" x14ac:dyDescent="0.3">
      <c r="D26083" s="1"/>
      <c r="G26083" s="13"/>
    </row>
    <row r="26084" spans="4:7" x14ac:dyDescent="0.3">
      <c r="D26084" s="1"/>
      <c r="G26084" s="13"/>
    </row>
    <row r="26085" spans="4:7" x14ac:dyDescent="0.3">
      <c r="G26085" s="13"/>
    </row>
    <row r="26086" spans="4:7" x14ac:dyDescent="0.3">
      <c r="D26086" s="1"/>
      <c r="G26086" s="13"/>
    </row>
    <row r="26087" spans="4:7" x14ac:dyDescent="0.3">
      <c r="D26087" s="1"/>
      <c r="G26087" s="13"/>
    </row>
    <row r="26088" spans="4:7" x14ac:dyDescent="0.3">
      <c r="D26088" s="1"/>
      <c r="G26088" s="13"/>
    </row>
    <row r="26089" spans="4:7" x14ac:dyDescent="0.3">
      <c r="D26089" s="1"/>
      <c r="G26089" s="13"/>
    </row>
    <row r="26090" spans="4:7" x14ac:dyDescent="0.3">
      <c r="D26090" s="1"/>
      <c r="G26090" s="13"/>
    </row>
    <row r="26091" spans="4:7" x14ac:dyDescent="0.3">
      <c r="D26091" s="1"/>
      <c r="G26091" s="13"/>
    </row>
    <row r="26092" spans="4:7" x14ac:dyDescent="0.3">
      <c r="D26092" s="1"/>
      <c r="G26092" s="13"/>
    </row>
    <row r="26093" spans="4:7" x14ac:dyDescent="0.3">
      <c r="D26093" s="1"/>
      <c r="G26093" s="13"/>
    </row>
    <row r="26094" spans="4:7" x14ac:dyDescent="0.3">
      <c r="D26094" s="1"/>
      <c r="G26094" s="13"/>
    </row>
    <row r="26095" spans="4:7" x14ac:dyDescent="0.3">
      <c r="D26095" s="1"/>
      <c r="G26095" s="13"/>
    </row>
    <row r="26096" spans="4:7" x14ac:dyDescent="0.3">
      <c r="D26096" s="1"/>
      <c r="G26096" s="13"/>
    </row>
    <row r="26097" spans="4:7" x14ac:dyDescent="0.3">
      <c r="D26097" s="1"/>
      <c r="G26097" s="13"/>
    </row>
    <row r="26098" spans="4:7" x14ac:dyDescent="0.3">
      <c r="D26098" s="1"/>
      <c r="G26098" s="13"/>
    </row>
    <row r="26099" spans="4:7" x14ac:dyDescent="0.3">
      <c r="D26099" s="1"/>
      <c r="G26099" s="13"/>
    </row>
    <row r="26100" spans="4:7" x14ac:dyDescent="0.3">
      <c r="D26100" s="1"/>
      <c r="G26100" s="13"/>
    </row>
    <row r="26101" spans="4:7" x14ac:dyDescent="0.3">
      <c r="D26101" s="1"/>
      <c r="G26101" s="13"/>
    </row>
    <row r="26102" spans="4:7" x14ac:dyDescent="0.3">
      <c r="D26102" s="1"/>
      <c r="G26102" s="13"/>
    </row>
    <row r="26103" spans="4:7" x14ac:dyDescent="0.3">
      <c r="D26103" s="1"/>
      <c r="G26103" s="13"/>
    </row>
    <row r="26104" spans="4:7" x14ac:dyDescent="0.3">
      <c r="D26104" s="1"/>
      <c r="G26104" s="13"/>
    </row>
    <row r="26105" spans="4:7" x14ac:dyDescent="0.3">
      <c r="D26105" s="1"/>
      <c r="G26105" s="13"/>
    </row>
    <row r="26106" spans="4:7" x14ac:dyDescent="0.3">
      <c r="D26106" s="1"/>
      <c r="G26106" s="13"/>
    </row>
    <row r="26107" spans="4:7" x14ac:dyDescent="0.3">
      <c r="D26107" s="1"/>
      <c r="G26107" s="13"/>
    </row>
    <row r="26108" spans="4:7" x14ac:dyDescent="0.3">
      <c r="D26108" s="1"/>
      <c r="G26108" s="13"/>
    </row>
    <row r="26109" spans="4:7" x14ac:dyDescent="0.3">
      <c r="D26109" s="1"/>
      <c r="G26109" s="13"/>
    </row>
    <row r="26110" spans="4:7" x14ac:dyDescent="0.3">
      <c r="D26110" s="1"/>
      <c r="G26110" s="13"/>
    </row>
    <row r="26111" spans="4:7" x14ac:dyDescent="0.3">
      <c r="D26111" s="1"/>
      <c r="G26111" s="13"/>
    </row>
    <row r="26112" spans="4:7" x14ac:dyDescent="0.3">
      <c r="D26112" s="1"/>
      <c r="G26112" s="13"/>
    </row>
    <row r="26113" spans="4:7" x14ac:dyDescent="0.3">
      <c r="D26113" s="1"/>
      <c r="G26113" s="13"/>
    </row>
    <row r="26114" spans="4:7" x14ac:dyDescent="0.3">
      <c r="D26114" s="1"/>
      <c r="G26114" s="13"/>
    </row>
    <row r="26115" spans="4:7" x14ac:dyDescent="0.3">
      <c r="D26115" s="1"/>
      <c r="G26115" s="13"/>
    </row>
    <row r="26116" spans="4:7" x14ac:dyDescent="0.3">
      <c r="D26116" s="1"/>
      <c r="G26116" s="13"/>
    </row>
    <row r="26117" spans="4:7" x14ac:dyDescent="0.3">
      <c r="D26117" s="1"/>
      <c r="G26117" s="13"/>
    </row>
    <row r="26118" spans="4:7" x14ac:dyDescent="0.3">
      <c r="D26118" s="1"/>
      <c r="G26118" s="13"/>
    </row>
    <row r="26119" spans="4:7" x14ac:dyDescent="0.3">
      <c r="D26119" s="1"/>
      <c r="G26119" s="13"/>
    </row>
    <row r="26120" spans="4:7" x14ac:dyDescent="0.3">
      <c r="D26120" s="1"/>
      <c r="G26120" s="13"/>
    </row>
    <row r="26121" spans="4:7" x14ac:dyDescent="0.3">
      <c r="D26121" s="1"/>
      <c r="G26121" s="13"/>
    </row>
    <row r="26122" spans="4:7" x14ac:dyDescent="0.3">
      <c r="D26122" s="1"/>
      <c r="G26122" s="13"/>
    </row>
    <row r="26123" spans="4:7" x14ac:dyDescent="0.3">
      <c r="D26123" s="1"/>
      <c r="G26123" s="13"/>
    </row>
    <row r="26124" spans="4:7" x14ac:dyDescent="0.3">
      <c r="D26124" s="1"/>
      <c r="G26124" s="13"/>
    </row>
    <row r="26125" spans="4:7" x14ac:dyDescent="0.3">
      <c r="D26125" s="1"/>
      <c r="G26125" s="13"/>
    </row>
    <row r="26126" spans="4:7" x14ac:dyDescent="0.3">
      <c r="G26126" s="13"/>
    </row>
    <row r="26127" spans="4:7" x14ac:dyDescent="0.3">
      <c r="D26127" s="1"/>
      <c r="G26127" s="13"/>
    </row>
    <row r="26128" spans="4:7" x14ac:dyDescent="0.3">
      <c r="D26128" s="1"/>
      <c r="G26128" s="13"/>
    </row>
    <row r="26129" spans="4:7" x14ac:dyDescent="0.3">
      <c r="D26129" s="1"/>
      <c r="G26129" s="13"/>
    </row>
    <row r="26130" spans="4:7" x14ac:dyDescent="0.3">
      <c r="D26130" s="1"/>
      <c r="G26130" s="13"/>
    </row>
    <row r="26131" spans="4:7" x14ac:dyDescent="0.3">
      <c r="D26131" s="1"/>
      <c r="G26131" s="13"/>
    </row>
    <row r="26132" spans="4:7" x14ac:dyDescent="0.3">
      <c r="D26132" s="1"/>
      <c r="G26132" s="13"/>
    </row>
    <row r="26133" spans="4:7" x14ac:dyDescent="0.3">
      <c r="D26133" s="1"/>
      <c r="G26133" s="13"/>
    </row>
    <row r="26134" spans="4:7" x14ac:dyDescent="0.3">
      <c r="G26134" s="13"/>
    </row>
    <row r="26135" spans="4:7" x14ac:dyDescent="0.3">
      <c r="D26135" s="1"/>
      <c r="G26135" s="13"/>
    </row>
    <row r="26136" spans="4:7" x14ac:dyDescent="0.3">
      <c r="D26136" s="1"/>
      <c r="G26136" s="13"/>
    </row>
    <row r="26137" spans="4:7" x14ac:dyDescent="0.3">
      <c r="D26137" s="1"/>
      <c r="G26137" s="13"/>
    </row>
    <row r="26138" spans="4:7" x14ac:dyDescent="0.3">
      <c r="D26138" s="1"/>
      <c r="G26138" s="13"/>
    </row>
    <row r="26139" spans="4:7" x14ac:dyDescent="0.3">
      <c r="D26139" s="1"/>
      <c r="G26139" s="13"/>
    </row>
    <row r="26140" spans="4:7" x14ac:dyDescent="0.3">
      <c r="D26140" s="1"/>
      <c r="G26140" s="13"/>
    </row>
    <row r="26141" spans="4:7" x14ac:dyDescent="0.3">
      <c r="D26141" s="1"/>
      <c r="G26141" s="13"/>
    </row>
    <row r="26142" spans="4:7" x14ac:dyDescent="0.3">
      <c r="D26142" s="1"/>
      <c r="G26142" s="13"/>
    </row>
    <row r="26143" spans="4:7" x14ac:dyDescent="0.3">
      <c r="D26143" s="1"/>
      <c r="G26143" s="13"/>
    </row>
    <row r="26144" spans="4:7" x14ac:dyDescent="0.3">
      <c r="D26144" s="1"/>
      <c r="G26144" s="13"/>
    </row>
    <row r="26145" spans="4:7" x14ac:dyDescent="0.3">
      <c r="D26145" s="1"/>
      <c r="G26145" s="13"/>
    </row>
    <row r="26146" spans="4:7" x14ac:dyDescent="0.3">
      <c r="D26146" s="1"/>
      <c r="G26146" s="13"/>
    </row>
    <row r="26147" spans="4:7" x14ac:dyDescent="0.3">
      <c r="D26147" s="1"/>
      <c r="G26147" s="13"/>
    </row>
    <row r="26148" spans="4:7" x14ac:dyDescent="0.3">
      <c r="D26148" s="1"/>
      <c r="G26148" s="13"/>
    </row>
    <row r="26149" spans="4:7" x14ac:dyDescent="0.3">
      <c r="D26149" s="1"/>
      <c r="G26149" s="13"/>
    </row>
    <row r="26150" spans="4:7" x14ac:dyDescent="0.3">
      <c r="D26150" s="1"/>
      <c r="G26150" s="13"/>
    </row>
    <row r="26151" spans="4:7" x14ac:dyDescent="0.3">
      <c r="D26151" s="1"/>
      <c r="G26151" s="13"/>
    </row>
    <row r="26152" spans="4:7" x14ac:dyDescent="0.3">
      <c r="D26152" s="1"/>
      <c r="G26152" s="13"/>
    </row>
    <row r="26153" spans="4:7" x14ac:dyDescent="0.3">
      <c r="D26153" s="1"/>
      <c r="G26153" s="13"/>
    </row>
    <row r="26154" spans="4:7" x14ac:dyDescent="0.3">
      <c r="D26154" s="1"/>
      <c r="G26154" s="13"/>
    </row>
    <row r="26155" spans="4:7" x14ac:dyDescent="0.3">
      <c r="D26155" s="1"/>
      <c r="G26155" s="13"/>
    </row>
    <row r="26156" spans="4:7" x14ac:dyDescent="0.3">
      <c r="D26156" s="1"/>
      <c r="G26156" s="13"/>
    </row>
    <row r="26157" spans="4:7" x14ac:dyDescent="0.3">
      <c r="D26157" s="1"/>
      <c r="G26157" s="13"/>
    </row>
    <row r="26158" spans="4:7" x14ac:dyDescent="0.3">
      <c r="D26158" s="1"/>
      <c r="G26158" s="13"/>
    </row>
    <row r="26159" spans="4:7" x14ac:dyDescent="0.3">
      <c r="D26159" s="1"/>
      <c r="G26159" s="13"/>
    </row>
    <row r="26160" spans="4:7" x14ac:dyDescent="0.3">
      <c r="D26160" s="1"/>
      <c r="G26160" s="13"/>
    </row>
    <row r="26161" spans="4:7" x14ac:dyDescent="0.3">
      <c r="D26161" s="1"/>
      <c r="G26161" s="13"/>
    </row>
    <row r="26162" spans="4:7" x14ac:dyDescent="0.3">
      <c r="D26162" s="1"/>
      <c r="G26162" s="13"/>
    </row>
    <row r="26163" spans="4:7" x14ac:dyDescent="0.3">
      <c r="D26163" s="1"/>
      <c r="G26163" s="13"/>
    </row>
    <row r="26164" spans="4:7" x14ac:dyDescent="0.3">
      <c r="D26164" s="1"/>
      <c r="G26164" s="13"/>
    </row>
    <row r="26165" spans="4:7" x14ac:dyDescent="0.3">
      <c r="D26165" s="1"/>
      <c r="G26165" s="13"/>
    </row>
    <row r="26166" spans="4:7" x14ac:dyDescent="0.3">
      <c r="D26166" s="1"/>
      <c r="G26166" s="13"/>
    </row>
    <row r="26167" spans="4:7" x14ac:dyDescent="0.3">
      <c r="D26167" s="1"/>
      <c r="G26167" s="13"/>
    </row>
    <row r="26168" spans="4:7" x14ac:dyDescent="0.3">
      <c r="D26168" s="1"/>
      <c r="G26168" s="13"/>
    </row>
    <row r="26169" spans="4:7" x14ac:dyDescent="0.3">
      <c r="D26169" s="1"/>
      <c r="G26169" s="13"/>
    </row>
    <row r="26170" spans="4:7" x14ac:dyDescent="0.3">
      <c r="D26170" s="1"/>
      <c r="G26170" s="13"/>
    </row>
    <row r="26171" spans="4:7" x14ac:dyDescent="0.3">
      <c r="D26171" s="1"/>
      <c r="G26171" s="13"/>
    </row>
    <row r="26172" spans="4:7" x14ac:dyDescent="0.3">
      <c r="D26172" s="1"/>
      <c r="G26172" s="13"/>
    </row>
    <row r="26173" spans="4:7" x14ac:dyDescent="0.3">
      <c r="D26173" s="1"/>
      <c r="G26173" s="13"/>
    </row>
    <row r="26174" spans="4:7" x14ac:dyDescent="0.3">
      <c r="D26174" s="1"/>
      <c r="G26174" s="13"/>
    </row>
    <row r="26175" spans="4:7" x14ac:dyDescent="0.3">
      <c r="D26175" s="1"/>
      <c r="G26175" s="13"/>
    </row>
    <row r="26176" spans="4:7" x14ac:dyDescent="0.3">
      <c r="D26176" s="1"/>
      <c r="G26176" s="13"/>
    </row>
    <row r="26177" spans="4:7" x14ac:dyDescent="0.3">
      <c r="D26177" s="1"/>
      <c r="G26177" s="13"/>
    </row>
    <row r="26178" spans="4:7" x14ac:dyDescent="0.3">
      <c r="D26178" s="1"/>
      <c r="G26178" s="13"/>
    </row>
    <row r="26179" spans="4:7" x14ac:dyDescent="0.3">
      <c r="D26179" s="1"/>
      <c r="G26179" s="13"/>
    </row>
    <row r="26180" spans="4:7" x14ac:dyDescent="0.3">
      <c r="D26180" s="1"/>
      <c r="G26180" s="13"/>
    </row>
    <row r="26181" spans="4:7" x14ac:dyDescent="0.3">
      <c r="D26181" s="1"/>
      <c r="G26181" s="13"/>
    </row>
    <row r="26182" spans="4:7" x14ac:dyDescent="0.3">
      <c r="G26182" s="13"/>
    </row>
    <row r="26183" spans="4:7" x14ac:dyDescent="0.3">
      <c r="D26183" s="1"/>
      <c r="G26183" s="13"/>
    </row>
    <row r="26184" spans="4:7" x14ac:dyDescent="0.3">
      <c r="D26184" s="1"/>
      <c r="G26184" s="13"/>
    </row>
    <row r="26185" spans="4:7" x14ac:dyDescent="0.3">
      <c r="D26185" s="1"/>
      <c r="G26185" s="13"/>
    </row>
    <row r="26186" spans="4:7" x14ac:dyDescent="0.3">
      <c r="G26186" s="13"/>
    </row>
    <row r="26187" spans="4:7" x14ac:dyDescent="0.3">
      <c r="D26187" s="1"/>
      <c r="G26187" s="13"/>
    </row>
    <row r="26188" spans="4:7" x14ac:dyDescent="0.3">
      <c r="D26188" s="1"/>
      <c r="G26188" s="13"/>
    </row>
    <row r="26189" spans="4:7" x14ac:dyDescent="0.3">
      <c r="D26189" s="1"/>
      <c r="G26189" s="13"/>
    </row>
    <row r="26190" spans="4:7" x14ac:dyDescent="0.3">
      <c r="D26190" s="1"/>
      <c r="G26190" s="13"/>
    </row>
    <row r="26191" spans="4:7" x14ac:dyDescent="0.3">
      <c r="D26191" s="1"/>
      <c r="G26191" s="13"/>
    </row>
    <row r="26192" spans="4:7" x14ac:dyDescent="0.3">
      <c r="D26192" s="1"/>
      <c r="G26192" s="13"/>
    </row>
    <row r="26193" spans="4:7" x14ac:dyDescent="0.3">
      <c r="D26193" s="1"/>
      <c r="G26193" s="13"/>
    </row>
    <row r="26194" spans="4:7" x14ac:dyDescent="0.3">
      <c r="D26194" s="1"/>
      <c r="G26194" s="13"/>
    </row>
    <row r="26195" spans="4:7" x14ac:dyDescent="0.3">
      <c r="D26195" s="1"/>
      <c r="G26195" s="13"/>
    </row>
    <row r="26196" spans="4:7" x14ac:dyDescent="0.3">
      <c r="D26196" s="1"/>
      <c r="G26196" s="13"/>
    </row>
    <row r="26197" spans="4:7" x14ac:dyDescent="0.3">
      <c r="D26197" s="1"/>
      <c r="G26197" s="13"/>
    </row>
    <row r="26198" spans="4:7" x14ac:dyDescent="0.3">
      <c r="D26198" s="1"/>
      <c r="G26198" s="13"/>
    </row>
    <row r="26199" spans="4:7" x14ac:dyDescent="0.3">
      <c r="D26199" s="1"/>
      <c r="G26199" s="13"/>
    </row>
    <row r="26200" spans="4:7" x14ac:dyDescent="0.3">
      <c r="D26200" s="1"/>
      <c r="G26200" s="13"/>
    </row>
    <row r="26201" spans="4:7" x14ac:dyDescent="0.3">
      <c r="D26201" s="1"/>
      <c r="G26201" s="13"/>
    </row>
    <row r="26202" spans="4:7" x14ac:dyDescent="0.3">
      <c r="D26202" s="1"/>
      <c r="G26202" s="13"/>
    </row>
    <row r="26203" spans="4:7" x14ac:dyDescent="0.3">
      <c r="D26203" s="1"/>
      <c r="G26203" s="13"/>
    </row>
    <row r="26204" spans="4:7" x14ac:dyDescent="0.3">
      <c r="D26204" s="1"/>
      <c r="G26204" s="13"/>
    </row>
    <row r="26205" spans="4:7" x14ac:dyDescent="0.3">
      <c r="D26205" s="1"/>
      <c r="G26205" s="13"/>
    </row>
    <row r="26206" spans="4:7" x14ac:dyDescent="0.3">
      <c r="D26206" s="1"/>
      <c r="G26206" s="13"/>
    </row>
    <row r="26207" spans="4:7" x14ac:dyDescent="0.3">
      <c r="D26207" s="1"/>
      <c r="G26207" s="13"/>
    </row>
    <row r="26208" spans="4:7" x14ac:dyDescent="0.3">
      <c r="D26208" s="1"/>
      <c r="G26208" s="13"/>
    </row>
    <row r="26209" spans="4:7" x14ac:dyDescent="0.3">
      <c r="D26209" s="1"/>
      <c r="G26209" s="13"/>
    </row>
    <row r="26210" spans="4:7" x14ac:dyDescent="0.3">
      <c r="D26210" s="1"/>
      <c r="G26210" s="13"/>
    </row>
    <row r="26211" spans="4:7" x14ac:dyDescent="0.3">
      <c r="D26211" s="1"/>
      <c r="G26211" s="13"/>
    </row>
    <row r="26212" spans="4:7" x14ac:dyDescent="0.3">
      <c r="D26212" s="1"/>
      <c r="G26212" s="13"/>
    </row>
    <row r="26213" spans="4:7" x14ac:dyDescent="0.3">
      <c r="D26213" s="1"/>
      <c r="G26213" s="13"/>
    </row>
    <row r="26214" spans="4:7" x14ac:dyDescent="0.3">
      <c r="D26214" s="1"/>
      <c r="G26214" s="13"/>
    </row>
    <row r="26215" spans="4:7" x14ac:dyDescent="0.3">
      <c r="D26215" s="1"/>
      <c r="G26215" s="13"/>
    </row>
    <row r="26216" spans="4:7" x14ac:dyDescent="0.3">
      <c r="D26216" s="1"/>
      <c r="G26216" s="13"/>
    </row>
    <row r="26217" spans="4:7" x14ac:dyDescent="0.3">
      <c r="D26217" s="1"/>
      <c r="G26217" s="13"/>
    </row>
    <row r="26218" spans="4:7" x14ac:dyDescent="0.3">
      <c r="D26218" s="1"/>
      <c r="G26218" s="13"/>
    </row>
    <row r="26219" spans="4:7" x14ac:dyDescent="0.3">
      <c r="D26219" s="1"/>
      <c r="G26219" s="13"/>
    </row>
    <row r="26220" spans="4:7" x14ac:dyDescent="0.3">
      <c r="D26220" s="1"/>
      <c r="G26220" s="13"/>
    </row>
    <row r="26221" spans="4:7" x14ac:dyDescent="0.3">
      <c r="D26221" s="1"/>
      <c r="G26221" s="13"/>
    </row>
    <row r="26222" spans="4:7" x14ac:dyDescent="0.3">
      <c r="D26222" s="1"/>
      <c r="G26222" s="13"/>
    </row>
    <row r="26223" spans="4:7" x14ac:dyDescent="0.3">
      <c r="D26223" s="1"/>
      <c r="G26223" s="13"/>
    </row>
    <row r="26224" spans="4:7" x14ac:dyDescent="0.3">
      <c r="D26224" s="1"/>
      <c r="G26224" s="13"/>
    </row>
    <row r="26225" spans="4:7" x14ac:dyDescent="0.3">
      <c r="D26225" s="1"/>
      <c r="G26225" s="13"/>
    </row>
    <row r="26226" spans="4:7" x14ac:dyDescent="0.3">
      <c r="D26226" s="1"/>
      <c r="G26226" s="13"/>
    </row>
    <row r="26227" spans="4:7" x14ac:dyDescent="0.3">
      <c r="D26227" s="1"/>
      <c r="G26227" s="13"/>
    </row>
    <row r="26228" spans="4:7" x14ac:dyDescent="0.3">
      <c r="D26228" s="1"/>
      <c r="G26228" s="13"/>
    </row>
    <row r="26229" spans="4:7" x14ac:dyDescent="0.3">
      <c r="D26229" s="1"/>
      <c r="G26229" s="13"/>
    </row>
    <row r="26230" spans="4:7" x14ac:dyDescent="0.3">
      <c r="D26230" s="1"/>
      <c r="G26230" s="13"/>
    </row>
    <row r="26231" spans="4:7" x14ac:dyDescent="0.3">
      <c r="D26231" s="1"/>
      <c r="G26231" s="13"/>
    </row>
    <row r="26232" spans="4:7" x14ac:dyDescent="0.3">
      <c r="D26232" s="1"/>
      <c r="G26232" s="13"/>
    </row>
    <row r="26233" spans="4:7" x14ac:dyDescent="0.3">
      <c r="D26233" s="1"/>
      <c r="G26233" s="13"/>
    </row>
    <row r="26234" spans="4:7" x14ac:dyDescent="0.3">
      <c r="D26234" s="1"/>
      <c r="G26234" s="13"/>
    </row>
    <row r="26235" spans="4:7" x14ac:dyDescent="0.3">
      <c r="D26235" s="1"/>
      <c r="G26235" s="13"/>
    </row>
    <row r="26236" spans="4:7" x14ac:dyDescent="0.3">
      <c r="D26236" s="1"/>
      <c r="G26236" s="13"/>
    </row>
    <row r="26237" spans="4:7" x14ac:dyDescent="0.3">
      <c r="D26237" s="1"/>
      <c r="G26237" s="13"/>
    </row>
    <row r="26238" spans="4:7" x14ac:dyDescent="0.3">
      <c r="D26238" s="1"/>
      <c r="G26238" s="13"/>
    </row>
    <row r="26239" spans="4:7" x14ac:dyDescent="0.3">
      <c r="D26239" s="1"/>
      <c r="G26239" s="13"/>
    </row>
    <row r="26240" spans="4:7" x14ac:dyDescent="0.3">
      <c r="D26240" s="1"/>
      <c r="G26240" s="13"/>
    </row>
    <row r="26241" spans="4:7" x14ac:dyDescent="0.3">
      <c r="D26241" s="1"/>
      <c r="G26241" s="13"/>
    </row>
    <row r="26242" spans="4:7" x14ac:dyDescent="0.3">
      <c r="D26242" s="1"/>
      <c r="G26242" s="13"/>
    </row>
    <row r="26243" spans="4:7" x14ac:dyDescent="0.3">
      <c r="D26243" s="1"/>
      <c r="G26243" s="13"/>
    </row>
    <row r="26244" spans="4:7" x14ac:dyDescent="0.3">
      <c r="D26244" s="1"/>
      <c r="G26244" s="13"/>
    </row>
    <row r="26245" spans="4:7" x14ac:dyDescent="0.3">
      <c r="D26245" s="1"/>
      <c r="G26245" s="13"/>
    </row>
    <row r="26246" spans="4:7" x14ac:dyDescent="0.3">
      <c r="D26246" s="1"/>
      <c r="G26246" s="13"/>
    </row>
    <row r="26247" spans="4:7" x14ac:dyDescent="0.3">
      <c r="D26247" s="1"/>
      <c r="G26247" s="13"/>
    </row>
    <row r="26248" spans="4:7" x14ac:dyDescent="0.3">
      <c r="D26248" s="1"/>
      <c r="G26248" s="13"/>
    </row>
    <row r="26249" spans="4:7" x14ac:dyDescent="0.3">
      <c r="D26249" s="1"/>
      <c r="G26249" s="13"/>
    </row>
    <row r="26250" spans="4:7" x14ac:dyDescent="0.3">
      <c r="D26250" s="1"/>
      <c r="G26250" s="13"/>
    </row>
    <row r="26251" spans="4:7" x14ac:dyDescent="0.3">
      <c r="D26251" s="1"/>
      <c r="G26251" s="13"/>
    </row>
    <row r="26252" spans="4:7" x14ac:dyDescent="0.3">
      <c r="D26252" s="1"/>
      <c r="G26252" s="13"/>
    </row>
    <row r="26253" spans="4:7" x14ac:dyDescent="0.3">
      <c r="D26253" s="1"/>
      <c r="G26253" s="13"/>
    </row>
    <row r="26254" spans="4:7" x14ac:dyDescent="0.3">
      <c r="D26254" s="1"/>
      <c r="G26254" s="13"/>
    </row>
    <row r="26255" spans="4:7" x14ac:dyDescent="0.3">
      <c r="D26255" s="1"/>
      <c r="G26255" s="13"/>
    </row>
    <row r="26256" spans="4:7" x14ac:dyDescent="0.3">
      <c r="D26256" s="1"/>
      <c r="G26256" s="13"/>
    </row>
    <row r="26257" spans="4:7" x14ac:dyDescent="0.3">
      <c r="D26257" s="1"/>
      <c r="G26257" s="13"/>
    </row>
    <row r="26258" spans="4:7" x14ac:dyDescent="0.3">
      <c r="D26258" s="1"/>
      <c r="G26258" s="13"/>
    </row>
    <row r="26259" spans="4:7" x14ac:dyDescent="0.3">
      <c r="D26259" s="1"/>
      <c r="G26259" s="13"/>
    </row>
    <row r="26260" spans="4:7" x14ac:dyDescent="0.3">
      <c r="D26260" s="1"/>
      <c r="G26260" s="13"/>
    </row>
    <row r="26261" spans="4:7" x14ac:dyDescent="0.3">
      <c r="D26261" s="1"/>
      <c r="G26261" s="13"/>
    </row>
    <row r="26262" spans="4:7" x14ac:dyDescent="0.3">
      <c r="D26262" s="1"/>
      <c r="G26262" s="13"/>
    </row>
    <row r="26263" spans="4:7" x14ac:dyDescent="0.3">
      <c r="D26263" s="1"/>
      <c r="G26263" s="13"/>
    </row>
    <row r="26264" spans="4:7" x14ac:dyDescent="0.3">
      <c r="D26264" s="1"/>
      <c r="G26264" s="13"/>
    </row>
    <row r="26265" spans="4:7" x14ac:dyDescent="0.3">
      <c r="D26265" s="1"/>
      <c r="G26265" s="13"/>
    </row>
    <row r="26266" spans="4:7" x14ac:dyDescent="0.3">
      <c r="D26266" s="1"/>
      <c r="G26266" s="13"/>
    </row>
    <row r="26267" spans="4:7" x14ac:dyDescent="0.3">
      <c r="D26267" s="1"/>
      <c r="G26267" s="13"/>
    </row>
    <row r="26268" spans="4:7" x14ac:dyDescent="0.3">
      <c r="D26268" s="1"/>
      <c r="G26268" s="13"/>
    </row>
    <row r="26269" spans="4:7" x14ac:dyDescent="0.3">
      <c r="D26269" s="1"/>
      <c r="G26269" s="13"/>
    </row>
    <row r="26270" spans="4:7" x14ac:dyDescent="0.3">
      <c r="D26270" s="1"/>
      <c r="G26270" s="13"/>
    </row>
    <row r="26271" spans="4:7" x14ac:dyDescent="0.3">
      <c r="D26271" s="1"/>
      <c r="G26271" s="13"/>
    </row>
    <row r="26272" spans="4:7" x14ac:dyDescent="0.3">
      <c r="D26272" s="1"/>
      <c r="G26272" s="13"/>
    </row>
    <row r="26273" spans="4:7" x14ac:dyDescent="0.3">
      <c r="D26273" s="1"/>
      <c r="G26273" s="13"/>
    </row>
    <row r="26274" spans="4:7" x14ac:dyDescent="0.3">
      <c r="D26274" s="1"/>
      <c r="G26274" s="13"/>
    </row>
    <row r="26275" spans="4:7" x14ac:dyDescent="0.3">
      <c r="D26275" s="1"/>
      <c r="G26275" s="13"/>
    </row>
    <row r="26276" spans="4:7" x14ac:dyDescent="0.3">
      <c r="D26276" s="1"/>
      <c r="G26276" s="13"/>
    </row>
    <row r="26277" spans="4:7" x14ac:dyDescent="0.3">
      <c r="D26277" s="1"/>
      <c r="G26277" s="13"/>
    </row>
    <row r="26278" spans="4:7" x14ac:dyDescent="0.3">
      <c r="D26278" s="1"/>
      <c r="G26278" s="13"/>
    </row>
    <row r="26279" spans="4:7" x14ac:dyDescent="0.3">
      <c r="D26279" s="1"/>
      <c r="G26279" s="13"/>
    </row>
    <row r="26280" spans="4:7" x14ac:dyDescent="0.3">
      <c r="D26280" s="1"/>
      <c r="G26280" s="13"/>
    </row>
    <row r="26281" spans="4:7" x14ac:dyDescent="0.3">
      <c r="D26281" s="1"/>
      <c r="G26281" s="13"/>
    </row>
    <row r="26282" spans="4:7" x14ac:dyDescent="0.3">
      <c r="G26282" s="13"/>
    </row>
    <row r="26283" spans="4:7" x14ac:dyDescent="0.3">
      <c r="D26283" s="1"/>
      <c r="G26283" s="13"/>
    </row>
    <row r="26284" spans="4:7" x14ac:dyDescent="0.3">
      <c r="D26284" s="1"/>
      <c r="G26284" s="13"/>
    </row>
    <row r="26285" spans="4:7" x14ac:dyDescent="0.3">
      <c r="D26285" s="1"/>
      <c r="G26285" s="13"/>
    </row>
    <row r="26286" spans="4:7" x14ac:dyDescent="0.3">
      <c r="D26286" s="1"/>
      <c r="G26286" s="13"/>
    </row>
    <row r="26287" spans="4:7" x14ac:dyDescent="0.3">
      <c r="D26287" s="1"/>
      <c r="G26287" s="13"/>
    </row>
    <row r="26288" spans="4:7" x14ac:dyDescent="0.3">
      <c r="D26288" s="1"/>
      <c r="G26288" s="13"/>
    </row>
    <row r="26289" spans="4:7" x14ac:dyDescent="0.3">
      <c r="D26289" s="1"/>
      <c r="G26289" s="13"/>
    </row>
    <row r="26290" spans="4:7" x14ac:dyDescent="0.3">
      <c r="D26290" s="1"/>
      <c r="G26290" s="13"/>
    </row>
    <row r="26291" spans="4:7" x14ac:dyDescent="0.3">
      <c r="D26291" s="1"/>
      <c r="G26291" s="13"/>
    </row>
    <row r="26292" spans="4:7" x14ac:dyDescent="0.3">
      <c r="D26292" s="1"/>
      <c r="G26292" s="13"/>
    </row>
    <row r="26293" spans="4:7" x14ac:dyDescent="0.3">
      <c r="D26293" s="1"/>
      <c r="G26293" s="13"/>
    </row>
    <row r="26294" spans="4:7" x14ac:dyDescent="0.3">
      <c r="D26294" s="1"/>
      <c r="G26294" s="13"/>
    </row>
    <row r="26295" spans="4:7" x14ac:dyDescent="0.3">
      <c r="D26295" s="1"/>
      <c r="G26295" s="13"/>
    </row>
    <row r="26296" spans="4:7" x14ac:dyDescent="0.3">
      <c r="G26296" s="13"/>
    </row>
    <row r="26297" spans="4:7" x14ac:dyDescent="0.3">
      <c r="D26297" s="1"/>
      <c r="G26297" s="13"/>
    </row>
    <row r="26298" spans="4:7" x14ac:dyDescent="0.3">
      <c r="D26298" s="1"/>
      <c r="G26298" s="13"/>
    </row>
    <row r="26299" spans="4:7" x14ac:dyDescent="0.3">
      <c r="D26299" s="1"/>
      <c r="G26299" s="13"/>
    </row>
    <row r="26300" spans="4:7" x14ac:dyDescent="0.3">
      <c r="D26300" s="1"/>
      <c r="G26300" s="13"/>
    </row>
    <row r="26301" spans="4:7" x14ac:dyDescent="0.3">
      <c r="D26301" s="1"/>
      <c r="G26301" s="13"/>
    </row>
    <row r="26302" spans="4:7" x14ac:dyDescent="0.3">
      <c r="D26302" s="1"/>
      <c r="G26302" s="13"/>
    </row>
    <row r="26303" spans="4:7" x14ac:dyDescent="0.3">
      <c r="D26303" s="1"/>
      <c r="G26303" s="13"/>
    </row>
    <row r="26304" spans="4:7" x14ac:dyDescent="0.3">
      <c r="D26304" s="1"/>
      <c r="G26304" s="13"/>
    </row>
    <row r="26305" spans="4:7" x14ac:dyDescent="0.3">
      <c r="D26305" s="1"/>
      <c r="G26305" s="13"/>
    </row>
    <row r="26306" spans="4:7" x14ac:dyDescent="0.3">
      <c r="D26306" s="1"/>
      <c r="G26306" s="13"/>
    </row>
    <row r="26307" spans="4:7" x14ac:dyDescent="0.3">
      <c r="D26307" s="1"/>
      <c r="G26307" s="13"/>
    </row>
    <row r="26308" spans="4:7" x14ac:dyDescent="0.3">
      <c r="D26308" s="1"/>
      <c r="G26308" s="13"/>
    </row>
    <row r="26309" spans="4:7" x14ac:dyDescent="0.3">
      <c r="D26309" s="1"/>
      <c r="G26309" s="13"/>
    </row>
    <row r="26310" spans="4:7" x14ac:dyDescent="0.3">
      <c r="D26310" s="1"/>
      <c r="G26310" s="13"/>
    </row>
    <row r="26311" spans="4:7" x14ac:dyDescent="0.3">
      <c r="D26311" s="1"/>
      <c r="G26311" s="13"/>
    </row>
    <row r="26312" spans="4:7" x14ac:dyDescent="0.3">
      <c r="D26312" s="1"/>
      <c r="G26312" s="13"/>
    </row>
    <row r="26313" spans="4:7" x14ac:dyDescent="0.3">
      <c r="D26313" s="1"/>
      <c r="G26313" s="13"/>
    </row>
    <row r="26314" spans="4:7" x14ac:dyDescent="0.3">
      <c r="D26314" s="1"/>
      <c r="G26314" s="13"/>
    </row>
    <row r="26315" spans="4:7" x14ac:dyDescent="0.3">
      <c r="D26315" s="1"/>
      <c r="G26315" s="13"/>
    </row>
    <row r="26316" spans="4:7" x14ac:dyDescent="0.3">
      <c r="D26316" s="1"/>
      <c r="G26316" s="13"/>
    </row>
    <row r="26317" spans="4:7" x14ac:dyDescent="0.3">
      <c r="D26317" s="1"/>
      <c r="G26317" s="13"/>
    </row>
    <row r="26318" spans="4:7" x14ac:dyDescent="0.3">
      <c r="D26318" s="1"/>
      <c r="G26318" s="13"/>
    </row>
    <row r="26319" spans="4:7" x14ac:dyDescent="0.3">
      <c r="D26319" s="1"/>
      <c r="G26319" s="13"/>
    </row>
    <row r="26320" spans="4:7" x14ac:dyDescent="0.3">
      <c r="D26320" s="1"/>
      <c r="G26320" s="13"/>
    </row>
    <row r="26321" spans="4:7" x14ac:dyDescent="0.3">
      <c r="D26321" s="1"/>
      <c r="G26321" s="13"/>
    </row>
    <row r="26322" spans="4:7" x14ac:dyDescent="0.3">
      <c r="D26322" s="1"/>
      <c r="G26322" s="13"/>
    </row>
    <row r="26323" spans="4:7" x14ac:dyDescent="0.3">
      <c r="D26323" s="1"/>
      <c r="G26323" s="13"/>
    </row>
    <row r="26324" spans="4:7" x14ac:dyDescent="0.3">
      <c r="D26324" s="1"/>
      <c r="G26324" s="13"/>
    </row>
    <row r="26325" spans="4:7" x14ac:dyDescent="0.3">
      <c r="D26325" s="1"/>
      <c r="G26325" s="13"/>
    </row>
    <row r="26326" spans="4:7" x14ac:dyDescent="0.3">
      <c r="D26326" s="1"/>
      <c r="G26326" s="13"/>
    </row>
    <row r="26327" spans="4:7" x14ac:dyDescent="0.3">
      <c r="D26327" s="1"/>
      <c r="G26327" s="13"/>
    </row>
    <row r="26328" spans="4:7" x14ac:dyDescent="0.3">
      <c r="D26328" s="1"/>
      <c r="G26328" s="13"/>
    </row>
    <row r="26329" spans="4:7" x14ac:dyDescent="0.3">
      <c r="D26329" s="1"/>
      <c r="G26329" s="13"/>
    </row>
    <row r="26330" spans="4:7" x14ac:dyDescent="0.3">
      <c r="D26330" s="1"/>
      <c r="G26330" s="13"/>
    </row>
    <row r="26331" spans="4:7" x14ac:dyDescent="0.3">
      <c r="D26331" s="1"/>
      <c r="G26331" s="13"/>
    </row>
    <row r="26332" spans="4:7" x14ac:dyDescent="0.3">
      <c r="D26332" s="1"/>
      <c r="G26332" s="13"/>
    </row>
    <row r="26333" spans="4:7" x14ac:dyDescent="0.3">
      <c r="D26333" s="1"/>
      <c r="G26333" s="13"/>
    </row>
    <row r="26334" spans="4:7" x14ac:dyDescent="0.3">
      <c r="D26334" s="1"/>
      <c r="G26334" s="13"/>
    </row>
    <row r="26335" spans="4:7" x14ac:dyDescent="0.3">
      <c r="D26335" s="1"/>
      <c r="G26335" s="13"/>
    </row>
    <row r="26336" spans="4:7" x14ac:dyDescent="0.3">
      <c r="D26336" s="1"/>
      <c r="G26336" s="13"/>
    </row>
    <row r="26337" spans="4:7" x14ac:dyDescent="0.3">
      <c r="D26337" s="1"/>
      <c r="G26337" s="13"/>
    </row>
    <row r="26338" spans="4:7" x14ac:dyDescent="0.3">
      <c r="D26338" s="1"/>
      <c r="G26338" s="13"/>
    </row>
    <row r="26339" spans="4:7" x14ac:dyDescent="0.3">
      <c r="D26339" s="1"/>
      <c r="G26339" s="13"/>
    </row>
    <row r="26340" spans="4:7" x14ac:dyDescent="0.3">
      <c r="D26340" s="1"/>
      <c r="G26340" s="13"/>
    </row>
    <row r="26341" spans="4:7" x14ac:dyDescent="0.3">
      <c r="D26341" s="1"/>
      <c r="G26341" s="13"/>
    </row>
    <row r="26342" spans="4:7" x14ac:dyDescent="0.3">
      <c r="D26342" s="1"/>
      <c r="G26342" s="13"/>
    </row>
    <row r="26343" spans="4:7" x14ac:dyDescent="0.3">
      <c r="D26343" s="1"/>
      <c r="G26343" s="13"/>
    </row>
    <row r="26344" spans="4:7" x14ac:dyDescent="0.3">
      <c r="D26344" s="1"/>
      <c r="G26344" s="13"/>
    </row>
    <row r="26345" spans="4:7" x14ac:dyDescent="0.3">
      <c r="D26345" s="1"/>
      <c r="G26345" s="13"/>
    </row>
    <row r="26346" spans="4:7" x14ac:dyDescent="0.3">
      <c r="D26346" s="1"/>
      <c r="G26346" s="13"/>
    </row>
    <row r="26347" spans="4:7" x14ac:dyDescent="0.3">
      <c r="D26347" s="1"/>
      <c r="G26347" s="13"/>
    </row>
    <row r="26348" spans="4:7" x14ac:dyDescent="0.3">
      <c r="G26348" s="13"/>
    </row>
    <row r="26349" spans="4:7" x14ac:dyDescent="0.3">
      <c r="D26349" s="1"/>
      <c r="G26349" s="13"/>
    </row>
    <row r="26350" spans="4:7" x14ac:dyDescent="0.3">
      <c r="D26350" s="1"/>
      <c r="G26350" s="13"/>
    </row>
    <row r="26351" spans="4:7" x14ac:dyDescent="0.3">
      <c r="D26351" s="1"/>
      <c r="G26351" s="13"/>
    </row>
    <row r="26352" spans="4:7" x14ac:dyDescent="0.3">
      <c r="D26352" s="1"/>
      <c r="G26352" s="13"/>
    </row>
    <row r="26353" spans="4:7" x14ac:dyDescent="0.3">
      <c r="D26353" s="1"/>
      <c r="G26353" s="13"/>
    </row>
    <row r="26354" spans="4:7" x14ac:dyDescent="0.3">
      <c r="D26354" s="1"/>
      <c r="G26354" s="13"/>
    </row>
    <row r="26355" spans="4:7" x14ac:dyDescent="0.3">
      <c r="D26355" s="1"/>
      <c r="G26355" s="13"/>
    </row>
    <row r="26356" spans="4:7" x14ac:dyDescent="0.3">
      <c r="D26356" s="1"/>
      <c r="G26356" s="13"/>
    </row>
    <row r="26357" spans="4:7" x14ac:dyDescent="0.3">
      <c r="D26357" s="1"/>
      <c r="G26357" s="13"/>
    </row>
    <row r="26358" spans="4:7" x14ac:dyDescent="0.3">
      <c r="D26358" s="1"/>
      <c r="G26358" s="13"/>
    </row>
    <row r="26359" spans="4:7" x14ac:dyDescent="0.3">
      <c r="D26359" s="1"/>
      <c r="G26359" s="13"/>
    </row>
    <row r="26360" spans="4:7" x14ac:dyDescent="0.3">
      <c r="D26360" s="1"/>
      <c r="G26360" s="13"/>
    </row>
    <row r="26361" spans="4:7" x14ac:dyDescent="0.3">
      <c r="D26361" s="1"/>
      <c r="G26361" s="13"/>
    </row>
    <row r="26362" spans="4:7" x14ac:dyDescent="0.3">
      <c r="D26362" s="1"/>
      <c r="G26362" s="13"/>
    </row>
    <row r="26363" spans="4:7" x14ac:dyDescent="0.3">
      <c r="D26363" s="1"/>
      <c r="G26363" s="13"/>
    </row>
    <row r="26364" spans="4:7" x14ac:dyDescent="0.3">
      <c r="D26364" s="1"/>
      <c r="G26364" s="13"/>
    </row>
    <row r="26365" spans="4:7" x14ac:dyDescent="0.3">
      <c r="D26365" s="1"/>
      <c r="G26365" s="13"/>
    </row>
    <row r="26366" spans="4:7" x14ac:dyDescent="0.3">
      <c r="D26366" s="1"/>
      <c r="G26366" s="13"/>
    </row>
    <row r="26367" spans="4:7" x14ac:dyDescent="0.3">
      <c r="D26367" s="1"/>
      <c r="G26367" s="13"/>
    </row>
    <row r="26368" spans="4:7" x14ac:dyDescent="0.3">
      <c r="D26368" s="1"/>
      <c r="G26368" s="13"/>
    </row>
    <row r="26369" spans="4:7" x14ac:dyDescent="0.3">
      <c r="D26369" s="1"/>
      <c r="G26369" s="13"/>
    </row>
    <row r="26370" spans="4:7" x14ac:dyDescent="0.3">
      <c r="G26370" s="13"/>
    </row>
    <row r="26371" spans="4:7" x14ac:dyDescent="0.3">
      <c r="D26371" s="1"/>
      <c r="G26371" s="13"/>
    </row>
    <row r="26372" spans="4:7" x14ac:dyDescent="0.3">
      <c r="D26372" s="1"/>
      <c r="G26372" s="13"/>
    </row>
    <row r="26373" spans="4:7" x14ac:dyDescent="0.3">
      <c r="G26373" s="13"/>
    </row>
    <row r="26374" spans="4:7" x14ac:dyDescent="0.3">
      <c r="D26374" s="1"/>
      <c r="G26374" s="13"/>
    </row>
    <row r="26375" spans="4:7" x14ac:dyDescent="0.3">
      <c r="D26375" s="1"/>
      <c r="G26375" s="13"/>
    </row>
    <row r="26376" spans="4:7" x14ac:dyDescent="0.3">
      <c r="D26376" s="1"/>
      <c r="G26376" s="13"/>
    </row>
    <row r="26377" spans="4:7" x14ac:dyDescent="0.3">
      <c r="D26377" s="1"/>
      <c r="G26377" s="13"/>
    </row>
    <row r="26378" spans="4:7" x14ac:dyDescent="0.3">
      <c r="D26378" s="1"/>
      <c r="G26378" s="13"/>
    </row>
    <row r="26379" spans="4:7" x14ac:dyDescent="0.3">
      <c r="D26379" s="1"/>
      <c r="G26379" s="13"/>
    </row>
    <row r="26380" spans="4:7" x14ac:dyDescent="0.3">
      <c r="D26380" s="1"/>
      <c r="G26380" s="13"/>
    </row>
    <row r="26381" spans="4:7" x14ac:dyDescent="0.3">
      <c r="D26381" s="1"/>
      <c r="G26381" s="13"/>
    </row>
    <row r="26382" spans="4:7" x14ac:dyDescent="0.3">
      <c r="D26382" s="1"/>
      <c r="G26382" s="13"/>
    </row>
    <row r="26383" spans="4:7" x14ac:dyDescent="0.3">
      <c r="D26383" s="1"/>
      <c r="G26383" s="13"/>
    </row>
    <row r="26384" spans="4:7" x14ac:dyDescent="0.3">
      <c r="D26384" s="1"/>
      <c r="G26384" s="13"/>
    </row>
    <row r="26385" spans="4:7" x14ac:dyDescent="0.3">
      <c r="D26385" s="1"/>
      <c r="G26385" s="13"/>
    </row>
    <row r="26386" spans="4:7" x14ac:dyDescent="0.3">
      <c r="D26386" s="1"/>
      <c r="G26386" s="13"/>
    </row>
    <row r="26387" spans="4:7" x14ac:dyDescent="0.3">
      <c r="D26387" s="1"/>
      <c r="G26387" s="13"/>
    </row>
    <row r="26388" spans="4:7" x14ac:dyDescent="0.3">
      <c r="D26388" s="1"/>
      <c r="G26388" s="13"/>
    </row>
    <row r="26389" spans="4:7" x14ac:dyDescent="0.3">
      <c r="D26389" s="1"/>
      <c r="G26389" s="13"/>
    </row>
    <row r="26390" spans="4:7" x14ac:dyDescent="0.3">
      <c r="D26390" s="1"/>
      <c r="G26390" s="13"/>
    </row>
    <row r="26391" spans="4:7" x14ac:dyDescent="0.3">
      <c r="D26391" s="1"/>
      <c r="G26391" s="13"/>
    </row>
    <row r="26392" spans="4:7" x14ac:dyDescent="0.3">
      <c r="D26392" s="1"/>
      <c r="G26392" s="13"/>
    </row>
    <row r="26393" spans="4:7" x14ac:dyDescent="0.3">
      <c r="D26393" s="1"/>
      <c r="G26393" s="13"/>
    </row>
    <row r="26394" spans="4:7" x14ac:dyDescent="0.3">
      <c r="D26394" s="1"/>
      <c r="G26394" s="13"/>
    </row>
    <row r="26395" spans="4:7" x14ac:dyDescent="0.3">
      <c r="D26395" s="1"/>
      <c r="G26395" s="13"/>
    </row>
    <row r="26396" spans="4:7" x14ac:dyDescent="0.3">
      <c r="D26396" s="1"/>
      <c r="G26396" s="13"/>
    </row>
    <row r="26397" spans="4:7" x14ac:dyDescent="0.3">
      <c r="D26397" s="1"/>
      <c r="G26397" s="13"/>
    </row>
    <row r="26398" spans="4:7" x14ac:dyDescent="0.3">
      <c r="D26398" s="1"/>
      <c r="G26398" s="13"/>
    </row>
    <row r="26399" spans="4:7" x14ac:dyDescent="0.3">
      <c r="D26399" s="1"/>
      <c r="G26399" s="13"/>
    </row>
    <row r="26400" spans="4:7" x14ac:dyDescent="0.3">
      <c r="D26400" s="1"/>
      <c r="G26400" s="13"/>
    </row>
    <row r="26401" spans="4:7" x14ac:dyDescent="0.3">
      <c r="D26401" s="1"/>
      <c r="G26401" s="13"/>
    </row>
    <row r="26402" spans="4:7" x14ac:dyDescent="0.3">
      <c r="D26402" s="1"/>
      <c r="G26402" s="13"/>
    </row>
    <row r="26403" spans="4:7" x14ac:dyDescent="0.3">
      <c r="D26403" s="1"/>
      <c r="G26403" s="13"/>
    </row>
    <row r="26404" spans="4:7" x14ac:dyDescent="0.3">
      <c r="D26404" s="1"/>
      <c r="G26404" s="13"/>
    </row>
    <row r="26405" spans="4:7" x14ac:dyDescent="0.3">
      <c r="D26405" s="1"/>
      <c r="G26405" s="13"/>
    </row>
    <row r="26406" spans="4:7" x14ac:dyDescent="0.3">
      <c r="D26406" s="1"/>
      <c r="G26406" s="13"/>
    </row>
    <row r="26407" spans="4:7" x14ac:dyDescent="0.3">
      <c r="D26407" s="1"/>
      <c r="G26407" s="13"/>
    </row>
    <row r="26408" spans="4:7" x14ac:dyDescent="0.3">
      <c r="D26408" s="1"/>
      <c r="G26408" s="13"/>
    </row>
    <row r="26409" spans="4:7" x14ac:dyDescent="0.3">
      <c r="D26409" s="1"/>
      <c r="G26409" s="13"/>
    </row>
    <row r="26410" spans="4:7" x14ac:dyDescent="0.3">
      <c r="D26410" s="1"/>
      <c r="G26410" s="13"/>
    </row>
    <row r="26411" spans="4:7" x14ac:dyDescent="0.3">
      <c r="G26411" s="13"/>
    </row>
    <row r="26412" spans="4:7" x14ac:dyDescent="0.3">
      <c r="D26412" s="1"/>
      <c r="G26412" s="13"/>
    </row>
    <row r="26413" spans="4:7" x14ac:dyDescent="0.3">
      <c r="D26413" s="1"/>
      <c r="G26413" s="13"/>
    </row>
    <row r="26414" spans="4:7" x14ac:dyDescent="0.3">
      <c r="D26414" s="1"/>
      <c r="G26414" s="13"/>
    </row>
    <row r="26415" spans="4:7" x14ac:dyDescent="0.3">
      <c r="D26415" s="1"/>
      <c r="G26415" s="13"/>
    </row>
    <row r="26416" spans="4:7" x14ac:dyDescent="0.3">
      <c r="D26416" s="1"/>
      <c r="G26416" s="13"/>
    </row>
    <row r="26417" spans="4:7" x14ac:dyDescent="0.3">
      <c r="D26417" s="1"/>
      <c r="G26417" s="13"/>
    </row>
    <row r="26418" spans="4:7" x14ac:dyDescent="0.3">
      <c r="D26418" s="1"/>
      <c r="G26418" s="13"/>
    </row>
    <row r="26419" spans="4:7" x14ac:dyDescent="0.3">
      <c r="D26419" s="1"/>
      <c r="G26419" s="13"/>
    </row>
    <row r="26420" spans="4:7" x14ac:dyDescent="0.3">
      <c r="D26420" s="1"/>
      <c r="G26420" s="13"/>
    </row>
    <row r="26421" spans="4:7" x14ac:dyDescent="0.3">
      <c r="D26421" s="1"/>
      <c r="G26421" s="13"/>
    </row>
    <row r="26422" spans="4:7" x14ac:dyDescent="0.3">
      <c r="D26422" s="1"/>
      <c r="G26422" s="13"/>
    </row>
    <row r="26423" spans="4:7" x14ac:dyDescent="0.3">
      <c r="D26423" s="1"/>
      <c r="G26423" s="13"/>
    </row>
    <row r="26424" spans="4:7" x14ac:dyDescent="0.3">
      <c r="D26424" s="1"/>
      <c r="G26424" s="13"/>
    </row>
    <row r="26425" spans="4:7" x14ac:dyDescent="0.3">
      <c r="D26425" s="1"/>
      <c r="G26425" s="13"/>
    </row>
    <row r="26426" spans="4:7" x14ac:dyDescent="0.3">
      <c r="D26426" s="1"/>
      <c r="G26426" s="13"/>
    </row>
    <row r="26427" spans="4:7" x14ac:dyDescent="0.3">
      <c r="D26427" s="1"/>
      <c r="G26427" s="13"/>
    </row>
    <row r="26428" spans="4:7" x14ac:dyDescent="0.3">
      <c r="D26428" s="1"/>
      <c r="G26428" s="13"/>
    </row>
    <row r="26429" spans="4:7" x14ac:dyDescent="0.3">
      <c r="D26429" s="1"/>
      <c r="G26429" s="13"/>
    </row>
    <row r="26430" spans="4:7" x14ac:dyDescent="0.3">
      <c r="D26430" s="1"/>
      <c r="G26430" s="13"/>
    </row>
    <row r="26431" spans="4:7" x14ac:dyDescent="0.3">
      <c r="D26431" s="1"/>
      <c r="G26431" s="13"/>
    </row>
    <row r="26432" spans="4:7" x14ac:dyDescent="0.3">
      <c r="D26432" s="1"/>
      <c r="G26432" s="13"/>
    </row>
    <row r="26433" spans="4:7" x14ac:dyDescent="0.3">
      <c r="D26433" s="1"/>
      <c r="G26433" s="13"/>
    </row>
    <row r="26434" spans="4:7" x14ac:dyDescent="0.3">
      <c r="D26434" s="1"/>
      <c r="G26434" s="13"/>
    </row>
    <row r="26435" spans="4:7" x14ac:dyDescent="0.3">
      <c r="D26435" s="1"/>
      <c r="G26435" s="13"/>
    </row>
    <row r="26436" spans="4:7" x14ac:dyDescent="0.3">
      <c r="D26436" s="1"/>
      <c r="G26436" s="13"/>
    </row>
    <row r="26437" spans="4:7" x14ac:dyDescent="0.3">
      <c r="D26437" s="1"/>
      <c r="G26437" s="13"/>
    </row>
    <row r="26438" spans="4:7" x14ac:dyDescent="0.3">
      <c r="D26438" s="1"/>
      <c r="G26438" s="13"/>
    </row>
    <row r="26439" spans="4:7" x14ac:dyDescent="0.3">
      <c r="D26439" s="1"/>
      <c r="G26439" s="13"/>
    </row>
    <row r="26440" spans="4:7" x14ac:dyDescent="0.3">
      <c r="D26440" s="1"/>
      <c r="G26440" s="13"/>
    </row>
    <row r="26441" spans="4:7" x14ac:dyDescent="0.3">
      <c r="D26441" s="1"/>
      <c r="G26441" s="13"/>
    </row>
    <row r="26442" spans="4:7" x14ac:dyDescent="0.3">
      <c r="D26442" s="1"/>
      <c r="G26442" s="13"/>
    </row>
    <row r="26443" spans="4:7" x14ac:dyDescent="0.3">
      <c r="D26443" s="1"/>
      <c r="G26443" s="13"/>
    </row>
    <row r="26444" spans="4:7" x14ac:dyDescent="0.3">
      <c r="D26444" s="1"/>
      <c r="G26444" s="13"/>
    </row>
    <row r="26445" spans="4:7" x14ac:dyDescent="0.3">
      <c r="D26445" s="1"/>
      <c r="G26445" s="13"/>
    </row>
    <row r="26446" spans="4:7" x14ac:dyDescent="0.3">
      <c r="D26446" s="1"/>
      <c r="G26446" s="13"/>
    </row>
    <row r="26447" spans="4:7" x14ac:dyDescent="0.3">
      <c r="D26447" s="1"/>
      <c r="G26447" s="13"/>
    </row>
    <row r="26448" spans="4:7" x14ac:dyDescent="0.3">
      <c r="D26448" s="1"/>
      <c r="G26448" s="13"/>
    </row>
    <row r="26449" spans="4:7" x14ac:dyDescent="0.3">
      <c r="D26449" s="1"/>
      <c r="G26449" s="13"/>
    </row>
    <row r="26450" spans="4:7" x14ac:dyDescent="0.3">
      <c r="D26450" s="1"/>
      <c r="G26450" s="13"/>
    </row>
    <row r="26451" spans="4:7" x14ac:dyDescent="0.3">
      <c r="D26451" s="1"/>
      <c r="G26451" s="13"/>
    </row>
    <row r="26452" spans="4:7" x14ac:dyDescent="0.3">
      <c r="D26452" s="1"/>
      <c r="G26452" s="13"/>
    </row>
    <row r="26453" spans="4:7" x14ac:dyDescent="0.3">
      <c r="D26453" s="1"/>
      <c r="G26453" s="13"/>
    </row>
    <row r="26454" spans="4:7" x14ac:dyDescent="0.3">
      <c r="D26454" s="1"/>
      <c r="G26454" s="13"/>
    </row>
    <row r="26455" spans="4:7" x14ac:dyDescent="0.3">
      <c r="D26455" s="1"/>
      <c r="G26455" s="13"/>
    </row>
    <row r="26456" spans="4:7" x14ac:dyDescent="0.3">
      <c r="D26456" s="1"/>
      <c r="G26456" s="13"/>
    </row>
    <row r="26457" spans="4:7" x14ac:dyDescent="0.3">
      <c r="D26457" s="1"/>
      <c r="G26457" s="13"/>
    </row>
    <row r="26458" spans="4:7" x14ac:dyDescent="0.3">
      <c r="D26458" s="1"/>
      <c r="G26458" s="13"/>
    </row>
    <row r="26459" spans="4:7" x14ac:dyDescent="0.3">
      <c r="D26459" s="1"/>
      <c r="G26459" s="13"/>
    </row>
    <row r="26460" spans="4:7" x14ac:dyDescent="0.3">
      <c r="D26460" s="1"/>
      <c r="G26460" s="13"/>
    </row>
    <row r="26461" spans="4:7" x14ac:dyDescent="0.3">
      <c r="D26461" s="1"/>
      <c r="G26461" s="13"/>
    </row>
    <row r="26462" spans="4:7" x14ac:dyDescent="0.3">
      <c r="D26462" s="1"/>
      <c r="G26462" s="13"/>
    </row>
    <row r="26463" spans="4:7" x14ac:dyDescent="0.3">
      <c r="D26463" s="1"/>
      <c r="G26463" s="13"/>
    </row>
    <row r="26464" spans="4:7" x14ac:dyDescent="0.3">
      <c r="D26464" s="1"/>
      <c r="G26464" s="13"/>
    </row>
    <row r="26465" spans="4:7" x14ac:dyDescent="0.3">
      <c r="D26465" s="1"/>
      <c r="G26465" s="13"/>
    </row>
    <row r="26466" spans="4:7" x14ac:dyDescent="0.3">
      <c r="D26466" s="1"/>
      <c r="G26466" s="13"/>
    </row>
    <row r="26467" spans="4:7" x14ac:dyDescent="0.3">
      <c r="D26467" s="1"/>
      <c r="G26467" s="13"/>
    </row>
    <row r="26468" spans="4:7" x14ac:dyDescent="0.3">
      <c r="D26468" s="1"/>
      <c r="G26468" s="13"/>
    </row>
    <row r="26469" spans="4:7" x14ac:dyDescent="0.3">
      <c r="D26469" s="1"/>
      <c r="G26469" s="13"/>
    </row>
    <row r="26470" spans="4:7" x14ac:dyDescent="0.3">
      <c r="D26470" s="1"/>
      <c r="G26470" s="13"/>
    </row>
    <row r="26471" spans="4:7" x14ac:dyDescent="0.3">
      <c r="D26471" s="1"/>
      <c r="G26471" s="13"/>
    </row>
    <row r="26472" spans="4:7" x14ac:dyDescent="0.3">
      <c r="D26472" s="1"/>
      <c r="G26472" s="13"/>
    </row>
    <row r="26473" spans="4:7" x14ac:dyDescent="0.3">
      <c r="D26473" s="1"/>
      <c r="G26473" s="13"/>
    </row>
    <row r="26474" spans="4:7" x14ac:dyDescent="0.3">
      <c r="G26474" s="13"/>
    </row>
    <row r="26475" spans="4:7" x14ac:dyDescent="0.3">
      <c r="D26475" s="1"/>
      <c r="G26475" s="13"/>
    </row>
    <row r="26476" spans="4:7" x14ac:dyDescent="0.3">
      <c r="D26476" s="1"/>
      <c r="G26476" s="13"/>
    </row>
    <row r="26477" spans="4:7" x14ac:dyDescent="0.3">
      <c r="D26477" s="1"/>
      <c r="G26477" s="13"/>
    </row>
    <row r="26478" spans="4:7" x14ac:dyDescent="0.3">
      <c r="D26478" s="1"/>
      <c r="G26478" s="13"/>
    </row>
    <row r="26479" spans="4:7" x14ac:dyDescent="0.3">
      <c r="D26479" s="1"/>
      <c r="G26479" s="13"/>
    </row>
    <row r="26480" spans="4:7" x14ac:dyDescent="0.3">
      <c r="D26480" s="1"/>
      <c r="G26480" s="13"/>
    </row>
    <row r="26481" spans="4:7" x14ac:dyDescent="0.3">
      <c r="D26481" s="1"/>
      <c r="G26481" s="13"/>
    </row>
    <row r="26482" spans="4:7" x14ac:dyDescent="0.3">
      <c r="D26482" s="1"/>
      <c r="G26482" s="13"/>
    </row>
    <row r="26483" spans="4:7" x14ac:dyDescent="0.3">
      <c r="D26483" s="1"/>
      <c r="G26483" s="13"/>
    </row>
    <row r="26484" spans="4:7" x14ac:dyDescent="0.3">
      <c r="D26484" s="1"/>
      <c r="G26484" s="13"/>
    </row>
    <row r="26485" spans="4:7" x14ac:dyDescent="0.3">
      <c r="D26485" s="1"/>
      <c r="G26485" s="13"/>
    </row>
    <row r="26486" spans="4:7" x14ac:dyDescent="0.3">
      <c r="D26486" s="1"/>
      <c r="G26486" s="13"/>
    </row>
    <row r="26487" spans="4:7" x14ac:dyDescent="0.3">
      <c r="D26487" s="1"/>
      <c r="G26487" s="13"/>
    </row>
    <row r="26488" spans="4:7" x14ac:dyDescent="0.3">
      <c r="D26488" s="1"/>
      <c r="G26488" s="13"/>
    </row>
    <row r="26489" spans="4:7" x14ac:dyDescent="0.3">
      <c r="D26489" s="1"/>
      <c r="G26489" s="13"/>
    </row>
    <row r="26490" spans="4:7" x14ac:dyDescent="0.3">
      <c r="D26490" s="1"/>
      <c r="G26490" s="13"/>
    </row>
    <row r="26491" spans="4:7" x14ac:dyDescent="0.3">
      <c r="D26491" s="1"/>
      <c r="G26491" s="13"/>
    </row>
    <row r="26492" spans="4:7" x14ac:dyDescent="0.3">
      <c r="G26492" s="13"/>
    </row>
    <row r="26493" spans="4:7" x14ac:dyDescent="0.3">
      <c r="D26493" s="1"/>
      <c r="G26493" s="13"/>
    </row>
    <row r="26494" spans="4:7" x14ac:dyDescent="0.3">
      <c r="D26494" s="1"/>
      <c r="G26494" s="13"/>
    </row>
    <row r="26495" spans="4:7" x14ac:dyDescent="0.3">
      <c r="D26495" s="1"/>
      <c r="G26495" s="13"/>
    </row>
    <row r="26496" spans="4:7" x14ac:dyDescent="0.3">
      <c r="D26496" s="1"/>
      <c r="G26496" s="13"/>
    </row>
    <row r="26497" spans="4:7" x14ac:dyDescent="0.3">
      <c r="D26497" s="1"/>
      <c r="G26497" s="13"/>
    </row>
    <row r="26498" spans="4:7" x14ac:dyDescent="0.3">
      <c r="D26498" s="1"/>
      <c r="G26498" s="13"/>
    </row>
    <row r="26499" spans="4:7" x14ac:dyDescent="0.3">
      <c r="D26499" s="1"/>
      <c r="G26499" s="13"/>
    </row>
    <row r="26500" spans="4:7" x14ac:dyDescent="0.3">
      <c r="D26500" s="1"/>
      <c r="G26500" s="13"/>
    </row>
    <row r="26501" spans="4:7" x14ac:dyDescent="0.3">
      <c r="D26501" s="1"/>
      <c r="G26501" s="13"/>
    </row>
    <row r="26502" spans="4:7" x14ac:dyDescent="0.3">
      <c r="D26502" s="1"/>
      <c r="G26502" s="13"/>
    </row>
    <row r="26503" spans="4:7" x14ac:dyDescent="0.3">
      <c r="G26503" s="13"/>
    </row>
    <row r="26504" spans="4:7" x14ac:dyDescent="0.3">
      <c r="D26504" s="1"/>
      <c r="G26504" s="13"/>
    </row>
    <row r="26505" spans="4:7" x14ac:dyDescent="0.3">
      <c r="D26505" s="1"/>
      <c r="G26505" s="13"/>
    </row>
    <row r="26506" spans="4:7" x14ac:dyDescent="0.3">
      <c r="D26506" s="1"/>
      <c r="G26506" s="13"/>
    </row>
    <row r="26507" spans="4:7" x14ac:dyDescent="0.3">
      <c r="D26507" s="1"/>
      <c r="G26507" s="13"/>
    </row>
    <row r="26508" spans="4:7" x14ac:dyDescent="0.3">
      <c r="D26508" s="1"/>
      <c r="G26508" s="13"/>
    </row>
    <row r="26509" spans="4:7" x14ac:dyDescent="0.3">
      <c r="D26509" s="1"/>
      <c r="G26509" s="13"/>
    </row>
    <row r="26510" spans="4:7" x14ac:dyDescent="0.3">
      <c r="D26510" s="1"/>
      <c r="G26510" s="13"/>
    </row>
    <row r="26511" spans="4:7" x14ac:dyDescent="0.3">
      <c r="D26511" s="1"/>
      <c r="G26511" s="13"/>
    </row>
    <row r="26512" spans="4:7" x14ac:dyDescent="0.3">
      <c r="D26512" s="1"/>
      <c r="G26512" s="13"/>
    </row>
    <row r="26513" spans="4:7" x14ac:dyDescent="0.3">
      <c r="D26513" s="1"/>
      <c r="G26513" s="13"/>
    </row>
    <row r="26514" spans="4:7" x14ac:dyDescent="0.3">
      <c r="D26514" s="1"/>
      <c r="G26514" s="13"/>
    </row>
    <row r="26515" spans="4:7" x14ac:dyDescent="0.3">
      <c r="D26515" s="1"/>
      <c r="G26515" s="13"/>
    </row>
    <row r="26516" spans="4:7" x14ac:dyDescent="0.3">
      <c r="D26516" s="1"/>
      <c r="G26516" s="13"/>
    </row>
    <row r="26517" spans="4:7" x14ac:dyDescent="0.3">
      <c r="D26517" s="1"/>
      <c r="G26517" s="13"/>
    </row>
    <row r="26518" spans="4:7" x14ac:dyDescent="0.3">
      <c r="D26518" s="1"/>
      <c r="G26518" s="13"/>
    </row>
    <row r="26519" spans="4:7" x14ac:dyDescent="0.3">
      <c r="D26519" s="1"/>
      <c r="G26519" s="13"/>
    </row>
    <row r="26520" spans="4:7" x14ac:dyDescent="0.3">
      <c r="D26520" s="1"/>
      <c r="G26520" s="13"/>
    </row>
    <row r="26521" spans="4:7" x14ac:dyDescent="0.3">
      <c r="D26521" s="1"/>
      <c r="G26521" s="13"/>
    </row>
    <row r="26522" spans="4:7" x14ac:dyDescent="0.3">
      <c r="D26522" s="1"/>
      <c r="G26522" s="13"/>
    </row>
    <row r="26523" spans="4:7" x14ac:dyDescent="0.3">
      <c r="D26523" s="1"/>
      <c r="G26523" s="13"/>
    </row>
    <row r="26524" spans="4:7" x14ac:dyDescent="0.3">
      <c r="D26524" s="1"/>
      <c r="G26524" s="13"/>
    </row>
    <row r="26525" spans="4:7" x14ac:dyDescent="0.3">
      <c r="D26525" s="1"/>
      <c r="G26525" s="13"/>
    </row>
    <row r="26526" spans="4:7" x14ac:dyDescent="0.3">
      <c r="D26526" s="1"/>
      <c r="G26526" s="13"/>
    </row>
    <row r="26527" spans="4:7" x14ac:dyDescent="0.3">
      <c r="D26527" s="1"/>
      <c r="G26527" s="13"/>
    </row>
    <row r="26528" spans="4:7" x14ac:dyDescent="0.3">
      <c r="D26528" s="1"/>
      <c r="G26528" s="13"/>
    </row>
    <row r="26529" spans="4:7" x14ac:dyDescent="0.3">
      <c r="D26529" s="1"/>
      <c r="G26529" s="13"/>
    </row>
    <row r="26530" spans="4:7" x14ac:dyDescent="0.3">
      <c r="D26530" s="1"/>
      <c r="G26530" s="13"/>
    </row>
    <row r="26531" spans="4:7" x14ac:dyDescent="0.3">
      <c r="D26531" s="1"/>
      <c r="G26531" s="13"/>
    </row>
    <row r="26532" spans="4:7" x14ac:dyDescent="0.3">
      <c r="D26532" s="1"/>
      <c r="G26532" s="13"/>
    </row>
    <row r="26533" spans="4:7" x14ac:dyDescent="0.3">
      <c r="D26533" s="1"/>
      <c r="G26533" s="13"/>
    </row>
    <row r="26534" spans="4:7" x14ac:dyDescent="0.3">
      <c r="D26534" s="1"/>
      <c r="G26534" s="13"/>
    </row>
    <row r="26535" spans="4:7" x14ac:dyDescent="0.3">
      <c r="D26535" s="1"/>
      <c r="G26535" s="13"/>
    </row>
    <row r="26536" spans="4:7" x14ac:dyDescent="0.3">
      <c r="D26536" s="1"/>
      <c r="G26536" s="13"/>
    </row>
    <row r="26537" spans="4:7" x14ac:dyDescent="0.3">
      <c r="D26537" s="1"/>
      <c r="G26537" s="13"/>
    </row>
    <row r="26538" spans="4:7" x14ac:dyDescent="0.3">
      <c r="D26538" s="1"/>
      <c r="G26538" s="13"/>
    </row>
    <row r="26539" spans="4:7" x14ac:dyDescent="0.3">
      <c r="D26539" s="1"/>
      <c r="G26539" s="13"/>
    </row>
    <row r="26540" spans="4:7" x14ac:dyDescent="0.3">
      <c r="D26540" s="1"/>
      <c r="G26540" s="13"/>
    </row>
    <row r="26541" spans="4:7" x14ac:dyDescent="0.3">
      <c r="D26541" s="1"/>
      <c r="G26541" s="13"/>
    </row>
    <row r="26542" spans="4:7" x14ac:dyDescent="0.3">
      <c r="D26542" s="1"/>
      <c r="G26542" s="13"/>
    </row>
    <row r="26543" spans="4:7" x14ac:dyDescent="0.3">
      <c r="D26543" s="1"/>
      <c r="G26543" s="13"/>
    </row>
    <row r="26544" spans="4:7" x14ac:dyDescent="0.3">
      <c r="D26544" s="1"/>
      <c r="G26544" s="13"/>
    </row>
    <row r="26545" spans="4:7" x14ac:dyDescent="0.3">
      <c r="D26545" s="1"/>
      <c r="G26545" s="13"/>
    </row>
    <row r="26546" spans="4:7" x14ac:dyDescent="0.3">
      <c r="D26546" s="1"/>
      <c r="G26546" s="13"/>
    </row>
    <row r="26547" spans="4:7" x14ac:dyDescent="0.3">
      <c r="D26547" s="1"/>
      <c r="G26547" s="13"/>
    </row>
    <row r="26548" spans="4:7" x14ac:dyDescent="0.3">
      <c r="D26548" s="1"/>
      <c r="G26548" s="13"/>
    </row>
    <row r="26549" spans="4:7" x14ac:dyDescent="0.3">
      <c r="D26549" s="1"/>
      <c r="G26549" s="13"/>
    </row>
    <row r="26550" spans="4:7" x14ac:dyDescent="0.3">
      <c r="D26550" s="1"/>
      <c r="G26550" s="13"/>
    </row>
    <row r="26551" spans="4:7" x14ac:dyDescent="0.3">
      <c r="D26551" s="1"/>
      <c r="G26551" s="13"/>
    </row>
    <row r="26552" spans="4:7" x14ac:dyDescent="0.3">
      <c r="D26552" s="1"/>
      <c r="G26552" s="13"/>
    </row>
    <row r="26553" spans="4:7" x14ac:dyDescent="0.3">
      <c r="D26553" s="1"/>
      <c r="G26553" s="13"/>
    </row>
    <row r="26554" spans="4:7" x14ac:dyDescent="0.3">
      <c r="D26554" s="1"/>
      <c r="G26554" s="13"/>
    </row>
    <row r="26555" spans="4:7" x14ac:dyDescent="0.3">
      <c r="D26555" s="1"/>
      <c r="G26555" s="13"/>
    </row>
    <row r="26556" spans="4:7" x14ac:dyDescent="0.3">
      <c r="D26556" s="1"/>
      <c r="G26556" s="13"/>
    </row>
    <row r="26557" spans="4:7" x14ac:dyDescent="0.3">
      <c r="D26557" s="1"/>
      <c r="G26557" s="13"/>
    </row>
    <row r="26558" spans="4:7" x14ac:dyDescent="0.3">
      <c r="D26558" s="1"/>
      <c r="G26558" s="13"/>
    </row>
    <row r="26559" spans="4:7" x14ac:dyDescent="0.3">
      <c r="D26559" s="1"/>
      <c r="G26559" s="13"/>
    </row>
    <row r="26560" spans="4:7" x14ac:dyDescent="0.3">
      <c r="D26560" s="1"/>
      <c r="G26560" s="13"/>
    </row>
    <row r="26561" spans="4:7" x14ac:dyDescent="0.3">
      <c r="D26561" s="1"/>
      <c r="G26561" s="13"/>
    </row>
    <row r="26562" spans="4:7" x14ac:dyDescent="0.3">
      <c r="D26562" s="1"/>
      <c r="G26562" s="13"/>
    </row>
    <row r="26563" spans="4:7" x14ac:dyDescent="0.3">
      <c r="D26563" s="1"/>
      <c r="G26563" s="13"/>
    </row>
    <row r="26564" spans="4:7" x14ac:dyDescent="0.3">
      <c r="G26564" s="13"/>
    </row>
    <row r="26565" spans="4:7" x14ac:dyDescent="0.3">
      <c r="D26565" s="1"/>
      <c r="G26565" s="13"/>
    </row>
    <row r="26566" spans="4:7" x14ac:dyDescent="0.3">
      <c r="D26566" s="1"/>
      <c r="G26566" s="13"/>
    </row>
    <row r="26567" spans="4:7" x14ac:dyDescent="0.3">
      <c r="D26567" s="1"/>
      <c r="G26567" s="13"/>
    </row>
    <row r="26568" spans="4:7" x14ac:dyDescent="0.3">
      <c r="G26568" s="13"/>
    </row>
    <row r="26569" spans="4:7" x14ac:dyDescent="0.3">
      <c r="D26569" s="1"/>
      <c r="G26569" s="13"/>
    </row>
    <row r="26570" spans="4:7" x14ac:dyDescent="0.3">
      <c r="D26570" s="1"/>
      <c r="G26570" s="13"/>
    </row>
    <row r="26571" spans="4:7" x14ac:dyDescent="0.3">
      <c r="D26571" s="1"/>
      <c r="G26571" s="13"/>
    </row>
    <row r="26572" spans="4:7" x14ac:dyDescent="0.3">
      <c r="D26572" s="1"/>
      <c r="G26572" s="13"/>
    </row>
    <row r="26573" spans="4:7" x14ac:dyDescent="0.3">
      <c r="D26573" s="1"/>
      <c r="G26573" s="13"/>
    </row>
    <row r="26574" spans="4:7" x14ac:dyDescent="0.3">
      <c r="D26574" s="1"/>
      <c r="G26574" s="13"/>
    </row>
    <row r="26575" spans="4:7" x14ac:dyDescent="0.3">
      <c r="D26575" s="1"/>
      <c r="G26575" s="13"/>
    </row>
    <row r="26576" spans="4:7" x14ac:dyDescent="0.3">
      <c r="D26576" s="1"/>
      <c r="G26576" s="13"/>
    </row>
    <row r="26577" spans="4:7" x14ac:dyDescent="0.3">
      <c r="D26577" s="1"/>
      <c r="G26577" s="13"/>
    </row>
    <row r="26578" spans="4:7" x14ac:dyDescent="0.3">
      <c r="D26578" s="1"/>
      <c r="G26578" s="13"/>
    </row>
    <row r="26579" spans="4:7" x14ac:dyDescent="0.3">
      <c r="D26579" s="1"/>
      <c r="G26579" s="13"/>
    </row>
    <row r="26580" spans="4:7" x14ac:dyDescent="0.3">
      <c r="D26580" s="1"/>
      <c r="G26580" s="13"/>
    </row>
    <row r="26581" spans="4:7" x14ac:dyDescent="0.3">
      <c r="D26581" s="1"/>
      <c r="G26581" s="13"/>
    </row>
    <row r="26582" spans="4:7" x14ac:dyDescent="0.3">
      <c r="D26582" s="1"/>
      <c r="G26582" s="13"/>
    </row>
    <row r="26583" spans="4:7" x14ac:dyDescent="0.3">
      <c r="D26583" s="1"/>
      <c r="G26583" s="13"/>
    </row>
    <row r="26584" spans="4:7" x14ac:dyDescent="0.3">
      <c r="D26584" s="1"/>
      <c r="G26584" s="13"/>
    </row>
    <row r="26585" spans="4:7" x14ac:dyDescent="0.3">
      <c r="D26585" s="1"/>
      <c r="G26585" s="13"/>
    </row>
    <row r="26586" spans="4:7" x14ac:dyDescent="0.3">
      <c r="D26586" s="1"/>
      <c r="G26586" s="13"/>
    </row>
    <row r="26587" spans="4:7" x14ac:dyDescent="0.3">
      <c r="D26587" s="1"/>
      <c r="G26587" s="13"/>
    </row>
    <row r="26588" spans="4:7" x14ac:dyDescent="0.3">
      <c r="D26588" s="1"/>
      <c r="G26588" s="13"/>
    </row>
    <row r="26589" spans="4:7" x14ac:dyDescent="0.3">
      <c r="D26589" s="1"/>
      <c r="G26589" s="13"/>
    </row>
    <row r="26590" spans="4:7" x14ac:dyDescent="0.3">
      <c r="D26590" s="1"/>
      <c r="G26590" s="13"/>
    </row>
    <row r="26591" spans="4:7" x14ac:dyDescent="0.3">
      <c r="D26591" s="1"/>
      <c r="G26591" s="13"/>
    </row>
    <row r="26592" spans="4:7" x14ac:dyDescent="0.3">
      <c r="D26592" s="1"/>
      <c r="G26592" s="13"/>
    </row>
    <row r="26593" spans="4:7" x14ac:dyDescent="0.3">
      <c r="D26593" s="1"/>
      <c r="G26593" s="13"/>
    </row>
    <row r="26594" spans="4:7" x14ac:dyDescent="0.3">
      <c r="D26594" s="1"/>
      <c r="G26594" s="13"/>
    </row>
    <row r="26595" spans="4:7" x14ac:dyDescent="0.3">
      <c r="D26595" s="1"/>
      <c r="G26595" s="13"/>
    </row>
    <row r="26596" spans="4:7" x14ac:dyDescent="0.3">
      <c r="D26596" s="1"/>
      <c r="G26596" s="13"/>
    </row>
    <row r="26597" spans="4:7" x14ac:dyDescent="0.3">
      <c r="G26597" s="13"/>
    </row>
    <row r="26598" spans="4:7" x14ac:dyDescent="0.3">
      <c r="D26598" s="1"/>
      <c r="G26598" s="13"/>
    </row>
    <row r="26599" spans="4:7" x14ac:dyDescent="0.3">
      <c r="D26599" s="1"/>
      <c r="G26599" s="13"/>
    </row>
    <row r="26600" spans="4:7" x14ac:dyDescent="0.3">
      <c r="D26600" s="1"/>
      <c r="G26600" s="13"/>
    </row>
    <row r="26601" spans="4:7" x14ac:dyDescent="0.3">
      <c r="D26601" s="1"/>
      <c r="G26601" s="13"/>
    </row>
    <row r="26602" spans="4:7" x14ac:dyDescent="0.3">
      <c r="D26602" s="1"/>
      <c r="G26602" s="13"/>
    </row>
    <row r="26603" spans="4:7" x14ac:dyDescent="0.3">
      <c r="D26603" s="1"/>
      <c r="G26603" s="13"/>
    </row>
    <row r="26604" spans="4:7" x14ac:dyDescent="0.3">
      <c r="D26604" s="1"/>
      <c r="G26604" s="13"/>
    </row>
    <row r="26605" spans="4:7" x14ac:dyDescent="0.3">
      <c r="D26605" s="1"/>
      <c r="G26605" s="13"/>
    </row>
    <row r="26606" spans="4:7" x14ac:dyDescent="0.3">
      <c r="D26606" s="1"/>
      <c r="G26606" s="13"/>
    </row>
    <row r="26607" spans="4:7" x14ac:dyDescent="0.3">
      <c r="D26607" s="1"/>
      <c r="G26607" s="13"/>
    </row>
    <row r="26608" spans="4:7" x14ac:dyDescent="0.3">
      <c r="D26608" s="1"/>
      <c r="G26608" s="13"/>
    </row>
    <row r="26609" spans="4:7" x14ac:dyDescent="0.3">
      <c r="D26609" s="1"/>
      <c r="G26609" s="13"/>
    </row>
    <row r="26610" spans="4:7" x14ac:dyDescent="0.3">
      <c r="G26610" s="13"/>
    </row>
    <row r="26611" spans="4:7" x14ac:dyDescent="0.3">
      <c r="D26611" s="1"/>
      <c r="G26611" s="13"/>
    </row>
    <row r="26612" spans="4:7" x14ac:dyDescent="0.3">
      <c r="D26612" s="1"/>
      <c r="G26612" s="13"/>
    </row>
    <row r="26613" spans="4:7" x14ac:dyDescent="0.3">
      <c r="D26613" s="1"/>
      <c r="G26613" s="13"/>
    </row>
    <row r="26614" spans="4:7" x14ac:dyDescent="0.3">
      <c r="D26614" s="1"/>
      <c r="G26614" s="13"/>
    </row>
    <row r="26615" spans="4:7" x14ac:dyDescent="0.3">
      <c r="D26615" s="1"/>
      <c r="G26615" s="13"/>
    </row>
    <row r="26616" spans="4:7" x14ac:dyDescent="0.3">
      <c r="D26616" s="1"/>
      <c r="G26616" s="13"/>
    </row>
    <row r="26617" spans="4:7" x14ac:dyDescent="0.3">
      <c r="D26617" s="1"/>
      <c r="G26617" s="13"/>
    </row>
    <row r="26618" spans="4:7" x14ac:dyDescent="0.3">
      <c r="D26618" s="1"/>
      <c r="G26618" s="13"/>
    </row>
    <row r="26619" spans="4:7" x14ac:dyDescent="0.3">
      <c r="D26619" s="1"/>
      <c r="G26619" s="13"/>
    </row>
    <row r="26620" spans="4:7" x14ac:dyDescent="0.3">
      <c r="G26620" s="13"/>
    </row>
    <row r="26621" spans="4:7" x14ac:dyDescent="0.3">
      <c r="D26621" s="1"/>
      <c r="G26621" s="13"/>
    </row>
    <row r="26622" spans="4:7" x14ac:dyDescent="0.3">
      <c r="D26622" s="1"/>
      <c r="G26622" s="13"/>
    </row>
    <row r="26623" spans="4:7" x14ac:dyDescent="0.3">
      <c r="D26623" s="1"/>
      <c r="G26623" s="13"/>
    </row>
    <row r="26624" spans="4:7" x14ac:dyDescent="0.3">
      <c r="D26624" s="1"/>
      <c r="G26624" s="13"/>
    </row>
    <row r="26625" spans="4:7" x14ac:dyDescent="0.3">
      <c r="D26625" s="1"/>
      <c r="G26625" s="13"/>
    </row>
    <row r="26626" spans="4:7" x14ac:dyDescent="0.3">
      <c r="D26626" s="1"/>
      <c r="G26626" s="13"/>
    </row>
    <row r="26627" spans="4:7" x14ac:dyDescent="0.3">
      <c r="D26627" s="1"/>
      <c r="G26627" s="13"/>
    </row>
    <row r="26628" spans="4:7" x14ac:dyDescent="0.3">
      <c r="D26628" s="1"/>
      <c r="G26628" s="13"/>
    </row>
    <row r="26629" spans="4:7" x14ac:dyDescent="0.3">
      <c r="D26629" s="1"/>
      <c r="G26629" s="13"/>
    </row>
    <row r="26630" spans="4:7" x14ac:dyDescent="0.3">
      <c r="G26630" s="13"/>
    </row>
    <row r="26631" spans="4:7" x14ac:dyDescent="0.3">
      <c r="D26631" s="1"/>
      <c r="G26631" s="13"/>
    </row>
    <row r="26632" spans="4:7" x14ac:dyDescent="0.3">
      <c r="D26632" s="1"/>
      <c r="G26632" s="13"/>
    </row>
    <row r="26633" spans="4:7" x14ac:dyDescent="0.3">
      <c r="D26633" s="1"/>
      <c r="G26633" s="13"/>
    </row>
    <row r="26634" spans="4:7" x14ac:dyDescent="0.3">
      <c r="D26634" s="1"/>
      <c r="G26634" s="13"/>
    </row>
    <row r="26635" spans="4:7" x14ac:dyDescent="0.3">
      <c r="D26635" s="1"/>
      <c r="G26635" s="13"/>
    </row>
    <row r="26636" spans="4:7" x14ac:dyDescent="0.3">
      <c r="D26636" s="1"/>
      <c r="G26636" s="13"/>
    </row>
    <row r="26637" spans="4:7" x14ac:dyDescent="0.3">
      <c r="D26637" s="1"/>
      <c r="G26637" s="13"/>
    </row>
    <row r="26638" spans="4:7" x14ac:dyDescent="0.3">
      <c r="D26638" s="1"/>
      <c r="G26638" s="13"/>
    </row>
    <row r="26639" spans="4:7" x14ac:dyDescent="0.3">
      <c r="D26639" s="1"/>
      <c r="G26639" s="13"/>
    </row>
    <row r="26640" spans="4:7" x14ac:dyDescent="0.3">
      <c r="D26640" s="1"/>
      <c r="G26640" s="13"/>
    </row>
    <row r="26641" spans="4:7" x14ac:dyDescent="0.3">
      <c r="D26641" s="1"/>
      <c r="G26641" s="13"/>
    </row>
    <row r="26642" spans="4:7" x14ac:dyDescent="0.3">
      <c r="D26642" s="1"/>
      <c r="G26642" s="13"/>
    </row>
    <row r="26643" spans="4:7" x14ac:dyDescent="0.3">
      <c r="D26643" s="1"/>
      <c r="G26643" s="13"/>
    </row>
    <row r="26644" spans="4:7" x14ac:dyDescent="0.3">
      <c r="D26644" s="1"/>
      <c r="G26644" s="13"/>
    </row>
    <row r="26645" spans="4:7" x14ac:dyDescent="0.3">
      <c r="D26645" s="1"/>
      <c r="G26645" s="13"/>
    </row>
    <row r="26646" spans="4:7" x14ac:dyDescent="0.3">
      <c r="D26646" s="1"/>
      <c r="G26646" s="13"/>
    </row>
    <row r="26647" spans="4:7" x14ac:dyDescent="0.3">
      <c r="G26647" s="13"/>
    </row>
    <row r="26648" spans="4:7" x14ac:dyDescent="0.3">
      <c r="D26648" s="1"/>
      <c r="G26648" s="13"/>
    </row>
    <row r="26649" spans="4:7" x14ac:dyDescent="0.3">
      <c r="D26649" s="1"/>
      <c r="G26649" s="13"/>
    </row>
    <row r="26650" spans="4:7" x14ac:dyDescent="0.3">
      <c r="D26650" s="1"/>
      <c r="G26650" s="13"/>
    </row>
    <row r="26651" spans="4:7" x14ac:dyDescent="0.3">
      <c r="D26651" s="1"/>
      <c r="G26651" s="13"/>
    </row>
    <row r="26652" spans="4:7" x14ac:dyDescent="0.3">
      <c r="G26652" s="13"/>
    </row>
    <row r="26653" spans="4:7" x14ac:dyDescent="0.3">
      <c r="D26653" s="1"/>
      <c r="G26653" s="13"/>
    </row>
    <row r="26654" spans="4:7" x14ac:dyDescent="0.3">
      <c r="G26654" s="13"/>
    </row>
    <row r="26655" spans="4:7" x14ac:dyDescent="0.3">
      <c r="D26655" s="1"/>
      <c r="G26655" s="13"/>
    </row>
    <row r="26656" spans="4:7" x14ac:dyDescent="0.3">
      <c r="D26656" s="1"/>
      <c r="G26656" s="13"/>
    </row>
    <row r="26657" spans="4:7" x14ac:dyDescent="0.3">
      <c r="D26657" s="1"/>
      <c r="G26657" s="13"/>
    </row>
    <row r="26658" spans="4:7" x14ac:dyDescent="0.3">
      <c r="D26658" s="1"/>
      <c r="G26658" s="13"/>
    </row>
    <row r="26659" spans="4:7" x14ac:dyDescent="0.3">
      <c r="D26659" s="1"/>
      <c r="G26659" s="13"/>
    </row>
    <row r="26660" spans="4:7" x14ac:dyDescent="0.3">
      <c r="G26660" s="13"/>
    </row>
    <row r="26661" spans="4:7" x14ac:dyDescent="0.3">
      <c r="G26661" s="13"/>
    </row>
    <row r="26662" spans="4:7" x14ac:dyDescent="0.3">
      <c r="D26662" s="1"/>
      <c r="G26662" s="13"/>
    </row>
    <row r="26663" spans="4:7" x14ac:dyDescent="0.3">
      <c r="D26663" s="1"/>
      <c r="G26663" s="13"/>
    </row>
    <row r="26664" spans="4:7" x14ac:dyDescent="0.3">
      <c r="D26664" s="1"/>
      <c r="G26664" s="13"/>
    </row>
    <row r="26665" spans="4:7" x14ac:dyDescent="0.3">
      <c r="G26665" s="13"/>
    </row>
    <row r="26666" spans="4:7" x14ac:dyDescent="0.3">
      <c r="G26666" s="13"/>
    </row>
    <row r="26667" spans="4:7" x14ac:dyDescent="0.3">
      <c r="G26667" s="13"/>
    </row>
    <row r="26668" spans="4:7" x14ac:dyDescent="0.3">
      <c r="D26668" s="1"/>
      <c r="G26668" s="13"/>
    </row>
    <row r="26669" spans="4:7" x14ac:dyDescent="0.3">
      <c r="D26669" s="1"/>
      <c r="G26669" s="13"/>
    </row>
    <row r="26670" spans="4:7" x14ac:dyDescent="0.3">
      <c r="D26670" s="1"/>
      <c r="G26670" s="13"/>
    </row>
    <row r="26671" spans="4:7" x14ac:dyDescent="0.3">
      <c r="D26671" s="1"/>
      <c r="G26671" s="13"/>
    </row>
    <row r="26672" spans="4:7" x14ac:dyDescent="0.3">
      <c r="D26672" s="1"/>
      <c r="G26672" s="13"/>
    </row>
    <row r="26673" spans="4:7" x14ac:dyDescent="0.3">
      <c r="D26673" s="1"/>
      <c r="G26673" s="13"/>
    </row>
    <row r="26674" spans="4:7" x14ac:dyDescent="0.3">
      <c r="D26674" s="1"/>
      <c r="G26674" s="13"/>
    </row>
    <row r="26675" spans="4:7" x14ac:dyDescent="0.3">
      <c r="D26675" s="1"/>
      <c r="G26675" s="13"/>
    </row>
    <row r="26676" spans="4:7" x14ac:dyDescent="0.3">
      <c r="D26676" s="1"/>
      <c r="G26676" s="13"/>
    </row>
    <row r="26677" spans="4:7" x14ac:dyDescent="0.3">
      <c r="D26677" s="1"/>
      <c r="G26677" s="13"/>
    </row>
    <row r="26678" spans="4:7" x14ac:dyDescent="0.3">
      <c r="D26678" s="1"/>
      <c r="G26678" s="13"/>
    </row>
    <row r="26679" spans="4:7" x14ac:dyDescent="0.3">
      <c r="D26679" s="1"/>
      <c r="G26679" s="13"/>
    </row>
    <row r="26680" spans="4:7" x14ac:dyDescent="0.3">
      <c r="D26680" s="1"/>
      <c r="G26680" s="13"/>
    </row>
    <row r="26681" spans="4:7" x14ac:dyDescent="0.3">
      <c r="D26681" s="1"/>
      <c r="G26681" s="13"/>
    </row>
    <row r="26682" spans="4:7" x14ac:dyDescent="0.3">
      <c r="D26682" s="1"/>
      <c r="G26682" s="13"/>
    </row>
    <row r="26683" spans="4:7" x14ac:dyDescent="0.3">
      <c r="D26683" s="1"/>
      <c r="G26683" s="13"/>
    </row>
    <row r="26684" spans="4:7" x14ac:dyDescent="0.3">
      <c r="D26684" s="1"/>
      <c r="G26684" s="13"/>
    </row>
    <row r="26685" spans="4:7" x14ac:dyDescent="0.3">
      <c r="D26685" s="1"/>
      <c r="G26685" s="13"/>
    </row>
    <row r="26686" spans="4:7" x14ac:dyDescent="0.3">
      <c r="G26686" s="13"/>
    </row>
    <row r="26687" spans="4:7" x14ac:dyDescent="0.3">
      <c r="D26687" s="1"/>
      <c r="G26687" s="13"/>
    </row>
    <row r="26688" spans="4:7" x14ac:dyDescent="0.3">
      <c r="D26688" s="1"/>
      <c r="G26688" s="13"/>
    </row>
    <row r="26689" spans="4:7" x14ac:dyDescent="0.3">
      <c r="D26689" s="1"/>
      <c r="G26689" s="13"/>
    </row>
    <row r="26690" spans="4:7" x14ac:dyDescent="0.3">
      <c r="D26690" s="1"/>
      <c r="G26690" s="13"/>
    </row>
    <row r="26691" spans="4:7" x14ac:dyDescent="0.3">
      <c r="D26691" s="1"/>
      <c r="G26691" s="13"/>
    </row>
    <row r="26692" spans="4:7" x14ac:dyDescent="0.3">
      <c r="D26692" s="1"/>
      <c r="G26692" s="13"/>
    </row>
    <row r="26693" spans="4:7" x14ac:dyDescent="0.3">
      <c r="D26693" s="1"/>
      <c r="G26693" s="13"/>
    </row>
    <row r="26694" spans="4:7" x14ac:dyDescent="0.3">
      <c r="D26694" s="1"/>
      <c r="G26694" s="13"/>
    </row>
    <row r="26695" spans="4:7" x14ac:dyDescent="0.3">
      <c r="D26695" s="1"/>
      <c r="G26695" s="13"/>
    </row>
    <row r="26696" spans="4:7" x14ac:dyDescent="0.3">
      <c r="D26696" s="1"/>
      <c r="G26696" s="13"/>
    </row>
    <row r="26697" spans="4:7" x14ac:dyDescent="0.3">
      <c r="D26697" s="1"/>
      <c r="G26697" s="13"/>
    </row>
    <row r="26698" spans="4:7" x14ac:dyDescent="0.3">
      <c r="D26698" s="1"/>
      <c r="G26698" s="13"/>
    </row>
    <row r="26699" spans="4:7" x14ac:dyDescent="0.3">
      <c r="D26699" s="1"/>
      <c r="G26699" s="13"/>
    </row>
    <row r="26700" spans="4:7" x14ac:dyDescent="0.3">
      <c r="D26700" s="1"/>
      <c r="G26700" s="13"/>
    </row>
    <row r="26701" spans="4:7" x14ac:dyDescent="0.3">
      <c r="D26701" s="1"/>
      <c r="G26701" s="13"/>
    </row>
    <row r="26702" spans="4:7" x14ac:dyDescent="0.3">
      <c r="D26702" s="1"/>
      <c r="G26702" s="13"/>
    </row>
    <row r="26703" spans="4:7" x14ac:dyDescent="0.3">
      <c r="D26703" s="1"/>
      <c r="G26703" s="13"/>
    </row>
    <row r="26704" spans="4:7" x14ac:dyDescent="0.3">
      <c r="D26704" s="1"/>
      <c r="G26704" s="13"/>
    </row>
    <row r="26705" spans="4:7" x14ac:dyDescent="0.3">
      <c r="D26705" s="1"/>
      <c r="G26705" s="13"/>
    </row>
    <row r="26706" spans="4:7" x14ac:dyDescent="0.3">
      <c r="D26706" s="1"/>
      <c r="G26706" s="13"/>
    </row>
    <row r="26707" spans="4:7" x14ac:dyDescent="0.3">
      <c r="D26707" s="1"/>
      <c r="G26707" s="13"/>
    </row>
    <row r="26708" spans="4:7" x14ac:dyDescent="0.3">
      <c r="D26708" s="1"/>
      <c r="G26708" s="13"/>
    </row>
    <row r="26709" spans="4:7" x14ac:dyDescent="0.3">
      <c r="D26709" s="1"/>
      <c r="G26709" s="13"/>
    </row>
    <row r="26710" spans="4:7" x14ac:dyDescent="0.3">
      <c r="G26710" s="13"/>
    </row>
    <row r="26711" spans="4:7" x14ac:dyDescent="0.3">
      <c r="D26711" s="1"/>
      <c r="G26711" s="13"/>
    </row>
    <row r="26712" spans="4:7" x14ac:dyDescent="0.3">
      <c r="D26712" s="1"/>
      <c r="G26712" s="13"/>
    </row>
    <row r="26713" spans="4:7" x14ac:dyDescent="0.3">
      <c r="D26713" s="1"/>
      <c r="G26713" s="13"/>
    </row>
    <row r="26714" spans="4:7" x14ac:dyDescent="0.3">
      <c r="D26714" s="1"/>
      <c r="G26714" s="13"/>
    </row>
    <row r="26715" spans="4:7" x14ac:dyDescent="0.3">
      <c r="D26715" s="1"/>
      <c r="G26715" s="13"/>
    </row>
    <row r="26716" spans="4:7" x14ac:dyDescent="0.3">
      <c r="D26716" s="1"/>
      <c r="G26716" s="13"/>
    </row>
    <row r="26717" spans="4:7" x14ac:dyDescent="0.3">
      <c r="D26717" s="1"/>
      <c r="G26717" s="13"/>
    </row>
    <row r="26718" spans="4:7" x14ac:dyDescent="0.3">
      <c r="D26718" s="1"/>
      <c r="G26718" s="13"/>
    </row>
    <row r="26719" spans="4:7" x14ac:dyDescent="0.3">
      <c r="D26719" s="1"/>
      <c r="G26719" s="13"/>
    </row>
    <row r="26720" spans="4:7" x14ac:dyDescent="0.3">
      <c r="D26720" s="1"/>
      <c r="G26720" s="13"/>
    </row>
    <row r="26721" spans="4:7" x14ac:dyDescent="0.3">
      <c r="D26721" s="1"/>
      <c r="G26721" s="13"/>
    </row>
    <row r="26722" spans="4:7" x14ac:dyDescent="0.3">
      <c r="D26722" s="1"/>
      <c r="G26722" s="13"/>
    </row>
    <row r="26723" spans="4:7" x14ac:dyDescent="0.3">
      <c r="D26723" s="1"/>
      <c r="G26723" s="13"/>
    </row>
    <row r="26724" spans="4:7" x14ac:dyDescent="0.3">
      <c r="D26724" s="1"/>
      <c r="G26724" s="13"/>
    </row>
    <row r="26725" spans="4:7" x14ac:dyDescent="0.3">
      <c r="D26725" s="1"/>
      <c r="G26725" s="13"/>
    </row>
    <row r="26726" spans="4:7" x14ac:dyDescent="0.3">
      <c r="D26726" s="1"/>
      <c r="G26726" s="13"/>
    </row>
    <row r="26727" spans="4:7" x14ac:dyDescent="0.3">
      <c r="D26727" s="1"/>
      <c r="G26727" s="13"/>
    </row>
    <row r="26728" spans="4:7" x14ac:dyDescent="0.3">
      <c r="D26728" s="1"/>
      <c r="G26728" s="13"/>
    </row>
    <row r="26729" spans="4:7" x14ac:dyDescent="0.3">
      <c r="D26729" s="1"/>
      <c r="G26729" s="13"/>
    </row>
    <row r="26730" spans="4:7" x14ac:dyDescent="0.3">
      <c r="D26730" s="1"/>
      <c r="G26730" s="13"/>
    </row>
    <row r="26731" spans="4:7" x14ac:dyDescent="0.3">
      <c r="D26731" s="1"/>
      <c r="G26731" s="13"/>
    </row>
    <row r="26732" spans="4:7" x14ac:dyDescent="0.3">
      <c r="D26732" s="1"/>
      <c r="G26732" s="13"/>
    </row>
    <row r="26733" spans="4:7" x14ac:dyDescent="0.3">
      <c r="D26733" s="1"/>
      <c r="G26733" s="13"/>
    </row>
    <row r="26734" spans="4:7" x14ac:dyDescent="0.3">
      <c r="D26734" s="1"/>
      <c r="G26734" s="13"/>
    </row>
    <row r="26735" spans="4:7" x14ac:dyDescent="0.3">
      <c r="G26735" s="13"/>
    </row>
    <row r="26736" spans="4:7" x14ac:dyDescent="0.3">
      <c r="G26736" s="13"/>
    </row>
    <row r="26737" spans="4:7" x14ac:dyDescent="0.3">
      <c r="D26737" s="1"/>
      <c r="G26737" s="13"/>
    </row>
    <row r="26738" spans="4:7" x14ac:dyDescent="0.3">
      <c r="G26738" s="13"/>
    </row>
    <row r="26739" spans="4:7" x14ac:dyDescent="0.3">
      <c r="G26739" s="13"/>
    </row>
    <row r="26740" spans="4:7" x14ac:dyDescent="0.3">
      <c r="D26740" s="1"/>
      <c r="G26740" s="13"/>
    </row>
    <row r="26741" spans="4:7" x14ac:dyDescent="0.3">
      <c r="D26741" s="1"/>
      <c r="G26741" s="13"/>
    </row>
    <row r="26742" spans="4:7" x14ac:dyDescent="0.3">
      <c r="D26742" s="1"/>
      <c r="G26742" s="13"/>
    </row>
    <row r="26743" spans="4:7" x14ac:dyDescent="0.3">
      <c r="D26743" s="1"/>
      <c r="G26743" s="13"/>
    </row>
    <row r="26744" spans="4:7" x14ac:dyDescent="0.3">
      <c r="D26744" s="1"/>
      <c r="G26744" s="13"/>
    </row>
    <row r="26745" spans="4:7" x14ac:dyDescent="0.3">
      <c r="D26745" s="1"/>
      <c r="G26745" s="13"/>
    </row>
    <row r="26746" spans="4:7" x14ac:dyDescent="0.3">
      <c r="D26746" s="1"/>
      <c r="G26746" s="13"/>
    </row>
    <row r="26747" spans="4:7" x14ac:dyDescent="0.3">
      <c r="D26747" s="1"/>
      <c r="G26747" s="13"/>
    </row>
    <row r="26748" spans="4:7" x14ac:dyDescent="0.3">
      <c r="D26748" s="1"/>
      <c r="G26748" s="13"/>
    </row>
    <row r="26749" spans="4:7" x14ac:dyDescent="0.3">
      <c r="G26749" s="13"/>
    </row>
    <row r="26750" spans="4:7" x14ac:dyDescent="0.3">
      <c r="D26750" s="1"/>
      <c r="G26750" s="13"/>
    </row>
    <row r="26751" spans="4:7" x14ac:dyDescent="0.3">
      <c r="D26751" s="1"/>
      <c r="G26751" s="13"/>
    </row>
    <row r="26752" spans="4:7" x14ac:dyDescent="0.3">
      <c r="D26752" s="1"/>
      <c r="G26752" s="13"/>
    </row>
    <row r="26753" spans="4:7" x14ac:dyDescent="0.3">
      <c r="D26753" s="1"/>
      <c r="G26753" s="13"/>
    </row>
    <row r="26754" spans="4:7" x14ac:dyDescent="0.3">
      <c r="D26754" s="1"/>
      <c r="G26754" s="13"/>
    </row>
    <row r="26755" spans="4:7" x14ac:dyDescent="0.3">
      <c r="D26755" s="1"/>
      <c r="G26755" s="13"/>
    </row>
    <row r="26756" spans="4:7" x14ac:dyDescent="0.3">
      <c r="D26756" s="1"/>
      <c r="G26756" s="13"/>
    </row>
    <row r="26757" spans="4:7" x14ac:dyDescent="0.3">
      <c r="D26757" s="1"/>
      <c r="G26757" s="13"/>
    </row>
    <row r="26758" spans="4:7" x14ac:dyDescent="0.3">
      <c r="D26758" s="1"/>
      <c r="G26758" s="13"/>
    </row>
    <row r="26759" spans="4:7" x14ac:dyDescent="0.3">
      <c r="D26759" s="1"/>
      <c r="G26759" s="13"/>
    </row>
    <row r="26760" spans="4:7" x14ac:dyDescent="0.3">
      <c r="D26760" s="1"/>
      <c r="G26760" s="13"/>
    </row>
    <row r="26761" spans="4:7" x14ac:dyDescent="0.3">
      <c r="D26761" s="1"/>
      <c r="G26761" s="13"/>
    </row>
    <row r="26762" spans="4:7" x14ac:dyDescent="0.3">
      <c r="D26762" s="1"/>
      <c r="G26762" s="13"/>
    </row>
    <row r="26763" spans="4:7" x14ac:dyDescent="0.3">
      <c r="D26763" s="1"/>
      <c r="G26763" s="13"/>
    </row>
    <row r="26764" spans="4:7" x14ac:dyDescent="0.3">
      <c r="D26764" s="1"/>
      <c r="G26764" s="13"/>
    </row>
    <row r="26765" spans="4:7" x14ac:dyDescent="0.3">
      <c r="D26765" s="1"/>
      <c r="G26765" s="13"/>
    </row>
    <row r="26766" spans="4:7" x14ac:dyDescent="0.3">
      <c r="D26766" s="1"/>
      <c r="G26766" s="13"/>
    </row>
    <row r="26767" spans="4:7" x14ac:dyDescent="0.3">
      <c r="D26767" s="1"/>
      <c r="G26767" s="13"/>
    </row>
    <row r="26768" spans="4:7" x14ac:dyDescent="0.3">
      <c r="D26768" s="1"/>
      <c r="G26768" s="13"/>
    </row>
    <row r="26769" spans="4:7" x14ac:dyDescent="0.3">
      <c r="D26769" s="1"/>
      <c r="G26769" s="13"/>
    </row>
    <row r="26770" spans="4:7" x14ac:dyDescent="0.3">
      <c r="D26770" s="1"/>
      <c r="G26770" s="13"/>
    </row>
    <row r="26771" spans="4:7" x14ac:dyDescent="0.3">
      <c r="D26771" s="1"/>
      <c r="G26771" s="13"/>
    </row>
    <row r="26772" spans="4:7" x14ac:dyDescent="0.3">
      <c r="D26772" s="1"/>
      <c r="G26772" s="13"/>
    </row>
    <row r="26773" spans="4:7" x14ac:dyDescent="0.3">
      <c r="D26773" s="1"/>
      <c r="G26773" s="13"/>
    </row>
    <row r="26774" spans="4:7" x14ac:dyDescent="0.3">
      <c r="D26774" s="1"/>
      <c r="G26774" s="13"/>
    </row>
    <row r="26775" spans="4:7" x14ac:dyDescent="0.3">
      <c r="D26775" s="1"/>
      <c r="G26775" s="13"/>
    </row>
    <row r="26776" spans="4:7" x14ac:dyDescent="0.3">
      <c r="D26776" s="1"/>
      <c r="G26776" s="13"/>
    </row>
    <row r="26777" spans="4:7" x14ac:dyDescent="0.3">
      <c r="D26777" s="1"/>
      <c r="G26777" s="13"/>
    </row>
    <row r="26778" spans="4:7" x14ac:dyDescent="0.3">
      <c r="D26778" s="1"/>
      <c r="G26778" s="13"/>
    </row>
    <row r="26779" spans="4:7" x14ac:dyDescent="0.3">
      <c r="D26779" s="1"/>
      <c r="G26779" s="13"/>
    </row>
    <row r="26780" spans="4:7" x14ac:dyDescent="0.3">
      <c r="D26780" s="1"/>
      <c r="G26780" s="13"/>
    </row>
    <row r="26781" spans="4:7" x14ac:dyDescent="0.3">
      <c r="D26781" s="1"/>
      <c r="G26781" s="13"/>
    </row>
    <row r="26782" spans="4:7" x14ac:dyDescent="0.3">
      <c r="D26782" s="1"/>
      <c r="G26782" s="13"/>
    </row>
    <row r="26783" spans="4:7" x14ac:dyDescent="0.3">
      <c r="D26783" s="1"/>
      <c r="G26783" s="13"/>
    </row>
    <row r="26784" spans="4:7" x14ac:dyDescent="0.3">
      <c r="D26784" s="1"/>
      <c r="G26784" s="13"/>
    </row>
    <row r="26785" spans="4:7" x14ac:dyDescent="0.3">
      <c r="D26785" s="1"/>
      <c r="G26785" s="13"/>
    </row>
    <row r="26786" spans="4:7" x14ac:dyDescent="0.3">
      <c r="D26786" s="1"/>
      <c r="G26786" s="13"/>
    </row>
    <row r="26787" spans="4:7" x14ac:dyDescent="0.3">
      <c r="D26787" s="1"/>
      <c r="G26787" s="13"/>
    </row>
    <row r="26788" spans="4:7" x14ac:dyDescent="0.3">
      <c r="D26788" s="1"/>
      <c r="G26788" s="13"/>
    </row>
    <row r="26789" spans="4:7" x14ac:dyDescent="0.3">
      <c r="D26789" s="1"/>
      <c r="G26789" s="13"/>
    </row>
    <row r="26790" spans="4:7" x14ac:dyDescent="0.3">
      <c r="D26790" s="1"/>
      <c r="G26790" s="13"/>
    </row>
    <row r="26791" spans="4:7" x14ac:dyDescent="0.3">
      <c r="D26791" s="1"/>
      <c r="G26791" s="13"/>
    </row>
    <row r="26792" spans="4:7" x14ac:dyDescent="0.3">
      <c r="D26792" s="1"/>
      <c r="G26792" s="13"/>
    </row>
    <row r="26793" spans="4:7" x14ac:dyDescent="0.3">
      <c r="D26793" s="1"/>
      <c r="G26793" s="13"/>
    </row>
    <row r="26794" spans="4:7" x14ac:dyDescent="0.3">
      <c r="D26794" s="1"/>
      <c r="G26794" s="13"/>
    </row>
    <row r="26795" spans="4:7" x14ac:dyDescent="0.3">
      <c r="D26795" s="1"/>
      <c r="G26795" s="13"/>
    </row>
    <row r="26796" spans="4:7" x14ac:dyDescent="0.3">
      <c r="D26796" s="1"/>
      <c r="G26796" s="13"/>
    </row>
    <row r="26797" spans="4:7" x14ac:dyDescent="0.3">
      <c r="D26797" s="1"/>
      <c r="G26797" s="13"/>
    </row>
    <row r="26798" spans="4:7" x14ac:dyDescent="0.3">
      <c r="D26798" s="1"/>
      <c r="G26798" s="13"/>
    </row>
    <row r="26799" spans="4:7" x14ac:dyDescent="0.3">
      <c r="D26799" s="1"/>
      <c r="G26799" s="13"/>
    </row>
    <row r="26800" spans="4:7" x14ac:dyDescent="0.3">
      <c r="D26800" s="1"/>
      <c r="G26800" s="13"/>
    </row>
    <row r="26801" spans="4:7" x14ac:dyDescent="0.3">
      <c r="D26801" s="1"/>
      <c r="G26801" s="13"/>
    </row>
    <row r="26802" spans="4:7" x14ac:dyDescent="0.3">
      <c r="D26802" s="1"/>
      <c r="G26802" s="13"/>
    </row>
    <row r="26803" spans="4:7" x14ac:dyDescent="0.3">
      <c r="D26803" s="1"/>
      <c r="G26803" s="13"/>
    </row>
    <row r="26804" spans="4:7" x14ac:dyDescent="0.3">
      <c r="D26804" s="1"/>
      <c r="G26804" s="13"/>
    </row>
    <row r="26805" spans="4:7" x14ac:dyDescent="0.3">
      <c r="D26805" s="1"/>
      <c r="G26805" s="13"/>
    </row>
    <row r="26806" spans="4:7" x14ac:dyDescent="0.3">
      <c r="D26806" s="1"/>
      <c r="G26806" s="13"/>
    </row>
    <row r="26807" spans="4:7" x14ac:dyDescent="0.3">
      <c r="D26807" s="1"/>
      <c r="G26807" s="13"/>
    </row>
    <row r="26808" spans="4:7" x14ac:dyDescent="0.3">
      <c r="D26808" s="1"/>
      <c r="G26808" s="13"/>
    </row>
    <row r="26809" spans="4:7" x14ac:dyDescent="0.3">
      <c r="D26809" s="1"/>
      <c r="G26809" s="13"/>
    </row>
    <row r="26810" spans="4:7" x14ac:dyDescent="0.3">
      <c r="D26810" s="1"/>
      <c r="G26810" s="13"/>
    </row>
    <row r="26811" spans="4:7" x14ac:dyDescent="0.3">
      <c r="D26811" s="1"/>
      <c r="G26811" s="13"/>
    </row>
    <row r="26812" spans="4:7" x14ac:dyDescent="0.3">
      <c r="D26812" s="1"/>
      <c r="G26812" s="13"/>
    </row>
    <row r="26813" spans="4:7" x14ac:dyDescent="0.3">
      <c r="D26813" s="1"/>
      <c r="G26813" s="13"/>
    </row>
    <row r="26814" spans="4:7" x14ac:dyDescent="0.3">
      <c r="G26814" s="13"/>
    </row>
    <row r="26815" spans="4:7" x14ac:dyDescent="0.3">
      <c r="D26815" s="1"/>
      <c r="G26815" s="13"/>
    </row>
    <row r="26816" spans="4:7" x14ac:dyDescent="0.3">
      <c r="D26816" s="1"/>
      <c r="G26816" s="13"/>
    </row>
    <row r="26817" spans="4:7" x14ac:dyDescent="0.3">
      <c r="D26817" s="1"/>
      <c r="G26817" s="13"/>
    </row>
    <row r="26818" spans="4:7" x14ac:dyDescent="0.3">
      <c r="D26818" s="1"/>
      <c r="G26818" s="13"/>
    </row>
    <row r="26819" spans="4:7" x14ac:dyDescent="0.3">
      <c r="D26819" s="1"/>
      <c r="G26819" s="13"/>
    </row>
    <row r="26820" spans="4:7" x14ac:dyDescent="0.3">
      <c r="D26820" s="1"/>
      <c r="G26820" s="13"/>
    </row>
    <row r="26821" spans="4:7" x14ac:dyDescent="0.3">
      <c r="G26821" s="13"/>
    </row>
    <row r="26822" spans="4:7" x14ac:dyDescent="0.3">
      <c r="D26822" s="1"/>
      <c r="G26822" s="13"/>
    </row>
    <row r="26823" spans="4:7" x14ac:dyDescent="0.3">
      <c r="D26823" s="1"/>
      <c r="G26823" s="13"/>
    </row>
    <row r="26824" spans="4:7" x14ac:dyDescent="0.3">
      <c r="D26824" s="1"/>
      <c r="G26824" s="13"/>
    </row>
    <row r="26825" spans="4:7" x14ac:dyDescent="0.3">
      <c r="D26825" s="1"/>
      <c r="G26825" s="13"/>
    </row>
    <row r="26826" spans="4:7" x14ac:dyDescent="0.3">
      <c r="D26826" s="1"/>
      <c r="G26826" s="13"/>
    </row>
    <row r="26827" spans="4:7" x14ac:dyDescent="0.3">
      <c r="D26827" s="1"/>
      <c r="G26827" s="13"/>
    </row>
    <row r="26828" spans="4:7" x14ac:dyDescent="0.3">
      <c r="D26828" s="1"/>
      <c r="G26828" s="13"/>
    </row>
    <row r="26829" spans="4:7" x14ac:dyDescent="0.3">
      <c r="D26829" s="1"/>
      <c r="G26829" s="13"/>
    </row>
    <row r="26830" spans="4:7" x14ac:dyDescent="0.3">
      <c r="D26830" s="1"/>
      <c r="G26830" s="13"/>
    </row>
    <row r="26831" spans="4:7" x14ac:dyDescent="0.3">
      <c r="D26831" s="1"/>
      <c r="G26831" s="13"/>
    </row>
    <row r="26832" spans="4:7" x14ac:dyDescent="0.3">
      <c r="D26832" s="1"/>
      <c r="G26832" s="13"/>
    </row>
    <row r="26833" spans="4:7" x14ac:dyDescent="0.3">
      <c r="D26833" s="1"/>
      <c r="G26833" s="13"/>
    </row>
    <row r="26834" spans="4:7" x14ac:dyDescent="0.3">
      <c r="D26834" s="1"/>
      <c r="G26834" s="13"/>
    </row>
    <row r="26835" spans="4:7" x14ac:dyDescent="0.3">
      <c r="G26835" s="13"/>
    </row>
    <row r="26836" spans="4:7" x14ac:dyDescent="0.3">
      <c r="G26836" s="13"/>
    </row>
    <row r="26837" spans="4:7" x14ac:dyDescent="0.3">
      <c r="D26837" s="1"/>
      <c r="G26837" s="13"/>
    </row>
    <row r="26838" spans="4:7" x14ac:dyDescent="0.3">
      <c r="D26838" s="1"/>
      <c r="G26838" s="13"/>
    </row>
    <row r="26839" spans="4:7" x14ac:dyDescent="0.3">
      <c r="G26839" s="13"/>
    </row>
    <row r="26840" spans="4:7" x14ac:dyDescent="0.3">
      <c r="G26840" s="13"/>
    </row>
    <row r="26841" spans="4:7" x14ac:dyDescent="0.3">
      <c r="D26841" s="1"/>
      <c r="G26841" s="13"/>
    </row>
    <row r="26842" spans="4:7" x14ac:dyDescent="0.3">
      <c r="D26842" s="1"/>
      <c r="G26842" s="13"/>
    </row>
    <row r="26843" spans="4:7" x14ac:dyDescent="0.3">
      <c r="D26843" s="1"/>
      <c r="G26843" s="13"/>
    </row>
    <row r="26844" spans="4:7" x14ac:dyDescent="0.3">
      <c r="D26844" s="1"/>
      <c r="G26844" s="13"/>
    </row>
    <row r="26845" spans="4:7" x14ac:dyDescent="0.3">
      <c r="D26845" s="1"/>
      <c r="G26845" s="13"/>
    </row>
    <row r="26846" spans="4:7" x14ac:dyDescent="0.3">
      <c r="D26846" s="1"/>
      <c r="G26846" s="13"/>
    </row>
    <row r="26847" spans="4:7" x14ac:dyDescent="0.3">
      <c r="D26847" s="1"/>
      <c r="G26847" s="13"/>
    </row>
    <row r="26848" spans="4:7" x14ac:dyDescent="0.3">
      <c r="D26848" s="1"/>
      <c r="G26848" s="13"/>
    </row>
    <row r="26849" spans="4:7" x14ac:dyDescent="0.3">
      <c r="D26849" s="1"/>
      <c r="G26849" s="13"/>
    </row>
    <row r="26850" spans="4:7" x14ac:dyDescent="0.3">
      <c r="D26850" s="1"/>
      <c r="G26850" s="13"/>
    </row>
    <row r="26851" spans="4:7" x14ac:dyDescent="0.3">
      <c r="D26851" s="1"/>
      <c r="G26851" s="13"/>
    </row>
    <row r="26852" spans="4:7" x14ac:dyDescent="0.3">
      <c r="D26852" s="1"/>
      <c r="G26852" s="13"/>
    </row>
    <row r="26853" spans="4:7" x14ac:dyDescent="0.3">
      <c r="D26853" s="1"/>
      <c r="G26853" s="13"/>
    </row>
    <row r="26854" spans="4:7" x14ac:dyDescent="0.3">
      <c r="D26854" s="1"/>
      <c r="G26854" s="13"/>
    </row>
    <row r="26855" spans="4:7" x14ac:dyDescent="0.3">
      <c r="D26855" s="1"/>
      <c r="G26855" s="13"/>
    </row>
    <row r="26856" spans="4:7" x14ac:dyDescent="0.3">
      <c r="D26856" s="1"/>
      <c r="G26856" s="13"/>
    </row>
    <row r="26857" spans="4:7" x14ac:dyDescent="0.3">
      <c r="D26857" s="1"/>
      <c r="G26857" s="13"/>
    </row>
    <row r="26858" spans="4:7" x14ac:dyDescent="0.3">
      <c r="G26858" s="13"/>
    </row>
    <row r="26859" spans="4:7" x14ac:dyDescent="0.3">
      <c r="D26859" s="1"/>
      <c r="G26859" s="13"/>
    </row>
    <row r="26860" spans="4:7" x14ac:dyDescent="0.3">
      <c r="D26860" s="1"/>
      <c r="G26860" s="13"/>
    </row>
    <row r="26861" spans="4:7" x14ac:dyDescent="0.3">
      <c r="D26861" s="1"/>
      <c r="G26861" s="13"/>
    </row>
    <row r="26862" spans="4:7" x14ac:dyDescent="0.3">
      <c r="D26862" s="1"/>
      <c r="G26862" s="13"/>
    </row>
    <row r="26863" spans="4:7" x14ac:dyDescent="0.3">
      <c r="D26863" s="1"/>
      <c r="G26863" s="13"/>
    </row>
    <row r="26864" spans="4:7" x14ac:dyDescent="0.3">
      <c r="D26864" s="1"/>
      <c r="G26864" s="13"/>
    </row>
    <row r="26865" spans="4:7" x14ac:dyDescent="0.3">
      <c r="D26865" s="1"/>
      <c r="G26865" s="13"/>
    </row>
    <row r="26866" spans="4:7" x14ac:dyDescent="0.3">
      <c r="D26866" s="1"/>
      <c r="G26866" s="13"/>
    </row>
    <row r="26867" spans="4:7" x14ac:dyDescent="0.3">
      <c r="D26867" s="1"/>
      <c r="G26867" s="13"/>
    </row>
    <row r="26868" spans="4:7" x14ac:dyDescent="0.3">
      <c r="D26868" s="1"/>
      <c r="G26868" s="13"/>
    </row>
    <row r="26869" spans="4:7" x14ac:dyDescent="0.3">
      <c r="D26869" s="1"/>
      <c r="G26869" s="13"/>
    </row>
    <row r="26870" spans="4:7" x14ac:dyDescent="0.3">
      <c r="D26870" s="1"/>
      <c r="G26870" s="13"/>
    </row>
    <row r="26871" spans="4:7" x14ac:dyDescent="0.3">
      <c r="D26871" s="1"/>
      <c r="G26871" s="13"/>
    </row>
    <row r="26872" spans="4:7" x14ac:dyDescent="0.3">
      <c r="D26872" s="1"/>
      <c r="G26872" s="13"/>
    </row>
    <row r="26873" spans="4:7" x14ac:dyDescent="0.3">
      <c r="D26873" s="1"/>
      <c r="G26873" s="13"/>
    </row>
    <row r="26874" spans="4:7" x14ac:dyDescent="0.3">
      <c r="D26874" s="1"/>
      <c r="G26874" s="13"/>
    </row>
    <row r="26875" spans="4:7" x14ac:dyDescent="0.3">
      <c r="D26875" s="1"/>
      <c r="G26875" s="13"/>
    </row>
    <row r="26876" spans="4:7" x14ac:dyDescent="0.3">
      <c r="D26876" s="1"/>
      <c r="G26876" s="13"/>
    </row>
    <row r="26877" spans="4:7" x14ac:dyDescent="0.3">
      <c r="D26877" s="1"/>
      <c r="G26877" s="13"/>
    </row>
    <row r="26878" spans="4:7" x14ac:dyDescent="0.3">
      <c r="D26878" s="1"/>
      <c r="G26878" s="13"/>
    </row>
    <row r="26879" spans="4:7" x14ac:dyDescent="0.3">
      <c r="D26879" s="1"/>
      <c r="G26879" s="13"/>
    </row>
    <row r="26880" spans="4:7" x14ac:dyDescent="0.3">
      <c r="D26880" s="1"/>
      <c r="G26880" s="13"/>
    </row>
    <row r="26881" spans="4:7" x14ac:dyDescent="0.3">
      <c r="D26881" s="1"/>
      <c r="G26881" s="13"/>
    </row>
    <row r="26882" spans="4:7" x14ac:dyDescent="0.3">
      <c r="D26882" s="1"/>
      <c r="G26882" s="13"/>
    </row>
    <row r="26883" spans="4:7" x14ac:dyDescent="0.3">
      <c r="D26883" s="1"/>
      <c r="G26883" s="13"/>
    </row>
    <row r="26884" spans="4:7" x14ac:dyDescent="0.3">
      <c r="D26884" s="1"/>
      <c r="G26884" s="13"/>
    </row>
    <row r="26885" spans="4:7" x14ac:dyDescent="0.3">
      <c r="D26885" s="1"/>
      <c r="G26885" s="13"/>
    </row>
    <row r="26886" spans="4:7" x14ac:dyDescent="0.3">
      <c r="D26886" s="1"/>
      <c r="G26886" s="13"/>
    </row>
    <row r="26887" spans="4:7" x14ac:dyDescent="0.3">
      <c r="D26887" s="1"/>
      <c r="G26887" s="13"/>
    </row>
    <row r="26888" spans="4:7" x14ac:dyDescent="0.3">
      <c r="D26888" s="1"/>
      <c r="G26888" s="13"/>
    </row>
    <row r="26889" spans="4:7" x14ac:dyDescent="0.3">
      <c r="D26889" s="1"/>
      <c r="G26889" s="13"/>
    </row>
    <row r="26890" spans="4:7" x14ac:dyDescent="0.3">
      <c r="D26890" s="1"/>
      <c r="G26890" s="13"/>
    </row>
    <row r="26891" spans="4:7" x14ac:dyDescent="0.3">
      <c r="D26891" s="1"/>
      <c r="G26891" s="13"/>
    </row>
    <row r="26892" spans="4:7" x14ac:dyDescent="0.3">
      <c r="D26892" s="1"/>
      <c r="G26892" s="13"/>
    </row>
    <row r="26893" spans="4:7" x14ac:dyDescent="0.3">
      <c r="D26893" s="1"/>
      <c r="G26893" s="13"/>
    </row>
    <row r="26894" spans="4:7" x14ac:dyDescent="0.3">
      <c r="D26894" s="1"/>
      <c r="G26894" s="13"/>
    </row>
    <row r="26895" spans="4:7" x14ac:dyDescent="0.3">
      <c r="D26895" s="1"/>
      <c r="G26895" s="13"/>
    </row>
    <row r="26896" spans="4:7" x14ac:dyDescent="0.3">
      <c r="D26896" s="1"/>
      <c r="G26896" s="13"/>
    </row>
    <row r="26897" spans="4:7" x14ac:dyDescent="0.3">
      <c r="D26897" s="1"/>
      <c r="G26897" s="13"/>
    </row>
    <row r="26898" spans="4:7" x14ac:dyDescent="0.3">
      <c r="D26898" s="1"/>
      <c r="G26898" s="13"/>
    </row>
    <row r="26899" spans="4:7" x14ac:dyDescent="0.3">
      <c r="D26899" s="1"/>
      <c r="G26899" s="13"/>
    </row>
    <row r="26900" spans="4:7" x14ac:dyDescent="0.3">
      <c r="D26900" s="1"/>
      <c r="G26900" s="13"/>
    </row>
    <row r="26901" spans="4:7" x14ac:dyDescent="0.3">
      <c r="D26901" s="1"/>
      <c r="G26901" s="13"/>
    </row>
    <row r="26902" spans="4:7" x14ac:dyDescent="0.3">
      <c r="D26902" s="1"/>
      <c r="G26902" s="13"/>
    </row>
    <row r="26903" spans="4:7" x14ac:dyDescent="0.3">
      <c r="D26903" s="1"/>
      <c r="G26903" s="13"/>
    </row>
    <row r="26904" spans="4:7" x14ac:dyDescent="0.3">
      <c r="D26904" s="1"/>
      <c r="G26904" s="13"/>
    </row>
    <row r="26905" spans="4:7" x14ac:dyDescent="0.3">
      <c r="D26905" s="1"/>
      <c r="G26905" s="13"/>
    </row>
    <row r="26906" spans="4:7" x14ac:dyDescent="0.3">
      <c r="D26906" s="1"/>
      <c r="G26906" s="13"/>
    </row>
    <row r="26907" spans="4:7" x14ac:dyDescent="0.3">
      <c r="D26907" s="1"/>
      <c r="G26907" s="13"/>
    </row>
    <row r="26908" spans="4:7" x14ac:dyDescent="0.3">
      <c r="G26908" s="13"/>
    </row>
    <row r="26909" spans="4:7" x14ac:dyDescent="0.3">
      <c r="D26909" s="1"/>
      <c r="G26909" s="13"/>
    </row>
    <row r="26910" spans="4:7" x14ac:dyDescent="0.3">
      <c r="G26910" s="13"/>
    </row>
    <row r="26911" spans="4:7" x14ac:dyDescent="0.3">
      <c r="D26911" s="1"/>
      <c r="G26911" s="13"/>
    </row>
    <row r="26912" spans="4:7" x14ac:dyDescent="0.3">
      <c r="D26912" s="1"/>
      <c r="G26912" s="13"/>
    </row>
    <row r="26913" spans="4:7" x14ac:dyDescent="0.3">
      <c r="D26913" s="1"/>
      <c r="G26913" s="13"/>
    </row>
    <row r="26914" spans="4:7" x14ac:dyDescent="0.3">
      <c r="D26914" s="1"/>
      <c r="G26914" s="13"/>
    </row>
    <row r="26915" spans="4:7" x14ac:dyDescent="0.3">
      <c r="D26915" s="1"/>
      <c r="G26915" s="13"/>
    </row>
    <row r="26916" spans="4:7" x14ac:dyDescent="0.3">
      <c r="D26916" s="1"/>
      <c r="G26916" s="13"/>
    </row>
    <row r="26917" spans="4:7" x14ac:dyDescent="0.3">
      <c r="D26917" s="1"/>
      <c r="G26917" s="13"/>
    </row>
    <row r="26918" spans="4:7" x14ac:dyDescent="0.3">
      <c r="D26918" s="1"/>
      <c r="G26918" s="13"/>
    </row>
    <row r="26919" spans="4:7" x14ac:dyDescent="0.3">
      <c r="D26919" s="1"/>
      <c r="G26919" s="13"/>
    </row>
    <row r="26920" spans="4:7" x14ac:dyDescent="0.3">
      <c r="D26920" s="1"/>
      <c r="G26920" s="13"/>
    </row>
    <row r="26921" spans="4:7" x14ac:dyDescent="0.3">
      <c r="D26921" s="1"/>
      <c r="G26921" s="13"/>
    </row>
    <row r="26922" spans="4:7" x14ac:dyDescent="0.3">
      <c r="D26922" s="1"/>
      <c r="G26922" s="13"/>
    </row>
    <row r="26923" spans="4:7" x14ac:dyDescent="0.3">
      <c r="D26923" s="1"/>
      <c r="G26923" s="13"/>
    </row>
    <row r="26924" spans="4:7" x14ac:dyDescent="0.3">
      <c r="D26924" s="1"/>
      <c r="G26924" s="13"/>
    </row>
    <row r="26925" spans="4:7" x14ac:dyDescent="0.3">
      <c r="D26925" s="1"/>
      <c r="G26925" s="13"/>
    </row>
    <row r="26926" spans="4:7" x14ac:dyDescent="0.3">
      <c r="D26926" s="1"/>
      <c r="G26926" s="13"/>
    </row>
    <row r="26927" spans="4:7" x14ac:dyDescent="0.3">
      <c r="D26927" s="1"/>
      <c r="G26927" s="13"/>
    </row>
    <row r="26928" spans="4:7" x14ac:dyDescent="0.3">
      <c r="D26928" s="1"/>
      <c r="G26928" s="13"/>
    </row>
    <row r="26929" spans="4:7" x14ac:dyDescent="0.3">
      <c r="D26929" s="1"/>
      <c r="G26929" s="13"/>
    </row>
    <row r="26930" spans="4:7" x14ac:dyDescent="0.3">
      <c r="D26930" s="1"/>
      <c r="G26930" s="13"/>
    </row>
    <row r="26931" spans="4:7" x14ac:dyDescent="0.3">
      <c r="G26931" s="13"/>
    </row>
    <row r="26932" spans="4:7" x14ac:dyDescent="0.3">
      <c r="G26932" s="13"/>
    </row>
    <row r="26933" spans="4:7" x14ac:dyDescent="0.3">
      <c r="D26933" s="1"/>
      <c r="G26933" s="13"/>
    </row>
    <row r="26934" spans="4:7" x14ac:dyDescent="0.3">
      <c r="D26934" s="1"/>
      <c r="G26934" s="13"/>
    </row>
    <row r="26935" spans="4:7" x14ac:dyDescent="0.3">
      <c r="D26935" s="1"/>
      <c r="G26935" s="13"/>
    </row>
    <row r="26936" spans="4:7" x14ac:dyDescent="0.3">
      <c r="G26936" s="13"/>
    </row>
    <row r="26937" spans="4:7" x14ac:dyDescent="0.3">
      <c r="G26937" s="13"/>
    </row>
    <row r="26938" spans="4:7" x14ac:dyDescent="0.3">
      <c r="D26938" s="1"/>
      <c r="G26938" s="13"/>
    </row>
    <row r="26939" spans="4:7" x14ac:dyDescent="0.3">
      <c r="G26939" s="13"/>
    </row>
    <row r="26940" spans="4:7" x14ac:dyDescent="0.3">
      <c r="D26940" s="1"/>
      <c r="G26940" s="13"/>
    </row>
    <row r="26941" spans="4:7" x14ac:dyDescent="0.3">
      <c r="G26941" s="13"/>
    </row>
    <row r="26942" spans="4:7" x14ac:dyDescent="0.3">
      <c r="G26942" s="13"/>
    </row>
    <row r="26943" spans="4:7" x14ac:dyDescent="0.3">
      <c r="D26943" s="1"/>
      <c r="G26943" s="13"/>
    </row>
    <row r="26944" spans="4:7" x14ac:dyDescent="0.3">
      <c r="D26944" s="1"/>
      <c r="G26944" s="13"/>
    </row>
    <row r="26945" spans="4:7" x14ac:dyDescent="0.3">
      <c r="D26945" s="1"/>
      <c r="G26945" s="13"/>
    </row>
    <row r="26946" spans="4:7" x14ac:dyDescent="0.3">
      <c r="G26946" s="13"/>
    </row>
    <row r="26947" spans="4:7" x14ac:dyDescent="0.3">
      <c r="D26947" s="1"/>
      <c r="G26947" s="13"/>
    </row>
    <row r="26948" spans="4:7" x14ac:dyDescent="0.3">
      <c r="G26948" s="13"/>
    </row>
    <row r="26949" spans="4:7" x14ac:dyDescent="0.3">
      <c r="D26949" s="1"/>
      <c r="G26949" s="13"/>
    </row>
    <row r="26950" spans="4:7" x14ac:dyDescent="0.3">
      <c r="D26950" s="1"/>
      <c r="G26950" s="13"/>
    </row>
    <row r="26951" spans="4:7" x14ac:dyDescent="0.3">
      <c r="D26951" s="1"/>
      <c r="G26951" s="13"/>
    </row>
    <row r="26952" spans="4:7" x14ac:dyDescent="0.3">
      <c r="D26952" s="1"/>
      <c r="G26952" s="13"/>
    </row>
    <row r="26953" spans="4:7" x14ac:dyDescent="0.3">
      <c r="D26953" s="1"/>
      <c r="G26953" s="13"/>
    </row>
    <row r="26954" spans="4:7" x14ac:dyDescent="0.3">
      <c r="D26954" s="1"/>
      <c r="G26954" s="13"/>
    </row>
    <row r="26955" spans="4:7" x14ac:dyDescent="0.3">
      <c r="D26955" s="1"/>
      <c r="G26955" s="13"/>
    </row>
    <row r="26956" spans="4:7" x14ac:dyDescent="0.3">
      <c r="D26956" s="1"/>
      <c r="G26956" s="13"/>
    </row>
    <row r="26957" spans="4:7" x14ac:dyDescent="0.3">
      <c r="D26957" s="1"/>
      <c r="G26957" s="13"/>
    </row>
    <row r="26958" spans="4:7" x14ac:dyDescent="0.3">
      <c r="D26958" s="1"/>
      <c r="G26958" s="13"/>
    </row>
    <row r="26959" spans="4:7" x14ac:dyDescent="0.3">
      <c r="D26959" s="1"/>
      <c r="G26959" s="13"/>
    </row>
    <row r="26960" spans="4:7" x14ac:dyDescent="0.3">
      <c r="D26960" s="1"/>
      <c r="G26960" s="13"/>
    </row>
    <row r="26961" spans="4:7" x14ac:dyDescent="0.3">
      <c r="D26961" s="1"/>
      <c r="G26961" s="13"/>
    </row>
    <row r="26962" spans="4:7" x14ac:dyDescent="0.3">
      <c r="D26962" s="1"/>
      <c r="G26962" s="13"/>
    </row>
    <row r="26963" spans="4:7" x14ac:dyDescent="0.3">
      <c r="D26963" s="1"/>
      <c r="G26963" s="13"/>
    </row>
    <row r="26964" spans="4:7" x14ac:dyDescent="0.3">
      <c r="D26964" s="1"/>
      <c r="G26964" s="13"/>
    </row>
    <row r="26965" spans="4:7" x14ac:dyDescent="0.3">
      <c r="D26965" s="1"/>
      <c r="G26965" s="13"/>
    </row>
    <row r="26966" spans="4:7" x14ac:dyDescent="0.3">
      <c r="D26966" s="1"/>
      <c r="G26966" s="13"/>
    </row>
    <row r="26967" spans="4:7" x14ac:dyDescent="0.3">
      <c r="D26967" s="1"/>
      <c r="G26967" s="13"/>
    </row>
    <row r="26968" spans="4:7" x14ac:dyDescent="0.3">
      <c r="D26968" s="1"/>
      <c r="G26968" s="13"/>
    </row>
    <row r="26969" spans="4:7" x14ac:dyDescent="0.3">
      <c r="D26969" s="1"/>
      <c r="G26969" s="13"/>
    </row>
    <row r="26970" spans="4:7" x14ac:dyDescent="0.3">
      <c r="D26970" s="1"/>
      <c r="G26970" s="13"/>
    </row>
    <row r="26971" spans="4:7" x14ac:dyDescent="0.3">
      <c r="D26971" s="1"/>
      <c r="G26971" s="13"/>
    </row>
    <row r="26972" spans="4:7" x14ac:dyDescent="0.3">
      <c r="D26972" s="1"/>
      <c r="G26972" s="13"/>
    </row>
    <row r="26973" spans="4:7" x14ac:dyDescent="0.3">
      <c r="D26973" s="1"/>
      <c r="G26973" s="13"/>
    </row>
    <row r="26974" spans="4:7" x14ac:dyDescent="0.3">
      <c r="D26974" s="1"/>
      <c r="G26974" s="13"/>
    </row>
    <row r="26975" spans="4:7" x14ac:dyDescent="0.3">
      <c r="D26975" s="1"/>
      <c r="G26975" s="13"/>
    </row>
    <row r="26976" spans="4:7" x14ac:dyDescent="0.3">
      <c r="D26976" s="1"/>
      <c r="G26976" s="13"/>
    </row>
    <row r="26977" spans="4:7" x14ac:dyDescent="0.3">
      <c r="D26977" s="1"/>
      <c r="G26977" s="13"/>
    </row>
    <row r="26978" spans="4:7" x14ac:dyDescent="0.3">
      <c r="D26978" s="1"/>
      <c r="G26978" s="13"/>
    </row>
    <row r="26979" spans="4:7" x14ac:dyDescent="0.3">
      <c r="D26979" s="1"/>
      <c r="G26979" s="13"/>
    </row>
    <row r="26980" spans="4:7" x14ac:dyDescent="0.3">
      <c r="D26980" s="1"/>
      <c r="G26980" s="13"/>
    </row>
    <row r="26981" spans="4:7" x14ac:dyDescent="0.3">
      <c r="D26981" s="1"/>
      <c r="G26981" s="13"/>
    </row>
    <row r="26982" spans="4:7" x14ac:dyDescent="0.3">
      <c r="D26982" s="1"/>
      <c r="G26982" s="13"/>
    </row>
    <row r="26983" spans="4:7" x14ac:dyDescent="0.3">
      <c r="D26983" s="1"/>
      <c r="G26983" s="13"/>
    </row>
    <row r="26984" spans="4:7" x14ac:dyDescent="0.3">
      <c r="D26984" s="1"/>
      <c r="G26984" s="13"/>
    </row>
    <row r="26985" spans="4:7" x14ac:dyDescent="0.3">
      <c r="D26985" s="1"/>
      <c r="G26985" s="13"/>
    </row>
    <row r="26986" spans="4:7" x14ac:dyDescent="0.3">
      <c r="D26986" s="1"/>
      <c r="G26986" s="13"/>
    </row>
    <row r="26987" spans="4:7" x14ac:dyDescent="0.3">
      <c r="D26987" s="1"/>
      <c r="G26987" s="13"/>
    </row>
    <row r="26988" spans="4:7" x14ac:dyDescent="0.3">
      <c r="D26988" s="1"/>
      <c r="G26988" s="13"/>
    </row>
    <row r="26989" spans="4:7" x14ac:dyDescent="0.3">
      <c r="D26989" s="1"/>
      <c r="G26989" s="13"/>
    </row>
    <row r="26990" spans="4:7" x14ac:dyDescent="0.3">
      <c r="D26990" s="1"/>
      <c r="G26990" s="13"/>
    </row>
    <row r="26991" spans="4:7" x14ac:dyDescent="0.3">
      <c r="D26991" s="1"/>
      <c r="G26991" s="13"/>
    </row>
    <row r="26992" spans="4:7" x14ac:dyDescent="0.3">
      <c r="D26992" s="1"/>
      <c r="G26992" s="13"/>
    </row>
    <row r="26993" spans="4:7" x14ac:dyDescent="0.3">
      <c r="D26993" s="1"/>
      <c r="G26993" s="13"/>
    </row>
    <row r="26994" spans="4:7" x14ac:dyDescent="0.3">
      <c r="D26994" s="1"/>
      <c r="G26994" s="13"/>
    </row>
    <row r="26995" spans="4:7" x14ac:dyDescent="0.3">
      <c r="D26995" s="1"/>
      <c r="G26995" s="13"/>
    </row>
    <row r="26996" spans="4:7" x14ac:dyDescent="0.3">
      <c r="D26996" s="1"/>
      <c r="G26996" s="13"/>
    </row>
    <row r="26997" spans="4:7" x14ac:dyDescent="0.3">
      <c r="D26997" s="1"/>
      <c r="G26997" s="13"/>
    </row>
    <row r="26998" spans="4:7" x14ac:dyDescent="0.3">
      <c r="D26998" s="1"/>
      <c r="G26998" s="13"/>
    </row>
    <row r="26999" spans="4:7" x14ac:dyDescent="0.3">
      <c r="D26999" s="1"/>
      <c r="G26999" s="13"/>
    </row>
    <row r="27000" spans="4:7" x14ac:dyDescent="0.3">
      <c r="D27000" s="1"/>
      <c r="G27000" s="13"/>
    </row>
    <row r="27001" spans="4:7" x14ac:dyDescent="0.3">
      <c r="D27001" s="1"/>
      <c r="G27001" s="13"/>
    </row>
    <row r="27002" spans="4:7" x14ac:dyDescent="0.3">
      <c r="D27002" s="1"/>
      <c r="G27002" s="13"/>
    </row>
    <row r="27003" spans="4:7" x14ac:dyDescent="0.3">
      <c r="D27003" s="1"/>
      <c r="G27003" s="13"/>
    </row>
    <row r="27004" spans="4:7" x14ac:dyDescent="0.3">
      <c r="D27004" s="1"/>
      <c r="G27004" s="13"/>
    </row>
    <row r="27005" spans="4:7" x14ac:dyDescent="0.3">
      <c r="D27005" s="1"/>
      <c r="G27005" s="13"/>
    </row>
    <row r="27006" spans="4:7" x14ac:dyDescent="0.3">
      <c r="D27006" s="1"/>
      <c r="G27006" s="13"/>
    </row>
    <row r="27007" spans="4:7" x14ac:dyDescent="0.3">
      <c r="D27007" s="1"/>
      <c r="G27007" s="13"/>
    </row>
    <row r="27008" spans="4:7" x14ac:dyDescent="0.3">
      <c r="D27008" s="1"/>
      <c r="G27008" s="13"/>
    </row>
    <row r="27009" spans="4:7" x14ac:dyDescent="0.3">
      <c r="D27009" s="1"/>
      <c r="G27009" s="13"/>
    </row>
    <row r="27010" spans="4:7" x14ac:dyDescent="0.3">
      <c r="D27010" s="1"/>
      <c r="G27010" s="13"/>
    </row>
    <row r="27011" spans="4:7" x14ac:dyDescent="0.3">
      <c r="D27011" s="1"/>
      <c r="G27011" s="13"/>
    </row>
    <row r="27012" spans="4:7" x14ac:dyDescent="0.3">
      <c r="D27012" s="1"/>
      <c r="G27012" s="13"/>
    </row>
    <row r="27013" spans="4:7" x14ac:dyDescent="0.3">
      <c r="D27013" s="1"/>
      <c r="G27013" s="13"/>
    </row>
    <row r="27014" spans="4:7" x14ac:dyDescent="0.3">
      <c r="D27014" s="1"/>
      <c r="G27014" s="13"/>
    </row>
    <row r="27015" spans="4:7" x14ac:dyDescent="0.3">
      <c r="D27015" s="1"/>
      <c r="G27015" s="13"/>
    </row>
    <row r="27016" spans="4:7" x14ac:dyDescent="0.3">
      <c r="D27016" s="1"/>
      <c r="G27016" s="13"/>
    </row>
    <row r="27017" spans="4:7" x14ac:dyDescent="0.3">
      <c r="D27017" s="1"/>
      <c r="G27017" s="13"/>
    </row>
    <row r="27018" spans="4:7" x14ac:dyDescent="0.3">
      <c r="D27018" s="1"/>
      <c r="G27018" s="13"/>
    </row>
    <row r="27019" spans="4:7" x14ac:dyDescent="0.3">
      <c r="D27019" s="1"/>
      <c r="G27019" s="13"/>
    </row>
    <row r="27020" spans="4:7" x14ac:dyDescent="0.3">
      <c r="D27020" s="1"/>
      <c r="G27020" s="13"/>
    </row>
    <row r="27021" spans="4:7" x14ac:dyDescent="0.3">
      <c r="D27021" s="1"/>
      <c r="G27021" s="13"/>
    </row>
    <row r="27022" spans="4:7" x14ac:dyDescent="0.3">
      <c r="D27022" s="1"/>
      <c r="G27022" s="13"/>
    </row>
    <row r="27023" spans="4:7" x14ac:dyDescent="0.3">
      <c r="D27023" s="1"/>
      <c r="G27023" s="13"/>
    </row>
    <row r="27024" spans="4:7" x14ac:dyDescent="0.3">
      <c r="D27024" s="1"/>
      <c r="G27024" s="13"/>
    </row>
    <row r="27025" spans="4:7" x14ac:dyDescent="0.3">
      <c r="D27025" s="1"/>
      <c r="G27025" s="13"/>
    </row>
    <row r="27026" spans="4:7" x14ac:dyDescent="0.3">
      <c r="D27026" s="1"/>
      <c r="G27026" s="13"/>
    </row>
    <row r="27027" spans="4:7" x14ac:dyDescent="0.3">
      <c r="D27027" s="1"/>
      <c r="G27027" s="13"/>
    </row>
    <row r="27028" spans="4:7" x14ac:dyDescent="0.3">
      <c r="D27028" s="1"/>
      <c r="G27028" s="13"/>
    </row>
    <row r="27029" spans="4:7" x14ac:dyDescent="0.3">
      <c r="D27029" s="1"/>
      <c r="G27029" s="13"/>
    </row>
    <row r="27030" spans="4:7" x14ac:dyDescent="0.3">
      <c r="D27030" s="1"/>
      <c r="G27030" s="13"/>
    </row>
    <row r="27031" spans="4:7" x14ac:dyDescent="0.3">
      <c r="D27031" s="1"/>
      <c r="G27031" s="13"/>
    </row>
    <row r="27032" spans="4:7" x14ac:dyDescent="0.3">
      <c r="D27032" s="1"/>
      <c r="G27032" s="13"/>
    </row>
    <row r="27033" spans="4:7" x14ac:dyDescent="0.3">
      <c r="D27033" s="1"/>
      <c r="G27033" s="13"/>
    </row>
    <row r="27034" spans="4:7" x14ac:dyDescent="0.3">
      <c r="D27034" s="1"/>
      <c r="G27034" s="13"/>
    </row>
    <row r="27035" spans="4:7" x14ac:dyDescent="0.3">
      <c r="D27035" s="1"/>
      <c r="G27035" s="13"/>
    </row>
    <row r="27036" spans="4:7" x14ac:dyDescent="0.3">
      <c r="D27036" s="1"/>
      <c r="G27036" s="13"/>
    </row>
    <row r="27037" spans="4:7" x14ac:dyDescent="0.3">
      <c r="D27037" s="1"/>
      <c r="G27037" s="13"/>
    </row>
    <row r="27038" spans="4:7" x14ac:dyDescent="0.3">
      <c r="D27038" s="1"/>
      <c r="G27038" s="13"/>
    </row>
    <row r="27039" spans="4:7" x14ac:dyDescent="0.3">
      <c r="D27039" s="1"/>
      <c r="G27039" s="13"/>
    </row>
    <row r="27040" spans="4:7" x14ac:dyDescent="0.3">
      <c r="D27040" s="1"/>
      <c r="G27040" s="13"/>
    </row>
    <row r="27041" spans="4:7" x14ac:dyDescent="0.3">
      <c r="D27041" s="1"/>
      <c r="G27041" s="13"/>
    </row>
    <row r="27042" spans="4:7" x14ac:dyDescent="0.3">
      <c r="D27042" s="1"/>
      <c r="G27042" s="13"/>
    </row>
    <row r="27043" spans="4:7" x14ac:dyDescent="0.3">
      <c r="D27043" s="1"/>
      <c r="G27043" s="13"/>
    </row>
    <row r="27044" spans="4:7" x14ac:dyDescent="0.3">
      <c r="D27044" s="1"/>
      <c r="G27044" s="13"/>
    </row>
    <row r="27045" spans="4:7" x14ac:dyDescent="0.3">
      <c r="D27045" s="1"/>
      <c r="G27045" s="13"/>
    </row>
    <row r="27046" spans="4:7" x14ac:dyDescent="0.3">
      <c r="D27046" s="1"/>
      <c r="G27046" s="13"/>
    </row>
    <row r="27047" spans="4:7" x14ac:dyDescent="0.3">
      <c r="D27047" s="1"/>
      <c r="G27047" s="13"/>
    </row>
    <row r="27048" spans="4:7" x14ac:dyDescent="0.3">
      <c r="D27048" s="1"/>
      <c r="G27048" s="13"/>
    </row>
    <row r="27049" spans="4:7" x14ac:dyDescent="0.3">
      <c r="D27049" s="1"/>
      <c r="G27049" s="13"/>
    </row>
    <row r="27050" spans="4:7" x14ac:dyDescent="0.3">
      <c r="D27050" s="1"/>
      <c r="G27050" s="13"/>
    </row>
    <row r="27051" spans="4:7" x14ac:dyDescent="0.3">
      <c r="D27051" s="1"/>
      <c r="G27051" s="13"/>
    </row>
    <row r="27052" spans="4:7" x14ac:dyDescent="0.3">
      <c r="D27052" s="1"/>
      <c r="G27052" s="13"/>
    </row>
    <row r="27053" spans="4:7" x14ac:dyDescent="0.3">
      <c r="D27053" s="1"/>
      <c r="G27053" s="13"/>
    </row>
    <row r="27054" spans="4:7" x14ac:dyDescent="0.3">
      <c r="D27054" s="1"/>
      <c r="G27054" s="13"/>
    </row>
    <row r="27055" spans="4:7" x14ac:dyDescent="0.3">
      <c r="D27055" s="1"/>
      <c r="G27055" s="13"/>
    </row>
    <row r="27056" spans="4:7" x14ac:dyDescent="0.3">
      <c r="D27056" s="1"/>
      <c r="G27056" s="13"/>
    </row>
    <row r="27057" spans="4:7" x14ac:dyDescent="0.3">
      <c r="D27057" s="1"/>
      <c r="G27057" s="13"/>
    </row>
    <row r="27058" spans="4:7" x14ac:dyDescent="0.3">
      <c r="D27058" s="1"/>
      <c r="G27058" s="13"/>
    </row>
    <row r="27059" spans="4:7" x14ac:dyDescent="0.3">
      <c r="D27059" s="1"/>
      <c r="G27059" s="13"/>
    </row>
    <row r="27060" spans="4:7" x14ac:dyDescent="0.3">
      <c r="D27060" s="1"/>
      <c r="G27060" s="13"/>
    </row>
    <row r="27061" spans="4:7" x14ac:dyDescent="0.3">
      <c r="D27061" s="1"/>
      <c r="G27061" s="13"/>
    </row>
    <row r="27062" spans="4:7" x14ac:dyDescent="0.3">
      <c r="D27062" s="1"/>
      <c r="G27062" s="13"/>
    </row>
    <row r="27063" spans="4:7" x14ac:dyDescent="0.3">
      <c r="D27063" s="1"/>
      <c r="G27063" s="13"/>
    </row>
    <row r="27064" spans="4:7" x14ac:dyDescent="0.3">
      <c r="D27064" s="1"/>
      <c r="G27064" s="13"/>
    </row>
    <row r="27065" spans="4:7" x14ac:dyDescent="0.3">
      <c r="D27065" s="1"/>
      <c r="G27065" s="13"/>
    </row>
    <row r="27066" spans="4:7" x14ac:dyDescent="0.3">
      <c r="D27066" s="1"/>
      <c r="G27066" s="13"/>
    </row>
    <row r="27067" spans="4:7" x14ac:dyDescent="0.3">
      <c r="D27067" s="1"/>
      <c r="G27067" s="13"/>
    </row>
    <row r="27068" spans="4:7" x14ac:dyDescent="0.3">
      <c r="D27068" s="1"/>
      <c r="G27068" s="13"/>
    </row>
    <row r="27069" spans="4:7" x14ac:dyDescent="0.3">
      <c r="D27069" s="1"/>
      <c r="G27069" s="13"/>
    </row>
    <row r="27070" spans="4:7" x14ac:dyDescent="0.3">
      <c r="D27070" s="1"/>
      <c r="G27070" s="13"/>
    </row>
    <row r="27071" spans="4:7" x14ac:dyDescent="0.3">
      <c r="D27071" s="1"/>
      <c r="G27071" s="13"/>
    </row>
    <row r="27072" spans="4:7" x14ac:dyDescent="0.3">
      <c r="D27072" s="1"/>
      <c r="G27072" s="13"/>
    </row>
    <row r="27073" spans="4:7" x14ac:dyDescent="0.3">
      <c r="D27073" s="1"/>
      <c r="G27073" s="13"/>
    </row>
    <row r="27074" spans="4:7" x14ac:dyDescent="0.3">
      <c r="D27074" s="1"/>
      <c r="G27074" s="13"/>
    </row>
    <row r="27075" spans="4:7" x14ac:dyDescent="0.3">
      <c r="D27075" s="1"/>
      <c r="G27075" s="13"/>
    </row>
    <row r="27076" spans="4:7" x14ac:dyDescent="0.3">
      <c r="D27076" s="1"/>
      <c r="G27076" s="13"/>
    </row>
    <row r="27077" spans="4:7" x14ac:dyDescent="0.3">
      <c r="D27077" s="1"/>
      <c r="G27077" s="13"/>
    </row>
    <row r="27078" spans="4:7" x14ac:dyDescent="0.3">
      <c r="D27078" s="1"/>
      <c r="G27078" s="13"/>
    </row>
    <row r="27079" spans="4:7" x14ac:dyDescent="0.3">
      <c r="D27079" s="1"/>
      <c r="G27079" s="13"/>
    </row>
    <row r="27080" spans="4:7" x14ac:dyDescent="0.3">
      <c r="D27080" s="1"/>
      <c r="G27080" s="13"/>
    </row>
    <row r="27081" spans="4:7" x14ac:dyDescent="0.3">
      <c r="D27081" s="1"/>
      <c r="G27081" s="13"/>
    </row>
    <row r="27082" spans="4:7" x14ac:dyDescent="0.3">
      <c r="D27082" s="1"/>
      <c r="G27082" s="13"/>
    </row>
    <row r="27083" spans="4:7" x14ac:dyDescent="0.3">
      <c r="D27083" s="1"/>
      <c r="G27083" s="13"/>
    </row>
    <row r="27084" spans="4:7" x14ac:dyDescent="0.3">
      <c r="D27084" s="1"/>
      <c r="G27084" s="13"/>
    </row>
    <row r="27085" spans="4:7" x14ac:dyDescent="0.3">
      <c r="D27085" s="1"/>
      <c r="G27085" s="13"/>
    </row>
    <row r="27086" spans="4:7" x14ac:dyDescent="0.3">
      <c r="D27086" s="1"/>
      <c r="G27086" s="13"/>
    </row>
    <row r="27087" spans="4:7" x14ac:dyDescent="0.3">
      <c r="D27087" s="1"/>
      <c r="G27087" s="13"/>
    </row>
    <row r="27088" spans="4:7" x14ac:dyDescent="0.3">
      <c r="D27088" s="1"/>
      <c r="G27088" s="13"/>
    </row>
    <row r="27089" spans="4:7" x14ac:dyDescent="0.3">
      <c r="D27089" s="1"/>
      <c r="G27089" s="13"/>
    </row>
    <row r="27090" spans="4:7" x14ac:dyDescent="0.3">
      <c r="D27090" s="1"/>
      <c r="G27090" s="13"/>
    </row>
    <row r="27091" spans="4:7" x14ac:dyDescent="0.3">
      <c r="D27091" s="1"/>
      <c r="G27091" s="13"/>
    </row>
    <row r="27092" spans="4:7" x14ac:dyDescent="0.3">
      <c r="D27092" s="1"/>
      <c r="G27092" s="13"/>
    </row>
    <row r="27093" spans="4:7" x14ac:dyDescent="0.3">
      <c r="D27093" s="1"/>
      <c r="G27093" s="13"/>
    </row>
    <row r="27094" spans="4:7" x14ac:dyDescent="0.3">
      <c r="D27094" s="1"/>
      <c r="G27094" s="13"/>
    </row>
    <row r="27095" spans="4:7" x14ac:dyDescent="0.3">
      <c r="D27095" s="1"/>
      <c r="G27095" s="13"/>
    </row>
    <row r="27096" spans="4:7" x14ac:dyDescent="0.3">
      <c r="D27096" s="1"/>
      <c r="G27096" s="13"/>
    </row>
    <row r="27097" spans="4:7" x14ac:dyDescent="0.3">
      <c r="D27097" s="1"/>
      <c r="G27097" s="13"/>
    </row>
    <row r="27098" spans="4:7" x14ac:dyDescent="0.3">
      <c r="D27098" s="1"/>
      <c r="G27098" s="13"/>
    </row>
    <row r="27099" spans="4:7" x14ac:dyDescent="0.3">
      <c r="D27099" s="1"/>
      <c r="G27099" s="13"/>
    </row>
    <row r="27100" spans="4:7" x14ac:dyDescent="0.3">
      <c r="D27100" s="1"/>
      <c r="G27100" s="13"/>
    </row>
    <row r="27101" spans="4:7" x14ac:dyDescent="0.3">
      <c r="D27101" s="1"/>
      <c r="G27101" s="13"/>
    </row>
    <row r="27102" spans="4:7" x14ac:dyDescent="0.3">
      <c r="D27102" s="1"/>
      <c r="G27102" s="13"/>
    </row>
    <row r="27103" spans="4:7" x14ac:dyDescent="0.3">
      <c r="D27103" s="1"/>
      <c r="G27103" s="13"/>
    </row>
    <row r="27104" spans="4:7" x14ac:dyDescent="0.3">
      <c r="D27104" s="1"/>
      <c r="G27104" s="13"/>
    </row>
    <row r="27105" spans="4:7" x14ac:dyDescent="0.3">
      <c r="D27105" s="1"/>
      <c r="G27105" s="13"/>
    </row>
    <row r="27106" spans="4:7" x14ac:dyDescent="0.3">
      <c r="D27106" s="1"/>
      <c r="G27106" s="13"/>
    </row>
    <row r="27107" spans="4:7" x14ac:dyDescent="0.3">
      <c r="D27107" s="1"/>
      <c r="G27107" s="13"/>
    </row>
    <row r="27108" spans="4:7" x14ac:dyDescent="0.3">
      <c r="D27108" s="1"/>
      <c r="G27108" s="13"/>
    </row>
    <row r="27109" spans="4:7" x14ac:dyDescent="0.3">
      <c r="D27109" s="1"/>
      <c r="G27109" s="13"/>
    </row>
    <row r="27110" spans="4:7" x14ac:dyDescent="0.3">
      <c r="D27110" s="1"/>
      <c r="G27110" s="13"/>
    </row>
    <row r="27111" spans="4:7" x14ac:dyDescent="0.3">
      <c r="D27111" s="1"/>
      <c r="G27111" s="13"/>
    </row>
    <row r="27112" spans="4:7" x14ac:dyDescent="0.3">
      <c r="D27112" s="1"/>
      <c r="G27112" s="13"/>
    </row>
    <row r="27113" spans="4:7" x14ac:dyDescent="0.3">
      <c r="D27113" s="1"/>
      <c r="G27113" s="13"/>
    </row>
    <row r="27114" spans="4:7" x14ac:dyDescent="0.3">
      <c r="D27114" s="1"/>
      <c r="G27114" s="13"/>
    </row>
    <row r="27115" spans="4:7" x14ac:dyDescent="0.3">
      <c r="D27115" s="1"/>
      <c r="G27115" s="13"/>
    </row>
    <row r="27116" spans="4:7" x14ac:dyDescent="0.3">
      <c r="D27116" s="1"/>
      <c r="G27116" s="13"/>
    </row>
    <row r="27117" spans="4:7" x14ac:dyDescent="0.3">
      <c r="D27117" s="1"/>
      <c r="G27117" s="13"/>
    </row>
    <row r="27118" spans="4:7" x14ac:dyDescent="0.3">
      <c r="D27118" s="1"/>
      <c r="G27118" s="13"/>
    </row>
    <row r="27119" spans="4:7" x14ac:dyDescent="0.3">
      <c r="D27119" s="1"/>
      <c r="G27119" s="13"/>
    </row>
    <row r="27120" spans="4:7" x14ac:dyDescent="0.3">
      <c r="D27120" s="1"/>
      <c r="G27120" s="13"/>
    </row>
    <row r="27121" spans="4:7" x14ac:dyDescent="0.3">
      <c r="D27121" s="1"/>
      <c r="G27121" s="13"/>
    </row>
    <row r="27122" spans="4:7" x14ac:dyDescent="0.3">
      <c r="D27122" s="1"/>
      <c r="G27122" s="13"/>
    </row>
    <row r="27123" spans="4:7" x14ac:dyDescent="0.3">
      <c r="D27123" s="1"/>
      <c r="G27123" s="13"/>
    </row>
    <row r="27124" spans="4:7" x14ac:dyDescent="0.3">
      <c r="D27124" s="1"/>
      <c r="G27124" s="13"/>
    </row>
    <row r="27125" spans="4:7" x14ac:dyDescent="0.3">
      <c r="D27125" s="1"/>
      <c r="G27125" s="13"/>
    </row>
    <row r="27126" spans="4:7" x14ac:dyDescent="0.3">
      <c r="D27126" s="1"/>
      <c r="G27126" s="13"/>
    </row>
    <row r="27127" spans="4:7" x14ac:dyDescent="0.3">
      <c r="D27127" s="1"/>
      <c r="G27127" s="13"/>
    </row>
    <row r="27128" spans="4:7" x14ac:dyDescent="0.3">
      <c r="D27128" s="1"/>
      <c r="G27128" s="13"/>
    </row>
    <row r="27129" spans="4:7" x14ac:dyDescent="0.3">
      <c r="D27129" s="1"/>
      <c r="G27129" s="13"/>
    </row>
    <row r="27130" spans="4:7" x14ac:dyDescent="0.3">
      <c r="D27130" s="1"/>
      <c r="G27130" s="13"/>
    </row>
    <row r="27131" spans="4:7" x14ac:dyDescent="0.3">
      <c r="D27131" s="1"/>
      <c r="G27131" s="13"/>
    </row>
    <row r="27132" spans="4:7" x14ac:dyDescent="0.3">
      <c r="D27132" s="1"/>
      <c r="G27132" s="13"/>
    </row>
    <row r="27133" spans="4:7" x14ac:dyDescent="0.3">
      <c r="D27133" s="1"/>
      <c r="G27133" s="13"/>
    </row>
    <row r="27134" spans="4:7" x14ac:dyDescent="0.3">
      <c r="D27134" s="1"/>
      <c r="G27134" s="13"/>
    </row>
    <row r="27135" spans="4:7" x14ac:dyDescent="0.3">
      <c r="D27135" s="1"/>
      <c r="G27135" s="13"/>
    </row>
    <row r="27136" spans="4:7" x14ac:dyDescent="0.3">
      <c r="D27136" s="1"/>
      <c r="G27136" s="13"/>
    </row>
    <row r="27137" spans="4:7" x14ac:dyDescent="0.3">
      <c r="D27137" s="1"/>
      <c r="G27137" s="13"/>
    </row>
    <row r="27138" spans="4:7" x14ac:dyDescent="0.3">
      <c r="D27138" s="1"/>
      <c r="G27138" s="13"/>
    </row>
    <row r="27139" spans="4:7" x14ac:dyDescent="0.3">
      <c r="D27139" s="1"/>
      <c r="G27139" s="13"/>
    </row>
    <row r="27140" spans="4:7" x14ac:dyDescent="0.3">
      <c r="D27140" s="1"/>
      <c r="G27140" s="13"/>
    </row>
    <row r="27141" spans="4:7" x14ac:dyDescent="0.3">
      <c r="D27141" s="1"/>
      <c r="G27141" s="13"/>
    </row>
    <row r="27142" spans="4:7" x14ac:dyDescent="0.3">
      <c r="D27142" s="1"/>
      <c r="G27142" s="13"/>
    </row>
    <row r="27143" spans="4:7" x14ac:dyDescent="0.3">
      <c r="D27143" s="1"/>
      <c r="G27143" s="13"/>
    </row>
    <row r="27144" spans="4:7" x14ac:dyDescent="0.3">
      <c r="D27144" s="1"/>
      <c r="G27144" s="13"/>
    </row>
    <row r="27145" spans="4:7" x14ac:dyDescent="0.3">
      <c r="D27145" s="1"/>
      <c r="G27145" s="13"/>
    </row>
    <row r="27146" spans="4:7" x14ac:dyDescent="0.3">
      <c r="D27146" s="1"/>
      <c r="G27146" s="13"/>
    </row>
    <row r="27147" spans="4:7" x14ac:dyDescent="0.3">
      <c r="D27147" s="1"/>
      <c r="G27147" s="13"/>
    </row>
    <row r="27148" spans="4:7" x14ac:dyDescent="0.3">
      <c r="D27148" s="1"/>
      <c r="G27148" s="13"/>
    </row>
    <row r="27149" spans="4:7" x14ac:dyDescent="0.3">
      <c r="D27149" s="1"/>
      <c r="G27149" s="13"/>
    </row>
    <row r="27150" spans="4:7" x14ac:dyDescent="0.3">
      <c r="D27150" s="1"/>
      <c r="G27150" s="13"/>
    </row>
    <row r="27151" spans="4:7" x14ac:dyDescent="0.3">
      <c r="D27151" s="1"/>
      <c r="G27151" s="13"/>
    </row>
    <row r="27152" spans="4:7" x14ac:dyDescent="0.3">
      <c r="D27152" s="1"/>
      <c r="G27152" s="13"/>
    </row>
    <row r="27153" spans="4:7" x14ac:dyDescent="0.3">
      <c r="D27153" s="1"/>
      <c r="G27153" s="13"/>
    </row>
    <row r="27154" spans="4:7" x14ac:dyDescent="0.3">
      <c r="D27154" s="1"/>
      <c r="G27154" s="13"/>
    </row>
    <row r="27155" spans="4:7" x14ac:dyDescent="0.3">
      <c r="D27155" s="1"/>
      <c r="G27155" s="13"/>
    </row>
    <row r="27156" spans="4:7" x14ac:dyDescent="0.3">
      <c r="D27156" s="1"/>
      <c r="G27156" s="13"/>
    </row>
    <row r="27157" spans="4:7" x14ac:dyDescent="0.3">
      <c r="D27157" s="1"/>
      <c r="G27157" s="13"/>
    </row>
    <row r="27158" spans="4:7" x14ac:dyDescent="0.3">
      <c r="D27158" s="1"/>
      <c r="G27158" s="13"/>
    </row>
    <row r="27159" spans="4:7" x14ac:dyDescent="0.3">
      <c r="D27159" s="1"/>
      <c r="G27159" s="13"/>
    </row>
    <row r="27160" spans="4:7" x14ac:dyDescent="0.3">
      <c r="D27160" s="1"/>
      <c r="G27160" s="13"/>
    </row>
    <row r="27161" spans="4:7" x14ac:dyDescent="0.3">
      <c r="D27161" s="1"/>
      <c r="G27161" s="13"/>
    </row>
    <row r="27162" spans="4:7" x14ac:dyDescent="0.3">
      <c r="D27162" s="1"/>
      <c r="G27162" s="13"/>
    </row>
    <row r="27163" spans="4:7" x14ac:dyDescent="0.3">
      <c r="D27163" s="1"/>
      <c r="G27163" s="13"/>
    </row>
    <row r="27164" spans="4:7" x14ac:dyDescent="0.3">
      <c r="D27164" s="1"/>
      <c r="G27164" s="13"/>
    </row>
    <row r="27165" spans="4:7" x14ac:dyDescent="0.3">
      <c r="D27165" s="1"/>
      <c r="G27165" s="13"/>
    </row>
    <row r="27166" spans="4:7" x14ac:dyDescent="0.3">
      <c r="D27166" s="1"/>
      <c r="G27166" s="13"/>
    </row>
    <row r="27167" spans="4:7" x14ac:dyDescent="0.3">
      <c r="D27167" s="1"/>
      <c r="G27167" s="13"/>
    </row>
    <row r="27168" spans="4:7" x14ac:dyDescent="0.3">
      <c r="D27168" s="1"/>
      <c r="G27168" s="13"/>
    </row>
    <row r="27169" spans="4:7" x14ac:dyDescent="0.3">
      <c r="D27169" s="1"/>
      <c r="G27169" s="13"/>
    </row>
    <row r="27170" spans="4:7" x14ac:dyDescent="0.3">
      <c r="D27170" s="1"/>
      <c r="G27170" s="13"/>
    </row>
    <row r="27171" spans="4:7" x14ac:dyDescent="0.3">
      <c r="D27171" s="1"/>
      <c r="G27171" s="13"/>
    </row>
    <row r="27172" spans="4:7" x14ac:dyDescent="0.3">
      <c r="D27172" s="1"/>
      <c r="G27172" s="13"/>
    </row>
    <row r="27173" spans="4:7" x14ac:dyDescent="0.3">
      <c r="D27173" s="1"/>
      <c r="G27173" s="13"/>
    </row>
    <row r="27174" spans="4:7" x14ac:dyDescent="0.3">
      <c r="D27174" s="1"/>
      <c r="G27174" s="13"/>
    </row>
    <row r="27175" spans="4:7" x14ac:dyDescent="0.3">
      <c r="D27175" s="1"/>
      <c r="G27175" s="13"/>
    </row>
    <row r="27176" spans="4:7" x14ac:dyDescent="0.3">
      <c r="D27176" s="1"/>
      <c r="G27176" s="13"/>
    </row>
    <row r="27177" spans="4:7" x14ac:dyDescent="0.3">
      <c r="D27177" s="1"/>
      <c r="G27177" s="13"/>
    </row>
    <row r="27178" spans="4:7" x14ac:dyDescent="0.3">
      <c r="D27178" s="1"/>
      <c r="G27178" s="13"/>
    </row>
    <row r="27179" spans="4:7" x14ac:dyDescent="0.3">
      <c r="D27179" s="1"/>
      <c r="G27179" s="13"/>
    </row>
    <row r="27180" spans="4:7" x14ac:dyDescent="0.3">
      <c r="D27180" s="1"/>
      <c r="G27180" s="13"/>
    </row>
    <row r="27181" spans="4:7" x14ac:dyDescent="0.3">
      <c r="D27181" s="1"/>
      <c r="G27181" s="13"/>
    </row>
    <row r="27182" spans="4:7" x14ac:dyDescent="0.3">
      <c r="D27182" s="1"/>
      <c r="G27182" s="13"/>
    </row>
    <row r="27183" spans="4:7" x14ac:dyDescent="0.3">
      <c r="D27183" s="1"/>
      <c r="G27183" s="13"/>
    </row>
    <row r="27184" spans="4:7" x14ac:dyDescent="0.3">
      <c r="D27184" s="1"/>
      <c r="G27184" s="13"/>
    </row>
    <row r="27185" spans="4:7" x14ac:dyDescent="0.3">
      <c r="D27185" s="1"/>
      <c r="G27185" s="13"/>
    </row>
    <row r="27186" spans="4:7" x14ac:dyDescent="0.3">
      <c r="D27186" s="1"/>
      <c r="G27186" s="13"/>
    </row>
    <row r="27187" spans="4:7" x14ac:dyDescent="0.3">
      <c r="D27187" s="1"/>
      <c r="G27187" s="13"/>
    </row>
    <row r="27188" spans="4:7" x14ac:dyDescent="0.3">
      <c r="D27188" s="1"/>
      <c r="G27188" s="13"/>
    </row>
    <row r="27189" spans="4:7" x14ac:dyDescent="0.3">
      <c r="D27189" s="1"/>
      <c r="G27189" s="13"/>
    </row>
    <row r="27190" spans="4:7" x14ac:dyDescent="0.3">
      <c r="D27190" s="1"/>
      <c r="G27190" s="13"/>
    </row>
    <row r="27191" spans="4:7" x14ac:dyDescent="0.3">
      <c r="D27191" s="1"/>
      <c r="G27191" s="13"/>
    </row>
    <row r="27192" spans="4:7" x14ac:dyDescent="0.3">
      <c r="D27192" s="1"/>
      <c r="G27192" s="13"/>
    </row>
    <row r="27193" spans="4:7" x14ac:dyDescent="0.3">
      <c r="D27193" s="1"/>
      <c r="G27193" s="13"/>
    </row>
    <row r="27194" spans="4:7" x14ac:dyDescent="0.3">
      <c r="D27194" s="1"/>
      <c r="G27194" s="13"/>
    </row>
    <row r="27195" spans="4:7" x14ac:dyDescent="0.3">
      <c r="D27195" s="1"/>
      <c r="G27195" s="13"/>
    </row>
    <row r="27196" spans="4:7" x14ac:dyDescent="0.3">
      <c r="D27196" s="1"/>
      <c r="G27196" s="13"/>
    </row>
    <row r="27197" spans="4:7" x14ac:dyDescent="0.3">
      <c r="D27197" s="1"/>
      <c r="G27197" s="13"/>
    </row>
    <row r="27198" spans="4:7" x14ac:dyDescent="0.3">
      <c r="D27198" s="1"/>
      <c r="G27198" s="13"/>
    </row>
    <row r="27199" spans="4:7" x14ac:dyDescent="0.3">
      <c r="D27199" s="1"/>
      <c r="G27199" s="13"/>
    </row>
    <row r="27200" spans="4:7" x14ac:dyDescent="0.3">
      <c r="D27200" s="1"/>
      <c r="G27200" s="13"/>
    </row>
    <row r="27201" spans="4:7" x14ac:dyDescent="0.3">
      <c r="D27201" s="1"/>
      <c r="G27201" s="13"/>
    </row>
    <row r="27202" spans="4:7" x14ac:dyDescent="0.3">
      <c r="D27202" s="1"/>
      <c r="G27202" s="13"/>
    </row>
    <row r="27203" spans="4:7" x14ac:dyDescent="0.3">
      <c r="D27203" s="1"/>
      <c r="G27203" s="13"/>
    </row>
    <row r="27204" spans="4:7" x14ac:dyDescent="0.3">
      <c r="D27204" s="1"/>
      <c r="G27204" s="13"/>
    </row>
    <row r="27205" spans="4:7" x14ac:dyDescent="0.3">
      <c r="D27205" s="1"/>
      <c r="G27205" s="13"/>
    </row>
    <row r="27206" spans="4:7" x14ac:dyDescent="0.3">
      <c r="D27206" s="1"/>
      <c r="G27206" s="13"/>
    </row>
    <row r="27207" spans="4:7" x14ac:dyDescent="0.3">
      <c r="D27207" s="1"/>
      <c r="G27207" s="13"/>
    </row>
    <row r="27208" spans="4:7" x14ac:dyDescent="0.3">
      <c r="D27208" s="1"/>
      <c r="G27208" s="13"/>
    </row>
    <row r="27209" spans="4:7" x14ac:dyDescent="0.3">
      <c r="D27209" s="1"/>
      <c r="G27209" s="13"/>
    </row>
    <row r="27210" spans="4:7" x14ac:dyDescent="0.3">
      <c r="D27210" s="1"/>
      <c r="G27210" s="13"/>
    </row>
    <row r="27211" spans="4:7" x14ac:dyDescent="0.3">
      <c r="D27211" s="1"/>
      <c r="G27211" s="13"/>
    </row>
    <row r="27212" spans="4:7" x14ac:dyDescent="0.3">
      <c r="D27212" s="1"/>
      <c r="G27212" s="13"/>
    </row>
    <row r="27213" spans="4:7" x14ac:dyDescent="0.3">
      <c r="D27213" s="1"/>
      <c r="G27213" s="13"/>
    </row>
    <row r="27214" spans="4:7" x14ac:dyDescent="0.3">
      <c r="D27214" s="1"/>
      <c r="G27214" s="13"/>
    </row>
    <row r="27215" spans="4:7" x14ac:dyDescent="0.3">
      <c r="D27215" s="1"/>
      <c r="G27215" s="13"/>
    </row>
    <row r="27216" spans="4:7" x14ac:dyDescent="0.3">
      <c r="D27216" s="1"/>
      <c r="G27216" s="13"/>
    </row>
    <row r="27217" spans="4:7" x14ac:dyDescent="0.3">
      <c r="D27217" s="1"/>
      <c r="G27217" s="13"/>
    </row>
    <row r="27218" spans="4:7" x14ac:dyDescent="0.3">
      <c r="D27218" s="1"/>
      <c r="G27218" s="13"/>
    </row>
    <row r="27219" spans="4:7" x14ac:dyDescent="0.3">
      <c r="D27219" s="1"/>
      <c r="G27219" s="13"/>
    </row>
    <row r="27220" spans="4:7" x14ac:dyDescent="0.3">
      <c r="D27220" s="1"/>
      <c r="G27220" s="13"/>
    </row>
    <row r="27221" spans="4:7" x14ac:dyDescent="0.3">
      <c r="D27221" s="1"/>
      <c r="G27221" s="13"/>
    </row>
    <row r="27222" spans="4:7" x14ac:dyDescent="0.3">
      <c r="D27222" s="1"/>
      <c r="G27222" s="13"/>
    </row>
    <row r="27223" spans="4:7" x14ac:dyDescent="0.3">
      <c r="D27223" s="1"/>
      <c r="G27223" s="13"/>
    </row>
    <row r="27224" spans="4:7" x14ac:dyDescent="0.3">
      <c r="D27224" s="1"/>
      <c r="G27224" s="13"/>
    </row>
    <row r="27225" spans="4:7" x14ac:dyDescent="0.3">
      <c r="D27225" s="1"/>
      <c r="G27225" s="13"/>
    </row>
    <row r="27226" spans="4:7" x14ac:dyDescent="0.3">
      <c r="D27226" s="1"/>
      <c r="G27226" s="13"/>
    </row>
    <row r="27227" spans="4:7" x14ac:dyDescent="0.3">
      <c r="D27227" s="1"/>
      <c r="G27227" s="13"/>
    </row>
    <row r="27228" spans="4:7" x14ac:dyDescent="0.3">
      <c r="D27228" s="1"/>
      <c r="G27228" s="13"/>
    </row>
    <row r="27229" spans="4:7" x14ac:dyDescent="0.3">
      <c r="D27229" s="1"/>
      <c r="G27229" s="13"/>
    </row>
    <row r="27230" spans="4:7" x14ac:dyDescent="0.3">
      <c r="D27230" s="1"/>
      <c r="G27230" s="13"/>
    </row>
    <row r="27231" spans="4:7" x14ac:dyDescent="0.3">
      <c r="D27231" s="1"/>
      <c r="G27231" s="13"/>
    </row>
    <row r="27232" spans="4:7" x14ac:dyDescent="0.3">
      <c r="D27232" s="1"/>
      <c r="G27232" s="13"/>
    </row>
    <row r="27233" spans="4:7" x14ac:dyDescent="0.3">
      <c r="D27233" s="1"/>
      <c r="G27233" s="13"/>
    </row>
    <row r="27234" spans="4:7" x14ac:dyDescent="0.3">
      <c r="D27234" s="1"/>
      <c r="G27234" s="13"/>
    </row>
    <row r="27235" spans="4:7" x14ac:dyDescent="0.3">
      <c r="D27235" s="1"/>
      <c r="G27235" s="13"/>
    </row>
    <row r="27236" spans="4:7" x14ac:dyDescent="0.3">
      <c r="D27236" s="1"/>
      <c r="G27236" s="13"/>
    </row>
    <row r="27237" spans="4:7" x14ac:dyDescent="0.3">
      <c r="D27237" s="1"/>
      <c r="G27237" s="13"/>
    </row>
    <row r="27238" spans="4:7" x14ac:dyDescent="0.3">
      <c r="D27238" s="1"/>
      <c r="G27238" s="13"/>
    </row>
    <row r="27239" spans="4:7" x14ac:dyDescent="0.3">
      <c r="D27239" s="1"/>
      <c r="G27239" s="13"/>
    </row>
    <row r="27240" spans="4:7" x14ac:dyDescent="0.3">
      <c r="D27240" s="1"/>
      <c r="G27240" s="13"/>
    </row>
    <row r="27241" spans="4:7" x14ac:dyDescent="0.3">
      <c r="D27241" s="1"/>
      <c r="G27241" s="13"/>
    </row>
    <row r="27242" spans="4:7" x14ac:dyDescent="0.3">
      <c r="D27242" s="1"/>
      <c r="G27242" s="13"/>
    </row>
    <row r="27243" spans="4:7" x14ac:dyDescent="0.3">
      <c r="D27243" s="1"/>
      <c r="G27243" s="13"/>
    </row>
    <row r="27244" spans="4:7" x14ac:dyDescent="0.3">
      <c r="D27244" s="1"/>
      <c r="G27244" s="13"/>
    </row>
    <row r="27245" spans="4:7" x14ac:dyDescent="0.3">
      <c r="D27245" s="1"/>
      <c r="G27245" s="13"/>
    </row>
    <row r="27246" spans="4:7" x14ac:dyDescent="0.3">
      <c r="D27246" s="1"/>
      <c r="G27246" s="13"/>
    </row>
    <row r="27247" spans="4:7" x14ac:dyDescent="0.3">
      <c r="D27247" s="1"/>
      <c r="G27247" s="13"/>
    </row>
    <row r="27248" spans="4:7" x14ac:dyDescent="0.3">
      <c r="D27248" s="1"/>
      <c r="G27248" s="13"/>
    </row>
    <row r="27249" spans="4:7" x14ac:dyDescent="0.3">
      <c r="D27249" s="1"/>
      <c r="G27249" s="13"/>
    </row>
    <row r="27250" spans="4:7" x14ac:dyDescent="0.3">
      <c r="D27250" s="1"/>
      <c r="G27250" s="13"/>
    </row>
    <row r="27251" spans="4:7" x14ac:dyDescent="0.3">
      <c r="D27251" s="1"/>
      <c r="G27251" s="13"/>
    </row>
    <row r="27252" spans="4:7" x14ac:dyDescent="0.3">
      <c r="D27252" s="1"/>
      <c r="G27252" s="13"/>
    </row>
    <row r="27253" spans="4:7" x14ac:dyDescent="0.3">
      <c r="D27253" s="1"/>
      <c r="G27253" s="13"/>
    </row>
    <row r="27254" spans="4:7" x14ac:dyDescent="0.3">
      <c r="D27254" s="1"/>
      <c r="G27254" s="13"/>
    </row>
    <row r="27255" spans="4:7" x14ac:dyDescent="0.3">
      <c r="D27255" s="1"/>
      <c r="G27255" s="13"/>
    </row>
    <row r="27256" spans="4:7" x14ac:dyDescent="0.3">
      <c r="D27256" s="1"/>
      <c r="G27256" s="13"/>
    </row>
    <row r="27257" spans="4:7" x14ac:dyDescent="0.3">
      <c r="D27257" s="1"/>
      <c r="G27257" s="13"/>
    </row>
    <row r="27258" spans="4:7" x14ac:dyDescent="0.3">
      <c r="D27258" s="1"/>
      <c r="G27258" s="13"/>
    </row>
    <row r="27259" spans="4:7" x14ac:dyDescent="0.3">
      <c r="D27259" s="1"/>
      <c r="G27259" s="13"/>
    </row>
    <row r="27260" spans="4:7" x14ac:dyDescent="0.3">
      <c r="D27260" s="1"/>
      <c r="G27260" s="13"/>
    </row>
    <row r="27261" spans="4:7" x14ac:dyDescent="0.3">
      <c r="D27261" s="1"/>
      <c r="G27261" s="13"/>
    </row>
    <row r="27262" spans="4:7" x14ac:dyDescent="0.3">
      <c r="D27262" s="1"/>
      <c r="G27262" s="13"/>
    </row>
    <row r="27263" spans="4:7" x14ac:dyDescent="0.3">
      <c r="D27263" s="1"/>
      <c r="G27263" s="13"/>
    </row>
    <row r="27264" spans="4:7" x14ac:dyDescent="0.3">
      <c r="D27264" s="1"/>
      <c r="G27264" s="13"/>
    </row>
    <row r="27265" spans="4:7" x14ac:dyDescent="0.3">
      <c r="D27265" s="1"/>
      <c r="G27265" s="13"/>
    </row>
    <row r="27266" spans="4:7" x14ac:dyDescent="0.3">
      <c r="D27266" s="1"/>
      <c r="G27266" s="13"/>
    </row>
    <row r="27267" spans="4:7" x14ac:dyDescent="0.3">
      <c r="D27267" s="1"/>
      <c r="G27267" s="13"/>
    </row>
    <row r="27268" spans="4:7" x14ac:dyDescent="0.3">
      <c r="D27268" s="1"/>
      <c r="G27268" s="13"/>
    </row>
    <row r="27269" spans="4:7" x14ac:dyDescent="0.3">
      <c r="D27269" s="1"/>
      <c r="G27269" s="13"/>
    </row>
    <row r="27270" spans="4:7" x14ac:dyDescent="0.3">
      <c r="D27270" s="1"/>
      <c r="G27270" s="13"/>
    </row>
    <row r="27271" spans="4:7" x14ac:dyDescent="0.3">
      <c r="D27271" s="1"/>
      <c r="G27271" s="13"/>
    </row>
    <row r="27272" spans="4:7" x14ac:dyDescent="0.3">
      <c r="D27272" s="1"/>
      <c r="G27272" s="13"/>
    </row>
    <row r="27273" spans="4:7" x14ac:dyDescent="0.3">
      <c r="D27273" s="1"/>
      <c r="G27273" s="13"/>
    </row>
    <row r="27274" spans="4:7" x14ac:dyDescent="0.3">
      <c r="D27274" s="1"/>
      <c r="G27274" s="13"/>
    </row>
    <row r="27275" spans="4:7" x14ac:dyDescent="0.3">
      <c r="D27275" s="1"/>
      <c r="G27275" s="13"/>
    </row>
    <row r="27276" spans="4:7" x14ac:dyDescent="0.3">
      <c r="D27276" s="1"/>
      <c r="G27276" s="13"/>
    </row>
    <row r="27277" spans="4:7" x14ac:dyDescent="0.3">
      <c r="D27277" s="1"/>
      <c r="G27277" s="13"/>
    </row>
    <row r="27278" spans="4:7" x14ac:dyDescent="0.3">
      <c r="D27278" s="1"/>
      <c r="G27278" s="13"/>
    </row>
    <row r="27279" spans="4:7" x14ac:dyDescent="0.3">
      <c r="D27279" s="1"/>
      <c r="G27279" s="13"/>
    </row>
    <row r="27280" spans="4:7" x14ac:dyDescent="0.3">
      <c r="D27280" s="1"/>
      <c r="G27280" s="13"/>
    </row>
    <row r="27281" spans="4:7" x14ac:dyDescent="0.3">
      <c r="D27281" s="1"/>
      <c r="G27281" s="13"/>
    </row>
    <row r="27282" spans="4:7" x14ac:dyDescent="0.3">
      <c r="D27282" s="1"/>
      <c r="G27282" s="13"/>
    </row>
    <row r="27283" spans="4:7" x14ac:dyDescent="0.3">
      <c r="D27283" s="1"/>
      <c r="G27283" s="13"/>
    </row>
    <row r="27284" spans="4:7" x14ac:dyDescent="0.3">
      <c r="D27284" s="1"/>
      <c r="G27284" s="13"/>
    </row>
    <row r="27285" spans="4:7" x14ac:dyDescent="0.3">
      <c r="D27285" s="1"/>
      <c r="G27285" s="13"/>
    </row>
    <row r="27286" spans="4:7" x14ac:dyDescent="0.3">
      <c r="D27286" s="1"/>
      <c r="G27286" s="13"/>
    </row>
    <row r="27287" spans="4:7" x14ac:dyDescent="0.3">
      <c r="D27287" s="1"/>
      <c r="G27287" s="13"/>
    </row>
    <row r="27288" spans="4:7" x14ac:dyDescent="0.3">
      <c r="D27288" s="1"/>
      <c r="G27288" s="13"/>
    </row>
    <row r="27289" spans="4:7" x14ac:dyDescent="0.3">
      <c r="D27289" s="1"/>
      <c r="G27289" s="13"/>
    </row>
    <row r="27290" spans="4:7" x14ac:dyDescent="0.3">
      <c r="D27290" s="1"/>
      <c r="G27290" s="13"/>
    </row>
    <row r="27291" spans="4:7" x14ac:dyDescent="0.3">
      <c r="D27291" s="1"/>
      <c r="G27291" s="13"/>
    </row>
    <row r="27292" spans="4:7" x14ac:dyDescent="0.3">
      <c r="D27292" s="1"/>
      <c r="G27292" s="13"/>
    </row>
    <row r="27293" spans="4:7" x14ac:dyDescent="0.3">
      <c r="D27293" s="1"/>
      <c r="G27293" s="13"/>
    </row>
    <row r="27294" spans="4:7" x14ac:dyDescent="0.3">
      <c r="D27294" s="1"/>
      <c r="G27294" s="13"/>
    </row>
    <row r="27295" spans="4:7" x14ac:dyDescent="0.3">
      <c r="D27295" s="1"/>
      <c r="G27295" s="13"/>
    </row>
    <row r="27296" spans="4:7" x14ac:dyDescent="0.3">
      <c r="D27296" s="1"/>
      <c r="G27296" s="13"/>
    </row>
    <row r="27297" spans="4:7" x14ac:dyDescent="0.3">
      <c r="D27297" s="1"/>
      <c r="G27297" s="13"/>
    </row>
    <row r="27298" spans="4:7" x14ac:dyDescent="0.3">
      <c r="D27298" s="1"/>
      <c r="G27298" s="13"/>
    </row>
    <row r="27299" spans="4:7" x14ac:dyDescent="0.3">
      <c r="D27299" s="1"/>
      <c r="G27299" s="13"/>
    </row>
    <row r="27300" spans="4:7" x14ac:dyDescent="0.3">
      <c r="D27300" s="1"/>
      <c r="G27300" s="13"/>
    </row>
    <row r="27301" spans="4:7" x14ac:dyDescent="0.3">
      <c r="D27301" s="1"/>
      <c r="G27301" s="13"/>
    </row>
    <row r="27302" spans="4:7" x14ac:dyDescent="0.3">
      <c r="D27302" s="1"/>
      <c r="G27302" s="13"/>
    </row>
    <row r="27303" spans="4:7" x14ac:dyDescent="0.3">
      <c r="D27303" s="1"/>
      <c r="G27303" s="13"/>
    </row>
    <row r="27304" spans="4:7" x14ac:dyDescent="0.3">
      <c r="D27304" s="1"/>
      <c r="G27304" s="13"/>
    </row>
    <row r="27305" spans="4:7" x14ac:dyDescent="0.3">
      <c r="D27305" s="1"/>
      <c r="G27305" s="13"/>
    </row>
    <row r="27306" spans="4:7" x14ac:dyDescent="0.3">
      <c r="G27306" s="13"/>
    </row>
    <row r="27307" spans="4:7" x14ac:dyDescent="0.3">
      <c r="D27307" s="1"/>
      <c r="G27307" s="13"/>
    </row>
    <row r="27308" spans="4:7" x14ac:dyDescent="0.3">
      <c r="D27308" s="1"/>
      <c r="G27308" s="13"/>
    </row>
    <row r="27309" spans="4:7" x14ac:dyDescent="0.3">
      <c r="D27309" s="1"/>
      <c r="G27309" s="13"/>
    </row>
    <row r="27310" spans="4:7" x14ac:dyDescent="0.3">
      <c r="D27310" s="1"/>
      <c r="G27310" s="13"/>
    </row>
    <row r="27311" spans="4:7" x14ac:dyDescent="0.3">
      <c r="D27311" s="1"/>
      <c r="G27311" s="13"/>
    </row>
    <row r="27312" spans="4:7" x14ac:dyDescent="0.3">
      <c r="D27312" s="1"/>
      <c r="G27312" s="13"/>
    </row>
    <row r="27313" spans="4:7" x14ac:dyDescent="0.3">
      <c r="D27313" s="1"/>
      <c r="G27313" s="13"/>
    </row>
    <row r="27314" spans="4:7" x14ac:dyDescent="0.3">
      <c r="D27314" s="1"/>
      <c r="G27314" s="13"/>
    </row>
    <row r="27315" spans="4:7" x14ac:dyDescent="0.3">
      <c r="D27315" s="1"/>
      <c r="G27315" s="13"/>
    </row>
    <row r="27316" spans="4:7" x14ac:dyDescent="0.3">
      <c r="D27316" s="1"/>
      <c r="G27316" s="13"/>
    </row>
    <row r="27317" spans="4:7" x14ac:dyDescent="0.3">
      <c r="D27317" s="1"/>
      <c r="G27317" s="13"/>
    </row>
    <row r="27318" spans="4:7" x14ac:dyDescent="0.3">
      <c r="D27318" s="1"/>
      <c r="G27318" s="13"/>
    </row>
    <row r="27319" spans="4:7" x14ac:dyDescent="0.3">
      <c r="D27319" s="1"/>
      <c r="G27319" s="13"/>
    </row>
    <row r="27320" spans="4:7" x14ac:dyDescent="0.3">
      <c r="D27320" s="1"/>
      <c r="G27320" s="13"/>
    </row>
    <row r="27321" spans="4:7" x14ac:dyDescent="0.3">
      <c r="D27321" s="1"/>
      <c r="G27321" s="13"/>
    </row>
    <row r="27322" spans="4:7" x14ac:dyDescent="0.3">
      <c r="D27322" s="1"/>
      <c r="G27322" s="13"/>
    </row>
    <row r="27323" spans="4:7" x14ac:dyDescent="0.3">
      <c r="D27323" s="1"/>
      <c r="G27323" s="13"/>
    </row>
    <row r="27324" spans="4:7" x14ac:dyDescent="0.3">
      <c r="D27324" s="1"/>
      <c r="G27324" s="13"/>
    </row>
    <row r="27325" spans="4:7" x14ac:dyDescent="0.3">
      <c r="D27325" s="1"/>
      <c r="G27325" s="13"/>
    </row>
    <row r="27326" spans="4:7" x14ac:dyDescent="0.3">
      <c r="D27326" s="1"/>
      <c r="G27326" s="13"/>
    </row>
    <row r="27327" spans="4:7" x14ac:dyDescent="0.3">
      <c r="D27327" s="1"/>
      <c r="G27327" s="13"/>
    </row>
    <row r="27328" spans="4:7" x14ac:dyDescent="0.3">
      <c r="D27328" s="1"/>
      <c r="G27328" s="13"/>
    </row>
    <row r="27329" spans="4:7" x14ac:dyDescent="0.3">
      <c r="D27329" s="1"/>
      <c r="G27329" s="13"/>
    </row>
    <row r="27330" spans="4:7" x14ac:dyDescent="0.3">
      <c r="D27330" s="1"/>
      <c r="G27330" s="13"/>
    </row>
    <row r="27331" spans="4:7" x14ac:dyDescent="0.3">
      <c r="D27331" s="1"/>
      <c r="G27331" s="13"/>
    </row>
    <row r="27332" spans="4:7" x14ac:dyDescent="0.3">
      <c r="D27332" s="1"/>
      <c r="G27332" s="13"/>
    </row>
    <row r="27333" spans="4:7" x14ac:dyDescent="0.3">
      <c r="D27333" s="1"/>
      <c r="G27333" s="13"/>
    </row>
    <row r="27334" spans="4:7" x14ac:dyDescent="0.3">
      <c r="D27334" s="1"/>
      <c r="G27334" s="13"/>
    </row>
    <row r="27335" spans="4:7" x14ac:dyDescent="0.3">
      <c r="D27335" s="1"/>
      <c r="G27335" s="13"/>
    </row>
    <row r="27336" spans="4:7" x14ac:dyDescent="0.3">
      <c r="D27336" s="1"/>
      <c r="G27336" s="13"/>
    </row>
    <row r="27337" spans="4:7" x14ac:dyDescent="0.3">
      <c r="G27337" s="13"/>
    </row>
    <row r="27338" spans="4:7" x14ac:dyDescent="0.3">
      <c r="D27338" s="1"/>
      <c r="G27338" s="13"/>
    </row>
    <row r="27339" spans="4:7" x14ac:dyDescent="0.3">
      <c r="D27339" s="1"/>
      <c r="G27339" s="13"/>
    </row>
    <row r="27340" spans="4:7" x14ac:dyDescent="0.3">
      <c r="D27340" s="1"/>
      <c r="G27340" s="13"/>
    </row>
    <row r="27341" spans="4:7" x14ac:dyDescent="0.3">
      <c r="D27341" s="1"/>
      <c r="G27341" s="13"/>
    </row>
    <row r="27342" spans="4:7" x14ac:dyDescent="0.3">
      <c r="D27342" s="1"/>
      <c r="G27342" s="13"/>
    </row>
    <row r="27343" spans="4:7" x14ac:dyDescent="0.3">
      <c r="D27343" s="1"/>
      <c r="G27343" s="13"/>
    </row>
    <row r="27344" spans="4:7" x14ac:dyDescent="0.3">
      <c r="D27344" s="1"/>
      <c r="G27344" s="13"/>
    </row>
    <row r="27345" spans="4:7" x14ac:dyDescent="0.3">
      <c r="D27345" s="1"/>
      <c r="G27345" s="13"/>
    </row>
    <row r="27346" spans="4:7" x14ac:dyDescent="0.3">
      <c r="D27346" s="1"/>
      <c r="G27346" s="13"/>
    </row>
    <row r="27347" spans="4:7" x14ac:dyDescent="0.3">
      <c r="D27347" s="1"/>
      <c r="G27347" s="13"/>
    </row>
    <row r="27348" spans="4:7" x14ac:dyDescent="0.3">
      <c r="D27348" s="1"/>
      <c r="G27348" s="13"/>
    </row>
    <row r="27349" spans="4:7" x14ac:dyDescent="0.3">
      <c r="D27349" s="1"/>
      <c r="G27349" s="13"/>
    </row>
    <row r="27350" spans="4:7" x14ac:dyDescent="0.3">
      <c r="D27350" s="1"/>
      <c r="G27350" s="13"/>
    </row>
    <row r="27351" spans="4:7" x14ac:dyDescent="0.3">
      <c r="D27351" s="1"/>
      <c r="G27351" s="13"/>
    </row>
    <row r="27352" spans="4:7" x14ac:dyDescent="0.3">
      <c r="D27352" s="1"/>
      <c r="G27352" s="13"/>
    </row>
    <row r="27353" spans="4:7" x14ac:dyDescent="0.3">
      <c r="D27353" s="1"/>
      <c r="G27353" s="13"/>
    </row>
    <row r="27354" spans="4:7" x14ac:dyDescent="0.3">
      <c r="D27354" s="1"/>
      <c r="G27354" s="13"/>
    </row>
    <row r="27355" spans="4:7" x14ac:dyDescent="0.3">
      <c r="D27355" s="1"/>
      <c r="G27355" s="13"/>
    </row>
    <row r="27356" spans="4:7" x14ac:dyDescent="0.3">
      <c r="D27356" s="1"/>
      <c r="G27356" s="13"/>
    </row>
    <row r="27357" spans="4:7" x14ac:dyDescent="0.3">
      <c r="D27357" s="1"/>
      <c r="G27357" s="13"/>
    </row>
    <row r="27358" spans="4:7" x14ac:dyDescent="0.3">
      <c r="D27358" s="1"/>
      <c r="G27358" s="13"/>
    </row>
    <row r="27359" spans="4:7" x14ac:dyDescent="0.3">
      <c r="D27359" s="1"/>
      <c r="G27359" s="13"/>
    </row>
    <row r="27360" spans="4:7" x14ac:dyDescent="0.3">
      <c r="D27360" s="1"/>
      <c r="G27360" s="13"/>
    </row>
    <row r="27361" spans="4:7" x14ac:dyDescent="0.3">
      <c r="D27361" s="1"/>
      <c r="G27361" s="13"/>
    </row>
    <row r="27362" spans="4:7" x14ac:dyDescent="0.3">
      <c r="D27362" s="1"/>
      <c r="G27362" s="13"/>
    </row>
    <row r="27363" spans="4:7" x14ac:dyDescent="0.3">
      <c r="D27363" s="1"/>
      <c r="G27363" s="13"/>
    </row>
    <row r="27364" spans="4:7" x14ac:dyDescent="0.3">
      <c r="D27364" s="1"/>
      <c r="G27364" s="13"/>
    </row>
    <row r="27365" spans="4:7" x14ac:dyDescent="0.3">
      <c r="D27365" s="1"/>
      <c r="G27365" s="13"/>
    </row>
    <row r="27366" spans="4:7" x14ac:dyDescent="0.3">
      <c r="D27366" s="1"/>
      <c r="G27366" s="13"/>
    </row>
    <row r="27367" spans="4:7" x14ac:dyDescent="0.3">
      <c r="D27367" s="1"/>
      <c r="G27367" s="13"/>
    </row>
    <row r="27368" spans="4:7" x14ac:dyDescent="0.3">
      <c r="D27368" s="1"/>
      <c r="G27368" s="13"/>
    </row>
    <row r="27369" spans="4:7" x14ac:dyDescent="0.3">
      <c r="D27369" s="1"/>
      <c r="G27369" s="13"/>
    </row>
    <row r="27370" spans="4:7" x14ac:dyDescent="0.3">
      <c r="D27370" s="1"/>
      <c r="G27370" s="13"/>
    </row>
    <row r="27371" spans="4:7" x14ac:dyDescent="0.3">
      <c r="D27371" s="1"/>
      <c r="G27371" s="13"/>
    </row>
    <row r="27372" spans="4:7" x14ac:dyDescent="0.3">
      <c r="D27372" s="1"/>
      <c r="G27372" s="13"/>
    </row>
    <row r="27373" spans="4:7" x14ac:dyDescent="0.3">
      <c r="D27373" s="1"/>
      <c r="G27373" s="13"/>
    </row>
    <row r="27374" spans="4:7" x14ac:dyDescent="0.3">
      <c r="D27374" s="1"/>
      <c r="G27374" s="13"/>
    </row>
    <row r="27375" spans="4:7" x14ac:dyDescent="0.3">
      <c r="D27375" s="1"/>
      <c r="G27375" s="13"/>
    </row>
    <row r="27376" spans="4:7" x14ac:dyDescent="0.3">
      <c r="D27376" s="1"/>
      <c r="G27376" s="13"/>
    </row>
    <row r="27377" spans="4:7" x14ac:dyDescent="0.3">
      <c r="D27377" s="1"/>
      <c r="G27377" s="13"/>
    </row>
    <row r="27378" spans="4:7" x14ac:dyDescent="0.3">
      <c r="D27378" s="1"/>
      <c r="G27378" s="13"/>
    </row>
    <row r="27379" spans="4:7" x14ac:dyDescent="0.3">
      <c r="D27379" s="1"/>
      <c r="G27379" s="13"/>
    </row>
    <row r="27380" spans="4:7" x14ac:dyDescent="0.3">
      <c r="D27380" s="1"/>
      <c r="G27380" s="13"/>
    </row>
    <row r="27381" spans="4:7" x14ac:dyDescent="0.3">
      <c r="D27381" s="1"/>
      <c r="G27381" s="13"/>
    </row>
    <row r="27382" spans="4:7" x14ac:dyDescent="0.3">
      <c r="D27382" s="1"/>
      <c r="G27382" s="13"/>
    </row>
    <row r="27383" spans="4:7" x14ac:dyDescent="0.3">
      <c r="D27383" s="1"/>
      <c r="G27383" s="13"/>
    </row>
    <row r="27384" spans="4:7" x14ac:dyDescent="0.3">
      <c r="D27384" s="1"/>
      <c r="G27384" s="13"/>
    </row>
    <row r="27385" spans="4:7" x14ac:dyDescent="0.3">
      <c r="D27385" s="1"/>
      <c r="G27385" s="13"/>
    </row>
    <row r="27386" spans="4:7" x14ac:dyDescent="0.3">
      <c r="D27386" s="1"/>
      <c r="G27386" s="13"/>
    </row>
    <row r="27387" spans="4:7" x14ac:dyDescent="0.3">
      <c r="D27387" s="1"/>
      <c r="G27387" s="13"/>
    </row>
    <row r="27388" spans="4:7" x14ac:dyDescent="0.3">
      <c r="D27388" s="1"/>
      <c r="G27388" s="13"/>
    </row>
    <row r="27389" spans="4:7" x14ac:dyDescent="0.3">
      <c r="D27389" s="1"/>
      <c r="G27389" s="13"/>
    </row>
    <row r="27390" spans="4:7" x14ac:dyDescent="0.3">
      <c r="D27390" s="1"/>
      <c r="G27390" s="13"/>
    </row>
    <row r="27391" spans="4:7" x14ac:dyDescent="0.3">
      <c r="D27391" s="1"/>
      <c r="G27391" s="13"/>
    </row>
    <row r="27392" spans="4:7" x14ac:dyDescent="0.3">
      <c r="D27392" s="1"/>
      <c r="G27392" s="13"/>
    </row>
    <row r="27393" spans="4:7" x14ac:dyDescent="0.3">
      <c r="D27393" s="1"/>
      <c r="G27393" s="13"/>
    </row>
    <row r="27394" spans="4:7" x14ac:dyDescent="0.3">
      <c r="D27394" s="1"/>
      <c r="G27394" s="13"/>
    </row>
    <row r="27395" spans="4:7" x14ac:dyDescent="0.3">
      <c r="D27395" s="1"/>
      <c r="G27395" s="13"/>
    </row>
    <row r="27396" spans="4:7" x14ac:dyDescent="0.3">
      <c r="D27396" s="1"/>
      <c r="G27396" s="13"/>
    </row>
    <row r="27397" spans="4:7" x14ac:dyDescent="0.3">
      <c r="D27397" s="1"/>
      <c r="G27397" s="13"/>
    </row>
    <row r="27398" spans="4:7" x14ac:dyDescent="0.3">
      <c r="D27398" s="1"/>
      <c r="G27398" s="13"/>
    </row>
    <row r="27399" spans="4:7" x14ac:dyDescent="0.3">
      <c r="D27399" s="1"/>
      <c r="G27399" s="13"/>
    </row>
    <row r="27400" spans="4:7" x14ac:dyDescent="0.3">
      <c r="D27400" s="1"/>
      <c r="G27400" s="13"/>
    </row>
    <row r="27401" spans="4:7" x14ac:dyDescent="0.3">
      <c r="D27401" s="1"/>
      <c r="G27401" s="13"/>
    </row>
    <row r="27402" spans="4:7" x14ac:dyDescent="0.3">
      <c r="D27402" s="1"/>
      <c r="G27402" s="13"/>
    </row>
    <row r="27403" spans="4:7" x14ac:dyDescent="0.3">
      <c r="D27403" s="1"/>
      <c r="G27403" s="13"/>
    </row>
    <row r="27404" spans="4:7" x14ac:dyDescent="0.3">
      <c r="D27404" s="1"/>
      <c r="G27404" s="13"/>
    </row>
    <row r="27405" spans="4:7" x14ac:dyDescent="0.3">
      <c r="D27405" s="1"/>
      <c r="G27405" s="13"/>
    </row>
    <row r="27406" spans="4:7" x14ac:dyDescent="0.3">
      <c r="D27406" s="1"/>
      <c r="G27406" s="13"/>
    </row>
    <row r="27407" spans="4:7" x14ac:dyDescent="0.3">
      <c r="D27407" s="1"/>
      <c r="G27407" s="13"/>
    </row>
    <row r="27408" spans="4:7" x14ac:dyDescent="0.3">
      <c r="D27408" s="1"/>
      <c r="G27408" s="13"/>
    </row>
    <row r="27409" spans="4:7" x14ac:dyDescent="0.3">
      <c r="D27409" s="1"/>
      <c r="G27409" s="13"/>
    </row>
    <row r="27410" spans="4:7" x14ac:dyDescent="0.3">
      <c r="D27410" s="1"/>
      <c r="G27410" s="13"/>
    </row>
    <row r="27411" spans="4:7" x14ac:dyDescent="0.3">
      <c r="D27411" s="1"/>
      <c r="G27411" s="13"/>
    </row>
    <row r="27412" spans="4:7" x14ac:dyDescent="0.3">
      <c r="D27412" s="1"/>
      <c r="G27412" s="13"/>
    </row>
    <row r="27413" spans="4:7" x14ac:dyDescent="0.3">
      <c r="D27413" s="1"/>
      <c r="G27413" s="13"/>
    </row>
    <row r="27414" spans="4:7" x14ac:dyDescent="0.3">
      <c r="D27414" s="1"/>
      <c r="G27414" s="13"/>
    </row>
    <row r="27415" spans="4:7" x14ac:dyDescent="0.3">
      <c r="D27415" s="1"/>
      <c r="G27415" s="13"/>
    </row>
    <row r="27416" spans="4:7" x14ac:dyDescent="0.3">
      <c r="D27416" s="1"/>
      <c r="G27416" s="13"/>
    </row>
    <row r="27417" spans="4:7" x14ac:dyDescent="0.3">
      <c r="D27417" s="1"/>
      <c r="G27417" s="13"/>
    </row>
    <row r="27418" spans="4:7" x14ac:dyDescent="0.3">
      <c r="D27418" s="1"/>
      <c r="G27418" s="13"/>
    </row>
    <row r="27419" spans="4:7" x14ac:dyDescent="0.3">
      <c r="D27419" s="1"/>
      <c r="G27419" s="13"/>
    </row>
    <row r="27420" spans="4:7" x14ac:dyDescent="0.3">
      <c r="D27420" s="1"/>
      <c r="G27420" s="13"/>
    </row>
    <row r="27421" spans="4:7" x14ac:dyDescent="0.3">
      <c r="D27421" s="1"/>
      <c r="G27421" s="13"/>
    </row>
    <row r="27422" spans="4:7" x14ac:dyDescent="0.3">
      <c r="D27422" s="1"/>
      <c r="G27422" s="13"/>
    </row>
    <row r="27423" spans="4:7" x14ac:dyDescent="0.3">
      <c r="D27423" s="1"/>
      <c r="G27423" s="13"/>
    </row>
    <row r="27424" spans="4:7" x14ac:dyDescent="0.3">
      <c r="D27424" s="1"/>
      <c r="G27424" s="13"/>
    </row>
    <row r="27425" spans="4:7" x14ac:dyDescent="0.3">
      <c r="D27425" s="1"/>
      <c r="G27425" s="13"/>
    </row>
    <row r="27426" spans="4:7" x14ac:dyDescent="0.3">
      <c r="D27426" s="1"/>
      <c r="G27426" s="13"/>
    </row>
    <row r="27427" spans="4:7" x14ac:dyDescent="0.3">
      <c r="D27427" s="1"/>
      <c r="G27427" s="13"/>
    </row>
    <row r="27428" spans="4:7" x14ac:dyDescent="0.3">
      <c r="D27428" s="1"/>
      <c r="G27428" s="13"/>
    </row>
    <row r="27429" spans="4:7" x14ac:dyDescent="0.3">
      <c r="D27429" s="1"/>
      <c r="G27429" s="13"/>
    </row>
    <row r="27430" spans="4:7" x14ac:dyDescent="0.3">
      <c r="D27430" s="1"/>
      <c r="G27430" s="13"/>
    </row>
    <row r="27431" spans="4:7" x14ac:dyDescent="0.3">
      <c r="D27431" s="1"/>
      <c r="G27431" s="13"/>
    </row>
    <row r="27432" spans="4:7" x14ac:dyDescent="0.3">
      <c r="G27432" s="13"/>
    </row>
    <row r="27433" spans="4:7" x14ac:dyDescent="0.3">
      <c r="D27433" s="1"/>
      <c r="G27433" s="13"/>
    </row>
    <row r="27434" spans="4:7" x14ac:dyDescent="0.3">
      <c r="D27434" s="1"/>
      <c r="G27434" s="13"/>
    </row>
    <row r="27435" spans="4:7" x14ac:dyDescent="0.3">
      <c r="D27435" s="1"/>
      <c r="G27435" s="13"/>
    </row>
    <row r="27436" spans="4:7" x14ac:dyDescent="0.3">
      <c r="D27436" s="1"/>
      <c r="G27436" s="13"/>
    </row>
    <row r="27437" spans="4:7" x14ac:dyDescent="0.3">
      <c r="D27437" s="1"/>
      <c r="G27437" s="13"/>
    </row>
    <row r="27438" spans="4:7" x14ac:dyDescent="0.3">
      <c r="D27438" s="1"/>
      <c r="G27438" s="13"/>
    </row>
    <row r="27439" spans="4:7" x14ac:dyDescent="0.3">
      <c r="D27439" s="1"/>
      <c r="G27439" s="13"/>
    </row>
    <row r="27440" spans="4:7" x14ac:dyDescent="0.3">
      <c r="D27440" s="1"/>
      <c r="G27440" s="13"/>
    </row>
    <row r="27441" spans="4:7" x14ac:dyDescent="0.3">
      <c r="D27441" s="1"/>
      <c r="G27441" s="13"/>
    </row>
    <row r="27442" spans="4:7" x14ac:dyDescent="0.3">
      <c r="D27442" s="1"/>
      <c r="G27442" s="13"/>
    </row>
    <row r="27443" spans="4:7" x14ac:dyDescent="0.3">
      <c r="D27443" s="1"/>
      <c r="G27443" s="13"/>
    </row>
    <row r="27444" spans="4:7" x14ac:dyDescent="0.3">
      <c r="D27444" s="1"/>
      <c r="G27444" s="13"/>
    </row>
    <row r="27445" spans="4:7" x14ac:dyDescent="0.3">
      <c r="D27445" s="1"/>
      <c r="G27445" s="13"/>
    </row>
    <row r="27446" spans="4:7" x14ac:dyDescent="0.3">
      <c r="D27446" s="1"/>
      <c r="G27446" s="13"/>
    </row>
    <row r="27447" spans="4:7" x14ac:dyDescent="0.3">
      <c r="D27447" s="1"/>
      <c r="G27447" s="13"/>
    </row>
    <row r="27448" spans="4:7" x14ac:dyDescent="0.3">
      <c r="D27448" s="1"/>
      <c r="G27448" s="13"/>
    </row>
    <row r="27449" spans="4:7" x14ac:dyDescent="0.3">
      <c r="D27449" s="1"/>
      <c r="G27449" s="13"/>
    </row>
    <row r="27450" spans="4:7" x14ac:dyDescent="0.3">
      <c r="D27450" s="1"/>
      <c r="G27450" s="13"/>
    </row>
    <row r="27451" spans="4:7" x14ac:dyDescent="0.3">
      <c r="D27451" s="1"/>
      <c r="G27451" s="13"/>
    </row>
    <row r="27452" spans="4:7" x14ac:dyDescent="0.3">
      <c r="D27452" s="1"/>
      <c r="G27452" s="13"/>
    </row>
    <row r="27453" spans="4:7" x14ac:dyDescent="0.3">
      <c r="D27453" s="1"/>
      <c r="G27453" s="13"/>
    </row>
    <row r="27454" spans="4:7" x14ac:dyDescent="0.3">
      <c r="D27454" s="1"/>
      <c r="G27454" s="13"/>
    </row>
    <row r="27455" spans="4:7" x14ac:dyDescent="0.3">
      <c r="D27455" s="1"/>
      <c r="G27455" s="13"/>
    </row>
    <row r="27456" spans="4:7" x14ac:dyDescent="0.3">
      <c r="D27456" s="1"/>
      <c r="G27456" s="13"/>
    </row>
    <row r="27457" spans="4:7" x14ac:dyDescent="0.3">
      <c r="D27457" s="1"/>
      <c r="G27457" s="13"/>
    </row>
    <row r="27458" spans="4:7" x14ac:dyDescent="0.3">
      <c r="D27458" s="1"/>
      <c r="G27458" s="13"/>
    </row>
    <row r="27459" spans="4:7" x14ac:dyDescent="0.3">
      <c r="D27459" s="1"/>
      <c r="G27459" s="13"/>
    </row>
    <row r="27460" spans="4:7" x14ac:dyDescent="0.3">
      <c r="D27460" s="1"/>
      <c r="G27460" s="13"/>
    </row>
    <row r="27461" spans="4:7" x14ac:dyDescent="0.3">
      <c r="G27461" s="13"/>
    </row>
    <row r="27462" spans="4:7" x14ac:dyDescent="0.3">
      <c r="D27462" s="1"/>
      <c r="G27462" s="13"/>
    </row>
    <row r="27463" spans="4:7" x14ac:dyDescent="0.3">
      <c r="D27463" s="1"/>
      <c r="G27463" s="13"/>
    </row>
    <row r="27464" spans="4:7" x14ac:dyDescent="0.3">
      <c r="D27464" s="1"/>
      <c r="G27464" s="13"/>
    </row>
    <row r="27465" spans="4:7" x14ac:dyDescent="0.3">
      <c r="D27465" s="1"/>
      <c r="G27465" s="13"/>
    </row>
    <row r="27466" spans="4:7" x14ac:dyDescent="0.3">
      <c r="D27466" s="1"/>
    </row>
    <row r="27467" spans="4:7" x14ac:dyDescent="0.3">
      <c r="D27467" s="1"/>
      <c r="G27467" s="13"/>
    </row>
    <row r="27468" spans="4:7" x14ac:dyDescent="0.3">
      <c r="D27468" s="1"/>
      <c r="G27468" s="13"/>
    </row>
    <row r="27469" spans="4:7" x14ac:dyDescent="0.3">
      <c r="D27469" s="1"/>
      <c r="G27469" s="13"/>
    </row>
    <row r="27470" spans="4:7" x14ac:dyDescent="0.3">
      <c r="D27470" s="1"/>
      <c r="G27470" s="13"/>
    </row>
    <row r="27471" spans="4:7" x14ac:dyDescent="0.3">
      <c r="D27471" s="1"/>
      <c r="G27471" s="13"/>
    </row>
    <row r="27472" spans="4:7" x14ac:dyDescent="0.3">
      <c r="D27472" s="1"/>
      <c r="G27472" s="13"/>
    </row>
    <row r="27473" spans="4:7" x14ac:dyDescent="0.3">
      <c r="D27473" s="1"/>
      <c r="G27473" s="13"/>
    </row>
    <row r="27474" spans="4:7" x14ac:dyDescent="0.3">
      <c r="D27474" s="1"/>
      <c r="G27474" s="13"/>
    </row>
    <row r="27475" spans="4:7" x14ac:dyDescent="0.3">
      <c r="D27475" s="1"/>
      <c r="G27475" s="13"/>
    </row>
    <row r="27476" spans="4:7" x14ac:dyDescent="0.3">
      <c r="D27476" s="1"/>
      <c r="G27476" s="13"/>
    </row>
    <row r="27477" spans="4:7" x14ac:dyDescent="0.3">
      <c r="D27477" s="1"/>
      <c r="G27477" s="13"/>
    </row>
    <row r="27478" spans="4:7" x14ac:dyDescent="0.3">
      <c r="D27478" s="1"/>
      <c r="G27478" s="13"/>
    </row>
    <row r="27479" spans="4:7" x14ac:dyDescent="0.3">
      <c r="D27479" s="1"/>
      <c r="G27479" s="13"/>
    </row>
    <row r="27480" spans="4:7" x14ac:dyDescent="0.3">
      <c r="D27480" s="1"/>
      <c r="G27480" s="13"/>
    </row>
    <row r="27481" spans="4:7" x14ac:dyDescent="0.3">
      <c r="D27481" s="1"/>
      <c r="G27481" s="13"/>
    </row>
    <row r="27482" spans="4:7" x14ac:dyDescent="0.3">
      <c r="D27482" s="1"/>
      <c r="G27482" s="13"/>
    </row>
    <row r="27483" spans="4:7" x14ac:dyDescent="0.3">
      <c r="D27483" s="1"/>
      <c r="G27483" s="13"/>
    </row>
    <row r="27484" spans="4:7" x14ac:dyDescent="0.3">
      <c r="D27484" s="1"/>
      <c r="G27484" s="13"/>
    </row>
    <row r="27485" spans="4:7" x14ac:dyDescent="0.3">
      <c r="D27485" s="1"/>
      <c r="G27485" s="13"/>
    </row>
    <row r="27486" spans="4:7" x14ac:dyDescent="0.3">
      <c r="D27486" s="1"/>
      <c r="G27486" s="13"/>
    </row>
    <row r="27487" spans="4:7" x14ac:dyDescent="0.3">
      <c r="D27487" s="1"/>
    </row>
    <row r="27488" spans="4:7" x14ac:dyDescent="0.3">
      <c r="D27488" s="1"/>
      <c r="G27488" s="13"/>
    </row>
    <row r="27489" spans="4:7" x14ac:dyDescent="0.3">
      <c r="D27489" s="1"/>
      <c r="G27489" s="13"/>
    </row>
    <row r="27490" spans="4:7" x14ac:dyDescent="0.3">
      <c r="D27490" s="1"/>
      <c r="G27490" s="13"/>
    </row>
    <row r="27491" spans="4:7" x14ac:dyDescent="0.3">
      <c r="D27491" s="1"/>
      <c r="G27491" s="13"/>
    </row>
    <row r="27492" spans="4:7" x14ac:dyDescent="0.3">
      <c r="D27492" s="1"/>
      <c r="G27492" s="13"/>
    </row>
    <row r="27493" spans="4:7" x14ac:dyDescent="0.3">
      <c r="D27493" s="1"/>
      <c r="G27493" s="13"/>
    </row>
    <row r="27494" spans="4:7" x14ac:dyDescent="0.3">
      <c r="D27494" s="1"/>
      <c r="G27494" s="13"/>
    </row>
    <row r="27495" spans="4:7" x14ac:dyDescent="0.3">
      <c r="D27495" s="1"/>
      <c r="G27495" s="13"/>
    </row>
    <row r="27496" spans="4:7" x14ac:dyDescent="0.3">
      <c r="D27496" s="1"/>
      <c r="G27496" s="13"/>
    </row>
    <row r="27497" spans="4:7" x14ac:dyDescent="0.3">
      <c r="D27497" s="1"/>
      <c r="G27497" s="13"/>
    </row>
    <row r="27498" spans="4:7" x14ac:dyDescent="0.3">
      <c r="D27498" s="1"/>
      <c r="G27498" s="13"/>
    </row>
    <row r="27499" spans="4:7" x14ac:dyDescent="0.3">
      <c r="D27499" s="1"/>
      <c r="G27499" s="13"/>
    </row>
    <row r="27500" spans="4:7" x14ac:dyDescent="0.3">
      <c r="D27500" s="1"/>
      <c r="G27500" s="13"/>
    </row>
    <row r="27501" spans="4:7" x14ac:dyDescent="0.3">
      <c r="D27501" s="1"/>
      <c r="G27501" s="13"/>
    </row>
    <row r="27502" spans="4:7" x14ac:dyDescent="0.3">
      <c r="D27502" s="1"/>
      <c r="G27502" s="13"/>
    </row>
    <row r="27503" spans="4:7" x14ac:dyDescent="0.3">
      <c r="D27503" s="1"/>
      <c r="G27503" s="13"/>
    </row>
    <row r="27504" spans="4:7" x14ac:dyDescent="0.3">
      <c r="D27504" s="1"/>
    </row>
    <row r="27505" spans="4:7" x14ac:dyDescent="0.3">
      <c r="D27505" s="1"/>
      <c r="G27505" s="13"/>
    </row>
    <row r="27506" spans="4:7" x14ac:dyDescent="0.3">
      <c r="D27506" s="1"/>
      <c r="G27506" s="13"/>
    </row>
    <row r="27507" spans="4:7" x14ac:dyDescent="0.3">
      <c r="D27507" s="1"/>
      <c r="G27507" s="13"/>
    </row>
    <row r="27508" spans="4:7" x14ac:dyDescent="0.3">
      <c r="D27508" s="1"/>
      <c r="G27508" s="13"/>
    </row>
    <row r="27509" spans="4:7" x14ac:dyDescent="0.3">
      <c r="D27509" s="1"/>
      <c r="G27509" s="13"/>
    </row>
    <row r="27510" spans="4:7" x14ac:dyDescent="0.3">
      <c r="D27510" s="1"/>
      <c r="G27510" s="13"/>
    </row>
    <row r="27511" spans="4:7" x14ac:dyDescent="0.3">
      <c r="D27511" s="1"/>
      <c r="G27511" s="13"/>
    </row>
    <row r="27512" spans="4:7" x14ac:dyDescent="0.3">
      <c r="D27512" s="1"/>
      <c r="G27512" s="13"/>
    </row>
    <row r="27513" spans="4:7" x14ac:dyDescent="0.3">
      <c r="D27513" s="1"/>
      <c r="G27513" s="13"/>
    </row>
    <row r="27514" spans="4:7" x14ac:dyDescent="0.3">
      <c r="D27514" s="1"/>
      <c r="G27514" s="13"/>
    </row>
    <row r="27515" spans="4:7" x14ac:dyDescent="0.3">
      <c r="D27515" s="1"/>
      <c r="G27515" s="13"/>
    </row>
    <row r="27516" spans="4:7" x14ac:dyDescent="0.3">
      <c r="D27516" s="1"/>
      <c r="G27516" s="13"/>
    </row>
    <row r="27517" spans="4:7" x14ac:dyDescent="0.3">
      <c r="D27517" s="1"/>
      <c r="G27517" s="13"/>
    </row>
    <row r="27518" spans="4:7" x14ac:dyDescent="0.3">
      <c r="D27518" s="1"/>
      <c r="G27518" s="13"/>
    </row>
    <row r="27519" spans="4:7" x14ac:dyDescent="0.3">
      <c r="D27519" s="1"/>
      <c r="G27519" s="13"/>
    </row>
    <row r="27520" spans="4:7" x14ac:dyDescent="0.3">
      <c r="D27520" s="1"/>
      <c r="G27520" s="13"/>
    </row>
    <row r="27521" spans="4:7" x14ac:dyDescent="0.3">
      <c r="D27521" s="1"/>
      <c r="G27521" s="13"/>
    </row>
    <row r="27522" spans="4:7" x14ac:dyDescent="0.3">
      <c r="G27522" s="13"/>
    </row>
    <row r="27523" spans="4:7" x14ac:dyDescent="0.3">
      <c r="D27523" s="1"/>
      <c r="G27523" s="13"/>
    </row>
    <row r="27524" spans="4:7" x14ac:dyDescent="0.3">
      <c r="D27524" s="1"/>
      <c r="G27524" s="13"/>
    </row>
    <row r="27525" spans="4:7" x14ac:dyDescent="0.3">
      <c r="D27525" s="1"/>
      <c r="G27525" s="13"/>
    </row>
    <row r="27526" spans="4:7" x14ac:dyDescent="0.3">
      <c r="D27526" s="1"/>
      <c r="G27526" s="13"/>
    </row>
    <row r="27527" spans="4:7" x14ac:dyDescent="0.3">
      <c r="D27527" s="1"/>
      <c r="G27527" s="13"/>
    </row>
    <row r="27528" spans="4:7" x14ac:dyDescent="0.3">
      <c r="D27528" s="1"/>
      <c r="G27528" s="13"/>
    </row>
    <row r="27529" spans="4:7" x14ac:dyDescent="0.3">
      <c r="D27529" s="1"/>
      <c r="G27529" s="13"/>
    </row>
    <row r="27530" spans="4:7" x14ac:dyDescent="0.3">
      <c r="D27530" s="1"/>
      <c r="G27530" s="13"/>
    </row>
    <row r="27531" spans="4:7" x14ac:dyDescent="0.3">
      <c r="D27531" s="1"/>
      <c r="G27531" s="13"/>
    </row>
    <row r="27532" spans="4:7" x14ac:dyDescent="0.3">
      <c r="D27532" s="1"/>
      <c r="G27532" s="13"/>
    </row>
    <row r="27533" spans="4:7" x14ac:dyDescent="0.3">
      <c r="D27533" s="1"/>
      <c r="G27533" s="13"/>
    </row>
    <row r="27534" spans="4:7" x14ac:dyDescent="0.3">
      <c r="D27534" s="1"/>
      <c r="G27534" s="13"/>
    </row>
    <row r="27535" spans="4:7" x14ac:dyDescent="0.3">
      <c r="D27535" s="1"/>
      <c r="G27535" s="13"/>
    </row>
    <row r="27536" spans="4:7" x14ac:dyDescent="0.3">
      <c r="D27536" s="1"/>
      <c r="G27536" s="13"/>
    </row>
    <row r="27537" spans="4:7" x14ac:dyDescent="0.3">
      <c r="D27537" s="1"/>
      <c r="G27537" s="13"/>
    </row>
    <row r="27538" spans="4:7" x14ac:dyDescent="0.3">
      <c r="D27538" s="1"/>
      <c r="G27538" s="13"/>
    </row>
    <row r="27539" spans="4:7" x14ac:dyDescent="0.3">
      <c r="D27539" s="1"/>
      <c r="G27539" s="13"/>
    </row>
    <row r="27540" spans="4:7" x14ac:dyDescent="0.3">
      <c r="D27540" s="1"/>
      <c r="G27540" s="13"/>
    </row>
    <row r="27541" spans="4:7" x14ac:dyDescent="0.3">
      <c r="D27541" s="1"/>
      <c r="G27541" s="13"/>
    </row>
    <row r="27542" spans="4:7" x14ac:dyDescent="0.3">
      <c r="G27542" s="13"/>
    </row>
    <row r="27543" spans="4:7" x14ac:dyDescent="0.3">
      <c r="D27543" s="1"/>
      <c r="G27543" s="13"/>
    </row>
    <row r="27544" spans="4:7" x14ac:dyDescent="0.3">
      <c r="D27544" s="1"/>
      <c r="G27544" s="13"/>
    </row>
    <row r="27545" spans="4:7" x14ac:dyDescent="0.3">
      <c r="D27545" s="1"/>
      <c r="G27545" s="13"/>
    </row>
    <row r="27546" spans="4:7" x14ac:dyDescent="0.3">
      <c r="D27546" s="1"/>
      <c r="G27546" s="13"/>
    </row>
    <row r="27547" spans="4:7" x14ac:dyDescent="0.3">
      <c r="D27547" s="1"/>
      <c r="G27547" s="13"/>
    </row>
    <row r="27548" spans="4:7" x14ac:dyDescent="0.3">
      <c r="D27548" s="1"/>
      <c r="G27548" s="13"/>
    </row>
    <row r="27549" spans="4:7" x14ac:dyDescent="0.3">
      <c r="G27549" s="13"/>
    </row>
    <row r="27550" spans="4:7" x14ac:dyDescent="0.3">
      <c r="D27550" s="1"/>
      <c r="G27550" s="13"/>
    </row>
    <row r="27551" spans="4:7" x14ac:dyDescent="0.3">
      <c r="D27551" s="1"/>
      <c r="G27551" s="13"/>
    </row>
    <row r="27552" spans="4:7" x14ac:dyDescent="0.3">
      <c r="D27552" s="1"/>
      <c r="G27552" s="13"/>
    </row>
    <row r="27553" spans="4:7" x14ac:dyDescent="0.3">
      <c r="D27553" s="1"/>
      <c r="G27553" s="13"/>
    </row>
    <row r="27554" spans="4:7" x14ac:dyDescent="0.3">
      <c r="D27554" s="1"/>
      <c r="G27554" s="13"/>
    </row>
    <row r="27555" spans="4:7" x14ac:dyDescent="0.3">
      <c r="D27555" s="1"/>
      <c r="G27555" s="13"/>
    </row>
    <row r="27556" spans="4:7" x14ac:dyDescent="0.3">
      <c r="D27556" s="1"/>
      <c r="G27556" s="13"/>
    </row>
    <row r="27557" spans="4:7" x14ac:dyDescent="0.3">
      <c r="D27557" s="1"/>
      <c r="G27557" s="13"/>
    </row>
    <row r="27558" spans="4:7" x14ac:dyDescent="0.3">
      <c r="D27558" s="1"/>
      <c r="G27558" s="13"/>
    </row>
    <row r="27559" spans="4:7" x14ac:dyDescent="0.3">
      <c r="D27559" s="1"/>
      <c r="G27559" s="13"/>
    </row>
    <row r="27560" spans="4:7" x14ac:dyDescent="0.3">
      <c r="D27560" s="1"/>
      <c r="G27560" s="13"/>
    </row>
    <row r="27561" spans="4:7" x14ac:dyDescent="0.3">
      <c r="D27561" s="1"/>
      <c r="G27561" s="13"/>
    </row>
    <row r="27562" spans="4:7" x14ac:dyDescent="0.3">
      <c r="D27562" s="1"/>
      <c r="G27562" s="13"/>
    </row>
    <row r="27563" spans="4:7" x14ac:dyDescent="0.3">
      <c r="D27563" s="1"/>
      <c r="G27563" s="13"/>
    </row>
    <row r="27564" spans="4:7" x14ac:dyDescent="0.3">
      <c r="D27564" s="1"/>
      <c r="G27564" s="13"/>
    </row>
    <row r="27565" spans="4:7" x14ac:dyDescent="0.3">
      <c r="D27565" s="1"/>
      <c r="G27565" s="13"/>
    </row>
    <row r="27566" spans="4:7" x14ac:dyDescent="0.3">
      <c r="D27566" s="1"/>
      <c r="G27566" s="13"/>
    </row>
    <row r="27567" spans="4:7" x14ac:dyDescent="0.3">
      <c r="D27567" s="1"/>
      <c r="G27567" s="13"/>
    </row>
    <row r="27568" spans="4:7" x14ac:dyDescent="0.3">
      <c r="D27568" s="1"/>
      <c r="G27568" s="13"/>
    </row>
    <row r="27569" spans="4:7" x14ac:dyDescent="0.3">
      <c r="D27569" s="1"/>
      <c r="G27569" s="13"/>
    </row>
    <row r="27570" spans="4:7" x14ac:dyDescent="0.3">
      <c r="D27570" s="1"/>
      <c r="G27570" s="13"/>
    </row>
    <row r="27571" spans="4:7" x14ac:dyDescent="0.3">
      <c r="D27571" s="1"/>
      <c r="G27571" s="13"/>
    </row>
    <row r="27572" spans="4:7" x14ac:dyDescent="0.3">
      <c r="D27572" s="1"/>
      <c r="G27572" s="13"/>
    </row>
    <row r="27573" spans="4:7" x14ac:dyDescent="0.3">
      <c r="D27573" s="1"/>
      <c r="G27573" s="13"/>
    </row>
    <row r="27574" spans="4:7" x14ac:dyDescent="0.3">
      <c r="D27574" s="1"/>
      <c r="G27574" s="13"/>
    </row>
    <row r="27575" spans="4:7" x14ac:dyDescent="0.3">
      <c r="D27575" s="1"/>
      <c r="G27575" s="13"/>
    </row>
    <row r="27576" spans="4:7" x14ac:dyDescent="0.3">
      <c r="D27576" s="1"/>
      <c r="G27576" s="13"/>
    </row>
    <row r="27577" spans="4:7" x14ac:dyDescent="0.3">
      <c r="D27577" s="1"/>
      <c r="G27577" s="13"/>
    </row>
    <row r="27578" spans="4:7" x14ac:dyDescent="0.3">
      <c r="D27578" s="1"/>
      <c r="G27578" s="13"/>
    </row>
    <row r="27579" spans="4:7" x14ac:dyDescent="0.3">
      <c r="D27579" s="1"/>
      <c r="G27579" s="13"/>
    </row>
    <row r="27580" spans="4:7" x14ac:dyDescent="0.3">
      <c r="D27580" s="1"/>
      <c r="G27580" s="13"/>
    </row>
    <row r="27581" spans="4:7" x14ac:dyDescent="0.3">
      <c r="D27581" s="1"/>
      <c r="G27581" s="13"/>
    </row>
    <row r="27582" spans="4:7" x14ac:dyDescent="0.3">
      <c r="D27582" s="1"/>
      <c r="G27582" s="13"/>
    </row>
    <row r="27583" spans="4:7" x14ac:dyDescent="0.3">
      <c r="D27583" s="1"/>
      <c r="G27583" s="13"/>
    </row>
    <row r="27584" spans="4:7" x14ac:dyDescent="0.3">
      <c r="D27584" s="1"/>
      <c r="G27584" s="13"/>
    </row>
    <row r="27585" spans="4:7" x14ac:dyDescent="0.3">
      <c r="D27585" s="1"/>
      <c r="G27585" s="13"/>
    </row>
    <row r="27586" spans="4:7" x14ac:dyDescent="0.3">
      <c r="D27586" s="1"/>
      <c r="G27586" s="13"/>
    </row>
    <row r="27587" spans="4:7" x14ac:dyDescent="0.3">
      <c r="D27587" s="1"/>
      <c r="G27587" s="13"/>
    </row>
    <row r="27588" spans="4:7" x14ac:dyDescent="0.3">
      <c r="D27588" s="1"/>
      <c r="G27588" s="13"/>
    </row>
    <row r="27589" spans="4:7" x14ac:dyDescent="0.3">
      <c r="D27589" s="1"/>
      <c r="G27589" s="13"/>
    </row>
    <row r="27590" spans="4:7" x14ac:dyDescent="0.3">
      <c r="D27590" s="1"/>
      <c r="G27590" s="13"/>
    </row>
    <row r="27591" spans="4:7" x14ac:dyDescent="0.3">
      <c r="D27591" s="1"/>
      <c r="G27591" s="13"/>
    </row>
    <row r="27592" spans="4:7" x14ac:dyDescent="0.3">
      <c r="D27592" s="1"/>
      <c r="G27592" s="13"/>
    </row>
    <row r="27593" spans="4:7" x14ac:dyDescent="0.3">
      <c r="D27593" s="1"/>
      <c r="G27593" s="13"/>
    </row>
    <row r="27594" spans="4:7" x14ac:dyDescent="0.3">
      <c r="D27594" s="1"/>
      <c r="G27594" s="13"/>
    </row>
    <row r="27595" spans="4:7" x14ac:dyDescent="0.3">
      <c r="D27595" s="1"/>
      <c r="G27595" s="13"/>
    </row>
    <row r="27596" spans="4:7" x14ac:dyDescent="0.3">
      <c r="D27596" s="1"/>
      <c r="G27596" s="13"/>
    </row>
    <row r="27597" spans="4:7" x14ac:dyDescent="0.3">
      <c r="D27597" s="1"/>
      <c r="G27597" s="13"/>
    </row>
    <row r="27598" spans="4:7" x14ac:dyDescent="0.3">
      <c r="D27598" s="1"/>
      <c r="G27598" s="13"/>
    </row>
    <row r="27599" spans="4:7" x14ac:dyDescent="0.3">
      <c r="D27599" s="1"/>
      <c r="G27599" s="13"/>
    </row>
    <row r="27600" spans="4:7" x14ac:dyDescent="0.3">
      <c r="D27600" s="1"/>
      <c r="G27600" s="13"/>
    </row>
    <row r="27601" spans="4:7" x14ac:dyDescent="0.3">
      <c r="D27601" s="1"/>
      <c r="G27601" s="13"/>
    </row>
    <row r="27602" spans="4:7" x14ac:dyDescent="0.3">
      <c r="D27602" s="1"/>
      <c r="G27602" s="13"/>
    </row>
    <row r="27603" spans="4:7" x14ac:dyDescent="0.3">
      <c r="D27603" s="1"/>
      <c r="G27603" s="13"/>
    </row>
    <row r="27604" spans="4:7" x14ac:dyDescent="0.3">
      <c r="D27604" s="1"/>
      <c r="G27604" s="13"/>
    </row>
    <row r="27605" spans="4:7" x14ac:dyDescent="0.3">
      <c r="D27605" s="1"/>
      <c r="G27605" s="13"/>
    </row>
    <row r="27606" spans="4:7" x14ac:dyDescent="0.3">
      <c r="D27606" s="1"/>
      <c r="G27606" s="13"/>
    </row>
    <row r="27607" spans="4:7" x14ac:dyDescent="0.3">
      <c r="D27607" s="1"/>
      <c r="G27607" s="13"/>
    </row>
    <row r="27608" spans="4:7" x14ac:dyDescent="0.3">
      <c r="G27608" s="13"/>
    </row>
    <row r="27609" spans="4:7" x14ac:dyDescent="0.3">
      <c r="D27609" s="1"/>
      <c r="G27609" s="13"/>
    </row>
    <row r="27610" spans="4:7" x14ac:dyDescent="0.3">
      <c r="D27610" s="1"/>
      <c r="G27610" s="13"/>
    </row>
    <row r="27611" spans="4:7" x14ac:dyDescent="0.3">
      <c r="D27611" s="1"/>
      <c r="G27611" s="13"/>
    </row>
    <row r="27612" spans="4:7" x14ac:dyDescent="0.3">
      <c r="D27612" s="1"/>
      <c r="G27612" s="13"/>
    </row>
    <row r="27613" spans="4:7" x14ac:dyDescent="0.3">
      <c r="D27613" s="1"/>
      <c r="G27613" s="13"/>
    </row>
    <row r="27614" spans="4:7" x14ac:dyDescent="0.3">
      <c r="D27614" s="1"/>
      <c r="G27614" s="13"/>
    </row>
    <row r="27615" spans="4:7" x14ac:dyDescent="0.3">
      <c r="D27615" s="1"/>
      <c r="G27615" s="13"/>
    </row>
    <row r="27616" spans="4:7" x14ac:dyDescent="0.3">
      <c r="D27616" s="1"/>
      <c r="G27616" s="13"/>
    </row>
    <row r="27617" spans="4:7" x14ac:dyDescent="0.3">
      <c r="D27617" s="1"/>
      <c r="G27617" s="13"/>
    </row>
    <row r="27618" spans="4:7" x14ac:dyDescent="0.3">
      <c r="D27618" s="1"/>
      <c r="G27618" s="13"/>
    </row>
    <row r="27619" spans="4:7" x14ac:dyDescent="0.3">
      <c r="D27619" s="1"/>
      <c r="G27619" s="13"/>
    </row>
    <row r="27620" spans="4:7" x14ac:dyDescent="0.3">
      <c r="D27620" s="1"/>
      <c r="G27620" s="13"/>
    </row>
    <row r="27621" spans="4:7" x14ac:dyDescent="0.3">
      <c r="D27621" s="1"/>
      <c r="G27621" s="13"/>
    </row>
    <row r="27622" spans="4:7" x14ac:dyDescent="0.3">
      <c r="D27622" s="1"/>
      <c r="G27622" s="13"/>
    </row>
    <row r="27623" spans="4:7" x14ac:dyDescent="0.3">
      <c r="D27623" s="1"/>
      <c r="G27623" s="13"/>
    </row>
    <row r="27624" spans="4:7" x14ac:dyDescent="0.3">
      <c r="D27624" s="1"/>
      <c r="G27624" s="13"/>
    </row>
    <row r="27625" spans="4:7" x14ac:dyDescent="0.3">
      <c r="D27625" s="1"/>
      <c r="G27625" s="13"/>
    </row>
    <row r="27626" spans="4:7" x14ac:dyDescent="0.3">
      <c r="D27626" s="1"/>
      <c r="G27626" s="13"/>
    </row>
    <row r="27627" spans="4:7" x14ac:dyDescent="0.3">
      <c r="D27627" s="1"/>
      <c r="G27627" s="13"/>
    </row>
    <row r="27628" spans="4:7" x14ac:dyDescent="0.3">
      <c r="D27628" s="1"/>
      <c r="G27628" s="13"/>
    </row>
    <row r="27629" spans="4:7" x14ac:dyDescent="0.3">
      <c r="D27629" s="1"/>
      <c r="G27629" s="13"/>
    </row>
    <row r="27630" spans="4:7" x14ac:dyDescent="0.3">
      <c r="D27630" s="1"/>
      <c r="G27630" s="13"/>
    </row>
    <row r="27631" spans="4:7" x14ac:dyDescent="0.3">
      <c r="D27631" s="1"/>
      <c r="G27631" s="13"/>
    </row>
    <row r="27632" spans="4:7" x14ac:dyDescent="0.3">
      <c r="D27632" s="1"/>
      <c r="G27632" s="13"/>
    </row>
    <row r="27633" spans="4:7" x14ac:dyDescent="0.3">
      <c r="D27633" s="1"/>
      <c r="G27633" s="13"/>
    </row>
    <row r="27634" spans="4:7" x14ac:dyDescent="0.3">
      <c r="D27634" s="1"/>
      <c r="G27634" s="13"/>
    </row>
    <row r="27635" spans="4:7" x14ac:dyDescent="0.3">
      <c r="D27635" s="1"/>
      <c r="G27635" s="13"/>
    </row>
    <row r="27636" spans="4:7" x14ac:dyDescent="0.3">
      <c r="D27636" s="1"/>
      <c r="G27636" s="13"/>
    </row>
    <row r="27637" spans="4:7" x14ac:dyDescent="0.3">
      <c r="D27637" s="1"/>
      <c r="G27637" s="13"/>
    </row>
    <row r="27638" spans="4:7" x14ac:dyDescent="0.3">
      <c r="G27638" s="13"/>
    </row>
    <row r="27639" spans="4:7" x14ac:dyDescent="0.3">
      <c r="D27639" s="1"/>
      <c r="G27639" s="13"/>
    </row>
    <row r="27640" spans="4:7" x14ac:dyDescent="0.3">
      <c r="D27640" s="1"/>
      <c r="G27640" s="13"/>
    </row>
    <row r="27641" spans="4:7" x14ac:dyDescent="0.3">
      <c r="D27641" s="1"/>
      <c r="G27641" s="13"/>
    </row>
    <row r="27642" spans="4:7" x14ac:dyDescent="0.3">
      <c r="G27642" s="13"/>
    </row>
    <row r="27643" spans="4:7" x14ac:dyDescent="0.3">
      <c r="D27643" s="1"/>
      <c r="G27643" s="13"/>
    </row>
    <row r="27644" spans="4:7" x14ac:dyDescent="0.3">
      <c r="D27644" s="1"/>
      <c r="G27644" s="13"/>
    </row>
    <row r="27645" spans="4:7" x14ac:dyDescent="0.3">
      <c r="D27645" s="1"/>
      <c r="G27645" s="13"/>
    </row>
    <row r="27646" spans="4:7" x14ac:dyDescent="0.3">
      <c r="D27646" s="1"/>
      <c r="G27646" s="13"/>
    </row>
    <row r="27647" spans="4:7" x14ac:dyDescent="0.3">
      <c r="D27647" s="1"/>
      <c r="G27647" s="13"/>
    </row>
    <row r="27648" spans="4:7" x14ac:dyDescent="0.3">
      <c r="D27648" s="1"/>
      <c r="G27648" s="13"/>
    </row>
    <row r="27649" spans="4:7" x14ac:dyDescent="0.3">
      <c r="D27649" s="1"/>
      <c r="G27649" s="13"/>
    </row>
    <row r="27650" spans="4:7" x14ac:dyDescent="0.3">
      <c r="D27650" s="1"/>
      <c r="G27650" s="13"/>
    </row>
    <row r="27651" spans="4:7" x14ac:dyDescent="0.3">
      <c r="G27651" s="13"/>
    </row>
    <row r="27652" spans="4:7" x14ac:dyDescent="0.3">
      <c r="D27652" s="1"/>
      <c r="G27652" s="13"/>
    </row>
    <row r="27653" spans="4:7" x14ac:dyDescent="0.3">
      <c r="G27653" s="13"/>
    </row>
    <row r="27654" spans="4:7" x14ac:dyDescent="0.3">
      <c r="D27654" s="1"/>
      <c r="G27654" s="13"/>
    </row>
    <row r="27655" spans="4:7" x14ac:dyDescent="0.3">
      <c r="D27655" s="1"/>
      <c r="G27655" s="13"/>
    </row>
    <row r="27656" spans="4:7" x14ac:dyDescent="0.3">
      <c r="D27656" s="1"/>
      <c r="G27656" s="13"/>
    </row>
    <row r="27657" spans="4:7" x14ac:dyDescent="0.3">
      <c r="D27657" s="1"/>
      <c r="G27657" s="13"/>
    </row>
    <row r="27658" spans="4:7" x14ac:dyDescent="0.3">
      <c r="D27658" s="1"/>
      <c r="G27658" s="13"/>
    </row>
    <row r="27659" spans="4:7" x14ac:dyDescent="0.3">
      <c r="G27659" s="13"/>
    </row>
    <row r="27660" spans="4:7" x14ac:dyDescent="0.3">
      <c r="D27660" s="1"/>
      <c r="G27660" s="13"/>
    </row>
    <row r="27661" spans="4:7" x14ac:dyDescent="0.3">
      <c r="D27661" s="1"/>
      <c r="G27661" s="13"/>
    </row>
    <row r="27662" spans="4:7" x14ac:dyDescent="0.3">
      <c r="G27662" s="13"/>
    </row>
    <row r="27663" spans="4:7" x14ac:dyDescent="0.3">
      <c r="D27663" s="1"/>
      <c r="G27663" s="13"/>
    </row>
    <row r="27664" spans="4:7" x14ac:dyDescent="0.3">
      <c r="D27664" s="1"/>
      <c r="G27664" s="13"/>
    </row>
    <row r="27665" spans="4:7" x14ac:dyDescent="0.3">
      <c r="D27665" s="1"/>
      <c r="G27665" s="13"/>
    </row>
    <row r="27666" spans="4:7" x14ac:dyDescent="0.3">
      <c r="D27666" s="1"/>
      <c r="G27666" s="13"/>
    </row>
    <row r="27667" spans="4:7" x14ac:dyDescent="0.3">
      <c r="D27667" s="1"/>
      <c r="G27667" s="13"/>
    </row>
    <row r="27668" spans="4:7" x14ac:dyDescent="0.3">
      <c r="D27668" s="1"/>
      <c r="G27668" s="13"/>
    </row>
    <row r="27669" spans="4:7" x14ac:dyDescent="0.3">
      <c r="D27669" s="1"/>
      <c r="G27669" s="13"/>
    </row>
    <row r="27670" spans="4:7" x14ac:dyDescent="0.3">
      <c r="D27670" s="1"/>
      <c r="G27670" s="13"/>
    </row>
    <row r="27671" spans="4:7" x14ac:dyDescent="0.3">
      <c r="D27671" s="1"/>
      <c r="G27671" s="13"/>
    </row>
    <row r="27672" spans="4:7" x14ac:dyDescent="0.3">
      <c r="D27672" s="1"/>
      <c r="G27672" s="13"/>
    </row>
    <row r="27673" spans="4:7" x14ac:dyDescent="0.3">
      <c r="D27673" s="1"/>
      <c r="G27673" s="13"/>
    </row>
    <row r="27674" spans="4:7" x14ac:dyDescent="0.3">
      <c r="D27674" s="1"/>
      <c r="G27674" s="13"/>
    </row>
    <row r="27675" spans="4:7" x14ac:dyDescent="0.3">
      <c r="D27675" s="1"/>
      <c r="G27675" s="13"/>
    </row>
    <row r="27676" spans="4:7" x14ac:dyDescent="0.3">
      <c r="D27676" s="1"/>
      <c r="G27676" s="13"/>
    </row>
    <row r="27677" spans="4:7" x14ac:dyDescent="0.3">
      <c r="D27677" s="1"/>
      <c r="G27677" s="13"/>
    </row>
    <row r="27678" spans="4:7" x14ac:dyDescent="0.3">
      <c r="D27678" s="1"/>
      <c r="G27678" s="13"/>
    </row>
    <row r="27679" spans="4:7" x14ac:dyDescent="0.3">
      <c r="D27679" s="1"/>
      <c r="G27679" s="13"/>
    </row>
    <row r="27680" spans="4:7" x14ac:dyDescent="0.3">
      <c r="D27680" s="1"/>
      <c r="G27680" s="13"/>
    </row>
    <row r="27681" spans="4:7" x14ac:dyDescent="0.3">
      <c r="D27681" s="1"/>
      <c r="G27681" s="13"/>
    </row>
    <row r="27682" spans="4:7" x14ac:dyDescent="0.3">
      <c r="D27682" s="1"/>
      <c r="G27682" s="13"/>
    </row>
    <row r="27683" spans="4:7" x14ac:dyDescent="0.3">
      <c r="D27683" s="1"/>
      <c r="G27683" s="13"/>
    </row>
    <row r="27684" spans="4:7" x14ac:dyDescent="0.3">
      <c r="D27684" s="1"/>
      <c r="G27684" s="13"/>
    </row>
    <row r="27685" spans="4:7" x14ac:dyDescent="0.3">
      <c r="D27685" s="1"/>
      <c r="G27685" s="13"/>
    </row>
    <row r="27686" spans="4:7" x14ac:dyDescent="0.3">
      <c r="D27686" s="1"/>
      <c r="G27686" s="13"/>
    </row>
    <row r="27687" spans="4:7" x14ac:dyDescent="0.3">
      <c r="D27687" s="1"/>
    </row>
    <row r="27688" spans="4:7" x14ac:dyDescent="0.3">
      <c r="D27688" s="1"/>
      <c r="G27688" s="13"/>
    </row>
    <row r="27689" spans="4:7" x14ac:dyDescent="0.3">
      <c r="D27689" s="1"/>
      <c r="G27689" s="13"/>
    </row>
    <row r="27690" spans="4:7" x14ac:dyDescent="0.3">
      <c r="D27690" s="1"/>
      <c r="G27690" s="13"/>
    </row>
    <row r="27691" spans="4:7" x14ac:dyDescent="0.3">
      <c r="D27691" s="1"/>
      <c r="G27691" s="13"/>
    </row>
    <row r="27692" spans="4:7" x14ac:dyDescent="0.3">
      <c r="D27692" s="1"/>
      <c r="G27692" s="13"/>
    </row>
    <row r="27693" spans="4:7" x14ac:dyDescent="0.3">
      <c r="D27693" s="1"/>
      <c r="G27693" s="13"/>
    </row>
    <row r="27694" spans="4:7" x14ac:dyDescent="0.3">
      <c r="D27694" s="1"/>
      <c r="G27694" s="13"/>
    </row>
    <row r="27695" spans="4:7" x14ac:dyDescent="0.3">
      <c r="D27695" s="1"/>
      <c r="G27695" s="13"/>
    </row>
    <row r="27696" spans="4:7" x14ac:dyDescent="0.3">
      <c r="D27696" s="1"/>
      <c r="G27696" s="13"/>
    </row>
    <row r="27697" spans="4:7" x14ac:dyDescent="0.3">
      <c r="D27697" s="1"/>
      <c r="G27697" s="13"/>
    </row>
    <row r="27698" spans="4:7" x14ac:dyDescent="0.3">
      <c r="D27698" s="1"/>
      <c r="G27698" s="13"/>
    </row>
    <row r="27699" spans="4:7" x14ac:dyDescent="0.3">
      <c r="D27699" s="1"/>
      <c r="G27699" s="13"/>
    </row>
    <row r="27700" spans="4:7" x14ac:dyDescent="0.3">
      <c r="D27700" s="1"/>
      <c r="G27700" s="13"/>
    </row>
    <row r="27701" spans="4:7" x14ac:dyDescent="0.3">
      <c r="D27701" s="1"/>
      <c r="G27701" s="13"/>
    </row>
    <row r="27702" spans="4:7" x14ac:dyDescent="0.3">
      <c r="D27702" s="1"/>
      <c r="G27702" s="13"/>
    </row>
    <row r="27703" spans="4:7" x14ac:dyDescent="0.3">
      <c r="D27703" s="1"/>
      <c r="G27703" s="13"/>
    </row>
    <row r="27704" spans="4:7" x14ac:dyDescent="0.3">
      <c r="D27704" s="1"/>
      <c r="G27704" s="13"/>
    </row>
    <row r="27705" spans="4:7" x14ac:dyDescent="0.3">
      <c r="D27705" s="1"/>
      <c r="G27705" s="13"/>
    </row>
    <row r="27706" spans="4:7" x14ac:dyDescent="0.3">
      <c r="D27706" s="1"/>
      <c r="G27706" s="13"/>
    </row>
    <row r="27707" spans="4:7" x14ac:dyDescent="0.3">
      <c r="D27707" s="1"/>
      <c r="G27707" s="13"/>
    </row>
    <row r="27708" spans="4:7" x14ac:dyDescent="0.3">
      <c r="D27708" s="1"/>
      <c r="G27708" s="13"/>
    </row>
    <row r="27709" spans="4:7" x14ac:dyDescent="0.3">
      <c r="D27709" s="1"/>
      <c r="G27709" s="13"/>
    </row>
    <row r="27710" spans="4:7" x14ac:dyDescent="0.3">
      <c r="G27710" s="13"/>
    </row>
    <row r="27711" spans="4:7" x14ac:dyDescent="0.3">
      <c r="D27711" s="1"/>
      <c r="G27711" s="13"/>
    </row>
    <row r="27712" spans="4:7" x14ac:dyDescent="0.3">
      <c r="D27712" s="1"/>
      <c r="G27712" s="13"/>
    </row>
    <row r="27713" spans="4:7" x14ac:dyDescent="0.3">
      <c r="G27713" s="13"/>
    </row>
    <row r="27714" spans="4:7" x14ac:dyDescent="0.3">
      <c r="D27714" s="1"/>
      <c r="G27714" s="13"/>
    </row>
    <row r="27715" spans="4:7" x14ac:dyDescent="0.3">
      <c r="D27715" s="1"/>
      <c r="G27715" s="13"/>
    </row>
    <row r="27716" spans="4:7" x14ac:dyDescent="0.3">
      <c r="D27716" s="1"/>
      <c r="G27716" s="13"/>
    </row>
    <row r="27717" spans="4:7" x14ac:dyDescent="0.3">
      <c r="D27717" s="1"/>
      <c r="G27717" s="13"/>
    </row>
    <row r="27718" spans="4:7" x14ac:dyDescent="0.3">
      <c r="D27718" s="1"/>
      <c r="G27718" s="13"/>
    </row>
    <row r="27719" spans="4:7" x14ac:dyDescent="0.3">
      <c r="D27719" s="1"/>
      <c r="G27719" s="13"/>
    </row>
    <row r="27720" spans="4:7" x14ac:dyDescent="0.3">
      <c r="D27720" s="1"/>
      <c r="G27720" s="13"/>
    </row>
    <row r="27721" spans="4:7" x14ac:dyDescent="0.3">
      <c r="D27721" s="1"/>
      <c r="G27721" s="13"/>
    </row>
    <row r="27722" spans="4:7" x14ac:dyDescent="0.3">
      <c r="D27722" s="1"/>
      <c r="G27722" s="13"/>
    </row>
    <row r="27723" spans="4:7" x14ac:dyDescent="0.3">
      <c r="D27723" s="1"/>
      <c r="G27723" s="13"/>
    </row>
    <row r="27724" spans="4:7" x14ac:dyDescent="0.3">
      <c r="D27724" s="1"/>
      <c r="G27724" s="13"/>
    </row>
    <row r="27725" spans="4:7" x14ac:dyDescent="0.3">
      <c r="D27725" s="1"/>
      <c r="G27725" s="13"/>
    </row>
    <row r="27726" spans="4:7" x14ac:dyDescent="0.3">
      <c r="D27726" s="1"/>
      <c r="G27726" s="13"/>
    </row>
    <row r="27727" spans="4:7" x14ac:dyDescent="0.3">
      <c r="D27727" s="1"/>
      <c r="G27727" s="13"/>
    </row>
    <row r="27728" spans="4:7" x14ac:dyDescent="0.3">
      <c r="D27728" s="1"/>
      <c r="G27728" s="13"/>
    </row>
    <row r="27729" spans="4:7" x14ac:dyDescent="0.3">
      <c r="D27729" s="1"/>
      <c r="G27729" s="13"/>
    </row>
    <row r="27730" spans="4:7" x14ac:dyDescent="0.3">
      <c r="D27730" s="1"/>
      <c r="G27730" s="13"/>
    </row>
    <row r="27731" spans="4:7" x14ac:dyDescent="0.3">
      <c r="D27731" s="1"/>
      <c r="G27731" s="13"/>
    </row>
    <row r="27732" spans="4:7" x14ac:dyDescent="0.3">
      <c r="D27732" s="1"/>
      <c r="G27732" s="13"/>
    </row>
    <row r="27733" spans="4:7" x14ac:dyDescent="0.3">
      <c r="D27733" s="1"/>
      <c r="G27733" s="13"/>
    </row>
    <row r="27734" spans="4:7" x14ac:dyDescent="0.3">
      <c r="D27734" s="1"/>
      <c r="G27734" s="13"/>
    </row>
    <row r="27735" spans="4:7" x14ac:dyDescent="0.3">
      <c r="D27735" s="1"/>
      <c r="G27735" s="13"/>
    </row>
    <row r="27736" spans="4:7" x14ac:dyDescent="0.3">
      <c r="D27736" s="1"/>
      <c r="G27736" s="13"/>
    </row>
    <row r="27737" spans="4:7" x14ac:dyDescent="0.3">
      <c r="D27737" s="1"/>
      <c r="G27737" s="13"/>
    </row>
    <row r="27738" spans="4:7" x14ac:dyDescent="0.3">
      <c r="D27738" s="1"/>
      <c r="G27738" s="13"/>
    </row>
    <row r="27739" spans="4:7" x14ac:dyDescent="0.3">
      <c r="D27739" s="1"/>
      <c r="G27739" s="13"/>
    </row>
    <row r="27740" spans="4:7" x14ac:dyDescent="0.3">
      <c r="D27740" s="1"/>
      <c r="G27740" s="13"/>
    </row>
    <row r="27741" spans="4:7" x14ac:dyDescent="0.3">
      <c r="D27741" s="1"/>
      <c r="G27741" s="13"/>
    </row>
    <row r="27742" spans="4:7" x14ac:dyDescent="0.3">
      <c r="D27742" s="1"/>
      <c r="G27742" s="13"/>
    </row>
    <row r="27743" spans="4:7" x14ac:dyDescent="0.3">
      <c r="G27743" s="13"/>
    </row>
    <row r="27744" spans="4:7" x14ac:dyDescent="0.3">
      <c r="D27744" s="1"/>
      <c r="G27744" s="13"/>
    </row>
    <row r="27745" spans="4:7" x14ac:dyDescent="0.3">
      <c r="D27745" s="1"/>
      <c r="G27745" s="13"/>
    </row>
    <row r="27746" spans="4:7" x14ac:dyDescent="0.3">
      <c r="G27746" s="13"/>
    </row>
    <row r="27747" spans="4:7" x14ac:dyDescent="0.3">
      <c r="D27747" s="1"/>
      <c r="G27747" s="13"/>
    </row>
    <row r="27748" spans="4:7" x14ac:dyDescent="0.3">
      <c r="D27748" s="1"/>
      <c r="G27748" s="13"/>
    </row>
    <row r="27749" spans="4:7" x14ac:dyDescent="0.3">
      <c r="D27749" s="1"/>
      <c r="G27749" s="13"/>
    </row>
    <row r="27750" spans="4:7" x14ac:dyDescent="0.3">
      <c r="D27750" s="1"/>
      <c r="G27750" s="13"/>
    </row>
    <row r="27751" spans="4:7" x14ac:dyDescent="0.3">
      <c r="D27751" s="1"/>
      <c r="G27751" s="13"/>
    </row>
    <row r="27752" spans="4:7" x14ac:dyDescent="0.3">
      <c r="D27752" s="1"/>
      <c r="G27752" s="13"/>
    </row>
    <row r="27753" spans="4:7" x14ac:dyDescent="0.3">
      <c r="D27753" s="1"/>
      <c r="G27753" s="13"/>
    </row>
    <row r="27754" spans="4:7" x14ac:dyDescent="0.3">
      <c r="D27754" s="1"/>
      <c r="G27754" s="13"/>
    </row>
    <row r="27755" spans="4:7" x14ac:dyDescent="0.3">
      <c r="G27755" s="13"/>
    </row>
    <row r="27756" spans="4:7" x14ac:dyDescent="0.3">
      <c r="G27756" s="13"/>
    </row>
    <row r="27757" spans="4:7" x14ac:dyDescent="0.3">
      <c r="D27757" s="1"/>
      <c r="G27757" s="13"/>
    </row>
    <row r="27758" spans="4:7" x14ac:dyDescent="0.3">
      <c r="G27758" s="13"/>
    </row>
    <row r="27759" spans="4:7" x14ac:dyDescent="0.3">
      <c r="D27759" s="1"/>
      <c r="G27759" s="13"/>
    </row>
    <row r="27760" spans="4:7" x14ac:dyDescent="0.3">
      <c r="G27760" s="13"/>
    </row>
    <row r="27761" spans="4:7" x14ac:dyDescent="0.3">
      <c r="G27761" s="13"/>
    </row>
    <row r="27762" spans="4:7" x14ac:dyDescent="0.3">
      <c r="D27762" s="1"/>
      <c r="G27762" s="13"/>
    </row>
    <row r="27763" spans="4:7" x14ac:dyDescent="0.3">
      <c r="D27763" s="1"/>
      <c r="G27763" s="13"/>
    </row>
    <row r="27764" spans="4:7" x14ac:dyDescent="0.3">
      <c r="D27764" s="1"/>
      <c r="G27764" s="13"/>
    </row>
    <row r="27765" spans="4:7" x14ac:dyDescent="0.3">
      <c r="D27765" s="1"/>
      <c r="G27765" s="13"/>
    </row>
    <row r="27766" spans="4:7" x14ac:dyDescent="0.3">
      <c r="D27766" s="1"/>
      <c r="G27766" s="13"/>
    </row>
    <row r="27767" spans="4:7" x14ac:dyDescent="0.3">
      <c r="D27767" s="1"/>
      <c r="G27767" s="13"/>
    </row>
    <row r="27768" spans="4:7" x14ac:dyDescent="0.3">
      <c r="D27768" s="1"/>
      <c r="G27768" s="13"/>
    </row>
    <row r="27769" spans="4:7" x14ac:dyDescent="0.3">
      <c r="D27769" s="1"/>
      <c r="G27769" s="13"/>
    </row>
    <row r="27770" spans="4:7" x14ac:dyDescent="0.3">
      <c r="G27770" s="13"/>
    </row>
    <row r="27771" spans="4:7" x14ac:dyDescent="0.3">
      <c r="D27771" s="1"/>
      <c r="G27771" s="13"/>
    </row>
    <row r="27772" spans="4:7" x14ac:dyDescent="0.3">
      <c r="G27772" s="13"/>
    </row>
    <row r="27773" spans="4:7" x14ac:dyDescent="0.3">
      <c r="D27773" s="1"/>
      <c r="G27773" s="13"/>
    </row>
    <row r="27774" spans="4:7" x14ac:dyDescent="0.3">
      <c r="D27774" s="1"/>
      <c r="G27774" s="13"/>
    </row>
    <row r="27775" spans="4:7" x14ac:dyDescent="0.3">
      <c r="D27775" s="1"/>
      <c r="G27775" s="13"/>
    </row>
    <row r="27776" spans="4:7" x14ac:dyDescent="0.3">
      <c r="D27776" s="1"/>
      <c r="G27776" s="13"/>
    </row>
    <row r="27777" spans="4:7" x14ac:dyDescent="0.3">
      <c r="D27777" s="1"/>
      <c r="G27777" s="13"/>
    </row>
    <row r="27778" spans="4:7" x14ac:dyDescent="0.3">
      <c r="D27778" s="1"/>
      <c r="G27778" s="13"/>
    </row>
    <row r="27779" spans="4:7" x14ac:dyDescent="0.3">
      <c r="D27779" s="1"/>
      <c r="G27779" s="13"/>
    </row>
    <row r="27780" spans="4:7" x14ac:dyDescent="0.3">
      <c r="D27780" s="1"/>
      <c r="G27780" s="13"/>
    </row>
    <row r="27781" spans="4:7" x14ac:dyDescent="0.3">
      <c r="D27781" s="1"/>
      <c r="G27781" s="13"/>
    </row>
    <row r="27782" spans="4:7" x14ac:dyDescent="0.3">
      <c r="D27782" s="1"/>
      <c r="G27782" s="13"/>
    </row>
    <row r="27783" spans="4:7" x14ac:dyDescent="0.3">
      <c r="D27783" s="1"/>
      <c r="G27783" s="13"/>
    </row>
    <row r="27784" spans="4:7" x14ac:dyDescent="0.3">
      <c r="D27784" s="1"/>
      <c r="G27784" s="13"/>
    </row>
    <row r="27785" spans="4:7" x14ac:dyDescent="0.3">
      <c r="D27785" s="1"/>
      <c r="G27785" s="13"/>
    </row>
    <row r="27786" spans="4:7" x14ac:dyDescent="0.3">
      <c r="D27786" s="1"/>
      <c r="G27786" s="13"/>
    </row>
    <row r="27787" spans="4:7" x14ac:dyDescent="0.3">
      <c r="D27787" s="1"/>
      <c r="G27787" s="13"/>
    </row>
    <row r="27788" spans="4:7" x14ac:dyDescent="0.3">
      <c r="D27788" s="1"/>
      <c r="G27788" s="13"/>
    </row>
    <row r="27789" spans="4:7" x14ac:dyDescent="0.3">
      <c r="D27789" s="1"/>
      <c r="G27789" s="13"/>
    </row>
    <row r="27790" spans="4:7" x14ac:dyDescent="0.3">
      <c r="D27790" s="1"/>
      <c r="G27790" s="13"/>
    </row>
    <row r="27791" spans="4:7" x14ac:dyDescent="0.3">
      <c r="D27791" s="1"/>
      <c r="G27791" s="13"/>
    </row>
    <row r="27792" spans="4:7" x14ac:dyDescent="0.3">
      <c r="D27792" s="1"/>
      <c r="G27792" s="13"/>
    </row>
    <row r="27793" spans="4:7" x14ac:dyDescent="0.3">
      <c r="D27793" s="1"/>
      <c r="G27793" s="13"/>
    </row>
    <row r="27794" spans="4:7" x14ac:dyDescent="0.3">
      <c r="D27794" s="1"/>
      <c r="G27794" s="13"/>
    </row>
    <row r="27795" spans="4:7" x14ac:dyDescent="0.3">
      <c r="D27795" s="1"/>
      <c r="G27795" s="13"/>
    </row>
    <row r="27796" spans="4:7" x14ac:dyDescent="0.3">
      <c r="D27796" s="1"/>
      <c r="G27796" s="13"/>
    </row>
    <row r="27797" spans="4:7" x14ac:dyDescent="0.3">
      <c r="D27797" s="1"/>
      <c r="G27797" s="13"/>
    </row>
    <row r="27798" spans="4:7" x14ac:dyDescent="0.3">
      <c r="D27798" s="1"/>
      <c r="G27798" s="13"/>
    </row>
    <row r="27799" spans="4:7" x14ac:dyDescent="0.3">
      <c r="D27799" s="1"/>
      <c r="G27799" s="13"/>
    </row>
    <row r="27800" spans="4:7" x14ac:dyDescent="0.3">
      <c r="D27800" s="1"/>
      <c r="G27800" s="13"/>
    </row>
    <row r="27801" spans="4:7" x14ac:dyDescent="0.3">
      <c r="D27801" s="1"/>
      <c r="G27801" s="13"/>
    </row>
    <row r="27802" spans="4:7" x14ac:dyDescent="0.3">
      <c r="D27802" s="1"/>
      <c r="G27802" s="13"/>
    </row>
    <row r="27803" spans="4:7" x14ac:dyDescent="0.3">
      <c r="D27803" s="1"/>
      <c r="G27803" s="13"/>
    </row>
    <row r="27804" spans="4:7" x14ac:dyDescent="0.3">
      <c r="D27804" s="1"/>
      <c r="G27804" s="13"/>
    </row>
    <row r="27805" spans="4:7" x14ac:dyDescent="0.3">
      <c r="D27805" s="1"/>
      <c r="G27805" s="13"/>
    </row>
    <row r="27806" spans="4:7" x14ac:dyDescent="0.3">
      <c r="D27806" s="1"/>
      <c r="G27806" s="13"/>
    </row>
    <row r="27807" spans="4:7" x14ac:dyDescent="0.3">
      <c r="D27807" s="1"/>
      <c r="G27807" s="13"/>
    </row>
    <row r="27808" spans="4:7" x14ac:dyDescent="0.3">
      <c r="D27808" s="1"/>
      <c r="G27808" s="13"/>
    </row>
    <row r="27809" spans="4:7" x14ac:dyDescent="0.3">
      <c r="D27809" s="1"/>
      <c r="G27809" s="13"/>
    </row>
    <row r="27810" spans="4:7" x14ac:dyDescent="0.3">
      <c r="D27810" s="1"/>
      <c r="G27810" s="13"/>
    </row>
    <row r="27811" spans="4:7" x14ac:dyDescent="0.3">
      <c r="D27811" s="1"/>
      <c r="G27811" s="13"/>
    </row>
    <row r="27812" spans="4:7" x14ac:dyDescent="0.3">
      <c r="D27812" s="1"/>
      <c r="G27812" s="13"/>
    </row>
    <row r="27813" spans="4:7" x14ac:dyDescent="0.3">
      <c r="D27813" s="1"/>
      <c r="G27813" s="13"/>
    </row>
    <row r="27814" spans="4:7" x14ac:dyDescent="0.3">
      <c r="D27814" s="1"/>
      <c r="G27814" s="13"/>
    </row>
    <row r="27815" spans="4:7" x14ac:dyDescent="0.3">
      <c r="D27815" s="1"/>
      <c r="G27815" s="13"/>
    </row>
    <row r="27816" spans="4:7" x14ac:dyDescent="0.3">
      <c r="D27816" s="1"/>
      <c r="G27816" s="13"/>
    </row>
    <row r="27817" spans="4:7" x14ac:dyDescent="0.3">
      <c r="D27817" s="1"/>
      <c r="G27817" s="13"/>
    </row>
    <row r="27818" spans="4:7" x14ac:dyDescent="0.3">
      <c r="D27818" s="1"/>
      <c r="G27818" s="13"/>
    </row>
    <row r="27819" spans="4:7" x14ac:dyDescent="0.3">
      <c r="D27819" s="1"/>
      <c r="G27819" s="13"/>
    </row>
    <row r="27820" spans="4:7" x14ac:dyDescent="0.3">
      <c r="D27820" s="1"/>
      <c r="G27820" s="13"/>
    </row>
    <row r="27821" spans="4:7" x14ac:dyDescent="0.3">
      <c r="D27821" s="1"/>
      <c r="G27821" s="13"/>
    </row>
    <row r="27822" spans="4:7" x14ac:dyDescent="0.3">
      <c r="D27822" s="1"/>
      <c r="G27822" s="13"/>
    </row>
    <row r="27823" spans="4:7" x14ac:dyDescent="0.3">
      <c r="D27823" s="1"/>
      <c r="G27823" s="13"/>
    </row>
    <row r="27824" spans="4:7" x14ac:dyDescent="0.3">
      <c r="D27824" s="1"/>
      <c r="G27824" s="13"/>
    </row>
    <row r="27825" spans="4:7" x14ac:dyDescent="0.3">
      <c r="D27825" s="1"/>
      <c r="G27825" s="13"/>
    </row>
    <row r="27826" spans="4:7" x14ac:dyDescent="0.3">
      <c r="D27826" s="1"/>
      <c r="G27826" s="13"/>
    </row>
    <row r="27827" spans="4:7" x14ac:dyDescent="0.3">
      <c r="D27827" s="1"/>
      <c r="G27827" s="13"/>
    </row>
    <row r="27828" spans="4:7" x14ac:dyDescent="0.3">
      <c r="D27828" s="1"/>
      <c r="G27828" s="13"/>
    </row>
    <row r="27829" spans="4:7" x14ac:dyDescent="0.3">
      <c r="D27829" s="1"/>
      <c r="G27829" s="13"/>
    </row>
    <row r="27830" spans="4:7" x14ac:dyDescent="0.3">
      <c r="D27830" s="1"/>
      <c r="G27830" s="13"/>
    </row>
    <row r="27831" spans="4:7" x14ac:dyDescent="0.3">
      <c r="D27831" s="1"/>
      <c r="G27831" s="13"/>
    </row>
    <row r="27832" spans="4:7" x14ac:dyDescent="0.3">
      <c r="D27832" s="1"/>
      <c r="G27832" s="13"/>
    </row>
    <row r="27833" spans="4:7" x14ac:dyDescent="0.3">
      <c r="D27833" s="1"/>
      <c r="G27833" s="13"/>
    </row>
    <row r="27834" spans="4:7" x14ac:dyDescent="0.3">
      <c r="D27834" s="1"/>
      <c r="G27834" s="13"/>
    </row>
    <row r="27835" spans="4:7" x14ac:dyDescent="0.3">
      <c r="D27835" s="1"/>
      <c r="G27835" s="13"/>
    </row>
    <row r="27836" spans="4:7" x14ac:dyDescent="0.3">
      <c r="D27836" s="1"/>
      <c r="G27836" s="13"/>
    </row>
    <row r="27837" spans="4:7" x14ac:dyDescent="0.3">
      <c r="D27837" s="1"/>
      <c r="G27837" s="13"/>
    </row>
    <row r="27838" spans="4:7" x14ac:dyDescent="0.3">
      <c r="D27838" s="1"/>
      <c r="G27838" s="13"/>
    </row>
    <row r="27839" spans="4:7" x14ac:dyDescent="0.3">
      <c r="D27839" s="1"/>
      <c r="G27839" s="13"/>
    </row>
    <row r="27840" spans="4:7" x14ac:dyDescent="0.3">
      <c r="D27840" s="1"/>
      <c r="G27840" s="13"/>
    </row>
    <row r="27841" spans="4:7" x14ac:dyDescent="0.3">
      <c r="D27841" s="1"/>
      <c r="G27841" s="13"/>
    </row>
    <row r="27842" spans="4:7" x14ac:dyDescent="0.3">
      <c r="D27842" s="1"/>
      <c r="G27842" s="13"/>
    </row>
    <row r="27843" spans="4:7" x14ac:dyDescent="0.3">
      <c r="D27843" s="1"/>
      <c r="G27843" s="13"/>
    </row>
    <row r="27844" spans="4:7" x14ac:dyDescent="0.3">
      <c r="D27844" s="1"/>
      <c r="G27844" s="13"/>
    </row>
    <row r="27845" spans="4:7" x14ac:dyDescent="0.3">
      <c r="D27845" s="1"/>
      <c r="G27845" s="13"/>
    </row>
    <row r="27846" spans="4:7" x14ac:dyDescent="0.3">
      <c r="D27846" s="1"/>
      <c r="G27846" s="13"/>
    </row>
    <row r="27847" spans="4:7" x14ac:dyDescent="0.3">
      <c r="D27847" s="1"/>
      <c r="G27847" s="13"/>
    </row>
    <row r="27848" spans="4:7" x14ac:dyDescent="0.3">
      <c r="D27848" s="1"/>
      <c r="G27848" s="13"/>
    </row>
    <row r="27849" spans="4:7" x14ac:dyDescent="0.3">
      <c r="D27849" s="1"/>
      <c r="G27849" s="13"/>
    </row>
    <row r="27850" spans="4:7" x14ac:dyDescent="0.3">
      <c r="D27850" s="1"/>
      <c r="G27850" s="13"/>
    </row>
    <row r="27851" spans="4:7" x14ac:dyDescent="0.3">
      <c r="D27851" s="1"/>
      <c r="G27851" s="13"/>
    </row>
    <row r="27852" spans="4:7" x14ac:dyDescent="0.3">
      <c r="D27852" s="1"/>
      <c r="G27852" s="13"/>
    </row>
    <row r="27853" spans="4:7" x14ac:dyDescent="0.3">
      <c r="D27853" s="1"/>
      <c r="G27853" s="13"/>
    </row>
    <row r="27854" spans="4:7" x14ac:dyDescent="0.3">
      <c r="D27854" s="1"/>
      <c r="G27854" s="13"/>
    </row>
    <row r="27855" spans="4:7" x14ac:dyDescent="0.3">
      <c r="D27855" s="1"/>
      <c r="G27855" s="13"/>
    </row>
    <row r="27856" spans="4:7" x14ac:dyDescent="0.3">
      <c r="D27856" s="1"/>
      <c r="G27856" s="13"/>
    </row>
    <row r="27857" spans="4:7" x14ac:dyDescent="0.3">
      <c r="D27857" s="1"/>
      <c r="G27857" s="13"/>
    </row>
    <row r="27858" spans="4:7" x14ac:dyDescent="0.3">
      <c r="D27858" s="1"/>
      <c r="G27858" s="13"/>
    </row>
    <row r="27859" spans="4:7" x14ac:dyDescent="0.3">
      <c r="D27859" s="1"/>
      <c r="G27859" s="13"/>
    </row>
    <row r="27860" spans="4:7" x14ac:dyDescent="0.3">
      <c r="D27860" s="1"/>
      <c r="G27860" s="13"/>
    </row>
    <row r="27861" spans="4:7" x14ac:dyDescent="0.3">
      <c r="D27861" s="1"/>
      <c r="G27861" s="13"/>
    </row>
    <row r="27862" spans="4:7" x14ac:dyDescent="0.3">
      <c r="D27862" s="1"/>
      <c r="G27862" s="13"/>
    </row>
    <row r="27863" spans="4:7" x14ac:dyDescent="0.3">
      <c r="D27863" s="1"/>
      <c r="G27863" s="13"/>
    </row>
    <row r="27864" spans="4:7" x14ac:dyDescent="0.3">
      <c r="D27864" s="1"/>
      <c r="G27864" s="13"/>
    </row>
    <row r="27865" spans="4:7" x14ac:dyDescent="0.3">
      <c r="D27865" s="1"/>
      <c r="G27865" s="13"/>
    </row>
    <row r="27866" spans="4:7" x14ac:dyDescent="0.3">
      <c r="D27866" s="1"/>
      <c r="G27866" s="13"/>
    </row>
    <row r="27867" spans="4:7" x14ac:dyDescent="0.3">
      <c r="D27867" s="1"/>
      <c r="G27867" s="13"/>
    </row>
    <row r="27868" spans="4:7" x14ac:dyDescent="0.3">
      <c r="D27868" s="1"/>
      <c r="G27868" s="13"/>
    </row>
    <row r="27869" spans="4:7" x14ac:dyDescent="0.3">
      <c r="D27869" s="1"/>
      <c r="G27869" s="13"/>
    </row>
    <row r="27870" spans="4:7" x14ac:dyDescent="0.3">
      <c r="D27870" s="1"/>
      <c r="G27870" s="13"/>
    </row>
    <row r="27871" spans="4:7" x14ac:dyDescent="0.3">
      <c r="D27871" s="1"/>
      <c r="G27871" s="13"/>
    </row>
    <row r="27872" spans="4:7" x14ac:dyDescent="0.3">
      <c r="D27872" s="1"/>
      <c r="G27872" s="13"/>
    </row>
    <row r="27873" spans="4:7" x14ac:dyDescent="0.3">
      <c r="D27873" s="1"/>
      <c r="G27873" s="13"/>
    </row>
    <row r="27874" spans="4:7" x14ac:dyDescent="0.3">
      <c r="D27874" s="1"/>
      <c r="G27874" s="13"/>
    </row>
    <row r="27875" spans="4:7" x14ac:dyDescent="0.3">
      <c r="D27875" s="1"/>
      <c r="G27875" s="13"/>
    </row>
    <row r="27876" spans="4:7" x14ac:dyDescent="0.3">
      <c r="D27876" s="1"/>
      <c r="G27876" s="13"/>
    </row>
    <row r="27877" spans="4:7" x14ac:dyDescent="0.3">
      <c r="D27877" s="1"/>
      <c r="G27877" s="13"/>
    </row>
    <row r="27878" spans="4:7" x14ac:dyDescent="0.3">
      <c r="D27878" s="1"/>
      <c r="G27878" s="13"/>
    </row>
    <row r="27879" spans="4:7" x14ac:dyDescent="0.3">
      <c r="D27879" s="1"/>
      <c r="G27879" s="13"/>
    </row>
    <row r="27880" spans="4:7" x14ac:dyDescent="0.3">
      <c r="D27880" s="1"/>
      <c r="G27880" s="13"/>
    </row>
    <row r="27881" spans="4:7" x14ac:dyDescent="0.3">
      <c r="D27881" s="1"/>
      <c r="G27881" s="13"/>
    </row>
    <row r="27882" spans="4:7" x14ac:dyDescent="0.3">
      <c r="D27882" s="1"/>
      <c r="G27882" s="13"/>
    </row>
    <row r="27883" spans="4:7" x14ac:dyDescent="0.3">
      <c r="D27883" s="1"/>
      <c r="G27883" s="13"/>
    </row>
    <row r="27884" spans="4:7" x14ac:dyDescent="0.3">
      <c r="D27884" s="1"/>
      <c r="G27884" s="13"/>
    </row>
    <row r="27885" spans="4:7" x14ac:dyDescent="0.3">
      <c r="D27885" s="1"/>
      <c r="G27885" s="13"/>
    </row>
    <row r="27886" spans="4:7" x14ac:dyDescent="0.3">
      <c r="D27886" s="1"/>
      <c r="G27886" s="13"/>
    </row>
    <row r="27887" spans="4:7" x14ac:dyDescent="0.3">
      <c r="D27887" s="1"/>
      <c r="G27887" s="13"/>
    </row>
    <row r="27888" spans="4:7" x14ac:dyDescent="0.3">
      <c r="D27888" s="1"/>
      <c r="G27888" s="13"/>
    </row>
    <row r="27889" spans="4:7" x14ac:dyDescent="0.3">
      <c r="D27889" s="1"/>
      <c r="G27889" s="13"/>
    </row>
    <row r="27890" spans="4:7" x14ac:dyDescent="0.3">
      <c r="D27890" s="1"/>
      <c r="G27890" s="13"/>
    </row>
    <row r="27891" spans="4:7" x14ac:dyDescent="0.3">
      <c r="D27891" s="1"/>
      <c r="G27891" s="13"/>
    </row>
    <row r="27892" spans="4:7" x14ac:dyDescent="0.3">
      <c r="D27892" s="1"/>
      <c r="G27892" s="13"/>
    </row>
    <row r="27893" spans="4:7" x14ac:dyDescent="0.3">
      <c r="D27893" s="1"/>
      <c r="G27893" s="13"/>
    </row>
    <row r="27894" spans="4:7" x14ac:dyDescent="0.3">
      <c r="D27894" s="1"/>
      <c r="G27894" s="13"/>
    </row>
    <row r="27895" spans="4:7" x14ac:dyDescent="0.3">
      <c r="D27895" s="1"/>
      <c r="G27895" s="13"/>
    </row>
    <row r="27896" spans="4:7" x14ac:dyDescent="0.3">
      <c r="D27896" s="1"/>
      <c r="G27896" s="13"/>
    </row>
    <row r="27897" spans="4:7" x14ac:dyDescent="0.3">
      <c r="D27897" s="1"/>
      <c r="G27897" s="13"/>
    </row>
    <row r="27898" spans="4:7" x14ac:dyDescent="0.3">
      <c r="D27898" s="1"/>
      <c r="G27898" s="13"/>
    </row>
    <row r="27899" spans="4:7" x14ac:dyDescent="0.3">
      <c r="D27899" s="1"/>
      <c r="G27899" s="13"/>
    </row>
    <row r="27900" spans="4:7" x14ac:dyDescent="0.3">
      <c r="D27900" s="1"/>
      <c r="G27900" s="13"/>
    </row>
    <row r="27901" spans="4:7" x14ac:dyDescent="0.3">
      <c r="D27901" s="1"/>
      <c r="G27901" s="13"/>
    </row>
    <row r="27902" spans="4:7" x14ac:dyDescent="0.3">
      <c r="D27902" s="1"/>
      <c r="G27902" s="13"/>
    </row>
    <row r="27903" spans="4:7" x14ac:dyDescent="0.3">
      <c r="D27903" s="1"/>
      <c r="G27903" s="13"/>
    </row>
    <row r="27904" spans="4:7" x14ac:dyDescent="0.3">
      <c r="D27904" s="1"/>
      <c r="G27904" s="13"/>
    </row>
    <row r="27905" spans="4:7" x14ac:dyDescent="0.3">
      <c r="D27905" s="1"/>
      <c r="G27905" s="13"/>
    </row>
    <row r="27906" spans="4:7" x14ac:dyDescent="0.3">
      <c r="D27906" s="1"/>
      <c r="G27906" s="13"/>
    </row>
    <row r="27907" spans="4:7" x14ac:dyDescent="0.3">
      <c r="D27907" s="1"/>
      <c r="G27907" s="13"/>
    </row>
    <row r="27908" spans="4:7" x14ac:dyDescent="0.3">
      <c r="D27908" s="1"/>
      <c r="G27908" s="13"/>
    </row>
    <row r="27909" spans="4:7" x14ac:dyDescent="0.3">
      <c r="D27909" s="1"/>
      <c r="G27909" s="13"/>
    </row>
    <row r="27910" spans="4:7" x14ac:dyDescent="0.3">
      <c r="D27910" s="1"/>
      <c r="G27910" s="13"/>
    </row>
    <row r="27911" spans="4:7" x14ac:dyDescent="0.3">
      <c r="D27911" s="1"/>
      <c r="G27911" s="13"/>
    </row>
    <row r="27912" spans="4:7" x14ac:dyDescent="0.3">
      <c r="D27912" s="1"/>
      <c r="G27912" s="13"/>
    </row>
    <row r="27913" spans="4:7" x14ac:dyDescent="0.3">
      <c r="D27913" s="1"/>
      <c r="G27913" s="13"/>
    </row>
    <row r="27914" spans="4:7" x14ac:dyDescent="0.3">
      <c r="D27914" s="1"/>
      <c r="G27914" s="13"/>
    </row>
    <row r="27915" spans="4:7" x14ac:dyDescent="0.3">
      <c r="D27915" s="1"/>
      <c r="G27915" s="13"/>
    </row>
    <row r="27916" spans="4:7" x14ac:dyDescent="0.3">
      <c r="D27916" s="1"/>
      <c r="G27916" s="13"/>
    </row>
    <row r="27917" spans="4:7" x14ac:dyDescent="0.3">
      <c r="D27917" s="1"/>
      <c r="G27917" s="13"/>
    </row>
    <row r="27918" spans="4:7" x14ac:dyDescent="0.3">
      <c r="D27918" s="1"/>
      <c r="G27918" s="13"/>
    </row>
    <row r="27919" spans="4:7" x14ac:dyDescent="0.3">
      <c r="D27919" s="1"/>
      <c r="G27919" s="13"/>
    </row>
    <row r="27920" spans="4:7" x14ac:dyDescent="0.3">
      <c r="D27920" s="1"/>
      <c r="G27920" s="13"/>
    </row>
    <row r="27921" spans="4:7" x14ac:dyDescent="0.3">
      <c r="D27921" s="1"/>
      <c r="G27921" s="13"/>
    </row>
    <row r="27922" spans="4:7" x14ac:dyDescent="0.3">
      <c r="D27922" s="1"/>
      <c r="G27922" s="13"/>
    </row>
    <row r="27923" spans="4:7" x14ac:dyDescent="0.3">
      <c r="D27923" s="1"/>
      <c r="G27923" s="13"/>
    </row>
    <row r="27924" spans="4:7" x14ac:dyDescent="0.3">
      <c r="D27924" s="1"/>
      <c r="G27924" s="13"/>
    </row>
    <row r="27925" spans="4:7" x14ac:dyDescent="0.3">
      <c r="D27925" s="1"/>
      <c r="G27925" s="13"/>
    </row>
    <row r="27926" spans="4:7" x14ac:dyDescent="0.3">
      <c r="D27926" s="1"/>
      <c r="G27926" s="13"/>
    </row>
    <row r="27927" spans="4:7" x14ac:dyDescent="0.3">
      <c r="D27927" s="1"/>
      <c r="G27927" s="13"/>
    </row>
    <row r="27928" spans="4:7" x14ac:dyDescent="0.3">
      <c r="D27928" s="1"/>
      <c r="G27928" s="13"/>
    </row>
    <row r="27929" spans="4:7" x14ac:dyDescent="0.3">
      <c r="D27929" s="1"/>
      <c r="G27929" s="13"/>
    </row>
    <row r="27930" spans="4:7" x14ac:dyDescent="0.3">
      <c r="D27930" s="1"/>
      <c r="G27930" s="13"/>
    </row>
    <row r="27931" spans="4:7" x14ac:dyDescent="0.3">
      <c r="D27931" s="1"/>
      <c r="G27931" s="13"/>
    </row>
    <row r="27932" spans="4:7" x14ac:dyDescent="0.3">
      <c r="D27932" s="1"/>
      <c r="G27932" s="13"/>
    </row>
    <row r="27933" spans="4:7" x14ac:dyDescent="0.3">
      <c r="D27933" s="1"/>
      <c r="G27933" s="13"/>
    </row>
    <row r="27934" spans="4:7" x14ac:dyDescent="0.3">
      <c r="D27934" s="1"/>
      <c r="G27934" s="13"/>
    </row>
    <row r="27935" spans="4:7" x14ac:dyDescent="0.3">
      <c r="D27935" s="1"/>
      <c r="G27935" s="13"/>
    </row>
    <row r="27936" spans="4:7" x14ac:dyDescent="0.3">
      <c r="D27936" s="1"/>
      <c r="G27936" s="13"/>
    </row>
    <row r="27937" spans="4:7" x14ac:dyDescent="0.3">
      <c r="D27937" s="1"/>
      <c r="G27937" s="13"/>
    </row>
    <row r="27938" spans="4:7" x14ac:dyDescent="0.3">
      <c r="D27938" s="1"/>
    </row>
    <row r="27939" spans="4:7" x14ac:dyDescent="0.3">
      <c r="D27939" s="1"/>
      <c r="G27939" s="13"/>
    </row>
    <row r="27940" spans="4:7" x14ac:dyDescent="0.3">
      <c r="D27940" s="1"/>
      <c r="G27940" s="13"/>
    </row>
    <row r="27941" spans="4:7" x14ac:dyDescent="0.3">
      <c r="D27941" s="1"/>
      <c r="G27941" s="13"/>
    </row>
    <row r="27942" spans="4:7" x14ac:dyDescent="0.3">
      <c r="D27942" s="1"/>
      <c r="G27942" s="13"/>
    </row>
    <row r="27943" spans="4:7" x14ac:dyDescent="0.3">
      <c r="D27943" s="1"/>
      <c r="G27943" s="13"/>
    </row>
    <row r="27944" spans="4:7" x14ac:dyDescent="0.3">
      <c r="D27944" s="1"/>
      <c r="G27944" s="13"/>
    </row>
    <row r="27945" spans="4:7" x14ac:dyDescent="0.3">
      <c r="D27945" s="1"/>
      <c r="G27945" s="13"/>
    </row>
    <row r="27946" spans="4:7" x14ac:dyDescent="0.3">
      <c r="D27946" s="1"/>
      <c r="G27946" s="13"/>
    </row>
    <row r="27947" spans="4:7" x14ac:dyDescent="0.3">
      <c r="D27947" s="1"/>
      <c r="G27947" s="13"/>
    </row>
    <row r="27948" spans="4:7" x14ac:dyDescent="0.3">
      <c r="D27948" s="1"/>
      <c r="G27948" s="13"/>
    </row>
    <row r="27949" spans="4:7" x14ac:dyDescent="0.3">
      <c r="D27949" s="1"/>
      <c r="G27949" s="13"/>
    </row>
    <row r="27950" spans="4:7" x14ac:dyDescent="0.3">
      <c r="D27950" s="1"/>
      <c r="G27950" s="13"/>
    </row>
    <row r="27951" spans="4:7" x14ac:dyDescent="0.3">
      <c r="D27951" s="1"/>
      <c r="G27951" s="13"/>
    </row>
    <row r="27952" spans="4:7" x14ac:dyDescent="0.3">
      <c r="D27952" s="1"/>
      <c r="G27952" s="13"/>
    </row>
    <row r="27953" spans="4:7" x14ac:dyDescent="0.3">
      <c r="D27953" s="1"/>
      <c r="G27953" s="13"/>
    </row>
    <row r="27954" spans="4:7" x14ac:dyDescent="0.3">
      <c r="D27954" s="1"/>
      <c r="G27954" s="13"/>
    </row>
    <row r="27955" spans="4:7" x14ac:dyDescent="0.3">
      <c r="D27955" s="1"/>
      <c r="G27955" s="13"/>
    </row>
    <row r="27956" spans="4:7" x14ac:dyDescent="0.3">
      <c r="D27956" s="1"/>
      <c r="G27956" s="13"/>
    </row>
    <row r="27957" spans="4:7" x14ac:dyDescent="0.3">
      <c r="D27957" s="1"/>
      <c r="G27957" s="13"/>
    </row>
    <row r="27958" spans="4:7" x14ac:dyDescent="0.3">
      <c r="D27958" s="1"/>
      <c r="G27958" s="13"/>
    </row>
    <row r="27959" spans="4:7" x14ac:dyDescent="0.3">
      <c r="D27959" s="1"/>
      <c r="G27959" s="13"/>
    </row>
    <row r="27960" spans="4:7" x14ac:dyDescent="0.3">
      <c r="D27960" s="1"/>
      <c r="G27960" s="13"/>
    </row>
    <row r="27961" spans="4:7" x14ac:dyDescent="0.3">
      <c r="D27961" s="1"/>
      <c r="G27961" s="13"/>
    </row>
    <row r="27962" spans="4:7" x14ac:dyDescent="0.3">
      <c r="D27962" s="1"/>
      <c r="G27962" s="13"/>
    </row>
    <row r="27963" spans="4:7" x14ac:dyDescent="0.3">
      <c r="D27963" s="1"/>
      <c r="G27963" s="13"/>
    </row>
    <row r="27964" spans="4:7" x14ac:dyDescent="0.3">
      <c r="D27964" s="1"/>
      <c r="G27964" s="13"/>
    </row>
    <row r="27965" spans="4:7" x14ac:dyDescent="0.3">
      <c r="D27965" s="1"/>
      <c r="G27965" s="13"/>
    </row>
    <row r="27966" spans="4:7" x14ac:dyDescent="0.3">
      <c r="D27966" s="1"/>
      <c r="G27966" s="13"/>
    </row>
    <row r="27967" spans="4:7" x14ac:dyDescent="0.3">
      <c r="D27967" s="1"/>
      <c r="G27967" s="13"/>
    </row>
    <row r="27968" spans="4:7" x14ac:dyDescent="0.3">
      <c r="D27968" s="1"/>
      <c r="G27968" s="13"/>
    </row>
    <row r="27969" spans="4:7" x14ac:dyDescent="0.3">
      <c r="D27969" s="1"/>
      <c r="G27969" s="13"/>
    </row>
    <row r="27970" spans="4:7" x14ac:dyDescent="0.3">
      <c r="D27970" s="1"/>
      <c r="G27970" s="13"/>
    </row>
    <row r="27971" spans="4:7" x14ac:dyDescent="0.3">
      <c r="D27971" s="1"/>
      <c r="G27971" s="13"/>
    </row>
    <row r="27972" spans="4:7" x14ac:dyDescent="0.3">
      <c r="D27972" s="1"/>
      <c r="G27972" s="13"/>
    </row>
    <row r="27973" spans="4:7" x14ac:dyDescent="0.3">
      <c r="D27973" s="1"/>
      <c r="G27973" s="13"/>
    </row>
    <row r="27974" spans="4:7" x14ac:dyDescent="0.3">
      <c r="D27974" s="1"/>
      <c r="G27974" s="13"/>
    </row>
    <row r="27975" spans="4:7" x14ac:dyDescent="0.3">
      <c r="D27975" s="1"/>
      <c r="G27975" s="13"/>
    </row>
    <row r="27976" spans="4:7" x14ac:dyDescent="0.3">
      <c r="D27976" s="1"/>
      <c r="G27976" s="13"/>
    </row>
    <row r="27977" spans="4:7" x14ac:dyDescent="0.3">
      <c r="D27977" s="1"/>
      <c r="G27977" s="13"/>
    </row>
    <row r="27978" spans="4:7" x14ac:dyDescent="0.3">
      <c r="D27978" s="1"/>
      <c r="G27978" s="13"/>
    </row>
    <row r="27979" spans="4:7" x14ac:dyDescent="0.3">
      <c r="D27979" s="1"/>
      <c r="G27979" s="13"/>
    </row>
    <row r="27980" spans="4:7" x14ac:dyDescent="0.3">
      <c r="D27980" s="1"/>
      <c r="G27980" s="13"/>
    </row>
    <row r="27981" spans="4:7" x14ac:dyDescent="0.3">
      <c r="D27981" s="1"/>
      <c r="G27981" s="13"/>
    </row>
    <row r="27982" spans="4:7" x14ac:dyDescent="0.3">
      <c r="D27982" s="1"/>
      <c r="G27982" s="13"/>
    </row>
    <row r="27983" spans="4:7" x14ac:dyDescent="0.3">
      <c r="D27983" s="1"/>
      <c r="G27983" s="13"/>
    </row>
    <row r="27984" spans="4:7" x14ac:dyDescent="0.3">
      <c r="D27984" s="1"/>
      <c r="G27984" s="13"/>
    </row>
    <row r="27985" spans="4:7" x14ac:dyDescent="0.3">
      <c r="D27985" s="1"/>
      <c r="G27985" s="13"/>
    </row>
    <row r="27986" spans="4:7" x14ac:dyDescent="0.3">
      <c r="D27986" s="1"/>
      <c r="G27986" s="13"/>
    </row>
    <row r="27987" spans="4:7" x14ac:dyDescent="0.3">
      <c r="D27987" s="1"/>
      <c r="G27987" s="13"/>
    </row>
    <row r="27988" spans="4:7" x14ac:dyDescent="0.3">
      <c r="D27988" s="1"/>
      <c r="G27988" s="13"/>
    </row>
    <row r="27989" spans="4:7" x14ac:dyDescent="0.3">
      <c r="D27989" s="1"/>
      <c r="G27989" s="13"/>
    </row>
    <row r="27990" spans="4:7" x14ac:dyDescent="0.3">
      <c r="D27990" s="1"/>
      <c r="G27990" s="13"/>
    </row>
    <row r="27991" spans="4:7" x14ac:dyDescent="0.3">
      <c r="D27991" s="1"/>
      <c r="G27991" s="13"/>
    </row>
    <row r="27992" spans="4:7" x14ac:dyDescent="0.3">
      <c r="D27992" s="1"/>
      <c r="G27992" s="13"/>
    </row>
    <row r="27993" spans="4:7" x14ac:dyDescent="0.3">
      <c r="D27993" s="1"/>
      <c r="G27993" s="13"/>
    </row>
    <row r="27994" spans="4:7" x14ac:dyDescent="0.3">
      <c r="D27994" s="1"/>
      <c r="G27994" s="13"/>
    </row>
    <row r="27995" spans="4:7" x14ac:dyDescent="0.3">
      <c r="D27995" s="1"/>
      <c r="G27995" s="13"/>
    </row>
    <row r="27996" spans="4:7" x14ac:dyDescent="0.3">
      <c r="D27996" s="1"/>
      <c r="G27996" s="13"/>
    </row>
    <row r="27997" spans="4:7" x14ac:dyDescent="0.3">
      <c r="D27997" s="1"/>
      <c r="G27997" s="13"/>
    </row>
    <row r="27998" spans="4:7" x14ac:dyDescent="0.3">
      <c r="D27998" s="1"/>
      <c r="G27998" s="13"/>
    </row>
    <row r="27999" spans="4:7" x14ac:dyDescent="0.3">
      <c r="D27999" s="1"/>
      <c r="G27999" s="13"/>
    </row>
    <row r="28000" spans="4:7" x14ac:dyDescent="0.3">
      <c r="D28000" s="1"/>
      <c r="G28000" s="13"/>
    </row>
    <row r="28001" spans="4:7" x14ac:dyDescent="0.3">
      <c r="D28001" s="1"/>
      <c r="G28001" s="13"/>
    </row>
    <row r="28002" spans="4:7" x14ac:dyDescent="0.3">
      <c r="D28002" s="1"/>
      <c r="G28002" s="13"/>
    </row>
    <row r="28003" spans="4:7" x14ac:dyDescent="0.3">
      <c r="D28003" s="1"/>
      <c r="G28003" s="13"/>
    </row>
    <row r="28004" spans="4:7" x14ac:dyDescent="0.3">
      <c r="D28004" s="1"/>
      <c r="G28004" s="13"/>
    </row>
    <row r="28005" spans="4:7" x14ac:dyDescent="0.3">
      <c r="D28005" s="1"/>
      <c r="G28005" s="13"/>
    </row>
    <row r="28006" spans="4:7" x14ac:dyDescent="0.3">
      <c r="D28006" s="1"/>
      <c r="G28006" s="13"/>
    </row>
    <row r="28007" spans="4:7" x14ac:dyDescent="0.3">
      <c r="D28007" s="1"/>
      <c r="G28007" s="13"/>
    </row>
    <row r="28008" spans="4:7" x14ac:dyDescent="0.3">
      <c r="D28008" s="1"/>
      <c r="G28008" s="13"/>
    </row>
    <row r="28009" spans="4:7" x14ac:dyDescent="0.3">
      <c r="D28009" s="1"/>
      <c r="G28009" s="13"/>
    </row>
    <row r="28010" spans="4:7" x14ac:dyDescent="0.3">
      <c r="D28010" s="1"/>
      <c r="G28010" s="13"/>
    </row>
    <row r="28011" spans="4:7" x14ac:dyDescent="0.3">
      <c r="D28011" s="1"/>
      <c r="G28011" s="13"/>
    </row>
    <row r="28012" spans="4:7" x14ac:dyDescent="0.3">
      <c r="D28012" s="1"/>
      <c r="G28012" s="13"/>
    </row>
    <row r="28013" spans="4:7" x14ac:dyDescent="0.3">
      <c r="D28013" s="1"/>
      <c r="G28013" s="13"/>
    </row>
    <row r="28014" spans="4:7" x14ac:dyDescent="0.3">
      <c r="D28014" s="1"/>
      <c r="G28014" s="13"/>
    </row>
    <row r="28015" spans="4:7" x14ac:dyDescent="0.3">
      <c r="D28015" s="1"/>
      <c r="G28015" s="13"/>
    </row>
    <row r="28016" spans="4:7" x14ac:dyDescent="0.3">
      <c r="D28016" s="1"/>
      <c r="G28016" s="13"/>
    </row>
    <row r="28017" spans="4:7" x14ac:dyDescent="0.3">
      <c r="D28017" s="1"/>
      <c r="G28017" s="13"/>
    </row>
    <row r="28018" spans="4:7" x14ac:dyDescent="0.3">
      <c r="D28018" s="1"/>
      <c r="G28018" s="13"/>
    </row>
    <row r="28019" spans="4:7" x14ac:dyDescent="0.3">
      <c r="D28019" s="1"/>
      <c r="G28019" s="13"/>
    </row>
    <row r="28020" spans="4:7" x14ac:dyDescent="0.3">
      <c r="D28020" s="1"/>
      <c r="G28020" s="13"/>
    </row>
    <row r="28021" spans="4:7" x14ac:dyDescent="0.3">
      <c r="D28021" s="1"/>
      <c r="G28021" s="13"/>
    </row>
    <row r="28022" spans="4:7" x14ac:dyDescent="0.3">
      <c r="D28022" s="1"/>
      <c r="G28022" s="13"/>
    </row>
    <row r="28023" spans="4:7" x14ac:dyDescent="0.3">
      <c r="D28023" s="1"/>
      <c r="G28023" s="13"/>
    </row>
    <row r="28024" spans="4:7" x14ac:dyDescent="0.3">
      <c r="D28024" s="1"/>
      <c r="G28024" s="13"/>
    </row>
    <row r="28025" spans="4:7" x14ac:dyDescent="0.3">
      <c r="D28025" s="1"/>
      <c r="G28025" s="13"/>
    </row>
    <row r="28026" spans="4:7" x14ac:dyDescent="0.3">
      <c r="D28026" s="1"/>
      <c r="G28026" s="13"/>
    </row>
    <row r="28027" spans="4:7" x14ac:dyDescent="0.3">
      <c r="D28027" s="1"/>
      <c r="G28027" s="13"/>
    </row>
    <row r="28028" spans="4:7" x14ac:dyDescent="0.3">
      <c r="D28028" s="1"/>
      <c r="G28028" s="13"/>
    </row>
    <row r="28029" spans="4:7" x14ac:dyDescent="0.3">
      <c r="D28029" s="1"/>
      <c r="G28029" s="13"/>
    </row>
    <row r="28030" spans="4:7" x14ac:dyDescent="0.3">
      <c r="D28030" s="1"/>
      <c r="G28030" s="13"/>
    </row>
    <row r="28031" spans="4:7" x14ac:dyDescent="0.3">
      <c r="D28031" s="1"/>
      <c r="G28031" s="13"/>
    </row>
    <row r="28032" spans="4:7" x14ac:dyDescent="0.3">
      <c r="D28032" s="1"/>
      <c r="G28032" s="13"/>
    </row>
    <row r="28033" spans="4:7" x14ac:dyDescent="0.3">
      <c r="D28033" s="1"/>
      <c r="G28033" s="13"/>
    </row>
    <row r="28034" spans="4:7" x14ac:dyDescent="0.3">
      <c r="D28034" s="1"/>
      <c r="G28034" s="13"/>
    </row>
    <row r="28035" spans="4:7" x14ac:dyDescent="0.3">
      <c r="D28035" s="1"/>
      <c r="G28035" s="13"/>
    </row>
    <row r="28036" spans="4:7" x14ac:dyDescent="0.3">
      <c r="D28036" s="1"/>
      <c r="G28036" s="13"/>
    </row>
    <row r="28037" spans="4:7" x14ac:dyDescent="0.3">
      <c r="D28037" s="1"/>
      <c r="G28037" s="13"/>
    </row>
    <row r="28038" spans="4:7" x14ac:dyDescent="0.3">
      <c r="D28038" s="1"/>
      <c r="G28038" s="13"/>
    </row>
    <row r="28039" spans="4:7" x14ac:dyDescent="0.3">
      <c r="D28039" s="1"/>
      <c r="G28039" s="13"/>
    </row>
    <row r="28040" spans="4:7" x14ac:dyDescent="0.3">
      <c r="D28040" s="1"/>
      <c r="G28040" s="13"/>
    </row>
    <row r="28041" spans="4:7" x14ac:dyDescent="0.3">
      <c r="D28041" s="1"/>
      <c r="G28041" s="13"/>
    </row>
    <row r="28042" spans="4:7" x14ac:dyDescent="0.3">
      <c r="D28042" s="1"/>
      <c r="G28042" s="13"/>
    </row>
    <row r="28043" spans="4:7" x14ac:dyDescent="0.3">
      <c r="D28043" s="1"/>
      <c r="G28043" s="13"/>
    </row>
    <row r="28044" spans="4:7" x14ac:dyDescent="0.3">
      <c r="D28044" s="1"/>
      <c r="G28044" s="13"/>
    </row>
    <row r="28045" spans="4:7" x14ac:dyDescent="0.3">
      <c r="D28045" s="1"/>
      <c r="G28045" s="13"/>
    </row>
    <row r="28046" spans="4:7" x14ac:dyDescent="0.3">
      <c r="D28046" s="1"/>
      <c r="G28046" s="13"/>
    </row>
    <row r="28047" spans="4:7" x14ac:dyDescent="0.3">
      <c r="D28047" s="1"/>
      <c r="G28047" s="13"/>
    </row>
    <row r="28048" spans="4:7" x14ac:dyDescent="0.3">
      <c r="D28048" s="1"/>
      <c r="G28048" s="13"/>
    </row>
    <row r="28049" spans="4:7" x14ac:dyDescent="0.3">
      <c r="D28049" s="1"/>
      <c r="G28049" s="13"/>
    </row>
    <row r="28050" spans="4:7" x14ac:dyDescent="0.3">
      <c r="D28050" s="1"/>
      <c r="G28050" s="13"/>
    </row>
    <row r="28051" spans="4:7" x14ac:dyDescent="0.3">
      <c r="D28051" s="1"/>
      <c r="G28051" s="13"/>
    </row>
    <row r="28052" spans="4:7" x14ac:dyDescent="0.3">
      <c r="D28052" s="1"/>
      <c r="G28052" s="13"/>
    </row>
    <row r="28053" spans="4:7" x14ac:dyDescent="0.3">
      <c r="D28053" s="1"/>
      <c r="G28053" s="13"/>
    </row>
    <row r="28054" spans="4:7" x14ac:dyDescent="0.3">
      <c r="D28054" s="1"/>
      <c r="G28054" s="13"/>
    </row>
    <row r="28055" spans="4:7" x14ac:dyDescent="0.3">
      <c r="D28055" s="1"/>
      <c r="G28055" s="13"/>
    </row>
    <row r="28056" spans="4:7" x14ac:dyDescent="0.3">
      <c r="D28056" s="1"/>
      <c r="G28056" s="13"/>
    </row>
    <row r="28057" spans="4:7" x14ac:dyDescent="0.3">
      <c r="D28057" s="1"/>
      <c r="G28057" s="13"/>
    </row>
    <row r="28058" spans="4:7" x14ac:dyDescent="0.3">
      <c r="D28058" s="1"/>
      <c r="G28058" s="13"/>
    </row>
    <row r="28059" spans="4:7" x14ac:dyDescent="0.3">
      <c r="D28059" s="1"/>
      <c r="G28059" s="13"/>
    </row>
    <row r="28060" spans="4:7" x14ac:dyDescent="0.3">
      <c r="D28060" s="1"/>
      <c r="G28060" s="13"/>
    </row>
    <row r="28061" spans="4:7" x14ac:dyDescent="0.3">
      <c r="D28061" s="1"/>
    </row>
    <row r="28062" spans="4:7" x14ac:dyDescent="0.3">
      <c r="D28062" s="1"/>
      <c r="G28062" s="13"/>
    </row>
    <row r="28063" spans="4:7" x14ac:dyDescent="0.3">
      <c r="D28063" s="1"/>
      <c r="G28063" s="13"/>
    </row>
    <row r="28064" spans="4:7" x14ac:dyDescent="0.3">
      <c r="D28064" s="1"/>
      <c r="G28064" s="13"/>
    </row>
    <row r="28065" spans="4:7" x14ac:dyDescent="0.3">
      <c r="D28065" s="1"/>
      <c r="G28065" s="13"/>
    </row>
    <row r="28066" spans="4:7" x14ac:dyDescent="0.3">
      <c r="D28066" s="1"/>
      <c r="G28066" s="13"/>
    </row>
    <row r="28067" spans="4:7" x14ac:dyDescent="0.3">
      <c r="D28067" s="1"/>
      <c r="G28067" s="13"/>
    </row>
    <row r="28068" spans="4:7" x14ac:dyDescent="0.3">
      <c r="D28068" s="1"/>
      <c r="G28068" s="13"/>
    </row>
    <row r="28069" spans="4:7" x14ac:dyDescent="0.3">
      <c r="D28069" s="1"/>
      <c r="G28069" s="13"/>
    </row>
    <row r="28070" spans="4:7" x14ac:dyDescent="0.3">
      <c r="D28070" s="1"/>
      <c r="G28070" s="13"/>
    </row>
    <row r="28071" spans="4:7" x14ac:dyDescent="0.3">
      <c r="D28071" s="1"/>
      <c r="G28071" s="13"/>
    </row>
    <row r="28072" spans="4:7" x14ac:dyDescent="0.3">
      <c r="D28072" s="1"/>
      <c r="G28072" s="13"/>
    </row>
    <row r="28073" spans="4:7" x14ac:dyDescent="0.3">
      <c r="D28073" s="1"/>
      <c r="G28073" s="13"/>
    </row>
    <row r="28074" spans="4:7" x14ac:dyDescent="0.3">
      <c r="D28074" s="1"/>
      <c r="G28074" s="13"/>
    </row>
    <row r="28075" spans="4:7" x14ac:dyDescent="0.3">
      <c r="D28075" s="1"/>
      <c r="G28075" s="13"/>
    </row>
    <row r="28076" spans="4:7" x14ac:dyDescent="0.3">
      <c r="D28076" s="1"/>
      <c r="G28076" s="13"/>
    </row>
    <row r="28077" spans="4:7" x14ac:dyDescent="0.3">
      <c r="D28077" s="1"/>
      <c r="G28077" s="13"/>
    </row>
    <row r="28078" spans="4:7" x14ac:dyDescent="0.3">
      <c r="D28078" s="1"/>
      <c r="G28078" s="13"/>
    </row>
    <row r="28079" spans="4:7" x14ac:dyDescent="0.3">
      <c r="D28079" s="1"/>
      <c r="G28079" s="13"/>
    </row>
    <row r="28080" spans="4:7" x14ac:dyDescent="0.3">
      <c r="D28080" s="1"/>
      <c r="G28080" s="13"/>
    </row>
    <row r="28081" spans="4:7" x14ac:dyDescent="0.3">
      <c r="D28081" s="1"/>
      <c r="G28081" s="13"/>
    </row>
    <row r="28082" spans="4:7" x14ac:dyDescent="0.3">
      <c r="D28082" s="1"/>
      <c r="G28082" s="13"/>
    </row>
    <row r="28083" spans="4:7" x14ac:dyDescent="0.3">
      <c r="D28083" s="1"/>
      <c r="G28083" s="13"/>
    </row>
    <row r="28084" spans="4:7" x14ac:dyDescent="0.3">
      <c r="D28084" s="1"/>
      <c r="G28084" s="13"/>
    </row>
    <row r="28085" spans="4:7" x14ac:dyDescent="0.3">
      <c r="D28085" s="1"/>
      <c r="G28085" s="13"/>
    </row>
    <row r="28086" spans="4:7" x14ac:dyDescent="0.3">
      <c r="D28086" s="1"/>
      <c r="G28086" s="13"/>
    </row>
    <row r="28087" spans="4:7" x14ac:dyDescent="0.3">
      <c r="D28087" s="1"/>
      <c r="G28087" s="13"/>
    </row>
    <row r="28088" spans="4:7" x14ac:dyDescent="0.3">
      <c r="D28088" s="1"/>
      <c r="G28088" s="13"/>
    </row>
    <row r="28089" spans="4:7" x14ac:dyDescent="0.3">
      <c r="D28089" s="1"/>
      <c r="G28089" s="13"/>
    </row>
    <row r="28090" spans="4:7" x14ac:dyDescent="0.3">
      <c r="D28090" s="1"/>
      <c r="G28090" s="13"/>
    </row>
    <row r="28091" spans="4:7" x14ac:dyDescent="0.3">
      <c r="D28091" s="1"/>
      <c r="G28091" s="13"/>
    </row>
    <row r="28092" spans="4:7" x14ac:dyDescent="0.3">
      <c r="D28092" s="1"/>
      <c r="G28092" s="13"/>
    </row>
    <row r="28093" spans="4:7" x14ac:dyDescent="0.3">
      <c r="D28093" s="1"/>
      <c r="G28093" s="13"/>
    </row>
    <row r="28094" spans="4:7" x14ac:dyDescent="0.3">
      <c r="D28094" s="1"/>
      <c r="G28094" s="13"/>
    </row>
    <row r="28095" spans="4:7" x14ac:dyDescent="0.3">
      <c r="D28095" s="1"/>
      <c r="G28095" s="13"/>
    </row>
    <row r="28096" spans="4:7" x14ac:dyDescent="0.3">
      <c r="D28096" s="1"/>
      <c r="G28096" s="13"/>
    </row>
    <row r="28097" spans="4:7" x14ac:dyDescent="0.3">
      <c r="D28097" s="1"/>
      <c r="G28097" s="13"/>
    </row>
    <row r="28098" spans="4:7" x14ac:dyDescent="0.3">
      <c r="D28098" s="1"/>
      <c r="G28098" s="13"/>
    </row>
    <row r="28099" spans="4:7" x14ac:dyDescent="0.3">
      <c r="D28099" s="1"/>
      <c r="G28099" s="13"/>
    </row>
    <row r="28100" spans="4:7" x14ac:dyDescent="0.3">
      <c r="D28100" s="1"/>
      <c r="G28100" s="13"/>
    </row>
    <row r="28101" spans="4:7" x14ac:dyDescent="0.3">
      <c r="D28101" s="1"/>
      <c r="G28101" s="13"/>
    </row>
    <row r="28102" spans="4:7" x14ac:dyDescent="0.3">
      <c r="D28102" s="1"/>
      <c r="G28102" s="13"/>
    </row>
    <row r="28103" spans="4:7" x14ac:dyDescent="0.3">
      <c r="D28103" s="1"/>
      <c r="G28103" s="13"/>
    </row>
    <row r="28104" spans="4:7" x14ac:dyDescent="0.3">
      <c r="D28104" s="1"/>
      <c r="G28104" s="13"/>
    </row>
    <row r="28105" spans="4:7" x14ac:dyDescent="0.3">
      <c r="D28105" s="1"/>
      <c r="G28105" s="13"/>
    </row>
    <row r="28106" spans="4:7" x14ac:dyDescent="0.3">
      <c r="D28106" s="1"/>
      <c r="G28106" s="13"/>
    </row>
    <row r="28107" spans="4:7" x14ac:dyDescent="0.3">
      <c r="D28107" s="1"/>
      <c r="G28107" s="13"/>
    </row>
    <row r="28108" spans="4:7" x14ac:dyDescent="0.3">
      <c r="D28108" s="1"/>
      <c r="G28108" s="13"/>
    </row>
    <row r="28109" spans="4:7" x14ac:dyDescent="0.3">
      <c r="D28109" s="1"/>
      <c r="G28109" s="13"/>
    </row>
    <row r="28110" spans="4:7" x14ac:dyDescent="0.3">
      <c r="D28110" s="1"/>
      <c r="G28110" s="13"/>
    </row>
    <row r="28111" spans="4:7" x14ac:dyDescent="0.3">
      <c r="D28111" s="1"/>
      <c r="G28111" s="13"/>
    </row>
    <row r="28112" spans="4:7" x14ac:dyDescent="0.3">
      <c r="D28112" s="1"/>
      <c r="G28112" s="13"/>
    </row>
    <row r="28113" spans="4:7" x14ac:dyDescent="0.3">
      <c r="D28113" s="1"/>
      <c r="G28113" s="13"/>
    </row>
    <row r="28114" spans="4:7" x14ac:dyDescent="0.3">
      <c r="D28114" s="1"/>
      <c r="G28114" s="13"/>
    </row>
    <row r="28115" spans="4:7" x14ac:dyDescent="0.3">
      <c r="D28115" s="1"/>
      <c r="G28115" s="13"/>
    </row>
    <row r="28116" spans="4:7" x14ac:dyDescent="0.3">
      <c r="D28116" s="1"/>
      <c r="G28116" s="13"/>
    </row>
    <row r="28117" spans="4:7" x14ac:dyDescent="0.3">
      <c r="D28117" s="1"/>
      <c r="G28117" s="13"/>
    </row>
    <row r="28118" spans="4:7" x14ac:dyDescent="0.3">
      <c r="D28118" s="1"/>
      <c r="G28118" s="13"/>
    </row>
    <row r="28119" spans="4:7" x14ac:dyDescent="0.3">
      <c r="D28119" s="1"/>
      <c r="G28119" s="13"/>
    </row>
    <row r="28120" spans="4:7" x14ac:dyDescent="0.3">
      <c r="D28120" s="1"/>
      <c r="G28120" s="13"/>
    </row>
    <row r="28121" spans="4:7" x14ac:dyDescent="0.3">
      <c r="D28121" s="1"/>
      <c r="G28121" s="13"/>
    </row>
    <row r="28122" spans="4:7" x14ac:dyDescent="0.3">
      <c r="D28122" s="1"/>
      <c r="G28122" s="13"/>
    </row>
    <row r="28123" spans="4:7" x14ac:dyDescent="0.3">
      <c r="D28123" s="1"/>
      <c r="G28123" s="13"/>
    </row>
    <row r="28124" spans="4:7" x14ac:dyDescent="0.3">
      <c r="G28124" s="13"/>
    </row>
    <row r="28125" spans="4:7" x14ac:dyDescent="0.3">
      <c r="D28125" s="1"/>
      <c r="G28125" s="13"/>
    </row>
    <row r="28126" spans="4:7" x14ac:dyDescent="0.3">
      <c r="D28126" s="1"/>
      <c r="G28126" s="13"/>
    </row>
    <row r="28127" spans="4:7" x14ac:dyDescent="0.3">
      <c r="D28127" s="1"/>
      <c r="G28127" s="13"/>
    </row>
    <row r="28128" spans="4:7" x14ac:dyDescent="0.3">
      <c r="D28128" s="1"/>
      <c r="G28128" s="13"/>
    </row>
    <row r="28129" spans="4:7" x14ac:dyDescent="0.3">
      <c r="D28129" s="1"/>
      <c r="G28129" s="13"/>
    </row>
    <row r="28130" spans="4:7" x14ac:dyDescent="0.3">
      <c r="D28130" s="1"/>
      <c r="G28130" s="13"/>
    </row>
    <row r="28131" spans="4:7" x14ac:dyDescent="0.3">
      <c r="D28131" s="1"/>
      <c r="G28131" s="13"/>
    </row>
    <row r="28132" spans="4:7" x14ac:dyDescent="0.3">
      <c r="D28132" s="1"/>
      <c r="G28132" s="13"/>
    </row>
    <row r="28133" spans="4:7" x14ac:dyDescent="0.3">
      <c r="D28133" s="1"/>
      <c r="G28133" s="13"/>
    </row>
    <row r="28134" spans="4:7" x14ac:dyDescent="0.3">
      <c r="D28134" s="1"/>
      <c r="G28134" s="13"/>
    </row>
    <row r="28135" spans="4:7" x14ac:dyDescent="0.3">
      <c r="D28135" s="1"/>
      <c r="G28135" s="13"/>
    </row>
    <row r="28136" spans="4:7" x14ac:dyDescent="0.3">
      <c r="D28136" s="1"/>
      <c r="G28136" s="13"/>
    </row>
    <row r="28137" spans="4:7" x14ac:dyDescent="0.3">
      <c r="D28137" s="1"/>
      <c r="G28137" s="13"/>
    </row>
    <row r="28138" spans="4:7" x14ac:dyDescent="0.3">
      <c r="D28138" s="1"/>
      <c r="G28138" s="13"/>
    </row>
    <row r="28139" spans="4:7" x14ac:dyDescent="0.3">
      <c r="D28139" s="1"/>
      <c r="G28139" s="13"/>
    </row>
    <row r="28140" spans="4:7" x14ac:dyDescent="0.3">
      <c r="D28140" s="1"/>
      <c r="G28140" s="13"/>
    </row>
    <row r="28141" spans="4:7" x14ac:dyDescent="0.3">
      <c r="D28141" s="1"/>
      <c r="G28141" s="13"/>
    </row>
    <row r="28142" spans="4:7" x14ac:dyDescent="0.3">
      <c r="D28142" s="1"/>
      <c r="G28142" s="13"/>
    </row>
    <row r="28143" spans="4:7" x14ac:dyDescent="0.3">
      <c r="D28143" s="1"/>
      <c r="G28143" s="13"/>
    </row>
    <row r="28144" spans="4:7" x14ac:dyDescent="0.3">
      <c r="D28144" s="1"/>
      <c r="G28144" s="13"/>
    </row>
    <row r="28145" spans="4:7" x14ac:dyDescent="0.3">
      <c r="D28145" s="1"/>
      <c r="G28145" s="13"/>
    </row>
    <row r="28146" spans="4:7" x14ac:dyDescent="0.3">
      <c r="D28146" s="1"/>
      <c r="G28146" s="13"/>
    </row>
    <row r="28147" spans="4:7" x14ac:dyDescent="0.3">
      <c r="D28147" s="1"/>
      <c r="G28147" s="13"/>
    </row>
    <row r="28148" spans="4:7" x14ac:dyDescent="0.3">
      <c r="D28148" s="1"/>
      <c r="G28148" s="13"/>
    </row>
    <row r="28149" spans="4:7" x14ac:dyDescent="0.3">
      <c r="D28149" s="1"/>
      <c r="G28149" s="13"/>
    </row>
    <row r="28150" spans="4:7" x14ac:dyDescent="0.3">
      <c r="D28150" s="1"/>
      <c r="G28150" s="13"/>
    </row>
    <row r="28151" spans="4:7" x14ac:dyDescent="0.3">
      <c r="D28151" s="1"/>
      <c r="G28151" s="13"/>
    </row>
    <row r="28152" spans="4:7" x14ac:dyDescent="0.3">
      <c r="D28152" s="1"/>
      <c r="G28152" s="13"/>
    </row>
    <row r="28153" spans="4:7" x14ac:dyDescent="0.3">
      <c r="D28153" s="1"/>
      <c r="G28153" s="13"/>
    </row>
    <row r="28154" spans="4:7" x14ac:dyDescent="0.3">
      <c r="D28154" s="1"/>
      <c r="G28154" s="13"/>
    </row>
    <row r="28155" spans="4:7" x14ac:dyDescent="0.3">
      <c r="D28155" s="1"/>
      <c r="G28155" s="13"/>
    </row>
    <row r="28156" spans="4:7" x14ac:dyDescent="0.3">
      <c r="D28156" s="1"/>
      <c r="G28156" s="13"/>
    </row>
    <row r="28157" spans="4:7" x14ac:dyDescent="0.3">
      <c r="D28157" s="1"/>
      <c r="G28157" s="13"/>
    </row>
    <row r="28158" spans="4:7" x14ac:dyDescent="0.3">
      <c r="D28158" s="1"/>
      <c r="G28158" s="13"/>
    </row>
    <row r="28159" spans="4:7" x14ac:dyDescent="0.3">
      <c r="D28159" s="1"/>
      <c r="G28159" s="13"/>
    </row>
    <row r="28160" spans="4:7" x14ac:dyDescent="0.3">
      <c r="D28160" s="1"/>
      <c r="G28160" s="13"/>
    </row>
    <row r="28161" spans="4:7" x14ac:dyDescent="0.3">
      <c r="D28161" s="1"/>
      <c r="G28161" s="13"/>
    </row>
    <row r="28162" spans="4:7" x14ac:dyDescent="0.3">
      <c r="D28162" s="1"/>
      <c r="G28162" s="13"/>
    </row>
    <row r="28163" spans="4:7" x14ac:dyDescent="0.3">
      <c r="D28163" s="1"/>
      <c r="G28163" s="13"/>
    </row>
    <row r="28164" spans="4:7" x14ac:dyDescent="0.3">
      <c r="D28164" s="1"/>
      <c r="G28164" s="13"/>
    </row>
    <row r="28165" spans="4:7" x14ac:dyDescent="0.3">
      <c r="D28165" s="1"/>
      <c r="G28165" s="13"/>
    </row>
    <row r="28166" spans="4:7" x14ac:dyDescent="0.3">
      <c r="D28166" s="1"/>
      <c r="G28166" s="13"/>
    </row>
    <row r="28167" spans="4:7" x14ac:dyDescent="0.3">
      <c r="D28167" s="1"/>
      <c r="G28167" s="13"/>
    </row>
    <row r="28168" spans="4:7" x14ac:dyDescent="0.3">
      <c r="D28168" s="1"/>
      <c r="G28168" s="13"/>
    </row>
    <row r="28169" spans="4:7" x14ac:dyDescent="0.3">
      <c r="G28169" s="13"/>
    </row>
    <row r="28170" spans="4:7" x14ac:dyDescent="0.3">
      <c r="D28170" s="1"/>
      <c r="G28170" s="13"/>
    </row>
    <row r="28171" spans="4:7" x14ac:dyDescent="0.3">
      <c r="D28171" s="1"/>
      <c r="G28171" s="13"/>
    </row>
    <row r="28172" spans="4:7" x14ac:dyDescent="0.3">
      <c r="D28172" s="1"/>
      <c r="G28172" s="13"/>
    </row>
    <row r="28173" spans="4:7" x14ac:dyDescent="0.3">
      <c r="D28173" s="1"/>
      <c r="G28173" s="13"/>
    </row>
    <row r="28174" spans="4:7" x14ac:dyDescent="0.3">
      <c r="D28174" s="1"/>
      <c r="G28174" s="13"/>
    </row>
    <row r="28175" spans="4:7" x14ac:dyDescent="0.3">
      <c r="D28175" s="1"/>
      <c r="G28175" s="13"/>
    </row>
    <row r="28176" spans="4:7" x14ac:dyDescent="0.3">
      <c r="D28176" s="1"/>
      <c r="G28176" s="13"/>
    </row>
    <row r="28177" spans="4:7" x14ac:dyDescent="0.3">
      <c r="D28177" s="1"/>
      <c r="G28177" s="13"/>
    </row>
    <row r="28178" spans="4:7" x14ac:dyDescent="0.3">
      <c r="D28178" s="1"/>
      <c r="G28178" s="13"/>
    </row>
    <row r="28179" spans="4:7" x14ac:dyDescent="0.3">
      <c r="D28179" s="1"/>
      <c r="G28179" s="13"/>
    </row>
    <row r="28180" spans="4:7" x14ac:dyDescent="0.3">
      <c r="D28180" s="1"/>
      <c r="G28180" s="13"/>
    </row>
    <row r="28181" spans="4:7" x14ac:dyDescent="0.3">
      <c r="D28181" s="1"/>
      <c r="G28181" s="13"/>
    </row>
    <row r="28182" spans="4:7" x14ac:dyDescent="0.3">
      <c r="D28182" s="1"/>
      <c r="G28182" s="13"/>
    </row>
    <row r="28183" spans="4:7" x14ac:dyDescent="0.3">
      <c r="D28183" s="1"/>
      <c r="G28183" s="13"/>
    </row>
    <row r="28184" spans="4:7" x14ac:dyDescent="0.3">
      <c r="D28184" s="1"/>
      <c r="G28184" s="13"/>
    </row>
    <row r="28185" spans="4:7" x14ac:dyDescent="0.3">
      <c r="D28185" s="1"/>
      <c r="G28185" s="13"/>
    </row>
    <row r="28186" spans="4:7" x14ac:dyDescent="0.3">
      <c r="D28186" s="1"/>
      <c r="G28186" s="13"/>
    </row>
    <row r="28187" spans="4:7" x14ac:dyDescent="0.3">
      <c r="D28187" s="1"/>
      <c r="G28187" s="13"/>
    </row>
    <row r="28188" spans="4:7" x14ac:dyDescent="0.3">
      <c r="D28188" s="1"/>
      <c r="G28188" s="13"/>
    </row>
    <row r="28189" spans="4:7" x14ac:dyDescent="0.3">
      <c r="D28189" s="1"/>
      <c r="G28189" s="13"/>
    </row>
    <row r="28190" spans="4:7" x14ac:dyDescent="0.3">
      <c r="D28190" s="1"/>
      <c r="G28190" s="13"/>
    </row>
    <row r="28191" spans="4:7" x14ac:dyDescent="0.3">
      <c r="D28191" s="1"/>
      <c r="G28191" s="13"/>
    </row>
    <row r="28192" spans="4:7" x14ac:dyDescent="0.3">
      <c r="D28192" s="1"/>
      <c r="G28192" s="13"/>
    </row>
    <row r="28193" spans="4:7" x14ac:dyDescent="0.3">
      <c r="D28193" s="1"/>
      <c r="G28193" s="13"/>
    </row>
    <row r="28194" spans="4:7" x14ac:dyDescent="0.3">
      <c r="D28194" s="1"/>
      <c r="G28194" s="13"/>
    </row>
    <row r="28195" spans="4:7" x14ac:dyDescent="0.3">
      <c r="D28195" s="1"/>
      <c r="G28195" s="13"/>
    </row>
    <row r="28196" spans="4:7" x14ac:dyDescent="0.3">
      <c r="D28196" s="1"/>
      <c r="G28196" s="13"/>
    </row>
    <row r="28197" spans="4:7" x14ac:dyDescent="0.3">
      <c r="D28197" s="1"/>
      <c r="G28197" s="13"/>
    </row>
    <row r="28198" spans="4:7" x14ac:dyDescent="0.3">
      <c r="D28198" s="1"/>
      <c r="G28198" s="13"/>
    </row>
    <row r="28199" spans="4:7" x14ac:dyDescent="0.3">
      <c r="D28199" s="1"/>
      <c r="G28199" s="13"/>
    </row>
    <row r="28200" spans="4:7" x14ac:dyDescent="0.3">
      <c r="D28200" s="1"/>
    </row>
    <row r="28201" spans="4:7" x14ac:dyDescent="0.3">
      <c r="D28201" s="1"/>
      <c r="G28201" s="13"/>
    </row>
    <row r="28202" spans="4:7" x14ac:dyDescent="0.3">
      <c r="D28202" s="1"/>
      <c r="G28202" s="13"/>
    </row>
    <row r="28203" spans="4:7" x14ac:dyDescent="0.3">
      <c r="D28203" s="1"/>
      <c r="G28203" s="13"/>
    </row>
    <row r="28204" spans="4:7" x14ac:dyDescent="0.3">
      <c r="D28204" s="1"/>
      <c r="G28204" s="13"/>
    </row>
    <row r="28205" spans="4:7" x14ac:dyDescent="0.3">
      <c r="D28205" s="1"/>
      <c r="G28205" s="13"/>
    </row>
    <row r="28206" spans="4:7" x14ac:dyDescent="0.3">
      <c r="D28206" s="1"/>
      <c r="G28206" s="13"/>
    </row>
    <row r="28207" spans="4:7" x14ac:dyDescent="0.3">
      <c r="D28207" s="1"/>
      <c r="G28207" s="13"/>
    </row>
    <row r="28208" spans="4:7" x14ac:dyDescent="0.3">
      <c r="D28208" s="1"/>
      <c r="G28208" s="13"/>
    </row>
    <row r="28209" spans="4:7" x14ac:dyDescent="0.3">
      <c r="D28209" s="1"/>
      <c r="G28209" s="13"/>
    </row>
    <row r="28210" spans="4:7" x14ac:dyDescent="0.3">
      <c r="D28210" s="1"/>
      <c r="G28210" s="13"/>
    </row>
    <row r="28211" spans="4:7" x14ac:dyDescent="0.3">
      <c r="D28211" s="1"/>
      <c r="G28211" s="13"/>
    </row>
    <row r="28212" spans="4:7" x14ac:dyDescent="0.3">
      <c r="D28212" s="1"/>
      <c r="G28212" s="13"/>
    </row>
    <row r="28213" spans="4:7" x14ac:dyDescent="0.3">
      <c r="D28213" s="1"/>
      <c r="G28213" s="13"/>
    </row>
    <row r="28214" spans="4:7" x14ac:dyDescent="0.3">
      <c r="D28214" s="1"/>
      <c r="G28214" s="13"/>
    </row>
    <row r="28215" spans="4:7" x14ac:dyDescent="0.3">
      <c r="D28215" s="1"/>
      <c r="G28215" s="13"/>
    </row>
    <row r="28216" spans="4:7" x14ac:dyDescent="0.3">
      <c r="D28216" s="1"/>
      <c r="G28216" s="13"/>
    </row>
    <row r="28217" spans="4:7" x14ac:dyDescent="0.3">
      <c r="D28217" s="1"/>
      <c r="G28217" s="13"/>
    </row>
    <row r="28218" spans="4:7" x14ac:dyDescent="0.3">
      <c r="D28218" s="1"/>
      <c r="G28218" s="13"/>
    </row>
    <row r="28219" spans="4:7" x14ac:dyDescent="0.3">
      <c r="D28219" s="1"/>
      <c r="G28219" s="13"/>
    </row>
    <row r="28220" spans="4:7" x14ac:dyDescent="0.3">
      <c r="D28220" s="1"/>
      <c r="G28220" s="13"/>
    </row>
    <row r="28221" spans="4:7" x14ac:dyDescent="0.3">
      <c r="D28221" s="1"/>
      <c r="G28221" s="13"/>
    </row>
    <row r="28222" spans="4:7" x14ac:dyDescent="0.3">
      <c r="D28222" s="1"/>
      <c r="G28222" s="13"/>
    </row>
    <row r="28223" spans="4:7" x14ac:dyDescent="0.3">
      <c r="D28223" s="1"/>
      <c r="G28223" s="13"/>
    </row>
    <row r="28224" spans="4:7" x14ac:dyDescent="0.3">
      <c r="D28224" s="1"/>
      <c r="G28224" s="13"/>
    </row>
    <row r="28225" spans="4:7" x14ac:dyDescent="0.3">
      <c r="D28225" s="1"/>
      <c r="G28225" s="13"/>
    </row>
    <row r="28226" spans="4:7" x14ac:dyDescent="0.3">
      <c r="D28226" s="1"/>
      <c r="G28226" s="13"/>
    </row>
    <row r="28227" spans="4:7" x14ac:dyDescent="0.3">
      <c r="D28227" s="1"/>
      <c r="G28227" s="13"/>
    </row>
    <row r="28228" spans="4:7" x14ac:dyDescent="0.3">
      <c r="D28228" s="1"/>
      <c r="G28228" s="13"/>
    </row>
    <row r="28229" spans="4:7" x14ac:dyDescent="0.3">
      <c r="D28229" s="1"/>
      <c r="G28229" s="13"/>
    </row>
    <row r="28230" spans="4:7" x14ac:dyDescent="0.3">
      <c r="D28230" s="1"/>
      <c r="G28230" s="13"/>
    </row>
    <row r="28231" spans="4:7" x14ac:dyDescent="0.3">
      <c r="D28231" s="1"/>
      <c r="G28231" s="13"/>
    </row>
    <row r="28232" spans="4:7" x14ac:dyDescent="0.3">
      <c r="D28232" s="1"/>
      <c r="G28232" s="13"/>
    </row>
    <row r="28233" spans="4:7" x14ac:dyDescent="0.3">
      <c r="D28233" s="1"/>
      <c r="G28233" s="13"/>
    </row>
    <row r="28234" spans="4:7" x14ac:dyDescent="0.3">
      <c r="D28234" s="1"/>
      <c r="G28234" s="13"/>
    </row>
    <row r="28235" spans="4:7" x14ac:dyDescent="0.3">
      <c r="D28235" s="1"/>
      <c r="G28235" s="13"/>
    </row>
    <row r="28236" spans="4:7" x14ac:dyDescent="0.3">
      <c r="D28236" s="1"/>
      <c r="G28236" s="13"/>
    </row>
    <row r="28237" spans="4:7" x14ac:dyDescent="0.3">
      <c r="D28237" s="1"/>
      <c r="G28237" s="13"/>
    </row>
    <row r="28238" spans="4:7" x14ac:dyDescent="0.3">
      <c r="D28238" s="1"/>
      <c r="G28238" s="13"/>
    </row>
    <row r="28239" spans="4:7" x14ac:dyDescent="0.3">
      <c r="D28239" s="1"/>
      <c r="G28239" s="13"/>
    </row>
    <row r="28240" spans="4:7" x14ac:dyDescent="0.3">
      <c r="D28240" s="1"/>
      <c r="G28240" s="13"/>
    </row>
    <row r="28241" spans="4:7" x14ac:dyDescent="0.3">
      <c r="D28241" s="1"/>
      <c r="G28241" s="13"/>
    </row>
    <row r="28242" spans="4:7" x14ac:dyDescent="0.3">
      <c r="D28242" s="1"/>
      <c r="G28242" s="13"/>
    </row>
    <row r="28243" spans="4:7" x14ac:dyDescent="0.3">
      <c r="D28243" s="1"/>
      <c r="G28243" s="13"/>
    </row>
    <row r="28244" spans="4:7" x14ac:dyDescent="0.3">
      <c r="D28244" s="1"/>
      <c r="G28244" s="13"/>
    </row>
    <row r="28245" spans="4:7" x14ac:dyDescent="0.3">
      <c r="D28245" s="1"/>
      <c r="G28245" s="13"/>
    </row>
    <row r="28246" spans="4:7" x14ac:dyDescent="0.3">
      <c r="D28246" s="1"/>
      <c r="G28246" s="13"/>
    </row>
    <row r="28247" spans="4:7" x14ac:dyDescent="0.3">
      <c r="D28247" s="1"/>
      <c r="G28247" s="13"/>
    </row>
    <row r="28248" spans="4:7" x14ac:dyDescent="0.3">
      <c r="D28248" s="1"/>
      <c r="G28248" s="13"/>
    </row>
    <row r="28249" spans="4:7" x14ac:dyDescent="0.3">
      <c r="D28249" s="1"/>
      <c r="G28249" s="13"/>
    </row>
    <row r="28250" spans="4:7" x14ac:dyDescent="0.3">
      <c r="D28250" s="1"/>
      <c r="G28250" s="13"/>
    </row>
    <row r="28251" spans="4:7" x14ac:dyDescent="0.3">
      <c r="D28251" s="1"/>
      <c r="G28251" s="13"/>
    </row>
    <row r="28252" spans="4:7" x14ac:dyDescent="0.3">
      <c r="D28252" s="1"/>
      <c r="G28252" s="13"/>
    </row>
    <row r="28253" spans="4:7" x14ac:dyDescent="0.3">
      <c r="D28253" s="1"/>
      <c r="G28253" s="13"/>
    </row>
    <row r="28254" spans="4:7" x14ac:dyDescent="0.3">
      <c r="D28254" s="1"/>
      <c r="G28254" s="13"/>
    </row>
    <row r="28255" spans="4:7" x14ac:dyDescent="0.3">
      <c r="D28255" s="1"/>
      <c r="G28255" s="13"/>
    </row>
    <row r="28256" spans="4:7" x14ac:dyDescent="0.3">
      <c r="D28256" s="1"/>
      <c r="G28256" s="13"/>
    </row>
    <row r="28257" spans="4:7" x14ac:dyDescent="0.3">
      <c r="G28257" s="13"/>
    </row>
    <row r="28258" spans="4:7" x14ac:dyDescent="0.3">
      <c r="D28258" s="1"/>
      <c r="G28258" s="13"/>
    </row>
    <row r="28259" spans="4:7" x14ac:dyDescent="0.3">
      <c r="D28259" s="1"/>
      <c r="G28259" s="13"/>
    </row>
    <row r="28260" spans="4:7" x14ac:dyDescent="0.3">
      <c r="D28260" s="1"/>
      <c r="G28260" s="13"/>
    </row>
    <row r="28261" spans="4:7" x14ac:dyDescent="0.3">
      <c r="D28261" s="1"/>
    </row>
    <row r="28262" spans="4:7" x14ac:dyDescent="0.3">
      <c r="D28262" s="1"/>
      <c r="G28262" s="13"/>
    </row>
    <row r="28263" spans="4:7" x14ac:dyDescent="0.3">
      <c r="D28263" s="1"/>
      <c r="G28263" s="13"/>
    </row>
    <row r="28264" spans="4:7" x14ac:dyDescent="0.3">
      <c r="D28264" s="1"/>
      <c r="G28264" s="13"/>
    </row>
    <row r="28265" spans="4:7" x14ac:dyDescent="0.3">
      <c r="D28265" s="1"/>
      <c r="G28265" s="13"/>
    </row>
    <row r="28266" spans="4:7" x14ac:dyDescent="0.3">
      <c r="D28266" s="1"/>
      <c r="G28266" s="13"/>
    </row>
    <row r="28267" spans="4:7" x14ac:dyDescent="0.3">
      <c r="D28267" s="1"/>
      <c r="G28267" s="13"/>
    </row>
    <row r="28268" spans="4:7" x14ac:dyDescent="0.3">
      <c r="D28268" s="1"/>
      <c r="G28268" s="13"/>
    </row>
    <row r="28269" spans="4:7" x14ac:dyDescent="0.3">
      <c r="D28269" s="1"/>
      <c r="G28269" s="13"/>
    </row>
    <row r="28270" spans="4:7" x14ac:dyDescent="0.3">
      <c r="D28270" s="1"/>
      <c r="G28270" s="13"/>
    </row>
    <row r="28271" spans="4:7" x14ac:dyDescent="0.3">
      <c r="D28271" s="1"/>
      <c r="G28271" s="13"/>
    </row>
    <row r="28272" spans="4:7" x14ac:dyDescent="0.3">
      <c r="D28272" s="1"/>
      <c r="G28272" s="13"/>
    </row>
    <row r="28273" spans="4:7" x14ac:dyDescent="0.3">
      <c r="D28273" s="1"/>
      <c r="G28273" s="13"/>
    </row>
    <row r="28274" spans="4:7" x14ac:dyDescent="0.3">
      <c r="D28274" s="1"/>
      <c r="G28274" s="13"/>
    </row>
    <row r="28275" spans="4:7" x14ac:dyDescent="0.3">
      <c r="D28275" s="1"/>
      <c r="G28275" s="13"/>
    </row>
    <row r="28276" spans="4:7" x14ac:dyDescent="0.3">
      <c r="D28276" s="1"/>
      <c r="G28276" s="13"/>
    </row>
    <row r="28277" spans="4:7" x14ac:dyDescent="0.3">
      <c r="D28277" s="1"/>
      <c r="G28277" s="13"/>
    </row>
    <row r="28278" spans="4:7" x14ac:dyDescent="0.3">
      <c r="D28278" s="1"/>
      <c r="G28278" s="13"/>
    </row>
    <row r="28279" spans="4:7" x14ac:dyDescent="0.3">
      <c r="D28279" s="1"/>
      <c r="G28279" s="13"/>
    </row>
    <row r="28280" spans="4:7" x14ac:dyDescent="0.3">
      <c r="D28280" s="1"/>
      <c r="G28280" s="13"/>
    </row>
    <row r="28281" spans="4:7" x14ac:dyDescent="0.3">
      <c r="D28281" s="1"/>
      <c r="G28281" s="13"/>
    </row>
    <row r="28282" spans="4:7" x14ac:dyDescent="0.3">
      <c r="D28282" s="1"/>
      <c r="G28282" s="13"/>
    </row>
    <row r="28283" spans="4:7" x14ac:dyDescent="0.3">
      <c r="D28283" s="1"/>
      <c r="G28283" s="13"/>
    </row>
    <row r="28284" spans="4:7" x14ac:dyDescent="0.3">
      <c r="G28284" s="13"/>
    </row>
    <row r="28285" spans="4:7" x14ac:dyDescent="0.3">
      <c r="D28285" s="1"/>
      <c r="G28285" s="13"/>
    </row>
    <row r="28286" spans="4:7" x14ac:dyDescent="0.3">
      <c r="D28286" s="1"/>
      <c r="G28286" s="13"/>
    </row>
    <row r="28287" spans="4:7" x14ac:dyDescent="0.3">
      <c r="D28287" s="1"/>
      <c r="G28287" s="13"/>
    </row>
    <row r="28288" spans="4:7" x14ac:dyDescent="0.3">
      <c r="D28288" s="1"/>
      <c r="G28288" s="13"/>
    </row>
    <row r="28289" spans="4:7" x14ac:dyDescent="0.3">
      <c r="D28289" s="1"/>
      <c r="G28289" s="13"/>
    </row>
    <row r="28290" spans="4:7" x14ac:dyDescent="0.3">
      <c r="D28290" s="1"/>
      <c r="G28290" s="13"/>
    </row>
    <row r="28291" spans="4:7" x14ac:dyDescent="0.3">
      <c r="D28291" s="1"/>
      <c r="G28291" s="13"/>
    </row>
    <row r="28292" spans="4:7" x14ac:dyDescent="0.3">
      <c r="D28292" s="1"/>
      <c r="G28292" s="13"/>
    </row>
    <row r="28293" spans="4:7" x14ac:dyDescent="0.3">
      <c r="D28293" s="1"/>
      <c r="G28293" s="13"/>
    </row>
    <row r="28294" spans="4:7" x14ac:dyDescent="0.3">
      <c r="D28294" s="1"/>
      <c r="G28294" s="13"/>
    </row>
    <row r="28295" spans="4:7" x14ac:dyDescent="0.3">
      <c r="D28295" s="1"/>
      <c r="G28295" s="13"/>
    </row>
    <row r="28296" spans="4:7" x14ac:dyDescent="0.3">
      <c r="D28296" s="1"/>
      <c r="G28296" s="13"/>
    </row>
    <row r="28297" spans="4:7" x14ac:dyDescent="0.3">
      <c r="D28297" s="1"/>
      <c r="G28297" s="13"/>
    </row>
    <row r="28298" spans="4:7" x14ac:dyDescent="0.3">
      <c r="D28298" s="1"/>
      <c r="G28298" s="13"/>
    </row>
    <row r="28299" spans="4:7" x14ac:dyDescent="0.3">
      <c r="D28299" s="1"/>
      <c r="G28299" s="13"/>
    </row>
    <row r="28300" spans="4:7" x14ac:dyDescent="0.3">
      <c r="D28300" s="1"/>
      <c r="G28300" s="13"/>
    </row>
    <row r="28301" spans="4:7" x14ac:dyDescent="0.3">
      <c r="D28301" s="1"/>
      <c r="G28301" s="13"/>
    </row>
    <row r="28302" spans="4:7" x14ac:dyDescent="0.3">
      <c r="D28302" s="1"/>
      <c r="G28302" s="13"/>
    </row>
    <row r="28303" spans="4:7" x14ac:dyDescent="0.3">
      <c r="D28303" s="1"/>
      <c r="G28303" s="13"/>
    </row>
    <row r="28304" spans="4:7" x14ac:dyDescent="0.3">
      <c r="D28304" s="1"/>
      <c r="G28304" s="13"/>
    </row>
    <row r="28305" spans="4:7" x14ac:dyDescent="0.3">
      <c r="D28305" s="1"/>
      <c r="G28305" s="13"/>
    </row>
    <row r="28306" spans="4:7" x14ac:dyDescent="0.3">
      <c r="D28306" s="1"/>
      <c r="G28306" s="13"/>
    </row>
    <row r="28307" spans="4:7" x14ac:dyDescent="0.3">
      <c r="D28307" s="1"/>
      <c r="G28307" s="13"/>
    </row>
    <row r="28308" spans="4:7" x14ac:dyDescent="0.3">
      <c r="D28308" s="1"/>
      <c r="G28308" s="13"/>
    </row>
    <row r="28309" spans="4:7" x14ac:dyDescent="0.3">
      <c r="D28309" s="1"/>
      <c r="G28309" s="13"/>
    </row>
    <row r="28310" spans="4:7" x14ac:dyDescent="0.3">
      <c r="D28310" s="1"/>
      <c r="G28310" s="13"/>
    </row>
    <row r="28311" spans="4:7" x14ac:dyDescent="0.3">
      <c r="D28311" s="1"/>
      <c r="G28311" s="13"/>
    </row>
    <row r="28312" spans="4:7" x14ac:dyDescent="0.3">
      <c r="D28312" s="1"/>
      <c r="G28312" s="13"/>
    </row>
    <row r="28313" spans="4:7" x14ac:dyDescent="0.3">
      <c r="D28313" s="1"/>
      <c r="G28313" s="13"/>
    </row>
    <row r="28314" spans="4:7" x14ac:dyDescent="0.3">
      <c r="D28314" s="1"/>
      <c r="G28314" s="13"/>
    </row>
    <row r="28315" spans="4:7" x14ac:dyDescent="0.3">
      <c r="D28315" s="1"/>
      <c r="G28315" s="13"/>
    </row>
    <row r="28316" spans="4:7" x14ac:dyDescent="0.3">
      <c r="D28316" s="1"/>
      <c r="G28316" s="13"/>
    </row>
    <row r="28317" spans="4:7" x14ac:dyDescent="0.3">
      <c r="D28317" s="1"/>
      <c r="G28317" s="13"/>
    </row>
    <row r="28318" spans="4:7" x14ac:dyDescent="0.3">
      <c r="D28318" s="1"/>
      <c r="G28318" s="13"/>
    </row>
    <row r="28319" spans="4:7" x14ac:dyDescent="0.3">
      <c r="D28319" s="1"/>
      <c r="G28319" s="13"/>
    </row>
    <row r="28320" spans="4:7" x14ac:dyDescent="0.3">
      <c r="D28320" s="1"/>
      <c r="G28320" s="13"/>
    </row>
    <row r="28321" spans="4:7" x14ac:dyDescent="0.3">
      <c r="D28321" s="1"/>
      <c r="G28321" s="13"/>
    </row>
    <row r="28322" spans="4:7" x14ac:dyDescent="0.3">
      <c r="D28322" s="1"/>
      <c r="G28322" s="13"/>
    </row>
    <row r="28323" spans="4:7" x14ac:dyDescent="0.3">
      <c r="D28323" s="1"/>
      <c r="G28323" s="13"/>
    </row>
    <row r="28324" spans="4:7" x14ac:dyDescent="0.3">
      <c r="D28324" s="1"/>
      <c r="G28324" s="13"/>
    </row>
    <row r="28325" spans="4:7" x14ac:dyDescent="0.3">
      <c r="D28325" s="1"/>
      <c r="G28325" s="13"/>
    </row>
    <row r="28326" spans="4:7" x14ac:dyDescent="0.3">
      <c r="D28326" s="1"/>
      <c r="G28326" s="13"/>
    </row>
    <row r="28327" spans="4:7" x14ac:dyDescent="0.3">
      <c r="D28327" s="1"/>
      <c r="G28327" s="13"/>
    </row>
    <row r="28328" spans="4:7" x14ac:dyDescent="0.3">
      <c r="D28328" s="1"/>
      <c r="G28328" s="13"/>
    </row>
    <row r="28329" spans="4:7" x14ac:dyDescent="0.3">
      <c r="D28329" s="1"/>
      <c r="G28329" s="13"/>
    </row>
    <row r="28330" spans="4:7" x14ac:dyDescent="0.3">
      <c r="D28330" s="1"/>
      <c r="G28330" s="13"/>
    </row>
    <row r="28331" spans="4:7" x14ac:dyDescent="0.3">
      <c r="D28331" s="1"/>
      <c r="G28331" s="13"/>
    </row>
    <row r="28332" spans="4:7" x14ac:dyDescent="0.3">
      <c r="D28332" s="1"/>
      <c r="G28332" s="13"/>
    </row>
    <row r="28333" spans="4:7" x14ac:dyDescent="0.3">
      <c r="D28333" s="1"/>
      <c r="G28333" s="13"/>
    </row>
    <row r="28334" spans="4:7" x14ac:dyDescent="0.3">
      <c r="D28334" s="1"/>
      <c r="G28334" s="13"/>
    </row>
    <row r="28335" spans="4:7" x14ac:dyDescent="0.3">
      <c r="D28335" s="1"/>
      <c r="G28335" s="13"/>
    </row>
    <row r="28336" spans="4:7" x14ac:dyDescent="0.3">
      <c r="D28336" s="1"/>
      <c r="G28336" s="13"/>
    </row>
    <row r="28337" spans="4:7" x14ac:dyDescent="0.3">
      <c r="D28337" s="1"/>
      <c r="G28337" s="13"/>
    </row>
    <row r="28338" spans="4:7" x14ac:dyDescent="0.3">
      <c r="D28338" s="1"/>
      <c r="G28338" s="13"/>
    </row>
    <row r="28339" spans="4:7" x14ac:dyDescent="0.3">
      <c r="D28339" s="1"/>
      <c r="G28339" s="13"/>
    </row>
    <row r="28340" spans="4:7" x14ac:dyDescent="0.3">
      <c r="D28340" s="1"/>
      <c r="G28340" s="13"/>
    </row>
    <row r="28341" spans="4:7" x14ac:dyDescent="0.3">
      <c r="D28341" s="1"/>
      <c r="G28341" s="13"/>
    </row>
    <row r="28342" spans="4:7" x14ac:dyDescent="0.3">
      <c r="D28342" s="1"/>
      <c r="G28342" s="13"/>
    </row>
    <row r="28343" spans="4:7" x14ac:dyDescent="0.3">
      <c r="D28343" s="1"/>
      <c r="G28343" s="13"/>
    </row>
    <row r="28344" spans="4:7" x14ac:dyDescent="0.3">
      <c r="D28344" s="1"/>
      <c r="G28344" s="13"/>
    </row>
    <row r="28345" spans="4:7" x14ac:dyDescent="0.3">
      <c r="D28345" s="1"/>
      <c r="G28345" s="13"/>
    </row>
    <row r="28346" spans="4:7" x14ac:dyDescent="0.3">
      <c r="D28346" s="1"/>
      <c r="G28346" s="13"/>
    </row>
    <row r="28347" spans="4:7" x14ac:dyDescent="0.3">
      <c r="D28347" s="1"/>
      <c r="G28347" s="13"/>
    </row>
    <row r="28348" spans="4:7" x14ac:dyDescent="0.3">
      <c r="D28348" s="1"/>
      <c r="G28348" s="13"/>
    </row>
    <row r="28349" spans="4:7" x14ac:dyDescent="0.3">
      <c r="D28349" s="1"/>
      <c r="G28349" s="13"/>
    </row>
    <row r="28350" spans="4:7" x14ac:dyDescent="0.3">
      <c r="D28350" s="1"/>
      <c r="G28350" s="13"/>
    </row>
    <row r="28351" spans="4:7" x14ac:dyDescent="0.3">
      <c r="D28351" s="1"/>
      <c r="G28351" s="13"/>
    </row>
    <row r="28352" spans="4:7" x14ac:dyDescent="0.3">
      <c r="D28352" s="1"/>
      <c r="G28352" s="13"/>
    </row>
    <row r="28353" spans="4:7" x14ac:dyDescent="0.3">
      <c r="D28353" s="1"/>
      <c r="G28353" s="13"/>
    </row>
    <row r="28354" spans="4:7" x14ac:dyDescent="0.3">
      <c r="D28354" s="1"/>
      <c r="G28354" s="13"/>
    </row>
    <row r="28355" spans="4:7" x14ac:dyDescent="0.3">
      <c r="D28355" s="1"/>
      <c r="G28355" s="13"/>
    </row>
    <row r="28356" spans="4:7" x14ac:dyDescent="0.3">
      <c r="D28356" s="1"/>
      <c r="G28356" s="13"/>
    </row>
    <row r="28357" spans="4:7" x14ac:dyDescent="0.3">
      <c r="D28357" s="1"/>
      <c r="G28357" s="13"/>
    </row>
    <row r="28358" spans="4:7" x14ac:dyDescent="0.3">
      <c r="D28358" s="1"/>
      <c r="G28358" s="13"/>
    </row>
    <row r="28359" spans="4:7" x14ac:dyDescent="0.3">
      <c r="D28359" s="1"/>
      <c r="G28359" s="13"/>
    </row>
    <row r="28360" spans="4:7" x14ac:dyDescent="0.3">
      <c r="D28360" s="1"/>
      <c r="G28360" s="13"/>
    </row>
    <row r="28361" spans="4:7" x14ac:dyDescent="0.3">
      <c r="D28361" s="1"/>
      <c r="G28361" s="13"/>
    </row>
    <row r="28362" spans="4:7" x14ac:dyDescent="0.3">
      <c r="D28362" s="1"/>
      <c r="G28362" s="13"/>
    </row>
    <row r="28363" spans="4:7" x14ac:dyDescent="0.3">
      <c r="D28363" s="1"/>
      <c r="G28363" s="13"/>
    </row>
    <row r="28364" spans="4:7" x14ac:dyDescent="0.3">
      <c r="D28364" s="1"/>
      <c r="G28364" s="13"/>
    </row>
    <row r="28365" spans="4:7" x14ac:dyDescent="0.3">
      <c r="D28365" s="1"/>
      <c r="G28365" s="13"/>
    </row>
    <row r="28366" spans="4:7" x14ac:dyDescent="0.3">
      <c r="D28366" s="1"/>
      <c r="G28366" s="13"/>
    </row>
    <row r="28367" spans="4:7" x14ac:dyDescent="0.3">
      <c r="D28367" s="1"/>
      <c r="G28367" s="13"/>
    </row>
    <row r="28368" spans="4:7" x14ac:dyDescent="0.3">
      <c r="D28368" s="1"/>
      <c r="G28368" s="13"/>
    </row>
    <row r="28369" spans="4:7" x14ac:dyDescent="0.3">
      <c r="D28369" s="1"/>
      <c r="G28369" s="13"/>
    </row>
    <row r="28370" spans="4:7" x14ac:dyDescent="0.3">
      <c r="D28370" s="1"/>
      <c r="G28370" s="13"/>
    </row>
    <row r="28371" spans="4:7" x14ac:dyDescent="0.3">
      <c r="D28371" s="1"/>
      <c r="G28371" s="13"/>
    </row>
    <row r="28372" spans="4:7" x14ac:dyDescent="0.3">
      <c r="D28372" s="1"/>
      <c r="G28372" s="13"/>
    </row>
    <row r="28373" spans="4:7" x14ac:dyDescent="0.3">
      <c r="D28373" s="1"/>
      <c r="G28373" s="13"/>
    </row>
    <row r="28374" spans="4:7" x14ac:dyDescent="0.3">
      <c r="D28374" s="1"/>
      <c r="G28374" s="13"/>
    </row>
    <row r="28375" spans="4:7" x14ac:dyDescent="0.3">
      <c r="D28375" s="1"/>
      <c r="G28375" s="13"/>
    </row>
    <row r="28376" spans="4:7" x14ac:dyDescent="0.3">
      <c r="D28376" s="1"/>
      <c r="G28376" s="13"/>
    </row>
    <row r="28377" spans="4:7" x14ac:dyDescent="0.3">
      <c r="D28377" s="1"/>
      <c r="G28377" s="13"/>
    </row>
    <row r="28378" spans="4:7" x14ac:dyDescent="0.3">
      <c r="D28378" s="1"/>
      <c r="G28378" s="13"/>
    </row>
    <row r="28379" spans="4:7" x14ac:dyDescent="0.3">
      <c r="D28379" s="1"/>
      <c r="G28379" s="13"/>
    </row>
    <row r="28380" spans="4:7" x14ac:dyDescent="0.3">
      <c r="D28380" s="1"/>
      <c r="G28380" s="13"/>
    </row>
    <row r="28381" spans="4:7" x14ac:dyDescent="0.3">
      <c r="D28381" s="1"/>
      <c r="G28381" s="13"/>
    </row>
    <row r="28382" spans="4:7" x14ac:dyDescent="0.3">
      <c r="D28382" s="1"/>
      <c r="G28382" s="13"/>
    </row>
    <row r="28383" spans="4:7" x14ac:dyDescent="0.3">
      <c r="D28383" s="1"/>
      <c r="G28383" s="13"/>
    </row>
    <row r="28384" spans="4:7" x14ac:dyDescent="0.3">
      <c r="D28384" s="1"/>
      <c r="G28384" s="13"/>
    </row>
    <row r="28385" spans="4:7" x14ac:dyDescent="0.3">
      <c r="D28385" s="1"/>
      <c r="G28385" s="13"/>
    </row>
    <row r="28386" spans="4:7" x14ac:dyDescent="0.3">
      <c r="D28386" s="1"/>
      <c r="G28386" s="13"/>
    </row>
    <row r="28387" spans="4:7" x14ac:dyDescent="0.3">
      <c r="D28387" s="1"/>
      <c r="G28387" s="13"/>
    </row>
    <row r="28388" spans="4:7" x14ac:dyDescent="0.3">
      <c r="D28388" s="1"/>
      <c r="G28388" s="13"/>
    </row>
    <row r="28389" spans="4:7" x14ac:dyDescent="0.3">
      <c r="D28389" s="1"/>
      <c r="G28389" s="13"/>
    </row>
    <row r="28390" spans="4:7" x14ac:dyDescent="0.3">
      <c r="D28390" s="1"/>
      <c r="G28390" s="13"/>
    </row>
    <row r="28391" spans="4:7" x14ac:dyDescent="0.3">
      <c r="D28391" s="1"/>
      <c r="G28391" s="13"/>
    </row>
    <row r="28392" spans="4:7" x14ac:dyDescent="0.3">
      <c r="D28392" s="1"/>
      <c r="G28392" s="13"/>
    </row>
    <row r="28393" spans="4:7" x14ac:dyDescent="0.3">
      <c r="D28393" s="1"/>
      <c r="G28393" s="13"/>
    </row>
    <row r="28394" spans="4:7" x14ac:dyDescent="0.3">
      <c r="D28394" s="1"/>
      <c r="G28394" s="13"/>
    </row>
    <row r="28395" spans="4:7" x14ac:dyDescent="0.3">
      <c r="D28395" s="1"/>
      <c r="G28395" s="13"/>
    </row>
    <row r="28396" spans="4:7" x14ac:dyDescent="0.3">
      <c r="D28396" s="1"/>
      <c r="G28396" s="13"/>
    </row>
    <row r="28397" spans="4:7" x14ac:dyDescent="0.3">
      <c r="D28397" s="1"/>
      <c r="G28397" s="13"/>
    </row>
    <row r="28398" spans="4:7" x14ac:dyDescent="0.3">
      <c r="D28398" s="1"/>
      <c r="G28398" s="13"/>
    </row>
    <row r="28399" spans="4:7" x14ac:dyDescent="0.3">
      <c r="D28399" s="1"/>
      <c r="G28399" s="13"/>
    </row>
    <row r="28400" spans="4:7" x14ac:dyDescent="0.3">
      <c r="D28400" s="1"/>
      <c r="G28400" s="13"/>
    </row>
    <row r="28401" spans="4:7" x14ac:dyDescent="0.3">
      <c r="D28401" s="1"/>
      <c r="G28401" s="13"/>
    </row>
    <row r="28402" spans="4:7" x14ac:dyDescent="0.3">
      <c r="D28402" s="1"/>
      <c r="G28402" s="13"/>
    </row>
    <row r="28403" spans="4:7" x14ac:dyDescent="0.3">
      <c r="D28403" s="1"/>
      <c r="G28403" s="13"/>
    </row>
    <row r="28404" spans="4:7" x14ac:dyDescent="0.3">
      <c r="D28404" s="1"/>
      <c r="G28404" s="13"/>
    </row>
    <row r="28405" spans="4:7" x14ac:dyDescent="0.3">
      <c r="D28405" s="1"/>
      <c r="G28405" s="13"/>
    </row>
    <row r="28406" spans="4:7" x14ac:dyDescent="0.3">
      <c r="D28406" s="1"/>
      <c r="G28406" s="13"/>
    </row>
    <row r="28407" spans="4:7" x14ac:dyDescent="0.3">
      <c r="D28407" s="1"/>
      <c r="G28407" s="13"/>
    </row>
    <row r="28408" spans="4:7" x14ac:dyDescent="0.3">
      <c r="D28408" s="1"/>
      <c r="G28408" s="13"/>
    </row>
    <row r="28409" spans="4:7" x14ac:dyDescent="0.3">
      <c r="D28409" s="1"/>
      <c r="G28409" s="13"/>
    </row>
    <row r="28410" spans="4:7" x14ac:dyDescent="0.3">
      <c r="D28410" s="1"/>
      <c r="G28410" s="13"/>
    </row>
    <row r="28411" spans="4:7" x14ac:dyDescent="0.3">
      <c r="G28411" s="13"/>
    </row>
    <row r="28412" spans="4:7" x14ac:dyDescent="0.3">
      <c r="D28412" s="1"/>
      <c r="G28412" s="13"/>
    </row>
    <row r="28413" spans="4:7" x14ac:dyDescent="0.3">
      <c r="G28413" s="13"/>
    </row>
    <row r="28414" spans="4:7" x14ac:dyDescent="0.3">
      <c r="D28414" s="1"/>
      <c r="G28414" s="13"/>
    </row>
    <row r="28415" spans="4:7" x14ac:dyDescent="0.3">
      <c r="D28415" s="1"/>
      <c r="G28415" s="13"/>
    </row>
    <row r="28416" spans="4:7" x14ac:dyDescent="0.3">
      <c r="D28416" s="1"/>
      <c r="G28416" s="13"/>
    </row>
    <row r="28417" spans="4:7" x14ac:dyDescent="0.3">
      <c r="D28417" s="1"/>
      <c r="G28417" s="13"/>
    </row>
    <row r="28418" spans="4:7" x14ac:dyDescent="0.3">
      <c r="D28418" s="1"/>
      <c r="G28418" s="13"/>
    </row>
    <row r="28419" spans="4:7" x14ac:dyDescent="0.3">
      <c r="D28419" s="1"/>
      <c r="G28419" s="13"/>
    </row>
    <row r="28420" spans="4:7" x14ac:dyDescent="0.3">
      <c r="D28420" s="1"/>
      <c r="G28420" s="13"/>
    </row>
    <row r="28421" spans="4:7" x14ac:dyDescent="0.3">
      <c r="D28421" s="1"/>
      <c r="G28421" s="13"/>
    </row>
    <row r="28422" spans="4:7" x14ac:dyDescent="0.3">
      <c r="D28422" s="1"/>
      <c r="G28422" s="13"/>
    </row>
    <row r="28423" spans="4:7" x14ac:dyDescent="0.3">
      <c r="D28423" s="1"/>
      <c r="G28423" s="13"/>
    </row>
    <row r="28424" spans="4:7" x14ac:dyDescent="0.3">
      <c r="D28424" s="1"/>
      <c r="G28424" s="13"/>
    </row>
    <row r="28425" spans="4:7" x14ac:dyDescent="0.3">
      <c r="D28425" s="1"/>
      <c r="G28425" s="13"/>
    </row>
    <row r="28426" spans="4:7" x14ac:dyDescent="0.3">
      <c r="D28426" s="1"/>
      <c r="G28426" s="13"/>
    </row>
    <row r="28427" spans="4:7" x14ac:dyDescent="0.3">
      <c r="D28427" s="1"/>
      <c r="G28427" s="13"/>
    </row>
    <row r="28428" spans="4:7" x14ac:dyDescent="0.3">
      <c r="D28428" s="1"/>
      <c r="G28428" s="13"/>
    </row>
    <row r="28429" spans="4:7" x14ac:dyDescent="0.3">
      <c r="D28429" s="1"/>
      <c r="G28429" s="13"/>
    </row>
    <row r="28430" spans="4:7" x14ac:dyDescent="0.3">
      <c r="D28430" s="1"/>
      <c r="G28430" s="13"/>
    </row>
    <row r="28431" spans="4:7" x14ac:dyDescent="0.3">
      <c r="D28431" s="1"/>
      <c r="G28431" s="13"/>
    </row>
    <row r="28432" spans="4:7" x14ac:dyDescent="0.3">
      <c r="D28432" s="1"/>
      <c r="G28432" s="13"/>
    </row>
    <row r="28433" spans="4:7" x14ac:dyDescent="0.3">
      <c r="D28433" s="1"/>
      <c r="G28433" s="13"/>
    </row>
    <row r="28434" spans="4:7" x14ac:dyDescent="0.3">
      <c r="D28434" s="1"/>
      <c r="G28434" s="13"/>
    </row>
    <row r="28435" spans="4:7" x14ac:dyDescent="0.3">
      <c r="D28435" s="1"/>
      <c r="G28435" s="13"/>
    </row>
    <row r="28436" spans="4:7" x14ac:dyDescent="0.3">
      <c r="D28436" s="1"/>
      <c r="G28436" s="13"/>
    </row>
    <row r="28437" spans="4:7" x14ac:dyDescent="0.3">
      <c r="D28437" s="1"/>
      <c r="G28437" s="13"/>
    </row>
    <row r="28438" spans="4:7" x14ac:dyDescent="0.3">
      <c r="D28438" s="1"/>
      <c r="G28438" s="13"/>
    </row>
    <row r="28439" spans="4:7" x14ac:dyDescent="0.3">
      <c r="D28439" s="1"/>
      <c r="G28439" s="13"/>
    </row>
    <row r="28440" spans="4:7" x14ac:dyDescent="0.3">
      <c r="D28440" s="1"/>
      <c r="G28440" s="13"/>
    </row>
    <row r="28441" spans="4:7" x14ac:dyDescent="0.3">
      <c r="D28441" s="1"/>
      <c r="G28441" s="13"/>
    </row>
    <row r="28442" spans="4:7" x14ac:dyDescent="0.3">
      <c r="D28442" s="1"/>
      <c r="G28442" s="13"/>
    </row>
    <row r="28443" spans="4:7" x14ac:dyDescent="0.3">
      <c r="D28443" s="1"/>
      <c r="G28443" s="13"/>
    </row>
    <row r="28444" spans="4:7" x14ac:dyDescent="0.3">
      <c r="D28444" s="1"/>
      <c r="G28444" s="13"/>
    </row>
    <row r="28445" spans="4:7" x14ac:dyDescent="0.3">
      <c r="D28445" s="1"/>
      <c r="G28445" s="13"/>
    </row>
    <row r="28446" spans="4:7" x14ac:dyDescent="0.3">
      <c r="D28446" s="1"/>
      <c r="G28446" s="13"/>
    </row>
    <row r="28447" spans="4:7" x14ac:dyDescent="0.3">
      <c r="D28447" s="1"/>
      <c r="G28447" s="13"/>
    </row>
    <row r="28448" spans="4:7" x14ac:dyDescent="0.3">
      <c r="D28448" s="1"/>
      <c r="G28448" s="13"/>
    </row>
    <row r="28449" spans="4:7" x14ac:dyDescent="0.3">
      <c r="D28449" s="1"/>
      <c r="G28449" s="13"/>
    </row>
    <row r="28450" spans="4:7" x14ac:dyDescent="0.3">
      <c r="D28450" s="1"/>
      <c r="G28450" s="13"/>
    </row>
    <row r="28451" spans="4:7" x14ac:dyDescent="0.3">
      <c r="D28451" s="1"/>
      <c r="G28451" s="13"/>
    </row>
    <row r="28452" spans="4:7" x14ac:dyDescent="0.3">
      <c r="D28452" s="1"/>
      <c r="G28452" s="13"/>
    </row>
    <row r="28453" spans="4:7" x14ac:dyDescent="0.3">
      <c r="D28453" s="1"/>
      <c r="G28453" s="13"/>
    </row>
    <row r="28454" spans="4:7" x14ac:dyDescent="0.3">
      <c r="D28454" s="1"/>
      <c r="G28454" s="13"/>
    </row>
    <row r="28455" spans="4:7" x14ac:dyDescent="0.3">
      <c r="D28455" s="1"/>
      <c r="G28455" s="13"/>
    </row>
    <row r="28456" spans="4:7" x14ac:dyDescent="0.3">
      <c r="D28456" s="1"/>
      <c r="G28456" s="13"/>
    </row>
    <row r="28457" spans="4:7" x14ac:dyDescent="0.3">
      <c r="D28457" s="1"/>
      <c r="G28457" s="13"/>
    </row>
    <row r="28458" spans="4:7" x14ac:dyDescent="0.3">
      <c r="D28458" s="1"/>
      <c r="G28458" s="13"/>
    </row>
    <row r="28459" spans="4:7" x14ac:dyDescent="0.3">
      <c r="D28459" s="1"/>
      <c r="G28459" s="13"/>
    </row>
    <row r="28460" spans="4:7" x14ac:dyDescent="0.3">
      <c r="D28460" s="1"/>
      <c r="G28460" s="13"/>
    </row>
    <row r="28461" spans="4:7" x14ac:dyDescent="0.3">
      <c r="D28461" s="1"/>
      <c r="G28461" s="13"/>
    </row>
    <row r="28462" spans="4:7" x14ac:dyDescent="0.3">
      <c r="D28462" s="1"/>
      <c r="G28462" s="13"/>
    </row>
    <row r="28463" spans="4:7" x14ac:dyDescent="0.3">
      <c r="D28463" s="1"/>
      <c r="G28463" s="13"/>
    </row>
    <row r="28464" spans="4:7" x14ac:dyDescent="0.3">
      <c r="D28464" s="1"/>
      <c r="G28464" s="13"/>
    </row>
    <row r="28465" spans="4:7" x14ac:dyDescent="0.3">
      <c r="D28465" s="1"/>
      <c r="G28465" s="13"/>
    </row>
    <row r="28466" spans="4:7" x14ac:dyDescent="0.3">
      <c r="D28466" s="1"/>
      <c r="G28466" s="13"/>
    </row>
    <row r="28467" spans="4:7" x14ac:dyDescent="0.3">
      <c r="D28467" s="1"/>
      <c r="G28467" s="13"/>
    </row>
    <row r="28468" spans="4:7" x14ac:dyDescent="0.3">
      <c r="D28468" s="1"/>
      <c r="G28468" s="13"/>
    </row>
    <row r="28469" spans="4:7" x14ac:dyDescent="0.3">
      <c r="D28469" s="1"/>
      <c r="G28469" s="13"/>
    </row>
    <row r="28470" spans="4:7" x14ac:dyDescent="0.3">
      <c r="D28470" s="1"/>
      <c r="G28470" s="13"/>
    </row>
    <row r="28471" spans="4:7" x14ac:dyDescent="0.3">
      <c r="D28471" s="1"/>
      <c r="G28471" s="13"/>
    </row>
    <row r="28472" spans="4:7" x14ac:dyDescent="0.3">
      <c r="D28472" s="1"/>
      <c r="G28472" s="13"/>
    </row>
    <row r="28473" spans="4:7" x14ac:dyDescent="0.3">
      <c r="D28473" s="1"/>
      <c r="G28473" s="13"/>
    </row>
    <row r="28474" spans="4:7" x14ac:dyDescent="0.3">
      <c r="D28474" s="1"/>
      <c r="G28474" s="13"/>
    </row>
    <row r="28475" spans="4:7" x14ac:dyDescent="0.3">
      <c r="D28475" s="1"/>
      <c r="G28475" s="13"/>
    </row>
    <row r="28476" spans="4:7" x14ac:dyDescent="0.3">
      <c r="D28476" s="1"/>
      <c r="G28476" s="13"/>
    </row>
    <row r="28477" spans="4:7" x14ac:dyDescent="0.3">
      <c r="D28477" s="1"/>
      <c r="G28477" s="13"/>
    </row>
    <row r="28478" spans="4:7" x14ac:dyDescent="0.3">
      <c r="D28478" s="1"/>
      <c r="G28478" s="13"/>
    </row>
    <row r="28479" spans="4:7" x14ac:dyDescent="0.3">
      <c r="D28479" s="1"/>
      <c r="G28479" s="13"/>
    </row>
    <row r="28480" spans="4:7" x14ac:dyDescent="0.3">
      <c r="D28480" s="1"/>
      <c r="G28480" s="13"/>
    </row>
    <row r="28481" spans="4:7" x14ac:dyDescent="0.3">
      <c r="D28481" s="1"/>
      <c r="G28481" s="13"/>
    </row>
    <row r="28482" spans="4:7" x14ac:dyDescent="0.3">
      <c r="D28482" s="1"/>
      <c r="G28482" s="13"/>
    </row>
    <row r="28483" spans="4:7" x14ac:dyDescent="0.3">
      <c r="D28483" s="1"/>
      <c r="G28483" s="13"/>
    </row>
    <row r="28484" spans="4:7" x14ac:dyDescent="0.3">
      <c r="D28484" s="1"/>
      <c r="G28484" s="13"/>
    </row>
    <row r="28485" spans="4:7" x14ac:dyDescent="0.3">
      <c r="D28485" s="1"/>
      <c r="G28485" s="13"/>
    </row>
    <row r="28486" spans="4:7" x14ac:dyDescent="0.3">
      <c r="D28486" s="1"/>
      <c r="G28486" s="13"/>
    </row>
    <row r="28487" spans="4:7" x14ac:dyDescent="0.3">
      <c r="D28487" s="1"/>
      <c r="G28487" s="13"/>
    </row>
    <row r="28488" spans="4:7" x14ac:dyDescent="0.3">
      <c r="D28488" s="1"/>
      <c r="G28488" s="13"/>
    </row>
    <row r="28489" spans="4:7" x14ac:dyDescent="0.3">
      <c r="D28489" s="1"/>
      <c r="G28489" s="13"/>
    </row>
    <row r="28490" spans="4:7" x14ac:dyDescent="0.3">
      <c r="D28490" s="1"/>
      <c r="G28490" s="13"/>
    </row>
    <row r="28491" spans="4:7" x14ac:dyDescent="0.3">
      <c r="D28491" s="1"/>
      <c r="G28491" s="13"/>
    </row>
    <row r="28492" spans="4:7" x14ac:dyDescent="0.3">
      <c r="D28492" s="1"/>
      <c r="G28492" s="13"/>
    </row>
    <row r="28493" spans="4:7" x14ac:dyDescent="0.3">
      <c r="D28493" s="1"/>
      <c r="G28493" s="13"/>
    </row>
    <row r="28494" spans="4:7" x14ac:dyDescent="0.3">
      <c r="D28494" s="1"/>
      <c r="G28494" s="13"/>
    </row>
    <row r="28495" spans="4:7" x14ac:dyDescent="0.3">
      <c r="D28495" s="1"/>
      <c r="G28495" s="13"/>
    </row>
    <row r="28496" spans="4:7" x14ac:dyDescent="0.3">
      <c r="D28496" s="1"/>
      <c r="G28496" s="13"/>
    </row>
    <row r="28497" spans="4:7" x14ac:dyDescent="0.3">
      <c r="D28497" s="1"/>
      <c r="G28497" s="13"/>
    </row>
    <row r="28498" spans="4:7" x14ac:dyDescent="0.3">
      <c r="D28498" s="1"/>
      <c r="G28498" s="13"/>
    </row>
    <row r="28499" spans="4:7" x14ac:dyDescent="0.3">
      <c r="D28499" s="1"/>
      <c r="G28499" s="13"/>
    </row>
    <row r="28500" spans="4:7" x14ac:dyDescent="0.3">
      <c r="D28500" s="1"/>
      <c r="G28500" s="13"/>
    </row>
    <row r="28501" spans="4:7" x14ac:dyDescent="0.3">
      <c r="D28501" s="1"/>
      <c r="G28501" s="13"/>
    </row>
    <row r="28502" spans="4:7" x14ac:dyDescent="0.3">
      <c r="D28502" s="1"/>
      <c r="G28502" s="13"/>
    </row>
    <row r="28503" spans="4:7" x14ac:dyDescent="0.3">
      <c r="D28503" s="1"/>
    </row>
    <row r="28504" spans="4:7" x14ac:dyDescent="0.3">
      <c r="D28504" s="1"/>
      <c r="G28504" s="13"/>
    </row>
    <row r="28505" spans="4:7" x14ac:dyDescent="0.3">
      <c r="D28505" s="1"/>
      <c r="G28505" s="13"/>
    </row>
    <row r="28506" spans="4:7" x14ac:dyDescent="0.3">
      <c r="D28506" s="1"/>
      <c r="G28506" s="13"/>
    </row>
    <row r="28507" spans="4:7" x14ac:dyDescent="0.3">
      <c r="D28507" s="1"/>
      <c r="G28507" s="13"/>
    </row>
    <row r="28508" spans="4:7" x14ac:dyDescent="0.3">
      <c r="D28508" s="1"/>
      <c r="G28508" s="13"/>
    </row>
    <row r="28509" spans="4:7" x14ac:dyDescent="0.3">
      <c r="D28509" s="1"/>
      <c r="G28509" s="13"/>
    </row>
    <row r="28510" spans="4:7" x14ac:dyDescent="0.3">
      <c r="D28510" s="1"/>
      <c r="G28510" s="13"/>
    </row>
    <row r="28511" spans="4:7" x14ac:dyDescent="0.3">
      <c r="D28511" s="1"/>
      <c r="G28511" s="13"/>
    </row>
    <row r="28512" spans="4:7" x14ac:dyDescent="0.3">
      <c r="G28512" s="13"/>
    </row>
    <row r="28513" spans="4:7" x14ac:dyDescent="0.3">
      <c r="D28513" s="1"/>
      <c r="G28513" s="13"/>
    </row>
    <row r="28514" spans="4:7" x14ac:dyDescent="0.3">
      <c r="D28514" s="1"/>
      <c r="G28514" s="13"/>
    </row>
    <row r="28515" spans="4:7" x14ac:dyDescent="0.3">
      <c r="D28515" s="1"/>
      <c r="G28515" s="13"/>
    </row>
    <row r="28516" spans="4:7" x14ac:dyDescent="0.3">
      <c r="D28516" s="1"/>
      <c r="G28516" s="13"/>
    </row>
    <row r="28517" spans="4:7" x14ac:dyDescent="0.3">
      <c r="D28517" s="1"/>
      <c r="G28517" s="13"/>
    </row>
    <row r="28518" spans="4:7" x14ac:dyDescent="0.3">
      <c r="G28518" s="13"/>
    </row>
    <row r="28519" spans="4:7" x14ac:dyDescent="0.3">
      <c r="D28519" s="1"/>
      <c r="G28519" s="13"/>
    </row>
    <row r="28520" spans="4:7" x14ac:dyDescent="0.3">
      <c r="D28520" s="1"/>
      <c r="G28520" s="13"/>
    </row>
    <row r="28521" spans="4:7" x14ac:dyDescent="0.3">
      <c r="D28521" s="1"/>
      <c r="G28521" s="13"/>
    </row>
    <row r="28522" spans="4:7" x14ac:dyDescent="0.3">
      <c r="D28522" s="1"/>
      <c r="G28522" s="13"/>
    </row>
    <row r="28523" spans="4:7" x14ac:dyDescent="0.3">
      <c r="D28523" s="1"/>
      <c r="G28523" s="13"/>
    </row>
    <row r="28524" spans="4:7" x14ac:dyDescent="0.3">
      <c r="D28524" s="1"/>
      <c r="G28524" s="13"/>
    </row>
    <row r="28525" spans="4:7" x14ac:dyDescent="0.3">
      <c r="D28525" s="1"/>
      <c r="G28525" s="13"/>
    </row>
    <row r="28526" spans="4:7" x14ac:dyDescent="0.3">
      <c r="D28526" s="1"/>
      <c r="G28526" s="13"/>
    </row>
    <row r="28527" spans="4:7" x14ac:dyDescent="0.3">
      <c r="D28527" s="1"/>
      <c r="G28527" s="13"/>
    </row>
    <row r="28528" spans="4:7" x14ac:dyDescent="0.3">
      <c r="D28528" s="1"/>
      <c r="G28528" s="13"/>
    </row>
    <row r="28529" spans="4:7" x14ac:dyDescent="0.3">
      <c r="D28529" s="1"/>
      <c r="G28529" s="13"/>
    </row>
    <row r="28530" spans="4:7" x14ac:dyDescent="0.3">
      <c r="D28530" s="1"/>
      <c r="G28530" s="13"/>
    </row>
    <row r="28531" spans="4:7" x14ac:dyDescent="0.3">
      <c r="D28531" s="1"/>
      <c r="G28531" s="13"/>
    </row>
    <row r="28532" spans="4:7" x14ac:dyDescent="0.3">
      <c r="G28532" s="13"/>
    </row>
    <row r="28533" spans="4:7" x14ac:dyDescent="0.3">
      <c r="D28533" s="1"/>
      <c r="G28533" s="13"/>
    </row>
    <row r="28534" spans="4:7" x14ac:dyDescent="0.3">
      <c r="D28534" s="1"/>
      <c r="G28534" s="13"/>
    </row>
    <row r="28535" spans="4:7" x14ac:dyDescent="0.3">
      <c r="D28535" s="1"/>
      <c r="G28535" s="13"/>
    </row>
    <row r="28536" spans="4:7" x14ac:dyDescent="0.3">
      <c r="D28536" s="1"/>
      <c r="G28536" s="13"/>
    </row>
    <row r="28537" spans="4:7" x14ac:dyDescent="0.3">
      <c r="D28537" s="1"/>
      <c r="G28537" s="13"/>
    </row>
    <row r="28538" spans="4:7" x14ac:dyDescent="0.3">
      <c r="D28538" s="1"/>
      <c r="G28538" s="13"/>
    </row>
    <row r="28539" spans="4:7" x14ac:dyDescent="0.3">
      <c r="D28539" s="1"/>
      <c r="G28539" s="13"/>
    </row>
    <row r="28540" spans="4:7" x14ac:dyDescent="0.3">
      <c r="D28540" s="1"/>
      <c r="G28540" s="13"/>
    </row>
    <row r="28541" spans="4:7" x14ac:dyDescent="0.3">
      <c r="D28541" s="1"/>
      <c r="G28541" s="13"/>
    </row>
    <row r="28542" spans="4:7" x14ac:dyDescent="0.3">
      <c r="D28542" s="1"/>
      <c r="G28542" s="13"/>
    </row>
    <row r="28543" spans="4:7" x14ac:dyDescent="0.3">
      <c r="D28543" s="1"/>
      <c r="G28543" s="13"/>
    </row>
    <row r="28544" spans="4:7" x14ac:dyDescent="0.3">
      <c r="D28544" s="1"/>
      <c r="G28544" s="13"/>
    </row>
    <row r="28545" spans="4:7" x14ac:dyDescent="0.3">
      <c r="D28545" s="1"/>
      <c r="G28545" s="13"/>
    </row>
    <row r="28546" spans="4:7" x14ac:dyDescent="0.3">
      <c r="D28546" s="1"/>
      <c r="G28546" s="13"/>
    </row>
    <row r="28547" spans="4:7" x14ac:dyDescent="0.3">
      <c r="D28547" s="1"/>
      <c r="G28547" s="13"/>
    </row>
    <row r="28548" spans="4:7" x14ac:dyDescent="0.3">
      <c r="D28548" s="1"/>
      <c r="G28548" s="13"/>
    </row>
    <row r="28549" spans="4:7" x14ac:dyDescent="0.3">
      <c r="D28549" s="1"/>
      <c r="G28549" s="13"/>
    </row>
    <row r="28550" spans="4:7" x14ac:dyDescent="0.3">
      <c r="D28550" s="1"/>
      <c r="G28550" s="13"/>
    </row>
    <row r="28551" spans="4:7" x14ac:dyDescent="0.3">
      <c r="D28551" s="1"/>
      <c r="G28551" s="13"/>
    </row>
    <row r="28552" spans="4:7" x14ac:dyDescent="0.3">
      <c r="D28552" s="1"/>
      <c r="G28552" s="13"/>
    </row>
    <row r="28553" spans="4:7" x14ac:dyDescent="0.3">
      <c r="D28553" s="1"/>
      <c r="G28553" s="13"/>
    </row>
    <row r="28554" spans="4:7" x14ac:dyDescent="0.3">
      <c r="D28554" s="1"/>
      <c r="G28554" s="13"/>
    </row>
    <row r="28555" spans="4:7" x14ac:dyDescent="0.3">
      <c r="D28555" s="1"/>
      <c r="G28555" s="13"/>
    </row>
    <row r="28556" spans="4:7" x14ac:dyDescent="0.3">
      <c r="D28556" s="1"/>
      <c r="G28556" s="13"/>
    </row>
    <row r="28557" spans="4:7" x14ac:dyDescent="0.3">
      <c r="D28557" s="1"/>
      <c r="G28557" s="13"/>
    </row>
    <row r="28558" spans="4:7" x14ac:dyDescent="0.3">
      <c r="D28558" s="1"/>
      <c r="G28558" s="13"/>
    </row>
    <row r="28559" spans="4:7" x14ac:dyDescent="0.3">
      <c r="D28559" s="1"/>
      <c r="G28559" s="13"/>
    </row>
    <row r="28560" spans="4:7" x14ac:dyDescent="0.3">
      <c r="D28560" s="1"/>
      <c r="G28560" s="13"/>
    </row>
    <row r="28561" spans="4:7" x14ac:dyDescent="0.3">
      <c r="D28561" s="1"/>
      <c r="G28561" s="13"/>
    </row>
    <row r="28562" spans="4:7" x14ac:dyDescent="0.3">
      <c r="D28562" s="1"/>
      <c r="G28562" s="13"/>
    </row>
    <row r="28563" spans="4:7" x14ac:dyDescent="0.3">
      <c r="D28563" s="1"/>
      <c r="G28563" s="13"/>
    </row>
    <row r="28564" spans="4:7" x14ac:dyDescent="0.3">
      <c r="D28564" s="1"/>
      <c r="G28564" s="13"/>
    </row>
    <row r="28565" spans="4:7" x14ac:dyDescent="0.3">
      <c r="D28565" s="1"/>
      <c r="G28565" s="13"/>
    </row>
    <row r="28566" spans="4:7" x14ac:dyDescent="0.3">
      <c r="D28566" s="1"/>
      <c r="G28566" s="13"/>
    </row>
    <row r="28567" spans="4:7" x14ac:dyDescent="0.3">
      <c r="D28567" s="1"/>
      <c r="G28567" s="13"/>
    </row>
    <row r="28568" spans="4:7" x14ac:dyDescent="0.3">
      <c r="D28568" s="1"/>
      <c r="G28568" s="13"/>
    </row>
    <row r="28569" spans="4:7" x14ac:dyDescent="0.3">
      <c r="D28569" s="1"/>
      <c r="G28569" s="13"/>
    </row>
    <row r="28570" spans="4:7" x14ac:dyDescent="0.3">
      <c r="D28570" s="1"/>
      <c r="G28570" s="13"/>
    </row>
    <row r="28571" spans="4:7" x14ac:dyDescent="0.3">
      <c r="G28571" s="13"/>
    </row>
    <row r="28572" spans="4:7" x14ac:dyDescent="0.3">
      <c r="D28572" s="1"/>
      <c r="G28572" s="13"/>
    </row>
    <row r="28573" spans="4:7" x14ac:dyDescent="0.3">
      <c r="G28573" s="13"/>
    </row>
    <row r="28574" spans="4:7" x14ac:dyDescent="0.3">
      <c r="D28574" s="1"/>
      <c r="G28574" s="13"/>
    </row>
    <row r="28575" spans="4:7" x14ac:dyDescent="0.3">
      <c r="D28575" s="1"/>
      <c r="G28575" s="13"/>
    </row>
    <row r="28576" spans="4:7" x14ac:dyDescent="0.3">
      <c r="D28576" s="1"/>
      <c r="G28576" s="13"/>
    </row>
    <row r="28577" spans="4:7" x14ac:dyDescent="0.3">
      <c r="D28577" s="1"/>
      <c r="G28577" s="13"/>
    </row>
    <row r="28578" spans="4:7" x14ac:dyDescent="0.3">
      <c r="D28578" s="1"/>
      <c r="G28578" s="13"/>
    </row>
    <row r="28579" spans="4:7" x14ac:dyDescent="0.3">
      <c r="D28579" s="1"/>
      <c r="G28579" s="13"/>
    </row>
    <row r="28580" spans="4:7" x14ac:dyDescent="0.3">
      <c r="D28580" s="1"/>
      <c r="G28580" s="13"/>
    </row>
    <row r="28581" spans="4:7" x14ac:dyDescent="0.3">
      <c r="D28581" s="1"/>
      <c r="G28581" s="13"/>
    </row>
    <row r="28582" spans="4:7" x14ac:dyDescent="0.3">
      <c r="D28582" s="1"/>
      <c r="G28582" s="13"/>
    </row>
    <row r="28583" spans="4:7" x14ac:dyDescent="0.3">
      <c r="D28583" s="1"/>
      <c r="G28583" s="13"/>
    </row>
    <row r="28584" spans="4:7" x14ac:dyDescent="0.3">
      <c r="D28584" s="1"/>
      <c r="G28584" s="13"/>
    </row>
    <row r="28585" spans="4:7" x14ac:dyDescent="0.3">
      <c r="D28585" s="1"/>
      <c r="G28585" s="13"/>
    </row>
    <row r="28586" spans="4:7" x14ac:dyDescent="0.3">
      <c r="D28586" s="1"/>
      <c r="G28586" s="13"/>
    </row>
    <row r="28587" spans="4:7" x14ac:dyDescent="0.3">
      <c r="D28587" s="1"/>
      <c r="G28587" s="13"/>
    </row>
    <row r="28588" spans="4:7" x14ac:dyDescent="0.3">
      <c r="D28588" s="1"/>
      <c r="G28588" s="13"/>
    </row>
    <row r="28589" spans="4:7" x14ac:dyDescent="0.3">
      <c r="D28589" s="1"/>
      <c r="G28589" s="13"/>
    </row>
    <row r="28590" spans="4:7" x14ac:dyDescent="0.3">
      <c r="D28590" s="1"/>
      <c r="G28590" s="13"/>
    </row>
    <row r="28591" spans="4:7" x14ac:dyDescent="0.3">
      <c r="D28591" s="1"/>
      <c r="G28591" s="13"/>
    </row>
    <row r="28592" spans="4:7" x14ac:dyDescent="0.3">
      <c r="D28592" s="1"/>
      <c r="G28592" s="13"/>
    </row>
    <row r="28593" spans="4:7" x14ac:dyDescent="0.3">
      <c r="D28593" s="1"/>
      <c r="G28593" s="13"/>
    </row>
    <row r="28594" spans="4:7" x14ac:dyDescent="0.3">
      <c r="D28594" s="1"/>
      <c r="G28594" s="13"/>
    </row>
    <row r="28595" spans="4:7" x14ac:dyDescent="0.3">
      <c r="D28595" s="1"/>
      <c r="G28595" s="13"/>
    </row>
    <row r="28596" spans="4:7" x14ac:dyDescent="0.3">
      <c r="D28596" s="1"/>
      <c r="G28596" s="13"/>
    </row>
    <row r="28597" spans="4:7" x14ac:dyDescent="0.3">
      <c r="D28597" s="1"/>
      <c r="G28597" s="13"/>
    </row>
    <row r="28598" spans="4:7" x14ac:dyDescent="0.3">
      <c r="D28598" s="1"/>
      <c r="G28598" s="13"/>
    </row>
    <row r="28599" spans="4:7" x14ac:dyDescent="0.3">
      <c r="D28599" s="1"/>
      <c r="G28599" s="13"/>
    </row>
    <row r="28600" spans="4:7" x14ac:dyDescent="0.3">
      <c r="D28600" s="1"/>
      <c r="G28600" s="13"/>
    </row>
    <row r="28601" spans="4:7" x14ac:dyDescent="0.3">
      <c r="D28601" s="1"/>
      <c r="G28601" s="13"/>
    </row>
    <row r="28602" spans="4:7" x14ac:dyDescent="0.3">
      <c r="D28602" s="1"/>
      <c r="G28602" s="13"/>
    </row>
    <row r="28603" spans="4:7" x14ac:dyDescent="0.3">
      <c r="D28603" s="1"/>
      <c r="G28603" s="13"/>
    </row>
    <row r="28604" spans="4:7" x14ac:dyDescent="0.3">
      <c r="D28604" s="1"/>
      <c r="G28604" s="13"/>
    </row>
    <row r="28605" spans="4:7" x14ac:dyDescent="0.3">
      <c r="D28605" s="1"/>
      <c r="G28605" s="13"/>
    </row>
    <row r="28606" spans="4:7" x14ac:dyDescent="0.3">
      <c r="D28606" s="1"/>
      <c r="G28606" s="13"/>
    </row>
    <row r="28607" spans="4:7" x14ac:dyDescent="0.3">
      <c r="D28607" s="1"/>
      <c r="G28607" s="13"/>
    </row>
    <row r="28608" spans="4:7" x14ac:dyDescent="0.3">
      <c r="D28608" s="1"/>
      <c r="G28608" s="13"/>
    </row>
    <row r="28609" spans="4:7" x14ac:dyDescent="0.3">
      <c r="D28609" s="1"/>
      <c r="G28609" s="13"/>
    </row>
    <row r="28610" spans="4:7" x14ac:dyDescent="0.3">
      <c r="D28610" s="1"/>
      <c r="G28610" s="13"/>
    </row>
    <row r="28611" spans="4:7" x14ac:dyDescent="0.3">
      <c r="D28611" s="1"/>
      <c r="G28611" s="13"/>
    </row>
    <row r="28612" spans="4:7" x14ac:dyDescent="0.3">
      <c r="D28612" s="1"/>
      <c r="G28612" s="13"/>
    </row>
    <row r="28613" spans="4:7" x14ac:dyDescent="0.3">
      <c r="D28613" s="1"/>
      <c r="G28613" s="13"/>
    </row>
    <row r="28614" spans="4:7" x14ac:dyDescent="0.3">
      <c r="D28614" s="1"/>
      <c r="G28614" s="13"/>
    </row>
    <row r="28615" spans="4:7" x14ac:dyDescent="0.3">
      <c r="D28615" s="1"/>
      <c r="G28615" s="13"/>
    </row>
    <row r="28616" spans="4:7" x14ac:dyDescent="0.3">
      <c r="D28616" s="1"/>
      <c r="G28616" s="13"/>
    </row>
    <row r="28617" spans="4:7" x14ac:dyDescent="0.3">
      <c r="D28617" s="1"/>
      <c r="G28617" s="13"/>
    </row>
    <row r="28618" spans="4:7" x14ac:dyDescent="0.3">
      <c r="D28618" s="1"/>
      <c r="G28618" s="13"/>
    </row>
    <row r="28619" spans="4:7" x14ac:dyDescent="0.3">
      <c r="D28619" s="1"/>
      <c r="G28619" s="13"/>
    </row>
    <row r="28620" spans="4:7" x14ac:dyDescent="0.3">
      <c r="D28620" s="1"/>
      <c r="G28620" s="13"/>
    </row>
    <row r="28621" spans="4:7" x14ac:dyDescent="0.3">
      <c r="D28621" s="1"/>
      <c r="G28621" s="13"/>
    </row>
    <row r="28622" spans="4:7" x14ac:dyDescent="0.3">
      <c r="D28622" s="1"/>
      <c r="G28622" s="13"/>
    </row>
    <row r="28623" spans="4:7" x14ac:dyDescent="0.3">
      <c r="D28623" s="1"/>
      <c r="G28623" s="13"/>
    </row>
    <row r="28624" spans="4:7" x14ac:dyDescent="0.3">
      <c r="D28624" s="1"/>
      <c r="G28624" s="13"/>
    </row>
    <row r="28625" spans="4:7" x14ac:dyDescent="0.3">
      <c r="D28625" s="1"/>
      <c r="G28625" s="13"/>
    </row>
    <row r="28626" spans="4:7" x14ac:dyDescent="0.3">
      <c r="D28626" s="1"/>
      <c r="G28626" s="13"/>
    </row>
    <row r="28627" spans="4:7" x14ac:dyDescent="0.3">
      <c r="D28627" s="1"/>
      <c r="G28627" s="13"/>
    </row>
    <row r="28628" spans="4:7" x14ac:dyDescent="0.3">
      <c r="D28628" s="1"/>
      <c r="G28628" s="13"/>
    </row>
    <row r="28629" spans="4:7" x14ac:dyDescent="0.3">
      <c r="D28629" s="1"/>
      <c r="G28629" s="13"/>
    </row>
    <row r="28630" spans="4:7" x14ac:dyDescent="0.3">
      <c r="D28630" s="1"/>
      <c r="G28630" s="13"/>
    </row>
    <row r="28631" spans="4:7" x14ac:dyDescent="0.3">
      <c r="D28631" s="1"/>
      <c r="G28631" s="13"/>
    </row>
    <row r="28632" spans="4:7" x14ac:dyDescent="0.3">
      <c r="D28632" s="1"/>
      <c r="G28632" s="13"/>
    </row>
    <row r="28633" spans="4:7" x14ac:dyDescent="0.3">
      <c r="D28633" s="1"/>
      <c r="G28633" s="13"/>
    </row>
    <row r="28634" spans="4:7" x14ac:dyDescent="0.3">
      <c r="D28634" s="1"/>
      <c r="G28634" s="13"/>
    </row>
    <row r="28635" spans="4:7" x14ac:dyDescent="0.3">
      <c r="D28635" s="1"/>
      <c r="G28635" s="13"/>
    </row>
    <row r="28636" spans="4:7" x14ac:dyDescent="0.3">
      <c r="D28636" s="1"/>
      <c r="G28636" s="13"/>
    </row>
    <row r="28637" spans="4:7" x14ac:dyDescent="0.3">
      <c r="D28637" s="1"/>
      <c r="G28637" s="13"/>
    </row>
    <row r="28638" spans="4:7" x14ac:dyDescent="0.3">
      <c r="D28638" s="1"/>
    </row>
    <row r="28639" spans="4:7" x14ac:dyDescent="0.3">
      <c r="D28639" s="1"/>
      <c r="G28639" s="13"/>
    </row>
    <row r="28640" spans="4:7" x14ac:dyDescent="0.3">
      <c r="D28640" s="1"/>
      <c r="G28640" s="13"/>
    </row>
    <row r="28641" spans="4:7" x14ac:dyDescent="0.3">
      <c r="D28641" s="1"/>
      <c r="G28641" s="13"/>
    </row>
    <row r="28642" spans="4:7" x14ac:dyDescent="0.3">
      <c r="D28642" s="1"/>
      <c r="G28642" s="13"/>
    </row>
    <row r="28643" spans="4:7" x14ac:dyDescent="0.3">
      <c r="D28643" s="1"/>
      <c r="G28643" s="13"/>
    </row>
    <row r="28644" spans="4:7" x14ac:dyDescent="0.3">
      <c r="D28644" s="1"/>
      <c r="G28644" s="13"/>
    </row>
    <row r="28645" spans="4:7" x14ac:dyDescent="0.3">
      <c r="D28645" s="1"/>
      <c r="G28645" s="13"/>
    </row>
    <row r="28646" spans="4:7" x14ac:dyDescent="0.3">
      <c r="G28646" s="13"/>
    </row>
    <row r="28647" spans="4:7" x14ac:dyDescent="0.3">
      <c r="D28647" s="1"/>
      <c r="G28647" s="13"/>
    </row>
    <row r="28648" spans="4:7" x14ac:dyDescent="0.3">
      <c r="G28648" s="13"/>
    </row>
    <row r="28649" spans="4:7" x14ac:dyDescent="0.3">
      <c r="D28649" s="1"/>
      <c r="G28649" s="13"/>
    </row>
    <row r="28650" spans="4:7" x14ac:dyDescent="0.3">
      <c r="D28650" s="1"/>
      <c r="G28650" s="13"/>
    </row>
    <row r="28651" spans="4:7" x14ac:dyDescent="0.3">
      <c r="D28651" s="1"/>
      <c r="G28651" s="13"/>
    </row>
    <row r="28652" spans="4:7" x14ac:dyDescent="0.3">
      <c r="D28652" s="1"/>
      <c r="G28652" s="13"/>
    </row>
    <row r="28653" spans="4:7" x14ac:dyDescent="0.3">
      <c r="G28653" s="13"/>
    </row>
    <row r="28654" spans="4:7" x14ac:dyDescent="0.3">
      <c r="D28654" s="1"/>
      <c r="G28654" s="13"/>
    </row>
    <row r="28655" spans="4:7" x14ac:dyDescent="0.3">
      <c r="D28655" s="1"/>
      <c r="G28655" s="13"/>
    </row>
    <row r="28656" spans="4:7" x14ac:dyDescent="0.3">
      <c r="D28656" s="1"/>
      <c r="G28656" s="13"/>
    </row>
    <row r="28657" spans="4:7" x14ac:dyDescent="0.3">
      <c r="D28657" s="1"/>
      <c r="G28657" s="13"/>
    </row>
    <row r="28658" spans="4:7" x14ac:dyDescent="0.3">
      <c r="D28658" s="1"/>
      <c r="G28658" s="13"/>
    </row>
    <row r="28659" spans="4:7" x14ac:dyDescent="0.3">
      <c r="D28659" s="1"/>
      <c r="G28659" s="13"/>
    </row>
    <row r="28660" spans="4:7" x14ac:dyDescent="0.3">
      <c r="D28660" s="1"/>
      <c r="G28660" s="13"/>
    </row>
    <row r="28661" spans="4:7" x14ac:dyDescent="0.3">
      <c r="D28661" s="1"/>
      <c r="G28661" s="13"/>
    </row>
    <row r="28662" spans="4:7" x14ac:dyDescent="0.3">
      <c r="D28662" s="1"/>
      <c r="G28662" s="13"/>
    </row>
    <row r="28663" spans="4:7" x14ac:dyDescent="0.3">
      <c r="D28663" s="1"/>
      <c r="G28663" s="13"/>
    </row>
    <row r="28664" spans="4:7" x14ac:dyDescent="0.3">
      <c r="D28664" s="1"/>
      <c r="G28664" s="13"/>
    </row>
    <row r="28665" spans="4:7" x14ac:dyDescent="0.3">
      <c r="D28665" s="1"/>
      <c r="G28665" s="13"/>
    </row>
    <row r="28666" spans="4:7" x14ac:dyDescent="0.3">
      <c r="D28666" s="1"/>
      <c r="G28666" s="13"/>
    </row>
    <row r="28667" spans="4:7" x14ac:dyDescent="0.3">
      <c r="D28667" s="1"/>
      <c r="G28667" s="13"/>
    </row>
    <row r="28668" spans="4:7" x14ac:dyDescent="0.3">
      <c r="D28668" s="1"/>
      <c r="G28668" s="13"/>
    </row>
    <row r="28669" spans="4:7" x14ac:dyDescent="0.3">
      <c r="D28669" s="1"/>
      <c r="G28669" s="13"/>
    </row>
    <row r="28670" spans="4:7" x14ac:dyDescent="0.3">
      <c r="D28670" s="1"/>
      <c r="G28670" s="13"/>
    </row>
    <row r="28671" spans="4:7" x14ac:dyDescent="0.3">
      <c r="D28671" s="1"/>
      <c r="G28671" s="13"/>
    </row>
    <row r="28672" spans="4:7" x14ac:dyDescent="0.3">
      <c r="D28672" s="1"/>
      <c r="G28672" s="13"/>
    </row>
    <row r="28673" spans="4:7" x14ac:dyDescent="0.3">
      <c r="D28673" s="1"/>
      <c r="G28673" s="13"/>
    </row>
    <row r="28674" spans="4:7" x14ac:dyDescent="0.3">
      <c r="D28674" s="1"/>
      <c r="G28674" s="13"/>
    </row>
    <row r="28675" spans="4:7" x14ac:dyDescent="0.3">
      <c r="D28675" s="1"/>
      <c r="G28675" s="13"/>
    </row>
    <row r="28676" spans="4:7" x14ac:dyDescent="0.3">
      <c r="D28676" s="1"/>
      <c r="G28676" s="13"/>
    </row>
    <row r="28677" spans="4:7" x14ac:dyDescent="0.3">
      <c r="D28677" s="1"/>
      <c r="G28677" s="13"/>
    </row>
    <row r="28678" spans="4:7" x14ac:dyDescent="0.3">
      <c r="D28678" s="1"/>
      <c r="G28678" s="13"/>
    </row>
    <row r="28679" spans="4:7" x14ac:dyDescent="0.3">
      <c r="D28679" s="1"/>
      <c r="G28679" s="13"/>
    </row>
    <row r="28680" spans="4:7" x14ac:dyDescent="0.3">
      <c r="D28680" s="1"/>
      <c r="G28680" s="13"/>
    </row>
    <row r="28681" spans="4:7" x14ac:dyDescent="0.3">
      <c r="D28681" s="1"/>
      <c r="G28681" s="13"/>
    </row>
    <row r="28682" spans="4:7" x14ac:dyDescent="0.3">
      <c r="D28682" s="1"/>
      <c r="G28682" s="13"/>
    </row>
    <row r="28683" spans="4:7" x14ac:dyDescent="0.3">
      <c r="D28683" s="1"/>
      <c r="G28683" s="13"/>
    </row>
    <row r="28684" spans="4:7" x14ac:dyDescent="0.3">
      <c r="D28684" s="1"/>
      <c r="G28684" s="13"/>
    </row>
    <row r="28685" spans="4:7" x14ac:dyDescent="0.3">
      <c r="D28685" s="1"/>
      <c r="G28685" s="13"/>
    </row>
    <row r="28686" spans="4:7" x14ac:dyDescent="0.3">
      <c r="D28686" s="1"/>
      <c r="G28686" s="13"/>
    </row>
    <row r="28687" spans="4:7" x14ac:dyDescent="0.3">
      <c r="D28687" s="1"/>
      <c r="G28687" s="13"/>
    </row>
    <row r="28688" spans="4:7" x14ac:dyDescent="0.3">
      <c r="D28688" s="1"/>
      <c r="G28688" s="13"/>
    </row>
    <row r="28689" spans="4:7" x14ac:dyDescent="0.3">
      <c r="D28689" s="1"/>
      <c r="G28689" s="13"/>
    </row>
    <row r="28690" spans="4:7" x14ac:dyDescent="0.3">
      <c r="D28690" s="1"/>
      <c r="G28690" s="13"/>
    </row>
    <row r="28691" spans="4:7" x14ac:dyDescent="0.3">
      <c r="D28691" s="1"/>
      <c r="G28691" s="13"/>
    </row>
    <row r="28692" spans="4:7" x14ac:dyDescent="0.3">
      <c r="D28692" s="1"/>
      <c r="G28692" s="13"/>
    </row>
    <row r="28693" spans="4:7" x14ac:dyDescent="0.3">
      <c r="D28693" s="1"/>
      <c r="G28693" s="13"/>
    </row>
    <row r="28694" spans="4:7" x14ac:dyDescent="0.3">
      <c r="D28694" s="1"/>
      <c r="G28694" s="13"/>
    </row>
    <row r="28695" spans="4:7" x14ac:dyDescent="0.3">
      <c r="D28695" s="1"/>
      <c r="G28695" s="13"/>
    </row>
    <row r="28696" spans="4:7" x14ac:dyDescent="0.3">
      <c r="D28696" s="1"/>
      <c r="G28696" s="13"/>
    </row>
    <row r="28697" spans="4:7" x14ac:dyDescent="0.3">
      <c r="D28697" s="1"/>
      <c r="G28697" s="13"/>
    </row>
    <row r="28698" spans="4:7" x14ac:dyDescent="0.3">
      <c r="D28698" s="1"/>
      <c r="G28698" s="13"/>
    </row>
    <row r="28699" spans="4:7" x14ac:dyDescent="0.3">
      <c r="D28699" s="1"/>
      <c r="G28699" s="13"/>
    </row>
    <row r="28700" spans="4:7" x14ac:dyDescent="0.3">
      <c r="D28700" s="1"/>
      <c r="G28700" s="13"/>
    </row>
    <row r="28701" spans="4:7" x14ac:dyDescent="0.3">
      <c r="D28701" s="1"/>
      <c r="G28701" s="13"/>
    </row>
    <row r="28702" spans="4:7" x14ac:dyDescent="0.3">
      <c r="D28702" s="1"/>
      <c r="G28702" s="13"/>
    </row>
    <row r="28703" spans="4:7" x14ac:dyDescent="0.3">
      <c r="D28703" s="1"/>
      <c r="G28703" s="13"/>
    </row>
    <row r="28704" spans="4:7" x14ac:dyDescent="0.3">
      <c r="D28704" s="1"/>
      <c r="G28704" s="13"/>
    </row>
    <row r="28705" spans="4:7" x14ac:dyDescent="0.3">
      <c r="D28705" s="1"/>
      <c r="G28705" s="13"/>
    </row>
    <row r="28706" spans="4:7" x14ac:dyDescent="0.3">
      <c r="D28706" s="1"/>
      <c r="G28706" s="13"/>
    </row>
    <row r="28707" spans="4:7" x14ac:dyDescent="0.3">
      <c r="D28707" s="1"/>
      <c r="G28707" s="13"/>
    </row>
    <row r="28708" spans="4:7" x14ac:dyDescent="0.3">
      <c r="D28708" s="1"/>
      <c r="G28708" s="13"/>
    </row>
    <row r="28709" spans="4:7" x14ac:dyDescent="0.3">
      <c r="D28709" s="1"/>
      <c r="G28709" s="13"/>
    </row>
    <row r="28710" spans="4:7" x14ac:dyDescent="0.3">
      <c r="D28710" s="1"/>
      <c r="G28710" s="13"/>
    </row>
    <row r="28711" spans="4:7" x14ac:dyDescent="0.3">
      <c r="D28711" s="1"/>
      <c r="G28711" s="13"/>
    </row>
    <row r="28712" spans="4:7" x14ac:dyDescent="0.3">
      <c r="D28712" s="1"/>
      <c r="G28712" s="13"/>
    </row>
    <row r="28713" spans="4:7" x14ac:dyDescent="0.3">
      <c r="D28713" s="1"/>
      <c r="G28713" s="13"/>
    </row>
    <row r="28714" spans="4:7" x14ac:dyDescent="0.3">
      <c r="D28714" s="1"/>
      <c r="G28714" s="13"/>
    </row>
    <row r="28715" spans="4:7" x14ac:dyDescent="0.3">
      <c r="D28715" s="1"/>
      <c r="G28715" s="13"/>
    </row>
    <row r="28716" spans="4:7" x14ac:dyDescent="0.3">
      <c r="D28716" s="1"/>
      <c r="G28716" s="13"/>
    </row>
    <row r="28717" spans="4:7" x14ac:dyDescent="0.3">
      <c r="D28717" s="1"/>
      <c r="G28717" s="13"/>
    </row>
    <row r="28718" spans="4:7" x14ac:dyDescent="0.3">
      <c r="D28718" s="1"/>
      <c r="G28718" s="13"/>
    </row>
    <row r="28719" spans="4:7" x14ac:dyDescent="0.3">
      <c r="D28719" s="1"/>
      <c r="G28719" s="13"/>
    </row>
    <row r="28720" spans="4:7" x14ac:dyDescent="0.3">
      <c r="D28720" s="1"/>
      <c r="G28720" s="13"/>
    </row>
    <row r="28721" spans="4:7" x14ac:dyDescent="0.3">
      <c r="D28721" s="1"/>
      <c r="G28721" s="13"/>
    </row>
    <row r="28722" spans="4:7" x14ac:dyDescent="0.3">
      <c r="D28722" s="1"/>
      <c r="G28722" s="13"/>
    </row>
    <row r="28723" spans="4:7" x14ac:dyDescent="0.3">
      <c r="D28723" s="1"/>
      <c r="G28723" s="13"/>
    </row>
    <row r="28724" spans="4:7" x14ac:dyDescent="0.3">
      <c r="D28724" s="1"/>
      <c r="G28724" s="13"/>
    </row>
    <row r="28725" spans="4:7" x14ac:dyDescent="0.3">
      <c r="D28725" s="1"/>
      <c r="G28725" s="13"/>
    </row>
    <row r="28726" spans="4:7" x14ac:dyDescent="0.3">
      <c r="D28726" s="1"/>
      <c r="G28726" s="13"/>
    </row>
    <row r="28727" spans="4:7" x14ac:dyDescent="0.3">
      <c r="D28727" s="1"/>
      <c r="G28727" s="13"/>
    </row>
    <row r="28728" spans="4:7" x14ac:dyDescent="0.3">
      <c r="D28728" s="1"/>
      <c r="G28728" s="13"/>
    </row>
    <row r="28729" spans="4:7" x14ac:dyDescent="0.3">
      <c r="D28729" s="1"/>
      <c r="G28729" s="13"/>
    </row>
    <row r="28730" spans="4:7" x14ac:dyDescent="0.3">
      <c r="D28730" s="1"/>
      <c r="G28730" s="13"/>
    </row>
    <row r="28731" spans="4:7" x14ac:dyDescent="0.3">
      <c r="D28731" s="1"/>
      <c r="G28731" s="13"/>
    </row>
    <row r="28732" spans="4:7" x14ac:dyDescent="0.3">
      <c r="D28732" s="1"/>
      <c r="G28732" s="13"/>
    </row>
    <row r="28733" spans="4:7" x14ac:dyDescent="0.3">
      <c r="D28733" s="1"/>
      <c r="G28733" s="13"/>
    </row>
    <row r="28734" spans="4:7" x14ac:dyDescent="0.3">
      <c r="D28734" s="1"/>
      <c r="G28734" s="13"/>
    </row>
    <row r="28735" spans="4:7" x14ac:dyDescent="0.3">
      <c r="D28735" s="1"/>
      <c r="G28735" s="13"/>
    </row>
    <row r="28736" spans="4:7" x14ac:dyDescent="0.3">
      <c r="D28736" s="1"/>
      <c r="G28736" s="13"/>
    </row>
    <row r="28737" spans="4:7" x14ac:dyDescent="0.3">
      <c r="D28737" s="1"/>
      <c r="G28737" s="13"/>
    </row>
    <row r="28738" spans="4:7" x14ac:dyDescent="0.3">
      <c r="D28738" s="1"/>
      <c r="G28738" s="13"/>
    </row>
    <row r="28739" spans="4:7" x14ac:dyDescent="0.3">
      <c r="D28739" s="1"/>
      <c r="G28739" s="13"/>
    </row>
    <row r="28740" spans="4:7" x14ac:dyDescent="0.3">
      <c r="D28740" s="1"/>
    </row>
    <row r="28741" spans="4:7" x14ac:dyDescent="0.3">
      <c r="D28741" s="1"/>
      <c r="G28741" s="13"/>
    </row>
    <row r="28742" spans="4:7" x14ac:dyDescent="0.3">
      <c r="D28742" s="1"/>
      <c r="G28742" s="13"/>
    </row>
    <row r="28743" spans="4:7" x14ac:dyDescent="0.3">
      <c r="D28743" s="1"/>
      <c r="G28743" s="13"/>
    </row>
    <row r="28744" spans="4:7" x14ac:dyDescent="0.3">
      <c r="D28744" s="1"/>
      <c r="G28744" s="13"/>
    </row>
    <row r="28745" spans="4:7" x14ac:dyDescent="0.3">
      <c r="D28745" s="1"/>
      <c r="G28745" s="13"/>
    </row>
    <row r="28746" spans="4:7" x14ac:dyDescent="0.3">
      <c r="D28746" s="1"/>
      <c r="G28746" s="13"/>
    </row>
    <row r="28747" spans="4:7" x14ac:dyDescent="0.3">
      <c r="D28747" s="1"/>
      <c r="G28747" s="13"/>
    </row>
    <row r="28748" spans="4:7" x14ac:dyDescent="0.3">
      <c r="D28748" s="1"/>
      <c r="G28748" s="13"/>
    </row>
    <row r="28749" spans="4:7" x14ac:dyDescent="0.3">
      <c r="D28749" s="1"/>
      <c r="G28749" s="13"/>
    </row>
    <row r="28750" spans="4:7" x14ac:dyDescent="0.3">
      <c r="D28750" s="1"/>
      <c r="G28750" s="13"/>
    </row>
    <row r="28751" spans="4:7" x14ac:dyDescent="0.3">
      <c r="D28751" s="1"/>
      <c r="G28751" s="13"/>
    </row>
    <row r="28752" spans="4:7" x14ac:dyDescent="0.3">
      <c r="D28752" s="1"/>
      <c r="G28752" s="13"/>
    </row>
    <row r="28753" spans="4:7" x14ac:dyDescent="0.3">
      <c r="D28753" s="1"/>
      <c r="G28753" s="13"/>
    </row>
    <row r="28754" spans="4:7" x14ac:dyDescent="0.3">
      <c r="D28754" s="1"/>
      <c r="G28754" s="13"/>
    </row>
    <row r="28755" spans="4:7" x14ac:dyDescent="0.3">
      <c r="D28755" s="1"/>
      <c r="G28755" s="13"/>
    </row>
    <row r="28756" spans="4:7" x14ac:dyDescent="0.3">
      <c r="D28756" s="1"/>
      <c r="G28756" s="13"/>
    </row>
    <row r="28757" spans="4:7" x14ac:dyDescent="0.3">
      <c r="D28757" s="1"/>
      <c r="G28757" s="13"/>
    </row>
    <row r="28758" spans="4:7" x14ac:dyDescent="0.3">
      <c r="D28758" s="1"/>
      <c r="G28758" s="13"/>
    </row>
    <row r="28759" spans="4:7" x14ac:dyDescent="0.3">
      <c r="D28759" s="1"/>
      <c r="G28759" s="13"/>
    </row>
    <row r="28760" spans="4:7" x14ac:dyDescent="0.3">
      <c r="D28760" s="1"/>
      <c r="G28760" s="13"/>
    </row>
    <row r="28761" spans="4:7" x14ac:dyDescent="0.3">
      <c r="D28761" s="1"/>
      <c r="G28761" s="13"/>
    </row>
    <row r="28762" spans="4:7" x14ac:dyDescent="0.3">
      <c r="D28762" s="1"/>
      <c r="G28762" s="13"/>
    </row>
    <row r="28763" spans="4:7" x14ac:dyDescent="0.3">
      <c r="D28763" s="1"/>
      <c r="G28763" s="13"/>
    </row>
    <row r="28764" spans="4:7" x14ac:dyDescent="0.3">
      <c r="D28764" s="1"/>
      <c r="G28764" s="13"/>
    </row>
    <row r="28765" spans="4:7" x14ac:dyDescent="0.3">
      <c r="D28765" s="1"/>
      <c r="G28765" s="13"/>
    </row>
    <row r="28766" spans="4:7" x14ac:dyDescent="0.3">
      <c r="G28766" s="13"/>
    </row>
    <row r="28767" spans="4:7" x14ac:dyDescent="0.3">
      <c r="D28767" s="1"/>
      <c r="G28767" s="13"/>
    </row>
    <row r="28768" spans="4:7" x14ac:dyDescent="0.3">
      <c r="D28768" s="1"/>
      <c r="G28768" s="13"/>
    </row>
    <row r="28769" spans="4:7" x14ac:dyDescent="0.3">
      <c r="D28769" s="1"/>
      <c r="G28769" s="13"/>
    </row>
    <row r="28770" spans="4:7" x14ac:dyDescent="0.3">
      <c r="D28770" s="1"/>
      <c r="G28770" s="13"/>
    </row>
    <row r="28771" spans="4:7" x14ac:dyDescent="0.3">
      <c r="D28771" s="1"/>
      <c r="G28771" s="13"/>
    </row>
    <row r="28772" spans="4:7" x14ac:dyDescent="0.3">
      <c r="D28772" s="1"/>
      <c r="G28772" s="13"/>
    </row>
    <row r="28773" spans="4:7" x14ac:dyDescent="0.3">
      <c r="D28773" s="1"/>
      <c r="G28773" s="13"/>
    </row>
    <row r="28774" spans="4:7" x14ac:dyDescent="0.3">
      <c r="D28774" s="1"/>
      <c r="G28774" s="13"/>
    </row>
    <row r="28775" spans="4:7" x14ac:dyDescent="0.3">
      <c r="D28775" s="1"/>
      <c r="G28775" s="13"/>
    </row>
    <row r="28776" spans="4:7" x14ac:dyDescent="0.3">
      <c r="D28776" s="1"/>
      <c r="G28776" s="13"/>
    </row>
    <row r="28777" spans="4:7" x14ac:dyDescent="0.3">
      <c r="D28777" s="1"/>
      <c r="G28777" s="13"/>
    </row>
    <row r="28778" spans="4:7" x14ac:dyDescent="0.3">
      <c r="D28778" s="1"/>
      <c r="G28778" s="13"/>
    </row>
    <row r="28779" spans="4:7" x14ac:dyDescent="0.3">
      <c r="D28779" s="1"/>
      <c r="G28779" s="13"/>
    </row>
    <row r="28780" spans="4:7" x14ac:dyDescent="0.3">
      <c r="D28780" s="1"/>
      <c r="G28780" s="13"/>
    </row>
    <row r="28781" spans="4:7" x14ac:dyDescent="0.3">
      <c r="D28781" s="1"/>
      <c r="G28781" s="13"/>
    </row>
    <row r="28782" spans="4:7" x14ac:dyDescent="0.3">
      <c r="D28782" s="1"/>
      <c r="G28782" s="13"/>
    </row>
    <row r="28783" spans="4:7" x14ac:dyDescent="0.3">
      <c r="D28783" s="1"/>
      <c r="G28783" s="13"/>
    </row>
    <row r="28784" spans="4:7" x14ac:dyDescent="0.3">
      <c r="D28784" s="1"/>
      <c r="G28784" s="13"/>
    </row>
    <row r="28785" spans="4:7" x14ac:dyDescent="0.3">
      <c r="D28785" s="1"/>
      <c r="G28785" s="13"/>
    </row>
    <row r="28786" spans="4:7" x14ac:dyDescent="0.3">
      <c r="D28786" s="1"/>
      <c r="G28786" s="13"/>
    </row>
    <row r="28787" spans="4:7" x14ac:dyDescent="0.3">
      <c r="D28787" s="1"/>
      <c r="G28787" s="13"/>
    </row>
    <row r="28788" spans="4:7" x14ac:dyDescent="0.3">
      <c r="D28788" s="1"/>
      <c r="G28788" s="13"/>
    </row>
    <row r="28789" spans="4:7" x14ac:dyDescent="0.3">
      <c r="D28789" s="1"/>
      <c r="G28789" s="13"/>
    </row>
    <row r="28790" spans="4:7" x14ac:dyDescent="0.3">
      <c r="D28790" s="1"/>
      <c r="G28790" s="13"/>
    </row>
    <row r="28791" spans="4:7" x14ac:dyDescent="0.3">
      <c r="D28791" s="1"/>
      <c r="G28791" s="13"/>
    </row>
    <row r="28792" spans="4:7" x14ac:dyDescent="0.3">
      <c r="D28792" s="1"/>
      <c r="G28792" s="13"/>
    </row>
    <row r="28793" spans="4:7" x14ac:dyDescent="0.3">
      <c r="D28793" s="1"/>
      <c r="G28793" s="13"/>
    </row>
    <row r="28794" spans="4:7" x14ac:dyDescent="0.3">
      <c r="D28794" s="1"/>
      <c r="G28794" s="13"/>
    </row>
    <row r="28795" spans="4:7" x14ac:dyDescent="0.3">
      <c r="D28795" s="1"/>
      <c r="G28795" s="13"/>
    </row>
    <row r="28796" spans="4:7" x14ac:dyDescent="0.3">
      <c r="D28796" s="1"/>
      <c r="G28796" s="13"/>
    </row>
    <row r="28797" spans="4:7" x14ac:dyDescent="0.3">
      <c r="D28797" s="1"/>
      <c r="G28797" s="13"/>
    </row>
    <row r="28798" spans="4:7" x14ac:dyDescent="0.3">
      <c r="D28798" s="1"/>
      <c r="G28798" s="13"/>
    </row>
    <row r="28799" spans="4:7" x14ac:dyDescent="0.3">
      <c r="D28799" s="1"/>
      <c r="G28799" s="13"/>
    </row>
    <row r="28800" spans="4:7" x14ac:dyDescent="0.3">
      <c r="D28800" s="1"/>
      <c r="G28800" s="13"/>
    </row>
    <row r="28801" spans="4:7" x14ac:dyDescent="0.3">
      <c r="D28801" s="1"/>
      <c r="G28801" s="13"/>
    </row>
    <row r="28802" spans="4:7" x14ac:dyDescent="0.3">
      <c r="D28802" s="1"/>
      <c r="G28802" s="13"/>
    </row>
    <row r="28803" spans="4:7" x14ac:dyDescent="0.3">
      <c r="D28803" s="1"/>
      <c r="G28803" s="13"/>
    </row>
    <row r="28804" spans="4:7" x14ac:dyDescent="0.3">
      <c r="D28804" s="1"/>
      <c r="G28804" s="13"/>
    </row>
    <row r="28805" spans="4:7" x14ac:dyDescent="0.3">
      <c r="D28805" s="1"/>
      <c r="G28805" s="13"/>
    </row>
    <row r="28806" spans="4:7" x14ac:dyDescent="0.3">
      <c r="D28806" s="1"/>
      <c r="G28806" s="13"/>
    </row>
    <row r="28807" spans="4:7" x14ac:dyDescent="0.3">
      <c r="D28807" s="1"/>
      <c r="G28807" s="13"/>
    </row>
    <row r="28808" spans="4:7" x14ac:dyDescent="0.3">
      <c r="D28808" s="1"/>
      <c r="G28808" s="13"/>
    </row>
    <row r="28809" spans="4:7" x14ac:dyDescent="0.3">
      <c r="D28809" s="1"/>
      <c r="G28809" s="13"/>
    </row>
    <row r="28810" spans="4:7" x14ac:dyDescent="0.3">
      <c r="D28810" s="1"/>
      <c r="G28810" s="13"/>
    </row>
    <row r="28811" spans="4:7" x14ac:dyDescent="0.3">
      <c r="D28811" s="1"/>
      <c r="G28811" s="13"/>
    </row>
    <row r="28812" spans="4:7" x14ac:dyDescent="0.3">
      <c r="D28812" s="1"/>
      <c r="G28812" s="13"/>
    </row>
    <row r="28813" spans="4:7" x14ac:dyDescent="0.3">
      <c r="D28813" s="1"/>
      <c r="G28813" s="13"/>
    </row>
    <row r="28814" spans="4:7" x14ac:dyDescent="0.3">
      <c r="D28814" s="1"/>
      <c r="G28814" s="13"/>
    </row>
    <row r="28815" spans="4:7" x14ac:dyDescent="0.3">
      <c r="D28815" s="1"/>
      <c r="G28815" s="13"/>
    </row>
    <row r="28816" spans="4:7" x14ac:dyDescent="0.3">
      <c r="D28816" s="1"/>
      <c r="G28816" s="13"/>
    </row>
    <row r="28817" spans="4:7" x14ac:dyDescent="0.3">
      <c r="D28817" s="1"/>
      <c r="G28817" s="13"/>
    </row>
    <row r="28818" spans="4:7" x14ac:dyDescent="0.3">
      <c r="D28818" s="1"/>
      <c r="G28818" s="13"/>
    </row>
    <row r="28819" spans="4:7" x14ac:dyDescent="0.3">
      <c r="D28819" s="1"/>
      <c r="G28819" s="13"/>
    </row>
    <row r="28820" spans="4:7" x14ac:dyDescent="0.3">
      <c r="D28820" s="1"/>
      <c r="G28820" s="13"/>
    </row>
    <row r="28821" spans="4:7" x14ac:dyDescent="0.3">
      <c r="D28821" s="1"/>
      <c r="G28821" s="13"/>
    </row>
    <row r="28822" spans="4:7" x14ac:dyDescent="0.3">
      <c r="D28822" s="1"/>
      <c r="G28822" s="13"/>
    </row>
    <row r="28823" spans="4:7" x14ac:dyDescent="0.3">
      <c r="D28823" s="1"/>
      <c r="G28823" s="13"/>
    </row>
    <row r="28824" spans="4:7" x14ac:dyDescent="0.3">
      <c r="D28824" s="1"/>
      <c r="G28824" s="13"/>
    </row>
    <row r="28825" spans="4:7" x14ac:dyDescent="0.3">
      <c r="D28825" s="1"/>
      <c r="G28825" s="13"/>
    </row>
    <row r="28826" spans="4:7" x14ac:dyDescent="0.3">
      <c r="D28826" s="1"/>
      <c r="G28826" s="13"/>
    </row>
    <row r="28827" spans="4:7" x14ac:dyDescent="0.3">
      <c r="D28827" s="1"/>
      <c r="G28827" s="13"/>
    </row>
    <row r="28828" spans="4:7" x14ac:dyDescent="0.3">
      <c r="D28828" s="1"/>
      <c r="G28828" s="13"/>
    </row>
    <row r="28829" spans="4:7" x14ac:dyDescent="0.3">
      <c r="D28829" s="1"/>
      <c r="G28829" s="13"/>
    </row>
    <row r="28830" spans="4:7" x14ac:dyDescent="0.3">
      <c r="D28830" s="1"/>
      <c r="G28830" s="13"/>
    </row>
    <row r="28831" spans="4:7" x14ac:dyDescent="0.3">
      <c r="D28831" s="1"/>
      <c r="G28831" s="13"/>
    </row>
    <row r="28832" spans="4:7" x14ac:dyDescent="0.3">
      <c r="D28832" s="1"/>
      <c r="G28832" s="13"/>
    </row>
    <row r="28833" spans="4:7" x14ac:dyDescent="0.3">
      <c r="D28833" s="1"/>
      <c r="G28833" s="13"/>
    </row>
    <row r="28834" spans="4:7" x14ac:dyDescent="0.3">
      <c r="D28834" s="1"/>
      <c r="G28834" s="13"/>
    </row>
    <row r="28835" spans="4:7" x14ac:dyDescent="0.3">
      <c r="D28835" s="1"/>
      <c r="G28835" s="13"/>
    </row>
    <row r="28836" spans="4:7" x14ac:dyDescent="0.3">
      <c r="D28836" s="1"/>
      <c r="G28836" s="13"/>
    </row>
    <row r="28837" spans="4:7" x14ac:dyDescent="0.3">
      <c r="D28837" s="1"/>
      <c r="G28837" s="13"/>
    </row>
    <row r="28838" spans="4:7" x14ac:dyDescent="0.3">
      <c r="D28838" s="1"/>
      <c r="G28838" s="13"/>
    </row>
    <row r="28839" spans="4:7" x14ac:dyDescent="0.3">
      <c r="D28839" s="1"/>
      <c r="G28839" s="13"/>
    </row>
    <row r="28840" spans="4:7" x14ac:dyDescent="0.3">
      <c r="D28840" s="1"/>
      <c r="G28840" s="13"/>
    </row>
    <row r="28841" spans="4:7" x14ac:dyDescent="0.3">
      <c r="D28841" s="1"/>
      <c r="G28841" s="13"/>
    </row>
    <row r="28842" spans="4:7" x14ac:dyDescent="0.3">
      <c r="D28842" s="1"/>
      <c r="G28842" s="13"/>
    </row>
    <row r="28843" spans="4:7" x14ac:dyDescent="0.3">
      <c r="D28843" s="1"/>
      <c r="G28843" s="13"/>
    </row>
    <row r="28844" spans="4:7" x14ac:dyDescent="0.3">
      <c r="D28844" s="1"/>
      <c r="G28844" s="13"/>
    </row>
    <row r="28845" spans="4:7" x14ac:dyDescent="0.3">
      <c r="D28845" s="1"/>
      <c r="G28845" s="13"/>
    </row>
    <row r="28846" spans="4:7" x14ac:dyDescent="0.3">
      <c r="D28846" s="1"/>
      <c r="G28846" s="13"/>
    </row>
    <row r="28847" spans="4:7" x14ac:dyDescent="0.3">
      <c r="D28847" s="1"/>
      <c r="G28847" s="13"/>
    </row>
    <row r="28848" spans="4:7" x14ac:dyDescent="0.3">
      <c r="D28848" s="1"/>
      <c r="G28848" s="13"/>
    </row>
    <row r="28849" spans="4:7" x14ac:dyDescent="0.3">
      <c r="D28849" s="1"/>
      <c r="G28849" s="13"/>
    </row>
    <row r="28850" spans="4:7" x14ac:dyDescent="0.3">
      <c r="D28850" s="1"/>
      <c r="G28850" s="13"/>
    </row>
    <row r="28851" spans="4:7" x14ac:dyDescent="0.3">
      <c r="D28851" s="1"/>
      <c r="G28851" s="13"/>
    </row>
    <row r="28852" spans="4:7" x14ac:dyDescent="0.3">
      <c r="D28852" s="1"/>
      <c r="G28852" s="13"/>
    </row>
    <row r="28853" spans="4:7" x14ac:dyDescent="0.3">
      <c r="D28853" s="1"/>
      <c r="G28853" s="13"/>
    </row>
    <row r="28854" spans="4:7" x14ac:dyDescent="0.3">
      <c r="D28854" s="1"/>
      <c r="G28854" s="13"/>
    </row>
    <row r="28855" spans="4:7" x14ac:dyDescent="0.3">
      <c r="D28855" s="1"/>
      <c r="G28855" s="13"/>
    </row>
    <row r="28856" spans="4:7" x14ac:dyDescent="0.3">
      <c r="D28856" s="1"/>
      <c r="G28856" s="13"/>
    </row>
    <row r="28857" spans="4:7" x14ac:dyDescent="0.3">
      <c r="D28857" s="1"/>
      <c r="G28857" s="13"/>
    </row>
    <row r="28858" spans="4:7" x14ac:dyDescent="0.3">
      <c r="D28858" s="1"/>
      <c r="G28858" s="13"/>
    </row>
    <row r="28859" spans="4:7" x14ac:dyDescent="0.3">
      <c r="D28859" s="1"/>
      <c r="G28859" s="13"/>
    </row>
    <row r="28860" spans="4:7" x14ac:dyDescent="0.3">
      <c r="D28860" s="1"/>
      <c r="G28860" s="13"/>
    </row>
    <row r="28861" spans="4:7" x14ac:dyDescent="0.3">
      <c r="D28861" s="1"/>
      <c r="G28861" s="13"/>
    </row>
    <row r="28862" spans="4:7" x14ac:dyDescent="0.3">
      <c r="D28862" s="1"/>
      <c r="G28862" s="13"/>
    </row>
    <row r="28863" spans="4:7" x14ac:dyDescent="0.3">
      <c r="D28863" s="1"/>
      <c r="G28863" s="13"/>
    </row>
    <row r="28864" spans="4:7" x14ac:dyDescent="0.3">
      <c r="D28864" s="1"/>
      <c r="G28864" s="13"/>
    </row>
    <row r="28865" spans="4:7" x14ac:dyDescent="0.3">
      <c r="D28865" s="1"/>
      <c r="G28865" s="13"/>
    </row>
    <row r="28866" spans="4:7" x14ac:dyDescent="0.3">
      <c r="D28866" s="1"/>
      <c r="G28866" s="13"/>
    </row>
    <row r="28867" spans="4:7" x14ac:dyDescent="0.3">
      <c r="D28867" s="1"/>
      <c r="G28867" s="13"/>
    </row>
    <row r="28868" spans="4:7" x14ac:dyDescent="0.3">
      <c r="D28868" s="1"/>
      <c r="G28868" s="13"/>
    </row>
    <row r="28869" spans="4:7" x14ac:dyDescent="0.3">
      <c r="D28869" s="1"/>
      <c r="G28869" s="13"/>
    </row>
    <row r="28870" spans="4:7" x14ac:dyDescent="0.3">
      <c r="D28870" s="1"/>
      <c r="G28870" s="13"/>
    </row>
    <row r="28871" spans="4:7" x14ac:dyDescent="0.3">
      <c r="D28871" s="1"/>
      <c r="G28871" s="13"/>
    </row>
    <row r="28872" spans="4:7" x14ac:dyDescent="0.3">
      <c r="D28872" s="1"/>
      <c r="G28872" s="13"/>
    </row>
    <row r="28873" spans="4:7" x14ac:dyDescent="0.3">
      <c r="D28873" s="1"/>
      <c r="G28873" s="13"/>
    </row>
    <row r="28874" spans="4:7" x14ac:dyDescent="0.3">
      <c r="D28874" s="1"/>
      <c r="G28874" s="13"/>
    </row>
    <row r="28875" spans="4:7" x14ac:dyDescent="0.3">
      <c r="D28875" s="1"/>
      <c r="G28875" s="13"/>
    </row>
    <row r="28876" spans="4:7" x14ac:dyDescent="0.3">
      <c r="D28876" s="1"/>
      <c r="G28876" s="13"/>
    </row>
    <row r="28877" spans="4:7" x14ac:dyDescent="0.3">
      <c r="D28877" s="1"/>
      <c r="G28877" s="13"/>
    </row>
    <row r="28878" spans="4:7" x14ac:dyDescent="0.3">
      <c r="D28878" s="1"/>
      <c r="G28878" s="13"/>
    </row>
    <row r="28879" spans="4:7" x14ac:dyDescent="0.3">
      <c r="D28879" s="1"/>
      <c r="G28879" s="13"/>
    </row>
    <row r="28880" spans="4:7" x14ac:dyDescent="0.3">
      <c r="D28880" s="1"/>
      <c r="G28880" s="13"/>
    </row>
    <row r="28881" spans="4:7" x14ac:dyDescent="0.3">
      <c r="D28881" s="1"/>
      <c r="G28881" s="13"/>
    </row>
    <row r="28882" spans="4:7" x14ac:dyDescent="0.3">
      <c r="D28882" s="1"/>
      <c r="G28882" s="13"/>
    </row>
    <row r="28883" spans="4:7" x14ac:dyDescent="0.3">
      <c r="D28883" s="1"/>
      <c r="G28883" s="13"/>
    </row>
    <row r="28884" spans="4:7" x14ac:dyDescent="0.3">
      <c r="D28884" s="1"/>
      <c r="G28884" s="13"/>
    </row>
    <row r="28885" spans="4:7" x14ac:dyDescent="0.3">
      <c r="D28885" s="1"/>
      <c r="G28885" s="13"/>
    </row>
    <row r="28886" spans="4:7" x14ac:dyDescent="0.3">
      <c r="D28886" s="1"/>
      <c r="G28886" s="13"/>
    </row>
    <row r="28887" spans="4:7" x14ac:dyDescent="0.3">
      <c r="D28887" s="1"/>
      <c r="G28887" s="13"/>
    </row>
    <row r="28888" spans="4:7" x14ac:dyDescent="0.3">
      <c r="D28888" s="1"/>
      <c r="G28888" s="13"/>
    </row>
    <row r="28889" spans="4:7" x14ac:dyDescent="0.3">
      <c r="D28889" s="1"/>
      <c r="G28889" s="13"/>
    </row>
    <row r="28890" spans="4:7" x14ac:dyDescent="0.3">
      <c r="D28890" s="1"/>
      <c r="G28890" s="13"/>
    </row>
    <row r="28891" spans="4:7" x14ac:dyDescent="0.3">
      <c r="D28891" s="1"/>
      <c r="G28891" s="13"/>
    </row>
    <row r="28892" spans="4:7" x14ac:dyDescent="0.3">
      <c r="D28892" s="1"/>
      <c r="G28892" s="13"/>
    </row>
    <row r="28893" spans="4:7" x14ac:dyDescent="0.3">
      <c r="D28893" s="1"/>
      <c r="G28893" s="13"/>
    </row>
    <row r="28894" spans="4:7" x14ac:dyDescent="0.3">
      <c r="D28894" s="1"/>
      <c r="G28894" s="13"/>
    </row>
    <row r="28895" spans="4:7" x14ac:dyDescent="0.3">
      <c r="D28895" s="1"/>
      <c r="G28895" s="13"/>
    </row>
    <row r="28896" spans="4:7" x14ac:dyDescent="0.3">
      <c r="D28896" s="1"/>
      <c r="G28896" s="13"/>
    </row>
    <row r="28897" spans="4:7" x14ac:dyDescent="0.3">
      <c r="D28897" s="1"/>
      <c r="G28897" s="13"/>
    </row>
    <row r="28898" spans="4:7" x14ac:dyDescent="0.3">
      <c r="D28898" s="1"/>
      <c r="G28898" s="13"/>
    </row>
    <row r="28899" spans="4:7" x14ac:dyDescent="0.3">
      <c r="D28899" s="1"/>
      <c r="G28899" s="13"/>
    </row>
    <row r="28900" spans="4:7" x14ac:dyDescent="0.3">
      <c r="D28900" s="1"/>
      <c r="G28900" s="13"/>
    </row>
    <row r="28901" spans="4:7" x14ac:dyDescent="0.3">
      <c r="D28901" s="1"/>
      <c r="G28901" s="13"/>
    </row>
    <row r="28902" spans="4:7" x14ac:dyDescent="0.3">
      <c r="D28902" s="1"/>
      <c r="G28902" s="13"/>
    </row>
    <row r="28903" spans="4:7" x14ac:dyDescent="0.3">
      <c r="D28903" s="1"/>
      <c r="G28903" s="13"/>
    </row>
    <row r="28904" spans="4:7" x14ac:dyDescent="0.3">
      <c r="D28904" s="1"/>
      <c r="G28904" s="13"/>
    </row>
    <row r="28905" spans="4:7" x14ac:dyDescent="0.3">
      <c r="D28905" s="1"/>
      <c r="G28905" s="13"/>
    </row>
    <row r="28906" spans="4:7" x14ac:dyDescent="0.3">
      <c r="D28906" s="1"/>
      <c r="G28906" s="13"/>
    </row>
    <row r="28907" spans="4:7" x14ac:dyDescent="0.3">
      <c r="D28907" s="1"/>
      <c r="G28907" s="13"/>
    </row>
    <row r="28908" spans="4:7" x14ac:dyDescent="0.3">
      <c r="D28908" s="1"/>
      <c r="G28908" s="13"/>
    </row>
    <row r="28909" spans="4:7" x14ac:dyDescent="0.3">
      <c r="D28909" s="1"/>
      <c r="G28909" s="13"/>
    </row>
    <row r="28910" spans="4:7" x14ac:dyDescent="0.3">
      <c r="D28910" s="1"/>
      <c r="G28910" s="13"/>
    </row>
    <row r="28911" spans="4:7" x14ac:dyDescent="0.3">
      <c r="D28911" s="1"/>
      <c r="G28911" s="13"/>
    </row>
    <row r="28912" spans="4:7" x14ac:dyDescent="0.3">
      <c r="D28912" s="1"/>
      <c r="G28912" s="13"/>
    </row>
    <row r="28913" spans="4:7" x14ac:dyDescent="0.3">
      <c r="D28913" s="1"/>
      <c r="G28913" s="13"/>
    </row>
    <row r="28914" spans="4:7" x14ac:dyDescent="0.3">
      <c r="D28914" s="1"/>
      <c r="G28914" s="13"/>
    </row>
    <row r="28915" spans="4:7" x14ac:dyDescent="0.3">
      <c r="D28915" s="1"/>
      <c r="G28915" s="13"/>
    </row>
    <row r="28916" spans="4:7" x14ac:dyDescent="0.3">
      <c r="D28916" s="1"/>
      <c r="G28916" s="13"/>
    </row>
    <row r="28917" spans="4:7" x14ac:dyDescent="0.3">
      <c r="D28917" s="1"/>
      <c r="G28917" s="13"/>
    </row>
    <row r="28918" spans="4:7" x14ac:dyDescent="0.3">
      <c r="D28918" s="1"/>
      <c r="G28918" s="13"/>
    </row>
    <row r="28919" spans="4:7" x14ac:dyDescent="0.3">
      <c r="D28919" s="1"/>
      <c r="G28919" s="13"/>
    </row>
    <row r="28920" spans="4:7" x14ac:dyDescent="0.3">
      <c r="D28920" s="1"/>
      <c r="G28920" s="13"/>
    </row>
    <row r="28921" spans="4:7" x14ac:dyDescent="0.3">
      <c r="D28921" s="1"/>
      <c r="G28921" s="13"/>
    </row>
    <row r="28922" spans="4:7" x14ac:dyDescent="0.3">
      <c r="D28922" s="1"/>
      <c r="G28922" s="13"/>
    </row>
    <row r="28923" spans="4:7" x14ac:dyDescent="0.3">
      <c r="D28923" s="1"/>
      <c r="G28923" s="13"/>
    </row>
    <row r="28924" spans="4:7" x14ac:dyDescent="0.3">
      <c r="D28924" s="1"/>
      <c r="G28924" s="13"/>
    </row>
    <row r="28925" spans="4:7" x14ac:dyDescent="0.3">
      <c r="D28925" s="1"/>
      <c r="G28925" s="13"/>
    </row>
    <row r="28926" spans="4:7" x14ac:dyDescent="0.3">
      <c r="D28926" s="1"/>
      <c r="G28926" s="13"/>
    </row>
    <row r="28927" spans="4:7" x14ac:dyDescent="0.3">
      <c r="D28927" s="1"/>
      <c r="G28927" s="13"/>
    </row>
    <row r="28928" spans="4:7" x14ac:dyDescent="0.3">
      <c r="D28928" s="1"/>
      <c r="G28928" s="13"/>
    </row>
    <row r="28929" spans="4:7" x14ac:dyDescent="0.3">
      <c r="D28929" s="1"/>
      <c r="G28929" s="13"/>
    </row>
    <row r="28930" spans="4:7" x14ac:dyDescent="0.3">
      <c r="D28930" s="1"/>
      <c r="G28930" s="13"/>
    </row>
    <row r="28931" spans="4:7" x14ac:dyDescent="0.3">
      <c r="D28931" s="1"/>
      <c r="G28931" s="13"/>
    </row>
    <row r="28932" spans="4:7" x14ac:dyDescent="0.3">
      <c r="D28932" s="1"/>
      <c r="G28932" s="13"/>
    </row>
    <row r="28933" spans="4:7" x14ac:dyDescent="0.3">
      <c r="D28933" s="1"/>
      <c r="G28933" s="13"/>
    </row>
    <row r="28934" spans="4:7" x14ac:dyDescent="0.3">
      <c r="D28934" s="1"/>
      <c r="G28934" s="13"/>
    </row>
    <row r="28935" spans="4:7" x14ac:dyDescent="0.3">
      <c r="D28935" s="1"/>
      <c r="G28935" s="13"/>
    </row>
    <row r="28936" spans="4:7" x14ac:dyDescent="0.3">
      <c r="D28936" s="1"/>
      <c r="G28936" s="13"/>
    </row>
    <row r="28937" spans="4:7" x14ac:dyDescent="0.3">
      <c r="D28937" s="1"/>
      <c r="G28937" s="13"/>
    </row>
    <row r="28938" spans="4:7" x14ac:dyDescent="0.3">
      <c r="D28938" s="1"/>
      <c r="G28938" s="13"/>
    </row>
    <row r="28939" spans="4:7" x14ac:dyDescent="0.3">
      <c r="D28939" s="1"/>
      <c r="G28939" s="13"/>
    </row>
    <row r="28940" spans="4:7" x14ac:dyDescent="0.3">
      <c r="D28940" s="1"/>
      <c r="G28940" s="13"/>
    </row>
    <row r="28941" spans="4:7" x14ac:dyDescent="0.3">
      <c r="D28941" s="1"/>
      <c r="G28941" s="13"/>
    </row>
    <row r="28942" spans="4:7" x14ac:dyDescent="0.3">
      <c r="D28942" s="1"/>
      <c r="G28942" s="13"/>
    </row>
    <row r="28943" spans="4:7" x14ac:dyDescent="0.3">
      <c r="D28943" s="1"/>
      <c r="G28943" s="13"/>
    </row>
    <row r="28944" spans="4:7" x14ac:dyDescent="0.3">
      <c r="D28944" s="1"/>
      <c r="G28944" s="13"/>
    </row>
    <row r="28945" spans="4:7" x14ac:dyDescent="0.3">
      <c r="D28945" s="1"/>
      <c r="G28945" s="13"/>
    </row>
    <row r="28946" spans="4:7" x14ac:dyDescent="0.3">
      <c r="D28946" s="1"/>
      <c r="G28946" s="13"/>
    </row>
    <row r="28947" spans="4:7" x14ac:dyDescent="0.3">
      <c r="D28947" s="1"/>
      <c r="G28947" s="13"/>
    </row>
    <row r="28948" spans="4:7" x14ac:dyDescent="0.3">
      <c r="D28948" s="1"/>
      <c r="G28948" s="13"/>
    </row>
    <row r="28949" spans="4:7" x14ac:dyDescent="0.3">
      <c r="D28949" s="1"/>
      <c r="G28949" s="13"/>
    </row>
    <row r="28950" spans="4:7" x14ac:dyDescent="0.3">
      <c r="D28950" s="1"/>
      <c r="G28950" s="13"/>
    </row>
    <row r="28951" spans="4:7" x14ac:dyDescent="0.3">
      <c r="D28951" s="1"/>
      <c r="G28951" s="13"/>
    </row>
    <row r="28952" spans="4:7" x14ac:dyDescent="0.3">
      <c r="D28952" s="1"/>
      <c r="G28952" s="13"/>
    </row>
    <row r="28953" spans="4:7" x14ac:dyDescent="0.3">
      <c r="D28953" s="1"/>
      <c r="G28953" s="13"/>
    </row>
    <row r="28954" spans="4:7" x14ac:dyDescent="0.3">
      <c r="D28954" s="1"/>
      <c r="G28954" s="13"/>
    </row>
    <row r="28955" spans="4:7" x14ac:dyDescent="0.3">
      <c r="D28955" s="1"/>
      <c r="G28955" s="13"/>
    </row>
    <row r="28956" spans="4:7" x14ac:dyDescent="0.3">
      <c r="D28956" s="1"/>
      <c r="G28956" s="13"/>
    </row>
    <row r="28957" spans="4:7" x14ac:dyDescent="0.3">
      <c r="D28957" s="1"/>
      <c r="G28957" s="13"/>
    </row>
    <row r="28958" spans="4:7" x14ac:dyDescent="0.3">
      <c r="D28958" s="1"/>
      <c r="G28958" s="13"/>
    </row>
    <row r="28959" spans="4:7" x14ac:dyDescent="0.3">
      <c r="D28959" s="1"/>
      <c r="G28959" s="13"/>
    </row>
    <row r="28960" spans="4:7" x14ac:dyDescent="0.3">
      <c r="D28960" s="1"/>
      <c r="G28960" s="13"/>
    </row>
    <row r="28961" spans="4:7" x14ac:dyDescent="0.3">
      <c r="D28961" s="1"/>
      <c r="G28961" s="13"/>
    </row>
    <row r="28962" spans="4:7" x14ac:dyDescent="0.3">
      <c r="D28962" s="1"/>
      <c r="G28962" s="13"/>
    </row>
    <row r="28963" spans="4:7" x14ac:dyDescent="0.3">
      <c r="D28963" s="1"/>
      <c r="G28963" s="13"/>
    </row>
    <row r="28964" spans="4:7" x14ac:dyDescent="0.3">
      <c r="D28964" s="1"/>
      <c r="G28964" s="13"/>
    </row>
    <row r="28965" spans="4:7" x14ac:dyDescent="0.3">
      <c r="D28965" s="1"/>
      <c r="G28965" s="13"/>
    </row>
    <row r="28966" spans="4:7" x14ac:dyDescent="0.3">
      <c r="D28966" s="1"/>
      <c r="G28966" s="13"/>
    </row>
    <row r="28967" spans="4:7" x14ac:dyDescent="0.3">
      <c r="D28967" s="1"/>
      <c r="G28967" s="13"/>
    </row>
    <row r="28968" spans="4:7" x14ac:dyDescent="0.3">
      <c r="D28968" s="1"/>
      <c r="G28968" s="13"/>
    </row>
    <row r="28969" spans="4:7" x14ac:dyDescent="0.3">
      <c r="D28969" s="1"/>
      <c r="G28969" s="13"/>
    </row>
    <row r="28970" spans="4:7" x14ac:dyDescent="0.3">
      <c r="D28970" s="1"/>
      <c r="G28970" s="13"/>
    </row>
    <row r="28971" spans="4:7" x14ac:dyDescent="0.3">
      <c r="D28971" s="1"/>
      <c r="G28971" s="13"/>
    </row>
    <row r="28972" spans="4:7" x14ac:dyDescent="0.3">
      <c r="D28972" s="1"/>
      <c r="G28972" s="13"/>
    </row>
    <row r="28973" spans="4:7" x14ac:dyDescent="0.3">
      <c r="D28973" s="1"/>
      <c r="G28973" s="13"/>
    </row>
    <row r="28974" spans="4:7" x14ac:dyDescent="0.3">
      <c r="D28974" s="1"/>
      <c r="G28974" s="13"/>
    </row>
    <row r="28975" spans="4:7" x14ac:dyDescent="0.3">
      <c r="D28975" s="1"/>
      <c r="G28975" s="13"/>
    </row>
    <row r="28976" spans="4:7" x14ac:dyDescent="0.3">
      <c r="D28976" s="1"/>
      <c r="G28976" s="13"/>
    </row>
    <row r="28977" spans="4:7" x14ac:dyDescent="0.3">
      <c r="D28977" s="1"/>
      <c r="G28977" s="13"/>
    </row>
    <row r="28978" spans="4:7" x14ac:dyDescent="0.3">
      <c r="D28978" s="1"/>
      <c r="G28978" s="13"/>
    </row>
    <row r="28979" spans="4:7" x14ac:dyDescent="0.3">
      <c r="D28979" s="1"/>
      <c r="G28979" s="13"/>
    </row>
    <row r="28980" spans="4:7" x14ac:dyDescent="0.3">
      <c r="D28980" s="1"/>
      <c r="G28980" s="13"/>
    </row>
    <row r="28981" spans="4:7" x14ac:dyDescent="0.3">
      <c r="D28981" s="1"/>
      <c r="G28981" s="13"/>
    </row>
    <row r="28982" spans="4:7" x14ac:dyDescent="0.3">
      <c r="D28982" s="1"/>
      <c r="G28982" s="13"/>
    </row>
    <row r="28983" spans="4:7" x14ac:dyDescent="0.3">
      <c r="D28983" s="1"/>
      <c r="G28983" s="13"/>
    </row>
    <row r="28984" spans="4:7" x14ac:dyDescent="0.3">
      <c r="D28984" s="1"/>
      <c r="G28984" s="13"/>
    </row>
    <row r="28985" spans="4:7" x14ac:dyDescent="0.3">
      <c r="D28985" s="1"/>
      <c r="G28985" s="13"/>
    </row>
    <row r="28986" spans="4:7" x14ac:dyDescent="0.3">
      <c r="D28986" s="1"/>
      <c r="G28986" s="13"/>
    </row>
    <row r="28987" spans="4:7" x14ac:dyDescent="0.3">
      <c r="D28987" s="1"/>
      <c r="G28987" s="13"/>
    </row>
    <row r="28988" spans="4:7" x14ac:dyDescent="0.3">
      <c r="D28988" s="1"/>
      <c r="G28988" s="13"/>
    </row>
    <row r="28989" spans="4:7" x14ac:dyDescent="0.3">
      <c r="D28989" s="1"/>
      <c r="G28989" s="13"/>
    </row>
    <row r="28990" spans="4:7" x14ac:dyDescent="0.3">
      <c r="D28990" s="1"/>
      <c r="G28990" s="13"/>
    </row>
    <row r="28991" spans="4:7" x14ac:dyDescent="0.3">
      <c r="D28991" s="1"/>
      <c r="G28991" s="13"/>
    </row>
    <row r="28992" spans="4:7" x14ac:dyDescent="0.3">
      <c r="D28992" s="1"/>
      <c r="G28992" s="13"/>
    </row>
    <row r="28993" spans="4:7" x14ac:dyDescent="0.3">
      <c r="D28993" s="1"/>
      <c r="G28993" s="13"/>
    </row>
    <row r="28994" spans="4:7" x14ac:dyDescent="0.3">
      <c r="D28994" s="1"/>
      <c r="G28994" s="13"/>
    </row>
    <row r="28995" spans="4:7" x14ac:dyDescent="0.3">
      <c r="D28995" s="1"/>
      <c r="G28995" s="13"/>
    </row>
    <row r="28996" spans="4:7" x14ac:dyDescent="0.3">
      <c r="D28996" s="1"/>
      <c r="G28996" s="13"/>
    </row>
    <row r="28997" spans="4:7" x14ac:dyDescent="0.3">
      <c r="D28997" s="1"/>
      <c r="G28997" s="13"/>
    </row>
    <row r="28998" spans="4:7" x14ac:dyDescent="0.3">
      <c r="D28998" s="1"/>
      <c r="G28998" s="13"/>
    </row>
    <row r="28999" spans="4:7" x14ac:dyDescent="0.3">
      <c r="D28999" s="1"/>
      <c r="G28999" s="13"/>
    </row>
    <row r="29000" spans="4:7" x14ac:dyDescent="0.3">
      <c r="D29000" s="1"/>
      <c r="G29000" s="13"/>
    </row>
    <row r="29001" spans="4:7" x14ac:dyDescent="0.3">
      <c r="D29001" s="1"/>
      <c r="G29001" s="13"/>
    </row>
    <row r="29002" spans="4:7" x14ac:dyDescent="0.3">
      <c r="D29002" s="1"/>
      <c r="G29002" s="13"/>
    </row>
    <row r="29003" spans="4:7" x14ac:dyDescent="0.3">
      <c r="D29003" s="1"/>
      <c r="G29003" s="13"/>
    </row>
    <row r="29004" spans="4:7" x14ac:dyDescent="0.3">
      <c r="D29004" s="1"/>
      <c r="G29004" s="13"/>
    </row>
    <row r="29005" spans="4:7" x14ac:dyDescent="0.3">
      <c r="D29005" s="1"/>
      <c r="G29005" s="13"/>
    </row>
    <row r="29006" spans="4:7" x14ac:dyDescent="0.3">
      <c r="D29006" s="1"/>
      <c r="G29006" s="13"/>
    </row>
    <row r="29007" spans="4:7" x14ac:dyDescent="0.3">
      <c r="D29007" s="1"/>
      <c r="G29007" s="13"/>
    </row>
    <row r="29008" spans="4:7" x14ac:dyDescent="0.3">
      <c r="D29008" s="1"/>
      <c r="G29008" s="13"/>
    </row>
    <row r="29009" spans="4:7" x14ac:dyDescent="0.3">
      <c r="D29009" s="1"/>
      <c r="G29009" s="13"/>
    </row>
    <row r="29010" spans="4:7" x14ac:dyDescent="0.3">
      <c r="D29010" s="1"/>
      <c r="G29010" s="13"/>
    </row>
    <row r="29011" spans="4:7" x14ac:dyDescent="0.3">
      <c r="D29011" s="1"/>
      <c r="G29011" s="13"/>
    </row>
    <row r="29012" spans="4:7" x14ac:dyDescent="0.3">
      <c r="D29012" s="1"/>
      <c r="G29012" s="13"/>
    </row>
    <row r="29013" spans="4:7" x14ac:dyDescent="0.3">
      <c r="D29013" s="1"/>
      <c r="G29013" s="13"/>
    </row>
    <row r="29014" spans="4:7" x14ac:dyDescent="0.3">
      <c r="D29014" s="1"/>
      <c r="G29014" s="13"/>
    </row>
    <row r="29015" spans="4:7" x14ac:dyDescent="0.3">
      <c r="D29015" s="1"/>
      <c r="G29015" s="13"/>
    </row>
    <row r="29016" spans="4:7" x14ac:dyDescent="0.3">
      <c r="D29016" s="1"/>
      <c r="G29016" s="13"/>
    </row>
    <row r="29017" spans="4:7" x14ac:dyDescent="0.3">
      <c r="D29017" s="1"/>
      <c r="G29017" s="13"/>
    </row>
    <row r="29018" spans="4:7" x14ac:dyDescent="0.3">
      <c r="D29018" s="1"/>
      <c r="G29018" s="13"/>
    </row>
    <row r="29019" spans="4:7" x14ac:dyDescent="0.3">
      <c r="D29019" s="1"/>
      <c r="G29019" s="13"/>
    </row>
    <row r="29020" spans="4:7" x14ac:dyDescent="0.3">
      <c r="D29020" s="1"/>
      <c r="G29020" s="13"/>
    </row>
    <row r="29021" spans="4:7" x14ac:dyDescent="0.3">
      <c r="D29021" s="1"/>
      <c r="G29021" s="13"/>
    </row>
    <row r="29022" spans="4:7" x14ac:dyDescent="0.3">
      <c r="D29022" s="1"/>
      <c r="G29022" s="13"/>
    </row>
    <row r="29023" spans="4:7" x14ac:dyDescent="0.3">
      <c r="D29023" s="1"/>
      <c r="G29023" s="13"/>
    </row>
    <row r="29024" spans="4:7" x14ac:dyDescent="0.3">
      <c r="D29024" s="1"/>
      <c r="G29024" s="13"/>
    </row>
    <row r="29025" spans="4:7" x14ac:dyDescent="0.3">
      <c r="D29025" s="1"/>
      <c r="G29025" s="13"/>
    </row>
    <row r="29026" spans="4:7" x14ac:dyDescent="0.3">
      <c r="D29026" s="1"/>
      <c r="G29026" s="13"/>
    </row>
    <row r="29027" spans="4:7" x14ac:dyDescent="0.3">
      <c r="D29027" s="1"/>
      <c r="G29027" s="13"/>
    </row>
    <row r="29028" spans="4:7" x14ac:dyDescent="0.3">
      <c r="D29028" s="1"/>
      <c r="G29028" s="13"/>
    </row>
    <row r="29029" spans="4:7" x14ac:dyDescent="0.3">
      <c r="D29029" s="1"/>
      <c r="G29029" s="13"/>
    </row>
    <row r="29030" spans="4:7" x14ac:dyDescent="0.3">
      <c r="D29030" s="1"/>
      <c r="G29030" s="13"/>
    </row>
    <row r="29031" spans="4:7" x14ac:dyDescent="0.3">
      <c r="D29031" s="1"/>
      <c r="G29031" s="13"/>
    </row>
    <row r="29032" spans="4:7" x14ac:dyDescent="0.3">
      <c r="D29032" s="1"/>
      <c r="G29032" s="13"/>
    </row>
    <row r="29033" spans="4:7" x14ac:dyDescent="0.3">
      <c r="D29033" s="1"/>
      <c r="G29033" s="13"/>
    </row>
    <row r="29034" spans="4:7" x14ac:dyDescent="0.3">
      <c r="D29034" s="1"/>
      <c r="G29034" s="13"/>
    </row>
    <row r="29035" spans="4:7" x14ac:dyDescent="0.3">
      <c r="D29035" s="1"/>
      <c r="G29035" s="13"/>
    </row>
    <row r="29036" spans="4:7" x14ac:dyDescent="0.3">
      <c r="D29036" s="1"/>
      <c r="G29036" s="13"/>
    </row>
    <row r="29037" spans="4:7" x14ac:dyDescent="0.3">
      <c r="D29037" s="1"/>
      <c r="G29037" s="13"/>
    </row>
    <row r="29038" spans="4:7" x14ac:dyDescent="0.3">
      <c r="D29038" s="1"/>
      <c r="G29038" s="13"/>
    </row>
    <row r="29039" spans="4:7" x14ac:dyDescent="0.3">
      <c r="D29039" s="1"/>
      <c r="G29039" s="13"/>
    </row>
    <row r="29040" spans="4:7" x14ac:dyDescent="0.3">
      <c r="D29040" s="1"/>
      <c r="G29040" s="13"/>
    </row>
    <row r="29041" spans="4:7" x14ac:dyDescent="0.3">
      <c r="D29041" s="1"/>
      <c r="G29041" s="13"/>
    </row>
    <row r="29042" spans="4:7" x14ac:dyDescent="0.3">
      <c r="D29042" s="1"/>
      <c r="G29042" s="13"/>
    </row>
    <row r="29043" spans="4:7" x14ac:dyDescent="0.3">
      <c r="D29043" s="1"/>
      <c r="G29043" s="13"/>
    </row>
    <row r="29044" spans="4:7" x14ac:dyDescent="0.3">
      <c r="D29044" s="1"/>
      <c r="G29044" s="13"/>
    </row>
    <row r="29045" spans="4:7" x14ac:dyDescent="0.3">
      <c r="D29045" s="1"/>
      <c r="G29045" s="13"/>
    </row>
    <row r="29046" spans="4:7" x14ac:dyDescent="0.3">
      <c r="D29046" s="1"/>
      <c r="G29046" s="13"/>
    </row>
    <row r="29047" spans="4:7" x14ac:dyDescent="0.3">
      <c r="D29047" s="1"/>
      <c r="G29047" s="13"/>
    </row>
    <row r="29048" spans="4:7" x14ac:dyDescent="0.3">
      <c r="D29048" s="1"/>
      <c r="G29048" s="13"/>
    </row>
    <row r="29049" spans="4:7" x14ac:dyDescent="0.3">
      <c r="D29049" s="1"/>
      <c r="G29049" s="13"/>
    </row>
    <row r="29050" spans="4:7" x14ac:dyDescent="0.3">
      <c r="D29050" s="1"/>
      <c r="G29050" s="13"/>
    </row>
    <row r="29051" spans="4:7" x14ac:dyDescent="0.3">
      <c r="D29051" s="1"/>
      <c r="G29051" s="13"/>
    </row>
    <row r="29052" spans="4:7" x14ac:dyDescent="0.3">
      <c r="D29052" s="1"/>
      <c r="G29052" s="13"/>
    </row>
    <row r="29053" spans="4:7" x14ac:dyDescent="0.3">
      <c r="D29053" s="1"/>
      <c r="G29053" s="13"/>
    </row>
    <row r="29054" spans="4:7" x14ac:dyDescent="0.3">
      <c r="D29054" s="1"/>
      <c r="G29054" s="13"/>
    </row>
    <row r="29055" spans="4:7" x14ac:dyDescent="0.3">
      <c r="D29055" s="1"/>
      <c r="G29055" s="13"/>
    </row>
    <row r="29056" spans="4:7" x14ac:dyDescent="0.3">
      <c r="D29056" s="1"/>
      <c r="G29056" s="13"/>
    </row>
    <row r="29057" spans="4:7" x14ac:dyDescent="0.3">
      <c r="D29057" s="1"/>
      <c r="G29057" s="13"/>
    </row>
    <row r="29058" spans="4:7" x14ac:dyDescent="0.3">
      <c r="D29058" s="1"/>
      <c r="G29058" s="13"/>
    </row>
    <row r="29059" spans="4:7" x14ac:dyDescent="0.3">
      <c r="D29059" s="1"/>
      <c r="G29059" s="13"/>
    </row>
    <row r="29060" spans="4:7" x14ac:dyDescent="0.3">
      <c r="D29060" s="1"/>
      <c r="G29060" s="13"/>
    </row>
    <row r="29061" spans="4:7" x14ac:dyDescent="0.3">
      <c r="D29061" s="1"/>
      <c r="G29061" s="13"/>
    </row>
    <row r="29062" spans="4:7" x14ac:dyDescent="0.3">
      <c r="D29062" s="1"/>
      <c r="G29062" s="13"/>
    </row>
    <row r="29063" spans="4:7" x14ac:dyDescent="0.3">
      <c r="D29063" s="1"/>
      <c r="G29063" s="13"/>
    </row>
    <row r="29064" spans="4:7" x14ac:dyDescent="0.3">
      <c r="D29064" s="1"/>
      <c r="G29064" s="13"/>
    </row>
    <row r="29065" spans="4:7" x14ac:dyDescent="0.3">
      <c r="D29065" s="1"/>
      <c r="G29065" s="13"/>
    </row>
    <row r="29066" spans="4:7" x14ac:dyDescent="0.3">
      <c r="D29066" s="1"/>
      <c r="G29066" s="13"/>
    </row>
    <row r="29067" spans="4:7" x14ac:dyDescent="0.3">
      <c r="D29067" s="1"/>
      <c r="G29067" s="13"/>
    </row>
    <row r="29068" spans="4:7" x14ac:dyDescent="0.3">
      <c r="D29068" s="1"/>
      <c r="G29068" s="13"/>
    </row>
    <row r="29069" spans="4:7" x14ac:dyDescent="0.3">
      <c r="D29069" s="1"/>
      <c r="G29069" s="13"/>
    </row>
    <row r="29070" spans="4:7" x14ac:dyDescent="0.3">
      <c r="D29070" s="1"/>
      <c r="G29070" s="13"/>
    </row>
    <row r="29071" spans="4:7" x14ac:dyDescent="0.3">
      <c r="D29071" s="1"/>
      <c r="G29071" s="13"/>
    </row>
    <row r="29072" spans="4:7" x14ac:dyDescent="0.3">
      <c r="D29072" s="1"/>
      <c r="G29072" s="13"/>
    </row>
    <row r="29073" spans="4:7" x14ac:dyDescent="0.3">
      <c r="D29073" s="1"/>
      <c r="G29073" s="13"/>
    </row>
    <row r="29074" spans="4:7" x14ac:dyDescent="0.3">
      <c r="D29074" s="1"/>
      <c r="G29074" s="13"/>
    </row>
    <row r="29075" spans="4:7" x14ac:dyDescent="0.3">
      <c r="D29075" s="1"/>
      <c r="G29075" s="13"/>
    </row>
    <row r="29076" spans="4:7" x14ac:dyDescent="0.3">
      <c r="D29076" s="1"/>
      <c r="G29076" s="13"/>
    </row>
    <row r="29077" spans="4:7" x14ac:dyDescent="0.3">
      <c r="D29077" s="1"/>
      <c r="G29077" s="13"/>
    </row>
    <row r="29078" spans="4:7" x14ac:dyDescent="0.3">
      <c r="D29078" s="1"/>
      <c r="G29078" s="13"/>
    </row>
    <row r="29079" spans="4:7" x14ac:dyDescent="0.3">
      <c r="D29079" s="1"/>
      <c r="G29079" s="13"/>
    </row>
    <row r="29080" spans="4:7" x14ac:dyDescent="0.3">
      <c r="D29080" s="1"/>
      <c r="G29080" s="13"/>
    </row>
    <row r="29081" spans="4:7" x14ac:dyDescent="0.3">
      <c r="D29081" s="1"/>
      <c r="G29081" s="13"/>
    </row>
    <row r="29082" spans="4:7" x14ac:dyDescent="0.3">
      <c r="D29082" s="1"/>
      <c r="G29082" s="13"/>
    </row>
    <row r="29083" spans="4:7" x14ac:dyDescent="0.3">
      <c r="D29083" s="1"/>
      <c r="G29083" s="13"/>
    </row>
    <row r="29084" spans="4:7" x14ac:dyDescent="0.3">
      <c r="D29084" s="1"/>
      <c r="G29084" s="13"/>
    </row>
    <row r="29085" spans="4:7" x14ac:dyDescent="0.3">
      <c r="D29085" s="1"/>
      <c r="G29085" s="13"/>
    </row>
    <row r="29086" spans="4:7" x14ac:dyDescent="0.3">
      <c r="D29086" s="1"/>
      <c r="G29086" s="13"/>
    </row>
    <row r="29087" spans="4:7" x14ac:dyDescent="0.3">
      <c r="D29087" s="1"/>
      <c r="G29087" s="13"/>
    </row>
    <row r="29088" spans="4:7" x14ac:dyDescent="0.3">
      <c r="D29088" s="1"/>
      <c r="G29088" s="13"/>
    </row>
    <row r="29089" spans="4:7" x14ac:dyDescent="0.3">
      <c r="D29089" s="1"/>
      <c r="G29089" s="13"/>
    </row>
    <row r="29090" spans="4:7" x14ac:dyDescent="0.3">
      <c r="D29090" s="1"/>
      <c r="G29090" s="13"/>
    </row>
    <row r="29091" spans="4:7" x14ac:dyDescent="0.3">
      <c r="D29091" s="1"/>
      <c r="G29091" s="13"/>
    </row>
    <row r="29092" spans="4:7" x14ac:dyDescent="0.3">
      <c r="D29092" s="1"/>
      <c r="G29092" s="13"/>
    </row>
    <row r="29093" spans="4:7" x14ac:dyDescent="0.3">
      <c r="D29093" s="1"/>
      <c r="G29093" s="13"/>
    </row>
    <row r="29094" spans="4:7" x14ac:dyDescent="0.3">
      <c r="D29094" s="1"/>
      <c r="G29094" s="13"/>
    </row>
    <row r="29095" spans="4:7" x14ac:dyDescent="0.3">
      <c r="D29095" s="1"/>
      <c r="G29095" s="13"/>
    </row>
    <row r="29096" spans="4:7" x14ac:dyDescent="0.3">
      <c r="D29096" s="1"/>
      <c r="G29096" s="13"/>
    </row>
    <row r="29097" spans="4:7" x14ac:dyDescent="0.3">
      <c r="D29097" s="1"/>
      <c r="G29097" s="13"/>
    </row>
    <row r="29098" spans="4:7" x14ac:dyDescent="0.3">
      <c r="D29098" s="1"/>
      <c r="G29098" s="13"/>
    </row>
    <row r="29099" spans="4:7" x14ac:dyDescent="0.3">
      <c r="D29099" s="1"/>
      <c r="G29099" s="13"/>
    </row>
    <row r="29100" spans="4:7" x14ac:dyDescent="0.3">
      <c r="D29100" s="1"/>
      <c r="G29100" s="13"/>
    </row>
    <row r="29101" spans="4:7" x14ac:dyDescent="0.3">
      <c r="D29101" s="1"/>
      <c r="G29101" s="13"/>
    </row>
    <row r="29102" spans="4:7" x14ac:dyDescent="0.3">
      <c r="D29102" s="1"/>
      <c r="G29102" s="13"/>
    </row>
    <row r="29103" spans="4:7" x14ac:dyDescent="0.3">
      <c r="D29103" s="1"/>
      <c r="G29103" s="13"/>
    </row>
    <row r="29104" spans="4:7" x14ac:dyDescent="0.3">
      <c r="D29104" s="1"/>
      <c r="G29104" s="13"/>
    </row>
    <row r="29105" spans="4:7" x14ac:dyDescent="0.3">
      <c r="D29105" s="1"/>
      <c r="G29105" s="13"/>
    </row>
    <row r="29106" spans="4:7" x14ac:dyDescent="0.3">
      <c r="D29106" s="1"/>
      <c r="G29106" s="13"/>
    </row>
    <row r="29107" spans="4:7" x14ac:dyDescent="0.3">
      <c r="D29107" s="1"/>
      <c r="G29107" s="13"/>
    </row>
    <row r="29108" spans="4:7" x14ac:dyDescent="0.3">
      <c r="D29108" s="1"/>
      <c r="G29108" s="13"/>
    </row>
    <row r="29109" spans="4:7" x14ac:dyDescent="0.3">
      <c r="D29109" s="1"/>
      <c r="G29109" s="13"/>
    </row>
    <row r="29110" spans="4:7" x14ac:dyDescent="0.3">
      <c r="D29110" s="1"/>
      <c r="G29110" s="13"/>
    </row>
    <row r="29111" spans="4:7" x14ac:dyDescent="0.3">
      <c r="D29111" s="1"/>
      <c r="G29111" s="13"/>
    </row>
    <row r="29112" spans="4:7" x14ac:dyDescent="0.3">
      <c r="D29112" s="1"/>
      <c r="G29112" s="13"/>
    </row>
    <row r="29113" spans="4:7" x14ac:dyDescent="0.3">
      <c r="D29113" s="1"/>
      <c r="G29113" s="13"/>
    </row>
    <row r="29114" spans="4:7" x14ac:dyDescent="0.3">
      <c r="D29114" s="1"/>
      <c r="G29114" s="13"/>
    </row>
    <row r="29115" spans="4:7" x14ac:dyDescent="0.3">
      <c r="D29115" s="1"/>
      <c r="G29115" s="13"/>
    </row>
    <row r="29116" spans="4:7" x14ac:dyDescent="0.3">
      <c r="D29116" s="1"/>
      <c r="G29116" s="13"/>
    </row>
    <row r="29117" spans="4:7" x14ac:dyDescent="0.3">
      <c r="D29117" s="1"/>
      <c r="G29117" s="13"/>
    </row>
    <row r="29118" spans="4:7" x14ac:dyDescent="0.3">
      <c r="D29118" s="1"/>
      <c r="G29118" s="13"/>
    </row>
    <row r="29119" spans="4:7" x14ac:dyDescent="0.3">
      <c r="D29119" s="1"/>
      <c r="G29119" s="13"/>
    </row>
    <row r="29120" spans="4:7" x14ac:dyDescent="0.3">
      <c r="D29120" s="1"/>
      <c r="G29120" s="13"/>
    </row>
    <row r="29121" spans="4:7" x14ac:dyDescent="0.3">
      <c r="D29121" s="1"/>
      <c r="G29121" s="13"/>
    </row>
    <row r="29122" spans="4:7" x14ac:dyDescent="0.3">
      <c r="D29122" s="1"/>
      <c r="G29122" s="13"/>
    </row>
    <row r="29123" spans="4:7" x14ac:dyDescent="0.3">
      <c r="D29123" s="1"/>
      <c r="G29123" s="13"/>
    </row>
    <row r="29124" spans="4:7" x14ac:dyDescent="0.3">
      <c r="D29124" s="1"/>
      <c r="G29124" s="13"/>
    </row>
    <row r="29125" spans="4:7" x14ac:dyDescent="0.3">
      <c r="D29125" s="1"/>
      <c r="G29125" s="13"/>
    </row>
    <row r="29126" spans="4:7" x14ac:dyDescent="0.3">
      <c r="D29126" s="1"/>
      <c r="G29126" s="13"/>
    </row>
    <row r="29127" spans="4:7" x14ac:dyDescent="0.3">
      <c r="D29127" s="1"/>
      <c r="G29127" s="13"/>
    </row>
    <row r="29128" spans="4:7" x14ac:dyDescent="0.3">
      <c r="D29128" s="1"/>
      <c r="G29128" s="13"/>
    </row>
    <row r="29129" spans="4:7" x14ac:dyDescent="0.3">
      <c r="D29129" s="1"/>
      <c r="G29129" s="13"/>
    </row>
    <row r="29130" spans="4:7" x14ac:dyDescent="0.3">
      <c r="D29130" s="1"/>
      <c r="G29130" s="13"/>
    </row>
    <row r="29131" spans="4:7" x14ac:dyDescent="0.3">
      <c r="D29131" s="1"/>
      <c r="G29131" s="13"/>
    </row>
    <row r="29132" spans="4:7" x14ac:dyDescent="0.3">
      <c r="D29132" s="1"/>
      <c r="G29132" s="13"/>
    </row>
    <row r="29133" spans="4:7" x14ac:dyDescent="0.3">
      <c r="D29133" s="1"/>
      <c r="G29133" s="13"/>
    </row>
    <row r="29134" spans="4:7" x14ac:dyDescent="0.3">
      <c r="D29134" s="1"/>
      <c r="G29134" s="13"/>
    </row>
    <row r="29135" spans="4:7" x14ac:dyDescent="0.3">
      <c r="D29135" s="1"/>
      <c r="G29135" s="13"/>
    </row>
    <row r="29136" spans="4:7" x14ac:dyDescent="0.3">
      <c r="D29136" s="1"/>
      <c r="G29136" s="13"/>
    </row>
    <row r="29137" spans="4:7" x14ac:dyDescent="0.3">
      <c r="D29137" s="1"/>
      <c r="G29137" s="13"/>
    </row>
    <row r="29138" spans="4:7" x14ac:dyDescent="0.3">
      <c r="D29138" s="1"/>
      <c r="G29138" s="13"/>
    </row>
    <row r="29139" spans="4:7" x14ac:dyDescent="0.3">
      <c r="D29139" s="1"/>
      <c r="G29139" s="13"/>
    </row>
    <row r="29140" spans="4:7" x14ac:dyDescent="0.3">
      <c r="D29140" s="1"/>
      <c r="G29140" s="13"/>
    </row>
    <row r="29141" spans="4:7" x14ac:dyDescent="0.3">
      <c r="D29141" s="1"/>
      <c r="G29141" s="13"/>
    </row>
    <row r="29142" spans="4:7" x14ac:dyDescent="0.3">
      <c r="D29142" s="1"/>
      <c r="G29142" s="13"/>
    </row>
    <row r="29143" spans="4:7" x14ac:dyDescent="0.3">
      <c r="D29143" s="1"/>
      <c r="G29143" s="13"/>
    </row>
    <row r="29144" spans="4:7" x14ac:dyDescent="0.3">
      <c r="D29144" s="1"/>
      <c r="G29144" s="13"/>
    </row>
    <row r="29145" spans="4:7" x14ac:dyDescent="0.3">
      <c r="D29145" s="1"/>
      <c r="G29145" s="13"/>
    </row>
    <row r="29146" spans="4:7" x14ac:dyDescent="0.3">
      <c r="D29146" s="1"/>
      <c r="G29146" s="13"/>
    </row>
    <row r="29147" spans="4:7" x14ac:dyDescent="0.3">
      <c r="D29147" s="1"/>
      <c r="G29147" s="13"/>
    </row>
    <row r="29148" spans="4:7" x14ac:dyDescent="0.3">
      <c r="D29148" s="1"/>
      <c r="G29148" s="13"/>
    </row>
    <row r="29149" spans="4:7" x14ac:dyDescent="0.3">
      <c r="D29149" s="1"/>
      <c r="G29149" s="13"/>
    </row>
    <row r="29150" spans="4:7" x14ac:dyDescent="0.3">
      <c r="D29150" s="1"/>
      <c r="G29150" s="13"/>
    </row>
    <row r="29151" spans="4:7" x14ac:dyDescent="0.3">
      <c r="D29151" s="1"/>
      <c r="G29151" s="13"/>
    </row>
    <row r="29152" spans="4:7" x14ac:dyDescent="0.3">
      <c r="D29152" s="1"/>
      <c r="G29152" s="13"/>
    </row>
    <row r="29153" spans="4:7" x14ac:dyDescent="0.3">
      <c r="D29153" s="1"/>
      <c r="G29153" s="13"/>
    </row>
    <row r="29154" spans="4:7" x14ac:dyDescent="0.3">
      <c r="D29154" s="1"/>
      <c r="G29154" s="13"/>
    </row>
    <row r="29155" spans="4:7" x14ac:dyDescent="0.3">
      <c r="D29155" s="1"/>
      <c r="G29155" s="13"/>
    </row>
    <row r="29156" spans="4:7" x14ac:dyDescent="0.3">
      <c r="D29156" s="1"/>
      <c r="G29156" s="13"/>
    </row>
    <row r="29157" spans="4:7" x14ac:dyDescent="0.3">
      <c r="D29157" s="1"/>
      <c r="G29157" s="13"/>
    </row>
    <row r="29158" spans="4:7" x14ac:dyDescent="0.3">
      <c r="D29158" s="1"/>
      <c r="G29158" s="13"/>
    </row>
    <row r="29159" spans="4:7" x14ac:dyDescent="0.3">
      <c r="D29159" s="1"/>
      <c r="G29159" s="13"/>
    </row>
    <row r="29160" spans="4:7" x14ac:dyDescent="0.3">
      <c r="D29160" s="1"/>
      <c r="G29160" s="13"/>
    </row>
    <row r="29161" spans="4:7" x14ac:dyDescent="0.3">
      <c r="D29161" s="1"/>
      <c r="G29161" s="13"/>
    </row>
    <row r="29162" spans="4:7" x14ac:dyDescent="0.3">
      <c r="D29162" s="1"/>
      <c r="G29162" s="13"/>
    </row>
    <row r="29163" spans="4:7" x14ac:dyDescent="0.3">
      <c r="D29163" s="1"/>
      <c r="G29163" s="13"/>
    </row>
    <row r="29164" spans="4:7" x14ac:dyDescent="0.3">
      <c r="D29164" s="1"/>
      <c r="G29164" s="13"/>
    </row>
    <row r="29165" spans="4:7" x14ac:dyDescent="0.3">
      <c r="D29165" s="1"/>
      <c r="G29165" s="13"/>
    </row>
    <row r="29166" spans="4:7" x14ac:dyDescent="0.3">
      <c r="D29166" s="1"/>
      <c r="G29166" s="13"/>
    </row>
    <row r="29167" spans="4:7" x14ac:dyDescent="0.3">
      <c r="D29167" s="1"/>
      <c r="G29167" s="13"/>
    </row>
    <row r="29168" spans="4:7" x14ac:dyDescent="0.3">
      <c r="D29168" s="1"/>
      <c r="G29168" s="13"/>
    </row>
    <row r="29169" spans="4:7" x14ac:dyDescent="0.3">
      <c r="D29169" s="1"/>
      <c r="G29169" s="13"/>
    </row>
    <row r="29170" spans="4:7" x14ac:dyDescent="0.3">
      <c r="D29170" s="1"/>
      <c r="G29170" s="13"/>
    </row>
    <row r="29171" spans="4:7" x14ac:dyDescent="0.3">
      <c r="D29171" s="1"/>
      <c r="G29171" s="13"/>
    </row>
    <row r="29172" spans="4:7" x14ac:dyDescent="0.3">
      <c r="D29172" s="1"/>
      <c r="G29172" s="13"/>
    </row>
    <row r="29173" spans="4:7" x14ac:dyDescent="0.3">
      <c r="D29173" s="1"/>
      <c r="G29173" s="13"/>
    </row>
    <row r="29174" spans="4:7" x14ac:dyDescent="0.3">
      <c r="D29174" s="1"/>
      <c r="G29174" s="13"/>
    </row>
    <row r="29175" spans="4:7" x14ac:dyDescent="0.3">
      <c r="D29175" s="1"/>
      <c r="G29175" s="13"/>
    </row>
    <row r="29176" spans="4:7" x14ac:dyDescent="0.3">
      <c r="D29176" s="1"/>
      <c r="G29176" s="13"/>
    </row>
    <row r="29177" spans="4:7" x14ac:dyDescent="0.3">
      <c r="D29177" s="1"/>
      <c r="G29177" s="13"/>
    </row>
    <row r="29178" spans="4:7" x14ac:dyDescent="0.3">
      <c r="D29178" s="1"/>
      <c r="G29178" s="13"/>
    </row>
    <row r="29179" spans="4:7" x14ac:dyDescent="0.3">
      <c r="D29179" s="1"/>
      <c r="G29179" s="13"/>
    </row>
    <row r="29180" spans="4:7" x14ac:dyDescent="0.3">
      <c r="D29180" s="1"/>
      <c r="G29180" s="13"/>
    </row>
    <row r="29181" spans="4:7" x14ac:dyDescent="0.3">
      <c r="D29181" s="1"/>
      <c r="G29181" s="13"/>
    </row>
    <row r="29182" spans="4:7" x14ac:dyDescent="0.3">
      <c r="D29182" s="1"/>
      <c r="G29182" s="13"/>
    </row>
    <row r="29183" spans="4:7" x14ac:dyDescent="0.3">
      <c r="D29183" s="1"/>
      <c r="G29183" s="13"/>
    </row>
    <row r="29184" spans="4:7" x14ac:dyDescent="0.3">
      <c r="D29184" s="1"/>
      <c r="G29184" s="13"/>
    </row>
    <row r="29185" spans="4:7" x14ac:dyDescent="0.3">
      <c r="D29185" s="1"/>
      <c r="G29185" s="13"/>
    </row>
    <row r="29186" spans="4:7" x14ac:dyDescent="0.3">
      <c r="D29186" s="1"/>
      <c r="G29186" s="13"/>
    </row>
    <row r="29187" spans="4:7" x14ac:dyDescent="0.3">
      <c r="D29187" s="1"/>
      <c r="G29187" s="13"/>
    </row>
    <row r="29188" spans="4:7" x14ac:dyDescent="0.3">
      <c r="D29188" s="1"/>
      <c r="G29188" s="13"/>
    </row>
    <row r="29189" spans="4:7" x14ac:dyDescent="0.3">
      <c r="D29189" s="1"/>
      <c r="G29189" s="13"/>
    </row>
    <row r="29190" spans="4:7" x14ac:dyDescent="0.3">
      <c r="D29190" s="1"/>
      <c r="G29190" s="13"/>
    </row>
    <row r="29191" spans="4:7" x14ac:dyDescent="0.3">
      <c r="D29191" s="1"/>
      <c r="G29191" s="13"/>
    </row>
    <row r="29192" spans="4:7" x14ac:dyDescent="0.3">
      <c r="D29192" s="1"/>
      <c r="G29192" s="13"/>
    </row>
    <row r="29193" spans="4:7" x14ac:dyDescent="0.3">
      <c r="D29193" s="1"/>
      <c r="G29193" s="13"/>
    </row>
    <row r="29194" spans="4:7" x14ac:dyDescent="0.3">
      <c r="D29194" s="1"/>
      <c r="G29194" s="13"/>
    </row>
    <row r="29195" spans="4:7" x14ac:dyDescent="0.3">
      <c r="D29195" s="1"/>
      <c r="G29195" s="13"/>
    </row>
    <row r="29196" spans="4:7" x14ac:dyDescent="0.3">
      <c r="D29196" s="1"/>
      <c r="G29196" s="13"/>
    </row>
    <row r="29197" spans="4:7" x14ac:dyDescent="0.3">
      <c r="D29197" s="1"/>
      <c r="G29197" s="13"/>
    </row>
    <row r="29198" spans="4:7" x14ac:dyDescent="0.3">
      <c r="D29198" s="1"/>
      <c r="G29198" s="13"/>
    </row>
    <row r="29199" spans="4:7" x14ac:dyDescent="0.3">
      <c r="D29199" s="1"/>
      <c r="G29199" s="13"/>
    </row>
    <row r="29200" spans="4:7" x14ac:dyDescent="0.3">
      <c r="D29200" s="1"/>
      <c r="G29200" s="13"/>
    </row>
    <row r="29201" spans="4:7" x14ac:dyDescent="0.3">
      <c r="D29201" s="1"/>
      <c r="G29201" s="13"/>
    </row>
    <row r="29202" spans="4:7" x14ac:dyDescent="0.3">
      <c r="D29202" s="1"/>
      <c r="G29202" s="13"/>
    </row>
    <row r="29203" spans="4:7" x14ac:dyDescent="0.3">
      <c r="D29203" s="1"/>
      <c r="G29203" s="13"/>
    </row>
    <row r="29204" spans="4:7" x14ac:dyDescent="0.3">
      <c r="D29204" s="1"/>
      <c r="G29204" s="13"/>
    </row>
    <row r="29205" spans="4:7" x14ac:dyDescent="0.3">
      <c r="D29205" s="1"/>
      <c r="G29205" s="13"/>
    </row>
    <row r="29206" spans="4:7" x14ac:dyDescent="0.3">
      <c r="D29206" s="1"/>
      <c r="G29206" s="13"/>
    </row>
    <row r="29207" spans="4:7" x14ac:dyDescent="0.3">
      <c r="D29207" s="1"/>
      <c r="G29207" s="13"/>
    </row>
    <row r="29208" spans="4:7" x14ac:dyDescent="0.3">
      <c r="D29208" s="1"/>
      <c r="G29208" s="13"/>
    </row>
    <row r="29209" spans="4:7" x14ac:dyDescent="0.3">
      <c r="D29209" s="1"/>
      <c r="G29209" s="13"/>
    </row>
    <row r="29210" spans="4:7" x14ac:dyDescent="0.3">
      <c r="D29210" s="1"/>
      <c r="G29210" s="13"/>
    </row>
    <row r="29211" spans="4:7" x14ac:dyDescent="0.3">
      <c r="D29211" s="1"/>
      <c r="G29211" s="13"/>
    </row>
    <row r="29212" spans="4:7" x14ac:dyDescent="0.3">
      <c r="D29212" s="1"/>
      <c r="G29212" s="13"/>
    </row>
    <row r="29213" spans="4:7" x14ac:dyDescent="0.3">
      <c r="D29213" s="1"/>
      <c r="G29213" s="13"/>
    </row>
    <row r="29214" spans="4:7" x14ac:dyDescent="0.3">
      <c r="D29214" s="1"/>
      <c r="G29214" s="13"/>
    </row>
    <row r="29215" spans="4:7" x14ac:dyDescent="0.3">
      <c r="D29215" s="1"/>
      <c r="G29215" s="13"/>
    </row>
    <row r="29216" spans="4:7" x14ac:dyDescent="0.3">
      <c r="D29216" s="1"/>
      <c r="G29216" s="13"/>
    </row>
    <row r="29217" spans="4:7" x14ac:dyDescent="0.3">
      <c r="D29217" s="1"/>
      <c r="G29217" s="13"/>
    </row>
    <row r="29218" spans="4:7" x14ac:dyDescent="0.3">
      <c r="D29218" s="1"/>
      <c r="G29218" s="13"/>
    </row>
    <row r="29219" spans="4:7" x14ac:dyDescent="0.3">
      <c r="D29219" s="1"/>
      <c r="G29219" s="13"/>
    </row>
    <row r="29220" spans="4:7" x14ac:dyDescent="0.3">
      <c r="D29220" s="1"/>
      <c r="G29220" s="13"/>
    </row>
    <row r="29221" spans="4:7" x14ac:dyDescent="0.3">
      <c r="D29221" s="1"/>
      <c r="G29221" s="13"/>
    </row>
    <row r="29222" spans="4:7" x14ac:dyDescent="0.3">
      <c r="D29222" s="1"/>
      <c r="G29222" s="13"/>
    </row>
    <row r="29223" spans="4:7" x14ac:dyDescent="0.3">
      <c r="D29223" s="1"/>
      <c r="G29223" s="13"/>
    </row>
    <row r="29224" spans="4:7" x14ac:dyDescent="0.3">
      <c r="D29224" s="1"/>
      <c r="G29224" s="13"/>
    </row>
    <row r="29225" spans="4:7" x14ac:dyDescent="0.3">
      <c r="D29225" s="1"/>
      <c r="G29225" s="13"/>
    </row>
    <row r="29226" spans="4:7" x14ac:dyDescent="0.3">
      <c r="D29226" s="1"/>
      <c r="G29226" s="13"/>
    </row>
    <row r="29227" spans="4:7" x14ac:dyDescent="0.3">
      <c r="D29227" s="1"/>
      <c r="G29227" s="13"/>
    </row>
    <row r="29228" spans="4:7" x14ac:dyDescent="0.3">
      <c r="D29228" s="1"/>
      <c r="G29228" s="13"/>
    </row>
    <row r="29229" spans="4:7" x14ac:dyDescent="0.3">
      <c r="D29229" s="1"/>
      <c r="G29229" s="13"/>
    </row>
    <row r="29230" spans="4:7" x14ac:dyDescent="0.3">
      <c r="D29230" s="1"/>
      <c r="G29230" s="13"/>
    </row>
    <row r="29231" spans="4:7" x14ac:dyDescent="0.3">
      <c r="D29231" s="1"/>
      <c r="G29231" s="13"/>
    </row>
    <row r="29232" spans="4:7" x14ac:dyDescent="0.3">
      <c r="D29232" s="1"/>
      <c r="G29232" s="13"/>
    </row>
    <row r="29233" spans="4:7" x14ac:dyDescent="0.3">
      <c r="D29233" s="1"/>
      <c r="G29233" s="13"/>
    </row>
    <row r="29234" spans="4:7" x14ac:dyDescent="0.3">
      <c r="D29234" s="1"/>
      <c r="G29234" s="13"/>
    </row>
    <row r="29235" spans="4:7" x14ac:dyDescent="0.3">
      <c r="D29235" s="1"/>
      <c r="G29235" s="13"/>
    </row>
    <row r="29236" spans="4:7" x14ac:dyDescent="0.3">
      <c r="D29236" s="1"/>
      <c r="G29236" s="13"/>
    </row>
    <row r="29237" spans="4:7" x14ac:dyDescent="0.3">
      <c r="D29237" s="1"/>
      <c r="G29237" s="13"/>
    </row>
    <row r="29238" spans="4:7" x14ac:dyDescent="0.3">
      <c r="D29238" s="1"/>
      <c r="G29238" s="13"/>
    </row>
    <row r="29239" spans="4:7" x14ac:dyDescent="0.3">
      <c r="D29239" s="1"/>
      <c r="G29239" s="13"/>
    </row>
    <row r="29240" spans="4:7" x14ac:dyDescent="0.3">
      <c r="D29240" s="1"/>
      <c r="G29240" s="13"/>
    </row>
    <row r="29241" spans="4:7" x14ac:dyDescent="0.3">
      <c r="D29241" s="1"/>
      <c r="G29241" s="13"/>
    </row>
    <row r="29242" spans="4:7" x14ac:dyDescent="0.3">
      <c r="D29242" s="1"/>
      <c r="G29242" s="13"/>
    </row>
    <row r="29243" spans="4:7" x14ac:dyDescent="0.3">
      <c r="D29243" s="1"/>
      <c r="G29243" s="13"/>
    </row>
    <row r="29244" spans="4:7" x14ac:dyDescent="0.3">
      <c r="D29244" s="1"/>
      <c r="G29244" s="13"/>
    </row>
    <row r="29245" spans="4:7" x14ac:dyDescent="0.3">
      <c r="D29245" s="1"/>
      <c r="G29245" s="13"/>
    </row>
    <row r="29246" spans="4:7" x14ac:dyDescent="0.3">
      <c r="D29246" s="1"/>
      <c r="G29246" s="13"/>
    </row>
    <row r="29247" spans="4:7" x14ac:dyDescent="0.3">
      <c r="D29247" s="1"/>
      <c r="G29247" s="13"/>
    </row>
    <row r="29248" spans="4:7" x14ac:dyDescent="0.3">
      <c r="D29248" s="1"/>
      <c r="G29248" s="13"/>
    </row>
    <row r="29249" spans="4:7" x14ac:dyDescent="0.3">
      <c r="D29249" s="1"/>
      <c r="G29249" s="13"/>
    </row>
    <row r="29250" spans="4:7" x14ac:dyDescent="0.3">
      <c r="D29250" s="1"/>
      <c r="G29250" s="13"/>
    </row>
    <row r="29251" spans="4:7" x14ac:dyDescent="0.3">
      <c r="D29251" s="1"/>
      <c r="G29251" s="13"/>
    </row>
    <row r="29252" spans="4:7" x14ac:dyDescent="0.3">
      <c r="D29252" s="1"/>
      <c r="G29252" s="13"/>
    </row>
    <row r="29253" spans="4:7" x14ac:dyDescent="0.3">
      <c r="D29253" s="1"/>
      <c r="G29253" s="13"/>
    </row>
    <row r="29254" spans="4:7" x14ac:dyDescent="0.3">
      <c r="D29254" s="1"/>
      <c r="G29254" s="13"/>
    </row>
    <row r="29255" spans="4:7" x14ac:dyDescent="0.3">
      <c r="D29255" s="1"/>
      <c r="G29255" s="13"/>
    </row>
    <row r="29256" spans="4:7" x14ac:dyDescent="0.3">
      <c r="D29256" s="1"/>
      <c r="G29256" s="13"/>
    </row>
    <row r="29257" spans="4:7" x14ac:dyDescent="0.3">
      <c r="D29257" s="1"/>
      <c r="G29257" s="13"/>
    </row>
    <row r="29258" spans="4:7" x14ac:dyDescent="0.3">
      <c r="D29258" s="1"/>
      <c r="G29258" s="13"/>
    </row>
    <row r="29259" spans="4:7" x14ac:dyDescent="0.3">
      <c r="D29259" s="1"/>
      <c r="G29259" s="13"/>
    </row>
    <row r="29260" spans="4:7" x14ac:dyDescent="0.3">
      <c r="D29260" s="1"/>
      <c r="G29260" s="13"/>
    </row>
    <row r="29261" spans="4:7" x14ac:dyDescent="0.3">
      <c r="D29261" s="1"/>
      <c r="G29261" s="13"/>
    </row>
    <row r="29262" spans="4:7" x14ac:dyDescent="0.3">
      <c r="D29262" s="1"/>
      <c r="G29262" s="13"/>
    </row>
    <row r="29263" spans="4:7" x14ac:dyDescent="0.3">
      <c r="D29263" s="1"/>
      <c r="G29263" s="13"/>
    </row>
    <row r="29264" spans="4:7" x14ac:dyDescent="0.3">
      <c r="D29264" s="1"/>
      <c r="G29264" s="13"/>
    </row>
    <row r="29265" spans="4:7" x14ac:dyDescent="0.3">
      <c r="D29265" s="1"/>
      <c r="G29265" s="13"/>
    </row>
    <row r="29266" spans="4:7" x14ac:dyDescent="0.3">
      <c r="D29266" s="1"/>
      <c r="G29266" s="13"/>
    </row>
    <row r="29267" spans="4:7" x14ac:dyDescent="0.3">
      <c r="D29267" s="1"/>
      <c r="G29267" s="13"/>
    </row>
    <row r="29268" spans="4:7" x14ac:dyDescent="0.3">
      <c r="D29268" s="1"/>
      <c r="G29268" s="13"/>
    </row>
    <row r="29269" spans="4:7" x14ac:dyDescent="0.3">
      <c r="D29269" s="1"/>
      <c r="G29269" s="13"/>
    </row>
    <row r="29270" spans="4:7" x14ac:dyDescent="0.3">
      <c r="D29270" s="1"/>
      <c r="G29270" s="13"/>
    </row>
    <row r="29271" spans="4:7" x14ac:dyDescent="0.3">
      <c r="D29271" s="1"/>
      <c r="G29271" s="13"/>
    </row>
    <row r="29272" spans="4:7" x14ac:dyDescent="0.3">
      <c r="D29272" s="1"/>
      <c r="G29272" s="13"/>
    </row>
    <row r="29273" spans="4:7" x14ac:dyDescent="0.3">
      <c r="D29273" s="1"/>
      <c r="G29273" s="13"/>
    </row>
    <row r="29274" spans="4:7" x14ac:dyDescent="0.3">
      <c r="D29274" s="1"/>
      <c r="G29274" s="13"/>
    </row>
    <row r="29275" spans="4:7" x14ac:dyDescent="0.3">
      <c r="D29275" s="1"/>
      <c r="G29275" s="13"/>
    </row>
    <row r="29276" spans="4:7" x14ac:dyDescent="0.3">
      <c r="D29276" s="1"/>
      <c r="G29276" s="13"/>
    </row>
    <row r="29277" spans="4:7" x14ac:dyDescent="0.3">
      <c r="D29277" s="1"/>
      <c r="G29277" s="13"/>
    </row>
    <row r="29278" spans="4:7" x14ac:dyDescent="0.3">
      <c r="D29278" s="1"/>
      <c r="G29278" s="13"/>
    </row>
    <row r="29279" spans="4:7" x14ac:dyDescent="0.3">
      <c r="D29279" s="1"/>
      <c r="G29279" s="13"/>
    </row>
    <row r="29280" spans="4:7" x14ac:dyDescent="0.3">
      <c r="D29280" s="1"/>
      <c r="G29280" s="13"/>
    </row>
    <row r="29281" spans="4:38" x14ac:dyDescent="0.3">
      <c r="D29281" s="1"/>
      <c r="G29281" s="13"/>
    </row>
    <row r="29282" spans="4:38" x14ac:dyDescent="0.3">
      <c r="D29282" s="1"/>
      <c r="G29282" s="13"/>
    </row>
    <row r="29283" spans="4:38" x14ac:dyDescent="0.3">
      <c r="D29283" s="1"/>
      <c r="G29283" s="13"/>
    </row>
    <row r="29284" spans="4:38" x14ac:dyDescent="0.3">
      <c r="D29284" s="1"/>
      <c r="G29284" s="13"/>
      <c r="AL29284" s="13"/>
    </row>
    <row r="29285" spans="4:38" x14ac:dyDescent="0.3">
      <c r="D29285" s="1"/>
      <c r="G29285" s="13"/>
    </row>
    <row r="29286" spans="4:38" x14ac:dyDescent="0.3">
      <c r="D29286" s="1"/>
      <c r="G29286" s="13"/>
    </row>
    <row r="29287" spans="4:38" x14ac:dyDescent="0.3">
      <c r="D29287" s="1"/>
      <c r="G29287" s="13"/>
    </row>
    <row r="29288" spans="4:38" x14ac:dyDescent="0.3">
      <c r="D29288" s="1"/>
      <c r="G29288" s="13"/>
    </row>
    <row r="29289" spans="4:38" x14ac:dyDescent="0.3">
      <c r="D29289" s="1"/>
      <c r="G29289" s="13"/>
    </row>
    <row r="29290" spans="4:38" x14ac:dyDescent="0.3">
      <c r="D29290" s="1"/>
      <c r="G29290" s="13"/>
    </row>
    <row r="29291" spans="4:38" x14ac:dyDescent="0.3">
      <c r="D29291" s="1"/>
      <c r="G29291" s="13"/>
    </row>
    <row r="29292" spans="4:38" x14ac:dyDescent="0.3">
      <c r="D29292" s="1"/>
      <c r="G29292" s="13"/>
    </row>
    <row r="29293" spans="4:38" x14ac:dyDescent="0.3">
      <c r="D29293" s="1"/>
      <c r="G29293" s="13"/>
    </row>
    <row r="29294" spans="4:38" x14ac:dyDescent="0.3">
      <c r="D29294" s="1"/>
      <c r="G29294" s="13"/>
    </row>
    <row r="29295" spans="4:38" x14ac:dyDescent="0.3">
      <c r="D29295" s="1"/>
      <c r="G29295" s="13"/>
    </row>
    <row r="29296" spans="4:38" x14ac:dyDescent="0.3">
      <c r="D29296" s="1"/>
      <c r="G29296" s="13"/>
    </row>
    <row r="29297" spans="4:7" x14ac:dyDescent="0.3">
      <c r="D29297" s="1"/>
      <c r="G29297" s="13"/>
    </row>
    <row r="29298" spans="4:7" x14ac:dyDescent="0.3">
      <c r="D29298" s="1"/>
      <c r="G29298" s="13"/>
    </row>
    <row r="29299" spans="4:7" x14ac:dyDescent="0.3">
      <c r="D29299" s="1"/>
      <c r="G29299" s="13"/>
    </row>
    <row r="29300" spans="4:7" x14ac:dyDescent="0.3">
      <c r="D29300" s="1"/>
      <c r="G29300" s="13"/>
    </row>
    <row r="29301" spans="4:7" x14ac:dyDescent="0.3">
      <c r="D29301" s="1"/>
      <c r="G29301" s="13"/>
    </row>
    <row r="29302" spans="4:7" x14ac:dyDescent="0.3">
      <c r="D29302" s="1"/>
      <c r="G29302" s="13"/>
    </row>
    <row r="29303" spans="4:7" x14ac:dyDescent="0.3">
      <c r="D29303" s="1"/>
      <c r="G29303" s="13"/>
    </row>
    <row r="29304" spans="4:7" x14ac:dyDescent="0.3">
      <c r="D29304" s="1"/>
      <c r="G29304" s="13"/>
    </row>
    <row r="29305" spans="4:7" x14ac:dyDescent="0.3">
      <c r="D29305" s="1"/>
      <c r="G29305" s="13"/>
    </row>
    <row r="29306" spans="4:7" x14ac:dyDescent="0.3">
      <c r="D29306" s="1"/>
      <c r="G29306" s="13"/>
    </row>
    <row r="29307" spans="4:7" x14ac:dyDescent="0.3">
      <c r="D29307" s="1"/>
      <c r="G29307" s="13"/>
    </row>
    <row r="29308" spans="4:7" x14ac:dyDescent="0.3">
      <c r="D29308" s="1"/>
      <c r="G29308" s="13"/>
    </row>
    <row r="29309" spans="4:7" x14ac:dyDescent="0.3">
      <c r="D29309" s="1"/>
      <c r="G29309" s="13"/>
    </row>
    <row r="29310" spans="4:7" x14ac:dyDescent="0.3">
      <c r="D29310" s="1"/>
      <c r="G29310" s="13"/>
    </row>
    <row r="29311" spans="4:7" x14ac:dyDescent="0.3">
      <c r="D29311" s="1"/>
      <c r="G29311" s="13"/>
    </row>
    <row r="29312" spans="4:7" x14ac:dyDescent="0.3">
      <c r="D29312" s="1"/>
      <c r="G29312" s="13"/>
    </row>
    <row r="29313" spans="4:7" x14ac:dyDescent="0.3">
      <c r="D29313" s="1"/>
      <c r="G29313" s="13"/>
    </row>
    <row r="29314" spans="4:7" x14ac:dyDescent="0.3">
      <c r="D29314" s="1"/>
      <c r="G29314" s="13"/>
    </row>
    <row r="29315" spans="4:7" x14ac:dyDescent="0.3">
      <c r="D29315" s="1"/>
      <c r="G29315" s="13"/>
    </row>
    <row r="29316" spans="4:7" x14ac:dyDescent="0.3">
      <c r="D29316" s="1"/>
      <c r="G29316" s="13"/>
    </row>
    <row r="29317" spans="4:7" x14ac:dyDescent="0.3">
      <c r="D29317" s="1"/>
      <c r="G29317" s="13"/>
    </row>
    <row r="29318" spans="4:7" x14ac:dyDescent="0.3">
      <c r="D29318" s="1"/>
      <c r="G29318" s="13"/>
    </row>
    <row r="29319" spans="4:7" x14ac:dyDescent="0.3">
      <c r="D29319" s="1"/>
      <c r="G29319" s="13"/>
    </row>
    <row r="29320" spans="4:7" x14ac:dyDescent="0.3">
      <c r="D29320" s="1"/>
      <c r="G29320" s="13"/>
    </row>
    <row r="29321" spans="4:7" x14ac:dyDescent="0.3">
      <c r="D29321" s="1"/>
      <c r="G29321" s="13"/>
    </row>
    <row r="29322" spans="4:7" x14ac:dyDescent="0.3">
      <c r="D29322" s="1"/>
      <c r="G29322" s="13"/>
    </row>
    <row r="29323" spans="4:7" x14ac:dyDescent="0.3">
      <c r="D29323" s="1"/>
      <c r="G29323" s="13"/>
    </row>
    <row r="29324" spans="4:7" x14ac:dyDescent="0.3">
      <c r="D29324" s="1"/>
      <c r="G29324" s="13"/>
    </row>
    <row r="29325" spans="4:7" x14ac:dyDescent="0.3">
      <c r="D29325" s="1"/>
      <c r="G29325" s="13"/>
    </row>
    <row r="29326" spans="4:7" x14ac:dyDescent="0.3">
      <c r="D29326" s="1"/>
      <c r="G29326" s="13"/>
    </row>
    <row r="29327" spans="4:7" x14ac:dyDescent="0.3">
      <c r="D29327" s="1"/>
      <c r="G29327" s="13"/>
    </row>
    <row r="29328" spans="4:7" x14ac:dyDescent="0.3">
      <c r="D29328" s="1"/>
      <c r="G29328" s="13"/>
    </row>
    <row r="29329" spans="4:7" x14ac:dyDescent="0.3">
      <c r="D29329" s="1"/>
      <c r="G29329" s="13"/>
    </row>
    <row r="29330" spans="4:7" x14ac:dyDescent="0.3">
      <c r="D29330" s="1"/>
      <c r="G29330" s="13"/>
    </row>
    <row r="29331" spans="4:7" x14ac:dyDescent="0.3">
      <c r="D29331" s="1"/>
      <c r="G29331" s="13"/>
    </row>
    <row r="29332" spans="4:7" x14ac:dyDescent="0.3">
      <c r="D29332" s="1"/>
      <c r="G29332" s="13"/>
    </row>
    <row r="29333" spans="4:7" x14ac:dyDescent="0.3">
      <c r="D29333" s="1"/>
      <c r="G29333" s="13"/>
    </row>
    <row r="29334" spans="4:7" x14ac:dyDescent="0.3">
      <c r="D29334" s="1"/>
      <c r="G29334" s="13"/>
    </row>
    <row r="29335" spans="4:7" x14ac:dyDescent="0.3">
      <c r="D29335" s="1"/>
      <c r="G29335" s="13"/>
    </row>
    <row r="29336" spans="4:7" x14ac:dyDescent="0.3">
      <c r="D29336" s="1"/>
      <c r="G29336" s="13"/>
    </row>
    <row r="29337" spans="4:7" x14ac:dyDescent="0.3">
      <c r="D29337" s="1"/>
      <c r="G29337" s="13"/>
    </row>
    <row r="29338" spans="4:7" x14ac:dyDescent="0.3">
      <c r="D29338" s="1"/>
      <c r="G29338" s="13"/>
    </row>
    <row r="29339" spans="4:7" x14ac:dyDescent="0.3">
      <c r="D29339" s="1"/>
      <c r="G29339" s="13"/>
    </row>
    <row r="29340" spans="4:7" x14ac:dyDescent="0.3">
      <c r="D29340" s="1"/>
      <c r="G29340" s="13"/>
    </row>
    <row r="29341" spans="4:7" x14ac:dyDescent="0.3">
      <c r="D29341" s="1"/>
      <c r="G29341" s="13"/>
    </row>
    <row r="29342" spans="4:7" x14ac:dyDescent="0.3">
      <c r="D29342" s="1"/>
      <c r="G29342" s="13"/>
    </row>
    <row r="29343" spans="4:7" x14ac:dyDescent="0.3">
      <c r="D29343" s="1"/>
      <c r="G29343" s="13"/>
    </row>
    <row r="29344" spans="4:7" x14ac:dyDescent="0.3">
      <c r="D29344" s="1"/>
      <c r="G29344" s="13"/>
    </row>
    <row r="29345" spans="4:7" x14ac:dyDescent="0.3">
      <c r="D29345" s="1"/>
      <c r="G29345" s="13"/>
    </row>
    <row r="29346" spans="4:7" x14ac:dyDescent="0.3">
      <c r="D29346" s="1"/>
      <c r="G29346" s="13"/>
    </row>
    <row r="29347" spans="4:7" x14ac:dyDescent="0.3">
      <c r="D29347" s="1"/>
      <c r="G29347" s="13"/>
    </row>
    <row r="29348" spans="4:7" x14ac:dyDescent="0.3">
      <c r="D29348" s="1"/>
      <c r="G29348" s="13"/>
    </row>
    <row r="29349" spans="4:7" x14ac:dyDescent="0.3">
      <c r="D29349" s="1"/>
      <c r="G29349" s="13"/>
    </row>
    <row r="29350" spans="4:7" x14ac:dyDescent="0.3">
      <c r="D29350" s="1"/>
      <c r="G29350" s="13"/>
    </row>
    <row r="29351" spans="4:7" x14ac:dyDescent="0.3">
      <c r="D29351" s="1"/>
      <c r="G29351" s="13"/>
    </row>
    <row r="29352" spans="4:7" x14ac:dyDescent="0.3">
      <c r="D29352" s="1"/>
      <c r="G29352" s="13"/>
    </row>
    <row r="29353" spans="4:7" x14ac:dyDescent="0.3">
      <c r="D29353" s="1"/>
      <c r="G29353" s="13"/>
    </row>
    <row r="29354" spans="4:7" x14ac:dyDescent="0.3">
      <c r="D29354" s="1"/>
      <c r="G29354" s="13"/>
    </row>
    <row r="29355" spans="4:7" x14ac:dyDescent="0.3">
      <c r="D29355" s="1"/>
      <c r="G29355" s="13"/>
    </row>
    <row r="29356" spans="4:7" x14ac:dyDescent="0.3">
      <c r="D29356" s="1"/>
      <c r="G29356" s="13"/>
    </row>
    <row r="29357" spans="4:7" x14ac:dyDescent="0.3">
      <c r="D29357" s="1"/>
      <c r="G29357" s="13"/>
    </row>
    <row r="29358" spans="4:7" x14ac:dyDescent="0.3">
      <c r="D29358" s="1"/>
      <c r="G29358" s="13"/>
    </row>
    <row r="29359" spans="4:7" x14ac:dyDescent="0.3">
      <c r="D29359" s="1"/>
      <c r="G29359" s="13"/>
    </row>
    <row r="29360" spans="4:7" x14ac:dyDescent="0.3">
      <c r="D29360" s="1"/>
      <c r="G29360" s="13"/>
    </row>
    <row r="29361" spans="4:7" x14ac:dyDescent="0.3">
      <c r="D29361" s="1"/>
      <c r="G29361" s="13"/>
    </row>
    <row r="29362" spans="4:7" x14ac:dyDescent="0.3">
      <c r="D29362" s="1"/>
      <c r="G29362" s="13"/>
    </row>
    <row r="29363" spans="4:7" x14ac:dyDescent="0.3">
      <c r="D29363" s="1"/>
      <c r="G29363" s="13"/>
    </row>
    <row r="29364" spans="4:7" x14ac:dyDescent="0.3">
      <c r="D29364" s="1"/>
      <c r="G29364" s="13"/>
    </row>
    <row r="29365" spans="4:7" x14ac:dyDescent="0.3">
      <c r="D29365" s="1"/>
      <c r="G29365" s="13"/>
    </row>
    <row r="29366" spans="4:7" x14ac:dyDescent="0.3">
      <c r="D29366" s="1"/>
      <c r="G29366" s="13"/>
    </row>
    <row r="29367" spans="4:7" x14ac:dyDescent="0.3">
      <c r="D29367" s="1"/>
      <c r="G29367" s="13"/>
    </row>
    <row r="29368" spans="4:7" x14ac:dyDescent="0.3">
      <c r="D29368" s="1"/>
      <c r="G29368" s="13"/>
    </row>
    <row r="29369" spans="4:7" x14ac:dyDescent="0.3">
      <c r="D29369" s="1"/>
      <c r="G29369" s="13"/>
    </row>
    <row r="29370" spans="4:7" x14ac:dyDescent="0.3">
      <c r="D29370" s="1"/>
      <c r="G29370" s="13"/>
    </row>
    <row r="29371" spans="4:7" x14ac:dyDescent="0.3">
      <c r="D29371" s="1"/>
      <c r="G29371" s="13"/>
    </row>
    <row r="29372" spans="4:7" x14ac:dyDescent="0.3">
      <c r="D29372" s="1"/>
      <c r="G29372" s="13"/>
    </row>
    <row r="29373" spans="4:7" x14ac:dyDescent="0.3">
      <c r="D29373" s="1"/>
      <c r="G29373" s="13"/>
    </row>
    <row r="29374" spans="4:7" x14ac:dyDescent="0.3">
      <c r="D29374" s="1"/>
      <c r="G29374" s="13"/>
    </row>
    <row r="29375" spans="4:7" x14ac:dyDescent="0.3">
      <c r="D29375" s="1"/>
      <c r="G29375" s="13"/>
    </row>
    <row r="29376" spans="4:7" x14ac:dyDescent="0.3">
      <c r="D29376" s="1"/>
      <c r="G29376" s="13"/>
    </row>
    <row r="29377" spans="4:7" x14ac:dyDescent="0.3">
      <c r="D29377" s="1"/>
      <c r="G29377" s="13"/>
    </row>
    <row r="29378" spans="4:7" x14ac:dyDescent="0.3">
      <c r="D29378" s="1"/>
      <c r="G29378" s="13"/>
    </row>
    <row r="29379" spans="4:7" x14ac:dyDescent="0.3">
      <c r="D29379" s="1"/>
      <c r="G29379" s="13"/>
    </row>
    <row r="29380" spans="4:7" x14ac:dyDescent="0.3">
      <c r="D29380" s="1"/>
      <c r="G29380" s="13"/>
    </row>
    <row r="29381" spans="4:7" x14ac:dyDescent="0.3">
      <c r="D29381" s="1"/>
      <c r="G29381" s="13"/>
    </row>
    <row r="29382" spans="4:7" x14ac:dyDescent="0.3">
      <c r="D29382" s="1"/>
      <c r="G29382" s="13"/>
    </row>
    <row r="29383" spans="4:7" x14ac:dyDescent="0.3">
      <c r="D29383" s="1"/>
      <c r="G29383" s="13"/>
    </row>
    <row r="29384" spans="4:7" x14ac:dyDescent="0.3">
      <c r="D29384" s="1"/>
      <c r="G29384" s="13"/>
    </row>
    <row r="29385" spans="4:7" x14ac:dyDescent="0.3">
      <c r="D29385" s="1"/>
      <c r="G29385" s="13"/>
    </row>
    <row r="29386" spans="4:7" x14ac:dyDescent="0.3">
      <c r="D29386" s="1"/>
      <c r="G29386" s="13"/>
    </row>
    <row r="29387" spans="4:7" x14ac:dyDescent="0.3">
      <c r="D29387" s="1"/>
      <c r="G29387" s="13"/>
    </row>
    <row r="29388" spans="4:7" x14ac:dyDescent="0.3">
      <c r="D29388" s="1"/>
      <c r="G29388" s="13"/>
    </row>
    <row r="29389" spans="4:7" x14ac:dyDescent="0.3">
      <c r="D29389" s="1"/>
      <c r="G29389" s="13"/>
    </row>
    <row r="29390" spans="4:7" x14ac:dyDescent="0.3">
      <c r="D29390" s="1"/>
      <c r="G29390" s="13"/>
    </row>
    <row r="29391" spans="4:7" x14ac:dyDescent="0.3">
      <c r="D29391" s="1"/>
      <c r="G29391" s="13"/>
    </row>
    <row r="29392" spans="4:7" x14ac:dyDescent="0.3">
      <c r="D29392" s="1"/>
      <c r="G29392" s="13"/>
    </row>
    <row r="29393" spans="4:7" x14ac:dyDescent="0.3">
      <c r="D29393" s="1"/>
      <c r="G29393" s="13"/>
    </row>
    <row r="29394" spans="4:7" x14ac:dyDescent="0.3">
      <c r="D29394" s="1"/>
      <c r="G29394" s="13"/>
    </row>
    <row r="29395" spans="4:7" x14ac:dyDescent="0.3">
      <c r="D29395" s="1"/>
      <c r="G29395" s="13"/>
    </row>
    <row r="29396" spans="4:7" x14ac:dyDescent="0.3">
      <c r="D29396" s="1"/>
      <c r="G29396" s="13"/>
    </row>
    <row r="29397" spans="4:7" x14ac:dyDescent="0.3">
      <c r="D29397" s="1"/>
      <c r="G29397" s="13"/>
    </row>
    <row r="29398" spans="4:7" x14ac:dyDescent="0.3">
      <c r="D29398" s="1"/>
      <c r="G29398" s="13"/>
    </row>
    <row r="29399" spans="4:7" x14ac:dyDescent="0.3">
      <c r="D29399" s="1"/>
      <c r="G29399" s="13"/>
    </row>
    <row r="29400" spans="4:7" x14ac:dyDescent="0.3">
      <c r="D29400" s="1"/>
      <c r="G29400" s="13"/>
    </row>
    <row r="29401" spans="4:7" x14ac:dyDescent="0.3">
      <c r="D29401" s="1"/>
      <c r="G29401" s="13"/>
    </row>
    <row r="29402" spans="4:7" x14ac:dyDescent="0.3">
      <c r="D29402" s="1"/>
      <c r="G29402" s="13"/>
    </row>
    <row r="29403" spans="4:7" x14ac:dyDescent="0.3">
      <c r="D29403" s="1"/>
      <c r="G29403" s="13"/>
    </row>
    <row r="29404" spans="4:7" x14ac:dyDescent="0.3">
      <c r="D29404" s="1"/>
      <c r="G29404" s="13"/>
    </row>
    <row r="29405" spans="4:7" x14ac:dyDescent="0.3">
      <c r="D29405" s="1"/>
      <c r="G29405" s="13"/>
    </row>
    <row r="29406" spans="4:7" x14ac:dyDescent="0.3">
      <c r="D29406" s="1"/>
      <c r="G29406" s="13"/>
    </row>
    <row r="29407" spans="4:7" x14ac:dyDescent="0.3">
      <c r="D29407" s="1"/>
      <c r="G29407" s="13"/>
    </row>
    <row r="29408" spans="4:7" x14ac:dyDescent="0.3">
      <c r="D29408" s="1"/>
      <c r="G29408" s="13"/>
    </row>
    <row r="29409" spans="4:7" x14ac:dyDescent="0.3">
      <c r="D29409" s="1"/>
      <c r="G29409" s="13"/>
    </row>
    <row r="29410" spans="4:7" x14ac:dyDescent="0.3">
      <c r="D29410" s="1"/>
      <c r="G29410" s="13"/>
    </row>
    <row r="29411" spans="4:7" x14ac:dyDescent="0.3">
      <c r="D29411" s="1"/>
      <c r="G29411" s="13"/>
    </row>
    <row r="29412" spans="4:7" x14ac:dyDescent="0.3">
      <c r="D29412" s="1"/>
      <c r="G29412" s="13"/>
    </row>
    <row r="29413" spans="4:7" x14ac:dyDescent="0.3">
      <c r="D29413" s="1"/>
      <c r="G29413" s="13"/>
    </row>
    <row r="29414" spans="4:7" x14ac:dyDescent="0.3">
      <c r="D29414" s="1"/>
      <c r="G29414" s="13"/>
    </row>
    <row r="29415" spans="4:7" x14ac:dyDescent="0.3">
      <c r="D29415" s="1"/>
      <c r="G29415" s="13"/>
    </row>
    <row r="29416" spans="4:7" x14ac:dyDescent="0.3">
      <c r="D29416" s="1"/>
      <c r="G29416" s="13"/>
    </row>
    <row r="29417" spans="4:7" x14ac:dyDescent="0.3">
      <c r="D29417" s="1"/>
      <c r="G29417" s="13"/>
    </row>
    <row r="29418" spans="4:7" x14ac:dyDescent="0.3">
      <c r="D29418" s="1"/>
      <c r="G29418" s="13"/>
    </row>
    <row r="29419" spans="4:7" x14ac:dyDescent="0.3">
      <c r="D29419" s="1"/>
      <c r="G29419" s="13"/>
    </row>
    <row r="29420" spans="4:7" x14ac:dyDescent="0.3">
      <c r="D29420" s="1"/>
      <c r="G29420" s="13"/>
    </row>
    <row r="29421" spans="4:7" x14ac:dyDescent="0.3">
      <c r="D29421" s="1"/>
      <c r="G29421" s="13"/>
    </row>
    <row r="29422" spans="4:7" x14ac:dyDescent="0.3">
      <c r="D29422" s="1"/>
      <c r="G29422" s="13"/>
    </row>
    <row r="29423" spans="4:7" x14ac:dyDescent="0.3">
      <c r="D29423" s="1"/>
      <c r="G29423" s="13"/>
    </row>
    <row r="29424" spans="4:7" x14ac:dyDescent="0.3">
      <c r="D29424" s="1"/>
      <c r="G29424" s="13"/>
    </row>
    <row r="29425" spans="4:7" x14ac:dyDescent="0.3">
      <c r="D29425" s="1"/>
      <c r="G29425" s="13"/>
    </row>
    <row r="29426" spans="4:7" x14ac:dyDescent="0.3">
      <c r="D29426" s="1"/>
      <c r="G29426" s="13"/>
    </row>
    <row r="29427" spans="4:7" x14ac:dyDescent="0.3">
      <c r="D29427" s="1"/>
      <c r="G29427" s="13"/>
    </row>
    <row r="29428" spans="4:7" x14ac:dyDescent="0.3">
      <c r="D29428" s="1"/>
      <c r="G29428" s="13"/>
    </row>
    <row r="29429" spans="4:7" x14ac:dyDescent="0.3">
      <c r="D29429" s="1"/>
      <c r="G29429" s="13"/>
    </row>
    <row r="29430" spans="4:7" x14ac:dyDescent="0.3">
      <c r="D29430" s="1"/>
      <c r="G29430" s="13"/>
    </row>
    <row r="29431" spans="4:7" x14ac:dyDescent="0.3">
      <c r="D29431" s="1"/>
      <c r="G29431" s="13"/>
    </row>
    <row r="29432" spans="4:7" x14ac:dyDescent="0.3">
      <c r="D29432" s="1"/>
      <c r="G29432" s="13"/>
    </row>
    <row r="29433" spans="4:7" x14ac:dyDescent="0.3">
      <c r="D29433" s="1"/>
      <c r="G29433" s="13"/>
    </row>
    <row r="29434" spans="4:7" x14ac:dyDescent="0.3">
      <c r="D29434" s="1"/>
      <c r="G29434" s="13"/>
    </row>
    <row r="29435" spans="4:7" x14ac:dyDescent="0.3">
      <c r="D29435" s="1"/>
      <c r="G29435" s="13"/>
    </row>
    <row r="29436" spans="4:7" x14ac:dyDescent="0.3">
      <c r="D29436" s="1"/>
      <c r="G29436" s="13"/>
    </row>
    <row r="29437" spans="4:7" x14ac:dyDescent="0.3">
      <c r="D29437" s="1"/>
      <c r="G29437" s="13"/>
    </row>
    <row r="29438" spans="4:7" x14ac:dyDescent="0.3">
      <c r="D29438" s="1"/>
      <c r="G29438" s="13"/>
    </row>
    <row r="29439" spans="4:7" x14ac:dyDescent="0.3">
      <c r="D29439" s="1"/>
      <c r="G29439" s="13"/>
    </row>
    <row r="29440" spans="4:7" x14ac:dyDescent="0.3">
      <c r="D29440" s="1"/>
      <c r="G29440" s="13"/>
    </row>
    <row r="29441" spans="4:7" x14ac:dyDescent="0.3">
      <c r="D29441" s="1"/>
      <c r="G29441" s="13"/>
    </row>
    <row r="29442" spans="4:7" x14ac:dyDescent="0.3">
      <c r="D29442" s="1"/>
      <c r="G29442" s="13"/>
    </row>
    <row r="29443" spans="4:7" x14ac:dyDescent="0.3">
      <c r="D29443" s="1"/>
      <c r="G29443" s="13"/>
    </row>
    <row r="29444" spans="4:7" x14ac:dyDescent="0.3">
      <c r="D29444" s="1"/>
      <c r="G29444" s="13"/>
    </row>
    <row r="29445" spans="4:7" x14ac:dyDescent="0.3">
      <c r="D29445" s="1"/>
      <c r="G29445" s="13"/>
    </row>
    <row r="29446" spans="4:7" x14ac:dyDescent="0.3">
      <c r="D29446" s="1"/>
      <c r="G29446" s="13"/>
    </row>
    <row r="29447" spans="4:7" x14ac:dyDescent="0.3">
      <c r="D29447" s="1"/>
      <c r="G29447" s="13"/>
    </row>
    <row r="29448" spans="4:7" x14ac:dyDescent="0.3">
      <c r="D29448" s="1"/>
      <c r="G29448" s="13"/>
    </row>
    <row r="29449" spans="4:7" x14ac:dyDescent="0.3">
      <c r="D29449" s="1"/>
      <c r="G29449" s="13"/>
    </row>
    <row r="29450" spans="4:7" x14ac:dyDescent="0.3">
      <c r="D29450" s="1"/>
      <c r="G29450" s="13"/>
    </row>
    <row r="29451" spans="4:7" x14ac:dyDescent="0.3">
      <c r="D29451" s="1"/>
      <c r="G29451" s="13"/>
    </row>
    <row r="29452" spans="4:7" x14ac:dyDescent="0.3">
      <c r="D29452" s="1"/>
      <c r="G29452" s="13"/>
    </row>
    <row r="29453" spans="4:7" x14ac:dyDescent="0.3">
      <c r="D29453" s="1"/>
      <c r="G29453" s="13"/>
    </row>
    <row r="29454" spans="4:7" x14ac:dyDescent="0.3">
      <c r="D29454" s="1"/>
      <c r="G29454" s="13"/>
    </row>
    <row r="29455" spans="4:7" x14ac:dyDescent="0.3">
      <c r="D29455" s="1"/>
      <c r="G29455" s="13"/>
    </row>
    <row r="29456" spans="4:7" x14ac:dyDescent="0.3">
      <c r="D29456" s="1"/>
      <c r="G29456" s="13"/>
    </row>
    <row r="29457" spans="4:7" x14ac:dyDescent="0.3">
      <c r="D29457" s="1"/>
      <c r="G29457" s="13"/>
    </row>
    <row r="29458" spans="4:7" x14ac:dyDescent="0.3">
      <c r="D29458" s="1"/>
      <c r="G29458" s="13"/>
    </row>
    <row r="29459" spans="4:7" x14ac:dyDescent="0.3">
      <c r="D29459" s="1"/>
      <c r="G29459" s="13"/>
    </row>
    <row r="29460" spans="4:7" x14ac:dyDescent="0.3">
      <c r="D29460" s="1"/>
      <c r="G29460" s="13"/>
    </row>
    <row r="29461" spans="4:7" x14ac:dyDescent="0.3">
      <c r="D29461" s="1"/>
      <c r="G29461" s="13"/>
    </row>
    <row r="29462" spans="4:7" x14ac:dyDescent="0.3">
      <c r="D29462" s="1"/>
      <c r="G29462" s="13"/>
    </row>
    <row r="29463" spans="4:7" x14ac:dyDescent="0.3">
      <c r="D29463" s="1"/>
      <c r="G29463" s="13"/>
    </row>
    <row r="29464" spans="4:7" x14ac:dyDescent="0.3">
      <c r="D29464" s="1"/>
      <c r="G29464" s="13"/>
    </row>
    <row r="29465" spans="4:7" x14ac:dyDescent="0.3">
      <c r="D29465" s="1"/>
      <c r="G29465" s="13"/>
    </row>
    <row r="29466" spans="4:7" x14ac:dyDescent="0.3">
      <c r="D29466" s="1"/>
      <c r="G29466" s="13"/>
    </row>
    <row r="29467" spans="4:7" x14ac:dyDescent="0.3">
      <c r="D29467" s="1"/>
      <c r="G29467" s="13"/>
    </row>
    <row r="29468" spans="4:7" x14ac:dyDescent="0.3">
      <c r="D29468" s="1"/>
      <c r="G29468" s="13"/>
    </row>
    <row r="29469" spans="4:7" x14ac:dyDescent="0.3">
      <c r="D29469" s="1"/>
      <c r="G29469" s="13"/>
    </row>
    <row r="29470" spans="4:7" x14ac:dyDescent="0.3">
      <c r="D29470" s="1"/>
      <c r="G29470" s="13"/>
    </row>
    <row r="29471" spans="4:7" x14ac:dyDescent="0.3">
      <c r="D29471" s="1"/>
      <c r="G29471" s="13"/>
    </row>
    <row r="29472" spans="4:7" x14ac:dyDescent="0.3">
      <c r="D29472" s="1"/>
      <c r="G29472" s="13"/>
    </row>
    <row r="29473" spans="4:7" x14ac:dyDescent="0.3">
      <c r="D29473" s="1"/>
      <c r="G29473" s="13"/>
    </row>
    <row r="29474" spans="4:7" x14ac:dyDescent="0.3">
      <c r="D29474" s="1"/>
      <c r="G29474" s="13"/>
    </row>
    <row r="29475" spans="4:7" x14ac:dyDescent="0.3">
      <c r="D29475" s="1"/>
      <c r="G29475" s="13"/>
    </row>
    <row r="29476" spans="4:7" x14ac:dyDescent="0.3">
      <c r="D29476" s="1"/>
      <c r="G29476" s="13"/>
    </row>
    <row r="29477" spans="4:7" x14ac:dyDescent="0.3">
      <c r="D29477" s="1"/>
      <c r="G29477" s="13"/>
    </row>
    <row r="29478" spans="4:7" x14ac:dyDescent="0.3">
      <c r="D29478" s="1"/>
      <c r="G29478" s="13"/>
    </row>
    <row r="29479" spans="4:7" x14ac:dyDescent="0.3">
      <c r="D29479" s="1"/>
      <c r="G29479" s="13"/>
    </row>
    <row r="29480" spans="4:7" x14ac:dyDescent="0.3">
      <c r="D29480" s="1"/>
      <c r="G29480" s="13"/>
    </row>
    <row r="29481" spans="4:7" x14ac:dyDescent="0.3">
      <c r="D29481" s="1"/>
      <c r="G29481" s="13"/>
    </row>
    <row r="29482" spans="4:7" x14ac:dyDescent="0.3">
      <c r="D29482" s="1"/>
      <c r="G29482" s="13"/>
    </row>
    <row r="29483" spans="4:7" x14ac:dyDescent="0.3">
      <c r="D29483" s="1"/>
      <c r="G29483" s="13"/>
    </row>
    <row r="29484" spans="4:7" x14ac:dyDescent="0.3">
      <c r="D29484" s="1"/>
      <c r="G29484" s="13"/>
    </row>
    <row r="29485" spans="4:7" x14ac:dyDescent="0.3">
      <c r="D29485" s="1"/>
      <c r="G29485" s="13"/>
    </row>
    <row r="29486" spans="4:7" x14ac:dyDescent="0.3">
      <c r="D29486" s="1"/>
      <c r="G29486" s="13"/>
    </row>
    <row r="29487" spans="4:7" x14ac:dyDescent="0.3">
      <c r="D29487" s="1"/>
      <c r="G29487" s="13"/>
    </row>
    <row r="29488" spans="4:7" x14ac:dyDescent="0.3">
      <c r="D29488" s="1"/>
      <c r="G29488" s="13"/>
    </row>
    <row r="29489" spans="4:7" x14ac:dyDescent="0.3">
      <c r="D29489" s="1"/>
      <c r="G29489" s="13"/>
    </row>
    <row r="29490" spans="4:7" x14ac:dyDescent="0.3">
      <c r="D29490" s="1"/>
      <c r="G29490" s="13"/>
    </row>
    <row r="29491" spans="4:7" x14ac:dyDescent="0.3">
      <c r="D29491" s="1"/>
      <c r="G29491" s="13"/>
    </row>
    <row r="29492" spans="4:7" x14ac:dyDescent="0.3">
      <c r="D29492" s="1"/>
      <c r="G29492" s="13"/>
    </row>
    <row r="29493" spans="4:7" x14ac:dyDescent="0.3">
      <c r="D29493" s="1"/>
      <c r="G29493" s="13"/>
    </row>
    <row r="29494" spans="4:7" x14ac:dyDescent="0.3">
      <c r="D29494" s="1"/>
      <c r="G29494" s="13"/>
    </row>
    <row r="29495" spans="4:7" x14ac:dyDescent="0.3">
      <c r="D29495" s="1"/>
      <c r="G29495" s="13"/>
    </row>
    <row r="29496" spans="4:7" x14ac:dyDescent="0.3">
      <c r="D29496" s="1"/>
      <c r="G29496" s="13"/>
    </row>
    <row r="29497" spans="4:7" x14ac:dyDescent="0.3">
      <c r="D29497" s="1"/>
      <c r="G29497" s="13"/>
    </row>
    <row r="29498" spans="4:7" x14ac:dyDescent="0.3">
      <c r="D29498" s="1"/>
      <c r="G29498" s="13"/>
    </row>
    <row r="29499" spans="4:7" x14ac:dyDescent="0.3">
      <c r="D29499" s="1"/>
      <c r="G29499" s="13"/>
    </row>
    <row r="29500" spans="4:7" x14ac:dyDescent="0.3">
      <c r="D29500" s="1"/>
      <c r="G29500" s="13"/>
    </row>
    <row r="29501" spans="4:7" x14ac:dyDescent="0.3">
      <c r="D29501" s="1"/>
      <c r="G29501" s="13"/>
    </row>
    <row r="29502" spans="4:7" x14ac:dyDescent="0.3">
      <c r="D29502" s="1"/>
      <c r="G29502" s="13"/>
    </row>
    <row r="29503" spans="4:7" x14ac:dyDescent="0.3">
      <c r="D29503" s="1"/>
      <c r="G29503" s="13"/>
    </row>
    <row r="29504" spans="4:7" x14ac:dyDescent="0.3">
      <c r="D29504" s="1"/>
      <c r="G29504" s="13"/>
    </row>
    <row r="29505" spans="4:7" x14ac:dyDescent="0.3">
      <c r="D29505" s="1"/>
      <c r="G29505" s="13"/>
    </row>
    <row r="29506" spans="4:7" x14ac:dyDescent="0.3">
      <c r="D29506" s="1"/>
      <c r="G29506" s="13"/>
    </row>
    <row r="29507" spans="4:7" x14ac:dyDescent="0.3">
      <c r="D29507" s="1"/>
      <c r="G29507" s="13"/>
    </row>
    <row r="29508" spans="4:7" x14ac:dyDescent="0.3">
      <c r="D29508" s="1"/>
      <c r="G29508" s="13"/>
    </row>
    <row r="29509" spans="4:7" x14ac:dyDescent="0.3">
      <c r="D29509" s="1"/>
      <c r="G29509" s="13"/>
    </row>
    <row r="29510" spans="4:7" x14ac:dyDescent="0.3">
      <c r="D29510" s="1"/>
      <c r="G29510" s="13"/>
    </row>
    <row r="29511" spans="4:7" x14ac:dyDescent="0.3">
      <c r="D29511" s="1"/>
      <c r="G29511" s="13"/>
    </row>
    <row r="29512" spans="4:7" x14ac:dyDescent="0.3">
      <c r="D29512" s="1"/>
      <c r="G29512" s="13"/>
    </row>
    <row r="29513" spans="4:7" x14ac:dyDescent="0.3">
      <c r="D29513" s="1"/>
      <c r="G29513" s="13"/>
    </row>
    <row r="29514" spans="4:7" x14ac:dyDescent="0.3">
      <c r="D29514" s="1"/>
      <c r="G29514" s="13"/>
    </row>
    <row r="29515" spans="4:7" x14ac:dyDescent="0.3">
      <c r="D29515" s="1"/>
      <c r="G29515" s="13"/>
    </row>
    <row r="29516" spans="4:7" x14ac:dyDescent="0.3">
      <c r="D29516" s="1"/>
      <c r="G29516" s="13"/>
    </row>
    <row r="29517" spans="4:7" x14ac:dyDescent="0.3">
      <c r="D29517" s="1"/>
      <c r="G29517" s="13"/>
    </row>
    <row r="29518" spans="4:7" x14ac:dyDescent="0.3">
      <c r="D29518" s="1"/>
      <c r="G29518" s="13"/>
    </row>
    <row r="29519" spans="4:7" x14ac:dyDescent="0.3">
      <c r="D29519" s="1"/>
      <c r="G29519" s="13"/>
    </row>
    <row r="29520" spans="4:7" x14ac:dyDescent="0.3">
      <c r="D29520" s="1"/>
      <c r="G29520" s="13"/>
    </row>
    <row r="29521" spans="4:7" x14ac:dyDescent="0.3">
      <c r="D29521" s="1"/>
      <c r="G29521" s="13"/>
    </row>
    <row r="29522" spans="4:7" x14ac:dyDescent="0.3">
      <c r="D29522" s="1"/>
      <c r="G29522" s="13"/>
    </row>
    <row r="29523" spans="4:7" x14ac:dyDescent="0.3">
      <c r="D29523" s="1"/>
      <c r="G29523" s="13"/>
    </row>
    <row r="29524" spans="4:7" x14ac:dyDescent="0.3">
      <c r="D29524" s="1"/>
      <c r="G29524" s="13"/>
    </row>
    <row r="29525" spans="4:7" x14ac:dyDescent="0.3">
      <c r="D29525" s="1"/>
      <c r="G29525" s="13"/>
    </row>
    <row r="29526" spans="4:7" x14ac:dyDescent="0.3">
      <c r="D29526" s="1"/>
      <c r="G29526" s="13"/>
    </row>
    <row r="29527" spans="4:7" x14ac:dyDescent="0.3">
      <c r="D29527" s="1"/>
      <c r="G29527" s="13"/>
    </row>
    <row r="29528" spans="4:7" x14ac:dyDescent="0.3">
      <c r="D29528" s="1"/>
      <c r="G29528" s="13"/>
    </row>
    <row r="29529" spans="4:7" x14ac:dyDescent="0.3">
      <c r="D29529" s="1"/>
      <c r="G29529" s="13"/>
    </row>
    <row r="29530" spans="4:7" x14ac:dyDescent="0.3">
      <c r="D29530" s="1"/>
      <c r="G29530" s="13"/>
    </row>
    <row r="29531" spans="4:7" x14ac:dyDescent="0.3">
      <c r="D29531" s="1"/>
      <c r="G29531" s="13"/>
    </row>
    <row r="29532" spans="4:7" x14ac:dyDescent="0.3">
      <c r="D29532" s="1"/>
      <c r="G29532" s="13"/>
    </row>
    <row r="29533" spans="4:7" x14ac:dyDescent="0.3">
      <c r="D29533" s="1"/>
      <c r="G29533" s="13"/>
    </row>
    <row r="29534" spans="4:7" x14ac:dyDescent="0.3">
      <c r="D29534" s="1"/>
      <c r="G29534" s="13"/>
    </row>
    <row r="29535" spans="4:7" x14ac:dyDescent="0.3">
      <c r="D29535" s="1"/>
      <c r="G29535" s="13"/>
    </row>
    <row r="29536" spans="4:7" x14ac:dyDescent="0.3">
      <c r="D29536" s="1"/>
      <c r="G29536" s="13"/>
    </row>
    <row r="29537" spans="4:7" x14ac:dyDescent="0.3">
      <c r="D29537" s="1"/>
      <c r="G29537" s="13"/>
    </row>
    <row r="29538" spans="4:7" x14ac:dyDescent="0.3">
      <c r="D29538" s="1"/>
      <c r="G29538" s="13"/>
    </row>
    <row r="29539" spans="4:7" x14ac:dyDescent="0.3">
      <c r="D29539" s="1"/>
      <c r="G29539" s="13"/>
    </row>
    <row r="29540" spans="4:7" x14ac:dyDescent="0.3">
      <c r="D29540" s="1"/>
      <c r="G29540" s="13"/>
    </row>
    <row r="29541" spans="4:7" x14ac:dyDescent="0.3">
      <c r="D29541" s="1"/>
      <c r="G29541" s="13"/>
    </row>
    <row r="29542" spans="4:7" x14ac:dyDescent="0.3">
      <c r="D29542" s="1"/>
      <c r="G29542" s="13"/>
    </row>
    <row r="29543" spans="4:7" x14ac:dyDescent="0.3">
      <c r="D29543" s="1"/>
      <c r="G29543" s="13"/>
    </row>
    <row r="29544" spans="4:7" x14ac:dyDescent="0.3">
      <c r="D29544" s="1"/>
      <c r="G29544" s="13"/>
    </row>
    <row r="29545" spans="4:7" x14ac:dyDescent="0.3">
      <c r="D29545" s="1"/>
      <c r="G29545" s="13"/>
    </row>
    <row r="29546" spans="4:7" x14ac:dyDescent="0.3">
      <c r="D29546" s="1"/>
      <c r="G29546" s="13"/>
    </row>
    <row r="29547" spans="4:7" x14ac:dyDescent="0.3">
      <c r="D29547" s="1"/>
      <c r="G29547" s="13"/>
    </row>
    <row r="29548" spans="4:7" x14ac:dyDescent="0.3">
      <c r="D29548" s="1"/>
      <c r="G29548" s="13"/>
    </row>
    <row r="29549" spans="4:7" x14ac:dyDescent="0.3">
      <c r="D29549" s="1"/>
      <c r="G29549" s="13"/>
    </row>
    <row r="29550" spans="4:7" x14ac:dyDescent="0.3">
      <c r="D29550" s="1"/>
      <c r="G29550" s="13"/>
    </row>
    <row r="29551" spans="4:7" x14ac:dyDescent="0.3">
      <c r="D29551" s="1"/>
      <c r="G29551" s="13"/>
    </row>
    <row r="29552" spans="4:7" x14ac:dyDescent="0.3">
      <c r="D29552" s="1"/>
      <c r="G29552" s="13"/>
    </row>
    <row r="29553" spans="4:7" x14ac:dyDescent="0.3">
      <c r="D29553" s="1"/>
      <c r="G29553" s="13"/>
    </row>
    <row r="29554" spans="4:7" x14ac:dyDescent="0.3">
      <c r="D29554" s="1"/>
      <c r="G29554" s="13"/>
    </row>
    <row r="29555" spans="4:7" x14ac:dyDescent="0.3">
      <c r="D29555" s="1"/>
      <c r="G29555" s="13"/>
    </row>
    <row r="29556" spans="4:7" x14ac:dyDescent="0.3">
      <c r="D29556" s="1"/>
      <c r="G29556" s="13"/>
    </row>
    <row r="29557" spans="4:7" x14ac:dyDescent="0.3">
      <c r="D29557" s="1"/>
      <c r="G29557" s="13"/>
    </row>
    <row r="29558" spans="4:7" x14ac:dyDescent="0.3">
      <c r="D29558" s="1"/>
      <c r="G29558" s="13"/>
    </row>
    <row r="29559" spans="4:7" x14ac:dyDescent="0.3">
      <c r="D29559" s="1"/>
      <c r="G29559" s="13"/>
    </row>
    <row r="29560" spans="4:7" x14ac:dyDescent="0.3">
      <c r="D29560" s="1"/>
      <c r="G29560" s="13"/>
    </row>
    <row r="29561" spans="4:7" x14ac:dyDescent="0.3">
      <c r="D29561" s="1"/>
      <c r="G29561" s="13"/>
    </row>
    <row r="29562" spans="4:7" x14ac:dyDescent="0.3">
      <c r="D29562" s="1"/>
      <c r="G29562" s="13"/>
    </row>
    <row r="29563" spans="4:7" x14ac:dyDescent="0.3">
      <c r="D29563" s="1"/>
      <c r="G29563" s="13"/>
    </row>
    <row r="29564" spans="4:7" x14ac:dyDescent="0.3">
      <c r="D29564" s="1"/>
      <c r="G29564" s="13"/>
    </row>
    <row r="29565" spans="4:7" x14ac:dyDescent="0.3">
      <c r="D29565" s="1"/>
      <c r="G29565" s="13"/>
    </row>
    <row r="29566" spans="4:7" x14ac:dyDescent="0.3">
      <c r="D29566" s="1"/>
      <c r="G29566" s="13"/>
    </row>
    <row r="29567" spans="4:7" x14ac:dyDescent="0.3">
      <c r="D29567" s="1"/>
      <c r="G29567" s="13"/>
    </row>
    <row r="29568" spans="4:7" x14ac:dyDescent="0.3">
      <c r="D29568" s="1"/>
      <c r="G29568" s="13"/>
    </row>
    <row r="29569" spans="4:7" x14ac:dyDescent="0.3">
      <c r="D29569" s="1"/>
      <c r="G29569" s="13"/>
    </row>
    <row r="29570" spans="4:7" x14ac:dyDescent="0.3">
      <c r="D29570" s="1"/>
      <c r="G29570" s="13"/>
    </row>
    <row r="29571" spans="4:7" x14ac:dyDescent="0.3">
      <c r="D29571" s="1"/>
      <c r="G29571" s="13"/>
    </row>
    <row r="29572" spans="4:7" x14ac:dyDescent="0.3">
      <c r="D29572" s="1"/>
      <c r="G29572" s="13"/>
    </row>
    <row r="29573" spans="4:7" x14ac:dyDescent="0.3">
      <c r="D29573" s="1"/>
      <c r="G29573" s="13"/>
    </row>
    <row r="29574" spans="4:7" x14ac:dyDescent="0.3">
      <c r="D29574" s="1"/>
      <c r="G29574" s="13"/>
    </row>
    <row r="29575" spans="4:7" x14ac:dyDescent="0.3">
      <c r="D29575" s="1"/>
      <c r="G29575" s="13"/>
    </row>
    <row r="29576" spans="4:7" x14ac:dyDescent="0.3">
      <c r="D29576" s="1"/>
      <c r="G29576" s="13"/>
    </row>
    <row r="29577" spans="4:7" x14ac:dyDescent="0.3">
      <c r="D29577" s="1"/>
      <c r="G29577" s="13"/>
    </row>
    <row r="29578" spans="4:7" x14ac:dyDescent="0.3">
      <c r="D29578" s="1"/>
      <c r="G29578" s="13"/>
    </row>
    <row r="29579" spans="4:7" x14ac:dyDescent="0.3">
      <c r="D29579" s="1"/>
      <c r="G29579" s="13"/>
    </row>
    <row r="29580" spans="4:7" x14ac:dyDescent="0.3">
      <c r="D29580" s="1"/>
      <c r="G29580" s="13"/>
    </row>
    <row r="29581" spans="4:7" x14ac:dyDescent="0.3">
      <c r="D29581" s="1"/>
    </row>
    <row r="29582" spans="4:7" x14ac:dyDescent="0.3">
      <c r="D29582" s="1"/>
      <c r="G29582" s="13"/>
    </row>
    <row r="29583" spans="4:7" x14ac:dyDescent="0.3">
      <c r="D29583" s="1"/>
      <c r="G29583" s="13"/>
    </row>
    <row r="29584" spans="4:7" x14ac:dyDescent="0.3">
      <c r="D29584" s="1"/>
      <c r="G29584" s="13"/>
    </row>
    <row r="29585" spans="4:7" x14ac:dyDescent="0.3">
      <c r="D29585" s="1"/>
      <c r="G29585" s="13"/>
    </row>
    <row r="29586" spans="4:7" x14ac:dyDescent="0.3">
      <c r="D29586" s="1"/>
      <c r="G29586" s="13"/>
    </row>
    <row r="29587" spans="4:7" x14ac:dyDescent="0.3">
      <c r="D29587" s="1"/>
      <c r="G29587" s="13"/>
    </row>
    <row r="29588" spans="4:7" x14ac:dyDescent="0.3">
      <c r="D29588" s="1"/>
      <c r="G29588" s="13"/>
    </row>
    <row r="29589" spans="4:7" x14ac:dyDescent="0.3">
      <c r="D29589" s="1"/>
      <c r="G29589" s="13"/>
    </row>
    <row r="29590" spans="4:7" x14ac:dyDescent="0.3">
      <c r="D29590" s="1"/>
      <c r="G29590" s="13"/>
    </row>
    <row r="29591" spans="4:7" x14ac:dyDescent="0.3">
      <c r="D29591" s="1"/>
      <c r="G29591" s="13"/>
    </row>
    <row r="29592" spans="4:7" x14ac:dyDescent="0.3">
      <c r="D29592" s="1"/>
      <c r="G29592" s="13"/>
    </row>
    <row r="29593" spans="4:7" x14ac:dyDescent="0.3">
      <c r="D29593" s="1"/>
      <c r="G29593" s="13"/>
    </row>
    <row r="29594" spans="4:7" x14ac:dyDescent="0.3">
      <c r="D29594" s="1"/>
      <c r="G29594" s="13"/>
    </row>
    <row r="29595" spans="4:7" x14ac:dyDescent="0.3">
      <c r="D29595" s="1"/>
      <c r="G29595" s="13"/>
    </row>
    <row r="29596" spans="4:7" x14ac:dyDescent="0.3">
      <c r="D29596" s="1"/>
      <c r="G29596" s="13"/>
    </row>
    <row r="29597" spans="4:7" x14ac:dyDescent="0.3">
      <c r="D29597" s="1"/>
      <c r="G29597" s="13"/>
    </row>
    <row r="29598" spans="4:7" x14ac:dyDescent="0.3">
      <c r="D29598" s="1"/>
      <c r="G29598" s="13"/>
    </row>
    <row r="29599" spans="4:7" x14ac:dyDescent="0.3">
      <c r="D29599" s="1"/>
      <c r="G29599" s="13"/>
    </row>
    <row r="29600" spans="4:7" x14ac:dyDescent="0.3">
      <c r="D29600" s="1"/>
      <c r="G29600" s="13"/>
    </row>
    <row r="29601" spans="4:7" x14ac:dyDescent="0.3">
      <c r="D29601" s="1"/>
      <c r="G29601" s="13"/>
    </row>
    <row r="29602" spans="4:7" x14ac:dyDescent="0.3">
      <c r="D29602" s="1"/>
      <c r="G29602" s="13"/>
    </row>
    <row r="29603" spans="4:7" x14ac:dyDescent="0.3">
      <c r="D29603" s="1"/>
      <c r="G29603" s="13"/>
    </row>
    <row r="29604" spans="4:7" x14ac:dyDescent="0.3">
      <c r="D29604" s="1"/>
      <c r="G29604" s="13"/>
    </row>
    <row r="29605" spans="4:7" x14ac:dyDescent="0.3">
      <c r="D29605" s="1"/>
      <c r="G29605" s="13"/>
    </row>
    <row r="29606" spans="4:7" x14ac:dyDescent="0.3">
      <c r="D29606" s="1"/>
      <c r="G29606" s="13"/>
    </row>
    <row r="29607" spans="4:7" x14ac:dyDescent="0.3">
      <c r="D29607" s="1"/>
      <c r="G29607" s="13"/>
    </row>
    <row r="29608" spans="4:7" x14ac:dyDescent="0.3">
      <c r="D29608" s="1"/>
      <c r="G29608" s="13"/>
    </row>
    <row r="29609" spans="4:7" x14ac:dyDescent="0.3">
      <c r="D29609" s="1"/>
      <c r="G29609" s="13"/>
    </row>
    <row r="29610" spans="4:7" x14ac:dyDescent="0.3">
      <c r="D29610" s="1"/>
      <c r="G29610" s="13"/>
    </row>
    <row r="29611" spans="4:7" x14ac:dyDescent="0.3">
      <c r="D29611" s="1"/>
      <c r="G29611" s="13"/>
    </row>
    <row r="29612" spans="4:7" x14ac:dyDescent="0.3">
      <c r="D29612" s="1"/>
      <c r="G29612" s="13"/>
    </row>
    <row r="29613" spans="4:7" x14ac:dyDescent="0.3">
      <c r="D29613" s="1"/>
      <c r="G29613" s="13"/>
    </row>
    <row r="29614" spans="4:7" x14ac:dyDescent="0.3">
      <c r="D29614" s="1"/>
      <c r="G29614" s="13"/>
    </row>
    <row r="29615" spans="4:7" x14ac:dyDescent="0.3">
      <c r="D29615" s="1"/>
      <c r="G29615" s="13"/>
    </row>
    <row r="29616" spans="4:7" x14ac:dyDescent="0.3">
      <c r="D29616" s="1"/>
      <c r="G29616" s="13"/>
    </row>
    <row r="29617" spans="4:7" x14ac:dyDescent="0.3">
      <c r="D29617" s="1"/>
      <c r="G29617" s="13"/>
    </row>
    <row r="29618" spans="4:7" x14ac:dyDescent="0.3">
      <c r="D29618" s="1"/>
      <c r="G29618" s="13"/>
    </row>
    <row r="29619" spans="4:7" x14ac:dyDescent="0.3">
      <c r="D29619" s="1"/>
      <c r="G29619" s="13"/>
    </row>
    <row r="29620" spans="4:7" x14ac:dyDescent="0.3">
      <c r="D29620" s="1"/>
      <c r="G29620" s="13"/>
    </row>
    <row r="29621" spans="4:7" x14ac:dyDescent="0.3">
      <c r="D29621" s="1"/>
      <c r="G29621" s="13"/>
    </row>
    <row r="29622" spans="4:7" x14ac:dyDescent="0.3">
      <c r="D29622" s="1"/>
      <c r="G29622" s="13"/>
    </row>
    <row r="29623" spans="4:7" x14ac:dyDescent="0.3">
      <c r="D29623" s="1"/>
      <c r="G29623" s="13"/>
    </row>
    <row r="29624" spans="4:7" x14ac:dyDescent="0.3">
      <c r="D29624" s="1"/>
      <c r="G29624" s="13"/>
    </row>
    <row r="29625" spans="4:7" x14ac:dyDescent="0.3">
      <c r="D29625" s="1"/>
      <c r="G29625" s="13"/>
    </row>
    <row r="29626" spans="4:7" x14ac:dyDescent="0.3">
      <c r="D29626" s="1"/>
      <c r="G29626" s="13"/>
    </row>
    <row r="29627" spans="4:7" x14ac:dyDescent="0.3">
      <c r="D29627" s="1"/>
      <c r="G29627" s="13"/>
    </row>
    <row r="29628" spans="4:7" x14ac:dyDescent="0.3">
      <c r="D29628" s="1"/>
      <c r="G29628" s="13"/>
    </row>
    <row r="29629" spans="4:7" x14ac:dyDescent="0.3">
      <c r="D29629" s="1"/>
      <c r="G29629" s="13"/>
    </row>
    <row r="29630" spans="4:7" x14ac:dyDescent="0.3">
      <c r="D29630" s="1"/>
      <c r="G29630" s="13"/>
    </row>
    <row r="29631" spans="4:7" x14ac:dyDescent="0.3">
      <c r="D29631" s="1"/>
      <c r="G29631" s="13"/>
    </row>
    <row r="29632" spans="4:7" x14ac:dyDescent="0.3">
      <c r="D29632" s="1"/>
      <c r="G29632" s="13"/>
    </row>
    <row r="29633" spans="4:7" x14ac:dyDescent="0.3">
      <c r="D29633" s="1"/>
      <c r="G29633" s="13"/>
    </row>
    <row r="29634" spans="4:7" x14ac:dyDescent="0.3">
      <c r="D29634" s="1"/>
      <c r="G29634" s="13"/>
    </row>
    <row r="29635" spans="4:7" x14ac:dyDescent="0.3">
      <c r="D29635" s="1"/>
      <c r="G29635" s="13"/>
    </row>
    <row r="29636" spans="4:7" x14ac:dyDescent="0.3">
      <c r="D29636" s="1"/>
      <c r="G29636" s="13"/>
    </row>
    <row r="29637" spans="4:7" x14ac:dyDescent="0.3">
      <c r="D29637" s="1"/>
      <c r="G29637" s="13"/>
    </row>
    <row r="29638" spans="4:7" x14ac:dyDescent="0.3">
      <c r="D29638" s="1"/>
      <c r="G29638" s="13"/>
    </row>
    <row r="29639" spans="4:7" x14ac:dyDescent="0.3">
      <c r="D29639" s="1"/>
      <c r="G29639" s="13"/>
    </row>
    <row r="29640" spans="4:7" x14ac:dyDescent="0.3">
      <c r="D29640" s="1"/>
      <c r="G29640" s="13"/>
    </row>
    <row r="29641" spans="4:7" x14ac:dyDescent="0.3">
      <c r="D29641" s="1"/>
      <c r="G29641" s="13"/>
    </row>
    <row r="29642" spans="4:7" x14ac:dyDescent="0.3">
      <c r="D29642" s="1"/>
      <c r="G29642" s="13"/>
    </row>
    <row r="29643" spans="4:7" x14ac:dyDescent="0.3">
      <c r="D29643" s="1"/>
      <c r="G29643" s="13"/>
    </row>
    <row r="29644" spans="4:7" x14ac:dyDescent="0.3">
      <c r="D29644" s="1"/>
      <c r="G29644" s="13"/>
    </row>
    <row r="29645" spans="4:7" x14ac:dyDescent="0.3">
      <c r="D29645" s="1"/>
      <c r="G29645" s="13"/>
    </row>
    <row r="29646" spans="4:7" x14ac:dyDescent="0.3">
      <c r="D29646" s="1"/>
      <c r="G29646" s="13"/>
    </row>
    <row r="29647" spans="4:7" x14ac:dyDescent="0.3">
      <c r="D29647" s="1"/>
      <c r="G29647" s="13"/>
    </row>
    <row r="29648" spans="4:7" x14ac:dyDescent="0.3">
      <c r="D29648" s="1"/>
      <c r="G29648" s="13"/>
    </row>
    <row r="29649" spans="4:7" x14ac:dyDescent="0.3">
      <c r="D29649" s="1"/>
      <c r="G29649" s="13"/>
    </row>
    <row r="29650" spans="4:7" x14ac:dyDescent="0.3">
      <c r="D29650" s="1"/>
      <c r="G29650" s="13"/>
    </row>
    <row r="29651" spans="4:7" x14ac:dyDescent="0.3">
      <c r="D29651" s="1"/>
      <c r="G29651" s="13"/>
    </row>
    <row r="29652" spans="4:7" x14ac:dyDescent="0.3">
      <c r="D29652" s="1"/>
      <c r="G29652" s="13"/>
    </row>
    <row r="29653" spans="4:7" x14ac:dyDescent="0.3">
      <c r="D29653" s="1"/>
      <c r="G29653" s="13"/>
    </row>
    <row r="29654" spans="4:7" x14ac:dyDescent="0.3">
      <c r="D29654" s="1"/>
      <c r="G29654" s="13"/>
    </row>
    <row r="29655" spans="4:7" x14ac:dyDescent="0.3">
      <c r="D29655" s="1"/>
      <c r="G29655" s="13"/>
    </row>
    <row r="29656" spans="4:7" x14ac:dyDescent="0.3">
      <c r="D29656" s="1"/>
      <c r="G29656" s="13"/>
    </row>
    <row r="29657" spans="4:7" x14ac:dyDescent="0.3">
      <c r="D29657" s="1"/>
      <c r="G29657" s="13"/>
    </row>
    <row r="29658" spans="4:7" x14ac:dyDescent="0.3">
      <c r="D29658" s="1"/>
      <c r="G29658" s="13"/>
    </row>
    <row r="29659" spans="4:7" x14ac:dyDescent="0.3">
      <c r="G29659" s="13"/>
    </row>
    <row r="29660" spans="4:7" x14ac:dyDescent="0.3">
      <c r="D29660" s="1"/>
      <c r="G29660" s="13"/>
    </row>
    <row r="29661" spans="4:7" x14ac:dyDescent="0.3">
      <c r="D29661" s="1"/>
      <c r="G29661" s="13"/>
    </row>
    <row r="29662" spans="4:7" x14ac:dyDescent="0.3">
      <c r="D29662" s="1"/>
      <c r="G29662" s="13"/>
    </row>
    <row r="29663" spans="4:7" x14ac:dyDescent="0.3">
      <c r="D29663" s="1"/>
      <c r="G29663" s="13"/>
    </row>
    <row r="29664" spans="4:7" x14ac:dyDescent="0.3">
      <c r="D29664" s="1"/>
      <c r="G29664" s="13"/>
    </row>
    <row r="29665" spans="4:7" x14ac:dyDescent="0.3">
      <c r="D29665" s="1"/>
      <c r="G29665" s="13"/>
    </row>
    <row r="29666" spans="4:7" x14ac:dyDescent="0.3">
      <c r="D29666" s="1"/>
      <c r="G29666" s="13"/>
    </row>
    <row r="29667" spans="4:7" x14ac:dyDescent="0.3">
      <c r="D29667" s="1"/>
      <c r="G29667" s="13"/>
    </row>
    <row r="29668" spans="4:7" x14ac:dyDescent="0.3">
      <c r="D29668" s="1"/>
      <c r="G29668" s="13"/>
    </row>
    <row r="29669" spans="4:7" x14ac:dyDescent="0.3">
      <c r="D29669" s="1"/>
      <c r="G29669" s="13"/>
    </row>
    <row r="29670" spans="4:7" x14ac:dyDescent="0.3">
      <c r="D29670" s="1"/>
      <c r="G29670" s="13"/>
    </row>
    <row r="29671" spans="4:7" x14ac:dyDescent="0.3">
      <c r="D29671" s="1"/>
      <c r="G29671" s="13"/>
    </row>
    <row r="29672" spans="4:7" x14ac:dyDescent="0.3">
      <c r="D29672" s="1"/>
      <c r="G29672" s="13"/>
    </row>
    <row r="29673" spans="4:7" x14ac:dyDescent="0.3">
      <c r="D29673" s="1"/>
      <c r="G29673" s="13"/>
    </row>
    <row r="29674" spans="4:7" x14ac:dyDescent="0.3">
      <c r="D29674" s="1"/>
      <c r="G29674" s="13"/>
    </row>
    <row r="29675" spans="4:7" x14ac:dyDescent="0.3">
      <c r="D29675" s="1"/>
      <c r="G29675" s="13"/>
    </row>
    <row r="29676" spans="4:7" x14ac:dyDescent="0.3">
      <c r="D29676" s="1"/>
      <c r="G29676" s="13"/>
    </row>
    <row r="29677" spans="4:7" x14ac:dyDescent="0.3">
      <c r="D29677" s="1"/>
      <c r="G29677" s="13"/>
    </row>
    <row r="29678" spans="4:7" x14ac:dyDescent="0.3">
      <c r="D29678" s="1"/>
      <c r="G29678" s="13"/>
    </row>
    <row r="29679" spans="4:7" x14ac:dyDescent="0.3">
      <c r="D29679" s="1"/>
      <c r="G29679" s="13"/>
    </row>
    <row r="29680" spans="4:7" x14ac:dyDescent="0.3">
      <c r="D29680" s="1"/>
      <c r="G29680" s="13"/>
    </row>
    <row r="29681" spans="4:7" x14ac:dyDescent="0.3">
      <c r="D29681" s="1"/>
      <c r="G29681" s="13"/>
    </row>
    <row r="29682" spans="4:7" x14ac:dyDescent="0.3">
      <c r="D29682" s="1"/>
      <c r="G29682" s="13"/>
    </row>
    <row r="29683" spans="4:7" x14ac:dyDescent="0.3">
      <c r="D29683" s="1"/>
      <c r="G29683" s="13"/>
    </row>
    <row r="29684" spans="4:7" x14ac:dyDescent="0.3">
      <c r="D29684" s="1"/>
      <c r="G29684" s="13"/>
    </row>
    <row r="29685" spans="4:7" x14ac:dyDescent="0.3">
      <c r="D29685" s="1"/>
      <c r="G29685" s="13"/>
    </row>
    <row r="29686" spans="4:7" x14ac:dyDescent="0.3">
      <c r="D29686" s="1"/>
      <c r="G29686" s="13"/>
    </row>
    <row r="29687" spans="4:7" x14ac:dyDescent="0.3">
      <c r="D29687" s="1"/>
      <c r="G29687" s="13"/>
    </row>
    <row r="29688" spans="4:7" x14ac:dyDescent="0.3">
      <c r="D29688" s="1"/>
      <c r="G29688" s="13"/>
    </row>
    <row r="29689" spans="4:7" x14ac:dyDescent="0.3">
      <c r="D29689" s="1"/>
      <c r="G29689" s="13"/>
    </row>
    <row r="29690" spans="4:7" x14ac:dyDescent="0.3">
      <c r="D29690" s="1"/>
      <c r="G29690" s="13"/>
    </row>
    <row r="29691" spans="4:7" x14ac:dyDescent="0.3">
      <c r="D29691" s="1"/>
      <c r="G29691" s="13"/>
    </row>
    <row r="29692" spans="4:7" x14ac:dyDescent="0.3">
      <c r="D29692" s="1"/>
      <c r="G29692" s="13"/>
    </row>
    <row r="29693" spans="4:7" x14ac:dyDescent="0.3">
      <c r="D29693" s="1"/>
      <c r="G29693" s="13"/>
    </row>
    <row r="29694" spans="4:7" x14ac:dyDescent="0.3">
      <c r="D29694" s="1"/>
      <c r="G29694" s="13"/>
    </row>
    <row r="29695" spans="4:7" x14ac:dyDescent="0.3">
      <c r="D29695" s="1"/>
      <c r="G29695" s="13"/>
    </row>
    <row r="29696" spans="4:7" x14ac:dyDescent="0.3">
      <c r="D29696" s="1"/>
      <c r="G29696" s="13"/>
    </row>
    <row r="29697" spans="4:7" x14ac:dyDescent="0.3">
      <c r="D29697" s="1"/>
      <c r="G29697" s="13"/>
    </row>
    <row r="29698" spans="4:7" x14ac:dyDescent="0.3">
      <c r="D29698" s="1"/>
      <c r="G29698" s="13"/>
    </row>
    <row r="29699" spans="4:7" x14ac:dyDescent="0.3">
      <c r="D29699" s="1"/>
      <c r="G29699" s="13"/>
    </row>
    <row r="29700" spans="4:7" x14ac:dyDescent="0.3">
      <c r="D29700" s="1"/>
      <c r="G29700" s="13"/>
    </row>
    <row r="29701" spans="4:7" x14ac:dyDescent="0.3">
      <c r="D29701" s="1"/>
      <c r="G29701" s="13"/>
    </row>
    <row r="29702" spans="4:7" x14ac:dyDescent="0.3">
      <c r="D29702" s="1"/>
      <c r="G29702" s="13"/>
    </row>
    <row r="29703" spans="4:7" x14ac:dyDescent="0.3">
      <c r="D29703" s="1"/>
      <c r="G29703" s="13"/>
    </row>
    <row r="29704" spans="4:7" x14ac:dyDescent="0.3">
      <c r="D29704" s="1"/>
      <c r="G29704" s="13"/>
    </row>
    <row r="29705" spans="4:7" x14ac:dyDescent="0.3">
      <c r="D29705" s="1"/>
      <c r="G29705" s="13"/>
    </row>
    <row r="29706" spans="4:7" x14ac:dyDescent="0.3">
      <c r="D29706" s="1"/>
      <c r="G29706" s="13"/>
    </row>
    <row r="29707" spans="4:7" x14ac:dyDescent="0.3">
      <c r="D29707" s="1"/>
      <c r="G29707" s="13"/>
    </row>
    <row r="29708" spans="4:7" x14ac:dyDescent="0.3">
      <c r="D29708" s="1"/>
      <c r="G29708" s="13"/>
    </row>
    <row r="29709" spans="4:7" x14ac:dyDescent="0.3">
      <c r="D29709" s="1"/>
      <c r="G29709" s="13"/>
    </row>
    <row r="29710" spans="4:7" x14ac:dyDescent="0.3">
      <c r="D29710" s="1"/>
      <c r="G29710" s="13"/>
    </row>
    <row r="29711" spans="4:7" x14ac:dyDescent="0.3">
      <c r="D29711" s="1"/>
      <c r="G29711" s="13"/>
    </row>
    <row r="29712" spans="4:7" x14ac:dyDescent="0.3">
      <c r="D29712" s="1"/>
      <c r="G29712" s="13"/>
    </row>
    <row r="29713" spans="4:7" x14ac:dyDescent="0.3">
      <c r="D29713" s="1"/>
      <c r="G29713" s="13"/>
    </row>
    <row r="29714" spans="4:7" x14ac:dyDescent="0.3">
      <c r="D29714" s="1"/>
      <c r="G29714" s="13"/>
    </row>
    <row r="29715" spans="4:7" x14ac:dyDescent="0.3">
      <c r="D29715" s="1"/>
      <c r="G29715" s="13"/>
    </row>
    <row r="29716" spans="4:7" x14ac:dyDescent="0.3">
      <c r="D29716" s="1"/>
      <c r="G29716" s="13"/>
    </row>
    <row r="29717" spans="4:7" x14ac:dyDescent="0.3">
      <c r="D29717" s="1"/>
      <c r="G29717" s="13"/>
    </row>
    <row r="29718" spans="4:7" x14ac:dyDescent="0.3">
      <c r="D29718" s="1"/>
      <c r="G29718" s="13"/>
    </row>
    <row r="29719" spans="4:7" x14ac:dyDescent="0.3">
      <c r="D29719" s="1"/>
      <c r="G29719" s="13"/>
    </row>
    <row r="29720" spans="4:7" x14ac:dyDescent="0.3">
      <c r="D29720" s="1"/>
      <c r="G29720" s="13"/>
    </row>
    <row r="29721" spans="4:7" x14ac:dyDescent="0.3">
      <c r="G29721" s="13"/>
    </row>
    <row r="29722" spans="4:7" x14ac:dyDescent="0.3">
      <c r="D29722" s="1"/>
      <c r="G29722" s="13"/>
    </row>
    <row r="29723" spans="4:7" x14ac:dyDescent="0.3">
      <c r="D29723" s="1"/>
      <c r="G29723" s="13"/>
    </row>
    <row r="29724" spans="4:7" x14ac:dyDescent="0.3">
      <c r="D29724" s="1"/>
      <c r="G29724" s="13"/>
    </row>
    <row r="29725" spans="4:7" x14ac:dyDescent="0.3">
      <c r="D29725" s="1"/>
      <c r="G29725" s="13"/>
    </row>
    <row r="29726" spans="4:7" x14ac:dyDescent="0.3">
      <c r="D29726" s="1"/>
      <c r="G29726" s="13"/>
    </row>
    <row r="29727" spans="4:7" x14ac:dyDescent="0.3">
      <c r="D29727" s="1"/>
      <c r="G29727" s="13"/>
    </row>
    <row r="29728" spans="4:7" x14ac:dyDescent="0.3">
      <c r="D29728" s="1"/>
      <c r="G29728" s="13"/>
    </row>
    <row r="29729" spans="4:7" x14ac:dyDescent="0.3">
      <c r="D29729" s="1"/>
      <c r="G29729" s="13"/>
    </row>
    <row r="29730" spans="4:7" x14ac:dyDescent="0.3">
      <c r="D29730" s="1"/>
      <c r="G29730" s="13"/>
    </row>
    <row r="29731" spans="4:7" x14ac:dyDescent="0.3">
      <c r="D29731" s="1"/>
      <c r="G29731" s="13"/>
    </row>
    <row r="29732" spans="4:7" x14ac:dyDescent="0.3">
      <c r="D29732" s="1"/>
      <c r="G29732" s="13"/>
    </row>
    <row r="29733" spans="4:7" x14ac:dyDescent="0.3">
      <c r="D29733" s="1"/>
      <c r="G29733" s="13"/>
    </row>
    <row r="29734" spans="4:7" x14ac:dyDescent="0.3">
      <c r="D29734" s="1"/>
      <c r="G29734" s="13"/>
    </row>
    <row r="29735" spans="4:7" x14ac:dyDescent="0.3">
      <c r="D29735" s="1"/>
      <c r="G29735" s="13"/>
    </row>
    <row r="29736" spans="4:7" x14ac:dyDescent="0.3">
      <c r="D29736" s="1"/>
      <c r="G29736" s="13"/>
    </row>
    <row r="29737" spans="4:7" x14ac:dyDescent="0.3">
      <c r="D29737" s="1"/>
      <c r="G29737" s="13"/>
    </row>
    <row r="29738" spans="4:7" x14ac:dyDescent="0.3">
      <c r="D29738" s="1"/>
      <c r="G29738" s="13"/>
    </row>
    <row r="29739" spans="4:7" x14ac:dyDescent="0.3">
      <c r="D29739" s="1"/>
      <c r="G29739" s="13"/>
    </row>
    <row r="29740" spans="4:7" x14ac:dyDescent="0.3">
      <c r="D29740" s="1"/>
      <c r="G29740" s="13"/>
    </row>
    <row r="29741" spans="4:7" x14ac:dyDescent="0.3">
      <c r="D29741" s="1"/>
      <c r="G29741" s="13"/>
    </row>
    <row r="29742" spans="4:7" x14ac:dyDescent="0.3">
      <c r="D29742" s="1"/>
      <c r="G29742" s="13"/>
    </row>
    <row r="29743" spans="4:7" x14ac:dyDescent="0.3">
      <c r="D29743" s="1"/>
      <c r="G29743" s="13"/>
    </row>
    <row r="29744" spans="4:7" x14ac:dyDescent="0.3">
      <c r="D29744" s="1"/>
      <c r="G29744" s="13"/>
    </row>
    <row r="29745" spans="4:7" x14ac:dyDescent="0.3">
      <c r="D29745" s="1"/>
      <c r="G29745" s="13"/>
    </row>
    <row r="29746" spans="4:7" x14ac:dyDescent="0.3">
      <c r="D29746" s="1"/>
      <c r="G29746" s="13"/>
    </row>
    <row r="29747" spans="4:7" x14ac:dyDescent="0.3">
      <c r="D29747" s="1"/>
      <c r="G29747" s="13"/>
    </row>
    <row r="29748" spans="4:7" x14ac:dyDescent="0.3">
      <c r="D29748" s="1"/>
      <c r="G29748" s="13"/>
    </row>
    <row r="29749" spans="4:7" x14ac:dyDescent="0.3">
      <c r="D29749" s="1"/>
      <c r="G29749" s="13"/>
    </row>
    <row r="29750" spans="4:7" x14ac:dyDescent="0.3">
      <c r="D29750" s="1"/>
      <c r="G29750" s="13"/>
    </row>
    <row r="29751" spans="4:7" x14ac:dyDescent="0.3">
      <c r="D29751" s="1"/>
      <c r="G29751" s="13"/>
    </row>
    <row r="29752" spans="4:7" x14ac:dyDescent="0.3">
      <c r="D29752" s="1"/>
      <c r="G29752" s="13"/>
    </row>
    <row r="29753" spans="4:7" x14ac:dyDescent="0.3">
      <c r="D29753" s="1"/>
      <c r="G29753" s="13"/>
    </row>
    <row r="29754" spans="4:7" x14ac:dyDescent="0.3">
      <c r="D29754" s="1"/>
      <c r="G29754" s="13"/>
    </row>
    <row r="29755" spans="4:7" x14ac:dyDescent="0.3">
      <c r="D29755" s="1"/>
      <c r="G29755" s="13"/>
    </row>
    <row r="29756" spans="4:7" x14ac:dyDescent="0.3">
      <c r="D29756" s="1"/>
      <c r="G29756" s="13"/>
    </row>
    <row r="29757" spans="4:7" x14ac:dyDescent="0.3">
      <c r="D29757" s="1"/>
      <c r="G29757" s="13"/>
    </row>
    <row r="29758" spans="4:7" x14ac:dyDescent="0.3">
      <c r="D29758" s="1"/>
      <c r="G29758" s="13"/>
    </row>
    <row r="29759" spans="4:7" x14ac:dyDescent="0.3">
      <c r="D29759" s="1"/>
      <c r="G29759" s="13"/>
    </row>
    <row r="29760" spans="4:7" x14ac:dyDescent="0.3">
      <c r="D29760" s="1"/>
      <c r="G29760" s="13"/>
    </row>
    <row r="29761" spans="4:7" x14ac:dyDescent="0.3">
      <c r="D29761" s="1"/>
      <c r="G29761" s="13"/>
    </row>
    <row r="29762" spans="4:7" x14ac:dyDescent="0.3">
      <c r="D29762" s="1"/>
      <c r="G29762" s="13"/>
    </row>
    <row r="29763" spans="4:7" x14ac:dyDescent="0.3">
      <c r="D29763" s="1"/>
      <c r="G29763" s="13"/>
    </row>
    <row r="29764" spans="4:7" x14ac:dyDescent="0.3">
      <c r="D29764" s="1"/>
      <c r="G29764" s="13"/>
    </row>
    <row r="29765" spans="4:7" x14ac:dyDescent="0.3">
      <c r="D29765" s="1"/>
      <c r="G29765" s="13"/>
    </row>
    <row r="29766" spans="4:7" x14ac:dyDescent="0.3">
      <c r="D29766" s="1"/>
      <c r="G29766" s="13"/>
    </row>
    <row r="29767" spans="4:7" x14ac:dyDescent="0.3">
      <c r="D29767" s="1"/>
      <c r="G29767" s="13"/>
    </row>
    <row r="29768" spans="4:7" x14ac:dyDescent="0.3">
      <c r="D29768" s="1"/>
      <c r="G29768" s="13"/>
    </row>
    <row r="29769" spans="4:7" x14ac:dyDescent="0.3">
      <c r="D29769" s="1"/>
      <c r="G29769" s="13"/>
    </row>
    <row r="29770" spans="4:7" x14ac:dyDescent="0.3">
      <c r="D29770" s="1"/>
      <c r="G29770" s="13"/>
    </row>
    <row r="29771" spans="4:7" x14ac:dyDescent="0.3">
      <c r="D29771" s="1"/>
      <c r="G29771" s="13"/>
    </row>
    <row r="29772" spans="4:7" x14ac:dyDescent="0.3">
      <c r="D29772" s="1"/>
      <c r="G29772" s="13"/>
    </row>
    <row r="29773" spans="4:7" x14ac:dyDescent="0.3">
      <c r="D29773" s="1"/>
      <c r="G29773" s="13"/>
    </row>
    <row r="29774" spans="4:7" x14ac:dyDescent="0.3">
      <c r="D29774" s="1"/>
      <c r="G29774" s="13"/>
    </row>
    <row r="29775" spans="4:7" x14ac:dyDescent="0.3">
      <c r="D29775" s="1"/>
      <c r="G29775" s="13"/>
    </row>
    <row r="29776" spans="4:7" x14ac:dyDescent="0.3">
      <c r="D29776" s="1"/>
      <c r="G29776" s="13"/>
    </row>
    <row r="29777" spans="4:7" x14ac:dyDescent="0.3">
      <c r="D29777" s="1"/>
      <c r="G29777" s="13"/>
    </row>
    <row r="29778" spans="4:7" x14ac:dyDescent="0.3">
      <c r="D29778" s="1"/>
      <c r="G29778" s="13"/>
    </row>
    <row r="29779" spans="4:7" x14ac:dyDescent="0.3">
      <c r="D29779" s="1"/>
      <c r="G29779" s="13"/>
    </row>
    <row r="29780" spans="4:7" x14ac:dyDescent="0.3">
      <c r="D29780" s="1"/>
      <c r="G29780" s="13"/>
    </row>
    <row r="29781" spans="4:7" x14ac:dyDescent="0.3">
      <c r="D29781" s="1"/>
      <c r="G29781" s="13"/>
    </row>
    <row r="29782" spans="4:7" x14ac:dyDescent="0.3">
      <c r="D29782" s="1"/>
      <c r="G29782" s="13"/>
    </row>
    <row r="29783" spans="4:7" x14ac:dyDescent="0.3">
      <c r="D29783" s="1"/>
      <c r="G29783" s="13"/>
    </row>
    <row r="29784" spans="4:7" x14ac:dyDescent="0.3">
      <c r="D29784" s="1"/>
      <c r="G29784" s="13"/>
    </row>
    <row r="29785" spans="4:7" x14ac:dyDescent="0.3">
      <c r="D29785" s="1"/>
      <c r="G29785" s="13"/>
    </row>
    <row r="29786" spans="4:7" x14ac:dyDescent="0.3">
      <c r="D29786" s="1"/>
      <c r="G29786" s="13"/>
    </row>
    <row r="29787" spans="4:7" x14ac:dyDescent="0.3">
      <c r="D29787" s="1"/>
      <c r="G29787" s="13"/>
    </row>
    <row r="29788" spans="4:7" x14ac:dyDescent="0.3">
      <c r="D29788" s="1"/>
      <c r="G29788" s="13"/>
    </row>
    <row r="29789" spans="4:7" x14ac:dyDescent="0.3">
      <c r="D29789" s="1"/>
      <c r="G29789" s="13"/>
    </row>
    <row r="29790" spans="4:7" x14ac:dyDescent="0.3">
      <c r="D29790" s="1"/>
      <c r="G29790" s="13"/>
    </row>
    <row r="29791" spans="4:7" x14ac:dyDescent="0.3">
      <c r="D29791" s="1"/>
      <c r="G29791" s="13"/>
    </row>
    <row r="29792" spans="4:7" x14ac:dyDescent="0.3">
      <c r="D29792" s="1"/>
      <c r="G29792" s="13"/>
    </row>
    <row r="29793" spans="4:7" x14ac:dyDescent="0.3">
      <c r="D29793" s="1"/>
      <c r="G29793" s="13"/>
    </row>
    <row r="29794" spans="4:7" x14ac:dyDescent="0.3">
      <c r="D29794" s="1"/>
      <c r="G29794" s="13"/>
    </row>
    <row r="29795" spans="4:7" x14ac:dyDescent="0.3">
      <c r="D29795" s="1"/>
      <c r="G29795" s="13"/>
    </row>
    <row r="29796" spans="4:7" x14ac:dyDescent="0.3">
      <c r="D29796" s="1"/>
      <c r="G29796" s="13"/>
    </row>
    <row r="29797" spans="4:7" x14ac:dyDescent="0.3">
      <c r="D29797" s="1"/>
      <c r="G29797" s="13"/>
    </row>
    <row r="29798" spans="4:7" x14ac:dyDescent="0.3">
      <c r="D29798" s="1"/>
      <c r="G29798" s="13"/>
    </row>
    <row r="29799" spans="4:7" x14ac:dyDescent="0.3">
      <c r="D29799" s="1"/>
      <c r="G29799" s="13"/>
    </row>
    <row r="29800" spans="4:7" x14ac:dyDescent="0.3">
      <c r="D29800" s="1"/>
      <c r="G29800" s="13"/>
    </row>
    <row r="29801" spans="4:7" x14ac:dyDescent="0.3">
      <c r="D29801" s="1"/>
      <c r="G29801" s="13"/>
    </row>
    <row r="29802" spans="4:7" x14ac:dyDescent="0.3">
      <c r="D29802" s="1"/>
      <c r="G29802" s="13"/>
    </row>
    <row r="29803" spans="4:7" x14ac:dyDescent="0.3">
      <c r="D29803" s="1"/>
      <c r="G29803" s="13"/>
    </row>
    <row r="29804" spans="4:7" x14ac:dyDescent="0.3">
      <c r="D29804" s="1"/>
      <c r="G29804" s="13"/>
    </row>
    <row r="29805" spans="4:7" x14ac:dyDescent="0.3">
      <c r="D29805" s="1"/>
      <c r="G29805" s="13"/>
    </row>
    <row r="29806" spans="4:7" x14ac:dyDescent="0.3">
      <c r="D29806" s="1"/>
      <c r="G29806" s="13"/>
    </row>
    <row r="29807" spans="4:7" x14ac:dyDescent="0.3">
      <c r="D29807" s="1"/>
      <c r="G29807" s="13"/>
    </row>
    <row r="29808" spans="4:7" x14ac:dyDescent="0.3">
      <c r="D29808" s="1"/>
      <c r="G29808" s="13"/>
    </row>
    <row r="29809" spans="4:7" x14ac:dyDescent="0.3">
      <c r="D29809" s="1"/>
      <c r="G29809" s="13"/>
    </row>
    <row r="29810" spans="4:7" x14ac:dyDescent="0.3">
      <c r="D29810" s="1"/>
      <c r="G29810" s="13"/>
    </row>
    <row r="29811" spans="4:7" x14ac:dyDescent="0.3">
      <c r="D29811" s="1"/>
      <c r="G29811" s="13"/>
    </row>
    <row r="29812" spans="4:7" x14ac:dyDescent="0.3">
      <c r="D29812" s="1"/>
      <c r="G29812" s="13"/>
    </row>
    <row r="29813" spans="4:7" x14ac:dyDescent="0.3">
      <c r="D29813" s="1"/>
      <c r="G29813" s="13"/>
    </row>
    <row r="29814" spans="4:7" x14ac:dyDescent="0.3">
      <c r="D29814" s="1"/>
      <c r="G29814" s="13"/>
    </row>
    <row r="29815" spans="4:7" x14ac:dyDescent="0.3">
      <c r="D29815" s="1"/>
      <c r="G29815" s="13"/>
    </row>
    <row r="29816" spans="4:7" x14ac:dyDescent="0.3">
      <c r="D29816" s="1"/>
      <c r="G29816" s="13"/>
    </row>
    <row r="29817" spans="4:7" x14ac:dyDescent="0.3">
      <c r="D29817" s="1"/>
      <c r="G29817" s="13"/>
    </row>
    <row r="29818" spans="4:7" x14ac:dyDescent="0.3">
      <c r="D29818" s="1"/>
      <c r="G29818" s="13"/>
    </row>
    <row r="29819" spans="4:7" x14ac:dyDescent="0.3">
      <c r="D29819" s="1"/>
      <c r="G29819" s="13"/>
    </row>
    <row r="29820" spans="4:7" x14ac:dyDescent="0.3">
      <c r="D29820" s="1"/>
      <c r="G29820" s="13"/>
    </row>
    <row r="29821" spans="4:7" x14ac:dyDescent="0.3">
      <c r="D29821" s="1"/>
      <c r="G29821" s="13"/>
    </row>
    <row r="29822" spans="4:7" x14ac:dyDescent="0.3">
      <c r="D29822" s="1"/>
      <c r="G29822" s="13"/>
    </row>
    <row r="29823" spans="4:7" x14ac:dyDescent="0.3">
      <c r="D29823" s="1"/>
      <c r="G29823" s="13"/>
    </row>
    <row r="29824" spans="4:7" x14ac:dyDescent="0.3">
      <c r="D29824" s="1"/>
      <c r="G29824" s="13"/>
    </row>
    <row r="29825" spans="4:7" x14ac:dyDescent="0.3">
      <c r="D29825" s="1"/>
      <c r="G29825" s="13"/>
    </row>
    <row r="29826" spans="4:7" x14ac:dyDescent="0.3">
      <c r="D29826" s="1"/>
      <c r="G29826" s="13"/>
    </row>
    <row r="29827" spans="4:7" x14ac:dyDescent="0.3">
      <c r="D29827" s="1"/>
      <c r="G29827" s="13"/>
    </row>
    <row r="29828" spans="4:7" x14ac:dyDescent="0.3">
      <c r="D29828" s="1"/>
      <c r="G29828" s="13"/>
    </row>
    <row r="29829" spans="4:7" x14ac:dyDescent="0.3">
      <c r="D29829" s="1"/>
      <c r="G29829" s="13"/>
    </row>
    <row r="29830" spans="4:7" x14ac:dyDescent="0.3">
      <c r="D29830" s="1"/>
      <c r="G29830" s="13"/>
    </row>
    <row r="29831" spans="4:7" x14ac:dyDescent="0.3">
      <c r="D29831" s="1"/>
      <c r="G29831" s="13"/>
    </row>
    <row r="29832" spans="4:7" x14ac:dyDescent="0.3">
      <c r="D29832" s="1"/>
      <c r="G29832" s="13"/>
    </row>
    <row r="29833" spans="4:7" x14ac:dyDescent="0.3">
      <c r="D29833" s="1"/>
      <c r="G29833" s="13"/>
    </row>
    <row r="29834" spans="4:7" x14ac:dyDescent="0.3">
      <c r="D29834" s="1"/>
    </row>
    <row r="29835" spans="4:7" x14ac:dyDescent="0.3">
      <c r="D29835" s="1"/>
      <c r="G29835" s="13"/>
    </row>
    <row r="29836" spans="4:7" x14ac:dyDescent="0.3">
      <c r="D29836" s="1"/>
      <c r="G29836" s="13"/>
    </row>
    <row r="29837" spans="4:7" x14ac:dyDescent="0.3">
      <c r="D29837" s="1"/>
      <c r="G29837" s="13"/>
    </row>
    <row r="29838" spans="4:7" x14ac:dyDescent="0.3">
      <c r="D29838" s="1"/>
      <c r="G29838" s="13"/>
    </row>
    <row r="29839" spans="4:7" x14ac:dyDescent="0.3">
      <c r="D29839" s="1"/>
      <c r="G29839" s="13"/>
    </row>
    <row r="29840" spans="4:7" x14ac:dyDescent="0.3">
      <c r="D29840" s="1"/>
      <c r="G29840" s="13"/>
    </row>
    <row r="29841" spans="4:7" x14ac:dyDescent="0.3">
      <c r="D29841" s="1"/>
      <c r="G29841" s="13"/>
    </row>
    <row r="29842" spans="4:7" x14ac:dyDescent="0.3">
      <c r="D29842" s="1"/>
      <c r="G29842" s="13"/>
    </row>
    <row r="29843" spans="4:7" x14ac:dyDescent="0.3">
      <c r="D29843" s="1"/>
      <c r="G29843" s="13"/>
    </row>
    <row r="29844" spans="4:7" x14ac:dyDescent="0.3">
      <c r="D29844" s="1"/>
      <c r="G29844" s="13"/>
    </row>
    <row r="29845" spans="4:7" x14ac:dyDescent="0.3">
      <c r="D29845" s="1"/>
      <c r="G29845" s="13"/>
    </row>
    <row r="29846" spans="4:7" x14ac:dyDescent="0.3">
      <c r="D29846" s="1"/>
      <c r="G29846" s="13"/>
    </row>
    <row r="29847" spans="4:7" x14ac:dyDescent="0.3">
      <c r="D29847" s="1"/>
      <c r="G29847" s="13"/>
    </row>
    <row r="29848" spans="4:7" x14ac:dyDescent="0.3">
      <c r="D29848" s="1"/>
      <c r="G29848" s="13"/>
    </row>
    <row r="29849" spans="4:7" x14ac:dyDescent="0.3">
      <c r="D29849" s="1"/>
      <c r="G29849" s="13"/>
    </row>
    <row r="29850" spans="4:7" x14ac:dyDescent="0.3">
      <c r="D29850" s="1"/>
      <c r="G29850" s="13"/>
    </row>
    <row r="29851" spans="4:7" x14ac:dyDescent="0.3">
      <c r="D29851" s="1"/>
      <c r="G29851" s="13"/>
    </row>
    <row r="29852" spans="4:7" x14ac:dyDescent="0.3">
      <c r="D29852" s="1"/>
      <c r="G29852" s="13"/>
    </row>
    <row r="29853" spans="4:7" x14ac:dyDescent="0.3">
      <c r="D29853" s="1"/>
      <c r="G29853" s="13"/>
    </row>
    <row r="29854" spans="4:7" x14ac:dyDescent="0.3">
      <c r="D29854" s="1"/>
      <c r="G29854" s="13"/>
    </row>
    <row r="29855" spans="4:7" x14ac:dyDescent="0.3">
      <c r="D29855" s="1"/>
      <c r="G29855" s="13"/>
    </row>
    <row r="29856" spans="4:7" x14ac:dyDescent="0.3">
      <c r="D29856" s="1"/>
      <c r="G29856" s="13"/>
    </row>
    <row r="29857" spans="4:7" x14ac:dyDescent="0.3">
      <c r="D29857" s="1"/>
      <c r="G29857" s="13"/>
    </row>
    <row r="29858" spans="4:7" x14ac:dyDescent="0.3">
      <c r="D29858" s="1"/>
      <c r="G29858" s="13"/>
    </row>
    <row r="29859" spans="4:7" x14ac:dyDescent="0.3">
      <c r="D29859" s="1"/>
      <c r="G29859" s="13"/>
    </row>
    <row r="29860" spans="4:7" x14ac:dyDescent="0.3">
      <c r="D29860" s="1"/>
      <c r="G29860" s="13"/>
    </row>
    <row r="29861" spans="4:7" x14ac:dyDescent="0.3">
      <c r="D29861" s="1"/>
      <c r="G29861" s="13"/>
    </row>
    <row r="29862" spans="4:7" x14ac:dyDescent="0.3">
      <c r="G29862" s="13"/>
    </row>
    <row r="29863" spans="4:7" x14ac:dyDescent="0.3">
      <c r="D29863" s="1"/>
      <c r="G29863" s="13"/>
    </row>
    <row r="29864" spans="4:7" x14ac:dyDescent="0.3">
      <c r="D29864" s="1"/>
      <c r="G29864" s="13"/>
    </row>
    <row r="29865" spans="4:7" x14ac:dyDescent="0.3">
      <c r="D29865" s="1"/>
      <c r="G29865" s="13"/>
    </row>
    <row r="29866" spans="4:7" x14ac:dyDescent="0.3">
      <c r="D29866" s="1"/>
      <c r="G29866" s="13"/>
    </row>
    <row r="29867" spans="4:7" x14ac:dyDescent="0.3">
      <c r="D29867" s="1"/>
      <c r="G29867" s="13"/>
    </row>
    <row r="29868" spans="4:7" x14ac:dyDescent="0.3">
      <c r="D29868" s="1"/>
      <c r="G29868" s="13"/>
    </row>
    <row r="29869" spans="4:7" x14ac:dyDescent="0.3">
      <c r="D29869" s="1"/>
      <c r="G29869" s="13"/>
    </row>
    <row r="29870" spans="4:7" x14ac:dyDescent="0.3">
      <c r="D29870" s="1"/>
      <c r="G29870" s="13"/>
    </row>
    <row r="29871" spans="4:7" x14ac:dyDescent="0.3">
      <c r="D29871" s="1"/>
      <c r="G29871" s="13"/>
    </row>
    <row r="29872" spans="4:7" x14ac:dyDescent="0.3">
      <c r="D29872" s="1"/>
      <c r="G29872" s="13"/>
    </row>
    <row r="29873" spans="4:7" x14ac:dyDescent="0.3">
      <c r="D29873" s="1"/>
      <c r="G29873" s="13"/>
    </row>
    <row r="29874" spans="4:7" x14ac:dyDescent="0.3">
      <c r="D29874" s="1"/>
      <c r="G29874" s="13"/>
    </row>
    <row r="29875" spans="4:7" x14ac:dyDescent="0.3">
      <c r="D29875" s="1"/>
      <c r="G29875" s="13"/>
    </row>
    <row r="29876" spans="4:7" x14ac:dyDescent="0.3">
      <c r="D29876" s="1"/>
      <c r="G29876" s="13"/>
    </row>
    <row r="29877" spans="4:7" x14ac:dyDescent="0.3">
      <c r="D29877" s="1"/>
      <c r="G29877" s="13"/>
    </row>
    <row r="29878" spans="4:7" x14ac:dyDescent="0.3">
      <c r="D29878" s="1"/>
      <c r="G29878" s="13"/>
    </row>
    <row r="29879" spans="4:7" x14ac:dyDescent="0.3">
      <c r="D29879" s="1"/>
      <c r="G29879" s="13"/>
    </row>
    <row r="29880" spans="4:7" x14ac:dyDescent="0.3">
      <c r="D29880" s="1"/>
      <c r="G29880" s="13"/>
    </row>
    <row r="29881" spans="4:7" x14ac:dyDescent="0.3">
      <c r="D29881" s="1"/>
      <c r="G29881" s="13"/>
    </row>
    <row r="29882" spans="4:7" x14ac:dyDescent="0.3">
      <c r="D29882" s="1"/>
      <c r="G29882" s="13"/>
    </row>
    <row r="29883" spans="4:7" x14ac:dyDescent="0.3">
      <c r="D29883" s="1"/>
      <c r="G29883" s="13"/>
    </row>
    <row r="29884" spans="4:7" x14ac:dyDescent="0.3">
      <c r="D29884" s="1"/>
      <c r="G29884" s="13"/>
    </row>
    <row r="29885" spans="4:7" x14ac:dyDescent="0.3">
      <c r="D29885" s="1"/>
      <c r="G29885" s="13"/>
    </row>
    <row r="29886" spans="4:7" x14ac:dyDescent="0.3">
      <c r="D29886" s="1"/>
      <c r="G29886" s="13"/>
    </row>
    <row r="29887" spans="4:7" x14ac:dyDescent="0.3">
      <c r="D29887" s="1"/>
      <c r="G29887" s="13"/>
    </row>
    <row r="29888" spans="4:7" x14ac:dyDescent="0.3">
      <c r="D29888" s="1"/>
      <c r="G29888" s="13"/>
    </row>
    <row r="29889" spans="4:7" x14ac:dyDescent="0.3">
      <c r="D29889" s="1"/>
      <c r="G29889" s="13"/>
    </row>
    <row r="29890" spans="4:7" x14ac:dyDescent="0.3">
      <c r="D29890" s="1"/>
      <c r="G29890" s="13"/>
    </row>
    <row r="29891" spans="4:7" x14ac:dyDescent="0.3">
      <c r="D29891" s="1"/>
      <c r="G29891" s="13"/>
    </row>
    <row r="29892" spans="4:7" x14ac:dyDescent="0.3">
      <c r="D29892" s="1"/>
      <c r="G29892" s="13"/>
    </row>
    <row r="29893" spans="4:7" x14ac:dyDescent="0.3">
      <c r="D29893" s="1"/>
      <c r="G29893" s="13"/>
    </row>
    <row r="29894" spans="4:7" x14ac:dyDescent="0.3">
      <c r="D29894" s="1"/>
      <c r="G29894" s="13"/>
    </row>
    <row r="29895" spans="4:7" x14ac:dyDescent="0.3">
      <c r="D29895" s="1"/>
      <c r="G29895" s="13"/>
    </row>
    <row r="29896" spans="4:7" x14ac:dyDescent="0.3">
      <c r="D29896" s="1"/>
      <c r="G29896" s="13"/>
    </row>
    <row r="29897" spans="4:7" x14ac:dyDescent="0.3">
      <c r="D29897" s="1"/>
      <c r="G29897" s="13"/>
    </row>
    <row r="29898" spans="4:7" x14ac:dyDescent="0.3">
      <c r="D29898" s="1"/>
      <c r="G29898" s="13"/>
    </row>
    <row r="29899" spans="4:7" x14ac:dyDescent="0.3">
      <c r="D29899" s="1"/>
      <c r="G29899" s="13"/>
    </row>
    <row r="29900" spans="4:7" x14ac:dyDescent="0.3">
      <c r="D29900" s="1"/>
      <c r="G29900" s="13"/>
    </row>
    <row r="29901" spans="4:7" x14ac:dyDescent="0.3">
      <c r="D29901" s="1"/>
      <c r="G29901" s="13"/>
    </row>
    <row r="29902" spans="4:7" x14ac:dyDescent="0.3">
      <c r="D29902" s="1"/>
      <c r="G29902" s="13"/>
    </row>
    <row r="29903" spans="4:7" x14ac:dyDescent="0.3">
      <c r="D29903" s="1"/>
      <c r="G29903" s="13"/>
    </row>
    <row r="29904" spans="4:7" x14ac:dyDescent="0.3">
      <c r="D29904" s="1"/>
      <c r="G29904" s="13"/>
    </row>
    <row r="29905" spans="4:7" x14ac:dyDescent="0.3">
      <c r="D29905" s="1"/>
      <c r="G29905" s="13"/>
    </row>
    <row r="29906" spans="4:7" x14ac:dyDescent="0.3">
      <c r="D29906" s="1"/>
      <c r="G29906" s="13"/>
    </row>
    <row r="29907" spans="4:7" x14ac:dyDescent="0.3">
      <c r="D29907" s="1"/>
      <c r="G29907" s="13"/>
    </row>
    <row r="29908" spans="4:7" x14ac:dyDescent="0.3">
      <c r="D29908" s="1"/>
      <c r="G29908" s="13"/>
    </row>
    <row r="29909" spans="4:7" x14ac:dyDescent="0.3">
      <c r="D29909" s="1"/>
      <c r="G29909" s="13"/>
    </row>
    <row r="29910" spans="4:7" x14ac:dyDescent="0.3">
      <c r="D29910" s="1"/>
      <c r="G29910" s="13"/>
    </row>
    <row r="29911" spans="4:7" x14ac:dyDescent="0.3">
      <c r="D29911" s="1"/>
      <c r="G29911" s="13"/>
    </row>
    <row r="29912" spans="4:7" x14ac:dyDescent="0.3">
      <c r="D29912" s="1"/>
      <c r="G29912" s="13"/>
    </row>
    <row r="29913" spans="4:7" x14ac:dyDescent="0.3">
      <c r="D29913" s="1"/>
      <c r="G29913" s="13"/>
    </row>
    <row r="29914" spans="4:7" x14ac:dyDescent="0.3">
      <c r="D29914" s="1"/>
      <c r="G29914" s="13"/>
    </row>
    <row r="29915" spans="4:7" x14ac:dyDescent="0.3">
      <c r="D29915" s="1"/>
      <c r="G29915" s="13"/>
    </row>
    <row r="29916" spans="4:7" x14ac:dyDescent="0.3">
      <c r="D29916" s="1"/>
      <c r="G29916" s="13"/>
    </row>
    <row r="29917" spans="4:7" x14ac:dyDescent="0.3">
      <c r="D29917" s="1"/>
      <c r="G29917" s="13"/>
    </row>
    <row r="29918" spans="4:7" x14ac:dyDescent="0.3">
      <c r="D29918" s="1"/>
      <c r="G29918" s="13"/>
    </row>
    <row r="29919" spans="4:7" x14ac:dyDescent="0.3">
      <c r="D29919" s="1"/>
      <c r="G29919" s="13"/>
    </row>
    <row r="29920" spans="4:7" x14ac:dyDescent="0.3">
      <c r="D29920" s="1"/>
      <c r="G29920" s="13"/>
    </row>
    <row r="29921" spans="4:7" x14ac:dyDescent="0.3">
      <c r="D29921" s="1"/>
      <c r="G29921" s="13"/>
    </row>
    <row r="29922" spans="4:7" x14ac:dyDescent="0.3">
      <c r="D29922" s="1"/>
      <c r="G29922" s="13"/>
    </row>
    <row r="29923" spans="4:7" x14ac:dyDescent="0.3">
      <c r="D29923" s="1"/>
      <c r="G29923" s="13"/>
    </row>
    <row r="29924" spans="4:7" x14ac:dyDescent="0.3">
      <c r="D29924" s="1"/>
      <c r="G29924" s="13"/>
    </row>
    <row r="29925" spans="4:7" x14ac:dyDescent="0.3">
      <c r="D29925" s="1"/>
      <c r="G29925" s="13"/>
    </row>
    <row r="29926" spans="4:7" x14ac:dyDescent="0.3">
      <c r="D29926" s="1"/>
      <c r="G29926" s="13"/>
    </row>
    <row r="29927" spans="4:7" x14ac:dyDescent="0.3">
      <c r="D29927" s="1"/>
      <c r="G29927" s="13"/>
    </row>
    <row r="29928" spans="4:7" x14ac:dyDescent="0.3">
      <c r="D29928" s="1"/>
      <c r="G29928" s="13"/>
    </row>
    <row r="29929" spans="4:7" x14ac:dyDescent="0.3">
      <c r="D29929" s="1"/>
      <c r="G29929" s="13"/>
    </row>
    <row r="29930" spans="4:7" x14ac:dyDescent="0.3">
      <c r="D29930" s="1"/>
      <c r="G29930" s="13"/>
    </row>
    <row r="29931" spans="4:7" x14ac:dyDescent="0.3">
      <c r="D29931" s="1"/>
      <c r="G29931" s="13"/>
    </row>
    <row r="29932" spans="4:7" x14ac:dyDescent="0.3">
      <c r="D29932" s="1"/>
      <c r="G29932" s="13"/>
    </row>
    <row r="29933" spans="4:7" x14ac:dyDescent="0.3">
      <c r="D29933" s="1"/>
      <c r="G29933" s="13"/>
    </row>
    <row r="29934" spans="4:7" x14ac:dyDescent="0.3">
      <c r="D29934" s="1"/>
      <c r="G29934" s="13"/>
    </row>
    <row r="29935" spans="4:7" x14ac:dyDescent="0.3">
      <c r="D29935" s="1"/>
      <c r="G29935" s="13"/>
    </row>
    <row r="29936" spans="4:7" x14ac:dyDescent="0.3">
      <c r="D29936" s="1"/>
      <c r="G29936" s="13"/>
    </row>
    <row r="29937" spans="4:7" x14ac:dyDescent="0.3">
      <c r="D29937" s="1"/>
      <c r="G29937" s="13"/>
    </row>
    <row r="29938" spans="4:7" x14ac:dyDescent="0.3">
      <c r="D29938" s="1"/>
      <c r="G29938" s="13"/>
    </row>
    <row r="29939" spans="4:7" x14ac:dyDescent="0.3">
      <c r="D29939" s="1"/>
      <c r="G29939" s="13"/>
    </row>
    <row r="29940" spans="4:7" x14ac:dyDescent="0.3">
      <c r="D29940" s="1"/>
      <c r="G29940" s="13"/>
    </row>
    <row r="29941" spans="4:7" x14ac:dyDescent="0.3">
      <c r="D29941" s="1"/>
      <c r="G29941" s="13"/>
    </row>
    <row r="29942" spans="4:7" x14ac:dyDescent="0.3">
      <c r="D29942" s="1"/>
      <c r="G29942" s="13"/>
    </row>
    <row r="29943" spans="4:7" x14ac:dyDescent="0.3">
      <c r="D29943" s="1"/>
      <c r="G29943" s="13"/>
    </row>
    <row r="29944" spans="4:7" x14ac:dyDescent="0.3">
      <c r="D29944" s="1"/>
      <c r="G29944" s="13"/>
    </row>
    <row r="29945" spans="4:7" x14ac:dyDescent="0.3">
      <c r="D29945" s="1"/>
      <c r="G29945" s="13"/>
    </row>
    <row r="29946" spans="4:7" x14ac:dyDescent="0.3">
      <c r="D29946" s="1"/>
      <c r="G29946" s="13"/>
    </row>
    <row r="29947" spans="4:7" x14ac:dyDescent="0.3">
      <c r="D29947" s="1"/>
      <c r="G29947" s="13"/>
    </row>
    <row r="29948" spans="4:7" x14ac:dyDescent="0.3">
      <c r="D29948" s="1"/>
      <c r="G29948" s="13"/>
    </row>
    <row r="29949" spans="4:7" x14ac:dyDescent="0.3">
      <c r="D29949" s="1"/>
      <c r="G29949" s="13"/>
    </row>
    <row r="29950" spans="4:7" x14ac:dyDescent="0.3">
      <c r="D29950" s="1"/>
      <c r="G29950" s="13"/>
    </row>
    <row r="29951" spans="4:7" x14ac:dyDescent="0.3">
      <c r="D29951" s="1"/>
      <c r="G29951" s="13"/>
    </row>
    <row r="29952" spans="4:7" x14ac:dyDescent="0.3">
      <c r="D29952" s="1"/>
      <c r="G29952" s="13"/>
    </row>
    <row r="29953" spans="4:7" x14ac:dyDescent="0.3">
      <c r="D29953" s="1"/>
      <c r="G29953" s="13"/>
    </row>
    <row r="29954" spans="4:7" x14ac:dyDescent="0.3">
      <c r="D29954" s="1"/>
      <c r="G29954" s="13"/>
    </row>
    <row r="29955" spans="4:7" x14ac:dyDescent="0.3">
      <c r="D29955" s="1"/>
      <c r="G29955" s="13"/>
    </row>
    <row r="29956" spans="4:7" x14ac:dyDescent="0.3">
      <c r="D29956" s="1"/>
      <c r="G29956" s="13"/>
    </row>
    <row r="29957" spans="4:7" x14ac:dyDescent="0.3">
      <c r="D29957" s="1"/>
      <c r="G29957" s="13"/>
    </row>
    <row r="29958" spans="4:7" x14ac:dyDescent="0.3">
      <c r="D29958" s="1"/>
      <c r="G29958" s="13"/>
    </row>
    <row r="29959" spans="4:7" x14ac:dyDescent="0.3">
      <c r="D29959" s="1"/>
      <c r="G29959" s="13"/>
    </row>
    <row r="29960" spans="4:7" x14ac:dyDescent="0.3">
      <c r="D29960" s="1"/>
      <c r="G29960" s="13"/>
    </row>
    <row r="29961" spans="4:7" x14ac:dyDescent="0.3">
      <c r="D29961" s="1"/>
      <c r="G29961" s="13"/>
    </row>
    <row r="29962" spans="4:7" x14ac:dyDescent="0.3">
      <c r="D29962" s="1"/>
      <c r="G29962" s="13"/>
    </row>
    <row r="29963" spans="4:7" x14ac:dyDescent="0.3">
      <c r="D29963" s="1"/>
      <c r="G29963" s="13"/>
    </row>
    <row r="29964" spans="4:7" x14ac:dyDescent="0.3">
      <c r="D29964" s="1"/>
      <c r="G29964" s="13"/>
    </row>
    <row r="29965" spans="4:7" x14ac:dyDescent="0.3">
      <c r="D29965" s="1"/>
      <c r="G29965" s="13"/>
    </row>
    <row r="29966" spans="4:7" x14ac:dyDescent="0.3">
      <c r="D29966" s="1"/>
      <c r="G29966" s="13"/>
    </row>
    <row r="29967" spans="4:7" x14ac:dyDescent="0.3">
      <c r="D29967" s="1"/>
      <c r="G29967" s="13"/>
    </row>
    <row r="29968" spans="4:7" x14ac:dyDescent="0.3">
      <c r="D29968" s="1"/>
      <c r="G29968" s="13"/>
    </row>
    <row r="29969" spans="4:7" x14ac:dyDescent="0.3">
      <c r="D29969" s="1"/>
      <c r="G29969" s="13"/>
    </row>
    <row r="29970" spans="4:7" x14ac:dyDescent="0.3">
      <c r="D29970" s="1"/>
      <c r="G29970" s="13"/>
    </row>
    <row r="29971" spans="4:7" x14ac:dyDescent="0.3">
      <c r="D29971" s="1"/>
      <c r="G29971" s="13"/>
    </row>
    <row r="29972" spans="4:7" x14ac:dyDescent="0.3">
      <c r="D29972" s="1"/>
      <c r="G29972" s="13"/>
    </row>
    <row r="29973" spans="4:7" x14ac:dyDescent="0.3">
      <c r="D29973" s="1"/>
      <c r="G29973" s="13"/>
    </row>
    <row r="29974" spans="4:7" x14ac:dyDescent="0.3">
      <c r="D29974" s="1"/>
      <c r="G29974" s="13"/>
    </row>
    <row r="29975" spans="4:7" x14ac:dyDescent="0.3">
      <c r="D29975" s="1"/>
      <c r="G29975" s="13"/>
    </row>
    <row r="29976" spans="4:7" x14ac:dyDescent="0.3">
      <c r="D29976" s="1"/>
      <c r="G29976" s="13"/>
    </row>
    <row r="29977" spans="4:7" x14ac:dyDescent="0.3">
      <c r="D29977" s="1"/>
      <c r="G29977" s="13"/>
    </row>
    <row r="29978" spans="4:7" x14ac:dyDescent="0.3">
      <c r="D29978" s="1"/>
      <c r="G29978" s="13"/>
    </row>
    <row r="29979" spans="4:7" x14ac:dyDescent="0.3">
      <c r="D29979" s="1"/>
      <c r="G29979" s="13"/>
    </row>
    <row r="29980" spans="4:7" x14ac:dyDescent="0.3">
      <c r="D29980" s="1"/>
      <c r="G29980" s="13"/>
    </row>
    <row r="29981" spans="4:7" x14ac:dyDescent="0.3">
      <c r="D29981" s="1"/>
      <c r="G29981" s="13"/>
    </row>
    <row r="29982" spans="4:7" x14ac:dyDescent="0.3">
      <c r="D29982" s="1"/>
      <c r="G29982" s="13"/>
    </row>
    <row r="29983" spans="4:7" x14ac:dyDescent="0.3">
      <c r="D29983" s="1"/>
      <c r="G29983" s="13"/>
    </row>
    <row r="29984" spans="4:7" x14ac:dyDescent="0.3">
      <c r="D29984" s="1"/>
      <c r="G29984" s="13"/>
    </row>
    <row r="29985" spans="4:7" x14ac:dyDescent="0.3">
      <c r="D29985" s="1"/>
      <c r="G29985" s="13"/>
    </row>
    <row r="29986" spans="4:7" x14ac:dyDescent="0.3">
      <c r="D29986" s="1"/>
      <c r="G29986" s="13"/>
    </row>
    <row r="29987" spans="4:7" x14ac:dyDescent="0.3">
      <c r="D29987" s="1"/>
      <c r="G29987" s="13"/>
    </row>
    <row r="29988" spans="4:7" x14ac:dyDescent="0.3">
      <c r="D29988" s="1"/>
      <c r="G29988" s="13"/>
    </row>
    <row r="29989" spans="4:7" x14ac:dyDescent="0.3">
      <c r="D29989" s="1"/>
      <c r="G29989" s="13"/>
    </row>
    <row r="29990" spans="4:7" x14ac:dyDescent="0.3">
      <c r="D29990" s="1"/>
      <c r="G29990" s="13"/>
    </row>
    <row r="29991" spans="4:7" x14ac:dyDescent="0.3">
      <c r="D29991" s="1"/>
      <c r="G29991" s="13"/>
    </row>
    <row r="29992" spans="4:7" x14ac:dyDescent="0.3">
      <c r="D29992" s="1"/>
      <c r="G29992" s="13"/>
    </row>
    <row r="29993" spans="4:7" x14ac:dyDescent="0.3">
      <c r="D29993" s="1"/>
      <c r="G29993" s="13"/>
    </row>
    <row r="29994" spans="4:7" x14ac:dyDescent="0.3">
      <c r="D29994" s="1"/>
      <c r="G29994" s="13"/>
    </row>
    <row r="29995" spans="4:7" x14ac:dyDescent="0.3">
      <c r="D29995" s="1"/>
      <c r="G29995" s="13"/>
    </row>
    <row r="29996" spans="4:7" x14ac:dyDescent="0.3">
      <c r="D29996" s="1"/>
      <c r="G29996" s="13"/>
    </row>
    <row r="29997" spans="4:7" x14ac:dyDescent="0.3">
      <c r="D29997" s="1"/>
      <c r="G29997" s="13"/>
    </row>
    <row r="29998" spans="4:7" x14ac:dyDescent="0.3">
      <c r="D29998" s="1"/>
      <c r="G29998" s="13"/>
    </row>
    <row r="29999" spans="4:7" x14ac:dyDescent="0.3">
      <c r="D29999" s="1"/>
      <c r="G29999" s="13"/>
    </row>
    <row r="30000" spans="4:7" x14ac:dyDescent="0.3">
      <c r="D30000" s="1"/>
      <c r="G30000" s="13"/>
    </row>
    <row r="30001" spans="4:7" x14ac:dyDescent="0.3">
      <c r="D30001" s="1"/>
      <c r="G30001" s="13"/>
    </row>
    <row r="30002" spans="4:7" x14ac:dyDescent="0.3">
      <c r="D30002" s="1"/>
      <c r="G30002" s="13"/>
    </row>
    <row r="30003" spans="4:7" x14ac:dyDescent="0.3">
      <c r="D30003" s="1"/>
      <c r="G30003" s="13"/>
    </row>
    <row r="30004" spans="4:7" x14ac:dyDescent="0.3">
      <c r="D30004" s="1"/>
      <c r="G30004" s="13"/>
    </row>
    <row r="30005" spans="4:7" x14ac:dyDescent="0.3">
      <c r="D30005" s="1"/>
      <c r="G30005" s="13"/>
    </row>
    <row r="30006" spans="4:7" x14ac:dyDescent="0.3">
      <c r="D30006" s="1"/>
      <c r="G30006" s="13"/>
    </row>
    <row r="30007" spans="4:7" x14ac:dyDescent="0.3">
      <c r="D30007" s="1"/>
      <c r="G30007" s="13"/>
    </row>
    <row r="30008" spans="4:7" x14ac:dyDescent="0.3">
      <c r="D30008" s="1"/>
      <c r="G30008" s="13"/>
    </row>
    <row r="30009" spans="4:7" x14ac:dyDescent="0.3">
      <c r="D30009" s="1"/>
      <c r="G30009" s="13"/>
    </row>
    <row r="30010" spans="4:7" x14ac:dyDescent="0.3">
      <c r="D30010" s="1"/>
      <c r="G30010" s="13"/>
    </row>
    <row r="30011" spans="4:7" x14ac:dyDescent="0.3">
      <c r="D30011" s="1"/>
      <c r="G30011" s="13"/>
    </row>
    <row r="30012" spans="4:7" x14ac:dyDescent="0.3">
      <c r="D30012" s="1"/>
      <c r="G30012" s="13"/>
    </row>
    <row r="30013" spans="4:7" x14ac:dyDescent="0.3">
      <c r="D30013" s="1"/>
      <c r="G30013" s="13"/>
    </row>
    <row r="30014" spans="4:7" x14ac:dyDescent="0.3">
      <c r="D30014" s="1"/>
      <c r="G30014" s="13"/>
    </row>
    <row r="30015" spans="4:7" x14ac:dyDescent="0.3">
      <c r="D30015" s="1"/>
      <c r="G30015" s="13"/>
    </row>
    <row r="30016" spans="4:7" x14ac:dyDescent="0.3">
      <c r="D30016" s="1"/>
      <c r="G30016" s="13"/>
    </row>
    <row r="30017" spans="4:7" x14ac:dyDescent="0.3">
      <c r="D30017" s="1"/>
      <c r="G30017" s="13"/>
    </row>
    <row r="30018" spans="4:7" x14ac:dyDescent="0.3">
      <c r="D30018" s="1"/>
      <c r="G30018" s="13"/>
    </row>
    <row r="30019" spans="4:7" x14ac:dyDescent="0.3">
      <c r="D30019" s="1"/>
      <c r="G30019" s="13"/>
    </row>
    <row r="30020" spans="4:7" x14ac:dyDescent="0.3">
      <c r="D30020" s="1"/>
      <c r="G30020" s="13"/>
    </row>
    <row r="30021" spans="4:7" x14ac:dyDescent="0.3">
      <c r="D30021" s="1"/>
      <c r="G30021" s="13"/>
    </row>
    <row r="30022" spans="4:7" x14ac:dyDescent="0.3">
      <c r="D30022" s="1"/>
      <c r="G30022" s="13"/>
    </row>
    <row r="30023" spans="4:7" x14ac:dyDescent="0.3">
      <c r="D30023" s="1"/>
      <c r="G30023" s="13"/>
    </row>
    <row r="30024" spans="4:7" x14ac:dyDescent="0.3">
      <c r="D30024" s="1"/>
      <c r="G30024" s="13"/>
    </row>
    <row r="30025" spans="4:7" x14ac:dyDescent="0.3">
      <c r="D30025" s="1"/>
      <c r="G30025" s="13"/>
    </row>
    <row r="30026" spans="4:7" x14ac:dyDescent="0.3">
      <c r="D30026" s="1"/>
      <c r="G30026" s="13"/>
    </row>
    <row r="30027" spans="4:7" x14ac:dyDescent="0.3">
      <c r="D30027" s="1"/>
      <c r="G30027" s="13"/>
    </row>
    <row r="30028" spans="4:7" x14ac:dyDescent="0.3">
      <c r="D30028" s="1"/>
      <c r="G30028" s="13"/>
    </row>
    <row r="30029" spans="4:7" x14ac:dyDescent="0.3">
      <c r="D30029" s="1"/>
      <c r="G30029" s="13"/>
    </row>
    <row r="30030" spans="4:7" x14ac:dyDescent="0.3">
      <c r="D30030" s="1"/>
      <c r="G30030" s="13"/>
    </row>
    <row r="30031" spans="4:7" x14ac:dyDescent="0.3">
      <c r="D30031" s="1"/>
      <c r="G30031" s="13"/>
    </row>
    <row r="30032" spans="4:7" x14ac:dyDescent="0.3">
      <c r="D30032" s="1"/>
      <c r="G30032" s="13"/>
    </row>
    <row r="30033" spans="4:7" x14ac:dyDescent="0.3">
      <c r="D30033" s="1"/>
      <c r="G30033" s="13"/>
    </row>
    <row r="30034" spans="4:7" x14ac:dyDescent="0.3">
      <c r="D30034" s="1"/>
      <c r="G30034" s="13"/>
    </row>
    <row r="30035" spans="4:7" x14ac:dyDescent="0.3">
      <c r="D30035" s="1"/>
      <c r="G30035" s="13"/>
    </row>
    <row r="30036" spans="4:7" x14ac:dyDescent="0.3">
      <c r="D30036" s="1"/>
      <c r="G30036" s="13"/>
    </row>
    <row r="30037" spans="4:7" x14ac:dyDescent="0.3">
      <c r="D30037" s="1"/>
      <c r="G30037" s="13"/>
    </row>
    <row r="30038" spans="4:7" x14ac:dyDescent="0.3">
      <c r="D30038" s="1"/>
      <c r="G30038" s="13"/>
    </row>
    <row r="30039" spans="4:7" x14ac:dyDescent="0.3">
      <c r="D30039" s="1"/>
      <c r="G30039" s="13"/>
    </row>
    <row r="30040" spans="4:7" x14ac:dyDescent="0.3">
      <c r="D30040" s="1"/>
      <c r="G30040" s="13"/>
    </row>
    <row r="30041" spans="4:7" x14ac:dyDescent="0.3">
      <c r="D30041" s="1"/>
      <c r="G30041" s="13"/>
    </row>
    <row r="30042" spans="4:7" x14ac:dyDescent="0.3">
      <c r="D30042" s="1"/>
      <c r="G30042" s="13"/>
    </row>
    <row r="30043" spans="4:7" x14ac:dyDescent="0.3">
      <c r="D30043" s="1"/>
      <c r="G30043" s="13"/>
    </row>
    <row r="30044" spans="4:7" x14ac:dyDescent="0.3">
      <c r="D30044" s="1"/>
      <c r="G30044" s="13"/>
    </row>
    <row r="30045" spans="4:7" x14ac:dyDescent="0.3">
      <c r="D30045" s="1"/>
      <c r="G30045" s="13"/>
    </row>
    <row r="30046" spans="4:7" x14ac:dyDescent="0.3">
      <c r="D30046" s="1"/>
      <c r="G30046" s="13"/>
    </row>
    <row r="30047" spans="4:7" x14ac:dyDescent="0.3">
      <c r="D30047" s="1"/>
      <c r="G30047" s="13"/>
    </row>
    <row r="30048" spans="4:7" x14ac:dyDescent="0.3">
      <c r="D30048" s="1"/>
      <c r="G30048" s="13"/>
    </row>
    <row r="30049" spans="4:38" x14ac:dyDescent="0.3">
      <c r="D30049" s="1"/>
      <c r="G30049" s="13"/>
    </row>
    <row r="30050" spans="4:38" x14ac:dyDescent="0.3">
      <c r="D30050" s="1"/>
      <c r="G30050" s="13"/>
    </row>
    <row r="30051" spans="4:38" x14ac:dyDescent="0.3">
      <c r="D30051" s="1"/>
      <c r="G30051" s="13"/>
      <c r="AL30051" s="13"/>
    </row>
    <row r="30052" spans="4:38" x14ac:dyDescent="0.3">
      <c r="D30052" s="1"/>
      <c r="G30052" s="13"/>
      <c r="AL30052" s="13"/>
    </row>
    <row r="30053" spans="4:38" x14ac:dyDescent="0.3">
      <c r="D30053" s="1"/>
      <c r="G30053" s="13"/>
      <c r="AL30053" s="13"/>
    </row>
    <row r="30054" spans="4:38" x14ac:dyDescent="0.3">
      <c r="D30054" s="1"/>
      <c r="G30054" s="13"/>
      <c r="AL30054" s="13"/>
    </row>
    <row r="30055" spans="4:38" x14ac:dyDescent="0.3">
      <c r="D30055" s="1"/>
      <c r="G30055" s="13"/>
      <c r="AL30055" s="13"/>
    </row>
    <row r="30056" spans="4:38" x14ac:dyDescent="0.3">
      <c r="D30056" s="1"/>
      <c r="G30056" s="13"/>
      <c r="AL30056" s="13"/>
    </row>
    <row r="30057" spans="4:38" x14ac:dyDescent="0.3">
      <c r="D30057" s="1"/>
      <c r="G30057" s="13"/>
      <c r="AL30057" s="13"/>
    </row>
    <row r="30058" spans="4:38" x14ac:dyDescent="0.3">
      <c r="D30058" s="1"/>
      <c r="G30058" s="13"/>
      <c r="AL30058" s="13"/>
    </row>
    <row r="30059" spans="4:38" x14ac:dyDescent="0.3">
      <c r="D30059" s="1"/>
      <c r="G30059" s="13"/>
      <c r="AL30059" s="13"/>
    </row>
    <row r="30060" spans="4:38" x14ac:dyDescent="0.3">
      <c r="D30060" s="1"/>
      <c r="G30060" s="13"/>
      <c r="AL30060" s="13"/>
    </row>
    <row r="30061" spans="4:38" x14ac:dyDescent="0.3">
      <c r="D30061" s="1"/>
      <c r="G30061" s="13"/>
      <c r="AL30061" s="13"/>
    </row>
    <row r="30062" spans="4:38" x14ac:dyDescent="0.3">
      <c r="D30062" s="1"/>
      <c r="G30062" s="13"/>
      <c r="AL30062" s="13"/>
    </row>
    <row r="30063" spans="4:38" x14ac:dyDescent="0.3">
      <c r="D30063" s="1"/>
      <c r="G30063" s="13"/>
      <c r="AL30063" s="13"/>
    </row>
    <row r="30064" spans="4:38" x14ac:dyDescent="0.3">
      <c r="D30064" s="1"/>
      <c r="G30064" s="13"/>
      <c r="AL30064" s="13"/>
    </row>
    <row r="30065" spans="4:38" x14ac:dyDescent="0.3">
      <c r="D30065" s="1"/>
      <c r="G30065" s="13"/>
      <c r="AL30065" s="13"/>
    </row>
    <row r="30066" spans="4:38" x14ac:dyDescent="0.3">
      <c r="D30066" s="1"/>
      <c r="G30066" s="13"/>
      <c r="AL30066" s="13"/>
    </row>
    <row r="30067" spans="4:38" x14ac:dyDescent="0.3">
      <c r="D30067" s="1"/>
      <c r="G30067" s="13"/>
      <c r="AL30067" s="13"/>
    </row>
    <row r="30068" spans="4:38" x14ac:dyDescent="0.3">
      <c r="D30068" s="1"/>
      <c r="G30068" s="13"/>
      <c r="AL30068" s="13"/>
    </row>
    <row r="30069" spans="4:38" x14ac:dyDescent="0.3">
      <c r="D30069" s="1"/>
      <c r="G30069" s="13"/>
      <c r="AL30069" s="13"/>
    </row>
    <row r="30070" spans="4:38" x14ac:dyDescent="0.3">
      <c r="D30070" s="1"/>
      <c r="G30070" s="13"/>
      <c r="AL30070" s="13"/>
    </row>
    <row r="30071" spans="4:38" x14ac:dyDescent="0.3">
      <c r="D30071" s="1"/>
      <c r="G30071" s="13"/>
      <c r="AL30071" s="13"/>
    </row>
    <row r="30072" spans="4:38" x14ac:dyDescent="0.3">
      <c r="D30072" s="1"/>
      <c r="G30072" s="13"/>
      <c r="AL30072" s="13"/>
    </row>
    <row r="30073" spans="4:38" x14ac:dyDescent="0.3">
      <c r="D30073" s="1"/>
      <c r="G30073" s="13"/>
      <c r="AL30073" s="13"/>
    </row>
    <row r="30074" spans="4:38" x14ac:dyDescent="0.3">
      <c r="D30074" s="1"/>
      <c r="G30074" s="13"/>
      <c r="AL30074" s="13"/>
    </row>
    <row r="30075" spans="4:38" x14ac:dyDescent="0.3">
      <c r="D30075" s="1"/>
      <c r="G30075" s="13"/>
      <c r="AL30075" s="13"/>
    </row>
    <row r="30076" spans="4:38" x14ac:dyDescent="0.3">
      <c r="D30076" s="1"/>
      <c r="G30076" s="13"/>
      <c r="AL30076" s="13"/>
    </row>
    <row r="30077" spans="4:38" x14ac:dyDescent="0.3">
      <c r="D30077" s="1"/>
      <c r="G30077" s="13"/>
      <c r="AL30077" s="13"/>
    </row>
    <row r="30078" spans="4:38" x14ac:dyDescent="0.3">
      <c r="D30078" s="1"/>
      <c r="G30078" s="13"/>
      <c r="AL30078" s="13"/>
    </row>
    <row r="30079" spans="4:38" x14ac:dyDescent="0.3">
      <c r="D30079" s="1"/>
      <c r="G30079" s="13"/>
      <c r="AL30079" s="13"/>
    </row>
    <row r="30080" spans="4:38" x14ac:dyDescent="0.3">
      <c r="D30080" s="1"/>
      <c r="G30080" s="13"/>
      <c r="AL30080" s="13"/>
    </row>
    <row r="30081" spans="4:38" x14ac:dyDescent="0.3">
      <c r="D30081" s="1"/>
      <c r="G30081" s="13"/>
      <c r="AL30081" s="13"/>
    </row>
    <row r="30082" spans="4:38" x14ac:dyDescent="0.3">
      <c r="D30082" s="1"/>
      <c r="G30082" s="13"/>
      <c r="AL30082" s="13"/>
    </row>
    <row r="30083" spans="4:38" x14ac:dyDescent="0.3">
      <c r="D30083" s="1"/>
      <c r="G30083" s="13"/>
      <c r="AL30083" s="13"/>
    </row>
    <row r="30084" spans="4:38" x14ac:dyDescent="0.3">
      <c r="D30084" s="1"/>
      <c r="G30084" s="13"/>
      <c r="AL30084" s="13"/>
    </row>
    <row r="30085" spans="4:38" x14ac:dyDescent="0.3">
      <c r="D30085" s="1"/>
      <c r="G30085" s="13"/>
      <c r="AL30085" s="13"/>
    </row>
    <row r="30086" spans="4:38" x14ac:dyDescent="0.3">
      <c r="D30086" s="1"/>
      <c r="G30086" s="13"/>
      <c r="AL30086" s="13"/>
    </row>
    <row r="30087" spans="4:38" x14ac:dyDescent="0.3">
      <c r="D30087" s="1"/>
      <c r="G30087" s="13"/>
      <c r="AL30087" s="13"/>
    </row>
    <row r="30088" spans="4:38" x14ac:dyDescent="0.3">
      <c r="D30088" s="1"/>
      <c r="G30088" s="13"/>
      <c r="AL30088" s="13"/>
    </row>
    <row r="30089" spans="4:38" x14ac:dyDescent="0.3">
      <c r="D30089" s="1"/>
      <c r="G30089" s="13"/>
      <c r="AL30089" s="13"/>
    </row>
    <row r="30090" spans="4:38" x14ac:dyDescent="0.3">
      <c r="D30090" s="1"/>
      <c r="G30090" s="13"/>
      <c r="AL30090" s="13"/>
    </row>
    <row r="30091" spans="4:38" x14ac:dyDescent="0.3">
      <c r="D30091" s="1"/>
      <c r="G30091" s="13"/>
      <c r="AL30091" s="13"/>
    </row>
    <row r="30092" spans="4:38" x14ac:dyDescent="0.3">
      <c r="D30092" s="1"/>
      <c r="G30092" s="13"/>
      <c r="AL30092" s="13"/>
    </row>
    <row r="30093" spans="4:38" x14ac:dyDescent="0.3">
      <c r="D30093" s="1"/>
      <c r="G30093" s="13"/>
      <c r="AL30093" s="13"/>
    </row>
    <row r="30094" spans="4:38" x14ac:dyDescent="0.3">
      <c r="D30094" s="1"/>
      <c r="G30094" s="13"/>
      <c r="AL30094" s="13"/>
    </row>
    <row r="30095" spans="4:38" x14ac:dyDescent="0.3">
      <c r="D30095" s="1"/>
      <c r="G30095" s="13"/>
      <c r="AL30095" s="13"/>
    </row>
    <row r="30096" spans="4:38" x14ac:dyDescent="0.3">
      <c r="D30096" s="1"/>
      <c r="G30096" s="13"/>
      <c r="AL30096" s="13"/>
    </row>
    <row r="30097" spans="4:38" x14ac:dyDescent="0.3">
      <c r="D30097" s="1"/>
      <c r="G30097" s="13"/>
      <c r="AL30097" s="13"/>
    </row>
    <row r="30098" spans="4:38" x14ac:dyDescent="0.3">
      <c r="D30098" s="1"/>
      <c r="G30098" s="13"/>
      <c r="AL30098" s="13"/>
    </row>
    <row r="30099" spans="4:38" x14ac:dyDescent="0.3">
      <c r="D30099" s="1"/>
      <c r="G30099" s="13"/>
      <c r="AL30099" s="13"/>
    </row>
    <row r="30100" spans="4:38" x14ac:dyDescent="0.3">
      <c r="D30100" s="1"/>
      <c r="G30100" s="13"/>
      <c r="AL30100" s="13"/>
    </row>
    <row r="30101" spans="4:38" x14ac:dyDescent="0.3">
      <c r="D30101" s="1"/>
      <c r="G30101" s="13"/>
      <c r="AL30101" s="13"/>
    </row>
    <row r="30102" spans="4:38" x14ac:dyDescent="0.3">
      <c r="D30102" s="1"/>
      <c r="G30102" s="13"/>
      <c r="AL30102" s="13"/>
    </row>
    <row r="30103" spans="4:38" x14ac:dyDescent="0.3">
      <c r="D30103" s="1"/>
      <c r="G30103" s="13"/>
      <c r="AL30103" s="13"/>
    </row>
    <row r="30104" spans="4:38" x14ac:dyDescent="0.3">
      <c r="D30104" s="1"/>
      <c r="G30104" s="13"/>
      <c r="AL30104" s="13"/>
    </row>
    <row r="30105" spans="4:38" x14ac:dyDescent="0.3">
      <c r="D30105" s="1"/>
      <c r="G30105" s="13"/>
      <c r="AL30105" s="13"/>
    </row>
    <row r="30106" spans="4:38" x14ac:dyDescent="0.3">
      <c r="D30106" s="1"/>
      <c r="G30106" s="13"/>
      <c r="AL30106" s="13"/>
    </row>
    <row r="30107" spans="4:38" x14ac:dyDescent="0.3">
      <c r="D30107" s="1"/>
      <c r="G30107" s="13"/>
      <c r="AL30107" s="13"/>
    </row>
    <row r="30108" spans="4:38" x14ac:dyDescent="0.3">
      <c r="D30108" s="1"/>
      <c r="G30108" s="13"/>
      <c r="AL30108" s="13"/>
    </row>
    <row r="30109" spans="4:38" x14ac:dyDescent="0.3">
      <c r="D30109" s="1"/>
      <c r="G30109" s="13"/>
      <c r="AL30109" s="13"/>
    </row>
    <row r="30110" spans="4:38" x14ac:dyDescent="0.3">
      <c r="D30110" s="1"/>
      <c r="G30110" s="13"/>
      <c r="AL30110" s="13"/>
    </row>
    <row r="30111" spans="4:38" x14ac:dyDescent="0.3">
      <c r="D30111" s="1"/>
      <c r="G30111" s="13"/>
      <c r="AL30111" s="13"/>
    </row>
    <row r="30112" spans="4:38" x14ac:dyDescent="0.3">
      <c r="D30112" s="1"/>
      <c r="G30112" s="13"/>
      <c r="AL30112" s="13"/>
    </row>
    <row r="30113" spans="4:38" x14ac:dyDescent="0.3">
      <c r="D30113" s="1"/>
      <c r="G30113" s="13"/>
      <c r="AL30113" s="13"/>
    </row>
    <row r="30114" spans="4:38" x14ac:dyDescent="0.3">
      <c r="D30114" s="1"/>
      <c r="G30114" s="13"/>
      <c r="AL30114" s="13"/>
    </row>
    <row r="30115" spans="4:38" x14ac:dyDescent="0.3">
      <c r="D30115" s="1"/>
      <c r="G30115" s="13"/>
      <c r="AL30115" s="13"/>
    </row>
    <row r="30116" spans="4:38" x14ac:dyDescent="0.3">
      <c r="D30116" s="1"/>
      <c r="G30116" s="13"/>
      <c r="AL30116" s="13"/>
    </row>
    <row r="30117" spans="4:38" x14ac:dyDescent="0.3">
      <c r="D30117" s="1"/>
      <c r="G30117" s="13"/>
      <c r="AL30117" s="13"/>
    </row>
    <row r="30118" spans="4:38" x14ac:dyDescent="0.3">
      <c r="D30118" s="1"/>
      <c r="G30118" s="13"/>
      <c r="AL30118" s="13"/>
    </row>
    <row r="30119" spans="4:38" x14ac:dyDescent="0.3">
      <c r="D30119" s="1"/>
      <c r="G30119" s="13"/>
      <c r="AL30119" s="13"/>
    </row>
    <row r="30120" spans="4:38" x14ac:dyDescent="0.3">
      <c r="D30120" s="1"/>
      <c r="G30120" s="13"/>
      <c r="AL30120" s="13"/>
    </row>
    <row r="30121" spans="4:38" x14ac:dyDescent="0.3">
      <c r="D30121" s="1"/>
      <c r="G30121" s="13"/>
      <c r="AL30121" s="13"/>
    </row>
    <row r="30122" spans="4:38" x14ac:dyDescent="0.3">
      <c r="D30122" s="1"/>
      <c r="G30122" s="13"/>
      <c r="AL30122" s="13"/>
    </row>
    <row r="30123" spans="4:38" x14ac:dyDescent="0.3">
      <c r="D30123" s="1"/>
      <c r="G30123" s="13"/>
      <c r="AL30123" s="13"/>
    </row>
    <row r="30124" spans="4:38" x14ac:dyDescent="0.3">
      <c r="D30124" s="1"/>
      <c r="G30124" s="13"/>
      <c r="AL30124" s="13"/>
    </row>
    <row r="30125" spans="4:38" x14ac:dyDescent="0.3">
      <c r="D30125" s="1"/>
      <c r="G30125" s="13"/>
      <c r="AL30125" s="13"/>
    </row>
    <row r="30126" spans="4:38" x14ac:dyDescent="0.3">
      <c r="D30126" s="1"/>
      <c r="G30126" s="13"/>
      <c r="AL30126" s="13"/>
    </row>
    <row r="30127" spans="4:38" x14ac:dyDescent="0.3">
      <c r="D30127" s="1"/>
      <c r="G30127" s="13"/>
      <c r="AL30127" s="13"/>
    </row>
    <row r="30128" spans="4:38" x14ac:dyDescent="0.3">
      <c r="D30128" s="1"/>
      <c r="G30128" s="13"/>
      <c r="AL30128" s="13"/>
    </row>
    <row r="30129" spans="4:38" x14ac:dyDescent="0.3">
      <c r="D30129" s="1"/>
      <c r="G30129" s="13"/>
      <c r="AL30129" s="13"/>
    </row>
    <row r="30130" spans="4:38" x14ac:dyDescent="0.3">
      <c r="D30130" s="1"/>
      <c r="G30130" s="13"/>
      <c r="AL30130" s="13"/>
    </row>
    <row r="30131" spans="4:38" x14ac:dyDescent="0.3">
      <c r="D30131" s="1"/>
      <c r="G30131" s="13"/>
      <c r="AL30131" s="13"/>
    </row>
    <row r="30132" spans="4:38" x14ac:dyDescent="0.3">
      <c r="D30132" s="1"/>
      <c r="G30132" s="13"/>
      <c r="AL30132" s="13"/>
    </row>
    <row r="30133" spans="4:38" x14ac:dyDescent="0.3">
      <c r="D30133" s="1"/>
      <c r="G30133" s="13"/>
      <c r="AL30133" s="13"/>
    </row>
    <row r="30134" spans="4:38" x14ac:dyDescent="0.3">
      <c r="D30134" s="1"/>
      <c r="G30134" s="13"/>
      <c r="AL30134" s="13"/>
    </row>
    <row r="30135" spans="4:38" x14ac:dyDescent="0.3">
      <c r="D30135" s="1"/>
      <c r="G30135" s="13"/>
      <c r="AL30135" s="13"/>
    </row>
    <row r="30136" spans="4:38" x14ac:dyDescent="0.3">
      <c r="G30136" s="13"/>
      <c r="AL30136" s="13"/>
    </row>
    <row r="30137" spans="4:38" x14ac:dyDescent="0.3">
      <c r="D30137" s="1"/>
      <c r="G30137" s="13"/>
      <c r="AL30137" s="13"/>
    </row>
    <row r="30138" spans="4:38" x14ac:dyDescent="0.3">
      <c r="D30138" s="1"/>
      <c r="G30138" s="13"/>
      <c r="AL30138" s="13"/>
    </row>
    <row r="30139" spans="4:38" x14ac:dyDescent="0.3">
      <c r="D30139" s="1"/>
      <c r="G30139" s="13"/>
      <c r="AL30139" s="13"/>
    </row>
    <row r="30140" spans="4:38" x14ac:dyDescent="0.3">
      <c r="D30140" s="1"/>
      <c r="G30140" s="13"/>
      <c r="AL30140" s="13"/>
    </row>
    <row r="30141" spans="4:38" x14ac:dyDescent="0.3">
      <c r="D30141" s="1"/>
      <c r="G30141" s="13"/>
      <c r="AL30141" s="13"/>
    </row>
    <row r="30142" spans="4:38" x14ac:dyDescent="0.3">
      <c r="D30142" s="1"/>
      <c r="G30142" s="13"/>
      <c r="AL30142" s="13"/>
    </row>
    <row r="30143" spans="4:38" x14ac:dyDescent="0.3">
      <c r="D30143" s="1"/>
      <c r="G30143" s="13"/>
      <c r="AL30143" s="13"/>
    </row>
    <row r="30144" spans="4:38" x14ac:dyDescent="0.3">
      <c r="D30144" s="1"/>
      <c r="G30144" s="13"/>
      <c r="AL30144" s="13"/>
    </row>
    <row r="30145" spans="4:38" x14ac:dyDescent="0.3">
      <c r="D30145" s="1"/>
      <c r="G30145" s="13"/>
      <c r="AL30145" s="13"/>
    </row>
    <row r="30146" spans="4:38" x14ac:dyDescent="0.3">
      <c r="D30146" s="1"/>
      <c r="G30146" s="13"/>
      <c r="AL30146" s="13"/>
    </row>
    <row r="30147" spans="4:38" x14ac:dyDescent="0.3">
      <c r="G30147" s="13"/>
      <c r="AL30147" s="13"/>
    </row>
    <row r="30148" spans="4:38" x14ac:dyDescent="0.3">
      <c r="D30148" s="1"/>
      <c r="G30148" s="13"/>
      <c r="AL30148" s="13"/>
    </row>
    <row r="30149" spans="4:38" x14ac:dyDescent="0.3">
      <c r="D30149" s="1"/>
      <c r="G30149" s="13"/>
      <c r="AL30149" s="13"/>
    </row>
    <row r="30150" spans="4:38" x14ac:dyDescent="0.3">
      <c r="D30150" s="1"/>
      <c r="G30150" s="13"/>
      <c r="AL30150" s="13"/>
    </row>
    <row r="30151" spans="4:38" x14ac:dyDescent="0.3">
      <c r="D30151" s="1"/>
      <c r="G30151" s="13"/>
      <c r="AL30151" s="13"/>
    </row>
    <row r="30152" spans="4:38" x14ac:dyDescent="0.3">
      <c r="D30152" s="1"/>
      <c r="G30152" s="13"/>
      <c r="AL30152" s="13"/>
    </row>
    <row r="30153" spans="4:38" x14ac:dyDescent="0.3">
      <c r="D30153" s="1"/>
      <c r="G30153" s="13"/>
      <c r="AL30153" s="13"/>
    </row>
    <row r="30154" spans="4:38" x14ac:dyDescent="0.3">
      <c r="D30154" s="1"/>
      <c r="G30154" s="13"/>
      <c r="AL30154" s="13"/>
    </row>
    <row r="30155" spans="4:38" x14ac:dyDescent="0.3">
      <c r="D30155" s="1"/>
      <c r="G30155" s="13"/>
      <c r="AL30155" s="13"/>
    </row>
    <row r="30156" spans="4:38" x14ac:dyDescent="0.3">
      <c r="D30156" s="1"/>
      <c r="G30156" s="13"/>
      <c r="AL30156" s="13"/>
    </row>
    <row r="30157" spans="4:38" x14ac:dyDescent="0.3">
      <c r="D30157" s="1"/>
      <c r="G30157" s="13"/>
      <c r="AL30157" s="13"/>
    </row>
    <row r="30158" spans="4:38" x14ac:dyDescent="0.3">
      <c r="D30158" s="1"/>
      <c r="G30158" s="13"/>
      <c r="AL30158" s="13"/>
    </row>
    <row r="30159" spans="4:38" x14ac:dyDescent="0.3">
      <c r="D30159" s="1"/>
      <c r="G30159" s="13"/>
      <c r="AL30159" s="13"/>
    </row>
    <row r="30160" spans="4:38" x14ac:dyDescent="0.3">
      <c r="D30160" s="1"/>
      <c r="G30160" s="13"/>
      <c r="AL30160" s="13"/>
    </row>
    <row r="30161" spans="4:38" x14ac:dyDescent="0.3">
      <c r="D30161" s="1"/>
      <c r="G30161" s="13"/>
      <c r="AL30161" s="13"/>
    </row>
    <row r="30162" spans="4:38" x14ac:dyDescent="0.3">
      <c r="D30162" s="1"/>
      <c r="G30162" s="13"/>
      <c r="AL30162" s="13"/>
    </row>
    <row r="30163" spans="4:38" x14ac:dyDescent="0.3">
      <c r="D30163" s="1"/>
      <c r="G30163" s="13"/>
      <c r="AL30163" s="13"/>
    </row>
    <row r="30164" spans="4:38" x14ac:dyDescent="0.3">
      <c r="D30164" s="1"/>
      <c r="G30164" s="13"/>
      <c r="AL30164" s="13"/>
    </row>
    <row r="30165" spans="4:38" x14ac:dyDescent="0.3">
      <c r="D30165" s="1"/>
      <c r="G30165" s="13"/>
      <c r="AL30165" s="13"/>
    </row>
    <row r="30166" spans="4:38" x14ac:dyDescent="0.3">
      <c r="D30166" s="1"/>
      <c r="G30166" s="13"/>
      <c r="AL30166" s="13"/>
    </row>
    <row r="30167" spans="4:38" x14ac:dyDescent="0.3">
      <c r="D30167" s="1"/>
      <c r="G30167" s="13"/>
      <c r="AL30167" s="13"/>
    </row>
    <row r="30168" spans="4:38" x14ac:dyDescent="0.3">
      <c r="D30168" s="1"/>
      <c r="G30168" s="13"/>
      <c r="AL30168" s="13"/>
    </row>
    <row r="30169" spans="4:38" x14ac:dyDescent="0.3">
      <c r="D30169" s="1"/>
      <c r="G30169" s="13"/>
      <c r="AL30169" s="13"/>
    </row>
    <row r="30170" spans="4:38" x14ac:dyDescent="0.3">
      <c r="D30170" s="1"/>
      <c r="G30170" s="13"/>
      <c r="AL30170" s="13"/>
    </row>
    <row r="30171" spans="4:38" x14ac:dyDescent="0.3">
      <c r="D30171" s="1"/>
      <c r="G30171" s="13"/>
      <c r="AL30171" s="13"/>
    </row>
    <row r="30172" spans="4:38" x14ac:dyDescent="0.3">
      <c r="D30172" s="1"/>
      <c r="G30172" s="13"/>
      <c r="AL30172" s="13"/>
    </row>
    <row r="30173" spans="4:38" x14ac:dyDescent="0.3">
      <c r="D30173" s="1"/>
      <c r="G30173" s="13"/>
      <c r="AL30173" s="13"/>
    </row>
    <row r="30174" spans="4:38" x14ac:dyDescent="0.3">
      <c r="D30174" s="1"/>
      <c r="G30174" s="13"/>
      <c r="AL30174" s="13"/>
    </row>
    <row r="30175" spans="4:38" x14ac:dyDescent="0.3">
      <c r="D30175" s="1"/>
      <c r="G30175" s="13"/>
      <c r="AL30175" s="13"/>
    </row>
    <row r="30176" spans="4:38" x14ac:dyDescent="0.3">
      <c r="D30176" s="1"/>
      <c r="G30176" s="13"/>
      <c r="AL30176" s="13"/>
    </row>
    <row r="30177" spans="4:38" x14ac:dyDescent="0.3">
      <c r="D30177" s="1"/>
      <c r="G30177" s="13"/>
      <c r="AL30177" s="13"/>
    </row>
    <row r="30178" spans="4:38" x14ac:dyDescent="0.3">
      <c r="D30178" s="1"/>
      <c r="G30178" s="13"/>
      <c r="AL30178" s="13"/>
    </row>
    <row r="30179" spans="4:38" x14ac:dyDescent="0.3">
      <c r="D30179" s="1"/>
      <c r="G30179" s="13"/>
      <c r="AL30179" s="13"/>
    </row>
    <row r="30180" spans="4:38" x14ac:dyDescent="0.3">
      <c r="D30180" s="1"/>
      <c r="G30180" s="13"/>
      <c r="AL30180" s="13"/>
    </row>
    <row r="30181" spans="4:38" x14ac:dyDescent="0.3">
      <c r="D30181" s="1"/>
      <c r="G30181" s="13"/>
      <c r="AL30181" s="13"/>
    </row>
    <row r="30182" spans="4:38" x14ac:dyDescent="0.3">
      <c r="D30182" s="1"/>
      <c r="G30182" s="13"/>
      <c r="AL30182" s="13"/>
    </row>
    <row r="30183" spans="4:38" x14ac:dyDescent="0.3">
      <c r="D30183" s="1"/>
      <c r="G30183" s="13"/>
      <c r="AL30183" s="13"/>
    </row>
    <row r="30184" spans="4:38" x14ac:dyDescent="0.3">
      <c r="D30184" s="1"/>
      <c r="G30184" s="13"/>
      <c r="AL30184" s="13"/>
    </row>
    <row r="30185" spans="4:38" x14ac:dyDescent="0.3">
      <c r="D30185" s="1"/>
      <c r="G30185" s="13"/>
      <c r="AL30185" s="13"/>
    </row>
    <row r="30186" spans="4:38" x14ac:dyDescent="0.3">
      <c r="D30186" s="1"/>
      <c r="G30186" s="13"/>
      <c r="AL30186" s="13"/>
    </row>
    <row r="30187" spans="4:38" x14ac:dyDescent="0.3">
      <c r="D30187" s="1"/>
      <c r="G30187" s="13"/>
      <c r="AL30187" s="13"/>
    </row>
    <row r="30188" spans="4:38" x14ac:dyDescent="0.3">
      <c r="D30188" s="1"/>
      <c r="G30188" s="13"/>
      <c r="AL30188" s="13"/>
    </row>
    <row r="30189" spans="4:38" x14ac:dyDescent="0.3">
      <c r="G30189" s="13"/>
      <c r="AL30189" s="13"/>
    </row>
    <row r="30190" spans="4:38" x14ac:dyDescent="0.3">
      <c r="D30190" s="1"/>
      <c r="G30190" s="13"/>
      <c r="AL30190" s="13"/>
    </row>
    <row r="30191" spans="4:38" x14ac:dyDescent="0.3">
      <c r="D30191" s="1"/>
      <c r="G30191" s="13"/>
      <c r="AL30191" s="13"/>
    </row>
    <row r="30192" spans="4:38" x14ac:dyDescent="0.3">
      <c r="D30192" s="1"/>
      <c r="G30192" s="13"/>
      <c r="AL30192" s="13"/>
    </row>
    <row r="30193" spans="4:38" x14ac:dyDescent="0.3">
      <c r="D30193" s="1"/>
      <c r="G30193" s="13"/>
      <c r="AL30193" s="13"/>
    </row>
    <row r="30194" spans="4:38" x14ac:dyDescent="0.3">
      <c r="D30194" s="1"/>
      <c r="G30194" s="13"/>
      <c r="AL30194" s="13"/>
    </row>
    <row r="30195" spans="4:38" x14ac:dyDescent="0.3">
      <c r="D30195" s="1"/>
      <c r="G30195" s="13"/>
      <c r="AL30195" s="13"/>
    </row>
    <row r="30196" spans="4:38" x14ac:dyDescent="0.3">
      <c r="D30196" s="1"/>
      <c r="G30196" s="13"/>
      <c r="AL30196" s="13"/>
    </row>
    <row r="30197" spans="4:38" x14ac:dyDescent="0.3">
      <c r="D30197" s="1"/>
      <c r="G30197" s="13"/>
      <c r="AL30197" s="13"/>
    </row>
    <row r="30198" spans="4:38" x14ac:dyDescent="0.3">
      <c r="D30198" s="1"/>
      <c r="G30198" s="13"/>
      <c r="AL30198" s="13"/>
    </row>
    <row r="30199" spans="4:38" x14ac:dyDescent="0.3">
      <c r="D30199" s="1"/>
      <c r="G30199" s="13"/>
      <c r="AL30199" s="13"/>
    </row>
    <row r="30200" spans="4:38" x14ac:dyDescent="0.3">
      <c r="D30200" s="1"/>
      <c r="G30200" s="13"/>
      <c r="AL30200" s="13"/>
    </row>
    <row r="30201" spans="4:38" x14ac:dyDescent="0.3">
      <c r="D30201" s="1"/>
      <c r="G30201" s="13"/>
      <c r="AL30201" s="13"/>
    </row>
    <row r="30202" spans="4:38" x14ac:dyDescent="0.3">
      <c r="D30202" s="1"/>
      <c r="G30202" s="13"/>
      <c r="AL30202" s="13"/>
    </row>
    <row r="30203" spans="4:38" x14ac:dyDescent="0.3">
      <c r="D30203" s="1"/>
      <c r="G30203" s="13"/>
      <c r="AL30203" s="13"/>
    </row>
    <row r="30204" spans="4:38" x14ac:dyDescent="0.3">
      <c r="D30204" s="1"/>
      <c r="G30204" s="13"/>
      <c r="AL30204" s="13"/>
    </row>
    <row r="30205" spans="4:38" x14ac:dyDescent="0.3">
      <c r="D30205" s="1"/>
      <c r="G30205" s="13"/>
      <c r="AL30205" s="13"/>
    </row>
    <row r="30206" spans="4:38" x14ac:dyDescent="0.3">
      <c r="D30206" s="1"/>
      <c r="G30206" s="13"/>
      <c r="AL30206" s="13"/>
    </row>
    <row r="30207" spans="4:38" x14ac:dyDescent="0.3">
      <c r="D30207" s="1"/>
      <c r="G30207" s="13"/>
      <c r="AL30207" s="13"/>
    </row>
    <row r="30208" spans="4:38" x14ac:dyDescent="0.3">
      <c r="D30208" s="1"/>
      <c r="G30208" s="13"/>
      <c r="AL30208" s="13"/>
    </row>
    <row r="30209" spans="4:38" x14ac:dyDescent="0.3">
      <c r="D30209" s="1"/>
      <c r="G30209" s="13"/>
      <c r="AL30209" s="13"/>
    </row>
    <row r="30210" spans="4:38" x14ac:dyDescent="0.3">
      <c r="D30210" s="1"/>
      <c r="G30210" s="13"/>
      <c r="AL30210" s="13"/>
    </row>
    <row r="30211" spans="4:38" x14ac:dyDescent="0.3">
      <c r="D30211" s="1"/>
      <c r="G30211" s="13"/>
      <c r="AL30211" s="13"/>
    </row>
    <row r="30212" spans="4:38" x14ac:dyDescent="0.3">
      <c r="D30212" s="1"/>
      <c r="G30212" s="13"/>
      <c r="AL30212" s="13"/>
    </row>
    <row r="30213" spans="4:38" x14ac:dyDescent="0.3">
      <c r="D30213" s="1"/>
      <c r="G30213" s="13"/>
      <c r="AL30213" s="13"/>
    </row>
    <row r="30214" spans="4:38" x14ac:dyDescent="0.3">
      <c r="D30214" s="1"/>
      <c r="G30214" s="13"/>
      <c r="AL30214" s="13"/>
    </row>
    <row r="30215" spans="4:38" x14ac:dyDescent="0.3">
      <c r="D30215" s="1"/>
      <c r="G30215" s="13"/>
      <c r="AL30215" s="13"/>
    </row>
    <row r="30216" spans="4:38" x14ac:dyDescent="0.3">
      <c r="D30216" s="1"/>
      <c r="G30216" s="13"/>
      <c r="AL30216" s="13"/>
    </row>
    <row r="30217" spans="4:38" x14ac:dyDescent="0.3">
      <c r="D30217" s="1"/>
      <c r="G30217" s="13"/>
      <c r="AL30217" s="13"/>
    </row>
    <row r="30218" spans="4:38" x14ac:dyDescent="0.3">
      <c r="D30218" s="1"/>
      <c r="G30218" s="13"/>
      <c r="AL30218" s="13"/>
    </row>
    <row r="30219" spans="4:38" x14ac:dyDescent="0.3">
      <c r="D30219" s="1"/>
      <c r="G30219" s="13"/>
      <c r="AL30219" s="13"/>
    </row>
    <row r="30220" spans="4:38" x14ac:dyDescent="0.3">
      <c r="D30220" s="1"/>
      <c r="G30220" s="13"/>
      <c r="AL30220" s="13"/>
    </row>
    <row r="30221" spans="4:38" x14ac:dyDescent="0.3">
      <c r="D30221" s="1"/>
      <c r="G30221" s="13"/>
      <c r="AL30221" s="13"/>
    </row>
    <row r="30222" spans="4:38" x14ac:dyDescent="0.3">
      <c r="D30222" s="1"/>
      <c r="G30222" s="13"/>
      <c r="AL30222" s="13"/>
    </row>
    <row r="30223" spans="4:38" x14ac:dyDescent="0.3">
      <c r="D30223" s="1"/>
      <c r="G30223" s="13"/>
      <c r="AL30223" s="13"/>
    </row>
    <row r="30224" spans="4:38" x14ac:dyDescent="0.3">
      <c r="D30224" s="1"/>
      <c r="G30224" s="13"/>
      <c r="AL30224" s="13"/>
    </row>
    <row r="30225" spans="4:38" x14ac:dyDescent="0.3">
      <c r="D30225" s="1"/>
      <c r="G30225" s="13"/>
      <c r="AL30225" s="13"/>
    </row>
    <row r="30226" spans="4:38" x14ac:dyDescent="0.3">
      <c r="D30226" s="1"/>
      <c r="G30226" s="13"/>
      <c r="AL30226" s="13"/>
    </row>
    <row r="30227" spans="4:38" x14ac:dyDescent="0.3">
      <c r="D30227" s="1"/>
      <c r="G30227" s="13"/>
      <c r="AL30227" s="13"/>
    </row>
    <row r="30228" spans="4:38" x14ac:dyDescent="0.3">
      <c r="D30228" s="1"/>
      <c r="G30228" s="13"/>
      <c r="AL30228" s="13"/>
    </row>
    <row r="30229" spans="4:38" x14ac:dyDescent="0.3">
      <c r="D30229" s="1"/>
      <c r="G30229" s="13"/>
      <c r="AL30229" s="13"/>
    </row>
    <row r="30230" spans="4:38" x14ac:dyDescent="0.3">
      <c r="D30230" s="1"/>
      <c r="G30230" s="13"/>
      <c r="AL30230" s="13"/>
    </row>
    <row r="30231" spans="4:38" x14ac:dyDescent="0.3">
      <c r="D30231" s="1"/>
      <c r="G30231" s="13"/>
      <c r="AL30231" s="13"/>
    </row>
    <row r="30232" spans="4:38" x14ac:dyDescent="0.3">
      <c r="D30232" s="1"/>
      <c r="G30232" s="13"/>
      <c r="AL30232" s="13"/>
    </row>
    <row r="30233" spans="4:38" x14ac:dyDescent="0.3">
      <c r="D30233" s="1"/>
      <c r="G30233" s="13"/>
      <c r="AL30233" s="13"/>
    </row>
    <row r="30234" spans="4:38" x14ac:dyDescent="0.3">
      <c r="D30234" s="1"/>
      <c r="G30234" s="13"/>
      <c r="AL30234" s="13"/>
    </row>
    <row r="30235" spans="4:38" x14ac:dyDescent="0.3">
      <c r="D30235" s="1"/>
      <c r="G30235" s="13"/>
      <c r="AL30235" s="13"/>
    </row>
    <row r="30236" spans="4:38" x14ac:dyDescent="0.3">
      <c r="D30236" s="1"/>
      <c r="G30236" s="13"/>
      <c r="AL30236" s="13"/>
    </row>
    <row r="30237" spans="4:38" x14ac:dyDescent="0.3">
      <c r="D30237" s="1"/>
      <c r="G30237" s="13"/>
      <c r="AL30237" s="13"/>
    </row>
    <row r="30238" spans="4:38" x14ac:dyDescent="0.3">
      <c r="D30238" s="1"/>
      <c r="G30238" s="13"/>
      <c r="AL30238" s="13"/>
    </row>
    <row r="30239" spans="4:38" x14ac:dyDescent="0.3">
      <c r="D30239" s="1"/>
      <c r="G30239" s="13"/>
      <c r="AL30239" s="13"/>
    </row>
    <row r="30240" spans="4:38" x14ac:dyDescent="0.3">
      <c r="G30240" s="13"/>
      <c r="AL30240" s="13"/>
    </row>
    <row r="30241" spans="4:38" x14ac:dyDescent="0.3">
      <c r="D30241" s="1"/>
      <c r="G30241" s="13"/>
      <c r="AL30241" s="13"/>
    </row>
    <row r="30242" spans="4:38" x14ac:dyDescent="0.3">
      <c r="D30242" s="1"/>
      <c r="G30242" s="13"/>
      <c r="AL30242" s="13"/>
    </row>
    <row r="30243" spans="4:38" x14ac:dyDescent="0.3">
      <c r="D30243" s="1"/>
      <c r="G30243" s="13"/>
      <c r="AL30243" s="13"/>
    </row>
    <row r="30244" spans="4:38" x14ac:dyDescent="0.3">
      <c r="D30244" s="1"/>
      <c r="G30244" s="13"/>
      <c r="AL30244" s="13"/>
    </row>
    <row r="30245" spans="4:38" x14ac:dyDescent="0.3">
      <c r="D30245" s="1"/>
      <c r="G30245" s="13"/>
      <c r="AL30245" s="13"/>
    </row>
    <row r="30246" spans="4:38" x14ac:dyDescent="0.3">
      <c r="D30246" s="1"/>
      <c r="G30246" s="13"/>
      <c r="AL30246" s="13"/>
    </row>
    <row r="30247" spans="4:38" x14ac:dyDescent="0.3">
      <c r="D30247" s="1"/>
      <c r="G30247" s="13"/>
      <c r="AL30247" s="13"/>
    </row>
    <row r="30248" spans="4:38" x14ac:dyDescent="0.3">
      <c r="D30248" s="1"/>
      <c r="G30248" s="13"/>
      <c r="AL30248" s="13"/>
    </row>
    <row r="30249" spans="4:38" x14ac:dyDescent="0.3">
      <c r="D30249" s="1"/>
      <c r="G30249" s="13"/>
      <c r="AL30249" s="13"/>
    </row>
    <row r="30250" spans="4:38" x14ac:dyDescent="0.3">
      <c r="D30250" s="1"/>
      <c r="G30250" s="13"/>
      <c r="AL30250" s="13"/>
    </row>
    <row r="30251" spans="4:38" x14ac:dyDescent="0.3">
      <c r="D30251" s="1"/>
      <c r="G30251" s="13"/>
      <c r="AL30251" s="13"/>
    </row>
    <row r="30252" spans="4:38" x14ac:dyDescent="0.3">
      <c r="G30252" s="13"/>
      <c r="AL30252" s="13"/>
    </row>
    <row r="30253" spans="4:38" x14ac:dyDescent="0.3">
      <c r="D30253" s="1"/>
      <c r="G30253" s="13"/>
      <c r="AL30253" s="13"/>
    </row>
    <row r="30254" spans="4:38" x14ac:dyDescent="0.3">
      <c r="D30254" s="1"/>
      <c r="G30254" s="13"/>
      <c r="AL30254" s="13"/>
    </row>
    <row r="30255" spans="4:38" x14ac:dyDescent="0.3">
      <c r="D30255" s="1"/>
      <c r="G30255" s="13"/>
      <c r="AL30255" s="13"/>
    </row>
    <row r="30256" spans="4:38" x14ac:dyDescent="0.3">
      <c r="D30256" s="1"/>
      <c r="G30256" s="13"/>
      <c r="AL30256" s="13"/>
    </row>
    <row r="30257" spans="4:38" x14ac:dyDescent="0.3">
      <c r="D30257" s="1"/>
      <c r="G30257" s="13"/>
      <c r="AL30257" s="13"/>
    </row>
    <row r="30258" spans="4:38" x14ac:dyDescent="0.3">
      <c r="D30258" s="1"/>
      <c r="G30258" s="13"/>
      <c r="AL30258" s="13"/>
    </row>
    <row r="30259" spans="4:38" x14ac:dyDescent="0.3">
      <c r="D30259" s="1"/>
      <c r="G30259" s="13"/>
      <c r="AL30259" s="13"/>
    </row>
    <row r="30260" spans="4:38" x14ac:dyDescent="0.3">
      <c r="D30260" s="1"/>
      <c r="G30260" s="13"/>
      <c r="AL30260" s="13"/>
    </row>
    <row r="30261" spans="4:38" x14ac:dyDescent="0.3">
      <c r="D30261" s="1"/>
      <c r="G30261" s="13"/>
      <c r="AL30261" s="13"/>
    </row>
    <row r="30262" spans="4:38" x14ac:dyDescent="0.3">
      <c r="D30262" s="1"/>
      <c r="G30262" s="13"/>
      <c r="AL30262" s="13"/>
    </row>
    <row r="30263" spans="4:38" x14ac:dyDescent="0.3">
      <c r="D30263" s="1"/>
      <c r="G30263" s="13"/>
      <c r="AL30263" s="13"/>
    </row>
    <row r="30264" spans="4:38" x14ac:dyDescent="0.3">
      <c r="D30264" s="1"/>
      <c r="G30264" s="13"/>
      <c r="AL30264" s="13"/>
    </row>
    <row r="30265" spans="4:38" x14ac:dyDescent="0.3">
      <c r="D30265" s="1"/>
      <c r="G30265" s="13"/>
      <c r="AL30265" s="13"/>
    </row>
    <row r="30266" spans="4:38" x14ac:dyDescent="0.3">
      <c r="D30266" s="1"/>
      <c r="G30266" s="13"/>
      <c r="AL30266" s="13"/>
    </row>
    <row r="30267" spans="4:38" x14ac:dyDescent="0.3">
      <c r="D30267" s="1"/>
      <c r="G30267" s="13"/>
      <c r="AL30267" s="13"/>
    </row>
    <row r="30268" spans="4:38" x14ac:dyDescent="0.3">
      <c r="D30268" s="1"/>
      <c r="G30268" s="13"/>
      <c r="AL30268" s="13"/>
    </row>
    <row r="30269" spans="4:38" x14ac:dyDescent="0.3">
      <c r="D30269" s="1"/>
      <c r="G30269" s="13"/>
      <c r="AL30269" s="13"/>
    </row>
    <row r="30270" spans="4:38" x14ac:dyDescent="0.3">
      <c r="D30270" s="1"/>
      <c r="G30270" s="13"/>
      <c r="AL30270" s="13"/>
    </row>
    <row r="30271" spans="4:38" x14ac:dyDescent="0.3">
      <c r="D30271" s="1"/>
      <c r="G30271" s="13"/>
      <c r="AL30271" s="13"/>
    </row>
    <row r="30272" spans="4:38" x14ac:dyDescent="0.3">
      <c r="D30272" s="1"/>
      <c r="G30272" s="13"/>
      <c r="AL30272" s="13"/>
    </row>
    <row r="30273" spans="4:38" x14ac:dyDescent="0.3">
      <c r="D30273" s="1"/>
      <c r="G30273" s="13"/>
      <c r="AL30273" s="13"/>
    </row>
    <row r="30274" spans="4:38" x14ac:dyDescent="0.3">
      <c r="D30274" s="1"/>
      <c r="G30274" s="13"/>
      <c r="AL30274" s="13"/>
    </row>
    <row r="30275" spans="4:38" x14ac:dyDescent="0.3">
      <c r="D30275" s="1"/>
      <c r="G30275" s="13"/>
      <c r="AL30275" s="13"/>
    </row>
    <row r="30276" spans="4:38" x14ac:dyDescent="0.3">
      <c r="D30276" s="1"/>
      <c r="G30276" s="13"/>
      <c r="AL30276" s="13"/>
    </row>
    <row r="30277" spans="4:38" x14ac:dyDescent="0.3">
      <c r="D30277" s="1"/>
      <c r="G30277" s="13"/>
      <c r="AL30277" s="13"/>
    </row>
    <row r="30278" spans="4:38" x14ac:dyDescent="0.3">
      <c r="D30278" s="1"/>
      <c r="G30278" s="13"/>
      <c r="AL30278" s="13"/>
    </row>
    <row r="30279" spans="4:38" x14ac:dyDescent="0.3">
      <c r="D30279" s="1"/>
      <c r="G30279" s="13"/>
      <c r="AL30279" s="13"/>
    </row>
    <row r="30280" spans="4:38" x14ac:dyDescent="0.3">
      <c r="D30280" s="1"/>
      <c r="G30280" s="13"/>
      <c r="AL30280" s="13"/>
    </row>
    <row r="30281" spans="4:38" x14ac:dyDescent="0.3">
      <c r="D30281" s="1"/>
      <c r="G30281" s="13"/>
      <c r="AL30281" s="13"/>
    </row>
    <row r="30282" spans="4:38" x14ac:dyDescent="0.3">
      <c r="D30282" s="1"/>
      <c r="G30282" s="13"/>
      <c r="AL30282" s="13"/>
    </row>
    <row r="30283" spans="4:38" x14ac:dyDescent="0.3">
      <c r="D30283" s="1"/>
      <c r="G30283" s="13"/>
      <c r="AL30283" s="13"/>
    </row>
    <row r="30284" spans="4:38" x14ac:dyDescent="0.3">
      <c r="G30284" s="13"/>
      <c r="AL30284" s="13"/>
    </row>
    <row r="30285" spans="4:38" x14ac:dyDescent="0.3">
      <c r="D30285" s="1"/>
      <c r="G30285" s="13"/>
      <c r="AL30285" s="13"/>
    </row>
    <row r="30286" spans="4:38" x14ac:dyDescent="0.3">
      <c r="D30286" s="1"/>
      <c r="G30286" s="13"/>
      <c r="AL30286" s="13"/>
    </row>
    <row r="30287" spans="4:38" x14ac:dyDescent="0.3">
      <c r="D30287" s="1"/>
      <c r="G30287" s="13"/>
      <c r="AL30287" s="13"/>
    </row>
    <row r="30288" spans="4:38" x14ac:dyDescent="0.3">
      <c r="D30288" s="1"/>
      <c r="G30288" s="13"/>
      <c r="AL30288" s="13"/>
    </row>
    <row r="30289" spans="4:38" x14ac:dyDescent="0.3">
      <c r="D30289" s="1"/>
      <c r="G30289" s="13"/>
      <c r="AL30289" s="13"/>
    </row>
    <row r="30290" spans="4:38" x14ac:dyDescent="0.3">
      <c r="D30290" s="1"/>
      <c r="G30290" s="13"/>
      <c r="AL30290" s="13"/>
    </row>
    <row r="30291" spans="4:38" x14ac:dyDescent="0.3">
      <c r="D30291" s="1"/>
      <c r="G30291" s="13"/>
      <c r="AL30291" s="13"/>
    </row>
    <row r="30292" spans="4:38" x14ac:dyDescent="0.3">
      <c r="D30292" s="1"/>
      <c r="G30292" s="13"/>
      <c r="AL30292" s="13"/>
    </row>
    <row r="30293" spans="4:38" x14ac:dyDescent="0.3">
      <c r="D30293" s="1"/>
      <c r="G30293" s="13"/>
      <c r="AL30293" s="13"/>
    </row>
    <row r="30294" spans="4:38" x14ac:dyDescent="0.3">
      <c r="D30294" s="1"/>
      <c r="G30294" s="13"/>
      <c r="AL30294" s="13"/>
    </row>
    <row r="30295" spans="4:38" x14ac:dyDescent="0.3">
      <c r="G30295" s="13"/>
      <c r="AL30295" s="13"/>
    </row>
    <row r="30296" spans="4:38" x14ac:dyDescent="0.3">
      <c r="D30296" s="1"/>
      <c r="G30296" s="13"/>
      <c r="AL30296" s="13"/>
    </row>
    <row r="30297" spans="4:38" x14ac:dyDescent="0.3">
      <c r="D30297" s="1"/>
      <c r="G30297" s="13"/>
      <c r="AL30297" s="13"/>
    </row>
    <row r="30298" spans="4:38" x14ac:dyDescent="0.3">
      <c r="D30298" s="1"/>
      <c r="G30298" s="13"/>
      <c r="AL30298" s="13"/>
    </row>
    <row r="30299" spans="4:38" x14ac:dyDescent="0.3">
      <c r="D30299" s="1"/>
      <c r="G30299" s="13"/>
      <c r="AL30299" s="13"/>
    </row>
    <row r="30300" spans="4:38" x14ac:dyDescent="0.3">
      <c r="D30300" s="1"/>
      <c r="G30300" s="13"/>
      <c r="AL30300" s="13"/>
    </row>
    <row r="30301" spans="4:38" x14ac:dyDescent="0.3">
      <c r="D30301" s="1"/>
      <c r="G30301" s="13"/>
      <c r="AL30301" s="13"/>
    </row>
    <row r="30302" spans="4:38" x14ac:dyDescent="0.3">
      <c r="G30302" s="13"/>
      <c r="AL30302" s="13"/>
    </row>
    <row r="30303" spans="4:38" x14ac:dyDescent="0.3">
      <c r="D30303" s="1"/>
      <c r="G30303" s="13"/>
      <c r="AL30303" s="13"/>
    </row>
    <row r="30304" spans="4:38" x14ac:dyDescent="0.3">
      <c r="D30304" s="1"/>
      <c r="G30304" s="13"/>
      <c r="AL30304" s="13"/>
    </row>
    <row r="30305" spans="4:38" x14ac:dyDescent="0.3">
      <c r="D30305" s="1"/>
      <c r="G30305" s="13"/>
      <c r="AL30305" s="13"/>
    </row>
    <row r="30306" spans="4:38" x14ac:dyDescent="0.3">
      <c r="G30306" s="13"/>
      <c r="AL30306" s="13"/>
    </row>
    <row r="30307" spans="4:38" x14ac:dyDescent="0.3">
      <c r="G30307" s="13"/>
      <c r="AL30307" s="13"/>
    </row>
    <row r="30308" spans="4:38" x14ac:dyDescent="0.3">
      <c r="D30308" s="1"/>
      <c r="G30308" s="13"/>
      <c r="AL30308" s="13"/>
    </row>
    <row r="30309" spans="4:38" x14ac:dyDescent="0.3">
      <c r="D30309" s="1"/>
      <c r="G30309" s="13"/>
      <c r="AL30309" s="13"/>
    </row>
    <row r="30310" spans="4:38" x14ac:dyDescent="0.3">
      <c r="D30310" s="1"/>
      <c r="G30310" s="13"/>
      <c r="AL30310" s="13"/>
    </row>
    <row r="30311" spans="4:38" x14ac:dyDescent="0.3">
      <c r="G30311" s="13"/>
      <c r="AL30311" s="13"/>
    </row>
    <row r="30312" spans="4:38" x14ac:dyDescent="0.3">
      <c r="D30312" s="1"/>
      <c r="G30312" s="13"/>
      <c r="AL30312" s="13"/>
    </row>
    <row r="30313" spans="4:38" x14ac:dyDescent="0.3">
      <c r="D30313" s="1"/>
      <c r="G30313" s="13"/>
      <c r="AL30313" s="13"/>
    </row>
    <row r="30314" spans="4:38" x14ac:dyDescent="0.3">
      <c r="D30314" s="1"/>
      <c r="G30314" s="13"/>
      <c r="AL30314" s="13"/>
    </row>
    <row r="30315" spans="4:38" x14ac:dyDescent="0.3">
      <c r="D30315" s="1"/>
      <c r="G30315" s="13"/>
      <c r="AL30315" s="13"/>
    </row>
    <row r="30316" spans="4:38" x14ac:dyDescent="0.3">
      <c r="D30316" s="1"/>
      <c r="G30316" s="13"/>
      <c r="AL30316" s="13"/>
    </row>
    <row r="30317" spans="4:38" x14ac:dyDescent="0.3">
      <c r="D30317" s="1"/>
      <c r="G30317" s="13"/>
      <c r="AL30317" s="13"/>
    </row>
    <row r="30318" spans="4:38" x14ac:dyDescent="0.3">
      <c r="D30318" s="1"/>
      <c r="G30318" s="13"/>
      <c r="AL30318" s="13"/>
    </row>
    <row r="30319" spans="4:38" x14ac:dyDescent="0.3">
      <c r="D30319" s="1"/>
      <c r="G30319" s="13"/>
      <c r="AL30319" s="13"/>
    </row>
    <row r="30320" spans="4:38" x14ac:dyDescent="0.3">
      <c r="D30320" s="1"/>
      <c r="G30320" s="13"/>
      <c r="AL30320" s="13"/>
    </row>
    <row r="30321" spans="4:38" x14ac:dyDescent="0.3">
      <c r="D30321" s="1"/>
      <c r="G30321" s="13"/>
      <c r="AL30321" s="13"/>
    </row>
    <row r="30322" spans="4:38" x14ac:dyDescent="0.3">
      <c r="D30322" s="1"/>
      <c r="G30322" s="13"/>
      <c r="AL30322" s="13"/>
    </row>
    <row r="30323" spans="4:38" x14ac:dyDescent="0.3">
      <c r="D30323" s="1"/>
      <c r="G30323" s="13"/>
      <c r="AL30323" s="13"/>
    </row>
    <row r="30324" spans="4:38" x14ac:dyDescent="0.3">
      <c r="D30324" s="1"/>
      <c r="G30324" s="13"/>
      <c r="AL30324" s="13"/>
    </row>
    <row r="30325" spans="4:38" x14ac:dyDescent="0.3">
      <c r="D30325" s="1"/>
      <c r="AL30325" s="13"/>
    </row>
    <row r="30326" spans="4:38" x14ac:dyDescent="0.3">
      <c r="D30326" s="1"/>
      <c r="G30326" s="13"/>
      <c r="AL30326" s="13"/>
    </row>
    <row r="30327" spans="4:38" x14ac:dyDescent="0.3">
      <c r="D30327" s="1"/>
      <c r="G30327" s="13"/>
      <c r="AL30327" s="13"/>
    </row>
    <row r="30328" spans="4:38" x14ac:dyDescent="0.3">
      <c r="G30328" s="13"/>
      <c r="AL30328" s="13"/>
    </row>
    <row r="30329" spans="4:38" x14ac:dyDescent="0.3">
      <c r="D30329" s="1"/>
      <c r="G30329" s="13"/>
      <c r="AL30329" s="13"/>
    </row>
    <row r="30330" spans="4:38" x14ac:dyDescent="0.3">
      <c r="D30330" s="1"/>
      <c r="G30330" s="13"/>
      <c r="AL30330" s="13"/>
    </row>
    <row r="30331" spans="4:38" x14ac:dyDescent="0.3">
      <c r="D30331" s="1"/>
      <c r="G30331" s="13"/>
      <c r="AL30331" s="13"/>
    </row>
    <row r="30332" spans="4:38" x14ac:dyDescent="0.3">
      <c r="D30332" s="1"/>
      <c r="G30332" s="13"/>
      <c r="AL30332" s="13"/>
    </row>
    <row r="30333" spans="4:38" x14ac:dyDescent="0.3">
      <c r="D30333" s="1"/>
      <c r="G30333" s="13"/>
      <c r="AL30333" s="13"/>
    </row>
    <row r="30334" spans="4:38" x14ac:dyDescent="0.3">
      <c r="D30334" s="1"/>
      <c r="G30334" s="13"/>
      <c r="AL30334" s="13"/>
    </row>
    <row r="30335" spans="4:38" x14ac:dyDescent="0.3">
      <c r="D30335" s="1"/>
      <c r="G30335" s="13"/>
      <c r="AL30335" s="13"/>
    </row>
    <row r="30336" spans="4:38" x14ac:dyDescent="0.3">
      <c r="D30336" s="1"/>
      <c r="G30336" s="13"/>
      <c r="AL30336" s="13"/>
    </row>
    <row r="30337" spans="4:38" x14ac:dyDescent="0.3">
      <c r="D30337" s="1"/>
      <c r="G30337" s="13"/>
      <c r="AL30337" s="13"/>
    </row>
    <row r="30338" spans="4:38" x14ac:dyDescent="0.3">
      <c r="D30338" s="1"/>
      <c r="G30338" s="13"/>
      <c r="AL30338" s="13"/>
    </row>
    <row r="30339" spans="4:38" x14ac:dyDescent="0.3">
      <c r="D30339" s="1"/>
      <c r="G30339" s="13"/>
      <c r="AL30339" s="13"/>
    </row>
    <row r="30340" spans="4:38" x14ac:dyDescent="0.3">
      <c r="D30340" s="1"/>
      <c r="G30340" s="13"/>
      <c r="AL30340" s="13"/>
    </row>
    <row r="30341" spans="4:38" x14ac:dyDescent="0.3">
      <c r="D30341" s="1"/>
      <c r="G30341" s="13"/>
      <c r="AL30341" s="13"/>
    </row>
    <row r="30342" spans="4:38" x14ac:dyDescent="0.3">
      <c r="D30342" s="1"/>
      <c r="G30342" s="13"/>
      <c r="AL30342" s="13"/>
    </row>
    <row r="30343" spans="4:38" x14ac:dyDescent="0.3">
      <c r="D30343" s="1"/>
      <c r="G30343" s="13"/>
      <c r="AL30343" s="13"/>
    </row>
    <row r="30344" spans="4:38" x14ac:dyDescent="0.3">
      <c r="D30344" s="1"/>
      <c r="G30344" s="13"/>
      <c r="AL30344" s="13"/>
    </row>
    <row r="30345" spans="4:38" x14ac:dyDescent="0.3">
      <c r="D30345" s="1"/>
      <c r="G30345" s="13"/>
      <c r="AL30345" s="13"/>
    </row>
    <row r="30346" spans="4:38" x14ac:dyDescent="0.3">
      <c r="D30346" s="1"/>
      <c r="G30346" s="13"/>
      <c r="AL30346" s="13"/>
    </row>
    <row r="30347" spans="4:38" x14ac:dyDescent="0.3">
      <c r="D30347" s="1"/>
      <c r="G30347" s="13"/>
      <c r="AL30347" s="13"/>
    </row>
    <row r="30348" spans="4:38" x14ac:dyDescent="0.3">
      <c r="D30348" s="1"/>
      <c r="G30348" s="13"/>
      <c r="AL30348" s="13"/>
    </row>
    <row r="30349" spans="4:38" x14ac:dyDescent="0.3">
      <c r="D30349" s="1"/>
      <c r="G30349" s="13"/>
      <c r="AL30349" s="13"/>
    </row>
    <row r="30350" spans="4:38" x14ac:dyDescent="0.3">
      <c r="D30350" s="1"/>
      <c r="G30350" s="13"/>
      <c r="AL30350" s="13"/>
    </row>
    <row r="30351" spans="4:38" x14ac:dyDescent="0.3">
      <c r="D30351" s="1"/>
      <c r="G30351" s="13"/>
      <c r="AL30351" s="13"/>
    </row>
    <row r="30352" spans="4:38" x14ac:dyDescent="0.3">
      <c r="D30352" s="1"/>
      <c r="G30352" s="13"/>
      <c r="AL30352" s="13"/>
    </row>
    <row r="30353" spans="4:38" x14ac:dyDescent="0.3">
      <c r="D30353" s="1"/>
      <c r="G30353" s="13"/>
      <c r="AL30353" s="13"/>
    </row>
    <row r="30354" spans="4:38" x14ac:dyDescent="0.3">
      <c r="D30354" s="1"/>
      <c r="G30354" s="13"/>
      <c r="AL30354" s="13"/>
    </row>
    <row r="30355" spans="4:38" x14ac:dyDescent="0.3">
      <c r="D30355" s="1"/>
      <c r="G30355" s="13"/>
      <c r="AL30355" s="13"/>
    </row>
    <row r="30356" spans="4:38" x14ac:dyDescent="0.3">
      <c r="D30356" s="1"/>
      <c r="G30356" s="13"/>
      <c r="AL30356" s="13"/>
    </row>
    <row r="30357" spans="4:38" x14ac:dyDescent="0.3">
      <c r="D30357" s="1"/>
      <c r="G30357" s="13"/>
      <c r="AL30357" s="13"/>
    </row>
    <row r="30358" spans="4:38" x14ac:dyDescent="0.3">
      <c r="D30358" s="1"/>
      <c r="G30358" s="13"/>
      <c r="AL30358" s="13"/>
    </row>
    <row r="30359" spans="4:38" x14ac:dyDescent="0.3">
      <c r="D30359" s="1"/>
      <c r="G30359" s="13"/>
      <c r="AL30359" s="13"/>
    </row>
    <row r="30360" spans="4:38" x14ac:dyDescent="0.3">
      <c r="D30360" s="1"/>
      <c r="G30360" s="13"/>
      <c r="AL30360" s="13"/>
    </row>
    <row r="30361" spans="4:38" x14ac:dyDescent="0.3">
      <c r="D30361" s="1"/>
      <c r="G30361" s="13"/>
      <c r="AL30361" s="13"/>
    </row>
    <row r="30362" spans="4:38" x14ac:dyDescent="0.3">
      <c r="D30362" s="1"/>
      <c r="G30362" s="13"/>
      <c r="AL30362" s="13"/>
    </row>
    <row r="30363" spans="4:38" x14ac:dyDescent="0.3">
      <c r="D30363" s="1"/>
      <c r="G30363" s="13"/>
      <c r="AL30363" s="13"/>
    </row>
    <row r="30364" spans="4:38" x14ac:dyDescent="0.3">
      <c r="D30364" s="1"/>
      <c r="G30364" s="13"/>
      <c r="AL30364" s="13"/>
    </row>
    <row r="30365" spans="4:38" x14ac:dyDescent="0.3">
      <c r="D30365" s="1"/>
      <c r="G30365" s="13"/>
      <c r="AL30365" s="13"/>
    </row>
    <row r="30366" spans="4:38" x14ac:dyDescent="0.3">
      <c r="D30366" s="1"/>
      <c r="G30366" s="13"/>
      <c r="AL30366" s="13"/>
    </row>
    <row r="30367" spans="4:38" x14ac:dyDescent="0.3">
      <c r="D30367" s="1"/>
      <c r="G30367" s="13"/>
      <c r="AL30367" s="13"/>
    </row>
    <row r="30368" spans="4:38" x14ac:dyDescent="0.3">
      <c r="D30368" s="1"/>
      <c r="G30368" s="13"/>
      <c r="AL30368" s="13"/>
    </row>
    <row r="30369" spans="4:38" x14ac:dyDescent="0.3">
      <c r="D30369" s="1"/>
      <c r="G30369" s="13"/>
      <c r="AL30369" s="13"/>
    </row>
    <row r="30370" spans="4:38" x14ac:dyDescent="0.3">
      <c r="D30370" s="1"/>
      <c r="G30370" s="13"/>
      <c r="AL30370" s="13"/>
    </row>
    <row r="30371" spans="4:38" x14ac:dyDescent="0.3">
      <c r="D30371" s="1"/>
      <c r="G30371" s="13"/>
      <c r="AL30371" s="13"/>
    </row>
    <row r="30372" spans="4:38" x14ac:dyDescent="0.3">
      <c r="D30372" s="1"/>
      <c r="G30372" s="13"/>
      <c r="AL30372" s="13"/>
    </row>
    <row r="30373" spans="4:38" x14ac:dyDescent="0.3">
      <c r="D30373" s="1"/>
      <c r="G30373" s="13"/>
      <c r="AL30373" s="13"/>
    </row>
    <row r="30374" spans="4:38" x14ac:dyDescent="0.3">
      <c r="D30374" s="1"/>
      <c r="G30374" s="13"/>
      <c r="AL30374" s="13"/>
    </row>
    <row r="30375" spans="4:38" x14ac:dyDescent="0.3">
      <c r="D30375" s="1"/>
      <c r="G30375" s="13"/>
      <c r="AL30375" s="13"/>
    </row>
    <row r="30376" spans="4:38" x14ac:dyDescent="0.3">
      <c r="D30376" s="1"/>
      <c r="G30376" s="13"/>
      <c r="AL30376" s="13"/>
    </row>
    <row r="30377" spans="4:38" x14ac:dyDescent="0.3">
      <c r="D30377" s="1"/>
      <c r="G30377" s="13"/>
      <c r="AL30377" s="13"/>
    </row>
    <row r="30378" spans="4:38" x14ac:dyDescent="0.3">
      <c r="D30378" s="1"/>
      <c r="G30378" s="13"/>
      <c r="AL30378" s="13"/>
    </row>
    <row r="30379" spans="4:38" x14ac:dyDescent="0.3">
      <c r="D30379" s="1"/>
      <c r="G30379" s="13"/>
      <c r="AL30379" s="13"/>
    </row>
    <row r="30380" spans="4:38" x14ac:dyDescent="0.3">
      <c r="D30380" s="1"/>
      <c r="G30380" s="13"/>
      <c r="AL30380" s="13"/>
    </row>
    <row r="30381" spans="4:38" x14ac:dyDescent="0.3">
      <c r="D30381" s="1"/>
      <c r="G30381" s="13"/>
      <c r="AL30381" s="13"/>
    </row>
    <row r="30382" spans="4:38" x14ac:dyDescent="0.3">
      <c r="D30382" s="1"/>
      <c r="G30382" s="13"/>
      <c r="AL30382" s="13"/>
    </row>
    <row r="30383" spans="4:38" x14ac:dyDescent="0.3">
      <c r="D30383" s="1"/>
      <c r="G30383" s="13"/>
      <c r="AL30383" s="13"/>
    </row>
    <row r="30384" spans="4:38" x14ac:dyDescent="0.3">
      <c r="D30384" s="1"/>
      <c r="G30384" s="13"/>
      <c r="AL30384" s="13"/>
    </row>
    <row r="30385" spans="4:38" x14ac:dyDescent="0.3">
      <c r="D30385" s="1"/>
      <c r="G30385" s="13"/>
      <c r="AL30385" s="13"/>
    </row>
    <row r="30386" spans="4:38" x14ac:dyDescent="0.3">
      <c r="D30386" s="1"/>
      <c r="G30386" s="13"/>
      <c r="AL30386" s="13"/>
    </row>
    <row r="30387" spans="4:38" x14ac:dyDescent="0.3">
      <c r="D30387" s="1"/>
      <c r="G30387" s="13"/>
      <c r="AL30387" s="13"/>
    </row>
    <row r="30388" spans="4:38" x14ac:dyDescent="0.3">
      <c r="D30388" s="1"/>
      <c r="G30388" s="13"/>
      <c r="AL30388" s="13"/>
    </row>
    <row r="30389" spans="4:38" x14ac:dyDescent="0.3">
      <c r="D30389" s="1"/>
      <c r="G30389" s="13"/>
      <c r="AL30389" s="13"/>
    </row>
    <row r="30390" spans="4:38" x14ac:dyDescent="0.3">
      <c r="D30390" s="1"/>
      <c r="G30390" s="13"/>
      <c r="AL30390" s="13"/>
    </row>
    <row r="30391" spans="4:38" x14ac:dyDescent="0.3">
      <c r="D30391" s="1"/>
      <c r="G30391" s="13"/>
      <c r="AL30391" s="13"/>
    </row>
    <row r="30392" spans="4:38" x14ac:dyDescent="0.3">
      <c r="D30392" s="1"/>
      <c r="G30392" s="13"/>
      <c r="AL30392" s="13"/>
    </row>
    <row r="30393" spans="4:38" x14ac:dyDescent="0.3">
      <c r="D30393" s="1"/>
      <c r="G30393" s="13"/>
      <c r="AL30393" s="13"/>
    </row>
    <row r="30394" spans="4:38" x14ac:dyDescent="0.3">
      <c r="D30394" s="1"/>
      <c r="G30394" s="13"/>
      <c r="AL30394" s="13"/>
    </row>
    <row r="30395" spans="4:38" x14ac:dyDescent="0.3">
      <c r="D30395" s="1"/>
      <c r="G30395" s="13"/>
      <c r="AL30395" s="13"/>
    </row>
    <row r="30396" spans="4:38" x14ac:dyDescent="0.3">
      <c r="D30396" s="1"/>
      <c r="G30396" s="13"/>
      <c r="AL30396" s="13"/>
    </row>
    <row r="30397" spans="4:38" x14ac:dyDescent="0.3">
      <c r="D30397" s="1"/>
      <c r="G30397" s="13"/>
      <c r="AL30397" s="13"/>
    </row>
    <row r="30398" spans="4:38" x14ac:dyDescent="0.3">
      <c r="D30398" s="1"/>
      <c r="G30398" s="13"/>
      <c r="AL30398" s="13"/>
    </row>
    <row r="30399" spans="4:38" x14ac:dyDescent="0.3">
      <c r="D30399" s="1"/>
      <c r="G30399" s="13"/>
      <c r="AL30399" s="13"/>
    </row>
    <row r="30400" spans="4:38" x14ac:dyDescent="0.3">
      <c r="D30400" s="1"/>
      <c r="G30400" s="13"/>
      <c r="AL30400" s="13"/>
    </row>
    <row r="30401" spans="4:38" x14ac:dyDescent="0.3">
      <c r="D30401" s="1"/>
      <c r="G30401" s="13"/>
      <c r="AL30401" s="13"/>
    </row>
    <row r="30402" spans="4:38" x14ac:dyDescent="0.3">
      <c r="D30402" s="1"/>
      <c r="G30402" s="13"/>
      <c r="AL30402" s="13"/>
    </row>
    <row r="30403" spans="4:38" x14ac:dyDescent="0.3">
      <c r="D30403" s="1"/>
      <c r="G30403" s="13"/>
      <c r="AL30403" s="13"/>
    </row>
    <row r="30404" spans="4:38" x14ac:dyDescent="0.3">
      <c r="D30404" s="1"/>
      <c r="G30404" s="13"/>
      <c r="AL30404" s="13"/>
    </row>
    <row r="30405" spans="4:38" x14ac:dyDescent="0.3">
      <c r="D30405" s="1"/>
      <c r="G30405" s="13"/>
      <c r="AL30405" s="13"/>
    </row>
    <row r="30406" spans="4:38" x14ac:dyDescent="0.3">
      <c r="D30406" s="1"/>
      <c r="G30406" s="13"/>
      <c r="AL30406" s="13"/>
    </row>
    <row r="30407" spans="4:38" x14ac:dyDescent="0.3">
      <c r="D30407" s="1"/>
      <c r="G30407" s="13"/>
      <c r="AL30407" s="13"/>
    </row>
    <row r="30408" spans="4:38" x14ac:dyDescent="0.3">
      <c r="D30408" s="1"/>
      <c r="G30408" s="13"/>
      <c r="AL30408" s="13"/>
    </row>
    <row r="30409" spans="4:38" x14ac:dyDescent="0.3">
      <c r="D30409" s="1"/>
      <c r="G30409" s="13"/>
      <c r="AL30409" s="13"/>
    </row>
    <row r="30410" spans="4:38" x14ac:dyDescent="0.3">
      <c r="D30410" s="1"/>
      <c r="G30410" s="13"/>
      <c r="AL30410" s="13"/>
    </row>
    <row r="30411" spans="4:38" x14ac:dyDescent="0.3">
      <c r="D30411" s="1"/>
      <c r="G30411" s="13"/>
      <c r="AL30411" s="13"/>
    </row>
    <row r="30412" spans="4:38" x14ac:dyDescent="0.3">
      <c r="D30412" s="1"/>
      <c r="G30412" s="13"/>
      <c r="AL30412" s="13"/>
    </row>
    <row r="30413" spans="4:38" x14ac:dyDescent="0.3">
      <c r="D30413" s="1"/>
      <c r="G30413" s="13"/>
      <c r="AL30413" s="13"/>
    </row>
    <row r="30414" spans="4:38" x14ac:dyDescent="0.3">
      <c r="D30414" s="1"/>
      <c r="G30414" s="13"/>
      <c r="AL30414" s="13"/>
    </row>
    <row r="30415" spans="4:38" x14ac:dyDescent="0.3">
      <c r="D30415" s="1"/>
      <c r="G30415" s="13"/>
      <c r="AL30415" s="13"/>
    </row>
    <row r="30416" spans="4:38" x14ac:dyDescent="0.3">
      <c r="D30416" s="1"/>
      <c r="G30416" s="13"/>
      <c r="AL30416" s="13"/>
    </row>
    <row r="30417" spans="4:38" x14ac:dyDescent="0.3">
      <c r="D30417" s="1"/>
      <c r="G30417" s="13"/>
      <c r="AL30417" s="13"/>
    </row>
    <row r="30418" spans="4:38" x14ac:dyDescent="0.3">
      <c r="D30418" s="1"/>
      <c r="G30418" s="13"/>
      <c r="AL30418" s="13"/>
    </row>
    <row r="30419" spans="4:38" x14ac:dyDescent="0.3">
      <c r="D30419" s="1"/>
      <c r="G30419" s="13"/>
      <c r="AL30419" s="13"/>
    </row>
    <row r="30420" spans="4:38" x14ac:dyDescent="0.3">
      <c r="D30420" s="1"/>
      <c r="G30420" s="13"/>
      <c r="AL30420" s="13"/>
    </row>
    <row r="30421" spans="4:38" x14ac:dyDescent="0.3">
      <c r="D30421" s="1"/>
      <c r="G30421" s="13"/>
      <c r="AL30421" s="13"/>
    </row>
    <row r="30422" spans="4:38" x14ac:dyDescent="0.3">
      <c r="D30422" s="1"/>
      <c r="G30422" s="13"/>
      <c r="AL30422" s="13"/>
    </row>
    <row r="30423" spans="4:38" x14ac:dyDescent="0.3">
      <c r="D30423" s="1"/>
      <c r="G30423" s="13"/>
      <c r="AL30423" s="13"/>
    </row>
    <row r="30424" spans="4:38" x14ac:dyDescent="0.3">
      <c r="D30424" s="1"/>
      <c r="G30424" s="13"/>
      <c r="AL30424" s="13"/>
    </row>
    <row r="30425" spans="4:38" x14ac:dyDescent="0.3">
      <c r="D30425" s="1"/>
      <c r="G30425" s="13"/>
      <c r="AL30425" s="13"/>
    </row>
    <row r="30426" spans="4:38" x14ac:dyDescent="0.3">
      <c r="D30426" s="1"/>
      <c r="G30426" s="13"/>
      <c r="AL30426" s="13"/>
    </row>
    <row r="30427" spans="4:38" x14ac:dyDescent="0.3">
      <c r="D30427" s="1"/>
      <c r="G30427" s="13"/>
      <c r="AL30427" s="13"/>
    </row>
    <row r="30428" spans="4:38" x14ac:dyDescent="0.3">
      <c r="D30428" s="1"/>
      <c r="G30428" s="13"/>
      <c r="AL30428" s="13"/>
    </row>
    <row r="30429" spans="4:38" x14ac:dyDescent="0.3">
      <c r="D30429" s="1"/>
      <c r="G30429" s="13"/>
      <c r="AL30429" s="13"/>
    </row>
    <row r="30430" spans="4:38" x14ac:dyDescent="0.3">
      <c r="D30430" s="1"/>
      <c r="G30430" s="13"/>
      <c r="AL30430" s="13"/>
    </row>
    <row r="30431" spans="4:38" x14ac:dyDescent="0.3">
      <c r="D30431" s="1"/>
      <c r="G30431" s="13"/>
      <c r="AL30431" s="13"/>
    </row>
    <row r="30432" spans="4:38" x14ac:dyDescent="0.3">
      <c r="D30432" s="1"/>
      <c r="G30432" s="13"/>
      <c r="AL30432" s="13"/>
    </row>
    <row r="30433" spans="4:38" x14ac:dyDescent="0.3">
      <c r="D30433" s="1"/>
      <c r="G30433" s="13"/>
      <c r="AL30433" s="13"/>
    </row>
    <row r="30434" spans="4:38" x14ac:dyDescent="0.3">
      <c r="D30434" s="1"/>
      <c r="G30434" s="13"/>
      <c r="AL30434" s="13"/>
    </row>
    <row r="30435" spans="4:38" x14ac:dyDescent="0.3">
      <c r="D30435" s="1"/>
      <c r="G30435" s="13"/>
      <c r="AL30435" s="13"/>
    </row>
    <row r="30436" spans="4:38" x14ac:dyDescent="0.3">
      <c r="D30436" s="1"/>
      <c r="G30436" s="13"/>
      <c r="AL30436" s="13"/>
    </row>
    <row r="30437" spans="4:38" x14ac:dyDescent="0.3">
      <c r="D30437" s="1"/>
      <c r="G30437" s="13"/>
      <c r="AL30437" s="13"/>
    </row>
    <row r="30438" spans="4:38" x14ac:dyDescent="0.3">
      <c r="D30438" s="1"/>
      <c r="G30438" s="13"/>
      <c r="AL30438" s="13"/>
    </row>
    <row r="30439" spans="4:38" x14ac:dyDescent="0.3">
      <c r="D30439" s="1"/>
      <c r="G30439" s="13"/>
      <c r="AL30439" s="13"/>
    </row>
    <row r="30440" spans="4:38" x14ac:dyDescent="0.3">
      <c r="D30440" s="1"/>
      <c r="G30440" s="13"/>
      <c r="AL30440" s="13"/>
    </row>
    <row r="30441" spans="4:38" x14ac:dyDescent="0.3">
      <c r="D30441" s="1"/>
      <c r="G30441" s="13"/>
      <c r="AL30441" s="13"/>
    </row>
    <row r="30442" spans="4:38" x14ac:dyDescent="0.3">
      <c r="D30442" s="1"/>
      <c r="G30442" s="13"/>
      <c r="AL30442" s="13"/>
    </row>
    <row r="30443" spans="4:38" x14ac:dyDescent="0.3">
      <c r="D30443" s="1"/>
      <c r="G30443" s="13"/>
      <c r="AL30443" s="13"/>
    </row>
    <row r="30444" spans="4:38" x14ac:dyDescent="0.3">
      <c r="D30444" s="1"/>
      <c r="G30444" s="13"/>
      <c r="AL30444" s="13"/>
    </row>
    <row r="30445" spans="4:38" x14ac:dyDescent="0.3">
      <c r="D30445" s="1"/>
      <c r="G30445" s="13"/>
      <c r="AL30445" s="13"/>
    </row>
    <row r="30446" spans="4:38" x14ac:dyDescent="0.3">
      <c r="D30446" s="1"/>
      <c r="G30446" s="13"/>
      <c r="AL30446" s="13"/>
    </row>
    <row r="30447" spans="4:38" x14ac:dyDescent="0.3">
      <c r="D30447" s="1"/>
      <c r="G30447" s="13"/>
      <c r="AL30447" s="13"/>
    </row>
    <row r="30448" spans="4:38" x14ac:dyDescent="0.3">
      <c r="D30448" s="1"/>
      <c r="G30448" s="13"/>
      <c r="AL30448" s="13"/>
    </row>
    <row r="30449" spans="4:38" x14ac:dyDescent="0.3">
      <c r="D30449" s="1"/>
      <c r="G30449" s="13"/>
      <c r="AL30449" s="13"/>
    </row>
    <row r="30450" spans="4:38" x14ac:dyDescent="0.3">
      <c r="D30450" s="1"/>
      <c r="G30450" s="13"/>
      <c r="AL30450" s="13"/>
    </row>
    <row r="30451" spans="4:38" x14ac:dyDescent="0.3">
      <c r="G30451" s="13"/>
      <c r="AL30451" s="13"/>
    </row>
    <row r="30452" spans="4:38" x14ac:dyDescent="0.3">
      <c r="G30452" s="13"/>
      <c r="AL30452" s="13"/>
    </row>
    <row r="30453" spans="4:38" x14ac:dyDescent="0.3">
      <c r="D30453" s="1"/>
      <c r="G30453" s="13"/>
      <c r="AL30453" s="13"/>
    </row>
    <row r="30454" spans="4:38" x14ac:dyDescent="0.3">
      <c r="D30454" s="1"/>
      <c r="G30454" s="13"/>
      <c r="AL30454" s="13"/>
    </row>
    <row r="30455" spans="4:38" x14ac:dyDescent="0.3">
      <c r="D30455" s="1"/>
      <c r="G30455" s="13"/>
      <c r="AL30455" s="13"/>
    </row>
    <row r="30456" spans="4:38" x14ac:dyDescent="0.3">
      <c r="G30456" s="13"/>
      <c r="AL30456" s="13"/>
    </row>
    <row r="30457" spans="4:38" x14ac:dyDescent="0.3">
      <c r="D30457" s="1"/>
      <c r="G30457" s="13"/>
      <c r="AL30457" s="13"/>
    </row>
    <row r="30458" spans="4:38" x14ac:dyDescent="0.3">
      <c r="G30458" s="13"/>
      <c r="AL30458" s="13"/>
    </row>
    <row r="30459" spans="4:38" x14ac:dyDescent="0.3">
      <c r="D30459" s="1"/>
      <c r="G30459" s="13"/>
      <c r="AL30459" s="13"/>
    </row>
    <row r="30460" spans="4:38" x14ac:dyDescent="0.3">
      <c r="D30460" s="1"/>
      <c r="G30460" s="13"/>
      <c r="AL30460" s="13"/>
    </row>
    <row r="30461" spans="4:38" x14ac:dyDescent="0.3">
      <c r="D30461" s="1"/>
      <c r="G30461" s="13"/>
      <c r="AL30461" s="13"/>
    </row>
    <row r="30462" spans="4:38" x14ac:dyDescent="0.3">
      <c r="G30462" s="13"/>
      <c r="AL30462" s="13"/>
    </row>
    <row r="30463" spans="4:38" x14ac:dyDescent="0.3">
      <c r="D30463" s="1"/>
      <c r="G30463" s="13"/>
      <c r="AL30463" s="13"/>
    </row>
    <row r="30464" spans="4:38" x14ac:dyDescent="0.3">
      <c r="D30464" s="1"/>
      <c r="G30464" s="13"/>
      <c r="AL30464" s="13"/>
    </row>
    <row r="30465" spans="4:38" x14ac:dyDescent="0.3">
      <c r="D30465" s="1"/>
      <c r="G30465" s="13"/>
      <c r="AL30465" s="13"/>
    </row>
    <row r="30466" spans="4:38" x14ac:dyDescent="0.3">
      <c r="D30466" s="1"/>
      <c r="G30466" s="13"/>
      <c r="AL30466" s="13"/>
    </row>
    <row r="30467" spans="4:38" x14ac:dyDescent="0.3">
      <c r="D30467" s="1"/>
      <c r="G30467" s="13"/>
      <c r="AL30467" s="13"/>
    </row>
    <row r="30468" spans="4:38" x14ac:dyDescent="0.3">
      <c r="D30468" s="1"/>
      <c r="G30468" s="13"/>
      <c r="AL30468" s="13"/>
    </row>
    <row r="30469" spans="4:38" x14ac:dyDescent="0.3">
      <c r="D30469" s="1"/>
      <c r="G30469" s="13"/>
      <c r="AL30469" s="13"/>
    </row>
    <row r="30470" spans="4:38" x14ac:dyDescent="0.3">
      <c r="D30470" s="1"/>
      <c r="G30470" s="13"/>
      <c r="AL30470" s="13"/>
    </row>
    <row r="30471" spans="4:38" x14ac:dyDescent="0.3">
      <c r="D30471" s="1"/>
      <c r="G30471" s="13"/>
      <c r="AL30471" s="13"/>
    </row>
    <row r="30472" spans="4:38" x14ac:dyDescent="0.3">
      <c r="D30472" s="1"/>
      <c r="G30472" s="13"/>
      <c r="AL30472" s="13"/>
    </row>
    <row r="30473" spans="4:38" x14ac:dyDescent="0.3">
      <c r="D30473" s="1"/>
      <c r="G30473" s="13"/>
      <c r="AL30473" s="13"/>
    </row>
    <row r="30474" spans="4:38" x14ac:dyDescent="0.3">
      <c r="D30474" s="1"/>
      <c r="G30474" s="13"/>
      <c r="AL30474" s="13"/>
    </row>
    <row r="30475" spans="4:38" x14ac:dyDescent="0.3">
      <c r="D30475" s="1"/>
      <c r="G30475" s="13"/>
      <c r="AL30475" s="13"/>
    </row>
    <row r="30476" spans="4:38" x14ac:dyDescent="0.3">
      <c r="D30476" s="1"/>
      <c r="G30476" s="13"/>
      <c r="AL30476" s="13"/>
    </row>
    <row r="30477" spans="4:38" x14ac:dyDescent="0.3">
      <c r="D30477" s="1"/>
      <c r="G30477" s="13"/>
      <c r="AL30477" s="13"/>
    </row>
    <row r="30478" spans="4:38" x14ac:dyDescent="0.3">
      <c r="D30478" s="1"/>
      <c r="G30478" s="13"/>
      <c r="AL30478" s="13"/>
    </row>
    <row r="30479" spans="4:38" x14ac:dyDescent="0.3">
      <c r="D30479" s="1"/>
      <c r="G30479" s="13"/>
      <c r="AL30479" s="13"/>
    </row>
    <row r="30480" spans="4:38" x14ac:dyDescent="0.3">
      <c r="G30480" s="13"/>
      <c r="AL30480" s="13"/>
    </row>
    <row r="30481" spans="4:38" x14ac:dyDescent="0.3">
      <c r="D30481" s="1"/>
      <c r="G30481" s="13"/>
      <c r="AL30481" s="13"/>
    </row>
    <row r="30482" spans="4:38" x14ac:dyDescent="0.3">
      <c r="D30482" s="1"/>
      <c r="G30482" s="13"/>
      <c r="AL30482" s="13"/>
    </row>
    <row r="30483" spans="4:38" x14ac:dyDescent="0.3">
      <c r="D30483" s="1"/>
      <c r="G30483" s="13"/>
      <c r="AL30483" s="13"/>
    </row>
    <row r="30484" spans="4:38" x14ac:dyDescent="0.3">
      <c r="D30484" s="1"/>
      <c r="G30484" s="13"/>
      <c r="AL30484" s="13"/>
    </row>
    <row r="30485" spans="4:38" x14ac:dyDescent="0.3">
      <c r="D30485" s="1"/>
      <c r="G30485" s="13"/>
      <c r="AL30485" s="13"/>
    </row>
    <row r="30486" spans="4:38" x14ac:dyDescent="0.3">
      <c r="D30486" s="1"/>
      <c r="G30486" s="13"/>
      <c r="AL30486" s="13"/>
    </row>
    <row r="30487" spans="4:38" x14ac:dyDescent="0.3">
      <c r="D30487" s="1"/>
      <c r="G30487" s="13"/>
      <c r="AL30487" s="13"/>
    </row>
    <row r="30488" spans="4:38" x14ac:dyDescent="0.3">
      <c r="D30488" s="1"/>
      <c r="G30488" s="13"/>
      <c r="AL30488" s="13"/>
    </row>
    <row r="30489" spans="4:38" x14ac:dyDescent="0.3">
      <c r="D30489" s="1"/>
      <c r="G30489" s="13"/>
      <c r="AL30489" s="13"/>
    </row>
    <row r="30490" spans="4:38" x14ac:dyDescent="0.3">
      <c r="D30490" s="1"/>
      <c r="G30490" s="13"/>
      <c r="AL30490" s="13"/>
    </row>
    <row r="30491" spans="4:38" x14ac:dyDescent="0.3">
      <c r="D30491" s="1"/>
      <c r="G30491" s="13"/>
      <c r="AL30491" s="13"/>
    </row>
    <row r="30492" spans="4:38" x14ac:dyDescent="0.3">
      <c r="G30492" s="13"/>
      <c r="AL30492" s="13"/>
    </row>
    <row r="30493" spans="4:38" x14ac:dyDescent="0.3">
      <c r="D30493" s="1"/>
      <c r="G30493" s="13"/>
      <c r="AL30493" s="13"/>
    </row>
    <row r="30494" spans="4:38" x14ac:dyDescent="0.3">
      <c r="D30494" s="1"/>
      <c r="G30494" s="13"/>
      <c r="AL30494" s="13"/>
    </row>
    <row r="30495" spans="4:38" x14ac:dyDescent="0.3">
      <c r="D30495" s="1"/>
      <c r="G30495" s="13"/>
      <c r="AL30495" s="13"/>
    </row>
    <row r="30496" spans="4:38" x14ac:dyDescent="0.3">
      <c r="D30496" s="1"/>
      <c r="G30496" s="13"/>
      <c r="AL30496" s="13"/>
    </row>
    <row r="30497" spans="4:38" x14ac:dyDescent="0.3">
      <c r="D30497" s="1"/>
      <c r="G30497" s="13"/>
      <c r="AL30497" s="13"/>
    </row>
    <row r="30498" spans="4:38" x14ac:dyDescent="0.3">
      <c r="D30498" s="1"/>
      <c r="G30498" s="13"/>
      <c r="AL30498" s="13"/>
    </row>
    <row r="30499" spans="4:38" x14ac:dyDescent="0.3">
      <c r="D30499" s="1"/>
      <c r="G30499" s="13"/>
      <c r="AL30499" s="13"/>
    </row>
    <row r="30500" spans="4:38" x14ac:dyDescent="0.3">
      <c r="D30500" s="1"/>
      <c r="G30500" s="13"/>
      <c r="AL30500" s="13"/>
    </row>
    <row r="30501" spans="4:38" x14ac:dyDescent="0.3">
      <c r="D30501" s="1"/>
      <c r="G30501" s="13"/>
      <c r="AL30501" s="13"/>
    </row>
    <row r="30502" spans="4:38" x14ac:dyDescent="0.3">
      <c r="D30502" s="1"/>
      <c r="G30502" s="13"/>
      <c r="AL30502" s="13"/>
    </row>
    <row r="30503" spans="4:38" x14ac:dyDescent="0.3">
      <c r="D30503" s="1"/>
      <c r="G30503" s="13"/>
      <c r="AL30503" s="13"/>
    </row>
    <row r="30504" spans="4:38" x14ac:dyDescent="0.3">
      <c r="D30504" s="1"/>
      <c r="G30504" s="13"/>
      <c r="AL30504" s="13"/>
    </row>
    <row r="30505" spans="4:38" x14ac:dyDescent="0.3">
      <c r="D30505" s="1"/>
      <c r="G30505" s="13"/>
      <c r="AL30505" s="13"/>
    </row>
    <row r="30506" spans="4:38" x14ac:dyDescent="0.3">
      <c r="D30506" s="1"/>
      <c r="G30506" s="13"/>
      <c r="AL30506" s="13"/>
    </row>
    <row r="30507" spans="4:38" x14ac:dyDescent="0.3">
      <c r="D30507" s="1"/>
      <c r="G30507" s="13"/>
      <c r="AL30507" s="13"/>
    </row>
    <row r="30508" spans="4:38" x14ac:dyDescent="0.3">
      <c r="D30508" s="1"/>
      <c r="G30508" s="13"/>
      <c r="AL30508" s="13"/>
    </row>
    <row r="30509" spans="4:38" x14ac:dyDescent="0.3">
      <c r="D30509" s="1"/>
      <c r="G30509" s="13"/>
      <c r="AL30509" s="13"/>
    </row>
    <row r="30510" spans="4:38" x14ac:dyDescent="0.3">
      <c r="D30510" s="1"/>
      <c r="G30510" s="13"/>
      <c r="AL30510" s="13"/>
    </row>
    <row r="30511" spans="4:38" x14ac:dyDescent="0.3">
      <c r="D30511" s="1"/>
      <c r="G30511" s="13"/>
      <c r="AL30511" s="13"/>
    </row>
    <row r="30512" spans="4:38" x14ac:dyDescent="0.3">
      <c r="D30512" s="1"/>
      <c r="G30512" s="13"/>
      <c r="AL30512" s="13"/>
    </row>
    <row r="30513" spans="4:38" x14ac:dyDescent="0.3">
      <c r="D30513" s="1"/>
      <c r="G30513" s="13"/>
      <c r="AL30513" s="13"/>
    </row>
    <row r="30514" spans="4:38" x14ac:dyDescent="0.3">
      <c r="D30514" s="1"/>
      <c r="G30514" s="13"/>
      <c r="AL30514" s="13"/>
    </row>
    <row r="30515" spans="4:38" x14ac:dyDescent="0.3">
      <c r="D30515" s="1"/>
      <c r="G30515" s="13"/>
      <c r="AL30515" s="13"/>
    </row>
    <row r="30516" spans="4:38" x14ac:dyDescent="0.3">
      <c r="D30516" s="1"/>
      <c r="G30516" s="13"/>
      <c r="AL30516" s="13"/>
    </row>
    <row r="30517" spans="4:38" x14ac:dyDescent="0.3">
      <c r="D30517" s="1"/>
      <c r="G30517" s="13"/>
      <c r="AL30517" s="13"/>
    </row>
    <row r="30518" spans="4:38" x14ac:dyDescent="0.3">
      <c r="D30518" s="1"/>
      <c r="G30518" s="13"/>
      <c r="AL30518" s="13"/>
    </row>
    <row r="30519" spans="4:38" x14ac:dyDescent="0.3">
      <c r="D30519" s="1"/>
      <c r="G30519" s="13"/>
      <c r="AL30519" s="13"/>
    </row>
    <row r="30520" spans="4:38" x14ac:dyDescent="0.3">
      <c r="D30520" s="1"/>
      <c r="G30520" s="13"/>
      <c r="AL30520" s="13"/>
    </row>
    <row r="30521" spans="4:38" x14ac:dyDescent="0.3">
      <c r="D30521" s="1"/>
      <c r="G30521" s="13"/>
      <c r="AL30521" s="13"/>
    </row>
    <row r="30522" spans="4:38" x14ac:dyDescent="0.3">
      <c r="D30522" s="1"/>
      <c r="G30522" s="13"/>
      <c r="AL30522" s="13"/>
    </row>
    <row r="30523" spans="4:38" x14ac:dyDescent="0.3">
      <c r="D30523" s="1"/>
      <c r="G30523" s="13"/>
      <c r="AL30523" s="13"/>
    </row>
    <row r="30524" spans="4:38" x14ac:dyDescent="0.3">
      <c r="G30524" s="13"/>
      <c r="AL30524" s="13"/>
    </row>
    <row r="30525" spans="4:38" x14ac:dyDescent="0.3">
      <c r="D30525" s="1"/>
      <c r="G30525" s="13"/>
      <c r="AL30525" s="13"/>
    </row>
    <row r="30526" spans="4:38" x14ac:dyDescent="0.3">
      <c r="D30526" s="1"/>
      <c r="G30526" s="13"/>
      <c r="AL30526" s="13"/>
    </row>
    <row r="30527" spans="4:38" x14ac:dyDescent="0.3">
      <c r="D30527" s="1"/>
      <c r="G30527" s="13"/>
      <c r="AL30527" s="13"/>
    </row>
    <row r="30528" spans="4:38" x14ac:dyDescent="0.3">
      <c r="D30528" s="1"/>
      <c r="G30528" s="13"/>
      <c r="AL30528" s="13"/>
    </row>
    <row r="30529" spans="4:38" x14ac:dyDescent="0.3">
      <c r="D30529" s="1"/>
      <c r="G30529" s="13"/>
      <c r="AL30529" s="13"/>
    </row>
    <row r="30530" spans="4:38" x14ac:dyDescent="0.3">
      <c r="D30530" s="1"/>
      <c r="G30530" s="13"/>
      <c r="AL30530" s="13"/>
    </row>
    <row r="30531" spans="4:38" x14ac:dyDescent="0.3">
      <c r="D30531" s="1"/>
      <c r="G30531" s="13"/>
      <c r="AL30531" s="13"/>
    </row>
    <row r="30532" spans="4:38" x14ac:dyDescent="0.3">
      <c r="D30532" s="1"/>
      <c r="G30532" s="13"/>
      <c r="AL30532" s="13"/>
    </row>
    <row r="30533" spans="4:38" x14ac:dyDescent="0.3">
      <c r="D30533" s="1"/>
      <c r="G30533" s="13"/>
      <c r="AL30533" s="13"/>
    </row>
    <row r="30534" spans="4:38" x14ac:dyDescent="0.3">
      <c r="D30534" s="1"/>
      <c r="G30534" s="13"/>
      <c r="AL30534" s="13"/>
    </row>
    <row r="30535" spans="4:38" x14ac:dyDescent="0.3">
      <c r="D30535" s="1"/>
      <c r="G30535" s="13"/>
      <c r="AL30535" s="13"/>
    </row>
    <row r="30536" spans="4:38" x14ac:dyDescent="0.3">
      <c r="D30536" s="1"/>
      <c r="G30536" s="13"/>
      <c r="AL30536" s="13"/>
    </row>
    <row r="30537" spans="4:38" x14ac:dyDescent="0.3">
      <c r="D30537" s="1"/>
      <c r="G30537" s="13"/>
      <c r="AL30537" s="13"/>
    </row>
    <row r="30538" spans="4:38" x14ac:dyDescent="0.3">
      <c r="D30538" s="1"/>
      <c r="G30538" s="13"/>
      <c r="AL30538" s="13"/>
    </row>
    <row r="30539" spans="4:38" x14ac:dyDescent="0.3">
      <c r="D30539" s="1"/>
      <c r="G30539" s="13"/>
      <c r="AL30539" s="13"/>
    </row>
    <row r="30540" spans="4:38" x14ac:dyDescent="0.3">
      <c r="D30540" s="1"/>
      <c r="G30540" s="13"/>
      <c r="AL30540" s="13"/>
    </row>
    <row r="30541" spans="4:38" x14ac:dyDescent="0.3">
      <c r="D30541" s="1"/>
      <c r="G30541" s="13"/>
      <c r="AL30541" s="13"/>
    </row>
    <row r="30542" spans="4:38" x14ac:dyDescent="0.3">
      <c r="D30542" s="1"/>
      <c r="G30542" s="13"/>
      <c r="AL30542" s="13"/>
    </row>
    <row r="30543" spans="4:38" x14ac:dyDescent="0.3">
      <c r="D30543" s="1"/>
      <c r="G30543" s="13"/>
      <c r="AL30543" s="13"/>
    </row>
    <row r="30544" spans="4:38" x14ac:dyDescent="0.3">
      <c r="D30544" s="1"/>
      <c r="G30544" s="13"/>
      <c r="AL30544" s="13"/>
    </row>
    <row r="30545" spans="4:38" x14ac:dyDescent="0.3">
      <c r="D30545" s="1"/>
      <c r="G30545" s="13"/>
      <c r="AL30545" s="13"/>
    </row>
    <row r="30546" spans="4:38" x14ac:dyDescent="0.3">
      <c r="D30546" s="1"/>
      <c r="G30546" s="13"/>
      <c r="AL30546" s="13"/>
    </row>
    <row r="30547" spans="4:38" x14ac:dyDescent="0.3">
      <c r="D30547" s="1"/>
      <c r="G30547" s="13"/>
      <c r="AL30547" s="13"/>
    </row>
    <row r="30548" spans="4:38" x14ac:dyDescent="0.3">
      <c r="D30548" s="1"/>
      <c r="G30548" s="13"/>
      <c r="AL30548" s="13"/>
    </row>
    <row r="30549" spans="4:38" x14ac:dyDescent="0.3">
      <c r="G30549" s="13"/>
      <c r="AL30549" s="13"/>
    </row>
    <row r="30550" spans="4:38" x14ac:dyDescent="0.3">
      <c r="D30550" s="1"/>
      <c r="G30550" s="13"/>
      <c r="AL30550" s="13"/>
    </row>
    <row r="30551" spans="4:38" x14ac:dyDescent="0.3">
      <c r="D30551" s="1"/>
      <c r="G30551" s="13"/>
      <c r="AL30551" s="13"/>
    </row>
    <row r="30552" spans="4:38" x14ac:dyDescent="0.3">
      <c r="D30552" s="1"/>
      <c r="G30552" s="13"/>
      <c r="AL30552" s="13"/>
    </row>
    <row r="30553" spans="4:38" x14ac:dyDescent="0.3">
      <c r="D30553" s="1"/>
      <c r="G30553" s="13"/>
      <c r="AL30553" s="13"/>
    </row>
    <row r="30554" spans="4:38" x14ac:dyDescent="0.3">
      <c r="D30554" s="1"/>
      <c r="G30554" s="13"/>
      <c r="AL30554" s="13"/>
    </row>
    <row r="30555" spans="4:38" x14ac:dyDescent="0.3">
      <c r="D30555" s="1"/>
      <c r="G30555" s="13"/>
      <c r="AL30555" s="13"/>
    </row>
    <row r="30556" spans="4:38" x14ac:dyDescent="0.3">
      <c r="D30556" s="1"/>
      <c r="G30556" s="13"/>
      <c r="AL30556" s="13"/>
    </row>
    <row r="30557" spans="4:38" x14ac:dyDescent="0.3">
      <c r="D30557" s="1"/>
      <c r="G30557" s="13"/>
      <c r="AL30557" s="13"/>
    </row>
    <row r="30558" spans="4:38" x14ac:dyDescent="0.3">
      <c r="D30558" s="1"/>
      <c r="G30558" s="13"/>
      <c r="AL30558" s="13"/>
    </row>
    <row r="30559" spans="4:38" x14ac:dyDescent="0.3">
      <c r="D30559" s="1"/>
      <c r="G30559" s="13"/>
      <c r="AL30559" s="13"/>
    </row>
    <row r="30560" spans="4:38" x14ac:dyDescent="0.3">
      <c r="D30560" s="1"/>
      <c r="G30560" s="13"/>
      <c r="AL30560" s="13"/>
    </row>
    <row r="30561" spans="4:38" x14ac:dyDescent="0.3">
      <c r="D30561" s="1"/>
      <c r="G30561" s="13"/>
      <c r="AL30561" s="13"/>
    </row>
    <row r="30562" spans="4:38" x14ac:dyDescent="0.3">
      <c r="D30562" s="1"/>
      <c r="G30562" s="13"/>
      <c r="AL30562" s="13"/>
    </row>
    <row r="30563" spans="4:38" x14ac:dyDescent="0.3">
      <c r="D30563" s="1"/>
      <c r="G30563" s="13"/>
      <c r="AL30563" s="13"/>
    </row>
    <row r="30564" spans="4:38" x14ac:dyDescent="0.3">
      <c r="D30564" s="1"/>
      <c r="G30564" s="13"/>
      <c r="AL30564" s="13"/>
    </row>
    <row r="30565" spans="4:38" x14ac:dyDescent="0.3">
      <c r="D30565" s="1"/>
      <c r="G30565" s="13"/>
      <c r="AL30565" s="13"/>
    </row>
    <row r="30566" spans="4:38" x14ac:dyDescent="0.3">
      <c r="D30566" s="1"/>
      <c r="G30566" s="13"/>
      <c r="AL30566" s="13"/>
    </row>
    <row r="30567" spans="4:38" x14ac:dyDescent="0.3">
      <c r="D30567" s="1"/>
      <c r="G30567" s="13"/>
      <c r="AL30567" s="13"/>
    </row>
    <row r="30568" spans="4:38" x14ac:dyDescent="0.3">
      <c r="D30568" s="1"/>
      <c r="G30568" s="13"/>
      <c r="AL30568" s="13"/>
    </row>
    <row r="30569" spans="4:38" x14ac:dyDescent="0.3">
      <c r="G30569" s="13"/>
      <c r="AL30569" s="13"/>
    </row>
    <row r="30570" spans="4:38" x14ac:dyDescent="0.3">
      <c r="D30570" s="1"/>
      <c r="G30570" s="13"/>
      <c r="AL30570" s="13"/>
    </row>
    <row r="30571" spans="4:38" x14ac:dyDescent="0.3">
      <c r="D30571" s="1"/>
      <c r="G30571" s="13"/>
      <c r="AL30571" s="13"/>
    </row>
    <row r="30572" spans="4:38" x14ac:dyDescent="0.3">
      <c r="D30572" s="1"/>
      <c r="G30572" s="13"/>
      <c r="AL30572" s="13"/>
    </row>
    <row r="30573" spans="4:38" x14ac:dyDescent="0.3">
      <c r="D30573" s="1"/>
      <c r="G30573" s="13"/>
      <c r="AL30573" s="13"/>
    </row>
    <row r="30574" spans="4:38" x14ac:dyDescent="0.3">
      <c r="D30574" s="1"/>
      <c r="G30574" s="13"/>
      <c r="AL30574" s="13"/>
    </row>
    <row r="30575" spans="4:38" x14ac:dyDescent="0.3">
      <c r="D30575" s="1"/>
      <c r="G30575" s="13"/>
      <c r="AL30575" s="13"/>
    </row>
    <row r="30576" spans="4:38" x14ac:dyDescent="0.3">
      <c r="D30576" s="1"/>
      <c r="G30576" s="13"/>
      <c r="AL30576" s="13"/>
    </row>
    <row r="30577" spans="4:38" x14ac:dyDescent="0.3">
      <c r="D30577" s="1"/>
      <c r="G30577" s="13"/>
      <c r="AL30577" s="13"/>
    </row>
    <row r="30578" spans="4:38" x14ac:dyDescent="0.3">
      <c r="D30578" s="1"/>
      <c r="G30578" s="13"/>
      <c r="AL30578" s="13"/>
    </row>
    <row r="30579" spans="4:38" x14ac:dyDescent="0.3">
      <c r="D30579" s="1"/>
      <c r="G30579" s="13"/>
      <c r="AL30579" s="13"/>
    </row>
    <row r="30580" spans="4:38" x14ac:dyDescent="0.3">
      <c r="D30580" s="1"/>
      <c r="G30580" s="13"/>
      <c r="AL30580" s="13"/>
    </row>
    <row r="30581" spans="4:38" x14ac:dyDescent="0.3">
      <c r="D30581" s="1"/>
      <c r="G30581" s="13"/>
      <c r="AL30581" s="13"/>
    </row>
    <row r="30582" spans="4:38" x14ac:dyDescent="0.3">
      <c r="D30582" s="1"/>
      <c r="G30582" s="13"/>
      <c r="AL30582" s="13"/>
    </row>
    <row r="30583" spans="4:38" x14ac:dyDescent="0.3">
      <c r="D30583" s="1"/>
      <c r="G30583" s="13"/>
      <c r="AL30583" s="13"/>
    </row>
    <row r="30584" spans="4:38" x14ac:dyDescent="0.3">
      <c r="D30584" s="1"/>
      <c r="G30584" s="13"/>
      <c r="AL30584" s="13"/>
    </row>
    <row r="30585" spans="4:38" x14ac:dyDescent="0.3">
      <c r="D30585" s="1"/>
      <c r="G30585" s="13"/>
      <c r="AL30585" s="13"/>
    </row>
    <row r="30586" spans="4:38" x14ac:dyDescent="0.3">
      <c r="D30586" s="1"/>
      <c r="G30586" s="13"/>
      <c r="AL30586" s="13"/>
    </row>
    <row r="30587" spans="4:38" x14ac:dyDescent="0.3">
      <c r="D30587" s="1"/>
      <c r="G30587" s="13"/>
      <c r="AL30587" s="13"/>
    </row>
    <row r="30588" spans="4:38" x14ac:dyDescent="0.3">
      <c r="D30588" s="1"/>
      <c r="G30588" s="13"/>
      <c r="AL30588" s="13"/>
    </row>
    <row r="30589" spans="4:38" x14ac:dyDescent="0.3">
      <c r="D30589" s="1"/>
      <c r="G30589" s="13"/>
      <c r="AL30589" s="13"/>
    </row>
    <row r="30590" spans="4:38" x14ac:dyDescent="0.3">
      <c r="D30590" s="1"/>
      <c r="G30590" s="13"/>
      <c r="AL30590" s="13"/>
    </row>
    <row r="30591" spans="4:38" x14ac:dyDescent="0.3">
      <c r="D30591" s="1"/>
      <c r="G30591" s="13"/>
      <c r="AL30591" s="13"/>
    </row>
    <row r="30592" spans="4:38" x14ac:dyDescent="0.3">
      <c r="D30592" s="1"/>
      <c r="G30592" s="13"/>
      <c r="AL30592" s="13"/>
    </row>
    <row r="30593" spans="4:38" x14ac:dyDescent="0.3">
      <c r="D30593" s="1"/>
      <c r="G30593" s="13"/>
      <c r="AL30593" s="13"/>
    </row>
    <row r="30594" spans="4:38" x14ac:dyDescent="0.3">
      <c r="D30594" s="1"/>
      <c r="G30594" s="13"/>
      <c r="AL30594" s="13"/>
    </row>
    <row r="30595" spans="4:38" x14ac:dyDescent="0.3">
      <c r="D30595" s="1"/>
      <c r="G30595" s="13"/>
      <c r="AL30595" s="13"/>
    </row>
    <row r="30596" spans="4:38" x14ac:dyDescent="0.3">
      <c r="D30596" s="1"/>
      <c r="G30596" s="13"/>
      <c r="AL30596" s="13"/>
    </row>
    <row r="30597" spans="4:38" x14ac:dyDescent="0.3">
      <c r="D30597" s="1"/>
      <c r="G30597" s="13"/>
      <c r="AL30597" s="13"/>
    </row>
    <row r="30598" spans="4:38" x14ac:dyDescent="0.3">
      <c r="D30598" s="1"/>
      <c r="G30598" s="13"/>
      <c r="AL30598" s="13"/>
    </row>
    <row r="30599" spans="4:38" x14ac:dyDescent="0.3">
      <c r="G30599" s="13"/>
      <c r="AL30599" s="13"/>
    </row>
    <row r="30600" spans="4:38" x14ac:dyDescent="0.3">
      <c r="G30600" s="13"/>
      <c r="AL30600" s="13"/>
    </row>
    <row r="30601" spans="4:38" x14ac:dyDescent="0.3">
      <c r="D30601" s="1"/>
      <c r="G30601" s="13"/>
      <c r="AL30601" s="13"/>
    </row>
    <row r="30602" spans="4:38" x14ac:dyDescent="0.3">
      <c r="D30602" s="1"/>
      <c r="G30602" s="13"/>
      <c r="AL30602" s="13"/>
    </row>
    <row r="30603" spans="4:38" x14ac:dyDescent="0.3">
      <c r="D30603" s="1"/>
      <c r="G30603" s="13"/>
      <c r="AL30603" s="13"/>
    </row>
    <row r="30604" spans="4:38" x14ac:dyDescent="0.3">
      <c r="D30604" s="1"/>
      <c r="G30604" s="13"/>
      <c r="AL30604" s="13"/>
    </row>
    <row r="30605" spans="4:38" x14ac:dyDescent="0.3">
      <c r="D30605" s="1"/>
      <c r="G30605" s="13"/>
      <c r="AL30605" s="13"/>
    </row>
    <row r="30606" spans="4:38" x14ac:dyDescent="0.3">
      <c r="D30606" s="1"/>
      <c r="G30606" s="13"/>
      <c r="AL30606" s="13"/>
    </row>
    <row r="30607" spans="4:38" x14ac:dyDescent="0.3">
      <c r="D30607" s="1"/>
      <c r="G30607" s="13"/>
      <c r="AL30607" s="13"/>
    </row>
    <row r="30608" spans="4:38" x14ac:dyDescent="0.3">
      <c r="D30608" s="1"/>
      <c r="G30608" s="13"/>
      <c r="AL30608" s="13"/>
    </row>
    <row r="30609" spans="4:38" x14ac:dyDescent="0.3">
      <c r="D30609" s="1"/>
      <c r="G30609" s="13"/>
      <c r="AL30609" s="13"/>
    </row>
    <row r="30610" spans="4:38" x14ac:dyDescent="0.3">
      <c r="D30610" s="1"/>
      <c r="G30610" s="13"/>
      <c r="AL30610" s="13"/>
    </row>
    <row r="30611" spans="4:38" x14ac:dyDescent="0.3">
      <c r="D30611" s="1"/>
      <c r="G30611" s="13"/>
      <c r="AL30611" s="13"/>
    </row>
    <row r="30612" spans="4:38" x14ac:dyDescent="0.3">
      <c r="D30612" s="1"/>
      <c r="G30612" s="13"/>
      <c r="AL30612" s="13"/>
    </row>
    <row r="30613" spans="4:38" x14ac:dyDescent="0.3">
      <c r="D30613" s="1"/>
      <c r="G30613" s="13"/>
      <c r="AL30613" s="13"/>
    </row>
    <row r="30614" spans="4:38" x14ac:dyDescent="0.3">
      <c r="D30614" s="1"/>
      <c r="G30614" s="13"/>
      <c r="AL30614" s="13"/>
    </row>
    <row r="30615" spans="4:38" x14ac:dyDescent="0.3">
      <c r="D30615" s="1"/>
      <c r="G30615" s="13"/>
      <c r="AL30615" s="13"/>
    </row>
    <row r="30616" spans="4:38" x14ac:dyDescent="0.3">
      <c r="D30616" s="1"/>
      <c r="G30616" s="13"/>
      <c r="AL30616" s="13"/>
    </row>
    <row r="30617" spans="4:38" x14ac:dyDescent="0.3">
      <c r="D30617" s="1"/>
      <c r="G30617" s="13"/>
      <c r="AL30617" s="13"/>
    </row>
    <row r="30618" spans="4:38" x14ac:dyDescent="0.3">
      <c r="D30618" s="1"/>
      <c r="G30618" s="13"/>
      <c r="AL30618" s="13"/>
    </row>
    <row r="30619" spans="4:38" x14ac:dyDescent="0.3">
      <c r="D30619" s="1"/>
      <c r="G30619" s="13"/>
      <c r="AL30619" s="13"/>
    </row>
    <row r="30620" spans="4:38" x14ac:dyDescent="0.3">
      <c r="D30620" s="1"/>
      <c r="G30620" s="13"/>
      <c r="AL30620" s="13"/>
    </row>
    <row r="30621" spans="4:38" x14ac:dyDescent="0.3">
      <c r="D30621" s="1"/>
      <c r="G30621" s="13"/>
      <c r="AL30621" s="13"/>
    </row>
    <row r="30622" spans="4:38" x14ac:dyDescent="0.3">
      <c r="D30622" s="1"/>
      <c r="G30622" s="13"/>
      <c r="AL30622" s="13"/>
    </row>
    <row r="30623" spans="4:38" x14ac:dyDescent="0.3">
      <c r="D30623" s="1"/>
      <c r="G30623" s="13"/>
      <c r="AL30623" s="13"/>
    </row>
    <row r="30624" spans="4:38" x14ac:dyDescent="0.3">
      <c r="D30624" s="1"/>
      <c r="G30624" s="13"/>
      <c r="AL30624" s="13"/>
    </row>
    <row r="30625" spans="4:38" x14ac:dyDescent="0.3">
      <c r="D30625" s="1"/>
      <c r="G30625" s="13"/>
      <c r="AL30625" s="13"/>
    </row>
    <row r="30626" spans="4:38" x14ac:dyDescent="0.3">
      <c r="D30626" s="1"/>
      <c r="G30626" s="13"/>
      <c r="AL30626" s="13"/>
    </row>
    <row r="30627" spans="4:38" x14ac:dyDescent="0.3">
      <c r="D30627" s="1"/>
      <c r="G30627" s="13"/>
      <c r="AL30627" s="13"/>
    </row>
    <row r="30628" spans="4:38" x14ac:dyDescent="0.3">
      <c r="D30628" s="1"/>
      <c r="G30628" s="13"/>
      <c r="AL30628" s="13"/>
    </row>
    <row r="30629" spans="4:38" x14ac:dyDescent="0.3">
      <c r="D30629" s="1"/>
      <c r="G30629" s="13"/>
      <c r="AL30629" s="13"/>
    </row>
    <row r="30630" spans="4:38" x14ac:dyDescent="0.3">
      <c r="D30630" s="1"/>
      <c r="G30630" s="13"/>
      <c r="AL30630" s="13"/>
    </row>
    <row r="30631" spans="4:38" x14ac:dyDescent="0.3">
      <c r="D30631" s="1"/>
      <c r="G30631" s="13"/>
      <c r="AL30631" s="13"/>
    </row>
    <row r="30632" spans="4:38" x14ac:dyDescent="0.3">
      <c r="D30632" s="1"/>
      <c r="G30632" s="13"/>
      <c r="AL30632" s="13"/>
    </row>
    <row r="30633" spans="4:38" x14ac:dyDescent="0.3">
      <c r="D30633" s="1"/>
      <c r="G30633" s="13"/>
      <c r="AL30633" s="13"/>
    </row>
    <row r="30634" spans="4:38" x14ac:dyDescent="0.3">
      <c r="D30634" s="1"/>
      <c r="G30634" s="13"/>
      <c r="AL30634" s="13"/>
    </row>
    <row r="30635" spans="4:38" x14ac:dyDescent="0.3">
      <c r="D30635" s="1"/>
      <c r="G30635" s="13"/>
      <c r="AL30635" s="13"/>
    </row>
    <row r="30636" spans="4:38" x14ac:dyDescent="0.3">
      <c r="D30636" s="1"/>
      <c r="G30636" s="13"/>
      <c r="AL30636" s="13"/>
    </row>
    <row r="30637" spans="4:38" x14ac:dyDescent="0.3">
      <c r="D30637" s="1"/>
      <c r="G30637" s="13"/>
      <c r="AL30637" s="13"/>
    </row>
    <row r="30638" spans="4:38" x14ac:dyDescent="0.3">
      <c r="D30638" s="1"/>
      <c r="G30638" s="13"/>
      <c r="AL30638" s="13"/>
    </row>
    <row r="30639" spans="4:38" x14ac:dyDescent="0.3">
      <c r="D30639" s="1"/>
      <c r="G30639" s="13"/>
      <c r="AL30639" s="13"/>
    </row>
    <row r="30640" spans="4:38" x14ac:dyDescent="0.3">
      <c r="D30640" s="1"/>
      <c r="G30640" s="13"/>
      <c r="AL30640" s="13"/>
    </row>
    <row r="30641" spans="4:38" x14ac:dyDescent="0.3">
      <c r="D30641" s="1"/>
      <c r="G30641" s="13"/>
      <c r="AL30641" s="13"/>
    </row>
    <row r="30642" spans="4:38" x14ac:dyDescent="0.3">
      <c r="D30642" s="1"/>
      <c r="G30642" s="13"/>
      <c r="AL30642" s="13"/>
    </row>
    <row r="30643" spans="4:38" x14ac:dyDescent="0.3">
      <c r="D30643" s="1"/>
      <c r="G30643" s="13"/>
      <c r="AL30643" s="13"/>
    </row>
    <row r="30644" spans="4:38" x14ac:dyDescent="0.3">
      <c r="D30644" s="1"/>
      <c r="G30644" s="13"/>
      <c r="AL30644" s="13"/>
    </row>
    <row r="30645" spans="4:38" x14ac:dyDescent="0.3">
      <c r="D30645" s="1"/>
      <c r="G30645" s="13"/>
      <c r="AL30645" s="13"/>
    </row>
    <row r="30646" spans="4:38" x14ac:dyDescent="0.3">
      <c r="D30646" s="1"/>
      <c r="G30646" s="13"/>
      <c r="AL30646" s="13"/>
    </row>
    <row r="30647" spans="4:38" x14ac:dyDescent="0.3">
      <c r="D30647" s="1"/>
      <c r="G30647" s="13"/>
      <c r="AL30647" s="13"/>
    </row>
    <row r="30648" spans="4:38" x14ac:dyDescent="0.3">
      <c r="D30648" s="1"/>
      <c r="G30648" s="13"/>
      <c r="AL30648" s="13"/>
    </row>
    <row r="30649" spans="4:38" x14ac:dyDescent="0.3">
      <c r="D30649" s="1"/>
      <c r="G30649" s="13"/>
      <c r="AL30649" s="13"/>
    </row>
    <row r="30650" spans="4:38" x14ac:dyDescent="0.3">
      <c r="D30650" s="1"/>
      <c r="G30650" s="13"/>
      <c r="AL30650" s="13"/>
    </row>
    <row r="30651" spans="4:38" x14ac:dyDescent="0.3">
      <c r="D30651" s="1"/>
      <c r="G30651" s="13"/>
      <c r="AL30651" s="13"/>
    </row>
    <row r="30652" spans="4:38" x14ac:dyDescent="0.3">
      <c r="D30652" s="1"/>
      <c r="G30652" s="13"/>
      <c r="AL30652" s="13"/>
    </row>
    <row r="30653" spans="4:38" x14ac:dyDescent="0.3">
      <c r="D30653" s="1"/>
      <c r="G30653" s="13"/>
      <c r="AL30653" s="13"/>
    </row>
    <row r="30654" spans="4:38" x14ac:dyDescent="0.3">
      <c r="D30654" s="1"/>
      <c r="G30654" s="13"/>
      <c r="AL30654" s="13"/>
    </row>
    <row r="30655" spans="4:38" x14ac:dyDescent="0.3">
      <c r="D30655" s="1"/>
      <c r="G30655" s="13"/>
      <c r="AL30655" s="13"/>
    </row>
    <row r="30656" spans="4:38" x14ac:dyDescent="0.3">
      <c r="D30656" s="1"/>
      <c r="G30656" s="13"/>
      <c r="AL30656" s="13"/>
    </row>
    <row r="30657" spans="4:38" x14ac:dyDescent="0.3">
      <c r="D30657" s="1"/>
      <c r="G30657" s="13"/>
      <c r="AL30657" s="13"/>
    </row>
    <row r="30658" spans="4:38" x14ac:dyDescent="0.3">
      <c r="D30658" s="1"/>
      <c r="G30658" s="13"/>
      <c r="AL30658" s="13"/>
    </row>
    <row r="30659" spans="4:38" x14ac:dyDescent="0.3">
      <c r="D30659" s="1"/>
      <c r="G30659" s="13"/>
      <c r="AL30659" s="13"/>
    </row>
    <row r="30660" spans="4:38" x14ac:dyDescent="0.3">
      <c r="D30660" s="1"/>
      <c r="G30660" s="13"/>
      <c r="AL30660" s="13"/>
    </row>
    <row r="30661" spans="4:38" x14ac:dyDescent="0.3">
      <c r="D30661" s="1"/>
      <c r="G30661" s="13"/>
      <c r="AL30661" s="13"/>
    </row>
    <row r="30662" spans="4:38" x14ac:dyDescent="0.3">
      <c r="D30662" s="1"/>
      <c r="G30662" s="13"/>
      <c r="AL30662" s="13"/>
    </row>
    <row r="30663" spans="4:38" x14ac:dyDescent="0.3">
      <c r="D30663" s="1"/>
      <c r="G30663" s="13"/>
      <c r="AL30663" s="13"/>
    </row>
    <row r="30664" spans="4:38" x14ac:dyDescent="0.3">
      <c r="D30664" s="1"/>
      <c r="G30664" s="13"/>
      <c r="AL30664" s="13"/>
    </row>
    <row r="30665" spans="4:38" x14ac:dyDescent="0.3">
      <c r="D30665" s="1"/>
      <c r="G30665" s="13"/>
      <c r="AL30665" s="13"/>
    </row>
    <row r="30666" spans="4:38" x14ac:dyDescent="0.3">
      <c r="D30666" s="1"/>
      <c r="G30666" s="13"/>
      <c r="AL30666" s="13"/>
    </row>
    <row r="30667" spans="4:38" x14ac:dyDescent="0.3">
      <c r="D30667" s="1"/>
      <c r="G30667" s="13"/>
      <c r="AL30667" s="13"/>
    </row>
    <row r="30668" spans="4:38" x14ac:dyDescent="0.3">
      <c r="D30668" s="1"/>
      <c r="G30668" s="13"/>
      <c r="AL30668" s="13"/>
    </row>
    <row r="30669" spans="4:38" x14ac:dyDescent="0.3">
      <c r="D30669" s="1"/>
      <c r="G30669" s="13"/>
      <c r="AL30669" s="13"/>
    </row>
    <row r="30670" spans="4:38" x14ac:dyDescent="0.3">
      <c r="D30670" s="1"/>
      <c r="G30670" s="13"/>
      <c r="AL30670" s="13"/>
    </row>
    <row r="30671" spans="4:38" x14ac:dyDescent="0.3">
      <c r="D30671" s="1"/>
      <c r="G30671" s="13"/>
      <c r="AL30671" s="13"/>
    </row>
    <row r="30672" spans="4:38" x14ac:dyDescent="0.3">
      <c r="D30672" s="1"/>
      <c r="G30672" s="13"/>
      <c r="AL30672" s="13"/>
    </row>
    <row r="30673" spans="4:38" x14ac:dyDescent="0.3">
      <c r="D30673" s="1"/>
      <c r="G30673" s="13"/>
      <c r="AL30673" s="13"/>
    </row>
    <row r="30674" spans="4:38" x14ac:dyDescent="0.3">
      <c r="D30674" s="1"/>
      <c r="G30674" s="13"/>
      <c r="AL30674" s="13"/>
    </row>
    <row r="30675" spans="4:38" x14ac:dyDescent="0.3">
      <c r="D30675" s="1"/>
      <c r="G30675" s="13"/>
      <c r="AL30675" s="13"/>
    </row>
    <row r="30676" spans="4:38" x14ac:dyDescent="0.3">
      <c r="D30676" s="1"/>
      <c r="G30676" s="13"/>
      <c r="AL30676" s="13"/>
    </row>
    <row r="30677" spans="4:38" x14ac:dyDescent="0.3">
      <c r="D30677" s="1"/>
      <c r="G30677" s="13"/>
      <c r="AL30677" s="13"/>
    </row>
    <row r="30678" spans="4:38" x14ac:dyDescent="0.3">
      <c r="D30678" s="1"/>
      <c r="G30678" s="13"/>
      <c r="AL30678" s="13"/>
    </row>
    <row r="30679" spans="4:38" x14ac:dyDescent="0.3">
      <c r="D30679" s="1"/>
      <c r="G30679" s="13"/>
      <c r="AL30679" s="13"/>
    </row>
    <row r="30680" spans="4:38" x14ac:dyDescent="0.3">
      <c r="D30680" s="1"/>
      <c r="G30680" s="13"/>
      <c r="AL30680" s="13"/>
    </row>
    <row r="30681" spans="4:38" x14ac:dyDescent="0.3">
      <c r="D30681" s="1"/>
      <c r="G30681" s="13"/>
      <c r="AL30681" s="13"/>
    </row>
    <row r="30682" spans="4:38" x14ac:dyDescent="0.3">
      <c r="D30682" s="1"/>
      <c r="G30682" s="13"/>
      <c r="AL30682" s="13"/>
    </row>
    <row r="30683" spans="4:38" x14ac:dyDescent="0.3">
      <c r="D30683" s="1"/>
      <c r="G30683" s="13"/>
      <c r="AL30683" s="13"/>
    </row>
    <row r="30684" spans="4:38" x14ac:dyDescent="0.3">
      <c r="D30684" s="1"/>
      <c r="G30684" s="13"/>
      <c r="AL30684" s="13"/>
    </row>
    <row r="30685" spans="4:38" x14ac:dyDescent="0.3">
      <c r="D30685" s="1"/>
      <c r="G30685" s="13"/>
      <c r="AL30685" s="13"/>
    </row>
    <row r="30686" spans="4:38" x14ac:dyDescent="0.3">
      <c r="D30686" s="1"/>
      <c r="G30686" s="13"/>
      <c r="AL30686" s="13"/>
    </row>
    <row r="30687" spans="4:38" x14ac:dyDescent="0.3">
      <c r="D30687" s="1"/>
      <c r="G30687" s="13"/>
      <c r="AL30687" s="13"/>
    </row>
    <row r="30688" spans="4:38" x14ac:dyDescent="0.3">
      <c r="D30688" s="1"/>
      <c r="G30688" s="13"/>
      <c r="AL30688" s="13"/>
    </row>
    <row r="30689" spans="4:38" x14ac:dyDescent="0.3">
      <c r="D30689" s="1"/>
      <c r="G30689" s="13"/>
      <c r="AL30689" s="13"/>
    </row>
    <row r="30690" spans="4:38" x14ac:dyDescent="0.3">
      <c r="D30690" s="1"/>
      <c r="G30690" s="13"/>
      <c r="AL30690" s="13"/>
    </row>
    <row r="30691" spans="4:38" x14ac:dyDescent="0.3">
      <c r="D30691" s="1"/>
      <c r="G30691" s="13"/>
      <c r="AL30691" s="13"/>
    </row>
    <row r="30692" spans="4:38" x14ac:dyDescent="0.3">
      <c r="D30692" s="1"/>
      <c r="G30692" s="13"/>
      <c r="AL30692" s="13"/>
    </row>
    <row r="30693" spans="4:38" x14ac:dyDescent="0.3">
      <c r="D30693" s="1"/>
      <c r="G30693" s="13"/>
      <c r="AL30693" s="13"/>
    </row>
    <row r="30694" spans="4:38" x14ac:dyDescent="0.3">
      <c r="D30694" s="1"/>
      <c r="G30694" s="13"/>
      <c r="AL30694" s="13"/>
    </row>
    <row r="30695" spans="4:38" x14ac:dyDescent="0.3">
      <c r="D30695" s="1"/>
      <c r="G30695" s="13"/>
      <c r="AL30695" s="13"/>
    </row>
    <row r="30696" spans="4:38" x14ac:dyDescent="0.3">
      <c r="D30696" s="1"/>
      <c r="G30696" s="13"/>
      <c r="AL30696" s="13"/>
    </row>
    <row r="30697" spans="4:38" x14ac:dyDescent="0.3">
      <c r="D30697" s="1"/>
      <c r="G30697" s="13"/>
      <c r="AL30697" s="13"/>
    </row>
    <row r="30698" spans="4:38" x14ac:dyDescent="0.3">
      <c r="D30698" s="1"/>
      <c r="G30698" s="13"/>
      <c r="AL30698" s="13"/>
    </row>
    <row r="30699" spans="4:38" x14ac:dyDescent="0.3">
      <c r="D30699" s="1"/>
      <c r="G30699" s="13"/>
      <c r="AL30699" s="13"/>
    </row>
    <row r="30700" spans="4:38" x14ac:dyDescent="0.3">
      <c r="D30700" s="1"/>
      <c r="G30700" s="13"/>
      <c r="AL30700" s="13"/>
    </row>
    <row r="30701" spans="4:38" x14ac:dyDescent="0.3">
      <c r="D30701" s="1"/>
      <c r="G30701" s="13"/>
      <c r="AL30701" s="13"/>
    </row>
    <row r="30702" spans="4:38" x14ac:dyDescent="0.3">
      <c r="D30702" s="1"/>
      <c r="G30702" s="13"/>
      <c r="AL30702" s="13"/>
    </row>
    <row r="30703" spans="4:38" x14ac:dyDescent="0.3">
      <c r="D30703" s="1"/>
      <c r="G30703" s="13"/>
      <c r="AL30703" s="13"/>
    </row>
    <row r="30704" spans="4:38" x14ac:dyDescent="0.3">
      <c r="D30704" s="1"/>
      <c r="G30704" s="13"/>
      <c r="AL30704" s="13"/>
    </row>
    <row r="30705" spans="4:38" x14ac:dyDescent="0.3">
      <c r="D30705" s="1"/>
      <c r="G30705" s="13"/>
      <c r="AL30705" s="13"/>
    </row>
    <row r="30706" spans="4:38" x14ac:dyDescent="0.3">
      <c r="D30706" s="1"/>
      <c r="G30706" s="13"/>
      <c r="AL30706" s="13"/>
    </row>
    <row r="30707" spans="4:38" x14ac:dyDescent="0.3">
      <c r="D30707" s="1"/>
      <c r="G30707" s="13"/>
      <c r="AL30707" s="13"/>
    </row>
    <row r="30708" spans="4:38" x14ac:dyDescent="0.3">
      <c r="D30708" s="1"/>
      <c r="G30708" s="13"/>
      <c r="AL30708" s="13"/>
    </row>
    <row r="30709" spans="4:38" x14ac:dyDescent="0.3">
      <c r="D30709" s="1"/>
      <c r="G30709" s="13"/>
      <c r="AL30709" s="13"/>
    </row>
    <row r="30710" spans="4:38" x14ac:dyDescent="0.3">
      <c r="D30710" s="1"/>
      <c r="G30710" s="13"/>
      <c r="AL30710" s="13"/>
    </row>
    <row r="30711" spans="4:38" x14ac:dyDescent="0.3">
      <c r="D30711" s="1"/>
      <c r="G30711" s="13"/>
      <c r="AL30711" s="13"/>
    </row>
    <row r="30712" spans="4:38" x14ac:dyDescent="0.3">
      <c r="D30712" s="1"/>
      <c r="G30712" s="13"/>
      <c r="AL30712" s="13"/>
    </row>
    <row r="30713" spans="4:38" x14ac:dyDescent="0.3">
      <c r="D30713" s="1"/>
      <c r="G30713" s="13"/>
      <c r="AL30713" s="13"/>
    </row>
    <row r="30714" spans="4:38" x14ac:dyDescent="0.3">
      <c r="D30714" s="1"/>
      <c r="G30714" s="13"/>
      <c r="AL30714" s="13"/>
    </row>
    <row r="30715" spans="4:38" x14ac:dyDescent="0.3">
      <c r="D30715" s="1"/>
      <c r="G30715" s="13"/>
      <c r="AL30715" s="13"/>
    </row>
    <row r="30716" spans="4:38" x14ac:dyDescent="0.3">
      <c r="D30716" s="1"/>
      <c r="G30716" s="13"/>
      <c r="AL30716" s="13"/>
    </row>
    <row r="30717" spans="4:38" x14ac:dyDescent="0.3">
      <c r="D30717" s="1"/>
      <c r="G30717" s="13"/>
      <c r="AL30717" s="13"/>
    </row>
    <row r="30718" spans="4:38" x14ac:dyDescent="0.3">
      <c r="D30718" s="1"/>
      <c r="G30718" s="13"/>
      <c r="AL30718" s="13"/>
    </row>
    <row r="30719" spans="4:38" x14ac:dyDescent="0.3">
      <c r="D30719" s="1"/>
      <c r="G30719" s="13"/>
      <c r="AL30719" s="13"/>
    </row>
    <row r="30720" spans="4:38" x14ac:dyDescent="0.3">
      <c r="D30720" s="1"/>
      <c r="G30720" s="13"/>
      <c r="AL30720" s="13"/>
    </row>
    <row r="30721" spans="4:38" x14ac:dyDescent="0.3">
      <c r="D30721" s="1"/>
      <c r="G30721" s="13"/>
      <c r="AL30721" s="13"/>
    </row>
    <row r="30722" spans="4:38" x14ac:dyDescent="0.3">
      <c r="D30722" s="1"/>
      <c r="G30722" s="13"/>
      <c r="AL30722" s="13"/>
    </row>
    <row r="30723" spans="4:38" x14ac:dyDescent="0.3">
      <c r="D30723" s="1"/>
      <c r="G30723" s="13"/>
      <c r="AL30723" s="13"/>
    </row>
    <row r="30724" spans="4:38" x14ac:dyDescent="0.3">
      <c r="D30724" s="1"/>
      <c r="G30724" s="13"/>
      <c r="AL30724" s="13"/>
    </row>
    <row r="30725" spans="4:38" x14ac:dyDescent="0.3">
      <c r="D30725" s="1"/>
      <c r="G30725" s="13"/>
      <c r="AL30725" s="13"/>
    </row>
    <row r="30726" spans="4:38" x14ac:dyDescent="0.3">
      <c r="D30726" s="1"/>
      <c r="G30726" s="13"/>
      <c r="AL30726" s="13"/>
    </row>
    <row r="30727" spans="4:38" x14ac:dyDescent="0.3">
      <c r="D30727" s="1"/>
      <c r="G30727" s="13"/>
      <c r="AL30727" s="13"/>
    </row>
    <row r="30728" spans="4:38" x14ac:dyDescent="0.3">
      <c r="D30728" s="1"/>
      <c r="G30728" s="13"/>
      <c r="AL30728" s="13"/>
    </row>
    <row r="30729" spans="4:38" x14ac:dyDescent="0.3">
      <c r="D30729" s="1"/>
      <c r="G30729" s="13"/>
      <c r="AL30729" s="13"/>
    </row>
    <row r="30730" spans="4:38" x14ac:dyDescent="0.3">
      <c r="D30730" s="1"/>
      <c r="G30730" s="13"/>
      <c r="AL30730" s="13"/>
    </row>
    <row r="30731" spans="4:38" x14ac:dyDescent="0.3">
      <c r="D30731" s="1"/>
      <c r="G30731" s="13"/>
      <c r="AL30731" s="13"/>
    </row>
    <row r="30732" spans="4:38" x14ac:dyDescent="0.3">
      <c r="D30732" s="1"/>
      <c r="G30732" s="13"/>
      <c r="AL30732" s="13"/>
    </row>
    <row r="30733" spans="4:38" x14ac:dyDescent="0.3">
      <c r="D30733" s="1"/>
      <c r="G30733" s="13"/>
      <c r="AL30733" s="13"/>
    </row>
    <row r="30734" spans="4:38" x14ac:dyDescent="0.3">
      <c r="D30734" s="1"/>
      <c r="G30734" s="13"/>
      <c r="AL30734" s="13"/>
    </row>
    <row r="30735" spans="4:38" x14ac:dyDescent="0.3">
      <c r="D30735" s="1"/>
      <c r="G30735" s="13"/>
      <c r="AL30735" s="13"/>
    </row>
    <row r="30736" spans="4:38" x14ac:dyDescent="0.3">
      <c r="D30736" s="1"/>
      <c r="G30736" s="13"/>
      <c r="AL30736" s="13"/>
    </row>
    <row r="30737" spans="4:38" x14ac:dyDescent="0.3">
      <c r="D30737" s="1"/>
      <c r="G30737" s="13"/>
      <c r="AL30737" s="13"/>
    </row>
    <row r="30738" spans="4:38" x14ac:dyDescent="0.3">
      <c r="D30738" s="1"/>
      <c r="G30738" s="13"/>
      <c r="AL30738" s="13"/>
    </row>
    <row r="30739" spans="4:38" x14ac:dyDescent="0.3">
      <c r="D30739" s="1"/>
      <c r="G30739" s="13"/>
      <c r="AL30739" s="13"/>
    </row>
    <row r="30740" spans="4:38" x14ac:dyDescent="0.3">
      <c r="D30740" s="1"/>
      <c r="G30740" s="13"/>
      <c r="AL30740" s="13"/>
    </row>
    <row r="30741" spans="4:38" x14ac:dyDescent="0.3">
      <c r="D30741" s="1"/>
      <c r="G30741" s="13"/>
      <c r="AL30741" s="13"/>
    </row>
    <row r="30742" spans="4:38" x14ac:dyDescent="0.3">
      <c r="D30742" s="1"/>
      <c r="G30742" s="13"/>
      <c r="AL30742" s="13"/>
    </row>
    <row r="30743" spans="4:38" x14ac:dyDescent="0.3">
      <c r="D30743" s="1"/>
      <c r="G30743" s="13"/>
      <c r="AL30743" s="13"/>
    </row>
    <row r="30744" spans="4:38" x14ac:dyDescent="0.3">
      <c r="D30744" s="1"/>
      <c r="G30744" s="13"/>
      <c r="AL30744" s="13"/>
    </row>
    <row r="30745" spans="4:38" x14ac:dyDescent="0.3">
      <c r="D30745" s="1"/>
      <c r="G30745" s="13"/>
      <c r="AL30745" s="13"/>
    </row>
    <row r="30746" spans="4:38" x14ac:dyDescent="0.3">
      <c r="D30746" s="1"/>
      <c r="G30746" s="13"/>
      <c r="AL30746" s="13"/>
    </row>
    <row r="30747" spans="4:38" x14ac:dyDescent="0.3">
      <c r="D30747" s="1"/>
      <c r="G30747" s="13"/>
      <c r="AL30747" s="13"/>
    </row>
    <row r="30748" spans="4:38" x14ac:dyDescent="0.3">
      <c r="D30748" s="1"/>
      <c r="G30748" s="13"/>
      <c r="AL30748" s="13"/>
    </row>
    <row r="30749" spans="4:38" x14ac:dyDescent="0.3">
      <c r="D30749" s="1"/>
      <c r="G30749" s="13"/>
      <c r="AL30749" s="13"/>
    </row>
    <row r="30750" spans="4:38" x14ac:dyDescent="0.3">
      <c r="D30750" s="1"/>
      <c r="G30750" s="13"/>
      <c r="AL30750" s="13"/>
    </row>
    <row r="30751" spans="4:38" x14ac:dyDescent="0.3">
      <c r="D30751" s="1"/>
      <c r="G30751" s="13"/>
      <c r="AL30751" s="13"/>
    </row>
    <row r="30752" spans="4:38" x14ac:dyDescent="0.3">
      <c r="D30752" s="1"/>
      <c r="G30752" s="13"/>
      <c r="AL30752" s="13"/>
    </row>
    <row r="30753" spans="4:38" x14ac:dyDescent="0.3">
      <c r="D30753" s="1"/>
      <c r="G30753" s="13"/>
      <c r="AL30753" s="13"/>
    </row>
    <row r="30754" spans="4:38" x14ac:dyDescent="0.3">
      <c r="D30754" s="1"/>
      <c r="G30754" s="13"/>
      <c r="AL30754" s="13"/>
    </row>
    <row r="30755" spans="4:38" x14ac:dyDescent="0.3">
      <c r="D30755" s="1"/>
      <c r="G30755" s="13"/>
      <c r="AL30755" s="13"/>
    </row>
    <row r="30756" spans="4:38" x14ac:dyDescent="0.3">
      <c r="D30756" s="1"/>
      <c r="G30756" s="13"/>
      <c r="AL30756" s="13"/>
    </row>
    <row r="30757" spans="4:38" x14ac:dyDescent="0.3">
      <c r="D30757" s="1"/>
      <c r="G30757" s="13"/>
      <c r="AL30757" s="13"/>
    </row>
    <row r="30758" spans="4:38" x14ac:dyDescent="0.3">
      <c r="D30758" s="1"/>
      <c r="G30758" s="13"/>
      <c r="AL30758" s="13"/>
    </row>
    <row r="30759" spans="4:38" x14ac:dyDescent="0.3">
      <c r="D30759" s="1"/>
      <c r="G30759" s="13"/>
      <c r="AL30759" s="13"/>
    </row>
    <row r="30760" spans="4:38" x14ac:dyDescent="0.3">
      <c r="D30760" s="1"/>
      <c r="G30760" s="13"/>
      <c r="AL30760" s="13"/>
    </row>
    <row r="30761" spans="4:38" x14ac:dyDescent="0.3">
      <c r="D30761" s="1"/>
      <c r="G30761" s="13"/>
      <c r="AL30761" s="13"/>
    </row>
    <row r="30762" spans="4:38" x14ac:dyDescent="0.3">
      <c r="D30762" s="1"/>
      <c r="G30762" s="13"/>
      <c r="AL30762" s="13"/>
    </row>
    <row r="30763" spans="4:38" x14ac:dyDescent="0.3">
      <c r="D30763" s="1"/>
      <c r="G30763" s="13"/>
      <c r="AL30763" s="13"/>
    </row>
    <row r="30764" spans="4:38" x14ac:dyDescent="0.3">
      <c r="D30764" s="1"/>
      <c r="G30764" s="13"/>
      <c r="AL30764" s="13"/>
    </row>
    <row r="30765" spans="4:38" x14ac:dyDescent="0.3">
      <c r="D30765" s="1"/>
      <c r="G30765" s="13"/>
      <c r="AL30765" s="13"/>
    </row>
    <row r="30766" spans="4:38" x14ac:dyDescent="0.3">
      <c r="D30766" s="1"/>
      <c r="G30766" s="13"/>
      <c r="AL30766" s="13"/>
    </row>
    <row r="30767" spans="4:38" x14ac:dyDescent="0.3">
      <c r="D30767" s="1"/>
      <c r="G30767" s="13"/>
      <c r="AL30767" s="13"/>
    </row>
    <row r="30768" spans="4:38" x14ac:dyDescent="0.3">
      <c r="D30768" s="1"/>
      <c r="G30768" s="13"/>
      <c r="AL30768" s="13"/>
    </row>
    <row r="30769" spans="4:38" x14ac:dyDescent="0.3">
      <c r="D30769" s="1"/>
      <c r="G30769" s="13"/>
      <c r="AL30769" s="13"/>
    </row>
    <row r="30770" spans="4:38" x14ac:dyDescent="0.3">
      <c r="D30770" s="1"/>
      <c r="G30770" s="13"/>
      <c r="AL30770" s="13"/>
    </row>
    <row r="30771" spans="4:38" x14ac:dyDescent="0.3">
      <c r="D30771" s="1"/>
      <c r="G30771" s="13"/>
      <c r="AL30771" s="13"/>
    </row>
    <row r="30772" spans="4:38" x14ac:dyDescent="0.3">
      <c r="D30772" s="1"/>
      <c r="G30772" s="13"/>
      <c r="AL30772" s="13"/>
    </row>
    <row r="30773" spans="4:38" x14ac:dyDescent="0.3">
      <c r="D30773" s="1"/>
      <c r="G30773" s="13"/>
      <c r="AL30773" s="13"/>
    </row>
    <row r="30774" spans="4:38" x14ac:dyDescent="0.3">
      <c r="D30774" s="1"/>
      <c r="G30774" s="13"/>
      <c r="AL30774" s="13"/>
    </row>
    <row r="30775" spans="4:38" x14ac:dyDescent="0.3">
      <c r="D30775" s="1"/>
      <c r="G30775" s="13"/>
      <c r="AL30775" s="13"/>
    </row>
    <row r="30776" spans="4:38" x14ac:dyDescent="0.3">
      <c r="D30776" s="1"/>
      <c r="G30776" s="13"/>
      <c r="AL30776" s="13"/>
    </row>
    <row r="30777" spans="4:38" x14ac:dyDescent="0.3">
      <c r="D30777" s="1"/>
      <c r="G30777" s="13"/>
      <c r="AL30777" s="13"/>
    </row>
    <row r="30778" spans="4:38" x14ac:dyDescent="0.3">
      <c r="D30778" s="1"/>
      <c r="G30778" s="13"/>
      <c r="AL30778" s="13"/>
    </row>
    <row r="30779" spans="4:38" x14ac:dyDescent="0.3">
      <c r="D30779" s="1"/>
      <c r="G30779" s="13"/>
      <c r="AL30779" s="13"/>
    </row>
    <row r="30780" spans="4:38" x14ac:dyDescent="0.3">
      <c r="D30780" s="1"/>
      <c r="G30780" s="13"/>
      <c r="AL30780" s="13"/>
    </row>
    <row r="30781" spans="4:38" x14ac:dyDescent="0.3">
      <c r="D30781" s="1"/>
      <c r="G30781" s="13"/>
      <c r="AL30781" s="13"/>
    </row>
    <row r="30782" spans="4:38" x14ac:dyDescent="0.3">
      <c r="D30782" s="1"/>
      <c r="G30782" s="13"/>
      <c r="AL30782" s="13"/>
    </row>
    <row r="30783" spans="4:38" x14ac:dyDescent="0.3">
      <c r="D30783" s="1"/>
      <c r="G30783" s="13"/>
      <c r="AL30783" s="13"/>
    </row>
    <row r="30784" spans="4:38" x14ac:dyDescent="0.3">
      <c r="D30784" s="1"/>
      <c r="G30784" s="13"/>
      <c r="AL30784" s="13"/>
    </row>
    <row r="30785" spans="4:38" x14ac:dyDescent="0.3">
      <c r="D30785" s="1"/>
      <c r="G30785" s="13"/>
      <c r="AL30785" s="13"/>
    </row>
    <row r="30786" spans="4:38" x14ac:dyDescent="0.3">
      <c r="D30786" s="1"/>
      <c r="G30786" s="13"/>
      <c r="AL30786" s="13"/>
    </row>
    <row r="30787" spans="4:38" x14ac:dyDescent="0.3">
      <c r="D30787" s="1"/>
      <c r="G30787" s="13"/>
      <c r="AL30787" s="13"/>
    </row>
    <row r="30788" spans="4:38" x14ac:dyDescent="0.3">
      <c r="D30788" s="1"/>
      <c r="G30788" s="13"/>
      <c r="AL30788" s="13"/>
    </row>
    <row r="30789" spans="4:38" x14ac:dyDescent="0.3">
      <c r="D30789" s="1"/>
      <c r="G30789" s="13"/>
      <c r="AL30789" s="13"/>
    </row>
    <row r="30790" spans="4:38" x14ac:dyDescent="0.3">
      <c r="D30790" s="1"/>
      <c r="G30790" s="13"/>
      <c r="AL30790" s="13"/>
    </row>
    <row r="30791" spans="4:38" x14ac:dyDescent="0.3">
      <c r="D30791" s="1"/>
      <c r="G30791" s="13"/>
      <c r="AL30791" s="13"/>
    </row>
    <row r="30792" spans="4:38" x14ac:dyDescent="0.3">
      <c r="D30792" s="1"/>
      <c r="G30792" s="13"/>
      <c r="AL30792" s="13"/>
    </row>
    <row r="30793" spans="4:38" x14ac:dyDescent="0.3">
      <c r="D30793" s="1"/>
      <c r="G30793" s="13"/>
      <c r="AL30793" s="13"/>
    </row>
    <row r="30794" spans="4:38" x14ac:dyDescent="0.3">
      <c r="D30794" s="1"/>
      <c r="G30794" s="13"/>
      <c r="AL30794" s="13"/>
    </row>
    <row r="30795" spans="4:38" x14ac:dyDescent="0.3">
      <c r="D30795" s="1"/>
      <c r="G30795" s="13"/>
      <c r="AL30795" s="13"/>
    </row>
    <row r="30796" spans="4:38" x14ac:dyDescent="0.3">
      <c r="D30796" s="1"/>
      <c r="G30796" s="13"/>
      <c r="AL30796" s="13"/>
    </row>
    <row r="30797" spans="4:38" x14ac:dyDescent="0.3">
      <c r="D30797" s="1"/>
      <c r="G30797" s="13"/>
      <c r="AL30797" s="13"/>
    </row>
    <row r="30798" spans="4:38" x14ac:dyDescent="0.3">
      <c r="D30798" s="1"/>
      <c r="G30798" s="13"/>
      <c r="AL30798" s="13"/>
    </row>
    <row r="30799" spans="4:38" x14ac:dyDescent="0.3">
      <c r="D30799" s="1"/>
      <c r="G30799" s="13"/>
      <c r="AL30799" s="13"/>
    </row>
    <row r="30800" spans="4:38" x14ac:dyDescent="0.3">
      <c r="D30800" s="1"/>
      <c r="G30800" s="13"/>
      <c r="AL30800" s="13"/>
    </row>
    <row r="30801" spans="4:38" x14ac:dyDescent="0.3">
      <c r="D30801" s="1"/>
      <c r="G30801" s="13"/>
      <c r="AL30801" s="13"/>
    </row>
    <row r="30802" spans="4:38" x14ac:dyDescent="0.3">
      <c r="D30802" s="1"/>
      <c r="G30802" s="13"/>
      <c r="AL30802" s="13"/>
    </row>
    <row r="30803" spans="4:38" x14ac:dyDescent="0.3">
      <c r="D30803" s="1"/>
      <c r="G30803" s="13"/>
      <c r="AL30803" s="13"/>
    </row>
    <row r="30804" spans="4:38" x14ac:dyDescent="0.3">
      <c r="D30804" s="1"/>
      <c r="G30804" s="13"/>
      <c r="AL30804" s="13"/>
    </row>
    <row r="30805" spans="4:38" x14ac:dyDescent="0.3">
      <c r="D30805" s="1"/>
      <c r="G30805" s="13"/>
      <c r="AL30805" s="13"/>
    </row>
    <row r="30806" spans="4:38" x14ac:dyDescent="0.3">
      <c r="D30806" s="1"/>
      <c r="G30806" s="13"/>
      <c r="AL30806" s="13"/>
    </row>
    <row r="30807" spans="4:38" x14ac:dyDescent="0.3">
      <c r="D30807" s="1"/>
      <c r="G30807" s="13"/>
      <c r="AL30807" s="13"/>
    </row>
    <row r="30808" spans="4:38" x14ac:dyDescent="0.3">
      <c r="D30808" s="1"/>
      <c r="G30808" s="13"/>
      <c r="AL30808" s="13"/>
    </row>
    <row r="30809" spans="4:38" x14ac:dyDescent="0.3">
      <c r="D30809" s="1"/>
      <c r="G30809" s="13"/>
      <c r="AL30809" s="13"/>
    </row>
    <row r="30810" spans="4:38" x14ac:dyDescent="0.3">
      <c r="D30810" s="1"/>
      <c r="G30810" s="13"/>
      <c r="AL30810" s="13"/>
    </row>
    <row r="30811" spans="4:38" x14ac:dyDescent="0.3">
      <c r="D30811" s="1"/>
      <c r="G30811" s="13"/>
      <c r="AL30811" s="13"/>
    </row>
    <row r="30812" spans="4:38" x14ac:dyDescent="0.3">
      <c r="D30812" s="1"/>
      <c r="G30812" s="13"/>
      <c r="AL30812" s="13"/>
    </row>
    <row r="30813" spans="4:38" x14ac:dyDescent="0.3">
      <c r="D30813" s="1"/>
      <c r="G30813" s="13"/>
      <c r="AL30813" s="13"/>
    </row>
    <row r="30814" spans="4:38" x14ac:dyDescent="0.3">
      <c r="D30814" s="1"/>
      <c r="G30814" s="13"/>
      <c r="AL30814" s="13"/>
    </row>
    <row r="30815" spans="4:38" x14ac:dyDescent="0.3">
      <c r="D30815" s="1"/>
      <c r="G30815" s="13"/>
      <c r="AL30815" s="13"/>
    </row>
    <row r="30816" spans="4:38" x14ac:dyDescent="0.3">
      <c r="D30816" s="1"/>
      <c r="G30816" s="13"/>
      <c r="AL30816" s="13"/>
    </row>
    <row r="30817" spans="4:38" x14ac:dyDescent="0.3">
      <c r="D30817" s="1"/>
      <c r="G30817" s="13"/>
      <c r="AL30817" s="13"/>
    </row>
    <row r="30818" spans="4:38" x14ac:dyDescent="0.3">
      <c r="D30818" s="1"/>
      <c r="G30818" s="13"/>
      <c r="AL30818" s="13"/>
    </row>
    <row r="30819" spans="4:38" x14ac:dyDescent="0.3">
      <c r="D30819" s="1"/>
      <c r="G30819" s="13"/>
      <c r="AL30819" s="13"/>
    </row>
    <row r="30820" spans="4:38" x14ac:dyDescent="0.3">
      <c r="D30820" s="1"/>
      <c r="G30820" s="13"/>
      <c r="AL30820" s="13"/>
    </row>
    <row r="30821" spans="4:38" x14ac:dyDescent="0.3">
      <c r="D30821" s="1"/>
      <c r="G30821" s="13"/>
      <c r="AL30821" s="13"/>
    </row>
    <row r="30822" spans="4:38" x14ac:dyDescent="0.3">
      <c r="D30822" s="1"/>
      <c r="G30822" s="13"/>
      <c r="AL30822" s="13"/>
    </row>
    <row r="30823" spans="4:38" x14ac:dyDescent="0.3">
      <c r="D30823" s="1"/>
      <c r="G30823" s="13"/>
      <c r="AL30823" s="13"/>
    </row>
    <row r="30824" spans="4:38" x14ac:dyDescent="0.3">
      <c r="D30824" s="1"/>
      <c r="G30824" s="13"/>
      <c r="AL30824" s="13"/>
    </row>
    <row r="30825" spans="4:38" x14ac:dyDescent="0.3">
      <c r="D30825" s="1"/>
      <c r="G30825" s="13"/>
      <c r="AL30825" s="13"/>
    </row>
    <row r="30826" spans="4:38" x14ac:dyDescent="0.3">
      <c r="D30826" s="1"/>
      <c r="G30826" s="13"/>
      <c r="AL30826" s="13"/>
    </row>
    <row r="30827" spans="4:38" x14ac:dyDescent="0.3">
      <c r="D30827" s="1"/>
      <c r="G30827" s="13"/>
      <c r="AL30827" s="13"/>
    </row>
    <row r="30828" spans="4:38" x14ac:dyDescent="0.3">
      <c r="D30828" s="1"/>
      <c r="G30828" s="13"/>
      <c r="AL30828" s="13"/>
    </row>
    <row r="30829" spans="4:38" x14ac:dyDescent="0.3">
      <c r="D30829" s="1"/>
      <c r="G30829" s="13"/>
      <c r="AL30829" s="13"/>
    </row>
    <row r="30830" spans="4:38" x14ac:dyDescent="0.3">
      <c r="D30830" s="1"/>
      <c r="G30830" s="13"/>
      <c r="AL30830" s="13"/>
    </row>
    <row r="30831" spans="4:38" x14ac:dyDescent="0.3">
      <c r="D30831" s="1"/>
      <c r="G30831" s="13"/>
      <c r="AL30831" s="13"/>
    </row>
    <row r="30832" spans="4:38" x14ac:dyDescent="0.3">
      <c r="D30832" s="1"/>
      <c r="G30832" s="13"/>
      <c r="AL30832" s="13"/>
    </row>
    <row r="30833" spans="4:38" x14ac:dyDescent="0.3">
      <c r="D30833" s="1"/>
      <c r="G30833" s="13"/>
      <c r="AL30833" s="13"/>
    </row>
    <row r="30834" spans="4:38" x14ac:dyDescent="0.3">
      <c r="D30834" s="1"/>
      <c r="G30834" s="13"/>
      <c r="AL30834" s="13"/>
    </row>
    <row r="30835" spans="4:38" x14ac:dyDescent="0.3">
      <c r="D30835" s="1"/>
      <c r="G30835" s="13"/>
      <c r="AL30835" s="13"/>
    </row>
    <row r="30836" spans="4:38" x14ac:dyDescent="0.3">
      <c r="D30836" s="1"/>
      <c r="G30836" s="13"/>
      <c r="AL30836" s="13"/>
    </row>
    <row r="30837" spans="4:38" x14ac:dyDescent="0.3">
      <c r="D30837" s="1"/>
      <c r="G30837" s="13"/>
      <c r="AL30837" s="13"/>
    </row>
    <row r="30838" spans="4:38" x14ac:dyDescent="0.3">
      <c r="D30838" s="1"/>
      <c r="G30838" s="13"/>
      <c r="AL30838" s="13"/>
    </row>
    <row r="30839" spans="4:38" x14ac:dyDescent="0.3">
      <c r="D30839" s="1"/>
      <c r="G30839" s="13"/>
      <c r="AL30839" s="13"/>
    </row>
    <row r="30840" spans="4:38" x14ac:dyDescent="0.3">
      <c r="D30840" s="1"/>
      <c r="G30840" s="13"/>
      <c r="AL30840" s="13"/>
    </row>
    <row r="30841" spans="4:38" x14ac:dyDescent="0.3">
      <c r="D30841" s="1"/>
      <c r="G30841" s="13"/>
      <c r="AL30841" s="13"/>
    </row>
    <row r="30842" spans="4:38" x14ac:dyDescent="0.3">
      <c r="D30842" s="1"/>
      <c r="G30842" s="13"/>
      <c r="AL30842" s="13"/>
    </row>
    <row r="30843" spans="4:38" x14ac:dyDescent="0.3">
      <c r="D30843" s="1"/>
      <c r="G30843" s="13"/>
      <c r="AL30843" s="13"/>
    </row>
    <row r="30844" spans="4:38" x14ac:dyDescent="0.3">
      <c r="D30844" s="1"/>
      <c r="G30844" s="13"/>
      <c r="AL30844" s="13"/>
    </row>
    <row r="30845" spans="4:38" x14ac:dyDescent="0.3">
      <c r="D30845" s="1"/>
      <c r="G30845" s="13"/>
      <c r="AL30845" s="13"/>
    </row>
    <row r="30846" spans="4:38" x14ac:dyDescent="0.3">
      <c r="D30846" s="1"/>
      <c r="G30846" s="13"/>
      <c r="AL30846" s="13"/>
    </row>
    <row r="30847" spans="4:38" x14ac:dyDescent="0.3">
      <c r="D30847" s="1"/>
      <c r="G30847" s="13"/>
      <c r="AL30847" s="13"/>
    </row>
    <row r="30848" spans="4:38" x14ac:dyDescent="0.3">
      <c r="D30848" s="1"/>
      <c r="G30848" s="13"/>
      <c r="AL30848" s="13"/>
    </row>
    <row r="30849" spans="4:38" x14ac:dyDescent="0.3">
      <c r="D30849" s="1"/>
      <c r="G30849" s="13"/>
      <c r="AL30849" s="13"/>
    </row>
    <row r="30850" spans="4:38" x14ac:dyDescent="0.3">
      <c r="D30850" s="1"/>
      <c r="G30850" s="13"/>
      <c r="AL30850" s="13"/>
    </row>
    <row r="30851" spans="4:38" x14ac:dyDescent="0.3">
      <c r="D30851" s="1"/>
      <c r="G30851" s="13"/>
      <c r="AL30851" s="13"/>
    </row>
    <row r="30852" spans="4:38" x14ac:dyDescent="0.3">
      <c r="D30852" s="1"/>
      <c r="G30852" s="13"/>
      <c r="AL30852" s="13"/>
    </row>
    <row r="30853" spans="4:38" x14ac:dyDescent="0.3">
      <c r="D30853" s="1"/>
      <c r="G30853" s="13"/>
      <c r="AL30853" s="13"/>
    </row>
    <row r="30854" spans="4:38" x14ac:dyDescent="0.3">
      <c r="D30854" s="1"/>
      <c r="G30854" s="13"/>
      <c r="AL30854" s="13"/>
    </row>
    <row r="30855" spans="4:38" x14ac:dyDescent="0.3">
      <c r="D30855" s="1"/>
      <c r="G30855" s="13"/>
      <c r="AL30855" s="13"/>
    </row>
    <row r="30856" spans="4:38" x14ac:dyDescent="0.3">
      <c r="D30856" s="1"/>
      <c r="G30856" s="13"/>
      <c r="AL30856" s="13"/>
    </row>
    <row r="30857" spans="4:38" x14ac:dyDescent="0.3">
      <c r="D30857" s="1"/>
      <c r="G30857" s="13"/>
      <c r="AL30857" s="13"/>
    </row>
    <row r="30858" spans="4:38" x14ac:dyDescent="0.3">
      <c r="D30858" s="1"/>
      <c r="G30858" s="13"/>
      <c r="AL30858" s="13"/>
    </row>
    <row r="30859" spans="4:38" x14ac:dyDescent="0.3">
      <c r="D30859" s="1"/>
      <c r="G30859" s="13"/>
      <c r="AL30859" s="13"/>
    </row>
    <row r="30860" spans="4:38" x14ac:dyDescent="0.3">
      <c r="D30860" s="1"/>
      <c r="G30860" s="13"/>
      <c r="AL30860" s="13"/>
    </row>
    <row r="30861" spans="4:38" x14ac:dyDescent="0.3">
      <c r="D30861" s="1"/>
      <c r="G30861" s="13"/>
      <c r="AL30861" s="13"/>
    </row>
    <row r="30862" spans="4:38" x14ac:dyDescent="0.3">
      <c r="D30862" s="1"/>
      <c r="G30862" s="13"/>
      <c r="AL30862" s="13"/>
    </row>
    <row r="30863" spans="4:38" x14ac:dyDescent="0.3">
      <c r="D30863" s="1"/>
      <c r="G30863" s="13"/>
      <c r="AL30863" s="13"/>
    </row>
    <row r="30864" spans="4:38" x14ac:dyDescent="0.3">
      <c r="D30864" s="1"/>
      <c r="G30864" s="13"/>
      <c r="AL30864" s="13"/>
    </row>
    <row r="30865" spans="4:38" x14ac:dyDescent="0.3">
      <c r="D30865" s="1"/>
      <c r="G30865" s="13"/>
      <c r="AL30865" s="13"/>
    </row>
    <row r="30866" spans="4:38" x14ac:dyDescent="0.3">
      <c r="D30866" s="1"/>
      <c r="G30866" s="13"/>
      <c r="AL30866" s="13"/>
    </row>
    <row r="30867" spans="4:38" x14ac:dyDescent="0.3">
      <c r="D30867" s="1"/>
      <c r="G30867" s="13"/>
      <c r="AL30867" s="13"/>
    </row>
    <row r="30868" spans="4:38" x14ac:dyDescent="0.3">
      <c r="D30868" s="1"/>
      <c r="G30868" s="13"/>
      <c r="AL30868" s="13"/>
    </row>
    <row r="30869" spans="4:38" x14ac:dyDescent="0.3">
      <c r="D30869" s="1"/>
      <c r="G30869" s="13"/>
      <c r="AL30869" s="13"/>
    </row>
    <row r="30870" spans="4:38" x14ac:dyDescent="0.3">
      <c r="D30870" s="1"/>
      <c r="G30870" s="13"/>
      <c r="AL30870" s="13"/>
    </row>
    <row r="30871" spans="4:38" x14ac:dyDescent="0.3">
      <c r="D30871" s="1"/>
      <c r="G30871" s="13"/>
      <c r="AL30871" s="13"/>
    </row>
    <row r="30872" spans="4:38" x14ac:dyDescent="0.3">
      <c r="D30872" s="1"/>
      <c r="G30872" s="13"/>
      <c r="AL30872" s="13"/>
    </row>
    <row r="30873" spans="4:38" x14ac:dyDescent="0.3">
      <c r="D30873" s="1"/>
      <c r="G30873" s="13"/>
      <c r="AL30873" s="13"/>
    </row>
    <row r="30874" spans="4:38" x14ac:dyDescent="0.3">
      <c r="D30874" s="1"/>
      <c r="G30874" s="13"/>
      <c r="AL30874" s="13"/>
    </row>
    <row r="30875" spans="4:38" x14ac:dyDescent="0.3">
      <c r="D30875" s="1"/>
      <c r="G30875" s="13"/>
      <c r="AL30875" s="13"/>
    </row>
    <row r="30876" spans="4:38" x14ac:dyDescent="0.3">
      <c r="D30876" s="1"/>
      <c r="G30876" s="13"/>
      <c r="AL30876" s="13"/>
    </row>
    <row r="30877" spans="4:38" x14ac:dyDescent="0.3">
      <c r="D30877" s="1"/>
      <c r="G30877" s="13"/>
      <c r="AL30877" s="13"/>
    </row>
    <row r="30878" spans="4:38" x14ac:dyDescent="0.3">
      <c r="D30878" s="1"/>
      <c r="G30878" s="13"/>
      <c r="AL30878" s="13"/>
    </row>
    <row r="30879" spans="4:38" x14ac:dyDescent="0.3">
      <c r="D30879" s="1"/>
      <c r="G30879" s="13"/>
      <c r="AL30879" s="13"/>
    </row>
    <row r="30880" spans="4:38" x14ac:dyDescent="0.3">
      <c r="D30880" s="1"/>
      <c r="G30880" s="13"/>
      <c r="AL30880" s="13"/>
    </row>
    <row r="30881" spans="4:38" x14ac:dyDescent="0.3">
      <c r="D30881" s="1"/>
      <c r="G30881" s="13"/>
      <c r="AL30881" s="13"/>
    </row>
    <row r="30882" spans="4:38" x14ac:dyDescent="0.3">
      <c r="D30882" s="1"/>
      <c r="G30882" s="13"/>
      <c r="AL30882" s="13"/>
    </row>
    <row r="30883" spans="4:38" x14ac:dyDescent="0.3">
      <c r="D30883" s="1"/>
      <c r="G30883" s="13"/>
      <c r="AL30883" s="13"/>
    </row>
    <row r="30884" spans="4:38" x14ac:dyDescent="0.3">
      <c r="D30884" s="1"/>
      <c r="G30884" s="13"/>
      <c r="AL30884" s="13"/>
    </row>
    <row r="30885" spans="4:38" x14ac:dyDescent="0.3">
      <c r="D30885" s="1"/>
      <c r="G30885" s="13"/>
      <c r="AL30885" s="13"/>
    </row>
    <row r="30886" spans="4:38" x14ac:dyDescent="0.3">
      <c r="D30886" s="1"/>
      <c r="G30886" s="13"/>
      <c r="AL30886" s="13"/>
    </row>
    <row r="30887" spans="4:38" x14ac:dyDescent="0.3">
      <c r="D30887" s="1"/>
      <c r="G30887" s="13"/>
      <c r="AL30887" s="13"/>
    </row>
    <row r="30888" spans="4:38" x14ac:dyDescent="0.3">
      <c r="D30888" s="1"/>
      <c r="G30888" s="13"/>
      <c r="AL30888" s="13"/>
    </row>
    <row r="30889" spans="4:38" x14ac:dyDescent="0.3">
      <c r="D30889" s="1"/>
      <c r="G30889" s="13"/>
      <c r="AL30889" s="13"/>
    </row>
    <row r="30890" spans="4:38" x14ac:dyDescent="0.3">
      <c r="D30890" s="1"/>
      <c r="G30890" s="13"/>
      <c r="AL30890" s="13"/>
    </row>
    <row r="30891" spans="4:38" x14ac:dyDescent="0.3">
      <c r="D30891" s="1"/>
      <c r="G30891" s="13"/>
      <c r="AL30891" s="13"/>
    </row>
    <row r="30892" spans="4:38" x14ac:dyDescent="0.3">
      <c r="D30892" s="1"/>
      <c r="G30892" s="13"/>
      <c r="AL30892" s="13"/>
    </row>
    <row r="30893" spans="4:38" x14ac:dyDescent="0.3">
      <c r="D30893" s="1"/>
      <c r="G30893" s="13"/>
      <c r="AL30893" s="13"/>
    </row>
    <row r="30894" spans="4:38" x14ac:dyDescent="0.3">
      <c r="D30894" s="1"/>
      <c r="G30894" s="13"/>
      <c r="AL30894" s="13"/>
    </row>
    <row r="30895" spans="4:38" x14ac:dyDescent="0.3">
      <c r="D30895" s="1"/>
      <c r="G30895" s="13"/>
      <c r="AL30895" s="13"/>
    </row>
    <row r="30896" spans="4:38" x14ac:dyDescent="0.3">
      <c r="D30896" s="1"/>
      <c r="G30896" s="13"/>
      <c r="AL30896" s="13"/>
    </row>
    <row r="30897" spans="4:38" x14ac:dyDescent="0.3">
      <c r="D30897" s="1"/>
      <c r="G30897" s="13"/>
      <c r="AL30897" s="13"/>
    </row>
    <row r="30898" spans="4:38" x14ac:dyDescent="0.3">
      <c r="D30898" s="1"/>
      <c r="G30898" s="13"/>
      <c r="AL30898" s="13"/>
    </row>
    <row r="30899" spans="4:38" x14ac:dyDescent="0.3">
      <c r="D30899" s="1"/>
      <c r="G30899" s="13"/>
      <c r="AL30899" s="13"/>
    </row>
    <row r="30900" spans="4:38" x14ac:dyDescent="0.3">
      <c r="D30900" s="1"/>
      <c r="G30900" s="13"/>
      <c r="AL30900" s="13"/>
    </row>
    <row r="30901" spans="4:38" x14ac:dyDescent="0.3">
      <c r="D30901" s="1"/>
      <c r="G30901" s="13"/>
      <c r="AL30901" s="13"/>
    </row>
    <row r="30902" spans="4:38" x14ac:dyDescent="0.3">
      <c r="D30902" s="1"/>
      <c r="G30902" s="13"/>
      <c r="AL30902" s="13"/>
    </row>
    <row r="30903" spans="4:38" x14ac:dyDescent="0.3">
      <c r="D30903" s="1"/>
      <c r="G30903" s="13"/>
      <c r="AL30903" s="13"/>
    </row>
    <row r="30904" spans="4:38" x14ac:dyDescent="0.3">
      <c r="D30904" s="1"/>
      <c r="G30904" s="13"/>
      <c r="AL30904" s="13"/>
    </row>
    <row r="30905" spans="4:38" x14ac:dyDescent="0.3">
      <c r="D30905" s="1"/>
      <c r="G30905" s="13"/>
      <c r="AL30905" s="13"/>
    </row>
    <row r="30906" spans="4:38" x14ac:dyDescent="0.3">
      <c r="D30906" s="1"/>
      <c r="G30906" s="13"/>
      <c r="AL30906" s="13"/>
    </row>
    <row r="30907" spans="4:38" x14ac:dyDescent="0.3">
      <c r="D30907" s="1"/>
      <c r="G30907" s="13"/>
      <c r="AL30907" s="13"/>
    </row>
    <row r="30908" spans="4:38" x14ac:dyDescent="0.3">
      <c r="D30908" s="1"/>
      <c r="G30908" s="13"/>
      <c r="AL30908" s="13"/>
    </row>
    <row r="30909" spans="4:38" x14ac:dyDescent="0.3">
      <c r="D30909" s="1"/>
      <c r="G30909" s="13"/>
      <c r="AL30909" s="13"/>
    </row>
    <row r="30910" spans="4:38" x14ac:dyDescent="0.3">
      <c r="D30910" s="1"/>
      <c r="G30910" s="13"/>
      <c r="AL30910" s="13"/>
    </row>
    <row r="30911" spans="4:38" x14ac:dyDescent="0.3">
      <c r="D30911" s="1"/>
      <c r="G30911" s="13"/>
      <c r="AL30911" s="13"/>
    </row>
    <row r="30912" spans="4:38" x14ac:dyDescent="0.3">
      <c r="D30912" s="1"/>
      <c r="G30912" s="13"/>
      <c r="AL30912" s="13"/>
    </row>
    <row r="30913" spans="4:38" x14ac:dyDescent="0.3">
      <c r="D30913" s="1"/>
      <c r="G30913" s="13"/>
      <c r="AL30913" s="13"/>
    </row>
    <row r="30914" spans="4:38" x14ac:dyDescent="0.3">
      <c r="D30914" s="1"/>
      <c r="G30914" s="13"/>
      <c r="AL30914" s="13"/>
    </row>
    <row r="30915" spans="4:38" x14ac:dyDescent="0.3">
      <c r="D30915" s="1"/>
      <c r="G30915" s="13"/>
      <c r="AL30915" s="13"/>
    </row>
    <row r="30916" spans="4:38" x14ac:dyDescent="0.3">
      <c r="D30916" s="1"/>
      <c r="G30916" s="13"/>
      <c r="AL30916" s="13"/>
    </row>
    <row r="30917" spans="4:38" x14ac:dyDescent="0.3">
      <c r="D30917" s="1"/>
      <c r="G30917" s="13"/>
      <c r="AL30917" s="13"/>
    </row>
    <row r="30918" spans="4:38" x14ac:dyDescent="0.3">
      <c r="D30918" s="1"/>
      <c r="G30918" s="13"/>
      <c r="AL30918" s="13"/>
    </row>
    <row r="30919" spans="4:38" x14ac:dyDescent="0.3">
      <c r="D30919" s="1"/>
      <c r="G30919" s="13"/>
      <c r="AL30919" s="13"/>
    </row>
    <row r="30920" spans="4:38" x14ac:dyDescent="0.3">
      <c r="D30920" s="1"/>
      <c r="G30920" s="13"/>
      <c r="AL30920" s="13"/>
    </row>
    <row r="30921" spans="4:38" x14ac:dyDescent="0.3">
      <c r="D30921" s="1"/>
      <c r="G30921" s="13"/>
      <c r="AL30921" s="13"/>
    </row>
    <row r="30922" spans="4:38" x14ac:dyDescent="0.3">
      <c r="D30922" s="1"/>
      <c r="G30922" s="13"/>
      <c r="AL30922" s="13"/>
    </row>
    <row r="30923" spans="4:38" x14ac:dyDescent="0.3">
      <c r="D30923" s="1"/>
      <c r="G30923" s="13"/>
      <c r="AL30923" s="13"/>
    </row>
    <row r="30924" spans="4:38" x14ac:dyDescent="0.3">
      <c r="D30924" s="1"/>
      <c r="G30924" s="13"/>
      <c r="AL30924" s="13"/>
    </row>
    <row r="30925" spans="4:38" x14ac:dyDescent="0.3">
      <c r="D30925" s="1"/>
      <c r="G30925" s="13"/>
      <c r="AL30925" s="13"/>
    </row>
    <row r="30926" spans="4:38" x14ac:dyDescent="0.3">
      <c r="D30926" s="1"/>
      <c r="G30926" s="13"/>
      <c r="AL30926" s="13"/>
    </row>
    <row r="30927" spans="4:38" x14ac:dyDescent="0.3">
      <c r="D30927" s="1"/>
      <c r="G30927" s="13"/>
      <c r="AL30927" s="13"/>
    </row>
    <row r="30928" spans="4:38" x14ac:dyDescent="0.3">
      <c r="D30928" s="1"/>
      <c r="G30928" s="13"/>
      <c r="AL30928" s="13"/>
    </row>
    <row r="30929" spans="4:38" x14ac:dyDescent="0.3">
      <c r="D30929" s="1"/>
      <c r="G30929" s="13"/>
      <c r="AL30929" s="13"/>
    </row>
    <row r="30930" spans="4:38" x14ac:dyDescent="0.3">
      <c r="D30930" s="1"/>
      <c r="G30930" s="13"/>
      <c r="AL30930" s="13"/>
    </row>
    <row r="30931" spans="4:38" x14ac:dyDescent="0.3">
      <c r="D30931" s="1"/>
      <c r="G30931" s="13"/>
      <c r="AL30931" s="13"/>
    </row>
    <row r="30932" spans="4:38" x14ac:dyDescent="0.3">
      <c r="D30932" s="1"/>
      <c r="G30932" s="13"/>
      <c r="AL30932" s="13"/>
    </row>
    <row r="30933" spans="4:38" x14ac:dyDescent="0.3">
      <c r="D30933" s="1"/>
      <c r="G30933" s="13"/>
      <c r="AL30933" s="13"/>
    </row>
    <row r="30934" spans="4:38" x14ac:dyDescent="0.3">
      <c r="D30934" s="1"/>
      <c r="G30934" s="13"/>
      <c r="AL30934" s="13"/>
    </row>
    <row r="30935" spans="4:38" x14ac:dyDescent="0.3">
      <c r="D30935" s="1"/>
      <c r="G30935" s="13"/>
      <c r="AL30935" s="13"/>
    </row>
    <row r="30936" spans="4:38" x14ac:dyDescent="0.3">
      <c r="D30936" s="1"/>
      <c r="G30936" s="13"/>
      <c r="AL30936" s="13"/>
    </row>
    <row r="30937" spans="4:38" x14ac:dyDescent="0.3">
      <c r="D30937" s="1"/>
      <c r="G30937" s="13"/>
      <c r="AL30937" s="13"/>
    </row>
    <row r="30938" spans="4:38" x14ac:dyDescent="0.3">
      <c r="D30938" s="1"/>
      <c r="G30938" s="13"/>
      <c r="AL30938" s="13"/>
    </row>
    <row r="30939" spans="4:38" x14ac:dyDescent="0.3">
      <c r="D30939" s="1"/>
      <c r="G30939" s="13"/>
      <c r="AL30939" s="13"/>
    </row>
    <row r="30940" spans="4:38" x14ac:dyDescent="0.3">
      <c r="D30940" s="1"/>
      <c r="G30940" s="13"/>
      <c r="AL30940" s="13"/>
    </row>
    <row r="30941" spans="4:38" x14ac:dyDescent="0.3">
      <c r="D30941" s="1"/>
      <c r="G30941" s="13"/>
      <c r="AL30941" s="13"/>
    </row>
    <row r="30942" spans="4:38" x14ac:dyDescent="0.3">
      <c r="D30942" s="1"/>
      <c r="G30942" s="13"/>
      <c r="AL30942" s="13"/>
    </row>
    <row r="30943" spans="4:38" x14ac:dyDescent="0.3">
      <c r="D30943" s="1"/>
      <c r="G30943" s="13"/>
      <c r="AL30943" s="13"/>
    </row>
    <row r="30944" spans="4:38" x14ac:dyDescent="0.3">
      <c r="D30944" s="1"/>
      <c r="G30944" s="13"/>
      <c r="AL30944" s="13"/>
    </row>
    <row r="30945" spans="4:38" x14ac:dyDescent="0.3">
      <c r="D30945" s="1"/>
      <c r="G30945" s="13"/>
      <c r="AL30945" s="13"/>
    </row>
    <row r="30946" spans="4:38" x14ac:dyDescent="0.3">
      <c r="D30946" s="1"/>
      <c r="G30946" s="13"/>
      <c r="AL30946" s="13"/>
    </row>
    <row r="30947" spans="4:38" x14ac:dyDescent="0.3">
      <c r="D30947" s="1"/>
      <c r="G30947" s="13"/>
      <c r="AL30947" s="13"/>
    </row>
    <row r="30948" spans="4:38" x14ac:dyDescent="0.3">
      <c r="D30948" s="1"/>
      <c r="G30948" s="13"/>
      <c r="AL30948" s="13"/>
    </row>
    <row r="30949" spans="4:38" x14ac:dyDescent="0.3">
      <c r="D30949" s="1"/>
      <c r="G30949" s="13"/>
      <c r="AL30949" s="13"/>
    </row>
    <row r="30950" spans="4:38" x14ac:dyDescent="0.3">
      <c r="D30950" s="1"/>
      <c r="G30950" s="13"/>
      <c r="AL30950" s="13"/>
    </row>
    <row r="30951" spans="4:38" x14ac:dyDescent="0.3">
      <c r="D30951" s="1"/>
      <c r="G30951" s="13"/>
      <c r="AL30951" s="13"/>
    </row>
    <row r="30952" spans="4:38" x14ac:dyDescent="0.3">
      <c r="D30952" s="1"/>
      <c r="G30952" s="13"/>
      <c r="AL30952" s="13"/>
    </row>
    <row r="30953" spans="4:38" x14ac:dyDescent="0.3">
      <c r="D30953" s="1"/>
      <c r="G30953" s="13"/>
      <c r="AL30953" s="13"/>
    </row>
    <row r="30954" spans="4:38" x14ac:dyDescent="0.3">
      <c r="D30954" s="1"/>
      <c r="G30954" s="13"/>
      <c r="AL30954" s="13"/>
    </row>
    <row r="30955" spans="4:38" x14ac:dyDescent="0.3">
      <c r="D30955" s="1"/>
      <c r="G30955" s="13"/>
      <c r="AL30955" s="13"/>
    </row>
    <row r="30956" spans="4:38" x14ac:dyDescent="0.3">
      <c r="D30956" s="1"/>
      <c r="G30956" s="13"/>
      <c r="AL30956" s="13"/>
    </row>
    <row r="30957" spans="4:38" x14ac:dyDescent="0.3">
      <c r="D30957" s="1"/>
      <c r="G30957" s="13"/>
      <c r="AL30957" s="13"/>
    </row>
    <row r="30958" spans="4:38" x14ac:dyDescent="0.3">
      <c r="D30958" s="1"/>
      <c r="G30958" s="13"/>
      <c r="AL30958" s="13"/>
    </row>
    <row r="30959" spans="4:38" x14ac:dyDescent="0.3">
      <c r="D30959" s="1"/>
      <c r="G30959" s="13"/>
      <c r="AL30959" s="13"/>
    </row>
    <row r="30960" spans="4:38" x14ac:dyDescent="0.3">
      <c r="D30960" s="1"/>
      <c r="G30960" s="13"/>
      <c r="AL30960" s="13"/>
    </row>
    <row r="30961" spans="4:38" x14ac:dyDescent="0.3">
      <c r="D30961" s="1"/>
      <c r="G30961" s="13"/>
      <c r="AL30961" s="13"/>
    </row>
    <row r="30962" spans="4:38" x14ac:dyDescent="0.3">
      <c r="D30962" s="1"/>
      <c r="G30962" s="13"/>
      <c r="AL30962" s="13"/>
    </row>
    <row r="30963" spans="4:38" x14ac:dyDescent="0.3">
      <c r="D30963" s="1"/>
      <c r="G30963" s="13"/>
      <c r="AL30963" s="13"/>
    </row>
    <row r="30964" spans="4:38" x14ac:dyDescent="0.3">
      <c r="D30964" s="1"/>
      <c r="G30964" s="13"/>
      <c r="AL30964" s="13"/>
    </row>
    <row r="30965" spans="4:38" x14ac:dyDescent="0.3">
      <c r="D30965" s="1"/>
      <c r="G30965" s="13"/>
      <c r="AL30965" s="13"/>
    </row>
    <row r="30966" spans="4:38" x14ac:dyDescent="0.3">
      <c r="D30966" s="1"/>
      <c r="G30966" s="13"/>
      <c r="AL30966" s="13"/>
    </row>
    <row r="30967" spans="4:38" x14ac:dyDescent="0.3">
      <c r="D30967" s="1"/>
      <c r="G30967" s="13"/>
      <c r="AL30967" s="13"/>
    </row>
    <row r="30968" spans="4:38" x14ac:dyDescent="0.3">
      <c r="D30968" s="1"/>
      <c r="G30968" s="13"/>
      <c r="AL30968" s="13"/>
    </row>
    <row r="30969" spans="4:38" x14ac:dyDescent="0.3">
      <c r="D30969" s="1"/>
      <c r="G30969" s="13"/>
      <c r="AL30969" s="13"/>
    </row>
    <row r="30970" spans="4:38" x14ac:dyDescent="0.3">
      <c r="D30970" s="1"/>
      <c r="G30970" s="13"/>
      <c r="AL30970" s="13"/>
    </row>
    <row r="30971" spans="4:38" x14ac:dyDescent="0.3">
      <c r="D30971" s="1"/>
      <c r="G30971" s="13"/>
      <c r="AL30971" s="13"/>
    </row>
    <row r="30972" spans="4:38" x14ac:dyDescent="0.3">
      <c r="D30972" s="1"/>
      <c r="G30972" s="13"/>
      <c r="AL30972" s="13"/>
    </row>
    <row r="30973" spans="4:38" x14ac:dyDescent="0.3">
      <c r="D30973" s="1"/>
      <c r="G30973" s="13"/>
      <c r="AL30973" s="13"/>
    </row>
    <row r="30974" spans="4:38" x14ac:dyDescent="0.3">
      <c r="D30974" s="1"/>
      <c r="G30974" s="13"/>
      <c r="AL30974" s="13"/>
    </row>
    <row r="30975" spans="4:38" x14ac:dyDescent="0.3">
      <c r="D30975" s="1"/>
      <c r="G30975" s="13"/>
      <c r="AL30975" s="13"/>
    </row>
    <row r="30976" spans="4:38" x14ac:dyDescent="0.3">
      <c r="D30976" s="1"/>
      <c r="G30976" s="13"/>
      <c r="AL30976" s="13"/>
    </row>
    <row r="30977" spans="4:38" x14ac:dyDescent="0.3">
      <c r="D30977" s="1"/>
      <c r="G30977" s="13"/>
      <c r="AL30977" s="13"/>
    </row>
    <row r="30978" spans="4:38" x14ac:dyDescent="0.3">
      <c r="D30978" s="1"/>
      <c r="G30978" s="13"/>
      <c r="AL30978" s="13"/>
    </row>
    <row r="30979" spans="4:38" x14ac:dyDescent="0.3">
      <c r="D30979" s="1"/>
      <c r="G30979" s="13"/>
      <c r="AL30979" s="13"/>
    </row>
    <row r="30980" spans="4:38" x14ac:dyDescent="0.3">
      <c r="D30980" s="1"/>
      <c r="G30980" s="13"/>
      <c r="AL30980" s="13"/>
    </row>
    <row r="30981" spans="4:38" x14ac:dyDescent="0.3">
      <c r="D30981" s="1"/>
      <c r="G30981" s="13"/>
      <c r="AL30981" s="13"/>
    </row>
    <row r="30982" spans="4:38" x14ac:dyDescent="0.3">
      <c r="D30982" s="1"/>
      <c r="G30982" s="13"/>
      <c r="AL30982" s="13"/>
    </row>
    <row r="30983" spans="4:38" x14ac:dyDescent="0.3">
      <c r="D30983" s="1"/>
      <c r="G30983" s="13"/>
      <c r="AL30983" s="13"/>
    </row>
    <row r="30984" spans="4:38" x14ac:dyDescent="0.3">
      <c r="D30984" s="1"/>
      <c r="G30984" s="13"/>
      <c r="AL30984" s="13"/>
    </row>
    <row r="30985" spans="4:38" x14ac:dyDescent="0.3">
      <c r="D30985" s="1"/>
      <c r="G30985" s="13"/>
      <c r="AL30985" s="13"/>
    </row>
    <row r="30986" spans="4:38" x14ac:dyDescent="0.3">
      <c r="D30986" s="1"/>
      <c r="G30986" s="13"/>
      <c r="AL30986" s="13"/>
    </row>
    <row r="30987" spans="4:38" x14ac:dyDescent="0.3">
      <c r="D30987" s="1"/>
      <c r="G30987" s="13"/>
      <c r="AL30987" s="13"/>
    </row>
    <row r="30988" spans="4:38" x14ac:dyDescent="0.3">
      <c r="D30988" s="1"/>
      <c r="G30988" s="13"/>
      <c r="AL30988" s="13"/>
    </row>
    <row r="30989" spans="4:38" x14ac:dyDescent="0.3">
      <c r="D30989" s="1"/>
      <c r="G30989" s="13"/>
      <c r="AL30989" s="13"/>
    </row>
    <row r="30990" spans="4:38" x14ac:dyDescent="0.3">
      <c r="D30990" s="1"/>
      <c r="G30990" s="13"/>
      <c r="AL30990" s="13"/>
    </row>
    <row r="30991" spans="4:38" x14ac:dyDescent="0.3">
      <c r="D30991" s="1"/>
      <c r="G30991" s="13"/>
      <c r="AL30991" s="13"/>
    </row>
    <row r="30992" spans="4:38" x14ac:dyDescent="0.3">
      <c r="D30992" s="1"/>
      <c r="G30992" s="13"/>
      <c r="AL30992" s="13"/>
    </row>
    <row r="30993" spans="4:38" x14ac:dyDescent="0.3">
      <c r="D30993" s="1"/>
      <c r="G30993" s="13"/>
      <c r="AL30993" s="13"/>
    </row>
    <row r="30994" spans="4:38" x14ac:dyDescent="0.3">
      <c r="D30994" s="1"/>
      <c r="G30994" s="13"/>
      <c r="AL30994" s="13"/>
    </row>
    <row r="30995" spans="4:38" x14ac:dyDescent="0.3">
      <c r="D30995" s="1"/>
      <c r="G30995" s="13"/>
      <c r="AL30995" s="13"/>
    </row>
    <row r="30996" spans="4:38" x14ac:dyDescent="0.3">
      <c r="D30996" s="1"/>
      <c r="G30996" s="13"/>
      <c r="AL30996" s="13"/>
    </row>
    <row r="30997" spans="4:38" x14ac:dyDescent="0.3">
      <c r="D30997" s="1"/>
      <c r="G30997" s="13"/>
      <c r="AL30997" s="13"/>
    </row>
    <row r="30998" spans="4:38" x14ac:dyDescent="0.3">
      <c r="D30998" s="1"/>
      <c r="G30998" s="13"/>
      <c r="AL30998" s="13"/>
    </row>
    <row r="30999" spans="4:38" x14ac:dyDescent="0.3">
      <c r="D30999" s="1"/>
      <c r="G30999" s="13"/>
      <c r="AL30999" s="13"/>
    </row>
    <row r="31000" spans="4:38" x14ac:dyDescent="0.3">
      <c r="D31000" s="1"/>
      <c r="G31000" s="13"/>
      <c r="AL31000" s="13"/>
    </row>
    <row r="31001" spans="4:38" x14ac:dyDescent="0.3">
      <c r="D31001" s="1"/>
      <c r="G31001" s="13"/>
      <c r="AL31001" s="13"/>
    </row>
    <row r="31002" spans="4:38" x14ac:dyDescent="0.3">
      <c r="D31002" s="1"/>
      <c r="G31002" s="13"/>
      <c r="AL31002" s="13"/>
    </row>
    <row r="31003" spans="4:38" x14ac:dyDescent="0.3">
      <c r="D31003" s="1"/>
      <c r="G31003" s="13"/>
      <c r="AL31003" s="13"/>
    </row>
    <row r="31004" spans="4:38" x14ac:dyDescent="0.3">
      <c r="D31004" s="1"/>
      <c r="G31004" s="13"/>
      <c r="AL31004" s="13"/>
    </row>
    <row r="31005" spans="4:38" x14ac:dyDescent="0.3">
      <c r="D31005" s="1"/>
      <c r="G31005" s="13"/>
      <c r="AL31005" s="13"/>
    </row>
    <row r="31006" spans="4:38" x14ac:dyDescent="0.3">
      <c r="D31006" s="1"/>
      <c r="G31006" s="13"/>
      <c r="AL31006" s="13"/>
    </row>
    <row r="31007" spans="4:38" x14ac:dyDescent="0.3">
      <c r="D31007" s="1"/>
      <c r="G31007" s="13"/>
      <c r="AL31007" s="13"/>
    </row>
    <row r="31008" spans="4:38" x14ac:dyDescent="0.3">
      <c r="D31008" s="1"/>
      <c r="G31008" s="13"/>
      <c r="AL31008" s="13"/>
    </row>
    <row r="31009" spans="4:38" x14ac:dyDescent="0.3">
      <c r="D31009" s="1"/>
      <c r="G31009" s="13"/>
      <c r="AL31009" s="13"/>
    </row>
    <row r="31010" spans="4:38" x14ac:dyDescent="0.3">
      <c r="D31010" s="1"/>
      <c r="G31010" s="13"/>
      <c r="AL31010" s="13"/>
    </row>
    <row r="31011" spans="4:38" x14ac:dyDescent="0.3">
      <c r="D31011" s="1"/>
      <c r="G31011" s="13"/>
      <c r="AL31011" s="13"/>
    </row>
    <row r="31012" spans="4:38" x14ac:dyDescent="0.3">
      <c r="D31012" s="1"/>
      <c r="G31012" s="13"/>
      <c r="AL31012" s="13"/>
    </row>
    <row r="31013" spans="4:38" x14ac:dyDescent="0.3">
      <c r="D31013" s="1"/>
      <c r="G31013" s="13"/>
      <c r="AL31013" s="13"/>
    </row>
    <row r="31014" spans="4:38" x14ac:dyDescent="0.3">
      <c r="D31014" s="1"/>
      <c r="G31014" s="13"/>
      <c r="AL31014" s="13"/>
    </row>
    <row r="31015" spans="4:38" x14ac:dyDescent="0.3">
      <c r="D31015" s="1"/>
      <c r="G31015" s="13"/>
      <c r="AL31015" s="13"/>
    </row>
    <row r="31016" spans="4:38" x14ac:dyDescent="0.3">
      <c r="D31016" s="1"/>
      <c r="G31016" s="13"/>
      <c r="AL31016" s="13"/>
    </row>
    <row r="31017" spans="4:38" x14ac:dyDescent="0.3">
      <c r="D31017" s="1"/>
      <c r="G31017" s="13"/>
      <c r="AL31017" s="13"/>
    </row>
    <row r="31018" spans="4:38" x14ac:dyDescent="0.3">
      <c r="D31018" s="1"/>
      <c r="G31018" s="13"/>
      <c r="AL31018" s="13"/>
    </row>
    <row r="31019" spans="4:38" x14ac:dyDescent="0.3">
      <c r="D31019" s="1"/>
      <c r="G31019" s="13"/>
      <c r="AL31019" s="13"/>
    </row>
    <row r="31020" spans="4:38" x14ac:dyDescent="0.3">
      <c r="D31020" s="1"/>
      <c r="G31020" s="13"/>
      <c r="AL31020" s="13"/>
    </row>
    <row r="31021" spans="4:38" x14ac:dyDescent="0.3">
      <c r="D31021" s="1"/>
      <c r="G31021" s="13"/>
      <c r="AL31021" s="13"/>
    </row>
    <row r="31022" spans="4:38" x14ac:dyDescent="0.3">
      <c r="D31022" s="1"/>
      <c r="G31022" s="13"/>
      <c r="AL31022" s="13"/>
    </row>
    <row r="31023" spans="4:38" x14ac:dyDescent="0.3">
      <c r="D31023" s="1"/>
      <c r="G31023" s="13"/>
      <c r="AL31023" s="13"/>
    </row>
    <row r="31024" spans="4:38" x14ac:dyDescent="0.3">
      <c r="D31024" s="1"/>
      <c r="G31024" s="13"/>
      <c r="AL31024" s="13"/>
    </row>
    <row r="31025" spans="4:38" x14ac:dyDescent="0.3">
      <c r="D31025" s="1"/>
      <c r="G31025" s="13"/>
      <c r="AL31025" s="13"/>
    </row>
    <row r="31026" spans="4:38" x14ac:dyDescent="0.3">
      <c r="D31026" s="1"/>
      <c r="G31026" s="13"/>
      <c r="AL31026" s="13"/>
    </row>
    <row r="31027" spans="4:38" x14ac:dyDescent="0.3">
      <c r="D31027" s="1"/>
      <c r="G31027" s="13"/>
      <c r="AL31027" s="13"/>
    </row>
    <row r="31028" spans="4:38" x14ac:dyDescent="0.3">
      <c r="D31028" s="1"/>
      <c r="G31028" s="13"/>
      <c r="AL31028" s="13"/>
    </row>
    <row r="31029" spans="4:38" x14ac:dyDescent="0.3">
      <c r="D31029" s="1"/>
      <c r="G31029" s="13"/>
      <c r="AL31029" s="13"/>
    </row>
    <row r="31030" spans="4:38" x14ac:dyDescent="0.3">
      <c r="D31030" s="1"/>
      <c r="G31030" s="13"/>
      <c r="AL31030" s="13"/>
    </row>
    <row r="31031" spans="4:38" x14ac:dyDescent="0.3">
      <c r="D31031" s="1"/>
      <c r="G31031" s="13"/>
      <c r="AL31031" s="13"/>
    </row>
    <row r="31032" spans="4:38" x14ac:dyDescent="0.3">
      <c r="D31032" s="1"/>
      <c r="G31032" s="13"/>
      <c r="AL31032" s="13"/>
    </row>
    <row r="31033" spans="4:38" x14ac:dyDescent="0.3">
      <c r="D31033" s="1"/>
      <c r="G31033" s="13"/>
      <c r="AL31033" s="13"/>
    </row>
    <row r="31034" spans="4:38" x14ac:dyDescent="0.3">
      <c r="D31034" s="1"/>
      <c r="G31034" s="13"/>
      <c r="AL31034" s="13"/>
    </row>
    <row r="31035" spans="4:38" x14ac:dyDescent="0.3">
      <c r="D31035" s="1"/>
      <c r="G31035" s="13"/>
      <c r="AL31035" s="13"/>
    </row>
    <row r="31036" spans="4:38" x14ac:dyDescent="0.3">
      <c r="D31036" s="1"/>
      <c r="G31036" s="13"/>
      <c r="AL31036" s="13"/>
    </row>
    <row r="31037" spans="4:38" x14ac:dyDescent="0.3">
      <c r="D31037" s="1"/>
      <c r="G31037" s="13"/>
      <c r="AL31037" s="13"/>
    </row>
    <row r="31038" spans="4:38" x14ac:dyDescent="0.3">
      <c r="D31038" s="1"/>
      <c r="G31038" s="13"/>
      <c r="AL31038" s="13"/>
    </row>
    <row r="31039" spans="4:38" x14ac:dyDescent="0.3">
      <c r="D31039" s="1"/>
      <c r="G31039" s="13"/>
      <c r="AL31039" s="13"/>
    </row>
    <row r="31040" spans="4:38" x14ac:dyDescent="0.3">
      <c r="D31040" s="1"/>
      <c r="G31040" s="13"/>
      <c r="AL31040" s="13"/>
    </row>
    <row r="31041" spans="4:38" x14ac:dyDescent="0.3">
      <c r="D31041" s="1"/>
      <c r="G31041" s="13"/>
      <c r="AL31041" s="13"/>
    </row>
    <row r="31042" spans="4:38" x14ac:dyDescent="0.3">
      <c r="D31042" s="1"/>
      <c r="G31042" s="13"/>
      <c r="AL31042" s="13"/>
    </row>
    <row r="31043" spans="4:38" x14ac:dyDescent="0.3">
      <c r="D31043" s="1"/>
      <c r="G31043" s="13"/>
      <c r="AL31043" s="13"/>
    </row>
    <row r="31044" spans="4:38" x14ac:dyDescent="0.3">
      <c r="D31044" s="1"/>
      <c r="G31044" s="13"/>
      <c r="AL31044" s="13"/>
    </row>
    <row r="31045" spans="4:38" x14ac:dyDescent="0.3">
      <c r="D31045" s="1"/>
      <c r="G31045" s="13"/>
      <c r="AL31045" s="13"/>
    </row>
    <row r="31046" spans="4:38" x14ac:dyDescent="0.3">
      <c r="D31046" s="1"/>
      <c r="G31046" s="13"/>
      <c r="AL31046" s="13"/>
    </row>
    <row r="31047" spans="4:38" x14ac:dyDescent="0.3">
      <c r="D31047" s="1"/>
      <c r="G31047" s="13"/>
      <c r="AL31047" s="13"/>
    </row>
    <row r="31048" spans="4:38" x14ac:dyDescent="0.3">
      <c r="D31048" s="1"/>
      <c r="G31048" s="13"/>
      <c r="AL31048" s="13"/>
    </row>
    <row r="31049" spans="4:38" x14ac:dyDescent="0.3">
      <c r="D31049" s="1"/>
      <c r="G31049" s="13"/>
      <c r="AL31049" s="13"/>
    </row>
    <row r="31050" spans="4:38" x14ac:dyDescent="0.3">
      <c r="D31050" s="1"/>
      <c r="G31050" s="13"/>
      <c r="AL31050" s="13"/>
    </row>
    <row r="31051" spans="4:38" x14ac:dyDescent="0.3">
      <c r="D31051" s="1"/>
      <c r="G31051" s="13"/>
      <c r="AL31051" s="13"/>
    </row>
    <row r="31052" spans="4:38" x14ac:dyDescent="0.3">
      <c r="D31052" s="1"/>
      <c r="G31052" s="13"/>
      <c r="AL31052" s="13"/>
    </row>
    <row r="31053" spans="4:38" x14ac:dyDescent="0.3">
      <c r="D31053" s="1"/>
      <c r="G31053" s="13"/>
      <c r="AL31053" s="13"/>
    </row>
    <row r="31054" spans="4:38" x14ac:dyDescent="0.3">
      <c r="D31054" s="1"/>
      <c r="G31054" s="13"/>
      <c r="AL31054" s="13"/>
    </row>
    <row r="31055" spans="4:38" x14ac:dyDescent="0.3">
      <c r="D31055" s="1"/>
      <c r="G31055" s="13"/>
      <c r="AL31055" s="13"/>
    </row>
    <row r="31056" spans="4:38" x14ac:dyDescent="0.3">
      <c r="D31056" s="1"/>
      <c r="G31056" s="13"/>
      <c r="AL31056" s="13"/>
    </row>
    <row r="31057" spans="4:38" x14ac:dyDescent="0.3">
      <c r="D31057" s="1"/>
      <c r="G31057" s="13"/>
      <c r="AL31057" s="13"/>
    </row>
    <row r="31058" spans="4:38" x14ac:dyDescent="0.3">
      <c r="D31058" s="1"/>
      <c r="G31058" s="13"/>
      <c r="AL31058" s="13"/>
    </row>
    <row r="31059" spans="4:38" x14ac:dyDescent="0.3">
      <c r="D31059" s="1"/>
      <c r="G31059" s="13"/>
      <c r="AL31059" s="13"/>
    </row>
    <row r="31060" spans="4:38" x14ac:dyDescent="0.3">
      <c r="D31060" s="1"/>
      <c r="G31060" s="13"/>
      <c r="AL31060" s="13"/>
    </row>
    <row r="31061" spans="4:38" x14ac:dyDescent="0.3">
      <c r="D31061" s="1"/>
      <c r="G31061" s="13"/>
      <c r="AL31061" s="13"/>
    </row>
    <row r="31062" spans="4:38" x14ac:dyDescent="0.3">
      <c r="D31062" s="1"/>
      <c r="G31062" s="13"/>
      <c r="AL31062" s="13"/>
    </row>
    <row r="31063" spans="4:38" x14ac:dyDescent="0.3">
      <c r="D31063" s="1"/>
      <c r="G31063" s="13"/>
      <c r="AL31063" s="13"/>
    </row>
    <row r="31064" spans="4:38" x14ac:dyDescent="0.3">
      <c r="D31064" s="1"/>
      <c r="G31064" s="13"/>
      <c r="AL31064" s="13"/>
    </row>
    <row r="31065" spans="4:38" x14ac:dyDescent="0.3">
      <c r="D31065" s="1"/>
      <c r="G31065" s="13"/>
      <c r="AL31065" s="13"/>
    </row>
    <row r="31066" spans="4:38" x14ac:dyDescent="0.3">
      <c r="D31066" s="1"/>
      <c r="G31066" s="13"/>
      <c r="AL31066" s="13"/>
    </row>
    <row r="31067" spans="4:38" x14ac:dyDescent="0.3">
      <c r="D31067" s="1"/>
      <c r="G31067" s="13"/>
      <c r="AL31067" s="13"/>
    </row>
    <row r="31068" spans="4:38" x14ac:dyDescent="0.3">
      <c r="D31068" s="1"/>
      <c r="G31068" s="13"/>
      <c r="AL31068" s="13"/>
    </row>
    <row r="31069" spans="4:38" x14ac:dyDescent="0.3">
      <c r="D31069" s="1"/>
      <c r="G31069" s="13"/>
      <c r="AL31069" s="13"/>
    </row>
    <row r="31070" spans="4:38" x14ac:dyDescent="0.3">
      <c r="D31070" s="1"/>
      <c r="G31070" s="13"/>
      <c r="AL31070" s="13"/>
    </row>
    <row r="31071" spans="4:38" x14ac:dyDescent="0.3">
      <c r="D31071" s="1"/>
      <c r="G31071" s="13"/>
      <c r="AL31071" s="13"/>
    </row>
    <row r="31072" spans="4:38" x14ac:dyDescent="0.3">
      <c r="D31072" s="1"/>
      <c r="G31072" s="13"/>
      <c r="AL31072" s="13"/>
    </row>
    <row r="31073" spans="4:38" x14ac:dyDescent="0.3">
      <c r="D31073" s="1"/>
      <c r="G31073" s="13"/>
      <c r="AL31073" s="13"/>
    </row>
    <row r="31074" spans="4:38" x14ac:dyDescent="0.3">
      <c r="D31074" s="1"/>
      <c r="G31074" s="13"/>
      <c r="AL31074" s="13"/>
    </row>
    <row r="31075" spans="4:38" x14ac:dyDescent="0.3">
      <c r="D31075" s="1"/>
      <c r="G31075" s="13"/>
      <c r="AL31075" s="13"/>
    </row>
    <row r="31076" spans="4:38" x14ac:dyDescent="0.3">
      <c r="D31076" s="1"/>
      <c r="G31076" s="13"/>
      <c r="AL31076" s="13"/>
    </row>
    <row r="31077" spans="4:38" x14ac:dyDescent="0.3">
      <c r="D31077" s="1"/>
      <c r="G31077" s="13"/>
      <c r="AL31077" s="13"/>
    </row>
    <row r="31078" spans="4:38" x14ac:dyDescent="0.3">
      <c r="D31078" s="1"/>
      <c r="G31078" s="13"/>
      <c r="AL31078" s="13"/>
    </row>
    <row r="31079" spans="4:38" x14ac:dyDescent="0.3">
      <c r="D31079" s="1"/>
      <c r="G31079" s="13"/>
      <c r="AL31079" s="13"/>
    </row>
    <row r="31080" spans="4:38" x14ac:dyDescent="0.3">
      <c r="D31080" s="1"/>
      <c r="G31080" s="13"/>
      <c r="AL31080" s="13"/>
    </row>
    <row r="31081" spans="4:38" x14ac:dyDescent="0.3">
      <c r="D31081" s="1"/>
      <c r="G31081" s="13"/>
      <c r="AL31081" s="13"/>
    </row>
    <row r="31082" spans="4:38" x14ac:dyDescent="0.3">
      <c r="D31082" s="1"/>
      <c r="G31082" s="13"/>
      <c r="AL31082" s="13"/>
    </row>
    <row r="31083" spans="4:38" x14ac:dyDescent="0.3">
      <c r="D31083" s="1"/>
      <c r="G31083" s="13"/>
      <c r="AL31083" s="13"/>
    </row>
    <row r="31084" spans="4:38" x14ac:dyDescent="0.3">
      <c r="D31084" s="1"/>
      <c r="G31084" s="13"/>
      <c r="AL31084" s="13"/>
    </row>
    <row r="31085" spans="4:38" x14ac:dyDescent="0.3">
      <c r="D31085" s="1"/>
      <c r="G31085" s="13"/>
      <c r="AL31085" s="13"/>
    </row>
    <row r="31086" spans="4:38" x14ac:dyDescent="0.3">
      <c r="D31086" s="1"/>
      <c r="G31086" s="13"/>
      <c r="AL31086" s="13"/>
    </row>
    <row r="31087" spans="4:38" x14ac:dyDescent="0.3">
      <c r="D31087" s="1"/>
      <c r="G31087" s="13"/>
      <c r="AL31087" s="13"/>
    </row>
    <row r="31088" spans="4:38" x14ac:dyDescent="0.3">
      <c r="D31088" s="1"/>
      <c r="G31088" s="13"/>
      <c r="AL31088" s="13"/>
    </row>
    <row r="31089" spans="4:38" x14ac:dyDescent="0.3">
      <c r="D31089" s="1"/>
      <c r="G31089" s="13"/>
      <c r="AL31089" s="13"/>
    </row>
    <row r="31090" spans="4:38" x14ac:dyDescent="0.3">
      <c r="D31090" s="1"/>
      <c r="G31090" s="13"/>
      <c r="AL31090" s="13"/>
    </row>
    <row r="31091" spans="4:38" x14ac:dyDescent="0.3">
      <c r="D31091" s="1"/>
      <c r="G31091" s="13"/>
      <c r="AL31091" s="13"/>
    </row>
    <row r="31092" spans="4:38" x14ac:dyDescent="0.3">
      <c r="D31092" s="1"/>
      <c r="G31092" s="13"/>
      <c r="AL31092" s="13"/>
    </row>
    <row r="31093" spans="4:38" x14ac:dyDescent="0.3">
      <c r="D31093" s="1"/>
      <c r="G31093" s="13"/>
      <c r="AL31093" s="13"/>
    </row>
    <row r="31094" spans="4:38" x14ac:dyDescent="0.3">
      <c r="D31094" s="1"/>
      <c r="G31094" s="13"/>
      <c r="AL31094" s="13"/>
    </row>
    <row r="31095" spans="4:38" x14ac:dyDescent="0.3">
      <c r="D31095" s="1"/>
      <c r="G31095" s="13"/>
      <c r="AL31095" s="13"/>
    </row>
    <row r="31096" spans="4:38" x14ac:dyDescent="0.3">
      <c r="D31096" s="1"/>
      <c r="G31096" s="13"/>
      <c r="AL31096" s="13"/>
    </row>
    <row r="31097" spans="4:38" x14ac:dyDescent="0.3">
      <c r="D31097" s="1"/>
      <c r="G31097" s="13"/>
      <c r="AL31097" s="13"/>
    </row>
    <row r="31098" spans="4:38" x14ac:dyDescent="0.3">
      <c r="D31098" s="1"/>
      <c r="G31098" s="13"/>
      <c r="AL31098" s="13"/>
    </row>
    <row r="31099" spans="4:38" x14ac:dyDescent="0.3">
      <c r="D31099" s="1"/>
      <c r="G31099" s="13"/>
      <c r="AL31099" s="13"/>
    </row>
    <row r="31100" spans="4:38" x14ac:dyDescent="0.3">
      <c r="D31100" s="1"/>
      <c r="G31100" s="13"/>
      <c r="AL31100" s="13"/>
    </row>
    <row r="31101" spans="4:38" x14ac:dyDescent="0.3">
      <c r="D31101" s="1"/>
      <c r="G31101" s="13"/>
      <c r="AL31101" s="13"/>
    </row>
    <row r="31102" spans="4:38" x14ac:dyDescent="0.3">
      <c r="D31102" s="1"/>
      <c r="G31102" s="13"/>
      <c r="AL31102" s="13"/>
    </row>
    <row r="31103" spans="4:38" x14ac:dyDescent="0.3">
      <c r="D31103" s="1"/>
      <c r="G31103" s="13"/>
      <c r="AL31103" s="13"/>
    </row>
    <row r="31104" spans="4:38" x14ac:dyDescent="0.3">
      <c r="D31104" s="1"/>
      <c r="G31104" s="13"/>
      <c r="AL31104" s="13"/>
    </row>
    <row r="31105" spans="4:38" x14ac:dyDescent="0.3">
      <c r="D31105" s="1"/>
      <c r="G31105" s="13"/>
      <c r="AL31105" s="13"/>
    </row>
    <row r="31106" spans="4:38" x14ac:dyDescent="0.3">
      <c r="D31106" s="1"/>
      <c r="G31106" s="13"/>
      <c r="AL31106" s="13"/>
    </row>
    <row r="31107" spans="4:38" x14ac:dyDescent="0.3">
      <c r="D31107" s="1"/>
      <c r="G31107" s="13"/>
      <c r="AL31107" s="13"/>
    </row>
    <row r="31108" spans="4:38" x14ac:dyDescent="0.3">
      <c r="D31108" s="1"/>
      <c r="G31108" s="13"/>
      <c r="AL31108" s="13"/>
    </row>
    <row r="31109" spans="4:38" x14ac:dyDescent="0.3">
      <c r="D31109" s="1"/>
      <c r="G31109" s="13"/>
      <c r="AL31109" s="13"/>
    </row>
    <row r="31110" spans="4:38" x14ac:dyDescent="0.3">
      <c r="D31110" s="1"/>
      <c r="G31110" s="13"/>
      <c r="AL31110" s="13"/>
    </row>
    <row r="31111" spans="4:38" x14ac:dyDescent="0.3">
      <c r="D31111" s="1"/>
      <c r="G31111" s="13"/>
      <c r="AL31111" s="13"/>
    </row>
    <row r="31112" spans="4:38" x14ac:dyDescent="0.3">
      <c r="D31112" s="1"/>
      <c r="G31112" s="13"/>
      <c r="AL31112" s="13"/>
    </row>
    <row r="31113" spans="4:38" x14ac:dyDescent="0.3">
      <c r="D31113" s="1"/>
      <c r="G31113" s="13"/>
      <c r="AL31113" s="13"/>
    </row>
    <row r="31114" spans="4:38" x14ac:dyDescent="0.3">
      <c r="D31114" s="1"/>
      <c r="G31114" s="13"/>
      <c r="AL31114" s="13"/>
    </row>
    <row r="31115" spans="4:38" x14ac:dyDescent="0.3">
      <c r="D31115" s="1"/>
      <c r="G31115" s="13"/>
      <c r="AL31115" s="13"/>
    </row>
    <row r="31116" spans="4:38" x14ac:dyDescent="0.3">
      <c r="D31116" s="1"/>
      <c r="G31116" s="13"/>
      <c r="AL31116" s="13"/>
    </row>
    <row r="31117" spans="4:38" x14ac:dyDescent="0.3">
      <c r="D31117" s="1"/>
      <c r="G31117" s="13"/>
      <c r="AL31117" s="13"/>
    </row>
    <row r="31118" spans="4:38" x14ac:dyDescent="0.3">
      <c r="D31118" s="1"/>
      <c r="G31118" s="13"/>
      <c r="AL31118" s="13"/>
    </row>
    <row r="31119" spans="4:38" x14ac:dyDescent="0.3">
      <c r="D31119" s="1"/>
      <c r="G31119" s="13"/>
      <c r="AL31119" s="13"/>
    </row>
    <row r="31120" spans="4:38" x14ac:dyDescent="0.3">
      <c r="D31120" s="1"/>
      <c r="G31120" s="13"/>
      <c r="AL31120" s="13"/>
    </row>
    <row r="31121" spans="4:38" x14ac:dyDescent="0.3">
      <c r="D31121" s="1"/>
      <c r="G31121" s="13"/>
      <c r="AL31121" s="13"/>
    </row>
    <row r="31122" spans="4:38" x14ac:dyDescent="0.3">
      <c r="D31122" s="1"/>
      <c r="G31122" s="13"/>
      <c r="AL31122" s="13"/>
    </row>
    <row r="31123" spans="4:38" x14ac:dyDescent="0.3">
      <c r="D31123" s="1"/>
      <c r="G31123" s="13"/>
      <c r="AL31123" s="13"/>
    </row>
    <row r="31124" spans="4:38" x14ac:dyDescent="0.3">
      <c r="D31124" s="1"/>
      <c r="G31124" s="13"/>
      <c r="AL31124" s="13"/>
    </row>
    <row r="31125" spans="4:38" x14ac:dyDescent="0.3">
      <c r="D31125" s="1"/>
      <c r="G31125" s="13"/>
      <c r="AL31125" s="13"/>
    </row>
    <row r="31126" spans="4:38" x14ac:dyDescent="0.3">
      <c r="D31126" s="1"/>
      <c r="G31126" s="13"/>
      <c r="AL31126" s="13"/>
    </row>
    <row r="31127" spans="4:38" x14ac:dyDescent="0.3">
      <c r="D31127" s="1"/>
      <c r="G31127" s="13"/>
      <c r="AL31127" s="13"/>
    </row>
    <row r="31128" spans="4:38" x14ac:dyDescent="0.3">
      <c r="D31128" s="1"/>
      <c r="G31128" s="13"/>
      <c r="AL31128" s="13"/>
    </row>
    <row r="31129" spans="4:38" x14ac:dyDescent="0.3">
      <c r="D31129" s="1"/>
      <c r="G31129" s="13"/>
      <c r="AL31129" s="13"/>
    </row>
    <row r="31130" spans="4:38" x14ac:dyDescent="0.3">
      <c r="D31130" s="1"/>
      <c r="G31130" s="13"/>
      <c r="AL31130" s="13"/>
    </row>
    <row r="31131" spans="4:38" x14ac:dyDescent="0.3">
      <c r="D31131" s="1"/>
      <c r="G31131" s="13"/>
      <c r="AL31131" s="13"/>
    </row>
    <row r="31132" spans="4:38" x14ac:dyDescent="0.3">
      <c r="D31132" s="1"/>
      <c r="G31132" s="13"/>
      <c r="AL31132" s="13"/>
    </row>
    <row r="31133" spans="4:38" x14ac:dyDescent="0.3">
      <c r="D31133" s="1"/>
      <c r="G31133" s="13"/>
      <c r="AL31133" s="13"/>
    </row>
    <row r="31134" spans="4:38" x14ac:dyDescent="0.3">
      <c r="D31134" s="1"/>
      <c r="G31134" s="13"/>
      <c r="AL31134" s="13"/>
    </row>
    <row r="31135" spans="4:38" x14ac:dyDescent="0.3">
      <c r="D31135" s="1"/>
      <c r="G31135" s="13"/>
      <c r="AL31135" s="13"/>
    </row>
    <row r="31136" spans="4:38" x14ac:dyDescent="0.3">
      <c r="D31136" s="1"/>
      <c r="G31136" s="13"/>
      <c r="AL31136" s="13"/>
    </row>
    <row r="31137" spans="4:38" x14ac:dyDescent="0.3">
      <c r="D31137" s="1"/>
      <c r="G31137" s="13"/>
      <c r="AL31137" s="13"/>
    </row>
    <row r="31138" spans="4:38" x14ac:dyDescent="0.3">
      <c r="D31138" s="1"/>
      <c r="G31138" s="13"/>
      <c r="AL31138" s="13"/>
    </row>
    <row r="31139" spans="4:38" x14ac:dyDescent="0.3">
      <c r="D31139" s="1"/>
      <c r="G31139" s="13"/>
      <c r="AL31139" s="13"/>
    </row>
    <row r="31140" spans="4:38" x14ac:dyDescent="0.3">
      <c r="D31140" s="1"/>
      <c r="G31140" s="13"/>
      <c r="AL31140" s="13"/>
    </row>
    <row r="31141" spans="4:38" x14ac:dyDescent="0.3">
      <c r="D31141" s="1"/>
      <c r="G31141" s="13"/>
      <c r="AL31141" s="13"/>
    </row>
    <row r="31142" spans="4:38" x14ac:dyDescent="0.3">
      <c r="D31142" s="1"/>
      <c r="G31142" s="13"/>
      <c r="AL31142" s="13"/>
    </row>
    <row r="31143" spans="4:38" x14ac:dyDescent="0.3">
      <c r="D31143" s="1"/>
      <c r="G31143" s="13"/>
      <c r="AL31143" s="13"/>
    </row>
    <row r="31144" spans="4:38" x14ac:dyDescent="0.3">
      <c r="D31144" s="1"/>
      <c r="G31144" s="13"/>
      <c r="AL31144" s="13"/>
    </row>
    <row r="31145" spans="4:38" x14ac:dyDescent="0.3">
      <c r="D31145" s="1"/>
      <c r="G31145" s="13"/>
      <c r="AL31145" s="13"/>
    </row>
    <row r="31146" spans="4:38" x14ac:dyDescent="0.3">
      <c r="D31146" s="1"/>
      <c r="G31146" s="13"/>
      <c r="AL31146" s="13"/>
    </row>
    <row r="31147" spans="4:38" x14ac:dyDescent="0.3">
      <c r="D31147" s="1"/>
      <c r="G31147" s="13"/>
      <c r="AL31147" s="13"/>
    </row>
    <row r="31148" spans="4:38" x14ac:dyDescent="0.3">
      <c r="D31148" s="1"/>
      <c r="G31148" s="13"/>
      <c r="AL31148" s="13"/>
    </row>
    <row r="31149" spans="4:38" x14ac:dyDescent="0.3">
      <c r="D31149" s="1"/>
      <c r="G31149" s="13"/>
      <c r="AL31149" s="13"/>
    </row>
    <row r="31150" spans="4:38" x14ac:dyDescent="0.3">
      <c r="D31150" s="1"/>
      <c r="G31150" s="13"/>
      <c r="AL31150" s="13"/>
    </row>
    <row r="31151" spans="4:38" x14ac:dyDescent="0.3">
      <c r="D31151" s="1"/>
      <c r="G31151" s="13"/>
      <c r="AL31151" s="13"/>
    </row>
    <row r="31152" spans="4:38" x14ac:dyDescent="0.3">
      <c r="D31152" s="1"/>
      <c r="G31152" s="13"/>
      <c r="AL31152" s="13"/>
    </row>
    <row r="31153" spans="4:38" x14ac:dyDescent="0.3">
      <c r="D31153" s="1"/>
      <c r="G31153" s="13"/>
      <c r="AL31153" s="13"/>
    </row>
    <row r="31154" spans="4:38" x14ac:dyDescent="0.3">
      <c r="D31154" s="1"/>
      <c r="G31154" s="13"/>
      <c r="AL31154" s="13"/>
    </row>
    <row r="31155" spans="4:38" x14ac:dyDescent="0.3">
      <c r="D31155" s="1"/>
      <c r="G31155" s="13"/>
      <c r="AL31155" s="13"/>
    </row>
    <row r="31156" spans="4:38" x14ac:dyDescent="0.3">
      <c r="D31156" s="1"/>
      <c r="G31156" s="13"/>
      <c r="AL31156" s="13"/>
    </row>
    <row r="31157" spans="4:38" x14ac:dyDescent="0.3">
      <c r="D31157" s="1"/>
      <c r="G31157" s="13"/>
      <c r="AL31157" s="13"/>
    </row>
    <row r="31158" spans="4:38" x14ac:dyDescent="0.3">
      <c r="D31158" s="1"/>
      <c r="G31158" s="13"/>
      <c r="AL31158" s="13"/>
    </row>
    <row r="31159" spans="4:38" x14ac:dyDescent="0.3">
      <c r="D31159" s="1"/>
      <c r="G31159" s="13"/>
      <c r="AL31159" s="13"/>
    </row>
    <row r="31160" spans="4:38" x14ac:dyDescent="0.3">
      <c r="D31160" s="1"/>
      <c r="G31160" s="13"/>
      <c r="AL31160" s="13"/>
    </row>
    <row r="31161" spans="4:38" x14ac:dyDescent="0.3">
      <c r="D31161" s="1"/>
      <c r="G31161" s="13"/>
      <c r="AL31161" s="13"/>
    </row>
    <row r="31162" spans="4:38" x14ac:dyDescent="0.3">
      <c r="D31162" s="1"/>
      <c r="G31162" s="13"/>
      <c r="AL31162" s="13"/>
    </row>
    <row r="31163" spans="4:38" x14ac:dyDescent="0.3">
      <c r="D31163" s="1"/>
      <c r="G31163" s="13"/>
      <c r="AL31163" s="13"/>
    </row>
    <row r="31164" spans="4:38" x14ac:dyDescent="0.3">
      <c r="D31164" s="1"/>
      <c r="G31164" s="13"/>
      <c r="AL31164" s="13"/>
    </row>
    <row r="31165" spans="4:38" x14ac:dyDescent="0.3">
      <c r="D31165" s="1"/>
      <c r="G31165" s="13"/>
      <c r="AL31165" s="13"/>
    </row>
    <row r="31166" spans="4:38" x14ac:dyDescent="0.3">
      <c r="D31166" s="1"/>
      <c r="G31166" s="13"/>
      <c r="AL31166" s="13"/>
    </row>
    <row r="31167" spans="4:38" x14ac:dyDescent="0.3">
      <c r="D31167" s="1"/>
      <c r="G31167" s="13"/>
      <c r="AL31167" s="13"/>
    </row>
    <row r="31168" spans="4:38" x14ac:dyDescent="0.3">
      <c r="D31168" s="1"/>
      <c r="G31168" s="13"/>
      <c r="AL31168" s="13"/>
    </row>
    <row r="31169" spans="4:38" x14ac:dyDescent="0.3">
      <c r="D31169" s="1"/>
      <c r="G31169" s="13"/>
      <c r="AL31169" s="13"/>
    </row>
    <row r="31170" spans="4:38" x14ac:dyDescent="0.3">
      <c r="D31170" s="1"/>
      <c r="G31170" s="13"/>
      <c r="AL31170" s="13"/>
    </row>
    <row r="31171" spans="4:38" x14ac:dyDescent="0.3">
      <c r="D31171" s="1"/>
      <c r="G31171" s="13"/>
      <c r="AL31171" s="13"/>
    </row>
    <row r="31172" spans="4:38" x14ac:dyDescent="0.3">
      <c r="D31172" s="1"/>
      <c r="G31172" s="13"/>
      <c r="AL31172" s="13"/>
    </row>
    <row r="31173" spans="4:38" x14ac:dyDescent="0.3">
      <c r="D31173" s="1"/>
      <c r="G31173" s="13"/>
      <c r="AL31173" s="13"/>
    </row>
    <row r="31174" spans="4:38" x14ac:dyDescent="0.3">
      <c r="D31174" s="1"/>
      <c r="G31174" s="13"/>
      <c r="AL31174" s="13"/>
    </row>
    <row r="31175" spans="4:38" x14ac:dyDescent="0.3">
      <c r="D31175" s="1"/>
      <c r="AL31175" s="13"/>
    </row>
    <row r="31176" spans="4:38" x14ac:dyDescent="0.3">
      <c r="D31176" s="1"/>
      <c r="G31176" s="13"/>
      <c r="AL31176" s="13"/>
    </row>
    <row r="31177" spans="4:38" x14ac:dyDescent="0.3">
      <c r="D31177" s="1"/>
      <c r="G31177" s="13"/>
      <c r="AL31177" s="13"/>
    </row>
    <row r="31178" spans="4:38" x14ac:dyDescent="0.3">
      <c r="D31178" s="1"/>
      <c r="G31178" s="13"/>
      <c r="AL31178" s="13"/>
    </row>
    <row r="31179" spans="4:38" x14ac:dyDescent="0.3">
      <c r="D31179" s="1"/>
      <c r="G31179" s="13"/>
      <c r="AL31179" s="13"/>
    </row>
    <row r="31180" spans="4:38" x14ac:dyDescent="0.3">
      <c r="D31180" s="1"/>
      <c r="G31180" s="13"/>
      <c r="AL31180" s="13"/>
    </row>
    <row r="31181" spans="4:38" x14ac:dyDescent="0.3">
      <c r="D31181" s="1"/>
      <c r="G31181" s="13"/>
      <c r="AL31181" s="13"/>
    </row>
    <row r="31182" spans="4:38" x14ac:dyDescent="0.3">
      <c r="D31182" s="1"/>
      <c r="G31182" s="13"/>
      <c r="AL31182" s="13"/>
    </row>
    <row r="31183" spans="4:38" x14ac:dyDescent="0.3">
      <c r="D31183" s="1"/>
      <c r="G31183" s="13"/>
      <c r="AL31183" s="13"/>
    </row>
    <row r="31184" spans="4:38" x14ac:dyDescent="0.3">
      <c r="D31184" s="1"/>
      <c r="G31184" s="13"/>
      <c r="AL31184" s="13"/>
    </row>
    <row r="31185" spans="4:38" x14ac:dyDescent="0.3">
      <c r="D31185" s="1"/>
      <c r="G31185" s="13"/>
      <c r="AL31185" s="13"/>
    </row>
    <row r="31186" spans="4:38" x14ac:dyDescent="0.3">
      <c r="D31186" s="1"/>
      <c r="G31186" s="13"/>
      <c r="AL31186" s="13"/>
    </row>
    <row r="31187" spans="4:38" x14ac:dyDescent="0.3">
      <c r="D31187" s="1"/>
      <c r="G31187" s="13"/>
      <c r="AL31187" s="13"/>
    </row>
    <row r="31188" spans="4:38" x14ac:dyDescent="0.3">
      <c r="D31188" s="1"/>
      <c r="G31188" s="13"/>
      <c r="AL31188" s="13"/>
    </row>
    <row r="31189" spans="4:38" x14ac:dyDescent="0.3">
      <c r="D31189" s="1"/>
      <c r="G31189" s="13"/>
      <c r="AL31189" s="13"/>
    </row>
    <row r="31190" spans="4:38" x14ac:dyDescent="0.3">
      <c r="D31190" s="1"/>
      <c r="G31190" s="13"/>
      <c r="AL31190" s="13"/>
    </row>
    <row r="31191" spans="4:38" x14ac:dyDescent="0.3">
      <c r="D31191" s="1"/>
      <c r="G31191" s="13"/>
      <c r="AL31191" s="13"/>
    </row>
    <row r="31192" spans="4:38" x14ac:dyDescent="0.3">
      <c r="D31192" s="1"/>
      <c r="G31192" s="13"/>
      <c r="AL31192" s="13"/>
    </row>
    <row r="31193" spans="4:38" x14ac:dyDescent="0.3">
      <c r="D31193" s="1"/>
      <c r="G31193" s="13"/>
      <c r="AL31193" s="13"/>
    </row>
    <row r="31194" spans="4:38" x14ac:dyDescent="0.3">
      <c r="D31194" s="1"/>
      <c r="G31194" s="13"/>
      <c r="AL31194" s="13"/>
    </row>
    <row r="31195" spans="4:38" x14ac:dyDescent="0.3">
      <c r="D31195" s="1"/>
      <c r="G31195" s="13"/>
      <c r="AL31195" s="13"/>
    </row>
    <row r="31196" spans="4:38" x14ac:dyDescent="0.3">
      <c r="D31196" s="1"/>
      <c r="G31196" s="13"/>
      <c r="AL31196" s="13"/>
    </row>
    <row r="31197" spans="4:38" x14ac:dyDescent="0.3">
      <c r="D31197" s="1"/>
      <c r="G31197" s="13"/>
      <c r="AL31197" s="13"/>
    </row>
    <row r="31198" spans="4:38" x14ac:dyDescent="0.3">
      <c r="D31198" s="1"/>
      <c r="G31198" s="13"/>
      <c r="AL31198" s="13"/>
    </row>
    <row r="31199" spans="4:38" x14ac:dyDescent="0.3">
      <c r="D31199" s="1"/>
      <c r="G31199" s="13"/>
      <c r="AL31199" s="13"/>
    </row>
    <row r="31200" spans="4:38" x14ac:dyDescent="0.3">
      <c r="D31200" s="1"/>
      <c r="G31200" s="13"/>
      <c r="AL31200" s="13"/>
    </row>
    <row r="31201" spans="4:38" x14ac:dyDescent="0.3">
      <c r="D31201" s="1"/>
      <c r="G31201" s="13"/>
      <c r="AL31201" s="13"/>
    </row>
    <row r="31202" spans="4:38" x14ac:dyDescent="0.3">
      <c r="D31202" s="1"/>
      <c r="G31202" s="13"/>
      <c r="AL31202" s="13"/>
    </row>
    <row r="31203" spans="4:38" x14ac:dyDescent="0.3">
      <c r="D31203" s="1"/>
      <c r="G31203" s="13"/>
      <c r="AL31203" s="13"/>
    </row>
    <row r="31204" spans="4:38" x14ac:dyDescent="0.3">
      <c r="D31204" s="1"/>
      <c r="G31204" s="13"/>
      <c r="AL31204" s="13"/>
    </row>
    <row r="31205" spans="4:38" x14ac:dyDescent="0.3">
      <c r="D31205" s="1"/>
      <c r="G31205" s="13"/>
      <c r="AL31205" s="13"/>
    </row>
    <row r="31206" spans="4:38" x14ac:dyDescent="0.3">
      <c r="D31206" s="1"/>
      <c r="G31206" s="13"/>
      <c r="AL31206" s="13"/>
    </row>
    <row r="31207" spans="4:38" x14ac:dyDescent="0.3">
      <c r="D31207" s="1"/>
      <c r="G31207" s="13"/>
      <c r="AL31207" s="13"/>
    </row>
    <row r="31208" spans="4:38" x14ac:dyDescent="0.3">
      <c r="D31208" s="1"/>
      <c r="G31208" s="13"/>
      <c r="AL31208" s="13"/>
    </row>
    <row r="31209" spans="4:38" x14ac:dyDescent="0.3">
      <c r="D31209" s="1"/>
      <c r="G31209" s="13"/>
      <c r="AL31209" s="13"/>
    </row>
    <row r="31210" spans="4:38" x14ac:dyDescent="0.3">
      <c r="D31210" s="1"/>
      <c r="G31210" s="13"/>
      <c r="AL31210" s="13"/>
    </row>
    <row r="31211" spans="4:38" x14ac:dyDescent="0.3">
      <c r="D31211" s="1"/>
      <c r="G31211" s="13"/>
      <c r="AL31211" s="13"/>
    </row>
    <row r="31212" spans="4:38" x14ac:dyDescent="0.3">
      <c r="D31212" s="1"/>
      <c r="G31212" s="13"/>
      <c r="AL31212" s="13"/>
    </row>
    <row r="31213" spans="4:38" x14ac:dyDescent="0.3">
      <c r="D31213" s="1"/>
      <c r="G31213" s="13"/>
      <c r="AL31213" s="13"/>
    </row>
    <row r="31214" spans="4:38" x14ac:dyDescent="0.3">
      <c r="D31214" s="1"/>
      <c r="G31214" s="13"/>
      <c r="AL31214" s="13"/>
    </row>
    <row r="31215" spans="4:38" x14ac:dyDescent="0.3">
      <c r="D31215" s="1"/>
      <c r="G31215" s="13"/>
      <c r="AL31215" s="13"/>
    </row>
    <row r="31216" spans="4:38" x14ac:dyDescent="0.3">
      <c r="D31216" s="1"/>
      <c r="G31216" s="13"/>
      <c r="AL31216" s="13"/>
    </row>
    <row r="31217" spans="4:38" x14ac:dyDescent="0.3">
      <c r="D31217" s="1"/>
      <c r="G31217" s="13"/>
      <c r="AL31217" s="13"/>
    </row>
    <row r="31218" spans="4:38" x14ac:dyDescent="0.3">
      <c r="D31218" s="1"/>
      <c r="G31218" s="13"/>
      <c r="AL31218" s="13"/>
    </row>
    <row r="31219" spans="4:38" x14ac:dyDescent="0.3">
      <c r="D31219" s="1"/>
      <c r="G31219" s="13"/>
      <c r="AL31219" s="13"/>
    </row>
    <row r="31220" spans="4:38" x14ac:dyDescent="0.3">
      <c r="D31220" s="1"/>
      <c r="G31220" s="13"/>
      <c r="AL31220" s="13"/>
    </row>
    <row r="31221" spans="4:38" x14ac:dyDescent="0.3">
      <c r="D31221" s="1"/>
      <c r="G31221" s="13"/>
      <c r="AL31221" s="13"/>
    </row>
    <row r="31222" spans="4:38" x14ac:dyDescent="0.3">
      <c r="D31222" s="1"/>
      <c r="G31222" s="13"/>
      <c r="AL31222" s="13"/>
    </row>
    <row r="31223" spans="4:38" x14ac:dyDescent="0.3">
      <c r="D31223" s="1"/>
      <c r="G31223" s="13"/>
      <c r="AL31223" s="13"/>
    </row>
    <row r="31224" spans="4:38" x14ac:dyDescent="0.3">
      <c r="D31224" s="1"/>
      <c r="G31224" s="13"/>
      <c r="AL31224" s="13"/>
    </row>
    <row r="31225" spans="4:38" x14ac:dyDescent="0.3">
      <c r="D31225" s="1"/>
      <c r="G31225" s="13"/>
      <c r="AL31225" s="13"/>
    </row>
    <row r="31226" spans="4:38" x14ac:dyDescent="0.3">
      <c r="D31226" s="1"/>
      <c r="G31226" s="13"/>
      <c r="AL31226" s="13"/>
    </row>
    <row r="31227" spans="4:38" x14ac:dyDescent="0.3">
      <c r="D31227" s="1"/>
      <c r="G31227" s="13"/>
      <c r="AL31227" s="13"/>
    </row>
    <row r="31228" spans="4:38" x14ac:dyDescent="0.3">
      <c r="D31228" s="1"/>
      <c r="G31228" s="13"/>
      <c r="AL31228" s="13"/>
    </row>
    <row r="31229" spans="4:38" x14ac:dyDescent="0.3">
      <c r="D31229" s="1"/>
      <c r="G31229" s="13"/>
      <c r="AL31229" s="13"/>
    </row>
    <row r="31230" spans="4:38" x14ac:dyDescent="0.3">
      <c r="D31230" s="1"/>
      <c r="G31230" s="13"/>
      <c r="AL31230" s="13"/>
    </row>
    <row r="31231" spans="4:38" x14ac:dyDescent="0.3">
      <c r="D31231" s="1"/>
      <c r="G31231" s="13"/>
      <c r="AL31231" s="13"/>
    </row>
    <row r="31232" spans="4:38" x14ac:dyDescent="0.3">
      <c r="D31232" s="1"/>
      <c r="G31232" s="13"/>
      <c r="AL31232" s="13"/>
    </row>
    <row r="31233" spans="4:38" x14ac:dyDescent="0.3">
      <c r="D31233" s="1"/>
      <c r="G31233" s="13"/>
      <c r="AL31233" s="13"/>
    </row>
    <row r="31234" spans="4:38" x14ac:dyDescent="0.3">
      <c r="D31234" s="1"/>
      <c r="G31234" s="13"/>
      <c r="AL31234" s="13"/>
    </row>
    <row r="31235" spans="4:38" x14ac:dyDescent="0.3">
      <c r="D31235" s="1"/>
      <c r="G31235" s="13"/>
      <c r="AL31235" s="13"/>
    </row>
    <row r="31236" spans="4:38" x14ac:dyDescent="0.3">
      <c r="D31236" s="1"/>
      <c r="G31236" s="13"/>
      <c r="AL31236" s="13"/>
    </row>
    <row r="31237" spans="4:38" x14ac:dyDescent="0.3">
      <c r="D31237" s="1"/>
      <c r="G31237" s="13"/>
      <c r="AL31237" s="13"/>
    </row>
    <row r="31238" spans="4:38" x14ac:dyDescent="0.3">
      <c r="D31238" s="1"/>
      <c r="G31238" s="13"/>
      <c r="AL31238" s="13"/>
    </row>
    <row r="31239" spans="4:38" x14ac:dyDescent="0.3">
      <c r="D31239" s="1"/>
      <c r="G31239" s="13"/>
      <c r="AL31239" s="13"/>
    </row>
    <row r="31240" spans="4:38" x14ac:dyDescent="0.3">
      <c r="D31240" s="1"/>
      <c r="G31240" s="13"/>
      <c r="AL31240" s="13"/>
    </row>
    <row r="31241" spans="4:38" x14ac:dyDescent="0.3">
      <c r="D31241" s="1"/>
      <c r="G31241" s="13"/>
      <c r="AL31241" s="13"/>
    </row>
    <row r="31242" spans="4:38" x14ac:dyDescent="0.3">
      <c r="D31242" s="1"/>
      <c r="G31242" s="13"/>
      <c r="AL31242" s="13"/>
    </row>
    <row r="31243" spans="4:38" x14ac:dyDescent="0.3">
      <c r="D31243" s="1"/>
      <c r="G31243" s="13"/>
      <c r="AL31243" s="13"/>
    </row>
    <row r="31244" spans="4:38" x14ac:dyDescent="0.3">
      <c r="D31244" s="1"/>
      <c r="G31244" s="13"/>
      <c r="AL31244" s="13"/>
    </row>
    <row r="31245" spans="4:38" x14ac:dyDescent="0.3">
      <c r="D31245" s="1"/>
      <c r="G31245" s="13"/>
      <c r="AL31245" s="13"/>
    </row>
    <row r="31246" spans="4:38" x14ac:dyDescent="0.3">
      <c r="D31246" s="1"/>
      <c r="G31246" s="13"/>
      <c r="AL31246" s="13"/>
    </row>
    <row r="31247" spans="4:38" x14ac:dyDescent="0.3">
      <c r="D31247" s="1"/>
      <c r="G31247" s="13"/>
      <c r="AL31247" s="13"/>
    </row>
    <row r="31248" spans="4:38" x14ac:dyDescent="0.3">
      <c r="D31248" s="1"/>
      <c r="G31248" s="13"/>
      <c r="AL31248" s="13"/>
    </row>
    <row r="31249" spans="4:38" x14ac:dyDescent="0.3">
      <c r="D31249" s="1"/>
      <c r="G31249" s="13"/>
      <c r="AL31249" s="13"/>
    </row>
    <row r="31250" spans="4:38" x14ac:dyDescent="0.3">
      <c r="D31250" s="1"/>
      <c r="G31250" s="13"/>
      <c r="AL31250" s="13"/>
    </row>
    <row r="31251" spans="4:38" x14ac:dyDescent="0.3">
      <c r="D31251" s="1"/>
      <c r="G31251" s="13"/>
      <c r="AL31251" s="13"/>
    </row>
    <row r="31252" spans="4:38" x14ac:dyDescent="0.3">
      <c r="D31252" s="1"/>
      <c r="G31252" s="13"/>
      <c r="AL31252" s="13"/>
    </row>
    <row r="31253" spans="4:38" x14ac:dyDescent="0.3">
      <c r="D31253" s="1"/>
      <c r="G31253" s="13"/>
      <c r="AL31253" s="13"/>
    </row>
    <row r="31254" spans="4:38" x14ac:dyDescent="0.3">
      <c r="D31254" s="1"/>
      <c r="G31254" s="13"/>
      <c r="AL31254" s="13"/>
    </row>
    <row r="31255" spans="4:38" x14ac:dyDescent="0.3">
      <c r="D31255" s="1"/>
      <c r="G31255" s="13"/>
      <c r="AL31255" s="13"/>
    </row>
    <row r="31256" spans="4:38" x14ac:dyDescent="0.3">
      <c r="D31256" s="1"/>
      <c r="G31256" s="13"/>
      <c r="AL31256" s="13"/>
    </row>
    <row r="31257" spans="4:38" x14ac:dyDescent="0.3">
      <c r="D31257" s="1"/>
      <c r="G31257" s="13"/>
      <c r="AL31257" s="13"/>
    </row>
    <row r="31258" spans="4:38" x14ac:dyDescent="0.3">
      <c r="D31258" s="1"/>
      <c r="G31258" s="13"/>
      <c r="AL31258" s="13"/>
    </row>
    <row r="31259" spans="4:38" x14ac:dyDescent="0.3">
      <c r="D31259" s="1"/>
      <c r="G31259" s="13"/>
      <c r="AL31259" s="13"/>
    </row>
    <row r="31260" spans="4:38" x14ac:dyDescent="0.3">
      <c r="D31260" s="1"/>
      <c r="G31260" s="13"/>
      <c r="AL31260" s="13"/>
    </row>
    <row r="31261" spans="4:38" x14ac:dyDescent="0.3">
      <c r="D31261" s="1"/>
      <c r="G31261" s="13"/>
      <c r="AL31261" s="13"/>
    </row>
    <row r="31262" spans="4:38" x14ac:dyDescent="0.3">
      <c r="D31262" s="1"/>
      <c r="G31262" s="13"/>
      <c r="AL31262" s="13"/>
    </row>
    <row r="31263" spans="4:38" x14ac:dyDescent="0.3">
      <c r="D31263" s="1"/>
      <c r="G31263" s="13"/>
      <c r="AL31263" s="13"/>
    </row>
    <row r="31264" spans="4:38" x14ac:dyDescent="0.3">
      <c r="D31264" s="1"/>
      <c r="G31264" s="13"/>
      <c r="AL31264" s="13"/>
    </row>
    <row r="31265" spans="4:38" x14ac:dyDescent="0.3">
      <c r="D31265" s="1"/>
      <c r="G31265" s="13"/>
      <c r="AL31265" s="13"/>
    </row>
    <row r="31266" spans="4:38" x14ac:dyDescent="0.3">
      <c r="D31266" s="1"/>
      <c r="G31266" s="13"/>
      <c r="AL31266" s="13"/>
    </row>
    <row r="31267" spans="4:38" x14ac:dyDescent="0.3">
      <c r="D31267" s="1"/>
      <c r="G31267" s="13"/>
      <c r="AL31267" s="13"/>
    </row>
    <row r="31268" spans="4:38" x14ac:dyDescent="0.3">
      <c r="D31268" s="1"/>
      <c r="G31268" s="13"/>
      <c r="AL31268" s="13"/>
    </row>
    <row r="31269" spans="4:38" x14ac:dyDescent="0.3">
      <c r="D31269" s="1"/>
      <c r="G31269" s="13"/>
      <c r="AL31269" s="13"/>
    </row>
    <row r="31270" spans="4:38" x14ac:dyDescent="0.3">
      <c r="D31270" s="1"/>
      <c r="G31270" s="13"/>
      <c r="AL31270" s="13"/>
    </row>
    <row r="31271" spans="4:38" x14ac:dyDescent="0.3">
      <c r="D31271" s="1"/>
      <c r="G31271" s="13"/>
      <c r="AL31271" s="13"/>
    </row>
    <row r="31272" spans="4:38" x14ac:dyDescent="0.3">
      <c r="D31272" s="1"/>
      <c r="G31272" s="13"/>
      <c r="AL31272" s="13"/>
    </row>
    <row r="31273" spans="4:38" x14ac:dyDescent="0.3">
      <c r="D31273" s="1"/>
      <c r="G31273" s="13"/>
      <c r="AL31273" s="13"/>
    </row>
    <row r="31274" spans="4:38" x14ac:dyDescent="0.3">
      <c r="D31274" s="1"/>
      <c r="G31274" s="13"/>
      <c r="AL31274" s="13"/>
    </row>
    <row r="31275" spans="4:38" x14ac:dyDescent="0.3">
      <c r="D31275" s="1"/>
      <c r="G31275" s="13"/>
      <c r="AL31275" s="13"/>
    </row>
    <row r="31276" spans="4:38" x14ac:dyDescent="0.3">
      <c r="D31276" s="1"/>
      <c r="G31276" s="13"/>
      <c r="AL31276" s="13"/>
    </row>
    <row r="31277" spans="4:38" x14ac:dyDescent="0.3">
      <c r="D31277" s="1"/>
      <c r="G31277" s="13"/>
      <c r="AL31277" s="13"/>
    </row>
    <row r="31278" spans="4:38" x14ac:dyDescent="0.3">
      <c r="D31278" s="1"/>
      <c r="G31278" s="13"/>
      <c r="AL31278" s="13"/>
    </row>
    <row r="31279" spans="4:38" x14ac:dyDescent="0.3">
      <c r="D31279" s="1"/>
      <c r="G31279" s="13"/>
      <c r="AL31279" s="13"/>
    </row>
    <row r="31280" spans="4:38" x14ac:dyDescent="0.3">
      <c r="D31280" s="1"/>
      <c r="G31280" s="13"/>
      <c r="AL31280" s="13"/>
    </row>
    <row r="31281" spans="4:38" x14ac:dyDescent="0.3">
      <c r="D31281" s="1"/>
      <c r="G31281" s="13"/>
      <c r="AL31281" s="13"/>
    </row>
    <row r="31282" spans="4:38" x14ac:dyDescent="0.3">
      <c r="D31282" s="1"/>
      <c r="G31282" s="13"/>
      <c r="AL31282" s="13"/>
    </row>
    <row r="31283" spans="4:38" x14ac:dyDescent="0.3">
      <c r="D31283" s="1"/>
      <c r="G31283" s="13"/>
      <c r="AL31283" s="13"/>
    </row>
    <row r="31284" spans="4:38" x14ac:dyDescent="0.3">
      <c r="D31284" s="1"/>
      <c r="G31284" s="13"/>
      <c r="AL31284" s="13"/>
    </row>
    <row r="31285" spans="4:38" x14ac:dyDescent="0.3">
      <c r="D31285" s="1"/>
      <c r="G31285" s="13"/>
      <c r="AL31285" s="13"/>
    </row>
    <row r="31286" spans="4:38" x14ac:dyDescent="0.3">
      <c r="D31286" s="1"/>
      <c r="G31286" s="13"/>
      <c r="AL31286" s="13"/>
    </row>
    <row r="31287" spans="4:38" x14ac:dyDescent="0.3">
      <c r="D31287" s="1"/>
      <c r="G31287" s="13"/>
      <c r="AL31287" s="13"/>
    </row>
    <row r="31288" spans="4:38" x14ac:dyDescent="0.3">
      <c r="D31288" s="1"/>
      <c r="G31288" s="13"/>
      <c r="AL31288" s="13"/>
    </row>
    <row r="31289" spans="4:38" x14ac:dyDescent="0.3">
      <c r="D31289" s="1"/>
      <c r="G31289" s="13"/>
      <c r="AL31289" s="13"/>
    </row>
    <row r="31290" spans="4:38" x14ac:dyDescent="0.3">
      <c r="D31290" s="1"/>
      <c r="G31290" s="13"/>
      <c r="AL31290" s="13"/>
    </row>
    <row r="31291" spans="4:38" x14ac:dyDescent="0.3">
      <c r="D31291" s="1"/>
      <c r="G31291" s="13"/>
      <c r="AL31291" s="13"/>
    </row>
    <row r="31292" spans="4:38" x14ac:dyDescent="0.3">
      <c r="D31292" s="1"/>
      <c r="G31292" s="13"/>
      <c r="AL31292" s="13"/>
    </row>
    <row r="31293" spans="4:38" x14ac:dyDescent="0.3">
      <c r="D31293" s="1"/>
      <c r="G31293" s="13"/>
      <c r="AL31293" s="13"/>
    </row>
    <row r="31294" spans="4:38" x14ac:dyDescent="0.3">
      <c r="D31294" s="1"/>
      <c r="G31294" s="13"/>
      <c r="AL31294" s="13"/>
    </row>
    <row r="31295" spans="4:38" x14ac:dyDescent="0.3">
      <c r="D31295" s="1"/>
      <c r="G31295" s="13"/>
      <c r="AL31295" s="13"/>
    </row>
    <row r="31296" spans="4:38" x14ac:dyDescent="0.3">
      <c r="D31296" s="1"/>
      <c r="G31296" s="13"/>
      <c r="AL31296" s="13"/>
    </row>
    <row r="31297" spans="4:38" x14ac:dyDescent="0.3">
      <c r="D31297" s="1"/>
      <c r="G31297" s="13"/>
      <c r="AL31297" s="13"/>
    </row>
    <row r="31298" spans="4:38" x14ac:dyDescent="0.3">
      <c r="D31298" s="1"/>
      <c r="G31298" s="13"/>
      <c r="AL31298" s="13"/>
    </row>
    <row r="31299" spans="4:38" x14ac:dyDescent="0.3">
      <c r="D31299" s="1"/>
      <c r="G31299" s="13"/>
      <c r="AL31299" s="13"/>
    </row>
    <row r="31300" spans="4:38" x14ac:dyDescent="0.3">
      <c r="D31300" s="1"/>
      <c r="G31300" s="13"/>
      <c r="AL31300" s="13"/>
    </row>
    <row r="31301" spans="4:38" x14ac:dyDescent="0.3">
      <c r="D31301" s="1"/>
      <c r="G31301" s="13"/>
      <c r="AL31301" s="13"/>
    </row>
    <row r="31302" spans="4:38" x14ac:dyDescent="0.3">
      <c r="D31302" s="1"/>
      <c r="G31302" s="13"/>
      <c r="AL31302" s="13"/>
    </row>
    <row r="31303" spans="4:38" x14ac:dyDescent="0.3">
      <c r="D31303" s="1"/>
      <c r="G31303" s="13"/>
      <c r="AL31303" s="13"/>
    </row>
    <row r="31304" spans="4:38" x14ac:dyDescent="0.3">
      <c r="D31304" s="1"/>
      <c r="G31304" s="13"/>
      <c r="AL31304" s="13"/>
    </row>
    <row r="31305" spans="4:38" x14ac:dyDescent="0.3">
      <c r="D31305" s="1"/>
      <c r="G31305" s="13"/>
      <c r="AL31305" s="13"/>
    </row>
    <row r="31306" spans="4:38" x14ac:dyDescent="0.3">
      <c r="D31306" s="1"/>
      <c r="G31306" s="13"/>
      <c r="AL31306" s="13"/>
    </row>
    <row r="31307" spans="4:38" x14ac:dyDescent="0.3">
      <c r="D31307" s="1"/>
      <c r="G31307" s="13"/>
      <c r="AL31307" s="13"/>
    </row>
    <row r="31308" spans="4:38" x14ac:dyDescent="0.3">
      <c r="D31308" s="1"/>
      <c r="G31308" s="13"/>
      <c r="AL31308" s="13"/>
    </row>
    <row r="31309" spans="4:38" x14ac:dyDescent="0.3">
      <c r="D31309" s="1"/>
      <c r="G31309" s="13"/>
      <c r="AL31309" s="13"/>
    </row>
    <row r="31310" spans="4:38" x14ac:dyDescent="0.3">
      <c r="D31310" s="1"/>
      <c r="G31310" s="13"/>
      <c r="AL31310" s="13"/>
    </row>
    <row r="31311" spans="4:38" x14ac:dyDescent="0.3">
      <c r="D31311" s="1"/>
      <c r="G31311" s="13"/>
      <c r="AL31311" s="13"/>
    </row>
    <row r="31312" spans="4:38" x14ac:dyDescent="0.3">
      <c r="D31312" s="1"/>
      <c r="G31312" s="13"/>
      <c r="AL31312" s="13"/>
    </row>
    <row r="31313" spans="4:38" x14ac:dyDescent="0.3">
      <c r="D31313" s="1"/>
      <c r="G31313" s="13"/>
      <c r="AL31313" s="13"/>
    </row>
    <row r="31314" spans="4:38" x14ac:dyDescent="0.3">
      <c r="D31314" s="1"/>
      <c r="G31314" s="13"/>
      <c r="AL31314" s="13"/>
    </row>
    <row r="31315" spans="4:38" x14ac:dyDescent="0.3">
      <c r="D31315" s="1"/>
      <c r="G31315" s="13"/>
      <c r="AL31315" s="13"/>
    </row>
    <row r="31316" spans="4:38" x14ac:dyDescent="0.3">
      <c r="D31316" s="1"/>
      <c r="G31316" s="13"/>
      <c r="AL31316" s="13"/>
    </row>
    <row r="31317" spans="4:38" x14ac:dyDescent="0.3">
      <c r="D31317" s="1"/>
      <c r="G31317" s="13"/>
      <c r="AL31317" s="13"/>
    </row>
    <row r="31318" spans="4:38" x14ac:dyDescent="0.3">
      <c r="D31318" s="1"/>
      <c r="G31318" s="13"/>
      <c r="AL31318" s="13"/>
    </row>
    <row r="31319" spans="4:38" x14ac:dyDescent="0.3">
      <c r="D31319" s="1"/>
      <c r="G31319" s="13"/>
      <c r="AL31319" s="13"/>
    </row>
    <row r="31320" spans="4:38" x14ac:dyDescent="0.3">
      <c r="D31320" s="1"/>
      <c r="G31320" s="13"/>
      <c r="AL31320" s="13"/>
    </row>
    <row r="31321" spans="4:38" x14ac:dyDescent="0.3">
      <c r="D31321" s="1"/>
      <c r="G31321" s="13"/>
      <c r="AL31321" s="13"/>
    </row>
    <row r="31322" spans="4:38" x14ac:dyDescent="0.3">
      <c r="D31322" s="1"/>
      <c r="G31322" s="13"/>
      <c r="AL31322" s="13"/>
    </row>
    <row r="31323" spans="4:38" x14ac:dyDescent="0.3">
      <c r="D31323" s="1"/>
      <c r="G31323" s="13"/>
      <c r="AL31323" s="13"/>
    </row>
    <row r="31324" spans="4:38" x14ac:dyDescent="0.3">
      <c r="D31324" s="1"/>
      <c r="G31324" s="13"/>
      <c r="AL31324" s="13"/>
    </row>
    <row r="31325" spans="4:38" x14ac:dyDescent="0.3">
      <c r="D31325" s="1"/>
      <c r="G31325" s="13"/>
      <c r="AL31325" s="13"/>
    </row>
    <row r="31326" spans="4:38" x14ac:dyDescent="0.3">
      <c r="D31326" s="1"/>
      <c r="G31326" s="13"/>
      <c r="AL31326" s="13"/>
    </row>
    <row r="31327" spans="4:38" x14ac:dyDescent="0.3">
      <c r="D31327" s="1"/>
      <c r="G31327" s="13"/>
      <c r="AL31327" s="13"/>
    </row>
    <row r="31328" spans="4:38" x14ac:dyDescent="0.3">
      <c r="D31328" s="1"/>
      <c r="G31328" s="13"/>
      <c r="AL31328" s="13"/>
    </row>
    <row r="31329" spans="4:38" x14ac:dyDescent="0.3">
      <c r="D31329" s="1"/>
      <c r="G31329" s="13"/>
      <c r="AL31329" s="13"/>
    </row>
    <row r="31330" spans="4:38" x14ac:dyDescent="0.3">
      <c r="D31330" s="1"/>
      <c r="G31330" s="13"/>
      <c r="AL31330" s="13"/>
    </row>
    <row r="31331" spans="4:38" x14ac:dyDescent="0.3">
      <c r="D31331" s="1"/>
      <c r="G31331" s="13"/>
      <c r="AL31331" s="13"/>
    </row>
    <row r="31332" spans="4:38" x14ac:dyDescent="0.3">
      <c r="D31332" s="1"/>
      <c r="G31332" s="13"/>
      <c r="AL31332" s="13"/>
    </row>
    <row r="31333" spans="4:38" x14ac:dyDescent="0.3">
      <c r="D31333" s="1"/>
      <c r="G31333" s="13"/>
      <c r="AL31333" s="13"/>
    </row>
    <row r="31334" spans="4:38" x14ac:dyDescent="0.3">
      <c r="D31334" s="1"/>
      <c r="G31334" s="13"/>
      <c r="AL31334" s="13"/>
    </row>
    <row r="31335" spans="4:38" x14ac:dyDescent="0.3">
      <c r="D31335" s="1"/>
      <c r="G31335" s="13"/>
      <c r="AL31335" s="13"/>
    </row>
    <row r="31336" spans="4:38" x14ac:dyDescent="0.3">
      <c r="D31336" s="1"/>
      <c r="G31336" s="13"/>
      <c r="AL31336" s="13"/>
    </row>
    <row r="31337" spans="4:38" x14ac:dyDescent="0.3">
      <c r="D31337" s="1"/>
      <c r="G31337" s="13"/>
      <c r="AL31337" s="13"/>
    </row>
    <row r="31338" spans="4:38" x14ac:dyDescent="0.3">
      <c r="D31338" s="1"/>
      <c r="G31338" s="13"/>
      <c r="AL31338" s="13"/>
    </row>
    <row r="31339" spans="4:38" x14ac:dyDescent="0.3">
      <c r="D31339" s="1"/>
      <c r="G31339" s="13"/>
      <c r="AL31339" s="13"/>
    </row>
    <row r="31340" spans="4:38" x14ac:dyDescent="0.3">
      <c r="D31340" s="1"/>
      <c r="G31340" s="13"/>
      <c r="AL31340" s="13"/>
    </row>
    <row r="31341" spans="4:38" x14ac:dyDescent="0.3">
      <c r="D31341" s="1"/>
      <c r="G31341" s="13"/>
      <c r="AL31341" s="13"/>
    </row>
    <row r="31342" spans="4:38" x14ac:dyDescent="0.3">
      <c r="D31342" s="1"/>
      <c r="G31342" s="13"/>
      <c r="AL31342" s="13"/>
    </row>
    <row r="31343" spans="4:38" x14ac:dyDescent="0.3">
      <c r="D31343" s="1"/>
      <c r="G31343" s="13"/>
      <c r="AL31343" s="13"/>
    </row>
    <row r="31344" spans="4:38" x14ac:dyDescent="0.3">
      <c r="D31344" s="1"/>
      <c r="G31344" s="13"/>
      <c r="AL31344" s="13"/>
    </row>
    <row r="31345" spans="4:38" x14ac:dyDescent="0.3">
      <c r="D31345" s="1"/>
      <c r="G31345" s="13"/>
      <c r="AL31345" s="13"/>
    </row>
    <row r="31346" spans="4:38" x14ac:dyDescent="0.3">
      <c r="D31346" s="1"/>
      <c r="G31346" s="13"/>
      <c r="AL31346" s="13"/>
    </row>
    <row r="31347" spans="4:38" x14ac:dyDescent="0.3">
      <c r="D31347" s="1"/>
      <c r="G31347" s="13"/>
      <c r="AL31347" s="13"/>
    </row>
    <row r="31348" spans="4:38" x14ac:dyDescent="0.3">
      <c r="D31348" s="1"/>
      <c r="G31348" s="13"/>
      <c r="AL31348" s="13"/>
    </row>
    <row r="31349" spans="4:38" x14ac:dyDescent="0.3">
      <c r="D31349" s="1"/>
      <c r="G31349" s="13"/>
      <c r="AL31349" s="13"/>
    </row>
    <row r="31350" spans="4:38" x14ac:dyDescent="0.3">
      <c r="D31350" s="1"/>
      <c r="G31350" s="13"/>
      <c r="AL31350" s="13"/>
    </row>
    <row r="31351" spans="4:38" x14ac:dyDescent="0.3">
      <c r="D31351" s="1"/>
      <c r="G31351" s="13"/>
      <c r="AL31351" s="13"/>
    </row>
    <row r="31352" spans="4:38" x14ac:dyDescent="0.3">
      <c r="D31352" s="1"/>
      <c r="G31352" s="13"/>
      <c r="AL31352" s="13"/>
    </row>
    <row r="31353" spans="4:38" x14ac:dyDescent="0.3">
      <c r="D31353" s="1"/>
      <c r="G31353" s="13"/>
      <c r="AL31353" s="13"/>
    </row>
    <row r="31354" spans="4:38" x14ac:dyDescent="0.3">
      <c r="D31354" s="1"/>
      <c r="G31354" s="13"/>
      <c r="AL31354" s="13"/>
    </row>
    <row r="31355" spans="4:38" x14ac:dyDescent="0.3">
      <c r="D31355" s="1"/>
      <c r="G31355" s="13"/>
      <c r="AL31355" s="13"/>
    </row>
    <row r="31356" spans="4:38" x14ac:dyDescent="0.3">
      <c r="D31356" s="1"/>
      <c r="G31356" s="13"/>
      <c r="AL31356" s="13"/>
    </row>
    <row r="31357" spans="4:38" x14ac:dyDescent="0.3">
      <c r="D31357" s="1"/>
      <c r="G31357" s="13"/>
      <c r="AL31357" s="13"/>
    </row>
    <row r="31358" spans="4:38" x14ac:dyDescent="0.3">
      <c r="D31358" s="1"/>
      <c r="G31358" s="13"/>
      <c r="AL31358" s="13"/>
    </row>
    <row r="31359" spans="4:38" x14ac:dyDescent="0.3">
      <c r="D31359" s="1"/>
      <c r="G31359" s="13"/>
      <c r="AL31359" s="13"/>
    </row>
    <row r="31360" spans="4:38" x14ac:dyDescent="0.3">
      <c r="D31360" s="1"/>
      <c r="G31360" s="13"/>
      <c r="AL31360" s="13"/>
    </row>
    <row r="31361" spans="4:38" x14ac:dyDescent="0.3">
      <c r="D31361" s="1"/>
      <c r="G31361" s="13"/>
      <c r="AL31361" s="13"/>
    </row>
    <row r="31362" spans="4:38" x14ac:dyDescent="0.3">
      <c r="D31362" s="1"/>
      <c r="G31362" s="13"/>
      <c r="AL31362" s="13"/>
    </row>
    <row r="31363" spans="4:38" x14ac:dyDescent="0.3">
      <c r="D31363" s="1"/>
      <c r="G31363" s="13"/>
      <c r="AL31363" s="13"/>
    </row>
    <row r="31364" spans="4:38" x14ac:dyDescent="0.3">
      <c r="D31364" s="1"/>
      <c r="G31364" s="13"/>
      <c r="AL31364" s="13"/>
    </row>
    <row r="31365" spans="4:38" x14ac:dyDescent="0.3">
      <c r="D31365" s="1"/>
      <c r="G31365" s="13"/>
      <c r="AL31365" s="13"/>
    </row>
    <row r="31366" spans="4:38" x14ac:dyDescent="0.3">
      <c r="D31366" s="1"/>
      <c r="G31366" s="13"/>
      <c r="AL31366" s="13"/>
    </row>
    <row r="31367" spans="4:38" x14ac:dyDescent="0.3">
      <c r="D31367" s="1"/>
      <c r="G31367" s="13"/>
      <c r="AL31367" s="13"/>
    </row>
    <row r="31368" spans="4:38" x14ac:dyDescent="0.3">
      <c r="D31368" s="1"/>
      <c r="G31368" s="13"/>
      <c r="AL31368" s="13"/>
    </row>
    <row r="31369" spans="4:38" x14ac:dyDescent="0.3">
      <c r="D31369" s="1"/>
      <c r="G31369" s="13"/>
      <c r="AL31369" s="13"/>
    </row>
    <row r="31370" spans="4:38" x14ac:dyDescent="0.3">
      <c r="D31370" s="1"/>
      <c r="G31370" s="13"/>
      <c r="AL31370" s="13"/>
    </row>
    <row r="31371" spans="4:38" x14ac:dyDescent="0.3">
      <c r="D31371" s="1"/>
      <c r="G31371" s="13"/>
      <c r="AL31371" s="13"/>
    </row>
    <row r="31372" spans="4:38" x14ac:dyDescent="0.3">
      <c r="D31372" s="1"/>
      <c r="G31372" s="13"/>
      <c r="AL31372" s="13"/>
    </row>
    <row r="31373" spans="4:38" x14ac:dyDescent="0.3">
      <c r="D31373" s="1"/>
      <c r="G31373" s="13"/>
      <c r="AL31373" s="13"/>
    </row>
    <row r="31374" spans="4:38" x14ac:dyDescent="0.3">
      <c r="D31374" s="1"/>
      <c r="G31374" s="13"/>
      <c r="AL31374" s="13"/>
    </row>
    <row r="31375" spans="4:38" x14ac:dyDescent="0.3">
      <c r="D31375" s="1"/>
      <c r="G31375" s="13"/>
      <c r="AL31375" s="13"/>
    </row>
    <row r="31376" spans="4:38" x14ac:dyDescent="0.3">
      <c r="D31376" s="1"/>
      <c r="G31376" s="13"/>
      <c r="AL31376" s="13"/>
    </row>
    <row r="31377" spans="4:38" x14ac:dyDescent="0.3">
      <c r="D31377" s="1"/>
      <c r="G31377" s="13"/>
      <c r="AL31377" s="13"/>
    </row>
    <row r="31378" spans="4:38" x14ac:dyDescent="0.3">
      <c r="D31378" s="1"/>
      <c r="G31378" s="13"/>
      <c r="AL31378" s="13"/>
    </row>
    <row r="31379" spans="4:38" x14ac:dyDescent="0.3">
      <c r="D31379" s="1"/>
      <c r="G31379" s="13"/>
      <c r="AL31379" s="13"/>
    </row>
    <row r="31380" spans="4:38" x14ac:dyDescent="0.3">
      <c r="D31380" s="1"/>
      <c r="G31380" s="13"/>
      <c r="AL31380" s="13"/>
    </row>
    <row r="31381" spans="4:38" x14ac:dyDescent="0.3">
      <c r="D31381" s="1"/>
      <c r="G31381" s="13"/>
      <c r="AL31381" s="13"/>
    </row>
    <row r="31382" spans="4:38" x14ac:dyDescent="0.3">
      <c r="D31382" s="1"/>
      <c r="G31382" s="13"/>
      <c r="AL31382" s="13"/>
    </row>
    <row r="31383" spans="4:38" x14ac:dyDescent="0.3">
      <c r="D31383" s="1"/>
      <c r="G31383" s="13"/>
      <c r="AL31383" s="13"/>
    </row>
    <row r="31384" spans="4:38" x14ac:dyDescent="0.3">
      <c r="D31384" s="1"/>
      <c r="G31384" s="13"/>
      <c r="AL31384" s="13"/>
    </row>
    <row r="31385" spans="4:38" x14ac:dyDescent="0.3">
      <c r="D31385" s="1"/>
      <c r="G31385" s="13"/>
      <c r="AL31385" s="13"/>
    </row>
    <row r="31386" spans="4:38" x14ac:dyDescent="0.3">
      <c r="D31386" s="1"/>
      <c r="G31386" s="13"/>
      <c r="AL31386" s="13"/>
    </row>
    <row r="31387" spans="4:38" x14ac:dyDescent="0.3">
      <c r="D31387" s="1"/>
      <c r="G31387" s="13"/>
      <c r="AL31387" s="13"/>
    </row>
    <row r="31388" spans="4:38" x14ac:dyDescent="0.3">
      <c r="D31388" s="1"/>
      <c r="G31388" s="13"/>
      <c r="AL31388" s="13"/>
    </row>
    <row r="31389" spans="4:38" x14ac:dyDescent="0.3">
      <c r="D31389" s="1"/>
      <c r="G31389" s="13"/>
      <c r="AL31389" s="13"/>
    </row>
    <row r="31390" spans="4:38" x14ac:dyDescent="0.3">
      <c r="D31390" s="1"/>
      <c r="G31390" s="13"/>
      <c r="AL31390" s="13"/>
    </row>
    <row r="31391" spans="4:38" x14ac:dyDescent="0.3">
      <c r="D31391" s="1"/>
      <c r="G31391" s="13"/>
      <c r="AL31391" s="13"/>
    </row>
    <row r="31392" spans="4:38" x14ac:dyDescent="0.3">
      <c r="D31392" s="1"/>
      <c r="G31392" s="13"/>
      <c r="AL31392" s="13"/>
    </row>
    <row r="31393" spans="4:38" x14ac:dyDescent="0.3">
      <c r="D31393" s="1"/>
      <c r="G31393" s="13"/>
      <c r="AL31393" s="13"/>
    </row>
    <row r="31394" spans="4:38" x14ac:dyDescent="0.3">
      <c r="D31394" s="1"/>
      <c r="G31394" s="13"/>
      <c r="AL31394" s="13"/>
    </row>
    <row r="31395" spans="4:38" x14ac:dyDescent="0.3">
      <c r="D31395" s="1"/>
      <c r="G31395" s="13"/>
      <c r="AL31395" s="13"/>
    </row>
    <row r="31396" spans="4:38" x14ac:dyDescent="0.3">
      <c r="D31396" s="1"/>
      <c r="G31396" s="13"/>
      <c r="AL31396" s="13"/>
    </row>
    <row r="31397" spans="4:38" x14ac:dyDescent="0.3">
      <c r="D31397" s="1"/>
      <c r="G31397" s="13"/>
      <c r="AL31397" s="13"/>
    </row>
    <row r="31398" spans="4:38" x14ac:dyDescent="0.3">
      <c r="D31398" s="1"/>
      <c r="G31398" s="13"/>
      <c r="AL31398" s="13"/>
    </row>
    <row r="31399" spans="4:38" x14ac:dyDescent="0.3">
      <c r="D31399" s="1"/>
      <c r="G31399" s="13"/>
      <c r="AL31399" s="13"/>
    </row>
    <row r="31400" spans="4:38" x14ac:dyDescent="0.3">
      <c r="D31400" s="1"/>
      <c r="G31400" s="13"/>
      <c r="AL31400" s="13"/>
    </row>
    <row r="31401" spans="4:38" x14ac:dyDescent="0.3">
      <c r="D31401" s="1"/>
      <c r="G31401" s="13"/>
      <c r="AL31401" s="13"/>
    </row>
    <row r="31402" spans="4:38" x14ac:dyDescent="0.3">
      <c r="D31402" s="1"/>
      <c r="G31402" s="13"/>
      <c r="AL31402" s="13"/>
    </row>
    <row r="31403" spans="4:38" x14ac:dyDescent="0.3">
      <c r="D31403" s="1"/>
      <c r="G31403" s="13"/>
      <c r="AL31403" s="13"/>
    </row>
    <row r="31404" spans="4:38" x14ac:dyDescent="0.3">
      <c r="D31404" s="1"/>
      <c r="G31404" s="13"/>
      <c r="AL31404" s="13"/>
    </row>
    <row r="31405" spans="4:38" x14ac:dyDescent="0.3">
      <c r="D31405" s="1"/>
      <c r="G31405" s="13"/>
      <c r="AL31405" s="13"/>
    </row>
    <row r="31406" spans="4:38" x14ac:dyDescent="0.3">
      <c r="D31406" s="1"/>
      <c r="G31406" s="13"/>
      <c r="AL31406" s="13"/>
    </row>
    <row r="31407" spans="4:38" x14ac:dyDescent="0.3">
      <c r="D31407" s="1"/>
      <c r="G31407" s="13"/>
      <c r="AL31407" s="13"/>
    </row>
    <row r="31408" spans="4:38" x14ac:dyDescent="0.3">
      <c r="D31408" s="1"/>
      <c r="G31408" s="13"/>
      <c r="AL31408" s="13"/>
    </row>
    <row r="31409" spans="4:38" x14ac:dyDescent="0.3">
      <c r="D31409" s="1"/>
      <c r="G31409" s="13"/>
      <c r="AL31409" s="13"/>
    </row>
    <row r="31410" spans="4:38" x14ac:dyDescent="0.3">
      <c r="D31410" s="1"/>
      <c r="G31410" s="13"/>
      <c r="AL31410" s="13"/>
    </row>
    <row r="31411" spans="4:38" x14ac:dyDescent="0.3">
      <c r="D31411" s="1"/>
      <c r="G31411" s="13"/>
      <c r="AL31411" s="13"/>
    </row>
    <row r="31412" spans="4:38" x14ac:dyDescent="0.3">
      <c r="D31412" s="1"/>
      <c r="G31412" s="13"/>
      <c r="AL31412" s="13"/>
    </row>
    <row r="31413" spans="4:38" x14ac:dyDescent="0.3">
      <c r="D31413" s="1"/>
      <c r="G31413" s="13"/>
      <c r="AL31413" s="13"/>
    </row>
    <row r="31414" spans="4:38" x14ac:dyDescent="0.3">
      <c r="D31414" s="1"/>
      <c r="G31414" s="13"/>
      <c r="AL31414" s="13"/>
    </row>
    <row r="31415" spans="4:38" x14ac:dyDescent="0.3">
      <c r="D31415" s="1"/>
      <c r="G31415" s="13"/>
      <c r="AL31415" s="13"/>
    </row>
    <row r="31416" spans="4:38" x14ac:dyDescent="0.3">
      <c r="D31416" s="1"/>
      <c r="G31416" s="13"/>
      <c r="AL31416" s="13"/>
    </row>
    <row r="31417" spans="4:38" x14ac:dyDescent="0.3">
      <c r="D31417" s="1"/>
      <c r="G31417" s="13"/>
      <c r="AL31417" s="13"/>
    </row>
    <row r="31418" spans="4:38" x14ac:dyDescent="0.3">
      <c r="D31418" s="1"/>
      <c r="G31418" s="13"/>
      <c r="AL31418" s="13"/>
    </row>
    <row r="31419" spans="4:38" x14ac:dyDescent="0.3">
      <c r="D31419" s="1"/>
      <c r="G31419" s="13"/>
      <c r="AL31419" s="13"/>
    </row>
    <row r="31420" spans="4:38" x14ac:dyDescent="0.3">
      <c r="D31420" s="1"/>
      <c r="G31420" s="13"/>
      <c r="AL31420" s="13"/>
    </row>
    <row r="31421" spans="4:38" x14ac:dyDescent="0.3">
      <c r="D31421" s="1"/>
      <c r="G31421" s="13"/>
      <c r="AL31421" s="13"/>
    </row>
    <row r="31422" spans="4:38" x14ac:dyDescent="0.3">
      <c r="D31422" s="1"/>
      <c r="G31422" s="13"/>
      <c r="AL31422" s="13"/>
    </row>
    <row r="31423" spans="4:38" x14ac:dyDescent="0.3">
      <c r="D31423" s="1"/>
      <c r="G31423" s="13"/>
      <c r="AL31423" s="13"/>
    </row>
    <row r="31424" spans="4:38" x14ac:dyDescent="0.3">
      <c r="D31424" s="1"/>
      <c r="G31424" s="13"/>
      <c r="AL31424" s="13"/>
    </row>
    <row r="31425" spans="4:38" x14ac:dyDescent="0.3">
      <c r="D31425" s="1"/>
      <c r="G31425" s="13"/>
      <c r="AL31425" s="13"/>
    </row>
    <row r="31426" spans="4:38" x14ac:dyDescent="0.3">
      <c r="D31426" s="1"/>
      <c r="G31426" s="13"/>
      <c r="AL31426" s="13"/>
    </row>
    <row r="31427" spans="4:38" x14ac:dyDescent="0.3">
      <c r="D31427" s="1"/>
      <c r="G31427" s="13"/>
      <c r="AL31427" s="13"/>
    </row>
    <row r="31428" spans="4:38" x14ac:dyDescent="0.3">
      <c r="D31428" s="1"/>
      <c r="G31428" s="13"/>
      <c r="AL31428" s="13"/>
    </row>
    <row r="31429" spans="4:38" x14ac:dyDescent="0.3">
      <c r="D31429" s="1"/>
      <c r="G31429" s="13"/>
      <c r="AL31429" s="13"/>
    </row>
    <row r="31430" spans="4:38" x14ac:dyDescent="0.3">
      <c r="D31430" s="1"/>
      <c r="G31430" s="13"/>
      <c r="AL31430" s="13"/>
    </row>
    <row r="31431" spans="4:38" x14ac:dyDescent="0.3">
      <c r="D31431" s="1"/>
      <c r="G31431" s="13"/>
      <c r="AL31431" s="13"/>
    </row>
    <row r="31432" spans="4:38" x14ac:dyDescent="0.3">
      <c r="D31432" s="1"/>
      <c r="G31432" s="13"/>
      <c r="AL31432" s="13"/>
    </row>
    <row r="31433" spans="4:38" x14ac:dyDescent="0.3">
      <c r="D31433" s="1"/>
      <c r="G31433" s="13"/>
      <c r="AL31433" s="13"/>
    </row>
    <row r="31434" spans="4:38" x14ac:dyDescent="0.3">
      <c r="D31434" s="1"/>
      <c r="G31434" s="13"/>
      <c r="AL31434" s="13"/>
    </row>
    <row r="31435" spans="4:38" x14ac:dyDescent="0.3">
      <c r="D31435" s="1"/>
      <c r="G31435" s="13"/>
      <c r="AL31435" s="13"/>
    </row>
    <row r="31436" spans="4:38" x14ac:dyDescent="0.3">
      <c r="D31436" s="1"/>
      <c r="G31436" s="13"/>
      <c r="AL31436" s="13"/>
    </row>
    <row r="31437" spans="4:38" x14ac:dyDescent="0.3">
      <c r="D31437" s="1"/>
      <c r="G31437" s="13"/>
      <c r="AL31437" s="13"/>
    </row>
    <row r="31438" spans="4:38" x14ac:dyDescent="0.3">
      <c r="D31438" s="1"/>
      <c r="G31438" s="13"/>
      <c r="AL31438" s="13"/>
    </row>
    <row r="31439" spans="4:38" x14ac:dyDescent="0.3">
      <c r="D31439" s="1"/>
      <c r="G31439" s="13"/>
      <c r="AL31439" s="13"/>
    </row>
    <row r="31440" spans="4:38" x14ac:dyDescent="0.3">
      <c r="D31440" s="1"/>
      <c r="G31440" s="13"/>
      <c r="AL31440" s="13"/>
    </row>
    <row r="31441" spans="4:38" x14ac:dyDescent="0.3">
      <c r="D31441" s="1"/>
      <c r="G31441" s="13"/>
      <c r="AL31441" s="13"/>
    </row>
    <row r="31442" spans="4:38" x14ac:dyDescent="0.3">
      <c r="D31442" s="1"/>
      <c r="G31442" s="13"/>
      <c r="AL31442" s="13"/>
    </row>
    <row r="31443" spans="4:38" x14ac:dyDescent="0.3">
      <c r="D31443" s="1"/>
      <c r="G31443" s="13"/>
      <c r="AL31443" s="13"/>
    </row>
    <row r="31444" spans="4:38" x14ac:dyDescent="0.3">
      <c r="D31444" s="1"/>
      <c r="G31444" s="13"/>
      <c r="AL31444" s="13"/>
    </row>
    <row r="31445" spans="4:38" x14ac:dyDescent="0.3">
      <c r="D31445" s="1"/>
      <c r="G31445" s="13"/>
      <c r="AL31445" s="13"/>
    </row>
    <row r="31446" spans="4:38" x14ac:dyDescent="0.3">
      <c r="D31446" s="1"/>
      <c r="G31446" s="13"/>
      <c r="AL31446" s="13"/>
    </row>
    <row r="31447" spans="4:38" x14ac:dyDescent="0.3">
      <c r="D31447" s="1"/>
      <c r="G31447" s="13"/>
      <c r="AL31447" s="13"/>
    </row>
    <row r="31448" spans="4:38" x14ac:dyDescent="0.3">
      <c r="D31448" s="1"/>
      <c r="G31448" s="13"/>
      <c r="AL31448" s="13"/>
    </row>
    <row r="31449" spans="4:38" x14ac:dyDescent="0.3">
      <c r="D31449" s="1"/>
      <c r="G31449" s="13"/>
      <c r="AL31449" s="13"/>
    </row>
    <row r="31450" spans="4:38" x14ac:dyDescent="0.3">
      <c r="D31450" s="1"/>
      <c r="G31450" s="13"/>
      <c r="AL31450" s="13"/>
    </row>
    <row r="31451" spans="4:38" x14ac:dyDescent="0.3">
      <c r="D31451" s="1"/>
      <c r="G31451" s="13"/>
      <c r="AL31451" s="13"/>
    </row>
    <row r="31452" spans="4:38" x14ac:dyDescent="0.3">
      <c r="D31452" s="1"/>
      <c r="G31452" s="13"/>
      <c r="AL31452" s="13"/>
    </row>
    <row r="31453" spans="4:38" x14ac:dyDescent="0.3">
      <c r="D31453" s="1"/>
      <c r="G31453" s="13"/>
      <c r="AL31453" s="13"/>
    </row>
    <row r="31454" spans="4:38" x14ac:dyDescent="0.3">
      <c r="D31454" s="1"/>
      <c r="G31454" s="13"/>
      <c r="AL31454" s="13"/>
    </row>
    <row r="31455" spans="4:38" x14ac:dyDescent="0.3">
      <c r="D31455" s="1"/>
      <c r="G31455" s="13"/>
      <c r="AL31455" s="13"/>
    </row>
    <row r="31456" spans="4:38" x14ac:dyDescent="0.3">
      <c r="D31456" s="1"/>
      <c r="G31456" s="13"/>
      <c r="AL31456" s="13"/>
    </row>
    <row r="31457" spans="4:38" x14ac:dyDescent="0.3">
      <c r="D31457" s="1"/>
      <c r="G31457" s="13"/>
      <c r="AL31457" s="13"/>
    </row>
    <row r="31458" spans="4:38" x14ac:dyDescent="0.3">
      <c r="D31458" s="1"/>
      <c r="G31458" s="13"/>
      <c r="AL31458" s="13"/>
    </row>
    <row r="31459" spans="4:38" x14ac:dyDescent="0.3">
      <c r="D31459" s="1"/>
      <c r="G31459" s="13"/>
      <c r="AL31459" s="13"/>
    </row>
    <row r="31460" spans="4:38" x14ac:dyDescent="0.3">
      <c r="D31460" s="1"/>
      <c r="G31460" s="13"/>
      <c r="AL31460" s="13"/>
    </row>
    <row r="31461" spans="4:38" x14ac:dyDescent="0.3">
      <c r="D31461" s="1"/>
      <c r="G31461" s="13"/>
      <c r="AL31461" s="13"/>
    </row>
    <row r="31462" spans="4:38" x14ac:dyDescent="0.3">
      <c r="D31462" s="1"/>
      <c r="G31462" s="13"/>
      <c r="AL31462" s="13"/>
    </row>
    <row r="31463" spans="4:38" x14ac:dyDescent="0.3">
      <c r="D31463" s="1"/>
      <c r="G31463" s="13"/>
      <c r="AL31463" s="13"/>
    </row>
    <row r="31464" spans="4:38" x14ac:dyDescent="0.3">
      <c r="D31464" s="1"/>
      <c r="G31464" s="13"/>
      <c r="AL31464" s="13"/>
    </row>
    <row r="31465" spans="4:38" x14ac:dyDescent="0.3">
      <c r="D31465" s="1"/>
      <c r="G31465" s="13"/>
      <c r="AL31465" s="13"/>
    </row>
    <row r="31466" spans="4:38" x14ac:dyDescent="0.3">
      <c r="D31466" s="1"/>
      <c r="G31466" s="13"/>
      <c r="AL31466" s="13"/>
    </row>
    <row r="31467" spans="4:38" x14ac:dyDescent="0.3">
      <c r="D31467" s="1"/>
      <c r="G31467" s="13"/>
      <c r="AL31467" s="13"/>
    </row>
    <row r="31468" spans="4:38" x14ac:dyDescent="0.3">
      <c r="D31468" s="1"/>
      <c r="G31468" s="13"/>
      <c r="AL31468" s="13"/>
    </row>
    <row r="31469" spans="4:38" x14ac:dyDescent="0.3">
      <c r="D31469" s="1"/>
      <c r="G31469" s="13"/>
      <c r="AL31469" s="13"/>
    </row>
    <row r="31470" spans="4:38" x14ac:dyDescent="0.3">
      <c r="D31470" s="1"/>
      <c r="G31470" s="13"/>
      <c r="AL31470" s="13"/>
    </row>
    <row r="31471" spans="4:38" x14ac:dyDescent="0.3">
      <c r="D31471" s="1"/>
      <c r="G31471" s="13"/>
      <c r="AL31471" s="13"/>
    </row>
    <row r="31472" spans="4:38" x14ac:dyDescent="0.3">
      <c r="D31472" s="1"/>
      <c r="G31472" s="13"/>
      <c r="AL31472" s="13"/>
    </row>
    <row r="31473" spans="4:38" x14ac:dyDescent="0.3">
      <c r="D31473" s="1"/>
      <c r="G31473" s="13"/>
      <c r="AL31473" s="13"/>
    </row>
    <row r="31474" spans="4:38" x14ac:dyDescent="0.3">
      <c r="D31474" s="1"/>
      <c r="G31474" s="13"/>
      <c r="AL31474" s="13"/>
    </row>
    <row r="31475" spans="4:38" x14ac:dyDescent="0.3">
      <c r="D31475" s="1"/>
      <c r="G31475" s="13"/>
      <c r="AL31475" s="13"/>
    </row>
    <row r="31476" spans="4:38" x14ac:dyDescent="0.3">
      <c r="D31476" s="1"/>
      <c r="G31476" s="13"/>
      <c r="AL31476" s="13"/>
    </row>
    <row r="31477" spans="4:38" x14ac:dyDescent="0.3">
      <c r="D31477" s="1"/>
      <c r="G31477" s="13"/>
      <c r="AL31477" s="13"/>
    </row>
    <row r="31478" spans="4:38" x14ac:dyDescent="0.3">
      <c r="D31478" s="1"/>
      <c r="G31478" s="13"/>
      <c r="AL31478" s="13"/>
    </row>
    <row r="31479" spans="4:38" x14ac:dyDescent="0.3">
      <c r="D31479" s="1"/>
      <c r="G31479" s="13"/>
      <c r="AL31479" s="13"/>
    </row>
    <row r="31480" spans="4:38" x14ac:dyDescent="0.3">
      <c r="D31480" s="1"/>
      <c r="G31480" s="13"/>
      <c r="AL31480" s="13"/>
    </row>
    <row r="31481" spans="4:38" x14ac:dyDescent="0.3">
      <c r="D31481" s="1"/>
      <c r="G31481" s="13"/>
      <c r="AL31481" s="13"/>
    </row>
    <row r="31482" spans="4:38" x14ac:dyDescent="0.3">
      <c r="D31482" s="1"/>
      <c r="G31482" s="13"/>
      <c r="AL31482" s="13"/>
    </row>
    <row r="31483" spans="4:38" x14ac:dyDescent="0.3">
      <c r="D31483" s="1"/>
      <c r="G31483" s="13"/>
      <c r="AL31483" s="13"/>
    </row>
    <row r="31484" spans="4:38" x14ac:dyDescent="0.3">
      <c r="D31484" s="1"/>
      <c r="G31484" s="13"/>
      <c r="AL31484" s="13"/>
    </row>
    <row r="31485" spans="4:38" x14ac:dyDescent="0.3">
      <c r="D31485" s="1"/>
      <c r="G31485" s="13"/>
      <c r="AL31485" s="13"/>
    </row>
    <row r="31486" spans="4:38" x14ac:dyDescent="0.3">
      <c r="D31486" s="1"/>
      <c r="G31486" s="13"/>
      <c r="AL31486" s="13"/>
    </row>
    <row r="31487" spans="4:38" x14ac:dyDescent="0.3">
      <c r="D31487" s="1"/>
      <c r="G31487" s="13"/>
      <c r="AL31487" s="13"/>
    </row>
    <row r="31488" spans="4:38" x14ac:dyDescent="0.3">
      <c r="D31488" s="1"/>
      <c r="G31488" s="13"/>
      <c r="AL31488" s="13"/>
    </row>
    <row r="31489" spans="4:38" x14ac:dyDescent="0.3">
      <c r="D31489" s="1"/>
      <c r="G31489" s="13"/>
      <c r="AL31489" s="13"/>
    </row>
    <row r="31490" spans="4:38" x14ac:dyDescent="0.3">
      <c r="D31490" s="1"/>
      <c r="G31490" s="13"/>
      <c r="AL31490" s="13"/>
    </row>
    <row r="31491" spans="4:38" x14ac:dyDescent="0.3">
      <c r="D31491" s="1"/>
      <c r="G31491" s="13"/>
      <c r="AL31491" s="13"/>
    </row>
    <row r="31492" spans="4:38" x14ac:dyDescent="0.3">
      <c r="D31492" s="1"/>
      <c r="G31492" s="13"/>
      <c r="AL31492" s="13"/>
    </row>
    <row r="31493" spans="4:38" x14ac:dyDescent="0.3">
      <c r="D31493" s="1"/>
      <c r="G31493" s="13"/>
      <c r="AL31493" s="13"/>
    </row>
    <row r="31494" spans="4:38" x14ac:dyDescent="0.3">
      <c r="D31494" s="1"/>
      <c r="G31494" s="13"/>
      <c r="AL31494" s="13"/>
    </row>
    <row r="31495" spans="4:38" x14ac:dyDescent="0.3">
      <c r="D31495" s="1"/>
      <c r="G31495" s="13"/>
      <c r="AL31495" s="13"/>
    </row>
    <row r="31496" spans="4:38" x14ac:dyDescent="0.3">
      <c r="D31496" s="1"/>
      <c r="G31496" s="13"/>
      <c r="AL31496" s="13"/>
    </row>
    <row r="31497" spans="4:38" x14ac:dyDescent="0.3">
      <c r="D31497" s="1"/>
      <c r="G31497" s="13"/>
      <c r="AL31497" s="13"/>
    </row>
    <row r="31498" spans="4:38" x14ac:dyDescent="0.3">
      <c r="D31498" s="1"/>
      <c r="G31498" s="13"/>
      <c r="AL31498" s="13"/>
    </row>
    <row r="31499" spans="4:38" x14ac:dyDescent="0.3">
      <c r="D31499" s="1"/>
      <c r="G31499" s="13"/>
      <c r="AL31499" s="13"/>
    </row>
    <row r="31500" spans="4:38" x14ac:dyDescent="0.3">
      <c r="D31500" s="1"/>
      <c r="G31500" s="13"/>
      <c r="AL31500" s="13"/>
    </row>
    <row r="31501" spans="4:38" x14ac:dyDescent="0.3">
      <c r="D31501" s="1"/>
      <c r="G31501" s="13"/>
      <c r="AL31501" s="13"/>
    </row>
    <row r="31502" spans="4:38" x14ac:dyDescent="0.3">
      <c r="D31502" s="1"/>
      <c r="G31502" s="13"/>
      <c r="AL31502" s="13"/>
    </row>
    <row r="31503" spans="4:38" x14ac:dyDescent="0.3">
      <c r="D31503" s="1"/>
      <c r="G31503" s="13"/>
      <c r="AL31503" s="13"/>
    </row>
    <row r="31504" spans="4:38" x14ac:dyDescent="0.3">
      <c r="D31504" s="1"/>
      <c r="G31504" s="13"/>
      <c r="AL31504" s="13"/>
    </row>
    <row r="31505" spans="4:38" x14ac:dyDescent="0.3">
      <c r="D31505" s="1"/>
      <c r="G31505" s="13"/>
      <c r="AL31505" s="13"/>
    </row>
    <row r="31506" spans="4:38" x14ac:dyDescent="0.3">
      <c r="D31506" s="1"/>
      <c r="G31506" s="13"/>
      <c r="AL31506" s="13"/>
    </row>
    <row r="31507" spans="4:38" x14ac:dyDescent="0.3">
      <c r="D31507" s="1"/>
      <c r="G31507" s="13"/>
      <c r="AL31507" s="13"/>
    </row>
    <row r="31508" spans="4:38" x14ac:dyDescent="0.3">
      <c r="D31508" s="1"/>
      <c r="G31508" s="13"/>
      <c r="AL31508" s="13"/>
    </row>
    <row r="31509" spans="4:38" x14ac:dyDescent="0.3">
      <c r="D31509" s="1"/>
      <c r="G31509" s="13"/>
      <c r="AL31509" s="13"/>
    </row>
    <row r="31510" spans="4:38" x14ac:dyDescent="0.3">
      <c r="D31510" s="1"/>
      <c r="G31510" s="13"/>
      <c r="AL31510" s="13"/>
    </row>
    <row r="31511" spans="4:38" x14ac:dyDescent="0.3">
      <c r="D31511" s="1"/>
      <c r="G31511" s="13"/>
      <c r="AL31511" s="13"/>
    </row>
    <row r="31512" spans="4:38" x14ac:dyDescent="0.3">
      <c r="D31512" s="1"/>
      <c r="G31512" s="13"/>
      <c r="AL31512" s="13"/>
    </row>
    <row r="31513" spans="4:38" x14ac:dyDescent="0.3">
      <c r="D31513" s="1"/>
      <c r="G31513" s="13"/>
      <c r="AL31513" s="13"/>
    </row>
    <row r="31514" spans="4:38" x14ac:dyDescent="0.3">
      <c r="D31514" s="1"/>
      <c r="G31514" s="13"/>
      <c r="AL31514" s="13"/>
    </row>
    <row r="31515" spans="4:38" x14ac:dyDescent="0.3">
      <c r="D31515" s="1"/>
      <c r="G31515" s="13"/>
      <c r="AL31515" s="13"/>
    </row>
    <row r="31516" spans="4:38" x14ac:dyDescent="0.3">
      <c r="D31516" s="1"/>
      <c r="G31516" s="13"/>
      <c r="AL31516" s="13"/>
    </row>
    <row r="31517" spans="4:38" x14ac:dyDescent="0.3">
      <c r="D31517" s="1"/>
      <c r="G31517" s="13"/>
      <c r="AL31517" s="13"/>
    </row>
    <row r="31518" spans="4:38" x14ac:dyDescent="0.3">
      <c r="D31518" s="1"/>
      <c r="G31518" s="13"/>
      <c r="AL31518" s="13"/>
    </row>
    <row r="31519" spans="4:38" x14ac:dyDescent="0.3">
      <c r="D31519" s="1"/>
      <c r="G31519" s="13"/>
      <c r="AL31519" s="13"/>
    </row>
    <row r="31520" spans="4:38" x14ac:dyDescent="0.3">
      <c r="D31520" s="1"/>
      <c r="G31520" s="13"/>
      <c r="AL31520" s="13"/>
    </row>
    <row r="31521" spans="4:38" x14ac:dyDescent="0.3">
      <c r="D31521" s="1"/>
      <c r="G31521" s="13"/>
      <c r="AL31521" s="13"/>
    </row>
    <row r="31522" spans="4:38" x14ac:dyDescent="0.3">
      <c r="D31522" s="1"/>
      <c r="G31522" s="13"/>
      <c r="AL31522" s="13"/>
    </row>
    <row r="31523" spans="4:38" x14ac:dyDescent="0.3">
      <c r="D31523" s="1"/>
      <c r="G31523" s="13"/>
      <c r="AL31523" s="13"/>
    </row>
    <row r="31524" spans="4:38" x14ac:dyDescent="0.3">
      <c r="D31524" s="1"/>
      <c r="G31524" s="13"/>
      <c r="AL31524" s="13"/>
    </row>
    <row r="31525" spans="4:38" x14ac:dyDescent="0.3">
      <c r="D31525" s="1"/>
      <c r="G31525" s="13"/>
      <c r="AL31525" s="13"/>
    </row>
    <row r="31526" spans="4:38" x14ac:dyDescent="0.3">
      <c r="D31526" s="1"/>
      <c r="G31526" s="13"/>
      <c r="AL31526" s="13"/>
    </row>
    <row r="31527" spans="4:38" x14ac:dyDescent="0.3">
      <c r="D31527" s="1"/>
      <c r="G31527" s="13"/>
      <c r="AL31527" s="13"/>
    </row>
    <row r="31528" spans="4:38" x14ac:dyDescent="0.3">
      <c r="D31528" s="1"/>
      <c r="G31528" s="13"/>
      <c r="AL31528" s="13"/>
    </row>
    <row r="31529" spans="4:38" x14ac:dyDescent="0.3">
      <c r="D31529" s="1"/>
      <c r="G31529" s="13"/>
      <c r="AL31529" s="13"/>
    </row>
    <row r="31530" spans="4:38" x14ac:dyDescent="0.3">
      <c r="D31530" s="1"/>
      <c r="G31530" s="13"/>
      <c r="AL31530" s="13"/>
    </row>
    <row r="31531" spans="4:38" x14ac:dyDescent="0.3">
      <c r="D31531" s="1"/>
      <c r="G31531" s="13"/>
      <c r="AL31531" s="13"/>
    </row>
    <row r="31532" spans="4:38" x14ac:dyDescent="0.3">
      <c r="D31532" s="1"/>
      <c r="G31532" s="13"/>
      <c r="AL31532" s="13"/>
    </row>
    <row r="31533" spans="4:38" x14ac:dyDescent="0.3">
      <c r="D31533" s="1"/>
      <c r="G31533" s="13"/>
      <c r="AL31533" s="13"/>
    </row>
    <row r="31534" spans="4:38" x14ac:dyDescent="0.3">
      <c r="D31534" s="1"/>
      <c r="G31534" s="13"/>
      <c r="AL31534" s="13"/>
    </row>
    <row r="31535" spans="4:38" x14ac:dyDescent="0.3">
      <c r="D31535" s="1"/>
      <c r="G31535" s="13"/>
      <c r="AL31535" s="13"/>
    </row>
    <row r="31536" spans="4:38" x14ac:dyDescent="0.3">
      <c r="D31536" s="1"/>
      <c r="G31536" s="13"/>
      <c r="AL31536" s="13"/>
    </row>
    <row r="31537" spans="4:38" x14ac:dyDescent="0.3">
      <c r="D31537" s="1"/>
      <c r="G31537" s="13"/>
      <c r="AL31537" s="13"/>
    </row>
    <row r="31538" spans="4:38" x14ac:dyDescent="0.3">
      <c r="D31538" s="1"/>
      <c r="G31538" s="13"/>
      <c r="AL31538" s="13"/>
    </row>
    <row r="31539" spans="4:38" x14ac:dyDescent="0.3">
      <c r="D31539" s="1"/>
      <c r="G31539" s="13"/>
      <c r="AL31539" s="13"/>
    </row>
    <row r="31540" spans="4:38" x14ac:dyDescent="0.3">
      <c r="D31540" s="1"/>
      <c r="G31540" s="13"/>
      <c r="AL31540" s="13"/>
    </row>
    <row r="31541" spans="4:38" x14ac:dyDescent="0.3">
      <c r="D31541" s="1"/>
      <c r="G31541" s="13"/>
      <c r="AL31541" s="13"/>
    </row>
    <row r="31542" spans="4:38" x14ac:dyDescent="0.3">
      <c r="D31542" s="1"/>
      <c r="G31542" s="13"/>
      <c r="AL31542" s="13"/>
    </row>
    <row r="31543" spans="4:38" x14ac:dyDescent="0.3">
      <c r="D31543" s="1"/>
      <c r="G31543" s="13"/>
      <c r="AL31543" s="13"/>
    </row>
    <row r="31544" spans="4:38" x14ac:dyDescent="0.3">
      <c r="D31544" s="1"/>
      <c r="G31544" s="13"/>
      <c r="AL31544" s="13"/>
    </row>
    <row r="31545" spans="4:38" x14ac:dyDescent="0.3">
      <c r="D31545" s="1"/>
      <c r="G31545" s="13"/>
      <c r="AL31545" s="13"/>
    </row>
    <row r="31546" spans="4:38" x14ac:dyDescent="0.3">
      <c r="D31546" s="1"/>
      <c r="G31546" s="13"/>
      <c r="AL31546" s="13"/>
    </row>
    <row r="31547" spans="4:38" x14ac:dyDescent="0.3">
      <c r="D31547" s="1"/>
      <c r="G31547" s="13"/>
      <c r="AL31547" s="13"/>
    </row>
    <row r="31548" spans="4:38" x14ac:dyDescent="0.3">
      <c r="D31548" s="1"/>
      <c r="G31548" s="13"/>
      <c r="AL31548" s="13"/>
    </row>
    <row r="31549" spans="4:38" x14ac:dyDescent="0.3">
      <c r="D31549" s="1"/>
      <c r="G31549" s="13"/>
      <c r="AL31549" s="13"/>
    </row>
    <row r="31550" spans="4:38" x14ac:dyDescent="0.3">
      <c r="D31550" s="1"/>
      <c r="G31550" s="13"/>
      <c r="AL31550" s="13"/>
    </row>
    <row r="31551" spans="4:38" x14ac:dyDescent="0.3">
      <c r="D31551" s="1"/>
      <c r="G31551" s="13"/>
      <c r="AL31551" s="13"/>
    </row>
    <row r="31552" spans="4:38" x14ac:dyDescent="0.3">
      <c r="D31552" s="1"/>
      <c r="G31552" s="13"/>
      <c r="AL31552" s="13"/>
    </row>
    <row r="31553" spans="4:38" x14ac:dyDescent="0.3">
      <c r="D31553" s="1"/>
      <c r="G31553" s="13"/>
      <c r="AL31553" s="13"/>
    </row>
    <row r="31554" spans="4:38" x14ac:dyDescent="0.3">
      <c r="D31554" s="1"/>
      <c r="G31554" s="13"/>
      <c r="AL31554" s="13"/>
    </row>
    <row r="31555" spans="4:38" x14ac:dyDescent="0.3">
      <c r="D31555" s="1"/>
      <c r="G31555" s="13"/>
      <c r="AL31555" s="13"/>
    </row>
    <row r="31556" spans="4:38" x14ac:dyDescent="0.3">
      <c r="D31556" s="1"/>
      <c r="G31556" s="13"/>
      <c r="AL31556" s="13"/>
    </row>
    <row r="31557" spans="4:38" x14ac:dyDescent="0.3">
      <c r="D31557" s="1"/>
      <c r="G31557" s="13"/>
      <c r="AL31557" s="13"/>
    </row>
    <row r="31558" spans="4:38" x14ac:dyDescent="0.3">
      <c r="D31558" s="1"/>
      <c r="G31558" s="13"/>
      <c r="AL31558" s="13"/>
    </row>
    <row r="31559" spans="4:38" x14ac:dyDescent="0.3">
      <c r="D31559" s="1"/>
      <c r="G31559" s="13"/>
      <c r="AL31559" s="13"/>
    </row>
    <row r="31560" spans="4:38" x14ac:dyDescent="0.3">
      <c r="D31560" s="1"/>
      <c r="G31560" s="13"/>
      <c r="AL31560" s="13"/>
    </row>
    <row r="31561" spans="4:38" x14ac:dyDescent="0.3">
      <c r="D31561" s="1"/>
      <c r="G31561" s="13"/>
      <c r="AL31561" s="13"/>
    </row>
    <row r="31562" spans="4:38" x14ac:dyDescent="0.3">
      <c r="D31562" s="1"/>
      <c r="G31562" s="13"/>
      <c r="AL31562" s="13"/>
    </row>
    <row r="31563" spans="4:38" x14ac:dyDescent="0.3">
      <c r="D31563" s="1"/>
      <c r="G31563" s="13"/>
      <c r="AL31563" s="13"/>
    </row>
    <row r="31564" spans="4:38" x14ac:dyDescent="0.3">
      <c r="D31564" s="1"/>
      <c r="G31564" s="13"/>
      <c r="AL31564" s="13"/>
    </row>
    <row r="31565" spans="4:38" x14ac:dyDescent="0.3">
      <c r="D31565" s="1"/>
      <c r="G31565" s="13"/>
      <c r="AL31565" s="13"/>
    </row>
    <row r="31566" spans="4:38" x14ac:dyDescent="0.3">
      <c r="D31566" s="1"/>
      <c r="G31566" s="13"/>
      <c r="AL31566" s="13"/>
    </row>
    <row r="31567" spans="4:38" x14ac:dyDescent="0.3">
      <c r="D31567" s="1"/>
      <c r="G31567" s="13"/>
      <c r="AL31567" s="13"/>
    </row>
    <row r="31568" spans="4:38" x14ac:dyDescent="0.3">
      <c r="D31568" s="1"/>
      <c r="G31568" s="13"/>
      <c r="AL31568" s="13"/>
    </row>
    <row r="31569" spans="4:38" x14ac:dyDescent="0.3">
      <c r="D31569" s="1"/>
      <c r="G31569" s="13"/>
      <c r="AL31569" s="13"/>
    </row>
    <row r="31570" spans="4:38" x14ac:dyDescent="0.3">
      <c r="D31570" s="1"/>
      <c r="G31570" s="13"/>
      <c r="AL31570" s="13"/>
    </row>
    <row r="31571" spans="4:38" x14ac:dyDescent="0.3">
      <c r="D31571" s="1"/>
      <c r="G31571" s="13"/>
      <c r="AL31571" s="13"/>
    </row>
    <row r="31572" spans="4:38" x14ac:dyDescent="0.3">
      <c r="D31572" s="1"/>
      <c r="G31572" s="13"/>
      <c r="AL31572" s="13"/>
    </row>
    <row r="31573" spans="4:38" x14ac:dyDescent="0.3">
      <c r="D31573" s="1"/>
      <c r="G31573" s="13"/>
      <c r="AL31573" s="13"/>
    </row>
    <row r="31574" spans="4:38" x14ac:dyDescent="0.3">
      <c r="D31574" s="1"/>
      <c r="G31574" s="13"/>
      <c r="AL31574" s="13"/>
    </row>
    <row r="31575" spans="4:38" x14ac:dyDescent="0.3">
      <c r="D31575" s="1"/>
      <c r="G31575" s="13"/>
      <c r="AL31575" s="13"/>
    </row>
    <row r="31576" spans="4:38" x14ac:dyDescent="0.3">
      <c r="D31576" s="1"/>
      <c r="G31576" s="13"/>
      <c r="AL31576" s="13"/>
    </row>
    <row r="31577" spans="4:38" x14ac:dyDescent="0.3">
      <c r="D31577" s="1"/>
      <c r="G31577" s="13"/>
      <c r="AL31577" s="13"/>
    </row>
    <row r="31578" spans="4:38" x14ac:dyDescent="0.3">
      <c r="D31578" s="1"/>
      <c r="G31578" s="13"/>
      <c r="AL31578" s="13"/>
    </row>
    <row r="31579" spans="4:38" x14ac:dyDescent="0.3">
      <c r="D31579" s="1"/>
      <c r="G31579" s="13"/>
      <c r="AL31579" s="13"/>
    </row>
    <row r="31580" spans="4:38" x14ac:dyDescent="0.3">
      <c r="D31580" s="1"/>
      <c r="G31580" s="13"/>
      <c r="AL31580" s="13"/>
    </row>
    <row r="31581" spans="4:38" x14ac:dyDescent="0.3">
      <c r="D31581" s="1"/>
      <c r="G31581" s="13"/>
      <c r="AL31581" s="13"/>
    </row>
    <row r="31582" spans="4:38" x14ac:dyDescent="0.3">
      <c r="D31582" s="1"/>
      <c r="G31582" s="13"/>
      <c r="AL31582" s="13"/>
    </row>
    <row r="31583" spans="4:38" x14ac:dyDescent="0.3">
      <c r="D31583" s="1"/>
      <c r="G31583" s="13"/>
      <c r="AL31583" s="13"/>
    </row>
    <row r="31584" spans="4:38" x14ac:dyDescent="0.3">
      <c r="D31584" s="1"/>
      <c r="G31584" s="13"/>
      <c r="AL31584" s="13"/>
    </row>
    <row r="31585" spans="4:38" x14ac:dyDescent="0.3">
      <c r="D31585" s="1"/>
      <c r="G31585" s="13"/>
      <c r="AL31585" s="13"/>
    </row>
    <row r="31586" spans="4:38" x14ac:dyDescent="0.3">
      <c r="D31586" s="1"/>
      <c r="G31586" s="13"/>
      <c r="AL31586" s="13"/>
    </row>
    <row r="31587" spans="4:38" x14ac:dyDescent="0.3">
      <c r="D31587" s="1"/>
      <c r="G31587" s="13"/>
      <c r="AL31587" s="13"/>
    </row>
    <row r="31588" spans="4:38" x14ac:dyDescent="0.3">
      <c r="D31588" s="1"/>
      <c r="G31588" s="13"/>
      <c r="AL31588" s="13"/>
    </row>
    <row r="31589" spans="4:38" x14ac:dyDescent="0.3">
      <c r="D31589" s="1"/>
      <c r="G31589" s="13"/>
      <c r="AL31589" s="13"/>
    </row>
    <row r="31590" spans="4:38" x14ac:dyDescent="0.3">
      <c r="D31590" s="1"/>
      <c r="G31590" s="13"/>
      <c r="AL31590" s="13"/>
    </row>
    <row r="31591" spans="4:38" x14ac:dyDescent="0.3">
      <c r="D31591" s="1"/>
      <c r="G31591" s="13"/>
      <c r="AL31591" s="13"/>
    </row>
    <row r="31592" spans="4:38" x14ac:dyDescent="0.3">
      <c r="D31592" s="1"/>
      <c r="G31592" s="13"/>
      <c r="AL31592" s="13"/>
    </row>
    <row r="31593" spans="4:38" x14ac:dyDescent="0.3">
      <c r="D31593" s="1"/>
      <c r="G31593" s="13"/>
      <c r="AL31593" s="13"/>
    </row>
    <row r="31594" spans="4:38" x14ac:dyDescent="0.3">
      <c r="D31594" s="1"/>
      <c r="G31594" s="13"/>
      <c r="AL31594" s="13"/>
    </row>
    <row r="31595" spans="4:38" x14ac:dyDescent="0.3">
      <c r="D31595" s="1"/>
      <c r="G31595" s="13"/>
      <c r="AL31595" s="13"/>
    </row>
    <row r="31596" spans="4:38" x14ac:dyDescent="0.3">
      <c r="D31596" s="1"/>
      <c r="G31596" s="13"/>
      <c r="AL31596" s="13"/>
    </row>
    <row r="31597" spans="4:38" x14ac:dyDescent="0.3">
      <c r="D31597" s="1"/>
      <c r="G31597" s="13"/>
      <c r="AL31597" s="13"/>
    </row>
    <row r="31598" spans="4:38" x14ac:dyDescent="0.3">
      <c r="D31598" s="1"/>
      <c r="G31598" s="13"/>
      <c r="AL31598" s="13"/>
    </row>
    <row r="31599" spans="4:38" x14ac:dyDescent="0.3">
      <c r="D31599" s="1"/>
      <c r="G31599" s="13"/>
      <c r="AL31599" s="13"/>
    </row>
    <row r="31600" spans="4:38" x14ac:dyDescent="0.3">
      <c r="D31600" s="1"/>
      <c r="G31600" s="13"/>
      <c r="AL31600" s="13"/>
    </row>
    <row r="31601" spans="4:38" x14ac:dyDescent="0.3">
      <c r="D31601" s="1"/>
      <c r="G31601" s="13"/>
      <c r="AL31601" s="13"/>
    </row>
    <row r="31602" spans="4:38" x14ac:dyDescent="0.3">
      <c r="D31602" s="1"/>
      <c r="G31602" s="13"/>
      <c r="AL31602" s="13"/>
    </row>
    <row r="31603" spans="4:38" x14ac:dyDescent="0.3">
      <c r="D31603" s="1"/>
      <c r="G31603" s="13"/>
      <c r="AL31603" s="13"/>
    </row>
    <row r="31604" spans="4:38" x14ac:dyDescent="0.3">
      <c r="D31604" s="1"/>
      <c r="G31604" s="13"/>
      <c r="AL31604" s="13"/>
    </row>
    <row r="31605" spans="4:38" x14ac:dyDescent="0.3">
      <c r="D31605" s="1"/>
      <c r="G31605" s="13"/>
      <c r="AL31605" s="13"/>
    </row>
    <row r="31606" spans="4:38" x14ac:dyDescent="0.3">
      <c r="D31606" s="1"/>
      <c r="G31606" s="13"/>
      <c r="AL31606" s="13"/>
    </row>
    <row r="31607" spans="4:38" x14ac:dyDescent="0.3">
      <c r="D31607" s="1"/>
      <c r="G31607" s="13"/>
      <c r="AL31607" s="13"/>
    </row>
    <row r="31608" spans="4:38" x14ac:dyDescent="0.3">
      <c r="D31608" s="1"/>
      <c r="G31608" s="13"/>
      <c r="AL31608" s="13"/>
    </row>
    <row r="31609" spans="4:38" x14ac:dyDescent="0.3">
      <c r="D31609" s="1"/>
      <c r="G31609" s="13"/>
      <c r="AL31609" s="13"/>
    </row>
    <row r="31610" spans="4:38" x14ac:dyDescent="0.3">
      <c r="D31610" s="1"/>
      <c r="G31610" s="13"/>
      <c r="AL31610" s="13"/>
    </row>
    <row r="31611" spans="4:38" x14ac:dyDescent="0.3">
      <c r="D31611" s="1"/>
      <c r="G31611" s="13"/>
      <c r="AL31611" s="13"/>
    </row>
    <row r="31612" spans="4:38" x14ac:dyDescent="0.3">
      <c r="D31612" s="1"/>
      <c r="G31612" s="13"/>
      <c r="AL31612" s="13"/>
    </row>
    <row r="31613" spans="4:38" x14ac:dyDescent="0.3">
      <c r="D31613" s="1"/>
      <c r="G31613" s="13"/>
      <c r="AL31613" s="13"/>
    </row>
    <row r="31614" spans="4:38" x14ac:dyDescent="0.3">
      <c r="D31614" s="1"/>
      <c r="G31614" s="13"/>
      <c r="AL31614" s="13"/>
    </row>
    <row r="31615" spans="4:38" x14ac:dyDescent="0.3">
      <c r="D31615" s="1"/>
      <c r="G31615" s="13"/>
      <c r="AL31615" s="13"/>
    </row>
    <row r="31616" spans="4:38" x14ac:dyDescent="0.3">
      <c r="D31616" s="1"/>
      <c r="G31616" s="13"/>
      <c r="AL31616" s="13"/>
    </row>
    <row r="31617" spans="4:38" x14ac:dyDescent="0.3">
      <c r="D31617" s="1"/>
      <c r="G31617" s="13"/>
      <c r="AL31617" s="13"/>
    </row>
    <row r="31618" spans="4:38" x14ac:dyDescent="0.3">
      <c r="D31618" s="1"/>
      <c r="G31618" s="13"/>
      <c r="AL31618" s="13"/>
    </row>
    <row r="31619" spans="4:38" x14ac:dyDescent="0.3">
      <c r="D31619" s="1"/>
      <c r="G31619" s="13"/>
      <c r="AL31619" s="13"/>
    </row>
    <row r="31620" spans="4:38" x14ac:dyDescent="0.3">
      <c r="D31620" s="1"/>
      <c r="G31620" s="13"/>
      <c r="AL31620" s="13"/>
    </row>
    <row r="31621" spans="4:38" x14ac:dyDescent="0.3">
      <c r="D31621" s="1"/>
      <c r="G31621" s="13"/>
      <c r="AL31621" s="13"/>
    </row>
    <row r="31622" spans="4:38" x14ac:dyDescent="0.3">
      <c r="D31622" s="1"/>
      <c r="G31622" s="13"/>
      <c r="AL31622" s="13"/>
    </row>
    <row r="31623" spans="4:38" x14ac:dyDescent="0.3">
      <c r="D31623" s="1"/>
      <c r="G31623" s="13"/>
      <c r="AL31623" s="13"/>
    </row>
    <row r="31624" spans="4:38" x14ac:dyDescent="0.3">
      <c r="D31624" s="1"/>
      <c r="G31624" s="13"/>
      <c r="AL31624" s="13"/>
    </row>
    <row r="31625" spans="4:38" x14ac:dyDescent="0.3">
      <c r="D31625" s="1"/>
      <c r="G31625" s="13"/>
      <c r="AL31625" s="13"/>
    </row>
    <row r="31626" spans="4:38" x14ac:dyDescent="0.3">
      <c r="D31626" s="1"/>
      <c r="G31626" s="13"/>
      <c r="AL31626" s="13"/>
    </row>
    <row r="31627" spans="4:38" x14ac:dyDescent="0.3">
      <c r="D31627" s="1"/>
      <c r="G31627" s="13"/>
      <c r="AL31627" s="13"/>
    </row>
    <row r="31628" spans="4:38" x14ac:dyDescent="0.3">
      <c r="D31628" s="1"/>
      <c r="G31628" s="13"/>
      <c r="AL31628" s="13"/>
    </row>
    <row r="31629" spans="4:38" x14ac:dyDescent="0.3">
      <c r="D31629" s="1"/>
      <c r="G31629" s="13"/>
      <c r="AL31629" s="13"/>
    </row>
    <row r="31630" spans="4:38" x14ac:dyDescent="0.3">
      <c r="D31630" s="1"/>
      <c r="G31630" s="13"/>
      <c r="AL31630" s="13"/>
    </row>
    <row r="31631" spans="4:38" x14ac:dyDescent="0.3">
      <c r="D31631" s="1"/>
      <c r="G31631" s="13"/>
      <c r="AL31631" s="13"/>
    </row>
    <row r="31632" spans="4:38" x14ac:dyDescent="0.3">
      <c r="D31632" s="1"/>
      <c r="G31632" s="13"/>
      <c r="AL31632" s="13"/>
    </row>
    <row r="31633" spans="4:38" x14ac:dyDescent="0.3">
      <c r="D31633" s="1"/>
      <c r="G31633" s="13"/>
      <c r="AL31633" s="13"/>
    </row>
    <row r="31634" spans="4:38" x14ac:dyDescent="0.3">
      <c r="D31634" s="1"/>
      <c r="G31634" s="13"/>
      <c r="AL31634" s="13"/>
    </row>
    <row r="31635" spans="4:38" x14ac:dyDescent="0.3">
      <c r="D31635" s="1"/>
      <c r="G31635" s="13"/>
      <c r="AL31635" s="13"/>
    </row>
    <row r="31636" spans="4:38" x14ac:dyDescent="0.3">
      <c r="D31636" s="1"/>
      <c r="G31636" s="13"/>
      <c r="AL31636" s="13"/>
    </row>
    <row r="31637" spans="4:38" x14ac:dyDescent="0.3">
      <c r="D31637" s="1"/>
      <c r="G31637" s="13"/>
      <c r="AL31637" s="13"/>
    </row>
    <row r="31638" spans="4:38" x14ac:dyDescent="0.3">
      <c r="D31638" s="1"/>
      <c r="G31638" s="13"/>
      <c r="AL31638" s="13"/>
    </row>
    <row r="31639" spans="4:38" x14ac:dyDescent="0.3">
      <c r="D31639" s="1"/>
      <c r="G31639" s="13"/>
      <c r="AL31639" s="13"/>
    </row>
    <row r="31640" spans="4:38" x14ac:dyDescent="0.3">
      <c r="D31640" s="1"/>
      <c r="G31640" s="13"/>
      <c r="AL31640" s="13"/>
    </row>
    <row r="31641" spans="4:38" x14ac:dyDescent="0.3">
      <c r="D31641" s="1"/>
      <c r="G31641" s="13"/>
      <c r="AL31641" s="13"/>
    </row>
    <row r="31642" spans="4:38" x14ac:dyDescent="0.3">
      <c r="D31642" s="1"/>
      <c r="G31642" s="13"/>
      <c r="AL31642" s="13"/>
    </row>
    <row r="31643" spans="4:38" x14ac:dyDescent="0.3">
      <c r="D31643" s="1"/>
      <c r="G31643" s="13"/>
      <c r="AL31643" s="13"/>
    </row>
    <row r="31644" spans="4:38" x14ac:dyDescent="0.3">
      <c r="D31644" s="1"/>
      <c r="G31644" s="13"/>
      <c r="AL31644" s="13"/>
    </row>
    <row r="31645" spans="4:38" x14ac:dyDescent="0.3">
      <c r="D31645" s="1"/>
      <c r="G31645" s="13"/>
      <c r="AL31645" s="13"/>
    </row>
    <row r="31646" spans="4:38" x14ac:dyDescent="0.3">
      <c r="D31646" s="1"/>
      <c r="G31646" s="13"/>
      <c r="AL31646" s="13"/>
    </row>
    <row r="31647" spans="4:38" x14ac:dyDescent="0.3">
      <c r="D31647" s="1"/>
      <c r="G31647" s="13"/>
      <c r="AL31647" s="13"/>
    </row>
    <row r="31648" spans="4:38" x14ac:dyDescent="0.3">
      <c r="D31648" s="1"/>
      <c r="G31648" s="13"/>
      <c r="AL31648" s="13"/>
    </row>
    <row r="31649" spans="4:38" x14ac:dyDescent="0.3">
      <c r="D31649" s="1"/>
      <c r="G31649" s="13"/>
      <c r="AL31649" s="13"/>
    </row>
    <row r="31650" spans="4:38" x14ac:dyDescent="0.3">
      <c r="D31650" s="1"/>
      <c r="G31650" s="13"/>
      <c r="AL31650" s="13"/>
    </row>
    <row r="31651" spans="4:38" x14ac:dyDescent="0.3">
      <c r="D31651" s="1"/>
      <c r="G31651" s="13"/>
      <c r="AL31651" s="13"/>
    </row>
    <row r="31652" spans="4:38" x14ac:dyDescent="0.3">
      <c r="D31652" s="1"/>
      <c r="G31652" s="13"/>
      <c r="AL31652" s="13"/>
    </row>
    <row r="31653" spans="4:38" x14ac:dyDescent="0.3">
      <c r="D31653" s="1"/>
      <c r="G31653" s="13"/>
      <c r="AL31653" s="13"/>
    </row>
    <row r="31654" spans="4:38" x14ac:dyDescent="0.3">
      <c r="D31654" s="1"/>
      <c r="G31654" s="13"/>
      <c r="AL31654" s="13"/>
    </row>
    <row r="31655" spans="4:38" x14ac:dyDescent="0.3">
      <c r="D31655" s="1"/>
      <c r="G31655" s="13"/>
      <c r="AL31655" s="13"/>
    </row>
    <row r="31656" spans="4:38" x14ac:dyDescent="0.3">
      <c r="D31656" s="1"/>
      <c r="G31656" s="13"/>
      <c r="AL31656" s="13"/>
    </row>
    <row r="31657" spans="4:38" x14ac:dyDescent="0.3">
      <c r="D31657" s="1"/>
      <c r="G31657" s="13"/>
      <c r="AL31657" s="13"/>
    </row>
    <row r="31658" spans="4:38" x14ac:dyDescent="0.3">
      <c r="D31658" s="1"/>
      <c r="G31658" s="13"/>
      <c r="AL31658" s="13"/>
    </row>
    <row r="31659" spans="4:38" x14ac:dyDescent="0.3">
      <c r="D31659" s="1"/>
      <c r="G31659" s="13"/>
      <c r="AL31659" s="13"/>
    </row>
    <row r="31660" spans="4:38" x14ac:dyDescent="0.3">
      <c r="D31660" s="1"/>
      <c r="G31660" s="13"/>
      <c r="AL31660" s="13"/>
    </row>
    <row r="31661" spans="4:38" x14ac:dyDescent="0.3">
      <c r="D31661" s="1"/>
      <c r="G31661" s="13"/>
      <c r="AL31661" s="13"/>
    </row>
    <row r="31662" spans="4:38" x14ac:dyDescent="0.3">
      <c r="D31662" s="1"/>
      <c r="G31662" s="13"/>
      <c r="AL31662" s="13"/>
    </row>
    <row r="31663" spans="4:38" x14ac:dyDescent="0.3">
      <c r="D31663" s="1"/>
      <c r="G31663" s="13"/>
      <c r="AL31663" s="13"/>
    </row>
    <row r="31664" spans="4:38" x14ac:dyDescent="0.3">
      <c r="D31664" s="1"/>
      <c r="G31664" s="13"/>
      <c r="AL31664" s="13"/>
    </row>
    <row r="31665" spans="4:38" x14ac:dyDescent="0.3">
      <c r="D31665" s="1"/>
      <c r="G31665" s="13"/>
      <c r="AL31665" s="13"/>
    </row>
    <row r="31666" spans="4:38" x14ac:dyDescent="0.3">
      <c r="D31666" s="1"/>
      <c r="G31666" s="13"/>
      <c r="AL31666" s="13"/>
    </row>
    <row r="31667" spans="4:38" x14ac:dyDescent="0.3">
      <c r="D31667" s="1"/>
      <c r="G31667" s="13"/>
      <c r="AL31667" s="13"/>
    </row>
    <row r="31668" spans="4:38" x14ac:dyDescent="0.3">
      <c r="D31668" s="1"/>
      <c r="G31668" s="13"/>
      <c r="AL31668" s="13"/>
    </row>
    <row r="31669" spans="4:38" x14ac:dyDescent="0.3">
      <c r="D31669" s="1"/>
      <c r="G31669" s="13"/>
      <c r="AL31669" s="13"/>
    </row>
    <row r="31670" spans="4:38" x14ac:dyDescent="0.3">
      <c r="D31670" s="1"/>
      <c r="G31670" s="13"/>
      <c r="AL31670" s="13"/>
    </row>
    <row r="31671" spans="4:38" x14ac:dyDescent="0.3">
      <c r="D31671" s="1"/>
      <c r="G31671" s="13"/>
      <c r="AL31671" s="13"/>
    </row>
    <row r="31672" spans="4:38" x14ac:dyDescent="0.3">
      <c r="D31672" s="1"/>
      <c r="G31672" s="13"/>
      <c r="AL31672" s="13"/>
    </row>
    <row r="31673" spans="4:38" x14ac:dyDescent="0.3">
      <c r="D31673" s="1"/>
      <c r="G31673" s="13"/>
      <c r="AL31673" s="13"/>
    </row>
    <row r="31674" spans="4:38" x14ac:dyDescent="0.3">
      <c r="D31674" s="1"/>
      <c r="G31674" s="13"/>
      <c r="AL31674" s="13"/>
    </row>
    <row r="31675" spans="4:38" x14ac:dyDescent="0.3">
      <c r="D31675" s="1"/>
      <c r="G31675" s="13"/>
      <c r="AL31675" s="13"/>
    </row>
    <row r="31676" spans="4:38" x14ac:dyDescent="0.3">
      <c r="D31676" s="1"/>
      <c r="G31676" s="13"/>
      <c r="AL31676" s="13"/>
    </row>
    <row r="31677" spans="4:38" x14ac:dyDescent="0.3">
      <c r="D31677" s="1"/>
      <c r="G31677" s="13"/>
      <c r="AL31677" s="13"/>
    </row>
    <row r="31678" spans="4:38" x14ac:dyDescent="0.3">
      <c r="D31678" s="1"/>
      <c r="G31678" s="13"/>
      <c r="AL31678" s="13"/>
    </row>
    <row r="31679" spans="4:38" x14ac:dyDescent="0.3">
      <c r="D31679" s="1"/>
      <c r="G31679" s="13"/>
      <c r="AL31679" s="13"/>
    </row>
    <row r="31680" spans="4:38" x14ac:dyDescent="0.3">
      <c r="D31680" s="1"/>
      <c r="G31680" s="13"/>
      <c r="AL31680" s="13"/>
    </row>
    <row r="31681" spans="4:38" x14ac:dyDescent="0.3">
      <c r="D31681" s="1"/>
      <c r="G31681" s="13"/>
      <c r="AL31681" s="13"/>
    </row>
    <row r="31682" spans="4:38" x14ac:dyDescent="0.3">
      <c r="D31682" s="1"/>
      <c r="G31682" s="13"/>
      <c r="AL31682" s="13"/>
    </row>
    <row r="31683" spans="4:38" x14ac:dyDescent="0.3">
      <c r="G31683" s="13"/>
      <c r="AL31683" s="13"/>
    </row>
    <row r="31684" spans="4:38" x14ac:dyDescent="0.3">
      <c r="D31684" s="1"/>
      <c r="G31684" s="13"/>
      <c r="AL31684" s="13"/>
    </row>
    <row r="31685" spans="4:38" x14ac:dyDescent="0.3">
      <c r="D31685" s="1"/>
      <c r="G31685" s="13"/>
      <c r="AL31685" s="13"/>
    </row>
    <row r="31686" spans="4:38" x14ac:dyDescent="0.3">
      <c r="D31686" s="1"/>
      <c r="G31686" s="13"/>
      <c r="AL31686" s="13"/>
    </row>
    <row r="31687" spans="4:38" x14ac:dyDescent="0.3">
      <c r="D31687" s="1"/>
      <c r="G31687" s="13"/>
      <c r="AL31687" s="13"/>
    </row>
    <row r="31688" spans="4:38" x14ac:dyDescent="0.3">
      <c r="D31688" s="1"/>
      <c r="G31688" s="13"/>
      <c r="AL31688" s="13"/>
    </row>
    <row r="31689" spans="4:38" x14ac:dyDescent="0.3">
      <c r="D31689" s="1"/>
      <c r="G31689" s="13"/>
      <c r="AL31689" s="13"/>
    </row>
    <row r="31690" spans="4:38" x14ac:dyDescent="0.3">
      <c r="D31690" s="1"/>
      <c r="G31690" s="13"/>
      <c r="AL31690" s="13"/>
    </row>
    <row r="31691" spans="4:38" x14ac:dyDescent="0.3">
      <c r="D31691" s="1"/>
      <c r="G31691" s="13"/>
      <c r="AL31691" s="13"/>
    </row>
    <row r="31692" spans="4:38" x14ac:dyDescent="0.3">
      <c r="D31692" s="1"/>
      <c r="G31692" s="13"/>
      <c r="AL31692" s="13"/>
    </row>
    <row r="31693" spans="4:38" x14ac:dyDescent="0.3">
      <c r="D31693" s="1"/>
      <c r="G31693" s="13"/>
      <c r="AL31693" s="13"/>
    </row>
    <row r="31694" spans="4:38" x14ac:dyDescent="0.3">
      <c r="D31694" s="1"/>
      <c r="G31694" s="13"/>
      <c r="AL31694" s="13"/>
    </row>
    <row r="31695" spans="4:38" x14ac:dyDescent="0.3">
      <c r="G31695" s="13"/>
      <c r="AL31695" s="13"/>
    </row>
    <row r="31696" spans="4:38" x14ac:dyDescent="0.3">
      <c r="D31696" s="1"/>
      <c r="G31696" s="13"/>
      <c r="AL31696" s="13"/>
    </row>
    <row r="31697" spans="4:38" x14ac:dyDescent="0.3">
      <c r="D31697" s="1"/>
      <c r="G31697" s="13"/>
      <c r="AL31697" s="13"/>
    </row>
    <row r="31698" spans="4:38" x14ac:dyDescent="0.3">
      <c r="D31698" s="1"/>
      <c r="G31698" s="13"/>
      <c r="AL31698" s="13"/>
    </row>
    <row r="31699" spans="4:38" x14ac:dyDescent="0.3">
      <c r="D31699" s="1"/>
      <c r="G31699" s="13"/>
      <c r="AL31699" s="13"/>
    </row>
    <row r="31700" spans="4:38" x14ac:dyDescent="0.3">
      <c r="D31700" s="1"/>
      <c r="G31700" s="13"/>
      <c r="AL31700" s="13"/>
    </row>
    <row r="31701" spans="4:38" x14ac:dyDescent="0.3">
      <c r="D31701" s="1"/>
      <c r="G31701" s="13"/>
      <c r="AL31701" s="13"/>
    </row>
    <row r="31702" spans="4:38" x14ac:dyDescent="0.3">
      <c r="D31702" s="1"/>
      <c r="G31702" s="13"/>
      <c r="AL31702" s="13"/>
    </row>
    <row r="31703" spans="4:38" x14ac:dyDescent="0.3">
      <c r="D31703" s="1"/>
      <c r="G31703" s="13"/>
      <c r="AL31703" s="13"/>
    </row>
    <row r="31704" spans="4:38" x14ac:dyDescent="0.3">
      <c r="D31704" s="1"/>
      <c r="G31704" s="13"/>
      <c r="AL31704" s="13"/>
    </row>
    <row r="31705" spans="4:38" x14ac:dyDescent="0.3">
      <c r="D31705" s="1"/>
      <c r="G31705" s="13"/>
      <c r="AL31705" s="13"/>
    </row>
    <row r="31706" spans="4:38" x14ac:dyDescent="0.3">
      <c r="D31706" s="1"/>
      <c r="G31706" s="13"/>
      <c r="AL31706" s="13"/>
    </row>
    <row r="31707" spans="4:38" x14ac:dyDescent="0.3">
      <c r="D31707" s="1"/>
      <c r="G31707" s="13"/>
      <c r="AL31707" s="13"/>
    </row>
    <row r="31708" spans="4:38" x14ac:dyDescent="0.3">
      <c r="D31708" s="1"/>
      <c r="G31708" s="13"/>
      <c r="AL31708" s="13"/>
    </row>
    <row r="31709" spans="4:38" x14ac:dyDescent="0.3">
      <c r="D31709" s="1"/>
      <c r="G31709" s="13"/>
      <c r="AL31709" s="13"/>
    </row>
    <row r="31710" spans="4:38" x14ac:dyDescent="0.3">
      <c r="D31710" s="1"/>
      <c r="G31710" s="13"/>
      <c r="AL31710" s="13"/>
    </row>
    <row r="31711" spans="4:38" x14ac:dyDescent="0.3">
      <c r="D31711" s="1"/>
      <c r="G31711" s="13"/>
      <c r="AL31711" s="13"/>
    </row>
    <row r="31712" spans="4:38" x14ac:dyDescent="0.3">
      <c r="D31712" s="1"/>
      <c r="G31712" s="13"/>
      <c r="AL31712" s="13"/>
    </row>
    <row r="31713" spans="4:38" x14ac:dyDescent="0.3">
      <c r="D31713" s="1"/>
      <c r="G31713" s="13"/>
      <c r="AL31713" s="13"/>
    </row>
    <row r="31714" spans="4:38" x14ac:dyDescent="0.3">
      <c r="D31714" s="1"/>
      <c r="G31714" s="13"/>
      <c r="AL31714" s="13"/>
    </row>
    <row r="31715" spans="4:38" x14ac:dyDescent="0.3">
      <c r="D31715" s="1"/>
      <c r="G31715" s="13"/>
      <c r="AL31715" s="13"/>
    </row>
    <row r="31716" spans="4:38" x14ac:dyDescent="0.3">
      <c r="D31716" s="1"/>
      <c r="G31716" s="13"/>
      <c r="AL31716" s="13"/>
    </row>
    <row r="31717" spans="4:38" x14ac:dyDescent="0.3">
      <c r="D31717" s="1"/>
      <c r="G31717" s="13"/>
      <c r="AL31717" s="13"/>
    </row>
    <row r="31718" spans="4:38" x14ac:dyDescent="0.3">
      <c r="D31718" s="1"/>
      <c r="G31718" s="13"/>
      <c r="AL31718" s="13"/>
    </row>
    <row r="31719" spans="4:38" x14ac:dyDescent="0.3">
      <c r="D31719" s="1"/>
      <c r="G31719" s="13"/>
      <c r="AL31719" s="13"/>
    </row>
    <row r="31720" spans="4:38" x14ac:dyDescent="0.3">
      <c r="D31720" s="1"/>
      <c r="G31720" s="13"/>
      <c r="AL31720" s="13"/>
    </row>
    <row r="31721" spans="4:38" x14ac:dyDescent="0.3">
      <c r="D31721" s="1"/>
      <c r="G31721" s="13"/>
      <c r="AL31721" s="13"/>
    </row>
    <row r="31722" spans="4:38" x14ac:dyDescent="0.3">
      <c r="D31722" s="1"/>
      <c r="G31722" s="13"/>
      <c r="AL31722" s="13"/>
    </row>
    <row r="31723" spans="4:38" x14ac:dyDescent="0.3">
      <c r="D31723" s="1"/>
      <c r="G31723" s="13"/>
      <c r="AL31723" s="13"/>
    </row>
    <row r="31724" spans="4:38" x14ac:dyDescent="0.3">
      <c r="D31724" s="1"/>
      <c r="G31724" s="13"/>
      <c r="AL31724" s="13"/>
    </row>
    <row r="31725" spans="4:38" x14ac:dyDescent="0.3">
      <c r="D31725" s="1"/>
      <c r="G31725" s="13"/>
      <c r="AL31725" s="13"/>
    </row>
    <row r="31726" spans="4:38" x14ac:dyDescent="0.3">
      <c r="D31726" s="1"/>
      <c r="G31726" s="13"/>
      <c r="AL31726" s="13"/>
    </row>
    <row r="31727" spans="4:38" x14ac:dyDescent="0.3">
      <c r="D31727" s="1"/>
      <c r="G31727" s="13"/>
      <c r="AL31727" s="13"/>
    </row>
    <row r="31728" spans="4:38" x14ac:dyDescent="0.3">
      <c r="D31728" s="1"/>
      <c r="G31728" s="13"/>
      <c r="AL31728" s="13"/>
    </row>
    <row r="31729" spans="4:38" x14ac:dyDescent="0.3">
      <c r="D31729" s="1"/>
      <c r="G31729" s="13"/>
      <c r="AL31729" s="13"/>
    </row>
    <row r="31730" spans="4:38" x14ac:dyDescent="0.3">
      <c r="D31730" s="1"/>
      <c r="G31730" s="13"/>
      <c r="AL31730" s="13"/>
    </row>
    <row r="31731" spans="4:38" x14ac:dyDescent="0.3">
      <c r="D31731" s="1"/>
      <c r="G31731" s="13"/>
      <c r="AL31731" s="13"/>
    </row>
    <row r="31732" spans="4:38" x14ac:dyDescent="0.3">
      <c r="D31732" s="1"/>
      <c r="G31732" s="13"/>
      <c r="AL31732" s="13"/>
    </row>
    <row r="31733" spans="4:38" x14ac:dyDescent="0.3">
      <c r="D31733" s="1"/>
      <c r="G31733" s="13"/>
      <c r="AL31733" s="13"/>
    </row>
    <row r="31734" spans="4:38" x14ac:dyDescent="0.3">
      <c r="D31734" s="1"/>
      <c r="G31734" s="13"/>
      <c r="AL31734" s="13"/>
    </row>
    <row r="31735" spans="4:38" x14ac:dyDescent="0.3">
      <c r="D31735" s="1"/>
      <c r="G31735" s="13"/>
      <c r="AL31735" s="13"/>
    </row>
    <row r="31736" spans="4:38" x14ac:dyDescent="0.3">
      <c r="D31736" s="1"/>
      <c r="G31736" s="13"/>
      <c r="AL31736" s="13"/>
    </row>
    <row r="31737" spans="4:38" x14ac:dyDescent="0.3">
      <c r="D31737" s="1"/>
      <c r="G31737" s="13"/>
      <c r="AL31737" s="13"/>
    </row>
    <row r="31738" spans="4:38" x14ac:dyDescent="0.3">
      <c r="D31738" s="1"/>
      <c r="G31738" s="13"/>
      <c r="AL31738" s="13"/>
    </row>
    <row r="31739" spans="4:38" x14ac:dyDescent="0.3">
      <c r="D31739" s="1"/>
      <c r="G31739" s="13"/>
      <c r="AL31739" s="13"/>
    </row>
    <row r="31740" spans="4:38" x14ac:dyDescent="0.3">
      <c r="D31740" s="1"/>
      <c r="G31740" s="13"/>
      <c r="AL31740" s="13"/>
    </row>
    <row r="31741" spans="4:38" x14ac:dyDescent="0.3">
      <c r="D31741" s="1"/>
      <c r="G31741" s="13"/>
      <c r="AL31741" s="13"/>
    </row>
    <row r="31742" spans="4:38" x14ac:dyDescent="0.3">
      <c r="D31742" s="1"/>
      <c r="G31742" s="13"/>
      <c r="AL31742" s="13"/>
    </row>
    <row r="31743" spans="4:38" x14ac:dyDescent="0.3">
      <c r="D31743" s="1"/>
      <c r="G31743" s="13"/>
      <c r="AL31743" s="13"/>
    </row>
    <row r="31744" spans="4:38" x14ac:dyDescent="0.3">
      <c r="D31744" s="1"/>
      <c r="G31744" s="13"/>
      <c r="AL31744" s="13"/>
    </row>
    <row r="31745" spans="4:38" x14ac:dyDescent="0.3">
      <c r="D31745" s="1"/>
      <c r="G31745" s="13"/>
      <c r="AL31745" s="13"/>
    </row>
    <row r="31746" spans="4:38" x14ac:dyDescent="0.3">
      <c r="D31746" s="1"/>
      <c r="G31746" s="13"/>
      <c r="AL31746" s="13"/>
    </row>
    <row r="31747" spans="4:38" x14ac:dyDescent="0.3">
      <c r="D31747" s="1"/>
      <c r="G31747" s="13"/>
      <c r="AL31747" s="13"/>
    </row>
    <row r="31748" spans="4:38" x14ac:dyDescent="0.3">
      <c r="D31748" s="1"/>
      <c r="G31748" s="13"/>
      <c r="AL31748" s="13"/>
    </row>
    <row r="31749" spans="4:38" x14ac:dyDescent="0.3">
      <c r="D31749" s="1"/>
      <c r="G31749" s="13"/>
      <c r="AL31749" s="13"/>
    </row>
    <row r="31750" spans="4:38" x14ac:dyDescent="0.3">
      <c r="D31750" s="1"/>
      <c r="G31750" s="13"/>
      <c r="AL31750" s="13"/>
    </row>
    <row r="31751" spans="4:38" x14ac:dyDescent="0.3">
      <c r="D31751" s="1"/>
      <c r="G31751" s="13"/>
      <c r="AL31751" s="13"/>
    </row>
    <row r="31752" spans="4:38" x14ac:dyDescent="0.3">
      <c r="D31752" s="1"/>
      <c r="G31752" s="13"/>
      <c r="AL31752" s="13"/>
    </row>
    <row r="31753" spans="4:38" x14ac:dyDescent="0.3">
      <c r="D31753" s="1"/>
      <c r="G31753" s="13"/>
      <c r="AL31753" s="13"/>
    </row>
    <row r="31754" spans="4:38" x14ac:dyDescent="0.3">
      <c r="D31754" s="1"/>
      <c r="G31754" s="13"/>
      <c r="AL31754" s="13"/>
    </row>
    <row r="31755" spans="4:38" x14ac:dyDescent="0.3">
      <c r="D31755" s="1"/>
      <c r="G31755" s="13"/>
      <c r="AL31755" s="13"/>
    </row>
    <row r="31756" spans="4:38" x14ac:dyDescent="0.3">
      <c r="D31756" s="1"/>
      <c r="G31756" s="13"/>
      <c r="AL31756" s="13"/>
    </row>
    <row r="31757" spans="4:38" x14ac:dyDescent="0.3">
      <c r="D31757" s="1"/>
      <c r="G31757" s="13"/>
      <c r="AL31757" s="13"/>
    </row>
    <row r="31758" spans="4:38" x14ac:dyDescent="0.3">
      <c r="D31758" s="1"/>
      <c r="G31758" s="13"/>
      <c r="AL31758" s="13"/>
    </row>
    <row r="31759" spans="4:38" x14ac:dyDescent="0.3">
      <c r="D31759" s="1"/>
      <c r="G31759" s="13"/>
      <c r="AL31759" s="13"/>
    </row>
    <row r="31760" spans="4:38" x14ac:dyDescent="0.3">
      <c r="D31760" s="1"/>
      <c r="G31760" s="13"/>
      <c r="AL31760" s="13"/>
    </row>
    <row r="31761" spans="4:38" x14ac:dyDescent="0.3">
      <c r="D31761" s="1"/>
      <c r="G31761" s="13"/>
      <c r="AL31761" s="13"/>
    </row>
    <row r="31762" spans="4:38" x14ac:dyDescent="0.3">
      <c r="D31762" s="1"/>
      <c r="G31762" s="13"/>
      <c r="AL31762" s="13"/>
    </row>
    <row r="31763" spans="4:38" x14ac:dyDescent="0.3">
      <c r="D31763" s="1"/>
      <c r="G31763" s="13"/>
      <c r="AL31763" s="13"/>
    </row>
    <row r="31764" spans="4:38" x14ac:dyDescent="0.3">
      <c r="D31764" s="1"/>
      <c r="G31764" s="13"/>
      <c r="AL31764" s="13"/>
    </row>
    <row r="31765" spans="4:38" x14ac:dyDescent="0.3">
      <c r="D31765" s="1"/>
      <c r="G31765" s="13"/>
      <c r="AL31765" s="13"/>
    </row>
    <row r="31766" spans="4:38" x14ac:dyDescent="0.3">
      <c r="D31766" s="1"/>
      <c r="G31766" s="13"/>
      <c r="AL31766" s="13"/>
    </row>
    <row r="31767" spans="4:38" x14ac:dyDescent="0.3">
      <c r="D31767" s="1"/>
      <c r="G31767" s="13"/>
      <c r="AL31767" s="13"/>
    </row>
    <row r="31768" spans="4:38" x14ac:dyDescent="0.3">
      <c r="D31768" s="1"/>
      <c r="G31768" s="13"/>
      <c r="AL31768" s="13"/>
    </row>
    <row r="31769" spans="4:38" x14ac:dyDescent="0.3">
      <c r="D31769" s="1"/>
      <c r="G31769" s="13"/>
      <c r="AL31769" s="13"/>
    </row>
    <row r="31770" spans="4:38" x14ac:dyDescent="0.3">
      <c r="D31770" s="1"/>
      <c r="G31770" s="13"/>
      <c r="AL31770" s="13"/>
    </row>
    <row r="31771" spans="4:38" x14ac:dyDescent="0.3">
      <c r="D31771" s="1"/>
      <c r="G31771" s="13"/>
      <c r="AL31771" s="13"/>
    </row>
    <row r="31772" spans="4:38" x14ac:dyDescent="0.3">
      <c r="D31772" s="1"/>
      <c r="G31772" s="13"/>
      <c r="AL31772" s="13"/>
    </row>
    <row r="31773" spans="4:38" x14ac:dyDescent="0.3">
      <c r="D31773" s="1"/>
      <c r="G31773" s="13"/>
      <c r="AL31773" s="13"/>
    </row>
    <row r="31774" spans="4:38" x14ac:dyDescent="0.3">
      <c r="D31774" s="1"/>
      <c r="G31774" s="13"/>
      <c r="AL31774" s="13"/>
    </row>
    <row r="31775" spans="4:38" x14ac:dyDescent="0.3">
      <c r="D31775" s="1"/>
      <c r="G31775" s="13"/>
      <c r="AL31775" s="13"/>
    </row>
    <row r="31776" spans="4:38" x14ac:dyDescent="0.3">
      <c r="D31776" s="1"/>
      <c r="G31776" s="13"/>
      <c r="AL31776" s="13"/>
    </row>
    <row r="31777" spans="4:38" x14ac:dyDescent="0.3">
      <c r="D31777" s="1"/>
      <c r="G31777" s="13"/>
      <c r="AL31777" s="13"/>
    </row>
    <row r="31778" spans="4:38" x14ac:dyDescent="0.3">
      <c r="D31778" s="1"/>
      <c r="G31778" s="13"/>
      <c r="AL31778" s="13"/>
    </row>
    <row r="31779" spans="4:38" x14ac:dyDescent="0.3">
      <c r="D31779" s="1"/>
      <c r="G31779" s="13"/>
      <c r="AL31779" s="13"/>
    </row>
    <row r="31780" spans="4:38" x14ac:dyDescent="0.3">
      <c r="D31780" s="1"/>
      <c r="G31780" s="13"/>
      <c r="AL31780" s="13"/>
    </row>
    <row r="31781" spans="4:38" x14ac:dyDescent="0.3">
      <c r="D31781" s="1"/>
      <c r="G31781" s="13"/>
      <c r="AL31781" s="13"/>
    </row>
    <row r="31782" spans="4:38" x14ac:dyDescent="0.3">
      <c r="D31782" s="1"/>
      <c r="G31782" s="13"/>
      <c r="AL31782" s="13"/>
    </row>
    <row r="31783" spans="4:38" x14ac:dyDescent="0.3">
      <c r="D31783" s="1"/>
      <c r="G31783" s="13"/>
      <c r="AL31783" s="13"/>
    </row>
    <row r="31784" spans="4:38" x14ac:dyDescent="0.3">
      <c r="D31784" s="1"/>
      <c r="G31784" s="13"/>
      <c r="AL31784" s="13"/>
    </row>
    <row r="31785" spans="4:38" x14ac:dyDescent="0.3">
      <c r="D31785" s="1"/>
      <c r="G31785" s="13"/>
      <c r="AL31785" s="13"/>
    </row>
    <row r="31786" spans="4:38" x14ac:dyDescent="0.3">
      <c r="D31786" s="1"/>
      <c r="G31786" s="13"/>
      <c r="AL31786" s="13"/>
    </row>
    <row r="31787" spans="4:38" x14ac:dyDescent="0.3">
      <c r="D31787" s="1"/>
      <c r="G31787" s="13"/>
      <c r="AL31787" s="13"/>
    </row>
    <row r="31788" spans="4:38" x14ac:dyDescent="0.3">
      <c r="D31788" s="1"/>
      <c r="G31788" s="13"/>
      <c r="AL31788" s="13"/>
    </row>
    <row r="31789" spans="4:38" x14ac:dyDescent="0.3">
      <c r="D31789" s="1"/>
      <c r="G31789" s="13"/>
      <c r="AL31789" s="13"/>
    </row>
    <row r="31790" spans="4:38" x14ac:dyDescent="0.3">
      <c r="D31790" s="1"/>
      <c r="G31790" s="13"/>
      <c r="AL31790" s="13"/>
    </row>
    <row r="31791" spans="4:38" x14ac:dyDescent="0.3">
      <c r="D31791" s="1"/>
      <c r="G31791" s="13"/>
      <c r="AL31791" s="13"/>
    </row>
    <row r="31792" spans="4:38" x14ac:dyDescent="0.3">
      <c r="D31792" s="1"/>
      <c r="G31792" s="13"/>
      <c r="AL31792" s="13"/>
    </row>
    <row r="31793" spans="4:38" x14ac:dyDescent="0.3">
      <c r="D31793" s="1"/>
      <c r="G31793" s="13"/>
      <c r="AL31793" s="13"/>
    </row>
    <row r="31794" spans="4:38" x14ac:dyDescent="0.3">
      <c r="D31794" s="1"/>
      <c r="G31794" s="13"/>
      <c r="AL31794" s="13"/>
    </row>
    <row r="31795" spans="4:38" x14ac:dyDescent="0.3">
      <c r="D31795" s="1"/>
      <c r="G31795" s="13"/>
      <c r="AL31795" s="13"/>
    </row>
    <row r="31796" spans="4:38" x14ac:dyDescent="0.3">
      <c r="D31796" s="1"/>
      <c r="G31796" s="13"/>
      <c r="AL31796" s="13"/>
    </row>
    <row r="31797" spans="4:38" x14ac:dyDescent="0.3">
      <c r="D31797" s="1"/>
      <c r="G31797" s="13"/>
      <c r="AL31797" s="13"/>
    </row>
    <row r="31798" spans="4:38" x14ac:dyDescent="0.3">
      <c r="D31798" s="1"/>
      <c r="G31798" s="13"/>
      <c r="AL31798" s="13"/>
    </row>
    <row r="31799" spans="4:38" x14ac:dyDescent="0.3">
      <c r="D31799" s="1"/>
      <c r="G31799" s="13"/>
      <c r="AL31799" s="13"/>
    </row>
    <row r="31800" spans="4:38" x14ac:dyDescent="0.3">
      <c r="D31800" s="1"/>
      <c r="G31800" s="13"/>
      <c r="AL31800" s="13"/>
    </row>
    <row r="31801" spans="4:38" x14ac:dyDescent="0.3">
      <c r="D31801" s="1"/>
      <c r="G31801" s="13"/>
      <c r="AL31801" s="13"/>
    </row>
    <row r="31802" spans="4:38" x14ac:dyDescent="0.3">
      <c r="D31802" s="1"/>
      <c r="G31802" s="13"/>
      <c r="AL31802" s="13"/>
    </row>
    <row r="31803" spans="4:38" x14ac:dyDescent="0.3">
      <c r="D31803" s="1"/>
      <c r="G31803" s="13"/>
      <c r="AL31803" s="13"/>
    </row>
    <row r="31804" spans="4:38" x14ac:dyDescent="0.3">
      <c r="D31804" s="1"/>
      <c r="G31804" s="13"/>
      <c r="AL31804" s="13"/>
    </row>
    <row r="31805" spans="4:38" x14ac:dyDescent="0.3">
      <c r="D31805" s="1"/>
      <c r="G31805" s="13"/>
      <c r="AL31805" s="13"/>
    </row>
    <row r="31806" spans="4:38" x14ac:dyDescent="0.3">
      <c r="D31806" s="1"/>
      <c r="G31806" s="13"/>
      <c r="AL31806" s="13"/>
    </row>
    <row r="31807" spans="4:38" x14ac:dyDescent="0.3">
      <c r="D31807" s="1"/>
      <c r="G31807" s="13"/>
      <c r="AL31807" s="13"/>
    </row>
    <row r="31808" spans="4:38" x14ac:dyDescent="0.3">
      <c r="D31808" s="1"/>
      <c r="G31808" s="13"/>
      <c r="AL31808" s="13"/>
    </row>
    <row r="31809" spans="4:38" x14ac:dyDescent="0.3">
      <c r="D31809" s="1"/>
      <c r="G31809" s="13"/>
      <c r="AL31809" s="13"/>
    </row>
    <row r="31810" spans="4:38" x14ac:dyDescent="0.3">
      <c r="D31810" s="1"/>
      <c r="G31810" s="13"/>
      <c r="AL31810" s="13"/>
    </row>
    <row r="31811" spans="4:38" x14ac:dyDescent="0.3">
      <c r="D31811" s="1"/>
      <c r="G31811" s="13"/>
      <c r="AL31811" s="13"/>
    </row>
    <row r="31812" spans="4:38" x14ac:dyDescent="0.3">
      <c r="D31812" s="1"/>
      <c r="G31812" s="13"/>
      <c r="AL31812" s="13"/>
    </row>
    <row r="31813" spans="4:38" x14ac:dyDescent="0.3">
      <c r="D31813" s="1"/>
      <c r="G31813" s="13"/>
      <c r="AL31813" s="13"/>
    </row>
    <row r="31814" spans="4:38" x14ac:dyDescent="0.3">
      <c r="D31814" s="1"/>
      <c r="G31814" s="13"/>
      <c r="AL31814" s="13"/>
    </row>
    <row r="31815" spans="4:38" x14ac:dyDescent="0.3">
      <c r="D31815" s="1"/>
      <c r="G31815" s="13"/>
      <c r="AL31815" s="13"/>
    </row>
    <row r="31816" spans="4:38" x14ac:dyDescent="0.3">
      <c r="D31816" s="1"/>
      <c r="G31816" s="13"/>
      <c r="AL31816" s="13"/>
    </row>
    <row r="31817" spans="4:38" x14ac:dyDescent="0.3">
      <c r="D31817" s="1"/>
      <c r="G31817" s="13"/>
      <c r="AL31817" s="13"/>
    </row>
    <row r="31818" spans="4:38" x14ac:dyDescent="0.3">
      <c r="D31818" s="1"/>
      <c r="G31818" s="13"/>
      <c r="AL31818" s="13"/>
    </row>
    <row r="31819" spans="4:38" x14ac:dyDescent="0.3">
      <c r="D31819" s="1"/>
      <c r="G31819" s="13"/>
      <c r="AL31819" s="13"/>
    </row>
    <row r="31820" spans="4:38" x14ac:dyDescent="0.3">
      <c r="D31820" s="1"/>
      <c r="G31820" s="13"/>
      <c r="AL31820" s="13"/>
    </row>
    <row r="31821" spans="4:38" x14ac:dyDescent="0.3">
      <c r="D31821" s="1"/>
      <c r="G31821" s="13"/>
      <c r="AL31821" s="13"/>
    </row>
    <row r="31822" spans="4:38" x14ac:dyDescent="0.3">
      <c r="D31822" s="1"/>
      <c r="G31822" s="13"/>
      <c r="AL31822" s="13"/>
    </row>
    <row r="31823" spans="4:38" x14ac:dyDescent="0.3">
      <c r="D31823" s="1"/>
      <c r="G31823" s="13"/>
      <c r="AL31823" s="13"/>
    </row>
    <row r="31824" spans="4:38" x14ac:dyDescent="0.3">
      <c r="D31824" s="1"/>
      <c r="G31824" s="13"/>
      <c r="AL31824" s="13"/>
    </row>
    <row r="31825" spans="4:38" x14ac:dyDescent="0.3">
      <c r="D31825" s="1"/>
      <c r="G31825" s="13"/>
      <c r="AL31825" s="13"/>
    </row>
    <row r="31826" spans="4:38" x14ac:dyDescent="0.3">
      <c r="D31826" s="1"/>
      <c r="G31826" s="13"/>
      <c r="AL31826" s="13"/>
    </row>
    <row r="31827" spans="4:38" x14ac:dyDescent="0.3">
      <c r="D31827" s="1"/>
      <c r="G31827" s="13"/>
      <c r="AL31827" s="13"/>
    </row>
    <row r="31828" spans="4:38" x14ac:dyDescent="0.3">
      <c r="D31828" s="1"/>
      <c r="G31828" s="13"/>
      <c r="AL31828" s="13"/>
    </row>
    <row r="31829" spans="4:38" x14ac:dyDescent="0.3">
      <c r="D31829" s="1"/>
      <c r="G31829" s="13"/>
      <c r="AL31829" s="13"/>
    </row>
    <row r="31830" spans="4:38" x14ac:dyDescent="0.3">
      <c r="D31830" s="1"/>
      <c r="G31830" s="13"/>
      <c r="AL31830" s="13"/>
    </row>
    <row r="31831" spans="4:38" x14ac:dyDescent="0.3">
      <c r="D31831" s="1"/>
      <c r="G31831" s="13"/>
      <c r="AL31831" s="13"/>
    </row>
    <row r="31832" spans="4:38" x14ac:dyDescent="0.3">
      <c r="D31832" s="1"/>
      <c r="G31832" s="13"/>
      <c r="AL31832" s="13"/>
    </row>
    <row r="31833" spans="4:38" x14ac:dyDescent="0.3">
      <c r="D31833" s="1"/>
      <c r="G31833" s="13"/>
      <c r="AL31833" s="13"/>
    </row>
    <row r="31834" spans="4:38" x14ac:dyDescent="0.3">
      <c r="D31834" s="1"/>
      <c r="G31834" s="13"/>
      <c r="AL31834" s="13"/>
    </row>
    <row r="31835" spans="4:38" x14ac:dyDescent="0.3">
      <c r="D31835" s="1"/>
      <c r="G31835" s="13"/>
      <c r="AL31835" s="13"/>
    </row>
    <row r="31836" spans="4:38" x14ac:dyDescent="0.3">
      <c r="D31836" s="1"/>
      <c r="G31836" s="13"/>
      <c r="AL31836" s="13"/>
    </row>
    <row r="31837" spans="4:38" x14ac:dyDescent="0.3">
      <c r="D31837" s="1"/>
      <c r="G31837" s="13"/>
      <c r="AL31837" s="13"/>
    </row>
    <row r="31838" spans="4:38" x14ac:dyDescent="0.3">
      <c r="D31838" s="1"/>
      <c r="G31838" s="13"/>
      <c r="AL31838" s="13"/>
    </row>
    <row r="31839" spans="4:38" x14ac:dyDescent="0.3">
      <c r="D31839" s="1"/>
      <c r="G31839" s="13"/>
      <c r="AL31839" s="13"/>
    </row>
    <row r="31840" spans="4:38" x14ac:dyDescent="0.3">
      <c r="D31840" s="1"/>
      <c r="G31840" s="13"/>
      <c r="AL31840" s="13"/>
    </row>
    <row r="31841" spans="4:38" x14ac:dyDescent="0.3">
      <c r="D31841" s="1"/>
      <c r="G31841" s="13"/>
      <c r="AL31841" s="13"/>
    </row>
    <row r="31842" spans="4:38" x14ac:dyDescent="0.3">
      <c r="D31842" s="1"/>
      <c r="G31842" s="13"/>
      <c r="AL31842" s="13"/>
    </row>
    <row r="31843" spans="4:38" x14ac:dyDescent="0.3">
      <c r="D31843" s="1"/>
      <c r="G31843" s="13"/>
      <c r="AL31843" s="13"/>
    </row>
    <row r="31844" spans="4:38" x14ac:dyDescent="0.3">
      <c r="D31844" s="1"/>
      <c r="G31844" s="13"/>
      <c r="AL31844" s="13"/>
    </row>
    <row r="31845" spans="4:38" x14ac:dyDescent="0.3">
      <c r="D31845" s="1"/>
      <c r="G31845" s="13"/>
      <c r="AL31845" s="13"/>
    </row>
    <row r="31846" spans="4:38" x14ac:dyDescent="0.3">
      <c r="D31846" s="1"/>
      <c r="G31846" s="13"/>
      <c r="AL31846" s="13"/>
    </row>
    <row r="31847" spans="4:38" x14ac:dyDescent="0.3">
      <c r="D31847" s="1"/>
      <c r="G31847" s="13"/>
      <c r="AL31847" s="13"/>
    </row>
    <row r="31848" spans="4:38" x14ac:dyDescent="0.3">
      <c r="D31848" s="1"/>
      <c r="G31848" s="13"/>
      <c r="AL31848" s="13"/>
    </row>
    <row r="31849" spans="4:38" x14ac:dyDescent="0.3">
      <c r="D31849" s="1"/>
      <c r="G31849" s="13"/>
      <c r="AL31849" s="13"/>
    </row>
    <row r="31850" spans="4:38" x14ac:dyDescent="0.3">
      <c r="D31850" s="1"/>
      <c r="G31850" s="13"/>
      <c r="AL31850" s="13"/>
    </row>
    <row r="31851" spans="4:38" x14ac:dyDescent="0.3">
      <c r="D31851" s="1"/>
      <c r="G31851" s="13"/>
      <c r="AL31851" s="13"/>
    </row>
    <row r="31852" spans="4:38" x14ac:dyDescent="0.3">
      <c r="D31852" s="1"/>
      <c r="G31852" s="13"/>
      <c r="AL31852" s="13"/>
    </row>
    <row r="31853" spans="4:38" x14ac:dyDescent="0.3">
      <c r="D31853" s="1"/>
      <c r="G31853" s="13"/>
      <c r="AL31853" s="13"/>
    </row>
    <row r="31854" spans="4:38" x14ac:dyDescent="0.3">
      <c r="D31854" s="1"/>
      <c r="G31854" s="13"/>
      <c r="AL31854" s="13"/>
    </row>
    <row r="31855" spans="4:38" x14ac:dyDescent="0.3">
      <c r="D31855" s="1"/>
      <c r="G31855" s="13"/>
      <c r="AL31855" s="13"/>
    </row>
    <row r="31856" spans="4:38" x14ac:dyDescent="0.3">
      <c r="D31856" s="1"/>
      <c r="G31856" s="13"/>
      <c r="AL31856" s="13"/>
    </row>
    <row r="31857" spans="4:38" x14ac:dyDescent="0.3">
      <c r="D31857" s="1"/>
      <c r="G31857" s="13"/>
      <c r="AL31857" s="13"/>
    </row>
    <row r="31858" spans="4:38" x14ac:dyDescent="0.3">
      <c r="D31858" s="1"/>
      <c r="G31858" s="13"/>
      <c r="AL31858" s="13"/>
    </row>
    <row r="31859" spans="4:38" x14ac:dyDescent="0.3">
      <c r="D31859" s="1"/>
      <c r="G31859" s="13"/>
      <c r="AL31859" s="13"/>
    </row>
    <row r="31860" spans="4:38" x14ac:dyDescent="0.3">
      <c r="D31860" s="1"/>
      <c r="G31860" s="13"/>
      <c r="AL31860" s="13"/>
    </row>
    <row r="31861" spans="4:38" x14ac:dyDescent="0.3">
      <c r="D31861" s="1"/>
      <c r="G31861" s="13"/>
      <c r="AL31861" s="13"/>
    </row>
    <row r="31862" spans="4:38" x14ac:dyDescent="0.3">
      <c r="D31862" s="1"/>
      <c r="G31862" s="13"/>
      <c r="AL31862" s="13"/>
    </row>
    <row r="31863" spans="4:38" x14ac:dyDescent="0.3">
      <c r="D31863" s="1"/>
      <c r="G31863" s="13"/>
      <c r="AL31863" s="13"/>
    </row>
    <row r="31864" spans="4:38" x14ac:dyDescent="0.3">
      <c r="D31864" s="1"/>
      <c r="G31864" s="13"/>
      <c r="AL31864" s="13"/>
    </row>
    <row r="31865" spans="4:38" x14ac:dyDescent="0.3">
      <c r="D31865" s="1"/>
      <c r="G31865" s="13"/>
      <c r="AL31865" s="13"/>
    </row>
    <row r="31866" spans="4:38" x14ac:dyDescent="0.3">
      <c r="D31866" s="1"/>
      <c r="G31866" s="13"/>
      <c r="AL31866" s="13"/>
    </row>
    <row r="31867" spans="4:38" x14ac:dyDescent="0.3">
      <c r="D31867" s="1"/>
      <c r="G31867" s="13"/>
      <c r="AL31867" s="13"/>
    </row>
    <row r="31868" spans="4:38" x14ac:dyDescent="0.3">
      <c r="D31868" s="1"/>
      <c r="G31868" s="13"/>
      <c r="AL31868" s="13"/>
    </row>
    <row r="31869" spans="4:38" x14ac:dyDescent="0.3">
      <c r="D31869" s="1"/>
      <c r="G31869" s="13"/>
      <c r="AL31869" s="13"/>
    </row>
    <row r="31870" spans="4:38" x14ac:dyDescent="0.3">
      <c r="D31870" s="1"/>
      <c r="G31870" s="13"/>
      <c r="AL31870" s="13"/>
    </row>
    <row r="31871" spans="4:38" x14ac:dyDescent="0.3">
      <c r="D31871" s="1"/>
      <c r="G31871" s="13"/>
      <c r="AL31871" s="13"/>
    </row>
    <row r="31872" spans="4:38" x14ac:dyDescent="0.3">
      <c r="D31872" s="1"/>
      <c r="G31872" s="13"/>
      <c r="AL31872" s="13"/>
    </row>
    <row r="31873" spans="4:38" x14ac:dyDescent="0.3">
      <c r="D31873" s="1"/>
      <c r="G31873" s="13"/>
      <c r="AL31873" s="13"/>
    </row>
    <row r="31874" spans="4:38" x14ac:dyDescent="0.3">
      <c r="D31874" s="1"/>
      <c r="G31874" s="13"/>
      <c r="AL31874" s="13"/>
    </row>
    <row r="31875" spans="4:38" x14ac:dyDescent="0.3">
      <c r="D31875" s="1"/>
      <c r="G31875" s="13"/>
      <c r="AL31875" s="13"/>
    </row>
    <row r="31876" spans="4:38" x14ac:dyDescent="0.3">
      <c r="D31876" s="1"/>
      <c r="G31876" s="13"/>
      <c r="AL31876" s="13"/>
    </row>
    <row r="31877" spans="4:38" x14ac:dyDescent="0.3">
      <c r="D31877" s="1"/>
      <c r="G31877" s="13"/>
      <c r="AL31877" s="13"/>
    </row>
    <row r="31878" spans="4:38" x14ac:dyDescent="0.3">
      <c r="D31878" s="1"/>
      <c r="G31878" s="13"/>
      <c r="AL31878" s="13"/>
    </row>
    <row r="31879" spans="4:38" x14ac:dyDescent="0.3">
      <c r="D31879" s="1"/>
      <c r="G31879" s="13"/>
      <c r="AL31879" s="13"/>
    </row>
    <row r="31880" spans="4:38" x14ac:dyDescent="0.3">
      <c r="D31880" s="1"/>
      <c r="G31880" s="13"/>
      <c r="AL31880" s="13"/>
    </row>
    <row r="31881" spans="4:38" x14ac:dyDescent="0.3">
      <c r="D31881" s="1"/>
      <c r="G31881" s="13"/>
      <c r="AL31881" s="13"/>
    </row>
    <row r="31882" spans="4:38" x14ac:dyDescent="0.3">
      <c r="D31882" s="1"/>
      <c r="G31882" s="13"/>
      <c r="AL31882" s="13"/>
    </row>
    <row r="31883" spans="4:38" x14ac:dyDescent="0.3">
      <c r="D31883" s="1"/>
      <c r="G31883" s="13"/>
      <c r="AL31883" s="13"/>
    </row>
    <row r="31884" spans="4:38" x14ac:dyDescent="0.3">
      <c r="D31884" s="1"/>
      <c r="G31884" s="13"/>
      <c r="AL31884" s="13"/>
    </row>
    <row r="31885" spans="4:38" x14ac:dyDescent="0.3">
      <c r="D31885" s="1"/>
      <c r="G31885" s="13"/>
      <c r="AL31885" s="13"/>
    </row>
    <row r="31886" spans="4:38" x14ac:dyDescent="0.3">
      <c r="D31886" s="1"/>
      <c r="G31886" s="13"/>
      <c r="AL31886" s="13"/>
    </row>
    <row r="31887" spans="4:38" x14ac:dyDescent="0.3">
      <c r="D31887" s="1"/>
      <c r="G31887" s="13"/>
      <c r="AL31887" s="13"/>
    </row>
    <row r="31888" spans="4:38" x14ac:dyDescent="0.3">
      <c r="D31888" s="1"/>
      <c r="G31888" s="13"/>
      <c r="AL31888" s="13"/>
    </row>
    <row r="31889" spans="4:38" x14ac:dyDescent="0.3">
      <c r="D31889" s="1"/>
      <c r="G31889" s="13"/>
      <c r="AL31889" s="13"/>
    </row>
    <row r="31890" spans="4:38" x14ac:dyDescent="0.3">
      <c r="D31890" s="1"/>
      <c r="G31890" s="13"/>
      <c r="AL31890" s="13"/>
    </row>
    <row r="31891" spans="4:38" x14ac:dyDescent="0.3">
      <c r="D31891" s="1"/>
      <c r="G31891" s="13"/>
      <c r="AL31891" s="13"/>
    </row>
    <row r="31892" spans="4:38" x14ac:dyDescent="0.3">
      <c r="D31892" s="1"/>
      <c r="G31892" s="13"/>
      <c r="AL31892" s="13"/>
    </row>
    <row r="31893" spans="4:38" x14ac:dyDescent="0.3">
      <c r="D31893" s="1"/>
      <c r="G31893" s="13"/>
      <c r="AL31893" s="13"/>
    </row>
    <row r="31894" spans="4:38" x14ac:dyDescent="0.3">
      <c r="D31894" s="1"/>
      <c r="G31894" s="13"/>
      <c r="AL31894" s="13"/>
    </row>
    <row r="31895" spans="4:38" x14ac:dyDescent="0.3">
      <c r="D31895" s="1"/>
      <c r="G31895" s="13"/>
      <c r="AL31895" s="13"/>
    </row>
    <row r="31896" spans="4:38" x14ac:dyDescent="0.3">
      <c r="D31896" s="1"/>
      <c r="G31896" s="13"/>
      <c r="AL31896" s="13"/>
    </row>
    <row r="31897" spans="4:38" x14ac:dyDescent="0.3">
      <c r="D31897" s="1"/>
      <c r="G31897" s="13"/>
      <c r="AL31897" s="13"/>
    </row>
    <row r="31898" spans="4:38" x14ac:dyDescent="0.3">
      <c r="D31898" s="1"/>
      <c r="G31898" s="13"/>
      <c r="AL31898" s="13"/>
    </row>
    <row r="31899" spans="4:38" x14ac:dyDescent="0.3">
      <c r="D31899" s="1"/>
      <c r="G31899" s="13"/>
      <c r="AL31899" s="13"/>
    </row>
    <row r="31900" spans="4:38" x14ac:dyDescent="0.3">
      <c r="D31900" s="1"/>
      <c r="G31900" s="13"/>
      <c r="AL31900" s="13"/>
    </row>
    <row r="31901" spans="4:38" x14ac:dyDescent="0.3">
      <c r="D31901" s="1"/>
      <c r="G31901" s="13"/>
      <c r="AL31901" s="13"/>
    </row>
    <row r="31902" spans="4:38" x14ac:dyDescent="0.3">
      <c r="D31902" s="1"/>
      <c r="G31902" s="13"/>
      <c r="AL31902" s="13"/>
    </row>
    <row r="31903" spans="4:38" x14ac:dyDescent="0.3">
      <c r="D31903" s="1"/>
      <c r="G31903" s="13"/>
      <c r="AL31903" s="13"/>
    </row>
    <row r="31904" spans="4:38" x14ac:dyDescent="0.3">
      <c r="D31904" s="1"/>
      <c r="G31904" s="13"/>
      <c r="AL31904" s="13"/>
    </row>
    <row r="31905" spans="4:38" x14ac:dyDescent="0.3">
      <c r="D31905" s="1"/>
      <c r="G31905" s="13"/>
      <c r="AL31905" s="13"/>
    </row>
    <row r="31906" spans="4:38" x14ac:dyDescent="0.3">
      <c r="D31906" s="1"/>
      <c r="G31906" s="13"/>
      <c r="AL31906" s="13"/>
    </row>
    <row r="31907" spans="4:38" x14ac:dyDescent="0.3">
      <c r="D31907" s="1"/>
      <c r="G31907" s="13"/>
      <c r="AL31907" s="13"/>
    </row>
    <row r="31908" spans="4:38" x14ac:dyDescent="0.3">
      <c r="D31908" s="1"/>
      <c r="G31908" s="13"/>
      <c r="AL31908" s="13"/>
    </row>
    <row r="31909" spans="4:38" x14ac:dyDescent="0.3">
      <c r="D31909" s="1"/>
      <c r="G31909" s="13"/>
      <c r="AL31909" s="13"/>
    </row>
    <row r="31910" spans="4:38" x14ac:dyDescent="0.3">
      <c r="D31910" s="1"/>
      <c r="G31910" s="13"/>
      <c r="AL31910" s="13"/>
    </row>
    <row r="31911" spans="4:38" x14ac:dyDescent="0.3">
      <c r="D31911" s="1"/>
      <c r="G31911" s="13"/>
      <c r="AL31911" s="13"/>
    </row>
    <row r="31912" spans="4:38" x14ac:dyDescent="0.3">
      <c r="G31912" s="13"/>
      <c r="AL31912" s="13"/>
    </row>
    <row r="31913" spans="4:38" x14ac:dyDescent="0.3">
      <c r="D31913" s="1"/>
      <c r="G31913" s="13"/>
      <c r="AL31913" s="13"/>
    </row>
    <row r="31914" spans="4:38" x14ac:dyDescent="0.3">
      <c r="D31914" s="1"/>
      <c r="G31914" s="13"/>
      <c r="AL31914" s="13"/>
    </row>
    <row r="31915" spans="4:38" x14ac:dyDescent="0.3">
      <c r="D31915" s="1"/>
      <c r="G31915" s="13"/>
      <c r="AL31915" s="13"/>
    </row>
    <row r="31916" spans="4:38" x14ac:dyDescent="0.3">
      <c r="G31916" s="13"/>
      <c r="AL31916" s="13"/>
    </row>
    <row r="31917" spans="4:38" x14ac:dyDescent="0.3">
      <c r="D31917" s="1"/>
      <c r="G31917" s="13"/>
      <c r="AL31917" s="13"/>
    </row>
    <row r="31918" spans="4:38" x14ac:dyDescent="0.3">
      <c r="D31918" s="1"/>
      <c r="G31918" s="13"/>
      <c r="AL31918" s="13"/>
    </row>
    <row r="31919" spans="4:38" x14ac:dyDescent="0.3">
      <c r="D31919" s="1"/>
      <c r="G31919" s="13"/>
      <c r="AL31919" s="13"/>
    </row>
    <row r="31920" spans="4:38" x14ac:dyDescent="0.3">
      <c r="D31920" s="1"/>
      <c r="G31920" s="13"/>
      <c r="AL31920" s="13"/>
    </row>
    <row r="31921" spans="4:38" x14ac:dyDescent="0.3">
      <c r="D31921" s="1"/>
      <c r="G31921" s="13"/>
      <c r="AL31921" s="13"/>
    </row>
    <row r="31922" spans="4:38" x14ac:dyDescent="0.3">
      <c r="D31922" s="1"/>
      <c r="G31922" s="13"/>
      <c r="AL31922" s="13"/>
    </row>
    <row r="31923" spans="4:38" x14ac:dyDescent="0.3">
      <c r="D31923" s="1"/>
      <c r="G31923" s="13"/>
      <c r="AL31923" s="13"/>
    </row>
    <row r="31924" spans="4:38" x14ac:dyDescent="0.3">
      <c r="D31924" s="1"/>
      <c r="G31924" s="13"/>
      <c r="AL31924" s="13"/>
    </row>
    <row r="31925" spans="4:38" x14ac:dyDescent="0.3">
      <c r="D31925" s="1"/>
      <c r="G31925" s="13"/>
      <c r="AL31925" s="13"/>
    </row>
    <row r="31926" spans="4:38" x14ac:dyDescent="0.3">
      <c r="D31926" s="1"/>
      <c r="G31926" s="13"/>
      <c r="AL31926" s="13"/>
    </row>
    <row r="31927" spans="4:38" x14ac:dyDescent="0.3">
      <c r="D31927" s="1"/>
      <c r="G31927" s="13"/>
      <c r="AL31927" s="13"/>
    </row>
    <row r="31928" spans="4:38" x14ac:dyDescent="0.3">
      <c r="D31928" s="1"/>
      <c r="G31928" s="13"/>
      <c r="AL31928" s="13"/>
    </row>
    <row r="31929" spans="4:38" x14ac:dyDescent="0.3">
      <c r="D31929" s="1"/>
      <c r="G31929" s="13"/>
      <c r="AL31929" s="13"/>
    </row>
    <row r="31930" spans="4:38" x14ac:dyDescent="0.3">
      <c r="D31930" s="1"/>
      <c r="G31930" s="13"/>
      <c r="AL31930" s="13"/>
    </row>
    <row r="31931" spans="4:38" x14ac:dyDescent="0.3">
      <c r="D31931" s="1"/>
      <c r="G31931" s="13"/>
      <c r="AL31931" s="13"/>
    </row>
    <row r="31932" spans="4:38" x14ac:dyDescent="0.3">
      <c r="D31932" s="1"/>
      <c r="G31932" s="13"/>
      <c r="AL31932" s="13"/>
    </row>
    <row r="31933" spans="4:38" x14ac:dyDescent="0.3">
      <c r="D31933" s="1"/>
      <c r="G31933" s="13"/>
      <c r="AL31933" s="13"/>
    </row>
    <row r="31934" spans="4:38" x14ac:dyDescent="0.3">
      <c r="D31934" s="1"/>
      <c r="G31934" s="13"/>
      <c r="AL31934" s="13"/>
    </row>
    <row r="31935" spans="4:38" x14ac:dyDescent="0.3">
      <c r="D31935" s="1"/>
      <c r="G31935" s="13"/>
      <c r="AL31935" s="13"/>
    </row>
    <row r="31936" spans="4:38" x14ac:dyDescent="0.3">
      <c r="D31936" s="1"/>
      <c r="G31936" s="13"/>
      <c r="AL31936" s="13"/>
    </row>
    <row r="31937" spans="4:38" x14ac:dyDescent="0.3">
      <c r="D31937" s="1"/>
      <c r="G31937" s="13"/>
      <c r="AL31937" s="13"/>
    </row>
    <row r="31938" spans="4:38" x14ac:dyDescent="0.3">
      <c r="D31938" s="1"/>
      <c r="G31938" s="13"/>
      <c r="AL31938" s="13"/>
    </row>
    <row r="31939" spans="4:38" x14ac:dyDescent="0.3">
      <c r="D31939" s="1"/>
      <c r="G31939" s="13"/>
      <c r="AL31939" s="13"/>
    </row>
    <row r="31940" spans="4:38" x14ac:dyDescent="0.3">
      <c r="D31940" s="1"/>
      <c r="G31940" s="13"/>
      <c r="AL31940" s="13"/>
    </row>
    <row r="31941" spans="4:38" x14ac:dyDescent="0.3">
      <c r="D31941" s="1"/>
      <c r="G31941" s="13"/>
      <c r="AL31941" s="13"/>
    </row>
    <row r="31942" spans="4:38" x14ac:dyDescent="0.3">
      <c r="D31942" s="1"/>
      <c r="G31942" s="13"/>
      <c r="AL31942" s="13"/>
    </row>
    <row r="31943" spans="4:38" x14ac:dyDescent="0.3">
      <c r="D31943" s="1"/>
      <c r="G31943" s="13"/>
      <c r="AL31943" s="13"/>
    </row>
    <row r="31944" spans="4:38" x14ac:dyDescent="0.3">
      <c r="D31944" s="1"/>
      <c r="G31944" s="13"/>
      <c r="AL31944" s="13"/>
    </row>
    <row r="31945" spans="4:38" x14ac:dyDescent="0.3">
      <c r="D31945" s="1"/>
      <c r="G31945" s="13"/>
      <c r="AL31945" s="13"/>
    </row>
    <row r="31946" spans="4:38" x14ac:dyDescent="0.3">
      <c r="D31946" s="1"/>
      <c r="G31946" s="13"/>
      <c r="AL31946" s="13"/>
    </row>
    <row r="31947" spans="4:38" x14ac:dyDescent="0.3">
      <c r="D31947" s="1"/>
      <c r="G31947" s="13"/>
      <c r="AL31947" s="13"/>
    </row>
    <row r="31948" spans="4:38" x14ac:dyDescent="0.3">
      <c r="D31948" s="1"/>
      <c r="G31948" s="13"/>
      <c r="AL31948" s="13"/>
    </row>
    <row r="31949" spans="4:38" x14ac:dyDescent="0.3">
      <c r="D31949" s="1"/>
      <c r="G31949" s="13"/>
      <c r="AL31949" s="13"/>
    </row>
    <row r="31950" spans="4:38" x14ac:dyDescent="0.3">
      <c r="D31950" s="1"/>
      <c r="G31950" s="13"/>
      <c r="AL31950" s="13"/>
    </row>
    <row r="31951" spans="4:38" x14ac:dyDescent="0.3">
      <c r="D31951" s="1"/>
      <c r="G31951" s="13"/>
      <c r="AL31951" s="13"/>
    </row>
    <row r="31952" spans="4:38" x14ac:dyDescent="0.3">
      <c r="D31952" s="1"/>
      <c r="G31952" s="13"/>
      <c r="AL31952" s="13"/>
    </row>
    <row r="31953" spans="4:38" x14ac:dyDescent="0.3">
      <c r="D31953" s="1"/>
      <c r="G31953" s="13"/>
      <c r="AL31953" s="13"/>
    </row>
    <row r="31954" spans="4:38" x14ac:dyDescent="0.3">
      <c r="D31954" s="1"/>
      <c r="G31954" s="13"/>
      <c r="AL31954" s="13"/>
    </row>
    <row r="31955" spans="4:38" x14ac:dyDescent="0.3">
      <c r="D31955" s="1"/>
      <c r="G31955" s="13"/>
      <c r="AL31955" s="13"/>
    </row>
    <row r="31956" spans="4:38" x14ac:dyDescent="0.3">
      <c r="D31956" s="1"/>
      <c r="G31956" s="13"/>
      <c r="AL31956" s="13"/>
    </row>
    <row r="31957" spans="4:38" x14ac:dyDescent="0.3">
      <c r="D31957" s="1"/>
      <c r="G31957" s="13"/>
      <c r="AL31957" s="13"/>
    </row>
    <row r="31958" spans="4:38" x14ac:dyDescent="0.3">
      <c r="D31958" s="1"/>
      <c r="G31958" s="13"/>
      <c r="AL31958" s="13"/>
    </row>
    <row r="31959" spans="4:38" x14ac:dyDescent="0.3">
      <c r="D31959" s="1"/>
      <c r="G31959" s="13"/>
      <c r="AL31959" s="13"/>
    </row>
    <row r="31960" spans="4:38" x14ac:dyDescent="0.3">
      <c r="D31960" s="1"/>
      <c r="G31960" s="13"/>
      <c r="AL31960" s="13"/>
    </row>
    <row r="31961" spans="4:38" x14ac:dyDescent="0.3">
      <c r="D31961" s="1"/>
      <c r="G31961" s="13"/>
      <c r="AL31961" s="13"/>
    </row>
    <row r="31962" spans="4:38" x14ac:dyDescent="0.3">
      <c r="D31962" s="1"/>
      <c r="G31962" s="13"/>
      <c r="AL31962" s="13"/>
    </row>
    <row r="31963" spans="4:38" x14ac:dyDescent="0.3">
      <c r="D31963" s="1"/>
      <c r="G31963" s="13"/>
      <c r="AL31963" s="13"/>
    </row>
    <row r="31964" spans="4:38" x14ac:dyDescent="0.3">
      <c r="D31964" s="1"/>
      <c r="G31964" s="13"/>
      <c r="AL31964" s="13"/>
    </row>
    <row r="31965" spans="4:38" x14ac:dyDescent="0.3">
      <c r="D31965" s="1"/>
      <c r="G31965" s="13"/>
      <c r="AL31965" s="13"/>
    </row>
    <row r="31966" spans="4:38" x14ac:dyDescent="0.3">
      <c r="D31966" s="1"/>
      <c r="G31966" s="13"/>
      <c r="AL31966" s="13"/>
    </row>
    <row r="31967" spans="4:38" x14ac:dyDescent="0.3">
      <c r="D31967" s="1"/>
      <c r="G31967" s="13"/>
      <c r="AL31967" s="13"/>
    </row>
    <row r="31968" spans="4:38" x14ac:dyDescent="0.3">
      <c r="D31968" s="1"/>
      <c r="G31968" s="13"/>
      <c r="AL31968" s="13"/>
    </row>
    <row r="31969" spans="4:38" x14ac:dyDescent="0.3">
      <c r="D31969" s="1"/>
      <c r="G31969" s="13"/>
      <c r="AL31969" s="13"/>
    </row>
    <row r="31970" spans="4:38" x14ac:dyDescent="0.3">
      <c r="D31970" s="1"/>
      <c r="G31970" s="13"/>
      <c r="AL31970" s="13"/>
    </row>
    <row r="31971" spans="4:38" x14ac:dyDescent="0.3">
      <c r="D31971" s="1"/>
      <c r="G31971" s="13"/>
      <c r="AL31971" s="13"/>
    </row>
    <row r="31972" spans="4:38" x14ac:dyDescent="0.3">
      <c r="D31972" s="1"/>
      <c r="G31972" s="13"/>
      <c r="AL31972" s="13"/>
    </row>
    <row r="31973" spans="4:38" x14ac:dyDescent="0.3">
      <c r="D31973" s="1"/>
      <c r="G31973" s="13"/>
      <c r="AL31973" s="13"/>
    </row>
    <row r="31974" spans="4:38" x14ac:dyDescent="0.3">
      <c r="D31974" s="1"/>
      <c r="G31974" s="13"/>
      <c r="AL31974" s="13"/>
    </row>
    <row r="31975" spans="4:38" x14ac:dyDescent="0.3">
      <c r="D31975" s="1"/>
      <c r="G31975" s="13"/>
      <c r="AL31975" s="13"/>
    </row>
    <row r="31976" spans="4:38" x14ac:dyDescent="0.3">
      <c r="D31976" s="1"/>
      <c r="G31976" s="13"/>
      <c r="AL31976" s="13"/>
    </row>
    <row r="31977" spans="4:38" x14ac:dyDescent="0.3">
      <c r="D31977" s="1"/>
      <c r="G31977" s="13"/>
      <c r="AL31977" s="13"/>
    </row>
    <row r="31978" spans="4:38" x14ac:dyDescent="0.3">
      <c r="D31978" s="1"/>
      <c r="G31978" s="13"/>
      <c r="AL31978" s="13"/>
    </row>
    <row r="31979" spans="4:38" x14ac:dyDescent="0.3">
      <c r="D31979" s="1"/>
      <c r="G31979" s="13"/>
      <c r="AL31979" s="13"/>
    </row>
    <row r="31980" spans="4:38" x14ac:dyDescent="0.3">
      <c r="D31980" s="1"/>
      <c r="G31980" s="13"/>
      <c r="AL31980" s="13"/>
    </row>
    <row r="31981" spans="4:38" x14ac:dyDescent="0.3">
      <c r="D31981" s="1"/>
      <c r="G31981" s="13"/>
      <c r="AL31981" s="13"/>
    </row>
    <row r="31982" spans="4:38" x14ac:dyDescent="0.3">
      <c r="D31982" s="1"/>
      <c r="G31982" s="13"/>
      <c r="AL31982" s="13"/>
    </row>
    <row r="31983" spans="4:38" x14ac:dyDescent="0.3">
      <c r="D31983" s="1"/>
      <c r="G31983" s="13"/>
      <c r="AL31983" s="13"/>
    </row>
    <row r="31984" spans="4:38" x14ac:dyDescent="0.3">
      <c r="D31984" s="1"/>
      <c r="G31984" s="13"/>
      <c r="AL31984" s="13"/>
    </row>
    <row r="31985" spans="4:38" x14ac:dyDescent="0.3">
      <c r="D31985" s="1"/>
      <c r="G31985" s="13"/>
      <c r="AL31985" s="13"/>
    </row>
    <row r="31986" spans="4:38" x14ac:dyDescent="0.3">
      <c r="D31986" s="1"/>
      <c r="G31986" s="13"/>
      <c r="AL31986" s="13"/>
    </row>
    <row r="31987" spans="4:38" x14ac:dyDescent="0.3">
      <c r="D31987" s="1"/>
      <c r="G31987" s="13"/>
      <c r="AL31987" s="13"/>
    </row>
    <row r="31988" spans="4:38" x14ac:dyDescent="0.3">
      <c r="D31988" s="1"/>
      <c r="G31988" s="13"/>
      <c r="AL31988" s="13"/>
    </row>
    <row r="31989" spans="4:38" x14ac:dyDescent="0.3">
      <c r="D31989" s="1"/>
      <c r="G31989" s="13"/>
      <c r="AL31989" s="13"/>
    </row>
    <row r="31990" spans="4:38" x14ac:dyDescent="0.3">
      <c r="D31990" s="1"/>
      <c r="G31990" s="13"/>
      <c r="AL31990" s="13"/>
    </row>
    <row r="31991" spans="4:38" x14ac:dyDescent="0.3">
      <c r="D31991" s="1"/>
      <c r="G31991" s="13"/>
      <c r="AL31991" s="13"/>
    </row>
    <row r="31992" spans="4:38" x14ac:dyDescent="0.3">
      <c r="D31992" s="1"/>
      <c r="G31992" s="13"/>
      <c r="AL31992" s="13"/>
    </row>
    <row r="31993" spans="4:38" x14ac:dyDescent="0.3">
      <c r="D31993" s="1"/>
      <c r="G31993" s="13"/>
      <c r="AL31993" s="13"/>
    </row>
    <row r="31994" spans="4:38" x14ac:dyDescent="0.3">
      <c r="D31994" s="1"/>
      <c r="G31994" s="13"/>
      <c r="AL31994" s="13"/>
    </row>
    <row r="31995" spans="4:38" x14ac:dyDescent="0.3">
      <c r="D31995" s="1"/>
      <c r="G31995" s="13"/>
      <c r="AL31995" s="13"/>
    </row>
    <row r="31996" spans="4:38" x14ac:dyDescent="0.3">
      <c r="D31996" s="1"/>
      <c r="G31996" s="13"/>
      <c r="AL31996" s="13"/>
    </row>
    <row r="31997" spans="4:38" x14ac:dyDescent="0.3">
      <c r="D31997" s="1"/>
      <c r="G31997" s="13"/>
      <c r="AL31997" s="13"/>
    </row>
    <row r="31998" spans="4:38" x14ac:dyDescent="0.3">
      <c r="D31998" s="1"/>
      <c r="G31998" s="13"/>
      <c r="AL31998" s="13"/>
    </row>
    <row r="31999" spans="4:38" x14ac:dyDescent="0.3">
      <c r="D31999" s="1"/>
      <c r="G31999" s="13"/>
      <c r="AL31999" s="13"/>
    </row>
    <row r="32000" spans="4:38" x14ac:dyDescent="0.3">
      <c r="D32000" s="1"/>
      <c r="G32000" s="13"/>
      <c r="AL32000" s="13"/>
    </row>
    <row r="32001" spans="4:38" x14ac:dyDescent="0.3">
      <c r="D32001" s="1"/>
      <c r="G32001" s="13"/>
      <c r="AL32001" s="13"/>
    </row>
    <row r="32002" spans="4:38" x14ac:dyDescent="0.3">
      <c r="D32002" s="1"/>
      <c r="G32002" s="13"/>
      <c r="AL32002" s="13"/>
    </row>
    <row r="32003" spans="4:38" x14ac:dyDescent="0.3">
      <c r="D32003" s="1"/>
      <c r="G32003" s="13"/>
      <c r="AL32003" s="13"/>
    </row>
    <row r="32004" spans="4:38" x14ac:dyDescent="0.3">
      <c r="D32004" s="1"/>
      <c r="G32004" s="13"/>
      <c r="AL32004" s="13"/>
    </row>
    <row r="32005" spans="4:38" x14ac:dyDescent="0.3">
      <c r="D32005" s="1"/>
      <c r="G32005" s="13"/>
      <c r="AL32005" s="13"/>
    </row>
    <row r="32006" spans="4:38" x14ac:dyDescent="0.3">
      <c r="D32006" s="1"/>
      <c r="G32006" s="13"/>
      <c r="AL32006" s="13"/>
    </row>
    <row r="32007" spans="4:38" x14ac:dyDescent="0.3">
      <c r="D32007" s="1"/>
      <c r="G32007" s="13"/>
      <c r="AL32007" s="13"/>
    </row>
    <row r="32008" spans="4:38" x14ac:dyDescent="0.3">
      <c r="D32008" s="1"/>
      <c r="G32008" s="13"/>
      <c r="AL32008" s="13"/>
    </row>
    <row r="32009" spans="4:38" x14ac:dyDescent="0.3">
      <c r="D32009" s="1"/>
      <c r="G32009" s="13"/>
      <c r="AL32009" s="13"/>
    </row>
    <row r="32010" spans="4:38" x14ac:dyDescent="0.3">
      <c r="D32010" s="1"/>
      <c r="G32010" s="13"/>
      <c r="AL32010" s="13"/>
    </row>
    <row r="32011" spans="4:38" x14ac:dyDescent="0.3">
      <c r="D32011" s="1"/>
      <c r="G32011" s="13"/>
      <c r="AL32011" s="13"/>
    </row>
    <row r="32012" spans="4:38" x14ac:dyDescent="0.3">
      <c r="D32012" s="1"/>
      <c r="G32012" s="13"/>
      <c r="AL32012" s="13"/>
    </row>
    <row r="32013" spans="4:38" x14ac:dyDescent="0.3">
      <c r="D32013" s="1"/>
      <c r="G32013" s="13"/>
      <c r="AL32013" s="13"/>
    </row>
    <row r="32014" spans="4:38" x14ac:dyDescent="0.3">
      <c r="D32014" s="1"/>
      <c r="G32014" s="13"/>
      <c r="AL32014" s="13"/>
    </row>
    <row r="32015" spans="4:38" x14ac:dyDescent="0.3">
      <c r="D32015" s="1"/>
      <c r="G32015" s="13"/>
      <c r="AL32015" s="13"/>
    </row>
    <row r="32016" spans="4:38" x14ac:dyDescent="0.3">
      <c r="D32016" s="1"/>
      <c r="G32016" s="13"/>
      <c r="AL32016" s="13"/>
    </row>
    <row r="32017" spans="4:38" x14ac:dyDescent="0.3">
      <c r="D32017" s="1"/>
      <c r="G32017" s="13"/>
      <c r="AL32017" s="13"/>
    </row>
    <row r="32018" spans="4:38" x14ac:dyDescent="0.3">
      <c r="D32018" s="1"/>
      <c r="G32018" s="13"/>
      <c r="AL32018" s="13"/>
    </row>
    <row r="32019" spans="4:38" x14ac:dyDescent="0.3">
      <c r="D32019" s="1"/>
      <c r="G32019" s="13"/>
      <c r="AL32019" s="13"/>
    </row>
    <row r="32020" spans="4:38" x14ac:dyDescent="0.3">
      <c r="D32020" s="1"/>
      <c r="G32020" s="13"/>
      <c r="AL32020" s="13"/>
    </row>
    <row r="32021" spans="4:38" x14ac:dyDescent="0.3">
      <c r="D32021" s="1"/>
      <c r="G32021" s="13"/>
      <c r="AL32021" s="13"/>
    </row>
    <row r="32022" spans="4:38" x14ac:dyDescent="0.3">
      <c r="D32022" s="1"/>
      <c r="G32022" s="13"/>
      <c r="AL32022" s="13"/>
    </row>
    <row r="32023" spans="4:38" x14ac:dyDescent="0.3">
      <c r="D32023" s="1"/>
      <c r="G32023" s="13"/>
      <c r="AL32023" s="13"/>
    </row>
    <row r="32024" spans="4:38" x14ac:dyDescent="0.3">
      <c r="D32024" s="1"/>
      <c r="G32024" s="13"/>
      <c r="AL32024" s="13"/>
    </row>
    <row r="32025" spans="4:38" x14ac:dyDescent="0.3">
      <c r="D32025" s="1"/>
      <c r="G32025" s="13"/>
      <c r="AL32025" s="13"/>
    </row>
    <row r="32026" spans="4:38" x14ac:dyDescent="0.3">
      <c r="D32026" s="1"/>
      <c r="G32026" s="13"/>
      <c r="AL32026" s="13"/>
    </row>
    <row r="32027" spans="4:38" x14ac:dyDescent="0.3">
      <c r="D32027" s="1"/>
      <c r="G32027" s="13"/>
      <c r="AL32027" s="13"/>
    </row>
    <row r="32028" spans="4:38" x14ac:dyDescent="0.3">
      <c r="D32028" s="1"/>
      <c r="G32028" s="13"/>
      <c r="AL32028" s="13"/>
    </row>
    <row r="32029" spans="4:38" x14ac:dyDescent="0.3">
      <c r="D32029" s="1"/>
      <c r="G32029" s="13"/>
      <c r="AL32029" s="13"/>
    </row>
    <row r="32030" spans="4:38" x14ac:dyDescent="0.3">
      <c r="D32030" s="1"/>
      <c r="G32030" s="13"/>
      <c r="AL32030" s="13"/>
    </row>
    <row r="32031" spans="4:38" x14ac:dyDescent="0.3">
      <c r="D32031" s="1"/>
      <c r="G32031" s="13"/>
      <c r="AL32031" s="13"/>
    </row>
    <row r="32032" spans="4:38" x14ac:dyDescent="0.3">
      <c r="D32032" s="1"/>
      <c r="G32032" s="13"/>
      <c r="AL32032" s="13"/>
    </row>
    <row r="32033" spans="4:38" x14ac:dyDescent="0.3">
      <c r="D32033" s="1"/>
      <c r="G32033" s="13"/>
      <c r="AL32033" s="13"/>
    </row>
    <row r="32034" spans="4:38" x14ac:dyDescent="0.3">
      <c r="D32034" s="1"/>
      <c r="G32034" s="13"/>
      <c r="AL32034" s="13"/>
    </row>
    <row r="32035" spans="4:38" x14ac:dyDescent="0.3">
      <c r="D32035" s="1"/>
      <c r="G32035" s="13"/>
      <c r="AL32035" s="13"/>
    </row>
    <row r="32036" spans="4:38" x14ac:dyDescent="0.3">
      <c r="D32036" s="1"/>
      <c r="G32036" s="13"/>
      <c r="AL32036" s="13"/>
    </row>
    <row r="32037" spans="4:38" x14ac:dyDescent="0.3">
      <c r="D32037" s="1"/>
      <c r="G32037" s="13"/>
      <c r="AL32037" s="13"/>
    </row>
    <row r="32038" spans="4:38" x14ac:dyDescent="0.3">
      <c r="D32038" s="1"/>
      <c r="G32038" s="13"/>
      <c r="AL32038" s="13"/>
    </row>
    <row r="32039" spans="4:38" x14ac:dyDescent="0.3">
      <c r="D32039" s="1"/>
      <c r="G32039" s="13"/>
      <c r="AL32039" s="13"/>
    </row>
    <row r="32040" spans="4:38" x14ac:dyDescent="0.3">
      <c r="D32040" s="1"/>
      <c r="G32040" s="13"/>
      <c r="AL32040" s="13"/>
    </row>
    <row r="32041" spans="4:38" x14ac:dyDescent="0.3">
      <c r="D32041" s="1"/>
      <c r="G32041" s="13"/>
      <c r="AL32041" s="13"/>
    </row>
    <row r="32042" spans="4:38" x14ac:dyDescent="0.3">
      <c r="D32042" s="1"/>
      <c r="G32042" s="13"/>
      <c r="AL32042" s="13"/>
    </row>
    <row r="32043" spans="4:38" x14ac:dyDescent="0.3">
      <c r="D32043" s="1"/>
      <c r="G32043" s="13"/>
      <c r="AL32043" s="13"/>
    </row>
    <row r="32044" spans="4:38" x14ac:dyDescent="0.3">
      <c r="D32044" s="1"/>
      <c r="G32044" s="13"/>
      <c r="AL32044" s="13"/>
    </row>
    <row r="32045" spans="4:38" x14ac:dyDescent="0.3">
      <c r="D32045" s="1"/>
      <c r="G32045" s="13"/>
      <c r="AL32045" s="13"/>
    </row>
    <row r="32046" spans="4:38" x14ac:dyDescent="0.3">
      <c r="D32046" s="1"/>
      <c r="G32046" s="13"/>
      <c r="AL32046" s="13"/>
    </row>
    <row r="32047" spans="4:38" x14ac:dyDescent="0.3">
      <c r="D32047" s="1"/>
      <c r="G32047" s="13"/>
      <c r="AL32047" s="13"/>
    </row>
    <row r="32048" spans="4:38" x14ac:dyDescent="0.3">
      <c r="D32048" s="1"/>
      <c r="G32048" s="13"/>
      <c r="AL32048" s="13"/>
    </row>
    <row r="32049" spans="4:38" x14ac:dyDescent="0.3">
      <c r="D32049" s="1"/>
      <c r="G32049" s="13"/>
      <c r="AL32049" s="13"/>
    </row>
    <row r="32050" spans="4:38" x14ac:dyDescent="0.3">
      <c r="D32050" s="1"/>
      <c r="G32050" s="13"/>
      <c r="AL32050" s="13"/>
    </row>
    <row r="32051" spans="4:38" x14ac:dyDescent="0.3">
      <c r="D32051" s="1"/>
      <c r="G32051" s="13"/>
      <c r="AL32051" s="13"/>
    </row>
    <row r="32052" spans="4:38" x14ac:dyDescent="0.3">
      <c r="D32052" s="1"/>
      <c r="G32052" s="13"/>
      <c r="AL32052" s="13"/>
    </row>
    <row r="32053" spans="4:38" x14ac:dyDescent="0.3">
      <c r="D32053" s="1"/>
      <c r="G32053" s="13"/>
      <c r="AL32053" s="13"/>
    </row>
    <row r="32054" spans="4:38" x14ac:dyDescent="0.3">
      <c r="D32054" s="1"/>
      <c r="G32054" s="13"/>
      <c r="AL32054" s="13"/>
    </row>
    <row r="32055" spans="4:38" x14ac:dyDescent="0.3">
      <c r="D32055" s="1"/>
      <c r="G32055" s="13"/>
      <c r="AL32055" s="13"/>
    </row>
    <row r="32056" spans="4:38" x14ac:dyDescent="0.3">
      <c r="D32056" s="1"/>
      <c r="G32056" s="13"/>
      <c r="AL32056" s="13"/>
    </row>
    <row r="32057" spans="4:38" x14ac:dyDescent="0.3">
      <c r="D32057" s="1"/>
      <c r="G32057" s="13"/>
      <c r="AL32057" s="13"/>
    </row>
    <row r="32058" spans="4:38" x14ac:dyDescent="0.3">
      <c r="D32058" s="1"/>
      <c r="G32058" s="13"/>
      <c r="AL32058" s="13"/>
    </row>
    <row r="32059" spans="4:38" x14ac:dyDescent="0.3">
      <c r="D32059" s="1"/>
      <c r="G32059" s="13"/>
      <c r="AL32059" s="13"/>
    </row>
    <row r="32060" spans="4:38" x14ac:dyDescent="0.3">
      <c r="D32060" s="1"/>
      <c r="G32060" s="13"/>
      <c r="AL32060" s="13"/>
    </row>
    <row r="32061" spans="4:38" x14ac:dyDescent="0.3">
      <c r="D32061" s="1"/>
      <c r="G32061" s="13"/>
      <c r="AL32061" s="13"/>
    </row>
    <row r="32062" spans="4:38" x14ac:dyDescent="0.3">
      <c r="D32062" s="1"/>
      <c r="G32062" s="13"/>
      <c r="AL32062" s="13"/>
    </row>
    <row r="32063" spans="4:38" x14ac:dyDescent="0.3">
      <c r="D32063" s="1"/>
      <c r="G32063" s="13"/>
      <c r="AL32063" s="13"/>
    </row>
    <row r="32064" spans="4:38" x14ac:dyDescent="0.3">
      <c r="D32064" s="1"/>
      <c r="G32064" s="13"/>
      <c r="AL32064" s="13"/>
    </row>
    <row r="32065" spans="4:38" x14ac:dyDescent="0.3">
      <c r="D32065" s="1"/>
      <c r="G32065" s="13"/>
      <c r="AL32065" s="13"/>
    </row>
    <row r="32066" spans="4:38" x14ac:dyDescent="0.3">
      <c r="D32066" s="1"/>
      <c r="G32066" s="13"/>
      <c r="AL32066" s="13"/>
    </row>
    <row r="32067" spans="4:38" x14ac:dyDescent="0.3">
      <c r="D32067" s="1"/>
      <c r="G32067" s="13"/>
      <c r="AL32067" s="13"/>
    </row>
    <row r="32068" spans="4:38" x14ac:dyDescent="0.3">
      <c r="D32068" s="1"/>
      <c r="G32068" s="13"/>
      <c r="AL32068" s="13"/>
    </row>
    <row r="32069" spans="4:38" x14ac:dyDescent="0.3">
      <c r="D32069" s="1"/>
      <c r="G32069" s="13"/>
      <c r="AL32069" s="13"/>
    </row>
    <row r="32070" spans="4:38" x14ac:dyDescent="0.3">
      <c r="D32070" s="1"/>
      <c r="G32070" s="13"/>
      <c r="AL32070" s="13"/>
    </row>
    <row r="32071" spans="4:38" x14ac:dyDescent="0.3">
      <c r="D32071" s="1"/>
      <c r="G32071" s="13"/>
      <c r="AL32071" s="13"/>
    </row>
    <row r="32072" spans="4:38" x14ac:dyDescent="0.3">
      <c r="D32072" s="1"/>
      <c r="G32072" s="13"/>
      <c r="AL32072" s="13"/>
    </row>
    <row r="32073" spans="4:38" x14ac:dyDescent="0.3">
      <c r="D32073" s="1"/>
      <c r="G32073" s="13"/>
      <c r="AL32073" s="13"/>
    </row>
    <row r="32074" spans="4:38" x14ac:dyDescent="0.3">
      <c r="D32074" s="1"/>
      <c r="G32074" s="13"/>
      <c r="AL32074" s="13"/>
    </row>
    <row r="32075" spans="4:38" x14ac:dyDescent="0.3">
      <c r="D32075" s="1"/>
      <c r="G32075" s="13"/>
      <c r="AL32075" s="13"/>
    </row>
    <row r="32076" spans="4:38" x14ac:dyDescent="0.3">
      <c r="D32076" s="1"/>
      <c r="G32076" s="13"/>
      <c r="AL32076" s="13"/>
    </row>
    <row r="32077" spans="4:38" x14ac:dyDescent="0.3">
      <c r="D32077" s="1"/>
      <c r="G32077" s="13"/>
      <c r="AL32077" s="13"/>
    </row>
    <row r="32078" spans="4:38" x14ac:dyDescent="0.3">
      <c r="D32078" s="1"/>
      <c r="G32078" s="13"/>
      <c r="AL32078" s="13"/>
    </row>
    <row r="32079" spans="4:38" x14ac:dyDescent="0.3">
      <c r="D32079" s="1"/>
      <c r="G32079" s="13"/>
      <c r="AL32079" s="13"/>
    </row>
    <row r="32080" spans="4:38" x14ac:dyDescent="0.3">
      <c r="D32080" s="1"/>
      <c r="G32080" s="13"/>
      <c r="AL32080" s="13"/>
    </row>
    <row r="32081" spans="4:38" x14ac:dyDescent="0.3">
      <c r="D32081" s="1"/>
      <c r="G32081" s="13"/>
      <c r="AL32081" s="13"/>
    </row>
    <row r="32082" spans="4:38" x14ac:dyDescent="0.3">
      <c r="D32082" s="1"/>
      <c r="G32082" s="13"/>
      <c r="AL32082" s="13"/>
    </row>
    <row r="32083" spans="4:38" x14ac:dyDescent="0.3">
      <c r="D32083" s="1"/>
      <c r="G32083" s="13"/>
      <c r="AL32083" s="13"/>
    </row>
    <row r="32084" spans="4:38" x14ac:dyDescent="0.3">
      <c r="D32084" s="1"/>
      <c r="G32084" s="13"/>
      <c r="AL32084" s="13"/>
    </row>
    <row r="32085" spans="4:38" x14ac:dyDescent="0.3">
      <c r="D32085" s="1"/>
      <c r="G32085" s="13"/>
      <c r="AL32085" s="13"/>
    </row>
    <row r="32086" spans="4:38" x14ac:dyDescent="0.3">
      <c r="D32086" s="1"/>
      <c r="G32086" s="13"/>
      <c r="AL32086" s="13"/>
    </row>
    <row r="32087" spans="4:38" x14ac:dyDescent="0.3">
      <c r="D32087" s="1"/>
      <c r="G32087" s="13"/>
      <c r="AL32087" s="13"/>
    </row>
    <row r="32088" spans="4:38" x14ac:dyDescent="0.3">
      <c r="D32088" s="1"/>
      <c r="G32088" s="13"/>
      <c r="AL32088" s="13"/>
    </row>
    <row r="32089" spans="4:38" x14ac:dyDescent="0.3">
      <c r="D32089" s="1"/>
      <c r="G32089" s="13"/>
      <c r="AL32089" s="13"/>
    </row>
    <row r="32090" spans="4:38" x14ac:dyDescent="0.3">
      <c r="D32090" s="1"/>
      <c r="G32090" s="13"/>
      <c r="AL32090" s="13"/>
    </row>
    <row r="32091" spans="4:38" x14ac:dyDescent="0.3">
      <c r="D32091" s="1"/>
      <c r="G32091" s="13"/>
      <c r="AL32091" s="13"/>
    </row>
    <row r="32092" spans="4:38" x14ac:dyDescent="0.3">
      <c r="D32092" s="1"/>
      <c r="G32092" s="13"/>
      <c r="AL32092" s="13"/>
    </row>
    <row r="32093" spans="4:38" x14ac:dyDescent="0.3">
      <c r="D32093" s="1"/>
      <c r="G32093" s="13"/>
      <c r="AL32093" s="13"/>
    </row>
    <row r="32094" spans="4:38" x14ac:dyDescent="0.3">
      <c r="D32094" s="1"/>
      <c r="G32094" s="13"/>
      <c r="AL32094" s="13"/>
    </row>
    <row r="32095" spans="4:38" x14ac:dyDescent="0.3">
      <c r="D32095" s="1"/>
      <c r="G32095" s="13"/>
      <c r="AL32095" s="13"/>
    </row>
    <row r="32096" spans="4:38" x14ac:dyDescent="0.3">
      <c r="D32096" s="1"/>
      <c r="G32096" s="13"/>
      <c r="AL32096" s="13"/>
    </row>
    <row r="32097" spans="4:38" x14ac:dyDescent="0.3">
      <c r="D32097" s="1"/>
      <c r="G32097" s="13"/>
      <c r="AL32097" s="13"/>
    </row>
    <row r="32098" spans="4:38" x14ac:dyDescent="0.3">
      <c r="D32098" s="1"/>
      <c r="G32098" s="13"/>
      <c r="AL32098" s="13"/>
    </row>
    <row r="32099" spans="4:38" x14ac:dyDescent="0.3">
      <c r="D32099" s="1"/>
      <c r="G32099" s="13"/>
      <c r="AL32099" s="13"/>
    </row>
    <row r="32100" spans="4:38" x14ac:dyDescent="0.3">
      <c r="D32100" s="1"/>
      <c r="G32100" s="13"/>
      <c r="AL32100" s="13"/>
    </row>
    <row r="32101" spans="4:38" x14ac:dyDescent="0.3">
      <c r="D32101" s="1"/>
      <c r="G32101" s="13"/>
      <c r="AL32101" s="13"/>
    </row>
    <row r="32102" spans="4:38" x14ac:dyDescent="0.3">
      <c r="D32102" s="1"/>
      <c r="G32102" s="13"/>
      <c r="AL32102" s="13"/>
    </row>
    <row r="32103" spans="4:38" x14ac:dyDescent="0.3">
      <c r="D32103" s="1"/>
      <c r="G32103" s="13"/>
      <c r="AL32103" s="13"/>
    </row>
    <row r="32104" spans="4:38" x14ac:dyDescent="0.3">
      <c r="D32104" s="1"/>
      <c r="G32104" s="13"/>
      <c r="AL32104" s="13"/>
    </row>
    <row r="32105" spans="4:38" x14ac:dyDescent="0.3">
      <c r="D32105" s="1"/>
      <c r="G32105" s="13"/>
      <c r="AL32105" s="13"/>
    </row>
    <row r="32106" spans="4:38" x14ac:dyDescent="0.3">
      <c r="D32106" s="1"/>
      <c r="G32106" s="13"/>
      <c r="AL32106" s="13"/>
    </row>
    <row r="32107" spans="4:38" x14ac:dyDescent="0.3">
      <c r="D32107" s="1"/>
      <c r="G32107" s="13"/>
      <c r="AL32107" s="13"/>
    </row>
    <row r="32108" spans="4:38" x14ac:dyDescent="0.3">
      <c r="D32108" s="1"/>
      <c r="G32108" s="13"/>
      <c r="AL32108" s="13"/>
    </row>
    <row r="32109" spans="4:38" x14ac:dyDescent="0.3">
      <c r="D32109" s="1"/>
      <c r="G32109" s="13"/>
      <c r="AL32109" s="13"/>
    </row>
    <row r="32110" spans="4:38" x14ac:dyDescent="0.3">
      <c r="D32110" s="1"/>
      <c r="G32110" s="13"/>
      <c r="AL32110" s="13"/>
    </row>
    <row r="32111" spans="4:38" x14ac:dyDescent="0.3">
      <c r="D32111" s="1"/>
      <c r="G32111" s="13"/>
      <c r="AL32111" s="13"/>
    </row>
    <row r="32112" spans="4:38" x14ac:dyDescent="0.3">
      <c r="D32112" s="1"/>
      <c r="G32112" s="13"/>
      <c r="AL32112" s="13"/>
    </row>
    <row r="32113" spans="4:38" x14ac:dyDescent="0.3">
      <c r="D32113" s="1"/>
      <c r="G32113" s="13"/>
      <c r="AL32113" s="13"/>
    </row>
    <row r="32114" spans="4:38" x14ac:dyDescent="0.3">
      <c r="D32114" s="1"/>
      <c r="G32114" s="13"/>
      <c r="AL32114" s="13"/>
    </row>
    <row r="32115" spans="4:38" x14ac:dyDescent="0.3">
      <c r="D32115" s="1"/>
      <c r="G32115" s="13"/>
      <c r="AL32115" s="13"/>
    </row>
    <row r="32116" spans="4:38" x14ac:dyDescent="0.3">
      <c r="D32116" s="1"/>
      <c r="G32116" s="13"/>
      <c r="AL32116" s="13"/>
    </row>
    <row r="32117" spans="4:38" x14ac:dyDescent="0.3">
      <c r="D32117" s="1"/>
      <c r="G32117" s="13"/>
      <c r="AL32117" s="13"/>
    </row>
    <row r="32118" spans="4:38" x14ac:dyDescent="0.3">
      <c r="D32118" s="1"/>
      <c r="G32118" s="13"/>
      <c r="AL32118" s="13"/>
    </row>
    <row r="32119" spans="4:38" x14ac:dyDescent="0.3">
      <c r="D32119" s="1"/>
      <c r="G32119" s="13"/>
      <c r="AL32119" s="13"/>
    </row>
    <row r="32120" spans="4:38" x14ac:dyDescent="0.3">
      <c r="D32120" s="1"/>
      <c r="G32120" s="13"/>
      <c r="AL32120" s="13"/>
    </row>
    <row r="32121" spans="4:38" x14ac:dyDescent="0.3">
      <c r="D32121" s="1"/>
      <c r="G32121" s="13"/>
      <c r="AL32121" s="13"/>
    </row>
    <row r="32122" spans="4:38" x14ac:dyDescent="0.3">
      <c r="D32122" s="1"/>
      <c r="G32122" s="13"/>
      <c r="AL32122" s="13"/>
    </row>
    <row r="32123" spans="4:38" x14ac:dyDescent="0.3">
      <c r="D32123" s="1"/>
      <c r="G32123" s="13"/>
      <c r="AL32123" s="13"/>
    </row>
    <row r="32124" spans="4:38" x14ac:dyDescent="0.3">
      <c r="D32124" s="1"/>
      <c r="G32124" s="13"/>
      <c r="AL32124" s="13"/>
    </row>
    <row r="32125" spans="4:38" x14ac:dyDescent="0.3">
      <c r="D32125" s="1"/>
      <c r="G32125" s="13"/>
      <c r="AL32125" s="13"/>
    </row>
    <row r="32126" spans="4:38" x14ac:dyDescent="0.3">
      <c r="D32126" s="1"/>
      <c r="G32126" s="13"/>
      <c r="AL32126" s="13"/>
    </row>
    <row r="32127" spans="4:38" x14ac:dyDescent="0.3">
      <c r="D32127" s="1"/>
      <c r="G32127" s="13"/>
      <c r="AL32127" s="13"/>
    </row>
    <row r="32128" spans="4:38" x14ac:dyDescent="0.3">
      <c r="D32128" s="1"/>
      <c r="G32128" s="13"/>
      <c r="AL32128" s="13"/>
    </row>
    <row r="32129" spans="4:38" x14ac:dyDescent="0.3">
      <c r="D32129" s="1"/>
      <c r="G32129" s="13"/>
      <c r="AL32129" s="13"/>
    </row>
    <row r="32130" spans="4:38" x14ac:dyDescent="0.3">
      <c r="D32130" s="1"/>
      <c r="G32130" s="13"/>
      <c r="AL32130" s="13"/>
    </row>
    <row r="32131" spans="4:38" x14ac:dyDescent="0.3">
      <c r="D32131" s="1"/>
      <c r="G32131" s="13"/>
      <c r="AL32131" s="13"/>
    </row>
    <row r="32132" spans="4:38" x14ac:dyDescent="0.3">
      <c r="D32132" s="1"/>
      <c r="G32132" s="13"/>
      <c r="AL32132" s="13"/>
    </row>
    <row r="32133" spans="4:38" x14ac:dyDescent="0.3">
      <c r="D32133" s="1"/>
      <c r="G32133" s="13"/>
      <c r="AL32133" s="13"/>
    </row>
    <row r="32134" spans="4:38" x14ac:dyDescent="0.3">
      <c r="D32134" s="1"/>
      <c r="G32134" s="13"/>
      <c r="AL32134" s="13"/>
    </row>
    <row r="32135" spans="4:38" x14ac:dyDescent="0.3">
      <c r="D32135" s="1"/>
      <c r="G32135" s="13"/>
      <c r="AL32135" s="13"/>
    </row>
    <row r="32136" spans="4:38" x14ac:dyDescent="0.3">
      <c r="D32136" s="1"/>
      <c r="G32136" s="13"/>
      <c r="AL32136" s="13"/>
    </row>
    <row r="32137" spans="4:38" x14ac:dyDescent="0.3">
      <c r="D32137" s="1"/>
      <c r="G32137" s="13"/>
      <c r="AL32137" s="13"/>
    </row>
    <row r="32138" spans="4:38" x14ac:dyDescent="0.3">
      <c r="D32138" s="1"/>
      <c r="G32138" s="13"/>
      <c r="AL32138" s="13"/>
    </row>
    <row r="32139" spans="4:38" x14ac:dyDescent="0.3">
      <c r="D32139" s="1"/>
      <c r="G32139" s="13"/>
      <c r="AL32139" s="13"/>
    </row>
    <row r="32140" spans="4:38" x14ac:dyDescent="0.3">
      <c r="D32140" s="1"/>
      <c r="G32140" s="13"/>
      <c r="AL32140" s="13"/>
    </row>
    <row r="32141" spans="4:38" x14ac:dyDescent="0.3">
      <c r="D32141" s="1"/>
      <c r="G32141" s="13"/>
      <c r="AL32141" s="13"/>
    </row>
    <row r="32142" spans="4:38" x14ac:dyDescent="0.3">
      <c r="D32142" s="1"/>
      <c r="G32142" s="13"/>
      <c r="AL32142" s="13"/>
    </row>
    <row r="32143" spans="4:38" x14ac:dyDescent="0.3">
      <c r="D32143" s="1"/>
      <c r="G32143" s="13"/>
      <c r="AL32143" s="13"/>
    </row>
    <row r="32144" spans="4:38" x14ac:dyDescent="0.3">
      <c r="D32144" s="1"/>
      <c r="G32144" s="13"/>
      <c r="AL32144" s="13"/>
    </row>
    <row r="32145" spans="4:38" x14ac:dyDescent="0.3">
      <c r="D32145" s="1"/>
      <c r="G32145" s="13"/>
      <c r="AL32145" s="13"/>
    </row>
    <row r="32146" spans="4:38" x14ac:dyDescent="0.3">
      <c r="D32146" s="1"/>
      <c r="G32146" s="13"/>
      <c r="AL32146" s="13"/>
    </row>
    <row r="32147" spans="4:38" x14ac:dyDescent="0.3">
      <c r="D32147" s="1"/>
      <c r="G32147" s="13"/>
      <c r="AL32147" s="13"/>
    </row>
    <row r="32148" spans="4:38" x14ac:dyDescent="0.3">
      <c r="D32148" s="1"/>
      <c r="G32148" s="13"/>
      <c r="AL32148" s="13"/>
    </row>
    <row r="32149" spans="4:38" x14ac:dyDescent="0.3">
      <c r="D32149" s="1"/>
      <c r="G32149" s="13"/>
      <c r="AL32149" s="13"/>
    </row>
    <row r="32150" spans="4:38" x14ac:dyDescent="0.3">
      <c r="D32150" s="1"/>
      <c r="G32150" s="13"/>
      <c r="AL32150" s="13"/>
    </row>
    <row r="32151" spans="4:38" x14ac:dyDescent="0.3">
      <c r="D32151" s="1"/>
      <c r="G32151" s="13"/>
      <c r="AL32151" s="13"/>
    </row>
    <row r="32152" spans="4:38" x14ac:dyDescent="0.3">
      <c r="D32152" s="1"/>
      <c r="G32152" s="13"/>
      <c r="AL32152" s="13"/>
    </row>
    <row r="32153" spans="4:38" x14ac:dyDescent="0.3">
      <c r="D32153" s="1"/>
      <c r="G32153" s="13"/>
      <c r="AL32153" s="13"/>
    </row>
    <row r="32154" spans="4:38" x14ac:dyDescent="0.3">
      <c r="D32154" s="1"/>
      <c r="G32154" s="13"/>
      <c r="AL32154" s="13"/>
    </row>
    <row r="32155" spans="4:38" x14ac:dyDescent="0.3">
      <c r="D32155" s="1"/>
      <c r="G32155" s="13"/>
      <c r="AL32155" s="13"/>
    </row>
    <row r="32156" spans="4:38" x14ac:dyDescent="0.3">
      <c r="D32156" s="1"/>
      <c r="G32156" s="13"/>
      <c r="AL32156" s="13"/>
    </row>
    <row r="32157" spans="4:38" x14ac:dyDescent="0.3">
      <c r="D32157" s="1"/>
      <c r="G32157" s="13"/>
      <c r="AL32157" s="13"/>
    </row>
    <row r="32158" spans="4:38" x14ac:dyDescent="0.3">
      <c r="D32158" s="1"/>
      <c r="G32158" s="13"/>
      <c r="AL32158" s="13"/>
    </row>
    <row r="32159" spans="4:38" x14ac:dyDescent="0.3">
      <c r="D32159" s="1"/>
      <c r="G32159" s="13"/>
      <c r="AL32159" s="13"/>
    </row>
    <row r="32160" spans="4:38" x14ac:dyDescent="0.3">
      <c r="D32160" s="1"/>
      <c r="G32160" s="13"/>
      <c r="AL32160" s="13"/>
    </row>
    <row r="32161" spans="4:38" x14ac:dyDescent="0.3">
      <c r="D32161" s="1"/>
      <c r="G32161" s="13"/>
      <c r="AL32161" s="13"/>
    </row>
    <row r="32162" spans="4:38" x14ac:dyDescent="0.3">
      <c r="D32162" s="1"/>
      <c r="G32162" s="13"/>
      <c r="AL32162" s="13"/>
    </row>
    <row r="32163" spans="4:38" x14ac:dyDescent="0.3">
      <c r="D32163" s="1"/>
      <c r="G32163" s="13"/>
      <c r="AL32163" s="13"/>
    </row>
    <row r="32164" spans="4:38" x14ac:dyDescent="0.3">
      <c r="D32164" s="1"/>
      <c r="G32164" s="13"/>
      <c r="AL32164" s="13"/>
    </row>
    <row r="32165" spans="4:38" x14ac:dyDescent="0.3">
      <c r="D32165" s="1"/>
      <c r="G32165" s="13"/>
      <c r="AL32165" s="13"/>
    </row>
    <row r="32166" spans="4:38" x14ac:dyDescent="0.3">
      <c r="D32166" s="1"/>
      <c r="G32166" s="13"/>
      <c r="AL32166" s="13"/>
    </row>
    <row r="32167" spans="4:38" x14ac:dyDescent="0.3">
      <c r="D32167" s="1"/>
      <c r="G32167" s="13"/>
      <c r="AL32167" s="13"/>
    </row>
    <row r="32168" spans="4:38" x14ac:dyDescent="0.3">
      <c r="D32168" s="1"/>
      <c r="G32168" s="13"/>
      <c r="AL32168" s="13"/>
    </row>
    <row r="32169" spans="4:38" x14ac:dyDescent="0.3">
      <c r="D32169" s="1"/>
      <c r="G32169" s="13"/>
    </row>
    <row r="32170" spans="4:38" x14ac:dyDescent="0.3">
      <c r="D32170" s="1"/>
      <c r="G32170" s="13"/>
    </row>
    <row r="32171" spans="4:38" x14ac:dyDescent="0.3">
      <c r="D32171" s="1"/>
      <c r="G32171" s="13"/>
    </row>
    <row r="32172" spans="4:38" x14ac:dyDescent="0.3">
      <c r="D32172" s="1"/>
      <c r="G32172" s="13"/>
    </row>
    <row r="32173" spans="4:38" x14ac:dyDescent="0.3">
      <c r="D32173" s="1"/>
      <c r="G32173" s="13"/>
    </row>
    <row r="32174" spans="4:38" x14ac:dyDescent="0.3">
      <c r="D32174" s="1"/>
      <c r="G32174" s="13"/>
    </row>
    <row r="32175" spans="4:38" x14ac:dyDescent="0.3">
      <c r="D32175" s="1"/>
      <c r="G32175" s="13"/>
    </row>
    <row r="32176" spans="4:38" x14ac:dyDescent="0.3">
      <c r="D32176" s="1"/>
      <c r="G32176" s="13"/>
    </row>
    <row r="32177" spans="4:7" x14ac:dyDescent="0.3">
      <c r="D32177" s="1"/>
      <c r="G32177" s="13"/>
    </row>
    <row r="32178" spans="4:7" x14ac:dyDescent="0.3">
      <c r="D32178" s="1"/>
      <c r="G32178" s="13"/>
    </row>
    <row r="32179" spans="4:7" x14ac:dyDescent="0.3">
      <c r="D32179" s="1"/>
      <c r="G32179" s="13"/>
    </row>
    <row r="32180" spans="4:7" x14ac:dyDescent="0.3">
      <c r="D32180" s="1"/>
      <c r="G32180" s="13"/>
    </row>
    <row r="32181" spans="4:7" x14ac:dyDescent="0.3">
      <c r="D32181" s="1"/>
      <c r="G32181" s="13"/>
    </row>
    <row r="32182" spans="4:7" x14ac:dyDescent="0.3">
      <c r="D32182" s="1"/>
      <c r="G32182" s="13"/>
    </row>
    <row r="32183" spans="4:7" x14ac:dyDescent="0.3">
      <c r="D32183" s="1"/>
      <c r="G32183" s="13"/>
    </row>
    <row r="32184" spans="4:7" x14ac:dyDescent="0.3">
      <c r="D32184" s="1"/>
      <c r="G32184" s="13"/>
    </row>
    <row r="32185" spans="4:7" x14ac:dyDescent="0.3">
      <c r="D32185" s="1"/>
      <c r="G32185" s="13"/>
    </row>
    <row r="32186" spans="4:7" x14ac:dyDescent="0.3">
      <c r="D32186" s="1"/>
      <c r="G32186" s="13"/>
    </row>
    <row r="32187" spans="4:7" x14ac:dyDescent="0.3">
      <c r="D32187" s="1"/>
      <c r="G32187" s="13"/>
    </row>
    <row r="32188" spans="4:7" x14ac:dyDescent="0.3">
      <c r="D32188" s="1"/>
      <c r="G32188" s="13"/>
    </row>
    <row r="32189" spans="4:7" x14ac:dyDescent="0.3">
      <c r="D32189" s="1"/>
      <c r="G32189" s="13"/>
    </row>
    <row r="32190" spans="4:7" x14ac:dyDescent="0.3">
      <c r="D32190" s="1"/>
      <c r="G32190" s="13"/>
    </row>
    <row r="32191" spans="4:7" x14ac:dyDescent="0.3">
      <c r="D32191" s="1"/>
      <c r="G32191" s="13"/>
    </row>
    <row r="32192" spans="4:7" x14ac:dyDescent="0.3">
      <c r="D32192" s="1"/>
      <c r="G32192" s="13"/>
    </row>
    <row r="32193" spans="4:7" x14ac:dyDescent="0.3">
      <c r="D32193" s="1"/>
      <c r="G32193" s="13"/>
    </row>
    <row r="32194" spans="4:7" x14ac:dyDescent="0.3">
      <c r="D32194" s="1"/>
      <c r="G32194" s="13"/>
    </row>
    <row r="32195" spans="4:7" x14ac:dyDescent="0.3">
      <c r="D32195" s="1"/>
      <c r="G32195" s="13"/>
    </row>
    <row r="32196" spans="4:7" x14ac:dyDescent="0.3">
      <c r="D32196" s="1"/>
      <c r="G32196" s="13"/>
    </row>
    <row r="32197" spans="4:7" x14ac:dyDescent="0.3">
      <c r="D32197" s="1"/>
      <c r="G32197" s="13"/>
    </row>
    <row r="32198" spans="4:7" x14ac:dyDescent="0.3">
      <c r="D32198" s="1"/>
      <c r="G32198" s="13"/>
    </row>
    <row r="32199" spans="4:7" x14ac:dyDescent="0.3">
      <c r="D32199" s="1"/>
      <c r="G32199" s="13"/>
    </row>
    <row r="32200" spans="4:7" x14ac:dyDescent="0.3">
      <c r="D32200" s="1"/>
      <c r="G32200" s="13"/>
    </row>
    <row r="32201" spans="4:7" x14ac:dyDescent="0.3">
      <c r="D32201" s="1"/>
      <c r="G32201" s="13"/>
    </row>
    <row r="32202" spans="4:7" x14ac:dyDescent="0.3">
      <c r="D32202" s="1"/>
      <c r="G32202" s="13"/>
    </row>
    <row r="32203" spans="4:7" x14ac:dyDescent="0.3">
      <c r="D32203" s="1"/>
      <c r="G32203" s="13"/>
    </row>
    <row r="32204" spans="4:7" x14ac:dyDescent="0.3">
      <c r="D32204" s="1"/>
      <c r="G32204" s="13"/>
    </row>
    <row r="32205" spans="4:7" x14ac:dyDescent="0.3">
      <c r="D32205" s="1"/>
      <c r="G32205" s="13"/>
    </row>
    <row r="32206" spans="4:7" x14ac:dyDescent="0.3">
      <c r="D32206" s="1"/>
      <c r="G32206" s="13"/>
    </row>
    <row r="32207" spans="4:7" x14ac:dyDescent="0.3">
      <c r="D32207" s="1"/>
      <c r="G32207" s="13"/>
    </row>
    <row r="32208" spans="4:7" x14ac:dyDescent="0.3">
      <c r="D32208" s="1"/>
      <c r="G32208" s="13"/>
    </row>
    <row r="32209" spans="4:7" x14ac:dyDescent="0.3">
      <c r="D32209" s="1"/>
      <c r="G32209" s="13"/>
    </row>
    <row r="32210" spans="4:7" x14ac:dyDescent="0.3">
      <c r="D32210" s="1"/>
      <c r="G32210" s="13"/>
    </row>
    <row r="32211" spans="4:7" x14ac:dyDescent="0.3">
      <c r="D32211" s="1"/>
      <c r="G32211" s="13"/>
    </row>
    <row r="32212" spans="4:7" x14ac:dyDescent="0.3">
      <c r="D32212" s="1"/>
      <c r="G32212" s="13"/>
    </row>
    <row r="32213" spans="4:7" x14ac:dyDescent="0.3">
      <c r="D32213" s="1"/>
      <c r="G32213" s="13"/>
    </row>
    <row r="32214" spans="4:7" x14ac:dyDescent="0.3">
      <c r="D32214" s="1"/>
      <c r="G32214" s="13"/>
    </row>
    <row r="32215" spans="4:7" x14ac:dyDescent="0.3">
      <c r="D32215" s="1"/>
      <c r="G32215" s="13"/>
    </row>
    <row r="32216" spans="4:7" x14ac:dyDescent="0.3">
      <c r="D32216" s="1"/>
      <c r="G32216" s="13"/>
    </row>
    <row r="32217" spans="4:7" x14ac:dyDescent="0.3">
      <c r="D32217" s="1"/>
      <c r="G32217" s="13"/>
    </row>
    <row r="32218" spans="4:7" x14ac:dyDescent="0.3">
      <c r="D32218" s="1"/>
      <c r="G32218" s="13"/>
    </row>
    <row r="32219" spans="4:7" x14ac:dyDescent="0.3">
      <c r="D32219" s="1"/>
      <c r="G32219" s="13"/>
    </row>
    <row r="32220" spans="4:7" x14ac:dyDescent="0.3">
      <c r="D32220" s="1"/>
      <c r="G32220" s="13"/>
    </row>
    <row r="32221" spans="4:7" x14ac:dyDescent="0.3">
      <c r="D32221" s="1"/>
      <c r="G32221" s="13"/>
    </row>
    <row r="32222" spans="4:7" x14ac:dyDescent="0.3">
      <c r="D32222" s="1"/>
      <c r="G32222" s="13"/>
    </row>
    <row r="32223" spans="4:7" x14ac:dyDescent="0.3">
      <c r="D32223" s="1"/>
      <c r="G32223" s="13"/>
    </row>
    <row r="32224" spans="4:7" x14ac:dyDescent="0.3">
      <c r="D32224" s="1"/>
      <c r="G32224" s="13"/>
    </row>
    <row r="32225" spans="4:7" x14ac:dyDescent="0.3">
      <c r="G32225" s="13"/>
    </row>
    <row r="32226" spans="4:7" x14ac:dyDescent="0.3">
      <c r="D32226" s="1"/>
      <c r="G32226" s="13"/>
    </row>
    <row r="32227" spans="4:7" x14ac:dyDescent="0.3">
      <c r="D32227" s="1"/>
      <c r="G32227" s="13"/>
    </row>
    <row r="32228" spans="4:7" x14ac:dyDescent="0.3">
      <c r="D32228" s="1"/>
      <c r="G32228" s="13"/>
    </row>
    <row r="32229" spans="4:7" x14ac:dyDescent="0.3">
      <c r="D32229" s="1"/>
      <c r="G32229" s="13"/>
    </row>
    <row r="32230" spans="4:7" x14ac:dyDescent="0.3">
      <c r="D32230" s="1"/>
      <c r="G32230" s="13"/>
    </row>
    <row r="32231" spans="4:7" x14ac:dyDescent="0.3">
      <c r="G32231" s="13"/>
    </row>
    <row r="32232" spans="4:7" x14ac:dyDescent="0.3">
      <c r="D32232" s="1"/>
      <c r="G32232" s="13"/>
    </row>
    <row r="32233" spans="4:7" x14ac:dyDescent="0.3">
      <c r="D32233" s="1"/>
      <c r="G32233" s="13"/>
    </row>
    <row r="32234" spans="4:7" x14ac:dyDescent="0.3">
      <c r="D32234" s="1"/>
      <c r="G32234" s="13"/>
    </row>
    <row r="32235" spans="4:7" x14ac:dyDescent="0.3">
      <c r="D32235" s="1"/>
      <c r="G32235" s="13"/>
    </row>
    <row r="32236" spans="4:7" x14ac:dyDescent="0.3">
      <c r="D32236" s="1"/>
      <c r="G32236" s="13"/>
    </row>
    <row r="32237" spans="4:7" x14ac:dyDescent="0.3">
      <c r="D32237" s="1"/>
      <c r="G32237" s="13"/>
    </row>
    <row r="32238" spans="4:7" x14ac:dyDescent="0.3">
      <c r="D32238" s="1"/>
      <c r="G32238" s="13"/>
    </row>
    <row r="32239" spans="4:7" x14ac:dyDescent="0.3">
      <c r="D32239" s="1"/>
      <c r="G32239" s="13"/>
    </row>
    <row r="32240" spans="4:7" x14ac:dyDescent="0.3">
      <c r="D32240" s="1"/>
      <c r="G32240" s="13"/>
    </row>
    <row r="32241" spans="4:7" x14ac:dyDescent="0.3">
      <c r="D32241" s="1"/>
      <c r="G32241" s="13"/>
    </row>
    <row r="32242" spans="4:7" x14ac:dyDescent="0.3">
      <c r="D32242" s="1"/>
      <c r="G32242" s="13"/>
    </row>
    <row r="32243" spans="4:7" x14ac:dyDescent="0.3">
      <c r="D32243" s="1"/>
      <c r="G32243" s="13"/>
    </row>
    <row r="32244" spans="4:7" x14ac:dyDescent="0.3">
      <c r="D32244" s="1"/>
      <c r="G32244" s="13"/>
    </row>
    <row r="32245" spans="4:7" x14ac:dyDescent="0.3">
      <c r="G32245" s="13"/>
    </row>
    <row r="32246" spans="4:7" x14ac:dyDescent="0.3">
      <c r="D32246" s="1"/>
      <c r="G32246" s="13"/>
    </row>
    <row r="32247" spans="4:7" x14ac:dyDescent="0.3">
      <c r="G32247" s="13"/>
    </row>
    <row r="32248" spans="4:7" x14ac:dyDescent="0.3">
      <c r="D32248" s="1"/>
      <c r="G32248" s="13"/>
    </row>
    <row r="32249" spans="4:7" x14ac:dyDescent="0.3">
      <c r="D32249" s="1"/>
      <c r="G32249" s="13"/>
    </row>
    <row r="32250" spans="4:7" x14ac:dyDescent="0.3">
      <c r="D32250" s="1"/>
      <c r="G32250" s="13"/>
    </row>
    <row r="32251" spans="4:7" x14ac:dyDescent="0.3">
      <c r="D32251" s="1"/>
      <c r="G32251" s="13"/>
    </row>
    <row r="32252" spans="4:7" x14ac:dyDescent="0.3">
      <c r="D32252" s="1"/>
      <c r="G32252" s="13"/>
    </row>
    <row r="32253" spans="4:7" x14ac:dyDescent="0.3">
      <c r="D32253" s="1"/>
      <c r="G32253" s="13"/>
    </row>
    <row r="32254" spans="4:7" x14ac:dyDescent="0.3">
      <c r="D32254" s="1"/>
      <c r="G32254" s="13"/>
    </row>
    <row r="32255" spans="4:7" x14ac:dyDescent="0.3">
      <c r="D32255" s="1"/>
      <c r="G32255" s="13"/>
    </row>
    <row r="32256" spans="4:7" x14ac:dyDescent="0.3">
      <c r="D32256" s="1"/>
      <c r="G32256" s="13"/>
    </row>
    <row r="32257" spans="4:7" x14ac:dyDescent="0.3">
      <c r="D32257" s="1"/>
      <c r="G32257" s="13"/>
    </row>
    <row r="32258" spans="4:7" x14ac:dyDescent="0.3">
      <c r="D32258" s="1"/>
      <c r="G32258" s="13"/>
    </row>
    <row r="32259" spans="4:7" x14ac:dyDescent="0.3">
      <c r="D32259" s="1"/>
      <c r="G32259" s="13"/>
    </row>
    <row r="32260" spans="4:7" x14ac:dyDescent="0.3">
      <c r="D32260" s="1"/>
      <c r="G32260" s="13"/>
    </row>
    <row r="32261" spans="4:7" x14ac:dyDescent="0.3">
      <c r="D32261" s="1"/>
      <c r="G32261" s="13"/>
    </row>
    <row r="32262" spans="4:7" x14ac:dyDescent="0.3">
      <c r="D32262" s="1"/>
      <c r="G32262" s="13"/>
    </row>
    <row r="32263" spans="4:7" x14ac:dyDescent="0.3">
      <c r="D32263" s="1"/>
      <c r="G32263" s="13"/>
    </row>
    <row r="32264" spans="4:7" x14ac:dyDescent="0.3">
      <c r="D32264" s="1"/>
      <c r="G32264" s="13"/>
    </row>
    <row r="32265" spans="4:7" x14ac:dyDescent="0.3">
      <c r="D32265" s="1"/>
      <c r="G32265" s="13"/>
    </row>
    <row r="32266" spans="4:7" x14ac:dyDescent="0.3">
      <c r="D32266" s="1"/>
      <c r="G32266" s="13"/>
    </row>
    <row r="32267" spans="4:7" x14ac:dyDescent="0.3">
      <c r="D32267" s="1"/>
      <c r="G32267" s="13"/>
    </row>
    <row r="32268" spans="4:7" x14ac:dyDescent="0.3">
      <c r="D32268" s="1"/>
      <c r="G32268" s="13"/>
    </row>
    <row r="32269" spans="4:7" x14ac:dyDescent="0.3">
      <c r="D32269" s="1"/>
      <c r="G32269" s="13"/>
    </row>
    <row r="32270" spans="4:7" x14ac:dyDescent="0.3">
      <c r="D32270" s="1"/>
      <c r="G32270" s="13"/>
    </row>
    <row r="32271" spans="4:7" x14ac:dyDescent="0.3">
      <c r="D32271" s="1"/>
      <c r="G32271" s="13"/>
    </row>
    <row r="32272" spans="4:7" x14ac:dyDescent="0.3">
      <c r="D32272" s="1"/>
      <c r="G32272" s="13"/>
    </row>
    <row r="32273" spans="4:7" x14ac:dyDescent="0.3">
      <c r="D32273" s="1"/>
      <c r="G32273" s="13"/>
    </row>
    <row r="32274" spans="4:7" x14ac:dyDescent="0.3">
      <c r="D32274" s="1"/>
      <c r="G32274" s="13"/>
    </row>
    <row r="32275" spans="4:7" x14ac:dyDescent="0.3">
      <c r="D32275" s="1"/>
      <c r="G32275" s="13"/>
    </row>
    <row r="32276" spans="4:7" x14ac:dyDescent="0.3">
      <c r="D32276" s="1"/>
      <c r="G32276" s="13"/>
    </row>
    <row r="32277" spans="4:7" x14ac:dyDescent="0.3">
      <c r="D32277" s="1"/>
      <c r="G32277" s="13"/>
    </row>
    <row r="32278" spans="4:7" x14ac:dyDescent="0.3">
      <c r="D32278" s="1"/>
      <c r="G32278" s="13"/>
    </row>
    <row r="32279" spans="4:7" x14ac:dyDescent="0.3">
      <c r="D32279" s="1"/>
      <c r="G32279" s="13"/>
    </row>
    <row r="32280" spans="4:7" x14ac:dyDescent="0.3">
      <c r="D32280" s="1"/>
      <c r="G32280" s="13"/>
    </row>
    <row r="32281" spans="4:7" x14ac:dyDescent="0.3">
      <c r="D32281" s="1"/>
      <c r="G32281" s="13"/>
    </row>
    <row r="32282" spans="4:7" x14ac:dyDescent="0.3">
      <c r="D32282" s="1"/>
      <c r="G32282" s="13"/>
    </row>
    <row r="32283" spans="4:7" x14ac:dyDescent="0.3">
      <c r="D32283" s="1"/>
      <c r="G32283" s="13"/>
    </row>
    <row r="32284" spans="4:7" x14ac:dyDescent="0.3">
      <c r="D32284" s="1"/>
      <c r="G32284" s="13"/>
    </row>
    <row r="32285" spans="4:7" x14ac:dyDescent="0.3">
      <c r="D32285" s="1"/>
      <c r="G32285" s="13"/>
    </row>
    <row r="32286" spans="4:7" x14ac:dyDescent="0.3">
      <c r="D32286" s="1"/>
      <c r="G32286" s="13"/>
    </row>
    <row r="32287" spans="4:7" x14ac:dyDescent="0.3">
      <c r="D32287" s="1"/>
      <c r="G32287" s="13"/>
    </row>
    <row r="32288" spans="4:7" x14ac:dyDescent="0.3">
      <c r="D32288" s="1"/>
      <c r="G32288" s="13"/>
    </row>
    <row r="32289" spans="4:7" x14ac:dyDescent="0.3">
      <c r="D32289" s="1"/>
      <c r="G32289" s="13"/>
    </row>
    <row r="32290" spans="4:7" x14ac:dyDescent="0.3">
      <c r="D32290" s="1"/>
      <c r="G32290" s="13"/>
    </row>
    <row r="32291" spans="4:7" x14ac:dyDescent="0.3">
      <c r="D32291" s="1"/>
      <c r="G32291" s="13"/>
    </row>
    <row r="32292" spans="4:7" x14ac:dyDescent="0.3">
      <c r="D32292" s="1"/>
      <c r="G32292" s="13"/>
    </row>
    <row r="32293" spans="4:7" x14ac:dyDescent="0.3">
      <c r="D32293" s="1"/>
      <c r="G32293" s="13"/>
    </row>
    <row r="32294" spans="4:7" x14ac:dyDescent="0.3">
      <c r="D32294" s="1"/>
      <c r="G32294" s="13"/>
    </row>
    <row r="32295" spans="4:7" x14ac:dyDescent="0.3">
      <c r="D32295" s="1"/>
      <c r="G32295" s="13"/>
    </row>
    <row r="32296" spans="4:7" x14ac:dyDescent="0.3">
      <c r="D32296" s="1"/>
      <c r="G32296" s="13"/>
    </row>
    <row r="32297" spans="4:7" x14ac:dyDescent="0.3">
      <c r="D32297" s="1"/>
      <c r="G32297" s="13"/>
    </row>
    <row r="32298" spans="4:7" x14ac:dyDescent="0.3">
      <c r="D32298" s="1"/>
      <c r="G32298" s="13"/>
    </row>
    <row r="32299" spans="4:7" x14ac:dyDescent="0.3">
      <c r="D32299" s="1"/>
      <c r="G32299" s="13"/>
    </row>
    <row r="32300" spans="4:7" x14ac:dyDescent="0.3">
      <c r="D32300" s="1"/>
      <c r="G32300" s="13"/>
    </row>
    <row r="32301" spans="4:7" x14ac:dyDescent="0.3">
      <c r="D32301" s="1"/>
      <c r="G32301" s="13"/>
    </row>
    <row r="32302" spans="4:7" x14ac:dyDescent="0.3">
      <c r="D32302" s="1"/>
      <c r="G32302" s="13"/>
    </row>
    <row r="32303" spans="4:7" x14ac:dyDescent="0.3">
      <c r="D32303" s="1"/>
      <c r="G32303" s="13"/>
    </row>
    <row r="32304" spans="4:7" x14ac:dyDescent="0.3">
      <c r="D32304" s="1"/>
      <c r="G32304" s="13"/>
    </row>
    <row r="32305" spans="4:7" x14ac:dyDescent="0.3">
      <c r="D32305" s="1"/>
      <c r="G32305" s="13"/>
    </row>
    <row r="32306" spans="4:7" x14ac:dyDescent="0.3">
      <c r="D32306" s="1"/>
      <c r="G32306" s="13"/>
    </row>
    <row r="32307" spans="4:7" x14ac:dyDescent="0.3">
      <c r="D32307" s="1"/>
      <c r="G32307" s="13"/>
    </row>
    <row r="32308" spans="4:7" x14ac:dyDescent="0.3">
      <c r="D32308" s="1"/>
      <c r="G32308" s="13"/>
    </row>
    <row r="32309" spans="4:7" x14ac:dyDescent="0.3">
      <c r="D32309" s="1"/>
      <c r="G32309" s="13"/>
    </row>
    <row r="32310" spans="4:7" x14ac:dyDescent="0.3">
      <c r="D32310" s="1"/>
      <c r="G32310" s="13"/>
    </row>
    <row r="32311" spans="4:7" x14ac:dyDescent="0.3">
      <c r="D32311" s="1"/>
      <c r="G32311" s="13"/>
    </row>
    <row r="32312" spans="4:7" x14ac:dyDescent="0.3">
      <c r="D32312" s="1"/>
      <c r="G32312" s="13"/>
    </row>
    <row r="32313" spans="4:7" x14ac:dyDescent="0.3">
      <c r="D32313" s="1"/>
      <c r="G32313" s="13"/>
    </row>
    <row r="32314" spans="4:7" x14ac:dyDescent="0.3">
      <c r="D32314" s="1"/>
      <c r="G32314" s="13"/>
    </row>
    <row r="32315" spans="4:7" x14ac:dyDescent="0.3">
      <c r="D32315" s="1"/>
      <c r="G32315" s="13"/>
    </row>
    <row r="32316" spans="4:7" x14ac:dyDescent="0.3">
      <c r="D32316" s="1"/>
      <c r="G32316" s="13"/>
    </row>
    <row r="32317" spans="4:7" x14ac:dyDescent="0.3">
      <c r="D32317" s="1"/>
      <c r="G32317" s="13"/>
    </row>
    <row r="32318" spans="4:7" x14ac:dyDescent="0.3">
      <c r="D32318" s="1"/>
      <c r="G32318" s="13"/>
    </row>
    <row r="32319" spans="4:7" x14ac:dyDescent="0.3">
      <c r="D32319" s="1"/>
      <c r="G32319" s="13"/>
    </row>
    <row r="32320" spans="4:7" x14ac:dyDescent="0.3">
      <c r="D32320" s="1"/>
      <c r="G32320" s="13"/>
    </row>
    <row r="32321" spans="4:7" x14ac:dyDescent="0.3">
      <c r="D32321" s="1"/>
      <c r="G32321" s="13"/>
    </row>
    <row r="32322" spans="4:7" x14ac:dyDescent="0.3">
      <c r="D32322" s="1"/>
      <c r="G32322" s="13"/>
    </row>
    <row r="32323" spans="4:7" x14ac:dyDescent="0.3">
      <c r="D32323" s="1"/>
      <c r="G32323" s="13"/>
    </row>
    <row r="32324" spans="4:7" x14ac:dyDescent="0.3">
      <c r="D32324" s="1"/>
      <c r="G32324" s="13"/>
    </row>
    <row r="32325" spans="4:7" x14ac:dyDescent="0.3">
      <c r="D32325" s="1"/>
      <c r="G32325" s="13"/>
    </row>
    <row r="32326" spans="4:7" x14ac:dyDescent="0.3">
      <c r="D32326" s="1"/>
      <c r="G32326" s="13"/>
    </row>
    <row r="32327" spans="4:7" x14ac:dyDescent="0.3">
      <c r="D32327" s="1"/>
      <c r="G32327" s="13"/>
    </row>
    <row r="32328" spans="4:7" x14ac:dyDescent="0.3">
      <c r="D32328" s="1"/>
      <c r="G32328" s="13"/>
    </row>
    <row r="32329" spans="4:7" x14ac:dyDescent="0.3">
      <c r="D32329" s="1"/>
      <c r="G32329" s="13"/>
    </row>
    <row r="32330" spans="4:7" x14ac:dyDescent="0.3">
      <c r="D32330" s="1"/>
      <c r="G32330" s="13"/>
    </row>
    <row r="32331" spans="4:7" x14ac:dyDescent="0.3">
      <c r="D32331" s="1"/>
      <c r="G32331" s="13"/>
    </row>
    <row r="32332" spans="4:7" x14ac:dyDescent="0.3">
      <c r="D32332" s="1"/>
      <c r="G32332" s="13"/>
    </row>
    <row r="32333" spans="4:7" x14ac:dyDescent="0.3">
      <c r="D32333" s="1"/>
      <c r="G32333" s="13"/>
    </row>
    <row r="32334" spans="4:7" x14ac:dyDescent="0.3">
      <c r="D32334" s="1"/>
      <c r="G32334" s="13"/>
    </row>
    <row r="32335" spans="4:7" x14ac:dyDescent="0.3">
      <c r="D32335" s="1"/>
      <c r="G32335" s="13"/>
    </row>
    <row r="32336" spans="4:7" x14ac:dyDescent="0.3">
      <c r="D32336" s="1"/>
      <c r="G32336" s="13"/>
    </row>
    <row r="32337" spans="4:7" x14ac:dyDescent="0.3">
      <c r="D32337" s="1"/>
      <c r="G32337" s="13"/>
    </row>
    <row r="32338" spans="4:7" x14ac:dyDescent="0.3">
      <c r="D32338" s="1"/>
      <c r="G32338" s="13"/>
    </row>
    <row r="32339" spans="4:7" x14ac:dyDescent="0.3">
      <c r="D32339" s="1"/>
      <c r="G32339" s="13"/>
    </row>
    <row r="32340" spans="4:7" x14ac:dyDescent="0.3">
      <c r="D32340" s="1"/>
      <c r="G32340" s="13"/>
    </row>
    <row r="32341" spans="4:7" x14ac:dyDescent="0.3">
      <c r="D32341" s="1"/>
      <c r="G32341" s="13"/>
    </row>
    <row r="32342" spans="4:7" x14ac:dyDescent="0.3">
      <c r="D32342" s="1"/>
      <c r="G32342" s="13"/>
    </row>
    <row r="32343" spans="4:7" x14ac:dyDescent="0.3">
      <c r="D32343" s="1"/>
      <c r="G32343" s="13"/>
    </row>
    <row r="32344" spans="4:7" x14ac:dyDescent="0.3">
      <c r="D32344" s="1"/>
      <c r="G32344" s="13"/>
    </row>
    <row r="32345" spans="4:7" x14ac:dyDescent="0.3">
      <c r="D32345" s="1"/>
      <c r="G32345" s="13"/>
    </row>
    <row r="32346" spans="4:7" x14ac:dyDescent="0.3">
      <c r="D32346" s="1"/>
      <c r="G32346" s="13"/>
    </row>
    <row r="32347" spans="4:7" x14ac:dyDescent="0.3">
      <c r="D32347" s="1"/>
      <c r="G32347" s="13"/>
    </row>
    <row r="32348" spans="4:7" x14ac:dyDescent="0.3">
      <c r="D32348" s="1"/>
      <c r="G32348" s="13"/>
    </row>
    <row r="32349" spans="4:7" x14ac:dyDescent="0.3">
      <c r="D32349" s="1"/>
      <c r="G32349" s="13"/>
    </row>
    <row r="32350" spans="4:7" x14ac:dyDescent="0.3">
      <c r="D32350" s="1"/>
      <c r="G32350" s="13"/>
    </row>
    <row r="32351" spans="4:7" x14ac:dyDescent="0.3">
      <c r="D32351" s="1"/>
      <c r="G32351" s="13"/>
    </row>
    <row r="32352" spans="4:7" x14ac:dyDescent="0.3">
      <c r="D32352" s="1"/>
      <c r="G32352" s="13"/>
    </row>
    <row r="32353" spans="4:7" x14ac:dyDescent="0.3">
      <c r="D32353" s="1"/>
      <c r="G32353" s="13"/>
    </row>
    <row r="32354" spans="4:7" x14ac:dyDescent="0.3">
      <c r="D32354" s="1"/>
      <c r="G32354" s="13"/>
    </row>
    <row r="32355" spans="4:7" x14ac:dyDescent="0.3">
      <c r="D32355" s="1"/>
      <c r="G32355" s="13"/>
    </row>
    <row r="32356" spans="4:7" x14ac:dyDescent="0.3">
      <c r="D32356" s="1"/>
      <c r="G32356" s="13"/>
    </row>
    <row r="32357" spans="4:7" x14ac:dyDescent="0.3">
      <c r="D32357" s="1"/>
      <c r="G32357" s="13"/>
    </row>
    <row r="32358" spans="4:7" x14ac:dyDescent="0.3">
      <c r="D32358" s="1"/>
      <c r="G32358" s="13"/>
    </row>
    <row r="32359" spans="4:7" x14ac:dyDescent="0.3">
      <c r="D32359" s="1"/>
      <c r="G32359" s="13"/>
    </row>
    <row r="32360" spans="4:7" x14ac:dyDescent="0.3">
      <c r="D32360" s="1"/>
      <c r="G32360" s="13"/>
    </row>
    <row r="32361" spans="4:7" x14ac:dyDescent="0.3">
      <c r="D32361" s="1"/>
      <c r="G32361" s="13"/>
    </row>
    <row r="32362" spans="4:7" x14ac:dyDescent="0.3">
      <c r="D32362" s="1"/>
      <c r="G32362" s="13"/>
    </row>
    <row r="32363" spans="4:7" x14ac:dyDescent="0.3">
      <c r="D32363" s="1"/>
      <c r="G32363" s="13"/>
    </row>
    <row r="32364" spans="4:7" x14ac:dyDescent="0.3">
      <c r="D32364" s="1"/>
      <c r="G32364" s="13"/>
    </row>
    <row r="32365" spans="4:7" x14ac:dyDescent="0.3">
      <c r="D32365" s="1"/>
      <c r="G32365" s="13"/>
    </row>
    <row r="32366" spans="4:7" x14ac:dyDescent="0.3">
      <c r="D32366" s="1"/>
      <c r="G32366" s="13"/>
    </row>
    <row r="32367" spans="4:7" x14ac:dyDescent="0.3">
      <c r="D32367" s="1"/>
      <c r="G32367" s="13"/>
    </row>
    <row r="32368" spans="4:7" x14ac:dyDescent="0.3">
      <c r="D32368" s="1"/>
      <c r="G32368" s="13"/>
    </row>
    <row r="32369" spans="4:7" x14ac:dyDescent="0.3">
      <c r="D32369" s="1"/>
      <c r="G32369" s="13"/>
    </row>
    <row r="32370" spans="4:7" x14ac:dyDescent="0.3">
      <c r="D32370" s="1"/>
      <c r="G32370" s="13"/>
    </row>
    <row r="32371" spans="4:7" x14ac:dyDescent="0.3">
      <c r="D32371" s="1"/>
      <c r="G32371" s="13"/>
    </row>
    <row r="32372" spans="4:7" x14ac:dyDescent="0.3">
      <c r="D32372" s="1"/>
      <c r="G32372" s="13"/>
    </row>
    <row r="32373" spans="4:7" x14ac:dyDescent="0.3">
      <c r="D32373" s="1"/>
      <c r="G32373" s="13"/>
    </row>
    <row r="32374" spans="4:7" x14ac:dyDescent="0.3">
      <c r="D32374" s="1"/>
      <c r="G32374" s="13"/>
    </row>
    <row r="32375" spans="4:7" x14ac:dyDescent="0.3">
      <c r="D32375" s="1"/>
      <c r="G32375" s="13"/>
    </row>
    <row r="32376" spans="4:7" x14ac:dyDescent="0.3">
      <c r="D32376" s="1"/>
      <c r="G32376" s="13"/>
    </row>
    <row r="32377" spans="4:7" x14ac:dyDescent="0.3">
      <c r="D32377" s="1"/>
      <c r="G32377" s="13"/>
    </row>
    <row r="32378" spans="4:7" x14ac:dyDescent="0.3">
      <c r="D32378" s="1"/>
      <c r="G32378" s="13"/>
    </row>
    <row r="32379" spans="4:7" x14ac:dyDescent="0.3">
      <c r="D32379" s="1"/>
      <c r="G32379" s="13"/>
    </row>
    <row r="32380" spans="4:7" x14ac:dyDescent="0.3">
      <c r="D32380" s="1"/>
      <c r="G32380" s="13"/>
    </row>
    <row r="32381" spans="4:7" x14ac:dyDescent="0.3">
      <c r="D32381" s="1"/>
      <c r="G32381" s="13"/>
    </row>
    <row r="32382" spans="4:7" x14ac:dyDescent="0.3">
      <c r="D32382" s="1"/>
      <c r="G32382" s="13"/>
    </row>
    <row r="32383" spans="4:7" x14ac:dyDescent="0.3">
      <c r="D32383" s="1"/>
      <c r="G32383" s="13"/>
    </row>
    <row r="32384" spans="4:7" x14ac:dyDescent="0.3">
      <c r="D32384" s="1"/>
      <c r="G32384" s="13"/>
    </row>
    <row r="32385" spans="4:7" x14ac:dyDescent="0.3">
      <c r="D32385" s="1"/>
      <c r="G32385" s="13"/>
    </row>
    <row r="32386" spans="4:7" x14ac:dyDescent="0.3">
      <c r="D32386" s="1"/>
      <c r="G32386" s="13"/>
    </row>
    <row r="32387" spans="4:7" x14ac:dyDescent="0.3">
      <c r="D32387" s="1"/>
      <c r="G32387" s="13"/>
    </row>
    <row r="32388" spans="4:7" x14ac:dyDescent="0.3">
      <c r="D32388" s="1"/>
      <c r="G32388" s="13"/>
    </row>
    <row r="32389" spans="4:7" x14ac:dyDescent="0.3">
      <c r="D32389" s="1"/>
      <c r="G32389" s="13"/>
    </row>
    <row r="32390" spans="4:7" x14ac:dyDescent="0.3">
      <c r="D32390" s="1"/>
      <c r="G32390" s="13"/>
    </row>
    <row r="32391" spans="4:7" x14ac:dyDescent="0.3">
      <c r="D32391" s="1"/>
      <c r="G32391" s="13"/>
    </row>
    <row r="32392" spans="4:7" x14ac:dyDescent="0.3">
      <c r="D32392" s="1"/>
      <c r="G32392" s="13"/>
    </row>
    <row r="32393" spans="4:7" x14ac:dyDescent="0.3">
      <c r="D32393" s="1"/>
      <c r="G32393" s="13"/>
    </row>
    <row r="32394" spans="4:7" x14ac:dyDescent="0.3">
      <c r="D32394" s="1"/>
      <c r="G32394" s="13"/>
    </row>
    <row r="32395" spans="4:7" x14ac:dyDescent="0.3">
      <c r="D32395" s="1"/>
      <c r="G32395" s="13"/>
    </row>
    <row r="32396" spans="4:7" x14ac:dyDescent="0.3">
      <c r="D32396" s="1"/>
      <c r="G32396" s="13"/>
    </row>
    <row r="32397" spans="4:7" x14ac:dyDescent="0.3">
      <c r="D32397" s="1"/>
      <c r="G32397" s="13"/>
    </row>
    <row r="32398" spans="4:7" x14ac:dyDescent="0.3">
      <c r="D32398" s="1"/>
      <c r="G32398" s="13"/>
    </row>
    <row r="32399" spans="4:7" x14ac:dyDescent="0.3">
      <c r="D32399" s="1"/>
      <c r="G32399" s="13"/>
    </row>
    <row r="32400" spans="4:7" x14ac:dyDescent="0.3">
      <c r="D32400" s="1"/>
      <c r="G32400" s="13"/>
    </row>
    <row r="32401" spans="4:7" x14ac:dyDescent="0.3">
      <c r="D32401" s="1"/>
      <c r="G32401" s="13"/>
    </row>
    <row r="32402" spans="4:7" x14ac:dyDescent="0.3">
      <c r="D32402" s="1"/>
      <c r="G32402" s="13"/>
    </row>
    <row r="32403" spans="4:7" x14ac:dyDescent="0.3">
      <c r="D32403" s="1"/>
      <c r="G32403" s="13"/>
    </row>
    <row r="32404" spans="4:7" x14ac:dyDescent="0.3">
      <c r="D32404" s="1"/>
      <c r="G32404" s="13"/>
    </row>
    <row r="32405" spans="4:7" x14ac:dyDescent="0.3">
      <c r="D32405" s="1"/>
      <c r="G32405" s="13"/>
    </row>
    <row r="32406" spans="4:7" x14ac:dyDescent="0.3">
      <c r="D32406" s="1"/>
      <c r="G32406" s="13"/>
    </row>
    <row r="32407" spans="4:7" x14ac:dyDescent="0.3">
      <c r="D32407" s="1"/>
      <c r="G32407" s="13"/>
    </row>
    <row r="32408" spans="4:7" x14ac:dyDescent="0.3">
      <c r="D32408" s="1"/>
      <c r="G32408" s="13"/>
    </row>
    <row r="32409" spans="4:7" x14ac:dyDescent="0.3">
      <c r="D32409" s="1"/>
      <c r="G32409" s="13"/>
    </row>
    <row r="32410" spans="4:7" x14ac:dyDescent="0.3">
      <c r="D32410" s="1"/>
      <c r="G32410" s="13"/>
    </row>
    <row r="32411" spans="4:7" x14ac:dyDescent="0.3">
      <c r="D32411" s="1"/>
      <c r="G32411" s="13"/>
    </row>
    <row r="32412" spans="4:7" x14ac:dyDescent="0.3">
      <c r="D32412" s="1"/>
      <c r="G32412" s="13"/>
    </row>
    <row r="32413" spans="4:7" x14ac:dyDescent="0.3">
      <c r="D32413" s="1"/>
      <c r="G32413" s="13"/>
    </row>
    <row r="32414" spans="4:7" x14ac:dyDescent="0.3">
      <c r="D32414" s="1"/>
      <c r="G32414" s="13"/>
    </row>
    <row r="32415" spans="4:7" x14ac:dyDescent="0.3">
      <c r="D32415" s="1"/>
      <c r="G32415" s="13"/>
    </row>
    <row r="32416" spans="4:7" x14ac:dyDescent="0.3">
      <c r="D32416" s="1"/>
      <c r="G32416" s="13"/>
    </row>
    <row r="32417" spans="4:7" x14ac:dyDescent="0.3">
      <c r="D32417" s="1"/>
      <c r="G32417" s="13"/>
    </row>
    <row r="32418" spans="4:7" x14ac:dyDescent="0.3">
      <c r="D32418" s="1"/>
      <c r="G32418" s="13"/>
    </row>
    <row r="32419" spans="4:7" x14ac:dyDescent="0.3">
      <c r="D32419" s="1"/>
      <c r="G32419" s="13"/>
    </row>
    <row r="32420" spans="4:7" x14ac:dyDescent="0.3">
      <c r="D32420" s="1"/>
      <c r="G32420" s="13"/>
    </row>
    <row r="32421" spans="4:7" x14ac:dyDescent="0.3">
      <c r="D32421" s="1"/>
      <c r="G32421" s="13"/>
    </row>
    <row r="32422" spans="4:7" x14ac:dyDescent="0.3">
      <c r="D32422" s="1"/>
      <c r="G32422" s="13"/>
    </row>
    <row r="32423" spans="4:7" x14ac:dyDescent="0.3">
      <c r="D32423" s="1"/>
      <c r="G32423" s="13"/>
    </row>
    <row r="32424" spans="4:7" x14ac:dyDescent="0.3">
      <c r="D32424" s="1"/>
      <c r="G32424" s="13"/>
    </row>
    <row r="32425" spans="4:7" x14ac:dyDescent="0.3">
      <c r="D32425" s="1"/>
      <c r="G32425" s="13"/>
    </row>
    <row r="32426" spans="4:7" x14ac:dyDescent="0.3">
      <c r="D32426" s="1"/>
      <c r="G32426" s="13"/>
    </row>
    <row r="32427" spans="4:7" x14ac:dyDescent="0.3">
      <c r="D32427" s="1"/>
      <c r="G32427" s="13"/>
    </row>
    <row r="32428" spans="4:7" x14ac:dyDescent="0.3">
      <c r="D32428" s="1"/>
      <c r="G32428" s="13"/>
    </row>
    <row r="32429" spans="4:7" x14ac:dyDescent="0.3">
      <c r="D32429" s="1"/>
      <c r="G32429" s="13"/>
    </row>
    <row r="32430" spans="4:7" x14ac:dyDescent="0.3">
      <c r="D32430" s="1"/>
      <c r="G32430" s="13"/>
    </row>
    <row r="32431" spans="4:7" x14ac:dyDescent="0.3">
      <c r="D32431" s="1"/>
      <c r="G32431" s="13"/>
    </row>
    <row r="32432" spans="4:7" x14ac:dyDescent="0.3">
      <c r="D32432" s="1"/>
      <c r="G32432" s="13"/>
    </row>
    <row r="32433" spans="4:7" x14ac:dyDescent="0.3">
      <c r="D32433" s="1"/>
      <c r="G32433" s="13"/>
    </row>
    <row r="32434" spans="4:7" x14ac:dyDescent="0.3">
      <c r="D32434" s="1"/>
      <c r="G32434" s="13"/>
    </row>
    <row r="32435" spans="4:7" x14ac:dyDescent="0.3">
      <c r="D32435" s="1"/>
      <c r="G32435" s="13"/>
    </row>
    <row r="32436" spans="4:7" x14ac:dyDescent="0.3">
      <c r="D32436" s="1"/>
      <c r="G32436" s="13"/>
    </row>
    <row r="32437" spans="4:7" x14ac:dyDescent="0.3">
      <c r="D32437" s="1"/>
      <c r="G32437" s="13"/>
    </row>
    <row r="32438" spans="4:7" x14ac:dyDescent="0.3">
      <c r="D32438" s="1"/>
      <c r="G32438" s="13"/>
    </row>
    <row r="32439" spans="4:7" x14ac:dyDescent="0.3">
      <c r="D32439" s="1"/>
      <c r="G32439" s="13"/>
    </row>
    <row r="32440" spans="4:7" x14ac:dyDescent="0.3">
      <c r="D32440" s="1"/>
      <c r="G32440" s="13"/>
    </row>
    <row r="32441" spans="4:7" x14ac:dyDescent="0.3">
      <c r="D32441" s="1"/>
      <c r="G32441" s="13"/>
    </row>
    <row r="32442" spans="4:7" x14ac:dyDescent="0.3">
      <c r="D32442" s="1"/>
      <c r="G32442" s="13"/>
    </row>
    <row r="32443" spans="4:7" x14ac:dyDescent="0.3">
      <c r="D32443" s="1"/>
      <c r="G32443" s="13"/>
    </row>
    <row r="32444" spans="4:7" x14ac:dyDescent="0.3">
      <c r="D32444" s="1"/>
      <c r="G32444" s="13"/>
    </row>
    <row r="32445" spans="4:7" x14ac:dyDescent="0.3">
      <c r="D32445" s="1"/>
      <c r="G32445" s="13"/>
    </row>
    <row r="32446" spans="4:7" x14ac:dyDescent="0.3">
      <c r="D32446" s="1"/>
      <c r="G32446" s="13"/>
    </row>
    <row r="32447" spans="4:7" x14ac:dyDescent="0.3">
      <c r="D32447" s="1"/>
      <c r="G32447" s="13"/>
    </row>
    <row r="32448" spans="4:7" x14ac:dyDescent="0.3">
      <c r="D32448" s="1"/>
      <c r="G32448" s="13"/>
    </row>
    <row r="32449" spans="4:7" x14ac:dyDescent="0.3">
      <c r="D32449" s="1"/>
      <c r="G32449" s="13"/>
    </row>
    <row r="32450" spans="4:7" x14ac:dyDescent="0.3">
      <c r="D32450" s="1"/>
      <c r="G32450" s="13"/>
    </row>
    <row r="32451" spans="4:7" x14ac:dyDescent="0.3">
      <c r="D32451" s="1"/>
      <c r="G32451" s="13"/>
    </row>
    <row r="32452" spans="4:7" x14ac:dyDescent="0.3">
      <c r="D32452" s="1"/>
      <c r="G32452" s="13"/>
    </row>
    <row r="32453" spans="4:7" x14ac:dyDescent="0.3">
      <c r="D32453" s="1"/>
      <c r="G32453" s="13"/>
    </row>
    <row r="32454" spans="4:7" x14ac:dyDescent="0.3">
      <c r="D32454" s="1"/>
      <c r="G32454" s="13"/>
    </row>
    <row r="32455" spans="4:7" x14ac:dyDescent="0.3">
      <c r="D32455" s="1"/>
      <c r="G32455" s="13"/>
    </row>
    <row r="32456" spans="4:7" x14ac:dyDescent="0.3">
      <c r="D32456" s="1"/>
      <c r="G32456" s="13"/>
    </row>
    <row r="32457" spans="4:7" x14ac:dyDescent="0.3">
      <c r="D32457" s="1"/>
      <c r="G32457" s="13"/>
    </row>
    <row r="32458" spans="4:7" x14ac:dyDescent="0.3">
      <c r="D32458" s="1"/>
      <c r="G32458" s="13"/>
    </row>
    <row r="32459" spans="4:7" x14ac:dyDescent="0.3">
      <c r="D32459" s="1"/>
      <c r="G32459" s="13"/>
    </row>
    <row r="32460" spans="4:7" x14ac:dyDescent="0.3">
      <c r="D32460" s="1"/>
      <c r="G32460" s="13"/>
    </row>
    <row r="32461" spans="4:7" x14ac:dyDescent="0.3">
      <c r="D32461" s="1"/>
      <c r="G32461" s="13"/>
    </row>
    <row r="32462" spans="4:7" x14ac:dyDescent="0.3">
      <c r="D32462" s="1"/>
      <c r="G32462" s="13"/>
    </row>
    <row r="32463" spans="4:7" x14ac:dyDescent="0.3">
      <c r="D32463" s="1"/>
      <c r="G32463" s="13"/>
    </row>
    <row r="32464" spans="4:7" x14ac:dyDescent="0.3">
      <c r="D32464" s="1"/>
      <c r="G32464" s="13"/>
    </row>
    <row r="32465" spans="4:7" x14ac:dyDescent="0.3">
      <c r="D32465" s="1"/>
      <c r="G32465" s="13"/>
    </row>
    <row r="32466" spans="4:7" x14ac:dyDescent="0.3">
      <c r="D32466" s="1"/>
      <c r="G32466" s="13"/>
    </row>
    <row r="32467" spans="4:7" x14ac:dyDescent="0.3">
      <c r="D32467" s="1"/>
      <c r="G32467" s="13"/>
    </row>
    <row r="32468" spans="4:7" x14ac:dyDescent="0.3">
      <c r="D32468" s="1"/>
      <c r="G32468" s="13"/>
    </row>
    <row r="32469" spans="4:7" x14ac:dyDescent="0.3">
      <c r="D32469" s="1"/>
      <c r="G32469" s="13"/>
    </row>
    <row r="32470" spans="4:7" x14ac:dyDescent="0.3">
      <c r="D32470" s="1"/>
      <c r="G32470" s="13"/>
    </row>
    <row r="32471" spans="4:7" x14ac:dyDescent="0.3">
      <c r="D32471" s="1"/>
      <c r="G32471" s="13"/>
    </row>
    <row r="32472" spans="4:7" x14ac:dyDescent="0.3">
      <c r="D32472" s="1"/>
      <c r="G32472" s="13"/>
    </row>
    <row r="32473" spans="4:7" x14ac:dyDescent="0.3">
      <c r="D32473" s="1"/>
      <c r="G32473" s="13"/>
    </row>
    <row r="32474" spans="4:7" x14ac:dyDescent="0.3">
      <c r="D32474" s="1"/>
      <c r="G32474" s="13"/>
    </row>
    <row r="32475" spans="4:7" x14ac:dyDescent="0.3">
      <c r="D32475" s="1"/>
      <c r="G32475" s="13"/>
    </row>
    <row r="32476" spans="4:7" x14ac:dyDescent="0.3">
      <c r="D32476" s="1"/>
      <c r="G32476" s="13"/>
    </row>
    <row r="32477" spans="4:7" x14ac:dyDescent="0.3">
      <c r="D32477" s="1"/>
      <c r="G32477" s="13"/>
    </row>
    <row r="32478" spans="4:7" x14ac:dyDescent="0.3">
      <c r="D32478" s="1"/>
      <c r="G32478" s="13"/>
    </row>
    <row r="32479" spans="4:7" x14ac:dyDescent="0.3">
      <c r="D32479" s="1"/>
      <c r="G32479" s="13"/>
    </row>
    <row r="32480" spans="4:7" x14ac:dyDescent="0.3">
      <c r="D32480" s="1"/>
      <c r="G32480" s="13"/>
    </row>
    <row r="32481" spans="4:7" x14ac:dyDescent="0.3">
      <c r="D32481" s="1"/>
      <c r="G32481" s="13"/>
    </row>
    <row r="32482" spans="4:7" x14ac:dyDescent="0.3">
      <c r="D32482" s="1"/>
      <c r="G32482" s="13"/>
    </row>
    <row r="32483" spans="4:7" x14ac:dyDescent="0.3">
      <c r="D32483" s="1"/>
      <c r="G32483" s="13"/>
    </row>
    <row r="32484" spans="4:7" x14ac:dyDescent="0.3">
      <c r="D32484" s="1"/>
      <c r="G32484" s="13"/>
    </row>
    <row r="32485" spans="4:7" x14ac:dyDescent="0.3">
      <c r="D32485" s="1"/>
      <c r="G32485" s="13"/>
    </row>
    <row r="32486" spans="4:7" x14ac:dyDescent="0.3">
      <c r="D32486" s="1"/>
      <c r="G32486" s="13"/>
    </row>
    <row r="32487" spans="4:7" x14ac:dyDescent="0.3">
      <c r="D32487" s="1"/>
      <c r="G32487" s="13"/>
    </row>
    <row r="32488" spans="4:7" x14ac:dyDescent="0.3">
      <c r="D32488" s="1"/>
      <c r="G32488" s="13"/>
    </row>
    <row r="32489" spans="4:7" x14ac:dyDescent="0.3">
      <c r="D32489" s="1"/>
      <c r="G32489" s="13"/>
    </row>
    <row r="32490" spans="4:7" x14ac:dyDescent="0.3">
      <c r="D32490" s="1"/>
      <c r="G32490" s="13"/>
    </row>
    <row r="32491" spans="4:7" x14ac:dyDescent="0.3">
      <c r="D32491" s="1"/>
      <c r="G32491" s="13"/>
    </row>
    <row r="32492" spans="4:7" x14ac:dyDescent="0.3">
      <c r="D32492" s="1"/>
      <c r="G32492" s="13"/>
    </row>
    <row r="32493" spans="4:7" x14ac:dyDescent="0.3">
      <c r="D32493" s="1"/>
      <c r="G32493" s="13"/>
    </row>
    <row r="32494" spans="4:7" x14ac:dyDescent="0.3">
      <c r="D32494" s="1"/>
      <c r="G32494" s="13"/>
    </row>
    <row r="32495" spans="4:7" x14ac:dyDescent="0.3">
      <c r="D32495" s="1"/>
      <c r="G32495" s="13"/>
    </row>
    <row r="32496" spans="4:7" x14ac:dyDescent="0.3">
      <c r="D32496" s="1"/>
      <c r="G32496" s="13"/>
    </row>
    <row r="32497" spans="4:7" x14ac:dyDescent="0.3">
      <c r="D32497" s="1"/>
      <c r="G32497" s="13"/>
    </row>
    <row r="32498" spans="4:7" x14ac:dyDescent="0.3">
      <c r="D32498" s="1"/>
      <c r="G32498" s="13"/>
    </row>
    <row r="32499" spans="4:7" x14ac:dyDescent="0.3">
      <c r="D32499" s="1"/>
      <c r="G32499" s="13"/>
    </row>
    <row r="32500" spans="4:7" x14ac:dyDescent="0.3">
      <c r="D32500" s="1"/>
      <c r="G32500" s="13"/>
    </row>
    <row r="32501" spans="4:7" x14ac:dyDescent="0.3">
      <c r="D32501" s="1"/>
      <c r="G32501" s="13"/>
    </row>
    <row r="32502" spans="4:7" x14ac:dyDescent="0.3">
      <c r="D32502" s="1"/>
      <c r="G32502" s="13"/>
    </row>
    <row r="32503" spans="4:7" x14ac:dyDescent="0.3">
      <c r="D32503" s="1"/>
      <c r="G32503" s="13"/>
    </row>
    <row r="32504" spans="4:7" x14ac:dyDescent="0.3">
      <c r="D32504" s="1"/>
      <c r="G32504" s="13"/>
    </row>
    <row r="32505" spans="4:7" x14ac:dyDescent="0.3">
      <c r="D32505" s="1"/>
      <c r="G32505" s="13"/>
    </row>
    <row r="32506" spans="4:7" x14ac:dyDescent="0.3">
      <c r="D32506" s="1"/>
      <c r="G32506" s="13"/>
    </row>
    <row r="32507" spans="4:7" x14ac:dyDescent="0.3">
      <c r="D32507" s="1"/>
      <c r="G32507" s="13"/>
    </row>
    <row r="32508" spans="4:7" x14ac:dyDescent="0.3">
      <c r="D32508" s="1"/>
      <c r="G32508" s="13"/>
    </row>
    <row r="32509" spans="4:7" x14ac:dyDescent="0.3">
      <c r="D32509" s="1"/>
      <c r="G32509" s="13"/>
    </row>
    <row r="32510" spans="4:7" x14ac:dyDescent="0.3">
      <c r="D32510" s="1"/>
      <c r="G32510" s="13"/>
    </row>
    <row r="32511" spans="4:7" x14ac:dyDescent="0.3">
      <c r="D32511" s="1"/>
      <c r="G32511" s="13"/>
    </row>
    <row r="32512" spans="4:7" x14ac:dyDescent="0.3">
      <c r="D32512" s="1"/>
      <c r="G32512" s="13"/>
    </row>
    <row r="32513" spans="4:7" x14ac:dyDescent="0.3">
      <c r="D32513" s="1"/>
      <c r="G32513" s="13"/>
    </row>
    <row r="32514" spans="4:7" x14ac:dyDescent="0.3">
      <c r="D32514" s="1"/>
      <c r="G32514" s="13"/>
    </row>
    <row r="32515" spans="4:7" x14ac:dyDescent="0.3">
      <c r="D32515" s="1"/>
      <c r="G32515" s="13"/>
    </row>
    <row r="32516" spans="4:7" x14ac:dyDescent="0.3">
      <c r="D32516" s="1"/>
      <c r="G32516" s="13"/>
    </row>
    <row r="32517" spans="4:7" x14ac:dyDescent="0.3">
      <c r="D32517" s="1"/>
      <c r="G32517" s="13"/>
    </row>
    <row r="32518" spans="4:7" x14ac:dyDescent="0.3">
      <c r="D32518" s="1"/>
      <c r="G32518" s="13"/>
    </row>
    <row r="32519" spans="4:7" x14ac:dyDescent="0.3">
      <c r="D32519" s="1"/>
      <c r="G32519" s="13"/>
    </row>
    <row r="32520" spans="4:7" x14ac:dyDescent="0.3">
      <c r="D32520" s="1"/>
      <c r="G32520" s="13"/>
    </row>
    <row r="32521" spans="4:7" x14ac:dyDescent="0.3">
      <c r="D32521" s="1"/>
      <c r="G32521" s="13"/>
    </row>
    <row r="32522" spans="4:7" x14ac:dyDescent="0.3">
      <c r="D32522" s="1"/>
      <c r="G32522" s="13"/>
    </row>
    <row r="32523" spans="4:7" x14ac:dyDescent="0.3">
      <c r="D32523" s="1"/>
      <c r="G32523" s="13"/>
    </row>
    <row r="32524" spans="4:7" x14ac:dyDescent="0.3">
      <c r="D32524" s="1"/>
      <c r="G32524" s="13"/>
    </row>
    <row r="32525" spans="4:7" x14ac:dyDescent="0.3">
      <c r="D32525" s="1"/>
      <c r="G32525" s="13"/>
    </row>
    <row r="32526" spans="4:7" x14ac:dyDescent="0.3">
      <c r="D32526" s="1"/>
      <c r="G32526" s="13"/>
    </row>
    <row r="32527" spans="4:7" x14ac:dyDescent="0.3">
      <c r="D32527" s="1"/>
      <c r="G32527" s="13"/>
    </row>
    <row r="32528" spans="4:7" x14ac:dyDescent="0.3">
      <c r="D32528" s="1"/>
      <c r="G32528" s="13"/>
    </row>
    <row r="32529" spans="4:7" x14ac:dyDescent="0.3">
      <c r="D32529" s="1"/>
      <c r="G32529" s="13"/>
    </row>
    <row r="32530" spans="4:7" x14ac:dyDescent="0.3">
      <c r="D32530" s="1"/>
      <c r="G32530" s="13"/>
    </row>
    <row r="32531" spans="4:7" x14ac:dyDescent="0.3">
      <c r="D32531" s="1"/>
      <c r="G32531" s="13"/>
    </row>
    <row r="32532" spans="4:7" x14ac:dyDescent="0.3">
      <c r="D32532" s="1"/>
      <c r="G32532" s="13"/>
    </row>
    <row r="32533" spans="4:7" x14ac:dyDescent="0.3">
      <c r="D32533" s="1"/>
      <c r="G32533" s="13"/>
    </row>
    <row r="32534" spans="4:7" x14ac:dyDescent="0.3">
      <c r="D32534" s="1"/>
      <c r="G32534" s="13"/>
    </row>
    <row r="32535" spans="4:7" x14ac:dyDescent="0.3">
      <c r="D32535" s="1"/>
      <c r="G32535" s="13"/>
    </row>
    <row r="32536" spans="4:7" x14ac:dyDescent="0.3">
      <c r="D32536" s="1"/>
      <c r="G32536" s="13"/>
    </row>
    <row r="32537" spans="4:7" x14ac:dyDescent="0.3">
      <c r="D32537" s="1"/>
      <c r="G32537" s="13"/>
    </row>
    <row r="32538" spans="4:7" x14ac:dyDescent="0.3">
      <c r="D32538" s="1"/>
      <c r="G32538" s="13"/>
    </row>
    <row r="32539" spans="4:7" x14ac:dyDescent="0.3">
      <c r="D32539" s="1"/>
      <c r="G32539" s="13"/>
    </row>
    <row r="32540" spans="4:7" x14ac:dyDescent="0.3">
      <c r="D32540" s="1"/>
      <c r="G32540" s="13"/>
    </row>
    <row r="32541" spans="4:7" x14ac:dyDescent="0.3">
      <c r="D32541" s="1"/>
      <c r="G32541" s="13"/>
    </row>
    <row r="32542" spans="4:7" x14ac:dyDescent="0.3">
      <c r="D32542" s="1"/>
      <c r="G32542" s="13"/>
    </row>
    <row r="32543" spans="4:7" x14ac:dyDescent="0.3">
      <c r="D32543" s="1"/>
      <c r="G32543" s="13"/>
    </row>
    <row r="32544" spans="4:7" x14ac:dyDescent="0.3">
      <c r="D32544" s="1"/>
      <c r="G32544" s="13"/>
    </row>
    <row r="32545" spans="4:7" x14ac:dyDescent="0.3">
      <c r="D32545" s="1"/>
      <c r="G32545" s="13"/>
    </row>
    <row r="32546" spans="4:7" x14ac:dyDescent="0.3">
      <c r="D32546" s="1"/>
      <c r="G32546" s="13"/>
    </row>
    <row r="32547" spans="4:7" x14ac:dyDescent="0.3">
      <c r="D32547" s="1"/>
      <c r="G32547" s="13"/>
    </row>
    <row r="32548" spans="4:7" x14ac:dyDescent="0.3">
      <c r="D32548" s="1"/>
      <c r="G32548" s="13"/>
    </row>
    <row r="32549" spans="4:7" x14ac:dyDescent="0.3">
      <c r="D32549" s="1"/>
      <c r="G32549" s="13"/>
    </row>
    <row r="32550" spans="4:7" x14ac:dyDescent="0.3">
      <c r="D32550" s="1"/>
      <c r="G32550" s="13"/>
    </row>
    <row r="32551" spans="4:7" x14ac:dyDescent="0.3">
      <c r="D32551" s="1"/>
      <c r="G32551" s="13"/>
    </row>
    <row r="32552" spans="4:7" x14ac:dyDescent="0.3">
      <c r="D32552" s="1"/>
      <c r="G32552" s="13"/>
    </row>
    <row r="32553" spans="4:7" x14ac:dyDescent="0.3">
      <c r="D32553" s="1"/>
      <c r="G32553" s="13"/>
    </row>
    <row r="32554" spans="4:7" x14ac:dyDescent="0.3">
      <c r="D32554" s="1"/>
      <c r="G32554" s="13"/>
    </row>
    <row r="32555" spans="4:7" x14ac:dyDescent="0.3">
      <c r="D32555" s="1"/>
      <c r="G32555" s="13"/>
    </row>
    <row r="32556" spans="4:7" x14ac:dyDescent="0.3">
      <c r="D32556" s="1"/>
      <c r="G32556" s="13"/>
    </row>
    <row r="32557" spans="4:7" x14ac:dyDescent="0.3">
      <c r="D32557" s="1"/>
      <c r="G32557" s="13"/>
    </row>
    <row r="32558" spans="4:7" x14ac:dyDescent="0.3">
      <c r="D32558" s="1"/>
      <c r="G32558" s="13"/>
    </row>
    <row r="32559" spans="4:7" x14ac:dyDescent="0.3">
      <c r="D32559" s="1"/>
      <c r="G32559" s="13"/>
    </row>
    <row r="32560" spans="4:7" x14ac:dyDescent="0.3">
      <c r="D32560" s="1"/>
      <c r="G32560" s="13"/>
    </row>
    <row r="32561" spans="4:7" x14ac:dyDescent="0.3">
      <c r="D32561" s="1"/>
      <c r="G32561" s="13"/>
    </row>
    <row r="32562" spans="4:7" x14ac:dyDescent="0.3">
      <c r="D32562" s="1"/>
      <c r="G32562" s="13"/>
    </row>
    <row r="32563" spans="4:7" x14ac:dyDescent="0.3">
      <c r="D32563" s="1"/>
      <c r="G32563" s="13"/>
    </row>
    <row r="32564" spans="4:7" x14ac:dyDescent="0.3">
      <c r="D32564" s="1"/>
      <c r="G32564" s="13"/>
    </row>
    <row r="32565" spans="4:7" x14ac:dyDescent="0.3">
      <c r="D32565" s="1"/>
      <c r="G32565" s="13"/>
    </row>
    <row r="32566" spans="4:7" x14ac:dyDescent="0.3">
      <c r="D32566" s="1"/>
      <c r="G32566" s="13"/>
    </row>
    <row r="32567" spans="4:7" x14ac:dyDescent="0.3">
      <c r="D32567" s="1"/>
      <c r="G32567" s="13"/>
    </row>
    <row r="32568" spans="4:7" x14ac:dyDescent="0.3">
      <c r="D32568" s="1"/>
      <c r="G32568" s="13"/>
    </row>
    <row r="32569" spans="4:7" x14ac:dyDescent="0.3">
      <c r="D32569" s="1"/>
      <c r="G32569" s="13"/>
    </row>
    <row r="32570" spans="4:7" x14ac:dyDescent="0.3">
      <c r="D32570" s="1"/>
      <c r="G32570" s="13"/>
    </row>
    <row r="32571" spans="4:7" x14ac:dyDescent="0.3">
      <c r="D32571" s="1"/>
      <c r="G32571" s="13"/>
    </row>
    <row r="32572" spans="4:7" x14ac:dyDescent="0.3">
      <c r="D32572" s="1"/>
      <c r="G32572" s="13"/>
    </row>
    <row r="32573" spans="4:7" x14ac:dyDescent="0.3">
      <c r="D32573" s="1"/>
      <c r="G32573" s="13"/>
    </row>
    <row r="32574" spans="4:7" x14ac:dyDescent="0.3">
      <c r="D32574" s="1"/>
      <c r="G32574" s="13"/>
    </row>
    <row r="32575" spans="4:7" x14ac:dyDescent="0.3">
      <c r="D32575" s="1"/>
      <c r="G32575" s="13"/>
    </row>
    <row r="32576" spans="4:7" x14ac:dyDescent="0.3">
      <c r="D32576" s="1"/>
      <c r="G32576" s="13"/>
    </row>
    <row r="32577" spans="4:7" x14ac:dyDescent="0.3">
      <c r="D32577" s="1"/>
      <c r="G32577" s="13"/>
    </row>
    <row r="32578" spans="4:7" x14ac:dyDescent="0.3">
      <c r="D32578" s="1"/>
      <c r="G32578" s="13"/>
    </row>
    <row r="32579" spans="4:7" x14ac:dyDescent="0.3">
      <c r="D32579" s="1"/>
      <c r="G32579" s="13"/>
    </row>
    <row r="32580" spans="4:7" x14ac:dyDescent="0.3">
      <c r="D32580" s="1"/>
      <c r="G32580" s="13"/>
    </row>
    <row r="32581" spans="4:7" x14ac:dyDescent="0.3">
      <c r="D32581" s="1"/>
      <c r="G32581" s="13"/>
    </row>
    <row r="32582" spans="4:7" x14ac:dyDescent="0.3">
      <c r="D32582" s="1"/>
      <c r="G32582" s="13"/>
    </row>
    <row r="32583" spans="4:7" x14ac:dyDescent="0.3">
      <c r="D32583" s="1"/>
      <c r="G32583" s="13"/>
    </row>
    <row r="32584" spans="4:7" x14ac:dyDescent="0.3">
      <c r="D32584" s="1"/>
      <c r="G32584" s="13"/>
    </row>
    <row r="32585" spans="4:7" x14ac:dyDescent="0.3">
      <c r="D32585" s="1"/>
      <c r="G32585" s="13"/>
    </row>
    <row r="32586" spans="4:7" x14ac:dyDescent="0.3">
      <c r="D32586" s="1"/>
      <c r="G32586" s="13"/>
    </row>
    <row r="32587" spans="4:7" x14ac:dyDescent="0.3">
      <c r="D32587" s="1"/>
      <c r="G32587" s="13"/>
    </row>
    <row r="32588" spans="4:7" x14ac:dyDescent="0.3">
      <c r="D32588" s="1"/>
      <c r="G32588" s="13"/>
    </row>
    <row r="32589" spans="4:7" x14ac:dyDescent="0.3">
      <c r="D32589" s="1"/>
      <c r="G32589" s="13"/>
    </row>
    <row r="32590" spans="4:7" x14ac:dyDescent="0.3">
      <c r="D32590" s="1"/>
      <c r="G32590" s="13"/>
    </row>
    <row r="32591" spans="4:7" x14ac:dyDescent="0.3">
      <c r="D32591" s="1"/>
      <c r="G32591" s="13"/>
    </row>
    <row r="32592" spans="4:7" x14ac:dyDescent="0.3">
      <c r="D32592" s="1"/>
      <c r="G32592" s="13"/>
    </row>
    <row r="32593" spans="4:7" x14ac:dyDescent="0.3">
      <c r="D32593" s="1"/>
      <c r="G32593" s="13"/>
    </row>
    <row r="32594" spans="4:7" x14ac:dyDescent="0.3">
      <c r="D32594" s="1"/>
      <c r="G32594" s="13"/>
    </row>
    <row r="32595" spans="4:7" x14ac:dyDescent="0.3">
      <c r="D32595" s="1"/>
      <c r="G32595" s="13"/>
    </row>
    <row r="32596" spans="4:7" x14ac:dyDescent="0.3">
      <c r="D32596" s="1"/>
      <c r="G32596" s="13"/>
    </row>
    <row r="32597" spans="4:7" x14ac:dyDescent="0.3">
      <c r="D32597" s="1"/>
      <c r="G32597" s="13"/>
    </row>
    <row r="32598" spans="4:7" x14ac:dyDescent="0.3">
      <c r="D32598" s="1"/>
      <c r="G32598" s="13"/>
    </row>
    <row r="32599" spans="4:7" x14ac:dyDescent="0.3">
      <c r="D32599" s="1"/>
      <c r="G32599" s="13"/>
    </row>
    <row r="32600" spans="4:7" x14ac:dyDescent="0.3">
      <c r="D32600" s="1"/>
      <c r="G32600" s="13"/>
    </row>
    <row r="32601" spans="4:7" x14ac:dyDescent="0.3">
      <c r="D32601" s="1"/>
      <c r="G32601" s="13"/>
    </row>
    <row r="32602" spans="4:7" x14ac:dyDescent="0.3">
      <c r="D32602" s="1"/>
      <c r="G32602" s="13"/>
    </row>
    <row r="32603" spans="4:7" x14ac:dyDescent="0.3">
      <c r="D32603" s="1"/>
      <c r="G32603" s="13"/>
    </row>
    <row r="32604" spans="4:7" x14ac:dyDescent="0.3">
      <c r="D32604" s="1"/>
      <c r="G32604" s="13"/>
    </row>
    <row r="32605" spans="4:7" x14ac:dyDescent="0.3">
      <c r="D32605" s="1"/>
      <c r="G32605" s="13"/>
    </row>
    <row r="32606" spans="4:7" x14ac:dyDescent="0.3">
      <c r="D32606" s="1"/>
      <c r="G32606" s="13"/>
    </row>
    <row r="32607" spans="4:7" x14ac:dyDescent="0.3">
      <c r="D32607" s="1"/>
      <c r="G32607" s="13"/>
    </row>
    <row r="32608" spans="4:7" x14ac:dyDescent="0.3">
      <c r="D32608" s="1"/>
      <c r="G32608" s="13"/>
    </row>
    <row r="32609" spans="4:7" x14ac:dyDescent="0.3">
      <c r="D32609" s="1"/>
      <c r="G32609" s="13"/>
    </row>
    <row r="32610" spans="4:7" x14ac:dyDescent="0.3">
      <c r="D32610" s="1"/>
      <c r="G32610" s="13"/>
    </row>
    <row r="32611" spans="4:7" x14ac:dyDescent="0.3">
      <c r="D32611" s="1"/>
      <c r="G32611" s="13"/>
    </row>
    <row r="32612" spans="4:7" x14ac:dyDescent="0.3">
      <c r="D32612" s="1"/>
      <c r="G32612" s="13"/>
    </row>
    <row r="32613" spans="4:7" x14ac:dyDescent="0.3">
      <c r="D32613" s="1"/>
      <c r="G32613" s="13"/>
    </row>
    <row r="32614" spans="4:7" x14ac:dyDescent="0.3">
      <c r="D32614" s="1"/>
      <c r="G32614" s="13"/>
    </row>
    <row r="32615" spans="4:7" x14ac:dyDescent="0.3">
      <c r="D32615" s="1"/>
      <c r="G32615" s="13"/>
    </row>
    <row r="32616" spans="4:7" x14ac:dyDescent="0.3">
      <c r="D32616" s="1"/>
      <c r="G32616" s="13"/>
    </row>
    <row r="32617" spans="4:7" x14ac:dyDescent="0.3">
      <c r="D32617" s="1"/>
      <c r="G32617" s="13"/>
    </row>
    <row r="32618" spans="4:7" x14ac:dyDescent="0.3">
      <c r="D32618" s="1"/>
      <c r="G32618" s="13"/>
    </row>
    <row r="32619" spans="4:7" x14ac:dyDescent="0.3">
      <c r="D32619" s="1"/>
      <c r="G32619" s="13"/>
    </row>
    <row r="32620" spans="4:7" x14ac:dyDescent="0.3">
      <c r="D32620" s="1"/>
      <c r="G32620" s="13"/>
    </row>
    <row r="32621" spans="4:7" x14ac:dyDescent="0.3">
      <c r="D32621" s="1"/>
      <c r="G32621" s="13"/>
    </row>
    <row r="32622" spans="4:7" x14ac:dyDescent="0.3">
      <c r="D32622" s="1"/>
      <c r="G32622" s="13"/>
    </row>
    <row r="32623" spans="4:7" x14ac:dyDescent="0.3">
      <c r="D32623" s="1"/>
      <c r="G32623" s="13"/>
    </row>
    <row r="32624" spans="4:7" x14ac:dyDescent="0.3">
      <c r="D32624" s="1"/>
      <c r="G32624" s="13"/>
    </row>
    <row r="32625" spans="4:7" x14ac:dyDescent="0.3">
      <c r="D32625" s="1"/>
      <c r="G32625" s="13"/>
    </row>
    <row r="32626" spans="4:7" x14ac:dyDescent="0.3">
      <c r="D32626" s="1"/>
      <c r="G32626" s="13"/>
    </row>
    <row r="32627" spans="4:7" x14ac:dyDescent="0.3">
      <c r="D32627" s="1"/>
      <c r="G32627" s="13"/>
    </row>
    <row r="32628" spans="4:7" x14ac:dyDescent="0.3">
      <c r="D32628" s="1"/>
      <c r="G32628" s="13"/>
    </row>
    <row r="32629" spans="4:7" x14ac:dyDescent="0.3">
      <c r="D32629" s="1"/>
      <c r="G32629" s="13"/>
    </row>
    <row r="32630" spans="4:7" x14ac:dyDescent="0.3">
      <c r="D32630" s="1"/>
      <c r="G32630" s="13"/>
    </row>
    <row r="32631" spans="4:7" x14ac:dyDescent="0.3">
      <c r="D32631" s="1"/>
      <c r="G32631" s="13"/>
    </row>
    <row r="32632" spans="4:7" x14ac:dyDescent="0.3">
      <c r="D32632" s="1"/>
      <c r="G32632" s="13"/>
    </row>
    <row r="32633" spans="4:7" x14ac:dyDescent="0.3">
      <c r="D32633" s="1"/>
      <c r="G32633" s="13"/>
    </row>
    <row r="32634" spans="4:7" x14ac:dyDescent="0.3">
      <c r="D32634" s="1"/>
      <c r="G32634" s="13"/>
    </row>
    <row r="32635" spans="4:7" x14ac:dyDescent="0.3">
      <c r="D32635" s="1"/>
      <c r="G32635" s="13"/>
    </row>
    <row r="32636" spans="4:7" x14ac:dyDescent="0.3">
      <c r="D32636" s="1"/>
      <c r="G32636" s="13"/>
    </row>
    <row r="32637" spans="4:7" x14ac:dyDescent="0.3">
      <c r="D32637" s="1"/>
      <c r="G32637" s="13"/>
    </row>
    <row r="32638" spans="4:7" x14ac:dyDescent="0.3">
      <c r="D32638" s="1"/>
      <c r="G32638" s="13"/>
    </row>
    <row r="32639" spans="4:7" x14ac:dyDescent="0.3">
      <c r="D32639" s="1"/>
      <c r="G32639" s="13"/>
    </row>
    <row r="32640" spans="4:7" x14ac:dyDescent="0.3">
      <c r="D32640" s="1"/>
      <c r="G32640" s="13"/>
    </row>
    <row r="32641" spans="4:7" x14ac:dyDescent="0.3">
      <c r="D32641" s="1"/>
      <c r="G32641" s="13"/>
    </row>
    <row r="32642" spans="4:7" x14ac:dyDescent="0.3">
      <c r="D32642" s="1"/>
      <c r="G32642" s="13"/>
    </row>
    <row r="32643" spans="4:7" x14ac:dyDescent="0.3">
      <c r="D32643" s="1"/>
      <c r="G32643" s="13"/>
    </row>
    <row r="32644" spans="4:7" x14ac:dyDescent="0.3">
      <c r="D32644" s="1"/>
      <c r="G32644" s="13"/>
    </row>
    <row r="32645" spans="4:7" x14ac:dyDescent="0.3">
      <c r="D32645" s="1"/>
      <c r="G32645" s="13"/>
    </row>
    <row r="32646" spans="4:7" x14ac:dyDescent="0.3">
      <c r="D32646" s="1"/>
      <c r="G32646" s="13"/>
    </row>
    <row r="32647" spans="4:7" x14ac:dyDescent="0.3">
      <c r="D32647" s="1"/>
      <c r="G32647" s="13"/>
    </row>
    <row r="32648" spans="4:7" x14ac:dyDescent="0.3">
      <c r="D32648" s="1"/>
      <c r="G32648" s="13"/>
    </row>
    <row r="32649" spans="4:7" x14ac:dyDescent="0.3">
      <c r="D32649" s="1"/>
      <c r="G32649" s="13"/>
    </row>
    <row r="32650" spans="4:7" x14ac:dyDescent="0.3">
      <c r="D32650" s="1"/>
      <c r="G32650" s="13"/>
    </row>
    <row r="32651" spans="4:7" x14ac:dyDescent="0.3">
      <c r="D32651" s="1"/>
      <c r="G32651" s="13"/>
    </row>
    <row r="32652" spans="4:7" x14ac:dyDescent="0.3">
      <c r="D32652" s="1"/>
      <c r="G32652" s="13"/>
    </row>
    <row r="32653" spans="4:7" x14ac:dyDescent="0.3">
      <c r="D32653" s="1"/>
      <c r="G32653" s="13"/>
    </row>
    <row r="32654" spans="4:7" x14ac:dyDescent="0.3">
      <c r="D32654" s="1"/>
      <c r="G32654" s="13"/>
    </row>
    <row r="32655" spans="4:7" x14ac:dyDescent="0.3">
      <c r="D32655" s="1"/>
      <c r="G32655" s="13"/>
    </row>
    <row r="32656" spans="4:7" x14ac:dyDescent="0.3">
      <c r="D32656" s="1"/>
      <c r="G32656" s="13"/>
    </row>
    <row r="32657" spans="4:7" x14ac:dyDescent="0.3">
      <c r="D32657" s="1"/>
      <c r="G32657" s="13"/>
    </row>
    <row r="32658" spans="4:7" x14ac:dyDescent="0.3">
      <c r="D32658" s="1"/>
      <c r="G32658" s="13"/>
    </row>
    <row r="32659" spans="4:7" x14ac:dyDescent="0.3">
      <c r="D32659" s="1"/>
      <c r="G32659" s="13"/>
    </row>
    <row r="32660" spans="4:7" x14ac:dyDescent="0.3">
      <c r="D32660" s="1"/>
      <c r="G32660" s="13"/>
    </row>
    <row r="32661" spans="4:7" x14ac:dyDescent="0.3">
      <c r="D32661" s="1"/>
      <c r="G32661" s="13"/>
    </row>
    <row r="32662" spans="4:7" x14ac:dyDescent="0.3">
      <c r="D32662" s="1"/>
      <c r="G32662" s="13"/>
    </row>
    <row r="32663" spans="4:7" x14ac:dyDescent="0.3">
      <c r="D32663" s="1"/>
      <c r="G32663" s="13"/>
    </row>
    <row r="32664" spans="4:7" x14ac:dyDescent="0.3">
      <c r="D32664" s="1"/>
      <c r="G32664" s="13"/>
    </row>
    <row r="32665" spans="4:7" x14ac:dyDescent="0.3">
      <c r="D32665" s="1"/>
      <c r="G32665" s="13"/>
    </row>
    <row r="32666" spans="4:7" x14ac:dyDescent="0.3">
      <c r="D32666" s="1"/>
      <c r="G32666" s="13"/>
    </row>
    <row r="32667" spans="4:7" x14ac:dyDescent="0.3">
      <c r="D32667" s="1"/>
      <c r="G32667" s="13"/>
    </row>
    <row r="32668" spans="4:7" x14ac:dyDescent="0.3">
      <c r="D32668" s="1"/>
      <c r="G32668" s="13"/>
    </row>
    <row r="32669" spans="4:7" x14ac:dyDescent="0.3">
      <c r="D32669" s="1"/>
      <c r="G32669" s="13"/>
    </row>
    <row r="32670" spans="4:7" x14ac:dyDescent="0.3">
      <c r="D32670" s="1"/>
      <c r="G32670" s="13"/>
    </row>
    <row r="32671" spans="4:7" x14ac:dyDescent="0.3">
      <c r="D32671" s="1"/>
      <c r="G32671" s="13"/>
    </row>
    <row r="32672" spans="4:7" x14ac:dyDescent="0.3">
      <c r="D32672" s="1"/>
      <c r="G32672" s="13"/>
    </row>
    <row r="32673" spans="4:7" x14ac:dyDescent="0.3">
      <c r="D32673" s="1"/>
      <c r="G32673" s="13"/>
    </row>
    <row r="32674" spans="4:7" x14ac:dyDescent="0.3">
      <c r="D32674" s="1"/>
      <c r="G32674" s="13"/>
    </row>
    <row r="32675" spans="4:7" x14ac:dyDescent="0.3">
      <c r="D32675" s="1"/>
      <c r="G32675" s="13"/>
    </row>
    <row r="32676" spans="4:7" x14ac:dyDescent="0.3">
      <c r="D32676" s="1"/>
      <c r="G32676" s="13"/>
    </row>
    <row r="32677" spans="4:7" x14ac:dyDescent="0.3">
      <c r="D32677" s="1"/>
      <c r="G32677" s="13"/>
    </row>
    <row r="32678" spans="4:7" x14ac:dyDescent="0.3">
      <c r="D32678" s="1"/>
      <c r="G32678" s="13"/>
    </row>
    <row r="32679" spans="4:7" x14ac:dyDescent="0.3">
      <c r="D32679" s="1"/>
      <c r="G32679" s="13"/>
    </row>
    <row r="32680" spans="4:7" x14ac:dyDescent="0.3">
      <c r="D32680" s="1"/>
      <c r="G32680" s="13"/>
    </row>
    <row r="32681" spans="4:7" x14ac:dyDescent="0.3">
      <c r="D32681" s="1"/>
      <c r="G32681" s="13"/>
    </row>
    <row r="32682" spans="4:7" x14ac:dyDescent="0.3">
      <c r="D32682" s="1"/>
      <c r="G32682" s="13"/>
    </row>
    <row r="32683" spans="4:7" x14ac:dyDescent="0.3">
      <c r="D32683" s="1"/>
      <c r="G32683" s="13"/>
    </row>
    <row r="32684" spans="4:7" x14ac:dyDescent="0.3">
      <c r="D32684" s="1"/>
      <c r="G32684" s="13"/>
    </row>
    <row r="32685" spans="4:7" x14ac:dyDescent="0.3">
      <c r="D32685" s="1"/>
      <c r="G32685" s="13"/>
    </row>
    <row r="32686" spans="4:7" x14ac:dyDescent="0.3">
      <c r="D32686" s="1"/>
      <c r="G32686" s="13"/>
    </row>
    <row r="32687" spans="4:7" x14ac:dyDescent="0.3">
      <c r="D32687" s="1"/>
      <c r="G32687" s="13"/>
    </row>
    <row r="32688" spans="4:7" x14ac:dyDescent="0.3">
      <c r="D32688" s="1"/>
      <c r="G32688" s="13"/>
    </row>
    <row r="32689" spans="4:7" x14ac:dyDescent="0.3">
      <c r="D32689" s="1"/>
      <c r="G32689" s="13"/>
    </row>
    <row r="32690" spans="4:7" x14ac:dyDescent="0.3">
      <c r="D32690" s="1"/>
      <c r="G32690" s="13"/>
    </row>
    <row r="32691" spans="4:7" x14ac:dyDescent="0.3">
      <c r="D32691" s="1"/>
      <c r="G32691" s="13"/>
    </row>
    <row r="32692" spans="4:7" x14ac:dyDescent="0.3">
      <c r="D32692" s="1"/>
      <c r="G32692" s="13"/>
    </row>
    <row r="32693" spans="4:7" x14ac:dyDescent="0.3">
      <c r="D32693" s="1"/>
      <c r="G32693" s="13"/>
    </row>
    <row r="32694" spans="4:7" x14ac:dyDescent="0.3">
      <c r="D32694" s="1"/>
      <c r="G32694" s="13"/>
    </row>
    <row r="32695" spans="4:7" x14ac:dyDescent="0.3">
      <c r="D32695" s="1"/>
      <c r="G32695" s="13"/>
    </row>
    <row r="32696" spans="4:7" x14ac:dyDescent="0.3">
      <c r="D32696" s="1"/>
      <c r="G32696" s="13"/>
    </row>
    <row r="32697" spans="4:7" x14ac:dyDescent="0.3">
      <c r="D32697" s="1"/>
      <c r="G32697" s="13"/>
    </row>
    <row r="32698" spans="4:7" x14ac:dyDescent="0.3">
      <c r="D32698" s="1"/>
      <c r="G32698" s="13"/>
    </row>
    <row r="32699" spans="4:7" x14ac:dyDescent="0.3">
      <c r="D32699" s="1"/>
      <c r="G32699" s="13"/>
    </row>
    <row r="32700" spans="4:7" x14ac:dyDescent="0.3">
      <c r="D32700" s="1"/>
      <c r="G32700" s="13"/>
    </row>
    <row r="32701" spans="4:7" x14ac:dyDescent="0.3">
      <c r="D32701" s="1"/>
      <c r="G32701" s="13"/>
    </row>
    <row r="32702" spans="4:7" x14ac:dyDescent="0.3">
      <c r="D32702" s="1"/>
      <c r="G32702" s="13"/>
    </row>
    <row r="32703" spans="4:7" x14ac:dyDescent="0.3">
      <c r="D32703" s="1"/>
      <c r="G32703" s="13"/>
    </row>
    <row r="32704" spans="4:7" x14ac:dyDescent="0.3">
      <c r="D32704" s="1"/>
      <c r="G32704" s="13"/>
    </row>
    <row r="32705" spans="4:7" x14ac:dyDescent="0.3">
      <c r="D32705" s="1"/>
      <c r="G32705" s="13"/>
    </row>
    <row r="32706" spans="4:7" x14ac:dyDescent="0.3">
      <c r="D32706" s="1"/>
      <c r="G32706" s="13"/>
    </row>
    <row r="32707" spans="4:7" x14ac:dyDescent="0.3">
      <c r="D32707" s="1"/>
      <c r="G32707" s="13"/>
    </row>
    <row r="32708" spans="4:7" x14ac:dyDescent="0.3">
      <c r="D32708" s="1"/>
      <c r="G32708" s="13"/>
    </row>
    <row r="32709" spans="4:7" x14ac:dyDescent="0.3">
      <c r="D32709" s="1"/>
      <c r="G32709" s="13"/>
    </row>
    <row r="32710" spans="4:7" x14ac:dyDescent="0.3">
      <c r="D32710" s="1"/>
      <c r="G32710" s="13"/>
    </row>
    <row r="32711" spans="4:7" x14ac:dyDescent="0.3">
      <c r="D32711" s="1"/>
      <c r="G32711" s="13"/>
    </row>
    <row r="32712" spans="4:7" x14ac:dyDescent="0.3">
      <c r="D32712" s="1"/>
      <c r="G32712" s="13"/>
    </row>
    <row r="32713" spans="4:7" x14ac:dyDescent="0.3">
      <c r="D32713" s="1"/>
      <c r="G32713" s="13"/>
    </row>
    <row r="32714" spans="4:7" x14ac:dyDescent="0.3">
      <c r="D32714" s="1"/>
      <c r="G32714" s="13"/>
    </row>
    <row r="32715" spans="4:7" x14ac:dyDescent="0.3">
      <c r="D32715" s="1"/>
      <c r="G32715" s="13"/>
    </row>
    <row r="32716" spans="4:7" x14ac:dyDescent="0.3">
      <c r="D32716" s="1"/>
      <c r="G32716" s="13"/>
    </row>
    <row r="32717" spans="4:7" x14ac:dyDescent="0.3">
      <c r="D32717" s="1"/>
      <c r="G32717" s="13"/>
    </row>
    <row r="32718" spans="4:7" x14ac:dyDescent="0.3">
      <c r="D32718" s="1"/>
      <c r="G32718" s="13"/>
    </row>
    <row r="32719" spans="4:7" x14ac:dyDescent="0.3">
      <c r="D32719" s="1"/>
      <c r="G32719" s="13"/>
    </row>
    <row r="32720" spans="4:7" x14ac:dyDescent="0.3">
      <c r="D32720" s="1"/>
      <c r="G32720" s="13"/>
    </row>
    <row r="32721" spans="4:7" x14ac:dyDescent="0.3">
      <c r="D32721" s="1"/>
      <c r="G32721" s="13"/>
    </row>
    <row r="32722" spans="4:7" x14ac:dyDescent="0.3">
      <c r="D32722" s="1"/>
      <c r="G32722" s="13"/>
    </row>
    <row r="32723" spans="4:7" x14ac:dyDescent="0.3">
      <c r="D32723" s="1"/>
      <c r="G32723" s="13"/>
    </row>
    <row r="32724" spans="4:7" x14ac:dyDescent="0.3">
      <c r="D32724" s="1"/>
      <c r="G32724" s="13"/>
    </row>
    <row r="32725" spans="4:7" x14ac:dyDescent="0.3">
      <c r="D32725" s="1"/>
      <c r="G32725" s="13"/>
    </row>
    <row r="32726" spans="4:7" x14ac:dyDescent="0.3">
      <c r="D32726" s="1"/>
      <c r="G32726" s="13"/>
    </row>
    <row r="32727" spans="4:7" x14ac:dyDescent="0.3">
      <c r="D32727" s="1"/>
      <c r="G32727" s="13"/>
    </row>
    <row r="32728" spans="4:7" x14ac:dyDescent="0.3">
      <c r="D32728" s="1"/>
      <c r="G32728" s="13"/>
    </row>
    <row r="32729" spans="4:7" x14ac:dyDescent="0.3">
      <c r="D32729" s="1"/>
      <c r="G32729" s="13"/>
    </row>
    <row r="32730" spans="4:7" x14ac:dyDescent="0.3">
      <c r="D32730" s="1"/>
      <c r="G32730" s="13"/>
    </row>
    <row r="32731" spans="4:7" x14ac:dyDescent="0.3">
      <c r="D32731" s="1"/>
      <c r="G32731" s="13"/>
    </row>
    <row r="32732" spans="4:7" x14ac:dyDescent="0.3">
      <c r="D32732" s="1"/>
      <c r="G32732" s="13"/>
    </row>
    <row r="32733" spans="4:7" x14ac:dyDescent="0.3">
      <c r="D32733" s="1"/>
      <c r="G32733" s="13"/>
    </row>
    <row r="32734" spans="4:7" x14ac:dyDescent="0.3">
      <c r="D32734" s="1"/>
      <c r="G32734" s="13"/>
    </row>
    <row r="32735" spans="4:7" x14ac:dyDescent="0.3">
      <c r="D32735" s="1"/>
      <c r="G32735" s="13"/>
    </row>
    <row r="32736" spans="4:7" x14ac:dyDescent="0.3">
      <c r="D32736" s="1"/>
      <c r="G32736" s="13"/>
    </row>
    <row r="32737" spans="4:38" x14ac:dyDescent="0.3">
      <c r="D32737" s="1"/>
      <c r="G32737" s="13"/>
    </row>
    <row r="32738" spans="4:38" x14ac:dyDescent="0.3">
      <c r="D32738" s="1"/>
      <c r="G32738" s="13"/>
    </row>
    <row r="32739" spans="4:38" x14ac:dyDescent="0.3">
      <c r="D32739" s="1"/>
      <c r="G32739" s="13"/>
    </row>
    <row r="32740" spans="4:38" x14ac:dyDescent="0.3">
      <c r="D32740" s="1"/>
      <c r="G32740" s="13"/>
    </row>
    <row r="32741" spans="4:38" x14ac:dyDescent="0.3">
      <c r="D32741" s="1"/>
      <c r="G32741" s="13"/>
    </row>
    <row r="32742" spans="4:38" x14ac:dyDescent="0.3">
      <c r="D32742" s="1"/>
      <c r="G32742" s="13"/>
    </row>
    <row r="32743" spans="4:38" x14ac:dyDescent="0.3">
      <c r="D32743" s="1"/>
      <c r="G32743" s="13"/>
    </row>
    <row r="32744" spans="4:38" x14ac:dyDescent="0.3">
      <c r="D32744" s="1"/>
      <c r="G32744" s="13"/>
    </row>
    <row r="32745" spans="4:38" x14ac:dyDescent="0.3">
      <c r="D32745" s="1"/>
      <c r="G32745" s="13"/>
    </row>
    <row r="32746" spans="4:38" x14ac:dyDescent="0.3">
      <c r="D32746" s="1"/>
      <c r="G32746" s="13"/>
    </row>
    <row r="32747" spans="4:38" x14ac:dyDescent="0.3">
      <c r="D32747" s="1"/>
      <c r="G32747" s="13"/>
    </row>
    <row r="32748" spans="4:38" x14ac:dyDescent="0.3">
      <c r="D32748" s="1"/>
      <c r="G32748" s="13"/>
    </row>
    <row r="32749" spans="4:38" x14ac:dyDescent="0.3">
      <c r="D32749" s="1"/>
      <c r="G32749" s="13"/>
    </row>
    <row r="32750" spans="4:38" x14ac:dyDescent="0.3">
      <c r="D32750" s="1"/>
      <c r="G32750" s="13"/>
      <c r="AL32750" s="13"/>
    </row>
    <row r="32751" spans="4:38" x14ac:dyDescent="0.3">
      <c r="D32751" s="1"/>
      <c r="G32751" s="13"/>
      <c r="AL32751" s="13"/>
    </row>
    <row r="32752" spans="4:38" x14ac:dyDescent="0.3">
      <c r="D32752" s="1"/>
      <c r="G32752" s="13"/>
      <c r="AL32752" s="13"/>
    </row>
    <row r="32753" spans="4:38" x14ac:dyDescent="0.3">
      <c r="D32753" s="1"/>
      <c r="G32753" s="13"/>
      <c r="AL32753" s="13"/>
    </row>
    <row r="32754" spans="4:38" x14ac:dyDescent="0.3">
      <c r="D32754" s="1"/>
      <c r="G32754" s="13"/>
      <c r="AL32754" s="13"/>
    </row>
    <row r="32755" spans="4:38" x14ac:dyDescent="0.3">
      <c r="D32755" s="1"/>
      <c r="G32755" s="13"/>
      <c r="AL32755" s="13"/>
    </row>
    <row r="32756" spans="4:38" x14ac:dyDescent="0.3">
      <c r="D32756" s="1"/>
      <c r="G32756" s="13"/>
      <c r="AL32756" s="13"/>
    </row>
    <row r="32757" spans="4:38" x14ac:dyDescent="0.3">
      <c r="D32757" s="1"/>
      <c r="G32757" s="13"/>
      <c r="AL32757" s="13"/>
    </row>
    <row r="32758" spans="4:38" x14ac:dyDescent="0.3">
      <c r="D32758" s="1"/>
      <c r="G32758" s="13"/>
      <c r="AL32758" s="13"/>
    </row>
    <row r="32759" spans="4:38" x14ac:dyDescent="0.3">
      <c r="D32759" s="1"/>
      <c r="G32759" s="13"/>
      <c r="AL32759" s="13"/>
    </row>
    <row r="32760" spans="4:38" x14ac:dyDescent="0.3">
      <c r="D32760" s="1"/>
      <c r="G32760" s="13"/>
      <c r="AL32760" s="13"/>
    </row>
    <row r="32761" spans="4:38" x14ac:dyDescent="0.3">
      <c r="D32761" s="1"/>
      <c r="G32761" s="13"/>
      <c r="AL32761" s="13"/>
    </row>
    <row r="32762" spans="4:38" x14ac:dyDescent="0.3">
      <c r="D32762" s="1"/>
      <c r="G32762" s="13"/>
      <c r="AL32762" s="13"/>
    </row>
    <row r="32763" spans="4:38" x14ac:dyDescent="0.3">
      <c r="D32763" s="1"/>
      <c r="G32763" s="13"/>
      <c r="AL32763" s="13"/>
    </row>
    <row r="32764" spans="4:38" x14ac:dyDescent="0.3">
      <c r="D32764" s="1"/>
      <c r="G32764" s="13"/>
      <c r="AL32764" s="13"/>
    </row>
    <row r="32765" spans="4:38" x14ac:dyDescent="0.3">
      <c r="D32765" s="1"/>
      <c r="G32765" s="13"/>
      <c r="AL32765" s="13"/>
    </row>
    <row r="32766" spans="4:38" x14ac:dyDescent="0.3">
      <c r="D32766" s="1"/>
      <c r="G32766" s="13"/>
      <c r="AL32766" s="13"/>
    </row>
    <row r="32767" spans="4:38" x14ac:dyDescent="0.3">
      <c r="D32767" s="1"/>
      <c r="G32767" s="13"/>
      <c r="AL32767" s="13"/>
    </row>
    <row r="32768" spans="4:38" x14ac:dyDescent="0.3">
      <c r="D32768" s="1"/>
      <c r="G32768" s="13"/>
      <c r="AL32768" s="13"/>
    </row>
    <row r="32769" spans="4:38" x14ac:dyDescent="0.3">
      <c r="D32769" s="1"/>
      <c r="G32769" s="13"/>
      <c r="AL32769" s="13"/>
    </row>
    <row r="32770" spans="4:38" x14ac:dyDescent="0.3">
      <c r="D32770" s="1"/>
      <c r="G32770" s="13"/>
      <c r="AL32770" s="13"/>
    </row>
    <row r="32771" spans="4:38" x14ac:dyDescent="0.3">
      <c r="D32771" s="1"/>
      <c r="G32771" s="13"/>
      <c r="AL32771" s="13"/>
    </row>
    <row r="32772" spans="4:38" x14ac:dyDescent="0.3">
      <c r="D32772" s="1"/>
      <c r="G32772" s="13"/>
      <c r="AL32772" s="13"/>
    </row>
    <row r="32773" spans="4:38" x14ac:dyDescent="0.3">
      <c r="D32773" s="1"/>
      <c r="G32773" s="13"/>
      <c r="AL32773" s="13"/>
    </row>
    <row r="32774" spans="4:38" x14ac:dyDescent="0.3">
      <c r="D32774" s="1"/>
      <c r="G32774" s="13"/>
      <c r="AL32774" s="13"/>
    </row>
    <row r="32775" spans="4:38" x14ac:dyDescent="0.3">
      <c r="D32775" s="1"/>
      <c r="G32775" s="13"/>
      <c r="AL32775" s="13"/>
    </row>
    <row r="32776" spans="4:38" x14ac:dyDescent="0.3">
      <c r="D32776" s="1"/>
      <c r="G32776" s="13"/>
      <c r="AL32776" s="13"/>
    </row>
    <row r="32777" spans="4:38" x14ac:dyDescent="0.3">
      <c r="D32777" s="1"/>
      <c r="G32777" s="13"/>
      <c r="AL32777" s="13"/>
    </row>
    <row r="32778" spans="4:38" x14ac:dyDescent="0.3">
      <c r="D32778" s="1"/>
      <c r="G32778" s="13"/>
      <c r="AL32778" s="13"/>
    </row>
    <row r="32779" spans="4:38" x14ac:dyDescent="0.3">
      <c r="D32779" s="1"/>
      <c r="G32779" s="13"/>
      <c r="AL32779" s="13"/>
    </row>
    <row r="32780" spans="4:38" x14ac:dyDescent="0.3">
      <c r="D32780" s="1"/>
      <c r="G32780" s="13"/>
      <c r="AL32780" s="13"/>
    </row>
    <row r="32781" spans="4:38" x14ac:dyDescent="0.3">
      <c r="D32781" s="1"/>
      <c r="G32781" s="13"/>
      <c r="AL32781" s="13"/>
    </row>
    <row r="32782" spans="4:38" x14ac:dyDescent="0.3">
      <c r="D32782" s="1"/>
      <c r="G32782" s="13"/>
      <c r="AL32782" s="13"/>
    </row>
    <row r="32783" spans="4:38" x14ac:dyDescent="0.3">
      <c r="D32783" s="1"/>
      <c r="G32783" s="13"/>
      <c r="AL32783" s="13"/>
    </row>
    <row r="32784" spans="4:38" x14ac:dyDescent="0.3">
      <c r="D32784" s="1"/>
      <c r="G32784" s="13"/>
      <c r="AL32784" s="13"/>
    </row>
    <row r="32785" spans="4:38" x14ac:dyDescent="0.3">
      <c r="D32785" s="1"/>
      <c r="G32785" s="13"/>
      <c r="AL32785" s="13"/>
    </row>
    <row r="32786" spans="4:38" x14ac:dyDescent="0.3">
      <c r="D32786" s="1"/>
      <c r="G32786" s="13"/>
      <c r="AL32786" s="13"/>
    </row>
    <row r="32787" spans="4:38" x14ac:dyDescent="0.3">
      <c r="D32787" s="1"/>
      <c r="G32787" s="13"/>
      <c r="AL32787" s="13"/>
    </row>
    <row r="32788" spans="4:38" x14ac:dyDescent="0.3">
      <c r="D32788" s="1"/>
      <c r="G32788" s="13"/>
      <c r="AL32788" s="13"/>
    </row>
    <row r="32789" spans="4:38" x14ac:dyDescent="0.3">
      <c r="D32789" s="1"/>
      <c r="G32789" s="13"/>
      <c r="AL32789" s="13"/>
    </row>
    <row r="32790" spans="4:38" x14ac:dyDescent="0.3">
      <c r="D32790" s="1"/>
      <c r="G32790" s="13"/>
      <c r="AL32790" s="13"/>
    </row>
    <row r="32791" spans="4:38" x14ac:dyDescent="0.3">
      <c r="D32791" s="1"/>
      <c r="G32791" s="13"/>
      <c r="AL32791" s="13"/>
    </row>
    <row r="32792" spans="4:38" x14ac:dyDescent="0.3">
      <c r="D32792" s="1"/>
      <c r="G32792" s="13"/>
      <c r="AL32792" s="13"/>
    </row>
    <row r="32793" spans="4:38" x14ac:dyDescent="0.3">
      <c r="D32793" s="1"/>
      <c r="G32793" s="13"/>
      <c r="AL32793" s="13"/>
    </row>
    <row r="32794" spans="4:38" x14ac:dyDescent="0.3">
      <c r="D32794" s="1"/>
      <c r="G32794" s="13"/>
      <c r="AL32794" s="13"/>
    </row>
    <row r="32795" spans="4:38" x14ac:dyDescent="0.3">
      <c r="D32795" s="1"/>
      <c r="G32795" s="13"/>
      <c r="AL32795" s="13"/>
    </row>
    <row r="32796" spans="4:38" x14ac:dyDescent="0.3">
      <c r="D32796" s="1"/>
      <c r="G32796" s="13"/>
      <c r="AL32796" s="13"/>
    </row>
    <row r="32797" spans="4:38" x14ac:dyDescent="0.3">
      <c r="D32797" s="1"/>
      <c r="G32797" s="13"/>
      <c r="AL32797" s="13"/>
    </row>
    <row r="32798" spans="4:38" x14ac:dyDescent="0.3">
      <c r="D32798" s="1"/>
      <c r="G32798" s="13"/>
      <c r="AL32798" s="13"/>
    </row>
    <row r="32799" spans="4:38" x14ac:dyDescent="0.3">
      <c r="D32799" s="1"/>
      <c r="G32799" s="13"/>
      <c r="AL32799" s="13"/>
    </row>
    <row r="32800" spans="4:38" x14ac:dyDescent="0.3">
      <c r="D32800" s="1"/>
      <c r="G32800" s="13"/>
      <c r="AL32800" s="13"/>
    </row>
    <row r="32801" spans="4:38" x14ac:dyDescent="0.3">
      <c r="D32801" s="1"/>
      <c r="G32801" s="13"/>
      <c r="AL32801" s="13"/>
    </row>
    <row r="32802" spans="4:38" x14ac:dyDescent="0.3">
      <c r="D32802" s="1"/>
      <c r="G32802" s="13"/>
      <c r="AL32802" s="13"/>
    </row>
    <row r="32803" spans="4:38" x14ac:dyDescent="0.3">
      <c r="D32803" s="1"/>
      <c r="G32803" s="13"/>
      <c r="AL32803" s="13"/>
    </row>
    <row r="32804" spans="4:38" x14ac:dyDescent="0.3">
      <c r="D32804" s="1"/>
      <c r="G32804" s="13"/>
      <c r="AL32804" s="13"/>
    </row>
    <row r="32805" spans="4:38" x14ac:dyDescent="0.3">
      <c r="D32805" s="1"/>
      <c r="G32805" s="13"/>
      <c r="AL32805" s="13"/>
    </row>
    <row r="32806" spans="4:38" x14ac:dyDescent="0.3">
      <c r="D32806" s="1"/>
      <c r="G32806" s="13"/>
      <c r="AL32806" s="13"/>
    </row>
    <row r="32807" spans="4:38" x14ac:dyDescent="0.3">
      <c r="D32807" s="1"/>
      <c r="G32807" s="13"/>
      <c r="AL32807" s="13"/>
    </row>
    <row r="32808" spans="4:38" x14ac:dyDescent="0.3">
      <c r="D32808" s="1"/>
      <c r="G32808" s="13"/>
      <c r="AL32808" s="13"/>
    </row>
    <row r="32809" spans="4:38" x14ac:dyDescent="0.3">
      <c r="D32809" s="1"/>
      <c r="G32809" s="13"/>
      <c r="AL32809" s="13"/>
    </row>
    <row r="32810" spans="4:38" x14ac:dyDescent="0.3">
      <c r="D32810" s="1"/>
      <c r="G32810" s="13"/>
      <c r="AL32810" s="13"/>
    </row>
    <row r="32811" spans="4:38" x14ac:dyDescent="0.3">
      <c r="D32811" s="1"/>
      <c r="G32811" s="13"/>
      <c r="AL32811" s="13"/>
    </row>
    <row r="32812" spans="4:38" x14ac:dyDescent="0.3">
      <c r="D32812" s="1"/>
      <c r="G32812" s="13"/>
      <c r="AL32812" s="13"/>
    </row>
    <row r="32813" spans="4:38" x14ac:dyDescent="0.3">
      <c r="D32813" s="1"/>
      <c r="G32813" s="13"/>
      <c r="AL32813" s="13"/>
    </row>
    <row r="32814" spans="4:38" x14ac:dyDescent="0.3">
      <c r="D32814" s="1"/>
      <c r="G32814" s="13"/>
      <c r="AL32814" s="13"/>
    </row>
    <row r="32815" spans="4:38" x14ac:dyDescent="0.3">
      <c r="D32815" s="1"/>
      <c r="G32815" s="13"/>
      <c r="AL32815" s="13"/>
    </row>
    <row r="32816" spans="4:38" x14ac:dyDescent="0.3">
      <c r="D32816" s="1"/>
      <c r="G32816" s="13"/>
      <c r="AL32816" s="13"/>
    </row>
    <row r="32817" spans="4:38" x14ac:dyDescent="0.3">
      <c r="D32817" s="1"/>
      <c r="G32817" s="13"/>
      <c r="AL32817" s="13"/>
    </row>
    <row r="32818" spans="4:38" x14ac:dyDescent="0.3">
      <c r="D32818" s="1"/>
      <c r="G32818" s="13"/>
      <c r="AL32818" s="13"/>
    </row>
    <row r="32819" spans="4:38" x14ac:dyDescent="0.3">
      <c r="D32819" s="1"/>
      <c r="G32819" s="13"/>
      <c r="AL32819" s="13"/>
    </row>
    <row r="32820" spans="4:38" x14ac:dyDescent="0.3">
      <c r="D32820" s="1"/>
      <c r="G32820" s="13"/>
      <c r="AL32820" s="13"/>
    </row>
    <row r="32821" spans="4:38" x14ac:dyDescent="0.3">
      <c r="D32821" s="1"/>
      <c r="G32821" s="13"/>
      <c r="AL32821" s="13"/>
    </row>
    <row r="32822" spans="4:38" x14ac:dyDescent="0.3">
      <c r="D32822" s="1"/>
      <c r="G32822" s="13"/>
      <c r="AL32822" s="13"/>
    </row>
    <row r="32823" spans="4:38" x14ac:dyDescent="0.3">
      <c r="D32823" s="1"/>
      <c r="G32823" s="13"/>
      <c r="AL32823" s="13"/>
    </row>
    <row r="32824" spans="4:38" x14ac:dyDescent="0.3">
      <c r="D32824" s="1"/>
      <c r="G32824" s="13"/>
      <c r="AL32824" s="13"/>
    </row>
    <row r="32825" spans="4:38" x14ac:dyDescent="0.3">
      <c r="D32825" s="1"/>
      <c r="G32825" s="13"/>
      <c r="AL32825" s="13"/>
    </row>
    <row r="32826" spans="4:38" x14ac:dyDescent="0.3">
      <c r="D32826" s="1"/>
      <c r="G32826" s="13"/>
      <c r="AL32826" s="13"/>
    </row>
    <row r="32827" spans="4:38" x14ac:dyDescent="0.3">
      <c r="D32827" s="1"/>
      <c r="G32827" s="13"/>
      <c r="AL32827" s="13"/>
    </row>
    <row r="32828" spans="4:38" x14ac:dyDescent="0.3">
      <c r="D32828" s="1"/>
      <c r="G32828" s="13"/>
      <c r="AL32828" s="13"/>
    </row>
    <row r="32829" spans="4:38" x14ac:dyDescent="0.3">
      <c r="D32829" s="1"/>
      <c r="G32829" s="13"/>
      <c r="AL32829" s="13"/>
    </row>
    <row r="32830" spans="4:38" x14ac:dyDescent="0.3">
      <c r="D32830" s="1"/>
      <c r="G32830" s="13"/>
      <c r="AL32830" s="13"/>
    </row>
    <row r="32831" spans="4:38" x14ac:dyDescent="0.3">
      <c r="D32831" s="1"/>
      <c r="G32831" s="13"/>
      <c r="AL32831" s="13"/>
    </row>
    <row r="32832" spans="4:38" x14ac:dyDescent="0.3">
      <c r="D32832" s="1"/>
      <c r="G32832" s="13"/>
      <c r="AL32832" s="13"/>
    </row>
    <row r="32833" spans="4:38" x14ac:dyDescent="0.3">
      <c r="D32833" s="1"/>
      <c r="G32833" s="13"/>
      <c r="AL32833" s="13"/>
    </row>
    <row r="32834" spans="4:38" x14ac:dyDescent="0.3">
      <c r="D32834" s="1"/>
      <c r="G32834" s="13"/>
      <c r="AL32834" s="13"/>
    </row>
    <row r="32835" spans="4:38" x14ac:dyDescent="0.3">
      <c r="D32835" s="1"/>
      <c r="G32835" s="13"/>
      <c r="AL32835" s="13"/>
    </row>
    <row r="32836" spans="4:38" x14ac:dyDescent="0.3">
      <c r="D32836" s="1"/>
      <c r="G32836" s="13"/>
      <c r="AL32836" s="13"/>
    </row>
    <row r="32837" spans="4:38" x14ac:dyDescent="0.3">
      <c r="D32837" s="1"/>
      <c r="G32837" s="13"/>
      <c r="AL32837" s="13"/>
    </row>
    <row r="32838" spans="4:38" x14ac:dyDescent="0.3">
      <c r="D32838" s="1"/>
      <c r="G32838" s="13"/>
      <c r="AL32838" s="13"/>
    </row>
    <row r="32839" spans="4:38" x14ac:dyDescent="0.3">
      <c r="D32839" s="1"/>
      <c r="G32839" s="13"/>
      <c r="AL32839" s="13"/>
    </row>
    <row r="32840" spans="4:38" x14ac:dyDescent="0.3">
      <c r="D32840" s="1"/>
      <c r="G32840" s="13"/>
      <c r="AL32840" s="13"/>
    </row>
    <row r="32841" spans="4:38" x14ac:dyDescent="0.3">
      <c r="D32841" s="1"/>
      <c r="G32841" s="13"/>
      <c r="AL32841" s="13"/>
    </row>
    <row r="32842" spans="4:38" x14ac:dyDescent="0.3">
      <c r="D32842" s="1"/>
      <c r="G32842" s="13"/>
      <c r="AL32842" s="13"/>
    </row>
    <row r="32843" spans="4:38" x14ac:dyDescent="0.3">
      <c r="D32843" s="1"/>
      <c r="G32843" s="13"/>
      <c r="AL32843" s="13"/>
    </row>
    <row r="32844" spans="4:38" x14ac:dyDescent="0.3">
      <c r="D32844" s="1"/>
      <c r="G32844" s="13"/>
      <c r="AL32844" s="13"/>
    </row>
    <row r="32845" spans="4:38" x14ac:dyDescent="0.3">
      <c r="D32845" s="1"/>
      <c r="G32845" s="13"/>
      <c r="AL32845" s="13"/>
    </row>
    <row r="32846" spans="4:38" x14ac:dyDescent="0.3">
      <c r="G32846" s="13"/>
      <c r="AL32846" s="13"/>
    </row>
    <row r="32847" spans="4:38" x14ac:dyDescent="0.3">
      <c r="G32847" s="13"/>
      <c r="AL32847" s="13"/>
    </row>
    <row r="32848" spans="4:38" x14ac:dyDescent="0.3">
      <c r="D32848" s="1"/>
      <c r="G32848" s="13"/>
      <c r="AL32848" s="13"/>
    </row>
    <row r="32849" spans="4:38" x14ac:dyDescent="0.3">
      <c r="D32849" s="1"/>
      <c r="G32849" s="13"/>
      <c r="AL32849" s="13"/>
    </row>
    <row r="32850" spans="4:38" x14ac:dyDescent="0.3">
      <c r="D32850" s="1"/>
      <c r="G32850" s="13"/>
      <c r="AL32850" s="13"/>
    </row>
    <row r="32851" spans="4:38" x14ac:dyDescent="0.3">
      <c r="D32851" s="1"/>
      <c r="G32851" s="13"/>
      <c r="AL32851" s="13"/>
    </row>
    <row r="32852" spans="4:38" x14ac:dyDescent="0.3">
      <c r="D32852" s="1"/>
      <c r="G32852" s="13"/>
      <c r="AL32852" s="13"/>
    </row>
    <row r="32853" spans="4:38" x14ac:dyDescent="0.3">
      <c r="D32853" s="1"/>
      <c r="G32853" s="13"/>
      <c r="AL32853" s="13"/>
    </row>
    <row r="32854" spans="4:38" x14ac:dyDescent="0.3">
      <c r="D32854" s="1"/>
      <c r="G32854" s="13"/>
      <c r="AL32854" s="13"/>
    </row>
    <row r="32855" spans="4:38" x14ac:dyDescent="0.3">
      <c r="D32855" s="1"/>
      <c r="G32855" s="13"/>
      <c r="AL32855" s="13"/>
    </row>
    <row r="32856" spans="4:38" x14ac:dyDescent="0.3">
      <c r="D32856" s="1"/>
      <c r="G32856" s="13"/>
      <c r="AL32856" s="13"/>
    </row>
    <row r="32857" spans="4:38" x14ac:dyDescent="0.3">
      <c r="D32857" s="1"/>
      <c r="G32857" s="13"/>
      <c r="AL32857" s="13"/>
    </row>
    <row r="32858" spans="4:38" x14ac:dyDescent="0.3">
      <c r="D32858" s="1"/>
      <c r="G32858" s="13"/>
      <c r="AL32858" s="13"/>
    </row>
    <row r="32859" spans="4:38" x14ac:dyDescent="0.3">
      <c r="D32859" s="1"/>
      <c r="G32859" s="13"/>
      <c r="AL32859" s="13"/>
    </row>
    <row r="32860" spans="4:38" x14ac:dyDescent="0.3">
      <c r="D32860" s="1"/>
      <c r="G32860" s="13"/>
      <c r="AL32860" s="13"/>
    </row>
    <row r="32861" spans="4:38" x14ac:dyDescent="0.3">
      <c r="D32861" s="1"/>
      <c r="G32861" s="13"/>
      <c r="AL32861" s="13"/>
    </row>
    <row r="32862" spans="4:38" x14ac:dyDescent="0.3">
      <c r="D32862" s="1"/>
      <c r="G32862" s="13"/>
      <c r="AL32862" s="13"/>
    </row>
    <row r="32863" spans="4:38" x14ac:dyDescent="0.3">
      <c r="D32863" s="1"/>
      <c r="G32863" s="13"/>
      <c r="AL32863" s="13"/>
    </row>
    <row r="32864" spans="4:38" x14ac:dyDescent="0.3">
      <c r="D32864" s="1"/>
      <c r="G32864" s="13"/>
      <c r="AL32864" s="13"/>
    </row>
    <row r="32865" spans="4:38" x14ac:dyDescent="0.3">
      <c r="D32865" s="1"/>
      <c r="G32865" s="13"/>
      <c r="AL32865" s="13"/>
    </row>
    <row r="32866" spans="4:38" x14ac:dyDescent="0.3">
      <c r="D32866" s="1"/>
      <c r="G32866" s="13"/>
      <c r="AL32866" s="13"/>
    </row>
    <row r="32867" spans="4:38" x14ac:dyDescent="0.3">
      <c r="D32867" s="1"/>
      <c r="G32867" s="13"/>
      <c r="AL32867" s="13"/>
    </row>
    <row r="32868" spans="4:38" x14ac:dyDescent="0.3">
      <c r="D32868" s="1"/>
      <c r="G32868" s="13"/>
      <c r="AL32868" s="13"/>
    </row>
    <row r="32869" spans="4:38" x14ac:dyDescent="0.3">
      <c r="D32869" s="1"/>
      <c r="G32869" s="13"/>
      <c r="AL32869" s="13"/>
    </row>
    <row r="32870" spans="4:38" x14ac:dyDescent="0.3">
      <c r="D32870" s="1"/>
      <c r="G32870" s="13"/>
      <c r="AL32870" s="13"/>
    </row>
    <row r="32871" spans="4:38" x14ac:dyDescent="0.3">
      <c r="D32871" s="1"/>
      <c r="G32871" s="13"/>
      <c r="AL32871" s="13"/>
    </row>
    <row r="32872" spans="4:38" x14ac:dyDescent="0.3">
      <c r="D32872" s="1"/>
      <c r="G32872" s="13"/>
      <c r="AL32872" s="13"/>
    </row>
    <row r="32873" spans="4:38" x14ac:dyDescent="0.3">
      <c r="D32873" s="1"/>
      <c r="G32873" s="13"/>
      <c r="AL32873" s="13"/>
    </row>
    <row r="32874" spans="4:38" x14ac:dyDescent="0.3">
      <c r="D32874" s="1"/>
      <c r="G32874" s="13"/>
      <c r="AL32874" s="13"/>
    </row>
    <row r="32875" spans="4:38" x14ac:dyDescent="0.3">
      <c r="D32875" s="1"/>
      <c r="G32875" s="13"/>
      <c r="AL32875" s="13"/>
    </row>
    <row r="32876" spans="4:38" x14ac:dyDescent="0.3">
      <c r="D32876" s="1"/>
      <c r="G32876" s="13"/>
      <c r="AL32876" s="13"/>
    </row>
    <row r="32877" spans="4:38" x14ac:dyDescent="0.3">
      <c r="D32877" s="1"/>
      <c r="G32877" s="13"/>
      <c r="AL32877" s="13"/>
    </row>
    <row r="32878" spans="4:38" x14ac:dyDescent="0.3">
      <c r="D32878" s="1"/>
      <c r="G32878" s="13"/>
      <c r="AL32878" s="13"/>
    </row>
    <row r="32879" spans="4:38" x14ac:dyDescent="0.3">
      <c r="D32879" s="1"/>
      <c r="G32879" s="13"/>
      <c r="AL32879" s="13"/>
    </row>
    <row r="32880" spans="4:38" x14ac:dyDescent="0.3">
      <c r="D32880" s="1"/>
      <c r="G32880" s="13"/>
      <c r="AL32880" s="13"/>
    </row>
    <row r="32881" spans="4:38" x14ac:dyDescent="0.3">
      <c r="D32881" s="1"/>
      <c r="G32881" s="13"/>
      <c r="AL32881" s="13"/>
    </row>
    <row r="32882" spans="4:38" x14ac:dyDescent="0.3">
      <c r="D32882" s="1"/>
      <c r="G32882" s="13"/>
      <c r="AL32882" s="13"/>
    </row>
    <row r="32883" spans="4:38" x14ac:dyDescent="0.3">
      <c r="D32883" s="1"/>
      <c r="G32883" s="13"/>
      <c r="AL32883" s="13"/>
    </row>
    <row r="32884" spans="4:38" x14ac:dyDescent="0.3">
      <c r="D32884" s="1"/>
      <c r="G32884" s="13"/>
      <c r="AL32884" s="13"/>
    </row>
    <row r="32885" spans="4:38" x14ac:dyDescent="0.3">
      <c r="D32885" s="1"/>
      <c r="G32885" s="13"/>
      <c r="AL32885" s="13"/>
    </row>
    <row r="32886" spans="4:38" x14ac:dyDescent="0.3">
      <c r="D32886" s="1"/>
      <c r="G32886" s="13"/>
      <c r="AL32886" s="13"/>
    </row>
    <row r="32887" spans="4:38" x14ac:dyDescent="0.3">
      <c r="D32887" s="1"/>
      <c r="G32887" s="13"/>
      <c r="AL32887" s="13"/>
    </row>
    <row r="32888" spans="4:38" x14ac:dyDescent="0.3">
      <c r="D32888" s="1"/>
      <c r="G32888" s="13"/>
      <c r="AL32888" s="13"/>
    </row>
    <row r="32889" spans="4:38" x14ac:dyDescent="0.3">
      <c r="G32889" s="13"/>
      <c r="AL32889" s="13"/>
    </row>
    <row r="32890" spans="4:38" x14ac:dyDescent="0.3">
      <c r="D32890" s="1"/>
      <c r="G32890" s="13"/>
      <c r="AL32890" s="13"/>
    </row>
    <row r="32891" spans="4:38" x14ac:dyDescent="0.3">
      <c r="D32891" s="1"/>
      <c r="G32891" s="13"/>
      <c r="AL32891" s="13"/>
    </row>
    <row r="32892" spans="4:38" x14ac:dyDescent="0.3">
      <c r="D32892" s="1"/>
      <c r="G32892" s="13"/>
      <c r="AL32892" s="13"/>
    </row>
    <row r="32893" spans="4:38" x14ac:dyDescent="0.3">
      <c r="D32893" s="1"/>
      <c r="G32893" s="13"/>
      <c r="AL32893" s="13"/>
    </row>
    <row r="32894" spans="4:38" x14ac:dyDescent="0.3">
      <c r="D32894" s="1"/>
      <c r="G32894" s="13"/>
      <c r="AL32894" s="13"/>
    </row>
    <row r="32895" spans="4:38" x14ac:dyDescent="0.3">
      <c r="D32895" s="1"/>
      <c r="G32895" s="13"/>
      <c r="AL32895" s="13"/>
    </row>
    <row r="32896" spans="4:38" x14ac:dyDescent="0.3">
      <c r="G32896" s="13"/>
      <c r="AL32896" s="13"/>
    </row>
    <row r="32897" spans="4:38" x14ac:dyDescent="0.3">
      <c r="D32897" s="1"/>
      <c r="G32897" s="13"/>
      <c r="AL32897" s="13"/>
    </row>
    <row r="32898" spans="4:38" x14ac:dyDescent="0.3">
      <c r="D32898" s="1"/>
      <c r="G32898" s="13"/>
      <c r="AL32898" s="13"/>
    </row>
    <row r="32899" spans="4:38" x14ac:dyDescent="0.3">
      <c r="G32899" s="13"/>
      <c r="AL32899" s="13"/>
    </row>
    <row r="32900" spans="4:38" x14ac:dyDescent="0.3">
      <c r="D32900" s="1"/>
      <c r="G32900" s="13"/>
      <c r="AL32900" s="13"/>
    </row>
    <row r="32901" spans="4:38" x14ac:dyDescent="0.3">
      <c r="D32901" s="1"/>
      <c r="G32901" s="13"/>
      <c r="AL32901" s="13"/>
    </row>
    <row r="32902" spans="4:38" x14ac:dyDescent="0.3">
      <c r="D32902" s="1"/>
      <c r="G32902" s="13"/>
      <c r="AL32902" s="13"/>
    </row>
    <row r="32903" spans="4:38" x14ac:dyDescent="0.3">
      <c r="G32903" s="13"/>
      <c r="AL32903" s="13"/>
    </row>
    <row r="32904" spans="4:38" x14ac:dyDescent="0.3">
      <c r="D32904" s="1"/>
      <c r="G32904" s="13"/>
      <c r="AL32904" s="13"/>
    </row>
    <row r="32905" spans="4:38" x14ac:dyDescent="0.3">
      <c r="D32905" s="1"/>
      <c r="G32905" s="13"/>
      <c r="AL32905" s="13"/>
    </row>
    <row r="32906" spans="4:38" x14ac:dyDescent="0.3">
      <c r="D32906" s="1"/>
      <c r="G32906" s="13"/>
      <c r="AL32906" s="13"/>
    </row>
    <row r="32907" spans="4:38" x14ac:dyDescent="0.3">
      <c r="D32907" s="1"/>
      <c r="G32907" s="13"/>
      <c r="AL32907" s="13"/>
    </row>
    <row r="32908" spans="4:38" x14ac:dyDescent="0.3">
      <c r="D32908" s="1"/>
      <c r="G32908" s="13"/>
      <c r="AL32908" s="13"/>
    </row>
    <row r="32909" spans="4:38" x14ac:dyDescent="0.3">
      <c r="D32909" s="1"/>
      <c r="G32909" s="13"/>
      <c r="AL32909" s="13"/>
    </row>
    <row r="32910" spans="4:38" x14ac:dyDescent="0.3">
      <c r="D32910" s="1"/>
      <c r="G32910" s="13"/>
      <c r="AL32910" s="13"/>
    </row>
    <row r="32911" spans="4:38" x14ac:dyDescent="0.3">
      <c r="D32911" s="1"/>
      <c r="G32911" s="13"/>
      <c r="AL32911" s="13"/>
    </row>
    <row r="32912" spans="4:38" x14ac:dyDescent="0.3">
      <c r="G32912" s="13"/>
      <c r="AL32912" s="13"/>
    </row>
    <row r="32913" spans="4:38" x14ac:dyDescent="0.3">
      <c r="G32913" s="13"/>
      <c r="AL32913" s="13"/>
    </row>
    <row r="32914" spans="4:38" x14ac:dyDescent="0.3">
      <c r="D32914" s="1"/>
      <c r="G32914" s="13"/>
      <c r="AL32914" s="13"/>
    </row>
    <row r="32915" spans="4:38" x14ac:dyDescent="0.3">
      <c r="D32915" s="1"/>
      <c r="G32915" s="13"/>
      <c r="AL32915" s="13"/>
    </row>
    <row r="32916" spans="4:38" x14ac:dyDescent="0.3">
      <c r="D32916" s="1"/>
      <c r="G32916" s="13"/>
      <c r="AL32916" s="13"/>
    </row>
    <row r="32917" spans="4:38" x14ac:dyDescent="0.3">
      <c r="D32917" s="1"/>
      <c r="G32917" s="13"/>
      <c r="AL32917" s="13"/>
    </row>
    <row r="32918" spans="4:38" x14ac:dyDescent="0.3">
      <c r="D32918" s="1"/>
      <c r="G32918" s="13"/>
      <c r="AL32918" s="13"/>
    </row>
    <row r="32919" spans="4:38" x14ac:dyDescent="0.3">
      <c r="D32919" s="1"/>
      <c r="G32919" s="13"/>
      <c r="AL32919" s="13"/>
    </row>
    <row r="32920" spans="4:38" x14ac:dyDescent="0.3">
      <c r="D32920" s="1"/>
      <c r="G32920" s="13"/>
      <c r="AL32920" s="13"/>
    </row>
    <row r="32921" spans="4:38" x14ac:dyDescent="0.3">
      <c r="D32921" s="1"/>
      <c r="G32921" s="13"/>
      <c r="AL32921" s="13"/>
    </row>
    <row r="32922" spans="4:38" x14ac:dyDescent="0.3">
      <c r="D32922" s="1"/>
      <c r="G32922" s="13"/>
      <c r="AL32922" s="13"/>
    </row>
    <row r="32923" spans="4:38" x14ac:dyDescent="0.3">
      <c r="D32923" s="1"/>
      <c r="G32923" s="13"/>
      <c r="AL32923" s="13"/>
    </row>
    <row r="32924" spans="4:38" x14ac:dyDescent="0.3">
      <c r="D32924" s="1"/>
      <c r="G32924" s="13"/>
      <c r="AL32924" s="13"/>
    </row>
    <row r="32925" spans="4:38" x14ac:dyDescent="0.3">
      <c r="D32925" s="1"/>
      <c r="G32925" s="13"/>
      <c r="AL32925" s="13"/>
    </row>
    <row r="32926" spans="4:38" x14ac:dyDescent="0.3">
      <c r="G32926" s="13"/>
      <c r="AL32926" s="13"/>
    </row>
    <row r="32927" spans="4:38" x14ac:dyDescent="0.3">
      <c r="D32927" s="1"/>
      <c r="G32927" s="13"/>
      <c r="AL32927" s="13"/>
    </row>
    <row r="32928" spans="4:38" x14ac:dyDescent="0.3">
      <c r="G32928" s="13"/>
      <c r="AL32928" s="13"/>
    </row>
    <row r="32929" spans="4:38" x14ac:dyDescent="0.3">
      <c r="D32929" s="1"/>
      <c r="G32929" s="13"/>
      <c r="AL32929" s="13"/>
    </row>
    <row r="32930" spans="4:38" x14ac:dyDescent="0.3">
      <c r="D32930" s="1"/>
      <c r="G32930" s="13"/>
      <c r="AL32930" s="13"/>
    </row>
    <row r="32931" spans="4:38" x14ac:dyDescent="0.3">
      <c r="D32931" s="1"/>
      <c r="G32931" s="13"/>
      <c r="AL32931" s="13"/>
    </row>
    <row r="32932" spans="4:38" x14ac:dyDescent="0.3">
      <c r="D32932" s="1"/>
      <c r="G32932" s="13"/>
      <c r="AL32932" s="13"/>
    </row>
    <row r="32933" spans="4:38" x14ac:dyDescent="0.3">
      <c r="D32933" s="1"/>
      <c r="G32933" s="13"/>
      <c r="AL32933" s="13"/>
    </row>
    <row r="32934" spans="4:38" x14ac:dyDescent="0.3">
      <c r="D32934" s="1"/>
      <c r="G32934" s="13"/>
      <c r="AL32934" s="13"/>
    </row>
    <row r="32935" spans="4:38" x14ac:dyDescent="0.3">
      <c r="D32935" s="1"/>
      <c r="G32935" s="13"/>
      <c r="AL32935" s="13"/>
    </row>
    <row r="32936" spans="4:38" x14ac:dyDescent="0.3">
      <c r="D32936" s="1"/>
      <c r="G32936" s="13"/>
      <c r="AL32936" s="13"/>
    </row>
    <row r="32937" spans="4:38" x14ac:dyDescent="0.3">
      <c r="D32937" s="1"/>
      <c r="G32937" s="13"/>
      <c r="AL32937" s="13"/>
    </row>
  </sheetData>
  <phoneticPr fontId="0" type="noConversion"/>
  <pageMargins left="0.75" right="0.75" top="1" bottom="1" header="0.5" footer="0.5"/>
  <pageSetup orientation="portrait" r:id="rId1"/>
  <headerFooter alignWithMargins="0"/>
  <tableParts count="1">
    <tablePart r:id="rId2"/>
  </tableParts>
</worksheet>
</file>

<file path=docMetadata/LabelInfo.xml><?xml version="1.0" encoding="utf-8"?>
<clbl:labelList xmlns:clbl="http://schemas.microsoft.com/office/2020/mipLabelMetadata">
  <clbl:label id="{9ac805d7-b58a-482b-8a4e-e7effbd5188b}" enabled="1" method="Privileged" siteId="{a2a21b60-5625-43fe-a55a-52f5e111d71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data</vt:lpstr>
    </vt:vector>
  </TitlesOfParts>
  <Company>Washoe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Washoe County</dc:creator>
  <cp:lastModifiedBy>Dayton, Tyson</cp:lastModifiedBy>
  <dcterms:created xsi:type="dcterms:W3CDTF">2005-05-04T22:08:51Z</dcterms:created>
  <dcterms:modified xsi:type="dcterms:W3CDTF">2026-06-08T15:16:39Z</dcterms:modified>
</cp:coreProperties>
</file>